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K:\Мій диск\Гречко\ДЛЯ САЙТУ ЧМР\Звіти про виконання кошторисів витрат\"/>
    </mc:Choice>
  </mc:AlternateContent>
  <xr:revisionPtr revIDLastSave="0" documentId="13_ncr:1_{D191F340-6DA4-46ED-BCCB-79FF7F57EE87}" xr6:coauthVersionLast="47" xr6:coauthVersionMax="47" xr10:uidLastSave="{00000000-0000-0000-0000-000000000000}"/>
  <bookViews>
    <workbookView xWindow="-108" yWindow="-108" windowWidth="23256" windowHeight="13968" tabRatio="931" xr2:uid="{00000000-000D-0000-FFFF-FFFF00000000}"/>
  </bookViews>
  <sheets>
    <sheet name="Звіт-будинок" sheetId="12" r:id="rId1"/>
    <sheet name="зведена таблиця" sheetId="3" r:id="rId2"/>
    <sheet name="побудинковий звіт" sheetId="1" r:id="rId3"/>
    <sheet name="01-02.2021" sheetId="27" r:id="rId4"/>
    <sheet name="1.3.21-28.2.22" sheetId="28" r:id="rId5"/>
    <sheet name="01-02.2022" sheetId="29" r:id="rId6"/>
    <sheet name="поточний ремонт" sheetId="4" r:id="rId7"/>
    <sheet name="ПР 01-02.21" sheetId="30" r:id="rId8"/>
    <sheet name="ПР 21-22" sheetId="31" r:id="rId9"/>
    <sheet name="ПР 01-02.22" sheetId="32" r:id="rId10"/>
    <sheet name="ПР будинок" sheetId="13" r:id="rId11"/>
    <sheet name="накладні витрати" sheetId="5" r:id="rId12"/>
    <sheet name="місяць" sheetId="14" r:id="rId13"/>
    <sheet name="коди" sheetId="11" r:id="rId14"/>
    <sheet name="звіт начальник" sheetId="24" r:id="rId15"/>
    <sheet name="кошти 01.03.2021" sheetId="21" r:id="rId16"/>
    <sheet name="Ремонт ліфтів" sheetId="25" r:id="rId17"/>
    <sheet name="Лист1" sheetId="26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14" hidden="1">'звіт начальник'!$A$7:$M$403</definedName>
    <definedName name="_xlnm._FilterDatabase" localSheetId="13" hidden="1">коди!$B$8:$C$406</definedName>
    <definedName name="_xlnm._FilterDatabase" localSheetId="2" hidden="1">'побудинковий звіт'!$A$8:$DR$405</definedName>
    <definedName name="_xlnm._FilterDatabase" localSheetId="6" hidden="1">'поточний ремонт'!$A$10:$BG$406</definedName>
    <definedName name="_xlnm.Print_Titles" localSheetId="14">'звіт начальник'!$6:$7</definedName>
    <definedName name="_xlnm.Print_Titles" localSheetId="6">'поточний ремонт'!$7:$10</definedName>
    <definedName name="_xlnm.Print_Area" localSheetId="1">'зведена таблиця'!$A$1:$O$54</definedName>
    <definedName name="_xlnm.Print_Area" localSheetId="0">'Звіт-будинок'!$A$1:$F$74</definedName>
    <definedName name="_xlnm.Print_Area" localSheetId="11">'накладні витрати'!$A$1:$K$41</definedName>
  </definedNames>
  <calcPr calcId="181029"/>
</workbook>
</file>

<file path=xl/calcChain.xml><?xml version="1.0" encoding="utf-8"?>
<calcChain xmlns="http://schemas.openxmlformats.org/spreadsheetml/2006/main">
  <c r="AE12" i="4" l="1"/>
  <c r="AF12" i="4"/>
  <c r="AH12" i="4"/>
  <c r="AI12" i="4"/>
  <c r="AK12" i="4"/>
  <c r="AL12" i="4"/>
  <c r="AN12" i="4"/>
  <c r="AO12" i="4"/>
  <c r="AQ12" i="4"/>
  <c r="AR12" i="4"/>
  <c r="AT12" i="4"/>
  <c r="AU12" i="4"/>
  <c r="AW12" i="4"/>
  <c r="AX12" i="4"/>
  <c r="AE13" i="4"/>
  <c r="AF13" i="4"/>
  <c r="AH13" i="4"/>
  <c r="AI13" i="4"/>
  <c r="AK13" i="4"/>
  <c r="AL13" i="4"/>
  <c r="AN13" i="4"/>
  <c r="AO13" i="4"/>
  <c r="AQ13" i="4"/>
  <c r="AR13" i="4"/>
  <c r="AT13" i="4"/>
  <c r="AU13" i="4"/>
  <c r="AW13" i="4"/>
  <c r="AX13" i="4"/>
  <c r="AE14" i="4"/>
  <c r="AF14" i="4"/>
  <c r="AH14" i="4"/>
  <c r="AI14" i="4"/>
  <c r="AK14" i="4"/>
  <c r="AL14" i="4"/>
  <c r="AN14" i="4"/>
  <c r="AO14" i="4"/>
  <c r="AQ14" i="4"/>
  <c r="AR14" i="4"/>
  <c r="AT14" i="4"/>
  <c r="AU14" i="4"/>
  <c r="AW14" i="4"/>
  <c r="AX14" i="4"/>
  <c r="AE15" i="4"/>
  <c r="AF15" i="4"/>
  <c r="AH15" i="4"/>
  <c r="AI15" i="4"/>
  <c r="AK15" i="4"/>
  <c r="AL15" i="4"/>
  <c r="AN15" i="4"/>
  <c r="AO15" i="4"/>
  <c r="AQ15" i="4"/>
  <c r="AR15" i="4"/>
  <c r="AT15" i="4"/>
  <c r="AU15" i="4"/>
  <c r="AW15" i="4"/>
  <c r="AX15" i="4"/>
  <c r="AE16" i="4"/>
  <c r="AF16" i="4"/>
  <c r="AH16" i="4"/>
  <c r="AI16" i="4"/>
  <c r="AK16" i="4"/>
  <c r="AL16" i="4"/>
  <c r="AN16" i="4"/>
  <c r="AO16" i="4"/>
  <c r="AQ16" i="4"/>
  <c r="AR16" i="4"/>
  <c r="AT16" i="4"/>
  <c r="AU16" i="4"/>
  <c r="AW16" i="4"/>
  <c r="AX16" i="4"/>
  <c r="AE20" i="4"/>
  <c r="AF20" i="4"/>
  <c r="AH20" i="4"/>
  <c r="AI20" i="4"/>
  <c r="AK20" i="4"/>
  <c r="AL20" i="4"/>
  <c r="AN20" i="4"/>
  <c r="AO20" i="4"/>
  <c r="AQ20" i="4"/>
  <c r="AR20" i="4"/>
  <c r="AT20" i="4"/>
  <c r="AU20" i="4"/>
  <c r="AW20" i="4"/>
  <c r="AX20" i="4"/>
  <c r="AE21" i="4"/>
  <c r="AF21" i="4"/>
  <c r="AH21" i="4"/>
  <c r="AI21" i="4"/>
  <c r="AK21" i="4"/>
  <c r="AL21" i="4"/>
  <c r="AN21" i="4"/>
  <c r="AO21" i="4"/>
  <c r="AQ21" i="4"/>
  <c r="AR21" i="4"/>
  <c r="AT21" i="4"/>
  <c r="AU21" i="4"/>
  <c r="AW21" i="4"/>
  <c r="AX21" i="4"/>
  <c r="AE22" i="4"/>
  <c r="AF22" i="4"/>
  <c r="AH22" i="4"/>
  <c r="AI22" i="4"/>
  <c r="AK22" i="4"/>
  <c r="AL22" i="4"/>
  <c r="AN22" i="4"/>
  <c r="AO22" i="4"/>
  <c r="AQ22" i="4"/>
  <c r="AR22" i="4"/>
  <c r="AT22" i="4"/>
  <c r="AU22" i="4"/>
  <c r="AW22" i="4"/>
  <c r="AX22" i="4"/>
  <c r="AE23" i="4"/>
  <c r="AF23" i="4"/>
  <c r="AH23" i="4"/>
  <c r="AI23" i="4"/>
  <c r="AK23" i="4"/>
  <c r="AL23" i="4"/>
  <c r="AN23" i="4"/>
  <c r="AO23" i="4"/>
  <c r="AQ23" i="4"/>
  <c r="AR23" i="4"/>
  <c r="AT23" i="4"/>
  <c r="AU23" i="4"/>
  <c r="AW23" i="4"/>
  <c r="AX23" i="4"/>
  <c r="AE24" i="4"/>
  <c r="AF24" i="4"/>
  <c r="AH24" i="4"/>
  <c r="AI24" i="4"/>
  <c r="AK24" i="4"/>
  <c r="AL24" i="4"/>
  <c r="AN24" i="4"/>
  <c r="AO24" i="4"/>
  <c r="AQ24" i="4"/>
  <c r="AR24" i="4"/>
  <c r="AT24" i="4"/>
  <c r="AU24" i="4"/>
  <c r="AW24" i="4"/>
  <c r="AX24" i="4"/>
  <c r="AE25" i="4"/>
  <c r="AF25" i="4"/>
  <c r="AH25" i="4"/>
  <c r="AI25" i="4"/>
  <c r="AK25" i="4"/>
  <c r="AL25" i="4"/>
  <c r="AN25" i="4"/>
  <c r="AO25" i="4"/>
  <c r="AQ25" i="4"/>
  <c r="AR25" i="4"/>
  <c r="AT25" i="4"/>
  <c r="AU25" i="4"/>
  <c r="AW25" i="4"/>
  <c r="AX25" i="4"/>
  <c r="AE26" i="4"/>
  <c r="AF26" i="4"/>
  <c r="AH26" i="4"/>
  <c r="AI26" i="4"/>
  <c r="AK26" i="4"/>
  <c r="AL26" i="4"/>
  <c r="AN26" i="4"/>
  <c r="AO26" i="4"/>
  <c r="AQ26" i="4"/>
  <c r="AR26" i="4"/>
  <c r="AT26" i="4"/>
  <c r="AU26" i="4"/>
  <c r="AW26" i="4"/>
  <c r="AX26" i="4"/>
  <c r="AE27" i="4"/>
  <c r="AF27" i="4"/>
  <c r="AH27" i="4"/>
  <c r="AI27" i="4"/>
  <c r="AK27" i="4"/>
  <c r="AL27" i="4"/>
  <c r="AN27" i="4"/>
  <c r="AO27" i="4"/>
  <c r="AQ27" i="4"/>
  <c r="AR27" i="4"/>
  <c r="AT27" i="4"/>
  <c r="AU27" i="4"/>
  <c r="AW27" i="4"/>
  <c r="AX27" i="4"/>
  <c r="AE28" i="4"/>
  <c r="AF28" i="4"/>
  <c r="AH28" i="4"/>
  <c r="AI28" i="4"/>
  <c r="AK28" i="4"/>
  <c r="AL28" i="4"/>
  <c r="AN28" i="4"/>
  <c r="AO28" i="4"/>
  <c r="AQ28" i="4"/>
  <c r="AR28" i="4"/>
  <c r="AT28" i="4"/>
  <c r="AU28" i="4"/>
  <c r="AW28" i="4"/>
  <c r="AX28" i="4"/>
  <c r="AE29" i="4"/>
  <c r="AF29" i="4"/>
  <c r="AH29" i="4"/>
  <c r="AI29" i="4"/>
  <c r="AK29" i="4"/>
  <c r="AL29" i="4"/>
  <c r="AN29" i="4"/>
  <c r="AO29" i="4"/>
  <c r="AQ29" i="4"/>
  <c r="AR29" i="4"/>
  <c r="AT29" i="4"/>
  <c r="AU29" i="4"/>
  <c r="AW29" i="4"/>
  <c r="AX29" i="4"/>
  <c r="AE30" i="4"/>
  <c r="AF30" i="4"/>
  <c r="AH30" i="4"/>
  <c r="AI30" i="4"/>
  <c r="AK30" i="4"/>
  <c r="AL30" i="4"/>
  <c r="AN30" i="4"/>
  <c r="AO30" i="4"/>
  <c r="AQ30" i="4"/>
  <c r="AR30" i="4"/>
  <c r="AT30" i="4"/>
  <c r="AU30" i="4"/>
  <c r="AW30" i="4"/>
  <c r="AX30" i="4"/>
  <c r="AE31" i="4"/>
  <c r="AF31" i="4"/>
  <c r="AH31" i="4"/>
  <c r="AI31" i="4"/>
  <c r="AK31" i="4"/>
  <c r="AL31" i="4"/>
  <c r="AN31" i="4"/>
  <c r="AO31" i="4"/>
  <c r="AQ31" i="4"/>
  <c r="AR31" i="4"/>
  <c r="AT31" i="4"/>
  <c r="AU31" i="4"/>
  <c r="AW31" i="4"/>
  <c r="AX31" i="4"/>
  <c r="AE32" i="4"/>
  <c r="AF32" i="4"/>
  <c r="AH32" i="4"/>
  <c r="AI32" i="4"/>
  <c r="AK32" i="4"/>
  <c r="AL32" i="4"/>
  <c r="AN32" i="4"/>
  <c r="AO32" i="4"/>
  <c r="AQ32" i="4"/>
  <c r="AR32" i="4"/>
  <c r="AT32" i="4"/>
  <c r="AU32" i="4"/>
  <c r="AW32" i="4"/>
  <c r="AX32" i="4"/>
  <c r="AE33" i="4"/>
  <c r="AF33" i="4"/>
  <c r="AH33" i="4"/>
  <c r="AI33" i="4"/>
  <c r="AK33" i="4"/>
  <c r="AL33" i="4"/>
  <c r="AN33" i="4"/>
  <c r="AO33" i="4"/>
  <c r="AQ33" i="4"/>
  <c r="AR33" i="4"/>
  <c r="AT33" i="4"/>
  <c r="AU33" i="4"/>
  <c r="AW33" i="4"/>
  <c r="AX33" i="4"/>
  <c r="AE34" i="4"/>
  <c r="AF34" i="4"/>
  <c r="AH34" i="4"/>
  <c r="AI34" i="4"/>
  <c r="AK34" i="4"/>
  <c r="AL34" i="4"/>
  <c r="AN34" i="4"/>
  <c r="AO34" i="4"/>
  <c r="AQ34" i="4"/>
  <c r="AR34" i="4"/>
  <c r="AT34" i="4"/>
  <c r="AU34" i="4"/>
  <c r="AW34" i="4"/>
  <c r="AX34" i="4"/>
  <c r="AE37" i="4"/>
  <c r="AF37" i="4"/>
  <c r="AH37" i="4"/>
  <c r="AI37" i="4"/>
  <c r="AK37" i="4"/>
  <c r="AL37" i="4"/>
  <c r="AN37" i="4"/>
  <c r="AO37" i="4"/>
  <c r="AQ37" i="4"/>
  <c r="AR37" i="4"/>
  <c r="AT37" i="4"/>
  <c r="AU37" i="4"/>
  <c r="AW37" i="4"/>
  <c r="AX37" i="4"/>
  <c r="AE38" i="4"/>
  <c r="AF38" i="4"/>
  <c r="AH38" i="4"/>
  <c r="AI38" i="4"/>
  <c r="AK38" i="4"/>
  <c r="AL38" i="4"/>
  <c r="AN38" i="4"/>
  <c r="AO38" i="4"/>
  <c r="AQ38" i="4"/>
  <c r="AR38" i="4"/>
  <c r="AT38" i="4"/>
  <c r="AU38" i="4"/>
  <c r="AW38" i="4"/>
  <c r="AX38" i="4"/>
  <c r="AE39" i="4"/>
  <c r="AF39" i="4"/>
  <c r="AH39" i="4"/>
  <c r="AI39" i="4"/>
  <c r="AK39" i="4"/>
  <c r="AL39" i="4"/>
  <c r="AN39" i="4"/>
  <c r="AO39" i="4"/>
  <c r="AQ39" i="4"/>
  <c r="AR39" i="4"/>
  <c r="AT39" i="4"/>
  <c r="AU39" i="4"/>
  <c r="AW39" i="4"/>
  <c r="AX39" i="4"/>
  <c r="AE41" i="4"/>
  <c r="AF41" i="4"/>
  <c r="AH41" i="4"/>
  <c r="AI41" i="4"/>
  <c r="AK41" i="4"/>
  <c r="AL41" i="4"/>
  <c r="AN41" i="4"/>
  <c r="AO41" i="4"/>
  <c r="AQ41" i="4"/>
  <c r="AR41" i="4"/>
  <c r="AT41" i="4"/>
  <c r="AU41" i="4"/>
  <c r="AW41" i="4"/>
  <c r="AX41" i="4"/>
  <c r="AE42" i="4"/>
  <c r="AF42" i="4"/>
  <c r="AH42" i="4"/>
  <c r="AI42" i="4"/>
  <c r="AK42" i="4"/>
  <c r="AL42" i="4"/>
  <c r="AN42" i="4"/>
  <c r="AO42" i="4"/>
  <c r="AQ42" i="4"/>
  <c r="AR42" i="4"/>
  <c r="AT42" i="4"/>
  <c r="AU42" i="4"/>
  <c r="AW42" i="4"/>
  <c r="AX42" i="4"/>
  <c r="AE43" i="4"/>
  <c r="AF43" i="4"/>
  <c r="AH43" i="4"/>
  <c r="AI43" i="4"/>
  <c r="AK43" i="4"/>
  <c r="AL43" i="4"/>
  <c r="AN43" i="4"/>
  <c r="AO43" i="4"/>
  <c r="AQ43" i="4"/>
  <c r="AR43" i="4"/>
  <c r="AT43" i="4"/>
  <c r="AU43" i="4"/>
  <c r="AW43" i="4"/>
  <c r="AX43" i="4"/>
  <c r="AE44" i="4"/>
  <c r="AF44" i="4"/>
  <c r="AH44" i="4"/>
  <c r="AI44" i="4"/>
  <c r="AK44" i="4"/>
  <c r="AL44" i="4"/>
  <c r="AN44" i="4"/>
  <c r="AO44" i="4"/>
  <c r="AQ44" i="4"/>
  <c r="AR44" i="4"/>
  <c r="AT44" i="4"/>
  <c r="AU44" i="4"/>
  <c r="AW44" i="4"/>
  <c r="AX44" i="4"/>
  <c r="AE45" i="4"/>
  <c r="AF45" i="4"/>
  <c r="AH45" i="4"/>
  <c r="AI45" i="4"/>
  <c r="AK45" i="4"/>
  <c r="AL45" i="4"/>
  <c r="AN45" i="4"/>
  <c r="AO45" i="4"/>
  <c r="AQ45" i="4"/>
  <c r="AR45" i="4"/>
  <c r="AT45" i="4"/>
  <c r="AU45" i="4"/>
  <c r="AW45" i="4"/>
  <c r="AX45" i="4"/>
  <c r="AE46" i="4"/>
  <c r="AF46" i="4"/>
  <c r="AH46" i="4"/>
  <c r="AI46" i="4"/>
  <c r="AK46" i="4"/>
  <c r="AL46" i="4"/>
  <c r="AN46" i="4"/>
  <c r="AO46" i="4"/>
  <c r="AQ46" i="4"/>
  <c r="AR46" i="4"/>
  <c r="AT46" i="4"/>
  <c r="AU46" i="4"/>
  <c r="AW46" i="4"/>
  <c r="AX46" i="4"/>
  <c r="AE47" i="4"/>
  <c r="AF47" i="4"/>
  <c r="AH47" i="4"/>
  <c r="AI47" i="4"/>
  <c r="AK47" i="4"/>
  <c r="AL47" i="4"/>
  <c r="AN47" i="4"/>
  <c r="AO47" i="4"/>
  <c r="AQ47" i="4"/>
  <c r="AR47" i="4"/>
  <c r="AT47" i="4"/>
  <c r="AU47" i="4"/>
  <c r="AW47" i="4"/>
  <c r="AX47" i="4"/>
  <c r="AE48" i="4"/>
  <c r="AF48" i="4"/>
  <c r="AH48" i="4"/>
  <c r="AI48" i="4"/>
  <c r="AK48" i="4"/>
  <c r="AL48" i="4"/>
  <c r="AN48" i="4"/>
  <c r="AO48" i="4"/>
  <c r="AQ48" i="4"/>
  <c r="AR48" i="4"/>
  <c r="AT48" i="4"/>
  <c r="AU48" i="4"/>
  <c r="AW48" i="4"/>
  <c r="AX48" i="4"/>
  <c r="AE49" i="4"/>
  <c r="AF49" i="4"/>
  <c r="AH49" i="4"/>
  <c r="AI49" i="4"/>
  <c r="AK49" i="4"/>
  <c r="AL49" i="4"/>
  <c r="AN49" i="4"/>
  <c r="AO49" i="4"/>
  <c r="AQ49" i="4"/>
  <c r="AR49" i="4"/>
  <c r="AT49" i="4"/>
  <c r="AU49" i="4"/>
  <c r="AW49" i="4"/>
  <c r="AX49" i="4"/>
  <c r="AE50" i="4"/>
  <c r="AF50" i="4"/>
  <c r="AH50" i="4"/>
  <c r="AI50" i="4"/>
  <c r="AK50" i="4"/>
  <c r="AL50" i="4"/>
  <c r="AN50" i="4"/>
  <c r="AO50" i="4"/>
  <c r="AQ50" i="4"/>
  <c r="AR50" i="4"/>
  <c r="AT50" i="4"/>
  <c r="AU50" i="4"/>
  <c r="AW50" i="4"/>
  <c r="AX50" i="4"/>
  <c r="AE51" i="4"/>
  <c r="AF51" i="4"/>
  <c r="AH51" i="4"/>
  <c r="AI51" i="4"/>
  <c r="AK51" i="4"/>
  <c r="AL51" i="4"/>
  <c r="AN51" i="4"/>
  <c r="AO51" i="4"/>
  <c r="AQ51" i="4"/>
  <c r="AR51" i="4"/>
  <c r="AT51" i="4"/>
  <c r="AU51" i="4"/>
  <c r="AW51" i="4"/>
  <c r="AX51" i="4"/>
  <c r="AE52" i="4"/>
  <c r="AF52" i="4"/>
  <c r="AH52" i="4"/>
  <c r="AI52" i="4"/>
  <c r="AK52" i="4"/>
  <c r="AL52" i="4"/>
  <c r="AN52" i="4"/>
  <c r="AO52" i="4"/>
  <c r="AQ52" i="4"/>
  <c r="AR52" i="4"/>
  <c r="AT52" i="4"/>
  <c r="AU52" i="4"/>
  <c r="AW52" i="4"/>
  <c r="AX52" i="4"/>
  <c r="AE53" i="4"/>
  <c r="AF53" i="4"/>
  <c r="AH53" i="4"/>
  <c r="AI53" i="4"/>
  <c r="AK53" i="4"/>
  <c r="AL53" i="4"/>
  <c r="AN53" i="4"/>
  <c r="AO53" i="4"/>
  <c r="AQ53" i="4"/>
  <c r="AR53" i="4"/>
  <c r="AT53" i="4"/>
  <c r="AU53" i="4"/>
  <c r="AW53" i="4"/>
  <c r="AX53" i="4"/>
  <c r="AE54" i="4"/>
  <c r="AF54" i="4"/>
  <c r="AH54" i="4"/>
  <c r="AI54" i="4"/>
  <c r="AK54" i="4"/>
  <c r="AL54" i="4"/>
  <c r="AN54" i="4"/>
  <c r="AO54" i="4"/>
  <c r="AQ54" i="4"/>
  <c r="AR54" i="4"/>
  <c r="AT54" i="4"/>
  <c r="AU54" i="4"/>
  <c r="AW54" i="4"/>
  <c r="AX54" i="4"/>
  <c r="AE55" i="4"/>
  <c r="AF55" i="4"/>
  <c r="AH55" i="4"/>
  <c r="AI55" i="4"/>
  <c r="AK55" i="4"/>
  <c r="AL55" i="4"/>
  <c r="AN55" i="4"/>
  <c r="AO55" i="4"/>
  <c r="AQ55" i="4"/>
  <c r="AR55" i="4"/>
  <c r="AT55" i="4"/>
  <c r="AU55" i="4"/>
  <c r="AW55" i="4"/>
  <c r="AX55" i="4"/>
  <c r="AE56" i="4"/>
  <c r="AF56" i="4"/>
  <c r="AH56" i="4"/>
  <c r="AI56" i="4"/>
  <c r="AK56" i="4"/>
  <c r="AL56" i="4"/>
  <c r="AN56" i="4"/>
  <c r="AO56" i="4"/>
  <c r="AQ56" i="4"/>
  <c r="AR56" i="4"/>
  <c r="AT56" i="4"/>
  <c r="AU56" i="4"/>
  <c r="AW56" i="4"/>
  <c r="AX56" i="4"/>
  <c r="AE57" i="4"/>
  <c r="AF57" i="4"/>
  <c r="AH57" i="4"/>
  <c r="AI57" i="4"/>
  <c r="AK57" i="4"/>
  <c r="AL57" i="4"/>
  <c r="AN57" i="4"/>
  <c r="AO57" i="4"/>
  <c r="AQ57" i="4"/>
  <c r="AR57" i="4"/>
  <c r="AT57" i="4"/>
  <c r="AU57" i="4"/>
  <c r="AW57" i="4"/>
  <c r="AX57" i="4"/>
  <c r="AE58" i="4"/>
  <c r="AF58" i="4"/>
  <c r="AH58" i="4"/>
  <c r="AI58" i="4"/>
  <c r="AK58" i="4"/>
  <c r="AL58" i="4"/>
  <c r="AN58" i="4"/>
  <c r="AO58" i="4"/>
  <c r="AQ58" i="4"/>
  <c r="AR58" i="4"/>
  <c r="AT58" i="4"/>
  <c r="AU58" i="4"/>
  <c r="AW58" i="4"/>
  <c r="AX58" i="4"/>
  <c r="AE59" i="4"/>
  <c r="AF59" i="4"/>
  <c r="AH59" i="4"/>
  <c r="AI59" i="4"/>
  <c r="AK59" i="4"/>
  <c r="AL59" i="4"/>
  <c r="AN59" i="4"/>
  <c r="AO59" i="4"/>
  <c r="AQ59" i="4"/>
  <c r="AR59" i="4"/>
  <c r="AT59" i="4"/>
  <c r="AU59" i="4"/>
  <c r="AW59" i="4"/>
  <c r="AX59" i="4"/>
  <c r="AE60" i="4"/>
  <c r="AF60" i="4"/>
  <c r="AH60" i="4"/>
  <c r="AI60" i="4"/>
  <c r="AK60" i="4"/>
  <c r="AL60" i="4"/>
  <c r="AN60" i="4"/>
  <c r="AO60" i="4"/>
  <c r="AQ60" i="4"/>
  <c r="AR60" i="4"/>
  <c r="AT60" i="4"/>
  <c r="AU60" i="4"/>
  <c r="AW60" i="4"/>
  <c r="AX60" i="4"/>
  <c r="AE61" i="4"/>
  <c r="AF61" i="4"/>
  <c r="AH61" i="4"/>
  <c r="AI61" i="4"/>
  <c r="AK61" i="4"/>
  <c r="AL61" i="4"/>
  <c r="AN61" i="4"/>
  <c r="AO61" i="4"/>
  <c r="AQ61" i="4"/>
  <c r="AR61" i="4"/>
  <c r="AT61" i="4"/>
  <c r="AU61" i="4"/>
  <c r="AW61" i="4"/>
  <c r="AX61" i="4"/>
  <c r="AE62" i="4"/>
  <c r="AF62" i="4"/>
  <c r="AH62" i="4"/>
  <c r="AI62" i="4"/>
  <c r="AK62" i="4"/>
  <c r="AL62" i="4"/>
  <c r="AN62" i="4"/>
  <c r="AO62" i="4"/>
  <c r="AQ62" i="4"/>
  <c r="AR62" i="4"/>
  <c r="AT62" i="4"/>
  <c r="AU62" i="4"/>
  <c r="AW62" i="4"/>
  <c r="AX62" i="4"/>
  <c r="AE63" i="4"/>
  <c r="AF63" i="4"/>
  <c r="AH63" i="4"/>
  <c r="AI63" i="4"/>
  <c r="AK63" i="4"/>
  <c r="AL63" i="4"/>
  <c r="AN63" i="4"/>
  <c r="AO63" i="4"/>
  <c r="AQ63" i="4"/>
  <c r="AR63" i="4"/>
  <c r="AT63" i="4"/>
  <c r="AU63" i="4"/>
  <c r="AW63" i="4"/>
  <c r="AX63" i="4"/>
  <c r="AE64" i="4"/>
  <c r="AF64" i="4"/>
  <c r="AH64" i="4"/>
  <c r="AI64" i="4"/>
  <c r="AK64" i="4"/>
  <c r="AL64" i="4"/>
  <c r="AN64" i="4"/>
  <c r="AO64" i="4"/>
  <c r="AQ64" i="4"/>
  <c r="AR64" i="4"/>
  <c r="AT64" i="4"/>
  <c r="AU64" i="4"/>
  <c r="AW64" i="4"/>
  <c r="AX64" i="4"/>
  <c r="AE65" i="4"/>
  <c r="AF65" i="4"/>
  <c r="AH65" i="4"/>
  <c r="AI65" i="4"/>
  <c r="AK65" i="4"/>
  <c r="AL65" i="4"/>
  <c r="AN65" i="4"/>
  <c r="AO65" i="4"/>
  <c r="AQ65" i="4"/>
  <c r="AR65" i="4"/>
  <c r="AT65" i="4"/>
  <c r="AU65" i="4"/>
  <c r="AW65" i="4"/>
  <c r="AX65" i="4"/>
  <c r="AE66" i="4"/>
  <c r="AF66" i="4"/>
  <c r="AH66" i="4"/>
  <c r="AI66" i="4"/>
  <c r="AK66" i="4"/>
  <c r="AL66" i="4"/>
  <c r="AN66" i="4"/>
  <c r="AO66" i="4"/>
  <c r="AQ66" i="4"/>
  <c r="AR66" i="4"/>
  <c r="AT66" i="4"/>
  <c r="AU66" i="4"/>
  <c r="AW66" i="4"/>
  <c r="AX66" i="4"/>
  <c r="AE67" i="4"/>
  <c r="AF67" i="4"/>
  <c r="AH67" i="4"/>
  <c r="AI67" i="4"/>
  <c r="AK67" i="4"/>
  <c r="AL67" i="4"/>
  <c r="AN67" i="4"/>
  <c r="AO67" i="4"/>
  <c r="AQ67" i="4"/>
  <c r="AR67" i="4"/>
  <c r="AT67" i="4"/>
  <c r="AU67" i="4"/>
  <c r="AW67" i="4"/>
  <c r="AX67" i="4"/>
  <c r="AE68" i="4"/>
  <c r="AF68" i="4"/>
  <c r="AH68" i="4"/>
  <c r="AI68" i="4"/>
  <c r="AK68" i="4"/>
  <c r="AL68" i="4"/>
  <c r="AN68" i="4"/>
  <c r="AO68" i="4"/>
  <c r="AQ68" i="4"/>
  <c r="AR68" i="4"/>
  <c r="AT68" i="4"/>
  <c r="AU68" i="4"/>
  <c r="AW68" i="4"/>
  <c r="AX68" i="4"/>
  <c r="AE70" i="4"/>
  <c r="AF70" i="4"/>
  <c r="AH70" i="4"/>
  <c r="AI70" i="4"/>
  <c r="AK70" i="4"/>
  <c r="AL70" i="4"/>
  <c r="AN70" i="4"/>
  <c r="AO70" i="4"/>
  <c r="AQ70" i="4"/>
  <c r="AR70" i="4"/>
  <c r="AT70" i="4"/>
  <c r="AU70" i="4"/>
  <c r="AW70" i="4"/>
  <c r="AX70" i="4"/>
  <c r="AE71" i="4"/>
  <c r="AF71" i="4"/>
  <c r="AH71" i="4"/>
  <c r="AI71" i="4"/>
  <c r="AK71" i="4"/>
  <c r="AL71" i="4"/>
  <c r="AN71" i="4"/>
  <c r="AO71" i="4"/>
  <c r="AQ71" i="4"/>
  <c r="AR71" i="4"/>
  <c r="AT71" i="4"/>
  <c r="AU71" i="4"/>
  <c r="AW71" i="4"/>
  <c r="AX71" i="4"/>
  <c r="AE72" i="4"/>
  <c r="AF72" i="4"/>
  <c r="AH72" i="4"/>
  <c r="AI72" i="4"/>
  <c r="AK72" i="4"/>
  <c r="AL72" i="4"/>
  <c r="AN72" i="4"/>
  <c r="AO72" i="4"/>
  <c r="AQ72" i="4"/>
  <c r="AR72" i="4"/>
  <c r="AT72" i="4"/>
  <c r="AU72" i="4"/>
  <c r="AW72" i="4"/>
  <c r="AX72" i="4"/>
  <c r="AE73" i="4"/>
  <c r="AF73" i="4"/>
  <c r="AH73" i="4"/>
  <c r="AI73" i="4"/>
  <c r="AK73" i="4"/>
  <c r="AL73" i="4"/>
  <c r="AN73" i="4"/>
  <c r="AO73" i="4"/>
  <c r="AQ73" i="4"/>
  <c r="AR73" i="4"/>
  <c r="AT73" i="4"/>
  <c r="AU73" i="4"/>
  <c r="AW73" i="4"/>
  <c r="AX73" i="4"/>
  <c r="AE74" i="4"/>
  <c r="AF74" i="4"/>
  <c r="AH74" i="4"/>
  <c r="AI74" i="4"/>
  <c r="AK74" i="4"/>
  <c r="AL74" i="4"/>
  <c r="AN74" i="4"/>
  <c r="AO74" i="4"/>
  <c r="AQ74" i="4"/>
  <c r="AR74" i="4"/>
  <c r="AT74" i="4"/>
  <c r="AU74" i="4"/>
  <c r="AW74" i="4"/>
  <c r="AX74" i="4"/>
  <c r="AE75" i="4"/>
  <c r="AF75" i="4"/>
  <c r="AH75" i="4"/>
  <c r="AI75" i="4"/>
  <c r="AK75" i="4"/>
  <c r="AL75" i="4"/>
  <c r="AN75" i="4"/>
  <c r="AO75" i="4"/>
  <c r="AQ75" i="4"/>
  <c r="AR75" i="4"/>
  <c r="AT75" i="4"/>
  <c r="AU75" i="4"/>
  <c r="AW75" i="4"/>
  <c r="AX75" i="4"/>
  <c r="AE78" i="4"/>
  <c r="AF78" i="4"/>
  <c r="AH78" i="4"/>
  <c r="AI78" i="4"/>
  <c r="AK78" i="4"/>
  <c r="AL78" i="4"/>
  <c r="AN78" i="4"/>
  <c r="AO78" i="4"/>
  <c r="AQ78" i="4"/>
  <c r="AR78" i="4"/>
  <c r="AT78" i="4"/>
  <c r="AU78" i="4"/>
  <c r="AW78" i="4"/>
  <c r="AX78" i="4"/>
  <c r="AE80" i="4"/>
  <c r="AF80" i="4"/>
  <c r="AH80" i="4"/>
  <c r="AI80" i="4"/>
  <c r="AK80" i="4"/>
  <c r="AL80" i="4"/>
  <c r="AN80" i="4"/>
  <c r="AO80" i="4"/>
  <c r="AQ80" i="4"/>
  <c r="AR80" i="4"/>
  <c r="AT80" i="4"/>
  <c r="AU80" i="4"/>
  <c r="AW80" i="4"/>
  <c r="AX80" i="4"/>
  <c r="AE81" i="4"/>
  <c r="AF81" i="4"/>
  <c r="AH81" i="4"/>
  <c r="AI81" i="4"/>
  <c r="AK81" i="4"/>
  <c r="AL81" i="4"/>
  <c r="AN81" i="4"/>
  <c r="AO81" i="4"/>
  <c r="AQ81" i="4"/>
  <c r="AR81" i="4"/>
  <c r="AT81" i="4"/>
  <c r="AU81" i="4"/>
  <c r="AW81" i="4"/>
  <c r="AX81" i="4"/>
  <c r="AE83" i="4"/>
  <c r="AF83" i="4"/>
  <c r="AH83" i="4"/>
  <c r="AI83" i="4"/>
  <c r="AK83" i="4"/>
  <c r="AL83" i="4"/>
  <c r="AN83" i="4"/>
  <c r="AO83" i="4"/>
  <c r="AQ83" i="4"/>
  <c r="AR83" i="4"/>
  <c r="AT83" i="4"/>
  <c r="AU83" i="4"/>
  <c r="AW83" i="4"/>
  <c r="AX83" i="4"/>
  <c r="AE84" i="4"/>
  <c r="AF84" i="4"/>
  <c r="AH84" i="4"/>
  <c r="AI84" i="4"/>
  <c r="AK84" i="4"/>
  <c r="AL84" i="4"/>
  <c r="AN84" i="4"/>
  <c r="AO84" i="4"/>
  <c r="AQ84" i="4"/>
  <c r="AR84" i="4"/>
  <c r="AT84" i="4"/>
  <c r="AU84" i="4"/>
  <c r="AW84" i="4"/>
  <c r="AX84" i="4"/>
  <c r="AE85" i="4"/>
  <c r="AF85" i="4"/>
  <c r="AH85" i="4"/>
  <c r="AI85" i="4"/>
  <c r="AK85" i="4"/>
  <c r="AL85" i="4"/>
  <c r="AN85" i="4"/>
  <c r="AO85" i="4"/>
  <c r="AQ85" i="4"/>
  <c r="AR85" i="4"/>
  <c r="AT85" i="4"/>
  <c r="AU85" i="4"/>
  <c r="AW85" i="4"/>
  <c r="AX85" i="4"/>
  <c r="AE86" i="4"/>
  <c r="AF86" i="4"/>
  <c r="AH86" i="4"/>
  <c r="AI86" i="4"/>
  <c r="AK86" i="4"/>
  <c r="AL86" i="4"/>
  <c r="AN86" i="4"/>
  <c r="AO86" i="4"/>
  <c r="AQ86" i="4"/>
  <c r="AR86" i="4"/>
  <c r="AT86" i="4"/>
  <c r="AU86" i="4"/>
  <c r="AW86" i="4"/>
  <c r="AX86" i="4"/>
  <c r="AE87" i="4"/>
  <c r="AF87" i="4"/>
  <c r="AH87" i="4"/>
  <c r="AI87" i="4"/>
  <c r="AK87" i="4"/>
  <c r="AL87" i="4"/>
  <c r="AN87" i="4"/>
  <c r="AO87" i="4"/>
  <c r="AQ87" i="4"/>
  <c r="AR87" i="4"/>
  <c r="AT87" i="4"/>
  <c r="AU87" i="4"/>
  <c r="AW87" i="4"/>
  <c r="AX87" i="4"/>
  <c r="AE88" i="4"/>
  <c r="AF88" i="4"/>
  <c r="AH88" i="4"/>
  <c r="AI88" i="4"/>
  <c r="AK88" i="4"/>
  <c r="AL88" i="4"/>
  <c r="AN88" i="4"/>
  <c r="AO88" i="4"/>
  <c r="AQ88" i="4"/>
  <c r="AR88" i="4"/>
  <c r="AT88" i="4"/>
  <c r="AU88" i="4"/>
  <c r="AW88" i="4"/>
  <c r="AX88" i="4"/>
  <c r="AE89" i="4"/>
  <c r="AF89" i="4"/>
  <c r="AH89" i="4"/>
  <c r="AI89" i="4"/>
  <c r="AK89" i="4"/>
  <c r="AL89" i="4"/>
  <c r="AN89" i="4"/>
  <c r="AO89" i="4"/>
  <c r="AQ89" i="4"/>
  <c r="AR89" i="4"/>
  <c r="AT89" i="4"/>
  <c r="AU89" i="4"/>
  <c r="AW89" i="4"/>
  <c r="AX89" i="4"/>
  <c r="AE90" i="4"/>
  <c r="AF90" i="4"/>
  <c r="AH90" i="4"/>
  <c r="AI90" i="4"/>
  <c r="AK90" i="4"/>
  <c r="AL90" i="4"/>
  <c r="AN90" i="4"/>
  <c r="AO90" i="4"/>
  <c r="AQ90" i="4"/>
  <c r="AR90" i="4"/>
  <c r="AT90" i="4"/>
  <c r="AU90" i="4"/>
  <c r="AW90" i="4"/>
  <c r="AX90" i="4"/>
  <c r="AE91" i="4"/>
  <c r="AF91" i="4"/>
  <c r="AH91" i="4"/>
  <c r="AI91" i="4"/>
  <c r="AK91" i="4"/>
  <c r="AL91" i="4"/>
  <c r="AN91" i="4"/>
  <c r="AO91" i="4"/>
  <c r="AQ91" i="4"/>
  <c r="AR91" i="4"/>
  <c r="AT91" i="4"/>
  <c r="AU91" i="4"/>
  <c r="AW91" i="4"/>
  <c r="AX91" i="4"/>
  <c r="AE92" i="4"/>
  <c r="AF92" i="4"/>
  <c r="AH92" i="4"/>
  <c r="AI92" i="4"/>
  <c r="AK92" i="4"/>
  <c r="AL92" i="4"/>
  <c r="AN92" i="4"/>
  <c r="AO92" i="4"/>
  <c r="AQ92" i="4"/>
  <c r="AR92" i="4"/>
  <c r="AT92" i="4"/>
  <c r="AU92" i="4"/>
  <c r="AW92" i="4"/>
  <c r="AX92" i="4"/>
  <c r="AE95" i="4"/>
  <c r="AF95" i="4"/>
  <c r="AH95" i="4"/>
  <c r="AI95" i="4"/>
  <c r="AK95" i="4"/>
  <c r="AL95" i="4"/>
  <c r="AN95" i="4"/>
  <c r="AO95" i="4"/>
  <c r="AQ95" i="4"/>
  <c r="AR95" i="4"/>
  <c r="AT95" i="4"/>
  <c r="AU95" i="4"/>
  <c r="AW95" i="4"/>
  <c r="AX95" i="4"/>
  <c r="AE96" i="4"/>
  <c r="AF96" i="4"/>
  <c r="AH96" i="4"/>
  <c r="AI96" i="4"/>
  <c r="AK96" i="4"/>
  <c r="AL96" i="4"/>
  <c r="AN96" i="4"/>
  <c r="AO96" i="4"/>
  <c r="AQ96" i="4"/>
  <c r="AR96" i="4"/>
  <c r="AT96" i="4"/>
  <c r="AU96" i="4"/>
  <c r="AW96" i="4"/>
  <c r="AX96" i="4"/>
  <c r="AE98" i="4"/>
  <c r="AF98" i="4"/>
  <c r="AH98" i="4"/>
  <c r="AI98" i="4"/>
  <c r="AK98" i="4"/>
  <c r="AL98" i="4"/>
  <c r="AN98" i="4"/>
  <c r="AO98" i="4"/>
  <c r="AQ98" i="4"/>
  <c r="AR98" i="4"/>
  <c r="AT98" i="4"/>
  <c r="AU98" i="4"/>
  <c r="AW98" i="4"/>
  <c r="AX98" i="4"/>
  <c r="AE99" i="4"/>
  <c r="AF99" i="4"/>
  <c r="AH99" i="4"/>
  <c r="AI99" i="4"/>
  <c r="AK99" i="4"/>
  <c r="AL99" i="4"/>
  <c r="AN99" i="4"/>
  <c r="AO99" i="4"/>
  <c r="AQ99" i="4"/>
  <c r="AR99" i="4"/>
  <c r="AT99" i="4"/>
  <c r="AU99" i="4"/>
  <c r="AW99" i="4"/>
  <c r="AX99" i="4"/>
  <c r="AE100" i="4"/>
  <c r="AF100" i="4"/>
  <c r="AH100" i="4"/>
  <c r="AI100" i="4"/>
  <c r="AK100" i="4"/>
  <c r="AL100" i="4"/>
  <c r="AN100" i="4"/>
  <c r="AO100" i="4"/>
  <c r="AQ100" i="4"/>
  <c r="AR100" i="4"/>
  <c r="AT100" i="4"/>
  <c r="AU100" i="4"/>
  <c r="AW100" i="4"/>
  <c r="AX100" i="4"/>
  <c r="AE101" i="4"/>
  <c r="AF101" i="4"/>
  <c r="AH101" i="4"/>
  <c r="AI101" i="4"/>
  <c r="AK101" i="4"/>
  <c r="AL101" i="4"/>
  <c r="AN101" i="4"/>
  <c r="AO101" i="4"/>
  <c r="AQ101" i="4"/>
  <c r="AR101" i="4"/>
  <c r="AT101" i="4"/>
  <c r="AU101" i="4"/>
  <c r="AW101" i="4"/>
  <c r="AX101" i="4"/>
  <c r="AE102" i="4"/>
  <c r="AF102" i="4"/>
  <c r="AH102" i="4"/>
  <c r="AI102" i="4"/>
  <c r="AK102" i="4"/>
  <c r="AL102" i="4"/>
  <c r="AN102" i="4"/>
  <c r="AO102" i="4"/>
  <c r="AQ102" i="4"/>
  <c r="AR102" i="4"/>
  <c r="AT102" i="4"/>
  <c r="AU102" i="4"/>
  <c r="AW102" i="4"/>
  <c r="AX102" i="4"/>
  <c r="AE103" i="4"/>
  <c r="AF103" i="4"/>
  <c r="AH103" i="4"/>
  <c r="AI103" i="4"/>
  <c r="AK103" i="4"/>
  <c r="AL103" i="4"/>
  <c r="AN103" i="4"/>
  <c r="AO103" i="4"/>
  <c r="AQ103" i="4"/>
  <c r="AR103" i="4"/>
  <c r="AT103" i="4"/>
  <c r="AU103" i="4"/>
  <c r="AW103" i="4"/>
  <c r="AX103" i="4"/>
  <c r="AE104" i="4"/>
  <c r="AF104" i="4"/>
  <c r="AH104" i="4"/>
  <c r="AI104" i="4"/>
  <c r="AK104" i="4"/>
  <c r="AL104" i="4"/>
  <c r="AN104" i="4"/>
  <c r="AO104" i="4"/>
  <c r="AQ104" i="4"/>
  <c r="AR104" i="4"/>
  <c r="AT104" i="4"/>
  <c r="AU104" i="4"/>
  <c r="AW104" i="4"/>
  <c r="AX104" i="4"/>
  <c r="AE105" i="4"/>
  <c r="AF105" i="4"/>
  <c r="AH105" i="4"/>
  <c r="AI105" i="4"/>
  <c r="AK105" i="4"/>
  <c r="AL105" i="4"/>
  <c r="AN105" i="4"/>
  <c r="AO105" i="4"/>
  <c r="AQ105" i="4"/>
  <c r="AR105" i="4"/>
  <c r="AT105" i="4"/>
  <c r="AU105" i="4"/>
  <c r="AW105" i="4"/>
  <c r="AX105" i="4"/>
  <c r="AE106" i="4"/>
  <c r="AF106" i="4"/>
  <c r="AH106" i="4"/>
  <c r="AI106" i="4"/>
  <c r="AK106" i="4"/>
  <c r="AL106" i="4"/>
  <c r="AN106" i="4"/>
  <c r="AO106" i="4"/>
  <c r="AQ106" i="4"/>
  <c r="AR106" i="4"/>
  <c r="AT106" i="4"/>
  <c r="AU106" i="4"/>
  <c r="AW106" i="4"/>
  <c r="AX106" i="4"/>
  <c r="AE107" i="4"/>
  <c r="AF107" i="4"/>
  <c r="AH107" i="4"/>
  <c r="AI107" i="4"/>
  <c r="AK107" i="4"/>
  <c r="AL107" i="4"/>
  <c r="AN107" i="4"/>
  <c r="AO107" i="4"/>
  <c r="AQ107" i="4"/>
  <c r="AR107" i="4"/>
  <c r="AT107" i="4"/>
  <c r="AU107" i="4"/>
  <c r="AW107" i="4"/>
  <c r="AX107" i="4"/>
  <c r="AE109" i="4"/>
  <c r="AF109" i="4"/>
  <c r="AH109" i="4"/>
  <c r="AI109" i="4"/>
  <c r="AK109" i="4"/>
  <c r="AL109" i="4"/>
  <c r="AN109" i="4"/>
  <c r="AO109" i="4"/>
  <c r="AQ109" i="4"/>
  <c r="AR109" i="4"/>
  <c r="AT109" i="4"/>
  <c r="AU109" i="4"/>
  <c r="AW109" i="4"/>
  <c r="AX109" i="4"/>
  <c r="AE110" i="4"/>
  <c r="AF110" i="4"/>
  <c r="AH110" i="4"/>
  <c r="AI110" i="4"/>
  <c r="AK110" i="4"/>
  <c r="AL110" i="4"/>
  <c r="AN110" i="4"/>
  <c r="AO110" i="4"/>
  <c r="AQ110" i="4"/>
  <c r="AR110" i="4"/>
  <c r="AT110" i="4"/>
  <c r="AU110" i="4"/>
  <c r="AW110" i="4"/>
  <c r="AX110" i="4"/>
  <c r="AE112" i="4"/>
  <c r="AF112" i="4"/>
  <c r="AH112" i="4"/>
  <c r="AI112" i="4"/>
  <c r="AK112" i="4"/>
  <c r="AL112" i="4"/>
  <c r="AN112" i="4"/>
  <c r="AO112" i="4"/>
  <c r="AQ112" i="4"/>
  <c r="AR112" i="4"/>
  <c r="AT112" i="4"/>
  <c r="AU112" i="4"/>
  <c r="AW112" i="4"/>
  <c r="AX112" i="4"/>
  <c r="AE113" i="4"/>
  <c r="AF113" i="4"/>
  <c r="AH113" i="4"/>
  <c r="AI113" i="4"/>
  <c r="AK113" i="4"/>
  <c r="AL113" i="4"/>
  <c r="AN113" i="4"/>
  <c r="AO113" i="4"/>
  <c r="AQ113" i="4"/>
  <c r="AR113" i="4"/>
  <c r="AT113" i="4"/>
  <c r="AU113" i="4"/>
  <c r="AW113" i="4"/>
  <c r="AX113" i="4"/>
  <c r="AE114" i="4"/>
  <c r="AF114" i="4"/>
  <c r="AH114" i="4"/>
  <c r="AI114" i="4"/>
  <c r="AK114" i="4"/>
  <c r="AL114" i="4"/>
  <c r="AN114" i="4"/>
  <c r="AO114" i="4"/>
  <c r="AQ114" i="4"/>
  <c r="AR114" i="4"/>
  <c r="AT114" i="4"/>
  <c r="AU114" i="4"/>
  <c r="AW114" i="4"/>
  <c r="AX114" i="4"/>
  <c r="AE115" i="4"/>
  <c r="AF115" i="4"/>
  <c r="AH115" i="4"/>
  <c r="AI115" i="4"/>
  <c r="AK115" i="4"/>
  <c r="AL115" i="4"/>
  <c r="AN115" i="4"/>
  <c r="AO115" i="4"/>
  <c r="AQ115" i="4"/>
  <c r="AR115" i="4"/>
  <c r="AT115" i="4"/>
  <c r="AU115" i="4"/>
  <c r="AW115" i="4"/>
  <c r="AX115" i="4"/>
  <c r="AE116" i="4"/>
  <c r="AF116" i="4"/>
  <c r="AH116" i="4"/>
  <c r="AI116" i="4"/>
  <c r="AK116" i="4"/>
  <c r="AL116" i="4"/>
  <c r="AN116" i="4"/>
  <c r="AO116" i="4"/>
  <c r="AQ116" i="4"/>
  <c r="AR116" i="4"/>
  <c r="AT116" i="4"/>
  <c r="AU116" i="4"/>
  <c r="AW116" i="4"/>
  <c r="AX116" i="4"/>
  <c r="AE117" i="4"/>
  <c r="AF117" i="4"/>
  <c r="AH117" i="4"/>
  <c r="AI117" i="4"/>
  <c r="AK117" i="4"/>
  <c r="AL117" i="4"/>
  <c r="AN117" i="4"/>
  <c r="AO117" i="4"/>
  <c r="AQ117" i="4"/>
  <c r="AR117" i="4"/>
  <c r="AT117" i="4"/>
  <c r="AU117" i="4"/>
  <c r="AW117" i="4"/>
  <c r="AX117" i="4"/>
  <c r="AE118" i="4"/>
  <c r="AF118" i="4"/>
  <c r="AH118" i="4"/>
  <c r="AI118" i="4"/>
  <c r="AK118" i="4"/>
  <c r="AL118" i="4"/>
  <c r="AN118" i="4"/>
  <c r="AO118" i="4"/>
  <c r="AQ118" i="4"/>
  <c r="AR118" i="4"/>
  <c r="AT118" i="4"/>
  <c r="AU118" i="4"/>
  <c r="AW118" i="4"/>
  <c r="AX118" i="4"/>
  <c r="AE119" i="4"/>
  <c r="AF119" i="4"/>
  <c r="AH119" i="4"/>
  <c r="AI119" i="4"/>
  <c r="AK119" i="4"/>
  <c r="AL119" i="4"/>
  <c r="AN119" i="4"/>
  <c r="AO119" i="4"/>
  <c r="AQ119" i="4"/>
  <c r="AR119" i="4"/>
  <c r="AT119" i="4"/>
  <c r="AU119" i="4"/>
  <c r="AW119" i="4"/>
  <c r="AX119" i="4"/>
  <c r="AE120" i="4"/>
  <c r="AF120" i="4"/>
  <c r="AH120" i="4"/>
  <c r="AI120" i="4"/>
  <c r="AK120" i="4"/>
  <c r="AL120" i="4"/>
  <c r="AN120" i="4"/>
  <c r="AO120" i="4"/>
  <c r="AQ120" i="4"/>
  <c r="AR120" i="4"/>
  <c r="AT120" i="4"/>
  <c r="AU120" i="4"/>
  <c r="AW120" i="4"/>
  <c r="AX120" i="4"/>
  <c r="AE121" i="4"/>
  <c r="AF121" i="4"/>
  <c r="AH121" i="4"/>
  <c r="AI121" i="4"/>
  <c r="AK121" i="4"/>
  <c r="AL121" i="4"/>
  <c r="AN121" i="4"/>
  <c r="AO121" i="4"/>
  <c r="AQ121" i="4"/>
  <c r="AR121" i="4"/>
  <c r="AT121" i="4"/>
  <c r="AU121" i="4"/>
  <c r="AW121" i="4"/>
  <c r="AX121" i="4"/>
  <c r="AE122" i="4"/>
  <c r="AF122" i="4"/>
  <c r="AH122" i="4"/>
  <c r="AI122" i="4"/>
  <c r="AK122" i="4"/>
  <c r="AL122" i="4"/>
  <c r="AN122" i="4"/>
  <c r="AO122" i="4"/>
  <c r="AQ122" i="4"/>
  <c r="AR122" i="4"/>
  <c r="AT122" i="4"/>
  <c r="AU122" i="4"/>
  <c r="AW122" i="4"/>
  <c r="AX122" i="4"/>
  <c r="AE123" i="4"/>
  <c r="AF123" i="4"/>
  <c r="AH123" i="4"/>
  <c r="AI123" i="4"/>
  <c r="AK123" i="4"/>
  <c r="AL123" i="4"/>
  <c r="AN123" i="4"/>
  <c r="AO123" i="4"/>
  <c r="AQ123" i="4"/>
  <c r="AR123" i="4"/>
  <c r="AT123" i="4"/>
  <c r="AU123" i="4"/>
  <c r="AW123" i="4"/>
  <c r="AX123" i="4"/>
  <c r="AE124" i="4"/>
  <c r="AF124" i="4"/>
  <c r="AH124" i="4"/>
  <c r="AI124" i="4"/>
  <c r="AK124" i="4"/>
  <c r="AL124" i="4"/>
  <c r="AN124" i="4"/>
  <c r="AO124" i="4"/>
  <c r="AQ124" i="4"/>
  <c r="AR124" i="4"/>
  <c r="AT124" i="4"/>
  <c r="AU124" i="4"/>
  <c r="AW124" i="4"/>
  <c r="AX124" i="4"/>
  <c r="AE125" i="4"/>
  <c r="AF125" i="4"/>
  <c r="AH125" i="4"/>
  <c r="AI125" i="4"/>
  <c r="AK125" i="4"/>
  <c r="AL125" i="4"/>
  <c r="AN125" i="4"/>
  <c r="AO125" i="4"/>
  <c r="AQ125" i="4"/>
  <c r="AR125" i="4"/>
  <c r="AT125" i="4"/>
  <c r="AU125" i="4"/>
  <c r="AW125" i="4"/>
  <c r="AX125" i="4"/>
  <c r="AE126" i="4"/>
  <c r="AF126" i="4"/>
  <c r="AH126" i="4"/>
  <c r="AI126" i="4"/>
  <c r="AK126" i="4"/>
  <c r="AL126" i="4"/>
  <c r="AN126" i="4"/>
  <c r="AO126" i="4"/>
  <c r="AQ126" i="4"/>
  <c r="AR126" i="4"/>
  <c r="AT126" i="4"/>
  <c r="AU126" i="4"/>
  <c r="AW126" i="4"/>
  <c r="AX126" i="4"/>
  <c r="AE127" i="4"/>
  <c r="AF127" i="4"/>
  <c r="AH127" i="4"/>
  <c r="AI127" i="4"/>
  <c r="AK127" i="4"/>
  <c r="AL127" i="4"/>
  <c r="AN127" i="4"/>
  <c r="AO127" i="4"/>
  <c r="AQ127" i="4"/>
  <c r="AR127" i="4"/>
  <c r="AT127" i="4"/>
  <c r="AU127" i="4"/>
  <c r="AW127" i="4"/>
  <c r="AX127" i="4"/>
  <c r="AE128" i="4"/>
  <c r="AF128" i="4"/>
  <c r="AH128" i="4"/>
  <c r="AI128" i="4"/>
  <c r="AK128" i="4"/>
  <c r="AL128" i="4"/>
  <c r="AN128" i="4"/>
  <c r="AO128" i="4"/>
  <c r="AQ128" i="4"/>
  <c r="AR128" i="4"/>
  <c r="AT128" i="4"/>
  <c r="AU128" i="4"/>
  <c r="AW128" i="4"/>
  <c r="AX128" i="4"/>
  <c r="AE129" i="4"/>
  <c r="AF129" i="4"/>
  <c r="AH129" i="4"/>
  <c r="AI129" i="4"/>
  <c r="AK129" i="4"/>
  <c r="AL129" i="4"/>
  <c r="AN129" i="4"/>
  <c r="AO129" i="4"/>
  <c r="AQ129" i="4"/>
  <c r="AR129" i="4"/>
  <c r="AT129" i="4"/>
  <c r="AU129" i="4"/>
  <c r="AW129" i="4"/>
  <c r="AX129" i="4"/>
  <c r="AE130" i="4"/>
  <c r="AF130" i="4"/>
  <c r="AH130" i="4"/>
  <c r="AI130" i="4"/>
  <c r="AK130" i="4"/>
  <c r="AL130" i="4"/>
  <c r="AN130" i="4"/>
  <c r="AO130" i="4"/>
  <c r="AQ130" i="4"/>
  <c r="AR130" i="4"/>
  <c r="AT130" i="4"/>
  <c r="AU130" i="4"/>
  <c r="AW130" i="4"/>
  <c r="AX130" i="4"/>
  <c r="AE131" i="4"/>
  <c r="AF131" i="4"/>
  <c r="AH131" i="4"/>
  <c r="AI131" i="4"/>
  <c r="AK131" i="4"/>
  <c r="AL131" i="4"/>
  <c r="AN131" i="4"/>
  <c r="AO131" i="4"/>
  <c r="AQ131" i="4"/>
  <c r="AR131" i="4"/>
  <c r="AT131" i="4"/>
  <c r="AU131" i="4"/>
  <c r="AW131" i="4"/>
  <c r="AX131" i="4"/>
  <c r="AE132" i="4"/>
  <c r="AF132" i="4"/>
  <c r="AH132" i="4"/>
  <c r="AI132" i="4"/>
  <c r="AK132" i="4"/>
  <c r="AL132" i="4"/>
  <c r="AN132" i="4"/>
  <c r="AO132" i="4"/>
  <c r="AQ132" i="4"/>
  <c r="AR132" i="4"/>
  <c r="AT132" i="4"/>
  <c r="AU132" i="4"/>
  <c r="AW132" i="4"/>
  <c r="AX132" i="4"/>
  <c r="AE133" i="4"/>
  <c r="AF133" i="4"/>
  <c r="AH133" i="4"/>
  <c r="AI133" i="4"/>
  <c r="AK133" i="4"/>
  <c r="AL133" i="4"/>
  <c r="AN133" i="4"/>
  <c r="AO133" i="4"/>
  <c r="AQ133" i="4"/>
  <c r="AR133" i="4"/>
  <c r="AT133" i="4"/>
  <c r="AU133" i="4"/>
  <c r="AW133" i="4"/>
  <c r="AX133" i="4"/>
  <c r="AE134" i="4"/>
  <c r="AF134" i="4"/>
  <c r="AH134" i="4"/>
  <c r="AI134" i="4"/>
  <c r="AK134" i="4"/>
  <c r="AL134" i="4"/>
  <c r="AN134" i="4"/>
  <c r="AO134" i="4"/>
  <c r="AQ134" i="4"/>
  <c r="AR134" i="4"/>
  <c r="AT134" i="4"/>
  <c r="AU134" i="4"/>
  <c r="AW134" i="4"/>
  <c r="AX134" i="4"/>
  <c r="AE135" i="4"/>
  <c r="AF135" i="4"/>
  <c r="AH135" i="4"/>
  <c r="AI135" i="4"/>
  <c r="AK135" i="4"/>
  <c r="AL135" i="4"/>
  <c r="AN135" i="4"/>
  <c r="AO135" i="4"/>
  <c r="AQ135" i="4"/>
  <c r="AR135" i="4"/>
  <c r="AT135" i="4"/>
  <c r="AU135" i="4"/>
  <c r="AW135" i="4"/>
  <c r="AX135" i="4"/>
  <c r="AE138" i="4"/>
  <c r="AF138" i="4"/>
  <c r="AH138" i="4"/>
  <c r="AI138" i="4"/>
  <c r="AK138" i="4"/>
  <c r="AL138" i="4"/>
  <c r="AN138" i="4"/>
  <c r="AO138" i="4"/>
  <c r="AQ138" i="4"/>
  <c r="AR138" i="4"/>
  <c r="AT138" i="4"/>
  <c r="AU138" i="4"/>
  <c r="AW138" i="4"/>
  <c r="AX138" i="4"/>
  <c r="AE139" i="4"/>
  <c r="AF139" i="4"/>
  <c r="AH139" i="4"/>
  <c r="AI139" i="4"/>
  <c r="AK139" i="4"/>
  <c r="AL139" i="4"/>
  <c r="AN139" i="4"/>
  <c r="AO139" i="4"/>
  <c r="AQ139" i="4"/>
  <c r="AR139" i="4"/>
  <c r="AT139" i="4"/>
  <c r="AU139" i="4"/>
  <c r="AW139" i="4"/>
  <c r="AX139" i="4"/>
  <c r="AE140" i="4"/>
  <c r="AF140" i="4"/>
  <c r="AH140" i="4"/>
  <c r="AI140" i="4"/>
  <c r="AK140" i="4"/>
  <c r="AL140" i="4"/>
  <c r="AN140" i="4"/>
  <c r="AO140" i="4"/>
  <c r="AQ140" i="4"/>
  <c r="AR140" i="4"/>
  <c r="AT140" i="4"/>
  <c r="AU140" i="4"/>
  <c r="AW140" i="4"/>
  <c r="AX140" i="4"/>
  <c r="AE141" i="4"/>
  <c r="AF141" i="4"/>
  <c r="AH141" i="4"/>
  <c r="AI141" i="4"/>
  <c r="AK141" i="4"/>
  <c r="AL141" i="4"/>
  <c r="AN141" i="4"/>
  <c r="AO141" i="4"/>
  <c r="AQ141" i="4"/>
  <c r="AR141" i="4"/>
  <c r="AT141" i="4"/>
  <c r="AU141" i="4"/>
  <c r="AW141" i="4"/>
  <c r="AX141" i="4"/>
  <c r="AE142" i="4"/>
  <c r="AF142" i="4"/>
  <c r="AH142" i="4"/>
  <c r="AI142" i="4"/>
  <c r="AK142" i="4"/>
  <c r="AL142" i="4"/>
  <c r="AN142" i="4"/>
  <c r="AO142" i="4"/>
  <c r="AQ142" i="4"/>
  <c r="AR142" i="4"/>
  <c r="AT142" i="4"/>
  <c r="AU142" i="4"/>
  <c r="AW142" i="4"/>
  <c r="AX142" i="4"/>
  <c r="AE143" i="4"/>
  <c r="AF143" i="4"/>
  <c r="AH143" i="4"/>
  <c r="AI143" i="4"/>
  <c r="AK143" i="4"/>
  <c r="AL143" i="4"/>
  <c r="AN143" i="4"/>
  <c r="AO143" i="4"/>
  <c r="AQ143" i="4"/>
  <c r="AR143" i="4"/>
  <c r="AT143" i="4"/>
  <c r="AU143" i="4"/>
  <c r="AW143" i="4"/>
  <c r="AX143" i="4"/>
  <c r="AE145" i="4"/>
  <c r="AF145" i="4"/>
  <c r="AH145" i="4"/>
  <c r="AI145" i="4"/>
  <c r="AK145" i="4"/>
  <c r="AL145" i="4"/>
  <c r="AN145" i="4"/>
  <c r="AO145" i="4"/>
  <c r="AQ145" i="4"/>
  <c r="AR145" i="4"/>
  <c r="AT145" i="4"/>
  <c r="AU145" i="4"/>
  <c r="AW145" i="4"/>
  <c r="AX145" i="4"/>
  <c r="AE146" i="4"/>
  <c r="AF146" i="4"/>
  <c r="AH146" i="4"/>
  <c r="AI146" i="4"/>
  <c r="AK146" i="4"/>
  <c r="AL146" i="4"/>
  <c r="AN146" i="4"/>
  <c r="AO146" i="4"/>
  <c r="AQ146" i="4"/>
  <c r="AR146" i="4"/>
  <c r="AT146" i="4"/>
  <c r="AU146" i="4"/>
  <c r="AW146" i="4"/>
  <c r="AX146" i="4"/>
  <c r="AE147" i="4"/>
  <c r="AF147" i="4"/>
  <c r="AH147" i="4"/>
  <c r="AI147" i="4"/>
  <c r="AK147" i="4"/>
  <c r="AL147" i="4"/>
  <c r="AN147" i="4"/>
  <c r="AO147" i="4"/>
  <c r="AQ147" i="4"/>
  <c r="AR147" i="4"/>
  <c r="AT147" i="4"/>
  <c r="AU147" i="4"/>
  <c r="AW147" i="4"/>
  <c r="AX147" i="4"/>
  <c r="AE148" i="4"/>
  <c r="AF148" i="4"/>
  <c r="AH148" i="4"/>
  <c r="AI148" i="4"/>
  <c r="AK148" i="4"/>
  <c r="AL148" i="4"/>
  <c r="AN148" i="4"/>
  <c r="AO148" i="4"/>
  <c r="AQ148" i="4"/>
  <c r="AR148" i="4"/>
  <c r="AT148" i="4"/>
  <c r="AU148" i="4"/>
  <c r="AW148" i="4"/>
  <c r="AX148" i="4"/>
  <c r="AE149" i="4"/>
  <c r="AF149" i="4"/>
  <c r="AH149" i="4"/>
  <c r="AI149" i="4"/>
  <c r="AK149" i="4"/>
  <c r="AL149" i="4"/>
  <c r="AN149" i="4"/>
  <c r="AO149" i="4"/>
  <c r="AQ149" i="4"/>
  <c r="AR149" i="4"/>
  <c r="AT149" i="4"/>
  <c r="AU149" i="4"/>
  <c r="AW149" i="4"/>
  <c r="AX149" i="4"/>
  <c r="AE150" i="4"/>
  <c r="AF150" i="4"/>
  <c r="AH150" i="4"/>
  <c r="AI150" i="4"/>
  <c r="AK150" i="4"/>
  <c r="AL150" i="4"/>
  <c r="AN150" i="4"/>
  <c r="AO150" i="4"/>
  <c r="AQ150" i="4"/>
  <c r="AR150" i="4"/>
  <c r="AT150" i="4"/>
  <c r="AU150" i="4"/>
  <c r="AW150" i="4"/>
  <c r="AX150" i="4"/>
  <c r="AE151" i="4"/>
  <c r="AF151" i="4"/>
  <c r="AH151" i="4"/>
  <c r="AI151" i="4"/>
  <c r="AK151" i="4"/>
  <c r="AL151" i="4"/>
  <c r="AN151" i="4"/>
  <c r="AO151" i="4"/>
  <c r="AQ151" i="4"/>
  <c r="AR151" i="4"/>
  <c r="AT151" i="4"/>
  <c r="AU151" i="4"/>
  <c r="AW151" i="4"/>
  <c r="AX151" i="4"/>
  <c r="AE152" i="4"/>
  <c r="AF152" i="4"/>
  <c r="AH152" i="4"/>
  <c r="AI152" i="4"/>
  <c r="AK152" i="4"/>
  <c r="AL152" i="4"/>
  <c r="AN152" i="4"/>
  <c r="AO152" i="4"/>
  <c r="AQ152" i="4"/>
  <c r="AR152" i="4"/>
  <c r="AT152" i="4"/>
  <c r="AU152" i="4"/>
  <c r="AW152" i="4"/>
  <c r="AX152" i="4"/>
  <c r="AE153" i="4"/>
  <c r="AF153" i="4"/>
  <c r="AH153" i="4"/>
  <c r="AI153" i="4"/>
  <c r="AK153" i="4"/>
  <c r="AL153" i="4"/>
  <c r="AN153" i="4"/>
  <c r="AO153" i="4"/>
  <c r="AQ153" i="4"/>
  <c r="AR153" i="4"/>
  <c r="AT153" i="4"/>
  <c r="AU153" i="4"/>
  <c r="AW153" i="4"/>
  <c r="AX153" i="4"/>
  <c r="AE155" i="4"/>
  <c r="AF155" i="4"/>
  <c r="AH155" i="4"/>
  <c r="AI155" i="4"/>
  <c r="AK155" i="4"/>
  <c r="AL155" i="4"/>
  <c r="AN155" i="4"/>
  <c r="AO155" i="4"/>
  <c r="AQ155" i="4"/>
  <c r="AR155" i="4"/>
  <c r="AT155" i="4"/>
  <c r="AU155" i="4"/>
  <c r="AW155" i="4"/>
  <c r="AX155" i="4"/>
  <c r="AE156" i="4"/>
  <c r="AF156" i="4"/>
  <c r="AH156" i="4"/>
  <c r="AI156" i="4"/>
  <c r="AK156" i="4"/>
  <c r="AL156" i="4"/>
  <c r="AN156" i="4"/>
  <c r="AO156" i="4"/>
  <c r="AQ156" i="4"/>
  <c r="AR156" i="4"/>
  <c r="AT156" i="4"/>
  <c r="AU156" i="4"/>
  <c r="AW156" i="4"/>
  <c r="AX156" i="4"/>
  <c r="AE157" i="4"/>
  <c r="AF157" i="4"/>
  <c r="AH157" i="4"/>
  <c r="AI157" i="4"/>
  <c r="AK157" i="4"/>
  <c r="AL157" i="4"/>
  <c r="AN157" i="4"/>
  <c r="AO157" i="4"/>
  <c r="AQ157" i="4"/>
  <c r="AR157" i="4"/>
  <c r="AT157" i="4"/>
  <c r="AU157" i="4"/>
  <c r="AW157" i="4"/>
  <c r="AX157" i="4"/>
  <c r="AE158" i="4"/>
  <c r="AF158" i="4"/>
  <c r="AH158" i="4"/>
  <c r="AI158" i="4"/>
  <c r="AK158" i="4"/>
  <c r="AL158" i="4"/>
  <c r="AN158" i="4"/>
  <c r="AO158" i="4"/>
  <c r="AQ158" i="4"/>
  <c r="AR158" i="4"/>
  <c r="AT158" i="4"/>
  <c r="AU158" i="4"/>
  <c r="AW158" i="4"/>
  <c r="AX158" i="4"/>
  <c r="AE159" i="4"/>
  <c r="AF159" i="4"/>
  <c r="AH159" i="4"/>
  <c r="AI159" i="4"/>
  <c r="AK159" i="4"/>
  <c r="AL159" i="4"/>
  <c r="AN159" i="4"/>
  <c r="AO159" i="4"/>
  <c r="AQ159" i="4"/>
  <c r="AR159" i="4"/>
  <c r="AT159" i="4"/>
  <c r="AU159" i="4"/>
  <c r="AW159" i="4"/>
  <c r="AX159" i="4"/>
  <c r="AE160" i="4"/>
  <c r="AF160" i="4"/>
  <c r="AH160" i="4"/>
  <c r="AI160" i="4"/>
  <c r="AK160" i="4"/>
  <c r="AL160" i="4"/>
  <c r="AN160" i="4"/>
  <c r="AO160" i="4"/>
  <c r="AQ160" i="4"/>
  <c r="AR160" i="4"/>
  <c r="AT160" i="4"/>
  <c r="AU160" i="4"/>
  <c r="AW160" i="4"/>
  <c r="AX160" i="4"/>
  <c r="AE161" i="4"/>
  <c r="AF161" i="4"/>
  <c r="AH161" i="4"/>
  <c r="AI161" i="4"/>
  <c r="AK161" i="4"/>
  <c r="AL161" i="4"/>
  <c r="AN161" i="4"/>
  <c r="AO161" i="4"/>
  <c r="AQ161" i="4"/>
  <c r="AR161" i="4"/>
  <c r="AT161" i="4"/>
  <c r="AU161" i="4"/>
  <c r="AW161" i="4"/>
  <c r="AX161" i="4"/>
  <c r="AE162" i="4"/>
  <c r="AF162" i="4"/>
  <c r="AH162" i="4"/>
  <c r="AI162" i="4"/>
  <c r="AK162" i="4"/>
  <c r="AL162" i="4"/>
  <c r="AN162" i="4"/>
  <c r="AO162" i="4"/>
  <c r="AQ162" i="4"/>
  <c r="AR162" i="4"/>
  <c r="AT162" i="4"/>
  <c r="AU162" i="4"/>
  <c r="AW162" i="4"/>
  <c r="AX162" i="4"/>
  <c r="AE163" i="4"/>
  <c r="AF163" i="4"/>
  <c r="AH163" i="4"/>
  <c r="AI163" i="4"/>
  <c r="AK163" i="4"/>
  <c r="AL163" i="4"/>
  <c r="AN163" i="4"/>
  <c r="AO163" i="4"/>
  <c r="AQ163" i="4"/>
  <c r="AR163" i="4"/>
  <c r="AT163" i="4"/>
  <c r="AU163" i="4"/>
  <c r="AW163" i="4"/>
  <c r="AX163" i="4"/>
  <c r="AE164" i="4"/>
  <c r="AF164" i="4"/>
  <c r="AH164" i="4"/>
  <c r="AI164" i="4"/>
  <c r="AK164" i="4"/>
  <c r="AL164" i="4"/>
  <c r="AN164" i="4"/>
  <c r="AO164" i="4"/>
  <c r="AQ164" i="4"/>
  <c r="AR164" i="4"/>
  <c r="AT164" i="4"/>
  <c r="AU164" i="4"/>
  <c r="AW164" i="4"/>
  <c r="AX164" i="4"/>
  <c r="AE165" i="4"/>
  <c r="AF165" i="4"/>
  <c r="AH165" i="4"/>
  <c r="AI165" i="4"/>
  <c r="AK165" i="4"/>
  <c r="AL165" i="4"/>
  <c r="AN165" i="4"/>
  <c r="AO165" i="4"/>
  <c r="AQ165" i="4"/>
  <c r="AR165" i="4"/>
  <c r="AT165" i="4"/>
  <c r="AU165" i="4"/>
  <c r="AW165" i="4"/>
  <c r="AX165" i="4"/>
  <c r="AE166" i="4"/>
  <c r="AF166" i="4"/>
  <c r="AH166" i="4"/>
  <c r="AI166" i="4"/>
  <c r="AK166" i="4"/>
  <c r="AL166" i="4"/>
  <c r="AN166" i="4"/>
  <c r="AO166" i="4"/>
  <c r="AQ166" i="4"/>
  <c r="AR166" i="4"/>
  <c r="AT166" i="4"/>
  <c r="AU166" i="4"/>
  <c r="AW166" i="4"/>
  <c r="AX166" i="4"/>
  <c r="AE167" i="4"/>
  <c r="AF167" i="4"/>
  <c r="AH167" i="4"/>
  <c r="AI167" i="4"/>
  <c r="AK167" i="4"/>
  <c r="AL167" i="4"/>
  <c r="AN167" i="4"/>
  <c r="AO167" i="4"/>
  <c r="AQ167" i="4"/>
  <c r="AR167" i="4"/>
  <c r="AT167" i="4"/>
  <c r="AU167" i="4"/>
  <c r="AW167" i="4"/>
  <c r="AX167" i="4"/>
  <c r="AE168" i="4"/>
  <c r="AF168" i="4"/>
  <c r="AH168" i="4"/>
  <c r="AI168" i="4"/>
  <c r="AK168" i="4"/>
  <c r="AL168" i="4"/>
  <c r="AN168" i="4"/>
  <c r="AO168" i="4"/>
  <c r="AQ168" i="4"/>
  <c r="AR168" i="4"/>
  <c r="AT168" i="4"/>
  <c r="AU168" i="4"/>
  <c r="AW168" i="4"/>
  <c r="AX168" i="4"/>
  <c r="AE169" i="4"/>
  <c r="AF169" i="4"/>
  <c r="AH169" i="4"/>
  <c r="AI169" i="4"/>
  <c r="AK169" i="4"/>
  <c r="AL169" i="4"/>
  <c r="AN169" i="4"/>
  <c r="AO169" i="4"/>
  <c r="AQ169" i="4"/>
  <c r="AR169" i="4"/>
  <c r="AT169" i="4"/>
  <c r="AU169" i="4"/>
  <c r="AW169" i="4"/>
  <c r="AX169" i="4"/>
  <c r="AE170" i="4"/>
  <c r="AF170" i="4"/>
  <c r="AH170" i="4"/>
  <c r="AI170" i="4"/>
  <c r="AK170" i="4"/>
  <c r="AL170" i="4"/>
  <c r="AN170" i="4"/>
  <c r="AO170" i="4"/>
  <c r="AQ170" i="4"/>
  <c r="AR170" i="4"/>
  <c r="AT170" i="4"/>
  <c r="AU170" i="4"/>
  <c r="AW170" i="4"/>
  <c r="AX170" i="4"/>
  <c r="AE171" i="4"/>
  <c r="AF171" i="4"/>
  <c r="AH171" i="4"/>
  <c r="AI171" i="4"/>
  <c r="AK171" i="4"/>
  <c r="AL171" i="4"/>
  <c r="AN171" i="4"/>
  <c r="AO171" i="4"/>
  <c r="AQ171" i="4"/>
  <c r="AR171" i="4"/>
  <c r="AT171" i="4"/>
  <c r="AU171" i="4"/>
  <c r="AW171" i="4"/>
  <c r="AX171" i="4"/>
  <c r="AE172" i="4"/>
  <c r="AF172" i="4"/>
  <c r="AH172" i="4"/>
  <c r="AI172" i="4"/>
  <c r="AK172" i="4"/>
  <c r="AL172" i="4"/>
  <c r="AN172" i="4"/>
  <c r="AO172" i="4"/>
  <c r="AQ172" i="4"/>
  <c r="AR172" i="4"/>
  <c r="AT172" i="4"/>
  <c r="AU172" i="4"/>
  <c r="AW172" i="4"/>
  <c r="AX172" i="4"/>
  <c r="AE173" i="4"/>
  <c r="AF173" i="4"/>
  <c r="AH173" i="4"/>
  <c r="AI173" i="4"/>
  <c r="AK173" i="4"/>
  <c r="AL173" i="4"/>
  <c r="AN173" i="4"/>
  <c r="AO173" i="4"/>
  <c r="AQ173" i="4"/>
  <c r="AR173" i="4"/>
  <c r="AT173" i="4"/>
  <c r="AU173" i="4"/>
  <c r="AW173" i="4"/>
  <c r="AX173" i="4"/>
  <c r="AE174" i="4"/>
  <c r="AF174" i="4"/>
  <c r="AH174" i="4"/>
  <c r="AI174" i="4"/>
  <c r="AK174" i="4"/>
  <c r="AL174" i="4"/>
  <c r="AN174" i="4"/>
  <c r="AO174" i="4"/>
  <c r="AQ174" i="4"/>
  <c r="AR174" i="4"/>
  <c r="AT174" i="4"/>
  <c r="AU174" i="4"/>
  <c r="AW174" i="4"/>
  <c r="AX174" i="4"/>
  <c r="AE175" i="4"/>
  <c r="AF175" i="4"/>
  <c r="AH175" i="4"/>
  <c r="AI175" i="4"/>
  <c r="AK175" i="4"/>
  <c r="AL175" i="4"/>
  <c r="AN175" i="4"/>
  <c r="AO175" i="4"/>
  <c r="AQ175" i="4"/>
  <c r="AR175" i="4"/>
  <c r="AT175" i="4"/>
  <c r="AU175" i="4"/>
  <c r="AW175" i="4"/>
  <c r="AX175" i="4"/>
  <c r="AE176" i="4"/>
  <c r="AF176" i="4"/>
  <c r="AH176" i="4"/>
  <c r="AI176" i="4"/>
  <c r="AK176" i="4"/>
  <c r="AL176" i="4"/>
  <c r="AN176" i="4"/>
  <c r="AO176" i="4"/>
  <c r="AQ176" i="4"/>
  <c r="AR176" i="4"/>
  <c r="AT176" i="4"/>
  <c r="AU176" i="4"/>
  <c r="AW176" i="4"/>
  <c r="AX176" i="4"/>
  <c r="AE177" i="4"/>
  <c r="AF177" i="4"/>
  <c r="AH177" i="4"/>
  <c r="AI177" i="4"/>
  <c r="AK177" i="4"/>
  <c r="AL177" i="4"/>
  <c r="AN177" i="4"/>
  <c r="AO177" i="4"/>
  <c r="AQ177" i="4"/>
  <c r="AR177" i="4"/>
  <c r="AT177" i="4"/>
  <c r="AU177" i="4"/>
  <c r="AW177" i="4"/>
  <c r="AX177" i="4"/>
  <c r="AE178" i="4"/>
  <c r="AF178" i="4"/>
  <c r="AH178" i="4"/>
  <c r="AI178" i="4"/>
  <c r="AK178" i="4"/>
  <c r="AL178" i="4"/>
  <c r="AN178" i="4"/>
  <c r="AO178" i="4"/>
  <c r="AQ178" i="4"/>
  <c r="AR178" i="4"/>
  <c r="AT178" i="4"/>
  <c r="AU178" i="4"/>
  <c r="AW178" i="4"/>
  <c r="AX178" i="4"/>
  <c r="AE179" i="4"/>
  <c r="AF179" i="4"/>
  <c r="AH179" i="4"/>
  <c r="AI179" i="4"/>
  <c r="AK179" i="4"/>
  <c r="AL179" i="4"/>
  <c r="AN179" i="4"/>
  <c r="AO179" i="4"/>
  <c r="AQ179" i="4"/>
  <c r="AR179" i="4"/>
  <c r="AT179" i="4"/>
  <c r="AU179" i="4"/>
  <c r="AW179" i="4"/>
  <c r="AX179" i="4"/>
  <c r="AE180" i="4"/>
  <c r="AF180" i="4"/>
  <c r="AH180" i="4"/>
  <c r="AI180" i="4"/>
  <c r="AK180" i="4"/>
  <c r="AL180" i="4"/>
  <c r="AN180" i="4"/>
  <c r="AO180" i="4"/>
  <c r="AQ180" i="4"/>
  <c r="AR180" i="4"/>
  <c r="AT180" i="4"/>
  <c r="AU180" i="4"/>
  <c r="AW180" i="4"/>
  <c r="AX180" i="4"/>
  <c r="AE181" i="4"/>
  <c r="AF181" i="4"/>
  <c r="AH181" i="4"/>
  <c r="AI181" i="4"/>
  <c r="AK181" i="4"/>
  <c r="AL181" i="4"/>
  <c r="AN181" i="4"/>
  <c r="AO181" i="4"/>
  <c r="AQ181" i="4"/>
  <c r="AR181" i="4"/>
  <c r="AT181" i="4"/>
  <c r="AU181" i="4"/>
  <c r="AW181" i="4"/>
  <c r="AX181" i="4"/>
  <c r="AE182" i="4"/>
  <c r="AF182" i="4"/>
  <c r="AH182" i="4"/>
  <c r="AI182" i="4"/>
  <c r="AK182" i="4"/>
  <c r="AL182" i="4"/>
  <c r="AN182" i="4"/>
  <c r="AO182" i="4"/>
  <c r="AQ182" i="4"/>
  <c r="AR182" i="4"/>
  <c r="AT182" i="4"/>
  <c r="AU182" i="4"/>
  <c r="AW182" i="4"/>
  <c r="AX182" i="4"/>
  <c r="AE183" i="4"/>
  <c r="AF183" i="4"/>
  <c r="AH183" i="4"/>
  <c r="AI183" i="4"/>
  <c r="AK183" i="4"/>
  <c r="AL183" i="4"/>
  <c r="AN183" i="4"/>
  <c r="AO183" i="4"/>
  <c r="AQ183" i="4"/>
  <c r="AR183" i="4"/>
  <c r="AT183" i="4"/>
  <c r="AU183" i="4"/>
  <c r="AW183" i="4"/>
  <c r="AX183" i="4"/>
  <c r="AE184" i="4"/>
  <c r="AF184" i="4"/>
  <c r="AH184" i="4"/>
  <c r="AI184" i="4"/>
  <c r="AK184" i="4"/>
  <c r="AL184" i="4"/>
  <c r="AN184" i="4"/>
  <c r="AO184" i="4"/>
  <c r="AQ184" i="4"/>
  <c r="AR184" i="4"/>
  <c r="AT184" i="4"/>
  <c r="AU184" i="4"/>
  <c r="AW184" i="4"/>
  <c r="AX184" i="4"/>
  <c r="AE185" i="4"/>
  <c r="AF185" i="4"/>
  <c r="AH185" i="4"/>
  <c r="AI185" i="4"/>
  <c r="AK185" i="4"/>
  <c r="AL185" i="4"/>
  <c r="AN185" i="4"/>
  <c r="AO185" i="4"/>
  <c r="AQ185" i="4"/>
  <c r="AR185" i="4"/>
  <c r="AT185" i="4"/>
  <c r="AU185" i="4"/>
  <c r="AW185" i="4"/>
  <c r="AX185" i="4"/>
  <c r="AE186" i="4"/>
  <c r="AF186" i="4"/>
  <c r="AH186" i="4"/>
  <c r="AI186" i="4"/>
  <c r="AK186" i="4"/>
  <c r="AL186" i="4"/>
  <c r="AN186" i="4"/>
  <c r="AO186" i="4"/>
  <c r="AQ186" i="4"/>
  <c r="AR186" i="4"/>
  <c r="AT186" i="4"/>
  <c r="AU186" i="4"/>
  <c r="AW186" i="4"/>
  <c r="AX186" i="4"/>
  <c r="AE187" i="4"/>
  <c r="AF187" i="4"/>
  <c r="AH187" i="4"/>
  <c r="AI187" i="4"/>
  <c r="AK187" i="4"/>
  <c r="AL187" i="4"/>
  <c r="AN187" i="4"/>
  <c r="AO187" i="4"/>
  <c r="AQ187" i="4"/>
  <c r="AR187" i="4"/>
  <c r="AT187" i="4"/>
  <c r="AU187" i="4"/>
  <c r="AW187" i="4"/>
  <c r="AX187" i="4"/>
  <c r="AE188" i="4"/>
  <c r="AF188" i="4"/>
  <c r="AH188" i="4"/>
  <c r="AI188" i="4"/>
  <c r="AK188" i="4"/>
  <c r="AL188" i="4"/>
  <c r="AN188" i="4"/>
  <c r="AO188" i="4"/>
  <c r="AQ188" i="4"/>
  <c r="AR188" i="4"/>
  <c r="AT188" i="4"/>
  <c r="AU188" i="4"/>
  <c r="AW188" i="4"/>
  <c r="AX188" i="4"/>
  <c r="AE189" i="4"/>
  <c r="AF189" i="4"/>
  <c r="AH189" i="4"/>
  <c r="AI189" i="4"/>
  <c r="AK189" i="4"/>
  <c r="AL189" i="4"/>
  <c r="AN189" i="4"/>
  <c r="AO189" i="4"/>
  <c r="AQ189" i="4"/>
  <c r="AR189" i="4"/>
  <c r="AT189" i="4"/>
  <c r="AU189" i="4"/>
  <c r="AW189" i="4"/>
  <c r="AX189" i="4"/>
  <c r="AE190" i="4"/>
  <c r="AF190" i="4"/>
  <c r="AH190" i="4"/>
  <c r="AI190" i="4"/>
  <c r="AK190" i="4"/>
  <c r="AL190" i="4"/>
  <c r="AN190" i="4"/>
  <c r="AO190" i="4"/>
  <c r="AQ190" i="4"/>
  <c r="AR190" i="4"/>
  <c r="AT190" i="4"/>
  <c r="AU190" i="4"/>
  <c r="AW190" i="4"/>
  <c r="AX190" i="4"/>
  <c r="AE191" i="4"/>
  <c r="AF191" i="4"/>
  <c r="AH191" i="4"/>
  <c r="AI191" i="4"/>
  <c r="AK191" i="4"/>
  <c r="AL191" i="4"/>
  <c r="AN191" i="4"/>
  <c r="AO191" i="4"/>
  <c r="AQ191" i="4"/>
  <c r="AR191" i="4"/>
  <c r="AT191" i="4"/>
  <c r="AU191" i="4"/>
  <c r="AW191" i="4"/>
  <c r="AX191" i="4"/>
  <c r="AE192" i="4"/>
  <c r="AF192" i="4"/>
  <c r="AH192" i="4"/>
  <c r="AI192" i="4"/>
  <c r="AK192" i="4"/>
  <c r="AL192" i="4"/>
  <c r="AN192" i="4"/>
  <c r="AO192" i="4"/>
  <c r="AQ192" i="4"/>
  <c r="AR192" i="4"/>
  <c r="AT192" i="4"/>
  <c r="AU192" i="4"/>
  <c r="AW192" i="4"/>
  <c r="AX192" i="4"/>
  <c r="AE193" i="4"/>
  <c r="AF193" i="4"/>
  <c r="AH193" i="4"/>
  <c r="AI193" i="4"/>
  <c r="AK193" i="4"/>
  <c r="AL193" i="4"/>
  <c r="AN193" i="4"/>
  <c r="AO193" i="4"/>
  <c r="AQ193" i="4"/>
  <c r="AR193" i="4"/>
  <c r="AT193" i="4"/>
  <c r="AU193" i="4"/>
  <c r="AW193" i="4"/>
  <c r="AX193" i="4"/>
  <c r="AE194" i="4"/>
  <c r="AF194" i="4"/>
  <c r="AH194" i="4"/>
  <c r="AI194" i="4"/>
  <c r="AK194" i="4"/>
  <c r="AL194" i="4"/>
  <c r="AN194" i="4"/>
  <c r="AO194" i="4"/>
  <c r="AQ194" i="4"/>
  <c r="AR194" i="4"/>
  <c r="AT194" i="4"/>
  <c r="AU194" i="4"/>
  <c r="AW194" i="4"/>
  <c r="AX194" i="4"/>
  <c r="AE195" i="4"/>
  <c r="AF195" i="4"/>
  <c r="AH195" i="4"/>
  <c r="AI195" i="4"/>
  <c r="AK195" i="4"/>
  <c r="AL195" i="4"/>
  <c r="AN195" i="4"/>
  <c r="AO195" i="4"/>
  <c r="AQ195" i="4"/>
  <c r="AR195" i="4"/>
  <c r="AT195" i="4"/>
  <c r="AU195" i="4"/>
  <c r="AW195" i="4"/>
  <c r="AX195" i="4"/>
  <c r="AE196" i="4"/>
  <c r="AF196" i="4"/>
  <c r="AH196" i="4"/>
  <c r="AI196" i="4"/>
  <c r="AK196" i="4"/>
  <c r="AL196" i="4"/>
  <c r="AN196" i="4"/>
  <c r="AO196" i="4"/>
  <c r="AQ196" i="4"/>
  <c r="AR196" i="4"/>
  <c r="AT196" i="4"/>
  <c r="AU196" i="4"/>
  <c r="AW196" i="4"/>
  <c r="AX196" i="4"/>
  <c r="AE197" i="4"/>
  <c r="AF197" i="4"/>
  <c r="AH197" i="4"/>
  <c r="AI197" i="4"/>
  <c r="AK197" i="4"/>
  <c r="AL197" i="4"/>
  <c r="AN197" i="4"/>
  <c r="AO197" i="4"/>
  <c r="AQ197" i="4"/>
  <c r="AR197" i="4"/>
  <c r="AT197" i="4"/>
  <c r="AU197" i="4"/>
  <c r="AW197" i="4"/>
  <c r="AX197" i="4"/>
  <c r="AE198" i="4"/>
  <c r="AF198" i="4"/>
  <c r="AH198" i="4"/>
  <c r="AI198" i="4"/>
  <c r="AK198" i="4"/>
  <c r="AL198" i="4"/>
  <c r="AN198" i="4"/>
  <c r="AO198" i="4"/>
  <c r="AQ198" i="4"/>
  <c r="AR198" i="4"/>
  <c r="AT198" i="4"/>
  <c r="AU198" i="4"/>
  <c r="AW198" i="4"/>
  <c r="AX198" i="4"/>
  <c r="AE199" i="4"/>
  <c r="AF199" i="4"/>
  <c r="AH199" i="4"/>
  <c r="AI199" i="4"/>
  <c r="AK199" i="4"/>
  <c r="AL199" i="4"/>
  <c r="AN199" i="4"/>
  <c r="AO199" i="4"/>
  <c r="AQ199" i="4"/>
  <c r="AR199" i="4"/>
  <c r="AT199" i="4"/>
  <c r="AU199" i="4"/>
  <c r="AW199" i="4"/>
  <c r="AX199" i="4"/>
  <c r="AE200" i="4"/>
  <c r="AF200" i="4"/>
  <c r="AH200" i="4"/>
  <c r="AI200" i="4"/>
  <c r="AK200" i="4"/>
  <c r="AL200" i="4"/>
  <c r="AN200" i="4"/>
  <c r="AO200" i="4"/>
  <c r="AQ200" i="4"/>
  <c r="AR200" i="4"/>
  <c r="AT200" i="4"/>
  <c r="AU200" i="4"/>
  <c r="AW200" i="4"/>
  <c r="AX200" i="4"/>
  <c r="AE201" i="4"/>
  <c r="AF201" i="4"/>
  <c r="AH201" i="4"/>
  <c r="AI201" i="4"/>
  <c r="AK201" i="4"/>
  <c r="AL201" i="4"/>
  <c r="AN201" i="4"/>
  <c r="AO201" i="4"/>
  <c r="AQ201" i="4"/>
  <c r="AR201" i="4"/>
  <c r="AT201" i="4"/>
  <c r="AU201" i="4"/>
  <c r="AW201" i="4"/>
  <c r="AX201" i="4"/>
  <c r="AE202" i="4"/>
  <c r="AF202" i="4"/>
  <c r="AH202" i="4"/>
  <c r="AI202" i="4"/>
  <c r="AK202" i="4"/>
  <c r="AL202" i="4"/>
  <c r="AN202" i="4"/>
  <c r="AO202" i="4"/>
  <c r="AQ202" i="4"/>
  <c r="AR202" i="4"/>
  <c r="AT202" i="4"/>
  <c r="AU202" i="4"/>
  <c r="AW202" i="4"/>
  <c r="AX202" i="4"/>
  <c r="AE203" i="4"/>
  <c r="AF203" i="4"/>
  <c r="AH203" i="4"/>
  <c r="AI203" i="4"/>
  <c r="AK203" i="4"/>
  <c r="AL203" i="4"/>
  <c r="AN203" i="4"/>
  <c r="AO203" i="4"/>
  <c r="AQ203" i="4"/>
  <c r="AR203" i="4"/>
  <c r="AT203" i="4"/>
  <c r="AU203" i="4"/>
  <c r="AW203" i="4"/>
  <c r="AX203" i="4"/>
  <c r="AE204" i="4"/>
  <c r="AF204" i="4"/>
  <c r="AH204" i="4"/>
  <c r="AI204" i="4"/>
  <c r="AK204" i="4"/>
  <c r="AL204" i="4"/>
  <c r="AN204" i="4"/>
  <c r="AO204" i="4"/>
  <c r="AQ204" i="4"/>
  <c r="AR204" i="4"/>
  <c r="AT204" i="4"/>
  <c r="AU204" i="4"/>
  <c r="AW204" i="4"/>
  <c r="AX204" i="4"/>
  <c r="AE205" i="4"/>
  <c r="AF205" i="4"/>
  <c r="AH205" i="4"/>
  <c r="AI205" i="4"/>
  <c r="AK205" i="4"/>
  <c r="AL205" i="4"/>
  <c r="AN205" i="4"/>
  <c r="AO205" i="4"/>
  <c r="AQ205" i="4"/>
  <c r="AR205" i="4"/>
  <c r="AT205" i="4"/>
  <c r="AU205" i="4"/>
  <c r="AW205" i="4"/>
  <c r="AX205" i="4"/>
  <c r="AE206" i="4"/>
  <c r="AF206" i="4"/>
  <c r="AH206" i="4"/>
  <c r="AI206" i="4"/>
  <c r="AK206" i="4"/>
  <c r="AL206" i="4"/>
  <c r="AN206" i="4"/>
  <c r="AO206" i="4"/>
  <c r="AQ206" i="4"/>
  <c r="AR206" i="4"/>
  <c r="AT206" i="4"/>
  <c r="AU206" i="4"/>
  <c r="AW206" i="4"/>
  <c r="AX206" i="4"/>
  <c r="AE208" i="4"/>
  <c r="AF208" i="4"/>
  <c r="AH208" i="4"/>
  <c r="AI208" i="4"/>
  <c r="AK208" i="4"/>
  <c r="AL208" i="4"/>
  <c r="AN208" i="4"/>
  <c r="AO208" i="4"/>
  <c r="AQ208" i="4"/>
  <c r="AR208" i="4"/>
  <c r="AT208" i="4"/>
  <c r="AU208" i="4"/>
  <c r="AW208" i="4"/>
  <c r="AX208" i="4"/>
  <c r="AE209" i="4"/>
  <c r="AF209" i="4"/>
  <c r="AH209" i="4"/>
  <c r="AI209" i="4"/>
  <c r="AK209" i="4"/>
  <c r="AL209" i="4"/>
  <c r="AN209" i="4"/>
  <c r="AO209" i="4"/>
  <c r="AQ209" i="4"/>
  <c r="AR209" i="4"/>
  <c r="AT209" i="4"/>
  <c r="AU209" i="4"/>
  <c r="AW209" i="4"/>
  <c r="AX209" i="4"/>
  <c r="AE210" i="4"/>
  <c r="AF210" i="4"/>
  <c r="AH210" i="4"/>
  <c r="AI210" i="4"/>
  <c r="AK210" i="4"/>
  <c r="AL210" i="4"/>
  <c r="AN210" i="4"/>
  <c r="AO210" i="4"/>
  <c r="AQ210" i="4"/>
  <c r="AR210" i="4"/>
  <c r="AT210" i="4"/>
  <c r="AU210" i="4"/>
  <c r="AW210" i="4"/>
  <c r="AX210" i="4"/>
  <c r="AE211" i="4"/>
  <c r="AF211" i="4"/>
  <c r="AH211" i="4"/>
  <c r="AI211" i="4"/>
  <c r="AK211" i="4"/>
  <c r="AL211" i="4"/>
  <c r="AN211" i="4"/>
  <c r="AO211" i="4"/>
  <c r="AQ211" i="4"/>
  <c r="AR211" i="4"/>
  <c r="AT211" i="4"/>
  <c r="AU211" i="4"/>
  <c r="AW211" i="4"/>
  <c r="AX211" i="4"/>
  <c r="AE213" i="4"/>
  <c r="AF213" i="4"/>
  <c r="AH213" i="4"/>
  <c r="AI213" i="4"/>
  <c r="AK213" i="4"/>
  <c r="AL213" i="4"/>
  <c r="AN213" i="4"/>
  <c r="AO213" i="4"/>
  <c r="AQ213" i="4"/>
  <c r="AR213" i="4"/>
  <c r="AT213" i="4"/>
  <c r="AU213" i="4"/>
  <c r="AW213" i="4"/>
  <c r="AX213" i="4"/>
  <c r="AE214" i="4"/>
  <c r="AF214" i="4"/>
  <c r="AH214" i="4"/>
  <c r="AI214" i="4"/>
  <c r="AK214" i="4"/>
  <c r="AL214" i="4"/>
  <c r="AN214" i="4"/>
  <c r="AO214" i="4"/>
  <c r="AQ214" i="4"/>
  <c r="AR214" i="4"/>
  <c r="AT214" i="4"/>
  <c r="AU214" i="4"/>
  <c r="AW214" i="4"/>
  <c r="AX214" i="4"/>
  <c r="AE215" i="4"/>
  <c r="AF215" i="4"/>
  <c r="AH215" i="4"/>
  <c r="AI215" i="4"/>
  <c r="AK215" i="4"/>
  <c r="AL215" i="4"/>
  <c r="AN215" i="4"/>
  <c r="AO215" i="4"/>
  <c r="AQ215" i="4"/>
  <c r="AR215" i="4"/>
  <c r="AT215" i="4"/>
  <c r="AU215" i="4"/>
  <c r="AW215" i="4"/>
  <c r="AX215" i="4"/>
  <c r="AE216" i="4"/>
  <c r="AF216" i="4"/>
  <c r="AH216" i="4"/>
  <c r="AI216" i="4"/>
  <c r="AK216" i="4"/>
  <c r="AL216" i="4"/>
  <c r="AN216" i="4"/>
  <c r="AO216" i="4"/>
  <c r="AQ216" i="4"/>
  <c r="AR216" i="4"/>
  <c r="AT216" i="4"/>
  <c r="AU216" i="4"/>
  <c r="AW216" i="4"/>
  <c r="AX216" i="4"/>
  <c r="AE217" i="4"/>
  <c r="AF217" i="4"/>
  <c r="AH217" i="4"/>
  <c r="AI217" i="4"/>
  <c r="AK217" i="4"/>
  <c r="AL217" i="4"/>
  <c r="AN217" i="4"/>
  <c r="AO217" i="4"/>
  <c r="AQ217" i="4"/>
  <c r="AR217" i="4"/>
  <c r="AT217" i="4"/>
  <c r="AU217" i="4"/>
  <c r="AW217" i="4"/>
  <c r="AX217" i="4"/>
  <c r="AE218" i="4"/>
  <c r="AF218" i="4"/>
  <c r="AH218" i="4"/>
  <c r="AI218" i="4"/>
  <c r="AK218" i="4"/>
  <c r="AL218" i="4"/>
  <c r="AN218" i="4"/>
  <c r="AO218" i="4"/>
  <c r="AQ218" i="4"/>
  <c r="AR218" i="4"/>
  <c r="AT218" i="4"/>
  <c r="AU218" i="4"/>
  <c r="AW218" i="4"/>
  <c r="AX218" i="4"/>
  <c r="AE219" i="4"/>
  <c r="AF219" i="4"/>
  <c r="AH219" i="4"/>
  <c r="AI219" i="4"/>
  <c r="AK219" i="4"/>
  <c r="AL219" i="4"/>
  <c r="AN219" i="4"/>
  <c r="AO219" i="4"/>
  <c r="AQ219" i="4"/>
  <c r="AR219" i="4"/>
  <c r="AT219" i="4"/>
  <c r="AU219" i="4"/>
  <c r="AW219" i="4"/>
  <c r="AX219" i="4"/>
  <c r="AE220" i="4"/>
  <c r="AF220" i="4"/>
  <c r="AH220" i="4"/>
  <c r="AI220" i="4"/>
  <c r="AK220" i="4"/>
  <c r="AL220" i="4"/>
  <c r="AN220" i="4"/>
  <c r="AO220" i="4"/>
  <c r="AQ220" i="4"/>
  <c r="AR220" i="4"/>
  <c r="AT220" i="4"/>
  <c r="AU220" i="4"/>
  <c r="AW220" i="4"/>
  <c r="AX220" i="4"/>
  <c r="AE221" i="4"/>
  <c r="AF221" i="4"/>
  <c r="AH221" i="4"/>
  <c r="AI221" i="4"/>
  <c r="AK221" i="4"/>
  <c r="AL221" i="4"/>
  <c r="AN221" i="4"/>
  <c r="AO221" i="4"/>
  <c r="AQ221" i="4"/>
  <c r="AR221" i="4"/>
  <c r="AT221" i="4"/>
  <c r="AU221" i="4"/>
  <c r="AW221" i="4"/>
  <c r="AX221" i="4"/>
  <c r="AE222" i="4"/>
  <c r="AF222" i="4"/>
  <c r="AH222" i="4"/>
  <c r="AI222" i="4"/>
  <c r="AK222" i="4"/>
  <c r="AL222" i="4"/>
  <c r="AN222" i="4"/>
  <c r="AO222" i="4"/>
  <c r="AQ222" i="4"/>
  <c r="AR222" i="4"/>
  <c r="AT222" i="4"/>
  <c r="AU222" i="4"/>
  <c r="AW222" i="4"/>
  <c r="AX222" i="4"/>
  <c r="AE223" i="4"/>
  <c r="AF223" i="4"/>
  <c r="AH223" i="4"/>
  <c r="AI223" i="4"/>
  <c r="AK223" i="4"/>
  <c r="AL223" i="4"/>
  <c r="AN223" i="4"/>
  <c r="AO223" i="4"/>
  <c r="AQ223" i="4"/>
  <c r="AR223" i="4"/>
  <c r="AT223" i="4"/>
  <c r="AU223" i="4"/>
  <c r="AW223" i="4"/>
  <c r="AX223" i="4"/>
  <c r="AE224" i="4"/>
  <c r="AF224" i="4"/>
  <c r="AH224" i="4"/>
  <c r="AI224" i="4"/>
  <c r="AK224" i="4"/>
  <c r="AL224" i="4"/>
  <c r="AN224" i="4"/>
  <c r="AO224" i="4"/>
  <c r="AQ224" i="4"/>
  <c r="AR224" i="4"/>
  <c r="AT224" i="4"/>
  <c r="AU224" i="4"/>
  <c r="AW224" i="4"/>
  <c r="AX224" i="4"/>
  <c r="AE225" i="4"/>
  <c r="AF225" i="4"/>
  <c r="AH225" i="4"/>
  <c r="AI225" i="4"/>
  <c r="AK225" i="4"/>
  <c r="AL225" i="4"/>
  <c r="AN225" i="4"/>
  <c r="AO225" i="4"/>
  <c r="AQ225" i="4"/>
  <c r="AR225" i="4"/>
  <c r="AT225" i="4"/>
  <c r="AU225" i="4"/>
  <c r="AW225" i="4"/>
  <c r="AX225" i="4"/>
  <c r="AE226" i="4"/>
  <c r="AF226" i="4"/>
  <c r="AH226" i="4"/>
  <c r="AI226" i="4"/>
  <c r="AK226" i="4"/>
  <c r="AL226" i="4"/>
  <c r="AN226" i="4"/>
  <c r="AO226" i="4"/>
  <c r="AQ226" i="4"/>
  <c r="AR226" i="4"/>
  <c r="AT226" i="4"/>
  <c r="AU226" i="4"/>
  <c r="AW226" i="4"/>
  <c r="AX226" i="4"/>
  <c r="AE227" i="4"/>
  <c r="AF227" i="4"/>
  <c r="AH227" i="4"/>
  <c r="AI227" i="4"/>
  <c r="AK227" i="4"/>
  <c r="AL227" i="4"/>
  <c r="AN227" i="4"/>
  <c r="AO227" i="4"/>
  <c r="AQ227" i="4"/>
  <c r="AR227" i="4"/>
  <c r="AT227" i="4"/>
  <c r="AU227" i="4"/>
  <c r="AW227" i="4"/>
  <c r="AX227" i="4"/>
  <c r="AE228" i="4"/>
  <c r="AF228" i="4"/>
  <c r="AH228" i="4"/>
  <c r="AI228" i="4"/>
  <c r="AK228" i="4"/>
  <c r="AL228" i="4"/>
  <c r="AN228" i="4"/>
  <c r="AO228" i="4"/>
  <c r="AQ228" i="4"/>
  <c r="AR228" i="4"/>
  <c r="AT228" i="4"/>
  <c r="AU228" i="4"/>
  <c r="AW228" i="4"/>
  <c r="AX228" i="4"/>
  <c r="AE229" i="4"/>
  <c r="AF229" i="4"/>
  <c r="AH229" i="4"/>
  <c r="AI229" i="4"/>
  <c r="AK229" i="4"/>
  <c r="AL229" i="4"/>
  <c r="AN229" i="4"/>
  <c r="AO229" i="4"/>
  <c r="AQ229" i="4"/>
  <c r="AR229" i="4"/>
  <c r="AT229" i="4"/>
  <c r="AU229" i="4"/>
  <c r="AW229" i="4"/>
  <c r="AX229" i="4"/>
  <c r="AE230" i="4"/>
  <c r="AF230" i="4"/>
  <c r="AH230" i="4"/>
  <c r="AI230" i="4"/>
  <c r="AK230" i="4"/>
  <c r="AL230" i="4"/>
  <c r="AN230" i="4"/>
  <c r="AO230" i="4"/>
  <c r="AQ230" i="4"/>
  <c r="AR230" i="4"/>
  <c r="AT230" i="4"/>
  <c r="AU230" i="4"/>
  <c r="AW230" i="4"/>
  <c r="AX230" i="4"/>
  <c r="AE231" i="4"/>
  <c r="AF231" i="4"/>
  <c r="AH231" i="4"/>
  <c r="AI231" i="4"/>
  <c r="AK231" i="4"/>
  <c r="AL231" i="4"/>
  <c r="AN231" i="4"/>
  <c r="AO231" i="4"/>
  <c r="AQ231" i="4"/>
  <c r="AR231" i="4"/>
  <c r="AT231" i="4"/>
  <c r="AU231" i="4"/>
  <c r="AW231" i="4"/>
  <c r="AX231" i="4"/>
  <c r="AE232" i="4"/>
  <c r="AF232" i="4"/>
  <c r="AH232" i="4"/>
  <c r="AI232" i="4"/>
  <c r="AK232" i="4"/>
  <c r="AL232" i="4"/>
  <c r="AN232" i="4"/>
  <c r="AO232" i="4"/>
  <c r="AQ232" i="4"/>
  <c r="AR232" i="4"/>
  <c r="AT232" i="4"/>
  <c r="AU232" i="4"/>
  <c r="AW232" i="4"/>
  <c r="AX232" i="4"/>
  <c r="AE233" i="4"/>
  <c r="AF233" i="4"/>
  <c r="AH233" i="4"/>
  <c r="AI233" i="4"/>
  <c r="AK233" i="4"/>
  <c r="AL233" i="4"/>
  <c r="AN233" i="4"/>
  <c r="AO233" i="4"/>
  <c r="AQ233" i="4"/>
  <c r="AR233" i="4"/>
  <c r="AT233" i="4"/>
  <c r="AU233" i="4"/>
  <c r="AW233" i="4"/>
  <c r="AX233" i="4"/>
  <c r="AE234" i="4"/>
  <c r="AF234" i="4"/>
  <c r="AH234" i="4"/>
  <c r="AI234" i="4"/>
  <c r="AK234" i="4"/>
  <c r="AL234" i="4"/>
  <c r="AN234" i="4"/>
  <c r="AO234" i="4"/>
  <c r="AQ234" i="4"/>
  <c r="AR234" i="4"/>
  <c r="AT234" i="4"/>
  <c r="AU234" i="4"/>
  <c r="AW234" i="4"/>
  <c r="AX234" i="4"/>
  <c r="AE235" i="4"/>
  <c r="AF235" i="4"/>
  <c r="AH235" i="4"/>
  <c r="AI235" i="4"/>
  <c r="AK235" i="4"/>
  <c r="AL235" i="4"/>
  <c r="AN235" i="4"/>
  <c r="AO235" i="4"/>
  <c r="AQ235" i="4"/>
  <c r="AR235" i="4"/>
  <c r="AT235" i="4"/>
  <c r="AU235" i="4"/>
  <c r="AW235" i="4"/>
  <c r="AX235" i="4"/>
  <c r="AE236" i="4"/>
  <c r="AF236" i="4"/>
  <c r="AH236" i="4"/>
  <c r="AI236" i="4"/>
  <c r="AK236" i="4"/>
  <c r="AL236" i="4"/>
  <c r="AN236" i="4"/>
  <c r="AO236" i="4"/>
  <c r="AQ236" i="4"/>
  <c r="AR236" i="4"/>
  <c r="AT236" i="4"/>
  <c r="AU236" i="4"/>
  <c r="AW236" i="4"/>
  <c r="AX236" i="4"/>
  <c r="AE237" i="4"/>
  <c r="AF237" i="4"/>
  <c r="AH237" i="4"/>
  <c r="AI237" i="4"/>
  <c r="AK237" i="4"/>
  <c r="AL237" i="4"/>
  <c r="AN237" i="4"/>
  <c r="AO237" i="4"/>
  <c r="AQ237" i="4"/>
  <c r="AR237" i="4"/>
  <c r="AT237" i="4"/>
  <c r="AU237" i="4"/>
  <c r="AW237" i="4"/>
  <c r="AX237" i="4"/>
  <c r="AE238" i="4"/>
  <c r="AF238" i="4"/>
  <c r="AH238" i="4"/>
  <c r="AI238" i="4"/>
  <c r="AK238" i="4"/>
  <c r="AL238" i="4"/>
  <c r="AN238" i="4"/>
  <c r="AO238" i="4"/>
  <c r="AQ238" i="4"/>
  <c r="AR238" i="4"/>
  <c r="AT238" i="4"/>
  <c r="AU238" i="4"/>
  <c r="AW238" i="4"/>
  <c r="AX238" i="4"/>
  <c r="AE239" i="4"/>
  <c r="AF239" i="4"/>
  <c r="AH239" i="4"/>
  <c r="AI239" i="4"/>
  <c r="AK239" i="4"/>
  <c r="AL239" i="4"/>
  <c r="AN239" i="4"/>
  <c r="AO239" i="4"/>
  <c r="AQ239" i="4"/>
  <c r="AR239" i="4"/>
  <c r="AT239" i="4"/>
  <c r="AU239" i="4"/>
  <c r="AW239" i="4"/>
  <c r="AX239" i="4"/>
  <c r="AE240" i="4"/>
  <c r="AF240" i="4"/>
  <c r="AH240" i="4"/>
  <c r="AI240" i="4"/>
  <c r="AK240" i="4"/>
  <c r="AL240" i="4"/>
  <c r="AN240" i="4"/>
  <c r="AO240" i="4"/>
  <c r="AQ240" i="4"/>
  <c r="AR240" i="4"/>
  <c r="AT240" i="4"/>
  <c r="AU240" i="4"/>
  <c r="AW240" i="4"/>
  <c r="AX240" i="4"/>
  <c r="AE241" i="4"/>
  <c r="AF241" i="4"/>
  <c r="AH241" i="4"/>
  <c r="AI241" i="4"/>
  <c r="AK241" i="4"/>
  <c r="AL241" i="4"/>
  <c r="AN241" i="4"/>
  <c r="AO241" i="4"/>
  <c r="AQ241" i="4"/>
  <c r="AR241" i="4"/>
  <c r="AT241" i="4"/>
  <c r="AU241" i="4"/>
  <c r="AW241" i="4"/>
  <c r="AX241" i="4"/>
  <c r="AE242" i="4"/>
  <c r="AF242" i="4"/>
  <c r="AH242" i="4"/>
  <c r="AI242" i="4"/>
  <c r="AK242" i="4"/>
  <c r="AL242" i="4"/>
  <c r="AN242" i="4"/>
  <c r="AO242" i="4"/>
  <c r="AQ242" i="4"/>
  <c r="AR242" i="4"/>
  <c r="AT242" i="4"/>
  <c r="AU242" i="4"/>
  <c r="AW242" i="4"/>
  <c r="AX242" i="4"/>
  <c r="AE244" i="4"/>
  <c r="AF244" i="4"/>
  <c r="AH244" i="4"/>
  <c r="AI244" i="4"/>
  <c r="AK244" i="4"/>
  <c r="AL244" i="4"/>
  <c r="AN244" i="4"/>
  <c r="AO244" i="4"/>
  <c r="AQ244" i="4"/>
  <c r="AR244" i="4"/>
  <c r="AT244" i="4"/>
  <c r="AU244" i="4"/>
  <c r="AW244" i="4"/>
  <c r="AX244" i="4"/>
  <c r="AE245" i="4"/>
  <c r="AF245" i="4"/>
  <c r="AH245" i="4"/>
  <c r="AI245" i="4"/>
  <c r="AK245" i="4"/>
  <c r="AL245" i="4"/>
  <c r="AN245" i="4"/>
  <c r="AO245" i="4"/>
  <c r="AQ245" i="4"/>
  <c r="AR245" i="4"/>
  <c r="AT245" i="4"/>
  <c r="AU245" i="4"/>
  <c r="AW245" i="4"/>
  <c r="AX245" i="4"/>
  <c r="AE246" i="4"/>
  <c r="AF246" i="4"/>
  <c r="AH246" i="4"/>
  <c r="AI246" i="4"/>
  <c r="AK246" i="4"/>
  <c r="AL246" i="4"/>
  <c r="AN246" i="4"/>
  <c r="AO246" i="4"/>
  <c r="AQ246" i="4"/>
  <c r="AR246" i="4"/>
  <c r="AT246" i="4"/>
  <c r="AU246" i="4"/>
  <c r="AW246" i="4"/>
  <c r="AX246" i="4"/>
  <c r="AE247" i="4"/>
  <c r="AF247" i="4"/>
  <c r="AH247" i="4"/>
  <c r="AI247" i="4"/>
  <c r="AK247" i="4"/>
  <c r="AL247" i="4"/>
  <c r="AN247" i="4"/>
  <c r="AO247" i="4"/>
  <c r="AQ247" i="4"/>
  <c r="AR247" i="4"/>
  <c r="AT247" i="4"/>
  <c r="AU247" i="4"/>
  <c r="AW247" i="4"/>
  <c r="AX247" i="4"/>
  <c r="AE248" i="4"/>
  <c r="AF248" i="4"/>
  <c r="AH248" i="4"/>
  <c r="AI248" i="4"/>
  <c r="AK248" i="4"/>
  <c r="AL248" i="4"/>
  <c r="AN248" i="4"/>
  <c r="AO248" i="4"/>
  <c r="AQ248" i="4"/>
  <c r="AR248" i="4"/>
  <c r="AT248" i="4"/>
  <c r="AU248" i="4"/>
  <c r="AW248" i="4"/>
  <c r="AX248" i="4"/>
  <c r="AE249" i="4"/>
  <c r="AF249" i="4"/>
  <c r="AH249" i="4"/>
  <c r="AI249" i="4"/>
  <c r="AK249" i="4"/>
  <c r="AL249" i="4"/>
  <c r="AN249" i="4"/>
  <c r="AO249" i="4"/>
  <c r="AQ249" i="4"/>
  <c r="AR249" i="4"/>
  <c r="AT249" i="4"/>
  <c r="AU249" i="4"/>
  <c r="AW249" i="4"/>
  <c r="AX249" i="4"/>
  <c r="AE250" i="4"/>
  <c r="AF250" i="4"/>
  <c r="AH250" i="4"/>
  <c r="AI250" i="4"/>
  <c r="AK250" i="4"/>
  <c r="AL250" i="4"/>
  <c r="AN250" i="4"/>
  <c r="AO250" i="4"/>
  <c r="AQ250" i="4"/>
  <c r="AR250" i="4"/>
  <c r="AT250" i="4"/>
  <c r="AU250" i="4"/>
  <c r="AW250" i="4"/>
  <c r="AX250" i="4"/>
  <c r="AE251" i="4"/>
  <c r="AF251" i="4"/>
  <c r="AH251" i="4"/>
  <c r="AI251" i="4"/>
  <c r="AK251" i="4"/>
  <c r="AL251" i="4"/>
  <c r="AN251" i="4"/>
  <c r="AO251" i="4"/>
  <c r="AQ251" i="4"/>
  <c r="AR251" i="4"/>
  <c r="AT251" i="4"/>
  <c r="AU251" i="4"/>
  <c r="AW251" i="4"/>
  <c r="AX251" i="4"/>
  <c r="AE252" i="4"/>
  <c r="AF252" i="4"/>
  <c r="AH252" i="4"/>
  <c r="AI252" i="4"/>
  <c r="AK252" i="4"/>
  <c r="AL252" i="4"/>
  <c r="AN252" i="4"/>
  <c r="AO252" i="4"/>
  <c r="AQ252" i="4"/>
  <c r="AR252" i="4"/>
  <c r="AT252" i="4"/>
  <c r="AU252" i="4"/>
  <c r="AW252" i="4"/>
  <c r="AX252" i="4"/>
  <c r="AE253" i="4"/>
  <c r="AF253" i="4"/>
  <c r="AH253" i="4"/>
  <c r="AI253" i="4"/>
  <c r="AK253" i="4"/>
  <c r="AL253" i="4"/>
  <c r="AN253" i="4"/>
  <c r="AO253" i="4"/>
  <c r="AQ253" i="4"/>
  <c r="AR253" i="4"/>
  <c r="AT253" i="4"/>
  <c r="AU253" i="4"/>
  <c r="AW253" i="4"/>
  <c r="AX253" i="4"/>
  <c r="AE254" i="4"/>
  <c r="AF254" i="4"/>
  <c r="AH254" i="4"/>
  <c r="AI254" i="4"/>
  <c r="AK254" i="4"/>
  <c r="AL254" i="4"/>
  <c r="AN254" i="4"/>
  <c r="AO254" i="4"/>
  <c r="AQ254" i="4"/>
  <c r="AR254" i="4"/>
  <c r="AT254" i="4"/>
  <c r="AU254" i="4"/>
  <c r="AW254" i="4"/>
  <c r="AX254" i="4"/>
  <c r="AE255" i="4"/>
  <c r="AF255" i="4"/>
  <c r="AH255" i="4"/>
  <c r="AI255" i="4"/>
  <c r="AK255" i="4"/>
  <c r="AL255" i="4"/>
  <c r="AN255" i="4"/>
  <c r="AO255" i="4"/>
  <c r="AQ255" i="4"/>
  <c r="AR255" i="4"/>
  <c r="AT255" i="4"/>
  <c r="AU255" i="4"/>
  <c r="AW255" i="4"/>
  <c r="AX255" i="4"/>
  <c r="AE256" i="4"/>
  <c r="AF256" i="4"/>
  <c r="AH256" i="4"/>
  <c r="AI256" i="4"/>
  <c r="AK256" i="4"/>
  <c r="AL256" i="4"/>
  <c r="AN256" i="4"/>
  <c r="AO256" i="4"/>
  <c r="AQ256" i="4"/>
  <c r="AR256" i="4"/>
  <c r="AT256" i="4"/>
  <c r="AU256" i="4"/>
  <c r="AW256" i="4"/>
  <c r="AX256" i="4"/>
  <c r="AE257" i="4"/>
  <c r="AF257" i="4"/>
  <c r="AH257" i="4"/>
  <c r="AI257" i="4"/>
  <c r="AK257" i="4"/>
  <c r="AL257" i="4"/>
  <c r="AN257" i="4"/>
  <c r="AO257" i="4"/>
  <c r="AQ257" i="4"/>
  <c r="AR257" i="4"/>
  <c r="AT257" i="4"/>
  <c r="AU257" i="4"/>
  <c r="AW257" i="4"/>
  <c r="AX257" i="4"/>
  <c r="AE258" i="4"/>
  <c r="AF258" i="4"/>
  <c r="AH258" i="4"/>
  <c r="AI258" i="4"/>
  <c r="AK258" i="4"/>
  <c r="AL258" i="4"/>
  <c r="AN258" i="4"/>
  <c r="AO258" i="4"/>
  <c r="AQ258" i="4"/>
  <c r="AR258" i="4"/>
  <c r="AT258" i="4"/>
  <c r="AU258" i="4"/>
  <c r="AW258" i="4"/>
  <c r="AX258" i="4"/>
  <c r="AE259" i="4"/>
  <c r="AF259" i="4"/>
  <c r="AH259" i="4"/>
  <c r="AI259" i="4"/>
  <c r="AK259" i="4"/>
  <c r="AL259" i="4"/>
  <c r="AN259" i="4"/>
  <c r="AO259" i="4"/>
  <c r="AQ259" i="4"/>
  <c r="AR259" i="4"/>
  <c r="AT259" i="4"/>
  <c r="AU259" i="4"/>
  <c r="AW259" i="4"/>
  <c r="AX259" i="4"/>
  <c r="AE261" i="4"/>
  <c r="AF261" i="4"/>
  <c r="AH261" i="4"/>
  <c r="AI261" i="4"/>
  <c r="AK261" i="4"/>
  <c r="AL261" i="4"/>
  <c r="AN261" i="4"/>
  <c r="AO261" i="4"/>
  <c r="AQ261" i="4"/>
  <c r="AR261" i="4"/>
  <c r="AT261" i="4"/>
  <c r="AU261" i="4"/>
  <c r="AW261" i="4"/>
  <c r="AX261" i="4"/>
  <c r="AE262" i="4"/>
  <c r="AF262" i="4"/>
  <c r="AH262" i="4"/>
  <c r="AI262" i="4"/>
  <c r="AK262" i="4"/>
  <c r="AL262" i="4"/>
  <c r="AN262" i="4"/>
  <c r="AO262" i="4"/>
  <c r="AQ262" i="4"/>
  <c r="AR262" i="4"/>
  <c r="AT262" i="4"/>
  <c r="AU262" i="4"/>
  <c r="AW262" i="4"/>
  <c r="AX262" i="4"/>
  <c r="AE263" i="4"/>
  <c r="AF263" i="4"/>
  <c r="AH263" i="4"/>
  <c r="AI263" i="4"/>
  <c r="AK263" i="4"/>
  <c r="AL263" i="4"/>
  <c r="AN263" i="4"/>
  <c r="AO263" i="4"/>
  <c r="AQ263" i="4"/>
  <c r="AR263" i="4"/>
  <c r="AT263" i="4"/>
  <c r="AU263" i="4"/>
  <c r="AW263" i="4"/>
  <c r="AX263" i="4"/>
  <c r="AE265" i="4"/>
  <c r="AF265" i="4"/>
  <c r="AH265" i="4"/>
  <c r="AI265" i="4"/>
  <c r="AK265" i="4"/>
  <c r="AL265" i="4"/>
  <c r="AN265" i="4"/>
  <c r="AO265" i="4"/>
  <c r="AQ265" i="4"/>
  <c r="AR265" i="4"/>
  <c r="AT265" i="4"/>
  <c r="AU265" i="4"/>
  <c r="AW265" i="4"/>
  <c r="AX265" i="4"/>
  <c r="AE266" i="4"/>
  <c r="AF266" i="4"/>
  <c r="AH266" i="4"/>
  <c r="AI266" i="4"/>
  <c r="AK266" i="4"/>
  <c r="AL266" i="4"/>
  <c r="AN266" i="4"/>
  <c r="AO266" i="4"/>
  <c r="AQ266" i="4"/>
  <c r="AR266" i="4"/>
  <c r="AT266" i="4"/>
  <c r="AU266" i="4"/>
  <c r="AW266" i="4"/>
  <c r="AX266" i="4"/>
  <c r="AE267" i="4"/>
  <c r="AF267" i="4"/>
  <c r="AH267" i="4"/>
  <c r="AI267" i="4"/>
  <c r="AK267" i="4"/>
  <c r="AL267" i="4"/>
  <c r="AN267" i="4"/>
  <c r="AO267" i="4"/>
  <c r="AQ267" i="4"/>
  <c r="AR267" i="4"/>
  <c r="AT267" i="4"/>
  <c r="AU267" i="4"/>
  <c r="AW267" i="4"/>
  <c r="AX267" i="4"/>
  <c r="AE268" i="4"/>
  <c r="AF268" i="4"/>
  <c r="AH268" i="4"/>
  <c r="AI268" i="4"/>
  <c r="AK268" i="4"/>
  <c r="AL268" i="4"/>
  <c r="AN268" i="4"/>
  <c r="AO268" i="4"/>
  <c r="AQ268" i="4"/>
  <c r="AR268" i="4"/>
  <c r="AT268" i="4"/>
  <c r="AU268" i="4"/>
  <c r="AW268" i="4"/>
  <c r="AX268" i="4"/>
  <c r="AE269" i="4"/>
  <c r="AF269" i="4"/>
  <c r="AH269" i="4"/>
  <c r="AI269" i="4"/>
  <c r="AK269" i="4"/>
  <c r="AL269" i="4"/>
  <c r="AN269" i="4"/>
  <c r="AO269" i="4"/>
  <c r="AQ269" i="4"/>
  <c r="AR269" i="4"/>
  <c r="AT269" i="4"/>
  <c r="AU269" i="4"/>
  <c r="AW269" i="4"/>
  <c r="AX269" i="4"/>
  <c r="AE270" i="4"/>
  <c r="AF270" i="4"/>
  <c r="AH270" i="4"/>
  <c r="AI270" i="4"/>
  <c r="AK270" i="4"/>
  <c r="AL270" i="4"/>
  <c r="AN270" i="4"/>
  <c r="AO270" i="4"/>
  <c r="AQ270" i="4"/>
  <c r="AR270" i="4"/>
  <c r="AT270" i="4"/>
  <c r="AU270" i="4"/>
  <c r="AW270" i="4"/>
  <c r="AX270" i="4"/>
  <c r="AE271" i="4"/>
  <c r="AF271" i="4"/>
  <c r="AH271" i="4"/>
  <c r="AI271" i="4"/>
  <c r="AK271" i="4"/>
  <c r="AL271" i="4"/>
  <c r="AN271" i="4"/>
  <c r="AO271" i="4"/>
  <c r="AQ271" i="4"/>
  <c r="AR271" i="4"/>
  <c r="AT271" i="4"/>
  <c r="AU271" i="4"/>
  <c r="AW271" i="4"/>
  <c r="AX271" i="4"/>
  <c r="AE272" i="4"/>
  <c r="AF272" i="4"/>
  <c r="AH272" i="4"/>
  <c r="AI272" i="4"/>
  <c r="AK272" i="4"/>
  <c r="AL272" i="4"/>
  <c r="AN272" i="4"/>
  <c r="AO272" i="4"/>
  <c r="AQ272" i="4"/>
  <c r="AR272" i="4"/>
  <c r="AT272" i="4"/>
  <c r="AU272" i="4"/>
  <c r="AW272" i="4"/>
  <c r="AX272" i="4"/>
  <c r="AE273" i="4"/>
  <c r="AF273" i="4"/>
  <c r="AH273" i="4"/>
  <c r="AI273" i="4"/>
  <c r="AK273" i="4"/>
  <c r="AL273" i="4"/>
  <c r="AN273" i="4"/>
  <c r="AO273" i="4"/>
  <c r="AQ273" i="4"/>
  <c r="AR273" i="4"/>
  <c r="AT273" i="4"/>
  <c r="AU273" i="4"/>
  <c r="AW273" i="4"/>
  <c r="AX273" i="4"/>
  <c r="AE274" i="4"/>
  <c r="AF274" i="4"/>
  <c r="AH274" i="4"/>
  <c r="AI274" i="4"/>
  <c r="AK274" i="4"/>
  <c r="AL274" i="4"/>
  <c r="AN274" i="4"/>
  <c r="AO274" i="4"/>
  <c r="AQ274" i="4"/>
  <c r="AR274" i="4"/>
  <c r="AT274" i="4"/>
  <c r="AU274" i="4"/>
  <c r="AW274" i="4"/>
  <c r="AX274" i="4"/>
  <c r="AE275" i="4"/>
  <c r="AF275" i="4"/>
  <c r="AH275" i="4"/>
  <c r="AI275" i="4"/>
  <c r="AK275" i="4"/>
  <c r="AL275" i="4"/>
  <c r="AN275" i="4"/>
  <c r="AO275" i="4"/>
  <c r="AQ275" i="4"/>
  <c r="AR275" i="4"/>
  <c r="AT275" i="4"/>
  <c r="AU275" i="4"/>
  <c r="AW275" i="4"/>
  <c r="AX275" i="4"/>
  <c r="AE276" i="4"/>
  <c r="AF276" i="4"/>
  <c r="AH276" i="4"/>
  <c r="AI276" i="4"/>
  <c r="AK276" i="4"/>
  <c r="AL276" i="4"/>
  <c r="AN276" i="4"/>
  <c r="AO276" i="4"/>
  <c r="AQ276" i="4"/>
  <c r="AR276" i="4"/>
  <c r="AT276" i="4"/>
  <c r="AU276" i="4"/>
  <c r="AW276" i="4"/>
  <c r="AX276" i="4"/>
  <c r="AE277" i="4"/>
  <c r="AF277" i="4"/>
  <c r="AH277" i="4"/>
  <c r="AI277" i="4"/>
  <c r="AK277" i="4"/>
  <c r="AL277" i="4"/>
  <c r="AN277" i="4"/>
  <c r="AO277" i="4"/>
  <c r="AQ277" i="4"/>
  <c r="AR277" i="4"/>
  <c r="AT277" i="4"/>
  <c r="AU277" i="4"/>
  <c r="AW277" i="4"/>
  <c r="AX277" i="4"/>
  <c r="AE278" i="4"/>
  <c r="AF278" i="4"/>
  <c r="AH278" i="4"/>
  <c r="AI278" i="4"/>
  <c r="AK278" i="4"/>
  <c r="AL278" i="4"/>
  <c r="AN278" i="4"/>
  <c r="AO278" i="4"/>
  <c r="AQ278" i="4"/>
  <c r="AR278" i="4"/>
  <c r="AT278" i="4"/>
  <c r="AU278" i="4"/>
  <c r="AW278" i="4"/>
  <c r="AX278" i="4"/>
  <c r="AE279" i="4"/>
  <c r="AF279" i="4"/>
  <c r="AH279" i="4"/>
  <c r="AI279" i="4"/>
  <c r="AK279" i="4"/>
  <c r="AL279" i="4"/>
  <c r="AN279" i="4"/>
  <c r="AO279" i="4"/>
  <c r="AQ279" i="4"/>
  <c r="AR279" i="4"/>
  <c r="AT279" i="4"/>
  <c r="AU279" i="4"/>
  <c r="AW279" i="4"/>
  <c r="AX279" i="4"/>
  <c r="AE280" i="4"/>
  <c r="AF280" i="4"/>
  <c r="AH280" i="4"/>
  <c r="AI280" i="4"/>
  <c r="AK280" i="4"/>
  <c r="AL280" i="4"/>
  <c r="AN280" i="4"/>
  <c r="AO280" i="4"/>
  <c r="AQ280" i="4"/>
  <c r="AR280" i="4"/>
  <c r="AT280" i="4"/>
  <c r="AU280" i="4"/>
  <c r="AW280" i="4"/>
  <c r="AX280" i="4"/>
  <c r="AE281" i="4"/>
  <c r="AF281" i="4"/>
  <c r="AH281" i="4"/>
  <c r="AI281" i="4"/>
  <c r="AK281" i="4"/>
  <c r="AL281" i="4"/>
  <c r="AN281" i="4"/>
  <c r="AO281" i="4"/>
  <c r="AQ281" i="4"/>
  <c r="AR281" i="4"/>
  <c r="AT281" i="4"/>
  <c r="AU281" i="4"/>
  <c r="AW281" i="4"/>
  <c r="AX281" i="4"/>
  <c r="AE282" i="4"/>
  <c r="AF282" i="4"/>
  <c r="AH282" i="4"/>
  <c r="AI282" i="4"/>
  <c r="AK282" i="4"/>
  <c r="AL282" i="4"/>
  <c r="AN282" i="4"/>
  <c r="AO282" i="4"/>
  <c r="AQ282" i="4"/>
  <c r="AR282" i="4"/>
  <c r="AT282" i="4"/>
  <c r="AU282" i="4"/>
  <c r="AW282" i="4"/>
  <c r="AX282" i="4"/>
  <c r="AE283" i="4"/>
  <c r="AF283" i="4"/>
  <c r="AH283" i="4"/>
  <c r="AI283" i="4"/>
  <c r="AK283" i="4"/>
  <c r="AL283" i="4"/>
  <c r="AN283" i="4"/>
  <c r="AO283" i="4"/>
  <c r="AQ283" i="4"/>
  <c r="AR283" i="4"/>
  <c r="AT283" i="4"/>
  <c r="AU283" i="4"/>
  <c r="AW283" i="4"/>
  <c r="AX283" i="4"/>
  <c r="AE284" i="4"/>
  <c r="AF284" i="4"/>
  <c r="AH284" i="4"/>
  <c r="AI284" i="4"/>
  <c r="AK284" i="4"/>
  <c r="AL284" i="4"/>
  <c r="AN284" i="4"/>
  <c r="AO284" i="4"/>
  <c r="AQ284" i="4"/>
  <c r="AR284" i="4"/>
  <c r="AT284" i="4"/>
  <c r="AU284" i="4"/>
  <c r="AW284" i="4"/>
  <c r="AX284" i="4"/>
  <c r="AE285" i="4"/>
  <c r="AF285" i="4"/>
  <c r="AH285" i="4"/>
  <c r="AI285" i="4"/>
  <c r="AK285" i="4"/>
  <c r="AL285" i="4"/>
  <c r="AN285" i="4"/>
  <c r="AO285" i="4"/>
  <c r="AQ285" i="4"/>
  <c r="AR285" i="4"/>
  <c r="AT285" i="4"/>
  <c r="AU285" i="4"/>
  <c r="AW285" i="4"/>
  <c r="AX285" i="4"/>
  <c r="AE286" i="4"/>
  <c r="AF286" i="4"/>
  <c r="AH286" i="4"/>
  <c r="AI286" i="4"/>
  <c r="AK286" i="4"/>
  <c r="AL286" i="4"/>
  <c r="AN286" i="4"/>
  <c r="AO286" i="4"/>
  <c r="AQ286" i="4"/>
  <c r="AR286" i="4"/>
  <c r="AT286" i="4"/>
  <c r="AU286" i="4"/>
  <c r="AW286" i="4"/>
  <c r="AX286" i="4"/>
  <c r="AE287" i="4"/>
  <c r="AF287" i="4"/>
  <c r="AH287" i="4"/>
  <c r="AI287" i="4"/>
  <c r="AK287" i="4"/>
  <c r="AL287" i="4"/>
  <c r="AN287" i="4"/>
  <c r="AO287" i="4"/>
  <c r="AQ287" i="4"/>
  <c r="AR287" i="4"/>
  <c r="AT287" i="4"/>
  <c r="AU287" i="4"/>
  <c r="AW287" i="4"/>
  <c r="AX287" i="4"/>
  <c r="AE288" i="4"/>
  <c r="AF288" i="4"/>
  <c r="AH288" i="4"/>
  <c r="AI288" i="4"/>
  <c r="AK288" i="4"/>
  <c r="AL288" i="4"/>
  <c r="AN288" i="4"/>
  <c r="AO288" i="4"/>
  <c r="AQ288" i="4"/>
  <c r="AR288" i="4"/>
  <c r="AT288" i="4"/>
  <c r="AU288" i="4"/>
  <c r="AW288" i="4"/>
  <c r="AX288" i="4"/>
  <c r="AE289" i="4"/>
  <c r="AF289" i="4"/>
  <c r="AH289" i="4"/>
  <c r="AI289" i="4"/>
  <c r="AK289" i="4"/>
  <c r="AL289" i="4"/>
  <c r="AN289" i="4"/>
  <c r="AO289" i="4"/>
  <c r="AQ289" i="4"/>
  <c r="AR289" i="4"/>
  <c r="AT289" i="4"/>
  <c r="AU289" i="4"/>
  <c r="AW289" i="4"/>
  <c r="AX289" i="4"/>
  <c r="AE290" i="4"/>
  <c r="AF290" i="4"/>
  <c r="AH290" i="4"/>
  <c r="AI290" i="4"/>
  <c r="AK290" i="4"/>
  <c r="AL290" i="4"/>
  <c r="AN290" i="4"/>
  <c r="AO290" i="4"/>
  <c r="AQ290" i="4"/>
  <c r="AR290" i="4"/>
  <c r="AT290" i="4"/>
  <c r="AU290" i="4"/>
  <c r="AW290" i="4"/>
  <c r="AX290" i="4"/>
  <c r="AE293" i="4"/>
  <c r="AF293" i="4"/>
  <c r="AH293" i="4"/>
  <c r="AI293" i="4"/>
  <c r="AK293" i="4"/>
  <c r="AL293" i="4"/>
  <c r="AN293" i="4"/>
  <c r="AO293" i="4"/>
  <c r="AQ293" i="4"/>
  <c r="AR293" i="4"/>
  <c r="AT293" i="4"/>
  <c r="AU293" i="4"/>
  <c r="AW293" i="4"/>
  <c r="AX293" i="4"/>
  <c r="AE294" i="4"/>
  <c r="AF294" i="4"/>
  <c r="AH294" i="4"/>
  <c r="AI294" i="4"/>
  <c r="AK294" i="4"/>
  <c r="AL294" i="4"/>
  <c r="AN294" i="4"/>
  <c r="AO294" i="4"/>
  <c r="AQ294" i="4"/>
  <c r="AR294" i="4"/>
  <c r="AT294" i="4"/>
  <c r="AU294" i="4"/>
  <c r="AW294" i="4"/>
  <c r="AX294" i="4"/>
  <c r="AE295" i="4"/>
  <c r="AF295" i="4"/>
  <c r="AH295" i="4"/>
  <c r="AI295" i="4"/>
  <c r="AK295" i="4"/>
  <c r="AL295" i="4"/>
  <c r="AN295" i="4"/>
  <c r="AO295" i="4"/>
  <c r="AQ295" i="4"/>
  <c r="AR295" i="4"/>
  <c r="AT295" i="4"/>
  <c r="AU295" i="4"/>
  <c r="AW295" i="4"/>
  <c r="AX295" i="4"/>
  <c r="AE296" i="4"/>
  <c r="AF296" i="4"/>
  <c r="AH296" i="4"/>
  <c r="AI296" i="4"/>
  <c r="AK296" i="4"/>
  <c r="AL296" i="4"/>
  <c r="AN296" i="4"/>
  <c r="AO296" i="4"/>
  <c r="AQ296" i="4"/>
  <c r="AR296" i="4"/>
  <c r="AT296" i="4"/>
  <c r="AU296" i="4"/>
  <c r="AW296" i="4"/>
  <c r="AX296" i="4"/>
  <c r="AE297" i="4"/>
  <c r="AF297" i="4"/>
  <c r="AH297" i="4"/>
  <c r="AI297" i="4"/>
  <c r="AK297" i="4"/>
  <c r="AL297" i="4"/>
  <c r="AN297" i="4"/>
  <c r="AO297" i="4"/>
  <c r="AQ297" i="4"/>
  <c r="AR297" i="4"/>
  <c r="AT297" i="4"/>
  <c r="AU297" i="4"/>
  <c r="AW297" i="4"/>
  <c r="AX297" i="4"/>
  <c r="AE298" i="4"/>
  <c r="AF298" i="4"/>
  <c r="AH298" i="4"/>
  <c r="AI298" i="4"/>
  <c r="AK298" i="4"/>
  <c r="AL298" i="4"/>
  <c r="AN298" i="4"/>
  <c r="AO298" i="4"/>
  <c r="AQ298" i="4"/>
  <c r="AR298" i="4"/>
  <c r="AT298" i="4"/>
  <c r="AU298" i="4"/>
  <c r="AW298" i="4"/>
  <c r="AX298" i="4"/>
  <c r="AE299" i="4"/>
  <c r="AF299" i="4"/>
  <c r="AH299" i="4"/>
  <c r="AI299" i="4"/>
  <c r="AK299" i="4"/>
  <c r="AL299" i="4"/>
  <c r="AN299" i="4"/>
  <c r="AO299" i="4"/>
  <c r="AQ299" i="4"/>
  <c r="AR299" i="4"/>
  <c r="AT299" i="4"/>
  <c r="AU299" i="4"/>
  <c r="AW299" i="4"/>
  <c r="AX299" i="4"/>
  <c r="AE300" i="4"/>
  <c r="AF300" i="4"/>
  <c r="AH300" i="4"/>
  <c r="AI300" i="4"/>
  <c r="AK300" i="4"/>
  <c r="AL300" i="4"/>
  <c r="AN300" i="4"/>
  <c r="AO300" i="4"/>
  <c r="AQ300" i="4"/>
  <c r="AR300" i="4"/>
  <c r="AT300" i="4"/>
  <c r="AU300" i="4"/>
  <c r="AW300" i="4"/>
  <c r="AX300" i="4"/>
  <c r="AE301" i="4"/>
  <c r="AF301" i="4"/>
  <c r="AH301" i="4"/>
  <c r="AI301" i="4"/>
  <c r="AK301" i="4"/>
  <c r="AL301" i="4"/>
  <c r="AN301" i="4"/>
  <c r="AO301" i="4"/>
  <c r="AQ301" i="4"/>
  <c r="AR301" i="4"/>
  <c r="AT301" i="4"/>
  <c r="AU301" i="4"/>
  <c r="AW301" i="4"/>
  <c r="AX301" i="4"/>
  <c r="AE302" i="4"/>
  <c r="AF302" i="4"/>
  <c r="AH302" i="4"/>
  <c r="AI302" i="4"/>
  <c r="AK302" i="4"/>
  <c r="AL302" i="4"/>
  <c r="AN302" i="4"/>
  <c r="AO302" i="4"/>
  <c r="AQ302" i="4"/>
  <c r="AR302" i="4"/>
  <c r="AT302" i="4"/>
  <c r="AU302" i="4"/>
  <c r="AW302" i="4"/>
  <c r="AX302" i="4"/>
  <c r="AE303" i="4"/>
  <c r="AF303" i="4"/>
  <c r="AH303" i="4"/>
  <c r="AI303" i="4"/>
  <c r="AK303" i="4"/>
  <c r="AL303" i="4"/>
  <c r="AN303" i="4"/>
  <c r="AO303" i="4"/>
  <c r="AQ303" i="4"/>
  <c r="AR303" i="4"/>
  <c r="AT303" i="4"/>
  <c r="AU303" i="4"/>
  <c r="AW303" i="4"/>
  <c r="AX303" i="4"/>
  <c r="AE304" i="4"/>
  <c r="AF304" i="4"/>
  <c r="AH304" i="4"/>
  <c r="AI304" i="4"/>
  <c r="AK304" i="4"/>
  <c r="AL304" i="4"/>
  <c r="AN304" i="4"/>
  <c r="AO304" i="4"/>
  <c r="AQ304" i="4"/>
  <c r="AR304" i="4"/>
  <c r="AT304" i="4"/>
  <c r="AU304" i="4"/>
  <c r="AW304" i="4"/>
  <c r="AX304" i="4"/>
  <c r="AE305" i="4"/>
  <c r="AF305" i="4"/>
  <c r="AH305" i="4"/>
  <c r="AI305" i="4"/>
  <c r="AK305" i="4"/>
  <c r="AL305" i="4"/>
  <c r="AN305" i="4"/>
  <c r="AO305" i="4"/>
  <c r="AQ305" i="4"/>
  <c r="AR305" i="4"/>
  <c r="AT305" i="4"/>
  <c r="AU305" i="4"/>
  <c r="AW305" i="4"/>
  <c r="AX305" i="4"/>
  <c r="AE306" i="4"/>
  <c r="AF306" i="4"/>
  <c r="AH306" i="4"/>
  <c r="AI306" i="4"/>
  <c r="AK306" i="4"/>
  <c r="AL306" i="4"/>
  <c r="AN306" i="4"/>
  <c r="AO306" i="4"/>
  <c r="AQ306" i="4"/>
  <c r="AR306" i="4"/>
  <c r="AT306" i="4"/>
  <c r="AU306" i="4"/>
  <c r="AW306" i="4"/>
  <c r="AX306" i="4"/>
  <c r="AE307" i="4"/>
  <c r="AF307" i="4"/>
  <c r="AH307" i="4"/>
  <c r="AI307" i="4"/>
  <c r="AK307" i="4"/>
  <c r="AL307" i="4"/>
  <c r="AN307" i="4"/>
  <c r="AO307" i="4"/>
  <c r="AQ307" i="4"/>
  <c r="AR307" i="4"/>
  <c r="AT307" i="4"/>
  <c r="AU307" i="4"/>
  <c r="AW307" i="4"/>
  <c r="AX307" i="4"/>
  <c r="AE308" i="4"/>
  <c r="AF308" i="4"/>
  <c r="AH308" i="4"/>
  <c r="AI308" i="4"/>
  <c r="AK308" i="4"/>
  <c r="AL308" i="4"/>
  <c r="AN308" i="4"/>
  <c r="AO308" i="4"/>
  <c r="AQ308" i="4"/>
  <c r="AR308" i="4"/>
  <c r="AT308" i="4"/>
  <c r="AU308" i="4"/>
  <c r="AW308" i="4"/>
  <c r="AX308" i="4"/>
  <c r="AE309" i="4"/>
  <c r="AF309" i="4"/>
  <c r="AH309" i="4"/>
  <c r="AI309" i="4"/>
  <c r="AK309" i="4"/>
  <c r="AL309" i="4"/>
  <c r="AN309" i="4"/>
  <c r="AO309" i="4"/>
  <c r="AQ309" i="4"/>
  <c r="AR309" i="4"/>
  <c r="AT309" i="4"/>
  <c r="AU309" i="4"/>
  <c r="AW309" i="4"/>
  <c r="AX309" i="4"/>
  <c r="AE310" i="4"/>
  <c r="AF310" i="4"/>
  <c r="AH310" i="4"/>
  <c r="AI310" i="4"/>
  <c r="AK310" i="4"/>
  <c r="AL310" i="4"/>
  <c r="AN310" i="4"/>
  <c r="AO310" i="4"/>
  <c r="AQ310" i="4"/>
  <c r="AR310" i="4"/>
  <c r="AT310" i="4"/>
  <c r="AU310" i="4"/>
  <c r="AW310" i="4"/>
  <c r="AX310" i="4"/>
  <c r="AE311" i="4"/>
  <c r="AF311" i="4"/>
  <c r="AH311" i="4"/>
  <c r="AI311" i="4"/>
  <c r="AK311" i="4"/>
  <c r="AL311" i="4"/>
  <c r="AN311" i="4"/>
  <c r="AO311" i="4"/>
  <c r="AQ311" i="4"/>
  <c r="AR311" i="4"/>
  <c r="AT311" i="4"/>
  <c r="AU311" i="4"/>
  <c r="AW311" i="4"/>
  <c r="AX311" i="4"/>
  <c r="AE312" i="4"/>
  <c r="AF312" i="4"/>
  <c r="AH312" i="4"/>
  <c r="AI312" i="4"/>
  <c r="AK312" i="4"/>
  <c r="AL312" i="4"/>
  <c r="AN312" i="4"/>
  <c r="AO312" i="4"/>
  <c r="AQ312" i="4"/>
  <c r="AR312" i="4"/>
  <c r="AT312" i="4"/>
  <c r="AU312" i="4"/>
  <c r="AW312" i="4"/>
  <c r="AX312" i="4"/>
  <c r="AE313" i="4"/>
  <c r="AF313" i="4"/>
  <c r="AH313" i="4"/>
  <c r="AI313" i="4"/>
  <c r="AK313" i="4"/>
  <c r="AL313" i="4"/>
  <c r="AN313" i="4"/>
  <c r="AO313" i="4"/>
  <c r="AQ313" i="4"/>
  <c r="AR313" i="4"/>
  <c r="AT313" i="4"/>
  <c r="AU313" i="4"/>
  <c r="AW313" i="4"/>
  <c r="AX313" i="4"/>
  <c r="AE314" i="4"/>
  <c r="AF314" i="4"/>
  <c r="AH314" i="4"/>
  <c r="AI314" i="4"/>
  <c r="AK314" i="4"/>
  <c r="AL314" i="4"/>
  <c r="AN314" i="4"/>
  <c r="AO314" i="4"/>
  <c r="AQ314" i="4"/>
  <c r="AR314" i="4"/>
  <c r="AT314" i="4"/>
  <c r="AU314" i="4"/>
  <c r="AW314" i="4"/>
  <c r="AX314" i="4"/>
  <c r="AE315" i="4"/>
  <c r="AF315" i="4"/>
  <c r="AH315" i="4"/>
  <c r="AI315" i="4"/>
  <c r="AK315" i="4"/>
  <c r="AL315" i="4"/>
  <c r="AN315" i="4"/>
  <c r="AO315" i="4"/>
  <c r="AQ315" i="4"/>
  <c r="AR315" i="4"/>
  <c r="AT315" i="4"/>
  <c r="AU315" i="4"/>
  <c r="AW315" i="4"/>
  <c r="AX315" i="4"/>
  <c r="AE316" i="4"/>
  <c r="AF316" i="4"/>
  <c r="AH316" i="4"/>
  <c r="AI316" i="4"/>
  <c r="AK316" i="4"/>
  <c r="AL316" i="4"/>
  <c r="AN316" i="4"/>
  <c r="AO316" i="4"/>
  <c r="AQ316" i="4"/>
  <c r="AR316" i="4"/>
  <c r="AT316" i="4"/>
  <c r="AU316" i="4"/>
  <c r="AW316" i="4"/>
  <c r="AX316" i="4"/>
  <c r="AE317" i="4"/>
  <c r="AF317" i="4"/>
  <c r="AH317" i="4"/>
  <c r="AI317" i="4"/>
  <c r="AK317" i="4"/>
  <c r="AL317" i="4"/>
  <c r="AN317" i="4"/>
  <c r="AO317" i="4"/>
  <c r="AQ317" i="4"/>
  <c r="AR317" i="4"/>
  <c r="AT317" i="4"/>
  <c r="AU317" i="4"/>
  <c r="AW317" i="4"/>
  <c r="AX317" i="4"/>
  <c r="AE318" i="4"/>
  <c r="AF318" i="4"/>
  <c r="AH318" i="4"/>
  <c r="AI318" i="4"/>
  <c r="AK318" i="4"/>
  <c r="AL318" i="4"/>
  <c r="AN318" i="4"/>
  <c r="AO318" i="4"/>
  <c r="AQ318" i="4"/>
  <c r="AR318" i="4"/>
  <c r="AT318" i="4"/>
  <c r="AU318" i="4"/>
  <c r="AW318" i="4"/>
  <c r="AX318" i="4"/>
  <c r="AE319" i="4"/>
  <c r="AF319" i="4"/>
  <c r="AH319" i="4"/>
  <c r="AI319" i="4"/>
  <c r="AK319" i="4"/>
  <c r="AL319" i="4"/>
  <c r="AN319" i="4"/>
  <c r="AO319" i="4"/>
  <c r="AQ319" i="4"/>
  <c r="AR319" i="4"/>
  <c r="AT319" i="4"/>
  <c r="AU319" i="4"/>
  <c r="AW319" i="4"/>
  <c r="AX319" i="4"/>
  <c r="AE320" i="4"/>
  <c r="AF320" i="4"/>
  <c r="AH320" i="4"/>
  <c r="AI320" i="4"/>
  <c r="AK320" i="4"/>
  <c r="AL320" i="4"/>
  <c r="AN320" i="4"/>
  <c r="AO320" i="4"/>
  <c r="AQ320" i="4"/>
  <c r="AR320" i="4"/>
  <c r="AT320" i="4"/>
  <c r="AU320" i="4"/>
  <c r="AW320" i="4"/>
  <c r="AX320" i="4"/>
  <c r="AE321" i="4"/>
  <c r="AF321" i="4"/>
  <c r="AH321" i="4"/>
  <c r="AI321" i="4"/>
  <c r="AK321" i="4"/>
  <c r="AL321" i="4"/>
  <c r="AN321" i="4"/>
  <c r="AO321" i="4"/>
  <c r="AQ321" i="4"/>
  <c r="AR321" i="4"/>
  <c r="AT321" i="4"/>
  <c r="AU321" i="4"/>
  <c r="AW321" i="4"/>
  <c r="AX321" i="4"/>
  <c r="AE322" i="4"/>
  <c r="AF322" i="4"/>
  <c r="AH322" i="4"/>
  <c r="AI322" i="4"/>
  <c r="AK322" i="4"/>
  <c r="AL322" i="4"/>
  <c r="AN322" i="4"/>
  <c r="AO322" i="4"/>
  <c r="AQ322" i="4"/>
  <c r="AR322" i="4"/>
  <c r="AT322" i="4"/>
  <c r="AU322" i="4"/>
  <c r="AW322" i="4"/>
  <c r="AX322" i="4"/>
  <c r="AE323" i="4"/>
  <c r="AF323" i="4"/>
  <c r="AH323" i="4"/>
  <c r="AI323" i="4"/>
  <c r="AK323" i="4"/>
  <c r="AL323" i="4"/>
  <c r="AN323" i="4"/>
  <c r="AO323" i="4"/>
  <c r="AQ323" i="4"/>
  <c r="AR323" i="4"/>
  <c r="AT323" i="4"/>
  <c r="AU323" i="4"/>
  <c r="AW323" i="4"/>
  <c r="AX323" i="4"/>
  <c r="AE324" i="4"/>
  <c r="AF324" i="4"/>
  <c r="AH324" i="4"/>
  <c r="AI324" i="4"/>
  <c r="AK324" i="4"/>
  <c r="AL324" i="4"/>
  <c r="AN324" i="4"/>
  <c r="AO324" i="4"/>
  <c r="AQ324" i="4"/>
  <c r="AR324" i="4"/>
  <c r="AT324" i="4"/>
  <c r="AU324" i="4"/>
  <c r="AW324" i="4"/>
  <c r="AX324" i="4"/>
  <c r="AE325" i="4"/>
  <c r="AF325" i="4"/>
  <c r="AH325" i="4"/>
  <c r="AI325" i="4"/>
  <c r="AK325" i="4"/>
  <c r="AL325" i="4"/>
  <c r="AN325" i="4"/>
  <c r="AO325" i="4"/>
  <c r="AQ325" i="4"/>
  <c r="AR325" i="4"/>
  <c r="AT325" i="4"/>
  <c r="AU325" i="4"/>
  <c r="AW325" i="4"/>
  <c r="AX325" i="4"/>
  <c r="AE326" i="4"/>
  <c r="AF326" i="4"/>
  <c r="AH326" i="4"/>
  <c r="AI326" i="4"/>
  <c r="AK326" i="4"/>
  <c r="AL326" i="4"/>
  <c r="AN326" i="4"/>
  <c r="AO326" i="4"/>
  <c r="AQ326" i="4"/>
  <c r="AR326" i="4"/>
  <c r="AT326" i="4"/>
  <c r="AU326" i="4"/>
  <c r="AW326" i="4"/>
  <c r="AX326" i="4"/>
  <c r="AE327" i="4"/>
  <c r="AF327" i="4"/>
  <c r="AH327" i="4"/>
  <c r="AI327" i="4"/>
  <c r="AK327" i="4"/>
  <c r="AL327" i="4"/>
  <c r="AN327" i="4"/>
  <c r="AO327" i="4"/>
  <c r="AQ327" i="4"/>
  <c r="AR327" i="4"/>
  <c r="AT327" i="4"/>
  <c r="AU327" i="4"/>
  <c r="AW327" i="4"/>
  <c r="AX327" i="4"/>
  <c r="AE328" i="4"/>
  <c r="AF328" i="4"/>
  <c r="AH328" i="4"/>
  <c r="AI328" i="4"/>
  <c r="AK328" i="4"/>
  <c r="AL328" i="4"/>
  <c r="AN328" i="4"/>
  <c r="AO328" i="4"/>
  <c r="AQ328" i="4"/>
  <c r="AR328" i="4"/>
  <c r="AT328" i="4"/>
  <c r="AU328" i="4"/>
  <c r="AW328" i="4"/>
  <c r="AX328" i="4"/>
  <c r="AE329" i="4"/>
  <c r="AF329" i="4"/>
  <c r="AH329" i="4"/>
  <c r="AI329" i="4"/>
  <c r="AK329" i="4"/>
  <c r="AL329" i="4"/>
  <c r="AN329" i="4"/>
  <c r="AO329" i="4"/>
  <c r="AQ329" i="4"/>
  <c r="AR329" i="4"/>
  <c r="AT329" i="4"/>
  <c r="AU329" i="4"/>
  <c r="AW329" i="4"/>
  <c r="AX329" i="4"/>
  <c r="AE330" i="4"/>
  <c r="AF330" i="4"/>
  <c r="AH330" i="4"/>
  <c r="AI330" i="4"/>
  <c r="AK330" i="4"/>
  <c r="AL330" i="4"/>
  <c r="AN330" i="4"/>
  <c r="AO330" i="4"/>
  <c r="AQ330" i="4"/>
  <c r="AR330" i="4"/>
  <c r="AT330" i="4"/>
  <c r="AU330" i="4"/>
  <c r="AW330" i="4"/>
  <c r="AX330" i="4"/>
  <c r="AE331" i="4"/>
  <c r="AF331" i="4"/>
  <c r="AH331" i="4"/>
  <c r="AI331" i="4"/>
  <c r="AK331" i="4"/>
  <c r="AL331" i="4"/>
  <c r="AN331" i="4"/>
  <c r="AO331" i="4"/>
  <c r="AQ331" i="4"/>
  <c r="AR331" i="4"/>
  <c r="AT331" i="4"/>
  <c r="AU331" i="4"/>
  <c r="AW331" i="4"/>
  <c r="AX331" i="4"/>
  <c r="AE332" i="4"/>
  <c r="AF332" i="4"/>
  <c r="AH332" i="4"/>
  <c r="AI332" i="4"/>
  <c r="AK332" i="4"/>
  <c r="AL332" i="4"/>
  <c r="AN332" i="4"/>
  <c r="AO332" i="4"/>
  <c r="AQ332" i="4"/>
  <c r="AR332" i="4"/>
  <c r="AT332" i="4"/>
  <c r="AU332" i="4"/>
  <c r="AW332" i="4"/>
  <c r="AX332" i="4"/>
  <c r="AE333" i="4"/>
  <c r="AF333" i="4"/>
  <c r="AH333" i="4"/>
  <c r="AI333" i="4"/>
  <c r="AK333" i="4"/>
  <c r="AL333" i="4"/>
  <c r="AN333" i="4"/>
  <c r="AO333" i="4"/>
  <c r="AQ333" i="4"/>
  <c r="AR333" i="4"/>
  <c r="AT333" i="4"/>
  <c r="AU333" i="4"/>
  <c r="AW333" i="4"/>
  <c r="AX333" i="4"/>
  <c r="AE334" i="4"/>
  <c r="AF334" i="4"/>
  <c r="AH334" i="4"/>
  <c r="AI334" i="4"/>
  <c r="AK334" i="4"/>
  <c r="AL334" i="4"/>
  <c r="AN334" i="4"/>
  <c r="AO334" i="4"/>
  <c r="AQ334" i="4"/>
  <c r="AR334" i="4"/>
  <c r="AT334" i="4"/>
  <c r="AU334" i="4"/>
  <c r="AW334" i="4"/>
  <c r="AX334" i="4"/>
  <c r="AE335" i="4"/>
  <c r="AF335" i="4"/>
  <c r="AH335" i="4"/>
  <c r="AI335" i="4"/>
  <c r="AK335" i="4"/>
  <c r="AL335" i="4"/>
  <c r="AN335" i="4"/>
  <c r="AO335" i="4"/>
  <c r="AQ335" i="4"/>
  <c r="AR335" i="4"/>
  <c r="AT335" i="4"/>
  <c r="AU335" i="4"/>
  <c r="AW335" i="4"/>
  <c r="AX335" i="4"/>
  <c r="AE336" i="4"/>
  <c r="AF336" i="4"/>
  <c r="AH336" i="4"/>
  <c r="AI336" i="4"/>
  <c r="AK336" i="4"/>
  <c r="AL336" i="4"/>
  <c r="AN336" i="4"/>
  <c r="AO336" i="4"/>
  <c r="AQ336" i="4"/>
  <c r="AR336" i="4"/>
  <c r="AT336" i="4"/>
  <c r="AU336" i="4"/>
  <c r="AW336" i="4"/>
  <c r="AX336" i="4"/>
  <c r="AE337" i="4"/>
  <c r="AF337" i="4"/>
  <c r="AH337" i="4"/>
  <c r="AI337" i="4"/>
  <c r="AK337" i="4"/>
  <c r="AL337" i="4"/>
  <c r="AN337" i="4"/>
  <c r="AO337" i="4"/>
  <c r="AQ337" i="4"/>
  <c r="AR337" i="4"/>
  <c r="AT337" i="4"/>
  <c r="AU337" i="4"/>
  <c r="AW337" i="4"/>
  <c r="AX337" i="4"/>
  <c r="AE338" i="4"/>
  <c r="AF338" i="4"/>
  <c r="AH338" i="4"/>
  <c r="AI338" i="4"/>
  <c r="AK338" i="4"/>
  <c r="AL338" i="4"/>
  <c r="AN338" i="4"/>
  <c r="AO338" i="4"/>
  <c r="AQ338" i="4"/>
  <c r="AR338" i="4"/>
  <c r="AT338" i="4"/>
  <c r="AU338" i="4"/>
  <c r="AW338" i="4"/>
  <c r="AX338" i="4"/>
  <c r="AE339" i="4"/>
  <c r="AF339" i="4"/>
  <c r="AH339" i="4"/>
  <c r="AI339" i="4"/>
  <c r="AK339" i="4"/>
  <c r="AL339" i="4"/>
  <c r="AN339" i="4"/>
  <c r="AO339" i="4"/>
  <c r="AQ339" i="4"/>
  <c r="AR339" i="4"/>
  <c r="AT339" i="4"/>
  <c r="AU339" i="4"/>
  <c r="AW339" i="4"/>
  <c r="AX339" i="4"/>
  <c r="AE340" i="4"/>
  <c r="AF340" i="4"/>
  <c r="AH340" i="4"/>
  <c r="AI340" i="4"/>
  <c r="AK340" i="4"/>
  <c r="AL340" i="4"/>
  <c r="AN340" i="4"/>
  <c r="AO340" i="4"/>
  <c r="AQ340" i="4"/>
  <c r="AR340" i="4"/>
  <c r="AT340" i="4"/>
  <c r="AU340" i="4"/>
  <c r="AW340" i="4"/>
  <c r="AX340" i="4"/>
  <c r="AE342" i="4"/>
  <c r="AF342" i="4"/>
  <c r="AH342" i="4"/>
  <c r="AI342" i="4"/>
  <c r="AK342" i="4"/>
  <c r="AL342" i="4"/>
  <c r="AN342" i="4"/>
  <c r="AO342" i="4"/>
  <c r="AQ342" i="4"/>
  <c r="AR342" i="4"/>
  <c r="AT342" i="4"/>
  <c r="AU342" i="4"/>
  <c r="AW342" i="4"/>
  <c r="AX342" i="4"/>
  <c r="AE343" i="4"/>
  <c r="AF343" i="4"/>
  <c r="AH343" i="4"/>
  <c r="AI343" i="4"/>
  <c r="AK343" i="4"/>
  <c r="AL343" i="4"/>
  <c r="AN343" i="4"/>
  <c r="AO343" i="4"/>
  <c r="AQ343" i="4"/>
  <c r="AR343" i="4"/>
  <c r="AT343" i="4"/>
  <c r="AU343" i="4"/>
  <c r="AW343" i="4"/>
  <c r="AX343" i="4"/>
  <c r="AE344" i="4"/>
  <c r="AF344" i="4"/>
  <c r="AH344" i="4"/>
  <c r="AI344" i="4"/>
  <c r="AK344" i="4"/>
  <c r="AL344" i="4"/>
  <c r="AN344" i="4"/>
  <c r="AO344" i="4"/>
  <c r="AQ344" i="4"/>
  <c r="AR344" i="4"/>
  <c r="AT344" i="4"/>
  <c r="AU344" i="4"/>
  <c r="AW344" i="4"/>
  <c r="AX344" i="4"/>
  <c r="AE345" i="4"/>
  <c r="AF345" i="4"/>
  <c r="AH345" i="4"/>
  <c r="AI345" i="4"/>
  <c r="AK345" i="4"/>
  <c r="AL345" i="4"/>
  <c r="AN345" i="4"/>
  <c r="AO345" i="4"/>
  <c r="AQ345" i="4"/>
  <c r="AR345" i="4"/>
  <c r="AT345" i="4"/>
  <c r="AU345" i="4"/>
  <c r="AW345" i="4"/>
  <c r="AX345" i="4"/>
  <c r="AE346" i="4"/>
  <c r="AF346" i="4"/>
  <c r="AH346" i="4"/>
  <c r="AI346" i="4"/>
  <c r="AK346" i="4"/>
  <c r="AL346" i="4"/>
  <c r="AN346" i="4"/>
  <c r="AO346" i="4"/>
  <c r="AQ346" i="4"/>
  <c r="AR346" i="4"/>
  <c r="AT346" i="4"/>
  <c r="AU346" i="4"/>
  <c r="AW346" i="4"/>
  <c r="AX346" i="4"/>
  <c r="AE347" i="4"/>
  <c r="AF347" i="4"/>
  <c r="AH347" i="4"/>
  <c r="AI347" i="4"/>
  <c r="AK347" i="4"/>
  <c r="AL347" i="4"/>
  <c r="AN347" i="4"/>
  <c r="AO347" i="4"/>
  <c r="AQ347" i="4"/>
  <c r="AR347" i="4"/>
  <c r="AT347" i="4"/>
  <c r="AU347" i="4"/>
  <c r="AW347" i="4"/>
  <c r="AX347" i="4"/>
  <c r="AE348" i="4"/>
  <c r="AF348" i="4"/>
  <c r="AH348" i="4"/>
  <c r="AI348" i="4"/>
  <c r="AK348" i="4"/>
  <c r="AL348" i="4"/>
  <c r="AN348" i="4"/>
  <c r="AO348" i="4"/>
  <c r="AQ348" i="4"/>
  <c r="AR348" i="4"/>
  <c r="AT348" i="4"/>
  <c r="AU348" i="4"/>
  <c r="AW348" i="4"/>
  <c r="AX348" i="4"/>
  <c r="AE349" i="4"/>
  <c r="AF349" i="4"/>
  <c r="AH349" i="4"/>
  <c r="AI349" i="4"/>
  <c r="AK349" i="4"/>
  <c r="AL349" i="4"/>
  <c r="AN349" i="4"/>
  <c r="AO349" i="4"/>
  <c r="AQ349" i="4"/>
  <c r="AR349" i="4"/>
  <c r="AT349" i="4"/>
  <c r="AU349" i="4"/>
  <c r="AW349" i="4"/>
  <c r="AX349" i="4"/>
  <c r="AE350" i="4"/>
  <c r="AF350" i="4"/>
  <c r="AH350" i="4"/>
  <c r="AI350" i="4"/>
  <c r="AK350" i="4"/>
  <c r="AL350" i="4"/>
  <c r="AN350" i="4"/>
  <c r="AO350" i="4"/>
  <c r="AQ350" i="4"/>
  <c r="AR350" i="4"/>
  <c r="AT350" i="4"/>
  <c r="AU350" i="4"/>
  <c r="AW350" i="4"/>
  <c r="AX350" i="4"/>
  <c r="AE351" i="4"/>
  <c r="AF351" i="4"/>
  <c r="AH351" i="4"/>
  <c r="AI351" i="4"/>
  <c r="AK351" i="4"/>
  <c r="AL351" i="4"/>
  <c r="AN351" i="4"/>
  <c r="AO351" i="4"/>
  <c r="AQ351" i="4"/>
  <c r="AR351" i="4"/>
  <c r="AT351" i="4"/>
  <c r="AU351" i="4"/>
  <c r="AW351" i="4"/>
  <c r="AX351" i="4"/>
  <c r="AE352" i="4"/>
  <c r="AF352" i="4"/>
  <c r="AH352" i="4"/>
  <c r="AI352" i="4"/>
  <c r="AK352" i="4"/>
  <c r="AL352" i="4"/>
  <c r="AN352" i="4"/>
  <c r="AO352" i="4"/>
  <c r="AQ352" i="4"/>
  <c r="AR352" i="4"/>
  <c r="AT352" i="4"/>
  <c r="AU352" i="4"/>
  <c r="AW352" i="4"/>
  <c r="AX352" i="4"/>
  <c r="AE353" i="4"/>
  <c r="AF353" i="4"/>
  <c r="AH353" i="4"/>
  <c r="AI353" i="4"/>
  <c r="AK353" i="4"/>
  <c r="AL353" i="4"/>
  <c r="AN353" i="4"/>
  <c r="AO353" i="4"/>
  <c r="AQ353" i="4"/>
  <c r="AR353" i="4"/>
  <c r="AT353" i="4"/>
  <c r="AU353" i="4"/>
  <c r="AW353" i="4"/>
  <c r="AX353" i="4"/>
  <c r="AE354" i="4"/>
  <c r="AF354" i="4"/>
  <c r="AH354" i="4"/>
  <c r="AI354" i="4"/>
  <c r="AK354" i="4"/>
  <c r="AL354" i="4"/>
  <c r="AN354" i="4"/>
  <c r="AO354" i="4"/>
  <c r="AQ354" i="4"/>
  <c r="AR354" i="4"/>
  <c r="AT354" i="4"/>
  <c r="AU354" i="4"/>
  <c r="AW354" i="4"/>
  <c r="AX354" i="4"/>
  <c r="AE355" i="4"/>
  <c r="AF355" i="4"/>
  <c r="AH355" i="4"/>
  <c r="AI355" i="4"/>
  <c r="AK355" i="4"/>
  <c r="AL355" i="4"/>
  <c r="AN355" i="4"/>
  <c r="AO355" i="4"/>
  <c r="AQ355" i="4"/>
  <c r="AR355" i="4"/>
  <c r="AT355" i="4"/>
  <c r="AU355" i="4"/>
  <c r="AW355" i="4"/>
  <c r="AX355" i="4"/>
  <c r="AE356" i="4"/>
  <c r="AF356" i="4"/>
  <c r="AH356" i="4"/>
  <c r="AI356" i="4"/>
  <c r="AK356" i="4"/>
  <c r="AL356" i="4"/>
  <c r="AN356" i="4"/>
  <c r="AO356" i="4"/>
  <c r="AQ356" i="4"/>
  <c r="AR356" i="4"/>
  <c r="AT356" i="4"/>
  <c r="AU356" i="4"/>
  <c r="AW356" i="4"/>
  <c r="AX356" i="4"/>
  <c r="AE357" i="4"/>
  <c r="AF357" i="4"/>
  <c r="AH357" i="4"/>
  <c r="AI357" i="4"/>
  <c r="AK357" i="4"/>
  <c r="AL357" i="4"/>
  <c r="AN357" i="4"/>
  <c r="AO357" i="4"/>
  <c r="AQ357" i="4"/>
  <c r="AR357" i="4"/>
  <c r="AT357" i="4"/>
  <c r="AU357" i="4"/>
  <c r="AW357" i="4"/>
  <c r="AX357" i="4"/>
  <c r="AE358" i="4"/>
  <c r="AF358" i="4"/>
  <c r="AH358" i="4"/>
  <c r="AI358" i="4"/>
  <c r="AK358" i="4"/>
  <c r="AL358" i="4"/>
  <c r="AN358" i="4"/>
  <c r="AO358" i="4"/>
  <c r="AQ358" i="4"/>
  <c r="AR358" i="4"/>
  <c r="AT358" i="4"/>
  <c r="AU358" i="4"/>
  <c r="AW358" i="4"/>
  <c r="AX358" i="4"/>
  <c r="AE359" i="4"/>
  <c r="AF359" i="4"/>
  <c r="AH359" i="4"/>
  <c r="AI359" i="4"/>
  <c r="AK359" i="4"/>
  <c r="AL359" i="4"/>
  <c r="AN359" i="4"/>
  <c r="AO359" i="4"/>
  <c r="AQ359" i="4"/>
  <c r="AR359" i="4"/>
  <c r="AT359" i="4"/>
  <c r="AU359" i="4"/>
  <c r="AW359" i="4"/>
  <c r="AX359" i="4"/>
  <c r="AE360" i="4"/>
  <c r="AF360" i="4"/>
  <c r="AH360" i="4"/>
  <c r="AI360" i="4"/>
  <c r="AK360" i="4"/>
  <c r="AL360" i="4"/>
  <c r="AN360" i="4"/>
  <c r="AO360" i="4"/>
  <c r="AQ360" i="4"/>
  <c r="AR360" i="4"/>
  <c r="AT360" i="4"/>
  <c r="AU360" i="4"/>
  <c r="AW360" i="4"/>
  <c r="AX360" i="4"/>
  <c r="AE361" i="4"/>
  <c r="AF361" i="4"/>
  <c r="AH361" i="4"/>
  <c r="AI361" i="4"/>
  <c r="AK361" i="4"/>
  <c r="AL361" i="4"/>
  <c r="AN361" i="4"/>
  <c r="AO361" i="4"/>
  <c r="AQ361" i="4"/>
  <c r="AR361" i="4"/>
  <c r="AT361" i="4"/>
  <c r="AU361" i="4"/>
  <c r="AW361" i="4"/>
  <c r="AX361" i="4"/>
  <c r="AE362" i="4"/>
  <c r="AF362" i="4"/>
  <c r="AH362" i="4"/>
  <c r="AI362" i="4"/>
  <c r="AK362" i="4"/>
  <c r="AL362" i="4"/>
  <c r="AN362" i="4"/>
  <c r="AO362" i="4"/>
  <c r="AQ362" i="4"/>
  <c r="AR362" i="4"/>
  <c r="AT362" i="4"/>
  <c r="AU362" i="4"/>
  <c r="AW362" i="4"/>
  <c r="AX362" i="4"/>
  <c r="AE363" i="4"/>
  <c r="AF363" i="4"/>
  <c r="AH363" i="4"/>
  <c r="AI363" i="4"/>
  <c r="AK363" i="4"/>
  <c r="AL363" i="4"/>
  <c r="AN363" i="4"/>
  <c r="AO363" i="4"/>
  <c r="AQ363" i="4"/>
  <c r="AR363" i="4"/>
  <c r="AT363" i="4"/>
  <c r="AU363" i="4"/>
  <c r="AW363" i="4"/>
  <c r="AX363" i="4"/>
  <c r="AE364" i="4"/>
  <c r="AF364" i="4"/>
  <c r="AH364" i="4"/>
  <c r="AI364" i="4"/>
  <c r="AK364" i="4"/>
  <c r="AL364" i="4"/>
  <c r="AN364" i="4"/>
  <c r="AO364" i="4"/>
  <c r="AQ364" i="4"/>
  <c r="AR364" i="4"/>
  <c r="AT364" i="4"/>
  <c r="AU364" i="4"/>
  <c r="AW364" i="4"/>
  <c r="AX364" i="4"/>
  <c r="AE365" i="4"/>
  <c r="AF365" i="4"/>
  <c r="AH365" i="4"/>
  <c r="AI365" i="4"/>
  <c r="AK365" i="4"/>
  <c r="AL365" i="4"/>
  <c r="AN365" i="4"/>
  <c r="AO365" i="4"/>
  <c r="AQ365" i="4"/>
  <c r="AR365" i="4"/>
  <c r="AT365" i="4"/>
  <c r="AU365" i="4"/>
  <c r="AW365" i="4"/>
  <c r="AX365" i="4"/>
  <c r="AE366" i="4"/>
  <c r="AF366" i="4"/>
  <c r="AH366" i="4"/>
  <c r="AI366" i="4"/>
  <c r="AK366" i="4"/>
  <c r="AL366" i="4"/>
  <c r="AN366" i="4"/>
  <c r="AO366" i="4"/>
  <c r="AQ366" i="4"/>
  <c r="AR366" i="4"/>
  <c r="AT366" i="4"/>
  <c r="AU366" i="4"/>
  <c r="AW366" i="4"/>
  <c r="AX366" i="4"/>
  <c r="AE367" i="4"/>
  <c r="AF367" i="4"/>
  <c r="AH367" i="4"/>
  <c r="AI367" i="4"/>
  <c r="AK367" i="4"/>
  <c r="AL367" i="4"/>
  <c r="AN367" i="4"/>
  <c r="AO367" i="4"/>
  <c r="AQ367" i="4"/>
  <c r="AR367" i="4"/>
  <c r="AT367" i="4"/>
  <c r="AU367" i="4"/>
  <c r="AW367" i="4"/>
  <c r="AX367" i="4"/>
  <c r="AE368" i="4"/>
  <c r="AF368" i="4"/>
  <c r="AH368" i="4"/>
  <c r="AI368" i="4"/>
  <c r="AK368" i="4"/>
  <c r="AL368" i="4"/>
  <c r="AN368" i="4"/>
  <c r="AO368" i="4"/>
  <c r="AQ368" i="4"/>
  <c r="AR368" i="4"/>
  <c r="AT368" i="4"/>
  <c r="AU368" i="4"/>
  <c r="AW368" i="4"/>
  <c r="AX368" i="4"/>
  <c r="AE369" i="4"/>
  <c r="AF369" i="4"/>
  <c r="AH369" i="4"/>
  <c r="AI369" i="4"/>
  <c r="AK369" i="4"/>
  <c r="AL369" i="4"/>
  <c r="AN369" i="4"/>
  <c r="AO369" i="4"/>
  <c r="AQ369" i="4"/>
  <c r="AR369" i="4"/>
  <c r="AT369" i="4"/>
  <c r="AU369" i="4"/>
  <c r="AW369" i="4"/>
  <c r="AX369" i="4"/>
  <c r="AE370" i="4"/>
  <c r="AF370" i="4"/>
  <c r="AH370" i="4"/>
  <c r="AI370" i="4"/>
  <c r="AK370" i="4"/>
  <c r="AL370" i="4"/>
  <c r="AN370" i="4"/>
  <c r="AO370" i="4"/>
  <c r="AQ370" i="4"/>
  <c r="AR370" i="4"/>
  <c r="AT370" i="4"/>
  <c r="AU370" i="4"/>
  <c r="AW370" i="4"/>
  <c r="AX370" i="4"/>
  <c r="AE371" i="4"/>
  <c r="AF371" i="4"/>
  <c r="AH371" i="4"/>
  <c r="AI371" i="4"/>
  <c r="AK371" i="4"/>
  <c r="AL371" i="4"/>
  <c r="AN371" i="4"/>
  <c r="AO371" i="4"/>
  <c r="AQ371" i="4"/>
  <c r="AR371" i="4"/>
  <c r="AT371" i="4"/>
  <c r="AU371" i="4"/>
  <c r="AW371" i="4"/>
  <c r="AX371" i="4"/>
  <c r="AE372" i="4"/>
  <c r="AF372" i="4"/>
  <c r="AH372" i="4"/>
  <c r="AI372" i="4"/>
  <c r="AK372" i="4"/>
  <c r="AL372" i="4"/>
  <c r="AN372" i="4"/>
  <c r="AO372" i="4"/>
  <c r="AQ372" i="4"/>
  <c r="AR372" i="4"/>
  <c r="AT372" i="4"/>
  <c r="AU372" i="4"/>
  <c r="AW372" i="4"/>
  <c r="AX372" i="4"/>
  <c r="AE373" i="4"/>
  <c r="AF373" i="4"/>
  <c r="AH373" i="4"/>
  <c r="AI373" i="4"/>
  <c r="AK373" i="4"/>
  <c r="AL373" i="4"/>
  <c r="AN373" i="4"/>
  <c r="AO373" i="4"/>
  <c r="AQ373" i="4"/>
  <c r="AR373" i="4"/>
  <c r="AT373" i="4"/>
  <c r="AU373" i="4"/>
  <c r="AW373" i="4"/>
  <c r="AX373" i="4"/>
  <c r="AE374" i="4"/>
  <c r="AF374" i="4"/>
  <c r="AH374" i="4"/>
  <c r="AI374" i="4"/>
  <c r="AK374" i="4"/>
  <c r="AL374" i="4"/>
  <c r="AN374" i="4"/>
  <c r="AO374" i="4"/>
  <c r="AQ374" i="4"/>
  <c r="AR374" i="4"/>
  <c r="AT374" i="4"/>
  <c r="AU374" i="4"/>
  <c r="AW374" i="4"/>
  <c r="AX374" i="4"/>
  <c r="AE375" i="4"/>
  <c r="AF375" i="4"/>
  <c r="AH375" i="4"/>
  <c r="AI375" i="4"/>
  <c r="AK375" i="4"/>
  <c r="AL375" i="4"/>
  <c r="AN375" i="4"/>
  <c r="AO375" i="4"/>
  <c r="AQ375" i="4"/>
  <c r="AR375" i="4"/>
  <c r="AT375" i="4"/>
  <c r="AU375" i="4"/>
  <c r="AW375" i="4"/>
  <c r="AX375" i="4"/>
  <c r="AE376" i="4"/>
  <c r="AF376" i="4"/>
  <c r="AH376" i="4"/>
  <c r="AI376" i="4"/>
  <c r="AK376" i="4"/>
  <c r="AL376" i="4"/>
  <c r="AN376" i="4"/>
  <c r="AO376" i="4"/>
  <c r="AQ376" i="4"/>
  <c r="AR376" i="4"/>
  <c r="AT376" i="4"/>
  <c r="AU376" i="4"/>
  <c r="AW376" i="4"/>
  <c r="AX376" i="4"/>
  <c r="AE377" i="4"/>
  <c r="AF377" i="4"/>
  <c r="AH377" i="4"/>
  <c r="AI377" i="4"/>
  <c r="AK377" i="4"/>
  <c r="AL377" i="4"/>
  <c r="AN377" i="4"/>
  <c r="AO377" i="4"/>
  <c r="AQ377" i="4"/>
  <c r="AR377" i="4"/>
  <c r="AT377" i="4"/>
  <c r="AU377" i="4"/>
  <c r="AW377" i="4"/>
  <c r="AX377" i="4"/>
  <c r="AE378" i="4"/>
  <c r="AF378" i="4"/>
  <c r="AH378" i="4"/>
  <c r="AI378" i="4"/>
  <c r="AK378" i="4"/>
  <c r="AL378" i="4"/>
  <c r="AN378" i="4"/>
  <c r="AO378" i="4"/>
  <c r="AQ378" i="4"/>
  <c r="AR378" i="4"/>
  <c r="AT378" i="4"/>
  <c r="AU378" i="4"/>
  <c r="AW378" i="4"/>
  <c r="AX378" i="4"/>
  <c r="AE379" i="4"/>
  <c r="AF379" i="4"/>
  <c r="AH379" i="4"/>
  <c r="AI379" i="4"/>
  <c r="AK379" i="4"/>
  <c r="AL379" i="4"/>
  <c r="AN379" i="4"/>
  <c r="AO379" i="4"/>
  <c r="AQ379" i="4"/>
  <c r="AR379" i="4"/>
  <c r="AT379" i="4"/>
  <c r="AU379" i="4"/>
  <c r="AW379" i="4"/>
  <c r="AX379" i="4"/>
  <c r="AE380" i="4"/>
  <c r="AF380" i="4"/>
  <c r="AH380" i="4"/>
  <c r="AI380" i="4"/>
  <c r="AK380" i="4"/>
  <c r="AL380" i="4"/>
  <c r="AN380" i="4"/>
  <c r="AO380" i="4"/>
  <c r="AQ380" i="4"/>
  <c r="AR380" i="4"/>
  <c r="AT380" i="4"/>
  <c r="AU380" i="4"/>
  <c r="AW380" i="4"/>
  <c r="AX380" i="4"/>
  <c r="AE381" i="4"/>
  <c r="AF381" i="4"/>
  <c r="AH381" i="4"/>
  <c r="AI381" i="4"/>
  <c r="AK381" i="4"/>
  <c r="AL381" i="4"/>
  <c r="AN381" i="4"/>
  <c r="AO381" i="4"/>
  <c r="AQ381" i="4"/>
  <c r="AR381" i="4"/>
  <c r="AT381" i="4"/>
  <c r="AU381" i="4"/>
  <c r="AW381" i="4"/>
  <c r="AX381" i="4"/>
  <c r="AE382" i="4"/>
  <c r="AF382" i="4"/>
  <c r="AH382" i="4"/>
  <c r="AI382" i="4"/>
  <c r="AK382" i="4"/>
  <c r="AL382" i="4"/>
  <c r="AN382" i="4"/>
  <c r="AO382" i="4"/>
  <c r="AQ382" i="4"/>
  <c r="AR382" i="4"/>
  <c r="AT382" i="4"/>
  <c r="AU382" i="4"/>
  <c r="AW382" i="4"/>
  <c r="AX382" i="4"/>
  <c r="AE383" i="4"/>
  <c r="AF383" i="4"/>
  <c r="AH383" i="4"/>
  <c r="AI383" i="4"/>
  <c r="AK383" i="4"/>
  <c r="AL383" i="4"/>
  <c r="AN383" i="4"/>
  <c r="AO383" i="4"/>
  <c r="AQ383" i="4"/>
  <c r="AR383" i="4"/>
  <c r="AT383" i="4"/>
  <c r="AU383" i="4"/>
  <c r="AW383" i="4"/>
  <c r="AX383" i="4"/>
  <c r="AE384" i="4"/>
  <c r="AF384" i="4"/>
  <c r="AH384" i="4"/>
  <c r="AI384" i="4"/>
  <c r="AK384" i="4"/>
  <c r="AL384" i="4"/>
  <c r="AN384" i="4"/>
  <c r="AO384" i="4"/>
  <c r="AQ384" i="4"/>
  <c r="AR384" i="4"/>
  <c r="AT384" i="4"/>
  <c r="AU384" i="4"/>
  <c r="AW384" i="4"/>
  <c r="AX384" i="4"/>
  <c r="AE385" i="4"/>
  <c r="AF385" i="4"/>
  <c r="AH385" i="4"/>
  <c r="AI385" i="4"/>
  <c r="AK385" i="4"/>
  <c r="AL385" i="4"/>
  <c r="AN385" i="4"/>
  <c r="AO385" i="4"/>
  <c r="AQ385" i="4"/>
  <c r="AR385" i="4"/>
  <c r="AT385" i="4"/>
  <c r="AU385" i="4"/>
  <c r="AW385" i="4"/>
  <c r="AX385" i="4"/>
  <c r="AE386" i="4"/>
  <c r="AF386" i="4"/>
  <c r="AH386" i="4"/>
  <c r="AI386" i="4"/>
  <c r="AK386" i="4"/>
  <c r="AL386" i="4"/>
  <c r="AN386" i="4"/>
  <c r="AO386" i="4"/>
  <c r="AQ386" i="4"/>
  <c r="AR386" i="4"/>
  <c r="AT386" i="4"/>
  <c r="AU386" i="4"/>
  <c r="AW386" i="4"/>
  <c r="AX386" i="4"/>
  <c r="AE387" i="4"/>
  <c r="AF387" i="4"/>
  <c r="AH387" i="4"/>
  <c r="AI387" i="4"/>
  <c r="AK387" i="4"/>
  <c r="AL387" i="4"/>
  <c r="AN387" i="4"/>
  <c r="AO387" i="4"/>
  <c r="AQ387" i="4"/>
  <c r="AR387" i="4"/>
  <c r="AT387" i="4"/>
  <c r="AU387" i="4"/>
  <c r="AW387" i="4"/>
  <c r="AX387" i="4"/>
  <c r="AE388" i="4"/>
  <c r="AF388" i="4"/>
  <c r="AH388" i="4"/>
  <c r="AI388" i="4"/>
  <c r="AK388" i="4"/>
  <c r="AL388" i="4"/>
  <c r="AN388" i="4"/>
  <c r="AO388" i="4"/>
  <c r="AQ388" i="4"/>
  <c r="AR388" i="4"/>
  <c r="AT388" i="4"/>
  <c r="AU388" i="4"/>
  <c r="AW388" i="4"/>
  <c r="AX388" i="4"/>
  <c r="AE389" i="4"/>
  <c r="AF389" i="4"/>
  <c r="AH389" i="4"/>
  <c r="AI389" i="4"/>
  <c r="AK389" i="4"/>
  <c r="AL389" i="4"/>
  <c r="AN389" i="4"/>
  <c r="AO389" i="4"/>
  <c r="AQ389" i="4"/>
  <c r="AR389" i="4"/>
  <c r="AT389" i="4"/>
  <c r="AU389" i="4"/>
  <c r="AW389" i="4"/>
  <c r="AX389" i="4"/>
  <c r="AE390" i="4"/>
  <c r="AF390" i="4"/>
  <c r="AH390" i="4"/>
  <c r="AI390" i="4"/>
  <c r="AK390" i="4"/>
  <c r="AL390" i="4"/>
  <c r="AN390" i="4"/>
  <c r="AO390" i="4"/>
  <c r="AQ390" i="4"/>
  <c r="AR390" i="4"/>
  <c r="AT390" i="4"/>
  <c r="AU390" i="4"/>
  <c r="AW390" i="4"/>
  <c r="AX390" i="4"/>
  <c r="AE391" i="4"/>
  <c r="AF391" i="4"/>
  <c r="AH391" i="4"/>
  <c r="AI391" i="4"/>
  <c r="AK391" i="4"/>
  <c r="AL391" i="4"/>
  <c r="AN391" i="4"/>
  <c r="AO391" i="4"/>
  <c r="AQ391" i="4"/>
  <c r="AR391" i="4"/>
  <c r="AT391" i="4"/>
  <c r="AU391" i="4"/>
  <c r="AW391" i="4"/>
  <c r="AX391" i="4"/>
  <c r="AE392" i="4"/>
  <c r="AF392" i="4"/>
  <c r="AH392" i="4"/>
  <c r="AI392" i="4"/>
  <c r="AK392" i="4"/>
  <c r="AL392" i="4"/>
  <c r="AN392" i="4"/>
  <c r="AO392" i="4"/>
  <c r="AQ392" i="4"/>
  <c r="AR392" i="4"/>
  <c r="AT392" i="4"/>
  <c r="AU392" i="4"/>
  <c r="AW392" i="4"/>
  <c r="AX392" i="4"/>
  <c r="AE393" i="4"/>
  <c r="AF393" i="4"/>
  <c r="AH393" i="4"/>
  <c r="AI393" i="4"/>
  <c r="AK393" i="4"/>
  <c r="AL393" i="4"/>
  <c r="AN393" i="4"/>
  <c r="AO393" i="4"/>
  <c r="AQ393" i="4"/>
  <c r="AR393" i="4"/>
  <c r="AT393" i="4"/>
  <c r="AU393" i="4"/>
  <c r="AW393" i="4"/>
  <c r="AX393" i="4"/>
  <c r="AE394" i="4"/>
  <c r="AF394" i="4"/>
  <c r="AH394" i="4"/>
  <c r="AI394" i="4"/>
  <c r="AK394" i="4"/>
  <c r="AL394" i="4"/>
  <c r="AN394" i="4"/>
  <c r="AO394" i="4"/>
  <c r="AQ394" i="4"/>
  <c r="AR394" i="4"/>
  <c r="AT394" i="4"/>
  <c r="AU394" i="4"/>
  <c r="AW394" i="4"/>
  <c r="AX394" i="4"/>
  <c r="AE395" i="4"/>
  <c r="AF395" i="4"/>
  <c r="AH395" i="4"/>
  <c r="AI395" i="4"/>
  <c r="AK395" i="4"/>
  <c r="AL395" i="4"/>
  <c r="AN395" i="4"/>
  <c r="AO395" i="4"/>
  <c r="AQ395" i="4"/>
  <c r="AR395" i="4"/>
  <c r="AT395" i="4"/>
  <c r="AU395" i="4"/>
  <c r="AW395" i="4"/>
  <c r="AX395" i="4"/>
  <c r="AE396" i="4"/>
  <c r="AF396" i="4"/>
  <c r="AH396" i="4"/>
  <c r="AI396" i="4"/>
  <c r="AK396" i="4"/>
  <c r="AL396" i="4"/>
  <c r="AN396" i="4"/>
  <c r="AO396" i="4"/>
  <c r="AQ396" i="4"/>
  <c r="AR396" i="4"/>
  <c r="AT396" i="4"/>
  <c r="AU396" i="4"/>
  <c r="AW396" i="4"/>
  <c r="AX396" i="4"/>
  <c r="AE397" i="4"/>
  <c r="AF397" i="4"/>
  <c r="AH397" i="4"/>
  <c r="AI397" i="4"/>
  <c r="AK397" i="4"/>
  <c r="AL397" i="4"/>
  <c r="AN397" i="4"/>
  <c r="AO397" i="4"/>
  <c r="AQ397" i="4"/>
  <c r="AR397" i="4"/>
  <c r="AT397" i="4"/>
  <c r="AU397" i="4"/>
  <c r="AW397" i="4"/>
  <c r="AX397" i="4"/>
  <c r="AE398" i="4"/>
  <c r="AF398" i="4"/>
  <c r="AH398" i="4"/>
  <c r="AI398" i="4"/>
  <c r="AK398" i="4"/>
  <c r="AL398" i="4"/>
  <c r="AN398" i="4"/>
  <c r="AO398" i="4"/>
  <c r="AQ398" i="4"/>
  <c r="AR398" i="4"/>
  <c r="AT398" i="4"/>
  <c r="AU398" i="4"/>
  <c r="AW398" i="4"/>
  <c r="AX398" i="4"/>
  <c r="AE399" i="4"/>
  <c r="AF399" i="4"/>
  <c r="AH399" i="4"/>
  <c r="AI399" i="4"/>
  <c r="AK399" i="4"/>
  <c r="AL399" i="4"/>
  <c r="AN399" i="4"/>
  <c r="AO399" i="4"/>
  <c r="AQ399" i="4"/>
  <c r="AR399" i="4"/>
  <c r="AT399" i="4"/>
  <c r="AU399" i="4"/>
  <c r="AW399" i="4"/>
  <c r="AX399" i="4"/>
  <c r="AE400" i="4"/>
  <c r="AF400" i="4"/>
  <c r="AH400" i="4"/>
  <c r="AI400" i="4"/>
  <c r="AK400" i="4"/>
  <c r="AL400" i="4"/>
  <c r="AN400" i="4"/>
  <c r="AO400" i="4"/>
  <c r="AQ400" i="4"/>
  <c r="AR400" i="4"/>
  <c r="AT400" i="4"/>
  <c r="AU400" i="4"/>
  <c r="AW400" i="4"/>
  <c r="AX400" i="4"/>
  <c r="AE401" i="4"/>
  <c r="AF401" i="4"/>
  <c r="AH401" i="4"/>
  <c r="AI401" i="4"/>
  <c r="AK401" i="4"/>
  <c r="AL401" i="4"/>
  <c r="AN401" i="4"/>
  <c r="AO401" i="4"/>
  <c r="AQ401" i="4"/>
  <c r="AR401" i="4"/>
  <c r="AT401" i="4"/>
  <c r="AU401" i="4"/>
  <c r="AW401" i="4"/>
  <c r="AX401" i="4"/>
  <c r="AE402" i="4"/>
  <c r="AF402" i="4"/>
  <c r="AH402" i="4"/>
  <c r="AI402" i="4"/>
  <c r="AK402" i="4"/>
  <c r="AL402" i="4"/>
  <c r="AN402" i="4"/>
  <c r="AO402" i="4"/>
  <c r="AQ402" i="4"/>
  <c r="AR402" i="4"/>
  <c r="AT402" i="4"/>
  <c r="AU402" i="4"/>
  <c r="AW402" i="4"/>
  <c r="AX402" i="4"/>
  <c r="AE403" i="4"/>
  <c r="AF403" i="4"/>
  <c r="AH403" i="4"/>
  <c r="AI403" i="4"/>
  <c r="AK403" i="4"/>
  <c r="AL403" i="4"/>
  <c r="AN403" i="4"/>
  <c r="AO403" i="4"/>
  <c r="AQ403" i="4"/>
  <c r="AR403" i="4"/>
  <c r="AT403" i="4"/>
  <c r="AU403" i="4"/>
  <c r="AW403" i="4"/>
  <c r="AX403" i="4"/>
  <c r="AE404" i="4"/>
  <c r="AF404" i="4"/>
  <c r="AH404" i="4"/>
  <c r="AI404" i="4"/>
  <c r="AK404" i="4"/>
  <c r="AL404" i="4"/>
  <c r="AN404" i="4"/>
  <c r="AO404" i="4"/>
  <c r="AQ404" i="4"/>
  <c r="AR404" i="4"/>
  <c r="AT404" i="4"/>
  <c r="AU404" i="4"/>
  <c r="AW404" i="4"/>
  <c r="AX404" i="4"/>
  <c r="AE405" i="4"/>
  <c r="AF405" i="4"/>
  <c r="AH405" i="4"/>
  <c r="AI405" i="4"/>
  <c r="AK405" i="4"/>
  <c r="AL405" i="4"/>
  <c r="AN405" i="4"/>
  <c r="AO405" i="4"/>
  <c r="AQ405" i="4"/>
  <c r="AR405" i="4"/>
  <c r="AT405" i="4"/>
  <c r="AU405" i="4"/>
  <c r="AW405" i="4"/>
  <c r="AX405" i="4"/>
  <c r="AX11" i="4"/>
  <c r="AW11" i="4"/>
  <c r="AU11" i="4"/>
  <c r="AT11" i="4"/>
  <c r="AR11" i="4"/>
  <c r="AQ11" i="4"/>
  <c r="AO11" i="4"/>
  <c r="AN11" i="4"/>
  <c r="AL11" i="4"/>
  <c r="AK11" i="4"/>
  <c r="AI11" i="4"/>
  <c r="AH11" i="4"/>
  <c r="AF11" i="4"/>
  <c r="AE11" i="4"/>
  <c r="Y12" i="4"/>
  <c r="AA12" i="4"/>
  <c r="AB12" i="4"/>
  <c r="AC12" i="4"/>
  <c r="AD12" i="4"/>
  <c r="Y13" i="4"/>
  <c r="AA13" i="4"/>
  <c r="AB13" i="4"/>
  <c r="AC13" i="4"/>
  <c r="AD13" i="4"/>
  <c r="Y14" i="4"/>
  <c r="AA14" i="4"/>
  <c r="AB14" i="4"/>
  <c r="AC14" i="4"/>
  <c r="AD14" i="4"/>
  <c r="Y15" i="4"/>
  <c r="AA15" i="4"/>
  <c r="AB15" i="4"/>
  <c r="AC15" i="4"/>
  <c r="AD15" i="4"/>
  <c r="Y16" i="4"/>
  <c r="AA16" i="4"/>
  <c r="AB16" i="4"/>
  <c r="AC16" i="4"/>
  <c r="AD16" i="4"/>
  <c r="Y20" i="4"/>
  <c r="AA20" i="4"/>
  <c r="AB20" i="4"/>
  <c r="AC20" i="4"/>
  <c r="AD20" i="4"/>
  <c r="Y21" i="4"/>
  <c r="AA21" i="4"/>
  <c r="AB21" i="4"/>
  <c r="AC21" i="4"/>
  <c r="AD21" i="4"/>
  <c r="Y22" i="4"/>
  <c r="AA22" i="4"/>
  <c r="AB22" i="4"/>
  <c r="AC22" i="4"/>
  <c r="AD22" i="4"/>
  <c r="Y23" i="4"/>
  <c r="AA23" i="4"/>
  <c r="AB23" i="4"/>
  <c r="AC23" i="4"/>
  <c r="AD23" i="4"/>
  <c r="Y24" i="4"/>
  <c r="AA24" i="4"/>
  <c r="AB24" i="4"/>
  <c r="AC24" i="4"/>
  <c r="AD24" i="4"/>
  <c r="Y25" i="4"/>
  <c r="AA25" i="4"/>
  <c r="AB25" i="4"/>
  <c r="AC25" i="4"/>
  <c r="AD25" i="4"/>
  <c r="Y26" i="4"/>
  <c r="AA26" i="4"/>
  <c r="AB26" i="4"/>
  <c r="AC26" i="4"/>
  <c r="AD26" i="4"/>
  <c r="Y27" i="4"/>
  <c r="AA27" i="4"/>
  <c r="AB27" i="4"/>
  <c r="AC27" i="4"/>
  <c r="AD27" i="4"/>
  <c r="Y28" i="4"/>
  <c r="AA28" i="4"/>
  <c r="AB28" i="4"/>
  <c r="AC28" i="4"/>
  <c r="AD28" i="4"/>
  <c r="Y29" i="4"/>
  <c r="AA29" i="4"/>
  <c r="AB29" i="4"/>
  <c r="AC29" i="4"/>
  <c r="AD29" i="4"/>
  <c r="Y30" i="4"/>
  <c r="AA30" i="4"/>
  <c r="AB30" i="4"/>
  <c r="AC30" i="4"/>
  <c r="AD30" i="4"/>
  <c r="Y31" i="4"/>
  <c r="AA31" i="4"/>
  <c r="AB31" i="4"/>
  <c r="AC31" i="4"/>
  <c r="AD31" i="4"/>
  <c r="Y32" i="4"/>
  <c r="AA32" i="4"/>
  <c r="AB32" i="4"/>
  <c r="AC32" i="4"/>
  <c r="AD32" i="4"/>
  <c r="Y33" i="4"/>
  <c r="AA33" i="4"/>
  <c r="AB33" i="4"/>
  <c r="AC33" i="4"/>
  <c r="AD33" i="4"/>
  <c r="Y34" i="4"/>
  <c r="AA34" i="4"/>
  <c r="AB34" i="4"/>
  <c r="AC34" i="4"/>
  <c r="AD34" i="4"/>
  <c r="Y37" i="4"/>
  <c r="AA37" i="4"/>
  <c r="AB37" i="4"/>
  <c r="AC37" i="4"/>
  <c r="AD37" i="4"/>
  <c r="Y38" i="4"/>
  <c r="AA38" i="4"/>
  <c r="AB38" i="4"/>
  <c r="AC38" i="4"/>
  <c r="AD38" i="4"/>
  <c r="Y39" i="4"/>
  <c r="AA39" i="4"/>
  <c r="AB39" i="4"/>
  <c r="AC39" i="4"/>
  <c r="AD39" i="4"/>
  <c r="Y41" i="4"/>
  <c r="AA41" i="4"/>
  <c r="AB41" i="4"/>
  <c r="AC41" i="4"/>
  <c r="AD41" i="4"/>
  <c r="Y42" i="4"/>
  <c r="AA42" i="4"/>
  <c r="AB42" i="4"/>
  <c r="AC42" i="4"/>
  <c r="AD42" i="4"/>
  <c r="Y43" i="4"/>
  <c r="AA43" i="4"/>
  <c r="AB43" i="4"/>
  <c r="AC43" i="4"/>
  <c r="AD43" i="4"/>
  <c r="Y44" i="4"/>
  <c r="AA44" i="4"/>
  <c r="AB44" i="4"/>
  <c r="AC44" i="4"/>
  <c r="AD44" i="4"/>
  <c r="Y45" i="4"/>
  <c r="AA45" i="4"/>
  <c r="AB45" i="4"/>
  <c r="AC45" i="4"/>
  <c r="AD45" i="4"/>
  <c r="Y46" i="4"/>
  <c r="AA46" i="4"/>
  <c r="AB46" i="4"/>
  <c r="AC46" i="4"/>
  <c r="AD46" i="4"/>
  <c r="Y47" i="4"/>
  <c r="AA47" i="4"/>
  <c r="AB47" i="4"/>
  <c r="AC47" i="4"/>
  <c r="AD47" i="4"/>
  <c r="Y48" i="4"/>
  <c r="AA48" i="4"/>
  <c r="AB48" i="4"/>
  <c r="AC48" i="4"/>
  <c r="AD48" i="4"/>
  <c r="Y49" i="4"/>
  <c r="AA49" i="4"/>
  <c r="AB49" i="4"/>
  <c r="AC49" i="4"/>
  <c r="AD49" i="4"/>
  <c r="Y50" i="4"/>
  <c r="AA50" i="4"/>
  <c r="AB50" i="4"/>
  <c r="AC50" i="4"/>
  <c r="AD50" i="4"/>
  <c r="Y51" i="4"/>
  <c r="AA51" i="4"/>
  <c r="AB51" i="4"/>
  <c r="AC51" i="4"/>
  <c r="AD51" i="4"/>
  <c r="Y52" i="4"/>
  <c r="AA52" i="4"/>
  <c r="AB52" i="4"/>
  <c r="AC52" i="4"/>
  <c r="AD52" i="4"/>
  <c r="Y53" i="4"/>
  <c r="AA53" i="4"/>
  <c r="AB53" i="4"/>
  <c r="AC53" i="4"/>
  <c r="AD53" i="4"/>
  <c r="Y54" i="4"/>
  <c r="AA54" i="4"/>
  <c r="AB54" i="4"/>
  <c r="AC54" i="4"/>
  <c r="AD54" i="4"/>
  <c r="Y55" i="4"/>
  <c r="AA55" i="4"/>
  <c r="AB55" i="4"/>
  <c r="AC55" i="4"/>
  <c r="AD55" i="4"/>
  <c r="Y56" i="4"/>
  <c r="AA56" i="4"/>
  <c r="AB56" i="4"/>
  <c r="AC56" i="4"/>
  <c r="AD56" i="4"/>
  <c r="Y57" i="4"/>
  <c r="AA57" i="4"/>
  <c r="AB57" i="4"/>
  <c r="AC57" i="4"/>
  <c r="AD57" i="4"/>
  <c r="Y58" i="4"/>
  <c r="AA58" i="4"/>
  <c r="AB58" i="4"/>
  <c r="AC58" i="4"/>
  <c r="AD58" i="4"/>
  <c r="Y59" i="4"/>
  <c r="AA59" i="4"/>
  <c r="AB59" i="4"/>
  <c r="AC59" i="4"/>
  <c r="AD59" i="4"/>
  <c r="Y60" i="4"/>
  <c r="AA60" i="4"/>
  <c r="AB60" i="4"/>
  <c r="AC60" i="4"/>
  <c r="AD60" i="4"/>
  <c r="Y61" i="4"/>
  <c r="AA61" i="4"/>
  <c r="AB61" i="4"/>
  <c r="AC61" i="4"/>
  <c r="AD61" i="4"/>
  <c r="Y62" i="4"/>
  <c r="AA62" i="4"/>
  <c r="AB62" i="4"/>
  <c r="AC62" i="4"/>
  <c r="AD62" i="4"/>
  <c r="Y63" i="4"/>
  <c r="AA63" i="4"/>
  <c r="AB63" i="4"/>
  <c r="AC63" i="4"/>
  <c r="AD63" i="4"/>
  <c r="Y64" i="4"/>
  <c r="AA64" i="4"/>
  <c r="AB64" i="4"/>
  <c r="AC64" i="4"/>
  <c r="AD64" i="4"/>
  <c r="Y65" i="4"/>
  <c r="AA65" i="4"/>
  <c r="AB65" i="4"/>
  <c r="AC65" i="4"/>
  <c r="AD65" i="4"/>
  <c r="Y66" i="4"/>
  <c r="AA66" i="4"/>
  <c r="AB66" i="4"/>
  <c r="AC66" i="4"/>
  <c r="AD66" i="4"/>
  <c r="Y67" i="4"/>
  <c r="AA67" i="4"/>
  <c r="AB67" i="4"/>
  <c r="AC67" i="4"/>
  <c r="AD67" i="4"/>
  <c r="Y68" i="4"/>
  <c r="AA68" i="4"/>
  <c r="AB68" i="4"/>
  <c r="AC68" i="4"/>
  <c r="AD68" i="4"/>
  <c r="Y70" i="4"/>
  <c r="AA70" i="4"/>
  <c r="AB70" i="4"/>
  <c r="AC70" i="4"/>
  <c r="AD70" i="4"/>
  <c r="Y71" i="4"/>
  <c r="AA71" i="4"/>
  <c r="AB71" i="4"/>
  <c r="AC71" i="4"/>
  <c r="AD71" i="4"/>
  <c r="Y72" i="4"/>
  <c r="AA72" i="4"/>
  <c r="AB72" i="4"/>
  <c r="AC72" i="4"/>
  <c r="AD72" i="4"/>
  <c r="Y73" i="4"/>
  <c r="AA73" i="4"/>
  <c r="AB73" i="4"/>
  <c r="AC73" i="4"/>
  <c r="AD73" i="4"/>
  <c r="Y74" i="4"/>
  <c r="AA74" i="4"/>
  <c r="AB74" i="4"/>
  <c r="AC74" i="4"/>
  <c r="AD74" i="4"/>
  <c r="Y75" i="4"/>
  <c r="AA75" i="4"/>
  <c r="AB75" i="4"/>
  <c r="AC75" i="4"/>
  <c r="AD75" i="4"/>
  <c r="Y78" i="4"/>
  <c r="AA78" i="4"/>
  <c r="AB78" i="4"/>
  <c r="AC78" i="4"/>
  <c r="AD78" i="4"/>
  <c r="Y80" i="4"/>
  <c r="AA80" i="4"/>
  <c r="AB80" i="4"/>
  <c r="AC80" i="4"/>
  <c r="AD80" i="4"/>
  <c r="Y81" i="4"/>
  <c r="AA81" i="4"/>
  <c r="AB81" i="4"/>
  <c r="AC81" i="4"/>
  <c r="AD81" i="4"/>
  <c r="Y83" i="4"/>
  <c r="AA83" i="4"/>
  <c r="AB83" i="4"/>
  <c r="AC83" i="4"/>
  <c r="AD83" i="4"/>
  <c r="Y84" i="4"/>
  <c r="AA84" i="4"/>
  <c r="AB84" i="4"/>
  <c r="AC84" i="4"/>
  <c r="AD84" i="4"/>
  <c r="Y85" i="4"/>
  <c r="AA85" i="4"/>
  <c r="AB85" i="4"/>
  <c r="AC85" i="4"/>
  <c r="AD85" i="4"/>
  <c r="Y86" i="4"/>
  <c r="AA86" i="4"/>
  <c r="AB86" i="4"/>
  <c r="AC86" i="4"/>
  <c r="AD86" i="4"/>
  <c r="Y87" i="4"/>
  <c r="AA87" i="4"/>
  <c r="AB87" i="4"/>
  <c r="AC87" i="4"/>
  <c r="AD87" i="4"/>
  <c r="Y88" i="4"/>
  <c r="AA88" i="4"/>
  <c r="AB88" i="4"/>
  <c r="AC88" i="4"/>
  <c r="AD88" i="4"/>
  <c r="Y89" i="4"/>
  <c r="AA89" i="4"/>
  <c r="AB89" i="4"/>
  <c r="AC89" i="4"/>
  <c r="AD89" i="4"/>
  <c r="Y90" i="4"/>
  <c r="AA90" i="4"/>
  <c r="AB90" i="4"/>
  <c r="AC90" i="4"/>
  <c r="AD90" i="4"/>
  <c r="Y91" i="4"/>
  <c r="AA91" i="4"/>
  <c r="AB91" i="4"/>
  <c r="AC91" i="4"/>
  <c r="AD91" i="4"/>
  <c r="Y92" i="4"/>
  <c r="AA92" i="4"/>
  <c r="AB92" i="4"/>
  <c r="AC92" i="4"/>
  <c r="AD92" i="4"/>
  <c r="Y95" i="4"/>
  <c r="AA95" i="4"/>
  <c r="AB95" i="4"/>
  <c r="AC95" i="4"/>
  <c r="AD95" i="4"/>
  <c r="Y96" i="4"/>
  <c r="AA96" i="4"/>
  <c r="AB96" i="4"/>
  <c r="AC96" i="4"/>
  <c r="AD96" i="4"/>
  <c r="Y98" i="4"/>
  <c r="AA98" i="4"/>
  <c r="AB98" i="4"/>
  <c r="AC98" i="4"/>
  <c r="AD98" i="4"/>
  <c r="Y99" i="4"/>
  <c r="AA99" i="4"/>
  <c r="AB99" i="4"/>
  <c r="AC99" i="4"/>
  <c r="AD99" i="4"/>
  <c r="Y100" i="4"/>
  <c r="AA100" i="4"/>
  <c r="AB100" i="4"/>
  <c r="AC100" i="4"/>
  <c r="AD100" i="4"/>
  <c r="Y101" i="4"/>
  <c r="AA101" i="4"/>
  <c r="AB101" i="4"/>
  <c r="AC101" i="4"/>
  <c r="AD101" i="4"/>
  <c r="Y102" i="4"/>
  <c r="AA102" i="4"/>
  <c r="AB102" i="4"/>
  <c r="AC102" i="4"/>
  <c r="AD102" i="4"/>
  <c r="Y103" i="4"/>
  <c r="AA103" i="4"/>
  <c r="AB103" i="4"/>
  <c r="AC103" i="4"/>
  <c r="AD103" i="4"/>
  <c r="Y104" i="4"/>
  <c r="AA104" i="4"/>
  <c r="AB104" i="4"/>
  <c r="AC104" i="4"/>
  <c r="AD104" i="4"/>
  <c r="Y105" i="4"/>
  <c r="AA105" i="4"/>
  <c r="AB105" i="4"/>
  <c r="AC105" i="4"/>
  <c r="AD105" i="4"/>
  <c r="Y106" i="4"/>
  <c r="AA106" i="4"/>
  <c r="AB106" i="4"/>
  <c r="AC106" i="4"/>
  <c r="AD106" i="4"/>
  <c r="Y107" i="4"/>
  <c r="AA107" i="4"/>
  <c r="AB107" i="4"/>
  <c r="AC107" i="4"/>
  <c r="AD107" i="4"/>
  <c r="Y109" i="4"/>
  <c r="AA109" i="4"/>
  <c r="AB109" i="4"/>
  <c r="AC109" i="4"/>
  <c r="AD109" i="4"/>
  <c r="Y110" i="4"/>
  <c r="AA110" i="4"/>
  <c r="AB110" i="4"/>
  <c r="AC110" i="4"/>
  <c r="AD110" i="4"/>
  <c r="Y112" i="4"/>
  <c r="AA112" i="4"/>
  <c r="AB112" i="4"/>
  <c r="AC112" i="4"/>
  <c r="AD112" i="4"/>
  <c r="Y113" i="4"/>
  <c r="AA113" i="4"/>
  <c r="AB113" i="4"/>
  <c r="AC113" i="4"/>
  <c r="AD113" i="4"/>
  <c r="Y114" i="4"/>
  <c r="AA114" i="4"/>
  <c r="AB114" i="4"/>
  <c r="AC114" i="4"/>
  <c r="AD114" i="4"/>
  <c r="Y115" i="4"/>
  <c r="AA115" i="4"/>
  <c r="AB115" i="4"/>
  <c r="AC115" i="4"/>
  <c r="AD115" i="4"/>
  <c r="Y116" i="4"/>
  <c r="AA116" i="4"/>
  <c r="AB116" i="4"/>
  <c r="AC116" i="4"/>
  <c r="AD116" i="4"/>
  <c r="Y117" i="4"/>
  <c r="AA117" i="4"/>
  <c r="AB117" i="4"/>
  <c r="AC117" i="4"/>
  <c r="AD117" i="4"/>
  <c r="Y118" i="4"/>
  <c r="AA118" i="4"/>
  <c r="AB118" i="4"/>
  <c r="AC118" i="4"/>
  <c r="AD118" i="4"/>
  <c r="Y119" i="4"/>
  <c r="AA119" i="4"/>
  <c r="AB119" i="4"/>
  <c r="AC119" i="4"/>
  <c r="AD119" i="4"/>
  <c r="Y120" i="4"/>
  <c r="AA120" i="4"/>
  <c r="AB120" i="4"/>
  <c r="AC120" i="4"/>
  <c r="AD120" i="4"/>
  <c r="Y121" i="4"/>
  <c r="AA121" i="4"/>
  <c r="AB121" i="4"/>
  <c r="AC121" i="4"/>
  <c r="AD121" i="4"/>
  <c r="Y122" i="4"/>
  <c r="AA122" i="4"/>
  <c r="AB122" i="4"/>
  <c r="AC122" i="4"/>
  <c r="AD122" i="4"/>
  <c r="Y123" i="4"/>
  <c r="AA123" i="4"/>
  <c r="AB123" i="4"/>
  <c r="AC123" i="4"/>
  <c r="AD123" i="4"/>
  <c r="Y124" i="4"/>
  <c r="AA124" i="4"/>
  <c r="AB124" i="4"/>
  <c r="AC124" i="4"/>
  <c r="AD124" i="4"/>
  <c r="Y125" i="4"/>
  <c r="AA125" i="4"/>
  <c r="AB125" i="4"/>
  <c r="AC125" i="4"/>
  <c r="AD125" i="4"/>
  <c r="Y126" i="4"/>
  <c r="AA126" i="4"/>
  <c r="AB126" i="4"/>
  <c r="AC126" i="4"/>
  <c r="AD126" i="4"/>
  <c r="Y127" i="4"/>
  <c r="AA127" i="4"/>
  <c r="AB127" i="4"/>
  <c r="AC127" i="4"/>
  <c r="AD127" i="4"/>
  <c r="Y128" i="4"/>
  <c r="AA128" i="4"/>
  <c r="AB128" i="4"/>
  <c r="AC128" i="4"/>
  <c r="AD128" i="4"/>
  <c r="Y129" i="4"/>
  <c r="AA129" i="4"/>
  <c r="AB129" i="4"/>
  <c r="AC129" i="4"/>
  <c r="AD129" i="4"/>
  <c r="Y130" i="4"/>
  <c r="AA130" i="4"/>
  <c r="AB130" i="4"/>
  <c r="AC130" i="4"/>
  <c r="AD130" i="4"/>
  <c r="Y131" i="4"/>
  <c r="AA131" i="4"/>
  <c r="AB131" i="4"/>
  <c r="AC131" i="4"/>
  <c r="AD131" i="4"/>
  <c r="Y132" i="4"/>
  <c r="AA132" i="4"/>
  <c r="AB132" i="4"/>
  <c r="AC132" i="4"/>
  <c r="AD132" i="4"/>
  <c r="Y133" i="4"/>
  <c r="AA133" i="4"/>
  <c r="AB133" i="4"/>
  <c r="AC133" i="4"/>
  <c r="AD133" i="4"/>
  <c r="Y134" i="4"/>
  <c r="AA134" i="4"/>
  <c r="AB134" i="4"/>
  <c r="AC134" i="4"/>
  <c r="AD134" i="4"/>
  <c r="Y135" i="4"/>
  <c r="AA135" i="4"/>
  <c r="AB135" i="4"/>
  <c r="AC135" i="4"/>
  <c r="AD135" i="4"/>
  <c r="Y138" i="4"/>
  <c r="AA138" i="4"/>
  <c r="AB138" i="4"/>
  <c r="AC138" i="4"/>
  <c r="AD138" i="4"/>
  <c r="Y139" i="4"/>
  <c r="AA139" i="4"/>
  <c r="AB139" i="4"/>
  <c r="AC139" i="4"/>
  <c r="AD139" i="4"/>
  <c r="Y140" i="4"/>
  <c r="AA140" i="4"/>
  <c r="AB140" i="4"/>
  <c r="AC140" i="4"/>
  <c r="AD140" i="4"/>
  <c r="Y141" i="4"/>
  <c r="AA141" i="4"/>
  <c r="AB141" i="4"/>
  <c r="AC141" i="4"/>
  <c r="AD141" i="4"/>
  <c r="Y142" i="4"/>
  <c r="AA142" i="4"/>
  <c r="AB142" i="4"/>
  <c r="AC142" i="4"/>
  <c r="AD142" i="4"/>
  <c r="Y143" i="4"/>
  <c r="AA143" i="4"/>
  <c r="AB143" i="4"/>
  <c r="AC143" i="4"/>
  <c r="AD143" i="4"/>
  <c r="Y145" i="4"/>
  <c r="AA145" i="4"/>
  <c r="AB145" i="4"/>
  <c r="AC145" i="4"/>
  <c r="AD145" i="4"/>
  <c r="Y146" i="4"/>
  <c r="AA146" i="4"/>
  <c r="AB146" i="4"/>
  <c r="AC146" i="4"/>
  <c r="AD146" i="4"/>
  <c r="Y147" i="4"/>
  <c r="AA147" i="4"/>
  <c r="AB147" i="4"/>
  <c r="AC147" i="4"/>
  <c r="AD147" i="4"/>
  <c r="Y148" i="4"/>
  <c r="AA148" i="4"/>
  <c r="AB148" i="4"/>
  <c r="AC148" i="4"/>
  <c r="AD148" i="4"/>
  <c r="Y149" i="4"/>
  <c r="AA149" i="4"/>
  <c r="AB149" i="4"/>
  <c r="AC149" i="4"/>
  <c r="AD149" i="4"/>
  <c r="Y150" i="4"/>
  <c r="AA150" i="4"/>
  <c r="AB150" i="4"/>
  <c r="AC150" i="4"/>
  <c r="AD150" i="4"/>
  <c r="Y151" i="4"/>
  <c r="AA151" i="4"/>
  <c r="AB151" i="4"/>
  <c r="AC151" i="4"/>
  <c r="AD151" i="4"/>
  <c r="Y152" i="4"/>
  <c r="AA152" i="4"/>
  <c r="AB152" i="4"/>
  <c r="AC152" i="4"/>
  <c r="AD152" i="4"/>
  <c r="Y153" i="4"/>
  <c r="AA153" i="4"/>
  <c r="AB153" i="4"/>
  <c r="AC153" i="4"/>
  <c r="AD153" i="4"/>
  <c r="Y155" i="4"/>
  <c r="AA155" i="4"/>
  <c r="AB155" i="4"/>
  <c r="AC155" i="4"/>
  <c r="AD155" i="4"/>
  <c r="Y156" i="4"/>
  <c r="AA156" i="4"/>
  <c r="AB156" i="4"/>
  <c r="AC156" i="4"/>
  <c r="AD156" i="4"/>
  <c r="Y157" i="4"/>
  <c r="AA157" i="4"/>
  <c r="AB157" i="4"/>
  <c r="AC157" i="4"/>
  <c r="AD157" i="4"/>
  <c r="Y158" i="4"/>
  <c r="AA158" i="4"/>
  <c r="AB158" i="4"/>
  <c r="AC158" i="4"/>
  <c r="AD158" i="4"/>
  <c r="Y159" i="4"/>
  <c r="AA159" i="4"/>
  <c r="AB159" i="4"/>
  <c r="AC159" i="4"/>
  <c r="AD159" i="4"/>
  <c r="Y160" i="4"/>
  <c r="AA160" i="4"/>
  <c r="AB160" i="4"/>
  <c r="AC160" i="4"/>
  <c r="AD160" i="4"/>
  <c r="Y161" i="4"/>
  <c r="AA161" i="4"/>
  <c r="AB161" i="4"/>
  <c r="AC161" i="4"/>
  <c r="AD161" i="4"/>
  <c r="Y162" i="4"/>
  <c r="AA162" i="4"/>
  <c r="AB162" i="4"/>
  <c r="AC162" i="4"/>
  <c r="AD162" i="4"/>
  <c r="Y163" i="4"/>
  <c r="AA163" i="4"/>
  <c r="AB163" i="4"/>
  <c r="AC163" i="4"/>
  <c r="AD163" i="4"/>
  <c r="Y164" i="4"/>
  <c r="AA164" i="4"/>
  <c r="AB164" i="4"/>
  <c r="AC164" i="4"/>
  <c r="AD164" i="4"/>
  <c r="Y165" i="4"/>
  <c r="AA165" i="4"/>
  <c r="AB165" i="4"/>
  <c r="AC165" i="4"/>
  <c r="AD165" i="4"/>
  <c r="Y166" i="4"/>
  <c r="AA166" i="4"/>
  <c r="AB166" i="4"/>
  <c r="AC166" i="4"/>
  <c r="AD166" i="4"/>
  <c r="Y167" i="4"/>
  <c r="AA167" i="4"/>
  <c r="AB167" i="4"/>
  <c r="AC167" i="4"/>
  <c r="AD167" i="4"/>
  <c r="Y168" i="4"/>
  <c r="AA168" i="4"/>
  <c r="AB168" i="4"/>
  <c r="AC168" i="4"/>
  <c r="AD168" i="4"/>
  <c r="Y169" i="4"/>
  <c r="AA169" i="4"/>
  <c r="AB169" i="4"/>
  <c r="AC169" i="4"/>
  <c r="AD169" i="4"/>
  <c r="Y170" i="4"/>
  <c r="AA170" i="4"/>
  <c r="AB170" i="4"/>
  <c r="AC170" i="4"/>
  <c r="AD170" i="4"/>
  <c r="Y171" i="4"/>
  <c r="AA171" i="4"/>
  <c r="AB171" i="4"/>
  <c r="AC171" i="4"/>
  <c r="AD171" i="4"/>
  <c r="Y172" i="4"/>
  <c r="AA172" i="4"/>
  <c r="AB172" i="4"/>
  <c r="AC172" i="4"/>
  <c r="AD172" i="4"/>
  <c r="Y173" i="4"/>
  <c r="AA173" i="4"/>
  <c r="AB173" i="4"/>
  <c r="AC173" i="4"/>
  <c r="AD173" i="4"/>
  <c r="Y174" i="4"/>
  <c r="AA174" i="4"/>
  <c r="AB174" i="4"/>
  <c r="AC174" i="4"/>
  <c r="AD174" i="4"/>
  <c r="Y175" i="4"/>
  <c r="AA175" i="4"/>
  <c r="AB175" i="4"/>
  <c r="AC175" i="4"/>
  <c r="AD175" i="4"/>
  <c r="Y176" i="4"/>
  <c r="AA176" i="4"/>
  <c r="AB176" i="4"/>
  <c r="AC176" i="4"/>
  <c r="AD176" i="4"/>
  <c r="Y177" i="4"/>
  <c r="AA177" i="4"/>
  <c r="AB177" i="4"/>
  <c r="AC177" i="4"/>
  <c r="AD177" i="4"/>
  <c r="Y178" i="4"/>
  <c r="AA178" i="4"/>
  <c r="AB178" i="4"/>
  <c r="AC178" i="4"/>
  <c r="AD178" i="4"/>
  <c r="Y179" i="4"/>
  <c r="AA179" i="4"/>
  <c r="AB179" i="4"/>
  <c r="AC179" i="4"/>
  <c r="AD179" i="4"/>
  <c r="Y180" i="4"/>
  <c r="AA180" i="4"/>
  <c r="AB180" i="4"/>
  <c r="AC180" i="4"/>
  <c r="AD180" i="4"/>
  <c r="Y181" i="4"/>
  <c r="AA181" i="4"/>
  <c r="AB181" i="4"/>
  <c r="AC181" i="4"/>
  <c r="AD181" i="4"/>
  <c r="Y182" i="4"/>
  <c r="AA182" i="4"/>
  <c r="AB182" i="4"/>
  <c r="AC182" i="4"/>
  <c r="AD182" i="4"/>
  <c r="Y183" i="4"/>
  <c r="AA183" i="4"/>
  <c r="AB183" i="4"/>
  <c r="AC183" i="4"/>
  <c r="AD183" i="4"/>
  <c r="Y184" i="4"/>
  <c r="AA184" i="4"/>
  <c r="AB184" i="4"/>
  <c r="AC184" i="4"/>
  <c r="AD184" i="4"/>
  <c r="Y185" i="4"/>
  <c r="AA185" i="4"/>
  <c r="AB185" i="4"/>
  <c r="AC185" i="4"/>
  <c r="AD185" i="4"/>
  <c r="Y186" i="4"/>
  <c r="AA186" i="4"/>
  <c r="AB186" i="4"/>
  <c r="AC186" i="4"/>
  <c r="AD186" i="4"/>
  <c r="Y187" i="4"/>
  <c r="AA187" i="4"/>
  <c r="AB187" i="4"/>
  <c r="AC187" i="4"/>
  <c r="AD187" i="4"/>
  <c r="Y188" i="4"/>
  <c r="AA188" i="4"/>
  <c r="AB188" i="4"/>
  <c r="AC188" i="4"/>
  <c r="AD188" i="4"/>
  <c r="Y189" i="4"/>
  <c r="AA189" i="4"/>
  <c r="AB189" i="4"/>
  <c r="AC189" i="4"/>
  <c r="AD189" i="4"/>
  <c r="Y190" i="4"/>
  <c r="AA190" i="4"/>
  <c r="AB190" i="4"/>
  <c r="AC190" i="4"/>
  <c r="AD190" i="4"/>
  <c r="Y191" i="4"/>
  <c r="AA191" i="4"/>
  <c r="AB191" i="4"/>
  <c r="AC191" i="4"/>
  <c r="AD191" i="4"/>
  <c r="Y192" i="4"/>
  <c r="AA192" i="4"/>
  <c r="AB192" i="4"/>
  <c r="AC192" i="4"/>
  <c r="AD192" i="4"/>
  <c r="Y193" i="4"/>
  <c r="AA193" i="4"/>
  <c r="AB193" i="4"/>
  <c r="AC193" i="4"/>
  <c r="AD193" i="4"/>
  <c r="Y194" i="4"/>
  <c r="AA194" i="4"/>
  <c r="AB194" i="4"/>
  <c r="AC194" i="4"/>
  <c r="AD194" i="4"/>
  <c r="Y195" i="4"/>
  <c r="AA195" i="4"/>
  <c r="AB195" i="4"/>
  <c r="AC195" i="4"/>
  <c r="AD195" i="4"/>
  <c r="Y196" i="4"/>
  <c r="AA196" i="4"/>
  <c r="AB196" i="4"/>
  <c r="AC196" i="4"/>
  <c r="AD196" i="4"/>
  <c r="Y197" i="4"/>
  <c r="AA197" i="4"/>
  <c r="AB197" i="4"/>
  <c r="AC197" i="4"/>
  <c r="AD197" i="4"/>
  <c r="Y198" i="4"/>
  <c r="AA198" i="4"/>
  <c r="AB198" i="4"/>
  <c r="AC198" i="4"/>
  <c r="AD198" i="4"/>
  <c r="Y199" i="4"/>
  <c r="AA199" i="4"/>
  <c r="AB199" i="4"/>
  <c r="AC199" i="4"/>
  <c r="AD199" i="4"/>
  <c r="Y200" i="4"/>
  <c r="AA200" i="4"/>
  <c r="AB200" i="4"/>
  <c r="AC200" i="4"/>
  <c r="AD200" i="4"/>
  <c r="Y201" i="4"/>
  <c r="AA201" i="4"/>
  <c r="AB201" i="4"/>
  <c r="AC201" i="4"/>
  <c r="AD201" i="4"/>
  <c r="Y202" i="4"/>
  <c r="AA202" i="4"/>
  <c r="AB202" i="4"/>
  <c r="AC202" i="4"/>
  <c r="AD202" i="4"/>
  <c r="Y203" i="4"/>
  <c r="AA203" i="4"/>
  <c r="AB203" i="4"/>
  <c r="AC203" i="4"/>
  <c r="AD203" i="4"/>
  <c r="Y204" i="4"/>
  <c r="AA204" i="4"/>
  <c r="AB204" i="4"/>
  <c r="AC204" i="4"/>
  <c r="AD204" i="4"/>
  <c r="Y205" i="4"/>
  <c r="AA205" i="4"/>
  <c r="AB205" i="4"/>
  <c r="AC205" i="4"/>
  <c r="AD205" i="4"/>
  <c r="Y206" i="4"/>
  <c r="AA206" i="4"/>
  <c r="AB206" i="4"/>
  <c r="AC206" i="4"/>
  <c r="AD206" i="4"/>
  <c r="Y208" i="4"/>
  <c r="AA208" i="4"/>
  <c r="AB208" i="4"/>
  <c r="AC208" i="4"/>
  <c r="AD208" i="4"/>
  <c r="Y209" i="4"/>
  <c r="AA209" i="4"/>
  <c r="AB209" i="4"/>
  <c r="AC209" i="4"/>
  <c r="AD209" i="4"/>
  <c r="Y210" i="4"/>
  <c r="AA210" i="4"/>
  <c r="AB210" i="4"/>
  <c r="AC210" i="4"/>
  <c r="AD210" i="4"/>
  <c r="Y211" i="4"/>
  <c r="AA211" i="4"/>
  <c r="AB211" i="4"/>
  <c r="AC211" i="4"/>
  <c r="AD211" i="4"/>
  <c r="Y213" i="4"/>
  <c r="AA213" i="4"/>
  <c r="AB213" i="4"/>
  <c r="AC213" i="4"/>
  <c r="AD213" i="4"/>
  <c r="Y214" i="4"/>
  <c r="AA214" i="4"/>
  <c r="AB214" i="4"/>
  <c r="AC214" i="4"/>
  <c r="AD214" i="4"/>
  <c r="Y215" i="4"/>
  <c r="AA215" i="4"/>
  <c r="AB215" i="4"/>
  <c r="AC215" i="4"/>
  <c r="AD215" i="4"/>
  <c r="Y216" i="4"/>
  <c r="AA216" i="4"/>
  <c r="AB216" i="4"/>
  <c r="AC216" i="4"/>
  <c r="AD216" i="4"/>
  <c r="Y217" i="4"/>
  <c r="AA217" i="4"/>
  <c r="AB217" i="4"/>
  <c r="AC217" i="4"/>
  <c r="AD217" i="4"/>
  <c r="Y218" i="4"/>
  <c r="AA218" i="4"/>
  <c r="AB218" i="4"/>
  <c r="AC218" i="4"/>
  <c r="AD218" i="4"/>
  <c r="Y219" i="4"/>
  <c r="AA219" i="4"/>
  <c r="AB219" i="4"/>
  <c r="AC219" i="4"/>
  <c r="AD219" i="4"/>
  <c r="Y220" i="4"/>
  <c r="AA220" i="4"/>
  <c r="AB220" i="4"/>
  <c r="AC220" i="4"/>
  <c r="AD220" i="4"/>
  <c r="Y221" i="4"/>
  <c r="AA221" i="4"/>
  <c r="AB221" i="4"/>
  <c r="AC221" i="4"/>
  <c r="AD221" i="4"/>
  <c r="Y222" i="4"/>
  <c r="AA222" i="4"/>
  <c r="AB222" i="4"/>
  <c r="AC222" i="4"/>
  <c r="AD222" i="4"/>
  <c r="Y223" i="4"/>
  <c r="AA223" i="4"/>
  <c r="AB223" i="4"/>
  <c r="AC223" i="4"/>
  <c r="AD223" i="4"/>
  <c r="Y224" i="4"/>
  <c r="AA224" i="4"/>
  <c r="AB224" i="4"/>
  <c r="AC224" i="4"/>
  <c r="AD224" i="4"/>
  <c r="Y225" i="4"/>
  <c r="AA225" i="4"/>
  <c r="AB225" i="4"/>
  <c r="AC225" i="4"/>
  <c r="AD225" i="4"/>
  <c r="Y226" i="4"/>
  <c r="AA226" i="4"/>
  <c r="AB226" i="4"/>
  <c r="AC226" i="4"/>
  <c r="AD226" i="4"/>
  <c r="Y227" i="4"/>
  <c r="AA227" i="4"/>
  <c r="AB227" i="4"/>
  <c r="AC227" i="4"/>
  <c r="AD227" i="4"/>
  <c r="Y228" i="4"/>
  <c r="AA228" i="4"/>
  <c r="AB228" i="4"/>
  <c r="AC228" i="4"/>
  <c r="AD228" i="4"/>
  <c r="Y229" i="4"/>
  <c r="AA229" i="4"/>
  <c r="AB229" i="4"/>
  <c r="AC229" i="4"/>
  <c r="AD229" i="4"/>
  <c r="Y230" i="4"/>
  <c r="AA230" i="4"/>
  <c r="AB230" i="4"/>
  <c r="AC230" i="4"/>
  <c r="AD230" i="4"/>
  <c r="Y231" i="4"/>
  <c r="AA231" i="4"/>
  <c r="AB231" i="4"/>
  <c r="AC231" i="4"/>
  <c r="AD231" i="4"/>
  <c r="Y232" i="4"/>
  <c r="AA232" i="4"/>
  <c r="AB232" i="4"/>
  <c r="AC232" i="4"/>
  <c r="AD232" i="4"/>
  <c r="Y233" i="4"/>
  <c r="AA233" i="4"/>
  <c r="AB233" i="4"/>
  <c r="AC233" i="4"/>
  <c r="AD233" i="4"/>
  <c r="Y234" i="4"/>
  <c r="AA234" i="4"/>
  <c r="AB234" i="4"/>
  <c r="AC234" i="4"/>
  <c r="AD234" i="4"/>
  <c r="Y235" i="4"/>
  <c r="AA235" i="4"/>
  <c r="AB235" i="4"/>
  <c r="AC235" i="4"/>
  <c r="AD235" i="4"/>
  <c r="Y236" i="4"/>
  <c r="AA236" i="4"/>
  <c r="AB236" i="4"/>
  <c r="AC236" i="4"/>
  <c r="AD236" i="4"/>
  <c r="Y237" i="4"/>
  <c r="AA237" i="4"/>
  <c r="AB237" i="4"/>
  <c r="AC237" i="4"/>
  <c r="AD237" i="4"/>
  <c r="Y238" i="4"/>
  <c r="AA238" i="4"/>
  <c r="AB238" i="4"/>
  <c r="AC238" i="4"/>
  <c r="AD238" i="4"/>
  <c r="Y239" i="4"/>
  <c r="AA239" i="4"/>
  <c r="AB239" i="4"/>
  <c r="AC239" i="4"/>
  <c r="AD239" i="4"/>
  <c r="Y240" i="4"/>
  <c r="AA240" i="4"/>
  <c r="AB240" i="4"/>
  <c r="AC240" i="4"/>
  <c r="AD240" i="4"/>
  <c r="Y241" i="4"/>
  <c r="AA241" i="4"/>
  <c r="AB241" i="4"/>
  <c r="AC241" i="4"/>
  <c r="AD241" i="4"/>
  <c r="Y242" i="4"/>
  <c r="AA242" i="4"/>
  <c r="AB242" i="4"/>
  <c r="AC242" i="4"/>
  <c r="AD242" i="4"/>
  <c r="Y244" i="4"/>
  <c r="AA244" i="4"/>
  <c r="AB244" i="4"/>
  <c r="AC244" i="4"/>
  <c r="AD244" i="4"/>
  <c r="Y245" i="4"/>
  <c r="AA245" i="4"/>
  <c r="AB245" i="4"/>
  <c r="AC245" i="4"/>
  <c r="AD245" i="4"/>
  <c r="Y246" i="4"/>
  <c r="AA246" i="4"/>
  <c r="AB246" i="4"/>
  <c r="AC246" i="4"/>
  <c r="AD246" i="4"/>
  <c r="Y247" i="4"/>
  <c r="AA247" i="4"/>
  <c r="AB247" i="4"/>
  <c r="AC247" i="4"/>
  <c r="AD247" i="4"/>
  <c r="Y248" i="4"/>
  <c r="AA248" i="4"/>
  <c r="AB248" i="4"/>
  <c r="AC248" i="4"/>
  <c r="AD248" i="4"/>
  <c r="Y249" i="4"/>
  <c r="AA249" i="4"/>
  <c r="AB249" i="4"/>
  <c r="AC249" i="4"/>
  <c r="AD249" i="4"/>
  <c r="Y250" i="4"/>
  <c r="AA250" i="4"/>
  <c r="AB250" i="4"/>
  <c r="AC250" i="4"/>
  <c r="AD250" i="4"/>
  <c r="Y251" i="4"/>
  <c r="AA251" i="4"/>
  <c r="AB251" i="4"/>
  <c r="AC251" i="4"/>
  <c r="AD251" i="4"/>
  <c r="Y252" i="4"/>
  <c r="AA252" i="4"/>
  <c r="AB252" i="4"/>
  <c r="AC252" i="4"/>
  <c r="AD252" i="4"/>
  <c r="Y253" i="4"/>
  <c r="AA253" i="4"/>
  <c r="AB253" i="4"/>
  <c r="AC253" i="4"/>
  <c r="AD253" i="4"/>
  <c r="Y254" i="4"/>
  <c r="AA254" i="4"/>
  <c r="AB254" i="4"/>
  <c r="AC254" i="4"/>
  <c r="AD254" i="4"/>
  <c r="Y255" i="4"/>
  <c r="AA255" i="4"/>
  <c r="AB255" i="4"/>
  <c r="AC255" i="4"/>
  <c r="AD255" i="4"/>
  <c r="Y256" i="4"/>
  <c r="AA256" i="4"/>
  <c r="AB256" i="4"/>
  <c r="AC256" i="4"/>
  <c r="AD256" i="4"/>
  <c r="Y257" i="4"/>
  <c r="AA257" i="4"/>
  <c r="AB257" i="4"/>
  <c r="AC257" i="4"/>
  <c r="AD257" i="4"/>
  <c r="Y258" i="4"/>
  <c r="AA258" i="4"/>
  <c r="AB258" i="4"/>
  <c r="AC258" i="4"/>
  <c r="AD258" i="4"/>
  <c r="Y259" i="4"/>
  <c r="AA259" i="4"/>
  <c r="AB259" i="4"/>
  <c r="AC259" i="4"/>
  <c r="AD259" i="4"/>
  <c r="Y261" i="4"/>
  <c r="AA261" i="4"/>
  <c r="AB261" i="4"/>
  <c r="AC261" i="4"/>
  <c r="AD261" i="4"/>
  <c r="Y262" i="4"/>
  <c r="AA262" i="4"/>
  <c r="AB262" i="4"/>
  <c r="AC262" i="4"/>
  <c r="AD262" i="4"/>
  <c r="Y263" i="4"/>
  <c r="AA263" i="4"/>
  <c r="AB263" i="4"/>
  <c r="AC263" i="4"/>
  <c r="AD263" i="4"/>
  <c r="Y265" i="4"/>
  <c r="AA265" i="4"/>
  <c r="AB265" i="4"/>
  <c r="AC265" i="4"/>
  <c r="AD265" i="4"/>
  <c r="Y266" i="4"/>
  <c r="AA266" i="4"/>
  <c r="AB266" i="4"/>
  <c r="AC266" i="4"/>
  <c r="AD266" i="4"/>
  <c r="Y267" i="4"/>
  <c r="AA267" i="4"/>
  <c r="AB267" i="4"/>
  <c r="AC267" i="4"/>
  <c r="AD267" i="4"/>
  <c r="Y268" i="4"/>
  <c r="AA268" i="4"/>
  <c r="AB268" i="4"/>
  <c r="AC268" i="4"/>
  <c r="AD268" i="4"/>
  <c r="Y269" i="4"/>
  <c r="AA269" i="4"/>
  <c r="AB269" i="4"/>
  <c r="AC269" i="4"/>
  <c r="AD269" i="4"/>
  <c r="Y270" i="4"/>
  <c r="AA270" i="4"/>
  <c r="AB270" i="4"/>
  <c r="AC270" i="4"/>
  <c r="AD270" i="4"/>
  <c r="Y271" i="4"/>
  <c r="AA271" i="4"/>
  <c r="AB271" i="4"/>
  <c r="AC271" i="4"/>
  <c r="AD271" i="4"/>
  <c r="Y272" i="4"/>
  <c r="AA272" i="4"/>
  <c r="AB272" i="4"/>
  <c r="AC272" i="4"/>
  <c r="AD272" i="4"/>
  <c r="Y273" i="4"/>
  <c r="AA273" i="4"/>
  <c r="AB273" i="4"/>
  <c r="AC273" i="4"/>
  <c r="AD273" i="4"/>
  <c r="Y274" i="4"/>
  <c r="AA274" i="4"/>
  <c r="AB274" i="4"/>
  <c r="AC274" i="4"/>
  <c r="AD274" i="4"/>
  <c r="Y275" i="4"/>
  <c r="AA275" i="4"/>
  <c r="AB275" i="4"/>
  <c r="AC275" i="4"/>
  <c r="AD275" i="4"/>
  <c r="Y276" i="4"/>
  <c r="AA276" i="4"/>
  <c r="AB276" i="4"/>
  <c r="AC276" i="4"/>
  <c r="AD276" i="4"/>
  <c r="Y277" i="4"/>
  <c r="AA277" i="4"/>
  <c r="AB277" i="4"/>
  <c r="AC277" i="4"/>
  <c r="AD277" i="4"/>
  <c r="Y278" i="4"/>
  <c r="AA278" i="4"/>
  <c r="AB278" i="4"/>
  <c r="AC278" i="4"/>
  <c r="AD278" i="4"/>
  <c r="Y279" i="4"/>
  <c r="AA279" i="4"/>
  <c r="AB279" i="4"/>
  <c r="AC279" i="4"/>
  <c r="AD279" i="4"/>
  <c r="Y280" i="4"/>
  <c r="AA280" i="4"/>
  <c r="AB280" i="4"/>
  <c r="AC280" i="4"/>
  <c r="AD280" i="4"/>
  <c r="Y281" i="4"/>
  <c r="AA281" i="4"/>
  <c r="AB281" i="4"/>
  <c r="AC281" i="4"/>
  <c r="AD281" i="4"/>
  <c r="Y282" i="4"/>
  <c r="AA282" i="4"/>
  <c r="AB282" i="4"/>
  <c r="AC282" i="4"/>
  <c r="AD282" i="4"/>
  <c r="Y283" i="4"/>
  <c r="AA283" i="4"/>
  <c r="AB283" i="4"/>
  <c r="AC283" i="4"/>
  <c r="AD283" i="4"/>
  <c r="Y284" i="4"/>
  <c r="AA284" i="4"/>
  <c r="AB284" i="4"/>
  <c r="AC284" i="4"/>
  <c r="AD284" i="4"/>
  <c r="Y285" i="4"/>
  <c r="AA285" i="4"/>
  <c r="AB285" i="4"/>
  <c r="AC285" i="4"/>
  <c r="AD285" i="4"/>
  <c r="Y286" i="4"/>
  <c r="AA286" i="4"/>
  <c r="AB286" i="4"/>
  <c r="AC286" i="4"/>
  <c r="AD286" i="4"/>
  <c r="Y287" i="4"/>
  <c r="AA287" i="4"/>
  <c r="AB287" i="4"/>
  <c r="AC287" i="4"/>
  <c r="AD287" i="4"/>
  <c r="Y288" i="4"/>
  <c r="AA288" i="4"/>
  <c r="AB288" i="4"/>
  <c r="AC288" i="4"/>
  <c r="AD288" i="4"/>
  <c r="Y289" i="4"/>
  <c r="AA289" i="4"/>
  <c r="AB289" i="4"/>
  <c r="AC289" i="4"/>
  <c r="AD289" i="4"/>
  <c r="Y290" i="4"/>
  <c r="AA290" i="4"/>
  <c r="AB290" i="4"/>
  <c r="AC290" i="4"/>
  <c r="AD290" i="4"/>
  <c r="Y293" i="4"/>
  <c r="AA293" i="4"/>
  <c r="AB293" i="4"/>
  <c r="AC293" i="4"/>
  <c r="AD293" i="4"/>
  <c r="Y294" i="4"/>
  <c r="AA294" i="4"/>
  <c r="AB294" i="4"/>
  <c r="AC294" i="4"/>
  <c r="AD294" i="4"/>
  <c r="Y295" i="4"/>
  <c r="AA295" i="4"/>
  <c r="AB295" i="4"/>
  <c r="AC295" i="4"/>
  <c r="AD295" i="4"/>
  <c r="Y296" i="4"/>
  <c r="AA296" i="4"/>
  <c r="AB296" i="4"/>
  <c r="AC296" i="4"/>
  <c r="AD296" i="4"/>
  <c r="Y297" i="4"/>
  <c r="AA297" i="4"/>
  <c r="AB297" i="4"/>
  <c r="AC297" i="4"/>
  <c r="AD297" i="4"/>
  <c r="Y298" i="4"/>
  <c r="AA298" i="4"/>
  <c r="AB298" i="4"/>
  <c r="AC298" i="4"/>
  <c r="AD298" i="4"/>
  <c r="Y299" i="4"/>
  <c r="AA299" i="4"/>
  <c r="AB299" i="4"/>
  <c r="AC299" i="4"/>
  <c r="AD299" i="4"/>
  <c r="Y300" i="4"/>
  <c r="AA300" i="4"/>
  <c r="AB300" i="4"/>
  <c r="AC300" i="4"/>
  <c r="AD300" i="4"/>
  <c r="Y301" i="4"/>
  <c r="AA301" i="4"/>
  <c r="AB301" i="4"/>
  <c r="AC301" i="4"/>
  <c r="AD301" i="4"/>
  <c r="Y302" i="4"/>
  <c r="AA302" i="4"/>
  <c r="AB302" i="4"/>
  <c r="AC302" i="4"/>
  <c r="AD302" i="4"/>
  <c r="Y303" i="4"/>
  <c r="AA303" i="4"/>
  <c r="AB303" i="4"/>
  <c r="AC303" i="4"/>
  <c r="AD303" i="4"/>
  <c r="Y304" i="4"/>
  <c r="AA304" i="4"/>
  <c r="AB304" i="4"/>
  <c r="AC304" i="4"/>
  <c r="AD304" i="4"/>
  <c r="Y305" i="4"/>
  <c r="AA305" i="4"/>
  <c r="AB305" i="4"/>
  <c r="AC305" i="4"/>
  <c r="AD305" i="4"/>
  <c r="Y306" i="4"/>
  <c r="AA306" i="4"/>
  <c r="AB306" i="4"/>
  <c r="AC306" i="4"/>
  <c r="AD306" i="4"/>
  <c r="Y307" i="4"/>
  <c r="AA307" i="4"/>
  <c r="AB307" i="4"/>
  <c r="AC307" i="4"/>
  <c r="AD307" i="4"/>
  <c r="Y308" i="4"/>
  <c r="AA308" i="4"/>
  <c r="AB308" i="4"/>
  <c r="AC308" i="4"/>
  <c r="AD308" i="4"/>
  <c r="Y309" i="4"/>
  <c r="AA309" i="4"/>
  <c r="AB309" i="4"/>
  <c r="AC309" i="4"/>
  <c r="AD309" i="4"/>
  <c r="Y310" i="4"/>
  <c r="AA310" i="4"/>
  <c r="AB310" i="4"/>
  <c r="AC310" i="4"/>
  <c r="AD310" i="4"/>
  <c r="Y311" i="4"/>
  <c r="AA311" i="4"/>
  <c r="AB311" i="4"/>
  <c r="AC311" i="4"/>
  <c r="AD311" i="4"/>
  <c r="Y312" i="4"/>
  <c r="AA312" i="4"/>
  <c r="AB312" i="4"/>
  <c r="AC312" i="4"/>
  <c r="AD312" i="4"/>
  <c r="Y313" i="4"/>
  <c r="AA313" i="4"/>
  <c r="AB313" i="4"/>
  <c r="AC313" i="4"/>
  <c r="AD313" i="4"/>
  <c r="Y314" i="4"/>
  <c r="AA314" i="4"/>
  <c r="AB314" i="4"/>
  <c r="AC314" i="4"/>
  <c r="AD314" i="4"/>
  <c r="Y315" i="4"/>
  <c r="AA315" i="4"/>
  <c r="AB315" i="4"/>
  <c r="AC315" i="4"/>
  <c r="AD315" i="4"/>
  <c r="Y316" i="4"/>
  <c r="AA316" i="4"/>
  <c r="AB316" i="4"/>
  <c r="AC316" i="4"/>
  <c r="AD316" i="4"/>
  <c r="Y317" i="4"/>
  <c r="AA317" i="4"/>
  <c r="AB317" i="4"/>
  <c r="AC317" i="4"/>
  <c r="AD317" i="4"/>
  <c r="Y318" i="4"/>
  <c r="AA318" i="4"/>
  <c r="AB318" i="4"/>
  <c r="AC318" i="4"/>
  <c r="AD318" i="4"/>
  <c r="Y319" i="4"/>
  <c r="AA319" i="4"/>
  <c r="AB319" i="4"/>
  <c r="AC319" i="4"/>
  <c r="AD319" i="4"/>
  <c r="Y320" i="4"/>
  <c r="AA320" i="4"/>
  <c r="AB320" i="4"/>
  <c r="AC320" i="4"/>
  <c r="AD320" i="4"/>
  <c r="Y321" i="4"/>
  <c r="AA321" i="4"/>
  <c r="AB321" i="4"/>
  <c r="AC321" i="4"/>
  <c r="AD321" i="4"/>
  <c r="Y322" i="4"/>
  <c r="AA322" i="4"/>
  <c r="AB322" i="4"/>
  <c r="AC322" i="4"/>
  <c r="AD322" i="4"/>
  <c r="Y323" i="4"/>
  <c r="AA323" i="4"/>
  <c r="AB323" i="4"/>
  <c r="AC323" i="4"/>
  <c r="AD323" i="4"/>
  <c r="Y324" i="4"/>
  <c r="AA324" i="4"/>
  <c r="AB324" i="4"/>
  <c r="AC324" i="4"/>
  <c r="AD324" i="4"/>
  <c r="Y325" i="4"/>
  <c r="AA325" i="4"/>
  <c r="AB325" i="4"/>
  <c r="AC325" i="4"/>
  <c r="AD325" i="4"/>
  <c r="Y326" i="4"/>
  <c r="AA326" i="4"/>
  <c r="AB326" i="4"/>
  <c r="AC326" i="4"/>
  <c r="AD326" i="4"/>
  <c r="Y327" i="4"/>
  <c r="AA327" i="4"/>
  <c r="AB327" i="4"/>
  <c r="AC327" i="4"/>
  <c r="AD327" i="4"/>
  <c r="Y328" i="4"/>
  <c r="AA328" i="4"/>
  <c r="AB328" i="4"/>
  <c r="AC328" i="4"/>
  <c r="AD328" i="4"/>
  <c r="Y329" i="4"/>
  <c r="AA329" i="4"/>
  <c r="AB329" i="4"/>
  <c r="AC329" i="4"/>
  <c r="AD329" i="4"/>
  <c r="Y330" i="4"/>
  <c r="AA330" i="4"/>
  <c r="AB330" i="4"/>
  <c r="AC330" i="4"/>
  <c r="AD330" i="4"/>
  <c r="Y331" i="4"/>
  <c r="AA331" i="4"/>
  <c r="AB331" i="4"/>
  <c r="AC331" i="4"/>
  <c r="AD331" i="4"/>
  <c r="Y332" i="4"/>
  <c r="AA332" i="4"/>
  <c r="AB332" i="4"/>
  <c r="AC332" i="4"/>
  <c r="AD332" i="4"/>
  <c r="Y333" i="4"/>
  <c r="AA333" i="4"/>
  <c r="AB333" i="4"/>
  <c r="AC333" i="4"/>
  <c r="AD333" i="4"/>
  <c r="Y334" i="4"/>
  <c r="AA334" i="4"/>
  <c r="AB334" i="4"/>
  <c r="AC334" i="4"/>
  <c r="AD334" i="4"/>
  <c r="Y335" i="4"/>
  <c r="AA335" i="4"/>
  <c r="AB335" i="4"/>
  <c r="AC335" i="4"/>
  <c r="AD335" i="4"/>
  <c r="Y336" i="4"/>
  <c r="AA336" i="4"/>
  <c r="AB336" i="4"/>
  <c r="AC336" i="4"/>
  <c r="AD336" i="4"/>
  <c r="Y337" i="4"/>
  <c r="AA337" i="4"/>
  <c r="AB337" i="4"/>
  <c r="AC337" i="4"/>
  <c r="AD337" i="4"/>
  <c r="Y338" i="4"/>
  <c r="AA338" i="4"/>
  <c r="AB338" i="4"/>
  <c r="AC338" i="4"/>
  <c r="AD338" i="4"/>
  <c r="Y339" i="4"/>
  <c r="AA339" i="4"/>
  <c r="AB339" i="4"/>
  <c r="AC339" i="4"/>
  <c r="AD339" i="4"/>
  <c r="Y340" i="4"/>
  <c r="AA340" i="4"/>
  <c r="AB340" i="4"/>
  <c r="AC340" i="4"/>
  <c r="AD340" i="4"/>
  <c r="Y342" i="4"/>
  <c r="AA342" i="4"/>
  <c r="AB342" i="4"/>
  <c r="AC342" i="4"/>
  <c r="AD342" i="4"/>
  <c r="Y343" i="4"/>
  <c r="AA343" i="4"/>
  <c r="AB343" i="4"/>
  <c r="AC343" i="4"/>
  <c r="AD343" i="4"/>
  <c r="Y344" i="4"/>
  <c r="AA344" i="4"/>
  <c r="AB344" i="4"/>
  <c r="AC344" i="4"/>
  <c r="AD344" i="4"/>
  <c r="Y345" i="4"/>
  <c r="AA345" i="4"/>
  <c r="AB345" i="4"/>
  <c r="AC345" i="4"/>
  <c r="AD345" i="4"/>
  <c r="Y346" i="4"/>
  <c r="AA346" i="4"/>
  <c r="AB346" i="4"/>
  <c r="AC346" i="4"/>
  <c r="AD346" i="4"/>
  <c r="Y347" i="4"/>
  <c r="AA347" i="4"/>
  <c r="AB347" i="4"/>
  <c r="AC347" i="4"/>
  <c r="AD347" i="4"/>
  <c r="Y348" i="4"/>
  <c r="AA348" i="4"/>
  <c r="AB348" i="4"/>
  <c r="AC348" i="4"/>
  <c r="AD348" i="4"/>
  <c r="Y349" i="4"/>
  <c r="AA349" i="4"/>
  <c r="AB349" i="4"/>
  <c r="AC349" i="4"/>
  <c r="AD349" i="4"/>
  <c r="Y350" i="4"/>
  <c r="AA350" i="4"/>
  <c r="AB350" i="4"/>
  <c r="AC350" i="4"/>
  <c r="AD350" i="4"/>
  <c r="Y351" i="4"/>
  <c r="AA351" i="4"/>
  <c r="AB351" i="4"/>
  <c r="AC351" i="4"/>
  <c r="AD351" i="4"/>
  <c r="Y352" i="4"/>
  <c r="AA352" i="4"/>
  <c r="AB352" i="4"/>
  <c r="AC352" i="4"/>
  <c r="AD352" i="4"/>
  <c r="Y353" i="4"/>
  <c r="AA353" i="4"/>
  <c r="AB353" i="4"/>
  <c r="AC353" i="4"/>
  <c r="AD353" i="4"/>
  <c r="Y354" i="4"/>
  <c r="AA354" i="4"/>
  <c r="AB354" i="4"/>
  <c r="AC354" i="4"/>
  <c r="AD354" i="4"/>
  <c r="Y355" i="4"/>
  <c r="AA355" i="4"/>
  <c r="AB355" i="4"/>
  <c r="AC355" i="4"/>
  <c r="AD355" i="4"/>
  <c r="Y356" i="4"/>
  <c r="AA356" i="4"/>
  <c r="AB356" i="4"/>
  <c r="AC356" i="4"/>
  <c r="AD356" i="4"/>
  <c r="Y357" i="4"/>
  <c r="AA357" i="4"/>
  <c r="AB357" i="4"/>
  <c r="AC357" i="4"/>
  <c r="AD357" i="4"/>
  <c r="Y358" i="4"/>
  <c r="AA358" i="4"/>
  <c r="AB358" i="4"/>
  <c r="AC358" i="4"/>
  <c r="AD358" i="4"/>
  <c r="Y359" i="4"/>
  <c r="AA359" i="4"/>
  <c r="AB359" i="4"/>
  <c r="AC359" i="4"/>
  <c r="AD359" i="4"/>
  <c r="Y360" i="4"/>
  <c r="AA360" i="4"/>
  <c r="AB360" i="4"/>
  <c r="AC360" i="4"/>
  <c r="AD360" i="4"/>
  <c r="Y361" i="4"/>
  <c r="AA361" i="4"/>
  <c r="AB361" i="4"/>
  <c r="AC361" i="4"/>
  <c r="AD361" i="4"/>
  <c r="Y362" i="4"/>
  <c r="AA362" i="4"/>
  <c r="AB362" i="4"/>
  <c r="AC362" i="4"/>
  <c r="AD362" i="4"/>
  <c r="Y363" i="4"/>
  <c r="AA363" i="4"/>
  <c r="AB363" i="4"/>
  <c r="AC363" i="4"/>
  <c r="AD363" i="4"/>
  <c r="Y364" i="4"/>
  <c r="AA364" i="4"/>
  <c r="AB364" i="4"/>
  <c r="AC364" i="4"/>
  <c r="AD364" i="4"/>
  <c r="Y365" i="4"/>
  <c r="AA365" i="4"/>
  <c r="AB365" i="4"/>
  <c r="AC365" i="4"/>
  <c r="AD365" i="4"/>
  <c r="Y366" i="4"/>
  <c r="AA366" i="4"/>
  <c r="AB366" i="4"/>
  <c r="AC366" i="4"/>
  <c r="AD366" i="4"/>
  <c r="Y367" i="4"/>
  <c r="AA367" i="4"/>
  <c r="AB367" i="4"/>
  <c r="AC367" i="4"/>
  <c r="AD367" i="4"/>
  <c r="Y368" i="4"/>
  <c r="AA368" i="4"/>
  <c r="AB368" i="4"/>
  <c r="AC368" i="4"/>
  <c r="AD368" i="4"/>
  <c r="Y369" i="4"/>
  <c r="AA369" i="4"/>
  <c r="AB369" i="4"/>
  <c r="AC369" i="4"/>
  <c r="AD369" i="4"/>
  <c r="Y370" i="4"/>
  <c r="AA370" i="4"/>
  <c r="AB370" i="4"/>
  <c r="AC370" i="4"/>
  <c r="AD370" i="4"/>
  <c r="Y371" i="4"/>
  <c r="AA371" i="4"/>
  <c r="AB371" i="4"/>
  <c r="AC371" i="4"/>
  <c r="AD371" i="4"/>
  <c r="Y372" i="4"/>
  <c r="AA372" i="4"/>
  <c r="AB372" i="4"/>
  <c r="AC372" i="4"/>
  <c r="AD372" i="4"/>
  <c r="Y373" i="4"/>
  <c r="AA373" i="4"/>
  <c r="AB373" i="4"/>
  <c r="AC373" i="4"/>
  <c r="AD373" i="4"/>
  <c r="Y374" i="4"/>
  <c r="AA374" i="4"/>
  <c r="AB374" i="4"/>
  <c r="AC374" i="4"/>
  <c r="AD374" i="4"/>
  <c r="Y375" i="4"/>
  <c r="AA375" i="4"/>
  <c r="AB375" i="4"/>
  <c r="AC375" i="4"/>
  <c r="AD375" i="4"/>
  <c r="Y376" i="4"/>
  <c r="AA376" i="4"/>
  <c r="AB376" i="4"/>
  <c r="AC376" i="4"/>
  <c r="AD376" i="4"/>
  <c r="Y377" i="4"/>
  <c r="AA377" i="4"/>
  <c r="AB377" i="4"/>
  <c r="AC377" i="4"/>
  <c r="AD377" i="4"/>
  <c r="Y378" i="4"/>
  <c r="AA378" i="4"/>
  <c r="AB378" i="4"/>
  <c r="AC378" i="4"/>
  <c r="AD378" i="4"/>
  <c r="Y379" i="4"/>
  <c r="AA379" i="4"/>
  <c r="AB379" i="4"/>
  <c r="AC379" i="4"/>
  <c r="AD379" i="4"/>
  <c r="Y380" i="4"/>
  <c r="AA380" i="4"/>
  <c r="AB380" i="4"/>
  <c r="AC380" i="4"/>
  <c r="AD380" i="4"/>
  <c r="Y381" i="4"/>
  <c r="AA381" i="4"/>
  <c r="AB381" i="4"/>
  <c r="AC381" i="4"/>
  <c r="AD381" i="4"/>
  <c r="Y382" i="4"/>
  <c r="AA382" i="4"/>
  <c r="AB382" i="4"/>
  <c r="AC382" i="4"/>
  <c r="AD382" i="4"/>
  <c r="Y383" i="4"/>
  <c r="AA383" i="4"/>
  <c r="AB383" i="4"/>
  <c r="AC383" i="4"/>
  <c r="AD383" i="4"/>
  <c r="Y384" i="4"/>
  <c r="AA384" i="4"/>
  <c r="AB384" i="4"/>
  <c r="AC384" i="4"/>
  <c r="AD384" i="4"/>
  <c r="Y385" i="4"/>
  <c r="AA385" i="4"/>
  <c r="AB385" i="4"/>
  <c r="AC385" i="4"/>
  <c r="AD385" i="4"/>
  <c r="Y386" i="4"/>
  <c r="AA386" i="4"/>
  <c r="AB386" i="4"/>
  <c r="AC386" i="4"/>
  <c r="AD386" i="4"/>
  <c r="Y387" i="4"/>
  <c r="AA387" i="4"/>
  <c r="AB387" i="4"/>
  <c r="AC387" i="4"/>
  <c r="AD387" i="4"/>
  <c r="Y388" i="4"/>
  <c r="AA388" i="4"/>
  <c r="AB388" i="4"/>
  <c r="AC388" i="4"/>
  <c r="AD388" i="4"/>
  <c r="Y389" i="4"/>
  <c r="AA389" i="4"/>
  <c r="AB389" i="4"/>
  <c r="AC389" i="4"/>
  <c r="AD389" i="4"/>
  <c r="Y390" i="4"/>
  <c r="AA390" i="4"/>
  <c r="AB390" i="4"/>
  <c r="AC390" i="4"/>
  <c r="AD390" i="4"/>
  <c r="Y391" i="4"/>
  <c r="AA391" i="4"/>
  <c r="AB391" i="4"/>
  <c r="AC391" i="4"/>
  <c r="AD391" i="4"/>
  <c r="Y392" i="4"/>
  <c r="AA392" i="4"/>
  <c r="AB392" i="4"/>
  <c r="AC392" i="4"/>
  <c r="AD392" i="4"/>
  <c r="Y393" i="4"/>
  <c r="AA393" i="4"/>
  <c r="AB393" i="4"/>
  <c r="AC393" i="4"/>
  <c r="AD393" i="4"/>
  <c r="Y394" i="4"/>
  <c r="AA394" i="4"/>
  <c r="AB394" i="4"/>
  <c r="AC394" i="4"/>
  <c r="AD394" i="4"/>
  <c r="Y395" i="4"/>
  <c r="AA395" i="4"/>
  <c r="AB395" i="4"/>
  <c r="AC395" i="4"/>
  <c r="AD395" i="4"/>
  <c r="Y396" i="4"/>
  <c r="AA396" i="4"/>
  <c r="AB396" i="4"/>
  <c r="AC396" i="4"/>
  <c r="AD396" i="4"/>
  <c r="Y397" i="4"/>
  <c r="AA397" i="4"/>
  <c r="AB397" i="4"/>
  <c r="AC397" i="4"/>
  <c r="AD397" i="4"/>
  <c r="Y398" i="4"/>
  <c r="AA398" i="4"/>
  <c r="AB398" i="4"/>
  <c r="AC398" i="4"/>
  <c r="AD398" i="4"/>
  <c r="Y399" i="4"/>
  <c r="AA399" i="4"/>
  <c r="AB399" i="4"/>
  <c r="AC399" i="4"/>
  <c r="AD399" i="4"/>
  <c r="Y400" i="4"/>
  <c r="AA400" i="4"/>
  <c r="AB400" i="4"/>
  <c r="AC400" i="4"/>
  <c r="AD400" i="4"/>
  <c r="Y401" i="4"/>
  <c r="AA401" i="4"/>
  <c r="AB401" i="4"/>
  <c r="AC401" i="4"/>
  <c r="AD401" i="4"/>
  <c r="Y402" i="4"/>
  <c r="AA402" i="4"/>
  <c r="AB402" i="4"/>
  <c r="AC402" i="4"/>
  <c r="AD402" i="4"/>
  <c r="Y403" i="4"/>
  <c r="AA403" i="4"/>
  <c r="AB403" i="4"/>
  <c r="AC403" i="4"/>
  <c r="AD403" i="4"/>
  <c r="Y404" i="4"/>
  <c r="AA404" i="4"/>
  <c r="AB404" i="4"/>
  <c r="AC404" i="4"/>
  <c r="AD404" i="4"/>
  <c r="Y405" i="4"/>
  <c r="AA405" i="4"/>
  <c r="AB405" i="4"/>
  <c r="AC405" i="4"/>
  <c r="AD405" i="4"/>
  <c r="AD11" i="4"/>
  <c r="AC11" i="4"/>
  <c r="AB11" i="4"/>
  <c r="AA11" i="4"/>
  <c r="Y11" i="4"/>
  <c r="O12" i="4"/>
  <c r="P12" i="4"/>
  <c r="R12" i="4"/>
  <c r="S12" i="4"/>
  <c r="U12" i="4"/>
  <c r="W12" i="4"/>
  <c r="X12" i="4"/>
  <c r="O13" i="4"/>
  <c r="P13" i="4"/>
  <c r="R13" i="4"/>
  <c r="S13" i="4"/>
  <c r="U13" i="4"/>
  <c r="W13" i="4"/>
  <c r="X13" i="4"/>
  <c r="O14" i="4"/>
  <c r="P14" i="4"/>
  <c r="R14" i="4"/>
  <c r="S14" i="4"/>
  <c r="U14" i="4"/>
  <c r="W14" i="4"/>
  <c r="X14" i="4"/>
  <c r="O15" i="4"/>
  <c r="P15" i="4"/>
  <c r="R15" i="4"/>
  <c r="S15" i="4"/>
  <c r="U15" i="4"/>
  <c r="W15" i="4"/>
  <c r="X15" i="4"/>
  <c r="O16" i="4"/>
  <c r="P16" i="4"/>
  <c r="R16" i="4"/>
  <c r="S16" i="4"/>
  <c r="U16" i="4"/>
  <c r="W16" i="4"/>
  <c r="X16" i="4"/>
  <c r="O20" i="4"/>
  <c r="P20" i="4"/>
  <c r="R20" i="4"/>
  <c r="S20" i="4"/>
  <c r="U20" i="4"/>
  <c r="W20" i="4"/>
  <c r="X20" i="4"/>
  <c r="O21" i="4"/>
  <c r="P21" i="4"/>
  <c r="R21" i="4"/>
  <c r="S21" i="4"/>
  <c r="U21" i="4"/>
  <c r="W21" i="4"/>
  <c r="X21" i="4"/>
  <c r="O22" i="4"/>
  <c r="P22" i="4"/>
  <c r="R22" i="4"/>
  <c r="S22" i="4"/>
  <c r="U22" i="4"/>
  <c r="W22" i="4"/>
  <c r="X22" i="4"/>
  <c r="O23" i="4"/>
  <c r="P23" i="4"/>
  <c r="R23" i="4"/>
  <c r="S23" i="4"/>
  <c r="U23" i="4"/>
  <c r="W23" i="4"/>
  <c r="X23" i="4"/>
  <c r="O24" i="4"/>
  <c r="P24" i="4"/>
  <c r="R24" i="4"/>
  <c r="S24" i="4"/>
  <c r="U24" i="4"/>
  <c r="W24" i="4"/>
  <c r="X24" i="4"/>
  <c r="O25" i="4"/>
  <c r="P25" i="4"/>
  <c r="R25" i="4"/>
  <c r="S25" i="4"/>
  <c r="U25" i="4"/>
  <c r="W25" i="4"/>
  <c r="X25" i="4"/>
  <c r="O26" i="4"/>
  <c r="P26" i="4"/>
  <c r="R26" i="4"/>
  <c r="S26" i="4"/>
  <c r="U26" i="4"/>
  <c r="W26" i="4"/>
  <c r="X26" i="4"/>
  <c r="O27" i="4"/>
  <c r="P27" i="4"/>
  <c r="R27" i="4"/>
  <c r="S27" i="4"/>
  <c r="U27" i="4"/>
  <c r="W27" i="4"/>
  <c r="X27" i="4"/>
  <c r="O28" i="4"/>
  <c r="P28" i="4"/>
  <c r="R28" i="4"/>
  <c r="S28" i="4"/>
  <c r="U28" i="4"/>
  <c r="W28" i="4"/>
  <c r="X28" i="4"/>
  <c r="O29" i="4"/>
  <c r="P29" i="4"/>
  <c r="R29" i="4"/>
  <c r="S29" i="4"/>
  <c r="U29" i="4"/>
  <c r="W29" i="4"/>
  <c r="X29" i="4"/>
  <c r="O30" i="4"/>
  <c r="P30" i="4"/>
  <c r="R30" i="4"/>
  <c r="S30" i="4"/>
  <c r="U30" i="4"/>
  <c r="W30" i="4"/>
  <c r="X30" i="4"/>
  <c r="O31" i="4"/>
  <c r="P31" i="4"/>
  <c r="R31" i="4"/>
  <c r="S31" i="4"/>
  <c r="U31" i="4"/>
  <c r="W31" i="4"/>
  <c r="X31" i="4"/>
  <c r="O32" i="4"/>
  <c r="P32" i="4"/>
  <c r="R32" i="4"/>
  <c r="S32" i="4"/>
  <c r="U32" i="4"/>
  <c r="W32" i="4"/>
  <c r="X32" i="4"/>
  <c r="O33" i="4"/>
  <c r="P33" i="4"/>
  <c r="R33" i="4"/>
  <c r="S33" i="4"/>
  <c r="U33" i="4"/>
  <c r="W33" i="4"/>
  <c r="X33" i="4"/>
  <c r="O34" i="4"/>
  <c r="P34" i="4"/>
  <c r="R34" i="4"/>
  <c r="S34" i="4"/>
  <c r="U34" i="4"/>
  <c r="W34" i="4"/>
  <c r="X34" i="4"/>
  <c r="O37" i="4"/>
  <c r="P37" i="4"/>
  <c r="R37" i="4"/>
  <c r="S37" i="4"/>
  <c r="U37" i="4"/>
  <c r="W37" i="4"/>
  <c r="X37" i="4"/>
  <c r="O38" i="4"/>
  <c r="P38" i="4"/>
  <c r="R38" i="4"/>
  <c r="S38" i="4"/>
  <c r="U38" i="4"/>
  <c r="W38" i="4"/>
  <c r="X38" i="4"/>
  <c r="O39" i="4"/>
  <c r="P39" i="4"/>
  <c r="R39" i="4"/>
  <c r="S39" i="4"/>
  <c r="U39" i="4"/>
  <c r="W39" i="4"/>
  <c r="X39" i="4"/>
  <c r="O41" i="4"/>
  <c r="P41" i="4"/>
  <c r="R41" i="4"/>
  <c r="S41" i="4"/>
  <c r="U41" i="4"/>
  <c r="W41" i="4"/>
  <c r="X41" i="4"/>
  <c r="O42" i="4"/>
  <c r="P42" i="4"/>
  <c r="R42" i="4"/>
  <c r="S42" i="4"/>
  <c r="U42" i="4"/>
  <c r="W42" i="4"/>
  <c r="X42" i="4"/>
  <c r="O43" i="4"/>
  <c r="P43" i="4"/>
  <c r="R43" i="4"/>
  <c r="S43" i="4"/>
  <c r="U43" i="4"/>
  <c r="W43" i="4"/>
  <c r="X43" i="4"/>
  <c r="O44" i="4"/>
  <c r="P44" i="4"/>
  <c r="R44" i="4"/>
  <c r="S44" i="4"/>
  <c r="U44" i="4"/>
  <c r="W44" i="4"/>
  <c r="X44" i="4"/>
  <c r="O45" i="4"/>
  <c r="P45" i="4"/>
  <c r="R45" i="4"/>
  <c r="S45" i="4"/>
  <c r="U45" i="4"/>
  <c r="W45" i="4"/>
  <c r="X45" i="4"/>
  <c r="O46" i="4"/>
  <c r="P46" i="4"/>
  <c r="R46" i="4"/>
  <c r="S46" i="4"/>
  <c r="U46" i="4"/>
  <c r="W46" i="4"/>
  <c r="X46" i="4"/>
  <c r="O47" i="4"/>
  <c r="P47" i="4"/>
  <c r="R47" i="4"/>
  <c r="S47" i="4"/>
  <c r="U47" i="4"/>
  <c r="W47" i="4"/>
  <c r="X47" i="4"/>
  <c r="O48" i="4"/>
  <c r="P48" i="4"/>
  <c r="R48" i="4"/>
  <c r="S48" i="4"/>
  <c r="U48" i="4"/>
  <c r="W48" i="4"/>
  <c r="X48" i="4"/>
  <c r="O49" i="4"/>
  <c r="P49" i="4"/>
  <c r="R49" i="4"/>
  <c r="S49" i="4"/>
  <c r="U49" i="4"/>
  <c r="W49" i="4"/>
  <c r="X49" i="4"/>
  <c r="O50" i="4"/>
  <c r="P50" i="4"/>
  <c r="R50" i="4"/>
  <c r="S50" i="4"/>
  <c r="U50" i="4"/>
  <c r="W50" i="4"/>
  <c r="X50" i="4"/>
  <c r="O51" i="4"/>
  <c r="P51" i="4"/>
  <c r="R51" i="4"/>
  <c r="S51" i="4"/>
  <c r="U51" i="4"/>
  <c r="W51" i="4"/>
  <c r="X51" i="4"/>
  <c r="O52" i="4"/>
  <c r="P52" i="4"/>
  <c r="R52" i="4"/>
  <c r="S52" i="4"/>
  <c r="U52" i="4"/>
  <c r="W52" i="4"/>
  <c r="X52" i="4"/>
  <c r="O53" i="4"/>
  <c r="P53" i="4"/>
  <c r="R53" i="4"/>
  <c r="S53" i="4"/>
  <c r="U53" i="4"/>
  <c r="W53" i="4"/>
  <c r="X53" i="4"/>
  <c r="O54" i="4"/>
  <c r="P54" i="4"/>
  <c r="R54" i="4"/>
  <c r="S54" i="4"/>
  <c r="U54" i="4"/>
  <c r="W54" i="4"/>
  <c r="X54" i="4"/>
  <c r="O55" i="4"/>
  <c r="P55" i="4"/>
  <c r="R55" i="4"/>
  <c r="S55" i="4"/>
  <c r="U55" i="4"/>
  <c r="W55" i="4"/>
  <c r="X55" i="4"/>
  <c r="O56" i="4"/>
  <c r="P56" i="4"/>
  <c r="R56" i="4"/>
  <c r="S56" i="4"/>
  <c r="U56" i="4"/>
  <c r="W56" i="4"/>
  <c r="X56" i="4"/>
  <c r="O57" i="4"/>
  <c r="P57" i="4"/>
  <c r="R57" i="4"/>
  <c r="S57" i="4"/>
  <c r="U57" i="4"/>
  <c r="W57" i="4"/>
  <c r="X57" i="4"/>
  <c r="O58" i="4"/>
  <c r="P58" i="4"/>
  <c r="R58" i="4"/>
  <c r="S58" i="4"/>
  <c r="U58" i="4"/>
  <c r="W58" i="4"/>
  <c r="X58" i="4"/>
  <c r="O59" i="4"/>
  <c r="P59" i="4"/>
  <c r="R59" i="4"/>
  <c r="S59" i="4"/>
  <c r="U59" i="4"/>
  <c r="W59" i="4"/>
  <c r="X59" i="4"/>
  <c r="O60" i="4"/>
  <c r="P60" i="4"/>
  <c r="R60" i="4"/>
  <c r="S60" i="4"/>
  <c r="U60" i="4"/>
  <c r="W60" i="4"/>
  <c r="X60" i="4"/>
  <c r="O61" i="4"/>
  <c r="P61" i="4"/>
  <c r="R61" i="4"/>
  <c r="S61" i="4"/>
  <c r="U61" i="4"/>
  <c r="W61" i="4"/>
  <c r="X61" i="4"/>
  <c r="O62" i="4"/>
  <c r="P62" i="4"/>
  <c r="R62" i="4"/>
  <c r="S62" i="4"/>
  <c r="U62" i="4"/>
  <c r="W62" i="4"/>
  <c r="X62" i="4"/>
  <c r="O63" i="4"/>
  <c r="P63" i="4"/>
  <c r="R63" i="4"/>
  <c r="S63" i="4"/>
  <c r="U63" i="4"/>
  <c r="W63" i="4"/>
  <c r="X63" i="4"/>
  <c r="O64" i="4"/>
  <c r="P64" i="4"/>
  <c r="R64" i="4"/>
  <c r="S64" i="4"/>
  <c r="U64" i="4"/>
  <c r="W64" i="4"/>
  <c r="X64" i="4"/>
  <c r="O65" i="4"/>
  <c r="P65" i="4"/>
  <c r="R65" i="4"/>
  <c r="S65" i="4"/>
  <c r="U65" i="4"/>
  <c r="W65" i="4"/>
  <c r="X65" i="4"/>
  <c r="O66" i="4"/>
  <c r="P66" i="4"/>
  <c r="R66" i="4"/>
  <c r="S66" i="4"/>
  <c r="U66" i="4"/>
  <c r="W66" i="4"/>
  <c r="X66" i="4"/>
  <c r="O67" i="4"/>
  <c r="P67" i="4"/>
  <c r="R67" i="4"/>
  <c r="S67" i="4"/>
  <c r="U67" i="4"/>
  <c r="W67" i="4"/>
  <c r="X67" i="4"/>
  <c r="O68" i="4"/>
  <c r="P68" i="4"/>
  <c r="R68" i="4"/>
  <c r="S68" i="4"/>
  <c r="U68" i="4"/>
  <c r="W68" i="4"/>
  <c r="X68" i="4"/>
  <c r="O70" i="4"/>
  <c r="P70" i="4"/>
  <c r="R70" i="4"/>
  <c r="S70" i="4"/>
  <c r="U70" i="4"/>
  <c r="W70" i="4"/>
  <c r="X70" i="4"/>
  <c r="O71" i="4"/>
  <c r="P71" i="4"/>
  <c r="R71" i="4"/>
  <c r="S71" i="4"/>
  <c r="U71" i="4"/>
  <c r="W71" i="4"/>
  <c r="X71" i="4"/>
  <c r="O72" i="4"/>
  <c r="P72" i="4"/>
  <c r="R72" i="4"/>
  <c r="S72" i="4"/>
  <c r="U72" i="4"/>
  <c r="W72" i="4"/>
  <c r="X72" i="4"/>
  <c r="O73" i="4"/>
  <c r="P73" i="4"/>
  <c r="R73" i="4"/>
  <c r="S73" i="4"/>
  <c r="U73" i="4"/>
  <c r="W73" i="4"/>
  <c r="X73" i="4"/>
  <c r="O74" i="4"/>
  <c r="P74" i="4"/>
  <c r="R74" i="4"/>
  <c r="S74" i="4"/>
  <c r="U74" i="4"/>
  <c r="W74" i="4"/>
  <c r="X74" i="4"/>
  <c r="O75" i="4"/>
  <c r="P75" i="4"/>
  <c r="R75" i="4"/>
  <c r="S75" i="4"/>
  <c r="U75" i="4"/>
  <c r="W75" i="4"/>
  <c r="X75" i="4"/>
  <c r="O78" i="4"/>
  <c r="P78" i="4"/>
  <c r="R78" i="4"/>
  <c r="S78" i="4"/>
  <c r="U78" i="4"/>
  <c r="W78" i="4"/>
  <c r="X78" i="4"/>
  <c r="O80" i="4"/>
  <c r="P80" i="4"/>
  <c r="R80" i="4"/>
  <c r="S80" i="4"/>
  <c r="U80" i="4"/>
  <c r="W80" i="4"/>
  <c r="X80" i="4"/>
  <c r="O81" i="4"/>
  <c r="P81" i="4"/>
  <c r="R81" i="4"/>
  <c r="S81" i="4"/>
  <c r="U81" i="4"/>
  <c r="W81" i="4"/>
  <c r="X81" i="4"/>
  <c r="O83" i="4"/>
  <c r="P83" i="4"/>
  <c r="R83" i="4"/>
  <c r="S83" i="4"/>
  <c r="U83" i="4"/>
  <c r="W83" i="4"/>
  <c r="X83" i="4"/>
  <c r="O84" i="4"/>
  <c r="P84" i="4"/>
  <c r="R84" i="4"/>
  <c r="S84" i="4"/>
  <c r="U84" i="4"/>
  <c r="W84" i="4"/>
  <c r="X84" i="4"/>
  <c r="O85" i="4"/>
  <c r="P85" i="4"/>
  <c r="R85" i="4"/>
  <c r="S85" i="4"/>
  <c r="U85" i="4"/>
  <c r="W85" i="4"/>
  <c r="X85" i="4"/>
  <c r="O86" i="4"/>
  <c r="P86" i="4"/>
  <c r="R86" i="4"/>
  <c r="S86" i="4"/>
  <c r="U86" i="4"/>
  <c r="W86" i="4"/>
  <c r="X86" i="4"/>
  <c r="O87" i="4"/>
  <c r="P87" i="4"/>
  <c r="R87" i="4"/>
  <c r="S87" i="4"/>
  <c r="U87" i="4"/>
  <c r="W87" i="4"/>
  <c r="X87" i="4"/>
  <c r="O88" i="4"/>
  <c r="P88" i="4"/>
  <c r="R88" i="4"/>
  <c r="S88" i="4"/>
  <c r="U88" i="4"/>
  <c r="W88" i="4"/>
  <c r="X88" i="4"/>
  <c r="O89" i="4"/>
  <c r="P89" i="4"/>
  <c r="R89" i="4"/>
  <c r="S89" i="4"/>
  <c r="U89" i="4"/>
  <c r="W89" i="4"/>
  <c r="X89" i="4"/>
  <c r="O90" i="4"/>
  <c r="P90" i="4"/>
  <c r="R90" i="4"/>
  <c r="S90" i="4"/>
  <c r="U90" i="4"/>
  <c r="W90" i="4"/>
  <c r="X90" i="4"/>
  <c r="O91" i="4"/>
  <c r="P91" i="4"/>
  <c r="R91" i="4"/>
  <c r="S91" i="4"/>
  <c r="U91" i="4"/>
  <c r="W91" i="4"/>
  <c r="X91" i="4"/>
  <c r="O92" i="4"/>
  <c r="P92" i="4"/>
  <c r="R92" i="4"/>
  <c r="S92" i="4"/>
  <c r="U92" i="4"/>
  <c r="W92" i="4"/>
  <c r="X92" i="4"/>
  <c r="O95" i="4"/>
  <c r="P95" i="4"/>
  <c r="R95" i="4"/>
  <c r="S95" i="4"/>
  <c r="U95" i="4"/>
  <c r="W95" i="4"/>
  <c r="X95" i="4"/>
  <c r="O96" i="4"/>
  <c r="P96" i="4"/>
  <c r="R96" i="4"/>
  <c r="S96" i="4"/>
  <c r="U96" i="4"/>
  <c r="W96" i="4"/>
  <c r="X96" i="4"/>
  <c r="O98" i="4"/>
  <c r="P98" i="4"/>
  <c r="R98" i="4"/>
  <c r="S98" i="4"/>
  <c r="U98" i="4"/>
  <c r="W98" i="4"/>
  <c r="X98" i="4"/>
  <c r="O99" i="4"/>
  <c r="P99" i="4"/>
  <c r="R99" i="4"/>
  <c r="S99" i="4"/>
  <c r="U99" i="4"/>
  <c r="W99" i="4"/>
  <c r="X99" i="4"/>
  <c r="O100" i="4"/>
  <c r="P100" i="4"/>
  <c r="R100" i="4"/>
  <c r="S100" i="4"/>
  <c r="U100" i="4"/>
  <c r="W100" i="4"/>
  <c r="X100" i="4"/>
  <c r="O101" i="4"/>
  <c r="P101" i="4"/>
  <c r="R101" i="4"/>
  <c r="S101" i="4"/>
  <c r="U101" i="4"/>
  <c r="W101" i="4"/>
  <c r="X101" i="4"/>
  <c r="O102" i="4"/>
  <c r="P102" i="4"/>
  <c r="R102" i="4"/>
  <c r="S102" i="4"/>
  <c r="U102" i="4"/>
  <c r="W102" i="4"/>
  <c r="X102" i="4"/>
  <c r="O103" i="4"/>
  <c r="P103" i="4"/>
  <c r="R103" i="4"/>
  <c r="S103" i="4"/>
  <c r="U103" i="4"/>
  <c r="W103" i="4"/>
  <c r="X103" i="4"/>
  <c r="O104" i="4"/>
  <c r="P104" i="4"/>
  <c r="R104" i="4"/>
  <c r="S104" i="4"/>
  <c r="U104" i="4"/>
  <c r="W104" i="4"/>
  <c r="X104" i="4"/>
  <c r="O105" i="4"/>
  <c r="P105" i="4"/>
  <c r="R105" i="4"/>
  <c r="S105" i="4"/>
  <c r="U105" i="4"/>
  <c r="W105" i="4"/>
  <c r="X105" i="4"/>
  <c r="O106" i="4"/>
  <c r="P106" i="4"/>
  <c r="R106" i="4"/>
  <c r="S106" i="4"/>
  <c r="U106" i="4"/>
  <c r="W106" i="4"/>
  <c r="X106" i="4"/>
  <c r="O107" i="4"/>
  <c r="P107" i="4"/>
  <c r="R107" i="4"/>
  <c r="S107" i="4"/>
  <c r="U107" i="4"/>
  <c r="W107" i="4"/>
  <c r="X107" i="4"/>
  <c r="O109" i="4"/>
  <c r="P109" i="4"/>
  <c r="R109" i="4"/>
  <c r="S109" i="4"/>
  <c r="U109" i="4"/>
  <c r="W109" i="4"/>
  <c r="X109" i="4"/>
  <c r="O110" i="4"/>
  <c r="P110" i="4"/>
  <c r="R110" i="4"/>
  <c r="S110" i="4"/>
  <c r="U110" i="4"/>
  <c r="W110" i="4"/>
  <c r="X110" i="4"/>
  <c r="O112" i="4"/>
  <c r="P112" i="4"/>
  <c r="R112" i="4"/>
  <c r="S112" i="4"/>
  <c r="U112" i="4"/>
  <c r="W112" i="4"/>
  <c r="X112" i="4"/>
  <c r="O113" i="4"/>
  <c r="P113" i="4"/>
  <c r="R113" i="4"/>
  <c r="S113" i="4"/>
  <c r="U113" i="4"/>
  <c r="W113" i="4"/>
  <c r="X113" i="4"/>
  <c r="O114" i="4"/>
  <c r="P114" i="4"/>
  <c r="R114" i="4"/>
  <c r="S114" i="4"/>
  <c r="U114" i="4"/>
  <c r="W114" i="4"/>
  <c r="X114" i="4"/>
  <c r="O115" i="4"/>
  <c r="P115" i="4"/>
  <c r="R115" i="4"/>
  <c r="S115" i="4"/>
  <c r="U115" i="4"/>
  <c r="W115" i="4"/>
  <c r="X115" i="4"/>
  <c r="O116" i="4"/>
  <c r="P116" i="4"/>
  <c r="R116" i="4"/>
  <c r="S116" i="4"/>
  <c r="U116" i="4"/>
  <c r="W116" i="4"/>
  <c r="X116" i="4"/>
  <c r="O117" i="4"/>
  <c r="P117" i="4"/>
  <c r="R117" i="4"/>
  <c r="S117" i="4"/>
  <c r="U117" i="4"/>
  <c r="W117" i="4"/>
  <c r="X117" i="4"/>
  <c r="O118" i="4"/>
  <c r="P118" i="4"/>
  <c r="R118" i="4"/>
  <c r="S118" i="4"/>
  <c r="U118" i="4"/>
  <c r="W118" i="4"/>
  <c r="X118" i="4"/>
  <c r="O119" i="4"/>
  <c r="P119" i="4"/>
  <c r="R119" i="4"/>
  <c r="S119" i="4"/>
  <c r="U119" i="4"/>
  <c r="W119" i="4"/>
  <c r="X119" i="4"/>
  <c r="O120" i="4"/>
  <c r="P120" i="4"/>
  <c r="R120" i="4"/>
  <c r="S120" i="4"/>
  <c r="U120" i="4"/>
  <c r="W120" i="4"/>
  <c r="X120" i="4"/>
  <c r="O121" i="4"/>
  <c r="P121" i="4"/>
  <c r="R121" i="4"/>
  <c r="S121" i="4"/>
  <c r="U121" i="4"/>
  <c r="W121" i="4"/>
  <c r="X121" i="4"/>
  <c r="O122" i="4"/>
  <c r="P122" i="4"/>
  <c r="R122" i="4"/>
  <c r="S122" i="4"/>
  <c r="U122" i="4"/>
  <c r="W122" i="4"/>
  <c r="X122" i="4"/>
  <c r="O123" i="4"/>
  <c r="P123" i="4"/>
  <c r="R123" i="4"/>
  <c r="S123" i="4"/>
  <c r="U123" i="4"/>
  <c r="W123" i="4"/>
  <c r="X123" i="4"/>
  <c r="O124" i="4"/>
  <c r="P124" i="4"/>
  <c r="R124" i="4"/>
  <c r="S124" i="4"/>
  <c r="U124" i="4"/>
  <c r="W124" i="4"/>
  <c r="X124" i="4"/>
  <c r="O125" i="4"/>
  <c r="P125" i="4"/>
  <c r="R125" i="4"/>
  <c r="S125" i="4"/>
  <c r="U125" i="4"/>
  <c r="W125" i="4"/>
  <c r="X125" i="4"/>
  <c r="O126" i="4"/>
  <c r="P126" i="4"/>
  <c r="R126" i="4"/>
  <c r="S126" i="4"/>
  <c r="U126" i="4"/>
  <c r="W126" i="4"/>
  <c r="X126" i="4"/>
  <c r="O127" i="4"/>
  <c r="P127" i="4"/>
  <c r="R127" i="4"/>
  <c r="S127" i="4"/>
  <c r="U127" i="4"/>
  <c r="W127" i="4"/>
  <c r="X127" i="4"/>
  <c r="O128" i="4"/>
  <c r="P128" i="4"/>
  <c r="R128" i="4"/>
  <c r="S128" i="4"/>
  <c r="U128" i="4"/>
  <c r="W128" i="4"/>
  <c r="X128" i="4"/>
  <c r="O129" i="4"/>
  <c r="P129" i="4"/>
  <c r="R129" i="4"/>
  <c r="S129" i="4"/>
  <c r="U129" i="4"/>
  <c r="W129" i="4"/>
  <c r="X129" i="4"/>
  <c r="O130" i="4"/>
  <c r="P130" i="4"/>
  <c r="R130" i="4"/>
  <c r="S130" i="4"/>
  <c r="U130" i="4"/>
  <c r="W130" i="4"/>
  <c r="X130" i="4"/>
  <c r="O131" i="4"/>
  <c r="P131" i="4"/>
  <c r="R131" i="4"/>
  <c r="S131" i="4"/>
  <c r="U131" i="4"/>
  <c r="W131" i="4"/>
  <c r="X131" i="4"/>
  <c r="O132" i="4"/>
  <c r="P132" i="4"/>
  <c r="R132" i="4"/>
  <c r="S132" i="4"/>
  <c r="U132" i="4"/>
  <c r="W132" i="4"/>
  <c r="X132" i="4"/>
  <c r="O133" i="4"/>
  <c r="P133" i="4"/>
  <c r="R133" i="4"/>
  <c r="S133" i="4"/>
  <c r="U133" i="4"/>
  <c r="W133" i="4"/>
  <c r="X133" i="4"/>
  <c r="O134" i="4"/>
  <c r="P134" i="4"/>
  <c r="R134" i="4"/>
  <c r="S134" i="4"/>
  <c r="U134" i="4"/>
  <c r="W134" i="4"/>
  <c r="X134" i="4"/>
  <c r="O135" i="4"/>
  <c r="P135" i="4"/>
  <c r="R135" i="4"/>
  <c r="S135" i="4"/>
  <c r="U135" i="4"/>
  <c r="W135" i="4"/>
  <c r="X135" i="4"/>
  <c r="O138" i="4"/>
  <c r="P138" i="4"/>
  <c r="R138" i="4"/>
  <c r="S138" i="4"/>
  <c r="U138" i="4"/>
  <c r="W138" i="4"/>
  <c r="X138" i="4"/>
  <c r="O139" i="4"/>
  <c r="P139" i="4"/>
  <c r="R139" i="4"/>
  <c r="S139" i="4"/>
  <c r="U139" i="4"/>
  <c r="W139" i="4"/>
  <c r="X139" i="4"/>
  <c r="O140" i="4"/>
  <c r="P140" i="4"/>
  <c r="R140" i="4"/>
  <c r="S140" i="4"/>
  <c r="U140" i="4"/>
  <c r="W140" i="4"/>
  <c r="X140" i="4"/>
  <c r="O141" i="4"/>
  <c r="P141" i="4"/>
  <c r="R141" i="4"/>
  <c r="S141" i="4"/>
  <c r="U141" i="4"/>
  <c r="W141" i="4"/>
  <c r="X141" i="4"/>
  <c r="O142" i="4"/>
  <c r="P142" i="4"/>
  <c r="R142" i="4"/>
  <c r="S142" i="4"/>
  <c r="U142" i="4"/>
  <c r="W142" i="4"/>
  <c r="X142" i="4"/>
  <c r="O143" i="4"/>
  <c r="P143" i="4"/>
  <c r="R143" i="4"/>
  <c r="S143" i="4"/>
  <c r="U143" i="4"/>
  <c r="W143" i="4"/>
  <c r="X143" i="4"/>
  <c r="O145" i="4"/>
  <c r="P145" i="4"/>
  <c r="R145" i="4"/>
  <c r="S145" i="4"/>
  <c r="U145" i="4"/>
  <c r="W145" i="4"/>
  <c r="X145" i="4"/>
  <c r="O146" i="4"/>
  <c r="P146" i="4"/>
  <c r="R146" i="4"/>
  <c r="S146" i="4"/>
  <c r="U146" i="4"/>
  <c r="W146" i="4"/>
  <c r="X146" i="4"/>
  <c r="O147" i="4"/>
  <c r="P147" i="4"/>
  <c r="R147" i="4"/>
  <c r="S147" i="4"/>
  <c r="U147" i="4"/>
  <c r="W147" i="4"/>
  <c r="X147" i="4"/>
  <c r="O148" i="4"/>
  <c r="P148" i="4"/>
  <c r="R148" i="4"/>
  <c r="S148" i="4"/>
  <c r="U148" i="4"/>
  <c r="W148" i="4"/>
  <c r="X148" i="4"/>
  <c r="O149" i="4"/>
  <c r="P149" i="4"/>
  <c r="R149" i="4"/>
  <c r="S149" i="4"/>
  <c r="U149" i="4"/>
  <c r="W149" i="4"/>
  <c r="X149" i="4"/>
  <c r="O150" i="4"/>
  <c r="P150" i="4"/>
  <c r="R150" i="4"/>
  <c r="S150" i="4"/>
  <c r="U150" i="4"/>
  <c r="W150" i="4"/>
  <c r="X150" i="4"/>
  <c r="O151" i="4"/>
  <c r="P151" i="4"/>
  <c r="R151" i="4"/>
  <c r="S151" i="4"/>
  <c r="U151" i="4"/>
  <c r="W151" i="4"/>
  <c r="X151" i="4"/>
  <c r="O152" i="4"/>
  <c r="P152" i="4"/>
  <c r="R152" i="4"/>
  <c r="S152" i="4"/>
  <c r="U152" i="4"/>
  <c r="W152" i="4"/>
  <c r="X152" i="4"/>
  <c r="O153" i="4"/>
  <c r="P153" i="4"/>
  <c r="R153" i="4"/>
  <c r="S153" i="4"/>
  <c r="U153" i="4"/>
  <c r="W153" i="4"/>
  <c r="X153" i="4"/>
  <c r="O155" i="4"/>
  <c r="P155" i="4"/>
  <c r="R155" i="4"/>
  <c r="S155" i="4"/>
  <c r="U155" i="4"/>
  <c r="W155" i="4"/>
  <c r="X155" i="4"/>
  <c r="O156" i="4"/>
  <c r="P156" i="4"/>
  <c r="R156" i="4"/>
  <c r="S156" i="4"/>
  <c r="U156" i="4"/>
  <c r="W156" i="4"/>
  <c r="X156" i="4"/>
  <c r="O157" i="4"/>
  <c r="P157" i="4"/>
  <c r="R157" i="4"/>
  <c r="S157" i="4"/>
  <c r="U157" i="4"/>
  <c r="W157" i="4"/>
  <c r="X157" i="4"/>
  <c r="O158" i="4"/>
  <c r="P158" i="4"/>
  <c r="R158" i="4"/>
  <c r="S158" i="4"/>
  <c r="U158" i="4"/>
  <c r="W158" i="4"/>
  <c r="X158" i="4"/>
  <c r="O159" i="4"/>
  <c r="P159" i="4"/>
  <c r="R159" i="4"/>
  <c r="S159" i="4"/>
  <c r="U159" i="4"/>
  <c r="W159" i="4"/>
  <c r="X159" i="4"/>
  <c r="O160" i="4"/>
  <c r="P160" i="4"/>
  <c r="R160" i="4"/>
  <c r="S160" i="4"/>
  <c r="U160" i="4"/>
  <c r="W160" i="4"/>
  <c r="X160" i="4"/>
  <c r="O161" i="4"/>
  <c r="P161" i="4"/>
  <c r="R161" i="4"/>
  <c r="S161" i="4"/>
  <c r="U161" i="4"/>
  <c r="W161" i="4"/>
  <c r="X161" i="4"/>
  <c r="O162" i="4"/>
  <c r="P162" i="4"/>
  <c r="R162" i="4"/>
  <c r="S162" i="4"/>
  <c r="U162" i="4"/>
  <c r="W162" i="4"/>
  <c r="X162" i="4"/>
  <c r="O163" i="4"/>
  <c r="P163" i="4"/>
  <c r="R163" i="4"/>
  <c r="S163" i="4"/>
  <c r="U163" i="4"/>
  <c r="W163" i="4"/>
  <c r="X163" i="4"/>
  <c r="O164" i="4"/>
  <c r="P164" i="4"/>
  <c r="R164" i="4"/>
  <c r="S164" i="4"/>
  <c r="U164" i="4"/>
  <c r="W164" i="4"/>
  <c r="X164" i="4"/>
  <c r="O165" i="4"/>
  <c r="P165" i="4"/>
  <c r="R165" i="4"/>
  <c r="S165" i="4"/>
  <c r="U165" i="4"/>
  <c r="W165" i="4"/>
  <c r="X165" i="4"/>
  <c r="O166" i="4"/>
  <c r="P166" i="4"/>
  <c r="R166" i="4"/>
  <c r="S166" i="4"/>
  <c r="U166" i="4"/>
  <c r="W166" i="4"/>
  <c r="X166" i="4"/>
  <c r="O167" i="4"/>
  <c r="P167" i="4"/>
  <c r="R167" i="4"/>
  <c r="S167" i="4"/>
  <c r="U167" i="4"/>
  <c r="W167" i="4"/>
  <c r="X167" i="4"/>
  <c r="O168" i="4"/>
  <c r="P168" i="4"/>
  <c r="R168" i="4"/>
  <c r="S168" i="4"/>
  <c r="U168" i="4"/>
  <c r="W168" i="4"/>
  <c r="X168" i="4"/>
  <c r="O169" i="4"/>
  <c r="P169" i="4"/>
  <c r="R169" i="4"/>
  <c r="S169" i="4"/>
  <c r="U169" i="4"/>
  <c r="W169" i="4"/>
  <c r="X169" i="4"/>
  <c r="O170" i="4"/>
  <c r="P170" i="4"/>
  <c r="R170" i="4"/>
  <c r="S170" i="4"/>
  <c r="U170" i="4"/>
  <c r="W170" i="4"/>
  <c r="X170" i="4"/>
  <c r="O171" i="4"/>
  <c r="P171" i="4"/>
  <c r="R171" i="4"/>
  <c r="S171" i="4"/>
  <c r="U171" i="4"/>
  <c r="W171" i="4"/>
  <c r="X171" i="4"/>
  <c r="O172" i="4"/>
  <c r="P172" i="4"/>
  <c r="R172" i="4"/>
  <c r="S172" i="4"/>
  <c r="U172" i="4"/>
  <c r="W172" i="4"/>
  <c r="X172" i="4"/>
  <c r="O173" i="4"/>
  <c r="P173" i="4"/>
  <c r="R173" i="4"/>
  <c r="S173" i="4"/>
  <c r="U173" i="4"/>
  <c r="W173" i="4"/>
  <c r="X173" i="4"/>
  <c r="O174" i="4"/>
  <c r="P174" i="4"/>
  <c r="R174" i="4"/>
  <c r="S174" i="4"/>
  <c r="U174" i="4"/>
  <c r="W174" i="4"/>
  <c r="X174" i="4"/>
  <c r="O175" i="4"/>
  <c r="P175" i="4"/>
  <c r="R175" i="4"/>
  <c r="S175" i="4"/>
  <c r="U175" i="4"/>
  <c r="W175" i="4"/>
  <c r="X175" i="4"/>
  <c r="O176" i="4"/>
  <c r="P176" i="4"/>
  <c r="R176" i="4"/>
  <c r="S176" i="4"/>
  <c r="U176" i="4"/>
  <c r="W176" i="4"/>
  <c r="X176" i="4"/>
  <c r="O177" i="4"/>
  <c r="P177" i="4"/>
  <c r="R177" i="4"/>
  <c r="S177" i="4"/>
  <c r="U177" i="4"/>
  <c r="W177" i="4"/>
  <c r="X177" i="4"/>
  <c r="O178" i="4"/>
  <c r="P178" i="4"/>
  <c r="R178" i="4"/>
  <c r="S178" i="4"/>
  <c r="U178" i="4"/>
  <c r="W178" i="4"/>
  <c r="X178" i="4"/>
  <c r="O179" i="4"/>
  <c r="P179" i="4"/>
  <c r="R179" i="4"/>
  <c r="S179" i="4"/>
  <c r="U179" i="4"/>
  <c r="W179" i="4"/>
  <c r="X179" i="4"/>
  <c r="O180" i="4"/>
  <c r="P180" i="4"/>
  <c r="R180" i="4"/>
  <c r="S180" i="4"/>
  <c r="U180" i="4"/>
  <c r="W180" i="4"/>
  <c r="X180" i="4"/>
  <c r="O181" i="4"/>
  <c r="P181" i="4"/>
  <c r="R181" i="4"/>
  <c r="S181" i="4"/>
  <c r="U181" i="4"/>
  <c r="W181" i="4"/>
  <c r="X181" i="4"/>
  <c r="O182" i="4"/>
  <c r="P182" i="4"/>
  <c r="R182" i="4"/>
  <c r="S182" i="4"/>
  <c r="U182" i="4"/>
  <c r="W182" i="4"/>
  <c r="X182" i="4"/>
  <c r="O183" i="4"/>
  <c r="P183" i="4"/>
  <c r="R183" i="4"/>
  <c r="S183" i="4"/>
  <c r="U183" i="4"/>
  <c r="W183" i="4"/>
  <c r="X183" i="4"/>
  <c r="O184" i="4"/>
  <c r="P184" i="4"/>
  <c r="R184" i="4"/>
  <c r="S184" i="4"/>
  <c r="U184" i="4"/>
  <c r="W184" i="4"/>
  <c r="X184" i="4"/>
  <c r="O185" i="4"/>
  <c r="P185" i="4"/>
  <c r="R185" i="4"/>
  <c r="S185" i="4"/>
  <c r="U185" i="4"/>
  <c r="W185" i="4"/>
  <c r="X185" i="4"/>
  <c r="O186" i="4"/>
  <c r="P186" i="4"/>
  <c r="R186" i="4"/>
  <c r="S186" i="4"/>
  <c r="U186" i="4"/>
  <c r="W186" i="4"/>
  <c r="X186" i="4"/>
  <c r="O187" i="4"/>
  <c r="P187" i="4"/>
  <c r="R187" i="4"/>
  <c r="S187" i="4"/>
  <c r="U187" i="4"/>
  <c r="W187" i="4"/>
  <c r="X187" i="4"/>
  <c r="O188" i="4"/>
  <c r="P188" i="4"/>
  <c r="R188" i="4"/>
  <c r="S188" i="4"/>
  <c r="U188" i="4"/>
  <c r="W188" i="4"/>
  <c r="X188" i="4"/>
  <c r="O189" i="4"/>
  <c r="P189" i="4"/>
  <c r="R189" i="4"/>
  <c r="S189" i="4"/>
  <c r="U189" i="4"/>
  <c r="W189" i="4"/>
  <c r="X189" i="4"/>
  <c r="O190" i="4"/>
  <c r="P190" i="4"/>
  <c r="R190" i="4"/>
  <c r="S190" i="4"/>
  <c r="U190" i="4"/>
  <c r="W190" i="4"/>
  <c r="X190" i="4"/>
  <c r="O191" i="4"/>
  <c r="P191" i="4"/>
  <c r="R191" i="4"/>
  <c r="S191" i="4"/>
  <c r="U191" i="4"/>
  <c r="W191" i="4"/>
  <c r="X191" i="4"/>
  <c r="O192" i="4"/>
  <c r="P192" i="4"/>
  <c r="R192" i="4"/>
  <c r="S192" i="4"/>
  <c r="U192" i="4"/>
  <c r="W192" i="4"/>
  <c r="X192" i="4"/>
  <c r="O193" i="4"/>
  <c r="P193" i="4"/>
  <c r="R193" i="4"/>
  <c r="S193" i="4"/>
  <c r="U193" i="4"/>
  <c r="W193" i="4"/>
  <c r="X193" i="4"/>
  <c r="O194" i="4"/>
  <c r="P194" i="4"/>
  <c r="R194" i="4"/>
  <c r="S194" i="4"/>
  <c r="U194" i="4"/>
  <c r="W194" i="4"/>
  <c r="X194" i="4"/>
  <c r="O195" i="4"/>
  <c r="P195" i="4"/>
  <c r="R195" i="4"/>
  <c r="S195" i="4"/>
  <c r="U195" i="4"/>
  <c r="W195" i="4"/>
  <c r="X195" i="4"/>
  <c r="O196" i="4"/>
  <c r="P196" i="4"/>
  <c r="R196" i="4"/>
  <c r="S196" i="4"/>
  <c r="U196" i="4"/>
  <c r="W196" i="4"/>
  <c r="X196" i="4"/>
  <c r="O197" i="4"/>
  <c r="P197" i="4"/>
  <c r="R197" i="4"/>
  <c r="S197" i="4"/>
  <c r="U197" i="4"/>
  <c r="W197" i="4"/>
  <c r="X197" i="4"/>
  <c r="O198" i="4"/>
  <c r="P198" i="4"/>
  <c r="R198" i="4"/>
  <c r="S198" i="4"/>
  <c r="U198" i="4"/>
  <c r="W198" i="4"/>
  <c r="X198" i="4"/>
  <c r="O199" i="4"/>
  <c r="P199" i="4"/>
  <c r="R199" i="4"/>
  <c r="S199" i="4"/>
  <c r="U199" i="4"/>
  <c r="W199" i="4"/>
  <c r="X199" i="4"/>
  <c r="O200" i="4"/>
  <c r="P200" i="4"/>
  <c r="R200" i="4"/>
  <c r="S200" i="4"/>
  <c r="U200" i="4"/>
  <c r="W200" i="4"/>
  <c r="X200" i="4"/>
  <c r="O201" i="4"/>
  <c r="P201" i="4"/>
  <c r="R201" i="4"/>
  <c r="S201" i="4"/>
  <c r="U201" i="4"/>
  <c r="W201" i="4"/>
  <c r="X201" i="4"/>
  <c r="O202" i="4"/>
  <c r="P202" i="4"/>
  <c r="R202" i="4"/>
  <c r="S202" i="4"/>
  <c r="U202" i="4"/>
  <c r="W202" i="4"/>
  <c r="X202" i="4"/>
  <c r="O203" i="4"/>
  <c r="P203" i="4"/>
  <c r="R203" i="4"/>
  <c r="S203" i="4"/>
  <c r="U203" i="4"/>
  <c r="W203" i="4"/>
  <c r="X203" i="4"/>
  <c r="O204" i="4"/>
  <c r="P204" i="4"/>
  <c r="R204" i="4"/>
  <c r="S204" i="4"/>
  <c r="U204" i="4"/>
  <c r="W204" i="4"/>
  <c r="X204" i="4"/>
  <c r="O205" i="4"/>
  <c r="P205" i="4"/>
  <c r="R205" i="4"/>
  <c r="S205" i="4"/>
  <c r="U205" i="4"/>
  <c r="W205" i="4"/>
  <c r="X205" i="4"/>
  <c r="O206" i="4"/>
  <c r="P206" i="4"/>
  <c r="R206" i="4"/>
  <c r="S206" i="4"/>
  <c r="U206" i="4"/>
  <c r="W206" i="4"/>
  <c r="X206" i="4"/>
  <c r="O208" i="4"/>
  <c r="P208" i="4"/>
  <c r="R208" i="4"/>
  <c r="S208" i="4"/>
  <c r="U208" i="4"/>
  <c r="W208" i="4"/>
  <c r="X208" i="4"/>
  <c r="O209" i="4"/>
  <c r="P209" i="4"/>
  <c r="R209" i="4"/>
  <c r="S209" i="4"/>
  <c r="U209" i="4"/>
  <c r="W209" i="4"/>
  <c r="X209" i="4"/>
  <c r="O210" i="4"/>
  <c r="P210" i="4"/>
  <c r="R210" i="4"/>
  <c r="S210" i="4"/>
  <c r="U210" i="4"/>
  <c r="W210" i="4"/>
  <c r="X210" i="4"/>
  <c r="O211" i="4"/>
  <c r="P211" i="4"/>
  <c r="R211" i="4"/>
  <c r="S211" i="4"/>
  <c r="U211" i="4"/>
  <c r="W211" i="4"/>
  <c r="X211" i="4"/>
  <c r="O213" i="4"/>
  <c r="P213" i="4"/>
  <c r="R213" i="4"/>
  <c r="S213" i="4"/>
  <c r="U213" i="4"/>
  <c r="W213" i="4"/>
  <c r="X213" i="4"/>
  <c r="O214" i="4"/>
  <c r="P214" i="4"/>
  <c r="R214" i="4"/>
  <c r="S214" i="4"/>
  <c r="U214" i="4"/>
  <c r="W214" i="4"/>
  <c r="X214" i="4"/>
  <c r="O215" i="4"/>
  <c r="P215" i="4"/>
  <c r="R215" i="4"/>
  <c r="S215" i="4"/>
  <c r="U215" i="4"/>
  <c r="W215" i="4"/>
  <c r="X215" i="4"/>
  <c r="O216" i="4"/>
  <c r="P216" i="4"/>
  <c r="R216" i="4"/>
  <c r="S216" i="4"/>
  <c r="U216" i="4"/>
  <c r="W216" i="4"/>
  <c r="X216" i="4"/>
  <c r="O217" i="4"/>
  <c r="P217" i="4"/>
  <c r="R217" i="4"/>
  <c r="S217" i="4"/>
  <c r="U217" i="4"/>
  <c r="W217" i="4"/>
  <c r="X217" i="4"/>
  <c r="O218" i="4"/>
  <c r="P218" i="4"/>
  <c r="R218" i="4"/>
  <c r="S218" i="4"/>
  <c r="U218" i="4"/>
  <c r="W218" i="4"/>
  <c r="X218" i="4"/>
  <c r="O219" i="4"/>
  <c r="P219" i="4"/>
  <c r="R219" i="4"/>
  <c r="S219" i="4"/>
  <c r="U219" i="4"/>
  <c r="W219" i="4"/>
  <c r="X219" i="4"/>
  <c r="O220" i="4"/>
  <c r="P220" i="4"/>
  <c r="R220" i="4"/>
  <c r="S220" i="4"/>
  <c r="U220" i="4"/>
  <c r="W220" i="4"/>
  <c r="X220" i="4"/>
  <c r="O221" i="4"/>
  <c r="P221" i="4"/>
  <c r="R221" i="4"/>
  <c r="S221" i="4"/>
  <c r="U221" i="4"/>
  <c r="W221" i="4"/>
  <c r="X221" i="4"/>
  <c r="O222" i="4"/>
  <c r="P222" i="4"/>
  <c r="R222" i="4"/>
  <c r="S222" i="4"/>
  <c r="U222" i="4"/>
  <c r="W222" i="4"/>
  <c r="X222" i="4"/>
  <c r="O223" i="4"/>
  <c r="P223" i="4"/>
  <c r="R223" i="4"/>
  <c r="S223" i="4"/>
  <c r="U223" i="4"/>
  <c r="W223" i="4"/>
  <c r="X223" i="4"/>
  <c r="O224" i="4"/>
  <c r="P224" i="4"/>
  <c r="R224" i="4"/>
  <c r="S224" i="4"/>
  <c r="U224" i="4"/>
  <c r="W224" i="4"/>
  <c r="X224" i="4"/>
  <c r="O225" i="4"/>
  <c r="P225" i="4"/>
  <c r="R225" i="4"/>
  <c r="S225" i="4"/>
  <c r="U225" i="4"/>
  <c r="W225" i="4"/>
  <c r="X225" i="4"/>
  <c r="O226" i="4"/>
  <c r="P226" i="4"/>
  <c r="R226" i="4"/>
  <c r="S226" i="4"/>
  <c r="U226" i="4"/>
  <c r="W226" i="4"/>
  <c r="X226" i="4"/>
  <c r="O227" i="4"/>
  <c r="P227" i="4"/>
  <c r="R227" i="4"/>
  <c r="S227" i="4"/>
  <c r="U227" i="4"/>
  <c r="W227" i="4"/>
  <c r="X227" i="4"/>
  <c r="O228" i="4"/>
  <c r="P228" i="4"/>
  <c r="R228" i="4"/>
  <c r="S228" i="4"/>
  <c r="U228" i="4"/>
  <c r="W228" i="4"/>
  <c r="X228" i="4"/>
  <c r="O229" i="4"/>
  <c r="P229" i="4"/>
  <c r="R229" i="4"/>
  <c r="S229" i="4"/>
  <c r="U229" i="4"/>
  <c r="W229" i="4"/>
  <c r="X229" i="4"/>
  <c r="O230" i="4"/>
  <c r="P230" i="4"/>
  <c r="R230" i="4"/>
  <c r="S230" i="4"/>
  <c r="U230" i="4"/>
  <c r="W230" i="4"/>
  <c r="X230" i="4"/>
  <c r="O231" i="4"/>
  <c r="P231" i="4"/>
  <c r="R231" i="4"/>
  <c r="S231" i="4"/>
  <c r="U231" i="4"/>
  <c r="W231" i="4"/>
  <c r="X231" i="4"/>
  <c r="O232" i="4"/>
  <c r="P232" i="4"/>
  <c r="R232" i="4"/>
  <c r="S232" i="4"/>
  <c r="U232" i="4"/>
  <c r="W232" i="4"/>
  <c r="X232" i="4"/>
  <c r="O233" i="4"/>
  <c r="P233" i="4"/>
  <c r="R233" i="4"/>
  <c r="S233" i="4"/>
  <c r="U233" i="4"/>
  <c r="W233" i="4"/>
  <c r="X233" i="4"/>
  <c r="O234" i="4"/>
  <c r="P234" i="4"/>
  <c r="R234" i="4"/>
  <c r="S234" i="4"/>
  <c r="U234" i="4"/>
  <c r="W234" i="4"/>
  <c r="X234" i="4"/>
  <c r="O235" i="4"/>
  <c r="P235" i="4"/>
  <c r="R235" i="4"/>
  <c r="S235" i="4"/>
  <c r="U235" i="4"/>
  <c r="W235" i="4"/>
  <c r="X235" i="4"/>
  <c r="O236" i="4"/>
  <c r="P236" i="4"/>
  <c r="R236" i="4"/>
  <c r="S236" i="4"/>
  <c r="U236" i="4"/>
  <c r="W236" i="4"/>
  <c r="X236" i="4"/>
  <c r="O237" i="4"/>
  <c r="P237" i="4"/>
  <c r="R237" i="4"/>
  <c r="S237" i="4"/>
  <c r="U237" i="4"/>
  <c r="W237" i="4"/>
  <c r="X237" i="4"/>
  <c r="O238" i="4"/>
  <c r="P238" i="4"/>
  <c r="R238" i="4"/>
  <c r="S238" i="4"/>
  <c r="U238" i="4"/>
  <c r="W238" i="4"/>
  <c r="X238" i="4"/>
  <c r="O239" i="4"/>
  <c r="P239" i="4"/>
  <c r="R239" i="4"/>
  <c r="S239" i="4"/>
  <c r="U239" i="4"/>
  <c r="W239" i="4"/>
  <c r="X239" i="4"/>
  <c r="O240" i="4"/>
  <c r="P240" i="4"/>
  <c r="R240" i="4"/>
  <c r="S240" i="4"/>
  <c r="U240" i="4"/>
  <c r="W240" i="4"/>
  <c r="X240" i="4"/>
  <c r="O241" i="4"/>
  <c r="P241" i="4"/>
  <c r="R241" i="4"/>
  <c r="S241" i="4"/>
  <c r="U241" i="4"/>
  <c r="W241" i="4"/>
  <c r="X241" i="4"/>
  <c r="O242" i="4"/>
  <c r="P242" i="4"/>
  <c r="R242" i="4"/>
  <c r="S242" i="4"/>
  <c r="U242" i="4"/>
  <c r="W242" i="4"/>
  <c r="X242" i="4"/>
  <c r="O244" i="4"/>
  <c r="P244" i="4"/>
  <c r="R244" i="4"/>
  <c r="S244" i="4"/>
  <c r="U244" i="4"/>
  <c r="W244" i="4"/>
  <c r="X244" i="4"/>
  <c r="O245" i="4"/>
  <c r="P245" i="4"/>
  <c r="R245" i="4"/>
  <c r="S245" i="4"/>
  <c r="U245" i="4"/>
  <c r="W245" i="4"/>
  <c r="X245" i="4"/>
  <c r="O246" i="4"/>
  <c r="P246" i="4"/>
  <c r="R246" i="4"/>
  <c r="S246" i="4"/>
  <c r="U246" i="4"/>
  <c r="W246" i="4"/>
  <c r="X246" i="4"/>
  <c r="O247" i="4"/>
  <c r="P247" i="4"/>
  <c r="R247" i="4"/>
  <c r="S247" i="4"/>
  <c r="U247" i="4"/>
  <c r="W247" i="4"/>
  <c r="X247" i="4"/>
  <c r="O248" i="4"/>
  <c r="P248" i="4"/>
  <c r="R248" i="4"/>
  <c r="S248" i="4"/>
  <c r="U248" i="4"/>
  <c r="W248" i="4"/>
  <c r="X248" i="4"/>
  <c r="O249" i="4"/>
  <c r="P249" i="4"/>
  <c r="R249" i="4"/>
  <c r="S249" i="4"/>
  <c r="U249" i="4"/>
  <c r="W249" i="4"/>
  <c r="X249" i="4"/>
  <c r="O250" i="4"/>
  <c r="P250" i="4"/>
  <c r="R250" i="4"/>
  <c r="S250" i="4"/>
  <c r="U250" i="4"/>
  <c r="W250" i="4"/>
  <c r="X250" i="4"/>
  <c r="O251" i="4"/>
  <c r="P251" i="4"/>
  <c r="R251" i="4"/>
  <c r="S251" i="4"/>
  <c r="U251" i="4"/>
  <c r="W251" i="4"/>
  <c r="X251" i="4"/>
  <c r="O252" i="4"/>
  <c r="P252" i="4"/>
  <c r="R252" i="4"/>
  <c r="S252" i="4"/>
  <c r="U252" i="4"/>
  <c r="W252" i="4"/>
  <c r="X252" i="4"/>
  <c r="O253" i="4"/>
  <c r="P253" i="4"/>
  <c r="R253" i="4"/>
  <c r="S253" i="4"/>
  <c r="U253" i="4"/>
  <c r="W253" i="4"/>
  <c r="X253" i="4"/>
  <c r="O254" i="4"/>
  <c r="P254" i="4"/>
  <c r="R254" i="4"/>
  <c r="S254" i="4"/>
  <c r="U254" i="4"/>
  <c r="W254" i="4"/>
  <c r="X254" i="4"/>
  <c r="O255" i="4"/>
  <c r="P255" i="4"/>
  <c r="R255" i="4"/>
  <c r="S255" i="4"/>
  <c r="U255" i="4"/>
  <c r="W255" i="4"/>
  <c r="X255" i="4"/>
  <c r="O256" i="4"/>
  <c r="P256" i="4"/>
  <c r="R256" i="4"/>
  <c r="S256" i="4"/>
  <c r="U256" i="4"/>
  <c r="W256" i="4"/>
  <c r="X256" i="4"/>
  <c r="O257" i="4"/>
  <c r="P257" i="4"/>
  <c r="R257" i="4"/>
  <c r="S257" i="4"/>
  <c r="U257" i="4"/>
  <c r="W257" i="4"/>
  <c r="X257" i="4"/>
  <c r="O258" i="4"/>
  <c r="P258" i="4"/>
  <c r="R258" i="4"/>
  <c r="S258" i="4"/>
  <c r="U258" i="4"/>
  <c r="W258" i="4"/>
  <c r="X258" i="4"/>
  <c r="O259" i="4"/>
  <c r="P259" i="4"/>
  <c r="R259" i="4"/>
  <c r="S259" i="4"/>
  <c r="U259" i="4"/>
  <c r="W259" i="4"/>
  <c r="X259" i="4"/>
  <c r="O261" i="4"/>
  <c r="P261" i="4"/>
  <c r="R261" i="4"/>
  <c r="S261" i="4"/>
  <c r="U261" i="4"/>
  <c r="W261" i="4"/>
  <c r="X261" i="4"/>
  <c r="O262" i="4"/>
  <c r="P262" i="4"/>
  <c r="R262" i="4"/>
  <c r="S262" i="4"/>
  <c r="U262" i="4"/>
  <c r="W262" i="4"/>
  <c r="X262" i="4"/>
  <c r="O263" i="4"/>
  <c r="P263" i="4"/>
  <c r="R263" i="4"/>
  <c r="S263" i="4"/>
  <c r="U263" i="4"/>
  <c r="W263" i="4"/>
  <c r="X263" i="4"/>
  <c r="O265" i="4"/>
  <c r="P265" i="4"/>
  <c r="R265" i="4"/>
  <c r="S265" i="4"/>
  <c r="U265" i="4"/>
  <c r="W265" i="4"/>
  <c r="X265" i="4"/>
  <c r="O266" i="4"/>
  <c r="P266" i="4"/>
  <c r="R266" i="4"/>
  <c r="S266" i="4"/>
  <c r="U266" i="4"/>
  <c r="W266" i="4"/>
  <c r="X266" i="4"/>
  <c r="O267" i="4"/>
  <c r="P267" i="4"/>
  <c r="R267" i="4"/>
  <c r="S267" i="4"/>
  <c r="U267" i="4"/>
  <c r="W267" i="4"/>
  <c r="X267" i="4"/>
  <c r="O268" i="4"/>
  <c r="P268" i="4"/>
  <c r="R268" i="4"/>
  <c r="S268" i="4"/>
  <c r="U268" i="4"/>
  <c r="W268" i="4"/>
  <c r="X268" i="4"/>
  <c r="O269" i="4"/>
  <c r="P269" i="4"/>
  <c r="R269" i="4"/>
  <c r="S269" i="4"/>
  <c r="U269" i="4"/>
  <c r="W269" i="4"/>
  <c r="X269" i="4"/>
  <c r="O270" i="4"/>
  <c r="P270" i="4"/>
  <c r="R270" i="4"/>
  <c r="S270" i="4"/>
  <c r="U270" i="4"/>
  <c r="W270" i="4"/>
  <c r="X270" i="4"/>
  <c r="O271" i="4"/>
  <c r="P271" i="4"/>
  <c r="R271" i="4"/>
  <c r="S271" i="4"/>
  <c r="U271" i="4"/>
  <c r="W271" i="4"/>
  <c r="X271" i="4"/>
  <c r="O272" i="4"/>
  <c r="P272" i="4"/>
  <c r="R272" i="4"/>
  <c r="S272" i="4"/>
  <c r="U272" i="4"/>
  <c r="W272" i="4"/>
  <c r="X272" i="4"/>
  <c r="O273" i="4"/>
  <c r="P273" i="4"/>
  <c r="R273" i="4"/>
  <c r="S273" i="4"/>
  <c r="U273" i="4"/>
  <c r="W273" i="4"/>
  <c r="X273" i="4"/>
  <c r="O274" i="4"/>
  <c r="P274" i="4"/>
  <c r="R274" i="4"/>
  <c r="S274" i="4"/>
  <c r="U274" i="4"/>
  <c r="W274" i="4"/>
  <c r="X274" i="4"/>
  <c r="O275" i="4"/>
  <c r="P275" i="4"/>
  <c r="R275" i="4"/>
  <c r="S275" i="4"/>
  <c r="U275" i="4"/>
  <c r="W275" i="4"/>
  <c r="X275" i="4"/>
  <c r="O276" i="4"/>
  <c r="P276" i="4"/>
  <c r="R276" i="4"/>
  <c r="S276" i="4"/>
  <c r="U276" i="4"/>
  <c r="W276" i="4"/>
  <c r="X276" i="4"/>
  <c r="O277" i="4"/>
  <c r="P277" i="4"/>
  <c r="R277" i="4"/>
  <c r="S277" i="4"/>
  <c r="U277" i="4"/>
  <c r="W277" i="4"/>
  <c r="X277" i="4"/>
  <c r="O278" i="4"/>
  <c r="P278" i="4"/>
  <c r="R278" i="4"/>
  <c r="S278" i="4"/>
  <c r="U278" i="4"/>
  <c r="W278" i="4"/>
  <c r="X278" i="4"/>
  <c r="O279" i="4"/>
  <c r="P279" i="4"/>
  <c r="R279" i="4"/>
  <c r="S279" i="4"/>
  <c r="U279" i="4"/>
  <c r="W279" i="4"/>
  <c r="X279" i="4"/>
  <c r="O280" i="4"/>
  <c r="P280" i="4"/>
  <c r="R280" i="4"/>
  <c r="S280" i="4"/>
  <c r="U280" i="4"/>
  <c r="W280" i="4"/>
  <c r="X280" i="4"/>
  <c r="O281" i="4"/>
  <c r="P281" i="4"/>
  <c r="R281" i="4"/>
  <c r="S281" i="4"/>
  <c r="U281" i="4"/>
  <c r="W281" i="4"/>
  <c r="X281" i="4"/>
  <c r="O282" i="4"/>
  <c r="P282" i="4"/>
  <c r="R282" i="4"/>
  <c r="S282" i="4"/>
  <c r="U282" i="4"/>
  <c r="W282" i="4"/>
  <c r="X282" i="4"/>
  <c r="O283" i="4"/>
  <c r="P283" i="4"/>
  <c r="R283" i="4"/>
  <c r="S283" i="4"/>
  <c r="U283" i="4"/>
  <c r="W283" i="4"/>
  <c r="X283" i="4"/>
  <c r="O284" i="4"/>
  <c r="P284" i="4"/>
  <c r="R284" i="4"/>
  <c r="S284" i="4"/>
  <c r="U284" i="4"/>
  <c r="W284" i="4"/>
  <c r="X284" i="4"/>
  <c r="O285" i="4"/>
  <c r="P285" i="4"/>
  <c r="R285" i="4"/>
  <c r="S285" i="4"/>
  <c r="U285" i="4"/>
  <c r="W285" i="4"/>
  <c r="X285" i="4"/>
  <c r="O286" i="4"/>
  <c r="P286" i="4"/>
  <c r="R286" i="4"/>
  <c r="S286" i="4"/>
  <c r="U286" i="4"/>
  <c r="W286" i="4"/>
  <c r="X286" i="4"/>
  <c r="O287" i="4"/>
  <c r="P287" i="4"/>
  <c r="R287" i="4"/>
  <c r="S287" i="4"/>
  <c r="U287" i="4"/>
  <c r="W287" i="4"/>
  <c r="X287" i="4"/>
  <c r="O288" i="4"/>
  <c r="P288" i="4"/>
  <c r="R288" i="4"/>
  <c r="S288" i="4"/>
  <c r="U288" i="4"/>
  <c r="W288" i="4"/>
  <c r="X288" i="4"/>
  <c r="O289" i="4"/>
  <c r="P289" i="4"/>
  <c r="R289" i="4"/>
  <c r="S289" i="4"/>
  <c r="U289" i="4"/>
  <c r="W289" i="4"/>
  <c r="X289" i="4"/>
  <c r="O290" i="4"/>
  <c r="P290" i="4"/>
  <c r="R290" i="4"/>
  <c r="S290" i="4"/>
  <c r="U290" i="4"/>
  <c r="W290" i="4"/>
  <c r="X290" i="4"/>
  <c r="O293" i="4"/>
  <c r="P293" i="4"/>
  <c r="R293" i="4"/>
  <c r="S293" i="4"/>
  <c r="U293" i="4"/>
  <c r="W293" i="4"/>
  <c r="X293" i="4"/>
  <c r="O294" i="4"/>
  <c r="P294" i="4"/>
  <c r="R294" i="4"/>
  <c r="S294" i="4"/>
  <c r="U294" i="4"/>
  <c r="W294" i="4"/>
  <c r="X294" i="4"/>
  <c r="O295" i="4"/>
  <c r="P295" i="4"/>
  <c r="R295" i="4"/>
  <c r="S295" i="4"/>
  <c r="U295" i="4"/>
  <c r="W295" i="4"/>
  <c r="X295" i="4"/>
  <c r="O296" i="4"/>
  <c r="P296" i="4"/>
  <c r="R296" i="4"/>
  <c r="S296" i="4"/>
  <c r="U296" i="4"/>
  <c r="W296" i="4"/>
  <c r="X296" i="4"/>
  <c r="O297" i="4"/>
  <c r="P297" i="4"/>
  <c r="R297" i="4"/>
  <c r="S297" i="4"/>
  <c r="U297" i="4"/>
  <c r="W297" i="4"/>
  <c r="X297" i="4"/>
  <c r="O298" i="4"/>
  <c r="P298" i="4"/>
  <c r="R298" i="4"/>
  <c r="S298" i="4"/>
  <c r="U298" i="4"/>
  <c r="W298" i="4"/>
  <c r="X298" i="4"/>
  <c r="O299" i="4"/>
  <c r="P299" i="4"/>
  <c r="R299" i="4"/>
  <c r="S299" i="4"/>
  <c r="U299" i="4"/>
  <c r="W299" i="4"/>
  <c r="X299" i="4"/>
  <c r="O300" i="4"/>
  <c r="P300" i="4"/>
  <c r="R300" i="4"/>
  <c r="S300" i="4"/>
  <c r="U300" i="4"/>
  <c r="W300" i="4"/>
  <c r="X300" i="4"/>
  <c r="O301" i="4"/>
  <c r="P301" i="4"/>
  <c r="R301" i="4"/>
  <c r="S301" i="4"/>
  <c r="U301" i="4"/>
  <c r="W301" i="4"/>
  <c r="X301" i="4"/>
  <c r="O302" i="4"/>
  <c r="P302" i="4"/>
  <c r="R302" i="4"/>
  <c r="S302" i="4"/>
  <c r="U302" i="4"/>
  <c r="W302" i="4"/>
  <c r="X302" i="4"/>
  <c r="O303" i="4"/>
  <c r="P303" i="4"/>
  <c r="R303" i="4"/>
  <c r="S303" i="4"/>
  <c r="U303" i="4"/>
  <c r="W303" i="4"/>
  <c r="X303" i="4"/>
  <c r="O304" i="4"/>
  <c r="P304" i="4"/>
  <c r="R304" i="4"/>
  <c r="S304" i="4"/>
  <c r="U304" i="4"/>
  <c r="W304" i="4"/>
  <c r="X304" i="4"/>
  <c r="O305" i="4"/>
  <c r="P305" i="4"/>
  <c r="R305" i="4"/>
  <c r="S305" i="4"/>
  <c r="U305" i="4"/>
  <c r="W305" i="4"/>
  <c r="X305" i="4"/>
  <c r="O306" i="4"/>
  <c r="P306" i="4"/>
  <c r="R306" i="4"/>
  <c r="S306" i="4"/>
  <c r="U306" i="4"/>
  <c r="W306" i="4"/>
  <c r="X306" i="4"/>
  <c r="O307" i="4"/>
  <c r="P307" i="4"/>
  <c r="R307" i="4"/>
  <c r="S307" i="4"/>
  <c r="U307" i="4"/>
  <c r="W307" i="4"/>
  <c r="X307" i="4"/>
  <c r="O308" i="4"/>
  <c r="P308" i="4"/>
  <c r="R308" i="4"/>
  <c r="S308" i="4"/>
  <c r="U308" i="4"/>
  <c r="W308" i="4"/>
  <c r="X308" i="4"/>
  <c r="O309" i="4"/>
  <c r="P309" i="4"/>
  <c r="R309" i="4"/>
  <c r="S309" i="4"/>
  <c r="U309" i="4"/>
  <c r="W309" i="4"/>
  <c r="X309" i="4"/>
  <c r="O310" i="4"/>
  <c r="P310" i="4"/>
  <c r="R310" i="4"/>
  <c r="S310" i="4"/>
  <c r="U310" i="4"/>
  <c r="W310" i="4"/>
  <c r="X310" i="4"/>
  <c r="O311" i="4"/>
  <c r="P311" i="4"/>
  <c r="R311" i="4"/>
  <c r="S311" i="4"/>
  <c r="U311" i="4"/>
  <c r="W311" i="4"/>
  <c r="X311" i="4"/>
  <c r="O312" i="4"/>
  <c r="P312" i="4"/>
  <c r="R312" i="4"/>
  <c r="S312" i="4"/>
  <c r="U312" i="4"/>
  <c r="W312" i="4"/>
  <c r="X312" i="4"/>
  <c r="O313" i="4"/>
  <c r="P313" i="4"/>
  <c r="R313" i="4"/>
  <c r="S313" i="4"/>
  <c r="U313" i="4"/>
  <c r="W313" i="4"/>
  <c r="X313" i="4"/>
  <c r="O314" i="4"/>
  <c r="P314" i="4"/>
  <c r="R314" i="4"/>
  <c r="S314" i="4"/>
  <c r="U314" i="4"/>
  <c r="W314" i="4"/>
  <c r="X314" i="4"/>
  <c r="O315" i="4"/>
  <c r="P315" i="4"/>
  <c r="R315" i="4"/>
  <c r="S315" i="4"/>
  <c r="U315" i="4"/>
  <c r="W315" i="4"/>
  <c r="X315" i="4"/>
  <c r="O316" i="4"/>
  <c r="P316" i="4"/>
  <c r="R316" i="4"/>
  <c r="S316" i="4"/>
  <c r="U316" i="4"/>
  <c r="W316" i="4"/>
  <c r="X316" i="4"/>
  <c r="O317" i="4"/>
  <c r="P317" i="4"/>
  <c r="R317" i="4"/>
  <c r="S317" i="4"/>
  <c r="U317" i="4"/>
  <c r="W317" i="4"/>
  <c r="X317" i="4"/>
  <c r="O318" i="4"/>
  <c r="P318" i="4"/>
  <c r="R318" i="4"/>
  <c r="S318" i="4"/>
  <c r="U318" i="4"/>
  <c r="W318" i="4"/>
  <c r="X318" i="4"/>
  <c r="O319" i="4"/>
  <c r="P319" i="4"/>
  <c r="R319" i="4"/>
  <c r="S319" i="4"/>
  <c r="U319" i="4"/>
  <c r="W319" i="4"/>
  <c r="X319" i="4"/>
  <c r="O320" i="4"/>
  <c r="P320" i="4"/>
  <c r="R320" i="4"/>
  <c r="S320" i="4"/>
  <c r="U320" i="4"/>
  <c r="W320" i="4"/>
  <c r="X320" i="4"/>
  <c r="O321" i="4"/>
  <c r="P321" i="4"/>
  <c r="R321" i="4"/>
  <c r="S321" i="4"/>
  <c r="U321" i="4"/>
  <c r="W321" i="4"/>
  <c r="X321" i="4"/>
  <c r="O322" i="4"/>
  <c r="P322" i="4"/>
  <c r="R322" i="4"/>
  <c r="S322" i="4"/>
  <c r="U322" i="4"/>
  <c r="W322" i="4"/>
  <c r="X322" i="4"/>
  <c r="O323" i="4"/>
  <c r="P323" i="4"/>
  <c r="R323" i="4"/>
  <c r="S323" i="4"/>
  <c r="U323" i="4"/>
  <c r="W323" i="4"/>
  <c r="X323" i="4"/>
  <c r="O324" i="4"/>
  <c r="P324" i="4"/>
  <c r="R324" i="4"/>
  <c r="S324" i="4"/>
  <c r="U324" i="4"/>
  <c r="W324" i="4"/>
  <c r="X324" i="4"/>
  <c r="O325" i="4"/>
  <c r="P325" i="4"/>
  <c r="R325" i="4"/>
  <c r="S325" i="4"/>
  <c r="U325" i="4"/>
  <c r="W325" i="4"/>
  <c r="X325" i="4"/>
  <c r="O326" i="4"/>
  <c r="P326" i="4"/>
  <c r="R326" i="4"/>
  <c r="S326" i="4"/>
  <c r="U326" i="4"/>
  <c r="W326" i="4"/>
  <c r="X326" i="4"/>
  <c r="O327" i="4"/>
  <c r="P327" i="4"/>
  <c r="R327" i="4"/>
  <c r="S327" i="4"/>
  <c r="U327" i="4"/>
  <c r="W327" i="4"/>
  <c r="X327" i="4"/>
  <c r="O328" i="4"/>
  <c r="P328" i="4"/>
  <c r="R328" i="4"/>
  <c r="S328" i="4"/>
  <c r="U328" i="4"/>
  <c r="W328" i="4"/>
  <c r="X328" i="4"/>
  <c r="O329" i="4"/>
  <c r="P329" i="4"/>
  <c r="R329" i="4"/>
  <c r="S329" i="4"/>
  <c r="U329" i="4"/>
  <c r="W329" i="4"/>
  <c r="X329" i="4"/>
  <c r="O330" i="4"/>
  <c r="P330" i="4"/>
  <c r="R330" i="4"/>
  <c r="S330" i="4"/>
  <c r="U330" i="4"/>
  <c r="W330" i="4"/>
  <c r="X330" i="4"/>
  <c r="O331" i="4"/>
  <c r="P331" i="4"/>
  <c r="R331" i="4"/>
  <c r="S331" i="4"/>
  <c r="U331" i="4"/>
  <c r="W331" i="4"/>
  <c r="X331" i="4"/>
  <c r="O332" i="4"/>
  <c r="P332" i="4"/>
  <c r="R332" i="4"/>
  <c r="S332" i="4"/>
  <c r="U332" i="4"/>
  <c r="W332" i="4"/>
  <c r="X332" i="4"/>
  <c r="O333" i="4"/>
  <c r="P333" i="4"/>
  <c r="R333" i="4"/>
  <c r="S333" i="4"/>
  <c r="U333" i="4"/>
  <c r="W333" i="4"/>
  <c r="X333" i="4"/>
  <c r="O334" i="4"/>
  <c r="P334" i="4"/>
  <c r="R334" i="4"/>
  <c r="S334" i="4"/>
  <c r="U334" i="4"/>
  <c r="W334" i="4"/>
  <c r="X334" i="4"/>
  <c r="O335" i="4"/>
  <c r="P335" i="4"/>
  <c r="R335" i="4"/>
  <c r="S335" i="4"/>
  <c r="U335" i="4"/>
  <c r="W335" i="4"/>
  <c r="X335" i="4"/>
  <c r="O336" i="4"/>
  <c r="P336" i="4"/>
  <c r="R336" i="4"/>
  <c r="S336" i="4"/>
  <c r="U336" i="4"/>
  <c r="W336" i="4"/>
  <c r="X336" i="4"/>
  <c r="O337" i="4"/>
  <c r="P337" i="4"/>
  <c r="R337" i="4"/>
  <c r="S337" i="4"/>
  <c r="U337" i="4"/>
  <c r="W337" i="4"/>
  <c r="X337" i="4"/>
  <c r="O338" i="4"/>
  <c r="P338" i="4"/>
  <c r="R338" i="4"/>
  <c r="S338" i="4"/>
  <c r="U338" i="4"/>
  <c r="W338" i="4"/>
  <c r="X338" i="4"/>
  <c r="O339" i="4"/>
  <c r="P339" i="4"/>
  <c r="R339" i="4"/>
  <c r="S339" i="4"/>
  <c r="U339" i="4"/>
  <c r="W339" i="4"/>
  <c r="X339" i="4"/>
  <c r="O340" i="4"/>
  <c r="P340" i="4"/>
  <c r="R340" i="4"/>
  <c r="S340" i="4"/>
  <c r="U340" i="4"/>
  <c r="W340" i="4"/>
  <c r="X340" i="4"/>
  <c r="O342" i="4"/>
  <c r="P342" i="4"/>
  <c r="R342" i="4"/>
  <c r="S342" i="4"/>
  <c r="U342" i="4"/>
  <c r="W342" i="4"/>
  <c r="X342" i="4"/>
  <c r="O343" i="4"/>
  <c r="P343" i="4"/>
  <c r="R343" i="4"/>
  <c r="S343" i="4"/>
  <c r="U343" i="4"/>
  <c r="W343" i="4"/>
  <c r="X343" i="4"/>
  <c r="O344" i="4"/>
  <c r="P344" i="4"/>
  <c r="R344" i="4"/>
  <c r="S344" i="4"/>
  <c r="U344" i="4"/>
  <c r="W344" i="4"/>
  <c r="X344" i="4"/>
  <c r="O345" i="4"/>
  <c r="P345" i="4"/>
  <c r="R345" i="4"/>
  <c r="S345" i="4"/>
  <c r="U345" i="4"/>
  <c r="W345" i="4"/>
  <c r="X345" i="4"/>
  <c r="O346" i="4"/>
  <c r="P346" i="4"/>
  <c r="R346" i="4"/>
  <c r="S346" i="4"/>
  <c r="U346" i="4"/>
  <c r="W346" i="4"/>
  <c r="X346" i="4"/>
  <c r="O347" i="4"/>
  <c r="P347" i="4"/>
  <c r="R347" i="4"/>
  <c r="S347" i="4"/>
  <c r="U347" i="4"/>
  <c r="W347" i="4"/>
  <c r="X347" i="4"/>
  <c r="O348" i="4"/>
  <c r="P348" i="4"/>
  <c r="R348" i="4"/>
  <c r="S348" i="4"/>
  <c r="U348" i="4"/>
  <c r="W348" i="4"/>
  <c r="X348" i="4"/>
  <c r="O349" i="4"/>
  <c r="P349" i="4"/>
  <c r="R349" i="4"/>
  <c r="S349" i="4"/>
  <c r="U349" i="4"/>
  <c r="W349" i="4"/>
  <c r="X349" i="4"/>
  <c r="O350" i="4"/>
  <c r="P350" i="4"/>
  <c r="R350" i="4"/>
  <c r="S350" i="4"/>
  <c r="U350" i="4"/>
  <c r="W350" i="4"/>
  <c r="X350" i="4"/>
  <c r="O351" i="4"/>
  <c r="P351" i="4"/>
  <c r="R351" i="4"/>
  <c r="S351" i="4"/>
  <c r="U351" i="4"/>
  <c r="W351" i="4"/>
  <c r="X351" i="4"/>
  <c r="O352" i="4"/>
  <c r="P352" i="4"/>
  <c r="R352" i="4"/>
  <c r="S352" i="4"/>
  <c r="U352" i="4"/>
  <c r="W352" i="4"/>
  <c r="X352" i="4"/>
  <c r="O353" i="4"/>
  <c r="P353" i="4"/>
  <c r="R353" i="4"/>
  <c r="S353" i="4"/>
  <c r="U353" i="4"/>
  <c r="W353" i="4"/>
  <c r="X353" i="4"/>
  <c r="O354" i="4"/>
  <c r="P354" i="4"/>
  <c r="R354" i="4"/>
  <c r="S354" i="4"/>
  <c r="U354" i="4"/>
  <c r="W354" i="4"/>
  <c r="X354" i="4"/>
  <c r="O355" i="4"/>
  <c r="P355" i="4"/>
  <c r="R355" i="4"/>
  <c r="S355" i="4"/>
  <c r="U355" i="4"/>
  <c r="W355" i="4"/>
  <c r="X355" i="4"/>
  <c r="O356" i="4"/>
  <c r="P356" i="4"/>
  <c r="R356" i="4"/>
  <c r="S356" i="4"/>
  <c r="U356" i="4"/>
  <c r="W356" i="4"/>
  <c r="X356" i="4"/>
  <c r="O357" i="4"/>
  <c r="P357" i="4"/>
  <c r="R357" i="4"/>
  <c r="S357" i="4"/>
  <c r="U357" i="4"/>
  <c r="W357" i="4"/>
  <c r="X357" i="4"/>
  <c r="O358" i="4"/>
  <c r="P358" i="4"/>
  <c r="R358" i="4"/>
  <c r="S358" i="4"/>
  <c r="U358" i="4"/>
  <c r="W358" i="4"/>
  <c r="X358" i="4"/>
  <c r="O359" i="4"/>
  <c r="P359" i="4"/>
  <c r="R359" i="4"/>
  <c r="S359" i="4"/>
  <c r="U359" i="4"/>
  <c r="W359" i="4"/>
  <c r="X359" i="4"/>
  <c r="O360" i="4"/>
  <c r="P360" i="4"/>
  <c r="R360" i="4"/>
  <c r="S360" i="4"/>
  <c r="U360" i="4"/>
  <c r="W360" i="4"/>
  <c r="X360" i="4"/>
  <c r="O361" i="4"/>
  <c r="P361" i="4"/>
  <c r="R361" i="4"/>
  <c r="S361" i="4"/>
  <c r="U361" i="4"/>
  <c r="W361" i="4"/>
  <c r="X361" i="4"/>
  <c r="O362" i="4"/>
  <c r="P362" i="4"/>
  <c r="R362" i="4"/>
  <c r="S362" i="4"/>
  <c r="U362" i="4"/>
  <c r="W362" i="4"/>
  <c r="X362" i="4"/>
  <c r="O363" i="4"/>
  <c r="P363" i="4"/>
  <c r="R363" i="4"/>
  <c r="S363" i="4"/>
  <c r="U363" i="4"/>
  <c r="W363" i="4"/>
  <c r="X363" i="4"/>
  <c r="O364" i="4"/>
  <c r="P364" i="4"/>
  <c r="R364" i="4"/>
  <c r="S364" i="4"/>
  <c r="U364" i="4"/>
  <c r="W364" i="4"/>
  <c r="X364" i="4"/>
  <c r="O365" i="4"/>
  <c r="P365" i="4"/>
  <c r="R365" i="4"/>
  <c r="S365" i="4"/>
  <c r="U365" i="4"/>
  <c r="W365" i="4"/>
  <c r="X365" i="4"/>
  <c r="O366" i="4"/>
  <c r="P366" i="4"/>
  <c r="R366" i="4"/>
  <c r="S366" i="4"/>
  <c r="U366" i="4"/>
  <c r="W366" i="4"/>
  <c r="X366" i="4"/>
  <c r="O367" i="4"/>
  <c r="P367" i="4"/>
  <c r="R367" i="4"/>
  <c r="S367" i="4"/>
  <c r="U367" i="4"/>
  <c r="W367" i="4"/>
  <c r="X367" i="4"/>
  <c r="O368" i="4"/>
  <c r="P368" i="4"/>
  <c r="R368" i="4"/>
  <c r="S368" i="4"/>
  <c r="U368" i="4"/>
  <c r="W368" i="4"/>
  <c r="X368" i="4"/>
  <c r="O369" i="4"/>
  <c r="P369" i="4"/>
  <c r="R369" i="4"/>
  <c r="S369" i="4"/>
  <c r="U369" i="4"/>
  <c r="W369" i="4"/>
  <c r="X369" i="4"/>
  <c r="O370" i="4"/>
  <c r="P370" i="4"/>
  <c r="R370" i="4"/>
  <c r="S370" i="4"/>
  <c r="U370" i="4"/>
  <c r="W370" i="4"/>
  <c r="X370" i="4"/>
  <c r="O371" i="4"/>
  <c r="P371" i="4"/>
  <c r="R371" i="4"/>
  <c r="S371" i="4"/>
  <c r="U371" i="4"/>
  <c r="W371" i="4"/>
  <c r="X371" i="4"/>
  <c r="O372" i="4"/>
  <c r="P372" i="4"/>
  <c r="R372" i="4"/>
  <c r="S372" i="4"/>
  <c r="U372" i="4"/>
  <c r="W372" i="4"/>
  <c r="X372" i="4"/>
  <c r="O373" i="4"/>
  <c r="P373" i="4"/>
  <c r="R373" i="4"/>
  <c r="S373" i="4"/>
  <c r="U373" i="4"/>
  <c r="W373" i="4"/>
  <c r="X373" i="4"/>
  <c r="O374" i="4"/>
  <c r="P374" i="4"/>
  <c r="R374" i="4"/>
  <c r="S374" i="4"/>
  <c r="U374" i="4"/>
  <c r="W374" i="4"/>
  <c r="X374" i="4"/>
  <c r="O375" i="4"/>
  <c r="P375" i="4"/>
  <c r="R375" i="4"/>
  <c r="S375" i="4"/>
  <c r="U375" i="4"/>
  <c r="W375" i="4"/>
  <c r="X375" i="4"/>
  <c r="O376" i="4"/>
  <c r="P376" i="4"/>
  <c r="R376" i="4"/>
  <c r="S376" i="4"/>
  <c r="U376" i="4"/>
  <c r="W376" i="4"/>
  <c r="X376" i="4"/>
  <c r="O377" i="4"/>
  <c r="P377" i="4"/>
  <c r="R377" i="4"/>
  <c r="S377" i="4"/>
  <c r="U377" i="4"/>
  <c r="W377" i="4"/>
  <c r="X377" i="4"/>
  <c r="O378" i="4"/>
  <c r="P378" i="4"/>
  <c r="R378" i="4"/>
  <c r="S378" i="4"/>
  <c r="U378" i="4"/>
  <c r="W378" i="4"/>
  <c r="X378" i="4"/>
  <c r="O379" i="4"/>
  <c r="P379" i="4"/>
  <c r="R379" i="4"/>
  <c r="S379" i="4"/>
  <c r="U379" i="4"/>
  <c r="W379" i="4"/>
  <c r="X379" i="4"/>
  <c r="O380" i="4"/>
  <c r="P380" i="4"/>
  <c r="R380" i="4"/>
  <c r="S380" i="4"/>
  <c r="U380" i="4"/>
  <c r="W380" i="4"/>
  <c r="X380" i="4"/>
  <c r="O381" i="4"/>
  <c r="P381" i="4"/>
  <c r="R381" i="4"/>
  <c r="S381" i="4"/>
  <c r="U381" i="4"/>
  <c r="W381" i="4"/>
  <c r="X381" i="4"/>
  <c r="O382" i="4"/>
  <c r="P382" i="4"/>
  <c r="R382" i="4"/>
  <c r="S382" i="4"/>
  <c r="U382" i="4"/>
  <c r="W382" i="4"/>
  <c r="X382" i="4"/>
  <c r="O383" i="4"/>
  <c r="P383" i="4"/>
  <c r="R383" i="4"/>
  <c r="S383" i="4"/>
  <c r="U383" i="4"/>
  <c r="W383" i="4"/>
  <c r="X383" i="4"/>
  <c r="O384" i="4"/>
  <c r="P384" i="4"/>
  <c r="R384" i="4"/>
  <c r="S384" i="4"/>
  <c r="U384" i="4"/>
  <c r="W384" i="4"/>
  <c r="X384" i="4"/>
  <c r="O385" i="4"/>
  <c r="P385" i="4"/>
  <c r="R385" i="4"/>
  <c r="S385" i="4"/>
  <c r="U385" i="4"/>
  <c r="W385" i="4"/>
  <c r="X385" i="4"/>
  <c r="O386" i="4"/>
  <c r="P386" i="4"/>
  <c r="R386" i="4"/>
  <c r="S386" i="4"/>
  <c r="U386" i="4"/>
  <c r="W386" i="4"/>
  <c r="X386" i="4"/>
  <c r="O387" i="4"/>
  <c r="P387" i="4"/>
  <c r="R387" i="4"/>
  <c r="S387" i="4"/>
  <c r="U387" i="4"/>
  <c r="W387" i="4"/>
  <c r="X387" i="4"/>
  <c r="O388" i="4"/>
  <c r="P388" i="4"/>
  <c r="R388" i="4"/>
  <c r="S388" i="4"/>
  <c r="U388" i="4"/>
  <c r="W388" i="4"/>
  <c r="X388" i="4"/>
  <c r="O389" i="4"/>
  <c r="P389" i="4"/>
  <c r="R389" i="4"/>
  <c r="S389" i="4"/>
  <c r="U389" i="4"/>
  <c r="W389" i="4"/>
  <c r="X389" i="4"/>
  <c r="O390" i="4"/>
  <c r="P390" i="4"/>
  <c r="R390" i="4"/>
  <c r="S390" i="4"/>
  <c r="U390" i="4"/>
  <c r="W390" i="4"/>
  <c r="X390" i="4"/>
  <c r="O391" i="4"/>
  <c r="P391" i="4"/>
  <c r="R391" i="4"/>
  <c r="S391" i="4"/>
  <c r="U391" i="4"/>
  <c r="W391" i="4"/>
  <c r="X391" i="4"/>
  <c r="O392" i="4"/>
  <c r="P392" i="4"/>
  <c r="R392" i="4"/>
  <c r="S392" i="4"/>
  <c r="U392" i="4"/>
  <c r="W392" i="4"/>
  <c r="X392" i="4"/>
  <c r="O393" i="4"/>
  <c r="P393" i="4"/>
  <c r="R393" i="4"/>
  <c r="S393" i="4"/>
  <c r="U393" i="4"/>
  <c r="W393" i="4"/>
  <c r="X393" i="4"/>
  <c r="O394" i="4"/>
  <c r="P394" i="4"/>
  <c r="R394" i="4"/>
  <c r="S394" i="4"/>
  <c r="U394" i="4"/>
  <c r="W394" i="4"/>
  <c r="X394" i="4"/>
  <c r="O395" i="4"/>
  <c r="P395" i="4"/>
  <c r="R395" i="4"/>
  <c r="S395" i="4"/>
  <c r="U395" i="4"/>
  <c r="W395" i="4"/>
  <c r="X395" i="4"/>
  <c r="O396" i="4"/>
  <c r="P396" i="4"/>
  <c r="R396" i="4"/>
  <c r="S396" i="4"/>
  <c r="U396" i="4"/>
  <c r="W396" i="4"/>
  <c r="X396" i="4"/>
  <c r="O397" i="4"/>
  <c r="P397" i="4"/>
  <c r="R397" i="4"/>
  <c r="S397" i="4"/>
  <c r="U397" i="4"/>
  <c r="W397" i="4"/>
  <c r="X397" i="4"/>
  <c r="O398" i="4"/>
  <c r="P398" i="4"/>
  <c r="R398" i="4"/>
  <c r="S398" i="4"/>
  <c r="U398" i="4"/>
  <c r="W398" i="4"/>
  <c r="X398" i="4"/>
  <c r="O399" i="4"/>
  <c r="P399" i="4"/>
  <c r="R399" i="4"/>
  <c r="S399" i="4"/>
  <c r="U399" i="4"/>
  <c r="W399" i="4"/>
  <c r="X399" i="4"/>
  <c r="O400" i="4"/>
  <c r="P400" i="4"/>
  <c r="R400" i="4"/>
  <c r="S400" i="4"/>
  <c r="U400" i="4"/>
  <c r="W400" i="4"/>
  <c r="X400" i="4"/>
  <c r="O401" i="4"/>
  <c r="P401" i="4"/>
  <c r="R401" i="4"/>
  <c r="S401" i="4"/>
  <c r="U401" i="4"/>
  <c r="W401" i="4"/>
  <c r="X401" i="4"/>
  <c r="O402" i="4"/>
  <c r="P402" i="4"/>
  <c r="R402" i="4"/>
  <c r="S402" i="4"/>
  <c r="U402" i="4"/>
  <c r="W402" i="4"/>
  <c r="X402" i="4"/>
  <c r="O403" i="4"/>
  <c r="P403" i="4"/>
  <c r="R403" i="4"/>
  <c r="S403" i="4"/>
  <c r="U403" i="4"/>
  <c r="W403" i="4"/>
  <c r="X403" i="4"/>
  <c r="O404" i="4"/>
  <c r="P404" i="4"/>
  <c r="R404" i="4"/>
  <c r="S404" i="4"/>
  <c r="U404" i="4"/>
  <c r="W404" i="4"/>
  <c r="X404" i="4"/>
  <c r="O405" i="4"/>
  <c r="P405" i="4"/>
  <c r="R405" i="4"/>
  <c r="S405" i="4"/>
  <c r="U405" i="4"/>
  <c r="W405" i="4"/>
  <c r="X405" i="4"/>
  <c r="X11" i="4"/>
  <c r="W11" i="4"/>
  <c r="U11" i="4"/>
  <c r="S11" i="4"/>
  <c r="R11" i="4"/>
  <c r="L12" i="4"/>
  <c r="M12" i="4"/>
  <c r="L13" i="4"/>
  <c r="M13" i="4"/>
  <c r="L14" i="4"/>
  <c r="M14" i="4"/>
  <c r="L15" i="4"/>
  <c r="M15" i="4"/>
  <c r="L16" i="4"/>
  <c r="M16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7" i="4"/>
  <c r="M37" i="4"/>
  <c r="L38" i="4"/>
  <c r="M38" i="4"/>
  <c r="L39" i="4"/>
  <c r="M39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70" i="4"/>
  <c r="M70" i="4"/>
  <c r="L71" i="4"/>
  <c r="M71" i="4"/>
  <c r="L72" i="4"/>
  <c r="M72" i="4"/>
  <c r="L73" i="4"/>
  <c r="M73" i="4"/>
  <c r="L74" i="4"/>
  <c r="M74" i="4"/>
  <c r="L75" i="4"/>
  <c r="M75" i="4"/>
  <c r="L78" i="4"/>
  <c r="M78" i="4"/>
  <c r="L80" i="4"/>
  <c r="M80" i="4"/>
  <c r="L81" i="4"/>
  <c r="M81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5" i="4"/>
  <c r="M95" i="4"/>
  <c r="L96" i="4"/>
  <c r="M96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9" i="4"/>
  <c r="M109" i="4"/>
  <c r="L110" i="4"/>
  <c r="M110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8" i="4"/>
  <c r="M208" i="4"/>
  <c r="L209" i="4"/>
  <c r="M209" i="4"/>
  <c r="L210" i="4"/>
  <c r="M210" i="4"/>
  <c r="L211" i="4"/>
  <c r="M211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1" i="4"/>
  <c r="M261" i="4"/>
  <c r="L262" i="4"/>
  <c r="M262" i="4"/>
  <c r="L263" i="4"/>
  <c r="M263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P11" i="4"/>
  <c r="O11" i="4"/>
  <c r="M11" i="4"/>
  <c r="L11" i="4"/>
  <c r="I15" i="4"/>
  <c r="J15" i="4"/>
  <c r="I16" i="4"/>
  <c r="J16" i="4"/>
  <c r="I20" i="4"/>
  <c r="J20" i="4"/>
  <c r="I21" i="4"/>
  <c r="J21" i="4"/>
  <c r="I22" i="4"/>
  <c r="J22" i="4"/>
  <c r="I23" i="4"/>
  <c r="J23" i="4"/>
  <c r="I24" i="4"/>
  <c r="J24" i="4"/>
  <c r="I25" i="4"/>
  <c r="J25" i="4"/>
  <c r="I26" i="4"/>
  <c r="J26" i="4"/>
  <c r="I27" i="4"/>
  <c r="J27" i="4"/>
  <c r="I28" i="4"/>
  <c r="J28" i="4"/>
  <c r="I29" i="4"/>
  <c r="J29" i="4"/>
  <c r="I30" i="4"/>
  <c r="J30" i="4"/>
  <c r="I31" i="4"/>
  <c r="J31" i="4"/>
  <c r="I32" i="4"/>
  <c r="J32" i="4"/>
  <c r="I33" i="4"/>
  <c r="J33" i="4"/>
  <c r="I34" i="4"/>
  <c r="J34" i="4"/>
  <c r="I37" i="4"/>
  <c r="J37" i="4"/>
  <c r="I38" i="4"/>
  <c r="J38" i="4"/>
  <c r="I39" i="4"/>
  <c r="J39" i="4"/>
  <c r="I41" i="4"/>
  <c r="J41" i="4"/>
  <c r="I42" i="4"/>
  <c r="J42" i="4"/>
  <c r="I43" i="4"/>
  <c r="J43" i="4"/>
  <c r="I44" i="4"/>
  <c r="J44" i="4"/>
  <c r="I45" i="4"/>
  <c r="J45" i="4"/>
  <c r="I46" i="4"/>
  <c r="J46" i="4"/>
  <c r="I47" i="4"/>
  <c r="J47" i="4"/>
  <c r="I48" i="4"/>
  <c r="J48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I56" i="4"/>
  <c r="J56" i="4"/>
  <c r="I57" i="4"/>
  <c r="J57" i="4"/>
  <c r="I58" i="4"/>
  <c r="J58" i="4"/>
  <c r="I59" i="4"/>
  <c r="J59" i="4"/>
  <c r="I60" i="4"/>
  <c r="J60" i="4"/>
  <c r="I61" i="4"/>
  <c r="J61" i="4"/>
  <c r="I62" i="4"/>
  <c r="J62" i="4"/>
  <c r="I63" i="4"/>
  <c r="J63" i="4"/>
  <c r="I64" i="4"/>
  <c r="J64" i="4"/>
  <c r="I65" i="4"/>
  <c r="J65" i="4"/>
  <c r="I66" i="4"/>
  <c r="J66" i="4"/>
  <c r="I67" i="4"/>
  <c r="J67" i="4"/>
  <c r="I68" i="4"/>
  <c r="J68" i="4"/>
  <c r="I70" i="4"/>
  <c r="J70" i="4"/>
  <c r="I71" i="4"/>
  <c r="J71" i="4"/>
  <c r="I72" i="4"/>
  <c r="J72" i="4"/>
  <c r="I73" i="4"/>
  <c r="J73" i="4"/>
  <c r="I74" i="4"/>
  <c r="J74" i="4"/>
  <c r="I75" i="4"/>
  <c r="J75" i="4"/>
  <c r="I78" i="4"/>
  <c r="J78" i="4"/>
  <c r="I80" i="4"/>
  <c r="J80" i="4"/>
  <c r="I81" i="4"/>
  <c r="J81" i="4"/>
  <c r="I83" i="4"/>
  <c r="J83" i="4"/>
  <c r="I84" i="4"/>
  <c r="J84" i="4"/>
  <c r="I85" i="4"/>
  <c r="J85" i="4"/>
  <c r="I86" i="4"/>
  <c r="J86" i="4"/>
  <c r="I87" i="4"/>
  <c r="J87" i="4"/>
  <c r="I88" i="4"/>
  <c r="J88" i="4"/>
  <c r="I89" i="4"/>
  <c r="J89" i="4"/>
  <c r="I90" i="4"/>
  <c r="J90" i="4"/>
  <c r="I91" i="4"/>
  <c r="J91" i="4"/>
  <c r="I92" i="4"/>
  <c r="J92" i="4"/>
  <c r="I95" i="4"/>
  <c r="J95" i="4"/>
  <c r="I96" i="4"/>
  <c r="J96" i="4"/>
  <c r="I98" i="4"/>
  <c r="J98" i="4"/>
  <c r="I99" i="4"/>
  <c r="J99" i="4"/>
  <c r="I100" i="4"/>
  <c r="J100" i="4"/>
  <c r="I101" i="4"/>
  <c r="J101" i="4"/>
  <c r="I102" i="4"/>
  <c r="J102" i="4"/>
  <c r="I103" i="4"/>
  <c r="J103" i="4"/>
  <c r="I104" i="4"/>
  <c r="J104" i="4"/>
  <c r="I105" i="4"/>
  <c r="J105" i="4"/>
  <c r="I106" i="4"/>
  <c r="J106" i="4"/>
  <c r="I107" i="4"/>
  <c r="J107" i="4"/>
  <c r="I109" i="4"/>
  <c r="J109" i="4"/>
  <c r="I110" i="4"/>
  <c r="J110" i="4"/>
  <c r="I112" i="4"/>
  <c r="J112" i="4"/>
  <c r="I113" i="4"/>
  <c r="J113" i="4"/>
  <c r="I114" i="4"/>
  <c r="J114" i="4"/>
  <c r="I115" i="4"/>
  <c r="J115" i="4"/>
  <c r="I116" i="4"/>
  <c r="J116" i="4"/>
  <c r="I117" i="4"/>
  <c r="J117" i="4"/>
  <c r="I118" i="4"/>
  <c r="J118" i="4"/>
  <c r="I119" i="4"/>
  <c r="J119" i="4"/>
  <c r="I120" i="4"/>
  <c r="J120" i="4"/>
  <c r="I121" i="4"/>
  <c r="J121" i="4"/>
  <c r="I122" i="4"/>
  <c r="J122" i="4"/>
  <c r="I123" i="4"/>
  <c r="J123" i="4"/>
  <c r="I124" i="4"/>
  <c r="J124" i="4"/>
  <c r="I125" i="4"/>
  <c r="J125" i="4"/>
  <c r="I126" i="4"/>
  <c r="J126" i="4"/>
  <c r="I127" i="4"/>
  <c r="J127" i="4"/>
  <c r="I128" i="4"/>
  <c r="J128" i="4"/>
  <c r="I129" i="4"/>
  <c r="J129" i="4"/>
  <c r="I130" i="4"/>
  <c r="J130" i="4"/>
  <c r="I131" i="4"/>
  <c r="J131" i="4"/>
  <c r="I132" i="4"/>
  <c r="J132" i="4"/>
  <c r="I133" i="4"/>
  <c r="J133" i="4"/>
  <c r="I134" i="4"/>
  <c r="J134" i="4"/>
  <c r="I135" i="4"/>
  <c r="J135" i="4"/>
  <c r="I138" i="4"/>
  <c r="J138" i="4"/>
  <c r="I139" i="4"/>
  <c r="J139" i="4"/>
  <c r="I140" i="4"/>
  <c r="J140" i="4"/>
  <c r="I141" i="4"/>
  <c r="J141" i="4"/>
  <c r="I142" i="4"/>
  <c r="J142" i="4"/>
  <c r="I143" i="4"/>
  <c r="J143" i="4"/>
  <c r="I145" i="4"/>
  <c r="J145" i="4"/>
  <c r="I146" i="4"/>
  <c r="J146" i="4"/>
  <c r="I147" i="4"/>
  <c r="J147" i="4"/>
  <c r="I148" i="4"/>
  <c r="J148" i="4"/>
  <c r="I149" i="4"/>
  <c r="J149" i="4"/>
  <c r="I150" i="4"/>
  <c r="J150" i="4"/>
  <c r="I151" i="4"/>
  <c r="J151" i="4"/>
  <c r="I152" i="4"/>
  <c r="J152" i="4"/>
  <c r="I153" i="4"/>
  <c r="J153" i="4"/>
  <c r="I155" i="4"/>
  <c r="J155" i="4"/>
  <c r="I156" i="4"/>
  <c r="J156" i="4"/>
  <c r="I157" i="4"/>
  <c r="J157" i="4"/>
  <c r="I158" i="4"/>
  <c r="J158" i="4"/>
  <c r="I159" i="4"/>
  <c r="J159" i="4"/>
  <c r="I160" i="4"/>
  <c r="J160" i="4"/>
  <c r="I161" i="4"/>
  <c r="J161" i="4"/>
  <c r="I162" i="4"/>
  <c r="J162" i="4"/>
  <c r="I163" i="4"/>
  <c r="J163" i="4"/>
  <c r="I164" i="4"/>
  <c r="J164" i="4"/>
  <c r="I165" i="4"/>
  <c r="J165" i="4"/>
  <c r="I166" i="4"/>
  <c r="J166" i="4"/>
  <c r="I167" i="4"/>
  <c r="J167" i="4"/>
  <c r="I168" i="4"/>
  <c r="J168" i="4"/>
  <c r="I169" i="4"/>
  <c r="J169" i="4"/>
  <c r="I170" i="4"/>
  <c r="J170" i="4"/>
  <c r="I171" i="4"/>
  <c r="J171" i="4"/>
  <c r="I172" i="4"/>
  <c r="J172" i="4"/>
  <c r="I173" i="4"/>
  <c r="J173" i="4"/>
  <c r="I174" i="4"/>
  <c r="J174" i="4"/>
  <c r="I175" i="4"/>
  <c r="J175" i="4"/>
  <c r="I176" i="4"/>
  <c r="J176" i="4"/>
  <c r="I177" i="4"/>
  <c r="J177" i="4"/>
  <c r="I178" i="4"/>
  <c r="J178" i="4"/>
  <c r="I179" i="4"/>
  <c r="J179" i="4"/>
  <c r="I180" i="4"/>
  <c r="J180" i="4"/>
  <c r="I181" i="4"/>
  <c r="J181" i="4"/>
  <c r="I182" i="4"/>
  <c r="J182" i="4"/>
  <c r="I183" i="4"/>
  <c r="J183" i="4"/>
  <c r="I184" i="4"/>
  <c r="J184" i="4"/>
  <c r="I185" i="4"/>
  <c r="J185" i="4"/>
  <c r="I186" i="4"/>
  <c r="J186" i="4"/>
  <c r="I187" i="4"/>
  <c r="J187" i="4"/>
  <c r="I188" i="4"/>
  <c r="J188" i="4"/>
  <c r="I189" i="4"/>
  <c r="J189" i="4"/>
  <c r="I190" i="4"/>
  <c r="J190" i="4"/>
  <c r="I191" i="4"/>
  <c r="J191" i="4"/>
  <c r="I192" i="4"/>
  <c r="J192" i="4"/>
  <c r="I193" i="4"/>
  <c r="J193" i="4"/>
  <c r="I194" i="4"/>
  <c r="J194" i="4"/>
  <c r="I195" i="4"/>
  <c r="J195" i="4"/>
  <c r="I196" i="4"/>
  <c r="J196" i="4"/>
  <c r="I197" i="4"/>
  <c r="J197" i="4"/>
  <c r="I198" i="4"/>
  <c r="J198" i="4"/>
  <c r="I199" i="4"/>
  <c r="J199" i="4"/>
  <c r="I200" i="4"/>
  <c r="J200" i="4"/>
  <c r="I201" i="4"/>
  <c r="J201" i="4"/>
  <c r="I202" i="4"/>
  <c r="J202" i="4"/>
  <c r="I203" i="4"/>
  <c r="J203" i="4"/>
  <c r="I204" i="4"/>
  <c r="J204" i="4"/>
  <c r="I205" i="4"/>
  <c r="J205" i="4"/>
  <c r="I206" i="4"/>
  <c r="J206" i="4"/>
  <c r="I208" i="4"/>
  <c r="J208" i="4"/>
  <c r="I209" i="4"/>
  <c r="J209" i="4"/>
  <c r="I210" i="4"/>
  <c r="J210" i="4"/>
  <c r="I211" i="4"/>
  <c r="J211" i="4"/>
  <c r="I213" i="4"/>
  <c r="J213" i="4"/>
  <c r="I214" i="4"/>
  <c r="J214" i="4"/>
  <c r="I215" i="4"/>
  <c r="J215" i="4"/>
  <c r="I216" i="4"/>
  <c r="J216" i="4"/>
  <c r="I217" i="4"/>
  <c r="J217" i="4"/>
  <c r="I218" i="4"/>
  <c r="J218" i="4"/>
  <c r="I219" i="4"/>
  <c r="J219" i="4"/>
  <c r="I220" i="4"/>
  <c r="J220" i="4"/>
  <c r="I221" i="4"/>
  <c r="J221" i="4"/>
  <c r="I222" i="4"/>
  <c r="J222" i="4"/>
  <c r="I223" i="4"/>
  <c r="J223" i="4"/>
  <c r="I224" i="4"/>
  <c r="J224" i="4"/>
  <c r="I225" i="4"/>
  <c r="J225" i="4"/>
  <c r="I226" i="4"/>
  <c r="J226" i="4"/>
  <c r="I227" i="4"/>
  <c r="J227" i="4"/>
  <c r="I228" i="4"/>
  <c r="J228" i="4"/>
  <c r="I229" i="4"/>
  <c r="J229" i="4"/>
  <c r="I230" i="4"/>
  <c r="J230" i="4"/>
  <c r="I231" i="4"/>
  <c r="J231" i="4"/>
  <c r="I232" i="4"/>
  <c r="J232" i="4"/>
  <c r="I233" i="4"/>
  <c r="J233" i="4"/>
  <c r="I234" i="4"/>
  <c r="J234" i="4"/>
  <c r="I235" i="4"/>
  <c r="J235" i="4"/>
  <c r="I236" i="4"/>
  <c r="J236" i="4"/>
  <c r="I237" i="4"/>
  <c r="J237" i="4"/>
  <c r="I238" i="4"/>
  <c r="J238" i="4"/>
  <c r="I239" i="4"/>
  <c r="J239" i="4"/>
  <c r="I240" i="4"/>
  <c r="J240" i="4"/>
  <c r="I241" i="4"/>
  <c r="J241" i="4"/>
  <c r="I242" i="4"/>
  <c r="J242" i="4"/>
  <c r="I244" i="4"/>
  <c r="J244" i="4"/>
  <c r="I245" i="4"/>
  <c r="J245" i="4"/>
  <c r="I246" i="4"/>
  <c r="J246" i="4"/>
  <c r="I247" i="4"/>
  <c r="J247" i="4"/>
  <c r="I248" i="4"/>
  <c r="J248" i="4"/>
  <c r="I249" i="4"/>
  <c r="J249" i="4"/>
  <c r="I250" i="4"/>
  <c r="J250" i="4"/>
  <c r="I251" i="4"/>
  <c r="J251" i="4"/>
  <c r="I252" i="4"/>
  <c r="J252" i="4"/>
  <c r="I253" i="4"/>
  <c r="J253" i="4"/>
  <c r="I254" i="4"/>
  <c r="J254" i="4"/>
  <c r="I255" i="4"/>
  <c r="J255" i="4"/>
  <c r="I256" i="4"/>
  <c r="J256" i="4"/>
  <c r="I257" i="4"/>
  <c r="J257" i="4"/>
  <c r="I258" i="4"/>
  <c r="J258" i="4"/>
  <c r="I259" i="4"/>
  <c r="J259" i="4"/>
  <c r="I261" i="4"/>
  <c r="J261" i="4"/>
  <c r="I262" i="4"/>
  <c r="J262" i="4"/>
  <c r="I263" i="4"/>
  <c r="J263" i="4"/>
  <c r="I265" i="4"/>
  <c r="J265" i="4"/>
  <c r="I266" i="4"/>
  <c r="J266" i="4"/>
  <c r="I267" i="4"/>
  <c r="J267" i="4"/>
  <c r="I268" i="4"/>
  <c r="J268" i="4"/>
  <c r="I269" i="4"/>
  <c r="J269" i="4"/>
  <c r="I270" i="4"/>
  <c r="J270" i="4"/>
  <c r="I271" i="4"/>
  <c r="J271" i="4"/>
  <c r="I272" i="4"/>
  <c r="J272" i="4"/>
  <c r="I273" i="4"/>
  <c r="J273" i="4"/>
  <c r="I274" i="4"/>
  <c r="J274" i="4"/>
  <c r="I275" i="4"/>
  <c r="J275" i="4"/>
  <c r="I276" i="4"/>
  <c r="J276" i="4"/>
  <c r="I277" i="4"/>
  <c r="J277" i="4"/>
  <c r="I278" i="4"/>
  <c r="J278" i="4"/>
  <c r="I279" i="4"/>
  <c r="J279" i="4"/>
  <c r="I280" i="4"/>
  <c r="J280" i="4"/>
  <c r="I281" i="4"/>
  <c r="J281" i="4"/>
  <c r="I282" i="4"/>
  <c r="J282" i="4"/>
  <c r="I283" i="4"/>
  <c r="J283" i="4"/>
  <c r="I284" i="4"/>
  <c r="J284" i="4"/>
  <c r="I285" i="4"/>
  <c r="J285" i="4"/>
  <c r="I286" i="4"/>
  <c r="J286" i="4"/>
  <c r="I287" i="4"/>
  <c r="J287" i="4"/>
  <c r="I288" i="4"/>
  <c r="J288" i="4"/>
  <c r="I289" i="4"/>
  <c r="J289" i="4"/>
  <c r="I290" i="4"/>
  <c r="J290" i="4"/>
  <c r="I293" i="4"/>
  <c r="J293" i="4"/>
  <c r="I294" i="4"/>
  <c r="J294" i="4"/>
  <c r="I295" i="4"/>
  <c r="J295" i="4"/>
  <c r="I296" i="4"/>
  <c r="J296" i="4"/>
  <c r="I297" i="4"/>
  <c r="J297" i="4"/>
  <c r="I298" i="4"/>
  <c r="J298" i="4"/>
  <c r="I299" i="4"/>
  <c r="J299" i="4"/>
  <c r="I300" i="4"/>
  <c r="J300" i="4"/>
  <c r="I301" i="4"/>
  <c r="J301" i="4"/>
  <c r="I302" i="4"/>
  <c r="J302" i="4"/>
  <c r="I303" i="4"/>
  <c r="J303" i="4"/>
  <c r="I304" i="4"/>
  <c r="J304" i="4"/>
  <c r="I305" i="4"/>
  <c r="J305" i="4"/>
  <c r="I306" i="4"/>
  <c r="J306" i="4"/>
  <c r="I307" i="4"/>
  <c r="J307" i="4"/>
  <c r="I308" i="4"/>
  <c r="J308" i="4"/>
  <c r="I309" i="4"/>
  <c r="J309" i="4"/>
  <c r="I310" i="4"/>
  <c r="J310" i="4"/>
  <c r="I311" i="4"/>
  <c r="J311" i="4"/>
  <c r="I312" i="4"/>
  <c r="J312" i="4"/>
  <c r="I313" i="4"/>
  <c r="J313" i="4"/>
  <c r="I314" i="4"/>
  <c r="J314" i="4"/>
  <c r="I315" i="4"/>
  <c r="J315" i="4"/>
  <c r="I316" i="4"/>
  <c r="J316" i="4"/>
  <c r="I317" i="4"/>
  <c r="J317" i="4"/>
  <c r="I318" i="4"/>
  <c r="J318" i="4"/>
  <c r="I319" i="4"/>
  <c r="J319" i="4"/>
  <c r="I320" i="4"/>
  <c r="J320" i="4"/>
  <c r="I321" i="4"/>
  <c r="J321" i="4"/>
  <c r="I322" i="4"/>
  <c r="J322" i="4"/>
  <c r="I323" i="4"/>
  <c r="J323" i="4"/>
  <c r="I324" i="4"/>
  <c r="J324" i="4"/>
  <c r="I325" i="4"/>
  <c r="J325" i="4"/>
  <c r="I326" i="4"/>
  <c r="J326" i="4"/>
  <c r="I327" i="4"/>
  <c r="J327" i="4"/>
  <c r="I328" i="4"/>
  <c r="J328" i="4"/>
  <c r="I329" i="4"/>
  <c r="J329" i="4"/>
  <c r="I330" i="4"/>
  <c r="J330" i="4"/>
  <c r="I331" i="4"/>
  <c r="J331" i="4"/>
  <c r="I332" i="4"/>
  <c r="J332" i="4"/>
  <c r="I333" i="4"/>
  <c r="J333" i="4"/>
  <c r="I334" i="4"/>
  <c r="J334" i="4"/>
  <c r="I335" i="4"/>
  <c r="J335" i="4"/>
  <c r="I336" i="4"/>
  <c r="J336" i="4"/>
  <c r="I337" i="4"/>
  <c r="J337" i="4"/>
  <c r="I338" i="4"/>
  <c r="J338" i="4"/>
  <c r="I339" i="4"/>
  <c r="J339" i="4"/>
  <c r="I340" i="4"/>
  <c r="J340" i="4"/>
  <c r="I342" i="4"/>
  <c r="J342" i="4"/>
  <c r="I343" i="4"/>
  <c r="J343" i="4"/>
  <c r="I344" i="4"/>
  <c r="J344" i="4"/>
  <c r="I345" i="4"/>
  <c r="J345" i="4"/>
  <c r="I346" i="4"/>
  <c r="J346" i="4"/>
  <c r="I347" i="4"/>
  <c r="J347" i="4"/>
  <c r="I348" i="4"/>
  <c r="J348" i="4"/>
  <c r="I349" i="4"/>
  <c r="J349" i="4"/>
  <c r="I350" i="4"/>
  <c r="J350" i="4"/>
  <c r="I351" i="4"/>
  <c r="J351" i="4"/>
  <c r="I352" i="4"/>
  <c r="J352" i="4"/>
  <c r="I353" i="4"/>
  <c r="J353" i="4"/>
  <c r="I354" i="4"/>
  <c r="J354" i="4"/>
  <c r="I355" i="4"/>
  <c r="J355" i="4"/>
  <c r="I356" i="4"/>
  <c r="J356" i="4"/>
  <c r="I357" i="4"/>
  <c r="J357" i="4"/>
  <c r="I358" i="4"/>
  <c r="J358" i="4"/>
  <c r="I359" i="4"/>
  <c r="J359" i="4"/>
  <c r="I360" i="4"/>
  <c r="J360" i="4"/>
  <c r="I361" i="4"/>
  <c r="J361" i="4"/>
  <c r="I362" i="4"/>
  <c r="J362" i="4"/>
  <c r="I363" i="4"/>
  <c r="J363" i="4"/>
  <c r="I364" i="4"/>
  <c r="J364" i="4"/>
  <c r="I365" i="4"/>
  <c r="J365" i="4"/>
  <c r="I366" i="4"/>
  <c r="J366" i="4"/>
  <c r="I367" i="4"/>
  <c r="J367" i="4"/>
  <c r="I368" i="4"/>
  <c r="J368" i="4"/>
  <c r="I369" i="4"/>
  <c r="J369" i="4"/>
  <c r="I370" i="4"/>
  <c r="J370" i="4"/>
  <c r="I371" i="4"/>
  <c r="J371" i="4"/>
  <c r="I372" i="4"/>
  <c r="J372" i="4"/>
  <c r="I373" i="4"/>
  <c r="J373" i="4"/>
  <c r="I374" i="4"/>
  <c r="J374" i="4"/>
  <c r="I375" i="4"/>
  <c r="J375" i="4"/>
  <c r="I376" i="4"/>
  <c r="J376" i="4"/>
  <c r="I377" i="4"/>
  <c r="J377" i="4"/>
  <c r="I378" i="4"/>
  <c r="J378" i="4"/>
  <c r="I379" i="4"/>
  <c r="J379" i="4"/>
  <c r="I380" i="4"/>
  <c r="J380" i="4"/>
  <c r="I381" i="4"/>
  <c r="J381" i="4"/>
  <c r="I382" i="4"/>
  <c r="J382" i="4"/>
  <c r="I383" i="4"/>
  <c r="J383" i="4"/>
  <c r="I384" i="4"/>
  <c r="J384" i="4"/>
  <c r="I385" i="4"/>
  <c r="J385" i="4"/>
  <c r="I386" i="4"/>
  <c r="J386" i="4"/>
  <c r="I387" i="4"/>
  <c r="J387" i="4"/>
  <c r="I388" i="4"/>
  <c r="J388" i="4"/>
  <c r="I389" i="4"/>
  <c r="J389" i="4"/>
  <c r="I390" i="4"/>
  <c r="J390" i="4"/>
  <c r="I391" i="4"/>
  <c r="J391" i="4"/>
  <c r="I392" i="4"/>
  <c r="J392" i="4"/>
  <c r="I393" i="4"/>
  <c r="J393" i="4"/>
  <c r="I394" i="4"/>
  <c r="J394" i="4"/>
  <c r="I395" i="4"/>
  <c r="J395" i="4"/>
  <c r="I396" i="4"/>
  <c r="J396" i="4"/>
  <c r="I397" i="4"/>
  <c r="J397" i="4"/>
  <c r="I398" i="4"/>
  <c r="J398" i="4"/>
  <c r="I399" i="4"/>
  <c r="J399" i="4"/>
  <c r="I400" i="4"/>
  <c r="J400" i="4"/>
  <c r="I401" i="4"/>
  <c r="J401" i="4"/>
  <c r="I402" i="4"/>
  <c r="J402" i="4"/>
  <c r="I403" i="4"/>
  <c r="J403" i="4"/>
  <c r="I404" i="4"/>
  <c r="J404" i="4"/>
  <c r="I405" i="4"/>
  <c r="J405" i="4"/>
  <c r="I12" i="4"/>
  <c r="J12" i="4"/>
  <c r="I13" i="4"/>
  <c r="J13" i="4"/>
  <c r="I14" i="4"/>
  <c r="J14" i="4"/>
  <c r="J11" i="4"/>
  <c r="I11" i="4"/>
  <c r="B6" i="4"/>
  <c r="C6" i="4" s="1"/>
  <c r="D6" i="4" s="1"/>
  <c r="E6" i="4" s="1"/>
  <c r="F6" i="4" s="1"/>
  <c r="G6" i="4" s="1"/>
  <c r="H6" i="4" s="1"/>
  <c r="I6" i="4" s="1"/>
  <c r="J6" i="4" s="1"/>
  <c r="K6" i="4" s="1"/>
  <c r="L6" i="4" s="1"/>
  <c r="M6" i="4" s="1"/>
  <c r="N6" i="4" s="1"/>
  <c r="O6" i="4" s="1"/>
  <c r="P6" i="4" s="1"/>
  <c r="Q6" i="4" s="1"/>
  <c r="R6" i="4" s="1"/>
  <c r="S6" i="4" s="1"/>
  <c r="T6" i="4" s="1"/>
  <c r="U6" i="4" s="1"/>
  <c r="V6" i="4" s="1"/>
  <c r="W6" i="4" s="1"/>
  <c r="X6" i="4" s="1"/>
  <c r="Y6" i="4" s="1"/>
  <c r="Z6" i="4" s="1"/>
  <c r="AA6" i="4" s="1"/>
  <c r="AB6" i="4" s="1"/>
  <c r="AC6" i="4" s="1"/>
  <c r="AD6" i="4" s="1"/>
  <c r="AE6" i="4" s="1"/>
  <c r="AF6" i="4" s="1"/>
  <c r="AG6" i="4" s="1"/>
  <c r="AH6" i="4" s="1"/>
  <c r="AI6" i="4" s="1"/>
  <c r="AJ6" i="4" s="1"/>
  <c r="AK6" i="4" s="1"/>
  <c r="AL6" i="4" s="1"/>
  <c r="AM6" i="4" s="1"/>
  <c r="AN6" i="4" s="1"/>
  <c r="AO6" i="4" s="1"/>
  <c r="AP6" i="4" s="1"/>
  <c r="AQ6" i="4" s="1"/>
  <c r="AR6" i="4" s="1"/>
  <c r="AS6" i="4" s="1"/>
  <c r="AT6" i="4" s="1"/>
  <c r="AU6" i="4" s="1"/>
  <c r="AV6" i="4" s="1"/>
  <c r="AW6" i="4" s="1"/>
  <c r="AX6" i="4" s="1"/>
  <c r="AY6" i="4" s="1"/>
  <c r="AZ6" i="4" s="1"/>
  <c r="BA6" i="4" s="1"/>
  <c r="BB6" i="4" s="1"/>
  <c r="C6" i="30"/>
  <c r="D6" i="30"/>
  <c r="E6" i="30"/>
  <c r="F6" i="30"/>
  <c r="G6" i="30" s="1"/>
  <c r="H6" i="30" s="1"/>
  <c r="I6" i="30" s="1"/>
  <c r="J6" i="30" s="1"/>
  <c r="K6" i="30" s="1"/>
  <c r="L6" i="30" s="1"/>
  <c r="M6" i="30" s="1"/>
  <c r="N6" i="30" s="1"/>
  <c r="O6" i="30" s="1"/>
  <c r="P6" i="30" s="1"/>
  <c r="Q6" i="30" s="1"/>
  <c r="R6" i="30" s="1"/>
  <c r="S6" i="30" s="1"/>
  <c r="T6" i="30" s="1"/>
  <c r="U6" i="30" s="1"/>
  <c r="V6" i="30" s="1"/>
  <c r="W6" i="30" s="1"/>
  <c r="X6" i="30" s="1"/>
  <c r="Y6" i="30" s="1"/>
  <c r="Z6" i="30" s="1"/>
  <c r="AA6" i="30" s="1"/>
  <c r="AB6" i="30" s="1"/>
  <c r="AC6" i="30" s="1"/>
  <c r="AD6" i="30" s="1"/>
  <c r="AE6" i="30" s="1"/>
  <c r="AF6" i="30" s="1"/>
  <c r="AG6" i="30" s="1"/>
  <c r="AH6" i="30" s="1"/>
  <c r="AI6" i="30" s="1"/>
  <c r="AJ6" i="30" s="1"/>
  <c r="AK6" i="30" s="1"/>
  <c r="AL6" i="30" s="1"/>
  <c r="AM6" i="30" s="1"/>
  <c r="AN6" i="30" s="1"/>
  <c r="AO6" i="30" s="1"/>
  <c r="AP6" i="30" s="1"/>
  <c r="AQ6" i="30" s="1"/>
  <c r="AR6" i="30" s="1"/>
  <c r="AS6" i="30" s="1"/>
  <c r="AT6" i="30" s="1"/>
  <c r="AU6" i="30" s="1"/>
  <c r="AV6" i="30" s="1"/>
  <c r="AW6" i="30" s="1"/>
  <c r="AX6" i="30" s="1"/>
  <c r="AY6" i="30" s="1"/>
  <c r="AZ6" i="30" s="1"/>
  <c r="BA6" i="30" s="1"/>
  <c r="BB6" i="30" s="1"/>
  <c r="B6" i="30"/>
  <c r="CX10" i="1" l="1"/>
  <c r="CY10" i="1"/>
  <c r="CX11" i="1"/>
  <c r="CY11" i="1"/>
  <c r="CX12" i="1"/>
  <c r="CY12" i="1"/>
  <c r="CX13" i="1"/>
  <c r="CY13" i="1"/>
  <c r="CX14" i="1"/>
  <c r="CY14" i="1"/>
  <c r="CX18" i="1"/>
  <c r="CY18" i="1"/>
  <c r="CX19" i="1"/>
  <c r="CY19" i="1"/>
  <c r="CX20" i="1"/>
  <c r="CY20" i="1"/>
  <c r="CX21" i="1"/>
  <c r="CY21" i="1"/>
  <c r="CX22" i="1"/>
  <c r="CY22" i="1"/>
  <c r="CX23" i="1"/>
  <c r="CY23" i="1"/>
  <c r="CX24" i="1"/>
  <c r="CY24" i="1"/>
  <c r="CX25" i="1"/>
  <c r="CY25" i="1"/>
  <c r="CX26" i="1"/>
  <c r="CY26" i="1"/>
  <c r="CX27" i="1"/>
  <c r="CY27" i="1"/>
  <c r="CX28" i="1"/>
  <c r="CY28" i="1"/>
  <c r="CX29" i="1"/>
  <c r="CY29" i="1"/>
  <c r="CX30" i="1"/>
  <c r="CY30" i="1"/>
  <c r="CX31" i="1"/>
  <c r="CY31" i="1"/>
  <c r="CX32" i="1"/>
  <c r="CY32" i="1"/>
  <c r="CX35" i="1"/>
  <c r="CY35" i="1"/>
  <c r="CX36" i="1"/>
  <c r="CY36" i="1"/>
  <c r="CX37" i="1"/>
  <c r="CY37" i="1"/>
  <c r="CX39" i="1"/>
  <c r="CY39" i="1"/>
  <c r="CX40" i="1"/>
  <c r="CY40" i="1"/>
  <c r="CX41" i="1"/>
  <c r="CY41" i="1"/>
  <c r="CX42" i="1"/>
  <c r="CY42" i="1"/>
  <c r="CX43" i="1"/>
  <c r="CY43" i="1"/>
  <c r="CX44" i="1"/>
  <c r="CY44" i="1"/>
  <c r="CX45" i="1"/>
  <c r="CY45" i="1"/>
  <c r="CX46" i="1"/>
  <c r="CY46" i="1"/>
  <c r="CX47" i="1"/>
  <c r="CY47" i="1"/>
  <c r="CX48" i="1"/>
  <c r="CY48" i="1"/>
  <c r="CX49" i="1"/>
  <c r="CY49" i="1"/>
  <c r="CX50" i="1"/>
  <c r="CY50" i="1"/>
  <c r="CX51" i="1"/>
  <c r="CY51" i="1"/>
  <c r="CX52" i="1"/>
  <c r="CY52" i="1"/>
  <c r="CX53" i="1"/>
  <c r="CY53" i="1"/>
  <c r="CX54" i="1"/>
  <c r="CY54" i="1"/>
  <c r="CX55" i="1"/>
  <c r="CY55" i="1"/>
  <c r="CX56" i="1"/>
  <c r="CY56" i="1"/>
  <c r="CX57" i="1"/>
  <c r="CY57" i="1"/>
  <c r="CX58" i="1"/>
  <c r="CY58" i="1"/>
  <c r="CX59" i="1"/>
  <c r="CY59" i="1"/>
  <c r="CX60" i="1"/>
  <c r="CY60" i="1"/>
  <c r="CX61" i="1"/>
  <c r="CY61" i="1"/>
  <c r="CX62" i="1"/>
  <c r="CY62" i="1"/>
  <c r="CX63" i="1"/>
  <c r="CY63" i="1"/>
  <c r="CX64" i="1"/>
  <c r="CY64" i="1"/>
  <c r="CX65" i="1"/>
  <c r="CY65" i="1"/>
  <c r="CX66" i="1"/>
  <c r="CY66" i="1"/>
  <c r="CX68" i="1"/>
  <c r="CY68" i="1"/>
  <c r="CX69" i="1"/>
  <c r="CY69" i="1"/>
  <c r="CX70" i="1"/>
  <c r="CY70" i="1"/>
  <c r="CX71" i="1"/>
  <c r="CY71" i="1"/>
  <c r="CX72" i="1"/>
  <c r="CY72" i="1"/>
  <c r="CX73" i="1"/>
  <c r="CY73" i="1"/>
  <c r="CX76" i="1"/>
  <c r="CY76" i="1"/>
  <c r="CX78" i="1"/>
  <c r="CY78" i="1"/>
  <c r="CX79" i="1"/>
  <c r="CY79" i="1"/>
  <c r="CX81" i="1"/>
  <c r="CY81" i="1"/>
  <c r="CX82" i="1"/>
  <c r="CY82" i="1"/>
  <c r="CX83" i="1"/>
  <c r="CY83" i="1"/>
  <c r="CX84" i="1"/>
  <c r="CY84" i="1"/>
  <c r="CX85" i="1"/>
  <c r="CY85" i="1"/>
  <c r="CX86" i="1"/>
  <c r="CY86" i="1"/>
  <c r="CX87" i="1"/>
  <c r="CY87" i="1"/>
  <c r="CX88" i="1"/>
  <c r="CY88" i="1"/>
  <c r="CX89" i="1"/>
  <c r="CY89" i="1"/>
  <c r="CX90" i="1"/>
  <c r="CY90" i="1"/>
  <c r="CX93" i="1"/>
  <c r="CY93" i="1"/>
  <c r="CX94" i="1"/>
  <c r="CY94" i="1"/>
  <c r="CX96" i="1"/>
  <c r="CY96" i="1"/>
  <c r="CX97" i="1"/>
  <c r="CY97" i="1"/>
  <c r="CX98" i="1"/>
  <c r="CY98" i="1"/>
  <c r="CX99" i="1"/>
  <c r="CY99" i="1"/>
  <c r="CX100" i="1"/>
  <c r="CY100" i="1"/>
  <c r="CX101" i="1"/>
  <c r="CY101" i="1"/>
  <c r="CX102" i="1"/>
  <c r="CY102" i="1"/>
  <c r="CX103" i="1"/>
  <c r="CY103" i="1"/>
  <c r="CX104" i="1"/>
  <c r="CY104" i="1"/>
  <c r="CX105" i="1"/>
  <c r="CY105" i="1"/>
  <c r="CX107" i="1"/>
  <c r="CY107" i="1"/>
  <c r="CX108" i="1"/>
  <c r="CY108" i="1"/>
  <c r="CX110" i="1"/>
  <c r="CY110" i="1"/>
  <c r="CX111" i="1"/>
  <c r="CY111" i="1"/>
  <c r="CX112" i="1"/>
  <c r="CY112" i="1"/>
  <c r="CX113" i="1"/>
  <c r="CY113" i="1"/>
  <c r="CX114" i="1"/>
  <c r="CY114" i="1"/>
  <c r="CX115" i="1"/>
  <c r="CY115" i="1"/>
  <c r="CX116" i="1"/>
  <c r="CY116" i="1"/>
  <c r="CX117" i="1"/>
  <c r="CY117" i="1"/>
  <c r="CX118" i="1"/>
  <c r="CY118" i="1"/>
  <c r="CX119" i="1"/>
  <c r="CY119" i="1"/>
  <c r="CX120" i="1"/>
  <c r="CY120" i="1"/>
  <c r="CX121" i="1"/>
  <c r="CY121" i="1"/>
  <c r="CX122" i="1"/>
  <c r="CY122" i="1"/>
  <c r="CX123" i="1"/>
  <c r="CY123" i="1"/>
  <c r="CX124" i="1"/>
  <c r="CY124" i="1"/>
  <c r="CX125" i="1"/>
  <c r="CY125" i="1"/>
  <c r="CX126" i="1"/>
  <c r="CY126" i="1"/>
  <c r="CX127" i="1"/>
  <c r="CY127" i="1"/>
  <c r="CX128" i="1"/>
  <c r="CY128" i="1"/>
  <c r="CX129" i="1"/>
  <c r="CY129" i="1"/>
  <c r="CX130" i="1"/>
  <c r="CY130" i="1"/>
  <c r="CX131" i="1"/>
  <c r="CY131" i="1"/>
  <c r="CX132" i="1"/>
  <c r="CY132" i="1"/>
  <c r="CX133" i="1"/>
  <c r="CY133" i="1"/>
  <c r="CX136" i="1"/>
  <c r="CY136" i="1"/>
  <c r="CX137" i="1"/>
  <c r="CY137" i="1"/>
  <c r="CX138" i="1"/>
  <c r="CY138" i="1"/>
  <c r="CX139" i="1"/>
  <c r="CY139" i="1"/>
  <c r="CX140" i="1"/>
  <c r="CY140" i="1"/>
  <c r="CX141" i="1"/>
  <c r="CY141" i="1"/>
  <c r="CX143" i="1"/>
  <c r="CY143" i="1"/>
  <c r="CX144" i="1"/>
  <c r="CY144" i="1"/>
  <c r="CX145" i="1"/>
  <c r="CY145" i="1"/>
  <c r="CX146" i="1"/>
  <c r="CY146" i="1"/>
  <c r="CX147" i="1"/>
  <c r="CY147" i="1"/>
  <c r="CX148" i="1"/>
  <c r="CY148" i="1"/>
  <c r="CX149" i="1"/>
  <c r="CY149" i="1"/>
  <c r="CX150" i="1"/>
  <c r="CY150" i="1"/>
  <c r="CX151" i="1"/>
  <c r="CY151" i="1"/>
  <c r="CX153" i="1"/>
  <c r="CY153" i="1"/>
  <c r="CX154" i="1"/>
  <c r="CY154" i="1"/>
  <c r="CX155" i="1"/>
  <c r="CY155" i="1"/>
  <c r="CX156" i="1"/>
  <c r="CY156" i="1"/>
  <c r="CX157" i="1"/>
  <c r="CY157" i="1"/>
  <c r="CX158" i="1"/>
  <c r="CY158" i="1"/>
  <c r="CX159" i="1"/>
  <c r="CY159" i="1"/>
  <c r="CX160" i="1"/>
  <c r="CY160" i="1"/>
  <c r="CX161" i="1"/>
  <c r="CY161" i="1"/>
  <c r="CX162" i="1"/>
  <c r="CY162" i="1"/>
  <c r="CX163" i="1"/>
  <c r="CY163" i="1"/>
  <c r="CX164" i="1"/>
  <c r="CY164" i="1"/>
  <c r="CX165" i="1"/>
  <c r="CY165" i="1"/>
  <c r="CX166" i="1"/>
  <c r="CY166" i="1"/>
  <c r="CX167" i="1"/>
  <c r="CY167" i="1"/>
  <c r="CX168" i="1"/>
  <c r="CY168" i="1"/>
  <c r="CX169" i="1"/>
  <c r="CY169" i="1"/>
  <c r="CX170" i="1"/>
  <c r="CY170" i="1"/>
  <c r="CX171" i="1"/>
  <c r="CY171" i="1"/>
  <c r="CX172" i="1"/>
  <c r="CY172" i="1"/>
  <c r="CX173" i="1"/>
  <c r="CY173" i="1"/>
  <c r="CX174" i="1"/>
  <c r="CY174" i="1"/>
  <c r="CX175" i="1"/>
  <c r="CY175" i="1"/>
  <c r="CX176" i="1"/>
  <c r="CY176" i="1"/>
  <c r="CX177" i="1"/>
  <c r="CY177" i="1"/>
  <c r="CX178" i="1"/>
  <c r="CY178" i="1"/>
  <c r="CX179" i="1"/>
  <c r="CY179" i="1"/>
  <c r="CX180" i="1"/>
  <c r="CY180" i="1"/>
  <c r="CX181" i="1"/>
  <c r="CY181" i="1"/>
  <c r="CX182" i="1"/>
  <c r="CY182" i="1"/>
  <c r="CX183" i="1"/>
  <c r="CY183" i="1"/>
  <c r="CX184" i="1"/>
  <c r="CY184" i="1"/>
  <c r="CX185" i="1"/>
  <c r="CY185" i="1"/>
  <c r="CX186" i="1"/>
  <c r="CY186" i="1"/>
  <c r="CX187" i="1"/>
  <c r="CY187" i="1"/>
  <c r="CX188" i="1"/>
  <c r="CY188" i="1"/>
  <c r="CX189" i="1"/>
  <c r="CY189" i="1"/>
  <c r="CX190" i="1"/>
  <c r="CY190" i="1"/>
  <c r="CX191" i="1"/>
  <c r="CY191" i="1"/>
  <c r="CX192" i="1"/>
  <c r="CY192" i="1"/>
  <c r="CX193" i="1"/>
  <c r="CY193" i="1"/>
  <c r="CX194" i="1"/>
  <c r="CY194" i="1"/>
  <c r="CX195" i="1"/>
  <c r="CY195" i="1"/>
  <c r="CX196" i="1"/>
  <c r="CY196" i="1"/>
  <c r="CX197" i="1"/>
  <c r="CY197" i="1"/>
  <c r="CX198" i="1"/>
  <c r="CY198" i="1"/>
  <c r="CX199" i="1"/>
  <c r="CY199" i="1"/>
  <c r="CX200" i="1"/>
  <c r="CY200" i="1"/>
  <c r="CX201" i="1"/>
  <c r="CY201" i="1"/>
  <c r="CX202" i="1"/>
  <c r="CY202" i="1"/>
  <c r="CX203" i="1"/>
  <c r="CY203" i="1"/>
  <c r="CX204" i="1"/>
  <c r="CY204" i="1"/>
  <c r="CX206" i="1"/>
  <c r="CY206" i="1"/>
  <c r="CX207" i="1"/>
  <c r="CY207" i="1"/>
  <c r="CX208" i="1"/>
  <c r="CY208" i="1"/>
  <c r="CX209" i="1"/>
  <c r="CY209" i="1"/>
  <c r="CX211" i="1"/>
  <c r="CY211" i="1"/>
  <c r="CX212" i="1"/>
  <c r="CY212" i="1"/>
  <c r="CX213" i="1"/>
  <c r="CY213" i="1"/>
  <c r="CX214" i="1"/>
  <c r="CY214" i="1"/>
  <c r="CX215" i="1"/>
  <c r="CY215" i="1"/>
  <c r="CX216" i="1"/>
  <c r="CY216" i="1"/>
  <c r="CX217" i="1"/>
  <c r="CY217" i="1"/>
  <c r="CX218" i="1"/>
  <c r="CY218" i="1"/>
  <c r="CX219" i="1"/>
  <c r="CY219" i="1"/>
  <c r="CX220" i="1"/>
  <c r="CY220" i="1"/>
  <c r="CX221" i="1"/>
  <c r="CY221" i="1"/>
  <c r="CX222" i="1"/>
  <c r="CY222" i="1"/>
  <c r="CX223" i="1"/>
  <c r="CY223" i="1"/>
  <c r="CX224" i="1"/>
  <c r="CY224" i="1"/>
  <c r="CX225" i="1"/>
  <c r="CY225" i="1"/>
  <c r="CX226" i="1"/>
  <c r="CY226" i="1"/>
  <c r="CX227" i="1"/>
  <c r="CY227" i="1"/>
  <c r="CX228" i="1"/>
  <c r="CY228" i="1"/>
  <c r="CX229" i="1"/>
  <c r="CY229" i="1"/>
  <c r="CX230" i="1"/>
  <c r="CY230" i="1"/>
  <c r="CX231" i="1"/>
  <c r="CY231" i="1"/>
  <c r="CX232" i="1"/>
  <c r="CY232" i="1"/>
  <c r="CX233" i="1"/>
  <c r="CY233" i="1"/>
  <c r="CX234" i="1"/>
  <c r="CY234" i="1"/>
  <c r="CX235" i="1"/>
  <c r="CY235" i="1"/>
  <c r="CX236" i="1"/>
  <c r="CY236" i="1"/>
  <c r="CX237" i="1"/>
  <c r="CY237" i="1"/>
  <c r="CX238" i="1"/>
  <c r="CY238" i="1"/>
  <c r="CX239" i="1"/>
  <c r="CY239" i="1"/>
  <c r="CX240" i="1"/>
  <c r="CY240" i="1"/>
  <c r="CX242" i="1"/>
  <c r="CY242" i="1"/>
  <c r="CX243" i="1"/>
  <c r="CY243" i="1"/>
  <c r="CX244" i="1"/>
  <c r="CY244" i="1"/>
  <c r="CX245" i="1"/>
  <c r="CY245" i="1"/>
  <c r="CX246" i="1"/>
  <c r="CY246" i="1"/>
  <c r="CX247" i="1"/>
  <c r="CY247" i="1"/>
  <c r="CX248" i="1"/>
  <c r="CY248" i="1"/>
  <c r="CX249" i="1"/>
  <c r="CY249" i="1"/>
  <c r="CX250" i="1"/>
  <c r="CY250" i="1"/>
  <c r="CX251" i="1"/>
  <c r="CY251" i="1"/>
  <c r="CX252" i="1"/>
  <c r="CY252" i="1"/>
  <c r="CX253" i="1"/>
  <c r="CY253" i="1"/>
  <c r="CX254" i="1"/>
  <c r="CY254" i="1"/>
  <c r="CX255" i="1"/>
  <c r="CY255" i="1"/>
  <c r="CX256" i="1"/>
  <c r="CY256" i="1"/>
  <c r="CX257" i="1"/>
  <c r="CY257" i="1"/>
  <c r="CX259" i="1"/>
  <c r="CY259" i="1"/>
  <c r="CX260" i="1"/>
  <c r="CY260" i="1"/>
  <c r="CX261" i="1"/>
  <c r="CY261" i="1"/>
  <c r="CX263" i="1"/>
  <c r="CY263" i="1"/>
  <c r="CX264" i="1"/>
  <c r="CY264" i="1"/>
  <c r="CX265" i="1"/>
  <c r="CY265" i="1"/>
  <c r="CX266" i="1"/>
  <c r="CY266" i="1"/>
  <c r="CX267" i="1"/>
  <c r="CY267" i="1"/>
  <c r="CX268" i="1"/>
  <c r="CY268" i="1"/>
  <c r="CX269" i="1"/>
  <c r="CY269" i="1"/>
  <c r="CX270" i="1"/>
  <c r="CY270" i="1"/>
  <c r="CX271" i="1"/>
  <c r="CY271" i="1"/>
  <c r="CX272" i="1"/>
  <c r="CY272" i="1"/>
  <c r="CX273" i="1"/>
  <c r="CY273" i="1"/>
  <c r="CX274" i="1"/>
  <c r="CY274" i="1"/>
  <c r="CX275" i="1"/>
  <c r="CY275" i="1"/>
  <c r="CX276" i="1"/>
  <c r="CY276" i="1"/>
  <c r="CX277" i="1"/>
  <c r="CY277" i="1"/>
  <c r="CX278" i="1"/>
  <c r="CY278" i="1"/>
  <c r="CX279" i="1"/>
  <c r="CY279" i="1"/>
  <c r="CX280" i="1"/>
  <c r="CY280" i="1"/>
  <c r="CX281" i="1"/>
  <c r="CY281" i="1"/>
  <c r="CX282" i="1"/>
  <c r="CY282" i="1"/>
  <c r="CX283" i="1"/>
  <c r="CY283" i="1"/>
  <c r="CX284" i="1"/>
  <c r="CY284" i="1"/>
  <c r="CX285" i="1"/>
  <c r="CY285" i="1"/>
  <c r="CX286" i="1"/>
  <c r="CY286" i="1"/>
  <c r="CX287" i="1"/>
  <c r="CY287" i="1"/>
  <c r="CX288" i="1"/>
  <c r="CY288" i="1"/>
  <c r="CX291" i="1"/>
  <c r="CY291" i="1"/>
  <c r="CX292" i="1"/>
  <c r="CY292" i="1"/>
  <c r="CX293" i="1"/>
  <c r="CY293" i="1"/>
  <c r="CX294" i="1"/>
  <c r="CY294" i="1"/>
  <c r="CX295" i="1"/>
  <c r="CY295" i="1"/>
  <c r="CX296" i="1"/>
  <c r="CY296" i="1"/>
  <c r="CX297" i="1"/>
  <c r="CY297" i="1"/>
  <c r="CX298" i="1"/>
  <c r="CY298" i="1"/>
  <c r="CX299" i="1"/>
  <c r="CY299" i="1"/>
  <c r="CX300" i="1"/>
  <c r="CY300" i="1"/>
  <c r="CX301" i="1"/>
  <c r="CY301" i="1"/>
  <c r="CX302" i="1"/>
  <c r="CY302" i="1"/>
  <c r="CX303" i="1"/>
  <c r="CY303" i="1"/>
  <c r="CX304" i="1"/>
  <c r="CY304" i="1"/>
  <c r="CX305" i="1"/>
  <c r="CY305" i="1"/>
  <c r="CX306" i="1"/>
  <c r="CY306" i="1"/>
  <c r="CX307" i="1"/>
  <c r="CY307" i="1"/>
  <c r="CX308" i="1"/>
  <c r="CY308" i="1"/>
  <c r="CX309" i="1"/>
  <c r="CY309" i="1"/>
  <c r="CX310" i="1"/>
  <c r="CY310" i="1"/>
  <c r="CX311" i="1"/>
  <c r="CY311" i="1"/>
  <c r="CX312" i="1"/>
  <c r="CY312" i="1"/>
  <c r="CX313" i="1"/>
  <c r="CY313" i="1"/>
  <c r="CX314" i="1"/>
  <c r="CY314" i="1"/>
  <c r="CX315" i="1"/>
  <c r="CY315" i="1"/>
  <c r="CX316" i="1"/>
  <c r="CY316" i="1"/>
  <c r="CX317" i="1"/>
  <c r="CY317" i="1"/>
  <c r="CX318" i="1"/>
  <c r="CY318" i="1"/>
  <c r="CX319" i="1"/>
  <c r="CY319" i="1"/>
  <c r="CX320" i="1"/>
  <c r="CY320" i="1"/>
  <c r="CX321" i="1"/>
  <c r="CY321" i="1"/>
  <c r="CX322" i="1"/>
  <c r="CY322" i="1"/>
  <c r="CX323" i="1"/>
  <c r="CY323" i="1"/>
  <c r="CX324" i="1"/>
  <c r="CY324" i="1"/>
  <c r="CX325" i="1"/>
  <c r="CY325" i="1"/>
  <c r="CX326" i="1"/>
  <c r="CY326" i="1"/>
  <c r="CX327" i="1"/>
  <c r="CY327" i="1"/>
  <c r="CX328" i="1"/>
  <c r="CY328" i="1"/>
  <c r="CX329" i="1"/>
  <c r="CY329" i="1"/>
  <c r="CX330" i="1"/>
  <c r="CY330" i="1"/>
  <c r="CX331" i="1"/>
  <c r="CY331" i="1"/>
  <c r="CX332" i="1"/>
  <c r="CY332" i="1"/>
  <c r="CX333" i="1"/>
  <c r="CY333" i="1"/>
  <c r="CX334" i="1"/>
  <c r="CY334" i="1"/>
  <c r="CX335" i="1"/>
  <c r="CY335" i="1"/>
  <c r="CX336" i="1"/>
  <c r="CY336" i="1"/>
  <c r="CX337" i="1"/>
  <c r="CY337" i="1"/>
  <c r="CX338" i="1"/>
  <c r="CY338" i="1"/>
  <c r="CX340" i="1"/>
  <c r="CY340" i="1"/>
  <c r="CX341" i="1"/>
  <c r="CY341" i="1"/>
  <c r="CX342" i="1"/>
  <c r="CY342" i="1"/>
  <c r="CX343" i="1"/>
  <c r="CY343" i="1"/>
  <c r="CX344" i="1"/>
  <c r="CY344" i="1"/>
  <c r="CX345" i="1"/>
  <c r="CY345" i="1"/>
  <c r="CX346" i="1"/>
  <c r="CY346" i="1"/>
  <c r="CX347" i="1"/>
  <c r="CY347" i="1"/>
  <c r="CX348" i="1"/>
  <c r="CY348" i="1"/>
  <c r="CX349" i="1"/>
  <c r="CY349" i="1"/>
  <c r="CX350" i="1"/>
  <c r="CY350" i="1"/>
  <c r="CX351" i="1"/>
  <c r="CY351" i="1"/>
  <c r="CX352" i="1"/>
  <c r="CY352" i="1"/>
  <c r="CX353" i="1"/>
  <c r="CY353" i="1"/>
  <c r="CX354" i="1"/>
  <c r="CY354" i="1"/>
  <c r="CX355" i="1"/>
  <c r="CY355" i="1"/>
  <c r="CX356" i="1"/>
  <c r="CY356" i="1"/>
  <c r="CX357" i="1"/>
  <c r="CY357" i="1"/>
  <c r="CX358" i="1"/>
  <c r="CY358" i="1"/>
  <c r="CX359" i="1"/>
  <c r="CY359" i="1"/>
  <c r="CX360" i="1"/>
  <c r="CY360" i="1"/>
  <c r="CX361" i="1"/>
  <c r="CY361" i="1"/>
  <c r="CX362" i="1"/>
  <c r="CY362" i="1"/>
  <c r="CX363" i="1"/>
  <c r="CY363" i="1"/>
  <c r="CX364" i="1"/>
  <c r="CY364" i="1"/>
  <c r="CX365" i="1"/>
  <c r="CY365" i="1"/>
  <c r="CX366" i="1"/>
  <c r="CY366" i="1"/>
  <c r="CX367" i="1"/>
  <c r="CY367" i="1"/>
  <c r="CX368" i="1"/>
  <c r="CY368" i="1"/>
  <c r="CX369" i="1"/>
  <c r="CY369" i="1"/>
  <c r="CX370" i="1"/>
  <c r="CY370" i="1"/>
  <c r="CX371" i="1"/>
  <c r="CY371" i="1"/>
  <c r="CX372" i="1"/>
  <c r="CY372" i="1"/>
  <c r="CX373" i="1"/>
  <c r="CY373" i="1"/>
  <c r="CX374" i="1"/>
  <c r="CY374" i="1"/>
  <c r="CX375" i="1"/>
  <c r="CY375" i="1"/>
  <c r="CX376" i="1"/>
  <c r="CY376" i="1"/>
  <c r="CX377" i="1"/>
  <c r="CY377" i="1"/>
  <c r="CX378" i="1"/>
  <c r="CY378" i="1"/>
  <c r="CX379" i="1"/>
  <c r="CY379" i="1"/>
  <c r="CX380" i="1"/>
  <c r="CY380" i="1"/>
  <c r="CX381" i="1"/>
  <c r="CY381" i="1"/>
  <c r="CX382" i="1"/>
  <c r="CY382" i="1"/>
  <c r="CX383" i="1"/>
  <c r="CY383" i="1"/>
  <c r="CX384" i="1"/>
  <c r="CY384" i="1"/>
  <c r="CX385" i="1"/>
  <c r="CY385" i="1"/>
  <c r="CX386" i="1"/>
  <c r="CY386" i="1"/>
  <c r="CX387" i="1"/>
  <c r="CY387" i="1"/>
  <c r="CX388" i="1"/>
  <c r="CY388" i="1"/>
  <c r="CX389" i="1"/>
  <c r="CY389" i="1"/>
  <c r="CX390" i="1"/>
  <c r="CY390" i="1"/>
  <c r="CX391" i="1"/>
  <c r="CY391" i="1"/>
  <c r="CX392" i="1"/>
  <c r="CY392" i="1"/>
  <c r="CX393" i="1"/>
  <c r="CY393" i="1"/>
  <c r="CX394" i="1"/>
  <c r="CY394" i="1"/>
  <c r="CX395" i="1"/>
  <c r="CY395" i="1"/>
  <c r="CX396" i="1"/>
  <c r="CY396" i="1"/>
  <c r="CX397" i="1"/>
  <c r="CY397" i="1"/>
  <c r="CX398" i="1"/>
  <c r="CY398" i="1"/>
  <c r="CX399" i="1"/>
  <c r="CY399" i="1"/>
  <c r="CX400" i="1"/>
  <c r="CY400" i="1"/>
  <c r="CX401" i="1"/>
  <c r="CY401" i="1"/>
  <c r="CX402" i="1"/>
  <c r="CY402" i="1"/>
  <c r="CX403" i="1"/>
  <c r="CY403" i="1"/>
  <c r="CY9" i="1"/>
  <c r="CX9" i="1"/>
  <c r="CC10" i="1"/>
  <c r="CD10" i="1"/>
  <c r="CF10" i="1"/>
  <c r="CG10" i="1"/>
  <c r="CI10" i="1"/>
  <c r="CJ10" i="1"/>
  <c r="CL10" i="1"/>
  <c r="CM10" i="1"/>
  <c r="CC11" i="1"/>
  <c r="CD11" i="1"/>
  <c r="CF11" i="1"/>
  <c r="CG11" i="1"/>
  <c r="CI11" i="1"/>
  <c r="CJ11" i="1"/>
  <c r="CK11" i="1" s="1"/>
  <c r="CL11" i="1"/>
  <c r="CM11" i="1"/>
  <c r="CC12" i="1"/>
  <c r="CD12" i="1"/>
  <c r="CF12" i="1"/>
  <c r="CG12" i="1"/>
  <c r="CI12" i="1"/>
  <c r="CJ12" i="1"/>
  <c r="CL12" i="1"/>
  <c r="CM12" i="1"/>
  <c r="CC13" i="1"/>
  <c r="CD13" i="1"/>
  <c r="CF13" i="1"/>
  <c r="CG13" i="1"/>
  <c r="CI13" i="1"/>
  <c r="CJ13" i="1"/>
  <c r="CL13" i="1"/>
  <c r="CM13" i="1"/>
  <c r="CC14" i="1"/>
  <c r="CD14" i="1"/>
  <c r="CF14" i="1"/>
  <c r="CG14" i="1"/>
  <c r="CI14" i="1"/>
  <c r="CJ14" i="1"/>
  <c r="CL14" i="1"/>
  <c r="CM14" i="1"/>
  <c r="CC18" i="1"/>
  <c r="CD18" i="1"/>
  <c r="CE18" i="1" s="1"/>
  <c r="CF18" i="1"/>
  <c r="CG18" i="1"/>
  <c r="CI18" i="1"/>
  <c r="CJ18" i="1"/>
  <c r="CL18" i="1"/>
  <c r="CM18" i="1"/>
  <c r="CC19" i="1"/>
  <c r="CD19" i="1"/>
  <c r="CF19" i="1"/>
  <c r="CG19" i="1"/>
  <c r="CI19" i="1"/>
  <c r="CJ19" i="1"/>
  <c r="CK19" i="1" s="1"/>
  <c r="CL19" i="1"/>
  <c r="CM19" i="1"/>
  <c r="CC20" i="1"/>
  <c r="CD20" i="1"/>
  <c r="CF20" i="1"/>
  <c r="CG20" i="1"/>
  <c r="CI20" i="1"/>
  <c r="CJ20" i="1"/>
  <c r="CL20" i="1"/>
  <c r="CM20" i="1"/>
  <c r="CC21" i="1"/>
  <c r="CD21" i="1"/>
  <c r="CE21" i="1" s="1"/>
  <c r="CF21" i="1"/>
  <c r="CG21" i="1"/>
  <c r="CI21" i="1"/>
  <c r="CJ21" i="1"/>
  <c r="CL21" i="1"/>
  <c r="CM21" i="1"/>
  <c r="CC22" i="1"/>
  <c r="CD22" i="1"/>
  <c r="CF22" i="1"/>
  <c r="CG22" i="1"/>
  <c r="CI22" i="1"/>
  <c r="CJ22" i="1"/>
  <c r="CL22" i="1"/>
  <c r="CM22" i="1"/>
  <c r="CC23" i="1"/>
  <c r="CD23" i="1"/>
  <c r="CF23" i="1"/>
  <c r="CG23" i="1"/>
  <c r="CI23" i="1"/>
  <c r="CJ23" i="1"/>
  <c r="CL23" i="1"/>
  <c r="CM23" i="1"/>
  <c r="CC24" i="1"/>
  <c r="CD24" i="1"/>
  <c r="CF24" i="1"/>
  <c r="CG24" i="1"/>
  <c r="CI24" i="1"/>
  <c r="CJ24" i="1"/>
  <c r="CL24" i="1"/>
  <c r="CM24" i="1"/>
  <c r="CC25" i="1"/>
  <c r="CD25" i="1"/>
  <c r="CF25" i="1"/>
  <c r="CG25" i="1"/>
  <c r="CH25" i="1"/>
  <c r="CI25" i="1"/>
  <c r="CJ25" i="1"/>
  <c r="CL25" i="1"/>
  <c r="CM25" i="1"/>
  <c r="CC26" i="1"/>
  <c r="CD26" i="1"/>
  <c r="CF26" i="1"/>
  <c r="CG26" i="1"/>
  <c r="CI26" i="1"/>
  <c r="CJ26" i="1"/>
  <c r="CL26" i="1"/>
  <c r="CM26" i="1"/>
  <c r="CC27" i="1"/>
  <c r="CD27" i="1"/>
  <c r="CF27" i="1"/>
  <c r="CG27" i="1"/>
  <c r="CI27" i="1"/>
  <c r="CJ27" i="1"/>
  <c r="CL27" i="1"/>
  <c r="CM27" i="1"/>
  <c r="CC28" i="1"/>
  <c r="CD28" i="1"/>
  <c r="CF28" i="1"/>
  <c r="CG28" i="1"/>
  <c r="CH28" i="1" s="1"/>
  <c r="CI28" i="1"/>
  <c r="CK28" i="1" s="1"/>
  <c r="CJ28" i="1"/>
  <c r="CL28" i="1"/>
  <c r="CM28" i="1"/>
  <c r="CC29" i="1"/>
  <c r="CD29" i="1"/>
  <c r="CF29" i="1"/>
  <c r="CG29" i="1"/>
  <c r="CI29" i="1"/>
  <c r="CJ29" i="1"/>
  <c r="CL29" i="1"/>
  <c r="CM29" i="1"/>
  <c r="CC30" i="1"/>
  <c r="CD30" i="1"/>
  <c r="CF30" i="1"/>
  <c r="CG30" i="1"/>
  <c r="CI30" i="1"/>
  <c r="CJ30" i="1"/>
  <c r="CL30" i="1"/>
  <c r="CM30" i="1"/>
  <c r="CC31" i="1"/>
  <c r="CD31" i="1"/>
  <c r="CF31" i="1"/>
  <c r="CG31" i="1"/>
  <c r="CI31" i="1"/>
  <c r="CK31" i="1" s="1"/>
  <c r="CJ31" i="1"/>
  <c r="CL31" i="1"/>
  <c r="CM31" i="1"/>
  <c r="CC32" i="1"/>
  <c r="CD32" i="1"/>
  <c r="CF32" i="1"/>
  <c r="CG32" i="1"/>
  <c r="CH32" i="1" s="1"/>
  <c r="CI32" i="1"/>
  <c r="CJ32" i="1"/>
  <c r="CK32" i="1"/>
  <c r="CL32" i="1"/>
  <c r="CM32" i="1"/>
  <c r="CC35" i="1"/>
  <c r="CD35" i="1"/>
  <c r="CF35" i="1"/>
  <c r="CG35" i="1"/>
  <c r="CI35" i="1"/>
  <c r="CJ35" i="1"/>
  <c r="CK35" i="1"/>
  <c r="CL35" i="1"/>
  <c r="CM35" i="1"/>
  <c r="CC36" i="1"/>
  <c r="CD36" i="1"/>
  <c r="CE36" i="1" s="1"/>
  <c r="CF36" i="1"/>
  <c r="CG36" i="1"/>
  <c r="CI36" i="1"/>
  <c r="CJ36" i="1"/>
  <c r="CL36" i="1"/>
  <c r="CM36" i="1"/>
  <c r="CC37" i="1"/>
  <c r="CD37" i="1"/>
  <c r="CE37" i="1" s="1"/>
  <c r="CF37" i="1"/>
  <c r="CG37" i="1"/>
  <c r="CI37" i="1"/>
  <c r="CJ37" i="1"/>
  <c r="CK37" i="1" s="1"/>
  <c r="CL37" i="1"/>
  <c r="CM37" i="1"/>
  <c r="CC39" i="1"/>
  <c r="CD39" i="1"/>
  <c r="CE39" i="1" s="1"/>
  <c r="CF39" i="1"/>
  <c r="CG39" i="1"/>
  <c r="CI39" i="1"/>
  <c r="CJ39" i="1"/>
  <c r="CK39" i="1" s="1"/>
  <c r="CL39" i="1"/>
  <c r="CM39" i="1"/>
  <c r="CC40" i="1"/>
  <c r="CD40" i="1"/>
  <c r="CF40" i="1"/>
  <c r="CG40" i="1"/>
  <c r="CH40" i="1"/>
  <c r="CI40" i="1"/>
  <c r="CJ40" i="1"/>
  <c r="CL40" i="1"/>
  <c r="CM40" i="1"/>
  <c r="CC41" i="1"/>
  <c r="CD41" i="1"/>
  <c r="CF41" i="1"/>
  <c r="CG41" i="1"/>
  <c r="CH41" i="1" s="1"/>
  <c r="CI41" i="1"/>
  <c r="CJ41" i="1"/>
  <c r="CL41" i="1"/>
  <c r="CM41" i="1"/>
  <c r="CC42" i="1"/>
  <c r="CE42" i="1" s="1"/>
  <c r="CD42" i="1"/>
  <c r="CF42" i="1"/>
  <c r="CG42" i="1"/>
  <c r="CH42" i="1" s="1"/>
  <c r="CI42" i="1"/>
  <c r="CJ42" i="1"/>
  <c r="CL42" i="1"/>
  <c r="CM42" i="1"/>
  <c r="CC43" i="1"/>
  <c r="CD43" i="1"/>
  <c r="CF43" i="1"/>
  <c r="CG43" i="1"/>
  <c r="CH43" i="1" s="1"/>
  <c r="CI43" i="1"/>
  <c r="CJ43" i="1"/>
  <c r="CL43" i="1"/>
  <c r="CM43" i="1"/>
  <c r="CC44" i="1"/>
  <c r="CD44" i="1"/>
  <c r="CF44" i="1"/>
  <c r="CG44" i="1"/>
  <c r="CI44" i="1"/>
  <c r="CJ44" i="1"/>
  <c r="CL44" i="1"/>
  <c r="CM44" i="1"/>
  <c r="CC45" i="1"/>
  <c r="CE45" i="1" s="1"/>
  <c r="CD45" i="1"/>
  <c r="CF45" i="1"/>
  <c r="CG45" i="1"/>
  <c r="CH45" i="1" s="1"/>
  <c r="CI45" i="1"/>
  <c r="CJ45" i="1"/>
  <c r="CL45" i="1"/>
  <c r="CM45" i="1"/>
  <c r="CC46" i="1"/>
  <c r="CD46" i="1"/>
  <c r="CF46" i="1"/>
  <c r="CG46" i="1"/>
  <c r="CI46" i="1"/>
  <c r="CJ46" i="1"/>
  <c r="CL46" i="1"/>
  <c r="CM46" i="1"/>
  <c r="CC47" i="1"/>
  <c r="CD47" i="1"/>
  <c r="CF47" i="1"/>
  <c r="CG47" i="1"/>
  <c r="CI47" i="1"/>
  <c r="CJ47" i="1"/>
  <c r="CL47" i="1"/>
  <c r="CM47" i="1"/>
  <c r="CC48" i="1"/>
  <c r="CD48" i="1"/>
  <c r="CF48" i="1"/>
  <c r="CG48" i="1"/>
  <c r="CH48" i="1" s="1"/>
  <c r="CI48" i="1"/>
  <c r="CJ48" i="1"/>
  <c r="CL48" i="1"/>
  <c r="CM48" i="1"/>
  <c r="CC49" i="1"/>
  <c r="CD49" i="1"/>
  <c r="CF49" i="1"/>
  <c r="CG49" i="1"/>
  <c r="CH49" i="1" s="1"/>
  <c r="CI49" i="1"/>
  <c r="CJ49" i="1"/>
  <c r="CL49" i="1"/>
  <c r="CM49" i="1"/>
  <c r="CC50" i="1"/>
  <c r="CE50" i="1" s="1"/>
  <c r="CD50" i="1"/>
  <c r="CF50" i="1"/>
  <c r="CG50" i="1"/>
  <c r="CH50" i="1" s="1"/>
  <c r="CI50" i="1"/>
  <c r="CJ50" i="1"/>
  <c r="CL50" i="1"/>
  <c r="CM50" i="1"/>
  <c r="CC51" i="1"/>
  <c r="CD51" i="1"/>
  <c r="CF51" i="1"/>
  <c r="CG51" i="1"/>
  <c r="CH51" i="1" s="1"/>
  <c r="CI51" i="1"/>
  <c r="CJ51" i="1"/>
  <c r="CL51" i="1"/>
  <c r="CM51" i="1"/>
  <c r="CC52" i="1"/>
  <c r="CD52" i="1"/>
  <c r="CF52" i="1"/>
  <c r="CG52" i="1"/>
  <c r="CI52" i="1"/>
  <c r="CJ52" i="1"/>
  <c r="CL52" i="1"/>
  <c r="CM52" i="1"/>
  <c r="CC53" i="1"/>
  <c r="CE53" i="1" s="1"/>
  <c r="CD53" i="1"/>
  <c r="CF53" i="1"/>
  <c r="CG53" i="1"/>
  <c r="CH53" i="1" s="1"/>
  <c r="CI53" i="1"/>
  <c r="CJ53" i="1"/>
  <c r="CL53" i="1"/>
  <c r="CM53" i="1"/>
  <c r="CC54" i="1"/>
  <c r="CD54" i="1"/>
  <c r="CF54" i="1"/>
  <c r="CG54" i="1"/>
  <c r="CH54" i="1" s="1"/>
  <c r="CI54" i="1"/>
  <c r="CJ54" i="1"/>
  <c r="CL54" i="1"/>
  <c r="CM54" i="1"/>
  <c r="CC55" i="1"/>
  <c r="CD55" i="1"/>
  <c r="CF55" i="1"/>
  <c r="CG55" i="1"/>
  <c r="CH55" i="1" s="1"/>
  <c r="CI55" i="1"/>
  <c r="CJ55" i="1"/>
  <c r="CL55" i="1"/>
  <c r="CM55" i="1"/>
  <c r="CC56" i="1"/>
  <c r="CD56" i="1"/>
  <c r="CF56" i="1"/>
  <c r="CG56" i="1"/>
  <c r="CH56" i="1" s="1"/>
  <c r="CI56" i="1"/>
  <c r="CJ56" i="1"/>
  <c r="CL56" i="1"/>
  <c r="CM56" i="1"/>
  <c r="CC57" i="1"/>
  <c r="CD57" i="1"/>
  <c r="CE57" i="1" s="1"/>
  <c r="CF57" i="1"/>
  <c r="CG57" i="1"/>
  <c r="CI57" i="1"/>
  <c r="CJ57" i="1"/>
  <c r="CL57" i="1"/>
  <c r="CM57" i="1"/>
  <c r="CC58" i="1"/>
  <c r="CD58" i="1"/>
  <c r="CF58" i="1"/>
  <c r="CG58" i="1"/>
  <c r="CI58" i="1"/>
  <c r="CJ58" i="1"/>
  <c r="CL58" i="1"/>
  <c r="CM58" i="1"/>
  <c r="CC59" i="1"/>
  <c r="CD59" i="1"/>
  <c r="CF59" i="1"/>
  <c r="CG59" i="1"/>
  <c r="CI59" i="1"/>
  <c r="CJ59" i="1"/>
  <c r="CL59" i="1"/>
  <c r="CM59" i="1"/>
  <c r="CC60" i="1"/>
  <c r="CD60" i="1"/>
  <c r="CF60" i="1"/>
  <c r="CG60" i="1"/>
  <c r="CI60" i="1"/>
  <c r="CJ60" i="1"/>
  <c r="CL60" i="1"/>
  <c r="CM60" i="1"/>
  <c r="CC61" i="1"/>
  <c r="CD61" i="1"/>
  <c r="CF61" i="1"/>
  <c r="CG61" i="1"/>
  <c r="CI61" i="1"/>
  <c r="CJ61" i="1"/>
  <c r="CL61" i="1"/>
  <c r="CM61" i="1"/>
  <c r="CC62" i="1"/>
  <c r="CD62" i="1"/>
  <c r="CF62" i="1"/>
  <c r="CG62" i="1"/>
  <c r="CI62" i="1"/>
  <c r="CJ62" i="1"/>
  <c r="CL62" i="1"/>
  <c r="CM62" i="1"/>
  <c r="CC63" i="1"/>
  <c r="CD63" i="1"/>
  <c r="CF63" i="1"/>
  <c r="CG63" i="1"/>
  <c r="CI63" i="1"/>
  <c r="CJ63" i="1"/>
  <c r="CL63" i="1"/>
  <c r="CM63" i="1"/>
  <c r="CC64" i="1"/>
  <c r="CD64" i="1"/>
  <c r="CF64" i="1"/>
  <c r="CG64" i="1"/>
  <c r="CH64" i="1" s="1"/>
  <c r="CI64" i="1"/>
  <c r="CJ64" i="1"/>
  <c r="CL64" i="1"/>
  <c r="CM64" i="1"/>
  <c r="CC65" i="1"/>
  <c r="CD65" i="1"/>
  <c r="CF65" i="1"/>
  <c r="CG65" i="1"/>
  <c r="CI65" i="1"/>
  <c r="CJ65" i="1"/>
  <c r="CL65" i="1"/>
  <c r="CM65" i="1"/>
  <c r="CC66" i="1"/>
  <c r="CD66" i="1"/>
  <c r="CF66" i="1"/>
  <c r="CG66" i="1"/>
  <c r="CI66" i="1"/>
  <c r="CJ66" i="1"/>
  <c r="CL66" i="1"/>
  <c r="CM66" i="1"/>
  <c r="CC68" i="1"/>
  <c r="CD68" i="1"/>
  <c r="CF68" i="1"/>
  <c r="CG68" i="1"/>
  <c r="CI68" i="1"/>
  <c r="CJ68" i="1"/>
  <c r="CL68" i="1"/>
  <c r="CM68" i="1"/>
  <c r="CC69" i="1"/>
  <c r="CD69" i="1"/>
  <c r="CF69" i="1"/>
  <c r="CG69" i="1"/>
  <c r="CH69" i="1" s="1"/>
  <c r="CI69" i="1"/>
  <c r="CJ69" i="1"/>
  <c r="CL69" i="1"/>
  <c r="CM69" i="1"/>
  <c r="CC70" i="1"/>
  <c r="CD70" i="1"/>
  <c r="CF70" i="1"/>
  <c r="CG70" i="1"/>
  <c r="CI70" i="1"/>
  <c r="CJ70" i="1"/>
  <c r="CL70" i="1"/>
  <c r="CM70" i="1"/>
  <c r="CC71" i="1"/>
  <c r="CD71" i="1"/>
  <c r="CF71" i="1"/>
  <c r="CG71" i="1"/>
  <c r="CI71" i="1"/>
  <c r="CJ71" i="1"/>
  <c r="CL71" i="1"/>
  <c r="CM71" i="1"/>
  <c r="CC72" i="1"/>
  <c r="CD72" i="1"/>
  <c r="CF72" i="1"/>
  <c r="CG72" i="1"/>
  <c r="CI72" i="1"/>
  <c r="CJ72" i="1"/>
  <c r="CL72" i="1"/>
  <c r="CM72" i="1"/>
  <c r="CC73" i="1"/>
  <c r="CD73" i="1"/>
  <c r="CF73" i="1"/>
  <c r="CG73" i="1"/>
  <c r="CI73" i="1"/>
  <c r="CJ73" i="1"/>
  <c r="CL73" i="1"/>
  <c r="CM73" i="1"/>
  <c r="CC76" i="1"/>
  <c r="CD76" i="1"/>
  <c r="CF76" i="1"/>
  <c r="CG76" i="1"/>
  <c r="CI76" i="1"/>
  <c r="CJ76" i="1"/>
  <c r="CL76" i="1"/>
  <c r="CM76" i="1"/>
  <c r="CC78" i="1"/>
  <c r="CD78" i="1"/>
  <c r="CF78" i="1"/>
  <c r="CG78" i="1"/>
  <c r="CI78" i="1"/>
  <c r="CJ78" i="1"/>
  <c r="CL78" i="1"/>
  <c r="CM78" i="1"/>
  <c r="CC79" i="1"/>
  <c r="CD79" i="1"/>
  <c r="CF79" i="1"/>
  <c r="CG79" i="1"/>
  <c r="CI79" i="1"/>
  <c r="CJ79" i="1"/>
  <c r="CL79" i="1"/>
  <c r="CM79" i="1"/>
  <c r="CC81" i="1"/>
  <c r="CD81" i="1"/>
  <c r="CF81" i="1"/>
  <c r="CG81" i="1"/>
  <c r="CI81" i="1"/>
  <c r="CJ81" i="1"/>
  <c r="CL81" i="1"/>
  <c r="CM81" i="1"/>
  <c r="CC82" i="1"/>
  <c r="CD82" i="1"/>
  <c r="CF82" i="1"/>
  <c r="CG82" i="1"/>
  <c r="CI82" i="1"/>
  <c r="CJ82" i="1"/>
  <c r="CL82" i="1"/>
  <c r="CM82" i="1"/>
  <c r="CC83" i="1"/>
  <c r="CD83" i="1"/>
  <c r="CF83" i="1"/>
  <c r="CG83" i="1"/>
  <c r="CI83" i="1"/>
  <c r="CJ83" i="1"/>
  <c r="CL83" i="1"/>
  <c r="CM83" i="1"/>
  <c r="CC84" i="1"/>
  <c r="CD84" i="1"/>
  <c r="CF84" i="1"/>
  <c r="CG84" i="1"/>
  <c r="CI84" i="1"/>
  <c r="CJ84" i="1"/>
  <c r="CK84" i="1"/>
  <c r="CL84" i="1"/>
  <c r="CM84" i="1"/>
  <c r="CC85" i="1"/>
  <c r="CD85" i="1"/>
  <c r="CE85" i="1" s="1"/>
  <c r="CF85" i="1"/>
  <c r="CG85" i="1"/>
  <c r="CI85" i="1"/>
  <c r="CJ85" i="1"/>
  <c r="CK85" i="1" s="1"/>
  <c r="CL85" i="1"/>
  <c r="CM85" i="1"/>
  <c r="CC86" i="1"/>
  <c r="CD86" i="1"/>
  <c r="CF86" i="1"/>
  <c r="CG86" i="1"/>
  <c r="CI86" i="1"/>
  <c r="CJ86" i="1"/>
  <c r="CK86" i="1" s="1"/>
  <c r="CL86" i="1"/>
  <c r="CM86" i="1"/>
  <c r="CC87" i="1"/>
  <c r="CD87" i="1"/>
  <c r="CE87" i="1" s="1"/>
  <c r="CF87" i="1"/>
  <c r="CG87" i="1"/>
  <c r="CI87" i="1"/>
  <c r="CJ87" i="1"/>
  <c r="CK87" i="1" s="1"/>
  <c r="CL87" i="1"/>
  <c r="CM87" i="1"/>
  <c r="CC88" i="1"/>
  <c r="CD88" i="1"/>
  <c r="CF88" i="1"/>
  <c r="CH88" i="1" s="1"/>
  <c r="CG88" i="1"/>
  <c r="CI88" i="1"/>
  <c r="CJ88" i="1"/>
  <c r="CK88" i="1" s="1"/>
  <c r="CL88" i="1"/>
  <c r="CM88" i="1"/>
  <c r="CC89" i="1"/>
  <c r="CD89" i="1"/>
  <c r="CF89" i="1"/>
  <c r="CG89" i="1"/>
  <c r="CI89" i="1"/>
  <c r="CJ89" i="1"/>
  <c r="CL89" i="1"/>
  <c r="CM89" i="1"/>
  <c r="CC90" i="1"/>
  <c r="CD90" i="1"/>
  <c r="CF90" i="1"/>
  <c r="CG90" i="1"/>
  <c r="CI90" i="1"/>
  <c r="CJ90" i="1"/>
  <c r="CL90" i="1"/>
  <c r="CM90" i="1"/>
  <c r="CC93" i="1"/>
  <c r="CD93" i="1"/>
  <c r="CE93" i="1" s="1"/>
  <c r="CF93" i="1"/>
  <c r="CH93" i="1" s="1"/>
  <c r="CG93" i="1"/>
  <c r="CI93" i="1"/>
  <c r="CJ93" i="1"/>
  <c r="CK93" i="1" s="1"/>
  <c r="CL93" i="1"/>
  <c r="CM93" i="1"/>
  <c r="CC94" i="1"/>
  <c r="CD94" i="1"/>
  <c r="CF94" i="1"/>
  <c r="CG94" i="1"/>
  <c r="CI94" i="1"/>
  <c r="CJ94" i="1"/>
  <c r="CK94" i="1" s="1"/>
  <c r="CL94" i="1"/>
  <c r="CM94" i="1"/>
  <c r="CC96" i="1"/>
  <c r="CD96" i="1"/>
  <c r="CF96" i="1"/>
  <c r="CG96" i="1"/>
  <c r="CH96" i="1" s="1"/>
  <c r="CI96" i="1"/>
  <c r="CJ96" i="1"/>
  <c r="CL96" i="1"/>
  <c r="CM96" i="1"/>
  <c r="CC97" i="1"/>
  <c r="CD97" i="1"/>
  <c r="CF97" i="1"/>
  <c r="CG97" i="1"/>
  <c r="CI97" i="1"/>
  <c r="CJ97" i="1"/>
  <c r="CL97" i="1"/>
  <c r="CM97" i="1"/>
  <c r="CC98" i="1"/>
  <c r="CD98" i="1"/>
  <c r="CF98" i="1"/>
  <c r="CG98" i="1"/>
  <c r="CI98" i="1"/>
  <c r="CJ98" i="1"/>
  <c r="CL98" i="1"/>
  <c r="CM98" i="1"/>
  <c r="CC99" i="1"/>
  <c r="CD99" i="1"/>
  <c r="CF99" i="1"/>
  <c r="CG99" i="1"/>
  <c r="CI99" i="1"/>
  <c r="CJ99" i="1"/>
  <c r="CL99" i="1"/>
  <c r="CM99" i="1"/>
  <c r="CC100" i="1"/>
  <c r="CD100" i="1"/>
  <c r="CF100" i="1"/>
  <c r="CG100" i="1"/>
  <c r="CI100" i="1"/>
  <c r="CJ100" i="1"/>
  <c r="CL100" i="1"/>
  <c r="CM100" i="1"/>
  <c r="CC101" i="1"/>
  <c r="CD101" i="1"/>
  <c r="CF101" i="1"/>
  <c r="CG101" i="1"/>
  <c r="CI101" i="1"/>
  <c r="CJ101" i="1"/>
  <c r="CL101" i="1"/>
  <c r="CM101" i="1"/>
  <c r="CC102" i="1"/>
  <c r="CD102" i="1"/>
  <c r="CF102" i="1"/>
  <c r="CG102" i="1"/>
  <c r="CI102" i="1"/>
  <c r="CJ102" i="1"/>
  <c r="CL102" i="1"/>
  <c r="CM102" i="1"/>
  <c r="CC103" i="1"/>
  <c r="CD103" i="1"/>
  <c r="CF103" i="1"/>
  <c r="CG103" i="1"/>
  <c r="CI103" i="1"/>
  <c r="CJ103" i="1"/>
  <c r="CL103" i="1"/>
  <c r="CM103" i="1"/>
  <c r="CC104" i="1"/>
  <c r="CD104" i="1"/>
  <c r="CF104" i="1"/>
  <c r="CG104" i="1"/>
  <c r="CI104" i="1"/>
  <c r="CJ104" i="1"/>
  <c r="CL104" i="1"/>
  <c r="CM104" i="1"/>
  <c r="CC105" i="1"/>
  <c r="CD105" i="1"/>
  <c r="CF105" i="1"/>
  <c r="CG105" i="1"/>
  <c r="CI105" i="1"/>
  <c r="CJ105" i="1"/>
  <c r="CL105" i="1"/>
  <c r="CM105" i="1"/>
  <c r="CC107" i="1"/>
  <c r="CD107" i="1"/>
  <c r="CF107" i="1"/>
  <c r="CG107" i="1"/>
  <c r="CI107" i="1"/>
  <c r="CJ107" i="1"/>
  <c r="CK107" i="1" s="1"/>
  <c r="CL107" i="1"/>
  <c r="CM107" i="1"/>
  <c r="CC108" i="1"/>
  <c r="CD108" i="1"/>
  <c r="CF108" i="1"/>
  <c r="CG108" i="1"/>
  <c r="CI108" i="1"/>
  <c r="CJ108" i="1"/>
  <c r="CL108" i="1"/>
  <c r="CM108" i="1"/>
  <c r="CC110" i="1"/>
  <c r="CD110" i="1"/>
  <c r="CF110" i="1"/>
  <c r="CG110" i="1"/>
  <c r="CI110" i="1"/>
  <c r="CJ110" i="1"/>
  <c r="CL110" i="1"/>
  <c r="CM110" i="1"/>
  <c r="CC111" i="1"/>
  <c r="CD111" i="1"/>
  <c r="CF111" i="1"/>
  <c r="CG111" i="1"/>
  <c r="CI111" i="1"/>
  <c r="CJ111" i="1"/>
  <c r="CL111" i="1"/>
  <c r="CM111" i="1"/>
  <c r="CC112" i="1"/>
  <c r="CD112" i="1"/>
  <c r="CF112" i="1"/>
  <c r="CG112" i="1"/>
  <c r="CI112" i="1"/>
  <c r="CJ112" i="1"/>
  <c r="CK112" i="1" s="1"/>
  <c r="CL112" i="1"/>
  <c r="CM112" i="1"/>
  <c r="CC113" i="1"/>
  <c r="CD113" i="1"/>
  <c r="CF113" i="1"/>
  <c r="CG113" i="1"/>
  <c r="CH113" i="1" s="1"/>
  <c r="CI113" i="1"/>
  <c r="CJ113" i="1"/>
  <c r="CL113" i="1"/>
  <c r="CM113" i="1"/>
  <c r="CC114" i="1"/>
  <c r="CD114" i="1"/>
  <c r="CF114" i="1"/>
  <c r="CG114" i="1"/>
  <c r="CI114" i="1"/>
  <c r="CJ114" i="1"/>
  <c r="CL114" i="1"/>
  <c r="CM114" i="1"/>
  <c r="CC115" i="1"/>
  <c r="CD115" i="1"/>
  <c r="CF115" i="1"/>
  <c r="CG115" i="1"/>
  <c r="CI115" i="1"/>
  <c r="CJ115" i="1"/>
  <c r="CL115" i="1"/>
  <c r="CM115" i="1"/>
  <c r="CC116" i="1"/>
  <c r="CD116" i="1"/>
  <c r="CF116" i="1"/>
  <c r="CG116" i="1"/>
  <c r="CI116" i="1"/>
  <c r="CJ116" i="1"/>
  <c r="CL116" i="1"/>
  <c r="CM116" i="1"/>
  <c r="CC117" i="1"/>
  <c r="CD117" i="1"/>
  <c r="CF117" i="1"/>
  <c r="CG117" i="1"/>
  <c r="CI117" i="1"/>
  <c r="CJ117" i="1"/>
  <c r="CL117" i="1"/>
  <c r="CM117" i="1"/>
  <c r="CC118" i="1"/>
  <c r="CD118" i="1"/>
  <c r="CF118" i="1"/>
  <c r="CG118" i="1"/>
  <c r="CI118" i="1"/>
  <c r="CJ118" i="1"/>
  <c r="CL118" i="1"/>
  <c r="CM118" i="1"/>
  <c r="CC119" i="1"/>
  <c r="CD119" i="1"/>
  <c r="CF119" i="1"/>
  <c r="CG119" i="1"/>
  <c r="CI119" i="1"/>
  <c r="CJ119" i="1"/>
  <c r="CL119" i="1"/>
  <c r="CM119" i="1"/>
  <c r="CC120" i="1"/>
  <c r="CD120" i="1"/>
  <c r="CF120" i="1"/>
  <c r="CG120" i="1"/>
  <c r="CI120" i="1"/>
  <c r="CJ120" i="1"/>
  <c r="CL120" i="1"/>
  <c r="CM120" i="1"/>
  <c r="CC121" i="1"/>
  <c r="CD121" i="1"/>
  <c r="CF121" i="1"/>
  <c r="CG121" i="1"/>
  <c r="CI121" i="1"/>
  <c r="CJ121" i="1"/>
  <c r="CL121" i="1"/>
  <c r="CM121" i="1"/>
  <c r="CC122" i="1"/>
  <c r="CD122" i="1"/>
  <c r="CF122" i="1"/>
  <c r="CG122" i="1"/>
  <c r="CI122" i="1"/>
  <c r="CJ122" i="1"/>
  <c r="CL122" i="1"/>
  <c r="CM122" i="1"/>
  <c r="CC123" i="1"/>
  <c r="CD123" i="1"/>
  <c r="CF123" i="1"/>
  <c r="CG123" i="1"/>
  <c r="CI123" i="1"/>
  <c r="CJ123" i="1"/>
  <c r="CL123" i="1"/>
  <c r="CM123" i="1"/>
  <c r="CC124" i="1"/>
  <c r="CD124" i="1"/>
  <c r="CF124" i="1"/>
  <c r="CG124" i="1"/>
  <c r="CI124" i="1"/>
  <c r="CJ124" i="1"/>
  <c r="CL124" i="1"/>
  <c r="CM124" i="1"/>
  <c r="CC125" i="1"/>
  <c r="CD125" i="1"/>
  <c r="CF125" i="1"/>
  <c r="CG125" i="1"/>
  <c r="CI125" i="1"/>
  <c r="CJ125" i="1"/>
  <c r="CL125" i="1"/>
  <c r="CM125" i="1"/>
  <c r="CC126" i="1"/>
  <c r="CD126" i="1"/>
  <c r="CF126" i="1"/>
  <c r="CG126" i="1"/>
  <c r="CH126" i="1" s="1"/>
  <c r="CI126" i="1"/>
  <c r="CK126" i="1" s="1"/>
  <c r="CJ126" i="1"/>
  <c r="CL126" i="1"/>
  <c r="CM126" i="1"/>
  <c r="CC127" i="1"/>
  <c r="CD127" i="1"/>
  <c r="CF127" i="1"/>
  <c r="CG127" i="1"/>
  <c r="CI127" i="1"/>
  <c r="CJ127" i="1"/>
  <c r="CL127" i="1"/>
  <c r="CM127" i="1"/>
  <c r="CC128" i="1"/>
  <c r="CE128" i="1" s="1"/>
  <c r="CD128" i="1"/>
  <c r="CF128" i="1"/>
  <c r="CG128" i="1"/>
  <c r="CH128" i="1" s="1"/>
  <c r="CI128" i="1"/>
  <c r="CJ128" i="1"/>
  <c r="CL128" i="1"/>
  <c r="CM128" i="1"/>
  <c r="CC129" i="1"/>
  <c r="CD129" i="1"/>
  <c r="CF129" i="1"/>
  <c r="CG129" i="1"/>
  <c r="CH129" i="1" s="1"/>
  <c r="CI129" i="1"/>
  <c r="CJ129" i="1"/>
  <c r="CL129" i="1"/>
  <c r="CM129" i="1"/>
  <c r="CC130" i="1"/>
  <c r="CD130" i="1"/>
  <c r="CF130" i="1"/>
  <c r="CG130" i="1"/>
  <c r="CH130" i="1" s="1"/>
  <c r="CI130" i="1"/>
  <c r="CJ130" i="1"/>
  <c r="CL130" i="1"/>
  <c r="CM130" i="1"/>
  <c r="CC131" i="1"/>
  <c r="CD131" i="1"/>
  <c r="CF131" i="1"/>
  <c r="CG131" i="1"/>
  <c r="CI131" i="1"/>
  <c r="CJ131" i="1"/>
  <c r="CL131" i="1"/>
  <c r="CM131" i="1"/>
  <c r="CC132" i="1"/>
  <c r="CD132" i="1"/>
  <c r="CF132" i="1"/>
  <c r="CG132" i="1"/>
  <c r="CH132" i="1" s="1"/>
  <c r="CI132" i="1"/>
  <c r="CJ132" i="1"/>
  <c r="CL132" i="1"/>
  <c r="CM132" i="1"/>
  <c r="CC133" i="1"/>
  <c r="CD133" i="1"/>
  <c r="CF133" i="1"/>
  <c r="CG133" i="1"/>
  <c r="CH133" i="1" s="1"/>
  <c r="CI133" i="1"/>
  <c r="CJ133" i="1"/>
  <c r="CL133" i="1"/>
  <c r="CM133" i="1"/>
  <c r="CC136" i="1"/>
  <c r="CD136" i="1"/>
  <c r="CF136" i="1"/>
  <c r="CG136" i="1"/>
  <c r="CI136" i="1"/>
  <c r="CJ136" i="1"/>
  <c r="CL136" i="1"/>
  <c r="CM136" i="1"/>
  <c r="CC137" i="1"/>
  <c r="CD137" i="1"/>
  <c r="CF137" i="1"/>
  <c r="CG137" i="1"/>
  <c r="CH137" i="1" s="1"/>
  <c r="CI137" i="1"/>
  <c r="CJ137" i="1"/>
  <c r="CL137" i="1"/>
  <c r="CM137" i="1"/>
  <c r="CC138" i="1"/>
  <c r="CD138" i="1"/>
  <c r="CF138" i="1"/>
  <c r="CG138" i="1"/>
  <c r="CI138" i="1"/>
  <c r="CJ138" i="1"/>
  <c r="CL138" i="1"/>
  <c r="CM138" i="1"/>
  <c r="CC139" i="1"/>
  <c r="CD139" i="1"/>
  <c r="CF139" i="1"/>
  <c r="CG139" i="1"/>
  <c r="CI139" i="1"/>
  <c r="CJ139" i="1"/>
  <c r="CL139" i="1"/>
  <c r="CM139" i="1"/>
  <c r="CC140" i="1"/>
  <c r="CD140" i="1"/>
  <c r="CF140" i="1"/>
  <c r="CG140" i="1"/>
  <c r="CI140" i="1"/>
  <c r="CJ140" i="1"/>
  <c r="CL140" i="1"/>
  <c r="CM140" i="1"/>
  <c r="CC141" i="1"/>
  <c r="CD141" i="1"/>
  <c r="CF141" i="1"/>
  <c r="CG141" i="1"/>
  <c r="CI141" i="1"/>
  <c r="CJ141" i="1"/>
  <c r="CL141" i="1"/>
  <c r="CM141" i="1"/>
  <c r="CC143" i="1"/>
  <c r="CD143" i="1"/>
  <c r="CF143" i="1"/>
  <c r="CG143" i="1"/>
  <c r="CI143" i="1"/>
  <c r="CJ143" i="1"/>
  <c r="CL143" i="1"/>
  <c r="CM143" i="1"/>
  <c r="CC144" i="1"/>
  <c r="CD144" i="1"/>
  <c r="CF144" i="1"/>
  <c r="CG144" i="1"/>
  <c r="CI144" i="1"/>
  <c r="CJ144" i="1"/>
  <c r="CL144" i="1"/>
  <c r="CM144" i="1"/>
  <c r="CC145" i="1"/>
  <c r="CD145" i="1"/>
  <c r="CF145" i="1"/>
  <c r="CG145" i="1"/>
  <c r="CI145" i="1"/>
  <c r="CJ145" i="1"/>
  <c r="CL145" i="1"/>
  <c r="CM145" i="1"/>
  <c r="CC146" i="1"/>
  <c r="CE146" i="1" s="1"/>
  <c r="CD146" i="1"/>
  <c r="CF146" i="1"/>
  <c r="CG146" i="1"/>
  <c r="CI146" i="1"/>
  <c r="CJ146" i="1"/>
  <c r="CL146" i="1"/>
  <c r="CM146" i="1"/>
  <c r="CC147" i="1"/>
  <c r="CD147" i="1"/>
  <c r="CE147" i="1" s="1"/>
  <c r="CF147" i="1"/>
  <c r="CG147" i="1"/>
  <c r="CI147" i="1"/>
  <c r="CJ147" i="1"/>
  <c r="CK147" i="1" s="1"/>
  <c r="CL147" i="1"/>
  <c r="CM147" i="1"/>
  <c r="CC148" i="1"/>
  <c r="CD148" i="1"/>
  <c r="CF148" i="1"/>
  <c r="CG148" i="1"/>
  <c r="CI148" i="1"/>
  <c r="CJ148" i="1"/>
  <c r="CK148" i="1" s="1"/>
  <c r="CL148" i="1"/>
  <c r="CM148" i="1"/>
  <c r="CC149" i="1"/>
  <c r="CD149" i="1"/>
  <c r="CF149" i="1"/>
  <c r="CG149" i="1"/>
  <c r="CI149" i="1"/>
  <c r="CJ149" i="1"/>
  <c r="CK149" i="1" s="1"/>
  <c r="CL149" i="1"/>
  <c r="CM149" i="1"/>
  <c r="CC150" i="1"/>
  <c r="CD150" i="1"/>
  <c r="CE150" i="1" s="1"/>
  <c r="CF150" i="1"/>
  <c r="CG150" i="1"/>
  <c r="CI150" i="1"/>
  <c r="CJ150" i="1"/>
  <c r="CL150" i="1"/>
  <c r="CM150" i="1"/>
  <c r="CC151" i="1"/>
  <c r="CD151" i="1"/>
  <c r="CF151" i="1"/>
  <c r="CG151" i="1"/>
  <c r="CI151" i="1"/>
  <c r="CJ151" i="1"/>
  <c r="CL151" i="1"/>
  <c r="CM151" i="1"/>
  <c r="CC153" i="1"/>
  <c r="CD153" i="1"/>
  <c r="CF153" i="1"/>
  <c r="CG153" i="1"/>
  <c r="CH153" i="1" s="1"/>
  <c r="CI153" i="1"/>
  <c r="CJ153" i="1"/>
  <c r="CL153" i="1"/>
  <c r="CM153" i="1"/>
  <c r="CC154" i="1"/>
  <c r="CD154" i="1"/>
  <c r="CF154" i="1"/>
  <c r="CG154" i="1"/>
  <c r="CI154" i="1"/>
  <c r="CJ154" i="1"/>
  <c r="CL154" i="1"/>
  <c r="CM154" i="1"/>
  <c r="CC155" i="1"/>
  <c r="CD155" i="1"/>
  <c r="CF155" i="1"/>
  <c r="CG155" i="1"/>
  <c r="CI155" i="1"/>
  <c r="CJ155" i="1"/>
  <c r="CL155" i="1"/>
  <c r="CM155" i="1"/>
  <c r="CC156" i="1"/>
  <c r="CD156" i="1"/>
  <c r="CF156" i="1"/>
  <c r="CG156" i="1"/>
  <c r="CI156" i="1"/>
  <c r="CJ156" i="1"/>
  <c r="CK156" i="1" s="1"/>
  <c r="CL156" i="1"/>
  <c r="CM156" i="1"/>
  <c r="CC157" i="1"/>
  <c r="CD157" i="1"/>
  <c r="CF157" i="1"/>
  <c r="CG157" i="1"/>
  <c r="CI157" i="1"/>
  <c r="CJ157" i="1"/>
  <c r="CL157" i="1"/>
  <c r="CM157" i="1"/>
  <c r="CC158" i="1"/>
  <c r="CD158" i="1"/>
  <c r="CF158" i="1"/>
  <c r="CG158" i="1"/>
  <c r="CI158" i="1"/>
  <c r="CJ158" i="1"/>
  <c r="CL158" i="1"/>
  <c r="CM158" i="1"/>
  <c r="CC159" i="1"/>
  <c r="CD159" i="1"/>
  <c r="CF159" i="1"/>
  <c r="CG159" i="1"/>
  <c r="CI159" i="1"/>
  <c r="CJ159" i="1"/>
  <c r="CL159" i="1"/>
  <c r="CM159" i="1"/>
  <c r="CC160" i="1"/>
  <c r="CD160" i="1"/>
  <c r="CF160" i="1"/>
  <c r="CG160" i="1"/>
  <c r="CI160" i="1"/>
  <c r="CJ160" i="1"/>
  <c r="CL160" i="1"/>
  <c r="CM160" i="1"/>
  <c r="CC161" i="1"/>
  <c r="CD161" i="1"/>
  <c r="CF161" i="1"/>
  <c r="CG161" i="1"/>
  <c r="CI161" i="1"/>
  <c r="CJ161" i="1"/>
  <c r="CL161" i="1"/>
  <c r="CM161" i="1"/>
  <c r="CC162" i="1"/>
  <c r="CD162" i="1"/>
  <c r="CE162" i="1"/>
  <c r="CF162" i="1"/>
  <c r="CG162" i="1"/>
  <c r="CI162" i="1"/>
  <c r="CJ162" i="1"/>
  <c r="CL162" i="1"/>
  <c r="CM162" i="1"/>
  <c r="CC163" i="1"/>
  <c r="CD163" i="1"/>
  <c r="CE163" i="1" s="1"/>
  <c r="CF163" i="1"/>
  <c r="CG163" i="1"/>
  <c r="CI163" i="1"/>
  <c r="CJ163" i="1"/>
  <c r="CK163" i="1" s="1"/>
  <c r="CL163" i="1"/>
  <c r="CM163" i="1"/>
  <c r="CC164" i="1"/>
  <c r="CD164" i="1"/>
  <c r="CF164" i="1"/>
  <c r="CG164" i="1"/>
  <c r="CI164" i="1"/>
  <c r="CJ164" i="1"/>
  <c r="CK164" i="1" s="1"/>
  <c r="CL164" i="1"/>
  <c r="CM164" i="1"/>
  <c r="CC165" i="1"/>
  <c r="CD165" i="1"/>
  <c r="CF165" i="1"/>
  <c r="CG165" i="1"/>
  <c r="CH165" i="1" s="1"/>
  <c r="CI165" i="1"/>
  <c r="CJ165" i="1"/>
  <c r="CL165" i="1"/>
  <c r="CM165" i="1"/>
  <c r="CC166" i="1"/>
  <c r="CD166" i="1"/>
  <c r="CF166" i="1"/>
  <c r="CG166" i="1"/>
  <c r="CI166" i="1"/>
  <c r="CJ166" i="1"/>
  <c r="CL166" i="1"/>
  <c r="CM166" i="1"/>
  <c r="CC167" i="1"/>
  <c r="CD167" i="1"/>
  <c r="CE167" i="1" s="1"/>
  <c r="CF167" i="1"/>
  <c r="CG167" i="1"/>
  <c r="CI167" i="1"/>
  <c r="CJ167" i="1"/>
  <c r="CK167" i="1" s="1"/>
  <c r="CL167" i="1"/>
  <c r="CM167" i="1"/>
  <c r="CC168" i="1"/>
  <c r="CD168" i="1"/>
  <c r="CF168" i="1"/>
  <c r="CG168" i="1"/>
  <c r="CI168" i="1"/>
  <c r="CJ168" i="1"/>
  <c r="CK168" i="1" s="1"/>
  <c r="CL168" i="1"/>
  <c r="CM168" i="1"/>
  <c r="CC169" i="1"/>
  <c r="CD169" i="1"/>
  <c r="CF169" i="1"/>
  <c r="CG169" i="1"/>
  <c r="CI169" i="1"/>
  <c r="CJ169" i="1"/>
  <c r="CL169" i="1"/>
  <c r="CM169" i="1"/>
  <c r="CC170" i="1"/>
  <c r="CD170" i="1"/>
  <c r="CF170" i="1"/>
  <c r="CG170" i="1"/>
  <c r="CI170" i="1"/>
  <c r="CJ170" i="1"/>
  <c r="CL170" i="1"/>
  <c r="CM170" i="1"/>
  <c r="CC171" i="1"/>
  <c r="CD171" i="1"/>
  <c r="CF171" i="1"/>
  <c r="CG171" i="1"/>
  <c r="CI171" i="1"/>
  <c r="CJ171" i="1"/>
  <c r="CL171" i="1"/>
  <c r="CM171" i="1"/>
  <c r="CC172" i="1"/>
  <c r="CD172" i="1"/>
  <c r="CF172" i="1"/>
  <c r="CG172" i="1"/>
  <c r="CH172" i="1" s="1"/>
  <c r="CI172" i="1"/>
  <c r="CJ172" i="1"/>
  <c r="CL172" i="1"/>
  <c r="CM172" i="1"/>
  <c r="CC173" i="1"/>
  <c r="CD173" i="1"/>
  <c r="CF173" i="1"/>
  <c r="CG173" i="1"/>
  <c r="CH173" i="1" s="1"/>
  <c r="CI173" i="1"/>
  <c r="CJ173" i="1"/>
  <c r="CL173" i="1"/>
  <c r="CM173" i="1"/>
  <c r="CC174" i="1"/>
  <c r="CD174" i="1"/>
  <c r="CF174" i="1"/>
  <c r="CG174" i="1"/>
  <c r="CH174" i="1" s="1"/>
  <c r="CI174" i="1"/>
  <c r="CJ174" i="1"/>
  <c r="CL174" i="1"/>
  <c r="CM174" i="1"/>
  <c r="CC175" i="1"/>
  <c r="CD175" i="1"/>
  <c r="CF175" i="1"/>
  <c r="CG175" i="1"/>
  <c r="CI175" i="1"/>
  <c r="CJ175" i="1"/>
  <c r="CL175" i="1"/>
  <c r="CM175" i="1"/>
  <c r="CC176" i="1"/>
  <c r="CD176" i="1"/>
  <c r="CF176" i="1"/>
  <c r="CG176" i="1"/>
  <c r="CH176" i="1" s="1"/>
  <c r="CI176" i="1"/>
  <c r="CJ176" i="1"/>
  <c r="CL176" i="1"/>
  <c r="CM176" i="1"/>
  <c r="CC177" i="1"/>
  <c r="CD177" i="1"/>
  <c r="CF177" i="1"/>
  <c r="CG177" i="1"/>
  <c r="CH177" i="1" s="1"/>
  <c r="CI177" i="1"/>
  <c r="CJ177" i="1"/>
  <c r="CL177" i="1"/>
  <c r="CM177" i="1"/>
  <c r="CC178" i="1"/>
  <c r="CD178" i="1"/>
  <c r="CF178" i="1"/>
  <c r="CG178" i="1"/>
  <c r="CI178" i="1"/>
  <c r="CJ178" i="1"/>
  <c r="CL178" i="1"/>
  <c r="CM178" i="1"/>
  <c r="CC179" i="1"/>
  <c r="CD179" i="1"/>
  <c r="CF179" i="1"/>
  <c r="CG179" i="1"/>
  <c r="CI179" i="1"/>
  <c r="CJ179" i="1"/>
  <c r="CL179" i="1"/>
  <c r="CM179" i="1"/>
  <c r="CC180" i="1"/>
  <c r="CD180" i="1"/>
  <c r="CF180" i="1"/>
  <c r="CG180" i="1"/>
  <c r="CI180" i="1"/>
  <c r="CJ180" i="1"/>
  <c r="CL180" i="1"/>
  <c r="CM180" i="1"/>
  <c r="CC181" i="1"/>
  <c r="CD181" i="1"/>
  <c r="CF181" i="1"/>
  <c r="CG181" i="1"/>
  <c r="CH181" i="1" s="1"/>
  <c r="CI181" i="1"/>
  <c r="CJ181" i="1"/>
  <c r="CL181" i="1"/>
  <c r="CM181" i="1"/>
  <c r="CC182" i="1"/>
  <c r="CD182" i="1"/>
  <c r="CE182" i="1" s="1"/>
  <c r="CF182" i="1"/>
  <c r="CG182" i="1"/>
  <c r="CI182" i="1"/>
  <c r="CJ182" i="1"/>
  <c r="CL182" i="1"/>
  <c r="CM182" i="1"/>
  <c r="CC183" i="1"/>
  <c r="CD183" i="1"/>
  <c r="CF183" i="1"/>
  <c r="CG183" i="1"/>
  <c r="CI183" i="1"/>
  <c r="CJ183" i="1"/>
  <c r="CL183" i="1"/>
  <c r="CM183" i="1"/>
  <c r="CC184" i="1"/>
  <c r="CD184" i="1"/>
  <c r="CF184" i="1"/>
  <c r="CG184" i="1"/>
  <c r="CI184" i="1"/>
  <c r="CJ184" i="1"/>
  <c r="CL184" i="1"/>
  <c r="CM184" i="1"/>
  <c r="CC185" i="1"/>
  <c r="CD185" i="1"/>
  <c r="CF185" i="1"/>
  <c r="CG185" i="1"/>
  <c r="CH185" i="1" s="1"/>
  <c r="CI185" i="1"/>
  <c r="CJ185" i="1"/>
  <c r="CL185" i="1"/>
  <c r="CM185" i="1"/>
  <c r="CC186" i="1"/>
  <c r="CD186" i="1"/>
  <c r="CF186" i="1"/>
  <c r="CG186" i="1"/>
  <c r="CI186" i="1"/>
  <c r="CJ186" i="1"/>
  <c r="CL186" i="1"/>
  <c r="CM186" i="1"/>
  <c r="CC187" i="1"/>
  <c r="CD187" i="1"/>
  <c r="CF187" i="1"/>
  <c r="CG187" i="1"/>
  <c r="CI187" i="1"/>
  <c r="CJ187" i="1"/>
  <c r="CL187" i="1"/>
  <c r="CM187" i="1"/>
  <c r="CC188" i="1"/>
  <c r="CD188" i="1"/>
  <c r="CF188" i="1"/>
  <c r="CG188" i="1"/>
  <c r="CI188" i="1"/>
  <c r="CJ188" i="1"/>
  <c r="CK188" i="1" s="1"/>
  <c r="CL188" i="1"/>
  <c r="CM188" i="1"/>
  <c r="CC189" i="1"/>
  <c r="CD189" i="1"/>
  <c r="CF189" i="1"/>
  <c r="CG189" i="1"/>
  <c r="CI189" i="1"/>
  <c r="CJ189" i="1"/>
  <c r="CL189" i="1"/>
  <c r="CM189" i="1"/>
  <c r="CC190" i="1"/>
  <c r="CD190" i="1"/>
  <c r="CF190" i="1"/>
  <c r="CG190" i="1"/>
  <c r="CI190" i="1"/>
  <c r="CJ190" i="1"/>
  <c r="CL190" i="1"/>
  <c r="CM190" i="1"/>
  <c r="CC191" i="1"/>
  <c r="CD191" i="1"/>
  <c r="CF191" i="1"/>
  <c r="CG191" i="1"/>
  <c r="CI191" i="1"/>
  <c r="CJ191" i="1"/>
  <c r="CL191" i="1"/>
  <c r="CM191" i="1"/>
  <c r="CC192" i="1"/>
  <c r="CD192" i="1"/>
  <c r="CF192" i="1"/>
  <c r="CG192" i="1"/>
  <c r="CI192" i="1"/>
  <c r="CJ192" i="1"/>
  <c r="CL192" i="1"/>
  <c r="CM192" i="1"/>
  <c r="CC193" i="1"/>
  <c r="CD193" i="1"/>
  <c r="CF193" i="1"/>
  <c r="CG193" i="1"/>
  <c r="CI193" i="1"/>
  <c r="CJ193" i="1"/>
  <c r="CL193" i="1"/>
  <c r="CM193" i="1"/>
  <c r="CC194" i="1"/>
  <c r="CD194" i="1"/>
  <c r="CF194" i="1"/>
  <c r="CG194" i="1"/>
  <c r="CI194" i="1"/>
  <c r="CJ194" i="1"/>
  <c r="CL194" i="1"/>
  <c r="CM194" i="1"/>
  <c r="CC195" i="1"/>
  <c r="CD195" i="1"/>
  <c r="CF195" i="1"/>
  <c r="CG195" i="1"/>
  <c r="CI195" i="1"/>
  <c r="CJ195" i="1"/>
  <c r="CL195" i="1"/>
  <c r="CM195" i="1"/>
  <c r="CC196" i="1"/>
  <c r="CD196" i="1"/>
  <c r="CF196" i="1"/>
  <c r="CG196" i="1"/>
  <c r="CI196" i="1"/>
  <c r="CJ196" i="1"/>
  <c r="CL196" i="1"/>
  <c r="CM196" i="1"/>
  <c r="CC197" i="1"/>
  <c r="CD197" i="1"/>
  <c r="CF197" i="1"/>
  <c r="CG197" i="1"/>
  <c r="CI197" i="1"/>
  <c r="CJ197" i="1"/>
  <c r="CL197" i="1"/>
  <c r="CM197" i="1"/>
  <c r="CC198" i="1"/>
  <c r="CD198" i="1"/>
  <c r="CF198" i="1"/>
  <c r="CG198" i="1"/>
  <c r="CI198" i="1"/>
  <c r="CJ198" i="1"/>
  <c r="CL198" i="1"/>
  <c r="CM198" i="1"/>
  <c r="CC199" i="1"/>
  <c r="CD199" i="1"/>
  <c r="CF199" i="1"/>
  <c r="CG199" i="1"/>
  <c r="CH199" i="1"/>
  <c r="CI199" i="1"/>
  <c r="CJ199" i="1"/>
  <c r="CL199" i="1"/>
  <c r="CM199" i="1"/>
  <c r="CC200" i="1"/>
  <c r="CD200" i="1"/>
  <c r="CF200" i="1"/>
  <c r="CG200" i="1"/>
  <c r="CH200" i="1" s="1"/>
  <c r="CI200" i="1"/>
  <c r="CJ200" i="1"/>
  <c r="CL200" i="1"/>
  <c r="CM200" i="1"/>
  <c r="CC201" i="1"/>
  <c r="CD201" i="1"/>
  <c r="CF201" i="1"/>
  <c r="CG201" i="1"/>
  <c r="CI201" i="1"/>
  <c r="CJ201" i="1"/>
  <c r="CL201" i="1"/>
  <c r="CM201" i="1"/>
  <c r="CC202" i="1"/>
  <c r="CD202" i="1"/>
  <c r="CF202" i="1"/>
  <c r="CG202" i="1"/>
  <c r="CH202" i="1" s="1"/>
  <c r="CI202" i="1"/>
  <c r="CJ202" i="1"/>
  <c r="CK202" i="1"/>
  <c r="CL202" i="1"/>
  <c r="CM202" i="1"/>
  <c r="CC203" i="1"/>
  <c r="CD203" i="1"/>
  <c r="CE203" i="1" s="1"/>
  <c r="CF203" i="1"/>
  <c r="CG203" i="1"/>
  <c r="CI203" i="1"/>
  <c r="CJ203" i="1"/>
  <c r="CK203" i="1" s="1"/>
  <c r="CL203" i="1"/>
  <c r="CM203" i="1"/>
  <c r="CC204" i="1"/>
  <c r="CD204" i="1"/>
  <c r="CE204" i="1" s="1"/>
  <c r="CF204" i="1"/>
  <c r="CG204" i="1"/>
  <c r="CI204" i="1"/>
  <c r="CJ204" i="1"/>
  <c r="CL204" i="1"/>
  <c r="CM204" i="1"/>
  <c r="CC206" i="1"/>
  <c r="CD206" i="1"/>
  <c r="CF206" i="1"/>
  <c r="CG206" i="1"/>
  <c r="CI206" i="1"/>
  <c r="CJ206" i="1"/>
  <c r="CK206" i="1" s="1"/>
  <c r="CL206" i="1"/>
  <c r="CM206" i="1"/>
  <c r="CC207" i="1"/>
  <c r="CD207" i="1"/>
  <c r="CF207" i="1"/>
  <c r="CG207" i="1"/>
  <c r="CI207" i="1"/>
  <c r="CJ207" i="1"/>
  <c r="CK207" i="1" s="1"/>
  <c r="CL207" i="1"/>
  <c r="CM207" i="1"/>
  <c r="CC208" i="1"/>
  <c r="CD208" i="1"/>
  <c r="CE208" i="1" s="1"/>
  <c r="CF208" i="1"/>
  <c r="CG208" i="1"/>
  <c r="CI208" i="1"/>
  <c r="CJ208" i="1"/>
  <c r="CL208" i="1"/>
  <c r="CM208" i="1"/>
  <c r="CC209" i="1"/>
  <c r="CD209" i="1"/>
  <c r="CF209" i="1"/>
  <c r="CH209" i="1" s="1"/>
  <c r="CG209" i="1"/>
  <c r="CI209" i="1"/>
  <c r="CJ209" i="1"/>
  <c r="CL209" i="1"/>
  <c r="CM209" i="1"/>
  <c r="CC211" i="1"/>
  <c r="CD211" i="1"/>
  <c r="CF211" i="1"/>
  <c r="CG211" i="1"/>
  <c r="CI211" i="1"/>
  <c r="CJ211" i="1"/>
  <c r="CL211" i="1"/>
  <c r="CM211" i="1"/>
  <c r="CC212" i="1"/>
  <c r="CD212" i="1"/>
  <c r="CE212" i="1" s="1"/>
  <c r="CF212" i="1"/>
  <c r="CG212" i="1"/>
  <c r="CI212" i="1"/>
  <c r="CJ212" i="1"/>
  <c r="CL212" i="1"/>
  <c r="CM212" i="1"/>
  <c r="CC213" i="1"/>
  <c r="CD213" i="1"/>
  <c r="CF213" i="1"/>
  <c r="CG213" i="1"/>
  <c r="CI213" i="1"/>
  <c r="CJ213" i="1"/>
  <c r="CL213" i="1"/>
  <c r="CM213" i="1"/>
  <c r="CC214" i="1"/>
  <c r="CD214" i="1"/>
  <c r="CF214" i="1"/>
  <c r="CG214" i="1"/>
  <c r="CI214" i="1"/>
  <c r="CJ214" i="1"/>
  <c r="CL214" i="1"/>
  <c r="CM214" i="1"/>
  <c r="CC215" i="1"/>
  <c r="CD215" i="1"/>
  <c r="CF215" i="1"/>
  <c r="CG215" i="1"/>
  <c r="CI215" i="1"/>
  <c r="CJ215" i="1"/>
  <c r="CL215" i="1"/>
  <c r="CM215" i="1"/>
  <c r="CC216" i="1"/>
  <c r="CD216" i="1"/>
  <c r="CF216" i="1"/>
  <c r="CG216" i="1"/>
  <c r="CI216" i="1"/>
  <c r="CJ216" i="1"/>
  <c r="CL216" i="1"/>
  <c r="CM216" i="1"/>
  <c r="CC217" i="1"/>
  <c r="CD217" i="1"/>
  <c r="CF217" i="1"/>
  <c r="CH217" i="1" s="1"/>
  <c r="CG217" i="1"/>
  <c r="CI217" i="1"/>
  <c r="CJ217" i="1"/>
  <c r="CL217" i="1"/>
  <c r="CM217" i="1"/>
  <c r="CC218" i="1"/>
  <c r="CD218" i="1"/>
  <c r="CF218" i="1"/>
  <c r="CG218" i="1"/>
  <c r="CI218" i="1"/>
  <c r="CJ218" i="1"/>
  <c r="CK218" i="1"/>
  <c r="CL218" i="1"/>
  <c r="CM218" i="1"/>
  <c r="CC219" i="1"/>
  <c r="CD219" i="1"/>
  <c r="CE219" i="1" s="1"/>
  <c r="CF219" i="1"/>
  <c r="CG219" i="1"/>
  <c r="CI219" i="1"/>
  <c r="CJ219" i="1"/>
  <c r="CK219" i="1" s="1"/>
  <c r="CL219" i="1"/>
  <c r="CM219" i="1"/>
  <c r="CC220" i="1"/>
  <c r="CD220" i="1"/>
  <c r="CE220" i="1" s="1"/>
  <c r="CF220" i="1"/>
  <c r="CG220" i="1"/>
  <c r="CI220" i="1"/>
  <c r="CJ220" i="1"/>
  <c r="CL220" i="1"/>
  <c r="CM220" i="1"/>
  <c r="CC221" i="1"/>
  <c r="CD221" i="1"/>
  <c r="CF221" i="1"/>
  <c r="CG221" i="1"/>
  <c r="CI221" i="1"/>
  <c r="CJ221" i="1"/>
  <c r="CL221" i="1"/>
  <c r="CM221" i="1"/>
  <c r="CC222" i="1"/>
  <c r="CD222" i="1"/>
  <c r="CF222" i="1"/>
  <c r="CG222" i="1"/>
  <c r="CI222" i="1"/>
  <c r="CJ222" i="1"/>
  <c r="CK222" i="1" s="1"/>
  <c r="CL222" i="1"/>
  <c r="CM222" i="1"/>
  <c r="CC223" i="1"/>
  <c r="CD223" i="1"/>
  <c r="CF223" i="1"/>
  <c r="CG223" i="1"/>
  <c r="CI223" i="1"/>
  <c r="CJ223" i="1"/>
  <c r="CK223" i="1" s="1"/>
  <c r="CL223" i="1"/>
  <c r="CM223" i="1"/>
  <c r="CC224" i="1"/>
  <c r="CD224" i="1"/>
  <c r="CE224" i="1" s="1"/>
  <c r="CF224" i="1"/>
  <c r="CG224" i="1"/>
  <c r="CI224" i="1"/>
  <c r="CJ224" i="1"/>
  <c r="CL224" i="1"/>
  <c r="CM224" i="1"/>
  <c r="CC225" i="1"/>
  <c r="CD225" i="1"/>
  <c r="CF225" i="1"/>
  <c r="CG225" i="1"/>
  <c r="CI225" i="1"/>
  <c r="CJ225" i="1"/>
  <c r="CL225" i="1"/>
  <c r="CM225" i="1"/>
  <c r="CC226" i="1"/>
  <c r="CD226" i="1"/>
  <c r="CF226" i="1"/>
  <c r="CG226" i="1"/>
  <c r="CI226" i="1"/>
  <c r="CJ226" i="1"/>
  <c r="CL226" i="1"/>
  <c r="CM226" i="1"/>
  <c r="CC227" i="1"/>
  <c r="CD227" i="1"/>
  <c r="CF227" i="1"/>
  <c r="CG227" i="1"/>
  <c r="CH227" i="1"/>
  <c r="CI227" i="1"/>
  <c r="CJ227" i="1"/>
  <c r="CL227" i="1"/>
  <c r="CM227" i="1"/>
  <c r="CC228" i="1"/>
  <c r="CD228" i="1"/>
  <c r="CF228" i="1"/>
  <c r="CG228" i="1"/>
  <c r="CI228" i="1"/>
  <c r="CJ228" i="1"/>
  <c r="CL228" i="1"/>
  <c r="CM228" i="1"/>
  <c r="CC229" i="1"/>
  <c r="CD229" i="1"/>
  <c r="CF229" i="1"/>
  <c r="CG229" i="1"/>
  <c r="CI229" i="1"/>
  <c r="CJ229" i="1"/>
  <c r="CL229" i="1"/>
  <c r="CM229" i="1"/>
  <c r="CC230" i="1"/>
  <c r="CD230" i="1"/>
  <c r="CF230" i="1"/>
  <c r="CG230" i="1"/>
  <c r="CI230" i="1"/>
  <c r="CJ230" i="1"/>
  <c r="CL230" i="1"/>
  <c r="CM230" i="1"/>
  <c r="CC231" i="1"/>
  <c r="CD231" i="1"/>
  <c r="CF231" i="1"/>
  <c r="CG231" i="1"/>
  <c r="CI231" i="1"/>
  <c r="CJ231" i="1"/>
  <c r="CL231" i="1"/>
  <c r="CM231" i="1"/>
  <c r="CC232" i="1"/>
  <c r="CD232" i="1"/>
  <c r="CF232" i="1"/>
  <c r="CG232" i="1"/>
  <c r="CI232" i="1"/>
  <c r="CJ232" i="1"/>
  <c r="CL232" i="1"/>
  <c r="CM232" i="1"/>
  <c r="CC233" i="1"/>
  <c r="CD233" i="1"/>
  <c r="CF233" i="1"/>
  <c r="CG233" i="1"/>
  <c r="CI233" i="1"/>
  <c r="CJ233" i="1"/>
  <c r="CL233" i="1"/>
  <c r="CM233" i="1"/>
  <c r="CC234" i="1"/>
  <c r="CD234" i="1"/>
  <c r="CF234" i="1"/>
  <c r="CG234" i="1"/>
  <c r="CI234" i="1"/>
  <c r="CJ234" i="1"/>
  <c r="CL234" i="1"/>
  <c r="CM234" i="1"/>
  <c r="CC235" i="1"/>
  <c r="CD235" i="1"/>
  <c r="CF235" i="1"/>
  <c r="CG235" i="1"/>
  <c r="CH235" i="1" s="1"/>
  <c r="CI235" i="1"/>
  <c r="CJ235" i="1"/>
  <c r="CL235" i="1"/>
  <c r="CM235" i="1"/>
  <c r="CC236" i="1"/>
  <c r="CD236" i="1"/>
  <c r="CF236" i="1"/>
  <c r="CG236" i="1"/>
  <c r="CH236" i="1" s="1"/>
  <c r="CI236" i="1"/>
  <c r="CJ236" i="1"/>
  <c r="CL236" i="1"/>
  <c r="CM236" i="1"/>
  <c r="CC237" i="1"/>
  <c r="CD237" i="1"/>
  <c r="CF237" i="1"/>
  <c r="CG237" i="1"/>
  <c r="CI237" i="1"/>
  <c r="CJ237" i="1"/>
  <c r="CL237" i="1"/>
  <c r="CM237" i="1"/>
  <c r="CC238" i="1"/>
  <c r="CD238" i="1"/>
  <c r="CF238" i="1"/>
  <c r="CG238" i="1"/>
  <c r="CH238" i="1" s="1"/>
  <c r="CI238" i="1"/>
  <c r="CJ238" i="1"/>
  <c r="CL238" i="1"/>
  <c r="CM238" i="1"/>
  <c r="CC239" i="1"/>
  <c r="CD239" i="1"/>
  <c r="CF239" i="1"/>
  <c r="CG239" i="1"/>
  <c r="CH239" i="1" s="1"/>
  <c r="CI239" i="1"/>
  <c r="CJ239" i="1"/>
  <c r="CL239" i="1"/>
  <c r="CM239" i="1"/>
  <c r="CC240" i="1"/>
  <c r="CD240" i="1"/>
  <c r="CF240" i="1"/>
  <c r="CG240" i="1"/>
  <c r="CI240" i="1"/>
  <c r="CJ240" i="1"/>
  <c r="CL240" i="1"/>
  <c r="CM240" i="1"/>
  <c r="CC242" i="1"/>
  <c r="CD242" i="1"/>
  <c r="CF242" i="1"/>
  <c r="CG242" i="1"/>
  <c r="CI242" i="1"/>
  <c r="CJ242" i="1"/>
  <c r="CL242" i="1"/>
  <c r="CM242" i="1"/>
  <c r="CC243" i="1"/>
  <c r="CD243" i="1"/>
  <c r="CF243" i="1"/>
  <c r="CG243" i="1"/>
  <c r="CH243" i="1" s="1"/>
  <c r="CI243" i="1"/>
  <c r="CJ243" i="1"/>
  <c r="CL243" i="1"/>
  <c r="CM243" i="1"/>
  <c r="CC244" i="1"/>
  <c r="CD244" i="1"/>
  <c r="CF244" i="1"/>
  <c r="CG244" i="1"/>
  <c r="CI244" i="1"/>
  <c r="CJ244" i="1"/>
  <c r="CL244" i="1"/>
  <c r="CM244" i="1"/>
  <c r="CC245" i="1"/>
  <c r="CD245" i="1"/>
  <c r="CF245" i="1"/>
  <c r="CG245" i="1"/>
  <c r="CI245" i="1"/>
  <c r="CJ245" i="1"/>
  <c r="CL245" i="1"/>
  <c r="CM245" i="1"/>
  <c r="CC246" i="1"/>
  <c r="CD246" i="1"/>
  <c r="CF246" i="1"/>
  <c r="CG246" i="1"/>
  <c r="CI246" i="1"/>
  <c r="CK246" i="1" s="1"/>
  <c r="CJ246" i="1"/>
  <c r="CL246" i="1"/>
  <c r="CM246" i="1"/>
  <c r="CC247" i="1"/>
  <c r="CD247" i="1"/>
  <c r="CE247" i="1" s="1"/>
  <c r="CF247" i="1"/>
  <c r="CG247" i="1"/>
  <c r="CI247" i="1"/>
  <c r="CJ247" i="1"/>
  <c r="CL247" i="1"/>
  <c r="CM247" i="1"/>
  <c r="CC248" i="1"/>
  <c r="CD248" i="1"/>
  <c r="CF248" i="1"/>
  <c r="CG248" i="1"/>
  <c r="CI248" i="1"/>
  <c r="CJ248" i="1"/>
  <c r="CL248" i="1"/>
  <c r="CM248" i="1"/>
  <c r="CC249" i="1"/>
  <c r="CD249" i="1"/>
  <c r="CF249" i="1"/>
  <c r="CG249" i="1"/>
  <c r="CI249" i="1"/>
  <c r="CJ249" i="1"/>
  <c r="CL249" i="1"/>
  <c r="CM249" i="1"/>
  <c r="CC250" i="1"/>
  <c r="CD250" i="1"/>
  <c r="CF250" i="1"/>
  <c r="CG250" i="1"/>
  <c r="CI250" i="1"/>
  <c r="CJ250" i="1"/>
  <c r="CK250" i="1" s="1"/>
  <c r="CL250" i="1"/>
  <c r="CM250" i="1"/>
  <c r="CC251" i="1"/>
  <c r="CD251" i="1"/>
  <c r="CF251" i="1"/>
  <c r="CG251" i="1"/>
  <c r="CI251" i="1"/>
  <c r="CJ251" i="1"/>
  <c r="CL251" i="1"/>
  <c r="CM251" i="1"/>
  <c r="CC252" i="1"/>
  <c r="CD252" i="1"/>
  <c r="CF252" i="1"/>
  <c r="CG252" i="1"/>
  <c r="CI252" i="1"/>
  <c r="CJ252" i="1"/>
  <c r="CL252" i="1"/>
  <c r="CM252" i="1"/>
  <c r="CC253" i="1"/>
  <c r="CD253" i="1"/>
  <c r="CF253" i="1"/>
  <c r="CG253" i="1"/>
  <c r="CI253" i="1"/>
  <c r="CJ253" i="1"/>
  <c r="CL253" i="1"/>
  <c r="CM253" i="1"/>
  <c r="CC254" i="1"/>
  <c r="CD254" i="1"/>
  <c r="CF254" i="1"/>
  <c r="CG254" i="1"/>
  <c r="CI254" i="1"/>
  <c r="CJ254" i="1"/>
  <c r="CL254" i="1"/>
  <c r="CM254" i="1"/>
  <c r="CC255" i="1"/>
  <c r="CD255" i="1"/>
  <c r="CF255" i="1"/>
  <c r="CG255" i="1"/>
  <c r="CI255" i="1"/>
  <c r="CJ255" i="1"/>
  <c r="CL255" i="1"/>
  <c r="CM255" i="1"/>
  <c r="CC256" i="1"/>
  <c r="CD256" i="1"/>
  <c r="CF256" i="1"/>
  <c r="CG256" i="1"/>
  <c r="CI256" i="1"/>
  <c r="CJ256" i="1"/>
  <c r="CL256" i="1"/>
  <c r="CM256" i="1"/>
  <c r="CC257" i="1"/>
  <c r="CD257" i="1"/>
  <c r="CF257" i="1"/>
  <c r="CG257" i="1"/>
  <c r="CI257" i="1"/>
  <c r="CJ257" i="1"/>
  <c r="CL257" i="1"/>
  <c r="CM257" i="1"/>
  <c r="CC259" i="1"/>
  <c r="CD259" i="1"/>
  <c r="CF259" i="1"/>
  <c r="CG259" i="1"/>
  <c r="CI259" i="1"/>
  <c r="CJ259" i="1"/>
  <c r="CL259" i="1"/>
  <c r="CM259" i="1"/>
  <c r="CC260" i="1"/>
  <c r="CD260" i="1"/>
  <c r="CE260" i="1" s="1"/>
  <c r="CF260" i="1"/>
  <c r="CG260" i="1"/>
  <c r="CI260" i="1"/>
  <c r="CJ260" i="1"/>
  <c r="CL260" i="1"/>
  <c r="CM260" i="1"/>
  <c r="CC261" i="1"/>
  <c r="CD261" i="1"/>
  <c r="CF261" i="1"/>
  <c r="CG261" i="1"/>
  <c r="CI261" i="1"/>
  <c r="CJ261" i="1"/>
  <c r="CL261" i="1"/>
  <c r="CM261" i="1"/>
  <c r="CC263" i="1"/>
  <c r="CD263" i="1"/>
  <c r="CF263" i="1"/>
  <c r="CG263" i="1"/>
  <c r="CI263" i="1"/>
  <c r="CJ263" i="1"/>
  <c r="CL263" i="1"/>
  <c r="CM263" i="1"/>
  <c r="CC264" i="1"/>
  <c r="CD264" i="1"/>
  <c r="CF264" i="1"/>
  <c r="CG264" i="1"/>
  <c r="CI264" i="1"/>
  <c r="CJ264" i="1"/>
  <c r="CL264" i="1"/>
  <c r="CM264" i="1"/>
  <c r="CC265" i="1"/>
  <c r="CD265" i="1"/>
  <c r="CF265" i="1"/>
  <c r="CG265" i="1"/>
  <c r="CI265" i="1"/>
  <c r="CJ265" i="1"/>
  <c r="CL265" i="1"/>
  <c r="CM265" i="1"/>
  <c r="CC266" i="1"/>
  <c r="CD266" i="1"/>
  <c r="CF266" i="1"/>
  <c r="CG266" i="1"/>
  <c r="CI266" i="1"/>
  <c r="CJ266" i="1"/>
  <c r="CL266" i="1"/>
  <c r="CM266" i="1"/>
  <c r="CC267" i="1"/>
  <c r="CD267" i="1"/>
  <c r="CF267" i="1"/>
  <c r="CG267" i="1"/>
  <c r="CH267" i="1" s="1"/>
  <c r="CI267" i="1"/>
  <c r="CJ267" i="1"/>
  <c r="CL267" i="1"/>
  <c r="CM267" i="1"/>
  <c r="CC268" i="1"/>
  <c r="CD268" i="1"/>
  <c r="CF268" i="1"/>
  <c r="CG268" i="1"/>
  <c r="CH268" i="1" s="1"/>
  <c r="CI268" i="1"/>
  <c r="CJ268" i="1"/>
  <c r="CL268" i="1"/>
  <c r="CM268" i="1"/>
  <c r="CC269" i="1"/>
  <c r="CD269" i="1"/>
  <c r="CF269" i="1"/>
  <c r="CG269" i="1"/>
  <c r="CI269" i="1"/>
  <c r="CJ269" i="1"/>
  <c r="CL269" i="1"/>
  <c r="CM269" i="1"/>
  <c r="CC270" i="1"/>
  <c r="CD270" i="1"/>
  <c r="CF270" i="1"/>
  <c r="CG270" i="1"/>
  <c r="CH270" i="1" s="1"/>
  <c r="CI270" i="1"/>
  <c r="CJ270" i="1"/>
  <c r="CL270" i="1"/>
  <c r="CM270" i="1"/>
  <c r="CC271" i="1"/>
  <c r="CD271" i="1"/>
  <c r="CF271" i="1"/>
  <c r="CG271" i="1"/>
  <c r="CH271" i="1" s="1"/>
  <c r="CI271" i="1"/>
  <c r="CJ271" i="1"/>
  <c r="CL271" i="1"/>
  <c r="CM271" i="1"/>
  <c r="CC272" i="1"/>
  <c r="CD272" i="1"/>
  <c r="CF272" i="1"/>
  <c r="CG272" i="1"/>
  <c r="CI272" i="1"/>
  <c r="CJ272" i="1"/>
  <c r="CL272" i="1"/>
  <c r="CM272" i="1"/>
  <c r="CC273" i="1"/>
  <c r="CD273" i="1"/>
  <c r="CF273" i="1"/>
  <c r="CG273" i="1"/>
  <c r="CI273" i="1"/>
  <c r="CJ273" i="1"/>
  <c r="CL273" i="1"/>
  <c r="CM273" i="1"/>
  <c r="CC274" i="1"/>
  <c r="CD274" i="1"/>
  <c r="CF274" i="1"/>
  <c r="CG274" i="1"/>
  <c r="CI274" i="1"/>
  <c r="CJ274" i="1"/>
  <c r="CL274" i="1"/>
  <c r="CM274" i="1"/>
  <c r="CC275" i="1"/>
  <c r="CD275" i="1"/>
  <c r="CF275" i="1"/>
  <c r="CG275" i="1"/>
  <c r="CI275" i="1"/>
  <c r="CJ275" i="1"/>
  <c r="CL275" i="1"/>
  <c r="CM275" i="1"/>
  <c r="CC276" i="1"/>
  <c r="CD276" i="1"/>
  <c r="CF276" i="1"/>
  <c r="CG276" i="1"/>
  <c r="CI276" i="1"/>
  <c r="CJ276" i="1"/>
  <c r="CL276" i="1"/>
  <c r="CM276" i="1"/>
  <c r="CC277" i="1"/>
  <c r="CD277" i="1"/>
  <c r="CF277" i="1"/>
  <c r="CG277" i="1"/>
  <c r="CI277" i="1"/>
  <c r="CJ277" i="1"/>
  <c r="CL277" i="1"/>
  <c r="CM277" i="1"/>
  <c r="CC278" i="1"/>
  <c r="CD278" i="1"/>
  <c r="CF278" i="1"/>
  <c r="CG278" i="1"/>
  <c r="CI278" i="1"/>
  <c r="CJ278" i="1"/>
  <c r="CL278" i="1"/>
  <c r="CM278" i="1"/>
  <c r="CC279" i="1"/>
  <c r="CD279" i="1"/>
  <c r="CF279" i="1"/>
  <c r="CG279" i="1"/>
  <c r="CI279" i="1"/>
  <c r="CJ279" i="1"/>
  <c r="CL279" i="1"/>
  <c r="CM279" i="1"/>
  <c r="CC280" i="1"/>
  <c r="CD280" i="1"/>
  <c r="CF280" i="1"/>
  <c r="CG280" i="1"/>
  <c r="CI280" i="1"/>
  <c r="CJ280" i="1"/>
  <c r="CL280" i="1"/>
  <c r="CM280" i="1"/>
  <c r="CC281" i="1"/>
  <c r="CD281" i="1"/>
  <c r="CF281" i="1"/>
  <c r="CG281" i="1"/>
  <c r="CI281" i="1"/>
  <c r="CJ281" i="1"/>
  <c r="CL281" i="1"/>
  <c r="CM281" i="1"/>
  <c r="CC282" i="1"/>
  <c r="CD282" i="1"/>
  <c r="CF282" i="1"/>
  <c r="CG282" i="1"/>
  <c r="CI282" i="1"/>
  <c r="CJ282" i="1"/>
  <c r="CL282" i="1"/>
  <c r="CM282" i="1"/>
  <c r="CC283" i="1"/>
  <c r="CD283" i="1"/>
  <c r="CF283" i="1"/>
  <c r="CG283" i="1"/>
  <c r="CI283" i="1"/>
  <c r="CJ283" i="1"/>
  <c r="CL283" i="1"/>
  <c r="CM283" i="1"/>
  <c r="CC284" i="1"/>
  <c r="CD284" i="1"/>
  <c r="CF284" i="1"/>
  <c r="CG284" i="1"/>
  <c r="CI284" i="1"/>
  <c r="CJ284" i="1"/>
  <c r="CL284" i="1"/>
  <c r="CM284" i="1"/>
  <c r="CC285" i="1"/>
  <c r="CD285" i="1"/>
  <c r="CE285" i="1" s="1"/>
  <c r="CF285" i="1"/>
  <c r="CG285" i="1"/>
  <c r="CI285" i="1"/>
  <c r="CJ285" i="1"/>
  <c r="CK285" i="1" s="1"/>
  <c r="CL285" i="1"/>
  <c r="CM285" i="1"/>
  <c r="CC286" i="1"/>
  <c r="CD286" i="1"/>
  <c r="CF286" i="1"/>
  <c r="CG286" i="1"/>
  <c r="CI286" i="1"/>
  <c r="CJ286" i="1"/>
  <c r="CK286" i="1" s="1"/>
  <c r="CL286" i="1"/>
  <c r="CM286" i="1"/>
  <c r="CC287" i="1"/>
  <c r="CD287" i="1"/>
  <c r="CF287" i="1"/>
  <c r="CG287" i="1"/>
  <c r="CI287" i="1"/>
  <c r="CJ287" i="1"/>
  <c r="CK287" i="1" s="1"/>
  <c r="CL287" i="1"/>
  <c r="CM287" i="1"/>
  <c r="CC288" i="1"/>
  <c r="CD288" i="1"/>
  <c r="CE288" i="1" s="1"/>
  <c r="CF288" i="1"/>
  <c r="CG288" i="1"/>
  <c r="CI288" i="1"/>
  <c r="CJ288" i="1"/>
  <c r="CL288" i="1"/>
  <c r="CM288" i="1"/>
  <c r="CC291" i="1"/>
  <c r="CD291" i="1"/>
  <c r="CE291" i="1" s="1"/>
  <c r="CF291" i="1"/>
  <c r="CG291" i="1"/>
  <c r="CI291" i="1"/>
  <c r="CJ291" i="1"/>
  <c r="CL291" i="1"/>
  <c r="CM291" i="1"/>
  <c r="CC292" i="1"/>
  <c r="CD292" i="1"/>
  <c r="CF292" i="1"/>
  <c r="CG292" i="1"/>
  <c r="CI292" i="1"/>
  <c r="CJ292" i="1"/>
  <c r="CL292" i="1"/>
  <c r="CM292" i="1"/>
  <c r="CC293" i="1"/>
  <c r="CD293" i="1"/>
  <c r="CE293" i="1" s="1"/>
  <c r="CF293" i="1"/>
  <c r="CG293" i="1"/>
  <c r="CI293" i="1"/>
  <c r="CJ293" i="1"/>
  <c r="CK293" i="1" s="1"/>
  <c r="CL293" i="1"/>
  <c r="CM293" i="1"/>
  <c r="CC294" i="1"/>
  <c r="CD294" i="1"/>
  <c r="CF294" i="1"/>
  <c r="CG294" i="1"/>
  <c r="CI294" i="1"/>
  <c r="CJ294" i="1"/>
  <c r="CK294" i="1" s="1"/>
  <c r="CL294" i="1"/>
  <c r="CM294" i="1"/>
  <c r="CC295" i="1"/>
  <c r="CD295" i="1"/>
  <c r="CF295" i="1"/>
  <c r="CH295" i="1" s="1"/>
  <c r="CG295" i="1"/>
  <c r="CI295" i="1"/>
  <c r="CJ295" i="1"/>
  <c r="CK295" i="1" s="1"/>
  <c r="CL295" i="1"/>
  <c r="CM295" i="1"/>
  <c r="CC296" i="1"/>
  <c r="CD296" i="1"/>
  <c r="CE296" i="1" s="1"/>
  <c r="CF296" i="1"/>
  <c r="CG296" i="1"/>
  <c r="CI296" i="1"/>
  <c r="CJ296" i="1"/>
  <c r="CL296" i="1"/>
  <c r="CM296" i="1"/>
  <c r="CC297" i="1"/>
  <c r="CD297" i="1"/>
  <c r="CF297" i="1"/>
  <c r="CH297" i="1" s="1"/>
  <c r="CG297" i="1"/>
  <c r="CI297" i="1"/>
  <c r="CJ297" i="1"/>
  <c r="CL297" i="1"/>
  <c r="CM297" i="1"/>
  <c r="CC298" i="1"/>
  <c r="CD298" i="1"/>
  <c r="CF298" i="1"/>
  <c r="CG298" i="1"/>
  <c r="CI298" i="1"/>
  <c r="CJ298" i="1"/>
  <c r="CL298" i="1"/>
  <c r="CM298" i="1"/>
  <c r="CC299" i="1"/>
  <c r="CD299" i="1"/>
  <c r="CE299" i="1" s="1"/>
  <c r="CF299" i="1"/>
  <c r="CG299" i="1"/>
  <c r="CI299" i="1"/>
  <c r="CJ299" i="1"/>
  <c r="CL299" i="1"/>
  <c r="CM299" i="1"/>
  <c r="CC300" i="1"/>
  <c r="CD300" i="1"/>
  <c r="CE300" i="1" s="1"/>
  <c r="CF300" i="1"/>
  <c r="CG300" i="1"/>
  <c r="CI300" i="1"/>
  <c r="CJ300" i="1"/>
  <c r="CL300" i="1"/>
  <c r="CM300" i="1"/>
  <c r="CC301" i="1"/>
  <c r="CD301" i="1"/>
  <c r="CF301" i="1"/>
  <c r="CG301" i="1"/>
  <c r="CI301" i="1"/>
  <c r="CJ301" i="1"/>
  <c r="CL301" i="1"/>
  <c r="CM301" i="1"/>
  <c r="CC302" i="1"/>
  <c r="CD302" i="1"/>
  <c r="CF302" i="1"/>
  <c r="CG302" i="1"/>
  <c r="CI302" i="1"/>
  <c r="CJ302" i="1"/>
  <c r="CL302" i="1"/>
  <c r="CM302" i="1"/>
  <c r="CC303" i="1"/>
  <c r="CD303" i="1"/>
  <c r="CF303" i="1"/>
  <c r="CG303" i="1"/>
  <c r="CI303" i="1"/>
  <c r="CJ303" i="1"/>
  <c r="CK303" i="1" s="1"/>
  <c r="CL303" i="1"/>
  <c r="CM303" i="1"/>
  <c r="CC304" i="1"/>
  <c r="CD304" i="1"/>
  <c r="CE304" i="1" s="1"/>
  <c r="CF304" i="1"/>
  <c r="CG304" i="1"/>
  <c r="CI304" i="1"/>
  <c r="CJ304" i="1"/>
  <c r="CL304" i="1"/>
  <c r="CM304" i="1"/>
  <c r="CC305" i="1"/>
  <c r="CD305" i="1"/>
  <c r="CF305" i="1"/>
  <c r="CH305" i="1" s="1"/>
  <c r="CG305" i="1"/>
  <c r="CI305" i="1"/>
  <c r="CJ305" i="1"/>
  <c r="CK305" i="1" s="1"/>
  <c r="CL305" i="1"/>
  <c r="CM305" i="1"/>
  <c r="CC306" i="1"/>
  <c r="CD306" i="1"/>
  <c r="CF306" i="1"/>
  <c r="CG306" i="1"/>
  <c r="CI306" i="1"/>
  <c r="CJ306" i="1"/>
  <c r="CK306" i="1" s="1"/>
  <c r="CL306" i="1"/>
  <c r="CM306" i="1"/>
  <c r="CC307" i="1"/>
  <c r="CD307" i="1"/>
  <c r="CF307" i="1"/>
  <c r="CH307" i="1" s="1"/>
  <c r="CG307" i="1"/>
  <c r="CI307" i="1"/>
  <c r="CJ307" i="1"/>
  <c r="CL307" i="1"/>
  <c r="CM307" i="1"/>
  <c r="CC308" i="1"/>
  <c r="CD308" i="1"/>
  <c r="CF308" i="1"/>
  <c r="CG308" i="1"/>
  <c r="CI308" i="1"/>
  <c r="CJ308" i="1"/>
  <c r="CL308" i="1"/>
  <c r="CM308" i="1"/>
  <c r="CC309" i="1"/>
  <c r="CD309" i="1"/>
  <c r="CF309" i="1"/>
  <c r="CG309" i="1"/>
  <c r="CI309" i="1"/>
  <c r="CJ309" i="1"/>
  <c r="CK309" i="1" s="1"/>
  <c r="CL309" i="1"/>
  <c r="CM309" i="1"/>
  <c r="CC310" i="1"/>
  <c r="CD310" i="1"/>
  <c r="CF310" i="1"/>
  <c r="CG310" i="1"/>
  <c r="CI310" i="1"/>
  <c r="CJ310" i="1"/>
  <c r="CL310" i="1"/>
  <c r="CM310" i="1"/>
  <c r="CC311" i="1"/>
  <c r="CD311" i="1"/>
  <c r="CE311" i="1" s="1"/>
  <c r="CF311" i="1"/>
  <c r="CG311" i="1"/>
  <c r="CI311" i="1"/>
  <c r="CJ311" i="1"/>
  <c r="CK311" i="1" s="1"/>
  <c r="CL311" i="1"/>
  <c r="CM311" i="1"/>
  <c r="CC312" i="1"/>
  <c r="CD312" i="1"/>
  <c r="CF312" i="1"/>
  <c r="CH312" i="1" s="1"/>
  <c r="CG312" i="1"/>
  <c r="CI312" i="1"/>
  <c r="CJ312" i="1"/>
  <c r="CK312" i="1" s="1"/>
  <c r="CL312" i="1"/>
  <c r="CM312" i="1"/>
  <c r="CC313" i="1"/>
  <c r="CD313" i="1"/>
  <c r="CF313" i="1"/>
  <c r="CG313" i="1"/>
  <c r="CI313" i="1"/>
  <c r="CJ313" i="1"/>
  <c r="CL313" i="1"/>
  <c r="CM313" i="1"/>
  <c r="CC314" i="1"/>
  <c r="CD314" i="1"/>
  <c r="CE314" i="1"/>
  <c r="CF314" i="1"/>
  <c r="CG314" i="1"/>
  <c r="CI314" i="1"/>
  <c r="CJ314" i="1"/>
  <c r="CK314" i="1" s="1"/>
  <c r="CL314" i="1"/>
  <c r="CM314" i="1"/>
  <c r="CC315" i="1"/>
  <c r="CD315" i="1"/>
  <c r="CE315" i="1" s="1"/>
  <c r="CF315" i="1"/>
  <c r="CG315" i="1"/>
  <c r="CI315" i="1"/>
  <c r="CJ315" i="1"/>
  <c r="CK315" i="1" s="1"/>
  <c r="CL315" i="1"/>
  <c r="CM315" i="1"/>
  <c r="CC316" i="1"/>
  <c r="CD316" i="1"/>
  <c r="CF316" i="1"/>
  <c r="CG316" i="1"/>
  <c r="CI316" i="1"/>
  <c r="CJ316" i="1"/>
  <c r="CL316" i="1"/>
  <c r="CM316" i="1"/>
  <c r="CC317" i="1"/>
  <c r="CD317" i="1"/>
  <c r="CF317" i="1"/>
  <c r="CG317" i="1"/>
  <c r="CI317" i="1"/>
  <c r="CJ317" i="1"/>
  <c r="CL317" i="1"/>
  <c r="CM317" i="1"/>
  <c r="CC318" i="1"/>
  <c r="CD318" i="1"/>
  <c r="CF318" i="1"/>
  <c r="CG318" i="1"/>
  <c r="CI318" i="1"/>
  <c r="CJ318" i="1"/>
  <c r="CL318" i="1"/>
  <c r="CM318" i="1"/>
  <c r="CC319" i="1"/>
  <c r="CD319" i="1"/>
  <c r="CF319" i="1"/>
  <c r="CG319" i="1"/>
  <c r="CI319" i="1"/>
  <c r="CJ319" i="1"/>
  <c r="CL319" i="1"/>
  <c r="CM319" i="1"/>
  <c r="CC320" i="1"/>
  <c r="CD320" i="1"/>
  <c r="CF320" i="1"/>
  <c r="CG320" i="1"/>
  <c r="CI320" i="1"/>
  <c r="CJ320" i="1"/>
  <c r="CL320" i="1"/>
  <c r="CM320" i="1"/>
  <c r="CC321" i="1"/>
  <c r="CD321" i="1"/>
  <c r="CF321" i="1"/>
  <c r="CG321" i="1"/>
  <c r="CI321" i="1"/>
  <c r="CJ321" i="1"/>
  <c r="CL321" i="1"/>
  <c r="CM321" i="1"/>
  <c r="CC322" i="1"/>
  <c r="CD322" i="1"/>
  <c r="CF322" i="1"/>
  <c r="CG322" i="1"/>
  <c r="CI322" i="1"/>
  <c r="CJ322" i="1"/>
  <c r="CL322" i="1"/>
  <c r="CM322" i="1"/>
  <c r="CC323" i="1"/>
  <c r="CD323" i="1"/>
  <c r="CF323" i="1"/>
  <c r="CG323" i="1"/>
  <c r="CI323" i="1"/>
  <c r="CJ323" i="1"/>
  <c r="CL323" i="1"/>
  <c r="CM323" i="1"/>
  <c r="CC324" i="1"/>
  <c r="CD324" i="1"/>
  <c r="CF324" i="1"/>
  <c r="CG324" i="1"/>
  <c r="CI324" i="1"/>
  <c r="CJ324" i="1"/>
  <c r="CK324" i="1" s="1"/>
  <c r="CL324" i="1"/>
  <c r="CM324" i="1"/>
  <c r="CC325" i="1"/>
  <c r="CD325" i="1"/>
  <c r="CE325" i="1" s="1"/>
  <c r="CF325" i="1"/>
  <c r="CG325" i="1"/>
  <c r="CI325" i="1"/>
  <c r="CJ325" i="1"/>
  <c r="CL325" i="1"/>
  <c r="CM325" i="1"/>
  <c r="CC326" i="1"/>
  <c r="CD326" i="1"/>
  <c r="CF326" i="1"/>
  <c r="CG326" i="1"/>
  <c r="CI326" i="1"/>
  <c r="CJ326" i="1"/>
  <c r="CL326" i="1"/>
  <c r="CM326" i="1"/>
  <c r="CC327" i="1"/>
  <c r="CD327" i="1"/>
  <c r="CF327" i="1"/>
  <c r="CG327" i="1"/>
  <c r="CI327" i="1"/>
  <c r="CJ327" i="1"/>
  <c r="CL327" i="1"/>
  <c r="CM327" i="1"/>
  <c r="CC328" i="1"/>
  <c r="CD328" i="1"/>
  <c r="CF328" i="1"/>
  <c r="CG328" i="1"/>
  <c r="CI328" i="1"/>
  <c r="CJ328" i="1"/>
  <c r="CL328" i="1"/>
  <c r="CM328" i="1"/>
  <c r="CC329" i="1"/>
  <c r="CD329" i="1"/>
  <c r="CF329" i="1"/>
  <c r="CG329" i="1"/>
  <c r="CI329" i="1"/>
  <c r="CJ329" i="1"/>
  <c r="CL329" i="1"/>
  <c r="CM329" i="1"/>
  <c r="CC330" i="1"/>
  <c r="CD330" i="1"/>
  <c r="CF330" i="1"/>
  <c r="CG330" i="1"/>
  <c r="CI330" i="1"/>
  <c r="CJ330" i="1"/>
  <c r="CL330" i="1"/>
  <c r="CM330" i="1"/>
  <c r="CC331" i="1"/>
  <c r="CD331" i="1"/>
  <c r="CF331" i="1"/>
  <c r="CG331" i="1"/>
  <c r="CI331" i="1"/>
  <c r="CJ331" i="1"/>
  <c r="CL331" i="1"/>
  <c r="CM331" i="1"/>
  <c r="CC332" i="1"/>
  <c r="CD332" i="1"/>
  <c r="CF332" i="1"/>
  <c r="CG332" i="1"/>
  <c r="CI332" i="1"/>
  <c r="CJ332" i="1"/>
  <c r="CL332" i="1"/>
  <c r="CM332" i="1"/>
  <c r="CC333" i="1"/>
  <c r="CD333" i="1"/>
  <c r="CE333" i="1" s="1"/>
  <c r="CF333" i="1"/>
  <c r="CG333" i="1"/>
  <c r="CI333" i="1"/>
  <c r="CJ333" i="1"/>
  <c r="CL333" i="1"/>
  <c r="CM333" i="1"/>
  <c r="CC334" i="1"/>
  <c r="CD334" i="1"/>
  <c r="CF334" i="1"/>
  <c r="CG334" i="1"/>
  <c r="CI334" i="1"/>
  <c r="CJ334" i="1"/>
  <c r="CL334" i="1"/>
  <c r="CM334" i="1"/>
  <c r="CC335" i="1"/>
  <c r="CD335" i="1"/>
  <c r="CF335" i="1"/>
  <c r="CG335" i="1"/>
  <c r="CI335" i="1"/>
  <c r="CJ335" i="1"/>
  <c r="CL335" i="1"/>
  <c r="CM335" i="1"/>
  <c r="CC336" i="1"/>
  <c r="CD336" i="1"/>
  <c r="CF336" i="1"/>
  <c r="CG336" i="1"/>
  <c r="CI336" i="1"/>
  <c r="CJ336" i="1"/>
  <c r="CL336" i="1"/>
  <c r="CM336" i="1"/>
  <c r="CC337" i="1"/>
  <c r="CD337" i="1"/>
  <c r="CF337" i="1"/>
  <c r="CG337" i="1"/>
  <c r="CI337" i="1"/>
  <c r="CJ337" i="1"/>
  <c r="CL337" i="1"/>
  <c r="CM337" i="1"/>
  <c r="CC338" i="1"/>
  <c r="CD338" i="1"/>
  <c r="CF338" i="1"/>
  <c r="CG338" i="1"/>
  <c r="CI338" i="1"/>
  <c r="CJ338" i="1"/>
  <c r="CL338" i="1"/>
  <c r="CM338" i="1"/>
  <c r="CC340" i="1"/>
  <c r="CD340" i="1"/>
  <c r="CF340" i="1"/>
  <c r="CG340" i="1"/>
  <c r="CH340" i="1"/>
  <c r="CI340" i="1"/>
  <c r="CJ340" i="1"/>
  <c r="CL340" i="1"/>
  <c r="CM340" i="1"/>
  <c r="CC341" i="1"/>
  <c r="CD341" i="1"/>
  <c r="CF341" i="1"/>
  <c r="CG341" i="1"/>
  <c r="CH341" i="1" s="1"/>
  <c r="CI341" i="1"/>
  <c r="CK341" i="1" s="1"/>
  <c r="CJ341" i="1"/>
  <c r="CL341" i="1"/>
  <c r="CM341" i="1"/>
  <c r="CC342" i="1"/>
  <c r="CE342" i="1" s="1"/>
  <c r="CD342" i="1"/>
  <c r="CF342" i="1"/>
  <c r="CG342" i="1"/>
  <c r="CH342" i="1" s="1"/>
  <c r="CI342" i="1"/>
  <c r="CJ342" i="1"/>
  <c r="CL342" i="1"/>
  <c r="CM342" i="1"/>
  <c r="CC343" i="1"/>
  <c r="CD343" i="1"/>
  <c r="CF343" i="1"/>
  <c r="CG343" i="1"/>
  <c r="CH343" i="1" s="1"/>
  <c r="CI343" i="1"/>
  <c r="CJ343" i="1"/>
  <c r="CL343" i="1"/>
  <c r="CM343" i="1"/>
  <c r="CC344" i="1"/>
  <c r="CD344" i="1"/>
  <c r="CF344" i="1"/>
  <c r="CG344" i="1"/>
  <c r="CI344" i="1"/>
  <c r="CJ344" i="1"/>
  <c r="CL344" i="1"/>
  <c r="CM344" i="1"/>
  <c r="CC345" i="1"/>
  <c r="CE345" i="1" s="1"/>
  <c r="CD345" i="1"/>
  <c r="CF345" i="1"/>
  <c r="CG345" i="1"/>
  <c r="CH345" i="1" s="1"/>
  <c r="CI345" i="1"/>
  <c r="CK345" i="1" s="1"/>
  <c r="CJ345" i="1"/>
  <c r="CL345" i="1"/>
  <c r="CM345" i="1"/>
  <c r="CC346" i="1"/>
  <c r="CE346" i="1" s="1"/>
  <c r="CD346" i="1"/>
  <c r="CF346" i="1"/>
  <c r="CG346" i="1"/>
  <c r="CI346" i="1"/>
  <c r="CJ346" i="1"/>
  <c r="CL346" i="1"/>
  <c r="CM346" i="1"/>
  <c r="CC347" i="1"/>
  <c r="CD347" i="1"/>
  <c r="CF347" i="1"/>
  <c r="CG347" i="1"/>
  <c r="CI347" i="1"/>
  <c r="CJ347" i="1"/>
  <c r="CL347" i="1"/>
  <c r="CM347" i="1"/>
  <c r="CC348" i="1"/>
  <c r="CD348" i="1"/>
  <c r="CF348" i="1"/>
  <c r="CG348" i="1"/>
  <c r="CI348" i="1"/>
  <c r="CJ348" i="1"/>
  <c r="CL348" i="1"/>
  <c r="CM348" i="1"/>
  <c r="CC349" i="1"/>
  <c r="CD349" i="1"/>
  <c r="CF349" i="1"/>
  <c r="CG349" i="1"/>
  <c r="CI349" i="1"/>
  <c r="CJ349" i="1"/>
  <c r="CL349" i="1"/>
  <c r="CM349" i="1"/>
  <c r="CC350" i="1"/>
  <c r="CD350" i="1"/>
  <c r="CF350" i="1"/>
  <c r="CG350" i="1"/>
  <c r="CI350" i="1"/>
  <c r="CJ350" i="1"/>
  <c r="CL350" i="1"/>
  <c r="CM350" i="1"/>
  <c r="CC351" i="1"/>
  <c r="CD351" i="1"/>
  <c r="CF351" i="1"/>
  <c r="CG351" i="1"/>
  <c r="CI351" i="1"/>
  <c r="CJ351" i="1"/>
  <c r="CL351" i="1"/>
  <c r="CM351" i="1"/>
  <c r="CC352" i="1"/>
  <c r="CD352" i="1"/>
  <c r="CF352" i="1"/>
  <c r="CG352" i="1"/>
  <c r="CI352" i="1"/>
  <c r="CJ352" i="1"/>
  <c r="CL352" i="1"/>
  <c r="CM352" i="1"/>
  <c r="CC353" i="1"/>
  <c r="CD353" i="1"/>
  <c r="CF353" i="1"/>
  <c r="CG353" i="1"/>
  <c r="CI353" i="1"/>
  <c r="CJ353" i="1"/>
  <c r="CL353" i="1"/>
  <c r="CM353" i="1"/>
  <c r="CC354" i="1"/>
  <c r="CD354" i="1"/>
  <c r="CF354" i="1"/>
  <c r="CG354" i="1"/>
  <c r="CI354" i="1"/>
  <c r="CJ354" i="1"/>
  <c r="CL354" i="1"/>
  <c r="CM354" i="1"/>
  <c r="CC355" i="1"/>
  <c r="CD355" i="1"/>
  <c r="CF355" i="1"/>
  <c r="CG355" i="1"/>
  <c r="CI355" i="1"/>
  <c r="CJ355" i="1"/>
  <c r="CL355" i="1"/>
  <c r="CM355" i="1"/>
  <c r="CC356" i="1"/>
  <c r="CD356" i="1"/>
  <c r="CF356" i="1"/>
  <c r="CG356" i="1"/>
  <c r="CI356" i="1"/>
  <c r="CJ356" i="1"/>
  <c r="CL356" i="1"/>
  <c r="CM356" i="1"/>
  <c r="CC357" i="1"/>
  <c r="CD357" i="1"/>
  <c r="CF357" i="1"/>
  <c r="CG357" i="1"/>
  <c r="CI357" i="1"/>
  <c r="CJ357" i="1"/>
  <c r="CL357" i="1"/>
  <c r="CM357" i="1"/>
  <c r="CC358" i="1"/>
  <c r="CD358" i="1"/>
  <c r="CF358" i="1"/>
  <c r="CG358" i="1"/>
  <c r="CI358" i="1"/>
  <c r="CJ358" i="1"/>
  <c r="CL358" i="1"/>
  <c r="CM358" i="1"/>
  <c r="CC359" i="1"/>
  <c r="CD359" i="1"/>
  <c r="CF359" i="1"/>
  <c r="CG359" i="1"/>
  <c r="CI359" i="1"/>
  <c r="CJ359" i="1"/>
  <c r="CL359" i="1"/>
  <c r="CM359" i="1"/>
  <c r="CC360" i="1"/>
  <c r="CD360" i="1"/>
  <c r="CF360" i="1"/>
  <c r="CG360" i="1"/>
  <c r="CI360" i="1"/>
  <c r="CJ360" i="1"/>
  <c r="CL360" i="1"/>
  <c r="CM360" i="1"/>
  <c r="CC361" i="1"/>
  <c r="CE361" i="1" s="1"/>
  <c r="CD361" i="1"/>
  <c r="CF361" i="1"/>
  <c r="CG361" i="1"/>
  <c r="CI361" i="1"/>
  <c r="CJ361" i="1"/>
  <c r="CL361" i="1"/>
  <c r="CM361" i="1"/>
  <c r="CC362" i="1"/>
  <c r="CD362" i="1"/>
  <c r="CF362" i="1"/>
  <c r="CG362" i="1"/>
  <c r="CI362" i="1"/>
  <c r="CJ362" i="1"/>
  <c r="CL362" i="1"/>
  <c r="CM362" i="1"/>
  <c r="CC363" i="1"/>
  <c r="CD363" i="1"/>
  <c r="CF363" i="1"/>
  <c r="CG363" i="1"/>
  <c r="CI363" i="1"/>
  <c r="CJ363" i="1"/>
  <c r="CK363" i="1" s="1"/>
  <c r="CL363" i="1"/>
  <c r="CM363" i="1"/>
  <c r="CC364" i="1"/>
  <c r="CD364" i="1"/>
  <c r="CF364" i="1"/>
  <c r="CG364" i="1"/>
  <c r="CI364" i="1"/>
  <c r="CJ364" i="1"/>
  <c r="CL364" i="1"/>
  <c r="CM364" i="1"/>
  <c r="CC365" i="1"/>
  <c r="CD365" i="1"/>
  <c r="CF365" i="1"/>
  <c r="CG365" i="1"/>
  <c r="CH365" i="1" s="1"/>
  <c r="CI365" i="1"/>
  <c r="CJ365" i="1"/>
  <c r="CL365" i="1"/>
  <c r="CM365" i="1"/>
  <c r="CC366" i="1"/>
  <c r="CD366" i="1"/>
  <c r="CF366" i="1"/>
  <c r="CG366" i="1"/>
  <c r="CI366" i="1"/>
  <c r="CJ366" i="1"/>
  <c r="CL366" i="1"/>
  <c r="CM366" i="1"/>
  <c r="CC367" i="1"/>
  <c r="CD367" i="1"/>
  <c r="CF367" i="1"/>
  <c r="CG367" i="1"/>
  <c r="CI367" i="1"/>
  <c r="CJ367" i="1"/>
  <c r="CL367" i="1"/>
  <c r="CM367" i="1"/>
  <c r="CC368" i="1"/>
  <c r="CD368" i="1"/>
  <c r="CF368" i="1"/>
  <c r="CG368" i="1"/>
  <c r="CI368" i="1"/>
  <c r="CJ368" i="1"/>
  <c r="CL368" i="1"/>
  <c r="CM368" i="1"/>
  <c r="CC369" i="1"/>
  <c r="CD369" i="1"/>
  <c r="CE369" i="1" s="1"/>
  <c r="CF369" i="1"/>
  <c r="CG369" i="1"/>
  <c r="CI369" i="1"/>
  <c r="CJ369" i="1"/>
  <c r="CL369" i="1"/>
  <c r="CM369" i="1"/>
  <c r="CC370" i="1"/>
  <c r="CD370" i="1"/>
  <c r="CF370" i="1"/>
  <c r="CG370" i="1"/>
  <c r="CI370" i="1"/>
  <c r="CJ370" i="1"/>
  <c r="CL370" i="1"/>
  <c r="CM370" i="1"/>
  <c r="CC371" i="1"/>
  <c r="CD371" i="1"/>
  <c r="CF371" i="1"/>
  <c r="CG371" i="1"/>
  <c r="CI371" i="1"/>
  <c r="CJ371" i="1"/>
  <c r="CL371" i="1"/>
  <c r="CM371" i="1"/>
  <c r="CC372" i="1"/>
  <c r="CD372" i="1"/>
  <c r="CF372" i="1"/>
  <c r="CG372" i="1"/>
  <c r="CI372" i="1"/>
  <c r="CJ372" i="1"/>
  <c r="CL372" i="1"/>
  <c r="CM372" i="1"/>
  <c r="CC373" i="1"/>
  <c r="CD373" i="1"/>
  <c r="CF373" i="1"/>
  <c r="CG373" i="1"/>
  <c r="CI373" i="1"/>
  <c r="CJ373" i="1"/>
  <c r="CL373" i="1"/>
  <c r="CM373" i="1"/>
  <c r="CC374" i="1"/>
  <c r="CD374" i="1"/>
  <c r="CF374" i="1"/>
  <c r="CG374" i="1"/>
  <c r="CI374" i="1"/>
  <c r="CJ374" i="1"/>
  <c r="CL374" i="1"/>
  <c r="CM374" i="1"/>
  <c r="CC375" i="1"/>
  <c r="CD375" i="1"/>
  <c r="CF375" i="1"/>
  <c r="CG375" i="1"/>
  <c r="CI375" i="1"/>
  <c r="CJ375" i="1"/>
  <c r="CK375" i="1" s="1"/>
  <c r="CL375" i="1"/>
  <c r="CM375" i="1"/>
  <c r="CC376" i="1"/>
  <c r="CD376" i="1"/>
  <c r="CF376" i="1"/>
  <c r="CG376" i="1"/>
  <c r="CH376" i="1" s="1"/>
  <c r="CI376" i="1"/>
  <c r="CJ376" i="1"/>
  <c r="CL376" i="1"/>
  <c r="CM376" i="1"/>
  <c r="CC377" i="1"/>
  <c r="CD377" i="1"/>
  <c r="CE377" i="1" s="1"/>
  <c r="CF377" i="1"/>
  <c r="CG377" i="1"/>
  <c r="CI377" i="1"/>
  <c r="CJ377" i="1"/>
  <c r="CL377" i="1"/>
  <c r="CM377" i="1"/>
  <c r="CC378" i="1"/>
  <c r="CD378" i="1"/>
  <c r="CF378" i="1"/>
  <c r="CG378" i="1"/>
  <c r="CI378" i="1"/>
  <c r="CJ378" i="1"/>
  <c r="CL378" i="1"/>
  <c r="CM378" i="1"/>
  <c r="CC379" i="1"/>
  <c r="CD379" i="1"/>
  <c r="CF379" i="1"/>
  <c r="CG379" i="1"/>
  <c r="CI379" i="1"/>
  <c r="CJ379" i="1"/>
  <c r="CL379" i="1"/>
  <c r="CM379" i="1"/>
  <c r="CC380" i="1"/>
  <c r="CD380" i="1"/>
  <c r="CF380" i="1"/>
  <c r="CG380" i="1"/>
  <c r="CI380" i="1"/>
  <c r="CJ380" i="1"/>
  <c r="CK380" i="1" s="1"/>
  <c r="CL380" i="1"/>
  <c r="CM380" i="1"/>
  <c r="CC381" i="1"/>
  <c r="CD381" i="1"/>
  <c r="CF381" i="1"/>
  <c r="CG381" i="1"/>
  <c r="CI381" i="1"/>
  <c r="CJ381" i="1"/>
  <c r="CL381" i="1"/>
  <c r="CM381" i="1"/>
  <c r="CC382" i="1"/>
  <c r="CD382" i="1"/>
  <c r="CF382" i="1"/>
  <c r="CG382" i="1"/>
  <c r="CI382" i="1"/>
  <c r="CJ382" i="1"/>
  <c r="CL382" i="1"/>
  <c r="CM382" i="1"/>
  <c r="CC383" i="1"/>
  <c r="CD383" i="1"/>
  <c r="CF383" i="1"/>
  <c r="CG383" i="1"/>
  <c r="CI383" i="1"/>
  <c r="CJ383" i="1"/>
  <c r="CL383" i="1"/>
  <c r="CM383" i="1"/>
  <c r="CC384" i="1"/>
  <c r="CD384" i="1"/>
  <c r="CF384" i="1"/>
  <c r="CG384" i="1"/>
  <c r="CH384" i="1" s="1"/>
  <c r="CI384" i="1"/>
  <c r="CJ384" i="1"/>
  <c r="CK384" i="1" s="1"/>
  <c r="CL384" i="1"/>
  <c r="CM384" i="1"/>
  <c r="CC385" i="1"/>
  <c r="CD385" i="1"/>
  <c r="CE385" i="1" s="1"/>
  <c r="CF385" i="1"/>
  <c r="CG385" i="1"/>
  <c r="CI385" i="1"/>
  <c r="CJ385" i="1"/>
  <c r="CL385" i="1"/>
  <c r="CM385" i="1"/>
  <c r="CC386" i="1"/>
  <c r="CD386" i="1"/>
  <c r="CF386" i="1"/>
  <c r="CG386" i="1"/>
  <c r="CI386" i="1"/>
  <c r="CJ386" i="1"/>
  <c r="CL386" i="1"/>
  <c r="CM386" i="1"/>
  <c r="CC387" i="1"/>
  <c r="CD387" i="1"/>
  <c r="CF387" i="1"/>
  <c r="CG387" i="1"/>
  <c r="CI387" i="1"/>
  <c r="CJ387" i="1"/>
  <c r="CL387" i="1"/>
  <c r="CM387" i="1"/>
  <c r="CC388" i="1"/>
  <c r="CD388" i="1"/>
  <c r="CF388" i="1"/>
  <c r="CG388" i="1"/>
  <c r="CH388" i="1" s="1"/>
  <c r="CI388" i="1"/>
  <c r="CJ388" i="1"/>
  <c r="CL388" i="1"/>
  <c r="CM388" i="1"/>
  <c r="CC389" i="1"/>
  <c r="CD389" i="1"/>
  <c r="CE389" i="1" s="1"/>
  <c r="CF389" i="1"/>
  <c r="CG389" i="1"/>
  <c r="CI389" i="1"/>
  <c r="CJ389" i="1"/>
  <c r="CL389" i="1"/>
  <c r="CM389" i="1"/>
  <c r="CC390" i="1"/>
  <c r="CD390" i="1"/>
  <c r="CF390" i="1"/>
  <c r="CG390" i="1"/>
  <c r="CI390" i="1"/>
  <c r="CJ390" i="1"/>
  <c r="CL390" i="1"/>
  <c r="CM390" i="1"/>
  <c r="CC391" i="1"/>
  <c r="CD391" i="1"/>
  <c r="CF391" i="1"/>
  <c r="CG391" i="1"/>
  <c r="CI391" i="1"/>
  <c r="CJ391" i="1"/>
  <c r="CL391" i="1"/>
  <c r="CM391" i="1"/>
  <c r="CC392" i="1"/>
  <c r="CD392" i="1"/>
  <c r="CF392" i="1"/>
  <c r="CG392" i="1"/>
  <c r="CI392" i="1"/>
  <c r="CJ392" i="1"/>
  <c r="CL392" i="1"/>
  <c r="CM392" i="1"/>
  <c r="CC393" i="1"/>
  <c r="CD393" i="1"/>
  <c r="CF393" i="1"/>
  <c r="CG393" i="1"/>
  <c r="CI393" i="1"/>
  <c r="CJ393" i="1"/>
  <c r="CL393" i="1"/>
  <c r="CM393" i="1"/>
  <c r="CC394" i="1"/>
  <c r="CD394" i="1"/>
  <c r="CF394" i="1"/>
  <c r="CG394" i="1"/>
  <c r="CI394" i="1"/>
  <c r="CJ394" i="1"/>
  <c r="CL394" i="1"/>
  <c r="CM394" i="1"/>
  <c r="CC395" i="1"/>
  <c r="CD395" i="1"/>
  <c r="CF395" i="1"/>
  <c r="CG395" i="1"/>
  <c r="CI395" i="1"/>
  <c r="CJ395" i="1"/>
  <c r="CL395" i="1"/>
  <c r="CM395" i="1"/>
  <c r="CC396" i="1"/>
  <c r="CD396" i="1"/>
  <c r="CF396" i="1"/>
  <c r="CG396" i="1"/>
  <c r="CI396" i="1"/>
  <c r="CJ396" i="1"/>
  <c r="CL396" i="1"/>
  <c r="CM396" i="1"/>
  <c r="CC397" i="1"/>
  <c r="CD397" i="1"/>
  <c r="CF397" i="1"/>
  <c r="CG397" i="1"/>
  <c r="CI397" i="1"/>
  <c r="CJ397" i="1"/>
  <c r="CL397" i="1"/>
  <c r="CM397" i="1"/>
  <c r="CC398" i="1"/>
  <c r="CD398" i="1"/>
  <c r="CF398" i="1"/>
  <c r="CG398" i="1"/>
  <c r="CI398" i="1"/>
  <c r="CJ398" i="1"/>
  <c r="CL398" i="1"/>
  <c r="CM398" i="1"/>
  <c r="CC399" i="1"/>
  <c r="CD399" i="1"/>
  <c r="CF399" i="1"/>
  <c r="CG399" i="1"/>
  <c r="CI399" i="1"/>
  <c r="CJ399" i="1"/>
  <c r="CL399" i="1"/>
  <c r="CM399" i="1"/>
  <c r="CC400" i="1"/>
  <c r="CD400" i="1"/>
  <c r="CF400" i="1"/>
  <c r="CG400" i="1"/>
  <c r="CI400" i="1"/>
  <c r="CJ400" i="1"/>
  <c r="CL400" i="1"/>
  <c r="CM400" i="1"/>
  <c r="CC401" i="1"/>
  <c r="CD401" i="1"/>
  <c r="CF401" i="1"/>
  <c r="CG401" i="1"/>
  <c r="CI401" i="1"/>
  <c r="CJ401" i="1"/>
  <c r="CL401" i="1"/>
  <c r="CM401" i="1"/>
  <c r="CC402" i="1"/>
  <c r="CD402" i="1"/>
  <c r="CF402" i="1"/>
  <c r="CG402" i="1"/>
  <c r="CI402" i="1"/>
  <c r="CJ402" i="1"/>
  <c r="CL402" i="1"/>
  <c r="CM402" i="1"/>
  <c r="CC403" i="1"/>
  <c r="CD403" i="1"/>
  <c r="CF403" i="1"/>
  <c r="CG403" i="1"/>
  <c r="CI403" i="1"/>
  <c r="CJ403" i="1"/>
  <c r="CK403" i="1" s="1"/>
  <c r="CL403" i="1"/>
  <c r="CM403" i="1"/>
  <c r="CM9" i="1"/>
  <c r="CL9" i="1"/>
  <c r="CJ9" i="1"/>
  <c r="CI9" i="1"/>
  <c r="CG9" i="1"/>
  <c r="CF9" i="1"/>
  <c r="CD9" i="1"/>
  <c r="CC9" i="1"/>
  <c r="BT10" i="1"/>
  <c r="BU10" i="1"/>
  <c r="BW10" i="1"/>
  <c r="BX10" i="1"/>
  <c r="BZ10" i="1"/>
  <c r="CA10" i="1"/>
  <c r="BT11" i="1"/>
  <c r="BU11" i="1"/>
  <c r="BW11" i="1"/>
  <c r="BX11" i="1"/>
  <c r="BZ11" i="1"/>
  <c r="CA11" i="1"/>
  <c r="BT12" i="1"/>
  <c r="BU12" i="1"/>
  <c r="BW12" i="1"/>
  <c r="BX12" i="1"/>
  <c r="BZ12" i="1"/>
  <c r="CA12" i="1"/>
  <c r="BT13" i="1"/>
  <c r="BU13" i="1"/>
  <c r="BW13" i="1"/>
  <c r="BX13" i="1"/>
  <c r="BZ13" i="1"/>
  <c r="CA13" i="1"/>
  <c r="BT14" i="1"/>
  <c r="BU14" i="1"/>
  <c r="BW14" i="1"/>
  <c r="BX14" i="1"/>
  <c r="BZ14" i="1"/>
  <c r="CA14" i="1"/>
  <c r="BT18" i="1"/>
  <c r="BU18" i="1"/>
  <c r="BW18" i="1"/>
  <c r="BX18" i="1"/>
  <c r="BZ18" i="1"/>
  <c r="CA18" i="1"/>
  <c r="BT19" i="1"/>
  <c r="BU19" i="1"/>
  <c r="BW19" i="1"/>
  <c r="BX19" i="1"/>
  <c r="BZ19" i="1"/>
  <c r="CA19" i="1"/>
  <c r="BT20" i="1"/>
  <c r="BU20" i="1"/>
  <c r="BW20" i="1"/>
  <c r="BX20" i="1"/>
  <c r="BZ20" i="1"/>
  <c r="CA20" i="1"/>
  <c r="BT21" i="1"/>
  <c r="BU21" i="1"/>
  <c r="BW21" i="1"/>
  <c r="BX21" i="1"/>
  <c r="BZ21" i="1"/>
  <c r="CA21" i="1"/>
  <c r="BT22" i="1"/>
  <c r="BU22" i="1"/>
  <c r="BW22" i="1"/>
  <c r="BX22" i="1"/>
  <c r="BZ22" i="1"/>
  <c r="CA22" i="1"/>
  <c r="BT23" i="1"/>
  <c r="BU23" i="1"/>
  <c r="BW23" i="1"/>
  <c r="BX23" i="1"/>
  <c r="BZ23" i="1"/>
  <c r="CA23" i="1"/>
  <c r="BT24" i="1"/>
  <c r="BU24" i="1"/>
  <c r="BW24" i="1"/>
  <c r="BX24" i="1"/>
  <c r="BZ24" i="1"/>
  <c r="CA24" i="1"/>
  <c r="BT25" i="1"/>
  <c r="BU25" i="1"/>
  <c r="BW25" i="1"/>
  <c r="BX25" i="1"/>
  <c r="BZ25" i="1"/>
  <c r="CA25" i="1"/>
  <c r="BT26" i="1"/>
  <c r="BU26" i="1"/>
  <c r="BW26" i="1"/>
  <c r="BX26" i="1"/>
  <c r="BZ26" i="1"/>
  <c r="CA26" i="1"/>
  <c r="BT27" i="1"/>
  <c r="BU27" i="1"/>
  <c r="BW27" i="1"/>
  <c r="BX27" i="1"/>
  <c r="BZ27" i="1"/>
  <c r="CA27" i="1"/>
  <c r="BT28" i="1"/>
  <c r="BU28" i="1"/>
  <c r="BW28" i="1"/>
  <c r="BX28" i="1"/>
  <c r="BZ28" i="1"/>
  <c r="CA28" i="1"/>
  <c r="BT29" i="1"/>
  <c r="BU29" i="1"/>
  <c r="BW29" i="1"/>
  <c r="BX29" i="1"/>
  <c r="BZ29" i="1"/>
  <c r="CA29" i="1"/>
  <c r="BT30" i="1"/>
  <c r="BU30" i="1"/>
  <c r="BW30" i="1"/>
  <c r="BX30" i="1"/>
  <c r="BZ30" i="1"/>
  <c r="CA30" i="1"/>
  <c r="BT31" i="1"/>
  <c r="BU31" i="1"/>
  <c r="BW31" i="1"/>
  <c r="BX31" i="1"/>
  <c r="BZ31" i="1"/>
  <c r="CA31" i="1"/>
  <c r="BT32" i="1"/>
  <c r="BU32" i="1"/>
  <c r="BW32" i="1"/>
  <c r="BX32" i="1"/>
  <c r="BZ32" i="1"/>
  <c r="CA32" i="1"/>
  <c r="BT35" i="1"/>
  <c r="BU35" i="1"/>
  <c r="BW35" i="1"/>
  <c r="BX35" i="1"/>
  <c r="BZ35" i="1"/>
  <c r="CA35" i="1"/>
  <c r="BT36" i="1"/>
  <c r="BU36" i="1"/>
  <c r="BW36" i="1"/>
  <c r="BX36" i="1"/>
  <c r="BZ36" i="1"/>
  <c r="CA36" i="1"/>
  <c r="BT37" i="1"/>
  <c r="BU37" i="1"/>
  <c r="BW37" i="1"/>
  <c r="BX37" i="1"/>
  <c r="BZ37" i="1"/>
  <c r="CA37" i="1"/>
  <c r="BT39" i="1"/>
  <c r="BU39" i="1"/>
  <c r="BW39" i="1"/>
  <c r="BX39" i="1"/>
  <c r="BZ39" i="1"/>
  <c r="CA39" i="1"/>
  <c r="BT40" i="1"/>
  <c r="BU40" i="1"/>
  <c r="BW40" i="1"/>
  <c r="BX40" i="1"/>
  <c r="BZ40" i="1"/>
  <c r="CA40" i="1"/>
  <c r="BT41" i="1"/>
  <c r="BU41" i="1"/>
  <c r="BW41" i="1"/>
  <c r="BX41" i="1"/>
  <c r="BZ41" i="1"/>
  <c r="CA41" i="1"/>
  <c r="BT42" i="1"/>
  <c r="BU42" i="1"/>
  <c r="BW42" i="1"/>
  <c r="BX42" i="1"/>
  <c r="BZ42" i="1"/>
  <c r="CA42" i="1"/>
  <c r="BT43" i="1"/>
  <c r="BU43" i="1"/>
  <c r="BW43" i="1"/>
  <c r="BX43" i="1"/>
  <c r="BZ43" i="1"/>
  <c r="CA43" i="1"/>
  <c r="BT44" i="1"/>
  <c r="BU44" i="1"/>
  <c r="BW44" i="1"/>
  <c r="BX44" i="1"/>
  <c r="BZ44" i="1"/>
  <c r="CA44" i="1"/>
  <c r="BT45" i="1"/>
  <c r="BU45" i="1"/>
  <c r="BW45" i="1"/>
  <c r="BX45" i="1"/>
  <c r="BZ45" i="1"/>
  <c r="CA45" i="1"/>
  <c r="BT46" i="1"/>
  <c r="BU46" i="1"/>
  <c r="BW46" i="1"/>
  <c r="BX46" i="1"/>
  <c r="BZ46" i="1"/>
  <c r="CA46" i="1"/>
  <c r="BT47" i="1"/>
  <c r="BU47" i="1"/>
  <c r="BW47" i="1"/>
  <c r="BX47" i="1"/>
  <c r="BZ47" i="1"/>
  <c r="CA47" i="1"/>
  <c r="BT48" i="1"/>
  <c r="BU48" i="1"/>
  <c r="BW48" i="1"/>
  <c r="BX48" i="1"/>
  <c r="BZ48" i="1"/>
  <c r="CA48" i="1"/>
  <c r="BT49" i="1"/>
  <c r="BU49" i="1"/>
  <c r="BW49" i="1"/>
  <c r="BX49" i="1"/>
  <c r="BZ49" i="1"/>
  <c r="CA49" i="1"/>
  <c r="BT50" i="1"/>
  <c r="BU50" i="1"/>
  <c r="BW50" i="1"/>
  <c r="BX50" i="1"/>
  <c r="BZ50" i="1"/>
  <c r="CA50" i="1"/>
  <c r="BT51" i="1"/>
  <c r="BU51" i="1"/>
  <c r="BW51" i="1"/>
  <c r="BX51" i="1"/>
  <c r="BZ51" i="1"/>
  <c r="CA51" i="1"/>
  <c r="BT52" i="1"/>
  <c r="BU52" i="1"/>
  <c r="BW52" i="1"/>
  <c r="BX52" i="1"/>
  <c r="BZ52" i="1"/>
  <c r="CA52" i="1"/>
  <c r="BT53" i="1"/>
  <c r="BU53" i="1"/>
  <c r="BW53" i="1"/>
  <c r="BX53" i="1"/>
  <c r="BZ53" i="1"/>
  <c r="CA53" i="1"/>
  <c r="BT54" i="1"/>
  <c r="BU54" i="1"/>
  <c r="BW54" i="1"/>
  <c r="BX54" i="1"/>
  <c r="BZ54" i="1"/>
  <c r="CA54" i="1"/>
  <c r="BT55" i="1"/>
  <c r="BU55" i="1"/>
  <c r="BW55" i="1"/>
  <c r="BX55" i="1"/>
  <c r="BZ55" i="1"/>
  <c r="CA55" i="1"/>
  <c r="BT56" i="1"/>
  <c r="BU56" i="1"/>
  <c r="BW56" i="1"/>
  <c r="BX56" i="1"/>
  <c r="BY56" i="1" s="1"/>
  <c r="BZ56" i="1"/>
  <c r="CA56" i="1"/>
  <c r="BT57" i="1"/>
  <c r="BU57" i="1"/>
  <c r="BW57" i="1"/>
  <c r="BX57" i="1"/>
  <c r="BZ57" i="1"/>
  <c r="CA57" i="1"/>
  <c r="BT58" i="1"/>
  <c r="BU58" i="1"/>
  <c r="BW58" i="1"/>
  <c r="BX58" i="1"/>
  <c r="BZ58" i="1"/>
  <c r="CA58" i="1"/>
  <c r="BT59" i="1"/>
  <c r="BU59" i="1"/>
  <c r="BV59" i="1" s="1"/>
  <c r="BW59" i="1"/>
  <c r="BX59" i="1"/>
  <c r="BZ59" i="1"/>
  <c r="CA59" i="1"/>
  <c r="CB59" i="1" s="1"/>
  <c r="BT60" i="1"/>
  <c r="BU60" i="1"/>
  <c r="BW60" i="1"/>
  <c r="BX60" i="1"/>
  <c r="BY60" i="1" s="1"/>
  <c r="BZ60" i="1"/>
  <c r="CA60" i="1"/>
  <c r="BT61" i="1"/>
  <c r="BU61" i="1"/>
  <c r="BW61" i="1"/>
  <c r="BX61" i="1"/>
  <c r="BZ61" i="1"/>
  <c r="CA61" i="1"/>
  <c r="BT62" i="1"/>
  <c r="BU62" i="1"/>
  <c r="BW62" i="1"/>
  <c r="BX62" i="1"/>
  <c r="BZ62" i="1"/>
  <c r="CA62" i="1"/>
  <c r="BT63" i="1"/>
  <c r="BU63" i="1"/>
  <c r="BW63" i="1"/>
  <c r="BX63" i="1"/>
  <c r="BZ63" i="1"/>
  <c r="CA63" i="1"/>
  <c r="BT64" i="1"/>
  <c r="BU64" i="1"/>
  <c r="BW64" i="1"/>
  <c r="BX64" i="1"/>
  <c r="BZ64" i="1"/>
  <c r="CA64" i="1"/>
  <c r="BT65" i="1"/>
  <c r="BU65" i="1"/>
  <c r="BW65" i="1"/>
  <c r="BX65" i="1"/>
  <c r="BZ65" i="1"/>
  <c r="CA65" i="1"/>
  <c r="CB65" i="1" s="1"/>
  <c r="BT66" i="1"/>
  <c r="BU66" i="1"/>
  <c r="BW66" i="1"/>
  <c r="BX66" i="1"/>
  <c r="BZ66" i="1"/>
  <c r="CA66" i="1"/>
  <c r="BT68" i="1"/>
  <c r="BU68" i="1"/>
  <c r="BW68" i="1"/>
  <c r="BX68" i="1"/>
  <c r="BZ68" i="1"/>
  <c r="CA68" i="1"/>
  <c r="BT69" i="1"/>
  <c r="BU69" i="1"/>
  <c r="BW69" i="1"/>
  <c r="BX69" i="1"/>
  <c r="BZ69" i="1"/>
  <c r="CA69" i="1"/>
  <c r="BT70" i="1"/>
  <c r="BU70" i="1"/>
  <c r="BW70" i="1"/>
  <c r="BX70" i="1"/>
  <c r="BZ70" i="1"/>
  <c r="CA70" i="1"/>
  <c r="BT71" i="1"/>
  <c r="BU71" i="1"/>
  <c r="BW71" i="1"/>
  <c r="BX71" i="1"/>
  <c r="BY71" i="1" s="1"/>
  <c r="BZ71" i="1"/>
  <c r="CA71" i="1"/>
  <c r="BT72" i="1"/>
  <c r="BU72" i="1"/>
  <c r="BV72" i="1" s="1"/>
  <c r="BW72" i="1"/>
  <c r="BX72" i="1"/>
  <c r="BZ72" i="1"/>
  <c r="CA72" i="1"/>
  <c r="CB72" i="1" s="1"/>
  <c r="BT73" i="1"/>
  <c r="BU73" i="1"/>
  <c r="BW73" i="1"/>
  <c r="BX73" i="1"/>
  <c r="BY73" i="1" s="1"/>
  <c r="BZ73" i="1"/>
  <c r="CA73" i="1"/>
  <c r="BT76" i="1"/>
  <c r="BU76" i="1"/>
  <c r="BW76" i="1"/>
  <c r="BX76" i="1"/>
  <c r="BZ76" i="1"/>
  <c r="CA76" i="1"/>
  <c r="BT78" i="1"/>
  <c r="BU78" i="1"/>
  <c r="BW78" i="1"/>
  <c r="BX78" i="1"/>
  <c r="BZ78" i="1"/>
  <c r="CA78" i="1"/>
  <c r="BT79" i="1"/>
  <c r="BU79" i="1"/>
  <c r="BW79" i="1"/>
  <c r="BX79" i="1"/>
  <c r="BZ79" i="1"/>
  <c r="CA79" i="1"/>
  <c r="BT81" i="1"/>
  <c r="BU81" i="1"/>
  <c r="BW81" i="1"/>
  <c r="BX81" i="1"/>
  <c r="BZ81" i="1"/>
  <c r="CA81" i="1"/>
  <c r="BT82" i="1"/>
  <c r="BU82" i="1"/>
  <c r="BW82" i="1"/>
  <c r="BX82" i="1"/>
  <c r="BZ82" i="1"/>
  <c r="CA82" i="1"/>
  <c r="BT83" i="1"/>
  <c r="BU83" i="1"/>
  <c r="BW83" i="1"/>
  <c r="BX83" i="1"/>
  <c r="BY83" i="1" s="1"/>
  <c r="BZ83" i="1"/>
  <c r="CA83" i="1"/>
  <c r="BT84" i="1"/>
  <c r="BU84" i="1"/>
  <c r="BW84" i="1"/>
  <c r="BX84" i="1"/>
  <c r="BZ84" i="1"/>
  <c r="CA84" i="1"/>
  <c r="BT85" i="1"/>
  <c r="BU85" i="1"/>
  <c r="BW85" i="1"/>
  <c r="BX85" i="1"/>
  <c r="BZ85" i="1"/>
  <c r="CA85" i="1"/>
  <c r="BT86" i="1"/>
  <c r="BU86" i="1"/>
  <c r="BW86" i="1"/>
  <c r="BX86" i="1"/>
  <c r="BZ86" i="1"/>
  <c r="CA86" i="1"/>
  <c r="BT87" i="1"/>
  <c r="BU87" i="1"/>
  <c r="BW87" i="1"/>
  <c r="BX87" i="1"/>
  <c r="BY87" i="1" s="1"/>
  <c r="BZ87" i="1"/>
  <c r="CA87" i="1"/>
  <c r="BT88" i="1"/>
  <c r="BU88" i="1"/>
  <c r="BV88" i="1" s="1"/>
  <c r="BW88" i="1"/>
  <c r="BX88" i="1"/>
  <c r="BZ88" i="1"/>
  <c r="CA88" i="1"/>
  <c r="BT89" i="1"/>
  <c r="BU89" i="1"/>
  <c r="BW89" i="1"/>
  <c r="BX89" i="1"/>
  <c r="BZ89" i="1"/>
  <c r="CA89" i="1"/>
  <c r="BT90" i="1"/>
  <c r="BU90" i="1"/>
  <c r="BV90" i="1" s="1"/>
  <c r="BW90" i="1"/>
  <c r="BX90" i="1"/>
  <c r="BZ90" i="1"/>
  <c r="CA90" i="1"/>
  <c r="CB90" i="1" s="1"/>
  <c r="BT93" i="1"/>
  <c r="BU93" i="1"/>
  <c r="BW93" i="1"/>
  <c r="BX93" i="1"/>
  <c r="BY93" i="1" s="1"/>
  <c r="BZ93" i="1"/>
  <c r="CA93" i="1"/>
  <c r="BT94" i="1"/>
  <c r="BU94" i="1"/>
  <c r="BW94" i="1"/>
  <c r="BX94" i="1"/>
  <c r="BZ94" i="1"/>
  <c r="CA94" i="1"/>
  <c r="BT96" i="1"/>
  <c r="BU96" i="1"/>
  <c r="BW96" i="1"/>
  <c r="BX96" i="1"/>
  <c r="BY96" i="1" s="1"/>
  <c r="BZ96" i="1"/>
  <c r="CA96" i="1"/>
  <c r="BT97" i="1"/>
  <c r="BU97" i="1"/>
  <c r="BW97" i="1"/>
  <c r="BX97" i="1"/>
  <c r="BZ97" i="1"/>
  <c r="CA97" i="1"/>
  <c r="BT98" i="1"/>
  <c r="BU98" i="1"/>
  <c r="BW98" i="1"/>
  <c r="BX98" i="1"/>
  <c r="BZ98" i="1"/>
  <c r="CA98" i="1"/>
  <c r="BT99" i="1"/>
  <c r="BU99" i="1"/>
  <c r="BV99" i="1" s="1"/>
  <c r="BW99" i="1"/>
  <c r="BX99" i="1"/>
  <c r="BZ99" i="1"/>
  <c r="CA99" i="1"/>
  <c r="BT100" i="1"/>
  <c r="BU100" i="1"/>
  <c r="BW100" i="1"/>
  <c r="BX100" i="1"/>
  <c r="BZ100" i="1"/>
  <c r="CA100" i="1"/>
  <c r="BT101" i="1"/>
  <c r="BU101" i="1"/>
  <c r="BW101" i="1"/>
  <c r="BX101" i="1"/>
  <c r="BZ101" i="1"/>
  <c r="CA101" i="1"/>
  <c r="CB101" i="1" s="1"/>
  <c r="BT102" i="1"/>
  <c r="BU102" i="1"/>
  <c r="BW102" i="1"/>
  <c r="BX102" i="1"/>
  <c r="BZ102" i="1"/>
  <c r="CA102" i="1"/>
  <c r="BT103" i="1"/>
  <c r="BU103" i="1"/>
  <c r="BV103" i="1" s="1"/>
  <c r="BW103" i="1"/>
  <c r="BX103" i="1"/>
  <c r="BZ103" i="1"/>
  <c r="CA103" i="1"/>
  <c r="BT104" i="1"/>
  <c r="BU104" i="1"/>
  <c r="BW104" i="1"/>
  <c r="BX104" i="1"/>
  <c r="BZ104" i="1"/>
  <c r="CA104" i="1"/>
  <c r="BT105" i="1"/>
  <c r="BU105" i="1"/>
  <c r="BW105" i="1"/>
  <c r="BX105" i="1"/>
  <c r="BZ105" i="1"/>
  <c r="CA105" i="1"/>
  <c r="BT107" i="1"/>
  <c r="BU107" i="1"/>
  <c r="BW107" i="1"/>
  <c r="BX107" i="1"/>
  <c r="BZ107" i="1"/>
  <c r="CA107" i="1"/>
  <c r="BT108" i="1"/>
  <c r="BU108" i="1"/>
  <c r="BW108" i="1"/>
  <c r="BX108" i="1"/>
  <c r="BZ108" i="1"/>
  <c r="CA108" i="1"/>
  <c r="BT110" i="1"/>
  <c r="BU110" i="1"/>
  <c r="BW110" i="1"/>
  <c r="BX110" i="1"/>
  <c r="BZ110" i="1"/>
  <c r="CA110" i="1"/>
  <c r="BT111" i="1"/>
  <c r="BU111" i="1"/>
  <c r="BW111" i="1"/>
  <c r="BX111" i="1"/>
  <c r="BZ111" i="1"/>
  <c r="CA111" i="1"/>
  <c r="BT112" i="1"/>
  <c r="BU112" i="1"/>
  <c r="BW112" i="1"/>
  <c r="BX112" i="1"/>
  <c r="BZ112" i="1"/>
  <c r="CA112" i="1"/>
  <c r="BT113" i="1"/>
  <c r="BU113" i="1"/>
  <c r="BW113" i="1"/>
  <c r="BX113" i="1"/>
  <c r="BZ113" i="1"/>
  <c r="CA113" i="1"/>
  <c r="BT114" i="1"/>
  <c r="BU114" i="1"/>
  <c r="BW114" i="1"/>
  <c r="BX114" i="1"/>
  <c r="BZ114" i="1"/>
  <c r="CA114" i="1"/>
  <c r="BT115" i="1"/>
  <c r="BU115" i="1"/>
  <c r="BW115" i="1"/>
  <c r="BX115" i="1"/>
  <c r="BZ115" i="1"/>
  <c r="CA115" i="1"/>
  <c r="BT116" i="1"/>
  <c r="BU116" i="1"/>
  <c r="BW116" i="1"/>
  <c r="BX116" i="1"/>
  <c r="BZ116" i="1"/>
  <c r="CA116" i="1"/>
  <c r="BT117" i="1"/>
  <c r="BU117" i="1"/>
  <c r="BW117" i="1"/>
  <c r="BX117" i="1"/>
  <c r="BZ117" i="1"/>
  <c r="CA117" i="1"/>
  <c r="BT118" i="1"/>
  <c r="BU118" i="1"/>
  <c r="BW118" i="1"/>
  <c r="BX118" i="1"/>
  <c r="BZ118" i="1"/>
  <c r="CA118" i="1"/>
  <c r="BT119" i="1"/>
  <c r="BU119" i="1"/>
  <c r="BV119" i="1" s="1"/>
  <c r="BW119" i="1"/>
  <c r="BX119" i="1"/>
  <c r="BY119" i="1" s="1"/>
  <c r="BZ119" i="1"/>
  <c r="CA119" i="1"/>
  <c r="BT120" i="1"/>
  <c r="BU120" i="1"/>
  <c r="BW120" i="1"/>
  <c r="BX120" i="1"/>
  <c r="BZ120" i="1"/>
  <c r="CA120" i="1"/>
  <c r="BT121" i="1"/>
  <c r="BU121" i="1"/>
  <c r="BW121" i="1"/>
  <c r="BX121" i="1"/>
  <c r="BZ121" i="1"/>
  <c r="CA121" i="1"/>
  <c r="BT122" i="1"/>
  <c r="BU122" i="1"/>
  <c r="BW122" i="1"/>
  <c r="BX122" i="1"/>
  <c r="BZ122" i="1"/>
  <c r="CA122" i="1"/>
  <c r="BT123" i="1"/>
  <c r="BU123" i="1"/>
  <c r="BW123" i="1"/>
  <c r="BX123" i="1"/>
  <c r="BZ123" i="1"/>
  <c r="CA123" i="1"/>
  <c r="BT124" i="1"/>
  <c r="BU124" i="1"/>
  <c r="BW124" i="1"/>
  <c r="BX124" i="1"/>
  <c r="BZ124" i="1"/>
  <c r="CA124" i="1"/>
  <c r="BT125" i="1"/>
  <c r="BU125" i="1"/>
  <c r="BW125" i="1"/>
  <c r="BX125" i="1"/>
  <c r="BZ125" i="1"/>
  <c r="CA125" i="1"/>
  <c r="BT126" i="1"/>
  <c r="BU126" i="1"/>
  <c r="BW126" i="1"/>
  <c r="BX126" i="1"/>
  <c r="BZ126" i="1"/>
  <c r="CA126" i="1"/>
  <c r="BT127" i="1"/>
  <c r="BU127" i="1"/>
  <c r="BW127" i="1"/>
  <c r="BX127" i="1"/>
  <c r="BZ127" i="1"/>
  <c r="CA127" i="1"/>
  <c r="BT128" i="1"/>
  <c r="BU128" i="1"/>
  <c r="BW128" i="1"/>
  <c r="BX128" i="1"/>
  <c r="BZ128" i="1"/>
  <c r="CA128" i="1"/>
  <c r="CB128" i="1" s="1"/>
  <c r="BT129" i="1"/>
  <c r="BU129" i="1"/>
  <c r="BW129" i="1"/>
  <c r="BX129" i="1"/>
  <c r="BY129" i="1" s="1"/>
  <c r="BZ129" i="1"/>
  <c r="CA129" i="1"/>
  <c r="BT130" i="1"/>
  <c r="BU130" i="1"/>
  <c r="BW130" i="1"/>
  <c r="BX130" i="1"/>
  <c r="BZ130" i="1"/>
  <c r="CA130" i="1"/>
  <c r="BT131" i="1"/>
  <c r="BU131" i="1"/>
  <c r="BW131" i="1"/>
  <c r="BX131" i="1"/>
  <c r="BZ131" i="1"/>
  <c r="CA131" i="1"/>
  <c r="BT132" i="1"/>
  <c r="BU132" i="1"/>
  <c r="BW132" i="1"/>
  <c r="BX132" i="1"/>
  <c r="BZ132" i="1"/>
  <c r="CA132" i="1"/>
  <c r="BT133" i="1"/>
  <c r="BU133" i="1"/>
  <c r="BW133" i="1"/>
  <c r="BX133" i="1"/>
  <c r="BZ133" i="1"/>
  <c r="CA133" i="1"/>
  <c r="BT136" i="1"/>
  <c r="BU136" i="1"/>
  <c r="BW136" i="1"/>
  <c r="BX136" i="1"/>
  <c r="BZ136" i="1"/>
  <c r="CA136" i="1"/>
  <c r="BT137" i="1"/>
  <c r="BU137" i="1"/>
  <c r="BW137" i="1"/>
  <c r="BX137" i="1"/>
  <c r="BZ137" i="1"/>
  <c r="CA137" i="1"/>
  <c r="BT138" i="1"/>
  <c r="BU138" i="1"/>
  <c r="BV138" i="1" s="1"/>
  <c r="BW138" i="1"/>
  <c r="BX138" i="1"/>
  <c r="BZ138" i="1"/>
  <c r="CA138" i="1"/>
  <c r="BT139" i="1"/>
  <c r="BU139" i="1"/>
  <c r="BW139" i="1"/>
  <c r="BX139" i="1"/>
  <c r="BZ139" i="1"/>
  <c r="CA139" i="1"/>
  <c r="BT140" i="1"/>
  <c r="BU140" i="1"/>
  <c r="BW140" i="1"/>
  <c r="BX140" i="1"/>
  <c r="BZ140" i="1"/>
  <c r="CA140" i="1"/>
  <c r="BT141" i="1"/>
  <c r="BU141" i="1"/>
  <c r="BW141" i="1"/>
  <c r="BX141" i="1"/>
  <c r="BZ141" i="1"/>
  <c r="CA141" i="1"/>
  <c r="BT143" i="1"/>
  <c r="BU143" i="1"/>
  <c r="BW143" i="1"/>
  <c r="BX143" i="1"/>
  <c r="BZ143" i="1"/>
  <c r="CA143" i="1"/>
  <c r="BT144" i="1"/>
  <c r="BU144" i="1"/>
  <c r="BW144" i="1"/>
  <c r="BX144" i="1"/>
  <c r="BZ144" i="1"/>
  <c r="CA144" i="1"/>
  <c r="BT145" i="1"/>
  <c r="BU145" i="1"/>
  <c r="BW145" i="1"/>
  <c r="BX145" i="1"/>
  <c r="BZ145" i="1"/>
  <c r="CA145" i="1"/>
  <c r="CB145" i="1" s="1"/>
  <c r="BT146" i="1"/>
  <c r="BU146" i="1"/>
  <c r="BW146" i="1"/>
  <c r="BX146" i="1"/>
  <c r="BZ146" i="1"/>
  <c r="CA146" i="1"/>
  <c r="BT147" i="1"/>
  <c r="BU147" i="1"/>
  <c r="BV147" i="1" s="1"/>
  <c r="BW147" i="1"/>
  <c r="BX147" i="1"/>
  <c r="BZ147" i="1"/>
  <c r="CA147" i="1"/>
  <c r="BT148" i="1"/>
  <c r="BU148" i="1"/>
  <c r="BW148" i="1"/>
  <c r="BX148" i="1"/>
  <c r="BZ148" i="1"/>
  <c r="CA148" i="1"/>
  <c r="BT149" i="1"/>
  <c r="BU149" i="1"/>
  <c r="BW149" i="1"/>
  <c r="BX149" i="1"/>
  <c r="BZ149" i="1"/>
  <c r="CA149" i="1"/>
  <c r="BT150" i="1"/>
  <c r="BU150" i="1"/>
  <c r="BW150" i="1"/>
  <c r="BX150" i="1"/>
  <c r="BZ150" i="1"/>
  <c r="CA150" i="1"/>
  <c r="BT151" i="1"/>
  <c r="BU151" i="1"/>
  <c r="BV151" i="1" s="1"/>
  <c r="BW151" i="1"/>
  <c r="BX151" i="1"/>
  <c r="BZ151" i="1"/>
  <c r="CA151" i="1"/>
  <c r="BT153" i="1"/>
  <c r="BU153" i="1"/>
  <c r="BW153" i="1"/>
  <c r="BX153" i="1"/>
  <c r="BZ153" i="1"/>
  <c r="CA153" i="1"/>
  <c r="BT154" i="1"/>
  <c r="BU154" i="1"/>
  <c r="BW154" i="1"/>
  <c r="BX154" i="1"/>
  <c r="BZ154" i="1"/>
  <c r="CA154" i="1"/>
  <c r="BT155" i="1"/>
  <c r="BU155" i="1"/>
  <c r="BW155" i="1"/>
  <c r="BX155" i="1"/>
  <c r="BZ155" i="1"/>
  <c r="CA155" i="1"/>
  <c r="BT156" i="1"/>
  <c r="BU156" i="1"/>
  <c r="BW156" i="1"/>
  <c r="BX156" i="1"/>
  <c r="BZ156" i="1"/>
  <c r="CA156" i="1"/>
  <c r="BT157" i="1"/>
  <c r="BU157" i="1"/>
  <c r="BW157" i="1"/>
  <c r="BX157" i="1"/>
  <c r="BZ157" i="1"/>
  <c r="CA157" i="1"/>
  <c r="CB157" i="1" s="1"/>
  <c r="BT158" i="1"/>
  <c r="BU158" i="1"/>
  <c r="BW158" i="1"/>
  <c r="BX158" i="1"/>
  <c r="BZ158" i="1"/>
  <c r="CA158" i="1"/>
  <c r="BT159" i="1"/>
  <c r="BU159" i="1"/>
  <c r="BW159" i="1"/>
  <c r="BX159" i="1"/>
  <c r="BZ159" i="1"/>
  <c r="CA159" i="1"/>
  <c r="BT160" i="1"/>
  <c r="BU160" i="1"/>
  <c r="BW160" i="1"/>
  <c r="BX160" i="1"/>
  <c r="BZ160" i="1"/>
  <c r="CA160" i="1"/>
  <c r="BT161" i="1"/>
  <c r="BU161" i="1"/>
  <c r="BW161" i="1"/>
  <c r="BX161" i="1"/>
  <c r="BZ161" i="1"/>
  <c r="CA161" i="1"/>
  <c r="BT162" i="1"/>
  <c r="BU162" i="1"/>
  <c r="BW162" i="1"/>
  <c r="BX162" i="1"/>
  <c r="BZ162" i="1"/>
  <c r="CA162" i="1"/>
  <c r="BT163" i="1"/>
  <c r="BU163" i="1"/>
  <c r="BW163" i="1"/>
  <c r="BX163" i="1"/>
  <c r="BZ163" i="1"/>
  <c r="CA163" i="1"/>
  <c r="BT164" i="1"/>
  <c r="BU164" i="1"/>
  <c r="BW164" i="1"/>
  <c r="BX164" i="1"/>
  <c r="BZ164" i="1"/>
  <c r="CA164" i="1"/>
  <c r="BT165" i="1"/>
  <c r="BU165" i="1"/>
  <c r="BW165" i="1"/>
  <c r="BX165" i="1"/>
  <c r="BZ165" i="1"/>
  <c r="CA165" i="1"/>
  <c r="BT166" i="1"/>
  <c r="BU166" i="1"/>
  <c r="BW166" i="1"/>
  <c r="BX166" i="1"/>
  <c r="BZ166" i="1"/>
  <c r="CA166" i="1"/>
  <c r="BT167" i="1"/>
  <c r="BU167" i="1"/>
  <c r="BW167" i="1"/>
  <c r="BX167" i="1"/>
  <c r="BZ167" i="1"/>
  <c r="CA167" i="1"/>
  <c r="BT168" i="1"/>
  <c r="BU168" i="1"/>
  <c r="BW168" i="1"/>
  <c r="BX168" i="1"/>
  <c r="BZ168" i="1"/>
  <c r="CA168" i="1"/>
  <c r="BT169" i="1"/>
  <c r="BU169" i="1"/>
  <c r="BW169" i="1"/>
  <c r="BX169" i="1"/>
  <c r="BZ169" i="1"/>
  <c r="CA169" i="1"/>
  <c r="BT170" i="1"/>
  <c r="BU170" i="1"/>
  <c r="BW170" i="1"/>
  <c r="BX170" i="1"/>
  <c r="BZ170" i="1"/>
  <c r="CA170" i="1"/>
  <c r="BT171" i="1"/>
  <c r="BU171" i="1"/>
  <c r="BW171" i="1"/>
  <c r="BX171" i="1"/>
  <c r="BZ171" i="1"/>
  <c r="CA171" i="1"/>
  <c r="BT172" i="1"/>
  <c r="BU172" i="1"/>
  <c r="BW172" i="1"/>
  <c r="BX172" i="1"/>
  <c r="BZ172" i="1"/>
  <c r="CA172" i="1"/>
  <c r="BT173" i="1"/>
  <c r="BU173" i="1"/>
  <c r="BW173" i="1"/>
  <c r="BX173" i="1"/>
  <c r="BZ173" i="1"/>
  <c r="CA173" i="1"/>
  <c r="BT174" i="1"/>
  <c r="BU174" i="1"/>
  <c r="BW174" i="1"/>
  <c r="BX174" i="1"/>
  <c r="BZ174" i="1"/>
  <c r="CA174" i="1"/>
  <c r="BT175" i="1"/>
  <c r="BU175" i="1"/>
  <c r="BW175" i="1"/>
  <c r="BX175" i="1"/>
  <c r="BZ175" i="1"/>
  <c r="CA175" i="1"/>
  <c r="BT176" i="1"/>
  <c r="BU176" i="1"/>
  <c r="BW176" i="1"/>
  <c r="BX176" i="1"/>
  <c r="BZ176" i="1"/>
  <c r="CA176" i="1"/>
  <c r="BT177" i="1"/>
  <c r="BU177" i="1"/>
  <c r="BW177" i="1"/>
  <c r="BX177" i="1"/>
  <c r="BZ177" i="1"/>
  <c r="CA177" i="1"/>
  <c r="BT178" i="1"/>
  <c r="BU178" i="1"/>
  <c r="BW178" i="1"/>
  <c r="BX178" i="1"/>
  <c r="BZ178" i="1"/>
  <c r="CA178" i="1"/>
  <c r="BT179" i="1"/>
  <c r="BU179" i="1"/>
  <c r="BW179" i="1"/>
  <c r="BX179" i="1"/>
  <c r="BZ179" i="1"/>
  <c r="CA179" i="1"/>
  <c r="BT180" i="1"/>
  <c r="BU180" i="1"/>
  <c r="BW180" i="1"/>
  <c r="BX180" i="1"/>
  <c r="BZ180" i="1"/>
  <c r="CA180" i="1"/>
  <c r="BT181" i="1"/>
  <c r="BU181" i="1"/>
  <c r="BW181" i="1"/>
  <c r="BX181" i="1"/>
  <c r="BZ181" i="1"/>
  <c r="CA181" i="1"/>
  <c r="BT182" i="1"/>
  <c r="BU182" i="1"/>
  <c r="BW182" i="1"/>
  <c r="BX182" i="1"/>
  <c r="BZ182" i="1"/>
  <c r="CA182" i="1"/>
  <c r="BT183" i="1"/>
  <c r="BU183" i="1"/>
  <c r="BW183" i="1"/>
  <c r="BX183" i="1"/>
  <c r="BZ183" i="1"/>
  <c r="CA183" i="1"/>
  <c r="BT184" i="1"/>
  <c r="BU184" i="1"/>
  <c r="BW184" i="1"/>
  <c r="BX184" i="1"/>
  <c r="BZ184" i="1"/>
  <c r="CA184" i="1"/>
  <c r="BT185" i="1"/>
  <c r="BU185" i="1"/>
  <c r="BW185" i="1"/>
  <c r="BX185" i="1"/>
  <c r="BZ185" i="1"/>
  <c r="CA185" i="1"/>
  <c r="BT186" i="1"/>
  <c r="BU186" i="1"/>
  <c r="BW186" i="1"/>
  <c r="BX186" i="1"/>
  <c r="BZ186" i="1"/>
  <c r="CA186" i="1"/>
  <c r="BT187" i="1"/>
  <c r="BU187" i="1"/>
  <c r="BW187" i="1"/>
  <c r="BX187" i="1"/>
  <c r="BZ187" i="1"/>
  <c r="CA187" i="1"/>
  <c r="BT188" i="1"/>
  <c r="BU188" i="1"/>
  <c r="BW188" i="1"/>
  <c r="BX188" i="1"/>
  <c r="BZ188" i="1"/>
  <c r="CA188" i="1"/>
  <c r="BT189" i="1"/>
  <c r="BU189" i="1"/>
  <c r="BW189" i="1"/>
  <c r="BX189" i="1"/>
  <c r="BZ189" i="1"/>
  <c r="CA189" i="1"/>
  <c r="BT190" i="1"/>
  <c r="BU190" i="1"/>
  <c r="BW190" i="1"/>
  <c r="BX190" i="1"/>
  <c r="BZ190" i="1"/>
  <c r="CA190" i="1"/>
  <c r="BT191" i="1"/>
  <c r="BU191" i="1"/>
  <c r="BW191" i="1"/>
  <c r="BX191" i="1"/>
  <c r="BZ191" i="1"/>
  <c r="CA191" i="1"/>
  <c r="BT192" i="1"/>
  <c r="BU192" i="1"/>
  <c r="BW192" i="1"/>
  <c r="BX192" i="1"/>
  <c r="BZ192" i="1"/>
  <c r="CA192" i="1"/>
  <c r="BT193" i="1"/>
  <c r="BU193" i="1"/>
  <c r="BW193" i="1"/>
  <c r="BX193" i="1"/>
  <c r="BZ193" i="1"/>
  <c r="CA193" i="1"/>
  <c r="BT194" i="1"/>
  <c r="BU194" i="1"/>
  <c r="BW194" i="1"/>
  <c r="BX194" i="1"/>
  <c r="BZ194" i="1"/>
  <c r="CA194" i="1"/>
  <c r="BT195" i="1"/>
  <c r="BU195" i="1"/>
  <c r="BW195" i="1"/>
  <c r="BX195" i="1"/>
  <c r="BZ195" i="1"/>
  <c r="CA195" i="1"/>
  <c r="BT196" i="1"/>
  <c r="BU196" i="1"/>
  <c r="BW196" i="1"/>
  <c r="BX196" i="1"/>
  <c r="BZ196" i="1"/>
  <c r="CA196" i="1"/>
  <c r="BT197" i="1"/>
  <c r="BU197" i="1"/>
  <c r="BW197" i="1"/>
  <c r="BX197" i="1"/>
  <c r="BZ197" i="1"/>
  <c r="CA197" i="1"/>
  <c r="BT198" i="1"/>
  <c r="BU198" i="1"/>
  <c r="BW198" i="1"/>
  <c r="BX198" i="1"/>
  <c r="BZ198" i="1"/>
  <c r="CA198" i="1"/>
  <c r="BT199" i="1"/>
  <c r="BU199" i="1"/>
  <c r="BW199" i="1"/>
  <c r="BX199" i="1"/>
  <c r="BZ199" i="1"/>
  <c r="CA199" i="1"/>
  <c r="BT200" i="1"/>
  <c r="BU200" i="1"/>
  <c r="BW200" i="1"/>
  <c r="BX200" i="1"/>
  <c r="BZ200" i="1"/>
  <c r="CA200" i="1"/>
  <c r="BT201" i="1"/>
  <c r="BU201" i="1"/>
  <c r="BW201" i="1"/>
  <c r="BX201" i="1"/>
  <c r="BZ201" i="1"/>
  <c r="CA201" i="1"/>
  <c r="BT202" i="1"/>
  <c r="BU202" i="1"/>
  <c r="BW202" i="1"/>
  <c r="BX202" i="1"/>
  <c r="BZ202" i="1"/>
  <c r="CA202" i="1"/>
  <c r="BT203" i="1"/>
  <c r="BU203" i="1"/>
  <c r="BW203" i="1"/>
  <c r="BX203" i="1"/>
  <c r="BZ203" i="1"/>
  <c r="CA203" i="1"/>
  <c r="BT204" i="1"/>
  <c r="BU204" i="1"/>
  <c r="BW204" i="1"/>
  <c r="BX204" i="1"/>
  <c r="BZ204" i="1"/>
  <c r="CA204" i="1"/>
  <c r="BT206" i="1"/>
  <c r="BU206" i="1"/>
  <c r="BW206" i="1"/>
  <c r="BX206" i="1"/>
  <c r="BZ206" i="1"/>
  <c r="CA206" i="1"/>
  <c r="BT207" i="1"/>
  <c r="BU207" i="1"/>
  <c r="BW207" i="1"/>
  <c r="BX207" i="1"/>
  <c r="BZ207" i="1"/>
  <c r="CA207" i="1"/>
  <c r="BT208" i="1"/>
  <c r="BU208" i="1"/>
  <c r="BW208" i="1"/>
  <c r="BX208" i="1"/>
  <c r="BZ208" i="1"/>
  <c r="CA208" i="1"/>
  <c r="BT209" i="1"/>
  <c r="BU209" i="1"/>
  <c r="BW209" i="1"/>
  <c r="BX209" i="1"/>
  <c r="BZ209" i="1"/>
  <c r="CA209" i="1"/>
  <c r="BT211" i="1"/>
  <c r="BU211" i="1"/>
  <c r="BW211" i="1"/>
  <c r="BX211" i="1"/>
  <c r="BZ211" i="1"/>
  <c r="CA211" i="1"/>
  <c r="BT212" i="1"/>
  <c r="BU212" i="1"/>
  <c r="BW212" i="1"/>
  <c r="BX212" i="1"/>
  <c r="BZ212" i="1"/>
  <c r="CA212" i="1"/>
  <c r="BT213" i="1"/>
  <c r="BU213" i="1"/>
  <c r="BW213" i="1"/>
  <c r="BX213" i="1"/>
  <c r="BZ213" i="1"/>
  <c r="CA213" i="1"/>
  <c r="BT214" i="1"/>
  <c r="BU214" i="1"/>
  <c r="BW214" i="1"/>
  <c r="BX214" i="1"/>
  <c r="BZ214" i="1"/>
  <c r="CA214" i="1"/>
  <c r="BT215" i="1"/>
  <c r="BU215" i="1"/>
  <c r="BW215" i="1"/>
  <c r="BX215" i="1"/>
  <c r="BZ215" i="1"/>
  <c r="CA215" i="1"/>
  <c r="BT216" i="1"/>
  <c r="BU216" i="1"/>
  <c r="BW216" i="1"/>
  <c r="BX216" i="1"/>
  <c r="BZ216" i="1"/>
  <c r="CA216" i="1"/>
  <c r="BT217" i="1"/>
  <c r="BU217" i="1"/>
  <c r="BW217" i="1"/>
  <c r="BX217" i="1"/>
  <c r="BZ217" i="1"/>
  <c r="CA217" i="1"/>
  <c r="BT218" i="1"/>
  <c r="BU218" i="1"/>
  <c r="BW218" i="1"/>
  <c r="BX218" i="1"/>
  <c r="BZ218" i="1"/>
  <c r="CA218" i="1"/>
  <c r="BT219" i="1"/>
  <c r="BU219" i="1"/>
  <c r="BW219" i="1"/>
  <c r="BX219" i="1"/>
  <c r="BZ219" i="1"/>
  <c r="CA219" i="1"/>
  <c r="BT220" i="1"/>
  <c r="BU220" i="1"/>
  <c r="BW220" i="1"/>
  <c r="BX220" i="1"/>
  <c r="BZ220" i="1"/>
  <c r="CA220" i="1"/>
  <c r="BT221" i="1"/>
  <c r="BU221" i="1"/>
  <c r="BW221" i="1"/>
  <c r="BX221" i="1"/>
  <c r="BZ221" i="1"/>
  <c r="CA221" i="1"/>
  <c r="BT222" i="1"/>
  <c r="BU222" i="1"/>
  <c r="BW222" i="1"/>
  <c r="BX222" i="1"/>
  <c r="BZ222" i="1"/>
  <c r="CA222" i="1"/>
  <c r="BT223" i="1"/>
  <c r="BU223" i="1"/>
  <c r="BW223" i="1"/>
  <c r="BX223" i="1"/>
  <c r="BZ223" i="1"/>
  <c r="CA223" i="1"/>
  <c r="BT224" i="1"/>
  <c r="BU224" i="1"/>
  <c r="BW224" i="1"/>
  <c r="BX224" i="1"/>
  <c r="BZ224" i="1"/>
  <c r="CA224" i="1"/>
  <c r="BT225" i="1"/>
  <c r="BU225" i="1"/>
  <c r="BW225" i="1"/>
  <c r="BX225" i="1"/>
  <c r="BZ225" i="1"/>
  <c r="CA225" i="1"/>
  <c r="BT226" i="1"/>
  <c r="BU226" i="1"/>
  <c r="BW226" i="1"/>
  <c r="BX226" i="1"/>
  <c r="BZ226" i="1"/>
  <c r="CA226" i="1"/>
  <c r="BT227" i="1"/>
  <c r="BU227" i="1"/>
  <c r="BW227" i="1"/>
  <c r="BX227" i="1"/>
  <c r="BZ227" i="1"/>
  <c r="CA227" i="1"/>
  <c r="BT228" i="1"/>
  <c r="BU228" i="1"/>
  <c r="BW228" i="1"/>
  <c r="BX228" i="1"/>
  <c r="BZ228" i="1"/>
  <c r="CA228" i="1"/>
  <c r="BT229" i="1"/>
  <c r="BU229" i="1"/>
  <c r="BW229" i="1"/>
  <c r="BX229" i="1"/>
  <c r="BZ229" i="1"/>
  <c r="CA229" i="1"/>
  <c r="BT230" i="1"/>
  <c r="BU230" i="1"/>
  <c r="BW230" i="1"/>
  <c r="BX230" i="1"/>
  <c r="BZ230" i="1"/>
  <c r="CA230" i="1"/>
  <c r="BT231" i="1"/>
  <c r="BU231" i="1"/>
  <c r="BW231" i="1"/>
  <c r="BX231" i="1"/>
  <c r="BZ231" i="1"/>
  <c r="CA231" i="1"/>
  <c r="BT232" i="1"/>
  <c r="BU232" i="1"/>
  <c r="BW232" i="1"/>
  <c r="BX232" i="1"/>
  <c r="BZ232" i="1"/>
  <c r="CA232" i="1"/>
  <c r="BT233" i="1"/>
  <c r="BU233" i="1"/>
  <c r="BW233" i="1"/>
  <c r="BX233" i="1"/>
  <c r="BZ233" i="1"/>
  <c r="CA233" i="1"/>
  <c r="BT234" i="1"/>
  <c r="BU234" i="1"/>
  <c r="BW234" i="1"/>
  <c r="BX234" i="1"/>
  <c r="BZ234" i="1"/>
  <c r="CA234" i="1"/>
  <c r="CB234" i="1"/>
  <c r="BT235" i="1"/>
  <c r="BU235" i="1"/>
  <c r="BW235" i="1"/>
  <c r="BX235" i="1"/>
  <c r="BZ235" i="1"/>
  <c r="CA235" i="1"/>
  <c r="BT236" i="1"/>
  <c r="BU236" i="1"/>
  <c r="BW236" i="1"/>
  <c r="BX236" i="1"/>
  <c r="BZ236" i="1"/>
  <c r="CA236" i="1"/>
  <c r="BT237" i="1"/>
  <c r="BU237" i="1"/>
  <c r="BW237" i="1"/>
  <c r="BX237" i="1"/>
  <c r="BY237" i="1" s="1"/>
  <c r="BZ237" i="1"/>
  <c r="CA237" i="1"/>
  <c r="BT238" i="1"/>
  <c r="BU238" i="1"/>
  <c r="BW238" i="1"/>
  <c r="BX238" i="1"/>
  <c r="BZ238" i="1"/>
  <c r="CA238" i="1"/>
  <c r="CB238" i="1" s="1"/>
  <c r="BT239" i="1"/>
  <c r="BU239" i="1"/>
  <c r="BW239" i="1"/>
  <c r="BX239" i="1"/>
  <c r="BZ239" i="1"/>
  <c r="CA239" i="1"/>
  <c r="BT240" i="1"/>
  <c r="BU240" i="1"/>
  <c r="BW240" i="1"/>
  <c r="BX240" i="1"/>
  <c r="BZ240" i="1"/>
  <c r="CA240" i="1"/>
  <c r="BT242" i="1"/>
  <c r="BU242" i="1"/>
  <c r="BW242" i="1"/>
  <c r="BX242" i="1"/>
  <c r="BZ242" i="1"/>
  <c r="CA242" i="1"/>
  <c r="BT243" i="1"/>
  <c r="BU243" i="1"/>
  <c r="BW243" i="1"/>
  <c r="BX243" i="1"/>
  <c r="BZ243" i="1"/>
  <c r="CA243" i="1"/>
  <c r="BT244" i="1"/>
  <c r="BU244" i="1"/>
  <c r="BW244" i="1"/>
  <c r="BX244" i="1"/>
  <c r="BY244" i="1" s="1"/>
  <c r="BZ244" i="1"/>
  <c r="CA244" i="1"/>
  <c r="BT245" i="1"/>
  <c r="BU245" i="1"/>
  <c r="BV245" i="1" s="1"/>
  <c r="BW245" i="1"/>
  <c r="BX245" i="1"/>
  <c r="BZ245" i="1"/>
  <c r="CA245" i="1"/>
  <c r="CB245" i="1" s="1"/>
  <c r="BT246" i="1"/>
  <c r="BU246" i="1"/>
  <c r="BW246" i="1"/>
  <c r="BX246" i="1"/>
  <c r="BZ246" i="1"/>
  <c r="CA246" i="1"/>
  <c r="BT247" i="1"/>
  <c r="BU247" i="1"/>
  <c r="BW247" i="1"/>
  <c r="BX247" i="1"/>
  <c r="BZ247" i="1"/>
  <c r="CA247" i="1"/>
  <c r="BT248" i="1"/>
  <c r="BU248" i="1"/>
  <c r="BW248" i="1"/>
  <c r="BX248" i="1"/>
  <c r="BY248" i="1" s="1"/>
  <c r="BZ248" i="1"/>
  <c r="CA248" i="1"/>
  <c r="BT249" i="1"/>
  <c r="BU249" i="1"/>
  <c r="BW249" i="1"/>
  <c r="BX249" i="1"/>
  <c r="BZ249" i="1"/>
  <c r="CA249" i="1"/>
  <c r="CB249" i="1" s="1"/>
  <c r="BT250" i="1"/>
  <c r="BU250" i="1"/>
  <c r="BW250" i="1"/>
  <c r="BX250" i="1"/>
  <c r="BY250" i="1" s="1"/>
  <c r="BZ250" i="1"/>
  <c r="CA250" i="1"/>
  <c r="BT251" i="1"/>
  <c r="BU251" i="1"/>
  <c r="BV251" i="1" s="1"/>
  <c r="BW251" i="1"/>
  <c r="BX251" i="1"/>
  <c r="BZ251" i="1"/>
  <c r="CA251" i="1"/>
  <c r="CB251" i="1" s="1"/>
  <c r="BT252" i="1"/>
  <c r="BU252" i="1"/>
  <c r="BW252" i="1"/>
  <c r="BX252" i="1"/>
  <c r="BZ252" i="1"/>
  <c r="CA252" i="1"/>
  <c r="BT253" i="1"/>
  <c r="BU253" i="1"/>
  <c r="BW253" i="1"/>
  <c r="BX253" i="1"/>
  <c r="BZ253" i="1"/>
  <c r="CA253" i="1"/>
  <c r="BT254" i="1"/>
  <c r="BU254" i="1"/>
  <c r="BW254" i="1"/>
  <c r="BX254" i="1"/>
  <c r="BZ254" i="1"/>
  <c r="CA254" i="1"/>
  <c r="BT255" i="1"/>
  <c r="BU255" i="1"/>
  <c r="BW255" i="1"/>
  <c r="BX255" i="1"/>
  <c r="BZ255" i="1"/>
  <c r="CA255" i="1"/>
  <c r="BT256" i="1"/>
  <c r="BU256" i="1"/>
  <c r="BW256" i="1"/>
  <c r="BX256" i="1"/>
  <c r="BZ256" i="1"/>
  <c r="CA256" i="1"/>
  <c r="BT257" i="1"/>
  <c r="BU257" i="1"/>
  <c r="BW257" i="1"/>
  <c r="BX257" i="1"/>
  <c r="BZ257" i="1"/>
  <c r="CA257" i="1"/>
  <c r="BT259" i="1"/>
  <c r="BU259" i="1"/>
  <c r="BW259" i="1"/>
  <c r="BX259" i="1"/>
  <c r="BZ259" i="1"/>
  <c r="CA259" i="1"/>
  <c r="BT260" i="1"/>
  <c r="BU260" i="1"/>
  <c r="BW260" i="1"/>
  <c r="BX260" i="1"/>
  <c r="BZ260" i="1"/>
  <c r="CA260" i="1"/>
  <c r="BT261" i="1"/>
  <c r="BU261" i="1"/>
  <c r="BW261" i="1"/>
  <c r="BX261" i="1"/>
  <c r="BZ261" i="1"/>
  <c r="CA261" i="1"/>
  <c r="BT263" i="1"/>
  <c r="BU263" i="1"/>
  <c r="BW263" i="1"/>
  <c r="BX263" i="1"/>
  <c r="BZ263" i="1"/>
  <c r="CA263" i="1"/>
  <c r="BT264" i="1"/>
  <c r="BU264" i="1"/>
  <c r="BW264" i="1"/>
  <c r="BX264" i="1"/>
  <c r="BZ264" i="1"/>
  <c r="CA264" i="1"/>
  <c r="BT265" i="1"/>
  <c r="BU265" i="1"/>
  <c r="BW265" i="1"/>
  <c r="BX265" i="1"/>
  <c r="BZ265" i="1"/>
  <c r="CA265" i="1"/>
  <c r="BT266" i="1"/>
  <c r="BU266" i="1"/>
  <c r="BW266" i="1"/>
  <c r="BX266" i="1"/>
  <c r="BZ266" i="1"/>
  <c r="CA266" i="1"/>
  <c r="BT267" i="1"/>
  <c r="BU267" i="1"/>
  <c r="BW267" i="1"/>
  <c r="BX267" i="1"/>
  <c r="BZ267" i="1"/>
  <c r="CA267" i="1"/>
  <c r="BT268" i="1"/>
  <c r="BU268" i="1"/>
  <c r="BW268" i="1"/>
  <c r="BX268" i="1"/>
  <c r="BZ268" i="1"/>
  <c r="CA268" i="1"/>
  <c r="BT269" i="1"/>
  <c r="BU269" i="1"/>
  <c r="BW269" i="1"/>
  <c r="BX269" i="1"/>
  <c r="BZ269" i="1"/>
  <c r="CA269" i="1"/>
  <c r="BT270" i="1"/>
  <c r="BU270" i="1"/>
  <c r="BW270" i="1"/>
  <c r="BX270" i="1"/>
  <c r="BZ270" i="1"/>
  <c r="CA270" i="1"/>
  <c r="BT271" i="1"/>
  <c r="BU271" i="1"/>
  <c r="BW271" i="1"/>
  <c r="BX271" i="1"/>
  <c r="BZ271" i="1"/>
  <c r="CA271" i="1"/>
  <c r="BT272" i="1"/>
  <c r="BU272" i="1"/>
  <c r="BW272" i="1"/>
  <c r="BX272" i="1"/>
  <c r="BZ272" i="1"/>
  <c r="CA272" i="1"/>
  <c r="BT273" i="1"/>
  <c r="BU273" i="1"/>
  <c r="BW273" i="1"/>
  <c r="BX273" i="1"/>
  <c r="BZ273" i="1"/>
  <c r="CA273" i="1"/>
  <c r="BT274" i="1"/>
  <c r="BU274" i="1"/>
  <c r="BW274" i="1"/>
  <c r="BX274" i="1"/>
  <c r="BZ274" i="1"/>
  <c r="CA274" i="1"/>
  <c r="BT275" i="1"/>
  <c r="BU275" i="1"/>
  <c r="BW275" i="1"/>
  <c r="BX275" i="1"/>
  <c r="BZ275" i="1"/>
  <c r="CA275" i="1"/>
  <c r="BT276" i="1"/>
  <c r="BU276" i="1"/>
  <c r="BW276" i="1"/>
  <c r="BX276" i="1"/>
  <c r="BZ276" i="1"/>
  <c r="CA276" i="1"/>
  <c r="BT277" i="1"/>
  <c r="BU277" i="1"/>
  <c r="BW277" i="1"/>
  <c r="BX277" i="1"/>
  <c r="BZ277" i="1"/>
  <c r="CA277" i="1"/>
  <c r="BT278" i="1"/>
  <c r="BU278" i="1"/>
  <c r="BW278" i="1"/>
  <c r="BX278" i="1"/>
  <c r="BZ278" i="1"/>
  <c r="CA278" i="1"/>
  <c r="BT279" i="1"/>
  <c r="BU279" i="1"/>
  <c r="BW279" i="1"/>
  <c r="BX279" i="1"/>
  <c r="BZ279" i="1"/>
  <c r="CA279" i="1"/>
  <c r="BT280" i="1"/>
  <c r="BU280" i="1"/>
  <c r="BW280" i="1"/>
  <c r="BX280" i="1"/>
  <c r="BZ280" i="1"/>
  <c r="CA280" i="1"/>
  <c r="BT281" i="1"/>
  <c r="BU281" i="1"/>
  <c r="BW281" i="1"/>
  <c r="BX281" i="1"/>
  <c r="BZ281" i="1"/>
  <c r="CA281" i="1"/>
  <c r="BT282" i="1"/>
  <c r="BU282" i="1"/>
  <c r="BW282" i="1"/>
  <c r="BX282" i="1"/>
  <c r="BZ282" i="1"/>
  <c r="CA282" i="1"/>
  <c r="BT283" i="1"/>
  <c r="BU283" i="1"/>
  <c r="BW283" i="1"/>
  <c r="BX283" i="1"/>
  <c r="BZ283" i="1"/>
  <c r="CA283" i="1"/>
  <c r="BT284" i="1"/>
  <c r="BU284" i="1"/>
  <c r="BW284" i="1"/>
  <c r="BX284" i="1"/>
  <c r="BZ284" i="1"/>
  <c r="CA284" i="1"/>
  <c r="BT285" i="1"/>
  <c r="BU285" i="1"/>
  <c r="BW285" i="1"/>
  <c r="BX285" i="1"/>
  <c r="BZ285" i="1"/>
  <c r="CA285" i="1"/>
  <c r="BT286" i="1"/>
  <c r="BU286" i="1"/>
  <c r="BW286" i="1"/>
  <c r="BX286" i="1"/>
  <c r="BZ286" i="1"/>
  <c r="CA286" i="1"/>
  <c r="BT287" i="1"/>
  <c r="BU287" i="1"/>
  <c r="BW287" i="1"/>
  <c r="BX287" i="1"/>
  <c r="BZ287" i="1"/>
  <c r="CA287" i="1"/>
  <c r="BT288" i="1"/>
  <c r="BU288" i="1"/>
  <c r="BW288" i="1"/>
  <c r="BX288" i="1"/>
  <c r="BZ288" i="1"/>
  <c r="CA288" i="1"/>
  <c r="BT291" i="1"/>
  <c r="BU291" i="1"/>
  <c r="BW291" i="1"/>
  <c r="BX291" i="1"/>
  <c r="BZ291" i="1"/>
  <c r="CA291" i="1"/>
  <c r="BT292" i="1"/>
  <c r="BU292" i="1"/>
  <c r="BW292" i="1"/>
  <c r="BX292" i="1"/>
  <c r="BZ292" i="1"/>
  <c r="CA292" i="1"/>
  <c r="BT293" i="1"/>
  <c r="BU293" i="1"/>
  <c r="BW293" i="1"/>
  <c r="BX293" i="1"/>
  <c r="BZ293" i="1"/>
  <c r="CA293" i="1"/>
  <c r="BT294" i="1"/>
  <c r="BU294" i="1"/>
  <c r="BW294" i="1"/>
  <c r="BX294" i="1"/>
  <c r="BZ294" i="1"/>
  <c r="CA294" i="1"/>
  <c r="BT295" i="1"/>
  <c r="BU295" i="1"/>
  <c r="BW295" i="1"/>
  <c r="BX295" i="1"/>
  <c r="BZ295" i="1"/>
  <c r="CA295" i="1"/>
  <c r="BT296" i="1"/>
  <c r="BU296" i="1"/>
  <c r="BW296" i="1"/>
  <c r="BX296" i="1"/>
  <c r="BZ296" i="1"/>
  <c r="CA296" i="1"/>
  <c r="BT297" i="1"/>
  <c r="BU297" i="1"/>
  <c r="BW297" i="1"/>
  <c r="BX297" i="1"/>
  <c r="BZ297" i="1"/>
  <c r="CA297" i="1"/>
  <c r="BT298" i="1"/>
  <c r="BU298" i="1"/>
  <c r="BW298" i="1"/>
  <c r="BX298" i="1"/>
  <c r="BZ298" i="1"/>
  <c r="CA298" i="1"/>
  <c r="BT299" i="1"/>
  <c r="BU299" i="1"/>
  <c r="BW299" i="1"/>
  <c r="BX299" i="1"/>
  <c r="BZ299" i="1"/>
  <c r="CA299" i="1"/>
  <c r="BT300" i="1"/>
  <c r="BU300" i="1"/>
  <c r="BW300" i="1"/>
  <c r="BX300" i="1"/>
  <c r="BZ300" i="1"/>
  <c r="CA300" i="1"/>
  <c r="BT301" i="1"/>
  <c r="BU301" i="1"/>
  <c r="BW301" i="1"/>
  <c r="BX301" i="1"/>
  <c r="BZ301" i="1"/>
  <c r="CA301" i="1"/>
  <c r="BT302" i="1"/>
  <c r="BU302" i="1"/>
  <c r="BW302" i="1"/>
  <c r="BX302" i="1"/>
  <c r="BZ302" i="1"/>
  <c r="CA302" i="1"/>
  <c r="BT303" i="1"/>
  <c r="BU303" i="1"/>
  <c r="BV303" i="1" s="1"/>
  <c r="BW303" i="1"/>
  <c r="BX303" i="1"/>
  <c r="BZ303" i="1"/>
  <c r="CA303" i="1"/>
  <c r="CB303" i="1" s="1"/>
  <c r="BT304" i="1"/>
  <c r="BU304" i="1"/>
  <c r="BW304" i="1"/>
  <c r="BX304" i="1"/>
  <c r="BZ304" i="1"/>
  <c r="CA304" i="1"/>
  <c r="BT305" i="1"/>
  <c r="BU305" i="1"/>
  <c r="BW305" i="1"/>
  <c r="BX305" i="1"/>
  <c r="BZ305" i="1"/>
  <c r="CA305" i="1"/>
  <c r="CB305" i="1" s="1"/>
  <c r="BT306" i="1"/>
  <c r="BU306" i="1"/>
  <c r="BW306" i="1"/>
  <c r="BX306" i="1"/>
  <c r="BY306" i="1" s="1"/>
  <c r="BZ306" i="1"/>
  <c r="CA306" i="1"/>
  <c r="BT307" i="1"/>
  <c r="BU307" i="1"/>
  <c r="BW307" i="1"/>
  <c r="BX307" i="1"/>
  <c r="BZ307" i="1"/>
  <c r="CA307" i="1"/>
  <c r="CB307" i="1" s="1"/>
  <c r="BT308" i="1"/>
  <c r="BU308" i="1"/>
  <c r="BW308" i="1"/>
  <c r="BX308" i="1"/>
  <c r="BZ308" i="1"/>
  <c r="CA308" i="1"/>
  <c r="BT309" i="1"/>
  <c r="BU309" i="1"/>
  <c r="BV309" i="1" s="1"/>
  <c r="BW309" i="1"/>
  <c r="BX309" i="1"/>
  <c r="BZ309" i="1"/>
  <c r="CA309" i="1"/>
  <c r="BT310" i="1"/>
  <c r="BU310" i="1"/>
  <c r="BW310" i="1"/>
  <c r="BX310" i="1"/>
  <c r="BZ310" i="1"/>
  <c r="CA310" i="1"/>
  <c r="BT311" i="1"/>
  <c r="BU311" i="1"/>
  <c r="BW311" i="1"/>
  <c r="BX311" i="1"/>
  <c r="BZ311" i="1"/>
  <c r="CA311" i="1"/>
  <c r="BT312" i="1"/>
  <c r="BU312" i="1"/>
  <c r="BW312" i="1"/>
  <c r="BX312" i="1"/>
  <c r="BZ312" i="1"/>
  <c r="CA312" i="1"/>
  <c r="BT313" i="1"/>
  <c r="BU313" i="1"/>
  <c r="BW313" i="1"/>
  <c r="BX313" i="1"/>
  <c r="BZ313" i="1"/>
  <c r="CA313" i="1"/>
  <c r="BT314" i="1"/>
  <c r="BU314" i="1"/>
  <c r="BW314" i="1"/>
  <c r="BX314" i="1"/>
  <c r="BZ314" i="1"/>
  <c r="CA314" i="1"/>
  <c r="BT315" i="1"/>
  <c r="BU315" i="1"/>
  <c r="BW315" i="1"/>
  <c r="BX315" i="1"/>
  <c r="BZ315" i="1"/>
  <c r="CA315" i="1"/>
  <c r="BT316" i="1"/>
  <c r="BU316" i="1"/>
  <c r="BW316" i="1"/>
  <c r="BX316" i="1"/>
  <c r="BZ316" i="1"/>
  <c r="CA316" i="1"/>
  <c r="BT317" i="1"/>
  <c r="BU317" i="1"/>
  <c r="BW317" i="1"/>
  <c r="BX317" i="1"/>
  <c r="BZ317" i="1"/>
  <c r="CA317" i="1"/>
  <c r="BT318" i="1"/>
  <c r="BU318" i="1"/>
  <c r="BW318" i="1"/>
  <c r="BX318" i="1"/>
  <c r="BZ318" i="1"/>
  <c r="CA318" i="1"/>
  <c r="BT319" i="1"/>
  <c r="BU319" i="1"/>
  <c r="BW319" i="1"/>
  <c r="BX319" i="1"/>
  <c r="BZ319" i="1"/>
  <c r="CA319" i="1"/>
  <c r="BT320" i="1"/>
  <c r="BU320" i="1"/>
  <c r="BW320" i="1"/>
  <c r="BX320" i="1"/>
  <c r="BZ320" i="1"/>
  <c r="CA320" i="1"/>
  <c r="BT321" i="1"/>
  <c r="BU321" i="1"/>
  <c r="BW321" i="1"/>
  <c r="BX321" i="1"/>
  <c r="BZ321" i="1"/>
  <c r="CA321" i="1"/>
  <c r="BT322" i="1"/>
  <c r="BU322" i="1"/>
  <c r="BW322" i="1"/>
  <c r="BX322" i="1"/>
  <c r="BZ322" i="1"/>
  <c r="CA322" i="1"/>
  <c r="BT323" i="1"/>
  <c r="BU323" i="1"/>
  <c r="BW323" i="1"/>
  <c r="BX323" i="1"/>
  <c r="BZ323" i="1"/>
  <c r="CA323" i="1"/>
  <c r="BT324" i="1"/>
  <c r="BU324" i="1"/>
  <c r="BW324" i="1"/>
  <c r="BX324" i="1"/>
  <c r="BZ324" i="1"/>
  <c r="CA324" i="1"/>
  <c r="BT325" i="1"/>
  <c r="BU325" i="1"/>
  <c r="BW325" i="1"/>
  <c r="BX325" i="1"/>
  <c r="BZ325" i="1"/>
  <c r="CA325" i="1"/>
  <c r="BT326" i="1"/>
  <c r="BU326" i="1"/>
  <c r="BW326" i="1"/>
  <c r="BX326" i="1"/>
  <c r="BZ326" i="1"/>
  <c r="CA326" i="1"/>
  <c r="BT327" i="1"/>
  <c r="BU327" i="1"/>
  <c r="BW327" i="1"/>
  <c r="BX327" i="1"/>
  <c r="BZ327" i="1"/>
  <c r="CA327" i="1"/>
  <c r="BT328" i="1"/>
  <c r="BU328" i="1"/>
  <c r="BW328" i="1"/>
  <c r="BX328" i="1"/>
  <c r="BZ328" i="1"/>
  <c r="CA328" i="1"/>
  <c r="BT329" i="1"/>
  <c r="BU329" i="1"/>
  <c r="BW329" i="1"/>
  <c r="BX329" i="1"/>
  <c r="BZ329" i="1"/>
  <c r="CA329" i="1"/>
  <c r="BT330" i="1"/>
  <c r="BU330" i="1"/>
  <c r="BW330" i="1"/>
  <c r="BX330" i="1"/>
  <c r="BZ330" i="1"/>
  <c r="CA330" i="1"/>
  <c r="BT331" i="1"/>
  <c r="BU331" i="1"/>
  <c r="BW331" i="1"/>
  <c r="BX331" i="1"/>
  <c r="BZ331" i="1"/>
  <c r="CA331" i="1"/>
  <c r="BT332" i="1"/>
  <c r="BU332" i="1"/>
  <c r="BW332" i="1"/>
  <c r="BX332" i="1"/>
  <c r="BZ332" i="1"/>
  <c r="CA332" i="1"/>
  <c r="BT333" i="1"/>
  <c r="BU333" i="1"/>
  <c r="BW333" i="1"/>
  <c r="BX333" i="1"/>
  <c r="BZ333" i="1"/>
  <c r="CA333" i="1"/>
  <c r="BT334" i="1"/>
  <c r="BU334" i="1"/>
  <c r="BW334" i="1"/>
  <c r="BX334" i="1"/>
  <c r="BZ334" i="1"/>
  <c r="CA334" i="1"/>
  <c r="BT335" i="1"/>
  <c r="BU335" i="1"/>
  <c r="BW335" i="1"/>
  <c r="BX335" i="1"/>
  <c r="BZ335" i="1"/>
  <c r="CA335" i="1"/>
  <c r="BT336" i="1"/>
  <c r="BU336" i="1"/>
  <c r="BW336" i="1"/>
  <c r="BX336" i="1"/>
  <c r="BZ336" i="1"/>
  <c r="CA336" i="1"/>
  <c r="BT337" i="1"/>
  <c r="BU337" i="1"/>
  <c r="BW337" i="1"/>
  <c r="BX337" i="1"/>
  <c r="BZ337" i="1"/>
  <c r="CA337" i="1"/>
  <c r="BT338" i="1"/>
  <c r="BU338" i="1"/>
  <c r="BW338" i="1"/>
  <c r="BX338" i="1"/>
  <c r="BZ338" i="1"/>
  <c r="CA338" i="1"/>
  <c r="BT340" i="1"/>
  <c r="BU340" i="1"/>
  <c r="BW340" i="1"/>
  <c r="BX340" i="1"/>
  <c r="BZ340" i="1"/>
  <c r="CA340" i="1"/>
  <c r="BT341" i="1"/>
  <c r="BU341" i="1"/>
  <c r="BW341" i="1"/>
  <c r="BX341" i="1"/>
  <c r="BZ341" i="1"/>
  <c r="CA341" i="1"/>
  <c r="BT342" i="1"/>
  <c r="BU342" i="1"/>
  <c r="BW342" i="1"/>
  <c r="BX342" i="1"/>
  <c r="BZ342" i="1"/>
  <c r="CA342" i="1"/>
  <c r="BT343" i="1"/>
  <c r="BU343" i="1"/>
  <c r="BW343" i="1"/>
  <c r="BX343" i="1"/>
  <c r="BZ343" i="1"/>
  <c r="CA343" i="1"/>
  <c r="BT344" i="1"/>
  <c r="BU344" i="1"/>
  <c r="BW344" i="1"/>
  <c r="BX344" i="1"/>
  <c r="BZ344" i="1"/>
  <c r="CA344" i="1"/>
  <c r="BT345" i="1"/>
  <c r="BU345" i="1"/>
  <c r="BW345" i="1"/>
  <c r="BX345" i="1"/>
  <c r="BZ345" i="1"/>
  <c r="CA345" i="1"/>
  <c r="BT346" i="1"/>
  <c r="BU346" i="1"/>
  <c r="BW346" i="1"/>
  <c r="BX346" i="1"/>
  <c r="BZ346" i="1"/>
  <c r="CA346" i="1"/>
  <c r="BT347" i="1"/>
  <c r="BU347" i="1"/>
  <c r="BW347" i="1"/>
  <c r="BX347" i="1"/>
  <c r="BZ347" i="1"/>
  <c r="CA347" i="1"/>
  <c r="BT348" i="1"/>
  <c r="BU348" i="1"/>
  <c r="BW348" i="1"/>
  <c r="BX348" i="1"/>
  <c r="BZ348" i="1"/>
  <c r="CA348" i="1"/>
  <c r="BT349" i="1"/>
  <c r="BU349" i="1"/>
  <c r="BW349" i="1"/>
  <c r="BX349" i="1"/>
  <c r="BZ349" i="1"/>
  <c r="CA349" i="1"/>
  <c r="BT350" i="1"/>
  <c r="BU350" i="1"/>
  <c r="BW350" i="1"/>
  <c r="BX350" i="1"/>
  <c r="BZ350" i="1"/>
  <c r="CA350" i="1"/>
  <c r="BT351" i="1"/>
  <c r="BU351" i="1"/>
  <c r="BW351" i="1"/>
  <c r="BX351" i="1"/>
  <c r="BZ351" i="1"/>
  <c r="CA351" i="1"/>
  <c r="BT352" i="1"/>
  <c r="BU352" i="1"/>
  <c r="BW352" i="1"/>
  <c r="BX352" i="1"/>
  <c r="BZ352" i="1"/>
  <c r="CA352" i="1"/>
  <c r="BT353" i="1"/>
  <c r="BU353" i="1"/>
  <c r="BW353" i="1"/>
  <c r="BX353" i="1"/>
  <c r="BZ353" i="1"/>
  <c r="CA353" i="1"/>
  <c r="BT354" i="1"/>
  <c r="BU354" i="1"/>
  <c r="BW354" i="1"/>
  <c r="BX354" i="1"/>
  <c r="BZ354" i="1"/>
  <c r="CA354" i="1"/>
  <c r="BT355" i="1"/>
  <c r="BU355" i="1"/>
  <c r="BW355" i="1"/>
  <c r="BX355" i="1"/>
  <c r="BZ355" i="1"/>
  <c r="CA355" i="1"/>
  <c r="BT356" i="1"/>
  <c r="BU356" i="1"/>
  <c r="BW356" i="1"/>
  <c r="BX356" i="1"/>
  <c r="BZ356" i="1"/>
  <c r="CA356" i="1"/>
  <c r="BT357" i="1"/>
  <c r="BU357" i="1"/>
  <c r="BW357" i="1"/>
  <c r="BX357" i="1"/>
  <c r="BZ357" i="1"/>
  <c r="CA357" i="1"/>
  <c r="BT358" i="1"/>
  <c r="BU358" i="1"/>
  <c r="BW358" i="1"/>
  <c r="BX358" i="1"/>
  <c r="BZ358" i="1"/>
  <c r="CA358" i="1"/>
  <c r="BT359" i="1"/>
  <c r="BU359" i="1"/>
  <c r="BW359" i="1"/>
  <c r="BX359" i="1"/>
  <c r="BZ359" i="1"/>
  <c r="CA359" i="1"/>
  <c r="BT360" i="1"/>
  <c r="BU360" i="1"/>
  <c r="BW360" i="1"/>
  <c r="BX360" i="1"/>
  <c r="BZ360" i="1"/>
  <c r="CA360" i="1"/>
  <c r="BT361" i="1"/>
  <c r="BU361" i="1"/>
  <c r="BW361" i="1"/>
  <c r="BX361" i="1"/>
  <c r="BZ361" i="1"/>
  <c r="CA361" i="1"/>
  <c r="BT362" i="1"/>
  <c r="BU362" i="1"/>
  <c r="BW362" i="1"/>
  <c r="BX362" i="1"/>
  <c r="BZ362" i="1"/>
  <c r="CA362" i="1"/>
  <c r="BT363" i="1"/>
  <c r="BU363" i="1"/>
  <c r="BW363" i="1"/>
  <c r="BX363" i="1"/>
  <c r="BZ363" i="1"/>
  <c r="CA363" i="1"/>
  <c r="BT364" i="1"/>
  <c r="BU364" i="1"/>
  <c r="BW364" i="1"/>
  <c r="BX364" i="1"/>
  <c r="BZ364" i="1"/>
  <c r="CA364" i="1"/>
  <c r="BT365" i="1"/>
  <c r="BU365" i="1"/>
  <c r="BW365" i="1"/>
  <c r="BX365" i="1"/>
  <c r="BZ365" i="1"/>
  <c r="CA365" i="1"/>
  <c r="BT366" i="1"/>
  <c r="BU366" i="1"/>
  <c r="BW366" i="1"/>
  <c r="BX366" i="1"/>
  <c r="BZ366" i="1"/>
  <c r="CA366" i="1"/>
  <c r="BT367" i="1"/>
  <c r="BU367" i="1"/>
  <c r="BW367" i="1"/>
  <c r="BX367" i="1"/>
  <c r="BZ367" i="1"/>
  <c r="CA367" i="1"/>
  <c r="BT368" i="1"/>
  <c r="BU368" i="1"/>
  <c r="BW368" i="1"/>
  <c r="BX368" i="1"/>
  <c r="BZ368" i="1"/>
  <c r="CA368" i="1"/>
  <c r="BT369" i="1"/>
  <c r="BU369" i="1"/>
  <c r="BW369" i="1"/>
  <c r="BX369" i="1"/>
  <c r="BZ369" i="1"/>
  <c r="CA369" i="1"/>
  <c r="BT370" i="1"/>
  <c r="BU370" i="1"/>
  <c r="BW370" i="1"/>
  <c r="BX370" i="1"/>
  <c r="BZ370" i="1"/>
  <c r="CA370" i="1"/>
  <c r="BT371" i="1"/>
  <c r="BU371" i="1"/>
  <c r="BW371" i="1"/>
  <c r="BX371" i="1"/>
  <c r="BZ371" i="1"/>
  <c r="CA371" i="1"/>
  <c r="BT372" i="1"/>
  <c r="BU372" i="1"/>
  <c r="BW372" i="1"/>
  <c r="BX372" i="1"/>
  <c r="BZ372" i="1"/>
  <c r="CA372" i="1"/>
  <c r="BT373" i="1"/>
  <c r="BU373" i="1"/>
  <c r="BW373" i="1"/>
  <c r="BX373" i="1"/>
  <c r="BZ373" i="1"/>
  <c r="CA373" i="1"/>
  <c r="BT374" i="1"/>
  <c r="BU374" i="1"/>
  <c r="BW374" i="1"/>
  <c r="BX374" i="1"/>
  <c r="BZ374" i="1"/>
  <c r="CA374" i="1"/>
  <c r="BT375" i="1"/>
  <c r="BU375" i="1"/>
  <c r="BW375" i="1"/>
  <c r="BX375" i="1"/>
  <c r="BZ375" i="1"/>
  <c r="CA375" i="1"/>
  <c r="BT376" i="1"/>
  <c r="BU376" i="1"/>
  <c r="BW376" i="1"/>
  <c r="BX376" i="1"/>
  <c r="BZ376" i="1"/>
  <c r="CA376" i="1"/>
  <c r="BT377" i="1"/>
  <c r="BU377" i="1"/>
  <c r="BW377" i="1"/>
  <c r="BX377" i="1"/>
  <c r="BZ377" i="1"/>
  <c r="CA377" i="1"/>
  <c r="BT378" i="1"/>
  <c r="BU378" i="1"/>
  <c r="BW378" i="1"/>
  <c r="BX378" i="1"/>
  <c r="BZ378" i="1"/>
  <c r="CA378" i="1"/>
  <c r="BT379" i="1"/>
  <c r="BU379" i="1"/>
  <c r="BW379" i="1"/>
  <c r="BX379" i="1"/>
  <c r="BZ379" i="1"/>
  <c r="CA379" i="1"/>
  <c r="BT380" i="1"/>
  <c r="BU380" i="1"/>
  <c r="BW380" i="1"/>
  <c r="BX380" i="1"/>
  <c r="BZ380" i="1"/>
  <c r="CA380" i="1"/>
  <c r="BT381" i="1"/>
  <c r="BU381" i="1"/>
  <c r="BW381" i="1"/>
  <c r="BX381" i="1"/>
  <c r="BZ381" i="1"/>
  <c r="CA381" i="1"/>
  <c r="BT382" i="1"/>
  <c r="BU382" i="1"/>
  <c r="BW382" i="1"/>
  <c r="BX382" i="1"/>
  <c r="BZ382" i="1"/>
  <c r="CA382" i="1"/>
  <c r="BT383" i="1"/>
  <c r="BU383" i="1"/>
  <c r="BW383" i="1"/>
  <c r="BX383" i="1"/>
  <c r="BZ383" i="1"/>
  <c r="CA383" i="1"/>
  <c r="BT384" i="1"/>
  <c r="BU384" i="1"/>
  <c r="BW384" i="1"/>
  <c r="BX384" i="1"/>
  <c r="BZ384" i="1"/>
  <c r="CA384" i="1"/>
  <c r="BT385" i="1"/>
  <c r="BU385" i="1"/>
  <c r="BW385" i="1"/>
  <c r="BX385" i="1"/>
  <c r="BZ385" i="1"/>
  <c r="CA385" i="1"/>
  <c r="BT386" i="1"/>
  <c r="BU386" i="1"/>
  <c r="BW386" i="1"/>
  <c r="BX386" i="1"/>
  <c r="BZ386" i="1"/>
  <c r="CA386" i="1"/>
  <c r="BT387" i="1"/>
  <c r="BU387" i="1"/>
  <c r="BW387" i="1"/>
  <c r="BX387" i="1"/>
  <c r="BZ387" i="1"/>
  <c r="CA387" i="1"/>
  <c r="BT388" i="1"/>
  <c r="BU388" i="1"/>
  <c r="BW388" i="1"/>
  <c r="BX388" i="1"/>
  <c r="BZ388" i="1"/>
  <c r="CA388" i="1"/>
  <c r="BT389" i="1"/>
  <c r="BU389" i="1"/>
  <c r="BW389" i="1"/>
  <c r="BX389" i="1"/>
  <c r="BZ389" i="1"/>
  <c r="CA389" i="1"/>
  <c r="BT390" i="1"/>
  <c r="BU390" i="1"/>
  <c r="BW390" i="1"/>
  <c r="BX390" i="1"/>
  <c r="BZ390" i="1"/>
  <c r="CA390" i="1"/>
  <c r="BT391" i="1"/>
  <c r="BU391" i="1"/>
  <c r="BW391" i="1"/>
  <c r="BX391" i="1"/>
  <c r="BZ391" i="1"/>
  <c r="CA391" i="1"/>
  <c r="BT392" i="1"/>
  <c r="BU392" i="1"/>
  <c r="BW392" i="1"/>
  <c r="BX392" i="1"/>
  <c r="BZ392" i="1"/>
  <c r="CA392" i="1"/>
  <c r="BT393" i="1"/>
  <c r="BU393" i="1"/>
  <c r="BW393" i="1"/>
  <c r="BX393" i="1"/>
  <c r="BZ393" i="1"/>
  <c r="CA393" i="1"/>
  <c r="BT394" i="1"/>
  <c r="BU394" i="1"/>
  <c r="BW394" i="1"/>
  <c r="BX394" i="1"/>
  <c r="BZ394" i="1"/>
  <c r="CA394" i="1"/>
  <c r="BT395" i="1"/>
  <c r="BU395" i="1"/>
  <c r="BW395" i="1"/>
  <c r="BX395" i="1"/>
  <c r="BZ395" i="1"/>
  <c r="CA395" i="1"/>
  <c r="BT396" i="1"/>
  <c r="BU396" i="1"/>
  <c r="BW396" i="1"/>
  <c r="BX396" i="1"/>
  <c r="BZ396" i="1"/>
  <c r="CA396" i="1"/>
  <c r="BT397" i="1"/>
  <c r="BU397" i="1"/>
  <c r="BW397" i="1"/>
  <c r="BX397" i="1"/>
  <c r="BZ397" i="1"/>
  <c r="CA397" i="1"/>
  <c r="BT398" i="1"/>
  <c r="BU398" i="1"/>
  <c r="BW398" i="1"/>
  <c r="BX398" i="1"/>
  <c r="BZ398" i="1"/>
  <c r="CA398" i="1"/>
  <c r="BT399" i="1"/>
  <c r="BU399" i="1"/>
  <c r="BW399" i="1"/>
  <c r="BX399" i="1"/>
  <c r="BZ399" i="1"/>
  <c r="CA399" i="1"/>
  <c r="BT400" i="1"/>
  <c r="BU400" i="1"/>
  <c r="BW400" i="1"/>
  <c r="BX400" i="1"/>
  <c r="BZ400" i="1"/>
  <c r="CA400" i="1"/>
  <c r="BT401" i="1"/>
  <c r="BU401" i="1"/>
  <c r="BW401" i="1"/>
  <c r="BX401" i="1"/>
  <c r="BZ401" i="1"/>
  <c r="CA401" i="1"/>
  <c r="BT402" i="1"/>
  <c r="BU402" i="1"/>
  <c r="BW402" i="1"/>
  <c r="BX402" i="1"/>
  <c r="BZ402" i="1"/>
  <c r="CA402" i="1"/>
  <c r="BT403" i="1"/>
  <c r="BU403" i="1"/>
  <c r="BW403" i="1"/>
  <c r="BX403" i="1"/>
  <c r="BZ403" i="1"/>
  <c r="CA403" i="1"/>
  <c r="CA9" i="1"/>
  <c r="BZ9" i="1"/>
  <c r="BX9" i="1"/>
  <c r="BW9" i="1"/>
  <c r="BU9" i="1"/>
  <c r="BT9" i="1"/>
  <c r="AV10" i="1"/>
  <c r="AW10" i="1"/>
  <c r="AY10" i="1"/>
  <c r="AZ10" i="1"/>
  <c r="BB10" i="1"/>
  <c r="BC10" i="1"/>
  <c r="BE10" i="1"/>
  <c r="BF10" i="1"/>
  <c r="BH10" i="1"/>
  <c r="BI10" i="1"/>
  <c r="BK10" i="1"/>
  <c r="BL10" i="1"/>
  <c r="BN10" i="1"/>
  <c r="BO10" i="1"/>
  <c r="AV11" i="1"/>
  <c r="AW11" i="1"/>
  <c r="AY11" i="1"/>
  <c r="AZ11" i="1"/>
  <c r="BB11" i="1"/>
  <c r="BC11" i="1"/>
  <c r="BE11" i="1"/>
  <c r="BF11" i="1"/>
  <c r="BH11" i="1"/>
  <c r="BI11" i="1"/>
  <c r="BK11" i="1"/>
  <c r="BL11" i="1"/>
  <c r="BN11" i="1"/>
  <c r="BO11" i="1"/>
  <c r="AV12" i="1"/>
  <c r="AW12" i="1"/>
  <c r="AY12" i="1"/>
  <c r="AZ12" i="1"/>
  <c r="BB12" i="1"/>
  <c r="BC12" i="1"/>
  <c r="BE12" i="1"/>
  <c r="BF12" i="1"/>
  <c r="BH12" i="1"/>
  <c r="BI12" i="1"/>
  <c r="BK12" i="1"/>
  <c r="BL12" i="1"/>
  <c r="BN12" i="1"/>
  <c r="BO12" i="1"/>
  <c r="AV13" i="1"/>
  <c r="AW13" i="1"/>
  <c r="AY13" i="1"/>
  <c r="AZ13" i="1"/>
  <c r="BB13" i="1"/>
  <c r="BC13" i="1"/>
  <c r="BE13" i="1"/>
  <c r="BF13" i="1"/>
  <c r="BH13" i="1"/>
  <c r="BI13" i="1"/>
  <c r="BK13" i="1"/>
  <c r="BL13" i="1"/>
  <c r="BN13" i="1"/>
  <c r="BO13" i="1"/>
  <c r="AV14" i="1"/>
  <c r="AW14" i="1"/>
  <c r="AY14" i="1"/>
  <c r="AZ14" i="1"/>
  <c r="BB14" i="1"/>
  <c r="BC14" i="1"/>
  <c r="BE14" i="1"/>
  <c r="BF14" i="1"/>
  <c r="BH14" i="1"/>
  <c r="BI14" i="1"/>
  <c r="BK14" i="1"/>
  <c r="BL14" i="1"/>
  <c r="BN14" i="1"/>
  <c r="BO14" i="1"/>
  <c r="AV18" i="1"/>
  <c r="AW18" i="1"/>
  <c r="AY18" i="1"/>
  <c r="AZ18" i="1"/>
  <c r="BB18" i="1"/>
  <c r="BC18" i="1"/>
  <c r="BE18" i="1"/>
  <c r="BF18" i="1"/>
  <c r="BH18" i="1"/>
  <c r="BI18" i="1"/>
  <c r="BK18" i="1"/>
  <c r="BL18" i="1"/>
  <c r="BN18" i="1"/>
  <c r="BO18" i="1"/>
  <c r="AV19" i="1"/>
  <c r="AW19" i="1"/>
  <c r="AY19" i="1"/>
  <c r="AZ19" i="1"/>
  <c r="BB19" i="1"/>
  <c r="BC19" i="1"/>
  <c r="BE19" i="1"/>
  <c r="BF19" i="1"/>
  <c r="BH19" i="1"/>
  <c r="BI19" i="1"/>
  <c r="BK19" i="1"/>
  <c r="BL19" i="1"/>
  <c r="BN19" i="1"/>
  <c r="BO19" i="1"/>
  <c r="AV20" i="1"/>
  <c r="AW20" i="1"/>
  <c r="AY20" i="1"/>
  <c r="AZ20" i="1"/>
  <c r="BB20" i="1"/>
  <c r="BC20" i="1"/>
  <c r="BE20" i="1"/>
  <c r="BF20" i="1"/>
  <c r="BH20" i="1"/>
  <c r="BI20" i="1"/>
  <c r="BK20" i="1"/>
  <c r="BL20" i="1"/>
  <c r="BN20" i="1"/>
  <c r="BO20" i="1"/>
  <c r="AV21" i="1"/>
  <c r="AW21" i="1"/>
  <c r="AY21" i="1"/>
  <c r="AZ21" i="1"/>
  <c r="BB21" i="1"/>
  <c r="BC21" i="1"/>
  <c r="BE21" i="1"/>
  <c r="BF21" i="1"/>
  <c r="BH21" i="1"/>
  <c r="BI21" i="1"/>
  <c r="BK21" i="1"/>
  <c r="BL21" i="1"/>
  <c r="BN21" i="1"/>
  <c r="BO21" i="1"/>
  <c r="AV22" i="1"/>
  <c r="AW22" i="1"/>
  <c r="AY22" i="1"/>
  <c r="AZ22" i="1"/>
  <c r="BB22" i="1"/>
  <c r="BC22" i="1"/>
  <c r="BE22" i="1"/>
  <c r="BF22" i="1"/>
  <c r="BH22" i="1"/>
  <c r="BI22" i="1"/>
  <c r="BK22" i="1"/>
  <c r="BL22" i="1"/>
  <c r="BN22" i="1"/>
  <c r="BO22" i="1"/>
  <c r="AV23" i="1"/>
  <c r="AW23" i="1"/>
  <c r="AY23" i="1"/>
  <c r="AZ23" i="1"/>
  <c r="BB23" i="1"/>
  <c r="BC23" i="1"/>
  <c r="BE23" i="1"/>
  <c r="BF23" i="1"/>
  <c r="BH23" i="1"/>
  <c r="BI23" i="1"/>
  <c r="BK23" i="1"/>
  <c r="BL23" i="1"/>
  <c r="BN23" i="1"/>
  <c r="BO23" i="1"/>
  <c r="AV24" i="1"/>
  <c r="AW24" i="1"/>
  <c r="AY24" i="1"/>
  <c r="AZ24" i="1"/>
  <c r="BB24" i="1"/>
  <c r="BC24" i="1"/>
  <c r="BE24" i="1"/>
  <c r="BF24" i="1"/>
  <c r="BH24" i="1"/>
  <c r="BI24" i="1"/>
  <c r="BK24" i="1"/>
  <c r="BL24" i="1"/>
  <c r="BN24" i="1"/>
  <c r="BO24" i="1"/>
  <c r="AV25" i="1"/>
  <c r="AW25" i="1"/>
  <c r="AY25" i="1"/>
  <c r="AZ25" i="1"/>
  <c r="BB25" i="1"/>
  <c r="BC25" i="1"/>
  <c r="BE25" i="1"/>
  <c r="BF25" i="1"/>
  <c r="BH25" i="1"/>
  <c r="BI25" i="1"/>
  <c r="BK25" i="1"/>
  <c r="BL25" i="1"/>
  <c r="BN25" i="1"/>
  <c r="BO25" i="1"/>
  <c r="AV26" i="1"/>
  <c r="AW26" i="1"/>
  <c r="AY26" i="1"/>
  <c r="AZ26" i="1"/>
  <c r="BB26" i="1"/>
  <c r="BC26" i="1"/>
  <c r="BE26" i="1"/>
  <c r="BF26" i="1"/>
  <c r="BH26" i="1"/>
  <c r="BI26" i="1"/>
  <c r="BK26" i="1"/>
  <c r="BL26" i="1"/>
  <c r="BN26" i="1"/>
  <c r="BO26" i="1"/>
  <c r="AV27" i="1"/>
  <c r="AW27" i="1"/>
  <c r="AY27" i="1"/>
  <c r="AZ27" i="1"/>
  <c r="BB27" i="1"/>
  <c r="BC27" i="1"/>
  <c r="BE27" i="1"/>
  <c r="BF27" i="1"/>
  <c r="BH27" i="1"/>
  <c r="BI27" i="1"/>
  <c r="BK27" i="1"/>
  <c r="BL27" i="1"/>
  <c r="BN27" i="1"/>
  <c r="BO27" i="1"/>
  <c r="AV28" i="1"/>
  <c r="AW28" i="1"/>
  <c r="AY28" i="1"/>
  <c r="AZ28" i="1"/>
  <c r="BB28" i="1"/>
  <c r="BC28" i="1"/>
  <c r="BE28" i="1"/>
  <c r="BF28" i="1"/>
  <c r="BH28" i="1"/>
  <c r="BI28" i="1"/>
  <c r="BK28" i="1"/>
  <c r="BL28" i="1"/>
  <c r="BN28" i="1"/>
  <c r="BO28" i="1"/>
  <c r="AV29" i="1"/>
  <c r="AW29" i="1"/>
  <c r="AY29" i="1"/>
  <c r="AZ29" i="1"/>
  <c r="BB29" i="1"/>
  <c r="BC29" i="1"/>
  <c r="BE29" i="1"/>
  <c r="BF29" i="1"/>
  <c r="BH29" i="1"/>
  <c r="BI29" i="1"/>
  <c r="BK29" i="1"/>
  <c r="BL29" i="1"/>
  <c r="BN29" i="1"/>
  <c r="BO29" i="1"/>
  <c r="AV30" i="1"/>
  <c r="AW30" i="1"/>
  <c r="AY30" i="1"/>
  <c r="AZ30" i="1"/>
  <c r="BB30" i="1"/>
  <c r="BC30" i="1"/>
  <c r="BE30" i="1"/>
  <c r="BF30" i="1"/>
  <c r="BH30" i="1"/>
  <c r="BI30" i="1"/>
  <c r="BK30" i="1"/>
  <c r="BL30" i="1"/>
  <c r="BN30" i="1"/>
  <c r="BO30" i="1"/>
  <c r="AV31" i="1"/>
  <c r="AW31" i="1"/>
  <c r="AY31" i="1"/>
  <c r="AZ31" i="1"/>
  <c r="BB31" i="1"/>
  <c r="BC31" i="1"/>
  <c r="BE31" i="1"/>
  <c r="BF31" i="1"/>
  <c r="BH31" i="1"/>
  <c r="BI31" i="1"/>
  <c r="BK31" i="1"/>
  <c r="BL31" i="1"/>
  <c r="BN31" i="1"/>
  <c r="BO31" i="1"/>
  <c r="AV32" i="1"/>
  <c r="AW32" i="1"/>
  <c r="AY32" i="1"/>
  <c r="AZ32" i="1"/>
  <c r="BB32" i="1"/>
  <c r="BC32" i="1"/>
  <c r="BE32" i="1"/>
  <c r="BF32" i="1"/>
  <c r="BH32" i="1"/>
  <c r="BI32" i="1"/>
  <c r="BK32" i="1"/>
  <c r="BL32" i="1"/>
  <c r="BN32" i="1"/>
  <c r="BO32" i="1"/>
  <c r="AV35" i="1"/>
  <c r="AW35" i="1"/>
  <c r="AY35" i="1"/>
  <c r="AZ35" i="1"/>
  <c r="BB35" i="1"/>
  <c r="BC35" i="1"/>
  <c r="BE35" i="1"/>
  <c r="BF35" i="1"/>
  <c r="BH35" i="1"/>
  <c r="BI35" i="1"/>
  <c r="BK35" i="1"/>
  <c r="BL35" i="1"/>
  <c r="BN35" i="1"/>
  <c r="BO35" i="1"/>
  <c r="AV36" i="1"/>
  <c r="AW36" i="1"/>
  <c r="AY36" i="1"/>
  <c r="AZ36" i="1"/>
  <c r="BB36" i="1"/>
  <c r="BC36" i="1"/>
  <c r="BE36" i="1"/>
  <c r="BF36" i="1"/>
  <c r="BH36" i="1"/>
  <c r="BI36" i="1"/>
  <c r="BK36" i="1"/>
  <c r="BL36" i="1"/>
  <c r="BN36" i="1"/>
  <c r="BO36" i="1"/>
  <c r="AV37" i="1"/>
  <c r="AW37" i="1"/>
  <c r="AY37" i="1"/>
  <c r="AZ37" i="1"/>
  <c r="BB37" i="1"/>
  <c r="BC37" i="1"/>
  <c r="BE37" i="1"/>
  <c r="BF37" i="1"/>
  <c r="BH37" i="1"/>
  <c r="BI37" i="1"/>
  <c r="BK37" i="1"/>
  <c r="BL37" i="1"/>
  <c r="BN37" i="1"/>
  <c r="BO37" i="1"/>
  <c r="AV39" i="1"/>
  <c r="AW39" i="1"/>
  <c r="AY39" i="1"/>
  <c r="AZ39" i="1"/>
  <c r="BB39" i="1"/>
  <c r="BC39" i="1"/>
  <c r="BE39" i="1"/>
  <c r="BF39" i="1"/>
  <c r="BH39" i="1"/>
  <c r="BI39" i="1"/>
  <c r="BK39" i="1"/>
  <c r="BL39" i="1"/>
  <c r="BN39" i="1"/>
  <c r="BO39" i="1"/>
  <c r="AV40" i="1"/>
  <c r="AW40" i="1"/>
  <c r="AY40" i="1"/>
  <c r="AZ40" i="1"/>
  <c r="BB40" i="1"/>
  <c r="BC40" i="1"/>
  <c r="BE40" i="1"/>
  <c r="BF40" i="1"/>
  <c r="BH40" i="1"/>
  <c r="BI40" i="1"/>
  <c r="BK40" i="1"/>
  <c r="BL40" i="1"/>
  <c r="BN40" i="1"/>
  <c r="BO40" i="1"/>
  <c r="AV41" i="1"/>
  <c r="AW41" i="1"/>
  <c r="AY41" i="1"/>
  <c r="AZ41" i="1"/>
  <c r="BB41" i="1"/>
  <c r="BC41" i="1"/>
  <c r="BE41" i="1"/>
  <c r="BF41" i="1"/>
  <c r="BH41" i="1"/>
  <c r="BI41" i="1"/>
  <c r="BK41" i="1"/>
  <c r="BL41" i="1"/>
  <c r="BN41" i="1"/>
  <c r="BO41" i="1"/>
  <c r="AV42" i="1"/>
  <c r="AW42" i="1"/>
  <c r="AY42" i="1"/>
  <c r="AZ42" i="1"/>
  <c r="BB42" i="1"/>
  <c r="BC42" i="1"/>
  <c r="BE42" i="1"/>
  <c r="BF42" i="1"/>
  <c r="BH42" i="1"/>
  <c r="BI42" i="1"/>
  <c r="BK42" i="1"/>
  <c r="BL42" i="1"/>
  <c r="BN42" i="1"/>
  <c r="BO42" i="1"/>
  <c r="AV43" i="1"/>
  <c r="AW43" i="1"/>
  <c r="AY43" i="1"/>
  <c r="AZ43" i="1"/>
  <c r="BB43" i="1"/>
  <c r="BC43" i="1"/>
  <c r="BE43" i="1"/>
  <c r="BF43" i="1"/>
  <c r="BH43" i="1"/>
  <c r="BI43" i="1"/>
  <c r="BK43" i="1"/>
  <c r="BL43" i="1"/>
  <c r="BN43" i="1"/>
  <c r="BO43" i="1"/>
  <c r="AV44" i="1"/>
  <c r="AW44" i="1"/>
  <c r="AY44" i="1"/>
  <c r="AZ44" i="1"/>
  <c r="BB44" i="1"/>
  <c r="BC44" i="1"/>
  <c r="BE44" i="1"/>
  <c r="BF44" i="1"/>
  <c r="BH44" i="1"/>
  <c r="BI44" i="1"/>
  <c r="BK44" i="1"/>
  <c r="BL44" i="1"/>
  <c r="BN44" i="1"/>
  <c r="BO44" i="1"/>
  <c r="AV45" i="1"/>
  <c r="AW45" i="1"/>
  <c r="AY45" i="1"/>
  <c r="AZ45" i="1"/>
  <c r="BB45" i="1"/>
  <c r="BC45" i="1"/>
  <c r="BE45" i="1"/>
  <c r="BF45" i="1"/>
  <c r="BH45" i="1"/>
  <c r="BI45" i="1"/>
  <c r="BK45" i="1"/>
  <c r="BL45" i="1"/>
  <c r="BN45" i="1"/>
  <c r="BO45" i="1"/>
  <c r="AV46" i="1"/>
  <c r="AW46" i="1"/>
  <c r="AY46" i="1"/>
  <c r="AZ46" i="1"/>
  <c r="BB46" i="1"/>
  <c r="BC46" i="1"/>
  <c r="BE46" i="1"/>
  <c r="BF46" i="1"/>
  <c r="BH46" i="1"/>
  <c r="BI46" i="1"/>
  <c r="BK46" i="1"/>
  <c r="BL46" i="1"/>
  <c r="BN46" i="1"/>
  <c r="BO46" i="1"/>
  <c r="AV47" i="1"/>
  <c r="AW47" i="1"/>
  <c r="AY47" i="1"/>
  <c r="AZ47" i="1"/>
  <c r="BB47" i="1"/>
  <c r="BC47" i="1"/>
  <c r="BE47" i="1"/>
  <c r="BF47" i="1"/>
  <c r="BH47" i="1"/>
  <c r="BI47" i="1"/>
  <c r="BK47" i="1"/>
  <c r="BL47" i="1"/>
  <c r="BN47" i="1"/>
  <c r="BO47" i="1"/>
  <c r="AV48" i="1"/>
  <c r="AW48" i="1"/>
  <c r="AY48" i="1"/>
  <c r="AZ48" i="1"/>
  <c r="BB48" i="1"/>
  <c r="BC48" i="1"/>
  <c r="BE48" i="1"/>
  <c r="BF48" i="1"/>
  <c r="BH48" i="1"/>
  <c r="BI48" i="1"/>
  <c r="BK48" i="1"/>
  <c r="BL48" i="1"/>
  <c r="BN48" i="1"/>
  <c r="BO48" i="1"/>
  <c r="AV49" i="1"/>
  <c r="AW49" i="1"/>
  <c r="AY49" i="1"/>
  <c r="AZ49" i="1"/>
  <c r="BB49" i="1"/>
  <c r="BC49" i="1"/>
  <c r="BE49" i="1"/>
  <c r="BF49" i="1"/>
  <c r="BH49" i="1"/>
  <c r="BI49" i="1"/>
  <c r="BK49" i="1"/>
  <c r="BL49" i="1"/>
  <c r="BN49" i="1"/>
  <c r="BO49" i="1"/>
  <c r="AV50" i="1"/>
  <c r="AW50" i="1"/>
  <c r="AY50" i="1"/>
  <c r="AZ50" i="1"/>
  <c r="BB50" i="1"/>
  <c r="BC50" i="1"/>
  <c r="BE50" i="1"/>
  <c r="BF50" i="1"/>
  <c r="BH50" i="1"/>
  <c r="BI50" i="1"/>
  <c r="BK50" i="1"/>
  <c r="BL50" i="1"/>
  <c r="BN50" i="1"/>
  <c r="BO50" i="1"/>
  <c r="AV51" i="1"/>
  <c r="AW51" i="1"/>
  <c r="AY51" i="1"/>
  <c r="AZ51" i="1"/>
  <c r="BB51" i="1"/>
  <c r="BC51" i="1"/>
  <c r="BE51" i="1"/>
  <c r="BF51" i="1"/>
  <c r="BH51" i="1"/>
  <c r="BI51" i="1"/>
  <c r="BK51" i="1"/>
  <c r="BL51" i="1"/>
  <c r="BN51" i="1"/>
  <c r="BO51" i="1"/>
  <c r="AV52" i="1"/>
  <c r="AW52" i="1"/>
  <c r="AY52" i="1"/>
  <c r="AZ52" i="1"/>
  <c r="BB52" i="1"/>
  <c r="BC52" i="1"/>
  <c r="BE52" i="1"/>
  <c r="BF52" i="1"/>
  <c r="BH52" i="1"/>
  <c r="BI52" i="1"/>
  <c r="BK52" i="1"/>
  <c r="BL52" i="1"/>
  <c r="BN52" i="1"/>
  <c r="BO52" i="1"/>
  <c r="AV53" i="1"/>
  <c r="AW53" i="1"/>
  <c r="AY53" i="1"/>
  <c r="AZ53" i="1"/>
  <c r="BB53" i="1"/>
  <c r="BC53" i="1"/>
  <c r="BE53" i="1"/>
  <c r="BF53" i="1"/>
  <c r="BH53" i="1"/>
  <c r="BI53" i="1"/>
  <c r="BK53" i="1"/>
  <c r="BL53" i="1"/>
  <c r="BN53" i="1"/>
  <c r="BO53" i="1"/>
  <c r="AV54" i="1"/>
  <c r="AW54" i="1"/>
  <c r="AY54" i="1"/>
  <c r="AZ54" i="1"/>
  <c r="BB54" i="1"/>
  <c r="BC54" i="1"/>
  <c r="BE54" i="1"/>
  <c r="BF54" i="1"/>
  <c r="BH54" i="1"/>
  <c r="BI54" i="1"/>
  <c r="BK54" i="1"/>
  <c r="BL54" i="1"/>
  <c r="BN54" i="1"/>
  <c r="BO54" i="1"/>
  <c r="AV55" i="1"/>
  <c r="AW55" i="1"/>
  <c r="AY55" i="1"/>
  <c r="AZ55" i="1"/>
  <c r="BB55" i="1"/>
  <c r="BC55" i="1"/>
  <c r="BE55" i="1"/>
  <c r="BF55" i="1"/>
  <c r="BH55" i="1"/>
  <c r="BI55" i="1"/>
  <c r="BK55" i="1"/>
  <c r="BL55" i="1"/>
  <c r="BN55" i="1"/>
  <c r="BO55" i="1"/>
  <c r="AV56" i="1"/>
  <c r="AW56" i="1"/>
  <c r="AY56" i="1"/>
  <c r="AZ56" i="1"/>
  <c r="BB56" i="1"/>
  <c r="BC56" i="1"/>
  <c r="BE56" i="1"/>
  <c r="BF56" i="1"/>
  <c r="BH56" i="1"/>
  <c r="BI56" i="1"/>
  <c r="BK56" i="1"/>
  <c r="BL56" i="1"/>
  <c r="BN56" i="1"/>
  <c r="BO56" i="1"/>
  <c r="AV57" i="1"/>
  <c r="AW57" i="1"/>
  <c r="AY57" i="1"/>
  <c r="AZ57" i="1"/>
  <c r="BB57" i="1"/>
  <c r="BC57" i="1"/>
  <c r="BE57" i="1"/>
  <c r="BF57" i="1"/>
  <c r="BH57" i="1"/>
  <c r="BI57" i="1"/>
  <c r="BK57" i="1"/>
  <c r="BL57" i="1"/>
  <c r="BN57" i="1"/>
  <c r="BO57" i="1"/>
  <c r="AV58" i="1"/>
  <c r="AW58" i="1"/>
  <c r="AY58" i="1"/>
  <c r="AZ58" i="1"/>
  <c r="BB58" i="1"/>
  <c r="BC58" i="1"/>
  <c r="BE58" i="1"/>
  <c r="BF58" i="1"/>
  <c r="BH58" i="1"/>
  <c r="BI58" i="1"/>
  <c r="BK58" i="1"/>
  <c r="BL58" i="1"/>
  <c r="BN58" i="1"/>
  <c r="BO58" i="1"/>
  <c r="AV59" i="1"/>
  <c r="AW59" i="1"/>
  <c r="AY59" i="1"/>
  <c r="AZ59" i="1"/>
  <c r="BB59" i="1"/>
  <c r="BC59" i="1"/>
  <c r="BE59" i="1"/>
  <c r="BF59" i="1"/>
  <c r="BH59" i="1"/>
  <c r="BI59" i="1"/>
  <c r="BK59" i="1"/>
  <c r="BL59" i="1"/>
  <c r="BN59" i="1"/>
  <c r="BO59" i="1"/>
  <c r="AV60" i="1"/>
  <c r="AW60" i="1"/>
  <c r="AY60" i="1"/>
  <c r="AZ60" i="1"/>
  <c r="BB60" i="1"/>
  <c r="BC60" i="1"/>
  <c r="BE60" i="1"/>
  <c r="BF60" i="1"/>
  <c r="BH60" i="1"/>
  <c r="BI60" i="1"/>
  <c r="BK60" i="1"/>
  <c r="BL60" i="1"/>
  <c r="BN60" i="1"/>
  <c r="BO60" i="1"/>
  <c r="AV61" i="1"/>
  <c r="AW61" i="1"/>
  <c r="AY61" i="1"/>
  <c r="AZ61" i="1"/>
  <c r="BB61" i="1"/>
  <c r="BC61" i="1"/>
  <c r="BE61" i="1"/>
  <c r="BF61" i="1"/>
  <c r="BH61" i="1"/>
  <c r="BI61" i="1"/>
  <c r="BK61" i="1"/>
  <c r="BL61" i="1"/>
  <c r="BN61" i="1"/>
  <c r="BO61" i="1"/>
  <c r="AV62" i="1"/>
  <c r="AW62" i="1"/>
  <c r="AY62" i="1"/>
  <c r="AZ62" i="1"/>
  <c r="BB62" i="1"/>
  <c r="BC62" i="1"/>
  <c r="BE62" i="1"/>
  <c r="BF62" i="1"/>
  <c r="BH62" i="1"/>
  <c r="BI62" i="1"/>
  <c r="BK62" i="1"/>
  <c r="BL62" i="1"/>
  <c r="BN62" i="1"/>
  <c r="BO62" i="1"/>
  <c r="AV63" i="1"/>
  <c r="AW63" i="1"/>
  <c r="AY63" i="1"/>
  <c r="AZ63" i="1"/>
  <c r="BB63" i="1"/>
  <c r="BC63" i="1"/>
  <c r="BE63" i="1"/>
  <c r="BF63" i="1"/>
  <c r="BH63" i="1"/>
  <c r="BI63" i="1"/>
  <c r="BK63" i="1"/>
  <c r="BL63" i="1"/>
  <c r="BN63" i="1"/>
  <c r="BO63" i="1"/>
  <c r="AV64" i="1"/>
  <c r="AW64" i="1"/>
  <c r="AY64" i="1"/>
  <c r="AZ64" i="1"/>
  <c r="BB64" i="1"/>
  <c r="BC64" i="1"/>
  <c r="BE64" i="1"/>
  <c r="BF64" i="1"/>
  <c r="BH64" i="1"/>
  <c r="BI64" i="1"/>
  <c r="BK64" i="1"/>
  <c r="BL64" i="1"/>
  <c r="BN64" i="1"/>
  <c r="BO64" i="1"/>
  <c r="AV65" i="1"/>
  <c r="AW65" i="1"/>
  <c r="AY65" i="1"/>
  <c r="AZ65" i="1"/>
  <c r="BB65" i="1"/>
  <c r="BC65" i="1"/>
  <c r="BE65" i="1"/>
  <c r="BF65" i="1"/>
  <c r="BH65" i="1"/>
  <c r="BI65" i="1"/>
  <c r="BK65" i="1"/>
  <c r="BL65" i="1"/>
  <c r="BN65" i="1"/>
  <c r="BO65" i="1"/>
  <c r="AV66" i="1"/>
  <c r="AW66" i="1"/>
  <c r="AY66" i="1"/>
  <c r="AZ66" i="1"/>
  <c r="BB66" i="1"/>
  <c r="BC66" i="1"/>
  <c r="BE66" i="1"/>
  <c r="BF66" i="1"/>
  <c r="BH66" i="1"/>
  <c r="BI66" i="1"/>
  <c r="BK66" i="1"/>
  <c r="BL66" i="1"/>
  <c r="BN66" i="1"/>
  <c r="BO66" i="1"/>
  <c r="AV68" i="1"/>
  <c r="AW68" i="1"/>
  <c r="AY68" i="1"/>
  <c r="AZ68" i="1"/>
  <c r="BB68" i="1"/>
  <c r="BC68" i="1"/>
  <c r="BE68" i="1"/>
  <c r="BF68" i="1"/>
  <c r="BH68" i="1"/>
  <c r="BI68" i="1"/>
  <c r="BK68" i="1"/>
  <c r="BL68" i="1"/>
  <c r="BN68" i="1"/>
  <c r="BO68" i="1"/>
  <c r="AV69" i="1"/>
  <c r="AW69" i="1"/>
  <c r="AY69" i="1"/>
  <c r="AZ69" i="1"/>
  <c r="BB69" i="1"/>
  <c r="BC69" i="1"/>
  <c r="BE69" i="1"/>
  <c r="BF69" i="1"/>
  <c r="BH69" i="1"/>
  <c r="BI69" i="1"/>
  <c r="BK69" i="1"/>
  <c r="BL69" i="1"/>
  <c r="BN69" i="1"/>
  <c r="BO69" i="1"/>
  <c r="AV70" i="1"/>
  <c r="AW70" i="1"/>
  <c r="AY70" i="1"/>
  <c r="AZ70" i="1"/>
  <c r="BB70" i="1"/>
  <c r="BC70" i="1"/>
  <c r="BE70" i="1"/>
  <c r="BF70" i="1"/>
  <c r="BH70" i="1"/>
  <c r="BI70" i="1"/>
  <c r="BK70" i="1"/>
  <c r="BL70" i="1"/>
  <c r="BN70" i="1"/>
  <c r="BO70" i="1"/>
  <c r="AV71" i="1"/>
  <c r="AW71" i="1"/>
  <c r="AY71" i="1"/>
  <c r="AZ71" i="1"/>
  <c r="BB71" i="1"/>
  <c r="BC71" i="1"/>
  <c r="BE71" i="1"/>
  <c r="BF71" i="1"/>
  <c r="BH71" i="1"/>
  <c r="BI71" i="1"/>
  <c r="BK71" i="1"/>
  <c r="BL71" i="1"/>
  <c r="BN71" i="1"/>
  <c r="BO71" i="1"/>
  <c r="AV72" i="1"/>
  <c r="AW72" i="1"/>
  <c r="AY72" i="1"/>
  <c r="AZ72" i="1"/>
  <c r="BB72" i="1"/>
  <c r="BC72" i="1"/>
  <c r="BE72" i="1"/>
  <c r="BF72" i="1"/>
  <c r="BH72" i="1"/>
  <c r="BI72" i="1"/>
  <c r="BK72" i="1"/>
  <c r="BL72" i="1"/>
  <c r="BN72" i="1"/>
  <c r="BO72" i="1"/>
  <c r="AV73" i="1"/>
  <c r="AW73" i="1"/>
  <c r="AY73" i="1"/>
  <c r="AZ73" i="1"/>
  <c r="BB73" i="1"/>
  <c r="BC73" i="1"/>
  <c r="BE73" i="1"/>
  <c r="BF73" i="1"/>
  <c r="BH73" i="1"/>
  <c r="BI73" i="1"/>
  <c r="BK73" i="1"/>
  <c r="BL73" i="1"/>
  <c r="BN73" i="1"/>
  <c r="BO73" i="1"/>
  <c r="AV76" i="1"/>
  <c r="AW76" i="1"/>
  <c r="AY76" i="1"/>
  <c r="AZ76" i="1"/>
  <c r="BB76" i="1"/>
  <c r="BC76" i="1"/>
  <c r="BE76" i="1"/>
  <c r="BF76" i="1"/>
  <c r="BH76" i="1"/>
  <c r="BI76" i="1"/>
  <c r="BK76" i="1"/>
  <c r="BL76" i="1"/>
  <c r="BN76" i="1"/>
  <c r="BO76" i="1"/>
  <c r="AV78" i="1"/>
  <c r="AW78" i="1"/>
  <c r="AY78" i="1"/>
  <c r="AZ78" i="1"/>
  <c r="BB78" i="1"/>
  <c r="BC78" i="1"/>
  <c r="BE78" i="1"/>
  <c r="BF78" i="1"/>
  <c r="BH78" i="1"/>
  <c r="BI78" i="1"/>
  <c r="BK78" i="1"/>
  <c r="BL78" i="1"/>
  <c r="BN78" i="1"/>
  <c r="BO78" i="1"/>
  <c r="AV79" i="1"/>
  <c r="AW79" i="1"/>
  <c r="AY79" i="1"/>
  <c r="AZ79" i="1"/>
  <c r="BB79" i="1"/>
  <c r="BC79" i="1"/>
  <c r="BE79" i="1"/>
  <c r="BF79" i="1"/>
  <c r="BH79" i="1"/>
  <c r="BI79" i="1"/>
  <c r="BK79" i="1"/>
  <c r="BL79" i="1"/>
  <c r="BN79" i="1"/>
  <c r="BO79" i="1"/>
  <c r="AV81" i="1"/>
  <c r="AW81" i="1"/>
  <c r="AY81" i="1"/>
  <c r="AZ81" i="1"/>
  <c r="BB81" i="1"/>
  <c r="BC81" i="1"/>
  <c r="BE81" i="1"/>
  <c r="BF81" i="1"/>
  <c r="BH81" i="1"/>
  <c r="BI81" i="1"/>
  <c r="BK81" i="1"/>
  <c r="BL81" i="1"/>
  <c r="BN81" i="1"/>
  <c r="BO81" i="1"/>
  <c r="AV82" i="1"/>
  <c r="AW82" i="1"/>
  <c r="AY82" i="1"/>
  <c r="AZ82" i="1"/>
  <c r="BB82" i="1"/>
  <c r="BC82" i="1"/>
  <c r="BE82" i="1"/>
  <c r="BF82" i="1"/>
  <c r="BH82" i="1"/>
  <c r="BI82" i="1"/>
  <c r="BK82" i="1"/>
  <c r="BL82" i="1"/>
  <c r="BN82" i="1"/>
  <c r="BO82" i="1"/>
  <c r="AV83" i="1"/>
  <c r="AW83" i="1"/>
  <c r="AY83" i="1"/>
  <c r="AZ83" i="1"/>
  <c r="BB83" i="1"/>
  <c r="BC83" i="1"/>
  <c r="BE83" i="1"/>
  <c r="BF83" i="1"/>
  <c r="BH83" i="1"/>
  <c r="BI83" i="1"/>
  <c r="BK83" i="1"/>
  <c r="BL83" i="1"/>
  <c r="BN83" i="1"/>
  <c r="BO83" i="1"/>
  <c r="AV84" i="1"/>
  <c r="AW84" i="1"/>
  <c r="AY84" i="1"/>
  <c r="AZ84" i="1"/>
  <c r="BB84" i="1"/>
  <c r="BC84" i="1"/>
  <c r="BE84" i="1"/>
  <c r="BF84" i="1"/>
  <c r="BH84" i="1"/>
  <c r="BI84" i="1"/>
  <c r="BK84" i="1"/>
  <c r="BL84" i="1"/>
  <c r="BN84" i="1"/>
  <c r="BO84" i="1"/>
  <c r="AV85" i="1"/>
  <c r="AW85" i="1"/>
  <c r="AY85" i="1"/>
  <c r="AZ85" i="1"/>
  <c r="BB85" i="1"/>
  <c r="BC85" i="1"/>
  <c r="BE85" i="1"/>
  <c r="BF85" i="1"/>
  <c r="BH85" i="1"/>
  <c r="BI85" i="1"/>
  <c r="BK85" i="1"/>
  <c r="BL85" i="1"/>
  <c r="BN85" i="1"/>
  <c r="BO85" i="1"/>
  <c r="AV86" i="1"/>
  <c r="AW86" i="1"/>
  <c r="AY86" i="1"/>
  <c r="AZ86" i="1"/>
  <c r="BB86" i="1"/>
  <c r="BC86" i="1"/>
  <c r="BE86" i="1"/>
  <c r="BF86" i="1"/>
  <c r="BH86" i="1"/>
  <c r="BI86" i="1"/>
  <c r="BK86" i="1"/>
  <c r="BL86" i="1"/>
  <c r="BN86" i="1"/>
  <c r="BO86" i="1"/>
  <c r="AV87" i="1"/>
  <c r="AW87" i="1"/>
  <c r="AY87" i="1"/>
  <c r="AZ87" i="1"/>
  <c r="BB87" i="1"/>
  <c r="BC87" i="1"/>
  <c r="BE87" i="1"/>
  <c r="BF87" i="1"/>
  <c r="BH87" i="1"/>
  <c r="BI87" i="1"/>
  <c r="BK87" i="1"/>
  <c r="BL87" i="1"/>
  <c r="BN87" i="1"/>
  <c r="BO87" i="1"/>
  <c r="AV88" i="1"/>
  <c r="AW88" i="1"/>
  <c r="AY88" i="1"/>
  <c r="AZ88" i="1"/>
  <c r="BB88" i="1"/>
  <c r="BC88" i="1"/>
  <c r="BE88" i="1"/>
  <c r="BF88" i="1"/>
  <c r="BH88" i="1"/>
  <c r="BI88" i="1"/>
  <c r="BK88" i="1"/>
  <c r="BL88" i="1"/>
  <c r="BN88" i="1"/>
  <c r="BO88" i="1"/>
  <c r="AV89" i="1"/>
  <c r="AW89" i="1"/>
  <c r="AY89" i="1"/>
  <c r="AZ89" i="1"/>
  <c r="BB89" i="1"/>
  <c r="BC89" i="1"/>
  <c r="BE89" i="1"/>
  <c r="BF89" i="1"/>
  <c r="BH89" i="1"/>
  <c r="BI89" i="1"/>
  <c r="BK89" i="1"/>
  <c r="BL89" i="1"/>
  <c r="BN89" i="1"/>
  <c r="BO89" i="1"/>
  <c r="AV90" i="1"/>
  <c r="AW90" i="1"/>
  <c r="AY90" i="1"/>
  <c r="AZ90" i="1"/>
  <c r="BB90" i="1"/>
  <c r="BC90" i="1"/>
  <c r="BE90" i="1"/>
  <c r="BF90" i="1"/>
  <c r="BH90" i="1"/>
  <c r="BI90" i="1"/>
  <c r="BK90" i="1"/>
  <c r="BL90" i="1"/>
  <c r="BN90" i="1"/>
  <c r="BO90" i="1"/>
  <c r="AV93" i="1"/>
  <c r="AW93" i="1"/>
  <c r="AY93" i="1"/>
  <c r="AZ93" i="1"/>
  <c r="BB93" i="1"/>
  <c r="BC93" i="1"/>
  <c r="BE93" i="1"/>
  <c r="BF93" i="1"/>
  <c r="BH93" i="1"/>
  <c r="BI93" i="1"/>
  <c r="BK93" i="1"/>
  <c r="BL93" i="1"/>
  <c r="BN93" i="1"/>
  <c r="BO93" i="1"/>
  <c r="AV94" i="1"/>
  <c r="AW94" i="1"/>
  <c r="AY94" i="1"/>
  <c r="AZ94" i="1"/>
  <c r="BB94" i="1"/>
  <c r="BC94" i="1"/>
  <c r="BE94" i="1"/>
  <c r="BF94" i="1"/>
  <c r="BH94" i="1"/>
  <c r="BI94" i="1"/>
  <c r="BK94" i="1"/>
  <c r="BL94" i="1"/>
  <c r="BN94" i="1"/>
  <c r="BO94" i="1"/>
  <c r="AV96" i="1"/>
  <c r="AW96" i="1"/>
  <c r="AY96" i="1"/>
  <c r="AZ96" i="1"/>
  <c r="BB96" i="1"/>
  <c r="BC96" i="1"/>
  <c r="BE96" i="1"/>
  <c r="BF96" i="1"/>
  <c r="BH96" i="1"/>
  <c r="BI96" i="1"/>
  <c r="BK96" i="1"/>
  <c r="BL96" i="1"/>
  <c r="BN96" i="1"/>
  <c r="BO96" i="1"/>
  <c r="AV97" i="1"/>
  <c r="AW97" i="1"/>
  <c r="AY97" i="1"/>
  <c r="AZ97" i="1"/>
  <c r="BB97" i="1"/>
  <c r="BC97" i="1"/>
  <c r="BE97" i="1"/>
  <c r="BF97" i="1"/>
  <c r="BH97" i="1"/>
  <c r="BI97" i="1"/>
  <c r="BK97" i="1"/>
  <c r="BL97" i="1"/>
  <c r="BN97" i="1"/>
  <c r="BO97" i="1"/>
  <c r="AV98" i="1"/>
  <c r="AW98" i="1"/>
  <c r="AY98" i="1"/>
  <c r="AZ98" i="1"/>
  <c r="BB98" i="1"/>
  <c r="BC98" i="1"/>
  <c r="BE98" i="1"/>
  <c r="BF98" i="1"/>
  <c r="BH98" i="1"/>
  <c r="BI98" i="1"/>
  <c r="BK98" i="1"/>
  <c r="BL98" i="1"/>
  <c r="BN98" i="1"/>
  <c r="BO98" i="1"/>
  <c r="AV99" i="1"/>
  <c r="AW99" i="1"/>
  <c r="AY99" i="1"/>
  <c r="AZ99" i="1"/>
  <c r="BB99" i="1"/>
  <c r="BC99" i="1"/>
  <c r="BE99" i="1"/>
  <c r="BF99" i="1"/>
  <c r="BH99" i="1"/>
  <c r="BI99" i="1"/>
  <c r="BK99" i="1"/>
  <c r="BL99" i="1"/>
  <c r="BN99" i="1"/>
  <c r="BO99" i="1"/>
  <c r="AV100" i="1"/>
  <c r="AW100" i="1"/>
  <c r="AY100" i="1"/>
  <c r="AZ100" i="1"/>
  <c r="BB100" i="1"/>
  <c r="BC100" i="1"/>
  <c r="BE100" i="1"/>
  <c r="BF100" i="1"/>
  <c r="BH100" i="1"/>
  <c r="BI100" i="1"/>
  <c r="BK100" i="1"/>
  <c r="BL100" i="1"/>
  <c r="BN100" i="1"/>
  <c r="BO100" i="1"/>
  <c r="AV101" i="1"/>
  <c r="AW101" i="1"/>
  <c r="AY101" i="1"/>
  <c r="AZ101" i="1"/>
  <c r="BB101" i="1"/>
  <c r="BC101" i="1"/>
  <c r="BE101" i="1"/>
  <c r="BF101" i="1"/>
  <c r="BH101" i="1"/>
  <c r="BI101" i="1"/>
  <c r="BK101" i="1"/>
  <c r="BL101" i="1"/>
  <c r="BN101" i="1"/>
  <c r="BO101" i="1"/>
  <c r="AV102" i="1"/>
  <c r="AW102" i="1"/>
  <c r="AY102" i="1"/>
  <c r="AZ102" i="1"/>
  <c r="BB102" i="1"/>
  <c r="BC102" i="1"/>
  <c r="BE102" i="1"/>
  <c r="BF102" i="1"/>
  <c r="BH102" i="1"/>
  <c r="BI102" i="1"/>
  <c r="BK102" i="1"/>
  <c r="BL102" i="1"/>
  <c r="BN102" i="1"/>
  <c r="BO102" i="1"/>
  <c r="AV103" i="1"/>
  <c r="AW103" i="1"/>
  <c r="AY103" i="1"/>
  <c r="AZ103" i="1"/>
  <c r="BB103" i="1"/>
  <c r="BC103" i="1"/>
  <c r="BE103" i="1"/>
  <c r="BF103" i="1"/>
  <c r="BH103" i="1"/>
  <c r="BI103" i="1"/>
  <c r="BK103" i="1"/>
  <c r="BL103" i="1"/>
  <c r="BN103" i="1"/>
  <c r="BO103" i="1"/>
  <c r="AV104" i="1"/>
  <c r="AW104" i="1"/>
  <c r="AY104" i="1"/>
  <c r="AZ104" i="1"/>
  <c r="BB104" i="1"/>
  <c r="BC104" i="1"/>
  <c r="BE104" i="1"/>
  <c r="BF104" i="1"/>
  <c r="BH104" i="1"/>
  <c r="BI104" i="1"/>
  <c r="BK104" i="1"/>
  <c r="BL104" i="1"/>
  <c r="BN104" i="1"/>
  <c r="BO104" i="1"/>
  <c r="AV105" i="1"/>
  <c r="AW105" i="1"/>
  <c r="AY105" i="1"/>
  <c r="AZ105" i="1"/>
  <c r="BB105" i="1"/>
  <c r="BC105" i="1"/>
  <c r="BE105" i="1"/>
  <c r="BF105" i="1"/>
  <c r="BH105" i="1"/>
  <c r="BI105" i="1"/>
  <c r="BK105" i="1"/>
  <c r="BL105" i="1"/>
  <c r="BN105" i="1"/>
  <c r="BO105" i="1"/>
  <c r="AV107" i="1"/>
  <c r="AW107" i="1"/>
  <c r="AY107" i="1"/>
  <c r="AZ107" i="1"/>
  <c r="BB107" i="1"/>
  <c r="BC107" i="1"/>
  <c r="BE107" i="1"/>
  <c r="BF107" i="1"/>
  <c r="BH107" i="1"/>
  <c r="BI107" i="1"/>
  <c r="BK107" i="1"/>
  <c r="BL107" i="1"/>
  <c r="BN107" i="1"/>
  <c r="BO107" i="1"/>
  <c r="AV108" i="1"/>
  <c r="AW108" i="1"/>
  <c r="AY108" i="1"/>
  <c r="AZ108" i="1"/>
  <c r="BB108" i="1"/>
  <c r="BC108" i="1"/>
  <c r="BE108" i="1"/>
  <c r="BF108" i="1"/>
  <c r="BH108" i="1"/>
  <c r="BI108" i="1"/>
  <c r="BK108" i="1"/>
  <c r="BL108" i="1"/>
  <c r="BN108" i="1"/>
  <c r="BO108" i="1"/>
  <c r="AV110" i="1"/>
  <c r="AW110" i="1"/>
  <c r="AY110" i="1"/>
  <c r="AZ110" i="1"/>
  <c r="BB110" i="1"/>
  <c r="BC110" i="1"/>
  <c r="BE110" i="1"/>
  <c r="BF110" i="1"/>
  <c r="BH110" i="1"/>
  <c r="BI110" i="1"/>
  <c r="BK110" i="1"/>
  <c r="BL110" i="1"/>
  <c r="BN110" i="1"/>
  <c r="BO110" i="1"/>
  <c r="AV111" i="1"/>
  <c r="AW111" i="1"/>
  <c r="AY111" i="1"/>
  <c r="AZ111" i="1"/>
  <c r="BB111" i="1"/>
  <c r="BC111" i="1"/>
  <c r="BE111" i="1"/>
  <c r="BF111" i="1"/>
  <c r="BH111" i="1"/>
  <c r="BI111" i="1"/>
  <c r="BK111" i="1"/>
  <c r="BL111" i="1"/>
  <c r="BN111" i="1"/>
  <c r="BO111" i="1"/>
  <c r="AV112" i="1"/>
  <c r="AW112" i="1"/>
  <c r="AY112" i="1"/>
  <c r="AZ112" i="1"/>
  <c r="BB112" i="1"/>
  <c r="BC112" i="1"/>
  <c r="BE112" i="1"/>
  <c r="BF112" i="1"/>
  <c r="BH112" i="1"/>
  <c r="BI112" i="1"/>
  <c r="BK112" i="1"/>
  <c r="BL112" i="1"/>
  <c r="BN112" i="1"/>
  <c r="BO112" i="1"/>
  <c r="AV113" i="1"/>
  <c r="AW113" i="1"/>
  <c r="AY113" i="1"/>
  <c r="AZ113" i="1"/>
  <c r="BB113" i="1"/>
  <c r="BC113" i="1"/>
  <c r="BE113" i="1"/>
  <c r="BF113" i="1"/>
  <c r="BH113" i="1"/>
  <c r="BI113" i="1"/>
  <c r="BK113" i="1"/>
  <c r="BL113" i="1"/>
  <c r="BN113" i="1"/>
  <c r="BO113" i="1"/>
  <c r="AV114" i="1"/>
  <c r="AW114" i="1"/>
  <c r="AY114" i="1"/>
  <c r="AZ114" i="1"/>
  <c r="BB114" i="1"/>
  <c r="BC114" i="1"/>
  <c r="BE114" i="1"/>
  <c r="BF114" i="1"/>
  <c r="BH114" i="1"/>
  <c r="BI114" i="1"/>
  <c r="BK114" i="1"/>
  <c r="BL114" i="1"/>
  <c r="BN114" i="1"/>
  <c r="BO114" i="1"/>
  <c r="AV115" i="1"/>
  <c r="AW115" i="1"/>
  <c r="AY115" i="1"/>
  <c r="AZ115" i="1"/>
  <c r="BB115" i="1"/>
  <c r="BC115" i="1"/>
  <c r="BE115" i="1"/>
  <c r="BF115" i="1"/>
  <c r="BH115" i="1"/>
  <c r="BI115" i="1"/>
  <c r="BK115" i="1"/>
  <c r="BL115" i="1"/>
  <c r="BN115" i="1"/>
  <c r="BO115" i="1"/>
  <c r="AV116" i="1"/>
  <c r="AW116" i="1"/>
  <c r="AY116" i="1"/>
  <c r="AZ116" i="1"/>
  <c r="BB116" i="1"/>
  <c r="BC116" i="1"/>
  <c r="BE116" i="1"/>
  <c r="BF116" i="1"/>
  <c r="BH116" i="1"/>
  <c r="BI116" i="1"/>
  <c r="BK116" i="1"/>
  <c r="BL116" i="1"/>
  <c r="BN116" i="1"/>
  <c r="BO116" i="1"/>
  <c r="AV117" i="1"/>
  <c r="AW117" i="1"/>
  <c r="AY117" i="1"/>
  <c r="AZ117" i="1"/>
  <c r="BB117" i="1"/>
  <c r="BC117" i="1"/>
  <c r="BE117" i="1"/>
  <c r="BF117" i="1"/>
  <c r="BH117" i="1"/>
  <c r="BI117" i="1"/>
  <c r="BK117" i="1"/>
  <c r="BL117" i="1"/>
  <c r="BN117" i="1"/>
  <c r="BO117" i="1"/>
  <c r="AV118" i="1"/>
  <c r="AW118" i="1"/>
  <c r="AY118" i="1"/>
  <c r="AZ118" i="1"/>
  <c r="BB118" i="1"/>
  <c r="BC118" i="1"/>
  <c r="BE118" i="1"/>
  <c r="BF118" i="1"/>
  <c r="BH118" i="1"/>
  <c r="BI118" i="1"/>
  <c r="BK118" i="1"/>
  <c r="BL118" i="1"/>
  <c r="BN118" i="1"/>
  <c r="BO118" i="1"/>
  <c r="AV119" i="1"/>
  <c r="AW119" i="1"/>
  <c r="AY119" i="1"/>
  <c r="AZ119" i="1"/>
  <c r="BB119" i="1"/>
  <c r="BC119" i="1"/>
  <c r="BE119" i="1"/>
  <c r="BF119" i="1"/>
  <c r="BH119" i="1"/>
  <c r="BI119" i="1"/>
  <c r="BK119" i="1"/>
  <c r="BL119" i="1"/>
  <c r="BN119" i="1"/>
  <c r="BO119" i="1"/>
  <c r="AV120" i="1"/>
  <c r="AW120" i="1"/>
  <c r="AY120" i="1"/>
  <c r="AZ120" i="1"/>
  <c r="BB120" i="1"/>
  <c r="BC120" i="1"/>
  <c r="BE120" i="1"/>
  <c r="BF120" i="1"/>
  <c r="BH120" i="1"/>
  <c r="BI120" i="1"/>
  <c r="BK120" i="1"/>
  <c r="BL120" i="1"/>
  <c r="BN120" i="1"/>
  <c r="BO120" i="1"/>
  <c r="AV121" i="1"/>
  <c r="AW121" i="1"/>
  <c r="AY121" i="1"/>
  <c r="AZ121" i="1"/>
  <c r="BB121" i="1"/>
  <c r="BC121" i="1"/>
  <c r="BE121" i="1"/>
  <c r="BF121" i="1"/>
  <c r="BH121" i="1"/>
  <c r="BI121" i="1"/>
  <c r="BK121" i="1"/>
  <c r="BL121" i="1"/>
  <c r="BN121" i="1"/>
  <c r="BO121" i="1"/>
  <c r="AV122" i="1"/>
  <c r="AW122" i="1"/>
  <c r="AY122" i="1"/>
  <c r="AZ122" i="1"/>
  <c r="BB122" i="1"/>
  <c r="BC122" i="1"/>
  <c r="BE122" i="1"/>
  <c r="BF122" i="1"/>
  <c r="BH122" i="1"/>
  <c r="BI122" i="1"/>
  <c r="BK122" i="1"/>
  <c r="BL122" i="1"/>
  <c r="BN122" i="1"/>
  <c r="BO122" i="1"/>
  <c r="AV123" i="1"/>
  <c r="AW123" i="1"/>
  <c r="AY123" i="1"/>
  <c r="AZ123" i="1"/>
  <c r="BB123" i="1"/>
  <c r="BC123" i="1"/>
  <c r="BE123" i="1"/>
  <c r="BF123" i="1"/>
  <c r="BH123" i="1"/>
  <c r="BI123" i="1"/>
  <c r="BK123" i="1"/>
  <c r="BL123" i="1"/>
  <c r="BN123" i="1"/>
  <c r="BO123" i="1"/>
  <c r="AV124" i="1"/>
  <c r="AW124" i="1"/>
  <c r="AY124" i="1"/>
  <c r="AZ124" i="1"/>
  <c r="BB124" i="1"/>
  <c r="BC124" i="1"/>
  <c r="BE124" i="1"/>
  <c r="BF124" i="1"/>
  <c r="BH124" i="1"/>
  <c r="BI124" i="1"/>
  <c r="BK124" i="1"/>
  <c r="BL124" i="1"/>
  <c r="BN124" i="1"/>
  <c r="BO124" i="1"/>
  <c r="AV125" i="1"/>
  <c r="AW125" i="1"/>
  <c r="AY125" i="1"/>
  <c r="AZ125" i="1"/>
  <c r="BB125" i="1"/>
  <c r="BC125" i="1"/>
  <c r="BE125" i="1"/>
  <c r="BF125" i="1"/>
  <c r="BH125" i="1"/>
  <c r="BI125" i="1"/>
  <c r="BK125" i="1"/>
  <c r="BL125" i="1"/>
  <c r="BN125" i="1"/>
  <c r="BO125" i="1"/>
  <c r="AV126" i="1"/>
  <c r="AW126" i="1"/>
  <c r="AY126" i="1"/>
  <c r="AZ126" i="1"/>
  <c r="BB126" i="1"/>
  <c r="BC126" i="1"/>
  <c r="BE126" i="1"/>
  <c r="BF126" i="1"/>
  <c r="BH126" i="1"/>
  <c r="BI126" i="1"/>
  <c r="BK126" i="1"/>
  <c r="BL126" i="1"/>
  <c r="BN126" i="1"/>
  <c r="BO126" i="1"/>
  <c r="AV127" i="1"/>
  <c r="AW127" i="1"/>
  <c r="AY127" i="1"/>
  <c r="AZ127" i="1"/>
  <c r="BB127" i="1"/>
  <c r="BC127" i="1"/>
  <c r="BE127" i="1"/>
  <c r="BF127" i="1"/>
  <c r="BH127" i="1"/>
  <c r="BI127" i="1"/>
  <c r="BK127" i="1"/>
  <c r="BL127" i="1"/>
  <c r="BN127" i="1"/>
  <c r="BO127" i="1"/>
  <c r="AV128" i="1"/>
  <c r="AW128" i="1"/>
  <c r="AY128" i="1"/>
  <c r="AZ128" i="1"/>
  <c r="BB128" i="1"/>
  <c r="BC128" i="1"/>
  <c r="BE128" i="1"/>
  <c r="BF128" i="1"/>
  <c r="BH128" i="1"/>
  <c r="BI128" i="1"/>
  <c r="BK128" i="1"/>
  <c r="BL128" i="1"/>
  <c r="BN128" i="1"/>
  <c r="BO128" i="1"/>
  <c r="AV129" i="1"/>
  <c r="AW129" i="1"/>
  <c r="AY129" i="1"/>
  <c r="AZ129" i="1"/>
  <c r="BB129" i="1"/>
  <c r="BC129" i="1"/>
  <c r="BE129" i="1"/>
  <c r="BF129" i="1"/>
  <c r="BH129" i="1"/>
  <c r="BI129" i="1"/>
  <c r="BK129" i="1"/>
  <c r="BL129" i="1"/>
  <c r="BN129" i="1"/>
  <c r="BO129" i="1"/>
  <c r="AV130" i="1"/>
  <c r="AW130" i="1"/>
  <c r="AY130" i="1"/>
  <c r="AZ130" i="1"/>
  <c r="BB130" i="1"/>
  <c r="BC130" i="1"/>
  <c r="BE130" i="1"/>
  <c r="BF130" i="1"/>
  <c r="BH130" i="1"/>
  <c r="BI130" i="1"/>
  <c r="BK130" i="1"/>
  <c r="BL130" i="1"/>
  <c r="BN130" i="1"/>
  <c r="BO130" i="1"/>
  <c r="AV131" i="1"/>
  <c r="AW131" i="1"/>
  <c r="AY131" i="1"/>
  <c r="AZ131" i="1"/>
  <c r="BB131" i="1"/>
  <c r="BC131" i="1"/>
  <c r="BE131" i="1"/>
  <c r="BF131" i="1"/>
  <c r="BH131" i="1"/>
  <c r="BI131" i="1"/>
  <c r="BK131" i="1"/>
  <c r="BL131" i="1"/>
  <c r="BN131" i="1"/>
  <c r="BO131" i="1"/>
  <c r="AV132" i="1"/>
  <c r="AW132" i="1"/>
  <c r="AY132" i="1"/>
  <c r="AZ132" i="1"/>
  <c r="BB132" i="1"/>
  <c r="BC132" i="1"/>
  <c r="BE132" i="1"/>
  <c r="BF132" i="1"/>
  <c r="BH132" i="1"/>
  <c r="BI132" i="1"/>
  <c r="BK132" i="1"/>
  <c r="BL132" i="1"/>
  <c r="BN132" i="1"/>
  <c r="BO132" i="1"/>
  <c r="AV133" i="1"/>
  <c r="AW133" i="1"/>
  <c r="AY133" i="1"/>
  <c r="AZ133" i="1"/>
  <c r="BB133" i="1"/>
  <c r="BC133" i="1"/>
  <c r="BE133" i="1"/>
  <c r="BF133" i="1"/>
  <c r="BH133" i="1"/>
  <c r="BI133" i="1"/>
  <c r="BK133" i="1"/>
  <c r="BL133" i="1"/>
  <c r="BN133" i="1"/>
  <c r="BO133" i="1"/>
  <c r="AV136" i="1"/>
  <c r="AW136" i="1"/>
  <c r="AY136" i="1"/>
  <c r="AZ136" i="1"/>
  <c r="BB136" i="1"/>
  <c r="BC136" i="1"/>
  <c r="BE136" i="1"/>
  <c r="BF136" i="1"/>
  <c r="BH136" i="1"/>
  <c r="BI136" i="1"/>
  <c r="BK136" i="1"/>
  <c r="BL136" i="1"/>
  <c r="BN136" i="1"/>
  <c r="BO136" i="1"/>
  <c r="AV137" i="1"/>
  <c r="AW137" i="1"/>
  <c r="AY137" i="1"/>
  <c r="AZ137" i="1"/>
  <c r="BB137" i="1"/>
  <c r="BC137" i="1"/>
  <c r="BE137" i="1"/>
  <c r="BF137" i="1"/>
  <c r="BH137" i="1"/>
  <c r="BI137" i="1"/>
  <c r="BK137" i="1"/>
  <c r="BL137" i="1"/>
  <c r="BN137" i="1"/>
  <c r="BO137" i="1"/>
  <c r="AV138" i="1"/>
  <c r="AW138" i="1"/>
  <c r="AY138" i="1"/>
  <c r="AZ138" i="1"/>
  <c r="BB138" i="1"/>
  <c r="BC138" i="1"/>
  <c r="BE138" i="1"/>
  <c r="BF138" i="1"/>
  <c r="BH138" i="1"/>
  <c r="BI138" i="1"/>
  <c r="BK138" i="1"/>
  <c r="BL138" i="1"/>
  <c r="BN138" i="1"/>
  <c r="BO138" i="1"/>
  <c r="AV139" i="1"/>
  <c r="AW139" i="1"/>
  <c r="AY139" i="1"/>
  <c r="AZ139" i="1"/>
  <c r="BB139" i="1"/>
  <c r="BC139" i="1"/>
  <c r="BE139" i="1"/>
  <c r="BF139" i="1"/>
  <c r="BH139" i="1"/>
  <c r="BI139" i="1"/>
  <c r="BK139" i="1"/>
  <c r="BL139" i="1"/>
  <c r="BN139" i="1"/>
  <c r="BO139" i="1"/>
  <c r="AV140" i="1"/>
  <c r="AW140" i="1"/>
  <c r="AY140" i="1"/>
  <c r="AZ140" i="1"/>
  <c r="BB140" i="1"/>
  <c r="BC140" i="1"/>
  <c r="BE140" i="1"/>
  <c r="BF140" i="1"/>
  <c r="BH140" i="1"/>
  <c r="BI140" i="1"/>
  <c r="BK140" i="1"/>
  <c r="BL140" i="1"/>
  <c r="BN140" i="1"/>
  <c r="BO140" i="1"/>
  <c r="AV141" i="1"/>
  <c r="AW141" i="1"/>
  <c r="AY141" i="1"/>
  <c r="AZ141" i="1"/>
  <c r="BB141" i="1"/>
  <c r="BC141" i="1"/>
  <c r="BE141" i="1"/>
  <c r="BF141" i="1"/>
  <c r="BH141" i="1"/>
  <c r="BI141" i="1"/>
  <c r="BK141" i="1"/>
  <c r="BL141" i="1"/>
  <c r="BN141" i="1"/>
  <c r="BO141" i="1"/>
  <c r="AV143" i="1"/>
  <c r="AW143" i="1"/>
  <c r="AY143" i="1"/>
  <c r="AZ143" i="1"/>
  <c r="BB143" i="1"/>
  <c r="BC143" i="1"/>
  <c r="BE143" i="1"/>
  <c r="BF143" i="1"/>
  <c r="BH143" i="1"/>
  <c r="BI143" i="1"/>
  <c r="BK143" i="1"/>
  <c r="BL143" i="1"/>
  <c r="BN143" i="1"/>
  <c r="BO143" i="1"/>
  <c r="AV144" i="1"/>
  <c r="AW144" i="1"/>
  <c r="AY144" i="1"/>
  <c r="AZ144" i="1"/>
  <c r="BB144" i="1"/>
  <c r="BC144" i="1"/>
  <c r="BE144" i="1"/>
  <c r="BF144" i="1"/>
  <c r="BH144" i="1"/>
  <c r="BI144" i="1"/>
  <c r="BK144" i="1"/>
  <c r="BL144" i="1"/>
  <c r="BN144" i="1"/>
  <c r="BO144" i="1"/>
  <c r="AV145" i="1"/>
  <c r="AW145" i="1"/>
  <c r="AY145" i="1"/>
  <c r="AZ145" i="1"/>
  <c r="BB145" i="1"/>
  <c r="BC145" i="1"/>
  <c r="BE145" i="1"/>
  <c r="BF145" i="1"/>
  <c r="BH145" i="1"/>
  <c r="BI145" i="1"/>
  <c r="BK145" i="1"/>
  <c r="BL145" i="1"/>
  <c r="BN145" i="1"/>
  <c r="BO145" i="1"/>
  <c r="AV146" i="1"/>
  <c r="AW146" i="1"/>
  <c r="AY146" i="1"/>
  <c r="AZ146" i="1"/>
  <c r="BB146" i="1"/>
  <c r="BC146" i="1"/>
  <c r="BE146" i="1"/>
  <c r="BF146" i="1"/>
  <c r="BH146" i="1"/>
  <c r="BI146" i="1"/>
  <c r="BK146" i="1"/>
  <c r="BL146" i="1"/>
  <c r="BN146" i="1"/>
  <c r="BO146" i="1"/>
  <c r="AV147" i="1"/>
  <c r="AW147" i="1"/>
  <c r="AY147" i="1"/>
  <c r="AZ147" i="1"/>
  <c r="BB147" i="1"/>
  <c r="BC147" i="1"/>
  <c r="BE147" i="1"/>
  <c r="BF147" i="1"/>
  <c r="BH147" i="1"/>
  <c r="BI147" i="1"/>
  <c r="BK147" i="1"/>
  <c r="BL147" i="1"/>
  <c r="BN147" i="1"/>
  <c r="BO147" i="1"/>
  <c r="AV148" i="1"/>
  <c r="AW148" i="1"/>
  <c r="AY148" i="1"/>
  <c r="AZ148" i="1"/>
  <c r="BB148" i="1"/>
  <c r="BC148" i="1"/>
  <c r="BE148" i="1"/>
  <c r="BF148" i="1"/>
  <c r="BH148" i="1"/>
  <c r="BI148" i="1"/>
  <c r="BK148" i="1"/>
  <c r="BL148" i="1"/>
  <c r="BN148" i="1"/>
  <c r="BO148" i="1"/>
  <c r="AV149" i="1"/>
  <c r="AW149" i="1"/>
  <c r="AY149" i="1"/>
  <c r="AZ149" i="1"/>
  <c r="BB149" i="1"/>
  <c r="BC149" i="1"/>
  <c r="BE149" i="1"/>
  <c r="BF149" i="1"/>
  <c r="BH149" i="1"/>
  <c r="BI149" i="1"/>
  <c r="BK149" i="1"/>
  <c r="BL149" i="1"/>
  <c r="BN149" i="1"/>
  <c r="BO149" i="1"/>
  <c r="AV150" i="1"/>
  <c r="AW150" i="1"/>
  <c r="AY150" i="1"/>
  <c r="AZ150" i="1"/>
  <c r="BB150" i="1"/>
  <c r="BC150" i="1"/>
  <c r="BE150" i="1"/>
  <c r="BF150" i="1"/>
  <c r="BH150" i="1"/>
  <c r="BI150" i="1"/>
  <c r="BK150" i="1"/>
  <c r="BL150" i="1"/>
  <c r="BN150" i="1"/>
  <c r="BO150" i="1"/>
  <c r="AV151" i="1"/>
  <c r="AW151" i="1"/>
  <c r="AY151" i="1"/>
  <c r="AZ151" i="1"/>
  <c r="BB151" i="1"/>
  <c r="BC151" i="1"/>
  <c r="BE151" i="1"/>
  <c r="BF151" i="1"/>
  <c r="BH151" i="1"/>
  <c r="BI151" i="1"/>
  <c r="BK151" i="1"/>
  <c r="BL151" i="1"/>
  <c r="BN151" i="1"/>
  <c r="BO151" i="1"/>
  <c r="AV153" i="1"/>
  <c r="AW153" i="1"/>
  <c r="AY153" i="1"/>
  <c r="AZ153" i="1"/>
  <c r="BB153" i="1"/>
  <c r="BC153" i="1"/>
  <c r="BE153" i="1"/>
  <c r="BF153" i="1"/>
  <c r="BH153" i="1"/>
  <c r="BI153" i="1"/>
  <c r="BK153" i="1"/>
  <c r="BL153" i="1"/>
  <c r="BN153" i="1"/>
  <c r="BO153" i="1"/>
  <c r="AV154" i="1"/>
  <c r="AW154" i="1"/>
  <c r="AY154" i="1"/>
  <c r="AZ154" i="1"/>
  <c r="BB154" i="1"/>
  <c r="BC154" i="1"/>
  <c r="BE154" i="1"/>
  <c r="BF154" i="1"/>
  <c r="BH154" i="1"/>
  <c r="BI154" i="1"/>
  <c r="BK154" i="1"/>
  <c r="BL154" i="1"/>
  <c r="BN154" i="1"/>
  <c r="BO154" i="1"/>
  <c r="AV155" i="1"/>
  <c r="AW155" i="1"/>
  <c r="AY155" i="1"/>
  <c r="AZ155" i="1"/>
  <c r="BB155" i="1"/>
  <c r="BC155" i="1"/>
  <c r="BE155" i="1"/>
  <c r="BF155" i="1"/>
  <c r="BH155" i="1"/>
  <c r="BI155" i="1"/>
  <c r="BK155" i="1"/>
  <c r="BL155" i="1"/>
  <c r="BN155" i="1"/>
  <c r="BO155" i="1"/>
  <c r="AV156" i="1"/>
  <c r="AW156" i="1"/>
  <c r="AY156" i="1"/>
  <c r="AZ156" i="1"/>
  <c r="BB156" i="1"/>
  <c r="BC156" i="1"/>
  <c r="BE156" i="1"/>
  <c r="BF156" i="1"/>
  <c r="BH156" i="1"/>
  <c r="BI156" i="1"/>
  <c r="BK156" i="1"/>
  <c r="BL156" i="1"/>
  <c r="BN156" i="1"/>
  <c r="BO156" i="1"/>
  <c r="AV157" i="1"/>
  <c r="AW157" i="1"/>
  <c r="AY157" i="1"/>
  <c r="AZ157" i="1"/>
  <c r="BB157" i="1"/>
  <c r="BC157" i="1"/>
  <c r="BE157" i="1"/>
  <c r="BF157" i="1"/>
  <c r="BH157" i="1"/>
  <c r="BI157" i="1"/>
  <c r="BK157" i="1"/>
  <c r="BL157" i="1"/>
  <c r="BN157" i="1"/>
  <c r="BO157" i="1"/>
  <c r="AV158" i="1"/>
  <c r="AW158" i="1"/>
  <c r="AY158" i="1"/>
  <c r="AZ158" i="1"/>
  <c r="BB158" i="1"/>
  <c r="BC158" i="1"/>
  <c r="BE158" i="1"/>
  <c r="BF158" i="1"/>
  <c r="BH158" i="1"/>
  <c r="BI158" i="1"/>
  <c r="BK158" i="1"/>
  <c r="BL158" i="1"/>
  <c r="BN158" i="1"/>
  <c r="BO158" i="1"/>
  <c r="AV159" i="1"/>
  <c r="AW159" i="1"/>
  <c r="AY159" i="1"/>
  <c r="AZ159" i="1"/>
  <c r="BB159" i="1"/>
  <c r="BC159" i="1"/>
  <c r="BE159" i="1"/>
  <c r="BF159" i="1"/>
  <c r="BH159" i="1"/>
  <c r="BI159" i="1"/>
  <c r="BK159" i="1"/>
  <c r="BL159" i="1"/>
  <c r="BN159" i="1"/>
  <c r="BO159" i="1"/>
  <c r="AV160" i="1"/>
  <c r="AW160" i="1"/>
  <c r="AY160" i="1"/>
  <c r="AZ160" i="1"/>
  <c r="BB160" i="1"/>
  <c r="BC160" i="1"/>
  <c r="BE160" i="1"/>
  <c r="BF160" i="1"/>
  <c r="BH160" i="1"/>
  <c r="BI160" i="1"/>
  <c r="BK160" i="1"/>
  <c r="BL160" i="1"/>
  <c r="BN160" i="1"/>
  <c r="BO160" i="1"/>
  <c r="AV161" i="1"/>
  <c r="AW161" i="1"/>
  <c r="AY161" i="1"/>
  <c r="AZ161" i="1"/>
  <c r="BB161" i="1"/>
  <c r="BC161" i="1"/>
  <c r="BE161" i="1"/>
  <c r="BF161" i="1"/>
  <c r="BH161" i="1"/>
  <c r="BI161" i="1"/>
  <c r="BK161" i="1"/>
  <c r="BL161" i="1"/>
  <c r="BN161" i="1"/>
  <c r="BO161" i="1"/>
  <c r="AV162" i="1"/>
  <c r="AW162" i="1"/>
  <c r="AY162" i="1"/>
  <c r="AZ162" i="1"/>
  <c r="BB162" i="1"/>
  <c r="BC162" i="1"/>
  <c r="BE162" i="1"/>
  <c r="BF162" i="1"/>
  <c r="BH162" i="1"/>
  <c r="BI162" i="1"/>
  <c r="BK162" i="1"/>
  <c r="BL162" i="1"/>
  <c r="BN162" i="1"/>
  <c r="BO162" i="1"/>
  <c r="AV163" i="1"/>
  <c r="AW163" i="1"/>
  <c r="AY163" i="1"/>
  <c r="AZ163" i="1"/>
  <c r="BB163" i="1"/>
  <c r="BC163" i="1"/>
  <c r="BE163" i="1"/>
  <c r="BF163" i="1"/>
  <c r="BH163" i="1"/>
  <c r="BI163" i="1"/>
  <c r="BK163" i="1"/>
  <c r="BL163" i="1"/>
  <c r="BN163" i="1"/>
  <c r="BO163" i="1"/>
  <c r="AV164" i="1"/>
  <c r="AW164" i="1"/>
  <c r="AY164" i="1"/>
  <c r="AZ164" i="1"/>
  <c r="BB164" i="1"/>
  <c r="BC164" i="1"/>
  <c r="BE164" i="1"/>
  <c r="BF164" i="1"/>
  <c r="BH164" i="1"/>
  <c r="BI164" i="1"/>
  <c r="BK164" i="1"/>
  <c r="BL164" i="1"/>
  <c r="BN164" i="1"/>
  <c r="BO164" i="1"/>
  <c r="AV165" i="1"/>
  <c r="AW165" i="1"/>
  <c r="AY165" i="1"/>
  <c r="AZ165" i="1"/>
  <c r="BB165" i="1"/>
  <c r="BC165" i="1"/>
  <c r="BE165" i="1"/>
  <c r="BF165" i="1"/>
  <c r="BH165" i="1"/>
  <c r="BI165" i="1"/>
  <c r="BK165" i="1"/>
  <c r="BL165" i="1"/>
  <c r="BN165" i="1"/>
  <c r="BO165" i="1"/>
  <c r="AV166" i="1"/>
  <c r="AW166" i="1"/>
  <c r="AY166" i="1"/>
  <c r="AZ166" i="1"/>
  <c r="BB166" i="1"/>
  <c r="BC166" i="1"/>
  <c r="BE166" i="1"/>
  <c r="BF166" i="1"/>
  <c r="BH166" i="1"/>
  <c r="BI166" i="1"/>
  <c r="BK166" i="1"/>
  <c r="BL166" i="1"/>
  <c r="BN166" i="1"/>
  <c r="BO166" i="1"/>
  <c r="AV167" i="1"/>
  <c r="AW167" i="1"/>
  <c r="AY167" i="1"/>
  <c r="AZ167" i="1"/>
  <c r="BB167" i="1"/>
  <c r="BC167" i="1"/>
  <c r="BE167" i="1"/>
  <c r="BF167" i="1"/>
  <c r="BH167" i="1"/>
  <c r="BI167" i="1"/>
  <c r="BK167" i="1"/>
  <c r="BL167" i="1"/>
  <c r="BN167" i="1"/>
  <c r="BO167" i="1"/>
  <c r="AV168" i="1"/>
  <c r="AW168" i="1"/>
  <c r="AY168" i="1"/>
  <c r="AZ168" i="1"/>
  <c r="BB168" i="1"/>
  <c r="BC168" i="1"/>
  <c r="BE168" i="1"/>
  <c r="BF168" i="1"/>
  <c r="BH168" i="1"/>
  <c r="BI168" i="1"/>
  <c r="BK168" i="1"/>
  <c r="BL168" i="1"/>
  <c r="BN168" i="1"/>
  <c r="BO168" i="1"/>
  <c r="AV169" i="1"/>
  <c r="AW169" i="1"/>
  <c r="AY169" i="1"/>
  <c r="AZ169" i="1"/>
  <c r="BB169" i="1"/>
  <c r="BC169" i="1"/>
  <c r="BE169" i="1"/>
  <c r="BF169" i="1"/>
  <c r="BH169" i="1"/>
  <c r="BI169" i="1"/>
  <c r="BK169" i="1"/>
  <c r="BL169" i="1"/>
  <c r="BN169" i="1"/>
  <c r="BO169" i="1"/>
  <c r="AV170" i="1"/>
  <c r="AW170" i="1"/>
  <c r="AY170" i="1"/>
  <c r="AZ170" i="1"/>
  <c r="BB170" i="1"/>
  <c r="BC170" i="1"/>
  <c r="BE170" i="1"/>
  <c r="BF170" i="1"/>
  <c r="BH170" i="1"/>
  <c r="BI170" i="1"/>
  <c r="BK170" i="1"/>
  <c r="BL170" i="1"/>
  <c r="BN170" i="1"/>
  <c r="BO170" i="1"/>
  <c r="AV171" i="1"/>
  <c r="AW171" i="1"/>
  <c r="AY171" i="1"/>
  <c r="AZ171" i="1"/>
  <c r="BB171" i="1"/>
  <c r="BC171" i="1"/>
  <c r="BE171" i="1"/>
  <c r="BF171" i="1"/>
  <c r="BH171" i="1"/>
  <c r="BI171" i="1"/>
  <c r="BK171" i="1"/>
  <c r="BL171" i="1"/>
  <c r="BN171" i="1"/>
  <c r="BO171" i="1"/>
  <c r="AV172" i="1"/>
  <c r="AW172" i="1"/>
  <c r="AY172" i="1"/>
  <c r="AZ172" i="1"/>
  <c r="BB172" i="1"/>
  <c r="BC172" i="1"/>
  <c r="BE172" i="1"/>
  <c r="BF172" i="1"/>
  <c r="BH172" i="1"/>
  <c r="BI172" i="1"/>
  <c r="BK172" i="1"/>
  <c r="BL172" i="1"/>
  <c r="BN172" i="1"/>
  <c r="BO172" i="1"/>
  <c r="AV173" i="1"/>
  <c r="AW173" i="1"/>
  <c r="AY173" i="1"/>
  <c r="AZ173" i="1"/>
  <c r="BB173" i="1"/>
  <c r="BC173" i="1"/>
  <c r="BE173" i="1"/>
  <c r="BF173" i="1"/>
  <c r="BH173" i="1"/>
  <c r="BI173" i="1"/>
  <c r="BK173" i="1"/>
  <c r="BL173" i="1"/>
  <c r="BN173" i="1"/>
  <c r="BO173" i="1"/>
  <c r="AV174" i="1"/>
  <c r="AW174" i="1"/>
  <c r="AY174" i="1"/>
  <c r="AZ174" i="1"/>
  <c r="BB174" i="1"/>
  <c r="BC174" i="1"/>
  <c r="BE174" i="1"/>
  <c r="BF174" i="1"/>
  <c r="BH174" i="1"/>
  <c r="BI174" i="1"/>
  <c r="BK174" i="1"/>
  <c r="BL174" i="1"/>
  <c r="BN174" i="1"/>
  <c r="BO174" i="1"/>
  <c r="AV175" i="1"/>
  <c r="AW175" i="1"/>
  <c r="AY175" i="1"/>
  <c r="AZ175" i="1"/>
  <c r="BB175" i="1"/>
  <c r="BC175" i="1"/>
  <c r="BE175" i="1"/>
  <c r="BF175" i="1"/>
  <c r="BH175" i="1"/>
  <c r="BI175" i="1"/>
  <c r="BK175" i="1"/>
  <c r="BL175" i="1"/>
  <c r="BN175" i="1"/>
  <c r="BO175" i="1"/>
  <c r="AV176" i="1"/>
  <c r="AW176" i="1"/>
  <c r="AY176" i="1"/>
  <c r="AZ176" i="1"/>
  <c r="BB176" i="1"/>
  <c r="BC176" i="1"/>
  <c r="BE176" i="1"/>
  <c r="BF176" i="1"/>
  <c r="BH176" i="1"/>
  <c r="BI176" i="1"/>
  <c r="BK176" i="1"/>
  <c r="BL176" i="1"/>
  <c r="BN176" i="1"/>
  <c r="BO176" i="1"/>
  <c r="AV177" i="1"/>
  <c r="AW177" i="1"/>
  <c r="AY177" i="1"/>
  <c r="AZ177" i="1"/>
  <c r="BB177" i="1"/>
  <c r="BC177" i="1"/>
  <c r="BE177" i="1"/>
  <c r="BF177" i="1"/>
  <c r="BH177" i="1"/>
  <c r="BI177" i="1"/>
  <c r="BK177" i="1"/>
  <c r="BL177" i="1"/>
  <c r="BN177" i="1"/>
  <c r="BO177" i="1"/>
  <c r="AV178" i="1"/>
  <c r="AW178" i="1"/>
  <c r="AY178" i="1"/>
  <c r="AZ178" i="1"/>
  <c r="BB178" i="1"/>
  <c r="BC178" i="1"/>
  <c r="BE178" i="1"/>
  <c r="BF178" i="1"/>
  <c r="BH178" i="1"/>
  <c r="BI178" i="1"/>
  <c r="BK178" i="1"/>
  <c r="BL178" i="1"/>
  <c r="BN178" i="1"/>
  <c r="BO178" i="1"/>
  <c r="AV179" i="1"/>
  <c r="AW179" i="1"/>
  <c r="AY179" i="1"/>
  <c r="AZ179" i="1"/>
  <c r="BB179" i="1"/>
  <c r="BC179" i="1"/>
  <c r="BE179" i="1"/>
  <c r="BF179" i="1"/>
  <c r="BH179" i="1"/>
  <c r="BI179" i="1"/>
  <c r="BK179" i="1"/>
  <c r="BL179" i="1"/>
  <c r="BN179" i="1"/>
  <c r="BO179" i="1"/>
  <c r="AV180" i="1"/>
  <c r="AW180" i="1"/>
  <c r="AY180" i="1"/>
  <c r="AZ180" i="1"/>
  <c r="BB180" i="1"/>
  <c r="BC180" i="1"/>
  <c r="BE180" i="1"/>
  <c r="BF180" i="1"/>
  <c r="BH180" i="1"/>
  <c r="BI180" i="1"/>
  <c r="BK180" i="1"/>
  <c r="BL180" i="1"/>
  <c r="BN180" i="1"/>
  <c r="BO180" i="1"/>
  <c r="AV181" i="1"/>
  <c r="AW181" i="1"/>
  <c r="AY181" i="1"/>
  <c r="AZ181" i="1"/>
  <c r="BB181" i="1"/>
  <c r="BC181" i="1"/>
  <c r="BE181" i="1"/>
  <c r="BF181" i="1"/>
  <c r="BH181" i="1"/>
  <c r="BI181" i="1"/>
  <c r="BK181" i="1"/>
  <c r="BL181" i="1"/>
  <c r="BN181" i="1"/>
  <c r="BO181" i="1"/>
  <c r="AV182" i="1"/>
  <c r="AW182" i="1"/>
  <c r="AY182" i="1"/>
  <c r="AZ182" i="1"/>
  <c r="BB182" i="1"/>
  <c r="BC182" i="1"/>
  <c r="BE182" i="1"/>
  <c r="BF182" i="1"/>
  <c r="BH182" i="1"/>
  <c r="BI182" i="1"/>
  <c r="BK182" i="1"/>
  <c r="BL182" i="1"/>
  <c r="BN182" i="1"/>
  <c r="BO182" i="1"/>
  <c r="AV183" i="1"/>
  <c r="AW183" i="1"/>
  <c r="AY183" i="1"/>
  <c r="AZ183" i="1"/>
  <c r="BB183" i="1"/>
  <c r="BC183" i="1"/>
  <c r="BE183" i="1"/>
  <c r="BF183" i="1"/>
  <c r="BH183" i="1"/>
  <c r="BI183" i="1"/>
  <c r="BK183" i="1"/>
  <c r="BL183" i="1"/>
  <c r="BN183" i="1"/>
  <c r="BO183" i="1"/>
  <c r="AV184" i="1"/>
  <c r="AW184" i="1"/>
  <c r="AY184" i="1"/>
  <c r="AZ184" i="1"/>
  <c r="BB184" i="1"/>
  <c r="BC184" i="1"/>
  <c r="BE184" i="1"/>
  <c r="BF184" i="1"/>
  <c r="BH184" i="1"/>
  <c r="BI184" i="1"/>
  <c r="BK184" i="1"/>
  <c r="BL184" i="1"/>
  <c r="BN184" i="1"/>
  <c r="BO184" i="1"/>
  <c r="AV185" i="1"/>
  <c r="AW185" i="1"/>
  <c r="AY185" i="1"/>
  <c r="AZ185" i="1"/>
  <c r="BB185" i="1"/>
  <c r="BC185" i="1"/>
  <c r="BE185" i="1"/>
  <c r="BF185" i="1"/>
  <c r="BH185" i="1"/>
  <c r="BI185" i="1"/>
  <c r="BK185" i="1"/>
  <c r="BL185" i="1"/>
  <c r="BN185" i="1"/>
  <c r="BO185" i="1"/>
  <c r="AV186" i="1"/>
  <c r="AW186" i="1"/>
  <c r="AY186" i="1"/>
  <c r="AZ186" i="1"/>
  <c r="BB186" i="1"/>
  <c r="BC186" i="1"/>
  <c r="BE186" i="1"/>
  <c r="BF186" i="1"/>
  <c r="BH186" i="1"/>
  <c r="BI186" i="1"/>
  <c r="BK186" i="1"/>
  <c r="BL186" i="1"/>
  <c r="BN186" i="1"/>
  <c r="BO186" i="1"/>
  <c r="AV187" i="1"/>
  <c r="AW187" i="1"/>
  <c r="AY187" i="1"/>
  <c r="AZ187" i="1"/>
  <c r="BB187" i="1"/>
  <c r="BC187" i="1"/>
  <c r="BE187" i="1"/>
  <c r="BF187" i="1"/>
  <c r="BH187" i="1"/>
  <c r="BI187" i="1"/>
  <c r="BK187" i="1"/>
  <c r="BL187" i="1"/>
  <c r="BN187" i="1"/>
  <c r="BO187" i="1"/>
  <c r="AV188" i="1"/>
  <c r="AW188" i="1"/>
  <c r="AY188" i="1"/>
  <c r="AZ188" i="1"/>
  <c r="BB188" i="1"/>
  <c r="BC188" i="1"/>
  <c r="BE188" i="1"/>
  <c r="BF188" i="1"/>
  <c r="BH188" i="1"/>
  <c r="BI188" i="1"/>
  <c r="BK188" i="1"/>
  <c r="BL188" i="1"/>
  <c r="BN188" i="1"/>
  <c r="BO188" i="1"/>
  <c r="AV189" i="1"/>
  <c r="AW189" i="1"/>
  <c r="AY189" i="1"/>
  <c r="AZ189" i="1"/>
  <c r="BB189" i="1"/>
  <c r="BC189" i="1"/>
  <c r="BE189" i="1"/>
  <c r="BF189" i="1"/>
  <c r="BH189" i="1"/>
  <c r="BI189" i="1"/>
  <c r="BK189" i="1"/>
  <c r="BL189" i="1"/>
  <c r="BN189" i="1"/>
  <c r="BO189" i="1"/>
  <c r="AV190" i="1"/>
  <c r="AW190" i="1"/>
  <c r="AY190" i="1"/>
  <c r="AZ190" i="1"/>
  <c r="BB190" i="1"/>
  <c r="BC190" i="1"/>
  <c r="BE190" i="1"/>
  <c r="BF190" i="1"/>
  <c r="BH190" i="1"/>
  <c r="BI190" i="1"/>
  <c r="BK190" i="1"/>
  <c r="BL190" i="1"/>
  <c r="BN190" i="1"/>
  <c r="BO190" i="1"/>
  <c r="AV191" i="1"/>
  <c r="AW191" i="1"/>
  <c r="AY191" i="1"/>
  <c r="AZ191" i="1"/>
  <c r="BB191" i="1"/>
  <c r="BC191" i="1"/>
  <c r="BE191" i="1"/>
  <c r="BF191" i="1"/>
  <c r="BH191" i="1"/>
  <c r="BI191" i="1"/>
  <c r="BK191" i="1"/>
  <c r="BL191" i="1"/>
  <c r="BN191" i="1"/>
  <c r="BO191" i="1"/>
  <c r="AV192" i="1"/>
  <c r="AW192" i="1"/>
  <c r="AY192" i="1"/>
  <c r="AZ192" i="1"/>
  <c r="BB192" i="1"/>
  <c r="BC192" i="1"/>
  <c r="BE192" i="1"/>
  <c r="BF192" i="1"/>
  <c r="BH192" i="1"/>
  <c r="BI192" i="1"/>
  <c r="BK192" i="1"/>
  <c r="BL192" i="1"/>
  <c r="BN192" i="1"/>
  <c r="BO192" i="1"/>
  <c r="AV193" i="1"/>
  <c r="AW193" i="1"/>
  <c r="AY193" i="1"/>
  <c r="AZ193" i="1"/>
  <c r="BB193" i="1"/>
  <c r="BC193" i="1"/>
  <c r="BE193" i="1"/>
  <c r="BF193" i="1"/>
  <c r="BH193" i="1"/>
  <c r="BI193" i="1"/>
  <c r="BK193" i="1"/>
  <c r="BL193" i="1"/>
  <c r="BN193" i="1"/>
  <c r="BO193" i="1"/>
  <c r="AV194" i="1"/>
  <c r="AW194" i="1"/>
  <c r="AY194" i="1"/>
  <c r="AZ194" i="1"/>
  <c r="BB194" i="1"/>
  <c r="BC194" i="1"/>
  <c r="BE194" i="1"/>
  <c r="BF194" i="1"/>
  <c r="BH194" i="1"/>
  <c r="BI194" i="1"/>
  <c r="BK194" i="1"/>
  <c r="BL194" i="1"/>
  <c r="BN194" i="1"/>
  <c r="BO194" i="1"/>
  <c r="AV195" i="1"/>
  <c r="AW195" i="1"/>
  <c r="AY195" i="1"/>
  <c r="AZ195" i="1"/>
  <c r="BB195" i="1"/>
  <c r="BC195" i="1"/>
  <c r="BE195" i="1"/>
  <c r="BF195" i="1"/>
  <c r="BH195" i="1"/>
  <c r="BI195" i="1"/>
  <c r="BK195" i="1"/>
  <c r="BL195" i="1"/>
  <c r="BN195" i="1"/>
  <c r="BO195" i="1"/>
  <c r="AV196" i="1"/>
  <c r="AW196" i="1"/>
  <c r="AY196" i="1"/>
  <c r="AZ196" i="1"/>
  <c r="BB196" i="1"/>
  <c r="BC196" i="1"/>
  <c r="BE196" i="1"/>
  <c r="BF196" i="1"/>
  <c r="BH196" i="1"/>
  <c r="BI196" i="1"/>
  <c r="BK196" i="1"/>
  <c r="BL196" i="1"/>
  <c r="BN196" i="1"/>
  <c r="BO196" i="1"/>
  <c r="AV197" i="1"/>
  <c r="AW197" i="1"/>
  <c r="AY197" i="1"/>
  <c r="AZ197" i="1"/>
  <c r="BB197" i="1"/>
  <c r="BC197" i="1"/>
  <c r="BE197" i="1"/>
  <c r="BF197" i="1"/>
  <c r="BH197" i="1"/>
  <c r="BI197" i="1"/>
  <c r="BK197" i="1"/>
  <c r="BL197" i="1"/>
  <c r="BN197" i="1"/>
  <c r="BO197" i="1"/>
  <c r="AV198" i="1"/>
  <c r="AW198" i="1"/>
  <c r="AY198" i="1"/>
  <c r="AZ198" i="1"/>
  <c r="BB198" i="1"/>
  <c r="BC198" i="1"/>
  <c r="BE198" i="1"/>
  <c r="BF198" i="1"/>
  <c r="BH198" i="1"/>
  <c r="BI198" i="1"/>
  <c r="BK198" i="1"/>
  <c r="BL198" i="1"/>
  <c r="BN198" i="1"/>
  <c r="BO198" i="1"/>
  <c r="AV199" i="1"/>
  <c r="AW199" i="1"/>
  <c r="AY199" i="1"/>
  <c r="AZ199" i="1"/>
  <c r="BB199" i="1"/>
  <c r="BC199" i="1"/>
  <c r="BE199" i="1"/>
  <c r="BF199" i="1"/>
  <c r="BH199" i="1"/>
  <c r="BI199" i="1"/>
  <c r="BK199" i="1"/>
  <c r="BL199" i="1"/>
  <c r="BN199" i="1"/>
  <c r="BO199" i="1"/>
  <c r="AV200" i="1"/>
  <c r="AW200" i="1"/>
  <c r="AY200" i="1"/>
  <c r="AZ200" i="1"/>
  <c r="BB200" i="1"/>
  <c r="BC200" i="1"/>
  <c r="BE200" i="1"/>
  <c r="BF200" i="1"/>
  <c r="BH200" i="1"/>
  <c r="BI200" i="1"/>
  <c r="BK200" i="1"/>
  <c r="BL200" i="1"/>
  <c r="BN200" i="1"/>
  <c r="BO200" i="1"/>
  <c r="AV201" i="1"/>
  <c r="AW201" i="1"/>
  <c r="AY201" i="1"/>
  <c r="AZ201" i="1"/>
  <c r="BB201" i="1"/>
  <c r="BC201" i="1"/>
  <c r="BE201" i="1"/>
  <c r="BF201" i="1"/>
  <c r="BH201" i="1"/>
  <c r="BI201" i="1"/>
  <c r="BK201" i="1"/>
  <c r="BL201" i="1"/>
  <c r="BN201" i="1"/>
  <c r="BO201" i="1"/>
  <c r="AV202" i="1"/>
  <c r="AW202" i="1"/>
  <c r="AY202" i="1"/>
  <c r="AZ202" i="1"/>
  <c r="BB202" i="1"/>
  <c r="BC202" i="1"/>
  <c r="BE202" i="1"/>
  <c r="BF202" i="1"/>
  <c r="BH202" i="1"/>
  <c r="BI202" i="1"/>
  <c r="BK202" i="1"/>
  <c r="BL202" i="1"/>
  <c r="BN202" i="1"/>
  <c r="BO202" i="1"/>
  <c r="AV203" i="1"/>
  <c r="AW203" i="1"/>
  <c r="AY203" i="1"/>
  <c r="AZ203" i="1"/>
  <c r="BB203" i="1"/>
  <c r="BC203" i="1"/>
  <c r="BE203" i="1"/>
  <c r="BF203" i="1"/>
  <c r="BH203" i="1"/>
  <c r="BI203" i="1"/>
  <c r="BK203" i="1"/>
  <c r="BL203" i="1"/>
  <c r="BN203" i="1"/>
  <c r="BO203" i="1"/>
  <c r="AV204" i="1"/>
  <c r="AW204" i="1"/>
  <c r="AY204" i="1"/>
  <c r="AZ204" i="1"/>
  <c r="BB204" i="1"/>
  <c r="BC204" i="1"/>
  <c r="BE204" i="1"/>
  <c r="BF204" i="1"/>
  <c r="BH204" i="1"/>
  <c r="BI204" i="1"/>
  <c r="BK204" i="1"/>
  <c r="BL204" i="1"/>
  <c r="BN204" i="1"/>
  <c r="BO204" i="1"/>
  <c r="AV206" i="1"/>
  <c r="AW206" i="1"/>
  <c r="AY206" i="1"/>
  <c r="AZ206" i="1"/>
  <c r="BB206" i="1"/>
  <c r="BC206" i="1"/>
  <c r="BE206" i="1"/>
  <c r="BF206" i="1"/>
  <c r="BH206" i="1"/>
  <c r="BI206" i="1"/>
  <c r="BK206" i="1"/>
  <c r="BL206" i="1"/>
  <c r="BN206" i="1"/>
  <c r="BO206" i="1"/>
  <c r="AV207" i="1"/>
  <c r="AW207" i="1"/>
  <c r="AY207" i="1"/>
  <c r="AZ207" i="1"/>
  <c r="BB207" i="1"/>
  <c r="BC207" i="1"/>
  <c r="BE207" i="1"/>
  <c r="BF207" i="1"/>
  <c r="BH207" i="1"/>
  <c r="BI207" i="1"/>
  <c r="BK207" i="1"/>
  <c r="BL207" i="1"/>
  <c r="BN207" i="1"/>
  <c r="BO207" i="1"/>
  <c r="AV208" i="1"/>
  <c r="AW208" i="1"/>
  <c r="AY208" i="1"/>
  <c r="AZ208" i="1"/>
  <c r="BB208" i="1"/>
  <c r="BC208" i="1"/>
  <c r="BE208" i="1"/>
  <c r="BF208" i="1"/>
  <c r="BH208" i="1"/>
  <c r="BI208" i="1"/>
  <c r="BK208" i="1"/>
  <c r="BL208" i="1"/>
  <c r="BN208" i="1"/>
  <c r="BO208" i="1"/>
  <c r="AV209" i="1"/>
  <c r="AW209" i="1"/>
  <c r="AY209" i="1"/>
  <c r="AZ209" i="1"/>
  <c r="BB209" i="1"/>
  <c r="BC209" i="1"/>
  <c r="BE209" i="1"/>
  <c r="BF209" i="1"/>
  <c r="BH209" i="1"/>
  <c r="BI209" i="1"/>
  <c r="BK209" i="1"/>
  <c r="BL209" i="1"/>
  <c r="BN209" i="1"/>
  <c r="BO209" i="1"/>
  <c r="AV211" i="1"/>
  <c r="AW211" i="1"/>
  <c r="AY211" i="1"/>
  <c r="AZ211" i="1"/>
  <c r="BB211" i="1"/>
  <c r="BC211" i="1"/>
  <c r="BE211" i="1"/>
  <c r="BF211" i="1"/>
  <c r="BH211" i="1"/>
  <c r="BI211" i="1"/>
  <c r="BK211" i="1"/>
  <c r="BL211" i="1"/>
  <c r="BN211" i="1"/>
  <c r="BO211" i="1"/>
  <c r="AV212" i="1"/>
  <c r="AW212" i="1"/>
  <c r="AY212" i="1"/>
  <c r="AZ212" i="1"/>
  <c r="BB212" i="1"/>
  <c r="BC212" i="1"/>
  <c r="BE212" i="1"/>
  <c r="BF212" i="1"/>
  <c r="BH212" i="1"/>
  <c r="BI212" i="1"/>
  <c r="BK212" i="1"/>
  <c r="BL212" i="1"/>
  <c r="BN212" i="1"/>
  <c r="BO212" i="1"/>
  <c r="AV213" i="1"/>
  <c r="AW213" i="1"/>
  <c r="AY213" i="1"/>
  <c r="AZ213" i="1"/>
  <c r="BB213" i="1"/>
  <c r="BC213" i="1"/>
  <c r="BE213" i="1"/>
  <c r="BF213" i="1"/>
  <c r="BH213" i="1"/>
  <c r="BI213" i="1"/>
  <c r="BK213" i="1"/>
  <c r="BL213" i="1"/>
  <c r="BN213" i="1"/>
  <c r="BO213" i="1"/>
  <c r="AV214" i="1"/>
  <c r="AW214" i="1"/>
  <c r="AY214" i="1"/>
  <c r="AZ214" i="1"/>
  <c r="BB214" i="1"/>
  <c r="BC214" i="1"/>
  <c r="BE214" i="1"/>
  <c r="BF214" i="1"/>
  <c r="BH214" i="1"/>
  <c r="BI214" i="1"/>
  <c r="BK214" i="1"/>
  <c r="BL214" i="1"/>
  <c r="BN214" i="1"/>
  <c r="BO214" i="1"/>
  <c r="AV215" i="1"/>
  <c r="AW215" i="1"/>
  <c r="AY215" i="1"/>
  <c r="AZ215" i="1"/>
  <c r="BB215" i="1"/>
  <c r="BC215" i="1"/>
  <c r="BE215" i="1"/>
  <c r="BF215" i="1"/>
  <c r="BH215" i="1"/>
  <c r="BI215" i="1"/>
  <c r="BK215" i="1"/>
  <c r="BL215" i="1"/>
  <c r="BN215" i="1"/>
  <c r="BO215" i="1"/>
  <c r="AV216" i="1"/>
  <c r="AW216" i="1"/>
  <c r="AY216" i="1"/>
  <c r="AZ216" i="1"/>
  <c r="BB216" i="1"/>
  <c r="BC216" i="1"/>
  <c r="BE216" i="1"/>
  <c r="BF216" i="1"/>
  <c r="BH216" i="1"/>
  <c r="BI216" i="1"/>
  <c r="BK216" i="1"/>
  <c r="BL216" i="1"/>
  <c r="BN216" i="1"/>
  <c r="BO216" i="1"/>
  <c r="AV217" i="1"/>
  <c r="AW217" i="1"/>
  <c r="AY217" i="1"/>
  <c r="AZ217" i="1"/>
  <c r="BB217" i="1"/>
  <c r="BC217" i="1"/>
  <c r="BE217" i="1"/>
  <c r="BF217" i="1"/>
  <c r="BH217" i="1"/>
  <c r="BI217" i="1"/>
  <c r="BK217" i="1"/>
  <c r="BL217" i="1"/>
  <c r="BN217" i="1"/>
  <c r="BO217" i="1"/>
  <c r="AV218" i="1"/>
  <c r="AW218" i="1"/>
  <c r="AY218" i="1"/>
  <c r="AZ218" i="1"/>
  <c r="BB218" i="1"/>
  <c r="BC218" i="1"/>
  <c r="BE218" i="1"/>
  <c r="BF218" i="1"/>
  <c r="BH218" i="1"/>
  <c r="BI218" i="1"/>
  <c r="BK218" i="1"/>
  <c r="BL218" i="1"/>
  <c r="BN218" i="1"/>
  <c r="BO218" i="1"/>
  <c r="AV219" i="1"/>
  <c r="AW219" i="1"/>
  <c r="AY219" i="1"/>
  <c r="AZ219" i="1"/>
  <c r="BB219" i="1"/>
  <c r="BC219" i="1"/>
  <c r="BE219" i="1"/>
  <c r="BF219" i="1"/>
  <c r="BH219" i="1"/>
  <c r="BI219" i="1"/>
  <c r="BK219" i="1"/>
  <c r="BL219" i="1"/>
  <c r="BN219" i="1"/>
  <c r="BO219" i="1"/>
  <c r="AV220" i="1"/>
  <c r="AW220" i="1"/>
  <c r="AY220" i="1"/>
  <c r="AZ220" i="1"/>
  <c r="BB220" i="1"/>
  <c r="BC220" i="1"/>
  <c r="BE220" i="1"/>
  <c r="BF220" i="1"/>
  <c r="BH220" i="1"/>
  <c r="BI220" i="1"/>
  <c r="BK220" i="1"/>
  <c r="BL220" i="1"/>
  <c r="BN220" i="1"/>
  <c r="BO220" i="1"/>
  <c r="AV221" i="1"/>
  <c r="AW221" i="1"/>
  <c r="AY221" i="1"/>
  <c r="AZ221" i="1"/>
  <c r="BB221" i="1"/>
  <c r="BC221" i="1"/>
  <c r="BE221" i="1"/>
  <c r="BF221" i="1"/>
  <c r="BH221" i="1"/>
  <c r="BI221" i="1"/>
  <c r="BK221" i="1"/>
  <c r="BL221" i="1"/>
  <c r="BN221" i="1"/>
  <c r="BO221" i="1"/>
  <c r="AV222" i="1"/>
  <c r="AW222" i="1"/>
  <c r="AY222" i="1"/>
  <c r="AZ222" i="1"/>
  <c r="BB222" i="1"/>
  <c r="BC222" i="1"/>
  <c r="BE222" i="1"/>
  <c r="BF222" i="1"/>
  <c r="BH222" i="1"/>
  <c r="BI222" i="1"/>
  <c r="BK222" i="1"/>
  <c r="BL222" i="1"/>
  <c r="BN222" i="1"/>
  <c r="BO222" i="1"/>
  <c r="AV223" i="1"/>
  <c r="AW223" i="1"/>
  <c r="AY223" i="1"/>
  <c r="AZ223" i="1"/>
  <c r="BB223" i="1"/>
  <c r="BC223" i="1"/>
  <c r="BE223" i="1"/>
  <c r="BF223" i="1"/>
  <c r="BH223" i="1"/>
  <c r="BI223" i="1"/>
  <c r="BK223" i="1"/>
  <c r="BL223" i="1"/>
  <c r="BN223" i="1"/>
  <c r="BO223" i="1"/>
  <c r="AV224" i="1"/>
  <c r="AW224" i="1"/>
  <c r="AY224" i="1"/>
  <c r="AZ224" i="1"/>
  <c r="BB224" i="1"/>
  <c r="BC224" i="1"/>
  <c r="BE224" i="1"/>
  <c r="BF224" i="1"/>
  <c r="BH224" i="1"/>
  <c r="BI224" i="1"/>
  <c r="BK224" i="1"/>
  <c r="BL224" i="1"/>
  <c r="BN224" i="1"/>
  <c r="BO224" i="1"/>
  <c r="AV225" i="1"/>
  <c r="AW225" i="1"/>
  <c r="AY225" i="1"/>
  <c r="AZ225" i="1"/>
  <c r="BB225" i="1"/>
  <c r="BC225" i="1"/>
  <c r="BE225" i="1"/>
  <c r="BF225" i="1"/>
  <c r="BH225" i="1"/>
  <c r="BI225" i="1"/>
  <c r="BK225" i="1"/>
  <c r="BL225" i="1"/>
  <c r="BN225" i="1"/>
  <c r="BO225" i="1"/>
  <c r="AV226" i="1"/>
  <c r="AW226" i="1"/>
  <c r="AY226" i="1"/>
  <c r="AZ226" i="1"/>
  <c r="BB226" i="1"/>
  <c r="BC226" i="1"/>
  <c r="BE226" i="1"/>
  <c r="BF226" i="1"/>
  <c r="BH226" i="1"/>
  <c r="BI226" i="1"/>
  <c r="BJ226" i="1"/>
  <c r="BK226" i="1"/>
  <c r="BL226" i="1"/>
  <c r="BN226" i="1"/>
  <c r="BO226" i="1"/>
  <c r="BP226" i="1" s="1"/>
  <c r="AV227" i="1"/>
  <c r="AW227" i="1"/>
  <c r="AY227" i="1"/>
  <c r="AZ227" i="1"/>
  <c r="BB227" i="1"/>
  <c r="BC227" i="1"/>
  <c r="BE227" i="1"/>
  <c r="BF227" i="1"/>
  <c r="BH227" i="1"/>
  <c r="BI227" i="1"/>
  <c r="BK227" i="1"/>
  <c r="BL227" i="1"/>
  <c r="BM227" i="1" s="1"/>
  <c r="BN227" i="1"/>
  <c r="BO227" i="1"/>
  <c r="AV228" i="1"/>
  <c r="AW228" i="1"/>
  <c r="AY228" i="1"/>
  <c r="AZ228" i="1"/>
  <c r="BB228" i="1"/>
  <c r="BC228" i="1"/>
  <c r="BE228" i="1"/>
  <c r="BF228" i="1"/>
  <c r="BH228" i="1"/>
  <c r="BI228" i="1"/>
  <c r="BK228" i="1"/>
  <c r="BL228" i="1"/>
  <c r="BN228" i="1"/>
  <c r="BO228" i="1"/>
  <c r="BP228" i="1" s="1"/>
  <c r="AV229" i="1"/>
  <c r="AW229" i="1"/>
  <c r="AY229" i="1"/>
  <c r="AZ229" i="1"/>
  <c r="BB229" i="1"/>
  <c r="BC229" i="1"/>
  <c r="BE229" i="1"/>
  <c r="BF229" i="1"/>
  <c r="BH229" i="1"/>
  <c r="BI229" i="1"/>
  <c r="BK229" i="1"/>
  <c r="BL229" i="1"/>
  <c r="BN229" i="1"/>
  <c r="BO229" i="1"/>
  <c r="AV230" i="1"/>
  <c r="AW230" i="1"/>
  <c r="AY230" i="1"/>
  <c r="AZ230" i="1"/>
  <c r="BB230" i="1"/>
  <c r="BC230" i="1"/>
  <c r="BE230" i="1"/>
  <c r="BF230" i="1"/>
  <c r="BH230" i="1"/>
  <c r="BI230" i="1"/>
  <c r="BK230" i="1"/>
  <c r="BL230" i="1"/>
  <c r="BN230" i="1"/>
  <c r="BO230" i="1"/>
  <c r="AV231" i="1"/>
  <c r="AW231" i="1"/>
  <c r="AY231" i="1"/>
  <c r="AZ231" i="1"/>
  <c r="BA231" i="1" s="1"/>
  <c r="BB231" i="1"/>
  <c r="BC231" i="1"/>
  <c r="BE231" i="1"/>
  <c r="BF231" i="1"/>
  <c r="BH231" i="1"/>
  <c r="BI231" i="1"/>
  <c r="BK231" i="1"/>
  <c r="BL231" i="1"/>
  <c r="BN231" i="1"/>
  <c r="BO231" i="1"/>
  <c r="AV232" i="1"/>
  <c r="AW232" i="1"/>
  <c r="AY232" i="1"/>
  <c r="AZ232" i="1"/>
  <c r="BB232" i="1"/>
  <c r="BC232" i="1"/>
  <c r="BE232" i="1"/>
  <c r="BF232" i="1"/>
  <c r="BH232" i="1"/>
  <c r="BI232" i="1"/>
  <c r="BK232" i="1"/>
  <c r="BL232" i="1"/>
  <c r="BN232" i="1"/>
  <c r="BO232" i="1"/>
  <c r="AV233" i="1"/>
  <c r="AW233" i="1"/>
  <c r="AY233" i="1"/>
  <c r="AZ233" i="1"/>
  <c r="BB233" i="1"/>
  <c r="BC233" i="1"/>
  <c r="BE233" i="1"/>
  <c r="BF233" i="1"/>
  <c r="BH233" i="1"/>
  <c r="BI233" i="1"/>
  <c r="BK233" i="1"/>
  <c r="BL233" i="1"/>
  <c r="BN233" i="1"/>
  <c r="BO233" i="1"/>
  <c r="AV234" i="1"/>
  <c r="AW234" i="1"/>
  <c r="AY234" i="1"/>
  <c r="AZ234" i="1"/>
  <c r="BB234" i="1"/>
  <c r="BC234" i="1"/>
  <c r="BE234" i="1"/>
  <c r="BF234" i="1"/>
  <c r="BH234" i="1"/>
  <c r="BI234" i="1"/>
  <c r="BK234" i="1"/>
  <c r="BL234" i="1"/>
  <c r="BN234" i="1"/>
  <c r="BO234" i="1"/>
  <c r="AV235" i="1"/>
  <c r="AW235" i="1"/>
  <c r="AY235" i="1"/>
  <c r="AZ235" i="1"/>
  <c r="BB235" i="1"/>
  <c r="BC235" i="1"/>
  <c r="BE235" i="1"/>
  <c r="BF235" i="1"/>
  <c r="BH235" i="1"/>
  <c r="BI235" i="1"/>
  <c r="BK235" i="1"/>
  <c r="BL235" i="1"/>
  <c r="BN235" i="1"/>
  <c r="BO235" i="1"/>
  <c r="AV236" i="1"/>
  <c r="AW236" i="1"/>
  <c r="AY236" i="1"/>
  <c r="AZ236" i="1"/>
  <c r="BB236" i="1"/>
  <c r="BC236" i="1"/>
  <c r="BE236" i="1"/>
  <c r="BF236" i="1"/>
  <c r="BH236" i="1"/>
  <c r="BI236" i="1"/>
  <c r="BK236" i="1"/>
  <c r="BL236" i="1"/>
  <c r="BN236" i="1"/>
  <c r="BO236" i="1"/>
  <c r="AV237" i="1"/>
  <c r="AW237" i="1"/>
  <c r="AY237" i="1"/>
  <c r="AZ237" i="1"/>
  <c r="BB237" i="1"/>
  <c r="BC237" i="1"/>
  <c r="BE237" i="1"/>
  <c r="BF237" i="1"/>
  <c r="BH237" i="1"/>
  <c r="BI237" i="1"/>
  <c r="BK237" i="1"/>
  <c r="BL237" i="1"/>
  <c r="BN237" i="1"/>
  <c r="BO237" i="1"/>
  <c r="AV238" i="1"/>
  <c r="AW238" i="1"/>
  <c r="AY238" i="1"/>
  <c r="AZ238" i="1"/>
  <c r="BB238" i="1"/>
  <c r="BC238" i="1"/>
  <c r="BE238" i="1"/>
  <c r="BF238" i="1"/>
  <c r="BH238" i="1"/>
  <c r="BI238" i="1"/>
  <c r="BK238" i="1"/>
  <c r="BL238" i="1"/>
  <c r="BN238" i="1"/>
  <c r="BO238" i="1"/>
  <c r="AV239" i="1"/>
  <c r="AW239" i="1"/>
  <c r="AY239" i="1"/>
  <c r="AZ239" i="1"/>
  <c r="BB239" i="1"/>
  <c r="BC239" i="1"/>
  <c r="BE239" i="1"/>
  <c r="BF239" i="1"/>
  <c r="BH239" i="1"/>
  <c r="BI239" i="1"/>
  <c r="BK239" i="1"/>
  <c r="BL239" i="1"/>
  <c r="BN239" i="1"/>
  <c r="BO239" i="1"/>
  <c r="AV240" i="1"/>
  <c r="AW240" i="1"/>
  <c r="AY240" i="1"/>
  <c r="AZ240" i="1"/>
  <c r="BB240" i="1"/>
  <c r="BC240" i="1"/>
  <c r="BE240" i="1"/>
  <c r="BF240" i="1"/>
  <c r="BH240" i="1"/>
  <c r="BI240" i="1"/>
  <c r="BK240" i="1"/>
  <c r="BL240" i="1"/>
  <c r="BN240" i="1"/>
  <c r="BO240" i="1"/>
  <c r="AV242" i="1"/>
  <c r="AW242" i="1"/>
  <c r="AY242" i="1"/>
  <c r="AZ242" i="1"/>
  <c r="BB242" i="1"/>
  <c r="BC242" i="1"/>
  <c r="BE242" i="1"/>
  <c r="BF242" i="1"/>
  <c r="BH242" i="1"/>
  <c r="BI242" i="1"/>
  <c r="BK242" i="1"/>
  <c r="BL242" i="1"/>
  <c r="BN242" i="1"/>
  <c r="BO242" i="1"/>
  <c r="AV243" i="1"/>
  <c r="AW243" i="1"/>
  <c r="AY243" i="1"/>
  <c r="AZ243" i="1"/>
  <c r="BB243" i="1"/>
  <c r="BC243" i="1"/>
  <c r="BE243" i="1"/>
  <c r="BF243" i="1"/>
  <c r="BH243" i="1"/>
  <c r="BI243" i="1"/>
  <c r="BK243" i="1"/>
  <c r="BL243" i="1"/>
  <c r="BN243" i="1"/>
  <c r="BO243" i="1"/>
  <c r="AV244" i="1"/>
  <c r="AW244" i="1"/>
  <c r="AY244" i="1"/>
  <c r="AZ244" i="1"/>
  <c r="BB244" i="1"/>
  <c r="BC244" i="1"/>
  <c r="BE244" i="1"/>
  <c r="BF244" i="1"/>
  <c r="BH244" i="1"/>
  <c r="BI244" i="1"/>
  <c r="BK244" i="1"/>
  <c r="BL244" i="1"/>
  <c r="BN244" i="1"/>
  <c r="BO244" i="1"/>
  <c r="AV245" i="1"/>
  <c r="AW245" i="1"/>
  <c r="AY245" i="1"/>
  <c r="AZ245" i="1"/>
  <c r="BB245" i="1"/>
  <c r="BC245" i="1"/>
  <c r="BE245" i="1"/>
  <c r="BF245" i="1"/>
  <c r="BH245" i="1"/>
  <c r="BI245" i="1"/>
  <c r="BK245" i="1"/>
  <c r="BL245" i="1"/>
  <c r="BN245" i="1"/>
  <c r="BO245" i="1"/>
  <c r="AV246" i="1"/>
  <c r="AW246" i="1"/>
  <c r="AY246" i="1"/>
  <c r="AZ246" i="1"/>
  <c r="BB246" i="1"/>
  <c r="BC246" i="1"/>
  <c r="BE246" i="1"/>
  <c r="BF246" i="1"/>
  <c r="BH246" i="1"/>
  <c r="BI246" i="1"/>
  <c r="BK246" i="1"/>
  <c r="BL246" i="1"/>
  <c r="BN246" i="1"/>
  <c r="BO246" i="1"/>
  <c r="AV247" i="1"/>
  <c r="AW247" i="1"/>
  <c r="AY247" i="1"/>
  <c r="AZ247" i="1"/>
  <c r="BB247" i="1"/>
  <c r="BC247" i="1"/>
  <c r="BE247" i="1"/>
  <c r="BF247" i="1"/>
  <c r="BH247" i="1"/>
  <c r="BI247" i="1"/>
  <c r="BK247" i="1"/>
  <c r="BL247" i="1"/>
  <c r="BN247" i="1"/>
  <c r="BO247" i="1"/>
  <c r="AV248" i="1"/>
  <c r="AW248" i="1"/>
  <c r="AY248" i="1"/>
  <c r="AZ248" i="1"/>
  <c r="BB248" i="1"/>
  <c r="BC248" i="1"/>
  <c r="BE248" i="1"/>
  <c r="BF248" i="1"/>
  <c r="BH248" i="1"/>
  <c r="BI248" i="1"/>
  <c r="BK248" i="1"/>
  <c r="BL248" i="1"/>
  <c r="BN248" i="1"/>
  <c r="BO248" i="1"/>
  <c r="AV249" i="1"/>
  <c r="AW249" i="1"/>
  <c r="AY249" i="1"/>
  <c r="AZ249" i="1"/>
  <c r="BB249" i="1"/>
  <c r="BC249" i="1"/>
  <c r="BE249" i="1"/>
  <c r="BF249" i="1"/>
  <c r="BH249" i="1"/>
  <c r="BI249" i="1"/>
  <c r="BK249" i="1"/>
  <c r="BL249" i="1"/>
  <c r="BN249" i="1"/>
  <c r="BO249" i="1"/>
  <c r="AV250" i="1"/>
  <c r="AW250" i="1"/>
  <c r="AY250" i="1"/>
  <c r="AZ250" i="1"/>
  <c r="BB250" i="1"/>
  <c r="BC250" i="1"/>
  <c r="BE250" i="1"/>
  <c r="BF250" i="1"/>
  <c r="BH250" i="1"/>
  <c r="BI250" i="1"/>
  <c r="BK250" i="1"/>
  <c r="BL250" i="1"/>
  <c r="BN250" i="1"/>
  <c r="BO250" i="1"/>
  <c r="AV251" i="1"/>
  <c r="AW251" i="1"/>
  <c r="AY251" i="1"/>
  <c r="AZ251" i="1"/>
  <c r="BB251" i="1"/>
  <c r="BC251" i="1"/>
  <c r="BE251" i="1"/>
  <c r="BF251" i="1"/>
  <c r="BH251" i="1"/>
  <c r="BI251" i="1"/>
  <c r="BK251" i="1"/>
  <c r="BL251" i="1"/>
  <c r="BN251" i="1"/>
  <c r="BO251" i="1"/>
  <c r="AV252" i="1"/>
  <c r="AW252" i="1"/>
  <c r="AY252" i="1"/>
  <c r="AZ252" i="1"/>
  <c r="BB252" i="1"/>
  <c r="BC252" i="1"/>
  <c r="BE252" i="1"/>
  <c r="BF252" i="1"/>
  <c r="BH252" i="1"/>
  <c r="BI252" i="1"/>
  <c r="BK252" i="1"/>
  <c r="BL252" i="1"/>
  <c r="BN252" i="1"/>
  <c r="BO252" i="1"/>
  <c r="AV253" i="1"/>
  <c r="AW253" i="1"/>
  <c r="AY253" i="1"/>
  <c r="AZ253" i="1"/>
  <c r="BB253" i="1"/>
  <c r="BC253" i="1"/>
  <c r="BE253" i="1"/>
  <c r="BF253" i="1"/>
  <c r="BH253" i="1"/>
  <c r="BI253" i="1"/>
  <c r="BK253" i="1"/>
  <c r="BL253" i="1"/>
  <c r="BN253" i="1"/>
  <c r="BO253" i="1"/>
  <c r="AV254" i="1"/>
  <c r="AW254" i="1"/>
  <c r="AY254" i="1"/>
  <c r="AZ254" i="1"/>
  <c r="BB254" i="1"/>
  <c r="BC254" i="1"/>
  <c r="BE254" i="1"/>
  <c r="BF254" i="1"/>
  <c r="BH254" i="1"/>
  <c r="BI254" i="1"/>
  <c r="BK254" i="1"/>
  <c r="BL254" i="1"/>
  <c r="BN254" i="1"/>
  <c r="BO254" i="1"/>
  <c r="AV255" i="1"/>
  <c r="AW255" i="1"/>
  <c r="AY255" i="1"/>
  <c r="AZ255" i="1"/>
  <c r="BB255" i="1"/>
  <c r="BC255" i="1"/>
  <c r="BE255" i="1"/>
  <c r="BF255" i="1"/>
  <c r="BH255" i="1"/>
  <c r="BI255" i="1"/>
  <c r="BK255" i="1"/>
  <c r="BL255" i="1"/>
  <c r="BN255" i="1"/>
  <c r="BO255" i="1"/>
  <c r="AV256" i="1"/>
  <c r="AW256" i="1"/>
  <c r="AY256" i="1"/>
  <c r="AZ256" i="1"/>
  <c r="BB256" i="1"/>
  <c r="BC256" i="1"/>
  <c r="BE256" i="1"/>
  <c r="BF256" i="1"/>
  <c r="BH256" i="1"/>
  <c r="BI256" i="1"/>
  <c r="BK256" i="1"/>
  <c r="BL256" i="1"/>
  <c r="BN256" i="1"/>
  <c r="BO256" i="1"/>
  <c r="AV257" i="1"/>
  <c r="AW257" i="1"/>
  <c r="AY257" i="1"/>
  <c r="AZ257" i="1"/>
  <c r="BB257" i="1"/>
  <c r="BC257" i="1"/>
  <c r="BE257" i="1"/>
  <c r="BF257" i="1"/>
  <c r="BH257" i="1"/>
  <c r="BI257" i="1"/>
  <c r="BK257" i="1"/>
  <c r="BL257" i="1"/>
  <c r="BN257" i="1"/>
  <c r="BO257" i="1"/>
  <c r="AV259" i="1"/>
  <c r="AW259" i="1"/>
  <c r="AY259" i="1"/>
  <c r="AZ259" i="1"/>
  <c r="BB259" i="1"/>
  <c r="BC259" i="1"/>
  <c r="BE259" i="1"/>
  <c r="BF259" i="1"/>
  <c r="BH259" i="1"/>
  <c r="BI259" i="1"/>
  <c r="BK259" i="1"/>
  <c r="BL259" i="1"/>
  <c r="BN259" i="1"/>
  <c r="BO259" i="1"/>
  <c r="AV260" i="1"/>
  <c r="AW260" i="1"/>
  <c r="AY260" i="1"/>
  <c r="AZ260" i="1"/>
  <c r="BB260" i="1"/>
  <c r="BC260" i="1"/>
  <c r="BE260" i="1"/>
  <c r="BF260" i="1"/>
  <c r="BH260" i="1"/>
  <c r="BI260" i="1"/>
  <c r="BK260" i="1"/>
  <c r="BL260" i="1"/>
  <c r="BN260" i="1"/>
  <c r="BO260" i="1"/>
  <c r="AV261" i="1"/>
  <c r="AW261" i="1"/>
  <c r="AY261" i="1"/>
  <c r="AZ261" i="1"/>
  <c r="BB261" i="1"/>
  <c r="BC261" i="1"/>
  <c r="BE261" i="1"/>
  <c r="BF261" i="1"/>
  <c r="BH261" i="1"/>
  <c r="BI261" i="1"/>
  <c r="BK261" i="1"/>
  <c r="BL261" i="1"/>
  <c r="BN261" i="1"/>
  <c r="BO261" i="1"/>
  <c r="AV263" i="1"/>
  <c r="AW263" i="1"/>
  <c r="AY263" i="1"/>
  <c r="AZ263" i="1"/>
  <c r="BB263" i="1"/>
  <c r="BC263" i="1"/>
  <c r="BE263" i="1"/>
  <c r="BF263" i="1"/>
  <c r="BH263" i="1"/>
  <c r="BI263" i="1"/>
  <c r="BK263" i="1"/>
  <c r="BL263" i="1"/>
  <c r="BN263" i="1"/>
  <c r="BO263" i="1"/>
  <c r="AV264" i="1"/>
  <c r="AW264" i="1"/>
  <c r="AY264" i="1"/>
  <c r="AZ264" i="1"/>
  <c r="BB264" i="1"/>
  <c r="BC264" i="1"/>
  <c r="BE264" i="1"/>
  <c r="BF264" i="1"/>
  <c r="BH264" i="1"/>
  <c r="BI264" i="1"/>
  <c r="BK264" i="1"/>
  <c r="BL264" i="1"/>
  <c r="BN264" i="1"/>
  <c r="BO264" i="1"/>
  <c r="AV265" i="1"/>
  <c r="AW265" i="1"/>
  <c r="AY265" i="1"/>
  <c r="AZ265" i="1"/>
  <c r="BB265" i="1"/>
  <c r="BC265" i="1"/>
  <c r="BE265" i="1"/>
  <c r="BF265" i="1"/>
  <c r="BH265" i="1"/>
  <c r="BI265" i="1"/>
  <c r="BK265" i="1"/>
  <c r="BL265" i="1"/>
  <c r="BN265" i="1"/>
  <c r="BO265" i="1"/>
  <c r="AV266" i="1"/>
  <c r="AW266" i="1"/>
  <c r="AY266" i="1"/>
  <c r="AZ266" i="1"/>
  <c r="BB266" i="1"/>
  <c r="BC266" i="1"/>
  <c r="BE266" i="1"/>
  <c r="BF266" i="1"/>
  <c r="BH266" i="1"/>
  <c r="BI266" i="1"/>
  <c r="BK266" i="1"/>
  <c r="BL266" i="1"/>
  <c r="BN266" i="1"/>
  <c r="BO266" i="1"/>
  <c r="AV267" i="1"/>
  <c r="AW267" i="1"/>
  <c r="AY267" i="1"/>
  <c r="AZ267" i="1"/>
  <c r="BB267" i="1"/>
  <c r="BC267" i="1"/>
  <c r="BE267" i="1"/>
  <c r="BF267" i="1"/>
  <c r="BH267" i="1"/>
  <c r="BI267" i="1"/>
  <c r="BK267" i="1"/>
  <c r="BL267" i="1"/>
  <c r="BN267" i="1"/>
  <c r="BO267" i="1"/>
  <c r="AV268" i="1"/>
  <c r="AW268" i="1"/>
  <c r="AY268" i="1"/>
  <c r="AZ268" i="1"/>
  <c r="BB268" i="1"/>
  <c r="BC268" i="1"/>
  <c r="BE268" i="1"/>
  <c r="BF268" i="1"/>
  <c r="BH268" i="1"/>
  <c r="BI268" i="1"/>
  <c r="BK268" i="1"/>
  <c r="BL268" i="1"/>
  <c r="BN268" i="1"/>
  <c r="BO268" i="1"/>
  <c r="AV269" i="1"/>
  <c r="AW269" i="1"/>
  <c r="AY269" i="1"/>
  <c r="AZ269" i="1"/>
  <c r="BB269" i="1"/>
  <c r="BC269" i="1"/>
  <c r="BE269" i="1"/>
  <c r="BF269" i="1"/>
  <c r="BH269" i="1"/>
  <c r="BI269" i="1"/>
  <c r="BK269" i="1"/>
  <c r="BL269" i="1"/>
  <c r="BN269" i="1"/>
  <c r="BO269" i="1"/>
  <c r="AV270" i="1"/>
  <c r="AW270" i="1"/>
  <c r="AY270" i="1"/>
  <c r="AZ270" i="1"/>
  <c r="BB270" i="1"/>
  <c r="BC270" i="1"/>
  <c r="BE270" i="1"/>
  <c r="BF270" i="1"/>
  <c r="BH270" i="1"/>
  <c r="BI270" i="1"/>
  <c r="BK270" i="1"/>
  <c r="BL270" i="1"/>
  <c r="BN270" i="1"/>
  <c r="BO270" i="1"/>
  <c r="AV271" i="1"/>
  <c r="AW271" i="1"/>
  <c r="AY271" i="1"/>
  <c r="AZ271" i="1"/>
  <c r="BB271" i="1"/>
  <c r="BC271" i="1"/>
  <c r="BE271" i="1"/>
  <c r="BF271" i="1"/>
  <c r="BH271" i="1"/>
  <c r="BI271" i="1"/>
  <c r="BK271" i="1"/>
  <c r="BL271" i="1"/>
  <c r="BN271" i="1"/>
  <c r="BO271" i="1"/>
  <c r="AV272" i="1"/>
  <c r="AW272" i="1"/>
  <c r="AY272" i="1"/>
  <c r="AZ272" i="1"/>
  <c r="BB272" i="1"/>
  <c r="BC272" i="1"/>
  <c r="BE272" i="1"/>
  <c r="BF272" i="1"/>
  <c r="BH272" i="1"/>
  <c r="BI272" i="1"/>
  <c r="BK272" i="1"/>
  <c r="BL272" i="1"/>
  <c r="BN272" i="1"/>
  <c r="BO272" i="1"/>
  <c r="AV273" i="1"/>
  <c r="AW273" i="1"/>
  <c r="AY273" i="1"/>
  <c r="AZ273" i="1"/>
  <c r="BB273" i="1"/>
  <c r="BC273" i="1"/>
  <c r="BE273" i="1"/>
  <c r="BF273" i="1"/>
  <c r="BH273" i="1"/>
  <c r="BI273" i="1"/>
  <c r="BK273" i="1"/>
  <c r="BL273" i="1"/>
  <c r="BN273" i="1"/>
  <c r="BO273" i="1"/>
  <c r="AV274" i="1"/>
  <c r="AW274" i="1"/>
  <c r="AY274" i="1"/>
  <c r="AZ274" i="1"/>
  <c r="BB274" i="1"/>
  <c r="BC274" i="1"/>
  <c r="BE274" i="1"/>
  <c r="BF274" i="1"/>
  <c r="BH274" i="1"/>
  <c r="BI274" i="1"/>
  <c r="BK274" i="1"/>
  <c r="BL274" i="1"/>
  <c r="BN274" i="1"/>
  <c r="BO274" i="1"/>
  <c r="AV275" i="1"/>
  <c r="AW275" i="1"/>
  <c r="AY275" i="1"/>
  <c r="AZ275" i="1"/>
  <c r="BB275" i="1"/>
  <c r="BC275" i="1"/>
  <c r="BE275" i="1"/>
  <c r="BF275" i="1"/>
  <c r="BH275" i="1"/>
  <c r="BI275" i="1"/>
  <c r="BK275" i="1"/>
  <c r="BL275" i="1"/>
  <c r="BN275" i="1"/>
  <c r="BO275" i="1"/>
  <c r="AV276" i="1"/>
  <c r="AW276" i="1"/>
  <c r="AY276" i="1"/>
  <c r="AZ276" i="1"/>
  <c r="BB276" i="1"/>
  <c r="BC276" i="1"/>
  <c r="BE276" i="1"/>
  <c r="BF276" i="1"/>
  <c r="BH276" i="1"/>
  <c r="BI276" i="1"/>
  <c r="BK276" i="1"/>
  <c r="BL276" i="1"/>
  <c r="BN276" i="1"/>
  <c r="BO276" i="1"/>
  <c r="AV277" i="1"/>
  <c r="AW277" i="1"/>
  <c r="AY277" i="1"/>
  <c r="AZ277" i="1"/>
  <c r="BB277" i="1"/>
  <c r="BC277" i="1"/>
  <c r="BE277" i="1"/>
  <c r="BF277" i="1"/>
  <c r="BH277" i="1"/>
  <c r="BI277" i="1"/>
  <c r="BK277" i="1"/>
  <c r="BL277" i="1"/>
  <c r="BN277" i="1"/>
  <c r="BO277" i="1"/>
  <c r="AV278" i="1"/>
  <c r="AW278" i="1"/>
  <c r="AY278" i="1"/>
  <c r="AZ278" i="1"/>
  <c r="BB278" i="1"/>
  <c r="BC278" i="1"/>
  <c r="BE278" i="1"/>
  <c r="BF278" i="1"/>
  <c r="BH278" i="1"/>
  <c r="BI278" i="1"/>
  <c r="BK278" i="1"/>
  <c r="BL278" i="1"/>
  <c r="BN278" i="1"/>
  <c r="BO278" i="1"/>
  <c r="AV279" i="1"/>
  <c r="AW279" i="1"/>
  <c r="AY279" i="1"/>
  <c r="AZ279" i="1"/>
  <c r="BB279" i="1"/>
  <c r="BC279" i="1"/>
  <c r="BE279" i="1"/>
  <c r="BF279" i="1"/>
  <c r="BH279" i="1"/>
  <c r="BI279" i="1"/>
  <c r="BK279" i="1"/>
  <c r="BL279" i="1"/>
  <c r="BN279" i="1"/>
  <c r="BO279" i="1"/>
  <c r="AV280" i="1"/>
  <c r="AW280" i="1"/>
  <c r="AY280" i="1"/>
  <c r="AZ280" i="1"/>
  <c r="BB280" i="1"/>
  <c r="BC280" i="1"/>
  <c r="BE280" i="1"/>
  <c r="BF280" i="1"/>
  <c r="BH280" i="1"/>
  <c r="BI280" i="1"/>
  <c r="BK280" i="1"/>
  <c r="BL280" i="1"/>
  <c r="BN280" i="1"/>
  <c r="BO280" i="1"/>
  <c r="AV281" i="1"/>
  <c r="AW281" i="1"/>
  <c r="AY281" i="1"/>
  <c r="AZ281" i="1"/>
  <c r="BB281" i="1"/>
  <c r="BC281" i="1"/>
  <c r="BE281" i="1"/>
  <c r="BF281" i="1"/>
  <c r="BH281" i="1"/>
  <c r="BI281" i="1"/>
  <c r="BK281" i="1"/>
  <c r="BL281" i="1"/>
  <c r="BN281" i="1"/>
  <c r="BO281" i="1"/>
  <c r="AV282" i="1"/>
  <c r="AW282" i="1"/>
  <c r="AY282" i="1"/>
  <c r="AZ282" i="1"/>
  <c r="BB282" i="1"/>
  <c r="BC282" i="1"/>
  <c r="BE282" i="1"/>
  <c r="BF282" i="1"/>
  <c r="BH282" i="1"/>
  <c r="BI282" i="1"/>
  <c r="BK282" i="1"/>
  <c r="BL282" i="1"/>
  <c r="BN282" i="1"/>
  <c r="BO282" i="1"/>
  <c r="AV283" i="1"/>
  <c r="AW283" i="1"/>
  <c r="AY283" i="1"/>
  <c r="AZ283" i="1"/>
  <c r="BB283" i="1"/>
  <c r="BC283" i="1"/>
  <c r="BE283" i="1"/>
  <c r="BF283" i="1"/>
  <c r="BH283" i="1"/>
  <c r="BI283" i="1"/>
  <c r="BK283" i="1"/>
  <c r="BL283" i="1"/>
  <c r="BN283" i="1"/>
  <c r="BO283" i="1"/>
  <c r="AV284" i="1"/>
  <c r="AW284" i="1"/>
  <c r="AY284" i="1"/>
  <c r="AZ284" i="1"/>
  <c r="BB284" i="1"/>
  <c r="BC284" i="1"/>
  <c r="BE284" i="1"/>
  <c r="BF284" i="1"/>
  <c r="BH284" i="1"/>
  <c r="BI284" i="1"/>
  <c r="BK284" i="1"/>
  <c r="BL284" i="1"/>
  <c r="BN284" i="1"/>
  <c r="BO284" i="1"/>
  <c r="AV285" i="1"/>
  <c r="AW285" i="1"/>
  <c r="AY285" i="1"/>
  <c r="AZ285" i="1"/>
  <c r="BB285" i="1"/>
  <c r="BC285" i="1"/>
  <c r="BE285" i="1"/>
  <c r="BF285" i="1"/>
  <c r="BH285" i="1"/>
  <c r="BI285" i="1"/>
  <c r="BK285" i="1"/>
  <c r="BL285" i="1"/>
  <c r="BN285" i="1"/>
  <c r="BO285" i="1"/>
  <c r="AV286" i="1"/>
  <c r="AW286" i="1"/>
  <c r="AY286" i="1"/>
  <c r="AZ286" i="1"/>
  <c r="BB286" i="1"/>
  <c r="BC286" i="1"/>
  <c r="BE286" i="1"/>
  <c r="BF286" i="1"/>
  <c r="BH286" i="1"/>
  <c r="BI286" i="1"/>
  <c r="BK286" i="1"/>
  <c r="BL286" i="1"/>
  <c r="BN286" i="1"/>
  <c r="BO286" i="1"/>
  <c r="AV287" i="1"/>
  <c r="AW287" i="1"/>
  <c r="AY287" i="1"/>
  <c r="AZ287" i="1"/>
  <c r="BB287" i="1"/>
  <c r="BC287" i="1"/>
  <c r="BE287" i="1"/>
  <c r="BF287" i="1"/>
  <c r="BH287" i="1"/>
  <c r="BI287" i="1"/>
  <c r="BK287" i="1"/>
  <c r="BL287" i="1"/>
  <c r="BN287" i="1"/>
  <c r="BO287" i="1"/>
  <c r="AV288" i="1"/>
  <c r="AW288" i="1"/>
  <c r="AY288" i="1"/>
  <c r="AZ288" i="1"/>
  <c r="BB288" i="1"/>
  <c r="BC288" i="1"/>
  <c r="BE288" i="1"/>
  <c r="BF288" i="1"/>
  <c r="BH288" i="1"/>
  <c r="BI288" i="1"/>
  <c r="BK288" i="1"/>
  <c r="BL288" i="1"/>
  <c r="BN288" i="1"/>
  <c r="BO288" i="1"/>
  <c r="AV291" i="1"/>
  <c r="AW291" i="1"/>
  <c r="AY291" i="1"/>
  <c r="AZ291" i="1"/>
  <c r="BB291" i="1"/>
  <c r="BC291" i="1"/>
  <c r="BE291" i="1"/>
  <c r="BF291" i="1"/>
  <c r="BH291" i="1"/>
  <c r="BI291" i="1"/>
  <c r="BK291" i="1"/>
  <c r="BL291" i="1"/>
  <c r="BN291" i="1"/>
  <c r="BO291" i="1"/>
  <c r="AV292" i="1"/>
  <c r="AW292" i="1"/>
  <c r="AY292" i="1"/>
  <c r="AZ292" i="1"/>
  <c r="BB292" i="1"/>
  <c r="BC292" i="1"/>
  <c r="BE292" i="1"/>
  <c r="BF292" i="1"/>
  <c r="BH292" i="1"/>
  <c r="BI292" i="1"/>
  <c r="BK292" i="1"/>
  <c r="BL292" i="1"/>
  <c r="BN292" i="1"/>
  <c r="BO292" i="1"/>
  <c r="AV293" i="1"/>
  <c r="AW293" i="1"/>
  <c r="AY293" i="1"/>
  <c r="AZ293" i="1"/>
  <c r="BB293" i="1"/>
  <c r="BC293" i="1"/>
  <c r="BE293" i="1"/>
  <c r="BF293" i="1"/>
  <c r="BH293" i="1"/>
  <c r="BI293" i="1"/>
  <c r="BK293" i="1"/>
  <c r="BL293" i="1"/>
  <c r="BN293" i="1"/>
  <c r="BO293" i="1"/>
  <c r="AV294" i="1"/>
  <c r="AW294" i="1"/>
  <c r="AY294" i="1"/>
  <c r="AZ294" i="1"/>
  <c r="BB294" i="1"/>
  <c r="BC294" i="1"/>
  <c r="BE294" i="1"/>
  <c r="BF294" i="1"/>
  <c r="BH294" i="1"/>
  <c r="BI294" i="1"/>
  <c r="BK294" i="1"/>
  <c r="BL294" i="1"/>
  <c r="BN294" i="1"/>
  <c r="BO294" i="1"/>
  <c r="AV295" i="1"/>
  <c r="AW295" i="1"/>
  <c r="AY295" i="1"/>
  <c r="AZ295" i="1"/>
  <c r="BB295" i="1"/>
  <c r="BC295" i="1"/>
  <c r="BE295" i="1"/>
  <c r="BF295" i="1"/>
  <c r="BH295" i="1"/>
  <c r="BI295" i="1"/>
  <c r="BK295" i="1"/>
  <c r="BL295" i="1"/>
  <c r="BN295" i="1"/>
  <c r="BO295" i="1"/>
  <c r="AV296" i="1"/>
  <c r="AW296" i="1"/>
  <c r="AY296" i="1"/>
  <c r="AZ296" i="1"/>
  <c r="BB296" i="1"/>
  <c r="BC296" i="1"/>
  <c r="BE296" i="1"/>
  <c r="BF296" i="1"/>
  <c r="BH296" i="1"/>
  <c r="BI296" i="1"/>
  <c r="BK296" i="1"/>
  <c r="BL296" i="1"/>
  <c r="BN296" i="1"/>
  <c r="BO296" i="1"/>
  <c r="AV297" i="1"/>
  <c r="AW297" i="1"/>
  <c r="AY297" i="1"/>
  <c r="AZ297" i="1"/>
  <c r="BB297" i="1"/>
  <c r="BC297" i="1"/>
  <c r="BE297" i="1"/>
  <c r="BF297" i="1"/>
  <c r="BH297" i="1"/>
  <c r="BI297" i="1"/>
  <c r="BK297" i="1"/>
  <c r="BL297" i="1"/>
  <c r="BN297" i="1"/>
  <c r="BO297" i="1"/>
  <c r="AV298" i="1"/>
  <c r="AW298" i="1"/>
  <c r="AY298" i="1"/>
  <c r="AZ298" i="1"/>
  <c r="BB298" i="1"/>
  <c r="BC298" i="1"/>
  <c r="BE298" i="1"/>
  <c r="BF298" i="1"/>
  <c r="BH298" i="1"/>
  <c r="BI298" i="1"/>
  <c r="BK298" i="1"/>
  <c r="BL298" i="1"/>
  <c r="BN298" i="1"/>
  <c r="BO298" i="1"/>
  <c r="AV299" i="1"/>
  <c r="AW299" i="1"/>
  <c r="AY299" i="1"/>
  <c r="AZ299" i="1"/>
  <c r="BB299" i="1"/>
  <c r="BC299" i="1"/>
  <c r="BE299" i="1"/>
  <c r="BF299" i="1"/>
  <c r="BH299" i="1"/>
  <c r="BI299" i="1"/>
  <c r="BK299" i="1"/>
  <c r="BL299" i="1"/>
  <c r="BN299" i="1"/>
  <c r="BO299" i="1"/>
  <c r="AV300" i="1"/>
  <c r="AW300" i="1"/>
  <c r="AY300" i="1"/>
  <c r="AZ300" i="1"/>
  <c r="BB300" i="1"/>
  <c r="BC300" i="1"/>
  <c r="BE300" i="1"/>
  <c r="BF300" i="1"/>
  <c r="BH300" i="1"/>
  <c r="BI300" i="1"/>
  <c r="BK300" i="1"/>
  <c r="BL300" i="1"/>
  <c r="BN300" i="1"/>
  <c r="BO300" i="1"/>
  <c r="AV301" i="1"/>
  <c r="AW301" i="1"/>
  <c r="AY301" i="1"/>
  <c r="AZ301" i="1"/>
  <c r="BB301" i="1"/>
  <c r="BC301" i="1"/>
  <c r="BE301" i="1"/>
  <c r="BF301" i="1"/>
  <c r="BH301" i="1"/>
  <c r="BI301" i="1"/>
  <c r="BK301" i="1"/>
  <c r="BL301" i="1"/>
  <c r="BN301" i="1"/>
  <c r="BO301" i="1"/>
  <c r="AV302" i="1"/>
  <c r="AW302" i="1"/>
  <c r="AY302" i="1"/>
  <c r="AZ302" i="1"/>
  <c r="BB302" i="1"/>
  <c r="BC302" i="1"/>
  <c r="BE302" i="1"/>
  <c r="BF302" i="1"/>
  <c r="BH302" i="1"/>
  <c r="BI302" i="1"/>
  <c r="BK302" i="1"/>
  <c r="BL302" i="1"/>
  <c r="BN302" i="1"/>
  <c r="BO302" i="1"/>
  <c r="AV303" i="1"/>
  <c r="AW303" i="1"/>
  <c r="AY303" i="1"/>
  <c r="AZ303" i="1"/>
  <c r="BB303" i="1"/>
  <c r="BC303" i="1"/>
  <c r="BE303" i="1"/>
  <c r="BF303" i="1"/>
  <c r="BH303" i="1"/>
  <c r="BI303" i="1"/>
  <c r="BK303" i="1"/>
  <c r="BL303" i="1"/>
  <c r="BN303" i="1"/>
  <c r="BO303" i="1"/>
  <c r="AV304" i="1"/>
  <c r="AW304" i="1"/>
  <c r="AY304" i="1"/>
  <c r="AZ304" i="1"/>
  <c r="BB304" i="1"/>
  <c r="BC304" i="1"/>
  <c r="BE304" i="1"/>
  <c r="BF304" i="1"/>
  <c r="BH304" i="1"/>
  <c r="BI304" i="1"/>
  <c r="BK304" i="1"/>
  <c r="BL304" i="1"/>
  <c r="BN304" i="1"/>
  <c r="BO304" i="1"/>
  <c r="AV305" i="1"/>
  <c r="AW305" i="1"/>
  <c r="AY305" i="1"/>
  <c r="AZ305" i="1"/>
  <c r="BB305" i="1"/>
  <c r="BC305" i="1"/>
  <c r="BE305" i="1"/>
  <c r="BF305" i="1"/>
  <c r="BH305" i="1"/>
  <c r="BI305" i="1"/>
  <c r="BK305" i="1"/>
  <c r="BL305" i="1"/>
  <c r="BN305" i="1"/>
  <c r="BO305" i="1"/>
  <c r="AV306" i="1"/>
  <c r="AW306" i="1"/>
  <c r="AY306" i="1"/>
  <c r="AZ306" i="1"/>
  <c r="BB306" i="1"/>
  <c r="BC306" i="1"/>
  <c r="BE306" i="1"/>
  <c r="BF306" i="1"/>
  <c r="BH306" i="1"/>
  <c r="BI306" i="1"/>
  <c r="BK306" i="1"/>
  <c r="BL306" i="1"/>
  <c r="BN306" i="1"/>
  <c r="BO306" i="1"/>
  <c r="AV307" i="1"/>
  <c r="AW307" i="1"/>
  <c r="AY307" i="1"/>
  <c r="AZ307" i="1"/>
  <c r="BB307" i="1"/>
  <c r="BC307" i="1"/>
  <c r="BE307" i="1"/>
  <c r="BF307" i="1"/>
  <c r="BH307" i="1"/>
  <c r="BI307" i="1"/>
  <c r="BK307" i="1"/>
  <c r="BL307" i="1"/>
  <c r="BN307" i="1"/>
  <c r="BO307" i="1"/>
  <c r="AV308" i="1"/>
  <c r="AW308" i="1"/>
  <c r="AY308" i="1"/>
  <c r="AZ308" i="1"/>
  <c r="BB308" i="1"/>
  <c r="BC308" i="1"/>
  <c r="BE308" i="1"/>
  <c r="BF308" i="1"/>
  <c r="BH308" i="1"/>
  <c r="BI308" i="1"/>
  <c r="BK308" i="1"/>
  <c r="BL308" i="1"/>
  <c r="BN308" i="1"/>
  <c r="BO308" i="1"/>
  <c r="AV309" i="1"/>
  <c r="AW309" i="1"/>
  <c r="AY309" i="1"/>
  <c r="AZ309" i="1"/>
  <c r="BB309" i="1"/>
  <c r="BC309" i="1"/>
  <c r="BE309" i="1"/>
  <c r="BF309" i="1"/>
  <c r="BH309" i="1"/>
  <c r="BI309" i="1"/>
  <c r="BK309" i="1"/>
  <c r="BL309" i="1"/>
  <c r="BN309" i="1"/>
  <c r="BO309" i="1"/>
  <c r="AV310" i="1"/>
  <c r="AW310" i="1"/>
  <c r="AY310" i="1"/>
  <c r="AZ310" i="1"/>
  <c r="BB310" i="1"/>
  <c r="BC310" i="1"/>
  <c r="BE310" i="1"/>
  <c r="BF310" i="1"/>
  <c r="BH310" i="1"/>
  <c r="BI310" i="1"/>
  <c r="BK310" i="1"/>
  <c r="BL310" i="1"/>
  <c r="BN310" i="1"/>
  <c r="BO310" i="1"/>
  <c r="AV311" i="1"/>
  <c r="AW311" i="1"/>
  <c r="AY311" i="1"/>
  <c r="AZ311" i="1"/>
  <c r="BB311" i="1"/>
  <c r="BC311" i="1"/>
  <c r="BE311" i="1"/>
  <c r="BF311" i="1"/>
  <c r="BH311" i="1"/>
  <c r="BI311" i="1"/>
  <c r="BK311" i="1"/>
  <c r="BL311" i="1"/>
  <c r="BN311" i="1"/>
  <c r="BO311" i="1"/>
  <c r="AV312" i="1"/>
  <c r="AW312" i="1"/>
  <c r="AY312" i="1"/>
  <c r="AZ312" i="1"/>
  <c r="BB312" i="1"/>
  <c r="BC312" i="1"/>
  <c r="BE312" i="1"/>
  <c r="BF312" i="1"/>
  <c r="BH312" i="1"/>
  <c r="BI312" i="1"/>
  <c r="BK312" i="1"/>
  <c r="BL312" i="1"/>
  <c r="BN312" i="1"/>
  <c r="BO312" i="1"/>
  <c r="AV313" i="1"/>
  <c r="AW313" i="1"/>
  <c r="AY313" i="1"/>
  <c r="AZ313" i="1"/>
  <c r="BB313" i="1"/>
  <c r="BC313" i="1"/>
  <c r="BE313" i="1"/>
  <c r="BF313" i="1"/>
  <c r="BH313" i="1"/>
  <c r="BI313" i="1"/>
  <c r="BK313" i="1"/>
  <c r="BL313" i="1"/>
  <c r="BN313" i="1"/>
  <c r="BO313" i="1"/>
  <c r="AV314" i="1"/>
  <c r="AW314" i="1"/>
  <c r="AY314" i="1"/>
  <c r="AZ314" i="1"/>
  <c r="BB314" i="1"/>
  <c r="BC314" i="1"/>
  <c r="BE314" i="1"/>
  <c r="BF314" i="1"/>
  <c r="BH314" i="1"/>
  <c r="BI314" i="1"/>
  <c r="BK314" i="1"/>
  <c r="BL314" i="1"/>
  <c r="BN314" i="1"/>
  <c r="BO314" i="1"/>
  <c r="AV315" i="1"/>
  <c r="AW315" i="1"/>
  <c r="AY315" i="1"/>
  <c r="AZ315" i="1"/>
  <c r="BB315" i="1"/>
  <c r="BC315" i="1"/>
  <c r="BE315" i="1"/>
  <c r="BF315" i="1"/>
  <c r="BH315" i="1"/>
  <c r="BI315" i="1"/>
  <c r="BK315" i="1"/>
  <c r="BL315" i="1"/>
  <c r="BN315" i="1"/>
  <c r="BO315" i="1"/>
  <c r="AV316" i="1"/>
  <c r="AW316" i="1"/>
  <c r="AY316" i="1"/>
  <c r="AZ316" i="1"/>
  <c r="BB316" i="1"/>
  <c r="BC316" i="1"/>
  <c r="BE316" i="1"/>
  <c r="BF316" i="1"/>
  <c r="BH316" i="1"/>
  <c r="BI316" i="1"/>
  <c r="BK316" i="1"/>
  <c r="BL316" i="1"/>
  <c r="BN316" i="1"/>
  <c r="BO316" i="1"/>
  <c r="AV317" i="1"/>
  <c r="AW317" i="1"/>
  <c r="AY317" i="1"/>
  <c r="AZ317" i="1"/>
  <c r="BB317" i="1"/>
  <c r="BC317" i="1"/>
  <c r="BE317" i="1"/>
  <c r="BF317" i="1"/>
  <c r="BH317" i="1"/>
  <c r="BI317" i="1"/>
  <c r="BK317" i="1"/>
  <c r="BL317" i="1"/>
  <c r="BN317" i="1"/>
  <c r="BO317" i="1"/>
  <c r="AV318" i="1"/>
  <c r="AW318" i="1"/>
  <c r="AY318" i="1"/>
  <c r="AZ318" i="1"/>
  <c r="BB318" i="1"/>
  <c r="BC318" i="1"/>
  <c r="BE318" i="1"/>
  <c r="BF318" i="1"/>
  <c r="BH318" i="1"/>
  <c r="BI318" i="1"/>
  <c r="BK318" i="1"/>
  <c r="BL318" i="1"/>
  <c r="BN318" i="1"/>
  <c r="BO318" i="1"/>
  <c r="AV319" i="1"/>
  <c r="AW319" i="1"/>
  <c r="AY319" i="1"/>
  <c r="AZ319" i="1"/>
  <c r="BB319" i="1"/>
  <c r="BC319" i="1"/>
  <c r="BE319" i="1"/>
  <c r="BF319" i="1"/>
  <c r="BH319" i="1"/>
  <c r="BI319" i="1"/>
  <c r="BK319" i="1"/>
  <c r="BL319" i="1"/>
  <c r="BN319" i="1"/>
  <c r="BO319" i="1"/>
  <c r="AV320" i="1"/>
  <c r="AW320" i="1"/>
  <c r="AY320" i="1"/>
  <c r="AZ320" i="1"/>
  <c r="BB320" i="1"/>
  <c r="BC320" i="1"/>
  <c r="BE320" i="1"/>
  <c r="BF320" i="1"/>
  <c r="BH320" i="1"/>
  <c r="BI320" i="1"/>
  <c r="BK320" i="1"/>
  <c r="BL320" i="1"/>
  <c r="BN320" i="1"/>
  <c r="BO320" i="1"/>
  <c r="AV321" i="1"/>
  <c r="AW321" i="1"/>
  <c r="AY321" i="1"/>
  <c r="AZ321" i="1"/>
  <c r="BB321" i="1"/>
  <c r="BC321" i="1"/>
  <c r="BE321" i="1"/>
  <c r="BF321" i="1"/>
  <c r="BH321" i="1"/>
  <c r="BI321" i="1"/>
  <c r="BK321" i="1"/>
  <c r="BL321" i="1"/>
  <c r="BN321" i="1"/>
  <c r="BO321" i="1"/>
  <c r="AV322" i="1"/>
  <c r="AW322" i="1"/>
  <c r="AY322" i="1"/>
  <c r="AZ322" i="1"/>
  <c r="BB322" i="1"/>
  <c r="BC322" i="1"/>
  <c r="BE322" i="1"/>
  <c r="BF322" i="1"/>
  <c r="BH322" i="1"/>
  <c r="BI322" i="1"/>
  <c r="BK322" i="1"/>
  <c r="BL322" i="1"/>
  <c r="BN322" i="1"/>
  <c r="BO322" i="1"/>
  <c r="AV323" i="1"/>
  <c r="AW323" i="1"/>
  <c r="AY323" i="1"/>
  <c r="AZ323" i="1"/>
  <c r="BB323" i="1"/>
  <c r="BC323" i="1"/>
  <c r="BE323" i="1"/>
  <c r="BF323" i="1"/>
  <c r="BH323" i="1"/>
  <c r="BI323" i="1"/>
  <c r="BK323" i="1"/>
  <c r="BL323" i="1"/>
  <c r="BN323" i="1"/>
  <c r="BO323" i="1"/>
  <c r="AV324" i="1"/>
  <c r="AW324" i="1"/>
  <c r="AY324" i="1"/>
  <c r="AZ324" i="1"/>
  <c r="BB324" i="1"/>
  <c r="BC324" i="1"/>
  <c r="BE324" i="1"/>
  <c r="BF324" i="1"/>
  <c r="BH324" i="1"/>
  <c r="BI324" i="1"/>
  <c r="BK324" i="1"/>
  <c r="BL324" i="1"/>
  <c r="BN324" i="1"/>
  <c r="BO324" i="1"/>
  <c r="AV325" i="1"/>
  <c r="AW325" i="1"/>
  <c r="AY325" i="1"/>
  <c r="AZ325" i="1"/>
  <c r="BB325" i="1"/>
  <c r="BC325" i="1"/>
  <c r="BE325" i="1"/>
  <c r="BF325" i="1"/>
  <c r="BH325" i="1"/>
  <c r="BI325" i="1"/>
  <c r="BK325" i="1"/>
  <c r="BL325" i="1"/>
  <c r="BN325" i="1"/>
  <c r="BO325" i="1"/>
  <c r="AV326" i="1"/>
  <c r="AW326" i="1"/>
  <c r="AY326" i="1"/>
  <c r="AZ326" i="1"/>
  <c r="BB326" i="1"/>
  <c r="BC326" i="1"/>
  <c r="BE326" i="1"/>
  <c r="BF326" i="1"/>
  <c r="BH326" i="1"/>
  <c r="BI326" i="1"/>
  <c r="BK326" i="1"/>
  <c r="BL326" i="1"/>
  <c r="BN326" i="1"/>
  <c r="BO326" i="1"/>
  <c r="AV327" i="1"/>
  <c r="AW327" i="1"/>
  <c r="AY327" i="1"/>
  <c r="AZ327" i="1"/>
  <c r="BB327" i="1"/>
  <c r="BC327" i="1"/>
  <c r="BE327" i="1"/>
  <c r="BF327" i="1"/>
  <c r="BH327" i="1"/>
  <c r="BI327" i="1"/>
  <c r="BK327" i="1"/>
  <c r="BL327" i="1"/>
  <c r="BN327" i="1"/>
  <c r="BO327" i="1"/>
  <c r="AV328" i="1"/>
  <c r="AW328" i="1"/>
  <c r="AY328" i="1"/>
  <c r="AZ328" i="1"/>
  <c r="BB328" i="1"/>
  <c r="BC328" i="1"/>
  <c r="BE328" i="1"/>
  <c r="BF328" i="1"/>
  <c r="BH328" i="1"/>
  <c r="BI328" i="1"/>
  <c r="BK328" i="1"/>
  <c r="BL328" i="1"/>
  <c r="BN328" i="1"/>
  <c r="BO328" i="1"/>
  <c r="AV329" i="1"/>
  <c r="AW329" i="1"/>
  <c r="AY329" i="1"/>
  <c r="AZ329" i="1"/>
  <c r="BB329" i="1"/>
  <c r="BC329" i="1"/>
  <c r="BE329" i="1"/>
  <c r="BF329" i="1"/>
  <c r="BH329" i="1"/>
  <c r="BI329" i="1"/>
  <c r="BK329" i="1"/>
  <c r="BL329" i="1"/>
  <c r="BN329" i="1"/>
  <c r="BO329" i="1"/>
  <c r="AV330" i="1"/>
  <c r="AW330" i="1"/>
  <c r="AY330" i="1"/>
  <c r="AZ330" i="1"/>
  <c r="BB330" i="1"/>
  <c r="BC330" i="1"/>
  <c r="BE330" i="1"/>
  <c r="BF330" i="1"/>
  <c r="BH330" i="1"/>
  <c r="BI330" i="1"/>
  <c r="BK330" i="1"/>
  <c r="BL330" i="1"/>
  <c r="BN330" i="1"/>
  <c r="BO330" i="1"/>
  <c r="AV331" i="1"/>
  <c r="AW331" i="1"/>
  <c r="AY331" i="1"/>
  <c r="AZ331" i="1"/>
  <c r="BB331" i="1"/>
  <c r="BC331" i="1"/>
  <c r="BE331" i="1"/>
  <c r="BF331" i="1"/>
  <c r="BH331" i="1"/>
  <c r="BI331" i="1"/>
  <c r="BK331" i="1"/>
  <c r="BL331" i="1"/>
  <c r="BN331" i="1"/>
  <c r="BO331" i="1"/>
  <c r="AV332" i="1"/>
  <c r="AW332" i="1"/>
  <c r="AY332" i="1"/>
  <c r="AZ332" i="1"/>
  <c r="BB332" i="1"/>
  <c r="BC332" i="1"/>
  <c r="BE332" i="1"/>
  <c r="BF332" i="1"/>
  <c r="BH332" i="1"/>
  <c r="BI332" i="1"/>
  <c r="BK332" i="1"/>
  <c r="BL332" i="1"/>
  <c r="BN332" i="1"/>
  <c r="BO332" i="1"/>
  <c r="AV333" i="1"/>
  <c r="AW333" i="1"/>
  <c r="AY333" i="1"/>
  <c r="AZ333" i="1"/>
  <c r="BB333" i="1"/>
  <c r="BC333" i="1"/>
  <c r="BE333" i="1"/>
  <c r="BF333" i="1"/>
  <c r="BH333" i="1"/>
  <c r="BI333" i="1"/>
  <c r="BK333" i="1"/>
  <c r="BL333" i="1"/>
  <c r="BN333" i="1"/>
  <c r="BO333" i="1"/>
  <c r="AV334" i="1"/>
  <c r="AW334" i="1"/>
  <c r="AY334" i="1"/>
  <c r="AZ334" i="1"/>
  <c r="BB334" i="1"/>
  <c r="BC334" i="1"/>
  <c r="BE334" i="1"/>
  <c r="BF334" i="1"/>
  <c r="BH334" i="1"/>
  <c r="BI334" i="1"/>
  <c r="BK334" i="1"/>
  <c r="BL334" i="1"/>
  <c r="BN334" i="1"/>
  <c r="BO334" i="1"/>
  <c r="AV335" i="1"/>
  <c r="AW335" i="1"/>
  <c r="AY335" i="1"/>
  <c r="AZ335" i="1"/>
  <c r="BB335" i="1"/>
  <c r="BC335" i="1"/>
  <c r="BE335" i="1"/>
  <c r="BF335" i="1"/>
  <c r="BH335" i="1"/>
  <c r="BI335" i="1"/>
  <c r="BK335" i="1"/>
  <c r="BL335" i="1"/>
  <c r="BN335" i="1"/>
  <c r="BO335" i="1"/>
  <c r="AV336" i="1"/>
  <c r="AW336" i="1"/>
  <c r="AY336" i="1"/>
  <c r="AZ336" i="1"/>
  <c r="BB336" i="1"/>
  <c r="BC336" i="1"/>
  <c r="BE336" i="1"/>
  <c r="BF336" i="1"/>
  <c r="BH336" i="1"/>
  <c r="BI336" i="1"/>
  <c r="BK336" i="1"/>
  <c r="BL336" i="1"/>
  <c r="BN336" i="1"/>
  <c r="BO336" i="1"/>
  <c r="AV337" i="1"/>
  <c r="AW337" i="1"/>
  <c r="AY337" i="1"/>
  <c r="AZ337" i="1"/>
  <c r="BB337" i="1"/>
  <c r="BC337" i="1"/>
  <c r="BE337" i="1"/>
  <c r="BF337" i="1"/>
  <c r="BH337" i="1"/>
  <c r="BI337" i="1"/>
  <c r="BK337" i="1"/>
  <c r="BL337" i="1"/>
  <c r="BN337" i="1"/>
  <c r="BO337" i="1"/>
  <c r="AV338" i="1"/>
  <c r="AW338" i="1"/>
  <c r="AY338" i="1"/>
  <c r="AZ338" i="1"/>
  <c r="BB338" i="1"/>
  <c r="BC338" i="1"/>
  <c r="BE338" i="1"/>
  <c r="BF338" i="1"/>
  <c r="BH338" i="1"/>
  <c r="BI338" i="1"/>
  <c r="BK338" i="1"/>
  <c r="BL338" i="1"/>
  <c r="BN338" i="1"/>
  <c r="BO338" i="1"/>
  <c r="AV340" i="1"/>
  <c r="AW340" i="1"/>
  <c r="AY340" i="1"/>
  <c r="AZ340" i="1"/>
  <c r="BB340" i="1"/>
  <c r="BC340" i="1"/>
  <c r="BE340" i="1"/>
  <c r="BF340" i="1"/>
  <c r="BH340" i="1"/>
  <c r="BI340" i="1"/>
  <c r="BK340" i="1"/>
  <c r="BL340" i="1"/>
  <c r="BN340" i="1"/>
  <c r="BO340" i="1"/>
  <c r="AV341" i="1"/>
  <c r="AW341" i="1"/>
  <c r="AY341" i="1"/>
  <c r="AZ341" i="1"/>
  <c r="BB341" i="1"/>
  <c r="BC341" i="1"/>
  <c r="BE341" i="1"/>
  <c r="BF341" i="1"/>
  <c r="BH341" i="1"/>
  <c r="BI341" i="1"/>
  <c r="BK341" i="1"/>
  <c r="BL341" i="1"/>
  <c r="BN341" i="1"/>
  <c r="BO341" i="1"/>
  <c r="AV342" i="1"/>
  <c r="AW342" i="1"/>
  <c r="AY342" i="1"/>
  <c r="AZ342" i="1"/>
  <c r="BB342" i="1"/>
  <c r="BC342" i="1"/>
  <c r="BE342" i="1"/>
  <c r="BF342" i="1"/>
  <c r="BH342" i="1"/>
  <c r="BI342" i="1"/>
  <c r="BK342" i="1"/>
  <c r="BL342" i="1"/>
  <c r="BN342" i="1"/>
  <c r="BO342" i="1"/>
  <c r="AV343" i="1"/>
  <c r="AW343" i="1"/>
  <c r="AY343" i="1"/>
  <c r="AZ343" i="1"/>
  <c r="BB343" i="1"/>
  <c r="BC343" i="1"/>
  <c r="BE343" i="1"/>
  <c r="BF343" i="1"/>
  <c r="BH343" i="1"/>
  <c r="BI343" i="1"/>
  <c r="BK343" i="1"/>
  <c r="BL343" i="1"/>
  <c r="BN343" i="1"/>
  <c r="BO343" i="1"/>
  <c r="AV344" i="1"/>
  <c r="AW344" i="1"/>
  <c r="AY344" i="1"/>
  <c r="AZ344" i="1"/>
  <c r="BB344" i="1"/>
  <c r="BC344" i="1"/>
  <c r="BE344" i="1"/>
  <c r="BF344" i="1"/>
  <c r="BH344" i="1"/>
  <c r="BI344" i="1"/>
  <c r="BK344" i="1"/>
  <c r="BL344" i="1"/>
  <c r="BN344" i="1"/>
  <c r="BO344" i="1"/>
  <c r="AV345" i="1"/>
  <c r="AW345" i="1"/>
  <c r="AY345" i="1"/>
  <c r="AZ345" i="1"/>
  <c r="BB345" i="1"/>
  <c r="BC345" i="1"/>
  <c r="BE345" i="1"/>
  <c r="BF345" i="1"/>
  <c r="BH345" i="1"/>
  <c r="BI345" i="1"/>
  <c r="BK345" i="1"/>
  <c r="BL345" i="1"/>
  <c r="BN345" i="1"/>
  <c r="BO345" i="1"/>
  <c r="AV346" i="1"/>
  <c r="AW346" i="1"/>
  <c r="AY346" i="1"/>
  <c r="AZ346" i="1"/>
  <c r="BB346" i="1"/>
  <c r="BC346" i="1"/>
  <c r="BE346" i="1"/>
  <c r="BF346" i="1"/>
  <c r="BH346" i="1"/>
  <c r="BI346" i="1"/>
  <c r="BK346" i="1"/>
  <c r="BL346" i="1"/>
  <c r="BN346" i="1"/>
  <c r="BO346" i="1"/>
  <c r="AV347" i="1"/>
  <c r="AW347" i="1"/>
  <c r="AY347" i="1"/>
  <c r="AZ347" i="1"/>
  <c r="BB347" i="1"/>
  <c r="BC347" i="1"/>
  <c r="BE347" i="1"/>
  <c r="BF347" i="1"/>
  <c r="BH347" i="1"/>
  <c r="BI347" i="1"/>
  <c r="BK347" i="1"/>
  <c r="BL347" i="1"/>
  <c r="BN347" i="1"/>
  <c r="BO347" i="1"/>
  <c r="AV348" i="1"/>
  <c r="AW348" i="1"/>
  <c r="AY348" i="1"/>
  <c r="AZ348" i="1"/>
  <c r="BB348" i="1"/>
  <c r="BC348" i="1"/>
  <c r="BE348" i="1"/>
  <c r="BF348" i="1"/>
  <c r="BH348" i="1"/>
  <c r="BI348" i="1"/>
  <c r="BK348" i="1"/>
  <c r="BL348" i="1"/>
  <c r="BN348" i="1"/>
  <c r="BO348" i="1"/>
  <c r="AV349" i="1"/>
  <c r="AW349" i="1"/>
  <c r="AY349" i="1"/>
  <c r="AZ349" i="1"/>
  <c r="BB349" i="1"/>
  <c r="BC349" i="1"/>
  <c r="BE349" i="1"/>
  <c r="BF349" i="1"/>
  <c r="BH349" i="1"/>
  <c r="BI349" i="1"/>
  <c r="BK349" i="1"/>
  <c r="BL349" i="1"/>
  <c r="BN349" i="1"/>
  <c r="BO349" i="1"/>
  <c r="AV350" i="1"/>
  <c r="AW350" i="1"/>
  <c r="AY350" i="1"/>
  <c r="AZ350" i="1"/>
  <c r="BB350" i="1"/>
  <c r="BC350" i="1"/>
  <c r="BE350" i="1"/>
  <c r="BF350" i="1"/>
  <c r="BH350" i="1"/>
  <c r="BI350" i="1"/>
  <c r="BK350" i="1"/>
  <c r="BL350" i="1"/>
  <c r="BN350" i="1"/>
  <c r="BO350" i="1"/>
  <c r="AV351" i="1"/>
  <c r="AW351" i="1"/>
  <c r="AY351" i="1"/>
  <c r="AZ351" i="1"/>
  <c r="BB351" i="1"/>
  <c r="BC351" i="1"/>
  <c r="BE351" i="1"/>
  <c r="BF351" i="1"/>
  <c r="BH351" i="1"/>
  <c r="BI351" i="1"/>
  <c r="BK351" i="1"/>
  <c r="BL351" i="1"/>
  <c r="BN351" i="1"/>
  <c r="BO351" i="1"/>
  <c r="AV352" i="1"/>
  <c r="AW352" i="1"/>
  <c r="AY352" i="1"/>
  <c r="AZ352" i="1"/>
  <c r="BB352" i="1"/>
  <c r="BC352" i="1"/>
  <c r="BE352" i="1"/>
  <c r="BF352" i="1"/>
  <c r="BH352" i="1"/>
  <c r="BI352" i="1"/>
  <c r="BK352" i="1"/>
  <c r="BL352" i="1"/>
  <c r="BN352" i="1"/>
  <c r="BO352" i="1"/>
  <c r="AV353" i="1"/>
  <c r="AW353" i="1"/>
  <c r="AY353" i="1"/>
  <c r="AZ353" i="1"/>
  <c r="BB353" i="1"/>
  <c r="BC353" i="1"/>
  <c r="BE353" i="1"/>
  <c r="BF353" i="1"/>
  <c r="BH353" i="1"/>
  <c r="BI353" i="1"/>
  <c r="BK353" i="1"/>
  <c r="BL353" i="1"/>
  <c r="BN353" i="1"/>
  <c r="BO353" i="1"/>
  <c r="AV354" i="1"/>
  <c r="AW354" i="1"/>
  <c r="AY354" i="1"/>
  <c r="AZ354" i="1"/>
  <c r="BB354" i="1"/>
  <c r="BC354" i="1"/>
  <c r="BE354" i="1"/>
  <c r="BF354" i="1"/>
  <c r="BH354" i="1"/>
  <c r="BI354" i="1"/>
  <c r="BK354" i="1"/>
  <c r="BL354" i="1"/>
  <c r="BN354" i="1"/>
  <c r="BO354" i="1"/>
  <c r="AV355" i="1"/>
  <c r="AW355" i="1"/>
  <c r="AY355" i="1"/>
  <c r="AZ355" i="1"/>
  <c r="BB355" i="1"/>
  <c r="BC355" i="1"/>
  <c r="BE355" i="1"/>
  <c r="BF355" i="1"/>
  <c r="BH355" i="1"/>
  <c r="BI355" i="1"/>
  <c r="BK355" i="1"/>
  <c r="BL355" i="1"/>
  <c r="BN355" i="1"/>
  <c r="BO355" i="1"/>
  <c r="AV356" i="1"/>
  <c r="AW356" i="1"/>
  <c r="AY356" i="1"/>
  <c r="AZ356" i="1"/>
  <c r="BB356" i="1"/>
  <c r="BC356" i="1"/>
  <c r="BE356" i="1"/>
  <c r="BF356" i="1"/>
  <c r="BH356" i="1"/>
  <c r="BI356" i="1"/>
  <c r="BK356" i="1"/>
  <c r="BL356" i="1"/>
  <c r="BN356" i="1"/>
  <c r="BO356" i="1"/>
  <c r="AV357" i="1"/>
  <c r="AW357" i="1"/>
  <c r="AY357" i="1"/>
  <c r="AZ357" i="1"/>
  <c r="BB357" i="1"/>
  <c r="BC357" i="1"/>
  <c r="BE357" i="1"/>
  <c r="BF357" i="1"/>
  <c r="BH357" i="1"/>
  <c r="BI357" i="1"/>
  <c r="BK357" i="1"/>
  <c r="BL357" i="1"/>
  <c r="BN357" i="1"/>
  <c r="BO357" i="1"/>
  <c r="AV358" i="1"/>
  <c r="AW358" i="1"/>
  <c r="AY358" i="1"/>
  <c r="AZ358" i="1"/>
  <c r="BB358" i="1"/>
  <c r="BC358" i="1"/>
  <c r="BE358" i="1"/>
  <c r="BF358" i="1"/>
  <c r="BH358" i="1"/>
  <c r="BI358" i="1"/>
  <c r="BK358" i="1"/>
  <c r="BL358" i="1"/>
  <c r="BN358" i="1"/>
  <c r="BO358" i="1"/>
  <c r="AV359" i="1"/>
  <c r="AW359" i="1"/>
  <c r="AY359" i="1"/>
  <c r="AZ359" i="1"/>
  <c r="BB359" i="1"/>
  <c r="BC359" i="1"/>
  <c r="BE359" i="1"/>
  <c r="BF359" i="1"/>
  <c r="BH359" i="1"/>
  <c r="BI359" i="1"/>
  <c r="BK359" i="1"/>
  <c r="BL359" i="1"/>
  <c r="BN359" i="1"/>
  <c r="BO359" i="1"/>
  <c r="AV360" i="1"/>
  <c r="AW360" i="1"/>
  <c r="AY360" i="1"/>
  <c r="AZ360" i="1"/>
  <c r="BB360" i="1"/>
  <c r="BC360" i="1"/>
  <c r="BE360" i="1"/>
  <c r="BF360" i="1"/>
  <c r="BH360" i="1"/>
  <c r="BI360" i="1"/>
  <c r="BK360" i="1"/>
  <c r="BL360" i="1"/>
  <c r="BN360" i="1"/>
  <c r="BO360" i="1"/>
  <c r="AV361" i="1"/>
  <c r="AW361" i="1"/>
  <c r="AY361" i="1"/>
  <c r="AZ361" i="1"/>
  <c r="BB361" i="1"/>
  <c r="BC361" i="1"/>
  <c r="BE361" i="1"/>
  <c r="BF361" i="1"/>
  <c r="BH361" i="1"/>
  <c r="BI361" i="1"/>
  <c r="BK361" i="1"/>
  <c r="BL361" i="1"/>
  <c r="BN361" i="1"/>
  <c r="BO361" i="1"/>
  <c r="AV362" i="1"/>
  <c r="AW362" i="1"/>
  <c r="AY362" i="1"/>
  <c r="AZ362" i="1"/>
  <c r="BB362" i="1"/>
  <c r="BC362" i="1"/>
  <c r="BE362" i="1"/>
  <c r="BF362" i="1"/>
  <c r="BH362" i="1"/>
  <c r="BI362" i="1"/>
  <c r="BK362" i="1"/>
  <c r="BL362" i="1"/>
  <c r="BN362" i="1"/>
  <c r="BO362" i="1"/>
  <c r="AV363" i="1"/>
  <c r="AW363" i="1"/>
  <c r="AY363" i="1"/>
  <c r="AZ363" i="1"/>
  <c r="BB363" i="1"/>
  <c r="BC363" i="1"/>
  <c r="BE363" i="1"/>
  <c r="BF363" i="1"/>
  <c r="BH363" i="1"/>
  <c r="BI363" i="1"/>
  <c r="BK363" i="1"/>
  <c r="BL363" i="1"/>
  <c r="BN363" i="1"/>
  <c r="BO363" i="1"/>
  <c r="AV364" i="1"/>
  <c r="AW364" i="1"/>
  <c r="AY364" i="1"/>
  <c r="AZ364" i="1"/>
  <c r="BB364" i="1"/>
  <c r="BC364" i="1"/>
  <c r="BE364" i="1"/>
  <c r="BF364" i="1"/>
  <c r="BH364" i="1"/>
  <c r="BI364" i="1"/>
  <c r="BK364" i="1"/>
  <c r="BL364" i="1"/>
  <c r="BN364" i="1"/>
  <c r="BO364" i="1"/>
  <c r="AV365" i="1"/>
  <c r="AW365" i="1"/>
  <c r="AY365" i="1"/>
  <c r="AZ365" i="1"/>
  <c r="BB365" i="1"/>
  <c r="BC365" i="1"/>
  <c r="BE365" i="1"/>
  <c r="BF365" i="1"/>
  <c r="BH365" i="1"/>
  <c r="BI365" i="1"/>
  <c r="BK365" i="1"/>
  <c r="BL365" i="1"/>
  <c r="BN365" i="1"/>
  <c r="BO365" i="1"/>
  <c r="AV366" i="1"/>
  <c r="AW366" i="1"/>
  <c r="AY366" i="1"/>
  <c r="AZ366" i="1"/>
  <c r="BB366" i="1"/>
  <c r="BC366" i="1"/>
  <c r="BE366" i="1"/>
  <c r="BF366" i="1"/>
  <c r="BH366" i="1"/>
  <c r="BI366" i="1"/>
  <c r="BK366" i="1"/>
  <c r="BL366" i="1"/>
  <c r="BN366" i="1"/>
  <c r="BO366" i="1"/>
  <c r="AV367" i="1"/>
  <c r="AW367" i="1"/>
  <c r="AY367" i="1"/>
  <c r="AZ367" i="1"/>
  <c r="BB367" i="1"/>
  <c r="BC367" i="1"/>
  <c r="BE367" i="1"/>
  <c r="BF367" i="1"/>
  <c r="BH367" i="1"/>
  <c r="BI367" i="1"/>
  <c r="BK367" i="1"/>
  <c r="BL367" i="1"/>
  <c r="BN367" i="1"/>
  <c r="BO367" i="1"/>
  <c r="AV368" i="1"/>
  <c r="AW368" i="1"/>
  <c r="AY368" i="1"/>
  <c r="AZ368" i="1"/>
  <c r="BB368" i="1"/>
  <c r="BC368" i="1"/>
  <c r="BE368" i="1"/>
  <c r="BF368" i="1"/>
  <c r="BH368" i="1"/>
  <c r="BI368" i="1"/>
  <c r="BK368" i="1"/>
  <c r="BL368" i="1"/>
  <c r="BN368" i="1"/>
  <c r="BO368" i="1"/>
  <c r="AV369" i="1"/>
  <c r="AW369" i="1"/>
  <c r="AY369" i="1"/>
  <c r="AZ369" i="1"/>
  <c r="BB369" i="1"/>
  <c r="BC369" i="1"/>
  <c r="BE369" i="1"/>
  <c r="BF369" i="1"/>
  <c r="BH369" i="1"/>
  <c r="BI369" i="1"/>
  <c r="BK369" i="1"/>
  <c r="BL369" i="1"/>
  <c r="BN369" i="1"/>
  <c r="BO369" i="1"/>
  <c r="AV370" i="1"/>
  <c r="AW370" i="1"/>
  <c r="AY370" i="1"/>
  <c r="AZ370" i="1"/>
  <c r="BB370" i="1"/>
  <c r="BC370" i="1"/>
  <c r="BE370" i="1"/>
  <c r="BF370" i="1"/>
  <c r="BH370" i="1"/>
  <c r="BI370" i="1"/>
  <c r="BK370" i="1"/>
  <c r="BL370" i="1"/>
  <c r="BN370" i="1"/>
  <c r="BO370" i="1"/>
  <c r="AV371" i="1"/>
  <c r="AW371" i="1"/>
  <c r="AY371" i="1"/>
  <c r="AZ371" i="1"/>
  <c r="BB371" i="1"/>
  <c r="BC371" i="1"/>
  <c r="BE371" i="1"/>
  <c r="BF371" i="1"/>
  <c r="BH371" i="1"/>
  <c r="BI371" i="1"/>
  <c r="BK371" i="1"/>
  <c r="BL371" i="1"/>
  <c r="BN371" i="1"/>
  <c r="BO371" i="1"/>
  <c r="AV372" i="1"/>
  <c r="AW372" i="1"/>
  <c r="AY372" i="1"/>
  <c r="AZ372" i="1"/>
  <c r="BB372" i="1"/>
  <c r="BC372" i="1"/>
  <c r="BE372" i="1"/>
  <c r="BF372" i="1"/>
  <c r="BH372" i="1"/>
  <c r="BI372" i="1"/>
  <c r="BK372" i="1"/>
  <c r="BL372" i="1"/>
  <c r="BN372" i="1"/>
  <c r="BO372" i="1"/>
  <c r="AV373" i="1"/>
  <c r="AW373" i="1"/>
  <c r="AY373" i="1"/>
  <c r="AZ373" i="1"/>
  <c r="BB373" i="1"/>
  <c r="BC373" i="1"/>
  <c r="BE373" i="1"/>
  <c r="BF373" i="1"/>
  <c r="BH373" i="1"/>
  <c r="BI373" i="1"/>
  <c r="BK373" i="1"/>
  <c r="BL373" i="1"/>
  <c r="BN373" i="1"/>
  <c r="BO373" i="1"/>
  <c r="AV374" i="1"/>
  <c r="AW374" i="1"/>
  <c r="AY374" i="1"/>
  <c r="AZ374" i="1"/>
  <c r="BB374" i="1"/>
  <c r="BC374" i="1"/>
  <c r="BE374" i="1"/>
  <c r="BF374" i="1"/>
  <c r="BH374" i="1"/>
  <c r="BI374" i="1"/>
  <c r="BK374" i="1"/>
  <c r="BL374" i="1"/>
  <c r="BN374" i="1"/>
  <c r="BO374" i="1"/>
  <c r="AV375" i="1"/>
  <c r="AW375" i="1"/>
  <c r="AY375" i="1"/>
  <c r="AZ375" i="1"/>
  <c r="BB375" i="1"/>
  <c r="BC375" i="1"/>
  <c r="BE375" i="1"/>
  <c r="BF375" i="1"/>
  <c r="BH375" i="1"/>
  <c r="BI375" i="1"/>
  <c r="BK375" i="1"/>
  <c r="BL375" i="1"/>
  <c r="BN375" i="1"/>
  <c r="BO375" i="1"/>
  <c r="AV376" i="1"/>
  <c r="AW376" i="1"/>
  <c r="AY376" i="1"/>
  <c r="AZ376" i="1"/>
  <c r="BB376" i="1"/>
  <c r="BC376" i="1"/>
  <c r="BE376" i="1"/>
  <c r="BF376" i="1"/>
  <c r="BH376" i="1"/>
  <c r="BI376" i="1"/>
  <c r="BK376" i="1"/>
  <c r="BL376" i="1"/>
  <c r="BN376" i="1"/>
  <c r="BO376" i="1"/>
  <c r="AV377" i="1"/>
  <c r="AW377" i="1"/>
  <c r="AY377" i="1"/>
  <c r="AZ377" i="1"/>
  <c r="BB377" i="1"/>
  <c r="BC377" i="1"/>
  <c r="BE377" i="1"/>
  <c r="BF377" i="1"/>
  <c r="BH377" i="1"/>
  <c r="BI377" i="1"/>
  <c r="BK377" i="1"/>
  <c r="BL377" i="1"/>
  <c r="BN377" i="1"/>
  <c r="BO377" i="1"/>
  <c r="AV378" i="1"/>
  <c r="AW378" i="1"/>
  <c r="AY378" i="1"/>
  <c r="AZ378" i="1"/>
  <c r="BB378" i="1"/>
  <c r="BC378" i="1"/>
  <c r="BE378" i="1"/>
  <c r="BF378" i="1"/>
  <c r="BH378" i="1"/>
  <c r="BI378" i="1"/>
  <c r="BK378" i="1"/>
  <c r="BL378" i="1"/>
  <c r="BN378" i="1"/>
  <c r="BO378" i="1"/>
  <c r="AV379" i="1"/>
  <c r="AW379" i="1"/>
  <c r="AY379" i="1"/>
  <c r="AZ379" i="1"/>
  <c r="BB379" i="1"/>
  <c r="BC379" i="1"/>
  <c r="BE379" i="1"/>
  <c r="BF379" i="1"/>
  <c r="BH379" i="1"/>
  <c r="BI379" i="1"/>
  <c r="BK379" i="1"/>
  <c r="BL379" i="1"/>
  <c r="BN379" i="1"/>
  <c r="BO379" i="1"/>
  <c r="AV380" i="1"/>
  <c r="AW380" i="1"/>
  <c r="AY380" i="1"/>
  <c r="AZ380" i="1"/>
  <c r="BB380" i="1"/>
  <c r="BC380" i="1"/>
  <c r="BE380" i="1"/>
  <c r="BF380" i="1"/>
  <c r="BH380" i="1"/>
  <c r="BI380" i="1"/>
  <c r="BK380" i="1"/>
  <c r="BL380" i="1"/>
  <c r="BN380" i="1"/>
  <c r="BO380" i="1"/>
  <c r="AV381" i="1"/>
  <c r="AW381" i="1"/>
  <c r="AY381" i="1"/>
  <c r="AZ381" i="1"/>
  <c r="BB381" i="1"/>
  <c r="BC381" i="1"/>
  <c r="BE381" i="1"/>
  <c r="BF381" i="1"/>
  <c r="BH381" i="1"/>
  <c r="BI381" i="1"/>
  <c r="BK381" i="1"/>
  <c r="BL381" i="1"/>
  <c r="BN381" i="1"/>
  <c r="BO381" i="1"/>
  <c r="AV382" i="1"/>
  <c r="AW382" i="1"/>
  <c r="AY382" i="1"/>
  <c r="AZ382" i="1"/>
  <c r="BB382" i="1"/>
  <c r="BC382" i="1"/>
  <c r="BE382" i="1"/>
  <c r="BF382" i="1"/>
  <c r="BH382" i="1"/>
  <c r="BI382" i="1"/>
  <c r="BK382" i="1"/>
  <c r="BL382" i="1"/>
  <c r="BN382" i="1"/>
  <c r="BO382" i="1"/>
  <c r="AV383" i="1"/>
  <c r="AW383" i="1"/>
  <c r="AY383" i="1"/>
  <c r="AZ383" i="1"/>
  <c r="BB383" i="1"/>
  <c r="BC383" i="1"/>
  <c r="BE383" i="1"/>
  <c r="BF383" i="1"/>
  <c r="BH383" i="1"/>
  <c r="BI383" i="1"/>
  <c r="BK383" i="1"/>
  <c r="BL383" i="1"/>
  <c r="BN383" i="1"/>
  <c r="BO383" i="1"/>
  <c r="AV384" i="1"/>
  <c r="AW384" i="1"/>
  <c r="AY384" i="1"/>
  <c r="AZ384" i="1"/>
  <c r="BB384" i="1"/>
  <c r="BC384" i="1"/>
  <c r="BE384" i="1"/>
  <c r="BF384" i="1"/>
  <c r="BH384" i="1"/>
  <c r="BI384" i="1"/>
  <c r="BK384" i="1"/>
  <c r="BL384" i="1"/>
  <c r="BN384" i="1"/>
  <c r="BO384" i="1"/>
  <c r="AV385" i="1"/>
  <c r="AW385" i="1"/>
  <c r="AY385" i="1"/>
  <c r="AZ385" i="1"/>
  <c r="BB385" i="1"/>
  <c r="BC385" i="1"/>
  <c r="BE385" i="1"/>
  <c r="BF385" i="1"/>
  <c r="BH385" i="1"/>
  <c r="BI385" i="1"/>
  <c r="BK385" i="1"/>
  <c r="BL385" i="1"/>
  <c r="BN385" i="1"/>
  <c r="BO385" i="1"/>
  <c r="AV386" i="1"/>
  <c r="AW386" i="1"/>
  <c r="AY386" i="1"/>
  <c r="AZ386" i="1"/>
  <c r="BB386" i="1"/>
  <c r="BC386" i="1"/>
  <c r="BE386" i="1"/>
  <c r="BF386" i="1"/>
  <c r="BH386" i="1"/>
  <c r="BI386" i="1"/>
  <c r="BK386" i="1"/>
  <c r="BL386" i="1"/>
  <c r="BN386" i="1"/>
  <c r="BO386" i="1"/>
  <c r="AV387" i="1"/>
  <c r="AW387" i="1"/>
  <c r="AY387" i="1"/>
  <c r="AZ387" i="1"/>
  <c r="BB387" i="1"/>
  <c r="BC387" i="1"/>
  <c r="BE387" i="1"/>
  <c r="BF387" i="1"/>
  <c r="BH387" i="1"/>
  <c r="BI387" i="1"/>
  <c r="BK387" i="1"/>
  <c r="BL387" i="1"/>
  <c r="BN387" i="1"/>
  <c r="BO387" i="1"/>
  <c r="AV388" i="1"/>
  <c r="AW388" i="1"/>
  <c r="AY388" i="1"/>
  <c r="AZ388" i="1"/>
  <c r="BB388" i="1"/>
  <c r="BC388" i="1"/>
  <c r="BE388" i="1"/>
  <c r="BF388" i="1"/>
  <c r="BH388" i="1"/>
  <c r="BI388" i="1"/>
  <c r="BK388" i="1"/>
  <c r="BL388" i="1"/>
  <c r="BN388" i="1"/>
  <c r="BO388" i="1"/>
  <c r="AV389" i="1"/>
  <c r="AW389" i="1"/>
  <c r="AY389" i="1"/>
  <c r="AZ389" i="1"/>
  <c r="BB389" i="1"/>
  <c r="BC389" i="1"/>
  <c r="BE389" i="1"/>
  <c r="BF389" i="1"/>
  <c r="BH389" i="1"/>
  <c r="BI389" i="1"/>
  <c r="BK389" i="1"/>
  <c r="BL389" i="1"/>
  <c r="BN389" i="1"/>
  <c r="BP389" i="1" s="1"/>
  <c r="BO389" i="1"/>
  <c r="AV390" i="1"/>
  <c r="AW390" i="1"/>
  <c r="AY390" i="1"/>
  <c r="AZ390" i="1"/>
  <c r="BB390" i="1"/>
  <c r="BC390" i="1"/>
  <c r="BE390" i="1"/>
  <c r="BF390" i="1"/>
  <c r="BH390" i="1"/>
  <c r="BI390" i="1"/>
  <c r="BK390" i="1"/>
  <c r="BL390" i="1"/>
  <c r="BN390" i="1"/>
  <c r="BO390" i="1"/>
  <c r="AV391" i="1"/>
  <c r="AW391" i="1"/>
  <c r="AY391" i="1"/>
  <c r="AZ391" i="1"/>
  <c r="BB391" i="1"/>
  <c r="BC391" i="1"/>
  <c r="BE391" i="1"/>
  <c r="BF391" i="1"/>
  <c r="BH391" i="1"/>
  <c r="BI391" i="1"/>
  <c r="BK391" i="1"/>
  <c r="BL391" i="1"/>
  <c r="BN391" i="1"/>
  <c r="BO391" i="1"/>
  <c r="AV392" i="1"/>
  <c r="AW392" i="1"/>
  <c r="AY392" i="1"/>
  <c r="BA392" i="1" s="1"/>
  <c r="AZ392" i="1"/>
  <c r="BB392" i="1"/>
  <c r="BC392" i="1"/>
  <c r="BE392" i="1"/>
  <c r="BF392" i="1"/>
  <c r="BH392" i="1"/>
  <c r="BI392" i="1"/>
  <c r="BK392" i="1"/>
  <c r="BL392" i="1"/>
  <c r="BN392" i="1"/>
  <c r="BO392" i="1"/>
  <c r="AV393" i="1"/>
  <c r="AW393" i="1"/>
  <c r="AY393" i="1"/>
  <c r="AZ393" i="1"/>
  <c r="BB393" i="1"/>
  <c r="BC393" i="1"/>
  <c r="BE393" i="1"/>
  <c r="BF393" i="1"/>
  <c r="BH393" i="1"/>
  <c r="BI393" i="1"/>
  <c r="BK393" i="1"/>
  <c r="BL393" i="1"/>
  <c r="BN393" i="1"/>
  <c r="BO393" i="1"/>
  <c r="AV394" i="1"/>
  <c r="AW394" i="1"/>
  <c r="AY394" i="1"/>
  <c r="AZ394" i="1"/>
  <c r="BB394" i="1"/>
  <c r="BC394" i="1"/>
  <c r="BE394" i="1"/>
  <c r="BF394" i="1"/>
  <c r="BH394" i="1"/>
  <c r="BI394" i="1"/>
  <c r="BK394" i="1"/>
  <c r="BL394" i="1"/>
  <c r="BN394" i="1"/>
  <c r="BO394" i="1"/>
  <c r="AV395" i="1"/>
  <c r="AW395" i="1"/>
  <c r="AY395" i="1"/>
  <c r="AZ395" i="1"/>
  <c r="BB395" i="1"/>
  <c r="BC395" i="1"/>
  <c r="BE395" i="1"/>
  <c r="BF395" i="1"/>
  <c r="BH395" i="1"/>
  <c r="BI395" i="1"/>
  <c r="BK395" i="1"/>
  <c r="BL395" i="1"/>
  <c r="BN395" i="1"/>
  <c r="BO395" i="1"/>
  <c r="AV396" i="1"/>
  <c r="AW396" i="1"/>
  <c r="AY396" i="1"/>
  <c r="AZ396" i="1"/>
  <c r="BB396" i="1"/>
  <c r="BC396" i="1"/>
  <c r="BE396" i="1"/>
  <c r="BF396" i="1"/>
  <c r="BH396" i="1"/>
  <c r="BI396" i="1"/>
  <c r="BK396" i="1"/>
  <c r="BL396" i="1"/>
  <c r="BN396" i="1"/>
  <c r="BO396" i="1"/>
  <c r="AV397" i="1"/>
  <c r="AW397" i="1"/>
  <c r="AY397" i="1"/>
  <c r="AZ397" i="1"/>
  <c r="BB397" i="1"/>
  <c r="BC397" i="1"/>
  <c r="BE397" i="1"/>
  <c r="BF397" i="1"/>
  <c r="BH397" i="1"/>
  <c r="BI397" i="1"/>
  <c r="BK397" i="1"/>
  <c r="BL397" i="1"/>
  <c r="BN397" i="1"/>
  <c r="BO397" i="1"/>
  <c r="AV398" i="1"/>
  <c r="AW398" i="1"/>
  <c r="AY398" i="1"/>
  <c r="AZ398" i="1"/>
  <c r="BB398" i="1"/>
  <c r="BC398" i="1"/>
  <c r="BE398" i="1"/>
  <c r="BF398" i="1"/>
  <c r="BH398" i="1"/>
  <c r="BI398" i="1"/>
  <c r="BK398" i="1"/>
  <c r="BL398" i="1"/>
  <c r="BN398" i="1"/>
  <c r="BO398" i="1"/>
  <c r="AV399" i="1"/>
  <c r="AW399" i="1"/>
  <c r="AY399" i="1"/>
  <c r="AZ399" i="1"/>
  <c r="BB399" i="1"/>
  <c r="BC399" i="1"/>
  <c r="BE399" i="1"/>
  <c r="BF399" i="1"/>
  <c r="BH399" i="1"/>
  <c r="BI399" i="1"/>
  <c r="BK399" i="1"/>
  <c r="BL399" i="1"/>
  <c r="BN399" i="1"/>
  <c r="BO399" i="1"/>
  <c r="AV400" i="1"/>
  <c r="AW400" i="1"/>
  <c r="AY400" i="1"/>
  <c r="AZ400" i="1"/>
  <c r="BB400" i="1"/>
  <c r="BC400" i="1"/>
  <c r="BE400" i="1"/>
  <c r="BF400" i="1"/>
  <c r="BH400" i="1"/>
  <c r="BI400" i="1"/>
  <c r="BK400" i="1"/>
  <c r="BL400" i="1"/>
  <c r="BN400" i="1"/>
  <c r="BO400" i="1"/>
  <c r="AV401" i="1"/>
  <c r="AW401" i="1"/>
  <c r="AY401" i="1"/>
  <c r="AZ401" i="1"/>
  <c r="BB401" i="1"/>
  <c r="BC401" i="1"/>
  <c r="BE401" i="1"/>
  <c r="BF401" i="1"/>
  <c r="BH401" i="1"/>
  <c r="BI401" i="1"/>
  <c r="BK401" i="1"/>
  <c r="BL401" i="1"/>
  <c r="BN401" i="1"/>
  <c r="BO401" i="1"/>
  <c r="AV402" i="1"/>
  <c r="AW402" i="1"/>
  <c r="AY402" i="1"/>
  <c r="AZ402" i="1"/>
  <c r="BB402" i="1"/>
  <c r="BC402" i="1"/>
  <c r="BE402" i="1"/>
  <c r="BF402" i="1"/>
  <c r="BH402" i="1"/>
  <c r="BI402" i="1"/>
  <c r="BK402" i="1"/>
  <c r="BL402" i="1"/>
  <c r="BN402" i="1"/>
  <c r="BO402" i="1"/>
  <c r="AV403" i="1"/>
  <c r="AW403" i="1"/>
  <c r="AY403" i="1"/>
  <c r="AZ403" i="1"/>
  <c r="BB403" i="1"/>
  <c r="BC403" i="1"/>
  <c r="BE403" i="1"/>
  <c r="BF403" i="1"/>
  <c r="BH403" i="1"/>
  <c r="BI403" i="1"/>
  <c r="BK403" i="1"/>
  <c r="BL403" i="1"/>
  <c r="BN403" i="1"/>
  <c r="BO403" i="1"/>
  <c r="BO9" i="1"/>
  <c r="BN9" i="1"/>
  <c r="BL9" i="1"/>
  <c r="BK9" i="1"/>
  <c r="BI9" i="1"/>
  <c r="BH9" i="1"/>
  <c r="BF9" i="1"/>
  <c r="BE9" i="1"/>
  <c r="BC9" i="1"/>
  <c r="BB9" i="1"/>
  <c r="AZ9" i="1"/>
  <c r="AY9" i="1"/>
  <c r="AW9" i="1"/>
  <c r="AV9" i="1"/>
  <c r="AJ10" i="1"/>
  <c r="AK10" i="1"/>
  <c r="AM10" i="1"/>
  <c r="AN10" i="1"/>
  <c r="AP10" i="1"/>
  <c r="AQ10" i="1"/>
  <c r="AS10" i="1"/>
  <c r="AT10" i="1"/>
  <c r="AJ11" i="1"/>
  <c r="AK11" i="1"/>
  <c r="AM11" i="1"/>
  <c r="AN11" i="1"/>
  <c r="AP11" i="1"/>
  <c r="AQ11" i="1"/>
  <c r="AS11" i="1"/>
  <c r="AT11" i="1"/>
  <c r="AJ12" i="1"/>
  <c r="AK12" i="1"/>
  <c r="AM12" i="1"/>
  <c r="AN12" i="1"/>
  <c r="AP12" i="1"/>
  <c r="AQ12" i="1"/>
  <c r="AS12" i="1"/>
  <c r="AT12" i="1"/>
  <c r="AJ13" i="1"/>
  <c r="AK13" i="1"/>
  <c r="AM13" i="1"/>
  <c r="AN13" i="1"/>
  <c r="AP13" i="1"/>
  <c r="AQ13" i="1"/>
  <c r="AS13" i="1"/>
  <c r="AT13" i="1"/>
  <c r="AJ14" i="1"/>
  <c r="AK14" i="1"/>
  <c r="AM14" i="1"/>
  <c r="AN14" i="1"/>
  <c r="AP14" i="1"/>
  <c r="AQ14" i="1"/>
  <c r="AS14" i="1"/>
  <c r="AT14" i="1"/>
  <c r="AJ18" i="1"/>
  <c r="AK18" i="1"/>
  <c r="AM18" i="1"/>
  <c r="AN18" i="1"/>
  <c r="AP18" i="1"/>
  <c r="AQ18" i="1"/>
  <c r="AS18" i="1"/>
  <c r="AT18" i="1"/>
  <c r="AJ19" i="1"/>
  <c r="AK19" i="1"/>
  <c r="AM19" i="1"/>
  <c r="AN19" i="1"/>
  <c r="AP19" i="1"/>
  <c r="AQ19" i="1"/>
  <c r="AS19" i="1"/>
  <c r="AT19" i="1"/>
  <c r="AJ20" i="1"/>
  <c r="AK20" i="1"/>
  <c r="AM20" i="1"/>
  <c r="AN20" i="1"/>
  <c r="AP20" i="1"/>
  <c r="AQ20" i="1"/>
  <c r="AS20" i="1"/>
  <c r="AT20" i="1"/>
  <c r="AJ21" i="1"/>
  <c r="AK21" i="1"/>
  <c r="AM21" i="1"/>
  <c r="AN21" i="1"/>
  <c r="AP21" i="1"/>
  <c r="AQ21" i="1"/>
  <c r="AS21" i="1"/>
  <c r="AT21" i="1"/>
  <c r="AJ22" i="1"/>
  <c r="AK22" i="1"/>
  <c r="AM22" i="1"/>
  <c r="AN22" i="1"/>
  <c r="AP22" i="1"/>
  <c r="AQ22" i="1"/>
  <c r="AS22" i="1"/>
  <c r="AT22" i="1"/>
  <c r="AJ23" i="1"/>
  <c r="AK23" i="1"/>
  <c r="AM23" i="1"/>
  <c r="AN23" i="1"/>
  <c r="AP23" i="1"/>
  <c r="AQ23" i="1"/>
  <c r="AS23" i="1"/>
  <c r="AT23" i="1"/>
  <c r="AJ24" i="1"/>
  <c r="AK24" i="1"/>
  <c r="AM24" i="1"/>
  <c r="AN24" i="1"/>
  <c r="AP24" i="1"/>
  <c r="AQ24" i="1"/>
  <c r="AS24" i="1"/>
  <c r="AT24" i="1"/>
  <c r="AJ25" i="1"/>
  <c r="AK25" i="1"/>
  <c r="AM25" i="1"/>
  <c r="AN25" i="1"/>
  <c r="AP25" i="1"/>
  <c r="AQ25" i="1"/>
  <c r="AS25" i="1"/>
  <c r="AT25" i="1"/>
  <c r="AJ26" i="1"/>
  <c r="AK26" i="1"/>
  <c r="AM26" i="1"/>
  <c r="AN26" i="1"/>
  <c r="AP26" i="1"/>
  <c r="AQ26" i="1"/>
  <c r="AS26" i="1"/>
  <c r="AT26" i="1"/>
  <c r="AJ27" i="1"/>
  <c r="AK27" i="1"/>
  <c r="AM27" i="1"/>
  <c r="AN27" i="1"/>
  <c r="AP27" i="1"/>
  <c r="AQ27" i="1"/>
  <c r="AS27" i="1"/>
  <c r="AT27" i="1"/>
  <c r="AJ28" i="1"/>
  <c r="AK28" i="1"/>
  <c r="AM28" i="1"/>
  <c r="AN28" i="1"/>
  <c r="AP28" i="1"/>
  <c r="AQ28" i="1"/>
  <c r="AS28" i="1"/>
  <c r="AT28" i="1"/>
  <c r="AJ29" i="1"/>
  <c r="AK29" i="1"/>
  <c r="AM29" i="1"/>
  <c r="AN29" i="1"/>
  <c r="AP29" i="1"/>
  <c r="AQ29" i="1"/>
  <c r="AS29" i="1"/>
  <c r="AT29" i="1"/>
  <c r="AJ30" i="1"/>
  <c r="AK30" i="1"/>
  <c r="AM30" i="1"/>
  <c r="AN30" i="1"/>
  <c r="AP30" i="1"/>
  <c r="AQ30" i="1"/>
  <c r="AS30" i="1"/>
  <c r="AT30" i="1"/>
  <c r="AJ31" i="1"/>
  <c r="AK31" i="1"/>
  <c r="AM31" i="1"/>
  <c r="AN31" i="1"/>
  <c r="AP31" i="1"/>
  <c r="AQ31" i="1"/>
  <c r="AS31" i="1"/>
  <c r="AT31" i="1"/>
  <c r="AJ32" i="1"/>
  <c r="AK32" i="1"/>
  <c r="AM32" i="1"/>
  <c r="AN32" i="1"/>
  <c r="AP32" i="1"/>
  <c r="AQ32" i="1"/>
  <c r="AS32" i="1"/>
  <c r="AT32" i="1"/>
  <c r="AJ35" i="1"/>
  <c r="AK35" i="1"/>
  <c r="AM35" i="1"/>
  <c r="AN35" i="1"/>
  <c r="AP35" i="1"/>
  <c r="AQ35" i="1"/>
  <c r="AS35" i="1"/>
  <c r="AT35" i="1"/>
  <c r="AJ36" i="1"/>
  <c r="AK36" i="1"/>
  <c r="AM36" i="1"/>
  <c r="AN36" i="1"/>
  <c r="AP36" i="1"/>
  <c r="AQ36" i="1"/>
  <c r="AS36" i="1"/>
  <c r="AT36" i="1"/>
  <c r="AJ37" i="1"/>
  <c r="AK37" i="1"/>
  <c r="AM37" i="1"/>
  <c r="AN37" i="1"/>
  <c r="AP37" i="1"/>
  <c r="AQ37" i="1"/>
  <c r="AS37" i="1"/>
  <c r="AT37" i="1"/>
  <c r="AJ39" i="1"/>
  <c r="AK39" i="1"/>
  <c r="AM39" i="1"/>
  <c r="AN39" i="1"/>
  <c r="AP39" i="1"/>
  <c r="AQ39" i="1"/>
  <c r="AS39" i="1"/>
  <c r="AT39" i="1"/>
  <c r="AJ40" i="1"/>
  <c r="AK40" i="1"/>
  <c r="AM40" i="1"/>
  <c r="AN40" i="1"/>
  <c r="AP40" i="1"/>
  <c r="AQ40" i="1"/>
  <c r="AS40" i="1"/>
  <c r="AT40" i="1"/>
  <c r="AJ41" i="1"/>
  <c r="AK41" i="1"/>
  <c r="AM41" i="1"/>
  <c r="AN41" i="1"/>
  <c r="AP41" i="1"/>
  <c r="AQ41" i="1"/>
  <c r="AS41" i="1"/>
  <c r="AT41" i="1"/>
  <c r="AJ42" i="1"/>
  <c r="AK42" i="1"/>
  <c r="AM42" i="1"/>
  <c r="AN42" i="1"/>
  <c r="AP42" i="1"/>
  <c r="AQ42" i="1"/>
  <c r="AS42" i="1"/>
  <c r="AT42" i="1"/>
  <c r="AJ43" i="1"/>
  <c r="AK43" i="1"/>
  <c r="AM43" i="1"/>
  <c r="AN43" i="1"/>
  <c r="AP43" i="1"/>
  <c r="AQ43" i="1"/>
  <c r="AS43" i="1"/>
  <c r="AT43" i="1"/>
  <c r="AJ44" i="1"/>
  <c r="AK44" i="1"/>
  <c r="AM44" i="1"/>
  <c r="AN44" i="1"/>
  <c r="AP44" i="1"/>
  <c r="AQ44" i="1"/>
  <c r="AS44" i="1"/>
  <c r="AT44" i="1"/>
  <c r="AJ45" i="1"/>
  <c r="AK45" i="1"/>
  <c r="AM45" i="1"/>
  <c r="AN45" i="1"/>
  <c r="AP45" i="1"/>
  <c r="AQ45" i="1"/>
  <c r="AS45" i="1"/>
  <c r="AT45" i="1"/>
  <c r="AJ46" i="1"/>
  <c r="AK46" i="1"/>
  <c r="AM46" i="1"/>
  <c r="AN46" i="1"/>
  <c r="AP46" i="1"/>
  <c r="AQ46" i="1"/>
  <c r="AS46" i="1"/>
  <c r="AT46" i="1"/>
  <c r="AJ47" i="1"/>
  <c r="AK47" i="1"/>
  <c r="AM47" i="1"/>
  <c r="AN47" i="1"/>
  <c r="AP47" i="1"/>
  <c r="AQ47" i="1"/>
  <c r="AS47" i="1"/>
  <c r="AT47" i="1"/>
  <c r="AJ48" i="1"/>
  <c r="AK48" i="1"/>
  <c r="AM48" i="1"/>
  <c r="AN48" i="1"/>
  <c r="AP48" i="1"/>
  <c r="AQ48" i="1"/>
  <c r="AS48" i="1"/>
  <c r="AT48" i="1"/>
  <c r="AJ49" i="1"/>
  <c r="AK49" i="1"/>
  <c r="AM49" i="1"/>
  <c r="AN49" i="1"/>
  <c r="AP49" i="1"/>
  <c r="AQ49" i="1"/>
  <c r="AS49" i="1"/>
  <c r="AT49" i="1"/>
  <c r="AJ50" i="1"/>
  <c r="AK50" i="1"/>
  <c r="AM50" i="1"/>
  <c r="AN50" i="1"/>
  <c r="AP50" i="1"/>
  <c r="AQ50" i="1"/>
  <c r="AS50" i="1"/>
  <c r="AT50" i="1"/>
  <c r="AJ51" i="1"/>
  <c r="AK51" i="1"/>
  <c r="AM51" i="1"/>
  <c r="AN51" i="1"/>
  <c r="AP51" i="1"/>
  <c r="AQ51" i="1"/>
  <c r="AS51" i="1"/>
  <c r="AT51" i="1"/>
  <c r="AJ52" i="1"/>
  <c r="AK52" i="1"/>
  <c r="AM52" i="1"/>
  <c r="AN52" i="1"/>
  <c r="AP52" i="1"/>
  <c r="AQ52" i="1"/>
  <c r="AS52" i="1"/>
  <c r="AT52" i="1"/>
  <c r="AJ53" i="1"/>
  <c r="AK53" i="1"/>
  <c r="AM53" i="1"/>
  <c r="AN53" i="1"/>
  <c r="AP53" i="1"/>
  <c r="AQ53" i="1"/>
  <c r="AS53" i="1"/>
  <c r="AT53" i="1"/>
  <c r="AJ54" i="1"/>
  <c r="AK54" i="1"/>
  <c r="AM54" i="1"/>
  <c r="AN54" i="1"/>
  <c r="AP54" i="1"/>
  <c r="AQ54" i="1"/>
  <c r="AS54" i="1"/>
  <c r="AT54" i="1"/>
  <c r="AJ55" i="1"/>
  <c r="AK55" i="1"/>
  <c r="AM55" i="1"/>
  <c r="AN55" i="1"/>
  <c r="AP55" i="1"/>
  <c r="AQ55" i="1"/>
  <c r="AS55" i="1"/>
  <c r="AT55" i="1"/>
  <c r="AJ56" i="1"/>
  <c r="AK56" i="1"/>
  <c r="AM56" i="1"/>
  <c r="AN56" i="1"/>
  <c r="AP56" i="1"/>
  <c r="AQ56" i="1"/>
  <c r="AS56" i="1"/>
  <c r="AT56" i="1"/>
  <c r="AJ57" i="1"/>
  <c r="AK57" i="1"/>
  <c r="AM57" i="1"/>
  <c r="AN57" i="1"/>
  <c r="AP57" i="1"/>
  <c r="AQ57" i="1"/>
  <c r="AS57" i="1"/>
  <c r="AT57" i="1"/>
  <c r="AJ58" i="1"/>
  <c r="AK58" i="1"/>
  <c r="AM58" i="1"/>
  <c r="AN58" i="1"/>
  <c r="AP58" i="1"/>
  <c r="AQ58" i="1"/>
  <c r="AS58" i="1"/>
  <c r="AT58" i="1"/>
  <c r="AJ59" i="1"/>
  <c r="AK59" i="1"/>
  <c r="AM59" i="1"/>
  <c r="AN59" i="1"/>
  <c r="AP59" i="1"/>
  <c r="AQ59" i="1"/>
  <c r="AS59" i="1"/>
  <c r="AT59" i="1"/>
  <c r="AJ60" i="1"/>
  <c r="AK60" i="1"/>
  <c r="AM60" i="1"/>
  <c r="AN60" i="1"/>
  <c r="AP60" i="1"/>
  <c r="AQ60" i="1"/>
  <c r="AS60" i="1"/>
  <c r="AT60" i="1"/>
  <c r="AJ61" i="1"/>
  <c r="AK61" i="1"/>
  <c r="AM61" i="1"/>
  <c r="AN61" i="1"/>
  <c r="AP61" i="1"/>
  <c r="AQ61" i="1"/>
  <c r="AS61" i="1"/>
  <c r="AT61" i="1"/>
  <c r="AJ62" i="1"/>
  <c r="AK62" i="1"/>
  <c r="AM62" i="1"/>
  <c r="AN62" i="1"/>
  <c r="AP62" i="1"/>
  <c r="AQ62" i="1"/>
  <c r="AS62" i="1"/>
  <c r="AT62" i="1"/>
  <c r="AJ63" i="1"/>
  <c r="AK63" i="1"/>
  <c r="AM63" i="1"/>
  <c r="AN63" i="1"/>
  <c r="AP63" i="1"/>
  <c r="AQ63" i="1"/>
  <c r="AS63" i="1"/>
  <c r="AT63" i="1"/>
  <c r="AJ64" i="1"/>
  <c r="AK64" i="1"/>
  <c r="AM64" i="1"/>
  <c r="AN64" i="1"/>
  <c r="AP64" i="1"/>
  <c r="AQ64" i="1"/>
  <c r="AS64" i="1"/>
  <c r="AT64" i="1"/>
  <c r="AJ65" i="1"/>
  <c r="AK65" i="1"/>
  <c r="AM65" i="1"/>
  <c r="AN65" i="1"/>
  <c r="AP65" i="1"/>
  <c r="AQ65" i="1"/>
  <c r="AS65" i="1"/>
  <c r="AT65" i="1"/>
  <c r="AJ66" i="1"/>
  <c r="AK66" i="1"/>
  <c r="AM66" i="1"/>
  <c r="AN66" i="1"/>
  <c r="AP66" i="1"/>
  <c r="AQ66" i="1"/>
  <c r="AS66" i="1"/>
  <c r="AT66" i="1"/>
  <c r="AJ68" i="1"/>
  <c r="AK68" i="1"/>
  <c r="AM68" i="1"/>
  <c r="AN68" i="1"/>
  <c r="AP68" i="1"/>
  <c r="AQ68" i="1"/>
  <c r="AS68" i="1"/>
  <c r="AT68" i="1"/>
  <c r="AJ69" i="1"/>
  <c r="AK69" i="1"/>
  <c r="AM69" i="1"/>
  <c r="AN69" i="1"/>
  <c r="AP69" i="1"/>
  <c r="AQ69" i="1"/>
  <c r="AS69" i="1"/>
  <c r="AT69" i="1"/>
  <c r="AJ70" i="1"/>
  <c r="AK70" i="1"/>
  <c r="AM70" i="1"/>
  <c r="AN70" i="1"/>
  <c r="AP70" i="1"/>
  <c r="AQ70" i="1"/>
  <c r="AS70" i="1"/>
  <c r="AT70" i="1"/>
  <c r="AJ71" i="1"/>
  <c r="AK71" i="1"/>
  <c r="AM71" i="1"/>
  <c r="AN71" i="1"/>
  <c r="AP71" i="1"/>
  <c r="AQ71" i="1"/>
  <c r="AS71" i="1"/>
  <c r="AT71" i="1"/>
  <c r="AJ72" i="1"/>
  <c r="AK72" i="1"/>
  <c r="AM72" i="1"/>
  <c r="AN72" i="1"/>
  <c r="AP72" i="1"/>
  <c r="AQ72" i="1"/>
  <c r="AS72" i="1"/>
  <c r="AT72" i="1"/>
  <c r="AJ73" i="1"/>
  <c r="AK73" i="1"/>
  <c r="AM73" i="1"/>
  <c r="AN73" i="1"/>
  <c r="AP73" i="1"/>
  <c r="AQ73" i="1"/>
  <c r="AS73" i="1"/>
  <c r="AT73" i="1"/>
  <c r="AJ76" i="1"/>
  <c r="AK76" i="1"/>
  <c r="AM76" i="1"/>
  <c r="AN76" i="1"/>
  <c r="AP76" i="1"/>
  <c r="AQ76" i="1"/>
  <c r="AS76" i="1"/>
  <c r="AT76" i="1"/>
  <c r="AJ78" i="1"/>
  <c r="AK78" i="1"/>
  <c r="AM78" i="1"/>
  <c r="AN78" i="1"/>
  <c r="AP78" i="1"/>
  <c r="AQ78" i="1"/>
  <c r="AS78" i="1"/>
  <c r="AT78" i="1"/>
  <c r="AJ79" i="1"/>
  <c r="AK79" i="1"/>
  <c r="AM79" i="1"/>
  <c r="AN79" i="1"/>
  <c r="AP79" i="1"/>
  <c r="AQ79" i="1"/>
  <c r="AS79" i="1"/>
  <c r="AT79" i="1"/>
  <c r="AJ81" i="1"/>
  <c r="AK81" i="1"/>
  <c r="AM81" i="1"/>
  <c r="AN81" i="1"/>
  <c r="AP81" i="1"/>
  <c r="AQ81" i="1"/>
  <c r="AS81" i="1"/>
  <c r="AT81" i="1"/>
  <c r="AJ82" i="1"/>
  <c r="AK82" i="1"/>
  <c r="AM82" i="1"/>
  <c r="AN82" i="1"/>
  <c r="AP82" i="1"/>
  <c r="AQ82" i="1"/>
  <c r="AS82" i="1"/>
  <c r="AT82" i="1"/>
  <c r="AJ83" i="1"/>
  <c r="AK83" i="1"/>
  <c r="AM83" i="1"/>
  <c r="AN83" i="1"/>
  <c r="AP83" i="1"/>
  <c r="AQ83" i="1"/>
  <c r="AS83" i="1"/>
  <c r="AT83" i="1"/>
  <c r="AJ84" i="1"/>
  <c r="AK84" i="1"/>
  <c r="AM84" i="1"/>
  <c r="AN84" i="1"/>
  <c r="AP84" i="1"/>
  <c r="AQ84" i="1"/>
  <c r="AS84" i="1"/>
  <c r="AT84" i="1"/>
  <c r="AJ85" i="1"/>
  <c r="AK85" i="1"/>
  <c r="AM85" i="1"/>
  <c r="AN85" i="1"/>
  <c r="AP85" i="1"/>
  <c r="AQ85" i="1"/>
  <c r="AS85" i="1"/>
  <c r="AT85" i="1"/>
  <c r="AJ86" i="1"/>
  <c r="AK86" i="1"/>
  <c r="AM86" i="1"/>
  <c r="AN86" i="1"/>
  <c r="AP86" i="1"/>
  <c r="AQ86" i="1"/>
  <c r="AS86" i="1"/>
  <c r="AT86" i="1"/>
  <c r="AJ87" i="1"/>
  <c r="AK87" i="1"/>
  <c r="AM87" i="1"/>
  <c r="AN87" i="1"/>
  <c r="AP87" i="1"/>
  <c r="AQ87" i="1"/>
  <c r="AS87" i="1"/>
  <c r="AT87" i="1"/>
  <c r="AJ88" i="1"/>
  <c r="AK88" i="1"/>
  <c r="AM88" i="1"/>
  <c r="AN88" i="1"/>
  <c r="AP88" i="1"/>
  <c r="AQ88" i="1"/>
  <c r="AS88" i="1"/>
  <c r="AT88" i="1"/>
  <c r="AJ89" i="1"/>
  <c r="AK89" i="1"/>
  <c r="AM89" i="1"/>
  <c r="AN89" i="1"/>
  <c r="AP89" i="1"/>
  <c r="AQ89" i="1"/>
  <c r="AS89" i="1"/>
  <c r="AT89" i="1"/>
  <c r="AJ90" i="1"/>
  <c r="AK90" i="1"/>
  <c r="AM90" i="1"/>
  <c r="AN90" i="1"/>
  <c r="AP90" i="1"/>
  <c r="AQ90" i="1"/>
  <c r="AS90" i="1"/>
  <c r="AT90" i="1"/>
  <c r="AJ93" i="1"/>
  <c r="AK93" i="1"/>
  <c r="AM93" i="1"/>
  <c r="AN93" i="1"/>
  <c r="AP93" i="1"/>
  <c r="AQ93" i="1"/>
  <c r="AS93" i="1"/>
  <c r="AT93" i="1"/>
  <c r="AJ94" i="1"/>
  <c r="AK94" i="1"/>
  <c r="AM94" i="1"/>
  <c r="AN94" i="1"/>
  <c r="AP94" i="1"/>
  <c r="AQ94" i="1"/>
  <c r="AS94" i="1"/>
  <c r="AT94" i="1"/>
  <c r="AJ96" i="1"/>
  <c r="AK96" i="1"/>
  <c r="AM96" i="1"/>
  <c r="AN96" i="1"/>
  <c r="AP96" i="1"/>
  <c r="AQ96" i="1"/>
  <c r="AS96" i="1"/>
  <c r="AT96" i="1"/>
  <c r="AJ97" i="1"/>
  <c r="AK97" i="1"/>
  <c r="AM97" i="1"/>
  <c r="AN97" i="1"/>
  <c r="AP97" i="1"/>
  <c r="AQ97" i="1"/>
  <c r="AS97" i="1"/>
  <c r="AT97" i="1"/>
  <c r="AJ98" i="1"/>
  <c r="AK98" i="1"/>
  <c r="AM98" i="1"/>
  <c r="AN98" i="1"/>
  <c r="AP98" i="1"/>
  <c r="AQ98" i="1"/>
  <c r="AS98" i="1"/>
  <c r="AT98" i="1"/>
  <c r="AJ99" i="1"/>
  <c r="AK99" i="1"/>
  <c r="AM99" i="1"/>
  <c r="AN99" i="1"/>
  <c r="AP99" i="1"/>
  <c r="AQ99" i="1"/>
  <c r="AS99" i="1"/>
  <c r="AT99" i="1"/>
  <c r="AJ100" i="1"/>
  <c r="AK100" i="1"/>
  <c r="AM100" i="1"/>
  <c r="AN100" i="1"/>
  <c r="AP100" i="1"/>
  <c r="AQ100" i="1"/>
  <c r="AS100" i="1"/>
  <c r="AT100" i="1"/>
  <c r="AJ101" i="1"/>
  <c r="AK101" i="1"/>
  <c r="AM101" i="1"/>
  <c r="AN101" i="1"/>
  <c r="AP101" i="1"/>
  <c r="AQ101" i="1"/>
  <c r="AS101" i="1"/>
  <c r="AT101" i="1"/>
  <c r="AJ102" i="1"/>
  <c r="AK102" i="1"/>
  <c r="AM102" i="1"/>
  <c r="AN102" i="1"/>
  <c r="AP102" i="1"/>
  <c r="AQ102" i="1"/>
  <c r="AS102" i="1"/>
  <c r="AT102" i="1"/>
  <c r="AJ103" i="1"/>
  <c r="AK103" i="1"/>
  <c r="AM103" i="1"/>
  <c r="AN103" i="1"/>
  <c r="AP103" i="1"/>
  <c r="AQ103" i="1"/>
  <c r="AS103" i="1"/>
  <c r="AT103" i="1"/>
  <c r="AJ104" i="1"/>
  <c r="AK104" i="1"/>
  <c r="AM104" i="1"/>
  <c r="AN104" i="1"/>
  <c r="AP104" i="1"/>
  <c r="AQ104" i="1"/>
  <c r="AS104" i="1"/>
  <c r="AT104" i="1"/>
  <c r="AJ105" i="1"/>
  <c r="AK105" i="1"/>
  <c r="AM105" i="1"/>
  <c r="AN105" i="1"/>
  <c r="AP105" i="1"/>
  <c r="AQ105" i="1"/>
  <c r="AS105" i="1"/>
  <c r="AT105" i="1"/>
  <c r="AJ107" i="1"/>
  <c r="AK107" i="1"/>
  <c r="AM107" i="1"/>
  <c r="AN107" i="1"/>
  <c r="AP107" i="1"/>
  <c r="AQ107" i="1"/>
  <c r="AS107" i="1"/>
  <c r="AT107" i="1"/>
  <c r="AJ108" i="1"/>
  <c r="AK108" i="1"/>
  <c r="AM108" i="1"/>
  <c r="AN108" i="1"/>
  <c r="AP108" i="1"/>
  <c r="AQ108" i="1"/>
  <c r="AS108" i="1"/>
  <c r="AT108" i="1"/>
  <c r="AJ110" i="1"/>
  <c r="AK110" i="1"/>
  <c r="AM110" i="1"/>
  <c r="AN110" i="1"/>
  <c r="AP110" i="1"/>
  <c r="AQ110" i="1"/>
  <c r="AS110" i="1"/>
  <c r="AT110" i="1"/>
  <c r="AJ111" i="1"/>
  <c r="AK111" i="1"/>
  <c r="AM111" i="1"/>
  <c r="AN111" i="1"/>
  <c r="AP111" i="1"/>
  <c r="AQ111" i="1"/>
  <c r="AS111" i="1"/>
  <c r="AT111" i="1"/>
  <c r="AJ112" i="1"/>
  <c r="AK112" i="1"/>
  <c r="AM112" i="1"/>
  <c r="AN112" i="1"/>
  <c r="AP112" i="1"/>
  <c r="AQ112" i="1"/>
  <c r="AS112" i="1"/>
  <c r="AT112" i="1"/>
  <c r="AJ113" i="1"/>
  <c r="AK113" i="1"/>
  <c r="AM113" i="1"/>
  <c r="AN113" i="1"/>
  <c r="AP113" i="1"/>
  <c r="AQ113" i="1"/>
  <c r="AS113" i="1"/>
  <c r="AT113" i="1"/>
  <c r="AJ114" i="1"/>
  <c r="AK114" i="1"/>
  <c r="AM114" i="1"/>
  <c r="AN114" i="1"/>
  <c r="AP114" i="1"/>
  <c r="AQ114" i="1"/>
  <c r="AS114" i="1"/>
  <c r="AT114" i="1"/>
  <c r="AJ115" i="1"/>
  <c r="AK115" i="1"/>
  <c r="AM115" i="1"/>
  <c r="AN115" i="1"/>
  <c r="AP115" i="1"/>
  <c r="AQ115" i="1"/>
  <c r="AS115" i="1"/>
  <c r="AT115" i="1"/>
  <c r="AJ116" i="1"/>
  <c r="AK116" i="1"/>
  <c r="AM116" i="1"/>
  <c r="AN116" i="1"/>
  <c r="AP116" i="1"/>
  <c r="AQ116" i="1"/>
  <c r="AS116" i="1"/>
  <c r="AT116" i="1"/>
  <c r="AJ117" i="1"/>
  <c r="AK117" i="1"/>
  <c r="AM117" i="1"/>
  <c r="AN117" i="1"/>
  <c r="AP117" i="1"/>
  <c r="AQ117" i="1"/>
  <c r="AS117" i="1"/>
  <c r="AT117" i="1"/>
  <c r="AJ118" i="1"/>
  <c r="AK118" i="1"/>
  <c r="AM118" i="1"/>
  <c r="AN118" i="1"/>
  <c r="AP118" i="1"/>
  <c r="AQ118" i="1"/>
  <c r="AS118" i="1"/>
  <c r="AT118" i="1"/>
  <c r="AJ119" i="1"/>
  <c r="AK119" i="1"/>
  <c r="AM119" i="1"/>
  <c r="AN119" i="1"/>
  <c r="AP119" i="1"/>
  <c r="AQ119" i="1"/>
  <c r="AS119" i="1"/>
  <c r="AT119" i="1"/>
  <c r="AJ120" i="1"/>
  <c r="AK120" i="1"/>
  <c r="AM120" i="1"/>
  <c r="AN120" i="1"/>
  <c r="AP120" i="1"/>
  <c r="AQ120" i="1"/>
  <c r="AS120" i="1"/>
  <c r="AT120" i="1"/>
  <c r="AJ121" i="1"/>
  <c r="AK121" i="1"/>
  <c r="AM121" i="1"/>
  <c r="AN121" i="1"/>
  <c r="AP121" i="1"/>
  <c r="AQ121" i="1"/>
  <c r="AS121" i="1"/>
  <c r="AT121" i="1"/>
  <c r="AJ122" i="1"/>
  <c r="AK122" i="1"/>
  <c r="AM122" i="1"/>
  <c r="AN122" i="1"/>
  <c r="AP122" i="1"/>
  <c r="AQ122" i="1"/>
  <c r="AS122" i="1"/>
  <c r="AT122" i="1"/>
  <c r="AJ123" i="1"/>
  <c r="AK123" i="1"/>
  <c r="AM123" i="1"/>
  <c r="AN123" i="1"/>
  <c r="AP123" i="1"/>
  <c r="AQ123" i="1"/>
  <c r="AS123" i="1"/>
  <c r="AT123" i="1"/>
  <c r="AJ124" i="1"/>
  <c r="AK124" i="1"/>
  <c r="AM124" i="1"/>
  <c r="AN124" i="1"/>
  <c r="AP124" i="1"/>
  <c r="AQ124" i="1"/>
  <c r="AS124" i="1"/>
  <c r="AT124" i="1"/>
  <c r="AJ125" i="1"/>
  <c r="AK125" i="1"/>
  <c r="AM125" i="1"/>
  <c r="AN125" i="1"/>
  <c r="AP125" i="1"/>
  <c r="AQ125" i="1"/>
  <c r="AS125" i="1"/>
  <c r="AT125" i="1"/>
  <c r="AJ126" i="1"/>
  <c r="AK126" i="1"/>
  <c r="AM126" i="1"/>
  <c r="AN126" i="1"/>
  <c r="AP126" i="1"/>
  <c r="AQ126" i="1"/>
  <c r="AS126" i="1"/>
  <c r="AT126" i="1"/>
  <c r="AJ127" i="1"/>
  <c r="AK127" i="1"/>
  <c r="AM127" i="1"/>
  <c r="AN127" i="1"/>
  <c r="AP127" i="1"/>
  <c r="AQ127" i="1"/>
  <c r="AS127" i="1"/>
  <c r="AT127" i="1"/>
  <c r="AJ128" i="1"/>
  <c r="AK128" i="1"/>
  <c r="AM128" i="1"/>
  <c r="AN128" i="1"/>
  <c r="AP128" i="1"/>
  <c r="AQ128" i="1"/>
  <c r="AS128" i="1"/>
  <c r="AT128" i="1"/>
  <c r="AJ129" i="1"/>
  <c r="AK129" i="1"/>
  <c r="AM129" i="1"/>
  <c r="AN129" i="1"/>
  <c r="AP129" i="1"/>
  <c r="AQ129" i="1"/>
  <c r="AS129" i="1"/>
  <c r="AT129" i="1"/>
  <c r="AJ130" i="1"/>
  <c r="AK130" i="1"/>
  <c r="AM130" i="1"/>
  <c r="AN130" i="1"/>
  <c r="AP130" i="1"/>
  <c r="AQ130" i="1"/>
  <c r="AS130" i="1"/>
  <c r="AT130" i="1"/>
  <c r="AJ131" i="1"/>
  <c r="AK131" i="1"/>
  <c r="AM131" i="1"/>
  <c r="AN131" i="1"/>
  <c r="AP131" i="1"/>
  <c r="AQ131" i="1"/>
  <c r="AS131" i="1"/>
  <c r="AT131" i="1"/>
  <c r="AJ132" i="1"/>
  <c r="AK132" i="1"/>
  <c r="AM132" i="1"/>
  <c r="AN132" i="1"/>
  <c r="AP132" i="1"/>
  <c r="AQ132" i="1"/>
  <c r="AS132" i="1"/>
  <c r="AT132" i="1"/>
  <c r="AJ133" i="1"/>
  <c r="AK133" i="1"/>
  <c r="AM133" i="1"/>
  <c r="AN133" i="1"/>
  <c r="AP133" i="1"/>
  <c r="AQ133" i="1"/>
  <c r="AS133" i="1"/>
  <c r="AT133" i="1"/>
  <c r="AJ136" i="1"/>
  <c r="AK136" i="1"/>
  <c r="AM136" i="1"/>
  <c r="AN136" i="1"/>
  <c r="AP136" i="1"/>
  <c r="AQ136" i="1"/>
  <c r="AS136" i="1"/>
  <c r="AT136" i="1"/>
  <c r="AJ137" i="1"/>
  <c r="AK137" i="1"/>
  <c r="AM137" i="1"/>
  <c r="AN137" i="1"/>
  <c r="AP137" i="1"/>
  <c r="AQ137" i="1"/>
  <c r="AS137" i="1"/>
  <c r="AT137" i="1"/>
  <c r="AJ138" i="1"/>
  <c r="AK138" i="1"/>
  <c r="AM138" i="1"/>
  <c r="AN138" i="1"/>
  <c r="AP138" i="1"/>
  <c r="AQ138" i="1"/>
  <c r="AS138" i="1"/>
  <c r="AT138" i="1"/>
  <c r="AJ139" i="1"/>
  <c r="AK139" i="1"/>
  <c r="AM139" i="1"/>
  <c r="AN139" i="1"/>
  <c r="AP139" i="1"/>
  <c r="AQ139" i="1"/>
  <c r="AS139" i="1"/>
  <c r="AT139" i="1"/>
  <c r="AJ140" i="1"/>
  <c r="AK140" i="1"/>
  <c r="AM140" i="1"/>
  <c r="AN140" i="1"/>
  <c r="AP140" i="1"/>
  <c r="AQ140" i="1"/>
  <c r="AS140" i="1"/>
  <c r="AT140" i="1"/>
  <c r="AJ141" i="1"/>
  <c r="AK141" i="1"/>
  <c r="AM141" i="1"/>
  <c r="AN141" i="1"/>
  <c r="AP141" i="1"/>
  <c r="AQ141" i="1"/>
  <c r="AS141" i="1"/>
  <c r="AT141" i="1"/>
  <c r="AJ143" i="1"/>
  <c r="AK143" i="1"/>
  <c r="AM143" i="1"/>
  <c r="AN143" i="1"/>
  <c r="AP143" i="1"/>
  <c r="AQ143" i="1"/>
  <c r="AS143" i="1"/>
  <c r="AT143" i="1"/>
  <c r="AJ144" i="1"/>
  <c r="AK144" i="1"/>
  <c r="AM144" i="1"/>
  <c r="AN144" i="1"/>
  <c r="AP144" i="1"/>
  <c r="AQ144" i="1"/>
  <c r="AS144" i="1"/>
  <c r="AT144" i="1"/>
  <c r="AJ145" i="1"/>
  <c r="AK145" i="1"/>
  <c r="AM145" i="1"/>
  <c r="AN145" i="1"/>
  <c r="AP145" i="1"/>
  <c r="AQ145" i="1"/>
  <c r="AS145" i="1"/>
  <c r="AT145" i="1"/>
  <c r="AJ146" i="1"/>
  <c r="AK146" i="1"/>
  <c r="AM146" i="1"/>
  <c r="AN146" i="1"/>
  <c r="AP146" i="1"/>
  <c r="AQ146" i="1"/>
  <c r="AS146" i="1"/>
  <c r="AT146" i="1"/>
  <c r="AJ147" i="1"/>
  <c r="AK147" i="1"/>
  <c r="AM147" i="1"/>
  <c r="AN147" i="1"/>
  <c r="AP147" i="1"/>
  <c r="AQ147" i="1"/>
  <c r="AS147" i="1"/>
  <c r="AT147" i="1"/>
  <c r="AJ148" i="1"/>
  <c r="AK148" i="1"/>
  <c r="AM148" i="1"/>
  <c r="AN148" i="1"/>
  <c r="AP148" i="1"/>
  <c r="AQ148" i="1"/>
  <c r="AS148" i="1"/>
  <c r="AT148" i="1"/>
  <c r="AJ149" i="1"/>
  <c r="AK149" i="1"/>
  <c r="AM149" i="1"/>
  <c r="AN149" i="1"/>
  <c r="AP149" i="1"/>
  <c r="AQ149" i="1"/>
  <c r="AS149" i="1"/>
  <c r="AT149" i="1"/>
  <c r="AJ150" i="1"/>
  <c r="AK150" i="1"/>
  <c r="AM150" i="1"/>
  <c r="AN150" i="1"/>
  <c r="AP150" i="1"/>
  <c r="AQ150" i="1"/>
  <c r="AS150" i="1"/>
  <c r="AT150" i="1"/>
  <c r="AJ151" i="1"/>
  <c r="AK151" i="1"/>
  <c r="AM151" i="1"/>
  <c r="AN151" i="1"/>
  <c r="AP151" i="1"/>
  <c r="AQ151" i="1"/>
  <c r="AS151" i="1"/>
  <c r="AT151" i="1"/>
  <c r="AJ153" i="1"/>
  <c r="AK153" i="1"/>
  <c r="AM153" i="1"/>
  <c r="AN153" i="1"/>
  <c r="AP153" i="1"/>
  <c r="AQ153" i="1"/>
  <c r="AS153" i="1"/>
  <c r="AT153" i="1"/>
  <c r="AJ154" i="1"/>
  <c r="AK154" i="1"/>
  <c r="AM154" i="1"/>
  <c r="AN154" i="1"/>
  <c r="AP154" i="1"/>
  <c r="AQ154" i="1"/>
  <c r="AS154" i="1"/>
  <c r="AT154" i="1"/>
  <c r="AJ155" i="1"/>
  <c r="AK155" i="1"/>
  <c r="AM155" i="1"/>
  <c r="AN155" i="1"/>
  <c r="AP155" i="1"/>
  <c r="AQ155" i="1"/>
  <c r="AS155" i="1"/>
  <c r="AT155" i="1"/>
  <c r="AJ156" i="1"/>
  <c r="AK156" i="1"/>
  <c r="AM156" i="1"/>
  <c r="AN156" i="1"/>
  <c r="AP156" i="1"/>
  <c r="AQ156" i="1"/>
  <c r="AS156" i="1"/>
  <c r="AT156" i="1"/>
  <c r="AJ157" i="1"/>
  <c r="AK157" i="1"/>
  <c r="AM157" i="1"/>
  <c r="AN157" i="1"/>
  <c r="AP157" i="1"/>
  <c r="AQ157" i="1"/>
  <c r="AS157" i="1"/>
  <c r="AT157" i="1"/>
  <c r="AJ158" i="1"/>
  <c r="AK158" i="1"/>
  <c r="AM158" i="1"/>
  <c r="AN158" i="1"/>
  <c r="AP158" i="1"/>
  <c r="AQ158" i="1"/>
  <c r="AS158" i="1"/>
  <c r="AT158" i="1"/>
  <c r="AJ159" i="1"/>
  <c r="AK159" i="1"/>
  <c r="AM159" i="1"/>
  <c r="AN159" i="1"/>
  <c r="AP159" i="1"/>
  <c r="AQ159" i="1"/>
  <c r="AS159" i="1"/>
  <c r="AT159" i="1"/>
  <c r="AJ160" i="1"/>
  <c r="AK160" i="1"/>
  <c r="AM160" i="1"/>
  <c r="AN160" i="1"/>
  <c r="AP160" i="1"/>
  <c r="AQ160" i="1"/>
  <c r="AS160" i="1"/>
  <c r="AT160" i="1"/>
  <c r="AJ161" i="1"/>
  <c r="AK161" i="1"/>
  <c r="AM161" i="1"/>
  <c r="AN161" i="1"/>
  <c r="AP161" i="1"/>
  <c r="AQ161" i="1"/>
  <c r="AS161" i="1"/>
  <c r="AT161" i="1"/>
  <c r="AJ162" i="1"/>
  <c r="AK162" i="1"/>
  <c r="AM162" i="1"/>
  <c r="AN162" i="1"/>
  <c r="AP162" i="1"/>
  <c r="AQ162" i="1"/>
  <c r="AS162" i="1"/>
  <c r="AT162" i="1"/>
  <c r="AJ163" i="1"/>
  <c r="AK163" i="1"/>
  <c r="AM163" i="1"/>
  <c r="AN163" i="1"/>
  <c r="AP163" i="1"/>
  <c r="AQ163" i="1"/>
  <c r="AS163" i="1"/>
  <c r="AT163" i="1"/>
  <c r="AJ164" i="1"/>
  <c r="AK164" i="1"/>
  <c r="AM164" i="1"/>
  <c r="AN164" i="1"/>
  <c r="AP164" i="1"/>
  <c r="AQ164" i="1"/>
  <c r="AS164" i="1"/>
  <c r="AT164" i="1"/>
  <c r="AJ165" i="1"/>
  <c r="AK165" i="1"/>
  <c r="AM165" i="1"/>
  <c r="AN165" i="1"/>
  <c r="AP165" i="1"/>
  <c r="AQ165" i="1"/>
  <c r="AS165" i="1"/>
  <c r="AT165" i="1"/>
  <c r="AJ166" i="1"/>
  <c r="AK166" i="1"/>
  <c r="AM166" i="1"/>
  <c r="AN166" i="1"/>
  <c r="AP166" i="1"/>
  <c r="AQ166" i="1"/>
  <c r="AS166" i="1"/>
  <c r="AT166" i="1"/>
  <c r="AJ167" i="1"/>
  <c r="AK167" i="1"/>
  <c r="AM167" i="1"/>
  <c r="AN167" i="1"/>
  <c r="AP167" i="1"/>
  <c r="AQ167" i="1"/>
  <c r="AS167" i="1"/>
  <c r="AT167" i="1"/>
  <c r="AJ168" i="1"/>
  <c r="AK168" i="1"/>
  <c r="AM168" i="1"/>
  <c r="AN168" i="1"/>
  <c r="AP168" i="1"/>
  <c r="AQ168" i="1"/>
  <c r="AS168" i="1"/>
  <c r="AT168" i="1"/>
  <c r="AJ169" i="1"/>
  <c r="AK169" i="1"/>
  <c r="AM169" i="1"/>
  <c r="AN169" i="1"/>
  <c r="AP169" i="1"/>
  <c r="AQ169" i="1"/>
  <c r="AS169" i="1"/>
  <c r="AT169" i="1"/>
  <c r="AJ170" i="1"/>
  <c r="AK170" i="1"/>
  <c r="AM170" i="1"/>
  <c r="AN170" i="1"/>
  <c r="AP170" i="1"/>
  <c r="AQ170" i="1"/>
  <c r="AS170" i="1"/>
  <c r="AT170" i="1"/>
  <c r="AJ171" i="1"/>
  <c r="AK171" i="1"/>
  <c r="AM171" i="1"/>
  <c r="AN171" i="1"/>
  <c r="AP171" i="1"/>
  <c r="AQ171" i="1"/>
  <c r="AS171" i="1"/>
  <c r="AT171" i="1"/>
  <c r="AJ172" i="1"/>
  <c r="AK172" i="1"/>
  <c r="AM172" i="1"/>
  <c r="AN172" i="1"/>
  <c r="AP172" i="1"/>
  <c r="AQ172" i="1"/>
  <c r="AS172" i="1"/>
  <c r="AT172" i="1"/>
  <c r="AJ173" i="1"/>
  <c r="AK173" i="1"/>
  <c r="AM173" i="1"/>
  <c r="AN173" i="1"/>
  <c r="AP173" i="1"/>
  <c r="AQ173" i="1"/>
  <c r="AS173" i="1"/>
  <c r="AT173" i="1"/>
  <c r="AJ174" i="1"/>
  <c r="AK174" i="1"/>
  <c r="AM174" i="1"/>
  <c r="AN174" i="1"/>
  <c r="AP174" i="1"/>
  <c r="AQ174" i="1"/>
  <c r="AS174" i="1"/>
  <c r="AT174" i="1"/>
  <c r="AJ175" i="1"/>
  <c r="AK175" i="1"/>
  <c r="AM175" i="1"/>
  <c r="AN175" i="1"/>
  <c r="AP175" i="1"/>
  <c r="AQ175" i="1"/>
  <c r="AS175" i="1"/>
  <c r="AT175" i="1"/>
  <c r="AJ176" i="1"/>
  <c r="AK176" i="1"/>
  <c r="AM176" i="1"/>
  <c r="AN176" i="1"/>
  <c r="AP176" i="1"/>
  <c r="AQ176" i="1"/>
  <c r="AS176" i="1"/>
  <c r="AT176" i="1"/>
  <c r="AJ177" i="1"/>
  <c r="AK177" i="1"/>
  <c r="AM177" i="1"/>
  <c r="AN177" i="1"/>
  <c r="AP177" i="1"/>
  <c r="AQ177" i="1"/>
  <c r="AS177" i="1"/>
  <c r="AT177" i="1"/>
  <c r="AJ178" i="1"/>
  <c r="AK178" i="1"/>
  <c r="AM178" i="1"/>
  <c r="AN178" i="1"/>
  <c r="AP178" i="1"/>
  <c r="AQ178" i="1"/>
  <c r="AS178" i="1"/>
  <c r="AT178" i="1"/>
  <c r="AJ179" i="1"/>
  <c r="AK179" i="1"/>
  <c r="AM179" i="1"/>
  <c r="AN179" i="1"/>
  <c r="AP179" i="1"/>
  <c r="AQ179" i="1"/>
  <c r="AS179" i="1"/>
  <c r="AT179" i="1"/>
  <c r="AJ180" i="1"/>
  <c r="AK180" i="1"/>
  <c r="AM180" i="1"/>
  <c r="AN180" i="1"/>
  <c r="AP180" i="1"/>
  <c r="AQ180" i="1"/>
  <c r="AS180" i="1"/>
  <c r="AT180" i="1"/>
  <c r="AJ181" i="1"/>
  <c r="AK181" i="1"/>
  <c r="AM181" i="1"/>
  <c r="AN181" i="1"/>
  <c r="AP181" i="1"/>
  <c r="AQ181" i="1"/>
  <c r="AS181" i="1"/>
  <c r="AT181" i="1"/>
  <c r="AJ182" i="1"/>
  <c r="AK182" i="1"/>
  <c r="AM182" i="1"/>
  <c r="AN182" i="1"/>
  <c r="AP182" i="1"/>
  <c r="AQ182" i="1"/>
  <c r="AS182" i="1"/>
  <c r="AT182" i="1"/>
  <c r="AJ183" i="1"/>
  <c r="AK183" i="1"/>
  <c r="AM183" i="1"/>
  <c r="AN183" i="1"/>
  <c r="AP183" i="1"/>
  <c r="AQ183" i="1"/>
  <c r="AS183" i="1"/>
  <c r="AT183" i="1"/>
  <c r="AJ184" i="1"/>
  <c r="AK184" i="1"/>
  <c r="AM184" i="1"/>
  <c r="AN184" i="1"/>
  <c r="AP184" i="1"/>
  <c r="AQ184" i="1"/>
  <c r="AS184" i="1"/>
  <c r="AT184" i="1"/>
  <c r="AJ185" i="1"/>
  <c r="AK185" i="1"/>
  <c r="AM185" i="1"/>
  <c r="AN185" i="1"/>
  <c r="AP185" i="1"/>
  <c r="AQ185" i="1"/>
  <c r="AS185" i="1"/>
  <c r="AT185" i="1"/>
  <c r="AJ186" i="1"/>
  <c r="AK186" i="1"/>
  <c r="AM186" i="1"/>
  <c r="AN186" i="1"/>
  <c r="AP186" i="1"/>
  <c r="AQ186" i="1"/>
  <c r="AS186" i="1"/>
  <c r="AT186" i="1"/>
  <c r="AJ187" i="1"/>
  <c r="AK187" i="1"/>
  <c r="AM187" i="1"/>
  <c r="AN187" i="1"/>
  <c r="AP187" i="1"/>
  <c r="AQ187" i="1"/>
  <c r="AS187" i="1"/>
  <c r="AT187" i="1"/>
  <c r="AJ188" i="1"/>
  <c r="AK188" i="1"/>
  <c r="AM188" i="1"/>
  <c r="AN188" i="1"/>
  <c r="AP188" i="1"/>
  <c r="AQ188" i="1"/>
  <c r="AS188" i="1"/>
  <c r="AT188" i="1"/>
  <c r="AJ189" i="1"/>
  <c r="AK189" i="1"/>
  <c r="AM189" i="1"/>
  <c r="AN189" i="1"/>
  <c r="AP189" i="1"/>
  <c r="AQ189" i="1"/>
  <c r="AS189" i="1"/>
  <c r="AT189" i="1"/>
  <c r="AJ190" i="1"/>
  <c r="AK190" i="1"/>
  <c r="AM190" i="1"/>
  <c r="AN190" i="1"/>
  <c r="AP190" i="1"/>
  <c r="AQ190" i="1"/>
  <c r="AS190" i="1"/>
  <c r="AT190" i="1"/>
  <c r="AJ191" i="1"/>
  <c r="AK191" i="1"/>
  <c r="AM191" i="1"/>
  <c r="AN191" i="1"/>
  <c r="AP191" i="1"/>
  <c r="AQ191" i="1"/>
  <c r="AS191" i="1"/>
  <c r="AT191" i="1"/>
  <c r="AJ192" i="1"/>
  <c r="AK192" i="1"/>
  <c r="AM192" i="1"/>
  <c r="AN192" i="1"/>
  <c r="AP192" i="1"/>
  <c r="AQ192" i="1"/>
  <c r="AS192" i="1"/>
  <c r="AT192" i="1"/>
  <c r="AJ193" i="1"/>
  <c r="AK193" i="1"/>
  <c r="AM193" i="1"/>
  <c r="AN193" i="1"/>
  <c r="AP193" i="1"/>
  <c r="AQ193" i="1"/>
  <c r="AS193" i="1"/>
  <c r="AT193" i="1"/>
  <c r="AJ194" i="1"/>
  <c r="AK194" i="1"/>
  <c r="AM194" i="1"/>
  <c r="AN194" i="1"/>
  <c r="AP194" i="1"/>
  <c r="AQ194" i="1"/>
  <c r="AS194" i="1"/>
  <c r="AT194" i="1"/>
  <c r="AJ195" i="1"/>
  <c r="AK195" i="1"/>
  <c r="AM195" i="1"/>
  <c r="AN195" i="1"/>
  <c r="AP195" i="1"/>
  <c r="AQ195" i="1"/>
  <c r="AS195" i="1"/>
  <c r="AT195" i="1"/>
  <c r="AJ196" i="1"/>
  <c r="AK196" i="1"/>
  <c r="AM196" i="1"/>
  <c r="AN196" i="1"/>
  <c r="AP196" i="1"/>
  <c r="AQ196" i="1"/>
  <c r="AS196" i="1"/>
  <c r="AT196" i="1"/>
  <c r="AJ197" i="1"/>
  <c r="AK197" i="1"/>
  <c r="AM197" i="1"/>
  <c r="AN197" i="1"/>
  <c r="AP197" i="1"/>
  <c r="AQ197" i="1"/>
  <c r="AS197" i="1"/>
  <c r="AT197" i="1"/>
  <c r="AJ198" i="1"/>
  <c r="AK198" i="1"/>
  <c r="AM198" i="1"/>
  <c r="AN198" i="1"/>
  <c r="AP198" i="1"/>
  <c r="AQ198" i="1"/>
  <c r="AS198" i="1"/>
  <c r="AT198" i="1"/>
  <c r="AJ199" i="1"/>
  <c r="AK199" i="1"/>
  <c r="AM199" i="1"/>
  <c r="AN199" i="1"/>
  <c r="AP199" i="1"/>
  <c r="AQ199" i="1"/>
  <c r="AS199" i="1"/>
  <c r="AT199" i="1"/>
  <c r="AJ200" i="1"/>
  <c r="AK200" i="1"/>
  <c r="AM200" i="1"/>
  <c r="AN200" i="1"/>
  <c r="AP200" i="1"/>
  <c r="AQ200" i="1"/>
  <c r="AS200" i="1"/>
  <c r="AT200" i="1"/>
  <c r="AJ201" i="1"/>
  <c r="AK201" i="1"/>
  <c r="AM201" i="1"/>
  <c r="AN201" i="1"/>
  <c r="AP201" i="1"/>
  <c r="AQ201" i="1"/>
  <c r="AS201" i="1"/>
  <c r="AT201" i="1"/>
  <c r="AJ202" i="1"/>
  <c r="AK202" i="1"/>
  <c r="AM202" i="1"/>
  <c r="AN202" i="1"/>
  <c r="AP202" i="1"/>
  <c r="AQ202" i="1"/>
  <c r="AS202" i="1"/>
  <c r="AT202" i="1"/>
  <c r="AJ203" i="1"/>
  <c r="AK203" i="1"/>
  <c r="AM203" i="1"/>
  <c r="AN203" i="1"/>
  <c r="AP203" i="1"/>
  <c r="AQ203" i="1"/>
  <c r="AS203" i="1"/>
  <c r="AT203" i="1"/>
  <c r="AJ204" i="1"/>
  <c r="AK204" i="1"/>
  <c r="AM204" i="1"/>
  <c r="AN204" i="1"/>
  <c r="AP204" i="1"/>
  <c r="AQ204" i="1"/>
  <c r="AS204" i="1"/>
  <c r="AT204" i="1"/>
  <c r="AJ206" i="1"/>
  <c r="AK206" i="1"/>
  <c r="AM206" i="1"/>
  <c r="AN206" i="1"/>
  <c r="AP206" i="1"/>
  <c r="AQ206" i="1"/>
  <c r="AS206" i="1"/>
  <c r="AT206" i="1"/>
  <c r="AJ207" i="1"/>
  <c r="AK207" i="1"/>
  <c r="AM207" i="1"/>
  <c r="AN207" i="1"/>
  <c r="AP207" i="1"/>
  <c r="AQ207" i="1"/>
  <c r="AS207" i="1"/>
  <c r="AT207" i="1"/>
  <c r="AJ208" i="1"/>
  <c r="AK208" i="1"/>
  <c r="AM208" i="1"/>
  <c r="AN208" i="1"/>
  <c r="AP208" i="1"/>
  <c r="AQ208" i="1"/>
  <c r="AS208" i="1"/>
  <c r="AT208" i="1"/>
  <c r="AJ209" i="1"/>
  <c r="AK209" i="1"/>
  <c r="AM209" i="1"/>
  <c r="AN209" i="1"/>
  <c r="AP209" i="1"/>
  <c r="AQ209" i="1"/>
  <c r="AS209" i="1"/>
  <c r="AT209" i="1"/>
  <c r="AJ211" i="1"/>
  <c r="AK211" i="1"/>
  <c r="AM211" i="1"/>
  <c r="AN211" i="1"/>
  <c r="AP211" i="1"/>
  <c r="AQ211" i="1"/>
  <c r="AS211" i="1"/>
  <c r="AT211" i="1"/>
  <c r="AJ212" i="1"/>
  <c r="AK212" i="1"/>
  <c r="AM212" i="1"/>
  <c r="AN212" i="1"/>
  <c r="AP212" i="1"/>
  <c r="AQ212" i="1"/>
  <c r="AS212" i="1"/>
  <c r="AT212" i="1"/>
  <c r="AJ213" i="1"/>
  <c r="AK213" i="1"/>
  <c r="AM213" i="1"/>
  <c r="AN213" i="1"/>
  <c r="AP213" i="1"/>
  <c r="AQ213" i="1"/>
  <c r="AS213" i="1"/>
  <c r="AT213" i="1"/>
  <c r="AJ214" i="1"/>
  <c r="AK214" i="1"/>
  <c r="AM214" i="1"/>
  <c r="AN214" i="1"/>
  <c r="AP214" i="1"/>
  <c r="AQ214" i="1"/>
  <c r="AS214" i="1"/>
  <c r="AT214" i="1"/>
  <c r="AJ215" i="1"/>
  <c r="AK215" i="1"/>
  <c r="AM215" i="1"/>
  <c r="AN215" i="1"/>
  <c r="AP215" i="1"/>
  <c r="AQ215" i="1"/>
  <c r="AS215" i="1"/>
  <c r="AT215" i="1"/>
  <c r="AJ216" i="1"/>
  <c r="AK216" i="1"/>
  <c r="AM216" i="1"/>
  <c r="AN216" i="1"/>
  <c r="AP216" i="1"/>
  <c r="AQ216" i="1"/>
  <c r="AS216" i="1"/>
  <c r="AT216" i="1"/>
  <c r="AJ217" i="1"/>
  <c r="AK217" i="1"/>
  <c r="AM217" i="1"/>
  <c r="AN217" i="1"/>
  <c r="AP217" i="1"/>
  <c r="AQ217" i="1"/>
  <c r="AS217" i="1"/>
  <c r="AT217" i="1"/>
  <c r="AJ218" i="1"/>
  <c r="AK218" i="1"/>
  <c r="AM218" i="1"/>
  <c r="AN218" i="1"/>
  <c r="AP218" i="1"/>
  <c r="AQ218" i="1"/>
  <c r="AS218" i="1"/>
  <c r="AT218" i="1"/>
  <c r="AJ219" i="1"/>
  <c r="AK219" i="1"/>
  <c r="AM219" i="1"/>
  <c r="AN219" i="1"/>
  <c r="AP219" i="1"/>
  <c r="AQ219" i="1"/>
  <c r="AS219" i="1"/>
  <c r="AT219" i="1"/>
  <c r="AJ220" i="1"/>
  <c r="AK220" i="1"/>
  <c r="AM220" i="1"/>
  <c r="AN220" i="1"/>
  <c r="AP220" i="1"/>
  <c r="AQ220" i="1"/>
  <c r="AS220" i="1"/>
  <c r="AT220" i="1"/>
  <c r="AJ221" i="1"/>
  <c r="AK221" i="1"/>
  <c r="AM221" i="1"/>
  <c r="AN221" i="1"/>
  <c r="AP221" i="1"/>
  <c r="AQ221" i="1"/>
  <c r="AS221" i="1"/>
  <c r="AT221" i="1"/>
  <c r="AJ222" i="1"/>
  <c r="AK222" i="1"/>
  <c r="AM222" i="1"/>
  <c r="AN222" i="1"/>
  <c r="AP222" i="1"/>
  <c r="AQ222" i="1"/>
  <c r="AS222" i="1"/>
  <c r="AT222" i="1"/>
  <c r="AJ223" i="1"/>
  <c r="AK223" i="1"/>
  <c r="AM223" i="1"/>
  <c r="AN223" i="1"/>
  <c r="AP223" i="1"/>
  <c r="AQ223" i="1"/>
  <c r="AS223" i="1"/>
  <c r="AT223" i="1"/>
  <c r="AJ224" i="1"/>
  <c r="AK224" i="1"/>
  <c r="AM224" i="1"/>
  <c r="AN224" i="1"/>
  <c r="AP224" i="1"/>
  <c r="AQ224" i="1"/>
  <c r="AS224" i="1"/>
  <c r="AT224" i="1"/>
  <c r="AJ225" i="1"/>
  <c r="AK225" i="1"/>
  <c r="AM225" i="1"/>
  <c r="AN225" i="1"/>
  <c r="AP225" i="1"/>
  <c r="AQ225" i="1"/>
  <c r="AS225" i="1"/>
  <c r="AT225" i="1"/>
  <c r="AJ226" i="1"/>
  <c r="AK226" i="1"/>
  <c r="AM226" i="1"/>
  <c r="AN226" i="1"/>
  <c r="AP226" i="1"/>
  <c r="AQ226" i="1"/>
  <c r="AS226" i="1"/>
  <c r="AT226" i="1"/>
  <c r="AJ227" i="1"/>
  <c r="AK227" i="1"/>
  <c r="AM227" i="1"/>
  <c r="AN227" i="1"/>
  <c r="AP227" i="1"/>
  <c r="AQ227" i="1"/>
  <c r="AS227" i="1"/>
  <c r="AT227" i="1"/>
  <c r="AJ228" i="1"/>
  <c r="AK228" i="1"/>
  <c r="AM228" i="1"/>
  <c r="AN228" i="1"/>
  <c r="AP228" i="1"/>
  <c r="AQ228" i="1"/>
  <c r="AS228" i="1"/>
  <c r="AT228" i="1"/>
  <c r="AJ229" i="1"/>
  <c r="AK229" i="1"/>
  <c r="AM229" i="1"/>
  <c r="AN229" i="1"/>
  <c r="AP229" i="1"/>
  <c r="AQ229" i="1"/>
  <c r="AS229" i="1"/>
  <c r="AT229" i="1"/>
  <c r="AJ230" i="1"/>
  <c r="AK230" i="1"/>
  <c r="AM230" i="1"/>
  <c r="AN230" i="1"/>
  <c r="AP230" i="1"/>
  <c r="AQ230" i="1"/>
  <c r="AS230" i="1"/>
  <c r="AT230" i="1"/>
  <c r="AJ231" i="1"/>
  <c r="AK231" i="1"/>
  <c r="AM231" i="1"/>
  <c r="AN231" i="1"/>
  <c r="AP231" i="1"/>
  <c r="AQ231" i="1"/>
  <c r="AS231" i="1"/>
  <c r="AT231" i="1"/>
  <c r="AJ232" i="1"/>
  <c r="AK232" i="1"/>
  <c r="AM232" i="1"/>
  <c r="AN232" i="1"/>
  <c r="AP232" i="1"/>
  <c r="AQ232" i="1"/>
  <c r="AS232" i="1"/>
  <c r="AT232" i="1"/>
  <c r="AJ233" i="1"/>
  <c r="AK233" i="1"/>
  <c r="AM233" i="1"/>
  <c r="AN233" i="1"/>
  <c r="AP233" i="1"/>
  <c r="AQ233" i="1"/>
  <c r="AS233" i="1"/>
  <c r="AT233" i="1"/>
  <c r="AJ234" i="1"/>
  <c r="AK234" i="1"/>
  <c r="AM234" i="1"/>
  <c r="AN234" i="1"/>
  <c r="AP234" i="1"/>
  <c r="AQ234" i="1"/>
  <c r="AS234" i="1"/>
  <c r="AT234" i="1"/>
  <c r="AJ235" i="1"/>
  <c r="AK235" i="1"/>
  <c r="AM235" i="1"/>
  <c r="AN235" i="1"/>
  <c r="AP235" i="1"/>
  <c r="AQ235" i="1"/>
  <c r="AS235" i="1"/>
  <c r="AT235" i="1"/>
  <c r="AJ236" i="1"/>
  <c r="AK236" i="1"/>
  <c r="AM236" i="1"/>
  <c r="AN236" i="1"/>
  <c r="AP236" i="1"/>
  <c r="AQ236" i="1"/>
  <c r="AS236" i="1"/>
  <c r="AT236" i="1"/>
  <c r="AJ237" i="1"/>
  <c r="AK237" i="1"/>
  <c r="AM237" i="1"/>
  <c r="AN237" i="1"/>
  <c r="AP237" i="1"/>
  <c r="AQ237" i="1"/>
  <c r="AS237" i="1"/>
  <c r="AT237" i="1"/>
  <c r="AJ238" i="1"/>
  <c r="AK238" i="1"/>
  <c r="AM238" i="1"/>
  <c r="AN238" i="1"/>
  <c r="AP238" i="1"/>
  <c r="AQ238" i="1"/>
  <c r="AS238" i="1"/>
  <c r="AT238" i="1"/>
  <c r="AJ239" i="1"/>
  <c r="AK239" i="1"/>
  <c r="AM239" i="1"/>
  <c r="AN239" i="1"/>
  <c r="AP239" i="1"/>
  <c r="AQ239" i="1"/>
  <c r="AS239" i="1"/>
  <c r="AT239" i="1"/>
  <c r="AJ240" i="1"/>
  <c r="AK240" i="1"/>
  <c r="AM240" i="1"/>
  <c r="AN240" i="1"/>
  <c r="AP240" i="1"/>
  <c r="AQ240" i="1"/>
  <c r="AS240" i="1"/>
  <c r="AT240" i="1"/>
  <c r="AJ242" i="1"/>
  <c r="AK242" i="1"/>
  <c r="AM242" i="1"/>
  <c r="AN242" i="1"/>
  <c r="AP242" i="1"/>
  <c r="AQ242" i="1"/>
  <c r="AS242" i="1"/>
  <c r="AT242" i="1"/>
  <c r="AJ243" i="1"/>
  <c r="AK243" i="1"/>
  <c r="AM243" i="1"/>
  <c r="AN243" i="1"/>
  <c r="AP243" i="1"/>
  <c r="AQ243" i="1"/>
  <c r="AS243" i="1"/>
  <c r="AT243" i="1"/>
  <c r="AJ244" i="1"/>
  <c r="AK244" i="1"/>
  <c r="AM244" i="1"/>
  <c r="AN244" i="1"/>
  <c r="AP244" i="1"/>
  <c r="AQ244" i="1"/>
  <c r="AS244" i="1"/>
  <c r="AT244" i="1"/>
  <c r="AJ245" i="1"/>
  <c r="AK245" i="1"/>
  <c r="AM245" i="1"/>
  <c r="AN245" i="1"/>
  <c r="AP245" i="1"/>
  <c r="AQ245" i="1"/>
  <c r="AS245" i="1"/>
  <c r="AT245" i="1"/>
  <c r="AJ246" i="1"/>
  <c r="AK246" i="1"/>
  <c r="AM246" i="1"/>
  <c r="AN246" i="1"/>
  <c r="AP246" i="1"/>
  <c r="AQ246" i="1"/>
  <c r="AS246" i="1"/>
  <c r="AT246" i="1"/>
  <c r="AJ247" i="1"/>
  <c r="AK247" i="1"/>
  <c r="AM247" i="1"/>
  <c r="AN247" i="1"/>
  <c r="AP247" i="1"/>
  <c r="AQ247" i="1"/>
  <c r="AS247" i="1"/>
  <c r="AT247" i="1"/>
  <c r="AJ248" i="1"/>
  <c r="AK248" i="1"/>
  <c r="AM248" i="1"/>
  <c r="AN248" i="1"/>
  <c r="AP248" i="1"/>
  <c r="AQ248" i="1"/>
  <c r="AS248" i="1"/>
  <c r="AT248" i="1"/>
  <c r="AJ249" i="1"/>
  <c r="AK249" i="1"/>
  <c r="AM249" i="1"/>
  <c r="AN249" i="1"/>
  <c r="AP249" i="1"/>
  <c r="AQ249" i="1"/>
  <c r="AS249" i="1"/>
  <c r="AT249" i="1"/>
  <c r="AJ250" i="1"/>
  <c r="AK250" i="1"/>
  <c r="AM250" i="1"/>
  <c r="AN250" i="1"/>
  <c r="AP250" i="1"/>
  <c r="AQ250" i="1"/>
  <c r="AS250" i="1"/>
  <c r="AT250" i="1"/>
  <c r="AJ251" i="1"/>
  <c r="AK251" i="1"/>
  <c r="AM251" i="1"/>
  <c r="AN251" i="1"/>
  <c r="AP251" i="1"/>
  <c r="AQ251" i="1"/>
  <c r="AS251" i="1"/>
  <c r="AT251" i="1"/>
  <c r="AJ252" i="1"/>
  <c r="AK252" i="1"/>
  <c r="AM252" i="1"/>
  <c r="AN252" i="1"/>
  <c r="AP252" i="1"/>
  <c r="AQ252" i="1"/>
  <c r="AS252" i="1"/>
  <c r="AT252" i="1"/>
  <c r="AJ253" i="1"/>
  <c r="AK253" i="1"/>
  <c r="AM253" i="1"/>
  <c r="AN253" i="1"/>
  <c r="AP253" i="1"/>
  <c r="AQ253" i="1"/>
  <c r="AS253" i="1"/>
  <c r="AT253" i="1"/>
  <c r="AJ254" i="1"/>
  <c r="AK254" i="1"/>
  <c r="AM254" i="1"/>
  <c r="AN254" i="1"/>
  <c r="AP254" i="1"/>
  <c r="AQ254" i="1"/>
  <c r="AS254" i="1"/>
  <c r="AT254" i="1"/>
  <c r="AJ255" i="1"/>
  <c r="AK255" i="1"/>
  <c r="AM255" i="1"/>
  <c r="AN255" i="1"/>
  <c r="AP255" i="1"/>
  <c r="AQ255" i="1"/>
  <c r="AS255" i="1"/>
  <c r="AT255" i="1"/>
  <c r="AJ256" i="1"/>
  <c r="AK256" i="1"/>
  <c r="AM256" i="1"/>
  <c r="AN256" i="1"/>
  <c r="AP256" i="1"/>
  <c r="AQ256" i="1"/>
  <c r="AS256" i="1"/>
  <c r="AT256" i="1"/>
  <c r="AJ257" i="1"/>
  <c r="AK257" i="1"/>
  <c r="AM257" i="1"/>
  <c r="AN257" i="1"/>
  <c r="AP257" i="1"/>
  <c r="AQ257" i="1"/>
  <c r="AS257" i="1"/>
  <c r="AT257" i="1"/>
  <c r="AJ259" i="1"/>
  <c r="AK259" i="1"/>
  <c r="AM259" i="1"/>
  <c r="AN259" i="1"/>
  <c r="AP259" i="1"/>
  <c r="AQ259" i="1"/>
  <c r="AS259" i="1"/>
  <c r="AT259" i="1"/>
  <c r="AJ260" i="1"/>
  <c r="AK260" i="1"/>
  <c r="AM260" i="1"/>
  <c r="AN260" i="1"/>
  <c r="AP260" i="1"/>
  <c r="AQ260" i="1"/>
  <c r="AS260" i="1"/>
  <c r="AT260" i="1"/>
  <c r="AJ261" i="1"/>
  <c r="AK261" i="1"/>
  <c r="AM261" i="1"/>
  <c r="AN261" i="1"/>
  <c r="AP261" i="1"/>
  <c r="AQ261" i="1"/>
  <c r="AS261" i="1"/>
  <c r="AT261" i="1"/>
  <c r="AJ263" i="1"/>
  <c r="AK263" i="1"/>
  <c r="AM263" i="1"/>
  <c r="AN263" i="1"/>
  <c r="AP263" i="1"/>
  <c r="AQ263" i="1"/>
  <c r="AS263" i="1"/>
  <c r="AT263" i="1"/>
  <c r="AJ264" i="1"/>
  <c r="AK264" i="1"/>
  <c r="AM264" i="1"/>
  <c r="AN264" i="1"/>
  <c r="AP264" i="1"/>
  <c r="AQ264" i="1"/>
  <c r="AS264" i="1"/>
  <c r="AT264" i="1"/>
  <c r="AJ265" i="1"/>
  <c r="AK265" i="1"/>
  <c r="AM265" i="1"/>
  <c r="AN265" i="1"/>
  <c r="AP265" i="1"/>
  <c r="AQ265" i="1"/>
  <c r="AS265" i="1"/>
  <c r="AT265" i="1"/>
  <c r="AJ266" i="1"/>
  <c r="AK266" i="1"/>
  <c r="AM266" i="1"/>
  <c r="AN266" i="1"/>
  <c r="AP266" i="1"/>
  <c r="AQ266" i="1"/>
  <c r="AS266" i="1"/>
  <c r="AT266" i="1"/>
  <c r="AJ267" i="1"/>
  <c r="AK267" i="1"/>
  <c r="AM267" i="1"/>
  <c r="AN267" i="1"/>
  <c r="AP267" i="1"/>
  <c r="AQ267" i="1"/>
  <c r="AS267" i="1"/>
  <c r="AT267" i="1"/>
  <c r="AJ268" i="1"/>
  <c r="AK268" i="1"/>
  <c r="AM268" i="1"/>
  <c r="AN268" i="1"/>
  <c r="AP268" i="1"/>
  <c r="AQ268" i="1"/>
  <c r="AS268" i="1"/>
  <c r="AT268" i="1"/>
  <c r="AJ269" i="1"/>
  <c r="AK269" i="1"/>
  <c r="AM269" i="1"/>
  <c r="AN269" i="1"/>
  <c r="AP269" i="1"/>
  <c r="AQ269" i="1"/>
  <c r="AS269" i="1"/>
  <c r="AT269" i="1"/>
  <c r="AJ270" i="1"/>
  <c r="AK270" i="1"/>
  <c r="AM270" i="1"/>
  <c r="AN270" i="1"/>
  <c r="AP270" i="1"/>
  <c r="AQ270" i="1"/>
  <c r="AS270" i="1"/>
  <c r="AT270" i="1"/>
  <c r="AJ271" i="1"/>
  <c r="AK271" i="1"/>
  <c r="AM271" i="1"/>
  <c r="AN271" i="1"/>
  <c r="AP271" i="1"/>
  <c r="AQ271" i="1"/>
  <c r="AS271" i="1"/>
  <c r="AT271" i="1"/>
  <c r="AJ272" i="1"/>
  <c r="AK272" i="1"/>
  <c r="AM272" i="1"/>
  <c r="AN272" i="1"/>
  <c r="AP272" i="1"/>
  <c r="AQ272" i="1"/>
  <c r="AS272" i="1"/>
  <c r="AT272" i="1"/>
  <c r="AJ273" i="1"/>
  <c r="AK273" i="1"/>
  <c r="AM273" i="1"/>
  <c r="AN273" i="1"/>
  <c r="AP273" i="1"/>
  <c r="AQ273" i="1"/>
  <c r="AS273" i="1"/>
  <c r="AT273" i="1"/>
  <c r="AJ274" i="1"/>
  <c r="AK274" i="1"/>
  <c r="AM274" i="1"/>
  <c r="AN274" i="1"/>
  <c r="AP274" i="1"/>
  <c r="AQ274" i="1"/>
  <c r="AS274" i="1"/>
  <c r="AT274" i="1"/>
  <c r="AJ275" i="1"/>
  <c r="AK275" i="1"/>
  <c r="AM275" i="1"/>
  <c r="AN275" i="1"/>
  <c r="AP275" i="1"/>
  <c r="AQ275" i="1"/>
  <c r="AS275" i="1"/>
  <c r="AT275" i="1"/>
  <c r="AJ276" i="1"/>
  <c r="AK276" i="1"/>
  <c r="AM276" i="1"/>
  <c r="AN276" i="1"/>
  <c r="AP276" i="1"/>
  <c r="AQ276" i="1"/>
  <c r="AS276" i="1"/>
  <c r="AT276" i="1"/>
  <c r="AJ277" i="1"/>
  <c r="AK277" i="1"/>
  <c r="AM277" i="1"/>
  <c r="AN277" i="1"/>
  <c r="AP277" i="1"/>
  <c r="AQ277" i="1"/>
  <c r="AS277" i="1"/>
  <c r="AT277" i="1"/>
  <c r="AJ278" i="1"/>
  <c r="AK278" i="1"/>
  <c r="AM278" i="1"/>
  <c r="AN278" i="1"/>
  <c r="AP278" i="1"/>
  <c r="AQ278" i="1"/>
  <c r="AS278" i="1"/>
  <c r="AT278" i="1"/>
  <c r="AJ279" i="1"/>
  <c r="AK279" i="1"/>
  <c r="AM279" i="1"/>
  <c r="AN279" i="1"/>
  <c r="AP279" i="1"/>
  <c r="AQ279" i="1"/>
  <c r="AS279" i="1"/>
  <c r="AT279" i="1"/>
  <c r="AJ280" i="1"/>
  <c r="AK280" i="1"/>
  <c r="AM280" i="1"/>
  <c r="AN280" i="1"/>
  <c r="AP280" i="1"/>
  <c r="AQ280" i="1"/>
  <c r="AS280" i="1"/>
  <c r="AT280" i="1"/>
  <c r="AJ281" i="1"/>
  <c r="AK281" i="1"/>
  <c r="AM281" i="1"/>
  <c r="AN281" i="1"/>
  <c r="AP281" i="1"/>
  <c r="AQ281" i="1"/>
  <c r="AS281" i="1"/>
  <c r="AT281" i="1"/>
  <c r="AJ282" i="1"/>
  <c r="AK282" i="1"/>
  <c r="AM282" i="1"/>
  <c r="AN282" i="1"/>
  <c r="AP282" i="1"/>
  <c r="AQ282" i="1"/>
  <c r="AS282" i="1"/>
  <c r="AT282" i="1"/>
  <c r="AJ283" i="1"/>
  <c r="AK283" i="1"/>
  <c r="AM283" i="1"/>
  <c r="AN283" i="1"/>
  <c r="AP283" i="1"/>
  <c r="AQ283" i="1"/>
  <c r="AS283" i="1"/>
  <c r="AT283" i="1"/>
  <c r="AJ284" i="1"/>
  <c r="AK284" i="1"/>
  <c r="AM284" i="1"/>
  <c r="AN284" i="1"/>
  <c r="AP284" i="1"/>
  <c r="AQ284" i="1"/>
  <c r="AS284" i="1"/>
  <c r="AT284" i="1"/>
  <c r="AJ285" i="1"/>
  <c r="AK285" i="1"/>
  <c r="AM285" i="1"/>
  <c r="AN285" i="1"/>
  <c r="AP285" i="1"/>
  <c r="AQ285" i="1"/>
  <c r="AS285" i="1"/>
  <c r="AT285" i="1"/>
  <c r="AJ286" i="1"/>
  <c r="AK286" i="1"/>
  <c r="AM286" i="1"/>
  <c r="AN286" i="1"/>
  <c r="AP286" i="1"/>
  <c r="AQ286" i="1"/>
  <c r="AS286" i="1"/>
  <c r="AT286" i="1"/>
  <c r="AJ287" i="1"/>
  <c r="AK287" i="1"/>
  <c r="AM287" i="1"/>
  <c r="AN287" i="1"/>
  <c r="AP287" i="1"/>
  <c r="AQ287" i="1"/>
  <c r="AS287" i="1"/>
  <c r="AT287" i="1"/>
  <c r="AJ288" i="1"/>
  <c r="AK288" i="1"/>
  <c r="AM288" i="1"/>
  <c r="AN288" i="1"/>
  <c r="AP288" i="1"/>
  <c r="AQ288" i="1"/>
  <c r="AS288" i="1"/>
  <c r="AT288" i="1"/>
  <c r="AJ291" i="1"/>
  <c r="AK291" i="1"/>
  <c r="AM291" i="1"/>
  <c r="AN291" i="1"/>
  <c r="AP291" i="1"/>
  <c r="AQ291" i="1"/>
  <c r="AS291" i="1"/>
  <c r="AT291" i="1"/>
  <c r="AJ292" i="1"/>
  <c r="AK292" i="1"/>
  <c r="AM292" i="1"/>
  <c r="AN292" i="1"/>
  <c r="AP292" i="1"/>
  <c r="AQ292" i="1"/>
  <c r="AS292" i="1"/>
  <c r="AT292" i="1"/>
  <c r="AJ293" i="1"/>
  <c r="AK293" i="1"/>
  <c r="AM293" i="1"/>
  <c r="AN293" i="1"/>
  <c r="AP293" i="1"/>
  <c r="AQ293" i="1"/>
  <c r="AS293" i="1"/>
  <c r="AT293" i="1"/>
  <c r="AJ294" i="1"/>
  <c r="AK294" i="1"/>
  <c r="AM294" i="1"/>
  <c r="AN294" i="1"/>
  <c r="AP294" i="1"/>
  <c r="AQ294" i="1"/>
  <c r="AS294" i="1"/>
  <c r="AT294" i="1"/>
  <c r="AJ295" i="1"/>
  <c r="AK295" i="1"/>
  <c r="AM295" i="1"/>
  <c r="AN295" i="1"/>
  <c r="AP295" i="1"/>
  <c r="AQ295" i="1"/>
  <c r="AS295" i="1"/>
  <c r="AT295" i="1"/>
  <c r="AJ296" i="1"/>
  <c r="AK296" i="1"/>
  <c r="AM296" i="1"/>
  <c r="AN296" i="1"/>
  <c r="AP296" i="1"/>
  <c r="AQ296" i="1"/>
  <c r="AS296" i="1"/>
  <c r="AT296" i="1"/>
  <c r="AJ297" i="1"/>
  <c r="AK297" i="1"/>
  <c r="AM297" i="1"/>
  <c r="AN297" i="1"/>
  <c r="AP297" i="1"/>
  <c r="AQ297" i="1"/>
  <c r="AS297" i="1"/>
  <c r="AT297" i="1"/>
  <c r="AJ298" i="1"/>
  <c r="AK298" i="1"/>
  <c r="AM298" i="1"/>
  <c r="AN298" i="1"/>
  <c r="AP298" i="1"/>
  <c r="AQ298" i="1"/>
  <c r="AS298" i="1"/>
  <c r="AT298" i="1"/>
  <c r="AJ299" i="1"/>
  <c r="AK299" i="1"/>
  <c r="AM299" i="1"/>
  <c r="AN299" i="1"/>
  <c r="AP299" i="1"/>
  <c r="AQ299" i="1"/>
  <c r="AS299" i="1"/>
  <c r="AT299" i="1"/>
  <c r="AJ300" i="1"/>
  <c r="AK300" i="1"/>
  <c r="AM300" i="1"/>
  <c r="AN300" i="1"/>
  <c r="AP300" i="1"/>
  <c r="AQ300" i="1"/>
  <c r="AS300" i="1"/>
  <c r="AT300" i="1"/>
  <c r="AJ301" i="1"/>
  <c r="AK301" i="1"/>
  <c r="AM301" i="1"/>
  <c r="AN301" i="1"/>
  <c r="AP301" i="1"/>
  <c r="AQ301" i="1"/>
  <c r="AS301" i="1"/>
  <c r="AT301" i="1"/>
  <c r="AJ302" i="1"/>
  <c r="AK302" i="1"/>
  <c r="AM302" i="1"/>
  <c r="AN302" i="1"/>
  <c r="AP302" i="1"/>
  <c r="AQ302" i="1"/>
  <c r="AS302" i="1"/>
  <c r="AT302" i="1"/>
  <c r="AJ303" i="1"/>
  <c r="AK303" i="1"/>
  <c r="AM303" i="1"/>
  <c r="AN303" i="1"/>
  <c r="AP303" i="1"/>
  <c r="AQ303" i="1"/>
  <c r="AS303" i="1"/>
  <c r="AT303" i="1"/>
  <c r="AJ304" i="1"/>
  <c r="AK304" i="1"/>
  <c r="AM304" i="1"/>
  <c r="AN304" i="1"/>
  <c r="AP304" i="1"/>
  <c r="AQ304" i="1"/>
  <c r="AS304" i="1"/>
  <c r="AT304" i="1"/>
  <c r="AJ305" i="1"/>
  <c r="AK305" i="1"/>
  <c r="AM305" i="1"/>
  <c r="AN305" i="1"/>
  <c r="AP305" i="1"/>
  <c r="AQ305" i="1"/>
  <c r="AS305" i="1"/>
  <c r="AT305" i="1"/>
  <c r="AJ306" i="1"/>
  <c r="AK306" i="1"/>
  <c r="AM306" i="1"/>
  <c r="AN306" i="1"/>
  <c r="AP306" i="1"/>
  <c r="AQ306" i="1"/>
  <c r="AS306" i="1"/>
  <c r="AT306" i="1"/>
  <c r="AJ307" i="1"/>
  <c r="AK307" i="1"/>
  <c r="AM307" i="1"/>
  <c r="AN307" i="1"/>
  <c r="AP307" i="1"/>
  <c r="AQ307" i="1"/>
  <c r="AS307" i="1"/>
  <c r="AT307" i="1"/>
  <c r="AJ308" i="1"/>
  <c r="AK308" i="1"/>
  <c r="AM308" i="1"/>
  <c r="AN308" i="1"/>
  <c r="AP308" i="1"/>
  <c r="AQ308" i="1"/>
  <c r="AS308" i="1"/>
  <c r="AT308" i="1"/>
  <c r="AJ309" i="1"/>
  <c r="AK309" i="1"/>
  <c r="AM309" i="1"/>
  <c r="AN309" i="1"/>
  <c r="AP309" i="1"/>
  <c r="AQ309" i="1"/>
  <c r="AS309" i="1"/>
  <c r="AT309" i="1"/>
  <c r="AJ310" i="1"/>
  <c r="AK310" i="1"/>
  <c r="AM310" i="1"/>
  <c r="AN310" i="1"/>
  <c r="AP310" i="1"/>
  <c r="AQ310" i="1"/>
  <c r="AS310" i="1"/>
  <c r="AT310" i="1"/>
  <c r="AJ311" i="1"/>
  <c r="AK311" i="1"/>
  <c r="AM311" i="1"/>
  <c r="AN311" i="1"/>
  <c r="AP311" i="1"/>
  <c r="AQ311" i="1"/>
  <c r="AS311" i="1"/>
  <c r="AT311" i="1"/>
  <c r="AJ312" i="1"/>
  <c r="AK312" i="1"/>
  <c r="AM312" i="1"/>
  <c r="AN312" i="1"/>
  <c r="AP312" i="1"/>
  <c r="AQ312" i="1"/>
  <c r="AS312" i="1"/>
  <c r="AT312" i="1"/>
  <c r="AJ313" i="1"/>
  <c r="AK313" i="1"/>
  <c r="AM313" i="1"/>
  <c r="AN313" i="1"/>
  <c r="AP313" i="1"/>
  <c r="AQ313" i="1"/>
  <c r="AS313" i="1"/>
  <c r="AT313" i="1"/>
  <c r="AJ314" i="1"/>
  <c r="AK314" i="1"/>
  <c r="AM314" i="1"/>
  <c r="AN314" i="1"/>
  <c r="AP314" i="1"/>
  <c r="AQ314" i="1"/>
  <c r="AS314" i="1"/>
  <c r="AT314" i="1"/>
  <c r="AJ315" i="1"/>
  <c r="AK315" i="1"/>
  <c r="AM315" i="1"/>
  <c r="AN315" i="1"/>
  <c r="AP315" i="1"/>
  <c r="AQ315" i="1"/>
  <c r="AS315" i="1"/>
  <c r="AT315" i="1"/>
  <c r="AJ316" i="1"/>
  <c r="AK316" i="1"/>
  <c r="AM316" i="1"/>
  <c r="AN316" i="1"/>
  <c r="AP316" i="1"/>
  <c r="AQ316" i="1"/>
  <c r="AS316" i="1"/>
  <c r="AT316" i="1"/>
  <c r="AJ317" i="1"/>
  <c r="AK317" i="1"/>
  <c r="AM317" i="1"/>
  <c r="AN317" i="1"/>
  <c r="AP317" i="1"/>
  <c r="AQ317" i="1"/>
  <c r="AS317" i="1"/>
  <c r="AT317" i="1"/>
  <c r="AJ318" i="1"/>
  <c r="AK318" i="1"/>
  <c r="AM318" i="1"/>
  <c r="AN318" i="1"/>
  <c r="AP318" i="1"/>
  <c r="AQ318" i="1"/>
  <c r="AS318" i="1"/>
  <c r="AT318" i="1"/>
  <c r="AJ319" i="1"/>
  <c r="AK319" i="1"/>
  <c r="AM319" i="1"/>
  <c r="AN319" i="1"/>
  <c r="AP319" i="1"/>
  <c r="AQ319" i="1"/>
  <c r="AS319" i="1"/>
  <c r="AT319" i="1"/>
  <c r="AJ320" i="1"/>
  <c r="AK320" i="1"/>
  <c r="AM320" i="1"/>
  <c r="AN320" i="1"/>
  <c r="AP320" i="1"/>
  <c r="AQ320" i="1"/>
  <c r="AS320" i="1"/>
  <c r="AT320" i="1"/>
  <c r="AJ321" i="1"/>
  <c r="AK321" i="1"/>
  <c r="AM321" i="1"/>
  <c r="AN321" i="1"/>
  <c r="AP321" i="1"/>
  <c r="AQ321" i="1"/>
  <c r="AS321" i="1"/>
  <c r="AT321" i="1"/>
  <c r="AJ322" i="1"/>
  <c r="AK322" i="1"/>
  <c r="AM322" i="1"/>
  <c r="AN322" i="1"/>
  <c r="AP322" i="1"/>
  <c r="AQ322" i="1"/>
  <c r="AS322" i="1"/>
  <c r="AT322" i="1"/>
  <c r="AJ323" i="1"/>
  <c r="AK323" i="1"/>
  <c r="AM323" i="1"/>
  <c r="AN323" i="1"/>
  <c r="AP323" i="1"/>
  <c r="AQ323" i="1"/>
  <c r="AS323" i="1"/>
  <c r="AT323" i="1"/>
  <c r="AJ324" i="1"/>
  <c r="AK324" i="1"/>
  <c r="AM324" i="1"/>
  <c r="AN324" i="1"/>
  <c r="AP324" i="1"/>
  <c r="AQ324" i="1"/>
  <c r="AS324" i="1"/>
  <c r="AT324" i="1"/>
  <c r="AJ325" i="1"/>
  <c r="AK325" i="1"/>
  <c r="AM325" i="1"/>
  <c r="AN325" i="1"/>
  <c r="AP325" i="1"/>
  <c r="AQ325" i="1"/>
  <c r="AS325" i="1"/>
  <c r="AT325" i="1"/>
  <c r="AJ326" i="1"/>
  <c r="AK326" i="1"/>
  <c r="AM326" i="1"/>
  <c r="AN326" i="1"/>
  <c r="AP326" i="1"/>
  <c r="AQ326" i="1"/>
  <c r="AS326" i="1"/>
  <c r="AT326" i="1"/>
  <c r="AJ327" i="1"/>
  <c r="AK327" i="1"/>
  <c r="AM327" i="1"/>
  <c r="AN327" i="1"/>
  <c r="AP327" i="1"/>
  <c r="AQ327" i="1"/>
  <c r="AS327" i="1"/>
  <c r="AT327" i="1"/>
  <c r="AJ328" i="1"/>
  <c r="AK328" i="1"/>
  <c r="AM328" i="1"/>
  <c r="AN328" i="1"/>
  <c r="AP328" i="1"/>
  <c r="AQ328" i="1"/>
  <c r="AS328" i="1"/>
  <c r="AT328" i="1"/>
  <c r="AJ329" i="1"/>
  <c r="AK329" i="1"/>
  <c r="AM329" i="1"/>
  <c r="AN329" i="1"/>
  <c r="AP329" i="1"/>
  <c r="AQ329" i="1"/>
  <c r="AS329" i="1"/>
  <c r="AT329" i="1"/>
  <c r="AJ330" i="1"/>
  <c r="AK330" i="1"/>
  <c r="AM330" i="1"/>
  <c r="AN330" i="1"/>
  <c r="AP330" i="1"/>
  <c r="AQ330" i="1"/>
  <c r="AS330" i="1"/>
  <c r="AT330" i="1"/>
  <c r="AJ331" i="1"/>
  <c r="AK331" i="1"/>
  <c r="AM331" i="1"/>
  <c r="AN331" i="1"/>
  <c r="AP331" i="1"/>
  <c r="AQ331" i="1"/>
  <c r="AS331" i="1"/>
  <c r="AT331" i="1"/>
  <c r="AJ332" i="1"/>
  <c r="AK332" i="1"/>
  <c r="AM332" i="1"/>
  <c r="AN332" i="1"/>
  <c r="AP332" i="1"/>
  <c r="AQ332" i="1"/>
  <c r="AS332" i="1"/>
  <c r="AT332" i="1"/>
  <c r="AJ333" i="1"/>
  <c r="AK333" i="1"/>
  <c r="AM333" i="1"/>
  <c r="AN333" i="1"/>
  <c r="AP333" i="1"/>
  <c r="AQ333" i="1"/>
  <c r="AS333" i="1"/>
  <c r="AT333" i="1"/>
  <c r="AJ334" i="1"/>
  <c r="AK334" i="1"/>
  <c r="AM334" i="1"/>
  <c r="AN334" i="1"/>
  <c r="AP334" i="1"/>
  <c r="AQ334" i="1"/>
  <c r="AS334" i="1"/>
  <c r="AT334" i="1"/>
  <c r="AJ335" i="1"/>
  <c r="AK335" i="1"/>
  <c r="AM335" i="1"/>
  <c r="AN335" i="1"/>
  <c r="AP335" i="1"/>
  <c r="AQ335" i="1"/>
  <c r="AS335" i="1"/>
  <c r="AT335" i="1"/>
  <c r="AJ336" i="1"/>
  <c r="AK336" i="1"/>
  <c r="AM336" i="1"/>
  <c r="AN336" i="1"/>
  <c r="AP336" i="1"/>
  <c r="AQ336" i="1"/>
  <c r="AS336" i="1"/>
  <c r="AT336" i="1"/>
  <c r="AJ337" i="1"/>
  <c r="AK337" i="1"/>
  <c r="AM337" i="1"/>
  <c r="AN337" i="1"/>
  <c r="AP337" i="1"/>
  <c r="AQ337" i="1"/>
  <c r="AS337" i="1"/>
  <c r="AT337" i="1"/>
  <c r="AJ338" i="1"/>
  <c r="AK338" i="1"/>
  <c r="AM338" i="1"/>
  <c r="AN338" i="1"/>
  <c r="AP338" i="1"/>
  <c r="AQ338" i="1"/>
  <c r="AS338" i="1"/>
  <c r="AT338" i="1"/>
  <c r="AJ340" i="1"/>
  <c r="AK340" i="1"/>
  <c r="AM340" i="1"/>
  <c r="AN340" i="1"/>
  <c r="AP340" i="1"/>
  <c r="AQ340" i="1"/>
  <c r="AS340" i="1"/>
  <c r="AT340" i="1"/>
  <c r="AJ341" i="1"/>
  <c r="AK341" i="1"/>
  <c r="AM341" i="1"/>
  <c r="AN341" i="1"/>
  <c r="AP341" i="1"/>
  <c r="AQ341" i="1"/>
  <c r="AS341" i="1"/>
  <c r="AT341" i="1"/>
  <c r="AJ342" i="1"/>
  <c r="AK342" i="1"/>
  <c r="AM342" i="1"/>
  <c r="AN342" i="1"/>
  <c r="AP342" i="1"/>
  <c r="AQ342" i="1"/>
  <c r="AS342" i="1"/>
  <c r="AT342" i="1"/>
  <c r="AJ343" i="1"/>
  <c r="AK343" i="1"/>
  <c r="AM343" i="1"/>
  <c r="AN343" i="1"/>
  <c r="AP343" i="1"/>
  <c r="AQ343" i="1"/>
  <c r="AS343" i="1"/>
  <c r="AT343" i="1"/>
  <c r="AJ344" i="1"/>
  <c r="AK344" i="1"/>
  <c r="AM344" i="1"/>
  <c r="AN344" i="1"/>
  <c r="AP344" i="1"/>
  <c r="AQ344" i="1"/>
  <c r="AS344" i="1"/>
  <c r="AT344" i="1"/>
  <c r="AJ345" i="1"/>
  <c r="AK345" i="1"/>
  <c r="AM345" i="1"/>
  <c r="AN345" i="1"/>
  <c r="AP345" i="1"/>
  <c r="AQ345" i="1"/>
  <c r="AS345" i="1"/>
  <c r="AT345" i="1"/>
  <c r="AJ346" i="1"/>
  <c r="AK346" i="1"/>
  <c r="AM346" i="1"/>
  <c r="AN346" i="1"/>
  <c r="AP346" i="1"/>
  <c r="AQ346" i="1"/>
  <c r="AS346" i="1"/>
  <c r="AT346" i="1"/>
  <c r="AJ347" i="1"/>
  <c r="AK347" i="1"/>
  <c r="AM347" i="1"/>
  <c r="AN347" i="1"/>
  <c r="AP347" i="1"/>
  <c r="AQ347" i="1"/>
  <c r="AS347" i="1"/>
  <c r="AT347" i="1"/>
  <c r="AJ348" i="1"/>
  <c r="AK348" i="1"/>
  <c r="AM348" i="1"/>
  <c r="AN348" i="1"/>
  <c r="AP348" i="1"/>
  <c r="AQ348" i="1"/>
  <c r="AS348" i="1"/>
  <c r="AT348" i="1"/>
  <c r="AJ349" i="1"/>
  <c r="AK349" i="1"/>
  <c r="AM349" i="1"/>
  <c r="AN349" i="1"/>
  <c r="AP349" i="1"/>
  <c r="AQ349" i="1"/>
  <c r="AS349" i="1"/>
  <c r="AT349" i="1"/>
  <c r="AJ350" i="1"/>
  <c r="AK350" i="1"/>
  <c r="AM350" i="1"/>
  <c r="AN350" i="1"/>
  <c r="AP350" i="1"/>
  <c r="AQ350" i="1"/>
  <c r="AS350" i="1"/>
  <c r="AT350" i="1"/>
  <c r="AJ351" i="1"/>
  <c r="AK351" i="1"/>
  <c r="AM351" i="1"/>
  <c r="AN351" i="1"/>
  <c r="AP351" i="1"/>
  <c r="AQ351" i="1"/>
  <c r="AS351" i="1"/>
  <c r="AT351" i="1"/>
  <c r="AJ352" i="1"/>
  <c r="AK352" i="1"/>
  <c r="AM352" i="1"/>
  <c r="AN352" i="1"/>
  <c r="AP352" i="1"/>
  <c r="AQ352" i="1"/>
  <c r="AS352" i="1"/>
  <c r="AT352" i="1"/>
  <c r="AJ353" i="1"/>
  <c r="AK353" i="1"/>
  <c r="AM353" i="1"/>
  <c r="AN353" i="1"/>
  <c r="AP353" i="1"/>
  <c r="AQ353" i="1"/>
  <c r="AS353" i="1"/>
  <c r="AT353" i="1"/>
  <c r="AJ354" i="1"/>
  <c r="AK354" i="1"/>
  <c r="AM354" i="1"/>
  <c r="AN354" i="1"/>
  <c r="AP354" i="1"/>
  <c r="AQ354" i="1"/>
  <c r="AS354" i="1"/>
  <c r="AT354" i="1"/>
  <c r="AJ355" i="1"/>
  <c r="AK355" i="1"/>
  <c r="AM355" i="1"/>
  <c r="AN355" i="1"/>
  <c r="AP355" i="1"/>
  <c r="AQ355" i="1"/>
  <c r="AS355" i="1"/>
  <c r="AT355" i="1"/>
  <c r="AJ356" i="1"/>
  <c r="AK356" i="1"/>
  <c r="AM356" i="1"/>
  <c r="AN356" i="1"/>
  <c r="AP356" i="1"/>
  <c r="AQ356" i="1"/>
  <c r="AS356" i="1"/>
  <c r="AT356" i="1"/>
  <c r="AJ357" i="1"/>
  <c r="AK357" i="1"/>
  <c r="AM357" i="1"/>
  <c r="AN357" i="1"/>
  <c r="AP357" i="1"/>
  <c r="AQ357" i="1"/>
  <c r="AS357" i="1"/>
  <c r="AT357" i="1"/>
  <c r="AJ358" i="1"/>
  <c r="AK358" i="1"/>
  <c r="AM358" i="1"/>
  <c r="AN358" i="1"/>
  <c r="AP358" i="1"/>
  <c r="AQ358" i="1"/>
  <c r="AS358" i="1"/>
  <c r="AT358" i="1"/>
  <c r="AJ359" i="1"/>
  <c r="AK359" i="1"/>
  <c r="AM359" i="1"/>
  <c r="AN359" i="1"/>
  <c r="AP359" i="1"/>
  <c r="AQ359" i="1"/>
  <c r="AS359" i="1"/>
  <c r="AT359" i="1"/>
  <c r="AJ360" i="1"/>
  <c r="AK360" i="1"/>
  <c r="AM360" i="1"/>
  <c r="AN360" i="1"/>
  <c r="AP360" i="1"/>
  <c r="AQ360" i="1"/>
  <c r="AS360" i="1"/>
  <c r="AT360" i="1"/>
  <c r="AJ361" i="1"/>
  <c r="AK361" i="1"/>
  <c r="AM361" i="1"/>
  <c r="AN361" i="1"/>
  <c r="AP361" i="1"/>
  <c r="AQ361" i="1"/>
  <c r="AS361" i="1"/>
  <c r="AT361" i="1"/>
  <c r="AJ362" i="1"/>
  <c r="AK362" i="1"/>
  <c r="AM362" i="1"/>
  <c r="AN362" i="1"/>
  <c r="AP362" i="1"/>
  <c r="AQ362" i="1"/>
  <c r="AS362" i="1"/>
  <c r="AT362" i="1"/>
  <c r="AJ363" i="1"/>
  <c r="AK363" i="1"/>
  <c r="AM363" i="1"/>
  <c r="AN363" i="1"/>
  <c r="AP363" i="1"/>
  <c r="AQ363" i="1"/>
  <c r="AS363" i="1"/>
  <c r="AT363" i="1"/>
  <c r="AJ364" i="1"/>
  <c r="AK364" i="1"/>
  <c r="AM364" i="1"/>
  <c r="AN364" i="1"/>
  <c r="AP364" i="1"/>
  <c r="AQ364" i="1"/>
  <c r="AS364" i="1"/>
  <c r="AT364" i="1"/>
  <c r="AJ365" i="1"/>
  <c r="AK365" i="1"/>
  <c r="AM365" i="1"/>
  <c r="AN365" i="1"/>
  <c r="AP365" i="1"/>
  <c r="AQ365" i="1"/>
  <c r="AS365" i="1"/>
  <c r="AT365" i="1"/>
  <c r="AJ366" i="1"/>
  <c r="AK366" i="1"/>
  <c r="AM366" i="1"/>
  <c r="AN366" i="1"/>
  <c r="AP366" i="1"/>
  <c r="AQ366" i="1"/>
  <c r="AS366" i="1"/>
  <c r="AT366" i="1"/>
  <c r="AJ367" i="1"/>
  <c r="AK367" i="1"/>
  <c r="AM367" i="1"/>
  <c r="AN367" i="1"/>
  <c r="AP367" i="1"/>
  <c r="AQ367" i="1"/>
  <c r="AS367" i="1"/>
  <c r="AT367" i="1"/>
  <c r="AJ368" i="1"/>
  <c r="AK368" i="1"/>
  <c r="AM368" i="1"/>
  <c r="AN368" i="1"/>
  <c r="AP368" i="1"/>
  <c r="AQ368" i="1"/>
  <c r="AS368" i="1"/>
  <c r="AT368" i="1"/>
  <c r="AJ369" i="1"/>
  <c r="AK369" i="1"/>
  <c r="AM369" i="1"/>
  <c r="AN369" i="1"/>
  <c r="AP369" i="1"/>
  <c r="AQ369" i="1"/>
  <c r="AS369" i="1"/>
  <c r="AT369" i="1"/>
  <c r="AJ370" i="1"/>
  <c r="AK370" i="1"/>
  <c r="AM370" i="1"/>
  <c r="AN370" i="1"/>
  <c r="AP370" i="1"/>
  <c r="AQ370" i="1"/>
  <c r="AS370" i="1"/>
  <c r="AT370" i="1"/>
  <c r="AJ371" i="1"/>
  <c r="AK371" i="1"/>
  <c r="AM371" i="1"/>
  <c r="AN371" i="1"/>
  <c r="AP371" i="1"/>
  <c r="AQ371" i="1"/>
  <c r="AS371" i="1"/>
  <c r="AT371" i="1"/>
  <c r="AJ372" i="1"/>
  <c r="AK372" i="1"/>
  <c r="AM372" i="1"/>
  <c r="AN372" i="1"/>
  <c r="AP372" i="1"/>
  <c r="AQ372" i="1"/>
  <c r="AS372" i="1"/>
  <c r="AT372" i="1"/>
  <c r="AJ373" i="1"/>
  <c r="AK373" i="1"/>
  <c r="AM373" i="1"/>
  <c r="AN373" i="1"/>
  <c r="AP373" i="1"/>
  <c r="AQ373" i="1"/>
  <c r="AS373" i="1"/>
  <c r="AT373" i="1"/>
  <c r="AJ374" i="1"/>
  <c r="AK374" i="1"/>
  <c r="AM374" i="1"/>
  <c r="AN374" i="1"/>
  <c r="AP374" i="1"/>
  <c r="AQ374" i="1"/>
  <c r="AS374" i="1"/>
  <c r="AT374" i="1"/>
  <c r="AJ375" i="1"/>
  <c r="AK375" i="1"/>
  <c r="AM375" i="1"/>
  <c r="AN375" i="1"/>
  <c r="AP375" i="1"/>
  <c r="AQ375" i="1"/>
  <c r="AS375" i="1"/>
  <c r="AT375" i="1"/>
  <c r="AJ376" i="1"/>
  <c r="AK376" i="1"/>
  <c r="AM376" i="1"/>
  <c r="AN376" i="1"/>
  <c r="AP376" i="1"/>
  <c r="AQ376" i="1"/>
  <c r="AS376" i="1"/>
  <c r="AT376" i="1"/>
  <c r="AJ377" i="1"/>
  <c r="AK377" i="1"/>
  <c r="AM377" i="1"/>
  <c r="AN377" i="1"/>
  <c r="AP377" i="1"/>
  <c r="AQ377" i="1"/>
  <c r="AS377" i="1"/>
  <c r="AT377" i="1"/>
  <c r="AJ378" i="1"/>
  <c r="AK378" i="1"/>
  <c r="AM378" i="1"/>
  <c r="AN378" i="1"/>
  <c r="AP378" i="1"/>
  <c r="AQ378" i="1"/>
  <c r="AS378" i="1"/>
  <c r="AT378" i="1"/>
  <c r="AJ379" i="1"/>
  <c r="AK379" i="1"/>
  <c r="AM379" i="1"/>
  <c r="AN379" i="1"/>
  <c r="AP379" i="1"/>
  <c r="AQ379" i="1"/>
  <c r="AS379" i="1"/>
  <c r="AT379" i="1"/>
  <c r="AJ380" i="1"/>
  <c r="AK380" i="1"/>
  <c r="AM380" i="1"/>
  <c r="AN380" i="1"/>
  <c r="AP380" i="1"/>
  <c r="AQ380" i="1"/>
  <c r="AS380" i="1"/>
  <c r="AT380" i="1"/>
  <c r="AJ381" i="1"/>
  <c r="AK381" i="1"/>
  <c r="AM381" i="1"/>
  <c r="AN381" i="1"/>
  <c r="AP381" i="1"/>
  <c r="AQ381" i="1"/>
  <c r="AS381" i="1"/>
  <c r="AT381" i="1"/>
  <c r="AJ382" i="1"/>
  <c r="AK382" i="1"/>
  <c r="AM382" i="1"/>
  <c r="AN382" i="1"/>
  <c r="AP382" i="1"/>
  <c r="AQ382" i="1"/>
  <c r="AS382" i="1"/>
  <c r="AT382" i="1"/>
  <c r="AJ383" i="1"/>
  <c r="AK383" i="1"/>
  <c r="AM383" i="1"/>
  <c r="AN383" i="1"/>
  <c r="AP383" i="1"/>
  <c r="AQ383" i="1"/>
  <c r="AS383" i="1"/>
  <c r="AT383" i="1"/>
  <c r="AJ384" i="1"/>
  <c r="AK384" i="1"/>
  <c r="AM384" i="1"/>
  <c r="AN384" i="1"/>
  <c r="AP384" i="1"/>
  <c r="AQ384" i="1"/>
  <c r="AS384" i="1"/>
  <c r="AT384" i="1"/>
  <c r="AJ385" i="1"/>
  <c r="AK385" i="1"/>
  <c r="AM385" i="1"/>
  <c r="AN385" i="1"/>
  <c r="AP385" i="1"/>
  <c r="AQ385" i="1"/>
  <c r="AS385" i="1"/>
  <c r="AT385" i="1"/>
  <c r="AJ386" i="1"/>
  <c r="AK386" i="1"/>
  <c r="AM386" i="1"/>
  <c r="AN386" i="1"/>
  <c r="AP386" i="1"/>
  <c r="AQ386" i="1"/>
  <c r="AS386" i="1"/>
  <c r="AT386" i="1"/>
  <c r="AJ387" i="1"/>
  <c r="AK387" i="1"/>
  <c r="AM387" i="1"/>
  <c r="AN387" i="1"/>
  <c r="AP387" i="1"/>
  <c r="AQ387" i="1"/>
  <c r="AS387" i="1"/>
  <c r="AT387" i="1"/>
  <c r="AJ388" i="1"/>
  <c r="AK388" i="1"/>
  <c r="AM388" i="1"/>
  <c r="AN388" i="1"/>
  <c r="AP388" i="1"/>
  <c r="AQ388" i="1"/>
  <c r="AS388" i="1"/>
  <c r="AT388" i="1"/>
  <c r="AJ389" i="1"/>
  <c r="AK389" i="1"/>
  <c r="AM389" i="1"/>
  <c r="AN389" i="1"/>
  <c r="AP389" i="1"/>
  <c r="AQ389" i="1"/>
  <c r="AS389" i="1"/>
  <c r="AT389" i="1"/>
  <c r="AJ390" i="1"/>
  <c r="AK390" i="1"/>
  <c r="AM390" i="1"/>
  <c r="AN390" i="1"/>
  <c r="AP390" i="1"/>
  <c r="AQ390" i="1"/>
  <c r="AS390" i="1"/>
  <c r="AT390" i="1"/>
  <c r="AJ391" i="1"/>
  <c r="AK391" i="1"/>
  <c r="AM391" i="1"/>
  <c r="AN391" i="1"/>
  <c r="AP391" i="1"/>
  <c r="AQ391" i="1"/>
  <c r="AS391" i="1"/>
  <c r="AT391" i="1"/>
  <c r="AJ392" i="1"/>
  <c r="AK392" i="1"/>
  <c r="AM392" i="1"/>
  <c r="AN392" i="1"/>
  <c r="AP392" i="1"/>
  <c r="AQ392" i="1"/>
  <c r="AS392" i="1"/>
  <c r="AT392" i="1"/>
  <c r="AJ393" i="1"/>
  <c r="AK393" i="1"/>
  <c r="AM393" i="1"/>
  <c r="AN393" i="1"/>
  <c r="AP393" i="1"/>
  <c r="AQ393" i="1"/>
  <c r="AS393" i="1"/>
  <c r="AT393" i="1"/>
  <c r="AJ394" i="1"/>
  <c r="AK394" i="1"/>
  <c r="AM394" i="1"/>
  <c r="AN394" i="1"/>
  <c r="AP394" i="1"/>
  <c r="AQ394" i="1"/>
  <c r="AS394" i="1"/>
  <c r="AT394" i="1"/>
  <c r="AJ395" i="1"/>
  <c r="AK395" i="1"/>
  <c r="AM395" i="1"/>
  <c r="AN395" i="1"/>
  <c r="AP395" i="1"/>
  <c r="AQ395" i="1"/>
  <c r="AS395" i="1"/>
  <c r="AT395" i="1"/>
  <c r="AJ396" i="1"/>
  <c r="AK396" i="1"/>
  <c r="AM396" i="1"/>
  <c r="AN396" i="1"/>
  <c r="AP396" i="1"/>
  <c r="AQ396" i="1"/>
  <c r="AS396" i="1"/>
  <c r="AT396" i="1"/>
  <c r="AJ397" i="1"/>
  <c r="AK397" i="1"/>
  <c r="AM397" i="1"/>
  <c r="AN397" i="1"/>
  <c r="AP397" i="1"/>
  <c r="AQ397" i="1"/>
  <c r="AS397" i="1"/>
  <c r="AT397" i="1"/>
  <c r="AJ398" i="1"/>
  <c r="AK398" i="1"/>
  <c r="AM398" i="1"/>
  <c r="AN398" i="1"/>
  <c r="AP398" i="1"/>
  <c r="AQ398" i="1"/>
  <c r="AS398" i="1"/>
  <c r="AT398" i="1"/>
  <c r="AJ399" i="1"/>
  <c r="AK399" i="1"/>
  <c r="AM399" i="1"/>
  <c r="AN399" i="1"/>
  <c r="AP399" i="1"/>
  <c r="AQ399" i="1"/>
  <c r="AS399" i="1"/>
  <c r="AT399" i="1"/>
  <c r="AJ400" i="1"/>
  <c r="AK400" i="1"/>
  <c r="AM400" i="1"/>
  <c r="AN400" i="1"/>
  <c r="AP400" i="1"/>
  <c r="AQ400" i="1"/>
  <c r="AS400" i="1"/>
  <c r="AT400" i="1"/>
  <c r="AJ401" i="1"/>
  <c r="AK401" i="1"/>
  <c r="AM401" i="1"/>
  <c r="AN401" i="1"/>
  <c r="AP401" i="1"/>
  <c r="AQ401" i="1"/>
  <c r="AS401" i="1"/>
  <c r="AT401" i="1"/>
  <c r="AJ402" i="1"/>
  <c r="AK402" i="1"/>
  <c r="AM402" i="1"/>
  <c r="AN402" i="1"/>
  <c r="AP402" i="1"/>
  <c r="AQ402" i="1"/>
  <c r="AS402" i="1"/>
  <c r="AT402" i="1"/>
  <c r="AJ403" i="1"/>
  <c r="AK403" i="1"/>
  <c r="AM403" i="1"/>
  <c r="AN403" i="1"/>
  <c r="AP403" i="1"/>
  <c r="AQ403" i="1"/>
  <c r="AS403" i="1"/>
  <c r="AT403" i="1"/>
  <c r="AT9" i="1"/>
  <c r="AS9" i="1"/>
  <c r="AQ9" i="1"/>
  <c r="AP9" i="1"/>
  <c r="AN9" i="1"/>
  <c r="AM9" i="1"/>
  <c r="AK9" i="1"/>
  <c r="AJ9" i="1"/>
  <c r="O403" i="1"/>
  <c r="P403" i="1"/>
  <c r="R403" i="1"/>
  <c r="S403" i="1"/>
  <c r="U403" i="1"/>
  <c r="V403" i="1"/>
  <c r="X403" i="1"/>
  <c r="Y403" i="1"/>
  <c r="AA403" i="1"/>
  <c r="AB403" i="1"/>
  <c r="AD403" i="1"/>
  <c r="AE403" i="1"/>
  <c r="O10" i="1"/>
  <c r="P10" i="1"/>
  <c r="R10" i="1"/>
  <c r="S10" i="1"/>
  <c r="U10" i="1"/>
  <c r="V10" i="1"/>
  <c r="X10" i="1"/>
  <c r="Y10" i="1"/>
  <c r="AA10" i="1"/>
  <c r="AB10" i="1"/>
  <c r="AD10" i="1"/>
  <c r="AE10" i="1"/>
  <c r="O11" i="1"/>
  <c r="P11" i="1"/>
  <c r="R11" i="1"/>
  <c r="S11" i="1"/>
  <c r="U11" i="1"/>
  <c r="V11" i="1"/>
  <c r="X11" i="1"/>
  <c r="Y11" i="1"/>
  <c r="AA11" i="1"/>
  <c r="AB11" i="1"/>
  <c r="AD11" i="1"/>
  <c r="AE11" i="1"/>
  <c r="O12" i="1"/>
  <c r="P12" i="1"/>
  <c r="R12" i="1"/>
  <c r="S12" i="1"/>
  <c r="U12" i="1"/>
  <c r="V12" i="1"/>
  <c r="X12" i="1"/>
  <c r="Y12" i="1"/>
  <c r="AA12" i="1"/>
  <c r="AB12" i="1"/>
  <c r="AD12" i="1"/>
  <c r="AE12" i="1"/>
  <c r="O13" i="1"/>
  <c r="P13" i="1"/>
  <c r="R13" i="1"/>
  <c r="S13" i="1"/>
  <c r="U13" i="1"/>
  <c r="V13" i="1"/>
  <c r="X13" i="1"/>
  <c r="Y13" i="1"/>
  <c r="AA13" i="1"/>
  <c r="AB13" i="1"/>
  <c r="AD13" i="1"/>
  <c r="AE13" i="1"/>
  <c r="O14" i="1"/>
  <c r="P14" i="1"/>
  <c r="R14" i="1"/>
  <c r="S14" i="1"/>
  <c r="U14" i="1"/>
  <c r="V14" i="1"/>
  <c r="X14" i="1"/>
  <c r="Y14" i="1"/>
  <c r="AA14" i="1"/>
  <c r="AB14" i="1"/>
  <c r="AD14" i="1"/>
  <c r="AE14" i="1"/>
  <c r="O18" i="1"/>
  <c r="P18" i="1"/>
  <c r="R18" i="1"/>
  <c r="S18" i="1"/>
  <c r="U18" i="1"/>
  <c r="V18" i="1"/>
  <c r="X18" i="1"/>
  <c r="Y18" i="1"/>
  <c r="AA18" i="1"/>
  <c r="AB18" i="1"/>
  <c r="AD18" i="1"/>
  <c r="AE18" i="1"/>
  <c r="O19" i="1"/>
  <c r="P19" i="1"/>
  <c r="R19" i="1"/>
  <c r="S19" i="1"/>
  <c r="U19" i="1"/>
  <c r="V19" i="1"/>
  <c r="X19" i="1"/>
  <c r="Y19" i="1"/>
  <c r="AA19" i="1"/>
  <c r="AB19" i="1"/>
  <c r="AD19" i="1"/>
  <c r="AE19" i="1"/>
  <c r="O20" i="1"/>
  <c r="P20" i="1"/>
  <c r="R20" i="1"/>
  <c r="S20" i="1"/>
  <c r="U20" i="1"/>
  <c r="V20" i="1"/>
  <c r="X20" i="1"/>
  <c r="Y20" i="1"/>
  <c r="AA20" i="1"/>
  <c r="AB20" i="1"/>
  <c r="AD20" i="1"/>
  <c r="AE20" i="1"/>
  <c r="O21" i="1"/>
  <c r="P21" i="1"/>
  <c r="R21" i="1"/>
  <c r="S21" i="1"/>
  <c r="U21" i="1"/>
  <c r="V21" i="1"/>
  <c r="X21" i="1"/>
  <c r="Y21" i="1"/>
  <c r="AA21" i="1"/>
  <c r="AB21" i="1"/>
  <c r="AD21" i="1"/>
  <c r="AE21" i="1"/>
  <c r="O22" i="1"/>
  <c r="P22" i="1"/>
  <c r="R22" i="1"/>
  <c r="S22" i="1"/>
  <c r="U22" i="1"/>
  <c r="V22" i="1"/>
  <c r="X22" i="1"/>
  <c r="Y22" i="1"/>
  <c r="AA22" i="1"/>
  <c r="AB22" i="1"/>
  <c r="AD22" i="1"/>
  <c r="AE22" i="1"/>
  <c r="O23" i="1"/>
  <c r="P23" i="1"/>
  <c r="R23" i="1"/>
  <c r="S23" i="1"/>
  <c r="U23" i="1"/>
  <c r="V23" i="1"/>
  <c r="X23" i="1"/>
  <c r="Y23" i="1"/>
  <c r="AA23" i="1"/>
  <c r="AB23" i="1"/>
  <c r="AD23" i="1"/>
  <c r="AE23" i="1"/>
  <c r="O24" i="1"/>
  <c r="P24" i="1"/>
  <c r="R24" i="1"/>
  <c r="S24" i="1"/>
  <c r="U24" i="1"/>
  <c r="V24" i="1"/>
  <c r="X24" i="1"/>
  <c r="Y24" i="1"/>
  <c r="AA24" i="1"/>
  <c r="AB24" i="1"/>
  <c r="AD24" i="1"/>
  <c r="AE24" i="1"/>
  <c r="O25" i="1"/>
  <c r="P25" i="1"/>
  <c r="R25" i="1"/>
  <c r="S25" i="1"/>
  <c r="U25" i="1"/>
  <c r="V25" i="1"/>
  <c r="X25" i="1"/>
  <c r="Y25" i="1"/>
  <c r="AA25" i="1"/>
  <c r="AB25" i="1"/>
  <c r="AD25" i="1"/>
  <c r="AE25" i="1"/>
  <c r="O26" i="1"/>
  <c r="P26" i="1"/>
  <c r="R26" i="1"/>
  <c r="S26" i="1"/>
  <c r="U26" i="1"/>
  <c r="V26" i="1"/>
  <c r="X26" i="1"/>
  <c r="Y26" i="1"/>
  <c r="AA26" i="1"/>
  <c r="AB26" i="1"/>
  <c r="AD26" i="1"/>
  <c r="AE26" i="1"/>
  <c r="O27" i="1"/>
  <c r="P27" i="1"/>
  <c r="R27" i="1"/>
  <c r="S27" i="1"/>
  <c r="U27" i="1"/>
  <c r="V27" i="1"/>
  <c r="X27" i="1"/>
  <c r="Y27" i="1"/>
  <c r="AA27" i="1"/>
  <c r="AB27" i="1"/>
  <c r="AD27" i="1"/>
  <c r="AE27" i="1"/>
  <c r="O28" i="1"/>
  <c r="P28" i="1"/>
  <c r="R28" i="1"/>
  <c r="S28" i="1"/>
  <c r="U28" i="1"/>
  <c r="V28" i="1"/>
  <c r="X28" i="1"/>
  <c r="Y28" i="1"/>
  <c r="AA28" i="1"/>
  <c r="AB28" i="1"/>
  <c r="AD28" i="1"/>
  <c r="AE28" i="1"/>
  <c r="O29" i="1"/>
  <c r="P29" i="1"/>
  <c r="R29" i="1"/>
  <c r="S29" i="1"/>
  <c r="U29" i="1"/>
  <c r="V29" i="1"/>
  <c r="X29" i="1"/>
  <c r="Y29" i="1"/>
  <c r="AA29" i="1"/>
  <c r="AB29" i="1"/>
  <c r="AD29" i="1"/>
  <c r="AE29" i="1"/>
  <c r="O30" i="1"/>
  <c r="P30" i="1"/>
  <c r="R30" i="1"/>
  <c r="S30" i="1"/>
  <c r="U30" i="1"/>
  <c r="V30" i="1"/>
  <c r="X30" i="1"/>
  <c r="Y30" i="1"/>
  <c r="AA30" i="1"/>
  <c r="AB30" i="1"/>
  <c r="AD30" i="1"/>
  <c r="AE30" i="1"/>
  <c r="O31" i="1"/>
  <c r="P31" i="1"/>
  <c r="R31" i="1"/>
  <c r="S31" i="1"/>
  <c r="U31" i="1"/>
  <c r="V31" i="1"/>
  <c r="X31" i="1"/>
  <c r="Y31" i="1"/>
  <c r="AA31" i="1"/>
  <c r="AB31" i="1"/>
  <c r="AD31" i="1"/>
  <c r="AE31" i="1"/>
  <c r="O32" i="1"/>
  <c r="P32" i="1"/>
  <c r="R32" i="1"/>
  <c r="S32" i="1"/>
  <c r="U32" i="1"/>
  <c r="V32" i="1"/>
  <c r="X32" i="1"/>
  <c r="Y32" i="1"/>
  <c r="AA32" i="1"/>
  <c r="AB32" i="1"/>
  <c r="AD32" i="1"/>
  <c r="AE32" i="1"/>
  <c r="O35" i="1"/>
  <c r="P35" i="1"/>
  <c r="R35" i="1"/>
  <c r="S35" i="1"/>
  <c r="U35" i="1"/>
  <c r="V35" i="1"/>
  <c r="X35" i="1"/>
  <c r="Y35" i="1"/>
  <c r="AA35" i="1"/>
  <c r="AB35" i="1"/>
  <c r="AD35" i="1"/>
  <c r="AE35" i="1"/>
  <c r="O36" i="1"/>
  <c r="P36" i="1"/>
  <c r="R36" i="1"/>
  <c r="S36" i="1"/>
  <c r="U36" i="1"/>
  <c r="V36" i="1"/>
  <c r="X36" i="1"/>
  <c r="Y36" i="1"/>
  <c r="AA36" i="1"/>
  <c r="AB36" i="1"/>
  <c r="AD36" i="1"/>
  <c r="AE36" i="1"/>
  <c r="O37" i="1"/>
  <c r="P37" i="1"/>
  <c r="R37" i="1"/>
  <c r="S37" i="1"/>
  <c r="U37" i="1"/>
  <c r="V37" i="1"/>
  <c r="X37" i="1"/>
  <c r="Y37" i="1"/>
  <c r="AA37" i="1"/>
  <c r="AB37" i="1"/>
  <c r="AD37" i="1"/>
  <c r="AE37" i="1"/>
  <c r="O39" i="1"/>
  <c r="P39" i="1"/>
  <c r="R39" i="1"/>
  <c r="S39" i="1"/>
  <c r="U39" i="1"/>
  <c r="V39" i="1"/>
  <c r="X39" i="1"/>
  <c r="Y39" i="1"/>
  <c r="AA39" i="1"/>
  <c r="AB39" i="1"/>
  <c r="AD39" i="1"/>
  <c r="AE39" i="1"/>
  <c r="O40" i="1"/>
  <c r="P40" i="1"/>
  <c r="R40" i="1"/>
  <c r="S40" i="1"/>
  <c r="U40" i="1"/>
  <c r="V40" i="1"/>
  <c r="X40" i="1"/>
  <c r="Y40" i="1"/>
  <c r="AA40" i="1"/>
  <c r="AB40" i="1"/>
  <c r="AD40" i="1"/>
  <c r="AE40" i="1"/>
  <c r="O41" i="1"/>
  <c r="P41" i="1"/>
  <c r="R41" i="1"/>
  <c r="S41" i="1"/>
  <c r="U41" i="1"/>
  <c r="V41" i="1"/>
  <c r="X41" i="1"/>
  <c r="Y41" i="1"/>
  <c r="AA41" i="1"/>
  <c r="AB41" i="1"/>
  <c r="AD41" i="1"/>
  <c r="AE41" i="1"/>
  <c r="O42" i="1"/>
  <c r="P42" i="1"/>
  <c r="R42" i="1"/>
  <c r="S42" i="1"/>
  <c r="U42" i="1"/>
  <c r="V42" i="1"/>
  <c r="X42" i="1"/>
  <c r="Y42" i="1"/>
  <c r="AA42" i="1"/>
  <c r="AB42" i="1"/>
  <c r="AD42" i="1"/>
  <c r="AE42" i="1"/>
  <c r="O43" i="1"/>
  <c r="P43" i="1"/>
  <c r="R43" i="1"/>
  <c r="S43" i="1"/>
  <c r="U43" i="1"/>
  <c r="V43" i="1"/>
  <c r="X43" i="1"/>
  <c r="Y43" i="1"/>
  <c r="AA43" i="1"/>
  <c r="AB43" i="1"/>
  <c r="AD43" i="1"/>
  <c r="AE43" i="1"/>
  <c r="O44" i="1"/>
  <c r="P44" i="1"/>
  <c r="R44" i="1"/>
  <c r="S44" i="1"/>
  <c r="U44" i="1"/>
  <c r="V44" i="1"/>
  <c r="X44" i="1"/>
  <c r="Y44" i="1"/>
  <c r="AA44" i="1"/>
  <c r="AB44" i="1"/>
  <c r="AD44" i="1"/>
  <c r="AE44" i="1"/>
  <c r="O45" i="1"/>
  <c r="P45" i="1"/>
  <c r="R45" i="1"/>
  <c r="S45" i="1"/>
  <c r="U45" i="1"/>
  <c r="V45" i="1"/>
  <c r="X45" i="1"/>
  <c r="Y45" i="1"/>
  <c r="AA45" i="1"/>
  <c r="AB45" i="1"/>
  <c r="AD45" i="1"/>
  <c r="AE45" i="1"/>
  <c r="O46" i="1"/>
  <c r="P46" i="1"/>
  <c r="R46" i="1"/>
  <c r="S46" i="1"/>
  <c r="U46" i="1"/>
  <c r="V46" i="1"/>
  <c r="X46" i="1"/>
  <c r="Y46" i="1"/>
  <c r="AA46" i="1"/>
  <c r="AB46" i="1"/>
  <c r="AD46" i="1"/>
  <c r="AE46" i="1"/>
  <c r="O47" i="1"/>
  <c r="P47" i="1"/>
  <c r="R47" i="1"/>
  <c r="S47" i="1"/>
  <c r="U47" i="1"/>
  <c r="V47" i="1"/>
  <c r="X47" i="1"/>
  <c r="Y47" i="1"/>
  <c r="AA47" i="1"/>
  <c r="AB47" i="1"/>
  <c r="AD47" i="1"/>
  <c r="AE47" i="1"/>
  <c r="O48" i="1"/>
  <c r="P48" i="1"/>
  <c r="R48" i="1"/>
  <c r="S48" i="1"/>
  <c r="U48" i="1"/>
  <c r="V48" i="1"/>
  <c r="X48" i="1"/>
  <c r="Y48" i="1"/>
  <c r="AA48" i="1"/>
  <c r="AB48" i="1"/>
  <c r="AD48" i="1"/>
  <c r="AE48" i="1"/>
  <c r="O49" i="1"/>
  <c r="P49" i="1"/>
  <c r="R49" i="1"/>
  <c r="S49" i="1"/>
  <c r="U49" i="1"/>
  <c r="V49" i="1"/>
  <c r="X49" i="1"/>
  <c r="Y49" i="1"/>
  <c r="AA49" i="1"/>
  <c r="AB49" i="1"/>
  <c r="AD49" i="1"/>
  <c r="AE49" i="1"/>
  <c r="O50" i="1"/>
  <c r="P50" i="1"/>
  <c r="R50" i="1"/>
  <c r="S50" i="1"/>
  <c r="U50" i="1"/>
  <c r="V50" i="1"/>
  <c r="X50" i="1"/>
  <c r="Y50" i="1"/>
  <c r="AA50" i="1"/>
  <c r="AB50" i="1"/>
  <c r="AD50" i="1"/>
  <c r="AE50" i="1"/>
  <c r="O51" i="1"/>
  <c r="P51" i="1"/>
  <c r="R51" i="1"/>
  <c r="S51" i="1"/>
  <c r="U51" i="1"/>
  <c r="V51" i="1"/>
  <c r="X51" i="1"/>
  <c r="Y51" i="1"/>
  <c r="AA51" i="1"/>
  <c r="AB51" i="1"/>
  <c r="AD51" i="1"/>
  <c r="AE51" i="1"/>
  <c r="O52" i="1"/>
  <c r="P52" i="1"/>
  <c r="R52" i="1"/>
  <c r="S52" i="1"/>
  <c r="U52" i="1"/>
  <c r="V52" i="1"/>
  <c r="X52" i="1"/>
  <c r="Y52" i="1"/>
  <c r="AA52" i="1"/>
  <c r="AB52" i="1"/>
  <c r="AD52" i="1"/>
  <c r="AE52" i="1"/>
  <c r="O53" i="1"/>
  <c r="P53" i="1"/>
  <c r="R53" i="1"/>
  <c r="S53" i="1"/>
  <c r="U53" i="1"/>
  <c r="V53" i="1"/>
  <c r="X53" i="1"/>
  <c r="Y53" i="1"/>
  <c r="AA53" i="1"/>
  <c r="AB53" i="1"/>
  <c r="AD53" i="1"/>
  <c r="AE53" i="1"/>
  <c r="O54" i="1"/>
  <c r="P54" i="1"/>
  <c r="R54" i="1"/>
  <c r="S54" i="1"/>
  <c r="U54" i="1"/>
  <c r="V54" i="1"/>
  <c r="X54" i="1"/>
  <c r="Y54" i="1"/>
  <c r="AA54" i="1"/>
  <c r="AB54" i="1"/>
  <c r="AD54" i="1"/>
  <c r="AE54" i="1"/>
  <c r="O55" i="1"/>
  <c r="P55" i="1"/>
  <c r="R55" i="1"/>
  <c r="S55" i="1"/>
  <c r="U55" i="1"/>
  <c r="V55" i="1"/>
  <c r="X55" i="1"/>
  <c r="Y55" i="1"/>
  <c r="AA55" i="1"/>
  <c r="AB55" i="1"/>
  <c r="AD55" i="1"/>
  <c r="AE55" i="1"/>
  <c r="O56" i="1"/>
  <c r="P56" i="1"/>
  <c r="R56" i="1"/>
  <c r="S56" i="1"/>
  <c r="U56" i="1"/>
  <c r="V56" i="1"/>
  <c r="X56" i="1"/>
  <c r="Y56" i="1"/>
  <c r="AA56" i="1"/>
  <c r="AB56" i="1"/>
  <c r="AD56" i="1"/>
  <c r="AE56" i="1"/>
  <c r="O57" i="1"/>
  <c r="P57" i="1"/>
  <c r="R57" i="1"/>
  <c r="S57" i="1"/>
  <c r="U57" i="1"/>
  <c r="V57" i="1"/>
  <c r="X57" i="1"/>
  <c r="Y57" i="1"/>
  <c r="AA57" i="1"/>
  <c r="AB57" i="1"/>
  <c r="AD57" i="1"/>
  <c r="AE57" i="1"/>
  <c r="O58" i="1"/>
  <c r="P58" i="1"/>
  <c r="R58" i="1"/>
  <c r="S58" i="1"/>
  <c r="U58" i="1"/>
  <c r="V58" i="1"/>
  <c r="X58" i="1"/>
  <c r="Y58" i="1"/>
  <c r="AA58" i="1"/>
  <c r="AB58" i="1"/>
  <c r="AD58" i="1"/>
  <c r="AE58" i="1"/>
  <c r="O59" i="1"/>
  <c r="P59" i="1"/>
  <c r="R59" i="1"/>
  <c r="S59" i="1"/>
  <c r="U59" i="1"/>
  <c r="V59" i="1"/>
  <c r="X59" i="1"/>
  <c r="Y59" i="1"/>
  <c r="AA59" i="1"/>
  <c r="AB59" i="1"/>
  <c r="AD59" i="1"/>
  <c r="AE59" i="1"/>
  <c r="O60" i="1"/>
  <c r="P60" i="1"/>
  <c r="R60" i="1"/>
  <c r="S60" i="1"/>
  <c r="U60" i="1"/>
  <c r="V60" i="1"/>
  <c r="X60" i="1"/>
  <c r="Y60" i="1"/>
  <c r="AA60" i="1"/>
  <c r="AB60" i="1"/>
  <c r="AD60" i="1"/>
  <c r="AE60" i="1"/>
  <c r="O61" i="1"/>
  <c r="P61" i="1"/>
  <c r="R61" i="1"/>
  <c r="S61" i="1"/>
  <c r="U61" i="1"/>
  <c r="V61" i="1"/>
  <c r="X61" i="1"/>
  <c r="Y61" i="1"/>
  <c r="AA61" i="1"/>
  <c r="AB61" i="1"/>
  <c r="AD61" i="1"/>
  <c r="AE61" i="1"/>
  <c r="O62" i="1"/>
  <c r="P62" i="1"/>
  <c r="R62" i="1"/>
  <c r="S62" i="1"/>
  <c r="U62" i="1"/>
  <c r="V62" i="1"/>
  <c r="X62" i="1"/>
  <c r="Y62" i="1"/>
  <c r="AA62" i="1"/>
  <c r="AB62" i="1"/>
  <c r="AD62" i="1"/>
  <c r="AE62" i="1"/>
  <c r="O63" i="1"/>
  <c r="P63" i="1"/>
  <c r="R63" i="1"/>
  <c r="S63" i="1"/>
  <c r="U63" i="1"/>
  <c r="V63" i="1"/>
  <c r="X63" i="1"/>
  <c r="Y63" i="1"/>
  <c r="AA63" i="1"/>
  <c r="AB63" i="1"/>
  <c r="AD63" i="1"/>
  <c r="AE63" i="1"/>
  <c r="O64" i="1"/>
  <c r="P64" i="1"/>
  <c r="R64" i="1"/>
  <c r="S64" i="1"/>
  <c r="U64" i="1"/>
  <c r="V64" i="1"/>
  <c r="X64" i="1"/>
  <c r="Y64" i="1"/>
  <c r="AA64" i="1"/>
  <c r="AB64" i="1"/>
  <c r="AD64" i="1"/>
  <c r="AE64" i="1"/>
  <c r="O65" i="1"/>
  <c r="P65" i="1"/>
  <c r="R65" i="1"/>
  <c r="S65" i="1"/>
  <c r="U65" i="1"/>
  <c r="V65" i="1"/>
  <c r="X65" i="1"/>
  <c r="Y65" i="1"/>
  <c r="AA65" i="1"/>
  <c r="AB65" i="1"/>
  <c r="AD65" i="1"/>
  <c r="AE65" i="1"/>
  <c r="O66" i="1"/>
  <c r="P66" i="1"/>
  <c r="R66" i="1"/>
  <c r="S66" i="1"/>
  <c r="U66" i="1"/>
  <c r="V66" i="1"/>
  <c r="X66" i="1"/>
  <c r="Y66" i="1"/>
  <c r="AA66" i="1"/>
  <c r="AB66" i="1"/>
  <c r="AD66" i="1"/>
  <c r="AE66" i="1"/>
  <c r="O68" i="1"/>
  <c r="P68" i="1"/>
  <c r="R68" i="1"/>
  <c r="S68" i="1"/>
  <c r="U68" i="1"/>
  <c r="V68" i="1"/>
  <c r="X68" i="1"/>
  <c r="Y68" i="1"/>
  <c r="AA68" i="1"/>
  <c r="AB68" i="1"/>
  <c r="AD68" i="1"/>
  <c r="AE68" i="1"/>
  <c r="O69" i="1"/>
  <c r="P69" i="1"/>
  <c r="R69" i="1"/>
  <c r="S69" i="1"/>
  <c r="U69" i="1"/>
  <c r="V69" i="1"/>
  <c r="X69" i="1"/>
  <c r="Y69" i="1"/>
  <c r="AA69" i="1"/>
  <c r="AB69" i="1"/>
  <c r="AD69" i="1"/>
  <c r="AE69" i="1"/>
  <c r="O70" i="1"/>
  <c r="P70" i="1"/>
  <c r="R70" i="1"/>
  <c r="S70" i="1"/>
  <c r="U70" i="1"/>
  <c r="V70" i="1"/>
  <c r="X70" i="1"/>
  <c r="Y70" i="1"/>
  <c r="AA70" i="1"/>
  <c r="AB70" i="1"/>
  <c r="AD70" i="1"/>
  <c r="AE70" i="1"/>
  <c r="O71" i="1"/>
  <c r="P71" i="1"/>
  <c r="R71" i="1"/>
  <c r="S71" i="1"/>
  <c r="U71" i="1"/>
  <c r="V71" i="1"/>
  <c r="X71" i="1"/>
  <c r="Y71" i="1"/>
  <c r="AA71" i="1"/>
  <c r="AB71" i="1"/>
  <c r="AD71" i="1"/>
  <c r="AE71" i="1"/>
  <c r="O72" i="1"/>
  <c r="P72" i="1"/>
  <c r="R72" i="1"/>
  <c r="S72" i="1"/>
  <c r="U72" i="1"/>
  <c r="V72" i="1"/>
  <c r="X72" i="1"/>
  <c r="Y72" i="1"/>
  <c r="AA72" i="1"/>
  <c r="AB72" i="1"/>
  <c r="AD72" i="1"/>
  <c r="AE72" i="1"/>
  <c r="O73" i="1"/>
  <c r="P73" i="1"/>
  <c r="R73" i="1"/>
  <c r="S73" i="1"/>
  <c r="U73" i="1"/>
  <c r="V73" i="1"/>
  <c r="X73" i="1"/>
  <c r="Y73" i="1"/>
  <c r="AA73" i="1"/>
  <c r="AB73" i="1"/>
  <c r="AD73" i="1"/>
  <c r="AE73" i="1"/>
  <c r="O76" i="1"/>
  <c r="P76" i="1"/>
  <c r="R76" i="1"/>
  <c r="S76" i="1"/>
  <c r="U76" i="1"/>
  <c r="V76" i="1"/>
  <c r="X76" i="1"/>
  <c r="Y76" i="1"/>
  <c r="AA76" i="1"/>
  <c r="AB76" i="1"/>
  <c r="AD76" i="1"/>
  <c r="AE76" i="1"/>
  <c r="O78" i="1"/>
  <c r="P78" i="1"/>
  <c r="R78" i="1"/>
  <c r="S78" i="1"/>
  <c r="U78" i="1"/>
  <c r="V78" i="1"/>
  <c r="X78" i="1"/>
  <c r="Y78" i="1"/>
  <c r="AA78" i="1"/>
  <c r="AB78" i="1"/>
  <c r="AD78" i="1"/>
  <c r="AE78" i="1"/>
  <c r="O79" i="1"/>
  <c r="P79" i="1"/>
  <c r="R79" i="1"/>
  <c r="S79" i="1"/>
  <c r="U79" i="1"/>
  <c r="V79" i="1"/>
  <c r="X79" i="1"/>
  <c r="Y79" i="1"/>
  <c r="AA79" i="1"/>
  <c r="AB79" i="1"/>
  <c r="AD79" i="1"/>
  <c r="AE79" i="1"/>
  <c r="O81" i="1"/>
  <c r="P81" i="1"/>
  <c r="R81" i="1"/>
  <c r="S81" i="1"/>
  <c r="U81" i="1"/>
  <c r="V81" i="1"/>
  <c r="X81" i="1"/>
  <c r="Y81" i="1"/>
  <c r="AA81" i="1"/>
  <c r="AB81" i="1"/>
  <c r="AD81" i="1"/>
  <c r="AE81" i="1"/>
  <c r="O82" i="1"/>
  <c r="P82" i="1"/>
  <c r="R82" i="1"/>
  <c r="S82" i="1"/>
  <c r="U82" i="1"/>
  <c r="V82" i="1"/>
  <c r="X82" i="1"/>
  <c r="Y82" i="1"/>
  <c r="AA82" i="1"/>
  <c r="AB82" i="1"/>
  <c r="AD82" i="1"/>
  <c r="AE82" i="1"/>
  <c r="O83" i="1"/>
  <c r="P83" i="1"/>
  <c r="R83" i="1"/>
  <c r="S83" i="1"/>
  <c r="U83" i="1"/>
  <c r="V83" i="1"/>
  <c r="X83" i="1"/>
  <c r="Y83" i="1"/>
  <c r="AA83" i="1"/>
  <c r="AB83" i="1"/>
  <c r="AD83" i="1"/>
  <c r="AE83" i="1"/>
  <c r="O84" i="1"/>
  <c r="P84" i="1"/>
  <c r="R84" i="1"/>
  <c r="S84" i="1"/>
  <c r="U84" i="1"/>
  <c r="V84" i="1"/>
  <c r="X84" i="1"/>
  <c r="Y84" i="1"/>
  <c r="AA84" i="1"/>
  <c r="AB84" i="1"/>
  <c r="AD84" i="1"/>
  <c r="AE84" i="1"/>
  <c r="O85" i="1"/>
  <c r="P85" i="1"/>
  <c r="R85" i="1"/>
  <c r="S85" i="1"/>
  <c r="U85" i="1"/>
  <c r="V85" i="1"/>
  <c r="X85" i="1"/>
  <c r="Y85" i="1"/>
  <c r="AA85" i="1"/>
  <c r="AB85" i="1"/>
  <c r="AD85" i="1"/>
  <c r="AE85" i="1"/>
  <c r="O86" i="1"/>
  <c r="P86" i="1"/>
  <c r="R86" i="1"/>
  <c r="S86" i="1"/>
  <c r="U86" i="1"/>
  <c r="V86" i="1"/>
  <c r="X86" i="1"/>
  <c r="Y86" i="1"/>
  <c r="AA86" i="1"/>
  <c r="AB86" i="1"/>
  <c r="AD86" i="1"/>
  <c r="AE86" i="1"/>
  <c r="O87" i="1"/>
  <c r="P87" i="1"/>
  <c r="R87" i="1"/>
  <c r="S87" i="1"/>
  <c r="U87" i="1"/>
  <c r="V87" i="1"/>
  <c r="X87" i="1"/>
  <c r="Y87" i="1"/>
  <c r="AA87" i="1"/>
  <c r="AB87" i="1"/>
  <c r="AD87" i="1"/>
  <c r="AE87" i="1"/>
  <c r="O88" i="1"/>
  <c r="P88" i="1"/>
  <c r="R88" i="1"/>
  <c r="S88" i="1"/>
  <c r="U88" i="1"/>
  <c r="V88" i="1"/>
  <c r="X88" i="1"/>
  <c r="Y88" i="1"/>
  <c r="AA88" i="1"/>
  <c r="AB88" i="1"/>
  <c r="AD88" i="1"/>
  <c r="AE88" i="1"/>
  <c r="O89" i="1"/>
  <c r="P89" i="1"/>
  <c r="R89" i="1"/>
  <c r="S89" i="1"/>
  <c r="U89" i="1"/>
  <c r="V89" i="1"/>
  <c r="X89" i="1"/>
  <c r="Y89" i="1"/>
  <c r="AA89" i="1"/>
  <c r="AB89" i="1"/>
  <c r="AD89" i="1"/>
  <c r="AE89" i="1"/>
  <c r="O90" i="1"/>
  <c r="P90" i="1"/>
  <c r="R90" i="1"/>
  <c r="S90" i="1"/>
  <c r="U90" i="1"/>
  <c r="V90" i="1"/>
  <c r="X90" i="1"/>
  <c r="Y90" i="1"/>
  <c r="AA90" i="1"/>
  <c r="AB90" i="1"/>
  <c r="AD90" i="1"/>
  <c r="AE90" i="1"/>
  <c r="O93" i="1"/>
  <c r="P93" i="1"/>
  <c r="R93" i="1"/>
  <c r="S93" i="1"/>
  <c r="U93" i="1"/>
  <c r="V93" i="1"/>
  <c r="X93" i="1"/>
  <c r="Y93" i="1"/>
  <c r="AA93" i="1"/>
  <c r="AB93" i="1"/>
  <c r="AD93" i="1"/>
  <c r="AE93" i="1"/>
  <c r="O94" i="1"/>
  <c r="P94" i="1"/>
  <c r="R94" i="1"/>
  <c r="S94" i="1"/>
  <c r="U94" i="1"/>
  <c r="V94" i="1"/>
  <c r="X94" i="1"/>
  <c r="Y94" i="1"/>
  <c r="AA94" i="1"/>
  <c r="AB94" i="1"/>
  <c r="AD94" i="1"/>
  <c r="AE94" i="1"/>
  <c r="O96" i="1"/>
  <c r="P96" i="1"/>
  <c r="R96" i="1"/>
  <c r="S96" i="1"/>
  <c r="U96" i="1"/>
  <c r="V96" i="1"/>
  <c r="X96" i="1"/>
  <c r="Y96" i="1"/>
  <c r="AA96" i="1"/>
  <c r="AB96" i="1"/>
  <c r="AD96" i="1"/>
  <c r="AE96" i="1"/>
  <c r="O97" i="1"/>
  <c r="P97" i="1"/>
  <c r="R97" i="1"/>
  <c r="S97" i="1"/>
  <c r="U97" i="1"/>
  <c r="V97" i="1"/>
  <c r="X97" i="1"/>
  <c r="Y97" i="1"/>
  <c r="AA97" i="1"/>
  <c r="AB97" i="1"/>
  <c r="AD97" i="1"/>
  <c r="AE97" i="1"/>
  <c r="O98" i="1"/>
  <c r="P98" i="1"/>
  <c r="R98" i="1"/>
  <c r="S98" i="1"/>
  <c r="U98" i="1"/>
  <c r="V98" i="1"/>
  <c r="X98" i="1"/>
  <c r="Y98" i="1"/>
  <c r="AA98" i="1"/>
  <c r="AB98" i="1"/>
  <c r="AD98" i="1"/>
  <c r="AE98" i="1"/>
  <c r="O99" i="1"/>
  <c r="P99" i="1"/>
  <c r="R99" i="1"/>
  <c r="S99" i="1"/>
  <c r="U99" i="1"/>
  <c r="V99" i="1"/>
  <c r="X99" i="1"/>
  <c r="Y99" i="1"/>
  <c r="AA99" i="1"/>
  <c r="AB99" i="1"/>
  <c r="AD99" i="1"/>
  <c r="AE99" i="1"/>
  <c r="O100" i="1"/>
  <c r="P100" i="1"/>
  <c r="R100" i="1"/>
  <c r="S100" i="1"/>
  <c r="U100" i="1"/>
  <c r="V100" i="1"/>
  <c r="X100" i="1"/>
  <c r="Y100" i="1"/>
  <c r="AA100" i="1"/>
  <c r="AB100" i="1"/>
  <c r="AD100" i="1"/>
  <c r="AE100" i="1"/>
  <c r="O101" i="1"/>
  <c r="P101" i="1"/>
  <c r="R101" i="1"/>
  <c r="S101" i="1"/>
  <c r="U101" i="1"/>
  <c r="V101" i="1"/>
  <c r="X101" i="1"/>
  <c r="Y101" i="1"/>
  <c r="AA101" i="1"/>
  <c r="AB101" i="1"/>
  <c r="AD101" i="1"/>
  <c r="AE101" i="1"/>
  <c r="O102" i="1"/>
  <c r="P102" i="1"/>
  <c r="R102" i="1"/>
  <c r="S102" i="1"/>
  <c r="U102" i="1"/>
  <c r="V102" i="1"/>
  <c r="X102" i="1"/>
  <c r="Y102" i="1"/>
  <c r="AA102" i="1"/>
  <c r="AB102" i="1"/>
  <c r="AD102" i="1"/>
  <c r="AE102" i="1"/>
  <c r="O103" i="1"/>
  <c r="P103" i="1"/>
  <c r="R103" i="1"/>
  <c r="S103" i="1"/>
  <c r="U103" i="1"/>
  <c r="V103" i="1"/>
  <c r="X103" i="1"/>
  <c r="Y103" i="1"/>
  <c r="AA103" i="1"/>
  <c r="AB103" i="1"/>
  <c r="AD103" i="1"/>
  <c r="AE103" i="1"/>
  <c r="O104" i="1"/>
  <c r="P104" i="1"/>
  <c r="R104" i="1"/>
  <c r="S104" i="1"/>
  <c r="U104" i="1"/>
  <c r="V104" i="1"/>
  <c r="X104" i="1"/>
  <c r="Y104" i="1"/>
  <c r="AA104" i="1"/>
  <c r="AB104" i="1"/>
  <c r="AD104" i="1"/>
  <c r="AE104" i="1"/>
  <c r="O105" i="1"/>
  <c r="P105" i="1"/>
  <c r="R105" i="1"/>
  <c r="S105" i="1"/>
  <c r="U105" i="1"/>
  <c r="V105" i="1"/>
  <c r="X105" i="1"/>
  <c r="Y105" i="1"/>
  <c r="AA105" i="1"/>
  <c r="AB105" i="1"/>
  <c r="AD105" i="1"/>
  <c r="AE105" i="1"/>
  <c r="O107" i="1"/>
  <c r="P107" i="1"/>
  <c r="R107" i="1"/>
  <c r="S107" i="1"/>
  <c r="U107" i="1"/>
  <c r="V107" i="1"/>
  <c r="X107" i="1"/>
  <c r="Y107" i="1"/>
  <c r="AA107" i="1"/>
  <c r="AB107" i="1"/>
  <c r="AD107" i="1"/>
  <c r="AE107" i="1"/>
  <c r="O108" i="1"/>
  <c r="P108" i="1"/>
  <c r="R108" i="1"/>
  <c r="S108" i="1"/>
  <c r="U108" i="1"/>
  <c r="V108" i="1"/>
  <c r="X108" i="1"/>
  <c r="Y108" i="1"/>
  <c r="AA108" i="1"/>
  <c r="AB108" i="1"/>
  <c r="AD108" i="1"/>
  <c r="AE108" i="1"/>
  <c r="O110" i="1"/>
  <c r="P110" i="1"/>
  <c r="R110" i="1"/>
  <c r="S110" i="1"/>
  <c r="U110" i="1"/>
  <c r="V110" i="1"/>
  <c r="X110" i="1"/>
  <c r="Y110" i="1"/>
  <c r="AA110" i="1"/>
  <c r="AB110" i="1"/>
  <c r="AD110" i="1"/>
  <c r="AE110" i="1"/>
  <c r="O111" i="1"/>
  <c r="P111" i="1"/>
  <c r="R111" i="1"/>
  <c r="S111" i="1"/>
  <c r="U111" i="1"/>
  <c r="V111" i="1"/>
  <c r="X111" i="1"/>
  <c r="Y111" i="1"/>
  <c r="AA111" i="1"/>
  <c r="AB111" i="1"/>
  <c r="AD111" i="1"/>
  <c r="AE111" i="1"/>
  <c r="O112" i="1"/>
  <c r="P112" i="1"/>
  <c r="R112" i="1"/>
  <c r="S112" i="1"/>
  <c r="U112" i="1"/>
  <c r="V112" i="1"/>
  <c r="X112" i="1"/>
  <c r="Y112" i="1"/>
  <c r="AA112" i="1"/>
  <c r="AB112" i="1"/>
  <c r="AD112" i="1"/>
  <c r="AE112" i="1"/>
  <c r="O113" i="1"/>
  <c r="P113" i="1"/>
  <c r="R113" i="1"/>
  <c r="S113" i="1"/>
  <c r="U113" i="1"/>
  <c r="V113" i="1"/>
  <c r="X113" i="1"/>
  <c r="Y113" i="1"/>
  <c r="AA113" i="1"/>
  <c r="AB113" i="1"/>
  <c r="AD113" i="1"/>
  <c r="AE113" i="1"/>
  <c r="O114" i="1"/>
  <c r="P114" i="1"/>
  <c r="R114" i="1"/>
  <c r="S114" i="1"/>
  <c r="U114" i="1"/>
  <c r="V114" i="1"/>
  <c r="X114" i="1"/>
  <c r="Y114" i="1"/>
  <c r="AA114" i="1"/>
  <c r="AB114" i="1"/>
  <c r="AD114" i="1"/>
  <c r="AE114" i="1"/>
  <c r="O115" i="1"/>
  <c r="P115" i="1"/>
  <c r="R115" i="1"/>
  <c r="S115" i="1"/>
  <c r="U115" i="1"/>
  <c r="V115" i="1"/>
  <c r="X115" i="1"/>
  <c r="Y115" i="1"/>
  <c r="AA115" i="1"/>
  <c r="AB115" i="1"/>
  <c r="AD115" i="1"/>
  <c r="AE115" i="1"/>
  <c r="O116" i="1"/>
  <c r="P116" i="1"/>
  <c r="R116" i="1"/>
  <c r="S116" i="1"/>
  <c r="U116" i="1"/>
  <c r="V116" i="1"/>
  <c r="X116" i="1"/>
  <c r="Y116" i="1"/>
  <c r="AA116" i="1"/>
  <c r="AB116" i="1"/>
  <c r="AD116" i="1"/>
  <c r="AE116" i="1"/>
  <c r="O117" i="1"/>
  <c r="P117" i="1"/>
  <c r="R117" i="1"/>
  <c r="S117" i="1"/>
  <c r="U117" i="1"/>
  <c r="V117" i="1"/>
  <c r="X117" i="1"/>
  <c r="Y117" i="1"/>
  <c r="AA117" i="1"/>
  <c r="AB117" i="1"/>
  <c r="AD117" i="1"/>
  <c r="AE117" i="1"/>
  <c r="O118" i="1"/>
  <c r="P118" i="1"/>
  <c r="R118" i="1"/>
  <c r="S118" i="1"/>
  <c r="U118" i="1"/>
  <c r="V118" i="1"/>
  <c r="X118" i="1"/>
  <c r="Y118" i="1"/>
  <c r="AA118" i="1"/>
  <c r="AB118" i="1"/>
  <c r="AD118" i="1"/>
  <c r="AE118" i="1"/>
  <c r="O119" i="1"/>
  <c r="P119" i="1"/>
  <c r="R119" i="1"/>
  <c r="S119" i="1"/>
  <c r="U119" i="1"/>
  <c r="V119" i="1"/>
  <c r="X119" i="1"/>
  <c r="Y119" i="1"/>
  <c r="AA119" i="1"/>
  <c r="AB119" i="1"/>
  <c r="AD119" i="1"/>
  <c r="AE119" i="1"/>
  <c r="O120" i="1"/>
  <c r="P120" i="1"/>
  <c r="R120" i="1"/>
  <c r="S120" i="1"/>
  <c r="U120" i="1"/>
  <c r="V120" i="1"/>
  <c r="X120" i="1"/>
  <c r="Y120" i="1"/>
  <c r="AA120" i="1"/>
  <c r="AB120" i="1"/>
  <c r="AD120" i="1"/>
  <c r="AE120" i="1"/>
  <c r="O121" i="1"/>
  <c r="P121" i="1"/>
  <c r="R121" i="1"/>
  <c r="S121" i="1"/>
  <c r="U121" i="1"/>
  <c r="V121" i="1"/>
  <c r="X121" i="1"/>
  <c r="Y121" i="1"/>
  <c r="AA121" i="1"/>
  <c r="AB121" i="1"/>
  <c r="AD121" i="1"/>
  <c r="AE121" i="1"/>
  <c r="O122" i="1"/>
  <c r="P122" i="1"/>
  <c r="R122" i="1"/>
  <c r="S122" i="1"/>
  <c r="U122" i="1"/>
  <c r="V122" i="1"/>
  <c r="X122" i="1"/>
  <c r="Y122" i="1"/>
  <c r="AA122" i="1"/>
  <c r="AB122" i="1"/>
  <c r="AD122" i="1"/>
  <c r="AE122" i="1"/>
  <c r="O123" i="1"/>
  <c r="P123" i="1"/>
  <c r="R123" i="1"/>
  <c r="S123" i="1"/>
  <c r="U123" i="1"/>
  <c r="V123" i="1"/>
  <c r="X123" i="1"/>
  <c r="Y123" i="1"/>
  <c r="AA123" i="1"/>
  <c r="AB123" i="1"/>
  <c r="AD123" i="1"/>
  <c r="AE123" i="1"/>
  <c r="O124" i="1"/>
  <c r="P124" i="1"/>
  <c r="R124" i="1"/>
  <c r="S124" i="1"/>
  <c r="U124" i="1"/>
  <c r="V124" i="1"/>
  <c r="X124" i="1"/>
  <c r="Y124" i="1"/>
  <c r="AA124" i="1"/>
  <c r="AB124" i="1"/>
  <c r="AD124" i="1"/>
  <c r="AE124" i="1"/>
  <c r="O125" i="1"/>
  <c r="P125" i="1"/>
  <c r="R125" i="1"/>
  <c r="S125" i="1"/>
  <c r="U125" i="1"/>
  <c r="V125" i="1"/>
  <c r="X125" i="1"/>
  <c r="Y125" i="1"/>
  <c r="AA125" i="1"/>
  <c r="AB125" i="1"/>
  <c r="AD125" i="1"/>
  <c r="AE125" i="1"/>
  <c r="O126" i="1"/>
  <c r="P126" i="1"/>
  <c r="R126" i="1"/>
  <c r="S126" i="1"/>
  <c r="U126" i="1"/>
  <c r="V126" i="1"/>
  <c r="X126" i="1"/>
  <c r="Y126" i="1"/>
  <c r="AA126" i="1"/>
  <c r="AB126" i="1"/>
  <c r="AD126" i="1"/>
  <c r="AE126" i="1"/>
  <c r="O127" i="1"/>
  <c r="P127" i="1"/>
  <c r="R127" i="1"/>
  <c r="S127" i="1"/>
  <c r="U127" i="1"/>
  <c r="V127" i="1"/>
  <c r="X127" i="1"/>
  <c r="Y127" i="1"/>
  <c r="AA127" i="1"/>
  <c r="AB127" i="1"/>
  <c r="AD127" i="1"/>
  <c r="AE127" i="1"/>
  <c r="O128" i="1"/>
  <c r="P128" i="1"/>
  <c r="R128" i="1"/>
  <c r="S128" i="1"/>
  <c r="U128" i="1"/>
  <c r="V128" i="1"/>
  <c r="X128" i="1"/>
  <c r="Y128" i="1"/>
  <c r="AA128" i="1"/>
  <c r="AB128" i="1"/>
  <c r="AD128" i="1"/>
  <c r="AE128" i="1"/>
  <c r="O129" i="1"/>
  <c r="P129" i="1"/>
  <c r="R129" i="1"/>
  <c r="S129" i="1"/>
  <c r="U129" i="1"/>
  <c r="V129" i="1"/>
  <c r="X129" i="1"/>
  <c r="Y129" i="1"/>
  <c r="AA129" i="1"/>
  <c r="AB129" i="1"/>
  <c r="AD129" i="1"/>
  <c r="AE129" i="1"/>
  <c r="O130" i="1"/>
  <c r="P130" i="1"/>
  <c r="R130" i="1"/>
  <c r="S130" i="1"/>
  <c r="U130" i="1"/>
  <c r="V130" i="1"/>
  <c r="X130" i="1"/>
  <c r="Y130" i="1"/>
  <c r="AA130" i="1"/>
  <c r="AB130" i="1"/>
  <c r="AD130" i="1"/>
  <c r="AE130" i="1"/>
  <c r="O131" i="1"/>
  <c r="P131" i="1"/>
  <c r="R131" i="1"/>
  <c r="S131" i="1"/>
  <c r="U131" i="1"/>
  <c r="V131" i="1"/>
  <c r="X131" i="1"/>
  <c r="Y131" i="1"/>
  <c r="AA131" i="1"/>
  <c r="AB131" i="1"/>
  <c r="AD131" i="1"/>
  <c r="AE131" i="1"/>
  <c r="O132" i="1"/>
  <c r="P132" i="1"/>
  <c r="R132" i="1"/>
  <c r="S132" i="1"/>
  <c r="U132" i="1"/>
  <c r="V132" i="1"/>
  <c r="X132" i="1"/>
  <c r="Y132" i="1"/>
  <c r="AA132" i="1"/>
  <c r="AB132" i="1"/>
  <c r="AD132" i="1"/>
  <c r="AE132" i="1"/>
  <c r="O133" i="1"/>
  <c r="P133" i="1"/>
  <c r="R133" i="1"/>
  <c r="S133" i="1"/>
  <c r="U133" i="1"/>
  <c r="V133" i="1"/>
  <c r="X133" i="1"/>
  <c r="Y133" i="1"/>
  <c r="AA133" i="1"/>
  <c r="AB133" i="1"/>
  <c r="AD133" i="1"/>
  <c r="AE133" i="1"/>
  <c r="O136" i="1"/>
  <c r="P136" i="1"/>
  <c r="R136" i="1"/>
  <c r="S136" i="1"/>
  <c r="U136" i="1"/>
  <c r="V136" i="1"/>
  <c r="X136" i="1"/>
  <c r="Y136" i="1"/>
  <c r="AA136" i="1"/>
  <c r="AB136" i="1"/>
  <c r="AD136" i="1"/>
  <c r="AE136" i="1"/>
  <c r="O137" i="1"/>
  <c r="P137" i="1"/>
  <c r="R137" i="1"/>
  <c r="S137" i="1"/>
  <c r="U137" i="1"/>
  <c r="V137" i="1"/>
  <c r="X137" i="1"/>
  <c r="Y137" i="1"/>
  <c r="AA137" i="1"/>
  <c r="AB137" i="1"/>
  <c r="AD137" i="1"/>
  <c r="AE137" i="1"/>
  <c r="O138" i="1"/>
  <c r="P138" i="1"/>
  <c r="R138" i="1"/>
  <c r="S138" i="1"/>
  <c r="U138" i="1"/>
  <c r="V138" i="1"/>
  <c r="X138" i="1"/>
  <c r="Y138" i="1"/>
  <c r="AA138" i="1"/>
  <c r="AB138" i="1"/>
  <c r="AD138" i="1"/>
  <c r="AE138" i="1"/>
  <c r="O139" i="1"/>
  <c r="P139" i="1"/>
  <c r="R139" i="1"/>
  <c r="S139" i="1"/>
  <c r="U139" i="1"/>
  <c r="V139" i="1"/>
  <c r="X139" i="1"/>
  <c r="Y139" i="1"/>
  <c r="AA139" i="1"/>
  <c r="AB139" i="1"/>
  <c r="AD139" i="1"/>
  <c r="AE139" i="1"/>
  <c r="O140" i="1"/>
  <c r="P140" i="1"/>
  <c r="R140" i="1"/>
  <c r="S140" i="1"/>
  <c r="U140" i="1"/>
  <c r="V140" i="1"/>
  <c r="X140" i="1"/>
  <c r="Y140" i="1"/>
  <c r="AA140" i="1"/>
  <c r="AB140" i="1"/>
  <c r="AD140" i="1"/>
  <c r="AE140" i="1"/>
  <c r="O141" i="1"/>
  <c r="P141" i="1"/>
  <c r="R141" i="1"/>
  <c r="S141" i="1"/>
  <c r="U141" i="1"/>
  <c r="V141" i="1"/>
  <c r="X141" i="1"/>
  <c r="Y141" i="1"/>
  <c r="AA141" i="1"/>
  <c r="AB141" i="1"/>
  <c r="AD141" i="1"/>
  <c r="AE141" i="1"/>
  <c r="O143" i="1"/>
  <c r="P143" i="1"/>
  <c r="R143" i="1"/>
  <c r="S143" i="1"/>
  <c r="U143" i="1"/>
  <c r="V143" i="1"/>
  <c r="X143" i="1"/>
  <c r="Y143" i="1"/>
  <c r="AA143" i="1"/>
  <c r="AB143" i="1"/>
  <c r="AD143" i="1"/>
  <c r="AE143" i="1"/>
  <c r="O144" i="1"/>
  <c r="P144" i="1"/>
  <c r="R144" i="1"/>
  <c r="S144" i="1"/>
  <c r="U144" i="1"/>
  <c r="V144" i="1"/>
  <c r="X144" i="1"/>
  <c r="Y144" i="1"/>
  <c r="AA144" i="1"/>
  <c r="AB144" i="1"/>
  <c r="AD144" i="1"/>
  <c r="AE144" i="1"/>
  <c r="O145" i="1"/>
  <c r="P145" i="1"/>
  <c r="R145" i="1"/>
  <c r="S145" i="1"/>
  <c r="U145" i="1"/>
  <c r="V145" i="1"/>
  <c r="X145" i="1"/>
  <c r="Y145" i="1"/>
  <c r="AA145" i="1"/>
  <c r="AB145" i="1"/>
  <c r="AD145" i="1"/>
  <c r="AE145" i="1"/>
  <c r="O146" i="1"/>
  <c r="P146" i="1"/>
  <c r="R146" i="1"/>
  <c r="S146" i="1"/>
  <c r="U146" i="1"/>
  <c r="V146" i="1"/>
  <c r="X146" i="1"/>
  <c r="Y146" i="1"/>
  <c r="AA146" i="1"/>
  <c r="AB146" i="1"/>
  <c r="AD146" i="1"/>
  <c r="AE146" i="1"/>
  <c r="O147" i="1"/>
  <c r="P147" i="1"/>
  <c r="R147" i="1"/>
  <c r="S147" i="1"/>
  <c r="U147" i="1"/>
  <c r="V147" i="1"/>
  <c r="X147" i="1"/>
  <c r="Y147" i="1"/>
  <c r="AA147" i="1"/>
  <c r="AB147" i="1"/>
  <c r="AD147" i="1"/>
  <c r="AE147" i="1"/>
  <c r="O148" i="1"/>
  <c r="P148" i="1"/>
  <c r="R148" i="1"/>
  <c r="S148" i="1"/>
  <c r="U148" i="1"/>
  <c r="V148" i="1"/>
  <c r="X148" i="1"/>
  <c r="Y148" i="1"/>
  <c r="AA148" i="1"/>
  <c r="AB148" i="1"/>
  <c r="AD148" i="1"/>
  <c r="AE148" i="1"/>
  <c r="O149" i="1"/>
  <c r="P149" i="1"/>
  <c r="R149" i="1"/>
  <c r="S149" i="1"/>
  <c r="U149" i="1"/>
  <c r="V149" i="1"/>
  <c r="X149" i="1"/>
  <c r="Y149" i="1"/>
  <c r="AA149" i="1"/>
  <c r="AB149" i="1"/>
  <c r="AD149" i="1"/>
  <c r="AE149" i="1"/>
  <c r="O150" i="1"/>
  <c r="P150" i="1"/>
  <c r="R150" i="1"/>
  <c r="S150" i="1"/>
  <c r="U150" i="1"/>
  <c r="V150" i="1"/>
  <c r="X150" i="1"/>
  <c r="Y150" i="1"/>
  <c r="AA150" i="1"/>
  <c r="AB150" i="1"/>
  <c r="AD150" i="1"/>
  <c r="AE150" i="1"/>
  <c r="O151" i="1"/>
  <c r="P151" i="1"/>
  <c r="R151" i="1"/>
  <c r="S151" i="1"/>
  <c r="U151" i="1"/>
  <c r="V151" i="1"/>
  <c r="X151" i="1"/>
  <c r="Y151" i="1"/>
  <c r="AA151" i="1"/>
  <c r="AB151" i="1"/>
  <c r="AD151" i="1"/>
  <c r="AE151" i="1"/>
  <c r="O153" i="1"/>
  <c r="P153" i="1"/>
  <c r="R153" i="1"/>
  <c r="S153" i="1"/>
  <c r="U153" i="1"/>
  <c r="V153" i="1"/>
  <c r="X153" i="1"/>
  <c r="Y153" i="1"/>
  <c r="AA153" i="1"/>
  <c r="AB153" i="1"/>
  <c r="AD153" i="1"/>
  <c r="AE153" i="1"/>
  <c r="O154" i="1"/>
  <c r="P154" i="1"/>
  <c r="R154" i="1"/>
  <c r="S154" i="1"/>
  <c r="U154" i="1"/>
  <c r="V154" i="1"/>
  <c r="X154" i="1"/>
  <c r="Y154" i="1"/>
  <c r="AA154" i="1"/>
  <c r="AB154" i="1"/>
  <c r="AD154" i="1"/>
  <c r="AE154" i="1"/>
  <c r="O155" i="1"/>
  <c r="P155" i="1"/>
  <c r="R155" i="1"/>
  <c r="S155" i="1"/>
  <c r="U155" i="1"/>
  <c r="V155" i="1"/>
  <c r="X155" i="1"/>
  <c r="Y155" i="1"/>
  <c r="AA155" i="1"/>
  <c r="AB155" i="1"/>
  <c r="AD155" i="1"/>
  <c r="AE155" i="1"/>
  <c r="O156" i="1"/>
  <c r="P156" i="1"/>
  <c r="R156" i="1"/>
  <c r="S156" i="1"/>
  <c r="U156" i="1"/>
  <c r="V156" i="1"/>
  <c r="X156" i="1"/>
  <c r="Y156" i="1"/>
  <c r="AA156" i="1"/>
  <c r="AB156" i="1"/>
  <c r="AD156" i="1"/>
  <c r="AE156" i="1"/>
  <c r="O157" i="1"/>
  <c r="P157" i="1"/>
  <c r="R157" i="1"/>
  <c r="S157" i="1"/>
  <c r="U157" i="1"/>
  <c r="V157" i="1"/>
  <c r="X157" i="1"/>
  <c r="Y157" i="1"/>
  <c r="AA157" i="1"/>
  <c r="AB157" i="1"/>
  <c r="AD157" i="1"/>
  <c r="AE157" i="1"/>
  <c r="O158" i="1"/>
  <c r="P158" i="1"/>
  <c r="R158" i="1"/>
  <c r="S158" i="1"/>
  <c r="U158" i="1"/>
  <c r="V158" i="1"/>
  <c r="X158" i="1"/>
  <c r="Y158" i="1"/>
  <c r="AA158" i="1"/>
  <c r="AB158" i="1"/>
  <c r="AD158" i="1"/>
  <c r="AE158" i="1"/>
  <c r="O159" i="1"/>
  <c r="P159" i="1"/>
  <c r="R159" i="1"/>
  <c r="S159" i="1"/>
  <c r="U159" i="1"/>
  <c r="V159" i="1"/>
  <c r="X159" i="1"/>
  <c r="Y159" i="1"/>
  <c r="AA159" i="1"/>
  <c r="AB159" i="1"/>
  <c r="AD159" i="1"/>
  <c r="AE159" i="1"/>
  <c r="O160" i="1"/>
  <c r="P160" i="1"/>
  <c r="R160" i="1"/>
  <c r="S160" i="1"/>
  <c r="U160" i="1"/>
  <c r="V160" i="1"/>
  <c r="X160" i="1"/>
  <c r="Y160" i="1"/>
  <c r="AA160" i="1"/>
  <c r="AB160" i="1"/>
  <c r="AD160" i="1"/>
  <c r="AE160" i="1"/>
  <c r="O161" i="1"/>
  <c r="P161" i="1"/>
  <c r="R161" i="1"/>
  <c r="S161" i="1"/>
  <c r="U161" i="1"/>
  <c r="V161" i="1"/>
  <c r="X161" i="1"/>
  <c r="Y161" i="1"/>
  <c r="AA161" i="1"/>
  <c r="AB161" i="1"/>
  <c r="AD161" i="1"/>
  <c r="AE161" i="1"/>
  <c r="O162" i="1"/>
  <c r="P162" i="1"/>
  <c r="R162" i="1"/>
  <c r="S162" i="1"/>
  <c r="U162" i="1"/>
  <c r="V162" i="1"/>
  <c r="X162" i="1"/>
  <c r="Y162" i="1"/>
  <c r="AA162" i="1"/>
  <c r="AB162" i="1"/>
  <c r="AD162" i="1"/>
  <c r="AE162" i="1"/>
  <c r="O163" i="1"/>
  <c r="P163" i="1"/>
  <c r="R163" i="1"/>
  <c r="S163" i="1"/>
  <c r="U163" i="1"/>
  <c r="V163" i="1"/>
  <c r="X163" i="1"/>
  <c r="Y163" i="1"/>
  <c r="AA163" i="1"/>
  <c r="AB163" i="1"/>
  <c r="AD163" i="1"/>
  <c r="AE163" i="1"/>
  <c r="O164" i="1"/>
  <c r="P164" i="1"/>
  <c r="R164" i="1"/>
  <c r="S164" i="1"/>
  <c r="U164" i="1"/>
  <c r="V164" i="1"/>
  <c r="X164" i="1"/>
  <c r="Y164" i="1"/>
  <c r="AA164" i="1"/>
  <c r="AB164" i="1"/>
  <c r="AD164" i="1"/>
  <c r="AE164" i="1"/>
  <c r="O165" i="1"/>
  <c r="P165" i="1"/>
  <c r="R165" i="1"/>
  <c r="S165" i="1"/>
  <c r="U165" i="1"/>
  <c r="V165" i="1"/>
  <c r="X165" i="1"/>
  <c r="Y165" i="1"/>
  <c r="AA165" i="1"/>
  <c r="AB165" i="1"/>
  <c r="AD165" i="1"/>
  <c r="AE165" i="1"/>
  <c r="O166" i="1"/>
  <c r="P166" i="1"/>
  <c r="R166" i="1"/>
  <c r="S166" i="1"/>
  <c r="U166" i="1"/>
  <c r="V166" i="1"/>
  <c r="X166" i="1"/>
  <c r="Y166" i="1"/>
  <c r="AA166" i="1"/>
  <c r="AB166" i="1"/>
  <c r="AD166" i="1"/>
  <c r="AE166" i="1"/>
  <c r="O167" i="1"/>
  <c r="P167" i="1"/>
  <c r="R167" i="1"/>
  <c r="S167" i="1"/>
  <c r="U167" i="1"/>
  <c r="V167" i="1"/>
  <c r="X167" i="1"/>
  <c r="Y167" i="1"/>
  <c r="AA167" i="1"/>
  <c r="AB167" i="1"/>
  <c r="AD167" i="1"/>
  <c r="AE167" i="1"/>
  <c r="O168" i="1"/>
  <c r="P168" i="1"/>
  <c r="R168" i="1"/>
  <c r="S168" i="1"/>
  <c r="U168" i="1"/>
  <c r="V168" i="1"/>
  <c r="X168" i="1"/>
  <c r="Y168" i="1"/>
  <c r="AA168" i="1"/>
  <c r="AB168" i="1"/>
  <c r="AD168" i="1"/>
  <c r="AE168" i="1"/>
  <c r="O169" i="1"/>
  <c r="P169" i="1"/>
  <c r="R169" i="1"/>
  <c r="S169" i="1"/>
  <c r="U169" i="1"/>
  <c r="V169" i="1"/>
  <c r="X169" i="1"/>
  <c r="Y169" i="1"/>
  <c r="AA169" i="1"/>
  <c r="AB169" i="1"/>
  <c r="AD169" i="1"/>
  <c r="AE169" i="1"/>
  <c r="O170" i="1"/>
  <c r="P170" i="1"/>
  <c r="R170" i="1"/>
  <c r="S170" i="1"/>
  <c r="U170" i="1"/>
  <c r="V170" i="1"/>
  <c r="X170" i="1"/>
  <c r="Y170" i="1"/>
  <c r="AA170" i="1"/>
  <c r="AB170" i="1"/>
  <c r="AD170" i="1"/>
  <c r="AE170" i="1"/>
  <c r="O171" i="1"/>
  <c r="P171" i="1"/>
  <c r="R171" i="1"/>
  <c r="S171" i="1"/>
  <c r="U171" i="1"/>
  <c r="V171" i="1"/>
  <c r="X171" i="1"/>
  <c r="Y171" i="1"/>
  <c r="AA171" i="1"/>
  <c r="AB171" i="1"/>
  <c r="AD171" i="1"/>
  <c r="AE171" i="1"/>
  <c r="O172" i="1"/>
  <c r="P172" i="1"/>
  <c r="R172" i="1"/>
  <c r="S172" i="1"/>
  <c r="U172" i="1"/>
  <c r="V172" i="1"/>
  <c r="X172" i="1"/>
  <c r="Y172" i="1"/>
  <c r="AA172" i="1"/>
  <c r="AB172" i="1"/>
  <c r="AD172" i="1"/>
  <c r="AE172" i="1"/>
  <c r="O173" i="1"/>
  <c r="P173" i="1"/>
  <c r="R173" i="1"/>
  <c r="S173" i="1"/>
  <c r="U173" i="1"/>
  <c r="V173" i="1"/>
  <c r="X173" i="1"/>
  <c r="Y173" i="1"/>
  <c r="AA173" i="1"/>
  <c r="AB173" i="1"/>
  <c r="AD173" i="1"/>
  <c r="AE173" i="1"/>
  <c r="O174" i="1"/>
  <c r="P174" i="1"/>
  <c r="R174" i="1"/>
  <c r="S174" i="1"/>
  <c r="U174" i="1"/>
  <c r="V174" i="1"/>
  <c r="X174" i="1"/>
  <c r="Y174" i="1"/>
  <c r="AA174" i="1"/>
  <c r="AB174" i="1"/>
  <c r="AD174" i="1"/>
  <c r="AE174" i="1"/>
  <c r="O175" i="1"/>
  <c r="P175" i="1"/>
  <c r="R175" i="1"/>
  <c r="S175" i="1"/>
  <c r="U175" i="1"/>
  <c r="V175" i="1"/>
  <c r="X175" i="1"/>
  <c r="Y175" i="1"/>
  <c r="AA175" i="1"/>
  <c r="AB175" i="1"/>
  <c r="AD175" i="1"/>
  <c r="AE175" i="1"/>
  <c r="O176" i="1"/>
  <c r="P176" i="1"/>
  <c r="R176" i="1"/>
  <c r="S176" i="1"/>
  <c r="U176" i="1"/>
  <c r="V176" i="1"/>
  <c r="X176" i="1"/>
  <c r="Y176" i="1"/>
  <c r="AA176" i="1"/>
  <c r="AB176" i="1"/>
  <c r="AD176" i="1"/>
  <c r="AE176" i="1"/>
  <c r="O177" i="1"/>
  <c r="P177" i="1"/>
  <c r="R177" i="1"/>
  <c r="S177" i="1"/>
  <c r="U177" i="1"/>
  <c r="V177" i="1"/>
  <c r="X177" i="1"/>
  <c r="Y177" i="1"/>
  <c r="AA177" i="1"/>
  <c r="AB177" i="1"/>
  <c r="AD177" i="1"/>
  <c r="AE177" i="1"/>
  <c r="O178" i="1"/>
  <c r="P178" i="1"/>
  <c r="R178" i="1"/>
  <c r="S178" i="1"/>
  <c r="U178" i="1"/>
  <c r="V178" i="1"/>
  <c r="X178" i="1"/>
  <c r="Y178" i="1"/>
  <c r="AA178" i="1"/>
  <c r="AB178" i="1"/>
  <c r="AD178" i="1"/>
  <c r="AE178" i="1"/>
  <c r="O179" i="1"/>
  <c r="P179" i="1"/>
  <c r="R179" i="1"/>
  <c r="S179" i="1"/>
  <c r="U179" i="1"/>
  <c r="V179" i="1"/>
  <c r="X179" i="1"/>
  <c r="Y179" i="1"/>
  <c r="AA179" i="1"/>
  <c r="AB179" i="1"/>
  <c r="AD179" i="1"/>
  <c r="AE179" i="1"/>
  <c r="O180" i="1"/>
  <c r="P180" i="1"/>
  <c r="R180" i="1"/>
  <c r="S180" i="1"/>
  <c r="U180" i="1"/>
  <c r="V180" i="1"/>
  <c r="X180" i="1"/>
  <c r="Y180" i="1"/>
  <c r="AA180" i="1"/>
  <c r="AB180" i="1"/>
  <c r="AD180" i="1"/>
  <c r="AE180" i="1"/>
  <c r="O181" i="1"/>
  <c r="P181" i="1"/>
  <c r="R181" i="1"/>
  <c r="S181" i="1"/>
  <c r="U181" i="1"/>
  <c r="V181" i="1"/>
  <c r="X181" i="1"/>
  <c r="Y181" i="1"/>
  <c r="AA181" i="1"/>
  <c r="AB181" i="1"/>
  <c r="AD181" i="1"/>
  <c r="AE181" i="1"/>
  <c r="O182" i="1"/>
  <c r="P182" i="1"/>
  <c r="R182" i="1"/>
  <c r="S182" i="1"/>
  <c r="U182" i="1"/>
  <c r="V182" i="1"/>
  <c r="X182" i="1"/>
  <c r="Y182" i="1"/>
  <c r="AA182" i="1"/>
  <c r="AB182" i="1"/>
  <c r="AD182" i="1"/>
  <c r="AE182" i="1"/>
  <c r="O183" i="1"/>
  <c r="P183" i="1"/>
  <c r="R183" i="1"/>
  <c r="S183" i="1"/>
  <c r="U183" i="1"/>
  <c r="V183" i="1"/>
  <c r="X183" i="1"/>
  <c r="Y183" i="1"/>
  <c r="AA183" i="1"/>
  <c r="AB183" i="1"/>
  <c r="AD183" i="1"/>
  <c r="AE183" i="1"/>
  <c r="O184" i="1"/>
  <c r="P184" i="1"/>
  <c r="R184" i="1"/>
  <c r="S184" i="1"/>
  <c r="U184" i="1"/>
  <c r="V184" i="1"/>
  <c r="X184" i="1"/>
  <c r="Y184" i="1"/>
  <c r="AA184" i="1"/>
  <c r="AB184" i="1"/>
  <c r="AD184" i="1"/>
  <c r="AE184" i="1"/>
  <c r="O185" i="1"/>
  <c r="P185" i="1"/>
  <c r="R185" i="1"/>
  <c r="S185" i="1"/>
  <c r="U185" i="1"/>
  <c r="V185" i="1"/>
  <c r="X185" i="1"/>
  <c r="Y185" i="1"/>
  <c r="AA185" i="1"/>
  <c r="AB185" i="1"/>
  <c r="AD185" i="1"/>
  <c r="AE185" i="1"/>
  <c r="O186" i="1"/>
  <c r="P186" i="1"/>
  <c r="R186" i="1"/>
  <c r="S186" i="1"/>
  <c r="U186" i="1"/>
  <c r="V186" i="1"/>
  <c r="X186" i="1"/>
  <c r="Y186" i="1"/>
  <c r="AA186" i="1"/>
  <c r="AB186" i="1"/>
  <c r="AD186" i="1"/>
  <c r="AE186" i="1"/>
  <c r="O187" i="1"/>
  <c r="P187" i="1"/>
  <c r="R187" i="1"/>
  <c r="S187" i="1"/>
  <c r="U187" i="1"/>
  <c r="V187" i="1"/>
  <c r="X187" i="1"/>
  <c r="Y187" i="1"/>
  <c r="AA187" i="1"/>
  <c r="AB187" i="1"/>
  <c r="AD187" i="1"/>
  <c r="AE187" i="1"/>
  <c r="O188" i="1"/>
  <c r="P188" i="1"/>
  <c r="R188" i="1"/>
  <c r="S188" i="1"/>
  <c r="U188" i="1"/>
  <c r="V188" i="1"/>
  <c r="X188" i="1"/>
  <c r="Y188" i="1"/>
  <c r="AA188" i="1"/>
  <c r="AB188" i="1"/>
  <c r="AD188" i="1"/>
  <c r="AE188" i="1"/>
  <c r="O189" i="1"/>
  <c r="P189" i="1"/>
  <c r="R189" i="1"/>
  <c r="S189" i="1"/>
  <c r="U189" i="1"/>
  <c r="V189" i="1"/>
  <c r="X189" i="1"/>
  <c r="Y189" i="1"/>
  <c r="AA189" i="1"/>
  <c r="AB189" i="1"/>
  <c r="AD189" i="1"/>
  <c r="AE189" i="1"/>
  <c r="O190" i="1"/>
  <c r="P190" i="1"/>
  <c r="R190" i="1"/>
  <c r="S190" i="1"/>
  <c r="U190" i="1"/>
  <c r="V190" i="1"/>
  <c r="X190" i="1"/>
  <c r="Y190" i="1"/>
  <c r="AA190" i="1"/>
  <c r="AB190" i="1"/>
  <c r="AD190" i="1"/>
  <c r="AE190" i="1"/>
  <c r="O191" i="1"/>
  <c r="P191" i="1"/>
  <c r="R191" i="1"/>
  <c r="S191" i="1"/>
  <c r="U191" i="1"/>
  <c r="V191" i="1"/>
  <c r="X191" i="1"/>
  <c r="Y191" i="1"/>
  <c r="AA191" i="1"/>
  <c r="AB191" i="1"/>
  <c r="AD191" i="1"/>
  <c r="AE191" i="1"/>
  <c r="O192" i="1"/>
  <c r="P192" i="1"/>
  <c r="R192" i="1"/>
  <c r="S192" i="1"/>
  <c r="U192" i="1"/>
  <c r="V192" i="1"/>
  <c r="X192" i="1"/>
  <c r="Y192" i="1"/>
  <c r="AA192" i="1"/>
  <c r="AB192" i="1"/>
  <c r="AD192" i="1"/>
  <c r="AE192" i="1"/>
  <c r="O193" i="1"/>
  <c r="P193" i="1"/>
  <c r="R193" i="1"/>
  <c r="S193" i="1"/>
  <c r="U193" i="1"/>
  <c r="V193" i="1"/>
  <c r="X193" i="1"/>
  <c r="Y193" i="1"/>
  <c r="AA193" i="1"/>
  <c r="AB193" i="1"/>
  <c r="AD193" i="1"/>
  <c r="AE193" i="1"/>
  <c r="O194" i="1"/>
  <c r="P194" i="1"/>
  <c r="R194" i="1"/>
  <c r="S194" i="1"/>
  <c r="U194" i="1"/>
  <c r="V194" i="1"/>
  <c r="X194" i="1"/>
  <c r="Y194" i="1"/>
  <c r="AA194" i="1"/>
  <c r="AB194" i="1"/>
  <c r="AD194" i="1"/>
  <c r="AE194" i="1"/>
  <c r="O195" i="1"/>
  <c r="P195" i="1"/>
  <c r="R195" i="1"/>
  <c r="S195" i="1"/>
  <c r="U195" i="1"/>
  <c r="V195" i="1"/>
  <c r="X195" i="1"/>
  <c r="Y195" i="1"/>
  <c r="AA195" i="1"/>
  <c r="AB195" i="1"/>
  <c r="AD195" i="1"/>
  <c r="AE195" i="1"/>
  <c r="O196" i="1"/>
  <c r="P196" i="1"/>
  <c r="R196" i="1"/>
  <c r="S196" i="1"/>
  <c r="U196" i="1"/>
  <c r="V196" i="1"/>
  <c r="X196" i="1"/>
  <c r="Y196" i="1"/>
  <c r="AA196" i="1"/>
  <c r="AB196" i="1"/>
  <c r="AD196" i="1"/>
  <c r="AE196" i="1"/>
  <c r="O197" i="1"/>
  <c r="P197" i="1"/>
  <c r="R197" i="1"/>
  <c r="S197" i="1"/>
  <c r="U197" i="1"/>
  <c r="V197" i="1"/>
  <c r="X197" i="1"/>
  <c r="Y197" i="1"/>
  <c r="AA197" i="1"/>
  <c r="AB197" i="1"/>
  <c r="AD197" i="1"/>
  <c r="AE197" i="1"/>
  <c r="O198" i="1"/>
  <c r="P198" i="1"/>
  <c r="R198" i="1"/>
  <c r="S198" i="1"/>
  <c r="U198" i="1"/>
  <c r="V198" i="1"/>
  <c r="X198" i="1"/>
  <c r="Y198" i="1"/>
  <c r="AA198" i="1"/>
  <c r="AB198" i="1"/>
  <c r="AD198" i="1"/>
  <c r="AE198" i="1"/>
  <c r="O199" i="1"/>
  <c r="P199" i="1"/>
  <c r="R199" i="1"/>
  <c r="S199" i="1"/>
  <c r="U199" i="1"/>
  <c r="V199" i="1"/>
  <c r="X199" i="1"/>
  <c r="Y199" i="1"/>
  <c r="AA199" i="1"/>
  <c r="AB199" i="1"/>
  <c r="AD199" i="1"/>
  <c r="AE199" i="1"/>
  <c r="O200" i="1"/>
  <c r="P200" i="1"/>
  <c r="R200" i="1"/>
  <c r="S200" i="1"/>
  <c r="U200" i="1"/>
  <c r="V200" i="1"/>
  <c r="X200" i="1"/>
  <c r="Y200" i="1"/>
  <c r="AA200" i="1"/>
  <c r="AB200" i="1"/>
  <c r="AD200" i="1"/>
  <c r="AE200" i="1"/>
  <c r="O201" i="1"/>
  <c r="P201" i="1"/>
  <c r="R201" i="1"/>
  <c r="S201" i="1"/>
  <c r="U201" i="1"/>
  <c r="V201" i="1"/>
  <c r="X201" i="1"/>
  <c r="Y201" i="1"/>
  <c r="AA201" i="1"/>
  <c r="AB201" i="1"/>
  <c r="AD201" i="1"/>
  <c r="AE201" i="1"/>
  <c r="O202" i="1"/>
  <c r="P202" i="1"/>
  <c r="R202" i="1"/>
  <c r="S202" i="1"/>
  <c r="U202" i="1"/>
  <c r="V202" i="1"/>
  <c r="X202" i="1"/>
  <c r="Y202" i="1"/>
  <c r="AA202" i="1"/>
  <c r="AB202" i="1"/>
  <c r="AD202" i="1"/>
  <c r="AE202" i="1"/>
  <c r="O203" i="1"/>
  <c r="P203" i="1"/>
  <c r="R203" i="1"/>
  <c r="S203" i="1"/>
  <c r="U203" i="1"/>
  <c r="V203" i="1"/>
  <c r="X203" i="1"/>
  <c r="Y203" i="1"/>
  <c r="AA203" i="1"/>
  <c r="AB203" i="1"/>
  <c r="AD203" i="1"/>
  <c r="AE203" i="1"/>
  <c r="O204" i="1"/>
  <c r="P204" i="1"/>
  <c r="R204" i="1"/>
  <c r="S204" i="1"/>
  <c r="U204" i="1"/>
  <c r="V204" i="1"/>
  <c r="X204" i="1"/>
  <c r="Y204" i="1"/>
  <c r="AA204" i="1"/>
  <c r="AB204" i="1"/>
  <c r="AD204" i="1"/>
  <c r="AE204" i="1"/>
  <c r="O206" i="1"/>
  <c r="P206" i="1"/>
  <c r="R206" i="1"/>
  <c r="S206" i="1"/>
  <c r="U206" i="1"/>
  <c r="V206" i="1"/>
  <c r="X206" i="1"/>
  <c r="Y206" i="1"/>
  <c r="AA206" i="1"/>
  <c r="AB206" i="1"/>
  <c r="AD206" i="1"/>
  <c r="AE206" i="1"/>
  <c r="O207" i="1"/>
  <c r="P207" i="1"/>
  <c r="R207" i="1"/>
  <c r="S207" i="1"/>
  <c r="U207" i="1"/>
  <c r="V207" i="1"/>
  <c r="X207" i="1"/>
  <c r="Y207" i="1"/>
  <c r="AA207" i="1"/>
  <c r="AB207" i="1"/>
  <c r="AD207" i="1"/>
  <c r="AE207" i="1"/>
  <c r="O208" i="1"/>
  <c r="P208" i="1"/>
  <c r="R208" i="1"/>
  <c r="S208" i="1"/>
  <c r="U208" i="1"/>
  <c r="V208" i="1"/>
  <c r="X208" i="1"/>
  <c r="Y208" i="1"/>
  <c r="AA208" i="1"/>
  <c r="AB208" i="1"/>
  <c r="AD208" i="1"/>
  <c r="AE208" i="1"/>
  <c r="O209" i="1"/>
  <c r="P209" i="1"/>
  <c r="R209" i="1"/>
  <c r="S209" i="1"/>
  <c r="U209" i="1"/>
  <c r="V209" i="1"/>
  <c r="X209" i="1"/>
  <c r="Y209" i="1"/>
  <c r="AA209" i="1"/>
  <c r="AB209" i="1"/>
  <c r="AD209" i="1"/>
  <c r="AE209" i="1"/>
  <c r="O211" i="1"/>
  <c r="P211" i="1"/>
  <c r="R211" i="1"/>
  <c r="S211" i="1"/>
  <c r="U211" i="1"/>
  <c r="V211" i="1"/>
  <c r="X211" i="1"/>
  <c r="Y211" i="1"/>
  <c r="AA211" i="1"/>
  <c r="AB211" i="1"/>
  <c r="AD211" i="1"/>
  <c r="AE211" i="1"/>
  <c r="O212" i="1"/>
  <c r="P212" i="1"/>
  <c r="R212" i="1"/>
  <c r="S212" i="1"/>
  <c r="U212" i="1"/>
  <c r="V212" i="1"/>
  <c r="X212" i="1"/>
  <c r="Y212" i="1"/>
  <c r="AA212" i="1"/>
  <c r="AB212" i="1"/>
  <c r="AD212" i="1"/>
  <c r="AE212" i="1"/>
  <c r="O213" i="1"/>
  <c r="P213" i="1"/>
  <c r="R213" i="1"/>
  <c r="S213" i="1"/>
  <c r="U213" i="1"/>
  <c r="V213" i="1"/>
  <c r="X213" i="1"/>
  <c r="Y213" i="1"/>
  <c r="AA213" i="1"/>
  <c r="AB213" i="1"/>
  <c r="AD213" i="1"/>
  <c r="AE213" i="1"/>
  <c r="O214" i="1"/>
  <c r="P214" i="1"/>
  <c r="R214" i="1"/>
  <c r="S214" i="1"/>
  <c r="U214" i="1"/>
  <c r="V214" i="1"/>
  <c r="X214" i="1"/>
  <c r="Y214" i="1"/>
  <c r="AA214" i="1"/>
  <c r="AB214" i="1"/>
  <c r="AD214" i="1"/>
  <c r="AE214" i="1"/>
  <c r="O215" i="1"/>
  <c r="P215" i="1"/>
  <c r="R215" i="1"/>
  <c r="S215" i="1"/>
  <c r="U215" i="1"/>
  <c r="V215" i="1"/>
  <c r="X215" i="1"/>
  <c r="Y215" i="1"/>
  <c r="AA215" i="1"/>
  <c r="AB215" i="1"/>
  <c r="AD215" i="1"/>
  <c r="AE215" i="1"/>
  <c r="O216" i="1"/>
  <c r="P216" i="1"/>
  <c r="R216" i="1"/>
  <c r="S216" i="1"/>
  <c r="U216" i="1"/>
  <c r="V216" i="1"/>
  <c r="X216" i="1"/>
  <c r="Y216" i="1"/>
  <c r="AA216" i="1"/>
  <c r="AB216" i="1"/>
  <c r="AD216" i="1"/>
  <c r="AE216" i="1"/>
  <c r="O217" i="1"/>
  <c r="P217" i="1"/>
  <c r="R217" i="1"/>
  <c r="S217" i="1"/>
  <c r="U217" i="1"/>
  <c r="V217" i="1"/>
  <c r="X217" i="1"/>
  <c r="Y217" i="1"/>
  <c r="AA217" i="1"/>
  <c r="AB217" i="1"/>
  <c r="AD217" i="1"/>
  <c r="AE217" i="1"/>
  <c r="O218" i="1"/>
  <c r="P218" i="1"/>
  <c r="R218" i="1"/>
  <c r="S218" i="1"/>
  <c r="U218" i="1"/>
  <c r="V218" i="1"/>
  <c r="X218" i="1"/>
  <c r="Y218" i="1"/>
  <c r="AA218" i="1"/>
  <c r="AB218" i="1"/>
  <c r="AD218" i="1"/>
  <c r="AE218" i="1"/>
  <c r="O219" i="1"/>
  <c r="P219" i="1"/>
  <c r="R219" i="1"/>
  <c r="S219" i="1"/>
  <c r="U219" i="1"/>
  <c r="V219" i="1"/>
  <c r="X219" i="1"/>
  <c r="Y219" i="1"/>
  <c r="AA219" i="1"/>
  <c r="AB219" i="1"/>
  <c r="AD219" i="1"/>
  <c r="AE219" i="1"/>
  <c r="O220" i="1"/>
  <c r="P220" i="1"/>
  <c r="R220" i="1"/>
  <c r="S220" i="1"/>
  <c r="U220" i="1"/>
  <c r="V220" i="1"/>
  <c r="X220" i="1"/>
  <c r="Y220" i="1"/>
  <c r="AA220" i="1"/>
  <c r="AB220" i="1"/>
  <c r="AD220" i="1"/>
  <c r="AE220" i="1"/>
  <c r="O221" i="1"/>
  <c r="P221" i="1"/>
  <c r="R221" i="1"/>
  <c r="S221" i="1"/>
  <c r="U221" i="1"/>
  <c r="V221" i="1"/>
  <c r="X221" i="1"/>
  <c r="Y221" i="1"/>
  <c r="AA221" i="1"/>
  <c r="AB221" i="1"/>
  <c r="AD221" i="1"/>
  <c r="AE221" i="1"/>
  <c r="O222" i="1"/>
  <c r="P222" i="1"/>
  <c r="R222" i="1"/>
  <c r="S222" i="1"/>
  <c r="U222" i="1"/>
  <c r="V222" i="1"/>
  <c r="X222" i="1"/>
  <c r="Y222" i="1"/>
  <c r="AA222" i="1"/>
  <c r="AB222" i="1"/>
  <c r="AD222" i="1"/>
  <c r="AE222" i="1"/>
  <c r="O223" i="1"/>
  <c r="P223" i="1"/>
  <c r="R223" i="1"/>
  <c r="S223" i="1"/>
  <c r="U223" i="1"/>
  <c r="V223" i="1"/>
  <c r="X223" i="1"/>
  <c r="Y223" i="1"/>
  <c r="AA223" i="1"/>
  <c r="AB223" i="1"/>
  <c r="AD223" i="1"/>
  <c r="AE223" i="1"/>
  <c r="O224" i="1"/>
  <c r="P224" i="1"/>
  <c r="R224" i="1"/>
  <c r="S224" i="1"/>
  <c r="U224" i="1"/>
  <c r="V224" i="1"/>
  <c r="X224" i="1"/>
  <c r="Y224" i="1"/>
  <c r="AA224" i="1"/>
  <c r="AB224" i="1"/>
  <c r="AD224" i="1"/>
  <c r="AE224" i="1"/>
  <c r="O225" i="1"/>
  <c r="P225" i="1"/>
  <c r="R225" i="1"/>
  <c r="S225" i="1"/>
  <c r="U225" i="1"/>
  <c r="V225" i="1"/>
  <c r="X225" i="1"/>
  <c r="Y225" i="1"/>
  <c r="AA225" i="1"/>
  <c r="AB225" i="1"/>
  <c r="AD225" i="1"/>
  <c r="AE225" i="1"/>
  <c r="O226" i="1"/>
  <c r="P226" i="1"/>
  <c r="R226" i="1"/>
  <c r="S226" i="1"/>
  <c r="U226" i="1"/>
  <c r="V226" i="1"/>
  <c r="X226" i="1"/>
  <c r="Y226" i="1"/>
  <c r="AA226" i="1"/>
  <c r="AB226" i="1"/>
  <c r="AD226" i="1"/>
  <c r="AE226" i="1"/>
  <c r="O227" i="1"/>
  <c r="P227" i="1"/>
  <c r="R227" i="1"/>
  <c r="S227" i="1"/>
  <c r="U227" i="1"/>
  <c r="V227" i="1"/>
  <c r="X227" i="1"/>
  <c r="Y227" i="1"/>
  <c r="AA227" i="1"/>
  <c r="AB227" i="1"/>
  <c r="AD227" i="1"/>
  <c r="AE227" i="1"/>
  <c r="O228" i="1"/>
  <c r="P228" i="1"/>
  <c r="R228" i="1"/>
  <c r="S228" i="1"/>
  <c r="U228" i="1"/>
  <c r="V228" i="1"/>
  <c r="X228" i="1"/>
  <c r="Y228" i="1"/>
  <c r="AA228" i="1"/>
  <c r="AB228" i="1"/>
  <c r="AD228" i="1"/>
  <c r="AE228" i="1"/>
  <c r="O229" i="1"/>
  <c r="P229" i="1"/>
  <c r="R229" i="1"/>
  <c r="S229" i="1"/>
  <c r="U229" i="1"/>
  <c r="V229" i="1"/>
  <c r="X229" i="1"/>
  <c r="Y229" i="1"/>
  <c r="AA229" i="1"/>
  <c r="AB229" i="1"/>
  <c r="AD229" i="1"/>
  <c r="AE229" i="1"/>
  <c r="O230" i="1"/>
  <c r="P230" i="1"/>
  <c r="R230" i="1"/>
  <c r="S230" i="1"/>
  <c r="U230" i="1"/>
  <c r="V230" i="1"/>
  <c r="X230" i="1"/>
  <c r="Y230" i="1"/>
  <c r="AA230" i="1"/>
  <c r="AB230" i="1"/>
  <c r="AD230" i="1"/>
  <c r="AE230" i="1"/>
  <c r="O231" i="1"/>
  <c r="P231" i="1"/>
  <c r="R231" i="1"/>
  <c r="S231" i="1"/>
  <c r="U231" i="1"/>
  <c r="V231" i="1"/>
  <c r="X231" i="1"/>
  <c r="Y231" i="1"/>
  <c r="AA231" i="1"/>
  <c r="AB231" i="1"/>
  <c r="AD231" i="1"/>
  <c r="AE231" i="1"/>
  <c r="O232" i="1"/>
  <c r="P232" i="1"/>
  <c r="R232" i="1"/>
  <c r="S232" i="1"/>
  <c r="U232" i="1"/>
  <c r="V232" i="1"/>
  <c r="X232" i="1"/>
  <c r="Y232" i="1"/>
  <c r="AA232" i="1"/>
  <c r="AB232" i="1"/>
  <c r="AD232" i="1"/>
  <c r="AE232" i="1"/>
  <c r="O233" i="1"/>
  <c r="P233" i="1"/>
  <c r="R233" i="1"/>
  <c r="S233" i="1"/>
  <c r="U233" i="1"/>
  <c r="V233" i="1"/>
  <c r="X233" i="1"/>
  <c r="Y233" i="1"/>
  <c r="AA233" i="1"/>
  <c r="AB233" i="1"/>
  <c r="AD233" i="1"/>
  <c r="AE233" i="1"/>
  <c r="O234" i="1"/>
  <c r="P234" i="1"/>
  <c r="R234" i="1"/>
  <c r="S234" i="1"/>
  <c r="U234" i="1"/>
  <c r="V234" i="1"/>
  <c r="X234" i="1"/>
  <c r="Y234" i="1"/>
  <c r="AA234" i="1"/>
  <c r="AB234" i="1"/>
  <c r="AD234" i="1"/>
  <c r="AE234" i="1"/>
  <c r="O235" i="1"/>
  <c r="P235" i="1"/>
  <c r="R235" i="1"/>
  <c r="S235" i="1"/>
  <c r="U235" i="1"/>
  <c r="V235" i="1"/>
  <c r="X235" i="1"/>
  <c r="Y235" i="1"/>
  <c r="AA235" i="1"/>
  <c r="AB235" i="1"/>
  <c r="AD235" i="1"/>
  <c r="AE235" i="1"/>
  <c r="O236" i="1"/>
  <c r="P236" i="1"/>
  <c r="R236" i="1"/>
  <c r="S236" i="1"/>
  <c r="U236" i="1"/>
  <c r="V236" i="1"/>
  <c r="X236" i="1"/>
  <c r="Y236" i="1"/>
  <c r="AA236" i="1"/>
  <c r="AB236" i="1"/>
  <c r="AD236" i="1"/>
  <c r="AE236" i="1"/>
  <c r="O237" i="1"/>
  <c r="P237" i="1"/>
  <c r="R237" i="1"/>
  <c r="S237" i="1"/>
  <c r="U237" i="1"/>
  <c r="V237" i="1"/>
  <c r="X237" i="1"/>
  <c r="Y237" i="1"/>
  <c r="AA237" i="1"/>
  <c r="AB237" i="1"/>
  <c r="AD237" i="1"/>
  <c r="AE237" i="1"/>
  <c r="O238" i="1"/>
  <c r="P238" i="1"/>
  <c r="R238" i="1"/>
  <c r="S238" i="1"/>
  <c r="U238" i="1"/>
  <c r="V238" i="1"/>
  <c r="X238" i="1"/>
  <c r="Y238" i="1"/>
  <c r="AA238" i="1"/>
  <c r="AB238" i="1"/>
  <c r="AD238" i="1"/>
  <c r="AE238" i="1"/>
  <c r="O239" i="1"/>
  <c r="P239" i="1"/>
  <c r="R239" i="1"/>
  <c r="S239" i="1"/>
  <c r="U239" i="1"/>
  <c r="V239" i="1"/>
  <c r="X239" i="1"/>
  <c r="Y239" i="1"/>
  <c r="AA239" i="1"/>
  <c r="AB239" i="1"/>
  <c r="AD239" i="1"/>
  <c r="AE239" i="1"/>
  <c r="O240" i="1"/>
  <c r="P240" i="1"/>
  <c r="R240" i="1"/>
  <c r="S240" i="1"/>
  <c r="U240" i="1"/>
  <c r="V240" i="1"/>
  <c r="X240" i="1"/>
  <c r="Y240" i="1"/>
  <c r="AA240" i="1"/>
  <c r="AB240" i="1"/>
  <c r="AD240" i="1"/>
  <c r="AE240" i="1"/>
  <c r="O242" i="1"/>
  <c r="P242" i="1"/>
  <c r="R242" i="1"/>
  <c r="S242" i="1"/>
  <c r="U242" i="1"/>
  <c r="V242" i="1"/>
  <c r="X242" i="1"/>
  <c r="Y242" i="1"/>
  <c r="AA242" i="1"/>
  <c r="AB242" i="1"/>
  <c r="AD242" i="1"/>
  <c r="AE242" i="1"/>
  <c r="O243" i="1"/>
  <c r="P243" i="1"/>
  <c r="R243" i="1"/>
  <c r="S243" i="1"/>
  <c r="U243" i="1"/>
  <c r="V243" i="1"/>
  <c r="X243" i="1"/>
  <c r="Y243" i="1"/>
  <c r="AA243" i="1"/>
  <c r="AB243" i="1"/>
  <c r="AD243" i="1"/>
  <c r="AE243" i="1"/>
  <c r="O244" i="1"/>
  <c r="P244" i="1"/>
  <c r="R244" i="1"/>
  <c r="S244" i="1"/>
  <c r="U244" i="1"/>
  <c r="V244" i="1"/>
  <c r="X244" i="1"/>
  <c r="Y244" i="1"/>
  <c r="AA244" i="1"/>
  <c r="AB244" i="1"/>
  <c r="AD244" i="1"/>
  <c r="AE244" i="1"/>
  <c r="O245" i="1"/>
  <c r="P245" i="1"/>
  <c r="R245" i="1"/>
  <c r="S245" i="1"/>
  <c r="U245" i="1"/>
  <c r="V245" i="1"/>
  <c r="X245" i="1"/>
  <c r="Y245" i="1"/>
  <c r="AA245" i="1"/>
  <c r="AB245" i="1"/>
  <c r="AD245" i="1"/>
  <c r="AE245" i="1"/>
  <c r="O246" i="1"/>
  <c r="P246" i="1"/>
  <c r="R246" i="1"/>
  <c r="S246" i="1"/>
  <c r="U246" i="1"/>
  <c r="V246" i="1"/>
  <c r="X246" i="1"/>
  <c r="Y246" i="1"/>
  <c r="AA246" i="1"/>
  <c r="AB246" i="1"/>
  <c r="AD246" i="1"/>
  <c r="AE246" i="1"/>
  <c r="O247" i="1"/>
  <c r="P247" i="1"/>
  <c r="R247" i="1"/>
  <c r="S247" i="1"/>
  <c r="U247" i="1"/>
  <c r="V247" i="1"/>
  <c r="X247" i="1"/>
  <c r="Y247" i="1"/>
  <c r="AA247" i="1"/>
  <c r="AB247" i="1"/>
  <c r="AD247" i="1"/>
  <c r="AE247" i="1"/>
  <c r="O248" i="1"/>
  <c r="P248" i="1"/>
  <c r="R248" i="1"/>
  <c r="S248" i="1"/>
  <c r="U248" i="1"/>
  <c r="V248" i="1"/>
  <c r="X248" i="1"/>
  <c r="Y248" i="1"/>
  <c r="AA248" i="1"/>
  <c r="AB248" i="1"/>
  <c r="AD248" i="1"/>
  <c r="AE248" i="1"/>
  <c r="O249" i="1"/>
  <c r="P249" i="1"/>
  <c r="R249" i="1"/>
  <c r="S249" i="1"/>
  <c r="U249" i="1"/>
  <c r="V249" i="1"/>
  <c r="X249" i="1"/>
  <c r="Y249" i="1"/>
  <c r="AA249" i="1"/>
  <c r="AB249" i="1"/>
  <c r="AD249" i="1"/>
  <c r="AE249" i="1"/>
  <c r="O250" i="1"/>
  <c r="P250" i="1"/>
  <c r="R250" i="1"/>
  <c r="S250" i="1"/>
  <c r="U250" i="1"/>
  <c r="V250" i="1"/>
  <c r="X250" i="1"/>
  <c r="Y250" i="1"/>
  <c r="AA250" i="1"/>
  <c r="AB250" i="1"/>
  <c r="AD250" i="1"/>
  <c r="AE250" i="1"/>
  <c r="O251" i="1"/>
  <c r="P251" i="1"/>
  <c r="R251" i="1"/>
  <c r="S251" i="1"/>
  <c r="U251" i="1"/>
  <c r="V251" i="1"/>
  <c r="X251" i="1"/>
  <c r="Y251" i="1"/>
  <c r="AA251" i="1"/>
  <c r="AB251" i="1"/>
  <c r="AD251" i="1"/>
  <c r="AE251" i="1"/>
  <c r="O252" i="1"/>
  <c r="P252" i="1"/>
  <c r="R252" i="1"/>
  <c r="S252" i="1"/>
  <c r="U252" i="1"/>
  <c r="V252" i="1"/>
  <c r="X252" i="1"/>
  <c r="Y252" i="1"/>
  <c r="AA252" i="1"/>
  <c r="AB252" i="1"/>
  <c r="AD252" i="1"/>
  <c r="AE252" i="1"/>
  <c r="O253" i="1"/>
  <c r="P253" i="1"/>
  <c r="R253" i="1"/>
  <c r="S253" i="1"/>
  <c r="U253" i="1"/>
  <c r="V253" i="1"/>
  <c r="X253" i="1"/>
  <c r="Y253" i="1"/>
  <c r="AA253" i="1"/>
  <c r="AB253" i="1"/>
  <c r="AD253" i="1"/>
  <c r="AE253" i="1"/>
  <c r="O254" i="1"/>
  <c r="P254" i="1"/>
  <c r="R254" i="1"/>
  <c r="S254" i="1"/>
  <c r="U254" i="1"/>
  <c r="V254" i="1"/>
  <c r="X254" i="1"/>
  <c r="Y254" i="1"/>
  <c r="AA254" i="1"/>
  <c r="AB254" i="1"/>
  <c r="AD254" i="1"/>
  <c r="AE254" i="1"/>
  <c r="O255" i="1"/>
  <c r="P255" i="1"/>
  <c r="R255" i="1"/>
  <c r="S255" i="1"/>
  <c r="U255" i="1"/>
  <c r="V255" i="1"/>
  <c r="X255" i="1"/>
  <c r="Y255" i="1"/>
  <c r="AA255" i="1"/>
  <c r="AB255" i="1"/>
  <c r="AD255" i="1"/>
  <c r="AE255" i="1"/>
  <c r="O256" i="1"/>
  <c r="P256" i="1"/>
  <c r="R256" i="1"/>
  <c r="S256" i="1"/>
  <c r="U256" i="1"/>
  <c r="V256" i="1"/>
  <c r="X256" i="1"/>
  <c r="Y256" i="1"/>
  <c r="AA256" i="1"/>
  <c r="AB256" i="1"/>
  <c r="AD256" i="1"/>
  <c r="AE256" i="1"/>
  <c r="O257" i="1"/>
  <c r="P257" i="1"/>
  <c r="R257" i="1"/>
  <c r="S257" i="1"/>
  <c r="U257" i="1"/>
  <c r="V257" i="1"/>
  <c r="X257" i="1"/>
  <c r="Y257" i="1"/>
  <c r="AA257" i="1"/>
  <c r="AB257" i="1"/>
  <c r="AD257" i="1"/>
  <c r="AE257" i="1"/>
  <c r="O259" i="1"/>
  <c r="P259" i="1"/>
  <c r="R259" i="1"/>
  <c r="S259" i="1"/>
  <c r="U259" i="1"/>
  <c r="V259" i="1"/>
  <c r="X259" i="1"/>
  <c r="Y259" i="1"/>
  <c r="AA259" i="1"/>
  <c r="AB259" i="1"/>
  <c r="AD259" i="1"/>
  <c r="AE259" i="1"/>
  <c r="O260" i="1"/>
  <c r="P260" i="1"/>
  <c r="R260" i="1"/>
  <c r="S260" i="1"/>
  <c r="U260" i="1"/>
  <c r="V260" i="1"/>
  <c r="X260" i="1"/>
  <c r="Y260" i="1"/>
  <c r="AA260" i="1"/>
  <c r="AB260" i="1"/>
  <c r="AD260" i="1"/>
  <c r="AE260" i="1"/>
  <c r="O261" i="1"/>
  <c r="P261" i="1"/>
  <c r="R261" i="1"/>
  <c r="S261" i="1"/>
  <c r="U261" i="1"/>
  <c r="V261" i="1"/>
  <c r="X261" i="1"/>
  <c r="Y261" i="1"/>
  <c r="AA261" i="1"/>
  <c r="AB261" i="1"/>
  <c r="AD261" i="1"/>
  <c r="AE261" i="1"/>
  <c r="O263" i="1"/>
  <c r="P263" i="1"/>
  <c r="R263" i="1"/>
  <c r="S263" i="1"/>
  <c r="U263" i="1"/>
  <c r="V263" i="1"/>
  <c r="X263" i="1"/>
  <c r="Y263" i="1"/>
  <c r="AA263" i="1"/>
  <c r="AB263" i="1"/>
  <c r="AD263" i="1"/>
  <c r="AE263" i="1"/>
  <c r="O264" i="1"/>
  <c r="P264" i="1"/>
  <c r="R264" i="1"/>
  <c r="S264" i="1"/>
  <c r="U264" i="1"/>
  <c r="V264" i="1"/>
  <c r="X264" i="1"/>
  <c r="Y264" i="1"/>
  <c r="AA264" i="1"/>
  <c r="AB264" i="1"/>
  <c r="AD264" i="1"/>
  <c r="AE264" i="1"/>
  <c r="O265" i="1"/>
  <c r="P265" i="1"/>
  <c r="R265" i="1"/>
  <c r="S265" i="1"/>
  <c r="U265" i="1"/>
  <c r="V265" i="1"/>
  <c r="X265" i="1"/>
  <c r="Y265" i="1"/>
  <c r="AA265" i="1"/>
  <c r="AB265" i="1"/>
  <c r="AD265" i="1"/>
  <c r="AE265" i="1"/>
  <c r="O266" i="1"/>
  <c r="P266" i="1"/>
  <c r="R266" i="1"/>
  <c r="S266" i="1"/>
  <c r="U266" i="1"/>
  <c r="V266" i="1"/>
  <c r="X266" i="1"/>
  <c r="Y266" i="1"/>
  <c r="AA266" i="1"/>
  <c r="AB266" i="1"/>
  <c r="AD266" i="1"/>
  <c r="AE266" i="1"/>
  <c r="O267" i="1"/>
  <c r="P267" i="1"/>
  <c r="R267" i="1"/>
  <c r="S267" i="1"/>
  <c r="U267" i="1"/>
  <c r="V267" i="1"/>
  <c r="X267" i="1"/>
  <c r="Y267" i="1"/>
  <c r="AA267" i="1"/>
  <c r="AB267" i="1"/>
  <c r="AD267" i="1"/>
  <c r="AE267" i="1"/>
  <c r="O268" i="1"/>
  <c r="P268" i="1"/>
  <c r="R268" i="1"/>
  <c r="S268" i="1"/>
  <c r="U268" i="1"/>
  <c r="V268" i="1"/>
  <c r="X268" i="1"/>
  <c r="Y268" i="1"/>
  <c r="AA268" i="1"/>
  <c r="AB268" i="1"/>
  <c r="AD268" i="1"/>
  <c r="AE268" i="1"/>
  <c r="O269" i="1"/>
  <c r="P269" i="1"/>
  <c r="R269" i="1"/>
  <c r="S269" i="1"/>
  <c r="U269" i="1"/>
  <c r="V269" i="1"/>
  <c r="X269" i="1"/>
  <c r="Y269" i="1"/>
  <c r="AA269" i="1"/>
  <c r="AB269" i="1"/>
  <c r="AD269" i="1"/>
  <c r="AE269" i="1"/>
  <c r="O270" i="1"/>
  <c r="P270" i="1"/>
  <c r="R270" i="1"/>
  <c r="S270" i="1"/>
  <c r="U270" i="1"/>
  <c r="V270" i="1"/>
  <c r="X270" i="1"/>
  <c r="Y270" i="1"/>
  <c r="AA270" i="1"/>
  <c r="AB270" i="1"/>
  <c r="AD270" i="1"/>
  <c r="AE270" i="1"/>
  <c r="O271" i="1"/>
  <c r="P271" i="1"/>
  <c r="R271" i="1"/>
  <c r="S271" i="1"/>
  <c r="U271" i="1"/>
  <c r="V271" i="1"/>
  <c r="X271" i="1"/>
  <c r="Y271" i="1"/>
  <c r="AA271" i="1"/>
  <c r="AB271" i="1"/>
  <c r="AD271" i="1"/>
  <c r="AE271" i="1"/>
  <c r="O272" i="1"/>
  <c r="P272" i="1"/>
  <c r="R272" i="1"/>
  <c r="S272" i="1"/>
  <c r="U272" i="1"/>
  <c r="V272" i="1"/>
  <c r="X272" i="1"/>
  <c r="Y272" i="1"/>
  <c r="AA272" i="1"/>
  <c r="AB272" i="1"/>
  <c r="AD272" i="1"/>
  <c r="AE272" i="1"/>
  <c r="O273" i="1"/>
  <c r="P273" i="1"/>
  <c r="R273" i="1"/>
  <c r="S273" i="1"/>
  <c r="U273" i="1"/>
  <c r="V273" i="1"/>
  <c r="X273" i="1"/>
  <c r="Y273" i="1"/>
  <c r="AA273" i="1"/>
  <c r="AB273" i="1"/>
  <c r="AD273" i="1"/>
  <c r="AE273" i="1"/>
  <c r="O274" i="1"/>
  <c r="P274" i="1"/>
  <c r="R274" i="1"/>
  <c r="S274" i="1"/>
  <c r="U274" i="1"/>
  <c r="V274" i="1"/>
  <c r="X274" i="1"/>
  <c r="Y274" i="1"/>
  <c r="AA274" i="1"/>
  <c r="AB274" i="1"/>
  <c r="AD274" i="1"/>
  <c r="AE274" i="1"/>
  <c r="O275" i="1"/>
  <c r="P275" i="1"/>
  <c r="R275" i="1"/>
  <c r="S275" i="1"/>
  <c r="U275" i="1"/>
  <c r="V275" i="1"/>
  <c r="X275" i="1"/>
  <c r="Y275" i="1"/>
  <c r="AA275" i="1"/>
  <c r="AB275" i="1"/>
  <c r="AD275" i="1"/>
  <c r="AE275" i="1"/>
  <c r="O276" i="1"/>
  <c r="P276" i="1"/>
  <c r="R276" i="1"/>
  <c r="S276" i="1"/>
  <c r="U276" i="1"/>
  <c r="V276" i="1"/>
  <c r="X276" i="1"/>
  <c r="Y276" i="1"/>
  <c r="AA276" i="1"/>
  <c r="AB276" i="1"/>
  <c r="AD276" i="1"/>
  <c r="AE276" i="1"/>
  <c r="O277" i="1"/>
  <c r="P277" i="1"/>
  <c r="R277" i="1"/>
  <c r="S277" i="1"/>
  <c r="U277" i="1"/>
  <c r="V277" i="1"/>
  <c r="X277" i="1"/>
  <c r="Y277" i="1"/>
  <c r="AA277" i="1"/>
  <c r="AB277" i="1"/>
  <c r="AD277" i="1"/>
  <c r="AE277" i="1"/>
  <c r="O278" i="1"/>
  <c r="P278" i="1"/>
  <c r="R278" i="1"/>
  <c r="S278" i="1"/>
  <c r="U278" i="1"/>
  <c r="V278" i="1"/>
  <c r="X278" i="1"/>
  <c r="Y278" i="1"/>
  <c r="AA278" i="1"/>
  <c r="AB278" i="1"/>
  <c r="AD278" i="1"/>
  <c r="AE278" i="1"/>
  <c r="O279" i="1"/>
  <c r="P279" i="1"/>
  <c r="R279" i="1"/>
  <c r="S279" i="1"/>
  <c r="U279" i="1"/>
  <c r="V279" i="1"/>
  <c r="X279" i="1"/>
  <c r="Y279" i="1"/>
  <c r="AA279" i="1"/>
  <c r="AB279" i="1"/>
  <c r="AD279" i="1"/>
  <c r="AE279" i="1"/>
  <c r="O280" i="1"/>
  <c r="P280" i="1"/>
  <c r="R280" i="1"/>
  <c r="S280" i="1"/>
  <c r="U280" i="1"/>
  <c r="V280" i="1"/>
  <c r="X280" i="1"/>
  <c r="Y280" i="1"/>
  <c r="AA280" i="1"/>
  <c r="AB280" i="1"/>
  <c r="AD280" i="1"/>
  <c r="AE280" i="1"/>
  <c r="O281" i="1"/>
  <c r="P281" i="1"/>
  <c r="R281" i="1"/>
  <c r="S281" i="1"/>
  <c r="U281" i="1"/>
  <c r="V281" i="1"/>
  <c r="X281" i="1"/>
  <c r="Y281" i="1"/>
  <c r="AA281" i="1"/>
  <c r="AB281" i="1"/>
  <c r="AD281" i="1"/>
  <c r="AE281" i="1"/>
  <c r="O282" i="1"/>
  <c r="P282" i="1"/>
  <c r="R282" i="1"/>
  <c r="S282" i="1"/>
  <c r="U282" i="1"/>
  <c r="V282" i="1"/>
  <c r="X282" i="1"/>
  <c r="Y282" i="1"/>
  <c r="AA282" i="1"/>
  <c r="AB282" i="1"/>
  <c r="AD282" i="1"/>
  <c r="AE282" i="1"/>
  <c r="O283" i="1"/>
  <c r="P283" i="1"/>
  <c r="R283" i="1"/>
  <c r="S283" i="1"/>
  <c r="U283" i="1"/>
  <c r="V283" i="1"/>
  <c r="X283" i="1"/>
  <c r="Y283" i="1"/>
  <c r="AA283" i="1"/>
  <c r="AB283" i="1"/>
  <c r="AD283" i="1"/>
  <c r="AE283" i="1"/>
  <c r="O284" i="1"/>
  <c r="P284" i="1"/>
  <c r="R284" i="1"/>
  <c r="S284" i="1"/>
  <c r="U284" i="1"/>
  <c r="V284" i="1"/>
  <c r="X284" i="1"/>
  <c r="Y284" i="1"/>
  <c r="AA284" i="1"/>
  <c r="AB284" i="1"/>
  <c r="AD284" i="1"/>
  <c r="AE284" i="1"/>
  <c r="O285" i="1"/>
  <c r="P285" i="1"/>
  <c r="R285" i="1"/>
  <c r="S285" i="1"/>
  <c r="U285" i="1"/>
  <c r="V285" i="1"/>
  <c r="X285" i="1"/>
  <c r="Y285" i="1"/>
  <c r="AA285" i="1"/>
  <c r="AB285" i="1"/>
  <c r="AD285" i="1"/>
  <c r="AE285" i="1"/>
  <c r="O286" i="1"/>
  <c r="P286" i="1"/>
  <c r="R286" i="1"/>
  <c r="S286" i="1"/>
  <c r="U286" i="1"/>
  <c r="V286" i="1"/>
  <c r="X286" i="1"/>
  <c r="Y286" i="1"/>
  <c r="AA286" i="1"/>
  <c r="AB286" i="1"/>
  <c r="AD286" i="1"/>
  <c r="AE286" i="1"/>
  <c r="O287" i="1"/>
  <c r="P287" i="1"/>
  <c r="R287" i="1"/>
  <c r="S287" i="1"/>
  <c r="U287" i="1"/>
  <c r="V287" i="1"/>
  <c r="X287" i="1"/>
  <c r="Y287" i="1"/>
  <c r="AA287" i="1"/>
  <c r="AB287" i="1"/>
  <c r="AD287" i="1"/>
  <c r="AE287" i="1"/>
  <c r="O288" i="1"/>
  <c r="P288" i="1"/>
  <c r="R288" i="1"/>
  <c r="S288" i="1"/>
  <c r="U288" i="1"/>
  <c r="V288" i="1"/>
  <c r="X288" i="1"/>
  <c r="Y288" i="1"/>
  <c r="AA288" i="1"/>
  <c r="AB288" i="1"/>
  <c r="AD288" i="1"/>
  <c r="AE288" i="1"/>
  <c r="O291" i="1"/>
  <c r="P291" i="1"/>
  <c r="R291" i="1"/>
  <c r="S291" i="1"/>
  <c r="U291" i="1"/>
  <c r="V291" i="1"/>
  <c r="X291" i="1"/>
  <c r="Y291" i="1"/>
  <c r="AA291" i="1"/>
  <c r="AB291" i="1"/>
  <c r="AD291" i="1"/>
  <c r="AE291" i="1"/>
  <c r="O292" i="1"/>
  <c r="P292" i="1"/>
  <c r="R292" i="1"/>
  <c r="S292" i="1"/>
  <c r="U292" i="1"/>
  <c r="V292" i="1"/>
  <c r="X292" i="1"/>
  <c r="Y292" i="1"/>
  <c r="AA292" i="1"/>
  <c r="AB292" i="1"/>
  <c r="AD292" i="1"/>
  <c r="AE292" i="1"/>
  <c r="O293" i="1"/>
  <c r="P293" i="1"/>
  <c r="R293" i="1"/>
  <c r="S293" i="1"/>
  <c r="U293" i="1"/>
  <c r="V293" i="1"/>
  <c r="X293" i="1"/>
  <c r="Y293" i="1"/>
  <c r="AA293" i="1"/>
  <c r="AB293" i="1"/>
  <c r="AD293" i="1"/>
  <c r="AE293" i="1"/>
  <c r="O294" i="1"/>
  <c r="P294" i="1"/>
  <c r="R294" i="1"/>
  <c r="S294" i="1"/>
  <c r="U294" i="1"/>
  <c r="V294" i="1"/>
  <c r="X294" i="1"/>
  <c r="Y294" i="1"/>
  <c r="AA294" i="1"/>
  <c r="AB294" i="1"/>
  <c r="AD294" i="1"/>
  <c r="AE294" i="1"/>
  <c r="O295" i="1"/>
  <c r="P295" i="1"/>
  <c r="R295" i="1"/>
  <c r="S295" i="1"/>
  <c r="U295" i="1"/>
  <c r="V295" i="1"/>
  <c r="X295" i="1"/>
  <c r="Y295" i="1"/>
  <c r="AA295" i="1"/>
  <c r="AB295" i="1"/>
  <c r="AD295" i="1"/>
  <c r="AE295" i="1"/>
  <c r="O296" i="1"/>
  <c r="P296" i="1"/>
  <c r="R296" i="1"/>
  <c r="S296" i="1"/>
  <c r="U296" i="1"/>
  <c r="V296" i="1"/>
  <c r="X296" i="1"/>
  <c r="Y296" i="1"/>
  <c r="AA296" i="1"/>
  <c r="AB296" i="1"/>
  <c r="AD296" i="1"/>
  <c r="AE296" i="1"/>
  <c r="O297" i="1"/>
  <c r="P297" i="1"/>
  <c r="R297" i="1"/>
  <c r="S297" i="1"/>
  <c r="U297" i="1"/>
  <c r="V297" i="1"/>
  <c r="X297" i="1"/>
  <c r="Y297" i="1"/>
  <c r="AA297" i="1"/>
  <c r="AB297" i="1"/>
  <c r="AD297" i="1"/>
  <c r="AE297" i="1"/>
  <c r="O298" i="1"/>
  <c r="P298" i="1"/>
  <c r="R298" i="1"/>
  <c r="S298" i="1"/>
  <c r="U298" i="1"/>
  <c r="V298" i="1"/>
  <c r="X298" i="1"/>
  <c r="Y298" i="1"/>
  <c r="AA298" i="1"/>
  <c r="AB298" i="1"/>
  <c r="AD298" i="1"/>
  <c r="AE298" i="1"/>
  <c r="O299" i="1"/>
  <c r="P299" i="1"/>
  <c r="R299" i="1"/>
  <c r="S299" i="1"/>
  <c r="U299" i="1"/>
  <c r="V299" i="1"/>
  <c r="X299" i="1"/>
  <c r="Y299" i="1"/>
  <c r="AA299" i="1"/>
  <c r="AB299" i="1"/>
  <c r="AD299" i="1"/>
  <c r="AE299" i="1"/>
  <c r="O300" i="1"/>
  <c r="P300" i="1"/>
  <c r="R300" i="1"/>
  <c r="S300" i="1"/>
  <c r="U300" i="1"/>
  <c r="V300" i="1"/>
  <c r="X300" i="1"/>
  <c r="Y300" i="1"/>
  <c r="AA300" i="1"/>
  <c r="AB300" i="1"/>
  <c r="AD300" i="1"/>
  <c r="AE300" i="1"/>
  <c r="O301" i="1"/>
  <c r="P301" i="1"/>
  <c r="R301" i="1"/>
  <c r="S301" i="1"/>
  <c r="U301" i="1"/>
  <c r="V301" i="1"/>
  <c r="X301" i="1"/>
  <c r="Y301" i="1"/>
  <c r="AA301" i="1"/>
  <c r="AB301" i="1"/>
  <c r="AD301" i="1"/>
  <c r="AE301" i="1"/>
  <c r="O302" i="1"/>
  <c r="P302" i="1"/>
  <c r="R302" i="1"/>
  <c r="S302" i="1"/>
  <c r="U302" i="1"/>
  <c r="V302" i="1"/>
  <c r="X302" i="1"/>
  <c r="Y302" i="1"/>
  <c r="AA302" i="1"/>
  <c r="AB302" i="1"/>
  <c r="AD302" i="1"/>
  <c r="AE302" i="1"/>
  <c r="O303" i="1"/>
  <c r="P303" i="1"/>
  <c r="R303" i="1"/>
  <c r="S303" i="1"/>
  <c r="U303" i="1"/>
  <c r="V303" i="1"/>
  <c r="X303" i="1"/>
  <c r="Y303" i="1"/>
  <c r="AA303" i="1"/>
  <c r="AB303" i="1"/>
  <c r="AD303" i="1"/>
  <c r="AE303" i="1"/>
  <c r="O304" i="1"/>
  <c r="P304" i="1"/>
  <c r="R304" i="1"/>
  <c r="S304" i="1"/>
  <c r="U304" i="1"/>
  <c r="V304" i="1"/>
  <c r="X304" i="1"/>
  <c r="Y304" i="1"/>
  <c r="AA304" i="1"/>
  <c r="AB304" i="1"/>
  <c r="AD304" i="1"/>
  <c r="AE304" i="1"/>
  <c r="O305" i="1"/>
  <c r="P305" i="1"/>
  <c r="R305" i="1"/>
  <c r="S305" i="1"/>
  <c r="U305" i="1"/>
  <c r="V305" i="1"/>
  <c r="X305" i="1"/>
  <c r="Y305" i="1"/>
  <c r="AA305" i="1"/>
  <c r="AB305" i="1"/>
  <c r="AD305" i="1"/>
  <c r="AE305" i="1"/>
  <c r="O306" i="1"/>
  <c r="P306" i="1"/>
  <c r="R306" i="1"/>
  <c r="S306" i="1"/>
  <c r="U306" i="1"/>
  <c r="V306" i="1"/>
  <c r="X306" i="1"/>
  <c r="Y306" i="1"/>
  <c r="AA306" i="1"/>
  <c r="AB306" i="1"/>
  <c r="AD306" i="1"/>
  <c r="AE306" i="1"/>
  <c r="O307" i="1"/>
  <c r="P307" i="1"/>
  <c r="R307" i="1"/>
  <c r="S307" i="1"/>
  <c r="U307" i="1"/>
  <c r="V307" i="1"/>
  <c r="X307" i="1"/>
  <c r="Y307" i="1"/>
  <c r="AA307" i="1"/>
  <c r="AB307" i="1"/>
  <c r="AD307" i="1"/>
  <c r="AE307" i="1"/>
  <c r="O308" i="1"/>
  <c r="P308" i="1"/>
  <c r="R308" i="1"/>
  <c r="S308" i="1"/>
  <c r="U308" i="1"/>
  <c r="V308" i="1"/>
  <c r="X308" i="1"/>
  <c r="Y308" i="1"/>
  <c r="AA308" i="1"/>
  <c r="AB308" i="1"/>
  <c r="AD308" i="1"/>
  <c r="AE308" i="1"/>
  <c r="O309" i="1"/>
  <c r="P309" i="1"/>
  <c r="R309" i="1"/>
  <c r="S309" i="1"/>
  <c r="U309" i="1"/>
  <c r="V309" i="1"/>
  <c r="X309" i="1"/>
  <c r="Y309" i="1"/>
  <c r="AA309" i="1"/>
  <c r="AB309" i="1"/>
  <c r="AD309" i="1"/>
  <c r="AE309" i="1"/>
  <c r="O310" i="1"/>
  <c r="P310" i="1"/>
  <c r="R310" i="1"/>
  <c r="S310" i="1"/>
  <c r="U310" i="1"/>
  <c r="V310" i="1"/>
  <c r="X310" i="1"/>
  <c r="Y310" i="1"/>
  <c r="AA310" i="1"/>
  <c r="AB310" i="1"/>
  <c r="AD310" i="1"/>
  <c r="AE310" i="1"/>
  <c r="O311" i="1"/>
  <c r="P311" i="1"/>
  <c r="R311" i="1"/>
  <c r="S311" i="1"/>
  <c r="U311" i="1"/>
  <c r="V311" i="1"/>
  <c r="X311" i="1"/>
  <c r="Y311" i="1"/>
  <c r="AA311" i="1"/>
  <c r="AB311" i="1"/>
  <c r="AD311" i="1"/>
  <c r="AE311" i="1"/>
  <c r="O312" i="1"/>
  <c r="P312" i="1"/>
  <c r="R312" i="1"/>
  <c r="S312" i="1"/>
  <c r="U312" i="1"/>
  <c r="V312" i="1"/>
  <c r="X312" i="1"/>
  <c r="Y312" i="1"/>
  <c r="AA312" i="1"/>
  <c r="AB312" i="1"/>
  <c r="AD312" i="1"/>
  <c r="AE312" i="1"/>
  <c r="O313" i="1"/>
  <c r="P313" i="1"/>
  <c r="R313" i="1"/>
  <c r="S313" i="1"/>
  <c r="U313" i="1"/>
  <c r="V313" i="1"/>
  <c r="X313" i="1"/>
  <c r="Y313" i="1"/>
  <c r="AA313" i="1"/>
  <c r="AB313" i="1"/>
  <c r="AD313" i="1"/>
  <c r="AE313" i="1"/>
  <c r="O314" i="1"/>
  <c r="P314" i="1"/>
  <c r="R314" i="1"/>
  <c r="S314" i="1"/>
  <c r="U314" i="1"/>
  <c r="V314" i="1"/>
  <c r="X314" i="1"/>
  <c r="Y314" i="1"/>
  <c r="AA314" i="1"/>
  <c r="AB314" i="1"/>
  <c r="AD314" i="1"/>
  <c r="AE314" i="1"/>
  <c r="O315" i="1"/>
  <c r="P315" i="1"/>
  <c r="R315" i="1"/>
  <c r="S315" i="1"/>
  <c r="U315" i="1"/>
  <c r="V315" i="1"/>
  <c r="X315" i="1"/>
  <c r="Y315" i="1"/>
  <c r="AA315" i="1"/>
  <c r="AB315" i="1"/>
  <c r="AD315" i="1"/>
  <c r="AE315" i="1"/>
  <c r="O316" i="1"/>
  <c r="P316" i="1"/>
  <c r="R316" i="1"/>
  <c r="S316" i="1"/>
  <c r="U316" i="1"/>
  <c r="V316" i="1"/>
  <c r="X316" i="1"/>
  <c r="Y316" i="1"/>
  <c r="AA316" i="1"/>
  <c r="AB316" i="1"/>
  <c r="AD316" i="1"/>
  <c r="AE316" i="1"/>
  <c r="O317" i="1"/>
  <c r="P317" i="1"/>
  <c r="R317" i="1"/>
  <c r="S317" i="1"/>
  <c r="U317" i="1"/>
  <c r="V317" i="1"/>
  <c r="X317" i="1"/>
  <c r="Y317" i="1"/>
  <c r="AA317" i="1"/>
  <c r="AB317" i="1"/>
  <c r="AD317" i="1"/>
  <c r="AE317" i="1"/>
  <c r="O318" i="1"/>
  <c r="P318" i="1"/>
  <c r="R318" i="1"/>
  <c r="S318" i="1"/>
  <c r="U318" i="1"/>
  <c r="V318" i="1"/>
  <c r="X318" i="1"/>
  <c r="Y318" i="1"/>
  <c r="AA318" i="1"/>
  <c r="AB318" i="1"/>
  <c r="AD318" i="1"/>
  <c r="AE318" i="1"/>
  <c r="O319" i="1"/>
  <c r="P319" i="1"/>
  <c r="R319" i="1"/>
  <c r="S319" i="1"/>
  <c r="U319" i="1"/>
  <c r="V319" i="1"/>
  <c r="X319" i="1"/>
  <c r="Y319" i="1"/>
  <c r="AA319" i="1"/>
  <c r="AB319" i="1"/>
  <c r="AD319" i="1"/>
  <c r="AE319" i="1"/>
  <c r="O320" i="1"/>
  <c r="P320" i="1"/>
  <c r="R320" i="1"/>
  <c r="S320" i="1"/>
  <c r="U320" i="1"/>
  <c r="V320" i="1"/>
  <c r="X320" i="1"/>
  <c r="Y320" i="1"/>
  <c r="AA320" i="1"/>
  <c r="AB320" i="1"/>
  <c r="AD320" i="1"/>
  <c r="AE320" i="1"/>
  <c r="O321" i="1"/>
  <c r="P321" i="1"/>
  <c r="R321" i="1"/>
  <c r="S321" i="1"/>
  <c r="U321" i="1"/>
  <c r="V321" i="1"/>
  <c r="X321" i="1"/>
  <c r="Y321" i="1"/>
  <c r="AA321" i="1"/>
  <c r="AB321" i="1"/>
  <c r="AD321" i="1"/>
  <c r="AE321" i="1"/>
  <c r="O322" i="1"/>
  <c r="P322" i="1"/>
  <c r="R322" i="1"/>
  <c r="S322" i="1"/>
  <c r="U322" i="1"/>
  <c r="V322" i="1"/>
  <c r="X322" i="1"/>
  <c r="Y322" i="1"/>
  <c r="AA322" i="1"/>
  <c r="AB322" i="1"/>
  <c r="AD322" i="1"/>
  <c r="AE322" i="1"/>
  <c r="O323" i="1"/>
  <c r="P323" i="1"/>
  <c r="R323" i="1"/>
  <c r="S323" i="1"/>
  <c r="U323" i="1"/>
  <c r="V323" i="1"/>
  <c r="X323" i="1"/>
  <c r="Y323" i="1"/>
  <c r="AA323" i="1"/>
  <c r="AB323" i="1"/>
  <c r="AD323" i="1"/>
  <c r="AE323" i="1"/>
  <c r="O324" i="1"/>
  <c r="P324" i="1"/>
  <c r="R324" i="1"/>
  <c r="S324" i="1"/>
  <c r="U324" i="1"/>
  <c r="V324" i="1"/>
  <c r="X324" i="1"/>
  <c r="Y324" i="1"/>
  <c r="AA324" i="1"/>
  <c r="AB324" i="1"/>
  <c r="AD324" i="1"/>
  <c r="AE324" i="1"/>
  <c r="O325" i="1"/>
  <c r="P325" i="1"/>
  <c r="R325" i="1"/>
  <c r="S325" i="1"/>
  <c r="U325" i="1"/>
  <c r="V325" i="1"/>
  <c r="X325" i="1"/>
  <c r="Y325" i="1"/>
  <c r="AA325" i="1"/>
  <c r="AB325" i="1"/>
  <c r="AD325" i="1"/>
  <c r="AE325" i="1"/>
  <c r="O326" i="1"/>
  <c r="P326" i="1"/>
  <c r="R326" i="1"/>
  <c r="S326" i="1"/>
  <c r="U326" i="1"/>
  <c r="V326" i="1"/>
  <c r="X326" i="1"/>
  <c r="Y326" i="1"/>
  <c r="AA326" i="1"/>
  <c r="AB326" i="1"/>
  <c r="AD326" i="1"/>
  <c r="AE326" i="1"/>
  <c r="O327" i="1"/>
  <c r="P327" i="1"/>
  <c r="R327" i="1"/>
  <c r="S327" i="1"/>
  <c r="U327" i="1"/>
  <c r="V327" i="1"/>
  <c r="X327" i="1"/>
  <c r="Y327" i="1"/>
  <c r="AA327" i="1"/>
  <c r="AB327" i="1"/>
  <c r="AD327" i="1"/>
  <c r="AE327" i="1"/>
  <c r="O328" i="1"/>
  <c r="P328" i="1"/>
  <c r="R328" i="1"/>
  <c r="S328" i="1"/>
  <c r="U328" i="1"/>
  <c r="V328" i="1"/>
  <c r="X328" i="1"/>
  <c r="Y328" i="1"/>
  <c r="AA328" i="1"/>
  <c r="AB328" i="1"/>
  <c r="AD328" i="1"/>
  <c r="AE328" i="1"/>
  <c r="O329" i="1"/>
  <c r="P329" i="1"/>
  <c r="R329" i="1"/>
  <c r="S329" i="1"/>
  <c r="U329" i="1"/>
  <c r="V329" i="1"/>
  <c r="X329" i="1"/>
  <c r="Y329" i="1"/>
  <c r="AA329" i="1"/>
  <c r="AB329" i="1"/>
  <c r="AD329" i="1"/>
  <c r="AE329" i="1"/>
  <c r="O330" i="1"/>
  <c r="P330" i="1"/>
  <c r="R330" i="1"/>
  <c r="S330" i="1"/>
  <c r="U330" i="1"/>
  <c r="V330" i="1"/>
  <c r="X330" i="1"/>
  <c r="Y330" i="1"/>
  <c r="AA330" i="1"/>
  <c r="AB330" i="1"/>
  <c r="AD330" i="1"/>
  <c r="AE330" i="1"/>
  <c r="O331" i="1"/>
  <c r="P331" i="1"/>
  <c r="R331" i="1"/>
  <c r="S331" i="1"/>
  <c r="U331" i="1"/>
  <c r="V331" i="1"/>
  <c r="X331" i="1"/>
  <c r="Y331" i="1"/>
  <c r="AA331" i="1"/>
  <c r="AB331" i="1"/>
  <c r="AD331" i="1"/>
  <c r="AE331" i="1"/>
  <c r="O332" i="1"/>
  <c r="P332" i="1"/>
  <c r="R332" i="1"/>
  <c r="S332" i="1"/>
  <c r="U332" i="1"/>
  <c r="V332" i="1"/>
  <c r="X332" i="1"/>
  <c r="Y332" i="1"/>
  <c r="AA332" i="1"/>
  <c r="AB332" i="1"/>
  <c r="AD332" i="1"/>
  <c r="AE332" i="1"/>
  <c r="O333" i="1"/>
  <c r="P333" i="1"/>
  <c r="R333" i="1"/>
  <c r="S333" i="1"/>
  <c r="U333" i="1"/>
  <c r="V333" i="1"/>
  <c r="X333" i="1"/>
  <c r="Y333" i="1"/>
  <c r="AA333" i="1"/>
  <c r="AB333" i="1"/>
  <c r="AD333" i="1"/>
  <c r="AE333" i="1"/>
  <c r="O334" i="1"/>
  <c r="P334" i="1"/>
  <c r="R334" i="1"/>
  <c r="S334" i="1"/>
  <c r="U334" i="1"/>
  <c r="V334" i="1"/>
  <c r="X334" i="1"/>
  <c r="Y334" i="1"/>
  <c r="AA334" i="1"/>
  <c r="AB334" i="1"/>
  <c r="AD334" i="1"/>
  <c r="AE334" i="1"/>
  <c r="O335" i="1"/>
  <c r="P335" i="1"/>
  <c r="R335" i="1"/>
  <c r="S335" i="1"/>
  <c r="U335" i="1"/>
  <c r="V335" i="1"/>
  <c r="X335" i="1"/>
  <c r="Y335" i="1"/>
  <c r="AA335" i="1"/>
  <c r="AB335" i="1"/>
  <c r="AD335" i="1"/>
  <c r="AE335" i="1"/>
  <c r="O336" i="1"/>
  <c r="P336" i="1"/>
  <c r="R336" i="1"/>
  <c r="S336" i="1"/>
  <c r="U336" i="1"/>
  <c r="V336" i="1"/>
  <c r="X336" i="1"/>
  <c r="Y336" i="1"/>
  <c r="AA336" i="1"/>
  <c r="AB336" i="1"/>
  <c r="AD336" i="1"/>
  <c r="AE336" i="1"/>
  <c r="O337" i="1"/>
  <c r="P337" i="1"/>
  <c r="R337" i="1"/>
  <c r="S337" i="1"/>
  <c r="U337" i="1"/>
  <c r="V337" i="1"/>
  <c r="X337" i="1"/>
  <c r="Y337" i="1"/>
  <c r="AA337" i="1"/>
  <c r="AB337" i="1"/>
  <c r="AD337" i="1"/>
  <c r="AE337" i="1"/>
  <c r="O338" i="1"/>
  <c r="P338" i="1"/>
  <c r="R338" i="1"/>
  <c r="S338" i="1"/>
  <c r="U338" i="1"/>
  <c r="V338" i="1"/>
  <c r="X338" i="1"/>
  <c r="Y338" i="1"/>
  <c r="AA338" i="1"/>
  <c r="AB338" i="1"/>
  <c r="AD338" i="1"/>
  <c r="AE338" i="1"/>
  <c r="O340" i="1"/>
  <c r="P340" i="1"/>
  <c r="R340" i="1"/>
  <c r="S340" i="1"/>
  <c r="U340" i="1"/>
  <c r="V340" i="1"/>
  <c r="X340" i="1"/>
  <c r="Y340" i="1"/>
  <c r="AA340" i="1"/>
  <c r="AB340" i="1"/>
  <c r="AD340" i="1"/>
  <c r="AE340" i="1"/>
  <c r="O341" i="1"/>
  <c r="P341" i="1"/>
  <c r="R341" i="1"/>
  <c r="S341" i="1"/>
  <c r="U341" i="1"/>
  <c r="V341" i="1"/>
  <c r="X341" i="1"/>
  <c r="Y341" i="1"/>
  <c r="AA341" i="1"/>
  <c r="AB341" i="1"/>
  <c r="AD341" i="1"/>
  <c r="AE341" i="1"/>
  <c r="O342" i="1"/>
  <c r="P342" i="1"/>
  <c r="R342" i="1"/>
  <c r="S342" i="1"/>
  <c r="U342" i="1"/>
  <c r="V342" i="1"/>
  <c r="X342" i="1"/>
  <c r="Y342" i="1"/>
  <c r="AA342" i="1"/>
  <c r="AB342" i="1"/>
  <c r="AD342" i="1"/>
  <c r="AE342" i="1"/>
  <c r="O343" i="1"/>
  <c r="P343" i="1"/>
  <c r="R343" i="1"/>
  <c r="S343" i="1"/>
  <c r="U343" i="1"/>
  <c r="V343" i="1"/>
  <c r="X343" i="1"/>
  <c r="Y343" i="1"/>
  <c r="AA343" i="1"/>
  <c r="AB343" i="1"/>
  <c r="AD343" i="1"/>
  <c r="AE343" i="1"/>
  <c r="O344" i="1"/>
  <c r="P344" i="1"/>
  <c r="R344" i="1"/>
  <c r="S344" i="1"/>
  <c r="U344" i="1"/>
  <c r="V344" i="1"/>
  <c r="X344" i="1"/>
  <c r="Y344" i="1"/>
  <c r="AA344" i="1"/>
  <c r="AB344" i="1"/>
  <c r="AD344" i="1"/>
  <c r="AE344" i="1"/>
  <c r="O345" i="1"/>
  <c r="P345" i="1"/>
  <c r="R345" i="1"/>
  <c r="S345" i="1"/>
  <c r="U345" i="1"/>
  <c r="V345" i="1"/>
  <c r="X345" i="1"/>
  <c r="Y345" i="1"/>
  <c r="AA345" i="1"/>
  <c r="AB345" i="1"/>
  <c r="AD345" i="1"/>
  <c r="AE345" i="1"/>
  <c r="O346" i="1"/>
  <c r="P346" i="1"/>
  <c r="R346" i="1"/>
  <c r="S346" i="1"/>
  <c r="U346" i="1"/>
  <c r="V346" i="1"/>
  <c r="X346" i="1"/>
  <c r="Y346" i="1"/>
  <c r="AA346" i="1"/>
  <c r="AB346" i="1"/>
  <c r="AD346" i="1"/>
  <c r="AE346" i="1"/>
  <c r="O347" i="1"/>
  <c r="P347" i="1"/>
  <c r="R347" i="1"/>
  <c r="S347" i="1"/>
  <c r="U347" i="1"/>
  <c r="V347" i="1"/>
  <c r="X347" i="1"/>
  <c r="Y347" i="1"/>
  <c r="AA347" i="1"/>
  <c r="AB347" i="1"/>
  <c r="AD347" i="1"/>
  <c r="AE347" i="1"/>
  <c r="O348" i="1"/>
  <c r="P348" i="1"/>
  <c r="R348" i="1"/>
  <c r="S348" i="1"/>
  <c r="U348" i="1"/>
  <c r="V348" i="1"/>
  <c r="X348" i="1"/>
  <c r="Y348" i="1"/>
  <c r="AA348" i="1"/>
  <c r="AB348" i="1"/>
  <c r="AD348" i="1"/>
  <c r="AE348" i="1"/>
  <c r="O349" i="1"/>
  <c r="P349" i="1"/>
  <c r="R349" i="1"/>
  <c r="S349" i="1"/>
  <c r="U349" i="1"/>
  <c r="V349" i="1"/>
  <c r="X349" i="1"/>
  <c r="Y349" i="1"/>
  <c r="AA349" i="1"/>
  <c r="AB349" i="1"/>
  <c r="AD349" i="1"/>
  <c r="AE349" i="1"/>
  <c r="O350" i="1"/>
  <c r="P350" i="1"/>
  <c r="R350" i="1"/>
  <c r="S350" i="1"/>
  <c r="U350" i="1"/>
  <c r="V350" i="1"/>
  <c r="X350" i="1"/>
  <c r="Y350" i="1"/>
  <c r="AA350" i="1"/>
  <c r="AB350" i="1"/>
  <c r="AD350" i="1"/>
  <c r="AE350" i="1"/>
  <c r="O351" i="1"/>
  <c r="P351" i="1"/>
  <c r="R351" i="1"/>
  <c r="S351" i="1"/>
  <c r="U351" i="1"/>
  <c r="V351" i="1"/>
  <c r="X351" i="1"/>
  <c r="Y351" i="1"/>
  <c r="AA351" i="1"/>
  <c r="AB351" i="1"/>
  <c r="AD351" i="1"/>
  <c r="AE351" i="1"/>
  <c r="O352" i="1"/>
  <c r="P352" i="1"/>
  <c r="R352" i="1"/>
  <c r="S352" i="1"/>
  <c r="U352" i="1"/>
  <c r="V352" i="1"/>
  <c r="X352" i="1"/>
  <c r="Y352" i="1"/>
  <c r="AA352" i="1"/>
  <c r="AB352" i="1"/>
  <c r="AD352" i="1"/>
  <c r="AE352" i="1"/>
  <c r="O353" i="1"/>
  <c r="P353" i="1"/>
  <c r="R353" i="1"/>
  <c r="S353" i="1"/>
  <c r="U353" i="1"/>
  <c r="V353" i="1"/>
  <c r="X353" i="1"/>
  <c r="Y353" i="1"/>
  <c r="AA353" i="1"/>
  <c r="AB353" i="1"/>
  <c r="AD353" i="1"/>
  <c r="AE353" i="1"/>
  <c r="O354" i="1"/>
  <c r="P354" i="1"/>
  <c r="R354" i="1"/>
  <c r="S354" i="1"/>
  <c r="U354" i="1"/>
  <c r="V354" i="1"/>
  <c r="X354" i="1"/>
  <c r="Y354" i="1"/>
  <c r="AA354" i="1"/>
  <c r="AB354" i="1"/>
  <c r="AD354" i="1"/>
  <c r="AE354" i="1"/>
  <c r="O355" i="1"/>
  <c r="P355" i="1"/>
  <c r="R355" i="1"/>
  <c r="S355" i="1"/>
  <c r="U355" i="1"/>
  <c r="V355" i="1"/>
  <c r="X355" i="1"/>
  <c r="Y355" i="1"/>
  <c r="AA355" i="1"/>
  <c r="AB355" i="1"/>
  <c r="AD355" i="1"/>
  <c r="AE355" i="1"/>
  <c r="O356" i="1"/>
  <c r="P356" i="1"/>
  <c r="R356" i="1"/>
  <c r="S356" i="1"/>
  <c r="U356" i="1"/>
  <c r="V356" i="1"/>
  <c r="X356" i="1"/>
  <c r="Y356" i="1"/>
  <c r="AA356" i="1"/>
  <c r="AB356" i="1"/>
  <c r="AD356" i="1"/>
  <c r="AE356" i="1"/>
  <c r="O357" i="1"/>
  <c r="P357" i="1"/>
  <c r="R357" i="1"/>
  <c r="S357" i="1"/>
  <c r="U357" i="1"/>
  <c r="V357" i="1"/>
  <c r="X357" i="1"/>
  <c r="Y357" i="1"/>
  <c r="AA357" i="1"/>
  <c r="AB357" i="1"/>
  <c r="AD357" i="1"/>
  <c r="AE357" i="1"/>
  <c r="O358" i="1"/>
  <c r="P358" i="1"/>
  <c r="R358" i="1"/>
  <c r="S358" i="1"/>
  <c r="U358" i="1"/>
  <c r="V358" i="1"/>
  <c r="X358" i="1"/>
  <c r="Y358" i="1"/>
  <c r="AA358" i="1"/>
  <c r="AB358" i="1"/>
  <c r="AD358" i="1"/>
  <c r="AE358" i="1"/>
  <c r="O359" i="1"/>
  <c r="P359" i="1"/>
  <c r="R359" i="1"/>
  <c r="S359" i="1"/>
  <c r="U359" i="1"/>
  <c r="V359" i="1"/>
  <c r="X359" i="1"/>
  <c r="Y359" i="1"/>
  <c r="AA359" i="1"/>
  <c r="AB359" i="1"/>
  <c r="AD359" i="1"/>
  <c r="AE359" i="1"/>
  <c r="O360" i="1"/>
  <c r="P360" i="1"/>
  <c r="R360" i="1"/>
  <c r="S360" i="1"/>
  <c r="U360" i="1"/>
  <c r="V360" i="1"/>
  <c r="X360" i="1"/>
  <c r="Y360" i="1"/>
  <c r="AA360" i="1"/>
  <c r="AB360" i="1"/>
  <c r="AD360" i="1"/>
  <c r="AE360" i="1"/>
  <c r="O361" i="1"/>
  <c r="P361" i="1"/>
  <c r="R361" i="1"/>
  <c r="S361" i="1"/>
  <c r="U361" i="1"/>
  <c r="V361" i="1"/>
  <c r="X361" i="1"/>
  <c r="Y361" i="1"/>
  <c r="AA361" i="1"/>
  <c r="AB361" i="1"/>
  <c r="AD361" i="1"/>
  <c r="AE361" i="1"/>
  <c r="O362" i="1"/>
  <c r="P362" i="1"/>
  <c r="R362" i="1"/>
  <c r="S362" i="1"/>
  <c r="U362" i="1"/>
  <c r="V362" i="1"/>
  <c r="X362" i="1"/>
  <c r="Y362" i="1"/>
  <c r="AA362" i="1"/>
  <c r="AB362" i="1"/>
  <c r="AD362" i="1"/>
  <c r="AE362" i="1"/>
  <c r="O363" i="1"/>
  <c r="P363" i="1"/>
  <c r="R363" i="1"/>
  <c r="S363" i="1"/>
  <c r="U363" i="1"/>
  <c r="V363" i="1"/>
  <c r="X363" i="1"/>
  <c r="Y363" i="1"/>
  <c r="AA363" i="1"/>
  <c r="AB363" i="1"/>
  <c r="AD363" i="1"/>
  <c r="AE363" i="1"/>
  <c r="O364" i="1"/>
  <c r="P364" i="1"/>
  <c r="R364" i="1"/>
  <c r="S364" i="1"/>
  <c r="U364" i="1"/>
  <c r="V364" i="1"/>
  <c r="X364" i="1"/>
  <c r="Y364" i="1"/>
  <c r="AA364" i="1"/>
  <c r="AB364" i="1"/>
  <c r="AD364" i="1"/>
  <c r="AE364" i="1"/>
  <c r="O365" i="1"/>
  <c r="P365" i="1"/>
  <c r="R365" i="1"/>
  <c r="S365" i="1"/>
  <c r="U365" i="1"/>
  <c r="V365" i="1"/>
  <c r="X365" i="1"/>
  <c r="Y365" i="1"/>
  <c r="AA365" i="1"/>
  <c r="AB365" i="1"/>
  <c r="AD365" i="1"/>
  <c r="AE365" i="1"/>
  <c r="O366" i="1"/>
  <c r="P366" i="1"/>
  <c r="R366" i="1"/>
  <c r="S366" i="1"/>
  <c r="U366" i="1"/>
  <c r="V366" i="1"/>
  <c r="X366" i="1"/>
  <c r="Y366" i="1"/>
  <c r="AA366" i="1"/>
  <c r="AB366" i="1"/>
  <c r="AD366" i="1"/>
  <c r="AE366" i="1"/>
  <c r="O367" i="1"/>
  <c r="P367" i="1"/>
  <c r="R367" i="1"/>
  <c r="S367" i="1"/>
  <c r="U367" i="1"/>
  <c r="V367" i="1"/>
  <c r="X367" i="1"/>
  <c r="Y367" i="1"/>
  <c r="AA367" i="1"/>
  <c r="AB367" i="1"/>
  <c r="AD367" i="1"/>
  <c r="AE367" i="1"/>
  <c r="O368" i="1"/>
  <c r="P368" i="1"/>
  <c r="R368" i="1"/>
  <c r="S368" i="1"/>
  <c r="U368" i="1"/>
  <c r="V368" i="1"/>
  <c r="X368" i="1"/>
  <c r="Y368" i="1"/>
  <c r="AA368" i="1"/>
  <c r="AB368" i="1"/>
  <c r="AD368" i="1"/>
  <c r="AE368" i="1"/>
  <c r="O369" i="1"/>
  <c r="P369" i="1"/>
  <c r="R369" i="1"/>
  <c r="S369" i="1"/>
  <c r="U369" i="1"/>
  <c r="V369" i="1"/>
  <c r="X369" i="1"/>
  <c r="Y369" i="1"/>
  <c r="AA369" i="1"/>
  <c r="AB369" i="1"/>
  <c r="AD369" i="1"/>
  <c r="AE369" i="1"/>
  <c r="O370" i="1"/>
  <c r="P370" i="1"/>
  <c r="R370" i="1"/>
  <c r="S370" i="1"/>
  <c r="U370" i="1"/>
  <c r="V370" i="1"/>
  <c r="X370" i="1"/>
  <c r="Y370" i="1"/>
  <c r="AA370" i="1"/>
  <c r="AB370" i="1"/>
  <c r="AD370" i="1"/>
  <c r="AE370" i="1"/>
  <c r="O371" i="1"/>
  <c r="P371" i="1"/>
  <c r="R371" i="1"/>
  <c r="S371" i="1"/>
  <c r="U371" i="1"/>
  <c r="V371" i="1"/>
  <c r="X371" i="1"/>
  <c r="Y371" i="1"/>
  <c r="AA371" i="1"/>
  <c r="AB371" i="1"/>
  <c r="AD371" i="1"/>
  <c r="AE371" i="1"/>
  <c r="O372" i="1"/>
  <c r="P372" i="1"/>
  <c r="R372" i="1"/>
  <c r="S372" i="1"/>
  <c r="U372" i="1"/>
  <c r="V372" i="1"/>
  <c r="X372" i="1"/>
  <c r="Y372" i="1"/>
  <c r="AA372" i="1"/>
  <c r="AB372" i="1"/>
  <c r="AD372" i="1"/>
  <c r="AE372" i="1"/>
  <c r="O373" i="1"/>
  <c r="P373" i="1"/>
  <c r="R373" i="1"/>
  <c r="S373" i="1"/>
  <c r="U373" i="1"/>
  <c r="V373" i="1"/>
  <c r="X373" i="1"/>
  <c r="Y373" i="1"/>
  <c r="AA373" i="1"/>
  <c r="AB373" i="1"/>
  <c r="AD373" i="1"/>
  <c r="AE373" i="1"/>
  <c r="O374" i="1"/>
  <c r="P374" i="1"/>
  <c r="R374" i="1"/>
  <c r="S374" i="1"/>
  <c r="U374" i="1"/>
  <c r="V374" i="1"/>
  <c r="X374" i="1"/>
  <c r="Y374" i="1"/>
  <c r="AA374" i="1"/>
  <c r="AB374" i="1"/>
  <c r="AD374" i="1"/>
  <c r="AE374" i="1"/>
  <c r="O375" i="1"/>
  <c r="P375" i="1"/>
  <c r="R375" i="1"/>
  <c r="S375" i="1"/>
  <c r="U375" i="1"/>
  <c r="V375" i="1"/>
  <c r="X375" i="1"/>
  <c r="Y375" i="1"/>
  <c r="AA375" i="1"/>
  <c r="AB375" i="1"/>
  <c r="AD375" i="1"/>
  <c r="AE375" i="1"/>
  <c r="O376" i="1"/>
  <c r="P376" i="1"/>
  <c r="R376" i="1"/>
  <c r="S376" i="1"/>
  <c r="U376" i="1"/>
  <c r="V376" i="1"/>
  <c r="X376" i="1"/>
  <c r="Y376" i="1"/>
  <c r="AA376" i="1"/>
  <c r="AB376" i="1"/>
  <c r="AD376" i="1"/>
  <c r="AE376" i="1"/>
  <c r="O377" i="1"/>
  <c r="P377" i="1"/>
  <c r="R377" i="1"/>
  <c r="S377" i="1"/>
  <c r="U377" i="1"/>
  <c r="V377" i="1"/>
  <c r="X377" i="1"/>
  <c r="Y377" i="1"/>
  <c r="AA377" i="1"/>
  <c r="AB377" i="1"/>
  <c r="AD377" i="1"/>
  <c r="AE377" i="1"/>
  <c r="O378" i="1"/>
  <c r="P378" i="1"/>
  <c r="R378" i="1"/>
  <c r="S378" i="1"/>
  <c r="U378" i="1"/>
  <c r="V378" i="1"/>
  <c r="X378" i="1"/>
  <c r="Y378" i="1"/>
  <c r="AA378" i="1"/>
  <c r="AB378" i="1"/>
  <c r="AD378" i="1"/>
  <c r="AE378" i="1"/>
  <c r="O379" i="1"/>
  <c r="P379" i="1"/>
  <c r="R379" i="1"/>
  <c r="S379" i="1"/>
  <c r="U379" i="1"/>
  <c r="V379" i="1"/>
  <c r="X379" i="1"/>
  <c r="Y379" i="1"/>
  <c r="AA379" i="1"/>
  <c r="AB379" i="1"/>
  <c r="AD379" i="1"/>
  <c r="AE379" i="1"/>
  <c r="O380" i="1"/>
  <c r="P380" i="1"/>
  <c r="R380" i="1"/>
  <c r="S380" i="1"/>
  <c r="U380" i="1"/>
  <c r="V380" i="1"/>
  <c r="X380" i="1"/>
  <c r="Y380" i="1"/>
  <c r="AA380" i="1"/>
  <c r="AB380" i="1"/>
  <c r="AD380" i="1"/>
  <c r="AE380" i="1"/>
  <c r="O381" i="1"/>
  <c r="P381" i="1"/>
  <c r="R381" i="1"/>
  <c r="S381" i="1"/>
  <c r="U381" i="1"/>
  <c r="V381" i="1"/>
  <c r="X381" i="1"/>
  <c r="Y381" i="1"/>
  <c r="AA381" i="1"/>
  <c r="AB381" i="1"/>
  <c r="AD381" i="1"/>
  <c r="AE381" i="1"/>
  <c r="O382" i="1"/>
  <c r="P382" i="1"/>
  <c r="R382" i="1"/>
  <c r="S382" i="1"/>
  <c r="U382" i="1"/>
  <c r="V382" i="1"/>
  <c r="X382" i="1"/>
  <c r="Y382" i="1"/>
  <c r="AA382" i="1"/>
  <c r="AB382" i="1"/>
  <c r="AD382" i="1"/>
  <c r="AE382" i="1"/>
  <c r="O383" i="1"/>
  <c r="P383" i="1"/>
  <c r="R383" i="1"/>
  <c r="S383" i="1"/>
  <c r="U383" i="1"/>
  <c r="V383" i="1"/>
  <c r="X383" i="1"/>
  <c r="Y383" i="1"/>
  <c r="AA383" i="1"/>
  <c r="AB383" i="1"/>
  <c r="AD383" i="1"/>
  <c r="AE383" i="1"/>
  <c r="O384" i="1"/>
  <c r="P384" i="1"/>
  <c r="R384" i="1"/>
  <c r="S384" i="1"/>
  <c r="U384" i="1"/>
  <c r="V384" i="1"/>
  <c r="X384" i="1"/>
  <c r="Y384" i="1"/>
  <c r="AA384" i="1"/>
  <c r="AB384" i="1"/>
  <c r="AD384" i="1"/>
  <c r="AE384" i="1"/>
  <c r="O385" i="1"/>
  <c r="P385" i="1"/>
  <c r="R385" i="1"/>
  <c r="S385" i="1"/>
  <c r="U385" i="1"/>
  <c r="V385" i="1"/>
  <c r="X385" i="1"/>
  <c r="Y385" i="1"/>
  <c r="AA385" i="1"/>
  <c r="AB385" i="1"/>
  <c r="AD385" i="1"/>
  <c r="AE385" i="1"/>
  <c r="O386" i="1"/>
  <c r="P386" i="1"/>
  <c r="R386" i="1"/>
  <c r="S386" i="1"/>
  <c r="U386" i="1"/>
  <c r="V386" i="1"/>
  <c r="X386" i="1"/>
  <c r="Y386" i="1"/>
  <c r="AA386" i="1"/>
  <c r="AB386" i="1"/>
  <c r="AD386" i="1"/>
  <c r="AE386" i="1"/>
  <c r="O387" i="1"/>
  <c r="P387" i="1"/>
  <c r="R387" i="1"/>
  <c r="S387" i="1"/>
  <c r="U387" i="1"/>
  <c r="V387" i="1"/>
  <c r="X387" i="1"/>
  <c r="Y387" i="1"/>
  <c r="AA387" i="1"/>
  <c r="AB387" i="1"/>
  <c r="AD387" i="1"/>
  <c r="AE387" i="1"/>
  <c r="O388" i="1"/>
  <c r="P388" i="1"/>
  <c r="R388" i="1"/>
  <c r="S388" i="1"/>
  <c r="U388" i="1"/>
  <c r="V388" i="1"/>
  <c r="X388" i="1"/>
  <c r="Y388" i="1"/>
  <c r="AA388" i="1"/>
  <c r="AB388" i="1"/>
  <c r="AD388" i="1"/>
  <c r="AE388" i="1"/>
  <c r="O389" i="1"/>
  <c r="P389" i="1"/>
  <c r="R389" i="1"/>
  <c r="S389" i="1"/>
  <c r="U389" i="1"/>
  <c r="V389" i="1"/>
  <c r="X389" i="1"/>
  <c r="Y389" i="1"/>
  <c r="AA389" i="1"/>
  <c r="AB389" i="1"/>
  <c r="AD389" i="1"/>
  <c r="AE389" i="1"/>
  <c r="O390" i="1"/>
  <c r="P390" i="1"/>
  <c r="R390" i="1"/>
  <c r="S390" i="1"/>
  <c r="U390" i="1"/>
  <c r="V390" i="1"/>
  <c r="X390" i="1"/>
  <c r="Y390" i="1"/>
  <c r="AA390" i="1"/>
  <c r="AB390" i="1"/>
  <c r="AD390" i="1"/>
  <c r="AE390" i="1"/>
  <c r="O391" i="1"/>
  <c r="P391" i="1"/>
  <c r="R391" i="1"/>
  <c r="S391" i="1"/>
  <c r="U391" i="1"/>
  <c r="V391" i="1"/>
  <c r="X391" i="1"/>
  <c r="Y391" i="1"/>
  <c r="AA391" i="1"/>
  <c r="AB391" i="1"/>
  <c r="AD391" i="1"/>
  <c r="AE391" i="1"/>
  <c r="O392" i="1"/>
  <c r="P392" i="1"/>
  <c r="R392" i="1"/>
  <c r="S392" i="1"/>
  <c r="U392" i="1"/>
  <c r="V392" i="1"/>
  <c r="X392" i="1"/>
  <c r="Y392" i="1"/>
  <c r="AA392" i="1"/>
  <c r="AB392" i="1"/>
  <c r="AD392" i="1"/>
  <c r="AE392" i="1"/>
  <c r="O393" i="1"/>
  <c r="P393" i="1"/>
  <c r="R393" i="1"/>
  <c r="S393" i="1"/>
  <c r="U393" i="1"/>
  <c r="V393" i="1"/>
  <c r="X393" i="1"/>
  <c r="Y393" i="1"/>
  <c r="AA393" i="1"/>
  <c r="AB393" i="1"/>
  <c r="AD393" i="1"/>
  <c r="AE393" i="1"/>
  <c r="O394" i="1"/>
  <c r="P394" i="1"/>
  <c r="R394" i="1"/>
  <c r="S394" i="1"/>
  <c r="U394" i="1"/>
  <c r="V394" i="1"/>
  <c r="X394" i="1"/>
  <c r="Y394" i="1"/>
  <c r="AA394" i="1"/>
  <c r="AB394" i="1"/>
  <c r="AD394" i="1"/>
  <c r="AE394" i="1"/>
  <c r="O395" i="1"/>
  <c r="P395" i="1"/>
  <c r="R395" i="1"/>
  <c r="S395" i="1"/>
  <c r="U395" i="1"/>
  <c r="V395" i="1"/>
  <c r="X395" i="1"/>
  <c r="Y395" i="1"/>
  <c r="AA395" i="1"/>
  <c r="AB395" i="1"/>
  <c r="AD395" i="1"/>
  <c r="AE395" i="1"/>
  <c r="O396" i="1"/>
  <c r="P396" i="1"/>
  <c r="R396" i="1"/>
  <c r="S396" i="1"/>
  <c r="U396" i="1"/>
  <c r="V396" i="1"/>
  <c r="X396" i="1"/>
  <c r="Y396" i="1"/>
  <c r="AA396" i="1"/>
  <c r="AB396" i="1"/>
  <c r="AD396" i="1"/>
  <c r="AE396" i="1"/>
  <c r="O397" i="1"/>
  <c r="P397" i="1"/>
  <c r="R397" i="1"/>
  <c r="S397" i="1"/>
  <c r="U397" i="1"/>
  <c r="V397" i="1"/>
  <c r="X397" i="1"/>
  <c r="Y397" i="1"/>
  <c r="AA397" i="1"/>
  <c r="AB397" i="1"/>
  <c r="AD397" i="1"/>
  <c r="AE397" i="1"/>
  <c r="O398" i="1"/>
  <c r="P398" i="1"/>
  <c r="R398" i="1"/>
  <c r="S398" i="1"/>
  <c r="U398" i="1"/>
  <c r="V398" i="1"/>
  <c r="X398" i="1"/>
  <c r="Y398" i="1"/>
  <c r="AA398" i="1"/>
  <c r="AB398" i="1"/>
  <c r="AD398" i="1"/>
  <c r="AE398" i="1"/>
  <c r="O399" i="1"/>
  <c r="P399" i="1"/>
  <c r="R399" i="1"/>
  <c r="S399" i="1"/>
  <c r="U399" i="1"/>
  <c r="V399" i="1"/>
  <c r="X399" i="1"/>
  <c r="Y399" i="1"/>
  <c r="AA399" i="1"/>
  <c r="AB399" i="1"/>
  <c r="AD399" i="1"/>
  <c r="AE399" i="1"/>
  <c r="O400" i="1"/>
  <c r="P400" i="1"/>
  <c r="R400" i="1"/>
  <c r="S400" i="1"/>
  <c r="U400" i="1"/>
  <c r="V400" i="1"/>
  <c r="X400" i="1"/>
  <c r="Y400" i="1"/>
  <c r="AA400" i="1"/>
  <c r="AB400" i="1"/>
  <c r="AD400" i="1"/>
  <c r="AE400" i="1"/>
  <c r="O401" i="1"/>
  <c r="P401" i="1"/>
  <c r="R401" i="1"/>
  <c r="S401" i="1"/>
  <c r="U401" i="1"/>
  <c r="V401" i="1"/>
  <c r="X401" i="1"/>
  <c r="Y401" i="1"/>
  <c r="AA401" i="1"/>
  <c r="AB401" i="1"/>
  <c r="AD401" i="1"/>
  <c r="AE401" i="1"/>
  <c r="O402" i="1"/>
  <c r="P402" i="1"/>
  <c r="R402" i="1"/>
  <c r="S402" i="1"/>
  <c r="U402" i="1"/>
  <c r="V402" i="1"/>
  <c r="X402" i="1"/>
  <c r="Y402" i="1"/>
  <c r="AA402" i="1"/>
  <c r="AB402" i="1"/>
  <c r="AD402" i="1"/>
  <c r="AE402" i="1"/>
  <c r="AE9" i="1"/>
  <c r="AD9" i="1"/>
  <c r="AB9" i="1"/>
  <c r="AA9" i="1"/>
  <c r="Y9" i="1"/>
  <c r="X9" i="1"/>
  <c r="V9" i="1"/>
  <c r="U9" i="1"/>
  <c r="S9" i="1"/>
  <c r="R9" i="1"/>
  <c r="P9" i="1"/>
  <c r="O9" i="1"/>
  <c r="L10" i="1"/>
  <c r="M10" i="1"/>
  <c r="L11" i="1"/>
  <c r="M11" i="1"/>
  <c r="L12" i="1"/>
  <c r="M12" i="1"/>
  <c r="L13" i="1"/>
  <c r="M13" i="1"/>
  <c r="L14" i="1"/>
  <c r="M14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5" i="1"/>
  <c r="M35" i="1"/>
  <c r="L36" i="1"/>
  <c r="M36" i="1"/>
  <c r="L37" i="1"/>
  <c r="M37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8" i="1"/>
  <c r="M68" i="1"/>
  <c r="L69" i="1"/>
  <c r="M69" i="1"/>
  <c r="L70" i="1"/>
  <c r="M70" i="1"/>
  <c r="L71" i="1"/>
  <c r="M71" i="1"/>
  <c r="L72" i="1"/>
  <c r="M72" i="1"/>
  <c r="L73" i="1"/>
  <c r="M73" i="1"/>
  <c r="L76" i="1"/>
  <c r="M76" i="1"/>
  <c r="L78" i="1"/>
  <c r="M78" i="1"/>
  <c r="L79" i="1"/>
  <c r="M79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3" i="1"/>
  <c r="M93" i="1"/>
  <c r="L94" i="1"/>
  <c r="M94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7" i="1"/>
  <c r="M107" i="1"/>
  <c r="L108" i="1"/>
  <c r="M108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3" i="1"/>
  <c r="M143" i="1"/>
  <c r="L144" i="1"/>
  <c r="M144" i="1"/>
  <c r="L145" i="1"/>
  <c r="M145" i="1"/>
  <c r="L146" i="1"/>
  <c r="M146" i="1"/>
  <c r="L147" i="1"/>
  <c r="M147" i="1"/>
  <c r="L148" i="1"/>
  <c r="M148" i="1"/>
  <c r="L149" i="1"/>
  <c r="M149" i="1"/>
  <c r="L150" i="1"/>
  <c r="M150" i="1"/>
  <c r="L151" i="1"/>
  <c r="M151" i="1"/>
  <c r="L153" i="1"/>
  <c r="M153" i="1"/>
  <c r="L154" i="1"/>
  <c r="M154" i="1"/>
  <c r="L155" i="1"/>
  <c r="M155" i="1"/>
  <c r="L156" i="1"/>
  <c r="M156" i="1"/>
  <c r="L157" i="1"/>
  <c r="M157" i="1"/>
  <c r="L158" i="1"/>
  <c r="M158" i="1"/>
  <c r="L159" i="1"/>
  <c r="M159" i="1"/>
  <c r="L160" i="1"/>
  <c r="M160" i="1"/>
  <c r="L161" i="1"/>
  <c r="M161" i="1"/>
  <c r="L162" i="1"/>
  <c r="M162" i="1"/>
  <c r="L163" i="1"/>
  <c r="M163" i="1"/>
  <c r="L164" i="1"/>
  <c r="M164" i="1"/>
  <c r="L165" i="1"/>
  <c r="M165" i="1"/>
  <c r="L166" i="1"/>
  <c r="M166" i="1"/>
  <c r="L167" i="1"/>
  <c r="M167" i="1"/>
  <c r="L168" i="1"/>
  <c r="M168" i="1"/>
  <c r="L169" i="1"/>
  <c r="M169" i="1"/>
  <c r="L170" i="1"/>
  <c r="M170" i="1"/>
  <c r="L171" i="1"/>
  <c r="M171" i="1"/>
  <c r="L172" i="1"/>
  <c r="M172" i="1"/>
  <c r="L173" i="1"/>
  <c r="M173" i="1"/>
  <c r="L174" i="1"/>
  <c r="M174" i="1"/>
  <c r="L175" i="1"/>
  <c r="M175" i="1"/>
  <c r="L176" i="1"/>
  <c r="M176" i="1"/>
  <c r="L177" i="1"/>
  <c r="M177" i="1"/>
  <c r="L178" i="1"/>
  <c r="M178" i="1"/>
  <c r="L179" i="1"/>
  <c r="M179" i="1"/>
  <c r="L180" i="1"/>
  <c r="M180" i="1"/>
  <c r="L181" i="1"/>
  <c r="M181" i="1"/>
  <c r="L182" i="1"/>
  <c r="M182" i="1"/>
  <c r="L183" i="1"/>
  <c r="M183" i="1"/>
  <c r="L184" i="1"/>
  <c r="M184" i="1"/>
  <c r="L185" i="1"/>
  <c r="M185" i="1"/>
  <c r="L186" i="1"/>
  <c r="M186" i="1"/>
  <c r="L187" i="1"/>
  <c r="M187" i="1"/>
  <c r="L188" i="1"/>
  <c r="M188" i="1"/>
  <c r="L189" i="1"/>
  <c r="M189" i="1"/>
  <c r="L190" i="1"/>
  <c r="M190" i="1"/>
  <c r="L191" i="1"/>
  <c r="M191" i="1"/>
  <c r="L192" i="1"/>
  <c r="M192" i="1"/>
  <c r="L193" i="1"/>
  <c r="M193" i="1"/>
  <c r="L194" i="1"/>
  <c r="M194" i="1"/>
  <c r="L195" i="1"/>
  <c r="M195" i="1"/>
  <c r="L196" i="1"/>
  <c r="M196" i="1"/>
  <c r="L197" i="1"/>
  <c r="M197" i="1"/>
  <c r="L198" i="1"/>
  <c r="M198" i="1"/>
  <c r="L199" i="1"/>
  <c r="M199" i="1"/>
  <c r="L200" i="1"/>
  <c r="M200" i="1"/>
  <c r="L201" i="1"/>
  <c r="M201" i="1"/>
  <c r="L202" i="1"/>
  <c r="M202" i="1"/>
  <c r="L203" i="1"/>
  <c r="M203" i="1"/>
  <c r="L204" i="1"/>
  <c r="M204" i="1"/>
  <c r="L206" i="1"/>
  <c r="M206" i="1"/>
  <c r="L207" i="1"/>
  <c r="M207" i="1"/>
  <c r="L208" i="1"/>
  <c r="M208" i="1"/>
  <c r="L209" i="1"/>
  <c r="M209" i="1"/>
  <c r="L211" i="1"/>
  <c r="M211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9" i="1"/>
  <c r="M259" i="1"/>
  <c r="L260" i="1"/>
  <c r="M260" i="1"/>
  <c r="L261" i="1"/>
  <c r="M261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L371" i="1"/>
  <c r="M371" i="1"/>
  <c r="L372" i="1"/>
  <c r="M372" i="1"/>
  <c r="L373" i="1"/>
  <c r="M373" i="1"/>
  <c r="L374" i="1"/>
  <c r="M374" i="1"/>
  <c r="L375" i="1"/>
  <c r="M375" i="1"/>
  <c r="L376" i="1"/>
  <c r="M376" i="1"/>
  <c r="L377" i="1"/>
  <c r="M377" i="1"/>
  <c r="L378" i="1"/>
  <c r="M378" i="1"/>
  <c r="L379" i="1"/>
  <c r="M379" i="1"/>
  <c r="L380" i="1"/>
  <c r="M380" i="1"/>
  <c r="L381" i="1"/>
  <c r="M381" i="1"/>
  <c r="L382" i="1"/>
  <c r="M382" i="1"/>
  <c r="L383" i="1"/>
  <c r="M383" i="1"/>
  <c r="L384" i="1"/>
  <c r="M384" i="1"/>
  <c r="L385" i="1"/>
  <c r="M385" i="1"/>
  <c r="L386" i="1"/>
  <c r="M386" i="1"/>
  <c r="L387" i="1"/>
  <c r="M387" i="1"/>
  <c r="L388" i="1"/>
  <c r="M388" i="1"/>
  <c r="L389" i="1"/>
  <c r="M389" i="1"/>
  <c r="L390" i="1"/>
  <c r="M390" i="1"/>
  <c r="L391" i="1"/>
  <c r="M391" i="1"/>
  <c r="L392" i="1"/>
  <c r="M392" i="1"/>
  <c r="L393" i="1"/>
  <c r="M393" i="1"/>
  <c r="L394" i="1"/>
  <c r="M394" i="1"/>
  <c r="L395" i="1"/>
  <c r="M395" i="1"/>
  <c r="L396" i="1"/>
  <c r="M396" i="1"/>
  <c r="L397" i="1"/>
  <c r="M397" i="1"/>
  <c r="L398" i="1"/>
  <c r="M398" i="1"/>
  <c r="L399" i="1"/>
  <c r="M399" i="1"/>
  <c r="L400" i="1"/>
  <c r="M400" i="1"/>
  <c r="L401" i="1"/>
  <c r="M401" i="1"/>
  <c r="L402" i="1"/>
  <c r="M402" i="1"/>
  <c r="L403" i="1"/>
  <c r="M403" i="1"/>
  <c r="M9" i="1"/>
  <c r="L9" i="1"/>
  <c r="I10" i="1"/>
  <c r="J10" i="1"/>
  <c r="I11" i="1"/>
  <c r="J11" i="1"/>
  <c r="I12" i="1"/>
  <c r="J12" i="1"/>
  <c r="I13" i="1"/>
  <c r="J13" i="1"/>
  <c r="I14" i="1"/>
  <c r="J14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5" i="1"/>
  <c r="J35" i="1"/>
  <c r="I36" i="1"/>
  <c r="J36" i="1"/>
  <c r="I37" i="1"/>
  <c r="J37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8" i="1"/>
  <c r="J68" i="1"/>
  <c r="I69" i="1"/>
  <c r="J69" i="1"/>
  <c r="I70" i="1"/>
  <c r="J70" i="1"/>
  <c r="I71" i="1"/>
  <c r="J71" i="1"/>
  <c r="I72" i="1"/>
  <c r="J72" i="1"/>
  <c r="I73" i="1"/>
  <c r="J73" i="1"/>
  <c r="I76" i="1"/>
  <c r="J76" i="1"/>
  <c r="I78" i="1"/>
  <c r="J78" i="1"/>
  <c r="I79" i="1"/>
  <c r="J79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3" i="1"/>
  <c r="J93" i="1"/>
  <c r="I94" i="1"/>
  <c r="J94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7" i="1"/>
  <c r="J107" i="1"/>
  <c r="I108" i="1"/>
  <c r="J108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6" i="1"/>
  <c r="J206" i="1"/>
  <c r="I207" i="1"/>
  <c r="J207" i="1"/>
  <c r="I208" i="1"/>
  <c r="J208" i="1"/>
  <c r="I209" i="1"/>
  <c r="J209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9" i="1"/>
  <c r="J259" i="1"/>
  <c r="I260" i="1"/>
  <c r="J260" i="1"/>
  <c r="I261" i="1"/>
  <c r="J261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I354" i="1"/>
  <c r="J354" i="1"/>
  <c r="I355" i="1"/>
  <c r="J355" i="1"/>
  <c r="I356" i="1"/>
  <c r="J356" i="1"/>
  <c r="I357" i="1"/>
  <c r="J357" i="1"/>
  <c r="I358" i="1"/>
  <c r="J358" i="1"/>
  <c r="I359" i="1"/>
  <c r="J359" i="1"/>
  <c r="I360" i="1"/>
  <c r="J360" i="1"/>
  <c r="I361" i="1"/>
  <c r="J361" i="1"/>
  <c r="I362" i="1"/>
  <c r="J362" i="1"/>
  <c r="I363" i="1"/>
  <c r="J363" i="1"/>
  <c r="I364" i="1"/>
  <c r="J364" i="1"/>
  <c r="I365" i="1"/>
  <c r="J365" i="1"/>
  <c r="I366" i="1"/>
  <c r="J366" i="1"/>
  <c r="I367" i="1"/>
  <c r="J367" i="1"/>
  <c r="I368" i="1"/>
  <c r="J368" i="1"/>
  <c r="I369" i="1"/>
  <c r="J369" i="1"/>
  <c r="I370" i="1"/>
  <c r="J370" i="1"/>
  <c r="I371" i="1"/>
  <c r="J371" i="1"/>
  <c r="I372" i="1"/>
  <c r="J372" i="1"/>
  <c r="I373" i="1"/>
  <c r="J373" i="1"/>
  <c r="I374" i="1"/>
  <c r="J374" i="1"/>
  <c r="I375" i="1"/>
  <c r="J375" i="1"/>
  <c r="I376" i="1"/>
  <c r="J376" i="1"/>
  <c r="I377" i="1"/>
  <c r="J377" i="1"/>
  <c r="I378" i="1"/>
  <c r="J378" i="1"/>
  <c r="I379" i="1"/>
  <c r="J379" i="1"/>
  <c r="I380" i="1"/>
  <c r="J380" i="1"/>
  <c r="I381" i="1"/>
  <c r="J381" i="1"/>
  <c r="I382" i="1"/>
  <c r="J382" i="1"/>
  <c r="I383" i="1"/>
  <c r="J383" i="1"/>
  <c r="I384" i="1"/>
  <c r="J384" i="1"/>
  <c r="I385" i="1"/>
  <c r="J385" i="1"/>
  <c r="I386" i="1"/>
  <c r="J386" i="1"/>
  <c r="I387" i="1"/>
  <c r="J387" i="1"/>
  <c r="I388" i="1"/>
  <c r="J388" i="1"/>
  <c r="I389" i="1"/>
  <c r="J389" i="1"/>
  <c r="I390" i="1"/>
  <c r="J390" i="1"/>
  <c r="I391" i="1"/>
  <c r="J391" i="1"/>
  <c r="I392" i="1"/>
  <c r="J392" i="1"/>
  <c r="I393" i="1"/>
  <c r="J393" i="1"/>
  <c r="I394" i="1"/>
  <c r="J394" i="1"/>
  <c r="I395" i="1"/>
  <c r="J395" i="1"/>
  <c r="I396" i="1"/>
  <c r="J396" i="1"/>
  <c r="I397" i="1"/>
  <c r="J397" i="1"/>
  <c r="I398" i="1"/>
  <c r="J398" i="1"/>
  <c r="I399" i="1"/>
  <c r="J399" i="1"/>
  <c r="I400" i="1"/>
  <c r="J400" i="1"/>
  <c r="I401" i="1"/>
  <c r="J401" i="1"/>
  <c r="I402" i="1"/>
  <c r="J402" i="1"/>
  <c r="I403" i="1"/>
  <c r="J403" i="1"/>
  <c r="J9" i="1"/>
  <c r="I9" i="1"/>
  <c r="C5" i="29"/>
  <c r="D5" i="29" s="1"/>
  <c r="E5" i="29" s="1"/>
  <c r="F5" i="29" s="1"/>
  <c r="G5" i="29" s="1"/>
  <c r="H5" i="29" s="1"/>
  <c r="I5" i="29" s="1"/>
  <c r="J5" i="29" s="1"/>
  <c r="K5" i="29" s="1"/>
  <c r="L5" i="29" s="1"/>
  <c r="M5" i="29" s="1"/>
  <c r="N5" i="29" s="1"/>
  <c r="O5" i="29" s="1"/>
  <c r="P5" i="29" s="1"/>
  <c r="Q5" i="29" s="1"/>
  <c r="R5" i="29" s="1"/>
  <c r="S5" i="29" s="1"/>
  <c r="T5" i="29" s="1"/>
  <c r="U5" i="29" s="1"/>
  <c r="V5" i="29" s="1"/>
  <c r="W5" i="29" s="1"/>
  <c r="X5" i="29" s="1"/>
  <c r="Y5" i="29" s="1"/>
  <c r="Z5" i="29" s="1"/>
  <c r="AA5" i="29" s="1"/>
  <c r="AB5" i="29" s="1"/>
  <c r="AC5" i="29" s="1"/>
  <c r="AD5" i="29" s="1"/>
  <c r="AE5" i="29" s="1"/>
  <c r="AF5" i="29" s="1"/>
  <c r="AG5" i="29" s="1"/>
  <c r="AH5" i="29" s="1"/>
  <c r="AI5" i="29" s="1"/>
  <c r="AJ5" i="29" s="1"/>
  <c r="AK5" i="29" s="1"/>
  <c r="AL5" i="29" s="1"/>
  <c r="AM5" i="29" s="1"/>
  <c r="AN5" i="29" s="1"/>
  <c r="AO5" i="29" s="1"/>
  <c r="AP5" i="29" s="1"/>
  <c r="AQ5" i="29" s="1"/>
  <c r="AR5" i="29" s="1"/>
  <c r="AS5" i="29" s="1"/>
  <c r="AT5" i="29" s="1"/>
  <c r="AU5" i="29" s="1"/>
  <c r="AV5" i="29" s="1"/>
  <c r="AW5" i="29" s="1"/>
  <c r="AX5" i="29" s="1"/>
  <c r="AY5" i="29" s="1"/>
  <c r="AZ5" i="29" s="1"/>
  <c r="BA5" i="29" s="1"/>
  <c r="BB5" i="29" s="1"/>
  <c r="BC5" i="29" s="1"/>
  <c r="BD5" i="29" s="1"/>
  <c r="BE5" i="29" s="1"/>
  <c r="BF5" i="29" s="1"/>
  <c r="BG5" i="29" s="1"/>
  <c r="BH5" i="29" s="1"/>
  <c r="BI5" i="29" s="1"/>
  <c r="BJ5" i="29" s="1"/>
  <c r="BK5" i="29" s="1"/>
  <c r="BL5" i="29" s="1"/>
  <c r="BM5" i="29" s="1"/>
  <c r="BN5" i="29" s="1"/>
  <c r="BO5" i="29" s="1"/>
  <c r="BP5" i="29" s="1"/>
  <c r="BQ5" i="29" s="1"/>
  <c r="BR5" i="29" s="1"/>
  <c r="BS5" i="29" s="1"/>
  <c r="BT5" i="29" s="1"/>
  <c r="BU5" i="29" s="1"/>
  <c r="BV5" i="29" s="1"/>
  <c r="BW5" i="29" s="1"/>
  <c r="BX5" i="29" s="1"/>
  <c r="BY5" i="29" s="1"/>
  <c r="BZ5" i="29" s="1"/>
  <c r="CA5" i="29" s="1"/>
  <c r="CB5" i="29" s="1"/>
  <c r="CC5" i="29" s="1"/>
  <c r="CD5" i="29" s="1"/>
  <c r="CE5" i="29" s="1"/>
  <c r="CF5" i="29" s="1"/>
  <c r="CG5" i="29" s="1"/>
  <c r="CH5" i="29" s="1"/>
  <c r="CI5" i="29" s="1"/>
  <c r="CJ5" i="29" s="1"/>
  <c r="CK5" i="29" s="1"/>
  <c r="CL5" i="29" s="1"/>
  <c r="CM5" i="29" s="1"/>
  <c r="CN5" i="29" s="1"/>
  <c r="CO5" i="29" s="1"/>
  <c r="CP5" i="29" s="1"/>
  <c r="CQ5" i="29" s="1"/>
  <c r="CR5" i="29" s="1"/>
  <c r="CS5" i="29" s="1"/>
  <c r="CT5" i="29" s="1"/>
  <c r="CU5" i="29" s="1"/>
  <c r="CV5" i="29" s="1"/>
  <c r="CW5" i="29" s="1"/>
  <c r="CX5" i="29" s="1"/>
  <c r="CY5" i="29" s="1"/>
  <c r="CZ5" i="29" s="1"/>
  <c r="DA5" i="29" s="1"/>
  <c r="B5" i="29"/>
  <c r="C5" i="28"/>
  <c r="D5" i="28" s="1"/>
  <c r="E5" i="28" s="1"/>
  <c r="F5" i="28" s="1"/>
  <c r="G5" i="28" s="1"/>
  <c r="H5" i="28" s="1"/>
  <c r="I5" i="28" s="1"/>
  <c r="J5" i="28" s="1"/>
  <c r="K5" i="28" s="1"/>
  <c r="L5" i="28" s="1"/>
  <c r="M5" i="28" s="1"/>
  <c r="N5" i="28" s="1"/>
  <c r="O5" i="28" s="1"/>
  <c r="P5" i="28" s="1"/>
  <c r="Q5" i="28" s="1"/>
  <c r="R5" i="28" s="1"/>
  <c r="S5" i="28" s="1"/>
  <c r="T5" i="28" s="1"/>
  <c r="U5" i="28" s="1"/>
  <c r="V5" i="28" s="1"/>
  <c r="W5" i="28" s="1"/>
  <c r="X5" i="28" s="1"/>
  <c r="Y5" i="28" s="1"/>
  <c r="Z5" i="28" s="1"/>
  <c r="AA5" i="28" s="1"/>
  <c r="AB5" i="28" s="1"/>
  <c r="AC5" i="28" s="1"/>
  <c r="AD5" i="28" s="1"/>
  <c r="AE5" i="28" s="1"/>
  <c r="AF5" i="28" s="1"/>
  <c r="AG5" i="28" s="1"/>
  <c r="AH5" i="28" s="1"/>
  <c r="AI5" i="28" s="1"/>
  <c r="AJ5" i="28" s="1"/>
  <c r="AK5" i="28" s="1"/>
  <c r="AL5" i="28" s="1"/>
  <c r="AM5" i="28" s="1"/>
  <c r="AN5" i="28" s="1"/>
  <c r="AO5" i="28" s="1"/>
  <c r="AP5" i="28" s="1"/>
  <c r="AQ5" i="28" s="1"/>
  <c r="AR5" i="28" s="1"/>
  <c r="AS5" i="28" s="1"/>
  <c r="AT5" i="28" s="1"/>
  <c r="AU5" i="28" s="1"/>
  <c r="AV5" i="28" s="1"/>
  <c r="AW5" i="28" s="1"/>
  <c r="AX5" i="28" s="1"/>
  <c r="AY5" i="28" s="1"/>
  <c r="AZ5" i="28" s="1"/>
  <c r="BA5" i="28" s="1"/>
  <c r="BB5" i="28" s="1"/>
  <c r="BC5" i="28" s="1"/>
  <c r="BD5" i="28" s="1"/>
  <c r="BE5" i="28" s="1"/>
  <c r="BF5" i="28" s="1"/>
  <c r="BG5" i="28" s="1"/>
  <c r="BH5" i="28" s="1"/>
  <c r="BI5" i="28" s="1"/>
  <c r="BJ5" i="28" s="1"/>
  <c r="BK5" i="28" s="1"/>
  <c r="BL5" i="28" s="1"/>
  <c r="BM5" i="28" s="1"/>
  <c r="BN5" i="28" s="1"/>
  <c r="BO5" i="28" s="1"/>
  <c r="BP5" i="28" s="1"/>
  <c r="BQ5" i="28" s="1"/>
  <c r="BR5" i="28" s="1"/>
  <c r="BS5" i="28" s="1"/>
  <c r="BT5" i="28" s="1"/>
  <c r="BU5" i="28" s="1"/>
  <c r="BV5" i="28" s="1"/>
  <c r="BW5" i="28" s="1"/>
  <c r="BX5" i="28" s="1"/>
  <c r="BY5" i="28" s="1"/>
  <c r="BZ5" i="28" s="1"/>
  <c r="CA5" i="28" s="1"/>
  <c r="CB5" i="28" s="1"/>
  <c r="CC5" i="28" s="1"/>
  <c r="CD5" i="28" s="1"/>
  <c r="CE5" i="28" s="1"/>
  <c r="CF5" i="28" s="1"/>
  <c r="CG5" i="28" s="1"/>
  <c r="CH5" i="28" s="1"/>
  <c r="CI5" i="28" s="1"/>
  <c r="CJ5" i="28" s="1"/>
  <c r="CK5" i="28" s="1"/>
  <c r="CL5" i="28" s="1"/>
  <c r="CM5" i="28" s="1"/>
  <c r="CN5" i="28" s="1"/>
  <c r="CO5" i="28" s="1"/>
  <c r="CP5" i="28" s="1"/>
  <c r="CQ5" i="28" s="1"/>
  <c r="CR5" i="28" s="1"/>
  <c r="CS5" i="28" s="1"/>
  <c r="CT5" i="28" s="1"/>
  <c r="CU5" i="28" s="1"/>
  <c r="CV5" i="28" s="1"/>
  <c r="CW5" i="28" s="1"/>
  <c r="CX5" i="28" s="1"/>
  <c r="CY5" i="28" s="1"/>
  <c r="CZ5" i="28" s="1"/>
  <c r="DA5" i="28" s="1"/>
  <c r="B5" i="28"/>
  <c r="C5" i="27"/>
  <c r="D5" i="27" s="1"/>
  <c r="E5" i="27" s="1"/>
  <c r="F5" i="27" s="1"/>
  <c r="G5" i="27" s="1"/>
  <c r="H5" i="27" s="1"/>
  <c r="I5" i="27" s="1"/>
  <c r="J5" i="27" s="1"/>
  <c r="K5" i="27" s="1"/>
  <c r="L5" i="27" s="1"/>
  <c r="M5" i="27" s="1"/>
  <c r="N5" i="27" s="1"/>
  <c r="O5" i="27" s="1"/>
  <c r="P5" i="27" s="1"/>
  <c r="Q5" i="27" s="1"/>
  <c r="R5" i="27" s="1"/>
  <c r="S5" i="27" s="1"/>
  <c r="T5" i="27" s="1"/>
  <c r="U5" i="27" s="1"/>
  <c r="V5" i="27" s="1"/>
  <c r="W5" i="27" s="1"/>
  <c r="X5" i="27" s="1"/>
  <c r="Y5" i="27" s="1"/>
  <c r="Z5" i="27" s="1"/>
  <c r="AA5" i="27" s="1"/>
  <c r="AB5" i="27" s="1"/>
  <c r="AC5" i="27" s="1"/>
  <c r="AD5" i="27" s="1"/>
  <c r="AE5" i="27" s="1"/>
  <c r="AF5" i="27" s="1"/>
  <c r="AG5" i="27" s="1"/>
  <c r="AH5" i="27" s="1"/>
  <c r="AI5" i="27" s="1"/>
  <c r="AJ5" i="27" s="1"/>
  <c r="AK5" i="27" s="1"/>
  <c r="AL5" i="27" s="1"/>
  <c r="AM5" i="27" s="1"/>
  <c r="AN5" i="27" s="1"/>
  <c r="AO5" i="27" s="1"/>
  <c r="AP5" i="27" s="1"/>
  <c r="AQ5" i="27" s="1"/>
  <c r="AR5" i="27" s="1"/>
  <c r="AS5" i="27" s="1"/>
  <c r="AT5" i="27" s="1"/>
  <c r="AU5" i="27" s="1"/>
  <c r="AV5" i="27" s="1"/>
  <c r="AW5" i="27" s="1"/>
  <c r="AX5" i="27" s="1"/>
  <c r="AY5" i="27" s="1"/>
  <c r="AZ5" i="27" s="1"/>
  <c r="BA5" i="27" s="1"/>
  <c r="BB5" i="27" s="1"/>
  <c r="BC5" i="27" s="1"/>
  <c r="BD5" i="27" s="1"/>
  <c r="BE5" i="27" s="1"/>
  <c r="BF5" i="27" s="1"/>
  <c r="BG5" i="27" s="1"/>
  <c r="BH5" i="27" s="1"/>
  <c r="BI5" i="27" s="1"/>
  <c r="BJ5" i="27" s="1"/>
  <c r="BK5" i="27" s="1"/>
  <c r="BL5" i="27" s="1"/>
  <c r="BM5" i="27" s="1"/>
  <c r="BN5" i="27" s="1"/>
  <c r="BO5" i="27" s="1"/>
  <c r="BP5" i="27" s="1"/>
  <c r="BQ5" i="27" s="1"/>
  <c r="BR5" i="27" s="1"/>
  <c r="BS5" i="27" s="1"/>
  <c r="BT5" i="27" s="1"/>
  <c r="BU5" i="27" s="1"/>
  <c r="BV5" i="27" s="1"/>
  <c r="BW5" i="27" s="1"/>
  <c r="BX5" i="27" s="1"/>
  <c r="BY5" i="27" s="1"/>
  <c r="BZ5" i="27" s="1"/>
  <c r="CA5" i="27" s="1"/>
  <c r="CB5" i="27" s="1"/>
  <c r="CC5" i="27" s="1"/>
  <c r="CD5" i="27" s="1"/>
  <c r="CE5" i="27" s="1"/>
  <c r="CF5" i="27" s="1"/>
  <c r="CG5" i="27" s="1"/>
  <c r="CH5" i="27" s="1"/>
  <c r="CI5" i="27" s="1"/>
  <c r="CJ5" i="27" s="1"/>
  <c r="CK5" i="27" s="1"/>
  <c r="CL5" i="27" s="1"/>
  <c r="CM5" i="27" s="1"/>
  <c r="CN5" i="27" s="1"/>
  <c r="CO5" i="27" s="1"/>
  <c r="CP5" i="27" s="1"/>
  <c r="CQ5" i="27" s="1"/>
  <c r="CR5" i="27" s="1"/>
  <c r="CS5" i="27" s="1"/>
  <c r="CT5" i="27" s="1"/>
  <c r="CU5" i="27" s="1"/>
  <c r="CV5" i="27" s="1"/>
  <c r="CW5" i="27" s="1"/>
  <c r="CX5" i="27" s="1"/>
  <c r="CY5" i="27" s="1"/>
  <c r="CZ5" i="27" s="1"/>
  <c r="B5" i="27"/>
  <c r="BG222" i="1" l="1"/>
  <c r="BD213" i="1"/>
  <c r="BG93" i="1"/>
  <c r="BG85" i="1"/>
  <c r="AX76" i="1"/>
  <c r="BM71" i="1"/>
  <c r="BP70" i="1"/>
  <c r="BV150" i="1"/>
  <c r="BY147" i="1"/>
  <c r="CH401" i="1"/>
  <c r="CH400" i="1"/>
  <c r="CH377" i="1"/>
  <c r="CH249" i="1"/>
  <c r="CE176" i="1"/>
  <c r="CK174" i="1"/>
  <c r="CK102" i="1"/>
  <c r="CE102" i="1"/>
  <c r="CK98" i="1"/>
  <c r="CE98" i="1"/>
  <c r="CE284" i="1"/>
  <c r="CK282" i="1"/>
  <c r="CE282" i="1"/>
  <c r="CK280" i="1"/>
  <c r="CE276" i="1"/>
  <c r="CE274" i="1"/>
  <c r="CK272" i="1"/>
  <c r="CH229" i="1"/>
  <c r="CH107" i="1"/>
  <c r="CH103" i="1"/>
  <c r="CH99" i="1"/>
  <c r="CH97" i="1"/>
  <c r="CK68" i="1"/>
  <c r="CE65" i="1"/>
  <c r="CK64" i="1"/>
  <c r="CE62" i="1"/>
  <c r="CK60" i="1"/>
  <c r="CK59" i="1"/>
  <c r="CE59" i="1"/>
  <c r="CK58" i="1"/>
  <c r="CH36" i="1"/>
  <c r="CE32" i="1"/>
  <c r="CE30" i="1"/>
  <c r="CK29" i="1"/>
  <c r="CE29" i="1"/>
  <c r="CH20" i="1"/>
  <c r="AX162" i="1"/>
  <c r="BV389" i="1"/>
  <c r="CB367" i="1"/>
  <c r="BY366" i="1"/>
  <c r="BY362" i="1"/>
  <c r="BY350" i="1"/>
  <c r="BY346" i="1"/>
  <c r="BY342" i="1"/>
  <c r="BV330" i="1"/>
  <c r="BV314" i="1"/>
  <c r="BV183" i="1"/>
  <c r="BY180" i="1"/>
  <c r="CB179" i="1"/>
  <c r="CB173" i="1"/>
  <c r="BV167" i="1"/>
  <c r="CB161" i="1"/>
  <c r="BY160" i="1"/>
  <c r="BV159" i="1"/>
  <c r="BY158" i="1"/>
  <c r="BV114" i="1"/>
  <c r="CK360" i="1"/>
  <c r="CE357" i="1"/>
  <c r="CE349" i="1"/>
  <c r="CK348" i="1"/>
  <c r="CK347" i="1"/>
  <c r="CE347" i="1"/>
  <c r="CK346" i="1"/>
  <c r="CH328" i="1"/>
  <c r="CH283" i="1"/>
  <c r="CH278" i="1"/>
  <c r="CH276" i="1"/>
  <c r="CH275" i="1"/>
  <c r="CE270" i="1"/>
  <c r="CK268" i="1"/>
  <c r="CK245" i="1"/>
  <c r="CE245" i="1"/>
  <c r="CH225" i="1"/>
  <c r="CE196" i="1"/>
  <c r="CK192" i="1"/>
  <c r="CE190" i="1"/>
  <c r="CK189" i="1"/>
  <c r="CE189" i="1"/>
  <c r="CH156" i="1"/>
  <c r="CH154" i="1"/>
  <c r="CK145" i="1"/>
  <c r="CK141" i="1"/>
  <c r="CE141" i="1"/>
  <c r="CK136" i="1"/>
  <c r="CE118" i="1"/>
  <c r="CE113" i="1"/>
  <c r="CE49" i="1"/>
  <c r="CK48" i="1"/>
  <c r="CE47" i="1"/>
  <c r="CE46" i="1"/>
  <c r="CK24" i="1"/>
  <c r="CE24" i="1"/>
  <c r="CE22" i="1"/>
  <c r="CK21" i="1"/>
  <c r="BA293" i="1"/>
  <c r="CB284" i="1"/>
  <c r="BV284" i="1"/>
  <c r="BV274" i="1"/>
  <c r="BY273" i="1"/>
  <c r="BY271" i="1"/>
  <c r="CB270" i="1"/>
  <c r="CB268" i="1"/>
  <c r="BV268" i="1"/>
  <c r="BV266" i="1"/>
  <c r="BY265" i="1"/>
  <c r="BY263" i="1"/>
  <c r="BV261" i="1"/>
  <c r="BY260" i="1"/>
  <c r="BY257" i="1"/>
  <c r="BY255" i="1"/>
  <c r="CB254" i="1"/>
  <c r="CB252" i="1"/>
  <c r="BV252" i="1"/>
  <c r="BY140" i="1"/>
  <c r="CB137" i="1"/>
  <c r="BV137" i="1"/>
  <c r="BV131" i="1"/>
  <c r="BV127" i="1"/>
  <c r="CB125" i="1"/>
  <c r="CB121" i="1"/>
  <c r="BV121" i="1"/>
  <c r="BY101" i="1"/>
  <c r="CB100" i="1"/>
  <c r="BV100" i="1"/>
  <c r="BY99" i="1"/>
  <c r="BV96" i="1"/>
  <c r="CB93" i="1"/>
  <c r="CB81" i="1"/>
  <c r="BY76" i="1"/>
  <c r="BV71" i="1"/>
  <c r="CB69" i="1"/>
  <c r="CB66" i="1"/>
  <c r="BV66" i="1"/>
  <c r="BV64" i="1"/>
  <c r="BY63" i="1"/>
  <c r="CB62" i="1"/>
  <c r="BV62" i="1"/>
  <c r="BY61" i="1"/>
  <c r="BV48" i="1"/>
  <c r="BY47" i="1"/>
  <c r="CB46" i="1"/>
  <c r="CB42" i="1"/>
  <c r="BV42" i="1"/>
  <c r="BY41" i="1"/>
  <c r="CB40" i="1"/>
  <c r="CB37" i="1"/>
  <c r="BV35" i="1"/>
  <c r="BY32" i="1"/>
  <c r="BV19" i="1"/>
  <c r="BY13" i="1"/>
  <c r="CB12" i="1"/>
  <c r="BV12" i="1"/>
  <c r="BY11" i="1"/>
  <c r="BV10" i="1"/>
  <c r="CH383" i="1"/>
  <c r="CH382" i="1"/>
  <c r="CE375" i="1"/>
  <c r="CK374" i="1"/>
  <c r="CK373" i="1"/>
  <c r="CE373" i="1"/>
  <c r="CE372" i="1"/>
  <c r="BP51" i="1"/>
  <c r="BV390" i="1"/>
  <c r="BV386" i="1"/>
  <c r="BY379" i="1"/>
  <c r="CB378" i="1"/>
  <c r="BV378" i="1"/>
  <c r="BV374" i="1"/>
  <c r="BY373" i="1"/>
  <c r="BV370" i="1"/>
  <c r="CB368" i="1"/>
  <c r="BV368" i="1"/>
  <c r="CB356" i="1"/>
  <c r="CB352" i="1"/>
  <c r="BV352" i="1"/>
  <c r="BY351" i="1"/>
  <c r="CB348" i="1"/>
  <c r="BY347" i="1"/>
  <c r="CB346" i="1"/>
  <c r="BV337" i="1"/>
  <c r="BV329" i="1"/>
  <c r="BV325" i="1"/>
  <c r="CB323" i="1"/>
  <c r="BY322" i="1"/>
  <c r="CB321" i="1"/>
  <c r="BY318" i="1"/>
  <c r="BV317" i="1"/>
  <c r="BY316" i="1"/>
  <c r="BV313" i="1"/>
  <c r="BY312" i="1"/>
  <c r="BY310" i="1"/>
  <c r="CB309" i="1"/>
  <c r="BV211" i="1"/>
  <c r="CB201" i="1"/>
  <c r="CB193" i="1"/>
  <c r="CB185" i="1"/>
  <c r="BY184" i="1"/>
  <c r="BV156" i="1"/>
  <c r="CB154" i="1"/>
  <c r="CB105" i="1"/>
  <c r="BY104" i="1"/>
  <c r="CB103" i="1"/>
  <c r="CE401" i="1"/>
  <c r="CK399" i="1"/>
  <c r="CE399" i="1"/>
  <c r="CK398" i="1"/>
  <c r="CK397" i="1"/>
  <c r="CE393" i="1"/>
  <c r="CK391" i="1"/>
  <c r="CE391" i="1"/>
  <c r="CK390" i="1"/>
  <c r="CK389" i="1"/>
  <c r="CH355" i="1"/>
  <c r="CH354" i="1"/>
  <c r="CH353" i="1"/>
  <c r="CH351" i="1"/>
  <c r="CH350" i="1"/>
  <c r="CH349" i="1"/>
  <c r="BG113" i="1"/>
  <c r="BP112" i="1"/>
  <c r="BD102" i="1"/>
  <c r="BM63" i="1"/>
  <c r="BY394" i="1"/>
  <c r="BY390" i="1"/>
  <c r="BY302" i="1"/>
  <c r="BY298" i="1"/>
  <c r="BV297" i="1"/>
  <c r="BV293" i="1"/>
  <c r="CB291" i="1"/>
  <c r="CB283" i="1"/>
  <c r="BY233" i="1"/>
  <c r="BV232" i="1"/>
  <c r="BV228" i="1"/>
  <c r="CB226" i="1"/>
  <c r="BV224" i="1"/>
  <c r="CB222" i="1"/>
  <c r="BY221" i="1"/>
  <c r="BY217" i="1"/>
  <c r="BV216" i="1"/>
  <c r="BY213" i="1"/>
  <c r="CB202" i="1"/>
  <c r="BY156" i="1"/>
  <c r="BV55" i="1"/>
  <c r="CB36" i="1"/>
  <c r="CH396" i="1"/>
  <c r="CH392" i="1"/>
  <c r="CK387" i="1"/>
  <c r="CE387" i="1"/>
  <c r="CK386" i="1"/>
  <c r="CK385" i="1"/>
  <c r="CK376" i="1"/>
  <c r="CE376" i="1"/>
  <c r="CH373" i="1"/>
  <c r="CH367" i="1"/>
  <c r="CH366" i="1"/>
  <c r="CK364" i="1"/>
  <c r="CK230" i="1"/>
  <c r="CK329" i="1"/>
  <c r="CE329" i="1"/>
  <c r="CE326" i="1"/>
  <c r="CK325" i="1"/>
  <c r="CK321" i="1"/>
  <c r="CE321" i="1"/>
  <c r="CE318" i="1"/>
  <c r="CK317" i="1"/>
  <c r="CK256" i="1"/>
  <c r="CE254" i="1"/>
  <c r="CK252" i="1"/>
  <c r="CH233" i="1"/>
  <c r="CE166" i="1"/>
  <c r="CK114" i="1"/>
  <c r="CE114" i="1"/>
  <c r="CH111" i="1"/>
  <c r="CH108" i="1"/>
  <c r="CE11" i="1"/>
  <c r="CH364" i="1"/>
  <c r="CE358" i="1"/>
  <c r="CE354" i="1"/>
  <c r="CE353" i="1"/>
  <c r="CE350" i="1"/>
  <c r="CK349" i="1"/>
  <c r="CH336" i="1"/>
  <c r="CH332" i="1"/>
  <c r="CH331" i="1"/>
  <c r="CH330" i="1"/>
  <c r="CH324" i="1"/>
  <c r="CH323" i="1"/>
  <c r="CH322" i="1"/>
  <c r="CH321" i="1"/>
  <c r="CH319" i="1"/>
  <c r="CH318" i="1"/>
  <c r="CH317" i="1"/>
  <c r="CH316" i="1"/>
  <c r="CK313" i="1"/>
  <c r="CE313" i="1"/>
  <c r="CE309" i="1"/>
  <c r="CK308" i="1"/>
  <c r="CE308" i="1"/>
  <c r="CK304" i="1"/>
  <c r="CE283" i="1"/>
  <c r="CH265" i="1"/>
  <c r="CH263" i="1"/>
  <c r="CH261" i="1"/>
  <c r="CH259" i="1"/>
  <c r="CH255" i="1"/>
  <c r="CH254" i="1"/>
  <c r="CH252" i="1"/>
  <c r="CH251" i="1"/>
  <c r="CH247" i="1"/>
  <c r="CE240" i="1"/>
  <c r="CK239" i="1"/>
  <c r="CK238" i="1"/>
  <c r="CE236" i="1"/>
  <c r="CK235" i="1"/>
  <c r="CK234" i="1"/>
  <c r="CE231" i="1"/>
  <c r="CK184" i="1"/>
  <c r="CK183" i="1"/>
  <c r="CE183" i="1"/>
  <c r="CK161" i="1"/>
  <c r="CE161" i="1"/>
  <c r="CK160" i="1"/>
  <c r="CE158" i="1"/>
  <c r="CK157" i="1"/>
  <c r="CE157" i="1"/>
  <c r="CH149" i="1"/>
  <c r="CK140" i="1"/>
  <c r="CE140" i="1"/>
  <c r="CK138" i="1"/>
  <c r="CE137" i="1"/>
  <c r="CH117" i="1"/>
  <c r="CH115" i="1"/>
  <c r="CK111" i="1"/>
  <c r="CK110" i="1"/>
  <c r="CK108" i="1"/>
  <c r="CE108" i="1"/>
  <c r="CH85" i="1"/>
  <c r="CK83" i="1"/>
  <c r="CE82" i="1"/>
  <c r="CK76" i="1"/>
  <c r="CE73" i="1"/>
  <c r="CE69" i="1"/>
  <c r="CK56" i="1"/>
  <c r="CE54" i="1"/>
  <c r="CK47" i="1"/>
  <c r="CK46" i="1"/>
  <c r="CK27" i="1"/>
  <c r="CK18" i="1"/>
  <c r="CH13" i="1"/>
  <c r="CE338" i="1"/>
  <c r="CK336" i="1"/>
  <c r="CK335" i="1"/>
  <c r="CE335" i="1"/>
  <c r="CK334" i="1"/>
  <c r="CH303" i="1"/>
  <c r="CH302" i="1"/>
  <c r="CH300" i="1"/>
  <c r="CK266" i="1"/>
  <c r="CE263" i="1"/>
  <c r="CK261" i="1"/>
  <c r="CE261" i="1"/>
  <c r="CE228" i="1"/>
  <c r="CH215" i="1"/>
  <c r="CH211" i="1"/>
  <c r="CK198" i="1"/>
  <c r="CK197" i="1"/>
  <c r="CE197" i="1"/>
  <c r="CH188" i="1"/>
  <c r="CH186" i="1"/>
  <c r="CK180" i="1"/>
  <c r="CK179" i="1"/>
  <c r="CE179" i="1"/>
  <c r="CE178" i="1"/>
  <c r="CK172" i="1"/>
  <c r="CE169" i="1"/>
  <c r="CH162" i="1"/>
  <c r="CK155" i="1"/>
  <c r="CE155" i="1"/>
  <c r="CH145" i="1"/>
  <c r="CH144" i="1"/>
  <c r="CH141" i="1"/>
  <c r="CH140" i="1"/>
  <c r="CH138" i="1"/>
  <c r="CK133" i="1"/>
  <c r="CE130" i="1"/>
  <c r="CK124" i="1"/>
  <c r="CK123" i="1"/>
  <c r="CE123" i="1"/>
  <c r="CK121" i="1"/>
  <c r="CE121" i="1"/>
  <c r="CE120" i="1"/>
  <c r="CK118" i="1"/>
  <c r="CE97" i="1"/>
  <c r="CH84" i="1"/>
  <c r="CH81" i="1"/>
  <c r="CH79" i="1"/>
  <c r="CH78" i="1"/>
  <c r="CH76" i="1"/>
  <c r="CH73" i="1"/>
  <c r="CH71" i="1"/>
  <c r="CH70" i="1"/>
  <c r="CE68" i="1"/>
  <c r="CH63" i="1"/>
  <c r="CH62" i="1"/>
  <c r="CH61" i="1"/>
  <c r="CH59" i="1"/>
  <c r="CH58" i="1"/>
  <c r="CH57" i="1"/>
  <c r="CE41" i="1"/>
  <c r="CE25" i="1"/>
  <c r="CH21" i="1"/>
  <c r="CE14" i="1"/>
  <c r="CE13" i="1"/>
  <c r="CE12" i="1"/>
  <c r="BG392" i="1"/>
  <c r="BG311" i="1"/>
  <c r="BA309" i="1"/>
  <c r="BD302" i="1"/>
  <c r="AX300" i="1"/>
  <c r="BM297" i="1"/>
  <c r="BG295" i="1"/>
  <c r="BM293" i="1"/>
  <c r="BG288" i="1"/>
  <c r="BM282" i="1"/>
  <c r="BJ281" i="1"/>
  <c r="AX281" i="1"/>
  <c r="BJ273" i="1"/>
  <c r="BG272" i="1"/>
  <c r="BJ207" i="1"/>
  <c r="BG197" i="1"/>
  <c r="BA191" i="1"/>
  <c r="BJ190" i="1"/>
  <c r="BP188" i="1"/>
  <c r="BM187" i="1"/>
  <c r="BA187" i="1"/>
  <c r="BP186" i="1"/>
  <c r="AX186" i="1"/>
  <c r="BM185" i="1"/>
  <c r="BG173" i="1"/>
  <c r="BP172" i="1"/>
  <c r="BA167" i="1"/>
  <c r="BJ166" i="1"/>
  <c r="BD164" i="1"/>
  <c r="BJ162" i="1"/>
  <c r="BD162" i="1"/>
  <c r="BJ49" i="1"/>
  <c r="BG48" i="1"/>
  <c r="BM42" i="1"/>
  <c r="BG42" i="1"/>
  <c r="BJ41" i="1"/>
  <c r="BA40" i="1"/>
  <c r="BD39" i="1"/>
  <c r="AX39" i="1"/>
  <c r="BY200" i="1"/>
  <c r="CB156" i="1"/>
  <c r="BY136" i="1"/>
  <c r="CE362" i="1"/>
  <c r="CH344" i="1"/>
  <c r="CH281" i="1"/>
  <c r="CH279" i="1"/>
  <c r="CE242" i="1"/>
  <c r="CK240" i="1"/>
  <c r="CE238" i="1"/>
  <c r="CK236" i="1"/>
  <c r="CE234" i="1"/>
  <c r="CK232" i="1"/>
  <c r="BP233" i="1"/>
  <c r="BG230" i="1"/>
  <c r="BP229" i="1"/>
  <c r="BJ229" i="1"/>
  <c r="BA228" i="1"/>
  <c r="BG217" i="1"/>
  <c r="BA159" i="1"/>
  <c r="BP145" i="1"/>
  <c r="BD145" i="1"/>
  <c r="BJ85" i="1"/>
  <c r="BP83" i="1"/>
  <c r="BD83" i="1"/>
  <c r="BA82" i="1"/>
  <c r="BM79" i="1"/>
  <c r="CB364" i="1"/>
  <c r="BV321" i="1"/>
  <c r="BV179" i="1"/>
  <c r="BV115" i="1"/>
  <c r="CB108" i="1"/>
  <c r="BY107" i="1"/>
  <c r="BV31" i="1"/>
  <c r="BY30" i="1"/>
  <c r="BY28" i="1"/>
  <c r="CB27" i="1"/>
  <c r="BV23" i="1"/>
  <c r="BY22" i="1"/>
  <c r="CK395" i="1"/>
  <c r="CH380" i="1"/>
  <c r="CH379" i="1"/>
  <c r="CH378" i="1"/>
  <c r="CH368" i="1"/>
  <c r="CE341" i="1"/>
  <c r="CE330" i="1"/>
  <c r="CK328" i="1"/>
  <c r="CK327" i="1"/>
  <c r="CE327" i="1"/>
  <c r="CK326" i="1"/>
  <c r="CH313" i="1"/>
  <c r="CH311" i="1"/>
  <c r="CH310" i="1"/>
  <c r="CH306" i="1"/>
  <c r="CK298" i="1"/>
  <c r="CE298" i="1"/>
  <c r="CK296" i="1"/>
  <c r="CE292" i="1"/>
  <c r="CK288" i="1"/>
  <c r="CK274" i="1"/>
  <c r="CH245" i="1"/>
  <c r="BD402" i="1"/>
  <c r="BG395" i="1"/>
  <c r="BA393" i="1"/>
  <c r="BJ392" i="1"/>
  <c r="BG363" i="1"/>
  <c r="BG308" i="1"/>
  <c r="BA308" i="1"/>
  <c r="BA306" i="1"/>
  <c r="BP305" i="1"/>
  <c r="BP248" i="1"/>
  <c r="BP201" i="1"/>
  <c r="BJ199" i="1"/>
  <c r="BG198" i="1"/>
  <c r="BM196" i="1"/>
  <c r="AX195" i="1"/>
  <c r="BG194" i="1"/>
  <c r="BA194" i="1"/>
  <c r="BM172" i="1"/>
  <c r="BA172" i="1"/>
  <c r="BP169" i="1"/>
  <c r="BJ133" i="1"/>
  <c r="BG124" i="1"/>
  <c r="BP119" i="1"/>
  <c r="BJ119" i="1"/>
  <c r="BA114" i="1"/>
  <c r="BP113" i="1"/>
  <c r="BD111" i="1"/>
  <c r="BM110" i="1"/>
  <c r="BA110" i="1"/>
  <c r="BP108" i="1"/>
  <c r="BD108" i="1"/>
  <c r="BJ105" i="1"/>
  <c r="BD105" i="1"/>
  <c r="AX101" i="1"/>
  <c r="BJ99" i="1"/>
  <c r="AX97" i="1"/>
  <c r="BJ94" i="1"/>
  <c r="BD94" i="1"/>
  <c r="BD59" i="1"/>
  <c r="BA54" i="1"/>
  <c r="BP53" i="1"/>
  <c r="BM52" i="1"/>
  <c r="BP19" i="1"/>
  <c r="BG11" i="1"/>
  <c r="BY382" i="1"/>
  <c r="BV381" i="1"/>
  <c r="CB379" i="1"/>
  <c r="CB377" i="1"/>
  <c r="CB375" i="1"/>
  <c r="BY374" i="1"/>
  <c r="BV369" i="1"/>
  <c r="BY327" i="1"/>
  <c r="CB324" i="1"/>
  <c r="BY323" i="1"/>
  <c r="CB322" i="1"/>
  <c r="BV322" i="1"/>
  <c r="BY319" i="1"/>
  <c r="CB316" i="1"/>
  <c r="BY315" i="1"/>
  <c r="CB314" i="1"/>
  <c r="BY286" i="1"/>
  <c r="BV285" i="1"/>
  <c r="BY284" i="1"/>
  <c r="CB275" i="1"/>
  <c r="BY274" i="1"/>
  <c r="CB273" i="1"/>
  <c r="BV257" i="1"/>
  <c r="CB255" i="1"/>
  <c r="BV255" i="1"/>
  <c r="BV253" i="1"/>
  <c r="BY252" i="1"/>
  <c r="CB248" i="1"/>
  <c r="BY247" i="1"/>
  <c r="CB225" i="1"/>
  <c r="BY224" i="1"/>
  <c r="CB221" i="1"/>
  <c r="BV215" i="1"/>
  <c r="CB213" i="1"/>
  <c r="BY212" i="1"/>
  <c r="CB211" i="1"/>
  <c r="BV207" i="1"/>
  <c r="CB204" i="1"/>
  <c r="BV192" i="1"/>
  <c r="CB184" i="1"/>
  <c r="BV184" i="1"/>
  <c r="BY183" i="1"/>
  <c r="BY181" i="1"/>
  <c r="BV172" i="1"/>
  <c r="CB170" i="1"/>
  <c r="BY165" i="1"/>
  <c r="CB162" i="1"/>
  <c r="BY145" i="1"/>
  <c r="BV144" i="1"/>
  <c r="CB141" i="1"/>
  <c r="BV141" i="1"/>
  <c r="CB132" i="1"/>
  <c r="BY131" i="1"/>
  <c r="CB116" i="1"/>
  <c r="BV107" i="1"/>
  <c r="CK388" i="1"/>
  <c r="CE381" i="1"/>
  <c r="CH360" i="1"/>
  <c r="CH359" i="1"/>
  <c r="CH358" i="1"/>
  <c r="CH357" i="1"/>
  <c r="CH348" i="1"/>
  <c r="CK338" i="1"/>
  <c r="CE322" i="1"/>
  <c r="CE317" i="1"/>
  <c r="CK316" i="1"/>
  <c r="CH287" i="1"/>
  <c r="CE268" i="1"/>
  <c r="CK267" i="1"/>
  <c r="CE267" i="1"/>
  <c r="CE250" i="1"/>
  <c r="CK248" i="1"/>
  <c r="CE244" i="1"/>
  <c r="BV87" i="1"/>
  <c r="CB85" i="1"/>
  <c r="BV83" i="1"/>
  <c r="BV79" i="1"/>
  <c r="CB49" i="1"/>
  <c r="BY44" i="1"/>
  <c r="BV39" i="1"/>
  <c r="BY37" i="1"/>
  <c r="CB13" i="1"/>
  <c r="BY12" i="1"/>
  <c r="BV11" i="1"/>
  <c r="BY10" i="1"/>
  <c r="CE402" i="1"/>
  <c r="CE397" i="1"/>
  <c r="CK396" i="1"/>
  <c r="CE396" i="1"/>
  <c r="CH393" i="1"/>
  <c r="CH387" i="1"/>
  <c r="CH386" i="1"/>
  <c r="CK379" i="1"/>
  <c r="CE379" i="1"/>
  <c r="CK378" i="1"/>
  <c r="CK377" i="1"/>
  <c r="CK372" i="1"/>
  <c r="CK371" i="1"/>
  <c r="CE370" i="1"/>
  <c r="CK368" i="1"/>
  <c r="CK367" i="1"/>
  <c r="CE367" i="1"/>
  <c r="CK366" i="1"/>
  <c r="CK365" i="1"/>
  <c r="CH361" i="1"/>
  <c r="CK359" i="1"/>
  <c r="CE359" i="1"/>
  <c r="CK358" i="1"/>
  <c r="CH356" i="1"/>
  <c r="CH352" i="1"/>
  <c r="CK344" i="1"/>
  <c r="CK343" i="1"/>
  <c r="CE343" i="1"/>
  <c r="CK342" i="1"/>
  <c r="CH338" i="1"/>
  <c r="CK337" i="1"/>
  <c r="CE337" i="1"/>
  <c r="CE334" i="1"/>
  <c r="CK333" i="1"/>
  <c r="CK332" i="1"/>
  <c r="CH329" i="1"/>
  <c r="CH327" i="1"/>
  <c r="CH326" i="1"/>
  <c r="CH325" i="1"/>
  <c r="CK323" i="1"/>
  <c r="CE323" i="1"/>
  <c r="CK322" i="1"/>
  <c r="CH320" i="1"/>
  <c r="CH299" i="1"/>
  <c r="CH294" i="1"/>
  <c r="CH292" i="1"/>
  <c r="CH291" i="1"/>
  <c r="CE280" i="1"/>
  <c r="CK279" i="1"/>
  <c r="CK278" i="1"/>
  <c r="CK277" i="1"/>
  <c r="CE277" i="1"/>
  <c r="CE275" i="1"/>
  <c r="CH273" i="1"/>
  <c r="CE266" i="1"/>
  <c r="CK264" i="1"/>
  <c r="CH257" i="1"/>
  <c r="CH231" i="1"/>
  <c r="CK115" i="1"/>
  <c r="CH399" i="1"/>
  <c r="CH398" i="1"/>
  <c r="CE395" i="1"/>
  <c r="CK394" i="1"/>
  <c r="CK393" i="1"/>
  <c r="CH391" i="1"/>
  <c r="CH390" i="1"/>
  <c r="CK383" i="1"/>
  <c r="CE383" i="1"/>
  <c r="CK382" i="1"/>
  <c r="CK381" i="1"/>
  <c r="CH374" i="1"/>
  <c r="CH372" i="1"/>
  <c r="CH369" i="1"/>
  <c r="CE365" i="1"/>
  <c r="CE364" i="1"/>
  <c r="CK356" i="1"/>
  <c r="CK355" i="1"/>
  <c r="CE355" i="1"/>
  <c r="CK354" i="1"/>
  <c r="CK352" i="1"/>
  <c r="CK351" i="1"/>
  <c r="CE351" i="1"/>
  <c r="CK350" i="1"/>
  <c r="CH347" i="1"/>
  <c r="CH346" i="1"/>
  <c r="CK340" i="1"/>
  <c r="CH337" i="1"/>
  <c r="CH335" i="1"/>
  <c r="CH334" i="1"/>
  <c r="CH333" i="1"/>
  <c r="CK331" i="1"/>
  <c r="CE331" i="1"/>
  <c r="CK330" i="1"/>
  <c r="CK320" i="1"/>
  <c r="CK319" i="1"/>
  <c r="CE319" i="1"/>
  <c r="CK318" i="1"/>
  <c r="CH315" i="1"/>
  <c r="CH314" i="1"/>
  <c r="CK302" i="1"/>
  <c r="CK301" i="1"/>
  <c r="CE301" i="1"/>
  <c r="CH286" i="1"/>
  <c r="CH284" i="1"/>
  <c r="CE272" i="1"/>
  <c r="CK271" i="1"/>
  <c r="CE256" i="1"/>
  <c r="CK255" i="1"/>
  <c r="CK254" i="1"/>
  <c r="CE252" i="1"/>
  <c r="CK251" i="1"/>
  <c r="CE251" i="1"/>
  <c r="CE226" i="1"/>
  <c r="CK224" i="1"/>
  <c r="CE222" i="1"/>
  <c r="CK214" i="1"/>
  <c r="CH169" i="1"/>
  <c r="CH119" i="1"/>
  <c r="CE81" i="1"/>
  <c r="CK220" i="1"/>
  <c r="CH179" i="1"/>
  <c r="CE172" i="1"/>
  <c r="CK170" i="1"/>
  <c r="CH167" i="1"/>
  <c r="CE124" i="1"/>
  <c r="CK122" i="1"/>
  <c r="CE122" i="1"/>
  <c r="CK120" i="1"/>
  <c r="CH116" i="1"/>
  <c r="CH105" i="1"/>
  <c r="CH104" i="1"/>
  <c r="CH101" i="1"/>
  <c r="CH100" i="1"/>
  <c r="CE90" i="1"/>
  <c r="CE89" i="1"/>
  <c r="CE61" i="1"/>
  <c r="CE58" i="1"/>
  <c r="CH44" i="1"/>
  <c r="CK36" i="1"/>
  <c r="CH29" i="1"/>
  <c r="CH10" i="1"/>
  <c r="CK229" i="1"/>
  <c r="CE229" i="1"/>
  <c r="CH223" i="1"/>
  <c r="CH222" i="1"/>
  <c r="CH220" i="1"/>
  <c r="CH219" i="1"/>
  <c r="CE218" i="1"/>
  <c r="CK216" i="1"/>
  <c r="CE215" i="1"/>
  <c r="CH213" i="1"/>
  <c r="CK208" i="1"/>
  <c r="CE206" i="1"/>
  <c r="CK204" i="1"/>
  <c r="CK194" i="1"/>
  <c r="CE194" i="1"/>
  <c r="CE192" i="1"/>
  <c r="CK190" i="1"/>
  <c r="CH170" i="1"/>
  <c r="CE160" i="1"/>
  <c r="CK158" i="1"/>
  <c r="CH151" i="1"/>
  <c r="CK132" i="1"/>
  <c r="CK131" i="1"/>
  <c r="CE131" i="1"/>
  <c r="CH124" i="1"/>
  <c r="CH120" i="1"/>
  <c r="CE117" i="1"/>
  <c r="CK116" i="1"/>
  <c r="CE116" i="1"/>
  <c r="CE107" i="1"/>
  <c r="CE105" i="1"/>
  <c r="CK103" i="1"/>
  <c r="CE103" i="1"/>
  <c r="CE101" i="1"/>
  <c r="CK99" i="1"/>
  <c r="CE99" i="1"/>
  <c r="CH94" i="1"/>
  <c r="CH89" i="1"/>
  <c r="CH87" i="1"/>
  <c r="CH86" i="1"/>
  <c r="CE84" i="1"/>
  <c r="CH72" i="1"/>
  <c r="CE66" i="1"/>
  <c r="CK55" i="1"/>
  <c r="CE55" i="1"/>
  <c r="CK54" i="1"/>
  <c r="CH52" i="1"/>
  <c r="CK44" i="1"/>
  <c r="CK43" i="1"/>
  <c r="CE43" i="1"/>
  <c r="CK42" i="1"/>
  <c r="CH39" i="1"/>
  <c r="CE28" i="1"/>
  <c r="CK23" i="1"/>
  <c r="CK12" i="1"/>
  <c r="CE10" i="1"/>
  <c r="CE235" i="1"/>
  <c r="CK213" i="1"/>
  <c r="CE213" i="1"/>
  <c r="CH207" i="1"/>
  <c r="CH206" i="1"/>
  <c r="CH204" i="1"/>
  <c r="CH203" i="1"/>
  <c r="CE202" i="1"/>
  <c r="CK200" i="1"/>
  <c r="CE199" i="1"/>
  <c r="CH197" i="1"/>
  <c r="CH194" i="1"/>
  <c r="CH192" i="1"/>
  <c r="CH190" i="1"/>
  <c r="CH189" i="1"/>
  <c r="CE188" i="1"/>
  <c r="CK186" i="1"/>
  <c r="CE185" i="1"/>
  <c r="CH183" i="1"/>
  <c r="CK177" i="1"/>
  <c r="CK176" i="1"/>
  <c r="CE174" i="1"/>
  <c r="CK173" i="1"/>
  <c r="CE173" i="1"/>
  <c r="CH160" i="1"/>
  <c r="CH158" i="1"/>
  <c r="CE154" i="1"/>
  <c r="CK151" i="1"/>
  <c r="CE151" i="1"/>
  <c r="CH148" i="1"/>
  <c r="CH146" i="1"/>
  <c r="CE144" i="1"/>
  <c r="CE138" i="1"/>
  <c r="CK129" i="1"/>
  <c r="CK128" i="1"/>
  <c r="CE126" i="1"/>
  <c r="CK125" i="1"/>
  <c r="CE125" i="1"/>
  <c r="CH118" i="1"/>
  <c r="CE115" i="1"/>
  <c r="CK96" i="1"/>
  <c r="CK79" i="1"/>
  <c r="CE79" i="1"/>
  <c r="CK78" i="1"/>
  <c r="CE76" i="1"/>
  <c r="CK72" i="1"/>
  <c r="CK71" i="1"/>
  <c r="CE71" i="1"/>
  <c r="CK70" i="1"/>
  <c r="CK69" i="1"/>
  <c r="CH68" i="1"/>
  <c r="CH65" i="1"/>
  <c r="CK63" i="1"/>
  <c r="CE63" i="1"/>
  <c r="CK62" i="1"/>
  <c r="CH60" i="1"/>
  <c r="CK52" i="1"/>
  <c r="CK51" i="1"/>
  <c r="CE51" i="1"/>
  <c r="CK50" i="1"/>
  <c r="CH47" i="1"/>
  <c r="CH46" i="1"/>
  <c r="CK40" i="1"/>
  <c r="CH37" i="1"/>
  <c r="CE26" i="1"/>
  <c r="CK25" i="1"/>
  <c r="CH24" i="1"/>
  <c r="CH23" i="1"/>
  <c r="CK20" i="1"/>
  <c r="CE20" i="1"/>
  <c r="CH12" i="1"/>
  <c r="AO364" i="1"/>
  <c r="AO362" i="1"/>
  <c r="AU286" i="1"/>
  <c r="Q316" i="1"/>
  <c r="AC120" i="1"/>
  <c r="AL326" i="1"/>
  <c r="AL276" i="1"/>
  <c r="AL249" i="1"/>
  <c r="AL237" i="1"/>
  <c r="AL235" i="1"/>
  <c r="BA361" i="1"/>
  <c r="AX360" i="1"/>
  <c r="BM357" i="1"/>
  <c r="BG261" i="1"/>
  <c r="BM256" i="1"/>
  <c r="BG256" i="1"/>
  <c r="BA256" i="1"/>
  <c r="BJ255" i="1"/>
  <c r="BD255" i="1"/>
  <c r="AX255" i="1"/>
  <c r="BM244" i="1"/>
  <c r="BA239" i="1"/>
  <c r="BJ234" i="1"/>
  <c r="BJ231" i="1"/>
  <c r="BD221" i="1"/>
  <c r="AX221" i="1"/>
  <c r="BM220" i="1"/>
  <c r="BG220" i="1"/>
  <c r="AX219" i="1"/>
  <c r="BA212" i="1"/>
  <c r="BP211" i="1"/>
  <c r="BJ211" i="1"/>
  <c r="BD211" i="1"/>
  <c r="BG209" i="1"/>
  <c r="BG185" i="1"/>
  <c r="BD184" i="1"/>
  <c r="BG139" i="1"/>
  <c r="BD138" i="1"/>
  <c r="BA137" i="1"/>
  <c r="AX129" i="1"/>
  <c r="AX105" i="1"/>
  <c r="BM102" i="1"/>
  <c r="BG64" i="1"/>
  <c r="BM26" i="1"/>
  <c r="BA26" i="1"/>
  <c r="AX25" i="1"/>
  <c r="BA22" i="1"/>
  <c r="CB403" i="1"/>
  <c r="BY402" i="1"/>
  <c r="BV401" i="1"/>
  <c r="BV399" i="1"/>
  <c r="BV397" i="1"/>
  <c r="CB395" i="1"/>
  <c r="BV392" i="1"/>
  <c r="CB390" i="1"/>
  <c r="CB383" i="1"/>
  <c r="BV373" i="1"/>
  <c r="CB371" i="1"/>
  <c r="BV361" i="1"/>
  <c r="CB359" i="1"/>
  <c r="BV357" i="1"/>
  <c r="BY356" i="1"/>
  <c r="BY354" i="1"/>
  <c r="BV353" i="1"/>
  <c r="BV351" i="1"/>
  <c r="CB347" i="1"/>
  <c r="BV338" i="1"/>
  <c r="BV319" i="1"/>
  <c r="BY311" i="1"/>
  <c r="CB299" i="1"/>
  <c r="BV299" i="1"/>
  <c r="BY294" i="1"/>
  <c r="CB293" i="1"/>
  <c r="BY207" i="1"/>
  <c r="BV203" i="1"/>
  <c r="BV198" i="1"/>
  <c r="CB196" i="1"/>
  <c r="BV194" i="1"/>
  <c r="BV174" i="1"/>
  <c r="BY307" i="1"/>
  <c r="CB306" i="1"/>
  <c r="BV306" i="1"/>
  <c r="BY305" i="1"/>
  <c r="BY303" i="1"/>
  <c r="CB302" i="1"/>
  <c r="CB281" i="1"/>
  <c r="CB279" i="1"/>
  <c r="BV279" i="1"/>
  <c r="BV277" i="1"/>
  <c r="BY276" i="1"/>
  <c r="BV244" i="1"/>
  <c r="CB242" i="1"/>
  <c r="BY240" i="1"/>
  <c r="CB239" i="1"/>
  <c r="BV239" i="1"/>
  <c r="CB237" i="1"/>
  <c r="BV237" i="1"/>
  <c r="BV235" i="1"/>
  <c r="CB224" i="1"/>
  <c r="BV214" i="1"/>
  <c r="BY211" i="1"/>
  <c r="CB197" i="1"/>
  <c r="BY196" i="1"/>
  <c r="CB181" i="1"/>
  <c r="BV175" i="1"/>
  <c r="BY174" i="1"/>
  <c r="CB160" i="1"/>
  <c r="BV158" i="1"/>
  <c r="BY151" i="1"/>
  <c r="CB140" i="1"/>
  <c r="CB138" i="1"/>
  <c r="BY132" i="1"/>
  <c r="CB131" i="1"/>
  <c r="BY117" i="1"/>
  <c r="CB113" i="1"/>
  <c r="BV101" i="1"/>
  <c r="CB99" i="1"/>
  <c r="CB97" i="1"/>
  <c r="CB73" i="1"/>
  <c r="BV73" i="1"/>
  <c r="BY20" i="1"/>
  <c r="CH403" i="1"/>
  <c r="CH402" i="1"/>
  <c r="CK400" i="1"/>
  <c r="CE400" i="1"/>
  <c r="CH397" i="1"/>
  <c r="CE390" i="1"/>
  <c r="CE386" i="1"/>
  <c r="CE382" i="1"/>
  <c r="CE378" i="1"/>
  <c r="AU177" i="1"/>
  <c r="AU169" i="1"/>
  <c r="AU165" i="1"/>
  <c r="AU157" i="1"/>
  <c r="AU151" i="1"/>
  <c r="AU128" i="1"/>
  <c r="BD382" i="1"/>
  <c r="BP374" i="1"/>
  <c r="BD374" i="1"/>
  <c r="AX374" i="1"/>
  <c r="BA373" i="1"/>
  <c r="BP372" i="1"/>
  <c r="AX368" i="1"/>
  <c r="BM365" i="1"/>
  <c r="BA365" i="1"/>
  <c r="BP364" i="1"/>
  <c r="AX364" i="1"/>
  <c r="BM363" i="1"/>
  <c r="AX363" i="1"/>
  <c r="BP361" i="1"/>
  <c r="BA356" i="1"/>
  <c r="AX355" i="1"/>
  <c r="BA344" i="1"/>
  <c r="AX343" i="1"/>
  <c r="BP341" i="1"/>
  <c r="BA337" i="1"/>
  <c r="BJ336" i="1"/>
  <c r="BD334" i="1"/>
  <c r="BG327" i="1"/>
  <c r="BG269" i="1"/>
  <c r="BP264" i="1"/>
  <c r="BM263" i="1"/>
  <c r="BP256" i="1"/>
  <c r="BG253" i="1"/>
  <c r="BD252" i="1"/>
  <c r="BA251" i="1"/>
  <c r="AX250" i="1"/>
  <c r="BG249" i="1"/>
  <c r="BA249" i="1"/>
  <c r="BM243" i="1"/>
  <c r="BA240" i="1"/>
  <c r="BG238" i="1"/>
  <c r="BD237" i="1"/>
  <c r="BG234" i="1"/>
  <c r="BA234" i="1"/>
  <c r="AX222" i="1"/>
  <c r="BM219" i="1"/>
  <c r="BJ218" i="1"/>
  <c r="BD218" i="1"/>
  <c r="BM217" i="1"/>
  <c r="BP212" i="1"/>
  <c r="BP209" i="1"/>
  <c r="BM208" i="1"/>
  <c r="BG208" i="1"/>
  <c r="BA208" i="1"/>
  <c r="BP207" i="1"/>
  <c r="AX185" i="1"/>
  <c r="BD179" i="1"/>
  <c r="BJ173" i="1"/>
  <c r="BG140" i="1"/>
  <c r="BA138" i="1"/>
  <c r="AX137" i="1"/>
  <c r="BM136" i="1"/>
  <c r="BP133" i="1"/>
  <c r="BJ104" i="1"/>
  <c r="AX66" i="1"/>
  <c r="BD64" i="1"/>
  <c r="AX64" i="1"/>
  <c r="BA62" i="1"/>
  <c r="AX26" i="1"/>
  <c r="BM25" i="1"/>
  <c r="BG25" i="1"/>
  <c r="BP24" i="1"/>
  <c r="BJ24" i="1"/>
  <c r="BM23" i="1"/>
  <c r="BG23" i="1"/>
  <c r="BJ22" i="1"/>
  <c r="BD22" i="1"/>
  <c r="BG21" i="1"/>
  <c r="BA21" i="1"/>
  <c r="BM14" i="1"/>
  <c r="BA14" i="1"/>
  <c r="BJ13" i="1"/>
  <c r="AX13" i="1"/>
  <c r="BG12" i="1"/>
  <c r="BA12" i="1"/>
  <c r="BP11" i="1"/>
  <c r="BJ11" i="1"/>
  <c r="BA10" i="1"/>
  <c r="CB400" i="1"/>
  <c r="BY399" i="1"/>
  <c r="BY395" i="1"/>
  <c r="BV393" i="1"/>
  <c r="CB387" i="1"/>
  <c r="BY386" i="1"/>
  <c r="BY385" i="1"/>
  <c r="CE394" i="1"/>
  <c r="BY359" i="1"/>
  <c r="CB340" i="1"/>
  <c r="BY338" i="1"/>
  <c r="CB335" i="1"/>
  <c r="CB331" i="1"/>
  <c r="CB311" i="1"/>
  <c r="BV273" i="1"/>
  <c r="BY270" i="1"/>
  <c r="CB267" i="1"/>
  <c r="BV265" i="1"/>
  <c r="BV231" i="1"/>
  <c r="BV227" i="1"/>
  <c r="BY220" i="1"/>
  <c r="BY216" i="1"/>
  <c r="CB200" i="1"/>
  <c r="BY192" i="1"/>
  <c r="BY179" i="1"/>
  <c r="BY172" i="1"/>
  <c r="BY164" i="1"/>
  <c r="CB149" i="1"/>
  <c r="BY148" i="1"/>
  <c r="CB147" i="1"/>
  <c r="CB112" i="1"/>
  <c r="BY111" i="1"/>
  <c r="CB110" i="1"/>
  <c r="BY108" i="1"/>
  <c r="CB107" i="1"/>
  <c r="BY102" i="1"/>
  <c r="CB89" i="1"/>
  <c r="BY79" i="1"/>
  <c r="CB78" i="1"/>
  <c r="BV78" i="1"/>
  <c r="CB63" i="1"/>
  <c r="CB53" i="1"/>
  <c r="BY52" i="1"/>
  <c r="BV51" i="1"/>
  <c r="BY50" i="1"/>
  <c r="BY36" i="1"/>
  <c r="CB35" i="1"/>
  <c r="BY29" i="1"/>
  <c r="CB28" i="1"/>
  <c r="CB26" i="1"/>
  <c r="BV26" i="1"/>
  <c r="BV24" i="1"/>
  <c r="BY23" i="1"/>
  <c r="BY21" i="1"/>
  <c r="CB20" i="1"/>
  <c r="CE403" i="1"/>
  <c r="CK402" i="1"/>
  <c r="CK401" i="1"/>
  <c r="CE398" i="1"/>
  <c r="CH395" i="1"/>
  <c r="CH394" i="1"/>
  <c r="CK392" i="1"/>
  <c r="CE392" i="1"/>
  <c r="CH389" i="1"/>
  <c r="CE388" i="1"/>
  <c r="CH385" i="1"/>
  <c r="CE384" i="1"/>
  <c r="CH381" i="1"/>
  <c r="CE380" i="1"/>
  <c r="CH375" i="1"/>
  <c r="CE374" i="1"/>
  <c r="CE371" i="1"/>
  <c r="CK370" i="1"/>
  <c r="CK369" i="1"/>
  <c r="CE368" i="1"/>
  <c r="CH363" i="1"/>
  <c r="CH362" i="1"/>
  <c r="CK357" i="1"/>
  <c r="CE356" i="1"/>
  <c r="CE348" i="1"/>
  <c r="CE340" i="1"/>
  <c r="CE332" i="1"/>
  <c r="CE324" i="1"/>
  <c r="CE316" i="1"/>
  <c r="CK310" i="1"/>
  <c r="CE310" i="1"/>
  <c r="CK307" i="1"/>
  <c r="CE307" i="1"/>
  <c r="CH304" i="1"/>
  <c r="CE303" i="1"/>
  <c r="CH301" i="1"/>
  <c r="CK297" i="1"/>
  <c r="CE297" i="1"/>
  <c r="CE294" i="1"/>
  <c r="CK292" i="1"/>
  <c r="CK291" i="1"/>
  <c r="CH288" i="1"/>
  <c r="CE287" i="1"/>
  <c r="CH285" i="1"/>
  <c r="CK281" i="1"/>
  <c r="CE281" i="1"/>
  <c r="CE278" i="1"/>
  <c r="CK276" i="1"/>
  <c r="CK275" i="1"/>
  <c r="CK270" i="1"/>
  <c r="CK269" i="1"/>
  <c r="CE269" i="1"/>
  <c r="CH266" i="1"/>
  <c r="CH264" i="1"/>
  <c r="CE248" i="1"/>
  <c r="CK242" i="1"/>
  <c r="CH234" i="1"/>
  <c r="CH232" i="1"/>
  <c r="CE216" i="1"/>
  <c r="CK209" i="1"/>
  <c r="CE209" i="1"/>
  <c r="CE170" i="1"/>
  <c r="CH371" i="1"/>
  <c r="CH370" i="1"/>
  <c r="CE366" i="1"/>
  <c r="CE363" i="1"/>
  <c r="CK362" i="1"/>
  <c r="CK361" i="1"/>
  <c r="CE360" i="1"/>
  <c r="CK353" i="1"/>
  <c r="CE352" i="1"/>
  <c r="CE344" i="1"/>
  <c r="CE336" i="1"/>
  <c r="CE328" i="1"/>
  <c r="CE320" i="1"/>
  <c r="CE312" i="1"/>
  <c r="CH309" i="1"/>
  <c r="CH308" i="1"/>
  <c r="CE306" i="1"/>
  <c r="CE305" i="1"/>
  <c r="CE302" i="1"/>
  <c r="CK300" i="1"/>
  <c r="CK299" i="1"/>
  <c r="CH298" i="1"/>
  <c r="CH296" i="1"/>
  <c r="CE295" i="1"/>
  <c r="CH293" i="1"/>
  <c r="CE286" i="1"/>
  <c r="CK284" i="1"/>
  <c r="CK283" i="1"/>
  <c r="CH282" i="1"/>
  <c r="CH280" i="1"/>
  <c r="CE279" i="1"/>
  <c r="CH277" i="1"/>
  <c r="CK273" i="1"/>
  <c r="CE273" i="1"/>
  <c r="CE264" i="1"/>
  <c r="CK263" i="1"/>
  <c r="CK257" i="1"/>
  <c r="CE257" i="1"/>
  <c r="CH250" i="1"/>
  <c r="CH248" i="1"/>
  <c r="CE232" i="1"/>
  <c r="CK226" i="1"/>
  <c r="CK225" i="1"/>
  <c r="CE225" i="1"/>
  <c r="CH218" i="1"/>
  <c r="CH216" i="1"/>
  <c r="CE200" i="1"/>
  <c r="CE186" i="1"/>
  <c r="CH201" i="1"/>
  <c r="CH195" i="1"/>
  <c r="CH193" i="1"/>
  <c r="CH187" i="1"/>
  <c r="CE180" i="1"/>
  <c r="CK178" i="1"/>
  <c r="CH171" i="1"/>
  <c r="CE164" i="1"/>
  <c r="CK162" i="1"/>
  <c r="CH155" i="1"/>
  <c r="CH274" i="1"/>
  <c r="CH272" i="1"/>
  <c r="CE271" i="1"/>
  <c r="CH269" i="1"/>
  <c r="CK265" i="1"/>
  <c r="CE265" i="1"/>
  <c r="CK260" i="1"/>
  <c r="CK259" i="1"/>
  <c r="CH256" i="1"/>
  <c r="CE255" i="1"/>
  <c r="CH253" i="1"/>
  <c r="CK249" i="1"/>
  <c r="CE249" i="1"/>
  <c r="CE246" i="1"/>
  <c r="CK244" i="1"/>
  <c r="CK243" i="1"/>
  <c r="CH242" i="1"/>
  <c r="CH240" i="1"/>
  <c r="CE239" i="1"/>
  <c r="CH237" i="1"/>
  <c r="CK233" i="1"/>
  <c r="CE233" i="1"/>
  <c r="CE230" i="1"/>
  <c r="CK228" i="1"/>
  <c r="CK227" i="1"/>
  <c r="CH226" i="1"/>
  <c r="CH224" i="1"/>
  <c r="CE223" i="1"/>
  <c r="CH221" i="1"/>
  <c r="CK217" i="1"/>
  <c r="CE217" i="1"/>
  <c r="CE214" i="1"/>
  <c r="CK212" i="1"/>
  <c r="CK211" i="1"/>
  <c r="CH208" i="1"/>
  <c r="CE207" i="1"/>
  <c r="CK201" i="1"/>
  <c r="CE201" i="1"/>
  <c r="CE198" i="1"/>
  <c r="CK196" i="1"/>
  <c r="CK195" i="1"/>
  <c r="CE195" i="1"/>
  <c r="CK193" i="1"/>
  <c r="CE193" i="1"/>
  <c r="CH191" i="1"/>
  <c r="CK187" i="1"/>
  <c r="CE187" i="1"/>
  <c r="CE184" i="1"/>
  <c r="CK182" i="1"/>
  <c r="CK181" i="1"/>
  <c r="CH180" i="1"/>
  <c r="CH178" i="1"/>
  <c r="CE177" i="1"/>
  <c r="CH175" i="1"/>
  <c r="CK171" i="1"/>
  <c r="CE171" i="1"/>
  <c r="CE168" i="1"/>
  <c r="CK166" i="1"/>
  <c r="CK165" i="1"/>
  <c r="CH164" i="1"/>
  <c r="CH260" i="1"/>
  <c r="CE259" i="1"/>
  <c r="CK253" i="1"/>
  <c r="CE253" i="1"/>
  <c r="CK247" i="1"/>
  <c r="CH246" i="1"/>
  <c r="CH244" i="1"/>
  <c r="CE243" i="1"/>
  <c r="CK237" i="1"/>
  <c r="CE237" i="1"/>
  <c r="CK231" i="1"/>
  <c r="CH230" i="1"/>
  <c r="CH228" i="1"/>
  <c r="CE227" i="1"/>
  <c r="CK221" i="1"/>
  <c r="CE221" i="1"/>
  <c r="CK215" i="1"/>
  <c r="CH214" i="1"/>
  <c r="CH212" i="1"/>
  <c r="CE211" i="1"/>
  <c r="CK199" i="1"/>
  <c r="CH198" i="1"/>
  <c r="CH196" i="1"/>
  <c r="CK191" i="1"/>
  <c r="CE191" i="1"/>
  <c r="CK185" i="1"/>
  <c r="CH184" i="1"/>
  <c r="CH182" i="1"/>
  <c r="CE181" i="1"/>
  <c r="CK175" i="1"/>
  <c r="CE175" i="1"/>
  <c r="CK169" i="1"/>
  <c r="CH168" i="1"/>
  <c r="CH166" i="1"/>
  <c r="CE165" i="1"/>
  <c r="CH161" i="1"/>
  <c r="CH157" i="1"/>
  <c r="CE153" i="1"/>
  <c r="CK144" i="1"/>
  <c r="CH125" i="1"/>
  <c r="CE148" i="1"/>
  <c r="CK146" i="1"/>
  <c r="CH139" i="1"/>
  <c r="CE132" i="1"/>
  <c r="CK130" i="1"/>
  <c r="CH123" i="1"/>
  <c r="CH121" i="1"/>
  <c r="CK104" i="1"/>
  <c r="CE104" i="1"/>
  <c r="CK100" i="1"/>
  <c r="CE100" i="1"/>
  <c r="CE94" i="1"/>
  <c r="CK90" i="1"/>
  <c r="CE88" i="1"/>
  <c r="CH83" i="1"/>
  <c r="CE78" i="1"/>
  <c r="CE72" i="1"/>
  <c r="CE60" i="1"/>
  <c r="CE52" i="1"/>
  <c r="CE44" i="1"/>
  <c r="CH31" i="1"/>
  <c r="CK26" i="1"/>
  <c r="CK13" i="1"/>
  <c r="CK10" i="1"/>
  <c r="CH159" i="1"/>
  <c r="CK150" i="1"/>
  <c r="CE145" i="1"/>
  <c r="CH143" i="1"/>
  <c r="CK139" i="1"/>
  <c r="CE139" i="1"/>
  <c r="CE136" i="1"/>
  <c r="CE129" i="1"/>
  <c r="CH127" i="1"/>
  <c r="CE112" i="1"/>
  <c r="CE110" i="1"/>
  <c r="CH14" i="1"/>
  <c r="CH163" i="1"/>
  <c r="CK159" i="1"/>
  <c r="CE159" i="1"/>
  <c r="CE156" i="1"/>
  <c r="CK154" i="1"/>
  <c r="CK153" i="1"/>
  <c r="CH150" i="1"/>
  <c r="CE149" i="1"/>
  <c r="CH147" i="1"/>
  <c r="CK143" i="1"/>
  <c r="CE143" i="1"/>
  <c r="CK137" i="1"/>
  <c r="CH136" i="1"/>
  <c r="CE133" i="1"/>
  <c r="CH131" i="1"/>
  <c r="CK127" i="1"/>
  <c r="CE127" i="1"/>
  <c r="CK119" i="1"/>
  <c r="CK113" i="1"/>
  <c r="CH112" i="1"/>
  <c r="CH110" i="1"/>
  <c r="CE96" i="1"/>
  <c r="CE86" i="1"/>
  <c r="CK82" i="1"/>
  <c r="CE70" i="1"/>
  <c r="CK66" i="1"/>
  <c r="CE64" i="1"/>
  <c r="CE56" i="1"/>
  <c r="CE48" i="1"/>
  <c r="CE40" i="1"/>
  <c r="CH35" i="1"/>
  <c r="CK30" i="1"/>
  <c r="CH27" i="1"/>
  <c r="CK22" i="1"/>
  <c r="CH19" i="1"/>
  <c r="CK14" i="1"/>
  <c r="CH11" i="1"/>
  <c r="CH122" i="1"/>
  <c r="CK117" i="1"/>
  <c r="CE111" i="1"/>
  <c r="CK101" i="1"/>
  <c r="CH98" i="1"/>
  <c r="CK89" i="1"/>
  <c r="CH82" i="1"/>
  <c r="CK73" i="1"/>
  <c r="CH66" i="1"/>
  <c r="CK61" i="1"/>
  <c r="CK53" i="1"/>
  <c r="CK45" i="1"/>
  <c r="CE35" i="1"/>
  <c r="CH30" i="1"/>
  <c r="CE27" i="1"/>
  <c r="CH22" i="1"/>
  <c r="CE19" i="1"/>
  <c r="CE119" i="1"/>
  <c r="CH114" i="1"/>
  <c r="CK105" i="1"/>
  <c r="CH102" i="1"/>
  <c r="CK97" i="1"/>
  <c r="CH90" i="1"/>
  <c r="CE83" i="1"/>
  <c r="CK81" i="1"/>
  <c r="CK65" i="1"/>
  <c r="CK57" i="1"/>
  <c r="CK49" i="1"/>
  <c r="CK41" i="1"/>
  <c r="CE31" i="1"/>
  <c r="CH26" i="1"/>
  <c r="CE23" i="1"/>
  <c r="CH18" i="1"/>
  <c r="AF114" i="1"/>
  <c r="AU300" i="1"/>
  <c r="AU292" i="1"/>
  <c r="AU234" i="1"/>
  <c r="AU233" i="1"/>
  <c r="AU230" i="1"/>
  <c r="AU225" i="1"/>
  <c r="AO225" i="1"/>
  <c r="AL389" i="1"/>
  <c r="AL388" i="1"/>
  <c r="AL386" i="1"/>
  <c r="AL383" i="1"/>
  <c r="AL381" i="1"/>
  <c r="AL365" i="1"/>
  <c r="AL364" i="1"/>
  <c r="AR363" i="1"/>
  <c r="AL361" i="1"/>
  <c r="AL360" i="1"/>
  <c r="AR359" i="1"/>
  <c r="AL358" i="1"/>
  <c r="AR357" i="1"/>
  <c r="AL353" i="1"/>
  <c r="AL352" i="1"/>
  <c r="AR351" i="1"/>
  <c r="AU214" i="1"/>
  <c r="AU213" i="1"/>
  <c r="AU211" i="1"/>
  <c r="AO211" i="1"/>
  <c r="AU204" i="1"/>
  <c r="AO204" i="1"/>
  <c r="AU202" i="1"/>
  <c r="AU185" i="1"/>
  <c r="AU184" i="1"/>
  <c r="AO184" i="1"/>
  <c r="AU182" i="1"/>
  <c r="AU180" i="1"/>
  <c r="AO180" i="1"/>
  <c r="AU178" i="1"/>
  <c r="AU53" i="1"/>
  <c r="AU29" i="1"/>
  <c r="AU21" i="1"/>
  <c r="BP402" i="1"/>
  <c r="BG386" i="1"/>
  <c r="BJ385" i="1"/>
  <c r="BA384" i="1"/>
  <c r="BJ383" i="1"/>
  <c r="BD383" i="1"/>
  <c r="AX383" i="1"/>
  <c r="AX382" i="1"/>
  <c r="BM381" i="1"/>
  <c r="BA381" i="1"/>
  <c r="BJ380" i="1"/>
  <c r="BG379" i="1"/>
  <c r="BP378" i="1"/>
  <c r="BD378" i="1"/>
  <c r="BJ372" i="1"/>
  <c r="BG371" i="1"/>
  <c r="BD354" i="1"/>
  <c r="BM353" i="1"/>
  <c r="BG353" i="1"/>
  <c r="BJ352" i="1"/>
  <c r="BD352" i="1"/>
  <c r="BM349" i="1"/>
  <c r="BG347" i="1"/>
  <c r="BP346" i="1"/>
  <c r="BJ346" i="1"/>
  <c r="BM345" i="1"/>
  <c r="BG345" i="1"/>
  <c r="BA345" i="1"/>
  <c r="BP344" i="1"/>
  <c r="BJ344" i="1"/>
  <c r="AX344" i="1"/>
  <c r="BM343" i="1"/>
  <c r="BD342" i="1"/>
  <c r="AX342" i="1"/>
  <c r="BG336" i="1"/>
  <c r="BA336" i="1"/>
  <c r="BP335" i="1"/>
  <c r="BJ335" i="1"/>
  <c r="BM334" i="1"/>
  <c r="BG334" i="1"/>
  <c r="BJ333" i="1"/>
  <c r="BD333" i="1"/>
  <c r="BP280" i="1"/>
  <c r="BM271" i="1"/>
  <c r="BA271" i="1"/>
  <c r="BJ270" i="1"/>
  <c r="AX270" i="1"/>
  <c r="BM269" i="1"/>
  <c r="BJ247" i="1"/>
  <c r="BD247" i="1"/>
  <c r="AX247" i="1"/>
  <c r="BG246" i="1"/>
  <c r="BP245" i="1"/>
  <c r="BJ235" i="1"/>
  <c r="AX235" i="1"/>
  <c r="BM232" i="1"/>
  <c r="BD224" i="1"/>
  <c r="BA223" i="1"/>
  <c r="BP222" i="1"/>
  <c r="BD222" i="1"/>
  <c r="BP217" i="1"/>
  <c r="BM216" i="1"/>
  <c r="BG216" i="1"/>
  <c r="BA216" i="1"/>
  <c r="BP215" i="1"/>
  <c r="BG214" i="1"/>
  <c r="BM190" i="1"/>
  <c r="BD187" i="1"/>
  <c r="BM184" i="1"/>
  <c r="BA184" i="1"/>
  <c r="BJ183" i="1"/>
  <c r="BM159" i="1"/>
  <c r="BP156" i="1"/>
  <c r="BA155" i="1"/>
  <c r="BJ154" i="1"/>
  <c r="BP143" i="1"/>
  <c r="BM130" i="1"/>
  <c r="BA130" i="1"/>
  <c r="BJ129" i="1"/>
  <c r="BD129" i="1"/>
  <c r="BA126" i="1"/>
  <c r="BJ125" i="1"/>
  <c r="AX125" i="1"/>
  <c r="BM124" i="1"/>
  <c r="BD114" i="1"/>
  <c r="BD104" i="1"/>
  <c r="AX104" i="1"/>
  <c r="BM103" i="1"/>
  <c r="BP102" i="1"/>
  <c r="BJ102" i="1"/>
  <c r="BP88" i="1"/>
  <c r="BA83" i="1"/>
  <c r="BP82" i="1"/>
  <c r="BD79" i="1"/>
  <c r="BG69" i="1"/>
  <c r="BM66" i="1"/>
  <c r="BM58" i="1"/>
  <c r="BP57" i="1"/>
  <c r="BJ57" i="1"/>
  <c r="AX45" i="1"/>
  <c r="BG44" i="1"/>
  <c r="BD43" i="1"/>
  <c r="BA35" i="1"/>
  <c r="BP32" i="1"/>
  <c r="BJ32" i="1"/>
  <c r="BD32" i="1"/>
  <c r="AX32" i="1"/>
  <c r="BM31" i="1"/>
  <c r="BG31" i="1"/>
  <c r="BJ30" i="1"/>
  <c r="BD30" i="1"/>
  <c r="AX30" i="1"/>
  <c r="BM29" i="1"/>
  <c r="BG29" i="1"/>
  <c r="BA29" i="1"/>
  <c r="BD28" i="1"/>
  <c r="AX28" i="1"/>
  <c r="BM27" i="1"/>
  <c r="BG27" i="1"/>
  <c r="BA27" i="1"/>
  <c r="CB399" i="1"/>
  <c r="BY398" i="1"/>
  <c r="CB393" i="1"/>
  <c r="CB391" i="1"/>
  <c r="AR350" i="1"/>
  <c r="AL348" i="1"/>
  <c r="AR347" i="1"/>
  <c r="AR346" i="1"/>
  <c r="AL342" i="1"/>
  <c r="AL334" i="1"/>
  <c r="AL332" i="1"/>
  <c r="AR331" i="1"/>
  <c r="AR330" i="1"/>
  <c r="AL328" i="1"/>
  <c r="AR327" i="1"/>
  <c r="AR326" i="1"/>
  <c r="AL284" i="1"/>
  <c r="AR283" i="1"/>
  <c r="AR282" i="1"/>
  <c r="AL280" i="1"/>
  <c r="AR276" i="1"/>
  <c r="AL233" i="1"/>
  <c r="AL232" i="1"/>
  <c r="AR231" i="1"/>
  <c r="AL230" i="1"/>
  <c r="AR229" i="1"/>
  <c r="AL229" i="1"/>
  <c r="AR227" i="1"/>
  <c r="AL227" i="1"/>
  <c r="AR213" i="1"/>
  <c r="AL213" i="1"/>
  <c r="AR212" i="1"/>
  <c r="AL212" i="1"/>
  <c r="AR211" i="1"/>
  <c r="AL211" i="1"/>
  <c r="AR204" i="1"/>
  <c r="AL204" i="1"/>
  <c r="AR203" i="1"/>
  <c r="AL203" i="1"/>
  <c r="AR202" i="1"/>
  <c r="AL202" i="1"/>
  <c r="AR200" i="1"/>
  <c r="AL200" i="1"/>
  <c r="AR199" i="1"/>
  <c r="AL199" i="1"/>
  <c r="AR198" i="1"/>
  <c r="AL198" i="1"/>
  <c r="AR196" i="1"/>
  <c r="AL196" i="1"/>
  <c r="AR195" i="1"/>
  <c r="AL195" i="1"/>
  <c r="AR194" i="1"/>
  <c r="AL194" i="1"/>
  <c r="AR192" i="1"/>
  <c r="AL192" i="1"/>
  <c r="AR191" i="1"/>
  <c r="AL191" i="1"/>
  <c r="AR190" i="1"/>
  <c r="AL190" i="1"/>
  <c r="AR188" i="1"/>
  <c r="AR187" i="1"/>
  <c r="AL187" i="1"/>
  <c r="AL186" i="1"/>
  <c r="AR20" i="1"/>
  <c r="AX400" i="1"/>
  <c r="BM399" i="1"/>
  <c r="BA399" i="1"/>
  <c r="BJ398" i="1"/>
  <c r="BA385" i="1"/>
  <c r="BP384" i="1"/>
  <c r="BJ384" i="1"/>
  <c r="AX384" i="1"/>
  <c r="BM383" i="1"/>
  <c r="BG383" i="1"/>
  <c r="BJ382" i="1"/>
  <c r="AX375" i="1"/>
  <c r="AX371" i="1"/>
  <c r="BD351" i="1"/>
  <c r="BA350" i="1"/>
  <c r="AX349" i="1"/>
  <c r="BP347" i="1"/>
  <c r="BJ320" i="1"/>
  <c r="BP318" i="1"/>
  <c r="BJ318" i="1"/>
  <c r="AX316" i="1"/>
  <c r="BM313" i="1"/>
  <c r="AX312" i="1"/>
  <c r="BM311" i="1"/>
  <c r="BP261" i="1"/>
  <c r="BM247" i="1"/>
  <c r="BA244" i="1"/>
  <c r="BD232" i="1"/>
  <c r="BG231" i="1"/>
  <c r="AX227" i="1"/>
  <c r="BP225" i="1"/>
  <c r="BJ225" i="1"/>
  <c r="BD225" i="1"/>
  <c r="AX225" i="1"/>
  <c r="BJ223" i="1"/>
  <c r="BA215" i="1"/>
  <c r="AX214" i="1"/>
  <c r="BM213" i="1"/>
  <c r="BA213" i="1"/>
  <c r="BD208" i="1"/>
  <c r="BM207" i="1"/>
  <c r="BA207" i="1"/>
  <c r="BP206" i="1"/>
  <c r="AX206" i="1"/>
  <c r="BM204" i="1"/>
  <c r="AX203" i="1"/>
  <c r="BM202" i="1"/>
  <c r="BG202" i="1"/>
  <c r="BP200" i="1"/>
  <c r="BA195" i="1"/>
  <c r="BP184" i="1"/>
  <c r="BM179" i="1"/>
  <c r="BJ178" i="1"/>
  <c r="BD176" i="1"/>
  <c r="BM175" i="1"/>
  <c r="BG175" i="1"/>
  <c r="AX174" i="1"/>
  <c r="BM173" i="1"/>
  <c r="AX173" i="1"/>
  <c r="AX159" i="1"/>
  <c r="BM158" i="1"/>
  <c r="BG158" i="1"/>
  <c r="BA158" i="1"/>
  <c r="BJ150" i="1"/>
  <c r="BJ141" i="1"/>
  <c r="BD119" i="1"/>
  <c r="BG116" i="1"/>
  <c r="BG104" i="1"/>
  <c r="BG99" i="1"/>
  <c r="BM90" i="1"/>
  <c r="BG90" i="1"/>
  <c r="BJ81" i="1"/>
  <c r="BJ78" i="1"/>
  <c r="BD78" i="1"/>
  <c r="BJ73" i="1"/>
  <c r="AX73" i="1"/>
  <c r="BG72" i="1"/>
  <c r="BD71" i="1"/>
  <c r="BM70" i="1"/>
  <c r="BG70" i="1"/>
  <c r="BG68" i="1"/>
  <c r="BA68" i="1"/>
  <c r="BP66" i="1"/>
  <c r="BJ66" i="1"/>
  <c r="BD66" i="1"/>
  <c r="BG60" i="1"/>
  <c r="BA60" i="1"/>
  <c r="BJ59" i="1"/>
  <c r="BP35" i="1"/>
  <c r="BD35" i="1"/>
  <c r="BP31" i="1"/>
  <c r="AX29" i="1"/>
  <c r="BP27" i="1"/>
  <c r="BD27" i="1"/>
  <c r="BY391" i="1"/>
  <c r="BJ21" i="1"/>
  <c r="BG20" i="1"/>
  <c r="BP14" i="1"/>
  <c r="BJ14" i="1"/>
  <c r="AX14" i="1"/>
  <c r="BJ12" i="1"/>
  <c r="BD12" i="1"/>
  <c r="BM11" i="1"/>
  <c r="BD10" i="1"/>
  <c r="AX10" i="1"/>
  <c r="CB402" i="1"/>
  <c r="BV402" i="1"/>
  <c r="BY401" i="1"/>
  <c r="BY397" i="1"/>
  <c r="CB396" i="1"/>
  <c r="BV396" i="1"/>
  <c r="BV394" i="1"/>
  <c r="BY388" i="1"/>
  <c r="CB386" i="1"/>
  <c r="CB384" i="1"/>
  <c r="BY383" i="1"/>
  <c r="BY378" i="1"/>
  <c r="BV377" i="1"/>
  <c r="BY372" i="1"/>
  <c r="BY370" i="1"/>
  <c r="BY367" i="1"/>
  <c r="BY363" i="1"/>
  <c r="CB362" i="1"/>
  <c r="BV362" i="1"/>
  <c r="BY358" i="1"/>
  <c r="BV354" i="1"/>
  <c r="CB343" i="1"/>
  <c r="BV343" i="1"/>
  <c r="BV341" i="1"/>
  <c r="BY340" i="1"/>
  <c r="BY334" i="1"/>
  <c r="BV333" i="1"/>
  <c r="BY332" i="1"/>
  <c r="BY330" i="1"/>
  <c r="CB329" i="1"/>
  <c r="CB319" i="1"/>
  <c r="CB315" i="1"/>
  <c r="CB313" i="1"/>
  <c r="BY308" i="1"/>
  <c r="CB300" i="1"/>
  <c r="BV300" i="1"/>
  <c r="CB297" i="1"/>
  <c r="CB295" i="1"/>
  <c r="BV295" i="1"/>
  <c r="CB292" i="1"/>
  <c r="BV292" i="1"/>
  <c r="BY291" i="1"/>
  <c r="BY287" i="1"/>
  <c r="CB286" i="1"/>
  <c r="BY282" i="1"/>
  <c r="BY249" i="1"/>
  <c r="BV248" i="1"/>
  <c r="BV246" i="1"/>
  <c r="BY245" i="1"/>
  <c r="BV238" i="1"/>
  <c r="CB236" i="1"/>
  <c r="BY235" i="1"/>
  <c r="BY204" i="1"/>
  <c r="CB189" i="1"/>
  <c r="BV187" i="1"/>
  <c r="CB182" i="1"/>
  <c r="CB172" i="1"/>
  <c r="CB168" i="1"/>
  <c r="BY167" i="1"/>
  <c r="BY112" i="1"/>
  <c r="CB25" i="1"/>
  <c r="CB388" i="1"/>
  <c r="BV385" i="1"/>
  <c r="BV383" i="1"/>
  <c r="CB380" i="1"/>
  <c r="BY375" i="1"/>
  <c r="CB372" i="1"/>
  <c r="BV367" i="1"/>
  <c r="BV365" i="1"/>
  <c r="CB363" i="1"/>
  <c r="CB361" i="1"/>
  <c r="BV358" i="1"/>
  <c r="BY357" i="1"/>
  <c r="CB355" i="1"/>
  <c r="CB351" i="1"/>
  <c r="BV349" i="1"/>
  <c r="BV346" i="1"/>
  <c r="BY343" i="1"/>
  <c r="BV342" i="1"/>
  <c r="BY341" i="1"/>
  <c r="BY335" i="1"/>
  <c r="BV334" i="1"/>
  <c r="BY333" i="1"/>
  <c r="CB332" i="1"/>
  <c r="BY331" i="1"/>
  <c r="CB330" i="1"/>
  <c r="CB327" i="1"/>
  <c r="BY326" i="1"/>
  <c r="CB320" i="1"/>
  <c r="BV320" i="1"/>
  <c r="CB317" i="1"/>
  <c r="BV305" i="1"/>
  <c r="BV301" i="1"/>
  <c r="BY300" i="1"/>
  <c r="BV298" i="1"/>
  <c r="BY297" i="1"/>
  <c r="CB296" i="1"/>
  <c r="BV296" i="1"/>
  <c r="BY295" i="1"/>
  <c r="CB294" i="1"/>
  <c r="BY292" i="1"/>
  <c r="CB287" i="1"/>
  <c r="BV287" i="1"/>
  <c r="BV282" i="1"/>
  <c r="BY254" i="1"/>
  <c r="BY232" i="1"/>
  <c r="CB229" i="1"/>
  <c r="BY228" i="1"/>
  <c r="BY223" i="1"/>
  <c r="CB209" i="1"/>
  <c r="BY208" i="1"/>
  <c r="CB192" i="1"/>
  <c r="CB117" i="1"/>
  <c r="BV146" i="1"/>
  <c r="BY139" i="1"/>
  <c r="BV118" i="1"/>
  <c r="CB83" i="1"/>
  <c r="BY68" i="1"/>
  <c r="BY58" i="1"/>
  <c r="BV57" i="1"/>
  <c r="CB19" i="1"/>
  <c r="BV281" i="1"/>
  <c r="BY278" i="1"/>
  <c r="CB259" i="1"/>
  <c r="BY243" i="1"/>
  <c r="BV242" i="1"/>
  <c r="BV234" i="1"/>
  <c r="BV223" i="1"/>
  <c r="BY222" i="1"/>
  <c r="BY219" i="1"/>
  <c r="CB218" i="1"/>
  <c r="BV218" i="1"/>
  <c r="BY215" i="1"/>
  <c r="BY209" i="1"/>
  <c r="BV208" i="1"/>
  <c r="CB206" i="1"/>
  <c r="BY203" i="1"/>
  <c r="BV190" i="1"/>
  <c r="BY189" i="1"/>
  <c r="BV188" i="1"/>
  <c r="CB186" i="1"/>
  <c r="CB177" i="1"/>
  <c r="CB169" i="1"/>
  <c r="BY168" i="1"/>
  <c r="BV166" i="1"/>
  <c r="BY163" i="1"/>
  <c r="BV160" i="1"/>
  <c r="BV139" i="1"/>
  <c r="CB129" i="1"/>
  <c r="BY128" i="1"/>
  <c r="CB127" i="1"/>
  <c r="BY125" i="1"/>
  <c r="CB124" i="1"/>
  <c r="BV124" i="1"/>
  <c r="BY123" i="1"/>
  <c r="BV122" i="1"/>
  <c r="CB120" i="1"/>
  <c r="BV120" i="1"/>
  <c r="BY118" i="1"/>
  <c r="BY115" i="1"/>
  <c r="BY105" i="1"/>
  <c r="CB104" i="1"/>
  <c r="BY88" i="1"/>
  <c r="BY85" i="1"/>
  <c r="CB84" i="1"/>
  <c r="BV84" i="1"/>
  <c r="BY72" i="1"/>
  <c r="BY69" i="1"/>
  <c r="CB68" i="1"/>
  <c r="BV68" i="1"/>
  <c r="CB58" i="1"/>
  <c r="BV58" i="1"/>
  <c r="BY57" i="1"/>
  <c r="BV56" i="1"/>
  <c r="BY55" i="1"/>
  <c r="BV49" i="1"/>
  <c r="BY48" i="1"/>
  <c r="BV47" i="1"/>
  <c r="CB45" i="1"/>
  <c r="BV45" i="1"/>
  <c r="CB29" i="1"/>
  <c r="BV29" i="1"/>
  <c r="BV27" i="1"/>
  <c r="BY26" i="1"/>
  <c r="BY281" i="1"/>
  <c r="BY279" i="1"/>
  <c r="CB278" i="1"/>
  <c r="CB276" i="1"/>
  <c r="BV276" i="1"/>
  <c r="CB271" i="1"/>
  <c r="BV271" i="1"/>
  <c r="BV269" i="1"/>
  <c r="BY268" i="1"/>
  <c r="BY266" i="1"/>
  <c r="CB265" i="1"/>
  <c r="CB263" i="1"/>
  <c r="BV263" i="1"/>
  <c r="CB260" i="1"/>
  <c r="BV260" i="1"/>
  <c r="CB257" i="1"/>
  <c r="BY251" i="1"/>
  <c r="CB250" i="1"/>
  <c r="BV243" i="1"/>
  <c r="CB240" i="1"/>
  <c r="BV240" i="1"/>
  <c r="CB233" i="1"/>
  <c r="BV233" i="1"/>
  <c r="BV230" i="1"/>
  <c r="BY229" i="1"/>
  <c r="CB228" i="1"/>
  <c r="BV219" i="1"/>
  <c r="CB217" i="1"/>
  <c r="BV217" i="1"/>
  <c r="CB203" i="1"/>
  <c r="BV200" i="1"/>
  <c r="CB198" i="1"/>
  <c r="BV196" i="1"/>
  <c r="CB194" i="1"/>
  <c r="BV191" i="1"/>
  <c r="CB178" i="1"/>
  <c r="BY177" i="1"/>
  <c r="BV176" i="1"/>
  <c r="CB165" i="1"/>
  <c r="BV163" i="1"/>
  <c r="BY149" i="1"/>
  <c r="BV136" i="1"/>
  <c r="BY126" i="1"/>
  <c r="BY113" i="1"/>
  <c r="CB111" i="1"/>
  <c r="BY94" i="1"/>
  <c r="CB76" i="1"/>
  <c r="BV65" i="1"/>
  <c r="BY64" i="1"/>
  <c r="BV63" i="1"/>
  <c r="CB61" i="1"/>
  <c r="BV61" i="1"/>
  <c r="BY53" i="1"/>
  <c r="CB52" i="1"/>
  <c r="BV52" i="1"/>
  <c r="BY51" i="1"/>
  <c r="BV43" i="1"/>
  <c r="CB41" i="1"/>
  <c r="BY40" i="1"/>
  <c r="CB39" i="1"/>
  <c r="BV32" i="1"/>
  <c r="BY31" i="1"/>
  <c r="BY24" i="1"/>
  <c r="CB21" i="1"/>
  <c r="CB18" i="1"/>
  <c r="BV18" i="1"/>
  <c r="AL362" i="1"/>
  <c r="AR361" i="1"/>
  <c r="AU308" i="1"/>
  <c r="AU306" i="1"/>
  <c r="AU305" i="1"/>
  <c r="AO305" i="1"/>
  <c r="AU302" i="1"/>
  <c r="AU301" i="1"/>
  <c r="AL288" i="1"/>
  <c r="AR284" i="1"/>
  <c r="AO283" i="1"/>
  <c r="AU276" i="1"/>
  <c r="AU272" i="1"/>
  <c r="AU270" i="1"/>
  <c r="AU269" i="1"/>
  <c r="AO269" i="1"/>
  <c r="AU260" i="1"/>
  <c r="AU256" i="1"/>
  <c r="AU255" i="1"/>
  <c r="AU248" i="1"/>
  <c r="AU238" i="1"/>
  <c r="AU236" i="1"/>
  <c r="AO236" i="1"/>
  <c r="AR140" i="1"/>
  <c r="AL140" i="1"/>
  <c r="AR139" i="1"/>
  <c r="AL139" i="1"/>
  <c r="AR138" i="1"/>
  <c r="AL138" i="1"/>
  <c r="AR124" i="1"/>
  <c r="AL124" i="1"/>
  <c r="AR123" i="1"/>
  <c r="AL123" i="1"/>
  <c r="AR122" i="1"/>
  <c r="AL122" i="1"/>
  <c r="AR116" i="1"/>
  <c r="AL116" i="1"/>
  <c r="AR114" i="1"/>
  <c r="AL114" i="1"/>
  <c r="AR110" i="1"/>
  <c r="AL110" i="1"/>
  <c r="AU51" i="1"/>
  <c r="AU39" i="1"/>
  <c r="BM401" i="1"/>
  <c r="BJ400" i="1"/>
  <c r="BM397" i="1"/>
  <c r="BA397" i="1"/>
  <c r="BJ396" i="1"/>
  <c r="AX396" i="1"/>
  <c r="AX391" i="1"/>
  <c r="BA390" i="1"/>
  <c r="BJ387" i="1"/>
  <c r="BM386" i="1"/>
  <c r="BG377" i="1"/>
  <c r="BP376" i="1"/>
  <c r="BM375" i="1"/>
  <c r="BA375" i="1"/>
  <c r="BG374" i="1"/>
  <c r="BD373" i="1"/>
  <c r="BP371" i="1"/>
  <c r="BJ369" i="1"/>
  <c r="BG368" i="1"/>
  <c r="BP366" i="1"/>
  <c r="BJ278" i="1"/>
  <c r="AF363" i="1"/>
  <c r="AF246" i="1"/>
  <c r="AF213" i="1"/>
  <c r="AF189" i="1"/>
  <c r="T181" i="1"/>
  <c r="T177" i="1"/>
  <c r="Z168" i="1"/>
  <c r="T168" i="1"/>
  <c r="T161" i="1"/>
  <c r="AF119" i="1"/>
  <c r="Z115" i="1"/>
  <c r="T115" i="1"/>
  <c r="AC94" i="1"/>
  <c r="AL402" i="1"/>
  <c r="AR401" i="1"/>
  <c r="AR400" i="1"/>
  <c r="AR399" i="1"/>
  <c r="AX352" i="1"/>
  <c r="BP350" i="1"/>
  <c r="BJ348" i="1"/>
  <c r="BM341" i="1"/>
  <c r="BA341" i="1"/>
  <c r="AX340" i="1"/>
  <c r="AL346" i="1"/>
  <c r="AL345" i="1"/>
  <c r="AL341" i="1"/>
  <c r="AL338" i="1"/>
  <c r="AL337" i="1"/>
  <c r="AL324" i="1"/>
  <c r="AR323" i="1"/>
  <c r="AR322" i="1"/>
  <c r="AL320" i="1"/>
  <c r="AR319" i="1"/>
  <c r="AR318" i="1"/>
  <c r="AL316" i="1"/>
  <c r="AL314" i="1"/>
  <c r="AR313" i="1"/>
  <c r="AL312" i="1"/>
  <c r="AR311" i="1"/>
  <c r="AL310" i="1"/>
  <c r="AR309" i="1"/>
  <c r="AU285" i="1"/>
  <c r="AR275" i="1"/>
  <c r="AR274" i="1"/>
  <c r="AL272" i="1"/>
  <c r="AL268" i="1"/>
  <c r="AR267" i="1"/>
  <c r="AL266" i="1"/>
  <c r="AR265" i="1"/>
  <c r="AL264" i="1"/>
  <c r="AR263" i="1"/>
  <c r="AR261" i="1"/>
  <c r="AL253" i="1"/>
  <c r="AL251" i="1"/>
  <c r="AL250" i="1"/>
  <c r="AR249" i="1"/>
  <c r="AU224" i="1"/>
  <c r="AU144" i="1"/>
  <c r="AU141" i="1"/>
  <c r="AU136" i="1"/>
  <c r="AO136" i="1"/>
  <c r="AU133" i="1"/>
  <c r="AU129" i="1"/>
  <c r="AU125" i="1"/>
  <c r="AU69" i="1"/>
  <c r="AU65" i="1"/>
  <c r="AU64" i="1"/>
  <c r="AU62" i="1"/>
  <c r="AO62" i="1"/>
  <c r="AU57" i="1"/>
  <c r="AU56" i="1"/>
  <c r="AU54" i="1"/>
  <c r="AO54" i="1"/>
  <c r="BD399" i="1"/>
  <c r="AX399" i="1"/>
  <c r="AX397" i="1"/>
  <c r="BM396" i="1"/>
  <c r="BA395" i="1"/>
  <c r="BJ394" i="1"/>
  <c r="AX394" i="1"/>
  <c r="BP390" i="1"/>
  <c r="BJ390" i="1"/>
  <c r="BD390" i="1"/>
  <c r="BJ388" i="1"/>
  <c r="BD388" i="1"/>
  <c r="AX388" i="1"/>
  <c r="BD385" i="1"/>
  <c r="AX379" i="1"/>
  <c r="BM378" i="1"/>
  <c r="BD370" i="1"/>
  <c r="BM369" i="1"/>
  <c r="BG369" i="1"/>
  <c r="BJ368" i="1"/>
  <c r="BD368" i="1"/>
  <c r="BJ367" i="1"/>
  <c r="BG366" i="1"/>
  <c r="BA364" i="1"/>
  <c r="BG360" i="1"/>
  <c r="BD359" i="1"/>
  <c r="BA358" i="1"/>
  <c r="AX357" i="1"/>
  <c r="BP338" i="1"/>
  <c r="BM329" i="1"/>
  <c r="BD260" i="1"/>
  <c r="BP362" i="1"/>
  <c r="BJ362" i="1"/>
  <c r="BM361" i="1"/>
  <c r="BG361" i="1"/>
  <c r="BP358" i="1"/>
  <c r="BJ356" i="1"/>
  <c r="AX356" i="1"/>
  <c r="BM355" i="1"/>
  <c r="BP354" i="1"/>
  <c r="BJ354" i="1"/>
  <c r="BP353" i="1"/>
  <c r="BM352" i="1"/>
  <c r="AX347" i="1"/>
  <c r="BP345" i="1"/>
  <c r="AX341" i="1"/>
  <c r="BG340" i="1"/>
  <c r="BM326" i="1"/>
  <c r="BG326" i="1"/>
  <c r="BG324" i="1"/>
  <c r="BA324" i="1"/>
  <c r="BD318" i="1"/>
  <c r="BM309" i="1"/>
  <c r="BG309" i="1"/>
  <c r="BG291" i="1"/>
  <c r="BP288" i="1"/>
  <c r="BD288" i="1"/>
  <c r="BG285" i="1"/>
  <c r="BA283" i="1"/>
  <c r="BJ282" i="1"/>
  <c r="AX282" i="1"/>
  <c r="BG281" i="1"/>
  <c r="BA281" i="1"/>
  <c r="BG280" i="1"/>
  <c r="BD279" i="1"/>
  <c r="BM278" i="1"/>
  <c r="BP277" i="1"/>
  <c r="BJ275" i="1"/>
  <c r="BA267" i="1"/>
  <c r="AX266" i="1"/>
  <c r="BG265" i="1"/>
  <c r="BA265" i="1"/>
  <c r="BJ263" i="1"/>
  <c r="BD263" i="1"/>
  <c r="AX263" i="1"/>
  <c r="BM261" i="1"/>
  <c r="BA260" i="1"/>
  <c r="BP259" i="1"/>
  <c r="BJ259" i="1"/>
  <c r="AX259" i="1"/>
  <c r="BG257" i="1"/>
  <c r="BA257" i="1"/>
  <c r="BD248" i="1"/>
  <c r="AX248" i="1"/>
  <c r="BM240" i="1"/>
  <c r="BJ239" i="1"/>
  <c r="AX239" i="1"/>
  <c r="BM238" i="1"/>
  <c r="BP236" i="1"/>
  <c r="BD236" i="1"/>
  <c r="BM235" i="1"/>
  <c r="BP234" i="1"/>
  <c r="BD233" i="1"/>
  <c r="BJ230" i="1"/>
  <c r="BD229" i="1"/>
  <c r="BM228" i="1"/>
  <c r="BG228" i="1"/>
  <c r="AX226" i="1"/>
  <c r="BM224" i="1"/>
  <c r="BA224" i="1"/>
  <c r="BP223" i="1"/>
  <c r="BM221" i="1"/>
  <c r="BA220" i="1"/>
  <c r="BJ219" i="1"/>
  <c r="BD219" i="1"/>
  <c r="BA217" i="1"/>
  <c r="BJ215" i="1"/>
  <c r="AX215" i="1"/>
  <c r="BM214" i="1"/>
  <c r="BJ212" i="1"/>
  <c r="AX211" i="1"/>
  <c r="BM209" i="1"/>
  <c r="BD207" i="1"/>
  <c r="BA204" i="1"/>
  <c r="BJ201" i="1"/>
  <c r="BD201" i="1"/>
  <c r="BM200" i="1"/>
  <c r="BG200" i="1"/>
  <c r="BA200" i="1"/>
  <c r="BJ198" i="1"/>
  <c r="AX198" i="1"/>
  <c r="BD191" i="1"/>
  <c r="BA185" i="1"/>
  <c r="BG180" i="1"/>
  <c r="BP179" i="1"/>
  <c r="BG177" i="1"/>
  <c r="BA173" i="1"/>
  <c r="BP167" i="1"/>
  <c r="AX166" i="1"/>
  <c r="BM163" i="1"/>
  <c r="BM161" i="1"/>
  <c r="BD160" i="1"/>
  <c r="AX160" i="1"/>
  <c r="BP149" i="1"/>
  <c r="BJ149" i="1"/>
  <c r="BD149" i="1"/>
  <c r="AX149" i="1"/>
  <c r="BG144" i="1"/>
  <c r="BM137" i="1"/>
  <c r="BG137" i="1"/>
  <c r="AX133" i="1"/>
  <c r="BD131" i="1"/>
  <c r="AX131" i="1"/>
  <c r="BD128" i="1"/>
  <c r="AX128" i="1"/>
  <c r="BM127" i="1"/>
  <c r="BG127" i="1"/>
  <c r="BP123" i="1"/>
  <c r="BJ121" i="1"/>
  <c r="AX121" i="1"/>
  <c r="BG120" i="1"/>
  <c r="BA120" i="1"/>
  <c r="BA119" i="1"/>
  <c r="BP118" i="1"/>
  <c r="BJ118" i="1"/>
  <c r="BD118" i="1"/>
  <c r="BG117" i="1"/>
  <c r="BA117" i="1"/>
  <c r="BJ113" i="1"/>
  <c r="BM104" i="1"/>
  <c r="BD99" i="1"/>
  <c r="BM98" i="1"/>
  <c r="BG96" i="1"/>
  <c r="BA93" i="1"/>
  <c r="BG88" i="1"/>
  <c r="BA88" i="1"/>
  <c r="BD87" i="1"/>
  <c r="AX87" i="1"/>
  <c r="AX85" i="1"/>
  <c r="BM84" i="1"/>
  <c r="BA84" i="1"/>
  <c r="AX82" i="1"/>
  <c r="BJ79" i="1"/>
  <c r="BA70" i="1"/>
  <c r="BM337" i="1"/>
  <c r="BG337" i="1"/>
  <c r="BG335" i="1"/>
  <c r="BJ332" i="1"/>
  <c r="BD332" i="1"/>
  <c r="BG331" i="1"/>
  <c r="BA331" i="1"/>
  <c r="BD330" i="1"/>
  <c r="AX330" i="1"/>
  <c r="BJ317" i="1"/>
  <c r="BD317" i="1"/>
  <c r="BD315" i="1"/>
  <c r="AX315" i="1"/>
  <c r="BP306" i="1"/>
  <c r="BJ304" i="1"/>
  <c r="BP302" i="1"/>
  <c r="BJ302" i="1"/>
  <c r="BD299" i="1"/>
  <c r="AX299" i="1"/>
  <c r="AX297" i="1"/>
  <c r="BM296" i="1"/>
  <c r="BD280" i="1"/>
  <c r="BA279" i="1"/>
  <c r="BP278" i="1"/>
  <c r="BD264" i="1"/>
  <c r="AX264" i="1"/>
  <c r="BP260" i="1"/>
  <c r="BJ260" i="1"/>
  <c r="BM255" i="1"/>
  <c r="BJ254" i="1"/>
  <c r="AX254" i="1"/>
  <c r="BM253" i="1"/>
  <c r="BA252" i="1"/>
  <c r="BP251" i="1"/>
  <c r="BJ251" i="1"/>
  <c r="AX251" i="1"/>
  <c r="BM250" i="1"/>
  <c r="BG250" i="1"/>
  <c r="BJ246" i="1"/>
  <c r="AX243" i="1"/>
  <c r="BG242" i="1"/>
  <c r="BP240" i="1"/>
  <c r="BD240" i="1"/>
  <c r="BG239" i="1"/>
  <c r="BP237" i="1"/>
  <c r="BA232" i="1"/>
  <c r="BP231" i="1"/>
  <c r="AX230" i="1"/>
  <c r="BA229" i="1"/>
  <c r="BJ227" i="1"/>
  <c r="BD227" i="1"/>
  <c r="BG225" i="1"/>
  <c r="BA225" i="1"/>
  <c r="BJ224" i="1"/>
  <c r="BD223" i="1"/>
  <c r="AX223" i="1"/>
  <c r="BM222" i="1"/>
  <c r="BP220" i="1"/>
  <c r="BJ220" i="1"/>
  <c r="AX220" i="1"/>
  <c r="BM218" i="1"/>
  <c r="BG218" i="1"/>
  <c r="BA218" i="1"/>
  <c r="BD216" i="1"/>
  <c r="AX216" i="1"/>
  <c r="BG215" i="1"/>
  <c r="BA214" i="1"/>
  <c r="BP213" i="1"/>
  <c r="BJ213" i="1"/>
  <c r="BM211" i="1"/>
  <c r="BG211" i="1"/>
  <c r="BA209" i="1"/>
  <c r="BJ208" i="1"/>
  <c r="BG206" i="1"/>
  <c r="BA206" i="1"/>
  <c r="BP204" i="1"/>
  <c r="BJ204" i="1"/>
  <c r="BM203" i="1"/>
  <c r="BG203" i="1"/>
  <c r="BJ202" i="1"/>
  <c r="BD202" i="1"/>
  <c r="BD199" i="1"/>
  <c r="AX199" i="1"/>
  <c r="BA197" i="1"/>
  <c r="BM195" i="1"/>
  <c r="BG193" i="1"/>
  <c r="BD192" i="1"/>
  <c r="BM191" i="1"/>
  <c r="BG190" i="1"/>
  <c r="BA188" i="1"/>
  <c r="BJ182" i="1"/>
  <c r="AX182" i="1"/>
  <c r="BP180" i="1"/>
  <c r="BD180" i="1"/>
  <c r="AX180" i="1"/>
  <c r="BP177" i="1"/>
  <c r="BJ177" i="1"/>
  <c r="BM176" i="1"/>
  <c r="BJ170" i="1"/>
  <c r="BG169" i="1"/>
  <c r="BP168" i="1"/>
  <c r="BJ168" i="1"/>
  <c r="BM167" i="1"/>
  <c r="BG167" i="1"/>
  <c r="BG166" i="1"/>
  <c r="BA166" i="1"/>
  <c r="BP165" i="1"/>
  <c r="BJ165" i="1"/>
  <c r="BD165" i="1"/>
  <c r="AX165" i="1"/>
  <c r="BJ163" i="1"/>
  <c r="AX163" i="1"/>
  <c r="BM162" i="1"/>
  <c r="AX158" i="1"/>
  <c r="BG157" i="1"/>
  <c r="BA157" i="1"/>
  <c r="BG154" i="1"/>
  <c r="BA154" i="1"/>
  <c r="BP153" i="1"/>
  <c r="BJ153" i="1"/>
  <c r="BM151" i="1"/>
  <c r="BA151" i="1"/>
  <c r="BP150" i="1"/>
  <c r="BD143" i="1"/>
  <c r="BJ110" i="1"/>
  <c r="BD107" i="1"/>
  <c r="AX107" i="1"/>
  <c r="BA99" i="1"/>
  <c r="BJ98" i="1"/>
  <c r="AX98" i="1"/>
  <c r="BD96" i="1"/>
  <c r="AX90" i="1"/>
  <c r="BM89" i="1"/>
  <c r="BP81" i="1"/>
  <c r="BP72" i="1"/>
  <c r="BD72" i="1"/>
  <c r="AX328" i="1"/>
  <c r="BM327" i="1"/>
  <c r="BA325" i="1"/>
  <c r="BP322" i="1"/>
  <c r="BA321" i="1"/>
  <c r="BP320" i="1"/>
  <c r="BJ300" i="1"/>
  <c r="BD300" i="1"/>
  <c r="BA288" i="1"/>
  <c r="BJ287" i="1"/>
  <c r="AX287" i="1"/>
  <c r="BM284" i="1"/>
  <c r="BD276" i="1"/>
  <c r="AX274" i="1"/>
  <c r="BG273" i="1"/>
  <c r="BP272" i="1"/>
  <c r="BD272" i="1"/>
  <c r="AX272" i="1"/>
  <c r="BM268" i="1"/>
  <c r="BG268" i="1"/>
  <c r="AX267" i="1"/>
  <c r="BM266" i="1"/>
  <c r="BG266" i="1"/>
  <c r="BA259" i="1"/>
  <c r="BP252" i="1"/>
  <c r="BJ252" i="1"/>
  <c r="AX244" i="1"/>
  <c r="BM236" i="1"/>
  <c r="AX231" i="1"/>
  <c r="BM230" i="1"/>
  <c r="BD228" i="1"/>
  <c r="BG226" i="1"/>
  <c r="BA226" i="1"/>
  <c r="AX224" i="1"/>
  <c r="BP221" i="1"/>
  <c r="BJ221" i="1"/>
  <c r="BG219" i="1"/>
  <c r="BD217" i="1"/>
  <c r="AX217" i="1"/>
  <c r="BP214" i="1"/>
  <c r="BM212" i="1"/>
  <c r="BG212" i="1"/>
  <c r="BJ209" i="1"/>
  <c r="BG207" i="1"/>
  <c r="BD200" i="1"/>
  <c r="AX200" i="1"/>
  <c r="BA179" i="1"/>
  <c r="BP178" i="1"/>
  <c r="BP166" i="1"/>
  <c r="BD156" i="1"/>
  <c r="BM155" i="1"/>
  <c r="BG155" i="1"/>
  <c r="BM147" i="1"/>
  <c r="BA147" i="1"/>
  <c r="BJ146" i="1"/>
  <c r="BD146" i="1"/>
  <c r="AX146" i="1"/>
  <c r="BM145" i="1"/>
  <c r="BG145" i="1"/>
  <c r="BA145" i="1"/>
  <c r="AX140" i="1"/>
  <c r="BM139" i="1"/>
  <c r="BP132" i="1"/>
  <c r="BJ132" i="1"/>
  <c r="BD132" i="1"/>
  <c r="AX132" i="1"/>
  <c r="BG128" i="1"/>
  <c r="BM126" i="1"/>
  <c r="BG126" i="1"/>
  <c r="BM123" i="1"/>
  <c r="BG123" i="1"/>
  <c r="BA123" i="1"/>
  <c r="BP122" i="1"/>
  <c r="AX117" i="1"/>
  <c r="BM116" i="1"/>
  <c r="BA116" i="1"/>
  <c r="BM114" i="1"/>
  <c r="BG114" i="1"/>
  <c r="BJ101" i="1"/>
  <c r="AX93" i="1"/>
  <c r="BJ88" i="1"/>
  <c r="BM87" i="1"/>
  <c r="BJ86" i="1"/>
  <c r="BD86" i="1"/>
  <c r="AX86" i="1"/>
  <c r="BM85" i="1"/>
  <c r="BD84" i="1"/>
  <c r="BM83" i="1"/>
  <c r="BG83" i="1"/>
  <c r="BD81" i="1"/>
  <c r="BV345" i="1"/>
  <c r="AX70" i="1"/>
  <c r="BJ61" i="1"/>
  <c r="BD61" i="1"/>
  <c r="BM60" i="1"/>
  <c r="BA59" i="1"/>
  <c r="BP58" i="1"/>
  <c r="BJ58" i="1"/>
  <c r="BD58" i="1"/>
  <c r="BM57" i="1"/>
  <c r="BA57" i="1"/>
  <c r="BP56" i="1"/>
  <c r="BJ56" i="1"/>
  <c r="AX56" i="1"/>
  <c r="BM55" i="1"/>
  <c r="BP54" i="1"/>
  <c r="BJ54" i="1"/>
  <c r="BD54" i="1"/>
  <c r="BJ51" i="1"/>
  <c r="BG50" i="1"/>
  <c r="BD47" i="1"/>
  <c r="AX47" i="1"/>
  <c r="BJ45" i="1"/>
  <c r="AX42" i="1"/>
  <c r="BM41" i="1"/>
  <c r="BP40" i="1"/>
  <c r="BJ40" i="1"/>
  <c r="BM39" i="1"/>
  <c r="BG39" i="1"/>
  <c r="BJ37" i="1"/>
  <c r="BG36" i="1"/>
  <c r="BG24" i="1"/>
  <c r="BA24" i="1"/>
  <c r="BD23" i="1"/>
  <c r="AX23" i="1"/>
  <c r="BD19" i="1"/>
  <c r="BM18" i="1"/>
  <c r="BA18" i="1"/>
  <c r="CB398" i="1"/>
  <c r="BV398" i="1"/>
  <c r="BY396" i="1"/>
  <c r="CB394" i="1"/>
  <c r="BV388" i="1"/>
  <c r="BY387" i="1"/>
  <c r="CB385" i="1"/>
  <c r="BV384" i="1"/>
  <c r="CB376" i="1"/>
  <c r="BV376" i="1"/>
  <c r="BV375" i="1"/>
  <c r="BV366" i="1"/>
  <c r="BY365" i="1"/>
  <c r="BY364" i="1"/>
  <c r="BY355" i="1"/>
  <c r="CB354" i="1"/>
  <c r="CB353" i="1"/>
  <c r="CB344" i="1"/>
  <c r="BV344" i="1"/>
  <c r="BV199" i="1"/>
  <c r="BV195" i="1"/>
  <c r="CB345" i="1"/>
  <c r="CB336" i="1"/>
  <c r="BV336" i="1"/>
  <c r="BV335" i="1"/>
  <c r="BV326" i="1"/>
  <c r="BY325" i="1"/>
  <c r="BY324" i="1"/>
  <c r="BY320" i="1"/>
  <c r="AX68" i="1"/>
  <c r="BJ65" i="1"/>
  <c r="AX65" i="1"/>
  <c r="BM64" i="1"/>
  <c r="BA63" i="1"/>
  <c r="BP62" i="1"/>
  <c r="BJ62" i="1"/>
  <c r="BD62" i="1"/>
  <c r="AX62" i="1"/>
  <c r="BM61" i="1"/>
  <c r="BA58" i="1"/>
  <c r="BG56" i="1"/>
  <c r="BA56" i="1"/>
  <c r="AX55" i="1"/>
  <c r="BG51" i="1"/>
  <c r="BA51" i="1"/>
  <c r="BP50" i="1"/>
  <c r="BD50" i="1"/>
  <c r="AX50" i="1"/>
  <c r="BM49" i="1"/>
  <c r="BA49" i="1"/>
  <c r="BP48" i="1"/>
  <c r="BJ48" i="1"/>
  <c r="AX48" i="1"/>
  <c r="BM47" i="1"/>
  <c r="BG47" i="1"/>
  <c r="BP46" i="1"/>
  <c r="BJ46" i="1"/>
  <c r="BD46" i="1"/>
  <c r="BG45" i="1"/>
  <c r="BA45" i="1"/>
  <c r="BA42" i="1"/>
  <c r="BG40" i="1"/>
  <c r="BD31" i="1"/>
  <c r="AX31" i="1"/>
  <c r="BA30" i="1"/>
  <c r="BP29" i="1"/>
  <c r="BM13" i="1"/>
  <c r="BA13" i="1"/>
  <c r="BA11" i="1"/>
  <c r="BJ10" i="1"/>
  <c r="BY403" i="1"/>
  <c r="CB401" i="1"/>
  <c r="BV400" i="1"/>
  <c r="BY393" i="1"/>
  <c r="CB392" i="1"/>
  <c r="BV391" i="1"/>
  <c r="BY389" i="1"/>
  <c r="BV382" i="1"/>
  <c r="BY381" i="1"/>
  <c r="BY380" i="1"/>
  <c r="BY371" i="1"/>
  <c r="CB370" i="1"/>
  <c r="CB369" i="1"/>
  <c r="CB360" i="1"/>
  <c r="BV360" i="1"/>
  <c r="BV359" i="1"/>
  <c r="BV350" i="1"/>
  <c r="BY349" i="1"/>
  <c r="BY348" i="1"/>
  <c r="CB338" i="1"/>
  <c r="CB337" i="1"/>
  <c r="CB328" i="1"/>
  <c r="BV328" i="1"/>
  <c r="BV327" i="1"/>
  <c r="BV318" i="1"/>
  <c r="BY317" i="1"/>
  <c r="BY314" i="1"/>
  <c r="CB312" i="1"/>
  <c r="BV312" i="1"/>
  <c r="BV311" i="1"/>
  <c r="CB308" i="1"/>
  <c r="BV308" i="1"/>
  <c r="BY304" i="1"/>
  <c r="BV302" i="1"/>
  <c r="BY301" i="1"/>
  <c r="BY197" i="1"/>
  <c r="BY288" i="1"/>
  <c r="BV286" i="1"/>
  <c r="BY285" i="1"/>
  <c r="BV283" i="1"/>
  <c r="CB280" i="1"/>
  <c r="BV280" i="1"/>
  <c r="CB277" i="1"/>
  <c r="BY275" i="1"/>
  <c r="CB274" i="1"/>
  <c r="BY272" i="1"/>
  <c r="BV270" i="1"/>
  <c r="BY269" i="1"/>
  <c r="BV267" i="1"/>
  <c r="CB264" i="1"/>
  <c r="BV264" i="1"/>
  <c r="CB261" i="1"/>
  <c r="BY259" i="1"/>
  <c r="BY256" i="1"/>
  <c r="BV254" i="1"/>
  <c r="BY253" i="1"/>
  <c r="BV250" i="1"/>
  <c r="BV247" i="1"/>
  <c r="CB244" i="1"/>
  <c r="BY239" i="1"/>
  <c r="BY236" i="1"/>
  <c r="CB235" i="1"/>
  <c r="BY231" i="1"/>
  <c r="CB230" i="1"/>
  <c r="BY227" i="1"/>
  <c r="BV225" i="1"/>
  <c r="CB220" i="1"/>
  <c r="BV220" i="1"/>
  <c r="CB216" i="1"/>
  <c r="BY214" i="1"/>
  <c r="BV206" i="1"/>
  <c r="BY199" i="1"/>
  <c r="BY195" i="1"/>
  <c r="CB188" i="1"/>
  <c r="BV182" i="1"/>
  <c r="BV178" i="1"/>
  <c r="BY171" i="1"/>
  <c r="BY155" i="1"/>
  <c r="CB144" i="1"/>
  <c r="CB212" i="1"/>
  <c r="BV212" i="1"/>
  <c r="CB208" i="1"/>
  <c r="BY206" i="1"/>
  <c r="BV202" i="1"/>
  <c r="BY201" i="1"/>
  <c r="BY191" i="1"/>
  <c r="BY188" i="1"/>
  <c r="BV186" i="1"/>
  <c r="BY185" i="1"/>
  <c r="CB176" i="1"/>
  <c r="BV171" i="1"/>
  <c r="BV168" i="1"/>
  <c r="CB163" i="1"/>
  <c r="BV162" i="1"/>
  <c r="BY161" i="1"/>
  <c r="BV155" i="1"/>
  <c r="CB153" i="1"/>
  <c r="BV153" i="1"/>
  <c r="CB150" i="1"/>
  <c r="BY144" i="1"/>
  <c r="BV143" i="1"/>
  <c r="BV140" i="1"/>
  <c r="CB114" i="1"/>
  <c r="BV111" i="1"/>
  <c r="BY100" i="1"/>
  <c r="BV315" i="1"/>
  <c r="BV310" i="1"/>
  <c r="BY309" i="1"/>
  <c r="CB304" i="1"/>
  <c r="BV304" i="1"/>
  <c r="BY299" i="1"/>
  <c r="CB298" i="1"/>
  <c r="BV294" i="1"/>
  <c r="BY293" i="1"/>
  <c r="CB288" i="1"/>
  <c r="BV288" i="1"/>
  <c r="BY283" i="1"/>
  <c r="CB282" i="1"/>
  <c r="BV278" i="1"/>
  <c r="BY277" i="1"/>
  <c r="CB272" i="1"/>
  <c r="BV272" i="1"/>
  <c r="BY267" i="1"/>
  <c r="CB266" i="1"/>
  <c r="BY261" i="1"/>
  <c r="CB256" i="1"/>
  <c r="BV256" i="1"/>
  <c r="CB232" i="1"/>
  <c r="BV226" i="1"/>
  <c r="BY225" i="1"/>
  <c r="BV222" i="1"/>
  <c r="CB219" i="1"/>
  <c r="CB214" i="1"/>
  <c r="BV209" i="1"/>
  <c r="BV204" i="1"/>
  <c r="BY193" i="1"/>
  <c r="BY176" i="1"/>
  <c r="BY173" i="1"/>
  <c r="BV169" i="1"/>
  <c r="CB166" i="1"/>
  <c r="CB133" i="1"/>
  <c r="BV133" i="1"/>
  <c r="CB130" i="1"/>
  <c r="BV130" i="1"/>
  <c r="BY124" i="1"/>
  <c r="BV123" i="1"/>
  <c r="BY120" i="1"/>
  <c r="BY116" i="1"/>
  <c r="CB115" i="1"/>
  <c r="BY84" i="1"/>
  <c r="CB57" i="1"/>
  <c r="BY35" i="1"/>
  <c r="BY98" i="1"/>
  <c r="CB94" i="1"/>
  <c r="BV94" i="1"/>
  <c r="BV93" i="1"/>
  <c r="BY89" i="1"/>
  <c r="CB88" i="1"/>
  <c r="CB87" i="1"/>
  <c r="BY82" i="1"/>
  <c r="CB71" i="1"/>
  <c r="BY66" i="1"/>
  <c r="CB56" i="1"/>
  <c r="CB55" i="1"/>
  <c r="BY54" i="1"/>
  <c r="BV46" i="1"/>
  <c r="CB43" i="1"/>
  <c r="CB32" i="1"/>
  <c r="CB31" i="1"/>
  <c r="BV28" i="1"/>
  <c r="BY27" i="1"/>
  <c r="BV25" i="1"/>
  <c r="CB22" i="1"/>
  <c r="BV22" i="1"/>
  <c r="BV21" i="1"/>
  <c r="CB190" i="1"/>
  <c r="BY187" i="1"/>
  <c r="CB180" i="1"/>
  <c r="BV180" i="1"/>
  <c r="BY175" i="1"/>
  <c r="CB174" i="1"/>
  <c r="BV170" i="1"/>
  <c r="BY169" i="1"/>
  <c r="CB164" i="1"/>
  <c r="BV164" i="1"/>
  <c r="BY159" i="1"/>
  <c r="CB158" i="1"/>
  <c r="BV154" i="1"/>
  <c r="BY153" i="1"/>
  <c r="CB148" i="1"/>
  <c r="BV148" i="1"/>
  <c r="BY143" i="1"/>
  <c r="BY133" i="1"/>
  <c r="BV128" i="1"/>
  <c r="BY127" i="1"/>
  <c r="BV125" i="1"/>
  <c r="CB122" i="1"/>
  <c r="BV116" i="1"/>
  <c r="BV110" i="1"/>
  <c r="BV104" i="1"/>
  <c r="BY103" i="1"/>
  <c r="CB98" i="1"/>
  <c r="BV98" i="1"/>
  <c r="BV97" i="1"/>
  <c r="BY86" i="1"/>
  <c r="CB82" i="1"/>
  <c r="BV82" i="1"/>
  <c r="BV81" i="1"/>
  <c r="BY70" i="1"/>
  <c r="CB60" i="1"/>
  <c r="CB50" i="1"/>
  <c r="BV50" i="1"/>
  <c r="BY45" i="1"/>
  <c r="CB44" i="1"/>
  <c r="BY42" i="1"/>
  <c r="BV40" i="1"/>
  <c r="BY39" i="1"/>
  <c r="BV36" i="1"/>
  <c r="BV13" i="1"/>
  <c r="CB10" i="1"/>
  <c r="BY157" i="1"/>
  <c r="CB146" i="1"/>
  <c r="BY141" i="1"/>
  <c r="BY137" i="1"/>
  <c r="CB136" i="1"/>
  <c r="BV132" i="1"/>
  <c r="CB126" i="1"/>
  <c r="BV126" i="1"/>
  <c r="BY121" i="1"/>
  <c r="CB118" i="1"/>
  <c r="BV112" i="1"/>
  <c r="BV108" i="1"/>
  <c r="CB102" i="1"/>
  <c r="BV102" i="1"/>
  <c r="BY97" i="1"/>
  <c r="CB96" i="1"/>
  <c r="CB86" i="1"/>
  <c r="BV86" i="1"/>
  <c r="BY81" i="1"/>
  <c r="BV76" i="1"/>
  <c r="CB70" i="1"/>
  <c r="BV70" i="1"/>
  <c r="BV69" i="1"/>
  <c r="BY65" i="1"/>
  <c r="CB64" i="1"/>
  <c r="BV60" i="1"/>
  <c r="BY59" i="1"/>
  <c r="CB54" i="1"/>
  <c r="BV54" i="1"/>
  <c r="BY49" i="1"/>
  <c r="CB48" i="1"/>
  <c r="BV44" i="1"/>
  <c r="BY43" i="1"/>
  <c r="CB30" i="1"/>
  <c r="BV30" i="1"/>
  <c r="BY25" i="1"/>
  <c r="CB24" i="1"/>
  <c r="CB23" i="1"/>
  <c r="BV20" i="1"/>
  <c r="BY19" i="1"/>
  <c r="BY18" i="1"/>
  <c r="CB14" i="1"/>
  <c r="BV14" i="1"/>
  <c r="BV403" i="1"/>
  <c r="BY400" i="1"/>
  <c r="CB397" i="1"/>
  <c r="BV395" i="1"/>
  <c r="BY392" i="1"/>
  <c r="CB389" i="1"/>
  <c r="BV387" i="1"/>
  <c r="BY384" i="1"/>
  <c r="CB382" i="1"/>
  <c r="CB381" i="1"/>
  <c r="BV380" i="1"/>
  <c r="BV379" i="1"/>
  <c r="BY377" i="1"/>
  <c r="BY376" i="1"/>
  <c r="CB374" i="1"/>
  <c r="CB373" i="1"/>
  <c r="BV372" i="1"/>
  <c r="BV371" i="1"/>
  <c r="BY369" i="1"/>
  <c r="BY368" i="1"/>
  <c r="CB366" i="1"/>
  <c r="CB365" i="1"/>
  <c r="BV364" i="1"/>
  <c r="BV363" i="1"/>
  <c r="BY361" i="1"/>
  <c r="BY360" i="1"/>
  <c r="CB358" i="1"/>
  <c r="CB357" i="1"/>
  <c r="BV356" i="1"/>
  <c r="BV355" i="1"/>
  <c r="BY353" i="1"/>
  <c r="BY352" i="1"/>
  <c r="CB350" i="1"/>
  <c r="CB349" i="1"/>
  <c r="BV348" i="1"/>
  <c r="BV347" i="1"/>
  <c r="BY345" i="1"/>
  <c r="BY344" i="1"/>
  <c r="CB342" i="1"/>
  <c r="CB341" i="1"/>
  <c r="BV340" i="1"/>
  <c r="BY337" i="1"/>
  <c r="BY336" i="1"/>
  <c r="CB334" i="1"/>
  <c r="CB333" i="1"/>
  <c r="BV332" i="1"/>
  <c r="BV331" i="1"/>
  <c r="BY329" i="1"/>
  <c r="BY328" i="1"/>
  <c r="CB326" i="1"/>
  <c r="CB325" i="1"/>
  <c r="BV324" i="1"/>
  <c r="BV323" i="1"/>
  <c r="BY321" i="1"/>
  <c r="CB318" i="1"/>
  <c r="BV316" i="1"/>
  <c r="BY313" i="1"/>
  <c r="CB310" i="1"/>
  <c r="BV307" i="1"/>
  <c r="CB301" i="1"/>
  <c r="BY296" i="1"/>
  <c r="BV291" i="1"/>
  <c r="CB285" i="1"/>
  <c r="BY280" i="1"/>
  <c r="BV275" i="1"/>
  <c r="CB269" i="1"/>
  <c r="BY264" i="1"/>
  <c r="BV259" i="1"/>
  <c r="CB253" i="1"/>
  <c r="CB246" i="1"/>
  <c r="BV236" i="1"/>
  <c r="BY246" i="1"/>
  <c r="BY230" i="1"/>
  <c r="CB227" i="1"/>
  <c r="BV201" i="1"/>
  <c r="BY198" i="1"/>
  <c r="CB195" i="1"/>
  <c r="BV193" i="1"/>
  <c r="BY190" i="1"/>
  <c r="CB187" i="1"/>
  <c r="BV185" i="1"/>
  <c r="BY182" i="1"/>
  <c r="BY178" i="1"/>
  <c r="BV173" i="1"/>
  <c r="CB167" i="1"/>
  <c r="BY162" i="1"/>
  <c r="BV157" i="1"/>
  <c r="CB151" i="1"/>
  <c r="BY146" i="1"/>
  <c r="CB247" i="1"/>
  <c r="BY242" i="1"/>
  <c r="BV177" i="1"/>
  <c r="CB171" i="1"/>
  <c r="BY166" i="1"/>
  <c r="BV161" i="1"/>
  <c r="CB155" i="1"/>
  <c r="BY150" i="1"/>
  <c r="BV145" i="1"/>
  <c r="CB139" i="1"/>
  <c r="BY130" i="1"/>
  <c r="BV249" i="1"/>
  <c r="CB243" i="1"/>
  <c r="BY238" i="1"/>
  <c r="BY234" i="1"/>
  <c r="CB231" i="1"/>
  <c r="BV229" i="1"/>
  <c r="BY226" i="1"/>
  <c r="CB223" i="1"/>
  <c r="BV221" i="1"/>
  <c r="BY218" i="1"/>
  <c r="CB215" i="1"/>
  <c r="BV213" i="1"/>
  <c r="CB207" i="1"/>
  <c r="BY202" i="1"/>
  <c r="CB199" i="1"/>
  <c r="BV197" i="1"/>
  <c r="BY194" i="1"/>
  <c r="CB191" i="1"/>
  <c r="BV189" i="1"/>
  <c r="BY186" i="1"/>
  <c r="CB183" i="1"/>
  <c r="BV181" i="1"/>
  <c r="CB175" i="1"/>
  <c r="BY170" i="1"/>
  <c r="BV165" i="1"/>
  <c r="CB159" i="1"/>
  <c r="BY154" i="1"/>
  <c r="BV149" i="1"/>
  <c r="CB143" i="1"/>
  <c r="BY138" i="1"/>
  <c r="BV129" i="1"/>
  <c r="CB123" i="1"/>
  <c r="BY14" i="1"/>
  <c r="BY122" i="1"/>
  <c r="BV117" i="1"/>
  <c r="BY114" i="1"/>
  <c r="BY90" i="1"/>
  <c r="BV85" i="1"/>
  <c r="CB79" i="1"/>
  <c r="BV53" i="1"/>
  <c r="CB47" i="1"/>
  <c r="BV37" i="1"/>
  <c r="CB119" i="1"/>
  <c r="BV113" i="1"/>
  <c r="BY110" i="1"/>
  <c r="BV105" i="1"/>
  <c r="BV89" i="1"/>
  <c r="BY78" i="1"/>
  <c r="BY62" i="1"/>
  <c r="CB51" i="1"/>
  <c r="BY46" i="1"/>
  <c r="BV41" i="1"/>
  <c r="CB11" i="1"/>
  <c r="T361" i="1"/>
  <c r="Z360" i="1"/>
  <c r="T360" i="1"/>
  <c r="T359" i="1"/>
  <c r="AF358" i="1"/>
  <c r="Z356" i="1"/>
  <c r="T356" i="1"/>
  <c r="AF272" i="1"/>
  <c r="Z272" i="1"/>
  <c r="T272" i="1"/>
  <c r="AF271" i="1"/>
  <c r="AF264" i="1"/>
  <c r="AF244" i="1"/>
  <c r="Z243" i="1"/>
  <c r="T213" i="1"/>
  <c r="T209" i="1"/>
  <c r="AF203" i="1"/>
  <c r="T167" i="1"/>
  <c r="AF155" i="1"/>
  <c r="T125" i="1"/>
  <c r="AF122" i="1"/>
  <c r="T112" i="1"/>
  <c r="T96" i="1"/>
  <c r="T70" i="1"/>
  <c r="T63" i="1"/>
  <c r="Z62" i="1"/>
  <c r="AF61" i="1"/>
  <c r="Z37" i="1"/>
  <c r="Z29" i="1"/>
  <c r="Z21" i="1"/>
  <c r="Z13" i="1"/>
  <c r="T13" i="1"/>
  <c r="AF12" i="1"/>
  <c r="T12" i="1"/>
  <c r="AF11" i="1"/>
  <c r="AU400" i="1"/>
  <c r="AO400" i="1"/>
  <c r="AU396" i="1"/>
  <c r="AO396" i="1"/>
  <c r="AL382" i="1"/>
  <c r="AL377" i="1"/>
  <c r="AR376" i="1"/>
  <c r="AU314" i="1"/>
  <c r="AU312" i="1"/>
  <c r="AO311" i="1"/>
  <c r="AL285" i="1"/>
  <c r="AO275" i="1"/>
  <c r="AU268" i="1"/>
  <c r="AO267" i="1"/>
  <c r="AU252" i="1"/>
  <c r="AU250" i="1"/>
  <c r="AO249" i="1"/>
  <c r="AR226" i="1"/>
  <c r="AU201" i="1"/>
  <c r="AU197" i="1"/>
  <c r="AU189" i="1"/>
  <c r="AU176" i="1"/>
  <c r="AO176" i="1"/>
  <c r="AU174" i="1"/>
  <c r="AU173" i="1"/>
  <c r="AU172" i="1"/>
  <c r="AO172" i="1"/>
  <c r="AU170" i="1"/>
  <c r="AU153" i="1"/>
  <c r="AU149" i="1"/>
  <c r="AU148" i="1"/>
  <c r="AU145" i="1"/>
  <c r="AU123" i="1"/>
  <c r="AU119" i="1"/>
  <c r="AU113" i="1"/>
  <c r="AU99" i="1"/>
  <c r="AU98" i="1"/>
  <c r="AU94" i="1"/>
  <c r="AU81" i="1"/>
  <c r="AU79" i="1"/>
  <c r="AU45" i="1"/>
  <c r="AU41" i="1"/>
  <c r="AU37" i="1"/>
  <c r="AU36" i="1"/>
  <c r="AU32" i="1"/>
  <c r="AU30" i="1"/>
  <c r="AO30" i="1"/>
  <c r="BJ401" i="1"/>
  <c r="BD401" i="1"/>
  <c r="BG397" i="1"/>
  <c r="BP396" i="1"/>
  <c r="BD396" i="1"/>
  <c r="BP394" i="1"/>
  <c r="BM393" i="1"/>
  <c r="BD391" i="1"/>
  <c r="BM389" i="1"/>
  <c r="BG389" i="1"/>
  <c r="BA389" i="1"/>
  <c r="BM379" i="1"/>
  <c r="BA379" i="1"/>
  <c r="BJ378" i="1"/>
  <c r="AX378" i="1"/>
  <c r="BA374" i="1"/>
  <c r="AX373" i="1"/>
  <c r="Q226" i="1"/>
  <c r="Q218" i="1"/>
  <c r="W215" i="1"/>
  <c r="AC208" i="1"/>
  <c r="Q206" i="1"/>
  <c r="AC184" i="1"/>
  <c r="AC160" i="1"/>
  <c r="W160" i="1"/>
  <c r="W159" i="1"/>
  <c r="W158" i="1"/>
  <c r="W155" i="1"/>
  <c r="Q155" i="1"/>
  <c r="Q154" i="1"/>
  <c r="Q153" i="1"/>
  <c r="W151" i="1"/>
  <c r="AC148" i="1"/>
  <c r="W147" i="1"/>
  <c r="Q147" i="1"/>
  <c r="W146" i="1"/>
  <c r="AC128" i="1"/>
  <c r="Q126" i="1"/>
  <c r="W123" i="1"/>
  <c r="Q122" i="1"/>
  <c r="AC121" i="1"/>
  <c r="Q121" i="1"/>
  <c r="AU380" i="1"/>
  <c r="AO380" i="1"/>
  <c r="AU379" i="1"/>
  <c r="AO379" i="1"/>
  <c r="AU375" i="1"/>
  <c r="AU371" i="1"/>
  <c r="AU369" i="1"/>
  <c r="AU367" i="1"/>
  <c r="AU365" i="1"/>
  <c r="AU298" i="1"/>
  <c r="AU296" i="1"/>
  <c r="AO296" i="1"/>
  <c r="AO295" i="1"/>
  <c r="AU288" i="1"/>
  <c r="AL278" i="1"/>
  <c r="AL277" i="1"/>
  <c r="AU244" i="1"/>
  <c r="AU242" i="1"/>
  <c r="AR220" i="1"/>
  <c r="AR218" i="1"/>
  <c r="AF402" i="1"/>
  <c r="AF398" i="1"/>
  <c r="T397" i="1"/>
  <c r="T395" i="1"/>
  <c r="Z394" i="1"/>
  <c r="T389" i="1"/>
  <c r="Z386" i="1"/>
  <c r="T373" i="1"/>
  <c r="AF367" i="1"/>
  <c r="T365" i="1"/>
  <c r="AL394" i="1"/>
  <c r="AL393" i="1"/>
  <c r="AL391" i="1"/>
  <c r="AL390" i="1"/>
  <c r="AU343" i="1"/>
  <c r="AU342" i="1"/>
  <c r="AU338" i="1"/>
  <c r="AU335" i="1"/>
  <c r="AU334" i="1"/>
  <c r="AL318" i="1"/>
  <c r="AL315" i="1"/>
  <c r="AL298" i="1"/>
  <c r="AL296" i="1"/>
  <c r="AL295" i="1"/>
  <c r="AL294" i="1"/>
  <c r="AR293" i="1"/>
  <c r="AL292" i="1"/>
  <c r="AR291" i="1"/>
  <c r="AR288" i="1"/>
  <c r="AU284" i="1"/>
  <c r="AU280" i="1"/>
  <c r="AU278" i="1"/>
  <c r="AU277" i="1"/>
  <c r="AO277" i="1"/>
  <c r="AL270" i="1"/>
  <c r="AL269" i="1"/>
  <c r="AL245" i="1"/>
  <c r="AL243" i="1"/>
  <c r="AL242" i="1"/>
  <c r="AL240" i="1"/>
  <c r="AR239" i="1"/>
  <c r="AL238" i="1"/>
  <c r="AR237" i="1"/>
  <c r="AU223" i="1"/>
  <c r="AO223" i="1"/>
  <c r="AU219" i="1"/>
  <c r="AO219" i="1"/>
  <c r="AU217" i="1"/>
  <c r="AO217" i="1"/>
  <c r="AU215" i="1"/>
  <c r="AO215" i="1"/>
  <c r="AR168" i="1"/>
  <c r="AL168" i="1"/>
  <c r="AR167" i="1"/>
  <c r="AL167" i="1"/>
  <c r="AR166" i="1"/>
  <c r="AL166" i="1"/>
  <c r="AR164" i="1"/>
  <c r="AL164" i="1"/>
  <c r="AR163" i="1"/>
  <c r="AL163" i="1"/>
  <c r="AR162" i="1"/>
  <c r="AL162" i="1"/>
  <c r="AR160" i="1"/>
  <c r="AL160" i="1"/>
  <c r="AR159" i="1"/>
  <c r="AL159" i="1"/>
  <c r="AR158" i="1"/>
  <c r="AL158" i="1"/>
  <c r="AR156" i="1"/>
  <c r="AL156" i="1"/>
  <c r="AR155" i="1"/>
  <c r="AL155" i="1"/>
  <c r="AR154" i="1"/>
  <c r="AL154" i="1"/>
  <c r="AU139" i="1"/>
  <c r="AU126" i="1"/>
  <c r="AO126" i="1"/>
  <c r="AL96" i="1"/>
  <c r="AR88" i="1"/>
  <c r="AR44" i="1"/>
  <c r="AL44" i="1"/>
  <c r="AR42" i="1"/>
  <c r="AL42" i="1"/>
  <c r="AU27" i="1"/>
  <c r="AU11" i="1"/>
  <c r="BM403" i="1"/>
  <c r="BA403" i="1"/>
  <c r="BM388" i="1"/>
  <c r="BA388" i="1"/>
  <c r="BP387" i="1"/>
  <c r="BD386" i="1"/>
  <c r="AX386" i="1"/>
  <c r="BM385" i="1"/>
  <c r="BD381" i="1"/>
  <c r="AX381" i="1"/>
  <c r="BA377" i="1"/>
  <c r="BJ376" i="1"/>
  <c r="AX376" i="1"/>
  <c r="BA372" i="1"/>
  <c r="AL20" i="1"/>
  <c r="AR18" i="1"/>
  <c r="AL18" i="1"/>
  <c r="AR14" i="1"/>
  <c r="AR12" i="1"/>
  <c r="AL12" i="1"/>
  <c r="AR10" i="1"/>
  <c r="AL10" i="1"/>
  <c r="BP403" i="1"/>
  <c r="BJ403" i="1"/>
  <c r="AX402" i="1"/>
  <c r="BG401" i="1"/>
  <c r="BP400" i="1"/>
  <c r="BG399" i="1"/>
  <c r="BP398" i="1"/>
  <c r="BD398" i="1"/>
  <c r="BM394" i="1"/>
  <c r="BG394" i="1"/>
  <c r="BP392" i="1"/>
  <c r="AX392" i="1"/>
  <c r="BM391" i="1"/>
  <c r="BG391" i="1"/>
  <c r="BD389" i="1"/>
  <c r="AX389" i="1"/>
  <c r="BG387" i="1"/>
  <c r="BA387" i="1"/>
  <c r="BP386" i="1"/>
  <c r="BM384" i="1"/>
  <c r="BG384" i="1"/>
  <c r="BG381" i="1"/>
  <c r="BP380" i="1"/>
  <c r="BD380" i="1"/>
  <c r="BM376" i="1"/>
  <c r="BG376" i="1"/>
  <c r="BM373" i="1"/>
  <c r="AX372" i="1"/>
  <c r="BM371" i="1"/>
  <c r="BP370" i="1"/>
  <c r="BJ370" i="1"/>
  <c r="BP369" i="1"/>
  <c r="BM368" i="1"/>
  <c r="BD367" i="1"/>
  <c r="BA366" i="1"/>
  <c r="BJ364" i="1"/>
  <c r="BM360" i="1"/>
  <c r="BJ359" i="1"/>
  <c r="BG355" i="1"/>
  <c r="BJ351" i="1"/>
  <c r="BG350" i="1"/>
  <c r="BD346" i="1"/>
  <c r="BD341" i="1"/>
  <c r="AX332" i="1"/>
  <c r="BP330" i="1"/>
  <c r="BJ294" i="1"/>
  <c r="AX294" i="1"/>
  <c r="BP287" i="1"/>
  <c r="BD287" i="1"/>
  <c r="BA286" i="1"/>
  <c r="BJ285" i="1"/>
  <c r="BA278" i="1"/>
  <c r="AX277" i="1"/>
  <c r="BG276" i="1"/>
  <c r="BP224" i="1"/>
  <c r="BJ222" i="1"/>
  <c r="BD220" i="1"/>
  <c r="AX218" i="1"/>
  <c r="BM215" i="1"/>
  <c r="BG213" i="1"/>
  <c r="BA211" i="1"/>
  <c r="BD204" i="1"/>
  <c r="BJ186" i="1"/>
  <c r="BM182" i="1"/>
  <c r="BA175" i="1"/>
  <c r="BD171" i="1"/>
  <c r="AX365" i="1"/>
  <c r="BP363" i="1"/>
  <c r="BD362" i="1"/>
  <c r="BJ360" i="1"/>
  <c r="BD360" i="1"/>
  <c r="BG359" i="1"/>
  <c r="BA359" i="1"/>
  <c r="BG358" i="1"/>
  <c r="BD357" i="1"/>
  <c r="BP355" i="1"/>
  <c r="BM354" i="1"/>
  <c r="BA353" i="1"/>
  <c r="BG351" i="1"/>
  <c r="BA351" i="1"/>
  <c r="BD350" i="1"/>
  <c r="AX350" i="1"/>
  <c r="BD349" i="1"/>
  <c r="BA348" i="1"/>
  <c r="BM346" i="1"/>
  <c r="BJ345" i="1"/>
  <c r="AX345" i="1"/>
  <c r="BG343" i="1"/>
  <c r="BG341" i="1"/>
  <c r="BJ340" i="1"/>
  <c r="BD340" i="1"/>
  <c r="BP336" i="1"/>
  <c r="AX336" i="1"/>
  <c r="BM335" i="1"/>
  <c r="BP331" i="1"/>
  <c r="BJ331" i="1"/>
  <c r="BD331" i="1"/>
  <c r="AX331" i="1"/>
  <c r="BM325" i="1"/>
  <c r="BG325" i="1"/>
  <c r="BA322" i="1"/>
  <c r="BP321" i="1"/>
  <c r="BJ316" i="1"/>
  <c r="BD316" i="1"/>
  <c r="AX313" i="1"/>
  <c r="BM312" i="1"/>
  <c r="BG307" i="1"/>
  <c r="BA307" i="1"/>
  <c r="BP303" i="1"/>
  <c r="BJ303" i="1"/>
  <c r="BD298" i="1"/>
  <c r="AX298" i="1"/>
  <c r="BM294" i="1"/>
  <c r="BG294" i="1"/>
  <c r="BP292" i="1"/>
  <c r="BD292" i="1"/>
  <c r="BM291" i="1"/>
  <c r="BM287" i="1"/>
  <c r="BA287" i="1"/>
  <c r="AX286" i="1"/>
  <c r="BM285" i="1"/>
  <c r="AX285" i="1"/>
  <c r="BP283" i="1"/>
  <c r="BD283" i="1"/>
  <c r="BG282" i="1"/>
  <c r="AX278" i="1"/>
  <c r="BP276" i="1"/>
  <c r="BJ276" i="1"/>
  <c r="BP275" i="1"/>
  <c r="BM274" i="1"/>
  <c r="BA274" i="1"/>
  <c r="BD273" i="1"/>
  <c r="BP268" i="1"/>
  <c r="BD268" i="1"/>
  <c r="BM267" i="1"/>
  <c r="BG267" i="1"/>
  <c r="BP265" i="1"/>
  <c r="BJ265" i="1"/>
  <c r="BD265" i="1"/>
  <c r="BA263" i="1"/>
  <c r="BM259" i="1"/>
  <c r="BG259" i="1"/>
  <c r="BD256" i="1"/>
  <c r="AX256" i="1"/>
  <c r="BG254" i="1"/>
  <c r="BA254" i="1"/>
  <c r="BP253" i="1"/>
  <c r="BM251" i="1"/>
  <c r="BG251" i="1"/>
  <c r="BP249" i="1"/>
  <c r="BJ249" i="1"/>
  <c r="BD249" i="1"/>
  <c r="BA247" i="1"/>
  <c r="BP246" i="1"/>
  <c r="BD245" i="1"/>
  <c r="BJ242" i="1"/>
  <c r="BP208" i="1"/>
  <c r="BJ206" i="1"/>
  <c r="BA203" i="1"/>
  <c r="BD141" i="1"/>
  <c r="BG107" i="1"/>
  <c r="BM370" i="1"/>
  <c r="BA369" i="1"/>
  <c r="BG367" i="1"/>
  <c r="BA367" i="1"/>
  <c r="BD366" i="1"/>
  <c r="AX366" i="1"/>
  <c r="BD365" i="1"/>
  <c r="BM362" i="1"/>
  <c r="BJ361" i="1"/>
  <c r="BD358" i="1"/>
  <c r="AX358" i="1"/>
  <c r="BA357" i="1"/>
  <c r="BP356" i="1"/>
  <c r="BJ353" i="1"/>
  <c r="BG352" i="1"/>
  <c r="BA349" i="1"/>
  <c r="BP348" i="1"/>
  <c r="AX348" i="1"/>
  <c r="BM347" i="1"/>
  <c r="BP343" i="1"/>
  <c r="BM342" i="1"/>
  <c r="BA338" i="1"/>
  <c r="BP337" i="1"/>
  <c r="BP334" i="1"/>
  <c r="BJ334" i="1"/>
  <c r="BA333" i="1"/>
  <c r="BP332" i="1"/>
  <c r="AX329" i="1"/>
  <c r="BM328" i="1"/>
  <c r="BG323" i="1"/>
  <c r="BA323" i="1"/>
  <c r="BP319" i="1"/>
  <c r="BJ319" i="1"/>
  <c r="BD314" i="1"/>
  <c r="AX314" i="1"/>
  <c r="BM310" i="1"/>
  <c r="BG310" i="1"/>
  <c r="BA305" i="1"/>
  <c r="BP304" i="1"/>
  <c r="BP301" i="1"/>
  <c r="BJ301" i="1"/>
  <c r="BD301" i="1"/>
  <c r="AX296" i="1"/>
  <c r="BM295" i="1"/>
  <c r="BG292" i="1"/>
  <c r="BA292" i="1"/>
  <c r="BP284" i="1"/>
  <c r="BD284" i="1"/>
  <c r="BM283" i="1"/>
  <c r="BG283" i="1"/>
  <c r="BA280" i="1"/>
  <c r="BM275" i="1"/>
  <c r="BA275" i="1"/>
  <c r="BJ274" i="1"/>
  <c r="BD274" i="1"/>
  <c r="AX271" i="1"/>
  <c r="BM270" i="1"/>
  <c r="BJ266" i="1"/>
  <c r="BD266" i="1"/>
  <c r="BM264" i="1"/>
  <c r="BG264" i="1"/>
  <c r="BA264" i="1"/>
  <c r="BD261" i="1"/>
  <c r="AX261" i="1"/>
  <c r="BM260" i="1"/>
  <c r="BP257" i="1"/>
  <c r="BJ257" i="1"/>
  <c r="BD257" i="1"/>
  <c r="BA255" i="1"/>
  <c r="BP254" i="1"/>
  <c r="BD253" i="1"/>
  <c r="AX253" i="1"/>
  <c r="BM252" i="1"/>
  <c r="BJ250" i="1"/>
  <c r="BD250" i="1"/>
  <c r="BM248" i="1"/>
  <c r="BG248" i="1"/>
  <c r="BA248" i="1"/>
  <c r="AX246" i="1"/>
  <c r="BG245" i="1"/>
  <c r="BP244" i="1"/>
  <c r="BJ243" i="1"/>
  <c r="BD243" i="1"/>
  <c r="AX238" i="1"/>
  <c r="BA236" i="1"/>
  <c r="BG233" i="1"/>
  <c r="BD230" i="1"/>
  <c r="AX228" i="1"/>
  <c r="BM225" i="1"/>
  <c r="BG224" i="1"/>
  <c r="BM223" i="1"/>
  <c r="BG223" i="1"/>
  <c r="BA222" i="1"/>
  <c r="BG221" i="1"/>
  <c r="BA221" i="1"/>
  <c r="BP219" i="1"/>
  <c r="BA219" i="1"/>
  <c r="BP218" i="1"/>
  <c r="BJ217" i="1"/>
  <c r="BP216" i="1"/>
  <c r="BJ216" i="1"/>
  <c r="BD215" i="1"/>
  <c r="BJ214" i="1"/>
  <c r="BD214" i="1"/>
  <c r="AX213" i="1"/>
  <c r="BD212" i="1"/>
  <c r="AX212" i="1"/>
  <c r="BD209" i="1"/>
  <c r="AX209" i="1"/>
  <c r="AX208" i="1"/>
  <c r="AX207" i="1"/>
  <c r="BM206" i="1"/>
  <c r="BP203" i="1"/>
  <c r="BJ203" i="1"/>
  <c r="AX202" i="1"/>
  <c r="BG201" i="1"/>
  <c r="BA201" i="1"/>
  <c r="BP192" i="1"/>
  <c r="BJ189" i="1"/>
  <c r="AX189" i="1"/>
  <c r="BD168" i="1"/>
  <c r="BG164" i="1"/>
  <c r="AX150" i="1"/>
  <c r="BD148" i="1"/>
  <c r="AX148" i="1"/>
  <c r="BJ140" i="1"/>
  <c r="BD139" i="1"/>
  <c r="AX139" i="1"/>
  <c r="AX136" i="1"/>
  <c r="BA198" i="1"/>
  <c r="BP196" i="1"/>
  <c r="BD196" i="1"/>
  <c r="AX196" i="1"/>
  <c r="BM192" i="1"/>
  <c r="BA192" i="1"/>
  <c r="AX190" i="1"/>
  <c r="BG189" i="1"/>
  <c r="BA189" i="1"/>
  <c r="AX187" i="1"/>
  <c r="BP185" i="1"/>
  <c r="BJ184" i="1"/>
  <c r="BA183" i="1"/>
  <c r="BP182" i="1"/>
  <c r="BP181" i="1"/>
  <c r="BJ181" i="1"/>
  <c r="BD181" i="1"/>
  <c r="AX181" i="1"/>
  <c r="AX178" i="1"/>
  <c r="BM177" i="1"/>
  <c r="BP176" i="1"/>
  <c r="BJ176" i="1"/>
  <c r="BP175" i="1"/>
  <c r="BJ175" i="1"/>
  <c r="AX175" i="1"/>
  <c r="BG174" i="1"/>
  <c r="BA174" i="1"/>
  <c r="BM171" i="1"/>
  <c r="BA171" i="1"/>
  <c r="BP170" i="1"/>
  <c r="BM168" i="1"/>
  <c r="BJ167" i="1"/>
  <c r="BD166" i="1"/>
  <c r="BP164" i="1"/>
  <c r="BJ164" i="1"/>
  <c r="BP163" i="1"/>
  <c r="BG161" i="1"/>
  <c r="BG159" i="1"/>
  <c r="BJ158" i="1"/>
  <c r="BD158" i="1"/>
  <c r="BD157" i="1"/>
  <c r="BP154" i="1"/>
  <c r="BD150" i="1"/>
  <c r="BJ143" i="1"/>
  <c r="AX143" i="1"/>
  <c r="BG141" i="1"/>
  <c r="BA141" i="1"/>
  <c r="BP140" i="1"/>
  <c r="BP139" i="1"/>
  <c r="BP138" i="1"/>
  <c r="BJ138" i="1"/>
  <c r="BP137" i="1"/>
  <c r="BJ137" i="1"/>
  <c r="BJ136" i="1"/>
  <c r="BD136" i="1"/>
  <c r="BD133" i="1"/>
  <c r="BM128" i="1"/>
  <c r="BA124" i="1"/>
  <c r="BA86" i="1"/>
  <c r="BM199" i="1"/>
  <c r="BA199" i="1"/>
  <c r="BP198" i="1"/>
  <c r="BJ194" i="1"/>
  <c r="AX194" i="1"/>
  <c r="BD188" i="1"/>
  <c r="AX188" i="1"/>
  <c r="BD182" i="1"/>
  <c r="AX179" i="1"/>
  <c r="BM178" i="1"/>
  <c r="AX176" i="1"/>
  <c r="AX170" i="1"/>
  <c r="BM169" i="1"/>
  <c r="AX164" i="1"/>
  <c r="BA163" i="1"/>
  <c r="BP162" i="1"/>
  <c r="BP161" i="1"/>
  <c r="BJ161" i="1"/>
  <c r="BD161" i="1"/>
  <c r="AX161" i="1"/>
  <c r="BM160" i="1"/>
  <c r="BG160" i="1"/>
  <c r="BM157" i="1"/>
  <c r="BM156" i="1"/>
  <c r="BG156" i="1"/>
  <c r="BA156" i="1"/>
  <c r="BP155" i="1"/>
  <c r="BG153" i="1"/>
  <c r="BA153" i="1"/>
  <c r="BP151" i="1"/>
  <c r="BJ151" i="1"/>
  <c r="BD151" i="1"/>
  <c r="BP148" i="1"/>
  <c r="BJ148" i="1"/>
  <c r="BJ147" i="1"/>
  <c r="BD147" i="1"/>
  <c r="AX147" i="1"/>
  <c r="BM146" i="1"/>
  <c r="AX145" i="1"/>
  <c r="BM143" i="1"/>
  <c r="BG143" i="1"/>
  <c r="BA143" i="1"/>
  <c r="BP131" i="1"/>
  <c r="BJ131" i="1"/>
  <c r="BJ130" i="1"/>
  <c r="BD130" i="1"/>
  <c r="AX130" i="1"/>
  <c r="BM129" i="1"/>
  <c r="BD127" i="1"/>
  <c r="AX127" i="1"/>
  <c r="AX126" i="1"/>
  <c r="BM125" i="1"/>
  <c r="BG125" i="1"/>
  <c r="BA125" i="1"/>
  <c r="BA122" i="1"/>
  <c r="BP121" i="1"/>
  <c r="BM113" i="1"/>
  <c r="BA102" i="1"/>
  <c r="BP101" i="1"/>
  <c r="BP100" i="1"/>
  <c r="BJ100" i="1"/>
  <c r="BD100" i="1"/>
  <c r="AX100" i="1"/>
  <c r="BM99" i="1"/>
  <c r="BD76" i="1"/>
  <c r="BJ70" i="1"/>
  <c r="BP64" i="1"/>
  <c r="BP115" i="1"/>
  <c r="AX112" i="1"/>
  <c r="BG111" i="1"/>
  <c r="BA97" i="1"/>
  <c r="BP87" i="1"/>
  <c r="BG84" i="1"/>
  <c r="AX61" i="1"/>
  <c r="BD55" i="1"/>
  <c r="BA46" i="1"/>
  <c r="BP45" i="1"/>
  <c r="BG28" i="1"/>
  <c r="BA28" i="1"/>
  <c r="BJ27" i="1"/>
  <c r="BP21" i="1"/>
  <c r="AX21" i="1"/>
  <c r="BM20" i="1"/>
  <c r="AX12" i="1"/>
  <c r="BM122" i="1"/>
  <c r="BG122" i="1"/>
  <c r="BG121" i="1"/>
  <c r="BA121" i="1"/>
  <c r="BP120" i="1"/>
  <c r="BJ120" i="1"/>
  <c r="BA118" i="1"/>
  <c r="BP117" i="1"/>
  <c r="BJ117" i="1"/>
  <c r="BD117" i="1"/>
  <c r="BJ116" i="1"/>
  <c r="BD116" i="1"/>
  <c r="BM115" i="1"/>
  <c r="BA115" i="1"/>
  <c r="BP111" i="1"/>
  <c r="BJ111" i="1"/>
  <c r="BP110" i="1"/>
  <c r="BA105" i="1"/>
  <c r="BM100" i="1"/>
  <c r="AX99" i="1"/>
  <c r="BJ97" i="1"/>
  <c r="BD97" i="1"/>
  <c r="BJ96" i="1"/>
  <c r="BA94" i="1"/>
  <c r="BJ93" i="1"/>
  <c r="BP90" i="1"/>
  <c r="BJ89" i="1"/>
  <c r="BD89" i="1"/>
  <c r="AX89" i="1"/>
  <c r="BD88" i="1"/>
  <c r="AX88" i="1"/>
  <c r="BM86" i="1"/>
  <c r="BG86" i="1"/>
  <c r="BA85" i="1"/>
  <c r="BJ83" i="1"/>
  <c r="BM81" i="1"/>
  <c r="AX81" i="1"/>
  <c r="BG79" i="1"/>
  <c r="BA78" i="1"/>
  <c r="BP76" i="1"/>
  <c r="BM72" i="1"/>
  <c r="BA69" i="1"/>
  <c r="BJ68" i="1"/>
  <c r="BM65" i="1"/>
  <c r="BG65" i="1"/>
  <c r="BA65" i="1"/>
  <c r="BG61" i="1"/>
  <c r="BA61" i="1"/>
  <c r="BP60" i="1"/>
  <c r="BJ60" i="1"/>
  <c r="BP59" i="1"/>
  <c r="AX59" i="1"/>
  <c r="BG58" i="1"/>
  <c r="BG55" i="1"/>
  <c r="AX53" i="1"/>
  <c r="BM44" i="1"/>
  <c r="BP43" i="1"/>
  <c r="BJ43" i="1"/>
  <c r="AX41" i="1"/>
  <c r="BP37" i="1"/>
  <c r="AX37" i="1"/>
  <c r="BM36" i="1"/>
  <c r="BD20" i="1"/>
  <c r="AX20" i="1"/>
  <c r="BJ19" i="1"/>
  <c r="BG18" i="1"/>
  <c r="BP10" i="1"/>
  <c r="BM96" i="1"/>
  <c r="BD93" i="1"/>
  <c r="BJ90" i="1"/>
  <c r="BD90" i="1"/>
  <c r="BM88" i="1"/>
  <c r="BG87" i="1"/>
  <c r="BP85" i="1"/>
  <c r="AX84" i="1"/>
  <c r="BM82" i="1"/>
  <c r="BG82" i="1"/>
  <c r="BG81" i="1"/>
  <c r="BA81" i="1"/>
  <c r="BP79" i="1"/>
  <c r="BA79" i="1"/>
  <c r="BP78" i="1"/>
  <c r="BM73" i="1"/>
  <c r="AX69" i="1"/>
  <c r="BM68" i="1"/>
  <c r="BJ64" i="1"/>
  <c r="BD63" i="1"/>
  <c r="BM62" i="1"/>
  <c r="BG62" i="1"/>
  <c r="BP61" i="1"/>
  <c r="BD60" i="1"/>
  <c r="AX60" i="1"/>
  <c r="BM59" i="1"/>
  <c r="BG59" i="1"/>
  <c r="BD57" i="1"/>
  <c r="BM53" i="1"/>
  <c r="BG53" i="1"/>
  <c r="BA53" i="1"/>
  <c r="BJ52" i="1"/>
  <c r="BD52" i="1"/>
  <c r="AX52" i="1"/>
  <c r="BM50" i="1"/>
  <c r="BD49" i="1"/>
  <c r="BA48" i="1"/>
  <c r="BD44" i="1"/>
  <c r="AX44" i="1"/>
  <c r="BA43" i="1"/>
  <c r="BP42" i="1"/>
  <c r="BD41" i="1"/>
  <c r="BP39" i="1"/>
  <c r="BG37" i="1"/>
  <c r="BA37" i="1"/>
  <c r="BD36" i="1"/>
  <c r="AX36" i="1"/>
  <c r="BJ35" i="1"/>
  <c r="BG32" i="1"/>
  <c r="BA32" i="1"/>
  <c r="BM30" i="1"/>
  <c r="BJ29" i="1"/>
  <c r="BP25" i="1"/>
  <c r="BD25" i="1"/>
  <c r="BP23" i="1"/>
  <c r="BM22" i="1"/>
  <c r="BA19" i="1"/>
  <c r="BP18" i="1"/>
  <c r="BD14" i="1"/>
  <c r="BG13" i="1"/>
  <c r="BP12" i="1"/>
  <c r="BD11" i="1"/>
  <c r="AX11" i="1"/>
  <c r="BM10" i="1"/>
  <c r="AF383" i="1"/>
  <c r="T381" i="1"/>
  <c r="Z380" i="1"/>
  <c r="T380" i="1"/>
  <c r="AF379" i="1"/>
  <c r="T379" i="1"/>
  <c r="AF378" i="1"/>
  <c r="AF377" i="1"/>
  <c r="Z377" i="1"/>
  <c r="T377" i="1"/>
  <c r="Z376" i="1"/>
  <c r="T376" i="1"/>
  <c r="T353" i="1"/>
  <c r="Z350" i="1"/>
  <c r="AF347" i="1"/>
  <c r="AF343" i="1"/>
  <c r="Z342" i="1"/>
  <c r="Z338" i="1"/>
  <c r="Z326" i="1"/>
  <c r="AF323" i="1"/>
  <c r="Z308" i="1"/>
  <c r="AF307" i="1"/>
  <c r="T307" i="1"/>
  <c r="Z306" i="1"/>
  <c r="AF301" i="1"/>
  <c r="Z300" i="1"/>
  <c r="T299" i="1"/>
  <c r="AF297" i="1"/>
  <c r="T291" i="1"/>
  <c r="Z288" i="1"/>
  <c r="T287" i="1"/>
  <c r="AF285" i="1"/>
  <c r="Z275" i="1"/>
  <c r="Z273" i="1"/>
  <c r="Z265" i="1"/>
  <c r="T260" i="1"/>
  <c r="AF250" i="1"/>
  <c r="T248" i="1"/>
  <c r="W163" i="1"/>
  <c r="W161" i="1"/>
  <c r="AL333" i="1"/>
  <c r="AL330" i="1"/>
  <c r="AL329" i="1"/>
  <c r="AU304" i="1"/>
  <c r="AO303" i="1"/>
  <c r="AL263" i="1"/>
  <c r="AL261" i="1"/>
  <c r="AU254" i="1"/>
  <c r="AO253" i="1"/>
  <c r="AU246" i="1"/>
  <c r="AO245" i="1"/>
  <c r="AL239" i="1"/>
  <c r="AL231" i="1"/>
  <c r="AU181" i="1"/>
  <c r="AC401" i="1"/>
  <c r="Q401" i="1"/>
  <c r="AC400" i="1"/>
  <c r="W400" i="1"/>
  <c r="Q400" i="1"/>
  <c r="AC399" i="1"/>
  <c r="Q394" i="1"/>
  <c r="AC390" i="1"/>
  <c r="W389" i="1"/>
  <c r="Q388" i="1"/>
  <c r="AC386" i="1"/>
  <c r="W369" i="1"/>
  <c r="Q368" i="1"/>
  <c r="AC366" i="1"/>
  <c r="W365" i="1"/>
  <c r="Z233" i="1"/>
  <c r="Z224" i="1"/>
  <c r="AF221" i="1"/>
  <c r="T219" i="1"/>
  <c r="Z216" i="1"/>
  <c r="T215" i="1"/>
  <c r="AF214" i="1"/>
  <c r="AC198" i="1"/>
  <c r="AC196" i="1"/>
  <c r="Q196" i="1"/>
  <c r="Q190" i="1"/>
  <c r="AC188" i="1"/>
  <c r="W187" i="1"/>
  <c r="AC186" i="1"/>
  <c r="Q186" i="1"/>
  <c r="W185" i="1"/>
  <c r="Q185" i="1"/>
  <c r="Z162" i="1"/>
  <c r="T162" i="1"/>
  <c r="AF161" i="1"/>
  <c r="Q146" i="1"/>
  <c r="W141" i="1"/>
  <c r="Q136" i="1"/>
  <c r="W133" i="1"/>
  <c r="AC130" i="1"/>
  <c r="AF60" i="1"/>
  <c r="T60" i="1"/>
  <c r="AF59" i="1"/>
  <c r="Z59" i="1"/>
  <c r="AF55" i="1"/>
  <c r="AF50" i="1"/>
  <c r="Z45" i="1"/>
  <c r="AL385" i="1"/>
  <c r="AR384" i="1"/>
  <c r="AL357" i="1"/>
  <c r="AL355" i="1"/>
  <c r="AL350" i="1"/>
  <c r="AL349" i="1"/>
  <c r="AL344" i="1"/>
  <c r="AR343" i="1"/>
  <c r="AR342" i="1"/>
  <c r="AU331" i="1"/>
  <c r="AU330" i="1"/>
  <c r="AU327" i="1"/>
  <c r="AU326" i="1"/>
  <c r="AL325" i="1"/>
  <c r="AL322" i="1"/>
  <c r="AL321" i="1"/>
  <c r="AR317" i="1"/>
  <c r="AR316" i="1"/>
  <c r="AU313" i="1"/>
  <c r="AU310" i="1"/>
  <c r="AU309" i="1"/>
  <c r="AL307" i="1"/>
  <c r="AL306" i="1"/>
  <c r="AR305" i="1"/>
  <c r="AL304" i="1"/>
  <c r="AR303" i="1"/>
  <c r="AL302" i="1"/>
  <c r="AR301" i="1"/>
  <c r="AU297" i="1"/>
  <c r="AU294" i="1"/>
  <c r="AO294" i="1"/>
  <c r="AU293" i="1"/>
  <c r="AO293" i="1"/>
  <c r="AR287" i="1"/>
  <c r="AL282" i="1"/>
  <c r="AL281" i="1"/>
  <c r="AR280" i="1"/>
  <c r="AO279" i="1"/>
  <c r="AL274" i="1"/>
  <c r="AL273" i="1"/>
  <c r="AR272" i="1"/>
  <c r="AO271" i="1"/>
  <c r="AU266" i="1"/>
  <c r="AU264" i="1"/>
  <c r="AU263" i="1"/>
  <c r="AU261" i="1"/>
  <c r="AL259" i="1"/>
  <c r="AL257" i="1"/>
  <c r="AL256" i="1"/>
  <c r="AR255" i="1"/>
  <c r="AL254" i="1"/>
  <c r="AR253" i="1"/>
  <c r="AL247" i="1"/>
  <c r="AL246" i="1"/>
  <c r="AR245" i="1"/>
  <c r="AO244" i="1"/>
  <c r="AU240" i="1"/>
  <c r="AL236" i="1"/>
  <c r="AR235" i="1"/>
  <c r="AU232" i="1"/>
  <c r="AU222" i="1"/>
  <c r="AU221" i="1"/>
  <c r="AU216" i="1"/>
  <c r="AU161" i="1"/>
  <c r="AU160" i="1"/>
  <c r="AO160" i="1"/>
  <c r="AU158" i="1"/>
  <c r="AU156" i="1"/>
  <c r="AO156" i="1"/>
  <c r="AU154" i="1"/>
  <c r="AR148" i="1"/>
  <c r="AL148" i="1"/>
  <c r="AR147" i="1"/>
  <c r="AU132" i="1"/>
  <c r="AU131" i="1"/>
  <c r="BG403" i="1"/>
  <c r="BD394" i="1"/>
  <c r="BJ391" i="1"/>
  <c r="AX387" i="1"/>
  <c r="BD376" i="1"/>
  <c r="Q352" i="1"/>
  <c r="W351" i="1"/>
  <c r="Q351" i="1"/>
  <c r="W349" i="1"/>
  <c r="AC348" i="1"/>
  <c r="W348" i="1"/>
  <c r="W345" i="1"/>
  <c r="Q340" i="1"/>
  <c r="W337" i="1"/>
  <c r="AC336" i="1"/>
  <c r="W336" i="1"/>
  <c r="AC334" i="1"/>
  <c r="W333" i="1"/>
  <c r="AC332" i="1"/>
  <c r="W332" i="1"/>
  <c r="Q332" i="1"/>
  <c r="AC330" i="1"/>
  <c r="W329" i="1"/>
  <c r="AC328" i="1"/>
  <c r="W328" i="1"/>
  <c r="Q324" i="1"/>
  <c r="W321" i="1"/>
  <c r="Q321" i="1"/>
  <c r="W320" i="1"/>
  <c r="AC319" i="1"/>
  <c r="AC318" i="1"/>
  <c r="AC316" i="1"/>
  <c r="W316" i="1"/>
  <c r="AC310" i="1"/>
  <c r="W305" i="1"/>
  <c r="Q283" i="1"/>
  <c r="AC281" i="1"/>
  <c r="W280" i="1"/>
  <c r="W279" i="1"/>
  <c r="W276" i="1"/>
  <c r="Q271" i="1"/>
  <c r="AC268" i="1"/>
  <c r="Q267" i="1"/>
  <c r="W266" i="1"/>
  <c r="AC265" i="1"/>
  <c r="AC259" i="1"/>
  <c r="Q259" i="1"/>
  <c r="AC257" i="1"/>
  <c r="W254" i="1"/>
  <c r="AC253" i="1"/>
  <c r="Q253" i="1"/>
  <c r="Z204" i="1"/>
  <c r="T204" i="1"/>
  <c r="Z198" i="1"/>
  <c r="T198" i="1"/>
  <c r="AF195" i="1"/>
  <c r="AF191" i="1"/>
  <c r="Q178" i="1"/>
  <c r="AC176" i="1"/>
  <c r="Q174" i="1"/>
  <c r="AC172" i="1"/>
  <c r="W171" i="1"/>
  <c r="AC168" i="1"/>
  <c r="Z158" i="1"/>
  <c r="T157" i="1"/>
  <c r="Z156" i="1"/>
  <c r="T156" i="1"/>
  <c r="Z150" i="1"/>
  <c r="T150" i="1"/>
  <c r="T145" i="1"/>
  <c r="AF144" i="1"/>
  <c r="T141" i="1"/>
  <c r="AF140" i="1"/>
  <c r="AF139" i="1"/>
  <c r="T133" i="1"/>
  <c r="AF131" i="1"/>
  <c r="Z130" i="1"/>
  <c r="W85" i="1"/>
  <c r="W71" i="1"/>
  <c r="AC52" i="1"/>
  <c r="W52" i="1"/>
  <c r="Q52" i="1"/>
  <c r="AC51" i="1"/>
  <c r="W51" i="1"/>
  <c r="Q51" i="1"/>
  <c r="Q50" i="1"/>
  <c r="AC49" i="1"/>
  <c r="W49" i="1"/>
  <c r="Q49" i="1"/>
  <c r="AC48" i="1"/>
  <c r="W48" i="1"/>
  <c r="AC28" i="1"/>
  <c r="W28" i="1"/>
  <c r="Q28" i="1"/>
  <c r="AC27" i="1"/>
  <c r="W23" i="1"/>
  <c r="Q23" i="1"/>
  <c r="AC22" i="1"/>
  <c r="AC13" i="1"/>
  <c r="Q11" i="1"/>
  <c r="AL403" i="1"/>
  <c r="AL398" i="1"/>
  <c r="AL397" i="1"/>
  <c r="AL396" i="1"/>
  <c r="AL395" i="1"/>
  <c r="AU387" i="1"/>
  <c r="AO387" i="1"/>
  <c r="AU385" i="1"/>
  <c r="AO385" i="1"/>
  <c r="AU383" i="1"/>
  <c r="AO383" i="1"/>
  <c r="AL378" i="1"/>
  <c r="AL373" i="1"/>
  <c r="AL372" i="1"/>
  <c r="AR371" i="1"/>
  <c r="AL370" i="1"/>
  <c r="AL369" i="1"/>
  <c r="AL368" i="1"/>
  <c r="AR367" i="1"/>
  <c r="AL366" i="1"/>
  <c r="AR365" i="1"/>
  <c r="AU359" i="1"/>
  <c r="AU357" i="1"/>
  <c r="AU355" i="1"/>
  <c r="AU353" i="1"/>
  <c r="AU351" i="1"/>
  <c r="AU350" i="1"/>
  <c r="AU347" i="1"/>
  <c r="AU346" i="1"/>
  <c r="AL340" i="1"/>
  <c r="AR338" i="1"/>
  <c r="AL336" i="1"/>
  <c r="AR335" i="1"/>
  <c r="AR334" i="1"/>
  <c r="AU323" i="1"/>
  <c r="AU322" i="1"/>
  <c r="AU319" i="1"/>
  <c r="AU318" i="1"/>
  <c r="AR315" i="1"/>
  <c r="AO292" i="1"/>
  <c r="AU282" i="1"/>
  <c r="AU281" i="1"/>
  <c r="AR279" i="1"/>
  <c r="AR278" i="1"/>
  <c r="AU274" i="1"/>
  <c r="AO274" i="1"/>
  <c r="AU273" i="1"/>
  <c r="AO273" i="1"/>
  <c r="AR271" i="1"/>
  <c r="AR270" i="1"/>
  <c r="AU259" i="1"/>
  <c r="AU237" i="1"/>
  <c r="AL234" i="1"/>
  <c r="AR233" i="1"/>
  <c r="AU228" i="1"/>
  <c r="AR224" i="1"/>
  <c r="AL223" i="1"/>
  <c r="AR219" i="1"/>
  <c r="AL219" i="1"/>
  <c r="AR216" i="1"/>
  <c r="AU193" i="1"/>
  <c r="AU192" i="1"/>
  <c r="AO192" i="1"/>
  <c r="AU188" i="1"/>
  <c r="AO188" i="1"/>
  <c r="AU186" i="1"/>
  <c r="AR176" i="1"/>
  <c r="AL176" i="1"/>
  <c r="AR175" i="1"/>
  <c r="AL175" i="1"/>
  <c r="AR174" i="1"/>
  <c r="AL174" i="1"/>
  <c r="AR172" i="1"/>
  <c r="AL172" i="1"/>
  <c r="AR171" i="1"/>
  <c r="AL171" i="1"/>
  <c r="AR170" i="1"/>
  <c r="AL170" i="1"/>
  <c r="AU150" i="1"/>
  <c r="AU120" i="1"/>
  <c r="AU107" i="1"/>
  <c r="AU103" i="1"/>
  <c r="AU102" i="1"/>
  <c r="AU101" i="1"/>
  <c r="AU100" i="1"/>
  <c r="AO100" i="1"/>
  <c r="AU89" i="1"/>
  <c r="AU88" i="1"/>
  <c r="AU86" i="1"/>
  <c r="AU85" i="1"/>
  <c r="AU84" i="1"/>
  <c r="AU83" i="1"/>
  <c r="AO83" i="1"/>
  <c r="AU73" i="1"/>
  <c r="AU72" i="1"/>
  <c r="AU70" i="1"/>
  <c r="AO70" i="1"/>
  <c r="BA401" i="1"/>
  <c r="BG390" i="1"/>
  <c r="BP385" i="1"/>
  <c r="BP382" i="1"/>
  <c r="BJ286" i="1"/>
  <c r="BG277" i="1"/>
  <c r="AL216" i="1"/>
  <c r="AR215" i="1"/>
  <c r="AL215" i="1"/>
  <c r="AU209" i="1"/>
  <c r="AU208" i="1"/>
  <c r="AU200" i="1"/>
  <c r="AO200" i="1"/>
  <c r="AU198" i="1"/>
  <c r="AU196" i="1"/>
  <c r="AO196" i="1"/>
  <c r="AU194" i="1"/>
  <c r="AR184" i="1"/>
  <c r="AL184" i="1"/>
  <c r="AR183" i="1"/>
  <c r="AL183" i="1"/>
  <c r="AR182" i="1"/>
  <c r="AL182" i="1"/>
  <c r="AR180" i="1"/>
  <c r="AL180" i="1"/>
  <c r="AR179" i="1"/>
  <c r="AL179" i="1"/>
  <c r="AR178" i="1"/>
  <c r="AL178" i="1"/>
  <c r="AU175" i="1"/>
  <c r="AU168" i="1"/>
  <c r="AO168" i="1"/>
  <c r="AU166" i="1"/>
  <c r="AU164" i="1"/>
  <c r="AO164" i="1"/>
  <c r="AU162" i="1"/>
  <c r="AU147" i="1"/>
  <c r="AO144" i="1"/>
  <c r="AR132" i="1"/>
  <c r="AL132" i="1"/>
  <c r="AR131" i="1"/>
  <c r="AL131" i="1"/>
  <c r="AR130" i="1"/>
  <c r="AL130" i="1"/>
  <c r="AU127" i="1"/>
  <c r="AU124" i="1"/>
  <c r="AU121" i="1"/>
  <c r="AR102" i="1"/>
  <c r="AL102" i="1"/>
  <c r="AR86" i="1"/>
  <c r="AL86" i="1"/>
  <c r="AR84" i="1"/>
  <c r="AR83" i="1"/>
  <c r="AR82" i="1"/>
  <c r="AL82" i="1"/>
  <c r="AR72" i="1"/>
  <c r="AL72" i="1"/>
  <c r="AR70" i="1"/>
  <c r="AL70" i="1"/>
  <c r="AU61" i="1"/>
  <c r="AU59" i="1"/>
  <c r="AO52" i="1"/>
  <c r="AU50" i="1"/>
  <c r="AO50" i="1"/>
  <c r="AU49" i="1"/>
  <c r="AU48" i="1"/>
  <c r="AU46" i="1"/>
  <c r="AO46" i="1"/>
  <c r="AR40" i="1"/>
  <c r="AL40" i="1"/>
  <c r="AU35" i="1"/>
  <c r="AU28" i="1"/>
  <c r="AU26" i="1"/>
  <c r="AO26" i="1"/>
  <c r="AU25" i="1"/>
  <c r="AU24" i="1"/>
  <c r="AU22" i="1"/>
  <c r="AO22" i="1"/>
  <c r="BD403" i="1"/>
  <c r="AX403" i="1"/>
  <c r="BJ402" i="1"/>
  <c r="AX401" i="1"/>
  <c r="BM400" i="1"/>
  <c r="BD400" i="1"/>
  <c r="BM398" i="1"/>
  <c r="BG398" i="1"/>
  <c r="AX398" i="1"/>
  <c r="BG396" i="1"/>
  <c r="BA396" i="1"/>
  <c r="BM395" i="1"/>
  <c r="BA394" i="1"/>
  <c r="BP393" i="1"/>
  <c r="BG393" i="1"/>
  <c r="BM382" i="1"/>
  <c r="BM380" i="1"/>
  <c r="BG380" i="1"/>
  <c r="AX380" i="1"/>
  <c r="BG378" i="1"/>
  <c r="BA378" i="1"/>
  <c r="BM377" i="1"/>
  <c r="BA376" i="1"/>
  <c r="BP375" i="1"/>
  <c r="BG375" i="1"/>
  <c r="BJ374" i="1"/>
  <c r="BP373" i="1"/>
  <c r="BJ373" i="1"/>
  <c r="BD372" i="1"/>
  <c r="BJ371" i="1"/>
  <c r="BD371" i="1"/>
  <c r="AX370" i="1"/>
  <c r="BD369" i="1"/>
  <c r="AX369" i="1"/>
  <c r="BM367" i="1"/>
  <c r="AX367" i="1"/>
  <c r="BM366" i="1"/>
  <c r="BG365" i="1"/>
  <c r="BM364" i="1"/>
  <c r="BG364" i="1"/>
  <c r="BA363" i="1"/>
  <c r="BG362" i="1"/>
  <c r="BA362" i="1"/>
  <c r="BP360" i="1"/>
  <c r="BA360" i="1"/>
  <c r="BP359" i="1"/>
  <c r="BJ358" i="1"/>
  <c r="BP357" i="1"/>
  <c r="BJ357" i="1"/>
  <c r="BD356" i="1"/>
  <c r="BJ355" i="1"/>
  <c r="BD355" i="1"/>
  <c r="AX354" i="1"/>
  <c r="BD353" i="1"/>
  <c r="AX353" i="1"/>
  <c r="BM351" i="1"/>
  <c r="AX351" i="1"/>
  <c r="BM350" i="1"/>
  <c r="BG349" i="1"/>
  <c r="BM348" i="1"/>
  <c r="BG348" i="1"/>
  <c r="BA347" i="1"/>
  <c r="BG346" i="1"/>
  <c r="BA346" i="1"/>
  <c r="BD344" i="1"/>
  <c r="BJ343" i="1"/>
  <c r="BD343" i="1"/>
  <c r="BM340" i="1"/>
  <c r="BD338" i="1"/>
  <c r="AX338" i="1"/>
  <c r="AX337" i="1"/>
  <c r="BM336" i="1"/>
  <c r="BA335" i="1"/>
  <c r="BA334" i="1"/>
  <c r="BP333" i="1"/>
  <c r="BA329" i="1"/>
  <c r="BJ328" i="1"/>
  <c r="BD328" i="1"/>
  <c r="BD327" i="1"/>
  <c r="AX327" i="1"/>
  <c r="BJ324" i="1"/>
  <c r="AX324" i="1"/>
  <c r="BM323" i="1"/>
  <c r="BM322" i="1"/>
  <c r="BG322" i="1"/>
  <c r="AX320" i="1"/>
  <c r="BG319" i="1"/>
  <c r="BA319" i="1"/>
  <c r="BA318" i="1"/>
  <c r="BP317" i="1"/>
  <c r="BG315" i="1"/>
  <c r="BP314" i="1"/>
  <c r="BJ314" i="1"/>
  <c r="BJ313" i="1"/>
  <c r="BD313" i="1"/>
  <c r="BP310" i="1"/>
  <c r="BD310" i="1"/>
  <c r="AX310" i="1"/>
  <c r="AX309" i="1"/>
  <c r="BM308" i="1"/>
  <c r="BD306" i="1"/>
  <c r="BM305" i="1"/>
  <c r="BG305" i="1"/>
  <c r="BG304" i="1"/>
  <c r="BA304" i="1"/>
  <c r="BM301" i="1"/>
  <c r="BA301" i="1"/>
  <c r="BP300" i="1"/>
  <c r="BP299" i="1"/>
  <c r="BJ299" i="1"/>
  <c r="BA297" i="1"/>
  <c r="BJ296" i="1"/>
  <c r="BD296" i="1"/>
  <c r="BD295" i="1"/>
  <c r="AX295" i="1"/>
  <c r="BJ292" i="1"/>
  <c r="AX292" i="1"/>
  <c r="BM288" i="1"/>
  <c r="AL147" i="1"/>
  <c r="AR146" i="1"/>
  <c r="AL146" i="1"/>
  <c r="AU140" i="1"/>
  <c r="AU137" i="1"/>
  <c r="AO120" i="1"/>
  <c r="AU118" i="1"/>
  <c r="AO118" i="1"/>
  <c r="AU117" i="1"/>
  <c r="AU116" i="1"/>
  <c r="AO116" i="1"/>
  <c r="AU115" i="1"/>
  <c r="AU111" i="1"/>
  <c r="AU110" i="1"/>
  <c r="AO110" i="1"/>
  <c r="AU108" i="1"/>
  <c r="AO108" i="1"/>
  <c r="AR64" i="1"/>
  <c r="AL64" i="1"/>
  <c r="AR62" i="1"/>
  <c r="AL62" i="1"/>
  <c r="AR56" i="1"/>
  <c r="AL56" i="1"/>
  <c r="AR54" i="1"/>
  <c r="AL54" i="1"/>
  <c r="AU44" i="1"/>
  <c r="AO44" i="1"/>
  <c r="AU42" i="1"/>
  <c r="AO42" i="1"/>
  <c r="AR36" i="1"/>
  <c r="AL36" i="1"/>
  <c r="AR32" i="1"/>
  <c r="AL32" i="1"/>
  <c r="AR30" i="1"/>
  <c r="AL30" i="1"/>
  <c r="AU20" i="1"/>
  <c r="AU18" i="1"/>
  <c r="AO18" i="1"/>
  <c r="AU13" i="1"/>
  <c r="AU10" i="1"/>
  <c r="AO10" i="1"/>
  <c r="BM402" i="1"/>
  <c r="BG402" i="1"/>
  <c r="BG400" i="1"/>
  <c r="BA400" i="1"/>
  <c r="BA398" i="1"/>
  <c r="BP397" i="1"/>
  <c r="BP395" i="1"/>
  <c r="BJ395" i="1"/>
  <c r="BJ393" i="1"/>
  <c r="BD393" i="1"/>
  <c r="BD392" i="1"/>
  <c r="BP391" i="1"/>
  <c r="BA391" i="1"/>
  <c r="BM390" i="1"/>
  <c r="AX390" i="1"/>
  <c r="BJ389" i="1"/>
  <c r="BP388" i="1"/>
  <c r="BG388" i="1"/>
  <c r="BM387" i="1"/>
  <c r="BD387" i="1"/>
  <c r="BJ386" i="1"/>
  <c r="BA386" i="1"/>
  <c r="BG385" i="1"/>
  <c r="AX385" i="1"/>
  <c r="BD384" i="1"/>
  <c r="BP383" i="1"/>
  <c r="BA383" i="1"/>
  <c r="BG382" i="1"/>
  <c r="BA380" i="1"/>
  <c r="BP379" i="1"/>
  <c r="BP377" i="1"/>
  <c r="BJ377" i="1"/>
  <c r="BJ375" i="1"/>
  <c r="BD375" i="1"/>
  <c r="AL52" i="1"/>
  <c r="AR50" i="1"/>
  <c r="AL50" i="1"/>
  <c r="AR48" i="1"/>
  <c r="AL48" i="1"/>
  <c r="AR46" i="1"/>
  <c r="AL46" i="1"/>
  <c r="AU40" i="1"/>
  <c r="AO40" i="1"/>
  <c r="AR28" i="1"/>
  <c r="AL28" i="1"/>
  <c r="AR26" i="1"/>
  <c r="AL26" i="1"/>
  <c r="AR24" i="1"/>
  <c r="AL24" i="1"/>
  <c r="AR22" i="1"/>
  <c r="AL22" i="1"/>
  <c r="BA402" i="1"/>
  <c r="BP401" i="1"/>
  <c r="BP399" i="1"/>
  <c r="BJ399" i="1"/>
  <c r="BJ397" i="1"/>
  <c r="BD397" i="1"/>
  <c r="BD395" i="1"/>
  <c r="AX395" i="1"/>
  <c r="AX393" i="1"/>
  <c r="BM392" i="1"/>
  <c r="BA382" i="1"/>
  <c r="BP381" i="1"/>
  <c r="BJ381" i="1"/>
  <c r="BJ379" i="1"/>
  <c r="BD379" i="1"/>
  <c r="BD377" i="1"/>
  <c r="AX377" i="1"/>
  <c r="BM374" i="1"/>
  <c r="BG373" i="1"/>
  <c r="BM372" i="1"/>
  <c r="BG372" i="1"/>
  <c r="BA371" i="1"/>
  <c r="BG370" i="1"/>
  <c r="BA370" i="1"/>
  <c r="BP368" i="1"/>
  <c r="BA368" i="1"/>
  <c r="BP367" i="1"/>
  <c r="BJ366" i="1"/>
  <c r="BP365" i="1"/>
  <c r="BJ365" i="1"/>
  <c r="BD364" i="1"/>
  <c r="BJ363" i="1"/>
  <c r="BD363" i="1"/>
  <c r="AX362" i="1"/>
  <c r="BD361" i="1"/>
  <c r="AX361" i="1"/>
  <c r="BM359" i="1"/>
  <c r="AX359" i="1"/>
  <c r="BM358" i="1"/>
  <c r="BG357" i="1"/>
  <c r="BM356" i="1"/>
  <c r="BG356" i="1"/>
  <c r="BA355" i="1"/>
  <c r="BG354" i="1"/>
  <c r="BA354" i="1"/>
  <c r="BP352" i="1"/>
  <c r="BA352" i="1"/>
  <c r="BP351" i="1"/>
  <c r="BJ350" i="1"/>
  <c r="BP349" i="1"/>
  <c r="BJ349" i="1"/>
  <c r="BD348" i="1"/>
  <c r="BJ347" i="1"/>
  <c r="BD347" i="1"/>
  <c r="AX346" i="1"/>
  <c r="BD345" i="1"/>
  <c r="BP342" i="1"/>
  <c r="BJ342" i="1"/>
  <c r="BJ341" i="1"/>
  <c r="BM338" i="1"/>
  <c r="BG338" i="1"/>
  <c r="BM333" i="1"/>
  <c r="BG333" i="1"/>
  <c r="BG332" i="1"/>
  <c r="BA332" i="1"/>
  <c r="BJ330" i="1"/>
  <c r="BJ329" i="1"/>
  <c r="BD329" i="1"/>
  <c r="BP326" i="1"/>
  <c r="BD326" i="1"/>
  <c r="AX326" i="1"/>
  <c r="AX325" i="1"/>
  <c r="BM324" i="1"/>
  <c r="BD322" i="1"/>
  <c r="BM321" i="1"/>
  <c r="BG321" i="1"/>
  <c r="BG320" i="1"/>
  <c r="BA320" i="1"/>
  <c r="BM317" i="1"/>
  <c r="BA317" i="1"/>
  <c r="BP316" i="1"/>
  <c r="BP315" i="1"/>
  <c r="BJ315" i="1"/>
  <c r="BA313" i="1"/>
  <c r="BJ312" i="1"/>
  <c r="BD312" i="1"/>
  <c r="BD311" i="1"/>
  <c r="AX311" i="1"/>
  <c r="BJ308" i="1"/>
  <c r="AX308" i="1"/>
  <c r="BM307" i="1"/>
  <c r="BM306" i="1"/>
  <c r="BG306" i="1"/>
  <c r="AX304" i="1"/>
  <c r="BG303" i="1"/>
  <c r="BA303" i="1"/>
  <c r="BA302" i="1"/>
  <c r="BG299" i="1"/>
  <c r="BP298" i="1"/>
  <c r="BJ298" i="1"/>
  <c r="BJ297" i="1"/>
  <c r="BD297" i="1"/>
  <c r="BP294" i="1"/>
  <c r="BD294" i="1"/>
  <c r="AX293" i="1"/>
  <c r="BM292" i="1"/>
  <c r="BM279" i="1"/>
  <c r="BM344" i="1"/>
  <c r="BG344" i="1"/>
  <c r="BA343" i="1"/>
  <c r="BG342" i="1"/>
  <c r="BA342" i="1"/>
  <c r="BP340" i="1"/>
  <c r="BA340" i="1"/>
  <c r="BJ338" i="1"/>
  <c r="BJ337" i="1"/>
  <c r="BD337" i="1"/>
  <c r="BD336" i="1"/>
  <c r="BD335" i="1"/>
  <c r="AX335" i="1"/>
  <c r="AX334" i="1"/>
  <c r="AX333" i="1"/>
  <c r="BM332" i="1"/>
  <c r="BM331" i="1"/>
  <c r="BM330" i="1"/>
  <c r="BG330" i="1"/>
  <c r="BG329" i="1"/>
  <c r="BG328" i="1"/>
  <c r="BA328" i="1"/>
  <c r="BA327" i="1"/>
  <c r="BA326" i="1"/>
  <c r="BP325" i="1"/>
  <c r="BP324" i="1"/>
  <c r="BP323" i="1"/>
  <c r="BJ323" i="1"/>
  <c r="BJ322" i="1"/>
  <c r="BJ321" i="1"/>
  <c r="BD321" i="1"/>
  <c r="BD320" i="1"/>
  <c r="BD319" i="1"/>
  <c r="AX319" i="1"/>
  <c r="AX318" i="1"/>
  <c r="AX317" i="1"/>
  <c r="BM316" i="1"/>
  <c r="BM315" i="1"/>
  <c r="BM314" i="1"/>
  <c r="BG314" i="1"/>
  <c r="BG313" i="1"/>
  <c r="BG312" i="1"/>
  <c r="BA312" i="1"/>
  <c r="BA311" i="1"/>
  <c r="BA310" i="1"/>
  <c r="BP309" i="1"/>
  <c r="BP308" i="1"/>
  <c r="BP307" i="1"/>
  <c r="BJ307" i="1"/>
  <c r="BJ306" i="1"/>
  <c r="BJ305" i="1"/>
  <c r="BD305" i="1"/>
  <c r="BD304" i="1"/>
  <c r="BD303" i="1"/>
  <c r="AX303" i="1"/>
  <c r="AX302" i="1"/>
  <c r="AX301" i="1"/>
  <c r="BM300" i="1"/>
  <c r="BM299" i="1"/>
  <c r="BM298" i="1"/>
  <c r="BG298" i="1"/>
  <c r="BG297" i="1"/>
  <c r="BG296" i="1"/>
  <c r="BA296" i="1"/>
  <c r="BA295" i="1"/>
  <c r="BA294" i="1"/>
  <c r="BP293" i="1"/>
  <c r="BG293" i="1"/>
  <c r="BP291" i="1"/>
  <c r="BJ291" i="1"/>
  <c r="BA291" i="1"/>
  <c r="BM286" i="1"/>
  <c r="BG286" i="1"/>
  <c r="BG284" i="1"/>
  <c r="BA284" i="1"/>
  <c r="BA282" i="1"/>
  <c r="BP281" i="1"/>
  <c r="BP279" i="1"/>
  <c r="BJ279" i="1"/>
  <c r="BD278" i="1"/>
  <c r="BJ277" i="1"/>
  <c r="BD277" i="1"/>
  <c r="AX276" i="1"/>
  <c r="BD275" i="1"/>
  <c r="AX275" i="1"/>
  <c r="BM273" i="1"/>
  <c r="AX273" i="1"/>
  <c r="BM272" i="1"/>
  <c r="BG271" i="1"/>
  <c r="BG270" i="1"/>
  <c r="BA270" i="1"/>
  <c r="BA269" i="1"/>
  <c r="BA268" i="1"/>
  <c r="BP267" i="1"/>
  <c r="BA245" i="1"/>
  <c r="BG244" i="1"/>
  <c r="AX242" i="1"/>
  <c r="BJ240" i="1"/>
  <c r="BP239" i="1"/>
  <c r="BG237" i="1"/>
  <c r="AX236" i="1"/>
  <c r="BD235" i="1"/>
  <c r="BP232" i="1"/>
  <c r="BA330" i="1"/>
  <c r="BP329" i="1"/>
  <c r="BP328" i="1"/>
  <c r="BP327" i="1"/>
  <c r="BJ327" i="1"/>
  <c r="BJ326" i="1"/>
  <c r="BJ325" i="1"/>
  <c r="BD325" i="1"/>
  <c r="BD324" i="1"/>
  <c r="BD323" i="1"/>
  <c r="AX323" i="1"/>
  <c r="AX322" i="1"/>
  <c r="AX321" i="1"/>
  <c r="BM320" i="1"/>
  <c r="BM319" i="1"/>
  <c r="BM318" i="1"/>
  <c r="BG318" i="1"/>
  <c r="BG317" i="1"/>
  <c r="BG316" i="1"/>
  <c r="BA316" i="1"/>
  <c r="BA315" i="1"/>
  <c r="BA314" i="1"/>
  <c r="BP313" i="1"/>
  <c r="BP312" i="1"/>
  <c r="BP311" i="1"/>
  <c r="BJ311" i="1"/>
  <c r="BJ310" i="1"/>
  <c r="BJ309" i="1"/>
  <c r="BD309" i="1"/>
  <c r="BD308" i="1"/>
  <c r="BD307" i="1"/>
  <c r="AX307" i="1"/>
  <c r="AX306" i="1"/>
  <c r="AX305" i="1"/>
  <c r="BM304" i="1"/>
  <c r="BM303" i="1"/>
  <c r="BM302" i="1"/>
  <c r="BG302" i="1"/>
  <c r="BG301" i="1"/>
  <c r="BG300" i="1"/>
  <c r="BA300" i="1"/>
  <c r="BA299" i="1"/>
  <c r="BA298" i="1"/>
  <c r="BP297" i="1"/>
  <c r="BP296" i="1"/>
  <c r="BP295" i="1"/>
  <c r="BJ295" i="1"/>
  <c r="BJ293" i="1"/>
  <c r="BD293" i="1"/>
  <c r="BD291" i="1"/>
  <c r="AX291" i="1"/>
  <c r="BP286" i="1"/>
  <c r="BP285" i="1"/>
  <c r="BJ284" i="1"/>
  <c r="BJ283" i="1"/>
  <c r="BD282" i="1"/>
  <c r="BD281" i="1"/>
  <c r="AX280" i="1"/>
  <c r="AX279" i="1"/>
  <c r="BM277" i="1"/>
  <c r="BM276" i="1"/>
  <c r="BG275" i="1"/>
  <c r="BG274" i="1"/>
  <c r="BA273" i="1"/>
  <c r="BA272" i="1"/>
  <c r="BP271" i="1"/>
  <c r="BP270" i="1"/>
  <c r="BP269" i="1"/>
  <c r="BJ269" i="1"/>
  <c r="BJ268" i="1"/>
  <c r="BJ267" i="1"/>
  <c r="BD267" i="1"/>
  <c r="BP266" i="1"/>
  <c r="BA266" i="1"/>
  <c r="BM265" i="1"/>
  <c r="AX265" i="1"/>
  <c r="BJ264" i="1"/>
  <c r="BP263" i="1"/>
  <c r="BG263" i="1"/>
  <c r="BJ261" i="1"/>
  <c r="BA261" i="1"/>
  <c r="BG260" i="1"/>
  <c r="AX260" i="1"/>
  <c r="BD259" i="1"/>
  <c r="BM257" i="1"/>
  <c r="AX257" i="1"/>
  <c r="BJ256" i="1"/>
  <c r="BP255" i="1"/>
  <c r="BG255" i="1"/>
  <c r="BM254" i="1"/>
  <c r="BD254" i="1"/>
  <c r="BJ253" i="1"/>
  <c r="BA253" i="1"/>
  <c r="BG252" i="1"/>
  <c r="AX252" i="1"/>
  <c r="BD251" i="1"/>
  <c r="BP250" i="1"/>
  <c r="BA250" i="1"/>
  <c r="BM249" i="1"/>
  <c r="AX249" i="1"/>
  <c r="BJ248" i="1"/>
  <c r="BP247" i="1"/>
  <c r="BG247" i="1"/>
  <c r="BM246" i="1"/>
  <c r="BD246" i="1"/>
  <c r="BJ245" i="1"/>
  <c r="BA243" i="1"/>
  <c r="BJ238" i="1"/>
  <c r="BA237" i="1"/>
  <c r="BG236" i="1"/>
  <c r="AX234" i="1"/>
  <c r="BJ232" i="1"/>
  <c r="BD285" i="1"/>
  <c r="AX283" i="1"/>
  <c r="BM280" i="1"/>
  <c r="BG279" i="1"/>
  <c r="BG278" i="1"/>
  <c r="BA277" i="1"/>
  <c r="BA276" i="1"/>
  <c r="BP274" i="1"/>
  <c r="BP273" i="1"/>
  <c r="BJ272" i="1"/>
  <c r="BJ271" i="1"/>
  <c r="BD271" i="1"/>
  <c r="BD270" i="1"/>
  <c r="BD269" i="1"/>
  <c r="AX269" i="1"/>
  <c r="AX268" i="1"/>
  <c r="BD244" i="1"/>
  <c r="BP242" i="1"/>
  <c r="BA242" i="1"/>
  <c r="BM239" i="1"/>
  <c r="BD238" i="1"/>
  <c r="BJ237" i="1"/>
  <c r="BA235" i="1"/>
  <c r="BM233" i="1"/>
  <c r="AX233" i="1"/>
  <c r="BM231" i="1"/>
  <c r="BG229" i="1"/>
  <c r="BA227" i="1"/>
  <c r="BA246" i="1"/>
  <c r="BM245" i="1"/>
  <c r="AX245" i="1"/>
  <c r="BJ244" i="1"/>
  <c r="BP243" i="1"/>
  <c r="BG243" i="1"/>
  <c r="BM242" i="1"/>
  <c r="BD242" i="1"/>
  <c r="BG240" i="1"/>
  <c r="AX240" i="1"/>
  <c r="BD239" i="1"/>
  <c r="BP238" i="1"/>
  <c r="BA238" i="1"/>
  <c r="BM237" i="1"/>
  <c r="AX237" i="1"/>
  <c r="BJ236" i="1"/>
  <c r="BP235" i="1"/>
  <c r="BG235" i="1"/>
  <c r="BM234" i="1"/>
  <c r="BD234" i="1"/>
  <c r="BJ233" i="1"/>
  <c r="BA233" i="1"/>
  <c r="BG232" i="1"/>
  <c r="AX232" i="1"/>
  <c r="BD231" i="1"/>
  <c r="BP230" i="1"/>
  <c r="BA230" i="1"/>
  <c r="BM229" i="1"/>
  <c r="AX229" i="1"/>
  <c r="BJ228" i="1"/>
  <c r="BP227" i="1"/>
  <c r="BG227" i="1"/>
  <c r="BM226" i="1"/>
  <c r="BD226" i="1"/>
  <c r="BG192" i="1"/>
  <c r="BG184" i="1"/>
  <c r="BD175" i="1"/>
  <c r="BG172" i="1"/>
  <c r="BP197" i="1"/>
  <c r="BJ197" i="1"/>
  <c r="BG196" i="1"/>
  <c r="BA196" i="1"/>
  <c r="BP194" i="1"/>
  <c r="BP193" i="1"/>
  <c r="BJ193" i="1"/>
  <c r="BJ192" i="1"/>
  <c r="BP191" i="1"/>
  <c r="BJ191" i="1"/>
  <c r="BD190" i="1"/>
  <c r="BD189" i="1"/>
  <c r="BG187" i="1"/>
  <c r="BM186" i="1"/>
  <c r="BG186" i="1"/>
  <c r="BA186" i="1"/>
  <c r="BP183" i="1"/>
  <c r="BG181" i="1"/>
  <c r="BA181" i="1"/>
  <c r="BA180" i="1"/>
  <c r="BD178" i="1"/>
  <c r="BD177" i="1"/>
  <c r="AX177" i="1"/>
  <c r="BM174" i="1"/>
  <c r="BD172" i="1"/>
  <c r="AX172" i="1"/>
  <c r="AX171" i="1"/>
  <c r="BM170" i="1"/>
  <c r="BA169" i="1"/>
  <c r="BG168" i="1"/>
  <c r="BA168" i="1"/>
  <c r="AX154" i="1"/>
  <c r="BG149" i="1"/>
  <c r="BJ145" i="1"/>
  <c r="AX141" i="1"/>
  <c r="BM138" i="1"/>
  <c r="BG136" i="1"/>
  <c r="BD206" i="1"/>
  <c r="BG204" i="1"/>
  <c r="AX204" i="1"/>
  <c r="BD203" i="1"/>
  <c r="BP202" i="1"/>
  <c r="BA202" i="1"/>
  <c r="BM201" i="1"/>
  <c r="AX201" i="1"/>
  <c r="BJ200" i="1"/>
  <c r="BP199" i="1"/>
  <c r="BG199" i="1"/>
  <c r="BM198" i="1"/>
  <c r="BD198" i="1"/>
  <c r="BD197" i="1"/>
  <c r="BJ195" i="1"/>
  <c r="BD195" i="1"/>
  <c r="BD193" i="1"/>
  <c r="AX193" i="1"/>
  <c r="AX191" i="1"/>
  <c r="BM188" i="1"/>
  <c r="BG188" i="1"/>
  <c r="BM183" i="1"/>
  <c r="BG183" i="1"/>
  <c r="BG182" i="1"/>
  <c r="BA182" i="1"/>
  <c r="BJ180" i="1"/>
  <c r="BJ179" i="1"/>
  <c r="BJ174" i="1"/>
  <c r="BD174" i="1"/>
  <c r="BD173" i="1"/>
  <c r="BG171" i="1"/>
  <c r="BG170" i="1"/>
  <c r="BA170" i="1"/>
  <c r="BG165" i="1"/>
  <c r="BA165" i="1"/>
  <c r="BA164" i="1"/>
  <c r="BP160" i="1"/>
  <c r="BJ160" i="1"/>
  <c r="BJ159" i="1"/>
  <c r="BD159" i="1"/>
  <c r="BG132" i="1"/>
  <c r="BP127" i="1"/>
  <c r="BD123" i="1"/>
  <c r="BM118" i="1"/>
  <c r="BD163" i="1"/>
  <c r="BM144" i="1"/>
  <c r="AX116" i="1"/>
  <c r="BA113" i="1"/>
  <c r="BJ108" i="1"/>
  <c r="BP94" i="1"/>
  <c r="BJ76" i="1"/>
  <c r="AX72" i="1"/>
  <c r="BM69" i="1"/>
  <c r="BA190" i="1"/>
  <c r="BP189" i="1"/>
  <c r="BJ188" i="1"/>
  <c r="BP187" i="1"/>
  <c r="BJ187" i="1"/>
  <c r="BD186" i="1"/>
  <c r="BJ185" i="1"/>
  <c r="BD185" i="1"/>
  <c r="AX184" i="1"/>
  <c r="BD183" i="1"/>
  <c r="AX183" i="1"/>
  <c r="BM181" i="1"/>
  <c r="BM180" i="1"/>
  <c r="BG179" i="1"/>
  <c r="BG178" i="1"/>
  <c r="BA178" i="1"/>
  <c r="BA177" i="1"/>
  <c r="BG176" i="1"/>
  <c r="BA176" i="1"/>
  <c r="BP174" i="1"/>
  <c r="BP173" i="1"/>
  <c r="BJ172" i="1"/>
  <c r="BP171" i="1"/>
  <c r="BJ171" i="1"/>
  <c r="BD170" i="1"/>
  <c r="BJ169" i="1"/>
  <c r="BD169" i="1"/>
  <c r="AX169" i="1"/>
  <c r="AX168" i="1"/>
  <c r="BD167" i="1"/>
  <c r="AX167" i="1"/>
  <c r="BM166" i="1"/>
  <c r="BM165" i="1"/>
  <c r="BM164" i="1"/>
  <c r="BG163" i="1"/>
  <c r="BG162" i="1"/>
  <c r="BA162" i="1"/>
  <c r="BA161" i="1"/>
  <c r="BA160" i="1"/>
  <c r="BP159" i="1"/>
  <c r="BP158" i="1"/>
  <c r="BP157" i="1"/>
  <c r="BJ157" i="1"/>
  <c r="BJ156" i="1"/>
  <c r="BJ155" i="1"/>
  <c r="BD155" i="1"/>
  <c r="BD154" i="1"/>
  <c r="BD153" i="1"/>
  <c r="AX153" i="1"/>
  <c r="AX151" i="1"/>
  <c r="BM150" i="1"/>
  <c r="BM149" i="1"/>
  <c r="BM148" i="1"/>
  <c r="BG148" i="1"/>
  <c r="BG147" i="1"/>
  <c r="BG146" i="1"/>
  <c r="BA146" i="1"/>
  <c r="BP144" i="1"/>
  <c r="BJ144" i="1"/>
  <c r="BA144" i="1"/>
  <c r="BP141" i="1"/>
  <c r="BM133" i="1"/>
  <c r="BM132" i="1"/>
  <c r="BM131" i="1"/>
  <c r="BG131" i="1"/>
  <c r="BG130" i="1"/>
  <c r="BG129" i="1"/>
  <c r="BA129" i="1"/>
  <c r="BA128" i="1"/>
  <c r="BA127" i="1"/>
  <c r="BP126" i="1"/>
  <c r="BP125" i="1"/>
  <c r="BP124" i="1"/>
  <c r="BJ124" i="1"/>
  <c r="BJ123" i="1"/>
  <c r="BJ122" i="1"/>
  <c r="BD122" i="1"/>
  <c r="BD121" i="1"/>
  <c r="BD120" i="1"/>
  <c r="AX120" i="1"/>
  <c r="AX119" i="1"/>
  <c r="AX118" i="1"/>
  <c r="BM117" i="1"/>
  <c r="BG115" i="1"/>
  <c r="AX113" i="1"/>
  <c r="BG112" i="1"/>
  <c r="BA112" i="1"/>
  <c r="BA111" i="1"/>
  <c r="BG108" i="1"/>
  <c r="BP107" i="1"/>
  <c r="BJ107" i="1"/>
  <c r="BP103" i="1"/>
  <c r="BD103" i="1"/>
  <c r="AX103" i="1"/>
  <c r="BG100" i="1"/>
  <c r="BP99" i="1"/>
  <c r="BP98" i="1"/>
  <c r="BM94" i="1"/>
  <c r="AX94" i="1"/>
  <c r="BM93" i="1"/>
  <c r="BA90" i="1"/>
  <c r="BG89" i="1"/>
  <c r="BA89" i="1"/>
  <c r="BA87" i="1"/>
  <c r="BP86" i="1"/>
  <c r="BP84" i="1"/>
  <c r="BJ84" i="1"/>
  <c r="BJ82" i="1"/>
  <c r="BD82" i="1"/>
  <c r="BM78" i="1"/>
  <c r="AX78" i="1"/>
  <c r="BG76" i="1"/>
  <c r="BG73" i="1"/>
  <c r="BA73" i="1"/>
  <c r="BP71" i="1"/>
  <c r="BA71" i="1"/>
  <c r="BJ69" i="1"/>
  <c r="BA66" i="1"/>
  <c r="BP63" i="1"/>
  <c r="AX157" i="1"/>
  <c r="AX156" i="1"/>
  <c r="AX155" i="1"/>
  <c r="BM154" i="1"/>
  <c r="BM153" i="1"/>
  <c r="BG151" i="1"/>
  <c r="BG150" i="1"/>
  <c r="BA150" i="1"/>
  <c r="BA149" i="1"/>
  <c r="BA148" i="1"/>
  <c r="BP147" i="1"/>
  <c r="BP146" i="1"/>
  <c r="BD144" i="1"/>
  <c r="AX144" i="1"/>
  <c r="BM141" i="1"/>
  <c r="BD140" i="1"/>
  <c r="BA139" i="1"/>
  <c r="BG138" i="1"/>
  <c r="AX138" i="1"/>
  <c r="BD137" i="1"/>
  <c r="BP136" i="1"/>
  <c r="BA136" i="1"/>
  <c r="BG133" i="1"/>
  <c r="BA133" i="1"/>
  <c r="BA132" i="1"/>
  <c r="BA131" i="1"/>
  <c r="BP130" i="1"/>
  <c r="BP129" i="1"/>
  <c r="BP128" i="1"/>
  <c r="BJ128" i="1"/>
  <c r="BJ127" i="1"/>
  <c r="BJ126" i="1"/>
  <c r="BD126" i="1"/>
  <c r="BD125" i="1"/>
  <c r="BD124" i="1"/>
  <c r="AX124" i="1"/>
  <c r="AX123" i="1"/>
  <c r="AX122" i="1"/>
  <c r="BM121" i="1"/>
  <c r="BM120" i="1"/>
  <c r="BM119" i="1"/>
  <c r="BG119" i="1"/>
  <c r="BG118" i="1"/>
  <c r="BD115" i="1"/>
  <c r="AX115" i="1"/>
  <c r="AX114" i="1"/>
  <c r="BA98" i="1"/>
  <c r="BP97" i="1"/>
  <c r="BP96" i="1"/>
  <c r="BG94" i="1"/>
  <c r="BP89" i="1"/>
  <c r="BJ87" i="1"/>
  <c r="BD85" i="1"/>
  <c r="AX83" i="1"/>
  <c r="BG78" i="1"/>
  <c r="BA76" i="1"/>
  <c r="BP73" i="1"/>
  <c r="BJ71" i="1"/>
  <c r="BD69" i="1"/>
  <c r="BD68" i="1"/>
  <c r="BP65" i="1"/>
  <c r="BJ63" i="1"/>
  <c r="BP116" i="1"/>
  <c r="BJ115" i="1"/>
  <c r="BP114" i="1"/>
  <c r="BJ114" i="1"/>
  <c r="BD113" i="1"/>
  <c r="BJ112" i="1"/>
  <c r="BD112" i="1"/>
  <c r="AX111" i="1"/>
  <c r="BD110" i="1"/>
  <c r="AX110" i="1"/>
  <c r="BM108" i="1"/>
  <c r="AX108" i="1"/>
  <c r="BM107" i="1"/>
  <c r="BM105" i="1"/>
  <c r="BG105" i="1"/>
  <c r="BA104" i="1"/>
  <c r="BG103" i="1"/>
  <c r="BA103" i="1"/>
  <c r="BG102" i="1"/>
  <c r="AX102" i="1"/>
  <c r="BM101" i="1"/>
  <c r="BD101" i="1"/>
  <c r="BD98" i="1"/>
  <c r="AX96" i="1"/>
  <c r="BP93" i="1"/>
  <c r="AX79" i="1"/>
  <c r="BM76" i="1"/>
  <c r="BD73" i="1"/>
  <c r="BA72" i="1"/>
  <c r="AX71" i="1"/>
  <c r="BP69" i="1"/>
  <c r="BG66" i="1"/>
  <c r="BD65" i="1"/>
  <c r="BA64" i="1"/>
  <c r="BG63" i="1"/>
  <c r="AX63" i="1"/>
  <c r="BM112" i="1"/>
  <c r="BM111" i="1"/>
  <c r="BG110" i="1"/>
  <c r="BA108" i="1"/>
  <c r="BA107" i="1"/>
  <c r="BP105" i="1"/>
  <c r="BP104" i="1"/>
  <c r="BJ103" i="1"/>
  <c r="BG101" i="1"/>
  <c r="BA101" i="1"/>
  <c r="BA100" i="1"/>
  <c r="BG98" i="1"/>
  <c r="BM97" i="1"/>
  <c r="BG97" i="1"/>
  <c r="BA96" i="1"/>
  <c r="BJ72" i="1"/>
  <c r="BG71" i="1"/>
  <c r="BD70" i="1"/>
  <c r="BP68" i="1"/>
  <c r="BJ25" i="1"/>
  <c r="BG57" i="1"/>
  <c r="AX57" i="1"/>
  <c r="BM56" i="1"/>
  <c r="BA55" i="1"/>
  <c r="BM54" i="1"/>
  <c r="BG54" i="1"/>
  <c r="BP52" i="1"/>
  <c r="BG52" i="1"/>
  <c r="BA52" i="1"/>
  <c r="BJ50" i="1"/>
  <c r="BA50" i="1"/>
  <c r="BP49" i="1"/>
  <c r="BD48" i="1"/>
  <c r="BP47" i="1"/>
  <c r="BJ47" i="1"/>
  <c r="AX46" i="1"/>
  <c r="BM45" i="1"/>
  <c r="BD45" i="1"/>
  <c r="BM43" i="1"/>
  <c r="BG43" i="1"/>
  <c r="AX43" i="1"/>
  <c r="BG41" i="1"/>
  <c r="BA41" i="1"/>
  <c r="BM40" i="1"/>
  <c r="BA39" i="1"/>
  <c r="BP36" i="1"/>
  <c r="BJ36" i="1"/>
  <c r="BA36" i="1"/>
  <c r="BJ31" i="1"/>
  <c r="BD29" i="1"/>
  <c r="AX27" i="1"/>
  <c r="BA25" i="1"/>
  <c r="BM24" i="1"/>
  <c r="BA23" i="1"/>
  <c r="BP22" i="1"/>
  <c r="BG22" i="1"/>
  <c r="BP20" i="1"/>
  <c r="BJ20" i="1"/>
  <c r="BA20" i="1"/>
  <c r="BJ18" i="1"/>
  <c r="BD18" i="1"/>
  <c r="BG14" i="1"/>
  <c r="BD13" i="1"/>
  <c r="BM28" i="1"/>
  <c r="BP26" i="1"/>
  <c r="BG26" i="1"/>
  <c r="AX18" i="1"/>
  <c r="AX58" i="1"/>
  <c r="BD56" i="1"/>
  <c r="BP55" i="1"/>
  <c r="BJ55" i="1"/>
  <c r="AX54" i="1"/>
  <c r="BJ53" i="1"/>
  <c r="BD53" i="1"/>
  <c r="BM51" i="1"/>
  <c r="BD51" i="1"/>
  <c r="AX51" i="1"/>
  <c r="BG49" i="1"/>
  <c r="AX49" i="1"/>
  <c r="BM48" i="1"/>
  <c r="BA47" i="1"/>
  <c r="BM46" i="1"/>
  <c r="BG46" i="1"/>
  <c r="BP44" i="1"/>
  <c r="BJ44" i="1"/>
  <c r="BA44" i="1"/>
  <c r="BJ42" i="1"/>
  <c r="BD42" i="1"/>
  <c r="BP41" i="1"/>
  <c r="BD40" i="1"/>
  <c r="AX40" i="1"/>
  <c r="BJ39" i="1"/>
  <c r="BM37" i="1"/>
  <c r="BD37" i="1"/>
  <c r="BM35" i="1"/>
  <c r="BG35" i="1"/>
  <c r="AX35" i="1"/>
  <c r="BM32" i="1"/>
  <c r="BA31" i="1"/>
  <c r="BP30" i="1"/>
  <c r="BG30" i="1"/>
  <c r="BP28" i="1"/>
  <c r="BJ28" i="1"/>
  <c r="BJ26" i="1"/>
  <c r="BD26" i="1"/>
  <c r="BD24" i="1"/>
  <c r="AX24" i="1"/>
  <c r="BJ23" i="1"/>
  <c r="AX22" i="1"/>
  <c r="BM21" i="1"/>
  <c r="BD21" i="1"/>
  <c r="BM19" i="1"/>
  <c r="BG19" i="1"/>
  <c r="AX19" i="1"/>
  <c r="BP13" i="1"/>
  <c r="BM12" i="1"/>
  <c r="BG10" i="1"/>
  <c r="AX288" i="1"/>
  <c r="BD286" i="1"/>
  <c r="AX284" i="1"/>
  <c r="BM281" i="1"/>
  <c r="BJ288" i="1"/>
  <c r="BG287" i="1"/>
  <c r="BA285" i="1"/>
  <c r="BP282" i="1"/>
  <c r="BJ280" i="1"/>
  <c r="BD194" i="1"/>
  <c r="AX192" i="1"/>
  <c r="BM189" i="1"/>
  <c r="BM197" i="1"/>
  <c r="AX197" i="1"/>
  <c r="BJ196" i="1"/>
  <c r="BP195" i="1"/>
  <c r="BG195" i="1"/>
  <c r="BM194" i="1"/>
  <c r="BM193" i="1"/>
  <c r="BG191" i="1"/>
  <c r="BA193" i="1"/>
  <c r="BP190" i="1"/>
  <c r="BA140" i="1"/>
  <c r="BM140" i="1"/>
  <c r="BJ139" i="1"/>
  <c r="W395" i="1"/>
  <c r="W393" i="1"/>
  <c r="Q380" i="1"/>
  <c r="AC378" i="1"/>
  <c r="W377" i="1"/>
  <c r="Q376" i="1"/>
  <c r="Z370" i="1"/>
  <c r="AF369" i="1"/>
  <c r="Z369" i="1"/>
  <c r="T369" i="1"/>
  <c r="Z368" i="1"/>
  <c r="T368" i="1"/>
  <c r="T367" i="1"/>
  <c r="Z366" i="1"/>
  <c r="AF365" i="1"/>
  <c r="Z365" i="1"/>
  <c r="Z362" i="1"/>
  <c r="Z358" i="1"/>
  <c r="AF355" i="1"/>
  <c r="Z354" i="1"/>
  <c r="Q344" i="1"/>
  <c r="Q328" i="1"/>
  <c r="AC326" i="1"/>
  <c r="AC315" i="1"/>
  <c r="Q315" i="1"/>
  <c r="W314" i="1"/>
  <c r="W313" i="1"/>
  <c r="W311" i="1"/>
  <c r="Q311" i="1"/>
  <c r="Z295" i="1"/>
  <c r="T294" i="1"/>
  <c r="AF292" i="1"/>
  <c r="Z284" i="1"/>
  <c r="Z282" i="1"/>
  <c r="AF280" i="1"/>
  <c r="Z280" i="1"/>
  <c r="AF279" i="1"/>
  <c r="Z279" i="1"/>
  <c r="T279" i="1"/>
  <c r="AF276" i="1"/>
  <c r="Z276" i="1"/>
  <c r="Z271" i="1"/>
  <c r="Z253" i="1"/>
  <c r="Z245" i="1"/>
  <c r="AF238" i="1"/>
  <c r="AF234" i="1"/>
  <c r="Q228" i="1"/>
  <c r="W209" i="1"/>
  <c r="Q209" i="1"/>
  <c r="Z206" i="1"/>
  <c r="T206" i="1"/>
  <c r="AF171" i="1"/>
  <c r="Z171" i="1"/>
  <c r="Z170" i="1"/>
  <c r="AF169" i="1"/>
  <c r="Z169" i="1"/>
  <c r="T169" i="1"/>
  <c r="AF168" i="1"/>
  <c r="Q158" i="1"/>
  <c r="Q156" i="1"/>
  <c r="AF146" i="1"/>
  <c r="Q128" i="1"/>
  <c r="W125" i="1"/>
  <c r="Q84" i="1"/>
  <c r="Z36" i="1"/>
  <c r="AF35" i="1"/>
  <c r="AF26" i="1"/>
  <c r="T26" i="1"/>
  <c r="AF25" i="1"/>
  <c r="T25" i="1"/>
  <c r="T21" i="1"/>
  <c r="Z20" i="1"/>
  <c r="AF19" i="1"/>
  <c r="AR397" i="1"/>
  <c r="AR396" i="1"/>
  <c r="AR395" i="1"/>
  <c r="AR382" i="1"/>
  <c r="AL371" i="1"/>
  <c r="AL367" i="1"/>
  <c r="AO360" i="1"/>
  <c r="AO358" i="1"/>
  <c r="T165" i="1"/>
  <c r="AF164" i="1"/>
  <c r="AF163" i="1"/>
  <c r="Z163" i="1"/>
  <c r="AC150" i="1"/>
  <c r="T114" i="1"/>
  <c r="Z111" i="1"/>
  <c r="Z105" i="1"/>
  <c r="AF104" i="1"/>
  <c r="T98" i="1"/>
  <c r="AR393" i="1"/>
  <c r="AR392" i="1"/>
  <c r="AR391" i="1"/>
  <c r="AR390" i="1"/>
  <c r="AO374" i="1"/>
  <c r="AO373" i="1"/>
  <c r="AL363" i="1"/>
  <c r="AO356" i="1"/>
  <c r="AO354" i="1"/>
  <c r="Z401" i="1"/>
  <c r="AF400" i="1"/>
  <c r="Z400" i="1"/>
  <c r="AF391" i="1"/>
  <c r="T391" i="1"/>
  <c r="AF390" i="1"/>
  <c r="Z390" i="1"/>
  <c r="AF389" i="1"/>
  <c r="Z389" i="1"/>
  <c r="Z388" i="1"/>
  <c r="T388" i="1"/>
  <c r="AF387" i="1"/>
  <c r="T387" i="1"/>
  <c r="AF386" i="1"/>
  <c r="Z378" i="1"/>
  <c r="AF375" i="1"/>
  <c r="Q360" i="1"/>
  <c r="AC358" i="1"/>
  <c r="W357" i="1"/>
  <c r="AC356" i="1"/>
  <c r="W356" i="1"/>
  <c r="T351" i="1"/>
  <c r="AF350" i="1"/>
  <c r="Z348" i="1"/>
  <c r="T348" i="1"/>
  <c r="AF338" i="1"/>
  <c r="Z336" i="1"/>
  <c r="T336" i="1"/>
  <c r="Z332" i="1"/>
  <c r="T332" i="1"/>
  <c r="AF329" i="1"/>
  <c r="Z329" i="1"/>
  <c r="Z328" i="1"/>
  <c r="T328" i="1"/>
  <c r="AC308" i="1"/>
  <c r="W307" i="1"/>
  <c r="AC306" i="1"/>
  <c r="AC302" i="1"/>
  <c r="Q300" i="1"/>
  <c r="AC298" i="1"/>
  <c r="Q292" i="1"/>
  <c r="Q288" i="1"/>
  <c r="W271" i="1"/>
  <c r="T270" i="1"/>
  <c r="AF269" i="1"/>
  <c r="Q245" i="1"/>
  <c r="W244" i="1"/>
  <c r="AC243" i="1"/>
  <c r="Q243" i="1"/>
  <c r="T233" i="1"/>
  <c r="AF232" i="1"/>
  <c r="Z232" i="1"/>
  <c r="AF231" i="1"/>
  <c r="Z231" i="1"/>
  <c r="T231" i="1"/>
  <c r="AF223" i="1"/>
  <c r="Z218" i="1"/>
  <c r="AF215" i="1"/>
  <c r="T211" i="1"/>
  <c r="Q204" i="1"/>
  <c r="W203" i="1"/>
  <c r="Q203" i="1"/>
  <c r="Q198" i="1"/>
  <c r="W195" i="1"/>
  <c r="Q195" i="1"/>
  <c r="W194" i="1"/>
  <c r="AC192" i="1"/>
  <c r="AF185" i="1"/>
  <c r="Z185" i="1"/>
  <c r="T185" i="1"/>
  <c r="Z184" i="1"/>
  <c r="T184" i="1"/>
  <c r="Z182" i="1"/>
  <c r="AF181" i="1"/>
  <c r="Q166" i="1"/>
  <c r="AC164" i="1"/>
  <c r="Q164" i="1"/>
  <c r="AC163" i="1"/>
  <c r="T160" i="1"/>
  <c r="T153" i="1"/>
  <c r="T151" i="1"/>
  <c r="W143" i="1"/>
  <c r="W139" i="1"/>
  <c r="AC136" i="1"/>
  <c r="W131" i="1"/>
  <c r="Q130" i="1"/>
  <c r="AC129" i="1"/>
  <c r="Q129" i="1"/>
  <c r="T128" i="1"/>
  <c r="Q120" i="1"/>
  <c r="Q102" i="1"/>
  <c r="AC101" i="1"/>
  <c r="AC90" i="1"/>
  <c r="Q88" i="1"/>
  <c r="W87" i="1"/>
  <c r="Q87" i="1"/>
  <c r="Q86" i="1"/>
  <c r="AC85" i="1"/>
  <c r="Z53" i="1"/>
  <c r="T48" i="1"/>
  <c r="AF42" i="1"/>
  <c r="T42" i="1"/>
  <c r="Z39" i="1"/>
  <c r="W12" i="1"/>
  <c r="AR403" i="1"/>
  <c r="AL401" i="1"/>
  <c r="AL400" i="1"/>
  <c r="AL399" i="1"/>
  <c r="AU392" i="1"/>
  <c r="AO392" i="1"/>
  <c r="AU391" i="1"/>
  <c r="AO391" i="1"/>
  <c r="AR388" i="1"/>
  <c r="AR387" i="1"/>
  <c r="AL387" i="1"/>
  <c r="AR386" i="1"/>
  <c r="AL384" i="1"/>
  <c r="AU381" i="1"/>
  <c r="AO381" i="1"/>
  <c r="AR380" i="1"/>
  <c r="AR379" i="1"/>
  <c r="AR378" i="1"/>
  <c r="AL375" i="1"/>
  <c r="AR374" i="1"/>
  <c r="AL374" i="1"/>
  <c r="AR373" i="1"/>
  <c r="AO372" i="1"/>
  <c r="AO370" i="1"/>
  <c r="AU227" i="1"/>
  <c r="AL351" i="1"/>
  <c r="AR349" i="1"/>
  <c r="AR348" i="1"/>
  <c r="AU345" i="1"/>
  <c r="AU344" i="1"/>
  <c r="AL343" i="1"/>
  <c r="AR341" i="1"/>
  <c r="AR340" i="1"/>
  <c r="AU337" i="1"/>
  <c r="AU336" i="1"/>
  <c r="AL335" i="1"/>
  <c r="AR333" i="1"/>
  <c r="AR332" i="1"/>
  <c r="AU329" i="1"/>
  <c r="AO329" i="1"/>
  <c r="AU328" i="1"/>
  <c r="AL327" i="1"/>
  <c r="AR325" i="1"/>
  <c r="AR324" i="1"/>
  <c r="AU321" i="1"/>
  <c r="AU320" i="1"/>
  <c r="AL319" i="1"/>
  <c r="AO315" i="1"/>
  <c r="AL313" i="1"/>
  <c r="AL305" i="1"/>
  <c r="AL291" i="1"/>
  <c r="AO287" i="1"/>
  <c r="AL267" i="1"/>
  <c r="AO263" i="1"/>
  <c r="AO261" i="1"/>
  <c r="AL255" i="1"/>
  <c r="AO239" i="1"/>
  <c r="AO235" i="1"/>
  <c r="AO231" i="1"/>
  <c r="AL317" i="1"/>
  <c r="AL311" i="1"/>
  <c r="AO307" i="1"/>
  <c r="AL303" i="1"/>
  <c r="AO299" i="1"/>
  <c r="AL283" i="1"/>
  <c r="AL279" i="1"/>
  <c r="AL275" i="1"/>
  <c r="AL271" i="1"/>
  <c r="AU267" i="1"/>
  <c r="AL265" i="1"/>
  <c r="AO251" i="1"/>
  <c r="AO247" i="1"/>
  <c r="AO228" i="1"/>
  <c r="AR369" i="1"/>
  <c r="AO368" i="1"/>
  <c r="AO366" i="1"/>
  <c r="AU363" i="1"/>
  <c r="AU361" i="1"/>
  <c r="AL359" i="1"/>
  <c r="AL356" i="1"/>
  <c r="AR355" i="1"/>
  <c r="AL354" i="1"/>
  <c r="AR353" i="1"/>
  <c r="AO352" i="1"/>
  <c r="AU349" i="1"/>
  <c r="AU348" i="1"/>
  <c r="AL347" i="1"/>
  <c r="AR345" i="1"/>
  <c r="AR344" i="1"/>
  <c r="AU341" i="1"/>
  <c r="AU340" i="1"/>
  <c r="AR337" i="1"/>
  <c r="AR336" i="1"/>
  <c r="AU333" i="1"/>
  <c r="AU332" i="1"/>
  <c r="AL331" i="1"/>
  <c r="AR329" i="1"/>
  <c r="AR328" i="1"/>
  <c r="AU325" i="1"/>
  <c r="AU324" i="1"/>
  <c r="AL323" i="1"/>
  <c r="AR321" i="1"/>
  <c r="AR320" i="1"/>
  <c r="AU317" i="1"/>
  <c r="AU316" i="1"/>
  <c r="AU311" i="1"/>
  <c r="AL309" i="1"/>
  <c r="AL308" i="1"/>
  <c r="AR307" i="1"/>
  <c r="AL301" i="1"/>
  <c r="AL300" i="1"/>
  <c r="AL299" i="1"/>
  <c r="AO298" i="1"/>
  <c r="AL293" i="1"/>
  <c r="AR292" i="1"/>
  <c r="AL287" i="1"/>
  <c r="AL286" i="1"/>
  <c r="AR285" i="1"/>
  <c r="AR281" i="1"/>
  <c r="AR277" i="1"/>
  <c r="AR273" i="1"/>
  <c r="AR269" i="1"/>
  <c r="AL260" i="1"/>
  <c r="AR259" i="1"/>
  <c r="AR257" i="1"/>
  <c r="AU253" i="1"/>
  <c r="AL252" i="1"/>
  <c r="AR251" i="1"/>
  <c r="AU249" i="1"/>
  <c r="AL248" i="1"/>
  <c r="AR247" i="1"/>
  <c r="AU245" i="1"/>
  <c r="AL244" i="1"/>
  <c r="AR243" i="1"/>
  <c r="AO242" i="1"/>
  <c r="AO237" i="1"/>
  <c r="AU226" i="1"/>
  <c r="AR222" i="1"/>
  <c r="AR221" i="1"/>
  <c r="AL221" i="1"/>
  <c r="AU218" i="1"/>
  <c r="AO218" i="1"/>
  <c r="AR209" i="1"/>
  <c r="AL209" i="1"/>
  <c r="AR208" i="1"/>
  <c r="AL208" i="1"/>
  <c r="AR207" i="1"/>
  <c r="AL207" i="1"/>
  <c r="AR206" i="1"/>
  <c r="AL206" i="1"/>
  <c r="AU203" i="1"/>
  <c r="AU195" i="1"/>
  <c r="AU187" i="1"/>
  <c r="AU179" i="1"/>
  <c r="AU171" i="1"/>
  <c r="AU163" i="1"/>
  <c r="AU155" i="1"/>
  <c r="AO128" i="1"/>
  <c r="AR112" i="1"/>
  <c r="AL112" i="1"/>
  <c r="AU105" i="1"/>
  <c r="AU104" i="1"/>
  <c r="AO104" i="1"/>
  <c r="AR98" i="1"/>
  <c r="AR97" i="1"/>
  <c r="AR94" i="1"/>
  <c r="AL94" i="1"/>
  <c r="AR93" i="1"/>
  <c r="AR90" i="1"/>
  <c r="AL90" i="1"/>
  <c r="AU87" i="1"/>
  <c r="AO87" i="1"/>
  <c r="AR78" i="1"/>
  <c r="AL78" i="1"/>
  <c r="AR76" i="1"/>
  <c r="AL76" i="1"/>
  <c r="AU71" i="1"/>
  <c r="AU68" i="1"/>
  <c r="AU66" i="1"/>
  <c r="AO66" i="1"/>
  <c r="AR60" i="1"/>
  <c r="AL60" i="1"/>
  <c r="AR58" i="1"/>
  <c r="AL58" i="1"/>
  <c r="AU55" i="1"/>
  <c r="AU52" i="1"/>
  <c r="AU19" i="1"/>
  <c r="AU12" i="1"/>
  <c r="AU190" i="1"/>
  <c r="AL188" i="1"/>
  <c r="AR186" i="1"/>
  <c r="AU143" i="1"/>
  <c r="AO48" i="1"/>
  <c r="AU31" i="1"/>
  <c r="AL14" i="1"/>
  <c r="AO226" i="1"/>
  <c r="AO222" i="1"/>
  <c r="AU220" i="1"/>
  <c r="AO220" i="1"/>
  <c r="AU212" i="1"/>
  <c r="AU207" i="1"/>
  <c r="AU206" i="1"/>
  <c r="AU199" i="1"/>
  <c r="AU191" i="1"/>
  <c r="AU183" i="1"/>
  <c r="AU167" i="1"/>
  <c r="AU159" i="1"/>
  <c r="AR151" i="1"/>
  <c r="AL151" i="1"/>
  <c r="AR150" i="1"/>
  <c r="AL150" i="1"/>
  <c r="AO148" i="1"/>
  <c r="AU146" i="1"/>
  <c r="AR144" i="1"/>
  <c r="AL144" i="1"/>
  <c r="AR143" i="1"/>
  <c r="AL143" i="1"/>
  <c r="AO140" i="1"/>
  <c r="AU138" i="1"/>
  <c r="AR136" i="1"/>
  <c r="AL136" i="1"/>
  <c r="AO132" i="1"/>
  <c r="AU130" i="1"/>
  <c r="AO130" i="1"/>
  <c r="AR128" i="1"/>
  <c r="AL128" i="1"/>
  <c r="AR127" i="1"/>
  <c r="AL127" i="1"/>
  <c r="AR126" i="1"/>
  <c r="AL126" i="1"/>
  <c r="AO124" i="1"/>
  <c r="AU122" i="1"/>
  <c r="AO122" i="1"/>
  <c r="AR120" i="1"/>
  <c r="AL120" i="1"/>
  <c r="AR119" i="1"/>
  <c r="AL119" i="1"/>
  <c r="AR118" i="1"/>
  <c r="AL118" i="1"/>
  <c r="AU114" i="1"/>
  <c r="AO114" i="1"/>
  <c r="AU112" i="1"/>
  <c r="AO112" i="1"/>
  <c r="AU97" i="1"/>
  <c r="AU96" i="1"/>
  <c r="AO96" i="1"/>
  <c r="AL88" i="1"/>
  <c r="AU82" i="1"/>
  <c r="AU78" i="1"/>
  <c r="AO78" i="1"/>
  <c r="AU76" i="1"/>
  <c r="AO76" i="1"/>
  <c r="AR68" i="1"/>
  <c r="AL68" i="1"/>
  <c r="AR66" i="1"/>
  <c r="AL66" i="1"/>
  <c r="AU63" i="1"/>
  <c r="AU60" i="1"/>
  <c r="AU58" i="1"/>
  <c r="AO58" i="1"/>
  <c r="AR52" i="1"/>
  <c r="AU47" i="1"/>
  <c r="AU43" i="1"/>
  <c r="AU23" i="1"/>
  <c r="AU14" i="1"/>
  <c r="AO14" i="1"/>
  <c r="Z396" i="1"/>
  <c r="AF385" i="1"/>
  <c r="Z385" i="1"/>
  <c r="T385" i="1"/>
  <c r="Z384" i="1"/>
  <c r="T384" i="1"/>
  <c r="T375" i="1"/>
  <c r="AF374" i="1"/>
  <c r="Z374" i="1"/>
  <c r="AF373" i="1"/>
  <c r="Z373" i="1"/>
  <c r="Z364" i="1"/>
  <c r="T364" i="1"/>
  <c r="AC350" i="1"/>
  <c r="AF345" i="1"/>
  <c r="Z345" i="1"/>
  <c r="AC338" i="1"/>
  <c r="T327" i="1"/>
  <c r="AF326" i="1"/>
  <c r="T325" i="1"/>
  <c r="Z324" i="1"/>
  <c r="T324" i="1"/>
  <c r="W319" i="1"/>
  <c r="Q318" i="1"/>
  <c r="W317" i="1"/>
  <c r="W397" i="1"/>
  <c r="Q396" i="1"/>
  <c r="AC394" i="1"/>
  <c r="Z392" i="1"/>
  <c r="T392" i="1"/>
  <c r="W385" i="1"/>
  <c r="Q384" i="1"/>
  <c r="T383" i="1"/>
  <c r="AF382" i="1"/>
  <c r="Z382" i="1"/>
  <c r="AF381" i="1"/>
  <c r="Z381" i="1"/>
  <c r="AC374" i="1"/>
  <c r="W373" i="1"/>
  <c r="Z372" i="1"/>
  <c r="T372" i="1"/>
  <c r="AF371" i="1"/>
  <c r="T371" i="1"/>
  <c r="AF370" i="1"/>
  <c r="Q364" i="1"/>
  <c r="AF361" i="1"/>
  <c r="Z361" i="1"/>
  <c r="AF359" i="1"/>
  <c r="Q356" i="1"/>
  <c r="AC354" i="1"/>
  <c r="Q354" i="1"/>
  <c r="AC353" i="1"/>
  <c r="W353" i="1"/>
  <c r="AF351" i="1"/>
  <c r="Q348" i="1"/>
  <c r="AC346" i="1"/>
  <c r="Q346" i="1"/>
  <c r="AC345" i="1"/>
  <c r="Z344" i="1"/>
  <c r="T344" i="1"/>
  <c r="Z340" i="1"/>
  <c r="T340" i="1"/>
  <c r="Q336" i="1"/>
  <c r="W327" i="1"/>
  <c r="Q327" i="1"/>
  <c r="W325" i="1"/>
  <c r="AC324" i="1"/>
  <c r="W324" i="1"/>
  <c r="Z322" i="1"/>
  <c r="T319" i="1"/>
  <c r="Z318" i="1"/>
  <c r="AF317" i="1"/>
  <c r="T317" i="1"/>
  <c r="Q314" i="1"/>
  <c r="AC312" i="1"/>
  <c r="Q312" i="1"/>
  <c r="W310" i="1"/>
  <c r="AC309" i="1"/>
  <c r="Q309" i="1"/>
  <c r="Q308" i="1"/>
  <c r="Q306" i="1"/>
  <c r="AC305" i="1"/>
  <c r="Z303" i="1"/>
  <c r="T278" i="1"/>
  <c r="AF254" i="1"/>
  <c r="T252" i="1"/>
  <c r="AC220" i="1"/>
  <c r="AF177" i="1"/>
  <c r="AF173" i="1"/>
  <c r="Z399" i="1"/>
  <c r="Q392" i="1"/>
  <c r="AC382" i="1"/>
  <c r="W381" i="1"/>
  <c r="Q372" i="1"/>
  <c r="AC370" i="1"/>
  <c r="AC362" i="1"/>
  <c r="W361" i="1"/>
  <c r="T357" i="1"/>
  <c r="AC352" i="1"/>
  <c r="W352" i="1"/>
  <c r="T349" i="1"/>
  <c r="AC344" i="1"/>
  <c r="W344" i="1"/>
  <c r="AC342" i="1"/>
  <c r="W341" i="1"/>
  <c r="AC340" i="1"/>
  <c r="W340" i="1"/>
  <c r="T337" i="1"/>
  <c r="AF335" i="1"/>
  <c r="Z334" i="1"/>
  <c r="T333" i="1"/>
  <c r="AF331" i="1"/>
  <c r="Z330" i="1"/>
  <c r="AC322" i="1"/>
  <c r="Q322" i="1"/>
  <c r="AC321" i="1"/>
  <c r="AF313" i="1"/>
  <c r="T313" i="1"/>
  <c r="Z312" i="1"/>
  <c r="AF311" i="1"/>
  <c r="Q305" i="1"/>
  <c r="W304" i="1"/>
  <c r="W303" i="1"/>
  <c r="Q296" i="1"/>
  <c r="W295" i="1"/>
  <c r="Q295" i="1"/>
  <c r="Q294" i="1"/>
  <c r="AC293" i="1"/>
  <c r="AC292" i="1"/>
  <c r="W292" i="1"/>
  <c r="AC286" i="1"/>
  <c r="W285" i="1"/>
  <c r="W284" i="1"/>
  <c r="W283" i="1"/>
  <c r="T240" i="1"/>
  <c r="T201" i="1"/>
  <c r="T193" i="1"/>
  <c r="Z164" i="1"/>
  <c r="Z138" i="1"/>
  <c r="AF98" i="1"/>
  <c r="AF296" i="1"/>
  <c r="Q279" i="1"/>
  <c r="AC276" i="1"/>
  <c r="W268" i="1"/>
  <c r="AF256" i="1"/>
  <c r="T250" i="1"/>
  <c r="AF248" i="1"/>
  <c r="Z247" i="1"/>
  <c r="Z238" i="1"/>
  <c r="T238" i="1"/>
  <c r="AF237" i="1"/>
  <c r="T237" i="1"/>
  <c r="AF236" i="1"/>
  <c r="Z236" i="1"/>
  <c r="AF235" i="1"/>
  <c r="Z235" i="1"/>
  <c r="T232" i="1"/>
  <c r="AF230" i="1"/>
  <c r="AF229" i="1"/>
  <c r="Z229" i="1"/>
  <c r="Z228" i="1"/>
  <c r="T228" i="1"/>
  <c r="AF227" i="1"/>
  <c r="Z227" i="1"/>
  <c r="T227" i="1"/>
  <c r="AF226" i="1"/>
  <c r="W223" i="1"/>
  <c r="T221" i="1"/>
  <c r="Z220" i="1"/>
  <c r="T220" i="1"/>
  <c r="Q216" i="1"/>
  <c r="AC215" i="1"/>
  <c r="Z212" i="1"/>
  <c r="T212" i="1"/>
  <c r="W207" i="1"/>
  <c r="AC206" i="1"/>
  <c r="W206" i="1"/>
  <c r="W201" i="1"/>
  <c r="AC200" i="1"/>
  <c r="W200" i="1"/>
  <c r="T197" i="1"/>
  <c r="Z196" i="1"/>
  <c r="T196" i="1"/>
  <c r="Q194" i="1"/>
  <c r="W193" i="1"/>
  <c r="Q193" i="1"/>
  <c r="AC170" i="1"/>
  <c r="Q170" i="1"/>
  <c r="W169" i="1"/>
  <c r="Q169" i="1"/>
  <c r="AC158" i="1"/>
  <c r="Z157" i="1"/>
  <c r="W153" i="1"/>
  <c r="AC151" i="1"/>
  <c r="Q148" i="1"/>
  <c r="AC138" i="1"/>
  <c r="Q138" i="1"/>
  <c r="AC137" i="1"/>
  <c r="Q137" i="1"/>
  <c r="T136" i="1"/>
  <c r="Z133" i="1"/>
  <c r="W127" i="1"/>
  <c r="Q127" i="1"/>
  <c r="W126" i="1"/>
  <c r="AC122" i="1"/>
  <c r="AF116" i="1"/>
  <c r="AF112" i="1"/>
  <c r="Z112" i="1"/>
  <c r="W101" i="1"/>
  <c r="AC100" i="1"/>
  <c r="Q98" i="1"/>
  <c r="AC97" i="1"/>
  <c r="AF89" i="1"/>
  <c r="Z89" i="1"/>
  <c r="T89" i="1"/>
  <c r="AF88" i="1"/>
  <c r="Z88" i="1"/>
  <c r="T88" i="1"/>
  <c r="AC84" i="1"/>
  <c r="AC82" i="1"/>
  <c r="Q82" i="1"/>
  <c r="AC81" i="1"/>
  <c r="AC79" i="1"/>
  <c r="Q78" i="1"/>
  <c r="Q76" i="1"/>
  <c r="W73" i="1"/>
  <c r="AC72" i="1"/>
  <c r="Q72" i="1"/>
  <c r="AC71" i="1"/>
  <c r="T66" i="1"/>
  <c r="T64" i="1"/>
  <c r="Z58" i="1"/>
  <c r="T58" i="1"/>
  <c r="AF56" i="1"/>
  <c r="Z55" i="1"/>
  <c r="AF54" i="1"/>
  <c r="T54" i="1"/>
  <c r="W47" i="1"/>
  <c r="Q47" i="1"/>
  <c r="AC46" i="1"/>
  <c r="W46" i="1"/>
  <c r="Q46" i="1"/>
  <c r="AC45" i="1"/>
  <c r="AC44" i="1"/>
  <c r="AF41" i="1"/>
  <c r="T41" i="1"/>
  <c r="AF36" i="1"/>
  <c r="T32" i="1"/>
  <c r="Z31" i="1"/>
  <c r="AF30" i="1"/>
  <c r="T30" i="1"/>
  <c r="Q18" i="1"/>
  <c r="AC14" i="1"/>
  <c r="W14" i="1"/>
  <c r="Q14" i="1"/>
  <c r="AF10" i="1"/>
  <c r="T10" i="1"/>
  <c r="Z403" i="1"/>
  <c r="T403" i="1"/>
  <c r="AU403" i="1"/>
  <c r="AO403" i="1"/>
  <c r="AR402" i="1"/>
  <c r="AU399" i="1"/>
  <c r="AO399" i="1"/>
  <c r="AR398" i="1"/>
  <c r="AU395" i="1"/>
  <c r="AO395" i="1"/>
  <c r="AR394" i="1"/>
  <c r="AR383" i="1"/>
  <c r="AL376" i="1"/>
  <c r="Q303" i="1"/>
  <c r="W301" i="1"/>
  <c r="W297" i="1"/>
  <c r="AC296" i="1"/>
  <c r="W296" i="1"/>
  <c r="T282" i="1"/>
  <c r="Z281" i="1"/>
  <c r="T280" i="1"/>
  <c r="AF278" i="1"/>
  <c r="AC275" i="1"/>
  <c r="Z269" i="1"/>
  <c r="Z267" i="1"/>
  <c r="W264" i="1"/>
  <c r="AC263" i="1"/>
  <c r="Q263" i="1"/>
  <c r="AC261" i="1"/>
  <c r="Q261" i="1"/>
  <c r="AF252" i="1"/>
  <c r="W250" i="1"/>
  <c r="AC249" i="1"/>
  <c r="Q249" i="1"/>
  <c r="W248" i="1"/>
  <c r="AF242" i="1"/>
  <c r="W238" i="1"/>
  <c r="AC237" i="1"/>
  <c r="Q237" i="1"/>
  <c r="W236" i="1"/>
  <c r="AF225" i="1"/>
  <c r="Z225" i="1"/>
  <c r="W221" i="1"/>
  <c r="Q221" i="1"/>
  <c r="AF217" i="1"/>
  <c r="Z217" i="1"/>
  <c r="Z202" i="1"/>
  <c r="T202" i="1"/>
  <c r="AF201" i="1"/>
  <c r="W198" i="1"/>
  <c r="AF193" i="1"/>
  <c r="Q192" i="1"/>
  <c r="W191" i="1"/>
  <c r="AC190" i="1"/>
  <c r="W190" i="1"/>
  <c r="AF187" i="1"/>
  <c r="T187" i="1"/>
  <c r="W183" i="1"/>
  <c r="Q182" i="1"/>
  <c r="AF180" i="1"/>
  <c r="Z180" i="1"/>
  <c r="T180" i="1"/>
  <c r="AF179" i="1"/>
  <c r="Z179" i="1"/>
  <c r="T179" i="1"/>
  <c r="Z178" i="1"/>
  <c r="T178" i="1"/>
  <c r="Q177" i="1"/>
  <c r="Z175" i="1"/>
  <c r="T175" i="1"/>
  <c r="AF174" i="1"/>
  <c r="Z174" i="1"/>
  <c r="T174" i="1"/>
  <c r="Q163" i="1"/>
  <c r="T159" i="1"/>
  <c r="AC157" i="1"/>
  <c r="AF153" i="1"/>
  <c r="Z153" i="1"/>
  <c r="Z149" i="1"/>
  <c r="AF147" i="1"/>
  <c r="Z146" i="1"/>
  <c r="W145" i="1"/>
  <c r="AC144" i="1"/>
  <c r="W144" i="1"/>
  <c r="AC143" i="1"/>
  <c r="Z141" i="1"/>
  <c r="AC132" i="1"/>
  <c r="W132" i="1"/>
  <c r="AC131" i="1"/>
  <c r="Z122" i="1"/>
  <c r="T121" i="1"/>
  <c r="W119" i="1"/>
  <c r="Q119" i="1"/>
  <c r="W118" i="1"/>
  <c r="T110" i="1"/>
  <c r="AF108" i="1"/>
  <c r="Z108" i="1"/>
  <c r="T108" i="1"/>
  <c r="AF107" i="1"/>
  <c r="Z107" i="1"/>
  <c r="T107" i="1"/>
  <c r="AF105" i="1"/>
  <c r="Z103" i="1"/>
  <c r="T103" i="1"/>
  <c r="AF102" i="1"/>
  <c r="Z102" i="1"/>
  <c r="T102" i="1"/>
  <c r="Z100" i="1"/>
  <c r="T100" i="1"/>
  <c r="AF99" i="1"/>
  <c r="T99" i="1"/>
  <c r="W93" i="1"/>
  <c r="Q93" i="1"/>
  <c r="T87" i="1"/>
  <c r="Q70" i="1"/>
  <c r="Q68" i="1"/>
  <c r="AC66" i="1"/>
  <c r="W66" i="1"/>
  <c r="Q66" i="1"/>
  <c r="AC65" i="1"/>
  <c r="W65" i="1"/>
  <c r="Q65" i="1"/>
  <c r="AF52" i="1"/>
  <c r="T52" i="1"/>
  <c r="Z51" i="1"/>
  <c r="T50" i="1"/>
  <c r="AF48" i="1"/>
  <c r="Q42" i="1"/>
  <c r="AC41" i="1"/>
  <c r="W41" i="1"/>
  <c r="Q41" i="1"/>
  <c r="AC40" i="1"/>
  <c r="AF28" i="1"/>
  <c r="T28" i="1"/>
  <c r="Z27" i="1"/>
  <c r="T24" i="1"/>
  <c r="Z23" i="1"/>
  <c r="AF22" i="1"/>
  <c r="T22" i="1"/>
  <c r="Q13" i="1"/>
  <c r="AC12" i="1"/>
  <c r="AC11" i="1"/>
  <c r="W11" i="1"/>
  <c r="AU402" i="1"/>
  <c r="AO402" i="1"/>
  <c r="AU398" i="1"/>
  <c r="AO398" i="1"/>
  <c r="AU394" i="1"/>
  <c r="AO394" i="1"/>
  <c r="AL392" i="1"/>
  <c r="AU389" i="1"/>
  <c r="AO389" i="1"/>
  <c r="AU384" i="1"/>
  <c r="AO384" i="1"/>
  <c r="AC231" i="1"/>
  <c r="Q231" i="1"/>
  <c r="AC226" i="1"/>
  <c r="W226" i="1"/>
  <c r="T223" i="1"/>
  <c r="AF222" i="1"/>
  <c r="AC212" i="1"/>
  <c r="Z208" i="1"/>
  <c r="AC203" i="1"/>
  <c r="AF199" i="1"/>
  <c r="T199" i="1"/>
  <c r="AC197" i="1"/>
  <c r="Q197" i="1"/>
  <c r="W189" i="1"/>
  <c r="Q189" i="1"/>
  <c r="W179" i="1"/>
  <c r="AC178" i="1"/>
  <c r="W178" i="1"/>
  <c r="Q176" i="1"/>
  <c r="W175" i="1"/>
  <c r="AC174" i="1"/>
  <c r="W174" i="1"/>
  <c r="Z172" i="1"/>
  <c r="T172" i="1"/>
  <c r="T171" i="1"/>
  <c r="W166" i="1"/>
  <c r="Q161" i="1"/>
  <c r="AC155" i="1"/>
  <c r="AF151" i="1"/>
  <c r="Q150" i="1"/>
  <c r="AC149" i="1"/>
  <c r="Q149" i="1"/>
  <c r="AF145" i="1"/>
  <c r="Z145" i="1"/>
  <c r="AC140" i="1"/>
  <c r="W140" i="1"/>
  <c r="AC139" i="1"/>
  <c r="AF127" i="1"/>
  <c r="Z126" i="1"/>
  <c r="AC124" i="1"/>
  <c r="W124" i="1"/>
  <c r="AC123" i="1"/>
  <c r="Z97" i="1"/>
  <c r="T97" i="1"/>
  <c r="Z96" i="1"/>
  <c r="Q90" i="1"/>
  <c r="AC89" i="1"/>
  <c r="AC88" i="1"/>
  <c r="W88" i="1"/>
  <c r="Z84" i="1"/>
  <c r="T84" i="1"/>
  <c r="AF83" i="1"/>
  <c r="Z83" i="1"/>
  <c r="T83" i="1"/>
  <c r="AF82" i="1"/>
  <c r="AF78" i="1"/>
  <c r="AF76" i="1"/>
  <c r="Q58" i="1"/>
  <c r="AC56" i="1"/>
  <c r="W56" i="1"/>
  <c r="Q56" i="1"/>
  <c r="W55" i="1"/>
  <c r="Q55" i="1"/>
  <c r="AC54" i="1"/>
  <c r="W54" i="1"/>
  <c r="Q54" i="1"/>
  <c r="AC53" i="1"/>
  <c r="Z47" i="1"/>
  <c r="AF46" i="1"/>
  <c r="T46" i="1"/>
  <c r="AF44" i="1"/>
  <c r="T44" i="1"/>
  <c r="Z43" i="1"/>
  <c r="AC36" i="1"/>
  <c r="W36" i="1"/>
  <c r="Q36" i="1"/>
  <c r="AC35" i="1"/>
  <c r="W35" i="1"/>
  <c r="Q35" i="1"/>
  <c r="AC32" i="1"/>
  <c r="W31" i="1"/>
  <c r="Q31" i="1"/>
  <c r="AC30" i="1"/>
  <c r="W30" i="1"/>
  <c r="Q30" i="1"/>
  <c r="AC29" i="1"/>
  <c r="AF18" i="1"/>
  <c r="T18" i="1"/>
  <c r="W10" i="1"/>
  <c r="Q10" i="1"/>
  <c r="AC403" i="1"/>
  <c r="W403" i="1"/>
  <c r="Q403" i="1"/>
  <c r="AU401" i="1"/>
  <c r="AO401" i="1"/>
  <c r="AU397" i="1"/>
  <c r="AO397" i="1"/>
  <c r="AU393" i="1"/>
  <c r="AO393" i="1"/>
  <c r="AU388" i="1"/>
  <c r="AO388" i="1"/>
  <c r="AL380" i="1"/>
  <c r="AL379" i="1"/>
  <c r="AU376" i="1"/>
  <c r="AO376" i="1"/>
  <c r="AU390" i="1"/>
  <c r="AO390" i="1"/>
  <c r="AR389" i="1"/>
  <c r="AU386" i="1"/>
  <c r="AO386" i="1"/>
  <c r="AR385" i="1"/>
  <c r="AU382" i="1"/>
  <c r="AO382" i="1"/>
  <c r="AR381" i="1"/>
  <c r="AU378" i="1"/>
  <c r="AO378" i="1"/>
  <c r="AR377" i="1"/>
  <c r="AO375" i="1"/>
  <c r="AU374" i="1"/>
  <c r="AR372" i="1"/>
  <c r="AO371" i="1"/>
  <c r="AU370" i="1"/>
  <c r="AR368" i="1"/>
  <c r="AO367" i="1"/>
  <c r="AU366" i="1"/>
  <c r="AR364" i="1"/>
  <c r="AO363" i="1"/>
  <c r="AU362" i="1"/>
  <c r="AR360" i="1"/>
  <c r="AO359" i="1"/>
  <c r="AU358" i="1"/>
  <c r="AR356" i="1"/>
  <c r="AO355" i="1"/>
  <c r="AU354" i="1"/>
  <c r="AR352" i="1"/>
  <c r="AO351" i="1"/>
  <c r="AO349" i="1"/>
  <c r="AO347" i="1"/>
  <c r="AO345" i="1"/>
  <c r="AO343" i="1"/>
  <c r="AO341" i="1"/>
  <c r="AO337" i="1"/>
  <c r="AO335" i="1"/>
  <c r="AO333" i="1"/>
  <c r="AO331" i="1"/>
  <c r="AO327" i="1"/>
  <c r="AO325" i="1"/>
  <c r="AO323" i="1"/>
  <c r="AO321" i="1"/>
  <c r="AO319" i="1"/>
  <c r="AO317" i="1"/>
  <c r="AR312" i="1"/>
  <c r="AR308" i="1"/>
  <c r="AR304" i="1"/>
  <c r="AR300" i="1"/>
  <c r="AR296" i="1"/>
  <c r="AU377" i="1"/>
  <c r="AO377" i="1"/>
  <c r="AR375" i="1"/>
  <c r="AU373" i="1"/>
  <c r="AU229" i="1"/>
  <c r="AU372" i="1"/>
  <c r="AR370" i="1"/>
  <c r="AO369" i="1"/>
  <c r="AU368" i="1"/>
  <c r="AR366" i="1"/>
  <c r="AO365" i="1"/>
  <c r="AU364" i="1"/>
  <c r="AR362" i="1"/>
  <c r="AO361" i="1"/>
  <c r="AU360" i="1"/>
  <c r="AR358" i="1"/>
  <c r="AO357" i="1"/>
  <c r="AU356" i="1"/>
  <c r="AR354" i="1"/>
  <c r="AO353" i="1"/>
  <c r="AU352" i="1"/>
  <c r="AO350" i="1"/>
  <c r="AO348" i="1"/>
  <c r="AO346" i="1"/>
  <c r="AO344" i="1"/>
  <c r="AO342" i="1"/>
  <c r="AO340" i="1"/>
  <c r="AO338" i="1"/>
  <c r="AO336" i="1"/>
  <c r="AO334" i="1"/>
  <c r="AO332" i="1"/>
  <c r="AO330" i="1"/>
  <c r="AO328" i="1"/>
  <c r="AO326" i="1"/>
  <c r="AO324" i="1"/>
  <c r="AO322" i="1"/>
  <c r="AO320" i="1"/>
  <c r="AO318" i="1"/>
  <c r="AO316" i="1"/>
  <c r="AU315" i="1"/>
  <c r="AR314" i="1"/>
  <c r="AO313" i="1"/>
  <c r="AR310" i="1"/>
  <c r="AO309" i="1"/>
  <c r="AR306" i="1"/>
  <c r="AR302" i="1"/>
  <c r="AO301" i="1"/>
  <c r="AR298" i="1"/>
  <c r="AO297" i="1"/>
  <c r="AR294" i="1"/>
  <c r="AR286" i="1"/>
  <c r="AO285" i="1"/>
  <c r="AO281" i="1"/>
  <c r="AU307" i="1"/>
  <c r="AU303" i="1"/>
  <c r="AU299" i="1"/>
  <c r="AL297" i="1"/>
  <c r="AU295" i="1"/>
  <c r="AU291" i="1"/>
  <c r="AO291" i="1"/>
  <c r="AU287" i="1"/>
  <c r="AU283" i="1"/>
  <c r="AU279" i="1"/>
  <c r="AU275" i="1"/>
  <c r="AU271" i="1"/>
  <c r="AU265" i="1"/>
  <c r="AU257" i="1"/>
  <c r="AU251" i="1"/>
  <c r="AU247" i="1"/>
  <c r="AU243" i="1"/>
  <c r="AU239" i="1"/>
  <c r="AU235" i="1"/>
  <c r="AU231" i="1"/>
  <c r="AR228" i="1"/>
  <c r="AR299" i="1"/>
  <c r="AR297" i="1"/>
  <c r="AR295" i="1"/>
  <c r="AO314" i="1"/>
  <c r="AO312" i="1"/>
  <c r="AO310" i="1"/>
  <c r="AO308" i="1"/>
  <c r="AO306" i="1"/>
  <c r="AO304" i="1"/>
  <c r="AO302" i="1"/>
  <c r="AO300" i="1"/>
  <c r="AO288" i="1"/>
  <c r="AO286" i="1"/>
  <c r="AO284" i="1"/>
  <c r="AO282" i="1"/>
  <c r="AO280" i="1"/>
  <c r="AO278" i="1"/>
  <c r="AO276" i="1"/>
  <c r="AO272" i="1"/>
  <c r="AO270" i="1"/>
  <c r="AO268" i="1"/>
  <c r="AO266" i="1"/>
  <c r="AO264" i="1"/>
  <c r="AO260" i="1"/>
  <c r="AO256" i="1"/>
  <c r="AO254" i="1"/>
  <c r="AO252" i="1"/>
  <c r="AO250" i="1"/>
  <c r="AO248" i="1"/>
  <c r="AO246" i="1"/>
  <c r="AO240" i="1"/>
  <c r="AO238" i="1"/>
  <c r="AO234" i="1"/>
  <c r="AO232" i="1"/>
  <c r="AO230" i="1"/>
  <c r="AO227" i="1"/>
  <c r="AR223" i="1"/>
  <c r="AR268" i="1"/>
  <c r="AR266" i="1"/>
  <c r="AO265" i="1"/>
  <c r="AR264" i="1"/>
  <c r="AR260" i="1"/>
  <c r="AO259" i="1"/>
  <c r="AO257" i="1"/>
  <c r="AR256" i="1"/>
  <c r="AO255" i="1"/>
  <c r="AR254" i="1"/>
  <c r="AR252" i="1"/>
  <c r="AR250" i="1"/>
  <c r="AR248" i="1"/>
  <c r="AR246" i="1"/>
  <c r="AR244" i="1"/>
  <c r="AO243" i="1"/>
  <c r="AR242" i="1"/>
  <c r="AR240" i="1"/>
  <c r="AR238" i="1"/>
  <c r="AR236" i="1"/>
  <c r="AR234" i="1"/>
  <c r="AO233" i="1"/>
  <c r="AR232" i="1"/>
  <c r="AR230" i="1"/>
  <c r="AO229" i="1"/>
  <c r="AR225" i="1"/>
  <c r="AL225" i="1"/>
  <c r="AO224" i="1"/>
  <c r="AO221" i="1"/>
  <c r="AR217" i="1"/>
  <c r="AL217" i="1"/>
  <c r="AO216" i="1"/>
  <c r="AR214" i="1"/>
  <c r="AL214" i="1"/>
  <c r="AO212" i="1"/>
  <c r="AO208" i="1"/>
  <c r="AO207" i="1"/>
  <c r="AO203" i="1"/>
  <c r="AR201" i="1"/>
  <c r="AL201" i="1"/>
  <c r="AO199" i="1"/>
  <c r="AR197" i="1"/>
  <c r="AL197" i="1"/>
  <c r="AO195" i="1"/>
  <c r="AR193" i="1"/>
  <c r="AL193" i="1"/>
  <c r="AO191" i="1"/>
  <c r="AR189" i="1"/>
  <c r="AL189" i="1"/>
  <c r="AO187" i="1"/>
  <c r="AR185" i="1"/>
  <c r="AL185" i="1"/>
  <c r="AO183" i="1"/>
  <c r="AR181" i="1"/>
  <c r="AL181" i="1"/>
  <c r="AO179" i="1"/>
  <c r="AR177" i="1"/>
  <c r="AL177" i="1"/>
  <c r="AO175" i="1"/>
  <c r="AR173" i="1"/>
  <c r="AL173" i="1"/>
  <c r="AO171" i="1"/>
  <c r="AR169" i="1"/>
  <c r="AL169" i="1"/>
  <c r="AO167" i="1"/>
  <c r="AR165" i="1"/>
  <c r="AL165" i="1"/>
  <c r="AO163" i="1"/>
  <c r="AR161" i="1"/>
  <c r="AL161" i="1"/>
  <c r="AO159" i="1"/>
  <c r="AR157" i="1"/>
  <c r="AL157" i="1"/>
  <c r="AO155" i="1"/>
  <c r="AR153" i="1"/>
  <c r="AL153" i="1"/>
  <c r="AO151" i="1"/>
  <c r="AR149" i="1"/>
  <c r="AR145" i="1"/>
  <c r="AL145" i="1"/>
  <c r="AR141" i="1"/>
  <c r="AL141" i="1"/>
  <c r="AR137" i="1"/>
  <c r="AL137" i="1"/>
  <c r="AR133" i="1"/>
  <c r="AL133" i="1"/>
  <c r="AR129" i="1"/>
  <c r="AL129" i="1"/>
  <c r="AR125" i="1"/>
  <c r="AL125" i="1"/>
  <c r="AR121" i="1"/>
  <c r="AL121" i="1"/>
  <c r="AR117" i="1"/>
  <c r="AU93" i="1"/>
  <c r="AU90" i="1"/>
  <c r="AL117" i="1"/>
  <c r="AR113" i="1"/>
  <c r="AL113" i="1"/>
  <c r="AR105" i="1"/>
  <c r="AL105" i="1"/>
  <c r="AR101" i="1"/>
  <c r="AL101" i="1"/>
  <c r="AL98" i="1"/>
  <c r="AO89" i="1"/>
  <c r="AR85" i="1"/>
  <c r="AO81" i="1"/>
  <c r="AR79" i="1"/>
  <c r="AL79" i="1"/>
  <c r="AO73" i="1"/>
  <c r="AR71" i="1"/>
  <c r="AL71" i="1"/>
  <c r="AO69" i="1"/>
  <c r="AR63" i="1"/>
  <c r="AL63" i="1"/>
  <c r="AR59" i="1"/>
  <c r="AL59" i="1"/>
  <c r="AR55" i="1"/>
  <c r="AL55" i="1"/>
  <c r="AR51" i="1"/>
  <c r="AL51" i="1"/>
  <c r="AR47" i="1"/>
  <c r="AL47" i="1"/>
  <c r="AR43" i="1"/>
  <c r="AL43" i="1"/>
  <c r="AR39" i="1"/>
  <c r="AL39" i="1"/>
  <c r="AR35" i="1"/>
  <c r="AL35" i="1"/>
  <c r="AR31" i="1"/>
  <c r="AL31" i="1"/>
  <c r="AO29" i="1"/>
  <c r="AR27" i="1"/>
  <c r="AL27" i="1"/>
  <c r="AO25" i="1"/>
  <c r="AR23" i="1"/>
  <c r="AL23" i="1"/>
  <c r="AO21" i="1"/>
  <c r="AR19" i="1"/>
  <c r="AL19" i="1"/>
  <c r="AR11" i="1"/>
  <c r="AL11" i="1"/>
  <c r="AR108" i="1"/>
  <c r="AL108" i="1"/>
  <c r="AR104" i="1"/>
  <c r="AL104" i="1"/>
  <c r="AO102" i="1"/>
  <c r="AR100" i="1"/>
  <c r="AL100" i="1"/>
  <c r="AO98" i="1"/>
  <c r="AL97" i="1"/>
  <c r="AR96" i="1"/>
  <c r="AO94" i="1"/>
  <c r="AR87" i="1"/>
  <c r="AR115" i="1"/>
  <c r="AL115" i="1"/>
  <c r="AR111" i="1"/>
  <c r="AL111" i="1"/>
  <c r="AR107" i="1"/>
  <c r="AL107" i="1"/>
  <c r="AR103" i="1"/>
  <c r="AL103" i="1"/>
  <c r="AR99" i="1"/>
  <c r="AL99" i="1"/>
  <c r="AO93" i="1"/>
  <c r="AR89" i="1"/>
  <c r="AO85" i="1"/>
  <c r="AL84" i="1"/>
  <c r="AR81" i="1"/>
  <c r="AL81" i="1"/>
  <c r="AR73" i="1"/>
  <c r="AL73" i="1"/>
  <c r="AR69" i="1"/>
  <c r="AL69" i="1"/>
  <c r="AR65" i="1"/>
  <c r="AL65" i="1"/>
  <c r="AR61" i="1"/>
  <c r="AL61" i="1"/>
  <c r="AR57" i="1"/>
  <c r="AL57" i="1"/>
  <c r="AR53" i="1"/>
  <c r="AL53" i="1"/>
  <c r="AR49" i="1"/>
  <c r="AL49" i="1"/>
  <c r="AR45" i="1"/>
  <c r="AL45" i="1"/>
  <c r="AR41" i="1"/>
  <c r="AL41" i="1"/>
  <c r="AR37" i="1"/>
  <c r="AL37" i="1"/>
  <c r="AR29" i="1"/>
  <c r="AL29" i="1"/>
  <c r="AR25" i="1"/>
  <c r="AL25" i="1"/>
  <c r="AR21" i="1"/>
  <c r="AL21" i="1"/>
  <c r="AR13" i="1"/>
  <c r="AL13" i="1"/>
  <c r="AL228" i="1"/>
  <c r="AL226" i="1"/>
  <c r="AL224" i="1"/>
  <c r="AL222" i="1"/>
  <c r="AL220" i="1"/>
  <c r="AL218" i="1"/>
  <c r="AO214" i="1"/>
  <c r="AO206" i="1"/>
  <c r="AO202" i="1"/>
  <c r="AO198" i="1"/>
  <c r="AO194" i="1"/>
  <c r="AO190" i="1"/>
  <c r="AO186" i="1"/>
  <c r="AO182" i="1"/>
  <c r="AO178" i="1"/>
  <c r="AO174" i="1"/>
  <c r="AO170" i="1"/>
  <c r="AO166" i="1"/>
  <c r="AO162" i="1"/>
  <c r="AO158" i="1"/>
  <c r="AO154" i="1"/>
  <c r="AO150" i="1"/>
  <c r="AO213" i="1"/>
  <c r="AO209" i="1"/>
  <c r="AO201" i="1"/>
  <c r="AO197" i="1"/>
  <c r="AO193" i="1"/>
  <c r="AO189" i="1"/>
  <c r="AO185" i="1"/>
  <c r="AO181" i="1"/>
  <c r="AO177" i="1"/>
  <c r="AO173" i="1"/>
  <c r="AO169" i="1"/>
  <c r="AO165" i="1"/>
  <c r="AO161" i="1"/>
  <c r="AO157" i="1"/>
  <c r="AO153" i="1"/>
  <c r="AO149" i="1"/>
  <c r="AL149" i="1"/>
  <c r="AO147" i="1"/>
  <c r="AO143" i="1"/>
  <c r="AO139" i="1"/>
  <c r="AO131" i="1"/>
  <c r="AO127" i="1"/>
  <c r="AO123" i="1"/>
  <c r="AO119" i="1"/>
  <c r="AO115" i="1"/>
  <c r="AO111" i="1"/>
  <c r="AO107" i="1"/>
  <c r="AO103" i="1"/>
  <c r="AO99" i="1"/>
  <c r="AO146" i="1"/>
  <c r="AO138" i="1"/>
  <c r="AO145" i="1"/>
  <c r="AO141" i="1"/>
  <c r="AO137" i="1"/>
  <c r="AO133" i="1"/>
  <c r="AO129" i="1"/>
  <c r="AO125" i="1"/>
  <c r="AO121" i="1"/>
  <c r="AO117" i="1"/>
  <c r="AO113" i="1"/>
  <c r="AO105" i="1"/>
  <c r="AO101" i="1"/>
  <c r="AO97" i="1"/>
  <c r="AO65" i="1"/>
  <c r="AO61" i="1"/>
  <c r="AO57" i="1"/>
  <c r="AO53" i="1"/>
  <c r="AO49" i="1"/>
  <c r="AO45" i="1"/>
  <c r="AO41" i="1"/>
  <c r="AO37" i="1"/>
  <c r="AO13" i="1"/>
  <c r="AO72" i="1"/>
  <c r="AO68" i="1"/>
  <c r="AO64" i="1"/>
  <c r="AO60" i="1"/>
  <c r="AO56" i="1"/>
  <c r="AO36" i="1"/>
  <c r="AO32" i="1"/>
  <c r="AO28" i="1"/>
  <c r="AO24" i="1"/>
  <c r="AO20" i="1"/>
  <c r="AO12" i="1"/>
  <c r="AL93" i="1"/>
  <c r="AO90" i="1"/>
  <c r="AL89" i="1"/>
  <c r="AO88" i="1"/>
  <c r="AL87" i="1"/>
  <c r="AO86" i="1"/>
  <c r="AL85" i="1"/>
  <c r="AO84" i="1"/>
  <c r="AL83" i="1"/>
  <c r="AO82" i="1"/>
  <c r="AO79" i="1"/>
  <c r="AO71" i="1"/>
  <c r="AO63" i="1"/>
  <c r="AO59" i="1"/>
  <c r="AO55" i="1"/>
  <c r="AO51" i="1"/>
  <c r="AO47" i="1"/>
  <c r="AO43" i="1"/>
  <c r="AO39" i="1"/>
  <c r="AO35" i="1"/>
  <c r="AO31" i="1"/>
  <c r="AO27" i="1"/>
  <c r="AO23" i="1"/>
  <c r="AO19" i="1"/>
  <c r="AO11" i="1"/>
  <c r="T402" i="1"/>
  <c r="AF401" i="1"/>
  <c r="T398" i="1"/>
  <c r="AF397" i="1"/>
  <c r="Z397" i="1"/>
  <c r="AF353" i="1"/>
  <c r="Z353" i="1"/>
  <c r="AC224" i="1"/>
  <c r="W219" i="1"/>
  <c r="Q214" i="1"/>
  <c r="Q202" i="1"/>
  <c r="Z194" i="1"/>
  <c r="Z188" i="1"/>
  <c r="W402" i="1"/>
  <c r="Q402" i="1"/>
  <c r="T400" i="1"/>
  <c r="AC398" i="1"/>
  <c r="W398" i="1"/>
  <c r="Q398" i="1"/>
  <c r="AC397" i="1"/>
  <c r="AF393" i="1"/>
  <c r="T393" i="1"/>
  <c r="W391" i="1"/>
  <c r="Q391" i="1"/>
  <c r="AC388" i="1"/>
  <c r="W388" i="1"/>
  <c r="Q386" i="1"/>
  <c r="AC385" i="1"/>
  <c r="W383" i="1"/>
  <c r="Q383" i="1"/>
  <c r="AC380" i="1"/>
  <c r="W380" i="1"/>
  <c r="Q378" i="1"/>
  <c r="AC377" i="1"/>
  <c r="W375" i="1"/>
  <c r="Q375" i="1"/>
  <c r="AC372" i="1"/>
  <c r="W372" i="1"/>
  <c r="Q370" i="1"/>
  <c r="AC369" i="1"/>
  <c r="W367" i="1"/>
  <c r="Q367" i="1"/>
  <c r="AC364" i="1"/>
  <c r="W364" i="1"/>
  <c r="Q362" i="1"/>
  <c r="AC361" i="1"/>
  <c r="W359" i="1"/>
  <c r="Q359" i="1"/>
  <c r="T343" i="1"/>
  <c r="AF342" i="1"/>
  <c r="T335" i="1"/>
  <c r="AF334" i="1"/>
  <c r="T331" i="1"/>
  <c r="AF330" i="1"/>
  <c r="AF325" i="1"/>
  <c r="Z325" i="1"/>
  <c r="T323" i="1"/>
  <c r="AF322" i="1"/>
  <c r="T302" i="1"/>
  <c r="Z291" i="1"/>
  <c r="AF288" i="1"/>
  <c r="Z287" i="1"/>
  <c r="AC283" i="1"/>
  <c r="AF281" i="1"/>
  <c r="T275" i="1"/>
  <c r="AF274" i="1"/>
  <c r="Z274" i="1"/>
  <c r="T274" i="1"/>
  <c r="AF273" i="1"/>
  <c r="T267" i="1"/>
  <c r="AF266" i="1"/>
  <c r="Z266" i="1"/>
  <c r="T266" i="1"/>
  <c r="AF265" i="1"/>
  <c r="T254" i="1"/>
  <c r="T244" i="1"/>
  <c r="Q224" i="1"/>
  <c r="AC223" i="1"/>
  <c r="Z222" i="1"/>
  <c r="AC218" i="1"/>
  <c r="W218" i="1"/>
  <c r="T217" i="1"/>
  <c r="W213" i="1"/>
  <c r="Q213" i="1"/>
  <c r="AF211" i="1"/>
  <c r="AF209" i="1"/>
  <c r="Q201" i="1"/>
  <c r="AC195" i="1"/>
  <c r="Z186" i="1"/>
  <c r="T363" i="1"/>
  <c r="AF362" i="1"/>
  <c r="AF357" i="1"/>
  <c r="Z357" i="1"/>
  <c r="T355" i="1"/>
  <c r="AF354" i="1"/>
  <c r="Z352" i="1"/>
  <c r="T352" i="1"/>
  <c r="AF349" i="1"/>
  <c r="Z349" i="1"/>
  <c r="T347" i="1"/>
  <c r="AF346" i="1"/>
  <c r="Z346" i="1"/>
  <c r="W343" i="1"/>
  <c r="Q343" i="1"/>
  <c r="AF341" i="1"/>
  <c r="Z341" i="1"/>
  <c r="T341" i="1"/>
  <c r="AF337" i="1"/>
  <c r="Z337" i="1"/>
  <c r="W335" i="1"/>
  <c r="Q335" i="1"/>
  <c r="AF333" i="1"/>
  <c r="Z333" i="1"/>
  <c r="W331" i="1"/>
  <c r="Q331" i="1"/>
  <c r="T329" i="1"/>
  <c r="Q326" i="1"/>
  <c r="AC325" i="1"/>
  <c r="W323" i="1"/>
  <c r="Q323" i="1"/>
  <c r="AF321" i="1"/>
  <c r="AC320" i="1"/>
  <c r="Q320" i="1"/>
  <c r="Q319" i="1"/>
  <c r="Z316" i="1"/>
  <c r="W315" i="1"/>
  <c r="AC314" i="1"/>
  <c r="AC313" i="1"/>
  <c r="T311" i="1"/>
  <c r="Q310" i="1"/>
  <c r="W309" i="1"/>
  <c r="W308" i="1"/>
  <c r="AF305" i="1"/>
  <c r="AC304" i="1"/>
  <c r="Q304" i="1"/>
  <c r="Q302" i="1"/>
  <c r="AC301" i="1"/>
  <c r="AF300" i="1"/>
  <c r="Z299" i="1"/>
  <c r="T298" i="1"/>
  <c r="Z296" i="1"/>
  <c r="AC294" i="1"/>
  <c r="W293" i="1"/>
  <c r="W291" i="1"/>
  <c r="Q291" i="1"/>
  <c r="AC288" i="1"/>
  <c r="W288" i="1"/>
  <c r="W287" i="1"/>
  <c r="Q287" i="1"/>
  <c r="T286" i="1"/>
  <c r="T284" i="1"/>
  <c r="Z283" i="1"/>
  <c r="Q282" i="1"/>
  <c r="W278" i="1"/>
  <c r="AF277" i="1"/>
  <c r="Z277" i="1"/>
  <c r="T277" i="1"/>
  <c r="AC273" i="1"/>
  <c r="Q273" i="1"/>
  <c r="T271" i="1"/>
  <c r="AF270" i="1"/>
  <c r="AC267" i="1"/>
  <c r="T265" i="1"/>
  <c r="T242" i="1"/>
  <c r="AF240" i="1"/>
  <c r="Z240" i="1"/>
  <c r="Z230" i="1"/>
  <c r="Q222" i="1"/>
  <c r="AC216" i="1"/>
  <c r="W211" i="1"/>
  <c r="AC204" i="1"/>
  <c r="W199" i="1"/>
  <c r="AC396" i="1"/>
  <c r="W396" i="1"/>
  <c r="AC393" i="1"/>
  <c r="AC392" i="1"/>
  <c r="W392" i="1"/>
  <c r="Q390" i="1"/>
  <c r="AC389" i="1"/>
  <c r="W387" i="1"/>
  <c r="Q387" i="1"/>
  <c r="AC384" i="1"/>
  <c r="W384" i="1"/>
  <c r="Q382" i="1"/>
  <c r="AC381" i="1"/>
  <c r="W379" i="1"/>
  <c r="Q379" i="1"/>
  <c r="AC376" i="1"/>
  <c r="W376" i="1"/>
  <c r="Q374" i="1"/>
  <c r="AC373" i="1"/>
  <c r="W371" i="1"/>
  <c r="Q371" i="1"/>
  <c r="AC368" i="1"/>
  <c r="W368" i="1"/>
  <c r="Q366" i="1"/>
  <c r="AC365" i="1"/>
  <c r="W363" i="1"/>
  <c r="Q363" i="1"/>
  <c r="AC360" i="1"/>
  <c r="W360" i="1"/>
  <c r="Q358" i="1"/>
  <c r="AC357" i="1"/>
  <c r="W355" i="1"/>
  <c r="Q355" i="1"/>
  <c r="Q350" i="1"/>
  <c r="AC349" i="1"/>
  <c r="W347" i="1"/>
  <c r="Q347" i="1"/>
  <c r="T345" i="1"/>
  <c r="Q342" i="1"/>
  <c r="AC341" i="1"/>
  <c r="Q338" i="1"/>
  <c r="AC337" i="1"/>
  <c r="Q334" i="1"/>
  <c r="AC333" i="1"/>
  <c r="Q330" i="1"/>
  <c r="AC329" i="1"/>
  <c r="AF327" i="1"/>
  <c r="T321" i="1"/>
  <c r="Z320" i="1"/>
  <c r="AF319" i="1"/>
  <c r="W318" i="1"/>
  <c r="AC317" i="1"/>
  <c r="Q317" i="1"/>
  <c r="AF315" i="1"/>
  <c r="T315" i="1"/>
  <c r="Z314" i="1"/>
  <c r="Q313" i="1"/>
  <c r="W312" i="1"/>
  <c r="AC311" i="1"/>
  <c r="Z310" i="1"/>
  <c r="AF309" i="1"/>
  <c r="T309" i="1"/>
  <c r="AC307" i="1"/>
  <c r="Q307" i="1"/>
  <c r="W306" i="1"/>
  <c r="T305" i="1"/>
  <c r="Z304" i="1"/>
  <c r="T303" i="1"/>
  <c r="AC300" i="1"/>
  <c r="W300" i="1"/>
  <c r="W299" i="1"/>
  <c r="Q299" i="1"/>
  <c r="Q298" i="1"/>
  <c r="AC297" i="1"/>
  <c r="T295" i="1"/>
  <c r="AF293" i="1"/>
  <c r="Z292" i="1"/>
  <c r="Q286" i="1"/>
  <c r="AC285" i="1"/>
  <c r="Q281" i="1"/>
  <c r="AC277" i="1"/>
  <c r="T276" i="1"/>
  <c r="W272" i="1"/>
  <c r="Z259" i="1"/>
  <c r="Z257" i="1"/>
  <c r="Z249" i="1"/>
  <c r="Z237" i="1"/>
  <c r="T236" i="1"/>
  <c r="Q233" i="1"/>
  <c r="W232" i="1"/>
  <c r="W229" i="1"/>
  <c r="T225" i="1"/>
  <c r="AF219" i="1"/>
  <c r="Z214" i="1"/>
  <c r="T207" i="1"/>
  <c r="Z191" i="1"/>
  <c r="T191" i="1"/>
  <c r="AF190" i="1"/>
  <c r="Z190" i="1"/>
  <c r="T190" i="1"/>
  <c r="T183" i="1"/>
  <c r="W149" i="1"/>
  <c r="Q144" i="1"/>
  <c r="W137" i="1"/>
  <c r="W129" i="1"/>
  <c r="Q124" i="1"/>
  <c r="AC118" i="1"/>
  <c r="Q275" i="1"/>
  <c r="Q274" i="1"/>
  <c r="W270" i="1"/>
  <c r="AC269" i="1"/>
  <c r="T269" i="1"/>
  <c r="AF268" i="1"/>
  <c r="Z268" i="1"/>
  <c r="T268" i="1"/>
  <c r="Q265" i="1"/>
  <c r="Z264" i="1"/>
  <c r="T264" i="1"/>
  <c r="AF263" i="1"/>
  <c r="Z263" i="1"/>
  <c r="T263" i="1"/>
  <c r="AF261" i="1"/>
  <c r="Z261" i="1"/>
  <c r="T261" i="1"/>
  <c r="AF260" i="1"/>
  <c r="Z260" i="1"/>
  <c r="Q257" i="1"/>
  <c r="T256" i="1"/>
  <c r="Z255" i="1"/>
  <c r="W252" i="1"/>
  <c r="Z251" i="1"/>
  <c r="AC247" i="1"/>
  <c r="Q247" i="1"/>
  <c r="T246" i="1"/>
  <c r="W242" i="1"/>
  <c r="W240" i="1"/>
  <c r="AF239" i="1"/>
  <c r="Z239" i="1"/>
  <c r="T239" i="1"/>
  <c r="AC235" i="1"/>
  <c r="Q235" i="1"/>
  <c r="Z234" i="1"/>
  <c r="T234" i="1"/>
  <c r="AF233" i="1"/>
  <c r="Q230" i="1"/>
  <c r="AC229" i="1"/>
  <c r="W225" i="1"/>
  <c r="Q225" i="1"/>
  <c r="T224" i="1"/>
  <c r="AC222" i="1"/>
  <c r="W222" i="1"/>
  <c r="Z221" i="1"/>
  <c r="Q220" i="1"/>
  <c r="AC219" i="1"/>
  <c r="AF218" i="1"/>
  <c r="W217" i="1"/>
  <c r="Q217" i="1"/>
  <c r="T216" i="1"/>
  <c r="AC214" i="1"/>
  <c r="W214" i="1"/>
  <c r="Z213" i="1"/>
  <c r="Q212" i="1"/>
  <c r="AC211" i="1"/>
  <c r="AF207" i="1"/>
  <c r="Z207" i="1"/>
  <c r="AC202" i="1"/>
  <c r="W202" i="1"/>
  <c r="Q200" i="1"/>
  <c r="AC199" i="1"/>
  <c r="W197" i="1"/>
  <c r="AC194" i="1"/>
  <c r="Z187" i="1"/>
  <c r="AF183" i="1"/>
  <c r="Z183" i="1"/>
  <c r="W182" i="1"/>
  <c r="AF167" i="1"/>
  <c r="Z166" i="1"/>
  <c r="T149" i="1"/>
  <c r="AF143" i="1"/>
  <c r="AF138" i="1"/>
  <c r="T137" i="1"/>
  <c r="AF130" i="1"/>
  <c r="T129" i="1"/>
  <c r="Z125" i="1"/>
  <c r="AF123" i="1"/>
  <c r="T120" i="1"/>
  <c r="Z118" i="1"/>
  <c r="W260" i="1"/>
  <c r="W256" i="1"/>
  <c r="AC255" i="1"/>
  <c r="Q255" i="1"/>
  <c r="AC251" i="1"/>
  <c r="Q251" i="1"/>
  <c r="W246" i="1"/>
  <c r="AC245" i="1"/>
  <c r="AC239" i="1"/>
  <c r="Q239" i="1"/>
  <c r="W234" i="1"/>
  <c r="AC233" i="1"/>
  <c r="AC228" i="1"/>
  <c r="W228" i="1"/>
  <c r="W227" i="1"/>
  <c r="Q227" i="1"/>
  <c r="Z209" i="1"/>
  <c r="Q208" i="1"/>
  <c r="AC207" i="1"/>
  <c r="W204" i="1"/>
  <c r="T203" i="1"/>
  <c r="AC201" i="1"/>
  <c r="Z200" i="1"/>
  <c r="T200" i="1"/>
  <c r="Q199" i="1"/>
  <c r="AF197" i="1"/>
  <c r="W196" i="1"/>
  <c r="T195" i="1"/>
  <c r="AC193" i="1"/>
  <c r="Z192" i="1"/>
  <c r="T189" i="1"/>
  <c r="AF188" i="1"/>
  <c r="AC187" i="1"/>
  <c r="Q184" i="1"/>
  <c r="AC183" i="1"/>
  <c r="W181" i="1"/>
  <c r="AF175" i="1"/>
  <c r="W173" i="1"/>
  <c r="Q173" i="1"/>
  <c r="W167" i="1"/>
  <c r="AF165" i="1"/>
  <c r="Q162" i="1"/>
  <c r="AF159" i="1"/>
  <c r="AC156" i="1"/>
  <c r="Z154" i="1"/>
  <c r="T154" i="1"/>
  <c r="Z148" i="1"/>
  <c r="AC146" i="1"/>
  <c r="T143" i="1"/>
  <c r="Q140" i="1"/>
  <c r="Q132" i="1"/>
  <c r="AC126" i="1"/>
  <c r="W121" i="1"/>
  <c r="AF96" i="1"/>
  <c r="AC180" i="1"/>
  <c r="Q180" i="1"/>
  <c r="AC179" i="1"/>
  <c r="AF176" i="1"/>
  <c r="Z176" i="1"/>
  <c r="T173" i="1"/>
  <c r="AC171" i="1"/>
  <c r="Q168" i="1"/>
  <c r="AC167" i="1"/>
  <c r="AF166" i="1"/>
  <c r="W165" i="1"/>
  <c r="Q165" i="1"/>
  <c r="AC162" i="1"/>
  <c r="W162" i="1"/>
  <c r="Q160" i="1"/>
  <c r="AC159" i="1"/>
  <c r="T158" i="1"/>
  <c r="W157" i="1"/>
  <c r="Q157" i="1"/>
  <c r="Z155" i="1"/>
  <c r="AC154" i="1"/>
  <c r="W154" i="1"/>
  <c r="Q151" i="1"/>
  <c r="W148" i="1"/>
  <c r="AC145" i="1"/>
  <c r="Q143" i="1"/>
  <c r="AC141" i="1"/>
  <c r="Z140" i="1"/>
  <c r="T140" i="1"/>
  <c r="Q139" i="1"/>
  <c r="AF137" i="1"/>
  <c r="W136" i="1"/>
  <c r="AC133" i="1"/>
  <c r="Z132" i="1"/>
  <c r="Q131" i="1"/>
  <c r="AF129" i="1"/>
  <c r="W128" i="1"/>
  <c r="T127" i="1"/>
  <c r="AC125" i="1"/>
  <c r="Z124" i="1"/>
  <c r="Q123" i="1"/>
  <c r="AF121" i="1"/>
  <c r="W120" i="1"/>
  <c r="T119" i="1"/>
  <c r="AF111" i="1"/>
  <c r="AF110" i="1"/>
  <c r="Z110" i="1"/>
  <c r="W105" i="1"/>
  <c r="Q105" i="1"/>
  <c r="AC104" i="1"/>
  <c r="W104" i="1"/>
  <c r="Q104" i="1"/>
  <c r="AC103" i="1"/>
  <c r="Z99" i="1"/>
  <c r="AC96" i="1"/>
  <c r="W96" i="1"/>
  <c r="AF90" i="1"/>
  <c r="W89" i="1"/>
  <c r="AC87" i="1"/>
  <c r="AC161" i="1"/>
  <c r="Q159" i="1"/>
  <c r="W156" i="1"/>
  <c r="AC153" i="1"/>
  <c r="W150" i="1"/>
  <c r="AC147" i="1"/>
  <c r="T146" i="1"/>
  <c r="Q145" i="1"/>
  <c r="Z143" i="1"/>
  <c r="Q141" i="1"/>
  <c r="W138" i="1"/>
  <c r="Q133" i="1"/>
  <c r="W130" i="1"/>
  <c r="AC127" i="1"/>
  <c r="Q125" i="1"/>
  <c r="W122" i="1"/>
  <c r="AC119" i="1"/>
  <c r="AF117" i="1"/>
  <c r="T117" i="1"/>
  <c r="T116" i="1"/>
  <c r="AF115" i="1"/>
  <c r="AC114" i="1"/>
  <c r="W114" i="1"/>
  <c r="Q114" i="1"/>
  <c r="AC113" i="1"/>
  <c r="W113" i="1"/>
  <c r="Q113" i="1"/>
  <c r="W99" i="1"/>
  <c r="Q99" i="1"/>
  <c r="AF97" i="1"/>
  <c r="Q94" i="1"/>
  <c r="AC93" i="1"/>
  <c r="AF64" i="1"/>
  <c r="T40" i="1"/>
  <c r="Q118" i="1"/>
  <c r="AC117" i="1"/>
  <c r="W117" i="1"/>
  <c r="Q117" i="1"/>
  <c r="AC116" i="1"/>
  <c r="W116" i="1"/>
  <c r="Q116" i="1"/>
  <c r="AC115" i="1"/>
  <c r="Z114" i="1"/>
  <c r="Z113" i="1"/>
  <c r="T113" i="1"/>
  <c r="Q112" i="1"/>
  <c r="AC111" i="1"/>
  <c r="W111" i="1"/>
  <c r="Q111" i="1"/>
  <c r="AC110" i="1"/>
  <c r="W110" i="1"/>
  <c r="T105" i="1"/>
  <c r="T104" i="1"/>
  <c r="AF103" i="1"/>
  <c r="Q101" i="1"/>
  <c r="Q100" i="1"/>
  <c r="AC99" i="1"/>
  <c r="Z98" i="1"/>
  <c r="W97" i="1"/>
  <c r="Q97" i="1"/>
  <c r="AF94" i="1"/>
  <c r="Z94" i="1"/>
  <c r="T94" i="1"/>
  <c r="AF93" i="1"/>
  <c r="Z93" i="1"/>
  <c r="W90" i="1"/>
  <c r="AC86" i="1"/>
  <c r="Q85" i="1"/>
  <c r="W81" i="1"/>
  <c r="W79" i="1"/>
  <c r="AC78" i="1"/>
  <c r="W78" i="1"/>
  <c r="Z73" i="1"/>
  <c r="Q71" i="1"/>
  <c r="AC70" i="1"/>
  <c r="Z69" i="1"/>
  <c r="T69" i="1"/>
  <c r="T68" i="1"/>
  <c r="W64" i="1"/>
  <c r="Q64" i="1"/>
  <c r="W63" i="1"/>
  <c r="AF62" i="1"/>
  <c r="T62" i="1"/>
  <c r="Z60" i="1"/>
  <c r="T59" i="1"/>
  <c r="T55" i="1"/>
  <c r="Z54" i="1"/>
  <c r="AF49" i="1"/>
  <c r="Z49" i="1"/>
  <c r="T49" i="1"/>
  <c r="Z44" i="1"/>
  <c r="AF43" i="1"/>
  <c r="T39" i="1"/>
  <c r="T31" i="1"/>
  <c r="Z30" i="1"/>
  <c r="Q26" i="1"/>
  <c r="AC25" i="1"/>
  <c r="W25" i="1"/>
  <c r="Q25" i="1"/>
  <c r="T23" i="1"/>
  <c r="Z22" i="1"/>
  <c r="AF20" i="1"/>
  <c r="Z19" i="1"/>
  <c r="Z12" i="1"/>
  <c r="AF86" i="1"/>
  <c r="Z86" i="1"/>
  <c r="T86" i="1"/>
  <c r="AF85" i="1"/>
  <c r="Z85" i="1"/>
  <c r="W84" i="1"/>
  <c r="W83" i="1"/>
  <c r="Q83" i="1"/>
  <c r="AF81" i="1"/>
  <c r="Z81" i="1"/>
  <c r="T81" i="1"/>
  <c r="Z79" i="1"/>
  <c r="T79" i="1"/>
  <c r="AC76" i="1"/>
  <c r="W76" i="1"/>
  <c r="T73" i="1"/>
  <c r="AF72" i="1"/>
  <c r="Z72" i="1"/>
  <c r="T72" i="1"/>
  <c r="AF66" i="1"/>
  <c r="Z66" i="1"/>
  <c r="AF65" i="1"/>
  <c r="W62" i="1"/>
  <c r="AC61" i="1"/>
  <c r="W61" i="1"/>
  <c r="W44" i="1"/>
  <c r="Q44" i="1"/>
  <c r="AC43" i="1"/>
  <c r="W43" i="1"/>
  <c r="Q43" i="1"/>
  <c r="Z41" i="1"/>
  <c r="AF40" i="1"/>
  <c r="W39" i="1"/>
  <c r="Q39" i="1"/>
  <c r="AC37" i="1"/>
  <c r="T36" i="1"/>
  <c r="Z35" i="1"/>
  <c r="AF32" i="1"/>
  <c r="W82" i="1"/>
  <c r="T78" i="1"/>
  <c r="AC73" i="1"/>
  <c r="AF70" i="1"/>
  <c r="Z70" i="1"/>
  <c r="AC69" i="1"/>
  <c r="AC68" i="1"/>
  <c r="W68" i="1"/>
  <c r="Z64" i="1"/>
  <c r="Z63" i="1"/>
  <c r="W60" i="1"/>
  <c r="Q60" i="1"/>
  <c r="AC59" i="1"/>
  <c r="W59" i="1"/>
  <c r="Q59" i="1"/>
  <c r="AC58" i="1"/>
  <c r="AF57" i="1"/>
  <c r="Z57" i="1"/>
  <c r="T57" i="1"/>
  <c r="Z52" i="1"/>
  <c r="AF51" i="1"/>
  <c r="T47" i="1"/>
  <c r="Z46" i="1"/>
  <c r="Z28" i="1"/>
  <c r="AF27" i="1"/>
  <c r="Z25" i="1"/>
  <c r="AF24" i="1"/>
  <c r="AC20" i="1"/>
  <c r="W20" i="1"/>
  <c r="Z18" i="1"/>
  <c r="AF14" i="1"/>
  <c r="Z14" i="1"/>
  <c r="AF13" i="1"/>
  <c r="AF399" i="1"/>
  <c r="AF396" i="1"/>
  <c r="Z393" i="1"/>
  <c r="Z402" i="1"/>
  <c r="T401" i="1"/>
  <c r="T399" i="1"/>
  <c r="AF394" i="1"/>
  <c r="AF392" i="1"/>
  <c r="Z391" i="1"/>
  <c r="T390" i="1"/>
  <c r="AF388" i="1"/>
  <c r="Z387" i="1"/>
  <c r="T386" i="1"/>
  <c r="AF384" i="1"/>
  <c r="Z383" i="1"/>
  <c r="T382" i="1"/>
  <c r="AF380" i="1"/>
  <c r="Z379" i="1"/>
  <c r="T378" i="1"/>
  <c r="AF376" i="1"/>
  <c r="Z375" i="1"/>
  <c r="T374" i="1"/>
  <c r="AF372" i="1"/>
  <c r="Z371" i="1"/>
  <c r="T370" i="1"/>
  <c r="AF368" i="1"/>
  <c r="Z367" i="1"/>
  <c r="T366" i="1"/>
  <c r="AF364" i="1"/>
  <c r="Z363" i="1"/>
  <c r="T362" i="1"/>
  <c r="AF360" i="1"/>
  <c r="Z359" i="1"/>
  <c r="T358" i="1"/>
  <c r="AF356" i="1"/>
  <c r="Z355" i="1"/>
  <c r="T354" i="1"/>
  <c r="AF352" i="1"/>
  <c r="Z351" i="1"/>
  <c r="T350" i="1"/>
  <c r="AF348" i="1"/>
  <c r="Z347" i="1"/>
  <c r="T346" i="1"/>
  <c r="AF344" i="1"/>
  <c r="Z343" i="1"/>
  <c r="T342" i="1"/>
  <c r="AF340" i="1"/>
  <c r="T338" i="1"/>
  <c r="AF336" i="1"/>
  <c r="Z335" i="1"/>
  <c r="T334" i="1"/>
  <c r="AF332" i="1"/>
  <c r="Z331" i="1"/>
  <c r="T330" i="1"/>
  <c r="AF328" i="1"/>
  <c r="Z327" i="1"/>
  <c r="T326" i="1"/>
  <c r="AF324" i="1"/>
  <c r="Z323" i="1"/>
  <c r="AC402" i="1"/>
  <c r="W401" i="1"/>
  <c r="W399" i="1"/>
  <c r="Q399" i="1"/>
  <c r="Z398" i="1"/>
  <c r="AF395" i="1"/>
  <c r="Z395" i="1"/>
  <c r="Q395" i="1"/>
  <c r="T394" i="1"/>
  <c r="Q393" i="1"/>
  <c r="AC391" i="1"/>
  <c r="W390" i="1"/>
  <c r="Q389" i="1"/>
  <c r="AC387" i="1"/>
  <c r="W386" i="1"/>
  <c r="Q385" i="1"/>
  <c r="AC383" i="1"/>
  <c r="W382" i="1"/>
  <c r="Q381" i="1"/>
  <c r="AC379" i="1"/>
  <c r="W378" i="1"/>
  <c r="Q377" i="1"/>
  <c r="AC375" i="1"/>
  <c r="W374" i="1"/>
  <c r="Q373" i="1"/>
  <c r="AC371" i="1"/>
  <c r="W370" i="1"/>
  <c r="Q369" i="1"/>
  <c r="AC367" i="1"/>
  <c r="W366" i="1"/>
  <c r="Q365" i="1"/>
  <c r="AC363" i="1"/>
  <c r="W362" i="1"/>
  <c r="Q361" i="1"/>
  <c r="AC359" i="1"/>
  <c r="W358" i="1"/>
  <c r="Q357" i="1"/>
  <c r="AC355" i="1"/>
  <c r="W354" i="1"/>
  <c r="Q353" i="1"/>
  <c r="AC351" i="1"/>
  <c r="W350" i="1"/>
  <c r="Q349" i="1"/>
  <c r="AC347" i="1"/>
  <c r="W346" i="1"/>
  <c r="Q345" i="1"/>
  <c r="AC343" i="1"/>
  <c r="W342" i="1"/>
  <c r="Q341" i="1"/>
  <c r="W338" i="1"/>
  <c r="Q337" i="1"/>
  <c r="AC335" i="1"/>
  <c r="W334" i="1"/>
  <c r="Q333" i="1"/>
  <c r="AC331" i="1"/>
  <c r="W330" i="1"/>
  <c r="Q329" i="1"/>
  <c r="AC327" i="1"/>
  <c r="W326" i="1"/>
  <c r="Q325" i="1"/>
  <c r="AC323" i="1"/>
  <c r="W322" i="1"/>
  <c r="Z321" i="1"/>
  <c r="T320" i="1"/>
  <c r="AF318" i="1"/>
  <c r="Z317" i="1"/>
  <c r="T316" i="1"/>
  <c r="AF314" i="1"/>
  <c r="Z313" i="1"/>
  <c r="AF310" i="1"/>
  <c r="Z309" i="1"/>
  <c r="T308" i="1"/>
  <c r="AF306" i="1"/>
  <c r="Z305" i="1"/>
  <c r="T304" i="1"/>
  <c r="AF303" i="1"/>
  <c r="W302" i="1"/>
  <c r="Z301" i="1"/>
  <c r="T301" i="1"/>
  <c r="AC299" i="1"/>
  <c r="AF298" i="1"/>
  <c r="Z298" i="1"/>
  <c r="Q297" i="1"/>
  <c r="T296" i="1"/>
  <c r="AF295" i="1"/>
  <c r="W294" i="1"/>
  <c r="Z293" i="1"/>
  <c r="T293" i="1"/>
  <c r="AC291" i="1"/>
  <c r="T288" i="1"/>
  <c r="AF287" i="1"/>
  <c r="W286" i="1"/>
  <c r="Z285" i="1"/>
  <c r="T285" i="1"/>
  <c r="AF284" i="1"/>
  <c r="T283" i="1"/>
  <c r="AF282" i="1"/>
  <c r="T281" i="1"/>
  <c r="AC279" i="1"/>
  <c r="Q278" i="1"/>
  <c r="AF275" i="1"/>
  <c r="W274" i="1"/>
  <c r="AC272" i="1"/>
  <c r="Z270" i="1"/>
  <c r="Q269" i="1"/>
  <c r="T322" i="1"/>
  <c r="AF320" i="1"/>
  <c r="Z319" i="1"/>
  <c r="T318" i="1"/>
  <c r="AF316" i="1"/>
  <c r="Z315" i="1"/>
  <c r="T314" i="1"/>
  <c r="AF312" i="1"/>
  <c r="Z311" i="1"/>
  <c r="T310" i="1"/>
  <c r="AF308" i="1"/>
  <c r="Z307" i="1"/>
  <c r="T306" i="1"/>
  <c r="AF304" i="1"/>
  <c r="AC303" i="1"/>
  <c r="AF302" i="1"/>
  <c r="Z302" i="1"/>
  <c r="Q301" i="1"/>
  <c r="T300" i="1"/>
  <c r="AF299" i="1"/>
  <c r="W298" i="1"/>
  <c r="Z297" i="1"/>
  <c r="T297" i="1"/>
  <c r="AC295" i="1"/>
  <c r="AF294" i="1"/>
  <c r="Z294" i="1"/>
  <c r="Q293" i="1"/>
  <c r="T292" i="1"/>
  <c r="AF291" i="1"/>
  <c r="AC287" i="1"/>
  <c r="AF286" i="1"/>
  <c r="Z286" i="1"/>
  <c r="Q285" i="1"/>
  <c r="AC284" i="1"/>
  <c r="AF283" i="1"/>
  <c r="W282" i="1"/>
  <c r="AC280" i="1"/>
  <c r="Z278" i="1"/>
  <c r="Q277" i="1"/>
  <c r="W275" i="1"/>
  <c r="T273" i="1"/>
  <c r="AC271" i="1"/>
  <c r="Q270" i="1"/>
  <c r="AF267" i="1"/>
  <c r="W267" i="1"/>
  <c r="Q266" i="1"/>
  <c r="AC264" i="1"/>
  <c r="W263" i="1"/>
  <c r="AC260" i="1"/>
  <c r="AF259" i="1"/>
  <c r="W259" i="1"/>
  <c r="T257" i="1"/>
  <c r="AC256" i="1"/>
  <c r="AF255" i="1"/>
  <c r="W255" i="1"/>
  <c r="Z254" i="1"/>
  <c r="Q254" i="1"/>
  <c r="T253" i="1"/>
  <c r="AC252" i="1"/>
  <c r="AF251" i="1"/>
  <c r="W251" i="1"/>
  <c r="Z250" i="1"/>
  <c r="Q250" i="1"/>
  <c r="T249" i="1"/>
  <c r="AC248" i="1"/>
  <c r="AF247" i="1"/>
  <c r="W247" i="1"/>
  <c r="Z246" i="1"/>
  <c r="Q246" i="1"/>
  <c r="T245" i="1"/>
  <c r="AC244" i="1"/>
  <c r="AF243" i="1"/>
  <c r="W243" i="1"/>
  <c r="Z242" i="1"/>
  <c r="Q242" i="1"/>
  <c r="AC240" i="1"/>
  <c r="W239" i="1"/>
  <c r="Q238" i="1"/>
  <c r="AC236" i="1"/>
  <c r="W235" i="1"/>
  <c r="Q234" i="1"/>
  <c r="AC232" i="1"/>
  <c r="W231" i="1"/>
  <c r="T230" i="1"/>
  <c r="Q229" i="1"/>
  <c r="AF202" i="1"/>
  <c r="Z201" i="1"/>
  <c r="AF198" i="1"/>
  <c r="Z197" i="1"/>
  <c r="AF194" i="1"/>
  <c r="Z193" i="1"/>
  <c r="T192" i="1"/>
  <c r="AF186" i="1"/>
  <c r="Z181" i="1"/>
  <c r="T176" i="1"/>
  <c r="AF170" i="1"/>
  <c r="T208" i="1"/>
  <c r="AF206" i="1"/>
  <c r="T188" i="1"/>
  <c r="AF182" i="1"/>
  <c r="Z177" i="1"/>
  <c r="Z161" i="1"/>
  <c r="AF158" i="1"/>
  <c r="AF150" i="1"/>
  <c r="T148" i="1"/>
  <c r="Z137" i="1"/>
  <c r="T132" i="1"/>
  <c r="Z129" i="1"/>
  <c r="AF126" i="1"/>
  <c r="T124" i="1"/>
  <c r="Z121" i="1"/>
  <c r="AF118" i="1"/>
  <c r="AC282" i="1"/>
  <c r="W281" i="1"/>
  <c r="Q280" i="1"/>
  <c r="AC278" i="1"/>
  <c r="W277" i="1"/>
  <c r="Q276" i="1"/>
  <c r="AC274" i="1"/>
  <c r="W273" i="1"/>
  <c r="Q272" i="1"/>
  <c r="AC270" i="1"/>
  <c r="W269" i="1"/>
  <c r="Q268" i="1"/>
  <c r="AC266" i="1"/>
  <c r="W265" i="1"/>
  <c r="Q264" i="1"/>
  <c r="W261" i="1"/>
  <c r="Q260" i="1"/>
  <c r="T259" i="1"/>
  <c r="AF257" i="1"/>
  <c r="W257" i="1"/>
  <c r="Z256" i="1"/>
  <c r="Q256" i="1"/>
  <c r="T255" i="1"/>
  <c r="AC254" i="1"/>
  <c r="AF253" i="1"/>
  <c r="W253" i="1"/>
  <c r="Z252" i="1"/>
  <c r="Q252" i="1"/>
  <c r="T251" i="1"/>
  <c r="AC250" i="1"/>
  <c r="AF249" i="1"/>
  <c r="W249" i="1"/>
  <c r="Z248" i="1"/>
  <c r="Q248" i="1"/>
  <c r="T247" i="1"/>
  <c r="AC246" i="1"/>
  <c r="AF245" i="1"/>
  <c r="W245" i="1"/>
  <c r="Z244" i="1"/>
  <c r="Q244" i="1"/>
  <c r="T243" i="1"/>
  <c r="AC242" i="1"/>
  <c r="Q240" i="1"/>
  <c r="AC238" i="1"/>
  <c r="W237" i="1"/>
  <c r="Q236" i="1"/>
  <c r="T235" i="1"/>
  <c r="AC234" i="1"/>
  <c r="W233" i="1"/>
  <c r="Q232" i="1"/>
  <c r="AC230" i="1"/>
  <c r="W230" i="1"/>
  <c r="T229" i="1"/>
  <c r="AF228" i="1"/>
  <c r="AC227" i="1"/>
  <c r="Z226" i="1"/>
  <c r="T226" i="1"/>
  <c r="AC225" i="1"/>
  <c r="AF224" i="1"/>
  <c r="W224" i="1"/>
  <c r="Z223" i="1"/>
  <c r="Q223" i="1"/>
  <c r="T222" i="1"/>
  <c r="AC221" i="1"/>
  <c r="AF220" i="1"/>
  <c r="W220" i="1"/>
  <c r="Z219" i="1"/>
  <c r="Q219" i="1"/>
  <c r="T218" i="1"/>
  <c r="AC217" i="1"/>
  <c r="AF216" i="1"/>
  <c r="W216" i="1"/>
  <c r="Z215" i="1"/>
  <c r="Q215" i="1"/>
  <c r="T214" i="1"/>
  <c r="AC213" i="1"/>
  <c r="AF212" i="1"/>
  <c r="W212" i="1"/>
  <c r="Z211" i="1"/>
  <c r="Q211" i="1"/>
  <c r="AC209" i="1"/>
  <c r="AF208" i="1"/>
  <c r="W208" i="1"/>
  <c r="Q207" i="1"/>
  <c r="AF204" i="1"/>
  <c r="Z203" i="1"/>
  <c r="AF200" i="1"/>
  <c r="Z199" i="1"/>
  <c r="AF196" i="1"/>
  <c r="Z195" i="1"/>
  <c r="T194" i="1"/>
  <c r="AF192" i="1"/>
  <c r="AC191" i="1"/>
  <c r="Z189" i="1"/>
  <c r="Q188" i="1"/>
  <c r="W186" i="1"/>
  <c r="AC182" i="1"/>
  <c r="Q181" i="1"/>
  <c r="AF178" i="1"/>
  <c r="W177" i="1"/>
  <c r="AC175" i="1"/>
  <c r="Z173" i="1"/>
  <c r="Q172" i="1"/>
  <c r="W170" i="1"/>
  <c r="AC166" i="1"/>
  <c r="T163" i="1"/>
  <c r="AF162" i="1"/>
  <c r="Z160" i="1"/>
  <c r="AF157" i="1"/>
  <c r="T155" i="1"/>
  <c r="AF154" i="1"/>
  <c r="AF149" i="1"/>
  <c r="T147" i="1"/>
  <c r="Z144" i="1"/>
  <c r="T144" i="1"/>
  <c r="AF141" i="1"/>
  <c r="T139" i="1"/>
  <c r="Z136" i="1"/>
  <c r="AF133" i="1"/>
  <c r="T131" i="1"/>
  <c r="Z128" i="1"/>
  <c r="AF125" i="1"/>
  <c r="T123" i="1"/>
  <c r="Z120" i="1"/>
  <c r="AC102" i="1"/>
  <c r="W102" i="1"/>
  <c r="T101" i="1"/>
  <c r="AF100" i="1"/>
  <c r="AC98" i="1"/>
  <c r="W98" i="1"/>
  <c r="Q96" i="1"/>
  <c r="Z165" i="1"/>
  <c r="T164" i="1"/>
  <c r="T14" i="1"/>
  <c r="Z11" i="1"/>
  <c r="W192" i="1"/>
  <c r="Q191" i="1"/>
  <c r="AC189" i="1"/>
  <c r="W188" i="1"/>
  <c r="Q187" i="1"/>
  <c r="T186" i="1"/>
  <c r="AC185" i="1"/>
  <c r="AF184" i="1"/>
  <c r="W184" i="1"/>
  <c r="Q183" i="1"/>
  <c r="T182" i="1"/>
  <c r="AC181" i="1"/>
  <c r="W180" i="1"/>
  <c r="Q179" i="1"/>
  <c r="AC177" i="1"/>
  <c r="W176" i="1"/>
  <c r="Q175" i="1"/>
  <c r="AC173" i="1"/>
  <c r="AF172" i="1"/>
  <c r="W172" i="1"/>
  <c r="Q171" i="1"/>
  <c r="T170" i="1"/>
  <c r="AC169" i="1"/>
  <c r="W168" i="1"/>
  <c r="Z167" i="1"/>
  <c r="Q167" i="1"/>
  <c r="T166" i="1"/>
  <c r="AC165" i="1"/>
  <c r="W164" i="1"/>
  <c r="AF160" i="1"/>
  <c r="Z159" i="1"/>
  <c r="AF156" i="1"/>
  <c r="Z151" i="1"/>
  <c r="AF148" i="1"/>
  <c r="Z147" i="1"/>
  <c r="Z139" i="1"/>
  <c r="T138" i="1"/>
  <c r="AF136" i="1"/>
  <c r="AF132" i="1"/>
  <c r="Z131" i="1"/>
  <c r="T130" i="1"/>
  <c r="AF128" i="1"/>
  <c r="Z127" i="1"/>
  <c r="T126" i="1"/>
  <c r="AF124" i="1"/>
  <c r="Z123" i="1"/>
  <c r="T122" i="1"/>
  <c r="AF120" i="1"/>
  <c r="Z119" i="1"/>
  <c r="T118" i="1"/>
  <c r="Z117" i="1"/>
  <c r="Z116" i="1"/>
  <c r="W115" i="1"/>
  <c r="Q115" i="1"/>
  <c r="AF113" i="1"/>
  <c r="AC112" i="1"/>
  <c r="W112" i="1"/>
  <c r="T111" i="1"/>
  <c r="Q110" i="1"/>
  <c r="AC108" i="1"/>
  <c r="W108" i="1"/>
  <c r="Q108" i="1"/>
  <c r="AC107" i="1"/>
  <c r="W107" i="1"/>
  <c r="Q107" i="1"/>
  <c r="AC105" i="1"/>
  <c r="Z104" i="1"/>
  <c r="W103" i="1"/>
  <c r="Q103" i="1"/>
  <c r="AF101" i="1"/>
  <c r="Z101" i="1"/>
  <c r="W100" i="1"/>
  <c r="W94" i="1"/>
  <c r="T93" i="1"/>
  <c r="Z90" i="1"/>
  <c r="T90" i="1"/>
  <c r="Q89" i="1"/>
  <c r="AF87" i="1"/>
  <c r="Z87" i="1"/>
  <c r="W86" i="1"/>
  <c r="T85" i="1"/>
  <c r="AF84" i="1"/>
  <c r="AC83" i="1"/>
  <c r="Z82" i="1"/>
  <c r="T82" i="1"/>
  <c r="Q81" i="1"/>
  <c r="AF79" i="1"/>
  <c r="W69" i="1"/>
  <c r="AF63" i="1"/>
  <c r="T20" i="1"/>
  <c r="Z65" i="1"/>
  <c r="T65" i="1"/>
  <c r="AC63" i="1"/>
  <c r="Q62" i="1"/>
  <c r="Z61" i="1"/>
  <c r="T61" i="1"/>
  <c r="AF58" i="1"/>
  <c r="AC57" i="1"/>
  <c r="W57" i="1"/>
  <c r="Q57" i="1"/>
  <c r="Z56" i="1"/>
  <c r="T56" i="1"/>
  <c r="AF53" i="1"/>
  <c r="T51" i="1"/>
  <c r="Z48" i="1"/>
  <c r="AF45" i="1"/>
  <c r="T43" i="1"/>
  <c r="Z40" i="1"/>
  <c r="AF37" i="1"/>
  <c r="T35" i="1"/>
  <c r="Z32" i="1"/>
  <c r="AF29" i="1"/>
  <c r="T27" i="1"/>
  <c r="Z24" i="1"/>
  <c r="W22" i="1"/>
  <c r="AF21" i="1"/>
  <c r="Q20" i="1"/>
  <c r="AC19" i="1"/>
  <c r="T19" i="1"/>
  <c r="Q79" i="1"/>
  <c r="Z78" i="1"/>
  <c r="Z76" i="1"/>
  <c r="T76" i="1"/>
  <c r="AF73" i="1"/>
  <c r="Q73" i="1"/>
  <c r="AF71" i="1"/>
  <c r="Z71" i="1"/>
  <c r="AF68" i="1"/>
  <c r="Z68" i="1"/>
  <c r="Q61" i="1"/>
  <c r="T53" i="1"/>
  <c r="Z50" i="1"/>
  <c r="AF47" i="1"/>
  <c r="T45" i="1"/>
  <c r="Z42" i="1"/>
  <c r="W40" i="1"/>
  <c r="AF39" i="1"/>
  <c r="T37" i="1"/>
  <c r="W32" i="1"/>
  <c r="AF31" i="1"/>
  <c r="T29" i="1"/>
  <c r="W27" i="1"/>
  <c r="Q27" i="1"/>
  <c r="Z26" i="1"/>
  <c r="AC24" i="1"/>
  <c r="W24" i="1"/>
  <c r="AF23" i="1"/>
  <c r="Q22" i="1"/>
  <c r="AC21" i="1"/>
  <c r="W19" i="1"/>
  <c r="Q19" i="1"/>
  <c r="Z10" i="1"/>
  <c r="W72" i="1"/>
  <c r="T71" i="1"/>
  <c r="W70" i="1"/>
  <c r="AF69" i="1"/>
  <c r="Q69" i="1"/>
  <c r="AC64" i="1"/>
  <c r="Q63" i="1"/>
  <c r="AC62" i="1"/>
  <c r="AC60" i="1"/>
  <c r="W58" i="1"/>
  <c r="AC55" i="1"/>
  <c r="W53" i="1"/>
  <c r="Q53" i="1"/>
  <c r="AC50" i="1"/>
  <c r="W50" i="1"/>
  <c r="Q48" i="1"/>
  <c r="AC47" i="1"/>
  <c r="W45" i="1"/>
  <c r="Q45" i="1"/>
  <c r="AC42" i="1"/>
  <c r="W42" i="1"/>
  <c r="Q40" i="1"/>
  <c r="AC39" i="1"/>
  <c r="W37" i="1"/>
  <c r="Q37" i="1"/>
  <c r="Q32" i="1"/>
  <c r="AC31" i="1"/>
  <c r="W29" i="1"/>
  <c r="Q29" i="1"/>
  <c r="AC26" i="1"/>
  <c r="W26" i="1"/>
  <c r="Q24" i="1"/>
  <c r="AC23" i="1"/>
  <c r="W21" i="1"/>
  <c r="Q21" i="1"/>
  <c r="AC18" i="1"/>
  <c r="W18" i="1"/>
  <c r="W13" i="1"/>
  <c r="Q12" i="1"/>
  <c r="T11" i="1"/>
  <c r="AC10" i="1"/>
  <c r="AF403" i="1"/>
  <c r="Q397" i="1"/>
  <c r="T396" i="1"/>
  <c r="AC395" i="1"/>
  <c r="W394" i="1"/>
  <c r="AF366" i="1"/>
  <c r="T312" i="1"/>
  <c r="Q284" i="1"/>
  <c r="K165" i="4" l="1"/>
  <c r="K338" i="4"/>
  <c r="DD413" i="1" l="1"/>
  <c r="DE413" i="1"/>
  <c r="DF413" i="1"/>
  <c r="DC413" i="1"/>
  <c r="DE118" i="1"/>
  <c r="DF118" i="1"/>
  <c r="DE119" i="1"/>
  <c r="DF119" i="1"/>
  <c r="DE120" i="1"/>
  <c r="DF120" i="1"/>
  <c r="DE121" i="1"/>
  <c r="DF121" i="1"/>
  <c r="DE122" i="1"/>
  <c r="DF122" i="1"/>
  <c r="DE123" i="1"/>
  <c r="DF123" i="1"/>
  <c r="DE124" i="1"/>
  <c r="DF124" i="1"/>
  <c r="DE125" i="1"/>
  <c r="DF125" i="1"/>
  <c r="DE126" i="1"/>
  <c r="DF126" i="1"/>
  <c r="DE127" i="1"/>
  <c r="DF127" i="1"/>
  <c r="DE128" i="1"/>
  <c r="DF128" i="1"/>
  <c r="DE129" i="1"/>
  <c r="DF129" i="1"/>
  <c r="DE130" i="1"/>
  <c r="DF130" i="1"/>
  <c r="DE131" i="1"/>
  <c r="DF131" i="1"/>
  <c r="DE132" i="1"/>
  <c r="DF132" i="1"/>
  <c r="DE133" i="1"/>
  <c r="DF133" i="1"/>
  <c r="DE134" i="1"/>
  <c r="DF134" i="1"/>
  <c r="DE135" i="1"/>
  <c r="DF135" i="1"/>
  <c r="DE136" i="1"/>
  <c r="DF136" i="1"/>
  <c r="DE137" i="1"/>
  <c r="DF137" i="1"/>
  <c r="DE138" i="1"/>
  <c r="DF138" i="1"/>
  <c r="DE139" i="1"/>
  <c r="DF139" i="1"/>
  <c r="DE140" i="1"/>
  <c r="DF140" i="1"/>
  <c r="DE141" i="1"/>
  <c r="DF141" i="1"/>
  <c r="DE142" i="1"/>
  <c r="DF142" i="1"/>
  <c r="DE143" i="1"/>
  <c r="DF143" i="1"/>
  <c r="DE144" i="1"/>
  <c r="DF144" i="1"/>
  <c r="DE145" i="1"/>
  <c r="DF145" i="1"/>
  <c r="DE146" i="1"/>
  <c r="DF146" i="1"/>
  <c r="DE147" i="1"/>
  <c r="DF147" i="1"/>
  <c r="DE148" i="1"/>
  <c r="DF148" i="1"/>
  <c r="DE149" i="1"/>
  <c r="DF149" i="1"/>
  <c r="DE150" i="1"/>
  <c r="DF150" i="1"/>
  <c r="DE151" i="1"/>
  <c r="DF151" i="1"/>
  <c r="DE152" i="1"/>
  <c r="DF152" i="1"/>
  <c r="DE153" i="1"/>
  <c r="DF153" i="1"/>
  <c r="DE154" i="1"/>
  <c r="DF154" i="1"/>
  <c r="DE155" i="1"/>
  <c r="DF155" i="1"/>
  <c r="DE156" i="1"/>
  <c r="DF156" i="1"/>
  <c r="DE157" i="1"/>
  <c r="DF157" i="1"/>
  <c r="DE158" i="1"/>
  <c r="DF158" i="1"/>
  <c r="DE159" i="1"/>
  <c r="DF159" i="1"/>
  <c r="DE160" i="1"/>
  <c r="DF160" i="1"/>
  <c r="DE161" i="1"/>
  <c r="DF161" i="1"/>
  <c r="DE162" i="1"/>
  <c r="DF162" i="1"/>
  <c r="DE163" i="1"/>
  <c r="DF163" i="1"/>
  <c r="DE164" i="1"/>
  <c r="DF164" i="1"/>
  <c r="DE165" i="1"/>
  <c r="DF165" i="1"/>
  <c r="DE166" i="1"/>
  <c r="DF166" i="1"/>
  <c r="DE167" i="1"/>
  <c r="DF167" i="1"/>
  <c r="DE168" i="1"/>
  <c r="DF168" i="1"/>
  <c r="DE169" i="1"/>
  <c r="DF169" i="1"/>
  <c r="DE170" i="1"/>
  <c r="DF170" i="1"/>
  <c r="DE171" i="1"/>
  <c r="DF171" i="1"/>
  <c r="DE172" i="1"/>
  <c r="DF172" i="1"/>
  <c r="DE173" i="1"/>
  <c r="DF173" i="1"/>
  <c r="DE174" i="1"/>
  <c r="DF174" i="1"/>
  <c r="DE175" i="1"/>
  <c r="DF175" i="1"/>
  <c r="DE176" i="1"/>
  <c r="DF176" i="1"/>
  <c r="DE177" i="1"/>
  <c r="DF177" i="1"/>
  <c r="DE178" i="1"/>
  <c r="DF178" i="1"/>
  <c r="DE179" i="1"/>
  <c r="DF179" i="1"/>
  <c r="DE180" i="1"/>
  <c r="DF180" i="1"/>
  <c r="DE181" i="1"/>
  <c r="DF181" i="1"/>
  <c r="DE182" i="1"/>
  <c r="DF182" i="1"/>
  <c r="DE183" i="1"/>
  <c r="DF183" i="1"/>
  <c r="DE184" i="1"/>
  <c r="DF184" i="1"/>
  <c r="DE185" i="1"/>
  <c r="DF185" i="1"/>
  <c r="DE186" i="1"/>
  <c r="DF186" i="1"/>
  <c r="DE187" i="1"/>
  <c r="DF187" i="1"/>
  <c r="DE188" i="1"/>
  <c r="DF188" i="1"/>
  <c r="DE189" i="1"/>
  <c r="DF189" i="1"/>
  <c r="DE190" i="1"/>
  <c r="DF190" i="1"/>
  <c r="DE191" i="1"/>
  <c r="DF191" i="1"/>
  <c r="DE192" i="1"/>
  <c r="DF192" i="1"/>
  <c r="DE193" i="1"/>
  <c r="DF193" i="1"/>
  <c r="DE194" i="1"/>
  <c r="DF194" i="1"/>
  <c r="DE195" i="1"/>
  <c r="DF195" i="1"/>
  <c r="DE196" i="1"/>
  <c r="DF196" i="1"/>
  <c r="DE197" i="1"/>
  <c r="DF197" i="1"/>
  <c r="DE198" i="1"/>
  <c r="DF198" i="1"/>
  <c r="DE199" i="1"/>
  <c r="DF199" i="1"/>
  <c r="DE200" i="1"/>
  <c r="DF200" i="1"/>
  <c r="DE201" i="1"/>
  <c r="DF201" i="1"/>
  <c r="DE202" i="1"/>
  <c r="DF202" i="1"/>
  <c r="DE203" i="1"/>
  <c r="DF203" i="1"/>
  <c r="DE204" i="1"/>
  <c r="DF204" i="1"/>
  <c r="DE205" i="1"/>
  <c r="DF205" i="1"/>
  <c r="DE206" i="1"/>
  <c r="DF206" i="1"/>
  <c r="DE207" i="1"/>
  <c r="DF207" i="1"/>
  <c r="DE208" i="1"/>
  <c r="DF208" i="1"/>
  <c r="DE209" i="1"/>
  <c r="DF209" i="1"/>
  <c r="DE210" i="1"/>
  <c r="DF210" i="1"/>
  <c r="DE211" i="1"/>
  <c r="DF211" i="1"/>
  <c r="DE212" i="1"/>
  <c r="DF212" i="1"/>
  <c r="DE213" i="1"/>
  <c r="DF213" i="1"/>
  <c r="DE214" i="1"/>
  <c r="DF214" i="1"/>
  <c r="DE215" i="1"/>
  <c r="DF215" i="1"/>
  <c r="DE216" i="1"/>
  <c r="DF216" i="1"/>
  <c r="DE217" i="1"/>
  <c r="DF217" i="1"/>
  <c r="DE218" i="1"/>
  <c r="DF218" i="1"/>
  <c r="DE219" i="1"/>
  <c r="DF219" i="1"/>
  <c r="DE220" i="1"/>
  <c r="DF220" i="1"/>
  <c r="DE221" i="1"/>
  <c r="DF221" i="1"/>
  <c r="DE222" i="1"/>
  <c r="DF222" i="1"/>
  <c r="DE223" i="1"/>
  <c r="DF223" i="1"/>
  <c r="DE224" i="1"/>
  <c r="DF224" i="1"/>
  <c r="DE225" i="1"/>
  <c r="DF225" i="1"/>
  <c r="DE226" i="1"/>
  <c r="DF226" i="1"/>
  <c r="DE227" i="1"/>
  <c r="DF227" i="1"/>
  <c r="DE228" i="1"/>
  <c r="DF228" i="1"/>
  <c r="DE229" i="1"/>
  <c r="DF229" i="1"/>
  <c r="DE230" i="1"/>
  <c r="DF230" i="1"/>
  <c r="DE231" i="1"/>
  <c r="DF231" i="1"/>
  <c r="DE232" i="1"/>
  <c r="DF232" i="1"/>
  <c r="DE233" i="1"/>
  <c r="DF233" i="1"/>
  <c r="DE234" i="1"/>
  <c r="DF234" i="1"/>
  <c r="DE235" i="1"/>
  <c r="DF235" i="1"/>
  <c r="DE236" i="1"/>
  <c r="DF236" i="1"/>
  <c r="DE237" i="1"/>
  <c r="DF237" i="1"/>
  <c r="DE238" i="1"/>
  <c r="DF238" i="1"/>
  <c r="DE239" i="1"/>
  <c r="DF239" i="1"/>
  <c r="DE240" i="1"/>
  <c r="DF240" i="1"/>
  <c r="DE241" i="1"/>
  <c r="DF241" i="1"/>
  <c r="DE242" i="1"/>
  <c r="DF242" i="1"/>
  <c r="DE243" i="1"/>
  <c r="DF243" i="1"/>
  <c r="DE244" i="1"/>
  <c r="DF244" i="1"/>
  <c r="DE245" i="1"/>
  <c r="DF245" i="1"/>
  <c r="DE246" i="1"/>
  <c r="DF246" i="1"/>
  <c r="DE247" i="1"/>
  <c r="DF247" i="1"/>
  <c r="DE248" i="1"/>
  <c r="DF248" i="1"/>
  <c r="DE249" i="1"/>
  <c r="DF249" i="1"/>
  <c r="DE250" i="1"/>
  <c r="DF250" i="1"/>
  <c r="DE251" i="1"/>
  <c r="DF251" i="1"/>
  <c r="DE252" i="1"/>
  <c r="DF252" i="1"/>
  <c r="DE253" i="1"/>
  <c r="DF253" i="1"/>
  <c r="DE254" i="1"/>
  <c r="DF254" i="1"/>
  <c r="DE255" i="1"/>
  <c r="DF255" i="1"/>
  <c r="DE256" i="1"/>
  <c r="DF256" i="1"/>
  <c r="DE257" i="1"/>
  <c r="DF257" i="1"/>
  <c r="DE258" i="1"/>
  <c r="DF258" i="1"/>
  <c r="DE259" i="1"/>
  <c r="DF259" i="1"/>
  <c r="DE260" i="1"/>
  <c r="DF260" i="1"/>
  <c r="DE261" i="1"/>
  <c r="DF261" i="1"/>
  <c r="DE262" i="1"/>
  <c r="DF262" i="1"/>
  <c r="DE263" i="1"/>
  <c r="DF263" i="1"/>
  <c r="DE264" i="1"/>
  <c r="DF264" i="1"/>
  <c r="DE265" i="1"/>
  <c r="DF265" i="1"/>
  <c r="DE266" i="1"/>
  <c r="DF266" i="1"/>
  <c r="DE267" i="1"/>
  <c r="DF267" i="1"/>
  <c r="DE268" i="1"/>
  <c r="DF268" i="1"/>
  <c r="DE269" i="1"/>
  <c r="DF269" i="1"/>
  <c r="DE270" i="1"/>
  <c r="DF270" i="1"/>
  <c r="DE271" i="1"/>
  <c r="DF271" i="1"/>
  <c r="DE272" i="1"/>
  <c r="DF272" i="1"/>
  <c r="DE273" i="1"/>
  <c r="DF273" i="1"/>
  <c r="DE274" i="1"/>
  <c r="DF274" i="1"/>
  <c r="DE275" i="1"/>
  <c r="DF275" i="1"/>
  <c r="DE276" i="1"/>
  <c r="DF276" i="1"/>
  <c r="DE277" i="1"/>
  <c r="DF277" i="1"/>
  <c r="DE278" i="1"/>
  <c r="DF278" i="1"/>
  <c r="DE279" i="1"/>
  <c r="DF279" i="1"/>
  <c r="DE280" i="1"/>
  <c r="DF280" i="1"/>
  <c r="DE281" i="1"/>
  <c r="DF281" i="1"/>
  <c r="DE282" i="1"/>
  <c r="DF282" i="1"/>
  <c r="DE283" i="1"/>
  <c r="DF283" i="1"/>
  <c r="DE284" i="1"/>
  <c r="DF284" i="1"/>
  <c r="DE285" i="1"/>
  <c r="DF285" i="1"/>
  <c r="DE286" i="1"/>
  <c r="DF286" i="1"/>
  <c r="DE287" i="1"/>
  <c r="DF287" i="1"/>
  <c r="DE288" i="1"/>
  <c r="DF288" i="1"/>
  <c r="DE289" i="1"/>
  <c r="DF289" i="1"/>
  <c r="DE290" i="1"/>
  <c r="DF290" i="1"/>
  <c r="DE291" i="1"/>
  <c r="DF291" i="1"/>
  <c r="DE292" i="1"/>
  <c r="DF292" i="1"/>
  <c r="DE293" i="1"/>
  <c r="DF293" i="1"/>
  <c r="DE294" i="1"/>
  <c r="DF294" i="1"/>
  <c r="DE295" i="1"/>
  <c r="DF295" i="1"/>
  <c r="DE296" i="1"/>
  <c r="DF296" i="1"/>
  <c r="DE297" i="1"/>
  <c r="DF297" i="1"/>
  <c r="DE298" i="1"/>
  <c r="DF298" i="1"/>
  <c r="DE299" i="1"/>
  <c r="DF299" i="1"/>
  <c r="DE300" i="1"/>
  <c r="DF300" i="1"/>
  <c r="DE301" i="1"/>
  <c r="DF301" i="1"/>
  <c r="DE302" i="1"/>
  <c r="DF302" i="1"/>
  <c r="DE303" i="1"/>
  <c r="DF303" i="1"/>
  <c r="DE304" i="1"/>
  <c r="DF304" i="1"/>
  <c r="DE305" i="1"/>
  <c r="DF305" i="1"/>
  <c r="DE306" i="1"/>
  <c r="DF306" i="1"/>
  <c r="DE307" i="1"/>
  <c r="DF307" i="1"/>
  <c r="DE308" i="1"/>
  <c r="DF308" i="1"/>
  <c r="DE309" i="1"/>
  <c r="DF309" i="1"/>
  <c r="DE310" i="1"/>
  <c r="DF310" i="1"/>
  <c r="DE311" i="1"/>
  <c r="DF311" i="1"/>
  <c r="DE312" i="1"/>
  <c r="DF312" i="1"/>
  <c r="DE313" i="1"/>
  <c r="DF313" i="1"/>
  <c r="DE314" i="1"/>
  <c r="DF314" i="1"/>
  <c r="DE315" i="1"/>
  <c r="DF315" i="1"/>
  <c r="DE316" i="1"/>
  <c r="DF316" i="1"/>
  <c r="DE317" i="1"/>
  <c r="DF317" i="1"/>
  <c r="DE318" i="1"/>
  <c r="DF318" i="1"/>
  <c r="DE319" i="1"/>
  <c r="DF319" i="1"/>
  <c r="DE320" i="1"/>
  <c r="DF320" i="1"/>
  <c r="DE321" i="1"/>
  <c r="DF321" i="1"/>
  <c r="DE322" i="1"/>
  <c r="DF322" i="1"/>
  <c r="DE323" i="1"/>
  <c r="DF323" i="1"/>
  <c r="DE324" i="1"/>
  <c r="DF324" i="1"/>
  <c r="DE325" i="1"/>
  <c r="DF325" i="1"/>
  <c r="DE326" i="1"/>
  <c r="DF326" i="1"/>
  <c r="DE327" i="1"/>
  <c r="DF327" i="1"/>
  <c r="DE328" i="1"/>
  <c r="DF328" i="1"/>
  <c r="DE329" i="1"/>
  <c r="DF329" i="1"/>
  <c r="DE330" i="1"/>
  <c r="DF330" i="1"/>
  <c r="DE331" i="1"/>
  <c r="DF331" i="1"/>
  <c r="DE332" i="1"/>
  <c r="DF332" i="1"/>
  <c r="DE333" i="1"/>
  <c r="DF333" i="1"/>
  <c r="DE334" i="1"/>
  <c r="DF334" i="1"/>
  <c r="DE335" i="1"/>
  <c r="DF335" i="1"/>
  <c r="DE336" i="1"/>
  <c r="DF336" i="1"/>
  <c r="DE337" i="1"/>
  <c r="DF337" i="1"/>
  <c r="DE338" i="1"/>
  <c r="DF338" i="1"/>
  <c r="DE339" i="1"/>
  <c r="DF339" i="1"/>
  <c r="DE340" i="1"/>
  <c r="DF340" i="1"/>
  <c r="DE341" i="1"/>
  <c r="DF341" i="1"/>
  <c r="DE342" i="1"/>
  <c r="DF342" i="1"/>
  <c r="DE343" i="1"/>
  <c r="DF343" i="1"/>
  <c r="DE344" i="1"/>
  <c r="DF344" i="1"/>
  <c r="DE345" i="1"/>
  <c r="DF345" i="1"/>
  <c r="DE346" i="1"/>
  <c r="DF346" i="1"/>
  <c r="DE347" i="1"/>
  <c r="DF347" i="1"/>
  <c r="DE348" i="1"/>
  <c r="DF348" i="1"/>
  <c r="DE349" i="1"/>
  <c r="DF349" i="1"/>
  <c r="DE350" i="1"/>
  <c r="DF350" i="1"/>
  <c r="DE351" i="1"/>
  <c r="DF351" i="1"/>
  <c r="DE352" i="1"/>
  <c r="DF352" i="1"/>
  <c r="DE353" i="1"/>
  <c r="DF353" i="1"/>
  <c r="DE354" i="1"/>
  <c r="DF354" i="1"/>
  <c r="DE355" i="1"/>
  <c r="DF355" i="1"/>
  <c r="DE356" i="1"/>
  <c r="DF356" i="1"/>
  <c r="DE357" i="1"/>
  <c r="DF357" i="1"/>
  <c r="DE358" i="1"/>
  <c r="DF358" i="1"/>
  <c r="DE359" i="1"/>
  <c r="DF359" i="1"/>
  <c r="DE360" i="1"/>
  <c r="DF360" i="1"/>
  <c r="DE361" i="1"/>
  <c r="DF361" i="1"/>
  <c r="DE362" i="1"/>
  <c r="DF362" i="1"/>
  <c r="DE363" i="1"/>
  <c r="DF363" i="1"/>
  <c r="DE364" i="1"/>
  <c r="DF364" i="1"/>
  <c r="DE365" i="1"/>
  <c r="DF365" i="1"/>
  <c r="DE366" i="1"/>
  <c r="DF366" i="1"/>
  <c r="DE367" i="1"/>
  <c r="DF367" i="1"/>
  <c r="DE368" i="1"/>
  <c r="DF368" i="1"/>
  <c r="DE369" i="1"/>
  <c r="DF369" i="1"/>
  <c r="DE370" i="1"/>
  <c r="DF370" i="1"/>
  <c r="DE371" i="1"/>
  <c r="DF371" i="1"/>
  <c r="DE372" i="1"/>
  <c r="DF372" i="1"/>
  <c r="DE373" i="1"/>
  <c r="DF373" i="1"/>
  <c r="DE374" i="1"/>
  <c r="DF374" i="1"/>
  <c r="DE375" i="1"/>
  <c r="DF375" i="1"/>
  <c r="DE376" i="1"/>
  <c r="DF376" i="1"/>
  <c r="DE377" i="1"/>
  <c r="DF377" i="1"/>
  <c r="DE378" i="1"/>
  <c r="DF378" i="1"/>
  <c r="DE379" i="1"/>
  <c r="DF379" i="1"/>
  <c r="DE380" i="1"/>
  <c r="DF380" i="1"/>
  <c r="DE381" i="1"/>
  <c r="DF381" i="1"/>
  <c r="DE382" i="1"/>
  <c r="DF382" i="1"/>
  <c r="DE383" i="1"/>
  <c r="DF383" i="1"/>
  <c r="DE384" i="1"/>
  <c r="DF384" i="1"/>
  <c r="DE385" i="1"/>
  <c r="DF385" i="1"/>
  <c r="DE386" i="1"/>
  <c r="DF386" i="1"/>
  <c r="DE387" i="1"/>
  <c r="DF387" i="1"/>
  <c r="DE388" i="1"/>
  <c r="DF388" i="1"/>
  <c r="DE389" i="1"/>
  <c r="DF389" i="1"/>
  <c r="DE390" i="1"/>
  <c r="DF390" i="1"/>
  <c r="DE391" i="1"/>
  <c r="DF391" i="1"/>
  <c r="DE392" i="1"/>
  <c r="DF392" i="1"/>
  <c r="DE393" i="1"/>
  <c r="DF393" i="1"/>
  <c r="DE394" i="1"/>
  <c r="DF394" i="1"/>
  <c r="DE395" i="1"/>
  <c r="DF395" i="1"/>
  <c r="DE396" i="1"/>
  <c r="DF396" i="1"/>
  <c r="DE397" i="1"/>
  <c r="DF397" i="1"/>
  <c r="DE398" i="1"/>
  <c r="DF398" i="1"/>
  <c r="DE399" i="1"/>
  <c r="DF399" i="1"/>
  <c r="DE400" i="1"/>
  <c r="DF400" i="1"/>
  <c r="DE401" i="1"/>
  <c r="DF401" i="1"/>
  <c r="DE402" i="1"/>
  <c r="DF402" i="1"/>
  <c r="DE403" i="1"/>
  <c r="DF403" i="1"/>
  <c r="DD10" i="1"/>
  <c r="DE10" i="1"/>
  <c r="DF10" i="1"/>
  <c r="DD11" i="1"/>
  <c r="DE11" i="1"/>
  <c r="DF11" i="1"/>
  <c r="DD12" i="1"/>
  <c r="DE12" i="1"/>
  <c r="DF12" i="1"/>
  <c r="DD13" i="1"/>
  <c r="DE13" i="1"/>
  <c r="DF13" i="1"/>
  <c r="DD14" i="1"/>
  <c r="DE14" i="1"/>
  <c r="DF14" i="1"/>
  <c r="DD15" i="1"/>
  <c r="DE15" i="1"/>
  <c r="DF15" i="1"/>
  <c r="DD16" i="1"/>
  <c r="DE16" i="1"/>
  <c r="DF16" i="1"/>
  <c r="DD17" i="1"/>
  <c r="DE17" i="1"/>
  <c r="DF17" i="1"/>
  <c r="DD18" i="1"/>
  <c r="DE18" i="1"/>
  <c r="DF18" i="1"/>
  <c r="DD19" i="1"/>
  <c r="DE19" i="1"/>
  <c r="DF19" i="1"/>
  <c r="DD20" i="1"/>
  <c r="DE20" i="1"/>
  <c r="DF20" i="1"/>
  <c r="DD21" i="1"/>
  <c r="DE21" i="1"/>
  <c r="DF21" i="1"/>
  <c r="DD22" i="1"/>
  <c r="DE22" i="1"/>
  <c r="DF22" i="1"/>
  <c r="DD23" i="1"/>
  <c r="DE23" i="1"/>
  <c r="DF23" i="1"/>
  <c r="DD24" i="1"/>
  <c r="DE24" i="1"/>
  <c r="DF24" i="1"/>
  <c r="DD25" i="1"/>
  <c r="DE25" i="1"/>
  <c r="DF25" i="1"/>
  <c r="DD26" i="1"/>
  <c r="DE26" i="1"/>
  <c r="DF26" i="1"/>
  <c r="DD27" i="1"/>
  <c r="DE27" i="1"/>
  <c r="DF27" i="1"/>
  <c r="DD28" i="1"/>
  <c r="DE28" i="1"/>
  <c r="DF28" i="1"/>
  <c r="DD29" i="1"/>
  <c r="DE29" i="1"/>
  <c r="DF29" i="1"/>
  <c r="DD30" i="1"/>
  <c r="DE30" i="1"/>
  <c r="DF30" i="1"/>
  <c r="DD31" i="1"/>
  <c r="DE31" i="1"/>
  <c r="DF31" i="1"/>
  <c r="DD32" i="1"/>
  <c r="DE32" i="1"/>
  <c r="DF32" i="1"/>
  <c r="DD33" i="1"/>
  <c r="DE33" i="1"/>
  <c r="DF33" i="1"/>
  <c r="DD34" i="1"/>
  <c r="DE34" i="1"/>
  <c r="DF34" i="1"/>
  <c r="DD35" i="1"/>
  <c r="DE35" i="1"/>
  <c r="DF35" i="1"/>
  <c r="DD36" i="1"/>
  <c r="DE36" i="1"/>
  <c r="DF36" i="1"/>
  <c r="DD37" i="1"/>
  <c r="DE37" i="1"/>
  <c r="DF37" i="1"/>
  <c r="DD38" i="1"/>
  <c r="DE38" i="1"/>
  <c r="DF38" i="1"/>
  <c r="DD39" i="1"/>
  <c r="DE39" i="1"/>
  <c r="DF39" i="1"/>
  <c r="DD40" i="1"/>
  <c r="DE40" i="1"/>
  <c r="DF40" i="1"/>
  <c r="DD41" i="1"/>
  <c r="DE41" i="1"/>
  <c r="DF41" i="1"/>
  <c r="DD42" i="1"/>
  <c r="DE42" i="1"/>
  <c r="DF42" i="1"/>
  <c r="DD43" i="1"/>
  <c r="DE43" i="1"/>
  <c r="DF43" i="1"/>
  <c r="DD44" i="1"/>
  <c r="DE44" i="1"/>
  <c r="DF44" i="1"/>
  <c r="DD45" i="1"/>
  <c r="DE45" i="1"/>
  <c r="DF45" i="1"/>
  <c r="DD46" i="1"/>
  <c r="DE46" i="1"/>
  <c r="DF46" i="1"/>
  <c r="DD47" i="1"/>
  <c r="DE47" i="1"/>
  <c r="DF47" i="1"/>
  <c r="DD48" i="1"/>
  <c r="DE48" i="1"/>
  <c r="DF48" i="1"/>
  <c r="DD49" i="1"/>
  <c r="DE49" i="1"/>
  <c r="DF49" i="1"/>
  <c r="DD50" i="1"/>
  <c r="DE50" i="1"/>
  <c r="DF50" i="1"/>
  <c r="DD51" i="1"/>
  <c r="DE51" i="1"/>
  <c r="DF51" i="1"/>
  <c r="DD52" i="1"/>
  <c r="DE52" i="1"/>
  <c r="DF52" i="1"/>
  <c r="DD53" i="1"/>
  <c r="DE53" i="1"/>
  <c r="DF53" i="1"/>
  <c r="DD54" i="1"/>
  <c r="DE54" i="1"/>
  <c r="DF54" i="1"/>
  <c r="DD55" i="1"/>
  <c r="DE55" i="1"/>
  <c r="DF55" i="1"/>
  <c r="DD56" i="1"/>
  <c r="DE56" i="1"/>
  <c r="DF56" i="1"/>
  <c r="DD57" i="1"/>
  <c r="DE57" i="1"/>
  <c r="DF57" i="1"/>
  <c r="DD58" i="1"/>
  <c r="DE58" i="1"/>
  <c r="DF58" i="1"/>
  <c r="DD59" i="1"/>
  <c r="DE59" i="1"/>
  <c r="DF59" i="1"/>
  <c r="DD60" i="1"/>
  <c r="DE60" i="1"/>
  <c r="DF60" i="1"/>
  <c r="DD61" i="1"/>
  <c r="DE61" i="1"/>
  <c r="DF61" i="1"/>
  <c r="DD62" i="1"/>
  <c r="DE62" i="1"/>
  <c r="DF62" i="1"/>
  <c r="DD63" i="1"/>
  <c r="DE63" i="1"/>
  <c r="DF63" i="1"/>
  <c r="DD64" i="1"/>
  <c r="DE64" i="1"/>
  <c r="DF64" i="1"/>
  <c r="DD65" i="1"/>
  <c r="DE65" i="1"/>
  <c r="DF65" i="1"/>
  <c r="DD66" i="1"/>
  <c r="DE66" i="1"/>
  <c r="DF66" i="1"/>
  <c r="DD67" i="1"/>
  <c r="DE67" i="1"/>
  <c r="DF67" i="1"/>
  <c r="DD68" i="1"/>
  <c r="DE68" i="1"/>
  <c r="DF68" i="1"/>
  <c r="DD69" i="1"/>
  <c r="DE69" i="1"/>
  <c r="DF69" i="1"/>
  <c r="DD70" i="1"/>
  <c r="DE70" i="1"/>
  <c r="DF70" i="1"/>
  <c r="DD71" i="1"/>
  <c r="DE71" i="1"/>
  <c r="DF71" i="1"/>
  <c r="DD72" i="1"/>
  <c r="DE72" i="1"/>
  <c r="DF72" i="1"/>
  <c r="DD73" i="1"/>
  <c r="DE73" i="1"/>
  <c r="DF73" i="1"/>
  <c r="DD74" i="1"/>
  <c r="DE74" i="1"/>
  <c r="DF74" i="1"/>
  <c r="DD75" i="1"/>
  <c r="DE75" i="1"/>
  <c r="DF75" i="1"/>
  <c r="DD76" i="1"/>
  <c r="DE76" i="1"/>
  <c r="DF76" i="1"/>
  <c r="DD77" i="1"/>
  <c r="DE77" i="1"/>
  <c r="DF77" i="1"/>
  <c r="DD78" i="1"/>
  <c r="DE78" i="1"/>
  <c r="DF78" i="1"/>
  <c r="DD79" i="1"/>
  <c r="DE79" i="1"/>
  <c r="DF79" i="1"/>
  <c r="DD80" i="1"/>
  <c r="DE80" i="1"/>
  <c r="DF80" i="1"/>
  <c r="DD81" i="1"/>
  <c r="DE81" i="1"/>
  <c r="DF81" i="1"/>
  <c r="DD82" i="1"/>
  <c r="DE82" i="1"/>
  <c r="DF82" i="1"/>
  <c r="DD83" i="1"/>
  <c r="DE83" i="1"/>
  <c r="DF83" i="1"/>
  <c r="DD84" i="1"/>
  <c r="DE84" i="1"/>
  <c r="DF84" i="1"/>
  <c r="DD85" i="1"/>
  <c r="DE85" i="1"/>
  <c r="DF85" i="1"/>
  <c r="DD86" i="1"/>
  <c r="DE86" i="1"/>
  <c r="DF86" i="1"/>
  <c r="DD87" i="1"/>
  <c r="DE87" i="1"/>
  <c r="DF87" i="1"/>
  <c r="DD88" i="1"/>
  <c r="DE88" i="1"/>
  <c r="DF88" i="1"/>
  <c r="DD89" i="1"/>
  <c r="DE89" i="1"/>
  <c r="DF89" i="1"/>
  <c r="DD90" i="1"/>
  <c r="DE90" i="1"/>
  <c r="DF90" i="1"/>
  <c r="DD91" i="1"/>
  <c r="DE91" i="1"/>
  <c r="DF91" i="1"/>
  <c r="DD92" i="1"/>
  <c r="DE92" i="1"/>
  <c r="DF92" i="1"/>
  <c r="DD93" i="1"/>
  <c r="DE93" i="1"/>
  <c r="DF93" i="1"/>
  <c r="DD94" i="1"/>
  <c r="DE94" i="1"/>
  <c r="DF94" i="1"/>
  <c r="DD95" i="1"/>
  <c r="DE95" i="1"/>
  <c r="DF95" i="1"/>
  <c r="DD96" i="1"/>
  <c r="DE96" i="1"/>
  <c r="DF96" i="1"/>
  <c r="DD97" i="1"/>
  <c r="DE97" i="1"/>
  <c r="DF97" i="1"/>
  <c r="DD98" i="1"/>
  <c r="DE98" i="1"/>
  <c r="DF98" i="1"/>
  <c r="DD99" i="1"/>
  <c r="DE99" i="1"/>
  <c r="DF99" i="1"/>
  <c r="DD100" i="1"/>
  <c r="DE100" i="1"/>
  <c r="DF100" i="1"/>
  <c r="DD101" i="1"/>
  <c r="DE101" i="1"/>
  <c r="DF101" i="1"/>
  <c r="DD102" i="1"/>
  <c r="DE102" i="1"/>
  <c r="DF102" i="1"/>
  <c r="DD103" i="1"/>
  <c r="DE103" i="1"/>
  <c r="DF103" i="1"/>
  <c r="DD104" i="1"/>
  <c r="DE104" i="1"/>
  <c r="DF104" i="1"/>
  <c r="DD105" i="1"/>
  <c r="DE105" i="1"/>
  <c r="DF105" i="1"/>
  <c r="DD106" i="1"/>
  <c r="DE106" i="1"/>
  <c r="DF106" i="1"/>
  <c r="DD107" i="1"/>
  <c r="DE107" i="1"/>
  <c r="DF107" i="1"/>
  <c r="DD108" i="1"/>
  <c r="DE108" i="1"/>
  <c r="DF108" i="1"/>
  <c r="DD109" i="1"/>
  <c r="DE109" i="1"/>
  <c r="DF109" i="1"/>
  <c r="DD110" i="1"/>
  <c r="DE110" i="1"/>
  <c r="DF110" i="1"/>
  <c r="DD111" i="1"/>
  <c r="DE111" i="1"/>
  <c r="DF111" i="1"/>
  <c r="DD112" i="1"/>
  <c r="DE112" i="1"/>
  <c r="DF112" i="1"/>
  <c r="DD113" i="1"/>
  <c r="DE113" i="1"/>
  <c r="DF113" i="1"/>
  <c r="DD114" i="1"/>
  <c r="DE114" i="1"/>
  <c r="DF114" i="1"/>
  <c r="DD115" i="1"/>
  <c r="DE115" i="1"/>
  <c r="DF115" i="1"/>
  <c r="DD116" i="1"/>
  <c r="DE116" i="1"/>
  <c r="DF116" i="1"/>
  <c r="DD117" i="1"/>
  <c r="DE117" i="1"/>
  <c r="DF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E9" i="1"/>
  <c r="DF9" i="1"/>
  <c r="DD9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371" i="1"/>
  <c r="DC372" i="1"/>
  <c r="DC373" i="1"/>
  <c r="DC374" i="1"/>
  <c r="DC375" i="1"/>
  <c r="DC376" i="1"/>
  <c r="DC377" i="1"/>
  <c r="DC378" i="1"/>
  <c r="DC379" i="1"/>
  <c r="DC380" i="1"/>
  <c r="DC381" i="1"/>
  <c r="DC382" i="1"/>
  <c r="DC383" i="1"/>
  <c r="DC384" i="1"/>
  <c r="DC385" i="1"/>
  <c r="DC386" i="1"/>
  <c r="DC387" i="1"/>
  <c r="DC388" i="1"/>
  <c r="DC389" i="1"/>
  <c r="DC390" i="1"/>
  <c r="DC391" i="1"/>
  <c r="DC392" i="1"/>
  <c r="DC393" i="1"/>
  <c r="DC394" i="1"/>
  <c r="DC395" i="1"/>
  <c r="DC396" i="1"/>
  <c r="DC397" i="1"/>
  <c r="DC398" i="1"/>
  <c r="DC399" i="1"/>
  <c r="DC400" i="1"/>
  <c r="DC401" i="1"/>
  <c r="DC402" i="1"/>
  <c r="DC403" i="1"/>
  <c r="DC9" i="1"/>
  <c r="DF407" i="1" l="1"/>
  <c r="DF409" i="1"/>
  <c r="DF408" i="1"/>
  <c r="DF404" i="1"/>
  <c r="D49" i="12" s="1"/>
  <c r="C67" i="3"/>
  <c r="D67" i="3"/>
  <c r="DF410" i="1" l="1"/>
  <c r="CV422" i="1" l="1"/>
  <c r="D398" i="25" l="1"/>
  <c r="C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385" i="25"/>
  <c r="E384" i="25"/>
  <c r="E383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398" i="25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J55" i="5"/>
  <c r="I55" i="5"/>
  <c r="G34" i="5"/>
  <c r="F34" i="5"/>
  <c r="G7" i="5"/>
  <c r="G8" i="5"/>
  <c r="G9" i="5"/>
  <c r="G10" i="5"/>
  <c r="G11" i="5"/>
  <c r="G12" i="5"/>
  <c r="G13" i="5"/>
  <c r="G14" i="5"/>
  <c r="G15" i="5"/>
  <c r="G16" i="5"/>
  <c r="G17" i="5"/>
  <c r="G18" i="5"/>
  <c r="H18" i="5" s="1"/>
  <c r="G19" i="5"/>
  <c r="G20" i="5"/>
  <c r="G21" i="5"/>
  <c r="G22" i="5"/>
  <c r="G23" i="5"/>
  <c r="G24" i="5"/>
  <c r="G25" i="5"/>
  <c r="G26" i="5"/>
  <c r="H26" i="5" s="1"/>
  <c r="G27" i="5"/>
  <c r="G28" i="5"/>
  <c r="G29" i="5"/>
  <c r="G30" i="5"/>
  <c r="G31" i="5"/>
  <c r="G32" i="5"/>
  <c r="F8" i="5"/>
  <c r="F9" i="5"/>
  <c r="H9" i="5" s="1"/>
  <c r="F10" i="5"/>
  <c r="F11" i="5"/>
  <c r="F12" i="5"/>
  <c r="F13" i="5"/>
  <c r="H13" i="5" s="1"/>
  <c r="F14" i="5"/>
  <c r="F15" i="5"/>
  <c r="F16" i="5"/>
  <c r="F17" i="5"/>
  <c r="H17" i="5" s="1"/>
  <c r="F18" i="5"/>
  <c r="F19" i="5"/>
  <c r="F20" i="5"/>
  <c r="F21" i="5"/>
  <c r="H21" i="5" s="1"/>
  <c r="F22" i="5"/>
  <c r="F23" i="5"/>
  <c r="F24" i="5"/>
  <c r="F25" i="5"/>
  <c r="H25" i="5" s="1"/>
  <c r="F26" i="5"/>
  <c r="F27" i="5"/>
  <c r="H27" i="5" s="1"/>
  <c r="F28" i="5"/>
  <c r="F29" i="5"/>
  <c r="H29" i="5" s="1"/>
  <c r="F30" i="5"/>
  <c r="F31" i="5"/>
  <c r="F32" i="5"/>
  <c r="F7" i="5"/>
  <c r="D34" i="5"/>
  <c r="C34" i="5"/>
  <c r="D7" i="5"/>
  <c r="D8" i="5"/>
  <c r="D9" i="5"/>
  <c r="D10" i="5"/>
  <c r="D11" i="5"/>
  <c r="D12" i="5"/>
  <c r="E12" i="5" s="1"/>
  <c r="D13" i="5"/>
  <c r="D14" i="5"/>
  <c r="D15" i="5"/>
  <c r="D16" i="5"/>
  <c r="D17" i="5"/>
  <c r="D18" i="5"/>
  <c r="D19" i="5"/>
  <c r="J19" i="5" s="1"/>
  <c r="D20" i="5"/>
  <c r="D21" i="5"/>
  <c r="D22" i="5"/>
  <c r="D23" i="5"/>
  <c r="D24" i="5"/>
  <c r="D25" i="5"/>
  <c r="D26" i="5"/>
  <c r="D27" i="5"/>
  <c r="D28" i="5"/>
  <c r="E28" i="5" s="1"/>
  <c r="D29" i="5"/>
  <c r="D30" i="5"/>
  <c r="D31" i="5"/>
  <c r="D32" i="5"/>
  <c r="C8" i="5"/>
  <c r="C9" i="5"/>
  <c r="C10" i="5"/>
  <c r="C11" i="5"/>
  <c r="E11" i="5" s="1"/>
  <c r="C12" i="5"/>
  <c r="C13" i="5"/>
  <c r="C14" i="5"/>
  <c r="C15" i="5"/>
  <c r="E15" i="5" s="1"/>
  <c r="C16" i="5"/>
  <c r="C17" i="5"/>
  <c r="C18" i="5"/>
  <c r="C19" i="5"/>
  <c r="E19" i="5" s="1"/>
  <c r="C20" i="5"/>
  <c r="C21" i="5"/>
  <c r="C22" i="5"/>
  <c r="C23" i="5"/>
  <c r="E23" i="5" s="1"/>
  <c r="C24" i="5"/>
  <c r="C25" i="5"/>
  <c r="C26" i="5"/>
  <c r="C27" i="5"/>
  <c r="E27" i="5" s="1"/>
  <c r="C28" i="5"/>
  <c r="C29" i="5"/>
  <c r="C30" i="5"/>
  <c r="I30" i="5" s="1"/>
  <c r="C31" i="5"/>
  <c r="E31" i="5" s="1"/>
  <c r="C32" i="5"/>
  <c r="C7" i="5"/>
  <c r="K413" i="4"/>
  <c r="N413" i="4"/>
  <c r="Q413" i="4"/>
  <c r="T413" i="4"/>
  <c r="AG413" i="4"/>
  <c r="AJ413" i="4"/>
  <c r="AM413" i="4"/>
  <c r="AP413" i="4"/>
  <c r="AS413" i="4"/>
  <c r="AV413" i="4"/>
  <c r="AY413" i="4"/>
  <c r="DJ168" i="1"/>
  <c r="DK168" i="1" s="1"/>
  <c r="DL168" i="1"/>
  <c r="DJ256" i="1"/>
  <c r="DK256" i="1" s="1"/>
  <c r="DL256" i="1"/>
  <c r="G10" i="1"/>
  <c r="G11" i="1"/>
  <c r="G14" i="1"/>
  <c r="G15" i="1"/>
  <c r="G16" i="1"/>
  <c r="G17" i="1"/>
  <c r="G19" i="1"/>
  <c r="G20" i="1"/>
  <c r="G21" i="1"/>
  <c r="G22" i="1"/>
  <c r="G23" i="1"/>
  <c r="G24" i="1"/>
  <c r="G25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1" i="1"/>
  <c r="G72" i="1"/>
  <c r="G73" i="1"/>
  <c r="G74" i="1"/>
  <c r="G75" i="1"/>
  <c r="G76" i="1"/>
  <c r="G77" i="1"/>
  <c r="G79" i="1"/>
  <c r="G80" i="1"/>
  <c r="G81" i="1"/>
  <c r="G83" i="1"/>
  <c r="G85" i="1"/>
  <c r="G87" i="1"/>
  <c r="G88" i="1"/>
  <c r="G89" i="1"/>
  <c r="G90" i="1"/>
  <c r="G91" i="1"/>
  <c r="G92" i="1"/>
  <c r="G93" i="1"/>
  <c r="G94" i="1"/>
  <c r="G95" i="1"/>
  <c r="G96" i="1"/>
  <c r="G97" i="1"/>
  <c r="G98" i="1"/>
  <c r="G103" i="1"/>
  <c r="G105" i="1"/>
  <c r="G106" i="1"/>
  <c r="G107" i="1"/>
  <c r="G109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50" i="1"/>
  <c r="G151" i="1"/>
  <c r="G152" i="1"/>
  <c r="G153" i="1"/>
  <c r="G155" i="1"/>
  <c r="G156" i="1"/>
  <c r="G157" i="1"/>
  <c r="G158" i="1"/>
  <c r="G160" i="1"/>
  <c r="G161" i="1"/>
  <c r="G162" i="1"/>
  <c r="G163" i="1"/>
  <c r="G164" i="1"/>
  <c r="G165" i="1"/>
  <c r="G166" i="1"/>
  <c r="G167" i="1"/>
  <c r="G168" i="1"/>
  <c r="G170" i="1"/>
  <c r="G172" i="1"/>
  <c r="G179" i="1"/>
  <c r="G180" i="1"/>
  <c r="G183" i="1"/>
  <c r="G184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10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6" i="1"/>
  <c r="G228" i="1"/>
  <c r="G234" i="1"/>
  <c r="G238" i="1"/>
  <c r="G239" i="1"/>
  <c r="G241" i="1"/>
  <c r="G242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6" i="1"/>
  <c r="G307" i="1"/>
  <c r="G308" i="1"/>
  <c r="G310" i="1"/>
  <c r="G311" i="1"/>
  <c r="G312" i="1"/>
  <c r="G313" i="1"/>
  <c r="G314" i="1"/>
  <c r="G315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61" i="1"/>
  <c r="G364" i="1"/>
  <c r="G367" i="1"/>
  <c r="G368" i="1"/>
  <c r="G369" i="1"/>
  <c r="G371" i="1"/>
  <c r="G372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400" i="1"/>
  <c r="G401" i="1"/>
  <c r="G402" i="1"/>
  <c r="G403" i="1"/>
  <c r="G9" i="1"/>
  <c r="B407" i="24"/>
  <c r="M5" i="24"/>
  <c r="I3" i="24"/>
  <c r="D402" i="21"/>
  <c r="DG413" i="1"/>
  <c r="DG9" i="1"/>
  <c r="J3" i="4"/>
  <c r="C48" i="12"/>
  <c r="D5" i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K5" i="1" s="1"/>
  <c r="AL5" i="1" s="1"/>
  <c r="AM5" i="1" s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BA5" i="1" s="1"/>
  <c r="BB5" i="1" s="1"/>
  <c r="BC5" i="1" s="1"/>
  <c r="BD5" i="1" s="1"/>
  <c r="BE5" i="1" s="1"/>
  <c r="BF5" i="1" s="1"/>
  <c r="BG5" i="1" s="1"/>
  <c r="BH5" i="1" s="1"/>
  <c r="BI5" i="1" s="1"/>
  <c r="BJ5" i="1" s="1"/>
  <c r="BK5" i="1" s="1"/>
  <c r="BL5" i="1" s="1"/>
  <c r="BM5" i="1" s="1"/>
  <c r="BN5" i="1" s="1"/>
  <c r="BO5" i="1" s="1"/>
  <c r="BP5" i="1" s="1"/>
  <c r="BQ5" i="1" s="1"/>
  <c r="BR5" i="1" s="1"/>
  <c r="BS5" i="1" s="1"/>
  <c r="BT5" i="1" s="1"/>
  <c r="BU5" i="1" s="1"/>
  <c r="BV5" i="1" s="1"/>
  <c r="BW5" i="1" s="1"/>
  <c r="BX5" i="1" s="1"/>
  <c r="BY5" i="1" s="1"/>
  <c r="BZ5" i="1" s="1"/>
  <c r="CA5" i="1" s="1"/>
  <c r="CB5" i="1" s="1"/>
  <c r="CC5" i="1" s="1"/>
  <c r="CD5" i="1" s="1"/>
  <c r="CE5" i="1" s="1"/>
  <c r="CF5" i="1" s="1"/>
  <c r="CG5" i="1" s="1"/>
  <c r="CH5" i="1" s="1"/>
  <c r="CI5" i="1" s="1"/>
  <c r="CJ5" i="1" s="1"/>
  <c r="CK5" i="1" s="1"/>
  <c r="CL5" i="1" s="1"/>
  <c r="CM5" i="1" s="1"/>
  <c r="CN5" i="1" s="1"/>
  <c r="CO5" i="1" s="1"/>
  <c r="CP5" i="1" s="1"/>
  <c r="CQ5" i="1" s="1"/>
  <c r="CR5" i="1" s="1"/>
  <c r="CS5" i="1" s="1"/>
  <c r="CT5" i="1" s="1"/>
  <c r="CU5" i="1" s="1"/>
  <c r="CV5" i="1" s="1"/>
  <c r="CW5" i="1" s="1"/>
  <c r="CX5" i="1" s="1"/>
  <c r="CY5" i="1" s="1"/>
  <c r="CZ5" i="1" s="1"/>
  <c r="DA5" i="1" s="1"/>
  <c r="DB5" i="1" s="1"/>
  <c r="DC5" i="1" s="1"/>
  <c r="DD5" i="1" s="1"/>
  <c r="DE5" i="1" s="1"/>
  <c r="DF5" i="1" s="1"/>
  <c r="DG5" i="1" s="1"/>
  <c r="DH5" i="1" s="1"/>
  <c r="DI5" i="1" s="1"/>
  <c r="DJ5" i="1" s="1"/>
  <c r="DK5" i="1" s="1"/>
  <c r="DL5" i="1" s="1"/>
  <c r="DM5" i="1" s="1"/>
  <c r="DN5" i="1" s="1"/>
  <c r="DO5" i="1" s="1"/>
  <c r="DP5" i="1" s="1"/>
  <c r="DQ5" i="1" s="1"/>
  <c r="DR5" i="1" s="1"/>
  <c r="DS5" i="1" s="1"/>
  <c r="DT5" i="1" s="1"/>
  <c r="DU5" i="1" s="1"/>
  <c r="DV5" i="1" s="1"/>
  <c r="DW5" i="1" s="1"/>
  <c r="DX5" i="1" s="1"/>
  <c r="DY5" i="1" s="1"/>
  <c r="DZ5" i="1" s="1"/>
  <c r="F3" i="5"/>
  <c r="C3" i="13"/>
  <c r="E3" i="12"/>
  <c r="H3" i="1"/>
  <c r="E3" i="3"/>
  <c r="D5" i="3" s="1"/>
  <c r="O40" i="3"/>
  <c r="O31" i="3"/>
  <c r="O21" i="3"/>
  <c r="L40" i="3"/>
  <c r="L31" i="3"/>
  <c r="L21" i="3"/>
  <c r="I40" i="3"/>
  <c r="I31" i="3"/>
  <c r="I21" i="3"/>
  <c r="D1" i="13"/>
  <c r="E40" i="12"/>
  <c r="F31" i="12"/>
  <c r="E31" i="12"/>
  <c r="E21" i="12"/>
  <c r="J17" i="5"/>
  <c r="J23" i="5"/>
  <c r="J25" i="5"/>
  <c r="I8" i="5"/>
  <c r="I14" i="5"/>
  <c r="I18" i="5"/>
  <c r="E21" i="3"/>
  <c r="E31" i="3"/>
  <c r="E40" i="3"/>
  <c r="J15" i="5"/>
  <c r="CA420" i="1"/>
  <c r="I7" i="5" l="1"/>
  <c r="H10" i="5"/>
  <c r="H34" i="5"/>
  <c r="I32" i="5"/>
  <c r="I28" i="5"/>
  <c r="I12" i="5"/>
  <c r="J29" i="5"/>
  <c r="J21" i="5"/>
  <c r="J13" i="5"/>
  <c r="J9" i="5"/>
  <c r="J34" i="5"/>
  <c r="I29" i="5"/>
  <c r="I25" i="5"/>
  <c r="I21" i="5"/>
  <c r="E17" i="5"/>
  <c r="I13" i="5"/>
  <c r="I9" i="5"/>
  <c r="J14" i="5"/>
  <c r="K14" i="5" s="1"/>
  <c r="I34" i="5"/>
  <c r="K34" i="5" s="1"/>
  <c r="E8" i="5"/>
  <c r="H30" i="5"/>
  <c r="H22" i="5"/>
  <c r="H14" i="5"/>
  <c r="C33" i="5"/>
  <c r="C35" i="5" s="1"/>
  <c r="C50" i="12"/>
  <c r="C49" i="12"/>
  <c r="E30" i="5"/>
  <c r="E26" i="5"/>
  <c r="E22" i="5"/>
  <c r="E18" i="5"/>
  <c r="H32" i="5"/>
  <c r="H28" i="5"/>
  <c r="I31" i="5"/>
  <c r="I23" i="5"/>
  <c r="K23" i="5" s="1"/>
  <c r="I19" i="5"/>
  <c r="K19" i="5" s="1"/>
  <c r="I15" i="5"/>
  <c r="K15" i="5" s="1"/>
  <c r="I11" i="5"/>
  <c r="J24" i="5"/>
  <c r="J20" i="5"/>
  <c r="J16" i="5"/>
  <c r="H12" i="5"/>
  <c r="H8" i="5"/>
  <c r="I26" i="5"/>
  <c r="I10" i="5"/>
  <c r="J11" i="5"/>
  <c r="K11" i="5" s="1"/>
  <c r="J7" i="5"/>
  <c r="K7" i="5" s="1"/>
  <c r="H31" i="5"/>
  <c r="E32" i="5"/>
  <c r="J22" i="5"/>
  <c r="I22" i="5"/>
  <c r="J8" i="5"/>
  <c r="K8" i="5" s="1"/>
  <c r="E21" i="5"/>
  <c r="D33" i="5"/>
  <c r="D35" i="5" s="1"/>
  <c r="I27" i="5"/>
  <c r="E7" i="5"/>
  <c r="J28" i="5"/>
  <c r="J12" i="5"/>
  <c r="I17" i="5"/>
  <c r="K17" i="5" s="1"/>
  <c r="E10" i="5"/>
  <c r="H23" i="5"/>
  <c r="E14" i="5"/>
  <c r="H19" i="5"/>
  <c r="J32" i="5"/>
  <c r="J18" i="5"/>
  <c r="K18" i="5" s="1"/>
  <c r="J26" i="5"/>
  <c r="E25" i="5"/>
  <c r="E13" i="5"/>
  <c r="E9" i="5"/>
  <c r="H16" i="5"/>
  <c r="H20" i="5"/>
  <c r="H24" i="5"/>
  <c r="J30" i="5"/>
  <c r="K30" i="5" s="1"/>
  <c r="J10" i="5"/>
  <c r="E29" i="5"/>
  <c r="E34" i="5"/>
  <c r="J31" i="5"/>
  <c r="J27" i="5"/>
  <c r="H15" i="5"/>
  <c r="H11" i="5"/>
  <c r="V413" i="4"/>
  <c r="F33" i="5"/>
  <c r="F35" i="5" s="1"/>
  <c r="H7" i="5"/>
  <c r="E24" i="5"/>
  <c r="I24" i="5"/>
  <c r="E20" i="5"/>
  <c r="I20" i="5"/>
  <c r="E16" i="5"/>
  <c r="I16" i="5"/>
  <c r="K16" i="5" s="1"/>
  <c r="G33" i="5"/>
  <c r="K9" i="5"/>
  <c r="K25" i="5"/>
  <c r="Z413" i="4"/>
  <c r="K13" i="5"/>
  <c r="DG408" i="1"/>
  <c r="DG407" i="1"/>
  <c r="DG409" i="1"/>
  <c r="DG404" i="1"/>
  <c r="K29" i="5" l="1"/>
  <c r="K32" i="5"/>
  <c r="E35" i="5"/>
  <c r="K28" i="5"/>
  <c r="K12" i="5"/>
  <c r="K21" i="5"/>
  <c r="K26" i="5"/>
  <c r="K20" i="5"/>
  <c r="K24" i="5"/>
  <c r="K31" i="5"/>
  <c r="E33" i="5"/>
  <c r="K10" i="5"/>
  <c r="K22" i="5"/>
  <c r="K27" i="5"/>
  <c r="J33" i="5"/>
  <c r="J35" i="5" s="1"/>
  <c r="J47" i="5" s="1"/>
  <c r="I33" i="5"/>
  <c r="I35" i="5" s="1"/>
  <c r="I47" i="5" s="1"/>
  <c r="G35" i="5"/>
  <c r="H35" i="5" s="1"/>
  <c r="H33" i="5"/>
  <c r="DG410" i="1"/>
  <c r="CU422" i="1"/>
  <c r="K35" i="5" l="1"/>
  <c r="K33" i="5"/>
  <c r="K47" i="5"/>
  <c r="J36" i="5"/>
  <c r="DD408" i="1"/>
  <c r="DC407" i="1"/>
  <c r="DC408" i="1"/>
  <c r="DD409" i="1"/>
  <c r="DD407" i="1"/>
  <c r="DD404" i="1"/>
  <c r="DC409" i="1"/>
  <c r="DC404" i="1"/>
  <c r="DD410" i="1" l="1"/>
  <c r="DC410" i="1"/>
  <c r="H13" i="1" l="1"/>
  <c r="H14" i="1"/>
  <c r="H15" i="1"/>
  <c r="H17" i="1"/>
  <c r="H18" i="1"/>
  <c r="H19" i="1"/>
  <c r="H20" i="1"/>
  <c r="H22" i="1"/>
  <c r="H23" i="1"/>
  <c r="H25" i="1"/>
  <c r="H26" i="1"/>
  <c r="H27" i="1"/>
  <c r="H29" i="1"/>
  <c r="H30" i="1"/>
  <c r="H31" i="1"/>
  <c r="H33" i="1"/>
  <c r="H34" i="1"/>
  <c r="H35" i="1"/>
  <c r="H38" i="1"/>
  <c r="H39" i="1"/>
  <c r="H41" i="1"/>
  <c r="H42" i="1"/>
  <c r="H43" i="1"/>
  <c r="H45" i="1"/>
  <c r="H46" i="1"/>
  <c r="H47" i="1"/>
  <c r="H49" i="1"/>
  <c r="H50" i="1"/>
  <c r="H51" i="1"/>
  <c r="H54" i="1"/>
  <c r="H55" i="1"/>
  <c r="H57" i="1"/>
  <c r="H58" i="1"/>
  <c r="H59" i="1"/>
  <c r="H61" i="1"/>
  <c r="H62" i="1"/>
  <c r="H63" i="1"/>
  <c r="H65" i="1"/>
  <c r="H66" i="1"/>
  <c r="H67" i="1"/>
  <c r="H70" i="1"/>
  <c r="H71" i="1"/>
  <c r="H73" i="1"/>
  <c r="H74" i="1"/>
  <c r="H75" i="1"/>
  <c r="H77" i="1"/>
  <c r="H78" i="1"/>
  <c r="H79" i="1"/>
  <c r="H82" i="1"/>
  <c r="H83" i="1"/>
  <c r="H85" i="1"/>
  <c r="H86" i="1"/>
  <c r="H87" i="1"/>
  <c r="H89" i="1"/>
  <c r="H90" i="1"/>
  <c r="H91" i="1"/>
  <c r="H94" i="1"/>
  <c r="H95" i="1"/>
  <c r="H97" i="1"/>
  <c r="H98" i="1"/>
  <c r="H99" i="1"/>
  <c r="H101" i="1"/>
  <c r="H102" i="1"/>
  <c r="H103" i="1"/>
  <c r="H105" i="1"/>
  <c r="H106" i="1"/>
  <c r="H107" i="1"/>
  <c r="H109" i="1"/>
  <c r="H110" i="1"/>
  <c r="H111" i="1"/>
  <c r="H113" i="1"/>
  <c r="H114" i="1"/>
  <c r="H115" i="1"/>
  <c r="H118" i="1"/>
  <c r="H119" i="1"/>
  <c r="H121" i="1"/>
  <c r="H122" i="1"/>
  <c r="H123" i="1"/>
  <c r="H125" i="1"/>
  <c r="H126" i="1"/>
  <c r="H127" i="1"/>
  <c r="H129" i="1"/>
  <c r="H130" i="1"/>
  <c r="H131" i="1"/>
  <c r="H134" i="1"/>
  <c r="H135" i="1"/>
  <c r="H137" i="1"/>
  <c r="H138" i="1"/>
  <c r="H139" i="1"/>
  <c r="H141" i="1"/>
  <c r="H142" i="1"/>
  <c r="H143" i="1"/>
  <c r="H146" i="1"/>
  <c r="H147" i="1"/>
  <c r="H149" i="1"/>
  <c r="H150" i="1"/>
  <c r="H151" i="1"/>
  <c r="H153" i="1"/>
  <c r="H154" i="1"/>
  <c r="H155" i="1"/>
  <c r="H158" i="1"/>
  <c r="H159" i="1"/>
  <c r="H161" i="1"/>
  <c r="H162" i="1"/>
  <c r="H163" i="1"/>
  <c r="H165" i="1"/>
  <c r="H166" i="1"/>
  <c r="H167" i="1"/>
  <c r="H168" i="1"/>
  <c r="DN168" i="1" s="1"/>
  <c r="H169" i="1"/>
  <c r="H170" i="1"/>
  <c r="H171" i="1"/>
  <c r="H174" i="1"/>
  <c r="H175" i="1"/>
  <c r="H177" i="1"/>
  <c r="H178" i="1"/>
  <c r="H179" i="1"/>
  <c r="H181" i="1"/>
  <c r="H182" i="1"/>
  <c r="H183" i="1"/>
  <c r="H185" i="1"/>
  <c r="H186" i="1"/>
  <c r="H187" i="1"/>
  <c r="H190" i="1"/>
  <c r="H191" i="1"/>
  <c r="H193" i="1"/>
  <c r="H194" i="1"/>
  <c r="H195" i="1"/>
  <c r="H197" i="1"/>
  <c r="H198" i="1"/>
  <c r="H199" i="1"/>
  <c r="H201" i="1"/>
  <c r="H202" i="1"/>
  <c r="H203" i="1"/>
  <c r="H206" i="1"/>
  <c r="H207" i="1"/>
  <c r="H209" i="1"/>
  <c r="H210" i="1"/>
  <c r="H211" i="1"/>
  <c r="H213" i="1"/>
  <c r="H214" i="1"/>
  <c r="H215" i="1"/>
  <c r="H218" i="1"/>
  <c r="H219" i="1"/>
  <c r="H221" i="1"/>
  <c r="H222" i="1"/>
  <c r="H223" i="1"/>
  <c r="H225" i="1"/>
  <c r="H226" i="1"/>
  <c r="H227" i="1"/>
  <c r="H230" i="1"/>
  <c r="H231" i="1"/>
  <c r="H233" i="1"/>
  <c r="H234" i="1"/>
  <c r="H235" i="1"/>
  <c r="H237" i="1"/>
  <c r="H238" i="1"/>
  <c r="H239" i="1"/>
  <c r="H241" i="1"/>
  <c r="H242" i="1"/>
  <c r="H243" i="1"/>
  <c r="H245" i="1"/>
  <c r="H246" i="1"/>
  <c r="H247" i="1"/>
  <c r="H249" i="1"/>
  <c r="H250" i="1"/>
  <c r="H251" i="1"/>
  <c r="H253" i="1"/>
  <c r="H254" i="1"/>
  <c r="H255" i="1"/>
  <c r="H256" i="1"/>
  <c r="DN256" i="1" s="1"/>
  <c r="H257" i="1"/>
  <c r="H258" i="1"/>
  <c r="H259" i="1"/>
  <c r="H261" i="1"/>
  <c r="H262" i="1"/>
  <c r="H263" i="1"/>
  <c r="H266" i="1"/>
  <c r="H267" i="1"/>
  <c r="H269" i="1"/>
  <c r="H270" i="1"/>
  <c r="H271" i="1"/>
  <c r="H273" i="1"/>
  <c r="H274" i="1"/>
  <c r="H275" i="1"/>
  <c r="H277" i="1"/>
  <c r="H278" i="1"/>
  <c r="H279" i="1"/>
  <c r="H282" i="1"/>
  <c r="H283" i="1"/>
  <c r="H285" i="1"/>
  <c r="H286" i="1"/>
  <c r="H287" i="1"/>
  <c r="H289" i="1"/>
  <c r="H290" i="1"/>
  <c r="H291" i="1"/>
  <c r="H293" i="1"/>
  <c r="H294" i="1"/>
  <c r="H295" i="1"/>
  <c r="H297" i="1"/>
  <c r="H298" i="1"/>
  <c r="H299" i="1"/>
  <c r="H301" i="1"/>
  <c r="H302" i="1"/>
  <c r="H303" i="1"/>
  <c r="H305" i="1"/>
  <c r="H306" i="1"/>
  <c r="H307" i="1"/>
  <c r="H309" i="1"/>
  <c r="H310" i="1"/>
  <c r="H311" i="1"/>
  <c r="H313" i="1"/>
  <c r="H314" i="1"/>
  <c r="H315" i="1"/>
  <c r="H317" i="1"/>
  <c r="H318" i="1"/>
  <c r="H319" i="1"/>
  <c r="H321" i="1"/>
  <c r="H322" i="1"/>
  <c r="H323" i="1"/>
  <c r="H325" i="1"/>
  <c r="H326" i="1"/>
  <c r="H327" i="1"/>
  <c r="H329" i="1"/>
  <c r="H330" i="1"/>
  <c r="H331" i="1"/>
  <c r="H333" i="1"/>
  <c r="H334" i="1"/>
  <c r="H335" i="1"/>
  <c r="H337" i="1"/>
  <c r="H338" i="1"/>
  <c r="H339" i="1"/>
  <c r="H341" i="1"/>
  <c r="H342" i="1"/>
  <c r="H343" i="1"/>
  <c r="H345" i="1"/>
  <c r="H346" i="1"/>
  <c r="H347" i="1"/>
  <c r="H349" i="1"/>
  <c r="H350" i="1"/>
  <c r="H351" i="1"/>
  <c r="H353" i="1"/>
  <c r="H354" i="1"/>
  <c r="H355" i="1"/>
  <c r="H357" i="1"/>
  <c r="H358" i="1"/>
  <c r="H359" i="1"/>
  <c r="H361" i="1"/>
  <c r="H362" i="1"/>
  <c r="H363" i="1"/>
  <c r="H365" i="1"/>
  <c r="H366" i="1"/>
  <c r="H367" i="1"/>
  <c r="H369" i="1"/>
  <c r="H370" i="1"/>
  <c r="H371" i="1"/>
  <c r="H373" i="1"/>
  <c r="H374" i="1"/>
  <c r="H375" i="1"/>
  <c r="H377" i="1"/>
  <c r="H378" i="1"/>
  <c r="H379" i="1"/>
  <c r="H381" i="1"/>
  <c r="H382" i="1"/>
  <c r="H383" i="1"/>
  <c r="H385" i="1"/>
  <c r="H386" i="1"/>
  <c r="H387" i="1"/>
  <c r="H389" i="1"/>
  <c r="H390" i="1"/>
  <c r="H391" i="1"/>
  <c r="H393" i="1"/>
  <c r="H394" i="1"/>
  <c r="H395" i="1"/>
  <c r="H397" i="1"/>
  <c r="H398" i="1"/>
  <c r="H399" i="1"/>
  <c r="H401" i="1"/>
  <c r="H402" i="1"/>
  <c r="H403" i="1"/>
  <c r="H11" i="1"/>
  <c r="H9" i="1"/>
  <c r="G12" i="1"/>
  <c r="G13" i="1"/>
  <c r="G18" i="1"/>
  <c r="G26" i="1"/>
  <c r="G47" i="1"/>
  <c r="G48" i="1"/>
  <c r="G49" i="1"/>
  <c r="G50" i="1"/>
  <c r="G51" i="1"/>
  <c r="G70" i="1"/>
  <c r="G78" i="1"/>
  <c r="G82" i="1"/>
  <c r="G84" i="1"/>
  <c r="G86" i="1"/>
  <c r="G99" i="1"/>
  <c r="G100" i="1"/>
  <c r="G101" i="1"/>
  <c r="G102" i="1"/>
  <c r="G104" i="1"/>
  <c r="G108" i="1"/>
  <c r="G110" i="1"/>
  <c r="G111" i="1"/>
  <c r="G112" i="1"/>
  <c r="G113" i="1"/>
  <c r="G114" i="1"/>
  <c r="G131" i="1"/>
  <c r="G132" i="1"/>
  <c r="G148" i="1"/>
  <c r="G149" i="1"/>
  <c r="G154" i="1"/>
  <c r="G159" i="1"/>
  <c r="G169" i="1"/>
  <c r="G171" i="1"/>
  <c r="G173" i="1"/>
  <c r="G174" i="1"/>
  <c r="G175" i="1"/>
  <c r="G176" i="1"/>
  <c r="G177" i="1"/>
  <c r="G178" i="1"/>
  <c r="G181" i="1"/>
  <c r="G182" i="1"/>
  <c r="G185" i="1"/>
  <c r="G206" i="1"/>
  <c r="G208" i="1"/>
  <c r="G209" i="1"/>
  <c r="G211" i="1"/>
  <c r="G224" i="1"/>
  <c r="G225" i="1"/>
  <c r="G227" i="1"/>
  <c r="G229" i="1"/>
  <c r="G230" i="1"/>
  <c r="G231" i="1"/>
  <c r="G232" i="1"/>
  <c r="G233" i="1"/>
  <c r="G235" i="1"/>
  <c r="G236" i="1"/>
  <c r="G237" i="1"/>
  <c r="G240" i="1"/>
  <c r="G243" i="1"/>
  <c r="G244" i="1"/>
  <c r="G259" i="1"/>
  <c r="G283" i="1"/>
  <c r="G284" i="1"/>
  <c r="G285" i="1"/>
  <c r="G286" i="1"/>
  <c r="G287" i="1"/>
  <c r="G288" i="1"/>
  <c r="G304" i="1"/>
  <c r="G305" i="1"/>
  <c r="G309" i="1"/>
  <c r="G316" i="1"/>
  <c r="G317" i="1"/>
  <c r="G359" i="1"/>
  <c r="G360" i="1"/>
  <c r="G362" i="1"/>
  <c r="G363" i="1"/>
  <c r="G365" i="1"/>
  <c r="G366" i="1"/>
  <c r="G370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99" i="1"/>
  <c r="F10" i="1"/>
  <c r="F11" i="1"/>
  <c r="F12" i="1"/>
  <c r="F13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1" i="1"/>
  <c r="F32" i="1"/>
  <c r="F33" i="1"/>
  <c r="F34" i="1"/>
  <c r="F35" i="1"/>
  <c r="F36" i="1"/>
  <c r="F37" i="1"/>
  <c r="F39" i="1"/>
  <c r="F40" i="1"/>
  <c r="F41" i="1"/>
  <c r="F42" i="1"/>
  <c r="F43" i="1"/>
  <c r="F44" i="1"/>
  <c r="F45" i="1"/>
  <c r="F46" i="1"/>
  <c r="F47" i="1"/>
  <c r="F48" i="1"/>
  <c r="F49" i="1"/>
  <c r="F51" i="1"/>
  <c r="E51" i="1" s="1"/>
  <c r="E53" i="4" s="1"/>
  <c r="F52" i="1"/>
  <c r="F53" i="1"/>
  <c r="F5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E70" i="1" s="1"/>
  <c r="E72" i="4" s="1"/>
  <c r="F71" i="1"/>
  <c r="F72" i="1"/>
  <c r="F73" i="1"/>
  <c r="F74" i="1"/>
  <c r="F75" i="1"/>
  <c r="F76" i="1"/>
  <c r="F77" i="1"/>
  <c r="F78" i="1"/>
  <c r="F79" i="1"/>
  <c r="F80" i="1"/>
  <c r="F81" i="1"/>
  <c r="F82" i="1"/>
  <c r="E82" i="1" s="1"/>
  <c r="E84" i="4" s="1"/>
  <c r="F83" i="1"/>
  <c r="F84" i="1"/>
  <c r="F85" i="1"/>
  <c r="F86" i="1"/>
  <c r="F87" i="1"/>
  <c r="F88" i="1"/>
  <c r="F89" i="1"/>
  <c r="F91" i="1"/>
  <c r="F92" i="1"/>
  <c r="F93" i="1"/>
  <c r="F94" i="1"/>
  <c r="F95" i="1"/>
  <c r="F96" i="1"/>
  <c r="F97" i="1"/>
  <c r="F99" i="1"/>
  <c r="E99" i="1" s="1"/>
  <c r="E101" i="4" s="1"/>
  <c r="F100" i="1"/>
  <c r="F101" i="1"/>
  <c r="F102" i="1"/>
  <c r="E102" i="1" s="1"/>
  <c r="E104" i="4" s="1"/>
  <c r="F103" i="1"/>
  <c r="F104" i="1"/>
  <c r="F105" i="1"/>
  <c r="F106" i="1"/>
  <c r="F107" i="1"/>
  <c r="F108" i="1"/>
  <c r="F109" i="1"/>
  <c r="F110" i="1"/>
  <c r="E110" i="1" s="1"/>
  <c r="E112" i="4" s="1"/>
  <c r="F111" i="1"/>
  <c r="F112" i="1"/>
  <c r="F113" i="1"/>
  <c r="F114" i="1"/>
  <c r="E114" i="1" s="1"/>
  <c r="E116" i="4" s="1"/>
  <c r="F115" i="1"/>
  <c r="F116" i="1"/>
  <c r="F117" i="1"/>
  <c r="F118" i="1"/>
  <c r="F119" i="1"/>
  <c r="F120" i="1"/>
  <c r="F121" i="1"/>
  <c r="F123" i="1"/>
  <c r="F124" i="1"/>
  <c r="F125" i="1"/>
  <c r="F126" i="1"/>
  <c r="F127" i="1"/>
  <c r="F128" i="1"/>
  <c r="F129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5" i="1"/>
  <c r="F156" i="1"/>
  <c r="F157" i="1"/>
  <c r="F158" i="1"/>
  <c r="F159" i="1"/>
  <c r="E159" i="1" s="1"/>
  <c r="E161" i="4" s="1"/>
  <c r="F160" i="1"/>
  <c r="F161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9" i="1"/>
  <c r="F180" i="1"/>
  <c r="F181" i="1"/>
  <c r="F182" i="1"/>
  <c r="E182" i="1" s="1"/>
  <c r="E184" i="4" s="1"/>
  <c r="F183" i="1"/>
  <c r="F184" i="1"/>
  <c r="F185" i="1"/>
  <c r="F186" i="1"/>
  <c r="F187" i="1"/>
  <c r="F188" i="1"/>
  <c r="F189" i="1"/>
  <c r="F191" i="1"/>
  <c r="F192" i="1"/>
  <c r="F193" i="1"/>
  <c r="F194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3" i="1"/>
  <c r="F224" i="1"/>
  <c r="F225" i="1"/>
  <c r="F226" i="1"/>
  <c r="F227" i="1"/>
  <c r="F228" i="1"/>
  <c r="F229" i="1"/>
  <c r="F230" i="1"/>
  <c r="E230" i="1" s="1"/>
  <c r="E232" i="4" s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E243" i="1" s="1"/>
  <c r="E245" i="4" s="1"/>
  <c r="F244" i="1"/>
  <c r="F245" i="1"/>
  <c r="F247" i="1"/>
  <c r="F248" i="1"/>
  <c r="F249" i="1"/>
  <c r="F250" i="1"/>
  <c r="F251" i="1"/>
  <c r="F252" i="1"/>
  <c r="F253" i="1"/>
  <c r="F254" i="1"/>
  <c r="F255" i="1"/>
  <c r="F256" i="1"/>
  <c r="F257" i="1"/>
  <c r="F259" i="1"/>
  <c r="F260" i="1"/>
  <c r="F261" i="1"/>
  <c r="F262" i="1"/>
  <c r="F264" i="1"/>
  <c r="F265" i="1"/>
  <c r="F266" i="1"/>
  <c r="F267" i="1"/>
  <c r="F268" i="1"/>
  <c r="F269" i="1"/>
  <c r="F270" i="1"/>
  <c r="F271" i="1"/>
  <c r="F272" i="1"/>
  <c r="F273" i="1"/>
  <c r="F274" i="1"/>
  <c r="F276" i="1"/>
  <c r="F277" i="1"/>
  <c r="F278" i="1"/>
  <c r="F279" i="1"/>
  <c r="F280" i="1"/>
  <c r="F281" i="1"/>
  <c r="F282" i="1"/>
  <c r="F283" i="1"/>
  <c r="F284" i="1"/>
  <c r="F285" i="1"/>
  <c r="F286" i="1"/>
  <c r="E286" i="1" s="1"/>
  <c r="E288" i="4" s="1"/>
  <c r="F287" i="1"/>
  <c r="E287" i="1" s="1"/>
  <c r="F288" i="1"/>
  <c r="F289" i="1"/>
  <c r="F290" i="1"/>
  <c r="F291" i="1"/>
  <c r="F292" i="1"/>
  <c r="F293" i="1"/>
  <c r="F295" i="1"/>
  <c r="F296" i="1"/>
  <c r="F297" i="1"/>
  <c r="F299" i="1"/>
  <c r="F300" i="1"/>
  <c r="F301" i="1"/>
  <c r="F302" i="1"/>
  <c r="F303" i="1"/>
  <c r="F304" i="1"/>
  <c r="F305" i="1"/>
  <c r="F306" i="1"/>
  <c r="F308" i="1"/>
  <c r="F309" i="1"/>
  <c r="F310" i="1"/>
  <c r="F312" i="1"/>
  <c r="F313" i="1"/>
  <c r="F314" i="1"/>
  <c r="F316" i="1"/>
  <c r="F317" i="1"/>
  <c r="F318" i="1"/>
  <c r="F320" i="1"/>
  <c r="F321" i="1"/>
  <c r="F322" i="1"/>
  <c r="F324" i="1"/>
  <c r="F325" i="1"/>
  <c r="F326" i="1"/>
  <c r="F328" i="1"/>
  <c r="F329" i="1"/>
  <c r="F330" i="1"/>
  <c r="F332" i="1"/>
  <c r="F333" i="1"/>
  <c r="F334" i="1"/>
  <c r="F336" i="1"/>
  <c r="F337" i="1"/>
  <c r="F338" i="1"/>
  <c r="F340" i="1"/>
  <c r="F341" i="1"/>
  <c r="F342" i="1"/>
  <c r="F344" i="1"/>
  <c r="F345" i="1"/>
  <c r="F346" i="1"/>
  <c r="F348" i="1"/>
  <c r="F349" i="1"/>
  <c r="F350" i="1"/>
  <c r="F352" i="1"/>
  <c r="F353" i="1"/>
  <c r="F354" i="1"/>
  <c r="F356" i="1"/>
  <c r="F357" i="1"/>
  <c r="F358" i="1"/>
  <c r="F360" i="1"/>
  <c r="F361" i="1"/>
  <c r="F362" i="1"/>
  <c r="F364" i="1"/>
  <c r="F365" i="1"/>
  <c r="F366" i="1"/>
  <c r="F368" i="1"/>
  <c r="F369" i="1"/>
  <c r="F370" i="1"/>
  <c r="F372" i="1"/>
  <c r="F373" i="1"/>
  <c r="F374" i="1"/>
  <c r="F376" i="1"/>
  <c r="F377" i="1"/>
  <c r="F378" i="1"/>
  <c r="F379" i="1"/>
  <c r="F380" i="1"/>
  <c r="F381" i="1"/>
  <c r="F382" i="1"/>
  <c r="E382" i="1" s="1"/>
  <c r="E384" i="4" s="1"/>
  <c r="F383" i="1"/>
  <c r="E383" i="1" s="1"/>
  <c r="E385" i="4" s="1"/>
  <c r="F384" i="1"/>
  <c r="F385" i="1"/>
  <c r="F387" i="1"/>
  <c r="F388" i="1"/>
  <c r="F389" i="1"/>
  <c r="F391" i="1"/>
  <c r="F392" i="1"/>
  <c r="F393" i="1"/>
  <c r="F394" i="1"/>
  <c r="F395" i="1"/>
  <c r="F396" i="1"/>
  <c r="F397" i="1"/>
  <c r="F398" i="1"/>
  <c r="F399" i="1"/>
  <c r="F400" i="1"/>
  <c r="F401" i="1"/>
  <c r="F403" i="1"/>
  <c r="DZ215" i="1"/>
  <c r="DZ32" i="1"/>
  <c r="DZ72" i="1"/>
  <c r="DZ79" i="1"/>
  <c r="DZ105" i="1"/>
  <c r="DZ109" i="1"/>
  <c r="DZ139" i="1"/>
  <c r="DZ151" i="1"/>
  <c r="DZ179" i="1"/>
  <c r="DZ189" i="1"/>
  <c r="DZ199" i="1"/>
  <c r="DZ241" i="1"/>
  <c r="DZ251" i="1"/>
  <c r="DZ213" i="1"/>
  <c r="DZ301" i="1"/>
  <c r="DZ22" i="1"/>
  <c r="DZ40" i="1"/>
  <c r="DZ249" i="1"/>
  <c r="DZ293" i="1"/>
  <c r="DZ147" i="1"/>
  <c r="DZ299" i="1"/>
  <c r="DZ303" i="1"/>
  <c r="DZ321" i="1"/>
  <c r="DZ401" i="1"/>
  <c r="DZ181" i="1"/>
  <c r="DZ225" i="1"/>
  <c r="DZ243" i="1"/>
  <c r="DZ283" i="1"/>
  <c r="DZ287" i="1"/>
  <c r="DZ317" i="1"/>
  <c r="DZ363" i="1"/>
  <c r="DZ373" i="1"/>
  <c r="DZ377" i="1"/>
  <c r="DZ367" i="1"/>
  <c r="DZ383" i="1"/>
  <c r="DZ161" i="1"/>
  <c r="DZ269" i="1"/>
  <c r="DZ359" i="1"/>
  <c r="DZ281" i="1"/>
  <c r="E370" i="1" l="1"/>
  <c r="E372" i="4" s="1"/>
  <c r="E211" i="1"/>
  <c r="E213" i="4" s="1"/>
  <c r="E86" i="1"/>
  <c r="E88" i="4" s="1"/>
  <c r="E78" i="1"/>
  <c r="E80" i="4" s="1"/>
  <c r="E26" i="1"/>
  <c r="E28" i="4" s="1"/>
  <c r="E366" i="1"/>
  <c r="E368" i="4" s="1"/>
  <c r="E131" i="1"/>
  <c r="E133" i="4" s="1"/>
  <c r="E235" i="1"/>
  <c r="E237" i="4" s="1"/>
  <c r="E231" i="1"/>
  <c r="E233" i="4" s="1"/>
  <c r="E206" i="1"/>
  <c r="E208" i="4" s="1"/>
  <c r="E171" i="1"/>
  <c r="E173" i="4" s="1"/>
  <c r="E379" i="1"/>
  <c r="E381" i="4" s="1"/>
  <c r="E374" i="1"/>
  <c r="E376" i="4" s="1"/>
  <c r="E283" i="1"/>
  <c r="E285" i="4" s="1"/>
  <c r="E227" i="1"/>
  <c r="E229" i="4" s="1"/>
  <c r="E175" i="1"/>
  <c r="E177" i="4" s="1"/>
  <c r="E111" i="1"/>
  <c r="E113" i="4" s="1"/>
  <c r="E47" i="1"/>
  <c r="E49" i="4" s="1"/>
  <c r="E378" i="1"/>
  <c r="E380" i="4" s="1"/>
  <c r="E362" i="1"/>
  <c r="E364" i="4" s="1"/>
  <c r="E174" i="1"/>
  <c r="E176" i="4" s="1"/>
  <c r="E399" i="1"/>
  <c r="E401" i="4" s="1"/>
  <c r="E259" i="1"/>
  <c r="E261" i="4" s="1"/>
  <c r="DZ211" i="1"/>
  <c r="DZ369" i="1"/>
  <c r="DZ38" i="1"/>
  <c r="F9" i="1"/>
  <c r="E9" i="1" s="1"/>
  <c r="H281" i="1"/>
  <c r="H265" i="1"/>
  <c r="H229" i="1"/>
  <c r="H217" i="1"/>
  <c r="H205" i="1"/>
  <c r="E205" i="1" s="1"/>
  <c r="E207" i="4" s="1"/>
  <c r="H189" i="1"/>
  <c r="H173" i="1"/>
  <c r="H157" i="1"/>
  <c r="E157" i="1" s="1"/>
  <c r="E159" i="4" s="1"/>
  <c r="H145" i="1"/>
  <c r="E145" i="1" s="1"/>
  <c r="E147" i="4" s="1"/>
  <c r="H133" i="1"/>
  <c r="H117" i="1"/>
  <c r="H93" i="1"/>
  <c r="E93" i="1" s="1"/>
  <c r="E95" i="4" s="1"/>
  <c r="H81" i="1"/>
  <c r="E81" i="1" s="1"/>
  <c r="E83" i="4" s="1"/>
  <c r="H69" i="1"/>
  <c r="H53" i="1"/>
  <c r="H37" i="1"/>
  <c r="H21" i="1"/>
  <c r="E21" i="1" s="1"/>
  <c r="E23" i="4" s="1"/>
  <c r="E381" i="1"/>
  <c r="E383" i="4" s="1"/>
  <c r="E377" i="1"/>
  <c r="E379" i="4" s="1"/>
  <c r="E373" i="1"/>
  <c r="E375" i="4" s="1"/>
  <c r="E365" i="1"/>
  <c r="E367" i="4" s="1"/>
  <c r="E317" i="1"/>
  <c r="E319" i="4" s="1"/>
  <c r="E309" i="1"/>
  <c r="E311" i="4" s="1"/>
  <c r="E305" i="1"/>
  <c r="E307" i="4" s="1"/>
  <c r="E285" i="1"/>
  <c r="E287" i="4" s="1"/>
  <c r="E237" i="1"/>
  <c r="E239" i="4" s="1"/>
  <c r="E233" i="1"/>
  <c r="E235" i="4" s="1"/>
  <c r="E225" i="1"/>
  <c r="E227" i="4" s="1"/>
  <c r="E209" i="1"/>
  <c r="E211" i="4" s="1"/>
  <c r="E185" i="1"/>
  <c r="E187" i="4" s="1"/>
  <c r="E181" i="1"/>
  <c r="E183" i="4" s="1"/>
  <c r="E177" i="1"/>
  <c r="E179" i="4" s="1"/>
  <c r="E169" i="1"/>
  <c r="E171" i="4" s="1"/>
  <c r="E149" i="1"/>
  <c r="E151" i="4" s="1"/>
  <c r="E113" i="1"/>
  <c r="E115" i="4" s="1"/>
  <c r="E101" i="1"/>
  <c r="E103" i="4" s="1"/>
  <c r="E49" i="1"/>
  <c r="E51" i="4" s="1"/>
  <c r="E13" i="1"/>
  <c r="E15" i="4" s="1"/>
  <c r="DZ149" i="1"/>
  <c r="DZ229" i="1"/>
  <c r="DZ171" i="1"/>
  <c r="DZ18" i="1"/>
  <c r="DZ129" i="1"/>
  <c r="DZ315" i="1"/>
  <c r="DZ193" i="1"/>
  <c r="DZ133" i="1"/>
  <c r="DZ87" i="1"/>
  <c r="DZ54" i="1"/>
  <c r="DZ255" i="1"/>
  <c r="DZ52" i="1"/>
  <c r="DZ333" i="1"/>
  <c r="DZ271" i="1"/>
  <c r="DZ343" i="1"/>
  <c r="DZ97" i="1"/>
  <c r="DZ279" i="1"/>
  <c r="DZ259" i="1"/>
  <c r="DZ305" i="1"/>
  <c r="DZ167" i="1"/>
  <c r="DZ253" i="1"/>
  <c r="DZ121" i="1"/>
  <c r="DZ357" i="1"/>
  <c r="DZ107" i="1"/>
  <c r="DZ20" i="1"/>
  <c r="DZ70" i="1"/>
  <c r="DZ111" i="1"/>
  <c r="DZ395" i="1"/>
  <c r="DZ387" i="1"/>
  <c r="DZ331" i="1"/>
  <c r="DZ319" i="1"/>
  <c r="DZ46" i="1"/>
  <c r="DZ323" i="1"/>
  <c r="DZ77" i="1"/>
  <c r="DZ60" i="1"/>
  <c r="DZ235" i="1"/>
  <c r="DZ131" i="1"/>
  <c r="DZ123" i="1"/>
  <c r="DZ247" i="1"/>
  <c r="DZ335" i="1"/>
  <c r="DZ74" i="1"/>
  <c r="DZ297" i="1"/>
  <c r="DZ313" i="1"/>
  <c r="DZ169" i="1"/>
  <c r="DZ191" i="1"/>
  <c r="DI123" i="1"/>
  <c r="DI30" i="1"/>
  <c r="DI273" i="1"/>
  <c r="DI253" i="1"/>
  <c r="DI209" i="1"/>
  <c r="DZ102" i="1"/>
  <c r="DZ392" i="1"/>
  <c r="DZ256" i="1"/>
  <c r="E403" i="1"/>
  <c r="E405" i="4" s="1"/>
  <c r="E395" i="1"/>
  <c r="E397" i="4" s="1"/>
  <c r="E391" i="1"/>
  <c r="E393" i="4" s="1"/>
  <c r="E387" i="1"/>
  <c r="E389" i="4" s="1"/>
  <c r="F375" i="1"/>
  <c r="E375" i="1" s="1"/>
  <c r="E377" i="4" s="1"/>
  <c r="F371" i="1"/>
  <c r="F367" i="1"/>
  <c r="F363" i="1"/>
  <c r="E363" i="1" s="1"/>
  <c r="E365" i="4" s="1"/>
  <c r="F359" i="1"/>
  <c r="E359" i="1" s="1"/>
  <c r="E361" i="4" s="1"/>
  <c r="F355" i="1"/>
  <c r="F351" i="1"/>
  <c r="F347" i="1"/>
  <c r="F343" i="1"/>
  <c r="F339" i="1"/>
  <c r="F335" i="1"/>
  <c r="F331" i="1"/>
  <c r="F327" i="1"/>
  <c r="F323" i="1"/>
  <c r="F319" i="1"/>
  <c r="F315" i="1"/>
  <c r="F311" i="1"/>
  <c r="F307" i="1"/>
  <c r="E303" i="1"/>
  <c r="E305" i="4" s="1"/>
  <c r="E299" i="1"/>
  <c r="E301" i="4" s="1"/>
  <c r="E295" i="1"/>
  <c r="E297" i="4" s="1"/>
  <c r="E291" i="1"/>
  <c r="E293" i="4" s="1"/>
  <c r="E289" i="4"/>
  <c r="E279" i="1"/>
  <c r="E281" i="4" s="1"/>
  <c r="F275" i="1"/>
  <c r="E271" i="1"/>
  <c r="E273" i="4" s="1"/>
  <c r="E267" i="1"/>
  <c r="E269" i="4" s="1"/>
  <c r="F263" i="1"/>
  <c r="E255" i="1"/>
  <c r="E257" i="4" s="1"/>
  <c r="E251" i="1"/>
  <c r="E253" i="4" s="1"/>
  <c r="E247" i="1"/>
  <c r="E249" i="4" s="1"/>
  <c r="E239" i="1"/>
  <c r="E241" i="4" s="1"/>
  <c r="E223" i="1"/>
  <c r="E225" i="4" s="1"/>
  <c r="E219" i="1"/>
  <c r="E221" i="4" s="1"/>
  <c r="E215" i="1"/>
  <c r="E217" i="4" s="1"/>
  <c r="E207" i="1"/>
  <c r="E209" i="4" s="1"/>
  <c r="E203" i="1"/>
  <c r="E205" i="4" s="1"/>
  <c r="E199" i="1"/>
  <c r="E201" i="4" s="1"/>
  <c r="F195" i="1"/>
  <c r="E191" i="1"/>
  <c r="E193" i="4" s="1"/>
  <c r="E187" i="1"/>
  <c r="E189" i="4" s="1"/>
  <c r="E183" i="1"/>
  <c r="E185" i="4" s="1"/>
  <c r="E179" i="1"/>
  <c r="E181" i="4" s="1"/>
  <c r="E167" i="1"/>
  <c r="E169" i="4" s="1"/>
  <c r="E163" i="1"/>
  <c r="E165" i="4" s="1"/>
  <c r="E155" i="1"/>
  <c r="E157" i="4" s="1"/>
  <c r="E151" i="1"/>
  <c r="E153" i="4" s="1"/>
  <c r="E147" i="1"/>
  <c r="E149" i="4" s="1"/>
  <c r="E143" i="1"/>
  <c r="E145" i="4" s="1"/>
  <c r="E139" i="1"/>
  <c r="E141" i="4" s="1"/>
  <c r="E135" i="1"/>
  <c r="E137" i="4" s="1"/>
  <c r="E127" i="1"/>
  <c r="E129" i="4" s="1"/>
  <c r="E123" i="1"/>
  <c r="E125" i="4" s="1"/>
  <c r="E119" i="1"/>
  <c r="E121" i="4" s="1"/>
  <c r="E115" i="1"/>
  <c r="E117" i="4" s="1"/>
  <c r="E107" i="1"/>
  <c r="E109" i="4" s="1"/>
  <c r="E103" i="1"/>
  <c r="E105" i="4" s="1"/>
  <c r="E95" i="1"/>
  <c r="E97" i="4" s="1"/>
  <c r="E91" i="1"/>
  <c r="E93" i="4" s="1"/>
  <c r="E87" i="1"/>
  <c r="E89" i="4" s="1"/>
  <c r="E83" i="1"/>
  <c r="E85" i="4" s="1"/>
  <c r="E79" i="1"/>
  <c r="E81" i="4" s="1"/>
  <c r="E75" i="1"/>
  <c r="E77" i="4" s="1"/>
  <c r="E71" i="1"/>
  <c r="E73" i="4" s="1"/>
  <c r="E67" i="1"/>
  <c r="E69" i="4" s="1"/>
  <c r="F63" i="1"/>
  <c r="E59" i="1"/>
  <c r="E61" i="4" s="1"/>
  <c r="E55" i="1"/>
  <c r="E57" i="4" s="1"/>
  <c r="E43" i="1"/>
  <c r="E45" i="4" s="1"/>
  <c r="E39" i="1"/>
  <c r="E41" i="4" s="1"/>
  <c r="E35" i="1"/>
  <c r="E37" i="4" s="1"/>
  <c r="E31" i="1"/>
  <c r="E33" i="4" s="1"/>
  <c r="E27" i="1"/>
  <c r="E29" i="4" s="1"/>
  <c r="E23" i="1"/>
  <c r="E25" i="4" s="1"/>
  <c r="E19" i="1"/>
  <c r="E21" i="4" s="1"/>
  <c r="E15" i="1"/>
  <c r="E17" i="4" s="1"/>
  <c r="E11" i="1"/>
  <c r="E13" i="4" s="1"/>
  <c r="G408" i="1"/>
  <c r="H10" i="1"/>
  <c r="H400" i="1"/>
  <c r="H396" i="1"/>
  <c r="H392" i="1"/>
  <c r="H388" i="1"/>
  <c r="H384" i="1"/>
  <c r="H380" i="1"/>
  <c r="H376" i="1"/>
  <c r="H372" i="1"/>
  <c r="H368" i="1"/>
  <c r="H364" i="1"/>
  <c r="H360" i="1"/>
  <c r="H356" i="1"/>
  <c r="H352" i="1"/>
  <c r="H348" i="1"/>
  <c r="H344" i="1"/>
  <c r="H340" i="1"/>
  <c r="H336" i="1"/>
  <c r="H332" i="1"/>
  <c r="H328" i="1"/>
  <c r="H324" i="1"/>
  <c r="H320" i="1"/>
  <c r="H316" i="1"/>
  <c r="H312" i="1"/>
  <c r="H308" i="1"/>
  <c r="H304" i="1"/>
  <c r="H300" i="1"/>
  <c r="E300" i="1" s="1"/>
  <c r="E302" i="4" s="1"/>
  <c r="H296" i="1"/>
  <c r="H292" i="1"/>
  <c r="H288" i="1"/>
  <c r="H284" i="1"/>
  <c r="H280" i="1"/>
  <c r="H276" i="1"/>
  <c r="H272" i="1"/>
  <c r="H268" i="1"/>
  <c r="H264" i="1"/>
  <c r="H260" i="1"/>
  <c r="H252" i="1"/>
  <c r="H248" i="1"/>
  <c r="H244" i="1"/>
  <c r="H240" i="1"/>
  <c r="H236" i="1"/>
  <c r="H232" i="1"/>
  <c r="H228" i="1"/>
  <c r="H224" i="1"/>
  <c r="H220" i="1"/>
  <c r="H216" i="1"/>
  <c r="H212" i="1"/>
  <c r="E212" i="1" s="1"/>
  <c r="E214" i="4" s="1"/>
  <c r="H208" i="1"/>
  <c r="H204" i="1"/>
  <c r="H200" i="1"/>
  <c r="H196" i="1"/>
  <c r="E196" i="1" s="1"/>
  <c r="E198" i="4" s="1"/>
  <c r="H192" i="1"/>
  <c r="H188" i="1"/>
  <c r="H184" i="1"/>
  <c r="H180" i="1"/>
  <c r="H176" i="1"/>
  <c r="H172" i="1"/>
  <c r="H164" i="1"/>
  <c r="E164" i="1" s="1"/>
  <c r="E166" i="4" s="1"/>
  <c r="H160" i="1"/>
  <c r="H156" i="1"/>
  <c r="H152" i="1"/>
  <c r="H148" i="1"/>
  <c r="H144" i="1"/>
  <c r="H140" i="1"/>
  <c r="H136" i="1"/>
  <c r="H132" i="1"/>
  <c r="H128" i="1"/>
  <c r="H124" i="1"/>
  <c r="E124" i="1" s="1"/>
  <c r="E126" i="4" s="1"/>
  <c r="H120" i="1"/>
  <c r="H116" i="1"/>
  <c r="H112" i="1"/>
  <c r="H108" i="1"/>
  <c r="H104" i="1"/>
  <c r="H100" i="1"/>
  <c r="H96" i="1"/>
  <c r="H92" i="1"/>
  <c r="H88" i="1"/>
  <c r="H84" i="1"/>
  <c r="H80" i="1"/>
  <c r="H76" i="1"/>
  <c r="H72" i="1"/>
  <c r="H68" i="1"/>
  <c r="H64" i="1"/>
  <c r="H60" i="1"/>
  <c r="H56" i="1"/>
  <c r="H52" i="1"/>
  <c r="E52" i="1" s="1"/>
  <c r="E54" i="4" s="1"/>
  <c r="H48" i="1"/>
  <c r="H44" i="1"/>
  <c r="H40" i="1"/>
  <c r="H36" i="1"/>
  <c r="H32" i="1"/>
  <c r="H28" i="1"/>
  <c r="H24" i="1"/>
  <c r="H16" i="1"/>
  <c r="H12" i="1"/>
  <c r="F402" i="1"/>
  <c r="E398" i="1"/>
  <c r="E400" i="4" s="1"/>
  <c r="E394" i="1"/>
  <c r="E396" i="4" s="1"/>
  <c r="F390" i="1"/>
  <c r="F386" i="1"/>
  <c r="E358" i="1"/>
  <c r="E360" i="4" s="1"/>
  <c r="E354" i="1"/>
  <c r="E356" i="4" s="1"/>
  <c r="E350" i="1"/>
  <c r="E352" i="4" s="1"/>
  <c r="E346" i="1"/>
  <c r="E348" i="4" s="1"/>
  <c r="E342" i="1"/>
  <c r="E344" i="4" s="1"/>
  <c r="E338" i="1"/>
  <c r="E340" i="4" s="1"/>
  <c r="E334" i="1"/>
  <c r="E336" i="4" s="1"/>
  <c r="E330" i="1"/>
  <c r="E332" i="4" s="1"/>
  <c r="E326" i="1"/>
  <c r="E328" i="4" s="1"/>
  <c r="E322" i="1"/>
  <c r="E324" i="4" s="1"/>
  <c r="E318" i="1"/>
  <c r="E320" i="4" s="1"/>
  <c r="E314" i="1"/>
  <c r="E316" i="4" s="1"/>
  <c r="E310" i="1"/>
  <c r="E312" i="4" s="1"/>
  <c r="E306" i="1"/>
  <c r="E308" i="4" s="1"/>
  <c r="E302" i="1"/>
  <c r="E304" i="4" s="1"/>
  <c r="F298" i="1"/>
  <c r="F294" i="1"/>
  <c r="E290" i="1"/>
  <c r="E292" i="4" s="1"/>
  <c r="E282" i="1"/>
  <c r="E284" i="4" s="1"/>
  <c r="E278" i="1"/>
  <c r="E280" i="4" s="1"/>
  <c r="E274" i="1"/>
  <c r="E276" i="4" s="1"/>
  <c r="E270" i="1"/>
  <c r="E272" i="4" s="1"/>
  <c r="E266" i="1"/>
  <c r="E268" i="4" s="1"/>
  <c r="E262" i="1"/>
  <c r="E264" i="4" s="1"/>
  <c r="F258" i="1"/>
  <c r="E254" i="1"/>
  <c r="E256" i="4" s="1"/>
  <c r="E250" i="1"/>
  <c r="E252" i="4" s="1"/>
  <c r="F246" i="1"/>
  <c r="E242" i="1"/>
  <c r="E244" i="4" s="1"/>
  <c r="E238" i="1"/>
  <c r="E240" i="4" s="1"/>
  <c r="E234" i="1"/>
  <c r="E236" i="4" s="1"/>
  <c r="E226" i="1"/>
  <c r="E228" i="4" s="1"/>
  <c r="F222" i="1"/>
  <c r="E218" i="1"/>
  <c r="E220" i="4" s="1"/>
  <c r="E214" i="1"/>
  <c r="E216" i="4" s="1"/>
  <c r="E210" i="1"/>
  <c r="E212" i="4" s="1"/>
  <c r="E202" i="1"/>
  <c r="E204" i="4" s="1"/>
  <c r="E198" i="1"/>
  <c r="E200" i="4" s="1"/>
  <c r="E194" i="1"/>
  <c r="E196" i="4" s="1"/>
  <c r="F190" i="1"/>
  <c r="E186" i="1"/>
  <c r="E188" i="4" s="1"/>
  <c r="F178" i="1"/>
  <c r="E178" i="1" s="1"/>
  <c r="E180" i="4" s="1"/>
  <c r="E170" i="1"/>
  <c r="E172" i="4" s="1"/>
  <c r="E166" i="1"/>
  <c r="E168" i="4" s="1"/>
  <c r="F162" i="1"/>
  <c r="E158" i="1"/>
  <c r="E160" i="4" s="1"/>
  <c r="F154" i="1"/>
  <c r="E154" i="1" s="1"/>
  <c r="E156" i="4" s="1"/>
  <c r="E150" i="1"/>
  <c r="E152" i="4" s="1"/>
  <c r="E146" i="1"/>
  <c r="E148" i="4" s="1"/>
  <c r="E142" i="1"/>
  <c r="E144" i="4" s="1"/>
  <c r="E138" i="1"/>
  <c r="E140" i="4" s="1"/>
  <c r="E134" i="1"/>
  <c r="E136" i="4" s="1"/>
  <c r="F130" i="1"/>
  <c r="E126" i="1"/>
  <c r="E128" i="4" s="1"/>
  <c r="F122" i="1"/>
  <c r="E118" i="1"/>
  <c r="E120" i="4" s="1"/>
  <c r="E106" i="1"/>
  <c r="E108" i="4" s="1"/>
  <c r="F98" i="1"/>
  <c r="E94" i="1"/>
  <c r="E96" i="4" s="1"/>
  <c r="F90" i="1"/>
  <c r="E74" i="1"/>
  <c r="E76" i="4" s="1"/>
  <c r="E66" i="1"/>
  <c r="E68" i="4" s="1"/>
  <c r="E62" i="1"/>
  <c r="E64" i="4" s="1"/>
  <c r="E58" i="1"/>
  <c r="E60" i="4" s="1"/>
  <c r="E54" i="1"/>
  <c r="E56" i="4" s="1"/>
  <c r="F50" i="1"/>
  <c r="E50" i="1" s="1"/>
  <c r="E52" i="4" s="1"/>
  <c r="E46" i="1"/>
  <c r="E48" i="4" s="1"/>
  <c r="E42" i="1"/>
  <c r="E44" i="4" s="1"/>
  <c r="F38" i="1"/>
  <c r="E34" i="1"/>
  <c r="E36" i="4" s="1"/>
  <c r="F30" i="1"/>
  <c r="E22" i="1"/>
  <c r="E24" i="4" s="1"/>
  <c r="E18" i="1"/>
  <c r="F14" i="1"/>
  <c r="G409" i="1"/>
  <c r="G404" i="1"/>
  <c r="E401" i="1"/>
  <c r="E403" i="4" s="1"/>
  <c r="E397" i="1"/>
  <c r="E399" i="4" s="1"/>
  <c r="E393" i="1"/>
  <c r="E395" i="4" s="1"/>
  <c r="E389" i="1"/>
  <c r="E391" i="4" s="1"/>
  <c r="E385" i="1"/>
  <c r="E387" i="4" s="1"/>
  <c r="E369" i="1"/>
  <c r="E371" i="4" s="1"/>
  <c r="E361" i="1"/>
  <c r="E363" i="4" s="1"/>
  <c r="E357" i="1"/>
  <c r="E359" i="4" s="1"/>
  <c r="E353" i="1"/>
  <c r="E355" i="4" s="1"/>
  <c r="E349" i="1"/>
  <c r="E351" i="4" s="1"/>
  <c r="E345" i="1"/>
  <c r="E347" i="4" s="1"/>
  <c r="E341" i="1"/>
  <c r="E343" i="4" s="1"/>
  <c r="E337" i="1"/>
  <c r="E339" i="4" s="1"/>
  <c r="E333" i="1"/>
  <c r="E335" i="4" s="1"/>
  <c r="E329" i="1"/>
  <c r="E331" i="4" s="1"/>
  <c r="E325" i="1"/>
  <c r="E327" i="4" s="1"/>
  <c r="E321" i="1"/>
  <c r="E323" i="4" s="1"/>
  <c r="E313" i="1"/>
  <c r="E315" i="4" s="1"/>
  <c r="E301" i="1"/>
  <c r="E303" i="4" s="1"/>
  <c r="E297" i="1"/>
  <c r="E299" i="4" s="1"/>
  <c r="E293" i="1"/>
  <c r="E295" i="4" s="1"/>
  <c r="E289" i="1"/>
  <c r="E291" i="4" s="1"/>
  <c r="E281" i="1"/>
  <c r="E283" i="4" s="1"/>
  <c r="E277" i="1"/>
  <c r="E279" i="4" s="1"/>
  <c r="E273" i="1"/>
  <c r="E275" i="4" s="1"/>
  <c r="E269" i="1"/>
  <c r="E271" i="4" s="1"/>
  <c r="E265" i="1"/>
  <c r="E267" i="4" s="1"/>
  <c r="E261" i="1"/>
  <c r="E263" i="4" s="1"/>
  <c r="E257" i="1"/>
  <c r="E259" i="4" s="1"/>
  <c r="E253" i="1"/>
  <c r="E255" i="4" s="1"/>
  <c r="E249" i="1"/>
  <c r="E251" i="4" s="1"/>
  <c r="E245" i="1"/>
  <c r="E247" i="4" s="1"/>
  <c r="E241" i="1"/>
  <c r="E243" i="4" s="1"/>
  <c r="E221" i="1"/>
  <c r="E223" i="4" s="1"/>
  <c r="E217" i="1"/>
  <c r="E219" i="4" s="1"/>
  <c r="E213" i="1"/>
  <c r="E215" i="4" s="1"/>
  <c r="E201" i="1"/>
  <c r="E203" i="4" s="1"/>
  <c r="E197" i="1"/>
  <c r="E199" i="4" s="1"/>
  <c r="E193" i="1"/>
  <c r="E195" i="4" s="1"/>
  <c r="E189" i="1"/>
  <c r="E191" i="4" s="1"/>
  <c r="E165" i="1"/>
  <c r="E167" i="4" s="1"/>
  <c r="E161" i="1"/>
  <c r="E163" i="4" s="1"/>
  <c r="E153" i="1"/>
  <c r="E155" i="4" s="1"/>
  <c r="E141" i="1"/>
  <c r="E143" i="4" s="1"/>
  <c r="E137" i="1"/>
  <c r="E139" i="4" s="1"/>
  <c r="E133" i="1"/>
  <c r="E135" i="4" s="1"/>
  <c r="E129" i="1"/>
  <c r="E131" i="4" s="1"/>
  <c r="E125" i="1"/>
  <c r="E127" i="4" s="1"/>
  <c r="E121" i="1"/>
  <c r="E123" i="4" s="1"/>
  <c r="E117" i="1"/>
  <c r="E119" i="4" s="1"/>
  <c r="E109" i="1"/>
  <c r="E111" i="4" s="1"/>
  <c r="E105" i="1"/>
  <c r="E107" i="4" s="1"/>
  <c r="E97" i="1"/>
  <c r="E99" i="4" s="1"/>
  <c r="E89" i="1"/>
  <c r="E91" i="4" s="1"/>
  <c r="E85" i="1"/>
  <c r="E87" i="4" s="1"/>
  <c r="E77" i="1"/>
  <c r="E79" i="4" s="1"/>
  <c r="E73" i="1"/>
  <c r="E75" i="4" s="1"/>
  <c r="E69" i="1"/>
  <c r="E71" i="4" s="1"/>
  <c r="E65" i="1"/>
  <c r="E67" i="4" s="1"/>
  <c r="E61" i="1"/>
  <c r="E63" i="4" s="1"/>
  <c r="E57" i="1"/>
  <c r="E59" i="4" s="1"/>
  <c r="E53" i="1"/>
  <c r="E55" i="4" s="1"/>
  <c r="E45" i="1"/>
  <c r="E47" i="4" s="1"/>
  <c r="E41" i="1"/>
  <c r="E43" i="4" s="1"/>
  <c r="E37" i="1"/>
  <c r="E39" i="4" s="1"/>
  <c r="E33" i="1"/>
  <c r="E35" i="4" s="1"/>
  <c r="E29" i="1"/>
  <c r="E31" i="4" s="1"/>
  <c r="E25" i="1"/>
  <c r="E27" i="4" s="1"/>
  <c r="E17" i="1"/>
  <c r="E19" i="4" s="1"/>
  <c r="E384" i="1"/>
  <c r="E386" i="4" s="1"/>
  <c r="E352" i="1"/>
  <c r="E354" i="4" s="1"/>
  <c r="E320" i="1"/>
  <c r="E322" i="4" s="1"/>
  <c r="E292" i="1"/>
  <c r="E294" i="4" s="1"/>
  <c r="E288" i="1"/>
  <c r="E290" i="4" s="1"/>
  <c r="E264" i="1"/>
  <c r="E266" i="4" s="1"/>
  <c r="DM256" i="1"/>
  <c r="E256" i="1"/>
  <c r="E258" i="4" s="1"/>
  <c r="E252" i="1"/>
  <c r="E254" i="4" s="1"/>
  <c r="E236" i="1"/>
  <c r="E238" i="4" s="1"/>
  <c r="E224" i="1"/>
  <c r="E226" i="4" s="1"/>
  <c r="E168" i="1"/>
  <c r="E170" i="4" s="1"/>
  <c r="DM168" i="1"/>
  <c r="E156" i="1"/>
  <c r="E158" i="4" s="1"/>
  <c r="E136" i="1"/>
  <c r="E138" i="4" s="1"/>
  <c r="E120" i="1"/>
  <c r="E122" i="4" s="1"/>
  <c r="E108" i="1"/>
  <c r="E110" i="4" s="1"/>
  <c r="E76" i="1"/>
  <c r="E78" i="4" s="1"/>
  <c r="E68" i="1"/>
  <c r="E70" i="4" s="1"/>
  <c r="E60" i="1"/>
  <c r="E62" i="4" s="1"/>
  <c r="E44" i="1"/>
  <c r="E46" i="4" s="1"/>
  <c r="E36" i="1"/>
  <c r="E38" i="4" s="1"/>
  <c r="E28" i="1"/>
  <c r="E30" i="4" s="1"/>
  <c r="E20" i="1"/>
  <c r="E22" i="4" s="1"/>
  <c r="G407" i="1"/>
  <c r="DH209" i="1"/>
  <c r="L208" i="24"/>
  <c r="DI207" i="1"/>
  <c r="DZ174" i="1"/>
  <c r="DZ82" i="1"/>
  <c r="DZ73" i="1"/>
  <c r="DZ17" i="1"/>
  <c r="DZ360" i="1"/>
  <c r="DZ296" i="1"/>
  <c r="DZ152" i="1"/>
  <c r="DZ100" i="1"/>
  <c r="DZ84" i="1"/>
  <c r="DI258" i="1"/>
  <c r="DI300" i="1"/>
  <c r="DZ81" i="1"/>
  <c r="DH293" i="1"/>
  <c r="DH167" i="1"/>
  <c r="DH261" i="1"/>
  <c r="L31" i="24"/>
  <c r="DH52" i="1"/>
  <c r="DH139" i="1"/>
  <c r="DZ134" i="1"/>
  <c r="L104" i="24"/>
  <c r="L232" i="24"/>
  <c r="DH269" i="1"/>
  <c r="DH107" i="1"/>
  <c r="DH159" i="1"/>
  <c r="DH333" i="1"/>
  <c r="L340" i="24"/>
  <c r="L43" i="24"/>
  <c r="L21" i="24"/>
  <c r="L296" i="24"/>
  <c r="L116" i="24"/>
  <c r="DZ144" i="1"/>
  <c r="DZ101" i="1"/>
  <c r="DZ381" i="1"/>
  <c r="DZ48" i="1"/>
  <c r="DZ275" i="1"/>
  <c r="DZ267" i="1"/>
  <c r="DZ207" i="1"/>
  <c r="DZ68" i="1"/>
  <c r="DZ291" i="1"/>
  <c r="DZ125" i="1"/>
  <c r="DZ203" i="1"/>
  <c r="DZ119" i="1"/>
  <c r="DZ145" i="1"/>
  <c r="DZ103" i="1"/>
  <c r="DZ231" i="1"/>
  <c r="DZ397" i="1"/>
  <c r="DZ327" i="1"/>
  <c r="DZ273" i="1"/>
  <c r="DZ10" i="1"/>
  <c r="DZ155" i="1"/>
  <c r="DZ143" i="1"/>
  <c r="DI392" i="1"/>
  <c r="DI331" i="1"/>
  <c r="DI319" i="1"/>
  <c r="DI255" i="1"/>
  <c r="DI243" i="1"/>
  <c r="DI227" i="1"/>
  <c r="DI147" i="1"/>
  <c r="DI131" i="1"/>
  <c r="DI119" i="1"/>
  <c r="DI91" i="1"/>
  <c r="DI66" i="1"/>
  <c r="DI58" i="1"/>
  <c r="DI34" i="1"/>
  <c r="DI173" i="1"/>
  <c r="DZ154" i="1"/>
  <c r="DZ159" i="1"/>
  <c r="DZ58" i="1"/>
  <c r="DZ92" i="1"/>
  <c r="DZ209" i="1"/>
  <c r="DZ227" i="1"/>
  <c r="DZ361" i="1"/>
  <c r="DZ223" i="1"/>
  <c r="DZ187" i="1"/>
  <c r="DI154" i="1"/>
  <c r="DZ398" i="1"/>
  <c r="DZ346" i="1"/>
  <c r="DZ162" i="1"/>
  <c r="DZ106" i="1"/>
  <c r="DZ33" i="1"/>
  <c r="DI350" i="1"/>
  <c r="DI102" i="1"/>
  <c r="DI82" i="1"/>
  <c r="DI388" i="1"/>
  <c r="DI144" i="1"/>
  <c r="DI84" i="1"/>
  <c r="DZ230" i="1"/>
  <c r="DZ388" i="1"/>
  <c r="DZ96" i="1"/>
  <c r="DZ180" i="1"/>
  <c r="DZ378" i="1"/>
  <c r="DZ350" i="1"/>
  <c r="DZ374" i="1"/>
  <c r="DZ238" i="1"/>
  <c r="DZ140" i="1"/>
  <c r="DZ382" i="1"/>
  <c r="DZ233" i="1"/>
  <c r="DI241" i="1"/>
  <c r="DI185" i="1"/>
  <c r="DI97" i="1"/>
  <c r="DI371" i="1"/>
  <c r="DI315" i="1"/>
  <c r="DI231" i="1"/>
  <c r="DI211" i="1"/>
  <c r="DI115" i="1"/>
  <c r="DI111" i="1"/>
  <c r="DI87" i="1"/>
  <c r="DI83" i="1"/>
  <c r="DI70" i="1"/>
  <c r="DI62" i="1"/>
  <c r="DI165" i="1"/>
  <c r="DZ148" i="1"/>
  <c r="DZ285" i="1"/>
  <c r="DZ185" i="1"/>
  <c r="DZ62" i="1"/>
  <c r="DZ371" i="1"/>
  <c r="DZ277" i="1"/>
  <c r="DZ245" i="1"/>
  <c r="DZ83" i="1"/>
  <c r="DZ364" i="1"/>
  <c r="DZ212" i="1"/>
  <c r="DZ115" i="1"/>
  <c r="DZ282" i="1"/>
  <c r="DZ157" i="1"/>
  <c r="DZ95" i="1"/>
  <c r="DI325" i="1"/>
  <c r="DI277" i="1"/>
  <c r="DI245" i="1"/>
  <c r="DI237" i="1"/>
  <c r="DI201" i="1"/>
  <c r="DI149" i="1"/>
  <c r="DI109" i="1"/>
  <c r="DI290" i="1"/>
  <c r="DI222" i="1"/>
  <c r="DZ202" i="1"/>
  <c r="DI158" i="1"/>
  <c r="DI384" i="1"/>
  <c r="DZ280" i="1"/>
  <c r="DI272" i="1"/>
  <c r="DZ71" i="1"/>
  <c r="DZ47" i="1"/>
  <c r="DZ23" i="1"/>
  <c r="DI77" i="1"/>
  <c r="DI317" i="1"/>
  <c r="DI357" i="1"/>
  <c r="DI374" i="1"/>
  <c r="DI306" i="1"/>
  <c r="DI282" i="1"/>
  <c r="DI270" i="1"/>
  <c r="DI194" i="1"/>
  <c r="DI134" i="1"/>
  <c r="DI94" i="1"/>
  <c r="DI69" i="1"/>
  <c r="DI57" i="1"/>
  <c r="DI400" i="1"/>
  <c r="DI372" i="1"/>
  <c r="DI340" i="1"/>
  <c r="DI228" i="1"/>
  <c r="DI164" i="1"/>
  <c r="DI148" i="1"/>
  <c r="DI140" i="1"/>
  <c r="DZ89" i="1"/>
  <c r="DZ379" i="1"/>
  <c r="DI168" i="1"/>
  <c r="DI251" i="1"/>
  <c r="DI235" i="1"/>
  <c r="DI163" i="1"/>
  <c r="DI99" i="1"/>
  <c r="DI54" i="1"/>
  <c r="DI46" i="1"/>
  <c r="DI281" i="1"/>
  <c r="DI249" i="1"/>
  <c r="DI193" i="1"/>
  <c r="DI133" i="1"/>
  <c r="DI81" i="1"/>
  <c r="DI151" i="1"/>
  <c r="DZ41" i="1"/>
  <c r="DZ339" i="1"/>
  <c r="DZ300" i="1"/>
  <c r="DZ91" i="1"/>
  <c r="DZ36" i="1"/>
  <c r="DZ28" i="1"/>
  <c r="DZ16" i="1"/>
  <c r="DI18" i="1"/>
  <c r="DI161" i="1"/>
  <c r="DZ173" i="1"/>
  <c r="DZ99" i="1"/>
  <c r="DZ391" i="1"/>
  <c r="DZ353" i="1"/>
  <c r="DZ163" i="1"/>
  <c r="DZ345" i="1"/>
  <c r="DZ325" i="1"/>
  <c r="DZ44" i="1"/>
  <c r="DZ349" i="1"/>
  <c r="DZ263" i="1"/>
  <c r="DI381" i="1"/>
  <c r="DI229" i="1"/>
  <c r="DI401" i="1"/>
  <c r="DI60" i="1"/>
  <c r="DI349" i="1"/>
  <c r="DI365" i="1"/>
  <c r="DI305" i="1"/>
  <c r="DI177" i="1"/>
  <c r="DI242" i="1"/>
  <c r="DI337" i="1"/>
  <c r="DI221" i="1"/>
  <c r="DI121" i="1"/>
  <c r="DI313" i="1"/>
  <c r="DI137" i="1"/>
  <c r="DI93" i="1"/>
  <c r="DI274" i="1"/>
  <c r="DI217" i="1"/>
  <c r="DI265" i="1"/>
  <c r="DI64" i="1"/>
  <c r="DI157" i="1"/>
  <c r="DI73" i="1"/>
  <c r="DI33" i="1"/>
  <c r="L168" i="24"/>
  <c r="DI373" i="1"/>
  <c r="DI361" i="1"/>
  <c r="DI321" i="1"/>
  <c r="DI68" i="1"/>
  <c r="DH30" i="1"/>
  <c r="L29" i="24"/>
  <c r="DZ14" i="1"/>
  <c r="L13" i="24"/>
  <c r="DZ375" i="1"/>
  <c r="DZ380" i="1"/>
  <c r="DZ309" i="1"/>
  <c r="DI309" i="1"/>
  <c r="DZ286" i="1"/>
  <c r="DI283" i="1"/>
  <c r="DZ237" i="1"/>
  <c r="DI232" i="1"/>
  <c r="DZ232" i="1"/>
  <c r="DZ224" i="1"/>
  <c r="DI206" i="1"/>
  <c r="DZ175" i="1"/>
  <c r="DI175" i="1"/>
  <c r="DZ113" i="1"/>
  <c r="DZ104" i="1"/>
  <c r="DI104" i="1"/>
  <c r="DZ26" i="1"/>
  <c r="DZ393" i="1"/>
  <c r="DZ385" i="1"/>
  <c r="DI385" i="1"/>
  <c r="DZ355" i="1"/>
  <c r="DZ278" i="1"/>
  <c r="DZ270" i="1"/>
  <c r="DZ246" i="1"/>
  <c r="DZ172" i="1"/>
  <c r="DZ197" i="1"/>
  <c r="DI197" i="1"/>
  <c r="DZ127" i="1"/>
  <c r="DZ311" i="1"/>
  <c r="DI257" i="1"/>
  <c r="DZ257" i="1"/>
  <c r="DZ122" i="1"/>
  <c r="DI122" i="1"/>
  <c r="DZ118" i="1"/>
  <c r="DZ19" i="1"/>
  <c r="DZ341" i="1"/>
  <c r="DZ314" i="1"/>
  <c r="DZ289" i="1"/>
  <c r="DI289" i="1"/>
  <c r="DZ260" i="1"/>
  <c r="DZ239" i="1"/>
  <c r="DI202" i="1"/>
  <c r="DZ205" i="1"/>
  <c r="DI205" i="1"/>
  <c r="DZ188" i="1"/>
  <c r="DZ165" i="1"/>
  <c r="DZ153" i="1"/>
  <c r="DZ142" i="1"/>
  <c r="DZ137" i="1"/>
  <c r="DZ66" i="1"/>
  <c r="DZ53" i="1"/>
  <c r="DZ34" i="1"/>
  <c r="DZ30" i="1"/>
  <c r="DZ55" i="1"/>
  <c r="DZ50" i="1"/>
  <c r="DZ177" i="1"/>
  <c r="DZ130" i="1"/>
  <c r="DZ117" i="1"/>
  <c r="DZ42" i="1"/>
  <c r="DZ195" i="1"/>
  <c r="DZ135" i="1"/>
  <c r="DI141" i="1"/>
  <c r="DI24" i="1"/>
  <c r="DI234" i="1"/>
  <c r="DI288" i="1"/>
  <c r="DZ365" i="1"/>
  <c r="DZ12" i="1"/>
  <c r="DZ67" i="1"/>
  <c r="DZ399" i="1"/>
  <c r="DZ389" i="1"/>
  <c r="DZ351" i="1"/>
  <c r="DZ274" i="1"/>
  <c r="DZ266" i="1"/>
  <c r="DZ217" i="1"/>
  <c r="DZ85" i="1"/>
  <c r="DZ403" i="1"/>
  <c r="DZ347" i="1"/>
  <c r="DZ337" i="1"/>
  <c r="DZ320" i="1"/>
  <c r="DZ295" i="1"/>
  <c r="DZ265" i="1"/>
  <c r="DZ56" i="1"/>
  <c r="DZ306" i="1"/>
  <c r="DZ69" i="1"/>
  <c r="DZ372" i="1"/>
  <c r="DZ234" i="1"/>
  <c r="DZ219" i="1"/>
  <c r="DZ64" i="1"/>
  <c r="DZ183" i="1"/>
  <c r="DI363" i="1"/>
  <c r="DI259" i="1"/>
  <c r="DI174" i="1"/>
  <c r="DH391" i="1"/>
  <c r="DI387" i="1"/>
  <c r="DI203" i="1"/>
  <c r="DI199" i="1"/>
  <c r="DI375" i="1"/>
  <c r="DI271" i="1"/>
  <c r="DI247" i="1"/>
  <c r="DI323" i="1"/>
  <c r="DI291" i="1"/>
  <c r="DI239" i="1"/>
  <c r="DI183" i="1"/>
  <c r="DI399" i="1"/>
  <c r="DI359" i="1"/>
  <c r="DI367" i="1"/>
  <c r="DI355" i="1"/>
  <c r="DI351" i="1"/>
  <c r="DI299" i="1"/>
  <c r="DI403" i="1"/>
  <c r="DI347" i="1"/>
  <c r="DI295" i="1"/>
  <c r="DI311" i="1"/>
  <c r="DI219" i="1"/>
  <c r="DI195" i="1"/>
  <c r="DI191" i="1"/>
  <c r="DI187" i="1"/>
  <c r="DZ128" i="1"/>
  <c r="DZ93" i="1"/>
  <c r="DZ368" i="1"/>
  <c r="DZ329" i="1"/>
  <c r="DZ338" i="1"/>
  <c r="DZ221" i="1"/>
  <c r="DI72" i="1"/>
  <c r="DZ261" i="1"/>
  <c r="L140" i="24"/>
  <c r="DH141" i="1"/>
  <c r="L150" i="24"/>
  <c r="L330" i="24"/>
  <c r="DH331" i="1"/>
  <c r="DH157" i="1"/>
  <c r="DH337" i="1"/>
  <c r="DH111" i="1"/>
  <c r="DH207" i="1"/>
  <c r="DH273" i="1"/>
  <c r="DH237" i="1"/>
  <c r="L148" i="24"/>
  <c r="DH149" i="1"/>
  <c r="L391" i="24"/>
  <c r="DH123" i="1"/>
  <c r="DH253" i="1"/>
  <c r="L252" i="24"/>
  <c r="DZ24" i="1"/>
  <c r="DZ258" i="1"/>
  <c r="DZ201" i="1"/>
  <c r="DZ400" i="1"/>
  <c r="DZ340" i="1"/>
  <c r="DZ78" i="1"/>
  <c r="DZ328" i="1"/>
  <c r="DZ307" i="1"/>
  <c r="DZ141" i="1"/>
  <c r="DH287" i="1"/>
  <c r="DH125" i="1"/>
  <c r="DH285" i="1"/>
  <c r="DH223" i="1"/>
  <c r="DH129" i="1"/>
  <c r="DH369" i="1"/>
  <c r="DH64" i="1"/>
  <c r="DH275" i="1"/>
  <c r="DH335" i="1"/>
  <c r="L193" i="24"/>
  <c r="F407" i="1" l="1"/>
  <c r="H407" i="1"/>
  <c r="E229" i="1"/>
  <c r="E231" i="4" s="1"/>
  <c r="E173" i="1"/>
  <c r="E175" i="4" s="1"/>
  <c r="DI145" i="1"/>
  <c r="DI50" i="1"/>
  <c r="L49" i="24"/>
  <c r="DH50" i="1"/>
  <c r="DI327" i="1"/>
  <c r="DI339" i="1"/>
  <c r="DZ190" i="1"/>
  <c r="G410" i="1"/>
  <c r="E24" i="1"/>
  <c r="E26" i="4" s="1"/>
  <c r="E32" i="1"/>
  <c r="E34" i="4" s="1"/>
  <c r="E40" i="1"/>
  <c r="E42" i="4" s="1"/>
  <c r="E96" i="1"/>
  <c r="E98" i="4" s="1"/>
  <c r="E152" i="1"/>
  <c r="E154" i="4" s="1"/>
  <c r="E160" i="1"/>
  <c r="E162" i="4" s="1"/>
  <c r="E180" i="1"/>
  <c r="E182" i="4" s="1"/>
  <c r="E280" i="1"/>
  <c r="E282" i="4" s="1"/>
  <c r="E312" i="1"/>
  <c r="E314" i="4" s="1"/>
  <c r="E336" i="1"/>
  <c r="E338" i="4" s="1"/>
  <c r="E360" i="1"/>
  <c r="E362" i="4" s="1"/>
  <c r="E400" i="1"/>
  <c r="E402" i="4" s="1"/>
  <c r="L254" i="24"/>
  <c r="DH255" i="1"/>
  <c r="DH73" i="1"/>
  <c r="E88" i="1"/>
  <c r="E90" i="4" s="1"/>
  <c r="E104" i="1"/>
  <c r="E106" i="4" s="1"/>
  <c r="E128" i="1"/>
  <c r="E130" i="4" s="1"/>
  <c r="E144" i="1"/>
  <c r="E146" i="4" s="1"/>
  <c r="E172" i="1"/>
  <c r="E174" i="4" s="1"/>
  <c r="E204" i="1"/>
  <c r="E206" i="4" s="1"/>
  <c r="E220" i="1"/>
  <c r="E222" i="4" s="1"/>
  <c r="E228" i="1"/>
  <c r="E230" i="4" s="1"/>
  <c r="E272" i="1"/>
  <c r="E274" i="4" s="1"/>
  <c r="E296" i="1"/>
  <c r="E298" i="4" s="1"/>
  <c r="E304" i="1"/>
  <c r="E306" i="4" s="1"/>
  <c r="E328" i="1"/>
  <c r="E330" i="4" s="1"/>
  <c r="E376" i="1"/>
  <c r="E378" i="4" s="1"/>
  <c r="E392" i="1"/>
  <c r="E394" i="4" s="1"/>
  <c r="DZ80" i="1"/>
  <c r="DZ252" i="1"/>
  <c r="DZ298" i="1"/>
  <c r="DI324" i="1"/>
  <c r="DI25" i="1"/>
  <c r="DI370" i="1"/>
  <c r="DI378" i="1"/>
  <c r="DI192" i="1"/>
  <c r="DI218" i="1"/>
  <c r="E12" i="1"/>
  <c r="E14" i="4" s="1"/>
  <c r="E48" i="1"/>
  <c r="E50" i="4" s="1"/>
  <c r="E56" i="1"/>
  <c r="E58" i="4" s="1"/>
  <c r="E64" i="1"/>
  <c r="E66" i="4" s="1"/>
  <c r="E72" i="1"/>
  <c r="E74" i="4" s="1"/>
  <c r="E80" i="1"/>
  <c r="E82" i="4" s="1"/>
  <c r="E112" i="1"/>
  <c r="E114" i="4" s="1"/>
  <c r="E188" i="1"/>
  <c r="E190" i="4" s="1"/>
  <c r="E244" i="1"/>
  <c r="E246" i="4" s="1"/>
  <c r="E344" i="1"/>
  <c r="E346" i="4" s="1"/>
  <c r="E368" i="1"/>
  <c r="DZ110" i="1"/>
  <c r="F404" i="1"/>
  <c r="H404" i="1"/>
  <c r="DI276" i="1"/>
  <c r="DI160" i="1"/>
  <c r="DI389" i="1"/>
  <c r="DI11" i="1"/>
  <c r="DI216" i="1"/>
  <c r="DI36" i="1"/>
  <c r="DI236" i="1"/>
  <c r="DH154" i="1"/>
  <c r="DZ198" i="1"/>
  <c r="DZ330" i="1"/>
  <c r="DZ112" i="1"/>
  <c r="DZ370" i="1"/>
  <c r="E148" i="1"/>
  <c r="E150" i="4" s="1"/>
  <c r="E184" i="1"/>
  <c r="E186" i="4" s="1"/>
  <c r="E192" i="1"/>
  <c r="E194" i="4" s="1"/>
  <c r="E200" i="1"/>
  <c r="E202" i="4" s="1"/>
  <c r="E208" i="1"/>
  <c r="E210" i="4" s="1"/>
  <c r="E216" i="1"/>
  <c r="E218" i="4" s="1"/>
  <c r="E240" i="1"/>
  <c r="E242" i="4" s="1"/>
  <c r="E284" i="1"/>
  <c r="E286" i="4" s="1"/>
  <c r="E364" i="1"/>
  <c r="E366" i="4" s="1"/>
  <c r="E372" i="1"/>
  <c r="E374" i="4" s="1"/>
  <c r="E10" i="1"/>
  <c r="DZ61" i="1"/>
  <c r="DZ136" i="1"/>
  <c r="DZ332" i="1"/>
  <c r="DI284" i="1"/>
  <c r="DZ324" i="1"/>
  <c r="DI59" i="1"/>
  <c r="E16" i="1"/>
  <c r="E18" i="4" s="1"/>
  <c r="E100" i="1"/>
  <c r="E102" i="4" s="1"/>
  <c r="E132" i="1"/>
  <c r="E134" i="4" s="1"/>
  <c r="E140" i="1"/>
  <c r="E142" i="4" s="1"/>
  <c r="E176" i="1"/>
  <c r="E178" i="4" s="1"/>
  <c r="E260" i="1"/>
  <c r="E262" i="4" s="1"/>
  <c r="E268" i="1"/>
  <c r="E270" i="4" s="1"/>
  <c r="E276" i="1"/>
  <c r="E278" i="4" s="1"/>
  <c r="E308" i="1"/>
  <c r="E310" i="4" s="1"/>
  <c r="E316" i="1"/>
  <c r="E318" i="4" s="1"/>
  <c r="E324" i="1"/>
  <c r="E326" i="4" s="1"/>
  <c r="E332" i="1"/>
  <c r="E334" i="4" s="1"/>
  <c r="E340" i="1"/>
  <c r="E342" i="4" s="1"/>
  <c r="E348" i="1"/>
  <c r="E350" i="4" s="1"/>
  <c r="E356" i="1"/>
  <c r="E358" i="4" s="1"/>
  <c r="E388" i="1"/>
  <c r="E390" i="4" s="1"/>
  <c r="E396" i="1"/>
  <c r="E398" i="4" s="1"/>
  <c r="H409" i="1"/>
  <c r="DH194" i="1"/>
  <c r="DH163" i="1"/>
  <c r="DZ39" i="1"/>
  <c r="DH392" i="1"/>
  <c r="DH151" i="1"/>
  <c r="DI9" i="1"/>
  <c r="E84" i="1"/>
  <c r="E86" i="4" s="1"/>
  <c r="E92" i="1"/>
  <c r="E94" i="4" s="1"/>
  <c r="E116" i="1"/>
  <c r="E118" i="4" s="1"/>
  <c r="E232" i="1"/>
  <c r="E234" i="4" s="1"/>
  <c r="E248" i="1"/>
  <c r="E250" i="4" s="1"/>
  <c r="E380" i="1"/>
  <c r="E382" i="4" s="1"/>
  <c r="F409" i="1"/>
  <c r="DI143" i="1"/>
  <c r="DH366" i="1"/>
  <c r="DH281" i="1"/>
  <c r="DZ308" i="1"/>
  <c r="DZ176" i="1"/>
  <c r="DZ396" i="1"/>
  <c r="DZ132" i="1"/>
  <c r="DI240" i="1"/>
  <c r="DI124" i="1"/>
  <c r="DI254" i="1"/>
  <c r="DZ116" i="1"/>
  <c r="DZ248" i="1"/>
  <c r="DZ276" i="1"/>
  <c r="DZ288" i="1"/>
  <c r="DZ21" i="1"/>
  <c r="F408" i="1"/>
  <c r="DI49" i="1"/>
  <c r="DZ312" i="1"/>
  <c r="DZ336" i="1"/>
  <c r="DI85" i="1"/>
  <c r="DI126" i="1"/>
  <c r="DH276" i="1"/>
  <c r="DH265" i="1"/>
  <c r="DZ59" i="1"/>
  <c r="DZ304" i="1"/>
  <c r="DI342" i="1"/>
  <c r="DH314" i="1"/>
  <c r="DZ334" i="1"/>
  <c r="DZ160" i="1"/>
  <c r="DZ272" i="1"/>
  <c r="DI344" i="1"/>
  <c r="DI386" i="1"/>
  <c r="L266" i="24"/>
  <c r="L153" i="24"/>
  <c r="L280" i="24"/>
  <c r="DI178" i="1"/>
  <c r="DI112" i="1"/>
  <c r="DH307" i="1"/>
  <c r="DI307" i="1"/>
  <c r="DH267" i="1"/>
  <c r="DI267" i="1"/>
  <c r="DI303" i="1"/>
  <c r="DI263" i="1"/>
  <c r="DI395" i="1"/>
  <c r="DI383" i="1"/>
  <c r="DI266" i="1"/>
  <c r="DH79" i="1"/>
  <c r="DI79" i="1"/>
  <c r="DI224" i="1"/>
  <c r="DI286" i="1"/>
  <c r="L275" i="24"/>
  <c r="DI113" i="1"/>
  <c r="DH377" i="1"/>
  <c r="DI377" i="1"/>
  <c r="DH61" i="1"/>
  <c r="DI61" i="1"/>
  <c r="DH328" i="1"/>
  <c r="DI328" i="1"/>
  <c r="DI186" i="1"/>
  <c r="DI301" i="1"/>
  <c r="DH329" i="1"/>
  <c r="DI329" i="1"/>
  <c r="DI181" i="1"/>
  <c r="DI369" i="1"/>
  <c r="DI103" i="1"/>
  <c r="DI223" i="1"/>
  <c r="DI343" i="1"/>
  <c r="DI204" i="1"/>
  <c r="DI200" i="1"/>
  <c r="DO168" i="1"/>
  <c r="DP168" i="1" s="1"/>
  <c r="DQ168" i="1"/>
  <c r="H408" i="1"/>
  <c r="E63" i="1"/>
  <c r="E65" i="4" s="1"/>
  <c r="E263" i="1"/>
  <c r="E265" i="4" s="1"/>
  <c r="E307" i="1"/>
  <c r="E309" i="4" s="1"/>
  <c r="E315" i="1"/>
  <c r="E317" i="4" s="1"/>
  <c r="E323" i="1"/>
  <c r="E325" i="4" s="1"/>
  <c r="E331" i="1"/>
  <c r="E333" i="4" s="1"/>
  <c r="E339" i="1"/>
  <c r="E341" i="4" s="1"/>
  <c r="E347" i="1"/>
  <c r="E349" i="4" s="1"/>
  <c r="E355" i="1"/>
  <c r="E357" i="4" s="1"/>
  <c r="E371" i="1"/>
  <c r="E373" i="4" s="1"/>
  <c r="DH44" i="1"/>
  <c r="DI44" i="1"/>
  <c r="DI52" i="1"/>
  <c r="DH297" i="1"/>
  <c r="DI297" i="1"/>
  <c r="DH397" i="1"/>
  <c r="DI397" i="1"/>
  <c r="DI10" i="1"/>
  <c r="DH10" i="1"/>
  <c r="DH42" i="1"/>
  <c r="DI42" i="1"/>
  <c r="DI171" i="1"/>
  <c r="DH171" i="1"/>
  <c r="L94" i="24"/>
  <c r="L378" i="24"/>
  <c r="L376" i="24"/>
  <c r="L122" i="24"/>
  <c r="L110" i="24"/>
  <c r="L72" i="24"/>
  <c r="DI335" i="1"/>
  <c r="DI26" i="1"/>
  <c r="DH14" i="1"/>
  <c r="DI14" i="1"/>
  <c r="DI382" i="1"/>
  <c r="DH120" i="1"/>
  <c r="DI120" i="1"/>
  <c r="DI285" i="1"/>
  <c r="E11" i="4"/>
  <c r="E14" i="1"/>
  <c r="E16" i="4" s="1"/>
  <c r="E90" i="1"/>
  <c r="E92" i="4" s="1"/>
  <c r="E98" i="1"/>
  <c r="E100" i="4" s="1"/>
  <c r="E190" i="1"/>
  <c r="E192" i="4" s="1"/>
  <c r="E246" i="1"/>
  <c r="E248" i="4" s="1"/>
  <c r="E298" i="1"/>
  <c r="E300" i="4" s="1"/>
  <c r="E386" i="1"/>
  <c r="E388" i="4" s="1"/>
  <c r="E402" i="1"/>
  <c r="E404" i="4" s="1"/>
  <c r="DZ228" i="1"/>
  <c r="DZ236" i="1"/>
  <c r="DH20" i="1"/>
  <c r="DI20" i="1"/>
  <c r="DH28" i="1"/>
  <c r="DI28" i="1"/>
  <c r="DH105" i="1"/>
  <c r="DI105" i="1"/>
  <c r="DH225" i="1"/>
  <c r="DI225" i="1"/>
  <c r="DH233" i="1"/>
  <c r="DI233" i="1"/>
  <c r="DI333" i="1"/>
  <c r="DH341" i="1"/>
  <c r="DI341" i="1"/>
  <c r="DI74" i="1"/>
  <c r="DH74" i="1"/>
  <c r="L178" i="24"/>
  <c r="L278" i="24"/>
  <c r="L272" i="24"/>
  <c r="L336" i="24"/>
  <c r="DI275" i="1"/>
  <c r="DI332" i="1"/>
  <c r="DI213" i="1"/>
  <c r="DI353" i="1"/>
  <c r="DH169" i="1"/>
  <c r="DI169" i="1"/>
  <c r="DI65" i="1"/>
  <c r="DI135" i="1"/>
  <c r="DH379" i="1"/>
  <c r="DI379" i="1"/>
  <c r="DI129" i="1"/>
  <c r="DI230" i="1"/>
  <c r="DI37" i="1"/>
  <c r="DO256" i="1"/>
  <c r="DQ256" i="1"/>
  <c r="E12" i="4"/>
  <c r="E195" i="1"/>
  <c r="E197" i="4" s="1"/>
  <c r="E275" i="1"/>
  <c r="E277" i="4" s="1"/>
  <c r="E311" i="1"/>
  <c r="E313" i="4" s="1"/>
  <c r="E319" i="1"/>
  <c r="E321" i="4" s="1"/>
  <c r="E327" i="1"/>
  <c r="E329" i="4" s="1"/>
  <c r="E335" i="1"/>
  <c r="E337" i="4" s="1"/>
  <c r="E343" i="1"/>
  <c r="E345" i="4" s="1"/>
  <c r="E351" i="1"/>
  <c r="E353" i="4" s="1"/>
  <c r="E367" i="1"/>
  <c r="E369" i="4" s="1"/>
  <c r="DI40" i="1"/>
  <c r="DH40" i="1"/>
  <c r="DH48" i="1"/>
  <c r="DI48" i="1"/>
  <c r="DH89" i="1"/>
  <c r="DI89" i="1"/>
  <c r="DI261" i="1"/>
  <c r="DI269" i="1"/>
  <c r="DI293" i="1"/>
  <c r="DH22" i="1"/>
  <c r="DI22" i="1"/>
  <c r="DI38" i="1"/>
  <c r="DH38" i="1"/>
  <c r="DI107" i="1"/>
  <c r="DI139" i="1"/>
  <c r="DI159" i="1"/>
  <c r="DI167" i="1"/>
  <c r="DI287" i="1"/>
  <c r="L162" i="24"/>
  <c r="L236" i="24"/>
  <c r="L206" i="24"/>
  <c r="L331" i="24"/>
  <c r="DH279" i="1"/>
  <c r="DI279" i="1"/>
  <c r="DI391" i="1"/>
  <c r="DI19" i="1"/>
  <c r="DI136" i="1"/>
  <c r="DI127" i="1"/>
  <c r="DH172" i="1"/>
  <c r="DI172" i="1"/>
  <c r="DI278" i="1"/>
  <c r="DI56" i="1"/>
  <c r="DI366" i="1"/>
  <c r="DI393" i="1"/>
  <c r="DI298" i="1"/>
  <c r="DH179" i="1"/>
  <c r="DI179" i="1"/>
  <c r="DI280" i="1"/>
  <c r="DH380" i="1"/>
  <c r="DI380" i="1"/>
  <c r="DI125" i="1"/>
  <c r="DH95" i="1"/>
  <c r="DI95" i="1"/>
  <c r="E20" i="4"/>
  <c r="E30" i="1"/>
  <c r="E32" i="4" s="1"/>
  <c r="E38" i="1"/>
  <c r="E40" i="4" s="1"/>
  <c r="E122" i="1"/>
  <c r="E124" i="4" s="1"/>
  <c r="E130" i="1"/>
  <c r="E132" i="4" s="1"/>
  <c r="E162" i="1"/>
  <c r="E164" i="4" s="1"/>
  <c r="E222" i="1"/>
  <c r="E224" i="4" s="1"/>
  <c r="E258" i="1"/>
  <c r="E260" i="4" s="1"/>
  <c r="E294" i="1"/>
  <c r="E296" i="4" s="1"/>
  <c r="E390" i="1"/>
  <c r="E392" i="4" s="1"/>
  <c r="DH16" i="1"/>
  <c r="DI16" i="1"/>
  <c r="DH32" i="1"/>
  <c r="DI32" i="1"/>
  <c r="DI101" i="1"/>
  <c r="DH101" i="1"/>
  <c r="DH117" i="1"/>
  <c r="DI117" i="1"/>
  <c r="DI153" i="1"/>
  <c r="DH153" i="1"/>
  <c r="DI189" i="1"/>
  <c r="DH189" i="1"/>
  <c r="DI345" i="1"/>
  <c r="DH345" i="1"/>
  <c r="DH300" i="1"/>
  <c r="DH258" i="1"/>
  <c r="DI346" i="1"/>
  <c r="DZ65" i="1"/>
  <c r="DZ57" i="1"/>
  <c r="DZ254" i="1"/>
  <c r="DH218" i="1"/>
  <c r="DH82" i="1"/>
  <c r="DH254" i="1"/>
  <c r="DH350" i="1"/>
  <c r="DH84" i="1"/>
  <c r="DH144" i="1"/>
  <c r="L143" i="24"/>
  <c r="DH388" i="1"/>
  <c r="DH102" i="1"/>
  <c r="DH37" i="1"/>
  <c r="DI184" i="1"/>
  <c r="DH97" i="1"/>
  <c r="DZ206" i="1"/>
  <c r="DZ88" i="1"/>
  <c r="DZ49" i="1"/>
  <c r="DI166" i="1"/>
  <c r="DI246" i="1"/>
  <c r="DI354" i="1"/>
  <c r="DH66" i="1"/>
  <c r="DH91" i="1"/>
  <c r="DH119" i="1"/>
  <c r="DH227" i="1"/>
  <c r="DI212" i="1"/>
  <c r="DI80" i="1"/>
  <c r="DI108" i="1"/>
  <c r="DI114" i="1"/>
  <c r="DH185" i="1"/>
  <c r="DZ29" i="1"/>
  <c r="DZ156" i="1"/>
  <c r="DZ240" i="1"/>
  <c r="DZ9" i="1"/>
  <c r="DZ194" i="1"/>
  <c r="DZ166" i="1"/>
  <c r="DH173" i="1"/>
  <c r="DH43" i="1"/>
  <c r="DI356" i="1"/>
  <c r="DH241" i="1"/>
  <c r="DZ354" i="1"/>
  <c r="DZ186" i="1"/>
  <c r="DZ120" i="1"/>
  <c r="DZ25" i="1"/>
  <c r="DZ37" i="1"/>
  <c r="DZ45" i="1"/>
  <c r="DI21" i="1"/>
  <c r="DH34" i="1"/>
  <c r="DH58" i="1"/>
  <c r="DH131" i="1"/>
  <c r="DH243" i="1"/>
  <c r="DH319" i="1"/>
  <c r="DI88" i="1"/>
  <c r="DI336" i="1"/>
  <c r="DH394" i="1"/>
  <c r="DZ126" i="1"/>
  <c r="DZ164" i="1"/>
  <c r="DZ168" i="1"/>
  <c r="DZ200" i="1"/>
  <c r="DZ264" i="1"/>
  <c r="DZ218" i="1"/>
  <c r="DZ302" i="1"/>
  <c r="DI294" i="1"/>
  <c r="DZ294" i="1"/>
  <c r="DH147" i="1"/>
  <c r="DI364" i="1"/>
  <c r="DH321" i="1"/>
  <c r="L320" i="24"/>
  <c r="DH148" i="1"/>
  <c r="DH164" i="1"/>
  <c r="DH240" i="1"/>
  <c r="DH372" i="1"/>
  <c r="DH400" i="1"/>
  <c r="DH374" i="1"/>
  <c r="DH59" i="1"/>
  <c r="DH272" i="1"/>
  <c r="DH290" i="1"/>
  <c r="DH184" i="1"/>
  <c r="DH384" i="1"/>
  <c r="DH140" i="1"/>
  <c r="DH228" i="1"/>
  <c r="DH340" i="1"/>
  <c r="DH69" i="1"/>
  <c r="DH134" i="1"/>
  <c r="DH270" i="1"/>
  <c r="DH282" i="1"/>
  <c r="DH306" i="1"/>
  <c r="DH370" i="1"/>
  <c r="DH378" i="1"/>
  <c r="DH108" i="1"/>
  <c r="DH124" i="1"/>
  <c r="DH158" i="1"/>
  <c r="DH222" i="1"/>
  <c r="DH342" i="1"/>
  <c r="DH192" i="1"/>
  <c r="DH344" i="1"/>
  <c r="DH386" i="1"/>
  <c r="DH357" i="1"/>
  <c r="DH317" i="1"/>
  <c r="DH77" i="1"/>
  <c r="DZ35" i="1"/>
  <c r="DZ51" i="1"/>
  <c r="DZ220" i="1"/>
  <c r="DZ352" i="1"/>
  <c r="DZ90" i="1"/>
  <c r="DI138" i="1"/>
  <c r="DZ138" i="1"/>
  <c r="DZ146" i="1"/>
  <c r="DZ226" i="1"/>
  <c r="DZ242" i="1"/>
  <c r="DZ262" i="1"/>
  <c r="DZ310" i="1"/>
  <c r="DZ322" i="1"/>
  <c r="DZ362" i="1"/>
  <c r="DI146" i="1"/>
  <c r="DI310" i="1"/>
  <c r="DH201" i="1"/>
  <c r="DH49" i="1"/>
  <c r="DI100" i="1"/>
  <c r="DH62" i="1"/>
  <c r="DH231" i="1"/>
  <c r="DI23" i="1"/>
  <c r="DI51" i="1"/>
  <c r="DI220" i="1"/>
  <c r="DI260" i="1"/>
  <c r="DI53" i="1"/>
  <c r="DH224" i="1"/>
  <c r="DH301" i="1"/>
  <c r="DH25" i="1"/>
  <c r="DH94" i="1"/>
  <c r="DZ15" i="1"/>
  <c r="DZ31" i="1"/>
  <c r="DZ184" i="1"/>
  <c r="DZ196" i="1"/>
  <c r="DZ208" i="1"/>
  <c r="DZ268" i="1"/>
  <c r="DZ284" i="1"/>
  <c r="DZ376" i="1"/>
  <c r="DZ384" i="1"/>
  <c r="DZ13" i="1"/>
  <c r="DI13" i="1"/>
  <c r="DI78" i="1"/>
  <c r="DZ86" i="1"/>
  <c r="DZ98" i="1"/>
  <c r="DI98" i="1"/>
  <c r="DZ182" i="1"/>
  <c r="DI182" i="1"/>
  <c r="DI318" i="1"/>
  <c r="DZ318" i="1"/>
  <c r="DZ342" i="1"/>
  <c r="DZ358" i="1"/>
  <c r="DI390" i="1"/>
  <c r="DZ390" i="1"/>
  <c r="DI262" i="1"/>
  <c r="DH109" i="1"/>
  <c r="DH325" i="1"/>
  <c r="DH130" i="1"/>
  <c r="DI302" i="1"/>
  <c r="DI362" i="1"/>
  <c r="DH165" i="1"/>
  <c r="DH70" i="1"/>
  <c r="DH315" i="1"/>
  <c r="DI31" i="1"/>
  <c r="DI268" i="1"/>
  <c r="DI368" i="1"/>
  <c r="DH136" i="1"/>
  <c r="DH9" i="1"/>
  <c r="DZ11" i="1"/>
  <c r="DZ27" i="1"/>
  <c r="DI27" i="1"/>
  <c r="DZ63" i="1"/>
  <c r="DZ108" i="1"/>
  <c r="DZ124" i="1"/>
  <c r="DZ216" i="1"/>
  <c r="DZ244" i="1"/>
  <c r="DZ292" i="1"/>
  <c r="DZ316" i="1"/>
  <c r="DZ348" i="1"/>
  <c r="DZ114" i="1"/>
  <c r="DZ214" i="1"/>
  <c r="DI214" i="1"/>
  <c r="DZ222" i="1"/>
  <c r="DI326" i="1"/>
  <c r="DZ326" i="1"/>
  <c r="DI338" i="1"/>
  <c r="DZ386" i="1"/>
  <c r="DI398" i="1"/>
  <c r="DH245" i="1"/>
  <c r="DI110" i="1"/>
  <c r="DI142" i="1"/>
  <c r="DH230" i="1"/>
  <c r="DI322" i="1"/>
  <c r="DH83" i="1"/>
  <c r="DH115" i="1"/>
  <c r="DH327" i="1"/>
  <c r="DI63" i="1"/>
  <c r="DI128" i="1"/>
  <c r="DI196" i="1"/>
  <c r="DI348" i="1"/>
  <c r="DH332" i="1"/>
  <c r="DH382" i="1"/>
  <c r="DH343" i="1"/>
  <c r="DH41" i="1"/>
  <c r="DH57" i="1"/>
  <c r="DI90" i="1"/>
  <c r="DH126" i="1"/>
  <c r="DZ43" i="1"/>
  <c r="DZ76" i="1"/>
  <c r="DZ192" i="1"/>
  <c r="DZ204" i="1"/>
  <c r="DZ344" i="1"/>
  <c r="DZ356" i="1"/>
  <c r="DZ94" i="1"/>
  <c r="DZ150" i="1"/>
  <c r="DZ158" i="1"/>
  <c r="DZ170" i="1"/>
  <c r="DZ178" i="1"/>
  <c r="DZ210" i="1"/>
  <c r="DZ250" i="1"/>
  <c r="DZ290" i="1"/>
  <c r="DZ366" i="1"/>
  <c r="DZ394" i="1"/>
  <c r="DZ402" i="1"/>
  <c r="DI402" i="1"/>
  <c r="DH277" i="1"/>
  <c r="DI358" i="1"/>
  <c r="DI86" i="1"/>
  <c r="DI150" i="1"/>
  <c r="DI250" i="1"/>
  <c r="DI334" i="1"/>
  <c r="DH87" i="1"/>
  <c r="DH211" i="1"/>
  <c r="DH371" i="1"/>
  <c r="DI132" i="1"/>
  <c r="DI176" i="1"/>
  <c r="DI208" i="1"/>
  <c r="DI248" i="1"/>
  <c r="DI316" i="1"/>
  <c r="DI352" i="1"/>
  <c r="DI376" i="1"/>
  <c r="DI244" i="1"/>
  <c r="DH68" i="1"/>
  <c r="DH17" i="1"/>
  <c r="DH145" i="1"/>
  <c r="DH284" i="1"/>
  <c r="DH56" i="1"/>
  <c r="DH85" i="1"/>
  <c r="DH93" i="1"/>
  <c r="DH313" i="1"/>
  <c r="DH221" i="1"/>
  <c r="DH177" i="1"/>
  <c r="DH401" i="1"/>
  <c r="DH236" i="1"/>
  <c r="DH190" i="1"/>
  <c r="DH162" i="1"/>
  <c r="DH181" i="1"/>
  <c r="DH103" i="1"/>
  <c r="DH67" i="1"/>
  <c r="DH204" i="1"/>
  <c r="DH280" i="1"/>
  <c r="DH373" i="1"/>
  <c r="DH29" i="1"/>
  <c r="DH92" i="1"/>
  <c r="DH198" i="1"/>
  <c r="DH217" i="1"/>
  <c r="DH137" i="1"/>
  <c r="DH121" i="1"/>
  <c r="DH305" i="1"/>
  <c r="DH349" i="1"/>
  <c r="DH229" i="1"/>
  <c r="DH36" i="1"/>
  <c r="DH304" i="1"/>
  <c r="DH81" i="1"/>
  <c r="DH193" i="1"/>
  <c r="DH46" i="1"/>
  <c r="DH143" i="1"/>
  <c r="DH235" i="1"/>
  <c r="DH11" i="1"/>
  <c r="DH71" i="1"/>
  <c r="DH156" i="1"/>
  <c r="DH216" i="1"/>
  <c r="DH396" i="1"/>
  <c r="DH353" i="1"/>
  <c r="DH33" i="1"/>
  <c r="DH96" i="1"/>
  <c r="DH180" i="1"/>
  <c r="DH274" i="1"/>
  <c r="DH170" i="1"/>
  <c r="DH242" i="1"/>
  <c r="DH365" i="1"/>
  <c r="DH60" i="1"/>
  <c r="DH381" i="1"/>
  <c r="DH330" i="1"/>
  <c r="DH161" i="1"/>
  <c r="DH249" i="1"/>
  <c r="DH54" i="1"/>
  <c r="DH251" i="1"/>
  <c r="DH15" i="1"/>
  <c r="DH168" i="1"/>
  <c r="DH312" i="1"/>
  <c r="DH361" i="1"/>
  <c r="DH65" i="1"/>
  <c r="DH135" i="1"/>
  <c r="DH213" i="1"/>
  <c r="DH39" i="1"/>
  <c r="DH186" i="1"/>
  <c r="DH298" i="1"/>
  <c r="DH18" i="1"/>
  <c r="DH133" i="1"/>
  <c r="DH99" i="1"/>
  <c r="DH339" i="1"/>
  <c r="DH200" i="1"/>
  <c r="DH324" i="1"/>
  <c r="DH266" i="1"/>
  <c r="DH24" i="1"/>
  <c r="DH122" i="1"/>
  <c r="DH385" i="1"/>
  <c r="DH393" i="1"/>
  <c r="DH104" i="1"/>
  <c r="DH309" i="1"/>
  <c r="DH289" i="1"/>
  <c r="DH55" i="1"/>
  <c r="DH206" i="1"/>
  <c r="DH238" i="1"/>
  <c r="DH288" i="1"/>
  <c r="DH389" i="1"/>
  <c r="DH106" i="1"/>
  <c r="DH202" i="1"/>
  <c r="DH197" i="1"/>
  <c r="DH175" i="1"/>
  <c r="DH160" i="1"/>
  <c r="DH234" i="1"/>
  <c r="DH205" i="1"/>
  <c r="DH19" i="1"/>
  <c r="DH257" i="1"/>
  <c r="DH127" i="1"/>
  <c r="DH278" i="1"/>
  <c r="DH26" i="1"/>
  <c r="DH113" i="1"/>
  <c r="DH232" i="1"/>
  <c r="DH283" i="1"/>
  <c r="DH286" i="1"/>
  <c r="L186" i="24"/>
  <c r="DH187" i="1"/>
  <c r="DH311" i="1"/>
  <c r="L310" i="24"/>
  <c r="L298" i="24"/>
  <c r="DH299" i="1"/>
  <c r="L358" i="24"/>
  <c r="DH359" i="1"/>
  <c r="L182" i="24"/>
  <c r="DH183" i="1"/>
  <c r="DH323" i="1"/>
  <c r="L322" i="24"/>
  <c r="DH263" i="1"/>
  <c r="L262" i="24"/>
  <c r="DH395" i="1"/>
  <c r="L394" i="24"/>
  <c r="DH383" i="1"/>
  <c r="L382" i="24"/>
  <c r="L190" i="24"/>
  <c r="DH191" i="1"/>
  <c r="L294" i="24"/>
  <c r="DH295" i="1"/>
  <c r="DH351" i="1"/>
  <c r="L350" i="24"/>
  <c r="DH399" i="1"/>
  <c r="L398" i="24"/>
  <c r="L238" i="24"/>
  <c r="DH239" i="1"/>
  <c r="L246" i="24"/>
  <c r="DH247" i="1"/>
  <c r="DI155" i="1"/>
  <c r="DH174" i="1"/>
  <c r="L173" i="24"/>
  <c r="DI12" i="1"/>
  <c r="L111" i="24"/>
  <c r="DH112" i="1"/>
  <c r="DH195" i="1"/>
  <c r="L194" i="24"/>
  <c r="L346" i="24"/>
  <c r="DH347" i="1"/>
  <c r="DH355" i="1"/>
  <c r="L354" i="24"/>
  <c r="DH303" i="1"/>
  <c r="L302" i="24"/>
  <c r="DH199" i="1"/>
  <c r="L198" i="24"/>
  <c r="L386" i="24"/>
  <c r="DH387" i="1"/>
  <c r="L258" i="24"/>
  <c r="DH259" i="1"/>
  <c r="DH219" i="1"/>
  <c r="L218" i="24"/>
  <c r="L402" i="24"/>
  <c r="DH403" i="1"/>
  <c r="DH367" i="1"/>
  <c r="L366" i="24"/>
  <c r="DH291" i="1"/>
  <c r="L290" i="24"/>
  <c r="DH271" i="1"/>
  <c r="L270" i="24"/>
  <c r="L374" i="24"/>
  <c r="DH375" i="1"/>
  <c r="L202" i="24"/>
  <c r="DH203" i="1"/>
  <c r="DH363" i="1"/>
  <c r="L362" i="24"/>
  <c r="DH256" i="1"/>
  <c r="L255" i="24"/>
  <c r="DH178" i="1"/>
  <c r="L177" i="24"/>
  <c r="L71" i="24"/>
  <c r="H410" i="1" l="1"/>
  <c r="F410" i="1"/>
  <c r="E407" i="1"/>
  <c r="G7" i="3" s="1"/>
  <c r="E370" i="4"/>
  <c r="C7" i="12"/>
  <c r="DH76" i="1"/>
  <c r="DI314" i="1"/>
  <c r="E405" i="1"/>
  <c r="DH252" i="1"/>
  <c r="DH35" i="1"/>
  <c r="DI330" i="1"/>
  <c r="L156" i="24"/>
  <c r="L10" i="24"/>
  <c r="DI162" i="1"/>
  <c r="DI170" i="1"/>
  <c r="DI130" i="1"/>
  <c r="DI118" i="1"/>
  <c r="DH118" i="1"/>
  <c r="DI190" i="1"/>
  <c r="DI198" i="1"/>
  <c r="DI312" i="1"/>
  <c r="DI226" i="1"/>
  <c r="DH226" i="1"/>
  <c r="DI210" i="1"/>
  <c r="DH210" i="1"/>
  <c r="DI256" i="1"/>
  <c r="DP256" i="1" s="1"/>
  <c r="DI55" i="1"/>
  <c r="DI39" i="1"/>
  <c r="DI41" i="1"/>
  <c r="DI320" i="1"/>
  <c r="DH320" i="1"/>
  <c r="DI180" i="1"/>
  <c r="DI152" i="1"/>
  <c r="DH152" i="1"/>
  <c r="DI71" i="1"/>
  <c r="DI96" i="1"/>
  <c r="DI17" i="1"/>
  <c r="DI156" i="1"/>
  <c r="DI67" i="1"/>
  <c r="DH45" i="1"/>
  <c r="DI304" i="1"/>
  <c r="DI188" i="1"/>
  <c r="DH188" i="1"/>
  <c r="DI396" i="1"/>
  <c r="DI29" i="1"/>
  <c r="DI238" i="1"/>
  <c r="DI292" i="1"/>
  <c r="DH292" i="1"/>
  <c r="DI106" i="1"/>
  <c r="DH80" i="1"/>
  <c r="L345" i="24"/>
  <c r="DI116" i="1"/>
  <c r="DH116" i="1"/>
  <c r="DI308" i="1"/>
  <c r="DH308" i="1"/>
  <c r="L63" i="24"/>
  <c r="DI92" i="1"/>
  <c r="DZ75" i="1"/>
  <c r="DZ404" i="1" s="1"/>
  <c r="L18" i="24"/>
  <c r="L204" i="24"/>
  <c r="L233" i="24"/>
  <c r="L174" i="24"/>
  <c r="L384" i="24"/>
  <c r="L23" i="24"/>
  <c r="L323" i="24"/>
  <c r="L34" i="24"/>
  <c r="L98" i="24"/>
  <c r="L185" i="24"/>
  <c r="L212" i="24"/>
  <c r="L64" i="24"/>
  <c r="L311" i="24"/>
  <c r="L75" i="24"/>
  <c r="L248" i="24"/>
  <c r="L380" i="24"/>
  <c r="L364" i="24"/>
  <c r="L215" i="24"/>
  <c r="L80" i="24"/>
  <c r="L303" i="24"/>
  <c r="L228" i="24"/>
  <c r="L304" i="24"/>
  <c r="L136" i="24"/>
  <c r="L197" i="24"/>
  <c r="L28" i="24"/>
  <c r="L102" i="24"/>
  <c r="L189" i="24"/>
  <c r="L235" i="24"/>
  <c r="L400" i="24"/>
  <c r="L176" i="24"/>
  <c r="L84" i="24"/>
  <c r="L16" i="24"/>
  <c r="L370" i="24"/>
  <c r="L86" i="24"/>
  <c r="L40" i="24"/>
  <c r="L244" i="24"/>
  <c r="L314" i="24"/>
  <c r="L164" i="24"/>
  <c r="L129" i="24"/>
  <c r="L328" i="24"/>
  <c r="L316" i="24"/>
  <c r="L355" i="24"/>
  <c r="L157" i="24"/>
  <c r="L113" i="24"/>
  <c r="L107" i="24"/>
  <c r="L79" i="24"/>
  <c r="L269" i="24"/>
  <c r="L339" i="24"/>
  <c r="L289" i="24"/>
  <c r="DI394" i="1"/>
  <c r="L242" i="24"/>
  <c r="L57" i="24"/>
  <c r="L184" i="24"/>
  <c r="L118" i="24"/>
  <c r="L65" i="24"/>
  <c r="DH47" i="1"/>
  <c r="DI47" i="1"/>
  <c r="L36" i="24"/>
  <c r="L101" i="24"/>
  <c r="L217" i="24"/>
  <c r="DH264" i="1"/>
  <c r="DI264" i="1"/>
  <c r="L188" i="24"/>
  <c r="L100" i="24"/>
  <c r="L390" i="24"/>
  <c r="L166" i="24"/>
  <c r="L138" i="24"/>
  <c r="L292" i="24"/>
  <c r="L260" i="24"/>
  <c r="L47" i="24"/>
  <c r="L128" i="24"/>
  <c r="L332" i="24"/>
  <c r="L27" i="24"/>
  <c r="E406" i="4"/>
  <c r="L41" i="24"/>
  <c r="L342" i="24"/>
  <c r="L112" i="24"/>
  <c r="L159" i="24"/>
  <c r="L196" i="24"/>
  <c r="L105" i="24"/>
  <c r="L287" i="24"/>
  <c r="L205" i="24"/>
  <c r="L54" i="24"/>
  <c r="L103" i="24"/>
  <c r="L338" i="24"/>
  <c r="L38" i="24"/>
  <c r="L167" i="24"/>
  <c r="L14" i="24"/>
  <c r="L53" i="24"/>
  <c r="L59" i="24"/>
  <c r="L241" i="24"/>
  <c r="L273" i="24"/>
  <c r="L70" i="24"/>
  <c r="L234" i="24"/>
  <c r="L45" i="24"/>
  <c r="L35" i="24"/>
  <c r="L66" i="24"/>
  <c r="L180" i="24"/>
  <c r="L312" i="24"/>
  <c r="L283" i="24"/>
  <c r="L306" i="24"/>
  <c r="L114" i="24"/>
  <c r="L229" i="24"/>
  <c r="DI252" i="1"/>
  <c r="L69" i="24"/>
  <c r="L108" i="24"/>
  <c r="L93" i="24"/>
  <c r="L327" i="24"/>
  <c r="L61" i="24"/>
  <c r="L48" i="24"/>
  <c r="L76" i="24"/>
  <c r="L191" i="24"/>
  <c r="L123" i="24"/>
  <c r="L383" i="24"/>
  <c r="L183" i="24"/>
  <c r="L373" i="24"/>
  <c r="L163" i="24"/>
  <c r="L318" i="24"/>
  <c r="L130" i="24"/>
  <c r="L33" i="24"/>
  <c r="DI43" i="1"/>
  <c r="L96" i="24"/>
  <c r="L387" i="24"/>
  <c r="L83" i="24"/>
  <c r="L81" i="24"/>
  <c r="DH346" i="1"/>
  <c r="L344" i="24"/>
  <c r="L264" i="24"/>
  <c r="L37" i="24"/>
  <c r="L88" i="24"/>
  <c r="L39" i="24"/>
  <c r="E408" i="1"/>
  <c r="J7" i="3" s="1"/>
  <c r="DH360" i="1"/>
  <c r="DI360" i="1"/>
  <c r="E409" i="1"/>
  <c r="M7" i="3" s="1"/>
  <c r="L284" i="24"/>
  <c r="L51" i="24"/>
  <c r="L282" i="24"/>
  <c r="L25" i="24"/>
  <c r="L277" i="24"/>
  <c r="L256" i="24"/>
  <c r="L201" i="24"/>
  <c r="L288" i="24"/>
  <c r="L121" i="24"/>
  <c r="L265" i="24"/>
  <c r="L199" i="24"/>
  <c r="L132" i="24"/>
  <c r="L297" i="24"/>
  <c r="L134" i="24"/>
  <c r="L360" i="24"/>
  <c r="L179" i="24"/>
  <c r="L32" i="24"/>
  <c r="L142" i="24"/>
  <c r="L192" i="24"/>
  <c r="L60" i="24"/>
  <c r="L279" i="24"/>
  <c r="L220" i="24"/>
  <c r="L92" i="24"/>
  <c r="L144" i="24"/>
  <c r="L210" i="24"/>
  <c r="L125" i="24"/>
  <c r="L56" i="24"/>
  <c r="L119" i="24"/>
  <c r="DI76" i="1"/>
  <c r="L78" i="24"/>
  <c r="L300" i="24"/>
  <c r="L324" i="24"/>
  <c r="L24" i="24"/>
  <c r="L356" i="24"/>
  <c r="L221" i="24"/>
  <c r="L305" i="24"/>
  <c r="L68" i="24"/>
  <c r="L227" i="24"/>
  <c r="L58" i="24"/>
  <c r="L399" i="24"/>
  <c r="L239" i="24"/>
  <c r="L240" i="24"/>
  <c r="DI35" i="1"/>
  <c r="L172" i="24"/>
  <c r="L226" i="24"/>
  <c r="L90" i="24"/>
  <c r="L253" i="24"/>
  <c r="L263" i="24"/>
  <c r="L257" i="24"/>
  <c r="L299" i="24"/>
  <c r="L365" i="24"/>
  <c r="L158" i="24"/>
  <c r="L106" i="24"/>
  <c r="L268" i="24"/>
  <c r="L274" i="24"/>
  <c r="DI296" i="1"/>
  <c r="DH296" i="1"/>
  <c r="L381" i="24"/>
  <c r="L334" i="24"/>
  <c r="L222" i="24"/>
  <c r="L368" i="24"/>
  <c r="L285" i="24"/>
  <c r="L231" i="24"/>
  <c r="L126" i="24"/>
  <c r="L388" i="24"/>
  <c r="L237" i="24"/>
  <c r="L308" i="24"/>
  <c r="L392" i="24"/>
  <c r="L251" i="24"/>
  <c r="L250" i="24"/>
  <c r="L160" i="24"/>
  <c r="L329" i="24"/>
  <c r="L169" i="24"/>
  <c r="L95" i="24"/>
  <c r="L352" i="24"/>
  <c r="L395" i="24"/>
  <c r="L155" i="24"/>
  <c r="L348" i="24"/>
  <c r="L120" i="24"/>
  <c r="L216" i="24"/>
  <c r="L91" i="24"/>
  <c r="L372" i="24"/>
  <c r="L203" i="24"/>
  <c r="L161" i="24"/>
  <c r="L55" i="24"/>
  <c r="L67" i="24"/>
  <c r="L276" i="24"/>
  <c r="L326" i="24"/>
  <c r="L82" i="24"/>
  <c r="L8" i="24"/>
  <c r="DI15" i="1"/>
  <c r="L171" i="24"/>
  <c r="L379" i="24"/>
  <c r="L230" i="24"/>
  <c r="L200" i="24"/>
  <c r="L385" i="24"/>
  <c r="DH356" i="1"/>
  <c r="L343" i="24"/>
  <c r="L341" i="24"/>
  <c r="DH114" i="1"/>
  <c r="L377" i="24"/>
  <c r="L369" i="24"/>
  <c r="L281" i="24"/>
  <c r="L133" i="24"/>
  <c r="L139" i="24"/>
  <c r="L271" i="24"/>
  <c r="L371" i="24"/>
  <c r="L147" i="24"/>
  <c r="L146" i="24"/>
  <c r="L349" i="24"/>
  <c r="DI45" i="1"/>
  <c r="L152" i="24"/>
  <c r="L15" i="24"/>
  <c r="L124" i="24"/>
  <c r="L135" i="24"/>
  <c r="L73" i="24"/>
  <c r="L224" i="24"/>
  <c r="L19" i="24"/>
  <c r="E404" i="1"/>
  <c r="C7" i="3" s="1"/>
  <c r="L170" i="24"/>
  <c r="L396" i="24"/>
  <c r="L223" i="24"/>
  <c r="DH364" i="1"/>
  <c r="DH354" i="1"/>
  <c r="DH246" i="1"/>
  <c r="DH166" i="1"/>
  <c r="DH336" i="1"/>
  <c r="DH21" i="1"/>
  <c r="DH294" i="1"/>
  <c r="DH88" i="1"/>
  <c r="DH212" i="1"/>
  <c r="DH352" i="1"/>
  <c r="DH176" i="1"/>
  <c r="DH334" i="1"/>
  <c r="DH402" i="1"/>
  <c r="DH128" i="1"/>
  <c r="DH322" i="1"/>
  <c r="DH398" i="1"/>
  <c r="DH326" i="1"/>
  <c r="DH214" i="1"/>
  <c r="DH31" i="1"/>
  <c r="DH302" i="1"/>
  <c r="DH390" i="1"/>
  <c r="DH98" i="1"/>
  <c r="DH13" i="1"/>
  <c r="DH260" i="1"/>
  <c r="DH100" i="1"/>
  <c r="DH316" i="1"/>
  <c r="DH132" i="1"/>
  <c r="DH250" i="1"/>
  <c r="DH358" i="1"/>
  <c r="DH63" i="1"/>
  <c r="DH220" i="1"/>
  <c r="DH244" i="1"/>
  <c r="DH248" i="1"/>
  <c r="DH150" i="1"/>
  <c r="DH348" i="1"/>
  <c r="DH110" i="1"/>
  <c r="DH27" i="1"/>
  <c r="DH368" i="1"/>
  <c r="DH262" i="1"/>
  <c r="DH318" i="1"/>
  <c r="DH182" i="1"/>
  <c r="DH51" i="1"/>
  <c r="DH310" i="1"/>
  <c r="DH376" i="1"/>
  <c r="DH208" i="1"/>
  <c r="DH86" i="1"/>
  <c r="DH90" i="1"/>
  <c r="DH196" i="1"/>
  <c r="DH142" i="1"/>
  <c r="DH338" i="1"/>
  <c r="DH268" i="1"/>
  <c r="DH362" i="1"/>
  <c r="DH78" i="1"/>
  <c r="DH53" i="1"/>
  <c r="DH23" i="1"/>
  <c r="DH146" i="1"/>
  <c r="DH138" i="1"/>
  <c r="L154" i="24"/>
  <c r="DH155" i="1"/>
  <c r="L11" i="24"/>
  <c r="DH12" i="1"/>
  <c r="DI215" i="1"/>
  <c r="DH72" i="1"/>
  <c r="DI75" i="1"/>
  <c r="E410" i="1" l="1"/>
  <c r="L117" i="24"/>
  <c r="L151" i="24"/>
  <c r="L319" i="24"/>
  <c r="L225" i="24"/>
  <c r="L209" i="24"/>
  <c r="L187" i="24"/>
  <c r="L313" i="24"/>
  <c r="L291" i="24"/>
  <c r="L307" i="24"/>
  <c r="L115" i="24"/>
  <c r="L137" i="24"/>
  <c r="L361" i="24"/>
  <c r="L267" i="24"/>
  <c r="L141" i="24"/>
  <c r="L89" i="24"/>
  <c r="L85" i="24"/>
  <c r="L309" i="24"/>
  <c r="L317" i="24"/>
  <c r="L149" i="24"/>
  <c r="L247" i="24"/>
  <c r="L357" i="24"/>
  <c r="L30" i="24"/>
  <c r="L213" i="24"/>
  <c r="L325" i="24"/>
  <c r="L127" i="24"/>
  <c r="L333" i="24"/>
  <c r="L335" i="24"/>
  <c r="L165" i="24"/>
  <c r="L245" i="24"/>
  <c r="L295" i="24"/>
  <c r="L17" i="24"/>
  <c r="L50" i="24"/>
  <c r="L181" i="24"/>
  <c r="L261" i="24"/>
  <c r="L367" i="24"/>
  <c r="L109" i="24"/>
  <c r="L219" i="24"/>
  <c r="L62" i="24"/>
  <c r="L315" i="24"/>
  <c r="L301" i="24"/>
  <c r="L321" i="24"/>
  <c r="L401" i="24"/>
  <c r="L293" i="24"/>
  <c r="L20" i="24"/>
  <c r="L363" i="24"/>
  <c r="L42" i="24"/>
  <c r="DH409" i="1"/>
  <c r="L145" i="24"/>
  <c r="L22" i="24"/>
  <c r="L52" i="24"/>
  <c r="L77" i="24"/>
  <c r="L26" i="24"/>
  <c r="L249" i="24"/>
  <c r="L131" i="24"/>
  <c r="L259" i="24"/>
  <c r="L12" i="24"/>
  <c r="L97" i="24"/>
  <c r="L389" i="24"/>
  <c r="L175" i="24"/>
  <c r="L351" i="24"/>
  <c r="L44" i="24"/>
  <c r="L46" i="24"/>
  <c r="L9" i="24"/>
  <c r="DI404" i="1"/>
  <c r="L286" i="24"/>
  <c r="L393" i="24"/>
  <c r="L337" i="24"/>
  <c r="L195" i="24"/>
  <c r="L207" i="24"/>
  <c r="L375" i="24"/>
  <c r="L347" i="24"/>
  <c r="L243" i="24"/>
  <c r="L99" i="24"/>
  <c r="L397" i="24"/>
  <c r="L211" i="24"/>
  <c r="L87" i="24"/>
  <c r="L353" i="24"/>
  <c r="L359" i="24"/>
  <c r="L214" i="24"/>
  <c r="DH215" i="1"/>
  <c r="DH408" i="1" s="1"/>
  <c r="L74" i="24"/>
  <c r="L403" i="24" l="1"/>
  <c r="DE408" i="1"/>
  <c r="DE407" i="1"/>
  <c r="DE404" i="1"/>
  <c r="DE409" i="1"/>
  <c r="DH75" i="1"/>
  <c r="L410" i="24" l="1"/>
  <c r="D48" i="12"/>
  <c r="DE410" i="1"/>
  <c r="DH404" i="1"/>
  <c r="DH405" i="1" s="1"/>
  <c r="DH407" i="1"/>
  <c r="DH410" i="1" s="1"/>
  <c r="DH413" i="1"/>
  <c r="DL258" i="1" l="1"/>
  <c r="DN258" i="1" s="1"/>
  <c r="DL331" i="1"/>
  <c r="DN331" i="1" s="1"/>
  <c r="DL283" i="1"/>
  <c r="DN283" i="1" s="1"/>
  <c r="DL134" i="1"/>
  <c r="DN134" i="1" s="1"/>
  <c r="DL118" i="1"/>
  <c r="DN118" i="1" s="1"/>
  <c r="DL387" i="1"/>
  <c r="DN387" i="1" s="1"/>
  <c r="DJ283" i="1"/>
  <c r="DL95" i="1"/>
  <c r="DL124" i="1"/>
  <c r="DL99" i="1" l="1"/>
  <c r="DN99" i="1" s="1"/>
  <c r="DL316" i="1"/>
  <c r="DN316" i="1" s="1"/>
  <c r="DL327" i="1"/>
  <c r="DN327" i="1" s="1"/>
  <c r="DL89" i="1"/>
  <c r="DN89" i="1" s="1"/>
  <c r="DL224" i="1"/>
  <c r="DN224" i="1" s="1"/>
  <c r="DL126" i="1"/>
  <c r="DN126" i="1" s="1"/>
  <c r="DL345" i="1"/>
  <c r="DN345" i="1" s="1"/>
  <c r="DL385" i="1"/>
  <c r="DN385" i="1" s="1"/>
  <c r="DL403" i="1"/>
  <c r="DN403" i="1" s="1"/>
  <c r="DL242" i="1"/>
  <c r="DN242" i="1" s="1"/>
  <c r="DL137" i="1"/>
  <c r="DN137" i="1" s="1"/>
  <c r="DL21" i="1"/>
  <c r="DN21" i="1" s="1"/>
  <c r="DL260" i="1"/>
  <c r="DN260" i="1" s="1"/>
  <c r="DL196" i="1"/>
  <c r="DN196" i="1" s="1"/>
  <c r="DL147" i="1"/>
  <c r="DN147" i="1" s="1"/>
  <c r="DL187" i="1"/>
  <c r="DN187" i="1" s="1"/>
  <c r="DL123" i="1"/>
  <c r="DN123" i="1" s="1"/>
  <c r="DL149" i="1"/>
  <c r="DN149" i="1" s="1"/>
  <c r="DL106" i="1"/>
  <c r="DN106" i="1" s="1"/>
  <c r="DL156" i="1"/>
  <c r="DN156" i="1" s="1"/>
  <c r="DL366" i="1"/>
  <c r="DN366" i="1" s="1"/>
  <c r="DL332" i="1"/>
  <c r="DN332" i="1" s="1"/>
  <c r="DL223" i="1"/>
  <c r="DN223" i="1" s="1"/>
  <c r="DL237" i="1"/>
  <c r="DN237" i="1" s="1"/>
  <c r="DL143" i="1"/>
  <c r="DN143" i="1" s="1"/>
  <c r="DL184" i="1"/>
  <c r="DN184" i="1" s="1"/>
  <c r="DL254" i="1"/>
  <c r="DN254" i="1" s="1"/>
  <c r="DL261" i="1"/>
  <c r="DN261" i="1" s="1"/>
  <c r="DL23" i="1"/>
  <c r="DN23" i="1" s="1"/>
  <c r="DL18" i="1"/>
  <c r="DN18" i="1" s="1"/>
  <c r="DL87" i="1"/>
  <c r="DN87" i="1" s="1"/>
  <c r="DL38" i="1"/>
  <c r="DN38" i="1" s="1"/>
  <c r="DL97" i="1"/>
  <c r="DN97" i="1" s="1"/>
  <c r="DL244" i="1"/>
  <c r="DN244" i="1" s="1"/>
  <c r="DL272" i="1"/>
  <c r="DN272" i="1" s="1"/>
  <c r="DL105" i="1"/>
  <c r="DN105" i="1" s="1"/>
  <c r="DL35" i="1"/>
  <c r="DN35" i="1" s="1"/>
  <c r="DL192" i="1"/>
  <c r="DN192" i="1" s="1"/>
  <c r="DL369" i="1"/>
  <c r="DN369" i="1" s="1"/>
  <c r="DL204" i="1"/>
  <c r="DN204" i="1" s="1"/>
  <c r="DL202" i="1"/>
  <c r="DN202" i="1" s="1"/>
  <c r="DJ134" i="1"/>
  <c r="DL36" i="1"/>
  <c r="DN36" i="1" s="1"/>
  <c r="DL255" i="1"/>
  <c r="DN255" i="1" s="1"/>
  <c r="DL96" i="1"/>
  <c r="DN96" i="1" s="1"/>
  <c r="DL375" i="1"/>
  <c r="DN375" i="1" s="1"/>
  <c r="DL68" i="1"/>
  <c r="DN68" i="1" s="1"/>
  <c r="DL160" i="1"/>
  <c r="DN160" i="1" s="1"/>
  <c r="DL152" i="1"/>
  <c r="DN152" i="1" s="1"/>
  <c r="DL334" i="1"/>
  <c r="DN334" i="1" s="1"/>
  <c r="DL212" i="1"/>
  <c r="DN212" i="1" s="1"/>
  <c r="DL79" i="1"/>
  <c r="DN79" i="1" s="1"/>
  <c r="DL213" i="1"/>
  <c r="DN213" i="1" s="1"/>
  <c r="DL157" i="1"/>
  <c r="DN157" i="1" s="1"/>
  <c r="DL218" i="1"/>
  <c r="DN218" i="1" s="1"/>
  <c r="DL198" i="1"/>
  <c r="DN198" i="1" s="1"/>
  <c r="DL358" i="1"/>
  <c r="DN358" i="1" s="1"/>
  <c r="DL228" i="1"/>
  <c r="DN228" i="1" s="1"/>
  <c r="DL243" i="1"/>
  <c r="DN243" i="1" s="1"/>
  <c r="DL305" i="1"/>
  <c r="DN305" i="1" s="1"/>
  <c r="DL377" i="1"/>
  <c r="DN377" i="1" s="1"/>
  <c r="DL183" i="1"/>
  <c r="DN183" i="1" s="1"/>
  <c r="DL348" i="1"/>
  <c r="DN348" i="1" s="1"/>
  <c r="DL98" i="1"/>
  <c r="DN98" i="1" s="1"/>
  <c r="DL241" i="1"/>
  <c r="DN241" i="1" s="1"/>
  <c r="DL300" i="1"/>
  <c r="DN300" i="1" s="1"/>
  <c r="DL91" i="1"/>
  <c r="DN91" i="1" s="1"/>
  <c r="DL150" i="1"/>
  <c r="DN150" i="1" s="1"/>
  <c r="DL172" i="1"/>
  <c r="DN172" i="1" s="1"/>
  <c r="DL289" i="1"/>
  <c r="DN289" i="1" s="1"/>
  <c r="DL298" i="1"/>
  <c r="DN298" i="1" s="1"/>
  <c r="DL120" i="1"/>
  <c r="DN120" i="1" s="1"/>
  <c r="DL325" i="1"/>
  <c r="DN325" i="1" s="1"/>
  <c r="DL280" i="1"/>
  <c r="DN280" i="1" s="1"/>
  <c r="DL148" i="1"/>
  <c r="DN148" i="1" s="1"/>
  <c r="DL227" i="1"/>
  <c r="DN227" i="1" s="1"/>
  <c r="DL107" i="1"/>
  <c r="DN107" i="1" s="1"/>
  <c r="DL364" i="1"/>
  <c r="DN364" i="1" s="1"/>
  <c r="DL402" i="1"/>
  <c r="DN402" i="1" s="1"/>
  <c r="DL304" i="1"/>
  <c r="DN304" i="1" s="1"/>
  <c r="DL389" i="1"/>
  <c r="DN389" i="1" s="1"/>
  <c r="DL324" i="1"/>
  <c r="DN324" i="1" s="1"/>
  <c r="DL85" i="1"/>
  <c r="DN85" i="1" s="1"/>
  <c r="DL333" i="1"/>
  <c r="DN333" i="1" s="1"/>
  <c r="DL288" i="1"/>
  <c r="DN288" i="1" s="1"/>
  <c r="DL225" i="1"/>
  <c r="DN225" i="1" s="1"/>
  <c r="DL359" i="1"/>
  <c r="DN359" i="1" s="1"/>
  <c r="DL335" i="1"/>
  <c r="DN335" i="1" s="1"/>
  <c r="DL111" i="1"/>
  <c r="DN111" i="1" s="1"/>
  <c r="DL140" i="1"/>
  <c r="DN140" i="1" s="1"/>
  <c r="DL115" i="1"/>
  <c r="DN115" i="1" s="1"/>
  <c r="DL41" i="1"/>
  <c r="DN41" i="1" s="1"/>
  <c r="DL317" i="1"/>
  <c r="DN317" i="1" s="1"/>
  <c r="DL341" i="1"/>
  <c r="DN341" i="1" s="1"/>
  <c r="DL113" i="1"/>
  <c r="DN113" i="1" s="1"/>
  <c r="DL293" i="1"/>
  <c r="DN293" i="1" s="1"/>
  <c r="DL329" i="1"/>
  <c r="DN329" i="1" s="1"/>
  <c r="DL395" i="1"/>
  <c r="DN395" i="1" s="1"/>
  <c r="DL65" i="1"/>
  <c r="DN65" i="1" s="1"/>
  <c r="DL253" i="1"/>
  <c r="DN253" i="1" s="1"/>
  <c r="DL125" i="1"/>
  <c r="DN125" i="1" s="1"/>
  <c r="DL221" i="1"/>
  <c r="DN221" i="1" s="1"/>
  <c r="DL170" i="1"/>
  <c r="DN170" i="1" s="1"/>
  <c r="DL263" i="1"/>
  <c r="DN263" i="1" s="1"/>
  <c r="DL195" i="1"/>
  <c r="DN195" i="1" s="1"/>
  <c r="DL226" i="1"/>
  <c r="DN226" i="1" s="1"/>
  <c r="DL100" i="1"/>
  <c r="DN100" i="1" s="1"/>
  <c r="DL86" i="1"/>
  <c r="DN86" i="1" s="1"/>
  <c r="DL119" i="1"/>
  <c r="DN119" i="1" s="1"/>
  <c r="DL88" i="1"/>
  <c r="DN88" i="1" s="1"/>
  <c r="DL151" i="1"/>
  <c r="DN151" i="1" s="1"/>
  <c r="DL339" i="1"/>
  <c r="DN339" i="1" s="1"/>
  <c r="DL245" i="1"/>
  <c r="DN245" i="1" s="1"/>
  <c r="DL136" i="1"/>
  <c r="DN136" i="1" s="1"/>
  <c r="DL356" i="1"/>
  <c r="DN356" i="1" s="1"/>
  <c r="DL13" i="1"/>
  <c r="DN13" i="1" s="1"/>
  <c r="DL259" i="1"/>
  <c r="DN259" i="1" s="1"/>
  <c r="DL46" i="1"/>
  <c r="DN46" i="1" s="1"/>
  <c r="DL370" i="1"/>
  <c r="DN370" i="1" s="1"/>
  <c r="DL50" i="1"/>
  <c r="DN50" i="1" s="1"/>
  <c r="DL292" i="1"/>
  <c r="DN292" i="1" s="1"/>
  <c r="DL92" i="1"/>
  <c r="DN92" i="1" s="1"/>
  <c r="DL159" i="1"/>
  <c r="DN159" i="1" s="1"/>
  <c r="DL340" i="1"/>
  <c r="DN340" i="1" s="1"/>
  <c r="DL189" i="1"/>
  <c r="DN189" i="1" s="1"/>
  <c r="DJ258" i="1"/>
  <c r="DL60" i="1"/>
  <c r="DN60" i="1" s="1"/>
  <c r="DL222" i="1"/>
  <c r="DN222" i="1" s="1"/>
  <c r="DL58" i="1"/>
  <c r="DN58" i="1" s="1"/>
  <c r="DL284" i="1"/>
  <c r="DN284" i="1" s="1"/>
  <c r="DL267" i="1"/>
  <c r="DN267" i="1" s="1"/>
  <c r="DL117" i="1"/>
  <c r="DN117" i="1" s="1"/>
  <c r="DL397" i="1"/>
  <c r="DN397" i="1" s="1"/>
  <c r="DL299" i="1"/>
  <c r="DN299" i="1" s="1"/>
  <c r="DL39" i="1"/>
  <c r="DN39" i="1" s="1"/>
  <c r="DL371" i="1"/>
  <c r="DN371" i="1" s="1"/>
  <c r="DL178" i="1"/>
  <c r="DN178" i="1" s="1"/>
  <c r="DL392" i="1"/>
  <c r="DN392" i="1" s="1"/>
  <c r="DL132" i="1"/>
  <c r="DN132" i="1" s="1"/>
  <c r="DL384" i="1"/>
  <c r="DN384" i="1" s="1"/>
  <c r="DL388" i="1"/>
  <c r="DN388" i="1" s="1"/>
  <c r="DL248" i="1"/>
  <c r="DN248" i="1" s="1"/>
  <c r="DL209" i="1"/>
  <c r="DN209" i="1" s="1"/>
  <c r="DJ100" i="1"/>
  <c r="DJ86" i="1"/>
  <c r="DJ99" i="1"/>
  <c r="DJ316" i="1"/>
  <c r="DJ148" i="1"/>
  <c r="DJ13" i="1"/>
  <c r="DJ370" i="1"/>
  <c r="DJ159" i="1"/>
  <c r="DL287" i="1"/>
  <c r="DJ178" i="1"/>
  <c r="DJ305" i="1"/>
  <c r="DJ227" i="1"/>
  <c r="DJ304" i="1"/>
  <c r="DJ359" i="1"/>
  <c r="DJ111" i="1"/>
  <c r="DJ317" i="1"/>
  <c r="DJ284" i="1"/>
  <c r="DJ113" i="1"/>
  <c r="DJ243" i="1"/>
  <c r="DJ244" i="1"/>
  <c r="DJ224" i="1"/>
  <c r="DJ288" i="1"/>
  <c r="DJ225" i="1"/>
  <c r="DL363" i="1"/>
  <c r="DL285" i="1"/>
  <c r="DJ132" i="1"/>
  <c r="DJ259" i="1"/>
  <c r="DJ50" i="1"/>
  <c r="DJ375" i="1"/>
  <c r="DJ149" i="1"/>
  <c r="DJ366" i="1"/>
  <c r="DL326" i="1"/>
  <c r="DJ237" i="1"/>
  <c r="DJ384" i="1"/>
  <c r="DJ18" i="1"/>
  <c r="DJ377" i="1"/>
  <c r="DJ209" i="1"/>
  <c r="DL206" i="1" l="1"/>
  <c r="DN206" i="1" s="1"/>
  <c r="DL11" i="1"/>
  <c r="DN11" i="1" s="1"/>
  <c r="DL135" i="1"/>
  <c r="DN135" i="1" s="1"/>
  <c r="DL104" i="1"/>
  <c r="DN104" i="1" s="1"/>
  <c r="DL215" i="1"/>
  <c r="DN215" i="1" s="1"/>
  <c r="DJ157" i="1"/>
  <c r="DL376" i="1"/>
  <c r="DN376" i="1" s="1"/>
  <c r="DL66" i="1"/>
  <c r="DN66" i="1" s="1"/>
  <c r="DK283" i="1"/>
  <c r="DM283" i="1" s="1"/>
  <c r="DL138" i="1"/>
  <c r="DN138" i="1" s="1"/>
  <c r="DL49" i="1"/>
  <c r="DN49" i="1" s="1"/>
  <c r="DL205" i="1"/>
  <c r="DN205" i="1" s="1"/>
  <c r="DL351" i="1"/>
  <c r="DN351" i="1" s="1"/>
  <c r="DJ95" i="1"/>
  <c r="DL208" i="1"/>
  <c r="DN208" i="1" s="1"/>
  <c r="DL270" i="1"/>
  <c r="DN270" i="1" s="1"/>
  <c r="DJ192" i="1"/>
  <c r="DL75" i="1"/>
  <c r="DN75" i="1" s="1"/>
  <c r="DJ241" i="1"/>
  <c r="DL47" i="1"/>
  <c r="DN47" i="1" s="1"/>
  <c r="DJ183" i="1"/>
  <c r="DJ387" i="1"/>
  <c r="DJ143" i="1"/>
  <c r="DL390" i="1"/>
  <c r="DN390" i="1" s="1"/>
  <c r="DL84" i="1"/>
  <c r="DN84" i="1" s="1"/>
  <c r="DL176" i="1"/>
  <c r="DN176" i="1" s="1"/>
  <c r="DL59" i="1"/>
  <c r="DN59" i="1" s="1"/>
  <c r="DL32" i="1"/>
  <c r="DN32" i="1" s="1"/>
  <c r="DL101" i="1"/>
  <c r="DN101" i="1" s="1"/>
  <c r="DL322" i="1"/>
  <c r="DN322" i="1" s="1"/>
  <c r="DL181" i="1"/>
  <c r="DN181" i="1" s="1"/>
  <c r="DL162" i="1"/>
  <c r="DN162" i="1" s="1"/>
  <c r="DL194" i="1"/>
  <c r="DN194" i="1" s="1"/>
  <c r="DL354" i="1"/>
  <c r="DN354" i="1" s="1"/>
  <c r="DL210" i="1"/>
  <c r="DN210" i="1" s="1"/>
  <c r="DL232" i="1"/>
  <c r="DN232" i="1" s="1"/>
  <c r="DJ105" i="1"/>
  <c r="DL63" i="1"/>
  <c r="DN63" i="1" s="1"/>
  <c r="DL165" i="1"/>
  <c r="DN165" i="1" s="1"/>
  <c r="DL154" i="1"/>
  <c r="DN154" i="1" s="1"/>
  <c r="DL216" i="1"/>
  <c r="DN216" i="1" s="1"/>
  <c r="DL301" i="1"/>
  <c r="DN301" i="1" s="1"/>
  <c r="DL78" i="1"/>
  <c r="DN78" i="1" s="1"/>
  <c r="DL311" i="1"/>
  <c r="DN311" i="1" s="1"/>
  <c r="DL217" i="1"/>
  <c r="DN217" i="1" s="1"/>
  <c r="DL336" i="1"/>
  <c r="DN336" i="1" s="1"/>
  <c r="DJ341" i="1"/>
  <c r="DJ106" i="1"/>
  <c r="DL164" i="1"/>
  <c r="DN164" i="1" s="1"/>
  <c r="DL20" i="1"/>
  <c r="DN20" i="1" s="1"/>
  <c r="DL249" i="1"/>
  <c r="DN249" i="1" s="1"/>
  <c r="DL294" i="1"/>
  <c r="DN294" i="1" s="1"/>
  <c r="DL365" i="1"/>
  <c r="DN365" i="1" s="1"/>
  <c r="DL310" i="1"/>
  <c r="DN310" i="1" s="1"/>
  <c r="DJ358" i="1"/>
  <c r="DL114" i="1"/>
  <c r="DN114" i="1" s="1"/>
  <c r="DL391" i="1"/>
  <c r="DN391" i="1" s="1"/>
  <c r="DL273" i="1"/>
  <c r="DN273" i="1" s="1"/>
  <c r="DL112" i="1"/>
  <c r="DN112" i="1" s="1"/>
  <c r="DL394" i="1"/>
  <c r="DN394" i="1" s="1"/>
  <c r="DL144" i="1"/>
  <c r="DN144" i="1" s="1"/>
  <c r="DJ92" i="1"/>
  <c r="DL337" i="1"/>
  <c r="DN337" i="1" s="1"/>
  <c r="DL211" i="1"/>
  <c r="DN211" i="1" s="1"/>
  <c r="DJ202" i="1"/>
  <c r="DL396" i="1"/>
  <c r="DN396" i="1" s="1"/>
  <c r="DL175" i="1"/>
  <c r="DN175" i="1" s="1"/>
  <c r="DL278" i="1"/>
  <c r="DN278" i="1" s="1"/>
  <c r="DJ89" i="1"/>
  <c r="DJ300" i="1"/>
  <c r="DL56" i="1"/>
  <c r="DN56" i="1" s="1"/>
  <c r="DL275" i="1"/>
  <c r="DN275" i="1" s="1"/>
  <c r="DL312" i="1"/>
  <c r="DN312" i="1" s="1"/>
  <c r="DL173" i="1"/>
  <c r="DN173" i="1" s="1"/>
  <c r="DL246" i="1"/>
  <c r="DN246" i="1" s="1"/>
  <c r="DL48" i="1"/>
  <c r="DN48" i="1" s="1"/>
  <c r="DL45" i="1"/>
  <c r="DN45" i="1" s="1"/>
  <c r="DL53" i="1"/>
  <c r="DN53" i="1" s="1"/>
  <c r="DL343" i="1"/>
  <c r="DN343" i="1" s="1"/>
  <c r="DL401" i="1"/>
  <c r="DN401" i="1" s="1"/>
  <c r="DJ140" i="1"/>
  <c r="DJ187" i="1"/>
  <c r="DL250" i="1"/>
  <c r="DN250" i="1" s="1"/>
  <c r="DJ36" i="1"/>
  <c r="DL400" i="1"/>
  <c r="DN400" i="1" s="1"/>
  <c r="DL55" i="1"/>
  <c r="DN55" i="1" s="1"/>
  <c r="DL276" i="1"/>
  <c r="DN276" i="1" s="1"/>
  <c r="DJ118" i="1"/>
  <c r="DL182" i="1"/>
  <c r="DN182" i="1" s="1"/>
  <c r="DL77" i="1"/>
  <c r="DN77" i="1" s="1"/>
  <c r="DL328" i="1"/>
  <c r="DN328" i="1" s="1"/>
  <c r="DL234" i="1"/>
  <c r="DN234" i="1" s="1"/>
  <c r="DL323" i="1"/>
  <c r="DN323" i="1" s="1"/>
  <c r="DL109" i="1"/>
  <c r="DN109" i="1" s="1"/>
  <c r="DL29" i="1"/>
  <c r="DN29" i="1" s="1"/>
  <c r="DL158" i="1"/>
  <c r="DN158" i="1" s="1"/>
  <c r="DJ260" i="1"/>
  <c r="DL16" i="1"/>
  <c r="DN16" i="1" s="1"/>
  <c r="DL367" i="1"/>
  <c r="DN367" i="1" s="1"/>
  <c r="DL239" i="1"/>
  <c r="DN239" i="1" s="1"/>
  <c r="DL286" i="1"/>
  <c r="DN286" i="1" s="1"/>
  <c r="DL40" i="1"/>
  <c r="DN40" i="1" s="1"/>
  <c r="DL61" i="1"/>
  <c r="DN61" i="1" s="1"/>
  <c r="DJ98" i="1"/>
  <c r="DL290" i="1"/>
  <c r="DN290" i="1" s="1"/>
  <c r="DL214" i="1"/>
  <c r="DN214" i="1" s="1"/>
  <c r="DL17" i="1"/>
  <c r="DN17" i="1" s="1"/>
  <c r="DL19" i="1"/>
  <c r="DN19" i="1" s="1"/>
  <c r="DL199" i="1"/>
  <c r="DN199" i="1" s="1"/>
  <c r="DL201" i="1"/>
  <c r="DN201" i="1" s="1"/>
  <c r="DL296" i="1"/>
  <c r="DN296" i="1" s="1"/>
  <c r="DL129" i="1"/>
  <c r="DN129" i="1" s="1"/>
  <c r="DL42" i="1"/>
  <c r="DN42" i="1" s="1"/>
  <c r="DL102" i="1"/>
  <c r="DN102" i="1" s="1"/>
  <c r="DL349" i="1"/>
  <c r="DN349" i="1" s="1"/>
  <c r="DL318" i="1"/>
  <c r="DN318" i="1" s="1"/>
  <c r="DL33" i="1"/>
  <c r="DN33" i="1" s="1"/>
  <c r="DL266" i="1"/>
  <c r="DN266" i="1" s="1"/>
  <c r="DL130" i="1"/>
  <c r="DN130" i="1" s="1"/>
  <c r="DL219" i="1"/>
  <c r="DN219" i="1" s="1"/>
  <c r="DL398" i="1"/>
  <c r="DN398" i="1" s="1"/>
  <c r="DL264" i="1"/>
  <c r="DN264" i="1" s="1"/>
  <c r="DL80" i="1"/>
  <c r="DN80" i="1" s="1"/>
  <c r="DL361" i="1"/>
  <c r="DN361" i="1" s="1"/>
  <c r="DL386" i="1"/>
  <c r="DN386" i="1" s="1"/>
  <c r="DL76" i="1"/>
  <c r="DN76" i="1" s="1"/>
  <c r="DL306" i="1"/>
  <c r="DN306" i="1" s="1"/>
  <c r="DL179" i="1"/>
  <c r="DN179" i="1" s="1"/>
  <c r="DL193" i="1"/>
  <c r="DN193" i="1" s="1"/>
  <c r="DL127" i="1"/>
  <c r="DN127" i="1" s="1"/>
  <c r="DJ340" i="1"/>
  <c r="DL155" i="1"/>
  <c r="DN155" i="1" s="1"/>
  <c r="DL34" i="1"/>
  <c r="DN34" i="1" s="1"/>
  <c r="DL27" i="1"/>
  <c r="DN27" i="1" s="1"/>
  <c r="DL262" i="1"/>
  <c r="DN262" i="1" s="1"/>
  <c r="DL122" i="1"/>
  <c r="DN122" i="1" s="1"/>
  <c r="DL231" i="1"/>
  <c r="DN231" i="1" s="1"/>
  <c r="DL355" i="1"/>
  <c r="DN355" i="1" s="1"/>
  <c r="DL265" i="1"/>
  <c r="DN265" i="1" s="1"/>
  <c r="DJ331" i="1"/>
  <c r="DL271" i="1"/>
  <c r="DN271" i="1" s="1"/>
  <c r="DL347" i="1"/>
  <c r="DN347" i="1" s="1"/>
  <c r="DL235" i="1"/>
  <c r="DN235" i="1" s="1"/>
  <c r="DL344" i="1"/>
  <c r="DN344" i="1" s="1"/>
  <c r="DL252" i="1"/>
  <c r="DN252" i="1" s="1"/>
  <c r="DL229" i="1"/>
  <c r="DN229" i="1" s="1"/>
  <c r="DL277" i="1"/>
  <c r="DN277" i="1" s="1"/>
  <c r="DJ189" i="1"/>
  <c r="DL230" i="1"/>
  <c r="DN230" i="1" s="1"/>
  <c r="DL268" i="1"/>
  <c r="DN268" i="1" s="1"/>
  <c r="DJ137" i="1"/>
  <c r="DL69" i="1"/>
  <c r="DN69" i="1" s="1"/>
  <c r="DL368" i="1"/>
  <c r="DN368" i="1" s="1"/>
  <c r="DJ35" i="1"/>
  <c r="DL141" i="1"/>
  <c r="DN141" i="1" s="1"/>
  <c r="DL357" i="1"/>
  <c r="DN357" i="1" s="1"/>
  <c r="DL166" i="1"/>
  <c r="DN166" i="1" s="1"/>
  <c r="DL382" i="1"/>
  <c r="DN382" i="1" s="1"/>
  <c r="DL233" i="1"/>
  <c r="DN233" i="1" s="1"/>
  <c r="DL186" i="1"/>
  <c r="DN186" i="1" s="1"/>
  <c r="DJ156" i="1"/>
  <c r="DL379" i="1"/>
  <c r="DN379" i="1" s="1"/>
  <c r="DL315" i="1"/>
  <c r="DN315" i="1" s="1"/>
  <c r="DL133" i="1"/>
  <c r="DN133" i="1" s="1"/>
  <c r="DL378" i="1"/>
  <c r="DN378" i="1" s="1"/>
  <c r="DL26" i="1"/>
  <c r="DN26" i="1" s="1"/>
  <c r="DL291" i="1"/>
  <c r="DN291" i="1" s="1"/>
  <c r="DL360" i="1"/>
  <c r="DN360" i="1" s="1"/>
  <c r="DL128" i="1"/>
  <c r="DN128" i="1" s="1"/>
  <c r="DL73" i="1"/>
  <c r="DN73" i="1" s="1"/>
  <c r="DL145" i="1"/>
  <c r="DN145" i="1" s="1"/>
  <c r="DL308" i="1"/>
  <c r="DN308" i="1" s="1"/>
  <c r="DL257" i="1"/>
  <c r="DN257" i="1" s="1"/>
  <c r="DL314" i="1"/>
  <c r="DN314" i="1" s="1"/>
  <c r="DL269" i="1"/>
  <c r="DN269" i="1" s="1"/>
  <c r="DL108" i="1"/>
  <c r="DN108" i="1" s="1"/>
  <c r="DJ65" i="1"/>
  <c r="DL274" i="1"/>
  <c r="DN274" i="1" s="1"/>
  <c r="DL281" i="1"/>
  <c r="DN281" i="1" s="1"/>
  <c r="DL350" i="1"/>
  <c r="DN350" i="1" s="1"/>
  <c r="DL297" i="1"/>
  <c r="DN297" i="1" s="1"/>
  <c r="DJ79" i="1"/>
  <c r="DL153" i="1"/>
  <c r="DN153" i="1" s="1"/>
  <c r="DL180" i="1"/>
  <c r="DN180" i="1" s="1"/>
  <c r="DL169" i="1"/>
  <c r="DN169" i="1" s="1"/>
  <c r="DL161" i="1"/>
  <c r="DN161" i="1" s="1"/>
  <c r="DL320" i="1"/>
  <c r="DN320" i="1" s="1"/>
  <c r="DL103" i="1"/>
  <c r="DN103" i="1" s="1"/>
  <c r="DL72" i="1"/>
  <c r="DN72" i="1" s="1"/>
  <c r="DL380" i="1"/>
  <c r="DN380" i="1" s="1"/>
  <c r="DJ38" i="1"/>
  <c r="DL131" i="1"/>
  <c r="DN131" i="1" s="1"/>
  <c r="DL373" i="1"/>
  <c r="DN373" i="1" s="1"/>
  <c r="DL240" i="1"/>
  <c r="DN240" i="1" s="1"/>
  <c r="DL381" i="1"/>
  <c r="DN381" i="1" s="1"/>
  <c r="DL353" i="1"/>
  <c r="DN353" i="1" s="1"/>
  <c r="DL191" i="1"/>
  <c r="DN191" i="1" s="1"/>
  <c r="DL43" i="1"/>
  <c r="DN43" i="1" s="1"/>
  <c r="DL31" i="1"/>
  <c r="DN31" i="1" s="1"/>
  <c r="DL330" i="1"/>
  <c r="DN330" i="1" s="1"/>
  <c r="DL90" i="1"/>
  <c r="DN90" i="1" s="1"/>
  <c r="DL116" i="1"/>
  <c r="DN116" i="1" s="1"/>
  <c r="DL319" i="1"/>
  <c r="DN319" i="1" s="1"/>
  <c r="DL321" i="1"/>
  <c r="DN321" i="1" s="1"/>
  <c r="DL71" i="1"/>
  <c r="DN71" i="1" s="1"/>
  <c r="DJ91" i="1"/>
  <c r="DJ88" i="1"/>
  <c r="DL220" i="1"/>
  <c r="DN220" i="1" s="1"/>
  <c r="DJ195" i="1"/>
  <c r="DJ87" i="1"/>
  <c r="DJ170" i="1"/>
  <c r="DL57" i="1"/>
  <c r="DN57" i="1" s="1"/>
  <c r="DL139" i="1"/>
  <c r="DN139" i="1" s="1"/>
  <c r="DL24" i="1"/>
  <c r="DN24" i="1" s="1"/>
  <c r="DL74" i="1"/>
  <c r="DN74" i="1" s="1"/>
  <c r="DJ58" i="1"/>
  <c r="DL94" i="1"/>
  <c r="DN94" i="1" s="1"/>
  <c r="DL185" i="1"/>
  <c r="DN185" i="1" s="1"/>
  <c r="DL64" i="1"/>
  <c r="DN64" i="1" s="1"/>
  <c r="DL251" i="1"/>
  <c r="DN251" i="1" s="1"/>
  <c r="DL110" i="1"/>
  <c r="DN110" i="1" s="1"/>
  <c r="DJ96" i="1"/>
  <c r="DL247" i="1"/>
  <c r="DN247" i="1" s="1"/>
  <c r="DL203" i="1"/>
  <c r="DN203" i="1" s="1"/>
  <c r="DJ289" i="1"/>
  <c r="DL171" i="1"/>
  <c r="DN171" i="1" s="1"/>
  <c r="DL15" i="1"/>
  <c r="DN15" i="1" s="1"/>
  <c r="DJ150" i="1"/>
  <c r="DL238" i="1"/>
  <c r="DN238" i="1" s="1"/>
  <c r="DL163" i="1"/>
  <c r="DN163" i="1" s="1"/>
  <c r="DL342" i="1"/>
  <c r="DN342" i="1" s="1"/>
  <c r="DL174" i="1"/>
  <c r="DN174" i="1" s="1"/>
  <c r="DL142" i="1"/>
  <c r="DN142" i="1" s="1"/>
  <c r="DJ152" i="1"/>
  <c r="DL346" i="1"/>
  <c r="DN346" i="1" s="1"/>
  <c r="DL399" i="1"/>
  <c r="DN399" i="1" s="1"/>
  <c r="DL44" i="1"/>
  <c r="DN44" i="1" s="1"/>
  <c r="DL82" i="1"/>
  <c r="DN82" i="1" s="1"/>
  <c r="DL28" i="1"/>
  <c r="DN28" i="1" s="1"/>
  <c r="DL190" i="1"/>
  <c r="DN190" i="1" s="1"/>
  <c r="DL279" i="1"/>
  <c r="DN279" i="1" s="1"/>
  <c r="DL54" i="1"/>
  <c r="DN54" i="1" s="1"/>
  <c r="DL30" i="1"/>
  <c r="DN30" i="1" s="1"/>
  <c r="DL282" i="1"/>
  <c r="DN282" i="1" s="1"/>
  <c r="DL383" i="1"/>
  <c r="DN383" i="1" s="1"/>
  <c r="DJ23" i="1"/>
  <c r="DL67" i="1"/>
  <c r="DN67" i="1" s="1"/>
  <c r="DJ184" i="1"/>
  <c r="DL188" i="1"/>
  <c r="DN188" i="1" s="1"/>
  <c r="DL295" i="1"/>
  <c r="DN295" i="1" s="1"/>
  <c r="DL302" i="1"/>
  <c r="DN302" i="1" s="1"/>
  <c r="DL307" i="1"/>
  <c r="DN307" i="1" s="1"/>
  <c r="DL303" i="1"/>
  <c r="DN303" i="1" s="1"/>
  <c r="DL372" i="1"/>
  <c r="DN372" i="1" s="1"/>
  <c r="DL52" i="1"/>
  <c r="DN52" i="1" s="1"/>
  <c r="DL200" i="1"/>
  <c r="DN200" i="1" s="1"/>
  <c r="DL81" i="1"/>
  <c r="DN81" i="1" s="1"/>
  <c r="DL93" i="1"/>
  <c r="DN93" i="1" s="1"/>
  <c r="DL121" i="1"/>
  <c r="DN121" i="1" s="1"/>
  <c r="DL83" i="1"/>
  <c r="DN83" i="1" s="1"/>
  <c r="DL393" i="1"/>
  <c r="DN393" i="1" s="1"/>
  <c r="DJ223" i="1"/>
  <c r="DL146" i="1"/>
  <c r="DN146" i="1" s="1"/>
  <c r="DL25" i="1"/>
  <c r="DN25" i="1" s="1"/>
  <c r="DL51" i="1"/>
  <c r="DN51" i="1" s="1"/>
  <c r="DL309" i="1"/>
  <c r="DN309" i="1" s="1"/>
  <c r="DL352" i="1"/>
  <c r="DN352" i="1" s="1"/>
  <c r="DL236" i="1"/>
  <c r="DN236" i="1" s="1"/>
  <c r="DL338" i="1"/>
  <c r="DN338" i="1" s="1"/>
  <c r="DL313" i="1"/>
  <c r="DN313" i="1" s="1"/>
  <c r="DL207" i="1"/>
  <c r="DN207" i="1" s="1"/>
  <c r="DL167" i="1"/>
  <c r="DN167" i="1" s="1"/>
  <c r="DL197" i="1"/>
  <c r="DN197" i="1" s="1"/>
  <c r="DJ339" i="1"/>
  <c r="DJ151" i="1"/>
  <c r="DK258" i="1"/>
  <c r="DM258" i="1"/>
  <c r="DK134" i="1"/>
  <c r="DM134" i="1"/>
  <c r="DK377" i="1"/>
  <c r="DM377" i="1" s="1"/>
  <c r="DJ206" i="1"/>
  <c r="DK384" i="1"/>
  <c r="DM384" i="1" s="1"/>
  <c r="DJ104" i="1"/>
  <c r="DJ233" i="1"/>
  <c r="DJ399" i="1"/>
  <c r="DJ101" i="1"/>
  <c r="DJ286" i="1"/>
  <c r="DJ360" i="1"/>
  <c r="DJ232" i="1"/>
  <c r="DK113" i="1"/>
  <c r="DM113" i="1" s="1"/>
  <c r="DJ114" i="1"/>
  <c r="DJ287" i="1"/>
  <c r="DJ211" i="1"/>
  <c r="DK370" i="1"/>
  <c r="DM370" i="1" s="1"/>
  <c r="DK13" i="1"/>
  <c r="DM13" i="1" s="1"/>
  <c r="DJ175" i="1"/>
  <c r="DJ231" i="1"/>
  <c r="DK148" i="1"/>
  <c r="DM148" i="1" s="1"/>
  <c r="DJ49" i="1"/>
  <c r="DJ230" i="1"/>
  <c r="DJ171" i="1"/>
  <c r="DJ363" i="1"/>
  <c r="DJ82" i="1"/>
  <c r="DJ181" i="1"/>
  <c r="DK178" i="1"/>
  <c r="DM178" i="1" s="1"/>
  <c r="DJ240" i="1"/>
  <c r="DJ236" i="1"/>
  <c r="DJ376" i="1"/>
  <c r="DJ48" i="1"/>
  <c r="DJ235" i="1"/>
  <c r="DJ185" i="1"/>
  <c r="DJ208" i="1"/>
  <c r="DJ47" i="1"/>
  <c r="DJ182" i="1"/>
  <c r="DJ382" i="1"/>
  <c r="DJ174" i="1"/>
  <c r="DJ285" i="1"/>
  <c r="DJ176" i="1"/>
  <c r="DJ379" i="1"/>
  <c r="DK288" i="1"/>
  <c r="DM288" i="1" s="1"/>
  <c r="DJ383" i="1"/>
  <c r="DJ108" i="1"/>
  <c r="DJ78" i="1"/>
  <c r="DJ102" i="1"/>
  <c r="DJ365" i="1"/>
  <c r="DJ381" i="1"/>
  <c r="DJ173" i="1"/>
  <c r="DJ229" i="1"/>
  <c r="DJ110" i="1"/>
  <c r="DJ84" i="1"/>
  <c r="DJ378" i="1"/>
  <c r="DJ26" i="1"/>
  <c r="DJ154" i="1"/>
  <c r="DJ169" i="1"/>
  <c r="DJ380" i="1"/>
  <c r="DJ131" i="1"/>
  <c r="DJ373" i="1"/>
  <c r="DJ112" i="1"/>
  <c r="DJ51" i="1"/>
  <c r="DJ309" i="1"/>
  <c r="DO370" i="1" l="1"/>
  <c r="DP370" i="1" s="1"/>
  <c r="DQ370" i="1"/>
  <c r="DO178" i="1"/>
  <c r="DP178" i="1" s="1"/>
  <c r="DQ178" i="1"/>
  <c r="DQ113" i="1"/>
  <c r="DO113" i="1"/>
  <c r="DP113" i="1" s="1"/>
  <c r="DQ384" i="1"/>
  <c r="DO384" i="1"/>
  <c r="DP384" i="1" s="1"/>
  <c r="DQ288" i="1"/>
  <c r="DO288" i="1"/>
  <c r="DP288" i="1" s="1"/>
  <c r="DQ148" i="1"/>
  <c r="DO148" i="1"/>
  <c r="DP148" i="1" s="1"/>
  <c r="DO13" i="1"/>
  <c r="DP13" i="1" s="1"/>
  <c r="DQ13" i="1"/>
  <c r="DO377" i="1"/>
  <c r="DP377" i="1" s="1"/>
  <c r="DQ377" i="1"/>
  <c r="DJ193" i="1"/>
  <c r="DJ310" i="1"/>
  <c r="DJ348" i="1"/>
  <c r="DJ190" i="1"/>
  <c r="DJ147" i="1"/>
  <c r="DK375" i="1"/>
  <c r="DM375" i="1" s="1"/>
  <c r="DJ138" i="1"/>
  <c r="DK366" i="1"/>
  <c r="DM366" i="1" s="1"/>
  <c r="DJ332" i="1"/>
  <c r="DJ125" i="1"/>
  <c r="DJ119" i="1"/>
  <c r="DJ90" i="1"/>
  <c r="DJ146" i="1"/>
  <c r="DJ329" i="1"/>
  <c r="DJ226" i="1"/>
  <c r="DK304" i="1"/>
  <c r="DM304" i="1" s="1"/>
  <c r="DK111" i="1"/>
  <c r="DM111" i="1" s="1"/>
  <c r="DJ299" i="1"/>
  <c r="DK243" i="1"/>
  <c r="DM243" i="1" s="1"/>
  <c r="DJ54" i="1"/>
  <c r="DJ75" i="1"/>
  <c r="DJ172" i="1"/>
  <c r="DK18" i="1"/>
  <c r="DM18" i="1" s="1"/>
  <c r="DJ135" i="1"/>
  <c r="DJ262" i="1"/>
  <c r="DJ155" i="1"/>
  <c r="DJ103" i="1"/>
  <c r="DJ388" i="1"/>
  <c r="DJ194" i="1"/>
  <c r="DJ242" i="1"/>
  <c r="DJ369" i="1"/>
  <c r="DJ139" i="1"/>
  <c r="DJ68" i="1"/>
  <c r="DJ115" i="1"/>
  <c r="DJ81" i="1"/>
  <c r="DJ33" i="1"/>
  <c r="DJ199" i="1"/>
  <c r="DJ32" i="1"/>
  <c r="DJ254" i="1"/>
  <c r="DJ15" i="1"/>
  <c r="DK65" i="1"/>
  <c r="DM65" i="1"/>
  <c r="DK35" i="1"/>
  <c r="DM35" i="1"/>
  <c r="DK189" i="1"/>
  <c r="DM189" i="1"/>
  <c r="DK331" i="1"/>
  <c r="DM331" i="1"/>
  <c r="DK98" i="1"/>
  <c r="DM98" i="1"/>
  <c r="DK118" i="1"/>
  <c r="DM118" i="1"/>
  <c r="DK300" i="1"/>
  <c r="DM300" i="1"/>
  <c r="DK92" i="1"/>
  <c r="DM92" i="1"/>
  <c r="DK387" i="1"/>
  <c r="DM387" i="1"/>
  <c r="DQ283" i="1"/>
  <c r="DO283" i="1"/>
  <c r="DP283" i="1" s="1"/>
  <c r="DJ56" i="1"/>
  <c r="DJ335" i="1"/>
  <c r="DK284" i="1"/>
  <c r="DM284" i="1" s="1"/>
  <c r="DJ298" i="1"/>
  <c r="DJ136" i="1"/>
  <c r="DJ28" i="1"/>
  <c r="DJ21" i="1"/>
  <c r="DJ222" i="1"/>
  <c r="DJ213" i="1"/>
  <c r="DJ107" i="1"/>
  <c r="DJ313" i="1"/>
  <c r="DK159" i="1"/>
  <c r="DM159" i="1" s="1"/>
  <c r="DJ76" i="1"/>
  <c r="DJ201" i="1"/>
  <c r="DJ30" i="1"/>
  <c r="DJ145" i="1"/>
  <c r="DJ85" i="1"/>
  <c r="DJ133" i="1"/>
  <c r="DJ343" i="1"/>
  <c r="DK100" i="1"/>
  <c r="DM100" i="1" s="1"/>
  <c r="DJ280" i="1"/>
  <c r="DJ191" i="1"/>
  <c r="DJ253" i="1"/>
  <c r="DJ212" i="1"/>
  <c r="DJ267" i="1"/>
  <c r="DJ402" i="1"/>
  <c r="DK132" i="1"/>
  <c r="DM132" i="1" s="1"/>
  <c r="DJ238" i="1"/>
  <c r="DJ205" i="1"/>
  <c r="DJ41" i="1"/>
  <c r="DJ198" i="1"/>
  <c r="DJ392" i="1"/>
  <c r="DJ93" i="1"/>
  <c r="DJ153" i="1"/>
  <c r="DK317" i="1"/>
  <c r="DM317" i="1" s="1"/>
  <c r="DJ302" i="1"/>
  <c r="DJ281" i="1"/>
  <c r="DJ261" i="1"/>
  <c r="DJ17" i="1"/>
  <c r="DJ333" i="1"/>
  <c r="DJ342" i="1"/>
  <c r="DK50" i="1"/>
  <c r="DM50" i="1" s="1"/>
  <c r="DJ251" i="1"/>
  <c r="DJ66" i="1"/>
  <c r="DQ134" i="1"/>
  <c r="DO134" i="1"/>
  <c r="DP134" i="1" s="1"/>
  <c r="DK151" i="1"/>
  <c r="DM151" i="1"/>
  <c r="DK184" i="1"/>
  <c r="DM184" i="1"/>
  <c r="DK23" i="1"/>
  <c r="DM23" i="1"/>
  <c r="DK289" i="1"/>
  <c r="DM289" i="1"/>
  <c r="DK170" i="1"/>
  <c r="DM170" i="1"/>
  <c r="DK195" i="1"/>
  <c r="DM195" i="1"/>
  <c r="DK36" i="1"/>
  <c r="DM36" i="1"/>
  <c r="DK187" i="1"/>
  <c r="DM187" i="1"/>
  <c r="DK341" i="1"/>
  <c r="DM341" i="1"/>
  <c r="DK105" i="1"/>
  <c r="DM105" i="1"/>
  <c r="DK95" i="1"/>
  <c r="DM95" i="1"/>
  <c r="DJ204" i="1"/>
  <c r="DJ120" i="1"/>
  <c r="DJ31" i="1"/>
  <c r="DJ314" i="1"/>
  <c r="DK244" i="1"/>
  <c r="DM244" i="1" s="1"/>
  <c r="DJ389" i="1"/>
  <c r="DJ16" i="1"/>
  <c r="DJ142" i="1"/>
  <c r="DJ77" i="1"/>
  <c r="DJ117" i="1"/>
  <c r="DJ228" i="1"/>
  <c r="DK316" i="1"/>
  <c r="DM316" i="1" s="1"/>
  <c r="DJ245" i="1"/>
  <c r="DJ165" i="1"/>
  <c r="DJ290" i="1"/>
  <c r="DJ46" i="1"/>
  <c r="DJ255" i="1"/>
  <c r="DJ364" i="1"/>
  <c r="DJ345" i="1"/>
  <c r="DJ334" i="1"/>
  <c r="DK237" i="1"/>
  <c r="DM237" i="1" s="1"/>
  <c r="DK209" i="1"/>
  <c r="DM209" i="1" s="1"/>
  <c r="DK86" i="1"/>
  <c r="DM86" i="1" s="1"/>
  <c r="DJ144" i="1"/>
  <c r="DK227" i="1"/>
  <c r="DM227" i="1" s="1"/>
  <c r="DK359" i="1"/>
  <c r="DM359" i="1" s="1"/>
  <c r="DJ124" i="1"/>
  <c r="DK225" i="1"/>
  <c r="DM225" i="1" s="1"/>
  <c r="DJ385" i="1"/>
  <c r="DJ218" i="1"/>
  <c r="DJ325" i="1"/>
  <c r="DJ160" i="1"/>
  <c r="DJ180" i="1"/>
  <c r="DK224" i="1"/>
  <c r="DM224" i="1" s="1"/>
  <c r="DJ123" i="1"/>
  <c r="DJ60" i="1"/>
  <c r="DJ371" i="1"/>
  <c r="DJ221" i="1"/>
  <c r="DK259" i="1"/>
  <c r="DM259" i="1" s="1"/>
  <c r="DK152" i="1"/>
  <c r="DM152" i="1"/>
  <c r="DK150" i="1"/>
  <c r="DM150" i="1"/>
  <c r="DK91" i="1"/>
  <c r="DM91" i="1"/>
  <c r="DK38" i="1"/>
  <c r="DM38" i="1"/>
  <c r="DK79" i="1"/>
  <c r="DM79" i="1"/>
  <c r="DK156" i="1"/>
  <c r="DM156" i="1"/>
  <c r="DK137" i="1"/>
  <c r="DM137" i="1"/>
  <c r="DK260" i="1"/>
  <c r="DM260" i="1"/>
  <c r="DK89" i="1"/>
  <c r="DM89" i="1"/>
  <c r="DK202" i="1"/>
  <c r="DM202" i="1"/>
  <c r="DK143" i="1"/>
  <c r="DM143" i="1"/>
  <c r="DK157" i="1"/>
  <c r="DM157" i="1"/>
  <c r="DK99" i="1"/>
  <c r="DM99" i="1" s="1"/>
  <c r="DJ263" i="1"/>
  <c r="DJ34" i="1"/>
  <c r="DJ80" i="1"/>
  <c r="DJ200" i="1"/>
  <c r="DJ308" i="1"/>
  <c r="DJ186" i="1"/>
  <c r="DJ356" i="1"/>
  <c r="DK149" i="1"/>
  <c r="DJ74" i="1"/>
  <c r="DJ126" i="1"/>
  <c r="DJ27" i="1"/>
  <c r="DJ282" i="1"/>
  <c r="DJ210" i="1"/>
  <c r="DJ292" i="1"/>
  <c r="DJ196" i="1"/>
  <c r="DJ39" i="1"/>
  <c r="DJ395" i="1"/>
  <c r="DJ94" i="1"/>
  <c r="DJ397" i="1"/>
  <c r="DJ248" i="1"/>
  <c r="DJ272" i="1"/>
  <c r="DK305" i="1"/>
  <c r="DM305" i="1" s="1"/>
  <c r="DJ72" i="1"/>
  <c r="DJ188" i="1"/>
  <c r="DJ327" i="1"/>
  <c r="DJ73" i="1"/>
  <c r="DJ239" i="1"/>
  <c r="DJ324" i="1"/>
  <c r="DJ109" i="1"/>
  <c r="DJ293" i="1"/>
  <c r="DJ312" i="1"/>
  <c r="DJ179" i="1"/>
  <c r="DJ97" i="1"/>
  <c r="DJ403" i="1"/>
  <c r="DJ67" i="1"/>
  <c r="DJ29" i="1"/>
  <c r="DJ53" i="1"/>
  <c r="DO258" i="1"/>
  <c r="DP258" i="1" s="1"/>
  <c r="DQ258" i="1"/>
  <c r="DK339" i="1"/>
  <c r="DM339" i="1"/>
  <c r="DK223" i="1"/>
  <c r="DM223" i="1"/>
  <c r="DK96" i="1"/>
  <c r="DM96" i="1"/>
  <c r="DK58" i="1"/>
  <c r="DM58" i="1"/>
  <c r="DK87" i="1"/>
  <c r="DM87" i="1"/>
  <c r="DK88" i="1"/>
  <c r="DM88" i="1"/>
  <c r="DK340" i="1"/>
  <c r="DM340" i="1"/>
  <c r="DK140" i="1"/>
  <c r="DM140" i="1"/>
  <c r="DK358" i="1"/>
  <c r="DM358" i="1"/>
  <c r="DK106" i="1"/>
  <c r="DM106" i="1"/>
  <c r="DK183" i="1"/>
  <c r="DM183" i="1"/>
  <c r="DK241" i="1"/>
  <c r="DM241" i="1"/>
  <c r="DK192" i="1"/>
  <c r="DM192" i="1"/>
  <c r="DK112" i="1"/>
  <c r="DM112" i="1" s="1"/>
  <c r="DK380" i="1"/>
  <c r="DM380" i="1" s="1"/>
  <c r="DK110" i="1"/>
  <c r="DM110" i="1" s="1"/>
  <c r="DK309" i="1"/>
  <c r="DM309" i="1" s="1"/>
  <c r="DK102" i="1"/>
  <c r="DM102" i="1" s="1"/>
  <c r="DK285" i="1"/>
  <c r="DM285" i="1" s="1"/>
  <c r="DK236" i="1"/>
  <c r="DM236" i="1" s="1"/>
  <c r="DK231" i="1"/>
  <c r="DM231" i="1" s="1"/>
  <c r="DK233" i="1"/>
  <c r="DM233" i="1" s="1"/>
  <c r="DK382" i="1"/>
  <c r="DM382" i="1" s="1"/>
  <c r="DK240" i="1"/>
  <c r="DM240" i="1" s="1"/>
  <c r="DK232" i="1"/>
  <c r="DM232" i="1" s="1"/>
  <c r="DQ240" i="1" l="1"/>
  <c r="DO240" i="1"/>
  <c r="DP240" i="1" s="1"/>
  <c r="DQ231" i="1"/>
  <c r="DO231" i="1"/>
  <c r="DP231" i="1" s="1"/>
  <c r="DO309" i="1"/>
  <c r="DP309" i="1" s="1"/>
  <c r="DQ309" i="1"/>
  <c r="DO102" i="1"/>
  <c r="DP102" i="1" s="1"/>
  <c r="DQ102" i="1"/>
  <c r="DO112" i="1"/>
  <c r="DP112" i="1" s="1"/>
  <c r="DQ112" i="1"/>
  <c r="DO382" i="1"/>
  <c r="DP382" i="1" s="1"/>
  <c r="DQ382" i="1"/>
  <c r="DO232" i="1"/>
  <c r="DP232" i="1" s="1"/>
  <c r="DQ232" i="1"/>
  <c r="DQ233" i="1"/>
  <c r="DO233" i="1"/>
  <c r="DP233" i="1" s="1"/>
  <c r="DQ236" i="1"/>
  <c r="DO236" i="1"/>
  <c r="DP236" i="1" s="1"/>
  <c r="DO285" i="1"/>
  <c r="DP285" i="1" s="1"/>
  <c r="DQ285" i="1"/>
  <c r="DO110" i="1"/>
  <c r="DP110" i="1" s="1"/>
  <c r="DQ110" i="1"/>
  <c r="DO380" i="1"/>
  <c r="DP380" i="1" s="1"/>
  <c r="DQ380" i="1"/>
  <c r="DL12" i="1"/>
  <c r="DN12" i="1" s="1"/>
  <c r="DK114" i="1"/>
  <c r="DM114" i="1" s="1"/>
  <c r="DJ270" i="1"/>
  <c r="DK101" i="1"/>
  <c r="DM101" i="1" s="1"/>
  <c r="DJ257" i="1"/>
  <c r="DJ353" i="1"/>
  <c r="DL22" i="1"/>
  <c r="DN22" i="1" s="1"/>
  <c r="DJ323" i="1"/>
  <c r="DJ320" i="1"/>
  <c r="DJ44" i="1"/>
  <c r="DJ63" i="1"/>
  <c r="DK51" i="1"/>
  <c r="DM51" i="1" s="1"/>
  <c r="DJ268" i="1"/>
  <c r="DJ367" i="1"/>
  <c r="DJ167" i="1"/>
  <c r="DJ247" i="1"/>
  <c r="DK171" i="1"/>
  <c r="DM171" i="1" s="1"/>
  <c r="DK48" i="1"/>
  <c r="DM48" i="1" s="1"/>
  <c r="DK378" i="1"/>
  <c r="DM378" i="1" s="1"/>
  <c r="DJ361" i="1"/>
  <c r="DJ162" i="1"/>
  <c r="DK169" i="1"/>
  <c r="DM169" i="1" s="1"/>
  <c r="DJ352" i="1"/>
  <c r="DJ396" i="1"/>
  <c r="DJ291" i="1"/>
  <c r="DJ161" i="1"/>
  <c r="DK230" i="1"/>
  <c r="DM230" i="1" s="1"/>
  <c r="DJ11" i="1"/>
  <c r="DK182" i="1"/>
  <c r="DM182" i="1" s="1"/>
  <c r="DJ121" i="1"/>
  <c r="DJ234" i="1"/>
  <c r="DJ217" i="1"/>
  <c r="DJ43" i="1"/>
  <c r="DJ127" i="1"/>
  <c r="DJ326" i="1"/>
  <c r="DJ276" i="1"/>
  <c r="DJ294" i="1"/>
  <c r="DJ319" i="1"/>
  <c r="DL374" i="1"/>
  <c r="DN374" i="1" s="1"/>
  <c r="DK26" i="1"/>
  <c r="DM26" i="1" s="1"/>
  <c r="DK403" i="1"/>
  <c r="DM403" i="1"/>
  <c r="DK179" i="1"/>
  <c r="DM179" i="1"/>
  <c r="DK272" i="1"/>
  <c r="DM272" i="1"/>
  <c r="DK397" i="1"/>
  <c r="DM397" i="1"/>
  <c r="DK80" i="1"/>
  <c r="DM80" i="1"/>
  <c r="DK34" i="1"/>
  <c r="DM34" i="1"/>
  <c r="DQ157" i="1"/>
  <c r="DO157" i="1"/>
  <c r="DP157" i="1" s="1"/>
  <c r="DO202" i="1"/>
  <c r="DP202" i="1" s="1"/>
  <c r="DQ202" i="1"/>
  <c r="DO260" i="1"/>
  <c r="DP260" i="1" s="1"/>
  <c r="DQ260" i="1"/>
  <c r="DQ156" i="1"/>
  <c r="DO156" i="1"/>
  <c r="DP156" i="1" s="1"/>
  <c r="DO38" i="1"/>
  <c r="DP38" i="1" s="1"/>
  <c r="DQ38" i="1"/>
  <c r="DQ150" i="1"/>
  <c r="DO150" i="1"/>
  <c r="DP150" i="1" s="1"/>
  <c r="DK60" i="1"/>
  <c r="DM60" i="1"/>
  <c r="DK124" i="1"/>
  <c r="DM124" i="1"/>
  <c r="DO227" i="1"/>
  <c r="DP227" i="1" s="1"/>
  <c r="DQ227" i="1"/>
  <c r="DK334" i="1"/>
  <c r="DM334" i="1"/>
  <c r="DK345" i="1"/>
  <c r="DM345" i="1"/>
  <c r="DK228" i="1"/>
  <c r="DM228" i="1"/>
  <c r="DK120" i="1"/>
  <c r="DM120" i="1"/>
  <c r="DK251" i="1"/>
  <c r="DM251" i="1"/>
  <c r="DK342" i="1"/>
  <c r="DM342" i="1"/>
  <c r="DK238" i="1"/>
  <c r="DM238" i="1"/>
  <c r="DK343" i="1"/>
  <c r="DM343" i="1"/>
  <c r="DK133" i="1"/>
  <c r="DM133" i="1"/>
  <c r="DK145" i="1"/>
  <c r="DM145" i="1"/>
  <c r="DK76" i="1"/>
  <c r="DM76" i="1"/>
  <c r="DK313" i="1"/>
  <c r="DM313" i="1"/>
  <c r="DK21" i="1"/>
  <c r="DM21" i="1"/>
  <c r="DK136" i="1"/>
  <c r="DM136" i="1"/>
  <c r="DQ284" i="1"/>
  <c r="DO284" i="1"/>
  <c r="DP284" i="1" s="1"/>
  <c r="DK56" i="1"/>
  <c r="DM56" i="1"/>
  <c r="DQ387" i="1"/>
  <c r="DO387" i="1"/>
  <c r="DP387" i="1" s="1"/>
  <c r="DO300" i="1"/>
  <c r="DP300" i="1" s="1"/>
  <c r="DQ300" i="1"/>
  <c r="DO98" i="1"/>
  <c r="DP98" i="1" s="1"/>
  <c r="DQ98" i="1"/>
  <c r="DO189" i="1"/>
  <c r="DP189" i="1" s="1"/>
  <c r="DQ189" i="1"/>
  <c r="DQ65" i="1"/>
  <c r="DO65" i="1"/>
  <c r="DP65" i="1" s="1"/>
  <c r="DK254" i="1"/>
  <c r="DM254" i="1"/>
  <c r="DK33" i="1"/>
  <c r="DM33" i="1"/>
  <c r="DK115" i="1"/>
  <c r="DM115" i="1"/>
  <c r="DK369" i="1"/>
  <c r="DM369" i="1"/>
  <c r="DK172" i="1"/>
  <c r="DM172" i="1"/>
  <c r="DO111" i="1"/>
  <c r="DP111" i="1" s="1"/>
  <c r="DQ111" i="1"/>
  <c r="DK226" i="1"/>
  <c r="DM226" i="1"/>
  <c r="DK146" i="1"/>
  <c r="DM146" i="1"/>
  <c r="DK119" i="1"/>
  <c r="DM119" i="1"/>
  <c r="DK332" i="1"/>
  <c r="DM332" i="1"/>
  <c r="DK138" i="1"/>
  <c r="DM138" i="1"/>
  <c r="DK147" i="1"/>
  <c r="DM147" i="1"/>
  <c r="DK310" i="1"/>
  <c r="DM310" i="1"/>
  <c r="DJ164" i="1"/>
  <c r="DK49" i="1"/>
  <c r="DM49" i="1" s="1"/>
  <c r="DJ391" i="1"/>
  <c r="DJ355" i="1"/>
  <c r="DJ271" i="1"/>
  <c r="DJ129" i="1"/>
  <c r="DJ278" i="1"/>
  <c r="DK229" i="1"/>
  <c r="DM229" i="1" s="1"/>
  <c r="DL70" i="1"/>
  <c r="DN70" i="1" s="1"/>
  <c r="DJ45" i="1"/>
  <c r="DJ55" i="1"/>
  <c r="DK399" i="1"/>
  <c r="DM399" i="1" s="1"/>
  <c r="DJ128" i="1"/>
  <c r="DJ20" i="1"/>
  <c r="DJ130" i="1"/>
  <c r="DK175" i="1"/>
  <c r="DM175" i="1" s="1"/>
  <c r="DJ357" i="1"/>
  <c r="DK363" i="1"/>
  <c r="DM363" i="1" s="1"/>
  <c r="DJ59" i="1"/>
  <c r="DJ318" i="1"/>
  <c r="DJ401" i="1"/>
  <c r="DJ273" i="1"/>
  <c r="DJ203" i="1"/>
  <c r="DJ269" i="1"/>
  <c r="DJ249" i="1"/>
  <c r="DJ122" i="1"/>
  <c r="DJ368" i="1"/>
  <c r="DJ311" i="1"/>
  <c r="DJ350" i="1"/>
  <c r="DK211" i="1"/>
  <c r="DM211" i="1" s="1"/>
  <c r="DJ158" i="1"/>
  <c r="DJ303" i="1"/>
  <c r="DJ301" i="1"/>
  <c r="DK381" i="1"/>
  <c r="DM381" i="1" s="1"/>
  <c r="DK286" i="1"/>
  <c r="DM286" i="1" s="1"/>
  <c r="DJ330" i="1"/>
  <c r="DJ52" i="1"/>
  <c r="DJ400" i="1"/>
  <c r="DQ192" i="1"/>
  <c r="DO192" i="1"/>
  <c r="DP192" i="1" s="1"/>
  <c r="DQ183" i="1"/>
  <c r="DO183" i="1"/>
  <c r="DP183" i="1" s="1"/>
  <c r="DQ358" i="1"/>
  <c r="DO358" i="1"/>
  <c r="DP358" i="1" s="1"/>
  <c r="DO340" i="1"/>
  <c r="DP340" i="1" s="1"/>
  <c r="DQ340" i="1"/>
  <c r="DQ87" i="1"/>
  <c r="DO87" i="1"/>
  <c r="DP87" i="1" s="1"/>
  <c r="DO96" i="1"/>
  <c r="DP96" i="1" s="1"/>
  <c r="DQ96" i="1"/>
  <c r="DO339" i="1"/>
  <c r="DP339" i="1" s="1"/>
  <c r="DQ339" i="1"/>
  <c r="DK53" i="1"/>
  <c r="DM53" i="1"/>
  <c r="DK293" i="1"/>
  <c r="DM293" i="1"/>
  <c r="DK324" i="1"/>
  <c r="DM324" i="1"/>
  <c r="DK73" i="1"/>
  <c r="DM73" i="1"/>
  <c r="DK188" i="1"/>
  <c r="DM188" i="1"/>
  <c r="DO305" i="1"/>
  <c r="DP305" i="1" s="1"/>
  <c r="DQ305" i="1"/>
  <c r="DK395" i="1"/>
  <c r="DM395" i="1"/>
  <c r="DK196" i="1"/>
  <c r="DM196" i="1"/>
  <c r="DK210" i="1"/>
  <c r="DM210" i="1"/>
  <c r="DK126" i="1"/>
  <c r="DM126" i="1"/>
  <c r="DM149" i="1"/>
  <c r="DK186" i="1"/>
  <c r="DM186" i="1"/>
  <c r="DQ99" i="1"/>
  <c r="DO99" i="1"/>
  <c r="DP99" i="1" s="1"/>
  <c r="DO259" i="1"/>
  <c r="DP259" i="1" s="1"/>
  <c r="DQ259" i="1"/>
  <c r="DK371" i="1"/>
  <c r="DM371" i="1"/>
  <c r="DO224" i="1"/>
  <c r="DP224" i="1" s="1"/>
  <c r="DQ224" i="1"/>
  <c r="DK325" i="1"/>
  <c r="DM325" i="1"/>
  <c r="DO86" i="1"/>
  <c r="DP86" i="1" s="1"/>
  <c r="DQ86" i="1"/>
  <c r="DQ237" i="1"/>
  <c r="DO237" i="1"/>
  <c r="DP237" i="1" s="1"/>
  <c r="DK46" i="1"/>
  <c r="DM46" i="1"/>
  <c r="DK165" i="1"/>
  <c r="DM165" i="1"/>
  <c r="DK77" i="1"/>
  <c r="DM77" i="1"/>
  <c r="DK16" i="1"/>
  <c r="DM16" i="1"/>
  <c r="DQ244" i="1"/>
  <c r="DO244" i="1"/>
  <c r="DP244" i="1" s="1"/>
  <c r="DQ95" i="1"/>
  <c r="DO95" i="1"/>
  <c r="DP95" i="1" s="1"/>
  <c r="DQ341" i="1"/>
  <c r="DO341" i="1"/>
  <c r="DP341" i="1" s="1"/>
  <c r="DO36" i="1"/>
  <c r="DP36" i="1" s="1"/>
  <c r="DQ36" i="1"/>
  <c r="DO170" i="1"/>
  <c r="DP170" i="1" s="1"/>
  <c r="DQ170" i="1"/>
  <c r="DQ23" i="1"/>
  <c r="DO23" i="1"/>
  <c r="DP23" i="1" s="1"/>
  <c r="DO151" i="1"/>
  <c r="DP151" i="1" s="1"/>
  <c r="DQ151" i="1"/>
  <c r="DK17" i="1"/>
  <c r="DM17" i="1"/>
  <c r="DK281" i="1"/>
  <c r="DM281" i="1"/>
  <c r="DO317" i="1"/>
  <c r="DP317" i="1" s="1"/>
  <c r="DQ317" i="1"/>
  <c r="DK93" i="1"/>
  <c r="DM93" i="1"/>
  <c r="DK198" i="1"/>
  <c r="DM198" i="1"/>
  <c r="DK205" i="1"/>
  <c r="DM205" i="1"/>
  <c r="DK402" i="1"/>
  <c r="DM402" i="1"/>
  <c r="DK212" i="1"/>
  <c r="DM212" i="1"/>
  <c r="DK191" i="1"/>
  <c r="DM191" i="1"/>
  <c r="DO100" i="1"/>
  <c r="DP100" i="1" s="1"/>
  <c r="DQ100" i="1"/>
  <c r="DK201" i="1"/>
  <c r="DM201" i="1"/>
  <c r="DK213" i="1"/>
  <c r="DM213" i="1"/>
  <c r="DK194" i="1"/>
  <c r="DM194" i="1"/>
  <c r="DK103" i="1"/>
  <c r="DM103" i="1"/>
  <c r="DK262" i="1"/>
  <c r="DM262" i="1"/>
  <c r="DQ18" i="1"/>
  <c r="DO18" i="1"/>
  <c r="DP18" i="1" s="1"/>
  <c r="DK54" i="1"/>
  <c r="DM54" i="1"/>
  <c r="DJ307" i="1"/>
  <c r="DJ250" i="1"/>
  <c r="DJ166" i="1"/>
  <c r="DK82" i="1"/>
  <c r="DM82" i="1" s="1"/>
  <c r="DJ274" i="1"/>
  <c r="DK379" i="1"/>
  <c r="DM379" i="1" s="1"/>
  <c r="DJ398" i="1"/>
  <c r="DJ322" i="1"/>
  <c r="DJ264" i="1"/>
  <c r="DK206" i="1"/>
  <c r="DM206" i="1" s="1"/>
  <c r="DJ344" i="1"/>
  <c r="DK360" i="1"/>
  <c r="DM360" i="1" s="1"/>
  <c r="DJ354" i="1"/>
  <c r="DL62" i="1"/>
  <c r="DN62" i="1" s="1"/>
  <c r="DJ216" i="1"/>
  <c r="DJ338" i="1"/>
  <c r="DJ69" i="1"/>
  <c r="DJ346" i="1"/>
  <c r="DK181" i="1"/>
  <c r="DM181" i="1" s="1"/>
  <c r="DK47" i="1"/>
  <c r="DM47" i="1" s="1"/>
  <c r="DK108" i="1"/>
  <c r="DM108" i="1" s="1"/>
  <c r="DJ83" i="1"/>
  <c r="DJ64" i="1"/>
  <c r="DJ207" i="1"/>
  <c r="DK104" i="1"/>
  <c r="DM104" i="1" s="1"/>
  <c r="DJ141" i="1"/>
  <c r="DJ246" i="1"/>
  <c r="DK174" i="1"/>
  <c r="DM174" i="1" s="1"/>
  <c r="DJ275" i="1"/>
  <c r="DJ347" i="1"/>
  <c r="DK373" i="1"/>
  <c r="DM373" i="1" s="1"/>
  <c r="DJ390" i="1"/>
  <c r="DL14" i="1"/>
  <c r="DN14" i="1" s="1"/>
  <c r="DJ266" i="1"/>
  <c r="DJ252" i="1"/>
  <c r="DJ295" i="1"/>
  <c r="DJ386" i="1"/>
  <c r="DJ25" i="1"/>
  <c r="DJ71" i="1"/>
  <c r="DJ215" i="1"/>
  <c r="DJ214" i="1"/>
  <c r="DK67" i="1"/>
  <c r="DM67" i="1"/>
  <c r="DK97" i="1"/>
  <c r="DM97" i="1"/>
  <c r="DK248" i="1"/>
  <c r="DM248" i="1"/>
  <c r="DK94" i="1"/>
  <c r="DM94" i="1"/>
  <c r="DK200" i="1"/>
  <c r="DM200" i="1"/>
  <c r="DK263" i="1"/>
  <c r="DM263" i="1"/>
  <c r="DO143" i="1"/>
  <c r="DP143" i="1" s="1"/>
  <c r="DQ143" i="1"/>
  <c r="DQ89" i="1"/>
  <c r="DO89" i="1"/>
  <c r="DP89" i="1" s="1"/>
  <c r="DQ137" i="1"/>
  <c r="DO137" i="1"/>
  <c r="DP137" i="1" s="1"/>
  <c r="DQ79" i="1"/>
  <c r="DO79" i="1"/>
  <c r="DP79" i="1" s="1"/>
  <c r="DO91" i="1"/>
  <c r="DP91" i="1" s="1"/>
  <c r="DQ91" i="1"/>
  <c r="DQ152" i="1"/>
  <c r="DO152" i="1"/>
  <c r="DP152" i="1" s="1"/>
  <c r="DK123" i="1"/>
  <c r="DM123" i="1"/>
  <c r="DK160" i="1"/>
  <c r="DM160" i="1"/>
  <c r="DQ225" i="1"/>
  <c r="DO225" i="1"/>
  <c r="DP225" i="1" s="1"/>
  <c r="DQ359" i="1"/>
  <c r="DO359" i="1"/>
  <c r="DP359" i="1" s="1"/>
  <c r="DK364" i="1"/>
  <c r="DM364" i="1"/>
  <c r="DO316" i="1"/>
  <c r="DP316" i="1" s="1"/>
  <c r="DQ316" i="1"/>
  <c r="DK117" i="1"/>
  <c r="DM117" i="1"/>
  <c r="DK31" i="1"/>
  <c r="DM31" i="1"/>
  <c r="DK66" i="1"/>
  <c r="DM66" i="1"/>
  <c r="DQ50" i="1"/>
  <c r="DO50" i="1"/>
  <c r="DP50" i="1" s="1"/>
  <c r="DO132" i="1"/>
  <c r="DP132" i="1" s="1"/>
  <c r="DQ132" i="1"/>
  <c r="DK85" i="1"/>
  <c r="DM85" i="1"/>
  <c r="DK30" i="1"/>
  <c r="DM30" i="1"/>
  <c r="DO159" i="1"/>
  <c r="DP159" i="1" s="1"/>
  <c r="DQ159" i="1"/>
  <c r="DK107" i="1"/>
  <c r="DM107" i="1"/>
  <c r="DK28" i="1"/>
  <c r="DM28" i="1"/>
  <c r="DK298" i="1"/>
  <c r="DM298" i="1"/>
  <c r="DK335" i="1"/>
  <c r="DM335" i="1"/>
  <c r="DQ92" i="1"/>
  <c r="DO92" i="1"/>
  <c r="DP92" i="1" s="1"/>
  <c r="DO118" i="1"/>
  <c r="DP118" i="1" s="1"/>
  <c r="DQ118" i="1"/>
  <c r="DQ331" i="1"/>
  <c r="DO331" i="1"/>
  <c r="DP331" i="1" s="1"/>
  <c r="DO35" i="1"/>
  <c r="DP35" i="1" s="1"/>
  <c r="DQ35" i="1"/>
  <c r="DK15" i="1"/>
  <c r="DM15" i="1"/>
  <c r="DK32" i="1"/>
  <c r="DM32" i="1"/>
  <c r="DK199" i="1"/>
  <c r="DM199" i="1"/>
  <c r="DK81" i="1"/>
  <c r="DM81" i="1"/>
  <c r="DK68" i="1"/>
  <c r="DM68" i="1"/>
  <c r="DK139" i="1"/>
  <c r="DM139" i="1"/>
  <c r="DK75" i="1"/>
  <c r="DM75" i="1"/>
  <c r="DK299" i="1"/>
  <c r="DM299" i="1"/>
  <c r="DO304" i="1"/>
  <c r="DP304" i="1" s="1"/>
  <c r="DQ304" i="1"/>
  <c r="DK329" i="1"/>
  <c r="DM329" i="1"/>
  <c r="DK90" i="1"/>
  <c r="DM90" i="1"/>
  <c r="DK125" i="1"/>
  <c r="DM125" i="1"/>
  <c r="DQ366" i="1"/>
  <c r="DO366" i="1"/>
  <c r="DP366" i="1" s="1"/>
  <c r="DQ375" i="1"/>
  <c r="DO375" i="1"/>
  <c r="DP375" i="1" s="1"/>
  <c r="DK348" i="1"/>
  <c r="DM348" i="1"/>
  <c r="DK193" i="1"/>
  <c r="DM193" i="1"/>
  <c r="DJ306" i="1"/>
  <c r="DJ349" i="1"/>
  <c r="DJ394" i="1"/>
  <c r="DK287" i="1"/>
  <c r="DM287" i="1" s="1"/>
  <c r="DJ57" i="1"/>
  <c r="DJ336" i="1"/>
  <c r="DJ265" i="1"/>
  <c r="DJ24" i="1"/>
  <c r="DK235" i="1"/>
  <c r="DM235" i="1" s="1"/>
  <c r="DK208" i="1"/>
  <c r="DM208" i="1" s="1"/>
  <c r="DJ315" i="1"/>
  <c r="DJ197" i="1"/>
  <c r="DJ351" i="1"/>
  <c r="DJ220" i="1"/>
  <c r="DJ40" i="1"/>
  <c r="DJ279" i="1"/>
  <c r="DJ61" i="1"/>
  <c r="DJ116" i="1"/>
  <c r="DK376" i="1"/>
  <c r="DM376" i="1" s="1"/>
  <c r="DK185" i="1"/>
  <c r="DM185" i="1" s="1"/>
  <c r="DJ277" i="1"/>
  <c r="DJ328" i="1"/>
  <c r="DK383" i="1"/>
  <c r="DM383" i="1" s="1"/>
  <c r="DJ296" i="1"/>
  <c r="DK78" i="1"/>
  <c r="DM78" i="1" s="1"/>
  <c r="DK84" i="1"/>
  <c r="DM84" i="1" s="1"/>
  <c r="DJ19" i="1"/>
  <c r="DK154" i="1"/>
  <c r="DM154" i="1" s="1"/>
  <c r="DJ337" i="1"/>
  <c r="DJ321" i="1"/>
  <c r="DJ163" i="1"/>
  <c r="DJ42" i="1"/>
  <c r="DJ219" i="1"/>
  <c r="DJ297" i="1"/>
  <c r="DL177" i="1"/>
  <c r="DN177" i="1" s="1"/>
  <c r="DK176" i="1"/>
  <c r="DM176" i="1" s="1"/>
  <c r="DK365" i="1"/>
  <c r="DM365" i="1" s="1"/>
  <c r="DK173" i="1"/>
  <c r="DM173" i="1" s="1"/>
  <c r="DJ372" i="1"/>
  <c r="DJ393" i="1"/>
  <c r="DL37" i="1"/>
  <c r="DN37" i="1" s="1"/>
  <c r="DK131" i="1"/>
  <c r="DM131" i="1" s="1"/>
  <c r="DO241" i="1"/>
  <c r="DP241" i="1" s="1"/>
  <c r="DQ241" i="1"/>
  <c r="DQ106" i="1"/>
  <c r="DO106" i="1"/>
  <c r="DP106" i="1" s="1"/>
  <c r="DO140" i="1"/>
  <c r="DP140" i="1" s="1"/>
  <c r="DQ140" i="1"/>
  <c r="DO88" i="1"/>
  <c r="DP88" i="1" s="1"/>
  <c r="DQ88" i="1"/>
  <c r="DO58" i="1"/>
  <c r="DP58" i="1" s="1"/>
  <c r="DQ58" i="1"/>
  <c r="DQ223" i="1"/>
  <c r="DO223" i="1"/>
  <c r="DP223" i="1" s="1"/>
  <c r="DK29" i="1"/>
  <c r="DM29" i="1"/>
  <c r="DK312" i="1"/>
  <c r="DM312" i="1"/>
  <c r="DK109" i="1"/>
  <c r="DM109" i="1"/>
  <c r="DK239" i="1"/>
  <c r="DM239" i="1"/>
  <c r="DK327" i="1"/>
  <c r="DM327" i="1"/>
  <c r="DK72" i="1"/>
  <c r="DM72" i="1"/>
  <c r="DK39" i="1"/>
  <c r="DM39" i="1"/>
  <c r="DK292" i="1"/>
  <c r="DM292" i="1"/>
  <c r="DK282" i="1"/>
  <c r="DM282" i="1"/>
  <c r="DK27" i="1"/>
  <c r="DM27" i="1"/>
  <c r="DK74" i="1"/>
  <c r="DM74" i="1"/>
  <c r="DK356" i="1"/>
  <c r="DM356" i="1"/>
  <c r="DK308" i="1"/>
  <c r="DM308" i="1"/>
  <c r="DK221" i="1"/>
  <c r="DM221" i="1"/>
  <c r="DK180" i="1"/>
  <c r="DM180" i="1"/>
  <c r="DK218" i="1"/>
  <c r="DM218" i="1"/>
  <c r="DK385" i="1"/>
  <c r="DM385" i="1"/>
  <c r="DK144" i="1"/>
  <c r="DM144" i="1"/>
  <c r="DQ209" i="1"/>
  <c r="DO209" i="1"/>
  <c r="DP209" i="1" s="1"/>
  <c r="DK255" i="1"/>
  <c r="DM255" i="1"/>
  <c r="DK290" i="1"/>
  <c r="DM290" i="1"/>
  <c r="DK245" i="1"/>
  <c r="DM245" i="1"/>
  <c r="DK142" i="1"/>
  <c r="DM142" i="1"/>
  <c r="DK389" i="1"/>
  <c r="DM389" i="1"/>
  <c r="DK314" i="1"/>
  <c r="DM314" i="1"/>
  <c r="DK204" i="1"/>
  <c r="DM204" i="1"/>
  <c r="DQ105" i="1"/>
  <c r="DO105" i="1"/>
  <c r="DP105" i="1" s="1"/>
  <c r="DQ187" i="1"/>
  <c r="DO187" i="1"/>
  <c r="DP187" i="1" s="1"/>
  <c r="DO195" i="1"/>
  <c r="DP195" i="1" s="1"/>
  <c r="DQ195" i="1"/>
  <c r="DO289" i="1"/>
  <c r="DP289" i="1" s="1"/>
  <c r="DQ289" i="1"/>
  <c r="DO184" i="1"/>
  <c r="DP184" i="1" s="1"/>
  <c r="DQ184" i="1"/>
  <c r="DK333" i="1"/>
  <c r="DM333" i="1"/>
  <c r="DK261" i="1"/>
  <c r="DM261" i="1"/>
  <c r="DK302" i="1"/>
  <c r="DM302" i="1"/>
  <c r="DK153" i="1"/>
  <c r="DM153" i="1"/>
  <c r="DK392" i="1"/>
  <c r="DM392" i="1"/>
  <c r="DK41" i="1"/>
  <c r="DM41" i="1"/>
  <c r="DK267" i="1"/>
  <c r="DM267" i="1"/>
  <c r="DK253" i="1"/>
  <c r="DM253" i="1"/>
  <c r="DK280" i="1"/>
  <c r="DM280" i="1"/>
  <c r="DK222" i="1"/>
  <c r="DM222" i="1"/>
  <c r="DK242" i="1"/>
  <c r="DM242" i="1"/>
  <c r="DK388" i="1"/>
  <c r="DM388" i="1"/>
  <c r="DK155" i="1"/>
  <c r="DM155" i="1"/>
  <c r="DK135" i="1"/>
  <c r="DM135" i="1"/>
  <c r="DQ243" i="1"/>
  <c r="DO243" i="1"/>
  <c r="DP243" i="1" s="1"/>
  <c r="DK190" i="1"/>
  <c r="DM190" i="1"/>
  <c r="DJ12" i="1"/>
  <c r="DJ70" i="1"/>
  <c r="DJ374" i="1"/>
  <c r="DJ177" i="1"/>
  <c r="DQ155" i="1" l="1"/>
  <c r="DO155" i="1"/>
  <c r="DP155" i="1" s="1"/>
  <c r="DQ242" i="1"/>
  <c r="DO242" i="1"/>
  <c r="DP242" i="1" s="1"/>
  <c r="DO280" i="1"/>
  <c r="DP280" i="1" s="1"/>
  <c r="DQ280" i="1"/>
  <c r="DQ267" i="1"/>
  <c r="DO267" i="1"/>
  <c r="DP267" i="1" s="1"/>
  <c r="DO392" i="1"/>
  <c r="DP392" i="1" s="1"/>
  <c r="DQ392" i="1"/>
  <c r="DO302" i="1"/>
  <c r="DP302" i="1" s="1"/>
  <c r="DQ302" i="1"/>
  <c r="DQ333" i="1"/>
  <c r="DO333" i="1"/>
  <c r="DP333" i="1" s="1"/>
  <c r="DO204" i="1"/>
  <c r="DP204" i="1" s="1"/>
  <c r="DQ204" i="1"/>
  <c r="DQ389" i="1"/>
  <c r="DO389" i="1"/>
  <c r="DP389" i="1" s="1"/>
  <c r="DQ245" i="1"/>
  <c r="DO245" i="1"/>
  <c r="DP245" i="1" s="1"/>
  <c r="DO255" i="1"/>
  <c r="DP255" i="1" s="1"/>
  <c r="DQ255" i="1"/>
  <c r="DO144" i="1"/>
  <c r="DP144" i="1" s="1"/>
  <c r="DQ144" i="1"/>
  <c r="DQ218" i="1"/>
  <c r="DO218" i="1"/>
  <c r="DP218" i="1" s="1"/>
  <c r="DQ221" i="1"/>
  <c r="DO221" i="1"/>
  <c r="DP221" i="1" s="1"/>
  <c r="DQ356" i="1"/>
  <c r="DO356" i="1"/>
  <c r="DP356" i="1" s="1"/>
  <c r="DO27" i="1"/>
  <c r="DP27" i="1" s="1"/>
  <c r="DQ27" i="1"/>
  <c r="DO292" i="1"/>
  <c r="DP292" i="1" s="1"/>
  <c r="DQ292" i="1"/>
  <c r="DO72" i="1"/>
  <c r="DP72" i="1" s="1"/>
  <c r="DQ72" i="1"/>
  <c r="DQ239" i="1"/>
  <c r="DO239" i="1"/>
  <c r="DP239" i="1" s="1"/>
  <c r="DO312" i="1"/>
  <c r="DP312" i="1" s="1"/>
  <c r="DQ312" i="1"/>
  <c r="DO131" i="1"/>
  <c r="DP131" i="1" s="1"/>
  <c r="DQ131" i="1"/>
  <c r="DK393" i="1"/>
  <c r="DM393" i="1"/>
  <c r="DQ173" i="1"/>
  <c r="DO173" i="1"/>
  <c r="DP173" i="1" s="1"/>
  <c r="DO176" i="1"/>
  <c r="DP176" i="1" s="1"/>
  <c r="DQ176" i="1"/>
  <c r="DK297" i="1"/>
  <c r="DM297" i="1"/>
  <c r="DK42" i="1"/>
  <c r="DM42" i="1"/>
  <c r="DK321" i="1"/>
  <c r="DM321" i="1"/>
  <c r="DQ154" i="1"/>
  <c r="DO154" i="1"/>
  <c r="DP154" i="1" s="1"/>
  <c r="DO84" i="1"/>
  <c r="DP84" i="1" s="1"/>
  <c r="DQ84" i="1"/>
  <c r="DK296" i="1"/>
  <c r="DM296" i="1"/>
  <c r="DK328" i="1"/>
  <c r="DM328" i="1"/>
  <c r="DO185" i="1"/>
  <c r="DP185" i="1" s="1"/>
  <c r="DQ185" i="1"/>
  <c r="DK116" i="1"/>
  <c r="DM116" i="1"/>
  <c r="DK279" i="1"/>
  <c r="DM279" i="1"/>
  <c r="DK220" i="1"/>
  <c r="DM220" i="1"/>
  <c r="DK197" i="1"/>
  <c r="DM197" i="1"/>
  <c r="DQ208" i="1"/>
  <c r="DO208" i="1"/>
  <c r="DP208" i="1" s="1"/>
  <c r="DK24" i="1"/>
  <c r="DM24" i="1"/>
  <c r="DK336" i="1"/>
  <c r="DM336" i="1"/>
  <c r="DO287" i="1"/>
  <c r="DP287" i="1" s="1"/>
  <c r="DQ287" i="1"/>
  <c r="DK349" i="1"/>
  <c r="DM349" i="1"/>
  <c r="DO193" i="1"/>
  <c r="DP193" i="1" s="1"/>
  <c r="DQ193" i="1"/>
  <c r="DO125" i="1"/>
  <c r="DP125" i="1" s="1"/>
  <c r="DQ125" i="1"/>
  <c r="DO329" i="1"/>
  <c r="DP329" i="1" s="1"/>
  <c r="DQ329" i="1"/>
  <c r="DQ299" i="1"/>
  <c r="DO299" i="1"/>
  <c r="DP299" i="1" s="1"/>
  <c r="DQ139" i="1"/>
  <c r="DO139" i="1"/>
  <c r="DP139" i="1" s="1"/>
  <c r="DO81" i="1"/>
  <c r="DP81" i="1" s="1"/>
  <c r="DQ81" i="1"/>
  <c r="DQ32" i="1"/>
  <c r="DO32" i="1"/>
  <c r="DP32" i="1" s="1"/>
  <c r="DO335" i="1"/>
  <c r="DP335" i="1" s="1"/>
  <c r="DQ335" i="1"/>
  <c r="DQ28" i="1"/>
  <c r="DO28" i="1"/>
  <c r="DP28" i="1" s="1"/>
  <c r="DQ85" i="1"/>
  <c r="DO85" i="1"/>
  <c r="DP85" i="1" s="1"/>
  <c r="DQ31" i="1"/>
  <c r="DO31" i="1"/>
  <c r="DP31" i="1" s="1"/>
  <c r="DO160" i="1"/>
  <c r="DP160" i="1" s="1"/>
  <c r="DQ160" i="1"/>
  <c r="DQ263" i="1"/>
  <c r="DO263" i="1"/>
  <c r="DP263" i="1" s="1"/>
  <c r="DO94" i="1"/>
  <c r="DP94" i="1" s="1"/>
  <c r="DQ94" i="1"/>
  <c r="DQ97" i="1"/>
  <c r="DO97" i="1"/>
  <c r="DP97" i="1" s="1"/>
  <c r="DK214" i="1"/>
  <c r="DM214" i="1"/>
  <c r="DK71" i="1"/>
  <c r="DM71" i="1"/>
  <c r="DK386" i="1"/>
  <c r="DM386" i="1"/>
  <c r="DK252" i="1"/>
  <c r="DM252" i="1"/>
  <c r="DO373" i="1"/>
  <c r="DP373" i="1" s="1"/>
  <c r="DQ373" i="1"/>
  <c r="DK275" i="1"/>
  <c r="DM275" i="1"/>
  <c r="DK246" i="1"/>
  <c r="DM246" i="1"/>
  <c r="DQ104" i="1"/>
  <c r="DO104" i="1"/>
  <c r="DP104" i="1" s="1"/>
  <c r="DK64" i="1"/>
  <c r="DM64" i="1"/>
  <c r="DQ108" i="1"/>
  <c r="DO108" i="1"/>
  <c r="DP108" i="1" s="1"/>
  <c r="DQ181" i="1"/>
  <c r="DO181" i="1"/>
  <c r="DP181" i="1" s="1"/>
  <c r="DK69" i="1"/>
  <c r="DM69" i="1"/>
  <c r="DK216" i="1"/>
  <c r="DM216" i="1"/>
  <c r="DK354" i="1"/>
  <c r="DM354" i="1"/>
  <c r="DK344" i="1"/>
  <c r="DM344" i="1"/>
  <c r="DK264" i="1"/>
  <c r="DM264" i="1"/>
  <c r="DK398" i="1"/>
  <c r="DM398" i="1"/>
  <c r="DK274" i="1"/>
  <c r="DM274" i="1"/>
  <c r="DK166" i="1"/>
  <c r="DM166" i="1"/>
  <c r="DK307" i="1"/>
  <c r="DM307" i="1"/>
  <c r="DO103" i="1"/>
  <c r="DP103" i="1" s="1"/>
  <c r="DQ103" i="1"/>
  <c r="DO213" i="1"/>
  <c r="DP213" i="1" s="1"/>
  <c r="DQ213" i="1"/>
  <c r="DO212" i="1"/>
  <c r="DP212" i="1" s="1"/>
  <c r="DQ212" i="1"/>
  <c r="DO205" i="1"/>
  <c r="DP205" i="1" s="1"/>
  <c r="DQ205" i="1"/>
  <c r="DQ93" i="1"/>
  <c r="DO93" i="1"/>
  <c r="DP93" i="1" s="1"/>
  <c r="DO281" i="1"/>
  <c r="DP281" i="1" s="1"/>
  <c r="DQ281" i="1"/>
  <c r="DQ77" i="1"/>
  <c r="DO77" i="1"/>
  <c r="DP77" i="1" s="1"/>
  <c r="DO46" i="1"/>
  <c r="DP46" i="1" s="1"/>
  <c r="DQ46" i="1"/>
  <c r="DQ186" i="1"/>
  <c r="DO186" i="1"/>
  <c r="DP186" i="1" s="1"/>
  <c r="DQ126" i="1"/>
  <c r="DO126" i="1"/>
  <c r="DP126" i="1" s="1"/>
  <c r="DO196" i="1"/>
  <c r="DP196" i="1" s="1"/>
  <c r="DQ196" i="1"/>
  <c r="DQ73" i="1"/>
  <c r="DO73" i="1"/>
  <c r="DP73" i="1" s="1"/>
  <c r="DO293" i="1"/>
  <c r="DP293" i="1" s="1"/>
  <c r="DQ293" i="1"/>
  <c r="DK52" i="1"/>
  <c r="DM52" i="1"/>
  <c r="DQ286" i="1"/>
  <c r="DO286" i="1"/>
  <c r="DP286" i="1" s="1"/>
  <c r="DK301" i="1"/>
  <c r="DM301" i="1"/>
  <c r="DK158" i="1"/>
  <c r="DM158" i="1"/>
  <c r="DK350" i="1"/>
  <c r="DM350" i="1"/>
  <c r="DK368" i="1"/>
  <c r="DM368" i="1"/>
  <c r="DK249" i="1"/>
  <c r="DM249" i="1"/>
  <c r="DK203" i="1"/>
  <c r="DM203" i="1"/>
  <c r="DK401" i="1"/>
  <c r="DM401" i="1"/>
  <c r="DK59" i="1"/>
  <c r="DM59" i="1"/>
  <c r="DK357" i="1"/>
  <c r="DM357" i="1"/>
  <c r="DK130" i="1"/>
  <c r="DM130" i="1"/>
  <c r="DK128" i="1"/>
  <c r="DM128" i="1"/>
  <c r="DK55" i="1"/>
  <c r="DM55" i="1"/>
  <c r="DK278" i="1"/>
  <c r="DM278" i="1"/>
  <c r="DK271" i="1"/>
  <c r="DM271" i="1"/>
  <c r="DK391" i="1"/>
  <c r="DM391" i="1"/>
  <c r="DK164" i="1"/>
  <c r="DM164" i="1"/>
  <c r="DQ147" i="1"/>
  <c r="DO147" i="1"/>
  <c r="DP147" i="1" s="1"/>
  <c r="DO332" i="1"/>
  <c r="DP332" i="1" s="1"/>
  <c r="DQ332" i="1"/>
  <c r="DQ146" i="1"/>
  <c r="DO146" i="1"/>
  <c r="DP146" i="1" s="1"/>
  <c r="DQ369" i="1"/>
  <c r="DO369" i="1"/>
  <c r="DP369" i="1" s="1"/>
  <c r="DQ33" i="1"/>
  <c r="DO33" i="1"/>
  <c r="DP33" i="1" s="1"/>
  <c r="DQ21" i="1"/>
  <c r="DO21" i="1"/>
  <c r="DP21" i="1" s="1"/>
  <c r="DO76" i="1"/>
  <c r="DP76" i="1" s="1"/>
  <c r="DQ76" i="1"/>
  <c r="DO133" i="1"/>
  <c r="DP133" i="1" s="1"/>
  <c r="DQ133" i="1"/>
  <c r="DO238" i="1"/>
  <c r="DP238" i="1" s="1"/>
  <c r="DQ238" i="1"/>
  <c r="DQ251" i="1"/>
  <c r="DO251" i="1"/>
  <c r="DP251" i="1" s="1"/>
  <c r="DO228" i="1"/>
  <c r="DP228" i="1" s="1"/>
  <c r="DQ228" i="1"/>
  <c r="DQ334" i="1"/>
  <c r="DO334" i="1"/>
  <c r="DP334" i="1" s="1"/>
  <c r="DQ124" i="1"/>
  <c r="DO124" i="1"/>
  <c r="DP124" i="1" s="1"/>
  <c r="DO34" i="1"/>
  <c r="DP34" i="1" s="1"/>
  <c r="DQ34" i="1"/>
  <c r="DQ397" i="1"/>
  <c r="DO397" i="1"/>
  <c r="DP397" i="1" s="1"/>
  <c r="DO179" i="1"/>
  <c r="DP179" i="1" s="1"/>
  <c r="DQ179" i="1"/>
  <c r="DQ26" i="1"/>
  <c r="DO26" i="1"/>
  <c r="DP26" i="1" s="1"/>
  <c r="DK319" i="1"/>
  <c r="DM319" i="1"/>
  <c r="DK276" i="1"/>
  <c r="DM276" i="1"/>
  <c r="DK127" i="1"/>
  <c r="DM127" i="1"/>
  <c r="DK217" i="1"/>
  <c r="DM217" i="1"/>
  <c r="DK121" i="1"/>
  <c r="DM121" i="1"/>
  <c r="DK11" i="1"/>
  <c r="DM11" i="1"/>
  <c r="DK161" i="1"/>
  <c r="DM161" i="1"/>
  <c r="DK396" i="1"/>
  <c r="DM396" i="1"/>
  <c r="DO169" i="1"/>
  <c r="DP169" i="1" s="1"/>
  <c r="DQ169" i="1"/>
  <c r="DK361" i="1"/>
  <c r="DM361" i="1"/>
  <c r="DQ48" i="1"/>
  <c r="DO48" i="1"/>
  <c r="DP48" i="1" s="1"/>
  <c r="DK247" i="1"/>
  <c r="DM247" i="1"/>
  <c r="DK367" i="1"/>
  <c r="DM367" i="1"/>
  <c r="DQ51" i="1"/>
  <c r="DO51" i="1"/>
  <c r="DP51" i="1" s="1"/>
  <c r="DK44" i="1"/>
  <c r="DM44" i="1"/>
  <c r="DK323" i="1"/>
  <c r="DM323" i="1"/>
  <c r="DK353" i="1"/>
  <c r="DM353" i="1"/>
  <c r="DQ101" i="1"/>
  <c r="DO101" i="1"/>
  <c r="DP101" i="1" s="1"/>
  <c r="DO114" i="1"/>
  <c r="DP114" i="1" s="1"/>
  <c r="DQ114" i="1"/>
  <c r="DL9" i="1"/>
  <c r="DN9" i="1" s="1"/>
  <c r="DL362" i="1"/>
  <c r="DN362" i="1" s="1"/>
  <c r="DJ14" i="1"/>
  <c r="DO190" i="1"/>
  <c r="DP190" i="1" s="1"/>
  <c r="DQ190" i="1"/>
  <c r="DO135" i="1"/>
  <c r="DP135" i="1" s="1"/>
  <c r="DQ135" i="1"/>
  <c r="DO388" i="1"/>
  <c r="DP388" i="1" s="1"/>
  <c r="DQ388" i="1"/>
  <c r="DO222" i="1"/>
  <c r="DP222" i="1" s="1"/>
  <c r="DQ222" i="1"/>
  <c r="DQ253" i="1"/>
  <c r="DO253" i="1"/>
  <c r="DP253" i="1" s="1"/>
  <c r="DQ41" i="1"/>
  <c r="DO41" i="1"/>
  <c r="DP41" i="1" s="1"/>
  <c r="DO153" i="1"/>
  <c r="DP153" i="1" s="1"/>
  <c r="DQ153" i="1"/>
  <c r="DQ261" i="1"/>
  <c r="DO261" i="1"/>
  <c r="DP261" i="1" s="1"/>
  <c r="DQ314" i="1"/>
  <c r="DO314" i="1"/>
  <c r="DP314" i="1" s="1"/>
  <c r="DQ142" i="1"/>
  <c r="DO142" i="1"/>
  <c r="DP142" i="1" s="1"/>
  <c r="DO290" i="1"/>
  <c r="DP290" i="1" s="1"/>
  <c r="DQ290" i="1"/>
  <c r="DQ385" i="1"/>
  <c r="DO385" i="1"/>
  <c r="DP385" i="1" s="1"/>
  <c r="DO180" i="1"/>
  <c r="DP180" i="1" s="1"/>
  <c r="DQ180" i="1"/>
  <c r="DO308" i="1"/>
  <c r="DP308" i="1" s="1"/>
  <c r="DQ308" i="1"/>
  <c r="DO74" i="1"/>
  <c r="DP74" i="1" s="1"/>
  <c r="DQ74" i="1"/>
  <c r="DO282" i="1"/>
  <c r="DP282" i="1" s="1"/>
  <c r="DQ282" i="1"/>
  <c r="DQ39" i="1"/>
  <c r="DO39" i="1"/>
  <c r="DP39" i="1" s="1"/>
  <c r="DO327" i="1"/>
  <c r="DP327" i="1" s="1"/>
  <c r="DQ327" i="1"/>
  <c r="DQ109" i="1"/>
  <c r="DO109" i="1"/>
  <c r="DP109" i="1" s="1"/>
  <c r="DQ29" i="1"/>
  <c r="DO29" i="1"/>
  <c r="DP29" i="1" s="1"/>
  <c r="DK372" i="1"/>
  <c r="DM372" i="1"/>
  <c r="DO365" i="1"/>
  <c r="DP365" i="1" s="1"/>
  <c r="DQ365" i="1"/>
  <c r="DK219" i="1"/>
  <c r="DM219" i="1"/>
  <c r="DK163" i="1"/>
  <c r="DM163" i="1"/>
  <c r="DK337" i="1"/>
  <c r="DM337" i="1"/>
  <c r="DK19" i="1"/>
  <c r="DM19" i="1"/>
  <c r="DO78" i="1"/>
  <c r="DP78" i="1" s="1"/>
  <c r="DQ78" i="1"/>
  <c r="DO383" i="1"/>
  <c r="DP383" i="1" s="1"/>
  <c r="DQ383" i="1"/>
  <c r="DK277" i="1"/>
  <c r="DM277" i="1"/>
  <c r="DO376" i="1"/>
  <c r="DP376" i="1" s="1"/>
  <c r="DQ376" i="1"/>
  <c r="DK61" i="1"/>
  <c r="DM61" i="1"/>
  <c r="DK40" i="1"/>
  <c r="DM40" i="1"/>
  <c r="DK351" i="1"/>
  <c r="DM351" i="1"/>
  <c r="DK315" i="1"/>
  <c r="DM315" i="1"/>
  <c r="DO235" i="1"/>
  <c r="DP235" i="1" s="1"/>
  <c r="DQ235" i="1"/>
  <c r="DK265" i="1"/>
  <c r="DM265" i="1"/>
  <c r="DK57" i="1"/>
  <c r="DM57" i="1"/>
  <c r="DK394" i="1"/>
  <c r="DM394" i="1"/>
  <c r="DK306" i="1"/>
  <c r="DM306" i="1"/>
  <c r="DO348" i="1"/>
  <c r="DP348" i="1" s="1"/>
  <c r="DQ348" i="1"/>
  <c r="DO90" i="1"/>
  <c r="DP90" i="1" s="1"/>
  <c r="DQ90" i="1"/>
  <c r="DO75" i="1"/>
  <c r="DP75" i="1" s="1"/>
  <c r="DQ75" i="1"/>
  <c r="DO68" i="1"/>
  <c r="DP68" i="1" s="1"/>
  <c r="DQ68" i="1"/>
  <c r="DQ199" i="1"/>
  <c r="DO199" i="1"/>
  <c r="DP199" i="1" s="1"/>
  <c r="DQ15" i="1"/>
  <c r="DO15" i="1"/>
  <c r="DP15" i="1" s="1"/>
  <c r="DQ298" i="1"/>
  <c r="DO298" i="1"/>
  <c r="DP298" i="1" s="1"/>
  <c r="DQ107" i="1"/>
  <c r="DO107" i="1"/>
  <c r="DP107" i="1" s="1"/>
  <c r="DO30" i="1"/>
  <c r="DP30" i="1" s="1"/>
  <c r="DQ30" i="1"/>
  <c r="DO66" i="1"/>
  <c r="DP66" i="1" s="1"/>
  <c r="DQ66" i="1"/>
  <c r="DQ117" i="1"/>
  <c r="DO117" i="1"/>
  <c r="DP117" i="1" s="1"/>
  <c r="DO364" i="1"/>
  <c r="DP364" i="1" s="1"/>
  <c r="DQ364" i="1"/>
  <c r="DQ123" i="1"/>
  <c r="DO123" i="1"/>
  <c r="DP123" i="1" s="1"/>
  <c r="DO200" i="1"/>
  <c r="DP200" i="1" s="1"/>
  <c r="DQ200" i="1"/>
  <c r="DO248" i="1"/>
  <c r="DP248" i="1" s="1"/>
  <c r="DQ248" i="1"/>
  <c r="DQ67" i="1"/>
  <c r="DO67" i="1"/>
  <c r="DP67" i="1" s="1"/>
  <c r="DK215" i="1"/>
  <c r="DM215" i="1"/>
  <c r="DK25" i="1"/>
  <c r="DM25" i="1"/>
  <c r="DK295" i="1"/>
  <c r="DM295" i="1"/>
  <c r="DK266" i="1"/>
  <c r="DM266" i="1"/>
  <c r="DK390" i="1"/>
  <c r="DM390" i="1"/>
  <c r="DK347" i="1"/>
  <c r="DM347" i="1"/>
  <c r="DQ174" i="1"/>
  <c r="DO174" i="1"/>
  <c r="DP174" i="1" s="1"/>
  <c r="DK141" i="1"/>
  <c r="DM141" i="1"/>
  <c r="DK207" i="1"/>
  <c r="DM207" i="1"/>
  <c r="DK83" i="1"/>
  <c r="DM83" i="1"/>
  <c r="DQ47" i="1"/>
  <c r="DO47" i="1"/>
  <c r="DP47" i="1" s="1"/>
  <c r="DK346" i="1"/>
  <c r="DM346" i="1"/>
  <c r="DK338" i="1"/>
  <c r="DM338" i="1"/>
  <c r="DO360" i="1"/>
  <c r="DP360" i="1" s="1"/>
  <c r="DQ360" i="1"/>
  <c r="DQ206" i="1"/>
  <c r="DO206" i="1"/>
  <c r="DP206" i="1" s="1"/>
  <c r="DK322" i="1"/>
  <c r="DM322" i="1"/>
  <c r="DO379" i="1"/>
  <c r="DP379" i="1" s="1"/>
  <c r="DQ379" i="1"/>
  <c r="DQ82" i="1"/>
  <c r="DO82" i="1"/>
  <c r="DP82" i="1" s="1"/>
  <c r="DK250" i="1"/>
  <c r="DM250" i="1"/>
  <c r="DO54" i="1"/>
  <c r="DP54" i="1" s="1"/>
  <c r="DQ54" i="1"/>
  <c r="DO262" i="1"/>
  <c r="DP262" i="1" s="1"/>
  <c r="DQ262" i="1"/>
  <c r="DQ194" i="1"/>
  <c r="DO194" i="1"/>
  <c r="DP194" i="1" s="1"/>
  <c r="DQ201" i="1"/>
  <c r="DO201" i="1"/>
  <c r="DP201" i="1" s="1"/>
  <c r="DQ191" i="1"/>
  <c r="DO191" i="1"/>
  <c r="DP191" i="1" s="1"/>
  <c r="DO402" i="1"/>
  <c r="DP402" i="1" s="1"/>
  <c r="DQ402" i="1"/>
  <c r="DO198" i="1"/>
  <c r="DP198" i="1" s="1"/>
  <c r="DQ198" i="1"/>
  <c r="DO17" i="1"/>
  <c r="DP17" i="1" s="1"/>
  <c r="DQ17" i="1"/>
  <c r="DO16" i="1"/>
  <c r="DP16" i="1" s="1"/>
  <c r="DQ16" i="1"/>
  <c r="DQ165" i="1"/>
  <c r="DO165" i="1"/>
  <c r="DP165" i="1" s="1"/>
  <c r="DQ325" i="1"/>
  <c r="DO325" i="1"/>
  <c r="DP325" i="1" s="1"/>
  <c r="DO371" i="1"/>
  <c r="DP371" i="1" s="1"/>
  <c r="DQ371" i="1"/>
  <c r="DO149" i="1"/>
  <c r="DP149" i="1" s="1"/>
  <c r="DQ149" i="1"/>
  <c r="DQ210" i="1"/>
  <c r="DO210" i="1"/>
  <c r="DP210" i="1" s="1"/>
  <c r="DQ395" i="1"/>
  <c r="DO395" i="1"/>
  <c r="DP395" i="1" s="1"/>
  <c r="DO188" i="1"/>
  <c r="DP188" i="1" s="1"/>
  <c r="DQ188" i="1"/>
  <c r="DQ324" i="1"/>
  <c r="DO324" i="1"/>
  <c r="DP324" i="1" s="1"/>
  <c r="DQ53" i="1"/>
  <c r="DO53" i="1"/>
  <c r="DP53" i="1" s="1"/>
  <c r="DK400" i="1"/>
  <c r="DM400" i="1"/>
  <c r="DK330" i="1"/>
  <c r="DM330" i="1"/>
  <c r="DO381" i="1"/>
  <c r="DP381" i="1" s="1"/>
  <c r="DQ381" i="1"/>
  <c r="DK303" i="1"/>
  <c r="DM303" i="1"/>
  <c r="DO211" i="1"/>
  <c r="DP211" i="1" s="1"/>
  <c r="DQ211" i="1"/>
  <c r="DK311" i="1"/>
  <c r="DM311" i="1"/>
  <c r="DK122" i="1"/>
  <c r="DM122" i="1"/>
  <c r="DK269" i="1"/>
  <c r="DM269" i="1"/>
  <c r="DK273" i="1"/>
  <c r="DM273" i="1"/>
  <c r="DK318" i="1"/>
  <c r="DM318" i="1"/>
  <c r="DQ363" i="1"/>
  <c r="DO363" i="1"/>
  <c r="DP363" i="1" s="1"/>
  <c r="DO175" i="1"/>
  <c r="DP175" i="1" s="1"/>
  <c r="DQ175" i="1"/>
  <c r="DK20" i="1"/>
  <c r="DM20" i="1"/>
  <c r="DQ399" i="1"/>
  <c r="DO399" i="1"/>
  <c r="DP399" i="1" s="1"/>
  <c r="DK45" i="1"/>
  <c r="DM45" i="1"/>
  <c r="DQ229" i="1"/>
  <c r="DO229" i="1"/>
  <c r="DP229" i="1" s="1"/>
  <c r="DK129" i="1"/>
  <c r="DM129" i="1"/>
  <c r="DK355" i="1"/>
  <c r="DM355" i="1"/>
  <c r="DQ49" i="1"/>
  <c r="DO49" i="1"/>
  <c r="DP49" i="1" s="1"/>
  <c r="DO310" i="1"/>
  <c r="DP310" i="1" s="1"/>
  <c r="DQ310" i="1"/>
  <c r="DO138" i="1"/>
  <c r="DP138" i="1" s="1"/>
  <c r="DQ138" i="1"/>
  <c r="DQ119" i="1"/>
  <c r="DO119" i="1"/>
  <c r="DP119" i="1" s="1"/>
  <c r="DQ226" i="1"/>
  <c r="DO226" i="1"/>
  <c r="DP226" i="1" s="1"/>
  <c r="DQ172" i="1"/>
  <c r="DO172" i="1"/>
  <c r="DP172" i="1" s="1"/>
  <c r="DO115" i="1"/>
  <c r="DP115" i="1" s="1"/>
  <c r="DQ115" i="1"/>
  <c r="DO254" i="1"/>
  <c r="DP254" i="1" s="1"/>
  <c r="DQ254" i="1"/>
  <c r="DO56" i="1"/>
  <c r="DP56" i="1" s="1"/>
  <c r="DQ56" i="1"/>
  <c r="DO136" i="1"/>
  <c r="DP136" i="1" s="1"/>
  <c r="DQ136" i="1"/>
  <c r="DQ313" i="1"/>
  <c r="DO313" i="1"/>
  <c r="DP313" i="1" s="1"/>
  <c r="DQ145" i="1"/>
  <c r="DO145" i="1"/>
  <c r="DP145" i="1" s="1"/>
  <c r="DQ343" i="1"/>
  <c r="DO343" i="1"/>
  <c r="DP343" i="1" s="1"/>
  <c r="DQ342" i="1"/>
  <c r="DO342" i="1"/>
  <c r="DP342" i="1" s="1"/>
  <c r="DO120" i="1"/>
  <c r="DP120" i="1" s="1"/>
  <c r="DQ120" i="1"/>
  <c r="DO345" i="1"/>
  <c r="DP345" i="1" s="1"/>
  <c r="DQ345" i="1"/>
  <c r="DO60" i="1"/>
  <c r="DP60" i="1" s="1"/>
  <c r="DQ60" i="1"/>
  <c r="DO80" i="1"/>
  <c r="DP80" i="1" s="1"/>
  <c r="DQ80" i="1"/>
  <c r="DO272" i="1"/>
  <c r="DP272" i="1" s="1"/>
  <c r="DQ272" i="1"/>
  <c r="DO403" i="1"/>
  <c r="DP403" i="1" s="1"/>
  <c r="DQ403" i="1"/>
  <c r="DK294" i="1"/>
  <c r="DM294" i="1"/>
  <c r="DK326" i="1"/>
  <c r="DM326" i="1"/>
  <c r="DK43" i="1"/>
  <c r="DM43" i="1"/>
  <c r="DK234" i="1"/>
  <c r="DM234" i="1"/>
  <c r="DQ182" i="1"/>
  <c r="DO182" i="1"/>
  <c r="DP182" i="1" s="1"/>
  <c r="DQ230" i="1"/>
  <c r="DO230" i="1"/>
  <c r="DP230" i="1" s="1"/>
  <c r="DK291" i="1"/>
  <c r="DM291" i="1"/>
  <c r="DK352" i="1"/>
  <c r="DM352" i="1"/>
  <c r="DK162" i="1"/>
  <c r="DM162" i="1"/>
  <c r="DO378" i="1"/>
  <c r="DP378" i="1" s="1"/>
  <c r="DQ378" i="1"/>
  <c r="DQ171" i="1"/>
  <c r="DO171" i="1"/>
  <c r="DP171" i="1" s="1"/>
  <c r="DK167" i="1"/>
  <c r="DM167" i="1"/>
  <c r="DK268" i="1"/>
  <c r="DM268" i="1"/>
  <c r="DK63" i="1"/>
  <c r="DM63" i="1"/>
  <c r="DK320" i="1"/>
  <c r="DM320" i="1"/>
  <c r="DK257" i="1"/>
  <c r="DM257" i="1"/>
  <c r="DK270" i="1"/>
  <c r="DM270" i="1"/>
  <c r="DJ362" i="1"/>
  <c r="DO63" i="1" l="1"/>
  <c r="DP63" i="1" s="1"/>
  <c r="DQ63" i="1"/>
  <c r="DO269" i="1"/>
  <c r="DP269" i="1" s="1"/>
  <c r="DQ269" i="1"/>
  <c r="DQ207" i="1"/>
  <c r="DO207" i="1"/>
  <c r="DP207" i="1" s="1"/>
  <c r="DO215" i="1"/>
  <c r="DP215" i="1" s="1"/>
  <c r="DQ215" i="1"/>
  <c r="DO315" i="1"/>
  <c r="DP315" i="1" s="1"/>
  <c r="DQ315" i="1"/>
  <c r="DQ163" i="1"/>
  <c r="DO163" i="1"/>
  <c r="DP163" i="1" s="1"/>
  <c r="DK374" i="1"/>
  <c r="DM374" i="1" s="1"/>
  <c r="DJ37" i="1"/>
  <c r="DJ62" i="1"/>
  <c r="DJ22" i="1"/>
  <c r="DQ353" i="1"/>
  <c r="DO353" i="1"/>
  <c r="DP353" i="1" s="1"/>
  <c r="DO44" i="1"/>
  <c r="DP44" i="1" s="1"/>
  <c r="DQ44" i="1"/>
  <c r="DO367" i="1"/>
  <c r="DP367" i="1" s="1"/>
  <c r="DQ367" i="1"/>
  <c r="DO161" i="1"/>
  <c r="DP161" i="1" s="1"/>
  <c r="DQ161" i="1"/>
  <c r="DQ121" i="1"/>
  <c r="DO121" i="1"/>
  <c r="DP121" i="1" s="1"/>
  <c r="DQ127" i="1"/>
  <c r="DO127" i="1"/>
  <c r="DP127" i="1" s="1"/>
  <c r="DQ319" i="1"/>
  <c r="DO319" i="1"/>
  <c r="DP319" i="1" s="1"/>
  <c r="DO164" i="1"/>
  <c r="DP164" i="1" s="1"/>
  <c r="DQ164" i="1"/>
  <c r="DQ271" i="1"/>
  <c r="DO271" i="1"/>
  <c r="DP271" i="1" s="1"/>
  <c r="DQ55" i="1"/>
  <c r="DO55" i="1"/>
  <c r="DP55" i="1" s="1"/>
  <c r="DO130" i="1"/>
  <c r="DP130" i="1" s="1"/>
  <c r="DQ130" i="1"/>
  <c r="DQ59" i="1"/>
  <c r="DO59" i="1"/>
  <c r="DP59" i="1" s="1"/>
  <c r="DO203" i="1"/>
  <c r="DP203" i="1" s="1"/>
  <c r="DQ203" i="1"/>
  <c r="DO368" i="1"/>
  <c r="DP368" i="1" s="1"/>
  <c r="DQ368" i="1"/>
  <c r="DO158" i="1"/>
  <c r="DP158" i="1" s="1"/>
  <c r="DQ158" i="1"/>
  <c r="DO166" i="1"/>
  <c r="DP166" i="1" s="1"/>
  <c r="DQ166" i="1"/>
  <c r="DO398" i="1"/>
  <c r="DP398" i="1" s="1"/>
  <c r="DQ398" i="1"/>
  <c r="DO344" i="1"/>
  <c r="DP344" i="1" s="1"/>
  <c r="DQ344" i="1"/>
  <c r="DO216" i="1"/>
  <c r="DP216" i="1" s="1"/>
  <c r="DQ216" i="1"/>
  <c r="DQ64" i="1"/>
  <c r="DO64" i="1"/>
  <c r="DP64" i="1" s="1"/>
  <c r="DO246" i="1"/>
  <c r="DP246" i="1" s="1"/>
  <c r="DQ246" i="1"/>
  <c r="DO386" i="1"/>
  <c r="DP386" i="1" s="1"/>
  <c r="DQ386" i="1"/>
  <c r="DO214" i="1"/>
  <c r="DP214" i="1" s="1"/>
  <c r="DQ214" i="1"/>
  <c r="DQ349" i="1"/>
  <c r="DO349" i="1"/>
  <c r="DP349" i="1" s="1"/>
  <c r="DO336" i="1"/>
  <c r="DP336" i="1" s="1"/>
  <c r="DQ336" i="1"/>
  <c r="DO220" i="1"/>
  <c r="DP220" i="1" s="1"/>
  <c r="DQ220" i="1"/>
  <c r="DO116" i="1"/>
  <c r="DP116" i="1" s="1"/>
  <c r="DQ116" i="1"/>
  <c r="DO328" i="1"/>
  <c r="DP328" i="1" s="1"/>
  <c r="DQ328" i="1"/>
  <c r="DO321" i="1"/>
  <c r="DP321" i="1" s="1"/>
  <c r="DQ321" i="1"/>
  <c r="DQ297" i="1"/>
  <c r="DO297" i="1"/>
  <c r="DP297" i="1" s="1"/>
  <c r="DO352" i="1"/>
  <c r="DP352" i="1" s="1"/>
  <c r="DQ352" i="1"/>
  <c r="DQ326" i="1"/>
  <c r="DO326" i="1"/>
  <c r="DP326" i="1" s="1"/>
  <c r="DQ303" i="1"/>
  <c r="DO303" i="1"/>
  <c r="DP303" i="1" s="1"/>
  <c r="DO338" i="1"/>
  <c r="DP338" i="1" s="1"/>
  <c r="DQ338" i="1"/>
  <c r="DO390" i="1"/>
  <c r="DP390" i="1" s="1"/>
  <c r="DQ390" i="1"/>
  <c r="DQ19" i="1"/>
  <c r="DO19" i="1"/>
  <c r="DP19" i="1" s="1"/>
  <c r="DK14" i="1"/>
  <c r="DM14" i="1"/>
  <c r="DQ323" i="1"/>
  <c r="DO323" i="1"/>
  <c r="DP323" i="1" s="1"/>
  <c r="DO247" i="1"/>
  <c r="DP247" i="1" s="1"/>
  <c r="DQ247" i="1"/>
  <c r="DQ361" i="1"/>
  <c r="DO361" i="1"/>
  <c r="DP361" i="1" s="1"/>
  <c r="DQ396" i="1"/>
  <c r="DO396" i="1"/>
  <c r="DP396" i="1" s="1"/>
  <c r="DQ11" i="1"/>
  <c r="DO11" i="1"/>
  <c r="DP11" i="1" s="1"/>
  <c r="DQ217" i="1"/>
  <c r="DO217" i="1"/>
  <c r="DP217" i="1" s="1"/>
  <c r="DO276" i="1"/>
  <c r="DP276" i="1" s="1"/>
  <c r="DQ276" i="1"/>
  <c r="DQ391" i="1"/>
  <c r="DO391" i="1"/>
  <c r="DP391" i="1" s="1"/>
  <c r="DO278" i="1"/>
  <c r="DP278" i="1" s="1"/>
  <c r="DQ278" i="1"/>
  <c r="DO128" i="1"/>
  <c r="DP128" i="1" s="1"/>
  <c r="DQ128" i="1"/>
  <c r="DQ357" i="1"/>
  <c r="DO357" i="1"/>
  <c r="DP357" i="1" s="1"/>
  <c r="DO401" i="1"/>
  <c r="DP401" i="1" s="1"/>
  <c r="DQ401" i="1"/>
  <c r="DO249" i="1"/>
  <c r="DP249" i="1" s="1"/>
  <c r="DQ249" i="1"/>
  <c r="DO350" i="1"/>
  <c r="DP350" i="1" s="1"/>
  <c r="DQ350" i="1"/>
  <c r="DO301" i="1"/>
  <c r="DP301" i="1" s="1"/>
  <c r="DQ301" i="1"/>
  <c r="DO52" i="1"/>
  <c r="DP52" i="1" s="1"/>
  <c r="DQ52" i="1"/>
  <c r="DO307" i="1"/>
  <c r="DP307" i="1" s="1"/>
  <c r="DQ307" i="1"/>
  <c r="DQ274" i="1"/>
  <c r="DO274" i="1"/>
  <c r="DP274" i="1" s="1"/>
  <c r="DO264" i="1"/>
  <c r="DP264" i="1" s="1"/>
  <c r="DQ264" i="1"/>
  <c r="DO354" i="1"/>
  <c r="DP354" i="1" s="1"/>
  <c r="DQ354" i="1"/>
  <c r="DQ69" i="1"/>
  <c r="DO69" i="1"/>
  <c r="DP69" i="1" s="1"/>
  <c r="DQ275" i="1"/>
  <c r="DO275" i="1"/>
  <c r="DP275" i="1" s="1"/>
  <c r="DQ252" i="1"/>
  <c r="DO252" i="1"/>
  <c r="DP252" i="1" s="1"/>
  <c r="DQ71" i="1"/>
  <c r="DO71" i="1"/>
  <c r="DP71" i="1" s="1"/>
  <c r="DO24" i="1"/>
  <c r="DP24" i="1" s="1"/>
  <c r="DQ24" i="1"/>
  <c r="DO197" i="1"/>
  <c r="DP197" i="1" s="1"/>
  <c r="DQ197" i="1"/>
  <c r="DQ279" i="1"/>
  <c r="DO279" i="1"/>
  <c r="DP279" i="1" s="1"/>
  <c r="DQ296" i="1"/>
  <c r="DO296" i="1"/>
  <c r="DP296" i="1" s="1"/>
  <c r="DQ42" i="1"/>
  <c r="DO42" i="1"/>
  <c r="DP42" i="1" s="1"/>
  <c r="DQ393" i="1"/>
  <c r="DO393" i="1"/>
  <c r="DP393" i="1" s="1"/>
  <c r="DK70" i="1"/>
  <c r="DM70" i="1" s="1"/>
  <c r="DO257" i="1"/>
  <c r="DP257" i="1" s="1"/>
  <c r="DQ257" i="1"/>
  <c r="DQ167" i="1"/>
  <c r="DO167" i="1"/>
  <c r="DP167" i="1" s="1"/>
  <c r="DQ234" i="1"/>
  <c r="DO234" i="1"/>
  <c r="DP234" i="1" s="1"/>
  <c r="DQ355" i="1"/>
  <c r="DO355" i="1"/>
  <c r="DP355" i="1" s="1"/>
  <c r="DQ318" i="1"/>
  <c r="DO318" i="1"/>
  <c r="DP318" i="1" s="1"/>
  <c r="DQ311" i="1"/>
  <c r="DO311" i="1"/>
  <c r="DP311" i="1" s="1"/>
  <c r="DO330" i="1"/>
  <c r="DP330" i="1" s="1"/>
  <c r="DQ330" i="1"/>
  <c r="DQ250" i="1"/>
  <c r="DO250" i="1"/>
  <c r="DP250" i="1" s="1"/>
  <c r="DQ295" i="1"/>
  <c r="DO295" i="1"/>
  <c r="DP295" i="1" s="1"/>
  <c r="DO394" i="1"/>
  <c r="DP394" i="1" s="1"/>
  <c r="DQ394" i="1"/>
  <c r="DQ265" i="1"/>
  <c r="DO265" i="1"/>
  <c r="DP265" i="1" s="1"/>
  <c r="DO40" i="1"/>
  <c r="DP40" i="1" s="1"/>
  <c r="DQ40" i="1"/>
  <c r="DK177" i="1"/>
  <c r="DM177" i="1" s="1"/>
  <c r="DK12" i="1"/>
  <c r="DM12" i="1" s="1"/>
  <c r="DO270" i="1"/>
  <c r="DP270" i="1" s="1"/>
  <c r="DQ270" i="1"/>
  <c r="DO320" i="1"/>
  <c r="DP320" i="1" s="1"/>
  <c r="DQ320" i="1"/>
  <c r="DO268" i="1"/>
  <c r="DP268" i="1" s="1"/>
  <c r="DQ268" i="1"/>
  <c r="DO162" i="1"/>
  <c r="DP162" i="1" s="1"/>
  <c r="DQ162" i="1"/>
  <c r="DQ291" i="1"/>
  <c r="DO291" i="1"/>
  <c r="DP291" i="1" s="1"/>
  <c r="DO43" i="1"/>
  <c r="DP43" i="1" s="1"/>
  <c r="DQ43" i="1"/>
  <c r="DO294" i="1"/>
  <c r="DP294" i="1" s="1"/>
  <c r="DQ294" i="1"/>
  <c r="DQ129" i="1"/>
  <c r="DO129" i="1"/>
  <c r="DP129" i="1" s="1"/>
  <c r="DO45" i="1"/>
  <c r="DP45" i="1" s="1"/>
  <c r="DQ45" i="1"/>
  <c r="DQ20" i="1"/>
  <c r="DO20" i="1"/>
  <c r="DP20" i="1" s="1"/>
  <c r="DO273" i="1"/>
  <c r="DP273" i="1" s="1"/>
  <c r="DQ273" i="1"/>
  <c r="DQ122" i="1"/>
  <c r="DO122" i="1"/>
  <c r="DP122" i="1" s="1"/>
  <c r="DO400" i="1"/>
  <c r="DP400" i="1" s="1"/>
  <c r="DQ400" i="1"/>
  <c r="DQ322" i="1"/>
  <c r="DO322" i="1"/>
  <c r="DP322" i="1" s="1"/>
  <c r="DO346" i="1"/>
  <c r="DP346" i="1" s="1"/>
  <c r="DQ346" i="1"/>
  <c r="DO83" i="1"/>
  <c r="DP83" i="1" s="1"/>
  <c r="DQ83" i="1"/>
  <c r="DO141" i="1"/>
  <c r="DP141" i="1" s="1"/>
  <c r="DQ141" i="1"/>
  <c r="DO347" i="1"/>
  <c r="DP347" i="1" s="1"/>
  <c r="DQ347" i="1"/>
  <c r="DQ266" i="1"/>
  <c r="DO266" i="1"/>
  <c r="DP266" i="1" s="1"/>
  <c r="DO25" i="1"/>
  <c r="DP25" i="1" s="1"/>
  <c r="DQ25" i="1"/>
  <c r="DO306" i="1"/>
  <c r="DP306" i="1" s="1"/>
  <c r="DQ306" i="1"/>
  <c r="DO57" i="1"/>
  <c r="DP57" i="1" s="1"/>
  <c r="DQ57" i="1"/>
  <c r="DQ351" i="1"/>
  <c r="DO351" i="1"/>
  <c r="DP351" i="1" s="1"/>
  <c r="DQ61" i="1"/>
  <c r="DO61" i="1"/>
  <c r="DP61" i="1" s="1"/>
  <c r="DQ277" i="1"/>
  <c r="DO277" i="1"/>
  <c r="DP277" i="1" s="1"/>
  <c r="DO337" i="1"/>
  <c r="DP337" i="1" s="1"/>
  <c r="DQ337" i="1"/>
  <c r="DQ219" i="1"/>
  <c r="DO219" i="1"/>
  <c r="DP219" i="1" s="1"/>
  <c r="DO372" i="1"/>
  <c r="DP372" i="1" s="1"/>
  <c r="DQ372" i="1"/>
  <c r="DQ177" i="1" l="1"/>
  <c r="DO177" i="1"/>
  <c r="DP177" i="1" s="1"/>
  <c r="DO14" i="1"/>
  <c r="DP14" i="1" s="1"/>
  <c r="DQ14" i="1"/>
  <c r="DJ9" i="1"/>
  <c r="DL10" i="1"/>
  <c r="DN10" i="1" s="1"/>
  <c r="DK62" i="1"/>
  <c r="DM62" i="1"/>
  <c r="DQ374" i="1"/>
  <c r="DO374" i="1"/>
  <c r="DP374" i="1" s="1"/>
  <c r="DK362" i="1"/>
  <c r="DM362" i="1" s="1"/>
  <c r="DQ12" i="1"/>
  <c r="DO12" i="1"/>
  <c r="DP12" i="1" s="1"/>
  <c r="DQ70" i="1"/>
  <c r="DO70" i="1"/>
  <c r="DP70" i="1" s="1"/>
  <c r="DK22" i="1"/>
  <c r="DM22" i="1"/>
  <c r="DK37" i="1"/>
  <c r="DM37" i="1"/>
  <c r="DO37" i="1" l="1"/>
  <c r="DP37" i="1" s="1"/>
  <c r="DQ37" i="1"/>
  <c r="DO362" i="1"/>
  <c r="DP362" i="1" s="1"/>
  <c r="DQ362" i="1"/>
  <c r="DQ62" i="1"/>
  <c r="DO62" i="1"/>
  <c r="DP62" i="1" s="1"/>
  <c r="DK9" i="1"/>
  <c r="DM9" i="1"/>
  <c r="DO22" i="1"/>
  <c r="DP22" i="1" s="1"/>
  <c r="DQ22" i="1"/>
  <c r="DN404" i="1"/>
  <c r="DQ9" i="1" l="1"/>
  <c r="DO9" i="1"/>
  <c r="DJ10" i="1"/>
  <c r="DP9" i="1" l="1"/>
  <c r="DK10" i="1"/>
  <c r="DM10" i="1"/>
  <c r="DQ10" i="1" l="1"/>
  <c r="DQ404" i="1" s="1"/>
  <c r="DO10" i="1"/>
  <c r="DM404" i="1"/>
  <c r="DP10" i="1" l="1"/>
  <c r="DP404" i="1" s="1"/>
  <c r="DO404" i="1"/>
  <c r="BA358" i="4" l="1"/>
  <c r="G358" i="4"/>
  <c r="AZ358" i="4"/>
  <c r="BB358" i="4" l="1"/>
  <c r="AX411" i="4" l="1"/>
  <c r="AU411" i="4"/>
  <c r="AO411" i="4"/>
  <c r="AL411" i="4"/>
  <c r="AI411" i="4"/>
  <c r="BA405" i="4"/>
  <c r="BA404" i="4"/>
  <c r="BA403" i="4"/>
  <c r="BA402" i="4"/>
  <c r="BA401" i="4"/>
  <c r="BA400" i="4"/>
  <c r="BA399" i="4"/>
  <c r="BA398" i="4"/>
  <c r="BA397" i="4"/>
  <c r="BA396" i="4"/>
  <c r="BA395" i="4"/>
  <c r="BA394" i="4"/>
  <c r="BA393" i="4"/>
  <c r="BA392" i="4"/>
  <c r="BA391" i="4"/>
  <c r="BA390" i="4"/>
  <c r="BA389" i="4"/>
  <c r="BA388" i="4"/>
  <c r="BA387" i="4"/>
  <c r="BA386" i="4"/>
  <c r="BA385" i="4"/>
  <c r="BA384" i="4"/>
  <c r="BA383" i="4"/>
  <c r="BA382" i="4"/>
  <c r="BA381" i="4"/>
  <c r="BA380" i="4"/>
  <c r="BA379" i="4"/>
  <c r="BA378" i="4"/>
  <c r="BA377" i="4"/>
  <c r="BA376" i="4"/>
  <c r="BA375" i="4"/>
  <c r="BA374" i="4"/>
  <c r="BA373" i="4"/>
  <c r="BA372" i="4"/>
  <c r="BA371" i="4"/>
  <c r="BA370" i="4"/>
  <c r="BA369" i="4"/>
  <c r="BA368" i="4"/>
  <c r="BA367" i="4"/>
  <c r="BA366" i="4"/>
  <c r="BA365" i="4"/>
  <c r="BA364" i="4"/>
  <c r="BA363" i="4"/>
  <c r="BA362" i="4"/>
  <c r="BA361" i="4"/>
  <c r="BA360" i="4"/>
  <c r="BA359" i="4"/>
  <c r="BA357" i="4"/>
  <c r="BA356" i="4"/>
  <c r="BA355" i="4"/>
  <c r="BA354" i="4"/>
  <c r="BA353" i="4"/>
  <c r="BA352" i="4"/>
  <c r="BA351" i="4"/>
  <c r="BA350" i="4"/>
  <c r="BA349" i="4"/>
  <c r="BA348" i="4"/>
  <c r="BA347" i="4"/>
  <c r="BA346" i="4"/>
  <c r="BA345" i="4"/>
  <c r="BA344" i="4"/>
  <c r="BA343" i="4"/>
  <c r="BA342" i="4"/>
  <c r="BA341" i="4"/>
  <c r="AZ341" i="4"/>
  <c r="BA340" i="4"/>
  <c r="BA339" i="4"/>
  <c r="BA337" i="4"/>
  <c r="BA336" i="4"/>
  <c r="BA335" i="4"/>
  <c r="BA334" i="4"/>
  <c r="BA333" i="4"/>
  <c r="BA332" i="4"/>
  <c r="BA331" i="4"/>
  <c r="BA330" i="4"/>
  <c r="BA329" i="4"/>
  <c r="BA328" i="4"/>
  <c r="BA327" i="4"/>
  <c r="BA326" i="4"/>
  <c r="BA325" i="4"/>
  <c r="BA324" i="4"/>
  <c r="BA323" i="4"/>
  <c r="BA322" i="4"/>
  <c r="BA321" i="4"/>
  <c r="BA320" i="4"/>
  <c r="BA319" i="4"/>
  <c r="BA318" i="4"/>
  <c r="BA317" i="4"/>
  <c r="BA316" i="4"/>
  <c r="BA315" i="4"/>
  <c r="BA314" i="4"/>
  <c r="BA313" i="4"/>
  <c r="BA312" i="4"/>
  <c r="BA311" i="4"/>
  <c r="BA310" i="4"/>
  <c r="BA309" i="4"/>
  <c r="BA308" i="4"/>
  <c r="BA307" i="4"/>
  <c r="BA306" i="4"/>
  <c r="BA305" i="4"/>
  <c r="BA304" i="4"/>
  <c r="BA303" i="4"/>
  <c r="BA302" i="4"/>
  <c r="BA301" i="4"/>
  <c r="BA300" i="4"/>
  <c r="BA299" i="4"/>
  <c r="BA298" i="4"/>
  <c r="BA297" i="4"/>
  <c r="BA296" i="4"/>
  <c r="BA295" i="4"/>
  <c r="BA294" i="4"/>
  <c r="BA293" i="4"/>
  <c r="BA292" i="4"/>
  <c r="AZ292" i="4"/>
  <c r="BA291" i="4"/>
  <c r="AZ291" i="4"/>
  <c r="BA290" i="4"/>
  <c r="BA289" i="4"/>
  <c r="BA288" i="4"/>
  <c r="BA287" i="4"/>
  <c r="BA286" i="4"/>
  <c r="BA285" i="4"/>
  <c r="BA284" i="4"/>
  <c r="BA283" i="4"/>
  <c r="BA282" i="4"/>
  <c r="BA281" i="4"/>
  <c r="BA280" i="4"/>
  <c r="BA279" i="4"/>
  <c r="BA278" i="4"/>
  <c r="BA277" i="4"/>
  <c r="BA276" i="4"/>
  <c r="BA275" i="4"/>
  <c r="BA274" i="4"/>
  <c r="BA273" i="4"/>
  <c r="BA272" i="4"/>
  <c r="BA271" i="4"/>
  <c r="BA270" i="4"/>
  <c r="BA269" i="4"/>
  <c r="BA268" i="4"/>
  <c r="BA267" i="4"/>
  <c r="BA266" i="4"/>
  <c r="BA265" i="4"/>
  <c r="BA264" i="4"/>
  <c r="AZ264" i="4"/>
  <c r="BA263" i="4"/>
  <c r="BA262" i="4"/>
  <c r="BA261" i="4"/>
  <c r="BA260" i="4"/>
  <c r="AZ260" i="4"/>
  <c r="BA259" i="4"/>
  <c r="BA258" i="4"/>
  <c r="BA257" i="4"/>
  <c r="BA256" i="4"/>
  <c r="BA255" i="4"/>
  <c r="BA254" i="4"/>
  <c r="BA253" i="4"/>
  <c r="BA252" i="4"/>
  <c r="BA251" i="4"/>
  <c r="BA250" i="4"/>
  <c r="BA249" i="4"/>
  <c r="BA248" i="4"/>
  <c r="BA247" i="4"/>
  <c r="BA246" i="4"/>
  <c r="BA245" i="4"/>
  <c r="BA244" i="4"/>
  <c r="BA243" i="4"/>
  <c r="AZ243" i="4"/>
  <c r="BA242" i="4"/>
  <c r="BA241" i="4"/>
  <c r="BA240" i="4"/>
  <c r="BA239" i="4"/>
  <c r="BA238" i="4"/>
  <c r="BA237" i="4"/>
  <c r="BA236" i="4"/>
  <c r="BA235" i="4"/>
  <c r="BA234" i="4"/>
  <c r="BA233" i="4"/>
  <c r="BA232" i="4"/>
  <c r="BA231" i="4"/>
  <c r="BA230" i="4"/>
  <c r="BA229" i="4"/>
  <c r="BA228" i="4"/>
  <c r="BA227" i="4"/>
  <c r="BA226" i="4"/>
  <c r="BA225" i="4"/>
  <c r="BA224" i="4"/>
  <c r="BA223" i="4"/>
  <c r="BA222" i="4"/>
  <c r="BA221" i="4"/>
  <c r="BA220" i="4"/>
  <c r="BA219" i="4"/>
  <c r="BA218" i="4"/>
  <c r="BA217" i="4"/>
  <c r="BA216" i="4"/>
  <c r="BA215" i="4"/>
  <c r="BA214" i="4"/>
  <c r="BA213" i="4"/>
  <c r="BA212" i="4"/>
  <c r="AZ212" i="4"/>
  <c r="BA211" i="4"/>
  <c r="BA210" i="4"/>
  <c r="BA209" i="4"/>
  <c r="BA208" i="4"/>
  <c r="BA207" i="4"/>
  <c r="AZ207" i="4"/>
  <c r="BA206" i="4"/>
  <c r="BA205" i="4"/>
  <c r="BA204" i="4"/>
  <c r="BA203" i="4"/>
  <c r="BA202" i="4"/>
  <c r="BA201" i="4"/>
  <c r="BA200" i="4"/>
  <c r="BA199" i="4"/>
  <c r="BA198" i="4"/>
  <c r="BA197" i="4"/>
  <c r="BA196" i="4"/>
  <c r="BA195" i="4"/>
  <c r="BA194" i="4"/>
  <c r="BA193" i="4"/>
  <c r="BA192" i="4"/>
  <c r="BA191" i="4"/>
  <c r="BA190" i="4"/>
  <c r="BA189" i="4"/>
  <c r="BA188" i="4"/>
  <c r="BA187" i="4"/>
  <c r="BA186" i="4"/>
  <c r="BA185" i="4"/>
  <c r="BA184" i="4"/>
  <c r="BA183" i="4"/>
  <c r="BA182" i="4"/>
  <c r="BA181" i="4"/>
  <c r="BA180" i="4"/>
  <c r="BA179" i="4"/>
  <c r="BA178" i="4"/>
  <c r="BA177" i="4"/>
  <c r="BA176" i="4"/>
  <c r="BA175" i="4"/>
  <c r="BA174" i="4"/>
  <c r="BA173" i="4"/>
  <c r="BA172" i="4"/>
  <c r="BA171" i="4"/>
  <c r="BA170" i="4"/>
  <c r="BA169" i="4"/>
  <c r="BA168" i="4"/>
  <c r="BA167" i="4"/>
  <c r="BA166" i="4"/>
  <c r="BA164" i="4"/>
  <c r="BA163" i="4"/>
  <c r="BA162" i="4"/>
  <c r="BA161" i="4"/>
  <c r="BA160" i="4"/>
  <c r="BA159" i="4"/>
  <c r="BA158" i="4"/>
  <c r="BA157" i="4"/>
  <c r="BA156" i="4"/>
  <c r="BA155" i="4"/>
  <c r="BA154" i="4"/>
  <c r="AZ154" i="4"/>
  <c r="BA153" i="4"/>
  <c r="BA152" i="4"/>
  <c r="BA151" i="4"/>
  <c r="BA150" i="4"/>
  <c r="BA149" i="4"/>
  <c r="BA148" i="4"/>
  <c r="BA147" i="4"/>
  <c r="BA146" i="4"/>
  <c r="BA145" i="4"/>
  <c r="BA144" i="4"/>
  <c r="AZ144" i="4"/>
  <c r="BA143" i="4"/>
  <c r="BA142" i="4"/>
  <c r="BA141" i="4"/>
  <c r="BA140" i="4"/>
  <c r="BA139" i="4"/>
  <c r="BA138" i="4"/>
  <c r="BA137" i="4"/>
  <c r="AZ137" i="4"/>
  <c r="BA136" i="4"/>
  <c r="AZ136" i="4"/>
  <c r="BA135" i="4"/>
  <c r="BA134" i="4"/>
  <c r="BA133" i="4"/>
  <c r="BA132" i="4"/>
  <c r="BA131" i="4"/>
  <c r="BA130" i="4"/>
  <c r="BA129" i="4"/>
  <c r="BA128" i="4"/>
  <c r="BA127" i="4"/>
  <c r="BA126" i="4"/>
  <c r="BA125" i="4"/>
  <c r="BA124" i="4"/>
  <c r="BA123" i="4"/>
  <c r="BA122" i="4"/>
  <c r="BA121" i="4"/>
  <c r="BA120" i="4"/>
  <c r="BA119" i="4"/>
  <c r="BA118" i="4"/>
  <c r="BA117" i="4"/>
  <c r="BA116" i="4"/>
  <c r="BA115" i="4"/>
  <c r="BA114" i="4"/>
  <c r="BA113" i="4"/>
  <c r="BA112" i="4"/>
  <c r="BA111" i="4"/>
  <c r="AZ111" i="4"/>
  <c r="BA110" i="4"/>
  <c r="BA109" i="4"/>
  <c r="BA108" i="4"/>
  <c r="AZ108" i="4"/>
  <c r="BA107" i="4"/>
  <c r="BA106" i="4"/>
  <c r="BA105" i="4"/>
  <c r="BA104" i="4"/>
  <c r="BA103" i="4"/>
  <c r="BA102" i="4"/>
  <c r="BA101" i="4"/>
  <c r="BA100" i="4"/>
  <c r="BA99" i="4"/>
  <c r="BA98" i="4"/>
  <c r="BA97" i="4"/>
  <c r="AZ97" i="4"/>
  <c r="BA96" i="4"/>
  <c r="BA95" i="4"/>
  <c r="BA94" i="4"/>
  <c r="AZ94" i="4"/>
  <c r="BA93" i="4"/>
  <c r="AZ93" i="4"/>
  <c r="BA92" i="4"/>
  <c r="BA91" i="4"/>
  <c r="BA90" i="4"/>
  <c r="BA89" i="4"/>
  <c r="BA88" i="4"/>
  <c r="BA87" i="4"/>
  <c r="BA86" i="4"/>
  <c r="BA85" i="4"/>
  <c r="BA84" i="4"/>
  <c r="BA83" i="4"/>
  <c r="BA82" i="4"/>
  <c r="AZ82" i="4"/>
  <c r="BA81" i="4"/>
  <c r="BA80" i="4"/>
  <c r="BA79" i="4"/>
  <c r="AZ79" i="4"/>
  <c r="BA78" i="4"/>
  <c r="BA77" i="4"/>
  <c r="AZ77" i="4"/>
  <c r="BA76" i="4"/>
  <c r="AZ76" i="4"/>
  <c r="BA75" i="4"/>
  <c r="BA74" i="4"/>
  <c r="BA73" i="4"/>
  <c r="BA72" i="4"/>
  <c r="BA71" i="4"/>
  <c r="BA70" i="4"/>
  <c r="BA69" i="4"/>
  <c r="AZ69" i="4"/>
  <c r="BA68" i="4"/>
  <c r="BA67" i="4"/>
  <c r="BA66" i="4"/>
  <c r="BA65" i="4"/>
  <c r="BA64" i="4"/>
  <c r="BA63" i="4"/>
  <c r="BA62" i="4"/>
  <c r="BA61" i="4"/>
  <c r="BA60" i="4"/>
  <c r="BA59" i="4"/>
  <c r="BA58" i="4"/>
  <c r="BA57" i="4"/>
  <c r="BA56" i="4"/>
  <c r="BA55" i="4"/>
  <c r="BA54" i="4"/>
  <c r="BA53" i="4"/>
  <c r="BA52" i="4"/>
  <c r="BA51" i="4"/>
  <c r="BA50" i="4"/>
  <c r="BA49" i="4"/>
  <c r="BA48" i="4"/>
  <c r="BA47" i="4"/>
  <c r="BA46" i="4"/>
  <c r="BA45" i="4"/>
  <c r="BA44" i="4"/>
  <c r="BA43" i="4"/>
  <c r="BA42" i="4"/>
  <c r="BA40" i="4"/>
  <c r="AZ40" i="4"/>
  <c r="BA39" i="4"/>
  <c r="BA38" i="4"/>
  <c r="BA37" i="4"/>
  <c r="BA36" i="4"/>
  <c r="AZ36" i="4"/>
  <c r="BA35" i="4"/>
  <c r="AZ35" i="4"/>
  <c r="BA34" i="4"/>
  <c r="BA33" i="4"/>
  <c r="BA32" i="4"/>
  <c r="BA31" i="4"/>
  <c r="BA30" i="4"/>
  <c r="BA29" i="4"/>
  <c r="BA28" i="4"/>
  <c r="BA27" i="4"/>
  <c r="BA26" i="4"/>
  <c r="BA25" i="4"/>
  <c r="BA24" i="4"/>
  <c r="BA23" i="4"/>
  <c r="BA22" i="4"/>
  <c r="BA21" i="4"/>
  <c r="AD411" i="4"/>
  <c r="AC411" i="4"/>
  <c r="AB411" i="4"/>
  <c r="AA411" i="4"/>
  <c r="Y411" i="4"/>
  <c r="W411" i="4"/>
  <c r="U411" i="4"/>
  <c r="BA19" i="4"/>
  <c r="AZ19" i="4"/>
  <c r="BA18" i="4"/>
  <c r="AZ18" i="4"/>
  <c r="BA17" i="4"/>
  <c r="AZ17" i="4"/>
  <c r="BA16" i="4"/>
  <c r="BA15" i="4"/>
  <c r="BA14" i="4"/>
  <c r="BA13" i="4"/>
  <c r="S411" i="4"/>
  <c r="R411" i="4"/>
  <c r="P411" i="4"/>
  <c r="O411" i="4"/>
  <c r="M411" i="4"/>
  <c r="L411" i="4"/>
  <c r="G311" i="4"/>
  <c r="G323" i="4"/>
  <c r="CX3" i="1"/>
  <c r="BB292" i="4" l="1"/>
  <c r="BB207" i="4"/>
  <c r="BB77" i="4"/>
  <c r="BB82" i="4"/>
  <c r="BB108" i="4"/>
  <c r="BB40" i="4"/>
  <c r="BB243" i="4"/>
  <c r="BB264" i="4"/>
  <c r="BB76" i="4"/>
  <c r="BB79" i="4"/>
  <c r="BB97" i="4"/>
  <c r="BB260" i="4"/>
  <c r="BB291" i="4"/>
  <c r="BB341" i="4"/>
  <c r="BB19" i="4"/>
  <c r="BB111" i="4"/>
  <c r="BB144" i="4"/>
  <c r="BB212" i="4"/>
  <c r="J413" i="4"/>
  <c r="CU405" i="1"/>
  <c r="J411" i="4"/>
  <c r="I413" i="4"/>
  <c r="L413" i="4"/>
  <c r="W413" i="4"/>
  <c r="AB413" i="4"/>
  <c r="U413" i="4"/>
  <c r="BB17" i="4"/>
  <c r="BA20" i="4"/>
  <c r="AF411" i="4"/>
  <c r="BB137" i="4"/>
  <c r="BB154" i="4"/>
  <c r="AO413" i="4"/>
  <c r="M413" i="4"/>
  <c r="Y413" i="4"/>
  <c r="AC413" i="4"/>
  <c r="BA12" i="4"/>
  <c r="AL413" i="4"/>
  <c r="AX413" i="4"/>
  <c r="O413" i="4"/>
  <c r="R413" i="4"/>
  <c r="AD413" i="4"/>
  <c r="BB36" i="4"/>
  <c r="BB69" i="4"/>
  <c r="BB94" i="4"/>
  <c r="BB136" i="4"/>
  <c r="AI413" i="4"/>
  <c r="AU413" i="4"/>
  <c r="I411" i="4"/>
  <c r="P413" i="4"/>
  <c r="S413" i="4"/>
  <c r="AA413" i="4"/>
  <c r="BA11" i="4"/>
  <c r="AF413" i="4"/>
  <c r="BB18" i="4"/>
  <c r="BB35" i="4"/>
  <c r="BB93" i="4"/>
  <c r="AR413" i="4"/>
  <c r="AR411" i="4"/>
  <c r="BA411" i="4" l="1"/>
  <c r="BA413" i="4"/>
  <c r="DA95" i="1" l="1"/>
  <c r="M94" i="24" s="1"/>
  <c r="DA262" i="1"/>
  <c r="M261" i="24" s="1"/>
  <c r="DA241" i="1"/>
  <c r="M240" i="24" s="1"/>
  <c r="DA75" i="1"/>
  <c r="M74" i="24" s="1"/>
  <c r="DA152" i="1"/>
  <c r="M151" i="24" s="1"/>
  <c r="DA92" i="1"/>
  <c r="M91" i="24" s="1"/>
  <c r="DA135" i="1"/>
  <c r="M134" i="24" s="1"/>
  <c r="DA339" i="1"/>
  <c r="M338" i="24" s="1"/>
  <c r="DA38" i="1"/>
  <c r="M37" i="24" s="1"/>
  <c r="DA309" i="1"/>
  <c r="M308" i="24" s="1"/>
  <c r="DA16" i="1"/>
  <c r="M15" i="24" s="1"/>
  <c r="DA34" i="1"/>
  <c r="M33" i="24" s="1"/>
  <c r="DA210" i="1"/>
  <c r="M209" i="24" s="1"/>
  <c r="DA33" i="1"/>
  <c r="M32" i="24" s="1"/>
  <c r="DA134" i="1"/>
  <c r="M133" i="24" s="1"/>
  <c r="DA74" i="1"/>
  <c r="M73" i="24" s="1"/>
  <c r="DA289" i="1"/>
  <c r="M288" i="24" s="1"/>
  <c r="DA91" i="1"/>
  <c r="M90" i="24" s="1"/>
  <c r="DA106" i="1"/>
  <c r="M105" i="24" s="1"/>
  <c r="DA258" i="1"/>
  <c r="M257" i="24" s="1"/>
  <c r="DA67" i="1"/>
  <c r="M66" i="24" s="1"/>
  <c r="DA17" i="1"/>
  <c r="M16" i="24" s="1"/>
  <c r="DA109" i="1"/>
  <c r="M108" i="24" s="1"/>
  <c r="DA80" i="1"/>
  <c r="M79" i="24" s="1"/>
  <c r="DA205" i="1"/>
  <c r="M204" i="24" s="1"/>
  <c r="DA77" i="1"/>
  <c r="M76" i="24" s="1"/>
  <c r="DA290" i="1" l="1"/>
  <c r="M289" i="24" s="1"/>
  <c r="DA142" i="1"/>
  <c r="M141" i="24" s="1"/>
  <c r="DA321" i="1"/>
  <c r="M320" i="24" s="1"/>
  <c r="DA15" i="1"/>
  <c r="M14" i="24" s="1"/>
  <c r="AZ405" i="4" l="1"/>
  <c r="BB405" i="4" s="1"/>
  <c r="AZ404" i="4"/>
  <c r="BB404" i="4" s="1"/>
  <c r="AZ403" i="4"/>
  <c r="BB403" i="4" s="1"/>
  <c r="AZ402" i="4"/>
  <c r="BB402" i="4" s="1"/>
  <c r="AZ401" i="4"/>
  <c r="BB401" i="4" s="1"/>
  <c r="AZ400" i="4"/>
  <c r="BB400" i="4" s="1"/>
  <c r="AZ399" i="4"/>
  <c r="BB399" i="4" s="1"/>
  <c r="AZ398" i="4"/>
  <c r="BB398" i="4" s="1"/>
  <c r="AZ397" i="4"/>
  <c r="BB397" i="4" s="1"/>
  <c r="AZ396" i="4"/>
  <c r="BB396" i="4" s="1"/>
  <c r="AZ395" i="4"/>
  <c r="BB395" i="4" s="1"/>
  <c r="AZ393" i="4"/>
  <c r="BB393" i="4" s="1"/>
  <c r="AZ392" i="4"/>
  <c r="BB392" i="4" s="1"/>
  <c r="AZ391" i="4"/>
  <c r="BB391" i="4" s="1"/>
  <c r="AZ390" i="4"/>
  <c r="BB390" i="4" s="1"/>
  <c r="AZ389" i="4"/>
  <c r="BB389" i="4" s="1"/>
  <c r="AZ388" i="4"/>
  <c r="BB388" i="4" s="1"/>
  <c r="AZ387" i="4"/>
  <c r="BB387" i="4" s="1"/>
  <c r="AZ386" i="4"/>
  <c r="BB386" i="4" s="1"/>
  <c r="AZ385" i="4"/>
  <c r="BB385" i="4" s="1"/>
  <c r="AZ383" i="4"/>
  <c r="BB383" i="4" s="1"/>
  <c r="AZ382" i="4"/>
  <c r="BB382" i="4" s="1"/>
  <c r="AZ381" i="4"/>
  <c r="BB381" i="4" s="1"/>
  <c r="AZ380" i="4"/>
  <c r="BB380" i="4" s="1"/>
  <c r="AZ379" i="4"/>
  <c r="BB379" i="4" s="1"/>
  <c r="AZ378" i="4"/>
  <c r="BB378" i="4" s="1"/>
  <c r="AZ377" i="4"/>
  <c r="BB377" i="4" s="1"/>
  <c r="AZ376" i="4"/>
  <c r="BB376" i="4" s="1"/>
  <c r="AZ375" i="4"/>
  <c r="BB375" i="4" s="1"/>
  <c r="AZ374" i="4"/>
  <c r="BB374" i="4" s="1"/>
  <c r="AZ373" i="4"/>
  <c r="BB373" i="4" s="1"/>
  <c r="AZ372" i="4"/>
  <c r="BB372" i="4" s="1"/>
  <c r="AZ371" i="4"/>
  <c r="BB371" i="4" s="1"/>
  <c r="AZ370" i="4"/>
  <c r="BB370" i="4" s="1"/>
  <c r="AZ369" i="4"/>
  <c r="BB369" i="4" s="1"/>
  <c r="AZ368" i="4"/>
  <c r="BB368" i="4" s="1"/>
  <c r="AZ367" i="4"/>
  <c r="BB367" i="4" s="1"/>
  <c r="AZ366" i="4"/>
  <c r="BB366" i="4" s="1"/>
  <c r="AZ365" i="4"/>
  <c r="BB365" i="4" s="1"/>
  <c r="AZ364" i="4"/>
  <c r="BB364" i="4" s="1"/>
  <c r="AZ363" i="4"/>
  <c r="BB363" i="4" s="1"/>
  <c r="AZ362" i="4"/>
  <c r="BB362" i="4" s="1"/>
  <c r="AZ361" i="4"/>
  <c r="BB361" i="4" s="1"/>
  <c r="AZ359" i="4"/>
  <c r="BB359" i="4" s="1"/>
  <c r="AZ357" i="4"/>
  <c r="BB357" i="4" s="1"/>
  <c r="AZ356" i="4"/>
  <c r="BB356" i="4" s="1"/>
  <c r="AZ355" i="4"/>
  <c r="BB355" i="4" s="1"/>
  <c r="AZ354" i="4"/>
  <c r="BB354" i="4" s="1"/>
  <c r="AZ353" i="4"/>
  <c r="BB353" i="4" s="1"/>
  <c r="AZ352" i="4"/>
  <c r="BB352" i="4" s="1"/>
  <c r="AZ351" i="4"/>
  <c r="BB351" i="4" s="1"/>
  <c r="AZ350" i="4"/>
  <c r="BB350" i="4" s="1"/>
  <c r="AZ349" i="4"/>
  <c r="BB349" i="4" s="1"/>
  <c r="AZ348" i="4"/>
  <c r="BB348" i="4" s="1"/>
  <c r="AZ347" i="4"/>
  <c r="BB347" i="4" s="1"/>
  <c r="AZ346" i="4"/>
  <c r="BB346" i="4" s="1"/>
  <c r="AZ345" i="4"/>
  <c r="BB345" i="4" s="1"/>
  <c r="AZ344" i="4"/>
  <c r="BB344" i="4" s="1"/>
  <c r="AZ343" i="4"/>
  <c r="BB343" i="4" s="1"/>
  <c r="AZ342" i="4"/>
  <c r="BB342" i="4" s="1"/>
  <c r="AZ340" i="4"/>
  <c r="BB340" i="4" s="1"/>
  <c r="AZ339" i="4"/>
  <c r="BB339" i="4" s="1"/>
  <c r="AZ337" i="4"/>
  <c r="BB337" i="4" s="1"/>
  <c r="AZ336" i="4"/>
  <c r="BB336" i="4" s="1"/>
  <c r="AZ335" i="4"/>
  <c r="BB335" i="4" s="1"/>
  <c r="AZ334" i="4"/>
  <c r="BB334" i="4" s="1"/>
  <c r="AZ332" i="4"/>
  <c r="BB332" i="4" s="1"/>
  <c r="AZ331" i="4"/>
  <c r="BB331" i="4" s="1"/>
  <c r="AZ330" i="4"/>
  <c r="BB330" i="4" s="1"/>
  <c r="AZ329" i="4"/>
  <c r="BB329" i="4" s="1"/>
  <c r="AZ328" i="4"/>
  <c r="BB328" i="4" s="1"/>
  <c r="AZ327" i="4"/>
  <c r="BB327" i="4" s="1"/>
  <c r="AZ326" i="4"/>
  <c r="BB326" i="4" s="1"/>
  <c r="AZ325" i="4"/>
  <c r="BB325" i="4" s="1"/>
  <c r="AZ324" i="4"/>
  <c r="BB324" i="4" s="1"/>
  <c r="AZ323" i="4"/>
  <c r="BB323" i="4" s="1"/>
  <c r="AZ322" i="4"/>
  <c r="BB322" i="4" s="1"/>
  <c r="AZ321" i="4"/>
  <c r="BB321" i="4" s="1"/>
  <c r="AZ320" i="4"/>
  <c r="BB320" i="4" s="1"/>
  <c r="AZ319" i="4"/>
  <c r="BB319" i="4" s="1"/>
  <c r="AZ318" i="4"/>
  <c r="BB318" i="4" s="1"/>
  <c r="AZ317" i="4"/>
  <c r="BB317" i="4" s="1"/>
  <c r="AZ316" i="4"/>
  <c r="BB316" i="4" s="1"/>
  <c r="AZ315" i="4"/>
  <c r="BB315" i="4" s="1"/>
  <c r="AZ314" i="4"/>
  <c r="BB314" i="4" s="1"/>
  <c r="AZ313" i="4"/>
  <c r="BB313" i="4" s="1"/>
  <c r="AZ312" i="4"/>
  <c r="BB312" i="4" s="1"/>
  <c r="AZ311" i="4"/>
  <c r="BB311" i="4" s="1"/>
  <c r="AZ310" i="4"/>
  <c r="BB310" i="4" s="1"/>
  <c r="AZ309" i="4"/>
  <c r="BB309" i="4" s="1"/>
  <c r="AZ308" i="4"/>
  <c r="BB308" i="4" s="1"/>
  <c r="AZ307" i="4"/>
  <c r="BB307" i="4" s="1"/>
  <c r="AZ306" i="4"/>
  <c r="BB306" i="4" s="1"/>
  <c r="AZ305" i="4"/>
  <c r="BB305" i="4" s="1"/>
  <c r="AZ304" i="4"/>
  <c r="BB304" i="4" s="1"/>
  <c r="AZ303" i="4"/>
  <c r="BB303" i="4" s="1"/>
  <c r="AZ302" i="4"/>
  <c r="BB302" i="4" s="1"/>
  <c r="AZ301" i="4"/>
  <c r="BB301" i="4" s="1"/>
  <c r="AZ300" i="4"/>
  <c r="BB300" i="4" s="1"/>
  <c r="AZ299" i="4"/>
  <c r="BB299" i="4" s="1"/>
  <c r="AZ298" i="4"/>
  <c r="BB298" i="4" s="1"/>
  <c r="AZ297" i="4"/>
  <c r="BB297" i="4" s="1"/>
  <c r="AZ296" i="4"/>
  <c r="BB296" i="4" s="1"/>
  <c r="AZ295" i="4"/>
  <c r="BB295" i="4" s="1"/>
  <c r="AZ294" i="4"/>
  <c r="BB294" i="4" s="1"/>
  <c r="AZ293" i="4"/>
  <c r="BB293" i="4" s="1"/>
  <c r="AZ290" i="4"/>
  <c r="BB290" i="4" s="1"/>
  <c r="AZ289" i="4"/>
  <c r="BB289" i="4" s="1"/>
  <c r="AZ288" i="4"/>
  <c r="BB288" i="4" s="1"/>
  <c r="AZ287" i="4"/>
  <c r="BB287" i="4" s="1"/>
  <c r="AZ286" i="4"/>
  <c r="BB286" i="4" s="1"/>
  <c r="AZ285" i="4"/>
  <c r="BB285" i="4" s="1"/>
  <c r="AZ284" i="4"/>
  <c r="BB284" i="4" s="1"/>
  <c r="AZ283" i="4"/>
  <c r="BB283" i="4" s="1"/>
  <c r="AZ282" i="4"/>
  <c r="BB282" i="4" s="1"/>
  <c r="AZ281" i="4"/>
  <c r="BB281" i="4" s="1"/>
  <c r="AZ280" i="4"/>
  <c r="BB280" i="4" s="1"/>
  <c r="AZ278" i="4"/>
  <c r="BB278" i="4" s="1"/>
  <c r="AZ277" i="4"/>
  <c r="BB277" i="4" s="1"/>
  <c r="AZ276" i="4"/>
  <c r="BB276" i="4" s="1"/>
  <c r="AZ275" i="4"/>
  <c r="BB275" i="4" s="1"/>
  <c r="AZ274" i="4"/>
  <c r="BB274" i="4" s="1"/>
  <c r="AZ273" i="4"/>
  <c r="BB273" i="4" s="1"/>
  <c r="AZ272" i="4"/>
  <c r="BB272" i="4" s="1"/>
  <c r="AZ271" i="4"/>
  <c r="BB271" i="4" s="1"/>
  <c r="AZ270" i="4"/>
  <c r="BB270" i="4" s="1"/>
  <c r="AZ269" i="4"/>
  <c r="BB269" i="4" s="1"/>
  <c r="AZ268" i="4"/>
  <c r="BB268" i="4" s="1"/>
  <c r="AZ267" i="4"/>
  <c r="BB267" i="4" s="1"/>
  <c r="AZ266" i="4"/>
  <c r="BB266" i="4" s="1"/>
  <c r="AZ265" i="4"/>
  <c r="BB265" i="4" s="1"/>
  <c r="AZ263" i="4"/>
  <c r="BB263" i="4" s="1"/>
  <c r="AZ262" i="4"/>
  <c r="BB262" i="4" s="1"/>
  <c r="AZ261" i="4"/>
  <c r="BB261" i="4" s="1"/>
  <c r="AZ259" i="4"/>
  <c r="BB259" i="4" s="1"/>
  <c r="AZ258" i="4"/>
  <c r="BB258" i="4" s="1"/>
  <c r="AZ257" i="4"/>
  <c r="BB257" i="4" s="1"/>
  <c r="AZ256" i="4"/>
  <c r="BB256" i="4" s="1"/>
  <c r="AZ255" i="4"/>
  <c r="BB255" i="4" s="1"/>
  <c r="AZ254" i="4"/>
  <c r="BB254" i="4" s="1"/>
  <c r="AZ253" i="4"/>
  <c r="BB253" i="4" s="1"/>
  <c r="AZ252" i="4"/>
  <c r="BB252" i="4" s="1"/>
  <c r="AZ251" i="4"/>
  <c r="BB251" i="4" s="1"/>
  <c r="AZ250" i="4"/>
  <c r="BB250" i="4" s="1"/>
  <c r="AZ248" i="4"/>
  <c r="BB248" i="4" s="1"/>
  <c r="AZ247" i="4"/>
  <c r="BB247" i="4" s="1"/>
  <c r="AZ246" i="4"/>
  <c r="BB246" i="4" s="1"/>
  <c r="AZ245" i="4"/>
  <c r="BB245" i="4" s="1"/>
  <c r="AZ244" i="4"/>
  <c r="BB244" i="4" s="1"/>
  <c r="AZ242" i="4"/>
  <c r="BB242" i="4" s="1"/>
  <c r="AZ241" i="4"/>
  <c r="BB241" i="4" s="1"/>
  <c r="AZ240" i="4"/>
  <c r="BB240" i="4" s="1"/>
  <c r="AZ239" i="4"/>
  <c r="BB239" i="4" s="1"/>
  <c r="AZ238" i="4"/>
  <c r="BB238" i="4" s="1"/>
  <c r="AZ237" i="4"/>
  <c r="BB237" i="4" s="1"/>
  <c r="AZ236" i="4"/>
  <c r="BB236" i="4" s="1"/>
  <c r="AZ235" i="4"/>
  <c r="BB235" i="4" s="1"/>
  <c r="AZ233" i="4"/>
  <c r="BB233" i="4" s="1"/>
  <c r="AZ232" i="4"/>
  <c r="BB232" i="4" s="1"/>
  <c r="AZ231" i="4"/>
  <c r="BB231" i="4" s="1"/>
  <c r="AZ230" i="4"/>
  <c r="BB230" i="4" s="1"/>
  <c r="AZ229" i="4"/>
  <c r="BB229" i="4" s="1"/>
  <c r="AZ228" i="4"/>
  <c r="BB228" i="4" s="1"/>
  <c r="AZ227" i="4"/>
  <c r="BB227" i="4" s="1"/>
  <c r="AZ226" i="4"/>
  <c r="BB226" i="4" s="1"/>
  <c r="AZ225" i="4"/>
  <c r="BB225" i="4" s="1"/>
  <c r="AZ224" i="4"/>
  <c r="BB224" i="4" s="1"/>
  <c r="AZ223" i="4"/>
  <c r="BB223" i="4" s="1"/>
  <c r="AZ222" i="4"/>
  <c r="BB222" i="4" s="1"/>
  <c r="AZ221" i="4"/>
  <c r="BB221" i="4" s="1"/>
  <c r="AZ219" i="4"/>
  <c r="BB219" i="4" s="1"/>
  <c r="AZ218" i="4"/>
  <c r="BB218" i="4" s="1"/>
  <c r="AZ217" i="4"/>
  <c r="BB217" i="4" s="1"/>
  <c r="AZ216" i="4"/>
  <c r="BB216" i="4" s="1"/>
  <c r="AZ215" i="4"/>
  <c r="BB215" i="4" s="1"/>
  <c r="AZ214" i="4"/>
  <c r="BB214" i="4" s="1"/>
  <c r="AZ213" i="4"/>
  <c r="BB213" i="4" s="1"/>
  <c r="AZ211" i="4"/>
  <c r="BB211" i="4" s="1"/>
  <c r="AZ210" i="4"/>
  <c r="BB210" i="4" s="1"/>
  <c r="AZ209" i="4"/>
  <c r="BB209" i="4" s="1"/>
  <c r="AZ208" i="4"/>
  <c r="BB208" i="4" s="1"/>
  <c r="AZ206" i="4"/>
  <c r="BB206" i="4" s="1"/>
  <c r="AZ205" i="4"/>
  <c r="BB205" i="4" s="1"/>
  <c r="AZ204" i="4"/>
  <c r="BB204" i="4" s="1"/>
  <c r="AZ203" i="4"/>
  <c r="BB203" i="4" s="1"/>
  <c r="AZ202" i="4"/>
  <c r="BB202" i="4" s="1"/>
  <c r="AZ201" i="4"/>
  <c r="BB201" i="4" s="1"/>
  <c r="AZ199" i="4"/>
  <c r="BB199" i="4" s="1"/>
  <c r="AZ197" i="4"/>
  <c r="BB197" i="4" s="1"/>
  <c r="AZ196" i="4"/>
  <c r="BB196" i="4" s="1"/>
  <c r="AZ195" i="4"/>
  <c r="BB195" i="4" s="1"/>
  <c r="AZ194" i="4"/>
  <c r="BB194" i="4" s="1"/>
  <c r="AZ193" i="4"/>
  <c r="BB193" i="4" s="1"/>
  <c r="AZ192" i="4"/>
  <c r="BB192" i="4" s="1"/>
  <c r="AZ191" i="4"/>
  <c r="BB191" i="4" s="1"/>
  <c r="AZ190" i="4"/>
  <c r="BB190" i="4" s="1"/>
  <c r="AZ189" i="4"/>
  <c r="BB189" i="4" s="1"/>
  <c r="AZ187" i="4"/>
  <c r="BB187" i="4" s="1"/>
  <c r="AZ186" i="4"/>
  <c r="BB186" i="4" s="1"/>
  <c r="AZ185" i="4"/>
  <c r="BB185" i="4" s="1"/>
  <c r="AZ184" i="4"/>
  <c r="BB184" i="4" s="1"/>
  <c r="AZ183" i="4"/>
  <c r="BB183" i="4" s="1"/>
  <c r="AZ182" i="4"/>
  <c r="BB182" i="4" s="1"/>
  <c r="AZ181" i="4"/>
  <c r="BB181" i="4" s="1"/>
  <c r="AZ180" i="4"/>
  <c r="BB180" i="4" s="1"/>
  <c r="AZ179" i="4"/>
  <c r="BB179" i="4" s="1"/>
  <c r="AZ178" i="4"/>
  <c r="BB178" i="4" s="1"/>
  <c r="AZ177" i="4"/>
  <c r="BB177" i="4" s="1"/>
  <c r="AZ176" i="4"/>
  <c r="BB176" i="4" s="1"/>
  <c r="AZ175" i="4"/>
  <c r="BB175" i="4" s="1"/>
  <c r="AZ174" i="4"/>
  <c r="BB174" i="4" s="1"/>
  <c r="AZ173" i="4"/>
  <c r="BB173" i="4" s="1"/>
  <c r="AZ172" i="4"/>
  <c r="BB172" i="4" s="1"/>
  <c r="AZ171" i="4"/>
  <c r="BB171" i="4" s="1"/>
  <c r="AZ170" i="4"/>
  <c r="BB170" i="4" s="1"/>
  <c r="AZ169" i="4"/>
  <c r="BB169" i="4" s="1"/>
  <c r="AZ168" i="4"/>
  <c r="BB168" i="4" s="1"/>
  <c r="AZ167" i="4"/>
  <c r="BB167" i="4" s="1"/>
  <c r="AZ166" i="4"/>
  <c r="BB166" i="4" s="1"/>
  <c r="AZ164" i="4"/>
  <c r="BB164" i="4" s="1"/>
  <c r="AZ163" i="4"/>
  <c r="BB163" i="4" s="1"/>
  <c r="AZ162" i="4"/>
  <c r="BB162" i="4" s="1"/>
  <c r="AZ161" i="4"/>
  <c r="BB161" i="4" s="1"/>
  <c r="AZ160" i="4"/>
  <c r="BB160" i="4" s="1"/>
  <c r="AZ159" i="4"/>
  <c r="BB159" i="4" s="1"/>
  <c r="AZ158" i="4"/>
  <c r="BB158" i="4" s="1"/>
  <c r="AZ157" i="4"/>
  <c r="BB157" i="4" s="1"/>
  <c r="AZ156" i="4"/>
  <c r="BB156" i="4" s="1"/>
  <c r="AZ155" i="4"/>
  <c r="BB155" i="4" s="1"/>
  <c r="AZ153" i="4"/>
  <c r="BB153" i="4" s="1"/>
  <c r="AZ152" i="4"/>
  <c r="BB152" i="4" s="1"/>
  <c r="AZ151" i="4"/>
  <c r="BB151" i="4" s="1"/>
  <c r="AZ150" i="4"/>
  <c r="BB150" i="4" s="1"/>
  <c r="AZ149" i="4"/>
  <c r="BB149" i="4" s="1"/>
  <c r="AZ148" i="4"/>
  <c r="BB148" i="4" s="1"/>
  <c r="AZ147" i="4"/>
  <c r="BB147" i="4" s="1"/>
  <c r="AZ146" i="4"/>
  <c r="BB146" i="4" s="1"/>
  <c r="AZ145" i="4"/>
  <c r="BB145" i="4" s="1"/>
  <c r="AZ143" i="4"/>
  <c r="BB143" i="4" s="1"/>
  <c r="AZ142" i="4"/>
  <c r="BB142" i="4" s="1"/>
  <c r="AZ141" i="4"/>
  <c r="BB141" i="4" s="1"/>
  <c r="AZ140" i="4"/>
  <c r="BB140" i="4" s="1"/>
  <c r="AZ139" i="4"/>
  <c r="BB139" i="4" s="1"/>
  <c r="AZ138" i="4"/>
  <c r="BB138" i="4" s="1"/>
  <c r="AZ135" i="4"/>
  <c r="BB135" i="4" s="1"/>
  <c r="AZ134" i="4"/>
  <c r="BB134" i="4" s="1"/>
  <c r="AZ133" i="4"/>
  <c r="BB133" i="4" s="1"/>
  <c r="AZ132" i="4"/>
  <c r="BB132" i="4" s="1"/>
  <c r="AZ131" i="4"/>
  <c r="BB131" i="4" s="1"/>
  <c r="AZ130" i="4"/>
  <c r="BB130" i="4" s="1"/>
  <c r="AZ129" i="4"/>
  <c r="BB129" i="4" s="1"/>
  <c r="AZ128" i="4"/>
  <c r="BB128" i="4" s="1"/>
  <c r="AZ127" i="4"/>
  <c r="BB127" i="4" s="1"/>
  <c r="AZ126" i="4"/>
  <c r="BB126" i="4" s="1"/>
  <c r="AZ125" i="4"/>
  <c r="BB125" i="4" s="1"/>
  <c r="AZ124" i="4"/>
  <c r="BB124" i="4" s="1"/>
  <c r="AZ123" i="4"/>
  <c r="BB123" i="4" s="1"/>
  <c r="AZ121" i="4"/>
  <c r="BB121" i="4" s="1"/>
  <c r="AZ119" i="4"/>
  <c r="BB119" i="4" s="1"/>
  <c r="AZ118" i="4"/>
  <c r="BB118" i="4" s="1"/>
  <c r="AZ117" i="4"/>
  <c r="BB117" i="4" s="1"/>
  <c r="AZ116" i="4"/>
  <c r="BB116" i="4" s="1"/>
  <c r="AZ115" i="4"/>
  <c r="BB115" i="4" s="1"/>
  <c r="AZ114" i="4"/>
  <c r="BB114" i="4" s="1"/>
  <c r="AZ113" i="4"/>
  <c r="BB113" i="4" s="1"/>
  <c r="AZ112" i="4"/>
  <c r="BB112" i="4" s="1"/>
  <c r="AZ110" i="4"/>
  <c r="BB110" i="4" s="1"/>
  <c r="AZ109" i="4"/>
  <c r="BB109" i="4" s="1"/>
  <c r="AZ107" i="4"/>
  <c r="BB107" i="4" s="1"/>
  <c r="AZ106" i="4"/>
  <c r="BB106" i="4" s="1"/>
  <c r="AZ105" i="4"/>
  <c r="BB105" i="4" s="1"/>
  <c r="AZ104" i="4"/>
  <c r="BB104" i="4" s="1"/>
  <c r="AZ103" i="4"/>
  <c r="BB103" i="4" s="1"/>
  <c r="AZ102" i="4"/>
  <c r="BB102" i="4" s="1"/>
  <c r="AZ101" i="4"/>
  <c r="BB101" i="4" s="1"/>
  <c r="AZ99" i="4"/>
  <c r="BB99" i="4" s="1"/>
  <c r="AZ98" i="4"/>
  <c r="BB98" i="4" s="1"/>
  <c r="AZ96" i="4"/>
  <c r="BB96" i="4" s="1"/>
  <c r="AZ95" i="4"/>
  <c r="BB95" i="4" s="1"/>
  <c r="AZ92" i="4"/>
  <c r="BB92" i="4" s="1"/>
  <c r="AZ91" i="4"/>
  <c r="BB91" i="4" s="1"/>
  <c r="AZ90" i="4"/>
  <c r="BB90" i="4" s="1"/>
  <c r="AZ89" i="4"/>
  <c r="BB89" i="4" s="1"/>
  <c r="AZ88" i="4"/>
  <c r="BB88" i="4" s="1"/>
  <c r="AZ87" i="4"/>
  <c r="BB87" i="4" s="1"/>
  <c r="AZ86" i="4"/>
  <c r="BB86" i="4" s="1"/>
  <c r="AZ84" i="4"/>
  <c r="BB84" i="4" s="1"/>
  <c r="AZ83" i="4"/>
  <c r="BB83" i="4" s="1"/>
  <c r="AZ81" i="4"/>
  <c r="BB81" i="4" s="1"/>
  <c r="AZ78" i="4"/>
  <c r="BB78" i="4" s="1"/>
  <c r="AZ75" i="4"/>
  <c r="BB75" i="4" s="1"/>
  <c r="AZ74" i="4"/>
  <c r="BB74" i="4" s="1"/>
  <c r="AZ73" i="4"/>
  <c r="BB73" i="4" s="1"/>
  <c r="AZ72" i="4"/>
  <c r="BB72" i="4" s="1"/>
  <c r="AZ71" i="4"/>
  <c r="BB71" i="4" s="1"/>
  <c r="AZ70" i="4"/>
  <c r="BB70" i="4" s="1"/>
  <c r="AZ68" i="4"/>
  <c r="BB68" i="4" s="1"/>
  <c r="AZ67" i="4"/>
  <c r="BB67" i="4" s="1"/>
  <c r="AZ65" i="4"/>
  <c r="BB65" i="4" s="1"/>
  <c r="AZ64" i="4"/>
  <c r="BB64" i="4" s="1"/>
  <c r="AZ63" i="4"/>
  <c r="BB63" i="4" s="1"/>
  <c r="AZ62" i="4"/>
  <c r="BB62" i="4" s="1"/>
  <c r="AZ61" i="4"/>
  <c r="BB61" i="4" s="1"/>
  <c r="AZ60" i="4"/>
  <c r="BB60" i="4" s="1"/>
  <c r="AZ59" i="4"/>
  <c r="BB59" i="4" s="1"/>
  <c r="AZ58" i="4"/>
  <c r="BB58" i="4" s="1"/>
  <c r="AZ57" i="4"/>
  <c r="BB57" i="4" s="1"/>
  <c r="AZ56" i="4"/>
  <c r="BB56" i="4" s="1"/>
  <c r="AZ55" i="4"/>
  <c r="BB55" i="4" s="1"/>
  <c r="AZ54" i="4"/>
  <c r="BB54" i="4" s="1"/>
  <c r="AZ53" i="4"/>
  <c r="BB53" i="4" s="1"/>
  <c r="AZ52" i="4"/>
  <c r="BB52" i="4" s="1"/>
  <c r="AZ51" i="4"/>
  <c r="BB51" i="4" s="1"/>
  <c r="AZ50" i="4"/>
  <c r="BB50" i="4" s="1"/>
  <c r="AZ49" i="4"/>
  <c r="BB49" i="4" s="1"/>
  <c r="AZ48" i="4"/>
  <c r="BB48" i="4" s="1"/>
  <c r="AZ47" i="4"/>
  <c r="BB47" i="4" s="1"/>
  <c r="AZ46" i="4"/>
  <c r="BB46" i="4" s="1"/>
  <c r="AZ45" i="4"/>
  <c r="BB45" i="4" s="1"/>
  <c r="AZ44" i="4"/>
  <c r="BB44" i="4" s="1"/>
  <c r="AZ43" i="4"/>
  <c r="BB43" i="4" s="1"/>
  <c r="AZ42" i="4"/>
  <c r="BB42" i="4" s="1"/>
  <c r="AZ39" i="4"/>
  <c r="BB39" i="4" s="1"/>
  <c r="AZ38" i="4"/>
  <c r="BB38" i="4" s="1"/>
  <c r="AZ37" i="4"/>
  <c r="BB37" i="4" s="1"/>
  <c r="AZ34" i="4"/>
  <c r="BB34" i="4" s="1"/>
  <c r="AZ33" i="4"/>
  <c r="BB33" i="4" s="1"/>
  <c r="AZ32" i="4"/>
  <c r="BB32" i="4" s="1"/>
  <c r="AZ30" i="4"/>
  <c r="BB30" i="4" s="1"/>
  <c r="AZ28" i="4"/>
  <c r="BB28" i="4" s="1"/>
  <c r="AZ27" i="4"/>
  <c r="BB27" i="4" s="1"/>
  <c r="AZ26" i="4"/>
  <c r="BB26" i="4" s="1"/>
  <c r="AZ25" i="4"/>
  <c r="BB25" i="4" s="1"/>
  <c r="AZ24" i="4"/>
  <c r="BB24" i="4" s="1"/>
  <c r="AZ23" i="4"/>
  <c r="BB23" i="4" s="1"/>
  <c r="AZ22" i="4"/>
  <c r="BB22" i="4" s="1"/>
  <c r="AZ21" i="4"/>
  <c r="BB21" i="4" s="1"/>
  <c r="AW411" i="4"/>
  <c r="AT411" i="4"/>
  <c r="AQ411" i="4"/>
  <c r="AN411" i="4"/>
  <c r="AK411" i="4"/>
  <c r="AH411" i="4"/>
  <c r="AZ15" i="4"/>
  <c r="BB15" i="4" s="1"/>
  <c r="AH413" i="4" l="1"/>
  <c r="AT413" i="4"/>
  <c r="AZ14" i="4"/>
  <c r="BB14" i="4" s="1"/>
  <c r="AZ29" i="4"/>
  <c r="BB29" i="4" s="1"/>
  <c r="AZ80" i="4"/>
  <c r="BB80" i="4" s="1"/>
  <c r="AZ85" i="4"/>
  <c r="BB85" i="4" s="1"/>
  <c r="AZ100" i="4"/>
  <c r="BB100" i="4" s="1"/>
  <c r="AZ122" i="4"/>
  <c r="BB122" i="4" s="1"/>
  <c r="AZ198" i="4"/>
  <c r="BB198" i="4" s="1"/>
  <c r="AZ220" i="4"/>
  <c r="BB220" i="4" s="1"/>
  <c r="AZ249" i="4"/>
  <c r="BB249" i="4" s="1"/>
  <c r="AZ279" i="4"/>
  <c r="BB279" i="4" s="1"/>
  <c r="AZ333" i="4"/>
  <c r="BB333" i="4" s="1"/>
  <c r="AZ394" i="4"/>
  <c r="BB394" i="4" s="1"/>
  <c r="AZ11" i="4"/>
  <c r="AE413" i="4"/>
  <c r="AK413" i="4"/>
  <c r="AW413" i="4"/>
  <c r="AZ13" i="4"/>
  <c r="BB13" i="4" s="1"/>
  <c r="AE411" i="4"/>
  <c r="AZ20" i="4"/>
  <c r="AN413" i="4"/>
  <c r="AZ12" i="4"/>
  <c r="AZ16" i="4"/>
  <c r="BB16" i="4" s="1"/>
  <c r="AZ31" i="4"/>
  <c r="BB31" i="4" s="1"/>
  <c r="AZ66" i="4"/>
  <c r="BB66" i="4" s="1"/>
  <c r="AZ120" i="4"/>
  <c r="BB120" i="4" s="1"/>
  <c r="AZ188" i="4"/>
  <c r="BB188" i="4" s="1"/>
  <c r="AZ200" i="4"/>
  <c r="BB200" i="4" s="1"/>
  <c r="AZ234" i="4"/>
  <c r="BB234" i="4" s="1"/>
  <c r="AZ360" i="4"/>
  <c r="BB360" i="4" s="1"/>
  <c r="AZ384" i="4"/>
  <c r="BB384" i="4" s="1"/>
  <c r="AQ413" i="4"/>
  <c r="G385" i="4"/>
  <c r="G390" i="4" l="1"/>
  <c r="G404" i="4"/>
  <c r="G379" i="4"/>
  <c r="G365" i="4"/>
  <c r="G401" i="4"/>
  <c r="G391" i="4"/>
  <c r="G372" i="4"/>
  <c r="G394" i="4"/>
  <c r="G378" i="4"/>
  <c r="G344" i="4"/>
  <c r="G335" i="4"/>
  <c r="G399" i="4"/>
  <c r="G343" i="4"/>
  <c r="G328" i="4"/>
  <c r="G308" i="4"/>
  <c r="G339" i="4"/>
  <c r="G290" i="4"/>
  <c r="G263" i="4"/>
  <c r="G254" i="4"/>
  <c r="G247" i="4"/>
  <c r="G233" i="4"/>
  <c r="G321" i="4"/>
  <c r="G296" i="4"/>
  <c r="G299" i="4"/>
  <c r="G287" i="4"/>
  <c r="G270" i="4"/>
  <c r="G262" i="4"/>
  <c r="G255" i="4"/>
  <c r="G282" i="4"/>
  <c r="G274" i="4"/>
  <c r="G241" i="4"/>
  <c r="G224" i="4"/>
  <c r="G208" i="4"/>
  <c r="G158" i="4"/>
  <c r="G143" i="4"/>
  <c r="G265" i="4"/>
  <c r="G152" i="4"/>
  <c r="G285" i="4"/>
  <c r="G234" i="4"/>
  <c r="G218" i="4"/>
  <c r="G198" i="4"/>
  <c r="G190" i="4"/>
  <c r="G179" i="4"/>
  <c r="G157" i="4"/>
  <c r="G135" i="4"/>
  <c r="G168" i="4"/>
  <c r="G183" i="4"/>
  <c r="G94" i="4"/>
  <c r="G79" i="4"/>
  <c r="G71" i="4"/>
  <c r="G63" i="4"/>
  <c r="G170" i="4"/>
  <c r="G138" i="4"/>
  <c r="G80" i="4"/>
  <c r="G153" i="4"/>
  <c r="G126" i="4"/>
  <c r="G118" i="4"/>
  <c r="G107" i="4"/>
  <c r="G97" i="4"/>
  <c r="G89" i="4"/>
  <c r="G76" i="4"/>
  <c r="G68" i="4"/>
  <c r="G60" i="4"/>
  <c r="G83" i="4"/>
  <c r="G49" i="4"/>
  <c r="G39" i="4"/>
  <c r="G58" i="4"/>
  <c r="G40" i="4"/>
  <c r="G24" i="4"/>
  <c r="G16" i="4"/>
  <c r="G81" i="4"/>
  <c r="G33" i="4"/>
  <c r="G46" i="4"/>
  <c r="G21" i="4"/>
  <c r="G132" i="4"/>
  <c r="G108" i="4"/>
  <c r="G119" i="4"/>
  <c r="G127" i="4"/>
  <c r="G112" i="4"/>
  <c r="G189" i="4"/>
  <c r="G197" i="4"/>
  <c r="G177" i="4"/>
  <c r="G238" i="4"/>
  <c r="G217" i="4"/>
  <c r="G225" i="4"/>
  <c r="G245" i="4"/>
  <c r="G279" i="4"/>
  <c r="G313" i="4"/>
  <c r="G310" i="4"/>
  <c r="G324" i="4"/>
  <c r="G349" i="4"/>
  <c r="G337" i="4"/>
  <c r="G352" i="4"/>
  <c r="G364" i="4"/>
  <c r="G377" i="4"/>
  <c r="G403" i="4"/>
  <c r="G393" i="4"/>
  <c r="G32" i="4"/>
  <c r="G12" i="4"/>
  <c r="G363" i="4"/>
  <c r="G400" i="4"/>
  <c r="G384" i="4"/>
  <c r="G368" i="4"/>
  <c r="G357" i="4"/>
  <c r="G374" i="4"/>
  <c r="G342" i="4"/>
  <c r="G333" i="4"/>
  <c r="G360" i="4"/>
  <c r="G341" i="4"/>
  <c r="G325" i="4"/>
  <c r="G304" i="4"/>
  <c r="G334" i="4"/>
  <c r="G303" i="4"/>
  <c r="G261" i="4"/>
  <c r="G252" i="4"/>
  <c r="G244" i="4"/>
  <c r="G229" i="4"/>
  <c r="G319" i="4"/>
  <c r="G292" i="4"/>
  <c r="G297" i="4"/>
  <c r="G281" i="4"/>
  <c r="G268" i="4"/>
  <c r="G260" i="4"/>
  <c r="G253" i="4"/>
  <c r="G280" i="4"/>
  <c r="G272" i="4"/>
  <c r="G236" i="4"/>
  <c r="G220" i="4"/>
  <c r="G175" i="4"/>
  <c r="G156" i="4"/>
  <c r="G136" i="4"/>
  <c r="G171" i="4"/>
  <c r="G163" i="4"/>
  <c r="G150" i="4"/>
  <c r="G246" i="4"/>
  <c r="G230" i="4"/>
  <c r="G214" i="4"/>
  <c r="G196" i="4"/>
  <c r="G188" i="4"/>
  <c r="G176" i="4"/>
  <c r="G146" i="4"/>
  <c r="G133" i="4"/>
  <c r="G164" i="4"/>
  <c r="G155" i="4"/>
  <c r="G92" i="4"/>
  <c r="G77" i="4"/>
  <c r="G69" i="4"/>
  <c r="G61" i="4"/>
  <c r="G166" i="4"/>
  <c r="G101" i="4"/>
  <c r="G205" i="4"/>
  <c r="G149" i="4"/>
  <c r="G124" i="4"/>
  <c r="G116" i="4"/>
  <c r="G105" i="4"/>
  <c r="G95" i="4"/>
  <c r="G86" i="4"/>
  <c r="G74" i="4"/>
  <c r="G66" i="4"/>
  <c r="G104" i="4"/>
  <c r="G57" i="4"/>
  <c r="G47" i="4"/>
  <c r="G37" i="4"/>
  <c r="G54" i="4"/>
  <c r="G38" i="4"/>
  <c r="G22" i="4"/>
  <c r="G14" i="4"/>
  <c r="G55" i="4"/>
  <c r="G114" i="4"/>
  <c r="G27" i="4"/>
  <c r="G19" i="4"/>
  <c r="G48" i="4"/>
  <c r="G110" i="4"/>
  <c r="G121" i="4"/>
  <c r="G129" i="4"/>
  <c r="G148" i="4"/>
  <c r="G191" i="4"/>
  <c r="G200" i="4"/>
  <c r="G180" i="4"/>
  <c r="G210" i="4"/>
  <c r="G219" i="4"/>
  <c r="G231" i="4"/>
  <c r="G269" i="4"/>
  <c r="G286" i="4"/>
  <c r="G315" i="4"/>
  <c r="G312" i="4"/>
  <c r="G327" i="4"/>
  <c r="G351" i="4"/>
  <c r="G346" i="4"/>
  <c r="G354" i="4"/>
  <c r="G366" i="4"/>
  <c r="G381" i="4"/>
  <c r="G389" i="4"/>
  <c r="G396" i="4"/>
  <c r="G28" i="4"/>
  <c r="BB12" i="4"/>
  <c r="AZ411" i="4"/>
  <c r="BB20" i="4"/>
  <c r="BB411" i="4" s="1"/>
  <c r="G375" i="4"/>
  <c r="G405" i="4"/>
  <c r="G371" i="4"/>
  <c r="G361" i="4"/>
  <c r="G395" i="4"/>
  <c r="G380" i="4"/>
  <c r="G359" i="4"/>
  <c r="G387" i="4"/>
  <c r="G370" i="4"/>
  <c r="G340" i="4"/>
  <c r="G331" i="4"/>
  <c r="G332" i="4"/>
  <c r="G320" i="4"/>
  <c r="G302" i="4"/>
  <c r="G322" i="4"/>
  <c r="G293" i="4"/>
  <c r="G259" i="4"/>
  <c r="G250" i="4"/>
  <c r="G237" i="4"/>
  <c r="G227" i="4"/>
  <c r="G306" i="4"/>
  <c r="G288" i="4"/>
  <c r="G295" i="4"/>
  <c r="G277" i="4"/>
  <c r="G266" i="4"/>
  <c r="G258" i="4"/>
  <c r="G251" i="4"/>
  <c r="G278" i="4"/>
  <c r="G267" i="4"/>
  <c r="G232" i="4"/>
  <c r="G216" i="4"/>
  <c r="G173" i="4"/>
  <c r="G147" i="4"/>
  <c r="G134" i="4"/>
  <c r="G169" i="4"/>
  <c r="G161" i="4"/>
  <c r="G141" i="4"/>
  <c r="G243" i="4"/>
  <c r="G226" i="4"/>
  <c r="G203" i="4"/>
  <c r="G194" i="4"/>
  <c r="G186" i="4"/>
  <c r="G174" i="4"/>
  <c r="G144" i="4"/>
  <c r="G206" i="4"/>
  <c r="G140" i="4"/>
  <c r="G151" i="4"/>
  <c r="G90" i="4"/>
  <c r="G75" i="4"/>
  <c r="G67" i="4"/>
  <c r="G59" i="4"/>
  <c r="G162" i="4"/>
  <c r="G84" i="4"/>
  <c r="G199" i="4"/>
  <c r="G130" i="4"/>
  <c r="G122" i="4"/>
  <c r="G111" i="4"/>
  <c r="G102" i="4"/>
  <c r="G93" i="4"/>
  <c r="G85" i="4"/>
  <c r="G72" i="4"/>
  <c r="G64" i="4"/>
  <c r="G100" i="4"/>
  <c r="G53" i="4"/>
  <c r="G43" i="4"/>
  <c r="G34" i="4"/>
  <c r="G44" i="4"/>
  <c r="G36" i="4"/>
  <c r="G20" i="4"/>
  <c r="G115" i="4"/>
  <c r="G45" i="4"/>
  <c r="G56" i="4"/>
  <c r="G25" i="4"/>
  <c r="G17" i="4"/>
  <c r="G52" i="4"/>
  <c r="G113" i="4"/>
  <c r="G123" i="4"/>
  <c r="G131" i="4"/>
  <c r="G185" i="4"/>
  <c r="G193" i="4"/>
  <c r="G202" i="4"/>
  <c r="G182" i="4"/>
  <c r="G213" i="4"/>
  <c r="G221" i="4"/>
  <c r="G240" i="4"/>
  <c r="G271" i="4"/>
  <c r="G305" i="4"/>
  <c r="G318" i="4"/>
  <c r="G314" i="4"/>
  <c r="G336" i="4"/>
  <c r="G353" i="4"/>
  <c r="G348" i="4"/>
  <c r="G355" i="4"/>
  <c r="G369" i="4"/>
  <c r="G382" i="4"/>
  <c r="G397" i="4"/>
  <c r="G29" i="4"/>
  <c r="G398" i="4"/>
  <c r="G367" i="4"/>
  <c r="G392" i="4"/>
  <c r="G376" i="4"/>
  <c r="G402" i="4"/>
  <c r="G383" i="4"/>
  <c r="G356" i="4"/>
  <c r="G329" i="4"/>
  <c r="G345" i="4"/>
  <c r="G330" i="4"/>
  <c r="G317" i="4"/>
  <c r="G300" i="4"/>
  <c r="G294" i="4"/>
  <c r="G289" i="4"/>
  <c r="G257" i="4"/>
  <c r="G248" i="4"/>
  <c r="G235" i="4"/>
  <c r="G212" i="4"/>
  <c r="G298" i="4"/>
  <c r="G301" i="4"/>
  <c r="G291" i="4"/>
  <c r="G273" i="4"/>
  <c r="G264" i="4"/>
  <c r="G256" i="4"/>
  <c r="G249" i="4"/>
  <c r="G276" i="4"/>
  <c r="G283" i="4"/>
  <c r="G228" i="4"/>
  <c r="G209" i="4"/>
  <c r="G160" i="4"/>
  <c r="G145" i="4"/>
  <c r="G284" i="4"/>
  <c r="G167" i="4"/>
  <c r="G154" i="4"/>
  <c r="G139" i="4"/>
  <c r="G239" i="4"/>
  <c r="G222" i="4"/>
  <c r="G201" i="4"/>
  <c r="G192" i="4"/>
  <c r="G184" i="4"/>
  <c r="G159" i="4"/>
  <c r="G137" i="4"/>
  <c r="G172" i="4"/>
  <c r="G207" i="4"/>
  <c r="G96" i="4"/>
  <c r="G88" i="4"/>
  <c r="G73" i="4"/>
  <c r="G65" i="4"/>
  <c r="G178" i="4"/>
  <c r="G142" i="4"/>
  <c r="G82" i="4"/>
  <c r="G181" i="4"/>
  <c r="G128" i="4"/>
  <c r="G120" i="4"/>
  <c r="G109" i="4"/>
  <c r="G99" i="4"/>
  <c r="G91" i="4"/>
  <c r="G78" i="4"/>
  <c r="G70" i="4"/>
  <c r="G62" i="4"/>
  <c r="G87" i="4"/>
  <c r="G51" i="4"/>
  <c r="G13" i="4"/>
  <c r="G42" i="4"/>
  <c r="G26" i="4"/>
  <c r="G18" i="4"/>
  <c r="G98" i="4"/>
  <c r="G35" i="4"/>
  <c r="G50" i="4"/>
  <c r="G23" i="4"/>
  <c r="G15" i="4"/>
  <c r="G106" i="4"/>
  <c r="G117" i="4"/>
  <c r="G125" i="4"/>
  <c r="G103" i="4"/>
  <c r="G187" i="4"/>
  <c r="G195" i="4"/>
  <c r="G204" i="4"/>
  <c r="G211" i="4"/>
  <c r="G215" i="4"/>
  <c r="G223" i="4"/>
  <c r="G242" i="4"/>
  <c r="G275" i="4"/>
  <c r="G309" i="4"/>
  <c r="G307" i="4"/>
  <c r="G316" i="4"/>
  <c r="G347" i="4"/>
  <c r="G326" i="4"/>
  <c r="G350" i="4"/>
  <c r="G362" i="4"/>
  <c r="G373" i="4"/>
  <c r="G388" i="4"/>
  <c r="G386" i="4"/>
  <c r="G31" i="4"/>
  <c r="G30" i="4"/>
  <c r="AZ413" i="4"/>
  <c r="BB11" i="4"/>
  <c r="BB413" i="4" s="1"/>
  <c r="X413" i="4" l="1"/>
  <c r="G11" i="4"/>
  <c r="G411" i="4"/>
  <c r="X411" i="4"/>
  <c r="G413" i="4" l="1"/>
  <c r="DA153" i="1" l="1"/>
  <c r="M152" i="24" s="1"/>
  <c r="DA137" i="1"/>
  <c r="M136" i="24" s="1"/>
  <c r="DA281" i="1"/>
  <c r="M280" i="24" s="1"/>
  <c r="DA96" i="1"/>
  <c r="M95" i="24" s="1"/>
  <c r="DA88" i="1"/>
  <c r="M87" i="24" s="1"/>
  <c r="DA66" i="1"/>
  <c r="M65" i="24" s="1"/>
  <c r="DA79" i="1"/>
  <c r="M78" i="24" s="1"/>
  <c r="DA28" i="1"/>
  <c r="M27" i="24" s="1"/>
  <c r="DA93" i="1"/>
  <c r="M92" i="24" s="1"/>
  <c r="DA180" i="1"/>
  <c r="M179" i="24" s="1"/>
  <c r="DA155" i="1"/>
  <c r="M154" i="24" s="1"/>
  <c r="DA260" i="1"/>
  <c r="M259" i="24" s="1"/>
  <c r="DA103" i="1"/>
  <c r="M102" i="24" s="1"/>
  <c r="DA105" i="1"/>
  <c r="M104" i="24" s="1"/>
  <c r="DA202" i="1"/>
  <c r="M201" i="24" s="1"/>
  <c r="DA194" i="1"/>
  <c r="M193" i="24" s="1"/>
  <c r="DA98" i="1"/>
  <c r="M97" i="24" s="1"/>
  <c r="DA72" i="1"/>
  <c r="M71" i="24" s="1"/>
  <c r="DA156" i="1"/>
  <c r="M155" i="24" s="1"/>
  <c r="DA195" i="1"/>
  <c r="M194" i="24" s="1"/>
  <c r="DA94" i="1"/>
  <c r="M93" i="24" s="1"/>
  <c r="DA199" i="1"/>
  <c r="M198" i="24" s="1"/>
  <c r="DA341" i="1"/>
  <c r="M340" i="24" s="1"/>
  <c r="DA31" i="1"/>
  <c r="M30" i="24" s="1"/>
  <c r="DA343" i="1"/>
  <c r="M342" i="24" s="1"/>
  <c r="DA139" i="1"/>
  <c r="M138" i="24" s="1"/>
  <c r="DA23" i="1"/>
  <c r="M22" i="24" s="1"/>
  <c r="DA186" i="1"/>
  <c r="M185" i="24" s="1"/>
  <c r="DA90" i="1"/>
  <c r="M89" i="24" s="1"/>
  <c r="DA144" i="1"/>
  <c r="M143" i="24" s="1"/>
  <c r="DA193" i="1"/>
  <c r="M192" i="24" s="1"/>
  <c r="DA313" i="1"/>
  <c r="M312" i="24" s="1"/>
  <c r="DA133" i="1"/>
  <c r="M132" i="24" s="1"/>
  <c r="DA81" i="1"/>
  <c r="M80" i="24" s="1"/>
  <c r="DA29" i="1"/>
  <c r="M28" i="24" s="1"/>
  <c r="DA183" i="1"/>
  <c r="M182" i="24" s="1"/>
  <c r="DA312" i="1"/>
  <c r="M311" i="24" s="1"/>
  <c r="DA58" i="1"/>
  <c r="M57" i="24" s="1"/>
  <c r="DA238" i="1"/>
  <c r="M237" i="24" s="1"/>
  <c r="DA151" i="1"/>
  <c r="M150" i="24" s="1"/>
  <c r="DA87" i="1"/>
  <c r="M86" i="24" s="1"/>
  <c r="DA282" i="1"/>
  <c r="M281" i="24" s="1"/>
  <c r="DA170" i="1"/>
  <c r="M169" i="24" s="1"/>
  <c r="DA179" i="1"/>
  <c r="M178" i="24" s="1"/>
  <c r="DA201" i="1"/>
  <c r="M200" i="24" s="1"/>
  <c r="DA308" i="1"/>
  <c r="M307" i="24" s="1"/>
  <c r="DA200" i="1"/>
  <c r="M199" i="24" s="1"/>
  <c r="DA145" i="1"/>
  <c r="M144" i="24" s="1"/>
  <c r="DA65" i="1"/>
  <c r="M64" i="24" s="1"/>
  <c r="DA239" i="1"/>
  <c r="M238" i="24" s="1"/>
  <c r="DA140" i="1"/>
  <c r="M139" i="24" s="1"/>
  <c r="DA27" i="1"/>
  <c r="M26" i="24" s="1"/>
  <c r="DA73" i="1"/>
  <c r="M72" i="24" s="1"/>
  <c r="DA187" i="1"/>
  <c r="M186" i="24" s="1"/>
  <c r="DA223" i="1"/>
  <c r="M222" i="24" s="1"/>
  <c r="DA302" i="1" l="1"/>
  <c r="M301" i="24" s="1"/>
  <c r="DA188" i="1"/>
  <c r="M187" i="24" s="1"/>
  <c r="DA14" i="1"/>
  <c r="M13" i="24" s="1"/>
  <c r="DA157" i="1"/>
  <c r="M156" i="24" s="1"/>
  <c r="DA189" i="1"/>
  <c r="M188" i="24" s="1"/>
  <c r="DA138" i="1"/>
  <c r="M137" i="24" s="1"/>
  <c r="DA150" i="1"/>
  <c r="M149" i="24" s="1"/>
  <c r="DA340" i="1"/>
  <c r="M339" i="24" s="1"/>
  <c r="DA36" i="1"/>
  <c r="M35" i="24" s="1"/>
  <c r="DA54" i="1"/>
  <c r="M53" i="24" s="1"/>
  <c r="DA165" i="1"/>
  <c r="M164" i="24" s="1"/>
  <c r="DA358" i="1"/>
  <c r="M357" i="24" s="1"/>
  <c r="DA53" i="1"/>
  <c r="M52" i="24" s="1"/>
  <c r="DA143" i="1"/>
  <c r="M142" i="24" s="1"/>
  <c r="DA76" i="1"/>
  <c r="M75" i="24" s="1"/>
  <c r="DA146" i="1"/>
  <c r="M145" i="24" s="1"/>
  <c r="DA192" i="1"/>
  <c r="M191" i="24" s="1"/>
  <c r="DA300" i="1"/>
  <c r="M299" i="24" s="1"/>
  <c r="DA251" i="1"/>
  <c r="M250" i="24" s="1"/>
  <c r="DA314" i="1"/>
  <c r="M313" i="24" s="1"/>
  <c r="DA184" i="1"/>
  <c r="M183" i="24" s="1"/>
  <c r="DA35" i="1"/>
  <c r="M34" i="24" s="1"/>
  <c r="DA32" i="1"/>
  <c r="M31" i="24" s="1"/>
  <c r="DA310" i="1"/>
  <c r="M309" i="24" s="1"/>
  <c r="DA30" i="1"/>
  <c r="M29" i="24" s="1"/>
  <c r="DA342" i="1"/>
  <c r="M341" i="24" s="1"/>
  <c r="DA89" i="1"/>
  <c r="M88" i="24" s="1"/>
  <c r="DA191" i="1"/>
  <c r="M190" i="24" s="1"/>
  <c r="DA190" i="1"/>
  <c r="M189" i="24" s="1"/>
  <c r="DA334" i="1" l="1"/>
  <c r="M333" i="24" s="1"/>
  <c r="DA380" i="1" l="1"/>
  <c r="M379" i="24" s="1"/>
  <c r="DA377" i="1"/>
  <c r="M376" i="24" s="1"/>
  <c r="DA303" i="1"/>
  <c r="M302" i="24" s="1"/>
  <c r="DA389" i="1"/>
  <c r="M388" i="24" s="1"/>
  <c r="DA319" i="1"/>
  <c r="M318" i="24" s="1"/>
  <c r="DA392" i="1"/>
  <c r="M391" i="24" s="1"/>
  <c r="DA326" i="1"/>
  <c r="M325" i="24" s="1"/>
  <c r="DA375" i="1"/>
  <c r="M374" i="24" s="1"/>
  <c r="DA383" i="1"/>
  <c r="M382" i="24" s="1"/>
  <c r="DA100" i="1"/>
  <c r="M99" i="24" s="1"/>
  <c r="DA381" i="1"/>
  <c r="M380" i="24" s="1"/>
  <c r="DA270" i="1"/>
  <c r="M269" i="24" s="1"/>
  <c r="DA370" i="1"/>
  <c r="M369" i="24" s="1"/>
  <c r="DA316" i="1"/>
  <c r="M315" i="24" s="1"/>
  <c r="DA26" i="1"/>
  <c r="M25" i="24" s="1"/>
  <c r="DA379" i="1"/>
  <c r="M378" i="24" s="1"/>
  <c r="DA317" i="1"/>
  <c r="M316" i="24" s="1"/>
  <c r="DA277" i="1"/>
  <c r="M276" i="24" s="1"/>
  <c r="DA395" i="1"/>
  <c r="M394" i="24" s="1"/>
  <c r="DA12" i="1"/>
  <c r="M11" i="24" s="1"/>
  <c r="DA272" i="1"/>
  <c r="M271" i="24" s="1"/>
  <c r="DA47" i="1"/>
  <c r="M46" i="24" s="1"/>
  <c r="DA374" i="1"/>
  <c r="M373" i="24" s="1"/>
  <c r="DA279" i="1"/>
  <c r="M278" i="24" s="1"/>
  <c r="DA211" i="1"/>
  <c r="M210" i="24" s="1"/>
  <c r="DA367" i="1"/>
  <c r="M366" i="24" s="1"/>
  <c r="DA369" i="1"/>
  <c r="M368" i="24" s="1"/>
  <c r="DA207" i="1"/>
  <c r="M206" i="24" s="1"/>
  <c r="DA141" i="1"/>
  <c r="M140" i="24" s="1"/>
  <c r="DA206" i="1"/>
  <c r="M205" i="24" s="1"/>
  <c r="DA49" i="1"/>
  <c r="M48" i="24" s="1"/>
  <c r="DA147" i="1"/>
  <c r="M146" i="24" s="1"/>
  <c r="DA275" i="1"/>
  <c r="M274" i="24" s="1"/>
  <c r="DA50" i="1"/>
  <c r="M49" i="24" s="1"/>
  <c r="DA393" i="1"/>
  <c r="M392" i="24" s="1"/>
  <c r="DA197" i="1"/>
  <c r="M196" i="24" s="1"/>
  <c r="DA378" i="1"/>
  <c r="M377" i="24" s="1"/>
  <c r="DA371" i="1"/>
  <c r="M370" i="24" s="1"/>
  <c r="DA385" i="1"/>
  <c r="M384" i="24" s="1"/>
  <c r="DA271" i="1"/>
  <c r="M270" i="24" s="1"/>
  <c r="DA372" i="1"/>
  <c r="M371" i="24" s="1"/>
  <c r="DA99" i="1"/>
  <c r="M98" i="24" s="1"/>
  <c r="DA274" i="1"/>
  <c r="M273" i="24" s="1"/>
  <c r="DA278" i="1"/>
  <c r="M277" i="24" s="1"/>
  <c r="DA376" i="1"/>
  <c r="M375" i="24" s="1"/>
  <c r="DA48" i="1"/>
  <c r="M47" i="24" s="1"/>
  <c r="DA13" i="1"/>
  <c r="M12" i="24" s="1"/>
  <c r="DA388" i="1"/>
  <c r="M387" i="24" s="1"/>
  <c r="DA154" i="1"/>
  <c r="M153" i="24" s="1"/>
  <c r="DA324" i="1"/>
  <c r="M323" i="24" s="1"/>
  <c r="DA368" i="1"/>
  <c r="M367" i="24" s="1"/>
  <c r="DA51" i="1"/>
  <c r="M50" i="24" s="1"/>
  <c r="DA209" i="1"/>
  <c r="M208" i="24" s="1"/>
  <c r="DA390" i="1"/>
  <c r="M389" i="24" s="1"/>
  <c r="DA198" i="1"/>
  <c r="M197" i="24" s="1"/>
  <c r="DA394" i="1"/>
  <c r="M393" i="24" s="1"/>
  <c r="DA373" i="1"/>
  <c r="M372" i="24" s="1"/>
  <c r="DA136" i="1"/>
  <c r="M135" i="24" s="1"/>
  <c r="DA276" i="1"/>
  <c r="M275" i="24" s="1"/>
  <c r="DA203" i="1"/>
  <c r="M202" i="24" s="1"/>
  <c r="DA273" i="1"/>
  <c r="M272" i="24" s="1"/>
  <c r="DA391" i="1"/>
  <c r="M390" i="24" s="1"/>
  <c r="DA344" i="1"/>
  <c r="M343" i="24" s="1"/>
  <c r="DA208" i="1"/>
  <c r="M207" i="24" s="1"/>
  <c r="DA382" i="1"/>
  <c r="M381" i="24" s="1"/>
  <c r="DA361" i="1" l="1"/>
  <c r="M360" i="24" s="1"/>
  <c r="DA336" i="1"/>
  <c r="M335" i="24" s="1"/>
  <c r="DA332" i="1"/>
  <c r="M331" i="24" s="1"/>
  <c r="DA320" i="1"/>
  <c r="M319" i="24" s="1"/>
  <c r="DA11" i="1"/>
  <c r="M10" i="24" s="1"/>
  <c r="DA247" i="1"/>
  <c r="M246" i="24" s="1"/>
  <c r="DA68" i="1"/>
  <c r="M67" i="24" s="1"/>
  <c r="DA113" i="1"/>
  <c r="M112" i="24" s="1"/>
  <c r="DA366" i="1"/>
  <c r="M365" i="24" s="1"/>
  <c r="DA399" i="1"/>
  <c r="M398" i="24" s="1"/>
  <c r="DA20" i="1"/>
  <c r="M19" i="24" s="1"/>
  <c r="DA292" i="1"/>
  <c r="M291" i="24" s="1"/>
  <c r="DA318" i="1"/>
  <c r="M317" i="24" s="1"/>
  <c r="DA315" i="1"/>
  <c r="M314" i="24" s="1"/>
  <c r="DA287" i="1"/>
  <c r="M286" i="24" s="1"/>
  <c r="DA177" i="1"/>
  <c r="M176" i="24" s="1"/>
  <c r="DA171" i="1"/>
  <c r="M170" i="24" s="1"/>
  <c r="DA263" i="1"/>
  <c r="M262" i="24" s="1"/>
  <c r="DA280" i="1"/>
  <c r="M279" i="24" s="1"/>
  <c r="DA227" i="1"/>
  <c r="M226" i="24" s="1"/>
  <c r="DA246" i="1"/>
  <c r="M245" i="24" s="1"/>
  <c r="DA387" i="1"/>
  <c r="M386" i="24" s="1"/>
  <c r="DA119" i="1"/>
  <c r="M118" i="24" s="1"/>
  <c r="DA101" i="1"/>
  <c r="M100" i="24" s="1"/>
  <c r="DA335" i="1"/>
  <c r="M334" i="24" s="1"/>
  <c r="DA116" i="1"/>
  <c r="M115" i="24" s="1"/>
  <c r="DA386" i="1"/>
  <c r="M385" i="24" s="1"/>
  <c r="DA261" i="1"/>
  <c r="M260" i="24" s="1"/>
  <c r="DA245" i="1"/>
  <c r="M244" i="24" s="1"/>
  <c r="DA338" i="1"/>
  <c r="M337" i="24" s="1"/>
  <c r="DA236" i="1"/>
  <c r="M235" i="24" s="1"/>
  <c r="DA311" i="1"/>
  <c r="M310" i="24" s="1"/>
  <c r="DA337" i="1"/>
  <c r="M336" i="24" s="1"/>
  <c r="DA384" i="1"/>
  <c r="M383" i="24" s="1"/>
  <c r="DA114" i="1"/>
  <c r="M113" i="24" s="1"/>
  <c r="DA243" i="1"/>
  <c r="M242" i="24" s="1"/>
  <c r="DA111" i="1"/>
  <c r="M110" i="24" s="1"/>
  <c r="DA129" i="1"/>
  <c r="M128" i="24" s="1"/>
  <c r="DA362" i="1"/>
  <c r="M361" i="24" s="1"/>
  <c r="DA266" i="1" l="1"/>
  <c r="M265" i="24" s="1"/>
  <c r="DA110" i="1"/>
  <c r="M109" i="24" s="1"/>
  <c r="DA307" i="1"/>
  <c r="M306" i="24" s="1"/>
  <c r="DA346" i="1"/>
  <c r="M345" i="24" s="1"/>
  <c r="DA46" i="1"/>
  <c r="M45" i="24" s="1"/>
  <c r="DA355" i="1"/>
  <c r="M354" i="24" s="1"/>
  <c r="DA325" i="1"/>
  <c r="M324" i="24" s="1"/>
  <c r="DA178" i="1"/>
  <c r="M177" i="24" s="1"/>
  <c r="DA402" i="1"/>
  <c r="M401" i="24" s="1"/>
  <c r="DA163" i="1"/>
  <c r="M162" i="24" s="1"/>
  <c r="DA242" i="1"/>
  <c r="M241" i="24" s="1"/>
  <c r="DA294" i="1"/>
  <c r="M293" i="24" s="1"/>
  <c r="DA69" i="1"/>
  <c r="M68" i="24" s="1"/>
  <c r="DA327" i="1"/>
  <c r="M326" i="24" s="1"/>
  <c r="DA82" i="1"/>
  <c r="M81" i="24" s="1"/>
  <c r="DA328" i="1"/>
  <c r="M327" i="24" s="1"/>
  <c r="DA330" i="1"/>
  <c r="M329" i="24" s="1"/>
  <c r="DA306" i="1"/>
  <c r="M305" i="24" s="1"/>
  <c r="DA97" i="1"/>
  <c r="M96" i="24" s="1"/>
  <c r="DA304" i="1"/>
  <c r="M303" i="24" s="1"/>
  <c r="DA301" i="1"/>
  <c r="M300" i="24" s="1"/>
  <c r="DA230" i="1"/>
  <c r="M229" i="24" s="1"/>
  <c r="DA59" i="1"/>
  <c r="M58" i="24" s="1"/>
  <c r="DA234" i="1"/>
  <c r="M233" i="24" s="1"/>
  <c r="DA365" i="1"/>
  <c r="M364" i="24" s="1"/>
  <c r="DA256" i="1"/>
  <c r="M255" i="24" s="1"/>
  <c r="DA345" i="1"/>
  <c r="M344" i="24" s="1"/>
  <c r="DA363" i="1"/>
  <c r="M362" i="24" s="1"/>
  <c r="DA288" i="1"/>
  <c r="M287" i="24" s="1"/>
  <c r="DA259" i="1"/>
  <c r="M258" i="24" s="1"/>
  <c r="DA43" i="1"/>
  <c r="M42" i="24" s="1"/>
  <c r="DA84" i="1"/>
  <c r="M83" i="24" s="1"/>
  <c r="DA235" i="1"/>
  <c r="M234" i="24" s="1"/>
  <c r="DA62" i="1"/>
  <c r="M61" i="24" s="1"/>
  <c r="DA364" i="1"/>
  <c r="M363" i="24" s="1"/>
  <c r="DA166" i="1"/>
  <c r="M165" i="24" s="1"/>
  <c r="DA255" i="1"/>
  <c r="M254" i="24" s="1"/>
  <c r="DA41" i="1"/>
  <c r="M40" i="24" s="1"/>
  <c r="DA353" i="1"/>
  <c r="M352" i="24" s="1"/>
  <c r="DA295" i="1"/>
  <c r="M294" i="24" s="1"/>
  <c r="DA83" i="1"/>
  <c r="M82" i="24" s="1"/>
  <c r="DA22" i="1"/>
  <c r="M21" i="24" s="1"/>
  <c r="DA224" i="1"/>
  <c r="M223" i="24" s="1"/>
  <c r="DA352" i="1"/>
  <c r="M351" i="24" s="1"/>
  <c r="DA127" i="1"/>
  <c r="M126" i="24" s="1"/>
  <c r="DA350" i="1"/>
  <c r="M349" i="24" s="1"/>
  <c r="DA359" i="1"/>
  <c r="M358" i="24" s="1"/>
  <c r="DA64" i="1"/>
  <c r="M63" i="24" s="1"/>
  <c r="DA269" i="1"/>
  <c r="M268" i="24" s="1"/>
  <c r="DA237" i="1"/>
  <c r="M236" i="24" s="1"/>
  <c r="DA70" i="1"/>
  <c r="M69" i="24" s="1"/>
  <c r="DA265" i="1"/>
  <c r="M264" i="24" s="1"/>
  <c r="DA221" i="1"/>
  <c r="M220" i="24" s="1"/>
  <c r="DA174" i="1"/>
  <c r="M173" i="24" s="1"/>
  <c r="DA121" i="1"/>
  <c r="M120" i="24" s="1"/>
  <c r="DA149" i="1"/>
  <c r="M148" i="24" s="1"/>
  <c r="DA131" i="1"/>
  <c r="M130" i="24" s="1"/>
  <c r="DA322" i="1"/>
  <c r="M321" i="24" s="1"/>
  <c r="DA25" i="1"/>
  <c r="M24" i="24" s="1"/>
  <c r="DA398" i="1"/>
  <c r="M397" i="24" s="1"/>
  <c r="DA37" i="1"/>
  <c r="M36" i="24" s="1"/>
  <c r="DA56" i="1"/>
  <c r="M55" i="24" s="1"/>
  <c r="DA158" i="1"/>
  <c r="M157" i="24" s="1"/>
  <c r="DA40" i="1"/>
  <c r="M39" i="24" s="1"/>
  <c r="DA78" i="1"/>
  <c r="M77" i="24" s="1"/>
  <c r="DA60" i="1"/>
  <c r="M59" i="24" s="1"/>
  <c r="DA253" i="1"/>
  <c r="M252" i="24" s="1"/>
  <c r="DA267" i="1"/>
  <c r="M266" i="24" s="1"/>
  <c r="DA213" i="1"/>
  <c r="M212" i="24" s="1"/>
  <c r="DA225" i="1"/>
  <c r="M224" i="24" s="1"/>
  <c r="DA124" i="1"/>
  <c r="M123" i="24" s="1"/>
  <c r="DA181" i="1"/>
  <c r="M180" i="24" s="1"/>
  <c r="DA107" i="1"/>
  <c r="M106" i="24" s="1"/>
  <c r="DA217" i="1"/>
  <c r="M216" i="24" s="1"/>
  <c r="DA55" i="1"/>
  <c r="M54" i="24" s="1"/>
  <c r="DA104" i="1"/>
  <c r="M103" i="24" s="1"/>
  <c r="DA218" i="1"/>
  <c r="M217" i="24" s="1"/>
  <c r="DA228" i="1"/>
  <c r="M227" i="24" s="1"/>
  <c r="DA286" i="1"/>
  <c r="M285" i="24" s="1"/>
  <c r="DA148" i="1"/>
  <c r="M147" i="24" s="1"/>
  <c r="DA403" i="1"/>
  <c r="M402" i="24" s="1"/>
  <c r="DA175" i="1"/>
  <c r="M174" i="24" s="1"/>
  <c r="DA122" i="1"/>
  <c r="M121" i="24" s="1"/>
  <c r="DA233" i="1"/>
  <c r="M232" i="24" s="1"/>
  <c r="DA71" i="1"/>
  <c r="M70" i="24" s="1"/>
  <c r="DA115" i="1"/>
  <c r="M114" i="24" s="1"/>
  <c r="DA21" i="1"/>
  <c r="M20" i="24" s="1"/>
  <c r="DA125" i="1"/>
  <c r="M124" i="24" s="1"/>
  <c r="DA85" i="1"/>
  <c r="M84" i="24" s="1"/>
  <c r="DA176" i="1"/>
  <c r="M175" i="24" s="1"/>
  <c r="DA167" i="1"/>
  <c r="M166" i="24" s="1"/>
  <c r="DA401" i="1"/>
  <c r="M400" i="24" s="1"/>
  <c r="DA291" i="1"/>
  <c r="M290" i="24" s="1"/>
  <c r="DA86" i="1"/>
  <c r="M85" i="24" s="1"/>
  <c r="DA159" i="1"/>
  <c r="M158" i="24" s="1"/>
  <c r="DA164" i="1"/>
  <c r="M163" i="24" s="1"/>
  <c r="DA244" i="1"/>
  <c r="M243" i="24" s="1"/>
  <c r="DA349" i="1"/>
  <c r="M348" i="24" s="1"/>
  <c r="DA219" i="1"/>
  <c r="M218" i="24" s="1"/>
  <c r="DA298" i="1"/>
  <c r="M297" i="24" s="1"/>
  <c r="DA173" i="1"/>
  <c r="M172" i="24" s="1"/>
  <c r="DA249" i="1"/>
  <c r="M248" i="24" s="1"/>
  <c r="DA284" i="1"/>
  <c r="M283" i="24" s="1"/>
  <c r="DA264" i="1"/>
  <c r="M263" i="24" s="1"/>
  <c r="DA240" i="1"/>
  <c r="M239" i="24" s="1"/>
  <c r="DA329" i="1"/>
  <c r="M328" i="24" s="1"/>
  <c r="DA232" i="1"/>
  <c r="M231" i="24" s="1"/>
  <c r="DA204" i="1"/>
  <c r="M203" i="24" s="1"/>
  <c r="DA397" i="1"/>
  <c r="M396" i="24" s="1"/>
  <c r="DA333" i="1"/>
  <c r="M332" i="24" s="1"/>
  <c r="DA42" i="1"/>
  <c r="M41" i="24" s="1"/>
  <c r="DA132" i="1"/>
  <c r="M131" i="24" s="1"/>
  <c r="DA63" i="1"/>
  <c r="M62" i="24" s="1"/>
  <c r="DA182" i="1"/>
  <c r="M181" i="24" s="1"/>
  <c r="DA356" i="1"/>
  <c r="M355" i="24" s="1"/>
  <c r="DA248" i="1"/>
  <c r="M247" i="24" s="1"/>
  <c r="DA128" i="1"/>
  <c r="M127" i="24" s="1"/>
  <c r="DA162" i="1"/>
  <c r="M161" i="24" s="1"/>
  <c r="DA226" i="1"/>
  <c r="M225" i="24" s="1"/>
  <c r="DA351" i="1"/>
  <c r="M350" i="24" s="1"/>
  <c r="DA214" i="1"/>
  <c r="M213" i="24" s="1"/>
  <c r="DA61" i="1"/>
  <c r="M60" i="24" s="1"/>
  <c r="DA196" i="1"/>
  <c r="M195" i="24" s="1"/>
  <c r="DA220" i="1"/>
  <c r="M219" i="24" s="1"/>
  <c r="DA254" i="1"/>
  <c r="M253" i="24" s="1"/>
  <c r="DA172" i="1"/>
  <c r="M171" i="24" s="1"/>
  <c r="DA360" i="1"/>
  <c r="M359" i="24" s="1"/>
  <c r="DA354" i="1"/>
  <c r="M353" i="24" s="1"/>
  <c r="DA231" i="1"/>
  <c r="M230" i="24" s="1"/>
  <c r="DA252" i="1"/>
  <c r="M251" i="24" s="1"/>
  <c r="DA212" i="1"/>
  <c r="M211" i="24" s="1"/>
  <c r="DA305" i="1"/>
  <c r="M304" i="24" s="1"/>
  <c r="DA283" i="1"/>
  <c r="M282" i="24" s="1"/>
  <c r="DA250" i="1"/>
  <c r="M249" i="24" s="1"/>
  <c r="DA126" i="1"/>
  <c r="M125" i="24" s="1"/>
  <c r="DA229" i="1"/>
  <c r="M228" i="24" s="1"/>
  <c r="DA169" i="1"/>
  <c r="M168" i="24" s="1"/>
  <c r="DA400" i="1"/>
  <c r="M399" i="24" s="1"/>
  <c r="DA348" i="1"/>
  <c r="M347" i="24" s="1"/>
  <c r="DA257" i="1"/>
  <c r="M256" i="24" s="1"/>
  <c r="DA299" i="1"/>
  <c r="M298" i="24" s="1"/>
  <c r="DA268" i="1"/>
  <c r="M267" i="24" s="1"/>
  <c r="DA222" i="1"/>
  <c r="M221" i="24" s="1"/>
  <c r="DA117" i="1"/>
  <c r="M116" i="24" s="1"/>
  <c r="DA396" i="1"/>
  <c r="M395" i="24" s="1"/>
  <c r="DA52" i="1"/>
  <c r="M51" i="24" s="1"/>
  <c r="DA160" i="1"/>
  <c r="M159" i="24" s="1"/>
  <c r="DA347" i="1"/>
  <c r="M346" i="24" s="1"/>
  <c r="DA130" i="1"/>
  <c r="M129" i="24" s="1"/>
  <c r="DA323" i="1"/>
  <c r="M322" i="24" s="1"/>
  <c r="DA216" i="1"/>
  <c r="M215" i="24" s="1"/>
  <c r="DA297" i="1"/>
  <c r="M296" i="24" s="1"/>
  <c r="DA215" i="1"/>
  <c r="M214" i="24" s="1"/>
  <c r="DA357" i="1"/>
  <c r="M356" i="24" s="1"/>
  <c r="DA293" i="1"/>
  <c r="M292" i="24" s="1"/>
  <c r="DA120" i="1"/>
  <c r="M119" i="24" s="1"/>
  <c r="DA45" i="1"/>
  <c r="M44" i="24" s="1"/>
  <c r="DA285" i="1"/>
  <c r="M284" i="24" s="1"/>
  <c r="DA331" i="1"/>
  <c r="M330" i="24" s="1"/>
  <c r="DA123" i="1"/>
  <c r="M122" i="24" s="1"/>
  <c r="DA168" i="1"/>
  <c r="M167" i="24" s="1"/>
  <c r="DA102" i="1"/>
  <c r="M101" i="24" s="1"/>
  <c r="DA296" i="1"/>
  <c r="M295" i="24" s="1"/>
  <c r="DA57" i="1"/>
  <c r="M56" i="24" s="1"/>
  <c r="DA24" i="1"/>
  <c r="M23" i="24" s="1"/>
  <c r="DA108" i="1"/>
  <c r="M107" i="24" s="1"/>
  <c r="DA185" i="1"/>
  <c r="M184" i="24" s="1"/>
  <c r="DA44" i="1"/>
  <c r="M43" i="24" s="1"/>
  <c r="DA39" i="1"/>
  <c r="DA118" i="1"/>
  <c r="M117" i="24" s="1"/>
  <c r="DA112" i="1"/>
  <c r="M111" i="24" s="1"/>
  <c r="DA19" i="1"/>
  <c r="M18" i="24" s="1"/>
  <c r="DA161" i="1"/>
  <c r="M160" i="24" s="1"/>
  <c r="M38" i="24" l="1"/>
  <c r="D50" i="12"/>
  <c r="E50" i="12" s="1"/>
  <c r="DA9" i="1" l="1"/>
  <c r="DA409" i="1" l="1"/>
  <c r="M8" i="24"/>
  <c r="DA10" i="1" l="1"/>
  <c r="DA18" i="1"/>
  <c r="M17" i="24" l="1"/>
  <c r="DA407" i="1"/>
  <c r="M9" i="24"/>
  <c r="DA408" i="1"/>
  <c r="DA404" i="1"/>
  <c r="M410" i="24" s="1"/>
  <c r="M403" i="24" l="1"/>
  <c r="DA416" i="1"/>
  <c r="DA410" i="1"/>
  <c r="BA338" i="4" l="1"/>
  <c r="AZ338" i="4"/>
  <c r="BA165" i="4"/>
  <c r="AZ165" i="4"/>
  <c r="G165" i="4"/>
  <c r="G338" i="4"/>
  <c r="BB338" i="4" l="1"/>
  <c r="I412" i="4"/>
  <c r="I414" i="4" s="1"/>
  <c r="I406" i="4"/>
  <c r="C6" i="13" s="1"/>
  <c r="D53" i="12" s="1"/>
  <c r="M412" i="4"/>
  <c r="M414" i="4" s="1"/>
  <c r="M406" i="4"/>
  <c r="D7" i="13" s="1"/>
  <c r="E54" i="12" s="1"/>
  <c r="H54" i="12" s="1"/>
  <c r="S406" i="4"/>
  <c r="D9" i="13" s="1"/>
  <c r="E56" i="12" s="1"/>
  <c r="H56" i="12" s="1"/>
  <c r="S412" i="4"/>
  <c r="S414" i="4" s="1"/>
  <c r="W406" i="4"/>
  <c r="C11" i="13" s="1"/>
  <c r="D58" i="12" s="1"/>
  <c r="W412" i="4"/>
  <c r="W414" i="4" s="1"/>
  <c r="Y412" i="4"/>
  <c r="Y414" i="4" s="1"/>
  <c r="Y406" i="4"/>
  <c r="D12" i="13" s="1"/>
  <c r="E59" i="12" s="1"/>
  <c r="H59" i="12" s="1"/>
  <c r="AD406" i="4"/>
  <c r="D16" i="13" s="1"/>
  <c r="E63" i="12" s="1"/>
  <c r="H63" i="12" s="1"/>
  <c r="AD412" i="4"/>
  <c r="AD414" i="4" s="1"/>
  <c r="AI412" i="4"/>
  <c r="AI414" i="4" s="1"/>
  <c r="AI406" i="4"/>
  <c r="AO406" i="4"/>
  <c r="AO412" i="4"/>
  <c r="AO414" i="4" s="1"/>
  <c r="AR412" i="4"/>
  <c r="AR414" i="4" s="1"/>
  <c r="AR406" i="4"/>
  <c r="O412" i="4"/>
  <c r="O414" i="4" s="1"/>
  <c r="O406" i="4"/>
  <c r="C8" i="13" s="1"/>
  <c r="D55" i="12" s="1"/>
  <c r="X406" i="4"/>
  <c r="D11" i="13" s="1"/>
  <c r="E58" i="12" s="1"/>
  <c r="H58" i="12" s="1"/>
  <c r="X412" i="4"/>
  <c r="X414" i="4" s="1"/>
  <c r="AA406" i="4"/>
  <c r="D13" i="13" s="1"/>
  <c r="E60" i="12" s="1"/>
  <c r="H60" i="12" s="1"/>
  <c r="AA412" i="4"/>
  <c r="AA414" i="4" s="1"/>
  <c r="AZ41" i="4"/>
  <c r="AE412" i="4"/>
  <c r="AE414" i="4" s="1"/>
  <c r="AE406" i="4"/>
  <c r="BB165" i="4"/>
  <c r="AK406" i="4"/>
  <c r="AK412" i="4"/>
  <c r="AK414" i="4" s="1"/>
  <c r="AU406" i="4"/>
  <c r="AU412" i="4"/>
  <c r="AU414" i="4" s="1"/>
  <c r="AW406" i="4"/>
  <c r="AW412" i="4"/>
  <c r="AW414" i="4" s="1"/>
  <c r="P412" i="4"/>
  <c r="P414" i="4" s="1"/>
  <c r="P406" i="4"/>
  <c r="D8" i="13" s="1"/>
  <c r="E55" i="12" s="1"/>
  <c r="H55" i="12" s="1"/>
  <c r="AB406" i="4"/>
  <c r="D14" i="13" s="1"/>
  <c r="E61" i="12" s="1"/>
  <c r="H61" i="12" s="1"/>
  <c r="AB412" i="4"/>
  <c r="AB414" i="4" s="1"/>
  <c r="BA41" i="4"/>
  <c r="AF406" i="4"/>
  <c r="AF412" i="4"/>
  <c r="AF414" i="4" s="1"/>
  <c r="AL406" i="4"/>
  <c r="AL412" i="4"/>
  <c r="AL414" i="4" s="1"/>
  <c r="AT406" i="4"/>
  <c r="AT412" i="4"/>
  <c r="AT414" i="4" s="1"/>
  <c r="AX412" i="4"/>
  <c r="AX414" i="4" s="1"/>
  <c r="AX406" i="4"/>
  <c r="G41" i="4"/>
  <c r="J406" i="4"/>
  <c r="D6" i="13" s="1"/>
  <c r="J412" i="4"/>
  <c r="J414" i="4" s="1"/>
  <c r="L412" i="4"/>
  <c r="L414" i="4" s="1"/>
  <c r="L406" i="4"/>
  <c r="C7" i="13" s="1"/>
  <c r="D54" i="12" s="1"/>
  <c r="R412" i="4"/>
  <c r="R414" i="4" s="1"/>
  <c r="R406" i="4"/>
  <c r="C9" i="13" s="1"/>
  <c r="D56" i="12" s="1"/>
  <c r="U406" i="4"/>
  <c r="D10" i="13" s="1"/>
  <c r="E57" i="12" s="1"/>
  <c r="H57" i="12" s="1"/>
  <c r="U412" i="4"/>
  <c r="U414" i="4" s="1"/>
  <c r="AC412" i="4"/>
  <c r="AC414" i="4" s="1"/>
  <c r="AC406" i="4"/>
  <c r="D15" i="13" s="1"/>
  <c r="E62" i="12" s="1"/>
  <c r="H62" i="12" s="1"/>
  <c r="AH412" i="4"/>
  <c r="AH414" i="4" s="1"/>
  <c r="AH406" i="4"/>
  <c r="AN412" i="4"/>
  <c r="AN414" i="4" s="1"/>
  <c r="AN406" i="4"/>
  <c r="AQ406" i="4"/>
  <c r="AQ412" i="4"/>
  <c r="AQ414" i="4" s="1"/>
  <c r="AJ406" i="4" l="1"/>
  <c r="AS406" i="4"/>
  <c r="AP406" i="4"/>
  <c r="AV406" i="4"/>
  <c r="BA412" i="4"/>
  <c r="BA414" i="4" s="1"/>
  <c r="BA406" i="4"/>
  <c r="AG406" i="4"/>
  <c r="E53" i="12"/>
  <c r="D17" i="13"/>
  <c r="G412" i="4"/>
  <c r="G414" i="4" s="1"/>
  <c r="G406" i="4"/>
  <c r="AM406" i="4"/>
  <c r="BB41" i="4"/>
  <c r="BB412" i="4" s="1"/>
  <c r="BB414" i="4" s="1"/>
  <c r="AZ412" i="4"/>
  <c r="AZ414" i="4" s="1"/>
  <c r="AZ406" i="4"/>
  <c r="CN403" i="1"/>
  <c r="CN401" i="1"/>
  <c r="CN400" i="1"/>
  <c r="CN399" i="1"/>
  <c r="CN398" i="1"/>
  <c r="CN397" i="1"/>
  <c r="CN396" i="1"/>
  <c r="CN395" i="1"/>
  <c r="CN394" i="1"/>
  <c r="CN393" i="1"/>
  <c r="CN392" i="1"/>
  <c r="CN391" i="1"/>
  <c r="CN390" i="1"/>
  <c r="CN389" i="1"/>
  <c r="CN388" i="1"/>
  <c r="CN387" i="1"/>
  <c r="CN386" i="1"/>
  <c r="CN385" i="1"/>
  <c r="CN384" i="1"/>
  <c r="CN383" i="1"/>
  <c r="CN382" i="1"/>
  <c r="CN381" i="1"/>
  <c r="CN380" i="1"/>
  <c r="CN379" i="1"/>
  <c r="CN378" i="1"/>
  <c r="CN377" i="1"/>
  <c r="CN376" i="1"/>
  <c r="CN375" i="1"/>
  <c r="CN374" i="1"/>
  <c r="CN373" i="1"/>
  <c r="CN372" i="1"/>
  <c r="CN371" i="1"/>
  <c r="CN370" i="1"/>
  <c r="CN369" i="1"/>
  <c r="CN368" i="1"/>
  <c r="CN367" i="1"/>
  <c r="CN366" i="1"/>
  <c r="CN365" i="1"/>
  <c r="CN364" i="1"/>
  <c r="CN363" i="1"/>
  <c r="CN362" i="1"/>
  <c r="CN361" i="1"/>
  <c r="CN360" i="1"/>
  <c r="CN359" i="1"/>
  <c r="CN358" i="1"/>
  <c r="CN357" i="1"/>
  <c r="CN356" i="1"/>
  <c r="CN355" i="1"/>
  <c r="CN354" i="1"/>
  <c r="CN353" i="1"/>
  <c r="CN352" i="1"/>
  <c r="CN351" i="1"/>
  <c r="CN350" i="1"/>
  <c r="CN349" i="1"/>
  <c r="CN348" i="1"/>
  <c r="CN347" i="1"/>
  <c r="CN346" i="1"/>
  <c r="CN345" i="1"/>
  <c r="CN344" i="1"/>
  <c r="CN343" i="1"/>
  <c r="CN342" i="1"/>
  <c r="CN341" i="1"/>
  <c r="CN340" i="1"/>
  <c r="CN339" i="1"/>
  <c r="CN338" i="1"/>
  <c r="CN337" i="1"/>
  <c r="CN336" i="1"/>
  <c r="CN335" i="1"/>
  <c r="CN334" i="1"/>
  <c r="CN333" i="1"/>
  <c r="CN332" i="1"/>
  <c r="CN331" i="1"/>
  <c r="CN330" i="1"/>
  <c r="CN329" i="1"/>
  <c r="CN328" i="1"/>
  <c r="CN327" i="1"/>
  <c r="CN326" i="1"/>
  <c r="CN325" i="1"/>
  <c r="CN324" i="1"/>
  <c r="CN323" i="1"/>
  <c r="CN322" i="1"/>
  <c r="CN321" i="1"/>
  <c r="CN320" i="1"/>
  <c r="CN319" i="1"/>
  <c r="CN318" i="1"/>
  <c r="CN317" i="1"/>
  <c r="CN316" i="1"/>
  <c r="CN315" i="1"/>
  <c r="CN314" i="1"/>
  <c r="CN313" i="1"/>
  <c r="CN312" i="1"/>
  <c r="CN311" i="1"/>
  <c r="CN310" i="1"/>
  <c r="CN309" i="1"/>
  <c r="CN308" i="1"/>
  <c r="CN307" i="1"/>
  <c r="CN306" i="1"/>
  <c r="CN305" i="1"/>
  <c r="CN304" i="1"/>
  <c r="CN303" i="1"/>
  <c r="CN302" i="1"/>
  <c r="CN301" i="1"/>
  <c r="CN300" i="1"/>
  <c r="CN299" i="1"/>
  <c r="CN298" i="1"/>
  <c r="CN297" i="1"/>
  <c r="CN296" i="1"/>
  <c r="CN295" i="1"/>
  <c r="CN294" i="1"/>
  <c r="CN293" i="1"/>
  <c r="CN292" i="1"/>
  <c r="CN291" i="1"/>
  <c r="CN290" i="1"/>
  <c r="CN289" i="1"/>
  <c r="CN288" i="1"/>
  <c r="CN287" i="1"/>
  <c r="CN286" i="1"/>
  <c r="CN285" i="1"/>
  <c r="CN284" i="1"/>
  <c r="CN283" i="1"/>
  <c r="CN282" i="1"/>
  <c r="CN281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7" i="1"/>
  <c r="CN266" i="1"/>
  <c r="CN265" i="1"/>
  <c r="CN264" i="1"/>
  <c r="CN263" i="1"/>
  <c r="CN262" i="1"/>
  <c r="CN261" i="1"/>
  <c r="CN260" i="1"/>
  <c r="CN259" i="1"/>
  <c r="CN258" i="1"/>
  <c r="CN257" i="1"/>
  <c r="CN256" i="1"/>
  <c r="CN255" i="1"/>
  <c r="CN254" i="1"/>
  <c r="CN253" i="1"/>
  <c r="CN252" i="1"/>
  <c r="CN251" i="1"/>
  <c r="CN250" i="1"/>
  <c r="CN249" i="1"/>
  <c r="CN248" i="1"/>
  <c r="CN247" i="1"/>
  <c r="CN246" i="1"/>
  <c r="CN245" i="1"/>
  <c r="CN244" i="1"/>
  <c r="CN243" i="1"/>
  <c r="CN242" i="1"/>
  <c r="CN241" i="1"/>
  <c r="CN240" i="1"/>
  <c r="CN239" i="1"/>
  <c r="CN238" i="1"/>
  <c r="CN237" i="1"/>
  <c r="CN236" i="1"/>
  <c r="CN235" i="1"/>
  <c r="CN234" i="1"/>
  <c r="CN233" i="1"/>
  <c r="CN232" i="1"/>
  <c r="CN231" i="1"/>
  <c r="CN230" i="1"/>
  <c r="CN229" i="1"/>
  <c r="CN228" i="1"/>
  <c r="CN227" i="1"/>
  <c r="CN226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N213" i="1"/>
  <c r="CN212" i="1"/>
  <c r="CN211" i="1"/>
  <c r="CN210" i="1"/>
  <c r="CN209" i="1"/>
  <c r="CN208" i="1"/>
  <c r="CN207" i="1"/>
  <c r="CN206" i="1"/>
  <c r="CN205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2" i="1"/>
  <c r="CN191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5" i="1"/>
  <c r="CN174" i="1"/>
  <c r="CN173" i="1"/>
  <c r="CN172" i="1"/>
  <c r="CN171" i="1"/>
  <c r="CN170" i="1"/>
  <c r="CN169" i="1"/>
  <c r="CN168" i="1"/>
  <c r="CN167" i="1"/>
  <c r="CN166" i="1"/>
  <c r="CN165" i="1"/>
  <c r="CN164" i="1"/>
  <c r="CN163" i="1"/>
  <c r="CN162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8" i="1"/>
  <c r="CN147" i="1"/>
  <c r="CN146" i="1"/>
  <c r="CN145" i="1"/>
  <c r="CN144" i="1"/>
  <c r="CN143" i="1"/>
  <c r="CN142" i="1"/>
  <c r="CN141" i="1"/>
  <c r="CN140" i="1"/>
  <c r="CN139" i="1"/>
  <c r="CN138" i="1"/>
  <c r="CN137" i="1"/>
  <c r="CN136" i="1"/>
  <c r="CN135" i="1"/>
  <c r="CN134" i="1"/>
  <c r="CN133" i="1"/>
  <c r="CN132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8" i="1"/>
  <c r="CN117" i="1"/>
  <c r="CN116" i="1"/>
  <c r="CN115" i="1"/>
  <c r="CN114" i="1"/>
  <c r="CN113" i="1"/>
  <c r="CN112" i="1"/>
  <c r="CN111" i="1"/>
  <c r="CN110" i="1"/>
  <c r="CN109" i="1"/>
  <c r="CN107" i="1"/>
  <c r="CN106" i="1"/>
  <c r="CN105" i="1"/>
  <c r="CN104" i="1"/>
  <c r="CN103" i="1"/>
  <c r="CN102" i="1"/>
  <c r="CN101" i="1"/>
  <c r="CN100" i="1"/>
  <c r="CN99" i="1"/>
  <c r="CN98" i="1"/>
  <c r="CN97" i="1"/>
  <c r="CN96" i="1"/>
  <c r="CN95" i="1"/>
  <c r="CN94" i="1"/>
  <c r="CN93" i="1"/>
  <c r="CN92" i="1"/>
  <c r="CN91" i="1"/>
  <c r="CN90" i="1"/>
  <c r="CN89" i="1"/>
  <c r="CN88" i="1"/>
  <c r="CN87" i="1"/>
  <c r="CN86" i="1"/>
  <c r="CN85" i="1"/>
  <c r="CN84" i="1"/>
  <c r="CN83" i="1"/>
  <c r="CN82" i="1"/>
  <c r="CN81" i="1"/>
  <c r="CN80" i="1"/>
  <c r="CN79" i="1"/>
  <c r="CN78" i="1"/>
  <c r="CN77" i="1"/>
  <c r="CN76" i="1"/>
  <c r="CN75" i="1"/>
  <c r="CN74" i="1"/>
  <c r="CN73" i="1"/>
  <c r="CN72" i="1"/>
  <c r="CN71" i="1"/>
  <c r="CN70" i="1"/>
  <c r="CN69" i="1"/>
  <c r="CN68" i="1"/>
  <c r="CN67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7" i="1"/>
  <c r="CN46" i="1"/>
  <c r="CN45" i="1"/>
  <c r="CN44" i="1"/>
  <c r="CN43" i="1"/>
  <c r="CN42" i="1"/>
  <c r="CN41" i="1"/>
  <c r="CN40" i="1"/>
  <c r="C39" i="12"/>
  <c r="CN38" i="1"/>
  <c r="CN36" i="1"/>
  <c r="CN34" i="1"/>
  <c r="CN32" i="1"/>
  <c r="CN30" i="1"/>
  <c r="CN28" i="1"/>
  <c r="CN26" i="1"/>
  <c r="CN24" i="1"/>
  <c r="CN23" i="1"/>
  <c r="CN22" i="1"/>
  <c r="CN21" i="1"/>
  <c r="CN20" i="1"/>
  <c r="CN19" i="1"/>
  <c r="CL407" i="1"/>
  <c r="CN17" i="1"/>
  <c r="CN15" i="1"/>
  <c r="CN13" i="1"/>
  <c r="CN11" i="1"/>
  <c r="CL408" i="1"/>
  <c r="J39" i="3" s="1"/>
  <c r="CO403" i="1"/>
  <c r="CO402" i="1"/>
  <c r="CO401" i="1"/>
  <c r="CO400" i="1"/>
  <c r="CO399" i="1"/>
  <c r="CO398" i="1"/>
  <c r="CO397" i="1"/>
  <c r="CO396" i="1"/>
  <c r="CO395" i="1"/>
  <c r="CO394" i="1"/>
  <c r="CO393" i="1"/>
  <c r="CO392" i="1"/>
  <c r="CO391" i="1"/>
  <c r="CO390" i="1"/>
  <c r="CO389" i="1"/>
  <c r="CO388" i="1"/>
  <c r="CO387" i="1"/>
  <c r="CO386" i="1"/>
  <c r="CO385" i="1"/>
  <c r="CO384" i="1"/>
  <c r="CO383" i="1"/>
  <c r="CO382" i="1"/>
  <c r="CO381" i="1"/>
  <c r="CO380" i="1"/>
  <c r="CO379" i="1"/>
  <c r="CO378" i="1"/>
  <c r="CO377" i="1"/>
  <c r="CO376" i="1"/>
  <c r="CO375" i="1"/>
  <c r="CO374" i="1"/>
  <c r="CO373" i="1"/>
  <c r="CO372" i="1"/>
  <c r="CO371" i="1"/>
  <c r="CO370" i="1"/>
  <c r="CO369" i="1"/>
  <c r="CO368" i="1"/>
  <c r="CO367" i="1"/>
  <c r="CO366" i="1"/>
  <c r="CO365" i="1"/>
  <c r="CO364" i="1"/>
  <c r="CO363" i="1"/>
  <c r="CO362" i="1"/>
  <c r="CO361" i="1"/>
  <c r="CO360" i="1"/>
  <c r="CO359" i="1"/>
  <c r="CO358" i="1"/>
  <c r="CO357" i="1"/>
  <c r="CO356" i="1"/>
  <c r="CO355" i="1"/>
  <c r="CO354" i="1"/>
  <c r="CO353" i="1"/>
  <c r="CO352" i="1"/>
  <c r="CO351" i="1"/>
  <c r="CO350" i="1"/>
  <c r="CO349" i="1"/>
  <c r="CO348" i="1"/>
  <c r="CO347" i="1"/>
  <c r="CO346" i="1"/>
  <c r="CO345" i="1"/>
  <c r="CO344" i="1"/>
  <c r="CO343" i="1"/>
  <c r="CO342" i="1"/>
  <c r="CO341" i="1"/>
  <c r="CO340" i="1"/>
  <c r="CO339" i="1"/>
  <c r="CO338" i="1"/>
  <c r="CO337" i="1"/>
  <c r="CO336" i="1"/>
  <c r="CO335" i="1"/>
  <c r="CO334" i="1"/>
  <c r="CO333" i="1"/>
  <c r="CO332" i="1"/>
  <c r="CO331" i="1"/>
  <c r="CO330" i="1"/>
  <c r="CO329" i="1"/>
  <c r="CO328" i="1"/>
  <c r="CO327" i="1"/>
  <c r="CO326" i="1"/>
  <c r="CO325" i="1"/>
  <c r="CO324" i="1"/>
  <c r="CO323" i="1"/>
  <c r="CO322" i="1"/>
  <c r="CO321" i="1"/>
  <c r="CO320" i="1"/>
  <c r="CO319" i="1"/>
  <c r="CO318" i="1"/>
  <c r="CO317" i="1"/>
  <c r="CO316" i="1"/>
  <c r="CO315" i="1"/>
  <c r="CO314" i="1"/>
  <c r="CO313" i="1"/>
  <c r="CO312" i="1"/>
  <c r="CO311" i="1"/>
  <c r="CO310" i="1"/>
  <c r="CO309" i="1"/>
  <c r="CO308" i="1"/>
  <c r="CO307" i="1"/>
  <c r="CO306" i="1"/>
  <c r="CO305" i="1"/>
  <c r="CO304" i="1"/>
  <c r="CO303" i="1"/>
  <c r="CO302" i="1"/>
  <c r="CO301" i="1"/>
  <c r="CO300" i="1"/>
  <c r="CO299" i="1"/>
  <c r="CO298" i="1"/>
  <c r="CO297" i="1"/>
  <c r="CO296" i="1"/>
  <c r="CO295" i="1"/>
  <c r="CO294" i="1"/>
  <c r="CO293" i="1"/>
  <c r="CO292" i="1"/>
  <c r="CO291" i="1"/>
  <c r="CO290" i="1"/>
  <c r="CO289" i="1"/>
  <c r="CO288" i="1"/>
  <c r="CO287" i="1"/>
  <c r="CO286" i="1"/>
  <c r="CO285" i="1"/>
  <c r="CO284" i="1"/>
  <c r="CO283" i="1"/>
  <c r="CO282" i="1"/>
  <c r="CO281" i="1"/>
  <c r="CO280" i="1"/>
  <c r="CO279" i="1"/>
  <c r="CO278" i="1"/>
  <c r="CO277" i="1"/>
  <c r="CO276" i="1"/>
  <c r="CO275" i="1"/>
  <c r="CO274" i="1"/>
  <c r="CO273" i="1"/>
  <c r="CO272" i="1"/>
  <c r="CO271" i="1"/>
  <c r="CO270" i="1"/>
  <c r="CO269" i="1"/>
  <c r="CO268" i="1"/>
  <c r="CO267" i="1"/>
  <c r="CO266" i="1"/>
  <c r="CO265" i="1"/>
  <c r="CO264" i="1"/>
  <c r="CO263" i="1"/>
  <c r="CO262" i="1"/>
  <c r="CO261" i="1"/>
  <c r="CO260" i="1"/>
  <c r="CO259" i="1"/>
  <c r="CO258" i="1"/>
  <c r="CO257" i="1"/>
  <c r="CO256" i="1"/>
  <c r="CO255" i="1"/>
  <c r="CO254" i="1"/>
  <c r="CO253" i="1"/>
  <c r="CO252" i="1"/>
  <c r="CO251" i="1"/>
  <c r="CO250" i="1"/>
  <c r="CO249" i="1"/>
  <c r="CO248" i="1"/>
  <c r="CO247" i="1"/>
  <c r="CO246" i="1"/>
  <c r="CO245" i="1"/>
  <c r="CO244" i="1"/>
  <c r="CO243" i="1"/>
  <c r="CO242" i="1"/>
  <c r="CO241" i="1"/>
  <c r="CO240" i="1"/>
  <c r="CO239" i="1"/>
  <c r="CO238" i="1"/>
  <c r="CO237" i="1"/>
  <c r="CO236" i="1"/>
  <c r="CO235" i="1"/>
  <c r="CO234" i="1"/>
  <c r="CO233" i="1"/>
  <c r="CO232" i="1"/>
  <c r="CO231" i="1"/>
  <c r="CO230" i="1"/>
  <c r="CO229" i="1"/>
  <c r="CO228" i="1"/>
  <c r="CO227" i="1"/>
  <c r="CO226" i="1"/>
  <c r="CO225" i="1"/>
  <c r="CO224" i="1"/>
  <c r="CO223" i="1"/>
  <c r="CO222" i="1"/>
  <c r="CO221" i="1"/>
  <c r="CO220" i="1"/>
  <c r="CO219" i="1"/>
  <c r="CO218" i="1"/>
  <c r="CO217" i="1"/>
  <c r="CO216" i="1"/>
  <c r="CO215" i="1"/>
  <c r="CO214" i="1"/>
  <c r="CO213" i="1"/>
  <c r="CO212" i="1"/>
  <c r="CO211" i="1"/>
  <c r="CO210" i="1"/>
  <c r="CO209" i="1"/>
  <c r="CO208" i="1"/>
  <c r="CO207" i="1"/>
  <c r="CO206" i="1"/>
  <c r="CO205" i="1"/>
  <c r="CO204" i="1"/>
  <c r="CO203" i="1"/>
  <c r="CO202" i="1"/>
  <c r="CO201" i="1"/>
  <c r="CO200" i="1"/>
  <c r="CO199" i="1"/>
  <c r="CO198" i="1"/>
  <c r="CO197" i="1"/>
  <c r="CO196" i="1"/>
  <c r="CO195" i="1"/>
  <c r="CO194" i="1"/>
  <c r="CO193" i="1"/>
  <c r="CO192" i="1"/>
  <c r="CO191" i="1"/>
  <c r="CO190" i="1"/>
  <c r="CO189" i="1"/>
  <c r="CO188" i="1"/>
  <c r="CO187" i="1"/>
  <c r="CO186" i="1"/>
  <c r="CO185" i="1"/>
  <c r="CO184" i="1"/>
  <c r="CO183" i="1"/>
  <c r="CO182" i="1"/>
  <c r="CO181" i="1"/>
  <c r="CO180" i="1"/>
  <c r="CO179" i="1"/>
  <c r="CO178" i="1"/>
  <c r="CO177" i="1"/>
  <c r="CO176" i="1"/>
  <c r="CO175" i="1"/>
  <c r="CO174" i="1"/>
  <c r="CO173" i="1"/>
  <c r="CO172" i="1"/>
  <c r="CO171" i="1"/>
  <c r="CO170" i="1"/>
  <c r="CO169" i="1"/>
  <c r="CO168" i="1"/>
  <c r="CO167" i="1"/>
  <c r="CO166" i="1"/>
  <c r="CO165" i="1"/>
  <c r="CO164" i="1"/>
  <c r="CO163" i="1"/>
  <c r="CO162" i="1"/>
  <c r="CO161" i="1"/>
  <c r="CO160" i="1"/>
  <c r="CO159" i="1"/>
  <c r="CO158" i="1"/>
  <c r="CO157" i="1"/>
  <c r="CO156" i="1"/>
  <c r="CO155" i="1"/>
  <c r="CO154" i="1"/>
  <c r="CO153" i="1"/>
  <c r="CO152" i="1"/>
  <c r="CO151" i="1"/>
  <c r="CO150" i="1"/>
  <c r="CO149" i="1"/>
  <c r="CO148" i="1"/>
  <c r="CO147" i="1"/>
  <c r="CO146" i="1"/>
  <c r="CO145" i="1"/>
  <c r="CO144" i="1"/>
  <c r="CO143" i="1"/>
  <c r="CO142" i="1"/>
  <c r="CO141" i="1"/>
  <c r="CO140" i="1"/>
  <c r="CO139" i="1"/>
  <c r="CO138" i="1"/>
  <c r="CO137" i="1"/>
  <c r="CO136" i="1"/>
  <c r="CO135" i="1"/>
  <c r="CO134" i="1"/>
  <c r="CO133" i="1"/>
  <c r="CO132" i="1"/>
  <c r="CO131" i="1"/>
  <c r="CO130" i="1"/>
  <c r="CO129" i="1"/>
  <c r="CO128" i="1"/>
  <c r="CO127" i="1"/>
  <c r="CO126" i="1"/>
  <c r="CO125" i="1"/>
  <c r="CO124" i="1"/>
  <c r="CO123" i="1"/>
  <c r="CO122" i="1"/>
  <c r="CO121" i="1"/>
  <c r="CO120" i="1"/>
  <c r="CO119" i="1"/>
  <c r="CO118" i="1"/>
  <c r="CO117" i="1"/>
  <c r="CO116" i="1"/>
  <c r="CO115" i="1"/>
  <c r="CO114" i="1"/>
  <c r="CO113" i="1"/>
  <c r="CO112" i="1"/>
  <c r="CO111" i="1"/>
  <c r="CO110" i="1"/>
  <c r="CO109" i="1"/>
  <c r="CO108" i="1"/>
  <c r="CO107" i="1"/>
  <c r="CO106" i="1"/>
  <c r="CO105" i="1"/>
  <c r="CO104" i="1"/>
  <c r="CO103" i="1"/>
  <c r="CO102" i="1"/>
  <c r="CO101" i="1"/>
  <c r="CO100" i="1"/>
  <c r="CO99" i="1"/>
  <c r="CO98" i="1"/>
  <c r="CO97" i="1"/>
  <c r="CO96" i="1"/>
  <c r="CO95" i="1"/>
  <c r="CO94" i="1"/>
  <c r="CO93" i="1"/>
  <c r="CO92" i="1"/>
  <c r="CO91" i="1"/>
  <c r="CO90" i="1"/>
  <c r="CO89" i="1"/>
  <c r="CO88" i="1"/>
  <c r="CO87" i="1"/>
  <c r="CO86" i="1"/>
  <c r="CO85" i="1"/>
  <c r="CO84" i="1"/>
  <c r="CO83" i="1"/>
  <c r="CO82" i="1"/>
  <c r="CO81" i="1"/>
  <c r="CO80" i="1"/>
  <c r="CO79" i="1"/>
  <c r="CO78" i="1"/>
  <c r="CO77" i="1"/>
  <c r="CO76" i="1"/>
  <c r="CO75" i="1"/>
  <c r="CO74" i="1"/>
  <c r="CO73" i="1"/>
  <c r="CO72" i="1"/>
  <c r="CO71" i="1"/>
  <c r="CO70" i="1"/>
  <c r="CO69" i="1"/>
  <c r="CO68" i="1"/>
  <c r="CO67" i="1"/>
  <c r="CO66" i="1"/>
  <c r="CO65" i="1"/>
  <c r="CO64" i="1"/>
  <c r="CO63" i="1"/>
  <c r="CO62" i="1"/>
  <c r="CO61" i="1"/>
  <c r="CO60" i="1"/>
  <c r="CO59" i="1"/>
  <c r="CO58" i="1"/>
  <c r="CO57" i="1"/>
  <c r="CO56" i="1"/>
  <c r="CO55" i="1"/>
  <c r="CO54" i="1"/>
  <c r="CO53" i="1"/>
  <c r="CO52" i="1"/>
  <c r="CO51" i="1"/>
  <c r="CO50" i="1"/>
  <c r="CO49" i="1"/>
  <c r="CO48" i="1"/>
  <c r="CO47" i="1"/>
  <c r="CO46" i="1"/>
  <c r="CO45" i="1"/>
  <c r="CO44" i="1"/>
  <c r="CO43" i="1"/>
  <c r="CO42" i="1"/>
  <c r="CO41" i="1"/>
  <c r="CO40" i="1"/>
  <c r="CO38" i="1"/>
  <c r="CO37" i="1"/>
  <c r="CO36" i="1"/>
  <c r="CO35" i="1"/>
  <c r="CO34" i="1"/>
  <c r="CO33" i="1"/>
  <c r="CO32" i="1"/>
  <c r="CO31" i="1"/>
  <c r="CO30" i="1"/>
  <c r="CO29" i="1"/>
  <c r="CO28" i="1"/>
  <c r="CO27" i="1"/>
  <c r="CO26" i="1"/>
  <c r="CO25" i="1"/>
  <c r="CO24" i="1"/>
  <c r="CO23" i="1"/>
  <c r="CO22" i="1"/>
  <c r="CO21" i="1"/>
  <c r="CO20" i="1"/>
  <c r="CO19" i="1"/>
  <c r="CO17" i="1"/>
  <c r="CO16" i="1"/>
  <c r="CO15" i="1"/>
  <c r="CO14" i="1"/>
  <c r="CO13" i="1"/>
  <c r="CO12" i="1"/>
  <c r="CO11" i="1"/>
  <c r="C36" i="12"/>
  <c r="CF407" i="1"/>
  <c r="CF408" i="1"/>
  <c r="J36" i="3" s="1"/>
  <c r="C35" i="12"/>
  <c r="CC407" i="1"/>
  <c r="CC408" i="1"/>
  <c r="J35" i="3" s="1"/>
  <c r="C34" i="12"/>
  <c r="BZ407" i="1"/>
  <c r="BZ408" i="1"/>
  <c r="J34" i="3" s="1"/>
  <c r="C33" i="12"/>
  <c r="BW407" i="1"/>
  <c r="BW408" i="1"/>
  <c r="J33" i="3" s="1"/>
  <c r="BT407" i="1"/>
  <c r="BT408" i="1"/>
  <c r="J32" i="3" s="1"/>
  <c r="C30" i="12"/>
  <c r="C29" i="12"/>
  <c r="C28" i="12"/>
  <c r="BH408" i="1"/>
  <c r="J28" i="3" s="1"/>
  <c r="C27" i="12"/>
  <c r="C26" i="12"/>
  <c r="C25" i="12"/>
  <c r="BQ403" i="1"/>
  <c r="BQ402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Q386" i="1"/>
  <c r="BQ385" i="1"/>
  <c r="BQ384" i="1"/>
  <c r="BQ383" i="1"/>
  <c r="BQ382" i="1"/>
  <c r="BQ381" i="1"/>
  <c r="BQ380" i="1"/>
  <c r="BQ379" i="1"/>
  <c r="BQ378" i="1"/>
  <c r="BQ377" i="1"/>
  <c r="BQ376" i="1"/>
  <c r="BQ375" i="1"/>
  <c r="BQ374" i="1"/>
  <c r="BQ373" i="1"/>
  <c r="BQ372" i="1"/>
  <c r="BQ371" i="1"/>
  <c r="BQ370" i="1"/>
  <c r="BQ369" i="1"/>
  <c r="BQ368" i="1"/>
  <c r="BQ367" i="1"/>
  <c r="BQ366" i="1"/>
  <c r="BQ365" i="1"/>
  <c r="BQ364" i="1"/>
  <c r="BQ363" i="1"/>
  <c r="BQ362" i="1"/>
  <c r="BQ361" i="1"/>
  <c r="BQ360" i="1"/>
  <c r="BQ359" i="1"/>
  <c r="BQ358" i="1"/>
  <c r="BQ357" i="1"/>
  <c r="BQ356" i="1"/>
  <c r="BQ355" i="1"/>
  <c r="BQ354" i="1"/>
  <c r="BQ353" i="1"/>
  <c r="BQ352" i="1"/>
  <c r="BQ351" i="1"/>
  <c r="BQ350" i="1"/>
  <c r="BQ349" i="1"/>
  <c r="BQ348" i="1"/>
  <c r="BQ347" i="1"/>
  <c r="BQ346" i="1"/>
  <c r="BQ345" i="1"/>
  <c r="BQ344" i="1"/>
  <c r="BQ343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15" i="1"/>
  <c r="BQ314" i="1"/>
  <c r="BQ313" i="1"/>
  <c r="BQ312" i="1"/>
  <c r="BQ311" i="1"/>
  <c r="BQ310" i="1"/>
  <c r="BQ309" i="1"/>
  <c r="BQ308" i="1"/>
  <c r="BQ307" i="1"/>
  <c r="BQ306" i="1"/>
  <c r="BQ305" i="1"/>
  <c r="BQ304" i="1"/>
  <c r="BQ303" i="1"/>
  <c r="BQ302" i="1"/>
  <c r="BQ301" i="1"/>
  <c r="BQ300" i="1"/>
  <c r="BQ299" i="1"/>
  <c r="BQ298" i="1"/>
  <c r="BQ297" i="1"/>
  <c r="BQ296" i="1"/>
  <c r="BQ295" i="1"/>
  <c r="BQ294" i="1"/>
  <c r="BQ293" i="1"/>
  <c r="BQ292" i="1"/>
  <c r="BQ291" i="1"/>
  <c r="BQ290" i="1"/>
  <c r="BQ289" i="1"/>
  <c r="BQ288" i="1"/>
  <c r="BQ287" i="1"/>
  <c r="BQ286" i="1"/>
  <c r="BQ285" i="1"/>
  <c r="BQ284" i="1"/>
  <c r="BQ283" i="1"/>
  <c r="BQ282" i="1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BQ269" i="1"/>
  <c r="BQ268" i="1"/>
  <c r="BQ267" i="1"/>
  <c r="BQ266" i="1"/>
  <c r="BQ265" i="1"/>
  <c r="BQ264" i="1"/>
  <c r="BQ263" i="1"/>
  <c r="BQ262" i="1"/>
  <c r="BQ261" i="1"/>
  <c r="BQ260" i="1"/>
  <c r="BQ259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BQ244" i="1"/>
  <c r="BQ243" i="1"/>
  <c r="BQ242" i="1"/>
  <c r="BQ241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8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4" i="1"/>
  <c r="BQ213" i="1"/>
  <c r="BQ212" i="1"/>
  <c r="BQ211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7" i="1"/>
  <c r="BQ16" i="1"/>
  <c r="BQ15" i="1"/>
  <c r="BQ14" i="1"/>
  <c r="BQ13" i="1"/>
  <c r="BQ12" i="1"/>
  <c r="BQ11" i="1"/>
  <c r="C20" i="12"/>
  <c r="C19" i="12"/>
  <c r="AM408" i="1"/>
  <c r="J19" i="3" s="1"/>
  <c r="C18" i="12"/>
  <c r="AJ408" i="1"/>
  <c r="J18" i="3" s="1"/>
  <c r="C17" i="12"/>
  <c r="AD408" i="1"/>
  <c r="J17" i="3" s="1"/>
  <c r="C16" i="12"/>
  <c r="AA407" i="1"/>
  <c r="AA408" i="1"/>
  <c r="J16" i="3" s="1"/>
  <c r="C15" i="12"/>
  <c r="X407" i="1"/>
  <c r="X408" i="1"/>
  <c r="J15" i="3" s="1"/>
  <c r="C14" i="12"/>
  <c r="U408" i="1"/>
  <c r="J14" i="3" s="1"/>
  <c r="C13" i="12"/>
  <c r="R408" i="1"/>
  <c r="J13" i="3" s="1"/>
  <c r="C12" i="12"/>
  <c r="O408" i="1"/>
  <c r="J12" i="3" s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C11" i="12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7" i="1"/>
  <c r="N16" i="1"/>
  <c r="N15" i="1"/>
  <c r="N14" i="1"/>
  <c r="N13" i="1"/>
  <c r="N12" i="1"/>
  <c r="N11" i="1"/>
  <c r="L408" i="1"/>
  <c r="J11" i="3" s="1"/>
  <c r="AG11" i="1"/>
  <c r="AG12" i="1"/>
  <c r="AG13" i="1"/>
  <c r="AG14" i="1"/>
  <c r="CR14" i="1" s="1"/>
  <c r="CU14" i="1" s="1"/>
  <c r="D13" i="24" s="1"/>
  <c r="AG15" i="1"/>
  <c r="AG16" i="1"/>
  <c r="AG17" i="1"/>
  <c r="AG19" i="1"/>
  <c r="AG20" i="1"/>
  <c r="AG21" i="1"/>
  <c r="AG22" i="1"/>
  <c r="CR22" i="1" s="1"/>
  <c r="CU22" i="1" s="1"/>
  <c r="D21" i="24" s="1"/>
  <c r="AG23" i="1"/>
  <c r="AG24" i="1"/>
  <c r="AG25" i="1"/>
  <c r="AG26" i="1"/>
  <c r="CR26" i="1" s="1"/>
  <c r="CU26" i="1" s="1"/>
  <c r="D25" i="24" s="1"/>
  <c r="AG27" i="1"/>
  <c r="AG28" i="1"/>
  <c r="AG29" i="1"/>
  <c r="AG30" i="1"/>
  <c r="CR30" i="1" s="1"/>
  <c r="CU30" i="1" s="1"/>
  <c r="D29" i="24" s="1"/>
  <c r="AG31" i="1"/>
  <c r="AG32" i="1"/>
  <c r="AG33" i="1"/>
  <c r="AG34" i="1"/>
  <c r="CR34" i="1" s="1"/>
  <c r="CU34" i="1" s="1"/>
  <c r="D33" i="24" s="1"/>
  <c r="AG35" i="1"/>
  <c r="AG36" i="1"/>
  <c r="AG37" i="1"/>
  <c r="AG38" i="1"/>
  <c r="CR38" i="1" s="1"/>
  <c r="CU38" i="1" s="1"/>
  <c r="D37" i="24" s="1"/>
  <c r="AG40" i="1"/>
  <c r="AG41" i="1"/>
  <c r="AG42" i="1"/>
  <c r="CR42" i="1" s="1"/>
  <c r="CU42" i="1" s="1"/>
  <c r="D41" i="24" s="1"/>
  <c r="AG43" i="1"/>
  <c r="AG44" i="1"/>
  <c r="AG45" i="1"/>
  <c r="AG46" i="1"/>
  <c r="CR46" i="1" s="1"/>
  <c r="CU46" i="1" s="1"/>
  <c r="D45" i="24" s="1"/>
  <c r="AG47" i="1"/>
  <c r="AG48" i="1"/>
  <c r="AG49" i="1"/>
  <c r="AG50" i="1"/>
  <c r="CR50" i="1" s="1"/>
  <c r="CU50" i="1" s="1"/>
  <c r="D49" i="24" s="1"/>
  <c r="AG51" i="1"/>
  <c r="AG52" i="1"/>
  <c r="AG53" i="1"/>
  <c r="AG54" i="1"/>
  <c r="CR54" i="1" s="1"/>
  <c r="CU54" i="1" s="1"/>
  <c r="D53" i="24" s="1"/>
  <c r="AG55" i="1"/>
  <c r="AG56" i="1"/>
  <c r="AG57" i="1"/>
  <c r="AG58" i="1"/>
  <c r="CR58" i="1" s="1"/>
  <c r="CU58" i="1" s="1"/>
  <c r="D57" i="24" s="1"/>
  <c r="AG59" i="1"/>
  <c r="AG60" i="1"/>
  <c r="AG61" i="1"/>
  <c r="AG62" i="1"/>
  <c r="CR62" i="1" s="1"/>
  <c r="CU62" i="1" s="1"/>
  <c r="D61" i="24" s="1"/>
  <c r="AG63" i="1"/>
  <c r="AG64" i="1"/>
  <c r="AG65" i="1"/>
  <c r="AG66" i="1"/>
  <c r="CR66" i="1" s="1"/>
  <c r="CU66" i="1" s="1"/>
  <c r="D65" i="24" s="1"/>
  <c r="AG67" i="1"/>
  <c r="AG68" i="1"/>
  <c r="AG69" i="1"/>
  <c r="AG70" i="1"/>
  <c r="CR70" i="1" s="1"/>
  <c r="CU70" i="1" s="1"/>
  <c r="D69" i="24" s="1"/>
  <c r="AG71" i="1"/>
  <c r="AG72" i="1"/>
  <c r="AG73" i="1"/>
  <c r="AG74" i="1"/>
  <c r="CR74" i="1" s="1"/>
  <c r="CU74" i="1" s="1"/>
  <c r="D73" i="24" s="1"/>
  <c r="AG75" i="1"/>
  <c r="AG76" i="1"/>
  <c r="CR76" i="1" s="1"/>
  <c r="CU76" i="1" s="1"/>
  <c r="D75" i="24" s="1"/>
  <c r="AG77" i="1"/>
  <c r="AG78" i="1"/>
  <c r="CR78" i="1" s="1"/>
  <c r="CU78" i="1" s="1"/>
  <c r="D77" i="24" s="1"/>
  <c r="AG79" i="1"/>
  <c r="AG80" i="1"/>
  <c r="CR80" i="1" s="1"/>
  <c r="CU80" i="1" s="1"/>
  <c r="D79" i="24" s="1"/>
  <c r="AG81" i="1"/>
  <c r="AG82" i="1"/>
  <c r="CR82" i="1" s="1"/>
  <c r="CU82" i="1" s="1"/>
  <c r="D81" i="24" s="1"/>
  <c r="AG83" i="1"/>
  <c r="AG84" i="1"/>
  <c r="CR84" i="1" s="1"/>
  <c r="CU84" i="1" s="1"/>
  <c r="D83" i="24" s="1"/>
  <c r="AG85" i="1"/>
  <c r="AG86" i="1"/>
  <c r="CR86" i="1" s="1"/>
  <c r="CU86" i="1" s="1"/>
  <c r="D85" i="24" s="1"/>
  <c r="AG87" i="1"/>
  <c r="AG88" i="1"/>
  <c r="CR88" i="1" s="1"/>
  <c r="CU88" i="1" s="1"/>
  <c r="D87" i="24" s="1"/>
  <c r="AG89" i="1"/>
  <c r="AG90" i="1"/>
  <c r="CR90" i="1" s="1"/>
  <c r="CU90" i="1" s="1"/>
  <c r="D89" i="24" s="1"/>
  <c r="AG91" i="1"/>
  <c r="AG92" i="1"/>
  <c r="CR92" i="1" s="1"/>
  <c r="CU92" i="1" s="1"/>
  <c r="D91" i="24" s="1"/>
  <c r="AG93" i="1"/>
  <c r="AG94" i="1"/>
  <c r="CR94" i="1" s="1"/>
  <c r="CU94" i="1" s="1"/>
  <c r="D93" i="24" s="1"/>
  <c r="AG95" i="1"/>
  <c r="AG96" i="1"/>
  <c r="CR96" i="1" s="1"/>
  <c r="CU96" i="1" s="1"/>
  <c r="D95" i="24" s="1"/>
  <c r="AG97" i="1"/>
  <c r="AG98" i="1"/>
  <c r="CR98" i="1" s="1"/>
  <c r="CU98" i="1" s="1"/>
  <c r="D97" i="24" s="1"/>
  <c r="AG99" i="1"/>
  <c r="AG100" i="1"/>
  <c r="CR100" i="1" s="1"/>
  <c r="CU100" i="1" s="1"/>
  <c r="D99" i="24" s="1"/>
  <c r="AG101" i="1"/>
  <c r="AG102" i="1"/>
  <c r="CR102" i="1" s="1"/>
  <c r="CU102" i="1" s="1"/>
  <c r="D101" i="24" s="1"/>
  <c r="AG103" i="1"/>
  <c r="AG104" i="1"/>
  <c r="CR104" i="1" s="1"/>
  <c r="CU104" i="1" s="1"/>
  <c r="D103" i="24" s="1"/>
  <c r="AG105" i="1"/>
  <c r="AG106" i="1"/>
  <c r="CR106" i="1" s="1"/>
  <c r="CU106" i="1" s="1"/>
  <c r="D105" i="24" s="1"/>
  <c r="AG107" i="1"/>
  <c r="AG108" i="1"/>
  <c r="CR108" i="1" s="1"/>
  <c r="CU108" i="1" s="1"/>
  <c r="D107" i="24" s="1"/>
  <c r="AG109" i="1"/>
  <c r="AG110" i="1"/>
  <c r="CR110" i="1" s="1"/>
  <c r="CU110" i="1" s="1"/>
  <c r="D109" i="24" s="1"/>
  <c r="AG111" i="1"/>
  <c r="AG112" i="1"/>
  <c r="CR112" i="1" s="1"/>
  <c r="CU112" i="1" s="1"/>
  <c r="D111" i="24" s="1"/>
  <c r="AG113" i="1"/>
  <c r="AG114" i="1"/>
  <c r="CR114" i="1" s="1"/>
  <c r="CU114" i="1" s="1"/>
  <c r="D113" i="24" s="1"/>
  <c r="AG115" i="1"/>
  <c r="AG116" i="1"/>
  <c r="CR116" i="1" s="1"/>
  <c r="CU116" i="1" s="1"/>
  <c r="D115" i="24" s="1"/>
  <c r="AG117" i="1"/>
  <c r="AG118" i="1"/>
  <c r="CR118" i="1" s="1"/>
  <c r="CU118" i="1" s="1"/>
  <c r="D117" i="24" s="1"/>
  <c r="AG119" i="1"/>
  <c r="AG120" i="1"/>
  <c r="CR120" i="1" s="1"/>
  <c r="CU120" i="1" s="1"/>
  <c r="D119" i="24" s="1"/>
  <c r="AG121" i="1"/>
  <c r="AG122" i="1"/>
  <c r="CR122" i="1" s="1"/>
  <c r="CU122" i="1" s="1"/>
  <c r="D121" i="24" s="1"/>
  <c r="AG123" i="1"/>
  <c r="AG124" i="1"/>
  <c r="CR124" i="1" s="1"/>
  <c r="CU124" i="1" s="1"/>
  <c r="D123" i="24" s="1"/>
  <c r="AG125" i="1"/>
  <c r="AG126" i="1"/>
  <c r="CR126" i="1" s="1"/>
  <c r="CU126" i="1" s="1"/>
  <c r="D125" i="24" s="1"/>
  <c r="AG127" i="1"/>
  <c r="AG128" i="1"/>
  <c r="CR128" i="1" s="1"/>
  <c r="CU128" i="1" s="1"/>
  <c r="D127" i="24" s="1"/>
  <c r="AG129" i="1"/>
  <c r="AG130" i="1"/>
  <c r="CR130" i="1" s="1"/>
  <c r="CU130" i="1" s="1"/>
  <c r="D129" i="24" s="1"/>
  <c r="AG131" i="1"/>
  <c r="AG132" i="1"/>
  <c r="CR132" i="1" s="1"/>
  <c r="CU132" i="1" s="1"/>
  <c r="D131" i="24" s="1"/>
  <c r="AG133" i="1"/>
  <c r="AG134" i="1"/>
  <c r="CR134" i="1" s="1"/>
  <c r="CU134" i="1" s="1"/>
  <c r="D133" i="24" s="1"/>
  <c r="AG135" i="1"/>
  <c r="AG136" i="1"/>
  <c r="CR136" i="1" s="1"/>
  <c r="CU136" i="1" s="1"/>
  <c r="D135" i="24" s="1"/>
  <c r="AG137" i="1"/>
  <c r="AG138" i="1"/>
  <c r="CR138" i="1" s="1"/>
  <c r="CU138" i="1" s="1"/>
  <c r="D137" i="24" s="1"/>
  <c r="AG139" i="1"/>
  <c r="AG140" i="1"/>
  <c r="CR140" i="1" s="1"/>
  <c r="CU140" i="1" s="1"/>
  <c r="D139" i="24" s="1"/>
  <c r="AG141" i="1"/>
  <c r="AG142" i="1"/>
  <c r="CR142" i="1" s="1"/>
  <c r="CU142" i="1" s="1"/>
  <c r="D141" i="24" s="1"/>
  <c r="AG143" i="1"/>
  <c r="AG144" i="1"/>
  <c r="CR144" i="1" s="1"/>
  <c r="CU144" i="1" s="1"/>
  <c r="D143" i="24" s="1"/>
  <c r="AG145" i="1"/>
  <c r="AG146" i="1"/>
  <c r="CR146" i="1" s="1"/>
  <c r="CU146" i="1" s="1"/>
  <c r="D145" i="24" s="1"/>
  <c r="AG147" i="1"/>
  <c r="AG148" i="1"/>
  <c r="CR148" i="1" s="1"/>
  <c r="CU148" i="1" s="1"/>
  <c r="D147" i="24" s="1"/>
  <c r="AG149" i="1"/>
  <c r="AG150" i="1"/>
  <c r="CR150" i="1" s="1"/>
  <c r="CU150" i="1" s="1"/>
  <c r="D149" i="24" s="1"/>
  <c r="AG151" i="1"/>
  <c r="AG152" i="1"/>
  <c r="CR152" i="1" s="1"/>
  <c r="CU152" i="1" s="1"/>
  <c r="D151" i="24" s="1"/>
  <c r="AG153" i="1"/>
  <c r="AG154" i="1"/>
  <c r="CR154" i="1" s="1"/>
  <c r="CU154" i="1" s="1"/>
  <c r="D153" i="24" s="1"/>
  <c r="AG155" i="1"/>
  <c r="AG156" i="1"/>
  <c r="CR156" i="1" s="1"/>
  <c r="CU156" i="1" s="1"/>
  <c r="D155" i="24" s="1"/>
  <c r="AG157" i="1"/>
  <c r="AG158" i="1"/>
  <c r="CR158" i="1" s="1"/>
  <c r="CU158" i="1" s="1"/>
  <c r="D157" i="24" s="1"/>
  <c r="AG159" i="1"/>
  <c r="AG160" i="1"/>
  <c r="CR160" i="1" s="1"/>
  <c r="CU160" i="1" s="1"/>
  <c r="D159" i="24" s="1"/>
  <c r="AG161" i="1"/>
  <c r="AG162" i="1"/>
  <c r="CR162" i="1" s="1"/>
  <c r="CU162" i="1" s="1"/>
  <c r="D161" i="24" s="1"/>
  <c r="AG163" i="1"/>
  <c r="AG164" i="1"/>
  <c r="CR164" i="1" s="1"/>
  <c r="CU164" i="1" s="1"/>
  <c r="D163" i="24" s="1"/>
  <c r="AG165" i="1"/>
  <c r="AG166" i="1"/>
  <c r="CR166" i="1" s="1"/>
  <c r="CU166" i="1" s="1"/>
  <c r="D165" i="24" s="1"/>
  <c r="AG167" i="1"/>
  <c r="AG168" i="1"/>
  <c r="CR168" i="1" s="1"/>
  <c r="CU168" i="1" s="1"/>
  <c r="D167" i="24" s="1"/>
  <c r="AG169" i="1"/>
  <c r="AG170" i="1"/>
  <c r="CR170" i="1" s="1"/>
  <c r="CU170" i="1" s="1"/>
  <c r="D169" i="24" s="1"/>
  <c r="AG171" i="1"/>
  <c r="AG172" i="1"/>
  <c r="CR172" i="1" s="1"/>
  <c r="CU172" i="1" s="1"/>
  <c r="D171" i="24" s="1"/>
  <c r="AG173" i="1"/>
  <c r="AG174" i="1"/>
  <c r="CR174" i="1" s="1"/>
  <c r="CU174" i="1" s="1"/>
  <c r="D173" i="24" s="1"/>
  <c r="AG175" i="1"/>
  <c r="AG176" i="1"/>
  <c r="CR176" i="1" s="1"/>
  <c r="CU176" i="1" s="1"/>
  <c r="D175" i="24" s="1"/>
  <c r="AG177" i="1"/>
  <c r="AG178" i="1"/>
  <c r="CR178" i="1" s="1"/>
  <c r="CU178" i="1" s="1"/>
  <c r="D177" i="24" s="1"/>
  <c r="AG179" i="1"/>
  <c r="AG180" i="1"/>
  <c r="CR180" i="1" s="1"/>
  <c r="CU180" i="1" s="1"/>
  <c r="D179" i="24" s="1"/>
  <c r="AG181" i="1"/>
  <c r="AG182" i="1"/>
  <c r="CR182" i="1" s="1"/>
  <c r="CU182" i="1" s="1"/>
  <c r="D181" i="24" s="1"/>
  <c r="AG183" i="1"/>
  <c r="AG184" i="1"/>
  <c r="CR184" i="1" s="1"/>
  <c r="CU184" i="1" s="1"/>
  <c r="D183" i="24" s="1"/>
  <c r="AG185" i="1"/>
  <c r="AG186" i="1"/>
  <c r="CR186" i="1" s="1"/>
  <c r="CU186" i="1" s="1"/>
  <c r="D185" i="24" s="1"/>
  <c r="AG187" i="1"/>
  <c r="AG188" i="1"/>
  <c r="CR188" i="1" s="1"/>
  <c r="CU188" i="1" s="1"/>
  <c r="D187" i="24" s="1"/>
  <c r="AG189" i="1"/>
  <c r="AG190" i="1"/>
  <c r="CR190" i="1" s="1"/>
  <c r="CU190" i="1" s="1"/>
  <c r="D189" i="24" s="1"/>
  <c r="AG191" i="1"/>
  <c r="AG192" i="1"/>
  <c r="CR192" i="1" s="1"/>
  <c r="CU192" i="1" s="1"/>
  <c r="D191" i="24" s="1"/>
  <c r="AG193" i="1"/>
  <c r="AG194" i="1"/>
  <c r="CR194" i="1" s="1"/>
  <c r="CU194" i="1" s="1"/>
  <c r="D193" i="24" s="1"/>
  <c r="AG195" i="1"/>
  <c r="AG196" i="1"/>
  <c r="CR196" i="1" s="1"/>
  <c r="CU196" i="1" s="1"/>
  <c r="D195" i="24" s="1"/>
  <c r="AG197" i="1"/>
  <c r="AG198" i="1"/>
  <c r="CR198" i="1" s="1"/>
  <c r="CU198" i="1" s="1"/>
  <c r="D197" i="24" s="1"/>
  <c r="AG199" i="1"/>
  <c r="AG200" i="1"/>
  <c r="CR200" i="1" s="1"/>
  <c r="CU200" i="1" s="1"/>
  <c r="D199" i="24" s="1"/>
  <c r="AG201" i="1"/>
  <c r="AG202" i="1"/>
  <c r="CR202" i="1" s="1"/>
  <c r="CU202" i="1" s="1"/>
  <c r="D201" i="24" s="1"/>
  <c r="AG203" i="1"/>
  <c r="AG204" i="1"/>
  <c r="CR204" i="1" s="1"/>
  <c r="CU204" i="1" s="1"/>
  <c r="D203" i="24" s="1"/>
  <c r="AG205" i="1"/>
  <c r="AG206" i="1"/>
  <c r="CR206" i="1" s="1"/>
  <c r="CU206" i="1" s="1"/>
  <c r="D205" i="24" s="1"/>
  <c r="AG207" i="1"/>
  <c r="AG208" i="1"/>
  <c r="CR208" i="1" s="1"/>
  <c r="CU208" i="1" s="1"/>
  <c r="D207" i="24" s="1"/>
  <c r="AG209" i="1"/>
  <c r="AG210" i="1"/>
  <c r="CR210" i="1" s="1"/>
  <c r="CU210" i="1" s="1"/>
  <c r="D209" i="24" s="1"/>
  <c r="AG211" i="1"/>
  <c r="AG212" i="1"/>
  <c r="CR212" i="1" s="1"/>
  <c r="CU212" i="1" s="1"/>
  <c r="D211" i="24" s="1"/>
  <c r="AG213" i="1"/>
  <c r="AG214" i="1"/>
  <c r="CR214" i="1" s="1"/>
  <c r="CU214" i="1" s="1"/>
  <c r="D213" i="24" s="1"/>
  <c r="AG215" i="1"/>
  <c r="AG216" i="1"/>
  <c r="CR216" i="1" s="1"/>
  <c r="CU216" i="1" s="1"/>
  <c r="D215" i="24" s="1"/>
  <c r="AG217" i="1"/>
  <c r="AG218" i="1"/>
  <c r="CR218" i="1" s="1"/>
  <c r="CU218" i="1" s="1"/>
  <c r="D217" i="24" s="1"/>
  <c r="AG219" i="1"/>
  <c r="AG220" i="1"/>
  <c r="CR220" i="1" s="1"/>
  <c r="CU220" i="1" s="1"/>
  <c r="D219" i="24" s="1"/>
  <c r="AG221" i="1"/>
  <c r="AG222" i="1"/>
  <c r="CR222" i="1" s="1"/>
  <c r="CU222" i="1" s="1"/>
  <c r="D221" i="24" s="1"/>
  <c r="AG223" i="1"/>
  <c r="AG224" i="1"/>
  <c r="CR224" i="1" s="1"/>
  <c r="CU224" i="1" s="1"/>
  <c r="D223" i="24" s="1"/>
  <c r="AG225" i="1"/>
  <c r="AG226" i="1"/>
  <c r="CR226" i="1" s="1"/>
  <c r="CU226" i="1" s="1"/>
  <c r="D225" i="24" s="1"/>
  <c r="AG227" i="1"/>
  <c r="AG228" i="1"/>
  <c r="CR228" i="1" s="1"/>
  <c r="CU228" i="1" s="1"/>
  <c r="D227" i="24" s="1"/>
  <c r="AG229" i="1"/>
  <c r="AG230" i="1"/>
  <c r="CR230" i="1" s="1"/>
  <c r="CU230" i="1" s="1"/>
  <c r="D229" i="24" s="1"/>
  <c r="AG231" i="1"/>
  <c r="AG232" i="1"/>
  <c r="CR232" i="1" s="1"/>
  <c r="CU232" i="1" s="1"/>
  <c r="D231" i="24" s="1"/>
  <c r="AG233" i="1"/>
  <c r="AG234" i="1"/>
  <c r="CR234" i="1" s="1"/>
  <c r="CU234" i="1" s="1"/>
  <c r="D233" i="24" s="1"/>
  <c r="AG235" i="1"/>
  <c r="AG236" i="1"/>
  <c r="CR236" i="1" s="1"/>
  <c r="CU236" i="1" s="1"/>
  <c r="D235" i="24" s="1"/>
  <c r="AG237" i="1"/>
  <c r="AG238" i="1"/>
  <c r="CR238" i="1" s="1"/>
  <c r="CU238" i="1" s="1"/>
  <c r="D237" i="24" s="1"/>
  <c r="AG239" i="1"/>
  <c r="AG240" i="1"/>
  <c r="CR240" i="1" s="1"/>
  <c r="CU240" i="1" s="1"/>
  <c r="D239" i="24" s="1"/>
  <c r="AG241" i="1"/>
  <c r="AG242" i="1"/>
  <c r="CR242" i="1" s="1"/>
  <c r="CU242" i="1" s="1"/>
  <c r="D241" i="24" s="1"/>
  <c r="AG243" i="1"/>
  <c r="AG244" i="1"/>
  <c r="CR244" i="1" s="1"/>
  <c r="CU244" i="1" s="1"/>
  <c r="D243" i="24" s="1"/>
  <c r="AG245" i="1"/>
  <c r="AG246" i="1"/>
  <c r="CR246" i="1" s="1"/>
  <c r="CU246" i="1" s="1"/>
  <c r="D245" i="24" s="1"/>
  <c r="AG247" i="1"/>
  <c r="AG248" i="1"/>
  <c r="CR248" i="1" s="1"/>
  <c r="CU248" i="1" s="1"/>
  <c r="D247" i="24" s="1"/>
  <c r="AG249" i="1"/>
  <c r="AG250" i="1"/>
  <c r="CR250" i="1" s="1"/>
  <c r="CU250" i="1" s="1"/>
  <c r="D249" i="24" s="1"/>
  <c r="AG251" i="1"/>
  <c r="AG252" i="1"/>
  <c r="CR252" i="1" s="1"/>
  <c r="CU252" i="1" s="1"/>
  <c r="D251" i="24" s="1"/>
  <c r="AG253" i="1"/>
  <c r="AG254" i="1"/>
  <c r="CR254" i="1" s="1"/>
  <c r="CU254" i="1" s="1"/>
  <c r="D253" i="24" s="1"/>
  <c r="AG255" i="1"/>
  <c r="AG256" i="1"/>
  <c r="CR256" i="1" s="1"/>
  <c r="CU256" i="1" s="1"/>
  <c r="D255" i="24" s="1"/>
  <c r="AG257" i="1"/>
  <c r="AG258" i="1"/>
  <c r="CR258" i="1" s="1"/>
  <c r="CU258" i="1" s="1"/>
  <c r="D257" i="24" s="1"/>
  <c r="AG259" i="1"/>
  <c r="AG260" i="1"/>
  <c r="CR260" i="1" s="1"/>
  <c r="CU260" i="1" s="1"/>
  <c r="D259" i="24" s="1"/>
  <c r="AG261" i="1"/>
  <c r="AG262" i="1"/>
  <c r="CR262" i="1" s="1"/>
  <c r="CU262" i="1" s="1"/>
  <c r="D261" i="24" s="1"/>
  <c r="AG263" i="1"/>
  <c r="AG264" i="1"/>
  <c r="CR264" i="1" s="1"/>
  <c r="CU264" i="1" s="1"/>
  <c r="D263" i="24" s="1"/>
  <c r="AG265" i="1"/>
  <c r="AG266" i="1"/>
  <c r="CR266" i="1" s="1"/>
  <c r="CU266" i="1" s="1"/>
  <c r="D265" i="24" s="1"/>
  <c r="AG267" i="1"/>
  <c r="AG268" i="1"/>
  <c r="CR268" i="1" s="1"/>
  <c r="CU268" i="1" s="1"/>
  <c r="D267" i="24" s="1"/>
  <c r="AG269" i="1"/>
  <c r="AG270" i="1"/>
  <c r="CR270" i="1" s="1"/>
  <c r="CU270" i="1" s="1"/>
  <c r="D269" i="24" s="1"/>
  <c r="AG271" i="1"/>
  <c r="AG272" i="1"/>
  <c r="CR272" i="1" s="1"/>
  <c r="CU272" i="1" s="1"/>
  <c r="D271" i="24" s="1"/>
  <c r="AG273" i="1"/>
  <c r="AG274" i="1"/>
  <c r="CR274" i="1" s="1"/>
  <c r="CU274" i="1" s="1"/>
  <c r="D273" i="24" s="1"/>
  <c r="AG275" i="1"/>
  <c r="AG276" i="1"/>
  <c r="CR276" i="1" s="1"/>
  <c r="CU276" i="1" s="1"/>
  <c r="D275" i="24" s="1"/>
  <c r="AG277" i="1"/>
  <c r="AG278" i="1"/>
  <c r="CR278" i="1" s="1"/>
  <c r="CU278" i="1" s="1"/>
  <c r="D277" i="24" s="1"/>
  <c r="AG279" i="1"/>
  <c r="AG280" i="1"/>
  <c r="CR280" i="1" s="1"/>
  <c r="CU280" i="1" s="1"/>
  <c r="D279" i="24" s="1"/>
  <c r="AG281" i="1"/>
  <c r="AG282" i="1"/>
  <c r="CR282" i="1" s="1"/>
  <c r="CU282" i="1" s="1"/>
  <c r="D281" i="24" s="1"/>
  <c r="AG283" i="1"/>
  <c r="AG284" i="1"/>
  <c r="CR284" i="1" s="1"/>
  <c r="CU284" i="1" s="1"/>
  <c r="D283" i="24" s="1"/>
  <c r="AG285" i="1"/>
  <c r="AG286" i="1"/>
  <c r="CR286" i="1" s="1"/>
  <c r="CU286" i="1" s="1"/>
  <c r="D285" i="24" s="1"/>
  <c r="AG287" i="1"/>
  <c r="AG288" i="1"/>
  <c r="CR288" i="1" s="1"/>
  <c r="CU288" i="1" s="1"/>
  <c r="D287" i="24" s="1"/>
  <c r="AG289" i="1"/>
  <c r="AG290" i="1"/>
  <c r="CR290" i="1" s="1"/>
  <c r="CU290" i="1" s="1"/>
  <c r="D289" i="24" s="1"/>
  <c r="AG291" i="1"/>
  <c r="AG292" i="1"/>
  <c r="CR292" i="1" s="1"/>
  <c r="CU292" i="1" s="1"/>
  <c r="D291" i="24" s="1"/>
  <c r="AG293" i="1"/>
  <c r="AG294" i="1"/>
  <c r="CR294" i="1" s="1"/>
  <c r="CU294" i="1" s="1"/>
  <c r="D293" i="24" s="1"/>
  <c r="AG295" i="1"/>
  <c r="AG296" i="1"/>
  <c r="CR296" i="1" s="1"/>
  <c r="CU296" i="1" s="1"/>
  <c r="D295" i="24" s="1"/>
  <c r="AG297" i="1"/>
  <c r="AG298" i="1"/>
  <c r="CR298" i="1" s="1"/>
  <c r="CU298" i="1" s="1"/>
  <c r="D297" i="24" s="1"/>
  <c r="AG299" i="1"/>
  <c r="AG300" i="1"/>
  <c r="CR300" i="1" s="1"/>
  <c r="CU300" i="1" s="1"/>
  <c r="D299" i="24" s="1"/>
  <c r="AG301" i="1"/>
  <c r="AG302" i="1"/>
  <c r="CR302" i="1" s="1"/>
  <c r="CU302" i="1" s="1"/>
  <c r="D301" i="24" s="1"/>
  <c r="AG303" i="1"/>
  <c r="AG304" i="1"/>
  <c r="CR304" i="1" s="1"/>
  <c r="CU304" i="1" s="1"/>
  <c r="D303" i="24" s="1"/>
  <c r="AG305" i="1"/>
  <c r="AG306" i="1"/>
  <c r="CR306" i="1" s="1"/>
  <c r="CU306" i="1" s="1"/>
  <c r="D305" i="24" s="1"/>
  <c r="AG307" i="1"/>
  <c r="AG308" i="1"/>
  <c r="CR308" i="1" s="1"/>
  <c r="CU308" i="1" s="1"/>
  <c r="D307" i="24" s="1"/>
  <c r="AG309" i="1"/>
  <c r="AG310" i="1"/>
  <c r="CR310" i="1" s="1"/>
  <c r="CU310" i="1" s="1"/>
  <c r="D309" i="24" s="1"/>
  <c r="AG311" i="1"/>
  <c r="AG312" i="1"/>
  <c r="CR312" i="1" s="1"/>
  <c r="CU312" i="1" s="1"/>
  <c r="D311" i="24" s="1"/>
  <c r="AG313" i="1"/>
  <c r="AG314" i="1"/>
  <c r="CR314" i="1" s="1"/>
  <c r="CU314" i="1" s="1"/>
  <c r="D313" i="24" s="1"/>
  <c r="AG315" i="1"/>
  <c r="AG316" i="1"/>
  <c r="CR316" i="1" s="1"/>
  <c r="CU316" i="1" s="1"/>
  <c r="D315" i="24" s="1"/>
  <c r="AG317" i="1"/>
  <c r="AG318" i="1"/>
  <c r="CR318" i="1" s="1"/>
  <c r="CU318" i="1" s="1"/>
  <c r="D317" i="24" s="1"/>
  <c r="AG319" i="1"/>
  <c r="AG320" i="1"/>
  <c r="CR320" i="1" s="1"/>
  <c r="CU320" i="1" s="1"/>
  <c r="D319" i="24" s="1"/>
  <c r="AG321" i="1"/>
  <c r="AG322" i="1"/>
  <c r="CR322" i="1" s="1"/>
  <c r="CU322" i="1" s="1"/>
  <c r="D321" i="24" s="1"/>
  <c r="AG323" i="1"/>
  <c r="AG324" i="1"/>
  <c r="CR324" i="1" s="1"/>
  <c r="CU324" i="1" s="1"/>
  <c r="D323" i="24" s="1"/>
  <c r="AG325" i="1"/>
  <c r="AG326" i="1"/>
  <c r="CR326" i="1" s="1"/>
  <c r="CU326" i="1" s="1"/>
  <c r="D325" i="24" s="1"/>
  <c r="AG327" i="1"/>
  <c r="AG328" i="1"/>
  <c r="CR328" i="1" s="1"/>
  <c r="CU328" i="1" s="1"/>
  <c r="D327" i="24" s="1"/>
  <c r="AG329" i="1"/>
  <c r="AG330" i="1"/>
  <c r="CR330" i="1" s="1"/>
  <c r="CU330" i="1" s="1"/>
  <c r="D329" i="24" s="1"/>
  <c r="AG331" i="1"/>
  <c r="AG332" i="1"/>
  <c r="CR332" i="1" s="1"/>
  <c r="CU332" i="1" s="1"/>
  <c r="D331" i="24" s="1"/>
  <c r="AG333" i="1"/>
  <c r="AG334" i="1"/>
  <c r="CR334" i="1" s="1"/>
  <c r="CU334" i="1" s="1"/>
  <c r="D333" i="24" s="1"/>
  <c r="AG335" i="1"/>
  <c r="AG336" i="1"/>
  <c r="CR336" i="1" s="1"/>
  <c r="CU336" i="1" s="1"/>
  <c r="D335" i="24" s="1"/>
  <c r="AG337" i="1"/>
  <c r="AG338" i="1"/>
  <c r="CR338" i="1" s="1"/>
  <c r="CU338" i="1" s="1"/>
  <c r="D337" i="24" s="1"/>
  <c r="AG339" i="1"/>
  <c r="AG340" i="1"/>
  <c r="CR340" i="1" s="1"/>
  <c r="CU340" i="1" s="1"/>
  <c r="D339" i="24" s="1"/>
  <c r="AG341" i="1"/>
  <c r="AG342" i="1"/>
  <c r="CR342" i="1" s="1"/>
  <c r="CU342" i="1" s="1"/>
  <c r="D341" i="24" s="1"/>
  <c r="AG343" i="1"/>
  <c r="AG344" i="1"/>
  <c r="CR344" i="1" s="1"/>
  <c r="CU344" i="1" s="1"/>
  <c r="D343" i="24" s="1"/>
  <c r="AG345" i="1"/>
  <c r="AG346" i="1"/>
  <c r="CR346" i="1" s="1"/>
  <c r="CU346" i="1" s="1"/>
  <c r="D345" i="24" s="1"/>
  <c r="AG347" i="1"/>
  <c r="AG348" i="1"/>
  <c r="CR348" i="1" s="1"/>
  <c r="CU348" i="1" s="1"/>
  <c r="D347" i="24" s="1"/>
  <c r="AG349" i="1"/>
  <c r="AG350" i="1"/>
  <c r="CR350" i="1" s="1"/>
  <c r="CU350" i="1" s="1"/>
  <c r="D349" i="24" s="1"/>
  <c r="AG351" i="1"/>
  <c r="AG352" i="1"/>
  <c r="CR352" i="1" s="1"/>
  <c r="CU352" i="1" s="1"/>
  <c r="D351" i="24" s="1"/>
  <c r="AG353" i="1"/>
  <c r="AG354" i="1"/>
  <c r="CR354" i="1" s="1"/>
  <c r="CU354" i="1" s="1"/>
  <c r="D353" i="24" s="1"/>
  <c r="AG355" i="1"/>
  <c r="AG356" i="1"/>
  <c r="CR356" i="1" s="1"/>
  <c r="CU356" i="1" s="1"/>
  <c r="D355" i="24" s="1"/>
  <c r="AG357" i="1"/>
  <c r="AG358" i="1"/>
  <c r="CR358" i="1" s="1"/>
  <c r="CU358" i="1" s="1"/>
  <c r="D357" i="24" s="1"/>
  <c r="AG359" i="1"/>
  <c r="AG360" i="1"/>
  <c r="CR360" i="1" s="1"/>
  <c r="CU360" i="1" s="1"/>
  <c r="D359" i="24" s="1"/>
  <c r="AG361" i="1"/>
  <c r="AG362" i="1"/>
  <c r="CR362" i="1" s="1"/>
  <c r="CU362" i="1" s="1"/>
  <c r="D361" i="24" s="1"/>
  <c r="AG363" i="1"/>
  <c r="AG364" i="1"/>
  <c r="CR364" i="1" s="1"/>
  <c r="CU364" i="1" s="1"/>
  <c r="D363" i="24" s="1"/>
  <c r="AG365" i="1"/>
  <c r="AG366" i="1"/>
  <c r="CR366" i="1" s="1"/>
  <c r="CU366" i="1" s="1"/>
  <c r="D365" i="24" s="1"/>
  <c r="AG367" i="1"/>
  <c r="AG368" i="1"/>
  <c r="CR368" i="1" s="1"/>
  <c r="CU368" i="1" s="1"/>
  <c r="D367" i="24" s="1"/>
  <c r="AG369" i="1"/>
  <c r="AG370" i="1"/>
  <c r="CR370" i="1" s="1"/>
  <c r="CU370" i="1" s="1"/>
  <c r="D369" i="24" s="1"/>
  <c r="AG371" i="1"/>
  <c r="AG372" i="1"/>
  <c r="CR372" i="1" s="1"/>
  <c r="CU372" i="1" s="1"/>
  <c r="D371" i="24" s="1"/>
  <c r="AG373" i="1"/>
  <c r="AG374" i="1"/>
  <c r="CR374" i="1" s="1"/>
  <c r="CU374" i="1" s="1"/>
  <c r="D373" i="24" s="1"/>
  <c r="AG375" i="1"/>
  <c r="AG376" i="1"/>
  <c r="CR376" i="1" s="1"/>
  <c r="CU376" i="1" s="1"/>
  <c r="D375" i="24" s="1"/>
  <c r="AG377" i="1"/>
  <c r="AG378" i="1"/>
  <c r="CR378" i="1" s="1"/>
  <c r="CU378" i="1" s="1"/>
  <c r="D377" i="24" s="1"/>
  <c r="AG379" i="1"/>
  <c r="AG380" i="1"/>
  <c r="CR380" i="1" s="1"/>
  <c r="CU380" i="1" s="1"/>
  <c r="D379" i="24" s="1"/>
  <c r="AG381" i="1"/>
  <c r="AG382" i="1"/>
  <c r="CR382" i="1" s="1"/>
  <c r="CU382" i="1" s="1"/>
  <c r="D381" i="24" s="1"/>
  <c r="AG383" i="1"/>
  <c r="AG384" i="1"/>
  <c r="CR384" i="1" s="1"/>
  <c r="CU384" i="1" s="1"/>
  <c r="D383" i="24" s="1"/>
  <c r="AG385" i="1"/>
  <c r="AG386" i="1"/>
  <c r="CR386" i="1" s="1"/>
  <c r="CU386" i="1" s="1"/>
  <c r="D385" i="24" s="1"/>
  <c r="AG387" i="1"/>
  <c r="AG388" i="1"/>
  <c r="CR388" i="1" s="1"/>
  <c r="CU388" i="1" s="1"/>
  <c r="D387" i="24" s="1"/>
  <c r="AG389" i="1"/>
  <c r="AG390" i="1"/>
  <c r="CR390" i="1" s="1"/>
  <c r="CU390" i="1" s="1"/>
  <c r="D389" i="24" s="1"/>
  <c r="AG391" i="1"/>
  <c r="AG392" i="1"/>
  <c r="CR392" i="1" s="1"/>
  <c r="CU392" i="1" s="1"/>
  <c r="D391" i="24" s="1"/>
  <c r="AG393" i="1"/>
  <c r="AG394" i="1"/>
  <c r="CR394" i="1" s="1"/>
  <c r="CU394" i="1" s="1"/>
  <c r="D393" i="24" s="1"/>
  <c r="AG395" i="1"/>
  <c r="AG396" i="1"/>
  <c r="CR396" i="1" s="1"/>
  <c r="CU396" i="1" s="1"/>
  <c r="D395" i="24" s="1"/>
  <c r="AG397" i="1"/>
  <c r="AG398" i="1"/>
  <c r="CR398" i="1" s="1"/>
  <c r="CU398" i="1" s="1"/>
  <c r="D397" i="24" s="1"/>
  <c r="AG399" i="1"/>
  <c r="AG400" i="1"/>
  <c r="CR400" i="1" s="1"/>
  <c r="CU400" i="1" s="1"/>
  <c r="D399" i="24" s="1"/>
  <c r="AG401" i="1"/>
  <c r="AG402" i="1"/>
  <c r="CR402" i="1" s="1"/>
  <c r="CU402" i="1" s="1"/>
  <c r="D401" i="24" s="1"/>
  <c r="AG403" i="1"/>
  <c r="BB406" i="4" l="1"/>
  <c r="CR72" i="1"/>
  <c r="CU72" i="1" s="1"/>
  <c r="D71" i="24" s="1"/>
  <c r="CR68" i="1"/>
  <c r="CU68" i="1" s="1"/>
  <c r="D67" i="24" s="1"/>
  <c r="CR64" i="1"/>
  <c r="CU64" i="1" s="1"/>
  <c r="D63" i="24" s="1"/>
  <c r="CR60" i="1"/>
  <c r="CU60" i="1" s="1"/>
  <c r="D59" i="24" s="1"/>
  <c r="CR56" i="1"/>
  <c r="CU56" i="1" s="1"/>
  <c r="D55" i="24" s="1"/>
  <c r="CR52" i="1"/>
  <c r="CU52" i="1" s="1"/>
  <c r="D51" i="24" s="1"/>
  <c r="CR48" i="1"/>
  <c r="CU48" i="1" s="1"/>
  <c r="D47" i="24" s="1"/>
  <c r="CR44" i="1"/>
  <c r="CU44" i="1" s="1"/>
  <c r="D43" i="24" s="1"/>
  <c r="CR40" i="1"/>
  <c r="CU40" i="1" s="1"/>
  <c r="D39" i="24" s="1"/>
  <c r="CR36" i="1"/>
  <c r="CU36" i="1" s="1"/>
  <c r="D35" i="24" s="1"/>
  <c r="CR32" i="1"/>
  <c r="CU32" i="1" s="1"/>
  <c r="D31" i="24" s="1"/>
  <c r="CR28" i="1"/>
  <c r="CU28" i="1" s="1"/>
  <c r="D27" i="24" s="1"/>
  <c r="CR24" i="1"/>
  <c r="CU24" i="1" s="1"/>
  <c r="D23" i="24" s="1"/>
  <c r="CR20" i="1"/>
  <c r="CU20" i="1" s="1"/>
  <c r="D19" i="24" s="1"/>
  <c r="CR16" i="1"/>
  <c r="CU16" i="1" s="1"/>
  <c r="D15" i="24" s="1"/>
  <c r="CR12" i="1"/>
  <c r="CU12" i="1" s="1"/>
  <c r="D11" i="24" s="1"/>
  <c r="CR399" i="1"/>
  <c r="CU399" i="1" s="1"/>
  <c r="D398" i="24" s="1"/>
  <c r="CR387" i="1"/>
  <c r="CU387" i="1" s="1"/>
  <c r="D386" i="24" s="1"/>
  <c r="CR375" i="1"/>
  <c r="CU375" i="1" s="1"/>
  <c r="D374" i="24" s="1"/>
  <c r="CR363" i="1"/>
  <c r="CU363" i="1" s="1"/>
  <c r="D362" i="24" s="1"/>
  <c r="CR351" i="1"/>
  <c r="CU351" i="1" s="1"/>
  <c r="D350" i="24" s="1"/>
  <c r="CR335" i="1"/>
  <c r="CU335" i="1" s="1"/>
  <c r="D334" i="24" s="1"/>
  <c r="CR323" i="1"/>
  <c r="CU323" i="1" s="1"/>
  <c r="D322" i="24" s="1"/>
  <c r="CR311" i="1"/>
  <c r="CU311" i="1" s="1"/>
  <c r="D310" i="24" s="1"/>
  <c r="CR303" i="1"/>
  <c r="CU303" i="1" s="1"/>
  <c r="D302" i="24" s="1"/>
  <c r="CR295" i="1"/>
  <c r="CU295" i="1" s="1"/>
  <c r="D294" i="24" s="1"/>
  <c r="CR283" i="1"/>
  <c r="CU283" i="1" s="1"/>
  <c r="D282" i="24" s="1"/>
  <c r="CR267" i="1"/>
  <c r="CU267" i="1" s="1"/>
  <c r="D266" i="24" s="1"/>
  <c r="CR255" i="1"/>
  <c r="CU255" i="1" s="1"/>
  <c r="D254" i="24" s="1"/>
  <c r="CR243" i="1"/>
  <c r="CU243" i="1" s="1"/>
  <c r="D242" i="24" s="1"/>
  <c r="CR231" i="1"/>
  <c r="CU231" i="1" s="1"/>
  <c r="D230" i="24" s="1"/>
  <c r="CR219" i="1"/>
  <c r="CU219" i="1" s="1"/>
  <c r="D218" i="24" s="1"/>
  <c r="CR211" i="1"/>
  <c r="CU211" i="1" s="1"/>
  <c r="D210" i="24" s="1"/>
  <c r="CR199" i="1"/>
  <c r="CU199" i="1" s="1"/>
  <c r="D198" i="24" s="1"/>
  <c r="CR187" i="1"/>
  <c r="CU187" i="1" s="1"/>
  <c r="D186" i="24" s="1"/>
  <c r="CR183" i="1"/>
  <c r="CU183" i="1" s="1"/>
  <c r="D182" i="24" s="1"/>
  <c r="CR179" i="1"/>
  <c r="CU179" i="1" s="1"/>
  <c r="D178" i="24" s="1"/>
  <c r="CR175" i="1"/>
  <c r="CU175" i="1" s="1"/>
  <c r="D174" i="24" s="1"/>
  <c r="CR167" i="1"/>
  <c r="CU167" i="1" s="1"/>
  <c r="D166" i="24" s="1"/>
  <c r="CR159" i="1"/>
  <c r="CU159" i="1" s="1"/>
  <c r="D158" i="24" s="1"/>
  <c r="CR155" i="1"/>
  <c r="CU155" i="1" s="1"/>
  <c r="D154" i="24" s="1"/>
  <c r="CR151" i="1"/>
  <c r="CU151" i="1" s="1"/>
  <c r="D150" i="24" s="1"/>
  <c r="CR147" i="1"/>
  <c r="CU147" i="1" s="1"/>
  <c r="D146" i="24" s="1"/>
  <c r="CR143" i="1"/>
  <c r="CU143" i="1" s="1"/>
  <c r="D142" i="24" s="1"/>
  <c r="CR139" i="1"/>
  <c r="CU139" i="1" s="1"/>
  <c r="D138" i="24" s="1"/>
  <c r="CR135" i="1"/>
  <c r="CU135" i="1" s="1"/>
  <c r="D134" i="24" s="1"/>
  <c r="CR131" i="1"/>
  <c r="CU131" i="1" s="1"/>
  <c r="D130" i="24" s="1"/>
  <c r="CR127" i="1"/>
  <c r="CU127" i="1" s="1"/>
  <c r="D126" i="24" s="1"/>
  <c r="CR123" i="1"/>
  <c r="CU123" i="1" s="1"/>
  <c r="D122" i="24" s="1"/>
  <c r="CR119" i="1"/>
  <c r="CU119" i="1" s="1"/>
  <c r="D118" i="24" s="1"/>
  <c r="CR115" i="1"/>
  <c r="CU115" i="1" s="1"/>
  <c r="D114" i="24" s="1"/>
  <c r="CR111" i="1"/>
  <c r="CU111" i="1" s="1"/>
  <c r="D110" i="24" s="1"/>
  <c r="CR107" i="1"/>
  <c r="CU107" i="1" s="1"/>
  <c r="D106" i="24" s="1"/>
  <c r="CR103" i="1"/>
  <c r="CU103" i="1" s="1"/>
  <c r="D102" i="24" s="1"/>
  <c r="CR99" i="1"/>
  <c r="CU99" i="1" s="1"/>
  <c r="D98" i="24" s="1"/>
  <c r="CR95" i="1"/>
  <c r="CU95" i="1" s="1"/>
  <c r="D94" i="24" s="1"/>
  <c r="CR91" i="1"/>
  <c r="CU91" i="1" s="1"/>
  <c r="D90" i="24" s="1"/>
  <c r="CR87" i="1"/>
  <c r="CU87" i="1" s="1"/>
  <c r="D86" i="24" s="1"/>
  <c r="CR83" i="1"/>
  <c r="CU83" i="1" s="1"/>
  <c r="D82" i="24" s="1"/>
  <c r="CR79" i="1"/>
  <c r="CU79" i="1" s="1"/>
  <c r="D78" i="24" s="1"/>
  <c r="CR75" i="1"/>
  <c r="CU75" i="1" s="1"/>
  <c r="D74" i="24" s="1"/>
  <c r="CR71" i="1"/>
  <c r="CU71" i="1" s="1"/>
  <c r="D70" i="24" s="1"/>
  <c r="CR67" i="1"/>
  <c r="CU67" i="1" s="1"/>
  <c r="D66" i="24" s="1"/>
  <c r="CR63" i="1"/>
  <c r="CU63" i="1" s="1"/>
  <c r="D62" i="24" s="1"/>
  <c r="CR59" i="1"/>
  <c r="CU59" i="1" s="1"/>
  <c r="D58" i="24" s="1"/>
  <c r="CR55" i="1"/>
  <c r="CU55" i="1" s="1"/>
  <c r="D54" i="24" s="1"/>
  <c r="CR51" i="1"/>
  <c r="CU51" i="1" s="1"/>
  <c r="D50" i="24" s="1"/>
  <c r="CR47" i="1"/>
  <c r="CU47" i="1" s="1"/>
  <c r="D46" i="24" s="1"/>
  <c r="CR43" i="1"/>
  <c r="CU43" i="1" s="1"/>
  <c r="D42" i="24" s="1"/>
  <c r="CR35" i="1"/>
  <c r="CU35" i="1" s="1"/>
  <c r="D34" i="24" s="1"/>
  <c r="CR31" i="1"/>
  <c r="CU31" i="1" s="1"/>
  <c r="D30" i="24" s="1"/>
  <c r="CR403" i="1"/>
  <c r="CU403" i="1" s="1"/>
  <c r="D402" i="24" s="1"/>
  <c r="CR391" i="1"/>
  <c r="CU391" i="1" s="1"/>
  <c r="D390" i="24" s="1"/>
  <c r="CR383" i="1"/>
  <c r="CU383" i="1" s="1"/>
  <c r="D382" i="24" s="1"/>
  <c r="CR371" i="1"/>
  <c r="CU371" i="1" s="1"/>
  <c r="D370" i="24" s="1"/>
  <c r="CR359" i="1"/>
  <c r="CU359" i="1" s="1"/>
  <c r="D358" i="24" s="1"/>
  <c r="CR347" i="1"/>
  <c r="CU347" i="1" s="1"/>
  <c r="D346" i="24" s="1"/>
  <c r="CR339" i="1"/>
  <c r="CU339" i="1" s="1"/>
  <c r="D338" i="24" s="1"/>
  <c r="CR331" i="1"/>
  <c r="CU331" i="1" s="1"/>
  <c r="D330" i="24" s="1"/>
  <c r="CR319" i="1"/>
  <c r="CU319" i="1" s="1"/>
  <c r="D318" i="24" s="1"/>
  <c r="CR307" i="1"/>
  <c r="CU307" i="1" s="1"/>
  <c r="D306" i="24" s="1"/>
  <c r="CR291" i="1"/>
  <c r="CU291" i="1" s="1"/>
  <c r="D290" i="24" s="1"/>
  <c r="CR279" i="1"/>
  <c r="CU279" i="1" s="1"/>
  <c r="D278" i="24" s="1"/>
  <c r="CR271" i="1"/>
  <c r="CU271" i="1" s="1"/>
  <c r="D270" i="24" s="1"/>
  <c r="CR259" i="1"/>
  <c r="CU259" i="1" s="1"/>
  <c r="D258" i="24" s="1"/>
  <c r="CR247" i="1"/>
  <c r="CU247" i="1" s="1"/>
  <c r="D246" i="24" s="1"/>
  <c r="CR239" i="1"/>
  <c r="CU239" i="1" s="1"/>
  <c r="D238" i="24" s="1"/>
  <c r="CR227" i="1"/>
  <c r="CU227" i="1" s="1"/>
  <c r="D226" i="24" s="1"/>
  <c r="CR215" i="1"/>
  <c r="CU215" i="1" s="1"/>
  <c r="D214" i="24" s="1"/>
  <c r="CR203" i="1"/>
  <c r="CU203" i="1" s="1"/>
  <c r="D202" i="24" s="1"/>
  <c r="CR191" i="1"/>
  <c r="CU191" i="1" s="1"/>
  <c r="D190" i="24" s="1"/>
  <c r="CR163" i="1"/>
  <c r="CU163" i="1" s="1"/>
  <c r="D162" i="24" s="1"/>
  <c r="CR395" i="1"/>
  <c r="CU395" i="1" s="1"/>
  <c r="D394" i="24" s="1"/>
  <c r="CR379" i="1"/>
  <c r="CU379" i="1" s="1"/>
  <c r="D378" i="24" s="1"/>
  <c r="CR367" i="1"/>
  <c r="CU367" i="1" s="1"/>
  <c r="D366" i="24" s="1"/>
  <c r="CR355" i="1"/>
  <c r="CU355" i="1" s="1"/>
  <c r="D354" i="24" s="1"/>
  <c r="CR343" i="1"/>
  <c r="CU343" i="1" s="1"/>
  <c r="D342" i="24" s="1"/>
  <c r="CR327" i="1"/>
  <c r="CU327" i="1" s="1"/>
  <c r="D326" i="24" s="1"/>
  <c r="CR315" i="1"/>
  <c r="CU315" i="1" s="1"/>
  <c r="D314" i="24" s="1"/>
  <c r="CR299" i="1"/>
  <c r="CU299" i="1" s="1"/>
  <c r="D298" i="24" s="1"/>
  <c r="CR287" i="1"/>
  <c r="CU287" i="1" s="1"/>
  <c r="D286" i="24" s="1"/>
  <c r="CR275" i="1"/>
  <c r="CU275" i="1" s="1"/>
  <c r="D274" i="24" s="1"/>
  <c r="CR263" i="1"/>
  <c r="CU263" i="1" s="1"/>
  <c r="D262" i="24" s="1"/>
  <c r="CR251" i="1"/>
  <c r="CU251" i="1" s="1"/>
  <c r="D250" i="24" s="1"/>
  <c r="CR235" i="1"/>
  <c r="CU235" i="1" s="1"/>
  <c r="D234" i="24" s="1"/>
  <c r="CR223" i="1"/>
  <c r="CU223" i="1" s="1"/>
  <c r="D222" i="24" s="1"/>
  <c r="CR207" i="1"/>
  <c r="CU207" i="1" s="1"/>
  <c r="D206" i="24" s="1"/>
  <c r="CR195" i="1"/>
  <c r="CU195" i="1" s="1"/>
  <c r="D194" i="24" s="1"/>
  <c r="CR171" i="1"/>
  <c r="CU171" i="1" s="1"/>
  <c r="D170" i="24" s="1"/>
  <c r="CR401" i="1"/>
  <c r="CU401" i="1" s="1"/>
  <c r="D400" i="24" s="1"/>
  <c r="CR397" i="1"/>
  <c r="CU397" i="1" s="1"/>
  <c r="D396" i="24" s="1"/>
  <c r="CR393" i="1"/>
  <c r="CU393" i="1" s="1"/>
  <c r="D392" i="24" s="1"/>
  <c r="CR389" i="1"/>
  <c r="CU389" i="1" s="1"/>
  <c r="D388" i="24" s="1"/>
  <c r="CR385" i="1"/>
  <c r="CU385" i="1" s="1"/>
  <c r="D384" i="24" s="1"/>
  <c r="CR381" i="1"/>
  <c r="CU381" i="1" s="1"/>
  <c r="D380" i="24" s="1"/>
  <c r="CR377" i="1"/>
  <c r="CU377" i="1" s="1"/>
  <c r="D376" i="24" s="1"/>
  <c r="CR373" i="1"/>
  <c r="CU373" i="1" s="1"/>
  <c r="D372" i="24" s="1"/>
  <c r="CR369" i="1"/>
  <c r="CU369" i="1" s="1"/>
  <c r="D368" i="24" s="1"/>
  <c r="CR365" i="1"/>
  <c r="CU365" i="1" s="1"/>
  <c r="D364" i="24" s="1"/>
  <c r="CR361" i="1"/>
  <c r="CU361" i="1" s="1"/>
  <c r="D360" i="24" s="1"/>
  <c r="CR357" i="1"/>
  <c r="CU357" i="1" s="1"/>
  <c r="D356" i="24" s="1"/>
  <c r="CR353" i="1"/>
  <c r="CU353" i="1" s="1"/>
  <c r="D352" i="24" s="1"/>
  <c r="CR27" i="1"/>
  <c r="CU27" i="1" s="1"/>
  <c r="D26" i="24" s="1"/>
  <c r="CR23" i="1"/>
  <c r="CU23" i="1" s="1"/>
  <c r="D22" i="24" s="1"/>
  <c r="CR19" i="1"/>
  <c r="CU19" i="1" s="1"/>
  <c r="D18" i="24" s="1"/>
  <c r="CR15" i="1"/>
  <c r="CU15" i="1" s="1"/>
  <c r="D14" i="24" s="1"/>
  <c r="CR11" i="1"/>
  <c r="CU11" i="1" s="1"/>
  <c r="D10" i="24" s="1"/>
  <c r="CR349" i="1"/>
  <c r="CU349" i="1" s="1"/>
  <c r="D348" i="24" s="1"/>
  <c r="CR345" i="1"/>
  <c r="CU345" i="1" s="1"/>
  <c r="D344" i="24" s="1"/>
  <c r="CR341" i="1"/>
  <c r="CU341" i="1" s="1"/>
  <c r="D340" i="24" s="1"/>
  <c r="CR337" i="1"/>
  <c r="CU337" i="1" s="1"/>
  <c r="D336" i="24" s="1"/>
  <c r="CR333" i="1"/>
  <c r="CU333" i="1" s="1"/>
  <c r="D332" i="24" s="1"/>
  <c r="CR329" i="1"/>
  <c r="CU329" i="1" s="1"/>
  <c r="D328" i="24" s="1"/>
  <c r="CR325" i="1"/>
  <c r="CU325" i="1" s="1"/>
  <c r="D324" i="24" s="1"/>
  <c r="CR321" i="1"/>
  <c r="CU321" i="1" s="1"/>
  <c r="D320" i="24" s="1"/>
  <c r="CR317" i="1"/>
  <c r="CU317" i="1" s="1"/>
  <c r="D316" i="24" s="1"/>
  <c r="CR313" i="1"/>
  <c r="CU313" i="1" s="1"/>
  <c r="D312" i="24" s="1"/>
  <c r="CR309" i="1"/>
  <c r="CU309" i="1" s="1"/>
  <c r="D308" i="24" s="1"/>
  <c r="CR305" i="1"/>
  <c r="CU305" i="1" s="1"/>
  <c r="D304" i="24" s="1"/>
  <c r="CR301" i="1"/>
  <c r="CU301" i="1" s="1"/>
  <c r="D300" i="24" s="1"/>
  <c r="CR297" i="1"/>
  <c r="CU297" i="1" s="1"/>
  <c r="D296" i="24" s="1"/>
  <c r="CR293" i="1"/>
  <c r="CU293" i="1" s="1"/>
  <c r="D292" i="24" s="1"/>
  <c r="CR289" i="1"/>
  <c r="CU289" i="1" s="1"/>
  <c r="D288" i="24" s="1"/>
  <c r="CR285" i="1"/>
  <c r="CU285" i="1" s="1"/>
  <c r="D284" i="24" s="1"/>
  <c r="CR281" i="1"/>
  <c r="CU281" i="1" s="1"/>
  <c r="D280" i="24" s="1"/>
  <c r="CR277" i="1"/>
  <c r="CU277" i="1" s="1"/>
  <c r="D276" i="24" s="1"/>
  <c r="CR273" i="1"/>
  <c r="CU273" i="1" s="1"/>
  <c r="D272" i="24" s="1"/>
  <c r="CR269" i="1"/>
  <c r="CU269" i="1" s="1"/>
  <c r="D268" i="24" s="1"/>
  <c r="CR265" i="1"/>
  <c r="CU265" i="1" s="1"/>
  <c r="D264" i="24" s="1"/>
  <c r="CR261" i="1"/>
  <c r="CU261" i="1" s="1"/>
  <c r="D260" i="24" s="1"/>
  <c r="CR257" i="1"/>
  <c r="CU257" i="1" s="1"/>
  <c r="D256" i="24" s="1"/>
  <c r="CR253" i="1"/>
  <c r="CU253" i="1" s="1"/>
  <c r="D252" i="24" s="1"/>
  <c r="CR249" i="1"/>
  <c r="CU249" i="1" s="1"/>
  <c r="D248" i="24" s="1"/>
  <c r="CR245" i="1"/>
  <c r="CU245" i="1" s="1"/>
  <c r="D244" i="24" s="1"/>
  <c r="CR241" i="1"/>
  <c r="CU241" i="1" s="1"/>
  <c r="D240" i="24" s="1"/>
  <c r="CR237" i="1"/>
  <c r="CU237" i="1" s="1"/>
  <c r="D236" i="24" s="1"/>
  <c r="CR233" i="1"/>
  <c r="CU233" i="1" s="1"/>
  <c r="D232" i="24" s="1"/>
  <c r="CR229" i="1"/>
  <c r="CU229" i="1" s="1"/>
  <c r="D228" i="24" s="1"/>
  <c r="CR225" i="1"/>
  <c r="CU225" i="1" s="1"/>
  <c r="D224" i="24" s="1"/>
  <c r="CR221" i="1"/>
  <c r="CU221" i="1" s="1"/>
  <c r="D220" i="24" s="1"/>
  <c r="CR217" i="1"/>
  <c r="CU217" i="1" s="1"/>
  <c r="D216" i="24" s="1"/>
  <c r="CR213" i="1"/>
  <c r="CU213" i="1" s="1"/>
  <c r="D212" i="24" s="1"/>
  <c r="CR209" i="1"/>
  <c r="CU209" i="1" s="1"/>
  <c r="D208" i="24" s="1"/>
  <c r="CR205" i="1"/>
  <c r="CU205" i="1" s="1"/>
  <c r="D204" i="24" s="1"/>
  <c r="CR201" i="1"/>
  <c r="CU201" i="1" s="1"/>
  <c r="D200" i="24" s="1"/>
  <c r="CR197" i="1"/>
  <c r="CU197" i="1" s="1"/>
  <c r="D196" i="24" s="1"/>
  <c r="CR193" i="1"/>
  <c r="CU193" i="1" s="1"/>
  <c r="D192" i="24" s="1"/>
  <c r="CR189" i="1"/>
  <c r="CU189" i="1" s="1"/>
  <c r="D188" i="24" s="1"/>
  <c r="CR185" i="1"/>
  <c r="CU185" i="1" s="1"/>
  <c r="D184" i="24" s="1"/>
  <c r="CR181" i="1"/>
  <c r="CU181" i="1" s="1"/>
  <c r="D180" i="24" s="1"/>
  <c r="CR177" i="1"/>
  <c r="CU177" i="1" s="1"/>
  <c r="D176" i="24" s="1"/>
  <c r="CR173" i="1"/>
  <c r="CU173" i="1" s="1"/>
  <c r="D172" i="24" s="1"/>
  <c r="CR169" i="1"/>
  <c r="CU169" i="1" s="1"/>
  <c r="D168" i="24" s="1"/>
  <c r="CR165" i="1"/>
  <c r="CU165" i="1" s="1"/>
  <c r="D164" i="24" s="1"/>
  <c r="CR161" i="1"/>
  <c r="CU161" i="1" s="1"/>
  <c r="D160" i="24" s="1"/>
  <c r="CR157" i="1"/>
  <c r="CU157" i="1" s="1"/>
  <c r="D156" i="24" s="1"/>
  <c r="CR153" i="1"/>
  <c r="CU153" i="1" s="1"/>
  <c r="D152" i="24" s="1"/>
  <c r="CR149" i="1"/>
  <c r="CU149" i="1" s="1"/>
  <c r="D148" i="24" s="1"/>
  <c r="CR145" i="1"/>
  <c r="CU145" i="1" s="1"/>
  <c r="D144" i="24" s="1"/>
  <c r="CR141" i="1"/>
  <c r="CU141" i="1" s="1"/>
  <c r="D140" i="24" s="1"/>
  <c r="CR137" i="1"/>
  <c r="CU137" i="1" s="1"/>
  <c r="D136" i="24" s="1"/>
  <c r="CR133" i="1"/>
  <c r="CU133" i="1" s="1"/>
  <c r="D132" i="24" s="1"/>
  <c r="CR129" i="1"/>
  <c r="CU129" i="1" s="1"/>
  <c r="D128" i="24" s="1"/>
  <c r="CR125" i="1"/>
  <c r="CU125" i="1" s="1"/>
  <c r="D124" i="24" s="1"/>
  <c r="CR121" i="1"/>
  <c r="CU121" i="1" s="1"/>
  <c r="D120" i="24" s="1"/>
  <c r="CR117" i="1"/>
  <c r="CU117" i="1" s="1"/>
  <c r="D116" i="24" s="1"/>
  <c r="CR113" i="1"/>
  <c r="CU113" i="1" s="1"/>
  <c r="D112" i="24" s="1"/>
  <c r="CR109" i="1"/>
  <c r="CU109" i="1" s="1"/>
  <c r="D108" i="24" s="1"/>
  <c r="CR105" i="1"/>
  <c r="CU105" i="1" s="1"/>
  <c r="D104" i="24" s="1"/>
  <c r="CR101" i="1"/>
  <c r="CU101" i="1" s="1"/>
  <c r="D100" i="24" s="1"/>
  <c r="CR97" i="1"/>
  <c r="CU97" i="1" s="1"/>
  <c r="D96" i="24" s="1"/>
  <c r="CR93" i="1"/>
  <c r="CU93" i="1" s="1"/>
  <c r="D92" i="24" s="1"/>
  <c r="CR89" i="1"/>
  <c r="CU89" i="1" s="1"/>
  <c r="D88" i="24" s="1"/>
  <c r="CR85" i="1"/>
  <c r="CU85" i="1" s="1"/>
  <c r="D84" i="24" s="1"/>
  <c r="CR81" i="1"/>
  <c r="CU81" i="1" s="1"/>
  <c r="D80" i="24" s="1"/>
  <c r="CR77" i="1"/>
  <c r="CU77" i="1" s="1"/>
  <c r="D76" i="24" s="1"/>
  <c r="CR73" i="1"/>
  <c r="CU73" i="1" s="1"/>
  <c r="D72" i="24" s="1"/>
  <c r="CR69" i="1"/>
  <c r="CU69" i="1" s="1"/>
  <c r="D68" i="24" s="1"/>
  <c r="CR65" i="1"/>
  <c r="CU65" i="1" s="1"/>
  <c r="D64" i="24" s="1"/>
  <c r="CR61" i="1"/>
  <c r="CU61" i="1" s="1"/>
  <c r="D60" i="24" s="1"/>
  <c r="CR57" i="1"/>
  <c r="CU57" i="1" s="1"/>
  <c r="D56" i="24" s="1"/>
  <c r="CR53" i="1"/>
  <c r="CU53" i="1" s="1"/>
  <c r="D52" i="24" s="1"/>
  <c r="CR49" i="1"/>
  <c r="CU49" i="1" s="1"/>
  <c r="D48" i="24" s="1"/>
  <c r="CR45" i="1"/>
  <c r="CU45" i="1" s="1"/>
  <c r="D44" i="24" s="1"/>
  <c r="CR41" i="1"/>
  <c r="CU41" i="1" s="1"/>
  <c r="D40" i="24" s="1"/>
  <c r="CR37" i="1"/>
  <c r="CU37" i="1" s="1"/>
  <c r="D36" i="24" s="1"/>
  <c r="CR33" i="1"/>
  <c r="CU33" i="1" s="1"/>
  <c r="D32" i="24" s="1"/>
  <c r="CR29" i="1"/>
  <c r="CU29" i="1" s="1"/>
  <c r="D28" i="24" s="1"/>
  <c r="CR25" i="1"/>
  <c r="CU25" i="1" s="1"/>
  <c r="D24" i="24" s="1"/>
  <c r="CR21" i="1"/>
  <c r="CU21" i="1" s="1"/>
  <c r="D20" i="24" s="1"/>
  <c r="CR17" i="1"/>
  <c r="CU17" i="1" s="1"/>
  <c r="D16" i="24" s="1"/>
  <c r="CR13" i="1"/>
  <c r="CU13" i="1" s="1"/>
  <c r="D12" i="24" s="1"/>
  <c r="AH399" i="1"/>
  <c r="K399" i="1"/>
  <c r="AH391" i="1"/>
  <c r="K391" i="1"/>
  <c r="AH383" i="1"/>
  <c r="K383" i="1"/>
  <c r="AH375" i="1"/>
  <c r="K375" i="1"/>
  <c r="K371" i="1"/>
  <c r="AH371" i="1"/>
  <c r="K363" i="1"/>
  <c r="AH363" i="1"/>
  <c r="K355" i="1"/>
  <c r="AH355" i="1"/>
  <c r="K347" i="1"/>
  <c r="AH347" i="1"/>
  <c r="K339" i="1"/>
  <c r="AH339" i="1"/>
  <c r="K331" i="1"/>
  <c r="AH331" i="1"/>
  <c r="K323" i="1"/>
  <c r="AH323" i="1"/>
  <c r="AH315" i="1"/>
  <c r="K315" i="1"/>
  <c r="AH307" i="1"/>
  <c r="K307" i="1"/>
  <c r="AH299" i="1"/>
  <c r="K299" i="1"/>
  <c r="AH291" i="1"/>
  <c r="K291" i="1"/>
  <c r="AH283" i="1"/>
  <c r="K283" i="1"/>
  <c r="AH275" i="1"/>
  <c r="K275" i="1"/>
  <c r="AH267" i="1"/>
  <c r="K267" i="1"/>
  <c r="AH259" i="1"/>
  <c r="K259" i="1"/>
  <c r="AH239" i="1"/>
  <c r="K239" i="1"/>
  <c r="AG9" i="1"/>
  <c r="I404" i="1"/>
  <c r="C10" i="3" s="1"/>
  <c r="I409" i="1"/>
  <c r="M10" i="3" s="1"/>
  <c r="AH402" i="1"/>
  <c r="K402" i="1"/>
  <c r="AH398" i="1"/>
  <c r="K398" i="1"/>
  <c r="AH394" i="1"/>
  <c r="K394" i="1"/>
  <c r="AH390" i="1"/>
  <c r="K390" i="1"/>
  <c r="AH386" i="1"/>
  <c r="K386" i="1"/>
  <c r="K382" i="1"/>
  <c r="AH382" i="1"/>
  <c r="AH378" i="1"/>
  <c r="K378" i="1"/>
  <c r="K374" i="1"/>
  <c r="AH374" i="1"/>
  <c r="K370" i="1"/>
  <c r="AH370" i="1"/>
  <c r="K366" i="1"/>
  <c r="AH366" i="1"/>
  <c r="K362" i="1"/>
  <c r="AH362" i="1"/>
  <c r="K358" i="1"/>
  <c r="AH358" i="1"/>
  <c r="K354" i="1"/>
  <c r="AH354" i="1"/>
  <c r="K350" i="1"/>
  <c r="AH350" i="1"/>
  <c r="AH346" i="1"/>
  <c r="K346" i="1"/>
  <c r="AH342" i="1"/>
  <c r="K342" i="1"/>
  <c r="AH338" i="1"/>
  <c r="K338" i="1"/>
  <c r="AH334" i="1"/>
  <c r="K334" i="1"/>
  <c r="AH330" i="1"/>
  <c r="K330" i="1"/>
  <c r="AH326" i="1"/>
  <c r="K326" i="1"/>
  <c r="AH322" i="1"/>
  <c r="K322" i="1"/>
  <c r="K318" i="1"/>
  <c r="AH318" i="1"/>
  <c r="K314" i="1"/>
  <c r="AH314" i="1"/>
  <c r="K310" i="1"/>
  <c r="AH310" i="1"/>
  <c r="K306" i="1"/>
  <c r="AH306" i="1"/>
  <c r="K302" i="1"/>
  <c r="AH302" i="1"/>
  <c r="K298" i="1"/>
  <c r="AH298" i="1"/>
  <c r="AH294" i="1"/>
  <c r="K294" i="1"/>
  <c r="AH290" i="1"/>
  <c r="K290" i="1"/>
  <c r="AH286" i="1"/>
  <c r="K286" i="1"/>
  <c r="AH282" i="1"/>
  <c r="K282" i="1"/>
  <c r="AH278" i="1"/>
  <c r="K278" i="1"/>
  <c r="AH274" i="1"/>
  <c r="K274" i="1"/>
  <c r="K270" i="1"/>
  <c r="AH270" i="1"/>
  <c r="K266" i="1"/>
  <c r="AH266" i="1"/>
  <c r="K262" i="1"/>
  <c r="AH262" i="1"/>
  <c r="K258" i="1"/>
  <c r="AH258" i="1"/>
  <c r="K254" i="1"/>
  <c r="AH254" i="1"/>
  <c r="AH250" i="1"/>
  <c r="K250" i="1"/>
  <c r="AH246" i="1"/>
  <c r="K246" i="1"/>
  <c r="K242" i="1"/>
  <c r="AH242" i="1"/>
  <c r="K238" i="1"/>
  <c r="AH238" i="1"/>
  <c r="K234" i="1"/>
  <c r="AH234" i="1"/>
  <c r="K230" i="1"/>
  <c r="AH230" i="1"/>
  <c r="AH226" i="1"/>
  <c r="K226" i="1"/>
  <c r="AH222" i="1"/>
  <c r="K222" i="1"/>
  <c r="AH218" i="1"/>
  <c r="K218" i="1"/>
  <c r="AH214" i="1"/>
  <c r="K214" i="1"/>
  <c r="AH210" i="1"/>
  <c r="K210" i="1"/>
  <c r="K206" i="1"/>
  <c r="AH206" i="1"/>
  <c r="K202" i="1"/>
  <c r="AH202" i="1"/>
  <c r="K198" i="1"/>
  <c r="AH198" i="1"/>
  <c r="K194" i="1"/>
  <c r="AH194" i="1"/>
  <c r="K190" i="1"/>
  <c r="AH190" i="1"/>
  <c r="K186" i="1"/>
  <c r="AH186" i="1"/>
  <c r="K182" i="1"/>
  <c r="AH182" i="1"/>
  <c r="AH178" i="1"/>
  <c r="K178" i="1"/>
  <c r="AH174" i="1"/>
  <c r="K174" i="1"/>
  <c r="AH170" i="1"/>
  <c r="K170" i="1"/>
  <c r="AH166" i="1"/>
  <c r="K166" i="1"/>
  <c r="AH162" i="1"/>
  <c r="K162" i="1"/>
  <c r="K158" i="1"/>
  <c r="AH158" i="1"/>
  <c r="K154" i="1"/>
  <c r="AH154" i="1"/>
  <c r="K150" i="1"/>
  <c r="AH150" i="1"/>
  <c r="K146" i="1"/>
  <c r="AH146" i="1"/>
  <c r="K142" i="1"/>
  <c r="AH142" i="1"/>
  <c r="AH138" i="1"/>
  <c r="K138" i="1"/>
  <c r="AH134" i="1"/>
  <c r="K134" i="1"/>
  <c r="AH130" i="1"/>
  <c r="K130" i="1"/>
  <c r="K126" i="1"/>
  <c r="AH126" i="1"/>
  <c r="K122" i="1"/>
  <c r="AH122" i="1"/>
  <c r="K118" i="1"/>
  <c r="AH118" i="1"/>
  <c r="AH114" i="1"/>
  <c r="K114" i="1"/>
  <c r="K110" i="1"/>
  <c r="AH110" i="1"/>
  <c r="AH106" i="1"/>
  <c r="K106" i="1"/>
  <c r="AH102" i="1"/>
  <c r="K102" i="1"/>
  <c r="K98" i="1"/>
  <c r="AH98" i="1"/>
  <c r="AH94" i="1"/>
  <c r="K94" i="1"/>
  <c r="AH90" i="1"/>
  <c r="K90" i="1"/>
  <c r="K86" i="1"/>
  <c r="AH86" i="1"/>
  <c r="K82" i="1"/>
  <c r="AH82" i="1"/>
  <c r="K78" i="1"/>
  <c r="AH78" i="1"/>
  <c r="K74" i="1"/>
  <c r="AH74" i="1"/>
  <c r="K70" i="1"/>
  <c r="AH70" i="1"/>
  <c r="AH66" i="1"/>
  <c r="K66" i="1"/>
  <c r="AH62" i="1"/>
  <c r="K62" i="1"/>
  <c r="AH58" i="1"/>
  <c r="K58" i="1"/>
  <c r="AH54" i="1"/>
  <c r="K54" i="1"/>
  <c r="AH50" i="1"/>
  <c r="K50" i="1"/>
  <c r="K46" i="1"/>
  <c r="AH46" i="1"/>
  <c r="K42" i="1"/>
  <c r="AH42" i="1"/>
  <c r="K38" i="1"/>
  <c r="AH38" i="1"/>
  <c r="K34" i="1"/>
  <c r="AH34" i="1"/>
  <c r="K30" i="1"/>
  <c r="AH30" i="1"/>
  <c r="AH26" i="1"/>
  <c r="K26" i="1"/>
  <c r="AH22" i="1"/>
  <c r="K22" i="1"/>
  <c r="J407" i="1"/>
  <c r="AH18" i="1"/>
  <c r="K18" i="1"/>
  <c r="AH14" i="1"/>
  <c r="K14" i="1"/>
  <c r="K10" i="1"/>
  <c r="J408" i="1"/>
  <c r="AH10" i="1"/>
  <c r="L407" i="1"/>
  <c r="O404" i="1"/>
  <c r="C12" i="3" s="1"/>
  <c r="O409" i="1"/>
  <c r="M12" i="3" s="1"/>
  <c r="R407" i="1"/>
  <c r="U409" i="1"/>
  <c r="M14" i="3" s="1"/>
  <c r="U404" i="1"/>
  <c r="C14" i="3" s="1"/>
  <c r="G15" i="3"/>
  <c r="AA409" i="1"/>
  <c r="M16" i="3" s="1"/>
  <c r="AA404" i="1"/>
  <c r="C16" i="3" s="1"/>
  <c r="AD407" i="1"/>
  <c r="AJ409" i="1"/>
  <c r="M18" i="3" s="1"/>
  <c r="AJ404" i="1"/>
  <c r="C18" i="3" s="1"/>
  <c r="AM407" i="1"/>
  <c r="AP404" i="1"/>
  <c r="C20" i="3" s="1"/>
  <c r="AP409" i="1"/>
  <c r="M20" i="3" s="1"/>
  <c r="AG39" i="1"/>
  <c r="C10" i="12"/>
  <c r="C9" i="12" s="1"/>
  <c r="K401" i="1"/>
  <c r="AH401" i="1"/>
  <c r="K393" i="1"/>
  <c r="AH393" i="1"/>
  <c r="K385" i="1"/>
  <c r="AH385" i="1"/>
  <c r="K377" i="1"/>
  <c r="AH377" i="1"/>
  <c r="K369" i="1"/>
  <c r="AH369" i="1"/>
  <c r="K361" i="1"/>
  <c r="AH361" i="1"/>
  <c r="K353" i="1"/>
  <c r="AH353" i="1"/>
  <c r="K345" i="1"/>
  <c r="AH345" i="1"/>
  <c r="K337" i="1"/>
  <c r="AH337" i="1"/>
  <c r="K329" i="1"/>
  <c r="AH329" i="1"/>
  <c r="AH321" i="1"/>
  <c r="K321" i="1"/>
  <c r="AH313" i="1"/>
  <c r="K313" i="1"/>
  <c r="AH305" i="1"/>
  <c r="K305" i="1"/>
  <c r="K297" i="1"/>
  <c r="AH297" i="1"/>
  <c r="K289" i="1"/>
  <c r="AH289" i="1"/>
  <c r="K281" i="1"/>
  <c r="AH281" i="1"/>
  <c r="K273" i="1"/>
  <c r="AH273" i="1"/>
  <c r="K265" i="1"/>
  <c r="AH265" i="1"/>
  <c r="K257" i="1"/>
  <c r="AH257" i="1"/>
  <c r="K253" i="1"/>
  <c r="AH253" i="1"/>
  <c r="K249" i="1"/>
  <c r="AH249" i="1"/>
  <c r="K241" i="1"/>
  <c r="AH241" i="1"/>
  <c r="K237" i="1"/>
  <c r="AH237" i="1"/>
  <c r="K233" i="1"/>
  <c r="AH233" i="1"/>
  <c r="K229" i="1"/>
  <c r="AH229" i="1"/>
  <c r="K225" i="1"/>
  <c r="AH225" i="1"/>
  <c r="K221" i="1"/>
  <c r="AH221" i="1"/>
  <c r="K217" i="1"/>
  <c r="AH217" i="1"/>
  <c r="K213" i="1"/>
  <c r="AH213" i="1"/>
  <c r="K209" i="1"/>
  <c r="AH209" i="1"/>
  <c r="K205" i="1"/>
  <c r="AH205" i="1"/>
  <c r="K201" i="1"/>
  <c r="AH201" i="1"/>
  <c r="K197" i="1"/>
  <c r="AH197" i="1"/>
  <c r="K193" i="1"/>
  <c r="AH193" i="1"/>
  <c r="AH189" i="1"/>
  <c r="K189" i="1"/>
  <c r="K185" i="1"/>
  <c r="AH185" i="1"/>
  <c r="K181" i="1"/>
  <c r="AH181" i="1"/>
  <c r="K177" i="1"/>
  <c r="AH177" i="1"/>
  <c r="K173" i="1"/>
  <c r="AH173" i="1"/>
  <c r="K169" i="1"/>
  <c r="AH169" i="1"/>
  <c r="AH165" i="1"/>
  <c r="K165" i="1"/>
  <c r="K161" i="1"/>
  <c r="AH161" i="1"/>
  <c r="K157" i="1"/>
  <c r="AH157" i="1"/>
  <c r="K153" i="1"/>
  <c r="AH153" i="1"/>
  <c r="K149" i="1"/>
  <c r="AH149" i="1"/>
  <c r="K145" i="1"/>
  <c r="AH145" i="1"/>
  <c r="K141" i="1"/>
  <c r="AH141" i="1"/>
  <c r="K137" i="1"/>
  <c r="AH137" i="1"/>
  <c r="K133" i="1"/>
  <c r="AH133" i="1"/>
  <c r="K129" i="1"/>
  <c r="AH129" i="1"/>
  <c r="K125" i="1"/>
  <c r="AH125" i="1"/>
  <c r="K121" i="1"/>
  <c r="AH121" i="1"/>
  <c r="K117" i="1"/>
  <c r="AH117" i="1"/>
  <c r="K113" i="1"/>
  <c r="AH113" i="1"/>
  <c r="K109" i="1"/>
  <c r="AH109" i="1"/>
  <c r="K105" i="1"/>
  <c r="AH105" i="1"/>
  <c r="K101" i="1"/>
  <c r="AH101" i="1"/>
  <c r="K97" i="1"/>
  <c r="AH97" i="1"/>
  <c r="AH93" i="1"/>
  <c r="K93" i="1"/>
  <c r="K89" i="1"/>
  <c r="AH89" i="1"/>
  <c r="K85" i="1"/>
  <c r="AH85" i="1"/>
  <c r="K81" i="1"/>
  <c r="AH81" i="1"/>
  <c r="K77" i="1"/>
  <c r="AH77" i="1"/>
  <c r="K73" i="1"/>
  <c r="AH73" i="1"/>
  <c r="K69" i="1"/>
  <c r="AH69" i="1"/>
  <c r="K65" i="1"/>
  <c r="AH65" i="1"/>
  <c r="K61" i="1"/>
  <c r="AH61" i="1"/>
  <c r="K57" i="1"/>
  <c r="AH57" i="1"/>
  <c r="AH53" i="1"/>
  <c r="K53" i="1"/>
  <c r="K49" i="1"/>
  <c r="AH49" i="1"/>
  <c r="K45" i="1"/>
  <c r="AH45" i="1"/>
  <c r="K41" i="1"/>
  <c r="AH41" i="1"/>
  <c r="K37" i="1"/>
  <c r="AH37" i="1"/>
  <c r="K33" i="1"/>
  <c r="AH33" i="1"/>
  <c r="K29" i="1"/>
  <c r="AH29" i="1"/>
  <c r="K25" i="1"/>
  <c r="AH25" i="1"/>
  <c r="K21" i="1"/>
  <c r="AH21" i="1"/>
  <c r="K17" i="1"/>
  <c r="AH17" i="1"/>
  <c r="K13" i="1"/>
  <c r="AH13" i="1"/>
  <c r="AH9" i="1"/>
  <c r="K9" i="1"/>
  <c r="J409" i="1"/>
  <c r="J404" i="1"/>
  <c r="N10" i="1"/>
  <c r="M408" i="1"/>
  <c r="N18" i="1"/>
  <c r="M407" i="1"/>
  <c r="Q9" i="1"/>
  <c r="P409" i="1"/>
  <c r="P404" i="1"/>
  <c r="D12" i="12"/>
  <c r="Q409" i="1"/>
  <c r="S408" i="1"/>
  <c r="S407" i="1"/>
  <c r="W9" i="1"/>
  <c r="W409" i="1" s="1"/>
  <c r="V409" i="1"/>
  <c r="V404" i="1"/>
  <c r="D14" i="12"/>
  <c r="Y408" i="1"/>
  <c r="Y407" i="1"/>
  <c r="AC9" i="1"/>
  <c r="AC409" i="1" s="1"/>
  <c r="AB409" i="1"/>
  <c r="AB404" i="1"/>
  <c r="D16" i="12"/>
  <c r="AE408" i="1"/>
  <c r="AE407" i="1"/>
  <c r="AL9" i="1"/>
  <c r="AL409" i="1" s="1"/>
  <c r="AK404" i="1"/>
  <c r="AK409" i="1"/>
  <c r="D18" i="12"/>
  <c r="AN408" i="1"/>
  <c r="AN407" i="1"/>
  <c r="AR9" i="1"/>
  <c r="AR409" i="1" s="1"/>
  <c r="AQ404" i="1"/>
  <c r="AQ409" i="1"/>
  <c r="D20" i="12"/>
  <c r="AT408" i="1"/>
  <c r="AT407" i="1"/>
  <c r="AH397" i="1"/>
  <c r="K397" i="1"/>
  <c r="AH389" i="1"/>
  <c r="K389" i="1"/>
  <c r="AH381" i="1"/>
  <c r="K381" i="1"/>
  <c r="AH373" i="1"/>
  <c r="K373" i="1"/>
  <c r="AH365" i="1"/>
  <c r="K365" i="1"/>
  <c r="AH357" i="1"/>
  <c r="K357" i="1"/>
  <c r="AH349" i="1"/>
  <c r="K349" i="1"/>
  <c r="AH341" i="1"/>
  <c r="K341" i="1"/>
  <c r="AH333" i="1"/>
  <c r="K333" i="1"/>
  <c r="AH325" i="1"/>
  <c r="K325" i="1"/>
  <c r="K317" i="1"/>
  <c r="AH317" i="1"/>
  <c r="K309" i="1"/>
  <c r="AH309" i="1"/>
  <c r="K301" i="1"/>
  <c r="AH301" i="1"/>
  <c r="K293" i="1"/>
  <c r="AH293" i="1"/>
  <c r="K285" i="1"/>
  <c r="AH285" i="1"/>
  <c r="K277" i="1"/>
  <c r="AH277" i="1"/>
  <c r="K269" i="1"/>
  <c r="AH269" i="1"/>
  <c r="K261" i="1"/>
  <c r="AH261" i="1"/>
  <c r="K245" i="1"/>
  <c r="AH245" i="1"/>
  <c r="AG18" i="1"/>
  <c r="I407" i="1"/>
  <c r="AG10" i="1"/>
  <c r="I408" i="1"/>
  <c r="J10" i="3" s="1"/>
  <c r="J9" i="3" s="1"/>
  <c r="K400" i="1"/>
  <c r="AH400" i="1"/>
  <c r="K396" i="1"/>
  <c r="AH396" i="1"/>
  <c r="K392" i="1"/>
  <c r="AH392" i="1"/>
  <c r="K388" i="1"/>
  <c r="AH388" i="1"/>
  <c r="K384" i="1"/>
  <c r="AH384" i="1"/>
  <c r="K380" i="1"/>
  <c r="AH380" i="1"/>
  <c r="K376" i="1"/>
  <c r="AH376" i="1"/>
  <c r="K372" i="1"/>
  <c r="AH372" i="1"/>
  <c r="K368" i="1"/>
  <c r="AH368" i="1"/>
  <c r="K364" i="1"/>
  <c r="AH364" i="1"/>
  <c r="K360" i="1"/>
  <c r="AH360" i="1"/>
  <c r="K356" i="1"/>
  <c r="AH356" i="1"/>
  <c r="AH352" i="1"/>
  <c r="K352" i="1"/>
  <c r="K348" i="1"/>
  <c r="AH348" i="1"/>
  <c r="K344" i="1"/>
  <c r="AH344" i="1"/>
  <c r="K340" i="1"/>
  <c r="AH340" i="1"/>
  <c r="K336" i="1"/>
  <c r="AH336" i="1"/>
  <c r="AH332" i="1"/>
  <c r="K332" i="1"/>
  <c r="K328" i="1"/>
  <c r="AH328" i="1"/>
  <c r="K324" i="1"/>
  <c r="AH324" i="1"/>
  <c r="K320" i="1"/>
  <c r="AH320" i="1"/>
  <c r="K316" i="1"/>
  <c r="AH316" i="1"/>
  <c r="K312" i="1"/>
  <c r="AH312" i="1"/>
  <c r="K308" i="1"/>
  <c r="AH308" i="1"/>
  <c r="K304" i="1"/>
  <c r="AH304" i="1"/>
  <c r="K300" i="1"/>
  <c r="AH300" i="1"/>
  <c r="K296" i="1"/>
  <c r="AH296" i="1"/>
  <c r="K292" i="1"/>
  <c r="AH292" i="1"/>
  <c r="K288" i="1"/>
  <c r="AH288" i="1"/>
  <c r="K284" i="1"/>
  <c r="AH284" i="1"/>
  <c r="K280" i="1"/>
  <c r="AH280" i="1"/>
  <c r="K276" i="1"/>
  <c r="AH276" i="1"/>
  <c r="K272" i="1"/>
  <c r="AH272" i="1"/>
  <c r="K268" i="1"/>
  <c r="AH268" i="1"/>
  <c r="K264" i="1"/>
  <c r="AH264" i="1"/>
  <c r="K260" i="1"/>
  <c r="AH260" i="1"/>
  <c r="K256" i="1"/>
  <c r="AH256" i="1"/>
  <c r="K252" i="1"/>
  <c r="AH252" i="1"/>
  <c r="K248" i="1"/>
  <c r="AH248" i="1"/>
  <c r="K244" i="1"/>
  <c r="AH244" i="1"/>
  <c r="K240" i="1"/>
  <c r="AH240" i="1"/>
  <c r="K236" i="1"/>
  <c r="AH236" i="1"/>
  <c r="K232" i="1"/>
  <c r="AH232" i="1"/>
  <c r="K228" i="1"/>
  <c r="AH228" i="1"/>
  <c r="K224" i="1"/>
  <c r="AH224" i="1"/>
  <c r="K220" i="1"/>
  <c r="AH220" i="1"/>
  <c r="K216" i="1"/>
  <c r="AH216" i="1"/>
  <c r="K212" i="1"/>
  <c r="AH212" i="1"/>
  <c r="K208" i="1"/>
  <c r="AH208" i="1"/>
  <c r="K204" i="1"/>
  <c r="AH204" i="1"/>
  <c r="K200" i="1"/>
  <c r="AH200" i="1"/>
  <c r="K196" i="1"/>
  <c r="AH196" i="1"/>
  <c r="K192" i="1"/>
  <c r="AH192" i="1"/>
  <c r="K188" i="1"/>
  <c r="AH188" i="1"/>
  <c r="K184" i="1"/>
  <c r="AH184" i="1"/>
  <c r="K180" i="1"/>
  <c r="AH180" i="1"/>
  <c r="K176" i="1"/>
  <c r="AH176" i="1"/>
  <c r="K172" i="1"/>
  <c r="AH172" i="1"/>
  <c r="K168" i="1"/>
  <c r="AH168" i="1"/>
  <c r="K164" i="1"/>
  <c r="AH164" i="1"/>
  <c r="K160" i="1"/>
  <c r="AH160" i="1"/>
  <c r="K156" i="1"/>
  <c r="AH156" i="1"/>
  <c r="K152" i="1"/>
  <c r="AH152" i="1"/>
  <c r="AH148" i="1"/>
  <c r="K148" i="1"/>
  <c r="K144" i="1"/>
  <c r="AH144" i="1"/>
  <c r="K140" i="1"/>
  <c r="AH140" i="1"/>
  <c r="K136" i="1"/>
  <c r="AH136" i="1"/>
  <c r="K132" i="1"/>
  <c r="AH132" i="1"/>
  <c r="K128" i="1"/>
  <c r="AH128" i="1"/>
  <c r="K124" i="1"/>
  <c r="AH124" i="1"/>
  <c r="K120" i="1"/>
  <c r="AH120" i="1"/>
  <c r="K116" i="1"/>
  <c r="AH116" i="1"/>
  <c r="K112" i="1"/>
  <c r="AH112" i="1"/>
  <c r="K108" i="1"/>
  <c r="AH108" i="1"/>
  <c r="K104" i="1"/>
  <c r="AH104" i="1"/>
  <c r="K100" i="1"/>
  <c r="AH100" i="1"/>
  <c r="K96" i="1"/>
  <c r="AH96" i="1"/>
  <c r="K92" i="1"/>
  <c r="AH92" i="1"/>
  <c r="K88" i="1"/>
  <c r="AH88" i="1"/>
  <c r="K84" i="1"/>
  <c r="AH84" i="1"/>
  <c r="K80" i="1"/>
  <c r="AH80" i="1"/>
  <c r="K76" i="1"/>
  <c r="AH76" i="1"/>
  <c r="K72" i="1"/>
  <c r="AH72" i="1"/>
  <c r="K68" i="1"/>
  <c r="AH68" i="1"/>
  <c r="K64" i="1"/>
  <c r="AH64" i="1"/>
  <c r="K60" i="1"/>
  <c r="AH60" i="1"/>
  <c r="K56" i="1"/>
  <c r="AH56" i="1"/>
  <c r="K52" i="1"/>
  <c r="AH52" i="1"/>
  <c r="K48" i="1"/>
  <c r="AH48" i="1"/>
  <c r="K44" i="1"/>
  <c r="AH44" i="1"/>
  <c r="K40" i="1"/>
  <c r="AH40" i="1"/>
  <c r="K36" i="1"/>
  <c r="AH36" i="1"/>
  <c r="K32" i="1"/>
  <c r="AH32" i="1"/>
  <c r="K28" i="1"/>
  <c r="AH28" i="1"/>
  <c r="K24" i="1"/>
  <c r="AH24" i="1"/>
  <c r="K20" i="1"/>
  <c r="AH20" i="1"/>
  <c r="K16" i="1"/>
  <c r="AH16" i="1"/>
  <c r="K12" i="1"/>
  <c r="AH12" i="1"/>
  <c r="L404" i="1"/>
  <c r="C11" i="3" s="1"/>
  <c r="L409" i="1"/>
  <c r="M11" i="3" s="1"/>
  <c r="O407" i="1"/>
  <c r="R409" i="1"/>
  <c r="M13" i="3" s="1"/>
  <c r="R404" i="1"/>
  <c r="C13" i="3" s="1"/>
  <c r="U407" i="1"/>
  <c r="X404" i="1"/>
  <c r="C15" i="3" s="1"/>
  <c r="X409" i="1"/>
  <c r="M15" i="3" s="1"/>
  <c r="G16" i="3"/>
  <c r="AA410" i="1"/>
  <c r="AD404" i="1"/>
  <c r="C17" i="3" s="1"/>
  <c r="AD409" i="1"/>
  <c r="M17" i="3" s="1"/>
  <c r="AJ407" i="1"/>
  <c r="AM404" i="1"/>
  <c r="C19" i="3" s="1"/>
  <c r="AM409" i="1"/>
  <c r="M19" i="3" s="1"/>
  <c r="AP408" i="1"/>
  <c r="J20" i="3" s="1"/>
  <c r="AP407" i="1"/>
  <c r="K403" i="1"/>
  <c r="AH403" i="1"/>
  <c r="K395" i="1"/>
  <c r="AH395" i="1"/>
  <c r="K387" i="1"/>
  <c r="AH387" i="1"/>
  <c r="K379" i="1"/>
  <c r="AH379" i="1"/>
  <c r="AH367" i="1"/>
  <c r="K367" i="1"/>
  <c r="AH359" i="1"/>
  <c r="K359" i="1"/>
  <c r="AH351" i="1"/>
  <c r="K351" i="1"/>
  <c r="AH343" i="1"/>
  <c r="K343" i="1"/>
  <c r="AH335" i="1"/>
  <c r="K335" i="1"/>
  <c r="AH327" i="1"/>
  <c r="K327" i="1"/>
  <c r="AH319" i="1"/>
  <c r="K319" i="1"/>
  <c r="K311" i="1"/>
  <c r="AH311" i="1"/>
  <c r="K303" i="1"/>
  <c r="AH303" i="1"/>
  <c r="AH295" i="1"/>
  <c r="K295" i="1"/>
  <c r="K287" i="1"/>
  <c r="AH287" i="1"/>
  <c r="K279" i="1"/>
  <c r="AH279" i="1"/>
  <c r="K271" i="1"/>
  <c r="AH271" i="1"/>
  <c r="K263" i="1"/>
  <c r="AH263" i="1"/>
  <c r="AH255" i="1"/>
  <c r="K255" i="1"/>
  <c r="K251" i="1"/>
  <c r="AH251" i="1"/>
  <c r="AH247" i="1"/>
  <c r="K247" i="1"/>
  <c r="K243" i="1"/>
  <c r="AH243" i="1"/>
  <c r="K235" i="1"/>
  <c r="AH235" i="1"/>
  <c r="K231" i="1"/>
  <c r="AH231" i="1"/>
  <c r="K227" i="1"/>
  <c r="AH227" i="1"/>
  <c r="AH223" i="1"/>
  <c r="K223" i="1"/>
  <c r="K219" i="1"/>
  <c r="AH219" i="1"/>
  <c r="AH215" i="1"/>
  <c r="K215" i="1"/>
  <c r="K211" i="1"/>
  <c r="AH211" i="1"/>
  <c r="AH207" i="1"/>
  <c r="K207" i="1"/>
  <c r="K203" i="1"/>
  <c r="AH203" i="1"/>
  <c r="AH199" i="1"/>
  <c r="K199" i="1"/>
  <c r="K195" i="1"/>
  <c r="AH195" i="1"/>
  <c r="AH191" i="1"/>
  <c r="K191" i="1"/>
  <c r="K187" i="1"/>
  <c r="AH187" i="1"/>
  <c r="AH183" i="1"/>
  <c r="K183" i="1"/>
  <c r="K179" i="1"/>
  <c r="AH179" i="1"/>
  <c r="AH175" i="1"/>
  <c r="K175" i="1"/>
  <c r="K171" i="1"/>
  <c r="AH171" i="1"/>
  <c r="AH167" i="1"/>
  <c r="K167" i="1"/>
  <c r="K163" i="1"/>
  <c r="AH163" i="1"/>
  <c r="AH159" i="1"/>
  <c r="K159" i="1"/>
  <c r="K155" i="1"/>
  <c r="AH155" i="1"/>
  <c r="AH151" i="1"/>
  <c r="K151" i="1"/>
  <c r="K147" i="1"/>
  <c r="AH147" i="1"/>
  <c r="AH143" i="1"/>
  <c r="K143" i="1"/>
  <c r="K139" i="1"/>
  <c r="AH139" i="1"/>
  <c r="AH135" i="1"/>
  <c r="K135" i="1"/>
  <c r="K131" i="1"/>
  <c r="AH131" i="1"/>
  <c r="AH127" i="1"/>
  <c r="K127" i="1"/>
  <c r="K123" i="1"/>
  <c r="AH123" i="1"/>
  <c r="AH119" i="1"/>
  <c r="K119" i="1"/>
  <c r="K115" i="1"/>
  <c r="AH115" i="1"/>
  <c r="AH111" i="1"/>
  <c r="K111" i="1"/>
  <c r="K107" i="1"/>
  <c r="AH107" i="1"/>
  <c r="AH103" i="1"/>
  <c r="K103" i="1"/>
  <c r="K99" i="1"/>
  <c r="AH99" i="1"/>
  <c r="AH95" i="1"/>
  <c r="K95" i="1"/>
  <c r="K91" i="1"/>
  <c r="AH91" i="1"/>
  <c r="AH87" i="1"/>
  <c r="K87" i="1"/>
  <c r="K83" i="1"/>
  <c r="AH83" i="1"/>
  <c r="AH79" i="1"/>
  <c r="K79" i="1"/>
  <c r="AH75" i="1"/>
  <c r="K75" i="1"/>
  <c r="AH71" i="1"/>
  <c r="K71" i="1"/>
  <c r="K67" i="1"/>
  <c r="AH67" i="1"/>
  <c r="AH63" i="1"/>
  <c r="K63" i="1"/>
  <c r="K59" i="1"/>
  <c r="AH59" i="1"/>
  <c r="AH55" i="1"/>
  <c r="K55" i="1"/>
  <c r="K51" i="1"/>
  <c r="AH51" i="1"/>
  <c r="AH47" i="1"/>
  <c r="K47" i="1"/>
  <c r="K43" i="1"/>
  <c r="AH43" i="1"/>
  <c r="AH39" i="1"/>
  <c r="K39" i="1"/>
  <c r="D10" i="12"/>
  <c r="K35" i="1"/>
  <c r="AH35" i="1"/>
  <c r="AH31" i="1"/>
  <c r="K31" i="1"/>
  <c r="K27" i="1"/>
  <c r="AH27" i="1"/>
  <c r="AH23" i="1"/>
  <c r="K23" i="1"/>
  <c r="K19" i="1"/>
  <c r="AH19" i="1"/>
  <c r="AH15" i="1"/>
  <c r="K15" i="1"/>
  <c r="K11" i="1"/>
  <c r="AH11" i="1"/>
  <c r="N9" i="1"/>
  <c r="N409" i="1" s="1"/>
  <c r="M404" i="1"/>
  <c r="M409" i="1"/>
  <c r="N39" i="1"/>
  <c r="D11" i="12"/>
  <c r="P408" i="1"/>
  <c r="Q408" i="1"/>
  <c r="P407" i="1"/>
  <c r="T9" i="1"/>
  <c r="T409" i="1" s="1"/>
  <c r="S404" i="1"/>
  <c r="S409" i="1"/>
  <c r="D13" i="12"/>
  <c r="V408" i="1"/>
  <c r="V407" i="1"/>
  <c r="Z9" i="1"/>
  <c r="Z409" i="1" s="1"/>
  <c r="Y409" i="1"/>
  <c r="Y404" i="1"/>
  <c r="D15" i="12"/>
  <c r="AC408" i="1"/>
  <c r="AB408" i="1"/>
  <c r="AB407" i="1"/>
  <c r="AF9" i="1"/>
  <c r="AF409" i="1" s="1"/>
  <c r="AE409" i="1"/>
  <c r="AE404" i="1"/>
  <c r="D17" i="12"/>
  <c r="AK408" i="1"/>
  <c r="AK407" i="1"/>
  <c r="AO9" i="1"/>
  <c r="AO409" i="1" s="1"/>
  <c r="AN404" i="1"/>
  <c r="AN409" i="1"/>
  <c r="D19" i="12"/>
  <c r="AR408" i="1"/>
  <c r="AQ408" i="1"/>
  <c r="AQ407" i="1"/>
  <c r="AU9" i="1"/>
  <c r="AT404" i="1"/>
  <c r="AT409" i="1"/>
  <c r="D22" i="12"/>
  <c r="F11" i="4"/>
  <c r="AS409" i="1"/>
  <c r="M22" i="3" s="1"/>
  <c r="AS404" i="1"/>
  <c r="F13" i="4"/>
  <c r="H13" i="4" s="1"/>
  <c r="DX11" i="1"/>
  <c r="F15" i="4"/>
  <c r="H15" i="4" s="1"/>
  <c r="H12" i="24"/>
  <c r="DX13" i="1"/>
  <c r="F17" i="4"/>
  <c r="H17" i="4" s="1"/>
  <c r="DX15" i="1"/>
  <c r="F19" i="4"/>
  <c r="H19" i="4" s="1"/>
  <c r="H16" i="24"/>
  <c r="F21" i="4"/>
  <c r="H21" i="4" s="1"/>
  <c r="H18" i="24"/>
  <c r="H20" i="24"/>
  <c r="DX21" i="1"/>
  <c r="F23" i="4"/>
  <c r="H23" i="4" s="1"/>
  <c r="H22" i="24"/>
  <c r="F25" i="4"/>
  <c r="H25" i="4" s="1"/>
  <c r="F27" i="4"/>
  <c r="H27" i="4" s="1"/>
  <c r="H24" i="24"/>
  <c r="H26" i="24"/>
  <c r="F29" i="4"/>
  <c r="H29" i="4" s="1"/>
  <c r="DX29" i="1"/>
  <c r="F31" i="4"/>
  <c r="H31" i="4" s="1"/>
  <c r="H28" i="24"/>
  <c r="H30" i="24"/>
  <c r="F33" i="4"/>
  <c r="H33" i="4" s="1"/>
  <c r="F35" i="4"/>
  <c r="H35" i="4" s="1"/>
  <c r="H32" i="24"/>
  <c r="F37" i="4"/>
  <c r="H37" i="4" s="1"/>
  <c r="DX35" i="1"/>
  <c r="F39" i="4"/>
  <c r="H39" i="4" s="1"/>
  <c r="DX37" i="1"/>
  <c r="H36" i="24"/>
  <c r="F41" i="4"/>
  <c r="H41" i="4" s="1"/>
  <c r="C22" i="12"/>
  <c r="F43" i="4"/>
  <c r="H43" i="4" s="1"/>
  <c r="H40" i="24"/>
  <c r="DX43" i="1"/>
  <c r="F45" i="4"/>
  <c r="H45" i="4" s="1"/>
  <c r="H44" i="24"/>
  <c r="DX45" i="1"/>
  <c r="F47" i="4"/>
  <c r="H47" i="4" s="1"/>
  <c r="F49" i="4"/>
  <c r="H49" i="4" s="1"/>
  <c r="H46" i="24"/>
  <c r="F51" i="4"/>
  <c r="H51" i="4" s="1"/>
  <c r="H48" i="24"/>
  <c r="F53" i="4"/>
  <c r="H53" i="4" s="1"/>
  <c r="H50" i="24"/>
  <c r="DX51" i="1"/>
  <c r="H52" i="24"/>
  <c r="F55" i="4"/>
  <c r="H55" i="4" s="1"/>
  <c r="DX53" i="1"/>
  <c r="F57" i="4"/>
  <c r="H57" i="4" s="1"/>
  <c r="DX55" i="1"/>
  <c r="F59" i="4"/>
  <c r="H59" i="4" s="1"/>
  <c r="DX57" i="1"/>
  <c r="F61" i="4"/>
  <c r="H61" i="4" s="1"/>
  <c r="H58" i="24"/>
  <c r="H60" i="24"/>
  <c r="DX61" i="1"/>
  <c r="F63" i="4"/>
  <c r="H63" i="4" s="1"/>
  <c r="F65" i="4"/>
  <c r="H65" i="4" s="1"/>
  <c r="DX63" i="1"/>
  <c r="H62" i="24"/>
  <c r="F67" i="4"/>
  <c r="H67" i="4" s="1"/>
  <c r="H64" i="24"/>
  <c r="F69" i="4"/>
  <c r="H69" i="4" s="1"/>
  <c r="DX67" i="1"/>
  <c r="H66" i="24"/>
  <c r="F71" i="4"/>
  <c r="H71" i="4" s="1"/>
  <c r="H68" i="24"/>
  <c r="DX69" i="1"/>
  <c r="F73" i="4"/>
  <c r="H73" i="4" s="1"/>
  <c r="DX71" i="1"/>
  <c r="H70" i="24"/>
  <c r="F75" i="4"/>
  <c r="H75" i="4" s="1"/>
  <c r="DX73" i="1"/>
  <c r="F77" i="4"/>
  <c r="H77" i="4" s="1"/>
  <c r="H74" i="24"/>
  <c r="H76" i="24"/>
  <c r="DX77" i="1"/>
  <c r="F79" i="4"/>
  <c r="H79" i="4" s="1"/>
  <c r="F81" i="4"/>
  <c r="H81" i="4" s="1"/>
  <c r="DX79" i="1"/>
  <c r="F83" i="4"/>
  <c r="H83" i="4" s="1"/>
  <c r="H80" i="24"/>
  <c r="F85" i="4"/>
  <c r="H85" i="4" s="1"/>
  <c r="DX83" i="1"/>
  <c r="H84" i="24"/>
  <c r="F87" i="4"/>
  <c r="H87" i="4" s="1"/>
  <c r="DX85" i="1"/>
  <c r="F89" i="4"/>
  <c r="H89" i="4" s="1"/>
  <c r="H86" i="24"/>
  <c r="DX87" i="1"/>
  <c r="F91" i="4"/>
  <c r="H91" i="4" s="1"/>
  <c r="DX89" i="1"/>
  <c r="DX91" i="1"/>
  <c r="F93" i="4"/>
  <c r="H93" i="4" s="1"/>
  <c r="F95" i="4"/>
  <c r="H95" i="4" s="1"/>
  <c r="DX93" i="1"/>
  <c r="H92" i="24"/>
  <c r="F97" i="4"/>
  <c r="H97" i="4" s="1"/>
  <c r="H94" i="24"/>
  <c r="F99" i="4"/>
  <c r="H99" i="4" s="1"/>
  <c r="DX97" i="1"/>
  <c r="F101" i="4"/>
  <c r="H101" i="4" s="1"/>
  <c r="DX99" i="1"/>
  <c r="F103" i="4"/>
  <c r="H103" i="4" s="1"/>
  <c r="DX101" i="1"/>
  <c r="H100" i="24"/>
  <c r="F105" i="4"/>
  <c r="H105" i="4" s="1"/>
  <c r="H102" i="24"/>
  <c r="F107" i="4"/>
  <c r="H107" i="4" s="1"/>
  <c r="H104" i="24"/>
  <c r="F109" i="4"/>
  <c r="H109" i="4" s="1"/>
  <c r="H106" i="24"/>
  <c r="DX107" i="1"/>
  <c r="H108" i="24"/>
  <c r="DX109" i="1"/>
  <c r="F111" i="4"/>
  <c r="H111" i="4" s="1"/>
  <c r="F113" i="4"/>
  <c r="H113" i="4" s="1"/>
  <c r="DX111" i="1"/>
  <c r="F115" i="4"/>
  <c r="H115" i="4" s="1"/>
  <c r="H112" i="24"/>
  <c r="F117" i="4"/>
  <c r="H117" i="4" s="1"/>
  <c r="DX115" i="1"/>
  <c r="H114" i="24"/>
  <c r="DX117" i="1"/>
  <c r="F119" i="4"/>
  <c r="H119" i="4" s="1"/>
  <c r="H116" i="24"/>
  <c r="F121" i="4"/>
  <c r="H121" i="4" s="1"/>
  <c r="H118" i="24"/>
  <c r="DX119" i="1"/>
  <c r="F123" i="4"/>
  <c r="H123" i="4" s="1"/>
  <c r="DX121" i="1"/>
  <c r="F125" i="4"/>
  <c r="H125" i="4" s="1"/>
  <c r="H122" i="24"/>
  <c r="H124" i="24"/>
  <c r="F127" i="4"/>
  <c r="H127" i="4" s="1"/>
  <c r="DX125" i="1"/>
  <c r="F129" i="4"/>
  <c r="H129" i="4" s="1"/>
  <c r="H126" i="24"/>
  <c r="F131" i="4"/>
  <c r="H131" i="4" s="1"/>
  <c r="DX129" i="1"/>
  <c r="F133" i="4"/>
  <c r="H133" i="4" s="1"/>
  <c r="H130" i="24"/>
  <c r="H132" i="24"/>
  <c r="F135" i="4"/>
  <c r="H135" i="4" s="1"/>
  <c r="DX133" i="1"/>
  <c r="F137" i="4"/>
  <c r="H137" i="4" s="1"/>
  <c r="DX135" i="1"/>
  <c r="H134" i="24"/>
  <c r="F139" i="4"/>
  <c r="H139" i="4" s="1"/>
  <c r="DX137" i="1"/>
  <c r="F141" i="4"/>
  <c r="H141" i="4" s="1"/>
  <c r="H138" i="24"/>
  <c r="DX139" i="1"/>
  <c r="DX141" i="1"/>
  <c r="F143" i="4"/>
  <c r="H143" i="4" s="1"/>
  <c r="H140" i="24"/>
  <c r="F145" i="4"/>
  <c r="H145" i="4" s="1"/>
  <c r="DX143" i="1"/>
  <c r="H142" i="24"/>
  <c r="F147" i="4"/>
  <c r="H147" i="4" s="1"/>
  <c r="H144" i="24"/>
  <c r="F149" i="4"/>
  <c r="H149" i="4" s="1"/>
  <c r="DX147" i="1"/>
  <c r="F151" i="4"/>
  <c r="H151" i="4" s="1"/>
  <c r="DX149" i="1"/>
  <c r="H148" i="24"/>
  <c r="F153" i="4"/>
  <c r="H153" i="4" s="1"/>
  <c r="H150" i="24"/>
  <c r="DX151" i="1"/>
  <c r="F155" i="4"/>
  <c r="H155" i="4" s="1"/>
  <c r="H152" i="24"/>
  <c r="F157" i="4"/>
  <c r="H157" i="4" s="1"/>
  <c r="H154" i="24"/>
  <c r="DX155" i="1"/>
  <c r="F159" i="4"/>
  <c r="H159" i="4" s="1"/>
  <c r="DX157" i="1"/>
  <c r="H156" i="24"/>
  <c r="F161" i="4"/>
  <c r="H161" i="4" s="1"/>
  <c r="DX159" i="1"/>
  <c r="F163" i="4"/>
  <c r="H163" i="4" s="1"/>
  <c r="DX161" i="1"/>
  <c r="F165" i="4"/>
  <c r="H165" i="4" s="1"/>
  <c r="H162" i="24"/>
  <c r="F167" i="4"/>
  <c r="H167" i="4" s="1"/>
  <c r="DX165" i="1"/>
  <c r="H164" i="24"/>
  <c r="DX167" i="1"/>
  <c r="F169" i="4"/>
  <c r="H169" i="4" s="1"/>
  <c r="F171" i="4"/>
  <c r="H171" i="4" s="1"/>
  <c r="DX169" i="1"/>
  <c r="F173" i="4"/>
  <c r="H173" i="4" s="1"/>
  <c r="DX171" i="1"/>
  <c r="F175" i="4"/>
  <c r="H175" i="4" s="1"/>
  <c r="DX173" i="1"/>
  <c r="H172" i="24"/>
  <c r="F177" i="4"/>
  <c r="H177" i="4" s="1"/>
  <c r="DX175" i="1"/>
  <c r="H174" i="24"/>
  <c r="F179" i="4"/>
  <c r="H179" i="4" s="1"/>
  <c r="DX177" i="1"/>
  <c r="F181" i="4"/>
  <c r="H181" i="4" s="1"/>
  <c r="DX179" i="1"/>
  <c r="H180" i="24"/>
  <c r="DX181" i="1"/>
  <c r="F183" i="4"/>
  <c r="H183" i="4" s="1"/>
  <c r="F185" i="4"/>
  <c r="H185" i="4" s="1"/>
  <c r="H182" i="24"/>
  <c r="DX183" i="1"/>
  <c r="F187" i="4"/>
  <c r="H187" i="4" s="1"/>
  <c r="H184" i="24"/>
  <c r="F189" i="4"/>
  <c r="H189" i="4" s="1"/>
  <c r="DX187" i="1"/>
  <c r="H186" i="24"/>
  <c r="F191" i="4"/>
  <c r="H191" i="4" s="1"/>
  <c r="DX189" i="1"/>
  <c r="H188" i="24"/>
  <c r="F193" i="4"/>
  <c r="H193" i="4" s="1"/>
  <c r="H190" i="24"/>
  <c r="F195" i="4"/>
  <c r="H195" i="4" s="1"/>
  <c r="DX193" i="1"/>
  <c r="DX195" i="1"/>
  <c r="F197" i="4"/>
  <c r="H197" i="4" s="1"/>
  <c r="F199" i="4"/>
  <c r="H199" i="4" s="1"/>
  <c r="H196" i="24"/>
  <c r="DX197" i="1"/>
  <c r="H198" i="24"/>
  <c r="F201" i="4"/>
  <c r="H201" i="4" s="1"/>
  <c r="F203" i="4"/>
  <c r="H203" i="4" s="1"/>
  <c r="H200" i="24"/>
  <c r="F205" i="4"/>
  <c r="H205" i="4" s="1"/>
  <c r="H202" i="24"/>
  <c r="DX203" i="1"/>
  <c r="F207" i="4"/>
  <c r="H207" i="4" s="1"/>
  <c r="H204" i="24"/>
  <c r="DX205" i="1"/>
  <c r="F209" i="4"/>
  <c r="H209" i="4" s="1"/>
  <c r="H206" i="24"/>
  <c r="DX207" i="1"/>
  <c r="F211" i="4"/>
  <c r="H211" i="4" s="1"/>
  <c r="DX209" i="1"/>
  <c r="F213" i="4"/>
  <c r="H213" i="4" s="1"/>
  <c r="H210" i="24"/>
  <c r="H212" i="24"/>
  <c r="F215" i="4"/>
  <c r="H215" i="4" s="1"/>
  <c r="DX213" i="1"/>
  <c r="F217" i="4"/>
  <c r="H217" i="4" s="1"/>
  <c r="DX215" i="1"/>
  <c r="F219" i="4"/>
  <c r="H219" i="4" s="1"/>
  <c r="DX217" i="1"/>
  <c r="F221" i="4"/>
  <c r="H221" i="4" s="1"/>
  <c r="DX219" i="1"/>
  <c r="H218" i="24"/>
  <c r="F223" i="4"/>
  <c r="H223" i="4" s="1"/>
  <c r="H220" i="24"/>
  <c r="DX221" i="1"/>
  <c r="F225" i="4"/>
  <c r="H225" i="4" s="1"/>
  <c r="H222" i="24"/>
  <c r="F227" i="4"/>
  <c r="H227" i="4" s="1"/>
  <c r="H224" i="24"/>
  <c r="F229" i="4"/>
  <c r="H229" i="4" s="1"/>
  <c r="H226" i="24"/>
  <c r="DX227" i="1"/>
  <c r="H228" i="24"/>
  <c r="F231" i="4"/>
  <c r="H231" i="4" s="1"/>
  <c r="DX229" i="1"/>
  <c r="H230" i="24"/>
  <c r="F233" i="4"/>
  <c r="H233" i="4" s="1"/>
  <c r="F235" i="4"/>
  <c r="H235" i="4" s="1"/>
  <c r="H232" i="24"/>
  <c r="H234" i="24"/>
  <c r="F237" i="4"/>
  <c r="H237" i="4" s="1"/>
  <c r="F239" i="4"/>
  <c r="H239" i="4" s="1"/>
  <c r="H236" i="24"/>
  <c r="DX237" i="1"/>
  <c r="F241" i="4"/>
  <c r="H241" i="4" s="1"/>
  <c r="H238" i="24"/>
  <c r="F243" i="4"/>
  <c r="H243" i="4" s="1"/>
  <c r="H240" i="24"/>
  <c r="F245" i="4"/>
  <c r="H245" i="4" s="1"/>
  <c r="H242" i="24"/>
  <c r="DX245" i="1"/>
  <c r="H244" i="24"/>
  <c r="F247" i="4"/>
  <c r="H247" i="4" s="1"/>
  <c r="F249" i="4"/>
  <c r="H249" i="4" s="1"/>
  <c r="DX247" i="1"/>
  <c r="F251" i="4"/>
  <c r="H251" i="4" s="1"/>
  <c r="DX249" i="1"/>
  <c r="H250" i="24"/>
  <c r="F253" i="4"/>
  <c r="H253" i="4" s="1"/>
  <c r="F255" i="4"/>
  <c r="H255" i="4" s="1"/>
  <c r="DX253" i="1"/>
  <c r="H252" i="24"/>
  <c r="F257" i="4"/>
  <c r="H257" i="4" s="1"/>
  <c r="H254" i="24"/>
  <c r="DX255" i="1"/>
  <c r="F259" i="4"/>
  <c r="H259" i="4" s="1"/>
  <c r="DX257" i="1"/>
  <c r="F261" i="4"/>
  <c r="H261" i="4" s="1"/>
  <c r="H258" i="24"/>
  <c r="DX261" i="1"/>
  <c r="H260" i="24"/>
  <c r="F263" i="4"/>
  <c r="H263" i="4" s="1"/>
  <c r="F265" i="4"/>
  <c r="H265" i="4" s="1"/>
  <c r="DX263" i="1"/>
  <c r="F267" i="4"/>
  <c r="H267" i="4" s="1"/>
  <c r="DX265" i="1"/>
  <c r="F269" i="4"/>
  <c r="H269" i="4" s="1"/>
  <c r="H266" i="24"/>
  <c r="F271" i="4"/>
  <c r="H271" i="4" s="1"/>
  <c r="H268" i="24"/>
  <c r="DX269" i="1"/>
  <c r="F273" i="4"/>
  <c r="H273" i="4" s="1"/>
  <c r="H270" i="24"/>
  <c r="DX271" i="1"/>
  <c r="F275" i="4"/>
  <c r="H275" i="4" s="1"/>
  <c r="DX273" i="1"/>
  <c r="F277" i="4"/>
  <c r="H277" i="4" s="1"/>
  <c r="H274" i="24"/>
  <c r="F279" i="4"/>
  <c r="H279" i="4" s="1"/>
  <c r="DX277" i="1"/>
  <c r="H276" i="24"/>
  <c r="DX279" i="1"/>
  <c r="F281" i="4"/>
  <c r="H281" i="4" s="1"/>
  <c r="F283" i="4"/>
  <c r="H283" i="4" s="1"/>
  <c r="H280" i="24"/>
  <c r="F285" i="4"/>
  <c r="H285" i="4" s="1"/>
  <c r="H282" i="24"/>
  <c r="F287" i="4"/>
  <c r="H287" i="4" s="1"/>
  <c r="H284" i="24"/>
  <c r="DX285" i="1"/>
  <c r="F289" i="4"/>
  <c r="H289" i="4" s="1"/>
  <c r="DX287" i="1"/>
  <c r="F291" i="4"/>
  <c r="H291" i="4" s="1"/>
  <c r="H288" i="24"/>
  <c r="F293" i="4"/>
  <c r="H293" i="4" s="1"/>
  <c r="H290" i="24"/>
  <c r="DX293" i="1"/>
  <c r="F295" i="4"/>
  <c r="H295" i="4" s="1"/>
  <c r="H292" i="24"/>
  <c r="F297" i="4"/>
  <c r="H297" i="4" s="1"/>
  <c r="H294" i="24"/>
  <c r="DX295" i="1"/>
  <c r="F299" i="4"/>
  <c r="H299" i="4" s="1"/>
  <c r="DX297" i="1"/>
  <c r="F301" i="4"/>
  <c r="H301" i="4" s="1"/>
  <c r="H298" i="24"/>
  <c r="DX299" i="1"/>
  <c r="F303" i="4"/>
  <c r="H303" i="4" s="1"/>
  <c r="H300" i="24"/>
  <c r="DX301" i="1"/>
  <c r="F305" i="4"/>
  <c r="H305" i="4" s="1"/>
  <c r="H302" i="24"/>
  <c r="DX303" i="1"/>
  <c r="F307" i="4"/>
  <c r="H307" i="4" s="1"/>
  <c r="DX305" i="1"/>
  <c r="F309" i="4"/>
  <c r="H309" i="4" s="1"/>
  <c r="DX307" i="1"/>
  <c r="DX309" i="1"/>
  <c r="F311" i="4"/>
  <c r="H311" i="4" s="1"/>
  <c r="F313" i="4"/>
  <c r="H313" i="4" s="1"/>
  <c r="H310" i="24"/>
  <c r="DX311" i="1"/>
  <c r="F315" i="4"/>
  <c r="H315" i="4" s="1"/>
  <c r="DX313" i="1"/>
  <c r="F317" i="4"/>
  <c r="H317" i="4" s="1"/>
  <c r="DX315" i="1"/>
  <c r="F319" i="4"/>
  <c r="H319" i="4" s="1"/>
  <c r="H316" i="24"/>
  <c r="F321" i="4"/>
  <c r="H321" i="4" s="1"/>
  <c r="DX319" i="1"/>
  <c r="H318" i="24"/>
  <c r="F323" i="4"/>
  <c r="H323" i="4" s="1"/>
  <c r="H320" i="24"/>
  <c r="F325" i="4"/>
  <c r="H325" i="4" s="1"/>
  <c r="DX323" i="1"/>
  <c r="F327" i="4"/>
  <c r="H327" i="4" s="1"/>
  <c r="DX325" i="1"/>
  <c r="F329" i="4"/>
  <c r="H329" i="4" s="1"/>
  <c r="DX327" i="1"/>
  <c r="H326" i="24"/>
  <c r="F331" i="4"/>
  <c r="H331" i="4" s="1"/>
  <c r="DX329" i="1"/>
  <c r="F333" i="4"/>
  <c r="H333" i="4" s="1"/>
  <c r="DX331" i="1"/>
  <c r="F335" i="4"/>
  <c r="H335" i="4" s="1"/>
  <c r="H332" i="24"/>
  <c r="F337" i="4"/>
  <c r="H337" i="4" s="1"/>
  <c r="H334" i="24"/>
  <c r="DX335" i="1"/>
  <c r="F339" i="4"/>
  <c r="H339" i="4" s="1"/>
  <c r="H336" i="24"/>
  <c r="DX337" i="1"/>
  <c r="F341" i="4"/>
  <c r="H341" i="4" s="1"/>
  <c r="H338" i="24"/>
  <c r="F343" i="4"/>
  <c r="H343" i="4" s="1"/>
  <c r="DX341" i="1"/>
  <c r="DX343" i="1"/>
  <c r="H342" i="24"/>
  <c r="F345" i="4"/>
  <c r="H345" i="4" s="1"/>
  <c r="F347" i="4"/>
  <c r="H347" i="4" s="1"/>
  <c r="H344" i="24"/>
  <c r="F349" i="4"/>
  <c r="H349" i="4" s="1"/>
  <c r="DX347" i="1"/>
  <c r="F351" i="4"/>
  <c r="H351" i="4" s="1"/>
  <c r="DX349" i="1"/>
  <c r="F353" i="4"/>
  <c r="H353" i="4" s="1"/>
  <c r="H350" i="24"/>
  <c r="DX351" i="1"/>
  <c r="F355" i="4"/>
  <c r="H355" i="4" s="1"/>
  <c r="H352" i="24"/>
  <c r="DX353" i="1"/>
  <c r="F357" i="4"/>
  <c r="H357" i="4" s="1"/>
  <c r="DX355" i="1"/>
  <c r="F359" i="4"/>
  <c r="H359" i="4" s="1"/>
  <c r="H356" i="24"/>
  <c r="H358" i="24"/>
  <c r="DX359" i="1"/>
  <c r="F361" i="4"/>
  <c r="H361" i="4" s="1"/>
  <c r="F363" i="4"/>
  <c r="H363" i="4" s="1"/>
  <c r="DX361" i="1"/>
  <c r="H360" i="24"/>
  <c r="F365" i="4"/>
  <c r="H365" i="4" s="1"/>
  <c r="H362" i="24"/>
  <c r="F367" i="4"/>
  <c r="H367" i="4" s="1"/>
  <c r="H364" i="24"/>
  <c r="DX367" i="1"/>
  <c r="H366" i="24"/>
  <c r="F369" i="4"/>
  <c r="H369" i="4" s="1"/>
  <c r="F371" i="4"/>
  <c r="H371" i="4" s="1"/>
  <c r="DX369" i="1"/>
  <c r="F373" i="4"/>
  <c r="H373" i="4" s="1"/>
  <c r="H370" i="24"/>
  <c r="F375" i="4"/>
  <c r="H375" i="4" s="1"/>
  <c r="DX373" i="1"/>
  <c r="F377" i="4"/>
  <c r="H377" i="4" s="1"/>
  <c r="DX375" i="1"/>
  <c r="H374" i="24"/>
  <c r="DX377" i="1"/>
  <c r="F379" i="4"/>
  <c r="H379" i="4" s="1"/>
  <c r="F381" i="4"/>
  <c r="H381" i="4" s="1"/>
  <c r="H378" i="24"/>
  <c r="F383" i="4"/>
  <c r="H383" i="4" s="1"/>
  <c r="H380" i="24"/>
  <c r="H382" i="24"/>
  <c r="DX383" i="1"/>
  <c r="F385" i="4"/>
  <c r="H385" i="4" s="1"/>
  <c r="H384" i="24"/>
  <c r="F387" i="4"/>
  <c r="H387" i="4" s="1"/>
  <c r="F389" i="4"/>
  <c r="H389" i="4" s="1"/>
  <c r="DX387" i="1"/>
  <c r="F391" i="4"/>
  <c r="H391" i="4" s="1"/>
  <c r="H388" i="24"/>
  <c r="DX391" i="1"/>
  <c r="F393" i="4"/>
  <c r="H393" i="4" s="1"/>
  <c r="H390" i="24"/>
  <c r="F395" i="4"/>
  <c r="H395" i="4" s="1"/>
  <c r="DX393" i="1"/>
  <c r="H394" i="24"/>
  <c r="F397" i="4"/>
  <c r="H397" i="4" s="1"/>
  <c r="F399" i="4"/>
  <c r="H399" i="4" s="1"/>
  <c r="H396" i="24"/>
  <c r="H398" i="24"/>
  <c r="F401" i="4"/>
  <c r="H401" i="4" s="1"/>
  <c r="DX399" i="1"/>
  <c r="F403" i="4"/>
  <c r="H403" i="4" s="1"/>
  <c r="DX401" i="1"/>
  <c r="F405" i="4"/>
  <c r="H405" i="4" s="1"/>
  <c r="DX403" i="1"/>
  <c r="BQ10" i="1"/>
  <c r="DX10" i="1" s="1"/>
  <c r="AV408" i="1"/>
  <c r="J24" i="3" s="1"/>
  <c r="DX14" i="1"/>
  <c r="DX16" i="1"/>
  <c r="BQ18" i="1"/>
  <c r="H17" i="24" s="1"/>
  <c r="AV407" i="1"/>
  <c r="DX24" i="1"/>
  <c r="DX32" i="1"/>
  <c r="DX40" i="1"/>
  <c r="H41" i="24"/>
  <c r="H43" i="24"/>
  <c r="H47" i="24"/>
  <c r="H55" i="24"/>
  <c r="H63" i="24"/>
  <c r="H65" i="24"/>
  <c r="H71" i="24"/>
  <c r="DX74" i="1"/>
  <c r="H79" i="24"/>
  <c r="DX82" i="1"/>
  <c r="DX84" i="1"/>
  <c r="DX88" i="1"/>
  <c r="DX90" i="1"/>
  <c r="DX92" i="1"/>
  <c r="H95" i="24"/>
  <c r="H99" i="24"/>
  <c r="DX104" i="1"/>
  <c r="H111" i="24"/>
  <c r="DX116" i="1"/>
  <c r="H119" i="24"/>
  <c r="DX124" i="1"/>
  <c r="DX128" i="1"/>
  <c r="H129" i="24"/>
  <c r="H131" i="24"/>
  <c r="H135" i="24"/>
  <c r="DX144" i="1"/>
  <c r="DX146" i="1"/>
  <c r="DX148" i="1"/>
  <c r="DX152" i="1"/>
  <c r="DX160" i="1"/>
  <c r="H167" i="24"/>
  <c r="H175" i="24"/>
  <c r="DX184" i="1"/>
  <c r="H191" i="24"/>
  <c r="DX194" i="1"/>
  <c r="H199" i="24"/>
  <c r="DX204" i="1"/>
  <c r="H207" i="24"/>
  <c r="DX216" i="1"/>
  <c r="DX224" i="1"/>
  <c r="DX226" i="1"/>
  <c r="DX228" i="1"/>
  <c r="H231" i="24"/>
  <c r="DX240" i="1"/>
  <c r="H241" i="24"/>
  <c r="DX244" i="1"/>
  <c r="DX248" i="1"/>
  <c r="H249" i="24"/>
  <c r="DX252" i="1"/>
  <c r="DX256" i="1"/>
  <c r="H259" i="24"/>
  <c r="DX264" i="1"/>
  <c r="H271" i="24"/>
  <c r="DX280" i="1"/>
  <c r="H281" i="24"/>
  <c r="H283" i="24"/>
  <c r="DX288" i="1"/>
  <c r="DX290" i="1"/>
  <c r="H295" i="24"/>
  <c r="H303" i="24"/>
  <c r="DX306" i="1"/>
  <c r="H311" i="24"/>
  <c r="DX314" i="1"/>
  <c r="DX316" i="1"/>
  <c r="H319" i="24"/>
  <c r="DX322" i="1"/>
  <c r="H323" i="24"/>
  <c r="DX328" i="1"/>
  <c r="DX330" i="1"/>
  <c r="H335" i="24"/>
  <c r="H337" i="24"/>
  <c r="DX344" i="1"/>
  <c r="H351" i="24"/>
  <c r="H353" i="24"/>
  <c r="DX360" i="1"/>
  <c r="DX362" i="1"/>
  <c r="DX364" i="1"/>
  <c r="DX368" i="1"/>
  <c r="DX376" i="1"/>
  <c r="DX378" i="1"/>
  <c r="DX380" i="1"/>
  <c r="DX384" i="1"/>
  <c r="H385" i="24"/>
  <c r="H387" i="24"/>
  <c r="H391" i="24"/>
  <c r="H393" i="24"/>
  <c r="DX400" i="1"/>
  <c r="DX402" i="1"/>
  <c r="AY404" i="1"/>
  <c r="C25" i="3" s="1"/>
  <c r="AY409" i="1"/>
  <c r="M25" i="3" s="1"/>
  <c r="BB408" i="1"/>
  <c r="J26" i="3" s="1"/>
  <c r="BB407" i="1"/>
  <c r="BE409" i="1"/>
  <c r="M27" i="3" s="1"/>
  <c r="BE404" i="1"/>
  <c r="C27" i="3" s="1"/>
  <c r="BH407" i="1"/>
  <c r="BK409" i="1"/>
  <c r="M29" i="3" s="1"/>
  <c r="BK404" i="1"/>
  <c r="C29" i="3" s="1"/>
  <c r="BN408" i="1"/>
  <c r="J30" i="3" s="1"/>
  <c r="BN407" i="1"/>
  <c r="BT409" i="1"/>
  <c r="M32" i="3" s="1"/>
  <c r="BT404" i="1"/>
  <c r="C32" i="3" s="1"/>
  <c r="C32" i="12"/>
  <c r="C43" i="12"/>
  <c r="C44" i="12"/>
  <c r="G33" i="3"/>
  <c r="BZ409" i="1"/>
  <c r="M34" i="3" s="1"/>
  <c r="BZ404" i="1"/>
  <c r="C34" i="3" s="1"/>
  <c r="G35" i="3"/>
  <c r="CF409" i="1"/>
  <c r="M36" i="3" s="1"/>
  <c r="CF404" i="1"/>
  <c r="C36" i="3" s="1"/>
  <c r="CI408" i="1"/>
  <c r="J38" i="3" s="1"/>
  <c r="J37" i="3" s="1"/>
  <c r="CO10" i="1"/>
  <c r="CO18" i="1"/>
  <c r="CI407" i="1"/>
  <c r="CL409" i="1"/>
  <c r="M39" i="3" s="1"/>
  <c r="CL404" i="1"/>
  <c r="C39" i="3" s="1"/>
  <c r="H53" i="12"/>
  <c r="H64" i="12" s="1"/>
  <c r="E64" i="12"/>
  <c r="I65" i="12" s="1"/>
  <c r="BR10" i="1"/>
  <c r="I9" i="24" s="1"/>
  <c r="AW408" i="1"/>
  <c r="BR12" i="1"/>
  <c r="BS12" i="1" s="1"/>
  <c r="BR14" i="1"/>
  <c r="BR16" i="1"/>
  <c r="BS16" i="1" s="1"/>
  <c r="BR18" i="1"/>
  <c r="AW407" i="1"/>
  <c r="BR20" i="1"/>
  <c r="BS20" i="1" s="1"/>
  <c r="BR22" i="1"/>
  <c r="BS22" i="1" s="1"/>
  <c r="BR24" i="1"/>
  <c r="BR26" i="1"/>
  <c r="BR28" i="1"/>
  <c r="BS28" i="1" s="1"/>
  <c r="BR30" i="1"/>
  <c r="BR32" i="1"/>
  <c r="BS32" i="1" s="1"/>
  <c r="BR34" i="1"/>
  <c r="DY34" i="1" s="1"/>
  <c r="BR36" i="1"/>
  <c r="BS36" i="1" s="1"/>
  <c r="BR38" i="1"/>
  <c r="I37" i="24" s="1"/>
  <c r="BR40" i="1"/>
  <c r="BR42" i="1"/>
  <c r="I41" i="24" s="1"/>
  <c r="BR44" i="1"/>
  <c r="BS44" i="1" s="1"/>
  <c r="BR46" i="1"/>
  <c r="BS46" i="1" s="1"/>
  <c r="BR48" i="1"/>
  <c r="BS48" i="1" s="1"/>
  <c r="BR50" i="1"/>
  <c r="I49" i="24" s="1"/>
  <c r="BR52" i="1"/>
  <c r="BS52" i="1" s="1"/>
  <c r="BR54" i="1"/>
  <c r="BS54" i="1" s="1"/>
  <c r="BR56" i="1"/>
  <c r="BS56" i="1" s="1"/>
  <c r="BR58" i="1"/>
  <c r="BR60" i="1"/>
  <c r="BS60" i="1" s="1"/>
  <c r="BR62" i="1"/>
  <c r="BS62" i="1" s="1"/>
  <c r="BR64" i="1"/>
  <c r="BS64" i="1" s="1"/>
  <c r="BR66" i="1"/>
  <c r="BR68" i="1"/>
  <c r="BR70" i="1"/>
  <c r="BS70" i="1" s="1"/>
  <c r="BR72" i="1"/>
  <c r="BR74" i="1"/>
  <c r="BR76" i="1"/>
  <c r="BS76" i="1" s="1"/>
  <c r="BR78" i="1"/>
  <c r="BS78" i="1" s="1"/>
  <c r="BR80" i="1"/>
  <c r="BS80" i="1" s="1"/>
  <c r="BR82" i="1"/>
  <c r="BR84" i="1"/>
  <c r="BR86" i="1"/>
  <c r="BS86" i="1" s="1"/>
  <c r="BR88" i="1"/>
  <c r="BR90" i="1"/>
  <c r="BR92" i="1"/>
  <c r="BR94" i="1"/>
  <c r="DY94" i="1" s="1"/>
  <c r="BR96" i="1"/>
  <c r="BS96" i="1" s="1"/>
  <c r="BR98" i="1"/>
  <c r="BS98" i="1" s="1"/>
  <c r="BR100" i="1"/>
  <c r="BS100" i="1" s="1"/>
  <c r="BR102" i="1"/>
  <c r="BS102" i="1" s="1"/>
  <c r="BR104" i="1"/>
  <c r="BR106" i="1"/>
  <c r="I105" i="24" s="1"/>
  <c r="BR108" i="1"/>
  <c r="BR110" i="1"/>
  <c r="BS110" i="1" s="1"/>
  <c r="BR112" i="1"/>
  <c r="BR114" i="1"/>
  <c r="I113" i="24" s="1"/>
  <c r="BR116" i="1"/>
  <c r="BR118" i="1"/>
  <c r="BS118" i="1" s="1"/>
  <c r="BR120" i="1"/>
  <c r="BR122" i="1"/>
  <c r="I121" i="24" s="1"/>
  <c r="BR124" i="1"/>
  <c r="BS124" i="1" s="1"/>
  <c r="BR126" i="1"/>
  <c r="BS126" i="1" s="1"/>
  <c r="BR128" i="1"/>
  <c r="BS128" i="1" s="1"/>
  <c r="BR130" i="1"/>
  <c r="DY130" i="1" s="1"/>
  <c r="BR132" i="1"/>
  <c r="BR134" i="1"/>
  <c r="BS134" i="1" s="1"/>
  <c r="BR136" i="1"/>
  <c r="BS136" i="1" s="1"/>
  <c r="BR138" i="1"/>
  <c r="BR140" i="1"/>
  <c r="BS140" i="1" s="1"/>
  <c r="BR142" i="1"/>
  <c r="BS142" i="1" s="1"/>
  <c r="BR144" i="1"/>
  <c r="BR146" i="1"/>
  <c r="I145" i="24" s="1"/>
  <c r="BR148" i="1"/>
  <c r="BR150" i="1"/>
  <c r="BS150" i="1" s="1"/>
  <c r="BR152" i="1"/>
  <c r="BS152" i="1" s="1"/>
  <c r="BR154" i="1"/>
  <c r="BR156" i="1"/>
  <c r="BS156" i="1" s="1"/>
  <c r="BR158" i="1"/>
  <c r="BS158" i="1" s="1"/>
  <c r="BR160" i="1"/>
  <c r="BR162" i="1"/>
  <c r="DY162" i="1" s="1"/>
  <c r="BR164" i="1"/>
  <c r="BS164" i="1" s="1"/>
  <c r="BR166" i="1"/>
  <c r="BS166" i="1" s="1"/>
  <c r="BR168" i="1"/>
  <c r="BS168" i="1" s="1"/>
  <c r="BR170" i="1"/>
  <c r="I169" i="24" s="1"/>
  <c r="BR172" i="1"/>
  <c r="BS172" i="1" s="1"/>
  <c r="BR174" i="1"/>
  <c r="I173" i="24" s="1"/>
  <c r="BR176" i="1"/>
  <c r="BS176" i="1" s="1"/>
  <c r="BR178" i="1"/>
  <c r="I177" i="24" s="1"/>
  <c r="BR180" i="1"/>
  <c r="BS180" i="1" s="1"/>
  <c r="BR182" i="1"/>
  <c r="BS182" i="1" s="1"/>
  <c r="BR184" i="1"/>
  <c r="BS184" i="1" s="1"/>
  <c r="BR186" i="1"/>
  <c r="BS186" i="1" s="1"/>
  <c r="BR188" i="1"/>
  <c r="BS188" i="1" s="1"/>
  <c r="BR190" i="1"/>
  <c r="BS190" i="1" s="1"/>
  <c r="BR192" i="1"/>
  <c r="BS192" i="1" s="1"/>
  <c r="BR194" i="1"/>
  <c r="I193" i="24" s="1"/>
  <c r="BR196" i="1"/>
  <c r="BR198" i="1"/>
  <c r="DY198" i="1" s="1"/>
  <c r="BR200" i="1"/>
  <c r="BS200" i="1" s="1"/>
  <c r="BR202" i="1"/>
  <c r="I201" i="24" s="1"/>
  <c r="BR204" i="1"/>
  <c r="BS204" i="1" s="1"/>
  <c r="BR206" i="1"/>
  <c r="BS206" i="1" s="1"/>
  <c r="BR208" i="1"/>
  <c r="BR210" i="1"/>
  <c r="BR212" i="1"/>
  <c r="BS212" i="1" s="1"/>
  <c r="BR214" i="1"/>
  <c r="BS214" i="1" s="1"/>
  <c r="BR216" i="1"/>
  <c r="BS216" i="1" s="1"/>
  <c r="BR218" i="1"/>
  <c r="BR220" i="1"/>
  <c r="BS220" i="1" s="1"/>
  <c r="BR222" i="1"/>
  <c r="BS222" i="1" s="1"/>
  <c r="BR224" i="1"/>
  <c r="BS224" i="1" s="1"/>
  <c r="BR226" i="1"/>
  <c r="BS226" i="1" s="1"/>
  <c r="BR228" i="1"/>
  <c r="BR230" i="1"/>
  <c r="BS230" i="1" s="1"/>
  <c r="BR232" i="1"/>
  <c r="BR234" i="1"/>
  <c r="I233" i="24" s="1"/>
  <c r="BR236" i="1"/>
  <c r="BS236" i="1" s="1"/>
  <c r="BR238" i="1"/>
  <c r="DY238" i="1" s="1"/>
  <c r="BR240" i="1"/>
  <c r="BS240" i="1" s="1"/>
  <c r="BR242" i="1"/>
  <c r="I241" i="24" s="1"/>
  <c r="BR244" i="1"/>
  <c r="BR246" i="1"/>
  <c r="BS246" i="1" s="1"/>
  <c r="BR248" i="1"/>
  <c r="BS248" i="1" s="1"/>
  <c r="BR250" i="1"/>
  <c r="DY250" i="1" s="1"/>
  <c r="BR252" i="1"/>
  <c r="BR254" i="1"/>
  <c r="BS254" i="1" s="1"/>
  <c r="BR256" i="1"/>
  <c r="BS256" i="1" s="1"/>
  <c r="BR258" i="1"/>
  <c r="DY258" i="1" s="1"/>
  <c r="BR260" i="1"/>
  <c r="BR262" i="1"/>
  <c r="BS262" i="1" s="1"/>
  <c r="BR264" i="1"/>
  <c r="BS264" i="1" s="1"/>
  <c r="BR266" i="1"/>
  <c r="BS266" i="1" s="1"/>
  <c r="BR268" i="1"/>
  <c r="BS268" i="1" s="1"/>
  <c r="BR270" i="1"/>
  <c r="BS270" i="1" s="1"/>
  <c r="BR272" i="1"/>
  <c r="BS272" i="1" s="1"/>
  <c r="BR274" i="1"/>
  <c r="BR276" i="1"/>
  <c r="BR278" i="1"/>
  <c r="DY278" i="1" s="1"/>
  <c r="BR280" i="1"/>
  <c r="BR282" i="1"/>
  <c r="I281" i="24" s="1"/>
  <c r="BR284" i="1"/>
  <c r="BS284" i="1" s="1"/>
  <c r="BR286" i="1"/>
  <c r="DY286" i="1" s="1"/>
  <c r="BR288" i="1"/>
  <c r="BS288" i="1" s="1"/>
  <c r="BR290" i="1"/>
  <c r="BS290" i="1" s="1"/>
  <c r="BR292" i="1"/>
  <c r="BR294" i="1"/>
  <c r="BS294" i="1" s="1"/>
  <c r="BR296" i="1"/>
  <c r="BS296" i="1" s="1"/>
  <c r="BR298" i="1"/>
  <c r="I297" i="24" s="1"/>
  <c r="BR300" i="1"/>
  <c r="BR302" i="1"/>
  <c r="BS302" i="1" s="1"/>
  <c r="BR304" i="1"/>
  <c r="BR306" i="1"/>
  <c r="DY306" i="1" s="1"/>
  <c r="BR308" i="1"/>
  <c r="BR310" i="1"/>
  <c r="BS310" i="1" s="1"/>
  <c r="BR312" i="1"/>
  <c r="BS312" i="1" s="1"/>
  <c r="BR314" i="1"/>
  <c r="I313" i="24" s="1"/>
  <c r="BR316" i="1"/>
  <c r="BS316" i="1" s="1"/>
  <c r="BR318" i="1"/>
  <c r="BS318" i="1" s="1"/>
  <c r="BR320" i="1"/>
  <c r="DY320" i="1" s="1"/>
  <c r="BR322" i="1"/>
  <c r="BS322" i="1" s="1"/>
  <c r="BR324" i="1"/>
  <c r="BS324" i="1" s="1"/>
  <c r="BR326" i="1"/>
  <c r="BR328" i="1"/>
  <c r="DY328" i="1" s="1"/>
  <c r="BR330" i="1"/>
  <c r="BR332" i="1"/>
  <c r="I331" i="24" s="1"/>
  <c r="BR334" i="1"/>
  <c r="I333" i="24" s="1"/>
  <c r="BR336" i="1"/>
  <c r="DY336" i="1" s="1"/>
  <c r="BR338" i="1"/>
  <c r="BR340" i="1"/>
  <c r="BR342" i="1"/>
  <c r="BS342" i="1" s="1"/>
  <c r="BR344" i="1"/>
  <c r="I343" i="24" s="1"/>
  <c r="BR346" i="1"/>
  <c r="I345" i="24" s="1"/>
  <c r="BR348" i="1"/>
  <c r="BS348" i="1" s="1"/>
  <c r="BR350" i="1"/>
  <c r="BS350" i="1" s="1"/>
  <c r="BR352" i="1"/>
  <c r="DY352" i="1" s="1"/>
  <c r="BR354" i="1"/>
  <c r="BR356" i="1"/>
  <c r="DY356" i="1" s="1"/>
  <c r="BR358" i="1"/>
  <c r="BR360" i="1"/>
  <c r="BS360" i="1" s="1"/>
  <c r="BR362" i="1"/>
  <c r="BR364" i="1"/>
  <c r="I363" i="24" s="1"/>
  <c r="BR366" i="1"/>
  <c r="BS366" i="1" s="1"/>
  <c r="BR368" i="1"/>
  <c r="BS368" i="1" s="1"/>
  <c r="BR370" i="1"/>
  <c r="BR372" i="1"/>
  <c r="BS372" i="1" s="1"/>
  <c r="BR374" i="1"/>
  <c r="BS374" i="1" s="1"/>
  <c r="BR376" i="1"/>
  <c r="BS376" i="1" s="1"/>
  <c r="BR378" i="1"/>
  <c r="BS378" i="1" s="1"/>
  <c r="BR380" i="1"/>
  <c r="BS380" i="1" s="1"/>
  <c r="BR382" i="1"/>
  <c r="BS382" i="1" s="1"/>
  <c r="BR384" i="1"/>
  <c r="DY384" i="1" s="1"/>
  <c r="BR386" i="1"/>
  <c r="BR388" i="1"/>
  <c r="BR390" i="1"/>
  <c r="BS390" i="1" s="1"/>
  <c r="BR392" i="1"/>
  <c r="BS392" i="1" s="1"/>
  <c r="BR394" i="1"/>
  <c r="BR396" i="1"/>
  <c r="I395" i="24" s="1"/>
  <c r="BR398" i="1"/>
  <c r="I397" i="24" s="1"/>
  <c r="BR400" i="1"/>
  <c r="I399" i="24" s="1"/>
  <c r="BR402" i="1"/>
  <c r="BA9" i="1"/>
  <c r="BA409" i="1" s="1"/>
  <c r="AZ409" i="1"/>
  <c r="AZ404" i="1"/>
  <c r="D25" i="12"/>
  <c r="BC408" i="1"/>
  <c r="BC407" i="1"/>
  <c r="BG9" i="1"/>
  <c r="BG409" i="1" s="1"/>
  <c r="BF409" i="1"/>
  <c r="BF404" i="1"/>
  <c r="D27" i="12"/>
  <c r="BI408" i="1"/>
  <c r="BI407" i="1"/>
  <c r="BM9" i="1"/>
  <c r="BM409" i="1" s="1"/>
  <c r="BL404" i="1"/>
  <c r="BL409" i="1"/>
  <c r="D29" i="12"/>
  <c r="BO408" i="1"/>
  <c r="BO407" i="1"/>
  <c r="BV9" i="1"/>
  <c r="BV409" i="1" s="1"/>
  <c r="BU409" i="1"/>
  <c r="BU404" i="1"/>
  <c r="D32" i="12"/>
  <c r="BX408" i="1"/>
  <c r="BX407" i="1"/>
  <c r="CB9" i="1"/>
  <c r="CA409" i="1"/>
  <c r="CA404" i="1"/>
  <c r="D34" i="12"/>
  <c r="CD408" i="1"/>
  <c r="CD407" i="1"/>
  <c r="CH9" i="1"/>
  <c r="CG404" i="1"/>
  <c r="CG409" i="1"/>
  <c r="D36" i="12"/>
  <c r="F36" i="12" s="1"/>
  <c r="CJ408" i="1"/>
  <c r="CP10" i="1"/>
  <c r="CP12" i="1"/>
  <c r="CQ12" i="1" s="1"/>
  <c r="CP14" i="1"/>
  <c r="CQ14" i="1" s="1"/>
  <c r="CP16" i="1"/>
  <c r="CQ16" i="1" s="1"/>
  <c r="CP18" i="1"/>
  <c r="CJ407" i="1"/>
  <c r="CP20" i="1"/>
  <c r="CQ20" i="1" s="1"/>
  <c r="CP22" i="1"/>
  <c r="CQ22" i="1" s="1"/>
  <c r="CP24" i="1"/>
  <c r="CQ24" i="1" s="1"/>
  <c r="CP26" i="1"/>
  <c r="CQ26" i="1" s="1"/>
  <c r="CP28" i="1"/>
  <c r="CQ28" i="1" s="1"/>
  <c r="CP30" i="1"/>
  <c r="CQ30" i="1" s="1"/>
  <c r="CP32" i="1"/>
  <c r="CQ32" i="1" s="1"/>
  <c r="CP34" i="1"/>
  <c r="CQ34" i="1" s="1"/>
  <c r="CP36" i="1"/>
  <c r="CQ36" i="1" s="1"/>
  <c r="CP38" i="1"/>
  <c r="CQ38" i="1" s="1"/>
  <c r="CP40" i="1"/>
  <c r="CQ40" i="1" s="1"/>
  <c r="CP42" i="1"/>
  <c r="CQ42" i="1" s="1"/>
  <c r="CP44" i="1"/>
  <c r="CQ44" i="1" s="1"/>
  <c r="CP46" i="1"/>
  <c r="CQ46" i="1" s="1"/>
  <c r="CP48" i="1"/>
  <c r="CQ48" i="1" s="1"/>
  <c r="CP50" i="1"/>
  <c r="CQ50" i="1" s="1"/>
  <c r="CP52" i="1"/>
  <c r="CQ52" i="1" s="1"/>
  <c r="CP54" i="1"/>
  <c r="CQ54" i="1" s="1"/>
  <c r="CP56" i="1"/>
  <c r="CQ56" i="1" s="1"/>
  <c r="CP58" i="1"/>
  <c r="CQ58" i="1" s="1"/>
  <c r="CP60" i="1"/>
  <c r="CQ60" i="1" s="1"/>
  <c r="CP62" i="1"/>
  <c r="CQ62" i="1" s="1"/>
  <c r="CP64" i="1"/>
  <c r="CQ64" i="1" s="1"/>
  <c r="CP66" i="1"/>
  <c r="CQ66" i="1" s="1"/>
  <c r="CP68" i="1"/>
  <c r="CQ68" i="1" s="1"/>
  <c r="CP70" i="1"/>
  <c r="CQ70" i="1" s="1"/>
  <c r="CP72" i="1"/>
  <c r="CQ72" i="1" s="1"/>
  <c r="CP74" i="1"/>
  <c r="CQ74" i="1" s="1"/>
  <c r="CP76" i="1"/>
  <c r="CQ76" i="1" s="1"/>
  <c r="CP78" i="1"/>
  <c r="CQ78" i="1" s="1"/>
  <c r="CP80" i="1"/>
  <c r="CQ80" i="1" s="1"/>
  <c r="CP82" i="1"/>
  <c r="CQ82" i="1" s="1"/>
  <c r="CP84" i="1"/>
  <c r="CQ84" i="1" s="1"/>
  <c r="CP86" i="1"/>
  <c r="CQ86" i="1" s="1"/>
  <c r="CP88" i="1"/>
  <c r="CQ88" i="1" s="1"/>
  <c r="CP90" i="1"/>
  <c r="CQ90" i="1" s="1"/>
  <c r="CP92" i="1"/>
  <c r="CQ92" i="1" s="1"/>
  <c r="CP94" i="1"/>
  <c r="CQ94" i="1" s="1"/>
  <c r="CP96" i="1"/>
  <c r="CQ96" i="1" s="1"/>
  <c r="CP98" i="1"/>
  <c r="CQ98" i="1" s="1"/>
  <c r="CP100" i="1"/>
  <c r="CQ100" i="1" s="1"/>
  <c r="CP102" i="1"/>
  <c r="CQ102" i="1" s="1"/>
  <c r="CP104" i="1"/>
  <c r="CQ104" i="1" s="1"/>
  <c r="CP106" i="1"/>
  <c r="CQ106" i="1" s="1"/>
  <c r="CP108" i="1"/>
  <c r="CQ108" i="1" s="1"/>
  <c r="CP110" i="1"/>
  <c r="CQ110" i="1" s="1"/>
  <c r="CP112" i="1"/>
  <c r="CQ112" i="1" s="1"/>
  <c r="CP114" i="1"/>
  <c r="CQ114" i="1" s="1"/>
  <c r="CP116" i="1"/>
  <c r="CQ116" i="1" s="1"/>
  <c r="CP118" i="1"/>
  <c r="CQ118" i="1" s="1"/>
  <c r="CP120" i="1"/>
  <c r="CQ120" i="1" s="1"/>
  <c r="CP122" i="1"/>
  <c r="CQ122" i="1" s="1"/>
  <c r="CP124" i="1"/>
  <c r="CQ124" i="1" s="1"/>
  <c r="CP126" i="1"/>
  <c r="CQ126" i="1" s="1"/>
  <c r="CP128" i="1"/>
  <c r="CQ128" i="1" s="1"/>
  <c r="CP130" i="1"/>
  <c r="CQ130" i="1" s="1"/>
  <c r="CP132" i="1"/>
  <c r="CQ132" i="1" s="1"/>
  <c r="CP134" i="1"/>
  <c r="CQ134" i="1" s="1"/>
  <c r="CP136" i="1"/>
  <c r="CQ136" i="1" s="1"/>
  <c r="CP138" i="1"/>
  <c r="CQ138" i="1" s="1"/>
  <c r="CP140" i="1"/>
  <c r="CQ140" i="1" s="1"/>
  <c r="CP142" i="1"/>
  <c r="CQ142" i="1" s="1"/>
  <c r="CP144" i="1"/>
  <c r="CQ144" i="1" s="1"/>
  <c r="CP146" i="1"/>
  <c r="CQ146" i="1" s="1"/>
  <c r="CP148" i="1"/>
  <c r="CQ148" i="1" s="1"/>
  <c r="CP150" i="1"/>
  <c r="CQ150" i="1" s="1"/>
  <c r="CP152" i="1"/>
  <c r="CQ152" i="1" s="1"/>
  <c r="CP154" i="1"/>
  <c r="CQ154" i="1" s="1"/>
  <c r="CP156" i="1"/>
  <c r="CQ156" i="1" s="1"/>
  <c r="CP158" i="1"/>
  <c r="CQ158" i="1" s="1"/>
  <c r="CP160" i="1"/>
  <c r="CQ160" i="1" s="1"/>
  <c r="CP162" i="1"/>
  <c r="CQ162" i="1" s="1"/>
  <c r="CP164" i="1"/>
  <c r="CQ164" i="1" s="1"/>
  <c r="CP166" i="1"/>
  <c r="CQ166" i="1" s="1"/>
  <c r="CP168" i="1"/>
  <c r="CQ168" i="1" s="1"/>
  <c r="CP170" i="1"/>
  <c r="CQ170" i="1" s="1"/>
  <c r="CP172" i="1"/>
  <c r="CQ172" i="1" s="1"/>
  <c r="CP174" i="1"/>
  <c r="CQ174" i="1" s="1"/>
  <c r="CP176" i="1"/>
  <c r="CQ176" i="1" s="1"/>
  <c r="CP178" i="1"/>
  <c r="CQ178" i="1" s="1"/>
  <c r="CP180" i="1"/>
  <c r="CQ180" i="1" s="1"/>
  <c r="CP182" i="1"/>
  <c r="CQ182" i="1" s="1"/>
  <c r="CP184" i="1"/>
  <c r="CQ184" i="1" s="1"/>
  <c r="CP186" i="1"/>
  <c r="CQ186" i="1" s="1"/>
  <c r="CP188" i="1"/>
  <c r="CQ188" i="1" s="1"/>
  <c r="CP190" i="1"/>
  <c r="CQ190" i="1" s="1"/>
  <c r="CP192" i="1"/>
  <c r="CQ192" i="1" s="1"/>
  <c r="CP194" i="1"/>
  <c r="CQ194" i="1" s="1"/>
  <c r="CP196" i="1"/>
  <c r="CQ196" i="1" s="1"/>
  <c r="CP198" i="1"/>
  <c r="CQ198" i="1" s="1"/>
  <c r="CP200" i="1"/>
  <c r="CQ200" i="1" s="1"/>
  <c r="CP202" i="1"/>
  <c r="CQ202" i="1" s="1"/>
  <c r="CP204" i="1"/>
  <c r="CQ204" i="1" s="1"/>
  <c r="CP206" i="1"/>
  <c r="CQ206" i="1" s="1"/>
  <c r="CP208" i="1"/>
  <c r="CQ208" i="1" s="1"/>
  <c r="CP210" i="1"/>
  <c r="CQ210" i="1" s="1"/>
  <c r="CP212" i="1"/>
  <c r="CQ212" i="1" s="1"/>
  <c r="CP214" i="1"/>
  <c r="CQ214" i="1" s="1"/>
  <c r="CP216" i="1"/>
  <c r="CQ216" i="1" s="1"/>
  <c r="CP218" i="1"/>
  <c r="CQ218" i="1" s="1"/>
  <c r="CP220" i="1"/>
  <c r="CQ220" i="1" s="1"/>
  <c r="CP222" i="1"/>
  <c r="CQ222" i="1" s="1"/>
  <c r="CP224" i="1"/>
  <c r="CQ224" i="1" s="1"/>
  <c r="CP226" i="1"/>
  <c r="CQ226" i="1" s="1"/>
  <c r="CP228" i="1"/>
  <c r="CQ228" i="1" s="1"/>
  <c r="CP230" i="1"/>
  <c r="CQ230" i="1" s="1"/>
  <c r="CP232" i="1"/>
  <c r="CQ232" i="1" s="1"/>
  <c r="CP234" i="1"/>
  <c r="CQ234" i="1" s="1"/>
  <c r="CP236" i="1"/>
  <c r="CQ236" i="1" s="1"/>
  <c r="CP238" i="1"/>
  <c r="CQ238" i="1" s="1"/>
  <c r="CP240" i="1"/>
  <c r="CQ240" i="1" s="1"/>
  <c r="CP242" i="1"/>
  <c r="CQ242" i="1" s="1"/>
  <c r="CP244" i="1"/>
  <c r="CQ244" i="1" s="1"/>
  <c r="CP246" i="1"/>
  <c r="CQ246" i="1" s="1"/>
  <c r="CP248" i="1"/>
  <c r="CQ248" i="1" s="1"/>
  <c r="CP250" i="1"/>
  <c r="CQ250" i="1" s="1"/>
  <c r="CP252" i="1"/>
  <c r="CQ252" i="1" s="1"/>
  <c r="CP254" i="1"/>
  <c r="CQ254" i="1" s="1"/>
  <c r="CP256" i="1"/>
  <c r="CQ256" i="1" s="1"/>
  <c r="CP258" i="1"/>
  <c r="CQ258" i="1" s="1"/>
  <c r="CP260" i="1"/>
  <c r="CQ260" i="1" s="1"/>
  <c r="CP262" i="1"/>
  <c r="CQ262" i="1" s="1"/>
  <c r="CP264" i="1"/>
  <c r="CQ264" i="1" s="1"/>
  <c r="CP266" i="1"/>
  <c r="CQ266" i="1" s="1"/>
  <c r="CP268" i="1"/>
  <c r="CQ268" i="1" s="1"/>
  <c r="CP270" i="1"/>
  <c r="CQ270" i="1" s="1"/>
  <c r="CP272" i="1"/>
  <c r="CQ272" i="1" s="1"/>
  <c r="CP274" i="1"/>
  <c r="CQ274" i="1" s="1"/>
  <c r="CP276" i="1"/>
  <c r="CQ276" i="1" s="1"/>
  <c r="CP278" i="1"/>
  <c r="CQ278" i="1" s="1"/>
  <c r="CP280" i="1"/>
  <c r="CQ280" i="1" s="1"/>
  <c r="CP282" i="1"/>
  <c r="CQ282" i="1" s="1"/>
  <c r="CP284" i="1"/>
  <c r="CQ284" i="1" s="1"/>
  <c r="CP286" i="1"/>
  <c r="CQ286" i="1" s="1"/>
  <c r="CP288" i="1"/>
  <c r="CQ288" i="1" s="1"/>
  <c r="CP290" i="1"/>
  <c r="CQ290" i="1" s="1"/>
  <c r="CP292" i="1"/>
  <c r="CQ292" i="1" s="1"/>
  <c r="CP294" i="1"/>
  <c r="CQ294" i="1" s="1"/>
  <c r="CP296" i="1"/>
  <c r="CQ296" i="1" s="1"/>
  <c r="CP298" i="1"/>
  <c r="CQ298" i="1" s="1"/>
  <c r="CP300" i="1"/>
  <c r="CQ300" i="1" s="1"/>
  <c r="CP302" i="1"/>
  <c r="CQ302" i="1" s="1"/>
  <c r="CP304" i="1"/>
  <c r="CQ304" i="1" s="1"/>
  <c r="CP306" i="1"/>
  <c r="CQ306" i="1" s="1"/>
  <c r="CP308" i="1"/>
  <c r="CQ308" i="1" s="1"/>
  <c r="CP310" i="1"/>
  <c r="CQ310" i="1" s="1"/>
  <c r="CP312" i="1"/>
  <c r="CQ312" i="1" s="1"/>
  <c r="CP314" i="1"/>
  <c r="CQ314" i="1" s="1"/>
  <c r="CP316" i="1"/>
  <c r="CQ316" i="1" s="1"/>
  <c r="CP318" i="1"/>
  <c r="CQ318" i="1" s="1"/>
  <c r="CP320" i="1"/>
  <c r="CQ320" i="1" s="1"/>
  <c r="CP322" i="1"/>
  <c r="CQ322" i="1" s="1"/>
  <c r="CP324" i="1"/>
  <c r="CQ324" i="1" s="1"/>
  <c r="CP326" i="1"/>
  <c r="CQ326" i="1" s="1"/>
  <c r="CP328" i="1"/>
  <c r="CQ328" i="1" s="1"/>
  <c r="CP330" i="1"/>
  <c r="CQ330" i="1" s="1"/>
  <c r="CP332" i="1"/>
  <c r="CQ332" i="1" s="1"/>
  <c r="CP334" i="1"/>
  <c r="CQ334" i="1" s="1"/>
  <c r="CP336" i="1"/>
  <c r="CQ336" i="1" s="1"/>
  <c r="CP338" i="1"/>
  <c r="CQ338" i="1" s="1"/>
  <c r="CP340" i="1"/>
  <c r="CQ340" i="1" s="1"/>
  <c r="CP342" i="1"/>
  <c r="CQ342" i="1" s="1"/>
  <c r="CP344" i="1"/>
  <c r="CQ344" i="1" s="1"/>
  <c r="CP346" i="1"/>
  <c r="CQ346" i="1" s="1"/>
  <c r="CP348" i="1"/>
  <c r="CQ348" i="1" s="1"/>
  <c r="CP350" i="1"/>
  <c r="CQ350" i="1" s="1"/>
  <c r="CP352" i="1"/>
  <c r="CQ352" i="1" s="1"/>
  <c r="CP354" i="1"/>
  <c r="CQ354" i="1" s="1"/>
  <c r="CP356" i="1"/>
  <c r="CQ356" i="1" s="1"/>
  <c r="CP358" i="1"/>
  <c r="CQ358" i="1" s="1"/>
  <c r="CP360" i="1"/>
  <c r="CQ360" i="1" s="1"/>
  <c r="CP362" i="1"/>
  <c r="CQ362" i="1" s="1"/>
  <c r="CP364" i="1"/>
  <c r="CQ364" i="1" s="1"/>
  <c r="CP366" i="1"/>
  <c r="CQ366" i="1" s="1"/>
  <c r="CP368" i="1"/>
  <c r="CQ368" i="1" s="1"/>
  <c r="CP370" i="1"/>
  <c r="CQ370" i="1" s="1"/>
  <c r="CP372" i="1"/>
  <c r="CQ372" i="1" s="1"/>
  <c r="CP374" i="1"/>
  <c r="CQ374" i="1" s="1"/>
  <c r="CP376" i="1"/>
  <c r="CQ376" i="1" s="1"/>
  <c r="CP378" i="1"/>
  <c r="CQ378" i="1" s="1"/>
  <c r="CP380" i="1"/>
  <c r="CQ380" i="1" s="1"/>
  <c r="CP382" i="1"/>
  <c r="CQ382" i="1" s="1"/>
  <c r="CP384" i="1"/>
  <c r="CQ384" i="1" s="1"/>
  <c r="CP386" i="1"/>
  <c r="CQ386" i="1" s="1"/>
  <c r="CP388" i="1"/>
  <c r="CQ388" i="1" s="1"/>
  <c r="CP390" i="1"/>
  <c r="CQ390" i="1" s="1"/>
  <c r="CP392" i="1"/>
  <c r="CQ392" i="1" s="1"/>
  <c r="CP394" i="1"/>
  <c r="CQ394" i="1" s="1"/>
  <c r="CP396" i="1"/>
  <c r="CQ396" i="1" s="1"/>
  <c r="CP398" i="1"/>
  <c r="CQ398" i="1" s="1"/>
  <c r="CP400" i="1"/>
  <c r="CQ400" i="1" s="1"/>
  <c r="CP402" i="1"/>
  <c r="CQ402" i="1" s="1"/>
  <c r="CN9" i="1"/>
  <c r="CM404" i="1"/>
  <c r="CM409" i="1"/>
  <c r="CN25" i="1"/>
  <c r="CN27" i="1"/>
  <c r="CN29" i="1"/>
  <c r="CN31" i="1"/>
  <c r="CN33" i="1"/>
  <c r="CN35" i="1"/>
  <c r="CN37" i="1"/>
  <c r="CN39" i="1"/>
  <c r="D39" i="12"/>
  <c r="CN131" i="1"/>
  <c r="F12" i="4"/>
  <c r="AS408" i="1"/>
  <c r="J22" i="3" s="1"/>
  <c r="F14" i="4"/>
  <c r="H14" i="4" s="1"/>
  <c r="DX12" i="1"/>
  <c r="H11" i="24"/>
  <c r="F16" i="4"/>
  <c r="H16" i="4" s="1"/>
  <c r="H13" i="24"/>
  <c r="F18" i="4"/>
  <c r="H18" i="4" s="1"/>
  <c r="H15" i="24"/>
  <c r="AS407" i="1"/>
  <c r="F20" i="4"/>
  <c r="F22" i="4"/>
  <c r="H22" i="4" s="1"/>
  <c r="H19" i="24"/>
  <c r="DX20" i="1"/>
  <c r="H21" i="24"/>
  <c r="DX22" i="1"/>
  <c r="F24" i="4"/>
  <c r="H24" i="4" s="1"/>
  <c r="F26" i="4"/>
  <c r="H26" i="4" s="1"/>
  <c r="H23" i="24"/>
  <c r="F28" i="4"/>
  <c r="H28" i="4" s="1"/>
  <c r="DX26" i="1"/>
  <c r="H25" i="24"/>
  <c r="F30" i="4"/>
  <c r="H30" i="4" s="1"/>
  <c r="DX28" i="1"/>
  <c r="H27" i="24"/>
  <c r="F32" i="4"/>
  <c r="H32" i="4" s="1"/>
  <c r="DX30" i="1"/>
  <c r="H29" i="24"/>
  <c r="F34" i="4"/>
  <c r="H34" i="4" s="1"/>
  <c r="H31" i="24"/>
  <c r="F36" i="4"/>
  <c r="H36" i="4" s="1"/>
  <c r="H33" i="24"/>
  <c r="DX34" i="1"/>
  <c r="F38" i="4"/>
  <c r="H38" i="4" s="1"/>
  <c r="H35" i="24"/>
  <c r="DX36" i="1"/>
  <c r="H37" i="24"/>
  <c r="DX38" i="1"/>
  <c r="F40" i="4"/>
  <c r="H40" i="4" s="1"/>
  <c r="F42" i="4"/>
  <c r="H42" i="4" s="1"/>
  <c r="H39" i="24"/>
  <c r="F44" i="4"/>
  <c r="H44" i="4" s="1"/>
  <c r="DX42" i="1"/>
  <c r="F46" i="4"/>
  <c r="H46" i="4" s="1"/>
  <c r="DX44" i="1"/>
  <c r="H45" i="24"/>
  <c r="F48" i="4"/>
  <c r="H48" i="4" s="1"/>
  <c r="DX46" i="1"/>
  <c r="DX48" i="1"/>
  <c r="F50" i="4"/>
  <c r="H50" i="4" s="1"/>
  <c r="F52" i="4"/>
  <c r="H52" i="4" s="1"/>
  <c r="DX50" i="1"/>
  <c r="H49" i="24"/>
  <c r="F54" i="4"/>
  <c r="H54" i="4" s="1"/>
  <c r="H51" i="24"/>
  <c r="DX52" i="1"/>
  <c r="DX54" i="1"/>
  <c r="H53" i="24"/>
  <c r="F56" i="4"/>
  <c r="H56" i="4" s="1"/>
  <c r="F58" i="4"/>
  <c r="H58" i="4" s="1"/>
  <c r="DX56" i="1"/>
  <c r="F60" i="4"/>
  <c r="H60" i="4" s="1"/>
  <c r="DX58" i="1"/>
  <c r="H57" i="24"/>
  <c r="F62" i="4"/>
  <c r="H62" i="4" s="1"/>
  <c r="H59" i="24"/>
  <c r="DX60" i="1"/>
  <c r="DX62" i="1"/>
  <c r="F64" i="4"/>
  <c r="H64" i="4" s="1"/>
  <c r="H61" i="24"/>
  <c r="F66" i="4"/>
  <c r="H66" i="4" s="1"/>
  <c r="DX64" i="1"/>
  <c r="F68" i="4"/>
  <c r="H68" i="4" s="1"/>
  <c r="DX66" i="1"/>
  <c r="F70" i="4"/>
  <c r="H70" i="4" s="1"/>
  <c r="H67" i="24"/>
  <c r="DX68" i="1"/>
  <c r="H69" i="24"/>
  <c r="F72" i="4"/>
  <c r="H72" i="4" s="1"/>
  <c r="DX70" i="1"/>
  <c r="DX72" i="1"/>
  <c r="F74" i="4"/>
  <c r="H74" i="4" s="1"/>
  <c r="F76" i="4"/>
  <c r="H76" i="4" s="1"/>
  <c r="H73" i="24"/>
  <c r="F78" i="4"/>
  <c r="H78" i="4" s="1"/>
  <c r="DX76" i="1"/>
  <c r="H75" i="24"/>
  <c r="F80" i="4"/>
  <c r="H80" i="4" s="1"/>
  <c r="H77" i="24"/>
  <c r="DX78" i="1"/>
  <c r="F82" i="4"/>
  <c r="H82" i="4" s="1"/>
  <c r="DX80" i="1"/>
  <c r="F84" i="4"/>
  <c r="H84" i="4" s="1"/>
  <c r="H81" i="24"/>
  <c r="F86" i="4"/>
  <c r="H86" i="4" s="1"/>
  <c r="H83" i="24"/>
  <c r="DX86" i="1"/>
  <c r="H85" i="24"/>
  <c r="F88" i="4"/>
  <c r="H88" i="4" s="1"/>
  <c r="F90" i="4"/>
  <c r="H90" i="4" s="1"/>
  <c r="H87" i="24"/>
  <c r="F92" i="4"/>
  <c r="H92" i="4" s="1"/>
  <c r="H89" i="24"/>
  <c r="F94" i="4"/>
  <c r="H94" i="4" s="1"/>
  <c r="H91" i="24"/>
  <c r="H93" i="24"/>
  <c r="DX94" i="1"/>
  <c r="F96" i="4"/>
  <c r="H96" i="4" s="1"/>
  <c r="F98" i="4"/>
  <c r="H98" i="4" s="1"/>
  <c r="DX96" i="1"/>
  <c r="F100" i="4"/>
  <c r="H100" i="4" s="1"/>
  <c r="DX98" i="1"/>
  <c r="H97" i="24"/>
  <c r="F102" i="4"/>
  <c r="H102" i="4" s="1"/>
  <c r="DX100" i="1"/>
  <c r="H101" i="24"/>
  <c r="DX102" i="1"/>
  <c r="F104" i="4"/>
  <c r="H104" i="4" s="1"/>
  <c r="F106" i="4"/>
  <c r="H106" i="4" s="1"/>
  <c r="H103" i="24"/>
  <c r="F108" i="4"/>
  <c r="H108" i="4" s="1"/>
  <c r="DX106" i="1"/>
  <c r="H105" i="24"/>
  <c r="F110" i="4"/>
  <c r="H110" i="4" s="1"/>
  <c r="DX108" i="1"/>
  <c r="H107" i="24"/>
  <c r="DX110" i="1"/>
  <c r="F112" i="4"/>
  <c r="H112" i="4" s="1"/>
  <c r="H109" i="24"/>
  <c r="F114" i="4"/>
  <c r="H114" i="4" s="1"/>
  <c r="DX112" i="1"/>
  <c r="F116" i="4"/>
  <c r="H116" i="4" s="1"/>
  <c r="H113" i="24"/>
  <c r="DX114" i="1"/>
  <c r="F118" i="4"/>
  <c r="H118" i="4" s="1"/>
  <c r="H115" i="24"/>
  <c r="F120" i="4"/>
  <c r="H120" i="4" s="1"/>
  <c r="DX118" i="1"/>
  <c r="H117" i="24"/>
  <c r="F122" i="4"/>
  <c r="H122" i="4" s="1"/>
  <c r="DX120" i="1"/>
  <c r="F124" i="4"/>
  <c r="H124" i="4" s="1"/>
  <c r="H121" i="24"/>
  <c r="DX122" i="1"/>
  <c r="F126" i="4"/>
  <c r="H126" i="4" s="1"/>
  <c r="H123" i="24"/>
  <c r="DX126" i="1"/>
  <c r="F128" i="4"/>
  <c r="H128" i="4" s="1"/>
  <c r="H125" i="24"/>
  <c r="H127" i="24"/>
  <c r="F130" i="4"/>
  <c r="H130" i="4" s="1"/>
  <c r="F132" i="4"/>
  <c r="H132" i="4" s="1"/>
  <c r="DX130" i="1"/>
  <c r="F134" i="4"/>
  <c r="H134" i="4" s="1"/>
  <c r="DX132" i="1"/>
  <c r="F136" i="4"/>
  <c r="H136" i="4" s="1"/>
  <c r="H133" i="24"/>
  <c r="DX134" i="1"/>
  <c r="F138" i="4"/>
  <c r="H138" i="4" s="1"/>
  <c r="DX136" i="1"/>
  <c r="F140" i="4"/>
  <c r="H140" i="4" s="1"/>
  <c r="DX138" i="1"/>
  <c r="H137" i="24"/>
  <c r="F142" i="4"/>
  <c r="H142" i="4" s="1"/>
  <c r="H139" i="24"/>
  <c r="DX140" i="1"/>
  <c r="F144" i="4"/>
  <c r="H144" i="4" s="1"/>
  <c r="H141" i="24"/>
  <c r="DX142" i="1"/>
  <c r="F146" i="4"/>
  <c r="H146" i="4" s="1"/>
  <c r="H143" i="24"/>
  <c r="F148" i="4"/>
  <c r="H148" i="4" s="1"/>
  <c r="H145" i="24"/>
  <c r="F150" i="4"/>
  <c r="H150" i="4" s="1"/>
  <c r="H147" i="24"/>
  <c r="H149" i="24"/>
  <c r="DX150" i="1"/>
  <c r="F152" i="4"/>
  <c r="H152" i="4" s="1"/>
  <c r="F154" i="4"/>
  <c r="H154" i="4" s="1"/>
  <c r="H151" i="24"/>
  <c r="F156" i="4"/>
  <c r="H156" i="4" s="1"/>
  <c r="DX154" i="1"/>
  <c r="H153" i="24"/>
  <c r="F158" i="4"/>
  <c r="H158" i="4" s="1"/>
  <c r="H155" i="24"/>
  <c r="DX156" i="1"/>
  <c r="F160" i="4"/>
  <c r="H160" i="4" s="1"/>
  <c r="DX158" i="1"/>
  <c r="H157" i="24"/>
  <c r="F162" i="4"/>
  <c r="H162" i="4" s="1"/>
  <c r="H159" i="24"/>
  <c r="F164" i="4"/>
  <c r="H164" i="4" s="1"/>
  <c r="H161" i="24"/>
  <c r="DX162" i="1"/>
  <c r="F166" i="4"/>
  <c r="H166" i="4" s="1"/>
  <c r="H163" i="24"/>
  <c r="DX164" i="1"/>
  <c r="F168" i="4"/>
  <c r="H168" i="4" s="1"/>
  <c r="DX166" i="1"/>
  <c r="H165" i="24"/>
  <c r="F170" i="4"/>
  <c r="H170" i="4" s="1"/>
  <c r="DX168" i="1"/>
  <c r="F172" i="4"/>
  <c r="H172" i="4" s="1"/>
  <c r="H169" i="24"/>
  <c r="DX170" i="1"/>
  <c r="F174" i="4"/>
  <c r="H174" i="4" s="1"/>
  <c r="DX172" i="1"/>
  <c r="H171" i="24"/>
  <c r="F176" i="4"/>
  <c r="H176" i="4" s="1"/>
  <c r="DX174" i="1"/>
  <c r="H173" i="24"/>
  <c r="F178" i="4"/>
  <c r="H178" i="4" s="1"/>
  <c r="DX176" i="1"/>
  <c r="F180" i="4"/>
  <c r="H180" i="4" s="1"/>
  <c r="H177" i="24"/>
  <c r="DX178" i="1"/>
  <c r="F182" i="4"/>
  <c r="H182" i="4" s="1"/>
  <c r="H179" i="24"/>
  <c r="DX180" i="1"/>
  <c r="DX182" i="1"/>
  <c r="F184" i="4"/>
  <c r="H184" i="4" s="1"/>
  <c r="H181" i="24"/>
  <c r="F186" i="4"/>
  <c r="H186" i="4" s="1"/>
  <c r="H183" i="24"/>
  <c r="F188" i="4"/>
  <c r="H188" i="4" s="1"/>
  <c r="DX186" i="1"/>
  <c r="H185" i="24"/>
  <c r="F190" i="4"/>
  <c r="H190" i="4" s="1"/>
  <c r="H187" i="24"/>
  <c r="DX188" i="1"/>
  <c r="F192" i="4"/>
  <c r="H192" i="4" s="1"/>
  <c r="DX190" i="1"/>
  <c r="H189" i="24"/>
  <c r="F194" i="4"/>
  <c r="H194" i="4" s="1"/>
  <c r="DX192" i="1"/>
  <c r="F196" i="4"/>
  <c r="H196" i="4" s="1"/>
  <c r="H193" i="24"/>
  <c r="F198" i="4"/>
  <c r="H198" i="4" s="1"/>
  <c r="DX196" i="1"/>
  <c r="H195" i="24"/>
  <c r="F200" i="4"/>
  <c r="H200" i="4" s="1"/>
  <c r="DX198" i="1"/>
  <c r="H197" i="24"/>
  <c r="F202" i="4"/>
  <c r="H202" i="4" s="1"/>
  <c r="DX200" i="1"/>
  <c r="F204" i="4"/>
  <c r="H204" i="4" s="1"/>
  <c r="DX202" i="1"/>
  <c r="H201" i="24"/>
  <c r="F206" i="4"/>
  <c r="H206" i="4" s="1"/>
  <c r="H203" i="24"/>
  <c r="F208" i="4"/>
  <c r="H208" i="4" s="1"/>
  <c r="H205" i="24"/>
  <c r="DX206" i="1"/>
  <c r="F210" i="4"/>
  <c r="H210" i="4" s="1"/>
  <c r="DX208" i="1"/>
  <c r="F212" i="4"/>
  <c r="H212" i="4" s="1"/>
  <c r="H209" i="24"/>
  <c r="DX210" i="1"/>
  <c r="F214" i="4"/>
  <c r="H214" i="4" s="1"/>
  <c r="DX212" i="1"/>
  <c r="H211" i="24"/>
  <c r="F216" i="4"/>
  <c r="H216" i="4" s="1"/>
  <c r="H213" i="24"/>
  <c r="DX214" i="1"/>
  <c r="F218" i="4"/>
  <c r="H218" i="4" s="1"/>
  <c r="H215" i="24"/>
  <c r="F220" i="4"/>
  <c r="H220" i="4" s="1"/>
  <c r="H217" i="24"/>
  <c r="DX218" i="1"/>
  <c r="F222" i="4"/>
  <c r="H222" i="4" s="1"/>
  <c r="H219" i="24"/>
  <c r="DX220" i="1"/>
  <c r="DX222" i="1"/>
  <c r="F224" i="4"/>
  <c r="H224" i="4" s="1"/>
  <c r="H221" i="24"/>
  <c r="F226" i="4"/>
  <c r="H226" i="4" s="1"/>
  <c r="H223" i="24"/>
  <c r="F228" i="4"/>
  <c r="H228" i="4" s="1"/>
  <c r="H225" i="24"/>
  <c r="F230" i="4"/>
  <c r="H230" i="4" s="1"/>
  <c r="H227" i="24"/>
  <c r="H229" i="24"/>
  <c r="DX230" i="1"/>
  <c r="F232" i="4"/>
  <c r="H232" i="4" s="1"/>
  <c r="F234" i="4"/>
  <c r="H234" i="4" s="1"/>
  <c r="DX232" i="1"/>
  <c r="F236" i="4"/>
  <c r="H236" i="4" s="1"/>
  <c r="H233" i="24"/>
  <c r="DX234" i="1"/>
  <c r="F238" i="4"/>
  <c r="H238" i="4" s="1"/>
  <c r="H235" i="24"/>
  <c r="DX236" i="1"/>
  <c r="H237" i="24"/>
  <c r="F240" i="4"/>
  <c r="H240" i="4" s="1"/>
  <c r="DX238" i="1"/>
  <c r="F242" i="4"/>
  <c r="H242" i="4" s="1"/>
  <c r="H239" i="24"/>
  <c r="F244" i="4"/>
  <c r="H244" i="4" s="1"/>
  <c r="DX242" i="1"/>
  <c r="F246" i="4"/>
  <c r="H246" i="4" s="1"/>
  <c r="H243" i="24"/>
  <c r="DX246" i="1"/>
  <c r="F248" i="4"/>
  <c r="H248" i="4" s="1"/>
  <c r="H245" i="24"/>
  <c r="F250" i="4"/>
  <c r="H250" i="4" s="1"/>
  <c r="H247" i="24"/>
  <c r="F252" i="4"/>
  <c r="H252" i="4" s="1"/>
  <c r="DX250" i="1"/>
  <c r="F254" i="4"/>
  <c r="H254" i="4" s="1"/>
  <c r="H251" i="24"/>
  <c r="H253" i="24"/>
  <c r="F256" i="4"/>
  <c r="H256" i="4" s="1"/>
  <c r="DX254" i="1"/>
  <c r="F258" i="4"/>
  <c r="H258" i="4" s="1"/>
  <c r="H255" i="24"/>
  <c r="F260" i="4"/>
  <c r="H260" i="4" s="1"/>
  <c r="DX258" i="1"/>
  <c r="H257" i="24"/>
  <c r="F262" i="4"/>
  <c r="H262" i="4" s="1"/>
  <c r="DX260" i="1"/>
  <c r="H261" i="24"/>
  <c r="DX262" i="1"/>
  <c r="F264" i="4"/>
  <c r="H264" i="4" s="1"/>
  <c r="F266" i="4"/>
  <c r="H266" i="4" s="1"/>
  <c r="H263" i="24"/>
  <c r="F268" i="4"/>
  <c r="H268" i="4" s="1"/>
  <c r="H265" i="24"/>
  <c r="DX266" i="1"/>
  <c r="F270" i="4"/>
  <c r="H270" i="4" s="1"/>
  <c r="DX268" i="1"/>
  <c r="H267" i="24"/>
  <c r="F272" i="4"/>
  <c r="H272" i="4" s="1"/>
  <c r="DX270" i="1"/>
  <c r="H269" i="24"/>
  <c r="F274" i="4"/>
  <c r="H274" i="4" s="1"/>
  <c r="DX272" i="1"/>
  <c r="F276" i="4"/>
  <c r="H276" i="4" s="1"/>
  <c r="H273" i="24"/>
  <c r="DX274" i="1"/>
  <c r="F278" i="4"/>
  <c r="H278" i="4" s="1"/>
  <c r="H275" i="24"/>
  <c r="DX276" i="1"/>
  <c r="F280" i="4"/>
  <c r="H280" i="4" s="1"/>
  <c r="DX278" i="1"/>
  <c r="H277" i="24"/>
  <c r="F282" i="4"/>
  <c r="H282" i="4" s="1"/>
  <c r="H279" i="24"/>
  <c r="F284" i="4"/>
  <c r="H284" i="4" s="1"/>
  <c r="DX282" i="1"/>
  <c r="F286" i="4"/>
  <c r="H286" i="4" s="1"/>
  <c r="DX284" i="1"/>
  <c r="DX286" i="1"/>
  <c r="H285" i="24"/>
  <c r="F288" i="4"/>
  <c r="H288" i="4" s="1"/>
  <c r="F290" i="4"/>
  <c r="H290" i="4" s="1"/>
  <c r="H287" i="24"/>
  <c r="F292" i="4"/>
  <c r="H292" i="4" s="1"/>
  <c r="H289" i="24"/>
  <c r="F294" i="4"/>
  <c r="H294" i="4" s="1"/>
  <c r="H291" i="24"/>
  <c r="DX292" i="1"/>
  <c r="F296" i="4"/>
  <c r="H296" i="4" s="1"/>
  <c r="DX294" i="1"/>
  <c r="H293" i="24"/>
  <c r="F298" i="4"/>
  <c r="H298" i="4" s="1"/>
  <c r="DX296" i="1"/>
  <c r="F300" i="4"/>
  <c r="H300" i="4" s="1"/>
  <c r="DX298" i="1"/>
  <c r="H297" i="24"/>
  <c r="F302" i="4"/>
  <c r="H302" i="4" s="1"/>
  <c r="H299" i="24"/>
  <c r="DX300" i="1"/>
  <c r="F304" i="4"/>
  <c r="H304" i="4" s="1"/>
  <c r="H301" i="24"/>
  <c r="DX302" i="1"/>
  <c r="F306" i="4"/>
  <c r="H306" i="4" s="1"/>
  <c r="DX304" i="1"/>
  <c r="F308" i="4"/>
  <c r="H308" i="4" s="1"/>
  <c r="H305" i="24"/>
  <c r="F310" i="4"/>
  <c r="H310" i="4" s="1"/>
  <c r="DX308" i="1"/>
  <c r="H307" i="24"/>
  <c r="H309" i="24"/>
  <c r="DX310" i="1"/>
  <c r="F312" i="4"/>
  <c r="H312" i="4" s="1"/>
  <c r="F314" i="4"/>
  <c r="H314" i="4" s="1"/>
  <c r="DX312" i="1"/>
  <c r="F316" i="4"/>
  <c r="H316" i="4" s="1"/>
  <c r="H313" i="24"/>
  <c r="F318" i="4"/>
  <c r="H318" i="4" s="1"/>
  <c r="H315" i="24"/>
  <c r="F320" i="4"/>
  <c r="H320" i="4" s="1"/>
  <c r="H317" i="24"/>
  <c r="DX318" i="1"/>
  <c r="F322" i="4"/>
  <c r="H322" i="4" s="1"/>
  <c r="DX320" i="1"/>
  <c r="F324" i="4"/>
  <c r="H324" i="4" s="1"/>
  <c r="H321" i="24"/>
  <c r="F326" i="4"/>
  <c r="H326" i="4" s="1"/>
  <c r="DX324" i="1"/>
  <c r="DX326" i="1"/>
  <c r="H325" i="24"/>
  <c r="F328" i="4"/>
  <c r="H328" i="4" s="1"/>
  <c r="F330" i="4"/>
  <c r="H330" i="4" s="1"/>
  <c r="H327" i="24"/>
  <c r="F332" i="4"/>
  <c r="H332" i="4" s="1"/>
  <c r="H329" i="24"/>
  <c r="F334" i="4"/>
  <c r="H334" i="4" s="1"/>
  <c r="H331" i="24"/>
  <c r="DX332" i="1"/>
  <c r="H333" i="24"/>
  <c r="F336" i="4"/>
  <c r="H336" i="4" s="1"/>
  <c r="DX334" i="1"/>
  <c r="F338" i="4"/>
  <c r="H338" i="4" s="1"/>
  <c r="DX336" i="1"/>
  <c r="F340" i="4"/>
  <c r="H340" i="4" s="1"/>
  <c r="DX338" i="1"/>
  <c r="F342" i="4"/>
  <c r="H342" i="4" s="1"/>
  <c r="H339" i="24"/>
  <c r="DX340" i="1"/>
  <c r="F344" i="4"/>
  <c r="H344" i="4" s="1"/>
  <c r="DX342" i="1"/>
  <c r="H341" i="24"/>
  <c r="H343" i="24"/>
  <c r="F346" i="4"/>
  <c r="H346" i="4" s="1"/>
  <c r="F348" i="4"/>
  <c r="H348" i="4" s="1"/>
  <c r="DX346" i="1"/>
  <c r="H345" i="24"/>
  <c r="F350" i="4"/>
  <c r="H350" i="4" s="1"/>
  <c r="DX348" i="1"/>
  <c r="H347" i="24"/>
  <c r="H349" i="24"/>
  <c r="F352" i="4"/>
  <c r="H352" i="4" s="1"/>
  <c r="DX350" i="1"/>
  <c r="F354" i="4"/>
  <c r="H354" i="4" s="1"/>
  <c r="DX352" i="1"/>
  <c r="F356" i="4"/>
  <c r="H356" i="4" s="1"/>
  <c r="DX354" i="1"/>
  <c r="F358" i="4"/>
  <c r="H358" i="4" s="1"/>
  <c r="H355" i="24"/>
  <c r="DX356" i="1"/>
  <c r="H357" i="24"/>
  <c r="DX358" i="1"/>
  <c r="F360" i="4"/>
  <c r="H360" i="4" s="1"/>
  <c r="F362" i="4"/>
  <c r="H362" i="4" s="1"/>
  <c r="H359" i="24"/>
  <c r="F364" i="4"/>
  <c r="H364" i="4" s="1"/>
  <c r="H361" i="24"/>
  <c r="F366" i="4"/>
  <c r="H366" i="4" s="1"/>
  <c r="H363" i="24"/>
  <c r="H365" i="24"/>
  <c r="DX366" i="1"/>
  <c r="F368" i="4"/>
  <c r="H368" i="4" s="1"/>
  <c r="F370" i="4"/>
  <c r="H370" i="4" s="1"/>
  <c r="H367" i="24"/>
  <c r="F372" i="4"/>
  <c r="H372" i="4" s="1"/>
  <c r="H369" i="24"/>
  <c r="DX370" i="1"/>
  <c r="F374" i="4"/>
  <c r="H374" i="4" s="1"/>
  <c r="H371" i="24"/>
  <c r="DX372" i="1"/>
  <c r="H373" i="24"/>
  <c r="DX374" i="1"/>
  <c r="F376" i="4"/>
  <c r="H376" i="4" s="1"/>
  <c r="F378" i="4"/>
  <c r="H378" i="4" s="1"/>
  <c r="H375" i="24"/>
  <c r="F380" i="4"/>
  <c r="H380" i="4" s="1"/>
  <c r="H377" i="24"/>
  <c r="F382" i="4"/>
  <c r="H382" i="4" s="1"/>
  <c r="H379" i="24"/>
  <c r="DX382" i="1"/>
  <c r="F384" i="4"/>
  <c r="H384" i="4" s="1"/>
  <c r="H381" i="24"/>
  <c r="F386" i="4"/>
  <c r="H386" i="4" s="1"/>
  <c r="H383" i="24"/>
  <c r="F388" i="4"/>
  <c r="H388" i="4" s="1"/>
  <c r="DX386" i="1"/>
  <c r="F390" i="4"/>
  <c r="H390" i="4" s="1"/>
  <c r="DX388" i="1"/>
  <c r="F392" i="4"/>
  <c r="H392" i="4" s="1"/>
  <c r="DX390" i="1"/>
  <c r="H389" i="24"/>
  <c r="F394" i="4"/>
  <c r="H394" i="4" s="1"/>
  <c r="DX392" i="1"/>
  <c r="DX394" i="1"/>
  <c r="F396" i="4"/>
  <c r="H396" i="4" s="1"/>
  <c r="F398" i="4"/>
  <c r="H398" i="4" s="1"/>
  <c r="H395" i="24"/>
  <c r="DX396" i="1"/>
  <c r="F400" i="4"/>
  <c r="H400" i="4" s="1"/>
  <c r="DX398" i="1"/>
  <c r="H397" i="24"/>
  <c r="F402" i="4"/>
  <c r="H402" i="4" s="1"/>
  <c r="H399" i="24"/>
  <c r="F404" i="4"/>
  <c r="H404" i="4" s="1"/>
  <c r="H401" i="24"/>
  <c r="BQ9" i="1"/>
  <c r="AV409" i="1"/>
  <c r="M24" i="3" s="1"/>
  <c r="AV404" i="1"/>
  <c r="C24" i="3" s="1"/>
  <c r="H10" i="24"/>
  <c r="H14" i="24"/>
  <c r="DX17" i="1"/>
  <c r="DX19" i="1"/>
  <c r="DX23" i="1"/>
  <c r="DX25" i="1"/>
  <c r="DX27" i="1"/>
  <c r="DX31" i="1"/>
  <c r="DX33" i="1"/>
  <c r="H34" i="24"/>
  <c r="BQ39" i="1"/>
  <c r="DX39" i="1" s="1"/>
  <c r="C24" i="12"/>
  <c r="C23" i="12" s="1"/>
  <c r="DX41" i="1"/>
  <c r="H42" i="24"/>
  <c r="DX47" i="1"/>
  <c r="DX49" i="1"/>
  <c r="H54" i="24"/>
  <c r="H56" i="24"/>
  <c r="DX59" i="1"/>
  <c r="DX65" i="1"/>
  <c r="H72" i="24"/>
  <c r="DX75" i="1"/>
  <c r="H78" i="24"/>
  <c r="DX81" i="1"/>
  <c r="H82" i="24"/>
  <c r="H88" i="24"/>
  <c r="H90" i="24"/>
  <c r="DX95" i="1"/>
  <c r="H96" i="24"/>
  <c r="H98" i="24"/>
  <c r="DX103" i="1"/>
  <c r="DX105" i="1"/>
  <c r="H110" i="24"/>
  <c r="DX113" i="1"/>
  <c r="H120" i="24"/>
  <c r="DX123" i="1"/>
  <c r="DX127" i="1"/>
  <c r="H128" i="24"/>
  <c r="DX131" i="1"/>
  <c r="H136" i="24"/>
  <c r="DX145" i="1"/>
  <c r="H146" i="24"/>
  <c r="DX153" i="1"/>
  <c r="H158" i="24"/>
  <c r="H160" i="24"/>
  <c r="DX163" i="1"/>
  <c r="H166" i="24"/>
  <c r="H168" i="24"/>
  <c r="H170" i="24"/>
  <c r="H176" i="24"/>
  <c r="H178" i="24"/>
  <c r="DX185" i="1"/>
  <c r="DX191" i="1"/>
  <c r="H192" i="24"/>
  <c r="H194" i="24"/>
  <c r="DX199" i="1"/>
  <c r="DX201" i="1"/>
  <c r="H208" i="24"/>
  <c r="DX211" i="1"/>
  <c r="H214" i="24"/>
  <c r="H216" i="24"/>
  <c r="DX223" i="1"/>
  <c r="DX225" i="1"/>
  <c r="DX231" i="1"/>
  <c r="DX233" i="1"/>
  <c r="DX235" i="1"/>
  <c r="DX239" i="1"/>
  <c r="DX241" i="1"/>
  <c r="DX243" i="1"/>
  <c r="H246" i="24"/>
  <c r="H248" i="24"/>
  <c r="DX251" i="1"/>
  <c r="H256" i="24"/>
  <c r="DX259" i="1"/>
  <c r="H262" i="24"/>
  <c r="H264" i="24"/>
  <c r="DX267" i="1"/>
  <c r="H272" i="24"/>
  <c r="DX275" i="1"/>
  <c r="H278" i="24"/>
  <c r="DX281" i="1"/>
  <c r="DX283" i="1"/>
  <c r="H286" i="24"/>
  <c r="DX289" i="1"/>
  <c r="DX291" i="1"/>
  <c r="H296" i="24"/>
  <c r="H304" i="24"/>
  <c r="H306" i="24"/>
  <c r="H308" i="24"/>
  <c r="H312" i="24"/>
  <c r="H314" i="24"/>
  <c r="DX317" i="1"/>
  <c r="DX321" i="1"/>
  <c r="H322" i="24"/>
  <c r="H324" i="24"/>
  <c r="H328" i="24"/>
  <c r="H330" i="24"/>
  <c r="DX333" i="1"/>
  <c r="DX339" i="1"/>
  <c r="H340" i="24"/>
  <c r="DX345" i="1"/>
  <c r="H346" i="24"/>
  <c r="H348" i="24"/>
  <c r="H354" i="24"/>
  <c r="DX357" i="1"/>
  <c r="DX363" i="1"/>
  <c r="DX365" i="1"/>
  <c r="H368" i="24"/>
  <c r="DX371" i="1"/>
  <c r="H372" i="24"/>
  <c r="H376" i="24"/>
  <c r="DX379" i="1"/>
  <c r="DX381" i="1"/>
  <c r="DX385" i="1"/>
  <c r="H386" i="24"/>
  <c r="DX389" i="1"/>
  <c r="H392" i="24"/>
  <c r="DX395" i="1"/>
  <c r="DX397" i="1"/>
  <c r="H400" i="24"/>
  <c r="H402" i="24"/>
  <c r="AY408" i="1"/>
  <c r="J25" i="3" s="1"/>
  <c r="AY407" i="1"/>
  <c r="BB409" i="1"/>
  <c r="M26" i="3" s="1"/>
  <c r="BB404" i="1"/>
  <c r="C26" i="3" s="1"/>
  <c r="BE408" i="1"/>
  <c r="J27" i="3" s="1"/>
  <c r="BE407" i="1"/>
  <c r="BH409" i="1"/>
  <c r="M28" i="3" s="1"/>
  <c r="BH404" i="1"/>
  <c r="C28" i="3" s="1"/>
  <c r="BK408" i="1"/>
  <c r="J29" i="3" s="1"/>
  <c r="BK407" i="1"/>
  <c r="BN409" i="1"/>
  <c r="M30" i="3" s="1"/>
  <c r="BN404" i="1"/>
  <c r="C30" i="3" s="1"/>
  <c r="G32" i="3"/>
  <c r="BW409" i="1"/>
  <c r="M33" i="3" s="1"/>
  <c r="BW404" i="1"/>
  <c r="C33" i="3" s="1"/>
  <c r="G34" i="3"/>
  <c r="CC409" i="1"/>
  <c r="M35" i="3" s="1"/>
  <c r="CC404" i="1"/>
  <c r="C35" i="3" s="1"/>
  <c r="G36" i="3"/>
  <c r="CO9" i="1"/>
  <c r="CI409" i="1"/>
  <c r="M38" i="3" s="1"/>
  <c r="M37" i="3" s="1"/>
  <c r="CI404" i="1"/>
  <c r="C38" i="3" s="1"/>
  <c r="CO39" i="1"/>
  <c r="C38" i="12"/>
  <c r="C37" i="12" s="1"/>
  <c r="G39" i="3"/>
  <c r="CL410" i="1"/>
  <c r="I317" i="24"/>
  <c r="DY318" i="1"/>
  <c r="DY324" i="1"/>
  <c r="I323" i="24"/>
  <c r="DY326" i="1"/>
  <c r="I329" i="24"/>
  <c r="DY338" i="1"/>
  <c r="DY340" i="1"/>
  <c r="DY348" i="1"/>
  <c r="I347" i="24"/>
  <c r="DY354" i="1"/>
  <c r="DY358" i="1"/>
  <c r="I361" i="24"/>
  <c r="DY366" i="1"/>
  <c r="I365" i="24"/>
  <c r="I369" i="24"/>
  <c r="I371" i="24"/>
  <c r="DY372" i="1"/>
  <c r="I373" i="24"/>
  <c r="DY374" i="1"/>
  <c r="DY380" i="1"/>
  <c r="I379" i="24"/>
  <c r="DY382" i="1"/>
  <c r="I381" i="24"/>
  <c r="I385" i="24"/>
  <c r="DY388" i="1"/>
  <c r="DY390" i="1"/>
  <c r="I389" i="24"/>
  <c r="I393" i="24"/>
  <c r="DY402" i="1"/>
  <c r="BR9" i="1"/>
  <c r="I8" i="24" s="1"/>
  <c r="AX9" i="1"/>
  <c r="AW409" i="1"/>
  <c r="AW404" i="1"/>
  <c r="BR11" i="1"/>
  <c r="BS11" i="1" s="1"/>
  <c r="BR13" i="1"/>
  <c r="BS13" i="1" s="1"/>
  <c r="BR15" i="1"/>
  <c r="BS15" i="1" s="1"/>
  <c r="BR17" i="1"/>
  <c r="BS17" i="1" s="1"/>
  <c r="BR19" i="1"/>
  <c r="BS19" i="1" s="1"/>
  <c r="BR21" i="1"/>
  <c r="BS21" i="1" s="1"/>
  <c r="BR23" i="1"/>
  <c r="BS23" i="1" s="1"/>
  <c r="BR25" i="1"/>
  <c r="BS25" i="1" s="1"/>
  <c r="BR27" i="1"/>
  <c r="BS27" i="1" s="1"/>
  <c r="BR29" i="1"/>
  <c r="BS29" i="1" s="1"/>
  <c r="BR31" i="1"/>
  <c r="BS31" i="1" s="1"/>
  <c r="BR33" i="1"/>
  <c r="BS33" i="1" s="1"/>
  <c r="BR35" i="1"/>
  <c r="BS35" i="1" s="1"/>
  <c r="BR37" i="1"/>
  <c r="BS37" i="1" s="1"/>
  <c r="BR39" i="1"/>
  <c r="D24" i="12"/>
  <c r="BR41" i="1"/>
  <c r="BS41" i="1" s="1"/>
  <c r="BR43" i="1"/>
  <c r="BS43" i="1" s="1"/>
  <c r="BR45" i="1"/>
  <c r="BS45" i="1" s="1"/>
  <c r="BR47" i="1"/>
  <c r="BS47" i="1" s="1"/>
  <c r="BR49" i="1"/>
  <c r="BS49" i="1" s="1"/>
  <c r="BR51" i="1"/>
  <c r="BS51" i="1" s="1"/>
  <c r="BR53" i="1"/>
  <c r="BS53" i="1" s="1"/>
  <c r="BR55" i="1"/>
  <c r="BS55" i="1" s="1"/>
  <c r="BR57" i="1"/>
  <c r="BS57" i="1" s="1"/>
  <c r="BR59" i="1"/>
  <c r="BR61" i="1"/>
  <c r="BS61" i="1" s="1"/>
  <c r="BR63" i="1"/>
  <c r="BS63" i="1" s="1"/>
  <c r="BR65" i="1"/>
  <c r="BS65" i="1" s="1"/>
  <c r="BR67" i="1"/>
  <c r="BS67" i="1" s="1"/>
  <c r="BR69" i="1"/>
  <c r="BS69" i="1" s="1"/>
  <c r="BR71" i="1"/>
  <c r="BS71" i="1" s="1"/>
  <c r="BR73" i="1"/>
  <c r="BS73" i="1" s="1"/>
  <c r="BR75" i="1"/>
  <c r="BS75" i="1" s="1"/>
  <c r="BR77" i="1"/>
  <c r="BS77" i="1" s="1"/>
  <c r="BR79" i="1"/>
  <c r="BS79" i="1" s="1"/>
  <c r="BR81" i="1"/>
  <c r="BS81" i="1" s="1"/>
  <c r="BR83" i="1"/>
  <c r="BS83" i="1" s="1"/>
  <c r="BR85" i="1"/>
  <c r="I84" i="24" s="1"/>
  <c r="BR87" i="1"/>
  <c r="BS87" i="1" s="1"/>
  <c r="BR89" i="1"/>
  <c r="BS89" i="1" s="1"/>
  <c r="BR91" i="1"/>
  <c r="BS91" i="1" s="1"/>
  <c r="BR93" i="1"/>
  <c r="BS93" i="1" s="1"/>
  <c r="BR95" i="1"/>
  <c r="BS95" i="1" s="1"/>
  <c r="BR97" i="1"/>
  <c r="BS97" i="1" s="1"/>
  <c r="BR99" i="1"/>
  <c r="BS99" i="1" s="1"/>
  <c r="BR101" i="1"/>
  <c r="BS101" i="1" s="1"/>
  <c r="BR103" i="1"/>
  <c r="BS103" i="1" s="1"/>
  <c r="BR105" i="1"/>
  <c r="BS105" i="1" s="1"/>
  <c r="BR107" i="1"/>
  <c r="BS107" i="1" s="1"/>
  <c r="BR109" i="1"/>
  <c r="BS109" i="1" s="1"/>
  <c r="BR111" i="1"/>
  <c r="BS111" i="1" s="1"/>
  <c r="BR113" i="1"/>
  <c r="BS113" i="1" s="1"/>
  <c r="BR115" i="1"/>
  <c r="BS115" i="1" s="1"/>
  <c r="BR117" i="1"/>
  <c r="BS117" i="1" s="1"/>
  <c r="BR119" i="1"/>
  <c r="BS119" i="1" s="1"/>
  <c r="BR121" i="1"/>
  <c r="BS121" i="1" s="1"/>
  <c r="BR123" i="1"/>
  <c r="BS123" i="1" s="1"/>
  <c r="BR125" i="1"/>
  <c r="BS125" i="1" s="1"/>
  <c r="BR127" i="1"/>
  <c r="BS127" i="1" s="1"/>
  <c r="BR129" i="1"/>
  <c r="BS129" i="1" s="1"/>
  <c r="BR131" i="1"/>
  <c r="BS131" i="1" s="1"/>
  <c r="BR133" i="1"/>
  <c r="BS133" i="1" s="1"/>
  <c r="BR135" i="1"/>
  <c r="BS135" i="1" s="1"/>
  <c r="BR137" i="1"/>
  <c r="BS137" i="1" s="1"/>
  <c r="BR139" i="1"/>
  <c r="BS139" i="1" s="1"/>
  <c r="BR141" i="1"/>
  <c r="BS141" i="1" s="1"/>
  <c r="BR143" i="1"/>
  <c r="BS143" i="1" s="1"/>
  <c r="BR145" i="1"/>
  <c r="BS145" i="1" s="1"/>
  <c r="BR147" i="1"/>
  <c r="BS147" i="1" s="1"/>
  <c r="BR149" i="1"/>
  <c r="BS149" i="1" s="1"/>
  <c r="BR151" i="1"/>
  <c r="BS151" i="1" s="1"/>
  <c r="BR153" i="1"/>
  <c r="BS153" i="1" s="1"/>
  <c r="BR155" i="1"/>
  <c r="BS155" i="1" s="1"/>
  <c r="BR157" i="1"/>
  <c r="BS157" i="1" s="1"/>
  <c r="BR159" i="1"/>
  <c r="BS159" i="1" s="1"/>
  <c r="BR161" i="1"/>
  <c r="BS161" i="1" s="1"/>
  <c r="BR163" i="1"/>
  <c r="BS163" i="1" s="1"/>
  <c r="BR165" i="1"/>
  <c r="BS165" i="1" s="1"/>
  <c r="BR167" i="1"/>
  <c r="BS167" i="1" s="1"/>
  <c r="BR169" i="1"/>
  <c r="BS169" i="1" s="1"/>
  <c r="BR171" i="1"/>
  <c r="BS171" i="1" s="1"/>
  <c r="BR173" i="1"/>
  <c r="BS173" i="1" s="1"/>
  <c r="BR175" i="1"/>
  <c r="BS175" i="1" s="1"/>
  <c r="BR177" i="1"/>
  <c r="BS177" i="1" s="1"/>
  <c r="BR179" i="1"/>
  <c r="BS179" i="1" s="1"/>
  <c r="BR181" i="1"/>
  <c r="BS181" i="1" s="1"/>
  <c r="BR183" i="1"/>
  <c r="BS183" i="1" s="1"/>
  <c r="BR185" i="1"/>
  <c r="BS185" i="1" s="1"/>
  <c r="BR187" i="1"/>
  <c r="BS187" i="1" s="1"/>
  <c r="BR189" i="1"/>
  <c r="BS189" i="1" s="1"/>
  <c r="BR191" i="1"/>
  <c r="BS191" i="1" s="1"/>
  <c r="BR193" i="1"/>
  <c r="BS193" i="1" s="1"/>
  <c r="BR195" i="1"/>
  <c r="BS195" i="1" s="1"/>
  <c r="BR197" i="1"/>
  <c r="BS197" i="1" s="1"/>
  <c r="BR199" i="1"/>
  <c r="BS199" i="1" s="1"/>
  <c r="BR201" i="1"/>
  <c r="BS201" i="1" s="1"/>
  <c r="BR203" i="1"/>
  <c r="BR205" i="1"/>
  <c r="BS205" i="1" s="1"/>
  <c r="BR207" i="1"/>
  <c r="BS207" i="1" s="1"/>
  <c r="BR209" i="1"/>
  <c r="BS209" i="1" s="1"/>
  <c r="BR211" i="1"/>
  <c r="BS211" i="1" s="1"/>
  <c r="BR213" i="1"/>
  <c r="BS213" i="1" s="1"/>
  <c r="BR215" i="1"/>
  <c r="BS215" i="1" s="1"/>
  <c r="BR217" i="1"/>
  <c r="BS217" i="1" s="1"/>
  <c r="BR219" i="1"/>
  <c r="BS219" i="1" s="1"/>
  <c r="BR221" i="1"/>
  <c r="BS221" i="1" s="1"/>
  <c r="BR223" i="1"/>
  <c r="BS223" i="1" s="1"/>
  <c r="BR225" i="1"/>
  <c r="BS225" i="1" s="1"/>
  <c r="BR227" i="1"/>
  <c r="BS227" i="1" s="1"/>
  <c r="BR229" i="1"/>
  <c r="BS229" i="1" s="1"/>
  <c r="BR231" i="1"/>
  <c r="BS231" i="1" s="1"/>
  <c r="BR233" i="1"/>
  <c r="BS233" i="1" s="1"/>
  <c r="BR235" i="1"/>
  <c r="BS235" i="1" s="1"/>
  <c r="BR237" i="1"/>
  <c r="BS237" i="1" s="1"/>
  <c r="BR239" i="1"/>
  <c r="BS239" i="1" s="1"/>
  <c r="BR241" i="1"/>
  <c r="BS241" i="1" s="1"/>
  <c r="BR243" i="1"/>
  <c r="BS243" i="1" s="1"/>
  <c r="BR245" i="1"/>
  <c r="BS245" i="1" s="1"/>
  <c r="BR247" i="1"/>
  <c r="BS247" i="1" s="1"/>
  <c r="BR249" i="1"/>
  <c r="BS249" i="1" s="1"/>
  <c r="BR251" i="1"/>
  <c r="BS251" i="1" s="1"/>
  <c r="BR253" i="1"/>
  <c r="BS253" i="1" s="1"/>
  <c r="BR255" i="1"/>
  <c r="BS255" i="1" s="1"/>
  <c r="BR257" i="1"/>
  <c r="BS257" i="1" s="1"/>
  <c r="BR259" i="1"/>
  <c r="BS259" i="1" s="1"/>
  <c r="BR261" i="1"/>
  <c r="BS261" i="1" s="1"/>
  <c r="BR263" i="1"/>
  <c r="BS263" i="1" s="1"/>
  <c r="BR265" i="1"/>
  <c r="BS265" i="1" s="1"/>
  <c r="BR267" i="1"/>
  <c r="BS267" i="1" s="1"/>
  <c r="BR269" i="1"/>
  <c r="BS269" i="1" s="1"/>
  <c r="BR271" i="1"/>
  <c r="BS271" i="1" s="1"/>
  <c r="BR273" i="1"/>
  <c r="BS273" i="1" s="1"/>
  <c r="BR275" i="1"/>
  <c r="BS275" i="1" s="1"/>
  <c r="BR277" i="1"/>
  <c r="BS277" i="1" s="1"/>
  <c r="BR279" i="1"/>
  <c r="BS279" i="1" s="1"/>
  <c r="BR281" i="1"/>
  <c r="BS281" i="1" s="1"/>
  <c r="BR283" i="1"/>
  <c r="BS283" i="1" s="1"/>
  <c r="BR285" i="1"/>
  <c r="BS285" i="1" s="1"/>
  <c r="BR287" i="1"/>
  <c r="BS287" i="1" s="1"/>
  <c r="BR289" i="1"/>
  <c r="BS289" i="1" s="1"/>
  <c r="BR291" i="1"/>
  <c r="BS291" i="1" s="1"/>
  <c r="BR293" i="1"/>
  <c r="BS293" i="1" s="1"/>
  <c r="BR295" i="1"/>
  <c r="BS295" i="1" s="1"/>
  <c r="BR297" i="1"/>
  <c r="BS297" i="1" s="1"/>
  <c r="BR299" i="1"/>
  <c r="BS299" i="1" s="1"/>
  <c r="BR301" i="1"/>
  <c r="BS301" i="1" s="1"/>
  <c r="BR303" i="1"/>
  <c r="BS303" i="1" s="1"/>
  <c r="BR305" i="1"/>
  <c r="BS305" i="1" s="1"/>
  <c r="BR307" i="1"/>
  <c r="BS307" i="1" s="1"/>
  <c r="BR309" i="1"/>
  <c r="BS309" i="1" s="1"/>
  <c r="BR311" i="1"/>
  <c r="BS311" i="1" s="1"/>
  <c r="BR313" i="1"/>
  <c r="BS313" i="1" s="1"/>
  <c r="BR315" i="1"/>
  <c r="BS315" i="1" s="1"/>
  <c r="BR317" i="1"/>
  <c r="BS317" i="1" s="1"/>
  <c r="BR319" i="1"/>
  <c r="BS319" i="1" s="1"/>
  <c r="BR321" i="1"/>
  <c r="BS321" i="1" s="1"/>
  <c r="BR323" i="1"/>
  <c r="BS323" i="1" s="1"/>
  <c r="BR325" i="1"/>
  <c r="BS325" i="1" s="1"/>
  <c r="BR327" i="1"/>
  <c r="BS327" i="1" s="1"/>
  <c r="BR329" i="1"/>
  <c r="BS329" i="1" s="1"/>
  <c r="BR331" i="1"/>
  <c r="BS331" i="1" s="1"/>
  <c r="BR333" i="1"/>
  <c r="BS333" i="1" s="1"/>
  <c r="BR335" i="1"/>
  <c r="BS335" i="1" s="1"/>
  <c r="BR337" i="1"/>
  <c r="BS337" i="1" s="1"/>
  <c r="BR339" i="1"/>
  <c r="BS339" i="1" s="1"/>
  <c r="BR341" i="1"/>
  <c r="BS341" i="1" s="1"/>
  <c r="BR343" i="1"/>
  <c r="BS343" i="1" s="1"/>
  <c r="BR345" i="1"/>
  <c r="BS345" i="1" s="1"/>
  <c r="BR347" i="1"/>
  <c r="BS347" i="1" s="1"/>
  <c r="BR349" i="1"/>
  <c r="BS349" i="1" s="1"/>
  <c r="BR351" i="1"/>
  <c r="BS351" i="1" s="1"/>
  <c r="BR353" i="1"/>
  <c r="BS353" i="1" s="1"/>
  <c r="BR355" i="1"/>
  <c r="BS355" i="1" s="1"/>
  <c r="BR357" i="1"/>
  <c r="BS357" i="1" s="1"/>
  <c r="BR359" i="1"/>
  <c r="BS359" i="1" s="1"/>
  <c r="BR361" i="1"/>
  <c r="BS361" i="1" s="1"/>
  <c r="BR363" i="1"/>
  <c r="BS363" i="1" s="1"/>
  <c r="BR365" i="1"/>
  <c r="BS365" i="1" s="1"/>
  <c r="BR367" i="1"/>
  <c r="BS367" i="1" s="1"/>
  <c r="BR369" i="1"/>
  <c r="BS369" i="1" s="1"/>
  <c r="BR371" i="1"/>
  <c r="BS371" i="1" s="1"/>
  <c r="BR373" i="1"/>
  <c r="BS373" i="1" s="1"/>
  <c r="BR375" i="1"/>
  <c r="BS375" i="1" s="1"/>
  <c r="BR377" i="1"/>
  <c r="BS377" i="1" s="1"/>
  <c r="BR379" i="1"/>
  <c r="BS379" i="1" s="1"/>
  <c r="BR381" i="1"/>
  <c r="BS381" i="1" s="1"/>
  <c r="BR383" i="1"/>
  <c r="BS383" i="1" s="1"/>
  <c r="BR385" i="1"/>
  <c r="BS385" i="1" s="1"/>
  <c r="BR387" i="1"/>
  <c r="BS387" i="1" s="1"/>
  <c r="BR389" i="1"/>
  <c r="BS389" i="1" s="1"/>
  <c r="BR391" i="1"/>
  <c r="BS391" i="1" s="1"/>
  <c r="BR393" i="1"/>
  <c r="BS393" i="1" s="1"/>
  <c r="BR395" i="1"/>
  <c r="BS395" i="1" s="1"/>
  <c r="BR397" i="1"/>
  <c r="BS397" i="1" s="1"/>
  <c r="BR399" i="1"/>
  <c r="BS399" i="1" s="1"/>
  <c r="BR401" i="1"/>
  <c r="BS401" i="1" s="1"/>
  <c r="BR403" i="1"/>
  <c r="BS403" i="1" s="1"/>
  <c r="BA408" i="1"/>
  <c r="AZ408" i="1"/>
  <c r="AZ407" i="1"/>
  <c r="BD9" i="1"/>
  <c r="BD409" i="1" s="1"/>
  <c r="BC404" i="1"/>
  <c r="BC409" i="1"/>
  <c r="D26" i="12"/>
  <c r="BG408" i="1"/>
  <c r="BF408" i="1"/>
  <c r="BF407" i="1"/>
  <c r="BJ9" i="1"/>
  <c r="BJ409" i="1" s="1"/>
  <c r="BI409" i="1"/>
  <c r="BI404" i="1"/>
  <c r="D28" i="12"/>
  <c r="BL408" i="1"/>
  <c r="BL407" i="1"/>
  <c r="BP9" i="1"/>
  <c r="BP409" i="1" s="1"/>
  <c r="BO404" i="1"/>
  <c r="BO409" i="1"/>
  <c r="D30" i="12"/>
  <c r="BU408" i="1"/>
  <c r="BU407" i="1"/>
  <c r="BY9" i="1"/>
  <c r="BX409" i="1"/>
  <c r="BX404" i="1"/>
  <c r="D33" i="12"/>
  <c r="CA408" i="1"/>
  <c r="CA407" i="1"/>
  <c r="CE9" i="1"/>
  <c r="CD409" i="1"/>
  <c r="CD404" i="1"/>
  <c r="D35" i="12"/>
  <c r="CG408" i="1"/>
  <c r="CG407" i="1"/>
  <c r="CK9" i="1"/>
  <c r="CP9" i="1"/>
  <c r="CJ409" i="1"/>
  <c r="CJ404" i="1"/>
  <c r="CP11" i="1"/>
  <c r="CQ11" i="1" s="1"/>
  <c r="CP13" i="1"/>
  <c r="CQ13" i="1" s="1"/>
  <c r="CP15" i="1"/>
  <c r="CQ15" i="1" s="1"/>
  <c r="CP17" i="1"/>
  <c r="CQ17" i="1" s="1"/>
  <c r="CP19" i="1"/>
  <c r="CQ19" i="1" s="1"/>
  <c r="CP21" i="1"/>
  <c r="CQ21" i="1" s="1"/>
  <c r="CP23" i="1"/>
  <c r="CQ23" i="1" s="1"/>
  <c r="CP25" i="1"/>
  <c r="CQ25" i="1" s="1"/>
  <c r="CP27" i="1"/>
  <c r="CQ27" i="1" s="1"/>
  <c r="CP29" i="1"/>
  <c r="CQ29" i="1" s="1"/>
  <c r="CP31" i="1"/>
  <c r="CQ31" i="1" s="1"/>
  <c r="CP33" i="1"/>
  <c r="CQ33" i="1" s="1"/>
  <c r="CP35" i="1"/>
  <c r="CQ35" i="1" s="1"/>
  <c r="CP37" i="1"/>
  <c r="CQ37" i="1" s="1"/>
  <c r="CP39" i="1"/>
  <c r="D38" i="12"/>
  <c r="CP41" i="1"/>
  <c r="CQ41" i="1" s="1"/>
  <c r="CP43" i="1"/>
  <c r="CQ43" i="1" s="1"/>
  <c r="CP45" i="1"/>
  <c r="CQ45" i="1" s="1"/>
  <c r="CP47" i="1"/>
  <c r="CQ47" i="1" s="1"/>
  <c r="CP49" i="1"/>
  <c r="CQ49" i="1" s="1"/>
  <c r="CP51" i="1"/>
  <c r="CQ51" i="1" s="1"/>
  <c r="CP53" i="1"/>
  <c r="CQ53" i="1" s="1"/>
  <c r="CP55" i="1"/>
  <c r="CQ55" i="1" s="1"/>
  <c r="CP57" i="1"/>
  <c r="CQ57" i="1" s="1"/>
  <c r="CP59" i="1"/>
  <c r="CQ59" i="1" s="1"/>
  <c r="CP61" i="1"/>
  <c r="CQ61" i="1" s="1"/>
  <c r="CP63" i="1"/>
  <c r="CQ63" i="1" s="1"/>
  <c r="CP65" i="1"/>
  <c r="CQ65" i="1" s="1"/>
  <c r="CP67" i="1"/>
  <c r="CQ67" i="1" s="1"/>
  <c r="CP69" i="1"/>
  <c r="CQ69" i="1" s="1"/>
  <c r="CP71" i="1"/>
  <c r="CQ71" i="1" s="1"/>
  <c r="CP73" i="1"/>
  <c r="CQ73" i="1" s="1"/>
  <c r="CP75" i="1"/>
  <c r="CQ75" i="1" s="1"/>
  <c r="CP77" i="1"/>
  <c r="CQ77" i="1" s="1"/>
  <c r="CP79" i="1"/>
  <c r="CQ79" i="1" s="1"/>
  <c r="CP81" i="1"/>
  <c r="CQ81" i="1" s="1"/>
  <c r="CP83" i="1"/>
  <c r="CQ83" i="1" s="1"/>
  <c r="CP85" i="1"/>
  <c r="CQ85" i="1" s="1"/>
  <c r="CP87" i="1"/>
  <c r="CQ87" i="1" s="1"/>
  <c r="CP89" i="1"/>
  <c r="CQ89" i="1" s="1"/>
  <c r="CP91" i="1"/>
  <c r="CQ91" i="1" s="1"/>
  <c r="CP93" i="1"/>
  <c r="CQ93" i="1" s="1"/>
  <c r="CP95" i="1"/>
  <c r="CQ95" i="1" s="1"/>
  <c r="CP97" i="1"/>
  <c r="CQ97" i="1" s="1"/>
  <c r="CP99" i="1"/>
  <c r="CQ99" i="1" s="1"/>
  <c r="CP101" i="1"/>
  <c r="CQ101" i="1" s="1"/>
  <c r="CP103" i="1"/>
  <c r="CQ103" i="1" s="1"/>
  <c r="CP105" i="1"/>
  <c r="CQ105" i="1" s="1"/>
  <c r="CP107" i="1"/>
  <c r="CQ107" i="1" s="1"/>
  <c r="CP109" i="1"/>
  <c r="CQ109" i="1" s="1"/>
  <c r="CP111" i="1"/>
  <c r="CQ111" i="1" s="1"/>
  <c r="CP113" i="1"/>
  <c r="CQ113" i="1" s="1"/>
  <c r="CP115" i="1"/>
  <c r="CQ115" i="1" s="1"/>
  <c r="CP117" i="1"/>
  <c r="CQ117" i="1" s="1"/>
  <c r="CP119" i="1"/>
  <c r="CQ119" i="1" s="1"/>
  <c r="CP121" i="1"/>
  <c r="CQ121" i="1" s="1"/>
  <c r="CP123" i="1"/>
  <c r="CQ123" i="1" s="1"/>
  <c r="CP125" i="1"/>
  <c r="CQ125" i="1" s="1"/>
  <c r="CP127" i="1"/>
  <c r="CQ127" i="1" s="1"/>
  <c r="CP129" i="1"/>
  <c r="CQ129" i="1" s="1"/>
  <c r="CP131" i="1"/>
  <c r="CQ131" i="1" s="1"/>
  <c r="CP133" i="1"/>
  <c r="CQ133" i="1" s="1"/>
  <c r="CP135" i="1"/>
  <c r="CQ135" i="1" s="1"/>
  <c r="CP137" i="1"/>
  <c r="CQ137" i="1" s="1"/>
  <c r="CP139" i="1"/>
  <c r="CQ139" i="1" s="1"/>
  <c r="CP141" i="1"/>
  <c r="CQ141" i="1" s="1"/>
  <c r="CP143" i="1"/>
  <c r="CQ143" i="1" s="1"/>
  <c r="CP145" i="1"/>
  <c r="CQ145" i="1" s="1"/>
  <c r="CP147" i="1"/>
  <c r="CQ147" i="1" s="1"/>
  <c r="CP149" i="1"/>
  <c r="CQ149" i="1" s="1"/>
  <c r="CP151" i="1"/>
  <c r="CQ151" i="1" s="1"/>
  <c r="CP153" i="1"/>
  <c r="CQ153" i="1" s="1"/>
  <c r="CP155" i="1"/>
  <c r="CQ155" i="1" s="1"/>
  <c r="CP157" i="1"/>
  <c r="CQ157" i="1" s="1"/>
  <c r="CP159" i="1"/>
  <c r="CQ159" i="1" s="1"/>
  <c r="CP161" i="1"/>
  <c r="CQ161" i="1" s="1"/>
  <c r="CP163" i="1"/>
  <c r="CQ163" i="1" s="1"/>
  <c r="CP165" i="1"/>
  <c r="CQ165" i="1" s="1"/>
  <c r="CP167" i="1"/>
  <c r="CQ167" i="1" s="1"/>
  <c r="CP169" i="1"/>
  <c r="CQ169" i="1" s="1"/>
  <c r="CP171" i="1"/>
  <c r="CQ171" i="1" s="1"/>
  <c r="CP173" i="1"/>
  <c r="CQ173" i="1" s="1"/>
  <c r="CP175" i="1"/>
  <c r="CQ175" i="1" s="1"/>
  <c r="CP177" i="1"/>
  <c r="CQ177" i="1" s="1"/>
  <c r="CP179" i="1"/>
  <c r="CQ179" i="1" s="1"/>
  <c r="CP181" i="1"/>
  <c r="CQ181" i="1" s="1"/>
  <c r="CP183" i="1"/>
  <c r="CQ183" i="1" s="1"/>
  <c r="CP185" i="1"/>
  <c r="CQ185" i="1" s="1"/>
  <c r="CP187" i="1"/>
  <c r="CQ187" i="1" s="1"/>
  <c r="CP189" i="1"/>
  <c r="CQ189" i="1" s="1"/>
  <c r="CP191" i="1"/>
  <c r="CQ191" i="1" s="1"/>
  <c r="CP193" i="1"/>
  <c r="CQ193" i="1" s="1"/>
  <c r="CP195" i="1"/>
  <c r="CQ195" i="1" s="1"/>
  <c r="CP197" i="1"/>
  <c r="CQ197" i="1" s="1"/>
  <c r="CP199" i="1"/>
  <c r="CQ199" i="1" s="1"/>
  <c r="CP201" i="1"/>
  <c r="CQ201" i="1" s="1"/>
  <c r="CP203" i="1"/>
  <c r="CQ203" i="1" s="1"/>
  <c r="CP205" i="1"/>
  <c r="CQ205" i="1" s="1"/>
  <c r="CP207" i="1"/>
  <c r="CQ207" i="1" s="1"/>
  <c r="CP209" i="1"/>
  <c r="CQ209" i="1" s="1"/>
  <c r="CP211" i="1"/>
  <c r="CQ211" i="1" s="1"/>
  <c r="CP213" i="1"/>
  <c r="CQ213" i="1" s="1"/>
  <c r="CP215" i="1"/>
  <c r="CQ215" i="1" s="1"/>
  <c r="CP217" i="1"/>
  <c r="CQ217" i="1" s="1"/>
  <c r="CP219" i="1"/>
  <c r="CQ219" i="1" s="1"/>
  <c r="CP221" i="1"/>
  <c r="CQ221" i="1" s="1"/>
  <c r="CP223" i="1"/>
  <c r="CQ223" i="1" s="1"/>
  <c r="CP225" i="1"/>
  <c r="CQ225" i="1" s="1"/>
  <c r="CP227" i="1"/>
  <c r="CQ227" i="1" s="1"/>
  <c r="CP229" i="1"/>
  <c r="CQ229" i="1" s="1"/>
  <c r="CP231" i="1"/>
  <c r="CQ231" i="1" s="1"/>
  <c r="CP233" i="1"/>
  <c r="CQ233" i="1" s="1"/>
  <c r="CP235" i="1"/>
  <c r="CQ235" i="1" s="1"/>
  <c r="CP237" i="1"/>
  <c r="CQ237" i="1" s="1"/>
  <c r="CP239" i="1"/>
  <c r="CQ239" i="1" s="1"/>
  <c r="CP241" i="1"/>
  <c r="CQ241" i="1" s="1"/>
  <c r="CP243" i="1"/>
  <c r="CQ243" i="1" s="1"/>
  <c r="CP245" i="1"/>
  <c r="CQ245" i="1" s="1"/>
  <c r="CP247" i="1"/>
  <c r="CQ247" i="1" s="1"/>
  <c r="CP249" i="1"/>
  <c r="CQ249" i="1" s="1"/>
  <c r="CP251" i="1"/>
  <c r="CQ251" i="1" s="1"/>
  <c r="CP253" i="1"/>
  <c r="CQ253" i="1" s="1"/>
  <c r="CP255" i="1"/>
  <c r="CQ255" i="1" s="1"/>
  <c r="CP257" i="1"/>
  <c r="CQ257" i="1" s="1"/>
  <c r="CP259" i="1"/>
  <c r="CQ259" i="1" s="1"/>
  <c r="CP261" i="1"/>
  <c r="CQ261" i="1" s="1"/>
  <c r="CP263" i="1"/>
  <c r="CQ263" i="1" s="1"/>
  <c r="CP265" i="1"/>
  <c r="CQ265" i="1" s="1"/>
  <c r="CP267" i="1"/>
  <c r="CQ267" i="1" s="1"/>
  <c r="CP269" i="1"/>
  <c r="CQ269" i="1" s="1"/>
  <c r="CP271" i="1"/>
  <c r="CQ271" i="1" s="1"/>
  <c r="CP273" i="1"/>
  <c r="CQ273" i="1" s="1"/>
  <c r="CP275" i="1"/>
  <c r="CQ275" i="1" s="1"/>
  <c r="CP277" i="1"/>
  <c r="CQ277" i="1" s="1"/>
  <c r="CP279" i="1"/>
  <c r="CQ279" i="1" s="1"/>
  <c r="CP281" i="1"/>
  <c r="CQ281" i="1" s="1"/>
  <c r="CP283" i="1"/>
  <c r="CQ283" i="1" s="1"/>
  <c r="CP285" i="1"/>
  <c r="CQ285" i="1" s="1"/>
  <c r="CP287" i="1"/>
  <c r="CQ287" i="1" s="1"/>
  <c r="CP289" i="1"/>
  <c r="CQ289" i="1" s="1"/>
  <c r="CP291" i="1"/>
  <c r="CQ291" i="1" s="1"/>
  <c r="CP293" i="1"/>
  <c r="CQ293" i="1" s="1"/>
  <c r="CP295" i="1"/>
  <c r="CQ295" i="1" s="1"/>
  <c r="CP297" i="1"/>
  <c r="CQ297" i="1" s="1"/>
  <c r="CP299" i="1"/>
  <c r="CQ299" i="1" s="1"/>
  <c r="CP301" i="1"/>
  <c r="CQ301" i="1" s="1"/>
  <c r="CP303" i="1"/>
  <c r="CQ303" i="1" s="1"/>
  <c r="CP305" i="1"/>
  <c r="CQ305" i="1" s="1"/>
  <c r="CP307" i="1"/>
  <c r="CQ307" i="1" s="1"/>
  <c r="CP309" i="1"/>
  <c r="CQ309" i="1" s="1"/>
  <c r="CP311" i="1"/>
  <c r="CQ311" i="1" s="1"/>
  <c r="CP313" i="1"/>
  <c r="CQ313" i="1" s="1"/>
  <c r="CP315" i="1"/>
  <c r="CQ315" i="1" s="1"/>
  <c r="CP317" i="1"/>
  <c r="CQ317" i="1" s="1"/>
  <c r="CP319" i="1"/>
  <c r="CQ319" i="1" s="1"/>
  <c r="CP321" i="1"/>
  <c r="CQ321" i="1" s="1"/>
  <c r="CP323" i="1"/>
  <c r="CQ323" i="1" s="1"/>
  <c r="CP325" i="1"/>
  <c r="CQ325" i="1" s="1"/>
  <c r="CP327" i="1"/>
  <c r="CQ327" i="1" s="1"/>
  <c r="CP329" i="1"/>
  <c r="CQ329" i="1" s="1"/>
  <c r="CP331" i="1"/>
  <c r="CQ331" i="1" s="1"/>
  <c r="CP333" i="1"/>
  <c r="CQ333" i="1" s="1"/>
  <c r="CP335" i="1"/>
  <c r="CQ335" i="1" s="1"/>
  <c r="CP337" i="1"/>
  <c r="CQ337" i="1" s="1"/>
  <c r="CP339" i="1"/>
  <c r="CQ339" i="1" s="1"/>
  <c r="CP341" i="1"/>
  <c r="CQ341" i="1" s="1"/>
  <c r="CP343" i="1"/>
  <c r="CQ343" i="1" s="1"/>
  <c r="CP345" i="1"/>
  <c r="CQ345" i="1" s="1"/>
  <c r="CP347" i="1"/>
  <c r="CQ347" i="1" s="1"/>
  <c r="CP349" i="1"/>
  <c r="CQ349" i="1" s="1"/>
  <c r="CP351" i="1"/>
  <c r="CQ351" i="1" s="1"/>
  <c r="CP353" i="1"/>
  <c r="CQ353" i="1" s="1"/>
  <c r="CP355" i="1"/>
  <c r="CQ355" i="1" s="1"/>
  <c r="CP357" i="1"/>
  <c r="CQ357" i="1" s="1"/>
  <c r="CP359" i="1"/>
  <c r="CQ359" i="1" s="1"/>
  <c r="CP361" i="1"/>
  <c r="CQ361" i="1" s="1"/>
  <c r="CP363" i="1"/>
  <c r="CQ363" i="1" s="1"/>
  <c r="CP365" i="1"/>
  <c r="CQ365" i="1" s="1"/>
  <c r="CP367" i="1"/>
  <c r="CQ367" i="1" s="1"/>
  <c r="CP369" i="1"/>
  <c r="CQ369" i="1" s="1"/>
  <c r="CP371" i="1"/>
  <c r="CQ371" i="1" s="1"/>
  <c r="CP373" i="1"/>
  <c r="CQ373" i="1" s="1"/>
  <c r="CP375" i="1"/>
  <c r="CQ375" i="1" s="1"/>
  <c r="CP377" i="1"/>
  <c r="CQ377" i="1" s="1"/>
  <c r="CP379" i="1"/>
  <c r="CQ379" i="1" s="1"/>
  <c r="CP381" i="1"/>
  <c r="CQ381" i="1" s="1"/>
  <c r="CP383" i="1"/>
  <c r="CQ383" i="1" s="1"/>
  <c r="CP385" i="1"/>
  <c r="CQ385" i="1" s="1"/>
  <c r="CP387" i="1"/>
  <c r="CQ387" i="1" s="1"/>
  <c r="CP389" i="1"/>
  <c r="CQ389" i="1" s="1"/>
  <c r="CP391" i="1"/>
  <c r="CQ391" i="1" s="1"/>
  <c r="CP393" i="1"/>
  <c r="CQ393" i="1" s="1"/>
  <c r="CP395" i="1"/>
  <c r="CQ395" i="1" s="1"/>
  <c r="CP397" i="1"/>
  <c r="CQ397" i="1" s="1"/>
  <c r="CP399" i="1"/>
  <c r="CQ399" i="1" s="1"/>
  <c r="CP401" i="1"/>
  <c r="CQ401" i="1" s="1"/>
  <c r="CP403" i="1"/>
  <c r="CQ403" i="1" s="1"/>
  <c r="CM408" i="1"/>
  <c r="CN10" i="1"/>
  <c r="CN12" i="1"/>
  <c r="CN14" i="1"/>
  <c r="CN16" i="1"/>
  <c r="CN18" i="1"/>
  <c r="CM407" i="1"/>
  <c r="CN108" i="1"/>
  <c r="CN402" i="1"/>
  <c r="I375" i="24" l="1"/>
  <c r="DY360" i="1"/>
  <c r="BZ410" i="1"/>
  <c r="CQ39" i="1"/>
  <c r="I391" i="24"/>
  <c r="DY392" i="1"/>
  <c r="DY368" i="1"/>
  <c r="BS39" i="1"/>
  <c r="DY376" i="1"/>
  <c r="I367" i="24"/>
  <c r="I359" i="24"/>
  <c r="K363" i="24"/>
  <c r="H9" i="24"/>
  <c r="DY350" i="1"/>
  <c r="DY322" i="1"/>
  <c r="C37" i="3"/>
  <c r="DX18" i="1"/>
  <c r="CN409" i="1"/>
  <c r="BT410" i="1"/>
  <c r="K201" i="24"/>
  <c r="J177" i="24"/>
  <c r="BV408" i="1"/>
  <c r="DY378" i="1"/>
  <c r="K369" i="24"/>
  <c r="I349" i="24"/>
  <c r="K349" i="24" s="1"/>
  <c r="I321" i="24"/>
  <c r="K321" i="24" s="1"/>
  <c r="J313" i="24"/>
  <c r="CE409" i="1"/>
  <c r="CB409" i="1"/>
  <c r="BM408" i="1"/>
  <c r="I377" i="24"/>
  <c r="K377" i="24" s="1"/>
  <c r="DY342" i="1"/>
  <c r="CQ18" i="1"/>
  <c r="J9" i="24"/>
  <c r="AL408" i="1"/>
  <c r="W408" i="1"/>
  <c r="CH409" i="1"/>
  <c r="BY409" i="1"/>
  <c r="J395" i="24"/>
  <c r="I341" i="24"/>
  <c r="J341" i="24" s="1"/>
  <c r="CF410" i="1"/>
  <c r="J297" i="24"/>
  <c r="J281" i="24"/>
  <c r="K281" i="24"/>
  <c r="K233" i="24"/>
  <c r="J233" i="24"/>
  <c r="K193" i="24"/>
  <c r="J193" i="24"/>
  <c r="J173" i="24"/>
  <c r="K173" i="24"/>
  <c r="J169" i="24"/>
  <c r="K169" i="24"/>
  <c r="J105" i="24"/>
  <c r="K105" i="24"/>
  <c r="K84" i="24"/>
  <c r="J84" i="24"/>
  <c r="K241" i="24"/>
  <c r="J241" i="24"/>
  <c r="K145" i="24"/>
  <c r="J145" i="24"/>
  <c r="K121" i="24"/>
  <c r="J121" i="24"/>
  <c r="K113" i="24"/>
  <c r="J113" i="24"/>
  <c r="K49" i="24"/>
  <c r="J49" i="24"/>
  <c r="J41" i="24"/>
  <c r="K41" i="24"/>
  <c r="J37" i="24"/>
  <c r="K37" i="24"/>
  <c r="CM414" i="1"/>
  <c r="K39" i="3"/>
  <c r="L39" i="3" s="1"/>
  <c r="CK404" i="1"/>
  <c r="D38" i="3"/>
  <c r="F35" i="12"/>
  <c r="E35" i="12"/>
  <c r="CE404" i="1"/>
  <c r="D35" i="3"/>
  <c r="N33" i="3"/>
  <c r="O33" i="3" s="1"/>
  <c r="BX415" i="1"/>
  <c r="K32" i="3"/>
  <c r="L32" i="3" s="1"/>
  <c r="BU414" i="1"/>
  <c r="BM407" i="1"/>
  <c r="BL413" i="1"/>
  <c r="H29" i="3"/>
  <c r="BL410" i="1"/>
  <c r="N28" i="3"/>
  <c r="O28" i="3" s="1"/>
  <c r="BI415" i="1"/>
  <c r="BF414" i="1"/>
  <c r="K27" i="3"/>
  <c r="L27" i="3" s="1"/>
  <c r="AZ413" i="1"/>
  <c r="H25" i="3"/>
  <c r="BA407" i="1"/>
  <c r="AZ410" i="1"/>
  <c r="D23" i="12"/>
  <c r="H22" i="12" s="1"/>
  <c r="F24" i="12"/>
  <c r="E24" i="12"/>
  <c r="N24" i="3"/>
  <c r="AW415" i="1"/>
  <c r="J389" i="24"/>
  <c r="K389" i="24"/>
  <c r="J379" i="24"/>
  <c r="K379" i="24"/>
  <c r="J365" i="24"/>
  <c r="K365" i="24"/>
  <c r="J345" i="24"/>
  <c r="K345" i="24"/>
  <c r="J317" i="24"/>
  <c r="K317" i="24"/>
  <c r="CO409" i="1"/>
  <c r="CO404" i="1"/>
  <c r="C23" i="3"/>
  <c r="K177" i="24"/>
  <c r="F39" i="12"/>
  <c r="E39" i="12"/>
  <c r="CP407" i="1"/>
  <c r="H38" i="3"/>
  <c r="CK407" i="1"/>
  <c r="CJ413" i="1"/>
  <c r="CJ410" i="1"/>
  <c r="N36" i="3"/>
  <c r="O36" i="3" s="1"/>
  <c r="CG415" i="1"/>
  <c r="CE407" i="1"/>
  <c r="CD413" i="1"/>
  <c r="H35" i="3"/>
  <c r="I35" i="3" s="1"/>
  <c r="CD410" i="1"/>
  <c r="F34" i="12"/>
  <c r="E34" i="12"/>
  <c r="D34" i="3"/>
  <c r="CB404" i="1"/>
  <c r="BM404" i="1"/>
  <c r="D29" i="3"/>
  <c r="BJ408" i="1"/>
  <c r="BC413" i="1"/>
  <c r="H26" i="3"/>
  <c r="BD407" i="1"/>
  <c r="BC410" i="1"/>
  <c r="N25" i="3"/>
  <c r="O25" i="3" s="1"/>
  <c r="AZ415" i="1"/>
  <c r="DY396" i="1"/>
  <c r="BS396" i="1"/>
  <c r="I383" i="24"/>
  <c r="K383" i="24" s="1"/>
  <c r="BS384" i="1"/>
  <c r="DY364" i="1"/>
  <c r="BS364" i="1"/>
  <c r="I355" i="24"/>
  <c r="J355" i="24" s="1"/>
  <c r="BS356" i="1"/>
  <c r="I351" i="24"/>
  <c r="BS352" i="1"/>
  <c r="DY344" i="1"/>
  <c r="BS344" i="1"/>
  <c r="I335" i="24"/>
  <c r="BS336" i="1"/>
  <c r="DY332" i="1"/>
  <c r="BS332" i="1"/>
  <c r="I327" i="24"/>
  <c r="J327" i="24" s="1"/>
  <c r="BS328" i="1"/>
  <c r="I319" i="24"/>
  <c r="BS320" i="1"/>
  <c r="I307" i="24"/>
  <c r="J307" i="24" s="1"/>
  <c r="BS308" i="1"/>
  <c r="I299" i="24"/>
  <c r="K299" i="24" s="1"/>
  <c r="BS300" i="1"/>
  <c r="I291" i="24"/>
  <c r="K291" i="24" s="1"/>
  <c r="BS292" i="1"/>
  <c r="DY280" i="1"/>
  <c r="BS280" i="1"/>
  <c r="DY276" i="1"/>
  <c r="BS276" i="1"/>
  <c r="I259" i="24"/>
  <c r="BS260" i="1"/>
  <c r="DY252" i="1"/>
  <c r="BS252" i="1"/>
  <c r="I231" i="24"/>
  <c r="BS232" i="1"/>
  <c r="DY228" i="1"/>
  <c r="BS228" i="1"/>
  <c r="DY208" i="1"/>
  <c r="BS208" i="1"/>
  <c r="DY196" i="1"/>
  <c r="BS196" i="1"/>
  <c r="I159" i="24"/>
  <c r="BS160" i="1"/>
  <c r="DY148" i="1"/>
  <c r="BS148" i="1"/>
  <c r="I143" i="24"/>
  <c r="K143" i="24" s="1"/>
  <c r="BS144" i="1"/>
  <c r="DY132" i="1"/>
  <c r="BS132" i="1"/>
  <c r="DY120" i="1"/>
  <c r="BS120" i="1"/>
  <c r="DY112" i="1"/>
  <c r="BS112" i="1"/>
  <c r="I107" i="24"/>
  <c r="J107" i="24" s="1"/>
  <c r="BS108" i="1"/>
  <c r="I103" i="24"/>
  <c r="BS104" i="1"/>
  <c r="DY92" i="1"/>
  <c r="BS92" i="1"/>
  <c r="DY88" i="1"/>
  <c r="BS88" i="1"/>
  <c r="I83" i="24"/>
  <c r="J83" i="24" s="1"/>
  <c r="BS84" i="1"/>
  <c r="DY72" i="1"/>
  <c r="BS72" i="1"/>
  <c r="DY68" i="1"/>
  <c r="BS68" i="1"/>
  <c r="I23" i="24"/>
  <c r="BS24" i="1"/>
  <c r="I17" i="24"/>
  <c r="BS18" i="1"/>
  <c r="K24" i="3"/>
  <c r="AW414" i="1"/>
  <c r="CO408" i="1"/>
  <c r="G30" i="3"/>
  <c r="BN410" i="1"/>
  <c r="G28" i="3"/>
  <c r="BH410" i="1"/>
  <c r="F406" i="4"/>
  <c r="F413" i="4"/>
  <c r="H11" i="4"/>
  <c r="DY401" i="1"/>
  <c r="I398" i="24"/>
  <c r="I392" i="24"/>
  <c r="I390" i="24"/>
  <c r="DY385" i="1"/>
  <c r="I382" i="24"/>
  <c r="DY377" i="1"/>
  <c r="DY375" i="1"/>
  <c r="I368" i="24"/>
  <c r="DY367" i="1"/>
  <c r="I360" i="24"/>
  <c r="DY359" i="1"/>
  <c r="DY353" i="1"/>
  <c r="DY351" i="1"/>
  <c r="I344" i="24"/>
  <c r="I342" i="24"/>
  <c r="I336" i="24"/>
  <c r="DY335" i="1"/>
  <c r="DY329" i="1"/>
  <c r="I326" i="24"/>
  <c r="I320" i="24"/>
  <c r="I318" i="24"/>
  <c r="I312" i="24"/>
  <c r="DY311" i="1"/>
  <c r="DY305" i="1"/>
  <c r="DY303" i="1"/>
  <c r="DY297" i="1"/>
  <c r="DY295" i="1"/>
  <c r="DY289" i="1"/>
  <c r="I286" i="24"/>
  <c r="I280" i="24"/>
  <c r="DY279" i="1"/>
  <c r="DY273" i="1"/>
  <c r="I270" i="24"/>
  <c r="I264" i="24"/>
  <c r="DY263" i="1"/>
  <c r="I256" i="24"/>
  <c r="I254" i="24"/>
  <c r="I248" i="24"/>
  <c r="DY247" i="1"/>
  <c r="I240" i="24"/>
  <c r="I238" i="24"/>
  <c r="DY233" i="1"/>
  <c r="I230" i="24"/>
  <c r="DY225" i="1"/>
  <c r="DY223" i="1"/>
  <c r="DY217" i="1"/>
  <c r="DY215" i="1"/>
  <c r="DY209" i="1"/>
  <c r="I206" i="24"/>
  <c r="DY201" i="1"/>
  <c r="I194" i="24"/>
  <c r="DY193" i="1"/>
  <c r="DY187" i="1"/>
  <c r="I184" i="24"/>
  <c r="I178" i="24"/>
  <c r="I176" i="24"/>
  <c r="I170" i="24"/>
  <c r="DY169" i="1"/>
  <c r="DY163" i="1"/>
  <c r="DY161" i="1"/>
  <c r="DY155" i="1"/>
  <c r="I152" i="24"/>
  <c r="DY147" i="1"/>
  <c r="I144" i="24"/>
  <c r="DY139" i="1"/>
  <c r="I136" i="24"/>
  <c r="DY131" i="1"/>
  <c r="I128" i="24"/>
  <c r="DY123" i="1"/>
  <c r="DY121" i="1"/>
  <c r="I114" i="24"/>
  <c r="I112" i="24"/>
  <c r="DY107" i="1"/>
  <c r="DY105" i="1"/>
  <c r="DY99" i="1"/>
  <c r="I96" i="24"/>
  <c r="DY91" i="1"/>
  <c r="I88" i="24"/>
  <c r="DY83" i="1"/>
  <c r="I76" i="24"/>
  <c r="DY75" i="1"/>
  <c r="I68" i="24"/>
  <c r="I66" i="24"/>
  <c r="I60" i="24"/>
  <c r="I54" i="24"/>
  <c r="I52" i="24"/>
  <c r="DY47" i="1"/>
  <c r="DY45" i="1"/>
  <c r="G65" i="12"/>
  <c r="G67" i="12" s="1"/>
  <c r="F22" i="12"/>
  <c r="E22" i="12"/>
  <c r="I36" i="24"/>
  <c r="DY35" i="1"/>
  <c r="DY29" i="1"/>
  <c r="I26" i="24"/>
  <c r="I20" i="24"/>
  <c r="I18" i="24"/>
  <c r="I12" i="24"/>
  <c r="I10" i="24"/>
  <c r="AQ414" i="1"/>
  <c r="K20" i="3"/>
  <c r="L20" i="3" s="1"/>
  <c r="H18" i="3"/>
  <c r="AL407" i="1"/>
  <c r="AK413" i="1"/>
  <c r="AK410" i="1"/>
  <c r="N17" i="3"/>
  <c r="O17" i="3" s="1"/>
  <c r="AE415" i="1"/>
  <c r="AB414" i="1"/>
  <c r="K16" i="3"/>
  <c r="L16" i="3" s="1"/>
  <c r="D13" i="3"/>
  <c r="T404" i="1"/>
  <c r="AI11" i="1"/>
  <c r="CS11" i="1"/>
  <c r="AI19" i="1"/>
  <c r="CS19" i="1"/>
  <c r="AI27" i="1"/>
  <c r="CS27" i="1"/>
  <c r="CS35" i="1"/>
  <c r="AI35" i="1"/>
  <c r="CS39" i="1"/>
  <c r="AI39" i="1"/>
  <c r="CS47" i="1"/>
  <c r="AI47" i="1"/>
  <c r="AI55" i="1"/>
  <c r="CS55" i="1"/>
  <c r="AI63" i="1"/>
  <c r="CS63" i="1"/>
  <c r="AI71" i="1"/>
  <c r="CS71" i="1"/>
  <c r="CS79" i="1"/>
  <c r="AI79" i="1"/>
  <c r="CS87" i="1"/>
  <c r="AI87" i="1"/>
  <c r="AI95" i="1"/>
  <c r="CS95" i="1"/>
  <c r="CS103" i="1"/>
  <c r="AI103" i="1"/>
  <c r="CS111" i="1"/>
  <c r="AI111" i="1"/>
  <c r="CS119" i="1"/>
  <c r="AI119" i="1"/>
  <c r="AI127" i="1"/>
  <c r="CS127" i="1"/>
  <c r="CS135" i="1"/>
  <c r="AI135" i="1"/>
  <c r="AI143" i="1"/>
  <c r="CS143" i="1"/>
  <c r="AI151" i="1"/>
  <c r="CS151" i="1"/>
  <c r="AI159" i="1"/>
  <c r="CS159" i="1"/>
  <c r="CS167" i="1"/>
  <c r="AI167" i="1"/>
  <c r="CS175" i="1"/>
  <c r="AI175" i="1"/>
  <c r="CS183" i="1"/>
  <c r="AI183" i="1"/>
  <c r="AI191" i="1"/>
  <c r="CS191" i="1"/>
  <c r="CS199" i="1"/>
  <c r="AI199" i="1"/>
  <c r="AI207" i="1"/>
  <c r="CS207" i="1"/>
  <c r="AI215" i="1"/>
  <c r="CS215" i="1"/>
  <c r="AI223" i="1"/>
  <c r="CS223" i="1"/>
  <c r="AI295" i="1"/>
  <c r="CS295" i="1"/>
  <c r="CS327" i="1"/>
  <c r="AI327" i="1"/>
  <c r="AI343" i="1"/>
  <c r="CS343" i="1"/>
  <c r="CS359" i="1"/>
  <c r="AI359" i="1"/>
  <c r="CS12" i="1"/>
  <c r="AI12" i="1"/>
  <c r="CS20" i="1"/>
  <c r="AI20" i="1"/>
  <c r="CS28" i="1"/>
  <c r="AI28" i="1"/>
  <c r="CS36" i="1"/>
  <c r="AI36" i="1"/>
  <c r="CS44" i="1"/>
  <c r="AI44" i="1"/>
  <c r="CS52" i="1"/>
  <c r="AI52" i="1"/>
  <c r="CS60" i="1"/>
  <c r="AI60" i="1"/>
  <c r="CS68" i="1"/>
  <c r="AI68" i="1"/>
  <c r="AI76" i="1"/>
  <c r="CS76" i="1"/>
  <c r="CS84" i="1"/>
  <c r="AI84" i="1"/>
  <c r="AI92" i="1"/>
  <c r="CS92" i="1"/>
  <c r="AI100" i="1"/>
  <c r="CS100" i="1"/>
  <c r="AI108" i="1"/>
  <c r="CS108" i="1"/>
  <c r="CS116" i="1"/>
  <c r="AI116" i="1"/>
  <c r="CS124" i="1"/>
  <c r="AI124" i="1"/>
  <c r="CS132" i="1"/>
  <c r="AI132" i="1"/>
  <c r="AI140" i="1"/>
  <c r="CS140" i="1"/>
  <c r="AI156" i="1"/>
  <c r="CS156" i="1"/>
  <c r="AI164" i="1"/>
  <c r="CS164" i="1"/>
  <c r="AI172" i="1"/>
  <c r="CS172" i="1"/>
  <c r="CS180" i="1"/>
  <c r="AI180" i="1"/>
  <c r="AI188" i="1"/>
  <c r="CS188" i="1"/>
  <c r="AI196" i="1"/>
  <c r="CS196" i="1"/>
  <c r="AI204" i="1"/>
  <c r="CS204" i="1"/>
  <c r="AI212" i="1"/>
  <c r="CS212" i="1"/>
  <c r="CS220" i="1"/>
  <c r="AI220" i="1"/>
  <c r="CS228" i="1"/>
  <c r="AI228" i="1"/>
  <c r="AI236" i="1"/>
  <c r="CS236" i="1"/>
  <c r="CS244" i="1"/>
  <c r="AI244" i="1"/>
  <c r="AI252" i="1"/>
  <c r="CS252" i="1"/>
  <c r="CS260" i="1"/>
  <c r="AI260" i="1"/>
  <c r="AI268" i="1"/>
  <c r="CS268" i="1"/>
  <c r="CS276" i="1"/>
  <c r="AI276" i="1"/>
  <c r="CS284" i="1"/>
  <c r="AI284" i="1"/>
  <c r="AI292" i="1"/>
  <c r="CS292" i="1"/>
  <c r="AI300" i="1"/>
  <c r="CS300" i="1"/>
  <c r="CS308" i="1"/>
  <c r="AI308" i="1"/>
  <c r="AI316" i="1"/>
  <c r="CS316" i="1"/>
  <c r="AI324" i="1"/>
  <c r="CS324" i="1"/>
  <c r="CS340" i="1"/>
  <c r="AI340" i="1"/>
  <c r="CS348" i="1"/>
  <c r="AI348" i="1"/>
  <c r="CS356" i="1"/>
  <c r="AI356" i="1"/>
  <c r="CS364" i="1"/>
  <c r="AI364" i="1"/>
  <c r="AI372" i="1"/>
  <c r="CS372" i="1"/>
  <c r="CS380" i="1"/>
  <c r="AI380" i="1"/>
  <c r="AI388" i="1"/>
  <c r="CS388" i="1"/>
  <c r="AI396" i="1"/>
  <c r="CS396" i="1"/>
  <c r="AI245" i="1"/>
  <c r="CS245" i="1"/>
  <c r="CS269" i="1"/>
  <c r="AI269" i="1"/>
  <c r="CS285" i="1"/>
  <c r="AI285" i="1"/>
  <c r="CS301" i="1"/>
  <c r="AI301" i="1"/>
  <c r="AI317" i="1"/>
  <c r="CS317" i="1"/>
  <c r="I315" i="24"/>
  <c r="I311" i="24"/>
  <c r="DY310" i="1"/>
  <c r="DY302" i="1"/>
  <c r="DY296" i="1"/>
  <c r="I289" i="24"/>
  <c r="DY284" i="1"/>
  <c r="I279" i="24"/>
  <c r="I275" i="24"/>
  <c r="K275" i="24" s="1"/>
  <c r="I271" i="24"/>
  <c r="I269" i="24"/>
  <c r="DY264" i="1"/>
  <c r="I261" i="24"/>
  <c r="I251" i="24"/>
  <c r="J251" i="24" s="1"/>
  <c r="I247" i="24"/>
  <c r="DY246" i="1"/>
  <c r="I235" i="24"/>
  <c r="DY232" i="1"/>
  <c r="I225" i="24"/>
  <c r="DY220" i="1"/>
  <c r="DY214" i="1"/>
  <c r="I211" i="24"/>
  <c r="I207" i="24"/>
  <c r="DY192" i="1"/>
  <c r="DY186" i="1"/>
  <c r="DY184" i="1"/>
  <c r="DY172" i="1"/>
  <c r="I167" i="24"/>
  <c r="I165" i="24"/>
  <c r="DY156" i="1"/>
  <c r="DY150" i="1"/>
  <c r="DY140" i="1"/>
  <c r="I133" i="24"/>
  <c r="DY128" i="1"/>
  <c r="DY118" i="1"/>
  <c r="DY108" i="1"/>
  <c r="DY104" i="1"/>
  <c r="DY98" i="1"/>
  <c r="I95" i="24"/>
  <c r="I91" i="24"/>
  <c r="I87" i="24"/>
  <c r="DY78" i="1"/>
  <c r="DY76" i="1"/>
  <c r="I71" i="24"/>
  <c r="DY62" i="1"/>
  <c r="I59" i="24"/>
  <c r="DY56" i="1"/>
  <c r="DY54" i="1"/>
  <c r="I47" i="24"/>
  <c r="DY32" i="1"/>
  <c r="DY28" i="1"/>
  <c r="DY22" i="1"/>
  <c r="I15" i="24"/>
  <c r="F20" i="12"/>
  <c r="E20" i="12"/>
  <c r="K19" i="3"/>
  <c r="L19" i="3" s="1"/>
  <c r="AN414" i="1"/>
  <c r="N18" i="3"/>
  <c r="O18" i="3" s="1"/>
  <c r="AK415" i="1"/>
  <c r="AF407" i="1"/>
  <c r="H17" i="3"/>
  <c r="AE413" i="1"/>
  <c r="AE410" i="1"/>
  <c r="F16" i="12"/>
  <c r="E16" i="12"/>
  <c r="Y414" i="1"/>
  <c r="K15" i="3"/>
  <c r="L15" i="3" s="1"/>
  <c r="W404" i="1"/>
  <c r="D14" i="3"/>
  <c r="H13" i="3"/>
  <c r="S413" i="1"/>
  <c r="T407" i="1"/>
  <c r="S410" i="1"/>
  <c r="E12" i="12"/>
  <c r="F12" i="12"/>
  <c r="N408" i="1"/>
  <c r="CS9" i="1"/>
  <c r="AI9" i="1"/>
  <c r="AH404" i="1"/>
  <c r="AH409" i="1"/>
  <c r="CS313" i="1"/>
  <c r="AI313" i="1"/>
  <c r="CR39" i="1"/>
  <c r="CU39" i="1" s="1"/>
  <c r="G11" i="3"/>
  <c r="L410" i="1"/>
  <c r="H10" i="3"/>
  <c r="J413" i="1"/>
  <c r="AH407" i="1"/>
  <c r="K407" i="1"/>
  <c r="J410" i="1"/>
  <c r="AI26" i="1"/>
  <c r="CS26" i="1"/>
  <c r="AI50" i="1"/>
  <c r="CS50" i="1"/>
  <c r="CS58" i="1"/>
  <c r="AI58" i="1"/>
  <c r="AI66" i="1"/>
  <c r="CS66" i="1"/>
  <c r="CS90" i="1"/>
  <c r="AI90" i="1"/>
  <c r="CS106" i="1"/>
  <c r="AI106" i="1"/>
  <c r="AI114" i="1"/>
  <c r="CS114" i="1"/>
  <c r="AI130" i="1"/>
  <c r="CS130" i="1"/>
  <c r="AI138" i="1"/>
  <c r="CS138" i="1"/>
  <c r="CS162" i="1"/>
  <c r="AI162" i="1"/>
  <c r="CS170" i="1"/>
  <c r="AI170" i="1"/>
  <c r="CS178" i="1"/>
  <c r="AI178" i="1"/>
  <c r="AI210" i="1"/>
  <c r="CS210" i="1"/>
  <c r="AI218" i="1"/>
  <c r="CS218" i="1"/>
  <c r="AI226" i="1"/>
  <c r="CS226" i="1"/>
  <c r="AI250" i="1"/>
  <c r="CS250" i="1"/>
  <c r="CS274" i="1"/>
  <c r="AI274" i="1"/>
  <c r="CS282" i="1"/>
  <c r="AI282" i="1"/>
  <c r="CS290" i="1"/>
  <c r="AI290" i="1"/>
  <c r="CS322" i="1"/>
  <c r="AI322" i="1"/>
  <c r="AI330" i="1"/>
  <c r="CS330" i="1"/>
  <c r="CS338" i="1"/>
  <c r="AI338" i="1"/>
  <c r="AI346" i="1"/>
  <c r="CS346" i="1"/>
  <c r="AI378" i="1"/>
  <c r="CS378" i="1"/>
  <c r="AI386" i="1"/>
  <c r="CS386" i="1"/>
  <c r="CS394" i="1"/>
  <c r="AI394" i="1"/>
  <c r="AI402" i="1"/>
  <c r="CS402" i="1"/>
  <c r="AI331" i="1"/>
  <c r="CS331" i="1"/>
  <c r="AI347" i="1"/>
  <c r="CS347" i="1"/>
  <c r="AI363" i="1"/>
  <c r="CS363" i="1"/>
  <c r="E38" i="12"/>
  <c r="D37" i="12"/>
  <c r="F38" i="12"/>
  <c r="N38" i="3"/>
  <c r="CJ415" i="1"/>
  <c r="CG413" i="1"/>
  <c r="CH407" i="1"/>
  <c r="H36" i="3"/>
  <c r="I36" i="3" s="1"/>
  <c r="CG410" i="1"/>
  <c r="CD415" i="1"/>
  <c r="N35" i="3"/>
  <c r="O35" i="3" s="1"/>
  <c r="BO415" i="1"/>
  <c r="N30" i="3"/>
  <c r="O30" i="3" s="1"/>
  <c r="F28" i="12"/>
  <c r="E28" i="12"/>
  <c r="BC415" i="1"/>
  <c r="N26" i="3"/>
  <c r="O26" i="3" s="1"/>
  <c r="AX409" i="1"/>
  <c r="I202" i="24"/>
  <c r="J202" i="24" s="1"/>
  <c r="BS203" i="1"/>
  <c r="I58" i="24"/>
  <c r="BS59" i="1"/>
  <c r="J399" i="24"/>
  <c r="K399" i="24"/>
  <c r="K391" i="24"/>
  <c r="J391" i="24"/>
  <c r="J385" i="24"/>
  <c r="K385" i="24"/>
  <c r="K381" i="24"/>
  <c r="J381" i="24"/>
  <c r="J371" i="24"/>
  <c r="K371" i="24"/>
  <c r="K361" i="24"/>
  <c r="J361" i="24"/>
  <c r="K347" i="24"/>
  <c r="J347" i="24"/>
  <c r="K341" i="24"/>
  <c r="K333" i="24"/>
  <c r="J333" i="24"/>
  <c r="K329" i="24"/>
  <c r="J329" i="24"/>
  <c r="G29" i="3"/>
  <c r="BK410" i="1"/>
  <c r="G27" i="3"/>
  <c r="BE410" i="1"/>
  <c r="G25" i="3"/>
  <c r="AY410" i="1"/>
  <c r="M23" i="3"/>
  <c r="J363" i="24"/>
  <c r="J321" i="24"/>
  <c r="K107" i="24"/>
  <c r="F411" i="4"/>
  <c r="H20" i="4"/>
  <c r="H411" i="4" s="1"/>
  <c r="F412" i="4"/>
  <c r="H12" i="4"/>
  <c r="H412" i="4" s="1"/>
  <c r="N39" i="3"/>
  <c r="O39" i="3" s="1"/>
  <c r="CM415" i="1"/>
  <c r="CK408" i="1"/>
  <c r="D36" i="3"/>
  <c r="CH404" i="1"/>
  <c r="CD414" i="1"/>
  <c r="K35" i="3"/>
  <c r="L35" i="3" s="1"/>
  <c r="CA415" i="1"/>
  <c r="N34" i="3"/>
  <c r="O34" i="3" s="1"/>
  <c r="BX413" i="1"/>
  <c r="H33" i="3"/>
  <c r="I33" i="3" s="1"/>
  <c r="BY407" i="1"/>
  <c r="BX410" i="1"/>
  <c r="K33" i="3"/>
  <c r="L33" i="3" s="1"/>
  <c r="BX414" i="1"/>
  <c r="BV404" i="1"/>
  <c r="D32" i="3"/>
  <c r="CA419" i="1"/>
  <c r="BP407" i="1"/>
  <c r="BO413" i="1"/>
  <c r="H30" i="3"/>
  <c r="I30" i="3" s="1"/>
  <c r="BO410" i="1"/>
  <c r="F29" i="12"/>
  <c r="E29" i="12"/>
  <c r="K28" i="3"/>
  <c r="L28" i="3" s="1"/>
  <c r="BI414" i="1"/>
  <c r="D27" i="3"/>
  <c r="BG404" i="1"/>
  <c r="E25" i="12"/>
  <c r="F25" i="12"/>
  <c r="DY400" i="1"/>
  <c r="BS400" i="1"/>
  <c r="I387" i="24"/>
  <c r="BS388" i="1"/>
  <c r="I339" i="24"/>
  <c r="J339" i="24" s="1"/>
  <c r="BS340" i="1"/>
  <c r="DY304" i="1"/>
  <c r="BS304" i="1"/>
  <c r="I243" i="24"/>
  <c r="J243" i="24" s="1"/>
  <c r="BS244" i="1"/>
  <c r="DY116" i="1"/>
  <c r="BS116" i="1"/>
  <c r="I39" i="24"/>
  <c r="BS40" i="1"/>
  <c r="DY10" i="1"/>
  <c r="BR408" i="1"/>
  <c r="BS10" i="1"/>
  <c r="CC410" i="1"/>
  <c r="BW410" i="1"/>
  <c r="C22" i="3"/>
  <c r="F408" i="4"/>
  <c r="I402" i="24"/>
  <c r="I400" i="24"/>
  <c r="I394" i="24"/>
  <c r="DY393" i="1"/>
  <c r="DY387" i="1"/>
  <c r="I384" i="24"/>
  <c r="DY379" i="1"/>
  <c r="I376" i="24"/>
  <c r="I370" i="24"/>
  <c r="DY369" i="1"/>
  <c r="I362" i="24"/>
  <c r="DY361" i="1"/>
  <c r="I354" i="24"/>
  <c r="I352" i="24"/>
  <c r="DY347" i="1"/>
  <c r="DY345" i="1"/>
  <c r="I338" i="24"/>
  <c r="DY337" i="1"/>
  <c r="DY331" i="1"/>
  <c r="I328" i="24"/>
  <c r="DY323" i="1"/>
  <c r="DY321" i="1"/>
  <c r="AU409" i="1"/>
  <c r="I314" i="24"/>
  <c r="DY313" i="1"/>
  <c r="I306" i="24"/>
  <c r="I304" i="24"/>
  <c r="DY299" i="1"/>
  <c r="I296" i="24"/>
  <c r="DY291" i="1"/>
  <c r="I288" i="24"/>
  <c r="DY283" i="1"/>
  <c r="DY281" i="1"/>
  <c r="DY275" i="1"/>
  <c r="I272" i="24"/>
  <c r="I266" i="24"/>
  <c r="DY265" i="1"/>
  <c r="I258" i="24"/>
  <c r="DY257" i="1"/>
  <c r="DY251" i="1"/>
  <c r="DY249" i="1"/>
  <c r="I242" i="24"/>
  <c r="DY241" i="1"/>
  <c r="I234" i="24"/>
  <c r="I232" i="24"/>
  <c r="DY227" i="1"/>
  <c r="I224" i="24"/>
  <c r="I218" i="24"/>
  <c r="I216" i="24"/>
  <c r="I210" i="24"/>
  <c r="I208" i="24"/>
  <c r="DY203" i="1"/>
  <c r="I196" i="24"/>
  <c r="DY195" i="1"/>
  <c r="I188" i="24"/>
  <c r="I186" i="24"/>
  <c r="DY181" i="1"/>
  <c r="DY179" i="1"/>
  <c r="I172" i="24"/>
  <c r="DY171" i="1"/>
  <c r="DY165" i="1"/>
  <c r="I162" i="24"/>
  <c r="DY157" i="1"/>
  <c r="I154" i="24"/>
  <c r="DY149" i="1"/>
  <c r="I146" i="24"/>
  <c r="I140" i="24"/>
  <c r="I138" i="24"/>
  <c r="I132" i="24"/>
  <c r="I130" i="24"/>
  <c r="I124" i="24"/>
  <c r="I122" i="24"/>
  <c r="DY117" i="1"/>
  <c r="DY115" i="1"/>
  <c r="I108" i="24"/>
  <c r="I106" i="24"/>
  <c r="DY101" i="1"/>
  <c r="I98" i="24"/>
  <c r="DY93" i="1"/>
  <c r="I90" i="24"/>
  <c r="I78" i="24"/>
  <c r="DY77" i="1"/>
  <c r="I70" i="24"/>
  <c r="DY69" i="1"/>
  <c r="DY63" i="1"/>
  <c r="DY61" i="1"/>
  <c r="I56" i="24"/>
  <c r="DY55" i="1"/>
  <c r="DY49" i="1"/>
  <c r="I46" i="24"/>
  <c r="I40" i="24"/>
  <c r="I38" i="24"/>
  <c r="DY37" i="1"/>
  <c r="DY31" i="1"/>
  <c r="I28" i="24"/>
  <c r="DY23" i="1"/>
  <c r="DY21" i="1"/>
  <c r="I14" i="24"/>
  <c r="DY13" i="1"/>
  <c r="N19" i="3"/>
  <c r="O19" i="3" s="1"/>
  <c r="AN415" i="1"/>
  <c r="F17" i="12"/>
  <c r="E17" i="12"/>
  <c r="D15" i="3"/>
  <c r="Z404" i="1"/>
  <c r="W407" i="1"/>
  <c r="V413" i="1"/>
  <c r="H14" i="3"/>
  <c r="V410" i="1"/>
  <c r="F13" i="12"/>
  <c r="E13" i="12"/>
  <c r="P414" i="1"/>
  <c r="K12" i="3"/>
  <c r="L12" i="3" s="1"/>
  <c r="M415" i="1"/>
  <c r="N11" i="3"/>
  <c r="O11" i="3" s="1"/>
  <c r="AI43" i="1"/>
  <c r="CS43" i="1"/>
  <c r="AI51" i="1"/>
  <c r="CS51" i="1"/>
  <c r="CS59" i="1"/>
  <c r="AI59" i="1"/>
  <c r="CS67" i="1"/>
  <c r="AI67" i="1"/>
  <c r="CS83" i="1"/>
  <c r="AI83" i="1"/>
  <c r="AI91" i="1"/>
  <c r="CS91" i="1"/>
  <c r="AI99" i="1"/>
  <c r="CS99" i="1"/>
  <c r="CS107" i="1"/>
  <c r="AI107" i="1"/>
  <c r="AI115" i="1"/>
  <c r="CS115" i="1"/>
  <c r="AI123" i="1"/>
  <c r="CS123" i="1"/>
  <c r="AI131" i="1"/>
  <c r="CS131" i="1"/>
  <c r="CS139" i="1"/>
  <c r="AI139" i="1"/>
  <c r="AI147" i="1"/>
  <c r="CS147" i="1"/>
  <c r="AI155" i="1"/>
  <c r="CS155" i="1"/>
  <c r="AI163" i="1"/>
  <c r="CS163" i="1"/>
  <c r="CS171" i="1"/>
  <c r="AI171" i="1"/>
  <c r="CS179" i="1"/>
  <c r="AI179" i="1"/>
  <c r="AI187" i="1"/>
  <c r="CS187" i="1"/>
  <c r="AI195" i="1"/>
  <c r="CS195" i="1"/>
  <c r="AI203" i="1"/>
  <c r="CS203" i="1"/>
  <c r="CS211" i="1"/>
  <c r="AI211" i="1"/>
  <c r="CS219" i="1"/>
  <c r="AI219" i="1"/>
  <c r="AI227" i="1"/>
  <c r="CS227" i="1"/>
  <c r="CS235" i="1"/>
  <c r="AI235" i="1"/>
  <c r="AI271" i="1"/>
  <c r="CS271" i="1"/>
  <c r="AI287" i="1"/>
  <c r="CS287" i="1"/>
  <c r="CS303" i="1"/>
  <c r="AI303" i="1"/>
  <c r="K409" i="1"/>
  <c r="AI387" i="1"/>
  <c r="CS387" i="1"/>
  <c r="CS403" i="1"/>
  <c r="AI403" i="1"/>
  <c r="G12" i="3"/>
  <c r="O410" i="1"/>
  <c r="AI148" i="1"/>
  <c r="CS148" i="1"/>
  <c r="CS332" i="1"/>
  <c r="AI332" i="1"/>
  <c r="CR10" i="1"/>
  <c r="AG408" i="1"/>
  <c r="AI333" i="1"/>
  <c r="CS333" i="1"/>
  <c r="CS349" i="1"/>
  <c r="AI349" i="1"/>
  <c r="AI365" i="1"/>
  <c r="CS365" i="1"/>
  <c r="AI381" i="1"/>
  <c r="CS381" i="1"/>
  <c r="AI397" i="1"/>
  <c r="CS397" i="1"/>
  <c r="DY312" i="1"/>
  <c r="I301" i="24"/>
  <c r="DY292" i="1"/>
  <c r="DY266" i="1"/>
  <c r="I263" i="24"/>
  <c r="DY254" i="1"/>
  <c r="DY248" i="1"/>
  <c r="I227" i="24"/>
  <c r="I221" i="24"/>
  <c r="I219" i="24"/>
  <c r="I215" i="24"/>
  <c r="I213" i="24"/>
  <c r="DY204" i="1"/>
  <c r="I187" i="24"/>
  <c r="K187" i="24" s="1"/>
  <c r="I185" i="24"/>
  <c r="DY180" i="1"/>
  <c r="DY168" i="1"/>
  <c r="I157" i="24"/>
  <c r="I155" i="24"/>
  <c r="I151" i="24"/>
  <c r="I149" i="24"/>
  <c r="DY142" i="1"/>
  <c r="I139" i="24"/>
  <c r="DY136" i="1"/>
  <c r="DY134" i="1"/>
  <c r="I123" i="24"/>
  <c r="I117" i="24"/>
  <c r="DY110" i="1"/>
  <c r="DY100" i="1"/>
  <c r="I97" i="24"/>
  <c r="DY84" i="1"/>
  <c r="DY80" i="1"/>
  <c r="I77" i="24"/>
  <c r="I67" i="24"/>
  <c r="DY64" i="1"/>
  <c r="I61" i="24"/>
  <c r="I55" i="24"/>
  <c r="DY44" i="1"/>
  <c r="I27" i="24"/>
  <c r="DY24" i="1"/>
  <c r="DY18" i="1"/>
  <c r="DY16" i="1"/>
  <c r="DY12" i="1"/>
  <c r="K22" i="3"/>
  <c r="L22" i="3" s="1"/>
  <c r="AT414" i="1"/>
  <c r="AL404" i="1"/>
  <c r="D18" i="3"/>
  <c r="AF408" i="1"/>
  <c r="V415" i="1"/>
  <c r="N14" i="3"/>
  <c r="O14" i="3" s="1"/>
  <c r="S414" i="1"/>
  <c r="K13" i="3"/>
  <c r="L13" i="3" s="1"/>
  <c r="N407" i="1"/>
  <c r="H11" i="3"/>
  <c r="M413" i="1"/>
  <c r="M410" i="1"/>
  <c r="D10" i="3"/>
  <c r="K404" i="1"/>
  <c r="CS13" i="1"/>
  <c r="AI13" i="1"/>
  <c r="CS21" i="1"/>
  <c r="AI21" i="1"/>
  <c r="AI29" i="1"/>
  <c r="CS29" i="1"/>
  <c r="CS37" i="1"/>
  <c r="AI37" i="1"/>
  <c r="CS45" i="1"/>
  <c r="AI45" i="1"/>
  <c r="AI61" i="1"/>
  <c r="CS61" i="1"/>
  <c r="AI69" i="1"/>
  <c r="CS69" i="1"/>
  <c r="AI77" i="1"/>
  <c r="CS77" i="1"/>
  <c r="CS85" i="1"/>
  <c r="AI85" i="1"/>
  <c r="CS101" i="1"/>
  <c r="AI101" i="1"/>
  <c r="CS109" i="1"/>
  <c r="AI109" i="1"/>
  <c r="CS117" i="1"/>
  <c r="AI117" i="1"/>
  <c r="CS125" i="1"/>
  <c r="AI125" i="1"/>
  <c r="CS133" i="1"/>
  <c r="AI133" i="1"/>
  <c r="CS141" i="1"/>
  <c r="AI141" i="1"/>
  <c r="CS149" i="1"/>
  <c r="AI149" i="1"/>
  <c r="AI157" i="1"/>
  <c r="CS157" i="1"/>
  <c r="CS173" i="1"/>
  <c r="AI173" i="1"/>
  <c r="CS181" i="1"/>
  <c r="AI181" i="1"/>
  <c r="CS197" i="1"/>
  <c r="AI197" i="1"/>
  <c r="CS205" i="1"/>
  <c r="AI205" i="1"/>
  <c r="AI213" i="1"/>
  <c r="CS213" i="1"/>
  <c r="AI221" i="1"/>
  <c r="CS221" i="1"/>
  <c r="CS229" i="1"/>
  <c r="AI229" i="1"/>
  <c r="AI237" i="1"/>
  <c r="CS237" i="1"/>
  <c r="AI249" i="1"/>
  <c r="CS249" i="1"/>
  <c r="AI257" i="1"/>
  <c r="CS257" i="1"/>
  <c r="CS273" i="1"/>
  <c r="AI273" i="1"/>
  <c r="AI289" i="1"/>
  <c r="CS289" i="1"/>
  <c r="AI337" i="1"/>
  <c r="CS337" i="1"/>
  <c r="AI353" i="1"/>
  <c r="CS353" i="1"/>
  <c r="AI369" i="1"/>
  <c r="CS369" i="1"/>
  <c r="AI385" i="1"/>
  <c r="CS385" i="1"/>
  <c r="AI401" i="1"/>
  <c r="CS401" i="1"/>
  <c r="X410" i="1"/>
  <c r="G13" i="3"/>
  <c r="R410" i="1"/>
  <c r="AI10" i="1"/>
  <c r="CS10" i="1"/>
  <c r="AH408" i="1"/>
  <c r="AI14" i="1"/>
  <c r="CS14" i="1"/>
  <c r="CS30" i="1"/>
  <c r="AI30" i="1"/>
  <c r="CS38" i="1"/>
  <c r="AI38" i="1"/>
  <c r="AI46" i="1"/>
  <c r="CS46" i="1"/>
  <c r="AI70" i="1"/>
  <c r="CS70" i="1"/>
  <c r="CS78" i="1"/>
  <c r="AI78" i="1"/>
  <c r="AI86" i="1"/>
  <c r="CS86" i="1"/>
  <c r="AI110" i="1"/>
  <c r="CS110" i="1"/>
  <c r="AI118" i="1"/>
  <c r="CS118" i="1"/>
  <c r="AI126" i="1"/>
  <c r="CS126" i="1"/>
  <c r="AI142" i="1"/>
  <c r="CS142" i="1"/>
  <c r="AI150" i="1"/>
  <c r="CS150" i="1"/>
  <c r="CS158" i="1"/>
  <c r="AI158" i="1"/>
  <c r="AI182" i="1"/>
  <c r="CS182" i="1"/>
  <c r="AI190" i="1"/>
  <c r="CS190" i="1"/>
  <c r="AI198" i="1"/>
  <c r="CS198" i="1"/>
  <c r="CS206" i="1"/>
  <c r="AI206" i="1"/>
  <c r="AI230" i="1"/>
  <c r="CS230" i="1"/>
  <c r="CS238" i="1"/>
  <c r="AI238" i="1"/>
  <c r="AI254" i="1"/>
  <c r="CS254" i="1"/>
  <c r="AI262" i="1"/>
  <c r="CS262" i="1"/>
  <c r="AI270" i="1"/>
  <c r="CS270" i="1"/>
  <c r="CS302" i="1"/>
  <c r="AI302" i="1"/>
  <c r="CS310" i="1"/>
  <c r="AI310" i="1"/>
  <c r="AI318" i="1"/>
  <c r="CS318" i="1"/>
  <c r="AI350" i="1"/>
  <c r="CS350" i="1"/>
  <c r="AI358" i="1"/>
  <c r="CS358" i="1"/>
  <c r="AI366" i="1"/>
  <c r="CS366" i="1"/>
  <c r="CS374" i="1"/>
  <c r="AI374" i="1"/>
  <c r="AI382" i="1"/>
  <c r="CS382" i="1"/>
  <c r="M9" i="3"/>
  <c r="CS239" i="1"/>
  <c r="AI239" i="1"/>
  <c r="AI267" i="1"/>
  <c r="CS267" i="1"/>
  <c r="CS283" i="1"/>
  <c r="AI283" i="1"/>
  <c r="CS299" i="1"/>
  <c r="AI299" i="1"/>
  <c r="CS315" i="1"/>
  <c r="AI315" i="1"/>
  <c r="AI375" i="1"/>
  <c r="CS375" i="1"/>
  <c r="CS391" i="1"/>
  <c r="AI391" i="1"/>
  <c r="CN407" i="1"/>
  <c r="H39" i="3"/>
  <c r="I39" i="3" s="1"/>
  <c r="CM413" i="1"/>
  <c r="CM410" i="1"/>
  <c r="CK409" i="1"/>
  <c r="CQ9" i="1"/>
  <c r="CQ409" i="1" s="1"/>
  <c r="CP404" i="1"/>
  <c r="CP409" i="1"/>
  <c r="CP415" i="1" s="1"/>
  <c r="K36" i="3"/>
  <c r="L36" i="3" s="1"/>
  <c r="CG414" i="1"/>
  <c r="H34" i="3"/>
  <c r="I34" i="3" s="1"/>
  <c r="CA413" i="1"/>
  <c r="CB407" i="1"/>
  <c r="CA410" i="1"/>
  <c r="CB408" i="1"/>
  <c r="E33" i="12"/>
  <c r="F33" i="12"/>
  <c r="H32" i="3"/>
  <c r="I32" i="3" s="1"/>
  <c r="BV407" i="1"/>
  <c r="BU413" i="1"/>
  <c r="BU410" i="1"/>
  <c r="BP404" i="1"/>
  <c r="D30" i="3"/>
  <c r="BL414" i="1"/>
  <c r="K29" i="3"/>
  <c r="L29" i="3" s="1"/>
  <c r="BG407" i="1"/>
  <c r="H27" i="3"/>
  <c r="BF413" i="1"/>
  <c r="BF410" i="1"/>
  <c r="D26" i="3"/>
  <c r="BD404" i="1"/>
  <c r="K25" i="3"/>
  <c r="L25" i="3" s="1"/>
  <c r="AZ414" i="1"/>
  <c r="DY9" i="1"/>
  <c r="BS9" i="1"/>
  <c r="BR404" i="1"/>
  <c r="BR409" i="1"/>
  <c r="K373" i="24"/>
  <c r="J373" i="24"/>
  <c r="J367" i="24"/>
  <c r="K367" i="24"/>
  <c r="K343" i="24"/>
  <c r="J343" i="24"/>
  <c r="H8" i="24"/>
  <c r="J8" i="24" s="1"/>
  <c r="BQ409" i="1"/>
  <c r="BQ404" i="1"/>
  <c r="AZ408" i="4" s="1"/>
  <c r="J369" i="24"/>
  <c r="K313" i="24"/>
  <c r="K297" i="24"/>
  <c r="K243" i="24"/>
  <c r="G22" i="3"/>
  <c r="AS410" i="1"/>
  <c r="K9" i="24"/>
  <c r="D39" i="3"/>
  <c r="CN404" i="1"/>
  <c r="CP408" i="1"/>
  <c r="CP414" i="1" s="1"/>
  <c r="CQ10" i="1"/>
  <c r="CQ408" i="1" s="1"/>
  <c r="CE408" i="1"/>
  <c r="BY408" i="1"/>
  <c r="BU415" i="1"/>
  <c r="N32" i="3"/>
  <c r="O32" i="3" s="1"/>
  <c r="BP408" i="1"/>
  <c r="BI413" i="1"/>
  <c r="BJ407" i="1"/>
  <c r="H28" i="3"/>
  <c r="I28" i="3" s="1"/>
  <c r="BI410" i="1"/>
  <c r="BF415" i="1"/>
  <c r="N27" i="3"/>
  <c r="O27" i="3" s="1"/>
  <c r="BD408" i="1"/>
  <c r="I401" i="24"/>
  <c r="K401" i="24" s="1"/>
  <c r="BS402" i="1"/>
  <c r="DY394" i="1"/>
  <c r="BS394" i="1"/>
  <c r="DY386" i="1"/>
  <c r="BS386" i="1"/>
  <c r="DY370" i="1"/>
  <c r="BS370" i="1"/>
  <c r="DY362" i="1"/>
  <c r="BS362" i="1"/>
  <c r="I357" i="24"/>
  <c r="BS358" i="1"/>
  <c r="I337" i="24"/>
  <c r="BS338" i="1"/>
  <c r="DY330" i="1"/>
  <c r="BS330" i="1"/>
  <c r="I325" i="24"/>
  <c r="BS326" i="1"/>
  <c r="I305" i="24"/>
  <c r="BS306" i="1"/>
  <c r="DY298" i="1"/>
  <c r="BS298" i="1"/>
  <c r="I273" i="24"/>
  <c r="BS274" i="1"/>
  <c r="I257" i="24"/>
  <c r="K257" i="24" s="1"/>
  <c r="BS258" i="1"/>
  <c r="DY242" i="1"/>
  <c r="BS242" i="1"/>
  <c r="I209" i="24"/>
  <c r="BS210" i="1"/>
  <c r="DY146" i="1"/>
  <c r="BS146" i="1"/>
  <c r="I129" i="24"/>
  <c r="BS130" i="1"/>
  <c r="DY122" i="1"/>
  <c r="BS122" i="1"/>
  <c r="DY114" i="1"/>
  <c r="BS114" i="1"/>
  <c r="I89" i="24"/>
  <c r="J89" i="24" s="1"/>
  <c r="BS90" i="1"/>
  <c r="DY82" i="1"/>
  <c r="BS82" i="1"/>
  <c r="I73" i="24"/>
  <c r="K73" i="24" s="1"/>
  <c r="BS74" i="1"/>
  <c r="I65" i="24"/>
  <c r="BS66" i="1"/>
  <c r="I57" i="24"/>
  <c r="K57" i="24" s="1"/>
  <c r="BS58" i="1"/>
  <c r="DY50" i="1"/>
  <c r="BS50" i="1"/>
  <c r="DY42" i="1"/>
  <c r="BS42" i="1"/>
  <c r="DY38" i="1"/>
  <c r="BS38" i="1"/>
  <c r="I33" i="24"/>
  <c r="K33" i="24" s="1"/>
  <c r="BS34" i="1"/>
  <c r="DY30" i="1"/>
  <c r="BS30" i="1"/>
  <c r="DY26" i="1"/>
  <c r="BS26" i="1"/>
  <c r="H24" i="3"/>
  <c r="AX407" i="1"/>
  <c r="BR407" i="1"/>
  <c r="AW413" i="1"/>
  <c r="AW410" i="1"/>
  <c r="CO407" i="1"/>
  <c r="G38" i="3"/>
  <c r="G37" i="3" s="1"/>
  <c r="CI410" i="1"/>
  <c r="E36" i="12"/>
  <c r="G24" i="3"/>
  <c r="BQ407" i="1"/>
  <c r="AV410" i="1"/>
  <c r="J23" i="3"/>
  <c r="J41" i="3" s="1"/>
  <c r="J42" i="3" s="1"/>
  <c r="H38" i="24"/>
  <c r="DY403" i="1"/>
  <c r="I396" i="24"/>
  <c r="DY395" i="1"/>
  <c r="I388" i="24"/>
  <c r="I386" i="24"/>
  <c r="I380" i="24"/>
  <c r="I378" i="24"/>
  <c r="DY373" i="1"/>
  <c r="DY371" i="1"/>
  <c r="DY365" i="1"/>
  <c r="DY363" i="1"/>
  <c r="DY357" i="1"/>
  <c r="DY355" i="1"/>
  <c r="I348" i="24"/>
  <c r="I346" i="24"/>
  <c r="I340" i="24"/>
  <c r="DY339" i="1"/>
  <c r="I332" i="24"/>
  <c r="I330" i="24"/>
  <c r="DY325" i="1"/>
  <c r="I322" i="24"/>
  <c r="I316" i="24"/>
  <c r="DY315" i="1"/>
  <c r="DY309" i="1"/>
  <c r="DY307" i="1"/>
  <c r="I300" i="24"/>
  <c r="I298" i="24"/>
  <c r="DY293" i="1"/>
  <c r="I290" i="24"/>
  <c r="DY285" i="1"/>
  <c r="I282" i="24"/>
  <c r="I276" i="24"/>
  <c r="I274" i="24"/>
  <c r="DY269" i="1"/>
  <c r="DY267" i="1"/>
  <c r="I260" i="24"/>
  <c r="DY259" i="1"/>
  <c r="DY253" i="1"/>
  <c r="I250" i="24"/>
  <c r="DY245" i="1"/>
  <c r="DY243" i="1"/>
  <c r="DY237" i="1"/>
  <c r="DY235" i="1"/>
  <c r="I228" i="24"/>
  <c r="I226" i="24"/>
  <c r="DY221" i="1"/>
  <c r="DY219" i="1"/>
  <c r="I212" i="24"/>
  <c r="DY211" i="1"/>
  <c r="DY205" i="1"/>
  <c r="I198" i="24"/>
  <c r="DY197" i="1"/>
  <c r="DY191" i="1"/>
  <c r="DY189" i="1"/>
  <c r="DY183" i="1"/>
  <c r="I180" i="24"/>
  <c r="DY175" i="1"/>
  <c r="DY173" i="1"/>
  <c r="DY167" i="1"/>
  <c r="I164" i="24"/>
  <c r="DY159" i="1"/>
  <c r="I156" i="24"/>
  <c r="I150" i="24"/>
  <c r="I148" i="24"/>
  <c r="DY143" i="1"/>
  <c r="DY141" i="1"/>
  <c r="I134" i="24"/>
  <c r="DY133" i="1"/>
  <c r="DY127" i="1"/>
  <c r="DY125" i="1"/>
  <c r="I118" i="24"/>
  <c r="I116" i="24"/>
  <c r="DY111" i="1"/>
  <c r="DY109" i="1"/>
  <c r="I102" i="24"/>
  <c r="I100" i="24"/>
  <c r="DY95" i="1"/>
  <c r="I92" i="24"/>
  <c r="DY87" i="1"/>
  <c r="DY81" i="1"/>
  <c r="DY79" i="1"/>
  <c r="DY73" i="1"/>
  <c r="DY71" i="1"/>
  <c r="DY65" i="1"/>
  <c r="I62" i="24"/>
  <c r="DY57" i="1"/>
  <c r="I50" i="24"/>
  <c r="I48" i="24"/>
  <c r="I42" i="24"/>
  <c r="DY41" i="1"/>
  <c r="DY39" i="1"/>
  <c r="DY33" i="1"/>
  <c r="I30" i="24"/>
  <c r="DY25" i="1"/>
  <c r="I22" i="24"/>
  <c r="DY17" i="1"/>
  <c r="DY15" i="1"/>
  <c r="AT415" i="1"/>
  <c r="N22" i="3"/>
  <c r="O22" i="3" s="1"/>
  <c r="D19" i="3"/>
  <c r="AO404" i="1"/>
  <c r="K18" i="3"/>
  <c r="L18" i="3" s="1"/>
  <c r="AK414" i="1"/>
  <c r="Y415" i="1"/>
  <c r="N15" i="3"/>
  <c r="O15" i="3" s="1"/>
  <c r="V414" i="1"/>
  <c r="K14" i="3"/>
  <c r="L14" i="3" s="1"/>
  <c r="N404" i="1"/>
  <c r="D11" i="3"/>
  <c r="F10" i="12"/>
  <c r="E10" i="12"/>
  <c r="D9" i="12"/>
  <c r="CS75" i="1"/>
  <c r="AI75" i="1"/>
  <c r="AI247" i="1"/>
  <c r="CS247" i="1"/>
  <c r="CS255" i="1"/>
  <c r="AI255" i="1"/>
  <c r="AI319" i="1"/>
  <c r="CS319" i="1"/>
  <c r="AI335" i="1"/>
  <c r="CS335" i="1"/>
  <c r="AI351" i="1"/>
  <c r="CS351" i="1"/>
  <c r="CS367" i="1"/>
  <c r="AI367" i="1"/>
  <c r="G14" i="3"/>
  <c r="U410" i="1"/>
  <c r="AI16" i="1"/>
  <c r="CS16" i="1"/>
  <c r="AI24" i="1"/>
  <c r="CS24" i="1"/>
  <c r="AI32" i="1"/>
  <c r="CS32" i="1"/>
  <c r="CS40" i="1"/>
  <c r="AI40" i="1"/>
  <c r="AI48" i="1"/>
  <c r="CS48" i="1"/>
  <c r="CS56" i="1"/>
  <c r="AI56" i="1"/>
  <c r="CS64" i="1"/>
  <c r="AI64" i="1"/>
  <c r="AI72" i="1"/>
  <c r="CS72" i="1"/>
  <c r="CS80" i="1"/>
  <c r="AI80" i="1"/>
  <c r="CS88" i="1"/>
  <c r="AI88" i="1"/>
  <c r="CS96" i="1"/>
  <c r="AI96" i="1"/>
  <c r="AI104" i="1"/>
  <c r="CS104" i="1"/>
  <c r="AI112" i="1"/>
  <c r="CS112" i="1"/>
  <c r="AI120" i="1"/>
  <c r="CS120" i="1"/>
  <c r="AI128" i="1"/>
  <c r="CS128" i="1"/>
  <c r="AI136" i="1"/>
  <c r="CS136" i="1"/>
  <c r="CS144" i="1"/>
  <c r="AI144" i="1"/>
  <c r="AI152" i="1"/>
  <c r="CS152" i="1"/>
  <c r="AI160" i="1"/>
  <c r="CS160" i="1"/>
  <c r="CS168" i="1"/>
  <c r="AI168" i="1"/>
  <c r="AI176" i="1"/>
  <c r="CS176" i="1"/>
  <c r="CS184" i="1"/>
  <c r="AI184" i="1"/>
  <c r="CS192" i="1"/>
  <c r="AI192" i="1"/>
  <c r="AI200" i="1"/>
  <c r="CS200" i="1"/>
  <c r="CS208" i="1"/>
  <c r="AI208" i="1"/>
  <c r="AI216" i="1"/>
  <c r="CS216" i="1"/>
  <c r="CS224" i="1"/>
  <c r="AI224" i="1"/>
  <c r="CS232" i="1"/>
  <c r="AI232" i="1"/>
  <c r="AI240" i="1"/>
  <c r="CS240" i="1"/>
  <c r="CS248" i="1"/>
  <c r="AI248" i="1"/>
  <c r="AI256" i="1"/>
  <c r="CS256" i="1"/>
  <c r="AI264" i="1"/>
  <c r="CS264" i="1"/>
  <c r="CS272" i="1"/>
  <c r="AI272" i="1"/>
  <c r="AI280" i="1"/>
  <c r="CS280" i="1"/>
  <c r="AI288" i="1"/>
  <c r="CS288" i="1"/>
  <c r="AI296" i="1"/>
  <c r="CS296" i="1"/>
  <c r="AI304" i="1"/>
  <c r="CS304" i="1"/>
  <c r="CS312" i="1"/>
  <c r="AI312" i="1"/>
  <c r="CS320" i="1"/>
  <c r="AI320" i="1"/>
  <c r="CS328" i="1"/>
  <c r="AI328" i="1"/>
  <c r="AI336" i="1"/>
  <c r="CS336" i="1"/>
  <c r="AI344" i="1"/>
  <c r="CS344" i="1"/>
  <c r="CS360" i="1"/>
  <c r="AI360" i="1"/>
  <c r="AI368" i="1"/>
  <c r="CS368" i="1"/>
  <c r="AI376" i="1"/>
  <c r="CS376" i="1"/>
  <c r="AI384" i="1"/>
  <c r="CS384" i="1"/>
  <c r="CS392" i="1"/>
  <c r="AI392" i="1"/>
  <c r="AI400" i="1"/>
  <c r="CS400" i="1"/>
  <c r="AG407" i="1"/>
  <c r="G10" i="3"/>
  <c r="I410" i="1"/>
  <c r="CS261" i="1"/>
  <c r="AI261" i="1"/>
  <c r="AI277" i="1"/>
  <c r="CS277" i="1"/>
  <c r="AI293" i="1"/>
  <c r="CS293" i="1"/>
  <c r="CS309" i="1"/>
  <c r="AI309" i="1"/>
  <c r="DY308" i="1"/>
  <c r="I303" i="24"/>
  <c r="I293" i="24"/>
  <c r="I287" i="24"/>
  <c r="DY274" i="1"/>
  <c r="DY272" i="1"/>
  <c r="DY268" i="1"/>
  <c r="I265" i="24"/>
  <c r="DY260" i="1"/>
  <c r="DY256" i="1"/>
  <c r="I253" i="24"/>
  <c r="DY244" i="1"/>
  <c r="DY240" i="1"/>
  <c r="DY230" i="1"/>
  <c r="I223" i="24"/>
  <c r="DY222" i="1"/>
  <c r="DY216" i="1"/>
  <c r="DY210" i="1"/>
  <c r="I205" i="24"/>
  <c r="I203" i="24"/>
  <c r="I199" i="24"/>
  <c r="I189" i="24"/>
  <c r="DY188" i="1"/>
  <c r="DY182" i="1"/>
  <c r="I179" i="24"/>
  <c r="DY176" i="1"/>
  <c r="I163" i="24"/>
  <c r="DY158" i="1"/>
  <c r="DY152" i="1"/>
  <c r="I141" i="24"/>
  <c r="I135" i="24"/>
  <c r="I125" i="24"/>
  <c r="DY124" i="1"/>
  <c r="I119" i="24"/>
  <c r="I109" i="24"/>
  <c r="DY102" i="1"/>
  <c r="I99" i="24"/>
  <c r="DY90" i="1"/>
  <c r="DY86" i="1"/>
  <c r="I79" i="24"/>
  <c r="DY74" i="1"/>
  <c r="DY70" i="1"/>
  <c r="I63" i="24"/>
  <c r="DY58" i="1"/>
  <c r="I51" i="24"/>
  <c r="DY46" i="1"/>
  <c r="I43" i="24"/>
  <c r="DY40" i="1"/>
  <c r="I35" i="24"/>
  <c r="I29" i="24"/>
  <c r="DY20" i="1"/>
  <c r="I11" i="24"/>
  <c r="AU408" i="1"/>
  <c r="AQ415" i="1"/>
  <c r="N20" i="3"/>
  <c r="O20" i="3" s="1"/>
  <c r="H19" i="3"/>
  <c r="AO407" i="1"/>
  <c r="AN413" i="1"/>
  <c r="AN410" i="1"/>
  <c r="E18" i="12"/>
  <c r="F18" i="12"/>
  <c r="K17" i="3"/>
  <c r="L17" i="3" s="1"/>
  <c r="AE414" i="1"/>
  <c r="D16" i="3"/>
  <c r="AC404" i="1"/>
  <c r="Y413" i="1"/>
  <c r="Z407" i="1"/>
  <c r="H15" i="3"/>
  <c r="I15" i="3" s="1"/>
  <c r="Y410" i="1"/>
  <c r="F14" i="12"/>
  <c r="E14" i="12"/>
  <c r="T408" i="1"/>
  <c r="Q404" i="1"/>
  <c r="D12" i="3"/>
  <c r="N10" i="3"/>
  <c r="J415" i="1"/>
  <c r="CS53" i="1"/>
  <c r="AI53" i="1"/>
  <c r="AI93" i="1"/>
  <c r="CS93" i="1"/>
  <c r="CS165" i="1"/>
  <c r="AI165" i="1"/>
  <c r="CS189" i="1"/>
  <c r="AI189" i="1"/>
  <c r="CS305" i="1"/>
  <c r="AI305" i="1"/>
  <c r="CS321" i="1"/>
  <c r="AI321" i="1"/>
  <c r="G17" i="3"/>
  <c r="AD410" i="1"/>
  <c r="J414" i="1"/>
  <c r="K10" i="3"/>
  <c r="CS22" i="1"/>
  <c r="AI22" i="1"/>
  <c r="AI54" i="1"/>
  <c r="CS54" i="1"/>
  <c r="CS62" i="1"/>
  <c r="AI62" i="1"/>
  <c r="CS94" i="1"/>
  <c r="AI94" i="1"/>
  <c r="AI102" i="1"/>
  <c r="CS102" i="1"/>
  <c r="AI134" i="1"/>
  <c r="CS134" i="1"/>
  <c r="AI166" i="1"/>
  <c r="CS166" i="1"/>
  <c r="AI174" i="1"/>
  <c r="CS174" i="1"/>
  <c r="CS214" i="1"/>
  <c r="AI214" i="1"/>
  <c r="AI222" i="1"/>
  <c r="CS222" i="1"/>
  <c r="CS246" i="1"/>
  <c r="AI246" i="1"/>
  <c r="CS278" i="1"/>
  <c r="AI278" i="1"/>
  <c r="CS286" i="1"/>
  <c r="AI286" i="1"/>
  <c r="AI294" i="1"/>
  <c r="CS294" i="1"/>
  <c r="AI326" i="1"/>
  <c r="CS326" i="1"/>
  <c r="CS334" i="1"/>
  <c r="AI334" i="1"/>
  <c r="CS342" i="1"/>
  <c r="AI342" i="1"/>
  <c r="AI390" i="1"/>
  <c r="CS390" i="1"/>
  <c r="AI398" i="1"/>
  <c r="CS398" i="1"/>
  <c r="C9" i="3"/>
  <c r="AI323" i="1"/>
  <c r="CS323" i="1"/>
  <c r="CS339" i="1"/>
  <c r="AI339" i="1"/>
  <c r="AI355" i="1"/>
  <c r="CS355" i="1"/>
  <c r="CS371" i="1"/>
  <c r="AI371" i="1"/>
  <c r="CN408" i="1"/>
  <c r="CH408" i="1"/>
  <c r="K34" i="3"/>
  <c r="L34" i="3" s="1"/>
  <c r="CA414" i="1"/>
  <c r="BY404" i="1"/>
  <c r="D33" i="3"/>
  <c r="F30" i="12"/>
  <c r="E30" i="12"/>
  <c r="D28" i="3"/>
  <c r="BJ404" i="1"/>
  <c r="E26" i="12"/>
  <c r="F26" i="12"/>
  <c r="DY85" i="1"/>
  <c r="BS85" i="1"/>
  <c r="AX404" i="1"/>
  <c r="D24" i="3"/>
  <c r="J397" i="24"/>
  <c r="K397" i="24"/>
  <c r="K393" i="24"/>
  <c r="J393" i="24"/>
  <c r="J375" i="24"/>
  <c r="K375" i="24"/>
  <c r="J359" i="24"/>
  <c r="K359" i="24"/>
  <c r="J349" i="24"/>
  <c r="K331" i="24"/>
  <c r="J331" i="24"/>
  <c r="K323" i="24"/>
  <c r="J323" i="24"/>
  <c r="J401" i="24"/>
  <c r="K395" i="24"/>
  <c r="K355" i="24"/>
  <c r="J201" i="24"/>
  <c r="K83" i="24"/>
  <c r="J33" i="24"/>
  <c r="CJ414" i="1"/>
  <c r="K38" i="3"/>
  <c r="E32" i="12"/>
  <c r="F32" i="12"/>
  <c r="BO414" i="1"/>
  <c r="K30" i="3"/>
  <c r="L30" i="3" s="1"/>
  <c r="N29" i="3"/>
  <c r="O29" i="3" s="1"/>
  <c r="BL415" i="1"/>
  <c r="F27" i="12"/>
  <c r="E27" i="12"/>
  <c r="BC414" i="1"/>
  <c r="K26" i="3"/>
  <c r="L26" i="3" s="1"/>
  <c r="BA404" i="1"/>
  <c r="D25" i="3"/>
  <c r="DY398" i="1"/>
  <c r="BS398" i="1"/>
  <c r="I353" i="24"/>
  <c r="BS354" i="1"/>
  <c r="DY346" i="1"/>
  <c r="BS346" i="1"/>
  <c r="DY334" i="1"/>
  <c r="BS334" i="1"/>
  <c r="DY314" i="1"/>
  <c r="BS314" i="1"/>
  <c r="I285" i="24"/>
  <c r="BS286" i="1"/>
  <c r="DY282" i="1"/>
  <c r="BS282" i="1"/>
  <c r="I277" i="24"/>
  <c r="BS278" i="1"/>
  <c r="I249" i="24"/>
  <c r="BS250" i="1"/>
  <c r="I237" i="24"/>
  <c r="BS238" i="1"/>
  <c r="DY234" i="1"/>
  <c r="BS234" i="1"/>
  <c r="DY218" i="1"/>
  <c r="BS218" i="1"/>
  <c r="DY202" i="1"/>
  <c r="BS202" i="1"/>
  <c r="I197" i="24"/>
  <c r="BS198" i="1"/>
  <c r="DY194" i="1"/>
  <c r="BS194" i="1"/>
  <c r="DY178" i="1"/>
  <c r="BS178" i="1"/>
  <c r="DY174" i="1"/>
  <c r="BS174" i="1"/>
  <c r="DY170" i="1"/>
  <c r="BS170" i="1"/>
  <c r="I161" i="24"/>
  <c r="BS162" i="1"/>
  <c r="DY154" i="1"/>
  <c r="BS154" i="1"/>
  <c r="DY138" i="1"/>
  <c r="BS138" i="1"/>
  <c r="DY106" i="1"/>
  <c r="BS106" i="1"/>
  <c r="I93" i="24"/>
  <c r="BS94" i="1"/>
  <c r="DY14" i="1"/>
  <c r="BS14" i="1"/>
  <c r="AX408" i="1"/>
  <c r="C46" i="12"/>
  <c r="G26" i="3"/>
  <c r="BB410" i="1"/>
  <c r="BQ408" i="1"/>
  <c r="DX9" i="1"/>
  <c r="DX404" i="1" s="1"/>
  <c r="DY399" i="1"/>
  <c r="DY397" i="1"/>
  <c r="DY391" i="1"/>
  <c r="DY389" i="1"/>
  <c r="DY383" i="1"/>
  <c r="DY381" i="1"/>
  <c r="I374" i="24"/>
  <c r="I372" i="24"/>
  <c r="I366" i="24"/>
  <c r="I364" i="24"/>
  <c r="I358" i="24"/>
  <c r="I356" i="24"/>
  <c r="I350" i="24"/>
  <c r="DY349" i="1"/>
  <c r="DY343" i="1"/>
  <c r="DY341" i="1"/>
  <c r="I334" i="24"/>
  <c r="DY333" i="1"/>
  <c r="DY327" i="1"/>
  <c r="I324" i="24"/>
  <c r="DY319" i="1"/>
  <c r="DY317" i="1"/>
  <c r="I310" i="24"/>
  <c r="I308" i="24"/>
  <c r="I302" i="24"/>
  <c r="DY301" i="1"/>
  <c r="I294" i="24"/>
  <c r="I292" i="24"/>
  <c r="DY287" i="1"/>
  <c r="I284" i="24"/>
  <c r="I278" i="24"/>
  <c r="DY277" i="1"/>
  <c r="DY271" i="1"/>
  <c r="I268" i="24"/>
  <c r="I262" i="24"/>
  <c r="DY261" i="1"/>
  <c r="DY255" i="1"/>
  <c r="I252" i="24"/>
  <c r="I246" i="24"/>
  <c r="I244" i="24"/>
  <c r="DY239" i="1"/>
  <c r="I236" i="24"/>
  <c r="DY231" i="1"/>
  <c r="DY229" i="1"/>
  <c r="I222" i="24"/>
  <c r="I220" i="24"/>
  <c r="I214" i="24"/>
  <c r="DY213" i="1"/>
  <c r="DY207" i="1"/>
  <c r="I204" i="24"/>
  <c r="I200" i="24"/>
  <c r="DY199" i="1"/>
  <c r="I192" i="24"/>
  <c r="I190" i="24"/>
  <c r="DY185" i="1"/>
  <c r="I182" i="24"/>
  <c r="DY177" i="1"/>
  <c r="I174" i="24"/>
  <c r="I168" i="24"/>
  <c r="I166" i="24"/>
  <c r="I160" i="24"/>
  <c r="I158" i="24"/>
  <c r="DY153" i="1"/>
  <c r="DY151" i="1"/>
  <c r="DY145" i="1"/>
  <c r="I142" i="24"/>
  <c r="DY137" i="1"/>
  <c r="DY135" i="1"/>
  <c r="DY129" i="1"/>
  <c r="I126" i="24"/>
  <c r="I120" i="24"/>
  <c r="DY119" i="1"/>
  <c r="DY113" i="1"/>
  <c r="I110" i="24"/>
  <c r="I104" i="24"/>
  <c r="DY103" i="1"/>
  <c r="DY97" i="1"/>
  <c r="I94" i="24"/>
  <c r="DY89" i="1"/>
  <c r="I86" i="24"/>
  <c r="I82" i="24"/>
  <c r="I80" i="24"/>
  <c r="I74" i="24"/>
  <c r="I72" i="24"/>
  <c r="DY67" i="1"/>
  <c r="I64" i="24"/>
  <c r="DY59" i="1"/>
  <c r="DY53" i="1"/>
  <c r="DY51" i="1"/>
  <c r="I44" i="24"/>
  <c r="DY43" i="1"/>
  <c r="I34" i="24"/>
  <c r="I32" i="24"/>
  <c r="DY27" i="1"/>
  <c r="I24" i="24"/>
  <c r="DY19" i="1"/>
  <c r="I16" i="24"/>
  <c r="DY11" i="1"/>
  <c r="AU404" i="1"/>
  <c r="D22" i="3"/>
  <c r="G408" i="4"/>
  <c r="AQ413" i="1"/>
  <c r="AR407" i="1"/>
  <c r="H20" i="3"/>
  <c r="AQ410" i="1"/>
  <c r="F19" i="12"/>
  <c r="E19" i="12"/>
  <c r="D17" i="3"/>
  <c r="AF404" i="1"/>
  <c r="AC407" i="1"/>
  <c r="H16" i="3"/>
  <c r="I16" i="3" s="1"/>
  <c r="AB413" i="1"/>
  <c r="AB410" i="1"/>
  <c r="F15" i="12"/>
  <c r="E15" i="12"/>
  <c r="S415" i="1"/>
  <c r="N13" i="3"/>
  <c r="O13" i="3" s="1"/>
  <c r="Q407" i="1"/>
  <c r="H12" i="3"/>
  <c r="I12" i="3" s="1"/>
  <c r="P413" i="1"/>
  <c r="P410" i="1"/>
  <c r="F11" i="12"/>
  <c r="E11" i="12"/>
  <c r="AI15" i="1"/>
  <c r="CS15" i="1"/>
  <c r="CS23" i="1"/>
  <c r="AI23" i="1"/>
  <c r="CS31" i="1"/>
  <c r="AI31" i="1"/>
  <c r="AI231" i="1"/>
  <c r="CS231" i="1"/>
  <c r="AI243" i="1"/>
  <c r="CS243" i="1"/>
  <c r="CS251" i="1"/>
  <c r="AI251" i="1"/>
  <c r="AI263" i="1"/>
  <c r="CS263" i="1"/>
  <c r="CS279" i="1"/>
  <c r="AI279" i="1"/>
  <c r="CS311" i="1"/>
  <c r="AI311" i="1"/>
  <c r="AI379" i="1"/>
  <c r="CS379" i="1"/>
  <c r="CS395" i="1"/>
  <c r="AI395" i="1"/>
  <c r="G20" i="3"/>
  <c r="AP410" i="1"/>
  <c r="G18" i="3"/>
  <c r="AJ410" i="1"/>
  <c r="CS352" i="1"/>
  <c r="AI352" i="1"/>
  <c r="CR18" i="1"/>
  <c r="CU18" i="1" s="1"/>
  <c r="D17" i="24" s="1"/>
  <c r="CS325" i="1"/>
  <c r="AI325" i="1"/>
  <c r="CS341" i="1"/>
  <c r="AI341" i="1"/>
  <c r="AI357" i="1"/>
  <c r="CS357" i="1"/>
  <c r="AI373" i="1"/>
  <c r="CS373" i="1"/>
  <c r="CS389" i="1"/>
  <c r="AI389" i="1"/>
  <c r="DY316" i="1"/>
  <c r="I309" i="24"/>
  <c r="DY300" i="1"/>
  <c r="I295" i="24"/>
  <c r="DY294" i="1"/>
  <c r="DY290" i="1"/>
  <c r="DY288" i="1"/>
  <c r="I283" i="24"/>
  <c r="DY270" i="1"/>
  <c r="I267" i="24"/>
  <c r="DY262" i="1"/>
  <c r="I255" i="24"/>
  <c r="I245" i="24"/>
  <c r="I239" i="24"/>
  <c r="DY236" i="1"/>
  <c r="I229" i="24"/>
  <c r="DY226" i="1"/>
  <c r="DY224" i="1"/>
  <c r="I217" i="24"/>
  <c r="DY212" i="1"/>
  <c r="DY206" i="1"/>
  <c r="DY200" i="1"/>
  <c r="I195" i="24"/>
  <c r="I191" i="24"/>
  <c r="DY190" i="1"/>
  <c r="I183" i="24"/>
  <c r="I181" i="24"/>
  <c r="I175" i="24"/>
  <c r="I171" i="24"/>
  <c r="DY166" i="1"/>
  <c r="DY164" i="1"/>
  <c r="DY160" i="1"/>
  <c r="I153" i="24"/>
  <c r="I147" i="24"/>
  <c r="DY144" i="1"/>
  <c r="I137" i="24"/>
  <c r="I131" i="24"/>
  <c r="I127" i="24"/>
  <c r="DY126" i="1"/>
  <c r="I115" i="24"/>
  <c r="I111" i="24"/>
  <c r="I101" i="24"/>
  <c r="DY96" i="1"/>
  <c r="I85" i="24"/>
  <c r="I81" i="24"/>
  <c r="I75" i="24"/>
  <c r="I69" i="24"/>
  <c r="DY66" i="1"/>
  <c r="DY60" i="1"/>
  <c r="I53" i="24"/>
  <c r="DY52" i="1"/>
  <c r="DY48" i="1"/>
  <c r="I45" i="24"/>
  <c r="DY36" i="1"/>
  <c r="I31" i="24"/>
  <c r="I25" i="24"/>
  <c r="K25" i="24" s="1"/>
  <c r="I21" i="24"/>
  <c r="I19" i="24"/>
  <c r="AU407" i="1"/>
  <c r="H22" i="3"/>
  <c r="AT413" i="1"/>
  <c r="AT410" i="1"/>
  <c r="I13" i="24"/>
  <c r="D20" i="3"/>
  <c r="AR404" i="1"/>
  <c r="AQ421" i="1"/>
  <c r="AO408" i="1"/>
  <c r="AB415" i="1"/>
  <c r="N16" i="3"/>
  <c r="O16" i="3" s="1"/>
  <c r="Z408" i="1"/>
  <c r="P415" i="1"/>
  <c r="N12" i="3"/>
  <c r="O12" i="3" s="1"/>
  <c r="K11" i="3"/>
  <c r="L11" i="3" s="1"/>
  <c r="M414" i="1"/>
  <c r="AI17" i="1"/>
  <c r="CS17" i="1"/>
  <c r="AI25" i="1"/>
  <c r="CS25" i="1"/>
  <c r="AI33" i="1"/>
  <c r="CS33" i="1"/>
  <c r="CS41" i="1"/>
  <c r="AI41" i="1"/>
  <c r="CS49" i="1"/>
  <c r="AI49" i="1"/>
  <c r="AI57" i="1"/>
  <c r="CS57" i="1"/>
  <c r="AI65" i="1"/>
  <c r="CS65" i="1"/>
  <c r="CS73" i="1"/>
  <c r="AI73" i="1"/>
  <c r="AI81" i="1"/>
  <c r="CS81" i="1"/>
  <c r="CS89" i="1"/>
  <c r="AI89" i="1"/>
  <c r="AI97" i="1"/>
  <c r="CS97" i="1"/>
  <c r="CS105" i="1"/>
  <c r="AI105" i="1"/>
  <c r="AI113" i="1"/>
  <c r="CS113" i="1"/>
  <c r="AI121" i="1"/>
  <c r="CS121" i="1"/>
  <c r="AI129" i="1"/>
  <c r="CS129" i="1"/>
  <c r="AI137" i="1"/>
  <c r="CS137" i="1"/>
  <c r="AI145" i="1"/>
  <c r="CS145" i="1"/>
  <c r="AI153" i="1"/>
  <c r="CS153" i="1"/>
  <c r="AI161" i="1"/>
  <c r="CS161" i="1"/>
  <c r="AI169" i="1"/>
  <c r="CS169" i="1"/>
  <c r="CS177" i="1"/>
  <c r="AI177" i="1"/>
  <c r="AI185" i="1"/>
  <c r="CS185" i="1"/>
  <c r="CS193" i="1"/>
  <c r="AI193" i="1"/>
  <c r="CS201" i="1"/>
  <c r="AI201" i="1"/>
  <c r="CS209" i="1"/>
  <c r="AI209" i="1"/>
  <c r="AI217" i="1"/>
  <c r="CS217" i="1"/>
  <c r="AI225" i="1"/>
  <c r="CS225" i="1"/>
  <c r="AI233" i="1"/>
  <c r="CS233" i="1"/>
  <c r="CS241" i="1"/>
  <c r="AI241" i="1"/>
  <c r="CS253" i="1"/>
  <c r="AI253" i="1"/>
  <c r="AI265" i="1"/>
  <c r="CS265" i="1"/>
  <c r="CS281" i="1"/>
  <c r="AI281" i="1"/>
  <c r="CS297" i="1"/>
  <c r="AI297" i="1"/>
  <c r="CS329" i="1"/>
  <c r="AI329" i="1"/>
  <c r="CS345" i="1"/>
  <c r="AI345" i="1"/>
  <c r="CS361" i="1"/>
  <c r="AI361" i="1"/>
  <c r="CS377" i="1"/>
  <c r="AI377" i="1"/>
  <c r="CS393" i="1"/>
  <c r="AI393" i="1"/>
  <c r="C41" i="12"/>
  <c r="C42" i="12" s="1"/>
  <c r="G19" i="3"/>
  <c r="AM410" i="1"/>
  <c r="K408" i="1"/>
  <c r="AI18" i="1"/>
  <c r="CS18" i="1"/>
  <c r="CS34" i="1"/>
  <c r="AI34" i="1"/>
  <c r="AI42" i="1"/>
  <c r="CS42" i="1"/>
  <c r="AI74" i="1"/>
  <c r="CS74" i="1"/>
  <c r="CS82" i="1"/>
  <c r="AI82" i="1"/>
  <c r="CS98" i="1"/>
  <c r="AI98" i="1"/>
  <c r="AI122" i="1"/>
  <c r="CS122" i="1"/>
  <c r="AI146" i="1"/>
  <c r="CS146" i="1"/>
  <c r="CS154" i="1"/>
  <c r="AI154" i="1"/>
  <c r="CS186" i="1"/>
  <c r="AI186" i="1"/>
  <c r="CS194" i="1"/>
  <c r="AI194" i="1"/>
  <c r="CS202" i="1"/>
  <c r="AI202" i="1"/>
  <c r="AI234" i="1"/>
  <c r="CS234" i="1"/>
  <c r="AI242" i="1"/>
  <c r="CS242" i="1"/>
  <c r="AI258" i="1"/>
  <c r="CS258" i="1"/>
  <c r="AI266" i="1"/>
  <c r="CS266" i="1"/>
  <c r="CS298" i="1"/>
  <c r="AI298" i="1"/>
  <c r="AI306" i="1"/>
  <c r="CS306" i="1"/>
  <c r="CS314" i="1"/>
  <c r="AI314" i="1"/>
  <c r="CS354" i="1"/>
  <c r="AI354" i="1"/>
  <c r="CS362" i="1"/>
  <c r="AI362" i="1"/>
  <c r="CS370" i="1"/>
  <c r="AI370" i="1"/>
  <c r="CR9" i="1"/>
  <c r="AG404" i="1"/>
  <c r="AG409" i="1"/>
  <c r="AI259" i="1"/>
  <c r="CS259" i="1"/>
  <c r="CS275" i="1"/>
  <c r="AI275" i="1"/>
  <c r="CS291" i="1"/>
  <c r="AI291" i="1"/>
  <c r="AI307" i="1"/>
  <c r="CS307" i="1"/>
  <c r="CS383" i="1"/>
  <c r="AI383" i="1"/>
  <c r="AI399" i="1"/>
  <c r="CS399" i="1"/>
  <c r="M41" i="3" l="1"/>
  <c r="M42" i="3" s="1"/>
  <c r="M43" i="3" s="1"/>
  <c r="M44" i="3" s="1"/>
  <c r="J73" i="24"/>
  <c r="C41" i="3"/>
  <c r="I46" i="5" s="1"/>
  <c r="J291" i="24"/>
  <c r="K307" i="24"/>
  <c r="K327" i="24"/>
  <c r="I27" i="3"/>
  <c r="K251" i="24"/>
  <c r="J377" i="24"/>
  <c r="I11" i="3"/>
  <c r="J187" i="24"/>
  <c r="AH414" i="1"/>
  <c r="AG410" i="1"/>
  <c r="J57" i="24"/>
  <c r="I22" i="3"/>
  <c r="CR407" i="1"/>
  <c r="CU407" i="1" s="1"/>
  <c r="G61" i="3" s="1"/>
  <c r="J275" i="24"/>
  <c r="BS409" i="1"/>
  <c r="CQ404" i="1"/>
  <c r="K202" i="24"/>
  <c r="J47" i="3"/>
  <c r="J43" i="3"/>
  <c r="J44" i="3" s="1"/>
  <c r="CV275" i="1"/>
  <c r="CT275" i="1"/>
  <c r="CT258" i="1"/>
  <c r="CV258" i="1"/>
  <c r="CV234" i="1"/>
  <c r="CT234" i="1"/>
  <c r="CT122" i="1"/>
  <c r="CV122" i="1"/>
  <c r="CV42" i="1"/>
  <c r="CT42" i="1"/>
  <c r="CV18" i="1"/>
  <c r="CT18" i="1"/>
  <c r="CT265" i="1"/>
  <c r="CV265" i="1"/>
  <c r="CT225" i="1"/>
  <c r="CV225" i="1"/>
  <c r="CT161" i="1"/>
  <c r="CV161" i="1"/>
  <c r="CT145" i="1"/>
  <c r="CV145" i="1"/>
  <c r="CT129" i="1"/>
  <c r="CV129" i="1"/>
  <c r="CT113" i="1"/>
  <c r="CV113" i="1"/>
  <c r="CT97" i="1"/>
  <c r="CV97" i="1"/>
  <c r="CT81" i="1"/>
  <c r="CV81" i="1"/>
  <c r="CT65" i="1"/>
  <c r="CV65" i="1"/>
  <c r="CT33" i="1"/>
  <c r="CV33" i="1"/>
  <c r="CV17" i="1"/>
  <c r="CT17" i="1"/>
  <c r="F20" i="3"/>
  <c r="E20" i="3"/>
  <c r="K85" i="24"/>
  <c r="J85" i="24"/>
  <c r="K115" i="24"/>
  <c r="J115" i="24"/>
  <c r="K137" i="24"/>
  <c r="J137" i="24"/>
  <c r="K175" i="24"/>
  <c r="J175" i="24"/>
  <c r="J191" i="24"/>
  <c r="K191" i="24"/>
  <c r="J229" i="24"/>
  <c r="K229" i="24"/>
  <c r="J255" i="24"/>
  <c r="K255" i="24"/>
  <c r="J283" i="24"/>
  <c r="K283" i="24"/>
  <c r="J295" i="24"/>
  <c r="K295" i="24"/>
  <c r="CV357" i="1"/>
  <c r="CT357" i="1"/>
  <c r="CT352" i="1"/>
  <c r="CV352" i="1"/>
  <c r="CV279" i="1"/>
  <c r="CT279" i="1"/>
  <c r="CT251" i="1"/>
  <c r="CV251" i="1"/>
  <c r="CT23" i="1"/>
  <c r="CV23" i="1"/>
  <c r="J44" i="24"/>
  <c r="K44" i="24"/>
  <c r="J64" i="24"/>
  <c r="K64" i="24"/>
  <c r="J80" i="24"/>
  <c r="K80" i="24"/>
  <c r="K94" i="24"/>
  <c r="J94" i="24"/>
  <c r="K110" i="24"/>
  <c r="J110" i="24"/>
  <c r="K126" i="24"/>
  <c r="J126" i="24"/>
  <c r="K142" i="24"/>
  <c r="J142" i="24"/>
  <c r="J158" i="24"/>
  <c r="K158" i="24"/>
  <c r="K174" i="24"/>
  <c r="J174" i="24"/>
  <c r="K190" i="24"/>
  <c r="J190" i="24"/>
  <c r="K204" i="24"/>
  <c r="J204" i="24"/>
  <c r="K220" i="24"/>
  <c r="J220" i="24"/>
  <c r="J236" i="24"/>
  <c r="K236" i="24"/>
  <c r="J252" i="24"/>
  <c r="K252" i="24"/>
  <c r="J268" i="24"/>
  <c r="K268" i="24"/>
  <c r="K284" i="24"/>
  <c r="J284" i="24"/>
  <c r="J364" i="24"/>
  <c r="K364" i="24"/>
  <c r="K93" i="24"/>
  <c r="J93" i="24"/>
  <c r="K161" i="24"/>
  <c r="J161" i="24"/>
  <c r="J249" i="24"/>
  <c r="K249" i="24"/>
  <c r="E24" i="3"/>
  <c r="D23" i="3"/>
  <c r="DY407" i="1" s="1"/>
  <c r="DY408" i="1" s="1"/>
  <c r="F24" i="3"/>
  <c r="CV334" i="1"/>
  <c r="CT334" i="1"/>
  <c r="CT278" i="1"/>
  <c r="CV278" i="1"/>
  <c r="CT94" i="1"/>
  <c r="CV94" i="1"/>
  <c r="CV321" i="1"/>
  <c r="CT321" i="1"/>
  <c r="CV189" i="1"/>
  <c r="CT189" i="1"/>
  <c r="N9" i="3"/>
  <c r="O10" i="3"/>
  <c r="AO410" i="1"/>
  <c r="AN416" i="1"/>
  <c r="K43" i="24"/>
  <c r="J43" i="24"/>
  <c r="J63" i="24"/>
  <c r="K63" i="24"/>
  <c r="K109" i="24"/>
  <c r="J109" i="24"/>
  <c r="K135" i="24"/>
  <c r="J135" i="24"/>
  <c r="K163" i="24"/>
  <c r="J163" i="24"/>
  <c r="K205" i="24"/>
  <c r="J205" i="24"/>
  <c r="K223" i="24"/>
  <c r="J223" i="24"/>
  <c r="J253" i="24"/>
  <c r="K253" i="24"/>
  <c r="J293" i="24"/>
  <c r="K293" i="24"/>
  <c r="CT309" i="1"/>
  <c r="CV309" i="1"/>
  <c r="G9" i="3"/>
  <c r="CV376" i="1"/>
  <c r="CT376" i="1"/>
  <c r="CV336" i="1"/>
  <c r="CT336" i="1"/>
  <c r="CV304" i="1"/>
  <c r="CT304" i="1"/>
  <c r="CT288" i="1"/>
  <c r="CV288" i="1"/>
  <c r="CT256" i="1"/>
  <c r="CV256" i="1"/>
  <c r="CT240" i="1"/>
  <c r="CV240" i="1"/>
  <c r="CV176" i="1"/>
  <c r="CT176" i="1"/>
  <c r="CT160" i="1"/>
  <c r="CV160" i="1"/>
  <c r="CV128" i="1"/>
  <c r="CT128" i="1"/>
  <c r="CV112" i="1"/>
  <c r="CT112" i="1"/>
  <c r="CV48" i="1"/>
  <c r="CT48" i="1"/>
  <c r="CT32" i="1"/>
  <c r="CV32" i="1"/>
  <c r="CT16" i="1"/>
  <c r="CV16" i="1"/>
  <c r="CT335" i="1"/>
  <c r="CV335" i="1"/>
  <c r="J92" i="24"/>
  <c r="K92" i="24"/>
  <c r="J156" i="24"/>
  <c r="K156" i="24"/>
  <c r="K300" i="24"/>
  <c r="J300" i="24"/>
  <c r="J316" i="24"/>
  <c r="K316" i="24"/>
  <c r="J332" i="24"/>
  <c r="K332" i="24"/>
  <c r="J348" i="24"/>
  <c r="K348" i="24"/>
  <c r="K380" i="24"/>
  <c r="J380" i="24"/>
  <c r="J396" i="24"/>
  <c r="K396" i="24"/>
  <c r="AW416" i="1"/>
  <c r="AX410" i="1"/>
  <c r="I24" i="3"/>
  <c r="H23" i="3"/>
  <c r="J65" i="24"/>
  <c r="K65" i="24"/>
  <c r="K129" i="24"/>
  <c r="J129" i="24"/>
  <c r="K209" i="24"/>
  <c r="J209" i="24"/>
  <c r="K325" i="24"/>
  <c r="J325" i="24"/>
  <c r="K337" i="24"/>
  <c r="J337" i="24"/>
  <c r="BI416" i="1"/>
  <c r="BJ410" i="1"/>
  <c r="F39" i="3"/>
  <c r="E39" i="3"/>
  <c r="BR410" i="1"/>
  <c r="BR415" i="1"/>
  <c r="BG410" i="1"/>
  <c r="BF416" i="1"/>
  <c r="BV410" i="1"/>
  <c r="BU416" i="1"/>
  <c r="CT299" i="1"/>
  <c r="CV299" i="1"/>
  <c r="CV382" i="1"/>
  <c r="CT382" i="1"/>
  <c r="CT366" i="1"/>
  <c r="CV366" i="1"/>
  <c r="CV350" i="1"/>
  <c r="CT350" i="1"/>
  <c r="CT270" i="1"/>
  <c r="CV270" i="1"/>
  <c r="CT254" i="1"/>
  <c r="CV254" i="1"/>
  <c r="CV230" i="1"/>
  <c r="CT230" i="1"/>
  <c r="CV198" i="1"/>
  <c r="CT198" i="1"/>
  <c r="CV182" i="1"/>
  <c r="CT182" i="1"/>
  <c r="CT150" i="1"/>
  <c r="CV150" i="1"/>
  <c r="CT126" i="1"/>
  <c r="CV126" i="1"/>
  <c r="CT110" i="1"/>
  <c r="CV110" i="1"/>
  <c r="CT46" i="1"/>
  <c r="CV46" i="1"/>
  <c r="CT385" i="1"/>
  <c r="CV385" i="1"/>
  <c r="CV353" i="1"/>
  <c r="CT353" i="1"/>
  <c r="CV289" i="1"/>
  <c r="CT289" i="1"/>
  <c r="CT257" i="1"/>
  <c r="CV257" i="1"/>
  <c r="CV237" i="1"/>
  <c r="CT237" i="1"/>
  <c r="CV221" i="1"/>
  <c r="CT221" i="1"/>
  <c r="CV157" i="1"/>
  <c r="CT157" i="1"/>
  <c r="CT69" i="1"/>
  <c r="CV69" i="1"/>
  <c r="CV29" i="1"/>
  <c r="CT29" i="1"/>
  <c r="M416" i="1"/>
  <c r="N410" i="1"/>
  <c r="J61" i="24"/>
  <c r="K61" i="24"/>
  <c r="K151" i="24"/>
  <c r="J151" i="24"/>
  <c r="K213" i="24"/>
  <c r="J213" i="24"/>
  <c r="K227" i="24"/>
  <c r="J227" i="24"/>
  <c r="CT397" i="1"/>
  <c r="CV397" i="1"/>
  <c r="CV365" i="1"/>
  <c r="CT365" i="1"/>
  <c r="CV333" i="1"/>
  <c r="CT333" i="1"/>
  <c r="CV387" i="1"/>
  <c r="CT387" i="1"/>
  <c r="CV303" i="1"/>
  <c r="CT303" i="1"/>
  <c r="CV211" i="1"/>
  <c r="CT211" i="1"/>
  <c r="CT179" i="1"/>
  <c r="CV179" i="1"/>
  <c r="CV83" i="1"/>
  <c r="CT83" i="1"/>
  <c r="CV59" i="1"/>
  <c r="CT59" i="1"/>
  <c r="I14" i="3"/>
  <c r="F15" i="3"/>
  <c r="E15" i="3"/>
  <c r="J38" i="24"/>
  <c r="K38" i="24"/>
  <c r="J90" i="24"/>
  <c r="K90" i="24"/>
  <c r="J106" i="24"/>
  <c r="K106" i="24"/>
  <c r="K122" i="24"/>
  <c r="J122" i="24"/>
  <c r="K138" i="24"/>
  <c r="J138" i="24"/>
  <c r="K154" i="24"/>
  <c r="J154" i="24"/>
  <c r="K186" i="24"/>
  <c r="J186" i="24"/>
  <c r="J218" i="24"/>
  <c r="K218" i="24"/>
  <c r="K234" i="24"/>
  <c r="J234" i="24"/>
  <c r="K266" i="24"/>
  <c r="J266" i="24"/>
  <c r="K314" i="24"/>
  <c r="J314" i="24"/>
  <c r="J328" i="24"/>
  <c r="K328" i="24"/>
  <c r="K376" i="24"/>
  <c r="J376" i="24"/>
  <c r="K387" i="24"/>
  <c r="J387" i="24"/>
  <c r="F32" i="3"/>
  <c r="E32" i="3"/>
  <c r="BY410" i="1"/>
  <c r="BX416" i="1"/>
  <c r="J257" i="24"/>
  <c r="K58" i="24"/>
  <c r="J58" i="24"/>
  <c r="CG416" i="1"/>
  <c r="CH410" i="1"/>
  <c r="CV347" i="1"/>
  <c r="CT347" i="1"/>
  <c r="CT402" i="1"/>
  <c r="CV402" i="1"/>
  <c r="CT386" i="1"/>
  <c r="CV386" i="1"/>
  <c r="CV346" i="1"/>
  <c r="CT346" i="1"/>
  <c r="CV330" i="1"/>
  <c r="CT330" i="1"/>
  <c r="CV226" i="1"/>
  <c r="CT226" i="1"/>
  <c r="CT210" i="1"/>
  <c r="CV210" i="1"/>
  <c r="CT138" i="1"/>
  <c r="CV138" i="1"/>
  <c r="CV114" i="1"/>
  <c r="CT114" i="1"/>
  <c r="CV26" i="1"/>
  <c r="CT26" i="1"/>
  <c r="CS407" i="1"/>
  <c r="AI407" i="1"/>
  <c r="AH413" i="1"/>
  <c r="AH410" i="1"/>
  <c r="AH415" i="1"/>
  <c r="J71" i="24"/>
  <c r="K71" i="24"/>
  <c r="J91" i="24"/>
  <c r="K91" i="24"/>
  <c r="J167" i="24"/>
  <c r="K167" i="24"/>
  <c r="J279" i="24"/>
  <c r="K279" i="24"/>
  <c r="CT317" i="1"/>
  <c r="CV317" i="1"/>
  <c r="CV245" i="1"/>
  <c r="CT245" i="1"/>
  <c r="CT380" i="1"/>
  <c r="CV380" i="1"/>
  <c r="CT364" i="1"/>
  <c r="CV364" i="1"/>
  <c r="CT348" i="1"/>
  <c r="CV348" i="1"/>
  <c r="CV308" i="1"/>
  <c r="CT308" i="1"/>
  <c r="CT276" i="1"/>
  <c r="CV276" i="1"/>
  <c r="CT260" i="1"/>
  <c r="CV260" i="1"/>
  <c r="CV244" i="1"/>
  <c r="CT244" i="1"/>
  <c r="CT228" i="1"/>
  <c r="CV228" i="1"/>
  <c r="CT180" i="1"/>
  <c r="CV180" i="1"/>
  <c r="CT124" i="1"/>
  <c r="CV124" i="1"/>
  <c r="CT60" i="1"/>
  <c r="CV60" i="1"/>
  <c r="CV44" i="1"/>
  <c r="CT44" i="1"/>
  <c r="CT28" i="1"/>
  <c r="CV28" i="1"/>
  <c r="CT12" i="1"/>
  <c r="CV12" i="1"/>
  <c r="CT199" i="1"/>
  <c r="CV199" i="1"/>
  <c r="CV183" i="1"/>
  <c r="CT183" i="1"/>
  <c r="CV167" i="1"/>
  <c r="CT167" i="1"/>
  <c r="CV135" i="1"/>
  <c r="CT135" i="1"/>
  <c r="CT119" i="1"/>
  <c r="CV119" i="1"/>
  <c r="CT103" i="1"/>
  <c r="CV103" i="1"/>
  <c r="CV87" i="1"/>
  <c r="CT87" i="1"/>
  <c r="CV39" i="1"/>
  <c r="CT39" i="1"/>
  <c r="K20" i="24"/>
  <c r="J20" i="24"/>
  <c r="J36" i="24"/>
  <c r="K36" i="24"/>
  <c r="J54" i="24"/>
  <c r="K54" i="24"/>
  <c r="K170" i="24"/>
  <c r="J170" i="24"/>
  <c r="J206" i="24"/>
  <c r="K206" i="24"/>
  <c r="J238" i="24"/>
  <c r="K238" i="24"/>
  <c r="K254" i="24"/>
  <c r="J254" i="24"/>
  <c r="K270" i="24"/>
  <c r="J270" i="24"/>
  <c r="K286" i="24"/>
  <c r="J286" i="24"/>
  <c r="K318" i="24"/>
  <c r="J318" i="24"/>
  <c r="J382" i="24"/>
  <c r="K382" i="24"/>
  <c r="K398" i="24"/>
  <c r="J398" i="24"/>
  <c r="I26" i="3"/>
  <c r="N23" i="3"/>
  <c r="O23" i="3" s="1"/>
  <c r="O24" i="3"/>
  <c r="CV259" i="1"/>
  <c r="CT259" i="1"/>
  <c r="CU9" i="1"/>
  <c r="CR409" i="1"/>
  <c r="CR404" i="1"/>
  <c r="CT362" i="1"/>
  <c r="CV362" i="1"/>
  <c r="CV314" i="1"/>
  <c r="CT314" i="1"/>
  <c r="CV298" i="1"/>
  <c r="CT298" i="1"/>
  <c r="CV194" i="1"/>
  <c r="CT194" i="1"/>
  <c r="CT154" i="1"/>
  <c r="CV154" i="1"/>
  <c r="CT82" i="1"/>
  <c r="CV82" i="1"/>
  <c r="CT377" i="1"/>
  <c r="CV377" i="1"/>
  <c r="CT345" i="1"/>
  <c r="CV345" i="1"/>
  <c r="CV297" i="1"/>
  <c r="CT297" i="1"/>
  <c r="CT241" i="1"/>
  <c r="CV241" i="1"/>
  <c r="CT209" i="1"/>
  <c r="CV209" i="1"/>
  <c r="CT193" i="1"/>
  <c r="CV193" i="1"/>
  <c r="CT177" i="1"/>
  <c r="CV177" i="1"/>
  <c r="CT49" i="1"/>
  <c r="CV49" i="1"/>
  <c r="K13" i="24"/>
  <c r="J13" i="24"/>
  <c r="J31" i="24"/>
  <c r="K31" i="24"/>
  <c r="J69" i="24"/>
  <c r="K69" i="24"/>
  <c r="K181" i="24"/>
  <c r="J181" i="24"/>
  <c r="K195" i="24"/>
  <c r="J195" i="24"/>
  <c r="K217" i="24"/>
  <c r="J217" i="24"/>
  <c r="CT389" i="1"/>
  <c r="CV389" i="1"/>
  <c r="CV325" i="1"/>
  <c r="CT325" i="1"/>
  <c r="CT263" i="1"/>
  <c r="CV263" i="1"/>
  <c r="CT243" i="1"/>
  <c r="CV243" i="1"/>
  <c r="CV15" i="1"/>
  <c r="CT15" i="1"/>
  <c r="Q410" i="1"/>
  <c r="P416" i="1"/>
  <c r="AB416" i="1"/>
  <c r="AC410" i="1"/>
  <c r="AQ416" i="1"/>
  <c r="AR410" i="1"/>
  <c r="J16" i="24"/>
  <c r="K16" i="24"/>
  <c r="J32" i="24"/>
  <c r="K32" i="24"/>
  <c r="J82" i="24"/>
  <c r="K82" i="24"/>
  <c r="J160" i="24"/>
  <c r="K160" i="24"/>
  <c r="J192" i="24"/>
  <c r="K192" i="24"/>
  <c r="J222" i="24"/>
  <c r="K222" i="24"/>
  <c r="K302" i="24"/>
  <c r="J302" i="24"/>
  <c r="DY404" i="1"/>
  <c r="J334" i="24"/>
  <c r="K334" i="24"/>
  <c r="J350" i="24"/>
  <c r="K350" i="24"/>
  <c r="J366" i="24"/>
  <c r="K366" i="24"/>
  <c r="E25" i="3"/>
  <c r="F25" i="3"/>
  <c r="L38" i="3"/>
  <c r="K37" i="3"/>
  <c r="L37" i="3" s="1"/>
  <c r="CV371" i="1"/>
  <c r="CT371" i="1"/>
  <c r="CT339" i="1"/>
  <c r="CV339" i="1"/>
  <c r="CT398" i="1"/>
  <c r="CV398" i="1"/>
  <c r="CV326" i="1"/>
  <c r="CT326" i="1"/>
  <c r="CV166" i="1"/>
  <c r="CT166" i="1"/>
  <c r="CT102" i="1"/>
  <c r="CV102" i="1"/>
  <c r="F12" i="3"/>
  <c r="E12" i="3"/>
  <c r="J29" i="24"/>
  <c r="K29" i="24"/>
  <c r="K119" i="24"/>
  <c r="J119" i="24"/>
  <c r="J141" i="24"/>
  <c r="K141" i="24"/>
  <c r="K189" i="24"/>
  <c r="J189" i="24"/>
  <c r="J303" i="24"/>
  <c r="K303" i="24"/>
  <c r="CV293" i="1"/>
  <c r="CT293" i="1"/>
  <c r="CT392" i="1"/>
  <c r="CV392" i="1"/>
  <c r="CV360" i="1"/>
  <c r="CT360" i="1"/>
  <c r="CT320" i="1"/>
  <c r="CV320" i="1"/>
  <c r="CV272" i="1"/>
  <c r="CT272" i="1"/>
  <c r="CV224" i="1"/>
  <c r="CT224" i="1"/>
  <c r="CV208" i="1"/>
  <c r="CT208" i="1"/>
  <c r="CT192" i="1"/>
  <c r="CV192" i="1"/>
  <c r="CT144" i="1"/>
  <c r="CV144" i="1"/>
  <c r="CV96" i="1"/>
  <c r="CT96" i="1"/>
  <c r="CT80" i="1"/>
  <c r="CV80" i="1"/>
  <c r="CT64" i="1"/>
  <c r="CV64" i="1"/>
  <c r="CV367" i="1"/>
  <c r="CT367" i="1"/>
  <c r="CV255" i="1"/>
  <c r="CT255" i="1"/>
  <c r="CT75" i="1"/>
  <c r="CV75" i="1"/>
  <c r="F11" i="3"/>
  <c r="E11" i="3"/>
  <c r="J30" i="24"/>
  <c r="K30" i="24"/>
  <c r="J42" i="24"/>
  <c r="K42" i="24"/>
  <c r="K62" i="24"/>
  <c r="J62" i="24"/>
  <c r="K226" i="24"/>
  <c r="J226" i="24"/>
  <c r="K274" i="24"/>
  <c r="J274" i="24"/>
  <c r="J290" i="24"/>
  <c r="K290" i="24"/>
  <c r="J322" i="24"/>
  <c r="K322" i="24"/>
  <c r="J386" i="24"/>
  <c r="K386" i="24"/>
  <c r="BS404" i="1"/>
  <c r="BA408" i="4"/>
  <c r="CN410" i="1"/>
  <c r="CM416" i="1"/>
  <c r="CT310" i="1"/>
  <c r="CV310" i="1"/>
  <c r="CT78" i="1"/>
  <c r="CV78" i="1"/>
  <c r="CV30" i="1"/>
  <c r="CT30" i="1"/>
  <c r="CT10" i="1"/>
  <c r="CS408" i="1"/>
  <c r="CV10" i="1"/>
  <c r="CT205" i="1"/>
  <c r="CV205" i="1"/>
  <c r="CV181" i="1"/>
  <c r="CT181" i="1"/>
  <c r="CT141" i="1"/>
  <c r="CV141" i="1"/>
  <c r="CV125" i="1"/>
  <c r="CT125" i="1"/>
  <c r="CV109" i="1"/>
  <c r="CT109" i="1"/>
  <c r="CV85" i="1"/>
  <c r="CT85" i="1"/>
  <c r="CT45" i="1"/>
  <c r="CV45" i="1"/>
  <c r="CV13" i="1"/>
  <c r="CT13" i="1"/>
  <c r="E18" i="3"/>
  <c r="F18" i="3"/>
  <c r="K27" i="24"/>
  <c r="J27" i="24"/>
  <c r="K117" i="24"/>
  <c r="J117" i="24"/>
  <c r="K139" i="24"/>
  <c r="J139" i="24"/>
  <c r="J155" i="24"/>
  <c r="K155" i="24"/>
  <c r="J185" i="24"/>
  <c r="K185" i="24"/>
  <c r="J215" i="24"/>
  <c r="K215" i="24"/>
  <c r="CT332" i="1"/>
  <c r="CV332" i="1"/>
  <c r="CT287" i="1"/>
  <c r="CV287" i="1"/>
  <c r="CT203" i="1"/>
  <c r="CV203" i="1"/>
  <c r="CT187" i="1"/>
  <c r="CV187" i="1"/>
  <c r="CV155" i="1"/>
  <c r="CT155" i="1"/>
  <c r="CT123" i="1"/>
  <c r="CV123" i="1"/>
  <c r="CT91" i="1"/>
  <c r="CV91" i="1"/>
  <c r="CT51" i="1"/>
  <c r="CV51" i="1"/>
  <c r="J28" i="24"/>
  <c r="K28" i="24"/>
  <c r="J40" i="24"/>
  <c r="K40" i="24"/>
  <c r="J56" i="24"/>
  <c r="K56" i="24"/>
  <c r="J70" i="24"/>
  <c r="K70" i="24"/>
  <c r="J108" i="24"/>
  <c r="K108" i="24"/>
  <c r="K124" i="24"/>
  <c r="J124" i="24"/>
  <c r="K140" i="24"/>
  <c r="J140" i="24"/>
  <c r="J172" i="24"/>
  <c r="K172" i="24"/>
  <c r="K188" i="24"/>
  <c r="J188" i="24"/>
  <c r="K208" i="24"/>
  <c r="J208" i="24"/>
  <c r="J224" i="24"/>
  <c r="K224" i="24"/>
  <c r="K272" i="24"/>
  <c r="J272" i="24"/>
  <c r="J288" i="24"/>
  <c r="K288" i="24"/>
  <c r="J304" i="24"/>
  <c r="K304" i="24"/>
  <c r="J362" i="24"/>
  <c r="K362" i="24"/>
  <c r="J394" i="24"/>
  <c r="K394" i="24"/>
  <c r="DX407" i="1"/>
  <c r="DX408" i="1" s="1"/>
  <c r="H410" i="24"/>
  <c r="E36" i="3"/>
  <c r="F36" i="3"/>
  <c r="J25" i="24"/>
  <c r="N37" i="3"/>
  <c r="O37" i="3" s="1"/>
  <c r="O38" i="3"/>
  <c r="CV290" i="1"/>
  <c r="CT290" i="1"/>
  <c r="CT274" i="1"/>
  <c r="CV274" i="1"/>
  <c r="CV170" i="1"/>
  <c r="CT170" i="1"/>
  <c r="CT90" i="1"/>
  <c r="CV90" i="1"/>
  <c r="CV58" i="1"/>
  <c r="CT58" i="1"/>
  <c r="D38" i="24"/>
  <c r="H42" i="12"/>
  <c r="H43" i="12" s="1"/>
  <c r="AI404" i="1"/>
  <c r="AF410" i="1"/>
  <c r="AE416" i="1"/>
  <c r="K95" i="24"/>
  <c r="J95" i="24"/>
  <c r="K207" i="24"/>
  <c r="J207" i="24"/>
  <c r="J225" i="24"/>
  <c r="K225" i="24"/>
  <c r="J247" i="24"/>
  <c r="K247" i="24"/>
  <c r="J269" i="24"/>
  <c r="K269" i="24"/>
  <c r="CV285" i="1"/>
  <c r="CT285" i="1"/>
  <c r="CV388" i="1"/>
  <c r="CT388" i="1"/>
  <c r="CV372" i="1"/>
  <c r="CT372" i="1"/>
  <c r="CT316" i="1"/>
  <c r="CV316" i="1"/>
  <c r="CT300" i="1"/>
  <c r="CV300" i="1"/>
  <c r="CT268" i="1"/>
  <c r="CV268" i="1"/>
  <c r="CT252" i="1"/>
  <c r="CV252" i="1"/>
  <c r="CV236" i="1"/>
  <c r="CT236" i="1"/>
  <c r="CT204" i="1"/>
  <c r="CV204" i="1"/>
  <c r="CT188" i="1"/>
  <c r="CV188" i="1"/>
  <c r="CV172" i="1"/>
  <c r="CT172" i="1"/>
  <c r="CV156" i="1"/>
  <c r="CT156" i="1"/>
  <c r="CT100" i="1"/>
  <c r="CV100" i="1"/>
  <c r="CT223" i="1"/>
  <c r="CV223" i="1"/>
  <c r="CT207" i="1"/>
  <c r="CV207" i="1"/>
  <c r="CV191" i="1"/>
  <c r="CT191" i="1"/>
  <c r="CT159" i="1"/>
  <c r="CV159" i="1"/>
  <c r="CV143" i="1"/>
  <c r="CT143" i="1"/>
  <c r="CT127" i="1"/>
  <c r="CV127" i="1"/>
  <c r="CV95" i="1"/>
  <c r="CT95" i="1"/>
  <c r="CT63" i="1"/>
  <c r="CV63" i="1"/>
  <c r="CV19" i="1"/>
  <c r="CT19" i="1"/>
  <c r="K10" i="24"/>
  <c r="J10" i="24"/>
  <c r="J26" i="24"/>
  <c r="K26" i="24"/>
  <c r="K60" i="24"/>
  <c r="J60" i="24"/>
  <c r="J76" i="24"/>
  <c r="K76" i="24"/>
  <c r="K96" i="24"/>
  <c r="J96" i="24"/>
  <c r="J112" i="24"/>
  <c r="K112" i="24"/>
  <c r="J128" i="24"/>
  <c r="K128" i="24"/>
  <c r="J144" i="24"/>
  <c r="K144" i="24"/>
  <c r="K176" i="24"/>
  <c r="J176" i="24"/>
  <c r="J240" i="24"/>
  <c r="K240" i="24"/>
  <c r="J256" i="24"/>
  <c r="K256" i="24"/>
  <c r="K320" i="24"/>
  <c r="J320" i="24"/>
  <c r="K336" i="24"/>
  <c r="J336" i="24"/>
  <c r="J368" i="24"/>
  <c r="K368" i="24"/>
  <c r="K17" i="24"/>
  <c r="J17" i="24"/>
  <c r="J159" i="24"/>
  <c r="K159" i="24"/>
  <c r="K231" i="24"/>
  <c r="J231" i="24"/>
  <c r="K259" i="24"/>
  <c r="J259" i="24"/>
  <c r="K319" i="24"/>
  <c r="J319" i="24"/>
  <c r="CD416" i="1"/>
  <c r="CE410" i="1"/>
  <c r="J299" i="24"/>
  <c r="AZ416" i="1"/>
  <c r="BA410" i="1"/>
  <c r="BL416" i="1"/>
  <c r="BM410" i="1"/>
  <c r="E35" i="3"/>
  <c r="F35" i="3"/>
  <c r="F38" i="3"/>
  <c r="D37" i="3"/>
  <c r="E38" i="3"/>
  <c r="I403" i="24"/>
  <c r="CV383" i="1"/>
  <c r="CT383" i="1"/>
  <c r="CT291" i="1"/>
  <c r="CV291" i="1"/>
  <c r="CT306" i="1"/>
  <c r="CV306" i="1"/>
  <c r="CV266" i="1"/>
  <c r="CT266" i="1"/>
  <c r="CT242" i="1"/>
  <c r="CV242" i="1"/>
  <c r="CV146" i="1"/>
  <c r="CT146" i="1"/>
  <c r="CT74" i="1"/>
  <c r="CV74" i="1"/>
  <c r="CV233" i="1"/>
  <c r="CT233" i="1"/>
  <c r="CT217" i="1"/>
  <c r="CV217" i="1"/>
  <c r="CV185" i="1"/>
  <c r="CT185" i="1"/>
  <c r="CV169" i="1"/>
  <c r="CT169" i="1"/>
  <c r="CT153" i="1"/>
  <c r="CV153" i="1"/>
  <c r="CT137" i="1"/>
  <c r="CV137" i="1"/>
  <c r="CV121" i="1"/>
  <c r="CT121" i="1"/>
  <c r="CT57" i="1"/>
  <c r="CV57" i="1"/>
  <c r="CT25" i="1"/>
  <c r="CV25" i="1"/>
  <c r="AU410" i="1"/>
  <c r="AT416" i="1"/>
  <c r="K19" i="24"/>
  <c r="J19" i="24"/>
  <c r="J53" i="24"/>
  <c r="K53" i="24"/>
  <c r="J75" i="24"/>
  <c r="K75" i="24"/>
  <c r="J101" i="24"/>
  <c r="K101" i="24"/>
  <c r="K127" i="24"/>
  <c r="J127" i="24"/>
  <c r="K147" i="24"/>
  <c r="J147" i="24"/>
  <c r="K183" i="24"/>
  <c r="J183" i="24"/>
  <c r="K239" i="24"/>
  <c r="J239" i="24"/>
  <c r="K267" i="24"/>
  <c r="J267" i="24"/>
  <c r="K309" i="24"/>
  <c r="J309" i="24"/>
  <c r="CT373" i="1"/>
  <c r="CV373" i="1"/>
  <c r="CT395" i="1"/>
  <c r="CV395" i="1"/>
  <c r="CV311" i="1"/>
  <c r="CT311" i="1"/>
  <c r="CV31" i="1"/>
  <c r="CT31" i="1"/>
  <c r="E17" i="3"/>
  <c r="F17" i="3"/>
  <c r="I20" i="3"/>
  <c r="E22" i="3"/>
  <c r="I410" i="24"/>
  <c r="F22" i="3"/>
  <c r="J34" i="24"/>
  <c r="K34" i="24"/>
  <c r="K72" i="24"/>
  <c r="J72" i="24"/>
  <c r="J86" i="24"/>
  <c r="K86" i="24"/>
  <c r="K166" i="24"/>
  <c r="J166" i="24"/>
  <c r="K182" i="24"/>
  <c r="J182" i="24"/>
  <c r="K244" i="24"/>
  <c r="J244" i="24"/>
  <c r="K292" i="24"/>
  <c r="J292" i="24"/>
  <c r="J308" i="24"/>
  <c r="K308" i="24"/>
  <c r="J324" i="24"/>
  <c r="K324" i="24"/>
  <c r="K356" i="24"/>
  <c r="J356" i="24"/>
  <c r="K372" i="24"/>
  <c r="J372" i="24"/>
  <c r="K197" i="24"/>
  <c r="J197" i="24"/>
  <c r="J237" i="24"/>
  <c r="K237" i="24"/>
  <c r="K277" i="24"/>
  <c r="J277" i="24"/>
  <c r="J285" i="24"/>
  <c r="K285" i="24"/>
  <c r="K353" i="24"/>
  <c r="J353" i="24"/>
  <c r="F33" i="3"/>
  <c r="E33" i="3"/>
  <c r="CT355" i="1"/>
  <c r="CV355" i="1"/>
  <c r="CT323" i="1"/>
  <c r="CV323" i="1"/>
  <c r="CT342" i="1"/>
  <c r="CV342" i="1"/>
  <c r="CV286" i="1"/>
  <c r="CT286" i="1"/>
  <c r="CV246" i="1"/>
  <c r="CT246" i="1"/>
  <c r="CT214" i="1"/>
  <c r="CV214" i="1"/>
  <c r="CV62" i="1"/>
  <c r="CT62" i="1"/>
  <c r="CT22" i="1"/>
  <c r="CV22" i="1"/>
  <c r="CT305" i="1"/>
  <c r="CV305" i="1"/>
  <c r="CV165" i="1"/>
  <c r="CT165" i="1"/>
  <c r="CT53" i="1"/>
  <c r="CV53" i="1"/>
  <c r="Y416" i="1"/>
  <c r="Z410" i="1"/>
  <c r="J35" i="24"/>
  <c r="K35" i="24"/>
  <c r="J51" i="24"/>
  <c r="K51" i="24"/>
  <c r="K99" i="24"/>
  <c r="J99" i="24"/>
  <c r="J179" i="24"/>
  <c r="K179" i="24"/>
  <c r="K199" i="24"/>
  <c r="J199" i="24"/>
  <c r="CV261" i="1"/>
  <c r="CT261" i="1"/>
  <c r="CV400" i="1"/>
  <c r="CT400" i="1"/>
  <c r="CT384" i="1"/>
  <c r="CV384" i="1"/>
  <c r="CV368" i="1"/>
  <c r="CT368" i="1"/>
  <c r="CT344" i="1"/>
  <c r="CV344" i="1"/>
  <c r="CV296" i="1"/>
  <c r="CT296" i="1"/>
  <c r="CT280" i="1"/>
  <c r="CV280" i="1"/>
  <c r="CT264" i="1"/>
  <c r="CV264" i="1"/>
  <c r="CV216" i="1"/>
  <c r="CT216" i="1"/>
  <c r="CT200" i="1"/>
  <c r="CV200" i="1"/>
  <c r="CT152" i="1"/>
  <c r="CV152" i="1"/>
  <c r="CT136" i="1"/>
  <c r="CV136" i="1"/>
  <c r="CV120" i="1"/>
  <c r="CT120" i="1"/>
  <c r="CT104" i="1"/>
  <c r="CV104" i="1"/>
  <c r="CT72" i="1"/>
  <c r="CV72" i="1"/>
  <c r="CT24" i="1"/>
  <c r="CV24" i="1"/>
  <c r="CT351" i="1"/>
  <c r="CV351" i="1"/>
  <c r="CV319" i="1"/>
  <c r="CT319" i="1"/>
  <c r="CV247" i="1"/>
  <c r="CT247" i="1"/>
  <c r="E9" i="12"/>
  <c r="F9" i="12"/>
  <c r="D41" i="12"/>
  <c r="E19" i="3"/>
  <c r="F19" i="3"/>
  <c r="K48" i="24"/>
  <c r="J48" i="24"/>
  <c r="K100" i="24"/>
  <c r="J100" i="24"/>
  <c r="K116" i="24"/>
  <c r="J116" i="24"/>
  <c r="K148" i="24"/>
  <c r="J148" i="24"/>
  <c r="J164" i="24"/>
  <c r="K164" i="24"/>
  <c r="J180" i="24"/>
  <c r="K180" i="24"/>
  <c r="J212" i="24"/>
  <c r="K212" i="24"/>
  <c r="J228" i="24"/>
  <c r="K228" i="24"/>
  <c r="K260" i="24"/>
  <c r="J260" i="24"/>
  <c r="K276" i="24"/>
  <c r="J276" i="24"/>
  <c r="J340" i="24"/>
  <c r="K340" i="24"/>
  <c r="K388" i="24"/>
  <c r="J388" i="24"/>
  <c r="BQ410" i="1"/>
  <c r="BR416" i="1" s="1"/>
  <c r="BS407" i="1"/>
  <c r="BR413" i="1"/>
  <c r="K273" i="24"/>
  <c r="J273" i="24"/>
  <c r="K305" i="24"/>
  <c r="J305" i="24"/>
  <c r="K357" i="24"/>
  <c r="J357" i="24"/>
  <c r="F30" i="3"/>
  <c r="E30" i="3"/>
  <c r="CT391" i="1"/>
  <c r="CV391" i="1"/>
  <c r="CT315" i="1"/>
  <c r="CV315" i="1"/>
  <c r="CT283" i="1"/>
  <c r="CV283" i="1"/>
  <c r="CT239" i="1"/>
  <c r="CV239" i="1"/>
  <c r="CT358" i="1"/>
  <c r="CV358" i="1"/>
  <c r="CV318" i="1"/>
  <c r="CT318" i="1"/>
  <c r="CV262" i="1"/>
  <c r="CT262" i="1"/>
  <c r="CT190" i="1"/>
  <c r="CV190" i="1"/>
  <c r="CT142" i="1"/>
  <c r="CV142" i="1"/>
  <c r="CV118" i="1"/>
  <c r="CT118" i="1"/>
  <c r="CT86" i="1"/>
  <c r="CV86" i="1"/>
  <c r="CV70" i="1"/>
  <c r="CT70" i="1"/>
  <c r="CT14" i="1"/>
  <c r="CV14" i="1"/>
  <c r="AI408" i="1"/>
  <c r="CV401" i="1"/>
  <c r="CT401" i="1"/>
  <c r="CV369" i="1"/>
  <c r="CT369" i="1"/>
  <c r="CT337" i="1"/>
  <c r="CV337" i="1"/>
  <c r="CV249" i="1"/>
  <c r="CT249" i="1"/>
  <c r="CT213" i="1"/>
  <c r="CV213" i="1"/>
  <c r="CT77" i="1"/>
  <c r="CV77" i="1"/>
  <c r="CV61" i="1"/>
  <c r="CT61" i="1"/>
  <c r="J67" i="24"/>
  <c r="K67" i="24"/>
  <c r="J97" i="24"/>
  <c r="K97" i="24"/>
  <c r="K123" i="24"/>
  <c r="J123" i="24"/>
  <c r="J157" i="24"/>
  <c r="K157" i="24"/>
  <c r="J219" i="24"/>
  <c r="K219" i="24"/>
  <c r="J301" i="24"/>
  <c r="K301" i="24"/>
  <c r="CV381" i="1"/>
  <c r="CT381" i="1"/>
  <c r="CV148" i="1"/>
  <c r="CT148" i="1"/>
  <c r="CT235" i="1"/>
  <c r="CV235" i="1"/>
  <c r="CT219" i="1"/>
  <c r="CV219" i="1"/>
  <c r="CV171" i="1"/>
  <c r="CT171" i="1"/>
  <c r="CV139" i="1"/>
  <c r="CT139" i="1"/>
  <c r="CT107" i="1"/>
  <c r="CV107" i="1"/>
  <c r="CV67" i="1"/>
  <c r="CT67" i="1"/>
  <c r="J14" i="24"/>
  <c r="K14" i="24"/>
  <c r="K46" i="24"/>
  <c r="J46" i="24"/>
  <c r="K98" i="24"/>
  <c r="J98" i="24"/>
  <c r="J130" i="24"/>
  <c r="K130" i="24"/>
  <c r="J146" i="24"/>
  <c r="K146" i="24"/>
  <c r="J162" i="24"/>
  <c r="K162" i="24"/>
  <c r="J210" i="24"/>
  <c r="K210" i="24"/>
  <c r="K242" i="24"/>
  <c r="J242" i="24"/>
  <c r="J258" i="24"/>
  <c r="K258" i="24"/>
  <c r="J306" i="24"/>
  <c r="K306" i="24"/>
  <c r="J352" i="24"/>
  <c r="K352" i="24"/>
  <c r="J384" i="24"/>
  <c r="K384" i="24"/>
  <c r="K400" i="24"/>
  <c r="J400" i="24"/>
  <c r="BS408" i="1"/>
  <c r="K39" i="24"/>
  <c r="J39" i="24"/>
  <c r="F27" i="3"/>
  <c r="E27" i="3"/>
  <c r="CV363" i="1"/>
  <c r="CT363" i="1"/>
  <c r="CV331" i="1"/>
  <c r="CT331" i="1"/>
  <c r="CT378" i="1"/>
  <c r="CV378" i="1"/>
  <c r="CT250" i="1"/>
  <c r="CV250" i="1"/>
  <c r="CT218" i="1"/>
  <c r="CV218" i="1"/>
  <c r="CV130" i="1"/>
  <c r="CT130" i="1"/>
  <c r="CT66" i="1"/>
  <c r="CV66" i="1"/>
  <c r="CT50" i="1"/>
  <c r="CV50" i="1"/>
  <c r="J416" i="1"/>
  <c r="K410" i="1"/>
  <c r="I10" i="3"/>
  <c r="H9" i="3"/>
  <c r="I13" i="3"/>
  <c r="K59" i="24"/>
  <c r="J59" i="24"/>
  <c r="J211" i="24"/>
  <c r="K211" i="24"/>
  <c r="J271" i="24"/>
  <c r="K271" i="24"/>
  <c r="K289" i="24"/>
  <c r="J289" i="24"/>
  <c r="J311" i="24"/>
  <c r="K311" i="24"/>
  <c r="CV356" i="1"/>
  <c r="CT356" i="1"/>
  <c r="CV340" i="1"/>
  <c r="CT340" i="1"/>
  <c r="CV284" i="1"/>
  <c r="CT284" i="1"/>
  <c r="CV220" i="1"/>
  <c r="CT220" i="1"/>
  <c r="CV132" i="1"/>
  <c r="CT132" i="1"/>
  <c r="CT116" i="1"/>
  <c r="CV116" i="1"/>
  <c r="CV84" i="1"/>
  <c r="CT84" i="1"/>
  <c r="CT68" i="1"/>
  <c r="CV68" i="1"/>
  <c r="CV52" i="1"/>
  <c r="CT52" i="1"/>
  <c r="CT36" i="1"/>
  <c r="CV36" i="1"/>
  <c r="CV20" i="1"/>
  <c r="CT20" i="1"/>
  <c r="CV359" i="1"/>
  <c r="CT359" i="1"/>
  <c r="CT327" i="1"/>
  <c r="CV327" i="1"/>
  <c r="CT175" i="1"/>
  <c r="CV175" i="1"/>
  <c r="CV111" i="1"/>
  <c r="CT111" i="1"/>
  <c r="CV79" i="1"/>
  <c r="CT79" i="1"/>
  <c r="CT47" i="1"/>
  <c r="CV47" i="1"/>
  <c r="CV35" i="1"/>
  <c r="CT35" i="1"/>
  <c r="F13" i="3"/>
  <c r="E13" i="3"/>
  <c r="I18" i="3"/>
  <c r="J12" i="24"/>
  <c r="K12" i="24"/>
  <c r="K66" i="24"/>
  <c r="J66" i="24"/>
  <c r="J114" i="24"/>
  <c r="K114" i="24"/>
  <c r="K178" i="24"/>
  <c r="J178" i="24"/>
  <c r="J194" i="24"/>
  <c r="K194" i="24"/>
  <c r="J230" i="24"/>
  <c r="K230" i="24"/>
  <c r="K326" i="24"/>
  <c r="J326" i="24"/>
  <c r="K342" i="24"/>
  <c r="J342" i="24"/>
  <c r="K390" i="24"/>
  <c r="J390" i="24"/>
  <c r="H406" i="4"/>
  <c r="H413" i="4"/>
  <c r="H414" i="4" s="1"/>
  <c r="BC416" i="1"/>
  <c r="BD410" i="1"/>
  <c r="F34" i="3"/>
  <c r="E34" i="3"/>
  <c r="H37" i="3"/>
  <c r="I37" i="3" s="1"/>
  <c r="I38" i="3"/>
  <c r="K89" i="24"/>
  <c r="K339" i="24"/>
  <c r="CO410" i="1"/>
  <c r="I29" i="3"/>
  <c r="K8" i="24"/>
  <c r="CT399" i="1"/>
  <c r="CV399" i="1"/>
  <c r="CV307" i="1"/>
  <c r="CT307" i="1"/>
  <c r="CV370" i="1"/>
  <c r="CT370" i="1"/>
  <c r="CT354" i="1"/>
  <c r="CV354" i="1"/>
  <c r="CV202" i="1"/>
  <c r="CT202" i="1"/>
  <c r="CV186" i="1"/>
  <c r="CT186" i="1"/>
  <c r="CT98" i="1"/>
  <c r="CV98" i="1"/>
  <c r="CT34" i="1"/>
  <c r="CV34" i="1"/>
  <c r="CT393" i="1"/>
  <c r="CV393" i="1"/>
  <c r="CV361" i="1"/>
  <c r="CT361" i="1"/>
  <c r="CT329" i="1"/>
  <c r="CV329" i="1"/>
  <c r="CT281" i="1"/>
  <c r="CV281" i="1"/>
  <c r="CV253" i="1"/>
  <c r="CT253" i="1"/>
  <c r="CT201" i="1"/>
  <c r="CV201" i="1"/>
  <c r="CV105" i="1"/>
  <c r="CT105" i="1"/>
  <c r="CV89" i="1"/>
  <c r="CT89" i="1"/>
  <c r="CV73" i="1"/>
  <c r="CT73" i="1"/>
  <c r="CT41" i="1"/>
  <c r="CV41" i="1"/>
  <c r="J21" i="24"/>
  <c r="K21" i="24"/>
  <c r="K45" i="24"/>
  <c r="J45" i="24"/>
  <c r="J81" i="24"/>
  <c r="K81" i="24"/>
  <c r="J111" i="24"/>
  <c r="K111" i="24"/>
  <c r="K131" i="24"/>
  <c r="J131" i="24"/>
  <c r="J153" i="24"/>
  <c r="K153" i="24"/>
  <c r="K171" i="24"/>
  <c r="J171" i="24"/>
  <c r="J245" i="24"/>
  <c r="K245" i="24"/>
  <c r="CT341" i="1"/>
  <c r="CV341" i="1"/>
  <c r="CT379" i="1"/>
  <c r="CV379" i="1"/>
  <c r="CV231" i="1"/>
  <c r="CT231" i="1"/>
  <c r="J24" i="24"/>
  <c r="K24" i="24"/>
  <c r="J74" i="24"/>
  <c r="K74" i="24"/>
  <c r="J104" i="24"/>
  <c r="K104" i="24"/>
  <c r="K120" i="24"/>
  <c r="J120" i="24"/>
  <c r="K168" i="24"/>
  <c r="J168" i="24"/>
  <c r="J200" i="24"/>
  <c r="K200" i="24"/>
  <c r="J214" i="24"/>
  <c r="K214" i="24"/>
  <c r="J246" i="24"/>
  <c r="K246" i="24"/>
  <c r="K262" i="24"/>
  <c r="J262" i="24"/>
  <c r="K278" i="24"/>
  <c r="J278" i="24"/>
  <c r="K294" i="24"/>
  <c r="J294" i="24"/>
  <c r="K310" i="24"/>
  <c r="J310" i="24"/>
  <c r="J358" i="24"/>
  <c r="K358" i="24"/>
  <c r="K374" i="24"/>
  <c r="J374" i="24"/>
  <c r="F28" i="3"/>
  <c r="E28" i="3"/>
  <c r="CT390" i="1"/>
  <c r="CV390" i="1"/>
  <c r="CV294" i="1"/>
  <c r="CT294" i="1"/>
  <c r="CV222" i="1"/>
  <c r="CT222" i="1"/>
  <c r="CT174" i="1"/>
  <c r="CV174" i="1"/>
  <c r="CT134" i="1"/>
  <c r="CV134" i="1"/>
  <c r="CV54" i="1"/>
  <c r="CT54" i="1"/>
  <c r="L10" i="3"/>
  <c r="K9" i="3"/>
  <c r="CV93" i="1"/>
  <c r="CT93" i="1"/>
  <c r="F16" i="3"/>
  <c r="E16" i="3"/>
  <c r="I19" i="3"/>
  <c r="K11" i="24"/>
  <c r="J11" i="24"/>
  <c r="J79" i="24"/>
  <c r="K79" i="24"/>
  <c r="K125" i="24"/>
  <c r="J125" i="24"/>
  <c r="J203" i="24"/>
  <c r="K203" i="24"/>
  <c r="J265" i="24"/>
  <c r="K265" i="24"/>
  <c r="K287" i="24"/>
  <c r="J287" i="24"/>
  <c r="CT277" i="1"/>
  <c r="CV277" i="1"/>
  <c r="CV328" i="1"/>
  <c r="CT328" i="1"/>
  <c r="CT312" i="1"/>
  <c r="CV312" i="1"/>
  <c r="CT248" i="1"/>
  <c r="CV248" i="1"/>
  <c r="CT232" i="1"/>
  <c r="CV232" i="1"/>
  <c r="CT184" i="1"/>
  <c r="CV184" i="1"/>
  <c r="CV168" i="1"/>
  <c r="CT168" i="1"/>
  <c r="CT88" i="1"/>
  <c r="CV88" i="1"/>
  <c r="CV56" i="1"/>
  <c r="CT56" i="1"/>
  <c r="CV40" i="1"/>
  <c r="CT40" i="1"/>
  <c r="AI409" i="1"/>
  <c r="J22" i="24"/>
  <c r="K22" i="24"/>
  <c r="K50" i="24"/>
  <c r="J50" i="24"/>
  <c r="K102" i="24"/>
  <c r="J102" i="24"/>
  <c r="K118" i="24"/>
  <c r="J118" i="24"/>
  <c r="J134" i="24"/>
  <c r="K134" i="24"/>
  <c r="K150" i="24"/>
  <c r="J150" i="24"/>
  <c r="J198" i="24"/>
  <c r="K198" i="24"/>
  <c r="K250" i="24"/>
  <c r="J250" i="24"/>
  <c r="J282" i="24"/>
  <c r="K282" i="24"/>
  <c r="J298" i="24"/>
  <c r="K298" i="24"/>
  <c r="K330" i="24"/>
  <c r="J330" i="24"/>
  <c r="J346" i="24"/>
  <c r="K346" i="24"/>
  <c r="J378" i="24"/>
  <c r="K378" i="24"/>
  <c r="G23" i="3"/>
  <c r="F26" i="3"/>
  <c r="E26" i="3"/>
  <c r="CA416" i="1"/>
  <c r="CB410" i="1"/>
  <c r="CV375" i="1"/>
  <c r="CT375" i="1"/>
  <c r="CV267" i="1"/>
  <c r="CT267" i="1"/>
  <c r="CV374" i="1"/>
  <c r="CT374" i="1"/>
  <c r="CV302" i="1"/>
  <c r="CT302" i="1"/>
  <c r="CV238" i="1"/>
  <c r="CT238" i="1"/>
  <c r="CV206" i="1"/>
  <c r="CT206" i="1"/>
  <c r="CV158" i="1"/>
  <c r="CT158" i="1"/>
  <c r="CT38" i="1"/>
  <c r="CV38" i="1"/>
  <c r="CT273" i="1"/>
  <c r="CV273" i="1"/>
  <c r="CT229" i="1"/>
  <c r="CV229" i="1"/>
  <c r="CT197" i="1"/>
  <c r="CV197" i="1"/>
  <c r="CV173" i="1"/>
  <c r="CT173" i="1"/>
  <c r="CV149" i="1"/>
  <c r="CT149" i="1"/>
  <c r="CV133" i="1"/>
  <c r="CT133" i="1"/>
  <c r="CT117" i="1"/>
  <c r="CV117" i="1"/>
  <c r="CV101" i="1"/>
  <c r="CT101" i="1"/>
  <c r="CV37" i="1"/>
  <c r="CT37" i="1"/>
  <c r="CV21" i="1"/>
  <c r="CT21" i="1"/>
  <c r="F10" i="3"/>
  <c r="D9" i="3"/>
  <c r="E10" i="3"/>
  <c r="J55" i="24"/>
  <c r="K55" i="24"/>
  <c r="K77" i="24"/>
  <c r="J77" i="24"/>
  <c r="K149" i="24"/>
  <c r="J149" i="24"/>
  <c r="K221" i="24"/>
  <c r="J221" i="24"/>
  <c r="J263" i="24"/>
  <c r="K263" i="24"/>
  <c r="CV349" i="1"/>
  <c r="CT349" i="1"/>
  <c r="CR408" i="1"/>
  <c r="CU10" i="1"/>
  <c r="CV403" i="1"/>
  <c r="CT403" i="1"/>
  <c r="CV271" i="1"/>
  <c r="CT271" i="1"/>
  <c r="CT227" i="1"/>
  <c r="CV227" i="1"/>
  <c r="CT195" i="1"/>
  <c r="CV195" i="1"/>
  <c r="CV163" i="1"/>
  <c r="CT163" i="1"/>
  <c r="CT147" i="1"/>
  <c r="CV147" i="1"/>
  <c r="CV131" i="1"/>
  <c r="CT131" i="1"/>
  <c r="CT115" i="1"/>
  <c r="CV115" i="1"/>
  <c r="CT99" i="1"/>
  <c r="CV99" i="1"/>
  <c r="CV43" i="1"/>
  <c r="CT43" i="1"/>
  <c r="W410" i="1"/>
  <c r="V416" i="1"/>
  <c r="K78" i="24"/>
  <c r="J78" i="24"/>
  <c r="K132" i="24"/>
  <c r="J132" i="24"/>
  <c r="J196" i="24"/>
  <c r="K196" i="24"/>
  <c r="K216" i="24"/>
  <c r="J216" i="24"/>
  <c r="J232" i="24"/>
  <c r="K232" i="24"/>
  <c r="J296" i="24"/>
  <c r="K296" i="24"/>
  <c r="J338" i="24"/>
  <c r="K338" i="24"/>
  <c r="K354" i="24"/>
  <c r="J354" i="24"/>
  <c r="J370" i="24"/>
  <c r="K370" i="24"/>
  <c r="K402" i="24"/>
  <c r="J402" i="24"/>
  <c r="H403" i="24"/>
  <c r="BR414" i="1"/>
  <c r="BP410" i="1"/>
  <c r="BO416" i="1"/>
  <c r="F37" i="12"/>
  <c r="E37" i="12"/>
  <c r="CT394" i="1"/>
  <c r="CV394" i="1"/>
  <c r="CT338" i="1"/>
  <c r="CV338" i="1"/>
  <c r="CV322" i="1"/>
  <c r="CT322" i="1"/>
  <c r="CV282" i="1"/>
  <c r="CT282" i="1"/>
  <c r="CT178" i="1"/>
  <c r="CV178" i="1"/>
  <c r="CT162" i="1"/>
  <c r="CV162" i="1"/>
  <c r="CT106" i="1"/>
  <c r="CV106" i="1"/>
  <c r="CT313" i="1"/>
  <c r="CV313" i="1"/>
  <c r="CV9" i="1"/>
  <c r="CT9" i="1"/>
  <c r="CS404" i="1"/>
  <c r="CS409" i="1"/>
  <c r="S416" i="1"/>
  <c r="T410" i="1"/>
  <c r="F14" i="3"/>
  <c r="E14" i="3"/>
  <c r="I17" i="3"/>
  <c r="J15" i="24"/>
  <c r="K15" i="24"/>
  <c r="J47" i="24"/>
  <c r="K47" i="24"/>
  <c r="K87" i="24"/>
  <c r="J87" i="24"/>
  <c r="K133" i="24"/>
  <c r="J133" i="24"/>
  <c r="K165" i="24"/>
  <c r="J165" i="24"/>
  <c r="K235" i="24"/>
  <c r="J235" i="24"/>
  <c r="J261" i="24"/>
  <c r="K261" i="24"/>
  <c r="J315" i="24"/>
  <c r="K315" i="24"/>
  <c r="CV301" i="1"/>
  <c r="CT301" i="1"/>
  <c r="CT269" i="1"/>
  <c r="CV269" i="1"/>
  <c r="CT396" i="1"/>
  <c r="CV396" i="1"/>
  <c r="CV324" i="1"/>
  <c r="CT324" i="1"/>
  <c r="CT292" i="1"/>
  <c r="CV292" i="1"/>
  <c r="CT212" i="1"/>
  <c r="CV212" i="1"/>
  <c r="CT196" i="1"/>
  <c r="CV196" i="1"/>
  <c r="CT164" i="1"/>
  <c r="CV164" i="1"/>
  <c r="CT140" i="1"/>
  <c r="CV140" i="1"/>
  <c r="CV108" i="1"/>
  <c r="CT108" i="1"/>
  <c r="CV92" i="1"/>
  <c r="CT92" i="1"/>
  <c r="CT76" i="1"/>
  <c r="CV76" i="1"/>
  <c r="CV343" i="1"/>
  <c r="CT343" i="1"/>
  <c r="CT295" i="1"/>
  <c r="CV295" i="1"/>
  <c r="CT215" i="1"/>
  <c r="CV215" i="1"/>
  <c r="CV151" i="1"/>
  <c r="CT151" i="1"/>
  <c r="CV71" i="1"/>
  <c r="CT71" i="1"/>
  <c r="CT55" i="1"/>
  <c r="CV55" i="1"/>
  <c r="CT27" i="1"/>
  <c r="CV27" i="1"/>
  <c r="CT11" i="1"/>
  <c r="CV11" i="1"/>
  <c r="AK416" i="1"/>
  <c r="AL410" i="1"/>
  <c r="J18" i="24"/>
  <c r="K18" i="24"/>
  <c r="J52" i="24"/>
  <c r="K52" i="24"/>
  <c r="K68" i="24"/>
  <c r="J68" i="24"/>
  <c r="K88" i="24"/>
  <c r="J88" i="24"/>
  <c r="K136" i="24"/>
  <c r="J136" i="24"/>
  <c r="J152" i="24"/>
  <c r="K152" i="24"/>
  <c r="J184" i="24"/>
  <c r="K184" i="24"/>
  <c r="K248" i="24"/>
  <c r="J248" i="24"/>
  <c r="K264" i="24"/>
  <c r="J264" i="24"/>
  <c r="J280" i="24"/>
  <c r="K280" i="24"/>
  <c r="J312" i="24"/>
  <c r="K312" i="24"/>
  <c r="K344" i="24"/>
  <c r="J344" i="24"/>
  <c r="K360" i="24"/>
  <c r="J360" i="24"/>
  <c r="K392" i="24"/>
  <c r="J392" i="24"/>
  <c r="F414" i="4"/>
  <c r="K23" i="3"/>
  <c r="L23" i="3" s="1"/>
  <c r="L24" i="3"/>
  <c r="J23" i="24"/>
  <c r="K23" i="24"/>
  <c r="K103" i="24"/>
  <c r="J103" i="24"/>
  <c r="K335" i="24"/>
  <c r="J335" i="24"/>
  <c r="K351" i="24"/>
  <c r="J351" i="24"/>
  <c r="F29" i="3"/>
  <c r="E29" i="3"/>
  <c r="CK410" i="1"/>
  <c r="CJ416" i="1"/>
  <c r="CQ407" i="1"/>
  <c r="CP413" i="1"/>
  <c r="CP410" i="1"/>
  <c r="J143" i="24"/>
  <c r="J383" i="24"/>
  <c r="F23" i="12"/>
  <c r="E23" i="12"/>
  <c r="I25" i="3"/>
  <c r="M47" i="3" l="1"/>
  <c r="I53" i="5"/>
  <c r="CT404" i="1"/>
  <c r="C42" i="3"/>
  <c r="CS415" i="1"/>
  <c r="CW151" i="1"/>
  <c r="E150" i="24"/>
  <c r="CW108" i="1"/>
  <c r="E107" i="24"/>
  <c r="E323" i="24"/>
  <c r="CW324" i="1"/>
  <c r="CW313" i="1"/>
  <c r="E312" i="24"/>
  <c r="E161" i="24"/>
  <c r="CW162" i="1"/>
  <c r="E337" i="24"/>
  <c r="CW338" i="1"/>
  <c r="CW115" i="1"/>
  <c r="E114" i="24"/>
  <c r="E146" i="24"/>
  <c r="CW147" i="1"/>
  <c r="E194" i="24"/>
  <c r="CW195" i="1"/>
  <c r="D9" i="24"/>
  <c r="CU408" i="1"/>
  <c r="E36" i="24"/>
  <c r="CW37" i="1"/>
  <c r="E148" i="24"/>
  <c r="CW149" i="1"/>
  <c r="CW158" i="1"/>
  <c r="E157" i="24"/>
  <c r="CW238" i="1"/>
  <c r="E237" i="24"/>
  <c r="E373" i="24"/>
  <c r="CW374" i="1"/>
  <c r="E266" i="24"/>
  <c r="CW267" i="1"/>
  <c r="E39" i="24"/>
  <c r="CW40" i="1"/>
  <c r="CW328" i="1"/>
  <c r="E327" i="24"/>
  <c r="K41" i="3"/>
  <c r="L9" i="3"/>
  <c r="CW134" i="1"/>
  <c r="E133" i="24"/>
  <c r="CW390" i="1"/>
  <c r="E389" i="24"/>
  <c r="E340" i="24"/>
  <c r="CW341" i="1"/>
  <c r="E328" i="24"/>
  <c r="CW329" i="1"/>
  <c r="E392" i="24"/>
  <c r="CW393" i="1"/>
  <c r="E97" i="24"/>
  <c r="CW98" i="1"/>
  <c r="E398" i="24"/>
  <c r="CW399" i="1"/>
  <c r="E174" i="24"/>
  <c r="CW175" i="1"/>
  <c r="E35" i="24"/>
  <c r="CW36" i="1"/>
  <c r="CW68" i="1"/>
  <c r="E67" i="24"/>
  <c r="CW116" i="1"/>
  <c r="E115" i="24"/>
  <c r="CW130" i="1"/>
  <c r="E129" i="24"/>
  <c r="E330" i="24"/>
  <c r="CW331" i="1"/>
  <c r="E106" i="24"/>
  <c r="CW107" i="1"/>
  <c r="E234" i="24"/>
  <c r="CW235" i="1"/>
  <c r="CW77" i="1"/>
  <c r="E76" i="24"/>
  <c r="CW70" i="1"/>
  <c r="E69" i="24"/>
  <c r="E117" i="24"/>
  <c r="CW118" i="1"/>
  <c r="E317" i="24"/>
  <c r="CW318" i="1"/>
  <c r="E41" i="12"/>
  <c r="F41" i="12"/>
  <c r="D42" i="12"/>
  <c r="CW247" i="1"/>
  <c r="E246" i="24"/>
  <c r="CW120" i="1"/>
  <c r="E119" i="24"/>
  <c r="CW216" i="1"/>
  <c r="E215" i="24"/>
  <c r="CW261" i="1"/>
  <c r="E260" i="24"/>
  <c r="E164" i="24"/>
  <c r="CW165" i="1"/>
  <c r="CW286" i="1"/>
  <c r="E285" i="24"/>
  <c r="E394" i="24"/>
  <c r="CW395" i="1"/>
  <c r="E56" i="24"/>
  <c r="CW57" i="1"/>
  <c r="CW137" i="1"/>
  <c r="E136" i="24"/>
  <c r="CW217" i="1"/>
  <c r="E216" i="24"/>
  <c r="E73" i="24"/>
  <c r="CW74" i="1"/>
  <c r="CW242" i="1"/>
  <c r="E241" i="24"/>
  <c r="E305" i="24"/>
  <c r="CW306" i="1"/>
  <c r="E37" i="3"/>
  <c r="F37" i="3"/>
  <c r="CW172" i="1"/>
  <c r="E171" i="24"/>
  <c r="E371" i="24"/>
  <c r="CW372" i="1"/>
  <c r="CW285" i="1"/>
  <c r="E284" i="24"/>
  <c r="CW155" i="1"/>
  <c r="E154" i="24"/>
  <c r="E12" i="24"/>
  <c r="CW13" i="1"/>
  <c r="E84" i="24"/>
  <c r="CW85" i="1"/>
  <c r="CW125" i="1"/>
  <c r="E124" i="24"/>
  <c r="E180" i="24"/>
  <c r="CW181" i="1"/>
  <c r="CS414" i="1"/>
  <c r="CW78" i="1"/>
  <c r="E77" i="24"/>
  <c r="CW64" i="1"/>
  <c r="E63" i="24"/>
  <c r="CW192" i="1"/>
  <c r="E191" i="24"/>
  <c r="E319" i="24"/>
  <c r="CW320" i="1"/>
  <c r="E391" i="24"/>
  <c r="CW392" i="1"/>
  <c r="E325" i="24"/>
  <c r="CW326" i="1"/>
  <c r="CW243" i="1"/>
  <c r="E242" i="24"/>
  <c r="CW49" i="1"/>
  <c r="E48" i="24"/>
  <c r="CW193" i="1"/>
  <c r="E192" i="24"/>
  <c r="E240" i="24"/>
  <c r="CW241" i="1"/>
  <c r="CW345" i="1"/>
  <c r="E344" i="24"/>
  <c r="CW82" i="1"/>
  <c r="E81" i="24"/>
  <c r="E258" i="24"/>
  <c r="CW259" i="1"/>
  <c r="CW103" i="1"/>
  <c r="E102" i="24"/>
  <c r="CW12" i="1"/>
  <c r="E11" i="24"/>
  <c r="E123" i="24"/>
  <c r="CW124" i="1"/>
  <c r="E227" i="24"/>
  <c r="CW228" i="1"/>
  <c r="E259" i="24"/>
  <c r="CW260" i="1"/>
  <c r="E363" i="24"/>
  <c r="CW364" i="1"/>
  <c r="CV407" i="1"/>
  <c r="CS413" i="1"/>
  <c r="CT407" i="1"/>
  <c r="CS410" i="1"/>
  <c r="E113" i="24"/>
  <c r="CW114" i="1"/>
  <c r="CW330" i="1"/>
  <c r="E329" i="24"/>
  <c r="CW347" i="1"/>
  <c r="E346" i="24"/>
  <c r="E82" i="24"/>
  <c r="CW83" i="1"/>
  <c r="CW211" i="1"/>
  <c r="E210" i="24"/>
  <c r="CW387" i="1"/>
  <c r="E386" i="24"/>
  <c r="CW365" i="1"/>
  <c r="E364" i="24"/>
  <c r="CW221" i="1"/>
  <c r="E220" i="24"/>
  <c r="E352" i="24"/>
  <c r="CW353" i="1"/>
  <c r="CW182" i="1"/>
  <c r="E181" i="24"/>
  <c r="E229" i="24"/>
  <c r="CW230" i="1"/>
  <c r="E47" i="24"/>
  <c r="CW48" i="1"/>
  <c r="CW128" i="1"/>
  <c r="E127" i="24"/>
  <c r="CW176" i="1"/>
  <c r="E175" i="24"/>
  <c r="E303" i="24"/>
  <c r="CW304" i="1"/>
  <c r="CW376" i="1"/>
  <c r="E375" i="24"/>
  <c r="CW278" i="1"/>
  <c r="E277" i="24"/>
  <c r="I48" i="5"/>
  <c r="I51" i="5" s="1"/>
  <c r="F23" i="3"/>
  <c r="E23" i="3"/>
  <c r="E250" i="24"/>
  <c r="CW251" i="1"/>
  <c r="CW352" i="1"/>
  <c r="E351" i="24"/>
  <c r="CW65" i="1"/>
  <c r="E64" i="24"/>
  <c r="CW97" i="1"/>
  <c r="E96" i="24"/>
  <c r="E128" i="24"/>
  <c r="CW129" i="1"/>
  <c r="CW161" i="1"/>
  <c r="E160" i="24"/>
  <c r="E264" i="24"/>
  <c r="CW265" i="1"/>
  <c r="CW27" i="1"/>
  <c r="E26" i="24"/>
  <c r="CW215" i="1"/>
  <c r="E214" i="24"/>
  <c r="CW140" i="1"/>
  <c r="E139" i="24"/>
  <c r="E195" i="24"/>
  <c r="CW196" i="1"/>
  <c r="CW292" i="1"/>
  <c r="E291" i="24"/>
  <c r="E395" i="24"/>
  <c r="CW396" i="1"/>
  <c r="E281" i="24"/>
  <c r="CW282" i="1"/>
  <c r="CW43" i="1"/>
  <c r="E42" i="24"/>
  <c r="CW271" i="1"/>
  <c r="E270" i="24"/>
  <c r="CW229" i="1"/>
  <c r="E228" i="24"/>
  <c r="CW38" i="1"/>
  <c r="E37" i="24"/>
  <c r="CW232" i="1"/>
  <c r="E231" i="24"/>
  <c r="E311" i="24"/>
  <c r="CW312" i="1"/>
  <c r="E276" i="24"/>
  <c r="CW277" i="1"/>
  <c r="E221" i="24"/>
  <c r="CW222" i="1"/>
  <c r="E230" i="24"/>
  <c r="CW231" i="1"/>
  <c r="E72" i="24"/>
  <c r="CW73" i="1"/>
  <c r="E104" i="24"/>
  <c r="CW105" i="1"/>
  <c r="E252" i="24"/>
  <c r="CW253" i="1"/>
  <c r="CW202" i="1"/>
  <c r="E201" i="24"/>
  <c r="CW370" i="1"/>
  <c r="E369" i="24"/>
  <c r="CW35" i="1"/>
  <c r="E34" i="24"/>
  <c r="CW79" i="1"/>
  <c r="E78" i="24"/>
  <c r="CW359" i="1"/>
  <c r="E358" i="24"/>
  <c r="CW220" i="1"/>
  <c r="E219" i="24"/>
  <c r="E339" i="24"/>
  <c r="CW340" i="1"/>
  <c r="CW66" i="1"/>
  <c r="E65" i="24"/>
  <c r="E217" i="24"/>
  <c r="CW218" i="1"/>
  <c r="CW378" i="1"/>
  <c r="E377" i="24"/>
  <c r="CW171" i="1"/>
  <c r="E170" i="24"/>
  <c r="E380" i="24"/>
  <c r="CW381" i="1"/>
  <c r="E248" i="24"/>
  <c r="CW249" i="1"/>
  <c r="CW369" i="1"/>
  <c r="E368" i="24"/>
  <c r="E13" i="24"/>
  <c r="CW14" i="1"/>
  <c r="E85" i="24"/>
  <c r="CW86" i="1"/>
  <c r="E141" i="24"/>
  <c r="CW142" i="1"/>
  <c r="CW358" i="1"/>
  <c r="E357" i="24"/>
  <c r="E282" i="24"/>
  <c r="CW283" i="1"/>
  <c r="CW391" i="1"/>
  <c r="E390" i="24"/>
  <c r="CT409" i="1"/>
  <c r="E23" i="24"/>
  <c r="CW24" i="1"/>
  <c r="E103" i="24"/>
  <c r="CW104" i="1"/>
  <c r="E135" i="24"/>
  <c r="CW136" i="1"/>
  <c r="CW200" i="1"/>
  <c r="E199" i="24"/>
  <c r="E263" i="24"/>
  <c r="CW264" i="1"/>
  <c r="E52" i="24"/>
  <c r="CW53" i="1"/>
  <c r="CW305" i="1"/>
  <c r="E304" i="24"/>
  <c r="CW342" i="1"/>
  <c r="E341" i="24"/>
  <c r="E354" i="24"/>
  <c r="CW355" i="1"/>
  <c r="E30" i="24"/>
  <c r="CW31" i="1"/>
  <c r="CW169" i="1"/>
  <c r="E168" i="24"/>
  <c r="E382" i="24"/>
  <c r="CW383" i="1"/>
  <c r="E222" i="24"/>
  <c r="CW223" i="1"/>
  <c r="CW188" i="1"/>
  <c r="E187" i="24"/>
  <c r="CW268" i="1"/>
  <c r="E267" i="24"/>
  <c r="E315" i="24"/>
  <c r="CW316" i="1"/>
  <c r="E57" i="24"/>
  <c r="CW58" i="1"/>
  <c r="E169" i="24"/>
  <c r="CW170" i="1"/>
  <c r="CW290" i="1"/>
  <c r="E289" i="24"/>
  <c r="E50" i="24"/>
  <c r="CW51" i="1"/>
  <c r="E122" i="24"/>
  <c r="CW123" i="1"/>
  <c r="CW187" i="1"/>
  <c r="E186" i="24"/>
  <c r="E286" i="24"/>
  <c r="CW287" i="1"/>
  <c r="CW45" i="1"/>
  <c r="E44" i="24"/>
  <c r="CW141" i="1"/>
  <c r="E140" i="24"/>
  <c r="CW205" i="1"/>
  <c r="E204" i="24"/>
  <c r="CT408" i="1"/>
  <c r="CW255" i="1"/>
  <c r="E254" i="24"/>
  <c r="CW96" i="1"/>
  <c r="E95" i="24"/>
  <c r="E223" i="24"/>
  <c r="CW224" i="1"/>
  <c r="E397" i="24"/>
  <c r="CW398" i="1"/>
  <c r="E324" i="24"/>
  <c r="CW325" i="1"/>
  <c r="E193" i="24"/>
  <c r="CW194" i="1"/>
  <c r="CW314" i="1"/>
  <c r="E313" i="24"/>
  <c r="CR410" i="1"/>
  <c r="CW39" i="1"/>
  <c r="E38" i="24"/>
  <c r="I42" i="12"/>
  <c r="I43" i="12" s="1"/>
  <c r="CW135" i="1"/>
  <c r="E134" i="24"/>
  <c r="CW183" i="1"/>
  <c r="E182" i="24"/>
  <c r="CW44" i="1"/>
  <c r="E43" i="24"/>
  <c r="E307" i="24"/>
  <c r="CW308" i="1"/>
  <c r="CW245" i="1"/>
  <c r="E244" i="24"/>
  <c r="AH416" i="1"/>
  <c r="AI410" i="1"/>
  <c r="CW138" i="1"/>
  <c r="E137" i="24"/>
  <c r="CW402" i="1"/>
  <c r="E401" i="24"/>
  <c r="E178" i="24"/>
  <c r="CW179" i="1"/>
  <c r="CW397" i="1"/>
  <c r="E396" i="24"/>
  <c r="E384" i="24"/>
  <c r="CW385" i="1"/>
  <c r="CW110" i="1"/>
  <c r="E109" i="24"/>
  <c r="CW150" i="1"/>
  <c r="E149" i="24"/>
  <c r="CW254" i="1"/>
  <c r="E253" i="24"/>
  <c r="I23" i="3"/>
  <c r="E334" i="24"/>
  <c r="CW335" i="1"/>
  <c r="CW32" i="1"/>
  <c r="E31" i="24"/>
  <c r="CW160" i="1"/>
  <c r="E159" i="24"/>
  <c r="CW240" i="1"/>
  <c r="E239" i="24"/>
  <c r="CW288" i="1"/>
  <c r="E287" i="24"/>
  <c r="G41" i="3"/>
  <c r="G42" i="3" s="1"/>
  <c r="O9" i="3"/>
  <c r="N41" i="3"/>
  <c r="E320" i="24"/>
  <c r="CW321" i="1"/>
  <c r="E16" i="24"/>
  <c r="CW17" i="1"/>
  <c r="E41" i="24"/>
  <c r="CW42" i="1"/>
  <c r="CW234" i="1"/>
  <c r="E233" i="24"/>
  <c r="CW275" i="1"/>
  <c r="E274" i="24"/>
  <c r="CW71" i="1"/>
  <c r="E70" i="24"/>
  <c r="CW343" i="1"/>
  <c r="E342" i="24"/>
  <c r="E91" i="24"/>
  <c r="CW92" i="1"/>
  <c r="CW301" i="1"/>
  <c r="E300" i="24"/>
  <c r="CW106" i="1"/>
  <c r="E105" i="24"/>
  <c r="CW178" i="1"/>
  <c r="E177" i="24"/>
  <c r="E393" i="24"/>
  <c r="CW394" i="1"/>
  <c r="CW99" i="1"/>
  <c r="E98" i="24"/>
  <c r="CW227" i="1"/>
  <c r="E226" i="24"/>
  <c r="E20" i="24"/>
  <c r="CW21" i="1"/>
  <c r="E100" i="24"/>
  <c r="CW101" i="1"/>
  <c r="E132" i="24"/>
  <c r="CW133" i="1"/>
  <c r="E172" i="24"/>
  <c r="CW173" i="1"/>
  <c r="CW206" i="1"/>
  <c r="E205" i="24"/>
  <c r="CW302" i="1"/>
  <c r="E301" i="24"/>
  <c r="M46" i="3"/>
  <c r="CW375" i="1"/>
  <c r="E374" i="24"/>
  <c r="E55" i="24"/>
  <c r="CW56" i="1"/>
  <c r="E167" i="24"/>
  <c r="CW168" i="1"/>
  <c r="E173" i="24"/>
  <c r="CW174" i="1"/>
  <c r="CW379" i="1"/>
  <c r="E378" i="24"/>
  <c r="E40" i="24"/>
  <c r="CW41" i="1"/>
  <c r="CW201" i="1"/>
  <c r="E200" i="24"/>
  <c r="E280" i="24"/>
  <c r="CW281" i="1"/>
  <c r="CW34" i="1"/>
  <c r="E33" i="24"/>
  <c r="E353" i="24"/>
  <c r="CW354" i="1"/>
  <c r="E46" i="24"/>
  <c r="CW47" i="1"/>
  <c r="CW327" i="1"/>
  <c r="E326" i="24"/>
  <c r="E362" i="24"/>
  <c r="CW363" i="1"/>
  <c r="E218" i="24"/>
  <c r="CW219" i="1"/>
  <c r="CW213" i="1"/>
  <c r="E212" i="24"/>
  <c r="E336" i="24"/>
  <c r="CW337" i="1"/>
  <c r="E261" i="24"/>
  <c r="CW262" i="1"/>
  <c r="CW319" i="1"/>
  <c r="E318" i="24"/>
  <c r="CW296" i="1"/>
  <c r="E295" i="24"/>
  <c r="E367" i="24"/>
  <c r="CW368" i="1"/>
  <c r="E399" i="24"/>
  <c r="CW400" i="1"/>
  <c r="CW62" i="1"/>
  <c r="E61" i="24"/>
  <c r="CW246" i="1"/>
  <c r="E245" i="24"/>
  <c r="E372" i="24"/>
  <c r="CW373" i="1"/>
  <c r="CW25" i="1"/>
  <c r="E24" i="24"/>
  <c r="CW153" i="1"/>
  <c r="E152" i="24"/>
  <c r="CW291" i="1"/>
  <c r="E290" i="24"/>
  <c r="K403" i="24"/>
  <c r="J403" i="24"/>
  <c r="CW19" i="1"/>
  <c r="E18" i="24"/>
  <c r="CW95" i="1"/>
  <c r="E94" i="24"/>
  <c r="CW143" i="1"/>
  <c r="E142" i="24"/>
  <c r="E190" i="24"/>
  <c r="CW191" i="1"/>
  <c r="CW156" i="1"/>
  <c r="E155" i="24"/>
  <c r="CW236" i="1"/>
  <c r="E235" i="24"/>
  <c r="E387" i="24"/>
  <c r="CW388" i="1"/>
  <c r="E89" i="24"/>
  <c r="CW90" i="1"/>
  <c r="E273" i="24"/>
  <c r="CW274" i="1"/>
  <c r="E108" i="24"/>
  <c r="CW109" i="1"/>
  <c r="E309" i="24"/>
  <c r="CW310" i="1"/>
  <c r="CW75" i="1"/>
  <c r="E74" i="24"/>
  <c r="CW80" i="1"/>
  <c r="E79" i="24"/>
  <c r="CW144" i="1"/>
  <c r="E143" i="24"/>
  <c r="CW293" i="1"/>
  <c r="E292" i="24"/>
  <c r="CW166" i="1"/>
  <c r="E165" i="24"/>
  <c r="E370" i="24"/>
  <c r="CW371" i="1"/>
  <c r="E262" i="24"/>
  <c r="CW263" i="1"/>
  <c r="E388" i="24"/>
  <c r="CW389" i="1"/>
  <c r="E176" i="24"/>
  <c r="CW177" i="1"/>
  <c r="CW209" i="1"/>
  <c r="E208" i="24"/>
  <c r="CW377" i="1"/>
  <c r="E376" i="24"/>
  <c r="CW154" i="1"/>
  <c r="E153" i="24"/>
  <c r="E361" i="24"/>
  <c r="CW362" i="1"/>
  <c r="D8" i="24"/>
  <c r="D403" i="24" s="1"/>
  <c r="CU409" i="1"/>
  <c r="CU404" i="1"/>
  <c r="E118" i="24"/>
  <c r="CW119" i="1"/>
  <c r="E198" i="24"/>
  <c r="CW199" i="1"/>
  <c r="CW28" i="1"/>
  <c r="E27" i="24"/>
  <c r="E59" i="24"/>
  <c r="CW60" i="1"/>
  <c r="CW180" i="1"/>
  <c r="E179" i="24"/>
  <c r="CW276" i="1"/>
  <c r="E275" i="24"/>
  <c r="CW348" i="1"/>
  <c r="E347" i="24"/>
  <c r="E379" i="24"/>
  <c r="CW380" i="1"/>
  <c r="CW317" i="1"/>
  <c r="E316" i="24"/>
  <c r="E25" i="24"/>
  <c r="CW26" i="1"/>
  <c r="E225" i="24"/>
  <c r="CW226" i="1"/>
  <c r="E345" i="24"/>
  <c r="CW346" i="1"/>
  <c r="E58" i="24"/>
  <c r="CW59" i="1"/>
  <c r="E302" i="24"/>
  <c r="CW303" i="1"/>
  <c r="CW333" i="1"/>
  <c r="E332" i="24"/>
  <c r="E28" i="24"/>
  <c r="CW29" i="1"/>
  <c r="CW157" i="1"/>
  <c r="E156" i="24"/>
  <c r="E236" i="24"/>
  <c r="CW237" i="1"/>
  <c r="CW289" i="1"/>
  <c r="E288" i="24"/>
  <c r="E197" i="24"/>
  <c r="CW198" i="1"/>
  <c r="CW350" i="1"/>
  <c r="E349" i="24"/>
  <c r="E381" i="24"/>
  <c r="CW382" i="1"/>
  <c r="BS410" i="1"/>
  <c r="CW112" i="1"/>
  <c r="E111" i="24"/>
  <c r="E335" i="24"/>
  <c r="CW336" i="1"/>
  <c r="CW309" i="1"/>
  <c r="E308" i="24"/>
  <c r="CW94" i="1"/>
  <c r="E93" i="24"/>
  <c r="C43" i="3"/>
  <c r="C44" i="3" s="1"/>
  <c r="C68" i="3"/>
  <c r="D410" i="24"/>
  <c r="C47" i="3"/>
  <c r="C70" i="3"/>
  <c r="E22" i="24"/>
  <c r="CW23" i="1"/>
  <c r="E32" i="24"/>
  <c r="CW33" i="1"/>
  <c r="E80" i="24"/>
  <c r="CW81" i="1"/>
  <c r="CW113" i="1"/>
  <c r="E112" i="24"/>
  <c r="CW145" i="1"/>
  <c r="E144" i="24"/>
  <c r="E224" i="24"/>
  <c r="CW225" i="1"/>
  <c r="E121" i="24"/>
  <c r="CW122" i="1"/>
  <c r="E257" i="24"/>
  <c r="CW258" i="1"/>
  <c r="J46" i="3"/>
  <c r="CP416" i="1"/>
  <c r="CQ410" i="1"/>
  <c r="CW11" i="1"/>
  <c r="E10" i="24"/>
  <c r="CW55" i="1"/>
  <c r="E54" i="24"/>
  <c r="CW295" i="1"/>
  <c r="E294" i="24"/>
  <c r="CW76" i="1"/>
  <c r="E75" i="24"/>
  <c r="E163" i="24"/>
  <c r="CW164" i="1"/>
  <c r="CW212" i="1"/>
  <c r="E211" i="24"/>
  <c r="CW269" i="1"/>
  <c r="E268" i="24"/>
  <c r="CW9" i="1"/>
  <c r="E8" i="24"/>
  <c r="CV404" i="1"/>
  <c r="CV409" i="1"/>
  <c r="E321" i="24"/>
  <c r="CW322" i="1"/>
  <c r="E130" i="24"/>
  <c r="CW131" i="1"/>
  <c r="E162" i="24"/>
  <c r="CW163" i="1"/>
  <c r="CW403" i="1"/>
  <c r="E402" i="24"/>
  <c r="CW349" i="1"/>
  <c r="E348" i="24"/>
  <c r="F9" i="3"/>
  <c r="E9" i="3"/>
  <c r="D41" i="3"/>
  <c r="CW117" i="1"/>
  <c r="E116" i="24"/>
  <c r="E196" i="24"/>
  <c r="CW197" i="1"/>
  <c r="E272" i="24"/>
  <c r="CW273" i="1"/>
  <c r="E87" i="24"/>
  <c r="CW88" i="1"/>
  <c r="CW184" i="1"/>
  <c r="E183" i="24"/>
  <c r="E247" i="24"/>
  <c r="CW248" i="1"/>
  <c r="E92" i="24"/>
  <c r="CW93" i="1"/>
  <c r="E53" i="24"/>
  <c r="CW54" i="1"/>
  <c r="CW294" i="1"/>
  <c r="E293" i="24"/>
  <c r="CW89" i="1"/>
  <c r="E88" i="24"/>
  <c r="E360" i="24"/>
  <c r="CW361" i="1"/>
  <c r="CW186" i="1"/>
  <c r="E185" i="24"/>
  <c r="E306" i="24"/>
  <c r="CW307" i="1"/>
  <c r="E110" i="24"/>
  <c r="CW111" i="1"/>
  <c r="CW20" i="1"/>
  <c r="E19" i="24"/>
  <c r="E51" i="24"/>
  <c r="CW52" i="1"/>
  <c r="E83" i="24"/>
  <c r="CW84" i="1"/>
  <c r="CW132" i="1"/>
  <c r="E131" i="24"/>
  <c r="E283" i="24"/>
  <c r="CW284" i="1"/>
  <c r="CW356" i="1"/>
  <c r="E355" i="24"/>
  <c r="H41" i="3"/>
  <c r="I9" i="3"/>
  <c r="E49" i="24"/>
  <c r="CW50" i="1"/>
  <c r="CW250" i="1"/>
  <c r="E249" i="24"/>
  <c r="CW67" i="1"/>
  <c r="E66" i="24"/>
  <c r="CW139" i="1"/>
  <c r="E138" i="24"/>
  <c r="CW148" i="1"/>
  <c r="E147" i="24"/>
  <c r="E60" i="24"/>
  <c r="CW61" i="1"/>
  <c r="E400" i="24"/>
  <c r="CW401" i="1"/>
  <c r="CW190" i="1"/>
  <c r="E189" i="24"/>
  <c r="E238" i="24"/>
  <c r="CW239" i="1"/>
  <c r="CW315" i="1"/>
  <c r="E314" i="24"/>
  <c r="E350" i="24"/>
  <c r="CW351" i="1"/>
  <c r="E71" i="24"/>
  <c r="CW72" i="1"/>
  <c r="CW152" i="1"/>
  <c r="E151" i="24"/>
  <c r="E279" i="24"/>
  <c r="CW280" i="1"/>
  <c r="CW344" i="1"/>
  <c r="E343" i="24"/>
  <c r="E383" i="24"/>
  <c r="CW384" i="1"/>
  <c r="E21" i="24"/>
  <c r="CW22" i="1"/>
  <c r="CW214" i="1"/>
  <c r="E213" i="24"/>
  <c r="E322" i="24"/>
  <c r="CW323" i="1"/>
  <c r="CW311" i="1"/>
  <c r="E310" i="24"/>
  <c r="CW121" i="1"/>
  <c r="E120" i="24"/>
  <c r="CW185" i="1"/>
  <c r="E184" i="24"/>
  <c r="E232" i="24"/>
  <c r="CW233" i="1"/>
  <c r="CW146" i="1"/>
  <c r="E145" i="24"/>
  <c r="CW266" i="1"/>
  <c r="E265" i="24"/>
  <c r="E62" i="24"/>
  <c r="CW63" i="1"/>
  <c r="E126" i="24"/>
  <c r="CW127" i="1"/>
  <c r="E158" i="24"/>
  <c r="CW159" i="1"/>
  <c r="CW207" i="1"/>
  <c r="E206" i="24"/>
  <c r="CW100" i="1"/>
  <c r="E99" i="24"/>
  <c r="CW204" i="1"/>
  <c r="E203" i="24"/>
  <c r="CW252" i="1"/>
  <c r="E251" i="24"/>
  <c r="E299" i="24"/>
  <c r="CW300" i="1"/>
  <c r="E90" i="24"/>
  <c r="CW91" i="1"/>
  <c r="E202" i="24"/>
  <c r="CW203" i="1"/>
  <c r="E331" i="24"/>
  <c r="CW332" i="1"/>
  <c r="E9" i="24"/>
  <c r="CW10" i="1"/>
  <c r="CV408" i="1"/>
  <c r="CW30" i="1"/>
  <c r="E29" i="24"/>
  <c r="CW367" i="1"/>
  <c r="E366" i="24"/>
  <c r="CW208" i="1"/>
  <c r="E207" i="24"/>
  <c r="CW272" i="1"/>
  <c r="E271" i="24"/>
  <c r="CW360" i="1"/>
  <c r="E359" i="24"/>
  <c r="CW102" i="1"/>
  <c r="E101" i="24"/>
  <c r="E338" i="24"/>
  <c r="CW339" i="1"/>
  <c r="E14" i="24"/>
  <c r="CW15" i="1"/>
  <c r="CW297" i="1"/>
  <c r="E296" i="24"/>
  <c r="E297" i="24"/>
  <c r="CW298" i="1"/>
  <c r="E86" i="24"/>
  <c r="CW87" i="1"/>
  <c r="CW167" i="1"/>
  <c r="E166" i="24"/>
  <c r="E243" i="24"/>
  <c r="CW244" i="1"/>
  <c r="E209" i="24"/>
  <c r="CW210" i="1"/>
  <c r="CW386" i="1"/>
  <c r="E385" i="24"/>
  <c r="CW69" i="1"/>
  <c r="E68" i="24"/>
  <c r="CW257" i="1"/>
  <c r="E256" i="24"/>
  <c r="CW46" i="1"/>
  <c r="E45" i="24"/>
  <c r="E125" i="24"/>
  <c r="CW126" i="1"/>
  <c r="E269" i="24"/>
  <c r="CW270" i="1"/>
  <c r="CW366" i="1"/>
  <c r="E365" i="24"/>
  <c r="CW299" i="1"/>
  <c r="E298" i="24"/>
  <c r="E15" i="24"/>
  <c r="CW16" i="1"/>
  <c r="E255" i="24"/>
  <c r="CW256" i="1"/>
  <c r="E188" i="24"/>
  <c r="CW189" i="1"/>
  <c r="CW334" i="1"/>
  <c r="E333" i="24"/>
  <c r="E278" i="24"/>
  <c r="CW279" i="1"/>
  <c r="E356" i="24"/>
  <c r="CW357" i="1"/>
  <c r="E17" i="24"/>
  <c r="CW18" i="1"/>
  <c r="F17" i="24" l="1"/>
  <c r="G17" i="24"/>
  <c r="F278" i="24"/>
  <c r="G278" i="24"/>
  <c r="G188" i="24"/>
  <c r="F188" i="24"/>
  <c r="G15" i="24"/>
  <c r="F15" i="24"/>
  <c r="F125" i="24"/>
  <c r="G125" i="24"/>
  <c r="G243" i="24"/>
  <c r="F243" i="24"/>
  <c r="G86" i="24"/>
  <c r="F86" i="24"/>
  <c r="F338" i="24"/>
  <c r="G338" i="24"/>
  <c r="F251" i="24"/>
  <c r="G251" i="24"/>
  <c r="G99" i="24"/>
  <c r="F99" i="24"/>
  <c r="G145" i="24"/>
  <c r="F145" i="24"/>
  <c r="F184" i="24"/>
  <c r="G184" i="24"/>
  <c r="G310" i="24"/>
  <c r="F310" i="24"/>
  <c r="F213" i="24"/>
  <c r="G213" i="24"/>
  <c r="F314" i="24"/>
  <c r="G314" i="24"/>
  <c r="F189" i="24"/>
  <c r="G189" i="24"/>
  <c r="F138" i="24"/>
  <c r="G138" i="24"/>
  <c r="F249" i="24"/>
  <c r="G249" i="24"/>
  <c r="G19" i="24"/>
  <c r="F19" i="24"/>
  <c r="G293" i="24"/>
  <c r="F293" i="24"/>
  <c r="F183" i="24"/>
  <c r="G183" i="24"/>
  <c r="F116" i="24"/>
  <c r="G116" i="24"/>
  <c r="G130" i="24"/>
  <c r="F130" i="24"/>
  <c r="D58" i="3"/>
  <c r="CV423" i="1"/>
  <c r="CW404" i="1"/>
  <c r="G163" i="24"/>
  <c r="F163" i="24"/>
  <c r="F121" i="24"/>
  <c r="G121" i="24"/>
  <c r="G80" i="24"/>
  <c r="F80" i="24"/>
  <c r="F22" i="24"/>
  <c r="G22" i="24"/>
  <c r="G308" i="24"/>
  <c r="F308" i="24"/>
  <c r="F111" i="24"/>
  <c r="G111" i="24"/>
  <c r="G381" i="24"/>
  <c r="F381" i="24"/>
  <c r="G197" i="24"/>
  <c r="F197" i="24"/>
  <c r="F236" i="24"/>
  <c r="G236" i="24"/>
  <c r="F28" i="24"/>
  <c r="G28" i="24"/>
  <c r="F302" i="24"/>
  <c r="G302" i="24"/>
  <c r="G345" i="24"/>
  <c r="F345" i="24"/>
  <c r="F25" i="24"/>
  <c r="G25" i="24"/>
  <c r="G379" i="24"/>
  <c r="F379" i="24"/>
  <c r="F59" i="24"/>
  <c r="G59" i="24"/>
  <c r="F198" i="24"/>
  <c r="G198" i="24"/>
  <c r="M61" i="3"/>
  <c r="F153" i="24"/>
  <c r="G153" i="24"/>
  <c r="G208" i="24"/>
  <c r="F208" i="24"/>
  <c r="F292" i="24"/>
  <c r="G292" i="24"/>
  <c r="F79" i="24"/>
  <c r="G79" i="24"/>
  <c r="F155" i="24"/>
  <c r="G155" i="24"/>
  <c r="G142" i="24"/>
  <c r="F142" i="24"/>
  <c r="G18" i="24"/>
  <c r="F18" i="24"/>
  <c r="F290" i="24"/>
  <c r="G290" i="24"/>
  <c r="G24" i="24"/>
  <c r="F24" i="24"/>
  <c r="F245" i="24"/>
  <c r="G245" i="24"/>
  <c r="F295" i="24"/>
  <c r="G295" i="24"/>
  <c r="G212" i="24"/>
  <c r="F212" i="24"/>
  <c r="F33" i="24"/>
  <c r="G33" i="24"/>
  <c r="F200" i="24"/>
  <c r="G200" i="24"/>
  <c r="G378" i="24"/>
  <c r="F378" i="24"/>
  <c r="G374" i="24"/>
  <c r="F374" i="24"/>
  <c r="F301" i="24"/>
  <c r="G301" i="24"/>
  <c r="G226" i="24"/>
  <c r="F226" i="24"/>
  <c r="G105" i="24"/>
  <c r="F105" i="24"/>
  <c r="G70" i="24"/>
  <c r="F70" i="24"/>
  <c r="G41" i="24"/>
  <c r="F41" i="24"/>
  <c r="G320" i="24"/>
  <c r="F320" i="24"/>
  <c r="F287" i="24"/>
  <c r="G287" i="24"/>
  <c r="F159" i="24"/>
  <c r="G159" i="24"/>
  <c r="F307" i="24"/>
  <c r="G307" i="24"/>
  <c r="G38" i="24"/>
  <c r="F38" i="24"/>
  <c r="F324" i="24"/>
  <c r="G324" i="24"/>
  <c r="G223" i="24"/>
  <c r="F223" i="24"/>
  <c r="F140" i="24"/>
  <c r="G140" i="24"/>
  <c r="F289" i="24"/>
  <c r="G289" i="24"/>
  <c r="F267" i="24"/>
  <c r="G267" i="24"/>
  <c r="G168" i="24"/>
  <c r="F168" i="24"/>
  <c r="G304" i="24"/>
  <c r="F304" i="24"/>
  <c r="G85" i="24"/>
  <c r="F85" i="24"/>
  <c r="F380" i="24"/>
  <c r="G380" i="24"/>
  <c r="F252" i="24"/>
  <c r="G252" i="24"/>
  <c r="G72" i="24"/>
  <c r="F72" i="24"/>
  <c r="F221" i="24"/>
  <c r="G221" i="24"/>
  <c r="F311" i="24"/>
  <c r="G311" i="24"/>
  <c r="G281" i="24"/>
  <c r="F281" i="24"/>
  <c r="G303" i="24"/>
  <c r="F303" i="24"/>
  <c r="G229" i="24"/>
  <c r="F229" i="24"/>
  <c r="F352" i="24"/>
  <c r="G352" i="24"/>
  <c r="G113" i="24"/>
  <c r="F113" i="24"/>
  <c r="CW407" i="1"/>
  <c r="CV413" i="1"/>
  <c r="H61" i="3"/>
  <c r="CV410" i="1"/>
  <c r="F259" i="24"/>
  <c r="G259" i="24"/>
  <c r="F123" i="24"/>
  <c r="G123" i="24"/>
  <c r="G240" i="24"/>
  <c r="F240" i="24"/>
  <c r="F325" i="24"/>
  <c r="G325" i="24"/>
  <c r="F319" i="24"/>
  <c r="G319" i="24"/>
  <c r="G154" i="24"/>
  <c r="F154" i="24"/>
  <c r="F241" i="24"/>
  <c r="G241" i="24"/>
  <c r="F216" i="24"/>
  <c r="G216" i="24"/>
  <c r="G285" i="24"/>
  <c r="F285" i="24"/>
  <c r="F260" i="24"/>
  <c r="G260" i="24"/>
  <c r="F119" i="24"/>
  <c r="G119" i="24"/>
  <c r="F42" i="12"/>
  <c r="E42" i="12"/>
  <c r="D43" i="12"/>
  <c r="E43" i="12" s="1"/>
  <c r="G317" i="24"/>
  <c r="F317" i="24"/>
  <c r="F234" i="24"/>
  <c r="G234" i="24"/>
  <c r="G330" i="24"/>
  <c r="F330" i="24"/>
  <c r="F35" i="24"/>
  <c r="G35" i="24"/>
  <c r="F398" i="24"/>
  <c r="G398" i="24"/>
  <c r="F392" i="24"/>
  <c r="G392" i="24"/>
  <c r="G340" i="24"/>
  <c r="F340" i="24"/>
  <c r="G266" i="24"/>
  <c r="F266" i="24"/>
  <c r="F148" i="24"/>
  <c r="G148" i="24"/>
  <c r="G146" i="24"/>
  <c r="F146" i="24"/>
  <c r="G337" i="24"/>
  <c r="F337" i="24"/>
  <c r="F333" i="24"/>
  <c r="G333" i="24"/>
  <c r="G298" i="24"/>
  <c r="F298" i="24"/>
  <c r="F45" i="24"/>
  <c r="G45" i="24"/>
  <c r="F68" i="24"/>
  <c r="G68" i="24"/>
  <c r="G166" i="24"/>
  <c r="F166" i="24"/>
  <c r="F101" i="24"/>
  <c r="G101" i="24"/>
  <c r="F271" i="24"/>
  <c r="G271" i="24"/>
  <c r="F366" i="24"/>
  <c r="G366" i="24"/>
  <c r="K61" i="3"/>
  <c r="CV414" i="1"/>
  <c r="G331" i="24"/>
  <c r="F331" i="24"/>
  <c r="G90" i="24"/>
  <c r="F90" i="24"/>
  <c r="F158" i="24"/>
  <c r="G158" i="24"/>
  <c r="F62" i="24"/>
  <c r="G62" i="24"/>
  <c r="F383" i="24"/>
  <c r="G383" i="24"/>
  <c r="F279" i="24"/>
  <c r="G279" i="24"/>
  <c r="F71" i="24"/>
  <c r="G71" i="24"/>
  <c r="F60" i="24"/>
  <c r="G60" i="24"/>
  <c r="I41" i="3"/>
  <c r="H42" i="3"/>
  <c r="G283" i="24"/>
  <c r="F283" i="24"/>
  <c r="F83" i="24"/>
  <c r="G83" i="24"/>
  <c r="G306" i="24"/>
  <c r="F306" i="24"/>
  <c r="G360" i="24"/>
  <c r="F360" i="24"/>
  <c r="G92" i="24"/>
  <c r="F92" i="24"/>
  <c r="F272" i="24"/>
  <c r="G272" i="24"/>
  <c r="G348" i="24"/>
  <c r="F348" i="24"/>
  <c r="G8" i="24"/>
  <c r="F8" i="24"/>
  <c r="E403" i="24"/>
  <c r="F211" i="24"/>
  <c r="G211" i="24"/>
  <c r="G75" i="24"/>
  <c r="F75" i="24"/>
  <c r="G54" i="24"/>
  <c r="F54" i="24"/>
  <c r="F112" i="24"/>
  <c r="G112" i="24"/>
  <c r="C46" i="3"/>
  <c r="F349" i="24"/>
  <c r="G349" i="24"/>
  <c r="G288" i="24"/>
  <c r="F288" i="24"/>
  <c r="F156" i="24"/>
  <c r="G156" i="24"/>
  <c r="G332" i="24"/>
  <c r="F332" i="24"/>
  <c r="F316" i="24"/>
  <c r="G316" i="24"/>
  <c r="G347" i="24"/>
  <c r="F347" i="24"/>
  <c r="G179" i="24"/>
  <c r="F179" i="24"/>
  <c r="G27" i="24"/>
  <c r="F27" i="24"/>
  <c r="F388" i="24"/>
  <c r="G388" i="24"/>
  <c r="F370" i="24"/>
  <c r="G370" i="24"/>
  <c r="G309" i="24"/>
  <c r="F309" i="24"/>
  <c r="G273" i="24"/>
  <c r="F273" i="24"/>
  <c r="F387" i="24"/>
  <c r="G387" i="24"/>
  <c r="G399" i="24"/>
  <c r="F399" i="24"/>
  <c r="F261" i="24"/>
  <c r="G261" i="24"/>
  <c r="F362" i="24"/>
  <c r="G362" i="24"/>
  <c r="F46" i="24"/>
  <c r="G46" i="24"/>
  <c r="F167" i="24"/>
  <c r="G167" i="24"/>
  <c r="G172" i="24"/>
  <c r="F172" i="24"/>
  <c r="G100" i="24"/>
  <c r="F100" i="24"/>
  <c r="G393" i="24"/>
  <c r="F393" i="24"/>
  <c r="F91" i="24"/>
  <c r="G91" i="24"/>
  <c r="F233" i="24"/>
  <c r="G233" i="24"/>
  <c r="N42" i="3"/>
  <c r="O41" i="3"/>
  <c r="F334" i="24"/>
  <c r="G334" i="24"/>
  <c r="G149" i="24"/>
  <c r="F149" i="24"/>
  <c r="F137" i="24"/>
  <c r="G137" i="24"/>
  <c r="F244" i="24"/>
  <c r="G244" i="24"/>
  <c r="F43" i="24"/>
  <c r="G43" i="24"/>
  <c r="F134" i="24"/>
  <c r="G134" i="24"/>
  <c r="F95" i="24"/>
  <c r="G95" i="24"/>
  <c r="G286" i="24"/>
  <c r="F286" i="24"/>
  <c r="F122" i="24"/>
  <c r="G122" i="24"/>
  <c r="F57" i="24"/>
  <c r="G57" i="24"/>
  <c r="G222" i="24"/>
  <c r="F222" i="24"/>
  <c r="F354" i="24"/>
  <c r="G354" i="24"/>
  <c r="G263" i="24"/>
  <c r="F263" i="24"/>
  <c r="F135" i="24"/>
  <c r="G135" i="24"/>
  <c r="G23" i="24"/>
  <c r="F23" i="24"/>
  <c r="G170" i="24"/>
  <c r="F170" i="24"/>
  <c r="G358" i="24"/>
  <c r="F358" i="24"/>
  <c r="G34" i="24"/>
  <c r="F34" i="24"/>
  <c r="G201" i="24"/>
  <c r="F201" i="24"/>
  <c r="F231" i="24"/>
  <c r="G231" i="24"/>
  <c r="G228" i="24"/>
  <c r="F228" i="24"/>
  <c r="F42" i="24"/>
  <c r="G42" i="24"/>
  <c r="F214" i="24"/>
  <c r="G214" i="24"/>
  <c r="F64" i="24"/>
  <c r="G64" i="24"/>
  <c r="I50" i="5"/>
  <c r="G375" i="24"/>
  <c r="F375" i="24"/>
  <c r="F175" i="24"/>
  <c r="G175" i="24"/>
  <c r="F181" i="24"/>
  <c r="G181" i="24"/>
  <c r="F220" i="24"/>
  <c r="G220" i="24"/>
  <c r="G386" i="24"/>
  <c r="F386" i="24"/>
  <c r="F329" i="24"/>
  <c r="G329" i="24"/>
  <c r="CS416" i="1"/>
  <c r="CT410" i="1"/>
  <c r="F11" i="24"/>
  <c r="G11" i="24"/>
  <c r="G344" i="24"/>
  <c r="F344" i="24"/>
  <c r="G192" i="24"/>
  <c r="F192" i="24"/>
  <c r="F242" i="24"/>
  <c r="G242" i="24"/>
  <c r="G191" i="24"/>
  <c r="F191" i="24"/>
  <c r="G77" i="24"/>
  <c r="F77" i="24"/>
  <c r="F180" i="24"/>
  <c r="G180" i="24"/>
  <c r="F84" i="24"/>
  <c r="G84" i="24"/>
  <c r="G371" i="24"/>
  <c r="F371" i="24"/>
  <c r="G56" i="24"/>
  <c r="F56" i="24"/>
  <c r="F76" i="24"/>
  <c r="G76" i="24"/>
  <c r="G129" i="24"/>
  <c r="F129" i="24"/>
  <c r="G67" i="24"/>
  <c r="F67" i="24"/>
  <c r="G389" i="24"/>
  <c r="F389" i="24"/>
  <c r="F157" i="24"/>
  <c r="G157" i="24"/>
  <c r="G114" i="24"/>
  <c r="F114" i="24"/>
  <c r="G150" i="24"/>
  <c r="F150" i="24"/>
  <c r="G356" i="24"/>
  <c r="F356" i="24"/>
  <c r="F255" i="24"/>
  <c r="G255" i="24"/>
  <c r="F269" i="24"/>
  <c r="G269" i="24"/>
  <c r="G209" i="24"/>
  <c r="F209" i="24"/>
  <c r="G297" i="24"/>
  <c r="F297" i="24"/>
  <c r="F14" i="24"/>
  <c r="G14" i="24"/>
  <c r="CW408" i="1"/>
  <c r="G203" i="24"/>
  <c r="F203" i="24"/>
  <c r="F206" i="24"/>
  <c r="G206" i="24"/>
  <c r="G265" i="24"/>
  <c r="F265" i="24"/>
  <c r="F120" i="24"/>
  <c r="G120" i="24"/>
  <c r="F343" i="24"/>
  <c r="G343" i="24"/>
  <c r="G151" i="24"/>
  <c r="F151" i="24"/>
  <c r="G147" i="24"/>
  <c r="F147" i="24"/>
  <c r="G66" i="24"/>
  <c r="F66" i="24"/>
  <c r="G355" i="24"/>
  <c r="F355" i="24"/>
  <c r="F131" i="24"/>
  <c r="G131" i="24"/>
  <c r="F185" i="24"/>
  <c r="G185" i="24"/>
  <c r="F88" i="24"/>
  <c r="G88" i="24"/>
  <c r="D42" i="3"/>
  <c r="D43" i="3" s="1"/>
  <c r="E41" i="3"/>
  <c r="F41" i="3"/>
  <c r="J46" i="5"/>
  <c r="J53" i="5"/>
  <c r="F162" i="24"/>
  <c r="G162" i="24"/>
  <c r="F321" i="24"/>
  <c r="G321" i="24"/>
  <c r="F257" i="24"/>
  <c r="G257" i="24"/>
  <c r="F224" i="24"/>
  <c r="G224" i="24"/>
  <c r="G32" i="24"/>
  <c r="F32" i="24"/>
  <c r="G93" i="24"/>
  <c r="F93" i="24"/>
  <c r="F58" i="24"/>
  <c r="G58" i="24"/>
  <c r="G225" i="24"/>
  <c r="F225" i="24"/>
  <c r="F118" i="24"/>
  <c r="G118" i="24"/>
  <c r="F376" i="24"/>
  <c r="G376" i="24"/>
  <c r="F165" i="24"/>
  <c r="G165" i="24"/>
  <c r="F143" i="24"/>
  <c r="G143" i="24"/>
  <c r="F74" i="24"/>
  <c r="G74" i="24"/>
  <c r="G235" i="24"/>
  <c r="F235" i="24"/>
  <c r="G94" i="24"/>
  <c r="F94" i="24"/>
  <c r="G152" i="24"/>
  <c r="F152" i="24"/>
  <c r="F61" i="24"/>
  <c r="G61" i="24"/>
  <c r="G318" i="24"/>
  <c r="F318" i="24"/>
  <c r="F326" i="24"/>
  <c r="G326" i="24"/>
  <c r="F205" i="24"/>
  <c r="G205" i="24"/>
  <c r="F98" i="24"/>
  <c r="G98" i="24"/>
  <c r="F177" i="24"/>
  <c r="G177" i="24"/>
  <c r="F300" i="24"/>
  <c r="G300" i="24"/>
  <c r="F342" i="24"/>
  <c r="G342" i="24"/>
  <c r="F16" i="24"/>
  <c r="G16" i="24"/>
  <c r="G239" i="24"/>
  <c r="F239" i="24"/>
  <c r="G31" i="24"/>
  <c r="F31" i="24"/>
  <c r="G384" i="24"/>
  <c r="F384" i="24"/>
  <c r="F178" i="24"/>
  <c r="G178" i="24"/>
  <c r="G193" i="24"/>
  <c r="F193" i="24"/>
  <c r="F397" i="24"/>
  <c r="G397" i="24"/>
  <c r="F204" i="24"/>
  <c r="G204" i="24"/>
  <c r="G44" i="24"/>
  <c r="F44" i="24"/>
  <c r="G186" i="24"/>
  <c r="F186" i="24"/>
  <c r="G187" i="24"/>
  <c r="F187" i="24"/>
  <c r="F341" i="24"/>
  <c r="G341" i="24"/>
  <c r="F199" i="24"/>
  <c r="G199" i="24"/>
  <c r="F282" i="24"/>
  <c r="G282" i="24"/>
  <c r="F141" i="24"/>
  <c r="G141" i="24"/>
  <c r="F13" i="24"/>
  <c r="G13" i="24"/>
  <c r="G248" i="24"/>
  <c r="F248" i="24"/>
  <c r="F217" i="24"/>
  <c r="G217" i="24"/>
  <c r="F339" i="24"/>
  <c r="G339" i="24"/>
  <c r="F104" i="24"/>
  <c r="G104" i="24"/>
  <c r="F230" i="24"/>
  <c r="G230" i="24"/>
  <c r="F276" i="24"/>
  <c r="G276" i="24"/>
  <c r="F395" i="24"/>
  <c r="G395" i="24"/>
  <c r="F195" i="24"/>
  <c r="G195" i="24"/>
  <c r="G264" i="24"/>
  <c r="F264" i="24"/>
  <c r="G128" i="24"/>
  <c r="F128" i="24"/>
  <c r="F250" i="24"/>
  <c r="G250" i="24"/>
  <c r="G47" i="24"/>
  <c r="F47" i="24"/>
  <c r="G82" i="24"/>
  <c r="F82" i="24"/>
  <c r="G363" i="24"/>
  <c r="F363" i="24"/>
  <c r="F227" i="24"/>
  <c r="G227" i="24"/>
  <c r="F258" i="24"/>
  <c r="G258" i="24"/>
  <c r="G391" i="24"/>
  <c r="F391" i="24"/>
  <c r="F124" i="24"/>
  <c r="G124" i="24"/>
  <c r="F284" i="24"/>
  <c r="G284" i="24"/>
  <c r="F171" i="24"/>
  <c r="G171" i="24"/>
  <c r="G136" i="24"/>
  <c r="F136" i="24"/>
  <c r="G215" i="24"/>
  <c r="F215" i="24"/>
  <c r="F246" i="24"/>
  <c r="G246" i="24"/>
  <c r="F117" i="24"/>
  <c r="G117" i="24"/>
  <c r="G106" i="24"/>
  <c r="F106" i="24"/>
  <c r="G174" i="24"/>
  <c r="F174" i="24"/>
  <c r="G97" i="24"/>
  <c r="F97" i="24"/>
  <c r="G328" i="24"/>
  <c r="F328" i="24"/>
  <c r="L41" i="3"/>
  <c r="K42" i="3"/>
  <c r="F39" i="24"/>
  <c r="G39" i="24"/>
  <c r="G373" i="24"/>
  <c r="F373" i="24"/>
  <c r="G36" i="24"/>
  <c r="F36" i="24"/>
  <c r="G194" i="24"/>
  <c r="F194" i="24"/>
  <c r="F161" i="24"/>
  <c r="G161" i="24"/>
  <c r="G323" i="24"/>
  <c r="F323" i="24"/>
  <c r="F365" i="24"/>
  <c r="G365" i="24"/>
  <c r="G256" i="24"/>
  <c r="F256" i="24"/>
  <c r="F385" i="24"/>
  <c r="G385" i="24"/>
  <c r="F296" i="24"/>
  <c r="G296" i="24"/>
  <c r="F359" i="24"/>
  <c r="G359" i="24"/>
  <c r="F207" i="24"/>
  <c r="G207" i="24"/>
  <c r="F29" i="24"/>
  <c r="G29" i="24"/>
  <c r="F9" i="24"/>
  <c r="G9" i="24"/>
  <c r="G202" i="24"/>
  <c r="F202" i="24"/>
  <c r="F299" i="24"/>
  <c r="G299" i="24"/>
  <c r="G126" i="24"/>
  <c r="F126" i="24"/>
  <c r="F232" i="24"/>
  <c r="G232" i="24"/>
  <c r="G322" i="24"/>
  <c r="F322" i="24"/>
  <c r="G21" i="24"/>
  <c r="F21" i="24"/>
  <c r="G350" i="24"/>
  <c r="F350" i="24"/>
  <c r="G238" i="24"/>
  <c r="F238" i="24"/>
  <c r="G400" i="24"/>
  <c r="F400" i="24"/>
  <c r="G49" i="24"/>
  <c r="F49" i="24"/>
  <c r="F51" i="24"/>
  <c r="G51" i="24"/>
  <c r="F110" i="24"/>
  <c r="G110" i="24"/>
  <c r="G53" i="24"/>
  <c r="F53" i="24"/>
  <c r="G247" i="24"/>
  <c r="F247" i="24"/>
  <c r="F87" i="24"/>
  <c r="G87" i="24"/>
  <c r="G196" i="24"/>
  <c r="F196" i="24"/>
  <c r="F402" i="24"/>
  <c r="G402" i="24"/>
  <c r="CV415" i="1"/>
  <c r="N61" i="3"/>
  <c r="F268" i="24"/>
  <c r="G268" i="24"/>
  <c r="F294" i="24"/>
  <c r="G294" i="24"/>
  <c r="G10" i="24"/>
  <c r="F10" i="24"/>
  <c r="F144" i="24"/>
  <c r="G144" i="24"/>
  <c r="G335" i="24"/>
  <c r="F335" i="24"/>
  <c r="G275" i="24"/>
  <c r="F275" i="24"/>
  <c r="C58" i="3"/>
  <c r="CU423" i="1"/>
  <c r="F361" i="24"/>
  <c r="G361" i="24"/>
  <c r="G176" i="24"/>
  <c r="F176" i="24"/>
  <c r="G262" i="24"/>
  <c r="F262" i="24"/>
  <c r="G108" i="24"/>
  <c r="F108" i="24"/>
  <c r="F89" i="24"/>
  <c r="G89" i="24"/>
  <c r="F190" i="24"/>
  <c r="G190" i="24"/>
  <c r="F372" i="24"/>
  <c r="G372" i="24"/>
  <c r="G367" i="24"/>
  <c r="F367" i="24"/>
  <c r="CW409" i="1"/>
  <c r="G336" i="24"/>
  <c r="F336" i="24"/>
  <c r="F218" i="24"/>
  <c r="G218" i="24"/>
  <c r="F353" i="24"/>
  <c r="G353" i="24"/>
  <c r="G280" i="24"/>
  <c r="F280" i="24"/>
  <c r="G40" i="24"/>
  <c r="F40" i="24"/>
  <c r="G173" i="24"/>
  <c r="F173" i="24"/>
  <c r="G55" i="24"/>
  <c r="F55" i="24"/>
  <c r="G132" i="24"/>
  <c r="F132" i="24"/>
  <c r="G20" i="24"/>
  <c r="F20" i="24"/>
  <c r="G274" i="24"/>
  <c r="F274" i="24"/>
  <c r="G43" i="3"/>
  <c r="G44" i="3" s="1"/>
  <c r="G46" i="3" s="1"/>
  <c r="G47" i="3"/>
  <c r="G63" i="3"/>
  <c r="F253" i="24"/>
  <c r="G253" i="24"/>
  <c r="G109" i="24"/>
  <c r="F109" i="24"/>
  <c r="F396" i="24"/>
  <c r="G396" i="24"/>
  <c r="F401" i="24"/>
  <c r="G401" i="24"/>
  <c r="F182" i="24"/>
  <c r="G182" i="24"/>
  <c r="F313" i="24"/>
  <c r="G313" i="24"/>
  <c r="G254" i="24"/>
  <c r="F254" i="24"/>
  <c r="G50" i="24"/>
  <c r="F50" i="24"/>
  <c r="G169" i="24"/>
  <c r="F169" i="24"/>
  <c r="G315" i="24"/>
  <c r="F315" i="24"/>
  <c r="G382" i="24"/>
  <c r="F382" i="24"/>
  <c r="G30" i="24"/>
  <c r="F30" i="24"/>
  <c r="G52" i="24"/>
  <c r="F52" i="24"/>
  <c r="G103" i="24"/>
  <c r="F103" i="24"/>
  <c r="G390" i="24"/>
  <c r="F390" i="24"/>
  <c r="G357" i="24"/>
  <c r="F357" i="24"/>
  <c r="G368" i="24"/>
  <c r="F368" i="24"/>
  <c r="F377" i="24"/>
  <c r="G377" i="24"/>
  <c r="G65" i="24"/>
  <c r="F65" i="24"/>
  <c r="G219" i="24"/>
  <c r="F219" i="24"/>
  <c r="G78" i="24"/>
  <c r="F78" i="24"/>
  <c r="F369" i="24"/>
  <c r="G369" i="24"/>
  <c r="F37" i="24"/>
  <c r="G37" i="24"/>
  <c r="G270" i="24"/>
  <c r="F270" i="24"/>
  <c r="G291" i="24"/>
  <c r="F291" i="24"/>
  <c r="G139" i="24"/>
  <c r="F139" i="24"/>
  <c r="F26" i="24"/>
  <c r="G26" i="24"/>
  <c r="G160" i="24"/>
  <c r="F160" i="24"/>
  <c r="G96" i="24"/>
  <c r="F96" i="24"/>
  <c r="F351" i="24"/>
  <c r="G351" i="24"/>
  <c r="G277" i="24"/>
  <c r="F277" i="24"/>
  <c r="G127" i="24"/>
  <c r="F127" i="24"/>
  <c r="G364" i="24"/>
  <c r="F364" i="24"/>
  <c r="G210" i="24"/>
  <c r="F210" i="24"/>
  <c r="F346" i="24"/>
  <c r="G346" i="24"/>
  <c r="F102" i="24"/>
  <c r="G102" i="24"/>
  <c r="G81" i="24"/>
  <c r="F81" i="24"/>
  <c r="G48" i="24"/>
  <c r="F48" i="24"/>
  <c r="G63" i="24"/>
  <c r="F63" i="24"/>
  <c r="G12" i="24"/>
  <c r="F12" i="24"/>
  <c r="F305" i="24"/>
  <c r="G305" i="24"/>
  <c r="F73" i="24"/>
  <c r="G73" i="24"/>
  <c r="G394" i="24"/>
  <c r="F394" i="24"/>
  <c r="G164" i="24"/>
  <c r="F164" i="24"/>
  <c r="F69" i="24"/>
  <c r="G69" i="24"/>
  <c r="F115" i="24"/>
  <c r="G115" i="24"/>
  <c r="F133" i="24"/>
  <c r="G133" i="24"/>
  <c r="G327" i="24"/>
  <c r="F327" i="24"/>
  <c r="F237" i="24"/>
  <c r="G237" i="24"/>
  <c r="J61" i="3"/>
  <c r="CU410" i="1"/>
  <c r="F312" i="24"/>
  <c r="G312" i="24"/>
  <c r="G107" i="24"/>
  <c r="F107" i="24"/>
  <c r="D44" i="12" l="1"/>
  <c r="D46" i="12" s="1"/>
  <c r="F46" i="12" s="1"/>
  <c r="E43" i="3"/>
  <c r="F43" i="3"/>
  <c r="K47" i="3"/>
  <c r="L42" i="3"/>
  <c r="K43" i="3"/>
  <c r="L43" i="3" s="1"/>
  <c r="K46" i="5"/>
  <c r="J48" i="5"/>
  <c r="J50" i="5" s="1"/>
  <c r="G403" i="24"/>
  <c r="F403" i="24"/>
  <c r="H43" i="3"/>
  <c r="I43" i="3" s="1"/>
  <c r="I42" i="3"/>
  <c r="H47" i="3"/>
  <c r="H63" i="3"/>
  <c r="CV416" i="1"/>
  <c r="CW410" i="1"/>
  <c r="D47" i="3"/>
  <c r="D70" i="3"/>
  <c r="D68" i="3"/>
  <c r="E410" i="24"/>
  <c r="F42" i="3"/>
  <c r="E42" i="3"/>
  <c r="D44" i="3"/>
  <c r="O42" i="3"/>
  <c r="N47" i="3"/>
  <c r="N43" i="3"/>
  <c r="O43" i="3" s="1"/>
  <c r="H44" i="3" l="1"/>
  <c r="H46" i="3" s="1"/>
  <c r="N44" i="3"/>
  <c r="N46" i="3" s="1"/>
  <c r="D46" i="3"/>
  <c r="F46" i="3" s="1"/>
  <c r="F44" i="3"/>
  <c r="K44" i="3"/>
  <c r="K46" i="3" s="1"/>
  <c r="J51" i="5"/>
  <c r="K48" i="5"/>
  <c r="CZ70" i="1" l="1"/>
  <c r="CZ260" i="1"/>
  <c r="CZ284" i="1"/>
  <c r="CZ288" i="1"/>
  <c r="CZ131" i="1"/>
  <c r="CZ341" i="1"/>
  <c r="CZ57" i="1"/>
  <c r="CZ308" i="1"/>
  <c r="CZ43" i="1"/>
  <c r="CZ35" i="1"/>
  <c r="CZ196" i="1"/>
  <c r="CZ370" i="1"/>
  <c r="CZ329" i="1"/>
  <c r="CZ176" i="1"/>
  <c r="CZ386" i="1"/>
  <c r="CZ64" i="1"/>
  <c r="CZ146" i="1"/>
  <c r="CZ48" i="1"/>
  <c r="CZ240" i="1"/>
  <c r="CZ182" i="1"/>
  <c r="CZ202" i="1"/>
  <c r="CZ394" i="1"/>
  <c r="CZ377" i="1"/>
  <c r="CZ374" i="1"/>
  <c r="CZ192" i="1"/>
  <c r="CZ181" i="1"/>
  <c r="CZ153" i="1"/>
  <c r="CZ233" i="1"/>
  <c r="CZ205" i="1"/>
  <c r="CZ253" i="1"/>
  <c r="CZ21" i="1"/>
  <c r="CZ330" i="1"/>
  <c r="CZ189" i="1"/>
  <c r="CZ25" i="1"/>
  <c r="CZ52" i="1"/>
  <c r="CZ174" i="1"/>
  <c r="CZ300" i="1"/>
  <c r="CZ287" i="1"/>
  <c r="CZ90" i="1"/>
  <c r="CZ236" i="1"/>
  <c r="CZ249" i="1"/>
  <c r="CZ264" i="1"/>
  <c r="CZ106" i="1"/>
  <c r="CZ129" i="1"/>
  <c r="CZ319" i="1"/>
  <c r="CZ185" i="1"/>
  <c r="CZ156" i="1"/>
  <c r="CZ316" i="1"/>
  <c r="CZ66" i="1"/>
  <c r="CZ81" i="1"/>
  <c r="CZ388" i="1"/>
  <c r="CZ364" i="1"/>
  <c r="CZ154" i="1"/>
  <c r="CZ245" i="1"/>
  <c r="CZ59" i="1"/>
  <c r="CZ38" i="1"/>
  <c r="CZ254" i="1"/>
  <c r="CZ376" i="1"/>
  <c r="CZ53" i="1"/>
  <c r="CZ302" i="1"/>
  <c r="CZ56" i="1"/>
  <c r="CZ246" i="1"/>
  <c r="CZ12" i="1"/>
  <c r="CZ226" i="1"/>
  <c r="CZ397" i="1"/>
  <c r="CZ199" i="1"/>
  <c r="CZ324" i="1"/>
  <c r="CZ350" i="1"/>
  <c r="CZ342" i="1"/>
  <c r="CZ92" i="1"/>
  <c r="CZ219" i="1"/>
  <c r="CZ403" i="1"/>
  <c r="CZ351" i="1"/>
  <c r="CZ91" i="1"/>
  <c r="CZ117" i="1"/>
  <c r="CZ151" i="1"/>
  <c r="CZ358" i="1"/>
  <c r="CZ345" i="1"/>
  <c r="CZ190" i="1"/>
  <c r="CZ385" i="1"/>
  <c r="CZ187" i="1"/>
  <c r="CZ306" i="1"/>
  <c r="CZ266" i="1"/>
  <c r="CZ51" i="1"/>
  <c r="CZ36" i="1"/>
  <c r="CZ262" i="1"/>
  <c r="CZ335" i="1"/>
  <c r="CZ334" i="1"/>
  <c r="CZ115" i="1"/>
  <c r="CZ371" i="1"/>
  <c r="CZ79" i="1"/>
  <c r="CZ313" i="1"/>
  <c r="CZ320" i="1"/>
  <c r="CZ47" i="1"/>
  <c r="CZ150" i="1"/>
  <c r="CZ44" i="1"/>
  <c r="CZ83" i="1"/>
  <c r="CZ155" i="1"/>
  <c r="CZ323" i="1"/>
  <c r="CZ209" i="1"/>
  <c r="CZ247" i="1"/>
  <c r="CZ348" i="1"/>
  <c r="CZ16" i="1"/>
  <c r="CZ243" i="1"/>
  <c r="CZ222" i="1"/>
  <c r="CZ31" i="1"/>
  <c r="CZ352" i="1"/>
  <c r="CZ89" i="1"/>
  <c r="CZ137" i="1"/>
  <c r="CZ118" i="1"/>
  <c r="CZ285" i="1"/>
  <c r="CZ98" i="1"/>
  <c r="CZ333" i="1"/>
  <c r="CZ19" i="1"/>
  <c r="CZ107" i="1"/>
  <c r="CZ314" i="1"/>
  <c r="CZ322" i="1"/>
  <c r="CZ378" i="1"/>
  <c r="CZ165" i="1"/>
  <c r="CZ256" i="1"/>
  <c r="CZ261" i="1"/>
  <c r="CZ132" i="1"/>
  <c r="CZ344" i="1"/>
  <c r="CZ221" i="1"/>
  <c r="CZ168" i="1"/>
  <c r="CZ303" i="1"/>
  <c r="CZ271" i="1"/>
  <c r="CZ54" i="1"/>
  <c r="CZ40" i="1"/>
  <c r="CZ27" i="1"/>
  <c r="CZ280" i="1"/>
  <c r="CZ379" i="1"/>
  <c r="CZ177" i="1"/>
  <c r="CZ238" i="1"/>
  <c r="CZ72" i="1"/>
  <c r="CZ263" i="1"/>
  <c r="CZ310" i="1"/>
  <c r="CZ42" i="1"/>
  <c r="CZ223" i="1"/>
  <c r="CZ384" i="1"/>
  <c r="CZ161" i="1"/>
  <c r="CZ170" i="1"/>
  <c r="CZ28" i="1"/>
  <c r="CZ191" i="1"/>
  <c r="CZ200" i="1"/>
  <c r="CZ97" i="1"/>
  <c r="CZ206" i="1"/>
  <c r="CZ343" i="1"/>
  <c r="CZ193" i="1"/>
  <c r="CZ210" i="1"/>
  <c r="CZ143" i="1"/>
  <c r="CZ167" i="1"/>
  <c r="CZ298" i="1"/>
  <c r="CZ138" i="1"/>
  <c r="CZ212" i="1"/>
  <c r="CZ166" i="1"/>
  <c r="CZ393" i="1"/>
  <c r="CZ315" i="1"/>
  <c r="CZ380" i="1"/>
  <c r="CZ96" i="1"/>
  <c r="CZ128" i="1"/>
  <c r="CZ295" i="1"/>
  <c r="CZ270" i="1"/>
  <c r="CZ208" i="1"/>
  <c r="CZ318" i="1"/>
  <c r="CZ255" i="1"/>
  <c r="CZ77" i="1"/>
  <c r="CZ116" i="1"/>
  <c r="CZ139" i="1"/>
  <c r="CZ186" i="1"/>
  <c r="CZ152" i="1"/>
  <c r="CZ311" i="1"/>
  <c r="CZ85" i="1"/>
  <c r="CZ389" i="1"/>
  <c r="CZ123" i="1"/>
  <c r="CZ125" i="1"/>
  <c r="CZ207" i="1"/>
  <c r="CZ309" i="1"/>
  <c r="CZ103" i="1"/>
  <c r="CZ62" i="1"/>
  <c r="CZ30" i="1"/>
  <c r="CZ340" i="1"/>
  <c r="CZ197" i="1"/>
  <c r="CZ278" i="1"/>
  <c r="CZ382" i="1"/>
  <c r="CZ163" i="1"/>
  <c r="CZ304" i="1"/>
  <c r="CZ74" i="1"/>
  <c r="CZ204" i="1"/>
  <c r="CZ363" i="1"/>
  <c r="CZ369" i="1"/>
  <c r="CZ140" i="1"/>
  <c r="CZ164" i="1"/>
  <c r="CZ61" i="1"/>
  <c r="CZ108" i="1"/>
  <c r="CZ179" i="1"/>
  <c r="CZ94" i="1"/>
  <c r="CZ45" i="1"/>
  <c r="CZ229" i="1"/>
  <c r="CZ220" i="1"/>
  <c r="CZ75" i="1"/>
  <c r="CZ13" i="1"/>
  <c r="CZ124" i="1"/>
  <c r="CZ239" i="1"/>
  <c r="CZ198" i="1"/>
  <c r="CZ214" i="1"/>
  <c r="CZ244" i="1"/>
  <c r="CZ99" i="1"/>
  <c r="CZ235" i="1"/>
  <c r="CZ178" i="1"/>
  <c r="CZ305" i="1"/>
  <c r="CZ275" i="1"/>
  <c r="CZ279" i="1"/>
  <c r="CZ112" i="1"/>
  <c r="CZ297" i="1"/>
  <c r="CZ360" i="1"/>
  <c r="CZ250" i="1"/>
  <c r="CZ183" i="1"/>
  <c r="CZ225" i="1"/>
  <c r="CZ215" i="1"/>
  <c r="CZ158" i="1"/>
  <c r="CZ368" i="1"/>
  <c r="CZ148" i="1"/>
  <c r="CZ326" i="1"/>
  <c r="CZ15" i="1"/>
  <c r="CZ362" i="1"/>
  <c r="CZ390" i="1"/>
  <c r="CZ136" i="1"/>
  <c r="CZ78" i="1"/>
  <c r="CZ173" i="1"/>
  <c r="CZ171" i="1"/>
  <c r="CZ73" i="1"/>
  <c r="CZ50" i="1"/>
  <c r="CZ37" i="1"/>
  <c r="CZ135" i="1"/>
  <c r="CZ101" i="1"/>
  <c r="CZ232" i="1"/>
  <c r="CZ402" i="1"/>
  <c r="CZ120" i="1"/>
  <c r="CZ357" i="1"/>
  <c r="CZ160" i="1"/>
  <c r="CZ84" i="1"/>
  <c r="CZ162" i="1"/>
  <c r="CZ273" i="1"/>
  <c r="CZ399" i="1"/>
  <c r="CZ203" i="1"/>
  <c r="CZ277" i="1"/>
  <c r="CZ347" i="1"/>
  <c r="CZ353" i="1"/>
  <c r="CZ354" i="1"/>
  <c r="CZ218" i="1"/>
  <c r="CZ400" i="1"/>
  <c r="CZ149" i="1"/>
  <c r="CZ26" i="1"/>
  <c r="CZ65" i="1"/>
  <c r="CZ82" i="1"/>
  <c r="CZ194" i="1"/>
  <c r="CZ258" i="1"/>
  <c r="CZ134" i="1"/>
  <c r="CZ269" i="1"/>
  <c r="CZ111" i="1"/>
  <c r="CZ157" i="1"/>
  <c r="CZ234" i="1"/>
  <c r="CZ24" i="1"/>
  <c r="CZ321" i="1"/>
  <c r="CZ216" i="1"/>
  <c r="CZ327" i="1"/>
  <c r="CZ102" i="1"/>
  <c r="CZ58" i="1"/>
  <c r="CZ381" i="1"/>
  <c r="CZ387" i="1"/>
  <c r="CZ282" i="1"/>
  <c r="CZ39" i="1"/>
  <c r="CZ217" i="1"/>
  <c r="CZ86" i="1"/>
  <c r="CZ41" i="1"/>
  <c r="CZ159" i="1"/>
  <c r="CZ398" i="1"/>
  <c r="CZ184" i="1"/>
  <c r="CZ142" i="1"/>
  <c r="CZ46" i="1"/>
  <c r="CZ88" i="1"/>
  <c r="CZ213" i="1"/>
  <c r="CZ337" i="1"/>
  <c r="CZ332" i="1"/>
  <c r="CZ286" i="1"/>
  <c r="CZ104" i="1"/>
  <c r="CZ113" i="1"/>
  <c r="CZ22" i="1"/>
  <c r="CZ290" i="1"/>
  <c r="CZ126" i="1"/>
  <c r="CZ259" i="1"/>
  <c r="CZ180" i="1"/>
  <c r="CZ69" i="1"/>
  <c r="CZ274" i="1"/>
  <c r="CZ359" i="1"/>
  <c r="CZ349" i="1"/>
  <c r="CZ251" i="1"/>
  <c r="CZ49" i="1"/>
  <c r="CZ68" i="1"/>
  <c r="CZ366" i="1"/>
  <c r="CZ267" i="1"/>
  <c r="CZ109" i="1"/>
  <c r="CZ289" i="1"/>
  <c r="CZ375" i="1"/>
  <c r="CZ63" i="1"/>
  <c r="CZ80" i="1"/>
  <c r="CZ391" i="1"/>
  <c r="CZ365" i="1"/>
  <c r="CZ307" i="1"/>
  <c r="CZ14" i="1"/>
  <c r="CX409" i="1"/>
  <c r="CZ93" i="1"/>
  <c r="CZ291" i="1"/>
  <c r="CZ356" i="1"/>
  <c r="CZ169" i="1"/>
  <c r="CZ401" i="1"/>
  <c r="CZ188" i="1"/>
  <c r="CZ110" i="1"/>
  <c r="CZ67" i="1"/>
  <c r="CZ338" i="1"/>
  <c r="CZ122" i="1"/>
  <c r="CZ147" i="1"/>
  <c r="CZ281" i="1"/>
  <c r="CZ252" i="1"/>
  <c r="CZ331" i="1"/>
  <c r="CZ130" i="1"/>
  <c r="CZ242" i="1"/>
  <c r="CZ383" i="1"/>
  <c r="CZ392" i="1"/>
  <c r="CZ32" i="1"/>
  <c r="CZ87" i="1"/>
  <c r="CZ227" i="1"/>
  <c r="CZ237" i="1"/>
  <c r="CZ276" i="1"/>
  <c r="CZ144" i="1"/>
  <c r="CZ283" i="1"/>
  <c r="CZ60" i="1"/>
  <c r="CZ17" i="1"/>
  <c r="CZ71" i="1"/>
  <c r="CZ301" i="1"/>
  <c r="CZ29" i="1"/>
  <c r="CZ20" i="1"/>
  <c r="CZ228" i="1"/>
  <c r="CZ11" i="1"/>
  <c r="CX408" i="1"/>
  <c r="CZ312" i="1"/>
  <c r="CZ230" i="1"/>
  <c r="CZ248" i="1"/>
  <c r="CZ272" i="1"/>
  <c r="CZ346" i="1"/>
  <c r="CZ296" i="1"/>
  <c r="CZ195" i="1"/>
  <c r="CZ372" i="1"/>
  <c r="CZ141" i="1"/>
  <c r="CZ355" i="1"/>
  <c r="CZ211" i="1"/>
  <c r="CZ241" i="1"/>
  <c r="CZ95" i="1"/>
  <c r="CZ231" i="1"/>
  <c r="CZ175" i="1"/>
  <c r="CZ105" i="1"/>
  <c r="CZ34" i="1"/>
  <c r="CZ121" i="1"/>
  <c r="CZ265" i="1"/>
  <c r="CZ299" i="1"/>
  <c r="CZ114" i="1"/>
  <c r="CZ76" i="1"/>
  <c r="CZ317" i="1"/>
  <c r="CZ292" i="1"/>
  <c r="CZ395" i="1"/>
  <c r="CZ293" i="1"/>
  <c r="CZ396" i="1"/>
  <c r="CZ145" i="1"/>
  <c r="CZ257" i="1"/>
  <c r="CZ172" i="1"/>
  <c r="CZ367" i="1"/>
  <c r="CZ55" i="1"/>
  <c r="CZ133" i="1"/>
  <c r="CZ361" i="1"/>
  <c r="CZ119" i="1"/>
  <c r="CZ339" i="1"/>
  <c r="CZ224" i="1"/>
  <c r="CZ23" i="1"/>
  <c r="CZ201" i="1"/>
  <c r="CZ127" i="1"/>
  <c r="CZ328" i="1"/>
  <c r="CZ33" i="1"/>
  <c r="CZ268" i="1"/>
  <c r="CZ294" i="1"/>
  <c r="CZ373" i="1"/>
  <c r="CX414" i="1" l="1"/>
  <c r="CX419" i="1"/>
  <c r="J48" i="3" s="1"/>
  <c r="CX415" i="1"/>
  <c r="CX420" i="1"/>
  <c r="M48" i="3" s="1"/>
  <c r="CZ336" i="1"/>
  <c r="CZ100" i="1"/>
  <c r="CX407" i="1"/>
  <c r="CX404" i="1"/>
  <c r="CY407" i="1"/>
  <c r="CZ18" i="1"/>
  <c r="CZ325" i="1"/>
  <c r="CZ407" i="1" l="1"/>
  <c r="CZ9" i="1"/>
  <c r="CZ409" i="1" s="1"/>
  <c r="CY409" i="1"/>
  <c r="CY404" i="1"/>
  <c r="CZ404" i="1" s="1"/>
  <c r="CY408" i="1"/>
  <c r="CZ10" i="1"/>
  <c r="CZ408" i="1" s="1"/>
  <c r="M49" i="3"/>
  <c r="N49" i="3"/>
  <c r="C55" i="3"/>
  <c r="CX405" i="1"/>
  <c r="C56" i="3" s="1"/>
  <c r="C49" i="3" s="1"/>
  <c r="C48" i="3" s="1"/>
  <c r="D49" i="3" s="1"/>
  <c r="J49" i="3"/>
  <c r="K49" i="3"/>
  <c r="CX413" i="1"/>
  <c r="CX410" i="1"/>
  <c r="CX411" i="1" s="1"/>
  <c r="CX418" i="1"/>
  <c r="G48" i="3" s="1"/>
  <c r="G49" i="3" l="1"/>
  <c r="H49" i="3"/>
  <c r="CY410" i="1"/>
  <c r="CZ41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C9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04"/>
          </rPr>
          <t>Двері.вікна,скління,утеплення підлоги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<sst xmlns="http://schemas.openxmlformats.org/spreadsheetml/2006/main" count="11206" uniqueCount="1152">
  <si>
    <t>КП "Деснянське" ЧМР</t>
  </si>
  <si>
    <t>Адреса</t>
  </si>
  <si>
    <t>Поверх</t>
  </si>
  <si>
    <t>Загальна площа квартир</t>
  </si>
  <si>
    <t>в т.ч площа 1 поверху для будинків з ліфтами</t>
  </si>
  <si>
    <t>Площа нежитлових приміщень</t>
  </si>
  <si>
    <t>Технічне обслуговування внутрішньобудинкових систем</t>
  </si>
  <si>
    <t>Технічне обслуговування ліфтів</t>
  </si>
  <si>
    <t>Обслуговування систем диспетчеризації</t>
  </si>
  <si>
    <t>Обслуговування димових та вентиляційних каналів</t>
  </si>
  <si>
    <t>Технічне обслуговування систем протипожежної автоматики та димовидалення (у разі їх наявності)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</si>
  <si>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ББ</t>
  </si>
  <si>
    <t>Поточний ремонт внутрішньобудинкових систем</t>
  </si>
  <si>
    <t>Поточний ремонт систем протипожежної  автоматики та димовидалення (у разі їх наявності)</t>
  </si>
  <si>
    <t>Прибирання прибудинкової території</t>
  </si>
  <si>
    <t>Прибирання приміщень загального користування (у т.ч допоміжних)</t>
  </si>
  <si>
    <t>Прибирання та вивезення снігу, посипання частини прибудинкової території, призначеної для проходу та проїзду, протиожеледними сумішами</t>
  </si>
  <si>
    <t>12. Дератизація</t>
  </si>
  <si>
    <t>13. Дезінсекція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</si>
  <si>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будинку, в т.ч</t>
  </si>
  <si>
    <t>Інші роботи (послуги) понад обов'язковий перелік</t>
  </si>
  <si>
    <t>Загальна сума витрат (без урахування ПДВ)</t>
  </si>
  <si>
    <t>Загальна сума витрат (з урахуванням ПДВ)</t>
  </si>
  <si>
    <t>Винагорода управителю</t>
  </si>
  <si>
    <t xml:space="preserve">водопостачання </t>
  </si>
  <si>
    <t>водовідведення</t>
  </si>
  <si>
    <t>теплопостачання</t>
  </si>
  <si>
    <t>гарячого водопостачання</t>
  </si>
  <si>
    <t>зливової каналізації</t>
  </si>
  <si>
    <t>електропостачання</t>
  </si>
  <si>
    <t>газопостачання</t>
  </si>
  <si>
    <t>аварійне обслуговування</t>
  </si>
  <si>
    <t>для освітлення місць загального користування</t>
  </si>
  <si>
    <t>для живлення ліфтів</t>
  </si>
  <si>
    <t>вул.АНДРІЇВСЬКА,  17</t>
  </si>
  <si>
    <t>вул.ГАНЖІВСЬКА,  4</t>
  </si>
  <si>
    <t>вул.ГАНЖІВСЬКА,  6А</t>
  </si>
  <si>
    <t>вул.ГАНЖІВСЬКА,  7</t>
  </si>
  <si>
    <t>вул.ГЕТЬМАНА ПОЛУБОТКА,  101</t>
  </si>
  <si>
    <t>вул.ГЕТЬМАНА ПОЛУБОТКА,  103</t>
  </si>
  <si>
    <t>вул.ГЕТЬМАНА ПОЛУБОТКА,  124</t>
  </si>
  <si>
    <t>вул.ГЕТЬМАНА ПОЛУБОТКА,  124А</t>
  </si>
  <si>
    <t>вул.ГЕТЬМАНА ПОЛУБОТКА,  126</t>
  </si>
  <si>
    <t>вул.ГЕТЬМАНА ПОЛУБОТКА,  126А</t>
  </si>
  <si>
    <t>вул.ГЕТЬМАНА ПОЛУБОТКА,  126Б</t>
  </si>
  <si>
    <t>вул.ГЕТЬМАНА ПОЛУБОТКА,  128</t>
  </si>
  <si>
    <t>вул.ГЕТЬМАНА ПОЛУБОТКА,  128А</t>
  </si>
  <si>
    <t>вул.ГЕТЬМАНА ПОЛУБОТКА,  128Б</t>
  </si>
  <si>
    <t>вул.ГЕТЬМАНА ПОЛУБОТКА,  130</t>
  </si>
  <si>
    <t>вул.ГЕТЬМАНА ПОЛУБОТКА,  130А</t>
  </si>
  <si>
    <t>вул.ГЕТЬМАНА ПОЛУБОТКА,  19</t>
  </si>
  <si>
    <t>вул.ГЕТЬМАНА ПОЛУБОТКА,  97</t>
  </si>
  <si>
    <t>вул.ГЕТЬМАНА ПОЛУБОТКА,  99</t>
  </si>
  <si>
    <t>вул.ГОНЧА,  11</t>
  </si>
  <si>
    <t>вул.ГОНЧА,  22</t>
  </si>
  <si>
    <t>вул.ГОНЧА,  22А</t>
  </si>
  <si>
    <t>вул.ГОНЧА,  24</t>
  </si>
  <si>
    <t>вул.ГОНЧА,  42</t>
  </si>
  <si>
    <t>вул.ГОНЧА,  48</t>
  </si>
  <si>
    <t>вул.ГОНЧА,  50</t>
  </si>
  <si>
    <t>вул.ГОНЧА,  62А</t>
  </si>
  <si>
    <t>вул.ГОНЧА,  67</t>
  </si>
  <si>
    <t>вул.ГОНЧА,  69А</t>
  </si>
  <si>
    <t>вул.ГОНЧА,  77</t>
  </si>
  <si>
    <t>вул.ГОНЧА,  77А</t>
  </si>
  <si>
    <t>вул.ГОНЧА,  77Б</t>
  </si>
  <si>
    <t>вул.ДМИТРА ЛИЗОГУБА,  12</t>
  </si>
  <si>
    <t>вул.ДМИТРА ЛИЗОГУБА,  7</t>
  </si>
  <si>
    <t>вул.ДМИТРА ЛИЗОГУБА,  9</t>
  </si>
  <si>
    <t>вул.ЗЕЛЕНА,  17</t>
  </si>
  <si>
    <t>вул.ЗЕЛЕНА,  17А</t>
  </si>
  <si>
    <t>вул.ЗЕЛЕНА,  18</t>
  </si>
  <si>
    <t>вул.ЗЕЛЕНА,  3</t>
  </si>
  <si>
    <t>вул.ЗЕЛЕНА,  3А</t>
  </si>
  <si>
    <t>вул.ЗЕЛЕНА,  4</t>
  </si>
  <si>
    <t>вул.ЗЕЛЕНА,  4А</t>
  </si>
  <si>
    <t>вул.ЗЕЛЕНА,  5В</t>
  </si>
  <si>
    <t>вул.КИЇВСЬКА,  19</t>
  </si>
  <si>
    <t>вул.КИЇВСЬКА,  21</t>
  </si>
  <si>
    <t>вул.КИЇВСЬКА,  32</t>
  </si>
  <si>
    <t>вул.КОСТОМАРІВСЬКА,  3А</t>
  </si>
  <si>
    <t>вул.КОЦЮБИНСЬКОГО,  92</t>
  </si>
  <si>
    <t>вул.КОЦЮБИНСЬКОГО,  94</t>
  </si>
  <si>
    <t>вул.КОЧЕРГИ,  16</t>
  </si>
  <si>
    <t>вул.КОЧЕРГИ,  5</t>
  </si>
  <si>
    <t>вул.КОЧЕРГИ,  7</t>
  </si>
  <si>
    <t>вул.Кривулевська,  3А</t>
  </si>
  <si>
    <t>вул.ЛЕРМОНТОВА,  5</t>
  </si>
  <si>
    <t>вул.ЛОМОНОСОВА,  5</t>
  </si>
  <si>
    <t>вул.ЛЮБОМИРА БОДНАРУКА,  29</t>
  </si>
  <si>
    <t>вул.ЛЮБОМИРА БОДНАРУКА,  32</t>
  </si>
  <si>
    <t>вул.ЛЮБОМИРА БОДНАРУКА,  32А</t>
  </si>
  <si>
    <t>вул.ЛЮБОМИРА БОДНАРУКА,  7</t>
  </si>
  <si>
    <t>вул.МАЧЕРЕТІВСЬКА,  10</t>
  </si>
  <si>
    <t>вул.МАЧЕРЕТІВСЬКА,  12</t>
  </si>
  <si>
    <t>вул.МАЧЕРЕТІВСЬКА,  12А</t>
  </si>
  <si>
    <t>вул.МАЧЕРЕТІВСЬКА,  14</t>
  </si>
  <si>
    <t>вул.МЕНДЕЛЕЕВА,  3</t>
  </si>
  <si>
    <t>вул.МИЛОРАДОВИЧІВ,  44А</t>
  </si>
  <si>
    <t>вул.МИХАЙЛОФЕДОРІВСЬКА,  3</t>
  </si>
  <si>
    <t>вул.МСТИСЛАВСЬКА,  24</t>
  </si>
  <si>
    <t>вул.МСТИСЛАВСЬКА,  35</t>
  </si>
  <si>
    <t>вул.МСТИСЛАВСЬКА,  55</t>
  </si>
  <si>
    <t>вул.МСТИСЛАВСЬКА,  55А</t>
  </si>
  <si>
    <t>вул.МСТИСЛАВСЬКА,  59</t>
  </si>
  <si>
    <t>вул.МСТИСЛАВСЬКА,  59А</t>
  </si>
  <si>
    <t>вул.МУЗЕЙНА,  1А</t>
  </si>
  <si>
    <t>вул.МУЗЕЙНА,  1В</t>
  </si>
  <si>
    <t>вул.МУЗЕЙНА,  1Г</t>
  </si>
  <si>
    <t>вул.ОЛЕГА МІХНЮКА,  10</t>
  </si>
  <si>
    <t>вул.ОЛЕГА МІХНЮКА,  19</t>
  </si>
  <si>
    <t>вул.ОЛЕГА МІХНЮКА,  45</t>
  </si>
  <si>
    <t>вул.ОЛЕГА МІХНЮКА,  45А</t>
  </si>
  <si>
    <t>вул.ОЛЕГА МІХНЮКА,  47</t>
  </si>
  <si>
    <t>вул.ОЛЕГА МІХНЮКА,  47А</t>
  </si>
  <si>
    <t>вул.ОЛЕГА МІХНЮКА,  47Б</t>
  </si>
  <si>
    <t>вул.ОЛЕКСІЯ ФЛЬОРОВА,  32</t>
  </si>
  <si>
    <t>вул.ОЛЕКСАНДРА МОЛОДЧОГО,  38</t>
  </si>
  <si>
    <t>вул.ОЛЕКСАНДРА МОЛОДЧОГО,  5</t>
  </si>
  <si>
    <t>вул.ОЛЕКСАНДРА МОЛОДЧОГО,  7</t>
  </si>
  <si>
    <t>вул.ОЛЕКСАНДРА МОЛОДЧОГО,  74</t>
  </si>
  <si>
    <t>вул.ОСВIТИ,  83</t>
  </si>
  <si>
    <t>вул.П`ЯТНИЦЬКА,  40</t>
  </si>
  <si>
    <t>вул.П`ЯТНИЦЬКА,  75</t>
  </si>
  <si>
    <t>вул.П`ЯТНИЦЬКА,  77</t>
  </si>
  <si>
    <t>вул.П`ЯТНИЦЬКА,  82</t>
  </si>
  <si>
    <t>вул.ПРЕОБРАЖЕНСЬКА,  28</t>
  </si>
  <si>
    <t>вул.ПУШКIНА,  2</t>
  </si>
  <si>
    <t>вул.ПУШКIНА,  4</t>
  </si>
  <si>
    <t>вул.РОДИМЦЕВА,  13</t>
  </si>
  <si>
    <t>вул.С.РУСОВОЇ,  15</t>
  </si>
  <si>
    <t>вул.С.РУСОВОЇ,  23</t>
  </si>
  <si>
    <t>вул.СВЯТОМИКОЛАЇВСЬКА,  27</t>
  </si>
  <si>
    <t>вул.СВЯТОМИКОЛАЇВСЬКА,  28</t>
  </si>
  <si>
    <t>вул.СЕРЬОЖНIКОВА,  8А</t>
  </si>
  <si>
    <t>вул.ТЕРЕНТІЯ КОРЕНЯ,  12</t>
  </si>
  <si>
    <t>вул.ЧЕРНИШЕВСЬКОГО,  16</t>
  </si>
  <si>
    <t>вул.ЧЕРНИШЕВСЬКОГО,  24</t>
  </si>
  <si>
    <t>вул.ЧЕРНИШЕВСЬКОГО,  3</t>
  </si>
  <si>
    <t>вул.ЧЕРНИШЕВСЬКОГО,  30</t>
  </si>
  <si>
    <t>вул.ЧЕРНИШЕВСЬКОГО,  32</t>
  </si>
  <si>
    <t>пр-т МИРУ,  7А</t>
  </si>
  <si>
    <t>пров.АКАДЕМIКА ПАВЛОВА,  2</t>
  </si>
  <si>
    <t>пров.АКАДЕМIКА ПАВЛОВА,  2А</t>
  </si>
  <si>
    <t>пров.АКАДЕМIКА ПАВЛОВА,  4</t>
  </si>
  <si>
    <t>пров.АКАДЕМIКА ПАВЛОВА,  6</t>
  </si>
  <si>
    <t>пров.АКАДЕМIКА ПАВЛОВА,  8</t>
  </si>
  <si>
    <t>2-й провулок ТРАКТОРНИЙ,  7</t>
  </si>
  <si>
    <t>вул.ГЕРОЇВ ЧОРНОБИЛЯ,  2</t>
  </si>
  <si>
    <t>вул.ГЕРОЇВ ЧОРНОБИЛЯ,  4</t>
  </si>
  <si>
    <t>вул.ГЕТЬМАНА ПОЛУБОТКА,  26</t>
  </si>
  <si>
    <t>вул.ГЕТЬМАНА ПОЛУБОТКА,  28</t>
  </si>
  <si>
    <t>вул.ГОНЧА,  18</t>
  </si>
  <si>
    <t>вул.ЗЕЛЕНА,  5Б</t>
  </si>
  <si>
    <t>вул.КОЦЮБИНСЬКОГО,  58</t>
  </si>
  <si>
    <t>вул.КОЦЮБИНСЬКОГО,  60</t>
  </si>
  <si>
    <t>вул.КОЦЮБИНСЬКОГО,  62</t>
  </si>
  <si>
    <t>вул.КОЦЮБИНСЬКОГО,  63</t>
  </si>
  <si>
    <t>вул.КОЦЮБИНСЬКОГО,  64</t>
  </si>
  <si>
    <t>вул.КОЦЮБИНСЬКОГО,  66</t>
  </si>
  <si>
    <t>вул.КОЦЮБИНСЬКОГО,  67</t>
  </si>
  <si>
    <t>вул.КОЦЮБИНСЬКОГО,  68</t>
  </si>
  <si>
    <t>вул.КОЦЮБИНСЬКОГО,  72</t>
  </si>
  <si>
    <t>вул.КОЦЮБИНСЬКОГО,  75</t>
  </si>
  <si>
    <t>вул.КОЧЕРГИ,  4А</t>
  </si>
  <si>
    <t>вул.МСТИСЛАВСЬКА,  14</t>
  </si>
  <si>
    <t>вул.МСТИСЛАВСЬКА,  16</t>
  </si>
  <si>
    <t>вул.МСТИСЛАВСЬКА,  23</t>
  </si>
  <si>
    <t>вул.ОЛЕКСАНДРА МОЛОДЧОГО,  35а</t>
  </si>
  <si>
    <t>вул.ОЛЕКСАНДРА МОЛОДЧОГО,  7А</t>
  </si>
  <si>
    <t>вул.П`ЯТНИЦЬКА,  11</t>
  </si>
  <si>
    <t>вул.П`ЯТНИЦЬКА,  111</t>
  </si>
  <si>
    <t>вул.П`ЯТНИЦЬКА,  124</t>
  </si>
  <si>
    <t>вул.П`ЯТНИЦЬКА,  14</t>
  </si>
  <si>
    <t>вул.П`ЯТНИЦЬКА,  25</t>
  </si>
  <si>
    <t>вул.П`ЯТНИЦЬКА,  3</t>
  </si>
  <si>
    <t>вул.П`ЯТНИЦЬКА,  38</t>
  </si>
  <si>
    <t>вул.П`ЯТНИЦЬКА,  5</t>
  </si>
  <si>
    <t>вул.П`ЯТНИЦЬКА,  6</t>
  </si>
  <si>
    <t>вул.П`ЯТНИЦЬКА,  7</t>
  </si>
  <si>
    <t>вул.ПРЕОБРАЖЕНСЬКА,  22</t>
  </si>
  <si>
    <t>вул.ПРЕОБРАЖЕНСЬКА,  30</t>
  </si>
  <si>
    <t>вул.ПРЕОБРАЖЕНСЬКА,  5</t>
  </si>
  <si>
    <t>вул.ПУШКIНА,  14</t>
  </si>
  <si>
    <t>вул.РОДИМЦЕВА,  12</t>
  </si>
  <si>
    <t>вул.РОДИМЦЕВА,  14</t>
  </si>
  <si>
    <t xml:space="preserve">вул.СТАРОКАЗАРМЕНА ДIЛЬНИЦЯ,  2 А  </t>
  </si>
  <si>
    <t>вул.ЧЕРНИШЕВСЬКОГО,  25А</t>
  </si>
  <si>
    <t>вул.ШЕВЧЕНКА,  30</t>
  </si>
  <si>
    <t>вул.ШЕВЧЕНКА,  48</t>
  </si>
  <si>
    <t>пр-т ПЕРЕМОГИ,  108</t>
  </si>
  <si>
    <t>пр-т ПЕРЕМОГИ,  128</t>
  </si>
  <si>
    <t>пров.КВАРТАЛЬНИЙ,  7</t>
  </si>
  <si>
    <t>вул.ГЕТЬМАНА ПОЛУБОТКА,  10</t>
  </si>
  <si>
    <t>вул.ГЕТЬМАНА ПОЛУБОТКА,  12</t>
  </si>
  <si>
    <t>вул.ГОНЧА,  30</t>
  </si>
  <si>
    <t>вул.КОЦЮБИНСЬКОГО,  69</t>
  </si>
  <si>
    <t>вул.ПРЕОБРАЖЕНСЬКА,  4</t>
  </si>
  <si>
    <t>вул.СЕРЬОЖНIКОВА,  6</t>
  </si>
  <si>
    <t>вул.ЧЕРНИШЕВСЬКОГО,  12</t>
  </si>
  <si>
    <t>вул.ЧЕРНИШЕВСЬКОГО,  14</t>
  </si>
  <si>
    <t>пр-т МИРУ,  29</t>
  </si>
  <si>
    <t>вул.ГЕТЬМАНА ПОЛУБОТКА,  16</t>
  </si>
  <si>
    <t>вул.ГЕТЬМАНА ПОЛУБОТКА,  20</t>
  </si>
  <si>
    <t>вул.ГЕТЬМАНА ПОЛУБОТКА,  24</t>
  </si>
  <si>
    <t>вул.ГЕТЬМАНА ПОЛУБОТКА,  4</t>
  </si>
  <si>
    <t>вул.ГЕТЬМАНА ПОЛУБОТКА,  5</t>
  </si>
  <si>
    <t>вул.ГОГОЛЯ,  22</t>
  </si>
  <si>
    <t>вул.ГОНЧА,  17А</t>
  </si>
  <si>
    <t>вул.КОЦЮБИНСЬКОГО,  58A</t>
  </si>
  <si>
    <t>вул.КОЦЮБИНСЬКОГО,  69А</t>
  </si>
  <si>
    <t>вул.КОЦЮБИНСЬКОГО,  74</t>
  </si>
  <si>
    <t>вул.МСТИСЛАВСЬКА,  10</t>
  </si>
  <si>
    <t>вул.МСТИСЛАВСЬКА,  12</t>
  </si>
  <si>
    <t>вул.МСТИСЛАВСЬКА,  3</t>
  </si>
  <si>
    <t>вул.ОЛЕКСАНДРА МОЛОДЧОГО,  12А</t>
  </si>
  <si>
    <t>вул.П`ЯТНИЦЬКА,  36</t>
  </si>
  <si>
    <t>вул.ПРЕОБРАЖЕНСЬКА,  2</t>
  </si>
  <si>
    <t>вул.ПРЕОБРАЖЕНСЬКА,  6</t>
  </si>
  <si>
    <t>вул.РОДИМЦЕВА,  2</t>
  </si>
  <si>
    <t>вул.СЕРЬОЖНIКОВА,  1</t>
  </si>
  <si>
    <t>вул.СЕРЬОЖНIКОВА,  10</t>
  </si>
  <si>
    <t>вул.СЕРЬОЖНIКОВА,  2</t>
  </si>
  <si>
    <t>вул.СЕРЬОЖНIКОВА,  5</t>
  </si>
  <si>
    <t>вул.СЕРЬОЖНIКОВА,  6А</t>
  </si>
  <si>
    <t>вул.СЕРЬОЖНIКОВА,  7</t>
  </si>
  <si>
    <t>вул.ШЕВЧЕНКА,  10</t>
  </si>
  <si>
    <t>вул.ШЕВЧЕНКА,  14</t>
  </si>
  <si>
    <t>вул.ШЕВЧЕНКА,  19</t>
  </si>
  <si>
    <t>вул.ШЕВЧЕНКА,  27</t>
  </si>
  <si>
    <t>вул.ШЕВЧЕНКА,  53</t>
  </si>
  <si>
    <t>вул.ШЕВЧЕНКА,  53А</t>
  </si>
  <si>
    <t>вул.ШЕВЧЕНКА,  9</t>
  </si>
  <si>
    <t>пр-т МИРУ,  17</t>
  </si>
  <si>
    <t>пр-т МИРУ,  17А</t>
  </si>
  <si>
    <t>пр-т МИРУ,  21</t>
  </si>
  <si>
    <t>пр-т МИРУ,  27</t>
  </si>
  <si>
    <t>пр-т ПЕРЕМОГИ,  89</t>
  </si>
  <si>
    <t>пр-т ПЕРЕМОГИ,  91</t>
  </si>
  <si>
    <t>пр-т ПЕРЕМОГИ,  98</t>
  </si>
  <si>
    <t>вул.I. ШРАГА,  4</t>
  </si>
  <si>
    <t>вул.I. ШРАГА,  9</t>
  </si>
  <si>
    <t>вул.ГЕРОЇВ ЧОРНОБИЛЯ,  4А</t>
  </si>
  <si>
    <t>вул.ГЕТЬМАНА ПОЛУБОТКА,  11</t>
  </si>
  <si>
    <t>вул.ГЕТЬМАНА ПОЛУБОТКА,  30</t>
  </si>
  <si>
    <t>вул.ГЕТЬМАНА ПОЛУБОТКА,  7</t>
  </si>
  <si>
    <t>вул.ГЕТЬМАНА ПОЛУБОТКА,  8А</t>
  </si>
  <si>
    <t>вул.ГОГОЛЯ,  10</t>
  </si>
  <si>
    <t>вул.ГОГОЛЯ,  8</t>
  </si>
  <si>
    <t>вул.ГОНЧА,  12</t>
  </si>
  <si>
    <t>вул.ГОНЧА,  14</t>
  </si>
  <si>
    <t>вул.ГОНЧА,  16</t>
  </si>
  <si>
    <t>вул.ГОНЧА,  26</t>
  </si>
  <si>
    <t>вул.ГОНЧА,  41</t>
  </si>
  <si>
    <t>вул.ГОНЧА,  80</t>
  </si>
  <si>
    <t>вул.ГОНЧА,  88</t>
  </si>
  <si>
    <t>вул.КИЇВСЬКА,  5</t>
  </si>
  <si>
    <t>вул.КОЦЮБИНСЬКОГО,  76</t>
  </si>
  <si>
    <t>вул.КОЦЮБИНСЬКОГО,  78</t>
  </si>
  <si>
    <t>вул.ЛЕРМОНТОВА,  5А</t>
  </si>
  <si>
    <t>вул.ЛЮБОМИРА БОДНАРУКА,  8</t>
  </si>
  <si>
    <t>вул.МСТИСЛАВСЬКА,  20</t>
  </si>
  <si>
    <t>вул.МСТИСЛАВСЬКА,  25</t>
  </si>
  <si>
    <t>вул.МСТИСЛАВСЬКА,  38А</t>
  </si>
  <si>
    <t>вул.ОЛЕГА МІХНЮКА,  7</t>
  </si>
  <si>
    <t>вул.ОЛЕКСАНДРА МОЛОДЧОГО,  8</t>
  </si>
  <si>
    <t>вул.ОСВIТИ,  29</t>
  </si>
  <si>
    <t>вул.П`ЯТНИЦЬКА,  23</t>
  </si>
  <si>
    <t>вул.П`ЯТНИЦЬКА,  32</t>
  </si>
  <si>
    <t>вул.П`ЯТНИЦЬКА,  90</t>
  </si>
  <si>
    <t>вул.ПРЕОБРАЖЕНСЬКА,  14</t>
  </si>
  <si>
    <t>вул.ПРЕОБРАЖЕНСЬКА,  14А</t>
  </si>
  <si>
    <t>вул.ПРЕОБРАЖЕНСЬКА,  16</t>
  </si>
  <si>
    <t>вул.ПРЕОБРАЖЕНСЬКА,  18</t>
  </si>
  <si>
    <t>вул.РОДИМЦЕВА,  15</t>
  </si>
  <si>
    <t>вул.РОДИМЦЕВА,  3</t>
  </si>
  <si>
    <t>вул.РОДИМЦЕВА,  6</t>
  </si>
  <si>
    <t>вул.РОДИМЦЕВА,  7</t>
  </si>
  <si>
    <t>вул.РОДИМЦЕВА,  9</t>
  </si>
  <si>
    <t>вул.РОКОССОВСЬКОГО,  17</t>
  </si>
  <si>
    <t>вул.РОКОССОВСЬКОГО,  19</t>
  </si>
  <si>
    <t>вул.РОКОССОВСЬКОГО,  23</t>
  </si>
  <si>
    <t>вул.РОКОССОВСЬКОГО,  25</t>
  </si>
  <si>
    <t>вул.РОКОССОВСЬКОГО,  27</t>
  </si>
  <si>
    <t>вул.РОКОССОВСЬКОГО,  29</t>
  </si>
  <si>
    <t>вул.РОКОССОВСЬКОГО,  37А</t>
  </si>
  <si>
    <t>вул.РОКОССОВСЬКОГО,  39</t>
  </si>
  <si>
    <t>вул.РОКОССОВСЬКОГО,  41</t>
  </si>
  <si>
    <t>вул.РОКОССОВСЬКОГО,  45</t>
  </si>
  <si>
    <t>вул.РОКОССОВСЬКОГО,  49А</t>
  </si>
  <si>
    <t>вул.СЕРЬОЖНIКОВА,  3</t>
  </si>
  <si>
    <t>вул.СЕРЬОЖНIКОВА,  8</t>
  </si>
  <si>
    <t>вул.ФIКСЕЛЯ,  52</t>
  </si>
  <si>
    <t>вул.ШЕВЧЕНКА,  11</t>
  </si>
  <si>
    <t>вул.ШЕВЧЕНКА,  112А</t>
  </si>
  <si>
    <t>вул.ШЕВЧЕНКА,  16</t>
  </si>
  <si>
    <t>вул.ШЕВЧЕНКА,  18</t>
  </si>
  <si>
    <t>вул.ШЕВЧЕНКА,  22</t>
  </si>
  <si>
    <t>вул.ШЕВЧЕНКА,  31</t>
  </si>
  <si>
    <t>вул.ШЕВЧЕНКА,  33А</t>
  </si>
  <si>
    <t>вул.ШЕВЧЕНКА,  37</t>
  </si>
  <si>
    <t>вул.ШЕВЧЕНКА,  41</t>
  </si>
  <si>
    <t>вул.ШЕВЧЕНКА,  43</t>
  </si>
  <si>
    <t>вул.ШЕВЧЕНКА,  47</t>
  </si>
  <si>
    <t>вул.ШЕВЧЕНКА,  47А</t>
  </si>
  <si>
    <t>вул.ШЕВЧЕНКА,  51</t>
  </si>
  <si>
    <t>пр-т МИРУ,  35</t>
  </si>
  <si>
    <t>пр-т МИРУ,  35А</t>
  </si>
  <si>
    <t>пр-т МИРУ,  35Б</t>
  </si>
  <si>
    <t>пр-т МИРУ,  45</t>
  </si>
  <si>
    <t>пр-т МИРУ,  47</t>
  </si>
  <si>
    <t>пр-т МИРУ,  55</t>
  </si>
  <si>
    <t>пр-т МИРУ,  61</t>
  </si>
  <si>
    <t>пр-т МИРУ,  75Б</t>
  </si>
  <si>
    <t>пр-т ПЕРЕМОГИ,  103</t>
  </si>
  <si>
    <t>пр-т ПЕРЕМОГИ,  117</t>
  </si>
  <si>
    <t>пр-т ПЕРЕМОГИ,  119</t>
  </si>
  <si>
    <t>пр-т ПЕРЕМОГИ,  121</t>
  </si>
  <si>
    <t>пр-т ПЕРЕМОГИ,  125</t>
  </si>
  <si>
    <t>пр-т ПЕРЕМОГИ,  170</t>
  </si>
  <si>
    <t>пр-т ПЕРЕМОГИ,  174</t>
  </si>
  <si>
    <t>пр-т ПЕРЕМОГИ,  176</t>
  </si>
  <si>
    <t>пр-т ПЕРЕМОГИ,  178</t>
  </si>
  <si>
    <t>пр-т ПЕРЕМОГИ,  180</t>
  </si>
  <si>
    <t>пр-т ПЕРЕМОГИ,  182</t>
  </si>
  <si>
    <t>пр-т ПЕРЕМОГИ,  187</t>
  </si>
  <si>
    <t>пр-т ПЕРЕМОГИ,  189</t>
  </si>
  <si>
    <t>пр-т ПЕРЕМОГИ,  193</t>
  </si>
  <si>
    <t>пр-т ПЕРЕМОГИ,  195</t>
  </si>
  <si>
    <t>пр-т ПЕРЕМОГИ,  199</t>
  </si>
  <si>
    <t>пр-т ПЕРЕМОГИ,  90</t>
  </si>
  <si>
    <t>пр-т ПЕРЕМОГИ,  93</t>
  </si>
  <si>
    <t>пр-т ПЕРЕМОГИ,  94</t>
  </si>
  <si>
    <t>пр-т ПЕРЕМОГИ,  96</t>
  </si>
  <si>
    <t>вул.ГОНЧА,  17</t>
  </si>
  <si>
    <t>вул.МСТИСЛАВСЬКА,  50</t>
  </si>
  <si>
    <t>вул.МСТИСЛАВСЬКА,  58</t>
  </si>
  <si>
    <t>вул.П`ЯТНИЦЬКА,  53</t>
  </si>
  <si>
    <t>вул.П`ЯТНИЦЬКА,  63</t>
  </si>
  <si>
    <t>вул.Академiка ПАВЛОВА,  15</t>
  </si>
  <si>
    <t>вул.Академiка ПАВЛОВА,  17</t>
  </si>
  <si>
    <t>вул.ГЕРОЇВ ЧОРНОБИЛЯ,  10</t>
  </si>
  <si>
    <t>вул.ГЕТЬМАНА ПОЛУБОТКА,  120</t>
  </si>
  <si>
    <t>вул.ГЕТЬМАНА ПОЛУБОТКА,  74</t>
  </si>
  <si>
    <t>вул.ГЕТЬМАНА ПОЛУБОТКА,  76</t>
  </si>
  <si>
    <t>вул.ГЕТЬМАНА ПОЛУБОТКА,  78</t>
  </si>
  <si>
    <t>вул.ГЕТЬМАНА ПОЛУБОТКА,  80</t>
  </si>
  <si>
    <t>вул.ГЕТЬМАНА ПОЛУБОТКА,  84</t>
  </si>
  <si>
    <t>вул.ГОНЧА,  76</t>
  </si>
  <si>
    <t>вул.ГОНЧА,  78</t>
  </si>
  <si>
    <t>вул.ГОНЧА,  84</t>
  </si>
  <si>
    <t>вул.ГОНЧА,  90</t>
  </si>
  <si>
    <t>вул.ЗЕМСЬКА,  68</t>
  </si>
  <si>
    <t>вул.КИЇВСЬКА,  14</t>
  </si>
  <si>
    <t>вул.КИЇВСЬКА,  2</t>
  </si>
  <si>
    <t>вул.КИЇВСЬКА,  6</t>
  </si>
  <si>
    <t>вул.КОТЛЯРЕВСЬКОГО,  13</t>
  </si>
  <si>
    <t>вул.КОТЛЯРЕВСЬКОГО,  15</t>
  </si>
  <si>
    <t>вул.КОТЛЯРЕВСЬКОГО,  34</t>
  </si>
  <si>
    <t>вул.КОТЛЯРЕВСЬКОГО,  4</t>
  </si>
  <si>
    <t>вул.КОЦЮБИНСЬКОГО,  83</t>
  </si>
  <si>
    <t>вул.КОЦЮБИНСЬКОГО,  84</t>
  </si>
  <si>
    <t>вул.МЕНДЕЛЕЕВА,  1Б</t>
  </si>
  <si>
    <t>вул.МСТИСЛАВСЬКА,  109</t>
  </si>
  <si>
    <t>вул.МСТИСЛАВСЬКА,  38</t>
  </si>
  <si>
    <t>вул.МСТИСЛАВСЬКА,  40</t>
  </si>
  <si>
    <t>вул.МСТИСЛАВСЬКА,  42</t>
  </si>
  <si>
    <t>вул.МСТИСЛАВСЬКА,  45</t>
  </si>
  <si>
    <t>вул.МСТИСЛАВСЬКА,  52</t>
  </si>
  <si>
    <t>вул.МСТИСЛАВСЬКА,  56</t>
  </si>
  <si>
    <t>вул.МСТИСЛАВСЬКА,  79</t>
  </si>
  <si>
    <t>вул.ОСВIТИ,  10</t>
  </si>
  <si>
    <t>вул.ОСВIТИ,  6</t>
  </si>
  <si>
    <t>вул.ОСВIТИ,  8</t>
  </si>
  <si>
    <t>вул.ОСВIТИ,  86</t>
  </si>
  <si>
    <t>вул.П`ЯТНИЦЬКА,  47</t>
  </si>
  <si>
    <t>вул.П`ЯТНИЦЬКА,  49</t>
  </si>
  <si>
    <t>вул.П`ЯТНИЦЬКА,  61</t>
  </si>
  <si>
    <t>вул.П`ЯТНИЦЬКА,  68-1</t>
  </si>
  <si>
    <t>вул.П`ЯТНИЦЬКА,  68-2</t>
  </si>
  <si>
    <t>вул.П`ЯТНИЦЬКА,  68-3</t>
  </si>
  <si>
    <t>вул.П`ЯТНИЦЬКА,  70-1</t>
  </si>
  <si>
    <t>вул.П`ЯТНИЦЬКА,  70-2</t>
  </si>
  <si>
    <t>вул.П`ЯТНИЦЬКА,  70-3</t>
  </si>
  <si>
    <t>вул.П`ЯТНИЦЬКА,  92</t>
  </si>
  <si>
    <t>вул.П`ЯТНИЦЬКА,  94</t>
  </si>
  <si>
    <t>вул.ПУШКIНА,  30</t>
  </si>
  <si>
    <t>вул.С.РУСОВОЇ,  25</t>
  </si>
  <si>
    <t>вул.САВЧУКА,  11</t>
  </si>
  <si>
    <t>вул.САВЧУКА,  3</t>
  </si>
  <si>
    <t>вул.САВЧУКА,  5</t>
  </si>
  <si>
    <t>вул.САВЧУКА,  7А</t>
  </si>
  <si>
    <t>вул.САВЧУКА,  7Б</t>
  </si>
  <si>
    <t>вул.ЧАЙКОВСЬКОГО,  5</t>
  </si>
  <si>
    <t>вул.ЧЕРНИШЕВСЬКОГО,  20</t>
  </si>
  <si>
    <t>вул.ШЕВЧЕНКА,  108</t>
  </si>
  <si>
    <t>вул.ШЕВЧЕНКА,  110</t>
  </si>
  <si>
    <t>пр-т ПЕРЕМОГИ,  100</t>
  </si>
  <si>
    <t>пр-т ПЕРЕМОГИ,  102</t>
  </si>
  <si>
    <t>пр-т ПЕРЕМОГИ,  107</t>
  </si>
  <si>
    <t>пр-т ПЕРЕМОГИ,  108г</t>
  </si>
  <si>
    <t>пр-т ПЕРЕМОГИ,  115</t>
  </si>
  <si>
    <t>пр-т ПЕРЕМОГИ,  123А</t>
  </si>
  <si>
    <t>пр-т ПЕРЕМОГИ,  143</t>
  </si>
  <si>
    <t>пр-т ПЕРЕМОГИ,  149</t>
  </si>
  <si>
    <t>пр-т ПЕРЕМОГИ,  151</t>
  </si>
  <si>
    <t>пр-т ПЕРЕМОГИ,  153</t>
  </si>
  <si>
    <t>пр-т ПЕРЕМОГИ,  159</t>
  </si>
  <si>
    <t>пр-т ПЕРЕМОГИ,  162</t>
  </si>
  <si>
    <t>пр-т ПЕРЕМОГИ,  164</t>
  </si>
  <si>
    <t>пр-т ПЕРЕМОГИ,  166</t>
  </si>
  <si>
    <t>пр-т ПЕРЕМОГИ,  168</t>
  </si>
  <si>
    <t>пр-т ПЕРЕМОГИ,  92</t>
  </si>
  <si>
    <t>вул.ГОНЧА,  31</t>
  </si>
  <si>
    <t>вул.ЗЕМСЬКА,  70</t>
  </si>
  <si>
    <t>вул.ЗЕМСЬКА,  72</t>
  </si>
  <si>
    <t>вул.КОТЛЯРЕВСЬКОГО,  3</t>
  </si>
  <si>
    <t>вул.КОЦЮБИНСЬКОГО,  81</t>
  </si>
  <si>
    <t>вул.МАРТИНА НЕБАБИ,  100</t>
  </si>
  <si>
    <t>вул.МАРТИНА НЕБАБИ,  102</t>
  </si>
  <si>
    <t>вул.МСТИСЛАВСЬКА,  34</t>
  </si>
  <si>
    <t>вул.МСТИСЛАВСЬКА,  47</t>
  </si>
  <si>
    <t>вул.П`ЯТНИЦЬКА,  80</t>
  </si>
  <si>
    <t>вул.ЧАЙКОВСЬКОГО,  3</t>
  </si>
  <si>
    <t>вул.ШЕВЧЕНКА,  106</t>
  </si>
  <si>
    <t>пр-т ПЕРЕМОГИ,  147</t>
  </si>
  <si>
    <t>пр-т ПЕРЕМОГИ,  145</t>
  </si>
  <si>
    <t>пр-т ПЕРЕМОГИ,  155</t>
  </si>
  <si>
    <t>пр-т ПЕРЕМОГИ,  104</t>
  </si>
  <si>
    <t>вул.ПУШКIНА,  12</t>
  </si>
  <si>
    <t>вул.МСТИСЛАВСЬКА,  33</t>
  </si>
  <si>
    <t>Загальна площа квартир + нежитлові приміщення</t>
  </si>
  <si>
    <t xml:space="preserve">ТО систем водопостачання </t>
  </si>
  <si>
    <t>ТО систем водовідведення</t>
  </si>
  <si>
    <t>ТО систем теплопостачання</t>
  </si>
  <si>
    <t>ТО систем гарячого водопостачання</t>
  </si>
  <si>
    <t>ТО систем зливової каналізації</t>
  </si>
  <si>
    <t>ТО систем електропостачання</t>
  </si>
  <si>
    <t>ТО систем газопостачання</t>
  </si>
  <si>
    <t>Аварійне обслуговування</t>
  </si>
  <si>
    <t>кошторис</t>
  </si>
  <si>
    <t>факт</t>
  </si>
  <si>
    <t>відхилення</t>
  </si>
  <si>
    <t>РАЗОМ ТЕХНІЧНЕ ОБСЛУГОВУВАННЯ</t>
  </si>
  <si>
    <t xml:space="preserve">ТЕХНІЧНЕ ОБСЛУГОВУВАННЯ СИСТЕМ </t>
  </si>
  <si>
    <t xml:space="preserve">Поточний ремонт систем водопостачання </t>
  </si>
  <si>
    <t>Поточний ремонт систем водовідведення</t>
  </si>
  <si>
    <t>Поточний ремонт систем теплопостачання</t>
  </si>
  <si>
    <t>Поточний ремонт систем гарячого водопостачання</t>
  </si>
  <si>
    <t>Поточний ремонт систем зливової каналізації</t>
  </si>
  <si>
    <t>Поточний ремонт систем електропостачання</t>
  </si>
  <si>
    <t>Поточний ремонт систем газопостачання</t>
  </si>
  <si>
    <t>ПОТОЧНИЙ РЕМОНТ СИСТЕМ</t>
  </si>
  <si>
    <t>РАЗОМ ПОТОЧНИЙ РЕМОНТ СИСТЕМ</t>
  </si>
  <si>
    <t>Разом витрати електроенергії</t>
  </si>
  <si>
    <t>конкурс</t>
  </si>
  <si>
    <t>Примітка</t>
  </si>
  <si>
    <t>№ з/п</t>
  </si>
  <si>
    <t>№2/1</t>
  </si>
  <si>
    <t>№2/2</t>
  </si>
  <si>
    <t>№2/3</t>
  </si>
  <si>
    <t>№2/4</t>
  </si>
  <si>
    <t>№2/5</t>
  </si>
  <si>
    <t>№2/7</t>
  </si>
  <si>
    <t>№2/8</t>
  </si>
  <si>
    <t>№2/9</t>
  </si>
  <si>
    <t>№2/10</t>
  </si>
  <si>
    <t>№2/14</t>
  </si>
  <si>
    <t>№2/15</t>
  </si>
  <si>
    <t>№2/16</t>
  </si>
  <si>
    <t>№2/17</t>
  </si>
  <si>
    <t>№2/18</t>
  </si>
  <si>
    <t>№2/19</t>
  </si>
  <si>
    <t>№2/21</t>
  </si>
  <si>
    <t>№2/22</t>
  </si>
  <si>
    <t>№2/23</t>
  </si>
  <si>
    <t>№2/24</t>
  </si>
  <si>
    <t>№2/25</t>
  </si>
  <si>
    <t>№2/26</t>
  </si>
  <si>
    <t>№2/27</t>
  </si>
  <si>
    <t>№2/28</t>
  </si>
  <si>
    <t>№2/29</t>
  </si>
  <si>
    <t>№2/30</t>
  </si>
  <si>
    <t>№2/31</t>
  </si>
  <si>
    <t>№2/32</t>
  </si>
  <si>
    <t>№2/33</t>
  </si>
  <si>
    <t>№2/34</t>
  </si>
  <si>
    <t>№2/35</t>
  </si>
  <si>
    <t>№2/36</t>
  </si>
  <si>
    <t>№2/37</t>
  </si>
  <si>
    <t>№2/38</t>
  </si>
  <si>
    <t>№2/39</t>
  </si>
  <si>
    <t>№2/40</t>
  </si>
  <si>
    <t>№2/41</t>
  </si>
  <si>
    <t>№2/42</t>
  </si>
  <si>
    <t>№2/43</t>
  </si>
  <si>
    <t>№2/44</t>
  </si>
  <si>
    <t>№2/45</t>
  </si>
  <si>
    <t>№2/46</t>
  </si>
  <si>
    <t>№2/47</t>
  </si>
  <si>
    <t>№2/48</t>
  </si>
  <si>
    <t>№2/49</t>
  </si>
  <si>
    <t>№2/50</t>
  </si>
  <si>
    <t>№2/51</t>
  </si>
  <si>
    <t>№2/52</t>
  </si>
  <si>
    <t>№2/53</t>
  </si>
  <si>
    <t>№2/54</t>
  </si>
  <si>
    <t>№2/55</t>
  </si>
  <si>
    <t>№2/56</t>
  </si>
  <si>
    <t>№2/57</t>
  </si>
  <si>
    <t>№2/58</t>
  </si>
  <si>
    <t>№2/59</t>
  </si>
  <si>
    <t>№2/60</t>
  </si>
  <si>
    <t>№2/61</t>
  </si>
  <si>
    <t>№2/62</t>
  </si>
  <si>
    <t>№2/63</t>
  </si>
  <si>
    <t>№2/64</t>
  </si>
  <si>
    <t>№2/65</t>
  </si>
  <si>
    <t>№2/66</t>
  </si>
  <si>
    <t>№2/67</t>
  </si>
  <si>
    <t>№2/68</t>
  </si>
  <si>
    <t>№2/69</t>
  </si>
  <si>
    <t>№2/70</t>
  </si>
  <si>
    <t>№2/71</t>
  </si>
  <si>
    <t>№2/73</t>
  </si>
  <si>
    <t>№2/75</t>
  </si>
  <si>
    <t>№2/77</t>
  </si>
  <si>
    <t>№2/78</t>
  </si>
  <si>
    <t>№2/79</t>
  </si>
  <si>
    <t>№2/80</t>
  </si>
  <si>
    <t>№2/81</t>
  </si>
  <si>
    <t>№2/82</t>
  </si>
  <si>
    <t>№2/83</t>
  </si>
  <si>
    <t>№2/84</t>
  </si>
  <si>
    <t>№2/85</t>
  </si>
  <si>
    <t>№2/86</t>
  </si>
  <si>
    <t>№2/87</t>
  </si>
  <si>
    <t>№2/88</t>
  </si>
  <si>
    <t>№2/89</t>
  </si>
  <si>
    <t>№2/91</t>
  </si>
  <si>
    <t>№2/92</t>
  </si>
  <si>
    <t>№2/93</t>
  </si>
  <si>
    <t>№2/94</t>
  </si>
  <si>
    <t>№2/95</t>
  </si>
  <si>
    <t>№2/96</t>
  </si>
  <si>
    <t>№2/97</t>
  </si>
  <si>
    <t>№2/98</t>
  </si>
  <si>
    <t>№2/99</t>
  </si>
  <si>
    <t>№2/100</t>
  </si>
  <si>
    <t>№2/101</t>
  </si>
  <si>
    <t>№2/102</t>
  </si>
  <si>
    <t>№2/104</t>
  </si>
  <si>
    <t>№2/105</t>
  </si>
  <si>
    <t>№2/106</t>
  </si>
  <si>
    <t>№2/107</t>
  </si>
  <si>
    <t>№2/109</t>
  </si>
  <si>
    <t>№2/110</t>
  </si>
  <si>
    <t>№2/111</t>
  </si>
  <si>
    <t>№2/112</t>
  </si>
  <si>
    <t>№2/113</t>
  </si>
  <si>
    <t>№2/114</t>
  </si>
  <si>
    <t>№2/115</t>
  </si>
  <si>
    <t>№2/116</t>
  </si>
  <si>
    <t>№2/117</t>
  </si>
  <si>
    <t>№2/118</t>
  </si>
  <si>
    <t>№2/119</t>
  </si>
  <si>
    <t>№2/120</t>
  </si>
  <si>
    <t>№2/121</t>
  </si>
  <si>
    <t>№2/122</t>
  </si>
  <si>
    <t>№2/123</t>
  </si>
  <si>
    <t>№2/124</t>
  </si>
  <si>
    <t>№2/125</t>
  </si>
  <si>
    <t>№2/126</t>
  </si>
  <si>
    <t>№2/127</t>
  </si>
  <si>
    <t>№2/128</t>
  </si>
  <si>
    <t>№2/129</t>
  </si>
  <si>
    <t>№2/130</t>
  </si>
  <si>
    <t>№2/131</t>
  </si>
  <si>
    <t>№2/132</t>
  </si>
  <si>
    <t>№2/133</t>
  </si>
  <si>
    <t>№2/135</t>
  </si>
  <si>
    <t>№2/136</t>
  </si>
  <si>
    <t>№2/138</t>
  </si>
  <si>
    <t>№2/139</t>
  </si>
  <si>
    <t>№2/141</t>
  </si>
  <si>
    <t>№2/142</t>
  </si>
  <si>
    <t>№2/143</t>
  </si>
  <si>
    <t>№2/144</t>
  </si>
  <si>
    <t>№2/145</t>
  </si>
  <si>
    <t>№2/146</t>
  </si>
  <si>
    <t>№2/147</t>
  </si>
  <si>
    <t>№2/148</t>
  </si>
  <si>
    <t>№2/149</t>
  </si>
  <si>
    <t>№2/150</t>
  </si>
  <si>
    <t>№2/151</t>
  </si>
  <si>
    <t>№2/153</t>
  </si>
  <si>
    <t>№2/154</t>
  </si>
  <si>
    <t>№2/155</t>
  </si>
  <si>
    <t>№2/156</t>
  </si>
  <si>
    <t>№2/157</t>
  </si>
  <si>
    <t>№2/158</t>
  </si>
  <si>
    <t>№2/159</t>
  </si>
  <si>
    <t>№2/160</t>
  </si>
  <si>
    <t>№2/161</t>
  </si>
  <si>
    <t>№2/162</t>
  </si>
  <si>
    <t>№2/163</t>
  </si>
  <si>
    <t>№2/164</t>
  </si>
  <si>
    <t>№2/165</t>
  </si>
  <si>
    <t>№2/166</t>
  </si>
  <si>
    <t>№2/167</t>
  </si>
  <si>
    <t>№2/168</t>
  </si>
  <si>
    <t>№2/169</t>
  </si>
  <si>
    <t>№2/170</t>
  </si>
  <si>
    <t>№2/171</t>
  </si>
  <si>
    <t>№2/172</t>
  </si>
  <si>
    <t>№2/173</t>
  </si>
  <si>
    <t>№2/174</t>
  </si>
  <si>
    <t>№2/177</t>
  </si>
  <si>
    <t>№2/178</t>
  </si>
  <si>
    <t>№2/179</t>
  </si>
  <si>
    <t>№2/180</t>
  </si>
  <si>
    <t>№2/181</t>
  </si>
  <si>
    <t>№2/182</t>
  </si>
  <si>
    <t>№2/183</t>
  </si>
  <si>
    <t>№2/184</t>
  </si>
  <si>
    <t>№2/185</t>
  </si>
  <si>
    <t>№2/186</t>
  </si>
  <si>
    <t>№2/187</t>
  </si>
  <si>
    <t>№2/188</t>
  </si>
  <si>
    <t>№2/190</t>
  </si>
  <si>
    <t>№2/191</t>
  </si>
  <si>
    <t>№2/192</t>
  </si>
  <si>
    <t>№2/193</t>
  </si>
  <si>
    <t>№2/195</t>
  </si>
  <si>
    <t>№2/11</t>
  </si>
  <si>
    <t>№2/12</t>
  </si>
  <si>
    <t>№2/13</t>
  </si>
  <si>
    <t>№2/196</t>
  </si>
  <si>
    <t>№2/197</t>
  </si>
  <si>
    <t>№2/198</t>
  </si>
  <si>
    <t>№2/199</t>
  </si>
  <si>
    <t>№2/200</t>
  </si>
  <si>
    <t>№2/201</t>
  </si>
  <si>
    <t>№2/202</t>
  </si>
  <si>
    <t>№2/203</t>
  </si>
  <si>
    <t>№2/204</t>
  </si>
  <si>
    <t>№2/206</t>
  </si>
  <si>
    <t>№2/207</t>
  </si>
  <si>
    <t>№2/208</t>
  </si>
  <si>
    <t>№2/209</t>
  </si>
  <si>
    <t>№2/210</t>
  </si>
  <si>
    <t>№2/211</t>
  </si>
  <si>
    <t>№2/212</t>
  </si>
  <si>
    <t>№2/213</t>
  </si>
  <si>
    <t>№2/214</t>
  </si>
  <si>
    <t>№2/215</t>
  </si>
  <si>
    <t>№2/216</t>
  </si>
  <si>
    <t>№2/217</t>
  </si>
  <si>
    <t>№2/218</t>
  </si>
  <si>
    <t>№2/219</t>
  </si>
  <si>
    <t>№2/220</t>
  </si>
  <si>
    <t>№2/221</t>
  </si>
  <si>
    <t>№2/222</t>
  </si>
  <si>
    <t>№2/224</t>
  </si>
  <si>
    <t>№2/225</t>
  </si>
  <si>
    <t>№2/226</t>
  </si>
  <si>
    <t>№2/227</t>
  </si>
  <si>
    <t>№2/228</t>
  </si>
  <si>
    <t>№2/229</t>
  </si>
  <si>
    <t>№2/230</t>
  </si>
  <si>
    <t>№2/231</t>
  </si>
  <si>
    <t>№2/232</t>
  </si>
  <si>
    <t>№2/233</t>
  </si>
  <si>
    <t>№2/234</t>
  </si>
  <si>
    <t>№2/235</t>
  </si>
  <si>
    <t>№2/236</t>
  </si>
  <si>
    <t>№2/237</t>
  </si>
  <si>
    <t>№2/238</t>
  </si>
  <si>
    <t>№2/239</t>
  </si>
  <si>
    <t>№2/240</t>
  </si>
  <si>
    <t>№2/241</t>
  </si>
  <si>
    <t>№2/242</t>
  </si>
  <si>
    <t>№2/243</t>
  </si>
  <si>
    <t>№2/244</t>
  </si>
  <si>
    <t>№2/245</t>
  </si>
  <si>
    <t>№2/250</t>
  </si>
  <si>
    <t>№2/251</t>
  </si>
  <si>
    <t>№2/252</t>
  </si>
  <si>
    <t>№2/253</t>
  </si>
  <si>
    <t>№2/254</t>
  </si>
  <si>
    <t>№2/255</t>
  </si>
  <si>
    <t>№2/256</t>
  </si>
  <si>
    <t>№2/257</t>
  </si>
  <si>
    <t>№2/258</t>
  </si>
  <si>
    <t>№2/259</t>
  </si>
  <si>
    <t>№2/260</t>
  </si>
  <si>
    <t>№2/261</t>
  </si>
  <si>
    <t>№2/262</t>
  </si>
  <si>
    <t>№2/263</t>
  </si>
  <si>
    <t>№2/264</t>
  </si>
  <si>
    <t>№2/265</t>
  </si>
  <si>
    <t>№2/266</t>
  </si>
  <si>
    <t>№2/267</t>
  </si>
  <si>
    <t>№2/268</t>
  </si>
  <si>
    <t>№2/269</t>
  </si>
  <si>
    <t>№2/271</t>
  </si>
  <si>
    <t>№2/272</t>
  </si>
  <si>
    <t>№2/273</t>
  </si>
  <si>
    <t>№2/274</t>
  </si>
  <si>
    <t>№2/275</t>
  </si>
  <si>
    <t>№2/276</t>
  </si>
  <si>
    <t>№2/277</t>
  </si>
  <si>
    <t>№2/278</t>
  </si>
  <si>
    <t>№2/279</t>
  </si>
  <si>
    <t>№2/280</t>
  </si>
  <si>
    <t>№2/281</t>
  </si>
  <si>
    <t>№2/282</t>
  </si>
  <si>
    <t>№2/283</t>
  </si>
  <si>
    <t>№2/284</t>
  </si>
  <si>
    <t>№2/285</t>
  </si>
  <si>
    <t>№2/286</t>
  </si>
  <si>
    <t>№2/287</t>
  </si>
  <si>
    <t>№2/288</t>
  </si>
  <si>
    <t>№2/289</t>
  </si>
  <si>
    <t>№2/290</t>
  </si>
  <si>
    <t>№2/291</t>
  </si>
  <si>
    <t>№2/292</t>
  </si>
  <si>
    <t>№2/294</t>
  </si>
  <si>
    <t>№2/295</t>
  </si>
  <si>
    <t>№2/296</t>
  </si>
  <si>
    <t>№2/299</t>
  </si>
  <si>
    <t>№2/300</t>
  </si>
  <si>
    <t>№2/301</t>
  </si>
  <si>
    <t>№2/302</t>
  </si>
  <si>
    <t>№2/303</t>
  </si>
  <si>
    <t>№2/304</t>
  </si>
  <si>
    <t>№2/305</t>
  </si>
  <si>
    <t>№2/307</t>
  </si>
  <si>
    <t>№2/308</t>
  </si>
  <si>
    <t>№2/309</t>
  </si>
  <si>
    <t>№2/310</t>
  </si>
  <si>
    <t>№2/311</t>
  </si>
  <si>
    <t>№2/312</t>
  </si>
  <si>
    <t>№2/313</t>
  </si>
  <si>
    <t>№2/314</t>
  </si>
  <si>
    <t>№2/315</t>
  </si>
  <si>
    <t>№2/316</t>
  </si>
  <si>
    <t>№2/317</t>
  </si>
  <si>
    <t>№2/318</t>
  </si>
  <si>
    <t>№2/319</t>
  </si>
  <si>
    <t>№2/320</t>
  </si>
  <si>
    <t>№2/321</t>
  </si>
  <si>
    <t>№2/322</t>
  </si>
  <si>
    <t>№2/323</t>
  </si>
  <si>
    <t>№2/324</t>
  </si>
  <si>
    <t>№2/325</t>
  </si>
  <si>
    <t>№2/326</t>
  </si>
  <si>
    <t>№2/328</t>
  </si>
  <si>
    <t>№2/330</t>
  </si>
  <si>
    <t>№2/331</t>
  </si>
  <si>
    <t>№2/332</t>
  </si>
  <si>
    <t>№2/333</t>
  </si>
  <si>
    <t>№2/334</t>
  </si>
  <si>
    <t>№2/335</t>
  </si>
  <si>
    <t>№2/336</t>
  </si>
  <si>
    <t>№2/338</t>
  </si>
  <si>
    <t>№2/339</t>
  </si>
  <si>
    <t>№2/340</t>
  </si>
  <si>
    <t>№2/341</t>
  </si>
  <si>
    <t>№2/342</t>
  </si>
  <si>
    <t>№2/343</t>
  </si>
  <si>
    <t>№2/344</t>
  </si>
  <si>
    <t>№2/345</t>
  </si>
  <si>
    <t>№2/346</t>
  </si>
  <si>
    <t>№2/347</t>
  </si>
  <si>
    <t>№2/348</t>
  </si>
  <si>
    <t>№2/349</t>
  </si>
  <si>
    <t>№2/350</t>
  </si>
  <si>
    <t>№2/351</t>
  </si>
  <si>
    <t>№2/352</t>
  </si>
  <si>
    <t>№2/353</t>
  </si>
  <si>
    <t>№2/354</t>
  </si>
  <si>
    <t>№2/356</t>
  </si>
  <si>
    <t>№2/357</t>
  </si>
  <si>
    <t>№2/358</t>
  </si>
  <si>
    <t>№2/359</t>
  </si>
  <si>
    <t>№2/360</t>
  </si>
  <si>
    <t>№2/361</t>
  </si>
  <si>
    <t>№2/362</t>
  </si>
  <si>
    <t>№2/363</t>
  </si>
  <si>
    <t>№2/364</t>
  </si>
  <si>
    <t>№2/366</t>
  </si>
  <si>
    <t>№2/367</t>
  </si>
  <si>
    <t>№2/368</t>
  </si>
  <si>
    <t>№2/369</t>
  </si>
  <si>
    <t>№2/370</t>
  </si>
  <si>
    <t>№2/371</t>
  </si>
  <si>
    <t>№2/372</t>
  </si>
  <si>
    <t>№2/373</t>
  </si>
  <si>
    <t>№2/374</t>
  </si>
  <si>
    <t>№2/375</t>
  </si>
  <si>
    <t>№2/376</t>
  </si>
  <si>
    <t>№2/377</t>
  </si>
  <si>
    <t>№2/378</t>
  </si>
  <si>
    <t>№2/379</t>
  </si>
  <si>
    <t>№2/380</t>
  </si>
  <si>
    <t>№2/381</t>
  </si>
  <si>
    <t>№2/382</t>
  </si>
  <si>
    <t>№2/383</t>
  </si>
  <si>
    <t>№2/384</t>
  </si>
  <si>
    <t>№2/385</t>
  </si>
  <si>
    <t>№2/388</t>
  </si>
  <si>
    <t>№2/389</t>
  </si>
  <si>
    <t>№2/390</t>
  </si>
  <si>
    <t>№2/391</t>
  </si>
  <si>
    <t>№2/392</t>
  </si>
  <si>
    <t>№2/393</t>
  </si>
  <si>
    <t>№2/394</t>
  </si>
  <si>
    <t>№2/395</t>
  </si>
  <si>
    <t>№2/396</t>
  </si>
  <si>
    <t>№2/397</t>
  </si>
  <si>
    <t>№2/398</t>
  </si>
  <si>
    <t>№2/399</t>
  </si>
  <si>
    <t>№2/400</t>
  </si>
  <si>
    <t>№2/401</t>
  </si>
  <si>
    <t>№2/402</t>
  </si>
  <si>
    <t>№2/403</t>
  </si>
  <si>
    <t>№2/404</t>
  </si>
  <si>
    <t>№2/405</t>
  </si>
  <si>
    <t>№2/406</t>
  </si>
  <si>
    <t>№2/407</t>
  </si>
  <si>
    <t>№2/408</t>
  </si>
  <si>
    <t>№2/409</t>
  </si>
  <si>
    <t>№2/410</t>
  </si>
  <si>
    <t>№2/411</t>
  </si>
  <si>
    <t>№2/412</t>
  </si>
  <si>
    <t>№2/413</t>
  </si>
  <si>
    <t>№2/414</t>
  </si>
  <si>
    <t>№2/415</t>
  </si>
  <si>
    <t>№2/416</t>
  </si>
  <si>
    <t>№2/417</t>
  </si>
  <si>
    <t>№2/418</t>
  </si>
  <si>
    <t>№2/420</t>
  </si>
  <si>
    <t>№2/421</t>
  </si>
  <si>
    <t>№2/422</t>
  </si>
  <si>
    <t>№2/423</t>
  </si>
  <si>
    <t>№2/424</t>
  </si>
  <si>
    <t>№2/425</t>
  </si>
  <si>
    <t>№2/426</t>
  </si>
  <si>
    <t>№2/427</t>
  </si>
  <si>
    <t>№ договору</t>
  </si>
  <si>
    <t>протокол зборів</t>
  </si>
  <si>
    <t>№77</t>
  </si>
  <si>
    <t>Разом за договорами управління</t>
  </si>
  <si>
    <t>В.В.Пригара</t>
  </si>
  <si>
    <t>М.В.Гречко</t>
  </si>
  <si>
    <t>пн</t>
  </si>
  <si>
    <t>Складова витрат на утримання будинку та прибудинкової території та поточний ремонт спільного майна будинку (далі-витрати)</t>
  </si>
  <si>
    <t>Загальна площа, м2</t>
  </si>
  <si>
    <t>1.</t>
  </si>
  <si>
    <t>Обов'язковий перелік робіт (послуг)</t>
  </si>
  <si>
    <t>1.1.</t>
  </si>
  <si>
    <t>1.1.1.</t>
  </si>
  <si>
    <t>1.1.2.</t>
  </si>
  <si>
    <t>1.1.3.</t>
  </si>
  <si>
    <t>1.1.4.</t>
  </si>
  <si>
    <t>1.1.5.</t>
  </si>
  <si>
    <t>1.1.6.</t>
  </si>
  <si>
    <t>1.1.7.</t>
  </si>
  <si>
    <t>1.1.8.</t>
  </si>
  <si>
    <t>1.2.</t>
  </si>
  <si>
    <t>1.3.</t>
  </si>
  <si>
    <t>1.4.</t>
  </si>
  <si>
    <t>1.5.</t>
  </si>
  <si>
    <t>1.6.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</si>
  <si>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багатоквартирного будинку</t>
  </si>
  <si>
    <t>1.7.</t>
  </si>
  <si>
    <t>1.7.1.</t>
  </si>
  <si>
    <t>1.7.2.</t>
  </si>
  <si>
    <t>1.7.3.</t>
  </si>
  <si>
    <t>1.7.4.</t>
  </si>
  <si>
    <t>1.7.5.</t>
  </si>
  <si>
    <t>1.7.6.</t>
  </si>
  <si>
    <t>1.7.7.</t>
  </si>
  <si>
    <t>1.8.</t>
  </si>
  <si>
    <t>1.9.</t>
  </si>
  <si>
    <t>1.10.</t>
  </si>
  <si>
    <t>1.11.</t>
  </si>
  <si>
    <t>1.12.</t>
  </si>
  <si>
    <t>1.13.</t>
  </si>
  <si>
    <t>1.14.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</si>
  <si>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</t>
  </si>
  <si>
    <t>1.14.1.</t>
  </si>
  <si>
    <t>1.14.2.</t>
  </si>
  <si>
    <t>2.</t>
  </si>
  <si>
    <t>3.</t>
  </si>
  <si>
    <t>4.</t>
  </si>
  <si>
    <t>5.</t>
  </si>
  <si>
    <t>6.</t>
  </si>
  <si>
    <t>Загальна сума витрат з винагородою управителю</t>
  </si>
  <si>
    <t>плановий кошторис</t>
  </si>
  <si>
    <t>% виконання кошторису</t>
  </si>
  <si>
    <t>Середня ціна, грн/м2</t>
  </si>
  <si>
    <t>Начальник підприємства</t>
  </si>
  <si>
    <t>Головний економіст</t>
  </si>
  <si>
    <t>Статті витрат</t>
  </si>
  <si>
    <t>Загальновиробничі витрати</t>
  </si>
  <si>
    <t>Адміністративні витрати</t>
  </si>
  <si>
    <t>Разом накладні витрати</t>
  </si>
  <si>
    <t xml:space="preserve">Зарплата </t>
  </si>
  <si>
    <t>Нарахування на з/т (22%)</t>
  </si>
  <si>
    <t xml:space="preserve">Матеріали </t>
  </si>
  <si>
    <t>ПММ (транспорт)</t>
  </si>
  <si>
    <t>Запасні частини (транспорт)</t>
  </si>
  <si>
    <t>Амортизація</t>
  </si>
  <si>
    <t>7.</t>
  </si>
  <si>
    <t>Навчання</t>
  </si>
  <si>
    <t>8.</t>
  </si>
  <si>
    <t>Податок на землю</t>
  </si>
  <si>
    <t>9.</t>
  </si>
  <si>
    <t>Утримання приміщень, в т.ч</t>
  </si>
  <si>
    <t>9.1</t>
  </si>
  <si>
    <t>освітлення</t>
  </si>
  <si>
    <t>9.2</t>
  </si>
  <si>
    <t>опалення</t>
  </si>
  <si>
    <t>9.3</t>
  </si>
  <si>
    <t>водопостачання</t>
  </si>
  <si>
    <t>10.</t>
  </si>
  <si>
    <t>Послуги зв'язку</t>
  </si>
  <si>
    <t>11.</t>
  </si>
  <si>
    <t>Аудит</t>
  </si>
  <si>
    <t>12.</t>
  </si>
  <si>
    <t>РКО</t>
  </si>
  <si>
    <t>13.</t>
  </si>
  <si>
    <t>Платежі банкам</t>
  </si>
  <si>
    <t>Підписка</t>
  </si>
  <si>
    <t>14.</t>
  </si>
  <si>
    <t>Службові відрядження</t>
  </si>
  <si>
    <t>15.</t>
  </si>
  <si>
    <t>Ремонт комп.техніки, обслуговування ПК</t>
  </si>
  <si>
    <t>16.</t>
  </si>
  <si>
    <t>17.</t>
  </si>
  <si>
    <t>Call-центр</t>
  </si>
  <si>
    <t>19.</t>
  </si>
  <si>
    <t>Прибирання адмін.будівлі</t>
  </si>
  <si>
    <t>20.</t>
  </si>
  <si>
    <t>Утримання легкового транспорту</t>
  </si>
  <si>
    <t>22.</t>
  </si>
  <si>
    <t>Ремонт приміщення</t>
  </si>
  <si>
    <t>23.</t>
  </si>
  <si>
    <t>Інші послуги (ТО, страховка транс.засобів)</t>
  </si>
  <si>
    <t>24.</t>
  </si>
  <si>
    <t>Інші витрати</t>
  </si>
  <si>
    <t>Разом витрати</t>
  </si>
  <si>
    <t>Відношення частини накладних витрат на сторонні послуги</t>
  </si>
  <si>
    <t>ДВК</t>
  </si>
  <si>
    <t>ПЗ (програма Софтпроект, 1с, АСТ, інші)</t>
  </si>
  <si>
    <t>Поточний ремонт конструктивних елементів</t>
  </si>
  <si>
    <t>обсяг, м2</t>
  </si>
  <si>
    <t>сума, грн</t>
  </si>
  <si>
    <t>ремонт покрівлі</t>
  </si>
  <si>
    <t>ремонт під'їздів</t>
  </si>
  <si>
    <t>од.</t>
  </si>
  <si>
    <t>ремонт стиків</t>
  </si>
  <si>
    <t>п.м</t>
  </si>
  <si>
    <t>декоративні огорожі</t>
  </si>
  <si>
    <t>м2</t>
  </si>
  <si>
    <t>підготовка до зими</t>
  </si>
  <si>
    <t>виконавець</t>
  </si>
  <si>
    <t>ремонт ліфтів</t>
  </si>
  <si>
    <t>ремонт машинних приміщень ліфтів</t>
  </si>
  <si>
    <t>інші види робіт</t>
  </si>
  <si>
    <t>КОШТОРИС</t>
  </si>
  <si>
    <t>ФАКТ</t>
  </si>
  <si>
    <t>Поточний ремонт внутрішньобудинкових систем, грн</t>
  </si>
  <si>
    <t>РАЗОМ</t>
  </si>
  <si>
    <t>Відхилення</t>
  </si>
  <si>
    <t>в тому числі факт за видами робіт</t>
  </si>
  <si>
    <t>Разом</t>
  </si>
  <si>
    <t>інші</t>
  </si>
  <si>
    <t>дворове/спортивне обладнання</t>
  </si>
  <si>
    <t>ОТКЕ</t>
  </si>
  <si>
    <t>Загальна кошторисна вартість з ПДВ</t>
  </si>
  <si>
    <t>Планова винагорода управителю, грн з ПДВ</t>
  </si>
  <si>
    <t>кошторис витрат</t>
  </si>
  <si>
    <t>план</t>
  </si>
  <si>
    <t>дільниця №1</t>
  </si>
  <si>
    <t>дільниця №2</t>
  </si>
  <si>
    <t>дільниця №3</t>
  </si>
  <si>
    <t>водопостачання 04/1</t>
  </si>
  <si>
    <t>водовідведення 04/2</t>
  </si>
  <si>
    <t>теплопостачання 07/4</t>
  </si>
  <si>
    <t>гарячого водопостачання 07/3</t>
  </si>
  <si>
    <t>зливової каналізації 04/3</t>
  </si>
  <si>
    <t>електропостачання 05/2</t>
  </si>
  <si>
    <t>обсяг прямих витрат</t>
  </si>
  <si>
    <t>обсяг накладних витрат</t>
  </si>
  <si>
    <t>прямі</t>
  </si>
  <si>
    <t>накладні</t>
  </si>
  <si>
    <t>% виконання</t>
  </si>
  <si>
    <t>Витрати, грн</t>
  </si>
  <si>
    <t>Технічне обслуговування систем ППА та димовидалення (у разі їх наявності)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</si>
  <si>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багатоквартирного будинку*</t>
  </si>
  <si>
    <t>* Поточний ремонт конструктивних елементів по видах робіт:</t>
  </si>
  <si>
    <t>Обсяг робіт</t>
  </si>
  <si>
    <t>Сума, грн</t>
  </si>
  <si>
    <t>покрівля</t>
  </si>
  <si>
    <t>під'їзди</t>
  </si>
  <si>
    <t>стикі</t>
  </si>
  <si>
    <t>ліфти</t>
  </si>
  <si>
    <t>маш.приміщення ліфтів</t>
  </si>
  <si>
    <t>ганки, фасад, цоколь, вимощення</t>
  </si>
  <si>
    <t>дворове/дитяче обладнання</t>
  </si>
  <si>
    <t>Разом по будинку</t>
  </si>
  <si>
    <t>Питомі витрати, грн/м2</t>
  </si>
  <si>
    <t>% винагороди</t>
  </si>
  <si>
    <t>Середня ціна на управління, грн/м2 (квартири+нежитлові)</t>
  </si>
  <si>
    <t xml:space="preserve">№ </t>
  </si>
  <si>
    <t>дільниці</t>
  </si>
  <si>
    <t>1 дільниця</t>
  </si>
  <si>
    <t>2 дільниця</t>
  </si>
  <si>
    <t>3 дільниця</t>
  </si>
  <si>
    <t xml:space="preserve">Звіт про виконання кошторисів на утримання будинків та прибудинкової території за </t>
  </si>
  <si>
    <t xml:space="preserve">Звіт про виконання кошторисів на утримання будинку та прибудинкової території за </t>
  </si>
  <si>
    <t xml:space="preserve">Звіт про виконання кошторису на утримання будинків та прибудинкової території за </t>
  </si>
  <si>
    <t>Звіт про виконання поточного ремонту конструктивних елементів і внутрішньобудинкових систем за</t>
  </si>
  <si>
    <t>Звіт про виконання поточного ремонту за</t>
  </si>
  <si>
    <t xml:space="preserve">Звіт про виконання планового кошторису накладних витрат за </t>
  </si>
  <si>
    <t>грн/місяць</t>
  </si>
  <si>
    <t>для квартир, що не користуються ліфтами</t>
  </si>
  <si>
    <t>для квартир, що користуються ліфтами</t>
  </si>
  <si>
    <t>для нежитлових приміщень</t>
  </si>
  <si>
    <t>квартири</t>
  </si>
  <si>
    <t>нежитлові</t>
  </si>
  <si>
    <t>вул.П`ЯТНИЦЬКА,  13</t>
  </si>
  <si>
    <t>ДЗ</t>
  </si>
  <si>
    <t>населення</t>
  </si>
  <si>
    <t>нежитлові приміщення</t>
  </si>
  <si>
    <t>Код</t>
  </si>
  <si>
    <t>винагорода</t>
  </si>
  <si>
    <t>кошторис+винагорода</t>
  </si>
  <si>
    <t>№2/223</t>
  </si>
  <si>
    <t>Вибір адреси</t>
  </si>
  <si>
    <t>Загальне виконання, грн з ПДВ</t>
  </si>
  <si>
    <t>відх</t>
  </si>
  <si>
    <t>% вик.</t>
  </si>
  <si>
    <t>в тому числі виконання ПР</t>
  </si>
  <si>
    <t>Прострочена ДЗ (населення+нежитлові)</t>
  </si>
  <si>
    <t>Наявність коштів по будинку</t>
  </si>
  <si>
    <t>ПЕВ</t>
  </si>
  <si>
    <t>Для звіту ВТВ</t>
  </si>
  <si>
    <t>Поточний ремонт, грн з ПДВ</t>
  </si>
  <si>
    <t>ремонт цоколю, вимощення, ганків, стін, фасаду, пандус, асфальт</t>
  </si>
  <si>
    <t>планові нарахування</t>
  </si>
  <si>
    <t>посилання на місячний звіт (останній місяць)</t>
  </si>
  <si>
    <t>Результат виконання тарифу станом на 01.03.2021 року ("-" - борг підприємства; "+" - борг населення)</t>
  </si>
  <si>
    <r>
      <t xml:space="preserve">Залишок коштів по будинку станом на </t>
    </r>
    <r>
      <rPr>
        <sz val="14"/>
        <color rgb="FF7030A0"/>
        <rFont val="Times New Roman"/>
        <family val="1"/>
        <charset val="204"/>
      </rPr>
      <t>01.03.2021 року</t>
    </r>
    <r>
      <rPr>
        <sz val="10"/>
        <color rgb="FF7030A0"/>
        <rFont val="Times New Roman"/>
        <family val="1"/>
        <charset val="204"/>
      </rPr>
      <t xml:space="preserve"> (за період надання послуги з утримання будинків і споруд та прибудинкових територій з 15/06/2016) "-" - борг підприємства; "+" - борг населення</t>
    </r>
  </si>
  <si>
    <t>Річний кошторис, грн з ПДВ (01.03.2021-01.03.2022 рр)</t>
  </si>
  <si>
    <t>звітний період</t>
  </si>
  <si>
    <t>місяць</t>
  </si>
  <si>
    <t>місяці</t>
  </si>
  <si>
    <t>Сума, грн без ПДВ</t>
  </si>
  <si>
    <t>Сума, грн з ПДВ</t>
  </si>
  <si>
    <t>РІК</t>
  </si>
  <si>
    <t>№78</t>
  </si>
  <si>
    <t>на</t>
  </si>
  <si>
    <t>Разом накладні витрати для тарифу</t>
  </si>
  <si>
    <t>з 01.06.2021</t>
  </si>
  <si>
    <t>код</t>
  </si>
  <si>
    <t>КОНСТРУКТИВНИ ЕЛЕМЕНТИ</t>
  </si>
  <si>
    <t>вартість послуги з ПР ліфтів</t>
  </si>
  <si>
    <t>вартість послуги з КР ліфтів</t>
  </si>
  <si>
    <t>звіт ЖКГ</t>
  </si>
  <si>
    <t>план з 01.06.2021</t>
  </si>
  <si>
    <t>50/50</t>
  </si>
  <si>
    <t>Шевченка, 110 (січень-лютий 2021)</t>
  </si>
  <si>
    <t>грн з ПДВ</t>
  </si>
  <si>
    <t>Г.Полуботка, 103 (січень-квітень 2021)</t>
  </si>
  <si>
    <t>без Шевченка, 110, Г.Полуботка, 103</t>
  </si>
  <si>
    <t>Наявність коштів по будинку (з врахуванням залишку коштів на 01.01.2021 р) на</t>
  </si>
  <si>
    <t>без врахування Шевченка, 110, Г.Полуботка, 103</t>
  </si>
  <si>
    <t>Прострочена заборгованість населення</t>
  </si>
  <si>
    <t>Прострочена заборгованість нежитлові приміщення</t>
  </si>
  <si>
    <t>посилання на звіт з нарастаючим</t>
  </si>
  <si>
    <t>Прострочена заборгованість населення станом на</t>
  </si>
  <si>
    <t>Прострочена заборгованість нежитлові приміщення станом на</t>
  </si>
  <si>
    <t>з Шевченка, 110, Г.Полуботка, 103</t>
  </si>
  <si>
    <t>2021 РІК</t>
  </si>
  <si>
    <r>
      <rPr>
        <b/>
        <sz val="11"/>
        <color theme="1"/>
        <rFont val="Times New Roman"/>
        <family val="1"/>
        <charset val="204"/>
      </rPr>
      <t>Залишок коштів по будинку станом на 01.01.2022 року</t>
    </r>
    <r>
      <rPr>
        <sz val="11"/>
        <color theme="1"/>
        <rFont val="Times New Roman"/>
        <family val="1"/>
        <charset val="204"/>
      </rPr>
      <t xml:space="preserve"> (за період надання послуги з утримання будинків і споруд та прибудинкових територій з 15/06/2016) "-" - борг підприємства; "+" - борг населення</t>
    </r>
  </si>
  <si>
    <t>Станом на 01.01.2022</t>
  </si>
  <si>
    <t>Марина ГРЕЧКО</t>
  </si>
  <si>
    <t>СІЧЕНЬ-ЛЮТИЙ</t>
  </si>
  <si>
    <t>2021 РОКУ</t>
  </si>
  <si>
    <t>дивитися % зимового прибирання</t>
  </si>
  <si>
    <t>посилання на звіт з нарастаючим!!!</t>
  </si>
  <si>
    <t>Залишок коштів по будинку станом на 01.03.2021 року (за період надання послуги з утримання будинків і споруд та прибудинкових територій з 15/06/2016) "-" - борг підприємства; "+" - борг населення</t>
  </si>
  <si>
    <t>Станом на 01.03.2021</t>
  </si>
  <si>
    <t>Прострочена заборгованість</t>
  </si>
  <si>
    <t>Результат виконання тарифу станом на 01.03.2020 року ("-" - борг підприємства; "+" - борг населення)</t>
  </si>
  <si>
    <t>Річний кошторис, грн з ПДВ (01.03.2020-01.03.2021 рр)</t>
  </si>
  <si>
    <t>різниця</t>
  </si>
  <si>
    <t>зменшити винагороду</t>
  </si>
  <si>
    <t>01.03.2021-28.02.2022</t>
  </si>
  <si>
    <t>заповнити результат виконання за звітний місяць (ячейки EB:EN)</t>
  </si>
  <si>
    <t>Залишок коштів по будинку станом на 01.03.2022 року (за період надання послуги з утримання будинків і споруд та прибудинкових територій з 15/06/2016) "-" - борг підприємства; "+" - борг населення</t>
  </si>
  <si>
    <t>Станом на 01.03.2022</t>
  </si>
  <si>
    <t>Поточний ремонт</t>
  </si>
  <si>
    <t>ФАКТИЧНИЙ РЕЗУЛЬТАТ ВИКОНАННЯ КОШТОРИСІВ ("-" економія/ "+" перевитрачання)</t>
  </si>
  <si>
    <t>Річний період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</si>
  <si>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</si>
  <si>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спеціальна вставка</t>
  </si>
  <si>
    <t>2022 РОКУ</t>
  </si>
  <si>
    <t>із звіту з нарастаючим!!!</t>
  </si>
  <si>
    <t>3 місяці</t>
  </si>
  <si>
    <t>9 місяців</t>
  </si>
  <si>
    <t>01.03.2021-31.05.2021</t>
  </si>
  <si>
    <t>01.06.2021-28.02.2022</t>
  </si>
  <si>
    <t>Залишок коштів по будинку станом на 01.02.2022 року (за період надання послуги з утримання будинків і споруд та прибудинкових територій з 15/06/2016) "-" - борг підприємства; "+" - борг населення</t>
  </si>
  <si>
    <t>Станом на 01.02.2022</t>
  </si>
  <si>
    <t>Річний кошторис, грн з ПДВ (01.03.2021-31.05.2021 рр)</t>
  </si>
  <si>
    <t>Річний кошторис, грн з ПДВ (01.06.2021-28.02.2022 рр)</t>
  </si>
  <si>
    <t>Річний кошторис, грн з ПДВ (01.03.2021-28.02.2022 рр)</t>
  </si>
  <si>
    <t>формула</t>
  </si>
  <si>
    <t>Нарахування квартири ОІВ</t>
  </si>
  <si>
    <t>Нарахування нежитл. ОІВ</t>
  </si>
  <si>
    <t>вертикаль</t>
  </si>
  <si>
    <t>РБС</t>
  </si>
  <si>
    <t>Яйця,мило,перчатки,уайт-спирт,обрізки,пензлі, рах. 132/2</t>
  </si>
  <si>
    <t>ПАРКАН амортизація</t>
  </si>
  <si>
    <t>ремонт паркана</t>
  </si>
  <si>
    <t>новий паркан</t>
  </si>
  <si>
    <t>через амортиз.</t>
  </si>
  <si>
    <t>адмін.витрати</t>
  </si>
  <si>
    <t>на витрати</t>
  </si>
  <si>
    <t>грн</t>
  </si>
  <si>
    <t>Конструктивні елементи</t>
  </si>
  <si>
    <t>власні</t>
  </si>
  <si>
    <t>підрядні</t>
  </si>
  <si>
    <t>разом</t>
  </si>
  <si>
    <t>Покрівля</t>
  </si>
  <si>
    <t>Під'їзди</t>
  </si>
  <si>
    <t>Прибудинкове обладнання</t>
  </si>
  <si>
    <t>Ремонт ліфтів</t>
  </si>
  <si>
    <t xml:space="preserve">Стикі </t>
  </si>
  <si>
    <t>Підготовка до зими</t>
  </si>
  <si>
    <t>Цоколь, ганки, вимощення</t>
  </si>
  <si>
    <t>Інші види робіт</t>
  </si>
  <si>
    <t>Мережі</t>
  </si>
  <si>
    <t>гаряче водопостачання</t>
  </si>
  <si>
    <t>зливова каналізація</t>
  </si>
  <si>
    <t>Поточний ремонт внутрішньобудинкових систем*</t>
  </si>
  <si>
    <t>Віктор ПРИГАРА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</si>
</sst>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#,##0.0000"/>
    <numFmt numFmtId="166" formatCode="0.0000"/>
    <numFmt numFmtId="167" formatCode="#,##0.000"/>
    <numFmt numFmtId="168" formatCode="#,##0.0"/>
  </numFmts>
  <fonts count="91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1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Calibri"/>
      <family val="2"/>
      <charset val="1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1"/>
      <scheme val="minor"/>
    </font>
    <font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Calibri"/>
      <family val="2"/>
      <charset val="1"/>
      <scheme val="minor"/>
    </font>
    <font>
      <b/>
      <sz val="7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color theme="1"/>
      <name val="Calibri"/>
      <family val="2"/>
      <charset val="1"/>
      <scheme val="minor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color theme="1"/>
      <name val="Calibri"/>
      <family val="2"/>
      <charset val="1"/>
      <scheme val="minor"/>
    </font>
    <font>
      <sz val="9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Calibri"/>
      <family val="2"/>
      <charset val="1"/>
      <scheme val="minor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7"/>
      <color theme="1"/>
      <name val="Times New Roman"/>
      <family val="1"/>
      <charset val="204"/>
    </font>
    <font>
      <sz val="7"/>
      <color theme="1"/>
      <name val="Calibri"/>
      <family val="2"/>
      <charset val="1"/>
      <scheme val="minor"/>
    </font>
    <font>
      <b/>
      <sz val="7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11"/>
      <color rgb="FFFF0066"/>
      <name val="Times New Roman"/>
      <family val="1"/>
      <charset val="204"/>
    </font>
    <font>
      <b/>
      <sz val="11"/>
      <color rgb="FF9900FF"/>
      <name val="Times New Roman"/>
      <family val="1"/>
      <charset val="204"/>
    </font>
    <font>
      <sz val="11"/>
      <color rgb="FF9900FF"/>
      <name val="Times New Roman"/>
      <family val="1"/>
      <charset val="204"/>
    </font>
    <font>
      <sz val="11"/>
      <color rgb="FF9900FF"/>
      <name val="Calibri"/>
      <family val="2"/>
      <charset val="1"/>
      <scheme val="minor"/>
    </font>
    <font>
      <b/>
      <sz val="9"/>
      <color rgb="FFFF0066"/>
      <name val="Times New Roman"/>
      <family val="1"/>
      <charset val="204"/>
    </font>
    <font>
      <b/>
      <sz val="11"/>
      <color rgb="FFFF0066"/>
      <name val="Times New Roman"/>
      <family val="1"/>
      <charset val="204"/>
    </font>
    <font>
      <b/>
      <sz val="9"/>
      <color rgb="FFFF0066"/>
      <name val="Arial"/>
      <family val="2"/>
      <charset val="204"/>
    </font>
    <font>
      <b/>
      <sz val="14"/>
      <color rgb="FF00B0F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b/>
      <i/>
      <sz val="11"/>
      <color rgb="FFFF0000"/>
      <name val="Calibri"/>
      <family val="2"/>
      <charset val="1"/>
      <scheme val="minor"/>
    </font>
    <font>
      <b/>
      <i/>
      <sz val="16"/>
      <color rgb="FF9900FF"/>
      <name val="Times New Roman"/>
      <family val="1"/>
      <charset val="204"/>
    </font>
    <font>
      <b/>
      <i/>
      <sz val="9"/>
      <color theme="1"/>
      <name val="Calibri"/>
      <family val="2"/>
      <charset val="1"/>
      <scheme val="minor"/>
    </font>
    <font>
      <i/>
      <sz val="9"/>
      <color theme="1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i/>
      <sz val="9"/>
      <color rgb="FFFF0000"/>
      <name val="Calibri"/>
      <family val="2"/>
      <charset val="1"/>
      <scheme val="minor"/>
    </font>
    <font>
      <i/>
      <sz val="9"/>
      <color rgb="FF7030A0"/>
      <name val="Times New Roman"/>
      <family val="1"/>
      <charset val="204"/>
    </font>
    <font>
      <b/>
      <sz val="7"/>
      <color rgb="FF00B0F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0"/>
      <color rgb="FF7030A0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9"/>
      <color rgb="FF7030A0"/>
      <name val="Calibri"/>
      <family val="2"/>
      <charset val="1"/>
      <scheme val="minor"/>
    </font>
    <font>
      <b/>
      <i/>
      <sz val="9"/>
      <color rgb="FFFF0066"/>
      <name val="Times New Roman"/>
      <family val="1"/>
      <charset val="204"/>
    </font>
    <font>
      <b/>
      <i/>
      <sz val="9"/>
      <color rgb="FF00CC00"/>
      <name val="Times New Roman"/>
      <family val="1"/>
      <charset val="204"/>
    </font>
    <font>
      <sz val="11"/>
      <color rgb="FFFF0000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b/>
      <sz val="11"/>
      <name val="Calibri"/>
      <family val="2"/>
      <charset val="1"/>
      <scheme val="minor"/>
    </font>
    <font>
      <sz val="12"/>
      <color theme="1"/>
      <name val="Times New Roman"/>
      <family val="1"/>
      <charset val="204"/>
    </font>
    <font>
      <i/>
      <sz val="9"/>
      <color theme="1"/>
      <name val="Calibri"/>
      <family val="2"/>
      <charset val="1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23" fillId="0" borderId="0"/>
    <xf numFmtId="0" fontId="8" fillId="0" borderId="0"/>
    <xf numFmtId="43" fontId="86" fillId="0" borderId="0" applyFont="0" applyFill="0" applyBorder="0" applyAlignment="0" applyProtection="0"/>
  </cellStyleXfs>
  <cellXfs count="1222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3" fontId="2" fillId="0" borderId="10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4" fillId="0" borderId="10" xfId="0" applyFont="1" applyBorder="1" applyAlignment="1">
      <alignment vertical="center"/>
    </xf>
    <xf numFmtId="4" fontId="24" fillId="0" borderId="0" xfId="0" applyNumberFormat="1" applyFont="1" applyAlignment="1">
      <alignment horizontal="center" vertical="center"/>
    </xf>
    <xf numFmtId="4" fontId="32" fillId="0" borderId="0" xfId="0" applyNumberFormat="1" applyFont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32" fillId="0" borderId="10" xfId="0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2" fillId="0" borderId="10" xfId="0" applyFont="1" applyBorder="1" applyAlignment="1">
      <alignment horizontal="center" vertical="center"/>
    </xf>
    <xf numFmtId="1" fontId="6" fillId="0" borderId="10" xfId="1" applyNumberFormat="1" applyFont="1" applyBorder="1" applyAlignment="1">
      <alignment horizontal="left" vertical="center" wrapText="1"/>
    </xf>
    <xf numFmtId="4" fontId="2" fillId="0" borderId="10" xfId="0" applyNumberFormat="1" applyFont="1" applyBorder="1" applyAlignment="1">
      <alignment horizontal="center" vertical="center"/>
    </xf>
    <xf numFmtId="1" fontId="10" fillId="0" borderId="10" xfId="1" applyNumberFormat="1" applyFont="1" applyBorder="1" applyAlignment="1">
      <alignment horizontal="left" vertical="center" wrapText="1"/>
    </xf>
    <xf numFmtId="0" fontId="4" fillId="0" borderId="10" xfId="0" applyFont="1" applyBorder="1" applyAlignment="1">
      <alignment vertical="center"/>
    </xf>
    <xf numFmtId="0" fontId="38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10" xfId="0" applyNumberFormat="1" applyFont="1" applyBorder="1" applyAlignment="1">
      <alignment vertical="center"/>
    </xf>
    <xf numFmtId="3" fontId="2" fillId="0" borderId="13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3" fontId="2" fillId="0" borderId="12" xfId="0" applyNumberFormat="1" applyFont="1" applyBorder="1" applyAlignment="1">
      <alignment horizontal="center" vertical="center"/>
    </xf>
    <xf numFmtId="1" fontId="6" fillId="0" borderId="16" xfId="1" applyNumberFormat="1" applyFont="1" applyBorder="1" applyAlignment="1">
      <alignment horizontal="left" vertical="center" wrapText="1"/>
    </xf>
    <xf numFmtId="3" fontId="2" fillId="0" borderId="19" xfId="0" applyNumberFormat="1" applyFont="1" applyBorder="1" applyAlignment="1">
      <alignment horizontal="center" vertical="center"/>
    </xf>
    <xf numFmtId="3" fontId="2" fillId="0" borderId="28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horizontal="center" vertical="center"/>
    </xf>
    <xf numFmtId="0" fontId="18" fillId="0" borderId="46" xfId="0" applyFont="1" applyBorder="1" applyAlignment="1">
      <alignment horizontal="center" vertical="center"/>
    </xf>
    <xf numFmtId="2" fontId="6" fillId="0" borderId="9" xfId="1" applyNumberFormat="1" applyFont="1" applyBorder="1" applyAlignment="1">
      <alignment horizontal="left" vertical="center" wrapText="1"/>
    </xf>
    <xf numFmtId="2" fontId="10" fillId="0" borderId="9" xfId="1" applyNumberFormat="1" applyFont="1" applyBorder="1" applyAlignment="1">
      <alignment horizontal="left" vertical="center" wrapText="1"/>
    </xf>
    <xf numFmtId="0" fontId="18" fillId="0" borderId="51" xfId="0" applyFont="1" applyBorder="1" applyAlignment="1">
      <alignment horizontal="center" vertical="center"/>
    </xf>
    <xf numFmtId="2" fontId="6" fillId="0" borderId="25" xfId="1" applyNumberFormat="1" applyFont="1" applyBorder="1" applyAlignment="1">
      <alignment horizontal="left" vertical="center" wrapText="1"/>
    </xf>
    <xf numFmtId="1" fontId="6" fillId="0" borderId="13" xfId="1" applyNumberFormat="1" applyFont="1" applyBorder="1" applyAlignment="1">
      <alignment horizontal="left" vertical="center" wrapText="1"/>
    </xf>
    <xf numFmtId="0" fontId="4" fillId="0" borderId="50" xfId="0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3" fillId="0" borderId="10" xfId="0" applyNumberFormat="1" applyFont="1" applyBorder="1" applyAlignment="1">
      <alignment horizontal="center" vertical="center"/>
    </xf>
    <xf numFmtId="3" fontId="2" fillId="0" borderId="20" xfId="0" applyNumberFormat="1" applyFont="1" applyBorder="1" applyAlignment="1">
      <alignment horizontal="center" vertical="center"/>
    </xf>
    <xf numFmtId="3" fontId="4" fillId="0" borderId="28" xfId="0" applyNumberFormat="1" applyFont="1" applyBorder="1" applyAlignment="1">
      <alignment horizontal="center" vertical="center"/>
    </xf>
    <xf numFmtId="3" fontId="4" fillId="0" borderId="20" xfId="0" applyNumberFormat="1" applyFont="1" applyBorder="1" applyAlignment="1">
      <alignment horizontal="center" vertical="center"/>
    </xf>
    <xf numFmtId="3" fontId="2" fillId="0" borderId="58" xfId="0" applyNumberFormat="1" applyFont="1" applyBorder="1" applyAlignment="1">
      <alignment horizontal="center" vertical="center"/>
    </xf>
    <xf numFmtId="3" fontId="2" fillId="0" borderId="48" xfId="0" applyNumberFormat="1" applyFont="1" applyBorder="1" applyAlignment="1">
      <alignment horizontal="center" vertical="center"/>
    </xf>
    <xf numFmtId="3" fontId="4" fillId="0" borderId="37" xfId="0" applyNumberFormat="1" applyFont="1" applyBorder="1" applyAlignment="1">
      <alignment horizontal="center" vertical="center"/>
    </xf>
    <xf numFmtId="3" fontId="4" fillId="0" borderId="21" xfId="0" applyNumberFormat="1" applyFont="1" applyBorder="1" applyAlignment="1">
      <alignment horizontal="center" vertical="center"/>
    </xf>
    <xf numFmtId="3" fontId="4" fillId="0" borderId="48" xfId="0" applyNumberFormat="1" applyFont="1" applyBorder="1" applyAlignment="1">
      <alignment horizontal="center" vertical="center"/>
    </xf>
    <xf numFmtId="3" fontId="4" fillId="0" borderId="40" xfId="0" applyNumberFormat="1" applyFont="1" applyBorder="1" applyAlignment="1">
      <alignment horizontal="center" vertical="center"/>
    </xf>
    <xf numFmtId="3" fontId="4" fillId="0" borderId="50" xfId="0" applyNumberFormat="1" applyFont="1" applyBorder="1" applyAlignment="1">
      <alignment horizontal="center" vertical="center"/>
    </xf>
    <xf numFmtId="3" fontId="4" fillId="0" borderId="43" xfId="0" applyNumberFormat="1" applyFont="1" applyBorder="1" applyAlignment="1">
      <alignment horizontal="center" vertical="center"/>
    </xf>
    <xf numFmtId="3" fontId="4" fillId="0" borderId="52" xfId="0" applyNumberFormat="1" applyFont="1" applyBorder="1" applyAlignment="1">
      <alignment horizontal="center" vertical="center"/>
    </xf>
    <xf numFmtId="3" fontId="4" fillId="0" borderId="53" xfId="0" applyNumberFormat="1" applyFont="1" applyBorder="1" applyAlignment="1">
      <alignment horizontal="center" vertical="center"/>
    </xf>
    <xf numFmtId="3" fontId="4" fillId="0" borderId="16" xfId="0" applyNumberFormat="1" applyFont="1" applyBorder="1" applyAlignment="1">
      <alignment horizontal="center" vertical="center"/>
    </xf>
    <xf numFmtId="3" fontId="2" fillId="0" borderId="50" xfId="0" applyNumberFormat="1" applyFont="1" applyBorder="1" applyAlignment="1">
      <alignment horizontal="center" vertical="center"/>
    </xf>
    <xf numFmtId="3" fontId="2" fillId="0" borderId="42" xfId="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0" borderId="49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horizontal="center" vertical="center"/>
    </xf>
    <xf numFmtId="3" fontId="2" fillId="0" borderId="37" xfId="0" applyNumberFormat="1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center" vertical="center"/>
    </xf>
    <xf numFmtId="3" fontId="2" fillId="0" borderId="32" xfId="0" applyNumberFormat="1" applyFont="1" applyBorder="1" applyAlignment="1">
      <alignment horizontal="center" vertical="center"/>
    </xf>
    <xf numFmtId="3" fontId="4" fillId="0" borderId="24" xfId="0" applyNumberFormat="1" applyFont="1" applyBorder="1" applyAlignment="1">
      <alignment horizontal="center" vertical="center"/>
    </xf>
    <xf numFmtId="3" fontId="7" fillId="0" borderId="40" xfId="0" applyNumberFormat="1" applyFont="1" applyBorder="1" applyAlignment="1">
      <alignment horizontal="center" vertical="center" wrapText="1"/>
    </xf>
    <xf numFmtId="2" fontId="6" fillId="0" borderId="28" xfId="1" applyNumberFormat="1" applyFont="1" applyBorder="1" applyAlignment="1">
      <alignment horizontal="left" vertical="center" wrapText="1"/>
    </xf>
    <xf numFmtId="3" fontId="4" fillId="0" borderId="15" xfId="0" applyNumberFormat="1" applyFont="1" applyBorder="1" applyAlignment="1">
      <alignment horizontal="center" vertical="center"/>
    </xf>
    <xf numFmtId="3" fontId="4" fillId="0" borderId="54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vertical="center" wrapText="1"/>
    </xf>
    <xf numFmtId="3" fontId="4" fillId="0" borderId="49" xfId="0" applyNumberFormat="1" applyFont="1" applyBorder="1" applyAlignment="1">
      <alignment horizontal="center" vertical="center"/>
    </xf>
    <xf numFmtId="3" fontId="4" fillId="0" borderId="55" xfId="0" applyNumberFormat="1" applyFont="1" applyBorder="1" applyAlignment="1">
      <alignment horizontal="center" vertical="center" wrapText="1"/>
    </xf>
    <xf numFmtId="3" fontId="7" fillId="0" borderId="17" xfId="0" applyNumberFormat="1" applyFont="1" applyBorder="1" applyAlignment="1">
      <alignment horizontal="center" vertical="center" wrapText="1"/>
    </xf>
    <xf numFmtId="3" fontId="7" fillId="0" borderId="22" xfId="0" applyNumberFormat="1" applyFont="1" applyBorder="1" applyAlignment="1">
      <alignment horizontal="center" vertical="center" wrapText="1"/>
    </xf>
    <xf numFmtId="3" fontId="2" fillId="0" borderId="63" xfId="0" applyNumberFormat="1" applyFont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center" vertical="center" wrapText="1"/>
    </xf>
    <xf numFmtId="3" fontId="2" fillId="0" borderId="66" xfId="0" applyNumberFormat="1" applyFont="1" applyBorder="1" applyAlignment="1">
      <alignment horizontal="center" vertical="center" wrapText="1"/>
    </xf>
    <xf numFmtId="3" fontId="7" fillId="0" borderId="62" xfId="0" applyNumberFormat="1" applyFont="1" applyBorder="1" applyAlignment="1">
      <alignment horizontal="center" vertical="center" wrapText="1"/>
    </xf>
    <xf numFmtId="3" fontId="4" fillId="0" borderId="63" xfId="0" applyNumberFormat="1" applyFont="1" applyBorder="1" applyAlignment="1">
      <alignment horizontal="center" vertical="center" wrapText="1"/>
    </xf>
    <xf numFmtId="3" fontId="7" fillId="0" borderId="18" xfId="0" applyNumberFormat="1" applyFont="1" applyBorder="1" applyAlignment="1">
      <alignment horizontal="center" vertical="center" wrapText="1"/>
    </xf>
    <xf numFmtId="3" fontId="2" fillId="0" borderId="55" xfId="0" applyNumberFormat="1" applyFont="1" applyBorder="1" applyAlignment="1">
      <alignment horizontal="center" vertical="center" wrapText="1"/>
    </xf>
    <xf numFmtId="3" fontId="4" fillId="0" borderId="29" xfId="0" applyNumberFormat="1" applyFont="1" applyBorder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vertical="center"/>
    </xf>
    <xf numFmtId="4" fontId="4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3" borderId="10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1" fontId="18" fillId="0" borderId="16" xfId="1" applyNumberFormat="1" applyFont="1" applyBorder="1" applyAlignment="1">
      <alignment horizontal="left" vertical="center" wrapText="1"/>
    </xf>
    <xf numFmtId="1" fontId="18" fillId="0" borderId="10" xfId="1" applyNumberFormat="1" applyFont="1" applyBorder="1" applyAlignment="1">
      <alignment horizontal="left" vertical="center" wrapText="1"/>
    </xf>
    <xf numFmtId="1" fontId="48" fillId="0" borderId="10" xfId="1" applyNumberFormat="1" applyFont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2" fillId="0" borderId="0" xfId="0" applyFont="1"/>
    <xf numFmtId="0" fontId="4" fillId="0" borderId="0" xfId="0" applyFont="1"/>
    <xf numFmtId="3" fontId="6" fillId="0" borderId="64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3" fontId="4" fillId="0" borderId="58" xfId="0" applyNumberFormat="1" applyFont="1" applyBorder="1" applyAlignment="1">
      <alignment horizontal="center" vertical="center"/>
    </xf>
    <xf numFmtId="3" fontId="2" fillId="0" borderId="43" xfId="0" applyNumberFormat="1" applyFont="1" applyBorder="1" applyAlignment="1">
      <alignment horizontal="center" vertical="center" wrapText="1"/>
    </xf>
    <xf numFmtId="3" fontId="2" fillId="0" borderId="40" xfId="0" applyNumberFormat="1" applyFont="1" applyBorder="1" applyAlignment="1">
      <alignment horizontal="center" vertical="center" wrapText="1"/>
    </xf>
    <xf numFmtId="0" fontId="24" fillId="0" borderId="8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3" fontId="24" fillId="0" borderId="9" xfId="0" applyNumberFormat="1" applyFont="1" applyBorder="1" applyAlignment="1">
      <alignment horizontal="center" vertical="center"/>
    </xf>
    <xf numFmtId="3" fontId="32" fillId="0" borderId="9" xfId="0" applyNumberFormat="1" applyFont="1" applyBorder="1" applyAlignment="1">
      <alignment horizontal="center" vertical="center"/>
    </xf>
    <xf numFmtId="3" fontId="24" fillId="0" borderId="20" xfId="0" applyNumberFormat="1" applyFont="1" applyBorder="1" applyAlignment="1">
      <alignment horizontal="center" vertical="center"/>
    </xf>
    <xf numFmtId="3" fontId="32" fillId="0" borderId="11" xfId="0" applyNumberFormat="1" applyFont="1" applyBorder="1" applyAlignment="1">
      <alignment horizontal="center" vertical="center"/>
    </xf>
    <xf numFmtId="3" fontId="32" fillId="0" borderId="20" xfId="0" applyNumberFormat="1" applyFont="1" applyBorder="1" applyAlignment="1">
      <alignment horizontal="center" vertical="center"/>
    </xf>
    <xf numFmtId="49" fontId="24" fillId="0" borderId="11" xfId="0" applyNumberFormat="1" applyFont="1" applyBorder="1" applyAlignment="1">
      <alignment vertical="center"/>
    </xf>
    <xf numFmtId="49" fontId="32" fillId="0" borderId="11" xfId="0" applyNumberFormat="1" applyFont="1" applyBorder="1" applyAlignment="1">
      <alignment vertical="center"/>
    </xf>
    <xf numFmtId="49" fontId="24" fillId="0" borderId="15" xfId="0" applyNumberFormat="1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3" fontId="24" fillId="0" borderId="16" xfId="0" applyNumberFormat="1" applyFont="1" applyBorder="1" applyAlignment="1">
      <alignment horizontal="center" vertical="center"/>
    </xf>
    <xf numFmtId="3" fontId="24" fillId="0" borderId="58" xfId="0" applyNumberFormat="1" applyFont="1" applyBorder="1" applyAlignment="1">
      <alignment horizontal="center" vertical="center"/>
    </xf>
    <xf numFmtId="3" fontId="24" fillId="0" borderId="28" xfId="0" applyNumberFormat="1" applyFont="1" applyBorder="1" applyAlignment="1">
      <alignment horizontal="center" vertical="center"/>
    </xf>
    <xf numFmtId="0" fontId="32" fillId="6" borderId="55" xfId="0" applyFont="1" applyFill="1" applyBorder="1" applyAlignment="1">
      <alignment horizontal="center" vertical="center" wrapText="1"/>
    </xf>
    <xf numFmtId="0" fontId="32" fillId="6" borderId="17" xfId="0" applyFont="1" applyFill="1" applyBorder="1" applyAlignment="1">
      <alignment horizontal="center" vertical="center" wrapText="1"/>
    </xf>
    <xf numFmtId="0" fontId="32" fillId="6" borderId="22" xfId="0" applyFont="1" applyFill="1" applyBorder="1" applyAlignment="1">
      <alignment horizontal="center" vertical="center" wrapText="1"/>
    </xf>
    <xf numFmtId="0" fontId="32" fillId="6" borderId="29" xfId="0" applyFont="1" applyFill="1" applyBorder="1" applyAlignment="1">
      <alignment horizontal="center" vertical="center" wrapText="1"/>
    </xf>
    <xf numFmtId="49" fontId="33" fillId="0" borderId="21" xfId="0" applyNumberFormat="1" applyFont="1" applyBorder="1" applyAlignment="1">
      <alignment vertical="center"/>
    </xf>
    <xf numFmtId="0" fontId="33" fillId="0" borderId="12" xfId="0" applyFont="1" applyBorder="1" applyAlignment="1">
      <alignment vertical="center" wrapText="1"/>
    </xf>
    <xf numFmtId="3" fontId="24" fillId="0" borderId="48" xfId="0" applyNumberFormat="1" applyFont="1" applyBorder="1" applyAlignment="1">
      <alignment horizontal="center" vertical="center"/>
    </xf>
    <xf numFmtId="3" fontId="33" fillId="0" borderId="25" xfId="0" applyNumberFormat="1" applyFont="1" applyBorder="1" applyAlignment="1">
      <alignment horizontal="center" vertical="center"/>
    </xf>
    <xf numFmtId="0" fontId="32" fillId="6" borderId="50" xfId="0" applyFont="1" applyFill="1" applyBorder="1" applyAlignment="1">
      <alignment vertical="center"/>
    </xf>
    <xf numFmtId="0" fontId="32" fillId="6" borderId="52" xfId="0" applyFont="1" applyFill="1" applyBorder="1" applyAlignment="1">
      <alignment vertical="center"/>
    </xf>
    <xf numFmtId="3" fontId="32" fillId="6" borderId="50" xfId="0" applyNumberFormat="1" applyFont="1" applyFill="1" applyBorder="1" applyAlignment="1">
      <alignment horizontal="center" vertical="center"/>
    </xf>
    <xf numFmtId="3" fontId="32" fillId="6" borderId="43" xfId="0" applyNumberFormat="1" applyFont="1" applyFill="1" applyBorder="1" applyAlignment="1">
      <alignment horizontal="center" vertical="center"/>
    </xf>
    <xf numFmtId="3" fontId="32" fillId="6" borderId="40" xfId="0" applyNumberFormat="1" applyFont="1" applyFill="1" applyBorder="1" applyAlignment="1">
      <alignment horizontal="center" vertical="center"/>
    </xf>
    <xf numFmtId="3" fontId="32" fillId="6" borderId="53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10" xfId="0" applyFont="1" applyBorder="1"/>
    <xf numFmtId="9" fontId="24" fillId="0" borderId="0" xfId="0" applyNumberFormat="1" applyFont="1" applyAlignment="1">
      <alignment vertical="center"/>
    </xf>
    <xf numFmtId="9" fontId="2" fillId="0" borderId="10" xfId="0" applyNumberFormat="1" applyFont="1" applyBorder="1" applyAlignment="1">
      <alignment horizontal="center" vertical="center"/>
    </xf>
    <xf numFmtId="9" fontId="4" fillId="0" borderId="10" xfId="0" applyNumberFormat="1" applyFont="1" applyBorder="1" applyAlignment="1">
      <alignment horizontal="center" vertical="center"/>
    </xf>
    <xf numFmtId="9" fontId="32" fillId="0" borderId="0" xfId="0" applyNumberFormat="1" applyFont="1" applyAlignment="1">
      <alignment horizontal="center" vertical="center"/>
    </xf>
    <xf numFmtId="3" fontId="49" fillId="0" borderId="0" xfId="0" applyNumberFormat="1" applyFont="1" applyAlignment="1">
      <alignment horizontal="center" vertical="center"/>
    </xf>
    <xf numFmtId="3" fontId="2" fillId="4" borderId="10" xfId="0" applyNumberFormat="1" applyFont="1" applyFill="1" applyBorder="1" applyAlignment="1">
      <alignment horizontal="center" vertical="center"/>
    </xf>
    <xf numFmtId="3" fontId="37" fillId="0" borderId="0" xfId="0" applyNumberFormat="1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3" fontId="2" fillId="0" borderId="45" xfId="0" applyNumberFormat="1" applyFont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/>
    </xf>
    <xf numFmtId="3" fontId="37" fillId="0" borderId="10" xfId="0" applyNumberFormat="1" applyFont="1" applyBorder="1" applyAlignment="1">
      <alignment horizontal="center" vertical="center"/>
    </xf>
    <xf numFmtId="3" fontId="5" fillId="0" borderId="0" xfId="0" applyNumberFormat="1" applyFont="1"/>
    <xf numFmtId="0" fontId="5" fillId="0" borderId="0" xfId="0" applyFont="1"/>
    <xf numFmtId="0" fontId="4" fillId="0" borderId="10" xfId="0" applyFont="1" applyBorder="1"/>
    <xf numFmtId="3" fontId="4" fillId="0" borderId="10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center" vertical="center"/>
    </xf>
    <xf numFmtId="3" fontId="2" fillId="3" borderId="10" xfId="0" applyNumberFormat="1" applyFont="1" applyFill="1" applyBorder="1" applyAlignment="1">
      <alignment horizontal="center" vertical="center"/>
    </xf>
    <xf numFmtId="3" fontId="2" fillId="3" borderId="11" xfId="0" applyNumberFormat="1" applyFont="1" applyFill="1" applyBorder="1" applyAlignment="1">
      <alignment horizontal="center" vertical="center"/>
    </xf>
    <xf numFmtId="3" fontId="2" fillId="3" borderId="20" xfId="0" applyNumberFormat="1" applyFont="1" applyFill="1" applyBorder="1" applyAlignment="1">
      <alignment horizontal="center" vertical="center"/>
    </xf>
    <xf numFmtId="3" fontId="4" fillId="3" borderId="11" xfId="0" applyNumberFormat="1" applyFont="1" applyFill="1" applyBorder="1" applyAlignment="1">
      <alignment horizontal="center" vertical="center"/>
    </xf>
    <xf numFmtId="3" fontId="4" fillId="3" borderId="10" xfId="0" applyNumberFormat="1" applyFont="1" applyFill="1" applyBorder="1" applyAlignment="1">
      <alignment horizontal="center" vertical="center"/>
    </xf>
    <xf numFmtId="3" fontId="4" fillId="3" borderId="20" xfId="0" applyNumberFormat="1" applyFont="1" applyFill="1" applyBorder="1" applyAlignment="1">
      <alignment horizontal="center" vertical="center"/>
    </xf>
    <xf numFmtId="167" fontId="2" fillId="0" borderId="0" xfId="0" applyNumberFormat="1" applyFont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3" fontId="24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vertical="center"/>
    </xf>
    <xf numFmtId="3" fontId="4" fillId="8" borderId="10" xfId="0" applyNumberFormat="1" applyFont="1" applyFill="1" applyBorder="1" applyAlignment="1">
      <alignment horizontal="center" vertical="center"/>
    </xf>
    <xf numFmtId="3" fontId="41" fillId="8" borderId="10" xfId="0" applyNumberFormat="1" applyFont="1" applyFill="1" applyBorder="1" applyAlignment="1">
      <alignment horizontal="center" vertical="center"/>
    </xf>
    <xf numFmtId="167" fontId="9" fillId="8" borderId="10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3" fontId="41" fillId="3" borderId="10" xfId="0" applyNumberFormat="1" applyFont="1" applyFill="1" applyBorder="1" applyAlignment="1">
      <alignment horizontal="center" vertical="center"/>
    </xf>
    <xf numFmtId="167" fontId="9" fillId="3" borderId="10" xfId="0" applyNumberFormat="1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vertical="center"/>
    </xf>
    <xf numFmtId="3" fontId="4" fillId="4" borderId="10" xfId="0" applyNumberFormat="1" applyFont="1" applyFill="1" applyBorder="1" applyAlignment="1">
      <alignment horizontal="center" vertical="center"/>
    </xf>
    <xf numFmtId="3" fontId="41" fillId="4" borderId="10" xfId="0" applyNumberFormat="1" applyFont="1" applyFill="1" applyBorder="1" applyAlignment="1">
      <alignment horizontal="center" vertical="center"/>
    </xf>
    <xf numFmtId="167" fontId="9" fillId="4" borderId="10" xfId="0" applyNumberFormat="1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vertical="center"/>
    </xf>
    <xf numFmtId="3" fontId="2" fillId="5" borderId="10" xfId="0" applyNumberFormat="1" applyFont="1" applyFill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3" fontId="41" fillId="5" borderId="10" xfId="0" applyNumberFormat="1" applyFont="1" applyFill="1" applyBorder="1" applyAlignment="1">
      <alignment horizontal="center" vertical="center"/>
    </xf>
    <xf numFmtId="167" fontId="9" fillId="5" borderId="10" xfId="0" applyNumberFormat="1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vertical="center"/>
    </xf>
    <xf numFmtId="0" fontId="56" fillId="5" borderId="10" xfId="0" applyFont="1" applyFill="1" applyBorder="1" applyAlignment="1">
      <alignment vertical="center"/>
    </xf>
    <xf numFmtId="2" fontId="56" fillId="8" borderId="10" xfId="0" applyNumberFormat="1" applyFont="1" applyFill="1" applyBorder="1" applyAlignment="1">
      <alignment horizontal="center" vertical="center"/>
    </xf>
    <xf numFmtId="2" fontId="56" fillId="3" borderId="10" xfId="0" applyNumberFormat="1" applyFont="1" applyFill="1" applyBorder="1" applyAlignment="1">
      <alignment horizontal="center" vertical="center"/>
    </xf>
    <xf numFmtId="2" fontId="56" fillId="4" borderId="10" xfId="0" applyNumberFormat="1" applyFon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2" fillId="4" borderId="20" xfId="0" applyFont="1" applyFill="1" applyBorder="1" applyAlignment="1">
      <alignment vertical="center"/>
    </xf>
    <xf numFmtId="0" fontId="22" fillId="5" borderId="11" xfId="0" applyFont="1" applyFill="1" applyBorder="1" applyAlignment="1">
      <alignment vertical="center"/>
    </xf>
    <xf numFmtId="16" fontId="22" fillId="5" borderId="11" xfId="0" applyNumberFormat="1" applyFont="1" applyFill="1" applyBorder="1" applyAlignment="1">
      <alignment vertical="center"/>
    </xf>
    <xf numFmtId="3" fontId="4" fillId="4" borderId="20" xfId="0" applyNumberFormat="1" applyFont="1" applyFill="1" applyBorder="1" applyAlignment="1">
      <alignment horizontal="center" vertical="center"/>
    </xf>
    <xf numFmtId="0" fontId="20" fillId="5" borderId="11" xfId="0" applyFont="1" applyFill="1" applyBorder="1" applyAlignment="1">
      <alignment vertical="center"/>
    </xf>
    <xf numFmtId="3" fontId="2" fillId="4" borderId="20" xfId="0" applyNumberFormat="1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vertical="center"/>
    </xf>
    <xf numFmtId="0" fontId="2" fillId="5" borderId="11" xfId="0" applyFont="1" applyFill="1" applyBorder="1" applyAlignment="1">
      <alignment vertical="center"/>
    </xf>
    <xf numFmtId="0" fontId="9" fillId="5" borderId="11" xfId="0" applyFont="1" applyFill="1" applyBorder="1" applyAlignment="1">
      <alignment vertical="center"/>
    </xf>
    <xf numFmtId="167" fontId="9" fillId="4" borderId="20" xfId="0" applyNumberFormat="1" applyFont="1" applyFill="1" applyBorder="1" applyAlignment="1">
      <alignment horizontal="center" vertical="center"/>
    </xf>
    <xf numFmtId="0" fontId="56" fillId="5" borderId="11" xfId="0" applyFont="1" applyFill="1" applyBorder="1" applyAlignment="1">
      <alignment vertical="center"/>
    </xf>
    <xf numFmtId="0" fontId="56" fillId="4" borderId="20" xfId="0" applyFont="1" applyFill="1" applyBorder="1" applyAlignment="1">
      <alignment vertical="center"/>
    </xf>
    <xf numFmtId="0" fontId="4" fillId="5" borderId="11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2" fillId="5" borderId="55" xfId="0" applyFont="1" applyFill="1" applyBorder="1" applyAlignment="1">
      <alignment vertical="center"/>
    </xf>
    <xf numFmtId="0" fontId="2" fillId="5" borderId="17" xfId="0" applyFont="1" applyFill="1" applyBorder="1" applyAlignment="1">
      <alignment vertical="center"/>
    </xf>
    <xf numFmtId="164" fontId="2" fillId="8" borderId="17" xfId="0" applyNumberFormat="1" applyFont="1" applyFill="1" applyBorder="1" applyAlignment="1">
      <alignment horizontal="center" vertical="center" wrapText="1"/>
    </xf>
    <xf numFmtId="164" fontId="2" fillId="3" borderId="17" xfId="0" applyNumberFormat="1" applyFont="1" applyFill="1" applyBorder="1" applyAlignment="1">
      <alignment horizontal="center" vertical="center" wrapText="1"/>
    </xf>
    <xf numFmtId="164" fontId="2" fillId="4" borderId="17" xfId="0" applyNumberFormat="1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vertical="center"/>
    </xf>
    <xf numFmtId="0" fontId="27" fillId="5" borderId="15" xfId="0" applyFont="1" applyFill="1" applyBorder="1" applyAlignment="1">
      <alignment vertical="center" wrapText="1"/>
    </xf>
    <xf numFmtId="0" fontId="2" fillId="8" borderId="17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8" fillId="5" borderId="19" xfId="0" applyFont="1" applyFill="1" applyBorder="1" applyAlignment="1">
      <alignment horizontal="right" vertical="center" wrapText="1"/>
    </xf>
    <xf numFmtId="0" fontId="25" fillId="5" borderId="8" xfId="0" applyFont="1" applyFill="1" applyBorder="1" applyAlignment="1">
      <alignment vertical="center"/>
    </xf>
    <xf numFmtId="0" fontId="22" fillId="5" borderId="8" xfId="0" applyFont="1" applyFill="1" applyBorder="1" applyAlignment="1">
      <alignment vertical="center" wrapText="1"/>
    </xf>
    <xf numFmtId="0" fontId="20" fillId="5" borderId="8" xfId="0" applyFont="1" applyFill="1" applyBorder="1" applyAlignment="1">
      <alignment vertical="center"/>
    </xf>
    <xf numFmtId="16" fontId="20" fillId="5" borderId="8" xfId="0" applyNumberFormat="1" applyFont="1" applyFill="1" applyBorder="1" applyAlignment="1">
      <alignment vertical="center"/>
    </xf>
    <xf numFmtId="0" fontId="22" fillId="5" borderId="8" xfId="0" applyFont="1" applyFill="1" applyBorder="1" applyAlignment="1">
      <alignment vertical="center"/>
    </xf>
    <xf numFmtId="0" fontId="29" fillId="5" borderId="8" xfId="0" applyFont="1" applyFill="1" applyBorder="1" applyAlignment="1">
      <alignment vertical="center" wrapText="1"/>
    </xf>
    <xf numFmtId="0" fontId="20" fillId="5" borderId="8" xfId="0" applyFont="1" applyFill="1" applyBorder="1" applyAlignment="1">
      <alignment vertical="center" wrapText="1"/>
    </xf>
    <xf numFmtId="0" fontId="30" fillId="5" borderId="8" xfId="0" applyFont="1" applyFill="1" applyBorder="1" applyAlignment="1">
      <alignment vertical="center" wrapText="1"/>
    </xf>
    <xf numFmtId="0" fontId="21" fillId="5" borderId="8" xfId="0" applyFont="1" applyFill="1" applyBorder="1" applyAlignment="1">
      <alignment vertical="center" wrapText="1"/>
    </xf>
    <xf numFmtId="0" fontId="2" fillId="5" borderId="8" xfId="0" applyFont="1" applyFill="1" applyBorder="1" applyAlignment="1">
      <alignment vertical="center"/>
    </xf>
    <xf numFmtId="0" fontId="9" fillId="5" borderId="8" xfId="0" applyFont="1" applyFill="1" applyBorder="1" applyAlignment="1">
      <alignment vertical="center"/>
    </xf>
    <xf numFmtId="0" fontId="56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/>
    </xf>
    <xf numFmtId="0" fontId="2" fillId="5" borderId="18" xfId="0" applyFont="1" applyFill="1" applyBorder="1" applyAlignment="1">
      <alignment vertical="center"/>
    </xf>
    <xf numFmtId="0" fontId="2" fillId="8" borderId="29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3" fontId="4" fillId="8" borderId="9" xfId="0" applyNumberFormat="1" applyFont="1" applyFill="1" applyBorder="1" applyAlignment="1">
      <alignment horizontal="center" vertical="center"/>
    </xf>
    <xf numFmtId="3" fontId="2" fillId="8" borderId="9" xfId="0" applyNumberFormat="1" applyFont="1" applyFill="1" applyBorder="1" applyAlignment="1">
      <alignment horizontal="center" vertical="center"/>
    </xf>
    <xf numFmtId="167" fontId="9" fillId="8" borderId="9" xfId="0" applyNumberFormat="1" applyFont="1" applyFill="1" applyBorder="1" applyAlignment="1">
      <alignment horizontal="center" vertical="center"/>
    </xf>
    <xf numFmtId="4" fontId="56" fillId="8" borderId="9" xfId="0" applyNumberFormat="1" applyFont="1" applyFill="1" applyBorder="1" applyAlignment="1">
      <alignment horizontal="center" vertical="center"/>
    </xf>
    <xf numFmtId="164" fontId="2" fillId="8" borderId="29" xfId="0" applyNumberFormat="1" applyFont="1" applyFill="1" applyBorder="1" applyAlignment="1">
      <alignment horizontal="center" vertical="center" wrapText="1"/>
    </xf>
    <xf numFmtId="0" fontId="2" fillId="5" borderId="58" xfId="0" applyFont="1" applyFill="1" applyBorder="1" applyAlignment="1">
      <alignment vertical="center"/>
    </xf>
    <xf numFmtId="3" fontId="2" fillId="5" borderId="11" xfId="0" applyNumberFormat="1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vertical="center"/>
    </xf>
    <xf numFmtId="3" fontId="4" fillId="5" borderId="11" xfId="0" applyNumberFormat="1" applyFont="1" applyFill="1" applyBorder="1" applyAlignment="1">
      <alignment horizontal="center" vertical="center"/>
    </xf>
    <xf numFmtId="164" fontId="4" fillId="5" borderId="20" xfId="0" applyNumberFormat="1" applyFont="1" applyFill="1" applyBorder="1" applyAlignment="1">
      <alignment horizontal="center" vertical="center"/>
    </xf>
    <xf numFmtId="164" fontId="2" fillId="5" borderId="20" xfId="0" applyNumberFormat="1" applyFont="1" applyFill="1" applyBorder="1" applyAlignment="1">
      <alignment horizontal="center" vertical="center"/>
    </xf>
    <xf numFmtId="167" fontId="9" fillId="5" borderId="11" xfId="0" applyNumberFormat="1" applyFont="1" applyFill="1" applyBorder="1" applyAlignment="1">
      <alignment horizontal="center" vertical="center"/>
    </xf>
    <xf numFmtId="0" fontId="56" fillId="5" borderId="20" xfId="0" applyFont="1" applyFill="1" applyBorder="1" applyAlignment="1">
      <alignment vertical="center"/>
    </xf>
    <xf numFmtId="0" fontId="4" fillId="5" borderId="20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2" fillId="8" borderId="18" xfId="0" applyFont="1" applyFill="1" applyBorder="1" applyAlignment="1">
      <alignment vertical="center"/>
    </xf>
    <xf numFmtId="0" fontId="2" fillId="8" borderId="8" xfId="0" applyFont="1" applyFill="1" applyBorder="1" applyAlignment="1">
      <alignment vertical="center"/>
    </xf>
    <xf numFmtId="3" fontId="4" fillId="8" borderId="8" xfId="0" applyNumberFormat="1" applyFont="1" applyFill="1" applyBorder="1" applyAlignment="1">
      <alignment horizontal="center" vertical="center"/>
    </xf>
    <xf numFmtId="3" fontId="2" fillId="8" borderId="8" xfId="0" applyNumberFormat="1" applyFont="1" applyFill="1" applyBorder="1" applyAlignment="1">
      <alignment horizontal="center" vertical="center"/>
    </xf>
    <xf numFmtId="167" fontId="9" fillId="8" borderId="8" xfId="0" applyNumberFormat="1" applyFont="1" applyFill="1" applyBorder="1" applyAlignment="1">
      <alignment horizontal="center" vertical="center"/>
    </xf>
    <xf numFmtId="0" fontId="56" fillId="8" borderId="8" xfId="0" applyFont="1" applyFill="1" applyBorder="1" applyAlignment="1">
      <alignment vertical="center"/>
    </xf>
    <xf numFmtId="0" fontId="4" fillId="8" borderId="8" xfId="0" applyFont="1" applyFill="1" applyBorder="1" applyAlignment="1">
      <alignment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3" fontId="4" fillId="4" borderId="9" xfId="0" applyNumberFormat="1" applyFont="1" applyFill="1" applyBorder="1" applyAlignment="1">
      <alignment horizontal="center" vertical="center"/>
    </xf>
    <xf numFmtId="3" fontId="2" fillId="4" borderId="9" xfId="0" applyNumberFormat="1" applyFont="1" applyFill="1" applyBorder="1" applyAlignment="1">
      <alignment horizontal="center" vertical="center"/>
    </xf>
    <xf numFmtId="167" fontId="9" fillId="4" borderId="9" xfId="0" applyNumberFormat="1" applyFont="1" applyFill="1" applyBorder="1" applyAlignment="1">
      <alignment horizontal="center" vertical="center"/>
    </xf>
    <xf numFmtId="4" fontId="56" fillId="4" borderId="9" xfId="0" applyNumberFormat="1" applyFont="1" applyFill="1" applyBorder="1" applyAlignment="1">
      <alignment horizontal="center" vertical="center"/>
    </xf>
    <xf numFmtId="164" fontId="2" fillId="4" borderId="29" xfId="0" applyNumberFormat="1" applyFont="1" applyFill="1" applyBorder="1" applyAlignment="1">
      <alignment horizontal="center" vertical="center" wrapText="1"/>
    </xf>
    <xf numFmtId="0" fontId="2" fillId="3" borderId="55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vertical="center"/>
    </xf>
    <xf numFmtId="0" fontId="2" fillId="3" borderId="11" xfId="0" applyFont="1" applyFill="1" applyBorder="1" applyAlignment="1">
      <alignment horizontal="center" vertical="center"/>
    </xf>
    <xf numFmtId="167" fontId="9" fillId="3" borderId="11" xfId="0" applyNumberFormat="1" applyFont="1" applyFill="1" applyBorder="1" applyAlignment="1">
      <alignment horizontal="center" vertical="center"/>
    </xf>
    <xf numFmtId="167" fontId="9" fillId="3" borderId="20" xfId="0" applyNumberFormat="1" applyFont="1" applyFill="1" applyBorder="1" applyAlignment="1">
      <alignment horizontal="center" vertical="center"/>
    </xf>
    <xf numFmtId="4" fontId="56" fillId="3" borderId="11" xfId="0" applyNumberFormat="1" applyFont="1" applyFill="1" applyBorder="1" applyAlignment="1">
      <alignment horizontal="center" vertical="center"/>
    </xf>
    <xf numFmtId="0" fontId="56" fillId="3" borderId="20" xfId="0" applyFont="1" applyFill="1" applyBorder="1" applyAlignment="1">
      <alignment vertical="center"/>
    </xf>
    <xf numFmtId="0" fontId="4" fillId="3" borderId="20" xfId="0" applyFont="1" applyFill="1" applyBorder="1" applyAlignment="1">
      <alignment vertical="center"/>
    </xf>
    <xf numFmtId="164" fontId="2" fillId="3" borderId="55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57" fillId="0" borderId="10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3" fontId="2" fillId="0" borderId="29" xfId="0" applyNumberFormat="1" applyFont="1" applyBorder="1" applyAlignment="1">
      <alignment horizontal="center" vertical="center" wrapText="1"/>
    </xf>
    <xf numFmtId="4" fontId="4" fillId="0" borderId="58" xfId="1" applyNumberFormat="1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/>
    </xf>
    <xf numFmtId="0" fontId="38" fillId="0" borderId="17" xfId="0" applyFont="1" applyBorder="1" applyAlignment="1">
      <alignment vertical="center"/>
    </xf>
    <xf numFmtId="0" fontId="18" fillId="0" borderId="17" xfId="0" applyFont="1" applyBorder="1" applyAlignment="1">
      <alignment vertical="center"/>
    </xf>
    <xf numFmtId="3" fontId="2" fillId="5" borderId="63" xfId="0" applyNumberFormat="1" applyFont="1" applyFill="1" applyBorder="1" applyAlignment="1">
      <alignment horizontal="center" vertical="center" wrapText="1"/>
    </xf>
    <xf numFmtId="0" fontId="2" fillId="5" borderId="64" xfId="0" applyFont="1" applyFill="1" applyBorder="1" applyAlignment="1">
      <alignment horizontal="center" vertical="center" wrapText="1"/>
    </xf>
    <xf numFmtId="0" fontId="2" fillId="5" borderId="65" xfId="0" applyFont="1" applyFill="1" applyBorder="1" applyAlignment="1">
      <alignment horizontal="center" vertical="center" wrapText="1"/>
    </xf>
    <xf numFmtId="3" fontId="2" fillId="5" borderId="34" xfId="0" applyNumberFormat="1" applyFont="1" applyFill="1" applyBorder="1" applyAlignment="1">
      <alignment horizontal="center" vertical="center"/>
    </xf>
    <xf numFmtId="0" fontId="4" fillId="5" borderId="71" xfId="0" applyFont="1" applyFill="1" applyBorder="1" applyAlignment="1">
      <alignment horizontal="center" vertical="center"/>
    </xf>
    <xf numFmtId="0" fontId="4" fillId="5" borderId="35" xfId="0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2" fillId="5" borderId="47" xfId="0" applyNumberFormat="1" applyFont="1" applyFill="1" applyBorder="1" applyAlignment="1">
      <alignment horizontal="center" vertical="center"/>
    </xf>
    <xf numFmtId="2" fontId="6" fillId="0" borderId="10" xfId="1" applyNumberFormat="1" applyFont="1" applyBorder="1" applyAlignment="1">
      <alignment horizontal="left" vertical="center" wrapText="1"/>
    </xf>
    <xf numFmtId="2" fontId="10" fillId="0" borderId="10" xfId="1" applyNumberFormat="1" applyFont="1" applyBorder="1" applyAlignment="1">
      <alignment horizontal="left" vertical="center" wrapText="1"/>
    </xf>
    <xf numFmtId="3" fontId="4" fillId="0" borderId="19" xfId="1" applyNumberFormat="1" applyFont="1" applyBorder="1" applyAlignment="1">
      <alignment horizontal="center" vertical="center" wrapText="1"/>
    </xf>
    <xf numFmtId="3" fontId="4" fillId="0" borderId="39" xfId="1" applyNumberFormat="1" applyFont="1" applyBorder="1" applyAlignment="1">
      <alignment horizontal="center" vertical="center" wrapText="1"/>
    </xf>
    <xf numFmtId="4" fontId="16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 wrapText="1"/>
    </xf>
    <xf numFmtId="4" fontId="4" fillId="0" borderId="0" xfId="0" applyNumberFormat="1" applyFont="1" applyAlignment="1">
      <alignment horizontal="center" vertical="center"/>
    </xf>
    <xf numFmtId="4" fontId="2" fillId="0" borderId="10" xfId="0" applyNumberFormat="1" applyFont="1" applyBorder="1" applyAlignment="1">
      <alignment horizontal="center" vertical="center" wrapText="1"/>
    </xf>
    <xf numFmtId="165" fontId="4" fillId="0" borderId="10" xfId="0" applyNumberFormat="1" applyFont="1" applyBorder="1" applyAlignment="1">
      <alignment vertical="center"/>
    </xf>
    <xf numFmtId="4" fontId="6" fillId="0" borderId="15" xfId="1" applyNumberFormat="1" applyFont="1" applyBorder="1" applyAlignment="1">
      <alignment horizontal="center" vertical="center" wrapText="1"/>
    </xf>
    <xf numFmtId="4" fontId="6" fillId="0" borderId="11" xfId="1" applyNumberFormat="1" applyFont="1" applyBorder="1" applyAlignment="1">
      <alignment horizontal="center" vertical="center" wrapText="1"/>
    </xf>
    <xf numFmtId="166" fontId="4" fillId="0" borderId="10" xfId="0" applyNumberFormat="1" applyFont="1" applyBorder="1" applyAlignment="1">
      <alignment horizontal="center" vertical="center"/>
    </xf>
    <xf numFmtId="2" fontId="6" fillId="3" borderId="9" xfId="1" applyNumberFormat="1" applyFont="1" applyFill="1" applyBorder="1" applyAlignment="1">
      <alignment horizontal="left" vertical="center" wrapText="1"/>
    </xf>
    <xf numFmtId="168" fontId="2" fillId="0" borderId="0" xfId="0" applyNumberFormat="1" applyFont="1" applyAlignment="1">
      <alignment horizontal="center" vertical="center"/>
    </xf>
    <xf numFmtId="168" fontId="2" fillId="0" borderId="10" xfId="0" applyNumberFormat="1" applyFont="1" applyBorder="1" applyAlignment="1">
      <alignment horizontal="center" vertical="center"/>
    </xf>
    <xf numFmtId="168" fontId="4" fillId="0" borderId="10" xfId="0" applyNumberFormat="1" applyFont="1" applyBorder="1" applyAlignment="1">
      <alignment horizontal="center" vertical="center"/>
    </xf>
    <xf numFmtId="4" fontId="4" fillId="0" borderId="8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3" fontId="59" fillId="0" borderId="10" xfId="0" applyNumberFormat="1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3" fontId="58" fillId="0" borderId="24" xfId="0" applyNumberFormat="1" applyFont="1" applyBorder="1" applyAlignment="1">
      <alignment horizontal="center" vertical="center"/>
    </xf>
    <xf numFmtId="3" fontId="59" fillId="0" borderId="46" xfId="0" applyNumberFormat="1" applyFont="1" applyBorder="1" applyAlignment="1">
      <alignment horizontal="center" vertical="center"/>
    </xf>
    <xf numFmtId="1" fontId="6" fillId="0" borderId="16" xfId="1" applyNumberFormat="1" applyFont="1" applyBorder="1" applyAlignment="1">
      <alignment horizontal="center" vertical="center" wrapText="1"/>
    </xf>
    <xf numFmtId="1" fontId="6" fillId="3" borderId="16" xfId="1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1" fontId="61" fillId="0" borderId="16" xfId="1" applyNumberFormat="1" applyFont="1" applyBorder="1" applyAlignment="1">
      <alignment horizontal="center" vertical="center" wrapText="1"/>
    </xf>
    <xf numFmtId="0" fontId="62" fillId="0" borderId="43" xfId="0" applyFont="1" applyBorder="1" applyAlignment="1">
      <alignment horizontal="center" vertical="center"/>
    </xf>
    <xf numFmtId="0" fontId="62" fillId="0" borderId="10" xfId="0" applyFont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3" fontId="13" fillId="2" borderId="0" xfId="0" applyNumberFormat="1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4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56" fillId="5" borderId="11" xfId="0" applyNumberFormat="1" applyFont="1" applyFill="1" applyBorder="1" applyAlignment="1">
      <alignment horizontal="center" vertical="center"/>
    </xf>
    <xf numFmtId="167" fontId="56" fillId="5" borderId="10" xfId="0" applyNumberFormat="1" applyFont="1" applyFill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3" fontId="7" fillId="10" borderId="10" xfId="0" applyNumberFormat="1" applyFont="1" applyFill="1" applyBorder="1" applyAlignment="1">
      <alignment horizontal="center" vertical="center"/>
    </xf>
    <xf numFmtId="3" fontId="7" fillId="2" borderId="10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74" fillId="0" borderId="0" xfId="0" applyFont="1" applyAlignment="1">
      <alignment horizontal="center" vertical="center"/>
    </xf>
    <xf numFmtId="2" fontId="6" fillId="0" borderId="16" xfId="1" applyNumberFormat="1" applyFont="1" applyBorder="1" applyAlignment="1">
      <alignment horizontal="left" vertical="center" wrapText="1"/>
    </xf>
    <xf numFmtId="3" fontId="7" fillId="2" borderId="16" xfId="0" applyNumberFormat="1" applyFont="1" applyFill="1" applyBorder="1" applyAlignment="1">
      <alignment horizontal="center" vertical="center"/>
    </xf>
    <xf numFmtId="3" fontId="7" fillId="10" borderId="16" xfId="0" applyNumberFormat="1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3" fontId="7" fillId="10" borderId="17" xfId="0" applyNumberFormat="1" applyFont="1" applyFill="1" applyBorder="1" applyAlignment="1">
      <alignment horizontal="center" vertical="center"/>
    </xf>
    <xf numFmtId="3" fontId="7" fillId="10" borderId="29" xfId="0" applyNumberFormat="1" applyFont="1" applyFill="1" applyBorder="1" applyAlignment="1">
      <alignment horizontal="center" vertical="center"/>
    </xf>
    <xf numFmtId="3" fontId="7" fillId="10" borderId="28" xfId="0" applyNumberFormat="1" applyFont="1" applyFill="1" applyBorder="1" applyAlignment="1">
      <alignment horizontal="center" vertical="center"/>
    </xf>
    <xf numFmtId="3" fontId="7" fillId="10" borderId="9" xfId="0" applyNumberFormat="1" applyFont="1" applyFill="1" applyBorder="1" applyAlignment="1">
      <alignment horizontal="center" vertical="center"/>
    </xf>
    <xf numFmtId="0" fontId="7" fillId="2" borderId="55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3" fontId="7" fillId="2" borderId="15" xfId="0" applyNumberFormat="1" applyFont="1" applyFill="1" applyBorder="1" applyAlignment="1">
      <alignment horizontal="center" vertical="center"/>
    </xf>
    <xf numFmtId="9" fontId="7" fillId="2" borderId="58" xfId="0" applyNumberFormat="1" applyFont="1" applyFill="1" applyBorder="1" applyAlignment="1">
      <alignment horizontal="center" vertical="center"/>
    </xf>
    <xf numFmtId="3" fontId="7" fillId="2" borderId="11" xfId="0" applyNumberFormat="1" applyFont="1" applyFill="1" applyBorder="1" applyAlignment="1">
      <alignment horizontal="center" vertical="center"/>
    </xf>
    <xf numFmtId="9" fontId="7" fillId="2" borderId="20" xfId="0" applyNumberFormat="1" applyFont="1" applyFill="1" applyBorder="1" applyAlignment="1">
      <alignment horizontal="center" vertical="center"/>
    </xf>
    <xf numFmtId="0" fontId="7" fillId="10" borderId="18" xfId="0" applyFont="1" applyFill="1" applyBorder="1" applyAlignment="1">
      <alignment horizontal="center" vertical="center"/>
    </xf>
    <xf numFmtId="9" fontId="7" fillId="10" borderId="19" xfId="0" applyNumberFormat="1" applyFont="1" applyFill="1" applyBorder="1" applyAlignment="1">
      <alignment horizontal="center" vertical="center"/>
    </xf>
    <xf numFmtId="9" fontId="7" fillId="10" borderId="8" xfId="0" applyNumberFormat="1" applyFont="1" applyFill="1" applyBorder="1" applyAlignment="1">
      <alignment horizontal="center" vertical="center"/>
    </xf>
    <xf numFmtId="3" fontId="71" fillId="5" borderId="46" xfId="0" applyNumberFormat="1" applyFont="1" applyFill="1" applyBorder="1" applyAlignment="1">
      <alignment horizontal="center" vertical="center"/>
    </xf>
    <xf numFmtId="3" fontId="71" fillId="5" borderId="45" xfId="0" applyNumberFormat="1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1" fontId="18" fillId="0" borderId="58" xfId="1" applyNumberFormat="1" applyFont="1" applyBorder="1" applyAlignment="1">
      <alignment horizontal="left" vertical="center" wrapText="1"/>
    </xf>
    <xf numFmtId="0" fontId="18" fillId="0" borderId="11" xfId="0" applyFont="1" applyBorder="1" applyAlignment="1">
      <alignment horizontal="center" vertical="center"/>
    </xf>
    <xf numFmtId="1" fontId="18" fillId="0" borderId="20" xfId="1" applyNumberFormat="1" applyFont="1" applyBorder="1" applyAlignment="1">
      <alignment horizontal="left" vertical="center" wrapText="1"/>
    </xf>
    <xf numFmtId="1" fontId="48" fillId="0" borderId="20" xfId="1" applyNumberFormat="1" applyFont="1" applyBorder="1" applyAlignment="1">
      <alignment horizontal="left" vertical="center" wrapText="1"/>
    </xf>
    <xf numFmtId="0" fontId="18" fillId="0" borderId="21" xfId="0" applyFont="1" applyBorder="1" applyAlignment="1">
      <alignment horizontal="center" vertical="center"/>
    </xf>
    <xf numFmtId="2" fontId="6" fillId="0" borderId="13" xfId="1" applyNumberFormat="1" applyFont="1" applyBorder="1" applyAlignment="1">
      <alignment horizontal="left" vertical="center" wrapText="1"/>
    </xf>
    <xf numFmtId="1" fontId="18" fillId="0" borderId="48" xfId="1" applyNumberFormat="1" applyFont="1" applyBorder="1" applyAlignment="1">
      <alignment horizontal="left" vertical="center" wrapText="1"/>
    </xf>
    <xf numFmtId="3" fontId="7" fillId="2" borderId="21" xfId="0" applyNumberFormat="1" applyFont="1" applyFill="1" applyBorder="1" applyAlignment="1">
      <alignment horizontal="center" vertical="center"/>
    </xf>
    <xf numFmtId="3" fontId="7" fillId="2" borderId="13" xfId="0" applyNumberFormat="1" applyFont="1" applyFill="1" applyBorder="1" applyAlignment="1">
      <alignment horizontal="center" vertical="center"/>
    </xf>
    <xf numFmtId="9" fontId="7" fillId="2" borderId="48" xfId="0" applyNumberFormat="1" applyFont="1" applyFill="1" applyBorder="1" applyAlignment="1">
      <alignment horizontal="center" vertical="center"/>
    </xf>
    <xf numFmtId="3" fontId="7" fillId="10" borderId="25" xfId="0" applyNumberFormat="1" applyFont="1" applyFill="1" applyBorder="1" applyAlignment="1">
      <alignment horizontal="center" vertical="center"/>
    </xf>
    <xf numFmtId="3" fontId="7" fillId="10" borderId="13" xfId="0" applyNumberFormat="1" applyFont="1" applyFill="1" applyBorder="1" applyAlignment="1">
      <alignment horizontal="center" vertical="center"/>
    </xf>
    <xf numFmtId="9" fontId="7" fillId="10" borderId="12" xfId="0" applyNumberFormat="1" applyFont="1" applyFill="1" applyBorder="1" applyAlignment="1">
      <alignment horizontal="center" vertical="center"/>
    </xf>
    <xf numFmtId="3" fontId="71" fillId="5" borderId="57" xfId="0" applyNumberFormat="1" applyFont="1" applyFill="1" applyBorder="1" applyAlignment="1">
      <alignment horizontal="center" vertical="center"/>
    </xf>
    <xf numFmtId="0" fontId="18" fillId="0" borderId="40" xfId="0" applyFont="1" applyBorder="1" applyAlignment="1">
      <alignment vertical="center"/>
    </xf>
    <xf numFmtId="3" fontId="6" fillId="2" borderId="50" xfId="0" applyNumberFormat="1" applyFont="1" applyFill="1" applyBorder="1" applyAlignment="1">
      <alignment horizontal="center" vertical="center"/>
    </xf>
    <xf numFmtId="3" fontId="6" fillId="2" borderId="43" xfId="0" applyNumberFormat="1" applyFont="1" applyFill="1" applyBorder="1" applyAlignment="1">
      <alignment horizontal="center" vertical="center"/>
    </xf>
    <xf numFmtId="9" fontId="6" fillId="2" borderId="40" xfId="0" applyNumberFormat="1" applyFont="1" applyFill="1" applyBorder="1" applyAlignment="1">
      <alignment horizontal="center" vertical="center"/>
    </xf>
    <xf numFmtId="3" fontId="6" fillId="10" borderId="53" xfId="0" applyNumberFormat="1" applyFont="1" applyFill="1" applyBorder="1" applyAlignment="1">
      <alignment horizontal="center" vertical="center"/>
    </xf>
    <xf numFmtId="3" fontId="6" fillId="10" borderId="43" xfId="0" applyNumberFormat="1" applyFont="1" applyFill="1" applyBorder="1" applyAlignment="1">
      <alignment horizontal="center" vertical="center"/>
    </xf>
    <xf numFmtId="9" fontId="6" fillId="10" borderId="52" xfId="0" applyNumberFormat="1" applyFont="1" applyFill="1" applyBorder="1" applyAlignment="1">
      <alignment horizontal="center" vertical="center"/>
    </xf>
    <xf numFmtId="3" fontId="66" fillId="5" borderId="24" xfId="0" applyNumberFormat="1" applyFont="1" applyFill="1" applyBorder="1" applyAlignment="1">
      <alignment horizontal="center" vertical="center"/>
    </xf>
    <xf numFmtId="164" fontId="24" fillId="0" borderId="0" xfId="0" applyNumberFormat="1" applyFont="1" applyAlignment="1">
      <alignment vertical="center"/>
    </xf>
    <xf numFmtId="3" fontId="2" fillId="3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4" fontId="4" fillId="0" borderId="10" xfId="0" applyNumberFormat="1" applyFont="1" applyBorder="1" applyAlignment="1">
      <alignment horizontal="center" vertical="center" wrapText="1"/>
    </xf>
    <xf numFmtId="0" fontId="63" fillId="0" borderId="74" xfId="0" applyFont="1" applyBorder="1" applyAlignment="1">
      <alignment horizontal="center" vertical="center" wrapText="1"/>
    </xf>
    <xf numFmtId="3" fontId="75" fillId="0" borderId="0" xfId="0" applyNumberFormat="1" applyFont="1" applyAlignment="1">
      <alignment horizontal="center" vertical="center"/>
    </xf>
    <xf numFmtId="1" fontId="61" fillId="0" borderId="10" xfId="1" applyNumberFormat="1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164" fontId="2" fillId="0" borderId="0" xfId="0" applyNumberFormat="1" applyFont="1" applyAlignment="1">
      <alignment vertical="center"/>
    </xf>
    <xf numFmtId="3" fontId="4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right" vertical="center"/>
    </xf>
    <xf numFmtId="3" fontId="41" fillId="3" borderId="0" xfId="0" applyNumberFormat="1" applyFont="1" applyFill="1" applyAlignment="1">
      <alignment horizontal="left" vertical="center"/>
    </xf>
    <xf numFmtId="167" fontId="2" fillId="3" borderId="0" xfId="0" applyNumberFormat="1" applyFont="1" applyFill="1" applyAlignment="1">
      <alignment horizontal="center" vertical="center"/>
    </xf>
    <xf numFmtId="164" fontId="4" fillId="5" borderId="55" xfId="0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3" fontId="76" fillId="0" borderId="0" xfId="0" applyNumberFormat="1" applyFont="1" applyAlignment="1">
      <alignment horizontal="left" vertical="center"/>
    </xf>
    <xf numFmtId="3" fontId="5" fillId="0" borderId="0" xfId="0" applyNumberFormat="1" applyFont="1" applyAlignment="1">
      <alignment horizontal="left" vertical="center"/>
    </xf>
    <xf numFmtId="0" fontId="15" fillId="0" borderId="0" xfId="0" applyFont="1"/>
    <xf numFmtId="0" fontId="65" fillId="0" borderId="0" xfId="0" applyFont="1" applyAlignment="1">
      <alignment horizontal="left" vertical="center"/>
    </xf>
    <xf numFmtId="0" fontId="5" fillId="5" borderId="71" xfId="0" applyFont="1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" fontId="77" fillId="0" borderId="0" xfId="0" applyNumberFormat="1" applyFont="1" applyAlignment="1">
      <alignment horizontal="left" vertical="center"/>
    </xf>
    <xf numFmtId="4" fontId="0" fillId="0" borderId="10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3" fontId="78" fillId="0" borderId="10" xfId="0" applyNumberFormat="1" applyFont="1" applyBorder="1" applyAlignment="1">
      <alignment horizontal="center" vertical="center"/>
    </xf>
    <xf numFmtId="3" fontId="52" fillId="0" borderId="10" xfId="0" applyNumberFormat="1" applyFont="1" applyBorder="1" applyAlignment="1">
      <alignment horizontal="center" vertical="center"/>
    </xf>
    <xf numFmtId="3" fontId="78" fillId="0" borderId="10" xfId="0" applyNumberFormat="1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/>
    </xf>
    <xf numFmtId="4" fontId="2" fillId="0" borderId="16" xfId="0" applyNumberFormat="1" applyFont="1" applyBorder="1" applyAlignment="1">
      <alignment horizontal="center" vertical="center"/>
    </xf>
    <xf numFmtId="4" fontId="51" fillId="0" borderId="10" xfId="0" applyNumberFormat="1" applyFont="1" applyBorder="1" applyAlignment="1">
      <alignment horizontal="center" vertical="center"/>
    </xf>
    <xf numFmtId="3" fontId="54" fillId="0" borderId="0" xfId="0" applyNumberFormat="1" applyFont="1" applyAlignment="1">
      <alignment horizontal="center" vertical="center" wrapText="1"/>
    </xf>
    <xf numFmtId="3" fontId="39" fillId="0" borderId="71" xfId="0" applyNumberFormat="1" applyFont="1" applyBorder="1" applyAlignment="1">
      <alignment horizontal="center" vertical="center" wrapText="1"/>
    </xf>
    <xf numFmtId="3" fontId="42" fillId="0" borderId="44" xfId="0" applyNumberFormat="1" applyFont="1" applyBorder="1" applyAlignment="1">
      <alignment horizontal="center" vertical="center" wrapText="1"/>
    </xf>
    <xf numFmtId="3" fontId="6" fillId="0" borderId="71" xfId="0" applyNumberFormat="1" applyFont="1" applyBorder="1" applyAlignment="1">
      <alignment horizontal="center"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center" vertical="center"/>
    </xf>
    <xf numFmtId="3" fontId="7" fillId="0" borderId="13" xfId="0" applyNumberFormat="1" applyFont="1" applyBorder="1" applyAlignment="1">
      <alignment horizontal="center" vertical="center"/>
    </xf>
    <xf numFmtId="3" fontId="37" fillId="0" borderId="22" xfId="0" applyNumberFormat="1" applyFont="1" applyBorder="1" applyAlignment="1">
      <alignment horizontal="center" vertical="center" wrapText="1"/>
    </xf>
    <xf numFmtId="3" fontId="7" fillId="0" borderId="29" xfId="0" applyNumberFormat="1" applyFont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55" xfId="0" applyNumberFormat="1" applyFont="1" applyBorder="1" applyAlignment="1">
      <alignment horizontal="center" vertical="center"/>
    </xf>
    <xf numFmtId="3" fontId="49" fillId="0" borderId="18" xfId="0" applyNumberFormat="1" applyFont="1" applyBorder="1" applyAlignment="1">
      <alignment horizontal="center" vertical="center" wrapText="1"/>
    </xf>
    <xf numFmtId="3" fontId="7" fillId="0" borderId="18" xfId="0" applyNumberFormat="1" applyFont="1" applyBorder="1" applyAlignment="1">
      <alignment horizontal="center" vertical="center"/>
    </xf>
    <xf numFmtId="3" fontId="7" fillId="0" borderId="72" xfId="0" applyNumberFormat="1" applyFont="1" applyBorder="1" applyAlignment="1">
      <alignment horizontal="center" vertical="center"/>
    </xf>
    <xf numFmtId="3" fontId="7" fillId="0" borderId="59" xfId="0" applyNumberFormat="1" applyFont="1" applyBorder="1" applyAlignment="1">
      <alignment horizontal="center" vertical="center"/>
    </xf>
    <xf numFmtId="3" fontId="7" fillId="0" borderId="22" xfId="0" applyNumberFormat="1" applyFont="1" applyBorder="1" applyAlignment="1">
      <alignment horizontal="center" vertical="center"/>
    </xf>
    <xf numFmtId="2" fontId="7" fillId="0" borderId="16" xfId="1" applyNumberFormat="1" applyFont="1" applyBorder="1" applyAlignment="1">
      <alignment horizontal="left" vertical="center" wrapText="1"/>
    </xf>
    <xf numFmtId="3" fontId="2" fillId="0" borderId="46" xfId="0" applyNumberFormat="1" applyFont="1" applyBorder="1" applyAlignment="1">
      <alignment horizontal="center" vertical="center"/>
    </xf>
    <xf numFmtId="3" fontId="37" fillId="0" borderId="58" xfId="0" applyNumberFormat="1" applyFont="1" applyBorder="1" applyAlignment="1">
      <alignment horizontal="center" vertical="center"/>
    </xf>
    <xf numFmtId="3" fontId="7" fillId="0" borderId="58" xfId="0" applyNumberFormat="1" applyFont="1" applyBorder="1" applyAlignment="1">
      <alignment horizontal="center" vertical="center"/>
    </xf>
    <xf numFmtId="3" fontId="49" fillId="0" borderId="19" xfId="0" applyNumberFormat="1" applyFont="1" applyBorder="1" applyAlignment="1">
      <alignment horizontal="center" vertical="center"/>
    </xf>
    <xf numFmtId="2" fontId="7" fillId="0" borderId="10" xfId="1" applyNumberFormat="1" applyFont="1" applyBorder="1" applyAlignment="1">
      <alignment horizontal="left" vertical="center" wrapText="1"/>
    </xf>
    <xf numFmtId="3" fontId="37" fillId="0" borderId="20" xfId="0" applyNumberFormat="1" applyFont="1" applyBorder="1" applyAlignment="1">
      <alignment horizontal="center" vertical="center"/>
    </xf>
    <xf numFmtId="3" fontId="7" fillId="0" borderId="20" xfId="0" applyNumberFormat="1" applyFont="1" applyBorder="1" applyAlignment="1">
      <alignment horizontal="center" vertical="center"/>
    </xf>
    <xf numFmtId="3" fontId="49" fillId="0" borderId="8" xfId="0" applyNumberFormat="1" applyFont="1" applyBorder="1" applyAlignment="1">
      <alignment horizontal="center" vertical="center"/>
    </xf>
    <xf numFmtId="3" fontId="6" fillId="0" borderId="8" xfId="0" applyNumberFormat="1" applyFont="1" applyBorder="1" applyAlignment="1">
      <alignment horizontal="center" vertical="center"/>
    </xf>
    <xf numFmtId="3" fontId="42" fillId="0" borderId="20" xfId="0" applyNumberFormat="1" applyFont="1" applyBorder="1" applyAlignment="1">
      <alignment horizontal="center" vertical="center"/>
    </xf>
    <xf numFmtId="3" fontId="43" fillId="0" borderId="8" xfId="0" applyNumberFormat="1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2" fillId="0" borderId="20" xfId="0" applyNumberFormat="1" applyFont="1" applyBorder="1" applyAlignment="1">
      <alignment horizontal="center" vertical="center" wrapText="1"/>
    </xf>
    <xf numFmtId="3" fontId="49" fillId="0" borderId="10" xfId="0" applyNumberFormat="1" applyFont="1" applyBorder="1" applyAlignment="1">
      <alignment horizontal="center" vertical="center" wrapText="1"/>
    </xf>
    <xf numFmtId="3" fontId="10" fillId="0" borderId="20" xfId="0" applyNumberFormat="1" applyFont="1" applyBorder="1" applyAlignment="1">
      <alignment horizontal="center" vertical="center"/>
    </xf>
    <xf numFmtId="3" fontId="38" fillId="0" borderId="8" xfId="0" applyNumberFormat="1" applyFont="1" applyBorder="1" applyAlignment="1">
      <alignment horizontal="center" vertical="center"/>
    </xf>
    <xf numFmtId="3" fontId="54" fillId="0" borderId="20" xfId="0" applyNumberFormat="1" applyFont="1" applyBorder="1" applyAlignment="1">
      <alignment horizontal="center" vertical="center"/>
    </xf>
    <xf numFmtId="3" fontId="42" fillId="0" borderId="8" xfId="0" applyNumberFormat="1" applyFont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center" vertical="center" wrapText="1"/>
    </xf>
    <xf numFmtId="3" fontId="41" fillId="0" borderId="10" xfId="0" applyNumberFormat="1" applyFont="1" applyBorder="1" applyAlignment="1">
      <alignment horizontal="center" vertical="center" wrapText="1"/>
    </xf>
    <xf numFmtId="3" fontId="37" fillId="0" borderId="10" xfId="0" applyNumberFormat="1" applyFont="1" applyBorder="1" applyAlignment="1">
      <alignment horizontal="center" vertical="center" wrapText="1"/>
    </xf>
    <xf numFmtId="2" fontId="36" fillId="0" borderId="10" xfId="1" applyNumberFormat="1" applyFont="1" applyBorder="1" applyAlignment="1">
      <alignment horizontal="left" vertical="center" wrapText="1"/>
    </xf>
    <xf numFmtId="3" fontId="7" fillId="0" borderId="10" xfId="0" applyNumberFormat="1" applyFont="1" applyBorder="1" applyAlignment="1">
      <alignment horizontal="center" vertical="center" wrapText="1"/>
    </xf>
    <xf numFmtId="2" fontId="37" fillId="0" borderId="10" xfId="1" applyNumberFormat="1" applyFont="1" applyBorder="1" applyAlignment="1">
      <alignment horizontal="left" vertical="center" wrapText="1"/>
    </xf>
    <xf numFmtId="3" fontId="6" fillId="0" borderId="20" xfId="0" applyNumberFormat="1" applyFont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 vertical="center" wrapText="1"/>
    </xf>
    <xf numFmtId="3" fontId="42" fillId="0" borderId="10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 vertical="center"/>
    </xf>
    <xf numFmtId="3" fontId="2" fillId="0" borderId="36" xfId="0" applyNumberFormat="1" applyFont="1" applyBorder="1" applyAlignment="1">
      <alignment horizontal="center" vertical="center"/>
    </xf>
    <xf numFmtId="3" fontId="37" fillId="0" borderId="48" xfId="0" applyNumberFormat="1" applyFont="1" applyBorder="1" applyAlignment="1">
      <alignment horizontal="center" vertical="center"/>
    </xf>
    <xf numFmtId="3" fontId="7" fillId="0" borderId="48" xfId="0" applyNumberFormat="1" applyFont="1" applyBorder="1" applyAlignment="1">
      <alignment horizontal="center" vertical="center"/>
    </xf>
    <xf numFmtId="3" fontId="49" fillId="0" borderId="12" xfId="0" applyNumberFormat="1" applyFont="1" applyBorder="1" applyAlignment="1">
      <alignment horizontal="center" vertical="center"/>
    </xf>
    <xf numFmtId="4" fontId="38" fillId="0" borderId="22" xfId="0" applyNumberFormat="1" applyFont="1" applyBorder="1" applyAlignment="1">
      <alignment horizontal="center" vertical="center"/>
    </xf>
    <xf numFmtId="3" fontId="38" fillId="0" borderId="24" xfId="0" applyNumberFormat="1" applyFont="1" applyBorder="1" applyAlignment="1">
      <alignment horizontal="center" vertical="center"/>
    </xf>
    <xf numFmtId="3" fontId="50" fillId="0" borderId="24" xfId="0" applyNumberFormat="1" applyFont="1" applyBorder="1" applyAlignment="1">
      <alignment horizontal="center" vertical="center"/>
    </xf>
    <xf numFmtId="3" fontId="38" fillId="0" borderId="63" xfId="0" applyNumberFormat="1" applyFont="1" applyBorder="1" applyAlignment="1">
      <alignment horizontal="center" vertical="center"/>
    </xf>
    <xf numFmtId="3" fontId="38" fillId="0" borderId="64" xfId="0" applyNumberFormat="1" applyFont="1" applyBorder="1" applyAlignment="1">
      <alignment horizontal="center" vertical="center"/>
    </xf>
    <xf numFmtId="3" fontId="42" fillId="0" borderId="40" xfId="0" applyNumberFormat="1" applyFont="1" applyBorder="1" applyAlignment="1">
      <alignment horizontal="center" vertical="center"/>
    </xf>
    <xf numFmtId="3" fontId="38" fillId="0" borderId="53" xfId="0" applyNumberFormat="1" applyFont="1" applyBorder="1" applyAlignment="1">
      <alignment horizontal="center" vertical="center"/>
    </xf>
    <xf numFmtId="3" fontId="38" fillId="0" borderId="43" xfId="0" applyNumberFormat="1" applyFont="1" applyBorder="1" applyAlignment="1">
      <alignment horizontal="center" vertical="center"/>
    </xf>
    <xf numFmtId="3" fontId="38" fillId="0" borderId="52" xfId="0" applyNumberFormat="1" applyFont="1" applyBorder="1" applyAlignment="1">
      <alignment horizontal="center" vertical="center"/>
    </xf>
    <xf numFmtId="3" fontId="38" fillId="0" borderId="50" xfId="0" applyNumberFormat="1" applyFont="1" applyBorder="1" applyAlignment="1">
      <alignment horizontal="center" vertical="center"/>
    </xf>
    <xf numFmtId="3" fontId="6" fillId="0" borderId="40" xfId="0" applyNumberFormat="1" applyFont="1" applyBorder="1" applyAlignment="1">
      <alignment horizontal="center" vertical="center"/>
    </xf>
    <xf numFmtId="3" fontId="38" fillId="0" borderId="40" xfId="0" applyNumberFormat="1" applyFont="1" applyBorder="1" applyAlignment="1">
      <alignment horizontal="center" vertical="center"/>
    </xf>
    <xf numFmtId="3" fontId="38" fillId="0" borderId="6" xfId="0" applyNumberFormat="1" applyFont="1" applyBorder="1" applyAlignment="1">
      <alignment horizontal="center" vertical="center"/>
    </xf>
    <xf numFmtId="3" fontId="38" fillId="0" borderId="5" xfId="0" applyNumberFormat="1" applyFont="1" applyBorder="1" applyAlignment="1">
      <alignment horizontal="center" vertical="center"/>
    </xf>
    <xf numFmtId="3" fontId="50" fillId="0" borderId="43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vertical="center" wrapText="1"/>
    </xf>
    <xf numFmtId="3" fontId="13" fillId="0" borderId="10" xfId="0" applyNumberFormat="1" applyFont="1" applyBorder="1" applyAlignment="1">
      <alignment horizontal="center" vertical="center"/>
    </xf>
    <xf numFmtId="0" fontId="18" fillId="0" borderId="10" xfId="0" applyFont="1" applyBorder="1" applyAlignment="1">
      <alignment vertical="center"/>
    </xf>
    <xf numFmtId="3" fontId="80" fillId="0" borderId="10" xfId="0" applyNumberFormat="1" applyFont="1" applyBorder="1" applyAlignment="1">
      <alignment horizontal="center" vertical="center" wrapText="1"/>
    </xf>
    <xf numFmtId="3" fontId="2" fillId="7" borderId="0" xfId="0" applyNumberFormat="1" applyFont="1" applyFill="1" applyAlignment="1">
      <alignment horizontal="center" vertical="center"/>
    </xf>
    <xf numFmtId="3" fontId="70" fillId="0" borderId="0" xfId="0" applyNumberFormat="1" applyFont="1" applyAlignment="1">
      <alignment vertical="center"/>
    </xf>
    <xf numFmtId="3" fontId="46" fillId="0" borderId="0" xfId="0" applyNumberFormat="1" applyFont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3" fillId="0" borderId="0" xfId="0" applyFont="1" applyAlignment="1">
      <alignment horizontal="right" vertical="center"/>
    </xf>
    <xf numFmtId="0" fontId="34" fillId="0" borderId="0" xfId="0" applyFont="1" applyAlignment="1">
      <alignment horizontal="left" vertical="center"/>
    </xf>
    <xf numFmtId="3" fontId="24" fillId="0" borderId="32" xfId="0" applyNumberFormat="1" applyFont="1" applyBorder="1" applyAlignment="1">
      <alignment horizontal="center" vertical="center"/>
    </xf>
    <xf numFmtId="3" fontId="24" fillId="0" borderId="2" xfId="0" applyNumberFormat="1" applyFont="1" applyBorder="1" applyAlignment="1">
      <alignment horizontal="center" vertical="center"/>
    </xf>
    <xf numFmtId="3" fontId="4" fillId="6" borderId="0" xfId="0" applyNumberFormat="1" applyFont="1" applyFill="1" applyAlignment="1">
      <alignment horizontal="center" vertical="center"/>
    </xf>
    <xf numFmtId="14" fontId="81" fillId="0" borderId="0" xfId="0" applyNumberFormat="1" applyFont="1" applyAlignment="1">
      <alignment horizontal="center" vertical="center"/>
    </xf>
    <xf numFmtId="3" fontId="73" fillId="9" borderId="7" xfId="0" applyNumberFormat="1" applyFont="1" applyFill="1" applyBorder="1" applyAlignment="1">
      <alignment horizontal="center" vertical="center"/>
    </xf>
    <xf numFmtId="3" fontId="4" fillId="0" borderId="63" xfId="0" applyNumberFormat="1" applyFont="1" applyBorder="1" applyAlignment="1">
      <alignment vertical="center"/>
    </xf>
    <xf numFmtId="3" fontId="4" fillId="0" borderId="64" xfId="0" applyNumberFormat="1" applyFont="1" applyBorder="1" applyAlignment="1">
      <alignment vertical="center"/>
    </xf>
    <xf numFmtId="168" fontId="4" fillId="0" borderId="65" xfId="0" applyNumberFormat="1" applyFont="1" applyBorder="1" applyAlignment="1">
      <alignment vertical="center"/>
    </xf>
    <xf numFmtId="4" fontId="6" fillId="0" borderId="10" xfId="1" applyNumberFormat="1" applyFont="1" applyBorder="1" applyAlignment="1">
      <alignment horizontal="center" vertical="center" wrapText="1"/>
    </xf>
    <xf numFmtId="4" fontId="6" fillId="0" borderId="55" xfId="1" applyNumberFormat="1" applyFont="1" applyBorder="1" applyAlignment="1">
      <alignment horizontal="center" vertical="center" wrapText="1"/>
    </xf>
    <xf numFmtId="4" fontId="6" fillId="0" borderId="17" xfId="1" applyNumberFormat="1" applyFont="1" applyBorder="1" applyAlignment="1">
      <alignment horizontal="center" vertical="center" wrapText="1"/>
    </xf>
    <xf numFmtId="4" fontId="6" fillId="0" borderId="16" xfId="1" applyNumberFormat="1" applyFont="1" applyBorder="1" applyAlignment="1">
      <alignment horizontal="center" vertical="center" wrapText="1"/>
    </xf>
    <xf numFmtId="3" fontId="2" fillId="0" borderId="23" xfId="0" applyNumberFormat="1" applyFont="1" applyBorder="1" applyAlignment="1">
      <alignment horizontal="center" vertical="center"/>
    </xf>
    <xf numFmtId="3" fontId="4" fillId="7" borderId="10" xfId="0" applyNumberFormat="1" applyFont="1" applyFill="1" applyBorder="1" applyAlignment="1">
      <alignment horizontal="center" vertical="center" wrapText="1"/>
    </xf>
    <xf numFmtId="165" fontId="62" fillId="0" borderId="0" xfId="0" applyNumberFormat="1" applyFont="1" applyAlignment="1">
      <alignment vertical="center"/>
    </xf>
    <xf numFmtId="3" fontId="32" fillId="0" borderId="47" xfId="0" applyNumberFormat="1" applyFont="1" applyBorder="1" applyAlignment="1">
      <alignment horizontal="center" vertical="center"/>
    </xf>
    <xf numFmtId="3" fontId="32" fillId="6" borderId="5" xfId="0" applyNumberFormat="1" applyFont="1" applyFill="1" applyBorder="1" applyAlignment="1">
      <alignment horizontal="center" vertical="center"/>
    </xf>
    <xf numFmtId="49" fontId="20" fillId="0" borderId="11" xfId="0" applyNumberFormat="1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3" fontId="24" fillId="0" borderId="32" xfId="0" applyNumberFormat="1" applyFont="1" applyBorder="1" applyAlignment="1">
      <alignment vertical="center"/>
    </xf>
    <xf numFmtId="3" fontId="24" fillId="0" borderId="16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3" fontId="24" fillId="0" borderId="9" xfId="0" applyNumberFormat="1" applyFont="1" applyBorder="1" applyAlignment="1">
      <alignment vertical="center"/>
    </xf>
    <xf numFmtId="0" fontId="24" fillId="0" borderId="13" xfId="0" applyFont="1" applyBorder="1" applyAlignment="1">
      <alignment horizontal="center" vertical="center"/>
    </xf>
    <xf numFmtId="0" fontId="32" fillId="0" borderId="13" xfId="0" applyFont="1" applyBorder="1" applyAlignment="1">
      <alignment vertical="center"/>
    </xf>
    <xf numFmtId="0" fontId="55" fillId="0" borderId="10" xfId="1" applyFont="1" applyBorder="1" applyAlignment="1">
      <alignment horizontal="center" vertical="center" wrapText="1"/>
    </xf>
    <xf numFmtId="0" fontId="32" fillId="0" borderId="10" xfId="1" applyFont="1" applyBorder="1" applyAlignment="1">
      <alignment horizontal="left" vertical="center" wrapText="1"/>
    </xf>
    <xf numFmtId="4" fontId="55" fillId="0" borderId="10" xfId="0" applyNumberFormat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left" vertical="center" wrapText="1"/>
    </xf>
    <xf numFmtId="4" fontId="16" fillId="0" borderId="10" xfId="0" applyNumberFormat="1" applyFont="1" applyBorder="1" applyAlignment="1">
      <alignment horizontal="center" vertical="center"/>
    </xf>
    <xf numFmtId="4" fontId="25" fillId="0" borderId="10" xfId="0" applyNumberFormat="1" applyFont="1" applyBorder="1" applyAlignment="1">
      <alignment horizontal="center" vertical="center"/>
    </xf>
    <xf numFmtId="4" fontId="2" fillId="0" borderId="10" xfId="0" applyNumberFormat="1" applyFont="1" applyBorder="1"/>
    <xf numFmtId="0" fontId="32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vertical="center"/>
    </xf>
    <xf numFmtId="4" fontId="32" fillId="0" borderId="10" xfId="0" applyNumberFormat="1" applyFont="1" applyBorder="1" applyAlignment="1">
      <alignment horizontal="center" vertical="center"/>
    </xf>
    <xf numFmtId="4" fontId="4" fillId="0" borderId="10" xfId="0" applyNumberFormat="1" applyFont="1" applyBorder="1"/>
    <xf numFmtId="4" fontId="25" fillId="0" borderId="0" xfId="0" applyNumberFormat="1" applyFont="1" applyAlignment="1">
      <alignment horizontal="center" vertical="center"/>
    </xf>
    <xf numFmtId="3" fontId="2" fillId="3" borderId="10" xfId="0" applyNumberFormat="1" applyFont="1" applyFill="1" applyBorder="1" applyAlignment="1">
      <alignment horizontal="center" vertical="center" wrapText="1"/>
    </xf>
    <xf numFmtId="3" fontId="65" fillId="11" borderId="0" xfId="0" applyNumberFormat="1" applyFont="1" applyFill="1" applyAlignment="1">
      <alignment vertical="center"/>
    </xf>
    <xf numFmtId="3" fontId="7" fillId="11" borderId="0" xfId="0" applyNumberFormat="1" applyFont="1" applyFill="1" applyAlignment="1">
      <alignment vertical="center"/>
    </xf>
    <xf numFmtId="0" fontId="7" fillId="11" borderId="0" xfId="0" applyFont="1" applyFill="1" applyAlignment="1">
      <alignment vertical="center"/>
    </xf>
    <xf numFmtId="0" fontId="70" fillId="11" borderId="0" xfId="0" applyFont="1" applyFill="1" applyAlignment="1">
      <alignment vertical="center"/>
    </xf>
    <xf numFmtId="3" fontId="27" fillId="9" borderId="33" xfId="0" applyNumberFormat="1" applyFont="1" applyFill="1" applyBorder="1" applyAlignment="1">
      <alignment horizontal="center" vertical="center"/>
    </xf>
    <xf numFmtId="3" fontId="27" fillId="9" borderId="41" xfId="0" applyNumberFormat="1" applyFont="1" applyFill="1" applyBorder="1" applyAlignment="1">
      <alignment horizontal="center" vertical="center"/>
    </xf>
    <xf numFmtId="3" fontId="27" fillId="9" borderId="75" xfId="0" applyNumberFormat="1" applyFont="1" applyFill="1" applyBorder="1" applyAlignment="1">
      <alignment horizontal="center" vertical="center"/>
    </xf>
    <xf numFmtId="3" fontId="83" fillId="9" borderId="41" xfId="0" applyNumberFormat="1" applyFont="1" applyFill="1" applyBorder="1" applyAlignment="1">
      <alignment horizontal="center" vertical="center"/>
    </xf>
    <xf numFmtId="3" fontId="84" fillId="9" borderId="41" xfId="0" applyNumberFormat="1" applyFont="1" applyFill="1" applyBorder="1" applyAlignment="1">
      <alignment horizontal="center" vertical="center"/>
    </xf>
    <xf numFmtId="164" fontId="4" fillId="5" borderId="17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2" fillId="12" borderId="10" xfId="0" applyFont="1" applyFill="1" applyBorder="1" applyAlignment="1">
      <alignment vertical="center"/>
    </xf>
    <xf numFmtId="3" fontId="2" fillId="12" borderId="10" xfId="0" applyNumberFormat="1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vertical="center"/>
    </xf>
    <xf numFmtId="3" fontId="4" fillId="12" borderId="10" xfId="0" applyNumberFormat="1" applyFont="1" applyFill="1" applyBorder="1" applyAlignment="1">
      <alignment horizontal="center" vertical="center"/>
    </xf>
    <xf numFmtId="0" fontId="2" fillId="12" borderId="0" xfId="0" applyFont="1" applyFill="1" applyAlignment="1">
      <alignment vertical="center"/>
    </xf>
    <xf numFmtId="3" fontId="2" fillId="12" borderId="0" xfId="0" applyNumberFormat="1" applyFont="1" applyFill="1" applyAlignment="1">
      <alignment horizontal="center" vertical="center"/>
    </xf>
    <xf numFmtId="4" fontId="0" fillId="13" borderId="10" xfId="0" applyNumberFormat="1" applyFill="1" applyBorder="1" applyAlignment="1">
      <alignment horizontal="center" vertical="center"/>
    </xf>
    <xf numFmtId="4" fontId="4" fillId="13" borderId="10" xfId="0" applyNumberFormat="1" applyFont="1" applyFill="1" applyBorder="1" applyAlignment="1">
      <alignment horizontal="center" vertical="center"/>
    </xf>
    <xf numFmtId="4" fontId="6" fillId="0" borderId="19" xfId="1" applyNumberFormat="1" applyFont="1" applyBorder="1" applyAlignment="1">
      <alignment horizontal="center" vertical="center" wrapText="1"/>
    </xf>
    <xf numFmtId="4" fontId="6" fillId="0" borderId="8" xfId="1" applyNumberFormat="1" applyFont="1" applyBorder="1" applyAlignment="1">
      <alignment horizontal="center" vertical="center" wrapText="1"/>
    </xf>
    <xf numFmtId="4" fontId="6" fillId="0" borderId="18" xfId="1" applyNumberFormat="1" applyFont="1" applyBorder="1" applyAlignment="1">
      <alignment horizontal="center" vertical="center" wrapText="1"/>
    </xf>
    <xf numFmtId="3" fontId="2" fillId="0" borderId="30" xfId="0" applyNumberFormat="1" applyFont="1" applyBorder="1" applyAlignment="1">
      <alignment horizontal="center" vertical="center" wrapText="1"/>
    </xf>
    <xf numFmtId="3" fontId="7" fillId="0" borderId="56" xfId="0" applyNumberFormat="1" applyFont="1" applyBorder="1" applyAlignment="1">
      <alignment horizontal="center" vertical="center" wrapText="1"/>
    </xf>
    <xf numFmtId="3" fontId="4" fillId="0" borderId="67" xfId="0" applyNumberFormat="1" applyFont="1" applyBorder="1" applyAlignment="1">
      <alignment horizontal="center" vertical="center"/>
    </xf>
    <xf numFmtId="3" fontId="4" fillId="0" borderId="64" xfId="0" applyNumberFormat="1" applyFont="1" applyBorder="1" applyAlignment="1">
      <alignment horizontal="center" vertical="center"/>
    </xf>
    <xf numFmtId="3" fontId="2" fillId="9" borderId="10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14" fontId="2" fillId="0" borderId="0" xfId="0" applyNumberFormat="1" applyFont="1" applyAlignment="1">
      <alignment vertical="center"/>
    </xf>
    <xf numFmtId="3" fontId="2" fillId="0" borderId="17" xfId="0" applyNumberFormat="1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7" fillId="0" borderId="15" xfId="0" applyFont="1" applyBorder="1" applyAlignment="1">
      <alignment vertical="center" wrapText="1"/>
    </xf>
    <xf numFmtId="0" fontId="28" fillId="0" borderId="16" xfId="0" applyFont="1" applyBorder="1" applyAlignment="1">
      <alignment horizontal="right" vertical="center" wrapText="1"/>
    </xf>
    <xf numFmtId="4" fontId="16" fillId="0" borderId="16" xfId="0" applyNumberFormat="1" applyFont="1" applyBorder="1" applyAlignment="1">
      <alignment horizontal="center" vertical="center"/>
    </xf>
    <xf numFmtId="0" fontId="31" fillId="0" borderId="16" xfId="0" applyFont="1" applyBorder="1" applyAlignment="1">
      <alignment vertical="center"/>
    </xf>
    <xf numFmtId="0" fontId="2" fillId="0" borderId="58" xfId="0" applyFont="1" applyBorder="1" applyAlignment="1">
      <alignment vertical="center"/>
    </xf>
    <xf numFmtId="0" fontId="22" fillId="0" borderId="11" xfId="0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6" fontId="22" fillId="0" borderId="11" xfId="0" applyNumberFormat="1" applyFont="1" applyBorder="1" applyAlignment="1">
      <alignment vertical="center"/>
    </xf>
    <xf numFmtId="0" fontId="22" fillId="0" borderId="10" xfId="0" applyFont="1" applyBorder="1" applyAlignment="1">
      <alignment vertical="center" wrapText="1"/>
    </xf>
    <xf numFmtId="164" fontId="4" fillId="0" borderId="20" xfId="0" applyNumberFormat="1" applyFont="1" applyBorder="1" applyAlignment="1">
      <alignment horizontal="center" vertical="center"/>
    </xf>
    <xf numFmtId="0" fontId="20" fillId="0" borderId="11" xfId="0" applyFont="1" applyBorder="1" applyAlignment="1">
      <alignment vertical="center"/>
    </xf>
    <xf numFmtId="0" fontId="20" fillId="0" borderId="10" xfId="0" applyFont="1" applyBorder="1" applyAlignment="1">
      <alignment vertical="center"/>
    </xf>
    <xf numFmtId="164" fontId="2" fillId="0" borderId="20" xfId="0" applyNumberFormat="1" applyFont="1" applyBorder="1" applyAlignment="1">
      <alignment horizontal="center" vertical="center"/>
    </xf>
    <xf numFmtId="16" fontId="20" fillId="0" borderId="10" xfId="0" applyNumberFormat="1" applyFont="1" applyBorder="1" applyAlignment="1">
      <alignment vertical="center"/>
    </xf>
    <xf numFmtId="0" fontId="22" fillId="0" borderId="10" xfId="0" applyFont="1" applyBorder="1" applyAlignment="1">
      <alignment vertical="center"/>
    </xf>
    <xf numFmtId="3" fontId="25" fillId="0" borderId="10" xfId="0" applyNumberFormat="1" applyFont="1" applyBorder="1" applyAlignment="1">
      <alignment horizontal="center" vertical="center"/>
    </xf>
    <xf numFmtId="0" fontId="55" fillId="0" borderId="11" xfId="0" applyFon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3" fontId="42" fillId="0" borderId="10" xfId="0" applyNumberFormat="1" applyFont="1" applyBorder="1" applyAlignment="1">
      <alignment horizontal="center" vertical="center"/>
    </xf>
    <xf numFmtId="164" fontId="37" fillId="0" borderId="20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29" fillId="0" borderId="11" xfId="0" applyFont="1" applyBorder="1" applyAlignment="1">
      <alignment vertical="center"/>
    </xf>
    <xf numFmtId="0" fontId="29" fillId="0" borderId="10" xfId="0" applyFont="1" applyBorder="1" applyAlignment="1">
      <alignment vertical="center" wrapText="1"/>
    </xf>
    <xf numFmtId="0" fontId="20" fillId="0" borderId="10" xfId="0" applyFont="1" applyBorder="1" applyAlignment="1">
      <alignment vertical="center" wrapText="1"/>
    </xf>
    <xf numFmtId="0" fontId="20" fillId="0" borderId="21" xfId="0" applyFont="1" applyBorder="1" applyAlignment="1">
      <alignment vertical="center"/>
    </xf>
    <xf numFmtId="0" fontId="30" fillId="0" borderId="13" xfId="0" applyFont="1" applyBorder="1" applyAlignment="1">
      <alignment vertical="center" wrapText="1"/>
    </xf>
    <xf numFmtId="3" fontId="4" fillId="0" borderId="13" xfId="0" applyNumberFormat="1" applyFont="1" applyBorder="1" applyAlignment="1">
      <alignment horizontal="center" vertical="center"/>
    </xf>
    <xf numFmtId="164" fontId="4" fillId="0" borderId="48" xfId="0" applyNumberFormat="1" applyFont="1" applyBorder="1" applyAlignment="1">
      <alignment horizontal="center" vertical="center"/>
    </xf>
    <xf numFmtId="0" fontId="22" fillId="0" borderId="50" xfId="0" applyFont="1" applyBorder="1" applyAlignment="1">
      <alignment vertical="center"/>
    </xf>
    <xf numFmtId="0" fontId="21" fillId="0" borderId="43" xfId="0" applyFont="1" applyBorder="1" applyAlignment="1">
      <alignment vertical="center" wrapText="1"/>
    </xf>
    <xf numFmtId="164" fontId="4" fillId="0" borderId="40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1" fillId="0" borderId="2" xfId="0" applyFont="1" applyBorder="1" applyAlignment="1">
      <alignment vertical="center" wrapText="1"/>
    </xf>
    <xf numFmtId="3" fontId="41" fillId="0" borderId="2" xfId="0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 vertical="center"/>
    </xf>
    <xf numFmtId="0" fontId="22" fillId="0" borderId="55" xfId="0" applyFont="1" applyBorder="1" applyAlignment="1">
      <alignment vertical="center"/>
    </xf>
    <xf numFmtId="0" fontId="21" fillId="0" borderId="17" xfId="0" applyFont="1" applyBorder="1" applyAlignment="1">
      <alignment vertical="center" wrapText="1"/>
    </xf>
    <xf numFmtId="3" fontId="4" fillId="0" borderId="17" xfId="0" applyNumberFormat="1" applyFont="1" applyBorder="1" applyAlignment="1">
      <alignment horizontal="center" vertical="center"/>
    </xf>
    <xf numFmtId="164" fontId="4" fillId="0" borderId="22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164" fontId="2" fillId="0" borderId="58" xfId="0" applyNumberFormat="1" applyFont="1" applyBorder="1" applyAlignment="1">
      <alignment horizontal="center" vertical="center"/>
    </xf>
    <xf numFmtId="0" fontId="9" fillId="0" borderId="55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167" fontId="9" fillId="0" borderId="17" xfId="0" applyNumberFormat="1" applyFont="1" applyBorder="1" applyAlignment="1">
      <alignment horizontal="center" vertical="center"/>
    </xf>
    <xf numFmtId="14" fontId="56" fillId="0" borderId="10" xfId="0" applyNumberFormat="1" applyFont="1" applyBorder="1" applyAlignment="1">
      <alignment horizontal="center" vertical="center"/>
    </xf>
    <xf numFmtId="3" fontId="56" fillId="0" borderId="10" xfId="0" applyNumberFormat="1" applyFont="1" applyBorder="1" applyAlignment="1">
      <alignment horizontal="center" vertical="center"/>
    </xf>
    <xf numFmtId="0" fontId="40" fillId="0" borderId="10" xfId="0" applyFont="1" applyBorder="1" applyAlignment="1">
      <alignment vertical="center"/>
    </xf>
    <xf numFmtId="3" fontId="66" fillId="0" borderId="10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49" fillId="0" borderId="10" xfId="0" applyFont="1" applyBorder="1" applyAlignment="1">
      <alignment vertical="center"/>
    </xf>
    <xf numFmtId="3" fontId="49" fillId="0" borderId="10" xfId="0" applyNumberFormat="1" applyFont="1" applyBorder="1" applyAlignment="1">
      <alignment horizontal="center" vertical="center"/>
    </xf>
    <xf numFmtId="0" fontId="38" fillId="0" borderId="10" xfId="0" applyFont="1" applyBorder="1" applyAlignment="1">
      <alignment vertical="center"/>
    </xf>
    <xf numFmtId="3" fontId="38" fillId="0" borderId="10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0" fontId="7" fillId="0" borderId="10" xfId="0" applyFont="1" applyBorder="1" applyAlignment="1">
      <alignment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0" fillId="0" borderId="10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6" fillId="0" borderId="10" xfId="0" applyFont="1" applyBorder="1" applyAlignment="1">
      <alignment vertical="center" wrapText="1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9" fillId="0" borderId="0" xfId="0" applyNumberFormat="1" applyFont="1" applyAlignment="1">
      <alignment horizontal="left" vertical="center"/>
    </xf>
    <xf numFmtId="168" fontId="4" fillId="0" borderId="0" xfId="0" applyNumberFormat="1" applyFont="1" applyAlignment="1">
      <alignment horizontal="center" vertical="center"/>
    </xf>
    <xf numFmtId="3" fontId="2" fillId="0" borderId="50" xfId="0" applyNumberFormat="1" applyFont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center" vertical="center" wrapText="1"/>
    </xf>
    <xf numFmtId="3" fontId="3" fillId="0" borderId="16" xfId="0" applyNumberFormat="1" applyFont="1" applyBorder="1" applyAlignment="1">
      <alignment horizontal="center" vertical="center"/>
    </xf>
    <xf numFmtId="4" fontId="2" fillId="0" borderId="58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4" fontId="0" fillId="0" borderId="10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51" fillId="0" borderId="10" xfId="0" applyNumberFormat="1" applyFont="1" applyBorder="1" applyAlignment="1">
      <alignment horizontal="center" vertical="center"/>
    </xf>
    <xf numFmtId="4" fontId="2" fillId="0" borderId="20" xfId="0" applyNumberFormat="1" applyFont="1" applyBorder="1" applyAlignment="1">
      <alignment horizontal="center" vertical="center"/>
    </xf>
    <xf numFmtId="3" fontId="6" fillId="0" borderId="11" xfId="1" applyNumberFormat="1" applyFont="1" applyBorder="1" applyAlignment="1">
      <alignment horizontal="center" vertical="center" wrapText="1"/>
    </xf>
    <xf numFmtId="4" fontId="3" fillId="0" borderId="10" xfId="0" applyNumberFormat="1" applyFont="1" applyBorder="1" applyAlignment="1">
      <alignment horizontal="center" vertical="center"/>
    </xf>
    <xf numFmtId="3" fontId="4" fillId="0" borderId="16" xfId="1" applyNumberFormat="1" applyFont="1" applyBorder="1" applyAlignment="1">
      <alignment horizontal="center" vertical="center" wrapText="1"/>
    </xf>
    <xf numFmtId="168" fontId="6" fillId="0" borderId="10" xfId="1" applyNumberFormat="1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/>
    </xf>
    <xf numFmtId="3" fontId="59" fillId="0" borderId="33" xfId="0" applyNumberFormat="1" applyFont="1" applyBorder="1" applyAlignment="1">
      <alignment horizontal="center" vertical="center"/>
    </xf>
    <xf numFmtId="4" fontId="6" fillId="0" borderId="21" xfId="1" applyNumberFormat="1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center" vertical="center"/>
    </xf>
    <xf numFmtId="4" fontId="2" fillId="0" borderId="48" xfId="0" applyNumberFormat="1" applyFont="1" applyBorder="1" applyAlignment="1">
      <alignment horizontal="center" vertical="center"/>
    </xf>
    <xf numFmtId="3" fontId="2" fillId="0" borderId="64" xfId="0" applyNumberFormat="1" applyFont="1" applyBorder="1" applyAlignment="1">
      <alignment horizontal="center" vertical="center"/>
    </xf>
    <xf numFmtId="3" fontId="4" fillId="0" borderId="50" xfId="0" applyNumberFormat="1" applyFont="1" applyBorder="1" applyAlignment="1">
      <alignment vertical="center"/>
    </xf>
    <xf numFmtId="3" fontId="4" fillId="0" borderId="43" xfId="0" applyNumberFormat="1" applyFont="1" applyBorder="1" applyAlignment="1">
      <alignment vertical="center"/>
    </xf>
    <xf numFmtId="168" fontId="4" fillId="0" borderId="40" xfId="0" applyNumberFormat="1" applyFont="1" applyBorder="1" applyAlignment="1">
      <alignment vertical="center"/>
    </xf>
    <xf numFmtId="3" fontId="2" fillId="0" borderId="40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3" fontId="76" fillId="3" borderId="0" xfId="0" applyNumberFormat="1" applyFont="1" applyFill="1" applyAlignment="1">
      <alignment horizontal="left" vertical="center"/>
    </xf>
    <xf numFmtId="3" fontId="2" fillId="0" borderId="5" xfId="0" applyNumberFormat="1" applyFont="1" applyBorder="1" applyAlignment="1">
      <alignment horizontal="center" vertical="center" wrapText="1"/>
    </xf>
    <xf numFmtId="4" fontId="4" fillId="14" borderId="10" xfId="0" applyNumberFormat="1" applyFont="1" applyFill="1" applyBorder="1" applyAlignment="1">
      <alignment horizontal="center" vertical="center" wrapText="1"/>
    </xf>
    <xf numFmtId="17" fontId="2" fillId="9" borderId="10" xfId="0" applyNumberFormat="1" applyFont="1" applyFill="1" applyBorder="1" applyAlignment="1">
      <alignment vertical="center" wrapText="1"/>
    </xf>
    <xf numFmtId="0" fontId="2" fillId="9" borderId="10" xfId="0" applyFont="1" applyFill="1" applyBorder="1" applyAlignment="1">
      <alignment vertical="center" wrapText="1"/>
    </xf>
    <xf numFmtId="3" fontId="59" fillId="0" borderId="10" xfId="0" applyNumberFormat="1" applyFont="1" applyBorder="1" applyAlignment="1">
      <alignment horizontal="center" vertical="center" wrapText="1"/>
    </xf>
    <xf numFmtId="4" fontId="6" fillId="0" borderId="58" xfId="1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/>
    </xf>
    <xf numFmtId="4" fontId="0" fillId="14" borderId="10" xfId="0" applyNumberFormat="1" applyFill="1" applyBorder="1" applyAlignment="1">
      <alignment horizontal="center" vertical="center"/>
    </xf>
    <xf numFmtId="3" fontId="2" fillId="9" borderId="10" xfId="0" applyNumberFormat="1" applyFont="1" applyFill="1" applyBorder="1" applyAlignment="1">
      <alignment vertical="center"/>
    </xf>
    <xf numFmtId="4" fontId="6" fillId="0" borderId="20" xfId="1" applyNumberFormat="1" applyFont="1" applyBorder="1" applyAlignment="1">
      <alignment horizontal="center" vertical="center" wrapText="1"/>
    </xf>
    <xf numFmtId="4" fontId="6" fillId="0" borderId="22" xfId="1" applyNumberFormat="1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4" fontId="4" fillId="14" borderId="10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vertical="center"/>
    </xf>
    <xf numFmtId="3" fontId="58" fillId="0" borderId="10" xfId="0" applyNumberFormat="1" applyFont="1" applyBorder="1" applyAlignment="1">
      <alignment horizontal="center" vertical="center"/>
    </xf>
    <xf numFmtId="10" fontId="2" fillId="0" borderId="10" xfId="0" applyNumberFormat="1" applyFont="1" applyBorder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4" fontId="2" fillId="15" borderId="0" xfId="0" applyNumberFormat="1" applyFont="1" applyFill="1" applyAlignment="1">
      <alignment horizontal="center" vertical="center"/>
    </xf>
    <xf numFmtId="4" fontId="2" fillId="9" borderId="0" xfId="0" applyNumberFormat="1" applyFont="1" applyFill="1" applyAlignment="1">
      <alignment horizontal="center" vertical="center"/>
    </xf>
    <xf numFmtId="0" fontId="2" fillId="15" borderId="0" xfId="0" applyFont="1" applyFill="1" applyAlignment="1">
      <alignment horizontal="center" vertical="center"/>
    </xf>
    <xf numFmtId="0" fontId="41" fillId="9" borderId="0" xfId="0" applyFont="1" applyFill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3" fontId="25" fillId="7" borderId="10" xfId="0" applyNumberFormat="1" applyFont="1" applyFill="1" applyBorder="1" applyAlignment="1">
      <alignment horizontal="center" vertical="center"/>
    </xf>
    <xf numFmtId="3" fontId="4" fillId="7" borderId="10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 wrapText="1"/>
    </xf>
    <xf numFmtId="4" fontId="2" fillId="15" borderId="0" xfId="0" applyNumberFormat="1" applyFont="1" applyFill="1" applyAlignment="1">
      <alignment horizontal="center" vertical="center" wrapText="1"/>
    </xf>
    <xf numFmtId="4" fontId="2" fillId="9" borderId="0" xfId="0" applyNumberFormat="1" applyFont="1" applyFill="1" applyAlignment="1">
      <alignment horizontal="center" vertical="center" wrapText="1"/>
    </xf>
    <xf numFmtId="0" fontId="2" fillId="15" borderId="0" xfId="0" applyFont="1" applyFill="1" applyAlignment="1">
      <alignment horizontal="center" vertical="center" wrapText="1"/>
    </xf>
    <xf numFmtId="0" fontId="41" fillId="9" borderId="0" xfId="0" applyFont="1" applyFill="1" applyAlignment="1">
      <alignment horizontal="center" vertical="center" wrapText="1"/>
    </xf>
    <xf numFmtId="4" fontId="2" fillId="0" borderId="0" xfId="0" applyNumberFormat="1" applyFont="1" applyAlignment="1">
      <alignment vertical="center" wrapText="1"/>
    </xf>
    <xf numFmtId="3" fontId="0" fillId="0" borderId="9" xfId="0" applyNumberFormat="1" applyBorder="1" applyAlignment="1">
      <alignment horizontal="center" vertical="center" wrapText="1"/>
    </xf>
    <xf numFmtId="4" fontId="4" fillId="14" borderId="11" xfId="0" applyNumberFormat="1" applyFont="1" applyFill="1" applyBorder="1" applyAlignment="1">
      <alignment horizontal="center" vertical="center" wrapText="1"/>
    </xf>
    <xf numFmtId="4" fontId="2" fillId="15" borderId="10" xfId="0" applyNumberFormat="1" applyFont="1" applyFill="1" applyBorder="1" applyAlignment="1">
      <alignment horizontal="center" vertical="center" wrapText="1"/>
    </xf>
    <xf numFmtId="4" fontId="2" fillId="9" borderId="10" xfId="0" applyNumberFormat="1" applyFont="1" applyFill="1" applyBorder="1" applyAlignment="1">
      <alignment horizontal="center" vertical="center" wrapText="1"/>
    </xf>
    <xf numFmtId="0" fontId="4" fillId="15" borderId="10" xfId="0" applyFont="1" applyFill="1" applyBorder="1" applyAlignment="1">
      <alignment horizontal="center" vertical="center" wrapText="1"/>
    </xf>
    <xf numFmtId="0" fontId="41" fillId="15" borderId="10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4" fontId="2" fillId="0" borderId="27" xfId="0" applyNumberFormat="1" applyFont="1" applyBorder="1" applyAlignment="1">
      <alignment vertical="center" wrapText="1"/>
    </xf>
    <xf numFmtId="4" fontId="4" fillId="0" borderId="19" xfId="1" applyNumberFormat="1" applyFont="1" applyBorder="1" applyAlignment="1">
      <alignment horizontal="center" vertical="center" wrapText="1"/>
    </xf>
    <xf numFmtId="4" fontId="2" fillId="0" borderId="34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61" xfId="0" applyNumberFormat="1" applyFont="1" applyBorder="1" applyAlignment="1">
      <alignment horizontal="center" vertical="center"/>
    </xf>
    <xf numFmtId="4" fontId="0" fillId="14" borderId="11" xfId="0" applyNumberFormat="1" applyFill="1" applyBorder="1" applyAlignment="1">
      <alignment horizontal="center"/>
    </xf>
    <xf numFmtId="4" fontId="0" fillId="14" borderId="10" xfId="0" applyNumberFormat="1" applyFill="1" applyBorder="1" applyAlignment="1">
      <alignment horizontal="center"/>
    </xf>
    <xf numFmtId="3" fontId="0" fillId="14" borderId="10" xfId="0" applyNumberFormat="1" applyFill="1" applyBorder="1" applyAlignment="1">
      <alignment horizontal="center"/>
    </xf>
    <xf numFmtId="4" fontId="2" fillId="14" borderId="20" xfId="0" applyNumberFormat="1" applyFont="1" applyFill="1" applyBorder="1" applyAlignment="1">
      <alignment horizontal="center" vertical="center"/>
    </xf>
    <xf numFmtId="3" fontId="59" fillId="0" borderId="27" xfId="0" applyNumberFormat="1" applyFont="1" applyBorder="1" applyAlignment="1">
      <alignment horizontal="center" vertical="center"/>
    </xf>
    <xf numFmtId="3" fontId="16" fillId="7" borderId="10" xfId="0" applyNumberFormat="1" applyFont="1" applyFill="1" applyBorder="1" applyAlignment="1">
      <alignment horizontal="center" vertical="center"/>
    </xf>
    <xf numFmtId="4" fontId="2" fillId="15" borderId="10" xfId="0" applyNumberFormat="1" applyFont="1" applyFill="1" applyBorder="1" applyAlignment="1">
      <alignment horizontal="center" vertical="center"/>
    </xf>
    <xf numFmtId="4" fontId="2" fillId="9" borderId="10" xfId="0" applyNumberFormat="1" applyFont="1" applyFill="1" applyBorder="1" applyAlignment="1">
      <alignment horizontal="center" vertical="center"/>
    </xf>
    <xf numFmtId="4" fontId="16" fillId="9" borderId="10" xfId="0" applyNumberFormat="1" applyFont="1" applyFill="1" applyBorder="1" applyAlignment="1">
      <alignment horizontal="center" vertical="center"/>
    </xf>
    <xf numFmtId="4" fontId="2" fillId="8" borderId="10" xfId="0" applyNumberFormat="1" applyFont="1" applyFill="1" applyBorder="1" applyAlignment="1">
      <alignment vertical="center"/>
    </xf>
    <xf numFmtId="4" fontId="2" fillId="0" borderId="15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4" fontId="41" fillId="9" borderId="10" xfId="0" applyNumberFormat="1" applyFont="1" applyFill="1" applyBorder="1" applyAlignment="1">
      <alignment horizontal="center" vertical="center"/>
    </xf>
    <xf numFmtId="4" fontId="2" fillId="3" borderId="20" xfId="0" applyNumberFormat="1" applyFont="1" applyFill="1" applyBorder="1" applyAlignment="1">
      <alignment horizontal="center" vertical="center"/>
    </xf>
    <xf numFmtId="4" fontId="2" fillId="3" borderId="10" xfId="0" applyNumberFormat="1" applyFont="1" applyFill="1" applyBorder="1" applyAlignment="1">
      <alignment horizontal="center" vertical="center"/>
    </xf>
    <xf numFmtId="4" fontId="41" fillId="3" borderId="10" xfId="0" applyNumberFormat="1" applyFont="1" applyFill="1" applyBorder="1" applyAlignment="1">
      <alignment horizontal="center" vertical="center"/>
    </xf>
    <xf numFmtId="4" fontId="2" fillId="16" borderId="10" xfId="0" applyNumberFormat="1" applyFont="1" applyFill="1" applyBorder="1" applyAlignment="1">
      <alignment vertical="center"/>
    </xf>
    <xf numFmtId="4" fontId="4" fillId="0" borderId="16" xfId="1" applyNumberFormat="1" applyFont="1" applyBorder="1" applyAlignment="1">
      <alignment horizontal="center" vertical="center" wrapText="1"/>
    </xf>
    <xf numFmtId="4" fontId="2" fillId="0" borderId="10" xfId="0" applyNumberFormat="1" applyFont="1" applyBorder="1" applyAlignment="1">
      <alignment vertical="center"/>
    </xf>
    <xf numFmtId="4" fontId="4" fillId="0" borderId="39" xfId="1" applyNumberFormat="1" applyFont="1" applyBorder="1" applyAlignment="1">
      <alignment horizontal="center" vertical="center" wrapText="1"/>
    </xf>
    <xf numFmtId="4" fontId="2" fillId="0" borderId="49" xfId="0" applyNumberFormat="1" applyFont="1" applyBorder="1" applyAlignment="1">
      <alignment horizontal="center" vertical="center"/>
    </xf>
    <xf numFmtId="4" fontId="2" fillId="0" borderId="13" xfId="0" applyNumberFormat="1" applyFont="1" applyBorder="1" applyAlignment="1">
      <alignment horizontal="center" vertical="center"/>
    </xf>
    <xf numFmtId="4" fontId="0" fillId="14" borderId="21" xfId="0" applyNumberFormat="1" applyFill="1" applyBorder="1" applyAlignment="1">
      <alignment horizontal="center"/>
    </xf>
    <xf numFmtId="4" fontId="0" fillId="14" borderId="13" xfId="0" applyNumberFormat="1" applyFill="1" applyBorder="1" applyAlignment="1">
      <alignment horizontal="center"/>
    </xf>
    <xf numFmtId="3" fontId="0" fillId="14" borderId="13" xfId="0" applyNumberFormat="1" applyFill="1" applyBorder="1" applyAlignment="1">
      <alignment horizontal="center"/>
    </xf>
    <xf numFmtId="4" fontId="2" fillId="14" borderId="48" xfId="0" applyNumberFormat="1" applyFont="1" applyFill="1" applyBorder="1" applyAlignment="1">
      <alignment horizontal="center" vertical="center"/>
    </xf>
    <xf numFmtId="4" fontId="4" fillId="0" borderId="52" xfId="0" applyNumberFormat="1" applyFont="1" applyBorder="1" applyAlignment="1">
      <alignment horizontal="center" vertical="center"/>
    </xf>
    <xf numFmtId="4" fontId="4" fillId="0" borderId="50" xfId="0" applyNumberFormat="1" applyFont="1" applyBorder="1" applyAlignment="1">
      <alignment vertical="center"/>
    </xf>
    <xf numFmtId="4" fontId="4" fillId="0" borderId="43" xfId="0" applyNumberFormat="1" applyFont="1" applyBorder="1" applyAlignment="1">
      <alignment vertical="center"/>
    </xf>
    <xf numFmtId="4" fontId="4" fillId="14" borderId="50" xfId="0" applyNumberFormat="1" applyFont="1" applyFill="1" applyBorder="1" applyAlignment="1">
      <alignment horizontal="center" vertical="center"/>
    </xf>
    <xf numFmtId="4" fontId="4" fillId="14" borderId="43" xfId="0" applyNumberFormat="1" applyFont="1" applyFill="1" applyBorder="1" applyAlignment="1">
      <alignment horizontal="center" vertical="center"/>
    </xf>
    <xf numFmtId="4" fontId="4" fillId="14" borderId="40" xfId="0" applyNumberFormat="1" applyFont="1" applyFill="1" applyBorder="1" applyAlignment="1">
      <alignment horizontal="center" vertical="center"/>
    </xf>
    <xf numFmtId="3" fontId="58" fillId="0" borderId="6" xfId="0" applyNumberFormat="1" applyFont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4" fontId="4" fillId="15" borderId="10" xfId="0" applyNumberFormat="1" applyFont="1" applyFill="1" applyBorder="1" applyAlignment="1">
      <alignment horizontal="center" vertical="center"/>
    </xf>
    <xf numFmtId="4" fontId="4" fillId="9" borderId="10" xfId="0" applyNumberFormat="1" applyFont="1" applyFill="1" applyBorder="1" applyAlignment="1">
      <alignment horizontal="center" vertical="center"/>
    </xf>
    <xf numFmtId="4" fontId="41" fillId="15" borderId="10" xfId="0" applyNumberFormat="1" applyFont="1" applyFill="1" applyBorder="1" applyAlignment="1">
      <alignment horizontal="center" vertical="center"/>
    </xf>
    <xf numFmtId="4" fontId="4" fillId="8" borderId="10" xfId="0" applyNumberFormat="1" applyFont="1" applyFill="1" applyBorder="1" applyAlignment="1">
      <alignment vertical="center"/>
    </xf>
    <xf numFmtId="4" fontId="41" fillId="9" borderId="0" xfId="0" applyNumberFormat="1" applyFont="1" applyFill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4" fontId="16" fillId="15" borderId="0" xfId="0" applyNumberFormat="1" applyFont="1" applyFill="1" applyAlignment="1">
      <alignment horizontal="center" vertical="center"/>
    </xf>
    <xf numFmtId="4" fontId="16" fillId="9" borderId="0" xfId="0" applyNumberFormat="1" applyFont="1" applyFill="1" applyAlignment="1">
      <alignment horizontal="center" vertical="center"/>
    </xf>
    <xf numFmtId="0" fontId="16" fillId="15" borderId="0" xfId="0" applyFont="1" applyFill="1" applyAlignment="1">
      <alignment horizontal="center" vertical="center"/>
    </xf>
    <xf numFmtId="4" fontId="4" fillId="15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4" fontId="4" fillId="0" borderId="0" xfId="0" applyNumberFormat="1" applyFont="1" applyAlignment="1">
      <alignment vertical="center"/>
    </xf>
    <xf numFmtId="4" fontId="80" fillId="0" borderId="0" xfId="0" applyNumberFormat="1" applyFont="1" applyAlignment="1">
      <alignment horizontal="center"/>
    </xf>
    <xf numFmtId="0" fontId="57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3" fontId="2" fillId="3" borderId="0" xfId="0" applyNumberFormat="1" applyFont="1" applyFill="1" applyAlignment="1">
      <alignment vertical="center"/>
    </xf>
    <xf numFmtId="4" fontId="2" fillId="3" borderId="0" xfId="0" applyNumberFormat="1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4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/>
    </xf>
    <xf numFmtId="165" fontId="2" fillId="3" borderId="0" xfId="0" applyNumberFormat="1" applyFont="1" applyFill="1" applyAlignment="1">
      <alignment vertical="center"/>
    </xf>
    <xf numFmtId="0" fontId="59" fillId="3" borderId="0" xfId="0" applyFont="1" applyFill="1" applyAlignment="1">
      <alignment horizontal="center" vertical="center"/>
    </xf>
    <xf numFmtId="3" fontId="42" fillId="0" borderId="0" xfId="0" applyNumberFormat="1" applyFont="1" applyAlignment="1">
      <alignment horizontal="center" vertical="center"/>
    </xf>
    <xf numFmtId="3" fontId="2" fillId="13" borderId="0" xfId="0" applyNumberFormat="1" applyFont="1" applyFill="1" applyAlignment="1">
      <alignment horizontal="center" vertical="center"/>
    </xf>
    <xf numFmtId="3" fontId="5" fillId="0" borderId="10" xfId="0" applyNumberFormat="1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3" fontId="4" fillId="17" borderId="1" xfId="0" applyNumberFormat="1" applyFont="1" applyFill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3" fontId="39" fillId="0" borderId="10" xfId="0" applyNumberFormat="1" applyFont="1" applyBorder="1" applyAlignment="1">
      <alignment horizontal="center" vertical="center" wrapText="1"/>
    </xf>
    <xf numFmtId="3" fontId="1" fillId="17" borderId="11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vertical="center" wrapText="1"/>
    </xf>
    <xf numFmtId="0" fontId="47" fillId="0" borderId="10" xfId="0" applyFont="1" applyBorder="1" applyAlignment="1">
      <alignment vertical="center" wrapText="1"/>
    </xf>
    <xf numFmtId="3" fontId="7" fillId="0" borderId="10" xfId="0" applyNumberFormat="1" applyFont="1" applyBorder="1" applyAlignment="1">
      <alignment horizontal="center" vertical="center"/>
    </xf>
    <xf numFmtId="3" fontId="7" fillId="17" borderId="21" xfId="0" applyNumberFormat="1" applyFont="1" applyFill="1" applyBorder="1" applyAlignment="1">
      <alignment horizontal="center" vertical="center"/>
    </xf>
    <xf numFmtId="4" fontId="4" fillId="0" borderId="10" xfId="1" applyNumberFormat="1" applyFont="1" applyBorder="1" applyAlignment="1">
      <alignment horizontal="center" vertical="center" wrapText="1"/>
    </xf>
    <xf numFmtId="4" fontId="2" fillId="17" borderId="10" xfId="0" applyNumberFormat="1" applyFont="1" applyFill="1" applyBorder="1" applyAlignment="1">
      <alignment horizontal="center" vertical="center"/>
    </xf>
    <xf numFmtId="3" fontId="6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3" fontId="54" fillId="0" borderId="10" xfId="0" applyNumberFormat="1" applyFont="1" applyBorder="1" applyAlignment="1">
      <alignment horizontal="center" vertical="center"/>
    </xf>
    <xf numFmtId="4" fontId="2" fillId="17" borderId="13" xfId="0" applyNumberFormat="1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4" fontId="38" fillId="0" borderId="10" xfId="0" applyNumberFormat="1" applyFont="1" applyBorder="1" applyAlignment="1">
      <alignment horizontal="center" vertical="center"/>
    </xf>
    <xf numFmtId="3" fontId="50" fillId="0" borderId="10" xfId="0" applyNumberFormat="1" applyFont="1" applyBorder="1" applyAlignment="1">
      <alignment horizontal="center" vertical="center"/>
    </xf>
    <xf numFmtId="4" fontId="38" fillId="17" borderId="24" xfId="0" applyNumberFormat="1" applyFont="1" applyFill="1" applyBorder="1" applyAlignment="1">
      <alignment horizontal="center" vertical="center"/>
    </xf>
    <xf numFmtId="4" fontId="38" fillId="0" borderId="0" xfId="7" applyNumberFormat="1" applyFont="1" applyAlignment="1">
      <alignment horizontal="center" vertical="center"/>
    </xf>
    <xf numFmtId="4" fontId="52" fillId="0" borderId="0" xfId="7" applyNumberFormat="1" applyFont="1" applyAlignment="1">
      <alignment horizontal="center" vertical="center"/>
    </xf>
    <xf numFmtId="0" fontId="13" fillId="4" borderId="10" xfId="0" applyFont="1" applyFill="1" applyBorder="1" applyAlignment="1">
      <alignment vertical="center" wrapText="1"/>
    </xf>
    <xf numFmtId="3" fontId="13" fillId="4" borderId="10" xfId="0" applyNumberFormat="1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vertical="center"/>
    </xf>
    <xf numFmtId="4" fontId="50" fillId="0" borderId="0" xfId="7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0" fontId="89" fillId="3" borderId="0" xfId="0" applyFont="1" applyFill="1" applyAlignment="1">
      <alignment horizontal="center" vertical="center"/>
    </xf>
    <xf numFmtId="0" fontId="89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3" fontId="39" fillId="23" borderId="71" xfId="0" applyNumberFormat="1" applyFont="1" applyFill="1" applyBorder="1" applyAlignment="1">
      <alignment horizontal="center" vertical="center" wrapText="1"/>
    </xf>
    <xf numFmtId="3" fontId="42" fillId="24" borderId="44" xfId="0" applyNumberFormat="1" applyFont="1" applyFill="1" applyBorder="1" applyAlignment="1">
      <alignment horizontal="center" vertical="center" wrapText="1"/>
    </xf>
    <xf numFmtId="3" fontId="6" fillId="25" borderId="71" xfId="0" applyNumberFormat="1" applyFont="1" applyFill="1" applyBorder="1" applyAlignment="1">
      <alignment horizontal="center" vertical="center" wrapText="1"/>
    </xf>
    <xf numFmtId="3" fontId="6" fillId="26" borderId="44" xfId="0" applyNumberFormat="1" applyFont="1" applyFill="1" applyBorder="1" applyAlignment="1">
      <alignment horizontal="center" vertical="center" wrapText="1"/>
    </xf>
    <xf numFmtId="3" fontId="7" fillId="17" borderId="55" xfId="0" applyNumberFormat="1" applyFont="1" applyFill="1" applyBorder="1" applyAlignment="1">
      <alignment horizontal="center" vertical="center"/>
    </xf>
    <xf numFmtId="3" fontId="7" fillId="17" borderId="17" xfId="0" applyNumberFormat="1" applyFont="1" applyFill="1" applyBorder="1" applyAlignment="1">
      <alignment horizontal="center" vertical="center"/>
    </xf>
    <xf numFmtId="3" fontId="37" fillId="17" borderId="22" xfId="0" applyNumberFormat="1" applyFont="1" applyFill="1" applyBorder="1" applyAlignment="1">
      <alignment horizontal="center" vertical="center" wrapText="1"/>
    </xf>
    <xf numFmtId="3" fontId="7" fillId="18" borderId="29" xfId="0" applyNumberFormat="1" applyFont="1" applyFill="1" applyBorder="1" applyAlignment="1">
      <alignment horizontal="center" vertical="center"/>
    </xf>
    <xf numFmtId="3" fontId="7" fillId="18" borderId="17" xfId="0" applyNumberFormat="1" applyFont="1" applyFill="1" applyBorder="1" applyAlignment="1">
      <alignment horizontal="center" vertical="center"/>
    </xf>
    <xf numFmtId="3" fontId="7" fillId="18" borderId="18" xfId="0" applyNumberFormat="1" applyFont="1" applyFill="1" applyBorder="1" applyAlignment="1">
      <alignment horizontal="center" vertical="center" wrapText="1"/>
    </xf>
    <xf numFmtId="3" fontId="7" fillId="19" borderId="55" xfId="0" applyNumberFormat="1" applyFont="1" applyFill="1" applyBorder="1" applyAlignment="1">
      <alignment horizontal="center" vertical="center"/>
    </xf>
    <xf numFmtId="3" fontId="7" fillId="19" borderId="17" xfId="0" applyNumberFormat="1" applyFont="1" applyFill="1" applyBorder="1" applyAlignment="1">
      <alignment horizontal="center" vertical="center"/>
    </xf>
    <xf numFmtId="3" fontId="7" fillId="19" borderId="22" xfId="0" applyNumberFormat="1" applyFont="1" applyFill="1" applyBorder="1" applyAlignment="1">
      <alignment horizontal="center" vertical="center" wrapText="1"/>
    </xf>
    <xf numFmtId="3" fontId="7" fillId="20" borderId="29" xfId="0" applyNumberFormat="1" applyFont="1" applyFill="1" applyBorder="1" applyAlignment="1">
      <alignment horizontal="center" vertical="center"/>
    </xf>
    <xf numFmtId="3" fontId="7" fillId="20" borderId="17" xfId="0" applyNumberFormat="1" applyFont="1" applyFill="1" applyBorder="1" applyAlignment="1">
      <alignment horizontal="center" vertical="center"/>
    </xf>
    <xf numFmtId="3" fontId="49" fillId="20" borderId="18" xfId="0" applyNumberFormat="1" applyFont="1" applyFill="1" applyBorder="1" applyAlignment="1">
      <alignment horizontal="center" vertical="center" wrapText="1"/>
    </xf>
    <xf numFmtId="3" fontId="7" fillId="21" borderId="55" xfId="0" applyNumberFormat="1" applyFont="1" applyFill="1" applyBorder="1" applyAlignment="1">
      <alignment horizontal="center" vertical="center"/>
    </xf>
    <xf numFmtId="3" fontId="37" fillId="21" borderId="22" xfId="0" applyNumberFormat="1" applyFont="1" applyFill="1" applyBorder="1" applyAlignment="1">
      <alignment horizontal="center" vertical="center" wrapText="1"/>
    </xf>
    <xf numFmtId="3" fontId="7" fillId="22" borderId="29" xfId="0" applyNumberFormat="1" applyFont="1" applyFill="1" applyBorder="1" applyAlignment="1">
      <alignment horizontal="center" vertical="center"/>
    </xf>
    <xf numFmtId="3" fontId="7" fillId="22" borderId="18" xfId="0" applyNumberFormat="1" applyFont="1" applyFill="1" applyBorder="1" applyAlignment="1">
      <alignment horizontal="center" vertical="center"/>
    </xf>
    <xf numFmtId="3" fontId="7" fillId="6" borderId="55" xfId="0" applyNumberFormat="1" applyFont="1" applyFill="1" applyBorder="1" applyAlignment="1">
      <alignment horizontal="center" vertical="center"/>
    </xf>
    <xf numFmtId="3" fontId="37" fillId="6" borderId="22" xfId="0" applyNumberFormat="1" applyFont="1" applyFill="1" applyBorder="1" applyAlignment="1">
      <alignment horizontal="center" vertical="center" wrapText="1"/>
    </xf>
    <xf numFmtId="3" fontId="7" fillId="23" borderId="72" xfId="0" applyNumberFormat="1" applyFont="1" applyFill="1" applyBorder="1" applyAlignment="1">
      <alignment horizontal="center" vertical="center"/>
    </xf>
    <xf numFmtId="3" fontId="7" fillId="24" borderId="59" xfId="0" applyNumberFormat="1" applyFont="1" applyFill="1" applyBorder="1" applyAlignment="1">
      <alignment horizontal="center" vertical="center"/>
    </xf>
    <xf numFmtId="3" fontId="7" fillId="25" borderId="72" xfId="0" applyNumberFormat="1" applyFont="1" applyFill="1" applyBorder="1" applyAlignment="1">
      <alignment horizontal="center" vertical="center"/>
    </xf>
    <xf numFmtId="3" fontId="7" fillId="26" borderId="59" xfId="0" applyNumberFormat="1" applyFont="1" applyFill="1" applyBorder="1" applyAlignment="1">
      <alignment horizontal="center" vertical="center"/>
    </xf>
    <xf numFmtId="3" fontId="7" fillId="2" borderId="55" xfId="0" applyNumberFormat="1" applyFont="1" applyFill="1" applyBorder="1" applyAlignment="1">
      <alignment horizontal="center" vertical="center"/>
    </xf>
    <xf numFmtId="3" fontId="7" fillId="2" borderId="17" xfId="0" applyNumberFormat="1" applyFont="1" applyFill="1" applyBorder="1" applyAlignment="1">
      <alignment horizontal="center" vertical="center"/>
    </xf>
    <xf numFmtId="3" fontId="7" fillId="2" borderId="22" xfId="0" applyNumberFormat="1" applyFont="1" applyFill="1" applyBorder="1" applyAlignment="1">
      <alignment horizontal="center" vertical="center"/>
    </xf>
    <xf numFmtId="2" fontId="7" fillId="11" borderId="16" xfId="1" applyNumberFormat="1" applyFont="1" applyFill="1" applyBorder="1" applyAlignment="1">
      <alignment horizontal="left" vertical="center" wrapText="1"/>
    </xf>
    <xf numFmtId="1" fontId="6" fillId="11" borderId="16" xfId="1" applyNumberFormat="1" applyFont="1" applyFill="1" applyBorder="1" applyAlignment="1">
      <alignment horizontal="left" vertical="center" wrapText="1"/>
    </xf>
    <xf numFmtId="3" fontId="2" fillId="11" borderId="46" xfId="0" applyNumberFormat="1" applyFont="1" applyFill="1" applyBorder="1" applyAlignment="1">
      <alignment horizontal="center" vertical="center"/>
    </xf>
    <xf numFmtId="3" fontId="2" fillId="17" borderId="32" xfId="0" applyNumberFormat="1" applyFont="1" applyFill="1" applyBorder="1" applyAlignment="1">
      <alignment horizontal="center" vertical="center"/>
    </xf>
    <xf numFmtId="3" fontId="2" fillId="17" borderId="2" xfId="0" applyNumberFormat="1" applyFont="1" applyFill="1" applyBorder="1" applyAlignment="1">
      <alignment horizontal="center" vertical="center"/>
    </xf>
    <xf numFmtId="3" fontId="37" fillId="17" borderId="58" xfId="0" applyNumberFormat="1" applyFont="1" applyFill="1" applyBorder="1" applyAlignment="1">
      <alignment horizontal="center" vertical="center"/>
    </xf>
    <xf numFmtId="3" fontId="2" fillId="18" borderId="19" xfId="0" applyNumberFormat="1" applyFont="1" applyFill="1" applyBorder="1" applyAlignment="1">
      <alignment horizontal="center" vertical="center"/>
    </xf>
    <xf numFmtId="3" fontId="7" fillId="19" borderId="58" xfId="0" applyNumberFormat="1" applyFont="1" applyFill="1" applyBorder="1" applyAlignment="1">
      <alignment horizontal="center" vertical="center"/>
    </xf>
    <xf numFmtId="3" fontId="49" fillId="20" borderId="19" xfId="0" applyNumberFormat="1" applyFont="1" applyFill="1" applyBorder="1" applyAlignment="1">
      <alignment horizontal="center" vertical="center"/>
    </xf>
    <xf numFmtId="3" fontId="2" fillId="2" borderId="16" xfId="0" applyNumberFormat="1" applyFont="1" applyFill="1" applyBorder="1" applyAlignment="1">
      <alignment horizontal="center" vertical="center"/>
    </xf>
    <xf numFmtId="3" fontId="2" fillId="2" borderId="58" xfId="0" applyNumberFormat="1" applyFont="1" applyFill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 vertical="center"/>
    </xf>
    <xf numFmtId="3" fontId="2" fillId="22" borderId="19" xfId="0" applyNumberFormat="1" applyFont="1" applyFill="1" applyBorder="1" applyAlignment="1">
      <alignment horizontal="center" vertical="center"/>
    </xf>
    <xf numFmtId="2" fontId="7" fillId="11" borderId="10" xfId="1" applyNumberFormat="1" applyFont="1" applyFill="1" applyBorder="1" applyAlignment="1">
      <alignment horizontal="left" vertical="center" wrapText="1"/>
    </xf>
    <xf numFmtId="1" fontId="6" fillId="11" borderId="10" xfId="1" applyNumberFormat="1" applyFont="1" applyFill="1" applyBorder="1" applyAlignment="1">
      <alignment horizontal="left" vertical="center" wrapText="1"/>
    </xf>
    <xf numFmtId="3" fontId="2" fillId="17" borderId="16" xfId="0" applyNumberFormat="1" applyFont="1" applyFill="1" applyBorder="1" applyAlignment="1">
      <alignment horizontal="center" vertical="center"/>
    </xf>
    <xf numFmtId="3" fontId="37" fillId="17" borderId="20" xfId="0" applyNumberFormat="1" applyFont="1" applyFill="1" applyBorder="1" applyAlignment="1">
      <alignment horizontal="center" vertical="center"/>
    </xf>
    <xf numFmtId="3" fontId="2" fillId="18" borderId="8" xfId="0" applyNumberFormat="1" applyFont="1" applyFill="1" applyBorder="1" applyAlignment="1">
      <alignment horizontal="center" vertical="center"/>
    </xf>
    <xf numFmtId="3" fontId="7" fillId="19" borderId="20" xfId="0" applyNumberFormat="1" applyFont="1" applyFill="1" applyBorder="1" applyAlignment="1">
      <alignment horizontal="center" vertical="center"/>
    </xf>
    <xf numFmtId="3" fontId="49" fillId="20" borderId="8" xfId="0" applyNumberFormat="1" applyFont="1" applyFill="1" applyBorder="1" applyAlignment="1">
      <alignment horizontal="center" vertical="center"/>
    </xf>
    <xf numFmtId="3" fontId="2" fillId="2" borderId="10" xfId="0" applyNumberFormat="1" applyFont="1" applyFill="1" applyBorder="1" applyAlignment="1">
      <alignment horizontal="center" vertical="center"/>
    </xf>
    <xf numFmtId="3" fontId="4" fillId="2" borderId="10" xfId="0" applyNumberFormat="1" applyFont="1" applyFill="1" applyBorder="1" applyAlignment="1">
      <alignment horizontal="center" vertical="center"/>
    </xf>
    <xf numFmtId="3" fontId="6" fillId="18" borderId="8" xfId="0" applyNumberFormat="1" applyFont="1" applyFill="1" applyBorder="1" applyAlignment="1">
      <alignment horizontal="center" vertical="center"/>
    </xf>
    <xf numFmtId="3" fontId="42" fillId="3" borderId="20" xfId="0" applyNumberFormat="1" applyFont="1" applyFill="1" applyBorder="1" applyAlignment="1">
      <alignment horizontal="center" vertical="center"/>
    </xf>
    <xf numFmtId="3" fontId="43" fillId="20" borderId="8" xfId="0" applyNumberFormat="1" applyFont="1" applyFill="1" applyBorder="1" applyAlignment="1">
      <alignment horizontal="center" vertical="center"/>
    </xf>
    <xf numFmtId="3" fontId="41" fillId="2" borderId="10" xfId="0" applyNumberFormat="1" applyFont="1" applyFill="1" applyBorder="1" applyAlignment="1">
      <alignment horizontal="center" vertical="center"/>
    </xf>
    <xf numFmtId="2" fontId="7" fillId="27" borderId="10" xfId="1" applyNumberFormat="1" applyFont="1" applyFill="1" applyBorder="1" applyAlignment="1">
      <alignment horizontal="left" vertical="center" wrapText="1"/>
    </xf>
    <xf numFmtId="1" fontId="6" fillId="27" borderId="10" xfId="1" applyNumberFormat="1" applyFont="1" applyFill="1" applyBorder="1" applyAlignment="1">
      <alignment horizontal="left" vertical="center" wrapText="1"/>
    </xf>
    <xf numFmtId="2" fontId="2" fillId="0" borderId="16" xfId="0" applyNumberFormat="1" applyFont="1" applyBorder="1" applyAlignment="1">
      <alignment horizontal="center" vertical="center"/>
    </xf>
    <xf numFmtId="3" fontId="42" fillId="3" borderId="20" xfId="0" applyNumberFormat="1" applyFont="1" applyFill="1" applyBorder="1" applyAlignment="1">
      <alignment horizontal="center" vertical="center" wrapText="1"/>
    </xf>
    <xf numFmtId="3" fontId="42" fillId="17" borderId="20" xfId="0" applyNumberFormat="1" applyFont="1" applyFill="1" applyBorder="1" applyAlignment="1">
      <alignment horizontal="center" vertical="center"/>
    </xf>
    <xf numFmtId="3" fontId="49" fillId="2" borderId="10" xfId="0" applyNumberFormat="1" applyFont="1" applyFill="1" applyBorder="1" applyAlignment="1">
      <alignment horizontal="center" vertical="center" wrapText="1"/>
    </xf>
    <xf numFmtId="3" fontId="49" fillId="18" borderId="8" xfId="0" applyNumberFormat="1" applyFont="1" applyFill="1" applyBorder="1" applyAlignment="1">
      <alignment horizontal="center" vertical="center"/>
    </xf>
    <xf numFmtId="3" fontId="10" fillId="19" borderId="20" xfId="0" applyNumberFormat="1" applyFont="1" applyFill="1" applyBorder="1" applyAlignment="1">
      <alignment horizontal="center" vertical="center"/>
    </xf>
    <xf numFmtId="3" fontId="38" fillId="20" borderId="8" xfId="0" applyNumberFormat="1" applyFont="1" applyFill="1" applyBorder="1" applyAlignment="1">
      <alignment horizontal="center" vertical="center"/>
    </xf>
    <xf numFmtId="3" fontId="54" fillId="17" borderId="20" xfId="0" applyNumberFormat="1" applyFont="1" applyFill="1" applyBorder="1" applyAlignment="1">
      <alignment horizontal="center" vertical="center"/>
    </xf>
    <xf numFmtId="3" fontId="42" fillId="17" borderId="20" xfId="0" applyNumberFormat="1" applyFont="1" applyFill="1" applyBorder="1" applyAlignment="1">
      <alignment horizontal="center" vertical="center" wrapText="1"/>
    </xf>
    <xf numFmtId="3" fontId="42" fillId="18" borderId="8" xfId="0" applyNumberFormat="1" applyFont="1" applyFill="1" applyBorder="1" applyAlignment="1">
      <alignment horizontal="center" vertical="center" wrapText="1"/>
    </xf>
    <xf numFmtId="3" fontId="6" fillId="3" borderId="20" xfId="0" applyNumberFormat="1" applyFont="1" applyFill="1" applyBorder="1" applyAlignment="1">
      <alignment horizontal="center" vertical="center" wrapText="1"/>
    </xf>
    <xf numFmtId="3" fontId="2" fillId="6" borderId="8" xfId="0" applyNumberFormat="1" applyFont="1" applyFill="1" applyBorder="1" applyAlignment="1">
      <alignment horizontal="center" vertical="center"/>
    </xf>
    <xf numFmtId="4" fontId="4" fillId="17" borderId="10" xfId="0" applyNumberFormat="1" applyFont="1" applyFill="1" applyBorder="1" applyAlignment="1">
      <alignment horizontal="center" vertical="center"/>
    </xf>
    <xf numFmtId="3" fontId="41" fillId="2" borderId="10" xfId="0" applyNumberFormat="1" applyFont="1" applyFill="1" applyBorder="1" applyAlignment="1">
      <alignment horizontal="center" vertical="center" wrapText="1"/>
    </xf>
    <xf numFmtId="3" fontId="37" fillId="3" borderId="10" xfId="0" applyNumberFormat="1" applyFont="1" applyFill="1" applyBorder="1" applyAlignment="1">
      <alignment horizontal="center" vertical="center"/>
    </xf>
    <xf numFmtId="3" fontId="37" fillId="3" borderId="10" xfId="0" applyNumberFormat="1" applyFont="1" applyFill="1" applyBorder="1" applyAlignment="1">
      <alignment horizontal="center" vertical="center" wrapText="1"/>
    </xf>
    <xf numFmtId="2" fontId="36" fillId="11" borderId="10" xfId="1" applyNumberFormat="1" applyFont="1" applyFill="1" applyBorder="1" applyAlignment="1">
      <alignment horizontal="left" vertical="center" wrapText="1"/>
    </xf>
    <xf numFmtId="1" fontId="10" fillId="11" borderId="10" xfId="1" applyNumberFormat="1" applyFont="1" applyFill="1" applyBorder="1" applyAlignment="1">
      <alignment horizontal="left" vertical="center" wrapText="1"/>
    </xf>
    <xf numFmtId="3" fontId="7" fillId="2" borderId="10" xfId="0" applyNumberFormat="1" applyFont="1" applyFill="1" applyBorder="1" applyAlignment="1">
      <alignment horizontal="center" vertical="center" wrapText="1"/>
    </xf>
    <xf numFmtId="2" fontId="37" fillId="11" borderId="10" xfId="1" applyNumberFormat="1" applyFont="1" applyFill="1" applyBorder="1" applyAlignment="1">
      <alignment horizontal="left" vertical="center" wrapText="1"/>
    </xf>
    <xf numFmtId="2" fontId="37" fillId="27" borderId="10" xfId="1" applyNumberFormat="1" applyFont="1" applyFill="1" applyBorder="1" applyAlignment="1">
      <alignment horizontal="left" vertical="center" wrapText="1"/>
    </xf>
    <xf numFmtId="3" fontId="6" fillId="3" borderId="20" xfId="0" applyNumberFormat="1" applyFont="1" applyFill="1" applyBorder="1" applyAlignment="1">
      <alignment horizontal="center" vertical="center"/>
    </xf>
    <xf numFmtId="3" fontId="43" fillId="18" borderId="8" xfId="0" applyNumberFormat="1" applyFont="1" applyFill="1" applyBorder="1" applyAlignment="1">
      <alignment horizontal="center" vertical="center"/>
    </xf>
    <xf numFmtId="3" fontId="6" fillId="19" borderId="20" xfId="0" applyNumberFormat="1" applyFont="1" applyFill="1" applyBorder="1" applyAlignment="1">
      <alignment horizontal="center" vertical="center"/>
    </xf>
    <xf numFmtId="3" fontId="38" fillId="2" borderId="10" xfId="0" applyNumberFormat="1" applyFont="1" applyFill="1" applyBorder="1" applyAlignment="1">
      <alignment horizontal="center" vertical="center" wrapText="1"/>
    </xf>
    <xf numFmtId="3" fontId="42" fillId="3" borderId="10" xfId="0" applyNumberFormat="1" applyFont="1" applyFill="1" applyBorder="1" applyAlignment="1">
      <alignment horizontal="center" vertical="center" wrapText="1"/>
    </xf>
    <xf numFmtId="3" fontId="2" fillId="11" borderId="51" xfId="0" applyNumberFormat="1" applyFont="1" applyFill="1" applyBorder="1" applyAlignment="1">
      <alignment horizontal="center" vertical="center"/>
    </xf>
    <xf numFmtId="3" fontId="2" fillId="17" borderId="64" xfId="0" applyNumberFormat="1" applyFont="1" applyFill="1" applyBorder="1" applyAlignment="1">
      <alignment horizontal="center" vertical="center"/>
    </xf>
    <xf numFmtId="3" fontId="37" fillId="17" borderId="48" xfId="0" applyNumberFormat="1" applyFont="1" applyFill="1" applyBorder="1" applyAlignment="1">
      <alignment horizontal="center" vertical="center"/>
    </xf>
    <xf numFmtId="3" fontId="2" fillId="18" borderId="12" xfId="0" applyNumberFormat="1" applyFont="1" applyFill="1" applyBorder="1" applyAlignment="1">
      <alignment horizontal="center" vertical="center"/>
    </xf>
    <xf numFmtId="3" fontId="7" fillId="19" borderId="48" xfId="0" applyNumberFormat="1" applyFont="1" applyFill="1" applyBorder="1" applyAlignment="1">
      <alignment horizontal="center" vertical="center"/>
    </xf>
    <xf numFmtId="3" fontId="49" fillId="20" borderId="12" xfId="0" applyNumberFormat="1" applyFont="1" applyFill="1" applyBorder="1" applyAlignment="1">
      <alignment horizontal="center" vertical="center"/>
    </xf>
    <xf numFmtId="3" fontId="2" fillId="2" borderId="13" xfId="0" applyNumberFormat="1" applyFont="1" applyFill="1" applyBorder="1" applyAlignment="1">
      <alignment horizontal="center" vertical="center"/>
    </xf>
    <xf numFmtId="3" fontId="2" fillId="2" borderId="42" xfId="0" applyNumberFormat="1" applyFont="1" applyFill="1" applyBorder="1" applyAlignment="1">
      <alignment horizontal="center" vertical="center"/>
    </xf>
    <xf numFmtId="3" fontId="2" fillId="2" borderId="54" xfId="0" applyNumberFormat="1" applyFont="1" applyFill="1" applyBorder="1" applyAlignment="1">
      <alignment horizontal="center" vertical="center"/>
    </xf>
    <xf numFmtId="4" fontId="38" fillId="3" borderId="22" xfId="0" applyNumberFormat="1" applyFont="1" applyFill="1" applyBorder="1" applyAlignment="1">
      <alignment horizontal="center" vertical="center"/>
    </xf>
    <xf numFmtId="3" fontId="38" fillId="11" borderId="24" xfId="0" applyNumberFormat="1" applyFont="1" applyFill="1" applyBorder="1" applyAlignment="1">
      <alignment horizontal="center" vertical="center"/>
    </xf>
    <xf numFmtId="3" fontId="50" fillId="11" borderId="24" xfId="0" applyNumberFormat="1" applyFont="1" applyFill="1" applyBorder="1" applyAlignment="1">
      <alignment horizontal="center" vertical="center"/>
    </xf>
    <xf numFmtId="3" fontId="38" fillId="17" borderId="50" xfId="0" applyNumberFormat="1" applyFont="1" applyFill="1" applyBorder="1" applyAlignment="1">
      <alignment horizontal="center" vertical="center"/>
    </xf>
    <xf numFmtId="3" fontId="38" fillId="17" borderId="43" xfId="0" applyNumberFormat="1" applyFont="1" applyFill="1" applyBorder="1" applyAlignment="1">
      <alignment horizontal="center" vertical="center"/>
    </xf>
    <xf numFmtId="3" fontId="42" fillId="17" borderId="40" xfId="0" applyNumberFormat="1" applyFont="1" applyFill="1" applyBorder="1" applyAlignment="1">
      <alignment horizontal="center" vertical="center"/>
    </xf>
    <xf numFmtId="3" fontId="38" fillId="18" borderId="53" xfId="0" applyNumberFormat="1" applyFont="1" applyFill="1" applyBorder="1" applyAlignment="1">
      <alignment horizontal="center" vertical="center"/>
    </xf>
    <xf numFmtId="3" fontId="38" fillId="18" borderId="43" xfId="0" applyNumberFormat="1" applyFont="1" applyFill="1" applyBorder="1" applyAlignment="1">
      <alignment horizontal="center" vertical="center"/>
    </xf>
    <xf numFmtId="3" fontId="38" fillId="18" borderId="52" xfId="0" applyNumberFormat="1" applyFont="1" applyFill="1" applyBorder="1" applyAlignment="1">
      <alignment horizontal="center" vertical="center"/>
    </xf>
    <xf numFmtId="3" fontId="38" fillId="19" borderId="50" xfId="0" applyNumberFormat="1" applyFont="1" applyFill="1" applyBorder="1" applyAlignment="1">
      <alignment horizontal="center" vertical="center"/>
    </xf>
    <xf numFmtId="3" fontId="38" fillId="19" borderId="43" xfId="0" applyNumberFormat="1" applyFont="1" applyFill="1" applyBorder="1" applyAlignment="1">
      <alignment horizontal="center" vertical="center"/>
    </xf>
    <xf numFmtId="3" fontId="6" fillId="19" borderId="40" xfId="0" applyNumberFormat="1" applyFont="1" applyFill="1" applyBorder="1" applyAlignment="1">
      <alignment horizontal="center" vertical="center"/>
    </xf>
    <xf numFmtId="3" fontId="38" fillId="20" borderId="53" xfId="0" applyNumberFormat="1" applyFont="1" applyFill="1" applyBorder="1" applyAlignment="1">
      <alignment horizontal="center" vertical="center"/>
    </xf>
    <xf numFmtId="3" fontId="38" fillId="20" borderId="43" xfId="0" applyNumberFormat="1" applyFont="1" applyFill="1" applyBorder="1" applyAlignment="1">
      <alignment horizontal="center" vertical="center"/>
    </xf>
    <xf numFmtId="3" fontId="38" fillId="20" borderId="52" xfId="0" applyNumberFormat="1" applyFont="1" applyFill="1" applyBorder="1" applyAlignment="1">
      <alignment horizontal="center" vertical="center"/>
    </xf>
    <xf numFmtId="3" fontId="38" fillId="21" borderId="50" xfId="0" applyNumberFormat="1" applyFont="1" applyFill="1" applyBorder="1" applyAlignment="1">
      <alignment horizontal="center" vertical="center"/>
    </xf>
    <xf numFmtId="3" fontId="38" fillId="21" borderId="40" xfId="0" applyNumberFormat="1" applyFont="1" applyFill="1" applyBorder="1" applyAlignment="1">
      <alignment horizontal="center" vertical="center"/>
    </xf>
    <xf numFmtId="3" fontId="38" fillId="22" borderId="53" xfId="0" applyNumberFormat="1" applyFont="1" applyFill="1" applyBorder="1" applyAlignment="1">
      <alignment horizontal="center" vertical="center"/>
    </xf>
    <xf numFmtId="3" fontId="38" fillId="22" borderId="52" xfId="0" applyNumberFormat="1" applyFont="1" applyFill="1" applyBorder="1" applyAlignment="1">
      <alignment horizontal="center" vertical="center"/>
    </xf>
    <xf numFmtId="3" fontId="38" fillId="6" borderId="50" xfId="0" applyNumberFormat="1" applyFont="1" applyFill="1" applyBorder="1" applyAlignment="1">
      <alignment horizontal="center" vertical="center"/>
    </xf>
    <xf numFmtId="3" fontId="38" fillId="6" borderId="40" xfId="0" applyNumberFormat="1" applyFont="1" applyFill="1" applyBorder="1" applyAlignment="1">
      <alignment horizontal="center" vertical="center"/>
    </xf>
    <xf numFmtId="3" fontId="38" fillId="23" borderId="6" xfId="0" applyNumberFormat="1" applyFont="1" applyFill="1" applyBorder="1" applyAlignment="1">
      <alignment horizontal="center" vertical="center"/>
    </xf>
    <xf numFmtId="3" fontId="38" fillId="24" borderId="24" xfId="0" applyNumberFormat="1" applyFont="1" applyFill="1" applyBorder="1" applyAlignment="1">
      <alignment horizontal="center" vertical="center"/>
    </xf>
    <xf numFmtId="3" fontId="38" fillId="25" borderId="6" xfId="0" applyNumberFormat="1" applyFont="1" applyFill="1" applyBorder="1" applyAlignment="1">
      <alignment horizontal="center" vertical="center"/>
    </xf>
    <xf numFmtId="3" fontId="38" fillId="26" borderId="24" xfId="0" applyNumberFormat="1" applyFont="1" applyFill="1" applyBorder="1" applyAlignment="1">
      <alignment horizontal="center" vertical="center"/>
    </xf>
    <xf numFmtId="3" fontId="38" fillId="2" borderId="5" xfId="0" applyNumberFormat="1" applyFont="1" applyFill="1" applyBorder="1" applyAlignment="1">
      <alignment horizontal="center" vertical="center"/>
    </xf>
    <xf numFmtId="3" fontId="50" fillId="2" borderId="43" xfId="0" applyNumberFormat="1" applyFont="1" applyFill="1" applyBorder="1" applyAlignment="1">
      <alignment horizontal="center" vertical="center"/>
    </xf>
    <xf numFmtId="3" fontId="38" fillId="2" borderId="43" xfId="0" applyNumberFormat="1" applyFont="1" applyFill="1" applyBorder="1" applyAlignment="1">
      <alignment horizontal="center" vertical="center"/>
    </xf>
    <xf numFmtId="3" fontId="4" fillId="2" borderId="40" xfId="0" applyNumberFormat="1" applyFont="1" applyFill="1" applyBorder="1" applyAlignment="1">
      <alignment horizontal="center" vertical="center"/>
    </xf>
    <xf numFmtId="4" fontId="38" fillId="17" borderId="5" xfId="0" applyNumberFormat="1" applyFont="1" applyFill="1" applyBorder="1" applyAlignment="1">
      <alignment horizontal="center" vertical="center"/>
    </xf>
    <xf numFmtId="4" fontId="38" fillId="17" borderId="10" xfId="0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4" fontId="2" fillId="4" borderId="10" xfId="0" applyNumberFormat="1" applyFont="1" applyFill="1" applyBorder="1" applyAlignment="1">
      <alignment horizontal="center" vertical="center"/>
    </xf>
    <xf numFmtId="4" fontId="4" fillId="4" borderId="10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horizontal="left" vertical="center"/>
    </xf>
    <xf numFmtId="0" fontId="38" fillId="0" borderId="10" xfId="0" applyFont="1" applyBorder="1" applyAlignment="1">
      <alignment horizontal="left" vertical="center" wrapText="1"/>
    </xf>
    <xf numFmtId="0" fontId="49" fillId="0" borderId="10" xfId="0" applyFont="1" applyBorder="1" applyAlignment="1">
      <alignment horizontal="center" vertical="center"/>
    </xf>
    <xf numFmtId="3" fontId="49" fillId="0" borderId="0" xfId="0" applyNumberFormat="1" applyFont="1" applyAlignment="1">
      <alignment horizontal="right" vertical="center"/>
    </xf>
    <xf numFmtId="3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0" fontId="6" fillId="0" borderId="10" xfId="0" applyFont="1" applyBorder="1" applyAlignment="1">
      <alignment vertical="center" wrapText="1"/>
    </xf>
    <xf numFmtId="0" fontId="90" fillId="0" borderId="16" xfId="0" applyFont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0" fillId="0" borderId="55" xfId="0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7" fillId="0" borderId="10" xfId="0" applyFont="1" applyBorder="1" applyAlignment="1">
      <alignment vertical="center" wrapText="1"/>
    </xf>
    <xf numFmtId="0" fontId="66" fillId="0" borderId="10" xfId="0" applyFont="1" applyBorder="1" applyAlignment="1">
      <alignment horizontal="right" vertical="center" wrapText="1"/>
    </xf>
    <xf numFmtId="0" fontId="85" fillId="0" borderId="10" xfId="0" applyFont="1" applyBorder="1" applyAlignment="1">
      <alignment vertical="center" wrapText="1"/>
    </xf>
    <xf numFmtId="0" fontId="67" fillId="0" borderId="10" xfId="0" applyFont="1" applyBorder="1" applyAlignment="1">
      <alignment vertical="center" wrapText="1"/>
    </xf>
    <xf numFmtId="0" fontId="20" fillId="5" borderId="1" xfId="0" applyFont="1" applyFill="1" applyBorder="1" applyAlignment="1">
      <alignment vertical="center" wrapText="1"/>
    </xf>
    <xf numFmtId="0" fontId="0" fillId="5" borderId="55" xfId="0" applyFill="1" applyBorder="1" applyAlignment="1">
      <alignment vertical="center" wrapText="1"/>
    </xf>
    <xf numFmtId="3" fontId="3" fillId="5" borderId="32" xfId="0" applyNumberFormat="1" applyFont="1" applyFill="1" applyBorder="1" applyAlignment="1">
      <alignment horizontal="center" vertical="center" wrapText="1"/>
    </xf>
    <xf numFmtId="0" fontId="31" fillId="5" borderId="27" xfId="0" applyFont="1" applyFill="1" applyBorder="1" applyAlignment="1">
      <alignment vertical="center" wrapText="1"/>
    </xf>
    <xf numFmtId="0" fontId="31" fillId="5" borderId="28" xfId="0" applyFont="1" applyFill="1" applyBorder="1" applyAlignment="1">
      <alignment vertical="center" wrapText="1"/>
    </xf>
    <xf numFmtId="4" fontId="4" fillId="5" borderId="47" xfId="0" applyNumberFormat="1" applyFont="1" applyFill="1" applyBorder="1" applyAlignment="1">
      <alignment horizontal="center" vertical="center" wrapText="1"/>
    </xf>
    <xf numFmtId="4" fontId="1" fillId="5" borderId="9" xfId="0" applyNumberFormat="1" applyFont="1" applyFill="1" applyBorder="1" applyAlignment="1">
      <alignment vertical="center" wrapText="1"/>
    </xf>
    <xf numFmtId="0" fontId="4" fillId="4" borderId="71" xfId="0" applyFont="1" applyFill="1" applyBorder="1" applyAlignment="1">
      <alignment horizontal="center" vertical="center" wrapText="1"/>
    </xf>
    <xf numFmtId="0" fontId="1" fillId="4" borderId="71" xfId="0" applyFont="1" applyFill="1" applyBorder="1" applyAlignment="1">
      <alignment vertical="center" wrapText="1"/>
    </xf>
    <xf numFmtId="0" fontId="1" fillId="4" borderId="35" xfId="0" applyFont="1" applyFill="1" applyBorder="1" applyAlignment="1">
      <alignment vertical="center" wrapText="1"/>
    </xf>
    <xf numFmtId="3" fontId="2" fillId="4" borderId="27" xfId="0" applyNumberFormat="1" applyFont="1" applyFill="1" applyBorder="1" applyAlignment="1">
      <alignment horizontal="center" vertical="center" wrapText="1"/>
    </xf>
    <xf numFmtId="0" fontId="0" fillId="4" borderId="27" xfId="0" applyFill="1" applyBorder="1" applyAlignment="1">
      <alignment vertical="center" wrapText="1"/>
    </xf>
    <xf numFmtId="0" fontId="0" fillId="4" borderId="33" xfId="0" applyFill="1" applyBorder="1" applyAlignment="1">
      <alignment vertical="center" wrapText="1"/>
    </xf>
    <xf numFmtId="167" fontId="4" fillId="4" borderId="14" xfId="0" applyNumberFormat="1" applyFont="1" applyFill="1" applyBorder="1" applyAlignment="1">
      <alignment horizontal="center" vertical="center" wrapText="1"/>
    </xf>
    <xf numFmtId="167" fontId="1" fillId="4" borderId="9" xfId="0" applyNumberFormat="1" applyFont="1" applyFill="1" applyBorder="1" applyAlignment="1">
      <alignment vertical="center" wrapText="1"/>
    </xf>
    <xf numFmtId="167" fontId="4" fillId="8" borderId="14" xfId="0" applyNumberFormat="1" applyFont="1" applyFill="1" applyBorder="1" applyAlignment="1">
      <alignment horizontal="center" vertical="center" wrapText="1"/>
    </xf>
    <xf numFmtId="167" fontId="1" fillId="8" borderId="9" xfId="0" applyNumberFormat="1" applyFont="1" applyFill="1" applyBorder="1" applyAlignment="1">
      <alignment vertical="center" wrapText="1"/>
    </xf>
    <xf numFmtId="0" fontId="4" fillId="8" borderId="71" xfId="0" applyFont="1" applyFill="1" applyBorder="1" applyAlignment="1">
      <alignment horizontal="center" vertical="center" wrapText="1"/>
    </xf>
    <xf numFmtId="0" fontId="1" fillId="8" borderId="71" xfId="0" applyFont="1" applyFill="1" applyBorder="1" applyAlignment="1">
      <alignment vertical="center" wrapText="1"/>
    </xf>
    <xf numFmtId="3" fontId="2" fillId="8" borderId="27" xfId="0" applyNumberFormat="1" applyFont="1" applyFill="1" applyBorder="1" applyAlignment="1">
      <alignment horizontal="center" vertical="center" wrapText="1"/>
    </xf>
    <xf numFmtId="0" fontId="0" fillId="8" borderId="27" xfId="0" applyFill="1" applyBorder="1" applyAlignment="1">
      <alignment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1" fillId="3" borderId="71" xfId="0" applyFont="1" applyFill="1" applyBorder="1" applyAlignment="1">
      <alignment vertical="center" wrapText="1"/>
    </xf>
    <xf numFmtId="0" fontId="1" fillId="3" borderId="35" xfId="0" applyFont="1" applyFill="1" applyBorder="1" applyAlignment="1">
      <alignment vertical="center" wrapText="1"/>
    </xf>
    <xf numFmtId="3" fontId="2" fillId="3" borderId="32" xfId="0" applyNumberFormat="1" applyFont="1" applyFill="1" applyBorder="1" applyAlignment="1">
      <alignment horizontal="center" vertical="center" wrapText="1"/>
    </xf>
    <xf numFmtId="0" fontId="0" fillId="3" borderId="27" xfId="0" applyFill="1" applyBorder="1" applyAlignment="1">
      <alignment vertical="center" wrapText="1"/>
    </xf>
    <xf numFmtId="0" fontId="0" fillId="3" borderId="33" xfId="0" applyFill="1" applyBorder="1" applyAlignment="1">
      <alignment vertical="center" wrapText="1"/>
    </xf>
    <xf numFmtId="167" fontId="4" fillId="3" borderId="47" xfId="0" applyNumberFormat="1" applyFont="1" applyFill="1" applyBorder="1" applyAlignment="1">
      <alignment horizontal="center" vertical="center" wrapText="1"/>
    </xf>
    <xf numFmtId="167" fontId="1" fillId="3" borderId="9" xfId="0" applyNumberFormat="1" applyFont="1" applyFill="1" applyBorder="1" applyAlignment="1">
      <alignment vertical="center" wrapText="1"/>
    </xf>
    <xf numFmtId="0" fontId="16" fillId="5" borderId="3" xfId="0" applyFont="1" applyFill="1" applyBorder="1" applyAlignment="1">
      <alignment vertical="center" wrapText="1"/>
    </xf>
    <xf numFmtId="0" fontId="0" fillId="5" borderId="18" xfId="0" applyFill="1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59" fillId="0" borderId="44" xfId="0" applyNumberFormat="1" applyFont="1" applyBorder="1" applyAlignment="1">
      <alignment horizontal="center" vertical="center" wrapText="1"/>
    </xf>
    <xf numFmtId="3" fontId="60" fillId="0" borderId="45" xfId="0" applyNumberFormat="1" applyFont="1" applyBorder="1" applyAlignment="1">
      <alignment horizontal="center" vertical="center" wrapText="1"/>
    </xf>
    <xf numFmtId="3" fontId="60" fillId="0" borderId="59" xfId="0" applyNumberFormat="1" applyFont="1" applyBorder="1" applyAlignment="1">
      <alignment horizontal="center" vertical="center" wrapText="1"/>
    </xf>
    <xf numFmtId="3" fontId="6" fillId="0" borderId="30" xfId="0" applyNumberFormat="1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3" fontId="2" fillId="0" borderId="35" xfId="0" applyNumberFormat="1" applyFont="1" applyBorder="1" applyAlignment="1">
      <alignment horizontal="center" vertical="center" wrapText="1"/>
    </xf>
    <xf numFmtId="3" fontId="0" fillId="0" borderId="41" xfId="0" applyNumberFormat="1" applyBorder="1" applyAlignment="1">
      <alignment horizontal="center" vertical="center" wrapText="1"/>
    </xf>
    <xf numFmtId="3" fontId="0" fillId="0" borderId="73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0" fillId="13" borderId="10" xfId="0" applyFill="1" applyBorder="1" applyAlignment="1">
      <alignment horizontal="center" vertical="center" wrapText="1"/>
    </xf>
    <xf numFmtId="0" fontId="4" fillId="13" borderId="23" xfId="0" applyFont="1" applyFill="1" applyBorder="1" applyAlignment="1">
      <alignment horizontal="center" vertical="center" wrapText="1"/>
    </xf>
    <xf numFmtId="0" fontId="0" fillId="13" borderId="20" xfId="0" applyFill="1" applyBorder="1" applyAlignment="1">
      <alignment horizontal="center" vertical="center" wrapText="1"/>
    </xf>
    <xf numFmtId="3" fontId="5" fillId="0" borderId="30" xfId="0" applyNumberFormat="1" applyFont="1" applyBorder="1" applyAlignment="1">
      <alignment horizontal="center" vertical="center" wrapText="1"/>
    </xf>
    <xf numFmtId="3" fontId="12" fillId="0" borderId="26" xfId="0" applyNumberFormat="1" applyFont="1" applyBorder="1" applyAlignment="1">
      <alignment horizontal="center" vertical="center" wrapText="1"/>
    </xf>
    <xf numFmtId="3" fontId="12" fillId="0" borderId="31" xfId="0" applyNumberFormat="1" applyFont="1" applyBorder="1" applyAlignment="1">
      <alignment horizontal="center" vertical="center" wrapText="1"/>
    </xf>
    <xf numFmtId="3" fontId="12" fillId="0" borderId="36" xfId="0" applyNumberFormat="1" applyFont="1" applyBorder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3" fontId="12" fillId="0" borderId="38" xfId="0" applyNumberFormat="1" applyFont="1" applyBorder="1" applyAlignment="1">
      <alignment horizontal="center" vertical="center" wrapText="1"/>
    </xf>
    <xf numFmtId="3" fontId="17" fillId="0" borderId="26" xfId="0" applyNumberFormat="1" applyFont="1" applyBorder="1" applyAlignment="1">
      <alignment horizontal="center" vertical="center" wrapText="1"/>
    </xf>
    <xf numFmtId="3" fontId="17" fillId="0" borderId="31" xfId="0" applyNumberFormat="1" applyFont="1" applyBorder="1" applyAlignment="1">
      <alignment horizontal="center" vertical="center" wrapText="1"/>
    </xf>
    <xf numFmtId="3" fontId="17" fillId="0" borderId="32" xfId="0" applyNumberFormat="1" applyFont="1" applyBorder="1" applyAlignment="1">
      <alignment horizontal="center" vertical="center" wrapText="1"/>
    </xf>
    <xf numFmtId="3" fontId="17" fillId="0" borderId="27" xfId="0" applyNumberFormat="1" applyFont="1" applyBorder="1" applyAlignment="1">
      <alignment horizontal="center" vertical="center" wrapText="1"/>
    </xf>
    <xf numFmtId="3" fontId="17" fillId="0" borderId="33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55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3" fontId="12" fillId="0" borderId="32" xfId="0" applyNumberFormat="1" applyFont="1" applyBorder="1" applyAlignment="1">
      <alignment horizontal="center" vertical="center" wrapText="1"/>
    </xf>
    <xf numFmtId="3" fontId="12" fillId="0" borderId="27" xfId="0" applyNumberFormat="1" applyFont="1" applyBorder="1" applyAlignment="1">
      <alignment horizontal="center" vertical="center" wrapText="1"/>
    </xf>
    <xf numFmtId="3" fontId="12" fillId="0" borderId="33" xfId="0" applyNumberFormat="1" applyFont="1" applyBorder="1" applyAlignment="1">
      <alignment horizontal="center" vertical="center" wrapText="1"/>
    </xf>
    <xf numFmtId="3" fontId="13" fillId="0" borderId="30" xfId="0" applyNumberFormat="1" applyFont="1" applyBorder="1" applyAlignment="1">
      <alignment horizontal="center" vertical="center" wrapText="1"/>
    </xf>
    <xf numFmtId="3" fontId="14" fillId="0" borderId="26" xfId="0" applyNumberFormat="1" applyFont="1" applyBorder="1" applyAlignment="1">
      <alignment horizontal="center" vertical="center" wrapText="1"/>
    </xf>
    <xf numFmtId="3" fontId="14" fillId="0" borderId="32" xfId="0" applyNumberFormat="1" applyFont="1" applyBorder="1" applyAlignment="1">
      <alignment horizontal="center" vertical="center" wrapText="1"/>
    </xf>
    <xf numFmtId="3" fontId="14" fillId="0" borderId="27" xfId="0" applyNumberFormat="1" applyFont="1" applyBorder="1" applyAlignment="1">
      <alignment horizontal="center" vertical="center" wrapText="1"/>
    </xf>
    <xf numFmtId="3" fontId="1" fillId="0" borderId="26" xfId="0" applyNumberFormat="1" applyFont="1" applyBorder="1" applyAlignment="1">
      <alignment horizontal="center" vertical="center" wrapText="1"/>
    </xf>
    <xf numFmtId="3" fontId="1" fillId="0" borderId="31" xfId="0" applyNumberFormat="1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 wrapText="1"/>
    </xf>
    <xf numFmtId="0" fontId="57" fillId="0" borderId="55" xfId="0" applyFont="1" applyBorder="1" applyAlignment="1">
      <alignment horizontal="center" vertical="center" wrapText="1"/>
    </xf>
    <xf numFmtId="3" fontId="6" fillId="0" borderId="5" xfId="0" applyNumberFormat="1" applyFont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3" fontId="4" fillId="0" borderId="7" xfId="0" applyNumberFormat="1" applyFont="1" applyBorder="1" applyAlignment="1">
      <alignment horizontal="center" vertical="center" wrapText="1"/>
    </xf>
    <xf numFmtId="3" fontId="6" fillId="0" borderId="6" xfId="0" applyNumberFormat="1" applyFont="1" applyBorder="1" applyAlignment="1">
      <alignment horizontal="center" vertical="center" wrapText="1"/>
    </xf>
    <xf numFmtId="3" fontId="2" fillId="0" borderId="26" xfId="0" applyNumberFormat="1" applyFont="1" applyBorder="1" applyAlignment="1">
      <alignment horizontal="center" vertical="center" wrapText="1"/>
    </xf>
    <xf numFmtId="3" fontId="2" fillId="0" borderId="31" xfId="0" applyNumberFormat="1" applyFont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3" fontId="2" fillId="0" borderId="38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55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1" xfId="0" applyNumberFormat="1" applyFont="1" applyBorder="1" applyAlignment="1">
      <alignment horizontal="center" vertical="center" wrapText="1"/>
    </xf>
    <xf numFmtId="4" fontId="2" fillId="0" borderId="55" xfId="0" applyNumberFormat="1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3" fontId="3" fillId="0" borderId="10" xfId="0" applyNumberFormat="1" applyFont="1" applyBorder="1" applyAlignment="1">
      <alignment horizontal="center" vertical="center" wrapText="1"/>
    </xf>
    <xf numFmtId="3" fontId="3" fillId="0" borderId="17" xfId="0" applyNumberFormat="1" applyFont="1" applyBorder="1" applyAlignment="1">
      <alignment horizontal="center" vertical="center" wrapText="1"/>
    </xf>
    <xf numFmtId="168" fontId="2" fillId="0" borderId="23" xfId="0" applyNumberFormat="1" applyFont="1" applyBorder="1" applyAlignment="1">
      <alignment horizontal="center" vertical="center" wrapText="1"/>
    </xf>
    <xf numFmtId="168" fontId="2" fillId="0" borderId="20" xfId="0" applyNumberFormat="1" applyFont="1" applyBorder="1" applyAlignment="1">
      <alignment horizontal="center" vertical="center" wrapText="1"/>
    </xf>
    <xf numFmtId="168" fontId="2" fillId="0" borderId="22" xfId="0" applyNumberFormat="1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3" fontId="11" fillId="0" borderId="30" xfId="0" applyNumberFormat="1" applyFont="1" applyBorder="1" applyAlignment="1">
      <alignment horizontal="center" vertical="center" wrapText="1"/>
    </xf>
    <xf numFmtId="3" fontId="11" fillId="0" borderId="26" xfId="0" applyNumberFormat="1" applyFont="1" applyBorder="1" applyAlignment="1">
      <alignment horizontal="center" vertical="center" wrapText="1"/>
    </xf>
    <xf numFmtId="3" fontId="11" fillId="0" borderId="31" xfId="0" applyNumberFormat="1" applyFont="1" applyBorder="1" applyAlignment="1">
      <alignment horizontal="center" vertical="center" wrapText="1"/>
    </xf>
    <xf numFmtId="4" fontId="5" fillId="0" borderId="30" xfId="0" applyNumberFormat="1" applyFont="1" applyBorder="1" applyAlignment="1">
      <alignment horizontal="center" vertical="center" wrapText="1"/>
    </xf>
    <xf numFmtId="3" fontId="15" fillId="0" borderId="26" xfId="0" applyNumberFormat="1" applyFont="1" applyBorder="1" applyAlignment="1">
      <alignment horizontal="center" vertical="center" wrapText="1"/>
    </xf>
    <xf numFmtId="3" fontId="15" fillId="0" borderId="31" xfId="0" applyNumberFormat="1" applyFont="1" applyBorder="1" applyAlignment="1">
      <alignment horizontal="center" vertical="center" wrapText="1"/>
    </xf>
    <xf numFmtId="4" fontId="15" fillId="0" borderId="27" xfId="0" applyNumberFormat="1" applyFont="1" applyBorder="1" applyAlignment="1">
      <alignment horizontal="center" vertical="center" wrapText="1"/>
    </xf>
    <xf numFmtId="3" fontId="15" fillId="0" borderId="27" xfId="0" applyNumberFormat="1" applyFont="1" applyBorder="1" applyAlignment="1">
      <alignment horizontal="center" vertical="center" wrapText="1"/>
    </xf>
    <xf numFmtId="3" fontId="15" fillId="0" borderId="33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 wrapText="1"/>
    </xf>
    <xf numFmtId="3" fontId="15" fillId="0" borderId="32" xfId="0" applyNumberFormat="1" applyFon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3" fontId="0" fillId="0" borderId="27" xfId="0" applyNumberFormat="1" applyBorder="1" applyAlignment="1">
      <alignment horizontal="center" vertical="center" wrapText="1"/>
    </xf>
    <xf numFmtId="3" fontId="0" fillId="0" borderId="33" xfId="0" applyNumberFormat="1" applyBorder="1" applyAlignment="1">
      <alignment horizontal="center" vertical="center" wrapText="1"/>
    </xf>
    <xf numFmtId="3" fontId="4" fillId="0" borderId="26" xfId="0" applyNumberFormat="1" applyFont="1" applyBorder="1" applyAlignment="1">
      <alignment horizontal="center" vertical="center" wrapText="1"/>
    </xf>
    <xf numFmtId="3" fontId="4" fillId="0" borderId="31" xfId="0" applyNumberFormat="1" applyFont="1" applyBorder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13" fillId="0" borderId="5" xfId="0" applyNumberFormat="1" applyFont="1" applyBorder="1" applyAlignment="1">
      <alignment horizontal="center" vertical="center" wrapText="1"/>
    </xf>
    <xf numFmtId="3" fontId="14" fillId="0" borderId="6" xfId="0" applyNumberFormat="1" applyFont="1" applyBorder="1" applyAlignment="1">
      <alignment horizontal="center" vertical="center" wrapText="1"/>
    </xf>
    <xf numFmtId="3" fontId="14" fillId="0" borderId="7" xfId="0" applyNumberFormat="1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23" xfId="0" applyNumberFormat="1" applyFont="1" applyBorder="1" applyAlignment="1">
      <alignment horizontal="center" vertical="center" wrapText="1"/>
    </xf>
    <xf numFmtId="3" fontId="11" fillId="0" borderId="6" xfId="0" applyNumberFormat="1" applyFon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57" fillId="0" borderId="17" xfId="0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14" borderId="10" xfId="0" applyFont="1" applyFill="1" applyBorder="1" applyAlignment="1">
      <alignment horizontal="center" vertical="center" wrapText="1"/>
    </xf>
    <xf numFmtId="0" fontId="0" fillId="14" borderId="10" xfId="0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4" fillId="14" borderId="23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56" xfId="0" applyFont="1" applyBorder="1" applyAlignment="1">
      <alignment vertical="center" wrapText="1"/>
    </xf>
    <xf numFmtId="0" fontId="2" fillId="0" borderId="42" xfId="0" applyFont="1" applyBorder="1" applyAlignment="1">
      <alignment vertical="center" wrapText="1"/>
    </xf>
    <xf numFmtId="0" fontId="2" fillId="0" borderId="64" xfId="0" applyFont="1" applyBorder="1" applyAlignment="1">
      <alignment vertical="center" wrapText="1"/>
    </xf>
    <xf numFmtId="4" fontId="2" fillId="0" borderId="3" xfId="0" applyNumberFormat="1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18" xfId="0" applyNumberFormat="1" applyFont="1" applyBorder="1" applyAlignment="1">
      <alignment horizontal="center" vertical="center" wrapText="1"/>
    </xf>
    <xf numFmtId="0" fontId="4" fillId="14" borderId="1" xfId="0" applyFont="1" applyFill="1" applyBorder="1" applyAlignment="1">
      <alignment horizontal="center" vertical="center" wrapText="1"/>
    </xf>
    <xf numFmtId="0" fontId="0" fillId="14" borderId="2" xfId="0" applyFill="1" applyBorder="1" applyAlignment="1">
      <alignment horizontal="center" vertical="center" wrapText="1"/>
    </xf>
    <xf numFmtId="3" fontId="59" fillId="0" borderId="71" xfId="0" applyNumberFormat="1" applyFont="1" applyBorder="1" applyAlignment="1">
      <alignment horizontal="center" vertical="center" wrapText="1"/>
    </xf>
    <xf numFmtId="3" fontId="60" fillId="0" borderId="14" xfId="0" applyNumberFormat="1" applyFont="1" applyBorder="1" applyAlignment="1">
      <alignment horizontal="center" vertical="center" wrapText="1"/>
    </xf>
    <xf numFmtId="3" fontId="60" fillId="0" borderId="72" xfId="0" applyNumberFormat="1" applyFont="1" applyBorder="1" applyAlignment="1">
      <alignment horizontal="center" vertical="center" wrapText="1"/>
    </xf>
    <xf numFmtId="3" fontId="25" fillId="7" borderId="10" xfId="0" applyNumberFormat="1" applyFont="1" applyFill="1" applyBorder="1" applyAlignment="1">
      <alignment horizontal="center" vertical="center" wrapText="1"/>
    </xf>
    <xf numFmtId="3" fontId="87" fillId="7" borderId="10" xfId="0" applyNumberFormat="1" applyFont="1" applyFill="1" applyBorder="1" applyAlignment="1">
      <alignment horizontal="center" vertical="center" wrapText="1"/>
    </xf>
    <xf numFmtId="0" fontId="4" fillId="14" borderId="11" xfId="0" applyFont="1" applyFill="1" applyBorder="1" applyAlignment="1">
      <alignment horizontal="center" vertical="center" wrapText="1"/>
    </xf>
    <xf numFmtId="3" fontId="88" fillId="7" borderId="10" xfId="0" applyNumberFormat="1" applyFont="1" applyFill="1" applyBorder="1" applyAlignment="1">
      <alignment horizontal="center" vertical="center" wrapText="1"/>
    </xf>
    <xf numFmtId="3" fontId="39" fillId="0" borderId="23" xfId="0" applyNumberFormat="1" applyFont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3" fontId="5" fillId="0" borderId="60" xfId="0" applyNumberFormat="1" applyFont="1" applyBorder="1" applyAlignment="1">
      <alignment horizontal="center" vertical="center" wrapText="1"/>
    </xf>
    <xf numFmtId="3" fontId="17" fillId="0" borderId="56" xfId="0" applyNumberFormat="1" applyFont="1" applyBorder="1" applyAlignment="1">
      <alignment horizontal="center" vertical="center" wrapText="1"/>
    </xf>
    <xf numFmtId="3" fontId="17" fillId="0" borderId="61" xfId="0" applyNumberFormat="1" applyFont="1" applyBorder="1" applyAlignment="1">
      <alignment horizontal="center" vertical="center" wrapText="1"/>
    </xf>
    <xf numFmtId="3" fontId="4" fillId="0" borderId="30" xfId="0" applyNumberFormat="1" applyFont="1" applyBorder="1" applyAlignment="1">
      <alignment horizontal="center" vertical="center" wrapText="1"/>
    </xf>
    <xf numFmtId="3" fontId="4" fillId="0" borderId="76" xfId="0" applyNumberFormat="1" applyFont="1" applyBorder="1" applyAlignment="1">
      <alignment horizontal="center" vertical="center" wrapText="1"/>
    </xf>
    <xf numFmtId="3" fontId="4" fillId="0" borderId="32" xfId="0" applyNumberFormat="1" applyFont="1" applyBorder="1" applyAlignment="1">
      <alignment horizontal="center" vertical="center" wrapText="1"/>
    </xf>
    <xf numFmtId="3" fontId="4" fillId="0" borderId="27" xfId="0" applyNumberFormat="1" applyFont="1" applyBorder="1" applyAlignment="1">
      <alignment horizontal="center" vertical="center" wrapText="1"/>
    </xf>
    <xf numFmtId="3" fontId="4" fillId="0" borderId="28" xfId="0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vertical="center" wrapText="1"/>
    </xf>
    <xf numFmtId="0" fontId="46" fillId="0" borderId="10" xfId="0" applyFont="1" applyBorder="1" applyAlignment="1">
      <alignment vertical="center" wrapText="1"/>
    </xf>
    <xf numFmtId="0" fontId="47" fillId="0" borderId="17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35" fillId="0" borderId="17" xfId="0" applyFont="1" applyBorder="1" applyAlignment="1">
      <alignment vertical="center" wrapText="1"/>
    </xf>
    <xf numFmtId="3" fontId="4" fillId="0" borderId="44" xfId="0" applyNumberFormat="1" applyFont="1" applyBorder="1" applyAlignment="1">
      <alignment horizontal="center" vertical="center" wrapText="1"/>
    </xf>
    <xf numFmtId="3" fontId="1" fillId="0" borderId="45" xfId="0" applyNumberFormat="1" applyFont="1" applyBorder="1" applyAlignment="1">
      <alignment horizontal="center" vertical="center" wrapText="1"/>
    </xf>
    <xf numFmtId="3" fontId="1" fillId="0" borderId="59" xfId="0" applyNumberFormat="1" applyFont="1" applyBorder="1" applyAlignment="1">
      <alignment horizontal="center" vertical="center" wrapText="1"/>
    </xf>
    <xf numFmtId="4" fontId="2" fillId="0" borderId="23" xfId="0" applyNumberFormat="1" applyFont="1" applyBorder="1" applyAlignment="1">
      <alignment horizontal="center" vertical="center" wrapText="1"/>
    </xf>
    <xf numFmtId="4" fontId="2" fillId="0" borderId="20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4" fillId="0" borderId="46" xfId="0" applyNumberFormat="1" applyFont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center" vertical="center" wrapText="1"/>
    </xf>
    <xf numFmtId="3" fontId="17" fillId="0" borderId="43" xfId="0" applyNumberFormat="1" applyFont="1" applyBorder="1" applyAlignment="1">
      <alignment vertical="center" wrapText="1"/>
    </xf>
    <xf numFmtId="3" fontId="17" fillId="0" borderId="52" xfId="0" applyNumberFormat="1" applyFont="1" applyBorder="1" applyAlignment="1">
      <alignment vertical="center" wrapText="1"/>
    </xf>
    <xf numFmtId="3" fontId="4" fillId="0" borderId="37" xfId="0" applyNumberFormat="1" applyFont="1" applyBorder="1" applyAlignment="1">
      <alignment horizontal="center" vertical="center" wrapText="1"/>
    </xf>
    <xf numFmtId="3" fontId="1" fillId="0" borderId="42" xfId="0" applyNumberFormat="1" applyFont="1" applyBorder="1" applyAlignment="1">
      <alignment horizontal="center" vertical="center" wrapText="1"/>
    </xf>
    <xf numFmtId="3" fontId="1" fillId="0" borderId="39" xfId="0" applyNumberFormat="1" applyFont="1" applyBorder="1" applyAlignment="1">
      <alignment horizontal="center" vertical="center" wrapText="1"/>
    </xf>
    <xf numFmtId="3" fontId="39" fillId="0" borderId="2" xfId="0" applyNumberFormat="1" applyFont="1" applyBorder="1" applyAlignment="1">
      <alignment horizontal="center" vertical="center" wrapText="1"/>
    </xf>
    <xf numFmtId="3" fontId="6" fillId="0" borderId="4" xfId="0" applyNumberFormat="1" applyFont="1" applyBorder="1" applyAlignment="1">
      <alignment horizontal="center" vertical="center" wrapText="1"/>
    </xf>
    <xf numFmtId="3" fontId="39" fillId="0" borderId="3" xfId="0" applyNumberFormat="1" applyFont="1" applyBorder="1" applyAlignment="1">
      <alignment horizontal="center" vertical="center" wrapText="1"/>
    </xf>
    <xf numFmtId="3" fontId="5" fillId="2" borderId="60" xfId="0" applyNumberFormat="1" applyFont="1" applyFill="1" applyBorder="1" applyAlignment="1">
      <alignment horizontal="center" vertical="center" wrapText="1"/>
    </xf>
    <xf numFmtId="3" fontId="17" fillId="2" borderId="56" xfId="0" applyNumberFormat="1" applyFont="1" applyFill="1" applyBorder="1" applyAlignment="1">
      <alignment horizontal="center" vertical="center" wrapText="1"/>
    </xf>
    <xf numFmtId="3" fontId="17" fillId="2" borderId="61" xfId="0" applyNumberFormat="1" applyFont="1" applyFill="1" applyBorder="1" applyAlignment="1">
      <alignment horizontal="center" vertical="center" wrapText="1"/>
    </xf>
    <xf numFmtId="3" fontId="4" fillId="11" borderId="44" xfId="0" applyNumberFormat="1" applyFont="1" applyFill="1" applyBorder="1" applyAlignment="1">
      <alignment horizontal="center" vertical="center" wrapText="1"/>
    </xf>
    <xf numFmtId="3" fontId="1" fillId="11" borderId="45" xfId="0" applyNumberFormat="1" applyFont="1" applyFill="1" applyBorder="1" applyAlignment="1">
      <alignment horizontal="center" vertical="center" wrapText="1"/>
    </xf>
    <xf numFmtId="3" fontId="1" fillId="11" borderId="59" xfId="0" applyNumberFormat="1" applyFont="1" applyFill="1" applyBorder="1" applyAlignment="1">
      <alignment horizontal="center" vertical="center" wrapText="1"/>
    </xf>
    <xf numFmtId="3" fontId="4" fillId="11" borderId="46" xfId="0" applyNumberFormat="1" applyFont="1" applyFill="1" applyBorder="1" applyAlignment="1">
      <alignment horizontal="center" vertical="center" wrapText="1"/>
    </xf>
    <xf numFmtId="3" fontId="4" fillId="11" borderId="37" xfId="0" applyNumberFormat="1" applyFont="1" applyFill="1" applyBorder="1" applyAlignment="1">
      <alignment horizontal="center" vertical="center" wrapText="1"/>
    </xf>
    <xf numFmtId="3" fontId="1" fillId="11" borderId="42" xfId="0" applyNumberFormat="1" applyFont="1" applyFill="1" applyBorder="1" applyAlignment="1">
      <alignment horizontal="center" vertical="center" wrapText="1"/>
    </xf>
    <xf numFmtId="3" fontId="1" fillId="11" borderId="39" xfId="0" applyNumberFormat="1" applyFont="1" applyFill="1" applyBorder="1" applyAlignment="1">
      <alignment horizontal="center" vertical="center" wrapText="1"/>
    </xf>
    <xf numFmtId="3" fontId="4" fillId="2" borderId="30" xfId="0" applyNumberFormat="1" applyFont="1" applyFill="1" applyBorder="1" applyAlignment="1">
      <alignment horizontal="center" vertical="center" wrapText="1"/>
    </xf>
    <xf numFmtId="3" fontId="4" fillId="2" borderId="26" xfId="0" applyNumberFormat="1" applyFont="1" applyFill="1" applyBorder="1" applyAlignment="1">
      <alignment horizontal="center" vertical="center" wrapText="1"/>
    </xf>
    <xf numFmtId="3" fontId="4" fillId="2" borderId="76" xfId="0" applyNumberFormat="1" applyFont="1" applyFill="1" applyBorder="1" applyAlignment="1">
      <alignment horizontal="center" vertical="center" wrapText="1"/>
    </xf>
    <xf numFmtId="3" fontId="4" fillId="2" borderId="32" xfId="0" applyNumberFormat="1" applyFont="1" applyFill="1" applyBorder="1" applyAlignment="1">
      <alignment horizontal="center" vertical="center" wrapText="1"/>
    </xf>
    <xf numFmtId="3" fontId="4" fillId="2" borderId="27" xfId="0" applyNumberFormat="1" applyFont="1" applyFill="1" applyBorder="1" applyAlignment="1">
      <alignment horizontal="center" vertical="center" wrapText="1"/>
    </xf>
    <xf numFmtId="3" fontId="4" fillId="2" borderId="28" xfId="0" applyNumberFormat="1" applyFont="1" applyFill="1" applyBorder="1" applyAlignment="1">
      <alignment horizontal="center" vertical="center" wrapText="1"/>
    </xf>
    <xf numFmtId="3" fontId="4" fillId="2" borderId="2" xfId="0" applyNumberFormat="1" applyFont="1" applyFill="1" applyBorder="1" applyAlignment="1">
      <alignment horizontal="center" vertical="center" wrapText="1"/>
    </xf>
    <xf numFmtId="3" fontId="1" fillId="2" borderId="2" xfId="0" applyNumberFormat="1" applyFont="1" applyFill="1" applyBorder="1" applyAlignment="1">
      <alignment horizontal="center" vertical="center" wrapText="1"/>
    </xf>
    <xf numFmtId="3" fontId="1" fillId="2" borderId="10" xfId="0" applyNumberFormat="1" applyFont="1" applyFill="1" applyBorder="1" applyAlignment="1">
      <alignment horizontal="center" vertical="center" wrapText="1"/>
    </xf>
    <xf numFmtId="3" fontId="5" fillId="11" borderId="50" xfId="0" applyNumberFormat="1" applyFont="1" applyFill="1" applyBorder="1" applyAlignment="1">
      <alignment horizontal="center" vertical="center" wrapText="1"/>
    </xf>
    <xf numFmtId="3" fontId="17" fillId="11" borderId="43" xfId="0" applyNumberFormat="1" applyFont="1" applyFill="1" applyBorder="1" applyAlignment="1">
      <alignment vertical="center" wrapText="1"/>
    </xf>
    <xf numFmtId="3" fontId="17" fillId="11" borderId="52" xfId="0" applyNumberFormat="1" applyFont="1" applyFill="1" applyBorder="1" applyAlignment="1">
      <alignment vertical="center" wrapText="1"/>
    </xf>
    <xf numFmtId="3" fontId="6" fillId="22" borderId="4" xfId="0" applyNumberFormat="1" applyFont="1" applyFill="1" applyBorder="1" applyAlignment="1">
      <alignment horizontal="center" vertical="center" wrapText="1"/>
    </xf>
    <xf numFmtId="3" fontId="39" fillId="22" borderId="3" xfId="0" applyNumberFormat="1" applyFont="1" applyFill="1" applyBorder="1" applyAlignment="1">
      <alignment horizontal="center" vertical="center" wrapText="1"/>
    </xf>
    <xf numFmtId="3" fontId="6" fillId="6" borderId="1" xfId="0" applyNumberFormat="1" applyFont="1" applyFill="1" applyBorder="1" applyAlignment="1">
      <alignment horizontal="center" vertical="center" wrapText="1"/>
    </xf>
    <xf numFmtId="3" fontId="39" fillId="6" borderId="23" xfId="0" applyNumberFormat="1" applyFont="1" applyFill="1" applyBorder="1" applyAlignment="1">
      <alignment horizontal="center" vertical="center" wrapText="1"/>
    </xf>
    <xf numFmtId="3" fontId="6" fillId="17" borderId="1" xfId="0" applyNumberFormat="1" applyFont="1" applyFill="1" applyBorder="1" applyAlignment="1">
      <alignment horizontal="center" vertical="center" wrapText="1"/>
    </xf>
    <xf numFmtId="3" fontId="39" fillId="17" borderId="2" xfId="0" applyNumberFormat="1" applyFont="1" applyFill="1" applyBorder="1" applyAlignment="1">
      <alignment horizontal="center" vertical="center" wrapText="1"/>
    </xf>
    <xf numFmtId="3" fontId="39" fillId="17" borderId="23" xfId="0" applyNumberFormat="1" applyFont="1" applyFill="1" applyBorder="1" applyAlignment="1">
      <alignment horizontal="center" vertical="center" wrapText="1"/>
    </xf>
    <xf numFmtId="3" fontId="6" fillId="18" borderId="4" xfId="0" applyNumberFormat="1" applyFont="1" applyFill="1" applyBorder="1" applyAlignment="1">
      <alignment horizontal="center" vertical="center" wrapText="1"/>
    </xf>
    <xf numFmtId="3" fontId="39" fillId="18" borderId="2" xfId="0" applyNumberFormat="1" applyFont="1" applyFill="1" applyBorder="1" applyAlignment="1">
      <alignment horizontal="center" vertical="center" wrapText="1"/>
    </xf>
    <xf numFmtId="3" fontId="39" fillId="18" borderId="3" xfId="0" applyNumberFormat="1" applyFont="1" applyFill="1" applyBorder="1" applyAlignment="1">
      <alignment horizontal="center" vertical="center" wrapText="1"/>
    </xf>
    <xf numFmtId="3" fontId="6" fillId="19" borderId="1" xfId="0" applyNumberFormat="1" applyFont="1" applyFill="1" applyBorder="1" applyAlignment="1">
      <alignment horizontal="center" vertical="center" wrapText="1"/>
    </xf>
    <xf numFmtId="3" fontId="39" fillId="19" borderId="2" xfId="0" applyNumberFormat="1" applyFont="1" applyFill="1" applyBorder="1" applyAlignment="1">
      <alignment horizontal="center" vertical="center" wrapText="1"/>
    </xf>
    <xf numFmtId="3" fontId="39" fillId="19" borderId="23" xfId="0" applyNumberFormat="1" applyFont="1" applyFill="1" applyBorder="1" applyAlignment="1">
      <alignment horizontal="center" vertical="center" wrapText="1"/>
    </xf>
    <xf numFmtId="3" fontId="4" fillId="17" borderId="1" xfId="0" applyNumberFormat="1" applyFont="1" applyFill="1" applyBorder="1" applyAlignment="1">
      <alignment horizontal="center" vertical="center" wrapText="1"/>
    </xf>
    <xf numFmtId="3" fontId="1" fillId="17" borderId="11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3" fontId="6" fillId="20" borderId="4" xfId="0" applyNumberFormat="1" applyFont="1" applyFill="1" applyBorder="1" applyAlignment="1">
      <alignment horizontal="center" vertical="center" wrapText="1"/>
    </xf>
    <xf numFmtId="3" fontId="39" fillId="20" borderId="2" xfId="0" applyNumberFormat="1" applyFont="1" applyFill="1" applyBorder="1" applyAlignment="1">
      <alignment horizontal="center" vertical="center" wrapText="1"/>
    </xf>
    <xf numFmtId="3" fontId="39" fillId="20" borderId="3" xfId="0" applyNumberFormat="1" applyFont="1" applyFill="1" applyBorder="1" applyAlignment="1">
      <alignment horizontal="center" vertical="center" wrapText="1"/>
    </xf>
    <xf numFmtId="3" fontId="6" fillId="21" borderId="1" xfId="0" applyNumberFormat="1" applyFont="1" applyFill="1" applyBorder="1" applyAlignment="1">
      <alignment horizontal="center" vertical="center" wrapText="1"/>
    </xf>
    <xf numFmtId="3" fontId="39" fillId="21" borderId="23" xfId="0" applyNumberFormat="1" applyFont="1" applyFill="1" applyBorder="1" applyAlignment="1">
      <alignment horizontal="center" vertical="center" wrapText="1"/>
    </xf>
    <xf numFmtId="3" fontId="0" fillId="2" borderId="23" xfId="0" applyNumberFormat="1" applyFill="1" applyBorder="1" applyAlignment="1">
      <alignment horizontal="center" vertical="center" wrapText="1"/>
    </xf>
    <xf numFmtId="3" fontId="0" fillId="2" borderId="20" xfId="0" applyNumberFormat="1" applyFill="1" applyBorder="1" applyAlignment="1">
      <alignment horizontal="center" vertical="center" wrapText="1"/>
    </xf>
    <xf numFmtId="0" fontId="2" fillId="0" borderId="10" xfId="0" applyFont="1" applyBorder="1" applyAlignment="1">
      <alignment wrapText="1"/>
    </xf>
    <xf numFmtId="0" fontId="32" fillId="6" borderId="1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 wrapText="1"/>
    </xf>
    <xf numFmtId="0" fontId="32" fillId="6" borderId="4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vertical="center" wrapText="1"/>
    </xf>
    <xf numFmtId="0" fontId="0" fillId="6" borderId="23" xfId="0" applyFill="1" applyBorder="1" applyAlignment="1">
      <alignment vertical="center" wrapText="1"/>
    </xf>
    <xf numFmtId="0" fontId="32" fillId="6" borderId="70" xfId="0" applyFont="1" applyFill="1" applyBorder="1" applyAlignment="1">
      <alignment vertical="center" wrapText="1"/>
    </xf>
    <xf numFmtId="0" fontId="0" fillId="6" borderId="62" xfId="0" applyFill="1" applyBorder="1" applyAlignment="1">
      <alignment vertical="center" wrapText="1"/>
    </xf>
    <xf numFmtId="0" fontId="32" fillId="6" borderId="60" xfId="0" applyFont="1" applyFill="1" applyBorder="1" applyAlignment="1">
      <alignment vertical="center" wrapText="1"/>
    </xf>
    <xf numFmtId="0" fontId="0" fillId="6" borderId="63" xfId="0" applyFill="1" applyBorder="1" applyAlignment="1">
      <alignment vertical="center" wrapText="1"/>
    </xf>
    <xf numFmtId="0" fontId="2" fillId="3" borderId="56" xfId="0" applyFont="1" applyFill="1" applyBorder="1" applyAlignment="1">
      <alignment horizontal="center" vertical="center" wrapText="1"/>
    </xf>
    <xf numFmtId="0" fontId="2" fillId="3" borderId="42" xfId="0" applyFont="1" applyFill="1" applyBorder="1" applyAlignment="1">
      <alignment horizontal="center" vertical="center" wrapText="1"/>
    </xf>
    <xf numFmtId="0" fontId="73" fillId="9" borderId="35" xfId="0" applyFont="1" applyFill="1" applyBorder="1" applyAlignment="1">
      <alignment horizontal="center" vertical="center" wrapText="1"/>
    </xf>
    <xf numFmtId="0" fontId="82" fillId="9" borderId="73" xfId="0" applyFont="1" applyFill="1" applyBorder="1" applyAlignment="1">
      <alignment horizontal="center" vertical="center" wrapText="1"/>
    </xf>
    <xf numFmtId="0" fontId="46" fillId="0" borderId="23" xfId="0" applyFont="1" applyBorder="1" applyAlignment="1">
      <alignment vertical="center" wrapText="1"/>
    </xf>
    <xf numFmtId="0" fontId="46" fillId="0" borderId="22" xfId="0" applyFont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0" fontId="39" fillId="2" borderId="23" xfId="0" applyFont="1" applyFill="1" applyBorder="1" applyAlignment="1">
      <alignment horizontal="center" vertical="center" wrapText="1"/>
    </xf>
    <xf numFmtId="0" fontId="53" fillId="10" borderId="4" xfId="0" applyFont="1" applyFill="1" applyBorder="1" applyAlignment="1">
      <alignment horizontal="center" vertical="center" wrapText="1"/>
    </xf>
    <xf numFmtId="0" fontId="69" fillId="10" borderId="2" xfId="0" applyFont="1" applyFill="1" applyBorder="1" applyAlignment="1">
      <alignment horizontal="center" vertical="center" wrapText="1"/>
    </xf>
    <xf numFmtId="0" fontId="69" fillId="10" borderId="3" xfId="0" applyFont="1" applyFill="1" applyBorder="1" applyAlignment="1">
      <alignment horizontal="center" vertical="center" wrapText="1"/>
    </xf>
    <xf numFmtId="0" fontId="71" fillId="5" borderId="44" xfId="0" applyFont="1" applyFill="1" applyBorder="1" applyAlignment="1">
      <alignment horizontal="center" vertical="center" wrapText="1"/>
    </xf>
    <xf numFmtId="0" fontId="72" fillId="5" borderId="59" xfId="0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10" xfId="5" xr:uid="{00000000-0005-0000-0000-000001000000}"/>
    <cellStyle name="Обычный 2" xfId="1" xr:uid="{00000000-0005-0000-0000-000002000000}"/>
    <cellStyle name="Обычный 2 8" xfId="6" xr:uid="{00000000-0005-0000-0000-000003000000}"/>
    <cellStyle name="Обычный 3" xfId="2" xr:uid="{00000000-0005-0000-0000-000004000000}"/>
    <cellStyle name="Обычный 3 6" xfId="3" xr:uid="{00000000-0005-0000-0000-000005000000}"/>
    <cellStyle name="Обычный 9" xfId="4" xr:uid="{00000000-0005-0000-0000-000006000000}"/>
    <cellStyle name="Финансовый" xfId="7" builtinId="3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CC00"/>
      <color rgb="FFFF0066"/>
      <color rgb="FF9900FF"/>
      <color rgb="FFFFFF66"/>
      <color rgb="FF66FFFF"/>
      <color rgb="FF99FFCC"/>
      <color rgb="FFFFFF99"/>
      <color rgb="FFFFCC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1</xdr:row>
          <xdr:rowOff>22860</xdr:rowOff>
        </xdr:from>
        <xdr:to>
          <xdr:col>11</xdr:col>
          <xdr:colOff>38100</xdr:colOff>
          <xdr:row>3</xdr:row>
          <xdr:rowOff>175260</xdr:rowOff>
        </xdr:to>
        <xdr:sp macro="" textlink="">
          <xdr:nvSpPr>
            <xdr:cNvPr id="9217" name="ComboBox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57;&#1110;&#1095;&#1077;&#1085;&#1100;%202021-&#1051;&#1102;&#1090;&#1080;&#1081;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47;&#1074;&#1110;&#1090;%20&#1087;&#1088;&#1086;%20&#1074;&#1080;&#1082;&#1086;&#1085;&#1072;&#1085;&#1085;&#1103;%20&#1082;&#1086;&#1096;&#1090;&#1086;&#1088;&#1080;&#1089;&#1110;&#1074;%20&#1074;&#1080;&#1090;&#1088;&#1072;&#1090;%20&#1085;&#1072;%20&#1091;&#1090;&#1088;&#1080;&#1084;&#1072;&#1085;&#1085;&#1103;%20&#1073;&#1091;&#1076;&#1080;&#1085;&#1082;&#1091;%20&#1090;&#1072;%20&#1087;&#1088;&#1080;&#1073;&#1091;&#1076;&#1080;&#1085;&#1082;&#1086;&#1074;&#1086;&#1111;%20&#1090;&#1077;&#1088;&#1080;&#1090;&#1086;&#1088;&#1110;&#1111;%20&#1079;%2001.06.2021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47;&#1074;&#1110;&#1090;%20&#1087;&#1088;&#1086;%20&#1074;&#1080;&#1082;&#1086;&#1085;&#1072;&#1085;&#1085;&#1103;%20&#1082;&#1086;&#1096;&#1090;&#1086;&#1088;&#1080;&#1089;&#1110;&#1074;%20&#1074;&#1080;&#1090;&#1088;&#1072;&#1090;%20&#1085;&#1072;%20&#1091;&#1090;&#1088;&#1080;&#1084;&#1072;&#1085;&#1085;&#1103;%20&#1073;&#1091;&#1076;&#1080;&#1085;&#1082;&#1091;%20&#1090;&#1072;%20&#1087;&#1088;&#1080;&#1073;&#1091;&#1076;&#1080;&#1085;&#1082;&#1086;&#1074;&#1086;&#1111;%20&#1090;&#1077;&#1088;&#1080;&#1090;&#1086;&#1088;&#1110;&#1111;%20&#1079;%2001.06.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63;&#1077;&#1088;&#1074;&#1077;&#1085;&#1100;%20&#1085;&#1086;&#1074;&#1080;&#1081;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52;&#1110;&#1089;&#1103;&#1095;&#1085;&#1110;%20&#1079;&#1074;&#1110;&#1090;&#1080;\&#1042;&#1077;&#1088;&#1077;&#1089;&#1077;&#1085;&#1100;%202021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52;&#1110;&#1089;&#1103;&#1095;&#1085;&#1110;%20&#1079;&#1074;&#1110;&#1090;&#1080;\&#1042;&#1077;&#1088;&#1077;&#1089;&#1077;&#1085;&#1100;%20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47;&#1074;&#1110;&#1090;&#1080;%20&#1046;&#1050;&#1043;\&#1047;&#1074;&#1110;&#1090;%20&#1046;&#1050;&#1043;%20-%20&#1051;&#1048;&#1055;&#1045;&#1053;&#1068;%202021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52;&#1110;&#1089;&#1103;&#1095;&#1085;&#1110;%20&#1079;&#1074;&#1110;&#1090;&#1080;\&#1057;&#1110;&#1095;&#1077;&#1085;&#1100;%202021-&#1051;&#1102;&#1090;&#1080;&#1081;%202021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52;&#1110;&#1089;&#1103;&#1095;&#1085;&#1110;%20&#1079;&#1074;&#1110;&#1090;&#1080;\&#1057;&#1110;&#1095;&#1077;&#1085;&#1100;%202021-&#1051;&#1102;&#1090;&#1080;&#1081;%202021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2%20&#1088;&#1110;&#1082;\&#1052;&#1110;&#1089;&#1103;&#1095;&#1085;&#1110;%20&#1079;&#1074;&#1110;&#1090;&#1080;\&#1057;&#1110;&#1095;&#1077;&#1085;&#1100;%202022-&#1051;&#1102;&#1090;&#1080;&#1081;%202022%20-%20367%20&#1073;&#1091;&#1076;&#1080;&#1085;&#1082;&#1110;&#1074;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2%20&#1088;&#1110;&#1082;\&#1052;&#1110;&#1089;&#1103;&#1095;&#1085;&#1110;%20&#1079;&#1074;&#1110;&#1090;&#1080;\&#1057;&#1110;&#1095;&#1077;&#1085;&#1100;%202022-&#1051;&#1102;&#1090;&#1080;&#1081;%202022%20-%20367%20&#1073;&#1091;&#1076;&#1080;&#1085;&#1082;&#1110;&#1074;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47;&#1074;&#1110;&#1090;%20&#1087;&#1088;&#1086;%20&#1074;&#1080;&#1082;&#1086;&#1085;&#1072;&#1085;&#1085;&#1103;%20&#1082;&#1086;&#1096;&#1090;&#1086;&#1088;&#1080;&#1089;&#1110;&#1074;%2001.03.2021-31.05.2021.xlsx" TargetMode="External"/><Relationship Id="rId1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47;&#1074;&#1110;&#1090;%20&#1087;&#1088;&#1086;%20&#1074;&#1080;&#1082;&#1086;&#1085;&#1072;&#1085;&#1085;&#1103;%20&#1082;&#1086;&#1096;&#1090;&#1086;&#1088;&#1080;&#1089;&#1110;&#1074;%2001.03.2021-31.05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ведена таблиця"/>
      <sheetName val="Звіт-будинок"/>
      <sheetName val="місяць"/>
      <sheetName val="побудинковий звіт"/>
      <sheetName val="ДЗ нас "/>
      <sheetName val="ДЗ нежит"/>
      <sheetName val="поточний ремонт"/>
      <sheetName val="інші ТМЦ ПР"/>
      <sheetName val="ПР будинок"/>
      <sheetName val="накладні витрати"/>
      <sheetName val="первичка 1"/>
      <sheetName val="первичка 2"/>
      <sheetName val="коди"/>
      <sheetName val="новое ДВК ПР"/>
      <sheetName val="ДВК ліфт ПР для кошториса"/>
      <sheetName val="ціни"/>
      <sheetName val="Лист5"/>
      <sheetName val="кошти 01.03.20"/>
      <sheetName val="нач"/>
    </sheetNames>
    <sheetDataSet>
      <sheetData sheetId="0" refreshError="1"/>
      <sheetData sheetId="1" refreshError="1"/>
      <sheetData sheetId="2" refreshError="1"/>
      <sheetData sheetId="3" refreshError="1">
        <row r="2">
          <cell r="CX2">
            <v>10142722</v>
          </cell>
        </row>
        <row r="3">
          <cell r="CX3">
            <v>9606369.2891292647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зведена таблиця"/>
      <sheetName val="побудинковий звіт"/>
      <sheetName val="поточний ремонт"/>
      <sheetName val="ПР будинок"/>
      <sheetName val="накладні витрати"/>
      <sheetName val="місяць"/>
      <sheetName val="коди"/>
      <sheetName val="звіт начальник"/>
      <sheetName val="звіт Д.В."/>
      <sheetName val="кошти 01.03.2021"/>
      <sheetName val="Ремонт ліфтів"/>
      <sheetName val="ВИТРАТИ ДІЛЬНИЦІ"/>
      <sheetName val="витрати дільниць 08-12.21"/>
    </sheetNames>
    <sheetDataSet>
      <sheetData sheetId="0"/>
      <sheetData sheetId="1"/>
      <sheetData sheetId="2">
        <row r="3">
          <cell r="CX3">
            <v>69142532.468650267</v>
          </cell>
        </row>
        <row r="9">
          <cell r="DA9">
            <v>19257.513042652627</v>
          </cell>
        </row>
        <row r="10">
          <cell r="DA10">
            <v>53534.572068238667</v>
          </cell>
        </row>
        <row r="11">
          <cell r="DA11">
            <v>-4152.3396421571233</v>
          </cell>
        </row>
        <row r="12">
          <cell r="DA12">
            <v>-87420.694721064239</v>
          </cell>
        </row>
        <row r="13">
          <cell r="DA13">
            <v>-124245.1792124659</v>
          </cell>
        </row>
        <row r="14">
          <cell r="DA14">
            <v>-9956.1129278960798</v>
          </cell>
        </row>
        <row r="15">
          <cell r="DA15">
            <v>-7856.7226225419472</v>
          </cell>
        </row>
        <row r="16">
          <cell r="DA16">
            <v>-2726.636550100834</v>
          </cell>
        </row>
        <row r="17">
          <cell r="DA17">
            <v>-2410.6308555609185</v>
          </cell>
        </row>
        <row r="18">
          <cell r="DA18">
            <v>-62071.465048049482</v>
          </cell>
        </row>
        <row r="19">
          <cell r="DA19">
            <v>404.41326809583279</v>
          </cell>
        </row>
        <row r="20">
          <cell r="DA20">
            <v>25324.034899954604</v>
          </cell>
        </row>
        <row r="21">
          <cell r="DA21">
            <v>52154.371303336666</v>
          </cell>
        </row>
        <row r="22">
          <cell r="DA22">
            <v>14304.750380403822</v>
          </cell>
        </row>
        <row r="23">
          <cell r="DA23">
            <v>-2274.5876142254947</v>
          </cell>
        </row>
        <row r="24">
          <cell r="DA24">
            <v>49060.260137070763</v>
          </cell>
        </row>
        <row r="25">
          <cell r="DA25">
            <v>-12442.525089854615</v>
          </cell>
        </row>
        <row r="26">
          <cell r="DA26">
            <v>-92888.904494036542</v>
          </cell>
        </row>
        <row r="27">
          <cell r="DA27">
            <v>-3890.6779709667658</v>
          </cell>
        </row>
        <row r="28">
          <cell r="DA28">
            <v>-4616.0100843049713</v>
          </cell>
        </row>
        <row r="29">
          <cell r="DA29">
            <v>-5446.8948197575228</v>
          </cell>
        </row>
        <row r="30">
          <cell r="DA30">
            <v>-1174.8446284474296</v>
          </cell>
        </row>
        <row r="31">
          <cell r="DA31">
            <v>-4118.5862721787535</v>
          </cell>
        </row>
        <row r="32">
          <cell r="DA32">
            <v>-1120.1266978597062</v>
          </cell>
        </row>
        <row r="33">
          <cell r="DA33">
            <v>-5133.3577867140239</v>
          </cell>
        </row>
        <row r="34">
          <cell r="DA34">
            <v>-6977.7866965940066</v>
          </cell>
        </row>
        <row r="35">
          <cell r="DA35">
            <v>-917.28342581451602</v>
          </cell>
        </row>
        <row r="36">
          <cell r="DA36">
            <v>1030.3493242005261</v>
          </cell>
        </row>
        <row r="37">
          <cell r="DA37">
            <v>14429.890750693412</v>
          </cell>
        </row>
        <row r="38">
          <cell r="DA38">
            <v>-6508.0828192493636</v>
          </cell>
        </row>
        <row r="39">
          <cell r="DA39">
            <v>12606.099311109327</v>
          </cell>
        </row>
        <row r="40">
          <cell r="DA40">
            <v>26824.162546917389</v>
          </cell>
        </row>
        <row r="41">
          <cell r="DA41">
            <v>10979.09671930808</v>
          </cell>
        </row>
        <row r="42">
          <cell r="DA42">
            <v>5193.0315718800848</v>
          </cell>
        </row>
        <row r="43">
          <cell r="DA43">
            <v>9816.9847659425977</v>
          </cell>
        </row>
        <row r="44">
          <cell r="DA44">
            <v>-5377.8659454469234</v>
          </cell>
        </row>
        <row r="45">
          <cell r="DA45">
            <v>30205.57583265318</v>
          </cell>
        </row>
        <row r="46">
          <cell r="DA46">
            <v>25522.641621229897</v>
          </cell>
        </row>
        <row r="47">
          <cell r="DA47">
            <v>-2757.4429696341831</v>
          </cell>
        </row>
        <row r="48">
          <cell r="DA48">
            <v>356.49577044008765</v>
          </cell>
        </row>
        <row r="49">
          <cell r="DA49">
            <v>4689.0901293969873</v>
          </cell>
        </row>
        <row r="50">
          <cell r="DA50">
            <v>-53283.784979657226</v>
          </cell>
        </row>
        <row r="51">
          <cell r="DA51">
            <v>99145.448651565181</v>
          </cell>
        </row>
        <row r="52">
          <cell r="DA52">
            <v>13306.061993240975</v>
          </cell>
        </row>
        <row r="53">
          <cell r="DA53">
            <v>168.59974543254481</v>
          </cell>
        </row>
        <row r="54">
          <cell r="DA54">
            <v>-6230.1557126058688</v>
          </cell>
        </row>
        <row r="55">
          <cell r="DA55">
            <v>-37799.657526664028</v>
          </cell>
        </row>
        <row r="56">
          <cell r="DA56">
            <v>9574.9931927621401</v>
          </cell>
        </row>
        <row r="57">
          <cell r="DA57">
            <v>-33001.226020045673</v>
          </cell>
        </row>
        <row r="58">
          <cell r="DA58">
            <v>10165.586042521336</v>
          </cell>
        </row>
        <row r="59">
          <cell r="DA59">
            <v>53173.933382572635</v>
          </cell>
        </row>
        <row r="60">
          <cell r="DA60">
            <v>-12335.421227189632</v>
          </cell>
        </row>
        <row r="61">
          <cell r="DA61">
            <v>28053.923270895168</v>
          </cell>
        </row>
        <row r="62">
          <cell r="DA62">
            <v>-65122.98591449474</v>
          </cell>
        </row>
        <row r="63">
          <cell r="DA63">
            <v>93969.001461084539</v>
          </cell>
        </row>
        <row r="64">
          <cell r="DA64">
            <v>-19940.651592976305</v>
          </cell>
        </row>
        <row r="65">
          <cell r="DA65">
            <v>-2646.3536106207557</v>
          </cell>
        </row>
        <row r="66">
          <cell r="DA66">
            <v>10087.766356315589</v>
          </cell>
        </row>
        <row r="67">
          <cell r="DA67">
            <v>-1846.6012084197878</v>
          </cell>
        </row>
        <row r="68">
          <cell r="DA68">
            <v>93689.099867393772</v>
          </cell>
        </row>
        <row r="69">
          <cell r="DA69">
            <v>24459.494820756172</v>
          </cell>
        </row>
        <row r="70">
          <cell r="DA70">
            <v>31934.884033127855</v>
          </cell>
        </row>
        <row r="71">
          <cell r="DA71">
            <v>24239.177317802496</v>
          </cell>
        </row>
        <row r="72">
          <cell r="DA72">
            <v>4137.2736396475684</v>
          </cell>
        </row>
        <row r="73">
          <cell r="DA73">
            <v>25845.689681430147</v>
          </cell>
        </row>
        <row r="74">
          <cell r="DA74">
            <v>-282.48087951188211</v>
          </cell>
        </row>
        <row r="75">
          <cell r="DA75">
            <v>-2651.3371454682419</v>
          </cell>
        </row>
        <row r="76">
          <cell r="DA76">
            <v>10372.173413380306</v>
          </cell>
        </row>
        <row r="77">
          <cell r="DA77">
            <v>-4362.412123011708</v>
          </cell>
        </row>
        <row r="78">
          <cell r="DA78">
            <v>137124.55698260284</v>
          </cell>
        </row>
        <row r="79">
          <cell r="DA79">
            <v>8394.2611471599193</v>
          </cell>
        </row>
        <row r="80">
          <cell r="DA80">
            <v>-665.82669525539859</v>
          </cell>
        </row>
        <row r="81">
          <cell r="DA81">
            <v>5346.6060263067147</v>
          </cell>
        </row>
        <row r="82">
          <cell r="DA82">
            <v>-4511.8504584004913</v>
          </cell>
        </row>
        <row r="83">
          <cell r="DA83">
            <v>8914.5005733985454</v>
          </cell>
        </row>
        <row r="84">
          <cell r="DA84">
            <v>132219.11946599279</v>
          </cell>
        </row>
        <row r="85">
          <cell r="DA85">
            <v>-31589.335734736094</v>
          </cell>
        </row>
        <row r="86">
          <cell r="DA86">
            <v>-75288.592422076908</v>
          </cell>
        </row>
        <row r="87">
          <cell r="DA87">
            <v>-2703.7935330148925</v>
          </cell>
        </row>
        <row r="88">
          <cell r="DA88">
            <v>-7329.2343649282493</v>
          </cell>
        </row>
        <row r="89">
          <cell r="DA89">
            <v>-4919.7915409909911</v>
          </cell>
        </row>
        <row r="90">
          <cell r="DA90">
            <v>-15570.68594220428</v>
          </cell>
        </row>
        <row r="91">
          <cell r="DA91">
            <v>-10284.260793524647</v>
          </cell>
        </row>
        <row r="92">
          <cell r="DA92">
            <v>-1555.5906876054348</v>
          </cell>
        </row>
        <row r="93">
          <cell r="DA93">
            <v>10046.342938376085</v>
          </cell>
        </row>
        <row r="94">
          <cell r="DA94">
            <v>14610.167443471915</v>
          </cell>
        </row>
        <row r="95">
          <cell r="DA95">
            <v>-4827.5076246538865</v>
          </cell>
        </row>
        <row r="96">
          <cell r="DA96">
            <v>-7377.5090791715511</v>
          </cell>
        </row>
        <row r="97">
          <cell r="DA97">
            <v>-15506.731189043738</v>
          </cell>
        </row>
        <row r="98">
          <cell r="DA98">
            <v>-4121.7716251840175</v>
          </cell>
        </row>
        <row r="99">
          <cell r="DA99">
            <v>-116795.33545095874</v>
          </cell>
        </row>
        <row r="100">
          <cell r="DA100">
            <v>12339.759617035008</v>
          </cell>
        </row>
        <row r="101">
          <cell r="DA101">
            <v>199335.33091402287</v>
          </cell>
        </row>
        <row r="102">
          <cell r="DA102">
            <v>-28236.480451224939</v>
          </cell>
        </row>
        <row r="103">
          <cell r="DA103">
            <v>16040.310762526804</v>
          </cell>
        </row>
        <row r="104">
          <cell r="DA104">
            <v>-5318.0002201750249</v>
          </cell>
        </row>
        <row r="105">
          <cell r="DA105">
            <v>11885.851297166473</v>
          </cell>
        </row>
        <row r="106">
          <cell r="DA106">
            <v>-1129.023236693834</v>
          </cell>
        </row>
        <row r="107">
          <cell r="DA107">
            <v>50572.16058833323</v>
          </cell>
        </row>
        <row r="108">
          <cell r="DA108">
            <v>2558.66390363338</v>
          </cell>
        </row>
        <row r="109">
          <cell r="DA109">
            <v>-7021.9025839317128</v>
          </cell>
        </row>
        <row r="110">
          <cell r="DA110">
            <v>50369.589969475215</v>
          </cell>
        </row>
        <row r="111">
          <cell r="DA111">
            <v>-8297.6275256314839</v>
          </cell>
        </row>
        <row r="112">
          <cell r="DA112">
            <v>-5394.8625856825056</v>
          </cell>
        </row>
        <row r="113">
          <cell r="DA113">
            <v>-22673.783142400935</v>
          </cell>
        </row>
        <row r="114">
          <cell r="DA114">
            <v>64723.573395225394</v>
          </cell>
        </row>
        <row r="115">
          <cell r="DA115">
            <v>-3494.9933739648804</v>
          </cell>
        </row>
        <row r="116">
          <cell r="DA116">
            <v>-105476.01174947163</v>
          </cell>
        </row>
        <row r="117">
          <cell r="DA117">
            <v>45896.161832085083</v>
          </cell>
        </row>
        <row r="118">
          <cell r="DA118">
            <v>12063.740423995732</v>
          </cell>
        </row>
        <row r="119">
          <cell r="DA119">
            <v>5533.1540688096266</v>
          </cell>
        </row>
        <row r="120">
          <cell r="DA120">
            <v>-24367.880725784136</v>
          </cell>
        </row>
        <row r="121">
          <cell r="DA121">
            <v>-12281.810433004573</v>
          </cell>
        </row>
        <row r="122">
          <cell r="DA122">
            <v>2352.8027021078078</v>
          </cell>
        </row>
        <row r="123">
          <cell r="DA123">
            <v>-3982.3929416728724</v>
          </cell>
        </row>
        <row r="124">
          <cell r="DA124">
            <v>44328.891586491809</v>
          </cell>
        </row>
        <row r="125">
          <cell r="DA125">
            <v>-23466.278570987961</v>
          </cell>
        </row>
        <row r="126">
          <cell r="DA126">
            <v>-14084.167035258015</v>
          </cell>
        </row>
        <row r="127">
          <cell r="DA127">
            <v>53527.248769338752</v>
          </cell>
        </row>
        <row r="128">
          <cell r="DA128">
            <v>-13319.324995686631</v>
          </cell>
        </row>
        <row r="129">
          <cell r="DA129">
            <v>-7242.4160493973031</v>
          </cell>
        </row>
        <row r="130">
          <cell r="DA130">
            <v>33213.53060561524</v>
          </cell>
        </row>
        <row r="131">
          <cell r="DA131">
            <v>-9085.4024416805114</v>
          </cell>
        </row>
        <row r="132">
          <cell r="DA132">
            <v>73351.937902356454</v>
          </cell>
        </row>
        <row r="133">
          <cell r="DA133">
            <v>-5528.8960699694162</v>
          </cell>
        </row>
        <row r="134">
          <cell r="DA134">
            <v>-5002.1114580439098</v>
          </cell>
        </row>
        <row r="135">
          <cell r="DA135">
            <v>-4675.9521001685152</v>
          </cell>
        </row>
        <row r="136">
          <cell r="DA136">
            <v>-4325.2123192177769</v>
          </cell>
        </row>
        <row r="137">
          <cell r="DA137">
            <v>-3604.7715484406949</v>
          </cell>
        </row>
        <row r="138">
          <cell r="DA138">
            <v>-4971.7690640857727</v>
          </cell>
        </row>
        <row r="139">
          <cell r="DA139">
            <v>-2605.9754854312214</v>
          </cell>
        </row>
        <row r="140">
          <cell r="DA140">
            <v>-7901.5522048802331</v>
          </cell>
        </row>
        <row r="141">
          <cell r="DA141">
            <v>-87257.599441255094</v>
          </cell>
        </row>
        <row r="142">
          <cell r="DA142">
            <v>-7085.2758377840419</v>
          </cell>
        </row>
        <row r="143">
          <cell r="DA143">
            <v>-8170.2548946355782</v>
          </cell>
        </row>
        <row r="144">
          <cell r="DA144">
            <v>-7304.3821198804217</v>
          </cell>
        </row>
        <row r="145">
          <cell r="DA145">
            <v>-4873.5666568355718</v>
          </cell>
        </row>
        <row r="146">
          <cell r="DA146">
            <v>-4687.7240768091751</v>
          </cell>
        </row>
        <row r="147">
          <cell r="DA147">
            <v>25082.911615364857</v>
          </cell>
        </row>
        <row r="148">
          <cell r="DA148">
            <v>24769.639698006078</v>
          </cell>
        </row>
        <row r="149">
          <cell r="DA149">
            <v>-210656.93569251028</v>
          </cell>
        </row>
        <row r="150">
          <cell r="DA150">
            <v>-9894.1860918920993</v>
          </cell>
        </row>
        <row r="151">
          <cell r="DA151">
            <v>-5448.9944347291803</v>
          </cell>
        </row>
        <row r="152">
          <cell r="DA152">
            <v>-4679.9027846768458</v>
          </cell>
        </row>
        <row r="153">
          <cell r="DA153">
            <v>-4576.9047531913711</v>
          </cell>
        </row>
        <row r="154">
          <cell r="DA154">
            <v>-68034.955957129787</v>
          </cell>
        </row>
        <row r="155">
          <cell r="DA155">
            <v>-1795.6017176697853</v>
          </cell>
        </row>
        <row r="156">
          <cell r="DA156">
            <v>-3468.7622144670941</v>
          </cell>
        </row>
        <row r="157">
          <cell r="DA157">
            <v>-2024.1660367646873</v>
          </cell>
        </row>
        <row r="158">
          <cell r="DA158">
            <v>30982.997214403171</v>
          </cell>
        </row>
        <row r="159">
          <cell r="DA159">
            <v>-56354.780498106978</v>
          </cell>
        </row>
        <row r="160">
          <cell r="DA160">
            <v>-7304.382338355369</v>
          </cell>
        </row>
        <row r="161">
          <cell r="DA161">
            <v>15803.043765225222</v>
          </cell>
        </row>
        <row r="162">
          <cell r="DA162">
            <v>8207.9189637788477</v>
          </cell>
        </row>
        <row r="163">
          <cell r="DA163">
            <v>-63027.427017938826</v>
          </cell>
        </row>
        <row r="164">
          <cell r="DA164">
            <v>-8997.1472020103993</v>
          </cell>
        </row>
        <row r="165">
          <cell r="DA165">
            <v>-2684.1559456387122</v>
          </cell>
        </row>
        <row r="166">
          <cell r="DA166">
            <v>51009.174769531222</v>
          </cell>
        </row>
        <row r="167">
          <cell r="DA167">
            <v>29835.532150821738</v>
          </cell>
        </row>
        <row r="168">
          <cell r="DA168">
            <v>145311.51184811577</v>
          </cell>
        </row>
        <row r="169">
          <cell r="DA169">
            <v>-17929.901188258067</v>
          </cell>
        </row>
        <row r="170">
          <cell r="DA170">
            <v>-10365.018769260296</v>
          </cell>
        </row>
        <row r="171">
          <cell r="DA171">
            <v>105113.06168814987</v>
          </cell>
        </row>
        <row r="172">
          <cell r="DA172">
            <v>-47566.241515051326</v>
          </cell>
        </row>
        <row r="173">
          <cell r="DA173">
            <v>-14078.849695418874</v>
          </cell>
        </row>
        <row r="174">
          <cell r="DA174">
            <v>44612.994573111049</v>
          </cell>
        </row>
        <row r="175">
          <cell r="DA175">
            <v>-26565.077178611093</v>
          </cell>
        </row>
        <row r="176">
          <cell r="DA176">
            <v>-46703.651782117508</v>
          </cell>
        </row>
        <row r="177">
          <cell r="DA177">
            <v>37205.629206862388</v>
          </cell>
        </row>
        <row r="178">
          <cell r="DA178">
            <v>54285.961578224167</v>
          </cell>
        </row>
        <row r="179">
          <cell r="DA179">
            <v>-1696.9412165159301</v>
          </cell>
        </row>
        <row r="180">
          <cell r="DA180">
            <v>-8303.4017705669994</v>
          </cell>
        </row>
        <row r="181">
          <cell r="DA181">
            <v>-23894.716925053886</v>
          </cell>
        </row>
        <row r="182">
          <cell r="DA182">
            <v>21789.967408811153</v>
          </cell>
        </row>
        <row r="183">
          <cell r="DA183">
            <v>-3229.6700122391526</v>
          </cell>
        </row>
        <row r="184">
          <cell r="DA184">
            <v>-4829.5850056727995</v>
          </cell>
        </row>
        <row r="185">
          <cell r="DA185">
            <v>-43744.112336913502</v>
          </cell>
        </row>
        <row r="186">
          <cell r="DA186">
            <v>-97.664553005474005</v>
          </cell>
        </row>
        <row r="187">
          <cell r="DA187">
            <v>-3171.3524434880428</v>
          </cell>
        </row>
        <row r="188">
          <cell r="DA188">
            <v>-3946.0634224317314</v>
          </cell>
        </row>
        <row r="189">
          <cell r="DA189">
            <v>-5056.9429672461993</v>
          </cell>
        </row>
        <row r="190">
          <cell r="DA190">
            <v>-2012.7808439325563</v>
          </cell>
        </row>
        <row r="191">
          <cell r="DA191">
            <v>-7325.0476824384841</v>
          </cell>
        </row>
        <row r="192">
          <cell r="DA192">
            <v>-5211.3601763122724</v>
          </cell>
        </row>
        <row r="193">
          <cell r="DA193">
            <v>-6893.1853614560714</v>
          </cell>
        </row>
        <row r="194">
          <cell r="DA194">
            <v>-10807.506478918163</v>
          </cell>
        </row>
        <row r="195">
          <cell r="DA195">
            <v>-4312.2325125117186</v>
          </cell>
        </row>
        <row r="196">
          <cell r="DA196">
            <v>99269.793771241981</v>
          </cell>
        </row>
        <row r="197">
          <cell r="DA197">
            <v>-50223.651857599165</v>
          </cell>
        </row>
        <row r="198">
          <cell r="DA198">
            <v>13289.708589057907</v>
          </cell>
        </row>
        <row r="199">
          <cell r="DA199">
            <v>4046.455984367416</v>
          </cell>
        </row>
        <row r="200">
          <cell r="DA200">
            <v>-3747.0210667606834</v>
          </cell>
        </row>
        <row r="201">
          <cell r="DA201">
            <v>-5511.1109314480109</v>
          </cell>
        </row>
        <row r="202">
          <cell r="DA202">
            <v>-7030.5314297276018</v>
          </cell>
        </row>
        <row r="203">
          <cell r="DA203">
            <v>-2178.3623061619837</v>
          </cell>
        </row>
        <row r="204">
          <cell r="DA204">
            <v>-12055.500604390923</v>
          </cell>
        </row>
        <row r="205">
          <cell r="DA205">
            <v>-3544.4277194500155</v>
          </cell>
        </row>
        <row r="206">
          <cell r="DA206">
            <v>124135.67057001937</v>
          </cell>
        </row>
        <row r="207">
          <cell r="DA207">
            <v>-136474.70817563817</v>
          </cell>
        </row>
        <row r="208">
          <cell r="DA208">
            <v>162346.83819794984</v>
          </cell>
        </row>
        <row r="209">
          <cell r="DA209">
            <v>-44531.246880763327</v>
          </cell>
        </row>
        <row r="210">
          <cell r="DA210">
            <v>-7105.5550471735478</v>
          </cell>
        </row>
        <row r="211">
          <cell r="DA211">
            <v>255569.00776069402</v>
          </cell>
        </row>
        <row r="212">
          <cell r="DA212">
            <v>16313.003271724141</v>
          </cell>
        </row>
        <row r="213">
          <cell r="DA213">
            <v>-10973.221076588221</v>
          </cell>
        </row>
        <row r="214">
          <cell r="DA214">
            <v>2430.4093663839685</v>
          </cell>
        </row>
        <row r="215">
          <cell r="DA215">
            <v>7789.8326884263906</v>
          </cell>
        </row>
        <row r="216">
          <cell r="DA216">
            <v>10140.994438337904</v>
          </cell>
        </row>
        <row r="217">
          <cell r="DA217">
            <v>17707.888302090883</v>
          </cell>
        </row>
        <row r="218">
          <cell r="DA218">
            <v>5135.1390064925217</v>
          </cell>
        </row>
        <row r="219">
          <cell r="DA219">
            <v>34123.427752609416</v>
          </cell>
        </row>
        <row r="220">
          <cell r="DA220">
            <v>-2289.3996658727701</v>
          </cell>
        </row>
        <row r="221">
          <cell r="DA221">
            <v>-12558.280749415662</v>
          </cell>
        </row>
        <row r="222">
          <cell r="DA222">
            <v>3058.3927660197096</v>
          </cell>
        </row>
        <row r="223">
          <cell r="DA223">
            <v>5183.5417040550319</v>
          </cell>
        </row>
        <row r="224">
          <cell r="DA224">
            <v>33117.797875685581</v>
          </cell>
        </row>
        <row r="225">
          <cell r="DA225">
            <v>182355.43547109907</v>
          </cell>
        </row>
        <row r="226">
          <cell r="DA226">
            <v>-7699.7480244097842</v>
          </cell>
        </row>
        <row r="227">
          <cell r="DA227">
            <v>83374.801912510258</v>
          </cell>
        </row>
        <row r="228">
          <cell r="DA228">
            <v>8796.1381227018428</v>
          </cell>
        </row>
        <row r="229">
          <cell r="DA229">
            <v>-43072.640164695695</v>
          </cell>
        </row>
        <row r="230">
          <cell r="DA230">
            <v>-13997.8625623306</v>
          </cell>
        </row>
        <row r="231">
          <cell r="DA231">
            <v>-18614.027051710749</v>
          </cell>
        </row>
        <row r="232">
          <cell r="DA232">
            <v>37005.314106303864</v>
          </cell>
        </row>
        <row r="233">
          <cell r="DA233">
            <v>-50333.546237203947</v>
          </cell>
        </row>
        <row r="234">
          <cell r="DA234">
            <v>-19968.581800820539</v>
          </cell>
        </row>
        <row r="235">
          <cell r="DA235">
            <v>-44458.746825569186</v>
          </cell>
        </row>
        <row r="236">
          <cell r="DA236">
            <v>-127645.8554599769</v>
          </cell>
        </row>
        <row r="237">
          <cell r="DA237">
            <v>37339.518591801447</v>
          </cell>
        </row>
        <row r="238">
          <cell r="DA238">
            <v>5563.3190328077026</v>
          </cell>
        </row>
        <row r="239">
          <cell r="DA239">
            <v>12939.790524720403</v>
          </cell>
        </row>
        <row r="240">
          <cell r="DA240">
            <v>-31907.252234979802</v>
          </cell>
        </row>
        <row r="241">
          <cell r="DA241">
            <v>-604.6889251533089</v>
          </cell>
        </row>
        <row r="242">
          <cell r="DA242">
            <v>-22770.015108142099</v>
          </cell>
        </row>
        <row r="243">
          <cell r="DA243">
            <v>30027.470699141049</v>
          </cell>
        </row>
        <row r="244">
          <cell r="DA244">
            <v>-50877.43340176496</v>
          </cell>
        </row>
        <row r="245">
          <cell r="DA245">
            <v>34091.685652436179</v>
          </cell>
        </row>
        <row r="246">
          <cell r="DA246">
            <v>58592.819419791369</v>
          </cell>
        </row>
        <row r="247">
          <cell r="DA247">
            <v>-12400.252475782192</v>
          </cell>
        </row>
        <row r="248">
          <cell r="DA248">
            <v>43343.301752452229</v>
          </cell>
        </row>
        <row r="249">
          <cell r="DA249">
            <v>67624.449338877632</v>
          </cell>
        </row>
        <row r="250">
          <cell r="DA250">
            <v>10940.592099295071</v>
          </cell>
        </row>
        <row r="251">
          <cell r="DA251">
            <v>-2901.5646149832055</v>
          </cell>
        </row>
        <row r="252">
          <cell r="DA252">
            <v>11854.421974460907</v>
          </cell>
        </row>
        <row r="253">
          <cell r="DA253">
            <v>-3926.6661264579661</v>
          </cell>
        </row>
        <row r="254">
          <cell r="DA254">
            <v>84355.035260712204</v>
          </cell>
        </row>
        <row r="255">
          <cell r="DA255">
            <v>52921.116958247716</v>
          </cell>
        </row>
        <row r="256">
          <cell r="DA256">
            <v>44505.08529576342</v>
          </cell>
        </row>
        <row r="257">
          <cell r="DA257">
            <v>11229.354239847755</v>
          </cell>
        </row>
        <row r="258">
          <cell r="DA258">
            <v>-8247.3730706945043</v>
          </cell>
        </row>
        <row r="259">
          <cell r="DA259">
            <v>60430.569836561612</v>
          </cell>
        </row>
        <row r="260">
          <cell r="DA260">
            <v>-10561.347014126524</v>
          </cell>
        </row>
        <row r="261">
          <cell r="DA261">
            <v>4893.2920946136346</v>
          </cell>
        </row>
        <row r="262">
          <cell r="DA262">
            <v>-6711.3315737730827</v>
          </cell>
        </row>
        <row r="263">
          <cell r="DA263">
            <v>20922.397290426055</v>
          </cell>
        </row>
        <row r="264">
          <cell r="DA264">
            <v>-37913.684637148348</v>
          </cell>
        </row>
        <row r="265">
          <cell r="DA265">
            <v>124016.09431820185</v>
          </cell>
        </row>
        <row r="266">
          <cell r="DA266">
            <v>16685.992417583679</v>
          </cell>
        </row>
        <row r="267">
          <cell r="DA267">
            <v>38511.498012786586</v>
          </cell>
        </row>
        <row r="268">
          <cell r="DA268">
            <v>35626.233463665245</v>
          </cell>
        </row>
        <row r="269">
          <cell r="DA269">
            <v>-4232.0809777860632</v>
          </cell>
        </row>
        <row r="270">
          <cell r="DA270">
            <v>-14404.576553496025</v>
          </cell>
        </row>
        <row r="271">
          <cell r="DA271">
            <v>18815.780435075503</v>
          </cell>
        </row>
        <row r="272">
          <cell r="DA272">
            <v>57597.11916971243</v>
          </cell>
        </row>
        <row r="273">
          <cell r="DA273">
            <v>11422.100718665024</v>
          </cell>
        </row>
        <row r="274">
          <cell r="DA274">
            <v>86969.837981127654</v>
          </cell>
        </row>
        <row r="275">
          <cell r="DA275">
            <v>64146.864205431084</v>
          </cell>
        </row>
        <row r="276">
          <cell r="DA276">
            <v>1062.0407408433966</v>
          </cell>
        </row>
        <row r="277">
          <cell r="DA277">
            <v>-25117.554436829487</v>
          </cell>
        </row>
        <row r="278">
          <cell r="DA278">
            <v>-33244.861606145649</v>
          </cell>
        </row>
        <row r="279">
          <cell r="DA279">
            <v>21631.972060816537</v>
          </cell>
        </row>
        <row r="280">
          <cell r="DA280">
            <v>63305.631040974942</v>
          </cell>
        </row>
        <row r="281">
          <cell r="DA281">
            <v>-6503.3781753372041</v>
          </cell>
        </row>
        <row r="282">
          <cell r="DA282">
            <v>-385.77783723262473</v>
          </cell>
        </row>
        <row r="283">
          <cell r="DA283">
            <v>75722.048386743554</v>
          </cell>
        </row>
        <row r="284">
          <cell r="DA284">
            <v>118587.75416972241</v>
          </cell>
        </row>
        <row r="285">
          <cell r="DA285">
            <v>-29828.116386292306</v>
          </cell>
        </row>
        <row r="286">
          <cell r="DA286">
            <v>-4333.1905810716926</v>
          </cell>
        </row>
        <row r="287">
          <cell r="DA287">
            <v>152841.78725895082</v>
          </cell>
        </row>
        <row r="288">
          <cell r="DA288">
            <v>-36308.226946536939</v>
          </cell>
        </row>
        <row r="289">
          <cell r="DA289">
            <v>-4844.1352293024493</v>
          </cell>
        </row>
        <row r="290">
          <cell r="DA290">
            <v>-5895.3283411370758</v>
          </cell>
        </row>
        <row r="291">
          <cell r="DA291">
            <v>72653.850613079965</v>
          </cell>
        </row>
        <row r="292">
          <cell r="DA292">
            <v>21535.23267843762</v>
          </cell>
        </row>
        <row r="293">
          <cell r="DA293">
            <v>-49657.019743001809</v>
          </cell>
        </row>
        <row r="294">
          <cell r="DA294">
            <v>94990.866376611084</v>
          </cell>
        </row>
        <row r="295">
          <cell r="DA295">
            <v>30247.721731618491</v>
          </cell>
        </row>
        <row r="296">
          <cell r="DA296">
            <v>8114.8952367916027</v>
          </cell>
        </row>
        <row r="297">
          <cell r="DA297">
            <v>-3260.8906695012338</v>
          </cell>
        </row>
        <row r="298">
          <cell r="DA298">
            <v>5141.0250369481328</v>
          </cell>
        </row>
        <row r="299">
          <cell r="DA299">
            <v>-9974.4525086939175</v>
          </cell>
        </row>
        <row r="300">
          <cell r="DA300">
            <v>-7150.0452857462969</v>
          </cell>
        </row>
        <row r="301">
          <cell r="DA301">
            <v>-5271.6586713342431</v>
          </cell>
        </row>
        <row r="302">
          <cell r="DA302">
            <v>-5184.787506870699</v>
          </cell>
        </row>
        <row r="303">
          <cell r="DA303">
            <v>6347.3759209521668</v>
          </cell>
        </row>
        <row r="304">
          <cell r="DA304">
            <v>-50758.313776396113</v>
          </cell>
        </row>
        <row r="305">
          <cell r="DA305">
            <v>492087.43247082049</v>
          </cell>
        </row>
        <row r="306">
          <cell r="DA306">
            <v>55314.925440949584</v>
          </cell>
        </row>
        <row r="307">
          <cell r="DA307">
            <v>17125.858488191243</v>
          </cell>
        </row>
        <row r="308">
          <cell r="DA308">
            <v>-3193.0257647512553</v>
          </cell>
        </row>
        <row r="309">
          <cell r="DA309">
            <v>12759.113673417134</v>
          </cell>
        </row>
        <row r="310">
          <cell r="DA310">
            <v>-2921.3518820065328</v>
          </cell>
        </row>
        <row r="311">
          <cell r="DA311">
            <v>-23672.875858121923</v>
          </cell>
        </row>
        <row r="312">
          <cell r="DA312">
            <v>2716.0946048655273</v>
          </cell>
        </row>
        <row r="313">
          <cell r="DA313">
            <v>-4080.9123372053864</v>
          </cell>
        </row>
        <row r="314">
          <cell r="DA314">
            <v>-5501.7582198197006</v>
          </cell>
        </row>
        <row r="315">
          <cell r="DA315">
            <v>120755.25065303952</v>
          </cell>
        </row>
        <row r="316">
          <cell r="DA316">
            <v>26474.675394089216</v>
          </cell>
        </row>
        <row r="317">
          <cell r="DA317">
            <v>-2862.2315046763397</v>
          </cell>
        </row>
        <row r="318">
          <cell r="DA318">
            <v>7425.3426617015184</v>
          </cell>
        </row>
        <row r="319">
          <cell r="DA319">
            <v>-48554.365750803372</v>
          </cell>
        </row>
        <row r="320">
          <cell r="DA320">
            <v>-844.73761043426748</v>
          </cell>
        </row>
        <row r="321">
          <cell r="DA321">
            <v>77819.925730482297</v>
          </cell>
        </row>
        <row r="322">
          <cell r="DA322">
            <v>-7241.0869742869363</v>
          </cell>
        </row>
        <row r="323">
          <cell r="DA323">
            <v>53974.275329544442</v>
          </cell>
        </row>
        <row r="324">
          <cell r="DA324">
            <v>-65436.914433825121</v>
          </cell>
        </row>
        <row r="325">
          <cell r="DA325">
            <v>-28377.338371283957</v>
          </cell>
        </row>
        <row r="326">
          <cell r="DA326">
            <v>-3141.7565598164047</v>
          </cell>
        </row>
        <row r="327">
          <cell r="DA327">
            <v>-19498.435532379255</v>
          </cell>
        </row>
        <row r="328">
          <cell r="DA328">
            <v>33437.540079090824</v>
          </cell>
        </row>
        <row r="329">
          <cell r="DA329">
            <v>15908.832238422656</v>
          </cell>
        </row>
        <row r="330">
          <cell r="DA330">
            <v>36067.962297287406</v>
          </cell>
        </row>
        <row r="331">
          <cell r="DA331">
            <v>68429.687443128147</v>
          </cell>
        </row>
        <row r="332">
          <cell r="DA332">
            <v>8826.2512316097891</v>
          </cell>
        </row>
        <row r="333">
          <cell r="DA333">
            <v>-24608.111075132394</v>
          </cell>
        </row>
        <row r="334">
          <cell r="DA334">
            <v>-6783.8290392756098</v>
          </cell>
        </row>
        <row r="335">
          <cell r="DA335">
            <v>27180.176049860012</v>
          </cell>
        </row>
        <row r="336">
          <cell r="DA336">
            <v>34722.789309778913</v>
          </cell>
        </row>
        <row r="337">
          <cell r="DA337">
            <v>32726.404552003296</v>
          </cell>
        </row>
        <row r="338">
          <cell r="DA338">
            <v>-26980.91188308553</v>
          </cell>
        </row>
        <row r="339">
          <cell r="DA339">
            <v>-192.08342267031912</v>
          </cell>
        </row>
        <row r="340">
          <cell r="DA340">
            <v>-5815.3344799862643</v>
          </cell>
        </row>
        <row r="341">
          <cell r="DA341">
            <v>-806.27559591888712</v>
          </cell>
        </row>
        <row r="342">
          <cell r="DA342">
            <v>-9466.7869535530099</v>
          </cell>
        </row>
        <row r="343">
          <cell r="DA343">
            <v>-5089.4108605811325</v>
          </cell>
        </row>
        <row r="344">
          <cell r="DA344">
            <v>-12943.824782495911</v>
          </cell>
        </row>
        <row r="345">
          <cell r="DA345">
            <v>22766.714205542907</v>
          </cell>
        </row>
        <row r="346">
          <cell r="DA346">
            <v>-8772.0280179964102</v>
          </cell>
        </row>
        <row r="347">
          <cell r="DA347">
            <v>231065.41077556132</v>
          </cell>
        </row>
        <row r="348">
          <cell r="DA348">
            <v>-27356.616846693047</v>
          </cell>
        </row>
        <row r="349">
          <cell r="DA349">
            <v>25684.656235379196</v>
          </cell>
        </row>
        <row r="350">
          <cell r="DA350">
            <v>63388.098353681649</v>
          </cell>
        </row>
        <row r="351">
          <cell r="DA351">
            <v>20895.973818567662</v>
          </cell>
        </row>
        <row r="352">
          <cell r="DA352">
            <v>38412.322487030659</v>
          </cell>
        </row>
        <row r="353">
          <cell r="DA353">
            <v>-11251.572779578764</v>
          </cell>
        </row>
        <row r="354">
          <cell r="DA354">
            <v>-19392.160406753417</v>
          </cell>
        </row>
        <row r="355">
          <cell r="DA355">
            <v>-24176.743571174084</v>
          </cell>
        </row>
        <row r="356">
          <cell r="DA356">
            <v>-16915.401711987535</v>
          </cell>
        </row>
        <row r="357">
          <cell r="DA357">
            <v>16258.553921092898</v>
          </cell>
        </row>
        <row r="358">
          <cell r="DA358">
            <v>-3884.5141914928699</v>
          </cell>
        </row>
        <row r="359">
          <cell r="DA359">
            <v>90537.27148318346</v>
          </cell>
        </row>
        <row r="360">
          <cell r="DA360">
            <v>121690.95623329563</v>
          </cell>
        </row>
        <row r="361">
          <cell r="DA361">
            <v>76000.589844673988</v>
          </cell>
        </row>
        <row r="362">
          <cell r="DA362">
            <v>37841.829112294268</v>
          </cell>
        </row>
        <row r="363">
          <cell r="DA363">
            <v>-50735.241211770073</v>
          </cell>
        </row>
        <row r="364">
          <cell r="DA364">
            <v>-9785.2049577854996</v>
          </cell>
        </row>
        <row r="365">
          <cell r="DA365">
            <v>-124601.53280215811</v>
          </cell>
        </row>
        <row r="366">
          <cell r="DA366">
            <v>104540.12976557334</v>
          </cell>
        </row>
        <row r="367">
          <cell r="DA367">
            <v>-120991.93457685801</v>
          </cell>
        </row>
        <row r="368">
          <cell r="DA368">
            <v>-93264.232318330716</v>
          </cell>
        </row>
        <row r="369">
          <cell r="DA369">
            <v>-63804.84757589022</v>
          </cell>
        </row>
        <row r="370">
          <cell r="DA370">
            <v>-71721.614168663626</v>
          </cell>
        </row>
        <row r="371">
          <cell r="DA371">
            <v>48821.975209226337</v>
          </cell>
        </row>
        <row r="372">
          <cell r="DA372">
            <v>-23931.27816513112</v>
          </cell>
        </row>
        <row r="373">
          <cell r="DA373">
            <v>-7668.7701873527476</v>
          </cell>
        </row>
        <row r="374">
          <cell r="DA374">
            <v>-2572.9854891959985</v>
          </cell>
        </row>
        <row r="375">
          <cell r="DA375">
            <v>-55450.05800001559</v>
          </cell>
        </row>
        <row r="376">
          <cell r="DA376">
            <v>123068.435091391</v>
          </cell>
        </row>
        <row r="377">
          <cell r="DA377">
            <v>-40343.838918660498</v>
          </cell>
        </row>
        <row r="378">
          <cell r="DA378">
            <v>16370.349451368951</v>
          </cell>
        </row>
        <row r="379">
          <cell r="DA379">
            <v>25942.102633211078</v>
          </cell>
        </row>
        <row r="380">
          <cell r="DA380">
            <v>8723.3393959803652</v>
          </cell>
        </row>
        <row r="381">
          <cell r="DA381">
            <v>46583.368831912274</v>
          </cell>
        </row>
        <row r="382">
          <cell r="DA382">
            <v>14003.480093074919</v>
          </cell>
        </row>
        <row r="383">
          <cell r="DA383">
            <v>-11472.69495300881</v>
          </cell>
        </row>
        <row r="384">
          <cell r="DA384">
            <v>60645.641803115417</v>
          </cell>
        </row>
        <row r="385">
          <cell r="DA385">
            <v>-18942.634411369298</v>
          </cell>
        </row>
        <row r="386">
          <cell r="DA386">
            <v>-99.255069787403045</v>
          </cell>
        </row>
        <row r="387">
          <cell r="DA387">
            <v>-25538.636908463635</v>
          </cell>
        </row>
        <row r="388">
          <cell r="DA388">
            <v>-36053.695603485728</v>
          </cell>
        </row>
        <row r="389">
          <cell r="DA389">
            <v>3886.4424901766179</v>
          </cell>
        </row>
        <row r="390">
          <cell r="DA390">
            <v>-60142.92910513105</v>
          </cell>
        </row>
        <row r="391">
          <cell r="DA391">
            <v>-64585.012926534902</v>
          </cell>
        </row>
        <row r="392">
          <cell r="DA392">
            <v>-63419.804061388742</v>
          </cell>
        </row>
        <row r="393">
          <cell r="DA393">
            <v>-62016.008962805201</v>
          </cell>
        </row>
        <row r="394">
          <cell r="DA394">
            <v>-2765.6901258967828</v>
          </cell>
        </row>
        <row r="395">
          <cell r="DA395">
            <v>-9859.7904681904547</v>
          </cell>
        </row>
        <row r="396">
          <cell r="DA396">
            <v>-6494.8981430024214</v>
          </cell>
        </row>
        <row r="397">
          <cell r="DA397">
            <v>-12342.010875037973</v>
          </cell>
        </row>
        <row r="398">
          <cell r="DA398">
            <v>-3901.4694645168347</v>
          </cell>
        </row>
        <row r="399">
          <cell r="DA399">
            <v>97576.624640427326</v>
          </cell>
        </row>
        <row r="400">
          <cell r="DA400">
            <v>-35050.125965198305</v>
          </cell>
        </row>
        <row r="401">
          <cell r="DA401">
            <v>49657.571724454814</v>
          </cell>
        </row>
        <row r="402">
          <cell r="DA402">
            <v>82464.061557938243</v>
          </cell>
        </row>
        <row r="403">
          <cell r="DA403">
            <v>-29707.216103311883</v>
          </cell>
        </row>
        <row r="404">
          <cell r="DA404">
            <v>3015282.5283802152</v>
          </cell>
        </row>
      </sheetData>
      <sheetData sheetId="3">
        <row r="165">
          <cell r="K165"/>
        </row>
        <row r="338">
          <cell r="K33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ведена таблиця"/>
      <sheetName val="Звіт-будинок"/>
      <sheetName val="місяць"/>
      <sheetName val="побудинковий звіт"/>
      <sheetName val="ДЗ нас "/>
      <sheetName val="ДЗ нежит"/>
      <sheetName val="поточний ремонт"/>
      <sheetName val="інші ТМЦ ПР"/>
      <sheetName val="ПР будинок"/>
      <sheetName val="накладні витрати"/>
      <sheetName val="первичка 1"/>
      <sheetName val="первичка 2"/>
      <sheetName val="коди"/>
      <sheetName val="ціни"/>
      <sheetName val="кошти 01.03.20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</sheetNames>
    <sheetDataSet>
      <sheetData sheetId="0" refreshError="1"/>
      <sheetData sheetId="1" refreshError="1"/>
      <sheetData sheetId="2" refreshError="1"/>
      <sheetData sheetId="3" refreshError="1">
        <row r="2">
          <cell r="CX2">
            <v>6218576.3999999994</v>
          </cell>
        </row>
        <row r="9">
          <cell r="F9">
            <v>372.8</v>
          </cell>
          <cell r="G9">
            <v>0</v>
          </cell>
          <cell r="H9">
            <v>0</v>
          </cell>
          <cell r="CU9">
            <v>2125.1771262964135</v>
          </cell>
          <cell r="CX9">
            <v>0</v>
          </cell>
          <cell r="DJ9">
            <v>24218.184886523763</v>
          </cell>
          <cell r="DM9">
            <v>5.7005824203229967</v>
          </cell>
          <cell r="DO9">
            <v>5.1294110528349899</v>
          </cell>
          <cell r="EA9">
            <v>768.62932443037528</v>
          </cell>
        </row>
        <row r="10">
          <cell r="F10">
            <v>1840.7</v>
          </cell>
          <cell r="G10">
            <v>0</v>
          </cell>
          <cell r="H10">
            <v>0</v>
          </cell>
          <cell r="CU10">
            <v>10217.427554312932</v>
          </cell>
          <cell r="CX10">
            <v>194.13112353194569</v>
          </cell>
          <cell r="DJ10">
            <v>118870.15262183742</v>
          </cell>
          <cell r="DM10">
            <v>5.65630394841358</v>
          </cell>
          <cell r="DO10">
            <v>4.8573719650353837</v>
          </cell>
          <cell r="EA10">
            <v>3283.549403027404</v>
          </cell>
        </row>
        <row r="11">
          <cell r="F11">
            <v>2805.68</v>
          </cell>
          <cell r="G11">
            <v>0</v>
          </cell>
          <cell r="H11">
            <v>0</v>
          </cell>
          <cell r="CU11">
            <v>16410.971475397309</v>
          </cell>
          <cell r="CX11">
            <v>787.72663081907092</v>
          </cell>
          <cell r="DJ11">
            <v>197841.20545205107</v>
          </cell>
          <cell r="DM11">
            <v>6.1299571249096054</v>
          </cell>
          <cell r="DO11">
            <v>5.5157034613044331</v>
          </cell>
          <cell r="EA11">
            <v>5719.9618627942518</v>
          </cell>
        </row>
        <row r="12">
          <cell r="F12">
            <v>6095.61</v>
          </cell>
          <cell r="G12">
            <v>601.05999999999995</v>
          </cell>
          <cell r="H12">
            <v>0</v>
          </cell>
          <cell r="CU12">
            <v>44044.25459990884</v>
          </cell>
          <cell r="CX12">
            <v>660.66381899863256</v>
          </cell>
          <cell r="DJ12">
            <v>512137.90433524008</v>
          </cell>
          <cell r="DM12">
            <v>5.9482476944041096</v>
          </cell>
          <cell r="DN12">
            <v>7.4855383352065115</v>
          </cell>
          <cell r="DO12">
            <v>4.9623037621392525</v>
          </cell>
          <cell r="EA12">
            <v>12444.593083311318</v>
          </cell>
        </row>
        <row r="13">
          <cell r="F13">
            <v>6316</v>
          </cell>
          <cell r="G13">
            <v>712.5</v>
          </cell>
          <cell r="H13">
            <v>0</v>
          </cell>
          <cell r="CU13">
            <v>43728.056057325986</v>
          </cell>
          <cell r="CX13">
            <v>1093.2014014331496</v>
          </cell>
          <cell r="DJ13">
            <v>510950.2304918475</v>
          </cell>
          <cell r="DM13">
            <v>5.8452632836205494</v>
          </cell>
          <cell r="DN13">
            <v>7.2555558792146861</v>
          </cell>
          <cell r="DO13">
            <v>4.8749049911248123</v>
          </cell>
          <cell r="EA13">
            <v>12465.877527528964</v>
          </cell>
        </row>
        <row r="14">
          <cell r="F14">
            <v>263.3</v>
          </cell>
          <cell r="G14">
            <v>0</v>
          </cell>
          <cell r="H14">
            <v>0</v>
          </cell>
          <cell r="CU14">
            <v>418.63124764007392</v>
          </cell>
          <cell r="CX14">
            <v>18.838406143803329</v>
          </cell>
          <cell r="DJ14">
            <v>4983.8734140899014</v>
          </cell>
          <cell r="DM14">
            <v>1.6614874811389189</v>
          </cell>
          <cell r="DO14">
            <v>1.6614874811389189</v>
          </cell>
          <cell r="EA14">
            <v>376.01545370985974</v>
          </cell>
        </row>
        <row r="15">
          <cell r="F15">
            <v>317.88</v>
          </cell>
          <cell r="G15">
            <v>0</v>
          </cell>
          <cell r="H15">
            <v>0</v>
          </cell>
          <cell r="CU15">
            <v>521.75246337541739</v>
          </cell>
          <cell r="CX15">
            <v>0</v>
          </cell>
          <cell r="DJ15">
            <v>5951.2494600796272</v>
          </cell>
          <cell r="DM15">
            <v>1.6413503944111532</v>
          </cell>
          <cell r="DO15">
            <v>1.6413503944111532</v>
          </cell>
          <cell r="EA15">
            <v>469.66649301626671</v>
          </cell>
        </row>
        <row r="16">
          <cell r="F16">
            <v>95.5</v>
          </cell>
          <cell r="G16">
            <v>0</v>
          </cell>
          <cell r="H16">
            <v>0</v>
          </cell>
          <cell r="CU16">
            <v>141.94155840953377</v>
          </cell>
          <cell r="CX16">
            <v>3.5485389602383446</v>
          </cell>
          <cell r="DJ16">
            <v>1658.2596141618883</v>
          </cell>
          <cell r="DM16">
            <v>1.5234565169609646</v>
          </cell>
          <cell r="DO16">
            <v>1.5234565169609646</v>
          </cell>
          <cell r="EA16">
            <v>123.00120555166077</v>
          </cell>
        </row>
        <row r="17">
          <cell r="F17">
            <v>147.5</v>
          </cell>
          <cell r="G17">
            <v>0</v>
          </cell>
          <cell r="H17">
            <v>0</v>
          </cell>
          <cell r="CU17">
            <v>275.12413879496904</v>
          </cell>
          <cell r="CX17">
            <v>5.5024827758993808</v>
          </cell>
          <cell r="DJ17">
            <v>3260.153689235306</v>
          </cell>
          <cell r="DM17">
            <v>1.902553366582159</v>
          </cell>
          <cell r="DO17">
            <v>1.902553366582159</v>
          </cell>
          <cell r="EA17">
            <v>246.71360950815955</v>
          </cell>
        </row>
        <row r="18">
          <cell r="F18">
            <v>4099.3</v>
          </cell>
          <cell r="G18">
            <v>274</v>
          </cell>
          <cell r="H18">
            <v>64.099999999999994</v>
          </cell>
          <cell r="CU18">
            <v>32764.581007932175</v>
          </cell>
          <cell r="CX18">
            <v>491.46871511898257</v>
          </cell>
          <cell r="DJ18">
            <v>379219.04585791973</v>
          </cell>
          <cell r="DM18">
            <v>6.2696809416747836</v>
          </cell>
          <cell r="DN18">
            <v>8.1563556617458719</v>
          </cell>
          <cell r="DO18">
            <v>5.2675480835534882</v>
          </cell>
          <cell r="EA18">
            <v>6727.1265937332901</v>
          </cell>
        </row>
        <row r="19">
          <cell r="F19">
            <v>409.93</v>
          </cell>
          <cell r="G19">
            <v>0</v>
          </cell>
          <cell r="H19">
            <v>0</v>
          </cell>
          <cell r="CU19">
            <v>2576.7644941653748</v>
          </cell>
          <cell r="CX19">
            <v>0</v>
          </cell>
          <cell r="DJ19">
            <v>29395.637952328565</v>
          </cell>
          <cell r="DM19">
            <v>6.2858646455867451</v>
          </cell>
          <cell r="DO19">
            <v>5.378504172439234</v>
          </cell>
          <cell r="EA19">
            <v>670.46976059571546</v>
          </cell>
        </row>
        <row r="20">
          <cell r="F20">
            <v>403.93</v>
          </cell>
          <cell r="G20">
            <v>0</v>
          </cell>
          <cell r="H20">
            <v>0</v>
          </cell>
          <cell r="CU20">
            <v>2514.2257736504057</v>
          </cell>
          <cell r="CX20">
            <v>62.855644341260145</v>
          </cell>
          <cell r="DJ20">
            <v>29358.270868819985</v>
          </cell>
          <cell r="DM20">
            <v>6.3800198499533733</v>
          </cell>
          <cell r="DO20">
            <v>5.4179558879841263</v>
          </cell>
          <cell r="EA20">
            <v>651.38980347193876</v>
          </cell>
        </row>
        <row r="21">
          <cell r="F21">
            <v>4845</v>
          </cell>
          <cell r="G21">
            <v>0</v>
          </cell>
          <cell r="H21">
            <v>45.7</v>
          </cell>
          <cell r="CU21">
            <v>28788.164837963024</v>
          </cell>
          <cell r="CX21">
            <v>1295.4674177083361</v>
          </cell>
          <cell r="DJ21">
            <v>343156.74275262491</v>
          </cell>
          <cell r="DM21">
            <v>6.1564262684822832</v>
          </cell>
          <cell r="DO21">
            <v>5.5962141110437216</v>
          </cell>
          <cell r="EA21">
            <v>5723.8105207418594</v>
          </cell>
        </row>
        <row r="22">
          <cell r="F22">
            <v>664</v>
          </cell>
          <cell r="G22">
            <v>0</v>
          </cell>
          <cell r="H22">
            <v>89.3</v>
          </cell>
          <cell r="CU22">
            <v>4614.7963680722887</v>
          </cell>
          <cell r="CX22">
            <v>0</v>
          </cell>
          <cell r="DJ22">
            <v>52579.938854315842</v>
          </cell>
          <cell r="DM22">
            <v>6.2252083390203738</v>
          </cell>
          <cell r="DO22">
            <v>5.3892276703556599</v>
          </cell>
          <cell r="EA22">
            <v>1197.2245596060666</v>
          </cell>
        </row>
        <row r="23">
          <cell r="F23">
            <v>206.8</v>
          </cell>
          <cell r="G23">
            <v>0</v>
          </cell>
          <cell r="H23">
            <v>50.11</v>
          </cell>
          <cell r="CU23">
            <v>335.52890689914415</v>
          </cell>
          <cell r="CX23">
            <v>8.3882226724786033</v>
          </cell>
          <cell r="DJ23">
            <v>3917.2119145971997</v>
          </cell>
          <cell r="DM23">
            <v>1.3386677419003647</v>
          </cell>
          <cell r="DO23">
            <v>1.3386677419003647</v>
          </cell>
          <cell r="EA23">
            <v>278.60722045278266</v>
          </cell>
        </row>
        <row r="24">
          <cell r="F24">
            <v>2589.4</v>
          </cell>
          <cell r="G24">
            <v>0</v>
          </cell>
          <cell r="H24">
            <v>358.2</v>
          </cell>
          <cell r="CU24">
            <v>13193.046467026683</v>
          </cell>
          <cell r="CX24">
            <v>659.6523233513343</v>
          </cell>
          <cell r="DJ24">
            <v>158100.89361978008</v>
          </cell>
          <cell r="DM24">
            <v>4.7575133213467931</v>
          </cell>
          <cell r="DO24">
            <v>4.2813897154735692</v>
          </cell>
          <cell r="EA24">
            <v>3759.9613044782668</v>
          </cell>
        </row>
        <row r="25">
          <cell r="F25">
            <v>1132.9000000000001</v>
          </cell>
          <cell r="G25">
            <v>0</v>
          </cell>
          <cell r="H25">
            <v>336.63</v>
          </cell>
          <cell r="CU25">
            <v>8789.1634678804967</v>
          </cell>
          <cell r="CX25">
            <v>131.83745201820744</v>
          </cell>
          <cell r="DJ25">
            <v>101238.6161943945</v>
          </cell>
          <cell r="DM25">
            <v>6.3478899867385463</v>
          </cell>
          <cell r="DO25">
            <v>5.1376180195544219</v>
          </cell>
          <cell r="EA25">
            <v>2617.8887280929371</v>
          </cell>
        </row>
        <row r="26">
          <cell r="F26">
            <v>4082.7</v>
          </cell>
          <cell r="G26">
            <v>442.1</v>
          </cell>
          <cell r="H26">
            <v>0</v>
          </cell>
          <cell r="CU26">
            <v>27393.533165498156</v>
          </cell>
          <cell r="CX26">
            <v>219.14826532398524</v>
          </cell>
          <cell r="DJ26">
            <v>307613.39669005206</v>
          </cell>
          <cell r="DM26">
            <v>5.5669406455463317</v>
          </cell>
          <cell r="DN26">
            <v>6.9086241200423295</v>
          </cell>
          <cell r="DO26">
            <v>4.9320505683068916</v>
          </cell>
          <cell r="EA26">
            <v>6391.732848699352</v>
          </cell>
        </row>
        <row r="27">
          <cell r="F27">
            <v>263.39999999999998</v>
          </cell>
          <cell r="G27">
            <v>0</v>
          </cell>
          <cell r="H27">
            <v>0</v>
          </cell>
          <cell r="CU27">
            <v>370.43703685863431</v>
          </cell>
          <cell r="CX27">
            <v>9.2609259214658586</v>
          </cell>
          <cell r="DJ27">
            <v>4353.6851726540226</v>
          </cell>
          <cell r="DM27">
            <v>1.4415260545941542</v>
          </cell>
          <cell r="DO27">
            <v>1.4415260545941542</v>
          </cell>
          <cell r="EA27">
            <v>306.3372471860136</v>
          </cell>
        </row>
        <row r="28">
          <cell r="F28">
            <v>298.60000000000002</v>
          </cell>
          <cell r="G28">
            <v>0</v>
          </cell>
          <cell r="H28">
            <v>0</v>
          </cell>
          <cell r="CU28">
            <v>413.70320662620901</v>
          </cell>
          <cell r="CX28">
            <v>6.2055480993931349</v>
          </cell>
          <cell r="DJ28">
            <v>4786.0543467718635</v>
          </cell>
          <cell r="DM28">
            <v>1.4062583882304156</v>
          </cell>
          <cell r="DO28">
            <v>1.4062583882304156</v>
          </cell>
          <cell r="EA28">
            <v>344.81801480274873</v>
          </cell>
        </row>
        <row r="29">
          <cell r="F29">
            <v>298.39999999999998</v>
          </cell>
          <cell r="G29">
            <v>0</v>
          </cell>
          <cell r="H29">
            <v>0</v>
          </cell>
          <cell r="CU29">
            <v>415.83056669909877</v>
          </cell>
          <cell r="CX29">
            <v>6.2374585004864809</v>
          </cell>
          <cell r="DJ29">
            <v>4812.4196004414816</v>
          </cell>
          <cell r="DM29">
            <v>1.4144370817680472</v>
          </cell>
          <cell r="DO29">
            <v>1.4144370817680472</v>
          </cell>
          <cell r="EA29">
            <v>342.2606005975415</v>
          </cell>
        </row>
        <row r="30">
          <cell r="F30">
            <v>236.7</v>
          </cell>
          <cell r="G30">
            <v>0</v>
          </cell>
          <cell r="H30">
            <v>0</v>
          </cell>
          <cell r="CU30">
            <v>390.73945865009716</v>
          </cell>
          <cell r="CX30">
            <v>17.583275639254371</v>
          </cell>
          <cell r="DJ30">
            <v>4651.2077897575764</v>
          </cell>
          <cell r="DM30">
            <v>1.7250643611717429</v>
          </cell>
          <cell r="DO30">
            <v>1.7250643611717429</v>
          </cell>
          <cell r="EA30">
            <v>330.07426716829724</v>
          </cell>
        </row>
        <row r="31">
          <cell r="F31">
            <v>315.7</v>
          </cell>
          <cell r="G31">
            <v>0</v>
          </cell>
          <cell r="H31">
            <v>0</v>
          </cell>
          <cell r="CU31">
            <v>427.53490725024898</v>
          </cell>
          <cell r="CX31">
            <v>10.688372681256226</v>
          </cell>
          <cell r="DJ31">
            <v>4981.0384543844521</v>
          </cell>
          <cell r="DM31">
            <v>1.3881003482150942</v>
          </cell>
          <cell r="DO31">
            <v>1.3881003482150942</v>
          </cell>
          <cell r="EA31">
            <v>361.09273043857974</v>
          </cell>
        </row>
        <row r="32">
          <cell r="F32">
            <v>239.9</v>
          </cell>
          <cell r="G32">
            <v>0</v>
          </cell>
          <cell r="H32">
            <v>0</v>
          </cell>
          <cell r="CU32">
            <v>421.12600067868078</v>
          </cell>
          <cell r="CX32">
            <v>0</v>
          </cell>
          <cell r="DJ32">
            <v>4802.3270430432231</v>
          </cell>
          <cell r="DM32">
            <v>1.7554230957844135</v>
          </cell>
          <cell r="DO32">
            <v>1.7554230957844135</v>
          </cell>
          <cell r="EA32">
            <v>317.29908744899859</v>
          </cell>
        </row>
        <row r="33">
          <cell r="F33">
            <v>239.8</v>
          </cell>
          <cell r="G33">
            <v>0</v>
          </cell>
          <cell r="H33">
            <v>0</v>
          </cell>
          <cell r="CU33">
            <v>392.48495854528824</v>
          </cell>
          <cell r="CX33">
            <v>0</v>
          </cell>
          <cell r="DJ33">
            <v>4467.846372590695</v>
          </cell>
          <cell r="DM33">
            <v>1.6367179255433204</v>
          </cell>
          <cell r="DO33">
            <v>1.6367179255433204</v>
          </cell>
          <cell r="EA33">
            <v>303.06080296328787</v>
          </cell>
        </row>
        <row r="34">
          <cell r="F34">
            <v>242.2</v>
          </cell>
          <cell r="G34">
            <v>0</v>
          </cell>
          <cell r="H34">
            <v>0</v>
          </cell>
          <cell r="CU34">
            <v>378.96866177773376</v>
          </cell>
          <cell r="CX34">
            <v>9.4742165444433439</v>
          </cell>
          <cell r="DJ34">
            <v>4427.5336145040465</v>
          </cell>
          <cell r="DM34">
            <v>1.6038103976968501</v>
          </cell>
          <cell r="DO34">
            <v>1.6038103976968501</v>
          </cell>
          <cell r="EA34">
            <v>324.38936247042085</v>
          </cell>
        </row>
        <row r="35">
          <cell r="F35">
            <v>135.6</v>
          </cell>
          <cell r="G35">
            <v>0</v>
          </cell>
          <cell r="H35">
            <v>0</v>
          </cell>
          <cell r="CU35">
            <v>254.77043350955904</v>
          </cell>
          <cell r="CX35">
            <v>3.8215565026433853</v>
          </cell>
          <cell r="DJ35">
            <v>2948.5595422660808</v>
          </cell>
          <cell r="DM35">
            <v>1.9070205753112273</v>
          </cell>
          <cell r="DO35">
            <v>1.9070205753112273</v>
          </cell>
          <cell r="EA35">
            <v>207.951285890175</v>
          </cell>
        </row>
        <row r="36">
          <cell r="F36">
            <v>229.9</v>
          </cell>
          <cell r="G36">
            <v>0</v>
          </cell>
          <cell r="H36">
            <v>0</v>
          </cell>
          <cell r="CU36">
            <v>412.40573370191015</v>
          </cell>
          <cell r="CX36">
            <v>10.310143342547754</v>
          </cell>
          <cell r="DJ36">
            <v>4839.5725994787108</v>
          </cell>
          <cell r="DM36">
            <v>1.8386945499976419</v>
          </cell>
          <cell r="DO36">
            <v>1.8386945499976419</v>
          </cell>
          <cell r="EA36">
            <v>320.22965626350123</v>
          </cell>
        </row>
        <row r="37">
          <cell r="F37">
            <v>1931.4</v>
          </cell>
          <cell r="G37">
            <v>0</v>
          </cell>
          <cell r="H37">
            <v>236.2</v>
          </cell>
          <cell r="CU37">
            <v>10923.504859743789</v>
          </cell>
          <cell r="CX37">
            <v>273.08762149359472</v>
          </cell>
          <cell r="DJ37">
            <v>129242.03699650441</v>
          </cell>
          <cell r="DM37">
            <v>5.2441445196085343</v>
          </cell>
          <cell r="DO37">
            <v>4.5218109909630009</v>
          </cell>
          <cell r="EA37">
            <v>2495.0109952499606</v>
          </cell>
        </row>
        <row r="38">
          <cell r="F38">
            <v>132.19999999999999</v>
          </cell>
          <cell r="G38">
            <v>0</v>
          </cell>
          <cell r="H38">
            <v>0</v>
          </cell>
          <cell r="CU38">
            <v>275.29271097431547</v>
          </cell>
          <cell r="CX38">
            <v>6.8823177743578867</v>
          </cell>
          <cell r="DJ38">
            <v>3219.6853806075756</v>
          </cell>
          <cell r="DM38">
            <v>2.1344555881140197</v>
          </cell>
          <cell r="DO38">
            <v>2.1344555881140197</v>
          </cell>
          <cell r="EA38">
            <v>218.37102452795395</v>
          </cell>
        </row>
        <row r="39">
          <cell r="F39">
            <v>1907.4</v>
          </cell>
          <cell r="G39">
            <v>0</v>
          </cell>
          <cell r="H39">
            <v>408.17</v>
          </cell>
          <cell r="CU39">
            <v>14201.488417657039</v>
          </cell>
          <cell r="CX39">
            <v>213.02232626485559</v>
          </cell>
          <cell r="DJ39">
            <v>164476.21858141423</v>
          </cell>
          <cell r="DM39">
            <v>6.4365451255800847</v>
          </cell>
          <cell r="DO39">
            <v>5.2366527951354618</v>
          </cell>
          <cell r="EA39">
            <v>3190.9034040539382</v>
          </cell>
        </row>
        <row r="40">
          <cell r="F40">
            <v>2888.6</v>
          </cell>
          <cell r="G40">
            <v>0</v>
          </cell>
          <cell r="H40">
            <v>364.73</v>
          </cell>
          <cell r="CU40">
            <v>16745.539702712125</v>
          </cell>
          <cell r="CX40">
            <v>0</v>
          </cell>
          <cell r="DJ40">
            <v>190940.71627581533</v>
          </cell>
          <cell r="DM40">
            <v>5.2504992648654643</v>
          </cell>
          <cell r="DO40">
            <v>4.3290859710518665</v>
          </cell>
          <cell r="EA40">
            <v>3363.3029062394608</v>
          </cell>
        </row>
        <row r="41">
          <cell r="F41">
            <v>821.7</v>
          </cell>
          <cell r="G41">
            <v>0</v>
          </cell>
          <cell r="H41">
            <v>102.8</v>
          </cell>
          <cell r="CU41">
            <v>5408.1371232919673</v>
          </cell>
          <cell r="CX41">
            <v>135.20342808229918</v>
          </cell>
          <cell r="DJ41">
            <v>64760.012614527252</v>
          </cell>
          <cell r="DM41">
            <v>6.0968567486052896</v>
          </cell>
          <cell r="DO41">
            <v>5.1902077922694545</v>
          </cell>
          <cell r="EA41">
            <v>1302.083540615484</v>
          </cell>
        </row>
        <row r="42">
          <cell r="F42">
            <v>654.20000000000005</v>
          </cell>
          <cell r="G42">
            <v>0</v>
          </cell>
          <cell r="H42">
            <v>255</v>
          </cell>
          <cell r="CU42">
            <v>5669.8312873779969</v>
          </cell>
          <cell r="CX42">
            <v>0</v>
          </cell>
          <cell r="DJ42">
            <v>64746.708728348967</v>
          </cell>
          <cell r="DM42">
            <v>6.5275952569415638</v>
          </cell>
          <cell r="DO42">
            <v>5.4881508638699055</v>
          </cell>
          <cell r="EA42">
            <v>1576.3985409156107</v>
          </cell>
        </row>
        <row r="43">
          <cell r="F43">
            <v>1730</v>
          </cell>
          <cell r="G43">
            <v>0</v>
          </cell>
          <cell r="H43">
            <v>137.1</v>
          </cell>
          <cell r="CU43">
            <v>8592.626057345462</v>
          </cell>
          <cell r="CX43">
            <v>257.7787817203639</v>
          </cell>
          <cell r="DJ43">
            <v>101193.30357724195</v>
          </cell>
          <cell r="DM43">
            <v>4.7774743238734203</v>
          </cell>
          <cell r="DO43">
            <v>4.2696882477374931</v>
          </cell>
          <cell r="EA43">
            <v>2684.3316132479981</v>
          </cell>
        </row>
        <row r="44">
          <cell r="F44">
            <v>934</v>
          </cell>
          <cell r="G44">
            <v>0</v>
          </cell>
          <cell r="H44">
            <v>238.81</v>
          </cell>
          <cell r="CU44">
            <v>7222.4658925025933</v>
          </cell>
          <cell r="CX44">
            <v>180.56164731256484</v>
          </cell>
          <cell r="DJ44">
            <v>84565.750977434232</v>
          </cell>
          <cell r="DM44">
            <v>6.4919833611606617</v>
          </cell>
          <cell r="DO44">
            <v>5.6091247455764019</v>
          </cell>
          <cell r="EA44">
            <v>1637.0193977344718</v>
          </cell>
        </row>
        <row r="45">
          <cell r="F45">
            <v>1264.5999999999999</v>
          </cell>
          <cell r="G45">
            <v>0</v>
          </cell>
          <cell r="H45">
            <v>183.7</v>
          </cell>
          <cell r="CU45">
            <v>9017.8412962835191</v>
          </cell>
          <cell r="CX45">
            <v>0</v>
          </cell>
          <cell r="DJ45">
            <v>103489.31743659984</v>
          </cell>
          <cell r="DM45">
            <v>6.3165607457523425</v>
          </cell>
          <cell r="DO45">
            <v>5.606524644556921</v>
          </cell>
          <cell r="EA45">
            <v>1669.9003451585202</v>
          </cell>
        </row>
        <row r="46">
          <cell r="F46">
            <v>1759.4</v>
          </cell>
          <cell r="G46">
            <v>0</v>
          </cell>
          <cell r="H46">
            <v>358</v>
          </cell>
          <cell r="CU46">
            <v>9277.2570395028251</v>
          </cell>
          <cell r="CX46">
            <v>0</v>
          </cell>
          <cell r="DJ46">
            <v>107616.68310777354</v>
          </cell>
          <cell r="DM46">
            <v>4.4768819785430631</v>
          </cell>
          <cell r="DO46">
            <v>3.9123767778049143</v>
          </cell>
          <cell r="EA46">
            <v>1835.7178228681785</v>
          </cell>
        </row>
        <row r="47">
          <cell r="F47">
            <v>2214.37</v>
          </cell>
          <cell r="G47">
            <v>213.63</v>
          </cell>
          <cell r="H47">
            <v>0</v>
          </cell>
          <cell r="CU47">
            <v>15696.095004361672</v>
          </cell>
          <cell r="CX47">
            <v>392.40237510904183</v>
          </cell>
          <cell r="DJ47">
            <v>183221.5970809737</v>
          </cell>
          <cell r="DM47">
            <v>6.0421169690571013</v>
          </cell>
          <cell r="DN47">
            <v>7.3961234000275127</v>
          </cell>
          <cell r="DO47">
            <v>5.0321242600402067</v>
          </cell>
          <cell r="EA47">
            <v>3993.9761685019694</v>
          </cell>
        </row>
        <row r="48">
          <cell r="F48">
            <v>5953.29</v>
          </cell>
          <cell r="G48">
            <v>569.36</v>
          </cell>
          <cell r="H48">
            <v>0</v>
          </cell>
          <cell r="CU48">
            <v>44683.249080649664</v>
          </cell>
          <cell r="CX48">
            <v>446.83249080649665</v>
          </cell>
          <cell r="DJ48">
            <v>514416.23911586637</v>
          </cell>
          <cell r="DM48">
            <v>5.9306016635307897</v>
          </cell>
          <cell r="DN48">
            <v>7.7551963358194227</v>
          </cell>
          <cell r="DO48">
            <v>4.7935738498184897</v>
          </cell>
          <cell r="EA48">
            <v>11308.265917130453</v>
          </cell>
        </row>
        <row r="49">
          <cell r="F49">
            <v>3858.65</v>
          </cell>
          <cell r="G49">
            <v>441.5</v>
          </cell>
          <cell r="H49">
            <v>0</v>
          </cell>
          <cell r="CU49">
            <v>27255.635611348338</v>
          </cell>
          <cell r="CX49">
            <v>272.55635611348333</v>
          </cell>
          <cell r="DJ49">
            <v>313758.27732239664</v>
          </cell>
          <cell r="DM49">
            <v>5.5021858027701382</v>
          </cell>
          <cell r="DN49">
            <v>7.3450029807116461</v>
          </cell>
          <cell r="DO49">
            <v>4.2929902431640103</v>
          </cell>
          <cell r="EA49">
            <v>7111.6197140496124</v>
          </cell>
        </row>
        <row r="50">
          <cell r="F50">
            <v>9788.74</v>
          </cell>
          <cell r="G50">
            <v>1089.02</v>
          </cell>
          <cell r="H50">
            <v>0</v>
          </cell>
          <cell r="CU50">
            <v>60223.677794308227</v>
          </cell>
          <cell r="CX50">
            <v>1505.5919448577058</v>
          </cell>
          <cell r="DJ50">
            <v>703507.19993039174</v>
          </cell>
          <cell r="DM50">
            <v>5.5224091950364445</v>
          </cell>
          <cell r="DN50">
            <v>6.4042584908005491</v>
          </cell>
          <cell r="DO50">
            <v>4.7781747592983397</v>
          </cell>
          <cell r="EA50">
            <v>18118.420640720244</v>
          </cell>
        </row>
        <row r="51">
          <cell r="F51">
            <v>6581.9</v>
          </cell>
          <cell r="G51">
            <v>729.6</v>
          </cell>
          <cell r="H51">
            <v>0</v>
          </cell>
          <cell r="CU51">
            <v>41799.601740296275</v>
          </cell>
          <cell r="CX51">
            <v>626.99402610444406</v>
          </cell>
          <cell r="DJ51">
            <v>484874.99784241017</v>
          </cell>
          <cell r="DM51">
            <v>5.8918966216855715</v>
          </cell>
          <cell r="DN51">
            <v>6.5150228100437317</v>
          </cell>
          <cell r="DO51">
            <v>5.1906796835539026</v>
          </cell>
          <cell r="EA51">
            <v>14180.980508350653</v>
          </cell>
        </row>
        <row r="52">
          <cell r="F52">
            <v>3261</v>
          </cell>
          <cell r="G52">
            <v>0</v>
          </cell>
          <cell r="H52">
            <v>185.77</v>
          </cell>
          <cell r="CU52">
            <v>19785.768732932582</v>
          </cell>
          <cell r="CX52">
            <v>0</v>
          </cell>
          <cell r="DJ52">
            <v>225505.77774352781</v>
          </cell>
          <cell r="DM52">
            <v>5.7910334285544476</v>
          </cell>
          <cell r="DO52">
            <v>4.8512069893767888</v>
          </cell>
          <cell r="EA52">
            <v>5130.7769850605891</v>
          </cell>
        </row>
        <row r="53">
          <cell r="F53">
            <v>244.2</v>
          </cell>
          <cell r="G53">
            <v>0</v>
          </cell>
          <cell r="H53">
            <v>0</v>
          </cell>
          <cell r="CU53">
            <v>81.44676610155723</v>
          </cell>
          <cell r="CX53">
            <v>2.0361691525389309</v>
          </cell>
          <cell r="DJ53">
            <v>958.33038491128457</v>
          </cell>
          <cell r="DM53">
            <v>0.34186296172848551</v>
          </cell>
          <cell r="DO53">
            <v>0.34186296172848551</v>
          </cell>
          <cell r="EA53">
            <v>7.8767999999999994</v>
          </cell>
        </row>
        <row r="54">
          <cell r="F54">
            <v>323.7</v>
          </cell>
          <cell r="G54">
            <v>0</v>
          </cell>
          <cell r="H54">
            <v>0</v>
          </cell>
          <cell r="CU54">
            <v>424.27325231610951</v>
          </cell>
          <cell r="CX54">
            <v>10.606831307902738</v>
          </cell>
          <cell r="DJ54">
            <v>4923.7404968400006</v>
          </cell>
          <cell r="DM54">
            <v>1.3434664307198401</v>
          </cell>
          <cell r="DO54">
            <v>1.3434664307198401</v>
          </cell>
          <cell r="EA54">
            <v>367.35156586974801</v>
          </cell>
        </row>
        <row r="55">
          <cell r="F55">
            <v>2189.9</v>
          </cell>
          <cell r="G55">
            <v>0</v>
          </cell>
          <cell r="H55">
            <v>0</v>
          </cell>
          <cell r="CU55">
            <v>13265.112858653145</v>
          </cell>
          <cell r="CX55">
            <v>663.25564293265734</v>
          </cell>
          <cell r="DJ55">
            <v>158716.97892182623</v>
          </cell>
          <cell r="DM55">
            <v>6.36027604072597</v>
          </cell>
          <cell r="DO55">
            <v>5.516066245261352</v>
          </cell>
          <cell r="EA55">
            <v>3665.3406569180788</v>
          </cell>
        </row>
        <row r="56">
          <cell r="F56">
            <v>1173.1199999999999</v>
          </cell>
          <cell r="G56">
            <v>0</v>
          </cell>
          <cell r="H56">
            <v>0</v>
          </cell>
          <cell r="CU56">
            <v>7212.0451552059203</v>
          </cell>
          <cell r="CX56">
            <v>0</v>
          </cell>
          <cell r="DJ56">
            <v>82212.235468355924</v>
          </cell>
          <cell r="DM56">
            <v>6.1477471658533833</v>
          </cell>
          <cell r="DO56">
            <v>5.4746973002745358</v>
          </cell>
          <cell r="EA56">
            <v>1815.9086838018441</v>
          </cell>
        </row>
        <row r="57">
          <cell r="F57">
            <v>2743.1</v>
          </cell>
          <cell r="G57">
            <v>0</v>
          </cell>
          <cell r="H57">
            <v>0</v>
          </cell>
          <cell r="CU57">
            <v>15581.826454309639</v>
          </cell>
          <cell r="CX57">
            <v>779.09132271548197</v>
          </cell>
          <cell r="DJ57">
            <v>186999.10679174983</v>
          </cell>
          <cell r="DM57">
            <v>5.9643898425231026</v>
          </cell>
          <cell r="DO57">
            <v>5.2881823614970447</v>
          </cell>
          <cell r="EA57">
            <v>6605.7197321114627</v>
          </cell>
        </row>
        <row r="58">
          <cell r="F58">
            <v>249.8</v>
          </cell>
          <cell r="G58">
            <v>0</v>
          </cell>
          <cell r="H58">
            <v>0</v>
          </cell>
          <cell r="CU58">
            <v>381.80484600025966</v>
          </cell>
          <cell r="CX58">
            <v>9.5451211500064908</v>
          </cell>
          <cell r="DJ58">
            <v>4459.0498616134901</v>
          </cell>
          <cell r="DM58">
            <v>1.5666531911539874</v>
          </cell>
          <cell r="DO58">
            <v>1.5666531911539874</v>
          </cell>
          <cell r="EA58">
            <v>324.98378742664067</v>
          </cell>
        </row>
        <row r="59">
          <cell r="F59">
            <v>2796.95</v>
          </cell>
          <cell r="G59">
            <v>0</v>
          </cell>
          <cell r="H59">
            <v>92.11</v>
          </cell>
          <cell r="CU59">
            <v>12151.980689248974</v>
          </cell>
          <cell r="CX59">
            <v>607.59903446244869</v>
          </cell>
          <cell r="DJ59">
            <v>145647.13713285615</v>
          </cell>
          <cell r="DM59">
            <v>4.436472521918235</v>
          </cell>
          <cell r="DO59">
            <v>3.8105298396722849</v>
          </cell>
          <cell r="EA59">
            <v>2937.2749211054806</v>
          </cell>
        </row>
        <row r="60">
          <cell r="F60">
            <v>3219.5</v>
          </cell>
          <cell r="G60">
            <v>0</v>
          </cell>
          <cell r="H60">
            <v>0</v>
          </cell>
          <cell r="CU60">
            <v>16806.493262273973</v>
          </cell>
          <cell r="CX60">
            <v>588.22726417958904</v>
          </cell>
          <cell r="DJ60">
            <v>198683.78524672007</v>
          </cell>
          <cell r="DM60">
            <v>5.4029260836942266</v>
          </cell>
          <cell r="DO60">
            <v>4.7934303155311877</v>
          </cell>
          <cell r="EA60">
            <v>3781.3039675153364</v>
          </cell>
        </row>
        <row r="61">
          <cell r="F61">
            <v>1738.1</v>
          </cell>
          <cell r="G61">
            <v>0</v>
          </cell>
          <cell r="H61">
            <v>133.6</v>
          </cell>
          <cell r="CU61">
            <v>7938.6383002698149</v>
          </cell>
          <cell r="CX61">
            <v>396.93191501349077</v>
          </cell>
          <cell r="DJ61">
            <v>94712.87090180337</v>
          </cell>
          <cell r="DM61">
            <v>4.4879986430011209</v>
          </cell>
          <cell r="DO61">
            <v>4.0043396248731922</v>
          </cell>
          <cell r="EA61">
            <v>2342.6882305925296</v>
          </cell>
        </row>
        <row r="62">
          <cell r="F62">
            <v>2148</v>
          </cell>
          <cell r="G62">
            <v>0</v>
          </cell>
          <cell r="H62">
            <v>1482</v>
          </cell>
          <cell r="CU62">
            <v>13384.210550415351</v>
          </cell>
          <cell r="CX62">
            <v>334.60526376038382</v>
          </cell>
          <cell r="DJ62">
            <v>156556.94371162026</v>
          </cell>
          <cell r="DM62">
            <v>4.0880641528656323</v>
          </cell>
          <cell r="DO62">
            <v>3.3317503467073935</v>
          </cell>
          <cell r="EA62">
            <v>5562.1755406539478</v>
          </cell>
        </row>
        <row r="63">
          <cell r="F63">
            <v>1469.3</v>
          </cell>
          <cell r="G63">
            <v>0</v>
          </cell>
          <cell r="H63">
            <v>0</v>
          </cell>
          <cell r="CU63">
            <v>8159.319362850013</v>
          </cell>
          <cell r="CX63">
            <v>0</v>
          </cell>
          <cell r="DJ63">
            <v>93056.538718263051</v>
          </cell>
          <cell r="DM63">
            <v>5.5532017714898343</v>
          </cell>
          <cell r="DO63">
            <v>5.0544500086809743</v>
          </cell>
          <cell r="EA63">
            <v>1858.6929087743983</v>
          </cell>
        </row>
        <row r="64">
          <cell r="F64">
            <v>253.5</v>
          </cell>
          <cell r="G64">
            <v>0</v>
          </cell>
          <cell r="H64">
            <v>0</v>
          </cell>
          <cell r="CU64">
            <v>1105.1437203876364</v>
          </cell>
          <cell r="CX64">
            <v>16.577155805814545</v>
          </cell>
          <cell r="DJ64">
            <v>12780.588312173211</v>
          </cell>
          <cell r="DM64">
            <v>4.4249344228538501</v>
          </cell>
          <cell r="DO64">
            <v>4.3493583605973685</v>
          </cell>
          <cell r="EA64">
            <v>587.63143644507068</v>
          </cell>
        </row>
        <row r="65">
          <cell r="F65">
            <v>200.6</v>
          </cell>
          <cell r="G65">
            <v>0</v>
          </cell>
          <cell r="H65">
            <v>0</v>
          </cell>
          <cell r="CU65">
            <v>343.37839374034536</v>
          </cell>
          <cell r="CX65">
            <v>8.5844598435086343</v>
          </cell>
          <cell r="DJ65">
            <v>4009.6519672675845</v>
          </cell>
          <cell r="DM65">
            <v>1.7545506160710569</v>
          </cell>
          <cell r="DO65">
            <v>1.7545506160710569</v>
          </cell>
          <cell r="EA65">
            <v>269.80842763878815</v>
          </cell>
        </row>
        <row r="66">
          <cell r="F66">
            <v>83.8</v>
          </cell>
          <cell r="G66">
            <v>0</v>
          </cell>
          <cell r="H66">
            <v>0</v>
          </cell>
          <cell r="CU66">
            <v>150.15156288120531</v>
          </cell>
          <cell r="CX66">
            <v>3.7537890720301337</v>
          </cell>
          <cell r="DJ66">
            <v>1754.1505365633122</v>
          </cell>
          <cell r="DM66">
            <v>1.8365793789168912</v>
          </cell>
          <cell r="DO66">
            <v>1.8365793789168912</v>
          </cell>
          <cell r="EA66">
            <v>114.56293036813658</v>
          </cell>
        </row>
        <row r="67">
          <cell r="F67">
            <v>323.10000000000002</v>
          </cell>
          <cell r="G67">
            <v>0</v>
          </cell>
          <cell r="H67">
            <v>0</v>
          </cell>
          <cell r="CU67">
            <v>471.38571470313622</v>
          </cell>
          <cell r="CX67">
            <v>11.784642867578405</v>
          </cell>
          <cell r="DJ67">
            <v>5506.2290027746167</v>
          </cell>
          <cell r="DM67">
            <v>1.4954204814940097</v>
          </cell>
          <cell r="DO67">
            <v>1.4954204814940097</v>
          </cell>
          <cell r="EA67">
            <v>408.82217354850985</v>
          </cell>
        </row>
        <row r="68">
          <cell r="F68">
            <v>1531.9</v>
          </cell>
          <cell r="G68">
            <v>0</v>
          </cell>
          <cell r="H68">
            <v>362.9</v>
          </cell>
          <cell r="CU68">
            <v>7818.0864687579005</v>
          </cell>
          <cell r="CX68">
            <v>273.63302640652654</v>
          </cell>
          <cell r="DJ68">
            <v>92676.282584682835</v>
          </cell>
          <cell r="DM68">
            <v>4.3713752884997348</v>
          </cell>
          <cell r="DO68">
            <v>3.8446119887343126</v>
          </cell>
          <cell r="EA68">
            <v>2719.9493559072043</v>
          </cell>
        </row>
        <row r="69">
          <cell r="F69">
            <v>783.2</v>
          </cell>
          <cell r="G69">
            <v>0</v>
          </cell>
          <cell r="H69">
            <v>64.3</v>
          </cell>
          <cell r="CU69">
            <v>5211.6559889105456</v>
          </cell>
          <cell r="CX69">
            <v>0</v>
          </cell>
          <cell r="DJ69">
            <v>59412.747810146364</v>
          </cell>
          <cell r="DM69">
            <v>6.2120546099631921</v>
          </cell>
          <cell r="DO69">
            <v>5.3868556514365888</v>
          </cell>
          <cell r="EA69">
            <v>1253.7935465085634</v>
          </cell>
        </row>
        <row r="70">
          <cell r="F70">
            <v>2635.5</v>
          </cell>
          <cell r="G70">
            <v>208.7</v>
          </cell>
          <cell r="H70">
            <v>60.9</v>
          </cell>
          <cell r="CU70">
            <v>17801.808410407779</v>
          </cell>
          <cell r="CX70">
            <v>89.009042052038893</v>
          </cell>
          <cell r="DJ70">
            <v>203848.2820706839</v>
          </cell>
          <cell r="DM70">
            <v>5.7581864649161858</v>
          </cell>
          <cell r="DN70">
            <v>6.7581178773099033</v>
          </cell>
          <cell r="DO70">
            <v>4.7370028337625154</v>
          </cell>
          <cell r="EA70">
            <v>4309.4576856531276</v>
          </cell>
        </row>
        <row r="71">
          <cell r="F71">
            <v>1556.6</v>
          </cell>
          <cell r="G71">
            <v>0</v>
          </cell>
          <cell r="H71">
            <v>304.60000000000002</v>
          </cell>
          <cell r="CU71">
            <v>9536.8525640518328</v>
          </cell>
          <cell r="CX71">
            <v>190.73705128103666</v>
          </cell>
          <cell r="DJ71">
            <v>111442.49912980369</v>
          </cell>
          <cell r="DM71">
            <v>5.3086850710747431</v>
          </cell>
          <cell r="DO71">
            <v>4.8066002419498535</v>
          </cell>
          <cell r="EA71">
            <v>2664.6301311202064</v>
          </cell>
        </row>
        <row r="72">
          <cell r="F72">
            <v>269.89999999999998</v>
          </cell>
          <cell r="G72">
            <v>0</v>
          </cell>
          <cell r="H72">
            <v>0</v>
          </cell>
          <cell r="CU72">
            <v>407.06095011923048</v>
          </cell>
          <cell r="CX72">
            <v>10.176523752980764</v>
          </cell>
          <cell r="DJ72">
            <v>4753.6090969459365</v>
          </cell>
          <cell r="DM72">
            <v>1.54589653157544</v>
          </cell>
          <cell r="DO72">
            <v>1.54589653157544</v>
          </cell>
          <cell r="EA72">
            <v>378.65042083242099</v>
          </cell>
        </row>
        <row r="73">
          <cell r="F73">
            <v>300.7</v>
          </cell>
          <cell r="G73">
            <v>0</v>
          </cell>
          <cell r="H73">
            <v>0</v>
          </cell>
          <cell r="CU73">
            <v>442.76331142547161</v>
          </cell>
          <cell r="CX73">
            <v>11.069082785636791</v>
          </cell>
          <cell r="DJ73">
            <v>5169.4578127849518</v>
          </cell>
          <cell r="DM73">
            <v>1.5092530569042515</v>
          </cell>
          <cell r="DO73">
            <v>1.5092530569042515</v>
          </cell>
          <cell r="EA73">
            <v>404.88260570972562</v>
          </cell>
        </row>
        <row r="74">
          <cell r="F74">
            <v>214.7</v>
          </cell>
          <cell r="G74">
            <v>0</v>
          </cell>
          <cell r="H74">
            <v>0</v>
          </cell>
          <cell r="CU74">
            <v>315.57982387829804</v>
          </cell>
          <cell r="CX74">
            <v>1.5778991193914902</v>
          </cell>
          <cell r="DJ74">
            <v>3952.5063081929547</v>
          </cell>
          <cell r="DM74">
            <v>1.4772134280283631</v>
          </cell>
          <cell r="DO74">
            <v>1.4772134280283631</v>
          </cell>
          <cell r="EA74">
            <v>268.22894173361556</v>
          </cell>
        </row>
        <row r="75">
          <cell r="F75">
            <v>150.19999999999999</v>
          </cell>
          <cell r="G75">
            <v>0</v>
          </cell>
          <cell r="H75">
            <v>0</v>
          </cell>
          <cell r="CU75">
            <v>308.57710223859726</v>
          </cell>
          <cell r="CX75">
            <v>4.6286507916796964</v>
          </cell>
          <cell r="DJ75">
            <v>3569.6120953981695</v>
          </cell>
          <cell r="DM75">
            <v>2.0852554609653322</v>
          </cell>
          <cell r="DO75">
            <v>2.0852554609653322</v>
          </cell>
          <cell r="EA75">
            <v>284.90166116625602</v>
          </cell>
        </row>
        <row r="76">
          <cell r="F76">
            <v>293.5</v>
          </cell>
          <cell r="G76">
            <v>0</v>
          </cell>
          <cell r="H76">
            <v>0</v>
          </cell>
          <cell r="CU76">
            <v>494.71325921978695</v>
          </cell>
          <cell r="CX76">
            <v>7.4206950174173576</v>
          </cell>
          <cell r="DJ76">
            <v>5725.5783741553951</v>
          </cell>
          <cell r="DM76">
            <v>1.7108473464346663</v>
          </cell>
          <cell r="DO76">
            <v>1.7108473464346663</v>
          </cell>
          <cell r="EA76">
            <v>437.89220064616796</v>
          </cell>
        </row>
        <row r="77">
          <cell r="F77">
            <v>164.7</v>
          </cell>
          <cell r="G77">
            <v>0</v>
          </cell>
          <cell r="H77">
            <v>0</v>
          </cell>
          <cell r="CU77">
            <v>376.17182643741916</v>
          </cell>
          <cell r="CX77">
            <v>5.6425822353185087</v>
          </cell>
          <cell r="DJ77">
            <v>4351.5265196364144</v>
          </cell>
          <cell r="DM77">
            <v>2.3182436627598815</v>
          </cell>
          <cell r="DO77">
            <v>2.3182436627598815</v>
          </cell>
          <cell r="EA77">
            <v>338.29112072167317</v>
          </cell>
        </row>
        <row r="78">
          <cell r="F78">
            <v>8443.0499999999993</v>
          </cell>
          <cell r="G78">
            <v>979.2</v>
          </cell>
          <cell r="H78">
            <v>0</v>
          </cell>
          <cell r="CU78">
            <v>60449.25575564443</v>
          </cell>
          <cell r="CX78">
            <v>1208.9851151128887</v>
          </cell>
          <cell r="DJ78">
            <v>702960.16573037335</v>
          </cell>
          <cell r="DM78">
            <v>5.822074067045433</v>
          </cell>
          <cell r="DN78">
            <v>7.4971048378928344</v>
          </cell>
          <cell r="DO78">
            <v>4.760442269285809</v>
          </cell>
          <cell r="EA78">
            <v>17295.648684509648</v>
          </cell>
        </row>
        <row r="79">
          <cell r="F79">
            <v>174.9</v>
          </cell>
          <cell r="G79">
            <v>0</v>
          </cell>
          <cell r="H79">
            <v>0</v>
          </cell>
          <cell r="CU79">
            <v>397.15667294441533</v>
          </cell>
          <cell r="CX79">
            <v>5.9573580942364135</v>
          </cell>
          <cell r="DJ79">
            <v>4628.3273192160686</v>
          </cell>
          <cell r="DM79">
            <v>2.3048288414903602</v>
          </cell>
          <cell r="DO79">
            <v>2.3048288414903602</v>
          </cell>
          <cell r="EA79">
            <v>326.1303497273916</v>
          </cell>
        </row>
        <row r="80">
          <cell r="F80">
            <v>121.2</v>
          </cell>
          <cell r="G80">
            <v>0</v>
          </cell>
          <cell r="H80">
            <v>0</v>
          </cell>
          <cell r="CU80">
            <v>212.44628757288893</v>
          </cell>
          <cell r="CX80">
            <v>5.3111624581771579</v>
          </cell>
          <cell r="DJ80">
            <v>2482.5782569707453</v>
          </cell>
          <cell r="DM80">
            <v>1.796680369515375</v>
          </cell>
          <cell r="DO80">
            <v>1.796680369515375</v>
          </cell>
          <cell r="EA80">
            <v>179.30067007161122</v>
          </cell>
        </row>
        <row r="81">
          <cell r="F81">
            <v>136.9</v>
          </cell>
          <cell r="G81">
            <v>0</v>
          </cell>
          <cell r="H81">
            <v>0</v>
          </cell>
          <cell r="CU81">
            <v>236.83996404475889</v>
          </cell>
          <cell r="CX81">
            <v>5.9210022194853273</v>
          </cell>
          <cell r="DJ81">
            <v>2767.6066000457599</v>
          </cell>
          <cell r="DM81">
            <v>1.7732731263615662</v>
          </cell>
          <cell r="DO81">
            <v>1.7732731263615662</v>
          </cell>
          <cell r="EA81">
            <v>203.69434654348117</v>
          </cell>
        </row>
        <row r="82">
          <cell r="F82">
            <v>7614.5</v>
          </cell>
          <cell r="G82">
            <v>765.25</v>
          </cell>
          <cell r="H82">
            <v>0</v>
          </cell>
          <cell r="CU82">
            <v>50024.221592161557</v>
          </cell>
          <cell r="CX82">
            <v>1000.4844318432312</v>
          </cell>
          <cell r="DJ82">
            <v>581597.95975039515</v>
          </cell>
          <cell r="DM82">
            <v>5.4491718287396145</v>
          </cell>
          <cell r="DN82">
            <v>6.84085517130515</v>
          </cell>
          <cell r="DO82">
            <v>4.6050019566650464</v>
          </cell>
          <cell r="EA82">
            <v>13758.698935355438</v>
          </cell>
        </row>
        <row r="83">
          <cell r="F83">
            <v>2489.87</v>
          </cell>
          <cell r="G83">
            <v>0</v>
          </cell>
          <cell r="H83">
            <v>0</v>
          </cell>
          <cell r="CU83">
            <v>15885.995116124051</v>
          </cell>
          <cell r="CX83">
            <v>0</v>
          </cell>
          <cell r="DJ83">
            <v>181008.23242123547</v>
          </cell>
          <cell r="DM83">
            <v>6.3802508227835402</v>
          </cell>
          <cell r="DO83">
            <v>5.4732005689174654</v>
          </cell>
          <cell r="EA83">
            <v>3137.5459645137535</v>
          </cell>
        </row>
        <row r="84">
          <cell r="F84">
            <v>11377.55</v>
          </cell>
          <cell r="G84">
            <v>1296.7</v>
          </cell>
          <cell r="H84">
            <v>0</v>
          </cell>
          <cell r="CU84">
            <v>83205.711523250255</v>
          </cell>
          <cell r="CX84">
            <v>1664.1142304650052</v>
          </cell>
          <cell r="DJ84">
            <v>966847.93775134429</v>
          </cell>
          <cell r="DM84">
            <v>6.1644153124520153</v>
          </cell>
          <cell r="DN84">
            <v>7.62598673902089</v>
          </cell>
          <cell r="DO84">
            <v>5.2331751037908516</v>
          </cell>
          <cell r="EA84">
            <v>20447.823425201663</v>
          </cell>
        </row>
        <row r="85">
          <cell r="F85">
            <v>2481.4</v>
          </cell>
          <cell r="G85">
            <v>0</v>
          </cell>
          <cell r="H85">
            <v>0</v>
          </cell>
          <cell r="CU85">
            <v>15787.901235058158</v>
          </cell>
          <cell r="CX85">
            <v>315.75802470116315</v>
          </cell>
          <cell r="DJ85">
            <v>183791.47154784587</v>
          </cell>
          <cell r="DM85">
            <v>6.4897474247438218</v>
          </cell>
          <cell r="DO85">
            <v>5.6341950364621942</v>
          </cell>
          <cell r="EA85">
            <v>5212.2341021699822</v>
          </cell>
        </row>
        <row r="86">
          <cell r="F86">
            <v>11363.16</v>
          </cell>
          <cell r="G86">
            <v>1267.95</v>
          </cell>
          <cell r="H86">
            <v>93.29</v>
          </cell>
          <cell r="CU86">
            <v>83425.988123413656</v>
          </cell>
          <cell r="CX86">
            <v>417.12994061706831</v>
          </cell>
          <cell r="DJ86">
            <v>955751.04443959601</v>
          </cell>
          <cell r="DM86">
            <v>5.9455573650150901</v>
          </cell>
          <cell r="DN86">
            <v>7.5119009751263075</v>
          </cell>
          <cell r="DO86">
            <v>5.0405269584626557</v>
          </cell>
          <cell r="EA86">
            <v>21717.50274847302</v>
          </cell>
        </row>
        <row r="87">
          <cell r="F87">
            <v>216</v>
          </cell>
          <cell r="G87">
            <v>0</v>
          </cell>
          <cell r="H87">
            <v>0</v>
          </cell>
          <cell r="CU87">
            <v>388.70167593555306</v>
          </cell>
          <cell r="CX87">
            <v>5.8305251390332957</v>
          </cell>
          <cell r="DJ87">
            <v>4487.9636663818928</v>
          </cell>
          <cell r="DM87">
            <v>1.8265379679378997</v>
          </cell>
          <cell r="DO87">
            <v>1.8265379679378997</v>
          </cell>
          <cell r="EA87">
            <v>341.35079379087057</v>
          </cell>
        </row>
        <row r="88">
          <cell r="F88">
            <v>216.8</v>
          </cell>
          <cell r="G88">
            <v>0</v>
          </cell>
          <cell r="H88">
            <v>0</v>
          </cell>
          <cell r="CU88">
            <v>327.92675756552973</v>
          </cell>
          <cell r="CX88">
            <v>14.756704090448837</v>
          </cell>
          <cell r="DJ88">
            <v>3903.8632192383875</v>
          </cell>
          <cell r="DM88">
            <v>1.5806432733209343</v>
          </cell>
          <cell r="DO88">
            <v>1.5806432733209343</v>
          </cell>
          <cell r="EA88">
            <v>290.04605184978374</v>
          </cell>
        </row>
        <row r="89">
          <cell r="F89">
            <v>214.7</v>
          </cell>
          <cell r="G89">
            <v>0</v>
          </cell>
          <cell r="H89">
            <v>0</v>
          </cell>
          <cell r="CU89">
            <v>371.41563225597855</v>
          </cell>
          <cell r="CX89">
            <v>9.2853908063994659</v>
          </cell>
          <cell r="DJ89">
            <v>4340.5326498602899</v>
          </cell>
          <cell r="DM89">
            <v>1.7731766328010157</v>
          </cell>
          <cell r="DO89">
            <v>1.7731766328010157</v>
          </cell>
          <cell r="EA89">
            <v>306.59492654023262</v>
          </cell>
        </row>
        <row r="90">
          <cell r="F90">
            <v>397.8</v>
          </cell>
          <cell r="G90">
            <v>0</v>
          </cell>
          <cell r="H90">
            <v>0</v>
          </cell>
          <cell r="CU90">
            <v>711.41495603321994</v>
          </cell>
          <cell r="CX90">
            <v>17.785374868708271</v>
          </cell>
          <cell r="DJ90">
            <v>8097.7618983829198</v>
          </cell>
          <cell r="DM90">
            <v>1.8330828798819481</v>
          </cell>
          <cell r="DO90">
            <v>1.8330828798819481</v>
          </cell>
          <cell r="EA90">
            <v>645.12372103066446</v>
          </cell>
        </row>
        <row r="91">
          <cell r="F91">
            <v>238.6</v>
          </cell>
          <cell r="G91">
            <v>0</v>
          </cell>
          <cell r="H91">
            <v>0</v>
          </cell>
          <cell r="CU91">
            <v>486.45005490701891</v>
          </cell>
          <cell r="CX91">
            <v>12.161265351377624</v>
          </cell>
          <cell r="DJ91">
            <v>5692.4953403158725</v>
          </cell>
          <cell r="DM91">
            <v>2.0897396454588542</v>
          </cell>
          <cell r="DO91">
            <v>2.0897396454588542</v>
          </cell>
          <cell r="EA91">
            <v>415.42373168999512</v>
          </cell>
        </row>
        <row r="92">
          <cell r="F92">
            <v>134</v>
          </cell>
          <cell r="G92">
            <v>0</v>
          </cell>
          <cell r="H92">
            <v>0</v>
          </cell>
          <cell r="CU92">
            <v>192.64086453021986</v>
          </cell>
          <cell r="CX92">
            <v>1.9264028388777539</v>
          </cell>
          <cell r="DJ92">
            <v>2218.4505333518014</v>
          </cell>
          <cell r="DM92">
            <v>1.4519901994526354</v>
          </cell>
          <cell r="DO92">
            <v>1.4519901994526354</v>
          </cell>
          <cell r="EA92">
            <v>164.23033524341037</v>
          </cell>
        </row>
        <row r="93">
          <cell r="F93">
            <v>128.1</v>
          </cell>
          <cell r="G93">
            <v>0</v>
          </cell>
          <cell r="H93">
            <v>0</v>
          </cell>
          <cell r="CU93">
            <v>221.72527759840611</v>
          </cell>
          <cell r="CX93">
            <v>3.3258791639760918</v>
          </cell>
          <cell r="DJ93">
            <v>2564.5913076139423</v>
          </cell>
          <cell r="DM93">
            <v>1.7568396312442016</v>
          </cell>
          <cell r="DO93">
            <v>1.7568396312442016</v>
          </cell>
          <cell r="EA93">
            <v>137.74619284862521</v>
          </cell>
        </row>
        <row r="94">
          <cell r="F94">
            <v>245.6</v>
          </cell>
          <cell r="G94">
            <v>0</v>
          </cell>
          <cell r="H94">
            <v>0</v>
          </cell>
          <cell r="CU94">
            <v>468.12348478368472</v>
          </cell>
          <cell r="CX94">
            <v>7.0218522717552707</v>
          </cell>
          <cell r="DJ94">
            <v>5377.4216182055188</v>
          </cell>
          <cell r="DM94">
            <v>1.9346308512029315</v>
          </cell>
          <cell r="DO94">
            <v>1.9346308512029315</v>
          </cell>
          <cell r="EA94">
            <v>375.46222401514075</v>
          </cell>
        </row>
        <row r="95">
          <cell r="F95">
            <v>266.68</v>
          </cell>
          <cell r="G95">
            <v>0</v>
          </cell>
          <cell r="H95">
            <v>58.4</v>
          </cell>
          <cell r="CU95">
            <v>575.78892088869736</v>
          </cell>
          <cell r="CX95">
            <v>8.6368338133304601</v>
          </cell>
          <cell r="DJ95">
            <v>6322.5282674079835</v>
          </cell>
          <cell r="DM95">
            <v>1.7977905583303428</v>
          </cell>
          <cell r="DO95">
            <v>1.7977905583303428</v>
          </cell>
          <cell r="EA95">
            <v>385.22817177342858</v>
          </cell>
        </row>
        <row r="96">
          <cell r="F96">
            <v>282.8</v>
          </cell>
          <cell r="G96">
            <v>0</v>
          </cell>
          <cell r="H96">
            <v>0</v>
          </cell>
          <cell r="CU96">
            <v>457.18713819022577</v>
          </cell>
          <cell r="CX96">
            <v>11.429678454755646</v>
          </cell>
          <cell r="DJ96">
            <v>5189.5914914252326</v>
          </cell>
          <cell r="DM96">
            <v>1.6570608792255355</v>
          </cell>
          <cell r="DO96">
            <v>1.6570608792255355</v>
          </cell>
          <cell r="EA96">
            <v>285.41580012371622</v>
          </cell>
        </row>
        <row r="97">
          <cell r="F97">
            <v>171.6</v>
          </cell>
          <cell r="G97">
            <v>0</v>
          </cell>
          <cell r="H97">
            <v>0</v>
          </cell>
          <cell r="CU97">
            <v>649.29797299993731</v>
          </cell>
          <cell r="CX97">
            <v>16.232449324998434</v>
          </cell>
          <cell r="DJ97">
            <v>7587.7323407993572</v>
          </cell>
          <cell r="DM97">
            <v>3.8783824144809778</v>
          </cell>
          <cell r="DO97">
            <v>3.7935640062584599</v>
          </cell>
          <cell r="EA97">
            <v>365.72365134599528</v>
          </cell>
        </row>
        <row r="98">
          <cell r="F98">
            <v>151.6</v>
          </cell>
          <cell r="G98">
            <v>0</v>
          </cell>
          <cell r="H98">
            <v>0</v>
          </cell>
          <cell r="CU98">
            <v>239.41063420223423</v>
          </cell>
          <cell r="CX98">
            <v>5.9852658550558564</v>
          </cell>
          <cell r="DJ98">
            <v>2795.7864933305464</v>
          </cell>
          <cell r="DM98">
            <v>1.6187064647578502</v>
          </cell>
          <cell r="DO98">
            <v>1.6187064647578502</v>
          </cell>
          <cell r="EA98">
            <v>155.96798018077047</v>
          </cell>
        </row>
        <row r="99">
          <cell r="F99">
            <v>5047.8</v>
          </cell>
          <cell r="G99">
            <v>552.1</v>
          </cell>
          <cell r="H99">
            <v>0</v>
          </cell>
          <cell r="CU99">
            <v>33506.755991312872</v>
          </cell>
          <cell r="CX99">
            <v>335.06755991312872</v>
          </cell>
          <cell r="DJ99">
            <v>385509.52348607342</v>
          </cell>
          <cell r="DM99">
            <v>5.7342707965241306</v>
          </cell>
          <cell r="DN99">
            <v>6.8233940530873998</v>
          </cell>
          <cell r="DO99">
            <v>4.7961368545514738</v>
          </cell>
          <cell r="EA99">
            <v>10018.131296962954</v>
          </cell>
        </row>
        <row r="100">
          <cell r="F100">
            <v>2605.5</v>
          </cell>
          <cell r="G100">
            <v>490.3</v>
          </cell>
          <cell r="H100">
            <v>0</v>
          </cell>
          <cell r="CU100">
            <v>15312.309986653934</v>
          </cell>
          <cell r="CX100">
            <v>0</v>
          </cell>
          <cell r="DJ100">
            <v>174503.21946952346</v>
          </cell>
          <cell r="DM100">
            <v>4.9300761577349173</v>
          </cell>
          <cell r="DN100">
            <v>6.0963945000550783</v>
          </cell>
          <cell r="DO100">
            <v>4.1099550521118413</v>
          </cell>
          <cell r="EA100">
            <v>4282.8797417814312</v>
          </cell>
        </row>
        <row r="101">
          <cell r="F101">
            <v>4661.7</v>
          </cell>
          <cell r="G101">
            <v>410</v>
          </cell>
          <cell r="H101">
            <v>0</v>
          </cell>
          <cell r="CU101">
            <v>29143.637024303069</v>
          </cell>
          <cell r="CX101">
            <v>0</v>
          </cell>
          <cell r="DJ101">
            <v>333269.79799781542</v>
          </cell>
          <cell r="DM101">
            <v>5.3167171664701067</v>
          </cell>
          <cell r="DN101">
            <v>6.3418827730202789</v>
          </cell>
          <cell r="DO101">
            <v>4.3583262556390219</v>
          </cell>
          <cell r="EA101">
            <v>7772.7055230661981</v>
          </cell>
        </row>
        <row r="102">
          <cell r="F102">
            <v>4715.25</v>
          </cell>
          <cell r="G102">
            <v>571.65</v>
          </cell>
          <cell r="H102">
            <v>0</v>
          </cell>
          <cell r="CU102">
            <v>37293.271756113805</v>
          </cell>
          <cell r="CX102">
            <v>372.93271756113808</v>
          </cell>
          <cell r="DJ102">
            <v>429007.58824790851</v>
          </cell>
          <cell r="DM102">
            <v>6.6294862560427266</v>
          </cell>
          <cell r="DN102">
            <v>8.175610255673357</v>
          </cell>
          <cell r="DO102">
            <v>5.7403322039736526</v>
          </cell>
          <cell r="EA102">
            <v>9546.6737166801577</v>
          </cell>
        </row>
        <row r="103">
          <cell r="F103">
            <v>258.5</v>
          </cell>
          <cell r="G103">
            <v>0</v>
          </cell>
          <cell r="H103">
            <v>0</v>
          </cell>
          <cell r="CU103">
            <v>416.72099079353853</v>
          </cell>
          <cell r="CX103">
            <v>18.752444585709235</v>
          </cell>
          <cell r="DJ103">
            <v>4960.5669071997982</v>
          </cell>
          <cell r="DM103">
            <v>1.684616771293028</v>
          </cell>
          <cell r="DO103">
            <v>1.684616771293028</v>
          </cell>
          <cell r="EA103">
            <v>273.12165088653649</v>
          </cell>
        </row>
        <row r="104">
          <cell r="F104">
            <v>9698.4</v>
          </cell>
          <cell r="G104">
            <v>1110</v>
          </cell>
          <cell r="H104">
            <v>39.4</v>
          </cell>
          <cell r="CU104">
            <v>70019.177123209738</v>
          </cell>
          <cell r="CX104">
            <v>1750.4794280802435</v>
          </cell>
          <cell r="DJ104">
            <v>819150.43038338632</v>
          </cell>
          <cell r="DM104">
            <v>6.1471917140243795</v>
          </cell>
          <cell r="DN104">
            <v>7.5380650430600795</v>
          </cell>
          <cell r="DO104">
            <v>5.2374602260338383</v>
          </cell>
          <cell r="EA104">
            <v>18848.916775345057</v>
          </cell>
        </row>
        <row r="105">
          <cell r="F105">
            <v>250.4</v>
          </cell>
          <cell r="G105">
            <v>0</v>
          </cell>
          <cell r="H105">
            <v>0</v>
          </cell>
          <cell r="CU105">
            <v>517.17292955288326</v>
          </cell>
          <cell r="CX105">
            <v>12.929323238822082</v>
          </cell>
          <cell r="DJ105">
            <v>6043.2041446522035</v>
          </cell>
          <cell r="DM105">
            <v>2.1170217763247021</v>
          </cell>
          <cell r="DO105">
            <v>2.1170217763247021</v>
          </cell>
          <cell r="EA105">
            <v>297.79913965983496</v>
          </cell>
        </row>
        <row r="106">
          <cell r="F106">
            <v>232.7</v>
          </cell>
          <cell r="G106">
            <v>0</v>
          </cell>
          <cell r="H106">
            <v>0</v>
          </cell>
          <cell r="CU106">
            <v>420.50212301118967</v>
          </cell>
          <cell r="CX106">
            <v>10.512553075279746</v>
          </cell>
          <cell r="DJ106">
            <v>4912.4948795942491</v>
          </cell>
          <cell r="DM106">
            <v>1.8522332448924348</v>
          </cell>
          <cell r="DO106">
            <v>1.8522332448924348</v>
          </cell>
          <cell r="EA106">
            <v>244.09632460295441</v>
          </cell>
        </row>
        <row r="107">
          <cell r="F107">
            <v>1780.57</v>
          </cell>
          <cell r="G107">
            <v>0</v>
          </cell>
          <cell r="H107">
            <v>118.5</v>
          </cell>
          <cell r="CU107">
            <v>8388.8147237224148</v>
          </cell>
          <cell r="CX107">
            <v>167.77629447444829</v>
          </cell>
          <cell r="DJ107">
            <v>97602.567804747407</v>
          </cell>
          <cell r="DM107">
            <v>4.5347119380148131</v>
          </cell>
          <cell r="DO107">
            <v>4.0693585040154279</v>
          </cell>
          <cell r="EA107">
            <v>2034.6209477508792</v>
          </cell>
        </row>
        <row r="108">
          <cell r="F108">
            <v>9162.5499999999993</v>
          </cell>
          <cell r="G108">
            <v>1004.05</v>
          </cell>
          <cell r="H108">
            <v>115.1</v>
          </cell>
          <cell r="CU108">
            <v>65357.634687456099</v>
          </cell>
          <cell r="CX108">
            <v>1633.9408671864026</v>
          </cell>
          <cell r="DJ108">
            <v>766408.13901265501</v>
          </cell>
          <cell r="DM108">
            <v>6.0576674010013409</v>
          </cell>
          <cell r="DN108">
            <v>7.3922848837902277</v>
          </cell>
          <cell r="DO108">
            <v>5.2078051804044563</v>
          </cell>
          <cell r="EA108">
            <v>17227.985328333532</v>
          </cell>
        </row>
        <row r="109">
          <cell r="F109">
            <v>198.8</v>
          </cell>
          <cell r="G109">
            <v>0</v>
          </cell>
          <cell r="H109">
            <v>0</v>
          </cell>
          <cell r="CU109">
            <v>342.0819965494087</v>
          </cell>
          <cell r="CX109">
            <v>8.5520499137352175</v>
          </cell>
          <cell r="DJ109">
            <v>4002.5604351266725</v>
          </cell>
          <cell r="DM109">
            <v>1.7637527488085709</v>
          </cell>
          <cell r="DO109">
            <v>1.7637527488085709</v>
          </cell>
          <cell r="EA109">
            <v>285.26093797578972</v>
          </cell>
        </row>
        <row r="110">
          <cell r="F110">
            <v>3714.05</v>
          </cell>
          <cell r="G110">
            <v>340.25</v>
          </cell>
          <cell r="H110">
            <v>63.3</v>
          </cell>
          <cell r="CU110">
            <v>28683.609303659076</v>
          </cell>
          <cell r="CX110">
            <v>717.09023259147705</v>
          </cell>
          <cell r="DJ110">
            <v>335406.57694889727</v>
          </cell>
          <cell r="DM110">
            <v>6.0277309476763064</v>
          </cell>
          <cell r="DN110">
            <v>8.0145246455458583</v>
          </cell>
          <cell r="DO110">
            <v>4.9030147260832395</v>
          </cell>
          <cell r="EA110">
            <v>6675.1190825744789</v>
          </cell>
        </row>
        <row r="111">
          <cell r="F111">
            <v>4509.26</v>
          </cell>
          <cell r="G111">
            <v>368.4</v>
          </cell>
          <cell r="H111">
            <v>143.69999999999999</v>
          </cell>
          <cell r="CU111">
            <v>30113.011233322715</v>
          </cell>
          <cell r="CX111">
            <v>451.69516849984069</v>
          </cell>
          <cell r="DJ111">
            <v>350054.0774636289</v>
          </cell>
          <cell r="DM111">
            <v>5.4027984175394712</v>
          </cell>
          <cell r="DN111">
            <v>6.7452619071701587</v>
          </cell>
          <cell r="DO111">
            <v>4.4755062204342035</v>
          </cell>
          <cell r="EA111">
            <v>7583.5082547959846</v>
          </cell>
        </row>
        <row r="112">
          <cell r="F112">
            <v>4786.05</v>
          </cell>
          <cell r="G112">
            <v>340.9</v>
          </cell>
          <cell r="H112">
            <v>64.599999999999994</v>
          </cell>
          <cell r="CU112">
            <v>34383.270517131466</v>
          </cell>
          <cell r="CX112">
            <v>515.74905775697198</v>
          </cell>
          <cell r="DJ112">
            <v>399669.69551057462</v>
          </cell>
          <cell r="DM112">
            <v>6.0773222204467352</v>
          </cell>
          <cell r="DN112">
            <v>7.3107802438272094</v>
          </cell>
          <cell r="DO112">
            <v>5.1044215029353008</v>
          </cell>
          <cell r="EA112">
            <v>7848.0569864281224</v>
          </cell>
        </row>
        <row r="113">
          <cell r="F113">
            <v>9553.74</v>
          </cell>
          <cell r="G113">
            <v>1060.24</v>
          </cell>
          <cell r="H113">
            <v>0</v>
          </cell>
          <cell r="CU113">
            <v>71056.461410272474</v>
          </cell>
          <cell r="CX113">
            <v>1065.8469211540871</v>
          </cell>
          <cell r="DJ113">
            <v>822955.46387739235</v>
          </cell>
          <cell r="DM113">
            <v>6.3798267896686252</v>
          </cell>
          <cell r="DN113">
            <v>7.6950798582384534</v>
          </cell>
          <cell r="DO113">
            <v>5.3385458810754143</v>
          </cell>
          <cell r="EA113">
            <v>19804.177674958508</v>
          </cell>
        </row>
        <row r="114">
          <cell r="F114">
            <v>7507.43</v>
          </cell>
          <cell r="G114">
            <v>772.75</v>
          </cell>
          <cell r="H114">
            <v>0</v>
          </cell>
          <cell r="CU114">
            <v>51812.193903960688</v>
          </cell>
          <cell r="CX114">
            <v>777.18290855941029</v>
          </cell>
          <cell r="DJ114">
            <v>601547.88573152781</v>
          </cell>
          <cell r="DM114">
            <v>5.9239491863961771</v>
          </cell>
          <cell r="DN114">
            <v>7.1290165351185877</v>
          </cell>
          <cell r="DO114">
            <v>4.9645502632445</v>
          </cell>
          <cell r="EA114">
            <v>13687.240764390242</v>
          </cell>
        </row>
        <row r="115">
          <cell r="F115">
            <v>311.60000000000002</v>
          </cell>
          <cell r="G115">
            <v>0</v>
          </cell>
          <cell r="H115">
            <v>195.3</v>
          </cell>
          <cell r="CU115">
            <v>2910.6338729175277</v>
          </cell>
          <cell r="CX115">
            <v>72.765846822938201</v>
          </cell>
          <cell r="DJ115">
            <v>34214.150359847088</v>
          </cell>
          <cell r="DM115">
            <v>6.3456408334079217</v>
          </cell>
          <cell r="DO115">
            <v>5.1515516438840621</v>
          </cell>
          <cell r="EA115">
            <v>842.83461006573543</v>
          </cell>
        </row>
        <row r="116">
          <cell r="F116">
            <v>2425.9</v>
          </cell>
          <cell r="G116">
            <v>0</v>
          </cell>
          <cell r="H116">
            <v>0</v>
          </cell>
          <cell r="CU116">
            <v>12368.953443251658</v>
          </cell>
          <cell r="CX116">
            <v>185.53430164877486</v>
          </cell>
          <cell r="DJ116">
            <v>149978.8410377221</v>
          </cell>
          <cell r="DM116">
            <v>5.1751876602087608</v>
          </cell>
          <cell r="DO116">
            <v>4.7652041874748914</v>
          </cell>
          <cell r="EA116">
            <v>5241.403961581701</v>
          </cell>
        </row>
        <row r="117">
          <cell r="F117">
            <v>387.5</v>
          </cell>
          <cell r="G117">
            <v>0</v>
          </cell>
          <cell r="H117">
            <v>64.599999999999994</v>
          </cell>
          <cell r="CU117">
            <v>2655.8674701267169</v>
          </cell>
          <cell r="CX117">
            <v>0</v>
          </cell>
          <cell r="DJ117">
            <v>30278.054700625959</v>
          </cell>
          <cell r="DM117">
            <v>6.0302660374661228</v>
          </cell>
          <cell r="DO117">
            <v>4.940238089916317</v>
          </cell>
          <cell r="EA117">
            <v>585.36028312342989</v>
          </cell>
        </row>
        <row r="118">
          <cell r="F118">
            <v>321.10000000000002</v>
          </cell>
          <cell r="G118">
            <v>0</v>
          </cell>
          <cell r="H118">
            <v>57.9</v>
          </cell>
          <cell r="CU118">
            <v>2387.3697319724952</v>
          </cell>
          <cell r="CX118">
            <v>59.684243299312385</v>
          </cell>
          <cell r="DJ118">
            <v>27899.554141205837</v>
          </cell>
          <cell r="DM118">
            <v>6.6226300973245644</v>
          </cell>
          <cell r="DO118">
            <v>5.535879983089635</v>
          </cell>
          <cell r="EA118">
            <v>707.25823722693087</v>
          </cell>
        </row>
        <row r="119">
          <cell r="F119">
            <v>685.8</v>
          </cell>
          <cell r="G119">
            <v>0</v>
          </cell>
          <cell r="H119">
            <v>80.5</v>
          </cell>
          <cell r="CU119">
            <v>4902.430425098446</v>
          </cell>
          <cell r="CX119">
            <v>73.536456376476693</v>
          </cell>
          <cell r="DJ119">
            <v>56801.417041632201</v>
          </cell>
          <cell r="DM119">
            <v>6.6057754514453189</v>
          </cell>
          <cell r="DO119">
            <v>5.5369698990524654</v>
          </cell>
          <cell r="EA119">
            <v>1560.6547468248154</v>
          </cell>
        </row>
        <row r="120">
          <cell r="F120">
            <v>699</v>
          </cell>
          <cell r="G120">
            <v>0</v>
          </cell>
          <cell r="H120">
            <v>295.8</v>
          </cell>
          <cell r="CU120">
            <v>5774.7125228824489</v>
          </cell>
          <cell r="CX120">
            <v>144.36781307206124</v>
          </cell>
          <cell r="DJ120">
            <v>67604.272523336724</v>
          </cell>
          <cell r="DM120">
            <v>6.2785072280668155</v>
          </cell>
          <cell r="DO120">
            <v>5.1737788490054317</v>
          </cell>
          <cell r="EA120">
            <v>1351.4538274552631</v>
          </cell>
        </row>
        <row r="121">
          <cell r="F121">
            <v>468.01</v>
          </cell>
          <cell r="G121">
            <v>0</v>
          </cell>
          <cell r="H121">
            <v>130.30000000000001</v>
          </cell>
          <cell r="CU121">
            <v>3900.4249832851051</v>
          </cell>
          <cell r="CX121">
            <v>0</v>
          </cell>
          <cell r="DJ121">
            <v>44348.676730573396</v>
          </cell>
          <cell r="DM121">
            <v>6.7645870028965929</v>
          </cell>
          <cell r="DO121">
            <v>5.6372265545623286</v>
          </cell>
          <cell r="EA121">
            <v>1039.8432999331446</v>
          </cell>
        </row>
        <row r="122">
          <cell r="F122">
            <v>349.9</v>
          </cell>
          <cell r="G122">
            <v>0</v>
          </cell>
          <cell r="H122">
            <v>115.7</v>
          </cell>
          <cell r="CU122">
            <v>2908.1552085849717</v>
          </cell>
          <cell r="CX122">
            <v>72.703880214624292</v>
          </cell>
          <cell r="DJ122">
            <v>34030.906389105694</v>
          </cell>
          <cell r="DM122">
            <v>6.5630854893787074</v>
          </cell>
          <cell r="DO122">
            <v>5.9156048061018733</v>
          </cell>
          <cell r="EA122">
            <v>909.46091433146057</v>
          </cell>
        </row>
        <row r="123">
          <cell r="F123">
            <v>475.2</v>
          </cell>
          <cell r="G123">
            <v>0</v>
          </cell>
          <cell r="H123">
            <v>0</v>
          </cell>
          <cell r="CU123">
            <v>2816.4952665139049</v>
          </cell>
          <cell r="CX123">
            <v>70.412381662847622</v>
          </cell>
          <cell r="DJ123">
            <v>32888.093496100832</v>
          </cell>
          <cell r="DM123">
            <v>6.0751423572743111</v>
          </cell>
          <cell r="DO123">
            <v>5.435399494773046</v>
          </cell>
          <cell r="EA123">
            <v>867.84871459905889</v>
          </cell>
        </row>
        <row r="124">
          <cell r="F124">
            <v>1053.5</v>
          </cell>
          <cell r="G124">
            <v>0</v>
          </cell>
          <cell r="H124">
            <v>54.5</v>
          </cell>
          <cell r="CU124">
            <v>6311.3916860015061</v>
          </cell>
          <cell r="CX124">
            <v>0</v>
          </cell>
          <cell r="DJ124">
            <v>71996.439324596126</v>
          </cell>
          <cell r="DM124">
            <v>5.7311449339674434</v>
          </cell>
          <cell r="DO124">
            <v>5.0207430837945832</v>
          </cell>
          <cell r="EA124">
            <v>1449.1499348821571</v>
          </cell>
        </row>
        <row r="125">
          <cell r="F125">
            <v>1379.8</v>
          </cell>
          <cell r="G125">
            <v>0</v>
          </cell>
          <cell r="H125">
            <v>92.8</v>
          </cell>
          <cell r="CU125">
            <v>8214.6392580173124</v>
          </cell>
          <cell r="CX125">
            <v>123.21958887025968</v>
          </cell>
          <cell r="DJ125">
            <v>95131.14419045439</v>
          </cell>
          <cell r="DM125">
            <v>5.7028305415081881</v>
          </cell>
          <cell r="DO125">
            <v>5.0548843288208483</v>
          </cell>
          <cell r="EA125">
            <v>2239.0392999927399</v>
          </cell>
        </row>
        <row r="126">
          <cell r="F126">
            <v>498.78</v>
          </cell>
          <cell r="G126">
            <v>0</v>
          </cell>
          <cell r="H126">
            <v>0</v>
          </cell>
          <cell r="CU126">
            <v>3232.679045207753</v>
          </cell>
          <cell r="CX126">
            <v>0</v>
          </cell>
          <cell r="DJ126">
            <v>36817.332441490769</v>
          </cell>
          <cell r="DM126">
            <v>6.4811721504626352</v>
          </cell>
          <cell r="DO126">
            <v>5.8829514606088829</v>
          </cell>
          <cell r="EA126">
            <v>1162.8175737956292</v>
          </cell>
        </row>
        <row r="127">
          <cell r="F127">
            <v>1269.7</v>
          </cell>
          <cell r="G127">
            <v>0</v>
          </cell>
          <cell r="H127">
            <v>212.52</v>
          </cell>
          <cell r="CU127">
            <v>8325.0192823246689</v>
          </cell>
          <cell r="CX127">
            <v>208.12548205811675</v>
          </cell>
          <cell r="DJ127">
            <v>97353.279945107133</v>
          </cell>
          <cell r="DM127">
            <v>5.866371037291259</v>
          </cell>
          <cell r="DO127">
            <v>5.1035829961136523</v>
          </cell>
          <cell r="EA127">
            <v>1848.358493851051</v>
          </cell>
        </row>
        <row r="128">
          <cell r="F128">
            <v>626.29999999999995</v>
          </cell>
          <cell r="G128">
            <v>0</v>
          </cell>
          <cell r="H128">
            <v>0</v>
          </cell>
          <cell r="CU128">
            <v>3572.7233354598175</v>
          </cell>
          <cell r="CX128">
            <v>89.318083386495445</v>
          </cell>
          <cell r="DJ128">
            <v>41703.492154898857</v>
          </cell>
          <cell r="DM128">
            <v>5.8471042932241941</v>
          </cell>
          <cell r="DO128">
            <v>5.1320407658629588</v>
          </cell>
          <cell r="EA128">
            <v>1132.6399778163088</v>
          </cell>
        </row>
        <row r="129">
          <cell r="F129">
            <v>2504.61</v>
          </cell>
          <cell r="G129">
            <v>0</v>
          </cell>
          <cell r="H129">
            <v>132.30000000000001</v>
          </cell>
          <cell r="CU129">
            <v>16241.367498934484</v>
          </cell>
          <cell r="CX129">
            <v>0</v>
          </cell>
          <cell r="DJ129">
            <v>184981.60272344155</v>
          </cell>
          <cell r="DM129">
            <v>6.184618749980368</v>
          </cell>
          <cell r="DO129">
            <v>5.6788324379905797</v>
          </cell>
          <cell r="EA129">
            <v>2698.5073142634265</v>
          </cell>
        </row>
        <row r="130">
          <cell r="F130">
            <v>1804.3</v>
          </cell>
          <cell r="G130">
            <v>0</v>
          </cell>
          <cell r="H130">
            <v>0</v>
          </cell>
          <cell r="CU130">
            <v>8782.4752059379698</v>
          </cell>
          <cell r="CX130">
            <v>175.64950411875941</v>
          </cell>
          <cell r="DJ130">
            <v>103256.93604268518</v>
          </cell>
          <cell r="DM130">
            <v>4.9648754143195308</v>
          </cell>
          <cell r="DO130">
            <v>4.5022507776612253</v>
          </cell>
          <cell r="EA130">
            <v>2443.6136716170181</v>
          </cell>
        </row>
        <row r="131">
          <cell r="F131">
            <v>2744.2</v>
          </cell>
          <cell r="G131">
            <v>271.5</v>
          </cell>
          <cell r="H131">
            <v>0</v>
          </cell>
          <cell r="CU131">
            <v>17759.984247115721</v>
          </cell>
          <cell r="CX131">
            <v>266.39976370673583</v>
          </cell>
          <cell r="DJ131">
            <v>205428.81536126073</v>
          </cell>
          <cell r="DM131">
            <v>5.7372100487444637</v>
          </cell>
          <cell r="DN131">
            <v>6.6602222196741758</v>
          </cell>
          <cell r="DO131">
            <v>4.6225127097030141</v>
          </cell>
          <cell r="EA131">
            <v>4314.3054349230706</v>
          </cell>
        </row>
        <row r="132">
          <cell r="F132">
            <v>4254.1000000000004</v>
          </cell>
          <cell r="G132">
            <v>465</v>
          </cell>
          <cell r="H132">
            <v>0</v>
          </cell>
          <cell r="CU132">
            <v>28281.283326451125</v>
          </cell>
          <cell r="CX132">
            <v>424.21924989676683</v>
          </cell>
          <cell r="DJ132">
            <v>328824.27262881718</v>
          </cell>
          <cell r="DM132">
            <v>5.7142649342403882</v>
          </cell>
          <cell r="DN132">
            <v>6.8745531608894224</v>
          </cell>
          <cell r="DO132">
            <v>4.8120846614703217</v>
          </cell>
          <cell r="EA132">
            <v>7332.0000247482631</v>
          </cell>
        </row>
        <row r="133">
          <cell r="F133">
            <v>130.1</v>
          </cell>
          <cell r="G133">
            <v>0</v>
          </cell>
          <cell r="H133">
            <v>0</v>
          </cell>
          <cell r="CU133">
            <v>223.24239967332531</v>
          </cell>
          <cell r="CX133">
            <v>5.5810599918331345</v>
          </cell>
          <cell r="DJ133">
            <v>2612.2967622548495</v>
          </cell>
          <cell r="DM133">
            <v>1.7588275147206651</v>
          </cell>
          <cell r="DO133">
            <v>1.7588275147206651</v>
          </cell>
          <cell r="EA133">
            <v>175.69026178315784</v>
          </cell>
        </row>
        <row r="134">
          <cell r="F134">
            <v>132.69999999999999</v>
          </cell>
          <cell r="G134">
            <v>0</v>
          </cell>
          <cell r="H134">
            <v>0</v>
          </cell>
          <cell r="CU134">
            <v>230.38438805008542</v>
          </cell>
          <cell r="CX134">
            <v>10.367297462253843</v>
          </cell>
          <cell r="DJ134">
            <v>2742.4153682299902</v>
          </cell>
          <cell r="DM134">
            <v>1.8142553542753523</v>
          </cell>
          <cell r="DO134">
            <v>1.8142553542753523</v>
          </cell>
          <cell r="EA134">
            <v>163.79126942930242</v>
          </cell>
        </row>
        <row r="135">
          <cell r="F135">
            <v>121</v>
          </cell>
          <cell r="G135">
            <v>0</v>
          </cell>
          <cell r="H135">
            <v>0</v>
          </cell>
          <cell r="CU135">
            <v>196.99423679827967</v>
          </cell>
          <cell r="CX135">
            <v>4.9248559199569923</v>
          </cell>
          <cell r="DJ135">
            <v>2302.6189530317274</v>
          </cell>
          <cell r="DM135">
            <v>1.6687528323821212</v>
          </cell>
          <cell r="DO135">
            <v>1.6687528323821212</v>
          </cell>
          <cell r="EA135">
            <v>168.43276570235642</v>
          </cell>
        </row>
        <row r="136">
          <cell r="F136">
            <v>373.5</v>
          </cell>
          <cell r="G136">
            <v>0</v>
          </cell>
          <cell r="H136">
            <v>0</v>
          </cell>
          <cell r="CU136">
            <v>1340.7027383711024</v>
          </cell>
          <cell r="CX136">
            <v>33.517568459277562</v>
          </cell>
          <cell r="DJ136">
            <v>15656.590981813724</v>
          </cell>
          <cell r="DM136">
            <v>3.6793047036957969</v>
          </cell>
          <cell r="DO136">
            <v>3.5831688454069908</v>
          </cell>
          <cell r="EA136">
            <v>578.08243605339692</v>
          </cell>
        </row>
        <row r="137">
          <cell r="F137">
            <v>173.75</v>
          </cell>
          <cell r="G137">
            <v>0</v>
          </cell>
          <cell r="H137">
            <v>0</v>
          </cell>
          <cell r="CU137">
            <v>277.43043146592055</v>
          </cell>
          <cell r="CX137">
            <v>4.1614564719888083</v>
          </cell>
          <cell r="DJ137">
            <v>3210.2214904141933</v>
          </cell>
          <cell r="DM137">
            <v>1.6206727363332911</v>
          </cell>
          <cell r="DO137">
            <v>1.6206727363332911</v>
          </cell>
          <cell r="EA137">
            <v>248.91927430636855</v>
          </cell>
        </row>
        <row r="138">
          <cell r="F138">
            <v>188.4</v>
          </cell>
          <cell r="G138">
            <v>0</v>
          </cell>
          <cell r="H138">
            <v>0</v>
          </cell>
          <cell r="CU138">
            <v>243.41413625293569</v>
          </cell>
          <cell r="CX138">
            <v>6.0853534063233914</v>
          </cell>
          <cell r="DJ138">
            <v>2841.8451640790486</v>
          </cell>
          <cell r="DM138">
            <v>1.324307269953604</v>
          </cell>
          <cell r="DO138">
            <v>1.324307269953604</v>
          </cell>
          <cell r="EA138">
            <v>210.06726300617294</v>
          </cell>
        </row>
        <row r="139">
          <cell r="F139">
            <v>195.6</v>
          </cell>
          <cell r="G139">
            <v>0</v>
          </cell>
          <cell r="H139">
            <v>0</v>
          </cell>
          <cell r="CU139">
            <v>276.76355731235498</v>
          </cell>
          <cell r="CX139">
            <v>6.9190889328088749</v>
          </cell>
          <cell r="DJ139">
            <v>3235.3425989170682</v>
          </cell>
          <cell r="DM139">
            <v>1.4503202773270134</v>
          </cell>
          <cell r="DO139">
            <v>1.4503202773270134</v>
          </cell>
          <cell r="EA139">
            <v>226.8187183467677</v>
          </cell>
        </row>
        <row r="140">
          <cell r="F140">
            <v>196.35</v>
          </cell>
          <cell r="G140">
            <v>0</v>
          </cell>
          <cell r="H140">
            <v>0</v>
          </cell>
          <cell r="CU140">
            <v>338.73313044023172</v>
          </cell>
          <cell r="CX140">
            <v>8.4683282610057926</v>
          </cell>
          <cell r="DJ140">
            <v>3956.0395851209237</v>
          </cell>
          <cell r="DM140">
            <v>1.7682783738285588</v>
          </cell>
          <cell r="DO140">
            <v>1.7682783738285588</v>
          </cell>
          <cell r="EA140">
            <v>276.92541397028828</v>
          </cell>
        </row>
        <row r="141">
          <cell r="F141">
            <v>3175.8</v>
          </cell>
          <cell r="G141">
            <v>0</v>
          </cell>
          <cell r="H141">
            <v>0</v>
          </cell>
          <cell r="CU141">
            <v>16716.631333062061</v>
          </cell>
          <cell r="CX141">
            <v>334.33262666124125</v>
          </cell>
          <cell r="DJ141">
            <v>194292.46856253786</v>
          </cell>
          <cell r="DM141">
            <v>5.3690295231826006</v>
          </cell>
          <cell r="DO141">
            <v>4.7920728764902458</v>
          </cell>
          <cell r="EA141">
            <v>4888.4739711767679</v>
          </cell>
        </row>
        <row r="142">
          <cell r="F142">
            <v>164.45</v>
          </cell>
          <cell r="G142">
            <v>0</v>
          </cell>
          <cell r="H142">
            <v>0</v>
          </cell>
          <cell r="CU142">
            <v>279.6639037564118</v>
          </cell>
          <cell r="CX142">
            <v>6.9915975939102957</v>
          </cell>
          <cell r="DJ142">
            <v>3268.2382076395052</v>
          </cell>
          <cell r="DM142">
            <v>1.7431164569797635</v>
          </cell>
          <cell r="DO142">
            <v>1.7431164569797635</v>
          </cell>
          <cell r="EA142">
            <v>243.97464337060057</v>
          </cell>
        </row>
        <row r="143">
          <cell r="F143">
            <v>175.5</v>
          </cell>
          <cell r="G143">
            <v>0</v>
          </cell>
          <cell r="H143">
            <v>0</v>
          </cell>
          <cell r="CU143">
            <v>297.10082114996226</v>
          </cell>
          <cell r="CX143">
            <v>0</v>
          </cell>
          <cell r="DJ143">
            <v>3434.4957601497167</v>
          </cell>
          <cell r="DM143">
            <v>1.6928821717946567</v>
          </cell>
          <cell r="DO143">
            <v>1.6928821717946567</v>
          </cell>
          <cell r="EA143">
            <v>268.69029186315277</v>
          </cell>
        </row>
        <row r="144">
          <cell r="F144">
            <v>181.9</v>
          </cell>
          <cell r="G144">
            <v>0</v>
          </cell>
          <cell r="H144">
            <v>0</v>
          </cell>
          <cell r="CU144">
            <v>288.71525981448656</v>
          </cell>
          <cell r="CX144">
            <v>7.2178814953621639</v>
          </cell>
          <cell r="DJ144">
            <v>3394.1856492957172</v>
          </cell>
          <cell r="DM144">
            <v>1.6269001721267109</v>
          </cell>
          <cell r="DO144">
            <v>1.6269001721267109</v>
          </cell>
          <cell r="EA144">
            <v>255.56964231320882</v>
          </cell>
        </row>
        <row r="145">
          <cell r="F145">
            <v>110.2</v>
          </cell>
          <cell r="G145">
            <v>0</v>
          </cell>
          <cell r="H145">
            <v>0</v>
          </cell>
          <cell r="CU145">
            <v>180.34530644121909</v>
          </cell>
          <cell r="CX145">
            <v>3.6069061288243818</v>
          </cell>
          <cell r="DJ145">
            <v>2107.9608956004668</v>
          </cell>
          <cell r="DM145">
            <v>1.6692578273143692</v>
          </cell>
          <cell r="DO145">
            <v>1.6692578273143692</v>
          </cell>
          <cell r="EA145">
            <v>166.14004179781435</v>
          </cell>
        </row>
        <row r="146">
          <cell r="F146">
            <v>100.2</v>
          </cell>
          <cell r="G146">
            <v>0</v>
          </cell>
          <cell r="H146">
            <v>0</v>
          </cell>
          <cell r="CU146">
            <v>176.83687326150084</v>
          </cell>
          <cell r="CX146">
            <v>4.4209218315375223</v>
          </cell>
          <cell r="DJ146">
            <v>2064.4198018879229</v>
          </cell>
          <cell r="DM146">
            <v>1.8089600308686467</v>
          </cell>
          <cell r="DO146">
            <v>1.8089600308686467</v>
          </cell>
          <cell r="EA146">
            <v>157.89652040362785</v>
          </cell>
        </row>
        <row r="147">
          <cell r="F147">
            <v>3077.05</v>
          </cell>
          <cell r="G147">
            <v>0</v>
          </cell>
          <cell r="H147">
            <v>303</v>
          </cell>
          <cell r="CU147">
            <v>15306.714882347515</v>
          </cell>
          <cell r="CX147">
            <v>306.1342976469503</v>
          </cell>
          <cell r="DJ147">
            <v>179156.90329232847</v>
          </cell>
          <cell r="DM147">
            <v>4.6703907097448614</v>
          </cell>
          <cell r="DO147">
            <v>4.098427216415967</v>
          </cell>
          <cell r="EA147">
            <v>5032.2469303490852</v>
          </cell>
        </row>
        <row r="148">
          <cell r="F148">
            <v>7111.44</v>
          </cell>
          <cell r="G148">
            <v>625.84</v>
          </cell>
          <cell r="H148">
            <v>0</v>
          </cell>
          <cell r="CU148">
            <v>49981.713421439432</v>
          </cell>
          <cell r="CX148">
            <v>1249.5428355359859</v>
          </cell>
          <cell r="DJ148">
            <v>584707.0248510919</v>
          </cell>
          <cell r="DM148">
            <v>6.0491207709564545</v>
          </cell>
          <cell r="DN148">
            <v>7.3155104406192235</v>
          </cell>
          <cell r="DO148">
            <v>4.9652115560307077</v>
          </cell>
          <cell r="EA148">
            <v>11483.28727715378</v>
          </cell>
        </row>
        <row r="149">
          <cell r="F149">
            <v>9469.1</v>
          </cell>
          <cell r="G149">
            <v>988.9</v>
          </cell>
          <cell r="H149">
            <v>0</v>
          </cell>
          <cell r="CU149">
            <v>55195.151822324529</v>
          </cell>
          <cell r="CX149">
            <v>0</v>
          </cell>
          <cell r="DJ149">
            <v>631826.53670210287</v>
          </cell>
          <cell r="DM149">
            <v>5.1194379001858374</v>
          </cell>
          <cell r="DN149">
            <v>5.9117166673935442</v>
          </cell>
          <cell r="DO149">
            <v>4.2805997984186082</v>
          </cell>
          <cell r="EA149">
            <v>14328.336806889509</v>
          </cell>
        </row>
        <row r="150">
          <cell r="F150">
            <v>241.1</v>
          </cell>
          <cell r="G150">
            <v>0</v>
          </cell>
          <cell r="H150">
            <v>0</v>
          </cell>
          <cell r="CU150">
            <v>398.57695966755642</v>
          </cell>
          <cell r="CX150">
            <v>5.9786543950133479</v>
          </cell>
          <cell r="DJ150">
            <v>4610.466950484275</v>
          </cell>
          <cell r="DM150">
            <v>1.6779577522296552</v>
          </cell>
          <cell r="DO150">
            <v>1.6779577522296552</v>
          </cell>
          <cell r="EA150">
            <v>341.55464534845242</v>
          </cell>
        </row>
        <row r="151">
          <cell r="F151">
            <v>188.9</v>
          </cell>
          <cell r="G151">
            <v>0</v>
          </cell>
          <cell r="H151">
            <v>0</v>
          </cell>
          <cell r="CU151">
            <v>276.45739306295889</v>
          </cell>
          <cell r="CX151">
            <v>6.9114348265739727</v>
          </cell>
          <cell r="DJ151">
            <v>3216.2725778169238</v>
          </cell>
          <cell r="DM151">
            <v>1.5000996711992209</v>
          </cell>
          <cell r="DO151">
            <v>1.5000996711992209</v>
          </cell>
          <cell r="EA151">
            <v>229.00588304553386</v>
          </cell>
        </row>
        <row r="152">
          <cell r="F152">
            <v>165.8</v>
          </cell>
          <cell r="G152">
            <v>0</v>
          </cell>
          <cell r="H152">
            <v>0</v>
          </cell>
          <cell r="CU152">
            <v>238.23366001213159</v>
          </cell>
          <cell r="CX152">
            <v>3.5735049001819736</v>
          </cell>
          <cell r="DJ152">
            <v>2755.6539358145865</v>
          </cell>
          <cell r="DM152">
            <v>1.4584268088800576</v>
          </cell>
          <cell r="DO152">
            <v>1.4584268088800576</v>
          </cell>
          <cell r="EA152">
            <v>207.3801157135311</v>
          </cell>
        </row>
        <row r="153">
          <cell r="F153">
            <v>142.1</v>
          </cell>
          <cell r="G153">
            <v>0</v>
          </cell>
          <cell r="H153">
            <v>0</v>
          </cell>
          <cell r="CU153">
            <v>223.32015013952378</v>
          </cell>
          <cell r="CX153">
            <v>0</v>
          </cell>
          <cell r="DJ153">
            <v>2544.6025921342543</v>
          </cell>
          <cell r="DM153">
            <v>1.5715703739586471</v>
          </cell>
          <cell r="DO153">
            <v>1.5715703739586471</v>
          </cell>
          <cell r="EA153">
            <v>185.43944442377779</v>
          </cell>
        </row>
        <row r="154">
          <cell r="F154">
            <v>3815</v>
          </cell>
          <cell r="G154">
            <v>314.8</v>
          </cell>
          <cell r="H154">
            <v>0</v>
          </cell>
          <cell r="CU154">
            <v>17771.380636963309</v>
          </cell>
          <cell r="CX154">
            <v>266.57070955444965</v>
          </cell>
          <cell r="DJ154">
            <v>206004.71376075083</v>
          </cell>
          <cell r="DM154">
            <v>4.2390227110725087</v>
          </cell>
          <cell r="DN154">
            <v>4.7721578758562746</v>
          </cell>
          <cell r="DO154">
            <v>3.4077530996326342</v>
          </cell>
          <cell r="EA154">
            <v>5208.8865751873964</v>
          </cell>
        </row>
        <row r="155">
          <cell r="F155">
            <v>278.14999999999998</v>
          </cell>
          <cell r="G155">
            <v>0</v>
          </cell>
          <cell r="H155">
            <v>0</v>
          </cell>
          <cell r="CU155">
            <v>427.75081352000325</v>
          </cell>
          <cell r="CX155">
            <v>6.4162622028000484</v>
          </cell>
          <cell r="DJ155">
            <v>5085.9744758578472</v>
          </cell>
          <cell r="DM155">
            <v>1.5609098533985379</v>
          </cell>
          <cell r="DO155">
            <v>1.5609098533985379</v>
          </cell>
          <cell r="EA155">
            <v>361.10738096284905</v>
          </cell>
        </row>
        <row r="156">
          <cell r="F156">
            <v>214.9</v>
          </cell>
          <cell r="G156">
            <v>0</v>
          </cell>
          <cell r="H156">
            <v>0</v>
          </cell>
          <cell r="CU156">
            <v>246.32009749349027</v>
          </cell>
          <cell r="CX156">
            <v>4.9264019498698053</v>
          </cell>
          <cell r="DJ156">
            <v>2980.0316410858645</v>
          </cell>
          <cell r="DM156">
            <v>1.1691321519002329</v>
          </cell>
          <cell r="DO156">
            <v>1.1691321519002329</v>
          </cell>
          <cell r="EA156">
            <v>217.9095682066808</v>
          </cell>
        </row>
        <row r="157">
          <cell r="F157">
            <v>181.38</v>
          </cell>
          <cell r="G157">
            <v>0</v>
          </cell>
          <cell r="H157">
            <v>0</v>
          </cell>
          <cell r="CU157">
            <v>256.09590167537681</v>
          </cell>
          <cell r="CX157">
            <v>5.1219180335075363</v>
          </cell>
          <cell r="DJ157">
            <v>2998.6459660300316</v>
          </cell>
          <cell r="DM157">
            <v>1.440168815243601</v>
          </cell>
          <cell r="DO157">
            <v>1.440168815243601</v>
          </cell>
          <cell r="EA157">
            <v>232.13326935367442</v>
          </cell>
        </row>
        <row r="158">
          <cell r="F158">
            <v>1440.1</v>
          </cell>
          <cell r="G158">
            <v>0</v>
          </cell>
          <cell r="H158">
            <v>45.5</v>
          </cell>
          <cell r="CU158">
            <v>8607.7007434183088</v>
          </cell>
          <cell r="CX158">
            <v>129.11551115127463</v>
          </cell>
          <cell r="DJ158">
            <v>99606.695220964553</v>
          </cell>
          <cell r="DM158">
            <v>5.9016042392444232</v>
          </cell>
          <cell r="DO158">
            <v>5.2289228490920916</v>
          </cell>
          <cell r="EA158">
            <v>1818.4967064121822</v>
          </cell>
        </row>
        <row r="159">
          <cell r="F159">
            <v>4024.2</v>
          </cell>
          <cell r="G159">
            <v>446.8</v>
          </cell>
          <cell r="H159">
            <v>0</v>
          </cell>
          <cell r="CU159">
            <v>29164.746442294731</v>
          </cell>
          <cell r="CX159">
            <v>729.11866105736829</v>
          </cell>
          <cell r="DJ159">
            <v>340657.14619269402</v>
          </cell>
          <cell r="DM159">
            <v>6.1951520626011511</v>
          </cell>
          <cell r="DN159">
            <v>7.5825658751556722</v>
          </cell>
          <cell r="DO159">
            <v>4.9562478843693736</v>
          </cell>
          <cell r="EA159">
            <v>8045.1025009494442</v>
          </cell>
        </row>
        <row r="160">
          <cell r="F160">
            <v>1399.9</v>
          </cell>
          <cell r="G160">
            <v>0</v>
          </cell>
          <cell r="H160">
            <v>85.1</v>
          </cell>
          <cell r="CU160">
            <v>7195.9288375635742</v>
          </cell>
          <cell r="CX160">
            <v>179.89822093908936</v>
          </cell>
          <cell r="DJ160">
            <v>84042.123015481222</v>
          </cell>
          <cell r="DM160">
            <v>5.0007609672117503</v>
          </cell>
          <cell r="DO160">
            <v>4.4096566451578711</v>
          </cell>
          <cell r="EA160">
            <v>2189.8871322868326</v>
          </cell>
        </row>
        <row r="161">
          <cell r="F161">
            <v>539.29999999999995</v>
          </cell>
          <cell r="G161">
            <v>0</v>
          </cell>
          <cell r="H161">
            <v>205.3</v>
          </cell>
          <cell r="CU161">
            <v>4301.7913419652086</v>
          </cell>
          <cell r="CX161">
            <v>0</v>
          </cell>
          <cell r="DJ161">
            <v>49419.628326677361</v>
          </cell>
          <cell r="DM161">
            <v>6.0338954791067447</v>
          </cell>
          <cell r="DO161">
            <v>5.1033195815048291</v>
          </cell>
          <cell r="EA161">
            <v>1122.0986847490594</v>
          </cell>
        </row>
        <row r="162">
          <cell r="F162">
            <v>422.9</v>
          </cell>
          <cell r="G162">
            <v>0</v>
          </cell>
          <cell r="H162">
            <v>0</v>
          </cell>
          <cell r="CU162">
            <v>2568.4928364881252</v>
          </cell>
          <cell r="CX162">
            <v>0</v>
          </cell>
          <cell r="DJ162">
            <v>29281.204788291456</v>
          </cell>
          <cell r="DM162">
            <v>6.0735229049139887</v>
          </cell>
          <cell r="DO162">
            <v>5.2974938384425112</v>
          </cell>
          <cell r="EA162">
            <v>722.12691346719714</v>
          </cell>
        </row>
        <row r="163">
          <cell r="F163">
            <v>2612.75</v>
          </cell>
          <cell r="G163">
            <v>0</v>
          </cell>
          <cell r="H163">
            <v>863.48</v>
          </cell>
          <cell r="CU163">
            <v>16041.868392614711</v>
          </cell>
          <cell r="CX163">
            <v>320.83736785229422</v>
          </cell>
          <cell r="DJ163">
            <v>186703.81669116064</v>
          </cell>
          <cell r="DM163">
            <v>4.9065532376532737</v>
          </cell>
          <cell r="DO163">
            <v>4.1032899300370742</v>
          </cell>
          <cell r="EA163">
            <v>4103.917116837235</v>
          </cell>
        </row>
        <row r="164">
          <cell r="F164">
            <v>339.3</v>
          </cell>
          <cell r="G164">
            <v>0</v>
          </cell>
          <cell r="H164">
            <v>0</v>
          </cell>
          <cell r="CU164">
            <v>1777.8901478969015</v>
          </cell>
          <cell r="CX164">
            <v>44.447253697422539</v>
          </cell>
          <cell r="DJ164">
            <v>20755.849963271838</v>
          </cell>
          <cell r="DM164">
            <v>5.3708735679172532</v>
          </cell>
          <cell r="DO164">
            <v>4.6106554953044894</v>
          </cell>
          <cell r="EA164">
            <v>547.37533299559436</v>
          </cell>
        </row>
        <row r="165">
          <cell r="F165">
            <v>213.3</v>
          </cell>
          <cell r="G165">
            <v>0</v>
          </cell>
          <cell r="H165">
            <v>133.1</v>
          </cell>
          <cell r="CU165">
            <v>433.42618822496553</v>
          </cell>
          <cell r="CX165">
            <v>6.5013928233744824</v>
          </cell>
          <cell r="DJ165">
            <v>5168.4997489243815</v>
          </cell>
          <cell r="DM165">
            <v>1.2699987905552541</v>
          </cell>
          <cell r="DO165">
            <v>1.2699987905552541</v>
          </cell>
          <cell r="EA165">
            <v>334.80710852568433</v>
          </cell>
        </row>
        <row r="166">
          <cell r="F166">
            <v>2162.08</v>
          </cell>
          <cell r="G166">
            <v>0</v>
          </cell>
          <cell r="H166">
            <v>1136.2</v>
          </cell>
          <cell r="CU166">
            <v>15422.9238629744</v>
          </cell>
          <cell r="CX166">
            <v>308.45847725948801</v>
          </cell>
          <cell r="DJ166">
            <v>179114.24187859453</v>
          </cell>
          <cell r="DM166">
            <v>5.0208612816706939</v>
          </cell>
          <cell r="DO166">
            <v>4.2913911110361864</v>
          </cell>
          <cell r="EA166">
            <v>4728.4733422940899</v>
          </cell>
        </row>
        <row r="167">
          <cell r="F167">
            <v>2000.1</v>
          </cell>
          <cell r="G167">
            <v>0</v>
          </cell>
          <cell r="H167">
            <v>46.1</v>
          </cell>
          <cell r="CU167">
            <v>9950.9395698301614</v>
          </cell>
          <cell r="CX167">
            <v>149.2640935474524</v>
          </cell>
          <cell r="DJ167">
            <v>115095.64657252096</v>
          </cell>
          <cell r="DM167">
            <v>4.94877875343595</v>
          </cell>
          <cell r="DO167">
            <v>4.385060273977655</v>
          </cell>
          <cell r="EA167">
            <v>3109.1633397558526</v>
          </cell>
        </row>
        <row r="168">
          <cell r="F168">
            <v>2338.0700000000002</v>
          </cell>
          <cell r="G168">
            <v>0</v>
          </cell>
          <cell r="H168">
            <v>478</v>
          </cell>
          <cell r="CU168">
            <v>14143.184165460003</v>
          </cell>
          <cell r="CX168">
            <v>565.72736661840008</v>
          </cell>
          <cell r="DJ168">
            <v>167187.2434746084</v>
          </cell>
          <cell r="DM168">
            <v>5.3807999999999998</v>
          </cell>
          <cell r="DO168">
            <v>4.4522000000000004</v>
          </cell>
          <cell r="EA168">
            <v>4319.1674313191816</v>
          </cell>
        </row>
        <row r="169">
          <cell r="F169">
            <v>6921.8</v>
          </cell>
          <cell r="G169">
            <v>646.79999999999995</v>
          </cell>
          <cell r="H169">
            <v>0</v>
          </cell>
          <cell r="CU169">
            <v>46741.23202828948</v>
          </cell>
          <cell r="CX169">
            <v>1168.5308007072369</v>
          </cell>
          <cell r="DJ169">
            <v>548132.83470158104</v>
          </cell>
          <cell r="DM169">
            <v>5.8561150322212265</v>
          </cell>
          <cell r="DN169">
            <v>7.0313988248854233</v>
          </cell>
          <cell r="DO169">
            <v>4.8367636983827786</v>
          </cell>
          <cell r="EA169">
            <v>11351.918379752553</v>
          </cell>
        </row>
        <row r="170">
          <cell r="F170">
            <v>320.5</v>
          </cell>
          <cell r="G170">
            <v>0</v>
          </cell>
          <cell r="H170">
            <v>0</v>
          </cell>
          <cell r="CU170">
            <v>499.51509228986589</v>
          </cell>
          <cell r="CX170">
            <v>7.4927263843479883</v>
          </cell>
          <cell r="DJ170">
            <v>5777.5905394379097</v>
          </cell>
          <cell r="DM170">
            <v>1.581927671370402</v>
          </cell>
          <cell r="DO170">
            <v>1.581927671370402</v>
          </cell>
          <cell r="EA170">
            <v>361.34219715197537</v>
          </cell>
        </row>
        <row r="171">
          <cell r="F171">
            <v>11582.12</v>
          </cell>
          <cell r="G171">
            <v>1227.6300000000001</v>
          </cell>
          <cell r="H171">
            <v>0</v>
          </cell>
          <cell r="CU171">
            <v>78078.516334939428</v>
          </cell>
          <cell r="CX171">
            <v>1171.1777450240913</v>
          </cell>
          <cell r="DJ171">
            <v>909619.72069847933</v>
          </cell>
          <cell r="DM171">
            <v>5.454300738822873</v>
          </cell>
          <cell r="DN171">
            <v>7.0069922192172074</v>
          </cell>
          <cell r="DO171">
            <v>4.676506445336793</v>
          </cell>
          <cell r="EA171">
            <v>21878.21674853357</v>
          </cell>
        </row>
        <row r="172">
          <cell r="F172">
            <v>2771.3</v>
          </cell>
          <cell r="G172">
            <v>0</v>
          </cell>
          <cell r="H172">
            <v>79.400000000000006</v>
          </cell>
          <cell r="CU172">
            <v>17475.164300857861</v>
          </cell>
          <cell r="CX172">
            <v>349.50328601715722</v>
          </cell>
          <cell r="DJ172">
            <v>203046.36174872098</v>
          </cell>
          <cell r="DM172">
            <v>6.2707229469166439</v>
          </cell>
          <cell r="DO172">
            <v>5.6248499255027671</v>
          </cell>
          <cell r="EA172">
            <v>4778.8894579895459</v>
          </cell>
        </row>
        <row r="173">
          <cell r="F173">
            <v>3771.47</v>
          </cell>
          <cell r="G173">
            <v>405</v>
          </cell>
          <cell r="H173">
            <v>0</v>
          </cell>
          <cell r="CU173">
            <v>26733.713303325298</v>
          </cell>
          <cell r="CX173">
            <v>401.00569954987947</v>
          </cell>
          <cell r="DJ173">
            <v>310500.93420903606</v>
          </cell>
          <cell r="DM173">
            <v>5.8725312662303164</v>
          </cell>
          <cell r="DN173">
            <v>7.3537990358006748</v>
          </cell>
          <cell r="DO173">
            <v>5.1404164974221018</v>
          </cell>
          <cell r="EA173">
            <v>7374.2114379210552</v>
          </cell>
        </row>
        <row r="174">
          <cell r="F174">
            <v>3767.85</v>
          </cell>
          <cell r="G174">
            <v>406.43</v>
          </cell>
          <cell r="H174">
            <v>0</v>
          </cell>
          <cell r="CU174">
            <v>25455.449735680533</v>
          </cell>
          <cell r="CX174">
            <v>381.83174603520797</v>
          </cell>
          <cell r="DJ174">
            <v>296058.2455371485</v>
          </cell>
          <cell r="DM174">
            <v>5.8139382288998096</v>
          </cell>
          <cell r="DN174">
            <v>6.9834541852383785</v>
          </cell>
          <cell r="DO174">
            <v>4.8096127611270356</v>
          </cell>
          <cell r="EA174">
            <v>6843.8834191063006</v>
          </cell>
        </row>
        <row r="175">
          <cell r="F175">
            <v>4227.22</v>
          </cell>
          <cell r="G175">
            <v>344.66</v>
          </cell>
          <cell r="H175">
            <v>66.099999999999994</v>
          </cell>
          <cell r="CU175">
            <v>30665.721058138835</v>
          </cell>
          <cell r="CX175">
            <v>459.98581587208253</v>
          </cell>
          <cell r="DJ175">
            <v>356476.22144787677</v>
          </cell>
          <cell r="DM175">
            <v>6.0411627952491722</v>
          </cell>
          <cell r="DN175">
            <v>7.3946462589418207</v>
          </cell>
          <cell r="DO175">
            <v>5.0439020557213281</v>
          </cell>
          <cell r="EA175">
            <v>7294.4490897410324</v>
          </cell>
        </row>
        <row r="176">
          <cell r="F176">
            <v>5062.2</v>
          </cell>
          <cell r="G176">
            <v>311.8</v>
          </cell>
          <cell r="H176">
            <v>203.2</v>
          </cell>
          <cell r="CU176">
            <v>34730.944284066776</v>
          </cell>
          <cell r="CX176">
            <v>868.27360710166943</v>
          </cell>
          <cell r="DJ176">
            <v>405488.23477433569</v>
          </cell>
          <cell r="DM176">
            <v>5.7690279049624094</v>
          </cell>
          <cell r="DN176">
            <v>6.9079426600288008</v>
          </cell>
          <cell r="DO176">
            <v>4.8471662313009372</v>
          </cell>
          <cell r="EA176">
            <v>8575.1134676306065</v>
          </cell>
        </row>
        <row r="177">
          <cell r="F177">
            <v>7052.84</v>
          </cell>
          <cell r="G177">
            <v>879.7</v>
          </cell>
          <cell r="H177">
            <v>0</v>
          </cell>
          <cell r="CU177">
            <v>52254.795518658459</v>
          </cell>
          <cell r="CX177">
            <v>783.82193277987687</v>
          </cell>
          <cell r="DJ177">
            <v>606533.38136226276</v>
          </cell>
          <cell r="DM177">
            <v>6.1519542693028075</v>
          </cell>
          <cell r="DN177">
            <v>7.7151568376438355</v>
          </cell>
          <cell r="DO177">
            <v>5.4054494663395838</v>
          </cell>
          <cell r="EA177">
            <v>14598.577562504601</v>
          </cell>
        </row>
        <row r="178">
          <cell r="F178">
            <v>10260.299999999999</v>
          </cell>
          <cell r="G178">
            <v>1160.45</v>
          </cell>
          <cell r="H178">
            <v>121.25</v>
          </cell>
          <cell r="CU178">
            <v>69985.249561570032</v>
          </cell>
          <cell r="CX178">
            <v>1749.6312390392509</v>
          </cell>
          <cell r="DJ178">
            <v>819824.15214556083</v>
          </cell>
          <cell r="DM178">
            <v>5.8523338005686236</v>
          </cell>
          <cell r="DN178">
            <v>7.0700781193831848</v>
          </cell>
          <cell r="DO178">
            <v>5.005275604704031</v>
          </cell>
          <cell r="EA178">
            <v>20166.984206476882</v>
          </cell>
        </row>
        <row r="179">
          <cell r="F179">
            <v>110.7</v>
          </cell>
          <cell r="G179">
            <v>0</v>
          </cell>
          <cell r="H179">
            <v>0</v>
          </cell>
          <cell r="CU179">
            <v>256.56893366783595</v>
          </cell>
          <cell r="CX179">
            <v>1.2828446683391794</v>
          </cell>
          <cell r="DJ179">
            <v>2938.9102922996481</v>
          </cell>
          <cell r="DM179">
            <v>2.3292843571470194</v>
          </cell>
          <cell r="DO179">
            <v>2.3292843571470194</v>
          </cell>
          <cell r="EA179">
            <v>211.35918291671692</v>
          </cell>
        </row>
        <row r="180">
          <cell r="F180">
            <v>211.4</v>
          </cell>
          <cell r="G180">
            <v>0</v>
          </cell>
          <cell r="H180">
            <v>0</v>
          </cell>
          <cell r="CU180">
            <v>384.65312457381464</v>
          </cell>
          <cell r="CX180">
            <v>9.6163281143453663</v>
          </cell>
          <cell r="DJ180">
            <v>4502.0805950424019</v>
          </cell>
          <cell r="DM180">
            <v>1.8650399843337748</v>
          </cell>
          <cell r="DO180">
            <v>1.8650399843337748</v>
          </cell>
          <cell r="EA180">
            <v>265.26964048468335</v>
          </cell>
        </row>
        <row r="181">
          <cell r="F181">
            <v>7425.1</v>
          </cell>
          <cell r="G181">
            <v>926.05</v>
          </cell>
          <cell r="H181">
            <v>0</v>
          </cell>
          <cell r="CU181">
            <v>53945.541702407812</v>
          </cell>
          <cell r="CX181">
            <v>1348.6385425601954</v>
          </cell>
          <cell r="DJ181">
            <v>630324.90725455829</v>
          </cell>
          <cell r="DM181">
            <v>6.3200055743525345</v>
          </cell>
          <cell r="DN181">
            <v>7.6075024938781581</v>
          </cell>
          <cell r="DO181">
            <v>5.7199924102816881</v>
          </cell>
          <cell r="EA181">
            <v>14188.027500055161</v>
          </cell>
        </row>
        <row r="182">
          <cell r="F182">
            <v>6125.75</v>
          </cell>
          <cell r="G182">
            <v>715.15</v>
          </cell>
          <cell r="H182">
            <v>0</v>
          </cell>
          <cell r="CU182">
            <v>42589.431906973732</v>
          </cell>
          <cell r="CX182">
            <v>638.84147860460598</v>
          </cell>
          <cell r="DJ182">
            <v>494587.55945425446</v>
          </cell>
          <cell r="DM182">
            <v>5.6436686827549165</v>
          </cell>
          <cell r="DN182">
            <v>7.2435965931885855</v>
          </cell>
          <cell r="DO182">
            <v>5.0131020224758327</v>
          </cell>
          <cell r="EA182">
            <v>11962.258347976847</v>
          </cell>
        </row>
        <row r="183">
          <cell r="F183">
            <v>159.9</v>
          </cell>
          <cell r="G183">
            <v>0</v>
          </cell>
          <cell r="H183">
            <v>0</v>
          </cell>
          <cell r="CU183">
            <v>337.40822374090334</v>
          </cell>
          <cell r="CX183">
            <v>15.183370068340651</v>
          </cell>
          <cell r="DJ183">
            <v>4018.0581092659531</v>
          </cell>
          <cell r="DM183">
            <v>2.2050756335787618</v>
          </cell>
          <cell r="DO183">
            <v>2.2050756335787618</v>
          </cell>
          <cell r="EA183">
            <v>203.6685331992536</v>
          </cell>
        </row>
        <row r="184">
          <cell r="F184">
            <v>161.4</v>
          </cell>
          <cell r="G184">
            <v>0</v>
          </cell>
          <cell r="H184">
            <v>0</v>
          </cell>
          <cell r="CU184">
            <v>322.79515387734369</v>
          </cell>
          <cell r="CX184">
            <v>12.911806155093748</v>
          </cell>
          <cell r="DJ184">
            <v>3825.2932630975497</v>
          </cell>
          <cell r="DM184">
            <v>2.0799687734351764</v>
          </cell>
          <cell r="DO184">
            <v>2.0799687734351764</v>
          </cell>
          <cell r="EA184">
            <v>193.94149335927588</v>
          </cell>
        </row>
        <row r="185">
          <cell r="F185">
            <v>6020</v>
          </cell>
          <cell r="G185">
            <v>735.55</v>
          </cell>
          <cell r="H185">
            <v>0</v>
          </cell>
          <cell r="CU185">
            <v>46926.128483312983</v>
          </cell>
          <cell r="CX185">
            <v>1173.1532120828247</v>
          </cell>
          <cell r="DJ185">
            <v>548632.47226775973</v>
          </cell>
          <cell r="DM185">
            <v>6.321812078880054</v>
          </cell>
          <cell r="DN185">
            <v>8.2220993330953238</v>
          </cell>
          <cell r="DO185">
            <v>5.2760407988167168</v>
          </cell>
          <cell r="EA185">
            <v>11439.467871336225</v>
          </cell>
        </row>
        <row r="186">
          <cell r="F186">
            <v>108.3</v>
          </cell>
          <cell r="G186">
            <v>0</v>
          </cell>
          <cell r="H186">
            <v>0</v>
          </cell>
          <cell r="CU186">
            <v>58.861393930214234</v>
          </cell>
          <cell r="CX186">
            <v>0</v>
          </cell>
          <cell r="DJ186">
            <v>671.62807191255592</v>
          </cell>
          <cell r="DM186">
            <v>0.543503175717583</v>
          </cell>
          <cell r="DO186">
            <v>0.543503175717583</v>
          </cell>
          <cell r="EA186">
            <v>16.245599999999996</v>
          </cell>
        </row>
        <row r="187">
          <cell r="F187">
            <v>95</v>
          </cell>
          <cell r="G187">
            <v>0</v>
          </cell>
          <cell r="H187">
            <v>0</v>
          </cell>
          <cell r="CU187">
            <v>166.76186140761865</v>
          </cell>
          <cell r="CX187">
            <v>0</v>
          </cell>
          <cell r="DJ187">
            <v>1902.8579815663998</v>
          </cell>
          <cell r="DM187">
            <v>1.7553880148170384</v>
          </cell>
          <cell r="DO187">
            <v>1.7553880148170384</v>
          </cell>
          <cell r="EA187">
            <v>124.14606747740439</v>
          </cell>
        </row>
        <row r="188">
          <cell r="F188">
            <v>131.30000000000001</v>
          </cell>
          <cell r="G188">
            <v>0</v>
          </cell>
          <cell r="H188">
            <v>0</v>
          </cell>
          <cell r="CU188">
            <v>212.6084550433645</v>
          </cell>
          <cell r="CX188">
            <v>0</v>
          </cell>
          <cell r="DJ188">
            <v>2422.2981769786793</v>
          </cell>
          <cell r="DM188">
            <v>1.6192570833462641</v>
          </cell>
          <cell r="DO188">
            <v>1.6192570833462641</v>
          </cell>
          <cell r="EA188">
            <v>169.99266111315026</v>
          </cell>
        </row>
        <row r="189">
          <cell r="F189">
            <v>137.30000000000001</v>
          </cell>
          <cell r="G189">
            <v>0</v>
          </cell>
          <cell r="H189">
            <v>0</v>
          </cell>
          <cell r="CU189">
            <v>226.44989785485569</v>
          </cell>
          <cell r="CX189">
            <v>5.6612474463713927</v>
          </cell>
          <cell r="DJ189">
            <v>2648.2296935022177</v>
          </cell>
          <cell r="DM189">
            <v>1.690540024043897</v>
          </cell>
          <cell r="DO189">
            <v>1.690540024043897</v>
          </cell>
          <cell r="EA189">
            <v>198.0393685680462</v>
          </cell>
        </row>
        <row r="190">
          <cell r="F190">
            <v>211.6</v>
          </cell>
          <cell r="G190">
            <v>0</v>
          </cell>
          <cell r="H190">
            <v>0</v>
          </cell>
          <cell r="CU190">
            <v>332.71222722386005</v>
          </cell>
          <cell r="CX190">
            <v>8.3178056805965017</v>
          </cell>
          <cell r="DJ190">
            <v>3899.4074954509997</v>
          </cell>
          <cell r="DM190">
            <v>1.611673123366997</v>
          </cell>
          <cell r="DO190">
            <v>1.611673123366997</v>
          </cell>
          <cell r="EA190">
            <v>294.80181405014508</v>
          </cell>
        </row>
        <row r="191">
          <cell r="F191">
            <v>180.6</v>
          </cell>
          <cell r="G191">
            <v>0</v>
          </cell>
          <cell r="H191">
            <v>0</v>
          </cell>
          <cell r="CU191">
            <v>289.82862515550306</v>
          </cell>
          <cell r="CX191">
            <v>7.2457156288875755</v>
          </cell>
          <cell r="DJ191">
            <v>3388.9602532799627</v>
          </cell>
          <cell r="DM191">
            <v>1.644929904675474</v>
          </cell>
          <cell r="DO191">
            <v>1.644929904675474</v>
          </cell>
          <cell r="EA191">
            <v>266.15318408316182</v>
          </cell>
        </row>
        <row r="192">
          <cell r="F192">
            <v>102.4</v>
          </cell>
          <cell r="G192">
            <v>0</v>
          </cell>
          <cell r="H192">
            <v>0</v>
          </cell>
          <cell r="CU192">
            <v>205.1066342490646</v>
          </cell>
          <cell r="CX192">
            <v>5.1276658562266153</v>
          </cell>
          <cell r="DJ192">
            <v>2401.3204686447393</v>
          </cell>
          <cell r="DM192">
            <v>2.0530693369657347</v>
          </cell>
          <cell r="DO192">
            <v>2.0530693369657347</v>
          </cell>
          <cell r="EA192">
            <v>171.96101674778689</v>
          </cell>
        </row>
        <row r="193">
          <cell r="F193">
            <v>180.22</v>
          </cell>
          <cell r="G193">
            <v>0</v>
          </cell>
          <cell r="H193">
            <v>0</v>
          </cell>
          <cell r="CU193">
            <v>313.32402573156497</v>
          </cell>
          <cell r="CX193">
            <v>7.833100643289125</v>
          </cell>
          <cell r="DJ193">
            <v>3663.1710257661102</v>
          </cell>
          <cell r="DM193">
            <v>1.7820282231431257</v>
          </cell>
          <cell r="DO193">
            <v>1.7820282231431257</v>
          </cell>
          <cell r="EA193">
            <v>270.70823180135073</v>
          </cell>
        </row>
        <row r="194">
          <cell r="F194">
            <v>278.3</v>
          </cell>
          <cell r="G194">
            <v>0</v>
          </cell>
          <cell r="H194">
            <v>51.4</v>
          </cell>
          <cell r="CU194">
            <v>457.68620698033379</v>
          </cell>
          <cell r="CX194">
            <v>11.442155174508345</v>
          </cell>
          <cell r="DJ194">
            <v>5312.8229413541931</v>
          </cell>
          <cell r="DM194">
            <v>1.4228946380189329</v>
          </cell>
          <cell r="DO194">
            <v>1.4228946380189329</v>
          </cell>
          <cell r="EA194">
            <v>419.80550126458786</v>
          </cell>
        </row>
        <row r="195">
          <cell r="F195">
            <v>151.80000000000001</v>
          </cell>
          <cell r="G195">
            <v>0</v>
          </cell>
          <cell r="H195">
            <v>0</v>
          </cell>
          <cell r="CU195">
            <v>194.83017470514068</v>
          </cell>
          <cell r="CX195">
            <v>4.8707543676285177</v>
          </cell>
          <cell r="DJ195">
            <v>2276.7991288902031</v>
          </cell>
          <cell r="DM195">
            <v>1.3155528924424846</v>
          </cell>
          <cell r="DO195">
            <v>1.3155528924424846</v>
          </cell>
          <cell r="EA195">
            <v>175.88982184726771</v>
          </cell>
        </row>
        <row r="196">
          <cell r="F196">
            <v>4489.03</v>
          </cell>
          <cell r="G196">
            <v>0</v>
          </cell>
          <cell r="H196">
            <v>40.6</v>
          </cell>
          <cell r="CU196">
            <v>22846.087546693165</v>
          </cell>
          <cell r="CX196">
            <v>913.84350186772656</v>
          </cell>
          <cell r="DJ196">
            <v>275290.93074640067</v>
          </cell>
          <cell r="DM196">
            <v>5.2506784230692372</v>
          </cell>
          <cell r="DO196">
            <v>4.6669479569063004</v>
          </cell>
          <cell r="EA196">
            <v>7530.8245841520475</v>
          </cell>
        </row>
        <row r="197">
          <cell r="F197">
            <v>2055.6</v>
          </cell>
          <cell r="G197">
            <v>0</v>
          </cell>
          <cell r="H197">
            <v>0</v>
          </cell>
          <cell r="CU197">
            <v>10808.226635532897</v>
          </cell>
          <cell r="CX197">
            <v>162.12339953299346</v>
          </cell>
          <cell r="DJ197">
            <v>125512.80960245596</v>
          </cell>
          <cell r="DM197">
            <v>5.3368116535638697</v>
          </cell>
          <cell r="DO197">
            <v>4.8009832408318216</v>
          </cell>
          <cell r="EA197">
            <v>3176.0174745248851</v>
          </cell>
        </row>
        <row r="198">
          <cell r="F198">
            <v>373.83</v>
          </cell>
          <cell r="G198">
            <v>0</v>
          </cell>
          <cell r="H198">
            <v>0</v>
          </cell>
          <cell r="CU198">
            <v>1354.657204475046</v>
          </cell>
          <cell r="CX198">
            <v>20.319858067125686</v>
          </cell>
          <cell r="DJ198">
            <v>15668.816408476028</v>
          </cell>
          <cell r="DM198">
            <v>3.6780811131855971</v>
          </cell>
          <cell r="DO198">
            <v>3.6218949365235571</v>
          </cell>
          <cell r="EA198">
            <v>626.55033398984756</v>
          </cell>
        </row>
        <row r="199">
          <cell r="F199">
            <v>119.3</v>
          </cell>
          <cell r="G199">
            <v>0</v>
          </cell>
          <cell r="H199">
            <v>0</v>
          </cell>
          <cell r="CU199">
            <v>228.64417387908122</v>
          </cell>
          <cell r="CX199">
            <v>3.4296626081862183</v>
          </cell>
          <cell r="DJ199">
            <v>2637.8828854662174</v>
          </cell>
          <cell r="DM199">
            <v>1.945296198552116</v>
          </cell>
          <cell r="DO199">
            <v>1.945296198552116</v>
          </cell>
          <cell r="EA199">
            <v>209.70382102120823</v>
          </cell>
        </row>
        <row r="200">
          <cell r="F200">
            <v>182.8</v>
          </cell>
          <cell r="G200">
            <v>0</v>
          </cell>
          <cell r="H200">
            <v>0</v>
          </cell>
          <cell r="CU200">
            <v>288.39017955588412</v>
          </cell>
          <cell r="CX200">
            <v>7.2097544888971035</v>
          </cell>
          <cell r="DJ200">
            <v>3366.265215622007</v>
          </cell>
          <cell r="DM200">
            <v>1.6170674728926762</v>
          </cell>
          <cell r="DO200">
            <v>1.6170674728926762</v>
          </cell>
          <cell r="EA200">
            <v>240.78772772934531</v>
          </cell>
        </row>
        <row r="201">
          <cell r="F201">
            <v>229</v>
          </cell>
          <cell r="G201">
            <v>0</v>
          </cell>
          <cell r="H201">
            <v>0</v>
          </cell>
          <cell r="CU201">
            <v>337.52970184331548</v>
          </cell>
          <cell r="CX201">
            <v>8.438242546082888</v>
          </cell>
          <cell r="DJ201">
            <v>3947.1595589858607</v>
          </cell>
          <cell r="DM201">
            <v>1.5107770497353641</v>
          </cell>
          <cell r="DO201">
            <v>1.5107770497353641</v>
          </cell>
          <cell r="EA201">
            <v>311.36093182281195</v>
          </cell>
        </row>
        <row r="202">
          <cell r="F202">
            <v>144.5</v>
          </cell>
          <cell r="G202">
            <v>0</v>
          </cell>
          <cell r="H202">
            <v>0</v>
          </cell>
          <cell r="CU202">
            <v>258.58186510217598</v>
          </cell>
          <cell r="CX202">
            <v>3.8787279765326397</v>
          </cell>
          <cell r="DJ202">
            <v>2991.3517086158658</v>
          </cell>
          <cell r="DM202">
            <v>1.8163362842817203</v>
          </cell>
          <cell r="DO202">
            <v>1.8163362842817203</v>
          </cell>
          <cell r="EA202">
            <v>234.90642402983474</v>
          </cell>
        </row>
        <row r="203">
          <cell r="F203">
            <v>393</v>
          </cell>
          <cell r="G203">
            <v>0</v>
          </cell>
          <cell r="H203">
            <v>0</v>
          </cell>
          <cell r="CU203">
            <v>1804.2823232410258</v>
          </cell>
          <cell r="CX203">
            <v>27.064234848615381</v>
          </cell>
          <cell r="DJ203">
            <v>20869.223414953041</v>
          </cell>
          <cell r="DM203">
            <v>4.6599149060805107</v>
          </cell>
          <cell r="DO203">
            <v>3.9898510872216142</v>
          </cell>
          <cell r="EA203">
            <v>533.32716084547076</v>
          </cell>
        </row>
        <row r="204">
          <cell r="F204">
            <v>4524.01</v>
          </cell>
          <cell r="G204">
            <v>0</v>
          </cell>
          <cell r="H204">
            <v>0</v>
          </cell>
          <cell r="CU204">
            <v>23655.767188611837</v>
          </cell>
          <cell r="CX204">
            <v>1182.788359430592</v>
          </cell>
          <cell r="DJ204">
            <v>285721.52057350258</v>
          </cell>
          <cell r="DM204">
            <v>5.4903847577795872</v>
          </cell>
          <cell r="DO204">
            <v>4.9122524257158977</v>
          </cell>
          <cell r="EA204">
            <v>6961.535940712397</v>
          </cell>
        </row>
        <row r="205">
          <cell r="F205">
            <v>256.60000000000002</v>
          </cell>
          <cell r="G205">
            <v>0</v>
          </cell>
          <cell r="H205">
            <v>0</v>
          </cell>
          <cell r="CU205">
            <v>461.41931229892526</v>
          </cell>
          <cell r="CX205">
            <v>2.3070965614946264</v>
          </cell>
          <cell r="DJ205">
            <v>5285.3557231144378</v>
          </cell>
          <cell r="DM205">
            <v>1.8071956697600151</v>
          </cell>
          <cell r="DO205">
            <v>1.8071956697600151</v>
          </cell>
          <cell r="EA205">
            <v>409.33334193977453</v>
          </cell>
        </row>
        <row r="206">
          <cell r="F206">
            <v>6306.37</v>
          </cell>
          <cell r="G206">
            <v>706.38</v>
          </cell>
          <cell r="H206">
            <v>0</v>
          </cell>
          <cell r="CU206">
            <v>48750.354753689557</v>
          </cell>
          <cell r="CX206">
            <v>487.50354753689555</v>
          </cell>
          <cell r="DJ206">
            <v>560856.35878883197</v>
          </cell>
          <cell r="DM206">
            <v>6.3038884358153524</v>
          </cell>
          <cell r="DN206">
            <v>7.9973209930616314</v>
          </cell>
          <cell r="DO206">
            <v>5.3673448094976353</v>
          </cell>
          <cell r="EA206">
            <v>12263.499448201459</v>
          </cell>
        </row>
        <row r="207">
          <cell r="F207">
            <v>2744.3</v>
          </cell>
          <cell r="G207">
            <v>0</v>
          </cell>
          <cell r="H207">
            <v>0</v>
          </cell>
          <cell r="CU207">
            <v>16055.938069934848</v>
          </cell>
          <cell r="CX207">
            <v>802.7969034967424</v>
          </cell>
          <cell r="DJ207">
            <v>193705.30203673552</v>
          </cell>
          <cell r="DM207">
            <v>6.1431822225819293</v>
          </cell>
          <cell r="DO207">
            <v>5.4474483437758305</v>
          </cell>
          <cell r="EA207">
            <v>5867.250418226874</v>
          </cell>
        </row>
        <row r="208">
          <cell r="F208">
            <v>6138.38</v>
          </cell>
          <cell r="G208">
            <v>688.06</v>
          </cell>
          <cell r="H208">
            <v>0</v>
          </cell>
          <cell r="CU208">
            <v>44917.224892374979</v>
          </cell>
          <cell r="CX208">
            <v>449.17224892374981</v>
          </cell>
          <cell r="DJ208">
            <v>517490.50846555491</v>
          </cell>
          <cell r="DM208">
            <v>5.7650516342765643</v>
          </cell>
          <cell r="DN208">
            <v>7.5958284493054347</v>
          </cell>
          <cell r="DO208">
            <v>4.8092176637448931</v>
          </cell>
          <cell r="EA208">
            <v>12795.715528016381</v>
          </cell>
        </row>
        <row r="209">
          <cell r="F209">
            <v>6304.12</v>
          </cell>
          <cell r="G209">
            <v>695.2</v>
          </cell>
          <cell r="H209">
            <v>0</v>
          </cell>
          <cell r="CU209">
            <v>47559.845462570782</v>
          </cell>
          <cell r="CX209">
            <v>1188.9961365642696</v>
          </cell>
          <cell r="DJ209">
            <v>555230.13255419291</v>
          </cell>
          <cell r="DM209">
            <v>6.0501823572175848</v>
          </cell>
          <cell r="DN209">
            <v>7.9414138237659628</v>
          </cell>
          <cell r="DO209">
            <v>5.0750474729442931</v>
          </cell>
          <cell r="EA209">
            <v>12142.949222680611</v>
          </cell>
        </row>
        <row r="210">
          <cell r="F210">
            <v>180</v>
          </cell>
          <cell r="G210">
            <v>0</v>
          </cell>
          <cell r="H210">
            <v>0</v>
          </cell>
          <cell r="CU210">
            <v>290.47302412800809</v>
          </cell>
          <cell r="CX210">
            <v>7.2618256032002027</v>
          </cell>
          <cell r="DJ210">
            <v>3395.15589196974</v>
          </cell>
          <cell r="DM210">
            <v>1.6540824985067126</v>
          </cell>
          <cell r="DO210">
            <v>1.6540824985067126</v>
          </cell>
          <cell r="EA210">
            <v>242.82025836509808</v>
          </cell>
        </row>
        <row r="211">
          <cell r="F211">
            <v>4191.3999999999996</v>
          </cell>
          <cell r="G211">
            <v>468.7</v>
          </cell>
          <cell r="H211">
            <v>0</v>
          </cell>
          <cell r="CU211">
            <v>27238.295754582905</v>
          </cell>
          <cell r="CX211">
            <v>408.57443631874355</v>
          </cell>
          <cell r="DJ211">
            <v>316531.11192419578</v>
          </cell>
          <cell r="DM211">
            <v>6.0879806508452941</v>
          </cell>
          <cell r="DN211">
            <v>6.6600676014318809</v>
          </cell>
          <cell r="DO211">
            <v>4.7380400447763327</v>
          </cell>
          <cell r="EA211">
            <v>6580.3179024072224</v>
          </cell>
        </row>
        <row r="212">
          <cell r="F212">
            <v>234.6</v>
          </cell>
          <cell r="G212">
            <v>0</v>
          </cell>
          <cell r="H212">
            <v>244.6</v>
          </cell>
          <cell r="CU212">
            <v>2833.9192694781805</v>
          </cell>
          <cell r="CX212">
            <v>42.508789042172708</v>
          </cell>
          <cell r="DJ212">
            <v>33077.71327159366</v>
          </cell>
          <cell r="DM212">
            <v>6.6193110667870476</v>
          </cell>
          <cell r="DO212">
            <v>5.4110289544240073</v>
          </cell>
          <cell r="EA212">
            <v>798.28519547616702</v>
          </cell>
        </row>
        <row r="213">
          <cell r="F213">
            <v>553.20000000000005</v>
          </cell>
          <cell r="G213">
            <v>0</v>
          </cell>
          <cell r="H213">
            <v>0</v>
          </cell>
          <cell r="CU213">
            <v>973.81062741409005</v>
          </cell>
          <cell r="CX213">
            <v>24.345265685352253</v>
          </cell>
          <cell r="DJ213">
            <v>11371.469135542724</v>
          </cell>
          <cell r="DM213">
            <v>1.8043309708955932</v>
          </cell>
          <cell r="DO213">
            <v>1.8043309708955932</v>
          </cell>
          <cell r="EA213">
            <v>522.79154848600888</v>
          </cell>
        </row>
        <row r="214">
          <cell r="F214">
            <v>358.84</v>
          </cell>
          <cell r="G214">
            <v>0</v>
          </cell>
          <cell r="H214">
            <v>0</v>
          </cell>
          <cell r="CU214">
            <v>1491.8366643811414</v>
          </cell>
          <cell r="CX214">
            <v>37.29591660952854</v>
          </cell>
          <cell r="DJ214">
            <v>17719.36920937883</v>
          </cell>
          <cell r="DM214">
            <v>4.2613214273511044</v>
          </cell>
          <cell r="DO214">
            <v>4.1999855776374595</v>
          </cell>
          <cell r="EA214">
            <v>866.33297311847502</v>
          </cell>
        </row>
        <row r="215">
          <cell r="F215">
            <v>170.2</v>
          </cell>
          <cell r="G215">
            <v>0</v>
          </cell>
          <cell r="H215">
            <v>318.60000000000002</v>
          </cell>
          <cell r="CU215">
            <v>2796.7158260320152</v>
          </cell>
          <cell r="CX215">
            <v>0</v>
          </cell>
          <cell r="DJ215">
            <v>32125.809720524983</v>
          </cell>
          <cell r="DM215">
            <v>6.4864049415581411</v>
          </cell>
          <cell r="DO215">
            <v>5.3130248116096013</v>
          </cell>
          <cell r="EA215">
            <v>953.57216950468796</v>
          </cell>
        </row>
        <row r="216">
          <cell r="F216">
            <v>239.5</v>
          </cell>
          <cell r="G216">
            <v>0</v>
          </cell>
          <cell r="H216">
            <v>88.4</v>
          </cell>
          <cell r="CU216">
            <v>2190.573247507652</v>
          </cell>
          <cell r="CX216">
            <v>54.764331187691305</v>
          </cell>
          <cell r="DJ216">
            <v>25593.822588516494</v>
          </cell>
          <cell r="DM216">
            <v>7.2629055045102007</v>
          </cell>
          <cell r="DO216">
            <v>5.7225306602392569</v>
          </cell>
          <cell r="EA216">
            <v>504.37159617902557</v>
          </cell>
        </row>
        <row r="217">
          <cell r="F217">
            <v>2128.4299999999998</v>
          </cell>
          <cell r="G217">
            <v>0</v>
          </cell>
          <cell r="H217">
            <v>163.9</v>
          </cell>
          <cell r="CU217">
            <v>13416.053111368316</v>
          </cell>
          <cell r="CX217">
            <v>0</v>
          </cell>
          <cell r="DJ217">
            <v>153056.94217110591</v>
          </cell>
          <cell r="DM217">
            <v>5.9322754752678852</v>
          </cell>
          <cell r="DO217">
            <v>4.8176938471256321</v>
          </cell>
          <cell r="EA217">
            <v>2993.5614719029663</v>
          </cell>
        </row>
        <row r="218">
          <cell r="F218">
            <v>354.3</v>
          </cell>
          <cell r="G218">
            <v>0</v>
          </cell>
          <cell r="H218">
            <v>0</v>
          </cell>
          <cell r="CU218">
            <v>1877.2403860311128</v>
          </cell>
          <cell r="CX218">
            <v>28.158605790466691</v>
          </cell>
          <cell r="DJ218">
            <v>21720.256557416484</v>
          </cell>
          <cell r="DM218">
            <v>5.3779254637922085</v>
          </cell>
          <cell r="DO218">
            <v>5.2997657462911807</v>
          </cell>
          <cell r="EA218">
            <v>355.63116091593116</v>
          </cell>
        </row>
        <row r="219">
          <cell r="F219">
            <v>397.4</v>
          </cell>
          <cell r="G219">
            <v>0</v>
          </cell>
          <cell r="H219">
            <v>76.900000000000006</v>
          </cell>
          <cell r="CU219">
            <v>3119.9308028353576</v>
          </cell>
          <cell r="CX219">
            <v>0</v>
          </cell>
          <cell r="DJ219">
            <v>35493.422521584485</v>
          </cell>
          <cell r="DM219">
            <v>6.6759927290331005</v>
          </cell>
          <cell r="DO219">
            <v>6.0714082225956307</v>
          </cell>
          <cell r="EA219">
            <v>738.2732938674144</v>
          </cell>
        </row>
        <row r="220">
          <cell r="F220">
            <v>4358.7700000000004</v>
          </cell>
          <cell r="G220">
            <v>0</v>
          </cell>
          <cell r="H220">
            <v>376.3</v>
          </cell>
          <cell r="CU220">
            <v>25396.450830288119</v>
          </cell>
          <cell r="CX220">
            <v>507.9290166057624</v>
          </cell>
          <cell r="DJ220">
            <v>295291.73051680875</v>
          </cell>
          <cell r="DM220">
            <v>5.5279015960138524</v>
          </cell>
          <cell r="DO220">
            <v>4.8087382599962156</v>
          </cell>
          <cell r="EA220">
            <v>6613.7081887984787</v>
          </cell>
        </row>
        <row r="221">
          <cell r="F221">
            <v>1981.17</v>
          </cell>
          <cell r="G221">
            <v>0</v>
          </cell>
          <cell r="H221">
            <v>0</v>
          </cell>
          <cell r="CU221">
            <v>11305.163546902253</v>
          </cell>
          <cell r="CX221">
            <v>282.62908867255635</v>
          </cell>
          <cell r="DJ221">
            <v>132173.55961216465</v>
          </cell>
          <cell r="DM221">
            <v>5.8489643168303616</v>
          </cell>
          <cell r="DO221">
            <v>5.0890944801119566</v>
          </cell>
          <cell r="EA221">
            <v>2242.6094226121595</v>
          </cell>
        </row>
        <row r="222">
          <cell r="F222">
            <v>286.2</v>
          </cell>
          <cell r="G222">
            <v>0</v>
          </cell>
          <cell r="H222">
            <v>0</v>
          </cell>
          <cell r="CU222">
            <v>1872.1137684101252</v>
          </cell>
          <cell r="CX222">
            <v>0</v>
          </cell>
          <cell r="DJ222">
            <v>21350.239514333953</v>
          </cell>
          <cell r="DM222">
            <v>6.5412780168068663</v>
          </cell>
          <cell r="DO222">
            <v>6.1423626080611413</v>
          </cell>
          <cell r="EA222">
            <v>544.80696792439858</v>
          </cell>
        </row>
        <row r="223">
          <cell r="F223">
            <v>341.75</v>
          </cell>
          <cell r="G223">
            <v>0</v>
          </cell>
          <cell r="H223">
            <v>0</v>
          </cell>
          <cell r="CU223">
            <v>429.26629937474337</v>
          </cell>
          <cell r="CX223">
            <v>10.731657484368585</v>
          </cell>
          <cell r="DJ223">
            <v>5041.6669903784259</v>
          </cell>
          <cell r="DM223">
            <v>1.2874848774224199</v>
          </cell>
          <cell r="DO223">
            <v>1.2874848774224199</v>
          </cell>
          <cell r="EA223">
            <v>372.44524080112438</v>
          </cell>
        </row>
        <row r="224">
          <cell r="F224">
            <v>3813.3</v>
          </cell>
          <cell r="G224">
            <v>407.65</v>
          </cell>
          <cell r="H224">
            <v>0</v>
          </cell>
          <cell r="CU224">
            <v>26378.124283241013</v>
          </cell>
          <cell r="CX224">
            <v>395.67186424861518</v>
          </cell>
          <cell r="DJ224">
            <v>307967.34977068496</v>
          </cell>
          <cell r="DM224">
            <v>5.8706639677490982</v>
          </cell>
          <cell r="DN224">
            <v>7.1588742181482861</v>
          </cell>
          <cell r="DO224">
            <v>5.0752130724542273</v>
          </cell>
          <cell r="EA224">
            <v>6771.3106546486806</v>
          </cell>
        </row>
        <row r="225">
          <cell r="F225">
            <v>14576.67</v>
          </cell>
          <cell r="G225">
            <v>1189.72</v>
          </cell>
          <cell r="H225">
            <v>855.7</v>
          </cell>
          <cell r="CU225">
            <v>100422.37000790183</v>
          </cell>
          <cell r="CX225">
            <v>1506.3355501185274</v>
          </cell>
          <cell r="DJ225">
            <v>1167824.0535633899</v>
          </cell>
          <cell r="DM225">
            <v>5.8029918821323241</v>
          </cell>
          <cell r="DN225">
            <v>6.785891222453202</v>
          </cell>
          <cell r="DO225">
            <v>4.8876750678859526</v>
          </cell>
          <cell r="EA225">
            <v>25405.644724406673</v>
          </cell>
        </row>
        <row r="226">
          <cell r="F226">
            <v>366</v>
          </cell>
          <cell r="G226">
            <v>0</v>
          </cell>
          <cell r="H226">
            <v>113.4</v>
          </cell>
          <cell r="CU226">
            <v>3094.8335127951414</v>
          </cell>
          <cell r="CX226">
            <v>77.370837819878531</v>
          </cell>
          <cell r="DJ226">
            <v>35369.958690174069</v>
          </cell>
          <cell r="DM226">
            <v>6.7602509110912328</v>
          </cell>
          <cell r="DO226">
            <v>6.1547841019014857</v>
          </cell>
          <cell r="EA226">
            <v>866.37338530793602</v>
          </cell>
        </row>
        <row r="227">
          <cell r="F227">
            <v>5138.55</v>
          </cell>
          <cell r="G227">
            <v>642.45000000000005</v>
          </cell>
          <cell r="H227">
            <v>0</v>
          </cell>
          <cell r="CU227">
            <v>36089.919812442356</v>
          </cell>
          <cell r="CX227">
            <v>902.24799531105873</v>
          </cell>
          <cell r="DJ227">
            <v>423609.56260071305</v>
          </cell>
          <cell r="DM227">
            <v>6.2849997864631355</v>
          </cell>
          <cell r="DN227">
            <v>7.3295455383421553</v>
          </cell>
          <cell r="DO227">
            <v>5.5503817432426166</v>
          </cell>
          <cell r="EA227">
            <v>9180.579640427326</v>
          </cell>
        </row>
        <row r="228">
          <cell r="F228">
            <v>284.10000000000002</v>
          </cell>
          <cell r="G228">
            <v>0</v>
          </cell>
          <cell r="H228">
            <v>120.4</v>
          </cell>
          <cell r="CU228">
            <v>2615.1917969044443</v>
          </cell>
          <cell r="CX228">
            <v>0</v>
          </cell>
          <cell r="DJ228">
            <v>29925.112845189789</v>
          </cell>
          <cell r="DM228">
            <v>6.6907072500777263</v>
          </cell>
          <cell r="DO228">
            <v>5.9332380993136402</v>
          </cell>
          <cell r="EA228">
            <v>805.82727800908322</v>
          </cell>
        </row>
        <row r="229">
          <cell r="F229">
            <v>7450.81</v>
          </cell>
          <cell r="G229">
            <v>941.36</v>
          </cell>
          <cell r="H229">
            <v>0</v>
          </cell>
          <cell r="CU229">
            <v>53596.843626163798</v>
          </cell>
          <cell r="CX229">
            <v>1339.921090654095</v>
          </cell>
          <cell r="DJ229">
            <v>631229.14679751243</v>
          </cell>
          <cell r="DM229">
            <v>5.9786604375016941</v>
          </cell>
          <cell r="DN229">
            <v>7.5749399607295995</v>
          </cell>
          <cell r="DO229">
            <v>5.1698747787574808</v>
          </cell>
          <cell r="EA229">
            <v>13065.67973807045</v>
          </cell>
        </row>
        <row r="230">
          <cell r="F230">
            <v>6120.05</v>
          </cell>
          <cell r="G230">
            <v>717.15</v>
          </cell>
          <cell r="H230">
            <v>0</v>
          </cell>
          <cell r="CU230">
            <v>40889.563857313748</v>
          </cell>
          <cell r="CX230">
            <v>1022.2390964328438</v>
          </cell>
          <cell r="DJ230">
            <v>482940.19074386545</v>
          </cell>
          <cell r="DM230">
            <v>5.7183398893793296</v>
          </cell>
          <cell r="DN230">
            <v>6.9982593610983361</v>
          </cell>
          <cell r="DO230">
            <v>4.8271945726534469</v>
          </cell>
          <cell r="EA230">
            <v>12092.424304700964</v>
          </cell>
        </row>
        <row r="231">
          <cell r="F231">
            <v>2163.8200000000002</v>
          </cell>
          <cell r="G231">
            <v>234.2</v>
          </cell>
          <cell r="H231">
            <v>0</v>
          </cell>
          <cell r="CU231">
            <v>14662.769350343595</v>
          </cell>
          <cell r="CX231">
            <v>219.94154025515391</v>
          </cell>
          <cell r="DJ231">
            <v>170402.02713456034</v>
          </cell>
          <cell r="DM231">
            <v>5.809827008005727</v>
          </cell>
          <cell r="DN231">
            <v>7.0076229544282311</v>
          </cell>
          <cell r="DO231">
            <v>4.9476341243264237</v>
          </cell>
          <cell r="EA231">
            <v>3588.3729347869507</v>
          </cell>
        </row>
        <row r="232">
          <cell r="F232">
            <v>4314</v>
          </cell>
          <cell r="G232">
            <v>457.6</v>
          </cell>
          <cell r="H232">
            <v>0</v>
          </cell>
          <cell r="CU232">
            <v>28942.789804670774</v>
          </cell>
          <cell r="CX232">
            <v>434.1418470700616</v>
          </cell>
          <cell r="DJ232">
            <v>336164.26683405251</v>
          </cell>
          <cell r="DM232">
            <v>5.6836987719722512</v>
          </cell>
          <cell r="DN232">
            <v>6.9432815822234044</v>
          </cell>
          <cell r="DO232">
            <v>4.8203134468006077</v>
          </cell>
          <cell r="EA232">
            <v>6598.2299236968465</v>
          </cell>
        </row>
        <row r="233">
          <cell r="F233">
            <v>2140.7399999999998</v>
          </cell>
          <cell r="G233">
            <v>236.5</v>
          </cell>
          <cell r="H233">
            <v>0</v>
          </cell>
          <cell r="CU233">
            <v>15406.324225079712</v>
          </cell>
          <cell r="CX233">
            <v>231.09486337619566</v>
          </cell>
          <cell r="DJ233">
            <v>178983.53884261078</v>
          </cell>
          <cell r="DM233">
            <v>6.1152942221564306</v>
          </cell>
          <cell r="DN233">
            <v>7.4523967592929017</v>
          </cell>
          <cell r="DO233">
            <v>5.2453065466542226</v>
          </cell>
          <cell r="EA233">
            <v>3820.0515187423471</v>
          </cell>
        </row>
        <row r="234">
          <cell r="F234">
            <v>418.2</v>
          </cell>
          <cell r="G234">
            <v>0</v>
          </cell>
          <cell r="H234">
            <v>184.7</v>
          </cell>
          <cell r="CU234">
            <v>3463.5056189573461</v>
          </cell>
          <cell r="CX234">
            <v>51.952584284360192</v>
          </cell>
          <cell r="DJ234">
            <v>41478.940841063071</v>
          </cell>
          <cell r="DM234">
            <v>6.2749403713151359</v>
          </cell>
          <cell r="DO234">
            <v>4.8255448833660886</v>
          </cell>
          <cell r="EA234">
            <v>990.55017368243239</v>
          </cell>
        </row>
        <row r="235">
          <cell r="F235">
            <v>2135.1</v>
          </cell>
          <cell r="G235">
            <v>233.5</v>
          </cell>
          <cell r="H235">
            <v>0</v>
          </cell>
          <cell r="CU235">
            <v>15011.1732300556</v>
          </cell>
          <cell r="CX235">
            <v>375.27933075139009</v>
          </cell>
          <cell r="DJ235">
            <v>175903.96028612345</v>
          </cell>
          <cell r="DM235">
            <v>5.9416176560694929</v>
          </cell>
          <cell r="DN235">
            <v>7.3617400284574916</v>
          </cell>
          <cell r="DO235">
            <v>5.0772184690353361</v>
          </cell>
          <cell r="EA235">
            <v>3602.52818757879</v>
          </cell>
        </row>
        <row r="236">
          <cell r="F236">
            <v>4349.8999999999996</v>
          </cell>
          <cell r="G236">
            <v>477.8</v>
          </cell>
          <cell r="H236">
            <v>0</v>
          </cell>
          <cell r="CU236">
            <v>28389.851703263132</v>
          </cell>
          <cell r="CX236">
            <v>709.74629258157836</v>
          </cell>
          <cell r="DJ236">
            <v>334060.73264757876</v>
          </cell>
          <cell r="DM236">
            <v>5.4419018691347851</v>
          </cell>
          <cell r="DN236">
            <v>6.843691351662434</v>
          </cell>
          <cell r="DO236">
            <v>4.5933468496019625</v>
          </cell>
          <cell r="EA236">
            <v>6520.5932985988557</v>
          </cell>
        </row>
        <row r="237">
          <cell r="F237">
            <v>2131.85</v>
          </cell>
          <cell r="G237">
            <v>234</v>
          </cell>
          <cell r="H237">
            <v>0</v>
          </cell>
          <cell r="CU237">
            <v>14522.840599856925</v>
          </cell>
          <cell r="CX237">
            <v>363.07101499642317</v>
          </cell>
          <cell r="DJ237">
            <v>170184.67876720236</v>
          </cell>
          <cell r="DM237">
            <v>5.7176837039105264</v>
          </cell>
          <cell r="DN237">
            <v>7.1385903143758922</v>
          </cell>
          <cell r="DO237">
            <v>4.8512977476068508</v>
          </cell>
          <cell r="EA237">
            <v>3118.8232867474667</v>
          </cell>
        </row>
        <row r="238">
          <cell r="F238">
            <v>105</v>
          </cell>
          <cell r="G238">
            <v>0</v>
          </cell>
          <cell r="H238">
            <v>0</v>
          </cell>
          <cell r="CU238">
            <v>212.82262246506332</v>
          </cell>
          <cell r="CX238">
            <v>3.1923393369759498</v>
          </cell>
          <cell r="DJ238">
            <v>2461.1268886658486</v>
          </cell>
          <cell r="DM238">
            <v>2.0572853504956119</v>
          </cell>
          <cell r="DO238">
            <v>2.0572853504956119</v>
          </cell>
          <cell r="EA238">
            <v>157.7144690062951</v>
          </cell>
        </row>
        <row r="239">
          <cell r="F239">
            <v>140.69999999999999</v>
          </cell>
          <cell r="G239">
            <v>0</v>
          </cell>
          <cell r="H239">
            <v>0</v>
          </cell>
          <cell r="CU239">
            <v>319.00466417916863</v>
          </cell>
          <cell r="CX239">
            <v>4.7850699626875288</v>
          </cell>
          <cell r="DJ239">
            <v>3692.6374587181872</v>
          </cell>
          <cell r="DM239">
            <v>2.301277428158182</v>
          </cell>
          <cell r="DO239">
            <v>2.301277428158182</v>
          </cell>
          <cell r="EA239">
            <v>175.84511114495359</v>
          </cell>
        </row>
        <row r="240">
          <cell r="F240">
            <v>6677.85</v>
          </cell>
          <cell r="G240">
            <v>613.75</v>
          </cell>
          <cell r="H240">
            <v>64.91</v>
          </cell>
          <cell r="CU240">
            <v>46365.623390040666</v>
          </cell>
          <cell r="CX240">
            <v>695.48435085060999</v>
          </cell>
          <cell r="DJ240">
            <v>538484.84178679879</v>
          </cell>
          <cell r="DM240">
            <v>6.1638691886409589</v>
          </cell>
          <cell r="DN240">
            <v>7.0827901464063849</v>
          </cell>
          <cell r="DO240">
            <v>5.0421398789081495</v>
          </cell>
          <cell r="EA240">
            <v>11398.081755483703</v>
          </cell>
        </row>
        <row r="241">
          <cell r="F241">
            <v>100.2</v>
          </cell>
          <cell r="G241">
            <v>0</v>
          </cell>
          <cell r="H241">
            <v>0</v>
          </cell>
          <cell r="CU241">
            <v>196.31193011127434</v>
          </cell>
          <cell r="CX241">
            <v>4.9077982527818591</v>
          </cell>
          <cell r="DJ241">
            <v>2295.412723280589</v>
          </cell>
          <cell r="DM241">
            <v>2.0081809217969679</v>
          </cell>
          <cell r="DO241">
            <v>2.0081809217969679</v>
          </cell>
          <cell r="EA241">
            <v>115.31229110160156</v>
          </cell>
        </row>
        <row r="242">
          <cell r="F242">
            <v>3267.3</v>
          </cell>
          <cell r="G242">
            <v>0</v>
          </cell>
          <cell r="H242">
            <v>0</v>
          </cell>
          <cell r="CU242">
            <v>18111.813997140642</v>
          </cell>
          <cell r="CX242">
            <v>905.59069985703218</v>
          </cell>
          <cell r="DJ242">
            <v>217038.1523106588</v>
          </cell>
          <cell r="DM242">
            <v>5.8205260297486223</v>
          </cell>
          <cell r="DO242">
            <v>5.2051000669991927</v>
          </cell>
          <cell r="EA242">
            <v>5636.9669353889885</v>
          </cell>
        </row>
        <row r="243">
          <cell r="F243">
            <v>6615</v>
          </cell>
          <cell r="G243">
            <v>699.7</v>
          </cell>
          <cell r="H243">
            <v>0</v>
          </cell>
          <cell r="CU243">
            <v>47627.158310898929</v>
          </cell>
          <cell r="CX243">
            <v>1190.6789577724733</v>
          </cell>
          <cell r="DJ243">
            <v>556814.67839100631</v>
          </cell>
          <cell r="DM243">
            <v>5.7972584118578867</v>
          </cell>
          <cell r="DN243">
            <v>7.5670710797245171</v>
          </cell>
          <cell r="DO243">
            <v>4.7391552306308311</v>
          </cell>
          <cell r="EA243">
            <v>11417.391652890083</v>
          </cell>
        </row>
        <row r="244">
          <cell r="F244">
            <v>9392.7999999999993</v>
          </cell>
          <cell r="G244">
            <v>999.75</v>
          </cell>
          <cell r="H244">
            <v>0</v>
          </cell>
          <cell r="CU244">
            <v>69067.874139410589</v>
          </cell>
          <cell r="CX244">
            <v>1726.6968534852649</v>
          </cell>
          <cell r="DJ244">
            <v>807605.8357986277</v>
          </cell>
          <cell r="DM244">
            <v>5.8862007677600197</v>
          </cell>
          <cell r="DN244">
            <v>7.7337608825549449</v>
          </cell>
          <cell r="DO244">
            <v>4.8979731199421837</v>
          </cell>
          <cell r="EA244">
            <v>17703.787187314872</v>
          </cell>
        </row>
        <row r="245">
          <cell r="F245">
            <v>3228.8</v>
          </cell>
          <cell r="G245">
            <v>0</v>
          </cell>
          <cell r="H245">
            <v>276.7</v>
          </cell>
          <cell r="CU245">
            <v>14771.163453594001</v>
          </cell>
          <cell r="CX245">
            <v>295.42326907188004</v>
          </cell>
          <cell r="DJ245">
            <v>171873.11972171249</v>
          </cell>
          <cell r="DM245">
            <v>4.3348059431117818</v>
          </cell>
          <cell r="DO245">
            <v>3.8683241544870275</v>
          </cell>
          <cell r="EA245">
            <v>4195.484701289125</v>
          </cell>
        </row>
        <row r="246">
          <cell r="F246">
            <v>3564.3</v>
          </cell>
          <cell r="G246">
            <v>0</v>
          </cell>
          <cell r="H246">
            <v>0</v>
          </cell>
          <cell r="CU246">
            <v>16210.449044273606</v>
          </cell>
          <cell r="CX246">
            <v>810.52245221368037</v>
          </cell>
          <cell r="DJ246">
            <v>195761.07880838079</v>
          </cell>
          <cell r="DM246">
            <v>4.7754037248512429</v>
          </cell>
          <cell r="DO246">
            <v>4.3313456255871632</v>
          </cell>
          <cell r="EA246">
            <v>6324.916686629932</v>
          </cell>
        </row>
        <row r="247">
          <cell r="F247">
            <v>3571.4</v>
          </cell>
          <cell r="G247">
            <v>0</v>
          </cell>
          <cell r="H247">
            <v>0</v>
          </cell>
          <cell r="CU247">
            <v>16922.382149418223</v>
          </cell>
          <cell r="CX247">
            <v>676.89528597672893</v>
          </cell>
          <cell r="DJ247">
            <v>204277.90517741774</v>
          </cell>
          <cell r="DM247">
            <v>4.9278371046074234</v>
          </cell>
          <cell r="DO247">
            <v>4.4113507681397683</v>
          </cell>
          <cell r="EA247">
            <v>6426.3281135617226</v>
          </cell>
        </row>
        <row r="248">
          <cell r="F248">
            <v>2470.9</v>
          </cell>
          <cell r="G248">
            <v>0</v>
          </cell>
          <cell r="H248">
            <v>210.6</v>
          </cell>
          <cell r="CU248">
            <v>12115.908927675773</v>
          </cell>
          <cell r="CX248">
            <v>242.31817855351548</v>
          </cell>
          <cell r="DJ248">
            <v>140479.58447366106</v>
          </cell>
          <cell r="DM248">
            <v>4.6448983654265206</v>
          </cell>
          <cell r="DO248">
            <v>4.1839873461391299</v>
          </cell>
          <cell r="EA248">
            <v>3671.8352848044306</v>
          </cell>
        </row>
        <row r="249">
          <cell r="F249">
            <v>2013</v>
          </cell>
          <cell r="G249">
            <v>0</v>
          </cell>
          <cell r="H249">
            <v>470.2</v>
          </cell>
          <cell r="CU249">
            <v>13027.205798255278</v>
          </cell>
          <cell r="CX249">
            <v>130.27205798255278</v>
          </cell>
          <cell r="DJ249">
            <v>149802.6258331982</v>
          </cell>
          <cell r="DM249">
            <v>5.4584264701558043</v>
          </cell>
          <cell r="DO249">
            <v>4.6143457503492114</v>
          </cell>
          <cell r="EA249">
            <v>4873.2308222133252</v>
          </cell>
        </row>
        <row r="250">
          <cell r="F250">
            <v>635.11</v>
          </cell>
          <cell r="G250">
            <v>0</v>
          </cell>
          <cell r="H250">
            <v>127.7</v>
          </cell>
          <cell r="CU250">
            <v>3364.64155741486</v>
          </cell>
          <cell r="CX250">
            <v>33.646415574148598</v>
          </cell>
          <cell r="DJ250">
            <v>38701.65136705328</v>
          </cell>
          <cell r="DM250">
            <v>4.4604448610865148</v>
          </cell>
          <cell r="DO250">
            <v>4.4276807929863091</v>
          </cell>
          <cell r="EA250">
            <v>1150.2233227211532</v>
          </cell>
        </row>
        <row r="251">
          <cell r="F251">
            <v>63</v>
          </cell>
          <cell r="G251">
            <v>0</v>
          </cell>
          <cell r="H251">
            <v>0</v>
          </cell>
          <cell r="CU251">
            <v>141.55949277254786</v>
          </cell>
          <cell r="CX251">
            <v>0</v>
          </cell>
          <cell r="DJ251">
            <v>1614.2458359371258</v>
          </cell>
          <cell r="DM251">
            <v>2.2469760757547279</v>
          </cell>
          <cell r="DO251">
            <v>2.2469760757547279</v>
          </cell>
          <cell r="EA251">
            <v>113.14896348573836</v>
          </cell>
        </row>
        <row r="252">
          <cell r="F252">
            <v>253.7</v>
          </cell>
          <cell r="G252">
            <v>0</v>
          </cell>
          <cell r="H252">
            <v>0</v>
          </cell>
          <cell r="CU252">
            <v>1452.5875306323749</v>
          </cell>
          <cell r="CX252">
            <v>0</v>
          </cell>
          <cell r="DJ252">
            <v>16547.798863724216</v>
          </cell>
          <cell r="DM252">
            <v>5.7256110785667111</v>
          </cell>
          <cell r="DO252">
            <v>4.859066662679175</v>
          </cell>
          <cell r="EA252">
            <v>421.82543561039563</v>
          </cell>
        </row>
        <row r="253">
          <cell r="F253">
            <v>601.4</v>
          </cell>
          <cell r="G253">
            <v>0</v>
          </cell>
          <cell r="H253">
            <v>0</v>
          </cell>
          <cell r="CU253">
            <v>3333.3040612319442</v>
          </cell>
          <cell r="CX253">
            <v>0</v>
          </cell>
          <cell r="DJ253">
            <v>37966.963739029932</v>
          </cell>
          <cell r="DM253">
            <v>5.5425740958296386</v>
          </cell>
          <cell r="DO253">
            <v>4.6944804630737345</v>
          </cell>
          <cell r="EA253">
            <v>967.73240852079698</v>
          </cell>
        </row>
        <row r="254">
          <cell r="F254">
            <v>427.1</v>
          </cell>
          <cell r="G254">
            <v>0</v>
          </cell>
          <cell r="H254">
            <v>0</v>
          </cell>
          <cell r="CU254">
            <v>2737.0954843605246</v>
          </cell>
          <cell r="CX254">
            <v>0</v>
          </cell>
          <cell r="DJ254">
            <v>31198.921078289939</v>
          </cell>
          <cell r="DM254">
            <v>6.4085588488890757</v>
          </cell>
          <cell r="DO254">
            <v>5.3301031982827869</v>
          </cell>
          <cell r="EA254">
            <v>631.83609010045484</v>
          </cell>
        </row>
        <row r="255">
          <cell r="F255">
            <v>1282.0999999999999</v>
          </cell>
          <cell r="G255">
            <v>0</v>
          </cell>
          <cell r="H255">
            <v>0</v>
          </cell>
          <cell r="CU255">
            <v>7200.2403389335859</v>
          </cell>
          <cell r="CX255">
            <v>0</v>
          </cell>
          <cell r="DJ255">
            <v>82074.127674297124</v>
          </cell>
          <cell r="DM255">
            <v>5.615974057354018</v>
          </cell>
          <cell r="DO255">
            <v>5.0380969556443516</v>
          </cell>
          <cell r="EA255">
            <v>1535.8563320544279</v>
          </cell>
        </row>
        <row r="256">
          <cell r="F256">
            <v>3107.5</v>
          </cell>
          <cell r="G256">
            <v>0</v>
          </cell>
          <cell r="H256">
            <v>67</v>
          </cell>
          <cell r="CU256">
            <v>15803.922707953645</v>
          </cell>
          <cell r="CX256">
            <v>790.19613539768227</v>
          </cell>
          <cell r="DJ256">
            <v>189551.41955387307</v>
          </cell>
          <cell r="DM256">
            <v>5.2370000000000001</v>
          </cell>
          <cell r="DO256">
            <v>4.7779999999999996</v>
          </cell>
          <cell r="EA256">
            <v>5398.9068520606106</v>
          </cell>
        </row>
        <row r="257">
          <cell r="F257">
            <v>603.29999999999995</v>
          </cell>
          <cell r="G257">
            <v>0</v>
          </cell>
          <cell r="H257">
            <v>0</v>
          </cell>
          <cell r="CU257">
            <v>3816.9597753534613</v>
          </cell>
          <cell r="CX257">
            <v>57.254396630301919</v>
          </cell>
          <cell r="DJ257">
            <v>44176.271668317124</v>
          </cell>
          <cell r="DM257">
            <v>6.4217042466165477</v>
          </cell>
          <cell r="DO257">
            <v>5.5984128955008901</v>
          </cell>
          <cell r="EA257">
            <v>1102.9073017009889</v>
          </cell>
        </row>
        <row r="258">
          <cell r="F258">
            <v>211.6</v>
          </cell>
          <cell r="G258">
            <v>0</v>
          </cell>
          <cell r="H258">
            <v>0</v>
          </cell>
          <cell r="CU258">
            <v>372.58901308403995</v>
          </cell>
          <cell r="CX258">
            <v>5.5888351962605993</v>
          </cell>
          <cell r="DJ258">
            <v>4303.8187543236781</v>
          </cell>
          <cell r="DM258">
            <v>1.7872299068067135</v>
          </cell>
          <cell r="DO258">
            <v>1.7872299068067135</v>
          </cell>
          <cell r="EA258">
            <v>291.74031588348095</v>
          </cell>
        </row>
        <row r="259">
          <cell r="F259">
            <v>4198.2</v>
          </cell>
          <cell r="G259">
            <v>460.2</v>
          </cell>
          <cell r="H259">
            <v>0</v>
          </cell>
          <cell r="CU259">
            <v>28981.360780119005</v>
          </cell>
          <cell r="CX259">
            <v>724.53401950297518</v>
          </cell>
          <cell r="DJ259">
            <v>339139.24647911353</v>
          </cell>
          <cell r="DM259">
            <v>5.8748293012241479</v>
          </cell>
          <cell r="DN259">
            <v>7.2237288269659246</v>
          </cell>
          <cell r="DO259">
            <v>5.0025819474508628</v>
          </cell>
          <cell r="EA259">
            <v>7120.505305963984</v>
          </cell>
        </row>
        <row r="260">
          <cell r="F260">
            <v>229.7</v>
          </cell>
          <cell r="G260">
            <v>0</v>
          </cell>
          <cell r="H260">
            <v>0</v>
          </cell>
          <cell r="CU260">
            <v>437.9510083092718</v>
          </cell>
          <cell r="CX260">
            <v>6.5692651246390765</v>
          </cell>
          <cell r="DJ260">
            <v>5056.1105895839864</v>
          </cell>
          <cell r="DM260">
            <v>1.9352210423766256</v>
          </cell>
          <cell r="DO260">
            <v>1.9352210423766256</v>
          </cell>
          <cell r="EA260">
            <v>328.49052607641823</v>
          </cell>
        </row>
        <row r="261">
          <cell r="F261">
            <v>409.7</v>
          </cell>
          <cell r="G261">
            <v>0</v>
          </cell>
          <cell r="H261">
            <v>0</v>
          </cell>
          <cell r="CU261">
            <v>2457.8294955582141</v>
          </cell>
          <cell r="CX261">
            <v>0</v>
          </cell>
          <cell r="DJ261">
            <v>28021.298905970514</v>
          </cell>
          <cell r="DM261">
            <v>5.9990956689241246</v>
          </cell>
          <cell r="DO261">
            <v>5.1469121147530057</v>
          </cell>
          <cell r="EA261">
            <v>671.83050926228361</v>
          </cell>
        </row>
        <row r="262">
          <cell r="F262">
            <v>188.44</v>
          </cell>
          <cell r="G262">
            <v>0</v>
          </cell>
          <cell r="H262">
            <v>0</v>
          </cell>
          <cell r="CU262">
            <v>353.88117211436952</v>
          </cell>
          <cell r="CX262">
            <v>8.8470293028592391</v>
          </cell>
          <cell r="DJ262">
            <v>4134.3016112747055</v>
          </cell>
          <cell r="DM262">
            <v>1.924900241016922</v>
          </cell>
          <cell r="DO262">
            <v>1.924900241016922</v>
          </cell>
          <cell r="EA262">
            <v>244.57163169062977</v>
          </cell>
        </row>
        <row r="263">
          <cell r="F263">
            <v>386.5</v>
          </cell>
          <cell r="G263">
            <v>0</v>
          </cell>
          <cell r="H263">
            <v>64.099999999999994</v>
          </cell>
          <cell r="CU263">
            <v>2490.0161165591139</v>
          </cell>
          <cell r="CX263">
            <v>62.250402913977851</v>
          </cell>
          <cell r="DJ263">
            <v>29126.679266321356</v>
          </cell>
          <cell r="DM263">
            <v>5.8458989361671208</v>
          </cell>
          <cell r="DO263">
            <v>4.5682773891497535</v>
          </cell>
          <cell r="EA263">
            <v>520.34803956334667</v>
          </cell>
        </row>
        <row r="264">
          <cell r="F264">
            <v>2102.6</v>
          </cell>
          <cell r="G264">
            <v>0</v>
          </cell>
          <cell r="H264">
            <v>0</v>
          </cell>
          <cell r="CU264">
            <v>10166.36637331869</v>
          </cell>
          <cell r="CX264">
            <v>508.3183186659345</v>
          </cell>
          <cell r="DJ264">
            <v>121798.96223342045</v>
          </cell>
          <cell r="DM264">
            <v>5.0768975040353022</v>
          </cell>
          <cell r="DO264">
            <v>4.4996697982394105</v>
          </cell>
          <cell r="EA264">
            <v>3409.5812603043178</v>
          </cell>
        </row>
        <row r="265">
          <cell r="F265">
            <v>2723.3</v>
          </cell>
          <cell r="G265">
            <v>0</v>
          </cell>
          <cell r="H265">
            <v>68.599999999999994</v>
          </cell>
          <cell r="CU265">
            <v>14697.370154950184</v>
          </cell>
          <cell r="CX265">
            <v>367.43425387375464</v>
          </cell>
          <cell r="DJ265">
            <v>171811.76182815887</v>
          </cell>
          <cell r="DM265">
            <v>5.412183677476607</v>
          </cell>
          <cell r="DO265">
            <v>4.7493381917185538</v>
          </cell>
          <cell r="EA265">
            <v>3798.0357523012085</v>
          </cell>
        </row>
        <row r="266">
          <cell r="F266">
            <v>3559.5</v>
          </cell>
          <cell r="G266">
            <v>0</v>
          </cell>
          <cell r="H266">
            <v>0</v>
          </cell>
          <cell r="CU266">
            <v>17843.698534541352</v>
          </cell>
          <cell r="CX266">
            <v>535.31095603624055</v>
          </cell>
          <cell r="DJ266">
            <v>210941.4677389586</v>
          </cell>
          <cell r="DM266">
            <v>5.1633683075088053</v>
          </cell>
          <cell r="DO266">
            <v>4.6558978922695511</v>
          </cell>
          <cell r="EA266">
            <v>6631.4521964444839</v>
          </cell>
        </row>
        <row r="267">
          <cell r="F267">
            <v>3575.2</v>
          </cell>
          <cell r="G267">
            <v>0</v>
          </cell>
          <cell r="H267">
            <v>0</v>
          </cell>
          <cell r="CU267">
            <v>18733.680336176556</v>
          </cell>
          <cell r="CX267">
            <v>655.67881176617948</v>
          </cell>
          <cell r="DJ267">
            <v>222277.98502350171</v>
          </cell>
          <cell r="DM267">
            <v>5.4232935634209927</v>
          </cell>
          <cell r="DO267">
            <v>4.8748839818913812</v>
          </cell>
          <cell r="EA267">
            <v>6644.4924545289396</v>
          </cell>
        </row>
        <row r="268">
          <cell r="F268">
            <v>3564.2</v>
          </cell>
          <cell r="G268">
            <v>0</v>
          </cell>
          <cell r="H268">
            <v>0</v>
          </cell>
          <cell r="CU268">
            <v>18253.344563194412</v>
          </cell>
          <cell r="CX268">
            <v>912.66722815972071</v>
          </cell>
          <cell r="DJ268">
            <v>219727.29382991957</v>
          </cell>
          <cell r="DM268">
            <v>5.3773670925745289</v>
          </cell>
          <cell r="DO268">
            <v>4.8367878208860198</v>
          </cell>
          <cell r="EA268">
            <v>6122.2423300787441</v>
          </cell>
        </row>
        <row r="269">
          <cell r="F269">
            <v>3571.96</v>
          </cell>
          <cell r="G269">
            <v>0</v>
          </cell>
          <cell r="H269">
            <v>0</v>
          </cell>
          <cell r="CU269">
            <v>19583.450567173226</v>
          </cell>
          <cell r="CX269">
            <v>626.67041814954325</v>
          </cell>
          <cell r="DJ269">
            <v>231851.22608752601</v>
          </cell>
          <cell r="DM269">
            <v>5.6579919666857323</v>
          </cell>
          <cell r="DO269">
            <v>5.1170141560784481</v>
          </cell>
          <cell r="EA269">
            <v>6623.6727626519851</v>
          </cell>
        </row>
        <row r="270">
          <cell r="F270">
            <v>4471.5</v>
          </cell>
          <cell r="G270">
            <v>0</v>
          </cell>
          <cell r="H270">
            <v>100.8</v>
          </cell>
          <cell r="CU270">
            <v>23042.079718495515</v>
          </cell>
          <cell r="CX270">
            <v>875.59902930282954</v>
          </cell>
          <cell r="DJ270">
            <v>272710.89694175182</v>
          </cell>
          <cell r="DM270">
            <v>5.2439480293555603</v>
          </cell>
          <cell r="DO270">
            <v>4.6564001441959633</v>
          </cell>
          <cell r="EA270">
            <v>7181.7657330993443</v>
          </cell>
        </row>
        <row r="271">
          <cell r="F271">
            <v>4538</v>
          </cell>
          <cell r="G271">
            <v>0</v>
          </cell>
          <cell r="H271">
            <v>39.799999999999997</v>
          </cell>
          <cell r="CU271">
            <v>24269.418950756994</v>
          </cell>
          <cell r="CX271">
            <v>970.77675803027978</v>
          </cell>
          <cell r="DJ271">
            <v>288609.59650236164</v>
          </cell>
          <cell r="DM271">
            <v>5.5186451981587474</v>
          </cell>
          <cell r="DO271">
            <v>4.9392914458008939</v>
          </cell>
          <cell r="EA271">
            <v>8158.0209474165331</v>
          </cell>
        </row>
        <row r="272">
          <cell r="F272">
            <v>3208.93</v>
          </cell>
          <cell r="G272">
            <v>0</v>
          </cell>
          <cell r="H272">
            <v>0</v>
          </cell>
          <cell r="CU272">
            <v>17291.464678321499</v>
          </cell>
          <cell r="CX272">
            <v>864.57323391607497</v>
          </cell>
          <cell r="DJ272">
            <v>206994.54554737516</v>
          </cell>
          <cell r="DM272">
            <v>5.6579725678770103</v>
          </cell>
          <cell r="DO272">
            <v>5.0529896741435163</v>
          </cell>
          <cell r="EA272">
            <v>4878.1375343076643</v>
          </cell>
        </row>
        <row r="273">
          <cell r="F273">
            <v>5131.2</v>
          </cell>
          <cell r="G273">
            <v>0</v>
          </cell>
          <cell r="H273">
            <v>1125.4000000000001</v>
          </cell>
          <cell r="CU273">
            <v>31726.627354126758</v>
          </cell>
          <cell r="CX273">
            <v>1205.6118394568168</v>
          </cell>
          <cell r="DJ273">
            <v>377038.03991840908</v>
          </cell>
          <cell r="DM273">
            <v>5.3818515896628938</v>
          </cell>
          <cell r="DO273">
            <v>4.7244378147372768</v>
          </cell>
          <cell r="EA273">
            <v>11022.44839023748</v>
          </cell>
        </row>
        <row r="274">
          <cell r="F274">
            <v>2767.8</v>
          </cell>
          <cell r="G274">
            <v>0</v>
          </cell>
          <cell r="H274">
            <v>0</v>
          </cell>
          <cell r="CU274">
            <v>16394.659866292845</v>
          </cell>
          <cell r="CX274">
            <v>327.89319732585687</v>
          </cell>
          <cell r="DJ274">
            <v>190676.44223648231</v>
          </cell>
          <cell r="DM274">
            <v>6.0418213251025001</v>
          </cell>
          <cell r="DO274">
            <v>5.360875588508736</v>
          </cell>
          <cell r="EA274">
            <v>5451.0292365269024</v>
          </cell>
        </row>
        <row r="275">
          <cell r="F275">
            <v>4580.3</v>
          </cell>
          <cell r="G275">
            <v>0</v>
          </cell>
          <cell r="H275">
            <v>0</v>
          </cell>
          <cell r="CU275">
            <v>24044.715388938977</v>
          </cell>
          <cell r="CX275">
            <v>865.60975400180314</v>
          </cell>
          <cell r="DJ275">
            <v>285273.11160288053</v>
          </cell>
          <cell r="DM275">
            <v>5.438579381905285</v>
          </cell>
          <cell r="DO275">
            <v>4.9063521981529528</v>
          </cell>
          <cell r="EA275">
            <v>8074.3083393675752</v>
          </cell>
        </row>
        <row r="276">
          <cell r="F276">
            <v>5975.2</v>
          </cell>
          <cell r="G276">
            <v>0</v>
          </cell>
          <cell r="H276">
            <v>235.9</v>
          </cell>
          <cell r="CU276">
            <v>34288.992698429181</v>
          </cell>
          <cell r="CX276">
            <v>1371.5597079371673</v>
          </cell>
          <cell r="DJ276">
            <v>408777.78056508739</v>
          </cell>
          <cell r="DM276">
            <v>5.7645850492323483</v>
          </cell>
          <cell r="DO276">
            <v>5.1547427731802626</v>
          </cell>
          <cell r="EA276">
            <v>9589.6627331877171</v>
          </cell>
        </row>
        <row r="277">
          <cell r="F277">
            <v>2685</v>
          </cell>
          <cell r="G277">
            <v>0</v>
          </cell>
          <cell r="H277">
            <v>486.42</v>
          </cell>
          <cell r="CU277">
            <v>15537.083267833408</v>
          </cell>
          <cell r="CX277">
            <v>776.85416339167045</v>
          </cell>
          <cell r="DJ277">
            <v>186695.48038589637</v>
          </cell>
          <cell r="DM277">
            <v>5.271166016720386</v>
          </cell>
          <cell r="DO277">
            <v>4.4423680694273306</v>
          </cell>
          <cell r="EA277">
            <v>5524.3384675463685</v>
          </cell>
        </row>
        <row r="278">
          <cell r="F278">
            <v>2595.6999999999998</v>
          </cell>
          <cell r="G278">
            <v>0</v>
          </cell>
          <cell r="H278">
            <v>569.6</v>
          </cell>
          <cell r="CU278">
            <v>16482.471897197254</v>
          </cell>
          <cell r="CX278">
            <v>824.12359485986281</v>
          </cell>
          <cell r="DJ278">
            <v>198668.31870168657</v>
          </cell>
          <cell r="DM278">
            <v>5.6199840461890558</v>
          </cell>
          <cell r="DO278">
            <v>4.7731792545017298</v>
          </cell>
          <cell r="EA278">
            <v>5117.8513542715482</v>
          </cell>
        </row>
        <row r="279">
          <cell r="F279">
            <v>4456.6000000000004</v>
          </cell>
          <cell r="G279">
            <v>0</v>
          </cell>
          <cell r="H279">
            <v>0</v>
          </cell>
          <cell r="CU279">
            <v>23629.220466980016</v>
          </cell>
          <cell r="CX279">
            <v>1181.4610233490009</v>
          </cell>
          <cell r="DJ279">
            <v>282953.94367391209</v>
          </cell>
          <cell r="DM279">
            <v>5.5671771059392858</v>
          </cell>
          <cell r="DO279">
            <v>4.9547402969218979</v>
          </cell>
          <cell r="EA279">
            <v>7423.5493670235246</v>
          </cell>
        </row>
        <row r="280">
          <cell r="F280">
            <v>3569.1</v>
          </cell>
          <cell r="G280">
            <v>0</v>
          </cell>
          <cell r="H280">
            <v>101</v>
          </cell>
          <cell r="CU280">
            <v>16680.367708053389</v>
          </cell>
          <cell r="CX280">
            <v>834.01838540266954</v>
          </cell>
          <cell r="DJ280">
            <v>199904.93809974895</v>
          </cell>
          <cell r="DM280">
            <v>4.7885260108503545</v>
          </cell>
          <cell r="DO280">
            <v>4.1946327537629511</v>
          </cell>
          <cell r="EA280">
            <v>4005.8467167321396</v>
          </cell>
        </row>
        <row r="281">
          <cell r="F281">
            <v>275.8</v>
          </cell>
          <cell r="G281">
            <v>0</v>
          </cell>
          <cell r="H281">
            <v>0</v>
          </cell>
          <cell r="CU281">
            <v>523.73408479238026</v>
          </cell>
          <cell r="CX281">
            <v>23.56803381565711</v>
          </cell>
          <cell r="DJ281">
            <v>6233.5704571273436</v>
          </cell>
          <cell r="DM281">
            <v>1.9844166737057194</v>
          </cell>
          <cell r="DO281">
            <v>1.9844166737057194</v>
          </cell>
          <cell r="EA281">
            <v>390.34659180532924</v>
          </cell>
        </row>
        <row r="282">
          <cell r="F282">
            <v>146.1</v>
          </cell>
          <cell r="G282">
            <v>0</v>
          </cell>
          <cell r="H282">
            <v>0</v>
          </cell>
          <cell r="CU282">
            <v>254.87128868273234</v>
          </cell>
          <cell r="CX282">
            <v>3.8230693302409855</v>
          </cell>
          <cell r="DJ282">
            <v>2950.1477564126681</v>
          </cell>
          <cell r="DM282">
            <v>1.7706663792811317</v>
          </cell>
          <cell r="DO282">
            <v>1.7706663792811317</v>
          </cell>
          <cell r="EA282">
            <v>181.28902300686084</v>
          </cell>
        </row>
        <row r="283">
          <cell r="F283">
            <v>3818.4</v>
          </cell>
          <cell r="G283">
            <v>276.3</v>
          </cell>
          <cell r="H283">
            <v>172.3</v>
          </cell>
          <cell r="CU283">
            <v>28938.109655356206</v>
          </cell>
          <cell r="CX283">
            <v>723.45274138390516</v>
          </cell>
          <cell r="DJ283">
            <v>339383.04283131612</v>
          </cell>
          <cell r="DM283">
            <v>6.1147289173784554</v>
          </cell>
          <cell r="DN283">
            <v>7.6627541647294617</v>
          </cell>
          <cell r="DO283">
            <v>4.8161420196182156</v>
          </cell>
          <cell r="EA283">
            <v>8137.6692232802343</v>
          </cell>
        </row>
        <row r="284">
          <cell r="F284">
            <v>11337.62</v>
          </cell>
          <cell r="G284">
            <v>1200.4000000000001</v>
          </cell>
          <cell r="H284">
            <v>0</v>
          </cell>
          <cell r="CU284">
            <v>75732.478502453203</v>
          </cell>
          <cell r="CX284">
            <v>1893.3119625613301</v>
          </cell>
          <cell r="DJ284">
            <v>884868.96964928461</v>
          </cell>
          <cell r="DM284">
            <v>5.7553237519541813</v>
          </cell>
          <cell r="DN284">
            <v>6.975985510146641</v>
          </cell>
          <cell r="DO284">
            <v>4.6123696798518656</v>
          </cell>
          <cell r="EA284">
            <v>21679.184094581866</v>
          </cell>
        </row>
        <row r="285">
          <cell r="F285">
            <v>13211.52</v>
          </cell>
          <cell r="G285">
            <v>1410.95</v>
          </cell>
          <cell r="H285">
            <v>6.8</v>
          </cell>
          <cell r="CU285">
            <v>94477.513299492231</v>
          </cell>
          <cell r="CX285">
            <v>944.77513299492239</v>
          </cell>
          <cell r="DJ285">
            <v>1089838.4076646802</v>
          </cell>
          <cell r="DM285">
            <v>5.6783670549528935</v>
          </cell>
          <cell r="DN285">
            <v>7.4045391561487488</v>
          </cell>
          <cell r="DO285">
            <v>4.7961480039910986</v>
          </cell>
          <cell r="EA285">
            <v>26366.094260990783</v>
          </cell>
        </row>
        <row r="286">
          <cell r="F286">
            <v>5689.68</v>
          </cell>
          <cell r="G286">
            <v>618.45000000000005</v>
          </cell>
          <cell r="H286">
            <v>0</v>
          </cell>
          <cell r="CU286">
            <v>41672.408057648434</v>
          </cell>
          <cell r="CX286">
            <v>625.08612086472647</v>
          </cell>
          <cell r="DJ286">
            <v>483790.24137274438</v>
          </cell>
          <cell r="DM286">
            <v>5.7222200775467051</v>
          </cell>
          <cell r="DN286">
            <v>7.6428375702846045</v>
          </cell>
          <cell r="DO286">
            <v>5.1367542031353928</v>
          </cell>
          <cell r="EA286">
            <v>11292.64184073656</v>
          </cell>
        </row>
        <row r="287">
          <cell r="F287">
            <v>6720.79</v>
          </cell>
          <cell r="G287">
            <v>727.4</v>
          </cell>
          <cell r="H287">
            <v>94.6</v>
          </cell>
          <cell r="CU287">
            <v>40867.066198240929</v>
          </cell>
          <cell r="CX287">
            <v>326.93652958592742</v>
          </cell>
          <cell r="DJ287">
            <v>468312.29347620212</v>
          </cell>
          <cell r="DM287">
            <v>5.0613510014502827</v>
          </cell>
          <cell r="DN287">
            <v>6.1907993480077117</v>
          </cell>
          <cell r="DO287">
            <v>4.3181934991117972</v>
          </cell>
          <cell r="EA287">
            <v>9382.8768774239088</v>
          </cell>
        </row>
        <row r="288">
          <cell r="F288">
            <v>2823.8</v>
          </cell>
          <cell r="G288">
            <v>312.10000000000002</v>
          </cell>
          <cell r="H288">
            <v>0</v>
          </cell>
          <cell r="CU288">
            <v>16089.045828681434</v>
          </cell>
          <cell r="CX288">
            <v>402.22614571703588</v>
          </cell>
          <cell r="DJ288">
            <v>188104.30867090996</v>
          </cell>
          <cell r="DM288">
            <v>5.149648230635222</v>
          </cell>
          <cell r="DN288">
            <v>5.9258935229594369</v>
          </cell>
          <cell r="DO288">
            <v>4.3143303011559286</v>
          </cell>
          <cell r="EA288">
            <v>3777.9300798941508</v>
          </cell>
        </row>
        <row r="289">
          <cell r="F289">
            <v>90.7</v>
          </cell>
          <cell r="G289">
            <v>0</v>
          </cell>
          <cell r="H289">
            <v>0</v>
          </cell>
          <cell r="CU289">
            <v>195.72352235543164</v>
          </cell>
          <cell r="CX289">
            <v>4.893088058885791</v>
          </cell>
          <cell r="DJ289">
            <v>2287.5096501472335</v>
          </cell>
          <cell r="DM289">
            <v>2.2118700155933562</v>
          </cell>
          <cell r="DO289">
            <v>2.2118700155933562</v>
          </cell>
          <cell r="EA289">
            <v>150.66471341342643</v>
          </cell>
        </row>
        <row r="290">
          <cell r="F290">
            <v>171</v>
          </cell>
          <cell r="G290">
            <v>0</v>
          </cell>
          <cell r="H290">
            <v>0</v>
          </cell>
          <cell r="CU290">
            <v>271.20364132555562</v>
          </cell>
          <cell r="CX290">
            <v>6.7800910331388895</v>
          </cell>
          <cell r="DJ290">
            <v>3165.9777756306516</v>
          </cell>
          <cell r="DM290">
            <v>1.6256358617467512</v>
          </cell>
          <cell r="DO290">
            <v>1.6256358617467512</v>
          </cell>
          <cell r="EA290">
            <v>218.9667291572911</v>
          </cell>
        </row>
        <row r="291">
          <cell r="F291">
            <v>2653.7</v>
          </cell>
          <cell r="G291">
            <v>0</v>
          </cell>
          <cell r="H291">
            <v>193.2</v>
          </cell>
          <cell r="CU291">
            <v>13204.788978658078</v>
          </cell>
          <cell r="CX291">
            <v>330.119724466452</v>
          </cell>
          <cell r="DJ291">
            <v>154615.1688332138</v>
          </cell>
          <cell r="DM291">
            <v>4.804489651453598</v>
          </cell>
          <cell r="DO291">
            <v>4.0643608440068304</v>
          </cell>
          <cell r="EA291">
            <v>4150.4655203115344</v>
          </cell>
        </row>
        <row r="292">
          <cell r="F292">
            <v>1773.9</v>
          </cell>
          <cell r="G292">
            <v>0</v>
          </cell>
          <cell r="H292">
            <v>522.79999999999995</v>
          </cell>
          <cell r="CU292">
            <v>9556.0510058870841</v>
          </cell>
          <cell r="CX292">
            <v>238.9012751471771</v>
          </cell>
          <cell r="DJ292">
            <v>111826.52641462987</v>
          </cell>
          <cell r="DM292">
            <v>4.4179691940324739</v>
          </cell>
          <cell r="DO292">
            <v>3.7450587753252771</v>
          </cell>
          <cell r="EA292">
            <v>2949.5189330261414</v>
          </cell>
        </row>
        <row r="293">
          <cell r="F293">
            <v>2311.4</v>
          </cell>
          <cell r="G293">
            <v>0</v>
          </cell>
          <cell r="H293">
            <v>261.7</v>
          </cell>
          <cell r="CU293">
            <v>12786.973629064294</v>
          </cell>
          <cell r="CX293">
            <v>191.80460443596439</v>
          </cell>
          <cell r="DJ293">
            <v>148244.22616337735</v>
          </cell>
          <cell r="DM293">
            <v>5.1095284410893109</v>
          </cell>
          <cell r="DO293">
            <v>4.4654726586412927</v>
          </cell>
          <cell r="EA293">
            <v>4519.7192251616907</v>
          </cell>
        </row>
        <row r="294">
          <cell r="F294">
            <v>3567.9</v>
          </cell>
          <cell r="G294">
            <v>0</v>
          </cell>
          <cell r="H294">
            <v>0</v>
          </cell>
          <cell r="CU294">
            <v>18338.161378803106</v>
          </cell>
          <cell r="CX294">
            <v>550.14484136409305</v>
          </cell>
          <cell r="DJ294">
            <v>215904.52391916412</v>
          </cell>
          <cell r="DM294">
            <v>5.2939561703431135</v>
          </cell>
          <cell r="DO294">
            <v>4.7751456948794209</v>
          </cell>
          <cell r="EA294">
            <v>6573.8626724815931</v>
          </cell>
        </row>
        <row r="295">
          <cell r="F295">
            <v>3340.7</v>
          </cell>
          <cell r="G295">
            <v>0</v>
          </cell>
          <cell r="H295">
            <v>291</v>
          </cell>
          <cell r="CU295">
            <v>17535.691192355978</v>
          </cell>
          <cell r="CX295">
            <v>438.3922798088995</v>
          </cell>
          <cell r="DJ295">
            <v>204896.73534115899</v>
          </cell>
          <cell r="DM295">
            <v>5.0013359736375955</v>
          </cell>
          <cell r="DO295">
            <v>4.3509291581916338</v>
          </cell>
          <cell r="EA295">
            <v>5405.7618852343776</v>
          </cell>
        </row>
        <row r="296">
          <cell r="F296">
            <v>1236.8</v>
          </cell>
          <cell r="G296">
            <v>0</v>
          </cell>
          <cell r="H296">
            <v>129.30000000000001</v>
          </cell>
          <cell r="CU296">
            <v>7644.7980060202626</v>
          </cell>
          <cell r="CX296">
            <v>191.11995015050658</v>
          </cell>
          <cell r="DJ296">
            <v>89396.358304740192</v>
          </cell>
          <cell r="DM296">
            <v>5.8327960145512847</v>
          </cell>
          <cell r="DO296">
            <v>4.8098673269430785</v>
          </cell>
          <cell r="EA296">
            <v>2042.7453668059477</v>
          </cell>
        </row>
        <row r="297">
          <cell r="F297">
            <v>1504.4</v>
          </cell>
          <cell r="G297">
            <v>0</v>
          </cell>
          <cell r="H297">
            <v>0</v>
          </cell>
          <cell r="CU297">
            <v>8194.125640511731</v>
          </cell>
          <cell r="CX297">
            <v>204.85314101279329</v>
          </cell>
          <cell r="DJ297">
            <v>95838.917053276469</v>
          </cell>
          <cell r="DM297">
            <v>5.5829425561848733</v>
          </cell>
          <cell r="DO297">
            <v>5.0687000046261232</v>
          </cell>
          <cell r="EA297">
            <v>1882.4938620155544</v>
          </cell>
        </row>
        <row r="298">
          <cell r="F298">
            <v>2273.5</v>
          </cell>
          <cell r="G298">
            <v>0</v>
          </cell>
          <cell r="H298">
            <v>320.8</v>
          </cell>
          <cell r="CU298">
            <v>13521.108363310996</v>
          </cell>
          <cell r="CX298">
            <v>338.02770908277489</v>
          </cell>
          <cell r="DJ298">
            <v>160325.0436000996</v>
          </cell>
          <cell r="DM298">
            <v>5.4404260807513758</v>
          </cell>
          <cell r="DO298">
            <v>4.6456589083713071</v>
          </cell>
          <cell r="EA298">
            <v>3929.501895188655</v>
          </cell>
        </row>
        <row r="299">
          <cell r="F299">
            <v>1700.4</v>
          </cell>
          <cell r="G299">
            <v>0</v>
          </cell>
          <cell r="H299">
            <v>169</v>
          </cell>
          <cell r="CU299">
            <v>9155.2870786751973</v>
          </cell>
          <cell r="CX299">
            <v>183.10574157350396</v>
          </cell>
          <cell r="DJ299">
            <v>105693.61252890692</v>
          </cell>
          <cell r="DM299">
            <v>5.0443858289526151</v>
          </cell>
          <cell r="DO299">
            <v>4.502480217145993</v>
          </cell>
          <cell r="EA299">
            <v>2639.9756909472949</v>
          </cell>
        </row>
        <row r="300">
          <cell r="F300">
            <v>275.3</v>
          </cell>
          <cell r="G300">
            <v>0</v>
          </cell>
          <cell r="H300">
            <v>0</v>
          </cell>
          <cell r="CU300">
            <v>416.32291030960943</v>
          </cell>
          <cell r="CX300">
            <v>10.408072757740236</v>
          </cell>
          <cell r="DJ300">
            <v>4862.4667097480806</v>
          </cell>
          <cell r="DM300">
            <v>1.5500580569100968</v>
          </cell>
          <cell r="DO300">
            <v>1.5500580569100968</v>
          </cell>
          <cell r="EA300">
            <v>271.2737955636872</v>
          </cell>
        </row>
        <row r="301">
          <cell r="F301">
            <v>304.89999999999998</v>
          </cell>
          <cell r="G301">
            <v>0</v>
          </cell>
          <cell r="H301">
            <v>0</v>
          </cell>
          <cell r="CU301">
            <v>734.69911471223031</v>
          </cell>
          <cell r="CX301">
            <v>18.367477867805757</v>
          </cell>
          <cell r="DJ301">
            <v>8577.313339821314</v>
          </cell>
          <cell r="DM301">
            <v>2.4698805922598757</v>
          </cell>
          <cell r="DO301">
            <v>2.391290120978494</v>
          </cell>
          <cell r="EA301">
            <v>521.92128932215587</v>
          </cell>
        </row>
        <row r="302">
          <cell r="F302">
            <v>168.1</v>
          </cell>
          <cell r="G302">
            <v>0</v>
          </cell>
          <cell r="H302">
            <v>0</v>
          </cell>
          <cell r="CU302">
            <v>230.76339400233724</v>
          </cell>
          <cell r="CX302">
            <v>5.7690848500584311</v>
          </cell>
          <cell r="DJ302">
            <v>2710.7970559423329</v>
          </cell>
          <cell r="DM302">
            <v>1.40709386586791</v>
          </cell>
          <cell r="DO302">
            <v>1.40709386586791</v>
          </cell>
          <cell r="EA302">
            <v>202.35286471552777</v>
          </cell>
        </row>
        <row r="303">
          <cell r="F303">
            <v>2762.24</v>
          </cell>
          <cell r="G303">
            <v>0</v>
          </cell>
          <cell r="H303">
            <v>0</v>
          </cell>
          <cell r="CU303">
            <v>15674.315395895392</v>
          </cell>
          <cell r="CX303">
            <v>0</v>
          </cell>
          <cell r="DJ303">
            <v>178561.78113325994</v>
          </cell>
          <cell r="DM303">
            <v>5.674494394366671</v>
          </cell>
          <cell r="DO303">
            <v>5.0270406300424497</v>
          </cell>
          <cell r="EA303">
            <v>4304.6694952313865</v>
          </cell>
        </row>
        <row r="304">
          <cell r="F304">
            <v>4396.8</v>
          </cell>
          <cell r="G304">
            <v>394.3</v>
          </cell>
          <cell r="H304">
            <v>0</v>
          </cell>
          <cell r="CU304">
            <v>31680.957439583093</v>
          </cell>
          <cell r="CX304">
            <v>316.80957439583096</v>
          </cell>
          <cell r="DJ304">
            <v>365922.50067913637</v>
          </cell>
          <cell r="DM304">
            <v>6.163043273014793</v>
          </cell>
          <cell r="DN304">
            <v>7.3873026986706289</v>
          </cell>
          <cell r="DO304">
            <v>5.0695039878876198</v>
          </cell>
          <cell r="EA304">
            <v>6839.5254493468528</v>
          </cell>
        </row>
        <row r="305">
          <cell r="F305">
            <v>4752.1000000000004</v>
          </cell>
          <cell r="G305">
            <v>455.3</v>
          </cell>
          <cell r="H305">
            <v>0</v>
          </cell>
          <cell r="CU305">
            <v>31198.262157280416</v>
          </cell>
          <cell r="CX305">
            <v>467.97393235920623</v>
          </cell>
          <cell r="DJ305">
            <v>363281.31081025105</v>
          </cell>
          <cell r="DM305">
            <v>5.3920382333823982</v>
          </cell>
          <cell r="DN305">
            <v>6.7983711324661655</v>
          </cell>
          <cell r="DO305">
            <v>4.5123446787150341</v>
          </cell>
          <cell r="EA305">
            <v>7442.2835289377344</v>
          </cell>
        </row>
        <row r="306">
          <cell r="F306">
            <v>1578.7</v>
          </cell>
          <cell r="G306">
            <v>0</v>
          </cell>
          <cell r="H306">
            <v>0</v>
          </cell>
          <cell r="CU306">
            <v>11069.07240689607</v>
          </cell>
          <cell r="CX306">
            <v>110.69072406896071</v>
          </cell>
          <cell r="DJ306">
            <v>128102.14754292968</v>
          </cell>
          <cell r="DM306">
            <v>7.0816261043675368</v>
          </cell>
          <cell r="DO306">
            <v>6.3052884635276909</v>
          </cell>
          <cell r="EA306">
            <v>3170.6219241336107</v>
          </cell>
        </row>
        <row r="307">
          <cell r="F307">
            <v>525.20000000000005</v>
          </cell>
          <cell r="G307">
            <v>0</v>
          </cell>
          <cell r="H307">
            <v>105.9</v>
          </cell>
          <cell r="CU307">
            <v>3489.1924030612504</v>
          </cell>
          <cell r="CX307">
            <v>0</v>
          </cell>
          <cell r="DJ307">
            <v>40273.400144243933</v>
          </cell>
          <cell r="DM307">
            <v>5.6693432290313046</v>
          </cell>
          <cell r="DO307">
            <v>4.8314762905949848</v>
          </cell>
          <cell r="EA307">
            <v>712.46398598317035</v>
          </cell>
        </row>
        <row r="308">
          <cell r="F308">
            <v>128.19999999999999</v>
          </cell>
          <cell r="G308">
            <v>0</v>
          </cell>
          <cell r="H308">
            <v>0</v>
          </cell>
          <cell r="CU308">
            <v>305.34330674280784</v>
          </cell>
          <cell r="CX308">
            <v>4.580149601142117</v>
          </cell>
          <cell r="DJ308">
            <v>3535.7506775925663</v>
          </cell>
          <cell r="DM308">
            <v>2.4174996594691889</v>
          </cell>
          <cell r="DO308">
            <v>2.4174996594691889</v>
          </cell>
          <cell r="EA308">
            <v>238.80050205839609</v>
          </cell>
        </row>
        <row r="309">
          <cell r="F309">
            <v>4216.5600000000004</v>
          </cell>
          <cell r="G309">
            <v>460.11</v>
          </cell>
          <cell r="H309">
            <v>0</v>
          </cell>
          <cell r="CU309">
            <v>28629.116111071839</v>
          </cell>
          <cell r="CX309">
            <v>715.72790277679599</v>
          </cell>
          <cell r="DJ309">
            <v>336087.39204395749</v>
          </cell>
          <cell r="DM309">
            <v>5.9691141416610618</v>
          </cell>
          <cell r="DN309">
            <v>7.0807264587919336</v>
          </cell>
          <cell r="DO309">
            <v>5.0847417551530754</v>
          </cell>
          <cell r="EA309">
            <v>6746.9077301051047</v>
          </cell>
        </row>
        <row r="310">
          <cell r="F310">
            <v>172.4</v>
          </cell>
          <cell r="G310">
            <v>0</v>
          </cell>
          <cell r="H310">
            <v>0</v>
          </cell>
          <cell r="CU310">
            <v>297.47639570210589</v>
          </cell>
          <cell r="CX310">
            <v>4.4621459355315878</v>
          </cell>
          <cell r="DJ310">
            <v>3441.50383833656</v>
          </cell>
          <cell r="DM310">
            <v>1.7513836521904724</v>
          </cell>
          <cell r="DO310">
            <v>1.7513836521904724</v>
          </cell>
          <cell r="EA310">
            <v>192.49943200186436</v>
          </cell>
        </row>
        <row r="311">
          <cell r="F311">
            <v>261.2</v>
          </cell>
          <cell r="G311">
            <v>0</v>
          </cell>
          <cell r="H311">
            <v>0</v>
          </cell>
          <cell r="CU311">
            <v>1654.6002248293246</v>
          </cell>
          <cell r="CX311">
            <v>24.81900337243987</v>
          </cell>
          <cell r="DJ311">
            <v>19132.236269308072</v>
          </cell>
          <cell r="DM311">
            <v>6.4296295107265111</v>
          </cell>
          <cell r="DO311">
            <v>5.5283194960805897</v>
          </cell>
          <cell r="EA311">
            <v>446.39182655505823</v>
          </cell>
        </row>
        <row r="312">
          <cell r="F312">
            <v>128.6</v>
          </cell>
          <cell r="G312">
            <v>0</v>
          </cell>
          <cell r="H312">
            <v>0</v>
          </cell>
          <cell r="CU312">
            <v>243.87492132463183</v>
          </cell>
          <cell r="CX312">
            <v>3.658123819869477</v>
          </cell>
          <cell r="DJ312">
            <v>2821.6775033253512</v>
          </cell>
          <cell r="DM312">
            <v>1.9248292779510208</v>
          </cell>
          <cell r="DO312">
            <v>1.9248292779510208</v>
          </cell>
          <cell r="EA312">
            <v>191.63800915636733</v>
          </cell>
        </row>
        <row r="313">
          <cell r="F313">
            <v>252.8</v>
          </cell>
          <cell r="G313">
            <v>0</v>
          </cell>
          <cell r="H313">
            <v>0</v>
          </cell>
          <cell r="CU313">
            <v>455.17459000935958</v>
          </cell>
          <cell r="CX313">
            <v>11.379364750233991</v>
          </cell>
          <cell r="DJ313">
            <v>5352.7282463918018</v>
          </cell>
          <cell r="DM313">
            <v>1.8455457071186456</v>
          </cell>
          <cell r="DO313">
            <v>1.8455457071186456</v>
          </cell>
          <cell r="EA313">
            <v>417.29388429361364</v>
          </cell>
        </row>
        <row r="314">
          <cell r="F314">
            <v>126.2</v>
          </cell>
          <cell r="G314">
            <v>0</v>
          </cell>
          <cell r="H314">
            <v>0</v>
          </cell>
          <cell r="CU314">
            <v>228.50528312660271</v>
          </cell>
          <cell r="CX314">
            <v>5.7126320781650684</v>
          </cell>
          <cell r="DJ314">
            <v>2675.5653474071974</v>
          </cell>
          <cell r="DM314">
            <v>1.8559264279300138</v>
          </cell>
          <cell r="DO314">
            <v>1.8559264279300138</v>
          </cell>
          <cell r="EA314">
            <v>200.09475383979321</v>
          </cell>
        </row>
        <row r="315">
          <cell r="F315">
            <v>996.3</v>
          </cell>
          <cell r="G315">
            <v>0</v>
          </cell>
          <cell r="H315">
            <v>321.60000000000002</v>
          </cell>
          <cell r="CU315">
            <v>6493.5543114662014</v>
          </cell>
          <cell r="CX315">
            <v>162.33885778665504</v>
          </cell>
          <cell r="DJ315">
            <v>76034.322637288671</v>
          </cell>
          <cell r="DM315">
            <v>5.2752042217648372</v>
          </cell>
          <cell r="DO315">
            <v>4.3538781191186189</v>
          </cell>
          <cell r="EA315">
            <v>1863.1711695406009</v>
          </cell>
        </row>
        <row r="316">
          <cell r="F316">
            <v>6584.95</v>
          </cell>
          <cell r="G316">
            <v>226.3</v>
          </cell>
          <cell r="H316">
            <v>185.4</v>
          </cell>
          <cell r="CU316">
            <v>43772.62451469426</v>
          </cell>
          <cell r="CX316">
            <v>1094.3156128673565</v>
          </cell>
          <cell r="DJ316">
            <v>513772.74704701948</v>
          </cell>
          <cell r="DM316">
            <v>5.5386908077964438</v>
          </cell>
          <cell r="DN316">
            <v>6.7255476956885545</v>
          </cell>
          <cell r="DO316">
            <v>4.5745983957241814</v>
          </cell>
          <cell r="EA316">
            <v>11383.169726642836</v>
          </cell>
        </row>
        <row r="317">
          <cell r="F317">
            <v>4138.63</v>
          </cell>
          <cell r="G317">
            <v>406.76</v>
          </cell>
          <cell r="H317">
            <v>50</v>
          </cell>
          <cell r="CU317">
            <v>32471.834636272572</v>
          </cell>
          <cell r="CX317">
            <v>487.07751954408855</v>
          </cell>
          <cell r="DJ317">
            <v>376344.50430772215</v>
          </cell>
          <cell r="DM317">
            <v>6.6549573341133863</v>
          </cell>
          <cell r="DN317">
            <v>8.03051213994625</v>
          </cell>
          <cell r="DO317">
            <v>5.6622874178296785</v>
          </cell>
          <cell r="EA317">
            <v>8006.5759671986898</v>
          </cell>
        </row>
        <row r="318">
          <cell r="F318">
            <v>1762.3</v>
          </cell>
          <cell r="G318">
            <v>0</v>
          </cell>
          <cell r="H318">
            <v>304.2</v>
          </cell>
          <cell r="CU318">
            <v>7504.2109274428731</v>
          </cell>
          <cell r="CX318">
            <v>150.08421854885748</v>
          </cell>
          <cell r="DJ318">
            <v>87645.144437618757</v>
          </cell>
          <cell r="DM318">
            <v>3.7917691659095452</v>
          </cell>
          <cell r="DO318">
            <v>3.1954646446723847</v>
          </cell>
          <cell r="EA318">
            <v>2183.8971305450773</v>
          </cell>
        </row>
        <row r="319">
          <cell r="F319">
            <v>4483.3</v>
          </cell>
          <cell r="G319">
            <v>0</v>
          </cell>
          <cell r="H319">
            <v>1478</v>
          </cell>
          <cell r="CU319">
            <v>24643.949311201141</v>
          </cell>
          <cell r="CX319">
            <v>985.75797244804562</v>
          </cell>
          <cell r="DJ319">
            <v>292619.08196172246</v>
          </cell>
          <cell r="DM319">
            <v>4.4507393775632353</v>
          </cell>
          <cell r="DO319">
            <v>3.8401268147631495</v>
          </cell>
          <cell r="EA319">
            <v>8420.7669106810426</v>
          </cell>
        </row>
        <row r="320">
          <cell r="F320">
            <v>1452.8</v>
          </cell>
          <cell r="G320">
            <v>0</v>
          </cell>
          <cell r="H320">
            <v>0</v>
          </cell>
          <cell r="CU320">
            <v>6922.129036437871</v>
          </cell>
          <cell r="CX320">
            <v>103.83193554656806</v>
          </cell>
          <cell r="DJ320">
            <v>80106.887506688057</v>
          </cell>
          <cell r="DM320">
            <v>4.8361515500994212</v>
          </cell>
          <cell r="DO320">
            <v>4.1680281540345065</v>
          </cell>
          <cell r="EA320">
            <v>1946.6111988979978</v>
          </cell>
        </row>
        <row r="321">
          <cell r="F321">
            <v>3766.2</v>
          </cell>
          <cell r="G321">
            <v>0</v>
          </cell>
          <cell r="H321">
            <v>445.91</v>
          </cell>
          <cell r="CU321">
            <v>20026.007929531435</v>
          </cell>
          <cell r="CX321">
            <v>0</v>
          </cell>
          <cell r="DJ321">
            <v>228470.34352121671</v>
          </cell>
          <cell r="DM321">
            <v>4.8145216258326915</v>
          </cell>
          <cell r="DO321">
            <v>4.2464994781914625</v>
          </cell>
          <cell r="EA321">
            <v>6340.2909340228734</v>
          </cell>
        </row>
        <row r="322">
          <cell r="F322">
            <v>3203.6</v>
          </cell>
          <cell r="G322">
            <v>0</v>
          </cell>
          <cell r="H322">
            <v>0</v>
          </cell>
          <cell r="CU322">
            <v>16539.682405312273</v>
          </cell>
          <cell r="CX322">
            <v>0</v>
          </cell>
          <cell r="DJ322">
            <v>188411.70386889629</v>
          </cell>
          <cell r="DM322">
            <v>5.1628425537870744</v>
          </cell>
          <cell r="DO322">
            <v>4.6165674077947267</v>
          </cell>
          <cell r="EA322">
            <v>4851.5609324248608</v>
          </cell>
        </row>
        <row r="323">
          <cell r="F323">
            <v>1311.9</v>
          </cell>
          <cell r="G323">
            <v>0</v>
          </cell>
          <cell r="H323">
            <v>295.3</v>
          </cell>
          <cell r="CU323">
            <v>6156.4420692028834</v>
          </cell>
          <cell r="CX323">
            <v>153.9110517300721</v>
          </cell>
          <cell r="DJ323">
            <v>72519.339677689801</v>
          </cell>
          <cell r="DM323">
            <v>4.0870949915294226</v>
          </cell>
          <cell r="DO323">
            <v>3.2119647868117376</v>
          </cell>
          <cell r="EA323">
            <v>1719.9755912815019</v>
          </cell>
        </row>
        <row r="324">
          <cell r="F324">
            <v>2920.74</v>
          </cell>
          <cell r="G324">
            <v>0</v>
          </cell>
          <cell r="H324">
            <v>789.2</v>
          </cell>
          <cell r="CU324">
            <v>15296.77171600035</v>
          </cell>
          <cell r="CX324">
            <v>764.83858580001754</v>
          </cell>
          <cell r="DJ324">
            <v>182566.6685664258</v>
          </cell>
          <cell r="DM324">
            <v>4.4606305881309396</v>
          </cell>
          <cell r="DO324">
            <v>3.8434720195423342</v>
          </cell>
          <cell r="EA324">
            <v>4774.8652555298386</v>
          </cell>
        </row>
        <row r="325">
          <cell r="F325">
            <v>2014</v>
          </cell>
          <cell r="G325">
            <v>0</v>
          </cell>
          <cell r="H325">
            <v>702</v>
          </cell>
          <cell r="CU325">
            <v>12502.073038590295</v>
          </cell>
          <cell r="CX325">
            <v>287.54767988757681</v>
          </cell>
          <cell r="DJ325">
            <v>145441.91296347266</v>
          </cell>
          <cell r="DM325">
            <v>4.903809189333252</v>
          </cell>
          <cell r="DO325">
            <v>4.1500698164682417</v>
          </cell>
          <cell r="EA325">
            <v>3637.0682260074068</v>
          </cell>
        </row>
        <row r="326">
          <cell r="F326">
            <v>194.4</v>
          </cell>
          <cell r="G326">
            <v>0</v>
          </cell>
          <cell r="H326">
            <v>106.3</v>
          </cell>
          <cell r="CU326">
            <v>1561.7990742217573</v>
          </cell>
          <cell r="CX326">
            <v>39.044976855543936</v>
          </cell>
          <cell r="DJ326">
            <v>18551.529716607976</v>
          </cell>
          <cell r="DM326">
            <v>5.732574189327484</v>
          </cell>
          <cell r="DO326">
            <v>4.5760266102731739</v>
          </cell>
          <cell r="EA326">
            <v>437.4673221053468</v>
          </cell>
        </row>
        <row r="327">
          <cell r="F327">
            <v>1754.6</v>
          </cell>
          <cell r="G327">
            <v>0</v>
          </cell>
          <cell r="H327">
            <v>196.2</v>
          </cell>
          <cell r="CU327">
            <v>9004.9749711353288</v>
          </cell>
          <cell r="CX327">
            <v>180.09949942270657</v>
          </cell>
          <cell r="DJ327">
            <v>104722.00474662648</v>
          </cell>
          <cell r="DM327">
            <v>4.7613040774596502</v>
          </cell>
          <cell r="DO327">
            <v>4.2349150675195375</v>
          </cell>
          <cell r="EA327">
            <v>1806.563715287444</v>
          </cell>
        </row>
        <row r="328">
          <cell r="F328">
            <v>3727.2</v>
          </cell>
          <cell r="G328">
            <v>0</v>
          </cell>
          <cell r="H328">
            <v>693.5</v>
          </cell>
          <cell r="CU328">
            <v>19439.574344239969</v>
          </cell>
          <cell r="CX328">
            <v>971.97871721199851</v>
          </cell>
          <cell r="DJ328">
            <v>232824.85796238531</v>
          </cell>
          <cell r="DM328">
            <v>4.7125515217207568</v>
          </cell>
          <cell r="DO328">
            <v>4.1051637053992236</v>
          </cell>
          <cell r="EA328">
            <v>5789.1320623746678</v>
          </cell>
        </row>
        <row r="329">
          <cell r="F329">
            <v>2104.64</v>
          </cell>
          <cell r="G329">
            <v>0</v>
          </cell>
          <cell r="H329">
            <v>438.5</v>
          </cell>
          <cell r="CU329">
            <v>12410.342836836553</v>
          </cell>
          <cell r="CX329">
            <v>397.13097077876972</v>
          </cell>
          <cell r="DJ329">
            <v>147220.56613812721</v>
          </cell>
          <cell r="DM329">
            <v>5.1171917827416857</v>
          </cell>
          <cell r="DO329">
            <v>4.6468125290441584</v>
          </cell>
          <cell r="EA329">
            <v>4269.5822424234848</v>
          </cell>
        </row>
        <row r="330">
          <cell r="F330">
            <v>2552.36</v>
          </cell>
          <cell r="G330">
            <v>0</v>
          </cell>
          <cell r="H330">
            <v>446.4</v>
          </cell>
          <cell r="CU330">
            <v>13301.603165694038</v>
          </cell>
          <cell r="CX330">
            <v>598.57214245623163</v>
          </cell>
          <cell r="DJ330">
            <v>160111.56306920131</v>
          </cell>
          <cell r="DM330">
            <v>4.712047123641339</v>
          </cell>
          <cell r="DO330">
            <v>4.1965383325561358</v>
          </cell>
          <cell r="EA330">
            <v>4061.6590294047523</v>
          </cell>
        </row>
        <row r="331">
          <cell r="F331">
            <v>2562</v>
          </cell>
          <cell r="G331">
            <v>0</v>
          </cell>
          <cell r="H331">
            <v>42</v>
          </cell>
          <cell r="CU331">
            <v>14688.997526061306</v>
          </cell>
          <cell r="CX331">
            <v>146.88997526061306</v>
          </cell>
          <cell r="DJ331">
            <v>168993.8488738579</v>
          </cell>
          <cell r="DM331">
            <v>5.7061555803966506</v>
          </cell>
          <cell r="DO331">
            <v>5.1599262939453032</v>
          </cell>
          <cell r="EA331">
            <v>4486.1129598243033</v>
          </cell>
        </row>
        <row r="332">
          <cell r="F332">
            <v>2295.3000000000002</v>
          </cell>
          <cell r="G332">
            <v>0</v>
          </cell>
          <cell r="H332">
            <v>485.6</v>
          </cell>
          <cell r="CU332">
            <v>12863.187534192373</v>
          </cell>
          <cell r="CX332">
            <v>0</v>
          </cell>
          <cell r="DJ332">
            <v>149730.64076385598</v>
          </cell>
          <cell r="DM332">
            <v>4.716661081670888</v>
          </cell>
          <cell r="DO332">
            <v>4.1948833472676768</v>
          </cell>
          <cell r="EA332">
            <v>3244.7610930881874</v>
          </cell>
        </row>
        <row r="333">
          <cell r="F333">
            <v>2595.52</v>
          </cell>
          <cell r="G333">
            <v>0</v>
          </cell>
          <cell r="H333">
            <v>0</v>
          </cell>
          <cell r="CU333">
            <v>14230.524237253916</v>
          </cell>
          <cell r="CX333">
            <v>284.61048474507834</v>
          </cell>
          <cell r="DJ333">
            <v>165714.95096216703</v>
          </cell>
          <cell r="DM333">
            <v>5.5923802251568073</v>
          </cell>
          <cell r="DO333">
            <v>5.0369452414504492</v>
          </cell>
          <cell r="EA333">
            <v>4600.111980455692</v>
          </cell>
        </row>
        <row r="334">
          <cell r="F334">
            <v>373.3</v>
          </cell>
          <cell r="G334">
            <v>0</v>
          </cell>
          <cell r="H334">
            <v>0</v>
          </cell>
          <cell r="CU334">
            <v>1755.9019212800613</v>
          </cell>
          <cell r="CX334">
            <v>26.338528819200917</v>
          </cell>
          <cell r="DJ334">
            <v>20314.900169670676</v>
          </cell>
          <cell r="DM334">
            <v>4.7742846238930143</v>
          </cell>
          <cell r="DO334">
            <v>4.0822833867114667</v>
          </cell>
          <cell r="EA334">
            <v>567.52339962650842</v>
          </cell>
        </row>
        <row r="335">
          <cell r="F335">
            <v>2559.3000000000002</v>
          </cell>
          <cell r="G335">
            <v>0</v>
          </cell>
          <cell r="H335">
            <v>675.7</v>
          </cell>
          <cell r="CU335">
            <v>15273.175834445792</v>
          </cell>
          <cell r="CX335">
            <v>0</v>
          </cell>
          <cell r="DJ335">
            <v>174170.44363807936</v>
          </cell>
          <cell r="DM335">
            <v>4.8274624107530091</v>
          </cell>
          <cell r="DO335">
            <v>4.3188564253450021</v>
          </cell>
          <cell r="EA335">
            <v>3844.6214091436009</v>
          </cell>
        </row>
        <row r="336">
          <cell r="F336">
            <v>2100.34</v>
          </cell>
          <cell r="G336">
            <v>0</v>
          </cell>
          <cell r="H336">
            <v>388</v>
          </cell>
          <cell r="CU336">
            <v>13148.264306959323</v>
          </cell>
          <cell r="CX336">
            <v>328.70660767398311</v>
          </cell>
          <cell r="DJ336">
            <v>153225.40633746501</v>
          </cell>
          <cell r="DM336">
            <v>5.5233537686495229</v>
          </cell>
          <cell r="DO336">
            <v>4.8351805674947572</v>
          </cell>
          <cell r="EA336">
            <v>3160.4535275517987</v>
          </cell>
        </row>
        <row r="337">
          <cell r="F337">
            <v>2581.1999999999998</v>
          </cell>
          <cell r="G337">
            <v>0</v>
          </cell>
          <cell r="H337">
            <v>0</v>
          </cell>
          <cell r="CU337">
            <v>13644.561728181156</v>
          </cell>
          <cell r="CX337">
            <v>204.66842592271732</v>
          </cell>
          <cell r="DJ337">
            <v>157892.03500735277</v>
          </cell>
          <cell r="DM337">
            <v>5.3654231187447206</v>
          </cell>
          <cell r="DO337">
            <v>4.8258439438760563</v>
          </cell>
          <cell r="EA337">
            <v>3434.8903495949749</v>
          </cell>
        </row>
        <row r="338">
          <cell r="F338">
            <v>3993</v>
          </cell>
          <cell r="G338">
            <v>0</v>
          </cell>
          <cell r="H338">
            <v>1520</v>
          </cell>
          <cell r="CU338">
            <v>26738.591324599092</v>
          </cell>
          <cell r="CX338">
            <v>2548.6488698689864</v>
          </cell>
          <cell r="DJ338">
            <v>324460.9881084002</v>
          </cell>
          <cell r="DM338">
            <v>5.7036347198296253</v>
          </cell>
          <cell r="DO338">
            <v>4.5135526400458943</v>
          </cell>
          <cell r="EA338">
            <v>9917.5223342570589</v>
          </cell>
        </row>
        <row r="339">
          <cell r="F339">
            <v>240.6</v>
          </cell>
          <cell r="G339">
            <v>0</v>
          </cell>
          <cell r="H339">
            <v>0</v>
          </cell>
          <cell r="CU339">
            <v>356.30421083780226</v>
          </cell>
          <cell r="CX339">
            <v>8.9076052709450568</v>
          </cell>
          <cell r="DJ339">
            <v>4161.8286795848844</v>
          </cell>
          <cell r="DM339">
            <v>1.5179210977088418</v>
          </cell>
          <cell r="DO339">
            <v>1.5179210977088418</v>
          </cell>
          <cell r="EA339">
            <v>282.7342447362451</v>
          </cell>
        </row>
        <row r="340">
          <cell r="F340">
            <v>201.1</v>
          </cell>
          <cell r="G340">
            <v>0</v>
          </cell>
          <cell r="H340">
            <v>0</v>
          </cell>
          <cell r="CU340">
            <v>300.05190368641331</v>
          </cell>
          <cell r="CX340">
            <v>7.5012975921603333</v>
          </cell>
          <cell r="DJ340">
            <v>3513.3704920671739</v>
          </cell>
          <cell r="DM340">
            <v>1.5293545563330364</v>
          </cell>
          <cell r="DO340">
            <v>1.5293545563330364</v>
          </cell>
          <cell r="EA340">
            <v>243.02958936730931</v>
          </cell>
        </row>
        <row r="341">
          <cell r="F341">
            <v>243.32</v>
          </cell>
          <cell r="G341">
            <v>0</v>
          </cell>
          <cell r="H341">
            <v>0</v>
          </cell>
          <cell r="CU341">
            <v>364.50475317692502</v>
          </cell>
          <cell r="CX341">
            <v>9.1126188294231252</v>
          </cell>
          <cell r="DJ341">
            <v>4255.5130869767745</v>
          </cell>
          <cell r="DM341">
            <v>1.5354979944367424</v>
          </cell>
          <cell r="DO341">
            <v>1.5354979944367424</v>
          </cell>
          <cell r="EA341">
            <v>295.72018922620731</v>
          </cell>
        </row>
        <row r="342">
          <cell r="F342">
            <v>326.10000000000002</v>
          </cell>
          <cell r="G342">
            <v>0</v>
          </cell>
          <cell r="H342">
            <v>0</v>
          </cell>
          <cell r="CU342">
            <v>484.86790333380532</v>
          </cell>
          <cell r="CX342">
            <v>12.121697583345131</v>
          </cell>
          <cell r="DJ342">
            <v>5662.0752774231314</v>
          </cell>
          <cell r="DM342">
            <v>1.5240404811933463</v>
          </cell>
          <cell r="DO342">
            <v>1.5240404811933463</v>
          </cell>
          <cell r="EA342">
            <v>384.87759752988825</v>
          </cell>
        </row>
        <row r="343">
          <cell r="F343">
            <v>241.4</v>
          </cell>
          <cell r="G343">
            <v>0</v>
          </cell>
          <cell r="H343">
            <v>0</v>
          </cell>
          <cell r="CU343">
            <v>357.27212794949969</v>
          </cell>
          <cell r="CX343">
            <v>8.9318031987374926</v>
          </cell>
          <cell r="DJ343">
            <v>4173.2627227953963</v>
          </cell>
          <cell r="DM343">
            <v>1.5170005432818441</v>
          </cell>
          <cell r="DO343">
            <v>1.5170005432818441</v>
          </cell>
          <cell r="EA343">
            <v>293.22265221325023</v>
          </cell>
        </row>
        <row r="344">
          <cell r="F344">
            <v>148.4</v>
          </cell>
          <cell r="G344">
            <v>0</v>
          </cell>
          <cell r="H344">
            <v>0</v>
          </cell>
          <cell r="CU344">
            <v>714.8109142512393</v>
          </cell>
          <cell r="CX344">
            <v>0</v>
          </cell>
          <cell r="DJ344">
            <v>8150.9818527925991</v>
          </cell>
          <cell r="DM344">
            <v>4.8167851364638761</v>
          </cell>
          <cell r="DO344">
            <v>4.6942600319299839</v>
          </cell>
          <cell r="EA344">
            <v>411.77521911867626</v>
          </cell>
        </row>
        <row r="345">
          <cell r="F345">
            <v>2784.6</v>
          </cell>
          <cell r="G345">
            <v>0</v>
          </cell>
          <cell r="H345">
            <v>616.79999999999995</v>
          </cell>
          <cell r="CU345">
            <v>18397.914667047437</v>
          </cell>
          <cell r="CX345">
            <v>459.94786667618592</v>
          </cell>
          <cell r="DJ345">
            <v>214403.64233482812</v>
          </cell>
          <cell r="DM345">
            <v>5.7206388233162944</v>
          </cell>
          <cell r="DO345">
            <v>4.7473600296969378</v>
          </cell>
          <cell r="EA345">
            <v>4827.0266799038445</v>
          </cell>
        </row>
        <row r="346">
          <cell r="F346">
            <v>1113.4000000000001</v>
          </cell>
          <cell r="G346">
            <v>0</v>
          </cell>
          <cell r="H346">
            <v>97</v>
          </cell>
          <cell r="CU346">
            <v>7339.8017263310257</v>
          </cell>
          <cell r="CX346">
            <v>183.49504315827565</v>
          </cell>
          <cell r="DJ346">
            <v>85730.051901142389</v>
          </cell>
          <cell r="DM346">
            <v>6.2745301597153826</v>
          </cell>
          <cell r="DO346">
            <v>5.5385040171360194</v>
          </cell>
          <cell r="EA346">
            <v>1816.30793498253</v>
          </cell>
        </row>
        <row r="347">
          <cell r="F347">
            <v>3517.1</v>
          </cell>
          <cell r="G347">
            <v>0</v>
          </cell>
          <cell r="H347">
            <v>969</v>
          </cell>
          <cell r="CU347">
            <v>24129.995791575231</v>
          </cell>
          <cell r="CX347">
            <v>603.24989478938085</v>
          </cell>
          <cell r="DJ347">
            <v>280714.2540999726</v>
          </cell>
          <cell r="DM347">
            <v>5.7042060920261077</v>
          </cell>
          <cell r="DO347">
            <v>4.820415314860254</v>
          </cell>
          <cell r="EA347">
            <v>5185.8177130339809</v>
          </cell>
        </row>
        <row r="348">
          <cell r="F348">
            <v>2278.4</v>
          </cell>
          <cell r="G348">
            <v>0</v>
          </cell>
          <cell r="H348">
            <v>1044.5</v>
          </cell>
          <cell r="CU348">
            <v>20143.833872427</v>
          </cell>
          <cell r="CX348">
            <v>302.15750808640496</v>
          </cell>
          <cell r="DJ348">
            <v>231997.53629058076</v>
          </cell>
          <cell r="DM348">
            <v>6.5461162390413481</v>
          </cell>
          <cell r="DO348">
            <v>5.2956631321030141</v>
          </cell>
          <cell r="EA348">
            <v>5001.0936742978056</v>
          </cell>
        </row>
        <row r="349">
          <cell r="F349">
            <v>3022.76</v>
          </cell>
          <cell r="G349">
            <v>0</v>
          </cell>
          <cell r="H349">
            <v>950.3</v>
          </cell>
          <cell r="CU349">
            <v>22323.381573938881</v>
          </cell>
          <cell r="CX349">
            <v>558.08453934847205</v>
          </cell>
          <cell r="DJ349">
            <v>260410.04663888307</v>
          </cell>
          <cell r="DM349">
            <v>6.0799727871404237</v>
          </cell>
          <cell r="DO349">
            <v>4.7386799655169565</v>
          </cell>
          <cell r="EA349">
            <v>5401.1380257790815</v>
          </cell>
        </row>
        <row r="350">
          <cell r="F350">
            <v>6585.6</v>
          </cell>
          <cell r="G350">
            <v>0</v>
          </cell>
          <cell r="H350">
            <v>2512.5</v>
          </cell>
          <cell r="CU350">
            <v>44247.05243617238</v>
          </cell>
          <cell r="CX350">
            <v>1017.6822060319647</v>
          </cell>
          <cell r="DJ350">
            <v>519631.72913521709</v>
          </cell>
          <cell r="DM350">
            <v>5.2089896575112862</v>
          </cell>
          <cell r="DO350">
            <v>4.3623531756012008</v>
          </cell>
          <cell r="EA350">
            <v>12981.560320015666</v>
          </cell>
        </row>
        <row r="351">
          <cell r="F351">
            <v>2468.86</v>
          </cell>
          <cell r="G351">
            <v>0</v>
          </cell>
          <cell r="H351">
            <v>140.6</v>
          </cell>
          <cell r="CU351">
            <v>13715.326843148488</v>
          </cell>
          <cell r="CX351">
            <v>274.30653686296978</v>
          </cell>
          <cell r="DJ351">
            <v>159438.44290354254</v>
          </cell>
          <cell r="DM351">
            <v>5.3904882433774226</v>
          </cell>
          <cell r="DO351">
            <v>4.8454663973447607</v>
          </cell>
          <cell r="EA351">
            <v>3427.2426472750444</v>
          </cell>
        </row>
        <row r="352">
          <cell r="F352">
            <v>2004.8</v>
          </cell>
          <cell r="G352">
            <v>0</v>
          </cell>
          <cell r="H352">
            <v>614.5</v>
          </cell>
          <cell r="CU352">
            <v>15353.305611448141</v>
          </cell>
          <cell r="CX352">
            <v>307.06611222896282</v>
          </cell>
          <cell r="DJ352">
            <v>174279.85122146469</v>
          </cell>
          <cell r="DM352">
            <v>6.1917479549284433</v>
          </cell>
          <cell r="DO352">
            <v>5.2842236348845537</v>
          </cell>
          <cell r="EA352">
            <v>3697.1715080320787</v>
          </cell>
        </row>
        <row r="353">
          <cell r="F353">
            <v>3834.8</v>
          </cell>
          <cell r="G353">
            <v>0</v>
          </cell>
          <cell r="H353">
            <v>1191.7</v>
          </cell>
          <cell r="CU353">
            <v>24753.628011354111</v>
          </cell>
          <cell r="CX353">
            <v>495.07256022708225</v>
          </cell>
          <cell r="DJ353">
            <v>288140.06888680457</v>
          </cell>
          <cell r="DM353">
            <v>5.1772511448632956</v>
          </cell>
          <cell r="DO353">
            <v>4.527127533153835</v>
          </cell>
          <cell r="EA353">
            <v>6938.3351570094319</v>
          </cell>
        </row>
        <row r="354">
          <cell r="F354">
            <v>2289.0100000000002</v>
          </cell>
          <cell r="G354">
            <v>0</v>
          </cell>
          <cell r="H354">
            <v>551.5</v>
          </cell>
          <cell r="CU354">
            <v>11381.360180534843</v>
          </cell>
          <cell r="CX354">
            <v>569.06800902674217</v>
          </cell>
          <cell r="DJ354">
            <v>136419.75835132541</v>
          </cell>
          <cell r="DM354">
            <v>4.3275805873427178</v>
          </cell>
          <cell r="DO354">
            <v>3.7072582943394874</v>
          </cell>
          <cell r="EA354">
            <v>2965.3155443241235</v>
          </cell>
        </row>
        <row r="355">
          <cell r="F355">
            <v>2609.98</v>
          </cell>
          <cell r="G355">
            <v>0</v>
          </cell>
          <cell r="H355">
            <v>685.4</v>
          </cell>
          <cell r="CU355">
            <v>17623.415266361175</v>
          </cell>
          <cell r="CX355">
            <v>0</v>
          </cell>
          <cell r="DJ355">
            <v>200971.83822772274</v>
          </cell>
          <cell r="DM355">
            <v>5.4740029818249178</v>
          </cell>
          <cell r="DO355">
            <v>4.8677808051616198</v>
          </cell>
          <cell r="EA355">
            <v>3671.7705256276427</v>
          </cell>
        </row>
        <row r="356">
          <cell r="F356">
            <v>4602.8900000000003</v>
          </cell>
          <cell r="G356">
            <v>0</v>
          </cell>
          <cell r="H356">
            <v>1158.3</v>
          </cell>
          <cell r="CU356">
            <v>29318.69265304321</v>
          </cell>
          <cell r="CX356">
            <v>1465.9346326521606</v>
          </cell>
          <cell r="DJ356">
            <v>354516.56008895731</v>
          </cell>
          <cell r="DM356">
            <v>5.4989569093650967</v>
          </cell>
          <cell r="DO356">
            <v>4.7254886619596475</v>
          </cell>
          <cell r="EA356">
            <v>9902.4525298028402</v>
          </cell>
        </row>
        <row r="357">
          <cell r="F357">
            <v>3190.1</v>
          </cell>
          <cell r="G357">
            <v>0</v>
          </cell>
          <cell r="H357">
            <v>0</v>
          </cell>
          <cell r="CU357">
            <v>15868.921900651738</v>
          </cell>
          <cell r="CX357">
            <v>317.37843801303478</v>
          </cell>
          <cell r="DJ357">
            <v>184794.2936991337</v>
          </cell>
          <cell r="DM357">
            <v>5.0739162843374102</v>
          </cell>
          <cell r="DO357">
            <v>4.5259470896596294</v>
          </cell>
          <cell r="EA357">
            <v>4531.5900667123778</v>
          </cell>
        </row>
        <row r="358">
          <cell r="F358">
            <v>152.6</v>
          </cell>
          <cell r="G358">
            <v>0</v>
          </cell>
          <cell r="H358">
            <v>0</v>
          </cell>
          <cell r="CU358">
            <v>251.41320859124917</v>
          </cell>
          <cell r="CX358">
            <v>6.2853302147812293</v>
          </cell>
          <cell r="DJ358">
            <v>2916.6424752316234</v>
          </cell>
          <cell r="DM358">
            <v>1.6887191271692688</v>
          </cell>
          <cell r="DO358">
            <v>1.6887191271692688</v>
          </cell>
          <cell r="EA358">
            <v>223.00267930443968</v>
          </cell>
        </row>
        <row r="359">
          <cell r="F359">
            <v>2133.27</v>
          </cell>
          <cell r="G359">
            <v>0</v>
          </cell>
          <cell r="H359">
            <v>0</v>
          </cell>
          <cell r="CU359">
            <v>16859.267087361575</v>
          </cell>
          <cell r="CX359">
            <v>252.88900631042361</v>
          </cell>
          <cell r="DJ359">
            <v>196283.13639796863</v>
          </cell>
          <cell r="DM359">
            <v>6.5566543950479614</v>
          </cell>
          <cell r="DN359">
            <v>8.0215613090101101</v>
          </cell>
          <cell r="DO359">
            <v>5.6380448354316508</v>
          </cell>
          <cell r="EA359">
            <v>3393.8779802331305</v>
          </cell>
        </row>
        <row r="360">
          <cell r="F360">
            <v>6420.63</v>
          </cell>
          <cell r="G360">
            <v>653.79999999999995</v>
          </cell>
          <cell r="H360">
            <v>0</v>
          </cell>
          <cell r="CU360">
            <v>42944.636576147903</v>
          </cell>
          <cell r="CX360">
            <v>1073.6159144036976</v>
          </cell>
          <cell r="DJ360">
            <v>501986.38577509177</v>
          </cell>
          <cell r="DM360">
            <v>5.2395745962922504</v>
          </cell>
          <cell r="DN360">
            <v>7.0389830495256023</v>
          </cell>
          <cell r="DO360">
            <v>4.40626019608266</v>
          </cell>
          <cell r="EA360">
            <v>9889.3621150638628</v>
          </cell>
        </row>
        <row r="361">
          <cell r="F361">
            <v>2586.9899999999998</v>
          </cell>
          <cell r="G361">
            <v>0</v>
          </cell>
          <cell r="H361">
            <v>787.57</v>
          </cell>
          <cell r="CU361">
            <v>16958.131021252255</v>
          </cell>
          <cell r="CX361">
            <v>339.16262042504508</v>
          </cell>
          <cell r="DJ361">
            <v>197606.91193290331</v>
          </cell>
          <cell r="DM361">
            <v>5.344014140206613</v>
          </cell>
          <cell r="DO361">
            <v>4.4089826950038677</v>
          </cell>
          <cell r="EA361">
            <v>4066.7017664842301</v>
          </cell>
        </row>
        <row r="362">
          <cell r="F362">
            <v>4414.38</v>
          </cell>
          <cell r="G362">
            <v>0</v>
          </cell>
          <cell r="H362">
            <v>841.8</v>
          </cell>
          <cell r="CU362">
            <v>37339.082706025059</v>
          </cell>
          <cell r="CX362">
            <v>933.47706765062674</v>
          </cell>
          <cell r="DJ362">
            <v>440383.28735428839</v>
          </cell>
          <cell r="DM362">
            <v>5.9076034224481102</v>
          </cell>
          <cell r="DN362">
            <v>7.8217347072966099</v>
          </cell>
          <cell r="DO362">
            <v>4.4481474417672597</v>
          </cell>
          <cell r="EA362">
            <v>8637.862394071637</v>
          </cell>
        </row>
        <row r="363">
          <cell r="F363">
            <v>8324.4</v>
          </cell>
          <cell r="G363">
            <v>801.12</v>
          </cell>
          <cell r="H363">
            <v>125.3</v>
          </cell>
          <cell r="CU363">
            <v>56243.224997131976</v>
          </cell>
          <cell r="CX363">
            <v>1406.0806249282996</v>
          </cell>
          <cell r="DJ363">
            <v>659085.57684399129</v>
          </cell>
          <cell r="DM363">
            <v>5.7748612903465926</v>
          </cell>
          <cell r="DN363">
            <v>6.967979940489295</v>
          </cell>
          <cell r="DO363">
            <v>4.7955675854231004</v>
          </cell>
          <cell r="EA363">
            <v>12763.767167332593</v>
          </cell>
        </row>
        <row r="364">
          <cell r="F364">
            <v>232.46</v>
          </cell>
          <cell r="G364">
            <v>0</v>
          </cell>
          <cell r="H364">
            <v>61.8</v>
          </cell>
          <cell r="CU364">
            <v>954.04247947645172</v>
          </cell>
          <cell r="CX364">
            <v>14.310637192146775</v>
          </cell>
          <cell r="DJ364">
            <v>14402.155777986107</v>
          </cell>
          <cell r="DM364">
            <v>3.2987477403459833</v>
          </cell>
          <cell r="DO364">
            <v>3.2609420218085963</v>
          </cell>
          <cell r="EA364">
            <v>268.85110182227044</v>
          </cell>
        </row>
        <row r="365">
          <cell r="F365">
            <v>3516.6</v>
          </cell>
          <cell r="G365">
            <v>191</v>
          </cell>
          <cell r="H365">
            <v>0</v>
          </cell>
          <cell r="CU365">
            <v>18097.041329109747</v>
          </cell>
          <cell r="CX365">
            <v>271.4556199366462</v>
          </cell>
          <cell r="DJ365">
            <v>209743.95963172568</v>
          </cell>
          <cell r="DM365">
            <v>4.6285575368843217</v>
          </cell>
          <cell r="DN365">
            <v>5.2575302079328505</v>
          </cell>
          <cell r="DO365">
            <v>3.7346500935356937</v>
          </cell>
          <cell r="EA365">
            <v>4405.8526757562668</v>
          </cell>
        </row>
        <row r="366">
          <cell r="F366">
            <v>4153.8999999999996</v>
          </cell>
          <cell r="G366">
            <v>391.15</v>
          </cell>
          <cell r="H366">
            <v>0</v>
          </cell>
          <cell r="CU366">
            <v>30660.431850487686</v>
          </cell>
          <cell r="CX366">
            <v>306.60431850487686</v>
          </cell>
          <cell r="DJ366">
            <v>353490.45151113207</v>
          </cell>
          <cell r="DM366">
            <v>5.8821644209143864</v>
          </cell>
          <cell r="DN366">
            <v>7.6184247042062072</v>
          </cell>
          <cell r="DO366">
            <v>4.9164996750464756</v>
          </cell>
          <cell r="EA366">
            <v>7159.3174538635067</v>
          </cell>
        </row>
        <row r="367">
          <cell r="F367">
            <v>2749.1</v>
          </cell>
          <cell r="G367">
            <v>0</v>
          </cell>
          <cell r="H367">
            <v>0</v>
          </cell>
          <cell r="CU367">
            <v>16142.041297305885</v>
          </cell>
          <cell r="CX367">
            <v>807.10206486529432</v>
          </cell>
          <cell r="DJ367">
            <v>193137.87306948629</v>
          </cell>
          <cell r="DM367">
            <v>6.165342607461052</v>
          </cell>
          <cell r="DO367">
            <v>5.4818204994810511</v>
          </cell>
          <cell r="EA367">
            <v>6110.1845753544367</v>
          </cell>
        </row>
        <row r="368">
          <cell r="F368">
            <v>3582</v>
          </cell>
          <cell r="G368">
            <v>0</v>
          </cell>
          <cell r="H368">
            <v>646.09</v>
          </cell>
          <cell r="CU368">
            <v>21689.99422727081</v>
          </cell>
          <cell r="CX368">
            <v>1084.4997113635407</v>
          </cell>
          <cell r="DJ368">
            <v>259261.21017768828</v>
          </cell>
          <cell r="DM368">
            <v>5.5088308451767816</v>
          </cell>
          <cell r="DO368">
            <v>4.7081085471236435</v>
          </cell>
          <cell r="EA368">
            <v>6895.5645793234262</v>
          </cell>
        </row>
        <row r="369">
          <cell r="F369">
            <v>2741.4</v>
          </cell>
          <cell r="G369">
            <v>0</v>
          </cell>
          <cell r="H369">
            <v>0</v>
          </cell>
          <cell r="CU369">
            <v>15192.471539788847</v>
          </cell>
          <cell r="CX369">
            <v>759.62357698944243</v>
          </cell>
          <cell r="DJ369">
            <v>182398.18569792368</v>
          </cell>
          <cell r="DM369">
            <v>5.8189593334713248</v>
          </cell>
          <cell r="DO369">
            <v>5.1320772158934558</v>
          </cell>
          <cell r="EA369">
            <v>5176.6723239282301</v>
          </cell>
        </row>
        <row r="370">
          <cell r="F370">
            <v>4247.05</v>
          </cell>
          <cell r="G370">
            <v>410.5</v>
          </cell>
          <cell r="H370">
            <v>0</v>
          </cell>
          <cell r="CU370">
            <v>31064.569568787694</v>
          </cell>
          <cell r="CX370">
            <v>465.96854353181538</v>
          </cell>
          <cell r="DJ370">
            <v>360583.42851722683</v>
          </cell>
          <cell r="DM370">
            <v>5.8433255881341406</v>
          </cell>
          <cell r="DN370">
            <v>7.593242094691961</v>
          </cell>
          <cell r="DO370">
            <v>4.9145443183519957</v>
          </cell>
          <cell r="EA370">
            <v>7493.3141367556545</v>
          </cell>
        </row>
        <row r="371">
          <cell r="F371">
            <v>2712.05</v>
          </cell>
          <cell r="G371">
            <v>0</v>
          </cell>
          <cell r="H371">
            <v>0</v>
          </cell>
          <cell r="CU371">
            <v>16225.244650015818</v>
          </cell>
          <cell r="CX371">
            <v>811.26223250079101</v>
          </cell>
          <cell r="DJ371">
            <v>194799.13485687773</v>
          </cell>
          <cell r="DM371">
            <v>6.2817820034721361</v>
          </cell>
          <cell r="DO371">
            <v>5.580869867366494</v>
          </cell>
          <cell r="EA371">
            <v>5208.4909810918098</v>
          </cell>
        </row>
        <row r="372">
          <cell r="F372">
            <v>472.1</v>
          </cell>
          <cell r="G372">
            <v>0</v>
          </cell>
          <cell r="H372">
            <v>0</v>
          </cell>
          <cell r="CU372">
            <v>2582.206564974716</v>
          </cell>
          <cell r="CX372">
            <v>0</v>
          </cell>
          <cell r="DJ372">
            <v>29423.418366131766</v>
          </cell>
          <cell r="DM372">
            <v>5.4696178033779219</v>
          </cell>
          <cell r="DO372">
            <v>4.6881384371343771</v>
          </cell>
          <cell r="EA372">
            <v>821.26203687638804</v>
          </cell>
        </row>
        <row r="373">
          <cell r="F373">
            <v>6212</v>
          </cell>
          <cell r="G373">
            <v>656.15</v>
          </cell>
          <cell r="H373">
            <v>0</v>
          </cell>
          <cell r="CU373">
            <v>48314.170759577806</v>
          </cell>
          <cell r="CX373">
            <v>724.7125613936671</v>
          </cell>
          <cell r="DJ373">
            <v>560548.14233085734</v>
          </cell>
          <cell r="DM373">
            <v>6.2296637976742595</v>
          </cell>
          <cell r="DN373">
            <v>8.0908032830489489</v>
          </cell>
          <cell r="DO373">
            <v>5.4072836861622067</v>
          </cell>
          <cell r="EA373">
            <v>11098.119906206777</v>
          </cell>
        </row>
        <row r="374">
          <cell r="F374">
            <v>3895.01</v>
          </cell>
          <cell r="G374">
            <v>0</v>
          </cell>
          <cell r="H374">
            <v>462.8</v>
          </cell>
          <cell r="CU374">
            <v>27552.705630997709</v>
          </cell>
          <cell r="CX374">
            <v>688.81764077494279</v>
          </cell>
          <cell r="DJ374">
            <v>322593.70106330304</v>
          </cell>
          <cell r="DM374">
            <v>5.1806639281683786</v>
          </cell>
          <cell r="DN374">
            <v>6.7321105722838386</v>
          </cell>
          <cell r="DO374">
            <v>4.364488486649468</v>
          </cell>
          <cell r="EA374">
            <v>7567.3547484545852</v>
          </cell>
        </row>
        <row r="375">
          <cell r="F375">
            <v>8350.2999999999993</v>
          </cell>
          <cell r="G375">
            <v>0</v>
          </cell>
          <cell r="H375">
            <v>1605.3</v>
          </cell>
          <cell r="CU375">
            <v>61713.161793348598</v>
          </cell>
          <cell r="CX375">
            <v>308.56580896674302</v>
          </cell>
          <cell r="DJ375">
            <v>706712.44771511387</v>
          </cell>
          <cell r="DM375">
            <v>5.374989922114926</v>
          </cell>
          <cell r="DN375">
            <v>6.5807678963577816</v>
          </cell>
          <cell r="DO375">
            <v>4.4043739097732315</v>
          </cell>
          <cell r="EA375">
            <v>16829.789875082162</v>
          </cell>
        </row>
        <row r="376">
          <cell r="F376">
            <v>3581.3</v>
          </cell>
          <cell r="G376">
            <v>455.7</v>
          </cell>
          <cell r="H376">
            <v>0</v>
          </cell>
          <cell r="CU376">
            <v>25885.080864590258</v>
          </cell>
          <cell r="CX376">
            <v>647.12702161475647</v>
          </cell>
          <cell r="DJ376">
            <v>303081.02415824228</v>
          </cell>
          <cell r="DM376">
            <v>6.263815729270541</v>
          </cell>
          <cell r="DN376">
            <v>7.5754373747045127</v>
          </cell>
          <cell r="DO376">
            <v>4.8720094565163663</v>
          </cell>
          <cell r="EA376">
            <v>7464.6693275397756</v>
          </cell>
        </row>
        <row r="377">
          <cell r="F377">
            <v>4073.8</v>
          </cell>
          <cell r="G377">
            <v>501.2</v>
          </cell>
          <cell r="H377">
            <v>0</v>
          </cell>
          <cell r="CU377">
            <v>29219.735277701231</v>
          </cell>
          <cell r="CX377">
            <v>292.19735277701233</v>
          </cell>
          <cell r="DJ377">
            <v>336270.5001986961</v>
          </cell>
          <cell r="DM377">
            <v>6.0210613147364924</v>
          </cell>
          <cell r="DN377">
            <v>7.4159370485171348</v>
          </cell>
          <cell r="DO377">
            <v>4.902761195731947</v>
          </cell>
          <cell r="EA377">
            <v>8054.7618654086627</v>
          </cell>
        </row>
        <row r="378">
          <cell r="F378">
            <v>4387.3</v>
          </cell>
          <cell r="G378">
            <v>446.3</v>
          </cell>
          <cell r="H378">
            <v>0</v>
          </cell>
          <cell r="CU378">
            <v>27268.585925529991</v>
          </cell>
          <cell r="CX378">
            <v>409.02878888294987</v>
          </cell>
          <cell r="DJ378">
            <v>318774.77720932179</v>
          </cell>
          <cell r="DM378">
            <v>5.4974410792531181</v>
          </cell>
          <cell r="DN378">
            <v>6.4004330780873575</v>
          </cell>
          <cell r="DO378">
            <v>4.7058646823917085</v>
          </cell>
          <cell r="EA378">
            <v>7683.0959897263838</v>
          </cell>
        </row>
        <row r="379">
          <cell r="F379">
            <v>5047.1000000000004</v>
          </cell>
          <cell r="G379">
            <v>0</v>
          </cell>
          <cell r="H379">
            <v>175.8</v>
          </cell>
          <cell r="CU379">
            <v>31144.106960391669</v>
          </cell>
          <cell r="CX379">
            <v>778.60267400979183</v>
          </cell>
          <cell r="DJ379">
            <v>365374.73259748612</v>
          </cell>
          <cell r="DM379">
            <v>5.1778941873449247</v>
          </cell>
          <cell r="DN379">
            <v>6.1836081891955024</v>
          </cell>
          <cell r="DO379">
            <v>4.0581384682186332</v>
          </cell>
          <cell r="EA379">
            <v>8362.9482201724859</v>
          </cell>
        </row>
        <row r="380">
          <cell r="F380">
            <v>3936.36</v>
          </cell>
          <cell r="G380">
            <v>436.6</v>
          </cell>
          <cell r="H380">
            <v>0</v>
          </cell>
          <cell r="CU380">
            <v>28783.487817755711</v>
          </cell>
          <cell r="CX380">
            <v>431.75231726633564</v>
          </cell>
          <cell r="DJ380">
            <v>333788.55239876232</v>
          </cell>
          <cell r="DM380">
            <v>6.1892263626777879</v>
          </cell>
          <cell r="DN380">
            <v>7.5756691616216321</v>
          </cell>
          <cell r="DO380">
            <v>5.0288090620344281</v>
          </cell>
          <cell r="EA380">
            <v>8379.8695414520753</v>
          </cell>
        </row>
        <row r="381">
          <cell r="F381">
            <v>6307.74</v>
          </cell>
          <cell r="G381">
            <v>689.99</v>
          </cell>
          <cell r="H381">
            <v>0</v>
          </cell>
          <cell r="CU381">
            <v>43269.680594443096</v>
          </cell>
          <cell r="CX381">
            <v>649.0452089166464</v>
          </cell>
          <cell r="DJ381">
            <v>512222.45954674657</v>
          </cell>
          <cell r="DM381">
            <v>5.3860259371296442</v>
          </cell>
          <cell r="DN381">
            <v>7.1563209055226125</v>
          </cell>
          <cell r="DO381">
            <v>4.8064439073401326</v>
          </cell>
          <cell r="EA381">
            <v>13662.146429443661</v>
          </cell>
        </row>
        <row r="382">
          <cell r="F382">
            <v>6280.52</v>
          </cell>
          <cell r="G382">
            <v>653.29</v>
          </cell>
          <cell r="H382">
            <v>44.2</v>
          </cell>
          <cell r="CU382">
            <v>42378.176222094182</v>
          </cell>
          <cell r="CX382">
            <v>635.6726433314127</v>
          </cell>
          <cell r="DJ382">
            <v>499515.86524973973</v>
          </cell>
          <cell r="DM382">
            <v>5.2437824865425959</v>
          </cell>
          <cell r="DN382">
            <v>6.9989410142182269</v>
          </cell>
          <cell r="DO382">
            <v>4.6037864559490425</v>
          </cell>
          <cell r="EA382">
            <v>13452.785799583355</v>
          </cell>
        </row>
        <row r="383">
          <cell r="F383">
            <v>6335.19</v>
          </cell>
          <cell r="G383">
            <v>691.97</v>
          </cell>
          <cell r="H383">
            <v>0</v>
          </cell>
          <cell r="CU383">
            <v>39830.387373508769</v>
          </cell>
          <cell r="CX383">
            <v>597.45581060263146</v>
          </cell>
          <cell r="DJ383">
            <v>465998.47238163109</v>
          </cell>
          <cell r="DM383">
            <v>5.2080976301342128</v>
          </cell>
          <cell r="DN383">
            <v>6.5253518145646332</v>
          </cell>
          <cell r="DO383">
            <v>4.551304042874766</v>
          </cell>
          <cell r="EA383">
            <v>13422.098385278203</v>
          </cell>
        </row>
        <row r="384">
          <cell r="F384">
            <v>6232.25</v>
          </cell>
          <cell r="G384">
            <v>576.05999999999995</v>
          </cell>
          <cell r="H384">
            <v>115.1</v>
          </cell>
          <cell r="CU384">
            <v>39205.892262501569</v>
          </cell>
          <cell r="CX384">
            <v>588.08838393752353</v>
          </cell>
          <cell r="DJ384">
            <v>465869.14822761173</v>
          </cell>
          <cell r="DM384">
            <v>5.2631576008344529</v>
          </cell>
          <cell r="DN384">
            <v>6.404074630678072</v>
          </cell>
          <cell r="DO384">
            <v>4.6865611955464042</v>
          </cell>
          <cell r="EA384">
            <v>13463.837393296897</v>
          </cell>
        </row>
        <row r="385">
          <cell r="F385">
            <v>5864.08</v>
          </cell>
          <cell r="G385">
            <v>0</v>
          </cell>
          <cell r="H385">
            <v>0</v>
          </cell>
          <cell r="CU385">
            <v>31253.293494800299</v>
          </cell>
          <cell r="CX385">
            <v>1468.904794255614</v>
          </cell>
          <cell r="DJ385">
            <v>380365.1914111115</v>
          </cell>
          <cell r="DM385">
            <v>5.580107755872346</v>
          </cell>
          <cell r="DO385">
            <v>4.9377507063391226</v>
          </cell>
          <cell r="EA385">
            <v>11129.744163601941</v>
          </cell>
        </row>
        <row r="386">
          <cell r="F386">
            <v>4467.5200000000004</v>
          </cell>
          <cell r="G386">
            <v>0</v>
          </cell>
          <cell r="H386">
            <v>0</v>
          </cell>
          <cell r="CU386">
            <v>24534.393742118933</v>
          </cell>
          <cell r="CX386">
            <v>1226.7196871059466</v>
          </cell>
          <cell r="DJ386">
            <v>293986.81922320696</v>
          </cell>
          <cell r="DM386">
            <v>5.7663118305513743</v>
          </cell>
          <cell r="DO386">
            <v>5.1495663880205864</v>
          </cell>
          <cell r="EA386">
            <v>8874.7476090434902</v>
          </cell>
        </row>
        <row r="387">
          <cell r="F387">
            <v>2779.82</v>
          </cell>
          <cell r="G387">
            <v>0</v>
          </cell>
          <cell r="H387">
            <v>0</v>
          </cell>
          <cell r="CU387">
            <v>16186.800533502072</v>
          </cell>
          <cell r="CX387">
            <v>760.77962507459756</v>
          </cell>
          <cell r="DJ387">
            <v>195234.33220537312</v>
          </cell>
          <cell r="DM387">
            <v>6.0966466025054391</v>
          </cell>
          <cell r="DO387">
            <v>5.4299600760667888</v>
          </cell>
          <cell r="EA387">
            <v>5845.684545467815</v>
          </cell>
        </row>
        <row r="388">
          <cell r="F388">
            <v>2762.3</v>
          </cell>
          <cell r="G388">
            <v>0</v>
          </cell>
          <cell r="H388">
            <v>0</v>
          </cell>
          <cell r="CU388">
            <v>16083.546055746519</v>
          </cell>
          <cell r="CX388">
            <v>804.1773027873262</v>
          </cell>
          <cell r="DJ388">
            <v>194891.41519660747</v>
          </cell>
          <cell r="DM388">
            <v>6.1136456425927124</v>
          </cell>
          <cell r="DO388">
            <v>5.4404742435281017</v>
          </cell>
          <cell r="EA388">
            <v>5867.445327900452</v>
          </cell>
        </row>
        <row r="389">
          <cell r="F389">
            <v>2743.4</v>
          </cell>
          <cell r="G389">
            <v>0</v>
          </cell>
          <cell r="H389">
            <v>0</v>
          </cell>
          <cell r="CU389">
            <v>16902.412387997138</v>
          </cell>
          <cell r="CX389">
            <v>338.04824775994274</v>
          </cell>
          <cell r="DJ389">
            <v>196645.53599313245</v>
          </cell>
          <cell r="DM389">
            <v>6.2843408309969666</v>
          </cell>
          <cell r="DO389">
            <v>5.6363329424725261</v>
          </cell>
          <cell r="EA389">
            <v>5633.1009975854986</v>
          </cell>
        </row>
        <row r="390">
          <cell r="F390">
            <v>5601.9</v>
          </cell>
          <cell r="G390">
            <v>0</v>
          </cell>
          <cell r="H390">
            <v>188.69</v>
          </cell>
          <cell r="CU390">
            <v>30797.698884540332</v>
          </cell>
          <cell r="CX390">
            <v>1447.4918475733957</v>
          </cell>
          <cell r="DJ390">
            <v>372151.83199889801</v>
          </cell>
          <cell r="DM390">
            <v>5.5906855284391614</v>
          </cell>
          <cell r="DO390">
            <v>4.9113862438411564</v>
          </cell>
          <cell r="EA390">
            <v>11334.048642883639</v>
          </cell>
        </row>
        <row r="391">
          <cell r="F391">
            <v>4445.5</v>
          </cell>
          <cell r="G391">
            <v>0</v>
          </cell>
          <cell r="H391">
            <v>0</v>
          </cell>
          <cell r="CU391">
            <v>24665.419399600858</v>
          </cell>
          <cell r="CX391">
            <v>1233.270969980043</v>
          </cell>
          <cell r="DJ391">
            <v>295468.27908348775</v>
          </cell>
          <cell r="DM391">
            <v>5.8258217005018338</v>
          </cell>
          <cell r="DO391">
            <v>5.2027302836150042</v>
          </cell>
          <cell r="EA391">
            <v>8321.9536839918783</v>
          </cell>
        </row>
        <row r="392">
          <cell r="F392">
            <v>4591.2</v>
          </cell>
          <cell r="G392">
            <v>0</v>
          </cell>
          <cell r="H392">
            <v>0</v>
          </cell>
          <cell r="CU392">
            <v>23527.971744260551</v>
          </cell>
          <cell r="CX392">
            <v>1105.814671980246</v>
          </cell>
          <cell r="DJ392">
            <v>284407.99916203041</v>
          </cell>
          <cell r="DM392">
            <v>5.365435271005575</v>
          </cell>
          <cell r="DO392">
            <v>4.7751047071439183</v>
          </cell>
          <cell r="EA392">
            <v>7603.8520521586397</v>
          </cell>
        </row>
        <row r="393">
          <cell r="F393">
            <v>4566.7</v>
          </cell>
          <cell r="G393">
            <v>0</v>
          </cell>
          <cell r="H393">
            <v>0</v>
          </cell>
          <cell r="CU393">
            <v>23632.530212965652</v>
          </cell>
          <cell r="CX393">
            <v>1181.6265106482826</v>
          </cell>
          <cell r="DJ393">
            <v>282879.73282090161</v>
          </cell>
          <cell r="DM393">
            <v>5.4337172846068142</v>
          </cell>
          <cell r="DO393">
            <v>4.8415828141983965</v>
          </cell>
          <cell r="EA393">
            <v>7582.1956440806407</v>
          </cell>
        </row>
        <row r="394">
          <cell r="F394">
            <v>4553.8</v>
          </cell>
          <cell r="G394">
            <v>0</v>
          </cell>
          <cell r="H394">
            <v>0</v>
          </cell>
          <cell r="CU394">
            <v>24999.587047487126</v>
          </cell>
          <cell r="CX394">
            <v>499.99174094974256</v>
          </cell>
          <cell r="DJ394">
            <v>290955.31898941507</v>
          </cell>
          <cell r="DM394">
            <v>5.5996264193501846</v>
          </cell>
          <cell r="DO394">
            <v>5.0142062075803944</v>
          </cell>
          <cell r="EA394">
            <v>8890.1407781721391</v>
          </cell>
        </row>
        <row r="395">
          <cell r="F395">
            <v>6129.13</v>
          </cell>
          <cell r="G395">
            <v>0</v>
          </cell>
          <cell r="H395">
            <v>45.1</v>
          </cell>
          <cell r="CU395">
            <v>30512.496083765735</v>
          </cell>
          <cell r="CX395">
            <v>1525.6248041882868</v>
          </cell>
          <cell r="DJ395">
            <v>365321.58779416815</v>
          </cell>
          <cell r="DM395">
            <v>5.1933939812784011</v>
          </cell>
          <cell r="DO395">
            <v>4.5927724053466585</v>
          </cell>
          <cell r="EA395">
            <v>8624.1359199145463</v>
          </cell>
        </row>
        <row r="396">
          <cell r="F396">
            <v>1686.26</v>
          </cell>
          <cell r="G396">
            <v>0</v>
          </cell>
          <cell r="H396">
            <v>710.23</v>
          </cell>
          <cell r="CU396">
            <v>12373.280469804826</v>
          </cell>
          <cell r="CX396">
            <v>309.33201174512067</v>
          </cell>
          <cell r="DJ396">
            <v>145430.8265831756</v>
          </cell>
          <cell r="DM396">
            <v>5.7070139531473894</v>
          </cell>
          <cell r="DO396">
            <v>4.3072006714946287</v>
          </cell>
          <cell r="EA396">
            <v>2733.4426424775993</v>
          </cell>
        </row>
        <row r="397">
          <cell r="F397">
            <v>3611.53</v>
          </cell>
          <cell r="G397">
            <v>0</v>
          </cell>
          <cell r="H397">
            <v>882.6</v>
          </cell>
          <cell r="CU397">
            <v>18681.494440515409</v>
          </cell>
          <cell r="CX397">
            <v>186.81494440515411</v>
          </cell>
          <cell r="DJ397">
            <v>216079.14207041237</v>
          </cell>
          <cell r="DM397">
            <v>4.3163709991757031</v>
          </cell>
          <cell r="DO397">
            <v>3.7158463973119575</v>
          </cell>
          <cell r="EA397">
            <v>5266.8503971631335</v>
          </cell>
        </row>
        <row r="398">
          <cell r="F398">
            <v>1891.75</v>
          </cell>
          <cell r="G398">
            <v>0</v>
          </cell>
          <cell r="H398">
            <v>834.6</v>
          </cell>
          <cell r="CU398">
            <v>13928.515115070573</v>
          </cell>
          <cell r="CX398">
            <v>208.92772672605858</v>
          </cell>
          <cell r="DJ398">
            <v>161578.68386345048</v>
          </cell>
          <cell r="DM398">
            <v>5.4922818295720166</v>
          </cell>
          <cell r="DO398">
            <v>4.4900775110277635</v>
          </cell>
          <cell r="EA398">
            <v>3716.6343506687726</v>
          </cell>
        </row>
        <row r="399">
          <cell r="F399">
            <v>2076.5</v>
          </cell>
          <cell r="G399">
            <v>0</v>
          </cell>
          <cell r="H399">
            <v>328.9</v>
          </cell>
          <cell r="CU399">
            <v>16493.049693161829</v>
          </cell>
          <cell r="CX399">
            <v>412.32624232904573</v>
          </cell>
          <cell r="DJ399">
            <v>192712.55539078149</v>
          </cell>
          <cell r="DM399">
            <v>6.0331237061610556</v>
          </cell>
          <cell r="DN399">
            <v>7.3708661190956599</v>
          </cell>
          <cell r="DO399">
            <v>4.8640086323768257</v>
          </cell>
          <cell r="EA399">
            <v>3288.5325115308519</v>
          </cell>
        </row>
        <row r="400">
          <cell r="F400">
            <v>2322.87</v>
          </cell>
          <cell r="G400">
            <v>0</v>
          </cell>
          <cell r="H400">
            <v>686.9</v>
          </cell>
          <cell r="CU400">
            <v>13324.139800471885</v>
          </cell>
          <cell r="CX400">
            <v>666.20699002359424</v>
          </cell>
          <cell r="DJ400">
            <v>160318.98785255742</v>
          </cell>
          <cell r="DM400">
            <v>4.7845064703142004</v>
          </cell>
          <cell r="DO400">
            <v>4.1877423872422943</v>
          </cell>
          <cell r="EA400">
            <v>3931.4985010942983</v>
          </cell>
        </row>
        <row r="401">
          <cell r="F401">
            <v>1851.94</v>
          </cell>
          <cell r="G401">
            <v>0</v>
          </cell>
          <cell r="H401">
            <v>0</v>
          </cell>
          <cell r="CU401">
            <v>9060.5175382699617</v>
          </cell>
          <cell r="CX401">
            <v>181.21035076539928</v>
          </cell>
          <cell r="DJ401">
            <v>105482.31554095686</v>
          </cell>
          <cell r="DM401">
            <v>4.9902955220122482</v>
          </cell>
          <cell r="DO401">
            <v>4.5453637618351932</v>
          </cell>
          <cell r="EA401">
            <v>2464.5821262694831</v>
          </cell>
        </row>
        <row r="402">
          <cell r="F402">
            <v>2555.1</v>
          </cell>
          <cell r="G402">
            <v>0</v>
          </cell>
          <cell r="H402">
            <v>845.25</v>
          </cell>
          <cell r="CU402">
            <v>15599.255247316807</v>
          </cell>
          <cell r="CX402">
            <v>0</v>
          </cell>
          <cell r="DJ402">
            <v>177988.6572703307</v>
          </cell>
          <cell r="DM402">
            <v>4.7928717224484174</v>
          </cell>
          <cell r="DO402">
            <v>3.9668603481678271</v>
          </cell>
          <cell r="EA402">
            <v>5151.091549834362</v>
          </cell>
        </row>
        <row r="403">
          <cell r="F403">
            <v>1448.4</v>
          </cell>
          <cell r="G403">
            <v>0</v>
          </cell>
          <cell r="H403">
            <v>46.2</v>
          </cell>
          <cell r="CU403">
            <v>8308.5474938731713</v>
          </cell>
          <cell r="CX403">
            <v>207.71368734682929</v>
          </cell>
          <cell r="DJ403">
            <v>97076.82657928257</v>
          </cell>
          <cell r="DM403">
            <v>5.7187957935822613</v>
          </cell>
          <cell r="DO403">
            <v>5.0466959695985496</v>
          </cell>
          <cell r="EA403">
            <v>2354.788498562677</v>
          </cell>
        </row>
        <row r="404">
          <cell r="DJ404">
            <v>71097747.131917343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C7">
            <v>494626</v>
          </cell>
          <cell r="D7">
            <v>327968</v>
          </cell>
          <cell r="F7">
            <v>289973</v>
          </cell>
          <cell r="G7">
            <v>236499</v>
          </cell>
        </row>
        <row r="8">
          <cell r="C8">
            <v>108256</v>
          </cell>
          <cell r="D8">
            <v>68095</v>
          </cell>
          <cell r="F8">
            <v>63794</v>
          </cell>
          <cell r="G8">
            <v>48047</v>
          </cell>
        </row>
        <row r="9">
          <cell r="C9">
            <v>33168</v>
          </cell>
          <cell r="D9">
            <v>14195</v>
          </cell>
          <cell r="F9">
            <v>5417</v>
          </cell>
          <cell r="G9">
            <v>2684</v>
          </cell>
        </row>
        <row r="10">
          <cell r="C10">
            <v>96718</v>
          </cell>
          <cell r="D10">
            <v>95079</v>
          </cell>
          <cell r="F10">
            <v>0</v>
          </cell>
          <cell r="G10">
            <v>0</v>
          </cell>
        </row>
        <row r="11">
          <cell r="C11">
            <v>17045</v>
          </cell>
          <cell r="D11">
            <v>5171</v>
          </cell>
          <cell r="F11">
            <v>0</v>
          </cell>
          <cell r="G11">
            <v>0</v>
          </cell>
        </row>
        <row r="12">
          <cell r="C12">
            <v>123610</v>
          </cell>
          <cell r="D12">
            <v>55537</v>
          </cell>
          <cell r="F12">
            <v>25000</v>
          </cell>
          <cell r="G12">
            <v>10615</v>
          </cell>
        </row>
        <row r="13">
          <cell r="C13">
            <v>2300</v>
          </cell>
          <cell r="D13">
            <v>0</v>
          </cell>
          <cell r="F13">
            <v>1000</v>
          </cell>
          <cell r="G13">
            <v>1595</v>
          </cell>
        </row>
        <row r="14">
          <cell r="C14">
            <v>14846</v>
          </cell>
          <cell r="D14">
            <v>7602</v>
          </cell>
          <cell r="F14">
            <v>0</v>
          </cell>
          <cell r="G14">
            <v>0</v>
          </cell>
        </row>
        <row r="15">
          <cell r="C15">
            <v>49996</v>
          </cell>
          <cell r="D15">
            <v>4403</v>
          </cell>
          <cell r="F15">
            <v>17258</v>
          </cell>
          <cell r="G15">
            <v>5189</v>
          </cell>
        </row>
        <row r="16">
          <cell r="C16">
            <v>5687</v>
          </cell>
          <cell r="D16">
            <v>3590</v>
          </cell>
          <cell r="F16">
            <v>6651</v>
          </cell>
          <cell r="G16">
            <v>4556</v>
          </cell>
        </row>
        <row r="17">
          <cell r="C17">
            <v>43699</v>
          </cell>
          <cell r="D17">
            <v>0</v>
          </cell>
          <cell r="F17">
            <v>10107</v>
          </cell>
          <cell r="G17">
            <v>0</v>
          </cell>
        </row>
        <row r="18">
          <cell r="C18">
            <v>610</v>
          </cell>
          <cell r="D18">
            <v>813</v>
          </cell>
          <cell r="F18">
            <v>500</v>
          </cell>
          <cell r="G18">
            <v>633</v>
          </cell>
        </row>
        <row r="19">
          <cell r="C19">
            <v>1400</v>
          </cell>
          <cell r="D19">
            <v>1449</v>
          </cell>
          <cell r="F19">
            <v>1250</v>
          </cell>
          <cell r="G19">
            <v>1148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</row>
        <row r="21">
          <cell r="C21">
            <v>0</v>
          </cell>
          <cell r="D21">
            <v>0</v>
          </cell>
          <cell r="F21">
            <v>5000</v>
          </cell>
          <cell r="G21">
            <v>5586</v>
          </cell>
        </row>
        <row r="22">
          <cell r="C22">
            <v>63419</v>
          </cell>
          <cell r="D22">
            <v>44230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F23">
            <v>3000</v>
          </cell>
          <cell r="G23">
            <v>2263</v>
          </cell>
        </row>
        <row r="24">
          <cell r="C24">
            <v>0</v>
          </cell>
          <cell r="D24">
            <v>0</v>
          </cell>
          <cell r="F24">
            <v>500</v>
          </cell>
          <cell r="G24">
            <v>0</v>
          </cell>
        </row>
        <row r="25">
          <cell r="C25">
            <v>1500</v>
          </cell>
          <cell r="D25">
            <v>0</v>
          </cell>
          <cell r="F25">
            <v>1500</v>
          </cell>
          <cell r="G25">
            <v>3835</v>
          </cell>
        </row>
        <row r="26">
          <cell r="C26">
            <v>3000</v>
          </cell>
          <cell r="D26">
            <v>2000</v>
          </cell>
          <cell r="F26">
            <v>5000</v>
          </cell>
          <cell r="G26">
            <v>10995</v>
          </cell>
        </row>
        <row r="27">
          <cell r="C27">
            <v>75401</v>
          </cell>
          <cell r="D27">
            <v>75574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F28">
            <v>8371</v>
          </cell>
          <cell r="G28">
            <v>6845</v>
          </cell>
        </row>
        <row r="29">
          <cell r="C29">
            <v>0</v>
          </cell>
          <cell r="D29">
            <v>0</v>
          </cell>
          <cell r="F29">
            <v>6891</v>
          </cell>
          <cell r="G29">
            <v>5508</v>
          </cell>
        </row>
        <row r="30">
          <cell r="C30">
            <v>25000</v>
          </cell>
          <cell r="D30">
            <v>17318</v>
          </cell>
          <cell r="F30">
            <v>9500</v>
          </cell>
          <cell r="G30">
            <v>0</v>
          </cell>
        </row>
        <row r="31">
          <cell r="C31">
            <v>26800</v>
          </cell>
          <cell r="D31">
            <v>13669</v>
          </cell>
          <cell r="F31">
            <v>250</v>
          </cell>
          <cell r="G31">
            <v>0</v>
          </cell>
        </row>
        <row r="32">
          <cell r="C32">
            <v>14000</v>
          </cell>
          <cell r="D32">
            <v>0</v>
          </cell>
          <cell r="F32">
            <v>4856</v>
          </cell>
          <cell r="G32">
            <v>1050</v>
          </cell>
        </row>
        <row r="34">
          <cell r="C34">
            <v>49794</v>
          </cell>
          <cell r="D34">
            <v>67259</v>
          </cell>
          <cell r="F34">
            <v>11942</v>
          </cell>
          <cell r="G34">
            <v>0</v>
          </cell>
        </row>
        <row r="35">
          <cell r="I35">
            <v>1537909</v>
          </cell>
          <cell r="J35">
            <v>1006890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ДЗ нас "/>
      <sheetName val="ДЗ нежит"/>
      <sheetName val="поточний ремонт"/>
      <sheetName val="ПР будинок"/>
      <sheetName val="накладні витрати"/>
      <sheetName val="первичка 1"/>
      <sheetName val="первичка 2"/>
      <sheetName val="коди"/>
      <sheetName val="ціни"/>
      <sheetName val="кошти 01.03.20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аркан аморт"/>
      <sheetName val="Лист1"/>
      <sheetName val="ПР дільниці"/>
    </sheetNames>
    <sheetDataSet>
      <sheetData sheetId="0"/>
      <sheetData sheetId="1"/>
      <sheetData sheetId="2"/>
      <sheetData sheetId="3">
        <row r="9">
          <cell r="DC9">
            <v>2125.1999999999998</v>
          </cell>
          <cell r="DD9"/>
          <cell r="DE9">
            <v>2.2873703586810734E-2</v>
          </cell>
          <cell r="DF9">
            <v>0</v>
          </cell>
        </row>
        <row r="10">
          <cell r="DC10">
            <v>10748.6</v>
          </cell>
          <cell r="DD10"/>
          <cell r="DE10">
            <v>337.04132215512254</v>
          </cell>
          <cell r="DF10">
            <v>0</v>
          </cell>
        </row>
        <row r="11">
          <cell r="DC11">
            <v>58006.879999999997</v>
          </cell>
          <cell r="DD11"/>
          <cell r="DE11">
            <v>40808.181893783621</v>
          </cell>
          <cell r="DF11">
            <v>0</v>
          </cell>
        </row>
        <row r="12">
          <cell r="DC12">
            <v>84569.18</v>
          </cell>
          <cell r="DD12"/>
          <cell r="DE12">
            <v>39864.261581092527</v>
          </cell>
          <cell r="DF12">
            <v>0</v>
          </cell>
        </row>
        <row r="13">
          <cell r="DC13">
            <v>87731.81</v>
          </cell>
          <cell r="DD13"/>
          <cell r="DE13">
            <v>42910.552541240861</v>
          </cell>
          <cell r="DF13">
            <v>0</v>
          </cell>
        </row>
        <row r="14">
          <cell r="DC14">
            <v>681.34</v>
          </cell>
          <cell r="DD14"/>
          <cell r="DE14">
            <v>243.8703462161227</v>
          </cell>
          <cell r="DF14">
            <v>0</v>
          </cell>
        </row>
        <row r="15">
          <cell r="DC15">
            <v>3250.49</v>
          </cell>
          <cell r="DD15"/>
          <cell r="DE15">
            <v>2728.7375366245824</v>
          </cell>
          <cell r="DF15">
            <v>0</v>
          </cell>
        </row>
        <row r="16">
          <cell r="DC16">
            <v>1635.77</v>
          </cell>
          <cell r="DD16"/>
          <cell r="DE16">
            <v>1490.2799026302278</v>
          </cell>
          <cell r="DF16">
            <v>0</v>
          </cell>
        </row>
        <row r="17">
          <cell r="DC17">
            <v>2490.96</v>
          </cell>
          <cell r="DD17"/>
          <cell r="DE17">
            <v>2210.3333784291317</v>
          </cell>
          <cell r="DF17">
            <v>0</v>
          </cell>
        </row>
        <row r="18">
          <cell r="DC18">
            <v>69573.13</v>
          </cell>
          <cell r="DD18">
            <v>337.64</v>
          </cell>
          <cell r="DE18">
            <v>36654.730109104632</v>
          </cell>
          <cell r="DF18">
            <v>-9.8321557785538971E-3</v>
          </cell>
        </row>
        <row r="19">
          <cell r="DC19">
            <v>6695.11</v>
          </cell>
          <cell r="DD19"/>
          <cell r="DE19">
            <v>4118.3455058346253</v>
          </cell>
          <cell r="DF19">
            <v>0</v>
          </cell>
        </row>
        <row r="20">
          <cell r="DC20">
            <v>12880.3</v>
          </cell>
          <cell r="DD20"/>
          <cell r="DE20">
            <v>10303.218582008332</v>
          </cell>
          <cell r="DF20">
            <v>0</v>
          </cell>
        </row>
        <row r="21">
          <cell r="DC21">
            <v>56112.51</v>
          </cell>
          <cell r="DD21">
            <v>767.22</v>
          </cell>
          <cell r="DE21">
            <v>26284.62472920334</v>
          </cell>
          <cell r="DF21">
            <v>511.47301512530191</v>
          </cell>
        </row>
        <row r="22">
          <cell r="DC22">
            <v>2660.98</v>
          </cell>
          <cell r="DD22">
            <v>1375.0599999999997</v>
          </cell>
          <cell r="DE22">
            <v>-1472.5583371095286</v>
          </cell>
          <cell r="DF22">
            <v>893.80196903723936</v>
          </cell>
        </row>
        <row r="23">
          <cell r="DC23">
            <v>276.85000000000002</v>
          </cell>
          <cell r="DD23">
            <v>-0.56000000000000005</v>
          </cell>
          <cell r="DE23">
            <v>1.351097500457854E-2</v>
          </cell>
          <cell r="DF23">
            <v>-67.640640546627282</v>
          </cell>
        </row>
        <row r="24">
          <cell r="DC24">
            <v>28682.91</v>
          </cell>
          <cell r="DD24">
            <v>2939.66</v>
          </cell>
          <cell r="DE24">
            <v>16363.805005704613</v>
          </cell>
          <cell r="DF24">
            <v>1406.0662039173674</v>
          </cell>
        </row>
        <row r="25">
          <cell r="DC25">
            <v>8501.5300000000007</v>
          </cell>
          <cell r="DD25">
            <v>12603.650000000001</v>
          </cell>
          <cell r="DE25">
            <v>1310.0054340239012</v>
          </cell>
          <cell r="DF25">
            <v>10874.173646077397</v>
          </cell>
        </row>
        <row r="26">
          <cell r="DC26">
            <v>47766.89</v>
          </cell>
          <cell r="DD26"/>
          <cell r="DE26">
            <v>20154.208569177863</v>
          </cell>
          <cell r="DF26">
            <v>0</v>
          </cell>
        </row>
        <row r="27">
          <cell r="DC27">
            <v>1328.29</v>
          </cell>
          <cell r="DD27"/>
          <cell r="DE27">
            <v>948.59203721989979</v>
          </cell>
          <cell r="DF27">
            <v>0</v>
          </cell>
        </row>
        <row r="28">
          <cell r="DC28">
            <v>678.11</v>
          </cell>
          <cell r="DD28"/>
          <cell r="DE28">
            <v>258.20124527439788</v>
          </cell>
          <cell r="DF28">
            <v>0</v>
          </cell>
        </row>
        <row r="29">
          <cell r="DC29">
            <v>422.07</v>
          </cell>
          <cell r="DD29"/>
          <cell r="DE29">
            <v>1.9748004147572829E-3</v>
          </cell>
          <cell r="DF29">
            <v>0</v>
          </cell>
        </row>
        <row r="30">
          <cell r="DC30">
            <v>1240.6300000000001</v>
          </cell>
          <cell r="DD30"/>
          <cell r="DE30">
            <v>832.30726571064861</v>
          </cell>
          <cell r="DF30">
            <v>0</v>
          </cell>
        </row>
        <row r="31">
          <cell r="DC31">
            <v>642.71</v>
          </cell>
          <cell r="DD31"/>
          <cell r="DE31">
            <v>204.48672006849483</v>
          </cell>
          <cell r="DF31">
            <v>0</v>
          </cell>
        </row>
        <row r="32">
          <cell r="DC32">
            <v>-164.33</v>
          </cell>
          <cell r="DD32"/>
          <cell r="DE32">
            <v>-585.45600067868077</v>
          </cell>
          <cell r="DF32">
            <v>0</v>
          </cell>
        </row>
        <row r="33">
          <cell r="DC33">
            <v>1794.2</v>
          </cell>
          <cell r="DD33"/>
          <cell r="DE33">
            <v>1401.7150414547118</v>
          </cell>
          <cell r="DF33">
            <v>0</v>
          </cell>
        </row>
        <row r="34">
          <cell r="DC34">
            <v>2228.13</v>
          </cell>
          <cell r="DD34"/>
          <cell r="DE34">
            <v>1839.6871216778231</v>
          </cell>
          <cell r="DF34">
            <v>0</v>
          </cell>
        </row>
        <row r="35">
          <cell r="DC35">
            <v>258.39999999999998</v>
          </cell>
          <cell r="DD35"/>
          <cell r="DE35">
            <v>-0.19199001220243872</v>
          </cell>
          <cell r="DF35">
            <v>0</v>
          </cell>
        </row>
        <row r="36">
          <cell r="DC36">
            <v>508.21</v>
          </cell>
          <cell r="DD36"/>
          <cell r="DE36">
            <v>85.494122955542082</v>
          </cell>
          <cell r="DF36">
            <v>0</v>
          </cell>
        </row>
        <row r="37">
          <cell r="DC37">
            <v>19651.689999999999</v>
          </cell>
          <cell r="DD37">
            <v>4403.09</v>
          </cell>
          <cell r="DE37">
            <v>9523.1492748280743</v>
          </cell>
          <cell r="DF37">
            <v>3335.0382439345394</v>
          </cell>
        </row>
        <row r="38">
          <cell r="DC38">
            <v>2232.71</v>
          </cell>
          <cell r="DD38"/>
          <cell r="DE38">
            <v>1950.5349712513266</v>
          </cell>
          <cell r="DF38">
            <v>0</v>
          </cell>
        </row>
        <row r="39">
          <cell r="DC39">
            <v>13941.67</v>
          </cell>
          <cell r="DD39">
            <v>24067.149999999998</v>
          </cell>
          <cell r="DE39">
            <v>1664.6038274685452</v>
          </cell>
          <cell r="DF39">
            <v>21929.705428609555</v>
          </cell>
        </row>
        <row r="40">
          <cell r="DC40">
            <v>36065.68</v>
          </cell>
          <cell r="DD40">
            <v>1045.27</v>
          </cell>
          <cell r="DE40">
            <v>20899.087823509621</v>
          </cell>
          <cell r="DF40">
            <v>-533.67752622174748</v>
          </cell>
        </row>
        <row r="41">
          <cell r="DC41">
            <v>17464.810000000001</v>
          </cell>
          <cell r="DD41">
            <v>7266.68</v>
          </cell>
          <cell r="DE41">
            <v>12455.022809671034</v>
          </cell>
          <cell r="DF41">
            <v>6733.1266389547</v>
          </cell>
        </row>
        <row r="42">
          <cell r="DC42">
            <v>4134.58</v>
          </cell>
          <cell r="DD42">
            <v>14020.93</v>
          </cell>
          <cell r="DE42">
            <v>-135.77281709117142</v>
          </cell>
          <cell r="DF42">
            <v>12621.451529713175</v>
          </cell>
        </row>
        <row r="43">
          <cell r="DC43">
            <v>21661.81</v>
          </cell>
          <cell r="DD43">
            <v>33.97</v>
          </cell>
          <cell r="DE43">
            <v>13396.779419698983</v>
          </cell>
          <cell r="DF43">
            <v>-551.40425876481027</v>
          </cell>
        </row>
        <row r="44">
          <cell r="DC44">
            <v>45283.95</v>
          </cell>
          <cell r="DD44">
            <v>4355.08</v>
          </cell>
          <cell r="DE44">
            <v>39220.437540675935</v>
          </cell>
          <cell r="DF44">
            <v>3015.564919508899</v>
          </cell>
        </row>
        <row r="45">
          <cell r="DC45">
            <v>11767.39</v>
          </cell>
          <cell r="DD45">
            <v>8757.58</v>
          </cell>
          <cell r="DE45">
            <v>3779.4672809215881</v>
          </cell>
          <cell r="DF45">
            <v>7727.661422794894</v>
          </cell>
        </row>
        <row r="46">
          <cell r="DC46">
            <v>8103.26</v>
          </cell>
          <cell r="DD46">
            <v>1400.6399999999999</v>
          </cell>
          <cell r="DE46">
            <v>226.63384695133482</v>
          </cell>
          <cell r="DF46">
            <v>9.1135458405915415E-3</v>
          </cell>
        </row>
        <row r="47">
          <cell r="DC47">
            <v>37202.129999999997</v>
          </cell>
          <cell r="DD47"/>
          <cell r="DE47">
            <v>21113.632620529286</v>
          </cell>
          <cell r="DF47">
            <v>0</v>
          </cell>
        </row>
        <row r="48">
          <cell r="DC48">
            <v>78744.789999999994</v>
          </cell>
          <cell r="DD48"/>
          <cell r="DE48">
            <v>33614.70842854384</v>
          </cell>
          <cell r="DF48">
            <v>0</v>
          </cell>
        </row>
        <row r="49">
          <cell r="DC49">
            <v>48757.72</v>
          </cell>
          <cell r="DD49"/>
          <cell r="DE49">
            <v>21229.528032538183</v>
          </cell>
          <cell r="DF49">
            <v>0</v>
          </cell>
        </row>
        <row r="50">
          <cell r="DC50">
            <v>83983.71</v>
          </cell>
          <cell r="DD50"/>
          <cell r="DE50">
            <v>22254.440260834075</v>
          </cell>
          <cell r="DF50">
            <v>0</v>
          </cell>
        </row>
        <row r="51">
          <cell r="DC51">
            <v>103300.07</v>
          </cell>
          <cell r="DD51"/>
          <cell r="DE51">
            <v>60873.474233599292</v>
          </cell>
          <cell r="DF51">
            <v>0</v>
          </cell>
        </row>
        <row r="52">
          <cell r="DC52">
            <v>41027.57</v>
          </cell>
          <cell r="DD52">
            <v>41.259999999999991</v>
          </cell>
          <cell r="DE52">
            <v>22143.009989483948</v>
          </cell>
          <cell r="DF52">
            <v>-859.94872241652615</v>
          </cell>
        </row>
        <row r="53">
          <cell r="DC53">
            <v>-11.38</v>
          </cell>
          <cell r="DD53"/>
          <cell r="DE53">
            <v>-94.862935254096158</v>
          </cell>
          <cell r="DF53">
            <v>0</v>
          </cell>
        </row>
        <row r="54">
          <cell r="DC54">
            <v>670.34</v>
          </cell>
          <cell r="DD54"/>
          <cell r="DE54">
            <v>235.4599163759878</v>
          </cell>
          <cell r="DF54">
            <v>0</v>
          </cell>
        </row>
        <row r="55">
          <cell r="DC55">
            <v>15737.74</v>
          </cell>
          <cell r="DD55"/>
          <cell r="DE55">
            <v>1809.371498414197</v>
          </cell>
          <cell r="DF55">
            <v>0</v>
          </cell>
        </row>
        <row r="56">
          <cell r="DC56">
            <v>31083.82</v>
          </cell>
          <cell r="DD56"/>
          <cell r="DE56">
            <v>23871.774844794079</v>
          </cell>
          <cell r="DF56">
            <v>0</v>
          </cell>
        </row>
        <row r="57">
          <cell r="DC57">
            <v>30579.94</v>
          </cell>
          <cell r="DD57"/>
          <cell r="DE57">
            <v>14219.022222974876</v>
          </cell>
          <cell r="DF57">
            <v>0</v>
          </cell>
        </row>
        <row r="58">
          <cell r="DC58">
            <v>1206.5</v>
          </cell>
          <cell r="DD58"/>
          <cell r="DE58">
            <v>815.15003284973386</v>
          </cell>
          <cell r="DF58">
            <v>0</v>
          </cell>
        </row>
        <row r="59">
          <cell r="DC59">
            <v>101561.42</v>
          </cell>
          <cell r="DD59">
            <v>1052.8499999999999</v>
          </cell>
          <cell r="DE59">
            <v>89152.82817982079</v>
          </cell>
          <cell r="DF59">
            <v>701.8620964677857</v>
          </cell>
        </row>
        <row r="60">
          <cell r="DC60">
            <v>47437.86</v>
          </cell>
          <cell r="DD60"/>
          <cell r="DE60">
            <v>30043.139473546438</v>
          </cell>
          <cell r="DF60">
            <v>0</v>
          </cell>
        </row>
        <row r="61">
          <cell r="DC61">
            <v>20576.77</v>
          </cell>
          <cell r="DD61">
            <v>783.76</v>
          </cell>
          <cell r="DE61">
            <v>12776.179558599753</v>
          </cell>
          <cell r="DF61">
            <v>248.78022611694155</v>
          </cell>
        </row>
        <row r="62">
          <cell r="DC62">
            <v>33307</v>
          </cell>
          <cell r="DD62">
            <v>2131.9699999999998</v>
          </cell>
          <cell r="DE62">
            <v>24525.838199644622</v>
          </cell>
          <cell r="DF62">
            <v>-2805.6840138203574</v>
          </cell>
        </row>
        <row r="63">
          <cell r="DC63">
            <v>17742.310000000001</v>
          </cell>
          <cell r="DD63"/>
          <cell r="DE63">
            <v>9582.9906371499892</v>
          </cell>
          <cell r="DF63">
            <v>0</v>
          </cell>
        </row>
        <row r="64">
          <cell r="DC64">
            <v>1401.36</v>
          </cell>
          <cell r="DD64"/>
          <cell r="DE64">
            <v>279.63912380654892</v>
          </cell>
          <cell r="DF64">
            <v>0</v>
          </cell>
        </row>
        <row r="65">
          <cell r="DC65">
            <v>421.05</v>
          </cell>
          <cell r="DD65"/>
          <cell r="DE65">
            <v>69.087146416146027</v>
          </cell>
          <cell r="DF65">
            <v>0</v>
          </cell>
        </row>
        <row r="66">
          <cell r="DC66">
            <v>179.17</v>
          </cell>
          <cell r="DD66"/>
          <cell r="DE66">
            <v>25.264648046764506</v>
          </cell>
          <cell r="DF66">
            <v>0</v>
          </cell>
        </row>
        <row r="67">
          <cell r="DC67">
            <v>8789.08</v>
          </cell>
          <cell r="DD67"/>
          <cell r="DE67">
            <v>8305.9096424292857</v>
          </cell>
          <cell r="DF67">
            <v>0</v>
          </cell>
        </row>
        <row r="68">
          <cell r="DC68">
            <v>28694.67</v>
          </cell>
          <cell r="DD68">
            <v>3703.33</v>
          </cell>
          <cell r="DE68">
            <v>21998.160195547254</v>
          </cell>
          <cell r="DF68">
            <v>2308.1203092883179</v>
          </cell>
        </row>
        <row r="69">
          <cell r="DC69">
            <v>9577.08</v>
          </cell>
          <cell r="DD69">
            <v>0</v>
          </cell>
          <cell r="DE69">
            <v>4711.7988294768274</v>
          </cell>
          <cell r="DF69">
            <v>-346.37481838737267</v>
          </cell>
        </row>
        <row r="70">
          <cell r="DC70">
            <v>23583.19</v>
          </cell>
          <cell r="DD70">
            <v>1869.18</v>
          </cell>
          <cell r="DE70">
            <v>5980.8560201163164</v>
          </cell>
          <cell r="DF70">
            <v>1580.6965274238628</v>
          </cell>
        </row>
        <row r="71">
          <cell r="DC71">
            <v>11676.68</v>
          </cell>
          <cell r="DD71">
            <v>9410.07</v>
          </cell>
          <cell r="DE71">
            <v>3413.1808183650555</v>
          </cell>
          <cell r="DF71">
            <v>7945.9795663020741</v>
          </cell>
        </row>
        <row r="72">
          <cell r="DC72">
            <v>5794.01</v>
          </cell>
          <cell r="DD72"/>
          <cell r="DE72">
            <v>5376.7725261277892</v>
          </cell>
          <cell r="DF72">
            <v>0</v>
          </cell>
        </row>
        <row r="73">
          <cell r="DC73">
            <v>3401.36</v>
          </cell>
          <cell r="DD73"/>
          <cell r="DE73">
            <v>2947.5276057888918</v>
          </cell>
          <cell r="DF73">
            <v>0</v>
          </cell>
        </row>
        <row r="74">
          <cell r="DC74">
            <v>3240.8</v>
          </cell>
          <cell r="DD74">
            <v>0</v>
          </cell>
          <cell r="DE74">
            <v>2923.6422770023105</v>
          </cell>
          <cell r="DF74">
            <v>0</v>
          </cell>
        </row>
        <row r="75">
          <cell r="DC75">
            <v>573</v>
          </cell>
          <cell r="DD75"/>
          <cell r="DE75">
            <v>259.79462976300715</v>
          </cell>
          <cell r="DF75">
            <v>0</v>
          </cell>
        </row>
        <row r="76">
          <cell r="DC76">
            <v>1445.34</v>
          </cell>
          <cell r="DD76"/>
          <cell r="DE76">
            <v>943.20630382142531</v>
          </cell>
          <cell r="DF76">
            <v>0</v>
          </cell>
        </row>
        <row r="77">
          <cell r="DC77">
            <v>4372.42</v>
          </cell>
          <cell r="DD77"/>
          <cell r="DE77">
            <v>3990.6052687434476</v>
          </cell>
          <cell r="DF77">
            <v>0</v>
          </cell>
        </row>
        <row r="78">
          <cell r="DC78">
            <v>114918.8</v>
          </cell>
          <cell r="DD78"/>
          <cell r="DE78">
            <v>53260.559129242691</v>
          </cell>
          <cell r="DF78">
            <v>0</v>
          </cell>
        </row>
        <row r="79">
          <cell r="DC79">
            <v>1947.21</v>
          </cell>
          <cell r="DD79"/>
          <cell r="DE79">
            <v>1544.095435623336</v>
          </cell>
          <cell r="DF79">
            <v>0</v>
          </cell>
        </row>
        <row r="80">
          <cell r="DC80">
            <v>1026.52</v>
          </cell>
          <cell r="DD80"/>
          <cell r="DE80">
            <v>808.76233921473658</v>
          </cell>
          <cell r="DF80">
            <v>0</v>
          </cell>
        </row>
        <row r="81">
          <cell r="DC81">
            <v>3015.32</v>
          </cell>
          <cell r="DD81"/>
          <cell r="DE81">
            <v>2772.5589090011017</v>
          </cell>
          <cell r="DF81">
            <v>0</v>
          </cell>
        </row>
        <row r="82">
          <cell r="DC82">
            <v>112393.58</v>
          </cell>
          <cell r="DD82"/>
          <cell r="DE82">
            <v>61368.873975995208</v>
          </cell>
          <cell r="DF82">
            <v>0</v>
          </cell>
        </row>
        <row r="83">
          <cell r="DC83">
            <v>34240.61</v>
          </cell>
          <cell r="DD83"/>
          <cell r="DE83">
            <v>18354.614883875947</v>
          </cell>
          <cell r="DF83">
            <v>0</v>
          </cell>
        </row>
        <row r="84">
          <cell r="DC84">
            <v>165043.21</v>
          </cell>
          <cell r="DD84"/>
          <cell r="DE84">
            <v>80173.384246284739</v>
          </cell>
          <cell r="DF84">
            <v>0</v>
          </cell>
        </row>
        <row r="85">
          <cell r="DC85">
            <v>17727.61</v>
          </cell>
          <cell r="DD85"/>
          <cell r="DE85">
            <v>1623.9507402406798</v>
          </cell>
          <cell r="DF85">
            <v>0</v>
          </cell>
        </row>
        <row r="86">
          <cell r="DC86">
            <v>232647.05</v>
          </cell>
          <cell r="DD86">
            <v>-484.84</v>
          </cell>
          <cell r="DE86">
            <v>149274.16269592429</v>
          </cell>
          <cell r="DF86">
            <v>-955.07075995498121</v>
          </cell>
        </row>
        <row r="87">
          <cell r="DC87">
            <v>927.82</v>
          </cell>
          <cell r="DD87"/>
          <cell r="DE87">
            <v>533.28779892541365</v>
          </cell>
          <cell r="DF87">
            <v>0</v>
          </cell>
        </row>
        <row r="88">
          <cell r="DC88">
            <v>-919.86</v>
          </cell>
          <cell r="DD88"/>
          <cell r="DE88">
            <v>-1262.5434616559787</v>
          </cell>
          <cell r="DF88">
            <v>0</v>
          </cell>
        </row>
        <row r="89">
          <cell r="DC89">
            <v>380.7</v>
          </cell>
          <cell r="DD89"/>
          <cell r="DE89">
            <v>-1.0230623780671522E-3</v>
          </cell>
          <cell r="DF89">
            <v>0</v>
          </cell>
        </row>
        <row r="90">
          <cell r="DC90">
            <v>113.17</v>
          </cell>
          <cell r="DD90"/>
          <cell r="DE90">
            <v>-616.03036961703901</v>
          </cell>
          <cell r="DF90">
            <v>0</v>
          </cell>
        </row>
        <row r="91">
          <cell r="DC91">
            <v>4502.57</v>
          </cell>
          <cell r="DD91"/>
          <cell r="DE91">
            <v>4003.9581205935169</v>
          </cell>
          <cell r="DF91">
            <v>0</v>
          </cell>
        </row>
        <row r="92">
          <cell r="DC92">
            <v>881.51</v>
          </cell>
          <cell r="DD92"/>
          <cell r="DE92">
            <v>686.9433132733468</v>
          </cell>
          <cell r="DF92">
            <v>0</v>
          </cell>
        </row>
        <row r="93">
          <cell r="DC93">
            <v>225.04</v>
          </cell>
          <cell r="DD93"/>
          <cell r="DE93">
            <v>-1.115676238222818E-2</v>
          </cell>
          <cell r="DF93">
            <v>0</v>
          </cell>
        </row>
        <row r="94">
          <cell r="DC94">
            <v>1934.35</v>
          </cell>
          <cell r="DD94"/>
          <cell r="DE94">
            <v>1459.2046629445599</v>
          </cell>
          <cell r="DF94">
            <v>0</v>
          </cell>
        </row>
        <row r="95">
          <cell r="DC95">
            <v>2333.96</v>
          </cell>
          <cell r="DD95">
            <v>104.99</v>
          </cell>
          <cell r="DE95">
            <v>1854.5252139044642</v>
          </cell>
          <cell r="DF95">
            <v>21.129999999999995</v>
          </cell>
        </row>
        <row r="96">
          <cell r="DC96">
            <v>663.78</v>
          </cell>
          <cell r="DD96"/>
          <cell r="DE96">
            <v>195.16318335501853</v>
          </cell>
          <cell r="DF96">
            <v>0</v>
          </cell>
        </row>
        <row r="97">
          <cell r="DC97">
            <v>5330.07</v>
          </cell>
          <cell r="DD97"/>
          <cell r="DE97">
            <v>4664.5395776750638</v>
          </cell>
          <cell r="DF97">
            <v>0</v>
          </cell>
        </row>
        <row r="98">
          <cell r="DC98">
            <v>262.82</v>
          </cell>
          <cell r="DD98"/>
          <cell r="DE98">
            <v>17.424099942709915</v>
          </cell>
          <cell r="DF98">
            <v>0</v>
          </cell>
        </row>
        <row r="99">
          <cell r="DC99">
            <v>89572.24</v>
          </cell>
          <cell r="DD99"/>
          <cell r="DE99">
            <v>55730.416448774013</v>
          </cell>
          <cell r="DF99">
            <v>0</v>
          </cell>
        </row>
        <row r="100">
          <cell r="DC100">
            <v>39504.660000000003</v>
          </cell>
          <cell r="DD100"/>
          <cell r="DE100">
            <v>24192.350013346073</v>
          </cell>
          <cell r="DF100">
            <v>0</v>
          </cell>
        </row>
        <row r="101">
          <cell r="DC101">
            <v>42017.22</v>
          </cell>
          <cell r="DD101"/>
          <cell r="DE101">
            <v>12873.58297569694</v>
          </cell>
          <cell r="DF101">
            <v>0</v>
          </cell>
        </row>
        <row r="102">
          <cell r="DC102">
            <v>75947.39</v>
          </cell>
          <cell r="DD102"/>
          <cell r="DE102">
            <v>38281.185526325047</v>
          </cell>
          <cell r="DF102">
            <v>0</v>
          </cell>
        </row>
        <row r="103">
          <cell r="DC103">
            <v>2379.5</v>
          </cell>
          <cell r="DD103"/>
          <cell r="DE103">
            <v>1944.0265646207522</v>
          </cell>
          <cell r="DF103">
            <v>0</v>
          </cell>
        </row>
        <row r="104">
          <cell r="DC104">
            <v>125092.52</v>
          </cell>
          <cell r="DD104">
            <v>1820.72</v>
          </cell>
          <cell r="DE104">
            <v>53529.219381615752</v>
          </cell>
          <cell r="DF104">
            <v>1614.3640670942668</v>
          </cell>
        </row>
        <row r="105">
          <cell r="DC105">
            <v>231.76</v>
          </cell>
          <cell r="DD105"/>
          <cell r="DE105">
            <v>-298.34225279170539</v>
          </cell>
          <cell r="DF105">
            <v>0</v>
          </cell>
        </row>
        <row r="106">
          <cell r="DC106">
            <v>2733.22</v>
          </cell>
          <cell r="DD106"/>
          <cell r="DE106">
            <v>2302.2053239135303</v>
          </cell>
          <cell r="DF106">
            <v>0</v>
          </cell>
        </row>
        <row r="107">
          <cell r="DC107">
            <v>9003.5400000000009</v>
          </cell>
          <cell r="DD107">
            <v>-598.20000000000005</v>
          </cell>
          <cell r="DE107">
            <v>929.16796452896506</v>
          </cell>
          <cell r="DF107">
            <v>-1080.4189827258283</v>
          </cell>
        </row>
        <row r="108">
          <cell r="DC108">
            <v>82277.38</v>
          </cell>
          <cell r="DD108">
            <v>4353.22</v>
          </cell>
          <cell r="DE108">
            <v>15885.222821622039</v>
          </cell>
          <cell r="DF108">
            <v>3753.8016237354473</v>
          </cell>
        </row>
        <row r="109">
          <cell r="DC109">
            <v>1843.76</v>
          </cell>
          <cell r="DD109"/>
          <cell r="DE109">
            <v>1493.1259535368561</v>
          </cell>
          <cell r="DF109">
            <v>0</v>
          </cell>
        </row>
        <row r="110">
          <cell r="DC110">
            <v>70589.97</v>
          </cell>
          <cell r="DD110">
            <v>-271.22000000000003</v>
          </cell>
          <cell r="DE110">
            <v>41499.63129591052</v>
          </cell>
          <cell r="DF110">
            <v>-581.58083216106911</v>
          </cell>
        </row>
        <row r="111">
          <cell r="DC111">
            <v>49067.93</v>
          </cell>
          <cell r="DD111">
            <v>643</v>
          </cell>
          <cell r="DE111">
            <v>19146.353842053832</v>
          </cell>
          <cell r="DF111">
            <v>-0.13024387639495671</v>
          </cell>
        </row>
        <row r="112">
          <cell r="DC112">
            <v>41141.839999999997</v>
          </cell>
          <cell r="DD112">
            <v>0.74</v>
          </cell>
          <cell r="DE112">
            <v>6572.5660542011829</v>
          </cell>
          <cell r="DF112">
            <v>-329.00562908962041</v>
          </cell>
        </row>
        <row r="113">
          <cell r="DC113">
            <v>166420.82999999999</v>
          </cell>
          <cell r="DD113"/>
          <cell r="DE113">
            <v>94298.521668573419</v>
          </cell>
          <cell r="DF113">
            <v>0</v>
          </cell>
        </row>
        <row r="114">
          <cell r="DC114">
            <v>122679.76</v>
          </cell>
          <cell r="DD114"/>
          <cell r="DE114">
            <v>70090.383187479893</v>
          </cell>
          <cell r="DF114">
            <v>0</v>
          </cell>
        </row>
        <row r="115">
          <cell r="DC115">
            <v>4512.38</v>
          </cell>
          <cell r="DD115">
            <v>277.88</v>
          </cell>
          <cell r="DE115">
            <v>2535.0783163100914</v>
          </cell>
          <cell r="DF115">
            <v>-728.21803605055743</v>
          </cell>
        </row>
        <row r="116">
          <cell r="DC116">
            <v>14330.67</v>
          </cell>
          <cell r="DD116"/>
          <cell r="DE116">
            <v>1776.1822550995676</v>
          </cell>
          <cell r="DF116">
            <v>0</v>
          </cell>
        </row>
        <row r="117">
          <cell r="DC117">
            <v>13171.79</v>
          </cell>
          <cell r="DD117">
            <v>7907.06</v>
          </cell>
          <cell r="DE117">
            <v>10835.061910481878</v>
          </cell>
          <cell r="DF117">
            <v>7587.920619391406</v>
          </cell>
        </row>
        <row r="118">
          <cell r="DC118">
            <v>22103.22</v>
          </cell>
          <cell r="DD118">
            <v>11240.92</v>
          </cell>
          <cell r="DE118">
            <v>19976.693475749082</v>
          </cell>
          <cell r="DF118">
            <v>10920.392548979111</v>
          </cell>
        </row>
        <row r="119">
          <cell r="DC119">
            <v>10932.23</v>
          </cell>
          <cell r="DD119">
            <v>891.46</v>
          </cell>
          <cell r="DE119">
            <v>6401.9891953987999</v>
          </cell>
          <cell r="DF119">
            <v>445.73392312627658</v>
          </cell>
        </row>
        <row r="120">
          <cell r="DC120">
            <v>5257.8</v>
          </cell>
          <cell r="DD120">
            <v>5804.37</v>
          </cell>
          <cell r="DE120">
            <v>869.1234475812962</v>
          </cell>
          <cell r="DF120">
            <v>4273.9662164641932</v>
          </cell>
        </row>
        <row r="121">
          <cell r="DC121">
            <v>7568.34</v>
          </cell>
          <cell r="DD121">
            <v>1880.23</v>
          </cell>
          <cell r="DE121">
            <v>4402.445636774366</v>
          </cell>
          <cell r="DF121">
            <v>1145.6993799405286</v>
          </cell>
        </row>
        <row r="122">
          <cell r="DC122">
            <v>11028.98</v>
          </cell>
          <cell r="DD122">
            <v>4099.63</v>
          </cell>
          <cell r="DE122">
            <v>8732.5563872663897</v>
          </cell>
          <cell r="DF122">
            <v>3415.1945239340134</v>
          </cell>
        </row>
        <row r="123">
          <cell r="DC123">
            <v>13062.16</v>
          </cell>
          <cell r="DD123"/>
          <cell r="DE123">
            <v>10175.252351823248</v>
          </cell>
          <cell r="DF123">
            <v>0</v>
          </cell>
        </row>
        <row r="124">
          <cell r="DC124">
            <v>7308.52</v>
          </cell>
          <cell r="DD124">
            <v>273.62</v>
          </cell>
          <cell r="DE124">
            <v>1270.758812065299</v>
          </cell>
          <cell r="DF124">
            <v>48.140000000000015</v>
          </cell>
        </row>
        <row r="125">
          <cell r="DC125">
            <v>19994.259999999998</v>
          </cell>
          <cell r="DD125">
            <v>623.67999999999995</v>
          </cell>
          <cell r="DE125">
            <v>12125.494418827002</v>
          </cell>
          <cell r="DF125">
            <v>154.58673428542522</v>
          </cell>
        </row>
        <row r="126">
          <cell r="DC126">
            <v>3232.69</v>
          </cell>
          <cell r="DD126"/>
          <cell r="DE126">
            <v>1.0954792247048317E-2</v>
          </cell>
          <cell r="DF126">
            <v>0</v>
          </cell>
        </row>
        <row r="127">
          <cell r="DC127">
            <v>12661.57</v>
          </cell>
          <cell r="DD127">
            <v>1284.5</v>
          </cell>
          <cell r="DE127">
            <v>5213.0386939512882</v>
          </cell>
          <cell r="DF127">
            <v>199.88654166592664</v>
          </cell>
        </row>
        <row r="128">
          <cell r="DC128">
            <v>4111.55</v>
          </cell>
          <cell r="DD128"/>
          <cell r="DE128">
            <v>449.50858115368783</v>
          </cell>
          <cell r="DF128">
            <v>0</v>
          </cell>
        </row>
        <row r="129">
          <cell r="DC129">
            <v>35349.919999999998</v>
          </cell>
          <cell r="DD129">
            <v>224.32000000000002</v>
          </cell>
          <cell r="DE129">
            <v>19859.862032611669</v>
          </cell>
          <cell r="DF129">
            <v>-526.98953154615367</v>
          </cell>
        </row>
        <row r="130">
          <cell r="DC130">
            <v>20018.36</v>
          </cell>
          <cell r="DD130">
            <v>673.07</v>
          </cell>
          <cell r="DE130">
            <v>11060.235289943272</v>
          </cell>
          <cell r="DF130">
            <v>673.07</v>
          </cell>
        </row>
        <row r="131">
          <cell r="DC131">
            <v>23598.14</v>
          </cell>
          <cell r="DD131"/>
          <cell r="DE131">
            <v>5571.7559891775454</v>
          </cell>
          <cell r="DF131">
            <v>0</v>
          </cell>
        </row>
        <row r="132">
          <cell r="DC132">
            <v>33997.46</v>
          </cell>
          <cell r="DD132"/>
          <cell r="DE132">
            <v>5291.9574236521039</v>
          </cell>
          <cell r="DF132">
            <v>0</v>
          </cell>
        </row>
        <row r="133">
          <cell r="DC133">
            <v>259.41000000000003</v>
          </cell>
          <cell r="DD133"/>
          <cell r="DE133">
            <v>30.586540334841516</v>
          </cell>
          <cell r="DF133">
            <v>0</v>
          </cell>
        </row>
        <row r="134">
          <cell r="DC134">
            <v>2038.26</v>
          </cell>
          <cell r="DD134"/>
          <cell r="DE134">
            <v>1797.5083144876608</v>
          </cell>
          <cell r="DF134">
            <v>0</v>
          </cell>
        </row>
        <row r="135">
          <cell r="DC135">
            <v>1544.01</v>
          </cell>
          <cell r="DD135"/>
          <cell r="DE135">
            <v>1342.0909072817633</v>
          </cell>
          <cell r="DF135">
            <v>0</v>
          </cell>
        </row>
        <row r="136">
          <cell r="DC136">
            <v>1710.79</v>
          </cell>
          <cell r="DD136"/>
          <cell r="DE136">
            <v>336.56969316961977</v>
          </cell>
          <cell r="DF136">
            <v>0</v>
          </cell>
        </row>
        <row r="137">
          <cell r="DC137">
            <v>281.60000000000002</v>
          </cell>
          <cell r="DD137"/>
          <cell r="DE137">
            <v>8.1120620906744989E-3</v>
          </cell>
          <cell r="DF137">
            <v>0</v>
          </cell>
        </row>
        <row r="138">
          <cell r="DC138">
            <v>249.5</v>
          </cell>
          <cell r="DD138"/>
          <cell r="DE138">
            <v>5.1034074098765814E-4</v>
          </cell>
          <cell r="DF138">
            <v>0</v>
          </cell>
        </row>
        <row r="139">
          <cell r="DC139">
            <v>356.65</v>
          </cell>
          <cell r="DD139"/>
          <cell r="DE139">
            <v>72.967353754836154</v>
          </cell>
          <cell r="DF139">
            <v>0</v>
          </cell>
        </row>
        <row r="140">
          <cell r="DC140">
            <v>547.36</v>
          </cell>
          <cell r="DD140"/>
          <cell r="DE140">
            <v>200.15854129876249</v>
          </cell>
          <cell r="DF140">
            <v>0</v>
          </cell>
        </row>
        <row r="141">
          <cell r="DC141">
            <v>31388.959999999999</v>
          </cell>
          <cell r="DD141"/>
          <cell r="DE141">
            <v>14337.996040276696</v>
          </cell>
          <cell r="DF141">
            <v>0</v>
          </cell>
        </row>
        <row r="142">
          <cell r="DC142">
            <v>2736.31</v>
          </cell>
          <cell r="DD142"/>
          <cell r="DE142">
            <v>2449.6544986496779</v>
          </cell>
          <cell r="DF142">
            <v>0</v>
          </cell>
        </row>
        <row r="143">
          <cell r="DC143">
            <v>783.29</v>
          </cell>
          <cell r="DD143"/>
          <cell r="DE143">
            <v>486.18917885003771</v>
          </cell>
          <cell r="DF143">
            <v>0</v>
          </cell>
        </row>
        <row r="144">
          <cell r="DC144">
            <v>295.93</v>
          </cell>
          <cell r="DD144"/>
          <cell r="DE144">
            <v>-3.1413098487291791E-3</v>
          </cell>
          <cell r="DF144">
            <v>0</v>
          </cell>
        </row>
        <row r="145">
          <cell r="DC145">
            <v>180.91</v>
          </cell>
          <cell r="DD145"/>
          <cell r="DE145">
            <v>-3.042212570043489</v>
          </cell>
          <cell r="DF145">
            <v>0</v>
          </cell>
        </row>
        <row r="146">
          <cell r="DC146">
            <v>625.30999999999995</v>
          </cell>
          <cell r="DD146"/>
          <cell r="DE146">
            <v>444.05220490696155</v>
          </cell>
          <cell r="DF146">
            <v>0</v>
          </cell>
        </row>
        <row r="147">
          <cell r="DC147">
            <v>22672.03</v>
          </cell>
          <cell r="DD147">
            <v>1107.78</v>
          </cell>
          <cell r="DE147">
            <v>8301.0042665795718</v>
          </cell>
          <cell r="DF147">
            <v>-134.04344657403794</v>
          </cell>
        </row>
        <row r="148">
          <cell r="DC148">
            <v>119485.43</v>
          </cell>
          <cell r="DD148"/>
          <cell r="DE148">
            <v>68254.17374302457</v>
          </cell>
          <cell r="DF148">
            <v>0</v>
          </cell>
        </row>
        <row r="149">
          <cell r="DC149">
            <v>103415.61</v>
          </cell>
          <cell r="DD149"/>
          <cell r="DE149">
            <v>48220.458177675493</v>
          </cell>
          <cell r="DF149">
            <v>0</v>
          </cell>
        </row>
        <row r="150">
          <cell r="DC150">
            <v>402.76</v>
          </cell>
          <cell r="DD150"/>
          <cell r="DE150">
            <v>-1.7956140625698822</v>
          </cell>
          <cell r="DF150">
            <v>0</v>
          </cell>
        </row>
        <row r="151">
          <cell r="DC151">
            <v>353.22</v>
          </cell>
          <cell r="DD151"/>
          <cell r="DE151">
            <v>69.851172110467189</v>
          </cell>
          <cell r="DF151">
            <v>0</v>
          </cell>
        </row>
        <row r="152">
          <cell r="DC152">
            <v>2401.81</v>
          </cell>
          <cell r="DD152"/>
          <cell r="DE152">
            <v>2160.0028350876864</v>
          </cell>
          <cell r="DF152">
            <v>0</v>
          </cell>
        </row>
        <row r="153">
          <cell r="DC153">
            <v>426.46</v>
          </cell>
          <cell r="DD153"/>
          <cell r="DE153">
            <v>203.13984986047623</v>
          </cell>
          <cell r="DF153">
            <v>0</v>
          </cell>
        </row>
        <row r="154">
          <cell r="DC154">
            <v>23548.47</v>
          </cell>
          <cell r="DD154"/>
          <cell r="DE154">
            <v>5510.518653482246</v>
          </cell>
          <cell r="DF154">
            <v>0</v>
          </cell>
        </row>
        <row r="155">
          <cell r="DC155">
            <v>1278.8</v>
          </cell>
          <cell r="DD155"/>
          <cell r="DE155">
            <v>844.63292427719671</v>
          </cell>
          <cell r="DF155">
            <v>0</v>
          </cell>
        </row>
        <row r="156">
          <cell r="DC156">
            <v>251.23</v>
          </cell>
          <cell r="DD156"/>
          <cell r="DE156">
            <v>-1.649944336006115E-2</v>
          </cell>
          <cell r="DF156">
            <v>0</v>
          </cell>
        </row>
        <row r="157">
          <cell r="DC157">
            <v>282.62</v>
          </cell>
          <cell r="DD157"/>
          <cell r="DE157">
            <v>21.402180291115656</v>
          </cell>
          <cell r="DF157">
            <v>0</v>
          </cell>
        </row>
        <row r="158">
          <cell r="DC158">
            <v>18106.560000000001</v>
          </cell>
          <cell r="DD158">
            <v>9353.4699999999993</v>
          </cell>
          <cell r="DE158">
            <v>9607.6597350641077</v>
          </cell>
          <cell r="DF158">
            <v>9115.5540103663097</v>
          </cell>
        </row>
        <row r="159">
          <cell r="DC159">
            <v>40597.089999999997</v>
          </cell>
          <cell r="DD159"/>
          <cell r="DE159">
            <v>10703.224896647902</v>
          </cell>
          <cell r="DF159">
            <v>0</v>
          </cell>
        </row>
        <row r="160">
          <cell r="DC160">
            <v>10673.72</v>
          </cell>
          <cell r="DD160">
            <v>-498.96000000000004</v>
          </cell>
          <cell r="DE160">
            <v>3673.1547220002694</v>
          </cell>
          <cell r="DF160">
            <v>-874.22178050293485</v>
          </cell>
        </row>
        <row r="161">
          <cell r="DC161">
            <v>3144.07</v>
          </cell>
          <cell r="DD161">
            <v>1784.8700000000001</v>
          </cell>
          <cell r="DE161">
            <v>-110.00983188226701</v>
          </cell>
          <cell r="DF161">
            <v>737.15848991705866</v>
          </cell>
        </row>
        <row r="162">
          <cell r="DC162">
            <v>7997.71</v>
          </cell>
          <cell r="DD162"/>
          <cell r="DE162">
            <v>5429.2171635118739</v>
          </cell>
          <cell r="DF162">
            <v>0</v>
          </cell>
        </row>
        <row r="163">
          <cell r="DC163">
            <v>36464.910000000003</v>
          </cell>
          <cell r="DD163">
            <v>48535.5</v>
          </cell>
          <cell r="DE163">
            <v>23645.313028321412</v>
          </cell>
          <cell r="DF163">
            <v>44992.391211211587</v>
          </cell>
        </row>
        <row r="164">
          <cell r="DC164">
            <v>1700.42</v>
          </cell>
          <cell r="DD164"/>
          <cell r="DE164">
            <v>-121.91740159432402</v>
          </cell>
          <cell r="DF164">
            <v>0</v>
          </cell>
        </row>
        <row r="165">
          <cell r="DC165">
            <v>311.91000000000003</v>
          </cell>
          <cell r="DD165">
            <v>5471.52</v>
          </cell>
          <cell r="DE165">
            <v>41.019257974564312</v>
          </cell>
          <cell r="DF165">
            <v>5302.4831609770963</v>
          </cell>
        </row>
        <row r="166">
          <cell r="DC166">
            <v>43737.03</v>
          </cell>
          <cell r="DD166">
            <v>11544.6</v>
          </cell>
          <cell r="DE166">
            <v>32881.526240125429</v>
          </cell>
          <cell r="DF166">
            <v>6668.7214196406849</v>
          </cell>
        </row>
        <row r="167">
          <cell r="DC167">
            <v>12819.97</v>
          </cell>
          <cell r="DD167">
            <v>-11.04</v>
          </cell>
          <cell r="DE167">
            <v>2921.9176152527561</v>
          </cell>
          <cell r="DF167">
            <v>-213.19127863036988</v>
          </cell>
        </row>
        <row r="168">
          <cell r="DC168">
            <v>17002.64</v>
          </cell>
          <cell r="DD168">
            <v>9591.5299999999988</v>
          </cell>
          <cell r="DE168">
            <v>4421.9529439999988</v>
          </cell>
          <cell r="DF168">
            <v>7463.3783999999987</v>
          </cell>
        </row>
        <row r="169">
          <cell r="DC169">
            <v>100585.61</v>
          </cell>
          <cell r="DD169"/>
          <cell r="DE169">
            <v>52675.847171003283</v>
          </cell>
          <cell r="DF169">
            <v>0</v>
          </cell>
        </row>
        <row r="170">
          <cell r="DC170">
            <v>684.27</v>
          </cell>
          <cell r="DD170"/>
          <cell r="DE170">
            <v>177.26218132578612</v>
          </cell>
          <cell r="DF170">
            <v>0</v>
          </cell>
        </row>
        <row r="171">
          <cell r="DC171">
            <v>135851.34</v>
          </cell>
          <cell r="DD171"/>
          <cell r="DE171">
            <v>56601.645920036492</v>
          </cell>
          <cell r="DF171">
            <v>0</v>
          </cell>
        </row>
        <row r="172">
          <cell r="DC172">
            <v>29220.799999999999</v>
          </cell>
          <cell r="DD172">
            <v>446.62</v>
          </cell>
          <cell r="DE172">
            <v>11842.745497209904</v>
          </cell>
          <cell r="DF172">
            <v>6.9159150802420299E-3</v>
          </cell>
        </row>
        <row r="173">
          <cell r="DC173">
            <v>31130.240000000002</v>
          </cell>
          <cell r="DD173"/>
          <cell r="DE173">
            <v>3995.520997124826</v>
          </cell>
          <cell r="DF173">
            <v>0</v>
          </cell>
        </row>
        <row r="174">
          <cell r="DC174">
            <v>57487.77</v>
          </cell>
          <cell r="DD174"/>
          <cell r="DE174">
            <v>31650.488518284255</v>
          </cell>
          <cell r="DF174">
            <v>0</v>
          </cell>
        </row>
        <row r="175">
          <cell r="DC175">
            <v>37379.839999999997</v>
          </cell>
          <cell r="DD175">
            <v>782.97</v>
          </cell>
          <cell r="DE175">
            <v>6587.5350518722589</v>
          </cell>
          <cell r="DF175">
            <v>449.56807411682024</v>
          </cell>
        </row>
        <row r="176">
          <cell r="DC176">
            <v>37605.93</v>
          </cell>
          <cell r="DD176">
            <v>2589.5500000000002</v>
          </cell>
          <cell r="DE176">
            <v>2991.6562870319103</v>
          </cell>
          <cell r="DF176">
            <v>1604.6058217996497</v>
          </cell>
        </row>
        <row r="177">
          <cell r="DC177">
            <v>57981.26</v>
          </cell>
          <cell r="DD177"/>
          <cell r="DE177">
            <v>4942.6425485616564</v>
          </cell>
          <cell r="DF177">
            <v>0</v>
          </cell>
        </row>
        <row r="178">
          <cell r="DC178">
            <v>163984.1</v>
          </cell>
          <cell r="DD178">
            <v>5080.32</v>
          </cell>
          <cell r="DE178">
            <v>92856.108866461087</v>
          </cell>
          <cell r="DF178">
            <v>4473.4303329296363</v>
          </cell>
        </row>
        <row r="179">
          <cell r="DC179">
            <v>257.83999999999997</v>
          </cell>
          <cell r="DD179"/>
          <cell r="DE179">
            <v>-1.1778336175098048E-2</v>
          </cell>
          <cell r="DF179">
            <v>0</v>
          </cell>
        </row>
        <row r="180">
          <cell r="DC180">
            <v>394.26</v>
          </cell>
          <cell r="DD180"/>
          <cell r="DE180">
            <v>-9.452688160024536E-3</v>
          </cell>
          <cell r="DF180">
            <v>0</v>
          </cell>
        </row>
        <row r="181">
          <cell r="DC181">
            <v>76636.22</v>
          </cell>
          <cell r="DD181"/>
          <cell r="DE181">
            <v>21342.03975503199</v>
          </cell>
          <cell r="DF181">
            <v>0</v>
          </cell>
        </row>
        <row r="182">
          <cell r="DC182">
            <v>59705.83</v>
          </cell>
          <cell r="DD182"/>
          <cell r="DE182">
            <v>16477.556614421657</v>
          </cell>
          <cell r="DF182">
            <v>0</v>
          </cell>
        </row>
        <row r="183">
          <cell r="DC183">
            <v>283.49</v>
          </cell>
          <cell r="DD183"/>
          <cell r="DE183">
            <v>-69.101593809244036</v>
          </cell>
          <cell r="DF183">
            <v>0</v>
          </cell>
        </row>
        <row r="184">
          <cell r="DC184">
            <v>335.71</v>
          </cell>
          <cell r="DD184"/>
          <cell r="DE184">
            <v>3.0399675624721567E-3</v>
          </cell>
          <cell r="DF184">
            <v>0</v>
          </cell>
        </row>
        <row r="185">
          <cell r="DC185">
            <v>58885.07</v>
          </cell>
          <cell r="DD185"/>
          <cell r="DE185">
            <v>10785.788304604197</v>
          </cell>
          <cell r="DF185">
            <v>0</v>
          </cell>
        </row>
        <row r="186">
          <cell r="DC186">
            <v>93.42</v>
          </cell>
          <cell r="DD186"/>
          <cell r="DE186">
            <v>34.558606069785768</v>
          </cell>
          <cell r="DF186">
            <v>0</v>
          </cell>
        </row>
        <row r="187">
          <cell r="DC187">
            <v>355.1</v>
          </cell>
          <cell r="DD187"/>
          <cell r="DE187">
            <v>188.33813859238137</v>
          </cell>
          <cell r="DF187">
            <v>0</v>
          </cell>
        </row>
        <row r="188">
          <cell r="DC188">
            <v>983.2</v>
          </cell>
          <cell r="DD188"/>
          <cell r="DE188">
            <v>770.59154495663552</v>
          </cell>
          <cell r="DF188">
            <v>0</v>
          </cell>
        </row>
        <row r="189">
          <cell r="DC189">
            <v>210.04</v>
          </cell>
          <cell r="DD189"/>
          <cell r="DE189">
            <v>-22.071145301227091</v>
          </cell>
          <cell r="DF189">
            <v>0</v>
          </cell>
        </row>
        <row r="190">
          <cell r="DC190">
            <v>339.65</v>
          </cell>
          <cell r="DD190"/>
          <cell r="DE190">
            <v>-1.3800329044565842</v>
          </cell>
          <cell r="DF190">
            <v>0</v>
          </cell>
        </row>
        <row r="191">
          <cell r="DC191">
            <v>297.08</v>
          </cell>
          <cell r="DD191"/>
          <cell r="DE191">
            <v>5.6592156093984158E-3</v>
          </cell>
          <cell r="DF191">
            <v>0</v>
          </cell>
        </row>
        <row r="192">
          <cell r="DC192">
            <v>210.24</v>
          </cell>
          <cell r="DD192"/>
          <cell r="DE192">
            <v>5.6998947087549823E-3</v>
          </cell>
          <cell r="DF192">
            <v>0</v>
          </cell>
        </row>
        <row r="193">
          <cell r="DC193">
            <v>363.22</v>
          </cell>
          <cell r="DD193"/>
          <cell r="DE193">
            <v>42.062873625145926</v>
          </cell>
          <cell r="DF193">
            <v>0</v>
          </cell>
        </row>
        <row r="194">
          <cell r="DC194">
            <v>1083.56</v>
          </cell>
          <cell r="DD194">
            <v>-64.22</v>
          </cell>
          <cell r="DE194">
            <v>687.56842223933086</v>
          </cell>
          <cell r="DF194">
            <v>-137.35678439417313</v>
          </cell>
        </row>
        <row r="195">
          <cell r="DC195">
            <v>199.71</v>
          </cell>
          <cell r="DD195"/>
          <cell r="DE195">
            <v>9.0709272308231448E-3</v>
          </cell>
          <cell r="DF195">
            <v>0</v>
          </cell>
        </row>
        <row r="196">
          <cell r="DC196">
            <v>53021.4</v>
          </cell>
          <cell r="DD196">
            <v>1093.5</v>
          </cell>
          <cell r="DE196">
            <v>29450.947038489507</v>
          </cell>
          <cell r="DF196">
            <v>904.02191294960426</v>
          </cell>
        </row>
        <row r="197">
          <cell r="DC197">
            <v>43264.57</v>
          </cell>
          <cell r="DD197"/>
          <cell r="DE197">
            <v>32294.219964934109</v>
          </cell>
          <cell r="DF197">
            <v>0</v>
          </cell>
        </row>
        <row r="198">
          <cell r="DC198">
            <v>3084.62</v>
          </cell>
          <cell r="DD198"/>
          <cell r="DE198">
            <v>1709.6429374578281</v>
          </cell>
          <cell r="DF198">
            <v>0</v>
          </cell>
        </row>
        <row r="199">
          <cell r="DC199">
            <v>264.18</v>
          </cell>
          <cell r="DD199"/>
          <cell r="DE199">
            <v>32.106163512732564</v>
          </cell>
          <cell r="DF199">
            <v>0</v>
          </cell>
        </row>
        <row r="200">
          <cell r="DC200">
            <v>208.49</v>
          </cell>
          <cell r="DD200"/>
          <cell r="DE200">
            <v>-87.109934044781198</v>
          </cell>
          <cell r="DF200">
            <v>0</v>
          </cell>
        </row>
        <row r="201">
          <cell r="DC201">
            <v>319.27999999999997</v>
          </cell>
          <cell r="DD201"/>
          <cell r="DE201">
            <v>-26.68794438939841</v>
          </cell>
          <cell r="DF201">
            <v>0</v>
          </cell>
        </row>
        <row r="202">
          <cell r="DC202">
            <v>262.44</v>
          </cell>
          <cell r="DD202"/>
          <cell r="DE202">
            <v>-2.0593078708600387E-2</v>
          </cell>
          <cell r="DF202">
            <v>0</v>
          </cell>
        </row>
        <row r="203">
          <cell r="DC203">
            <v>1880.95</v>
          </cell>
          <cell r="DD203"/>
          <cell r="DE203">
            <v>49.603441910359379</v>
          </cell>
          <cell r="DF203">
            <v>0</v>
          </cell>
        </row>
        <row r="204">
          <cell r="DC204">
            <v>63876.98</v>
          </cell>
          <cell r="DD204"/>
          <cell r="DE204">
            <v>39038.424451957573</v>
          </cell>
          <cell r="DF204">
            <v>0</v>
          </cell>
        </row>
        <row r="205">
          <cell r="DC205">
            <v>2441.1799999999998</v>
          </cell>
          <cell r="DD205"/>
          <cell r="DE205">
            <v>1977.4535911395799</v>
          </cell>
          <cell r="DF205">
            <v>0</v>
          </cell>
        </row>
        <row r="206">
          <cell r="DC206">
            <v>100884.36</v>
          </cell>
          <cell r="DD206"/>
          <cell r="DE206">
            <v>51646.501698773551</v>
          </cell>
          <cell r="DF206">
            <v>0</v>
          </cell>
        </row>
        <row r="207">
          <cell r="DC207">
            <v>41530.160000000003</v>
          </cell>
          <cell r="DD207"/>
          <cell r="DE207">
            <v>24671.425026568413</v>
          </cell>
          <cell r="DF207">
            <v>0</v>
          </cell>
        </row>
        <row r="208">
          <cell r="DC208">
            <v>97013.61</v>
          </cell>
          <cell r="DD208"/>
          <cell r="DE208">
            <v>51647.212858701278</v>
          </cell>
          <cell r="DF208">
            <v>0</v>
          </cell>
        </row>
        <row r="209">
          <cell r="DC209">
            <v>87235.31</v>
          </cell>
          <cell r="DD209"/>
          <cell r="DE209">
            <v>38486.468400864949</v>
          </cell>
          <cell r="DF209">
            <v>0</v>
          </cell>
        </row>
        <row r="210">
          <cell r="DC210">
            <v>4676.97</v>
          </cell>
          <cell r="DD210"/>
          <cell r="DE210">
            <v>4379.2351502687916</v>
          </cell>
          <cell r="DF210">
            <v>0</v>
          </cell>
        </row>
        <row r="211">
          <cell r="DC211">
            <v>70736.41</v>
          </cell>
          <cell r="DD211"/>
          <cell r="DE211">
            <v>43089.539809098351</v>
          </cell>
          <cell r="DF211">
            <v>0</v>
          </cell>
        </row>
        <row r="212">
          <cell r="DC212">
            <v>1552.85</v>
          </cell>
          <cell r="DD212">
            <v>3435.5200000000004</v>
          </cell>
          <cell r="DE212">
            <v>-4.03762682415163E-2</v>
          </cell>
          <cell r="DF212">
            <v>2111.9823177478884</v>
          </cell>
        </row>
        <row r="213">
          <cell r="DC213">
            <v>1103.99</v>
          </cell>
          <cell r="DD213"/>
          <cell r="DE213">
            <v>105.8341069005578</v>
          </cell>
          <cell r="DF213">
            <v>0</v>
          </cell>
        </row>
        <row r="214">
          <cell r="DC214">
            <v>4152.13</v>
          </cell>
          <cell r="DD214"/>
          <cell r="DE214">
            <v>2622.9974190093299</v>
          </cell>
          <cell r="DF214">
            <v>0</v>
          </cell>
        </row>
        <row r="215">
          <cell r="DC215">
            <v>20564.759999999998</v>
          </cell>
          <cell r="DD215">
            <v>7481.7800000000007</v>
          </cell>
          <cell r="DE215">
            <v>19460.773878946802</v>
          </cell>
          <cell r="DF215">
            <v>5789.0502950211812</v>
          </cell>
        </row>
        <row r="216">
          <cell r="DC216">
            <v>3880.73</v>
          </cell>
          <cell r="DD216">
            <v>505.88</v>
          </cell>
          <cell r="DE216">
            <v>2141.2641316698073</v>
          </cell>
          <cell r="DF216">
            <v>8.2896348496319661E-3</v>
          </cell>
        </row>
        <row r="217">
          <cell r="DC217">
            <v>24357.7</v>
          </cell>
          <cell r="DD217">
            <v>2866.68</v>
          </cell>
          <cell r="DE217">
            <v>11731.266910175576</v>
          </cell>
          <cell r="DF217">
            <v>2077.0599784561086</v>
          </cell>
        </row>
        <row r="218">
          <cell r="DC218">
            <v>2243.66</v>
          </cell>
          <cell r="DD218"/>
          <cell r="DE218">
            <v>338.2610081784203</v>
          </cell>
          <cell r="DF218">
            <v>0</v>
          </cell>
        </row>
        <row r="219">
          <cell r="DC219">
            <v>3444.64</v>
          </cell>
          <cell r="DD219">
            <v>3844.48</v>
          </cell>
          <cell r="DE219">
            <v>791.60048948224585</v>
          </cell>
          <cell r="DF219">
            <v>3377.588707682396</v>
          </cell>
        </row>
        <row r="220">
          <cell r="DC220">
            <v>33664.44</v>
          </cell>
          <cell r="DD220">
            <v>33826.579999999994</v>
          </cell>
          <cell r="DE220">
            <v>9569.5883603426992</v>
          </cell>
          <cell r="DF220">
            <v>32017.051792763417</v>
          </cell>
        </row>
        <row r="221">
          <cell r="DC221">
            <v>50758.85</v>
          </cell>
          <cell r="DD221"/>
          <cell r="DE221">
            <v>39171.057364425193</v>
          </cell>
          <cell r="DF221">
            <v>0</v>
          </cell>
        </row>
        <row r="222">
          <cell r="DC222">
            <v>1867.51</v>
          </cell>
          <cell r="DD222"/>
          <cell r="DE222">
            <v>-4.6037684101249852</v>
          </cell>
          <cell r="DF222">
            <v>0</v>
          </cell>
        </row>
        <row r="223">
          <cell r="DC223">
            <v>2506.2399999999998</v>
          </cell>
          <cell r="DD223"/>
          <cell r="DE223">
            <v>2066.2420431408877</v>
          </cell>
          <cell r="DF223">
            <v>0</v>
          </cell>
        </row>
        <row r="224">
          <cell r="DC224">
            <v>54516.37</v>
          </cell>
          <cell r="DD224"/>
          <cell r="DE224">
            <v>27742.573852510373</v>
          </cell>
          <cell r="DF224">
            <v>0</v>
          </cell>
        </row>
        <row r="225">
          <cell r="DC225">
            <v>157692.34</v>
          </cell>
          <cell r="DD225">
            <v>30479.379999999997</v>
          </cell>
          <cell r="DE225">
            <v>59946.017997569623</v>
          </cell>
          <cell r="DF225">
            <v>26296.99644440999</v>
          </cell>
        </row>
        <row r="226">
          <cell r="DC226">
            <v>2029.05</v>
          </cell>
          <cell r="DD226">
            <v>9783.2999999999993</v>
          </cell>
          <cell r="DE226">
            <v>-445.20183345939108</v>
          </cell>
          <cell r="DF226">
            <v>9085.3474828443705</v>
          </cell>
        </row>
        <row r="227">
          <cell r="DC227">
            <v>64356</v>
          </cell>
          <cell r="DD227"/>
          <cell r="DE227">
            <v>27363.832192246591</v>
          </cell>
          <cell r="DF227">
            <v>0</v>
          </cell>
        </row>
        <row r="228">
          <cell r="DC228">
            <v>3687.66</v>
          </cell>
          <cell r="DD228">
            <v>2864.6099999999997</v>
          </cell>
          <cell r="DE228">
            <v>1786.8300702529177</v>
          </cell>
          <cell r="DF228">
            <v>2150.2481328426375</v>
          </cell>
        </row>
        <row r="229">
          <cell r="DC229">
            <v>87840.29</v>
          </cell>
          <cell r="DD229"/>
          <cell r="DE229">
            <v>32903.525283182105</v>
          </cell>
          <cell r="DF229">
            <v>0</v>
          </cell>
        </row>
        <row r="230">
          <cell r="DC230">
            <v>55192.800000000003</v>
          </cell>
          <cell r="DD230"/>
          <cell r="DE230">
            <v>13280.997046253418</v>
          </cell>
          <cell r="DF230">
            <v>0</v>
          </cell>
        </row>
        <row r="231">
          <cell r="DC231">
            <v>18078.43</v>
          </cell>
          <cell r="DD231"/>
          <cell r="DE231">
            <v>3195.719109401256</v>
          </cell>
          <cell r="DF231">
            <v>0</v>
          </cell>
        </row>
        <row r="232">
          <cell r="DC232">
            <v>30246.62</v>
          </cell>
          <cell r="DD232"/>
          <cell r="DE232">
            <v>869.68834825916201</v>
          </cell>
          <cell r="DF232">
            <v>0</v>
          </cell>
        </row>
        <row r="233">
          <cell r="DC233">
            <v>21808.37</v>
          </cell>
          <cell r="DD233"/>
          <cell r="DE233">
            <v>6170.9509115440887</v>
          </cell>
          <cell r="DF233">
            <v>0</v>
          </cell>
        </row>
        <row r="234">
          <cell r="DC234">
            <v>4211.9399999999996</v>
          </cell>
          <cell r="DD234">
            <v>5025.9699999999993</v>
          </cell>
          <cell r="DE234">
            <v>1587.7599367160096</v>
          </cell>
          <cell r="DF234">
            <v>4134.6918600422832</v>
          </cell>
        </row>
        <row r="235">
          <cell r="DC235">
            <v>55038.39</v>
          </cell>
          <cell r="DD235"/>
          <cell r="DE235">
            <v>39651.937439193003</v>
          </cell>
          <cell r="DF235">
            <v>0</v>
          </cell>
        </row>
        <row r="236">
          <cell r="DC236">
            <v>42516.26</v>
          </cell>
          <cell r="DD236"/>
          <cell r="DE236">
            <v>13416.662004155296</v>
          </cell>
          <cell r="DF236">
            <v>0</v>
          </cell>
        </row>
        <row r="237">
          <cell r="DC237">
            <v>18401.75</v>
          </cell>
          <cell r="DD237"/>
          <cell r="DE237">
            <v>3515.8383851466497</v>
          </cell>
          <cell r="DF237">
            <v>0</v>
          </cell>
        </row>
        <row r="238">
          <cell r="DC238">
            <v>296.85000000000002</v>
          </cell>
          <cell r="DD238"/>
          <cell r="DE238">
            <v>80.835038197960785</v>
          </cell>
          <cell r="DF238">
            <v>0</v>
          </cell>
        </row>
        <row r="239">
          <cell r="DC239">
            <v>261.26</v>
          </cell>
          <cell r="DD239"/>
          <cell r="DE239">
            <v>-62.529734141856181</v>
          </cell>
          <cell r="DF239">
            <v>0</v>
          </cell>
        </row>
        <row r="240">
          <cell r="DC240">
            <v>80933.22</v>
          </cell>
          <cell r="DD240">
            <v>0</v>
          </cell>
          <cell r="DE240">
            <v>34199.397558648649</v>
          </cell>
          <cell r="DF240">
            <v>-327.28529953992796</v>
          </cell>
        </row>
        <row r="241">
          <cell r="DC241">
            <v>2182.5100000000002</v>
          </cell>
          <cell r="DD241"/>
          <cell r="DE241">
            <v>1981.290271635944</v>
          </cell>
          <cell r="DF241">
            <v>0</v>
          </cell>
        </row>
        <row r="242">
          <cell r="DC242">
            <v>42841.599999999999</v>
          </cell>
          <cell r="DD242"/>
          <cell r="DE242">
            <v>23824.195303002325</v>
          </cell>
          <cell r="DF242">
            <v>0</v>
          </cell>
        </row>
        <row r="243">
          <cell r="DC243">
            <v>66276.899999999994</v>
          </cell>
          <cell r="DD243"/>
          <cell r="DE243">
            <v>17459.062731328595</v>
          </cell>
          <cell r="DF243">
            <v>0</v>
          </cell>
        </row>
        <row r="244">
          <cell r="DC244">
            <v>165555.07999999999</v>
          </cell>
          <cell r="DD244"/>
          <cell r="DE244">
            <v>94760.509007104134</v>
          </cell>
          <cell r="DF244">
            <v>0</v>
          </cell>
        </row>
        <row r="245">
          <cell r="DC245">
            <v>20084.61</v>
          </cell>
          <cell r="DD245">
            <v>24332.44</v>
          </cell>
          <cell r="DE245">
            <v>6088.3885708806793</v>
          </cell>
          <cell r="DF245">
            <v>23262.074706453437</v>
          </cell>
        </row>
        <row r="246">
          <cell r="DC246">
            <v>27369.200000000001</v>
          </cell>
          <cell r="DD246"/>
          <cell r="DE246">
            <v>10348.228503512713</v>
          </cell>
          <cell r="DF246">
            <v>0</v>
          </cell>
        </row>
        <row r="247">
          <cell r="DC247">
            <v>28868.05</v>
          </cell>
          <cell r="DD247"/>
          <cell r="DE247">
            <v>11268.772564605046</v>
          </cell>
          <cell r="DF247">
            <v>0</v>
          </cell>
        </row>
        <row r="248">
          <cell r="DC248">
            <v>31873.85</v>
          </cell>
          <cell r="DD248">
            <v>5745.44</v>
          </cell>
          <cell r="DE248">
            <v>20396.770628867609</v>
          </cell>
          <cell r="DF248">
            <v>4864.2922649030988</v>
          </cell>
        </row>
        <row r="249">
          <cell r="DC249">
            <v>12482.18</v>
          </cell>
          <cell r="DD249">
            <v>442.69</v>
          </cell>
          <cell r="DE249">
            <v>1494.3675155763667</v>
          </cell>
          <cell r="DF249">
            <v>-1726.9753718141992</v>
          </cell>
        </row>
        <row r="250">
          <cell r="DC250">
            <v>8849.26</v>
          </cell>
          <cell r="DD250">
            <v>1008.03</v>
          </cell>
          <cell r="DE250">
            <v>6016.3868642753441</v>
          </cell>
          <cell r="DF250">
            <v>442.61516273564825</v>
          </cell>
        </row>
        <row r="251">
          <cell r="DC251">
            <v>56.62</v>
          </cell>
          <cell r="DD251"/>
          <cell r="DE251">
            <v>-84.939492772547851</v>
          </cell>
          <cell r="DF251">
            <v>0</v>
          </cell>
        </row>
        <row r="252">
          <cell r="DC252">
            <v>2177.44</v>
          </cell>
          <cell r="DD252"/>
          <cell r="DE252">
            <v>724.85246936762542</v>
          </cell>
          <cell r="DF252">
            <v>0</v>
          </cell>
        </row>
        <row r="253">
          <cell r="DC253">
            <v>4790.24</v>
          </cell>
          <cell r="DD253"/>
          <cell r="DE253">
            <v>1456.9359387680552</v>
          </cell>
          <cell r="DF253">
            <v>0</v>
          </cell>
        </row>
        <row r="254">
          <cell r="DC254">
            <v>8358.98</v>
          </cell>
          <cell r="DD254"/>
          <cell r="DE254">
            <v>5621.8845156394746</v>
          </cell>
          <cell r="DF254">
            <v>0</v>
          </cell>
        </row>
        <row r="255">
          <cell r="DC255">
            <v>7600.64</v>
          </cell>
          <cell r="DD255"/>
          <cell r="DE255">
            <v>400.39966106641441</v>
          </cell>
          <cell r="DF255">
            <v>0</v>
          </cell>
        </row>
        <row r="256">
          <cell r="DC256">
            <v>34108.400000000001</v>
          </cell>
          <cell r="DD256">
            <v>699.31</v>
          </cell>
          <cell r="DE256">
            <v>17834.422500000001</v>
          </cell>
          <cell r="DF256">
            <v>379.18399999999997</v>
          </cell>
        </row>
        <row r="257">
          <cell r="DC257">
            <v>19130.72</v>
          </cell>
          <cell r="DD257"/>
          <cell r="DE257">
            <v>15256.505828016238</v>
          </cell>
          <cell r="DF257">
            <v>0</v>
          </cell>
        </row>
        <row r="258">
          <cell r="DC258">
            <v>1739.3</v>
          </cell>
          <cell r="DD258"/>
          <cell r="DE258">
            <v>1361.1221517196993</v>
          </cell>
          <cell r="DF258">
            <v>0</v>
          </cell>
        </row>
        <row r="259">
          <cell r="DC259">
            <v>90102.99</v>
          </cell>
          <cell r="DD259"/>
          <cell r="DE259">
            <v>60397.095200378026</v>
          </cell>
          <cell r="DF259">
            <v>0</v>
          </cell>
        </row>
        <row r="260">
          <cell r="DC260">
            <v>444.51</v>
          </cell>
          <cell r="DD260"/>
          <cell r="DE260">
            <v>-1.027343391086788E-2</v>
          </cell>
          <cell r="DF260">
            <v>0</v>
          </cell>
        </row>
        <row r="261">
          <cell r="DC261">
            <v>3242.96</v>
          </cell>
          <cell r="DD261"/>
          <cell r="DE261">
            <v>785.13050444178634</v>
          </cell>
          <cell r="DF261">
            <v>0</v>
          </cell>
        </row>
        <row r="262">
          <cell r="DC262">
            <v>3669.37</v>
          </cell>
          <cell r="DD262"/>
          <cell r="DE262">
            <v>3306.6417985827711</v>
          </cell>
          <cell r="DF262">
            <v>0</v>
          </cell>
        </row>
        <row r="263">
          <cell r="DC263">
            <v>2354.38</v>
          </cell>
          <cell r="DD263">
            <v>292.82</v>
          </cell>
          <cell r="DE263">
            <v>94.940061171408161</v>
          </cell>
          <cell r="DF263">
            <v>-6.580644499194932E-3</v>
          </cell>
        </row>
        <row r="264">
          <cell r="DC264">
            <v>21779.62</v>
          </cell>
          <cell r="DD264"/>
          <cell r="DE264">
            <v>11104.935308015372</v>
          </cell>
          <cell r="DF264">
            <v>0</v>
          </cell>
        </row>
        <row r="265">
          <cell r="DC265">
            <v>37357.410000000003</v>
          </cell>
          <cell r="DD265">
            <v>0</v>
          </cell>
          <cell r="DE265">
            <v>22618.410191127958</v>
          </cell>
          <cell r="DF265">
            <v>-325.80459995189278</v>
          </cell>
        </row>
        <row r="266">
          <cell r="DC266">
            <v>43249</v>
          </cell>
          <cell r="DD266"/>
          <cell r="DE266">
            <v>24869.990509422409</v>
          </cell>
          <cell r="DF266">
            <v>0</v>
          </cell>
        </row>
        <row r="267">
          <cell r="DC267">
            <v>42268.51</v>
          </cell>
          <cell r="DD267"/>
          <cell r="DE267">
            <v>22879.150852057272</v>
          </cell>
          <cell r="DF267">
            <v>0</v>
          </cell>
        </row>
        <row r="268">
          <cell r="DC268">
            <v>49641.63</v>
          </cell>
          <cell r="DD268"/>
          <cell r="DE268">
            <v>30475.618208645861</v>
          </cell>
          <cell r="DF268">
            <v>0</v>
          </cell>
        </row>
        <row r="269">
          <cell r="DC269">
            <v>59716.06</v>
          </cell>
          <cell r="DD269"/>
          <cell r="DE269">
            <v>39505.939014677228</v>
          </cell>
          <cell r="DF269">
            <v>0</v>
          </cell>
        </row>
        <row r="270">
          <cell r="DC270">
            <v>50294.54</v>
          </cell>
          <cell r="DD270">
            <v>4196.54</v>
          </cell>
          <cell r="DE270">
            <v>26846.226386736613</v>
          </cell>
          <cell r="DF270">
            <v>3727.1748654650469</v>
          </cell>
        </row>
        <row r="271">
          <cell r="DC271">
            <v>88890.89</v>
          </cell>
          <cell r="DD271">
            <v>162.97</v>
          </cell>
          <cell r="DE271">
            <v>63847.278090755601</v>
          </cell>
          <cell r="DF271">
            <v>-33.613799542875569</v>
          </cell>
        </row>
        <row r="272">
          <cell r="DC272">
            <v>39352.519999999997</v>
          </cell>
          <cell r="DD272"/>
          <cell r="DE272">
            <v>21196.482087762422</v>
          </cell>
          <cell r="DF272">
            <v>0</v>
          </cell>
        </row>
        <row r="273">
          <cell r="DC273">
            <v>72220.259999999995</v>
          </cell>
          <cell r="DD273">
            <v>11062.48</v>
          </cell>
          <cell r="DE273">
            <v>44604.903123121752</v>
          </cell>
          <cell r="DF273">
            <v>5745.5976832946681</v>
          </cell>
        </row>
        <row r="274">
          <cell r="DC274">
            <v>23845.98</v>
          </cell>
          <cell r="DD274"/>
          <cell r="DE274">
            <v>7123.4269363813</v>
          </cell>
          <cell r="DF274">
            <v>0</v>
          </cell>
        </row>
        <row r="275">
          <cell r="DC275">
            <v>42047.16</v>
          </cell>
          <cell r="DD275"/>
          <cell r="DE275">
            <v>17136.834857059224</v>
          </cell>
          <cell r="DF275">
            <v>0</v>
          </cell>
        </row>
        <row r="276">
          <cell r="DC276">
            <v>88175.78</v>
          </cell>
          <cell r="DD276">
            <v>4864</v>
          </cell>
          <cell r="DE276">
            <v>53731.23141382687</v>
          </cell>
          <cell r="DF276">
            <v>3647.9961798067761</v>
          </cell>
        </row>
        <row r="277">
          <cell r="DC277">
            <v>20366.47</v>
          </cell>
          <cell r="DD277">
            <v>5767.9899999999989</v>
          </cell>
          <cell r="DE277">
            <v>6213.3892451057654</v>
          </cell>
          <cell r="DF277">
            <v>3607.1333236691567</v>
          </cell>
        </row>
        <row r="278">
          <cell r="DC278">
            <v>22781.54</v>
          </cell>
          <cell r="DD278">
            <v>9401.0499999999993</v>
          </cell>
          <cell r="DE278">
            <v>8193.7474113070693</v>
          </cell>
          <cell r="DF278">
            <v>6682.2470966358142</v>
          </cell>
        </row>
        <row r="279">
          <cell r="DC279">
            <v>43336.58</v>
          </cell>
          <cell r="DD279"/>
          <cell r="DE279">
            <v>18525.89850967098</v>
          </cell>
          <cell r="DF279">
            <v>0</v>
          </cell>
        </row>
        <row r="280">
          <cell r="DC280">
            <v>48941.63</v>
          </cell>
          <cell r="DD280">
            <v>2765.65</v>
          </cell>
          <cell r="DE280">
            <v>31850.901814673998</v>
          </cell>
          <cell r="DF280">
            <v>2341.9920918699422</v>
          </cell>
        </row>
        <row r="281">
          <cell r="DC281">
            <v>922.99</v>
          </cell>
          <cell r="DD281"/>
          <cell r="DE281">
            <v>375.68788139196261</v>
          </cell>
          <cell r="DF281">
            <v>0</v>
          </cell>
        </row>
        <row r="282">
          <cell r="DC282">
            <v>567.41999999999996</v>
          </cell>
          <cell r="DD282"/>
          <cell r="DE282">
            <v>308.72564198702662</v>
          </cell>
          <cell r="DF282">
            <v>0</v>
          </cell>
        </row>
        <row r="283">
          <cell r="DC283">
            <v>52328.800000000003</v>
          </cell>
          <cell r="DD283">
            <v>0.17</v>
          </cell>
          <cell r="DE283">
            <v>23497.058873240112</v>
          </cell>
          <cell r="DF283">
            <v>-829.65126998021867</v>
          </cell>
        </row>
        <row r="284">
          <cell r="DC284">
            <v>156952.51999999999</v>
          </cell>
          <cell r="DD284"/>
          <cell r="DE284">
            <v>79326.729534985439</v>
          </cell>
          <cell r="DF284">
            <v>0</v>
          </cell>
        </row>
        <row r="285">
          <cell r="DC285">
            <v>194662.89</v>
          </cell>
          <cell r="DD285">
            <v>130.47999999999999</v>
          </cell>
          <cell r="DE285">
            <v>99273.21537393998</v>
          </cell>
          <cell r="DF285">
            <v>104.19</v>
          </cell>
        </row>
        <row r="286">
          <cell r="DC286">
            <v>98723.77</v>
          </cell>
          <cell r="DD286"/>
          <cell r="DE286">
            <v>56426.275821486845</v>
          </cell>
          <cell r="DF286">
            <v>0</v>
          </cell>
        </row>
        <row r="287">
          <cell r="DC287">
            <v>56116.71</v>
          </cell>
          <cell r="DD287">
            <v>1176.6199999999999</v>
          </cell>
          <cell r="DE287">
            <v>15331.208377189119</v>
          </cell>
          <cell r="DF287">
            <v>839.46999999999991</v>
          </cell>
        </row>
        <row r="288">
          <cell r="DC288">
            <v>24489.17</v>
          </cell>
          <cell r="DD288"/>
          <cell r="DE288">
            <v>7997.8980256015275</v>
          </cell>
          <cell r="DF288">
            <v>0</v>
          </cell>
        </row>
        <row r="289">
          <cell r="DC289">
            <v>1186.2</v>
          </cell>
          <cell r="DD289"/>
          <cell r="DE289">
            <v>985.58338958568265</v>
          </cell>
          <cell r="DF289">
            <v>0</v>
          </cell>
        </row>
        <row r="290">
          <cell r="DC290">
            <v>2309.5</v>
          </cell>
          <cell r="DD290"/>
          <cell r="DE290">
            <v>2031.5162676413056</v>
          </cell>
          <cell r="DF290">
            <v>0</v>
          </cell>
        </row>
        <row r="291">
          <cell r="DC291">
            <v>14871.12</v>
          </cell>
          <cell r="DD291">
            <v>1255.9099999999999</v>
          </cell>
          <cell r="DE291">
            <v>2121.4458119375886</v>
          </cell>
          <cell r="DF291">
            <v>470.67548493788024</v>
          </cell>
        </row>
        <row r="292">
          <cell r="DC292">
            <v>42737.7</v>
          </cell>
          <cell r="DD292">
            <v>3742.2899999999995</v>
          </cell>
          <cell r="DE292">
            <v>34900.664446705792</v>
          </cell>
          <cell r="DF292">
            <v>1784.3732722599448</v>
          </cell>
        </row>
        <row r="293">
          <cell r="DC293">
            <v>44209.22</v>
          </cell>
          <cell r="DD293">
            <v>1369.62</v>
          </cell>
          <cell r="DE293">
            <v>32399.055961266167</v>
          </cell>
          <cell r="DF293">
            <v>201.00580523357371</v>
          </cell>
        </row>
        <row r="294">
          <cell r="DC294">
            <v>33828.82</v>
          </cell>
          <cell r="DD294"/>
          <cell r="DE294">
            <v>14940.513779832803</v>
          </cell>
          <cell r="DF294">
            <v>0</v>
          </cell>
        </row>
        <row r="295">
          <cell r="DC295">
            <v>28515.33</v>
          </cell>
          <cell r="DD295">
            <v>6200.13</v>
          </cell>
          <cell r="DE295">
            <v>11807.366912868889</v>
          </cell>
          <cell r="DF295">
            <v>4934.0096149662349</v>
          </cell>
        </row>
        <row r="296">
          <cell r="DC296">
            <v>7457.85</v>
          </cell>
          <cell r="DD296">
            <v>3546.16</v>
          </cell>
          <cell r="DE296">
            <v>243.8478892029716</v>
          </cell>
          <cell r="DF296">
            <v>2924.2441546262598</v>
          </cell>
        </row>
        <row r="297">
          <cell r="DC297">
            <v>7243.82</v>
          </cell>
          <cell r="DD297"/>
          <cell r="DE297">
            <v>-1155.1587815245239</v>
          </cell>
          <cell r="DF297">
            <v>0</v>
          </cell>
        </row>
        <row r="298">
          <cell r="DC298">
            <v>19421.2</v>
          </cell>
          <cell r="DD298">
            <v>1810.0499999999997</v>
          </cell>
          <cell r="DE298">
            <v>7052.3913054117475</v>
          </cell>
          <cell r="DF298">
            <v>319.7226221944843</v>
          </cell>
        </row>
        <row r="299">
          <cell r="DC299">
            <v>23375.61</v>
          </cell>
          <cell r="DD299">
            <v>-44.22</v>
          </cell>
          <cell r="DE299">
            <v>14798.136336448973</v>
          </cell>
          <cell r="DF299">
            <v>-805.13915669767289</v>
          </cell>
        </row>
        <row r="300">
          <cell r="DC300">
            <v>849.35</v>
          </cell>
          <cell r="DD300"/>
          <cell r="DE300">
            <v>422.61901693265037</v>
          </cell>
          <cell r="DF300">
            <v>0</v>
          </cell>
        </row>
        <row r="301">
          <cell r="DC301">
            <v>755.79</v>
          </cell>
          <cell r="DD301"/>
          <cell r="DE301">
            <v>2.7234074199639053</v>
          </cell>
          <cell r="DF301">
            <v>0</v>
          </cell>
        </row>
        <row r="302">
          <cell r="DC302">
            <v>957.54</v>
          </cell>
          <cell r="DD302"/>
          <cell r="DE302">
            <v>721.00752114760428</v>
          </cell>
          <cell r="DF302">
            <v>0</v>
          </cell>
        </row>
        <row r="303">
          <cell r="DC303">
            <v>15690.13</v>
          </cell>
          <cell r="DD303"/>
          <cell r="DE303">
            <v>15.814604104607497</v>
          </cell>
          <cell r="DF303">
            <v>0</v>
          </cell>
        </row>
        <row r="304">
          <cell r="DC304">
            <v>53507.040000000001</v>
          </cell>
          <cell r="DD304">
            <v>0</v>
          </cell>
          <cell r="DE304">
            <v>21509.272986021075</v>
          </cell>
          <cell r="DF304">
            <v>0</v>
          </cell>
        </row>
        <row r="305">
          <cell r="DC305">
            <v>54125.51</v>
          </cell>
          <cell r="DD305"/>
          <cell r="DE305">
            <v>22459.273910360374</v>
          </cell>
          <cell r="DF305">
            <v>0</v>
          </cell>
        </row>
        <row r="306">
          <cell r="DC306">
            <v>8867.0300000000007</v>
          </cell>
          <cell r="DD306"/>
          <cell r="DE306">
            <v>-2312.7331309650308</v>
          </cell>
          <cell r="DF306">
            <v>0</v>
          </cell>
        </row>
        <row r="307">
          <cell r="DC307">
            <v>3285.82</v>
          </cell>
          <cell r="DD307">
            <v>1423.23</v>
          </cell>
          <cell r="DE307">
            <v>308.28093611275881</v>
          </cell>
          <cell r="DF307">
            <v>911.5766608259911</v>
          </cell>
        </row>
        <row r="308">
          <cell r="DC308">
            <v>309.92</v>
          </cell>
          <cell r="DD308"/>
          <cell r="DE308">
            <v>-3.4563439499493143E-3</v>
          </cell>
          <cell r="DF308">
            <v>0</v>
          </cell>
        </row>
        <row r="309">
          <cell r="DC309">
            <v>43931.44</v>
          </cell>
          <cell r="DD309"/>
          <cell r="DE309">
            <v>14586.595986151369</v>
          </cell>
          <cell r="DF309">
            <v>0</v>
          </cell>
        </row>
        <row r="310">
          <cell r="DC310">
            <v>301.94</v>
          </cell>
          <cell r="DD310"/>
          <cell r="DE310">
            <v>1.4583623625412656E-3</v>
          </cell>
          <cell r="DF310">
            <v>0</v>
          </cell>
        </row>
        <row r="311">
          <cell r="DC311">
            <v>1679.41</v>
          </cell>
          <cell r="DD311"/>
          <cell r="DE311">
            <v>-9.2282017644720327E-3</v>
          </cell>
          <cell r="DF311">
            <v>0</v>
          </cell>
        </row>
        <row r="312">
          <cell r="DC312">
            <v>2576.11</v>
          </cell>
          <cell r="DD312"/>
          <cell r="DE312">
            <v>2328.576954855499</v>
          </cell>
          <cell r="DF312">
            <v>0</v>
          </cell>
        </row>
        <row r="313">
          <cell r="DC313">
            <v>107.71</v>
          </cell>
          <cell r="DD313"/>
          <cell r="DE313">
            <v>-358.84395475959366</v>
          </cell>
          <cell r="DF313">
            <v>0</v>
          </cell>
        </row>
        <row r="314">
          <cell r="DC314">
            <v>393.21</v>
          </cell>
          <cell r="DD314"/>
          <cell r="DE314">
            <v>158.99208479523222</v>
          </cell>
          <cell r="DF314">
            <v>0</v>
          </cell>
        </row>
        <row r="315">
          <cell r="DC315">
            <v>12872.73</v>
          </cell>
          <cell r="DD315">
            <v>2078.6999999999998</v>
          </cell>
          <cell r="DE315">
            <v>7617.0440338556928</v>
          </cell>
          <cell r="DF315">
            <v>678.49279689145192</v>
          </cell>
        </row>
        <row r="316">
          <cell r="DC316">
            <v>56078.239999999998</v>
          </cell>
          <cell r="DD316">
            <v>1312.9299999999998</v>
          </cell>
          <cell r="DE316">
            <v>12059.430415005641</v>
          </cell>
          <cell r="DF316">
            <v>464.79945743273663</v>
          </cell>
        </row>
        <row r="317">
          <cell r="DC317">
            <v>43019.03</v>
          </cell>
          <cell r="DD317">
            <v>-0.24</v>
          </cell>
          <cell r="DE317">
            <v>10343.232215074826</v>
          </cell>
          <cell r="DF317">
            <v>-283.35437089148394</v>
          </cell>
        </row>
        <row r="318">
          <cell r="DC318">
            <v>10794.25</v>
          </cell>
          <cell r="DD318">
            <v>0</v>
          </cell>
          <cell r="DE318">
            <v>4112.0151989176084</v>
          </cell>
          <cell r="DF318">
            <v>-972.06034490933939</v>
          </cell>
        </row>
        <row r="319">
          <cell r="DC319">
            <v>32484.89</v>
          </cell>
          <cell r="DD319">
            <v>127151.63999999998</v>
          </cell>
          <cell r="DE319">
            <v>12530.890148570747</v>
          </cell>
          <cell r="DF319">
            <v>121475.93256778005</v>
          </cell>
        </row>
        <row r="320">
          <cell r="DC320">
            <v>7568.82</v>
          </cell>
          <cell r="DD320"/>
          <cell r="DE320">
            <v>542.8590280155604</v>
          </cell>
          <cell r="DF320">
            <v>0</v>
          </cell>
        </row>
        <row r="321">
          <cell r="DC321">
            <v>40410.18</v>
          </cell>
          <cell r="DD321">
            <v>6163.7000000000007</v>
          </cell>
          <cell r="DE321">
            <v>22277.728652788919</v>
          </cell>
          <cell r="DF321">
            <v>4270.1434176796456</v>
          </cell>
        </row>
        <row r="322">
          <cell r="DC322">
            <v>27543.27</v>
          </cell>
          <cell r="DD322"/>
          <cell r="DE322">
            <v>11003.587594687731</v>
          </cell>
          <cell r="DF322">
            <v>0</v>
          </cell>
        </row>
        <row r="323">
          <cell r="DC323">
            <v>24074.71</v>
          </cell>
          <cell r="DD323">
            <v>-541.03</v>
          </cell>
          <cell r="DE323">
            <v>18712.850080612548</v>
          </cell>
          <cell r="DF323">
            <v>-1489.5232015455063</v>
          </cell>
        </row>
        <row r="324">
          <cell r="DC324">
            <v>12824.35</v>
          </cell>
          <cell r="DD324">
            <v>1516.7199999999998</v>
          </cell>
          <cell r="DE324">
            <v>-203.99218397755976</v>
          </cell>
          <cell r="DF324">
            <v>-1516.5481178228106</v>
          </cell>
        </row>
        <row r="325">
          <cell r="DC325">
            <v>35640.370000000003</v>
          </cell>
          <cell r="DD325">
            <v>4186.28</v>
          </cell>
          <cell r="DE325">
            <v>25764.098292682833</v>
          </cell>
          <cell r="DF325">
            <v>1272.9309888392941</v>
          </cell>
        </row>
        <row r="326">
          <cell r="DC326">
            <v>10063.469999999999</v>
          </cell>
          <cell r="DD326">
            <v>0</v>
          </cell>
          <cell r="DE326">
            <v>8949.0575775947364</v>
          </cell>
          <cell r="DF326">
            <v>-432.34</v>
          </cell>
        </row>
        <row r="327">
          <cell r="DC327">
            <v>11998.26</v>
          </cell>
          <cell r="DD327">
            <v>0</v>
          </cell>
          <cell r="DE327">
            <v>3644.0758656892976</v>
          </cell>
          <cell r="DF327">
            <v>-830.89033624733327</v>
          </cell>
        </row>
        <row r="328">
          <cell r="DC328">
            <v>50447.72</v>
          </cell>
          <cell r="DD328">
            <v>15522.480000000001</v>
          </cell>
          <cell r="DE328">
            <v>32883.097968242393</v>
          </cell>
          <cell r="DF328">
            <v>12675.548970305639</v>
          </cell>
        </row>
        <row r="329">
          <cell r="DC329">
            <v>25973.22</v>
          </cell>
          <cell r="DD329">
            <v>642.7299999999999</v>
          </cell>
          <cell r="DE329">
            <v>15203.373486370539</v>
          </cell>
          <cell r="DF329">
            <v>-1394.8972939858636</v>
          </cell>
        </row>
        <row r="330">
          <cell r="DC330">
            <v>45672.82</v>
          </cell>
          <cell r="DD330">
            <v>1881.29</v>
          </cell>
          <cell r="DE330">
            <v>33645.979403502788</v>
          </cell>
          <cell r="DF330">
            <v>7.9552883469409608</v>
          </cell>
        </row>
        <row r="331">
          <cell r="DC331">
            <v>27384.080000000002</v>
          </cell>
          <cell r="DD331">
            <v>8531.56</v>
          </cell>
          <cell r="DE331">
            <v>12764.909403023783</v>
          </cell>
          <cell r="DF331">
            <v>8314.8430956542961</v>
          </cell>
        </row>
        <row r="332">
          <cell r="DC332">
            <v>38665.1</v>
          </cell>
          <cell r="DD332">
            <v>1041.3999999999999</v>
          </cell>
          <cell r="DE332">
            <v>27838.947819240806</v>
          </cell>
          <cell r="DF332">
            <v>-995.63535343318404</v>
          </cell>
        </row>
        <row r="333">
          <cell r="DC333">
            <v>35848.03</v>
          </cell>
          <cell r="DD333"/>
          <cell r="DE333">
            <v>21332.895278001</v>
          </cell>
          <cell r="DF333">
            <v>0</v>
          </cell>
        </row>
        <row r="334">
          <cell r="DC334">
            <v>15536.38</v>
          </cell>
          <cell r="DD334"/>
          <cell r="DE334">
            <v>13754.139549900738</v>
          </cell>
          <cell r="DF334">
            <v>0</v>
          </cell>
        </row>
        <row r="335">
          <cell r="DC335">
            <v>28557.37</v>
          </cell>
          <cell r="DD335">
            <v>4222.16</v>
          </cell>
          <cell r="DE335">
            <v>16202.445452159822</v>
          </cell>
          <cell r="DF335">
            <v>1303.9087133943817</v>
          </cell>
        </row>
        <row r="336">
          <cell r="DC336">
            <v>14325.65</v>
          </cell>
          <cell r="DD336">
            <v>9538.5</v>
          </cell>
          <cell r="DE336">
            <v>2724.7291455546601</v>
          </cell>
          <cell r="DF336">
            <v>7662.4499398120342</v>
          </cell>
        </row>
        <row r="337">
          <cell r="DC337">
            <v>22923.65</v>
          </cell>
          <cell r="DD337"/>
          <cell r="DE337">
            <v>9074.4198458961291</v>
          </cell>
          <cell r="DF337">
            <v>0</v>
          </cell>
        </row>
        <row r="338">
          <cell r="DC338">
            <v>50281.33</v>
          </cell>
          <cell r="DD338">
            <v>21701.06</v>
          </cell>
          <cell r="DE338">
            <v>27506.716563720307</v>
          </cell>
          <cell r="DF338">
            <v>14840.459987130242</v>
          </cell>
        </row>
        <row r="339">
          <cell r="DC339">
            <v>3269.98</v>
          </cell>
          <cell r="DD339"/>
          <cell r="DE339">
            <v>2904.7681838912526</v>
          </cell>
          <cell r="DF339">
            <v>0</v>
          </cell>
        </row>
        <row r="340">
          <cell r="DC340">
            <v>310.56</v>
          </cell>
          <cell r="DD340"/>
          <cell r="DE340">
            <v>3.0067987214263781</v>
          </cell>
          <cell r="DF340">
            <v>0</v>
          </cell>
        </row>
        <row r="341">
          <cell r="DC341">
            <v>373.62</v>
          </cell>
          <cell r="DD341"/>
          <cell r="DE341">
            <v>2.6279936518562863E-3</v>
          </cell>
          <cell r="DF341">
            <v>0</v>
          </cell>
        </row>
        <row r="342">
          <cell r="DC342">
            <v>655.75</v>
          </cell>
          <cell r="DD342"/>
          <cell r="DE342">
            <v>158.76039908284974</v>
          </cell>
          <cell r="DF342">
            <v>0</v>
          </cell>
        </row>
        <row r="343">
          <cell r="DC343">
            <v>435.58</v>
          </cell>
          <cell r="DD343"/>
          <cell r="DE343">
            <v>69.376068851762795</v>
          </cell>
          <cell r="DF343">
            <v>0</v>
          </cell>
        </row>
        <row r="344">
          <cell r="DC344">
            <v>587.9</v>
          </cell>
          <cell r="DD344"/>
          <cell r="DE344">
            <v>-126.91091425123921</v>
          </cell>
          <cell r="DF344">
            <v>0</v>
          </cell>
        </row>
        <row r="345">
          <cell r="DC345">
            <v>33136.089999999997</v>
          </cell>
          <cell r="DD345">
            <v>10327.470000000001</v>
          </cell>
          <cell r="DE345">
            <v>17206.399132593444</v>
          </cell>
          <cell r="DF345">
            <v>7399.2983336829302</v>
          </cell>
        </row>
        <row r="346">
          <cell r="DC346">
            <v>10025.35</v>
          </cell>
          <cell r="DD346">
            <v>-1.55</v>
          </cell>
          <cell r="DE346">
            <v>3039.2881201728924</v>
          </cell>
          <cell r="DF346">
            <v>-538.78488966219379</v>
          </cell>
        </row>
        <row r="347">
          <cell r="DC347">
            <v>33696.04</v>
          </cell>
          <cell r="DD347">
            <v>978.09999999999991</v>
          </cell>
          <cell r="DE347">
            <v>13633.776753734979</v>
          </cell>
          <cell r="DF347">
            <v>-3692.8824400995859</v>
          </cell>
        </row>
        <row r="348">
          <cell r="DC348">
            <v>38895.339999999997</v>
          </cell>
          <cell r="DD348">
            <v>10916.610000000002</v>
          </cell>
          <cell r="DE348">
            <v>23980.66876096819</v>
          </cell>
          <cell r="DF348">
            <v>5385.2898585184039</v>
          </cell>
        </row>
        <row r="349">
          <cell r="DC349">
            <v>48042.51</v>
          </cell>
          <cell r="DD349">
            <v>20391.32</v>
          </cell>
          <cell r="DE349">
            <v>29664.211457943413</v>
          </cell>
          <cell r="DF349">
            <v>15888.152428769237</v>
          </cell>
        </row>
        <row r="350">
          <cell r="DC350">
            <v>87773.37</v>
          </cell>
          <cell r="DD350">
            <v>16262.63</v>
          </cell>
          <cell r="DE350">
            <v>53469.047711493666</v>
          </cell>
          <cell r="DF350">
            <v>5302.2176463019823</v>
          </cell>
        </row>
        <row r="351">
          <cell r="DC351">
            <v>21821.42</v>
          </cell>
          <cell r="DD351">
            <v>1832.81</v>
          </cell>
          <cell r="DE351">
            <v>8513.0591954552146</v>
          </cell>
          <cell r="DF351">
            <v>1151.5374245333267</v>
          </cell>
        </row>
        <row r="352">
          <cell r="DC352">
            <v>32607.41</v>
          </cell>
          <cell r="DD352">
            <v>400.03</v>
          </cell>
          <cell r="DE352">
            <v>20194.193699959455</v>
          </cell>
          <cell r="DF352">
            <v>-2847.1254236365585</v>
          </cell>
        </row>
        <row r="353">
          <cell r="DC353">
            <v>66567.199999999997</v>
          </cell>
          <cell r="DD353">
            <v>426.6</v>
          </cell>
          <cell r="DE353">
            <v>46713.47730967823</v>
          </cell>
          <cell r="DF353">
            <v>-4968.3778812594246</v>
          </cell>
        </row>
        <row r="354">
          <cell r="DC354">
            <v>18116.87</v>
          </cell>
          <cell r="DD354">
            <v>502.31</v>
          </cell>
          <cell r="DE354">
            <v>8210.9947597666433</v>
          </cell>
          <cell r="DF354">
            <v>-1542.2429493282273</v>
          </cell>
        </row>
        <row r="355">
          <cell r="DC355">
            <v>20484.830000000002</v>
          </cell>
          <cell r="DD355">
            <v>3336.3900000000003</v>
          </cell>
          <cell r="DE355">
            <v>6197.7916974966029</v>
          </cell>
          <cell r="DF355">
            <v>1.3036142226155789E-2</v>
          </cell>
        </row>
        <row r="356">
          <cell r="DC356">
            <v>54738.67</v>
          </cell>
          <cell r="DD356">
            <v>7224.8200000000006</v>
          </cell>
          <cell r="DE356">
            <v>29427.576231452487</v>
          </cell>
          <cell r="DF356">
            <v>1751.2864828521415</v>
          </cell>
        </row>
        <row r="357">
          <cell r="DC357">
            <v>26889.22</v>
          </cell>
          <cell r="DD357"/>
          <cell r="DE357">
            <v>10702.919661335229</v>
          </cell>
          <cell r="DF357">
            <v>0</v>
          </cell>
        </row>
        <row r="358">
          <cell r="DC358">
            <v>241.89</v>
          </cell>
          <cell r="DD358"/>
          <cell r="DE358">
            <v>-15.808538806030413</v>
          </cell>
          <cell r="DF358">
            <v>0</v>
          </cell>
        </row>
        <row r="359">
          <cell r="DC359">
            <v>68253.42</v>
          </cell>
          <cell r="DD359"/>
          <cell r="DE359">
            <v>51141.263906328</v>
          </cell>
          <cell r="DF359">
            <v>0</v>
          </cell>
        </row>
        <row r="360">
          <cell r="DC360">
            <v>88091.77</v>
          </cell>
          <cell r="DD360"/>
          <cell r="DE360">
            <v>44073.517509448408</v>
          </cell>
          <cell r="DF360">
            <v>0</v>
          </cell>
        </row>
        <row r="361">
          <cell r="DC361">
            <v>30808.37</v>
          </cell>
          <cell r="DD361">
            <v>7600.5100000000011</v>
          </cell>
          <cell r="DE361">
            <v>16983.458859426893</v>
          </cell>
          <cell r="DF361">
            <v>4128.1274988958048</v>
          </cell>
        </row>
        <row r="362">
          <cell r="DC362">
            <v>68408.929999999993</v>
          </cell>
          <cell r="DD362">
            <v>2926.4</v>
          </cell>
          <cell r="DE362">
            <v>33880.820742803982</v>
          </cell>
          <cell r="DF362">
            <v>-818.05051647967912</v>
          </cell>
        </row>
        <row r="363">
          <cell r="DC363">
            <v>90836.97</v>
          </cell>
          <cell r="DD363">
            <v>5963.619999999999</v>
          </cell>
          <cell r="DE363">
            <v>33788.548996393234</v>
          </cell>
          <cell r="DF363">
            <v>5472.2799999999988</v>
          </cell>
        </row>
        <row r="364">
          <cell r="DC364">
            <v>5508.89</v>
          </cell>
          <cell r="DD364">
            <v>174.69</v>
          </cell>
          <cell r="DE364">
            <v>4742.0631002791733</v>
          </cell>
          <cell r="DF364">
            <v>-26.836216947771248</v>
          </cell>
        </row>
        <row r="365">
          <cell r="DC365">
            <v>53328.47</v>
          </cell>
          <cell r="DD365"/>
          <cell r="DE365">
            <v>34959.973050953609</v>
          </cell>
          <cell r="DF365">
            <v>0</v>
          </cell>
        </row>
        <row r="366">
          <cell r="DC366">
            <v>60053.14</v>
          </cell>
          <cell r="DD366"/>
          <cell r="DE366">
            <v>29086.103831007436</v>
          </cell>
          <cell r="DF366">
            <v>0</v>
          </cell>
        </row>
        <row r="367">
          <cell r="DC367">
            <v>37818.14</v>
          </cell>
          <cell r="DD367"/>
          <cell r="DE367">
            <v>20868.996637828823</v>
          </cell>
          <cell r="DF367">
            <v>0</v>
          </cell>
        </row>
        <row r="368">
          <cell r="DC368">
            <v>30861.08</v>
          </cell>
          <cell r="DD368">
            <v>31619.279999999999</v>
          </cell>
          <cell r="DE368">
            <v>11128.447912576768</v>
          </cell>
          <cell r="DF368">
            <v>28577.418148788885</v>
          </cell>
        </row>
        <row r="369">
          <cell r="DC369">
            <v>27656.81</v>
          </cell>
          <cell r="DD369"/>
          <cell r="DE369">
            <v>11704.714883221712</v>
          </cell>
          <cell r="DF369">
            <v>0</v>
          </cell>
        </row>
        <row r="370">
          <cell r="DC370">
            <v>44358.69</v>
          </cell>
          <cell r="DD370"/>
          <cell r="DE370">
            <v>12828.151887680491</v>
          </cell>
          <cell r="DF370">
            <v>0</v>
          </cell>
        </row>
        <row r="371">
          <cell r="DC371">
            <v>48139.48</v>
          </cell>
          <cell r="DD371"/>
          <cell r="DE371">
            <v>31102.973117483394</v>
          </cell>
          <cell r="DF371">
            <v>0</v>
          </cell>
        </row>
        <row r="372">
          <cell r="DC372">
            <v>2920.23</v>
          </cell>
          <cell r="DD372"/>
          <cell r="DE372">
            <v>338.02343502528311</v>
          </cell>
          <cell r="DF372">
            <v>0</v>
          </cell>
        </row>
        <row r="373">
          <cell r="DC373">
            <v>106282.81</v>
          </cell>
          <cell r="DD373"/>
          <cell r="DE373">
            <v>57243.926679028526</v>
          </cell>
          <cell r="DF373">
            <v>0</v>
          </cell>
        </row>
        <row r="374">
          <cell r="DC374">
            <v>56423.519999999997</v>
          </cell>
          <cell r="DD374">
            <v>3489.9700000000003</v>
          </cell>
          <cell r="DE374">
            <v>30201.88199984872</v>
          </cell>
          <cell r="DF374">
            <v>1470.0847283786263</v>
          </cell>
        </row>
        <row r="375">
          <cell r="DC375">
            <v>127391.65</v>
          </cell>
          <cell r="DD375">
            <v>75486.58</v>
          </cell>
          <cell r="DE375">
            <v>72440.263835043617</v>
          </cell>
          <cell r="DF375">
            <v>68416.23856264104</v>
          </cell>
        </row>
        <row r="376">
          <cell r="DC376">
            <v>55226.87</v>
          </cell>
          <cell r="DD376"/>
          <cell r="DE376">
            <v>28694.662113794991</v>
          </cell>
          <cell r="DF376">
            <v>0</v>
          </cell>
        </row>
        <row r="377">
          <cell r="DC377">
            <v>43314.45</v>
          </cell>
          <cell r="DD377"/>
          <cell r="DE377">
            <v>13802.517369521749</v>
          </cell>
          <cell r="DF377">
            <v>0</v>
          </cell>
        </row>
        <row r="378">
          <cell r="DC378">
            <v>45343.86</v>
          </cell>
          <cell r="DD378"/>
          <cell r="DE378">
            <v>17666.245285587058</v>
          </cell>
          <cell r="DF378">
            <v>0</v>
          </cell>
        </row>
        <row r="379">
          <cell r="DC379">
            <v>52606.47</v>
          </cell>
          <cell r="DD379">
            <v>713.43</v>
          </cell>
          <cell r="DE379">
            <v>21397.181108311379</v>
          </cell>
          <cell r="DF379">
            <v>9.2572871641323218E-3</v>
          </cell>
        </row>
        <row r="380">
          <cell r="DC380">
            <v>47829.49</v>
          </cell>
          <cell r="DD380"/>
          <cell r="DE380">
            <v>18614.249864977952</v>
          </cell>
          <cell r="DF380">
            <v>0</v>
          </cell>
        </row>
        <row r="381">
          <cell r="DC381">
            <v>77586.75</v>
          </cell>
          <cell r="DD381"/>
          <cell r="DE381">
            <v>33668.024196640261</v>
          </cell>
          <cell r="DF381">
            <v>0</v>
          </cell>
        </row>
        <row r="382">
          <cell r="DC382">
            <v>59236.19</v>
          </cell>
          <cell r="DD382">
            <v>203.48</v>
          </cell>
          <cell r="DE382">
            <v>16425.828495927351</v>
          </cell>
          <cell r="DF382">
            <v>-7.3613529476972417E-3</v>
          </cell>
        </row>
        <row r="383">
          <cell r="DC383">
            <v>82404.960000000006</v>
          </cell>
          <cell r="DD383"/>
          <cell r="DE383">
            <v>41977.116815888614</v>
          </cell>
          <cell r="DF383">
            <v>0</v>
          </cell>
        </row>
        <row r="384">
          <cell r="DC384">
            <v>95888.28</v>
          </cell>
          <cell r="DD384">
            <v>0</v>
          </cell>
          <cell r="DE384">
            <v>56633.722547168298</v>
          </cell>
          <cell r="DF384">
            <v>-539.42319360739111</v>
          </cell>
        </row>
        <row r="385">
          <cell r="DC385">
            <v>61473.66</v>
          </cell>
          <cell r="DD385"/>
          <cell r="DE385">
            <v>28751.461710944099</v>
          </cell>
          <cell r="DF385">
            <v>0</v>
          </cell>
        </row>
        <row r="386">
          <cell r="DC386">
            <v>44787.19</v>
          </cell>
          <cell r="DD386"/>
          <cell r="DE386">
            <v>19026.076570775123</v>
          </cell>
          <cell r="DF386">
            <v>0</v>
          </cell>
        </row>
        <row r="387">
          <cell r="DC387">
            <v>24992.22</v>
          </cell>
          <cell r="DD387"/>
          <cell r="DE387">
            <v>8044.6398414233299</v>
          </cell>
          <cell r="DF387">
            <v>0</v>
          </cell>
        </row>
        <row r="388">
          <cell r="DC388">
            <v>23592.77</v>
          </cell>
          <cell r="DD388"/>
          <cell r="DE388">
            <v>6705.0466414661496</v>
          </cell>
          <cell r="DF388">
            <v>0</v>
          </cell>
        </row>
        <row r="389">
          <cell r="DC389">
            <v>29593.57</v>
          </cell>
          <cell r="DD389"/>
          <cell r="DE389">
            <v>12353.109364242922</v>
          </cell>
          <cell r="DF389">
            <v>0</v>
          </cell>
        </row>
        <row r="390">
          <cell r="DC390">
            <v>70811.88</v>
          </cell>
          <cell r="DD390">
            <v>1003.49</v>
          </cell>
          <cell r="DE390">
            <v>39493.418738236665</v>
          </cell>
          <cell r="DF390">
            <v>76.760529649612181</v>
          </cell>
        </row>
        <row r="391">
          <cell r="DC391">
            <v>96564.57</v>
          </cell>
          <cell r="DD391"/>
          <cell r="DE391">
            <v>70665.879630419106</v>
          </cell>
          <cell r="DF391">
            <v>0</v>
          </cell>
        </row>
        <row r="392">
          <cell r="DC392">
            <v>64331.74</v>
          </cell>
          <cell r="DD392"/>
          <cell r="DE392">
            <v>39697.953583759197</v>
          </cell>
          <cell r="DF392">
            <v>0</v>
          </cell>
        </row>
        <row r="393">
          <cell r="DC393">
            <v>39038.85</v>
          </cell>
          <cell r="DD393"/>
          <cell r="DE393">
            <v>14224.69327638606</v>
          </cell>
          <cell r="DF393">
            <v>0</v>
          </cell>
        </row>
        <row r="394">
          <cell r="DC394">
            <v>40203.54</v>
          </cell>
          <cell r="DD394"/>
          <cell r="DE394">
            <v>14703.961211563128</v>
          </cell>
          <cell r="DF394">
            <v>0</v>
          </cell>
        </row>
        <row r="395">
          <cell r="DC395">
            <v>48099.72</v>
          </cell>
          <cell r="DD395">
            <v>207.14</v>
          </cell>
          <cell r="DE395">
            <v>16268.733147527113</v>
          </cell>
          <cell r="DF395">
            <v>5.9645188656816117E-3</v>
          </cell>
        </row>
        <row r="396">
          <cell r="DC396">
            <v>24269.32</v>
          </cell>
          <cell r="DD396">
            <v>3809.85</v>
          </cell>
          <cell r="DE396">
            <v>14645.810651365682</v>
          </cell>
          <cell r="DF396">
            <v>750.74686708436957</v>
          </cell>
        </row>
        <row r="397">
          <cell r="DC397">
            <v>32376.89</v>
          </cell>
          <cell r="DD397">
            <v>4850.93</v>
          </cell>
          <cell r="DE397">
            <v>16788.18664534697</v>
          </cell>
          <cell r="DF397">
            <v>1571.3239697324666</v>
          </cell>
        </row>
        <row r="398">
          <cell r="DC398">
            <v>9509.8799999999992</v>
          </cell>
          <cell r="DD398">
            <v>12781.15</v>
          </cell>
          <cell r="DE398">
            <v>-880.14415109286347</v>
          </cell>
          <cell r="DF398">
            <v>9033.7313092962286</v>
          </cell>
        </row>
        <row r="399">
          <cell r="DC399">
            <v>20319.54</v>
          </cell>
          <cell r="DD399">
            <v>2923.2400000000002</v>
          </cell>
          <cell r="DE399">
            <v>5013.9365036978634</v>
          </cell>
          <cell r="DF399">
            <v>1323.4675608112623</v>
          </cell>
        </row>
        <row r="400">
          <cell r="DC400">
            <v>24376.66</v>
          </cell>
          <cell r="DD400">
            <v>11148.06</v>
          </cell>
          <cell r="DE400">
            <v>13262.873455301255</v>
          </cell>
          <cell r="DF400">
            <v>8271.499754203267</v>
          </cell>
        </row>
        <row r="401">
          <cell r="DC401">
            <v>17040.41</v>
          </cell>
          <cell r="DD401"/>
          <cell r="DE401">
            <v>7798.6821109646371</v>
          </cell>
          <cell r="DF401">
            <v>0</v>
          </cell>
        </row>
        <row r="402">
          <cell r="DC402">
            <v>19492.330000000002</v>
          </cell>
          <cell r="DD402">
            <v>18270.86</v>
          </cell>
          <cell r="DE402">
            <v>7246.0634619720513</v>
          </cell>
          <cell r="DF402">
            <v>14917.871290711144</v>
          </cell>
        </row>
        <row r="403">
          <cell r="DC403">
            <v>8784.59</v>
          </cell>
          <cell r="DD403">
            <v>-233.16</v>
          </cell>
          <cell r="DE403">
            <v>501.48617257545266</v>
          </cell>
          <cell r="DF403">
            <v>-466.31735379545302</v>
          </cell>
        </row>
        <row r="404">
          <cell r="DC404">
            <v>11894135.399999999</v>
          </cell>
          <cell r="DD404">
            <v>891875.60999999987</v>
          </cell>
          <cell r="DE404">
            <v>5899642.9665197395</v>
          </cell>
          <cell r="DF404">
            <v>667754.40251165139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кладові тарифу"/>
      <sheetName val="ЗВВ"/>
      <sheetName val="АУП"/>
      <sheetName val="Пот. ремонт"/>
      <sheetName val="місяць"/>
    </sheetNames>
    <sheetDataSet>
      <sheetData sheetId="0">
        <row r="41">
          <cell r="G41">
            <v>26576889.599999998</v>
          </cell>
          <cell r="H41">
            <v>25391430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ДЗ нас "/>
      <sheetName val="ДЗ нежит"/>
      <sheetName val="поточний ремонт"/>
      <sheetName val="інші ТМЦ ПР"/>
      <sheetName val="ПР будинок"/>
      <sheetName val="накладні витрати"/>
      <sheetName val="первичка 1"/>
      <sheetName val="первичка 2"/>
      <sheetName val="коди"/>
      <sheetName val="новое ДВК ПР"/>
      <sheetName val="ДВК ліфт ПР для кошториса"/>
      <sheetName val="ціни"/>
      <sheetName val="Лист5"/>
      <sheetName val="кошти 01.03.20"/>
      <sheetName val="нач"/>
    </sheetNames>
    <sheetDataSet>
      <sheetData sheetId="0"/>
      <sheetData sheetId="1"/>
      <sheetData sheetId="2"/>
      <sheetData sheetId="3"/>
      <sheetData sheetId="4"/>
      <sheetData sheetId="5"/>
      <sheetData sheetId="6">
        <row r="165">
          <cell r="K165"/>
        </row>
        <row r="338">
          <cell r="K338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Лист2"/>
      <sheetName val="ДЗ нас "/>
      <sheetName val="ДЗ нежит"/>
      <sheetName val="поточний ремонт"/>
      <sheetName val="ПР будинок"/>
      <sheetName val="накладні витрати"/>
      <sheetName val="первичка 1"/>
      <sheetName val="первичка 2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Р дільниці"/>
      <sheetName val="паркан аморт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5">
          <cell r="K145"/>
        </row>
        <row r="311">
          <cell r="K311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зведена таблиця"/>
      <sheetName val="побудинковий звіт"/>
      <sheetName val="поточний ремонт"/>
      <sheetName val="Лист2"/>
      <sheetName val="ПР будинок"/>
      <sheetName val="накладні витрати"/>
      <sheetName val="місяць"/>
      <sheetName val="коди"/>
      <sheetName val="новое ДВК ПР"/>
      <sheetName val="ДВК ліфт ПР для кошториса"/>
      <sheetName val="ціни"/>
      <sheetName val="звіт начальник"/>
      <sheetName val="кошти 01.03.202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C7">
            <v>1083683.9529412501</v>
          </cell>
          <cell r="D7">
            <v>1146696</v>
          </cell>
          <cell r="F7">
            <v>740571</v>
          </cell>
          <cell r="G7">
            <v>885971</v>
          </cell>
        </row>
        <row r="8">
          <cell r="C8">
            <v>238410.46964707502</v>
          </cell>
          <cell r="D8">
            <v>242736</v>
          </cell>
          <cell r="F8">
            <v>162925.62</v>
          </cell>
          <cell r="G8">
            <v>180672</v>
          </cell>
        </row>
        <row r="9">
          <cell r="C9">
            <v>53072.113636363632</v>
          </cell>
          <cell r="D9">
            <v>72941</v>
          </cell>
          <cell r="F9">
            <v>30000</v>
          </cell>
          <cell r="G9">
            <v>10172</v>
          </cell>
        </row>
        <row r="10">
          <cell r="C10">
            <v>324063.71560750005</v>
          </cell>
          <cell r="D10">
            <v>302005</v>
          </cell>
          <cell r="F10">
            <v>0</v>
          </cell>
          <cell r="G10">
            <v>0</v>
          </cell>
        </row>
        <row r="11">
          <cell r="C11">
            <v>49292.031818181807</v>
          </cell>
          <cell r="D11">
            <v>38336</v>
          </cell>
          <cell r="F11">
            <v>0</v>
          </cell>
          <cell r="G11">
            <v>0</v>
          </cell>
        </row>
        <row r="12">
          <cell r="C12">
            <v>40910.729999999996</v>
          </cell>
          <cell r="D12">
            <v>169302</v>
          </cell>
          <cell r="F12">
            <v>23355</v>
          </cell>
          <cell r="G12">
            <v>32456</v>
          </cell>
        </row>
        <row r="13">
          <cell r="C13">
            <v>4300</v>
          </cell>
          <cell r="D13">
            <v>6700</v>
          </cell>
          <cell r="F13">
            <v>4500</v>
          </cell>
          <cell r="G13">
            <v>1400</v>
          </cell>
        </row>
        <row r="14">
          <cell r="C14">
            <v>510234</v>
          </cell>
          <cell r="D14">
            <v>470659</v>
          </cell>
          <cell r="F14">
            <v>14568</v>
          </cell>
          <cell r="G14">
            <v>14568</v>
          </cell>
        </row>
        <row r="15">
          <cell r="C15">
            <v>68009.307575000013</v>
          </cell>
          <cell r="D15">
            <v>71716</v>
          </cell>
          <cell r="F15">
            <v>42425.650000000009</v>
          </cell>
          <cell r="G15">
            <v>43160</v>
          </cell>
        </row>
        <row r="16">
          <cell r="C16">
            <v>18892.575000000001</v>
          </cell>
          <cell r="D16">
            <v>27795</v>
          </cell>
          <cell r="F16">
            <v>20152.080000000002</v>
          </cell>
          <cell r="G16">
            <v>23271</v>
          </cell>
        </row>
        <row r="17">
          <cell r="C17">
            <v>47286.732575000002</v>
          </cell>
          <cell r="D17">
            <v>42122</v>
          </cell>
          <cell r="F17">
            <v>20773.57</v>
          </cell>
          <cell r="G17">
            <v>17946</v>
          </cell>
        </row>
        <row r="18">
          <cell r="C18">
            <v>1830</v>
          </cell>
          <cell r="D18">
            <v>1799</v>
          </cell>
          <cell r="F18">
            <v>1500</v>
          </cell>
          <cell r="G18">
            <v>1943</v>
          </cell>
        </row>
        <row r="19">
          <cell r="C19">
            <v>4200</v>
          </cell>
          <cell r="D19">
            <v>4109</v>
          </cell>
          <cell r="F19">
            <v>3000</v>
          </cell>
          <cell r="G19">
            <v>3775</v>
          </cell>
        </row>
        <row r="20">
          <cell r="C20">
            <v>0</v>
          </cell>
          <cell r="D20">
            <v>0</v>
          </cell>
          <cell r="F20">
            <v>1500</v>
          </cell>
          <cell r="G20">
            <v>0</v>
          </cell>
        </row>
        <row r="21">
          <cell r="C21">
            <v>0</v>
          </cell>
          <cell r="D21">
            <v>0</v>
          </cell>
          <cell r="F21">
            <v>15000</v>
          </cell>
          <cell r="G21">
            <v>20429</v>
          </cell>
        </row>
        <row r="22">
          <cell r="C22">
            <v>136985.715</v>
          </cell>
          <cell r="D22">
            <v>136874</v>
          </cell>
          <cell r="F22">
            <v>0</v>
          </cell>
          <cell r="G22">
            <v>0</v>
          </cell>
        </row>
        <row r="23">
          <cell r="C23">
            <v>0</v>
          </cell>
          <cell r="D23">
            <v>0</v>
          </cell>
          <cell r="F23">
            <v>6000</v>
          </cell>
          <cell r="G23">
            <v>6789</v>
          </cell>
        </row>
        <row r="24">
          <cell r="C24">
            <v>0</v>
          </cell>
          <cell r="D24">
            <v>0</v>
          </cell>
          <cell r="F24">
            <v>3000</v>
          </cell>
          <cell r="G24">
            <v>0</v>
          </cell>
        </row>
        <row r="25">
          <cell r="C25">
            <v>4500</v>
          </cell>
          <cell r="D25">
            <v>0</v>
          </cell>
          <cell r="F25">
            <v>7500</v>
          </cell>
          <cell r="G25">
            <v>5364</v>
          </cell>
        </row>
        <row r="26">
          <cell r="C26">
            <v>22089</v>
          </cell>
          <cell r="D26">
            <v>6000</v>
          </cell>
          <cell r="F26">
            <v>15000</v>
          </cell>
          <cell r="G26">
            <v>16985</v>
          </cell>
        </row>
        <row r="27">
          <cell r="C27">
            <v>190200</v>
          </cell>
          <cell r="D27">
            <v>180951</v>
          </cell>
          <cell r="F27">
            <v>0</v>
          </cell>
          <cell r="G27">
            <v>0</v>
          </cell>
        </row>
        <row r="28">
          <cell r="C28">
            <v>0</v>
          </cell>
          <cell r="D28">
            <v>0</v>
          </cell>
          <cell r="F28">
            <v>15273.18</v>
          </cell>
          <cell r="G28">
            <v>20931</v>
          </cell>
        </row>
        <row r="29">
          <cell r="C29">
            <v>0</v>
          </cell>
          <cell r="D29">
            <v>0</v>
          </cell>
          <cell r="F29">
            <v>22802.151174999999</v>
          </cell>
          <cell r="G29">
            <v>23918</v>
          </cell>
        </row>
        <row r="30">
          <cell r="C30">
            <v>42000</v>
          </cell>
          <cell r="D30">
            <v>38479</v>
          </cell>
          <cell r="F30">
            <v>75000</v>
          </cell>
          <cell r="G30">
            <v>0</v>
          </cell>
        </row>
        <row r="31">
          <cell r="C31">
            <v>34500</v>
          </cell>
          <cell r="D31">
            <v>90531</v>
          </cell>
          <cell r="F31">
            <v>0</v>
          </cell>
          <cell r="G31">
            <v>255</v>
          </cell>
        </row>
        <row r="32">
          <cell r="C32">
            <v>9627</v>
          </cell>
          <cell r="D32">
            <v>21000</v>
          </cell>
          <cell r="F32">
            <v>123379.16666666667</v>
          </cell>
          <cell r="G32">
            <v>2350</v>
          </cell>
        </row>
        <row r="34">
          <cell r="C34">
            <v>55621.914685714284</v>
          </cell>
          <cell r="D34">
            <v>207533</v>
          </cell>
          <cell r="F34">
            <v>51729</v>
          </cell>
          <cell r="G34">
            <v>33948</v>
          </cell>
        </row>
        <row r="35">
          <cell r="I35">
            <v>4014526.889381323</v>
          </cell>
          <cell r="J35">
            <v>4026749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66"/>
  </sheetPr>
  <dimension ref="A1:AT379"/>
  <sheetViews>
    <sheetView tabSelected="1" workbookViewId="0">
      <selection activeCell="L15" sqref="L15"/>
    </sheetView>
  </sheetViews>
  <sheetFormatPr defaultColWidth="8.88671875" defaultRowHeight="13.8" x14ac:dyDescent="0.3"/>
  <cols>
    <col min="1" max="1" width="7.33203125" style="1" customWidth="1"/>
    <col min="2" max="2" width="55.88671875" style="1" customWidth="1"/>
    <col min="3" max="3" width="14.5546875" style="7" customWidth="1"/>
    <col min="4" max="4" width="14.44140625" style="1" customWidth="1"/>
    <col min="5" max="5" width="13.6640625" style="1" customWidth="1"/>
    <col min="6" max="6" width="15.109375" style="1" customWidth="1"/>
    <col min="7" max="7" width="14.5546875" style="1" customWidth="1"/>
    <col min="8" max="8" width="13.44140625" style="1" customWidth="1"/>
    <col min="9" max="9" width="10.109375" style="1" bestFit="1" customWidth="1"/>
    <col min="10" max="16384" width="8.88671875" style="1"/>
  </cols>
  <sheetData>
    <row r="1" spans="1:9" ht="20.399999999999999" x14ac:dyDescent="0.3">
      <c r="A1" s="1" t="s">
        <v>0</v>
      </c>
      <c r="C1" s="567" t="s">
        <v>263</v>
      </c>
      <c r="E1" s="151"/>
      <c r="G1" s="568" t="s">
        <v>1042</v>
      </c>
    </row>
    <row r="3" spans="1:9" ht="15.6" x14ac:dyDescent="0.3">
      <c r="A3" s="6" t="s">
        <v>1024</v>
      </c>
      <c r="E3" s="4" t="str">
        <f>місяць!A2</f>
        <v>2021 РІК</v>
      </c>
      <c r="F3" s="4"/>
      <c r="I3" s="569"/>
    </row>
    <row r="4" spans="1:9" ht="14.4" thickBot="1" x14ac:dyDescent="0.35"/>
    <row r="5" spans="1:9" ht="17.850000000000001" customHeight="1" x14ac:dyDescent="0.3">
      <c r="A5" s="942" t="s">
        <v>856</v>
      </c>
      <c r="B5" s="944" t="s">
        <v>857</v>
      </c>
      <c r="C5" s="946" t="s">
        <v>1000</v>
      </c>
      <c r="D5" s="946"/>
      <c r="E5" s="946"/>
      <c r="F5" s="947"/>
    </row>
    <row r="6" spans="1:9" ht="30.15" customHeight="1" thickBot="1" x14ac:dyDescent="0.35">
      <c r="A6" s="943"/>
      <c r="B6" s="945"/>
      <c r="C6" s="570" t="s">
        <v>900</v>
      </c>
      <c r="D6" s="571" t="s">
        <v>973</v>
      </c>
      <c r="E6" s="572" t="s">
        <v>442</v>
      </c>
      <c r="F6" s="573" t="s">
        <v>901</v>
      </c>
      <c r="I6" s="569">
        <v>44562</v>
      </c>
    </row>
    <row r="7" spans="1:9" ht="16.649999999999999" customHeight="1" x14ac:dyDescent="0.3">
      <c r="A7" s="574"/>
      <c r="B7" s="575" t="s">
        <v>858</v>
      </c>
      <c r="C7" s="576">
        <f>VLOOKUP($C$1,'побудинковий звіт'!$C$9:$DH$409,3,FALSE)</f>
        <v>2850.7000000000003</v>
      </c>
      <c r="D7" s="941"/>
      <c r="E7" s="577"/>
      <c r="F7" s="578"/>
    </row>
    <row r="8" spans="1:9" ht="15" customHeight="1" x14ac:dyDescent="0.3">
      <c r="A8" s="579" t="s">
        <v>859</v>
      </c>
      <c r="B8" s="580" t="s">
        <v>860</v>
      </c>
      <c r="C8" s="5"/>
      <c r="D8" s="3"/>
      <c r="E8" s="3"/>
      <c r="F8" s="581"/>
    </row>
    <row r="9" spans="1:9" ht="15" customHeight="1" x14ac:dyDescent="0.3">
      <c r="A9" s="582" t="s">
        <v>861</v>
      </c>
      <c r="B9" s="583" t="s">
        <v>6</v>
      </c>
      <c r="C9" s="8">
        <f>C10+C11+C12+C13+C14+C15+C16+C17</f>
        <v>36476.682342163978</v>
      </c>
      <c r="D9" s="8">
        <f>D10+D11+D12+D13+D14+D15+D16+D17</f>
        <v>34116.92442575653</v>
      </c>
      <c r="E9" s="8">
        <f>D9-C9</f>
        <v>-2359.7579164074486</v>
      </c>
      <c r="F9" s="584">
        <f>D9/C9</f>
        <v>0.93530777020036804</v>
      </c>
      <c r="G9" s="32"/>
    </row>
    <row r="10" spans="1:9" ht="15" customHeight="1" x14ac:dyDescent="0.3">
      <c r="A10" s="585" t="s">
        <v>862</v>
      </c>
      <c r="B10" s="586" t="s">
        <v>24</v>
      </c>
      <c r="C10" s="152">
        <f>VLOOKUP($C$1,'побудинковий звіт'!$C$9:$DH$409,7,FALSE)</f>
        <v>9958.6087750017396</v>
      </c>
      <c r="D10" s="152">
        <f>VLOOKUP($C$1,'побудинковий звіт'!$C$9:$DH$409,8,FALSE)</f>
        <v>8764.311169379911</v>
      </c>
      <c r="E10" s="5">
        <f t="shared" ref="E10:E43" si="0">D10-C10</f>
        <v>-1194.2976056218286</v>
      </c>
      <c r="F10" s="587">
        <f t="shared" ref="F10:F12" si="1">IF(D10=0,0,D10/C10)</f>
        <v>0.88007385041374719</v>
      </c>
      <c r="G10" s="32"/>
    </row>
    <row r="11" spans="1:9" ht="15" customHeight="1" x14ac:dyDescent="0.3">
      <c r="A11" s="585" t="s">
        <v>863</v>
      </c>
      <c r="B11" s="586" t="s">
        <v>25</v>
      </c>
      <c r="C11" s="152">
        <f>VLOOKUP($C$1,'побудинковий звіт'!$C$9:$DH$409,10,FALSE)</f>
        <v>1951.094741982643</v>
      </c>
      <c r="D11" s="152">
        <f>VLOOKUP($C$1,'побудинковий звіт'!$C$9:$DH$409,11,FALSE)</f>
        <v>1761.7469574325273</v>
      </c>
      <c r="E11" s="5">
        <f t="shared" si="0"/>
        <v>-189.34778455011565</v>
      </c>
      <c r="F11" s="587">
        <f t="shared" si="1"/>
        <v>0.90295305477697807</v>
      </c>
      <c r="G11" s="32"/>
    </row>
    <row r="12" spans="1:9" ht="15" customHeight="1" x14ac:dyDescent="0.3">
      <c r="A12" s="585" t="s">
        <v>864</v>
      </c>
      <c r="B12" s="586" t="s">
        <v>26</v>
      </c>
      <c r="C12" s="152">
        <f>VLOOKUP($C$1,'побудинковий звіт'!$C$9:$DH$409,13,FALSE)</f>
        <v>4054.8275615081238</v>
      </c>
      <c r="D12" s="152">
        <f>VLOOKUP($C$1,'побудинковий звіт'!$C$9:$DH$409,14,FALSE)</f>
        <v>4054.84</v>
      </c>
      <c r="E12" s="5">
        <f t="shared" si="0"/>
        <v>1.2438491876309854E-2</v>
      </c>
      <c r="F12" s="587">
        <f t="shared" si="1"/>
        <v>1.0000030675760405</v>
      </c>
      <c r="G12" s="32"/>
    </row>
    <row r="13" spans="1:9" ht="15" customHeight="1" x14ac:dyDescent="0.3">
      <c r="A13" s="585" t="s">
        <v>865</v>
      </c>
      <c r="B13" s="586" t="s">
        <v>27</v>
      </c>
      <c r="C13" s="152">
        <f>VLOOKUP($C$1,'побудинковий звіт'!$C$9:$DH$409,16,FALSE)</f>
        <v>856.44543183652502</v>
      </c>
      <c r="D13" s="152">
        <f>VLOOKUP($C$1,'побудинковий звіт'!$C$9:$DH$409,17,FALSE)</f>
        <v>856.42000000000007</v>
      </c>
      <c r="E13" s="5">
        <f t="shared" si="0"/>
        <v>-2.5431836524944629E-2</v>
      </c>
      <c r="F13" s="587">
        <f>IF(D13=0,0,D13/C13)</f>
        <v>0.99997030536263076</v>
      </c>
      <c r="G13" s="32"/>
    </row>
    <row r="14" spans="1:9" ht="15" customHeight="1" x14ac:dyDescent="0.3">
      <c r="A14" s="585" t="s">
        <v>866</v>
      </c>
      <c r="B14" s="586" t="s">
        <v>28</v>
      </c>
      <c r="C14" s="152">
        <f>VLOOKUP($C$1,'побудинковий звіт'!$C$9:$DH$409,19,FALSE)</f>
        <v>610.46629745812027</v>
      </c>
      <c r="D14" s="152">
        <f>VLOOKUP($C$1,'побудинковий звіт'!$C$9:$DH$409,20,FALSE)</f>
        <v>397.66421087491199</v>
      </c>
      <c r="E14" s="5">
        <f t="shared" si="0"/>
        <v>-212.80208658320828</v>
      </c>
      <c r="F14" s="587">
        <f>IF(D14=0,0,D14/C14)</f>
        <v>0.65141058979131095</v>
      </c>
      <c r="G14" s="32"/>
    </row>
    <row r="15" spans="1:9" ht="15" customHeight="1" x14ac:dyDescent="0.3">
      <c r="A15" s="585" t="s">
        <v>867</v>
      </c>
      <c r="B15" s="586" t="s">
        <v>29</v>
      </c>
      <c r="C15" s="152">
        <f>VLOOKUP($C$1,'побудинковий звіт'!$C$9:$DH$409,22,FALSE)</f>
        <v>6238.418543029984</v>
      </c>
      <c r="D15" s="152">
        <f>VLOOKUP($C$1,'побудинковий звіт'!$C$9:$DH$409,23,FALSE)</f>
        <v>5305.4408269510859</v>
      </c>
      <c r="E15" s="5">
        <f t="shared" si="0"/>
        <v>-932.97771607889808</v>
      </c>
      <c r="F15" s="587">
        <f t="shared" ref="F15:F16" si="2">IF(D15=0,0,D15/C15)</f>
        <v>0.85044643772398232</v>
      </c>
      <c r="G15" s="32"/>
    </row>
    <row r="16" spans="1:9" ht="15" customHeight="1" x14ac:dyDescent="0.3">
      <c r="A16" s="585" t="s">
        <v>868</v>
      </c>
      <c r="B16" s="586" t="s">
        <v>30</v>
      </c>
      <c r="C16" s="152">
        <f>VLOOKUP($C$1,'побудинковий звіт'!$C$9:$DH$409,25,FALSE)</f>
        <v>570.1400000000001</v>
      </c>
      <c r="D16" s="152">
        <f>VLOOKUP($C$1,'побудинковий звіт'!$C$9:$DH$409,26,FALSE)</f>
        <v>0</v>
      </c>
      <c r="E16" s="5">
        <f t="shared" si="0"/>
        <v>-570.1400000000001</v>
      </c>
      <c r="F16" s="587">
        <f t="shared" si="2"/>
        <v>0</v>
      </c>
      <c r="G16" s="32"/>
    </row>
    <row r="17" spans="1:8" ht="15" customHeight="1" x14ac:dyDescent="0.3">
      <c r="A17" s="585" t="s">
        <v>869</v>
      </c>
      <c r="B17" s="588" t="s">
        <v>31</v>
      </c>
      <c r="C17" s="152">
        <f>VLOOKUP($C$1,'побудинковий звіт'!$C$9:$DH$409,28,FALSE)</f>
        <v>12236.680991346846</v>
      </c>
      <c r="D17" s="152">
        <f>VLOOKUP($C$1,'побудинковий звіт'!$C$9:$DH$409,29,FALSE)</f>
        <v>12976.501261118094</v>
      </c>
      <c r="E17" s="5">
        <f t="shared" si="0"/>
        <v>739.82026977124769</v>
      </c>
      <c r="F17" s="587">
        <f t="shared" ref="F17:F46" si="3">D17/C17</f>
        <v>1.0604592266722006</v>
      </c>
      <c r="G17" s="32"/>
    </row>
    <row r="18" spans="1:8" ht="15" customHeight="1" x14ac:dyDescent="0.3">
      <c r="A18" s="579" t="s">
        <v>870</v>
      </c>
      <c r="B18" s="589" t="s">
        <v>7</v>
      </c>
      <c r="C18" s="590">
        <f>VLOOKUP($C$1,'побудинковий звіт'!$C$9:$DH$409,34,FALSE)</f>
        <v>0</v>
      </c>
      <c r="D18" s="590">
        <f>VLOOKUP($C$1,'побудинковий звіт'!$C$9:$DH$409,35,FALSE)</f>
        <v>0</v>
      </c>
      <c r="E18" s="8">
        <f t="shared" si="0"/>
        <v>0</v>
      </c>
      <c r="F18" s="584">
        <f>IF(D18=0,0,D18/C18)</f>
        <v>0</v>
      </c>
      <c r="G18" s="32"/>
    </row>
    <row r="19" spans="1:8" ht="15" customHeight="1" x14ac:dyDescent="0.3">
      <c r="A19" s="579" t="s">
        <v>871</v>
      </c>
      <c r="B19" s="589" t="s">
        <v>8</v>
      </c>
      <c r="C19" s="590">
        <f>VLOOKUP($C$1,'побудинковий звіт'!$C$9:$DH$409,37,FALSE)</f>
        <v>0</v>
      </c>
      <c r="D19" s="590">
        <f>VLOOKUP($C$1,'побудинковий звіт'!$C$9:$DH$409,38,FALSE)</f>
        <v>0</v>
      </c>
      <c r="E19" s="8">
        <f t="shared" si="0"/>
        <v>0</v>
      </c>
      <c r="F19" s="584">
        <f>IF(D19=0,0,D19/C19)</f>
        <v>0</v>
      </c>
      <c r="G19" s="32"/>
    </row>
    <row r="20" spans="1:8" ht="15" customHeight="1" x14ac:dyDescent="0.3">
      <c r="A20" s="579" t="s">
        <v>872</v>
      </c>
      <c r="B20" s="583" t="s">
        <v>9</v>
      </c>
      <c r="C20" s="590">
        <f>VLOOKUP($C$1,'побудинковий звіт'!$C$9:$DH$409,40,FALSE)</f>
        <v>2559.4196313128223</v>
      </c>
      <c r="D20" s="590">
        <f>VLOOKUP($C$1,'побудинковий звіт'!$C$9:$DH$409,41,FALSE)</f>
        <v>2017.0261901442364</v>
      </c>
      <c r="E20" s="8">
        <f t="shared" si="0"/>
        <v>-542.39344116858592</v>
      </c>
      <c r="F20" s="587">
        <f>IF(D20=0,0,D20/C20)</f>
        <v>0.78807951828892864</v>
      </c>
      <c r="G20" s="32"/>
    </row>
    <row r="21" spans="1:8" s="595" customFormat="1" ht="19.5" customHeight="1" x14ac:dyDescent="0.3">
      <c r="A21" s="591" t="s">
        <v>873</v>
      </c>
      <c r="B21" s="592" t="s">
        <v>1001</v>
      </c>
      <c r="C21" s="593">
        <v>0</v>
      </c>
      <c r="D21" s="593">
        <v>0</v>
      </c>
      <c r="E21" s="593">
        <f t="shared" si="0"/>
        <v>0</v>
      </c>
      <c r="F21" s="594"/>
      <c r="G21" s="32"/>
    </row>
    <row r="22" spans="1:8" ht="58.2" customHeight="1" x14ac:dyDescent="0.3">
      <c r="A22" s="579" t="s">
        <v>874</v>
      </c>
      <c r="B22" s="583" t="s">
        <v>1002</v>
      </c>
      <c r="C22" s="590">
        <f>VLOOKUP($C$1,'побудинковий звіт'!$C$9:$DH$409,43,FALSE)</f>
        <v>36307.956015843272</v>
      </c>
      <c r="D22" s="590">
        <f>VLOOKUP($C$1,'побудинковий звіт'!$C$9:$DH$409,44,FALSE)</f>
        <v>4398</v>
      </c>
      <c r="E22" s="8">
        <f t="shared" si="0"/>
        <v>-31909.956015843272</v>
      </c>
      <c r="F22" s="584">
        <f t="shared" si="3"/>
        <v>0.12113047614360051</v>
      </c>
      <c r="G22" s="32"/>
      <c r="H22" s="1">
        <f>(D22+D23)*1.2</f>
        <v>6288.5999999999995</v>
      </c>
    </row>
    <row r="23" spans="1:8" ht="18.75" customHeight="1" x14ac:dyDescent="0.3">
      <c r="A23" s="579" t="s">
        <v>876</v>
      </c>
      <c r="B23" s="583" t="s">
        <v>1150</v>
      </c>
      <c r="C23" s="8">
        <f>C24+C25+C26+C27+C28+C29+C30</f>
        <v>14326.329083965209</v>
      </c>
      <c r="D23" s="8">
        <f>D24+D25+D26+D27+D28+D29+D30</f>
        <v>842.5</v>
      </c>
      <c r="E23" s="8">
        <f t="shared" si="0"/>
        <v>-13483.829083965209</v>
      </c>
      <c r="F23" s="584">
        <f t="shared" ref="F23:F36" si="4">IF(D23=0,0,D23/C23)</f>
        <v>5.88078072939823E-2</v>
      </c>
      <c r="G23" s="32"/>
    </row>
    <row r="24" spans="1:8" ht="15" customHeight="1" x14ac:dyDescent="0.3">
      <c r="A24" s="585" t="s">
        <v>877</v>
      </c>
      <c r="B24" s="586" t="s">
        <v>24</v>
      </c>
      <c r="C24" s="152">
        <f>VLOOKUP($C$1,'побудинковий звіт'!$C$9:$DH$409,46,FALSE)</f>
        <v>2790.5713995758601</v>
      </c>
      <c r="D24" s="152">
        <f>VLOOKUP($C$1,'побудинковий звіт'!$C$9:$DH$409,47,FALSE)</f>
        <v>0</v>
      </c>
      <c r="E24" s="5">
        <f t="shared" si="0"/>
        <v>-2790.5713995758601</v>
      </c>
      <c r="F24" s="587">
        <f t="shared" si="4"/>
        <v>0</v>
      </c>
      <c r="G24" s="32"/>
    </row>
    <row r="25" spans="1:8" ht="15" customHeight="1" x14ac:dyDescent="0.3">
      <c r="A25" s="585" t="s">
        <v>878</v>
      </c>
      <c r="B25" s="586" t="s">
        <v>25</v>
      </c>
      <c r="C25" s="152">
        <f>VLOOKUP($C$1,'побудинковий звіт'!$C$9:$DH$409,49,FALSE)</f>
        <v>3667.6923016407127</v>
      </c>
      <c r="D25" s="152">
        <f>VLOOKUP($C$1,'побудинковий звіт'!$C$9:$DH$409,50,FALSE)</f>
        <v>6.5</v>
      </c>
      <c r="E25" s="5">
        <f t="shared" si="0"/>
        <v>-3661.1923016407127</v>
      </c>
      <c r="F25" s="587">
        <f t="shared" si="4"/>
        <v>1.7722315465482962E-3</v>
      </c>
      <c r="G25" s="32"/>
    </row>
    <row r="26" spans="1:8" ht="15" customHeight="1" x14ac:dyDescent="0.3">
      <c r="A26" s="585" t="s">
        <v>879</v>
      </c>
      <c r="B26" s="586" t="s">
        <v>26</v>
      </c>
      <c r="C26" s="152">
        <f>VLOOKUP($C$1,'побудинковий звіт'!$C$9:$DH$409,52,FALSE)</f>
        <v>1513.1947931653467</v>
      </c>
      <c r="D26" s="152">
        <f>VLOOKUP($C$1,'побудинковий звіт'!$C$9:$DH$409,53,FALSE)</f>
        <v>836</v>
      </c>
      <c r="E26" s="5">
        <f t="shared" si="0"/>
        <v>-677.19479316534671</v>
      </c>
      <c r="F26" s="587">
        <f t="shared" si="4"/>
        <v>0.55247348442907995</v>
      </c>
      <c r="G26" s="32"/>
    </row>
    <row r="27" spans="1:8" ht="15" customHeight="1" x14ac:dyDescent="0.3">
      <c r="A27" s="585" t="s">
        <v>880</v>
      </c>
      <c r="B27" s="586" t="s">
        <v>27</v>
      </c>
      <c r="C27" s="152">
        <f>VLOOKUP($C$1,'побудинковий звіт'!$C$9:$DH$409,55,FALSE)</f>
        <v>1883.6740325550145</v>
      </c>
      <c r="D27" s="152">
        <f>VLOOKUP($C$1,'побудинковий звіт'!$C$9:$DH$409,56,FALSE)</f>
        <v>0</v>
      </c>
      <c r="E27" s="5">
        <f t="shared" si="0"/>
        <v>-1883.6740325550145</v>
      </c>
      <c r="F27" s="587">
        <f t="shared" si="4"/>
        <v>0</v>
      </c>
      <c r="G27" s="32"/>
    </row>
    <row r="28" spans="1:8" ht="15" customHeight="1" x14ac:dyDescent="0.3">
      <c r="A28" s="585" t="s">
        <v>881</v>
      </c>
      <c r="B28" s="586" t="s">
        <v>28</v>
      </c>
      <c r="C28" s="152">
        <f>VLOOKUP($C$1,'побудинковий звіт'!$C$9:$DH$409,58,FALSE)</f>
        <v>1369.6262160600197</v>
      </c>
      <c r="D28" s="152">
        <f>VLOOKUP($C$1,'побудинковий звіт'!$C$9:$DH$409,59,FALSE)</f>
        <v>0</v>
      </c>
      <c r="E28" s="5">
        <f t="shared" si="0"/>
        <v>-1369.6262160600197</v>
      </c>
      <c r="F28" s="587">
        <f t="shared" si="4"/>
        <v>0</v>
      </c>
      <c r="G28" s="32"/>
    </row>
    <row r="29" spans="1:8" ht="15" customHeight="1" x14ac:dyDescent="0.3">
      <c r="A29" s="585" t="s">
        <v>882</v>
      </c>
      <c r="B29" s="586" t="s">
        <v>29</v>
      </c>
      <c r="C29" s="152">
        <f>VLOOKUP($C$1,'побудинковий звіт'!$C$9:$DH$409,61,FALSE)</f>
        <v>1878.0217557583553</v>
      </c>
      <c r="D29" s="152">
        <f>VLOOKUP($C$1,'побудинковий звіт'!$C$9:$DH$409,62,FALSE)</f>
        <v>0</v>
      </c>
      <c r="E29" s="5">
        <f t="shared" si="0"/>
        <v>-1878.0217557583553</v>
      </c>
      <c r="F29" s="587">
        <f t="shared" si="4"/>
        <v>0</v>
      </c>
      <c r="G29" s="32"/>
    </row>
    <row r="30" spans="1:8" ht="15" customHeight="1" x14ac:dyDescent="0.3">
      <c r="A30" s="585" t="s">
        <v>883</v>
      </c>
      <c r="B30" s="586" t="s">
        <v>30</v>
      </c>
      <c r="C30" s="152">
        <f>VLOOKUP($C$1,'побудинковий звіт'!$C$9:$DH$409,64,FALSE)</f>
        <v>1223.5485852099002</v>
      </c>
      <c r="D30" s="152">
        <f>VLOOKUP($C$1,'побудинковий звіт'!$C$9:$DH$409,65,FALSE)</f>
        <v>0</v>
      </c>
      <c r="E30" s="5">
        <f t="shared" si="0"/>
        <v>-1223.5485852099002</v>
      </c>
      <c r="F30" s="587">
        <f t="shared" si="4"/>
        <v>0</v>
      </c>
      <c r="G30" s="32"/>
    </row>
    <row r="31" spans="1:8" x14ac:dyDescent="0.3">
      <c r="A31" s="579" t="s">
        <v>884</v>
      </c>
      <c r="B31" s="592" t="s">
        <v>1001</v>
      </c>
      <c r="C31" s="593">
        <v>0</v>
      </c>
      <c r="D31" s="593">
        <v>0</v>
      </c>
      <c r="E31" s="153">
        <f t="shared" si="0"/>
        <v>0</v>
      </c>
      <c r="F31" s="587">
        <f t="shared" si="4"/>
        <v>0</v>
      </c>
      <c r="G31" s="32"/>
    </row>
    <row r="32" spans="1:8" ht="15" customHeight="1" x14ac:dyDescent="0.3">
      <c r="A32" s="579" t="s">
        <v>885</v>
      </c>
      <c r="B32" s="583" t="s">
        <v>14</v>
      </c>
      <c r="C32" s="590">
        <f>VLOOKUP($C$1,'побудинковий звіт'!$C$9:$DH$409,70,FALSE)</f>
        <v>30754.188101748474</v>
      </c>
      <c r="D32" s="590">
        <f>VLOOKUP($C$1,'побудинковий звіт'!$C$9:$DH$409,71,FALSE)</f>
        <v>38405.381859657995</v>
      </c>
      <c r="E32" s="8">
        <f t="shared" si="0"/>
        <v>7651.1937579095211</v>
      </c>
      <c r="F32" s="587">
        <f t="shared" si="4"/>
        <v>1.2487854250158055</v>
      </c>
      <c r="G32" s="32"/>
    </row>
    <row r="33" spans="1:9" ht="15" customHeight="1" x14ac:dyDescent="0.3">
      <c r="A33" s="579" t="s">
        <v>886</v>
      </c>
      <c r="B33" s="583" t="s">
        <v>15</v>
      </c>
      <c r="C33" s="590">
        <f>VLOOKUP($C$1,'побудинковий звіт'!$C$9:$DH$409,73,FALSE)</f>
        <v>15108.746867523891</v>
      </c>
      <c r="D33" s="590">
        <f>VLOOKUP($C$1,'побудинковий звіт'!$C$9:$DH$409,74,FALSE)</f>
        <v>14188.433593030895</v>
      </c>
      <c r="E33" s="8">
        <f t="shared" si="0"/>
        <v>-920.31327449299533</v>
      </c>
      <c r="F33" s="587">
        <f t="shared" si="4"/>
        <v>0.9390873854355718</v>
      </c>
      <c r="G33" s="32"/>
    </row>
    <row r="34" spans="1:9" ht="37.35" customHeight="1" x14ac:dyDescent="0.3">
      <c r="A34" s="579" t="s">
        <v>887</v>
      </c>
      <c r="B34" s="583" t="s">
        <v>16</v>
      </c>
      <c r="C34" s="590">
        <f>VLOOKUP($C$1,'побудинковий звіт'!$C$9:$DH$409,76,FALSE)</f>
        <v>15036.757249037379</v>
      </c>
      <c r="D34" s="590">
        <f>VLOOKUP($C$1,'побудинковий звіт'!$C$9:$DH$409,77,FALSE)</f>
        <v>4810.7164852052701</v>
      </c>
      <c r="E34" s="8">
        <f t="shared" si="0"/>
        <v>-10226.040763832108</v>
      </c>
      <c r="F34" s="587">
        <f t="shared" si="4"/>
        <v>0.31993044813656496</v>
      </c>
      <c r="G34" s="32"/>
    </row>
    <row r="35" spans="1:9" ht="15" customHeight="1" x14ac:dyDescent="0.3">
      <c r="A35" s="579" t="s">
        <v>888</v>
      </c>
      <c r="B35" s="583" t="s">
        <v>17</v>
      </c>
      <c r="C35" s="590">
        <f>VLOOKUP($C$1,'побудинковий звіт'!$C$9:$DH$409,79,FALSE)</f>
        <v>1516.9843407258036</v>
      </c>
      <c r="D35" s="590">
        <f>VLOOKUP($C$1,'побудинковий звіт'!$C$9:$DH$409,80,FALSE)</f>
        <v>1658.0532951822947</v>
      </c>
      <c r="E35" s="8">
        <f t="shared" si="0"/>
        <v>141.06895445649116</v>
      </c>
      <c r="F35" s="587">
        <f t="shared" si="4"/>
        <v>1.0929930195515376</v>
      </c>
      <c r="G35" s="32"/>
    </row>
    <row r="36" spans="1:9" ht="15" customHeight="1" x14ac:dyDescent="0.3">
      <c r="A36" s="579" t="s">
        <v>889</v>
      </c>
      <c r="B36" s="583" t="s">
        <v>18</v>
      </c>
      <c r="C36" s="590">
        <f>VLOOKUP($C$1,'побудинковий звіт'!$C$9:$DH$409,82,FALSE)</f>
        <v>184.42069507325238</v>
      </c>
      <c r="D36" s="590">
        <f>VLOOKUP($C$1,'побудинковий звіт'!$C$9:$DH$409,83,FALSE)</f>
        <v>1824.7191009648782</v>
      </c>
      <c r="E36" s="8">
        <f t="shared" si="0"/>
        <v>1640.2984058916259</v>
      </c>
      <c r="F36" s="587">
        <f t="shared" si="4"/>
        <v>9.8943293768635616</v>
      </c>
      <c r="G36" s="32"/>
    </row>
    <row r="37" spans="1:9" ht="34.950000000000003" customHeight="1" x14ac:dyDescent="0.3">
      <c r="A37" s="579" t="s">
        <v>890</v>
      </c>
      <c r="B37" s="583" t="s">
        <v>891</v>
      </c>
      <c r="C37" s="590">
        <f>C38+C39</f>
        <v>6046.4251457825894</v>
      </c>
      <c r="D37" s="8">
        <f>D38+D39</f>
        <v>5084.3657793581706</v>
      </c>
      <c r="E37" s="8">
        <f t="shared" si="0"/>
        <v>-962.05936642441884</v>
      </c>
      <c r="F37" s="584">
        <f t="shared" si="3"/>
        <v>0.84088790595622276</v>
      </c>
      <c r="G37" s="32"/>
    </row>
    <row r="38" spans="1:9" ht="15" customHeight="1" x14ac:dyDescent="0.3">
      <c r="A38" s="596" t="s">
        <v>892</v>
      </c>
      <c r="B38" s="597" t="s">
        <v>32</v>
      </c>
      <c r="C38" s="152">
        <f>VLOOKUP($C$1,'побудинковий звіт'!$C$9:$DH$409,85,FALSE)</f>
        <v>6046.4251457825894</v>
      </c>
      <c r="D38" s="152">
        <f>VLOOKUP($C$1,'побудинковий звіт'!$C$9:$DH$409,86,FALSE)</f>
        <v>5084.3657793581706</v>
      </c>
      <c r="E38" s="5">
        <f t="shared" si="0"/>
        <v>-962.05936642441884</v>
      </c>
      <c r="F38" s="587">
        <f t="shared" si="3"/>
        <v>0.84088790595622276</v>
      </c>
      <c r="G38" s="32"/>
    </row>
    <row r="39" spans="1:9" ht="15" customHeight="1" x14ac:dyDescent="0.3">
      <c r="A39" s="596" t="s">
        <v>893</v>
      </c>
      <c r="B39" s="597" t="s">
        <v>33</v>
      </c>
      <c r="C39" s="152">
        <f>VLOOKUP($C$1,'побудинковий звіт'!$C$9:$DH$409,88,FALSE)</f>
        <v>0</v>
      </c>
      <c r="D39" s="152">
        <f>VLOOKUP($C$1,'побудинковий звіт'!$C$9:$DH$409,89,FALSE)</f>
        <v>0</v>
      </c>
      <c r="E39" s="5">
        <f t="shared" si="0"/>
        <v>0</v>
      </c>
      <c r="F39" s="587">
        <f>IF(D39=0,0,D39/C39)</f>
        <v>0</v>
      </c>
      <c r="G39" s="32"/>
    </row>
    <row r="40" spans="1:9" ht="15" customHeight="1" x14ac:dyDescent="0.3">
      <c r="A40" s="579" t="s">
        <v>894</v>
      </c>
      <c r="B40" s="598" t="s">
        <v>20</v>
      </c>
      <c r="C40" s="590">
        <v>0</v>
      </c>
      <c r="D40" s="5">
        <v>0</v>
      </c>
      <c r="E40" s="5">
        <f t="shared" si="0"/>
        <v>0</v>
      </c>
      <c r="F40" s="587"/>
      <c r="G40" s="32"/>
    </row>
    <row r="41" spans="1:9" ht="15" customHeight="1" thickBot="1" x14ac:dyDescent="0.35">
      <c r="A41" s="599" t="s">
        <v>895</v>
      </c>
      <c r="B41" s="600" t="s">
        <v>21</v>
      </c>
      <c r="C41" s="601">
        <f>C9+C18+C19+C20+C21+C22+C23+C31+C32+C33+C34+C35+C36+C37</f>
        <v>158317.9094731767</v>
      </c>
      <c r="D41" s="601">
        <f>D9+D18+D19+D20+D21+D22+D23+D31+D32+D33+D34+D35+D36+D37</f>
        <v>107346.12072930028</v>
      </c>
      <c r="E41" s="601">
        <f t="shared" si="0"/>
        <v>-50971.788743876416</v>
      </c>
      <c r="F41" s="602">
        <f t="shared" si="3"/>
        <v>0.67804154998324806</v>
      </c>
      <c r="G41" s="32"/>
    </row>
    <row r="42" spans="1:9" ht="15" customHeight="1" thickBot="1" x14ac:dyDescent="0.35">
      <c r="A42" s="603" t="s">
        <v>896</v>
      </c>
      <c r="B42" s="604" t="s">
        <v>22</v>
      </c>
      <c r="C42" s="62">
        <f>C41*1.2</f>
        <v>189981.49136781204</v>
      </c>
      <c r="D42" s="62">
        <f>D41*1.2</f>
        <v>128815.34487516033</v>
      </c>
      <c r="E42" s="62">
        <f t="shared" si="0"/>
        <v>-61166.146492651707</v>
      </c>
      <c r="F42" s="605">
        <f t="shared" si="3"/>
        <v>0.67804154998324806</v>
      </c>
      <c r="H42" s="152">
        <f>VLOOKUP($C$1,'побудинковий звіт'!$C$9:$DH$409,97,FALSE)</f>
        <v>189981.49136781204</v>
      </c>
      <c r="I42" s="152">
        <f>VLOOKUP($C$1,'побудинковий звіт'!$C$9:$DH$409,98,FALSE)</f>
        <v>128815.34487516033</v>
      </c>
    </row>
    <row r="43" spans="1:9" ht="15" hidden="1" customHeight="1" x14ac:dyDescent="0.3">
      <c r="A43" s="606" t="s">
        <v>897</v>
      </c>
      <c r="B43" s="607" t="s">
        <v>23</v>
      </c>
      <c r="C43" s="590">
        <f>VLOOKUP($C$1,'побудинковий звіт'!$C$9:$DH$409,70,FALSE)</f>
        <v>30754.188101748474</v>
      </c>
      <c r="D43" s="608">
        <f>C44-D42</f>
        <v>-98061.156773411858</v>
      </c>
      <c r="E43" s="609">
        <f t="shared" si="0"/>
        <v>-128815.34487516033</v>
      </c>
      <c r="F43" s="610"/>
      <c r="H43" s="32">
        <f>H42-C42</f>
        <v>0</v>
      </c>
      <c r="I43" s="32">
        <f>I42-D42</f>
        <v>0</v>
      </c>
    </row>
    <row r="44" spans="1:9" ht="15" hidden="1" customHeight="1" thickBot="1" x14ac:dyDescent="0.35">
      <c r="A44" s="611" t="s">
        <v>898</v>
      </c>
      <c r="B44" s="612" t="s">
        <v>899</v>
      </c>
      <c r="C44" s="590">
        <f>VLOOKUP($C$1,'побудинковий звіт'!$C$9:$DH$409,70,FALSE)</f>
        <v>30754.188101748474</v>
      </c>
      <c r="D44" s="613">
        <f>D42+D43</f>
        <v>30754.18810174847</v>
      </c>
      <c r="E44" s="613"/>
      <c r="F44" s="614"/>
    </row>
    <row r="45" spans="1:9" hidden="1" x14ac:dyDescent="0.3">
      <c r="A45" s="615"/>
      <c r="B45" s="616"/>
      <c r="C45" s="40"/>
      <c r="D45" s="616"/>
      <c r="E45" s="616"/>
      <c r="F45" s="617"/>
    </row>
    <row r="46" spans="1:9" ht="15" hidden="1" thickBot="1" x14ac:dyDescent="0.35">
      <c r="A46" s="618"/>
      <c r="B46" s="619" t="s">
        <v>902</v>
      </c>
      <c r="C46" s="620">
        <f>C44/C7</f>
        <v>10.788293437313106</v>
      </c>
      <c r="D46" s="620">
        <f>D44/C7</f>
        <v>10.788293437313104</v>
      </c>
      <c r="E46" s="620"/>
      <c r="F46" s="614">
        <f t="shared" si="3"/>
        <v>0.99999999999999989</v>
      </c>
    </row>
    <row r="47" spans="1:9" ht="8.25" customHeight="1" x14ac:dyDescent="0.3"/>
    <row r="48" spans="1:9" ht="14.4" x14ac:dyDescent="0.3">
      <c r="A48" s="949" t="s">
        <v>1084</v>
      </c>
      <c r="B48" s="950"/>
      <c r="C48" s="621">
        <f>I6</f>
        <v>44562</v>
      </c>
      <c r="D48" s="622">
        <f>VLOOKUP($C$1,'побудинковий звіт'!$C$9:$DH$409,107,FALSE)</f>
        <v>11842.745497209904</v>
      </c>
      <c r="E48" s="623"/>
      <c r="H48" s="151"/>
      <c r="I48" s="151"/>
    </row>
    <row r="49" spans="1:8" ht="13.8" customHeight="1" x14ac:dyDescent="0.3">
      <c r="A49" s="949" t="s">
        <v>1085</v>
      </c>
      <c r="B49" s="950"/>
      <c r="C49" s="621">
        <f>C48</f>
        <v>44562</v>
      </c>
      <c r="D49" s="622">
        <f>VLOOKUP($C$1,'побудинковий звіт'!$C$9:$DH$409,108,FALSE)</f>
        <v>6.9159150802420299E-3</v>
      </c>
      <c r="E49" s="623"/>
    </row>
    <row r="50" spans="1:8" ht="22.5" customHeight="1" x14ac:dyDescent="0.3">
      <c r="A50" s="949" t="s">
        <v>1079</v>
      </c>
      <c r="B50" s="951"/>
      <c r="C50" s="621">
        <f>C48</f>
        <v>44562</v>
      </c>
      <c r="D50" s="622">
        <f>VLOOKUP($C$1,'побудинковий звіт'!$C$9:$DH$409,103,FALSE)*-1</f>
        <v>47566.241515051326</v>
      </c>
      <c r="E50" s="624" t="str">
        <f>IF(D50&gt;0,"недовиконано!!!","перевиконано")</f>
        <v>недовиконано!!!</v>
      </c>
    </row>
    <row r="52" spans="1:8" x14ac:dyDescent="0.3">
      <c r="B52" s="31" t="s">
        <v>1003</v>
      </c>
      <c r="C52" s="948" t="s">
        <v>1004</v>
      </c>
      <c r="D52" s="948"/>
      <c r="E52" s="625" t="s">
        <v>1061</v>
      </c>
      <c r="H52" s="626" t="s">
        <v>1062</v>
      </c>
    </row>
    <row r="53" spans="1:8" x14ac:dyDescent="0.3">
      <c r="B53" s="627" t="s">
        <v>1006</v>
      </c>
      <c r="C53" s="627" t="s">
        <v>966</v>
      </c>
      <c r="D53" s="20">
        <f>'ПР будинок'!C6</f>
        <v>0</v>
      </c>
      <c r="E53" s="20">
        <f>'ПР будинок'!D6</f>
        <v>0</v>
      </c>
      <c r="H53" s="628">
        <f t="shared" ref="H53:H63" si="5">E53*1.2</f>
        <v>0</v>
      </c>
    </row>
    <row r="54" spans="1:8" x14ac:dyDescent="0.3">
      <c r="B54" s="627" t="s">
        <v>1007</v>
      </c>
      <c r="C54" s="627" t="s">
        <v>962</v>
      </c>
      <c r="D54" s="20">
        <f>'ПР будинок'!C7</f>
        <v>0</v>
      </c>
      <c r="E54" s="20">
        <f>'ПР будинок'!D7</f>
        <v>513</v>
      </c>
      <c r="F54" s="632"/>
      <c r="H54" s="628">
        <f t="shared" si="5"/>
        <v>615.6</v>
      </c>
    </row>
    <row r="55" spans="1:8" x14ac:dyDescent="0.3">
      <c r="B55" s="627" t="s">
        <v>1008</v>
      </c>
      <c r="C55" s="627" t="s">
        <v>964</v>
      </c>
      <c r="D55" s="20">
        <f>'ПР будинок'!C8</f>
        <v>12</v>
      </c>
      <c r="E55" s="20">
        <f>'ПР будинок'!D8</f>
        <v>2127</v>
      </c>
      <c r="H55" s="628">
        <f t="shared" si="5"/>
        <v>2552.4</v>
      </c>
    </row>
    <row r="56" spans="1:8" x14ac:dyDescent="0.3">
      <c r="B56" s="627" t="s">
        <v>1009</v>
      </c>
      <c r="C56" s="627" t="s">
        <v>962</v>
      </c>
      <c r="D56" s="20">
        <f>'ПР будинок'!C9</f>
        <v>0</v>
      </c>
      <c r="E56" s="20">
        <f>'ПР будинок'!D9</f>
        <v>0</v>
      </c>
      <c r="H56" s="628">
        <f t="shared" si="5"/>
        <v>0</v>
      </c>
    </row>
    <row r="57" spans="1:8" x14ac:dyDescent="0.3">
      <c r="B57" s="627" t="s">
        <v>1010</v>
      </c>
      <c r="C57" s="627"/>
      <c r="D57" s="20"/>
      <c r="E57" s="20">
        <f>'ПР будинок'!D10</f>
        <v>0</v>
      </c>
      <c r="H57" s="628">
        <f t="shared" si="5"/>
        <v>0</v>
      </c>
    </row>
    <row r="58" spans="1:8" x14ac:dyDescent="0.3">
      <c r="B58" s="627" t="s">
        <v>965</v>
      </c>
      <c r="C58" s="627" t="s">
        <v>966</v>
      </c>
      <c r="D58" s="20">
        <f>'ПР будинок'!C11</f>
        <v>0</v>
      </c>
      <c r="E58" s="20">
        <f>'ПР будинок'!D11</f>
        <v>0</v>
      </c>
      <c r="H58" s="628">
        <f t="shared" si="5"/>
        <v>0</v>
      </c>
    </row>
    <row r="59" spans="1:8" x14ac:dyDescent="0.3">
      <c r="B59" s="627" t="s">
        <v>1011</v>
      </c>
      <c r="C59" s="627"/>
      <c r="D59" s="20"/>
      <c r="E59" s="20">
        <f>'ПР будинок'!D12</f>
        <v>0</v>
      </c>
      <c r="H59" s="628">
        <f t="shared" si="5"/>
        <v>0</v>
      </c>
    </row>
    <row r="60" spans="1:8" x14ac:dyDescent="0.3">
      <c r="B60" s="627" t="s">
        <v>955</v>
      </c>
      <c r="C60" s="627"/>
      <c r="D60" s="20"/>
      <c r="E60" s="20">
        <f>'ПР будинок'!D13</f>
        <v>0</v>
      </c>
      <c r="H60" s="628">
        <f t="shared" si="5"/>
        <v>0</v>
      </c>
    </row>
    <row r="61" spans="1:8" x14ac:dyDescent="0.3">
      <c r="B61" s="627" t="s">
        <v>1012</v>
      </c>
      <c r="C61" s="627"/>
      <c r="D61" s="20"/>
      <c r="E61" s="20">
        <f>'ПР будинок'!D14</f>
        <v>0</v>
      </c>
      <c r="H61" s="628">
        <f t="shared" si="5"/>
        <v>0</v>
      </c>
    </row>
    <row r="62" spans="1:8" x14ac:dyDescent="0.3">
      <c r="B62" s="627" t="s">
        <v>967</v>
      </c>
      <c r="C62" s="627"/>
      <c r="D62" s="20"/>
      <c r="E62" s="20">
        <f>'ПР будинок'!D15</f>
        <v>903</v>
      </c>
      <c r="H62" s="628">
        <f t="shared" si="5"/>
        <v>1083.5999999999999</v>
      </c>
    </row>
    <row r="63" spans="1:8" x14ac:dyDescent="0.3">
      <c r="B63" s="627" t="s">
        <v>979</v>
      </c>
      <c r="C63" s="627"/>
      <c r="D63" s="20"/>
      <c r="E63" s="20">
        <f>'ПР будинок'!D16</f>
        <v>855</v>
      </c>
      <c r="H63" s="628">
        <f t="shared" si="5"/>
        <v>1026</v>
      </c>
    </row>
    <row r="64" spans="1:8" x14ac:dyDescent="0.3">
      <c r="B64" s="629" t="s">
        <v>1013</v>
      </c>
      <c r="C64" s="629"/>
      <c r="D64" s="629"/>
      <c r="E64" s="630">
        <f>SUM(E53:E63)</f>
        <v>4398</v>
      </c>
      <c r="H64" s="630">
        <f>SUM(H53:H63)</f>
        <v>5277.6</v>
      </c>
    </row>
    <row r="65" spans="2:9" x14ac:dyDescent="0.3">
      <c r="G65" s="631">
        <f>D22</f>
        <v>4398</v>
      </c>
      <c r="I65" s="32">
        <f>E64-E54</f>
        <v>3885</v>
      </c>
    </row>
    <row r="66" spans="2:9" ht="7.5" customHeight="1" x14ac:dyDescent="0.3">
      <c r="F66" s="6"/>
    </row>
    <row r="67" spans="2:9" x14ac:dyDescent="0.3">
      <c r="G67" s="32">
        <f>E64-G65</f>
        <v>0</v>
      </c>
    </row>
    <row r="71" spans="2:9" ht="15.6" x14ac:dyDescent="0.3">
      <c r="B71" s="6" t="s">
        <v>903</v>
      </c>
      <c r="C71" s="9"/>
      <c r="D71" s="6" t="s">
        <v>1151</v>
      </c>
    </row>
    <row r="72" spans="2:9" ht="15.6" x14ac:dyDescent="0.3">
      <c r="B72" s="6"/>
      <c r="C72" s="9"/>
      <c r="D72" s="6"/>
    </row>
    <row r="73" spans="2:9" ht="15.6" x14ac:dyDescent="0.3">
      <c r="B73" s="6"/>
      <c r="C73" s="9"/>
      <c r="D73" s="6"/>
    </row>
    <row r="74" spans="2:9" ht="15.6" x14ac:dyDescent="0.3">
      <c r="B74" s="6" t="s">
        <v>904</v>
      </c>
      <c r="C74" s="9"/>
      <c r="D74" s="6" t="s">
        <v>1090</v>
      </c>
    </row>
    <row r="379" spans="45:46" x14ac:dyDescent="0.3">
      <c r="AS379" s="1">
        <v>209.13</v>
      </c>
      <c r="AT379" s="1">
        <v>1.99</v>
      </c>
    </row>
  </sheetData>
  <mergeCells count="7">
    <mergeCell ref="A5:A6"/>
    <mergeCell ref="B5:B6"/>
    <mergeCell ref="C5:F5"/>
    <mergeCell ref="C52:D52"/>
    <mergeCell ref="A48:B48"/>
    <mergeCell ref="A50:B50"/>
    <mergeCell ref="A49:B49"/>
  </mergeCells>
  <pageMargins left="0.70866141732283472" right="0.11811023622047245" top="0.15748031496062992" bottom="0.19685039370078741" header="0.31496062992125984" footer="0.31496062992125984"/>
  <pageSetup paperSize="9" scale="70" orientation="portrait" verticalDpi="4294967295" r:id="rId1"/>
  <drawing r:id="rId2"/>
  <legacyDrawing r:id="rId3"/>
  <controls>
    <mc:AlternateContent xmlns:mc="http://schemas.openxmlformats.org/markup-compatibility/2006">
      <mc:Choice Requires="x14">
        <control shapeId="9217" r:id="rId4" name="ComboBox1">
          <controlPr autoLine="0" linkedCell="C1" listFillRange="'побудинковий звіт'!C9:DH409" r:id="rId5">
            <anchor moveWithCells="1">
              <from>
                <xdr:col>6</xdr:col>
                <xdr:colOff>68580</xdr:colOff>
                <xdr:row>1</xdr:row>
                <xdr:rowOff>22860</xdr:rowOff>
              </from>
              <to>
                <xdr:col>11</xdr:col>
                <xdr:colOff>38100</xdr:colOff>
                <xdr:row>3</xdr:row>
                <xdr:rowOff>175260</xdr:rowOff>
              </to>
            </anchor>
          </controlPr>
        </control>
      </mc:Choice>
      <mc:Fallback>
        <control shapeId="9217" r:id="rId4" name="ComboBox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6254-9E08-4BA9-91B4-FAFE823BDAC0}">
  <dimension ref="A1:BS416"/>
  <sheetViews>
    <sheetView topLeftCell="AJ348" workbookViewId="0">
      <selection activeCell="I20" sqref="I20"/>
    </sheetView>
  </sheetViews>
  <sheetFormatPr defaultColWidth="8.6640625" defaultRowHeight="13.8" x14ac:dyDescent="0.3"/>
  <cols>
    <col min="1" max="1" width="16.44140625" style="1" customWidth="1"/>
    <col min="2" max="2" width="33.88671875" style="272" customWidth="1"/>
    <col min="3" max="3" width="11.6640625" style="1" customWidth="1"/>
    <col min="4" max="4" width="12.5546875" style="99" customWidth="1"/>
    <col min="5" max="5" width="15.44140625" style="1" customWidth="1"/>
    <col min="6" max="8" width="13.33203125" style="7" customWidth="1"/>
    <col min="9" max="9" width="12.33203125" style="7" customWidth="1"/>
    <col min="10" max="10" width="10.88671875" style="7" customWidth="1"/>
    <col min="11" max="11" width="9.44140625" style="148" customWidth="1"/>
    <col min="12" max="12" width="7.109375" style="7" customWidth="1"/>
    <col min="13" max="13" width="8.44140625" style="7" customWidth="1"/>
    <col min="14" max="14" width="9" style="7" customWidth="1"/>
    <col min="15" max="15" width="6.33203125" style="7" customWidth="1"/>
    <col min="16" max="16" width="9.33203125" style="7" customWidth="1"/>
    <col min="17" max="17" width="8" style="332" customWidth="1"/>
    <col min="18" max="18" width="6.33203125" style="7" customWidth="1"/>
    <col min="19" max="19" width="8.6640625" style="7"/>
    <col min="20" max="20" width="9" style="146" customWidth="1"/>
    <col min="21" max="21" width="11.109375" style="7" customWidth="1"/>
    <col min="22" max="22" width="9.88671875" style="7" customWidth="1"/>
    <col min="23" max="23" width="6.33203125" style="7" customWidth="1"/>
    <col min="24" max="24" width="9.44140625" style="7" customWidth="1"/>
    <col min="25" max="25" width="9.109375" style="7" customWidth="1"/>
    <col min="26" max="26" width="11.33203125" style="7" customWidth="1"/>
    <col min="27" max="27" width="8.33203125" style="7" customWidth="1"/>
    <col min="28" max="28" width="11.33203125" style="7" customWidth="1"/>
    <col min="29" max="29" width="9.44140625" style="7" customWidth="1"/>
    <col min="30" max="30" width="12.5546875" style="7" customWidth="1"/>
    <col min="31" max="32" width="8.6640625" style="7"/>
    <col min="33" max="33" width="12.109375" style="7" customWidth="1"/>
    <col min="34" max="35" width="8.6640625" style="7"/>
    <col min="36" max="36" width="16" style="7" customWidth="1"/>
    <col min="37" max="38" width="8.6640625" style="7"/>
    <col min="39" max="39" width="14" style="7" customWidth="1"/>
    <col min="40" max="41" width="8.6640625" style="7"/>
    <col min="42" max="42" width="9.88671875" style="7" customWidth="1"/>
    <col min="43" max="44" width="8.6640625" style="7"/>
    <col min="45" max="45" width="11.33203125" style="7" customWidth="1"/>
    <col min="46" max="47" width="8.6640625" style="7"/>
    <col min="48" max="48" width="11.5546875" style="7" customWidth="1"/>
    <col min="49" max="50" width="8.6640625" style="7"/>
    <col min="51" max="51" width="12" style="7" customWidth="1"/>
    <col min="52" max="52" width="9.88671875" style="7" customWidth="1"/>
    <col min="53" max="53" width="10.6640625" style="7" customWidth="1"/>
    <col min="54" max="54" width="10.88671875" style="7" customWidth="1"/>
    <col min="55" max="55" width="8.6640625" style="1"/>
    <col min="56" max="56" width="8.6640625" style="2"/>
    <col min="57" max="57" width="8.6640625" style="1"/>
    <col min="58" max="58" width="26.88671875" style="1" customWidth="1"/>
    <col min="59" max="59" width="11" style="1" customWidth="1"/>
    <col min="60" max="60" width="8.6640625" style="1"/>
    <col min="61" max="61" width="14.44140625" style="2" customWidth="1"/>
    <col min="62" max="63" width="13.109375" style="1" customWidth="1"/>
    <col min="64" max="70" width="8.6640625" style="1"/>
    <col min="71" max="71" width="57.88671875" style="1" customWidth="1"/>
    <col min="72" max="16384" width="8.6640625" style="1"/>
  </cols>
  <sheetData>
    <row r="1" spans="1:71" x14ac:dyDescent="0.3">
      <c r="A1" s="1" t="s">
        <v>0</v>
      </c>
    </row>
    <row r="3" spans="1:71" ht="17.399999999999999" x14ac:dyDescent="0.3">
      <c r="A3" s="25" t="s">
        <v>1025</v>
      </c>
      <c r="J3" s="50" t="s">
        <v>1091</v>
      </c>
      <c r="L3" s="773" t="s">
        <v>1111</v>
      </c>
    </row>
    <row r="4" spans="1:71" x14ac:dyDescent="0.3">
      <c r="AF4" s="149"/>
      <c r="AI4" s="149"/>
      <c r="AR4" s="158"/>
      <c r="AU4" s="158"/>
    </row>
    <row r="6" spans="1:71" ht="14.4" thickBot="1" x14ac:dyDescent="0.35">
      <c r="A6" s="2">
        <v>1</v>
      </c>
      <c r="B6" s="806">
        <v>2</v>
      </c>
      <c r="C6" s="806">
        <v>3</v>
      </c>
      <c r="D6" s="806">
        <v>4</v>
      </c>
      <c r="E6" s="806">
        <v>5</v>
      </c>
      <c r="F6" s="806">
        <v>6</v>
      </c>
      <c r="G6" s="806">
        <v>7</v>
      </c>
      <c r="H6" s="806">
        <v>8</v>
      </c>
      <c r="I6" s="806">
        <v>9</v>
      </c>
      <c r="J6" s="806">
        <v>10</v>
      </c>
      <c r="K6" s="806">
        <v>11</v>
      </c>
      <c r="L6" s="806">
        <v>12</v>
      </c>
      <c r="M6" s="806">
        <v>13</v>
      </c>
      <c r="N6" s="806">
        <v>14</v>
      </c>
      <c r="O6" s="806">
        <v>15</v>
      </c>
      <c r="P6" s="806">
        <v>16</v>
      </c>
      <c r="Q6" s="806">
        <v>17</v>
      </c>
      <c r="R6" s="806">
        <v>18</v>
      </c>
      <c r="S6" s="806">
        <v>19</v>
      </c>
      <c r="T6" s="806">
        <v>20</v>
      </c>
      <c r="U6" s="806">
        <v>21</v>
      </c>
      <c r="V6" s="806">
        <v>22</v>
      </c>
      <c r="W6" s="806">
        <v>23</v>
      </c>
      <c r="X6" s="806">
        <v>24</v>
      </c>
      <c r="Y6" s="806">
        <v>25</v>
      </c>
      <c r="Z6" s="806">
        <v>26</v>
      </c>
      <c r="AA6" s="806">
        <v>27</v>
      </c>
      <c r="AB6" s="806">
        <v>28</v>
      </c>
      <c r="AC6" s="806">
        <v>29</v>
      </c>
      <c r="AD6" s="806">
        <v>30</v>
      </c>
      <c r="AE6" s="806">
        <v>31</v>
      </c>
      <c r="AF6" s="806">
        <v>32</v>
      </c>
      <c r="AG6" s="806">
        <v>33</v>
      </c>
      <c r="AH6" s="806">
        <v>34</v>
      </c>
      <c r="AI6" s="806">
        <v>35</v>
      </c>
      <c r="AJ6" s="806">
        <v>36</v>
      </c>
      <c r="AK6" s="806">
        <v>37</v>
      </c>
      <c r="AL6" s="806">
        <v>38</v>
      </c>
      <c r="AM6" s="806">
        <v>39</v>
      </c>
      <c r="AN6" s="806">
        <v>40</v>
      </c>
      <c r="AO6" s="806">
        <v>41</v>
      </c>
      <c r="AP6" s="806">
        <v>42</v>
      </c>
      <c r="AQ6" s="806">
        <v>43</v>
      </c>
      <c r="AR6" s="806">
        <v>44</v>
      </c>
      <c r="AS6" s="806">
        <v>45</v>
      </c>
      <c r="AT6" s="806">
        <v>46</v>
      </c>
      <c r="AU6" s="806">
        <v>47</v>
      </c>
      <c r="AV6" s="806">
        <v>48</v>
      </c>
      <c r="AW6" s="806">
        <v>49</v>
      </c>
      <c r="AX6" s="806">
        <v>50</v>
      </c>
      <c r="AY6" s="806">
        <v>51</v>
      </c>
      <c r="AZ6" s="806">
        <v>52</v>
      </c>
      <c r="BA6" s="806">
        <v>53</v>
      </c>
      <c r="BB6" s="806">
        <v>54</v>
      </c>
    </row>
    <row r="7" spans="1:71" ht="26.85" customHeight="1" thickBot="1" x14ac:dyDescent="0.35">
      <c r="A7" s="1042" t="s">
        <v>457</v>
      </c>
      <c r="B7" s="1134" t="s">
        <v>1</v>
      </c>
      <c r="C7" s="1045" t="s">
        <v>2</v>
      </c>
      <c r="D7" s="1131" t="s">
        <v>456</v>
      </c>
      <c r="E7" s="1139" t="s">
        <v>431</v>
      </c>
      <c r="F7" s="1171" t="s">
        <v>957</v>
      </c>
      <c r="G7" s="1172"/>
      <c r="H7" s="1172"/>
      <c r="I7" s="1172"/>
      <c r="J7" s="1172"/>
      <c r="K7" s="1172"/>
      <c r="L7" s="1172"/>
      <c r="M7" s="1172"/>
      <c r="N7" s="1172"/>
      <c r="O7" s="1172"/>
      <c r="P7" s="1172"/>
      <c r="Q7" s="1172"/>
      <c r="R7" s="1172"/>
      <c r="S7" s="1172"/>
      <c r="T7" s="1172"/>
      <c r="U7" s="1172"/>
      <c r="V7" s="1172"/>
      <c r="W7" s="1172"/>
      <c r="X7" s="1172"/>
      <c r="Y7" s="1172"/>
      <c r="Z7" s="1172"/>
      <c r="AA7" s="1172"/>
      <c r="AB7" s="1172"/>
      <c r="AC7" s="1172"/>
      <c r="AD7" s="1173"/>
      <c r="AE7" s="1152" t="s">
        <v>974</v>
      </c>
      <c r="AF7" s="1153"/>
      <c r="AG7" s="1153"/>
      <c r="AH7" s="1153"/>
      <c r="AI7" s="1153"/>
      <c r="AJ7" s="1153"/>
      <c r="AK7" s="1153"/>
      <c r="AL7" s="1153"/>
      <c r="AM7" s="1153"/>
      <c r="AN7" s="1153"/>
      <c r="AO7" s="1153"/>
      <c r="AP7" s="1153"/>
      <c r="AQ7" s="1153"/>
      <c r="AR7" s="1153"/>
      <c r="AS7" s="1153"/>
      <c r="AT7" s="1153"/>
      <c r="AU7" s="1153"/>
      <c r="AV7" s="1153"/>
      <c r="AW7" s="1153"/>
      <c r="AX7" s="1153"/>
      <c r="AY7" s="1153"/>
      <c r="AZ7" s="1153"/>
      <c r="BA7" s="1153"/>
      <c r="BB7" s="1154"/>
      <c r="BF7" s="762"/>
    </row>
    <row r="8" spans="1:71" ht="22.2" customHeight="1" thickBot="1" x14ac:dyDescent="0.35">
      <c r="A8" s="1043"/>
      <c r="B8" s="948"/>
      <c r="C8" s="1046"/>
      <c r="D8" s="1132"/>
      <c r="E8" s="1140"/>
      <c r="F8" s="1155" t="s">
        <v>972</v>
      </c>
      <c r="G8" s="1158" t="s">
        <v>973</v>
      </c>
      <c r="H8" s="1155" t="s">
        <v>976</v>
      </c>
      <c r="I8" s="1159" t="s">
        <v>977</v>
      </c>
      <c r="J8" s="1160"/>
      <c r="K8" s="1160"/>
      <c r="L8" s="1160"/>
      <c r="M8" s="1160"/>
      <c r="N8" s="1160"/>
      <c r="O8" s="1160"/>
      <c r="P8" s="1160"/>
      <c r="Q8" s="1160"/>
      <c r="R8" s="1160"/>
      <c r="S8" s="1160"/>
      <c r="T8" s="1160"/>
      <c r="U8" s="1160"/>
      <c r="V8" s="1160"/>
      <c r="W8" s="1160"/>
      <c r="X8" s="1160"/>
      <c r="Y8" s="1160"/>
      <c r="Z8" s="1160"/>
      <c r="AA8" s="1160"/>
      <c r="AB8" s="1160"/>
      <c r="AC8" s="1160"/>
      <c r="AD8" s="1161"/>
      <c r="AE8" s="1162" t="s">
        <v>989</v>
      </c>
      <c r="AF8" s="1163"/>
      <c r="AG8" s="1164"/>
      <c r="AH8" s="1168" t="s">
        <v>990</v>
      </c>
      <c r="AI8" s="1169"/>
      <c r="AJ8" s="1169"/>
      <c r="AK8" s="1168" t="s">
        <v>991</v>
      </c>
      <c r="AL8" s="1169"/>
      <c r="AM8" s="1169"/>
      <c r="AN8" s="1168" t="s">
        <v>992</v>
      </c>
      <c r="AO8" s="1169"/>
      <c r="AP8" s="1169"/>
      <c r="AQ8" s="1168" t="s">
        <v>993</v>
      </c>
      <c r="AR8" s="1169"/>
      <c r="AS8" s="1169"/>
      <c r="AT8" s="1168" t="s">
        <v>994</v>
      </c>
      <c r="AU8" s="1169"/>
      <c r="AV8" s="1169"/>
      <c r="AW8" s="1168" t="s">
        <v>30</v>
      </c>
      <c r="AX8" s="1169"/>
      <c r="AY8" s="1169"/>
      <c r="AZ8" s="1168" t="s">
        <v>975</v>
      </c>
      <c r="BA8" s="1169"/>
      <c r="BB8" s="1195"/>
      <c r="BD8" s="96" t="s">
        <v>1017</v>
      </c>
      <c r="BF8" s="1187" t="s">
        <v>1127</v>
      </c>
      <c r="BI8" s="983" t="s">
        <v>1128</v>
      </c>
      <c r="BJ8" s="1189"/>
      <c r="BK8" s="1189"/>
      <c r="BM8" s="3" t="s">
        <v>1129</v>
      </c>
      <c r="BN8" s="3"/>
      <c r="BP8" s="3" t="s">
        <v>1130</v>
      </c>
      <c r="BQ8" s="3"/>
    </row>
    <row r="9" spans="1:71" ht="36.6" customHeight="1" x14ac:dyDescent="0.3">
      <c r="A9" s="1043"/>
      <c r="B9" s="948"/>
      <c r="C9" s="1046"/>
      <c r="D9" s="1132"/>
      <c r="E9" s="1140"/>
      <c r="F9" s="1156"/>
      <c r="G9" s="1156"/>
      <c r="H9" s="1156"/>
      <c r="I9" s="1178" t="s">
        <v>960</v>
      </c>
      <c r="J9" s="1179"/>
      <c r="K9" s="1180"/>
      <c r="L9" s="1181" t="s">
        <v>961</v>
      </c>
      <c r="M9" s="1182"/>
      <c r="N9" s="1183"/>
      <c r="O9" s="1184" t="s">
        <v>963</v>
      </c>
      <c r="P9" s="1185"/>
      <c r="Q9" s="1186"/>
      <c r="R9" s="1190" t="s">
        <v>969</v>
      </c>
      <c r="S9" s="1191"/>
      <c r="T9" s="1192"/>
      <c r="U9" s="1193" t="s">
        <v>970</v>
      </c>
      <c r="V9" s="1194"/>
      <c r="W9" s="1174" t="s">
        <v>965</v>
      </c>
      <c r="X9" s="1175"/>
      <c r="Y9" s="1176" t="s">
        <v>1052</v>
      </c>
      <c r="Z9" s="1177"/>
      <c r="AA9" s="807" t="s">
        <v>955</v>
      </c>
      <c r="AB9" s="808" t="s">
        <v>980</v>
      </c>
      <c r="AC9" s="809" t="s">
        <v>967</v>
      </c>
      <c r="AD9" s="810" t="s">
        <v>971</v>
      </c>
      <c r="AE9" s="1165"/>
      <c r="AF9" s="1166"/>
      <c r="AG9" s="1167"/>
      <c r="AH9" s="1170"/>
      <c r="AI9" s="1170"/>
      <c r="AJ9" s="1170"/>
      <c r="AK9" s="1170"/>
      <c r="AL9" s="1170"/>
      <c r="AM9" s="1170"/>
      <c r="AN9" s="1170"/>
      <c r="AO9" s="1170"/>
      <c r="AP9" s="1170"/>
      <c r="AQ9" s="1170"/>
      <c r="AR9" s="1170"/>
      <c r="AS9" s="1170"/>
      <c r="AT9" s="1170"/>
      <c r="AU9" s="1170"/>
      <c r="AV9" s="1170"/>
      <c r="AW9" s="1170"/>
      <c r="AX9" s="1170"/>
      <c r="AY9" s="1170"/>
      <c r="AZ9" s="1170"/>
      <c r="BA9" s="1170"/>
      <c r="BB9" s="1196"/>
      <c r="BD9" s="96" t="s">
        <v>1018</v>
      </c>
      <c r="BF9" s="1188"/>
      <c r="BI9" s="26" t="s">
        <v>1131</v>
      </c>
      <c r="BJ9" s="26" t="s">
        <v>1132</v>
      </c>
      <c r="BK9" s="26" t="s">
        <v>1133</v>
      </c>
      <c r="BM9" s="3" t="s">
        <v>966</v>
      </c>
      <c r="BN9" s="3" t="s">
        <v>1134</v>
      </c>
      <c r="BP9" s="3" t="s">
        <v>966</v>
      </c>
      <c r="BQ9" s="3" t="s">
        <v>1134</v>
      </c>
    </row>
    <row r="10" spans="1:71" ht="33.9" customHeight="1" thickBot="1" x14ac:dyDescent="0.35">
      <c r="A10" s="943"/>
      <c r="B10" s="1135"/>
      <c r="C10" s="945"/>
      <c r="D10" s="1133"/>
      <c r="E10" s="1141"/>
      <c r="F10" s="1157"/>
      <c r="G10" s="1157"/>
      <c r="H10" s="1157"/>
      <c r="I10" s="811" t="s">
        <v>958</v>
      </c>
      <c r="J10" s="812" t="s">
        <v>959</v>
      </c>
      <c r="K10" s="813" t="s">
        <v>968</v>
      </c>
      <c r="L10" s="814" t="s">
        <v>962</v>
      </c>
      <c r="M10" s="815" t="s">
        <v>959</v>
      </c>
      <c r="N10" s="816" t="s">
        <v>968</v>
      </c>
      <c r="O10" s="817" t="s">
        <v>964</v>
      </c>
      <c r="P10" s="818" t="s">
        <v>959</v>
      </c>
      <c r="Q10" s="819" t="s">
        <v>968</v>
      </c>
      <c r="R10" s="820" t="s">
        <v>962</v>
      </c>
      <c r="S10" s="821" t="s">
        <v>959</v>
      </c>
      <c r="T10" s="822" t="s">
        <v>968</v>
      </c>
      <c r="U10" s="823" t="s">
        <v>959</v>
      </c>
      <c r="V10" s="824" t="s">
        <v>968</v>
      </c>
      <c r="W10" s="825" t="s">
        <v>966</v>
      </c>
      <c r="X10" s="826" t="s">
        <v>959</v>
      </c>
      <c r="Y10" s="827" t="s">
        <v>959</v>
      </c>
      <c r="Z10" s="828" t="s">
        <v>968</v>
      </c>
      <c r="AA10" s="829" t="s">
        <v>959</v>
      </c>
      <c r="AB10" s="830" t="s">
        <v>959</v>
      </c>
      <c r="AC10" s="831" t="s">
        <v>959</v>
      </c>
      <c r="AD10" s="832" t="s">
        <v>959</v>
      </c>
      <c r="AE10" s="833" t="s">
        <v>440</v>
      </c>
      <c r="AF10" s="834" t="s">
        <v>441</v>
      </c>
      <c r="AG10" s="834" t="s">
        <v>968</v>
      </c>
      <c r="AH10" s="834" t="s">
        <v>440</v>
      </c>
      <c r="AI10" s="834" t="s">
        <v>441</v>
      </c>
      <c r="AJ10" s="834" t="s">
        <v>968</v>
      </c>
      <c r="AK10" s="834" t="s">
        <v>440</v>
      </c>
      <c r="AL10" s="834" t="s">
        <v>441</v>
      </c>
      <c r="AM10" s="834" t="s">
        <v>968</v>
      </c>
      <c r="AN10" s="834" t="s">
        <v>440</v>
      </c>
      <c r="AO10" s="834" t="s">
        <v>441</v>
      </c>
      <c r="AP10" s="834" t="s">
        <v>968</v>
      </c>
      <c r="AQ10" s="834" t="s">
        <v>440</v>
      </c>
      <c r="AR10" s="834" t="s">
        <v>441</v>
      </c>
      <c r="AS10" s="834" t="s">
        <v>968</v>
      </c>
      <c r="AT10" s="834" t="s">
        <v>440</v>
      </c>
      <c r="AU10" s="834" t="s">
        <v>441</v>
      </c>
      <c r="AV10" s="834" t="s">
        <v>968</v>
      </c>
      <c r="AW10" s="834" t="s">
        <v>440</v>
      </c>
      <c r="AX10" s="834" t="s">
        <v>441</v>
      </c>
      <c r="AY10" s="834" t="s">
        <v>968</v>
      </c>
      <c r="AZ10" s="834" t="s">
        <v>440</v>
      </c>
      <c r="BA10" s="834" t="s">
        <v>441</v>
      </c>
      <c r="BB10" s="835" t="s">
        <v>442</v>
      </c>
      <c r="BD10" s="96"/>
      <c r="BF10" s="785"/>
      <c r="BI10" s="26"/>
      <c r="BJ10" s="26">
        <v>9.8133444208034312E-2</v>
      </c>
      <c r="BK10" s="26"/>
      <c r="BM10" s="3"/>
      <c r="BN10" s="3"/>
      <c r="BP10" s="3"/>
      <c r="BQ10" s="3"/>
    </row>
    <row r="11" spans="1:71" ht="24.9" customHeight="1" x14ac:dyDescent="0.3">
      <c r="A11" s="325">
        <v>150001053</v>
      </c>
      <c r="B11" s="836" t="s">
        <v>147</v>
      </c>
      <c r="C11" s="837">
        <v>2</v>
      </c>
      <c r="D11" s="100" t="s">
        <v>455</v>
      </c>
      <c r="E11" s="279">
        <v>372.8</v>
      </c>
      <c r="F11" s="838">
        <v>1071.8596995211831</v>
      </c>
      <c r="G11" s="838">
        <v>0</v>
      </c>
      <c r="H11" s="838">
        <v>-1071.8596995211831</v>
      </c>
      <c r="I11" s="839">
        <v>0</v>
      </c>
      <c r="J11" s="840">
        <v>0</v>
      </c>
      <c r="K11" s="841"/>
      <c r="L11" s="839">
        <v>0</v>
      </c>
      <c r="M11" s="840">
        <v>0</v>
      </c>
      <c r="N11" s="842"/>
      <c r="O11" s="839">
        <v>0</v>
      </c>
      <c r="P11" s="840">
        <v>0</v>
      </c>
      <c r="Q11" s="843"/>
      <c r="R11" s="839">
        <v>0</v>
      </c>
      <c r="S11" s="840">
        <v>0</v>
      </c>
      <c r="T11" s="844"/>
      <c r="U11" s="839">
        <v>0</v>
      </c>
      <c r="V11" s="840">
        <v>0</v>
      </c>
      <c r="W11" s="839">
        <v>0</v>
      </c>
      <c r="X11" s="840">
        <v>0</v>
      </c>
      <c r="Y11" s="839">
        <v>0</v>
      </c>
      <c r="Z11" s="840">
        <v>0</v>
      </c>
      <c r="AA11" s="839">
        <v>0</v>
      </c>
      <c r="AB11" s="840">
        <v>0</v>
      </c>
      <c r="AC11" s="839">
        <v>0</v>
      </c>
      <c r="AD11" s="840">
        <v>0</v>
      </c>
      <c r="AE11" s="839">
        <v>65.647448675769112</v>
      </c>
      <c r="AF11" s="840">
        <v>0</v>
      </c>
      <c r="AG11" s="845"/>
      <c r="AH11" s="839">
        <v>73.651218393822916</v>
      </c>
      <c r="AI11" s="840">
        <v>0</v>
      </c>
      <c r="AJ11" s="845"/>
      <c r="AK11" s="839">
        <v>43.544938300567878</v>
      </c>
      <c r="AL11" s="840">
        <v>0</v>
      </c>
      <c r="AM11" s="845"/>
      <c r="AN11" s="839">
        <v>0</v>
      </c>
      <c r="AO11" s="840">
        <v>0</v>
      </c>
      <c r="AP11" s="845"/>
      <c r="AQ11" s="839">
        <v>0</v>
      </c>
      <c r="AR11" s="840">
        <v>0</v>
      </c>
      <c r="AS11" s="845"/>
      <c r="AT11" s="839">
        <v>26.345569159282459</v>
      </c>
      <c r="AU11" s="840">
        <v>0</v>
      </c>
      <c r="AV11" s="845"/>
      <c r="AW11" s="839">
        <v>0</v>
      </c>
      <c r="AX11" s="840">
        <v>0</v>
      </c>
      <c r="AY11" s="845"/>
      <c r="AZ11" s="845">
        <v>209.18917452944237</v>
      </c>
      <c r="BA11" s="845">
        <v>0</v>
      </c>
      <c r="BB11" s="846">
        <v>-209.18917452944237</v>
      </c>
      <c r="BD11" s="2">
        <v>3</v>
      </c>
      <c r="BF11" s="787">
        <v>1.1827807168530864</v>
      </c>
      <c r="BG11" s="325">
        <v>150001053</v>
      </c>
      <c r="BI11" s="847">
        <v>0</v>
      </c>
      <c r="BJ11" s="847">
        <v>0</v>
      </c>
      <c r="BK11" s="847">
        <v>0</v>
      </c>
      <c r="BL11" s="848"/>
      <c r="BM11" s="3"/>
      <c r="BN11" s="3"/>
      <c r="BP11" s="3"/>
      <c r="BQ11" s="3"/>
      <c r="BS11" s="76" t="s">
        <v>147</v>
      </c>
    </row>
    <row r="12" spans="1:71" ht="24.9" customHeight="1" x14ac:dyDescent="0.3">
      <c r="A12" s="325">
        <v>150000753</v>
      </c>
      <c r="B12" s="849" t="s">
        <v>240</v>
      </c>
      <c r="C12" s="850">
        <v>5</v>
      </c>
      <c r="D12" s="101" t="s">
        <v>455</v>
      </c>
      <c r="E12" s="279">
        <v>1840.7</v>
      </c>
      <c r="F12" s="838">
        <v>4484.602370255906</v>
      </c>
      <c r="G12" s="838">
        <v>89</v>
      </c>
      <c r="H12" s="838">
        <v>-4395.602370255906</v>
      </c>
      <c r="I12" s="839">
        <v>0</v>
      </c>
      <c r="J12" s="851">
        <v>0</v>
      </c>
      <c r="K12" s="852"/>
      <c r="L12" s="839">
        <v>0</v>
      </c>
      <c r="M12" s="851">
        <v>0</v>
      </c>
      <c r="N12" s="853"/>
      <c r="O12" s="839">
        <v>0</v>
      </c>
      <c r="P12" s="851">
        <v>0</v>
      </c>
      <c r="Q12" s="854"/>
      <c r="R12" s="839">
        <v>0</v>
      </c>
      <c r="S12" s="851">
        <v>0</v>
      </c>
      <c r="T12" s="855"/>
      <c r="U12" s="839">
        <v>0</v>
      </c>
      <c r="V12" s="851">
        <v>0</v>
      </c>
      <c r="W12" s="839">
        <v>0</v>
      </c>
      <c r="X12" s="851">
        <v>0</v>
      </c>
      <c r="Y12" s="839">
        <v>0</v>
      </c>
      <c r="Z12" s="851">
        <v>0</v>
      </c>
      <c r="AA12" s="839">
        <v>0</v>
      </c>
      <c r="AB12" s="851">
        <v>0</v>
      </c>
      <c r="AC12" s="839">
        <v>89</v>
      </c>
      <c r="AD12" s="851">
        <v>0</v>
      </c>
      <c r="AE12" s="839">
        <v>212.61335910407598</v>
      </c>
      <c r="AF12" s="851">
        <v>0</v>
      </c>
      <c r="AG12" s="856"/>
      <c r="AH12" s="839">
        <v>357.35999522309328</v>
      </c>
      <c r="AI12" s="851">
        <v>0</v>
      </c>
      <c r="AJ12" s="856"/>
      <c r="AK12" s="839">
        <v>242.54952035302418</v>
      </c>
      <c r="AL12" s="851">
        <v>0</v>
      </c>
      <c r="AM12" s="856"/>
      <c r="AN12" s="839">
        <v>0</v>
      </c>
      <c r="AO12" s="851">
        <v>0</v>
      </c>
      <c r="AP12" s="856"/>
      <c r="AQ12" s="839">
        <v>0</v>
      </c>
      <c r="AR12" s="851">
        <v>0</v>
      </c>
      <c r="AS12" s="856"/>
      <c r="AT12" s="839">
        <v>108.30800270624789</v>
      </c>
      <c r="AU12" s="851">
        <v>0</v>
      </c>
      <c r="AV12" s="857"/>
      <c r="AW12" s="839">
        <v>67.149090736659304</v>
      </c>
      <c r="AX12" s="851">
        <v>0</v>
      </c>
      <c r="AY12" s="856"/>
      <c r="AZ12" s="845">
        <v>987.97996812310066</v>
      </c>
      <c r="BA12" s="845">
        <v>0</v>
      </c>
      <c r="BB12" s="846">
        <v>-987.97996812310066</v>
      </c>
      <c r="BD12" s="2">
        <v>2</v>
      </c>
      <c r="BF12" s="787">
        <v>6.4466011235755989</v>
      </c>
      <c r="BG12" s="325">
        <v>150000753</v>
      </c>
      <c r="BI12" s="847">
        <v>0</v>
      </c>
      <c r="BJ12" s="847">
        <v>0</v>
      </c>
      <c r="BK12" s="847">
        <v>0</v>
      </c>
      <c r="BL12" s="848"/>
      <c r="BM12" s="3"/>
      <c r="BN12" s="3"/>
      <c r="BP12" s="3"/>
      <c r="BQ12" s="3"/>
      <c r="BS12" s="42" t="s">
        <v>240</v>
      </c>
    </row>
    <row r="13" spans="1:71" ht="24.9" customHeight="1" x14ac:dyDescent="0.3">
      <c r="A13" s="325">
        <v>150000754</v>
      </c>
      <c r="B13" s="849" t="s">
        <v>241</v>
      </c>
      <c r="C13" s="850">
        <v>5</v>
      </c>
      <c r="D13" s="101" t="s">
        <v>455</v>
      </c>
      <c r="E13" s="279">
        <v>2805.68</v>
      </c>
      <c r="F13" s="838">
        <v>8205.6088792881528</v>
      </c>
      <c r="G13" s="838">
        <v>49714.126525811938</v>
      </c>
      <c r="H13" s="838">
        <v>41508.517646523789</v>
      </c>
      <c r="I13" s="839">
        <v>0</v>
      </c>
      <c r="J13" s="851">
        <v>0</v>
      </c>
      <c r="K13" s="852"/>
      <c r="L13" s="839">
        <v>1</v>
      </c>
      <c r="M13" s="851">
        <v>49648</v>
      </c>
      <c r="N13" s="853"/>
      <c r="O13" s="839">
        <v>0</v>
      </c>
      <c r="P13" s="851">
        <v>0</v>
      </c>
      <c r="Q13" s="854"/>
      <c r="R13" s="839">
        <v>0</v>
      </c>
      <c r="S13" s="851">
        <v>0</v>
      </c>
      <c r="T13" s="855"/>
      <c r="U13" s="839">
        <v>0</v>
      </c>
      <c r="V13" s="851">
        <v>0</v>
      </c>
      <c r="W13" s="839">
        <v>0</v>
      </c>
      <c r="X13" s="851">
        <v>66.126525811940638</v>
      </c>
      <c r="Y13" s="839">
        <v>0</v>
      </c>
      <c r="Z13" s="851">
        <v>0</v>
      </c>
      <c r="AA13" s="839">
        <v>0</v>
      </c>
      <c r="AB13" s="851">
        <v>0</v>
      </c>
      <c r="AC13" s="839">
        <v>0</v>
      </c>
      <c r="AD13" s="851">
        <v>0</v>
      </c>
      <c r="AE13" s="839">
        <v>289.4167974824482</v>
      </c>
      <c r="AF13" s="851">
        <v>883</v>
      </c>
      <c r="AG13" s="856"/>
      <c r="AH13" s="839">
        <v>424.54339453418447</v>
      </c>
      <c r="AI13" s="851">
        <v>0</v>
      </c>
      <c r="AJ13" s="856"/>
      <c r="AK13" s="839">
        <v>334.69292906585082</v>
      </c>
      <c r="AL13" s="851">
        <v>0</v>
      </c>
      <c r="AM13" s="856"/>
      <c r="AN13" s="839">
        <v>0</v>
      </c>
      <c r="AO13" s="851">
        <v>0</v>
      </c>
      <c r="AP13" s="856"/>
      <c r="AQ13" s="839">
        <v>119.94714023874553</v>
      </c>
      <c r="AR13" s="851">
        <v>0</v>
      </c>
      <c r="AS13" s="856"/>
      <c r="AT13" s="839">
        <v>159.06063071437234</v>
      </c>
      <c r="AU13" s="851">
        <v>0</v>
      </c>
      <c r="AV13" s="856"/>
      <c r="AW13" s="839">
        <v>0</v>
      </c>
      <c r="AX13" s="851">
        <v>0</v>
      </c>
      <c r="AY13" s="856"/>
      <c r="AZ13" s="845">
        <v>1327.6608920356014</v>
      </c>
      <c r="BA13" s="845">
        <v>883</v>
      </c>
      <c r="BB13" s="846">
        <v>-444.66089203560136</v>
      </c>
      <c r="BD13" s="2">
        <v>2</v>
      </c>
      <c r="BF13" s="787">
        <v>107.89706432546133</v>
      </c>
      <c r="BG13" s="325">
        <v>150000754</v>
      </c>
      <c r="BI13" s="847">
        <v>30.08</v>
      </c>
      <c r="BJ13" s="847">
        <v>2.9518540017776718</v>
      </c>
      <c r="BK13" s="847">
        <v>33.031854001777667</v>
      </c>
      <c r="BL13" s="848"/>
      <c r="BM13" s="3"/>
      <c r="BN13" s="3"/>
      <c r="BP13" s="3"/>
      <c r="BQ13" s="3"/>
      <c r="BS13" s="42" t="s">
        <v>241</v>
      </c>
    </row>
    <row r="14" spans="1:71" ht="24.9" customHeight="1" x14ac:dyDescent="0.3">
      <c r="A14" s="325">
        <v>150000702</v>
      </c>
      <c r="B14" s="849" t="s">
        <v>339</v>
      </c>
      <c r="C14" s="850">
        <v>9</v>
      </c>
      <c r="D14" s="101" t="s">
        <v>455</v>
      </c>
      <c r="E14" s="279">
        <v>6095.61</v>
      </c>
      <c r="F14" s="838">
        <v>23649.783105325576</v>
      </c>
      <c r="G14" s="838">
        <v>1109</v>
      </c>
      <c r="H14" s="838">
        <v>-22540.783105325576</v>
      </c>
      <c r="I14" s="839">
        <v>0</v>
      </c>
      <c r="J14" s="851">
        <v>684</v>
      </c>
      <c r="K14" s="852"/>
      <c r="L14" s="839">
        <v>0</v>
      </c>
      <c r="M14" s="851">
        <v>0</v>
      </c>
      <c r="N14" s="858"/>
      <c r="O14" s="839">
        <v>0</v>
      </c>
      <c r="P14" s="851">
        <v>0</v>
      </c>
      <c r="Q14" s="854"/>
      <c r="R14" s="839">
        <v>0</v>
      </c>
      <c r="S14" s="851">
        <v>0</v>
      </c>
      <c r="T14" s="855"/>
      <c r="U14" s="839">
        <v>0</v>
      </c>
      <c r="V14" s="851">
        <v>0</v>
      </c>
      <c r="W14" s="839">
        <v>0</v>
      </c>
      <c r="X14" s="851">
        <v>0</v>
      </c>
      <c r="Y14" s="839">
        <v>0</v>
      </c>
      <c r="Z14" s="851">
        <v>0</v>
      </c>
      <c r="AA14" s="839">
        <v>0</v>
      </c>
      <c r="AB14" s="851">
        <v>0</v>
      </c>
      <c r="AC14" s="839">
        <v>0</v>
      </c>
      <c r="AD14" s="851">
        <v>425</v>
      </c>
      <c r="AE14" s="839">
        <v>195.1868202376665</v>
      </c>
      <c r="AF14" s="851">
        <v>0</v>
      </c>
      <c r="AG14" s="856"/>
      <c r="AH14" s="839">
        <v>274.23891701150251</v>
      </c>
      <c r="AI14" s="851">
        <v>0</v>
      </c>
      <c r="AJ14" s="856"/>
      <c r="AK14" s="839">
        <v>331.11315353246988</v>
      </c>
      <c r="AL14" s="851">
        <v>0</v>
      </c>
      <c r="AM14" s="856"/>
      <c r="AN14" s="839">
        <v>107.70574273720977</v>
      </c>
      <c r="AO14" s="851">
        <v>0</v>
      </c>
      <c r="AP14" s="856"/>
      <c r="AQ14" s="839">
        <v>59.365087276649547</v>
      </c>
      <c r="AR14" s="851">
        <v>0</v>
      </c>
      <c r="AS14" s="856"/>
      <c r="AT14" s="839">
        <v>139.77564606445563</v>
      </c>
      <c r="AU14" s="851">
        <v>0</v>
      </c>
      <c r="AV14" s="856"/>
      <c r="AW14" s="839">
        <v>0</v>
      </c>
      <c r="AX14" s="851">
        <v>0</v>
      </c>
      <c r="AY14" s="856"/>
      <c r="AZ14" s="845">
        <v>1107.3853668599538</v>
      </c>
      <c r="BA14" s="845">
        <v>0</v>
      </c>
      <c r="BB14" s="846">
        <v>-1107.3853668599538</v>
      </c>
      <c r="BD14" s="2">
        <v>3</v>
      </c>
      <c r="BF14" s="787">
        <v>54.554686542065255</v>
      </c>
      <c r="BG14" s="325">
        <v>150000702</v>
      </c>
      <c r="BI14" s="847">
        <v>0</v>
      </c>
      <c r="BJ14" s="847">
        <v>0</v>
      </c>
      <c r="BK14" s="847">
        <v>0</v>
      </c>
      <c r="BL14" s="848"/>
      <c r="BM14" s="3"/>
      <c r="BN14" s="3"/>
      <c r="BP14" s="3"/>
      <c r="BQ14" s="3"/>
      <c r="BS14" s="42" t="s">
        <v>339</v>
      </c>
    </row>
    <row r="15" spans="1:71" ht="24.9" customHeight="1" x14ac:dyDescent="0.3">
      <c r="A15" s="325">
        <v>150000703</v>
      </c>
      <c r="B15" s="849" t="s">
        <v>340</v>
      </c>
      <c r="C15" s="850">
        <v>9</v>
      </c>
      <c r="D15" s="101" t="s">
        <v>455</v>
      </c>
      <c r="E15" s="279">
        <v>6316</v>
      </c>
      <c r="F15" s="838">
        <v>23655.905738538444</v>
      </c>
      <c r="G15" s="838">
        <v>4175.1305520057886</v>
      </c>
      <c r="H15" s="838">
        <v>-19480.775186532657</v>
      </c>
      <c r="I15" s="839">
        <v>0</v>
      </c>
      <c r="J15" s="851">
        <v>0</v>
      </c>
      <c r="K15" s="859"/>
      <c r="L15" s="839">
        <v>0</v>
      </c>
      <c r="M15" s="851">
        <v>0</v>
      </c>
      <c r="N15" s="853"/>
      <c r="O15" s="839">
        <v>0</v>
      </c>
      <c r="P15" s="851">
        <v>0</v>
      </c>
      <c r="Q15" s="854"/>
      <c r="R15" s="839">
        <v>0</v>
      </c>
      <c r="S15" s="851">
        <v>0</v>
      </c>
      <c r="T15" s="860"/>
      <c r="U15" s="839">
        <v>0</v>
      </c>
      <c r="V15" s="851">
        <v>0</v>
      </c>
      <c r="W15" s="839">
        <v>0</v>
      </c>
      <c r="X15" s="851">
        <v>82.130552005787976</v>
      </c>
      <c r="Y15" s="839">
        <v>418</v>
      </c>
      <c r="Z15" s="851">
        <v>0</v>
      </c>
      <c r="AA15" s="839">
        <v>0</v>
      </c>
      <c r="AB15" s="851">
        <v>0</v>
      </c>
      <c r="AC15" s="839">
        <v>3439</v>
      </c>
      <c r="AD15" s="851">
        <v>236</v>
      </c>
      <c r="AE15" s="839">
        <v>191.60637661083345</v>
      </c>
      <c r="AF15" s="851">
        <v>0</v>
      </c>
      <c r="AG15" s="857"/>
      <c r="AH15" s="839">
        <v>270.99918794267313</v>
      </c>
      <c r="AI15" s="851">
        <v>0</v>
      </c>
      <c r="AJ15" s="857"/>
      <c r="AK15" s="839">
        <v>347.5643962397636</v>
      </c>
      <c r="AL15" s="851">
        <v>0</v>
      </c>
      <c r="AM15" s="856"/>
      <c r="AN15" s="839">
        <v>108.73858583039781</v>
      </c>
      <c r="AO15" s="851">
        <v>0</v>
      </c>
      <c r="AP15" s="861"/>
      <c r="AQ15" s="839">
        <v>59.365087276649547</v>
      </c>
      <c r="AR15" s="851">
        <v>0</v>
      </c>
      <c r="AS15" s="857"/>
      <c r="AT15" s="839">
        <v>136.28317344284591</v>
      </c>
      <c r="AU15" s="851">
        <v>0</v>
      </c>
      <c r="AV15" s="856"/>
      <c r="AW15" s="839">
        <v>0</v>
      </c>
      <c r="AX15" s="851">
        <v>0</v>
      </c>
      <c r="AY15" s="856"/>
      <c r="AZ15" s="845">
        <v>1114.5568073431634</v>
      </c>
      <c r="BA15" s="845">
        <v>0</v>
      </c>
      <c r="BB15" s="846">
        <v>-1114.5568073431634</v>
      </c>
      <c r="BD15" s="2">
        <v>3</v>
      </c>
      <c r="BF15" s="787">
        <v>55.256201145883352</v>
      </c>
      <c r="BG15" s="325">
        <v>150000703</v>
      </c>
      <c r="BI15" s="847">
        <v>37.36</v>
      </c>
      <c r="BJ15" s="847">
        <v>3.6662654756121618</v>
      </c>
      <c r="BK15" s="847">
        <v>41.026265475612163</v>
      </c>
      <c r="BL15" s="848"/>
      <c r="BM15" s="3"/>
      <c r="BN15" s="3"/>
      <c r="BP15" s="3"/>
      <c r="BQ15" s="3"/>
      <c r="BS15" s="42" t="s">
        <v>340</v>
      </c>
    </row>
    <row r="16" spans="1:71" ht="24.9" customHeight="1" x14ac:dyDescent="0.3">
      <c r="A16" s="325">
        <v>150000781</v>
      </c>
      <c r="B16" s="862" t="s">
        <v>34</v>
      </c>
      <c r="C16" s="863">
        <v>1</v>
      </c>
      <c r="D16" s="101" t="s">
        <v>455</v>
      </c>
      <c r="E16" s="279">
        <v>263.3</v>
      </c>
      <c r="F16" s="838">
        <v>626.69242284976622</v>
      </c>
      <c r="G16" s="838">
        <v>0</v>
      </c>
      <c r="H16" s="838">
        <v>-626.69242284976622</v>
      </c>
      <c r="I16" s="839">
        <v>0</v>
      </c>
      <c r="J16" s="851">
        <v>0</v>
      </c>
      <c r="K16" s="852"/>
      <c r="L16" s="839">
        <v>0</v>
      </c>
      <c r="M16" s="851">
        <v>0</v>
      </c>
      <c r="N16" s="853"/>
      <c r="O16" s="839">
        <v>0</v>
      </c>
      <c r="P16" s="851">
        <v>0</v>
      </c>
      <c r="Q16" s="854"/>
      <c r="R16" s="839">
        <v>0</v>
      </c>
      <c r="S16" s="851">
        <v>0</v>
      </c>
      <c r="T16" s="855"/>
      <c r="U16" s="839">
        <v>0</v>
      </c>
      <c r="V16" s="851">
        <v>0</v>
      </c>
      <c r="W16" s="839">
        <v>0</v>
      </c>
      <c r="X16" s="851">
        <v>0</v>
      </c>
      <c r="Y16" s="839">
        <v>0</v>
      </c>
      <c r="Z16" s="851">
        <v>0</v>
      </c>
      <c r="AA16" s="839">
        <v>0</v>
      </c>
      <c r="AB16" s="851">
        <v>0</v>
      </c>
      <c r="AC16" s="839">
        <v>0</v>
      </c>
      <c r="AD16" s="851">
        <v>0</v>
      </c>
      <c r="AE16" s="839">
        <v>0</v>
      </c>
      <c r="AF16" s="851">
        <v>0</v>
      </c>
      <c r="AG16" s="856"/>
      <c r="AH16" s="839">
        <v>0</v>
      </c>
      <c r="AI16" s="851">
        <v>0</v>
      </c>
      <c r="AJ16" s="856"/>
      <c r="AK16" s="839">
        <v>0</v>
      </c>
      <c r="AL16" s="851">
        <v>0</v>
      </c>
      <c r="AM16" s="856"/>
      <c r="AN16" s="839">
        <v>0</v>
      </c>
      <c r="AO16" s="851">
        <v>0</v>
      </c>
      <c r="AP16" s="856"/>
      <c r="AQ16" s="839">
        <v>0</v>
      </c>
      <c r="AR16" s="851">
        <v>0</v>
      </c>
      <c r="AS16" s="856"/>
      <c r="AT16" s="839">
        <v>0</v>
      </c>
      <c r="AU16" s="851">
        <v>0</v>
      </c>
      <c r="AV16" s="856"/>
      <c r="AW16" s="839">
        <v>0</v>
      </c>
      <c r="AX16" s="851">
        <v>0</v>
      </c>
      <c r="AY16" s="856"/>
      <c r="AZ16" s="845">
        <v>0</v>
      </c>
      <c r="BA16" s="845">
        <v>0</v>
      </c>
      <c r="BB16" s="846">
        <v>0</v>
      </c>
      <c r="BD16" s="2">
        <v>3</v>
      </c>
      <c r="BF16" s="787">
        <v>0</v>
      </c>
      <c r="BG16" s="325">
        <v>150000781</v>
      </c>
      <c r="BI16" s="864">
        <v>0</v>
      </c>
      <c r="BJ16" s="847">
        <v>0</v>
      </c>
      <c r="BK16" s="847">
        <v>0</v>
      </c>
      <c r="BL16" s="848"/>
      <c r="BM16" s="3"/>
      <c r="BN16" s="3"/>
      <c r="BP16" s="3"/>
      <c r="BQ16" s="3"/>
      <c r="BS16" s="42" t="s">
        <v>34</v>
      </c>
    </row>
    <row r="17" spans="1:71" ht="24.9" customHeight="1" x14ac:dyDescent="0.3">
      <c r="A17" s="325">
        <v>150000497</v>
      </c>
      <c r="B17" s="849" t="s">
        <v>341</v>
      </c>
      <c r="C17" s="850">
        <v>9</v>
      </c>
      <c r="D17" s="101" t="s">
        <v>455</v>
      </c>
      <c r="E17" s="279">
        <v>4163.4000000000005</v>
      </c>
      <c r="F17" s="838">
        <v>10225.707110585236</v>
      </c>
      <c r="G17" s="838">
        <v>0</v>
      </c>
      <c r="H17" s="838">
        <v>-10225.707110585236</v>
      </c>
      <c r="I17" s="839">
        <v>0</v>
      </c>
      <c r="J17" s="851">
        <v>0</v>
      </c>
      <c r="K17" s="865"/>
      <c r="L17" s="839">
        <v>0</v>
      </c>
      <c r="M17" s="851">
        <v>0</v>
      </c>
      <c r="N17" s="853"/>
      <c r="O17" s="839">
        <v>0</v>
      </c>
      <c r="P17" s="851">
        <v>0</v>
      </c>
      <c r="Q17" s="854"/>
      <c r="R17" s="839">
        <v>0</v>
      </c>
      <c r="S17" s="851">
        <v>0</v>
      </c>
      <c r="T17" s="855"/>
      <c r="U17" s="839">
        <v>0</v>
      </c>
      <c r="V17" s="851">
        <v>0</v>
      </c>
      <c r="W17" s="839">
        <v>0</v>
      </c>
      <c r="X17" s="851">
        <v>0</v>
      </c>
      <c r="Y17" s="839">
        <v>0</v>
      </c>
      <c r="Z17" s="851">
        <v>0</v>
      </c>
      <c r="AA17" s="839">
        <v>0</v>
      </c>
      <c r="AB17" s="851">
        <v>0</v>
      </c>
      <c r="AC17" s="839">
        <v>0</v>
      </c>
      <c r="AD17" s="851">
        <v>0</v>
      </c>
      <c r="AE17" s="839">
        <v>189.77948309198482</v>
      </c>
      <c r="AF17" s="851">
        <v>363</v>
      </c>
      <c r="AG17" s="856"/>
      <c r="AH17" s="839">
        <v>228.47399419187306</v>
      </c>
      <c r="AI17" s="851">
        <v>0</v>
      </c>
      <c r="AJ17" s="856"/>
      <c r="AK17" s="839">
        <v>224.81280975438688</v>
      </c>
      <c r="AL17" s="851">
        <v>0</v>
      </c>
      <c r="AM17" s="856"/>
      <c r="AN17" s="839">
        <v>105.43188534218436</v>
      </c>
      <c r="AO17" s="851">
        <v>0</v>
      </c>
      <c r="AP17" s="856"/>
      <c r="AQ17" s="839">
        <v>65.961235315382794</v>
      </c>
      <c r="AR17" s="851">
        <v>0</v>
      </c>
      <c r="AS17" s="856"/>
      <c r="AT17" s="839">
        <v>117.84882201386395</v>
      </c>
      <c r="AU17" s="851">
        <v>0</v>
      </c>
      <c r="AV17" s="856"/>
      <c r="AW17" s="839">
        <v>53.862315927238761</v>
      </c>
      <c r="AX17" s="851">
        <v>0</v>
      </c>
      <c r="AY17" s="856"/>
      <c r="AZ17" s="845">
        <v>986.17054563691465</v>
      </c>
      <c r="BA17" s="845">
        <v>363</v>
      </c>
      <c r="BB17" s="846">
        <v>-623.17054563691465</v>
      </c>
      <c r="BD17" s="2">
        <v>1</v>
      </c>
      <c r="BF17" s="787">
        <v>49.14490105777935</v>
      </c>
      <c r="BG17" s="325">
        <v>150000497</v>
      </c>
      <c r="BI17" s="847">
        <v>0</v>
      </c>
      <c r="BJ17" s="847">
        <v>0</v>
      </c>
      <c r="BK17" s="847">
        <v>0</v>
      </c>
      <c r="BL17" s="848"/>
      <c r="BM17" s="3"/>
      <c r="BN17" s="3"/>
      <c r="BP17" s="3"/>
      <c r="BQ17" s="3"/>
      <c r="BS17" s="42" t="s">
        <v>341</v>
      </c>
    </row>
    <row r="18" spans="1:71" ht="24.9" customHeight="1" x14ac:dyDescent="0.3">
      <c r="A18" s="325">
        <v>150000495</v>
      </c>
      <c r="B18" s="849" t="s">
        <v>148</v>
      </c>
      <c r="C18" s="850">
        <v>2</v>
      </c>
      <c r="D18" s="101" t="s">
        <v>455</v>
      </c>
      <c r="E18" s="279">
        <v>409.93</v>
      </c>
      <c r="F18" s="838">
        <v>879.2372180236606</v>
      </c>
      <c r="G18" s="838">
        <v>1232.4222169648956</v>
      </c>
      <c r="H18" s="838">
        <v>353.18499894123499</v>
      </c>
      <c r="I18" s="839">
        <v>0</v>
      </c>
      <c r="J18" s="851">
        <v>1214</v>
      </c>
      <c r="K18" s="866"/>
      <c r="L18" s="839">
        <v>0</v>
      </c>
      <c r="M18" s="851">
        <v>0</v>
      </c>
      <c r="N18" s="853"/>
      <c r="O18" s="839">
        <v>0</v>
      </c>
      <c r="P18" s="851">
        <v>0</v>
      </c>
      <c r="Q18" s="854"/>
      <c r="R18" s="839">
        <v>0</v>
      </c>
      <c r="S18" s="851">
        <v>0</v>
      </c>
      <c r="T18" s="855"/>
      <c r="U18" s="839">
        <v>0</v>
      </c>
      <c r="V18" s="851">
        <v>0</v>
      </c>
      <c r="W18" s="839">
        <v>0</v>
      </c>
      <c r="X18" s="851">
        <v>18.422216964895696</v>
      </c>
      <c r="Y18" s="839">
        <v>0</v>
      </c>
      <c r="Z18" s="851">
        <v>0</v>
      </c>
      <c r="AA18" s="839">
        <v>0</v>
      </c>
      <c r="AB18" s="851">
        <v>0</v>
      </c>
      <c r="AC18" s="839">
        <v>0</v>
      </c>
      <c r="AD18" s="851">
        <v>0</v>
      </c>
      <c r="AE18" s="839">
        <v>67.696308299723157</v>
      </c>
      <c r="AF18" s="851">
        <v>0</v>
      </c>
      <c r="AG18" s="856"/>
      <c r="AH18" s="839">
        <v>91.335669119949301</v>
      </c>
      <c r="AI18" s="851">
        <v>0</v>
      </c>
      <c r="AJ18" s="856"/>
      <c r="AK18" s="839">
        <v>31.502063628871475</v>
      </c>
      <c r="AL18" s="851">
        <v>0</v>
      </c>
      <c r="AM18" s="856"/>
      <c r="AN18" s="839">
        <v>0</v>
      </c>
      <c r="AO18" s="851">
        <v>0</v>
      </c>
      <c r="AP18" s="856"/>
      <c r="AQ18" s="839">
        <v>0</v>
      </c>
      <c r="AR18" s="851">
        <v>0</v>
      </c>
      <c r="AS18" s="856"/>
      <c r="AT18" s="839">
        <v>19.771277081972755</v>
      </c>
      <c r="AU18" s="851">
        <v>0</v>
      </c>
      <c r="AV18" s="856"/>
      <c r="AW18" s="839">
        <v>27.907064838681809</v>
      </c>
      <c r="AX18" s="851">
        <v>0</v>
      </c>
      <c r="AY18" s="856"/>
      <c r="AZ18" s="845">
        <v>238.21238296919847</v>
      </c>
      <c r="BA18" s="845">
        <v>0</v>
      </c>
      <c r="BB18" s="846">
        <v>-238.21238296919847</v>
      </c>
      <c r="BD18" s="2">
        <v>1</v>
      </c>
      <c r="BF18" s="787">
        <v>93.644285057162648</v>
      </c>
      <c r="BG18" s="325">
        <v>150000495</v>
      </c>
      <c r="BI18" s="847">
        <v>8.3800000000000008</v>
      </c>
      <c r="BJ18" s="847">
        <v>0.82235826246332766</v>
      </c>
      <c r="BK18" s="847">
        <v>9.2023582624633278</v>
      </c>
      <c r="BL18" s="848"/>
      <c r="BM18" s="3"/>
      <c r="BN18" s="3"/>
      <c r="BP18" s="3"/>
      <c r="BQ18" s="3"/>
      <c r="BS18" s="42" t="s">
        <v>148</v>
      </c>
    </row>
    <row r="19" spans="1:71" ht="24.9" customHeight="1" x14ac:dyDescent="0.3">
      <c r="A19" s="325">
        <v>150000496</v>
      </c>
      <c r="B19" s="849" t="s">
        <v>149</v>
      </c>
      <c r="C19" s="850">
        <v>2</v>
      </c>
      <c r="D19" s="101" t="s">
        <v>455</v>
      </c>
      <c r="E19" s="279">
        <v>403.93</v>
      </c>
      <c r="F19" s="838">
        <v>848.99000114935666</v>
      </c>
      <c r="G19" s="838">
        <v>1232.4222169648956</v>
      </c>
      <c r="H19" s="838">
        <v>383.43221581553894</v>
      </c>
      <c r="I19" s="839">
        <v>0</v>
      </c>
      <c r="J19" s="851">
        <v>1214</v>
      </c>
      <c r="K19" s="852"/>
      <c r="L19" s="839">
        <v>0</v>
      </c>
      <c r="M19" s="851">
        <v>0</v>
      </c>
      <c r="N19" s="853"/>
      <c r="O19" s="839">
        <v>0</v>
      </c>
      <c r="P19" s="851">
        <v>0</v>
      </c>
      <c r="Q19" s="854"/>
      <c r="R19" s="839">
        <v>0</v>
      </c>
      <c r="S19" s="851">
        <v>0</v>
      </c>
      <c r="T19" s="855"/>
      <c r="U19" s="839">
        <v>0</v>
      </c>
      <c r="V19" s="851">
        <v>0</v>
      </c>
      <c r="W19" s="839">
        <v>0</v>
      </c>
      <c r="X19" s="851">
        <v>18.422216964895696</v>
      </c>
      <c r="Y19" s="839">
        <v>0</v>
      </c>
      <c r="Z19" s="851">
        <v>0</v>
      </c>
      <c r="AA19" s="839">
        <v>0</v>
      </c>
      <c r="AB19" s="851">
        <v>0</v>
      </c>
      <c r="AC19" s="839">
        <v>0</v>
      </c>
      <c r="AD19" s="851">
        <v>0</v>
      </c>
      <c r="AE19" s="839">
        <v>67.696308299723157</v>
      </c>
      <c r="AF19" s="851">
        <v>0</v>
      </c>
      <c r="AG19" s="856"/>
      <c r="AH19" s="839">
        <v>91.335669119949301</v>
      </c>
      <c r="AI19" s="851">
        <v>0</v>
      </c>
      <c r="AJ19" s="856"/>
      <c r="AK19" s="839">
        <v>30.616109573468009</v>
      </c>
      <c r="AL19" s="851">
        <v>0</v>
      </c>
      <c r="AM19" s="856"/>
      <c r="AN19" s="839">
        <v>0</v>
      </c>
      <c r="AO19" s="851">
        <v>0</v>
      </c>
      <c r="AP19" s="856"/>
      <c r="AQ19" s="839">
        <v>0</v>
      </c>
      <c r="AR19" s="851">
        <v>0</v>
      </c>
      <c r="AS19" s="856"/>
      <c r="AT19" s="839">
        <v>19.771277081972755</v>
      </c>
      <c r="AU19" s="851">
        <v>0</v>
      </c>
      <c r="AV19" s="856"/>
      <c r="AW19" s="839">
        <v>27.240307228761459</v>
      </c>
      <c r="AX19" s="851">
        <v>0</v>
      </c>
      <c r="AY19" s="856"/>
      <c r="AZ19" s="845">
        <v>236.65967130387466</v>
      </c>
      <c r="BA19" s="845">
        <v>0</v>
      </c>
      <c r="BB19" s="846">
        <v>-236.65967130387466</v>
      </c>
      <c r="BD19" s="2">
        <v>1</v>
      </c>
      <c r="BF19" s="787">
        <v>123.84401333870073</v>
      </c>
      <c r="BG19" s="325">
        <v>150000496</v>
      </c>
      <c r="BI19" s="847">
        <v>8.3800000000000008</v>
      </c>
      <c r="BJ19" s="847">
        <v>0.82235826246332766</v>
      </c>
      <c r="BK19" s="847">
        <v>9.2023582624633278</v>
      </c>
      <c r="BL19" s="848"/>
      <c r="BM19" s="3"/>
      <c r="BN19" s="3"/>
      <c r="BP19" s="3"/>
      <c r="BQ19" s="3"/>
      <c r="BS19" s="42" t="s">
        <v>149</v>
      </c>
    </row>
    <row r="20" spans="1:71" ht="24.9" customHeight="1" x14ac:dyDescent="0.3">
      <c r="A20" s="325">
        <v>150000498</v>
      </c>
      <c r="B20" s="849" t="s">
        <v>242</v>
      </c>
      <c r="C20" s="850">
        <v>5</v>
      </c>
      <c r="D20" s="101" t="s">
        <v>455</v>
      </c>
      <c r="E20" s="279">
        <v>4890.7</v>
      </c>
      <c r="F20" s="838">
        <v>7400.7728820642214</v>
      </c>
      <c r="G20" s="838">
        <v>2711.9852228004652</v>
      </c>
      <c r="H20" s="838">
        <v>-4688.7876592637567</v>
      </c>
      <c r="I20" s="839">
        <v>0</v>
      </c>
      <c r="J20" s="851">
        <v>1670</v>
      </c>
      <c r="K20" s="866"/>
      <c r="L20" s="839">
        <v>0</v>
      </c>
      <c r="M20" s="851">
        <v>926</v>
      </c>
      <c r="N20" s="853"/>
      <c r="O20" s="839">
        <v>0</v>
      </c>
      <c r="P20" s="851">
        <v>0</v>
      </c>
      <c r="Q20" s="854"/>
      <c r="R20" s="839">
        <v>0</v>
      </c>
      <c r="S20" s="851">
        <v>0</v>
      </c>
      <c r="T20" s="855"/>
      <c r="U20" s="839">
        <v>0</v>
      </c>
      <c r="V20" s="851">
        <v>0</v>
      </c>
      <c r="W20" s="839">
        <v>0</v>
      </c>
      <c r="X20" s="851">
        <v>115.98522280046502</v>
      </c>
      <c r="Y20" s="839">
        <v>0</v>
      </c>
      <c r="Z20" s="851">
        <v>0</v>
      </c>
      <c r="AA20" s="839">
        <v>0</v>
      </c>
      <c r="AB20" s="851">
        <v>0</v>
      </c>
      <c r="AC20" s="839">
        <v>0</v>
      </c>
      <c r="AD20" s="851">
        <v>0</v>
      </c>
      <c r="AE20" s="839">
        <v>472.55756514456755</v>
      </c>
      <c r="AF20" s="851">
        <v>0</v>
      </c>
      <c r="AG20" s="867"/>
      <c r="AH20" s="839">
        <v>733.55039105992546</v>
      </c>
      <c r="AI20" s="851">
        <v>0</v>
      </c>
      <c r="AJ20" s="856"/>
      <c r="AK20" s="839">
        <v>441.34166583337264</v>
      </c>
      <c r="AL20" s="851">
        <v>0</v>
      </c>
      <c r="AM20" s="856"/>
      <c r="AN20" s="839">
        <v>0</v>
      </c>
      <c r="AO20" s="851">
        <v>0</v>
      </c>
      <c r="AP20" s="856"/>
      <c r="AQ20" s="839">
        <v>0</v>
      </c>
      <c r="AR20" s="851">
        <v>0</v>
      </c>
      <c r="AS20" s="856"/>
      <c r="AT20" s="839">
        <v>331.20826457246949</v>
      </c>
      <c r="AU20" s="851">
        <v>0</v>
      </c>
      <c r="AV20" s="856"/>
      <c r="AW20" s="839">
        <v>160.2534325618756</v>
      </c>
      <c r="AX20" s="851">
        <v>0</v>
      </c>
      <c r="AY20" s="856"/>
      <c r="AZ20" s="845">
        <v>2138.9113191722108</v>
      </c>
      <c r="BA20" s="845">
        <v>0</v>
      </c>
      <c r="BB20" s="846">
        <v>-2138.9113191722108</v>
      </c>
      <c r="BD20" s="2">
        <v>1</v>
      </c>
      <c r="BF20" s="787">
        <v>145.03824704327408</v>
      </c>
      <c r="BG20" s="325">
        <v>150000498</v>
      </c>
      <c r="BI20" s="847">
        <v>52.76</v>
      </c>
      <c r="BJ20" s="847">
        <v>5.17752051641589</v>
      </c>
      <c r="BK20" s="847">
        <v>57.937520516415887</v>
      </c>
      <c r="BL20" s="848"/>
      <c r="BM20" s="3"/>
      <c r="BN20" s="3"/>
      <c r="BP20" s="3"/>
      <c r="BQ20" s="3"/>
      <c r="BS20" s="42" t="s">
        <v>242</v>
      </c>
    </row>
    <row r="21" spans="1:71" ht="24.9" customHeight="1" x14ac:dyDescent="0.3">
      <c r="A21" s="325">
        <v>150000969</v>
      </c>
      <c r="B21" s="849" t="s">
        <v>193</v>
      </c>
      <c r="C21" s="850">
        <v>3</v>
      </c>
      <c r="D21" s="101" t="s">
        <v>455</v>
      </c>
      <c r="E21" s="279">
        <v>753.3</v>
      </c>
      <c r="F21" s="838">
        <v>1617.6290010005876</v>
      </c>
      <c r="G21" s="838">
        <v>1728</v>
      </c>
      <c r="H21" s="838">
        <v>110.37099899941245</v>
      </c>
      <c r="I21" s="839">
        <v>0</v>
      </c>
      <c r="J21" s="851">
        <v>0</v>
      </c>
      <c r="K21" s="852"/>
      <c r="L21" s="839">
        <v>0</v>
      </c>
      <c r="M21" s="851">
        <v>0</v>
      </c>
      <c r="N21" s="853"/>
      <c r="O21" s="839">
        <v>0</v>
      </c>
      <c r="P21" s="851">
        <v>0</v>
      </c>
      <c r="Q21" s="854"/>
      <c r="R21" s="839">
        <v>0</v>
      </c>
      <c r="S21" s="851">
        <v>0</v>
      </c>
      <c r="T21" s="855"/>
      <c r="U21" s="839">
        <v>0</v>
      </c>
      <c r="V21" s="851">
        <v>0</v>
      </c>
      <c r="W21" s="839">
        <v>0</v>
      </c>
      <c r="X21" s="851">
        <v>0</v>
      </c>
      <c r="Y21" s="839">
        <v>0</v>
      </c>
      <c r="Z21" s="851">
        <v>0</v>
      </c>
      <c r="AA21" s="839">
        <v>0</v>
      </c>
      <c r="AB21" s="851">
        <v>0</v>
      </c>
      <c r="AC21" s="839">
        <v>0</v>
      </c>
      <c r="AD21" s="851">
        <v>1728</v>
      </c>
      <c r="AE21" s="839">
        <v>103.78450226731735</v>
      </c>
      <c r="AF21" s="851">
        <v>0</v>
      </c>
      <c r="AG21" s="856"/>
      <c r="AH21" s="839">
        <v>163.00578644091831</v>
      </c>
      <c r="AI21" s="851">
        <v>0</v>
      </c>
      <c r="AJ21" s="856"/>
      <c r="AK21" s="839">
        <v>71.428492411828188</v>
      </c>
      <c r="AL21" s="851">
        <v>0</v>
      </c>
      <c r="AM21" s="856"/>
      <c r="AN21" s="839">
        <v>0</v>
      </c>
      <c r="AO21" s="851">
        <v>0</v>
      </c>
      <c r="AP21" s="856"/>
      <c r="AQ21" s="839">
        <v>0</v>
      </c>
      <c r="AR21" s="851">
        <v>0</v>
      </c>
      <c r="AS21" s="856"/>
      <c r="AT21" s="839">
        <v>39.526483889459712</v>
      </c>
      <c r="AU21" s="851">
        <v>711</v>
      </c>
      <c r="AV21" s="856"/>
      <c r="AW21" s="839">
        <v>0</v>
      </c>
      <c r="AX21" s="851">
        <v>0</v>
      </c>
      <c r="AY21" s="856"/>
      <c r="AZ21" s="845">
        <v>377.74526500952356</v>
      </c>
      <c r="BA21" s="845">
        <v>711</v>
      </c>
      <c r="BB21" s="846">
        <v>333.25473499047644</v>
      </c>
      <c r="BD21" s="2">
        <v>2</v>
      </c>
      <c r="BF21" s="787">
        <v>2.6336959009772647</v>
      </c>
      <c r="BG21" s="325">
        <v>150000969</v>
      </c>
      <c r="BI21" s="847">
        <v>0</v>
      </c>
      <c r="BJ21" s="847">
        <v>0</v>
      </c>
      <c r="BK21" s="847">
        <v>0</v>
      </c>
      <c r="BL21" s="848"/>
      <c r="BM21" s="3"/>
      <c r="BN21" s="3"/>
      <c r="BP21" s="3"/>
      <c r="BQ21" s="3"/>
      <c r="BS21" s="42" t="s">
        <v>193</v>
      </c>
    </row>
    <row r="22" spans="1:71" ht="24.9" customHeight="1" x14ac:dyDescent="0.3">
      <c r="A22" s="325">
        <v>150000989</v>
      </c>
      <c r="B22" s="862" t="s">
        <v>38</v>
      </c>
      <c r="C22" s="863">
        <v>1</v>
      </c>
      <c r="D22" s="101" t="s">
        <v>455</v>
      </c>
      <c r="E22" s="279">
        <v>256.91000000000003</v>
      </c>
      <c r="F22" s="838">
        <v>464.34536742130445</v>
      </c>
      <c r="G22" s="838">
        <v>0</v>
      </c>
      <c r="H22" s="838">
        <v>-464.34536742130445</v>
      </c>
      <c r="I22" s="839">
        <v>0</v>
      </c>
      <c r="J22" s="851">
        <v>0</v>
      </c>
      <c r="K22" s="852"/>
      <c r="L22" s="839">
        <v>0</v>
      </c>
      <c r="M22" s="851">
        <v>0</v>
      </c>
      <c r="N22" s="853"/>
      <c r="O22" s="839">
        <v>0</v>
      </c>
      <c r="P22" s="851">
        <v>0</v>
      </c>
      <c r="Q22" s="854"/>
      <c r="R22" s="839">
        <v>0</v>
      </c>
      <c r="S22" s="851">
        <v>0</v>
      </c>
      <c r="T22" s="855"/>
      <c r="U22" s="839">
        <v>0</v>
      </c>
      <c r="V22" s="851">
        <v>0</v>
      </c>
      <c r="W22" s="839">
        <v>0</v>
      </c>
      <c r="X22" s="851">
        <v>0</v>
      </c>
      <c r="Y22" s="839">
        <v>0</v>
      </c>
      <c r="Z22" s="851">
        <v>0</v>
      </c>
      <c r="AA22" s="839">
        <v>0</v>
      </c>
      <c r="AB22" s="851">
        <v>0</v>
      </c>
      <c r="AC22" s="839">
        <v>0</v>
      </c>
      <c r="AD22" s="851">
        <v>0</v>
      </c>
      <c r="AE22" s="839">
        <v>0</v>
      </c>
      <c r="AF22" s="851">
        <v>0</v>
      </c>
      <c r="AG22" s="856"/>
      <c r="AH22" s="839">
        <v>0</v>
      </c>
      <c r="AI22" s="851">
        <v>0</v>
      </c>
      <c r="AJ22" s="856"/>
      <c r="AK22" s="839">
        <v>0</v>
      </c>
      <c r="AL22" s="851">
        <v>0</v>
      </c>
      <c r="AM22" s="856"/>
      <c r="AN22" s="839">
        <v>0</v>
      </c>
      <c r="AO22" s="851">
        <v>0</v>
      </c>
      <c r="AP22" s="856"/>
      <c r="AQ22" s="839">
        <v>0</v>
      </c>
      <c r="AR22" s="851">
        <v>0</v>
      </c>
      <c r="AS22" s="856"/>
      <c r="AT22" s="839">
        <v>0</v>
      </c>
      <c r="AU22" s="851">
        <v>0</v>
      </c>
      <c r="AV22" s="856"/>
      <c r="AW22" s="839">
        <v>0</v>
      </c>
      <c r="AX22" s="851">
        <v>0</v>
      </c>
      <c r="AY22" s="856"/>
      <c r="AZ22" s="845">
        <v>0</v>
      </c>
      <c r="BA22" s="845">
        <v>0</v>
      </c>
      <c r="BB22" s="846">
        <v>0</v>
      </c>
      <c r="BD22" s="2">
        <v>3</v>
      </c>
      <c r="BF22" s="787">
        <v>0</v>
      </c>
      <c r="BG22" s="325">
        <v>150000989</v>
      </c>
      <c r="BI22" s="847">
        <v>0</v>
      </c>
      <c r="BJ22" s="847">
        <v>0</v>
      </c>
      <c r="BK22" s="847">
        <v>0</v>
      </c>
      <c r="BL22" s="848"/>
      <c r="BM22" s="3"/>
      <c r="BN22" s="3"/>
      <c r="BP22" s="3"/>
      <c r="BQ22" s="3"/>
      <c r="BS22" s="42" t="s">
        <v>38</v>
      </c>
    </row>
    <row r="23" spans="1:71" ht="24.9" customHeight="1" x14ac:dyDescent="0.3">
      <c r="A23" s="325">
        <v>150000970</v>
      </c>
      <c r="B23" s="849" t="s">
        <v>243</v>
      </c>
      <c r="C23" s="850">
        <v>5</v>
      </c>
      <c r="D23" s="101" t="s">
        <v>455</v>
      </c>
      <c r="E23" s="279">
        <v>2947.6</v>
      </c>
      <c r="F23" s="838">
        <v>5217.8459568311582</v>
      </c>
      <c r="G23" s="838">
        <v>391</v>
      </c>
      <c r="H23" s="838">
        <v>-4826.8459568311582</v>
      </c>
      <c r="I23" s="839">
        <v>0</v>
      </c>
      <c r="J23" s="851">
        <v>0</v>
      </c>
      <c r="K23" s="852"/>
      <c r="L23" s="839">
        <v>0</v>
      </c>
      <c r="M23" s="851">
        <v>0</v>
      </c>
      <c r="N23" s="853"/>
      <c r="O23" s="839">
        <v>0</v>
      </c>
      <c r="P23" s="851">
        <v>0</v>
      </c>
      <c r="Q23" s="854"/>
      <c r="R23" s="839">
        <v>0</v>
      </c>
      <c r="S23" s="851">
        <v>0</v>
      </c>
      <c r="T23" s="855"/>
      <c r="U23" s="839">
        <v>0</v>
      </c>
      <c r="V23" s="851">
        <v>0</v>
      </c>
      <c r="W23" s="839">
        <v>0</v>
      </c>
      <c r="X23" s="851">
        <v>0</v>
      </c>
      <c r="Y23" s="839">
        <v>0</v>
      </c>
      <c r="Z23" s="851">
        <v>0</v>
      </c>
      <c r="AA23" s="839">
        <v>0</v>
      </c>
      <c r="AB23" s="851">
        <v>0</v>
      </c>
      <c r="AC23" s="839">
        <v>0</v>
      </c>
      <c r="AD23" s="851">
        <v>391</v>
      </c>
      <c r="AE23" s="839">
        <v>235.07044024849569</v>
      </c>
      <c r="AF23" s="851">
        <v>0</v>
      </c>
      <c r="AG23" s="856"/>
      <c r="AH23" s="839">
        <v>364.66296549106636</v>
      </c>
      <c r="AI23" s="851">
        <v>0</v>
      </c>
      <c r="AJ23" s="856"/>
      <c r="AK23" s="839">
        <v>335.41627860193557</v>
      </c>
      <c r="AL23" s="851">
        <v>0</v>
      </c>
      <c r="AM23" s="856"/>
      <c r="AN23" s="839">
        <v>0</v>
      </c>
      <c r="AO23" s="851">
        <v>0</v>
      </c>
      <c r="AP23" s="856"/>
      <c r="AQ23" s="839">
        <v>0</v>
      </c>
      <c r="AR23" s="851">
        <v>0</v>
      </c>
      <c r="AS23" s="856"/>
      <c r="AT23" s="839">
        <v>113.60653295778928</v>
      </c>
      <c r="AU23" s="851">
        <v>3374</v>
      </c>
      <c r="AV23" s="856"/>
      <c r="AW23" s="839">
        <v>0</v>
      </c>
      <c r="AX23" s="851">
        <v>0</v>
      </c>
      <c r="AY23" s="856"/>
      <c r="AZ23" s="845">
        <v>1048.7562172992868</v>
      </c>
      <c r="BA23" s="845">
        <v>3374</v>
      </c>
      <c r="BB23" s="846">
        <v>2325.2437827007134</v>
      </c>
      <c r="BD23" s="2">
        <v>2</v>
      </c>
      <c r="BF23" s="787">
        <v>10.321496262992147</v>
      </c>
      <c r="BG23" s="325">
        <v>150000970</v>
      </c>
      <c r="BI23" s="847">
        <v>0</v>
      </c>
      <c r="BJ23" s="847">
        <v>0</v>
      </c>
      <c r="BK23" s="847">
        <v>0</v>
      </c>
      <c r="BL23" s="848"/>
      <c r="BM23" s="3"/>
      <c r="BN23" s="3"/>
      <c r="BP23" s="3"/>
      <c r="BQ23" s="3"/>
      <c r="BS23" s="42" t="s">
        <v>243</v>
      </c>
    </row>
    <row r="24" spans="1:71" ht="24.9" customHeight="1" x14ac:dyDescent="0.3">
      <c r="A24" s="325">
        <v>150000971</v>
      </c>
      <c r="B24" s="849" t="s">
        <v>194</v>
      </c>
      <c r="C24" s="850">
        <v>3</v>
      </c>
      <c r="D24" s="101" t="s">
        <v>455</v>
      </c>
      <c r="E24" s="279">
        <v>1469.5300000000002</v>
      </c>
      <c r="F24" s="838">
        <v>3708.0836556568615</v>
      </c>
      <c r="G24" s="838">
        <v>391</v>
      </c>
      <c r="H24" s="838">
        <v>-3317.0836556568615</v>
      </c>
      <c r="I24" s="839">
        <v>0</v>
      </c>
      <c r="J24" s="851">
        <v>0</v>
      </c>
      <c r="K24" s="852"/>
      <c r="L24" s="839">
        <v>0</v>
      </c>
      <c r="M24" s="851">
        <v>0</v>
      </c>
      <c r="N24" s="853"/>
      <c r="O24" s="839">
        <v>0</v>
      </c>
      <c r="P24" s="851">
        <v>0</v>
      </c>
      <c r="Q24" s="854"/>
      <c r="R24" s="839">
        <v>0</v>
      </c>
      <c r="S24" s="851">
        <v>0</v>
      </c>
      <c r="T24" s="855"/>
      <c r="U24" s="839">
        <v>0</v>
      </c>
      <c r="V24" s="851">
        <v>0</v>
      </c>
      <c r="W24" s="839">
        <v>0</v>
      </c>
      <c r="X24" s="851">
        <v>0</v>
      </c>
      <c r="Y24" s="839">
        <v>0</v>
      </c>
      <c r="Z24" s="851">
        <v>0</v>
      </c>
      <c r="AA24" s="839">
        <v>0</v>
      </c>
      <c r="AB24" s="851">
        <v>0</v>
      </c>
      <c r="AC24" s="839">
        <v>0</v>
      </c>
      <c r="AD24" s="851">
        <v>391</v>
      </c>
      <c r="AE24" s="839">
        <v>164.42305467854635</v>
      </c>
      <c r="AF24" s="851">
        <v>0</v>
      </c>
      <c r="AG24" s="856"/>
      <c r="AH24" s="839">
        <v>254.07927931943252</v>
      </c>
      <c r="AI24" s="851">
        <v>0</v>
      </c>
      <c r="AJ24" s="856"/>
      <c r="AK24" s="839">
        <v>149.22429345480151</v>
      </c>
      <c r="AL24" s="851">
        <v>0</v>
      </c>
      <c r="AM24" s="856"/>
      <c r="AN24" s="839">
        <v>0</v>
      </c>
      <c r="AO24" s="851">
        <v>0</v>
      </c>
      <c r="AP24" s="856"/>
      <c r="AQ24" s="839">
        <v>0</v>
      </c>
      <c r="AR24" s="851">
        <v>0</v>
      </c>
      <c r="AS24" s="856"/>
      <c r="AT24" s="839">
        <v>87.33759704525356</v>
      </c>
      <c r="AU24" s="851">
        <v>0</v>
      </c>
      <c r="AV24" s="857"/>
      <c r="AW24" s="839">
        <v>0</v>
      </c>
      <c r="AX24" s="851">
        <v>0</v>
      </c>
      <c r="AY24" s="856"/>
      <c r="AZ24" s="845">
        <v>655.06422449803392</v>
      </c>
      <c r="BA24" s="845">
        <v>0</v>
      </c>
      <c r="BB24" s="846">
        <v>-655.06422449803392</v>
      </c>
      <c r="BD24" s="2">
        <v>2</v>
      </c>
      <c r="BF24" s="787">
        <v>4.9491418730691503</v>
      </c>
      <c r="BG24" s="325">
        <v>150000971</v>
      </c>
      <c r="BI24" s="847">
        <v>0</v>
      </c>
      <c r="BJ24" s="847">
        <v>0</v>
      </c>
      <c r="BK24" s="847">
        <v>0</v>
      </c>
      <c r="BL24" s="848"/>
      <c r="BM24" s="3"/>
      <c r="BN24" s="3"/>
      <c r="BP24" s="3"/>
      <c r="BQ24" s="3"/>
      <c r="BS24" s="42" t="s">
        <v>194</v>
      </c>
    </row>
    <row r="25" spans="1:71" ht="24.9" customHeight="1" x14ac:dyDescent="0.3">
      <c r="A25" s="325">
        <v>150000991</v>
      </c>
      <c r="B25" s="849" t="s">
        <v>342</v>
      </c>
      <c r="C25" s="850">
        <v>9</v>
      </c>
      <c r="D25" s="101" t="s">
        <v>455</v>
      </c>
      <c r="E25" s="279">
        <v>4082.7</v>
      </c>
      <c r="F25" s="838">
        <v>12832.580826908254</v>
      </c>
      <c r="G25" s="838">
        <v>5486</v>
      </c>
      <c r="H25" s="838">
        <v>-7346.5808269082536</v>
      </c>
      <c r="I25" s="839">
        <v>0</v>
      </c>
      <c r="J25" s="851">
        <v>0</v>
      </c>
      <c r="K25" s="852"/>
      <c r="L25" s="839">
        <v>0</v>
      </c>
      <c r="M25" s="851">
        <v>0</v>
      </c>
      <c r="N25" s="853"/>
      <c r="O25" s="839">
        <v>0</v>
      </c>
      <c r="P25" s="851">
        <v>0</v>
      </c>
      <c r="Q25" s="854"/>
      <c r="R25" s="839">
        <v>0</v>
      </c>
      <c r="S25" s="851">
        <v>5377</v>
      </c>
      <c r="T25" s="855"/>
      <c r="U25" s="839">
        <v>0</v>
      </c>
      <c r="V25" s="851">
        <v>0</v>
      </c>
      <c r="W25" s="839">
        <v>0</v>
      </c>
      <c r="X25" s="851">
        <v>0</v>
      </c>
      <c r="Y25" s="839">
        <v>0</v>
      </c>
      <c r="Z25" s="851">
        <v>0</v>
      </c>
      <c r="AA25" s="839">
        <v>0</v>
      </c>
      <c r="AB25" s="851">
        <v>0</v>
      </c>
      <c r="AC25" s="839">
        <v>0</v>
      </c>
      <c r="AD25" s="851">
        <v>109</v>
      </c>
      <c r="AE25" s="839">
        <v>177.51800880001062</v>
      </c>
      <c r="AF25" s="851">
        <v>0</v>
      </c>
      <c r="AG25" s="856"/>
      <c r="AH25" s="839">
        <v>200.43331245737406</v>
      </c>
      <c r="AI25" s="851">
        <v>0</v>
      </c>
      <c r="AJ25" s="856"/>
      <c r="AK25" s="839">
        <v>170.68014774308622</v>
      </c>
      <c r="AL25" s="851">
        <v>0</v>
      </c>
      <c r="AM25" s="856"/>
      <c r="AN25" s="839">
        <v>101.1739894233076</v>
      </c>
      <c r="AO25" s="851">
        <v>0</v>
      </c>
      <c r="AP25" s="856"/>
      <c r="AQ25" s="839">
        <v>65.961235315382794</v>
      </c>
      <c r="AR25" s="851">
        <v>0</v>
      </c>
      <c r="AS25" s="856"/>
      <c r="AT25" s="839">
        <v>208.54056051817184</v>
      </c>
      <c r="AU25" s="851">
        <v>0</v>
      </c>
      <c r="AV25" s="856"/>
      <c r="AW25" s="839">
        <v>0</v>
      </c>
      <c r="AX25" s="851">
        <v>0</v>
      </c>
      <c r="AY25" s="856"/>
      <c r="AZ25" s="845">
        <v>924.30725425733317</v>
      </c>
      <c r="BA25" s="845">
        <v>0</v>
      </c>
      <c r="BB25" s="846">
        <v>-924.30725425733317</v>
      </c>
      <c r="BD25" s="2">
        <v>3</v>
      </c>
      <c r="BF25" s="787">
        <v>6.4713461055934545</v>
      </c>
      <c r="BG25" s="325">
        <v>150000991</v>
      </c>
      <c r="BI25" s="847">
        <v>0</v>
      </c>
      <c r="BJ25" s="847">
        <v>0</v>
      </c>
      <c r="BK25" s="847">
        <v>0</v>
      </c>
      <c r="BL25" s="848"/>
      <c r="BM25" s="3"/>
      <c r="BN25" s="3"/>
      <c r="BP25" s="3"/>
      <c r="BQ25" s="3"/>
      <c r="BS25" s="42" t="s">
        <v>342</v>
      </c>
    </row>
    <row r="26" spans="1:71" ht="24.9" customHeight="1" x14ac:dyDescent="0.3">
      <c r="A26" s="325">
        <v>150000992</v>
      </c>
      <c r="B26" s="862" t="s">
        <v>40</v>
      </c>
      <c r="C26" s="863">
        <v>1</v>
      </c>
      <c r="D26" s="101" t="s">
        <v>455</v>
      </c>
      <c r="E26" s="279">
        <v>263.39999999999998</v>
      </c>
      <c r="F26" s="838">
        <v>510.56207864335602</v>
      </c>
      <c r="G26" s="838">
        <v>0</v>
      </c>
      <c r="H26" s="838">
        <v>-510.56207864335602</v>
      </c>
      <c r="I26" s="839">
        <v>0</v>
      </c>
      <c r="J26" s="851">
        <v>0</v>
      </c>
      <c r="K26" s="852"/>
      <c r="L26" s="839">
        <v>0</v>
      </c>
      <c r="M26" s="851">
        <v>0</v>
      </c>
      <c r="N26" s="853"/>
      <c r="O26" s="839">
        <v>0</v>
      </c>
      <c r="P26" s="851">
        <v>0</v>
      </c>
      <c r="Q26" s="854"/>
      <c r="R26" s="839">
        <v>0</v>
      </c>
      <c r="S26" s="851">
        <v>0</v>
      </c>
      <c r="T26" s="855"/>
      <c r="U26" s="839">
        <v>0</v>
      </c>
      <c r="V26" s="851">
        <v>0</v>
      </c>
      <c r="W26" s="839">
        <v>0</v>
      </c>
      <c r="X26" s="851">
        <v>0</v>
      </c>
      <c r="Y26" s="839">
        <v>0</v>
      </c>
      <c r="Z26" s="851">
        <v>0</v>
      </c>
      <c r="AA26" s="839">
        <v>0</v>
      </c>
      <c r="AB26" s="851">
        <v>0</v>
      </c>
      <c r="AC26" s="839">
        <v>0</v>
      </c>
      <c r="AD26" s="851">
        <v>0</v>
      </c>
      <c r="AE26" s="839">
        <v>0</v>
      </c>
      <c r="AF26" s="851">
        <v>0</v>
      </c>
      <c r="AG26" s="856"/>
      <c r="AH26" s="839">
        <v>0</v>
      </c>
      <c r="AI26" s="851">
        <v>0</v>
      </c>
      <c r="AJ26" s="856"/>
      <c r="AK26" s="839">
        <v>0</v>
      </c>
      <c r="AL26" s="851">
        <v>0</v>
      </c>
      <c r="AM26" s="856"/>
      <c r="AN26" s="839">
        <v>0</v>
      </c>
      <c r="AO26" s="851">
        <v>0</v>
      </c>
      <c r="AP26" s="856"/>
      <c r="AQ26" s="839">
        <v>0</v>
      </c>
      <c r="AR26" s="851">
        <v>0</v>
      </c>
      <c r="AS26" s="856"/>
      <c r="AT26" s="839">
        <v>0</v>
      </c>
      <c r="AU26" s="851">
        <v>0</v>
      </c>
      <c r="AV26" s="856"/>
      <c r="AW26" s="839">
        <v>0</v>
      </c>
      <c r="AX26" s="851">
        <v>0</v>
      </c>
      <c r="AY26" s="856"/>
      <c r="AZ26" s="845">
        <v>0</v>
      </c>
      <c r="BA26" s="845">
        <v>0</v>
      </c>
      <c r="BB26" s="846">
        <v>0</v>
      </c>
      <c r="BD26" s="2">
        <v>3</v>
      </c>
      <c r="BF26" s="787">
        <v>0</v>
      </c>
      <c r="BG26" s="325">
        <v>150000992</v>
      </c>
      <c r="BI26" s="847">
        <v>0</v>
      </c>
      <c r="BJ26" s="847">
        <v>0</v>
      </c>
      <c r="BK26" s="847">
        <v>0</v>
      </c>
      <c r="BL26" s="848"/>
      <c r="BM26" s="3"/>
      <c r="BN26" s="3"/>
      <c r="BP26" s="3"/>
      <c r="BQ26" s="3"/>
      <c r="BS26" s="42" t="s">
        <v>40</v>
      </c>
    </row>
    <row r="27" spans="1:71" ht="24.9" customHeight="1" x14ac:dyDescent="0.3">
      <c r="A27" s="325">
        <v>150000999</v>
      </c>
      <c r="B27" s="862" t="s">
        <v>41</v>
      </c>
      <c r="C27" s="863">
        <v>1</v>
      </c>
      <c r="D27" s="101" t="s">
        <v>455</v>
      </c>
      <c r="E27" s="279">
        <v>298.60000000000002</v>
      </c>
      <c r="F27" s="838">
        <v>574.69669133791456</v>
      </c>
      <c r="G27" s="838">
        <v>0</v>
      </c>
      <c r="H27" s="838">
        <v>-574.69669133791456</v>
      </c>
      <c r="I27" s="839">
        <v>0</v>
      </c>
      <c r="J27" s="851">
        <v>0</v>
      </c>
      <c r="K27" s="852"/>
      <c r="L27" s="839">
        <v>0</v>
      </c>
      <c r="M27" s="851">
        <v>0</v>
      </c>
      <c r="N27" s="853"/>
      <c r="O27" s="839">
        <v>0</v>
      </c>
      <c r="P27" s="851">
        <v>0</v>
      </c>
      <c r="Q27" s="854"/>
      <c r="R27" s="839">
        <v>0</v>
      </c>
      <c r="S27" s="851">
        <v>0</v>
      </c>
      <c r="T27" s="855"/>
      <c r="U27" s="839">
        <v>0</v>
      </c>
      <c r="V27" s="851">
        <v>0</v>
      </c>
      <c r="W27" s="839">
        <v>0</v>
      </c>
      <c r="X27" s="851">
        <v>0</v>
      </c>
      <c r="Y27" s="839">
        <v>0</v>
      </c>
      <c r="Z27" s="851">
        <v>0</v>
      </c>
      <c r="AA27" s="839">
        <v>0</v>
      </c>
      <c r="AB27" s="851">
        <v>0</v>
      </c>
      <c r="AC27" s="839">
        <v>0</v>
      </c>
      <c r="AD27" s="851">
        <v>0</v>
      </c>
      <c r="AE27" s="839">
        <v>0</v>
      </c>
      <c r="AF27" s="851">
        <v>0</v>
      </c>
      <c r="AG27" s="856"/>
      <c r="AH27" s="839">
        <v>0</v>
      </c>
      <c r="AI27" s="851">
        <v>0</v>
      </c>
      <c r="AJ27" s="856"/>
      <c r="AK27" s="839">
        <v>0</v>
      </c>
      <c r="AL27" s="851">
        <v>0</v>
      </c>
      <c r="AM27" s="856"/>
      <c r="AN27" s="839">
        <v>0</v>
      </c>
      <c r="AO27" s="851">
        <v>0</v>
      </c>
      <c r="AP27" s="856"/>
      <c r="AQ27" s="839">
        <v>0</v>
      </c>
      <c r="AR27" s="851">
        <v>0</v>
      </c>
      <c r="AS27" s="856"/>
      <c r="AT27" s="839">
        <v>0</v>
      </c>
      <c r="AU27" s="851">
        <v>0</v>
      </c>
      <c r="AV27" s="856"/>
      <c r="AW27" s="839">
        <v>0</v>
      </c>
      <c r="AX27" s="851">
        <v>0</v>
      </c>
      <c r="AY27" s="856"/>
      <c r="AZ27" s="845">
        <v>0</v>
      </c>
      <c r="BA27" s="845">
        <v>0</v>
      </c>
      <c r="BB27" s="846">
        <v>0</v>
      </c>
      <c r="BD27" s="2">
        <v>3</v>
      </c>
      <c r="BF27" s="787">
        <v>0</v>
      </c>
      <c r="BG27" s="325">
        <v>150000999</v>
      </c>
      <c r="BI27" s="847">
        <v>0</v>
      </c>
      <c r="BJ27" s="847">
        <v>0</v>
      </c>
      <c r="BK27" s="847">
        <v>0</v>
      </c>
      <c r="BL27" s="848"/>
      <c r="BM27" s="3"/>
      <c r="BN27" s="3"/>
      <c r="BP27" s="3"/>
      <c r="BQ27" s="3"/>
      <c r="BS27" s="42" t="s">
        <v>41</v>
      </c>
    </row>
    <row r="28" spans="1:71" ht="24.9" customHeight="1" x14ac:dyDescent="0.3">
      <c r="A28" s="325">
        <v>150000993</v>
      </c>
      <c r="B28" s="862" t="s">
        <v>42</v>
      </c>
      <c r="C28" s="863">
        <v>1</v>
      </c>
      <c r="D28" s="101" t="s">
        <v>455</v>
      </c>
      <c r="E28" s="279">
        <v>298.39999999999998</v>
      </c>
      <c r="F28" s="838">
        <v>570.43433432923587</v>
      </c>
      <c r="G28" s="838">
        <v>0</v>
      </c>
      <c r="H28" s="838">
        <v>-570.43433432923587</v>
      </c>
      <c r="I28" s="839">
        <v>0</v>
      </c>
      <c r="J28" s="851">
        <v>0</v>
      </c>
      <c r="K28" s="852"/>
      <c r="L28" s="839">
        <v>0</v>
      </c>
      <c r="M28" s="851">
        <v>0</v>
      </c>
      <c r="N28" s="853"/>
      <c r="O28" s="839">
        <v>0</v>
      </c>
      <c r="P28" s="851">
        <v>0</v>
      </c>
      <c r="Q28" s="854"/>
      <c r="R28" s="839">
        <v>0</v>
      </c>
      <c r="S28" s="851">
        <v>0</v>
      </c>
      <c r="T28" s="855"/>
      <c r="U28" s="839">
        <v>0</v>
      </c>
      <c r="V28" s="851">
        <v>0</v>
      </c>
      <c r="W28" s="839">
        <v>0</v>
      </c>
      <c r="X28" s="851">
        <v>0</v>
      </c>
      <c r="Y28" s="839">
        <v>0</v>
      </c>
      <c r="Z28" s="851">
        <v>0</v>
      </c>
      <c r="AA28" s="839">
        <v>0</v>
      </c>
      <c r="AB28" s="851">
        <v>0</v>
      </c>
      <c r="AC28" s="839">
        <v>0</v>
      </c>
      <c r="AD28" s="851">
        <v>0</v>
      </c>
      <c r="AE28" s="839">
        <v>0</v>
      </c>
      <c r="AF28" s="851">
        <v>0</v>
      </c>
      <c r="AG28" s="856"/>
      <c r="AH28" s="839">
        <v>0</v>
      </c>
      <c r="AI28" s="851">
        <v>0</v>
      </c>
      <c r="AJ28" s="856"/>
      <c r="AK28" s="839">
        <v>0</v>
      </c>
      <c r="AL28" s="851">
        <v>0</v>
      </c>
      <c r="AM28" s="856"/>
      <c r="AN28" s="839">
        <v>0</v>
      </c>
      <c r="AO28" s="851">
        <v>0</v>
      </c>
      <c r="AP28" s="856"/>
      <c r="AQ28" s="839">
        <v>0</v>
      </c>
      <c r="AR28" s="851">
        <v>0</v>
      </c>
      <c r="AS28" s="856"/>
      <c r="AT28" s="839">
        <v>0</v>
      </c>
      <c r="AU28" s="851">
        <v>0</v>
      </c>
      <c r="AV28" s="856"/>
      <c r="AW28" s="839">
        <v>0</v>
      </c>
      <c r="AX28" s="851">
        <v>0</v>
      </c>
      <c r="AY28" s="856"/>
      <c r="AZ28" s="845">
        <v>0</v>
      </c>
      <c r="BA28" s="845">
        <v>0</v>
      </c>
      <c r="BB28" s="846">
        <v>0</v>
      </c>
      <c r="BD28" s="2">
        <v>3</v>
      </c>
      <c r="BF28" s="787">
        <v>0</v>
      </c>
      <c r="BG28" s="325">
        <v>150000993</v>
      </c>
      <c r="BI28" s="847">
        <v>0</v>
      </c>
      <c r="BJ28" s="847">
        <v>0</v>
      </c>
      <c r="BK28" s="847">
        <v>0</v>
      </c>
      <c r="BL28" s="848"/>
      <c r="BM28" s="3"/>
      <c r="BN28" s="3"/>
      <c r="BP28" s="3"/>
      <c r="BQ28" s="3"/>
      <c r="BS28" s="42" t="s">
        <v>42</v>
      </c>
    </row>
    <row r="29" spans="1:71" ht="24.9" customHeight="1" x14ac:dyDescent="0.3">
      <c r="A29" s="325">
        <v>150001000</v>
      </c>
      <c r="B29" s="862" t="s">
        <v>43</v>
      </c>
      <c r="C29" s="863">
        <v>1</v>
      </c>
      <c r="D29" s="101" t="s">
        <v>455</v>
      </c>
      <c r="E29" s="279">
        <v>236.7</v>
      </c>
      <c r="F29" s="838">
        <v>550.12377861382879</v>
      </c>
      <c r="G29" s="838">
        <v>0</v>
      </c>
      <c r="H29" s="838">
        <v>-550.12377861382879</v>
      </c>
      <c r="I29" s="839">
        <v>0</v>
      </c>
      <c r="J29" s="851">
        <v>0</v>
      </c>
      <c r="K29" s="852"/>
      <c r="L29" s="839">
        <v>0</v>
      </c>
      <c r="M29" s="851">
        <v>0</v>
      </c>
      <c r="N29" s="853"/>
      <c r="O29" s="839">
        <v>0</v>
      </c>
      <c r="P29" s="851">
        <v>0</v>
      </c>
      <c r="Q29" s="854"/>
      <c r="R29" s="839">
        <v>0</v>
      </c>
      <c r="S29" s="851">
        <v>0</v>
      </c>
      <c r="T29" s="855"/>
      <c r="U29" s="839">
        <v>0</v>
      </c>
      <c r="V29" s="851">
        <v>0</v>
      </c>
      <c r="W29" s="839">
        <v>0</v>
      </c>
      <c r="X29" s="851">
        <v>0</v>
      </c>
      <c r="Y29" s="839">
        <v>0</v>
      </c>
      <c r="Z29" s="851">
        <v>0</v>
      </c>
      <c r="AA29" s="839">
        <v>0</v>
      </c>
      <c r="AB29" s="851">
        <v>0</v>
      </c>
      <c r="AC29" s="839">
        <v>0</v>
      </c>
      <c r="AD29" s="851">
        <v>0</v>
      </c>
      <c r="AE29" s="839">
        <v>0</v>
      </c>
      <c r="AF29" s="851">
        <v>0</v>
      </c>
      <c r="AG29" s="856"/>
      <c r="AH29" s="839">
        <v>0</v>
      </c>
      <c r="AI29" s="851">
        <v>0</v>
      </c>
      <c r="AJ29" s="856"/>
      <c r="AK29" s="839">
        <v>0</v>
      </c>
      <c r="AL29" s="851">
        <v>0</v>
      </c>
      <c r="AM29" s="856"/>
      <c r="AN29" s="839">
        <v>0</v>
      </c>
      <c r="AO29" s="851">
        <v>0</v>
      </c>
      <c r="AP29" s="856"/>
      <c r="AQ29" s="839">
        <v>0</v>
      </c>
      <c r="AR29" s="851">
        <v>0</v>
      </c>
      <c r="AS29" s="856"/>
      <c r="AT29" s="839">
        <v>0</v>
      </c>
      <c r="AU29" s="851">
        <v>0</v>
      </c>
      <c r="AV29" s="856"/>
      <c r="AW29" s="839">
        <v>0</v>
      </c>
      <c r="AX29" s="851">
        <v>0</v>
      </c>
      <c r="AY29" s="856"/>
      <c r="AZ29" s="845">
        <v>0</v>
      </c>
      <c r="BA29" s="845">
        <v>0</v>
      </c>
      <c r="BB29" s="846">
        <v>0</v>
      </c>
      <c r="BD29" s="2">
        <v>3</v>
      </c>
      <c r="BF29" s="787">
        <v>0</v>
      </c>
      <c r="BG29" s="325">
        <v>150001000</v>
      </c>
      <c r="BI29" s="847">
        <v>0</v>
      </c>
      <c r="BJ29" s="847">
        <v>0</v>
      </c>
      <c r="BK29" s="847">
        <v>0</v>
      </c>
      <c r="BL29" s="848"/>
      <c r="BM29" s="3"/>
      <c r="BN29" s="3"/>
      <c r="BP29" s="3"/>
      <c r="BQ29" s="3"/>
      <c r="BS29" s="42" t="s">
        <v>43</v>
      </c>
    </row>
    <row r="30" spans="1:71" ht="24.9" customHeight="1" x14ac:dyDescent="0.3">
      <c r="A30" s="325">
        <v>150001004</v>
      </c>
      <c r="B30" s="862" t="s">
        <v>44</v>
      </c>
      <c r="C30" s="863">
        <v>1</v>
      </c>
      <c r="D30" s="101" t="s">
        <v>455</v>
      </c>
      <c r="E30" s="279">
        <v>315.7</v>
      </c>
      <c r="F30" s="838">
        <v>601.82121739763295</v>
      </c>
      <c r="G30" s="838">
        <v>0</v>
      </c>
      <c r="H30" s="838">
        <v>-601.82121739763295</v>
      </c>
      <c r="I30" s="839">
        <v>0</v>
      </c>
      <c r="J30" s="851">
        <v>0</v>
      </c>
      <c r="K30" s="852"/>
      <c r="L30" s="839">
        <v>0</v>
      </c>
      <c r="M30" s="851">
        <v>0</v>
      </c>
      <c r="N30" s="853"/>
      <c r="O30" s="839">
        <v>0</v>
      </c>
      <c r="P30" s="851">
        <v>0</v>
      </c>
      <c r="Q30" s="854"/>
      <c r="R30" s="839">
        <v>0</v>
      </c>
      <c r="S30" s="851">
        <v>0</v>
      </c>
      <c r="T30" s="855"/>
      <c r="U30" s="839">
        <v>0</v>
      </c>
      <c r="V30" s="851">
        <v>0</v>
      </c>
      <c r="W30" s="839">
        <v>0</v>
      </c>
      <c r="X30" s="851">
        <v>0</v>
      </c>
      <c r="Y30" s="839">
        <v>0</v>
      </c>
      <c r="Z30" s="851">
        <v>0</v>
      </c>
      <c r="AA30" s="839">
        <v>0</v>
      </c>
      <c r="AB30" s="851">
        <v>0</v>
      </c>
      <c r="AC30" s="839">
        <v>0</v>
      </c>
      <c r="AD30" s="851">
        <v>0</v>
      </c>
      <c r="AE30" s="839">
        <v>0</v>
      </c>
      <c r="AF30" s="851">
        <v>0</v>
      </c>
      <c r="AG30" s="856"/>
      <c r="AH30" s="839">
        <v>0</v>
      </c>
      <c r="AI30" s="851">
        <v>0</v>
      </c>
      <c r="AJ30" s="856"/>
      <c r="AK30" s="839">
        <v>0</v>
      </c>
      <c r="AL30" s="851">
        <v>0</v>
      </c>
      <c r="AM30" s="856"/>
      <c r="AN30" s="839">
        <v>0</v>
      </c>
      <c r="AO30" s="851">
        <v>0</v>
      </c>
      <c r="AP30" s="856"/>
      <c r="AQ30" s="839">
        <v>0</v>
      </c>
      <c r="AR30" s="851">
        <v>0</v>
      </c>
      <c r="AS30" s="856"/>
      <c r="AT30" s="839">
        <v>0</v>
      </c>
      <c r="AU30" s="851">
        <v>0</v>
      </c>
      <c r="AV30" s="856"/>
      <c r="AW30" s="839">
        <v>0</v>
      </c>
      <c r="AX30" s="851">
        <v>0</v>
      </c>
      <c r="AY30" s="856"/>
      <c r="AZ30" s="845">
        <v>0</v>
      </c>
      <c r="BA30" s="845">
        <v>0</v>
      </c>
      <c r="BB30" s="846">
        <v>0</v>
      </c>
      <c r="BD30" s="2">
        <v>3</v>
      </c>
      <c r="BF30" s="787">
        <v>0</v>
      </c>
      <c r="BG30" s="325">
        <v>150001004</v>
      </c>
      <c r="BI30" s="847">
        <v>0</v>
      </c>
      <c r="BJ30" s="847">
        <v>0</v>
      </c>
      <c r="BK30" s="847">
        <v>0</v>
      </c>
      <c r="BL30" s="848"/>
      <c r="BM30" s="3"/>
      <c r="BN30" s="3"/>
      <c r="BP30" s="3"/>
      <c r="BQ30" s="3"/>
      <c r="BS30" s="42" t="s">
        <v>44</v>
      </c>
    </row>
    <row r="31" spans="1:71" ht="24.9" customHeight="1" x14ac:dyDescent="0.3">
      <c r="A31" s="325">
        <v>150000994</v>
      </c>
      <c r="B31" s="862" t="s">
        <v>45</v>
      </c>
      <c r="C31" s="863">
        <v>1</v>
      </c>
      <c r="D31" s="101" t="s">
        <v>455</v>
      </c>
      <c r="E31" s="279">
        <v>239.9</v>
      </c>
      <c r="F31" s="838">
        <v>528.83181241499767</v>
      </c>
      <c r="G31" s="838">
        <v>0</v>
      </c>
      <c r="H31" s="838">
        <v>-528.83181241499767</v>
      </c>
      <c r="I31" s="839">
        <v>0</v>
      </c>
      <c r="J31" s="851">
        <v>0</v>
      </c>
      <c r="K31" s="852"/>
      <c r="L31" s="839">
        <v>0</v>
      </c>
      <c r="M31" s="851">
        <v>0</v>
      </c>
      <c r="N31" s="853"/>
      <c r="O31" s="839">
        <v>0</v>
      </c>
      <c r="P31" s="851">
        <v>0</v>
      </c>
      <c r="Q31" s="854"/>
      <c r="R31" s="839">
        <v>0</v>
      </c>
      <c r="S31" s="851">
        <v>0</v>
      </c>
      <c r="T31" s="855"/>
      <c r="U31" s="839">
        <v>0</v>
      </c>
      <c r="V31" s="851">
        <v>0</v>
      </c>
      <c r="W31" s="839">
        <v>0</v>
      </c>
      <c r="X31" s="851">
        <v>0</v>
      </c>
      <c r="Y31" s="839">
        <v>0</v>
      </c>
      <c r="Z31" s="851">
        <v>0</v>
      </c>
      <c r="AA31" s="839">
        <v>0</v>
      </c>
      <c r="AB31" s="851">
        <v>0</v>
      </c>
      <c r="AC31" s="839">
        <v>0</v>
      </c>
      <c r="AD31" s="851">
        <v>0</v>
      </c>
      <c r="AE31" s="839">
        <v>0</v>
      </c>
      <c r="AF31" s="851">
        <v>0</v>
      </c>
      <c r="AG31" s="856"/>
      <c r="AH31" s="839">
        <v>0</v>
      </c>
      <c r="AI31" s="851">
        <v>0</v>
      </c>
      <c r="AJ31" s="856"/>
      <c r="AK31" s="839">
        <v>0</v>
      </c>
      <c r="AL31" s="851">
        <v>0</v>
      </c>
      <c r="AM31" s="856"/>
      <c r="AN31" s="839">
        <v>0</v>
      </c>
      <c r="AO31" s="851">
        <v>0</v>
      </c>
      <c r="AP31" s="856"/>
      <c r="AQ31" s="839">
        <v>0</v>
      </c>
      <c r="AR31" s="851">
        <v>0</v>
      </c>
      <c r="AS31" s="856"/>
      <c r="AT31" s="839">
        <v>0</v>
      </c>
      <c r="AU31" s="851">
        <v>0</v>
      </c>
      <c r="AV31" s="856"/>
      <c r="AW31" s="839">
        <v>0</v>
      </c>
      <c r="AX31" s="851">
        <v>0</v>
      </c>
      <c r="AY31" s="856"/>
      <c r="AZ31" s="845">
        <v>0</v>
      </c>
      <c r="BA31" s="845">
        <v>0</v>
      </c>
      <c r="BB31" s="846">
        <v>0</v>
      </c>
      <c r="BD31" s="2">
        <v>3</v>
      </c>
      <c r="BF31" s="787">
        <v>0</v>
      </c>
      <c r="BG31" s="325">
        <v>150000994</v>
      </c>
      <c r="BI31" s="847">
        <v>0</v>
      </c>
      <c r="BJ31" s="847">
        <v>0</v>
      </c>
      <c r="BK31" s="847">
        <v>0</v>
      </c>
      <c r="BL31" s="848"/>
      <c r="BM31" s="3"/>
      <c r="BN31" s="3"/>
      <c r="BP31" s="3"/>
      <c r="BQ31" s="3"/>
      <c r="BS31" s="42" t="s">
        <v>45</v>
      </c>
    </row>
    <row r="32" spans="1:71" ht="24.9" customHeight="1" x14ac:dyDescent="0.3">
      <c r="A32" s="325">
        <v>150000995</v>
      </c>
      <c r="B32" s="862" t="s">
        <v>48</v>
      </c>
      <c r="C32" s="863">
        <v>1</v>
      </c>
      <c r="D32" s="101" t="s">
        <v>455</v>
      </c>
      <c r="E32" s="279">
        <v>135.6</v>
      </c>
      <c r="F32" s="838">
        <v>346.58547648362503</v>
      </c>
      <c r="G32" s="838">
        <v>0</v>
      </c>
      <c r="H32" s="838">
        <v>-346.58547648362503</v>
      </c>
      <c r="I32" s="839">
        <v>0</v>
      </c>
      <c r="J32" s="851">
        <v>0</v>
      </c>
      <c r="K32" s="852"/>
      <c r="L32" s="839">
        <v>0</v>
      </c>
      <c r="M32" s="851">
        <v>0</v>
      </c>
      <c r="N32" s="853"/>
      <c r="O32" s="839">
        <v>0</v>
      </c>
      <c r="P32" s="851">
        <v>0</v>
      </c>
      <c r="Q32" s="854"/>
      <c r="R32" s="839">
        <v>0</v>
      </c>
      <c r="S32" s="851">
        <v>0</v>
      </c>
      <c r="T32" s="855"/>
      <c r="U32" s="839">
        <v>0</v>
      </c>
      <c r="V32" s="851">
        <v>0</v>
      </c>
      <c r="W32" s="839">
        <v>0</v>
      </c>
      <c r="X32" s="851">
        <v>0</v>
      </c>
      <c r="Y32" s="839">
        <v>0</v>
      </c>
      <c r="Z32" s="851">
        <v>0</v>
      </c>
      <c r="AA32" s="839">
        <v>0</v>
      </c>
      <c r="AB32" s="851">
        <v>0</v>
      </c>
      <c r="AC32" s="839">
        <v>0</v>
      </c>
      <c r="AD32" s="851">
        <v>0</v>
      </c>
      <c r="AE32" s="839">
        <v>0</v>
      </c>
      <c r="AF32" s="851">
        <v>0</v>
      </c>
      <c r="AG32" s="856"/>
      <c r="AH32" s="839">
        <v>0</v>
      </c>
      <c r="AI32" s="851">
        <v>0</v>
      </c>
      <c r="AJ32" s="856"/>
      <c r="AK32" s="839">
        <v>0</v>
      </c>
      <c r="AL32" s="851">
        <v>0</v>
      </c>
      <c r="AM32" s="856"/>
      <c r="AN32" s="839">
        <v>0</v>
      </c>
      <c r="AO32" s="851">
        <v>0</v>
      </c>
      <c r="AP32" s="856"/>
      <c r="AQ32" s="839">
        <v>0</v>
      </c>
      <c r="AR32" s="851">
        <v>0</v>
      </c>
      <c r="AS32" s="856"/>
      <c r="AT32" s="839">
        <v>0</v>
      </c>
      <c r="AU32" s="851">
        <v>0</v>
      </c>
      <c r="AV32" s="856"/>
      <c r="AW32" s="839">
        <v>0</v>
      </c>
      <c r="AX32" s="851">
        <v>0</v>
      </c>
      <c r="AY32" s="856"/>
      <c r="AZ32" s="845">
        <v>0</v>
      </c>
      <c r="BA32" s="845">
        <v>0</v>
      </c>
      <c r="BB32" s="846">
        <v>0</v>
      </c>
      <c r="BD32" s="2">
        <v>3</v>
      </c>
      <c r="BF32" s="787">
        <v>0</v>
      </c>
      <c r="BG32" s="325">
        <v>150000995</v>
      </c>
      <c r="BI32" s="847">
        <v>0</v>
      </c>
      <c r="BJ32" s="847">
        <v>0</v>
      </c>
      <c r="BK32" s="847">
        <v>0</v>
      </c>
      <c r="BL32" s="848"/>
      <c r="BM32" s="3"/>
      <c r="BN32" s="3"/>
      <c r="BP32" s="3"/>
      <c r="BQ32" s="3"/>
      <c r="BS32" s="42" t="s">
        <v>48</v>
      </c>
    </row>
    <row r="33" spans="1:71" ht="24.9" customHeight="1" x14ac:dyDescent="0.3">
      <c r="A33" s="325">
        <v>150001002</v>
      </c>
      <c r="B33" s="862" t="s">
        <v>49</v>
      </c>
      <c r="C33" s="863">
        <v>1</v>
      </c>
      <c r="D33" s="101" t="s">
        <v>455</v>
      </c>
      <c r="E33" s="279">
        <v>229.9</v>
      </c>
      <c r="F33" s="838">
        <v>533.71609377250206</v>
      </c>
      <c r="G33" s="838">
        <v>0</v>
      </c>
      <c r="H33" s="838">
        <v>-533.71609377250206</v>
      </c>
      <c r="I33" s="839">
        <v>0</v>
      </c>
      <c r="J33" s="851">
        <v>0</v>
      </c>
      <c r="K33" s="852"/>
      <c r="L33" s="839">
        <v>0</v>
      </c>
      <c r="M33" s="851">
        <v>0</v>
      </c>
      <c r="N33" s="853"/>
      <c r="O33" s="839">
        <v>0</v>
      </c>
      <c r="P33" s="851">
        <v>0</v>
      </c>
      <c r="Q33" s="854"/>
      <c r="R33" s="839">
        <v>0</v>
      </c>
      <c r="S33" s="851">
        <v>0</v>
      </c>
      <c r="T33" s="855"/>
      <c r="U33" s="839">
        <v>0</v>
      </c>
      <c r="V33" s="851">
        <v>0</v>
      </c>
      <c r="W33" s="839">
        <v>0</v>
      </c>
      <c r="X33" s="851">
        <v>0</v>
      </c>
      <c r="Y33" s="839">
        <v>0</v>
      </c>
      <c r="Z33" s="851">
        <v>0</v>
      </c>
      <c r="AA33" s="839">
        <v>0</v>
      </c>
      <c r="AB33" s="851">
        <v>0</v>
      </c>
      <c r="AC33" s="839">
        <v>0</v>
      </c>
      <c r="AD33" s="851">
        <v>0</v>
      </c>
      <c r="AE33" s="839">
        <v>0</v>
      </c>
      <c r="AF33" s="851">
        <v>0</v>
      </c>
      <c r="AG33" s="856"/>
      <c r="AH33" s="839">
        <v>0</v>
      </c>
      <c r="AI33" s="851">
        <v>0</v>
      </c>
      <c r="AJ33" s="856"/>
      <c r="AK33" s="839">
        <v>0</v>
      </c>
      <c r="AL33" s="851">
        <v>0</v>
      </c>
      <c r="AM33" s="856"/>
      <c r="AN33" s="839">
        <v>0</v>
      </c>
      <c r="AO33" s="851">
        <v>0</v>
      </c>
      <c r="AP33" s="856"/>
      <c r="AQ33" s="839">
        <v>0</v>
      </c>
      <c r="AR33" s="851">
        <v>0</v>
      </c>
      <c r="AS33" s="856"/>
      <c r="AT33" s="839">
        <v>0</v>
      </c>
      <c r="AU33" s="851">
        <v>0</v>
      </c>
      <c r="AV33" s="856"/>
      <c r="AW33" s="839">
        <v>0</v>
      </c>
      <c r="AX33" s="851">
        <v>0</v>
      </c>
      <c r="AY33" s="856"/>
      <c r="AZ33" s="845">
        <v>0</v>
      </c>
      <c r="BA33" s="845">
        <v>0</v>
      </c>
      <c r="BB33" s="846">
        <v>0</v>
      </c>
      <c r="BD33" s="2">
        <v>3</v>
      </c>
      <c r="BF33" s="787">
        <v>0</v>
      </c>
      <c r="BG33" s="325">
        <v>150001002</v>
      </c>
      <c r="BI33" s="847">
        <v>0</v>
      </c>
      <c r="BJ33" s="847">
        <v>0</v>
      </c>
      <c r="BK33" s="847">
        <v>0</v>
      </c>
      <c r="BL33" s="848"/>
      <c r="BM33" s="3"/>
      <c r="BN33" s="3"/>
      <c r="BP33" s="3"/>
      <c r="BQ33" s="3"/>
      <c r="BS33" s="42" t="s">
        <v>49</v>
      </c>
    </row>
    <row r="34" spans="1:71" ht="24.9" customHeight="1" x14ac:dyDescent="0.3">
      <c r="A34" s="325">
        <v>150000972</v>
      </c>
      <c r="B34" s="849" t="s">
        <v>202</v>
      </c>
      <c r="C34" s="850">
        <v>4</v>
      </c>
      <c r="D34" s="101" t="s">
        <v>455</v>
      </c>
      <c r="E34" s="279">
        <v>2167.6</v>
      </c>
      <c r="F34" s="838">
        <v>3240.9237804053437</v>
      </c>
      <c r="G34" s="838">
        <v>444.85970353698622</v>
      </c>
      <c r="H34" s="838">
        <v>-2796.0640768683575</v>
      </c>
      <c r="I34" s="839">
        <v>0</v>
      </c>
      <c r="J34" s="851">
        <v>0</v>
      </c>
      <c r="K34" s="852"/>
      <c r="L34" s="839">
        <v>0</v>
      </c>
      <c r="M34" s="851">
        <v>0</v>
      </c>
      <c r="N34" s="868"/>
      <c r="O34" s="839">
        <v>0</v>
      </c>
      <c r="P34" s="851">
        <v>0</v>
      </c>
      <c r="Q34" s="854"/>
      <c r="R34" s="839">
        <v>0</v>
      </c>
      <c r="S34" s="851">
        <v>0</v>
      </c>
      <c r="T34" s="855"/>
      <c r="U34" s="839">
        <v>0</v>
      </c>
      <c r="V34" s="851">
        <v>0</v>
      </c>
      <c r="W34" s="839">
        <v>0</v>
      </c>
      <c r="X34" s="851">
        <v>53.859703536986224</v>
      </c>
      <c r="Y34" s="839">
        <v>0</v>
      </c>
      <c r="Z34" s="851">
        <v>0</v>
      </c>
      <c r="AA34" s="839">
        <v>0</v>
      </c>
      <c r="AB34" s="851">
        <v>0</v>
      </c>
      <c r="AC34" s="839">
        <v>0</v>
      </c>
      <c r="AD34" s="851">
        <v>391</v>
      </c>
      <c r="AE34" s="839">
        <v>232.70143930527138</v>
      </c>
      <c r="AF34" s="851">
        <v>0</v>
      </c>
      <c r="AG34" s="856"/>
      <c r="AH34" s="839">
        <v>295.12930774881175</v>
      </c>
      <c r="AI34" s="851">
        <v>0</v>
      </c>
      <c r="AJ34" s="856"/>
      <c r="AK34" s="839">
        <v>285.7634610185147</v>
      </c>
      <c r="AL34" s="851">
        <v>0</v>
      </c>
      <c r="AM34" s="856"/>
      <c r="AN34" s="839">
        <v>0</v>
      </c>
      <c r="AO34" s="851">
        <v>0</v>
      </c>
      <c r="AP34" s="856"/>
      <c r="AQ34" s="839">
        <v>0</v>
      </c>
      <c r="AR34" s="851">
        <v>0</v>
      </c>
      <c r="AS34" s="856"/>
      <c r="AT34" s="839">
        <v>103.83367027199259</v>
      </c>
      <c r="AU34" s="851">
        <v>0</v>
      </c>
      <c r="AV34" s="856"/>
      <c r="AW34" s="839">
        <v>0</v>
      </c>
      <c r="AX34" s="851">
        <v>0</v>
      </c>
      <c r="AY34" s="856"/>
      <c r="AZ34" s="845">
        <v>917.42787834459034</v>
      </c>
      <c r="BA34" s="845">
        <v>0</v>
      </c>
      <c r="BB34" s="846">
        <v>-917.42787834459034</v>
      </c>
      <c r="BD34" s="2">
        <v>2</v>
      </c>
      <c r="BF34" s="787">
        <v>8.0527353525492344</v>
      </c>
      <c r="BG34" s="325">
        <v>150000972</v>
      </c>
      <c r="BI34" s="847">
        <v>24.5</v>
      </c>
      <c r="BJ34" s="847">
        <v>2.4042693830968407</v>
      </c>
      <c r="BK34" s="847">
        <v>26.904269383096839</v>
      </c>
      <c r="BL34" s="848"/>
      <c r="BM34" s="3"/>
      <c r="BN34" s="3"/>
      <c r="BP34" s="3"/>
      <c r="BQ34" s="3"/>
      <c r="BS34" s="42" t="s">
        <v>202</v>
      </c>
    </row>
    <row r="35" spans="1:71" ht="24.9" customHeight="1" x14ac:dyDescent="0.3">
      <c r="A35" s="325">
        <v>150000974</v>
      </c>
      <c r="B35" s="849" t="s">
        <v>203</v>
      </c>
      <c r="C35" s="850">
        <v>4</v>
      </c>
      <c r="D35" s="101" t="s">
        <v>455</v>
      </c>
      <c r="E35" s="279">
        <v>2315.5700000000002</v>
      </c>
      <c r="F35" s="838">
        <v>4387.3632503741846</v>
      </c>
      <c r="G35" s="838">
        <v>391</v>
      </c>
      <c r="H35" s="838">
        <v>-3996.3632503741846</v>
      </c>
      <c r="I35" s="839">
        <v>0</v>
      </c>
      <c r="J35" s="851">
        <v>0</v>
      </c>
      <c r="K35" s="852"/>
      <c r="L35" s="839">
        <v>0</v>
      </c>
      <c r="M35" s="851">
        <v>0</v>
      </c>
      <c r="N35" s="853"/>
      <c r="O35" s="839">
        <v>0</v>
      </c>
      <c r="P35" s="851">
        <v>0</v>
      </c>
      <c r="Q35" s="854"/>
      <c r="R35" s="839">
        <v>0</v>
      </c>
      <c r="S35" s="851">
        <v>0</v>
      </c>
      <c r="T35" s="855"/>
      <c r="U35" s="839">
        <v>0</v>
      </c>
      <c r="V35" s="851">
        <v>0</v>
      </c>
      <c r="W35" s="839">
        <v>0</v>
      </c>
      <c r="X35" s="851">
        <v>0</v>
      </c>
      <c r="Y35" s="839">
        <v>0</v>
      </c>
      <c r="Z35" s="851">
        <v>0</v>
      </c>
      <c r="AA35" s="839">
        <v>0</v>
      </c>
      <c r="AB35" s="851">
        <v>0</v>
      </c>
      <c r="AC35" s="839">
        <v>0</v>
      </c>
      <c r="AD35" s="851">
        <v>391</v>
      </c>
      <c r="AE35" s="839">
        <v>184.08752228194177</v>
      </c>
      <c r="AF35" s="851">
        <v>0</v>
      </c>
      <c r="AG35" s="867"/>
      <c r="AH35" s="839">
        <v>202.33697172952878</v>
      </c>
      <c r="AI35" s="851">
        <v>0</v>
      </c>
      <c r="AJ35" s="867"/>
      <c r="AK35" s="839">
        <v>278.42593120908015</v>
      </c>
      <c r="AL35" s="851">
        <v>0</v>
      </c>
      <c r="AM35" s="856"/>
      <c r="AN35" s="839">
        <v>166.3792122642065</v>
      </c>
      <c r="AO35" s="851">
        <v>0</v>
      </c>
      <c r="AP35" s="856"/>
      <c r="AQ35" s="839">
        <v>0</v>
      </c>
      <c r="AR35" s="851">
        <v>0</v>
      </c>
      <c r="AS35" s="856"/>
      <c r="AT35" s="839">
        <v>99.57945223095534</v>
      </c>
      <c r="AU35" s="851">
        <v>0</v>
      </c>
      <c r="AV35" s="856"/>
      <c r="AW35" s="839">
        <v>0</v>
      </c>
      <c r="AX35" s="851">
        <v>0</v>
      </c>
      <c r="AY35" s="856"/>
      <c r="AZ35" s="845">
        <v>930.8090897157125</v>
      </c>
      <c r="BA35" s="845">
        <v>0</v>
      </c>
      <c r="BB35" s="846">
        <v>-930.8090897157125</v>
      </c>
      <c r="BD35" s="2">
        <v>2</v>
      </c>
      <c r="BF35" s="787">
        <v>8.1097170444493685</v>
      </c>
      <c r="BG35" s="325">
        <v>150000974</v>
      </c>
      <c r="BI35" s="847">
        <v>0</v>
      </c>
      <c r="BJ35" s="847">
        <v>0</v>
      </c>
      <c r="BK35" s="847">
        <v>0</v>
      </c>
      <c r="BL35" s="848"/>
      <c r="BM35" s="3"/>
      <c r="BN35" s="3"/>
      <c r="BP35" s="3"/>
      <c r="BQ35" s="3"/>
      <c r="BS35" s="42" t="s">
        <v>203</v>
      </c>
    </row>
    <row r="36" spans="1:71" ht="24.9" customHeight="1" x14ac:dyDescent="0.3">
      <c r="A36" s="325">
        <v>150000975</v>
      </c>
      <c r="B36" s="849" t="s">
        <v>204</v>
      </c>
      <c r="C36" s="850">
        <v>4</v>
      </c>
      <c r="D36" s="101" t="s">
        <v>455</v>
      </c>
      <c r="E36" s="279">
        <v>3253.33</v>
      </c>
      <c r="F36" s="838">
        <v>4323.9715266595067</v>
      </c>
      <c r="G36" s="838">
        <v>521</v>
      </c>
      <c r="H36" s="838">
        <v>-3802.9715266595067</v>
      </c>
      <c r="I36" s="839">
        <v>0</v>
      </c>
      <c r="J36" s="851">
        <v>0</v>
      </c>
      <c r="K36" s="852"/>
      <c r="L36" s="839">
        <v>0</v>
      </c>
      <c r="M36" s="851">
        <v>0</v>
      </c>
      <c r="N36" s="853"/>
      <c r="O36" s="839">
        <v>0</v>
      </c>
      <c r="P36" s="851">
        <v>0</v>
      </c>
      <c r="Q36" s="854"/>
      <c r="R36" s="839">
        <v>0</v>
      </c>
      <c r="S36" s="851">
        <v>0</v>
      </c>
      <c r="T36" s="855"/>
      <c r="U36" s="839">
        <v>0</v>
      </c>
      <c r="V36" s="851">
        <v>0</v>
      </c>
      <c r="W36" s="839">
        <v>0</v>
      </c>
      <c r="X36" s="851">
        <v>0</v>
      </c>
      <c r="Y36" s="839">
        <v>0</v>
      </c>
      <c r="Z36" s="851">
        <v>0</v>
      </c>
      <c r="AA36" s="839">
        <v>0</v>
      </c>
      <c r="AB36" s="851">
        <v>0</v>
      </c>
      <c r="AC36" s="839">
        <v>0</v>
      </c>
      <c r="AD36" s="851">
        <v>521</v>
      </c>
      <c r="AE36" s="839">
        <v>277.79676139153776</v>
      </c>
      <c r="AF36" s="851">
        <v>270</v>
      </c>
      <c r="AG36" s="856"/>
      <c r="AH36" s="839">
        <v>416.66744932240522</v>
      </c>
      <c r="AI36" s="851">
        <v>0</v>
      </c>
      <c r="AJ36" s="856"/>
      <c r="AK36" s="839">
        <v>404.66261151588901</v>
      </c>
      <c r="AL36" s="851">
        <v>0</v>
      </c>
      <c r="AM36" s="856"/>
      <c r="AN36" s="839">
        <v>0</v>
      </c>
      <c r="AO36" s="851">
        <v>0</v>
      </c>
      <c r="AP36" s="856"/>
      <c r="AQ36" s="839">
        <v>0</v>
      </c>
      <c r="AR36" s="851">
        <v>0</v>
      </c>
      <c r="AS36" s="856"/>
      <c r="AT36" s="839">
        <v>182.40649484309614</v>
      </c>
      <c r="AU36" s="851">
        <v>0</v>
      </c>
      <c r="AV36" s="856"/>
      <c r="AW36" s="839">
        <v>0</v>
      </c>
      <c r="AX36" s="851">
        <v>0</v>
      </c>
      <c r="AY36" s="856"/>
      <c r="AZ36" s="845">
        <v>1281.5333170729282</v>
      </c>
      <c r="BA36" s="845">
        <v>270</v>
      </c>
      <c r="BB36" s="846">
        <v>-1011.5333170729282</v>
      </c>
      <c r="BD36" s="2">
        <v>2</v>
      </c>
      <c r="BF36" s="787">
        <v>11.395042545607257</v>
      </c>
      <c r="BG36" s="325">
        <v>150000975</v>
      </c>
      <c r="BI36" s="847">
        <v>0</v>
      </c>
      <c r="BJ36" s="847">
        <v>0</v>
      </c>
      <c r="BK36" s="847">
        <v>0</v>
      </c>
      <c r="BL36" s="848"/>
      <c r="BM36" s="3"/>
      <c r="BN36" s="3"/>
      <c r="BP36" s="3"/>
      <c r="BQ36" s="3"/>
      <c r="BS36" s="42" t="s">
        <v>204</v>
      </c>
    </row>
    <row r="37" spans="1:71" ht="24.9" customHeight="1" x14ac:dyDescent="0.3">
      <c r="A37" s="325">
        <v>150000976</v>
      </c>
      <c r="B37" s="849" t="s">
        <v>150</v>
      </c>
      <c r="C37" s="850">
        <v>2</v>
      </c>
      <c r="D37" s="101" t="s">
        <v>455</v>
      </c>
      <c r="E37" s="279">
        <v>924.5</v>
      </c>
      <c r="F37" s="838">
        <v>1612.6337968136643</v>
      </c>
      <c r="G37" s="838">
        <v>391</v>
      </c>
      <c r="H37" s="838">
        <v>-1221.6337968136643</v>
      </c>
      <c r="I37" s="839">
        <v>0</v>
      </c>
      <c r="J37" s="851">
        <v>0</v>
      </c>
      <c r="K37" s="852"/>
      <c r="L37" s="839">
        <v>0</v>
      </c>
      <c r="M37" s="851">
        <v>0</v>
      </c>
      <c r="N37" s="853"/>
      <c r="O37" s="839">
        <v>0</v>
      </c>
      <c r="P37" s="851">
        <v>0</v>
      </c>
      <c r="Q37" s="854"/>
      <c r="R37" s="839">
        <v>0</v>
      </c>
      <c r="S37" s="851">
        <v>0</v>
      </c>
      <c r="T37" s="855"/>
      <c r="U37" s="839">
        <v>0</v>
      </c>
      <c r="V37" s="851">
        <v>0</v>
      </c>
      <c r="W37" s="839">
        <v>0</v>
      </c>
      <c r="X37" s="851">
        <v>0</v>
      </c>
      <c r="Y37" s="839">
        <v>0</v>
      </c>
      <c r="Z37" s="851">
        <v>0</v>
      </c>
      <c r="AA37" s="839">
        <v>0</v>
      </c>
      <c r="AB37" s="851">
        <v>0</v>
      </c>
      <c r="AC37" s="839">
        <v>0</v>
      </c>
      <c r="AD37" s="851">
        <v>391</v>
      </c>
      <c r="AE37" s="839">
        <v>136.67164351341606</v>
      </c>
      <c r="AF37" s="851">
        <v>0</v>
      </c>
      <c r="AG37" s="856"/>
      <c r="AH37" s="839">
        <v>178.18470192067068</v>
      </c>
      <c r="AI37" s="851">
        <v>0</v>
      </c>
      <c r="AJ37" s="856"/>
      <c r="AK37" s="839">
        <v>92.228281868088715</v>
      </c>
      <c r="AL37" s="851">
        <v>0</v>
      </c>
      <c r="AM37" s="856"/>
      <c r="AN37" s="839">
        <v>61.697166401660027</v>
      </c>
      <c r="AO37" s="851">
        <v>0</v>
      </c>
      <c r="AP37" s="856"/>
      <c r="AQ37" s="839">
        <v>0</v>
      </c>
      <c r="AR37" s="851">
        <v>0</v>
      </c>
      <c r="AS37" s="856"/>
      <c r="AT37" s="839">
        <v>29.632726397869654</v>
      </c>
      <c r="AU37" s="851">
        <v>0</v>
      </c>
      <c r="AV37" s="856"/>
      <c r="AW37" s="839">
        <v>59.090917443770564</v>
      </c>
      <c r="AX37" s="851">
        <v>0</v>
      </c>
      <c r="AY37" s="856"/>
      <c r="AZ37" s="845">
        <v>557.50543754547573</v>
      </c>
      <c r="BA37" s="845">
        <v>0</v>
      </c>
      <c r="BB37" s="846">
        <v>-557.50543754547573</v>
      </c>
      <c r="BD37" s="2">
        <v>2</v>
      </c>
      <c r="BF37" s="787">
        <v>3.6637091516121232</v>
      </c>
      <c r="BG37" s="325">
        <v>150000976</v>
      </c>
      <c r="BI37" s="847">
        <v>0</v>
      </c>
      <c r="BJ37" s="847">
        <v>0</v>
      </c>
      <c r="BK37" s="847">
        <v>0</v>
      </c>
      <c r="BL37" s="848"/>
      <c r="BM37" s="3"/>
      <c r="BN37" s="3"/>
      <c r="BP37" s="3"/>
      <c r="BQ37" s="3"/>
      <c r="BS37" s="42" t="s">
        <v>150</v>
      </c>
    </row>
    <row r="38" spans="1:71" ht="24.9" customHeight="1" x14ac:dyDescent="0.3">
      <c r="A38" s="325">
        <v>150000977</v>
      </c>
      <c r="B38" s="849" t="s">
        <v>151</v>
      </c>
      <c r="C38" s="850">
        <v>2</v>
      </c>
      <c r="D38" s="101" t="s">
        <v>455</v>
      </c>
      <c r="E38" s="279">
        <v>909.2</v>
      </c>
      <c r="F38" s="838">
        <v>2178.8177220652046</v>
      </c>
      <c r="G38" s="838">
        <v>391</v>
      </c>
      <c r="H38" s="838">
        <v>-1787.8177220652046</v>
      </c>
      <c r="I38" s="839">
        <v>0</v>
      </c>
      <c r="J38" s="851">
        <v>0</v>
      </c>
      <c r="K38" s="852"/>
      <c r="L38" s="839">
        <v>0</v>
      </c>
      <c r="M38" s="851">
        <v>0</v>
      </c>
      <c r="N38" s="853"/>
      <c r="O38" s="839">
        <v>0</v>
      </c>
      <c r="P38" s="851">
        <v>0</v>
      </c>
      <c r="Q38" s="854"/>
      <c r="R38" s="839">
        <v>0</v>
      </c>
      <c r="S38" s="851">
        <v>0</v>
      </c>
      <c r="T38" s="855"/>
      <c r="U38" s="839">
        <v>0</v>
      </c>
      <c r="V38" s="851">
        <v>0</v>
      </c>
      <c r="W38" s="839">
        <v>0</v>
      </c>
      <c r="X38" s="851">
        <v>0</v>
      </c>
      <c r="Y38" s="839">
        <v>0</v>
      </c>
      <c r="Z38" s="851">
        <v>0</v>
      </c>
      <c r="AA38" s="839">
        <v>0</v>
      </c>
      <c r="AB38" s="851">
        <v>0</v>
      </c>
      <c r="AC38" s="839">
        <v>0</v>
      </c>
      <c r="AD38" s="851">
        <v>391</v>
      </c>
      <c r="AE38" s="839">
        <v>134.92297425237206</v>
      </c>
      <c r="AF38" s="851">
        <v>0</v>
      </c>
      <c r="AG38" s="856"/>
      <c r="AH38" s="839">
        <v>178.18470192067068</v>
      </c>
      <c r="AI38" s="851">
        <v>0</v>
      </c>
      <c r="AJ38" s="856"/>
      <c r="AK38" s="839">
        <v>105.77277688990097</v>
      </c>
      <c r="AL38" s="851">
        <v>0</v>
      </c>
      <c r="AM38" s="856"/>
      <c r="AN38" s="839">
        <v>0</v>
      </c>
      <c r="AO38" s="851">
        <v>0</v>
      </c>
      <c r="AP38" s="856"/>
      <c r="AQ38" s="839">
        <v>0</v>
      </c>
      <c r="AR38" s="851">
        <v>0</v>
      </c>
      <c r="AS38" s="856"/>
      <c r="AT38" s="839">
        <v>29.632726397869654</v>
      </c>
      <c r="AU38" s="851">
        <v>0</v>
      </c>
      <c r="AV38" s="856"/>
      <c r="AW38" s="839">
        <v>0</v>
      </c>
      <c r="AX38" s="851">
        <v>0</v>
      </c>
      <c r="AY38" s="856"/>
      <c r="AZ38" s="845">
        <v>448.51317946081332</v>
      </c>
      <c r="BA38" s="845">
        <v>0</v>
      </c>
      <c r="BB38" s="846">
        <v>-448.51317946081332</v>
      </c>
      <c r="BD38" s="2">
        <v>2</v>
      </c>
      <c r="BF38" s="787">
        <v>3.1705916212163796</v>
      </c>
      <c r="BG38" s="325">
        <v>150000977</v>
      </c>
      <c r="BI38" s="847">
        <v>0</v>
      </c>
      <c r="BJ38" s="847">
        <v>0</v>
      </c>
      <c r="BK38" s="847">
        <v>0</v>
      </c>
      <c r="BL38" s="848"/>
      <c r="BM38" s="3"/>
      <c r="BN38" s="3"/>
      <c r="BP38" s="3"/>
      <c r="BQ38" s="3"/>
      <c r="BS38" s="42" t="s">
        <v>151</v>
      </c>
    </row>
    <row r="39" spans="1:71" ht="24.9" customHeight="1" x14ac:dyDescent="0.3">
      <c r="A39" s="325">
        <v>150000978</v>
      </c>
      <c r="B39" s="849" t="s">
        <v>244</v>
      </c>
      <c r="C39" s="850">
        <v>5</v>
      </c>
      <c r="D39" s="101" t="s">
        <v>455</v>
      </c>
      <c r="E39" s="279">
        <v>1867.1</v>
      </c>
      <c r="F39" s="838">
        <v>3816.6006608944781</v>
      </c>
      <c r="G39" s="838">
        <v>261</v>
      </c>
      <c r="H39" s="838">
        <v>-3555.6006608944781</v>
      </c>
      <c r="I39" s="839">
        <v>0</v>
      </c>
      <c r="J39" s="851">
        <v>0</v>
      </c>
      <c r="K39" s="852"/>
      <c r="L39" s="839">
        <v>0</v>
      </c>
      <c r="M39" s="851">
        <v>0</v>
      </c>
      <c r="N39" s="853"/>
      <c r="O39" s="839">
        <v>0</v>
      </c>
      <c r="P39" s="851">
        <v>0</v>
      </c>
      <c r="Q39" s="854"/>
      <c r="R39" s="839">
        <v>0</v>
      </c>
      <c r="S39" s="851">
        <v>0</v>
      </c>
      <c r="T39" s="855"/>
      <c r="U39" s="839">
        <v>0</v>
      </c>
      <c r="V39" s="851">
        <v>0</v>
      </c>
      <c r="W39" s="839">
        <v>0</v>
      </c>
      <c r="X39" s="851">
        <v>0</v>
      </c>
      <c r="Y39" s="839">
        <v>0</v>
      </c>
      <c r="Z39" s="851">
        <v>0</v>
      </c>
      <c r="AA39" s="839">
        <v>0</v>
      </c>
      <c r="AB39" s="851">
        <v>0</v>
      </c>
      <c r="AC39" s="839">
        <v>0</v>
      </c>
      <c r="AD39" s="851">
        <v>261</v>
      </c>
      <c r="AE39" s="839">
        <v>169.22371489358517</v>
      </c>
      <c r="AF39" s="851">
        <v>0</v>
      </c>
      <c r="AG39" s="856"/>
      <c r="AH39" s="839">
        <v>225.284932994836</v>
      </c>
      <c r="AI39" s="851">
        <v>0</v>
      </c>
      <c r="AJ39" s="856"/>
      <c r="AK39" s="839">
        <v>197.05114053367473</v>
      </c>
      <c r="AL39" s="851">
        <v>0</v>
      </c>
      <c r="AM39" s="856"/>
      <c r="AN39" s="839">
        <v>0</v>
      </c>
      <c r="AO39" s="851">
        <v>0</v>
      </c>
      <c r="AP39" s="856"/>
      <c r="AQ39" s="839">
        <v>0</v>
      </c>
      <c r="AR39" s="851">
        <v>0</v>
      </c>
      <c r="AS39" s="856"/>
      <c r="AT39" s="839">
        <v>65.725572763423372</v>
      </c>
      <c r="AU39" s="851">
        <v>711</v>
      </c>
      <c r="AV39" s="856"/>
      <c r="AW39" s="839">
        <v>0</v>
      </c>
      <c r="AX39" s="851">
        <v>0</v>
      </c>
      <c r="AY39" s="856"/>
      <c r="AZ39" s="845">
        <v>657.28536118551915</v>
      </c>
      <c r="BA39" s="845">
        <v>711</v>
      </c>
      <c r="BB39" s="846">
        <v>53.71463881448085</v>
      </c>
      <c r="BD39" s="2">
        <v>2</v>
      </c>
      <c r="BF39" s="787">
        <v>6.5390606605248003</v>
      </c>
      <c r="BG39" s="325">
        <v>150000978</v>
      </c>
      <c r="BI39" s="847">
        <v>0</v>
      </c>
      <c r="BJ39" s="847">
        <v>0</v>
      </c>
      <c r="BK39" s="847">
        <v>0</v>
      </c>
      <c r="BL39" s="848"/>
      <c r="BM39" s="3"/>
      <c r="BN39" s="3"/>
      <c r="BP39" s="3"/>
      <c r="BQ39" s="3"/>
      <c r="BS39" s="42" t="s">
        <v>244</v>
      </c>
    </row>
    <row r="40" spans="1:71" ht="24.9" customHeight="1" x14ac:dyDescent="0.3">
      <c r="A40" s="325">
        <v>150000966</v>
      </c>
      <c r="B40" s="849" t="s">
        <v>205</v>
      </c>
      <c r="C40" s="850">
        <v>4</v>
      </c>
      <c r="D40" s="101" t="s">
        <v>455</v>
      </c>
      <c r="E40" s="279">
        <v>1172.81</v>
      </c>
      <c r="F40" s="838">
        <v>2208.9486094834106</v>
      </c>
      <c r="G40" s="838">
        <v>261</v>
      </c>
      <c r="H40" s="838">
        <v>-1947.9486094834106</v>
      </c>
      <c r="I40" s="839">
        <v>0</v>
      </c>
      <c r="J40" s="851">
        <v>0</v>
      </c>
      <c r="K40" s="852"/>
      <c r="L40" s="839">
        <v>0</v>
      </c>
      <c r="M40" s="851">
        <v>0</v>
      </c>
      <c r="N40" s="853"/>
      <c r="O40" s="839">
        <v>0</v>
      </c>
      <c r="P40" s="851">
        <v>0</v>
      </c>
      <c r="Q40" s="854"/>
      <c r="R40" s="839">
        <v>0</v>
      </c>
      <c r="S40" s="851">
        <v>0</v>
      </c>
      <c r="T40" s="855"/>
      <c r="U40" s="839">
        <v>0</v>
      </c>
      <c r="V40" s="851">
        <v>0</v>
      </c>
      <c r="W40" s="839">
        <v>0</v>
      </c>
      <c r="X40" s="851">
        <v>0</v>
      </c>
      <c r="Y40" s="839">
        <v>0</v>
      </c>
      <c r="Z40" s="851">
        <v>0</v>
      </c>
      <c r="AA40" s="839">
        <v>0</v>
      </c>
      <c r="AB40" s="851">
        <v>0</v>
      </c>
      <c r="AC40" s="839">
        <v>0</v>
      </c>
      <c r="AD40" s="851">
        <v>261</v>
      </c>
      <c r="AE40" s="839">
        <v>134.16117568240614</v>
      </c>
      <c r="AF40" s="851">
        <v>0</v>
      </c>
      <c r="AG40" s="856"/>
      <c r="AH40" s="839">
        <v>193.62587533250806</v>
      </c>
      <c r="AI40" s="851">
        <v>0</v>
      </c>
      <c r="AJ40" s="856"/>
      <c r="AK40" s="839">
        <v>134.29499378403258</v>
      </c>
      <c r="AL40" s="851">
        <v>0</v>
      </c>
      <c r="AM40" s="856"/>
      <c r="AN40" s="839">
        <v>0</v>
      </c>
      <c r="AO40" s="851">
        <v>0</v>
      </c>
      <c r="AP40" s="856"/>
      <c r="AQ40" s="839">
        <v>0</v>
      </c>
      <c r="AR40" s="851">
        <v>0</v>
      </c>
      <c r="AS40" s="856"/>
      <c r="AT40" s="839">
        <v>57.335008608429149</v>
      </c>
      <c r="AU40" s="851">
        <v>0</v>
      </c>
      <c r="AV40" s="856"/>
      <c r="AW40" s="839">
        <v>0</v>
      </c>
      <c r="AX40" s="851">
        <v>0</v>
      </c>
      <c r="AY40" s="856"/>
      <c r="AZ40" s="845">
        <v>519.41705340737587</v>
      </c>
      <c r="BA40" s="845">
        <v>0</v>
      </c>
      <c r="BB40" s="846">
        <v>-519.41705340737587</v>
      </c>
      <c r="BD40" s="2">
        <v>2</v>
      </c>
      <c r="BF40" s="787">
        <v>4.1242907313162709</v>
      </c>
      <c r="BG40" s="325">
        <v>150000966</v>
      </c>
      <c r="BI40" s="847">
        <v>0</v>
      </c>
      <c r="BJ40" s="847">
        <v>0</v>
      </c>
      <c r="BK40" s="847">
        <v>0</v>
      </c>
      <c r="BL40" s="848"/>
      <c r="BM40" s="3"/>
      <c r="BN40" s="3"/>
      <c r="BP40" s="3"/>
      <c r="BQ40" s="3"/>
      <c r="BS40" s="42" t="s">
        <v>205</v>
      </c>
    </row>
    <row r="41" spans="1:71" ht="24.9" customHeight="1" x14ac:dyDescent="0.3">
      <c r="A41" s="325">
        <v>150000967</v>
      </c>
      <c r="B41" s="849" t="s">
        <v>206</v>
      </c>
      <c r="C41" s="850">
        <v>4</v>
      </c>
      <c r="D41" s="101" t="s">
        <v>455</v>
      </c>
      <c r="E41" s="279">
        <v>1448.3</v>
      </c>
      <c r="F41" s="838">
        <v>2184.8415673809905</v>
      </c>
      <c r="G41" s="838">
        <v>303.31833849334635</v>
      </c>
      <c r="H41" s="838">
        <v>-1881.5232288876441</v>
      </c>
      <c r="I41" s="839">
        <v>0</v>
      </c>
      <c r="J41" s="851">
        <v>0</v>
      </c>
      <c r="K41" s="852"/>
      <c r="L41" s="839">
        <v>0</v>
      </c>
      <c r="M41" s="851">
        <v>0</v>
      </c>
      <c r="N41" s="868"/>
      <c r="O41" s="839">
        <v>0</v>
      </c>
      <c r="P41" s="851">
        <v>0</v>
      </c>
      <c r="Q41" s="854"/>
      <c r="R41" s="839">
        <v>0</v>
      </c>
      <c r="S41" s="851">
        <v>0</v>
      </c>
      <c r="T41" s="855"/>
      <c r="U41" s="839">
        <v>0</v>
      </c>
      <c r="V41" s="851">
        <v>0</v>
      </c>
      <c r="W41" s="839">
        <v>0</v>
      </c>
      <c r="X41" s="851">
        <v>42.318338493346317</v>
      </c>
      <c r="Y41" s="839">
        <v>0</v>
      </c>
      <c r="Z41" s="851">
        <v>0</v>
      </c>
      <c r="AA41" s="839">
        <v>0</v>
      </c>
      <c r="AB41" s="851">
        <v>0</v>
      </c>
      <c r="AC41" s="839">
        <v>0</v>
      </c>
      <c r="AD41" s="851">
        <v>261</v>
      </c>
      <c r="AE41" s="839">
        <v>146.92028080228897</v>
      </c>
      <c r="AF41" s="851">
        <v>0</v>
      </c>
      <c r="AG41" s="856"/>
      <c r="AH41" s="839">
        <v>199.98679498901538</v>
      </c>
      <c r="AI41" s="851">
        <v>0</v>
      </c>
      <c r="AJ41" s="856"/>
      <c r="AK41" s="839">
        <v>191.36245860498491</v>
      </c>
      <c r="AL41" s="851">
        <v>0</v>
      </c>
      <c r="AM41" s="856"/>
      <c r="AN41" s="839">
        <v>0</v>
      </c>
      <c r="AO41" s="851">
        <v>0</v>
      </c>
      <c r="AP41" s="856"/>
      <c r="AQ41" s="839">
        <v>0</v>
      </c>
      <c r="AR41" s="851">
        <v>0</v>
      </c>
      <c r="AS41" s="856"/>
      <c r="AT41" s="839">
        <v>60.056140153587386</v>
      </c>
      <c r="AU41" s="851">
        <v>0</v>
      </c>
      <c r="AV41" s="856"/>
      <c r="AW41" s="839">
        <v>0</v>
      </c>
      <c r="AX41" s="851">
        <v>0</v>
      </c>
      <c r="AY41" s="856"/>
      <c r="AZ41" s="845">
        <v>598.32567454987668</v>
      </c>
      <c r="BA41" s="845">
        <v>0</v>
      </c>
      <c r="BB41" s="846">
        <v>-598.32567454987668</v>
      </c>
      <c r="BD41" s="2">
        <v>2</v>
      </c>
      <c r="BF41" s="787">
        <v>5.2330697011173255</v>
      </c>
      <c r="BG41" s="325">
        <v>150000967</v>
      </c>
      <c r="BI41" s="847">
        <v>19.25</v>
      </c>
      <c r="BJ41" s="847">
        <v>1.8890688010046606</v>
      </c>
      <c r="BK41" s="847">
        <v>21.139068801004662</v>
      </c>
      <c r="BL41" s="848"/>
      <c r="BM41" s="3"/>
      <c r="BN41" s="3"/>
      <c r="BP41" s="3"/>
      <c r="BQ41" s="3"/>
      <c r="BS41" s="42" t="s">
        <v>206</v>
      </c>
    </row>
    <row r="42" spans="1:71" ht="24.9" customHeight="1" x14ac:dyDescent="0.3">
      <c r="A42" s="325">
        <v>150000968</v>
      </c>
      <c r="B42" s="849" t="s">
        <v>245</v>
      </c>
      <c r="C42" s="850">
        <v>5</v>
      </c>
      <c r="D42" s="101" t="s">
        <v>455</v>
      </c>
      <c r="E42" s="279">
        <v>2117.4</v>
      </c>
      <c r="F42" s="838">
        <v>2320.279880842194</v>
      </c>
      <c r="G42" s="838">
        <v>318.70682521819953</v>
      </c>
      <c r="H42" s="838">
        <v>-2001.5730556239944</v>
      </c>
      <c r="I42" s="839">
        <v>0</v>
      </c>
      <c r="J42" s="851">
        <v>0</v>
      </c>
      <c r="K42" s="852"/>
      <c r="L42" s="839">
        <v>0</v>
      </c>
      <c r="M42" s="851">
        <v>0</v>
      </c>
      <c r="N42" s="853"/>
      <c r="O42" s="839">
        <v>0</v>
      </c>
      <c r="P42" s="851">
        <v>0</v>
      </c>
      <c r="Q42" s="854"/>
      <c r="R42" s="839">
        <v>0</v>
      </c>
      <c r="S42" s="851">
        <v>0</v>
      </c>
      <c r="T42" s="855"/>
      <c r="U42" s="839">
        <v>0</v>
      </c>
      <c r="V42" s="851">
        <v>0</v>
      </c>
      <c r="W42" s="839">
        <v>0</v>
      </c>
      <c r="X42" s="851">
        <v>57.706825218199526</v>
      </c>
      <c r="Y42" s="839">
        <v>0</v>
      </c>
      <c r="Z42" s="851">
        <v>0</v>
      </c>
      <c r="AA42" s="839">
        <v>0</v>
      </c>
      <c r="AB42" s="851">
        <v>0</v>
      </c>
      <c r="AC42" s="839">
        <v>0</v>
      </c>
      <c r="AD42" s="851">
        <v>261</v>
      </c>
      <c r="AE42" s="839">
        <v>169.22371489358517</v>
      </c>
      <c r="AF42" s="851">
        <v>0</v>
      </c>
      <c r="AG42" s="856"/>
      <c r="AH42" s="839">
        <v>225.284932994836</v>
      </c>
      <c r="AI42" s="851">
        <v>0</v>
      </c>
      <c r="AJ42" s="856"/>
      <c r="AK42" s="839">
        <v>274.70400539597944</v>
      </c>
      <c r="AL42" s="851">
        <v>0</v>
      </c>
      <c r="AM42" s="856"/>
      <c r="AN42" s="839">
        <v>0</v>
      </c>
      <c r="AO42" s="851">
        <v>0</v>
      </c>
      <c r="AP42" s="856"/>
      <c r="AQ42" s="839">
        <v>0</v>
      </c>
      <c r="AR42" s="851">
        <v>0</v>
      </c>
      <c r="AS42" s="856"/>
      <c r="AT42" s="839">
        <v>70.037170653702944</v>
      </c>
      <c r="AU42" s="851">
        <v>711</v>
      </c>
      <c r="AV42" s="856"/>
      <c r="AW42" s="839">
        <v>0</v>
      </c>
      <c r="AX42" s="851">
        <v>0</v>
      </c>
      <c r="AY42" s="856"/>
      <c r="AZ42" s="845">
        <v>739.24982393810353</v>
      </c>
      <c r="BA42" s="845">
        <v>711</v>
      </c>
      <c r="BB42" s="846">
        <v>-28.249823938103532</v>
      </c>
      <c r="BD42" s="2">
        <v>2</v>
      </c>
      <c r="BF42" s="787">
        <v>8.0478321952867766</v>
      </c>
      <c r="BG42" s="325">
        <v>150000968</v>
      </c>
      <c r="BI42" s="847">
        <v>26.25</v>
      </c>
      <c r="BJ42" s="847">
        <v>2.5760029104609008</v>
      </c>
      <c r="BK42" s="847">
        <v>28.8260029104609</v>
      </c>
      <c r="BL42" s="848"/>
      <c r="BM42" s="3"/>
      <c r="BN42" s="3"/>
      <c r="BP42" s="3"/>
      <c r="BQ42" s="3"/>
      <c r="BS42" s="42" t="s">
        <v>245</v>
      </c>
    </row>
    <row r="43" spans="1:71" ht="24.9" customHeight="1" x14ac:dyDescent="0.3">
      <c r="A43" s="325">
        <v>150000981</v>
      </c>
      <c r="B43" s="849" t="s">
        <v>343</v>
      </c>
      <c r="C43" s="850">
        <v>9</v>
      </c>
      <c r="D43" s="101" t="s">
        <v>455</v>
      </c>
      <c r="E43" s="279">
        <v>2214.37</v>
      </c>
      <c r="F43" s="838">
        <v>6396.0179222916759</v>
      </c>
      <c r="G43" s="838">
        <v>73.381098125085728</v>
      </c>
      <c r="H43" s="838">
        <v>-6322.6368241665905</v>
      </c>
      <c r="I43" s="839">
        <v>0</v>
      </c>
      <c r="J43" s="851">
        <v>0</v>
      </c>
      <c r="K43" s="852"/>
      <c r="L43" s="839">
        <v>0</v>
      </c>
      <c r="M43" s="851">
        <v>0</v>
      </c>
      <c r="N43" s="853"/>
      <c r="O43" s="839">
        <v>0</v>
      </c>
      <c r="P43" s="851">
        <v>0</v>
      </c>
      <c r="Q43" s="854"/>
      <c r="R43" s="839">
        <v>0</v>
      </c>
      <c r="S43" s="851">
        <v>0</v>
      </c>
      <c r="T43" s="855"/>
      <c r="U43" s="839">
        <v>0</v>
      </c>
      <c r="V43" s="851">
        <v>0</v>
      </c>
      <c r="W43" s="839">
        <v>0</v>
      </c>
      <c r="X43" s="851">
        <v>73.381098125085728</v>
      </c>
      <c r="Y43" s="839">
        <v>0</v>
      </c>
      <c r="Z43" s="851">
        <v>0</v>
      </c>
      <c r="AA43" s="839">
        <v>0</v>
      </c>
      <c r="AB43" s="851">
        <v>0</v>
      </c>
      <c r="AC43" s="839">
        <v>0</v>
      </c>
      <c r="AD43" s="851">
        <v>0</v>
      </c>
      <c r="AE43" s="839">
        <v>44.924807561176856</v>
      </c>
      <c r="AF43" s="851">
        <v>0</v>
      </c>
      <c r="AG43" s="856"/>
      <c r="AH43" s="839">
        <v>60.844215905779357</v>
      </c>
      <c r="AI43" s="851">
        <v>0</v>
      </c>
      <c r="AJ43" s="867"/>
      <c r="AK43" s="839">
        <v>76.6936654717761</v>
      </c>
      <c r="AL43" s="851">
        <v>0</v>
      </c>
      <c r="AM43" s="857"/>
      <c r="AN43" s="839">
        <v>30.092783099948647</v>
      </c>
      <c r="AO43" s="851">
        <v>0</v>
      </c>
      <c r="AP43" s="856"/>
      <c r="AQ43" s="839">
        <v>13.192247063076561</v>
      </c>
      <c r="AR43" s="851">
        <v>0</v>
      </c>
      <c r="AS43" s="856"/>
      <c r="AT43" s="839">
        <v>34.861306109848641</v>
      </c>
      <c r="AU43" s="851">
        <v>0</v>
      </c>
      <c r="AV43" s="856"/>
      <c r="AW43" s="839">
        <v>0</v>
      </c>
      <c r="AX43" s="851">
        <v>0</v>
      </c>
      <c r="AY43" s="856"/>
      <c r="AZ43" s="845">
        <v>260.60902521160614</v>
      </c>
      <c r="BA43" s="845">
        <v>0</v>
      </c>
      <c r="BB43" s="846">
        <v>-260.60902521160614</v>
      </c>
      <c r="BD43" s="2">
        <v>3</v>
      </c>
      <c r="BF43" s="787">
        <v>42.241076306569418</v>
      </c>
      <c r="BG43" s="325">
        <v>150000981</v>
      </c>
      <c r="BI43" s="847">
        <v>33.380000000000003</v>
      </c>
      <c r="BJ43" s="847">
        <v>3.2756943676641854</v>
      </c>
      <c r="BK43" s="847">
        <v>36.655694367664189</v>
      </c>
      <c r="BL43" s="848"/>
      <c r="BM43" s="3"/>
      <c r="BN43" s="3"/>
      <c r="BP43" s="3"/>
      <c r="BQ43" s="3"/>
      <c r="BS43" s="42" t="s">
        <v>343</v>
      </c>
    </row>
    <row r="44" spans="1:71" ht="24.9" customHeight="1" x14ac:dyDescent="0.3">
      <c r="A44" s="325">
        <v>150000982</v>
      </c>
      <c r="B44" s="849" t="s">
        <v>344</v>
      </c>
      <c r="C44" s="850">
        <v>9</v>
      </c>
      <c r="D44" s="101" t="s">
        <v>455</v>
      </c>
      <c r="E44" s="279">
        <v>5953.29</v>
      </c>
      <c r="F44" s="838">
        <v>18213.04239474616</v>
      </c>
      <c r="G44" s="838">
        <v>2794.9590416738865</v>
      </c>
      <c r="H44" s="838">
        <v>-15418.083353072274</v>
      </c>
      <c r="I44" s="839">
        <v>0</v>
      </c>
      <c r="J44" s="851">
        <v>968</v>
      </c>
      <c r="K44" s="865"/>
      <c r="L44" s="839">
        <v>0</v>
      </c>
      <c r="M44" s="851">
        <v>0</v>
      </c>
      <c r="N44" s="853"/>
      <c r="O44" s="839">
        <v>0</v>
      </c>
      <c r="P44" s="851">
        <v>0</v>
      </c>
      <c r="Q44" s="869"/>
      <c r="R44" s="839">
        <v>0</v>
      </c>
      <c r="S44" s="851">
        <v>0</v>
      </c>
      <c r="T44" s="870"/>
      <c r="U44" s="839">
        <v>0</v>
      </c>
      <c r="V44" s="851">
        <v>0</v>
      </c>
      <c r="W44" s="839">
        <v>0</v>
      </c>
      <c r="X44" s="851">
        <v>142.9590416738863</v>
      </c>
      <c r="Y44" s="839">
        <v>0</v>
      </c>
      <c r="Z44" s="851">
        <v>0</v>
      </c>
      <c r="AA44" s="839">
        <v>0</v>
      </c>
      <c r="AB44" s="851">
        <v>162</v>
      </c>
      <c r="AC44" s="839">
        <v>1522</v>
      </c>
      <c r="AD44" s="851">
        <v>0</v>
      </c>
      <c r="AE44" s="839">
        <v>81.224311988646505</v>
      </c>
      <c r="AF44" s="851">
        <v>0</v>
      </c>
      <c r="AG44" s="867"/>
      <c r="AH44" s="839">
        <v>181.73049913413948</v>
      </c>
      <c r="AI44" s="851">
        <v>1643</v>
      </c>
      <c r="AJ44" s="856"/>
      <c r="AK44" s="839">
        <v>211.62743048370936</v>
      </c>
      <c r="AL44" s="851">
        <v>0</v>
      </c>
      <c r="AM44" s="857"/>
      <c r="AN44" s="839">
        <v>71.036897363237614</v>
      </c>
      <c r="AO44" s="851">
        <v>0</v>
      </c>
      <c r="AP44" s="856"/>
      <c r="AQ44" s="839">
        <v>39.576724851099698</v>
      </c>
      <c r="AR44" s="851">
        <v>0</v>
      </c>
      <c r="AS44" s="867"/>
      <c r="AT44" s="839">
        <v>48.871603317094689</v>
      </c>
      <c r="AU44" s="851">
        <v>0</v>
      </c>
      <c r="AV44" s="856"/>
      <c r="AW44" s="839">
        <v>0</v>
      </c>
      <c r="AX44" s="851">
        <v>0</v>
      </c>
      <c r="AY44" s="856"/>
      <c r="AZ44" s="845">
        <v>634.06746713792734</v>
      </c>
      <c r="BA44" s="845">
        <v>1643</v>
      </c>
      <c r="BB44" s="846">
        <v>1008.9325328620727</v>
      </c>
      <c r="BD44" s="2">
        <v>3</v>
      </c>
      <c r="BF44" s="787">
        <v>54.101435326374187</v>
      </c>
      <c r="BG44" s="325">
        <v>150000982</v>
      </c>
      <c r="BI44" s="847">
        <v>65.03</v>
      </c>
      <c r="BJ44" s="847">
        <v>6.3816178768484715</v>
      </c>
      <c r="BK44" s="847">
        <v>71.411617876848467</v>
      </c>
      <c r="BL44" s="848"/>
      <c r="BM44" s="3"/>
      <c r="BN44" s="3"/>
      <c r="BP44" s="3"/>
      <c r="BQ44" s="3"/>
      <c r="BS44" s="42" t="s">
        <v>344</v>
      </c>
    </row>
    <row r="45" spans="1:71" ht="24.9" customHeight="1" x14ac:dyDescent="0.3">
      <c r="A45" s="325">
        <v>150000983</v>
      </c>
      <c r="B45" s="849" t="s">
        <v>345</v>
      </c>
      <c r="C45" s="850">
        <v>9</v>
      </c>
      <c r="D45" s="101" t="s">
        <v>455</v>
      </c>
      <c r="E45" s="279">
        <v>3858.65</v>
      </c>
      <c r="F45" s="838">
        <v>11470.045882700299</v>
      </c>
      <c r="G45" s="838">
        <v>809</v>
      </c>
      <c r="H45" s="838">
        <v>-10661.045882700299</v>
      </c>
      <c r="I45" s="839">
        <v>0</v>
      </c>
      <c r="J45" s="851">
        <v>0</v>
      </c>
      <c r="K45" s="852"/>
      <c r="L45" s="839">
        <v>0</v>
      </c>
      <c r="M45" s="851">
        <v>0</v>
      </c>
      <c r="N45" s="853"/>
      <c r="O45" s="839">
        <v>0</v>
      </c>
      <c r="P45" s="851">
        <v>0</v>
      </c>
      <c r="Q45" s="854"/>
      <c r="R45" s="839">
        <v>0</v>
      </c>
      <c r="S45" s="851">
        <v>0</v>
      </c>
      <c r="T45" s="860"/>
      <c r="U45" s="839">
        <v>0</v>
      </c>
      <c r="V45" s="851">
        <v>0</v>
      </c>
      <c r="W45" s="839">
        <v>0</v>
      </c>
      <c r="X45" s="851">
        <v>0</v>
      </c>
      <c r="Y45" s="839">
        <v>0</v>
      </c>
      <c r="Z45" s="851">
        <v>0</v>
      </c>
      <c r="AA45" s="839">
        <v>0</v>
      </c>
      <c r="AB45" s="851">
        <v>0</v>
      </c>
      <c r="AC45" s="839">
        <v>809</v>
      </c>
      <c r="AD45" s="851">
        <v>0</v>
      </c>
      <c r="AE45" s="839">
        <v>53.40841260932612</v>
      </c>
      <c r="AF45" s="851">
        <v>0</v>
      </c>
      <c r="AG45" s="867"/>
      <c r="AH45" s="839">
        <v>69.151720215382937</v>
      </c>
      <c r="AI45" s="851">
        <v>0</v>
      </c>
      <c r="AJ45" s="856"/>
      <c r="AK45" s="839">
        <v>137.42866535911875</v>
      </c>
      <c r="AL45" s="851">
        <v>0</v>
      </c>
      <c r="AM45" s="856"/>
      <c r="AN45" s="839">
        <v>51.28841910229302</v>
      </c>
      <c r="AO45" s="851">
        <v>0</v>
      </c>
      <c r="AP45" s="856"/>
      <c r="AQ45" s="839">
        <v>26.384494126153122</v>
      </c>
      <c r="AR45" s="851">
        <v>0</v>
      </c>
      <c r="AS45" s="867"/>
      <c r="AT45" s="839">
        <v>44.991929303447613</v>
      </c>
      <c r="AU45" s="851">
        <v>0</v>
      </c>
      <c r="AV45" s="856"/>
      <c r="AW45" s="839">
        <v>0</v>
      </c>
      <c r="AX45" s="851">
        <v>0</v>
      </c>
      <c r="AY45" s="856"/>
      <c r="AZ45" s="845">
        <v>382.65364071572156</v>
      </c>
      <c r="BA45" s="845">
        <v>0</v>
      </c>
      <c r="BB45" s="846">
        <v>-382.65364071572156</v>
      </c>
      <c r="BD45" s="2">
        <v>3</v>
      </c>
      <c r="BF45" s="787">
        <v>47.457082159380519</v>
      </c>
      <c r="BG45" s="325">
        <v>150000983</v>
      </c>
      <c r="BI45" s="847">
        <v>0</v>
      </c>
      <c r="BJ45" s="847">
        <v>0</v>
      </c>
      <c r="BK45" s="847">
        <v>0</v>
      </c>
      <c r="BL45" s="848"/>
      <c r="BM45" s="3"/>
      <c r="BN45" s="3"/>
      <c r="BP45" s="3"/>
      <c r="BQ45" s="3"/>
      <c r="BS45" s="42" t="s">
        <v>345</v>
      </c>
    </row>
    <row r="46" spans="1:71" ht="24.9" customHeight="1" x14ac:dyDescent="0.3">
      <c r="A46" s="325">
        <v>150000984</v>
      </c>
      <c r="B46" s="849" t="s">
        <v>346</v>
      </c>
      <c r="C46" s="850">
        <v>9</v>
      </c>
      <c r="D46" s="101" t="s">
        <v>455</v>
      </c>
      <c r="E46" s="279">
        <v>9788.74</v>
      </c>
      <c r="F46" s="838">
        <v>27808.449636342415</v>
      </c>
      <c r="G46" s="838">
        <v>1811</v>
      </c>
      <c r="H46" s="838">
        <v>-25997.449636342415</v>
      </c>
      <c r="I46" s="839">
        <v>0</v>
      </c>
      <c r="J46" s="851">
        <v>0</v>
      </c>
      <c r="K46" s="852"/>
      <c r="L46" s="839">
        <v>0</v>
      </c>
      <c r="M46" s="851">
        <v>0</v>
      </c>
      <c r="N46" s="853"/>
      <c r="O46" s="839">
        <v>0</v>
      </c>
      <c r="P46" s="851">
        <v>0</v>
      </c>
      <c r="Q46" s="869"/>
      <c r="R46" s="839">
        <v>1</v>
      </c>
      <c r="S46" s="851">
        <v>1811</v>
      </c>
      <c r="T46" s="860"/>
      <c r="U46" s="839">
        <v>0</v>
      </c>
      <c r="V46" s="851">
        <v>0</v>
      </c>
      <c r="W46" s="839">
        <v>0</v>
      </c>
      <c r="X46" s="851">
        <v>0</v>
      </c>
      <c r="Y46" s="839">
        <v>0</v>
      </c>
      <c r="Z46" s="851">
        <v>0</v>
      </c>
      <c r="AA46" s="839">
        <v>0</v>
      </c>
      <c r="AB46" s="851">
        <v>0</v>
      </c>
      <c r="AC46" s="839">
        <v>0</v>
      </c>
      <c r="AD46" s="851">
        <v>0</v>
      </c>
      <c r="AE46" s="839">
        <v>355.3379711336587</v>
      </c>
      <c r="AF46" s="851">
        <v>0</v>
      </c>
      <c r="AG46" s="856"/>
      <c r="AH46" s="839">
        <v>469.58280172270531</v>
      </c>
      <c r="AI46" s="851">
        <v>2922</v>
      </c>
      <c r="AJ46" s="856"/>
      <c r="AK46" s="839">
        <v>919.72733484503044</v>
      </c>
      <c r="AL46" s="851">
        <v>0</v>
      </c>
      <c r="AM46" s="856"/>
      <c r="AN46" s="839">
        <v>270.25810971215151</v>
      </c>
      <c r="AO46" s="851">
        <v>528</v>
      </c>
      <c r="AP46" s="856"/>
      <c r="AQ46" s="839">
        <v>98.941812127749259</v>
      </c>
      <c r="AR46" s="851">
        <v>0</v>
      </c>
      <c r="AS46" s="856"/>
      <c r="AT46" s="839">
        <v>275.07006865002995</v>
      </c>
      <c r="AU46" s="851">
        <v>0</v>
      </c>
      <c r="AV46" s="856"/>
      <c r="AW46" s="839">
        <v>0</v>
      </c>
      <c r="AX46" s="851">
        <v>0</v>
      </c>
      <c r="AY46" s="856"/>
      <c r="AZ46" s="845">
        <v>2388.9180981913255</v>
      </c>
      <c r="BA46" s="845">
        <v>3450</v>
      </c>
      <c r="BB46" s="846">
        <v>1061.0819018086745</v>
      </c>
      <c r="BD46" s="2">
        <v>3</v>
      </c>
      <c r="BF46" s="787">
        <v>31.056687001846775</v>
      </c>
      <c r="BG46" s="325">
        <v>150000984</v>
      </c>
      <c r="BI46" s="847">
        <v>0</v>
      </c>
      <c r="BJ46" s="847">
        <v>0</v>
      </c>
      <c r="BK46" s="847">
        <v>0</v>
      </c>
      <c r="BL46" s="848"/>
      <c r="BM46" s="3"/>
      <c r="BN46" s="3"/>
      <c r="BP46" s="3"/>
      <c r="BQ46" s="3"/>
      <c r="BS46" s="42" t="s">
        <v>346</v>
      </c>
    </row>
    <row r="47" spans="1:71" ht="24.9" customHeight="1" x14ac:dyDescent="0.3">
      <c r="A47" s="325">
        <v>150000986</v>
      </c>
      <c r="B47" s="849" t="s">
        <v>347</v>
      </c>
      <c r="C47" s="850">
        <v>9</v>
      </c>
      <c r="D47" s="101" t="s">
        <v>455</v>
      </c>
      <c r="E47" s="279">
        <v>6581.9</v>
      </c>
      <c r="F47" s="838">
        <v>21999.051572664823</v>
      </c>
      <c r="G47" s="838">
        <v>1245.4252366102812</v>
      </c>
      <c r="H47" s="838">
        <v>-20753.626336054542</v>
      </c>
      <c r="I47" s="839">
        <v>0</v>
      </c>
      <c r="J47" s="851">
        <v>578</v>
      </c>
      <c r="K47" s="865"/>
      <c r="L47" s="839">
        <v>0</v>
      </c>
      <c r="M47" s="851">
        <v>0</v>
      </c>
      <c r="N47" s="853"/>
      <c r="O47" s="839">
        <v>0</v>
      </c>
      <c r="P47" s="851">
        <v>0</v>
      </c>
      <c r="Q47" s="869"/>
      <c r="R47" s="839">
        <v>0</v>
      </c>
      <c r="S47" s="851">
        <v>0</v>
      </c>
      <c r="T47" s="855"/>
      <c r="U47" s="839">
        <v>0</v>
      </c>
      <c r="V47" s="851">
        <v>0</v>
      </c>
      <c r="W47" s="839">
        <v>0</v>
      </c>
      <c r="X47" s="851">
        <v>30.425236610281196</v>
      </c>
      <c r="Y47" s="839">
        <v>0</v>
      </c>
      <c r="Z47" s="851">
        <v>0</v>
      </c>
      <c r="AA47" s="839">
        <v>0</v>
      </c>
      <c r="AB47" s="851">
        <v>0</v>
      </c>
      <c r="AC47" s="839">
        <v>637</v>
      </c>
      <c r="AD47" s="851">
        <v>0</v>
      </c>
      <c r="AE47" s="839">
        <v>237.6327308728423</v>
      </c>
      <c r="AF47" s="851">
        <v>0</v>
      </c>
      <c r="AG47" s="856"/>
      <c r="AH47" s="839">
        <v>313.4952251884107</v>
      </c>
      <c r="AI47" s="851">
        <v>0</v>
      </c>
      <c r="AJ47" s="856"/>
      <c r="AK47" s="839">
        <v>608.83264751210118</v>
      </c>
      <c r="AL47" s="851">
        <v>0</v>
      </c>
      <c r="AM47" s="856"/>
      <c r="AN47" s="839">
        <v>185.8924655995005</v>
      </c>
      <c r="AO47" s="851">
        <v>0</v>
      </c>
      <c r="AP47" s="856"/>
      <c r="AQ47" s="839">
        <v>65.961235315382794</v>
      </c>
      <c r="AR47" s="851">
        <v>0</v>
      </c>
      <c r="AS47" s="856"/>
      <c r="AT47" s="839">
        <v>224.10163676469494</v>
      </c>
      <c r="AU47" s="851">
        <v>0</v>
      </c>
      <c r="AV47" s="856"/>
      <c r="AW47" s="839">
        <v>0</v>
      </c>
      <c r="AX47" s="851">
        <v>0</v>
      </c>
      <c r="AY47" s="856"/>
      <c r="AZ47" s="845">
        <v>1635.9159412529325</v>
      </c>
      <c r="BA47" s="845">
        <v>0</v>
      </c>
      <c r="BB47" s="846">
        <v>-1635.9159412529325</v>
      </c>
      <c r="BD47" s="2">
        <v>3</v>
      </c>
      <c r="BF47" s="787">
        <v>20.891245134824345</v>
      </c>
      <c r="BG47" s="325">
        <v>150000986</v>
      </c>
      <c r="BI47" s="847">
        <v>13.84</v>
      </c>
      <c r="BJ47" s="847">
        <v>1.3581668678391949</v>
      </c>
      <c r="BK47" s="847">
        <v>15.198166867839195</v>
      </c>
      <c r="BL47" s="848"/>
      <c r="BM47" s="3"/>
      <c r="BN47" s="3"/>
      <c r="BP47" s="3"/>
      <c r="BQ47" s="3"/>
      <c r="BS47" s="42" t="s">
        <v>347</v>
      </c>
    </row>
    <row r="48" spans="1:71" ht="24.9" customHeight="1" x14ac:dyDescent="0.3">
      <c r="A48" s="325">
        <v>150000996</v>
      </c>
      <c r="B48" s="849" t="s">
        <v>246</v>
      </c>
      <c r="C48" s="850">
        <v>5</v>
      </c>
      <c r="D48" s="101" t="s">
        <v>455</v>
      </c>
      <c r="E48" s="279">
        <v>3446.77</v>
      </c>
      <c r="F48" s="838">
        <v>7215.6825472452292</v>
      </c>
      <c r="G48" s="838">
        <v>70541</v>
      </c>
      <c r="H48" s="838">
        <v>63325.317452754767</v>
      </c>
      <c r="I48" s="839">
        <v>0</v>
      </c>
      <c r="J48" s="851">
        <v>0</v>
      </c>
      <c r="K48" s="871"/>
      <c r="L48" s="839">
        <v>2</v>
      </c>
      <c r="M48" s="851">
        <v>68768</v>
      </c>
      <c r="N48" s="853"/>
      <c r="O48" s="839">
        <v>0</v>
      </c>
      <c r="P48" s="851">
        <v>0</v>
      </c>
      <c r="Q48" s="854"/>
      <c r="R48" s="839">
        <v>0</v>
      </c>
      <c r="S48" s="851">
        <v>0</v>
      </c>
      <c r="T48" s="855"/>
      <c r="U48" s="839">
        <v>0</v>
      </c>
      <c r="V48" s="851">
        <v>0</v>
      </c>
      <c r="W48" s="839">
        <v>0</v>
      </c>
      <c r="X48" s="851">
        <v>0</v>
      </c>
      <c r="Y48" s="839">
        <v>0</v>
      </c>
      <c r="Z48" s="851">
        <v>0</v>
      </c>
      <c r="AA48" s="839">
        <v>0</v>
      </c>
      <c r="AB48" s="851">
        <v>0</v>
      </c>
      <c r="AC48" s="839">
        <v>1252</v>
      </c>
      <c r="AD48" s="851">
        <v>521</v>
      </c>
      <c r="AE48" s="839">
        <v>312.08924497789428</v>
      </c>
      <c r="AF48" s="851">
        <v>0</v>
      </c>
      <c r="AG48" s="856"/>
      <c r="AH48" s="839">
        <v>438.88707713804558</v>
      </c>
      <c r="AI48" s="851">
        <v>0</v>
      </c>
      <c r="AJ48" s="856"/>
      <c r="AK48" s="839">
        <v>418.3787489409853</v>
      </c>
      <c r="AL48" s="851">
        <v>0</v>
      </c>
      <c r="AM48" s="856"/>
      <c r="AN48" s="839">
        <v>0</v>
      </c>
      <c r="AO48" s="851">
        <v>0</v>
      </c>
      <c r="AP48" s="856"/>
      <c r="AQ48" s="839">
        <v>0</v>
      </c>
      <c r="AR48" s="851">
        <v>0</v>
      </c>
      <c r="AS48" s="856"/>
      <c r="AT48" s="839">
        <v>166.257356798828</v>
      </c>
      <c r="AU48" s="851">
        <v>0</v>
      </c>
      <c r="AV48" s="856"/>
      <c r="AW48" s="839">
        <v>0</v>
      </c>
      <c r="AX48" s="851">
        <v>0</v>
      </c>
      <c r="AY48" s="856"/>
      <c r="AZ48" s="845">
        <v>1335.6124278557531</v>
      </c>
      <c r="BA48" s="845">
        <v>0</v>
      </c>
      <c r="BB48" s="846">
        <v>-1335.6124278557531</v>
      </c>
      <c r="BD48" s="2">
        <v>2</v>
      </c>
      <c r="BF48" s="787">
        <v>68.751117886996411</v>
      </c>
      <c r="BG48" s="325">
        <v>150000996</v>
      </c>
      <c r="BI48" s="847">
        <v>0</v>
      </c>
      <c r="BJ48" s="847">
        <v>0</v>
      </c>
      <c r="BK48" s="847">
        <v>0</v>
      </c>
      <c r="BL48" s="848"/>
      <c r="BM48" s="3"/>
      <c r="BN48" s="3"/>
      <c r="BP48" s="3"/>
      <c r="BQ48" s="3"/>
      <c r="BS48" s="42" t="s">
        <v>246</v>
      </c>
    </row>
    <row r="49" spans="1:71" ht="24.9" customHeight="1" x14ac:dyDescent="0.3">
      <c r="A49" s="325">
        <v>150000987</v>
      </c>
      <c r="B49" s="862" t="s">
        <v>51</v>
      </c>
      <c r="C49" s="863">
        <v>1</v>
      </c>
      <c r="D49" s="101" t="s">
        <v>455</v>
      </c>
      <c r="E49" s="279">
        <v>244.2</v>
      </c>
      <c r="F49" s="838">
        <v>13.128</v>
      </c>
      <c r="G49" s="838">
        <v>0</v>
      </c>
      <c r="H49" s="838">
        <v>-13.128</v>
      </c>
      <c r="I49" s="839">
        <v>0</v>
      </c>
      <c r="J49" s="851">
        <v>0</v>
      </c>
      <c r="K49" s="852"/>
      <c r="L49" s="839">
        <v>0</v>
      </c>
      <c r="M49" s="851">
        <v>0</v>
      </c>
      <c r="N49" s="853"/>
      <c r="O49" s="839">
        <v>0</v>
      </c>
      <c r="P49" s="851">
        <v>0</v>
      </c>
      <c r="Q49" s="854"/>
      <c r="R49" s="839">
        <v>0</v>
      </c>
      <c r="S49" s="851">
        <v>0</v>
      </c>
      <c r="T49" s="855"/>
      <c r="U49" s="839">
        <v>0</v>
      </c>
      <c r="V49" s="851">
        <v>0</v>
      </c>
      <c r="W49" s="839">
        <v>0</v>
      </c>
      <c r="X49" s="851">
        <v>0</v>
      </c>
      <c r="Y49" s="839">
        <v>0</v>
      </c>
      <c r="Z49" s="851">
        <v>0</v>
      </c>
      <c r="AA49" s="839">
        <v>0</v>
      </c>
      <c r="AB49" s="851">
        <v>0</v>
      </c>
      <c r="AC49" s="839">
        <v>0</v>
      </c>
      <c r="AD49" s="851">
        <v>0</v>
      </c>
      <c r="AE49" s="839">
        <v>0</v>
      </c>
      <c r="AF49" s="851">
        <v>0</v>
      </c>
      <c r="AG49" s="856"/>
      <c r="AH49" s="839">
        <v>0</v>
      </c>
      <c r="AI49" s="851">
        <v>0</v>
      </c>
      <c r="AJ49" s="856"/>
      <c r="AK49" s="839">
        <v>0</v>
      </c>
      <c r="AL49" s="851">
        <v>0</v>
      </c>
      <c r="AM49" s="856"/>
      <c r="AN49" s="839">
        <v>0</v>
      </c>
      <c r="AO49" s="851">
        <v>0</v>
      </c>
      <c r="AP49" s="856"/>
      <c r="AQ49" s="839">
        <v>0</v>
      </c>
      <c r="AR49" s="851">
        <v>0</v>
      </c>
      <c r="AS49" s="856"/>
      <c r="AT49" s="839">
        <v>0</v>
      </c>
      <c r="AU49" s="851">
        <v>0</v>
      </c>
      <c r="AV49" s="856"/>
      <c r="AW49" s="839">
        <v>0</v>
      </c>
      <c r="AX49" s="851">
        <v>0</v>
      </c>
      <c r="AY49" s="856"/>
      <c r="AZ49" s="845">
        <v>0</v>
      </c>
      <c r="BA49" s="845">
        <v>0</v>
      </c>
      <c r="BB49" s="846">
        <v>0</v>
      </c>
      <c r="BD49" s="2">
        <v>3</v>
      </c>
      <c r="BF49" s="787">
        <v>0</v>
      </c>
      <c r="BG49" s="325">
        <v>150000987</v>
      </c>
      <c r="BI49" s="847">
        <v>0</v>
      </c>
      <c r="BJ49" s="847">
        <v>0</v>
      </c>
      <c r="BK49" s="847">
        <v>0</v>
      </c>
      <c r="BL49" s="848"/>
      <c r="BM49" s="3"/>
      <c r="BN49" s="3"/>
      <c r="BP49" s="3"/>
      <c r="BQ49" s="3"/>
      <c r="BS49" s="42" t="s">
        <v>51</v>
      </c>
    </row>
    <row r="50" spans="1:71" ht="24.9" customHeight="1" x14ac:dyDescent="0.3">
      <c r="A50" s="325">
        <v>150000988</v>
      </c>
      <c r="B50" s="862" t="s">
        <v>52</v>
      </c>
      <c r="C50" s="863">
        <v>1</v>
      </c>
      <c r="D50" s="101" t="s">
        <v>455</v>
      </c>
      <c r="E50" s="279">
        <v>323.7</v>
      </c>
      <c r="F50" s="838">
        <v>612.2526097829134</v>
      </c>
      <c r="G50" s="838">
        <v>0</v>
      </c>
      <c r="H50" s="838">
        <v>-612.2526097829134</v>
      </c>
      <c r="I50" s="839">
        <v>0</v>
      </c>
      <c r="J50" s="851">
        <v>0</v>
      </c>
      <c r="K50" s="852"/>
      <c r="L50" s="839">
        <v>0</v>
      </c>
      <c r="M50" s="851">
        <v>0</v>
      </c>
      <c r="N50" s="853"/>
      <c r="O50" s="839">
        <v>0</v>
      </c>
      <c r="P50" s="851">
        <v>0</v>
      </c>
      <c r="Q50" s="854"/>
      <c r="R50" s="839">
        <v>0</v>
      </c>
      <c r="S50" s="851">
        <v>0</v>
      </c>
      <c r="T50" s="855"/>
      <c r="U50" s="839">
        <v>0</v>
      </c>
      <c r="V50" s="851">
        <v>0</v>
      </c>
      <c r="W50" s="839">
        <v>0</v>
      </c>
      <c r="X50" s="851">
        <v>0</v>
      </c>
      <c r="Y50" s="839">
        <v>0</v>
      </c>
      <c r="Z50" s="851">
        <v>0</v>
      </c>
      <c r="AA50" s="839">
        <v>0</v>
      </c>
      <c r="AB50" s="851">
        <v>0</v>
      </c>
      <c r="AC50" s="839">
        <v>0</v>
      </c>
      <c r="AD50" s="851">
        <v>0</v>
      </c>
      <c r="AE50" s="839">
        <v>0</v>
      </c>
      <c r="AF50" s="851">
        <v>0</v>
      </c>
      <c r="AG50" s="856"/>
      <c r="AH50" s="839">
        <v>0</v>
      </c>
      <c r="AI50" s="851">
        <v>0</v>
      </c>
      <c r="AJ50" s="856"/>
      <c r="AK50" s="839">
        <v>0</v>
      </c>
      <c r="AL50" s="851">
        <v>0</v>
      </c>
      <c r="AM50" s="856"/>
      <c r="AN50" s="839">
        <v>0</v>
      </c>
      <c r="AO50" s="851">
        <v>0</v>
      </c>
      <c r="AP50" s="856"/>
      <c r="AQ50" s="839">
        <v>0</v>
      </c>
      <c r="AR50" s="851">
        <v>0</v>
      </c>
      <c r="AS50" s="856"/>
      <c r="AT50" s="839">
        <v>0</v>
      </c>
      <c r="AU50" s="851">
        <v>0</v>
      </c>
      <c r="AV50" s="856"/>
      <c r="AW50" s="839">
        <v>0</v>
      </c>
      <c r="AX50" s="851">
        <v>0</v>
      </c>
      <c r="AY50" s="856"/>
      <c r="AZ50" s="845">
        <v>0</v>
      </c>
      <c r="BA50" s="845">
        <v>0</v>
      </c>
      <c r="BB50" s="846">
        <v>0</v>
      </c>
      <c r="BD50" s="2">
        <v>3</v>
      </c>
      <c r="BF50" s="787">
        <v>0</v>
      </c>
      <c r="BG50" s="325">
        <v>150000988</v>
      </c>
      <c r="BI50" s="847">
        <v>0</v>
      </c>
      <c r="BJ50" s="847">
        <v>0</v>
      </c>
      <c r="BK50" s="847">
        <v>0</v>
      </c>
      <c r="BL50" s="848"/>
      <c r="BM50" s="3"/>
      <c r="BN50" s="3"/>
      <c r="BP50" s="3"/>
      <c r="BQ50" s="3"/>
      <c r="BS50" s="42" t="s">
        <v>52</v>
      </c>
    </row>
    <row r="51" spans="1:71" ht="24.9" customHeight="1" x14ac:dyDescent="0.3">
      <c r="A51" s="325">
        <v>150000548</v>
      </c>
      <c r="B51" s="849" t="s">
        <v>247</v>
      </c>
      <c r="C51" s="850">
        <v>5</v>
      </c>
      <c r="D51" s="101" t="s">
        <v>455</v>
      </c>
      <c r="E51" s="279">
        <v>2189.9</v>
      </c>
      <c r="F51" s="838">
        <v>4876.9028539962819</v>
      </c>
      <c r="G51" s="838">
        <v>0</v>
      </c>
      <c r="H51" s="838">
        <v>-4876.9028539962819</v>
      </c>
      <c r="I51" s="839">
        <v>0</v>
      </c>
      <c r="J51" s="851">
        <v>0</v>
      </c>
      <c r="K51" s="872"/>
      <c r="L51" s="839">
        <v>0</v>
      </c>
      <c r="M51" s="851">
        <v>0</v>
      </c>
      <c r="N51" s="853"/>
      <c r="O51" s="839">
        <v>0</v>
      </c>
      <c r="P51" s="851">
        <v>0</v>
      </c>
      <c r="Q51" s="854"/>
      <c r="R51" s="839">
        <v>0</v>
      </c>
      <c r="S51" s="851">
        <v>0</v>
      </c>
      <c r="T51" s="855"/>
      <c r="U51" s="839">
        <v>0</v>
      </c>
      <c r="V51" s="851">
        <v>0</v>
      </c>
      <c r="W51" s="839">
        <v>0</v>
      </c>
      <c r="X51" s="851">
        <v>0</v>
      </c>
      <c r="Y51" s="839">
        <v>0</v>
      </c>
      <c r="Z51" s="851">
        <v>0</v>
      </c>
      <c r="AA51" s="839">
        <v>0</v>
      </c>
      <c r="AB51" s="851">
        <v>0</v>
      </c>
      <c r="AC51" s="839">
        <v>0</v>
      </c>
      <c r="AD51" s="851">
        <v>0</v>
      </c>
      <c r="AE51" s="839">
        <v>240.97600204603114</v>
      </c>
      <c r="AF51" s="851">
        <v>0</v>
      </c>
      <c r="AG51" s="856"/>
      <c r="AH51" s="839">
        <v>351.66292323452029</v>
      </c>
      <c r="AI51" s="851">
        <v>0</v>
      </c>
      <c r="AJ51" s="856"/>
      <c r="AK51" s="839">
        <v>193.26395990750746</v>
      </c>
      <c r="AL51" s="851">
        <v>0</v>
      </c>
      <c r="AM51" s="856"/>
      <c r="AN51" s="839">
        <v>107.54409784126776</v>
      </c>
      <c r="AO51" s="851">
        <v>0</v>
      </c>
      <c r="AP51" s="856"/>
      <c r="AQ51" s="839">
        <v>89.960355179059135</v>
      </c>
      <c r="AR51" s="851">
        <v>0</v>
      </c>
      <c r="AS51" s="856"/>
      <c r="AT51" s="839">
        <v>130.2465264345808</v>
      </c>
      <c r="AU51" s="851">
        <v>0</v>
      </c>
      <c r="AV51" s="856"/>
      <c r="AW51" s="839">
        <v>118.34437622421669</v>
      </c>
      <c r="AX51" s="851">
        <v>0</v>
      </c>
      <c r="AY51" s="856"/>
      <c r="AZ51" s="845">
        <v>1231.9982408671833</v>
      </c>
      <c r="BA51" s="845">
        <v>0</v>
      </c>
      <c r="BB51" s="846">
        <v>-1231.9982408671833</v>
      </c>
      <c r="BD51" s="2">
        <v>1</v>
      </c>
      <c r="BF51" s="787">
        <v>35.256810768404449</v>
      </c>
      <c r="BG51" s="325">
        <v>150000548</v>
      </c>
      <c r="BI51" s="847">
        <v>0</v>
      </c>
      <c r="BJ51" s="847">
        <v>0</v>
      </c>
      <c r="BK51" s="847">
        <v>0</v>
      </c>
      <c r="BL51" s="848"/>
      <c r="BM51" s="3"/>
      <c r="BN51" s="3"/>
      <c r="BP51" s="3"/>
      <c r="BQ51" s="3"/>
      <c r="BS51" s="42" t="s">
        <v>247</v>
      </c>
    </row>
    <row r="52" spans="1:71" ht="24.9" customHeight="1" x14ac:dyDescent="0.3">
      <c r="A52" s="325">
        <v>150000549</v>
      </c>
      <c r="B52" s="849" t="s">
        <v>207</v>
      </c>
      <c r="C52" s="850">
        <v>4</v>
      </c>
      <c r="D52" s="101" t="s">
        <v>455</v>
      </c>
      <c r="E52" s="279">
        <v>1173.1199999999999</v>
      </c>
      <c r="F52" s="838">
        <v>2348.1552161167724</v>
      </c>
      <c r="G52" s="838">
        <v>0</v>
      </c>
      <c r="H52" s="838">
        <v>-2348.1552161167724</v>
      </c>
      <c r="I52" s="839">
        <v>0</v>
      </c>
      <c r="J52" s="851">
        <v>0</v>
      </c>
      <c r="K52" s="852"/>
      <c r="L52" s="839">
        <v>0</v>
      </c>
      <c r="M52" s="851">
        <v>0</v>
      </c>
      <c r="N52" s="853"/>
      <c r="O52" s="839">
        <v>0</v>
      </c>
      <c r="P52" s="851">
        <v>0</v>
      </c>
      <c r="Q52" s="854"/>
      <c r="R52" s="839">
        <v>0</v>
      </c>
      <c r="S52" s="851">
        <v>0</v>
      </c>
      <c r="T52" s="855"/>
      <c r="U52" s="839">
        <v>0</v>
      </c>
      <c r="V52" s="851">
        <v>0</v>
      </c>
      <c r="W52" s="839">
        <v>0</v>
      </c>
      <c r="X52" s="851">
        <v>0</v>
      </c>
      <c r="Y52" s="839">
        <v>0</v>
      </c>
      <c r="Z52" s="851">
        <v>0</v>
      </c>
      <c r="AA52" s="839">
        <v>0</v>
      </c>
      <c r="AB52" s="851">
        <v>0</v>
      </c>
      <c r="AC52" s="839">
        <v>0</v>
      </c>
      <c r="AD52" s="851">
        <v>0</v>
      </c>
      <c r="AE52" s="839">
        <v>135.60864137130488</v>
      </c>
      <c r="AF52" s="851">
        <v>0</v>
      </c>
      <c r="AG52" s="856"/>
      <c r="AH52" s="839">
        <v>264.84451108914089</v>
      </c>
      <c r="AI52" s="851">
        <v>0</v>
      </c>
      <c r="AJ52" s="856"/>
      <c r="AK52" s="839">
        <v>78.612730666321482</v>
      </c>
      <c r="AL52" s="851">
        <v>0</v>
      </c>
      <c r="AM52" s="856"/>
      <c r="AN52" s="839">
        <v>80.855039196896257</v>
      </c>
      <c r="AO52" s="851">
        <v>0</v>
      </c>
      <c r="AP52" s="856"/>
      <c r="AQ52" s="839">
        <v>0</v>
      </c>
      <c r="AR52" s="851">
        <v>0</v>
      </c>
      <c r="AS52" s="856"/>
      <c r="AT52" s="839">
        <v>63.909261025478145</v>
      </c>
      <c r="AU52" s="851">
        <v>0</v>
      </c>
      <c r="AV52" s="856"/>
      <c r="AW52" s="839">
        <v>54.529073537159114</v>
      </c>
      <c r="AX52" s="851">
        <v>0</v>
      </c>
      <c r="AY52" s="856"/>
      <c r="AZ52" s="845">
        <v>678.35925688630073</v>
      </c>
      <c r="BA52" s="845">
        <v>0</v>
      </c>
      <c r="BB52" s="846">
        <v>-678.35925688630073</v>
      </c>
      <c r="BD52" s="2">
        <v>1</v>
      </c>
      <c r="BF52" s="787">
        <v>28.076122422385755</v>
      </c>
      <c r="BG52" s="325">
        <v>150000549</v>
      </c>
      <c r="BI52" s="847">
        <v>0</v>
      </c>
      <c r="BJ52" s="847">
        <v>0</v>
      </c>
      <c r="BK52" s="847">
        <v>0</v>
      </c>
      <c r="BL52" s="848"/>
      <c r="BM52" s="3"/>
      <c r="BN52" s="3"/>
      <c r="BP52" s="3"/>
      <c r="BQ52" s="3"/>
      <c r="BS52" s="42" t="s">
        <v>207</v>
      </c>
    </row>
    <row r="53" spans="1:71" ht="24.9" customHeight="1" x14ac:dyDescent="0.3">
      <c r="A53" s="325">
        <v>150000547</v>
      </c>
      <c r="B53" s="849" t="s">
        <v>248</v>
      </c>
      <c r="C53" s="850">
        <v>5</v>
      </c>
      <c r="D53" s="101" t="s">
        <v>455</v>
      </c>
      <c r="E53" s="279">
        <v>2743.1</v>
      </c>
      <c r="F53" s="838">
        <v>9576.3677377268014</v>
      </c>
      <c r="G53" s="838">
        <v>1451</v>
      </c>
      <c r="H53" s="838">
        <v>-8125.3677377268014</v>
      </c>
      <c r="I53" s="839">
        <v>0</v>
      </c>
      <c r="J53" s="851">
        <v>0</v>
      </c>
      <c r="K53" s="852"/>
      <c r="L53" s="839">
        <v>0</v>
      </c>
      <c r="M53" s="851">
        <v>0</v>
      </c>
      <c r="N53" s="853"/>
      <c r="O53" s="839">
        <v>0</v>
      </c>
      <c r="P53" s="851">
        <v>0</v>
      </c>
      <c r="Q53" s="854"/>
      <c r="R53" s="839">
        <v>0</v>
      </c>
      <c r="S53" s="851">
        <v>0</v>
      </c>
      <c r="T53" s="855"/>
      <c r="U53" s="839">
        <v>0</v>
      </c>
      <c r="V53" s="851">
        <v>0</v>
      </c>
      <c r="W53" s="839">
        <v>0</v>
      </c>
      <c r="X53" s="851">
        <v>0</v>
      </c>
      <c r="Y53" s="839">
        <v>1451</v>
      </c>
      <c r="Z53" s="851">
        <v>0</v>
      </c>
      <c r="AA53" s="839">
        <v>0</v>
      </c>
      <c r="AB53" s="851">
        <v>0</v>
      </c>
      <c r="AC53" s="839">
        <v>0</v>
      </c>
      <c r="AD53" s="851">
        <v>0</v>
      </c>
      <c r="AE53" s="839">
        <v>296.97430937581089</v>
      </c>
      <c r="AF53" s="851">
        <v>1698</v>
      </c>
      <c r="AG53" s="856"/>
      <c r="AH53" s="839">
        <v>431.42874836421191</v>
      </c>
      <c r="AI53" s="851">
        <v>2383</v>
      </c>
      <c r="AJ53" s="856"/>
      <c r="AK53" s="839">
        <v>225.25790184519559</v>
      </c>
      <c r="AL53" s="851">
        <v>0</v>
      </c>
      <c r="AM53" s="856"/>
      <c r="AN53" s="839">
        <v>134.01654655351942</v>
      </c>
      <c r="AO53" s="851">
        <v>0</v>
      </c>
      <c r="AP53" s="856"/>
      <c r="AQ53" s="839">
        <v>119.94714023874553</v>
      </c>
      <c r="AR53" s="851">
        <v>0</v>
      </c>
      <c r="AS53" s="856"/>
      <c r="AT53" s="839">
        <v>185.68589968581432</v>
      </c>
      <c r="AU53" s="851">
        <v>0</v>
      </c>
      <c r="AV53" s="856"/>
      <c r="AW53" s="839">
        <v>39.854603062339315</v>
      </c>
      <c r="AX53" s="851">
        <v>0</v>
      </c>
      <c r="AY53" s="856"/>
      <c r="AZ53" s="845">
        <v>1433.1651491256371</v>
      </c>
      <c r="BA53" s="845">
        <v>4081</v>
      </c>
      <c r="BB53" s="846">
        <v>2647.8348508743629</v>
      </c>
      <c r="BD53" s="2">
        <v>1</v>
      </c>
      <c r="BF53" s="787">
        <v>39.150404649278627</v>
      </c>
      <c r="BG53" s="325">
        <v>150000547</v>
      </c>
      <c r="BI53" s="847">
        <v>0</v>
      </c>
      <c r="BJ53" s="847">
        <v>0</v>
      </c>
      <c r="BK53" s="847">
        <v>0</v>
      </c>
      <c r="BL53" s="848"/>
      <c r="BM53" s="3"/>
      <c r="BN53" s="3"/>
      <c r="BP53" s="3"/>
      <c r="BQ53" s="3"/>
      <c r="BS53" s="42" t="s">
        <v>248</v>
      </c>
    </row>
    <row r="54" spans="1:71" ht="24.9" customHeight="1" x14ac:dyDescent="0.3">
      <c r="A54" s="325">
        <v>150000509</v>
      </c>
      <c r="B54" s="862" t="s">
        <v>53</v>
      </c>
      <c r="C54" s="863">
        <v>1</v>
      </c>
      <c r="D54" s="101" t="s">
        <v>455</v>
      </c>
      <c r="E54" s="279">
        <v>249.8</v>
      </c>
      <c r="F54" s="838">
        <v>541.63964571106783</v>
      </c>
      <c r="G54" s="838">
        <v>0</v>
      </c>
      <c r="H54" s="838">
        <v>-541.63964571106783</v>
      </c>
      <c r="I54" s="839">
        <v>0</v>
      </c>
      <c r="J54" s="851">
        <v>0</v>
      </c>
      <c r="K54" s="852"/>
      <c r="L54" s="839">
        <v>0</v>
      </c>
      <c r="M54" s="851">
        <v>0</v>
      </c>
      <c r="N54" s="853"/>
      <c r="O54" s="839">
        <v>0</v>
      </c>
      <c r="P54" s="851">
        <v>0</v>
      </c>
      <c r="Q54" s="854"/>
      <c r="R54" s="839">
        <v>0</v>
      </c>
      <c r="S54" s="851">
        <v>0</v>
      </c>
      <c r="T54" s="855"/>
      <c r="U54" s="839">
        <v>0</v>
      </c>
      <c r="V54" s="851">
        <v>0</v>
      </c>
      <c r="W54" s="839">
        <v>0</v>
      </c>
      <c r="X54" s="851">
        <v>0</v>
      </c>
      <c r="Y54" s="839">
        <v>0</v>
      </c>
      <c r="Z54" s="851">
        <v>0</v>
      </c>
      <c r="AA54" s="839">
        <v>0</v>
      </c>
      <c r="AB54" s="851">
        <v>0</v>
      </c>
      <c r="AC54" s="839">
        <v>0</v>
      </c>
      <c r="AD54" s="851">
        <v>0</v>
      </c>
      <c r="AE54" s="839">
        <v>0</v>
      </c>
      <c r="AF54" s="851">
        <v>0</v>
      </c>
      <c r="AG54" s="856"/>
      <c r="AH54" s="839">
        <v>0</v>
      </c>
      <c r="AI54" s="851">
        <v>0</v>
      </c>
      <c r="AJ54" s="856"/>
      <c r="AK54" s="839">
        <v>0</v>
      </c>
      <c r="AL54" s="851">
        <v>0</v>
      </c>
      <c r="AM54" s="856"/>
      <c r="AN54" s="839">
        <v>0</v>
      </c>
      <c r="AO54" s="851">
        <v>0</v>
      </c>
      <c r="AP54" s="856"/>
      <c r="AQ54" s="839">
        <v>0</v>
      </c>
      <c r="AR54" s="851">
        <v>0</v>
      </c>
      <c r="AS54" s="856"/>
      <c r="AT54" s="839">
        <v>0</v>
      </c>
      <c r="AU54" s="851">
        <v>0</v>
      </c>
      <c r="AV54" s="856"/>
      <c r="AW54" s="839">
        <v>0</v>
      </c>
      <c r="AX54" s="851">
        <v>0</v>
      </c>
      <c r="AY54" s="856"/>
      <c r="AZ54" s="845">
        <v>0</v>
      </c>
      <c r="BA54" s="845">
        <v>0</v>
      </c>
      <c r="BB54" s="846">
        <v>0</v>
      </c>
      <c r="BD54" s="2">
        <v>2</v>
      </c>
      <c r="BF54" s="787">
        <v>0</v>
      </c>
      <c r="BG54" s="325">
        <v>150000509</v>
      </c>
      <c r="BI54" s="847">
        <v>0</v>
      </c>
      <c r="BJ54" s="847">
        <v>0</v>
      </c>
      <c r="BK54" s="847">
        <v>0</v>
      </c>
      <c r="BL54" s="848"/>
      <c r="BM54" s="3"/>
      <c r="BN54" s="3"/>
      <c r="BP54" s="3"/>
      <c r="BQ54" s="3"/>
      <c r="BS54" s="42" t="s">
        <v>53</v>
      </c>
    </row>
    <row r="55" spans="1:71" ht="24.9" customHeight="1" x14ac:dyDescent="0.3">
      <c r="A55" s="325">
        <v>150000510</v>
      </c>
      <c r="B55" s="849" t="s">
        <v>249</v>
      </c>
      <c r="C55" s="850">
        <v>5</v>
      </c>
      <c r="D55" s="101" t="s">
        <v>455</v>
      </c>
      <c r="E55" s="279">
        <v>2889.06</v>
      </c>
      <c r="F55" s="838">
        <v>3968.7186887636053</v>
      </c>
      <c r="G55" s="838">
        <v>61.553946899412828</v>
      </c>
      <c r="H55" s="838">
        <v>-3907.1647418641924</v>
      </c>
      <c r="I55" s="839">
        <v>0</v>
      </c>
      <c r="J55" s="851">
        <v>0</v>
      </c>
      <c r="K55" s="852"/>
      <c r="L55" s="839">
        <v>0</v>
      </c>
      <c r="M55" s="851">
        <v>0</v>
      </c>
      <c r="N55" s="853"/>
      <c r="O55" s="839">
        <v>0</v>
      </c>
      <c r="P55" s="851">
        <v>0</v>
      </c>
      <c r="Q55" s="854"/>
      <c r="R55" s="839">
        <v>0</v>
      </c>
      <c r="S55" s="851">
        <v>0</v>
      </c>
      <c r="T55" s="855"/>
      <c r="U55" s="839">
        <v>0</v>
      </c>
      <c r="V55" s="851">
        <v>0</v>
      </c>
      <c r="W55" s="839">
        <v>0</v>
      </c>
      <c r="X55" s="851">
        <v>61.553946899412828</v>
      </c>
      <c r="Y55" s="839">
        <v>0</v>
      </c>
      <c r="Z55" s="851">
        <v>0</v>
      </c>
      <c r="AA55" s="839">
        <v>0</v>
      </c>
      <c r="AB55" s="851">
        <v>0</v>
      </c>
      <c r="AC55" s="839">
        <v>0</v>
      </c>
      <c r="AD55" s="851">
        <v>0</v>
      </c>
      <c r="AE55" s="839">
        <v>199.30110444818735</v>
      </c>
      <c r="AF55" s="851">
        <v>0</v>
      </c>
      <c r="AG55" s="856"/>
      <c r="AH55" s="839">
        <v>265.86888590663347</v>
      </c>
      <c r="AI55" s="851">
        <v>0</v>
      </c>
      <c r="AJ55" s="856"/>
      <c r="AK55" s="839">
        <v>339.09608183163061</v>
      </c>
      <c r="AL55" s="851">
        <v>0</v>
      </c>
      <c r="AM55" s="856"/>
      <c r="AN55" s="839">
        <v>0</v>
      </c>
      <c r="AO55" s="851">
        <v>0</v>
      </c>
      <c r="AP55" s="856"/>
      <c r="AQ55" s="839">
        <v>0</v>
      </c>
      <c r="AR55" s="851">
        <v>0</v>
      </c>
      <c r="AS55" s="856"/>
      <c r="AT55" s="839">
        <v>122.47344089241105</v>
      </c>
      <c r="AU55" s="851">
        <v>711</v>
      </c>
      <c r="AV55" s="857"/>
      <c r="AW55" s="839">
        <v>0</v>
      </c>
      <c r="AX55" s="851">
        <v>0</v>
      </c>
      <c r="AY55" s="856"/>
      <c r="AZ55" s="845">
        <v>926.7395130788625</v>
      </c>
      <c r="BA55" s="845">
        <v>711</v>
      </c>
      <c r="BB55" s="846">
        <v>-215.7395130788625</v>
      </c>
      <c r="BD55" s="2">
        <v>2</v>
      </c>
      <c r="BF55" s="787">
        <v>10.121867717306372</v>
      </c>
      <c r="BG55" s="325">
        <v>150000510</v>
      </c>
      <c r="BI55" s="847">
        <v>28</v>
      </c>
      <c r="BJ55" s="847">
        <v>2.7477364378249609</v>
      </c>
      <c r="BK55" s="847">
        <v>30.747736437824962</v>
      </c>
      <c r="BL55" s="848"/>
      <c r="BM55" s="3"/>
      <c r="BN55" s="3"/>
      <c r="BP55" s="3"/>
      <c r="BQ55" s="3"/>
      <c r="BS55" s="42" t="s">
        <v>249</v>
      </c>
    </row>
    <row r="56" spans="1:71" ht="24.9" customHeight="1" x14ac:dyDescent="0.3">
      <c r="A56" s="325">
        <v>150000511</v>
      </c>
      <c r="B56" s="849" t="s">
        <v>250</v>
      </c>
      <c r="C56" s="850">
        <v>5</v>
      </c>
      <c r="D56" s="101" t="s">
        <v>455</v>
      </c>
      <c r="E56" s="279">
        <v>3219.5</v>
      </c>
      <c r="F56" s="838">
        <v>4952.8335367596737</v>
      </c>
      <c r="G56" s="838">
        <v>0</v>
      </c>
      <c r="H56" s="838">
        <v>-4952.8335367596737</v>
      </c>
      <c r="I56" s="839">
        <v>0</v>
      </c>
      <c r="J56" s="851">
        <v>0</v>
      </c>
      <c r="K56" s="852"/>
      <c r="L56" s="839">
        <v>0</v>
      </c>
      <c r="M56" s="851">
        <v>0</v>
      </c>
      <c r="N56" s="853"/>
      <c r="O56" s="839">
        <v>0</v>
      </c>
      <c r="P56" s="851">
        <v>0</v>
      </c>
      <c r="Q56" s="854"/>
      <c r="R56" s="839">
        <v>0</v>
      </c>
      <c r="S56" s="851">
        <v>0</v>
      </c>
      <c r="T56" s="855"/>
      <c r="U56" s="839">
        <v>0</v>
      </c>
      <c r="V56" s="851">
        <v>0</v>
      </c>
      <c r="W56" s="839">
        <v>0</v>
      </c>
      <c r="X56" s="851">
        <v>0</v>
      </c>
      <c r="Y56" s="839">
        <v>0</v>
      </c>
      <c r="Z56" s="851">
        <v>0</v>
      </c>
      <c r="AA56" s="839">
        <v>0</v>
      </c>
      <c r="AB56" s="851">
        <v>0</v>
      </c>
      <c r="AC56" s="839">
        <v>0</v>
      </c>
      <c r="AD56" s="851">
        <v>0</v>
      </c>
      <c r="AE56" s="839">
        <v>318.0902693443374</v>
      </c>
      <c r="AF56" s="851">
        <v>884</v>
      </c>
      <c r="AG56" s="856"/>
      <c r="AH56" s="839">
        <v>490.73628415417375</v>
      </c>
      <c r="AI56" s="851">
        <v>0</v>
      </c>
      <c r="AJ56" s="856"/>
      <c r="AK56" s="839">
        <v>365.88444988692856</v>
      </c>
      <c r="AL56" s="851">
        <v>0</v>
      </c>
      <c r="AM56" s="856"/>
      <c r="AN56" s="839">
        <v>0</v>
      </c>
      <c r="AO56" s="851">
        <v>0</v>
      </c>
      <c r="AP56" s="856"/>
      <c r="AQ56" s="839">
        <v>0</v>
      </c>
      <c r="AR56" s="851">
        <v>0</v>
      </c>
      <c r="AS56" s="856"/>
      <c r="AT56" s="839">
        <v>174.62873904711446</v>
      </c>
      <c r="AU56" s="851">
        <v>711</v>
      </c>
      <c r="AV56" s="856"/>
      <c r="AW56" s="839">
        <v>0</v>
      </c>
      <c r="AX56" s="851">
        <v>0</v>
      </c>
      <c r="AY56" s="856"/>
      <c r="AZ56" s="845">
        <v>1349.3397424325542</v>
      </c>
      <c r="BA56" s="845">
        <v>1595</v>
      </c>
      <c r="BB56" s="846">
        <v>245.6602575674458</v>
      </c>
      <c r="BD56" s="2">
        <v>2</v>
      </c>
      <c r="BF56" s="787">
        <v>11.275510576058913</v>
      </c>
      <c r="BG56" s="325">
        <v>150000511</v>
      </c>
      <c r="BI56" s="847">
        <v>0</v>
      </c>
      <c r="BJ56" s="847">
        <v>0</v>
      </c>
      <c r="BK56" s="847">
        <v>0</v>
      </c>
      <c r="BL56" s="848"/>
      <c r="BM56" s="3"/>
      <c r="BN56" s="3"/>
      <c r="BP56" s="3"/>
      <c r="BQ56" s="3"/>
      <c r="BS56" s="42" t="s">
        <v>250</v>
      </c>
    </row>
    <row r="57" spans="1:71" ht="24.9" customHeight="1" x14ac:dyDescent="0.3">
      <c r="A57" s="325">
        <v>150000512</v>
      </c>
      <c r="B57" s="849" t="s">
        <v>251</v>
      </c>
      <c r="C57" s="850">
        <v>5</v>
      </c>
      <c r="D57" s="101" t="s">
        <v>455</v>
      </c>
      <c r="E57" s="279">
        <v>1871.6999999999998</v>
      </c>
      <c r="F57" s="838">
        <v>3203.0702278670028</v>
      </c>
      <c r="G57" s="838">
        <v>0</v>
      </c>
      <c r="H57" s="838">
        <v>-3203.0702278670028</v>
      </c>
      <c r="I57" s="839">
        <v>0</v>
      </c>
      <c r="J57" s="851">
        <v>0</v>
      </c>
      <c r="K57" s="852"/>
      <c r="L57" s="839">
        <v>0</v>
      </c>
      <c r="M57" s="851">
        <v>0</v>
      </c>
      <c r="N57" s="853"/>
      <c r="O57" s="839">
        <v>0</v>
      </c>
      <c r="P57" s="851">
        <v>0</v>
      </c>
      <c r="Q57" s="854"/>
      <c r="R57" s="839">
        <v>0</v>
      </c>
      <c r="S57" s="851">
        <v>0</v>
      </c>
      <c r="T57" s="855"/>
      <c r="U57" s="839">
        <v>0</v>
      </c>
      <c r="V57" s="851">
        <v>0</v>
      </c>
      <c r="W57" s="839">
        <v>0</v>
      </c>
      <c r="X57" s="851">
        <v>0</v>
      </c>
      <c r="Y57" s="839">
        <v>0</v>
      </c>
      <c r="Z57" s="851">
        <v>0</v>
      </c>
      <c r="AA57" s="839">
        <v>0</v>
      </c>
      <c r="AB57" s="851">
        <v>0</v>
      </c>
      <c r="AC57" s="839">
        <v>0</v>
      </c>
      <c r="AD57" s="851">
        <v>0</v>
      </c>
      <c r="AE57" s="839">
        <v>141.19134888296281</v>
      </c>
      <c r="AF57" s="851">
        <v>0</v>
      </c>
      <c r="AG57" s="856"/>
      <c r="AH57" s="839">
        <v>251.26294537068739</v>
      </c>
      <c r="AI57" s="851">
        <v>0</v>
      </c>
      <c r="AJ57" s="856"/>
      <c r="AK57" s="839">
        <v>238.9164663369109</v>
      </c>
      <c r="AL57" s="851">
        <v>0</v>
      </c>
      <c r="AM57" s="856"/>
      <c r="AN57" s="839">
        <v>0</v>
      </c>
      <c r="AO57" s="851">
        <v>0</v>
      </c>
      <c r="AP57" s="856"/>
      <c r="AQ57" s="839">
        <v>0</v>
      </c>
      <c r="AR57" s="851">
        <v>0</v>
      </c>
      <c r="AS57" s="856"/>
      <c r="AT57" s="839">
        <v>70.039395863319015</v>
      </c>
      <c r="AU57" s="851">
        <v>291</v>
      </c>
      <c r="AV57" s="856"/>
      <c r="AW57" s="839">
        <v>0</v>
      </c>
      <c r="AX57" s="851">
        <v>0</v>
      </c>
      <c r="AY57" s="856"/>
      <c r="AZ57" s="845">
        <v>701.41015645388006</v>
      </c>
      <c r="BA57" s="845">
        <v>291</v>
      </c>
      <c r="BB57" s="846">
        <v>-410.41015645388006</v>
      </c>
      <c r="BD57" s="2">
        <v>2</v>
      </c>
      <c r="BF57" s="787">
        <v>6.4031731592509749</v>
      </c>
      <c r="BG57" s="325">
        <v>150000512</v>
      </c>
      <c r="BI57" s="847">
        <v>0</v>
      </c>
      <c r="BJ57" s="847">
        <v>0</v>
      </c>
      <c r="BK57" s="847">
        <v>0</v>
      </c>
      <c r="BL57" s="848"/>
      <c r="BM57" s="3"/>
      <c r="BN57" s="3"/>
      <c r="BP57" s="3"/>
      <c r="BQ57" s="3"/>
      <c r="BS57" s="42" t="s">
        <v>251</v>
      </c>
    </row>
    <row r="58" spans="1:71" ht="24.9" customHeight="1" x14ac:dyDescent="0.3">
      <c r="A58" s="325">
        <v>150000513</v>
      </c>
      <c r="B58" s="849" t="s">
        <v>334</v>
      </c>
      <c r="C58" s="850">
        <v>6</v>
      </c>
      <c r="D58" s="101" t="s">
        <v>455</v>
      </c>
      <c r="E58" s="279">
        <v>3630</v>
      </c>
      <c r="F58" s="838">
        <v>7932.9238123057485</v>
      </c>
      <c r="G58" s="838">
        <v>0</v>
      </c>
      <c r="H58" s="838">
        <v>-7932.9238123057485</v>
      </c>
      <c r="I58" s="839">
        <v>0</v>
      </c>
      <c r="J58" s="851">
        <v>0</v>
      </c>
      <c r="K58" s="852"/>
      <c r="L58" s="839">
        <v>0</v>
      </c>
      <c r="M58" s="851">
        <v>0</v>
      </c>
      <c r="N58" s="853"/>
      <c r="O58" s="839">
        <v>0</v>
      </c>
      <c r="P58" s="851">
        <v>0</v>
      </c>
      <c r="Q58" s="854"/>
      <c r="R58" s="839">
        <v>0</v>
      </c>
      <c r="S58" s="851">
        <v>0</v>
      </c>
      <c r="T58" s="855"/>
      <c r="U58" s="839">
        <v>0</v>
      </c>
      <c r="V58" s="851">
        <v>0</v>
      </c>
      <c r="W58" s="839">
        <v>0</v>
      </c>
      <c r="X58" s="851">
        <v>0</v>
      </c>
      <c r="Y58" s="839">
        <v>0</v>
      </c>
      <c r="Z58" s="851">
        <v>0</v>
      </c>
      <c r="AA58" s="839">
        <v>0</v>
      </c>
      <c r="AB58" s="851">
        <v>0</v>
      </c>
      <c r="AC58" s="839">
        <v>0</v>
      </c>
      <c r="AD58" s="851">
        <v>0</v>
      </c>
      <c r="AE58" s="839">
        <v>254.36667126777695</v>
      </c>
      <c r="AF58" s="851">
        <v>0</v>
      </c>
      <c r="AG58" s="856"/>
      <c r="AH58" s="839">
        <v>347.50294893846012</v>
      </c>
      <c r="AI58" s="851">
        <v>0</v>
      </c>
      <c r="AJ58" s="856"/>
      <c r="AK58" s="839">
        <v>428.65127600087555</v>
      </c>
      <c r="AL58" s="851">
        <v>0</v>
      </c>
      <c r="AM58" s="856"/>
      <c r="AN58" s="839">
        <v>164.11543594438629</v>
      </c>
      <c r="AO58" s="851">
        <v>0</v>
      </c>
      <c r="AP58" s="856"/>
      <c r="AQ58" s="839">
        <v>68.97925660788097</v>
      </c>
      <c r="AR58" s="851">
        <v>0</v>
      </c>
      <c r="AS58" s="856"/>
      <c r="AT58" s="839">
        <v>73.753166691452407</v>
      </c>
      <c r="AU58" s="851">
        <v>0</v>
      </c>
      <c r="AV58" s="856"/>
      <c r="AW58" s="839">
        <v>0</v>
      </c>
      <c r="AX58" s="851">
        <v>0</v>
      </c>
      <c r="AY58" s="856"/>
      <c r="AZ58" s="845">
        <v>1337.3687554508322</v>
      </c>
      <c r="BA58" s="845">
        <v>0</v>
      </c>
      <c r="BB58" s="846">
        <v>-1337.3687554508322</v>
      </c>
      <c r="BD58" s="2">
        <v>2</v>
      </c>
      <c r="BF58" s="787">
        <v>48.907008301028796</v>
      </c>
      <c r="BG58" s="325">
        <v>150000513</v>
      </c>
      <c r="BI58" s="847">
        <v>0</v>
      </c>
      <c r="BJ58" s="847">
        <v>0</v>
      </c>
      <c r="BK58" s="847">
        <v>0</v>
      </c>
      <c r="BL58" s="848"/>
      <c r="BM58" s="3"/>
      <c r="BN58" s="3"/>
      <c r="BP58" s="3"/>
      <c r="BQ58" s="3"/>
      <c r="BS58" s="42" t="s">
        <v>334</v>
      </c>
    </row>
    <row r="59" spans="1:71" ht="24.9" customHeight="1" x14ac:dyDescent="0.3">
      <c r="A59" s="325">
        <v>150000538</v>
      </c>
      <c r="B59" s="849" t="s">
        <v>208</v>
      </c>
      <c r="C59" s="850">
        <v>4</v>
      </c>
      <c r="D59" s="101" t="s">
        <v>455</v>
      </c>
      <c r="E59" s="279">
        <v>1469.3</v>
      </c>
      <c r="F59" s="838">
        <v>2572.1818483559537</v>
      </c>
      <c r="G59" s="838">
        <v>1967</v>
      </c>
      <c r="H59" s="838">
        <v>-605.18184835595366</v>
      </c>
      <c r="I59" s="839">
        <v>0</v>
      </c>
      <c r="J59" s="851">
        <v>0</v>
      </c>
      <c r="K59" s="852"/>
      <c r="L59" s="839">
        <v>0</v>
      </c>
      <c r="M59" s="851">
        <v>0</v>
      </c>
      <c r="N59" s="853"/>
      <c r="O59" s="839">
        <v>0</v>
      </c>
      <c r="P59" s="851">
        <v>0</v>
      </c>
      <c r="Q59" s="854"/>
      <c r="R59" s="839">
        <v>0</v>
      </c>
      <c r="S59" s="851">
        <v>0</v>
      </c>
      <c r="T59" s="855"/>
      <c r="U59" s="839">
        <v>0</v>
      </c>
      <c r="V59" s="851">
        <v>0</v>
      </c>
      <c r="W59" s="839">
        <v>0</v>
      </c>
      <c r="X59" s="851">
        <v>0</v>
      </c>
      <c r="Y59" s="839">
        <v>0</v>
      </c>
      <c r="Z59" s="851">
        <v>0</v>
      </c>
      <c r="AA59" s="839">
        <v>0</v>
      </c>
      <c r="AB59" s="851">
        <v>0</v>
      </c>
      <c r="AC59" s="839">
        <v>0</v>
      </c>
      <c r="AD59" s="851">
        <v>1967</v>
      </c>
      <c r="AE59" s="839">
        <v>124.57062080146615</v>
      </c>
      <c r="AF59" s="851">
        <v>0</v>
      </c>
      <c r="AG59" s="856"/>
      <c r="AH59" s="839">
        <v>153.61481567386699</v>
      </c>
      <c r="AI59" s="851">
        <v>0</v>
      </c>
      <c r="AJ59" s="856"/>
      <c r="AK59" s="839">
        <v>187.39808963912321</v>
      </c>
      <c r="AL59" s="851">
        <v>0</v>
      </c>
      <c r="AM59" s="856"/>
      <c r="AN59" s="839">
        <v>0</v>
      </c>
      <c r="AO59" s="851">
        <v>0</v>
      </c>
      <c r="AP59" s="856"/>
      <c r="AQ59" s="839">
        <v>0</v>
      </c>
      <c r="AR59" s="851">
        <v>0</v>
      </c>
      <c r="AS59" s="856"/>
      <c r="AT59" s="839">
        <v>60.056140153587386</v>
      </c>
      <c r="AU59" s="851">
        <v>291</v>
      </c>
      <c r="AV59" s="856"/>
      <c r="AW59" s="839">
        <v>0</v>
      </c>
      <c r="AX59" s="851">
        <v>0</v>
      </c>
      <c r="AY59" s="856"/>
      <c r="AZ59" s="845">
        <v>525.6396662680437</v>
      </c>
      <c r="BA59" s="845">
        <v>291</v>
      </c>
      <c r="BB59" s="846">
        <v>-234.6396662680437</v>
      </c>
      <c r="BD59" s="2">
        <v>2</v>
      </c>
      <c r="BF59" s="787">
        <v>165.76869354694932</v>
      </c>
      <c r="BG59" s="325">
        <v>150000538</v>
      </c>
      <c r="BI59" s="847">
        <v>0</v>
      </c>
      <c r="BJ59" s="847">
        <v>0</v>
      </c>
      <c r="BK59" s="847">
        <v>0</v>
      </c>
      <c r="BL59" s="848"/>
      <c r="BM59" s="3"/>
      <c r="BN59" s="3"/>
      <c r="BP59" s="3"/>
      <c r="BQ59" s="3"/>
      <c r="BS59" s="42" t="s">
        <v>208</v>
      </c>
    </row>
    <row r="60" spans="1:71" ht="24.9" customHeight="1" x14ac:dyDescent="0.3">
      <c r="A60" s="325">
        <v>150000514</v>
      </c>
      <c r="B60" s="849" t="s">
        <v>152</v>
      </c>
      <c r="C60" s="850">
        <v>2</v>
      </c>
      <c r="D60" s="101" t="s">
        <v>455</v>
      </c>
      <c r="E60" s="279">
        <v>253.5</v>
      </c>
      <c r="F60" s="838">
        <v>840.80559216705501</v>
      </c>
      <c r="G60" s="838">
        <v>0</v>
      </c>
      <c r="H60" s="838">
        <v>-840.80559216705501</v>
      </c>
      <c r="I60" s="839">
        <v>0</v>
      </c>
      <c r="J60" s="851">
        <v>0</v>
      </c>
      <c r="K60" s="852"/>
      <c r="L60" s="839">
        <v>0</v>
      </c>
      <c r="M60" s="851">
        <v>0</v>
      </c>
      <c r="N60" s="853"/>
      <c r="O60" s="839">
        <v>0</v>
      </c>
      <c r="P60" s="851">
        <v>0</v>
      </c>
      <c r="Q60" s="854"/>
      <c r="R60" s="839">
        <v>0</v>
      </c>
      <c r="S60" s="851">
        <v>0</v>
      </c>
      <c r="T60" s="855"/>
      <c r="U60" s="839">
        <v>0</v>
      </c>
      <c r="V60" s="851">
        <v>0</v>
      </c>
      <c r="W60" s="839">
        <v>0</v>
      </c>
      <c r="X60" s="851">
        <v>0</v>
      </c>
      <c r="Y60" s="839">
        <v>0</v>
      </c>
      <c r="Z60" s="851">
        <v>0</v>
      </c>
      <c r="AA60" s="839">
        <v>0</v>
      </c>
      <c r="AB60" s="851">
        <v>0</v>
      </c>
      <c r="AC60" s="839">
        <v>0</v>
      </c>
      <c r="AD60" s="851">
        <v>0</v>
      </c>
      <c r="AE60" s="839">
        <v>51.794461945442009</v>
      </c>
      <c r="AF60" s="851">
        <v>0</v>
      </c>
      <c r="AG60" s="856"/>
      <c r="AH60" s="839">
        <v>61.550813104250835</v>
      </c>
      <c r="AI60" s="851">
        <v>0</v>
      </c>
      <c r="AJ60" s="856"/>
      <c r="AK60" s="839">
        <v>12.103661341664061</v>
      </c>
      <c r="AL60" s="851">
        <v>0</v>
      </c>
      <c r="AM60" s="856"/>
      <c r="AN60" s="839">
        <v>0</v>
      </c>
      <c r="AO60" s="851">
        <v>0</v>
      </c>
      <c r="AP60" s="856"/>
      <c r="AQ60" s="839">
        <v>0</v>
      </c>
      <c r="AR60" s="851">
        <v>0</v>
      </c>
      <c r="AS60" s="856"/>
      <c r="AT60" s="839">
        <v>13.131198850039331</v>
      </c>
      <c r="AU60" s="851">
        <v>711</v>
      </c>
      <c r="AV60" s="856"/>
      <c r="AW60" s="839">
        <v>0</v>
      </c>
      <c r="AX60" s="851">
        <v>0</v>
      </c>
      <c r="AY60" s="856"/>
      <c r="AZ60" s="845">
        <v>138.58013524139625</v>
      </c>
      <c r="BA60" s="845">
        <v>711</v>
      </c>
      <c r="BB60" s="846">
        <v>572.41986475860381</v>
      </c>
      <c r="BD60" s="2">
        <v>2</v>
      </c>
      <c r="BF60" s="787">
        <v>0.88782169002358569</v>
      </c>
      <c r="BG60" s="325">
        <v>150000514</v>
      </c>
      <c r="BI60" s="847">
        <v>0</v>
      </c>
      <c r="BJ60" s="847">
        <v>0</v>
      </c>
      <c r="BK60" s="847">
        <v>0</v>
      </c>
      <c r="BL60" s="848"/>
      <c r="BM60" s="3"/>
      <c r="BN60" s="3"/>
      <c r="BP60" s="3"/>
      <c r="BQ60" s="3"/>
      <c r="BS60" s="42" t="s">
        <v>152</v>
      </c>
    </row>
    <row r="61" spans="1:71" ht="24.9" customHeight="1" x14ac:dyDescent="0.3">
      <c r="A61" s="325">
        <v>150000515</v>
      </c>
      <c r="B61" s="862" t="s">
        <v>54</v>
      </c>
      <c r="C61" s="863">
        <v>1</v>
      </c>
      <c r="D61" s="101" t="s">
        <v>455</v>
      </c>
      <c r="E61" s="279">
        <v>200.6</v>
      </c>
      <c r="F61" s="838">
        <v>449.68071273131363</v>
      </c>
      <c r="G61" s="838">
        <v>0</v>
      </c>
      <c r="H61" s="838">
        <v>-449.68071273131363</v>
      </c>
      <c r="I61" s="839">
        <v>0</v>
      </c>
      <c r="J61" s="851">
        <v>0</v>
      </c>
      <c r="K61" s="852"/>
      <c r="L61" s="839">
        <v>0</v>
      </c>
      <c r="M61" s="851">
        <v>0</v>
      </c>
      <c r="N61" s="853"/>
      <c r="O61" s="839">
        <v>0</v>
      </c>
      <c r="P61" s="851">
        <v>0</v>
      </c>
      <c r="Q61" s="854"/>
      <c r="R61" s="839">
        <v>0</v>
      </c>
      <c r="S61" s="851">
        <v>0</v>
      </c>
      <c r="T61" s="855"/>
      <c r="U61" s="839">
        <v>0</v>
      </c>
      <c r="V61" s="851">
        <v>0</v>
      </c>
      <c r="W61" s="839">
        <v>0</v>
      </c>
      <c r="X61" s="851">
        <v>0</v>
      </c>
      <c r="Y61" s="839">
        <v>0</v>
      </c>
      <c r="Z61" s="851">
        <v>0</v>
      </c>
      <c r="AA61" s="839">
        <v>0</v>
      </c>
      <c r="AB61" s="851">
        <v>0</v>
      </c>
      <c r="AC61" s="839">
        <v>0</v>
      </c>
      <c r="AD61" s="851">
        <v>0</v>
      </c>
      <c r="AE61" s="839">
        <v>0</v>
      </c>
      <c r="AF61" s="851">
        <v>0</v>
      </c>
      <c r="AG61" s="856"/>
      <c r="AH61" s="839">
        <v>0</v>
      </c>
      <c r="AI61" s="851">
        <v>0</v>
      </c>
      <c r="AJ61" s="856"/>
      <c r="AK61" s="839">
        <v>0</v>
      </c>
      <c r="AL61" s="851">
        <v>0</v>
      </c>
      <c r="AM61" s="856"/>
      <c r="AN61" s="839">
        <v>0</v>
      </c>
      <c r="AO61" s="851">
        <v>0</v>
      </c>
      <c r="AP61" s="856"/>
      <c r="AQ61" s="839">
        <v>0</v>
      </c>
      <c r="AR61" s="851">
        <v>0</v>
      </c>
      <c r="AS61" s="856"/>
      <c r="AT61" s="839">
        <v>0</v>
      </c>
      <c r="AU61" s="851">
        <v>0</v>
      </c>
      <c r="AV61" s="856"/>
      <c r="AW61" s="839">
        <v>0</v>
      </c>
      <c r="AX61" s="851">
        <v>0</v>
      </c>
      <c r="AY61" s="856"/>
      <c r="AZ61" s="845">
        <v>0</v>
      </c>
      <c r="BA61" s="845">
        <v>0</v>
      </c>
      <c r="BB61" s="846">
        <v>0</v>
      </c>
      <c r="BD61" s="2">
        <v>2</v>
      </c>
      <c r="BF61" s="787">
        <v>0</v>
      </c>
      <c r="BG61" s="325">
        <v>150000515</v>
      </c>
      <c r="BI61" s="847">
        <v>0</v>
      </c>
      <c r="BJ61" s="847">
        <v>0</v>
      </c>
      <c r="BK61" s="847">
        <v>0</v>
      </c>
      <c r="BL61" s="848"/>
      <c r="BM61" s="3"/>
      <c r="BN61" s="3"/>
      <c r="BP61" s="3"/>
      <c r="BQ61" s="3"/>
      <c r="BS61" s="42" t="s">
        <v>54</v>
      </c>
    </row>
    <row r="62" spans="1:71" ht="24.9" customHeight="1" x14ac:dyDescent="0.3">
      <c r="A62" s="325">
        <v>150000539</v>
      </c>
      <c r="B62" s="862" t="s">
        <v>55</v>
      </c>
      <c r="C62" s="863">
        <v>1</v>
      </c>
      <c r="D62" s="101" t="s">
        <v>455</v>
      </c>
      <c r="E62" s="279">
        <v>83.8</v>
      </c>
      <c r="F62" s="838">
        <v>190.93821728022763</v>
      </c>
      <c r="G62" s="838">
        <v>0</v>
      </c>
      <c r="H62" s="838">
        <v>-190.93821728022763</v>
      </c>
      <c r="I62" s="839">
        <v>0</v>
      </c>
      <c r="J62" s="851">
        <v>0</v>
      </c>
      <c r="K62" s="852"/>
      <c r="L62" s="839">
        <v>0</v>
      </c>
      <c r="M62" s="851">
        <v>0</v>
      </c>
      <c r="N62" s="853"/>
      <c r="O62" s="839">
        <v>0</v>
      </c>
      <c r="P62" s="851">
        <v>0</v>
      </c>
      <c r="Q62" s="854"/>
      <c r="R62" s="839">
        <v>0</v>
      </c>
      <c r="S62" s="851">
        <v>0</v>
      </c>
      <c r="T62" s="855"/>
      <c r="U62" s="839">
        <v>0</v>
      </c>
      <c r="V62" s="851">
        <v>0</v>
      </c>
      <c r="W62" s="839">
        <v>0</v>
      </c>
      <c r="X62" s="851">
        <v>0</v>
      </c>
      <c r="Y62" s="839">
        <v>0</v>
      </c>
      <c r="Z62" s="851">
        <v>0</v>
      </c>
      <c r="AA62" s="839">
        <v>0</v>
      </c>
      <c r="AB62" s="851">
        <v>0</v>
      </c>
      <c r="AC62" s="839">
        <v>0</v>
      </c>
      <c r="AD62" s="851">
        <v>0</v>
      </c>
      <c r="AE62" s="839">
        <v>0</v>
      </c>
      <c r="AF62" s="851">
        <v>0</v>
      </c>
      <c r="AG62" s="856"/>
      <c r="AH62" s="839">
        <v>0</v>
      </c>
      <c r="AI62" s="851">
        <v>0</v>
      </c>
      <c r="AJ62" s="856"/>
      <c r="AK62" s="839">
        <v>0</v>
      </c>
      <c r="AL62" s="851">
        <v>0</v>
      </c>
      <c r="AM62" s="856"/>
      <c r="AN62" s="839">
        <v>0</v>
      </c>
      <c r="AO62" s="851">
        <v>0</v>
      </c>
      <c r="AP62" s="856"/>
      <c r="AQ62" s="839">
        <v>0</v>
      </c>
      <c r="AR62" s="851">
        <v>0</v>
      </c>
      <c r="AS62" s="856"/>
      <c r="AT62" s="839">
        <v>0</v>
      </c>
      <c r="AU62" s="851">
        <v>0</v>
      </c>
      <c r="AV62" s="856"/>
      <c r="AW62" s="839">
        <v>0</v>
      </c>
      <c r="AX62" s="851">
        <v>0</v>
      </c>
      <c r="AY62" s="856"/>
      <c r="AZ62" s="845">
        <v>0</v>
      </c>
      <c r="BA62" s="845">
        <v>0</v>
      </c>
      <c r="BB62" s="846">
        <v>0</v>
      </c>
      <c r="BD62" s="2">
        <v>2</v>
      </c>
      <c r="BF62" s="787">
        <v>0</v>
      </c>
      <c r="BG62" s="325">
        <v>150000539</v>
      </c>
      <c r="BI62" s="847">
        <v>0</v>
      </c>
      <c r="BJ62" s="847">
        <v>0</v>
      </c>
      <c r="BK62" s="847">
        <v>0</v>
      </c>
      <c r="BL62" s="848"/>
      <c r="BM62" s="3"/>
      <c r="BN62" s="3"/>
      <c r="BP62" s="3"/>
      <c r="BQ62" s="3"/>
      <c r="BS62" s="42" t="s">
        <v>55</v>
      </c>
    </row>
    <row r="63" spans="1:71" ht="24.9" customHeight="1" x14ac:dyDescent="0.3">
      <c r="A63" s="325">
        <v>150000517</v>
      </c>
      <c r="B63" s="849" t="s">
        <v>252</v>
      </c>
      <c r="C63" s="850">
        <v>5</v>
      </c>
      <c r="D63" s="101" t="s">
        <v>455</v>
      </c>
      <c r="E63" s="279">
        <v>1894.8000000000002</v>
      </c>
      <c r="F63" s="838">
        <v>3798.1378183901502</v>
      </c>
      <c r="G63" s="838">
        <v>35.613354991803135</v>
      </c>
      <c r="H63" s="838">
        <v>-3762.5244633983471</v>
      </c>
      <c r="I63" s="839">
        <v>0</v>
      </c>
      <c r="J63" s="851">
        <v>0</v>
      </c>
      <c r="K63" s="852"/>
      <c r="L63" s="839">
        <v>0</v>
      </c>
      <c r="M63" s="851">
        <v>0</v>
      </c>
      <c r="N63" s="853"/>
      <c r="O63" s="839">
        <v>0</v>
      </c>
      <c r="P63" s="851">
        <v>0</v>
      </c>
      <c r="Q63" s="854"/>
      <c r="R63" s="839">
        <v>0</v>
      </c>
      <c r="S63" s="851">
        <v>0</v>
      </c>
      <c r="T63" s="855"/>
      <c r="U63" s="839">
        <v>0</v>
      </c>
      <c r="V63" s="851">
        <v>0</v>
      </c>
      <c r="W63" s="839">
        <v>0</v>
      </c>
      <c r="X63" s="851">
        <v>35.613354991803135</v>
      </c>
      <c r="Y63" s="839">
        <v>0</v>
      </c>
      <c r="Z63" s="851">
        <v>0</v>
      </c>
      <c r="AA63" s="839">
        <v>0</v>
      </c>
      <c r="AB63" s="851">
        <v>0</v>
      </c>
      <c r="AC63" s="839">
        <v>0</v>
      </c>
      <c r="AD63" s="851">
        <v>0</v>
      </c>
      <c r="AE63" s="839">
        <v>172.97663207927951</v>
      </c>
      <c r="AF63" s="851">
        <v>0</v>
      </c>
      <c r="AG63" s="857"/>
      <c r="AH63" s="839">
        <v>250.58315269130659</v>
      </c>
      <c r="AI63" s="851">
        <v>0</v>
      </c>
      <c r="AJ63" s="856"/>
      <c r="AK63" s="839">
        <v>245.82574354996487</v>
      </c>
      <c r="AL63" s="851">
        <v>0</v>
      </c>
      <c r="AM63" s="856"/>
      <c r="AN63" s="839">
        <v>0</v>
      </c>
      <c r="AO63" s="851">
        <v>0</v>
      </c>
      <c r="AP63" s="856"/>
      <c r="AQ63" s="839">
        <v>0</v>
      </c>
      <c r="AR63" s="851">
        <v>0</v>
      </c>
      <c r="AS63" s="856"/>
      <c r="AT63" s="839">
        <v>65.725579801306026</v>
      </c>
      <c r="AU63" s="851">
        <v>711</v>
      </c>
      <c r="AV63" s="856"/>
      <c r="AW63" s="839">
        <v>0</v>
      </c>
      <c r="AX63" s="851">
        <v>0</v>
      </c>
      <c r="AY63" s="856"/>
      <c r="AZ63" s="845">
        <v>735.111108121857</v>
      </c>
      <c r="BA63" s="845">
        <v>711</v>
      </c>
      <c r="BB63" s="846">
        <v>-24.111108121857001</v>
      </c>
      <c r="BD63" s="2">
        <v>2</v>
      </c>
      <c r="BF63" s="787">
        <v>6.7299335682419041</v>
      </c>
      <c r="BG63" s="325">
        <v>150000517</v>
      </c>
      <c r="BI63" s="847">
        <v>16.2</v>
      </c>
      <c r="BJ63" s="847">
        <v>1.5897617961701558</v>
      </c>
      <c r="BK63" s="847">
        <v>17.789761796170154</v>
      </c>
      <c r="BL63" s="848"/>
      <c r="BM63" s="3"/>
      <c r="BN63" s="3"/>
      <c r="BP63" s="3"/>
      <c r="BQ63" s="3"/>
      <c r="BS63" s="42" t="s">
        <v>252</v>
      </c>
    </row>
    <row r="64" spans="1:71" ht="24.9" customHeight="1" x14ac:dyDescent="0.3">
      <c r="A64" s="325">
        <v>150000518</v>
      </c>
      <c r="B64" s="849" t="s">
        <v>195</v>
      </c>
      <c r="C64" s="850">
        <v>3</v>
      </c>
      <c r="D64" s="101" t="s">
        <v>455</v>
      </c>
      <c r="E64" s="279">
        <v>847.5</v>
      </c>
      <c r="F64" s="838">
        <v>1683.3915846033244</v>
      </c>
      <c r="G64" s="838">
        <v>48.143979896326456</v>
      </c>
      <c r="H64" s="838">
        <v>-1635.2476047069979</v>
      </c>
      <c r="I64" s="839">
        <v>0</v>
      </c>
      <c r="J64" s="851">
        <v>0</v>
      </c>
      <c r="K64" s="852"/>
      <c r="L64" s="839">
        <v>0</v>
      </c>
      <c r="M64" s="851">
        <v>0</v>
      </c>
      <c r="N64" s="853"/>
      <c r="O64" s="839">
        <v>0</v>
      </c>
      <c r="P64" s="851">
        <v>0</v>
      </c>
      <c r="Q64" s="854"/>
      <c r="R64" s="839">
        <v>0</v>
      </c>
      <c r="S64" s="851">
        <v>0</v>
      </c>
      <c r="T64" s="855"/>
      <c r="U64" s="839">
        <v>0</v>
      </c>
      <c r="V64" s="851">
        <v>0</v>
      </c>
      <c r="W64" s="839">
        <v>0</v>
      </c>
      <c r="X64" s="851">
        <v>48.143979896326456</v>
      </c>
      <c r="Y64" s="839">
        <v>0</v>
      </c>
      <c r="Z64" s="851">
        <v>0</v>
      </c>
      <c r="AA64" s="839">
        <v>0</v>
      </c>
      <c r="AB64" s="851">
        <v>0</v>
      </c>
      <c r="AC64" s="839">
        <v>0</v>
      </c>
      <c r="AD64" s="851">
        <v>0</v>
      </c>
      <c r="AE64" s="839">
        <v>105.50314275515966</v>
      </c>
      <c r="AF64" s="851">
        <v>0</v>
      </c>
      <c r="AG64" s="856"/>
      <c r="AH64" s="839">
        <v>171.45470659650391</v>
      </c>
      <c r="AI64" s="851">
        <v>0</v>
      </c>
      <c r="AJ64" s="856"/>
      <c r="AK64" s="839">
        <v>87.527632979009326</v>
      </c>
      <c r="AL64" s="851">
        <v>0</v>
      </c>
      <c r="AM64" s="856"/>
      <c r="AN64" s="839">
        <v>0</v>
      </c>
      <c r="AO64" s="851">
        <v>0</v>
      </c>
      <c r="AP64" s="856"/>
      <c r="AQ64" s="839">
        <v>0</v>
      </c>
      <c r="AR64" s="851">
        <v>0</v>
      </c>
      <c r="AS64" s="856"/>
      <c r="AT64" s="839">
        <v>41.778843913608405</v>
      </c>
      <c r="AU64" s="851">
        <v>0</v>
      </c>
      <c r="AV64" s="856"/>
      <c r="AW64" s="839">
        <v>0</v>
      </c>
      <c r="AX64" s="851">
        <v>0</v>
      </c>
      <c r="AY64" s="856"/>
      <c r="AZ64" s="845">
        <v>406.26432624428128</v>
      </c>
      <c r="BA64" s="845">
        <v>0</v>
      </c>
      <c r="BB64" s="846">
        <v>-406.26432624428128</v>
      </c>
      <c r="BD64" s="2">
        <v>2</v>
      </c>
      <c r="BF64" s="787">
        <v>2.9681612713806271</v>
      </c>
      <c r="BG64" s="325">
        <v>150000518</v>
      </c>
      <c r="BI64" s="847">
        <v>21.9</v>
      </c>
      <c r="BJ64" s="847">
        <v>2.1491224281559513</v>
      </c>
      <c r="BK64" s="847">
        <v>24.04912242815595</v>
      </c>
      <c r="BL64" s="848"/>
      <c r="BM64" s="3"/>
      <c r="BN64" s="3"/>
      <c r="BP64" s="3"/>
      <c r="BQ64" s="3"/>
      <c r="BS64" s="42" t="s">
        <v>195</v>
      </c>
    </row>
    <row r="65" spans="1:71" ht="24.9" customHeight="1" x14ac:dyDescent="0.3">
      <c r="A65" s="325">
        <v>150000519</v>
      </c>
      <c r="B65" s="849" t="s">
        <v>413</v>
      </c>
      <c r="C65" s="850">
        <v>10</v>
      </c>
      <c r="D65" s="101" t="s">
        <v>455</v>
      </c>
      <c r="E65" s="279">
        <v>2696.4</v>
      </c>
      <c r="F65" s="838">
        <v>6555.680786383632</v>
      </c>
      <c r="G65" s="838">
        <v>0</v>
      </c>
      <c r="H65" s="838">
        <v>-6555.680786383632</v>
      </c>
      <c r="I65" s="839">
        <v>0</v>
      </c>
      <c r="J65" s="851">
        <v>0</v>
      </c>
      <c r="K65" s="852"/>
      <c r="L65" s="839">
        <v>0</v>
      </c>
      <c r="M65" s="851">
        <v>0</v>
      </c>
      <c r="N65" s="873"/>
      <c r="O65" s="839">
        <v>0</v>
      </c>
      <c r="P65" s="851">
        <v>0</v>
      </c>
      <c r="Q65" s="854"/>
      <c r="R65" s="839">
        <v>0</v>
      </c>
      <c r="S65" s="851">
        <v>0</v>
      </c>
      <c r="T65" s="855"/>
      <c r="U65" s="839">
        <v>0</v>
      </c>
      <c r="V65" s="851">
        <v>0</v>
      </c>
      <c r="W65" s="839">
        <v>0</v>
      </c>
      <c r="X65" s="851">
        <v>0</v>
      </c>
      <c r="Y65" s="839">
        <v>0</v>
      </c>
      <c r="Z65" s="851">
        <v>0</v>
      </c>
      <c r="AA65" s="839">
        <v>0</v>
      </c>
      <c r="AB65" s="851">
        <v>0</v>
      </c>
      <c r="AC65" s="839">
        <v>0</v>
      </c>
      <c r="AD65" s="851">
        <v>0</v>
      </c>
      <c r="AE65" s="839">
        <v>106.72721825659063</v>
      </c>
      <c r="AF65" s="851">
        <v>0</v>
      </c>
      <c r="AG65" s="867"/>
      <c r="AH65" s="839">
        <v>142.40885198567582</v>
      </c>
      <c r="AI65" s="851">
        <v>0</v>
      </c>
      <c r="AJ65" s="856"/>
      <c r="AK65" s="839">
        <v>152.44260063250758</v>
      </c>
      <c r="AL65" s="851">
        <v>0</v>
      </c>
      <c r="AM65" s="856"/>
      <c r="AN65" s="839">
        <v>86.385768771972465</v>
      </c>
      <c r="AO65" s="851">
        <v>0</v>
      </c>
      <c r="AP65" s="856"/>
      <c r="AQ65" s="839">
        <v>35.219944932571877</v>
      </c>
      <c r="AR65" s="851">
        <v>0</v>
      </c>
      <c r="AS65" s="856"/>
      <c r="AT65" s="839">
        <v>103.56430512559632</v>
      </c>
      <c r="AU65" s="851">
        <v>0</v>
      </c>
      <c r="AV65" s="856"/>
      <c r="AW65" s="839">
        <v>0</v>
      </c>
      <c r="AX65" s="851">
        <v>0</v>
      </c>
      <c r="AY65" s="856"/>
      <c r="AZ65" s="845">
        <v>626.7486897049148</v>
      </c>
      <c r="BA65" s="845">
        <v>0</v>
      </c>
      <c r="BB65" s="846">
        <v>-626.7486897049148</v>
      </c>
      <c r="BD65" s="2">
        <v>2</v>
      </c>
      <c r="BF65" s="787">
        <v>9.4466329171622032</v>
      </c>
      <c r="BG65" s="325">
        <v>150000519</v>
      </c>
      <c r="BI65" s="847">
        <v>0</v>
      </c>
      <c r="BJ65" s="847">
        <v>0</v>
      </c>
      <c r="BK65" s="847">
        <v>0</v>
      </c>
      <c r="BL65" s="848"/>
      <c r="BM65" s="3"/>
      <c r="BN65" s="3"/>
      <c r="BP65" s="3"/>
      <c r="BQ65" s="3"/>
      <c r="BS65" s="42" t="s">
        <v>413</v>
      </c>
    </row>
    <row r="66" spans="1:71" ht="24.9" customHeight="1" x14ac:dyDescent="0.3">
      <c r="A66" s="325">
        <v>150000521</v>
      </c>
      <c r="B66" s="849" t="s">
        <v>253</v>
      </c>
      <c r="C66" s="850">
        <v>5</v>
      </c>
      <c r="D66" s="101" t="s">
        <v>455</v>
      </c>
      <c r="E66" s="279">
        <v>1861.1999999999998</v>
      </c>
      <c r="F66" s="838">
        <v>3781.5843644521588</v>
      </c>
      <c r="G66" s="838">
        <v>0</v>
      </c>
      <c r="H66" s="838">
        <v>-3781.5843644521588</v>
      </c>
      <c r="I66" s="839">
        <v>0</v>
      </c>
      <c r="J66" s="851">
        <v>0</v>
      </c>
      <c r="K66" s="852"/>
      <c r="L66" s="839">
        <v>0</v>
      </c>
      <c r="M66" s="851">
        <v>0</v>
      </c>
      <c r="N66" s="853"/>
      <c r="O66" s="839">
        <v>0</v>
      </c>
      <c r="P66" s="851">
        <v>0</v>
      </c>
      <c r="Q66" s="854"/>
      <c r="R66" s="839">
        <v>0</v>
      </c>
      <c r="S66" s="851">
        <v>0</v>
      </c>
      <c r="T66" s="855"/>
      <c r="U66" s="839">
        <v>0</v>
      </c>
      <c r="V66" s="851">
        <v>0</v>
      </c>
      <c r="W66" s="839">
        <v>0</v>
      </c>
      <c r="X66" s="851">
        <v>0</v>
      </c>
      <c r="Y66" s="839">
        <v>0</v>
      </c>
      <c r="Z66" s="851">
        <v>0</v>
      </c>
      <c r="AA66" s="839">
        <v>0</v>
      </c>
      <c r="AB66" s="851">
        <v>0</v>
      </c>
      <c r="AC66" s="839">
        <v>0</v>
      </c>
      <c r="AD66" s="851">
        <v>0</v>
      </c>
      <c r="AE66" s="839">
        <v>149.96382133002803</v>
      </c>
      <c r="AF66" s="851">
        <v>0</v>
      </c>
      <c r="AG66" s="867"/>
      <c r="AH66" s="839">
        <v>250.58315269130659</v>
      </c>
      <c r="AI66" s="851">
        <v>0</v>
      </c>
      <c r="AJ66" s="856"/>
      <c r="AK66" s="839">
        <v>189.22455054922412</v>
      </c>
      <c r="AL66" s="851">
        <v>0</v>
      </c>
      <c r="AM66" s="856"/>
      <c r="AN66" s="839">
        <v>0</v>
      </c>
      <c r="AO66" s="851">
        <v>0</v>
      </c>
      <c r="AP66" s="856"/>
      <c r="AQ66" s="839">
        <v>0</v>
      </c>
      <c r="AR66" s="851">
        <v>0</v>
      </c>
      <c r="AS66" s="856"/>
      <c r="AT66" s="839">
        <v>69.694329510959818</v>
      </c>
      <c r="AU66" s="851">
        <v>0</v>
      </c>
      <c r="AV66" s="856"/>
      <c r="AW66" s="839">
        <v>0</v>
      </c>
      <c r="AX66" s="851">
        <v>0</v>
      </c>
      <c r="AY66" s="856"/>
      <c r="AZ66" s="845">
        <v>659.46585408151861</v>
      </c>
      <c r="BA66" s="845">
        <v>0</v>
      </c>
      <c r="BB66" s="846">
        <v>-659.46585408151861</v>
      </c>
      <c r="BD66" s="2">
        <v>2</v>
      </c>
      <c r="BF66" s="787">
        <v>6.6079149975104565</v>
      </c>
      <c r="BG66" s="325">
        <v>150000521</v>
      </c>
      <c r="BI66" s="847">
        <v>0</v>
      </c>
      <c r="BJ66" s="847">
        <v>0</v>
      </c>
      <c r="BK66" s="847">
        <v>0</v>
      </c>
      <c r="BL66" s="848"/>
      <c r="BM66" s="3"/>
      <c r="BN66" s="3"/>
      <c r="BP66" s="3"/>
      <c r="BQ66" s="3"/>
      <c r="BS66" s="42" t="s">
        <v>253</v>
      </c>
    </row>
    <row r="67" spans="1:71" ht="24.9" customHeight="1" x14ac:dyDescent="0.3">
      <c r="A67" s="325">
        <v>150000522</v>
      </c>
      <c r="B67" s="862" t="s">
        <v>57</v>
      </c>
      <c r="C67" s="863">
        <v>1</v>
      </c>
      <c r="D67" s="101" t="s">
        <v>455</v>
      </c>
      <c r="E67" s="279">
        <v>269.89999999999998</v>
      </c>
      <c r="F67" s="838">
        <v>631.08403472070165</v>
      </c>
      <c r="G67" s="838">
        <v>0</v>
      </c>
      <c r="H67" s="838">
        <v>-631.08403472070165</v>
      </c>
      <c r="I67" s="839">
        <v>0</v>
      </c>
      <c r="J67" s="851">
        <v>0</v>
      </c>
      <c r="K67" s="852"/>
      <c r="L67" s="839">
        <v>0</v>
      </c>
      <c r="M67" s="851">
        <v>0</v>
      </c>
      <c r="N67" s="853"/>
      <c r="O67" s="839">
        <v>0</v>
      </c>
      <c r="P67" s="851">
        <v>0</v>
      </c>
      <c r="Q67" s="854"/>
      <c r="R67" s="839">
        <v>0</v>
      </c>
      <c r="S67" s="851">
        <v>0</v>
      </c>
      <c r="T67" s="855"/>
      <c r="U67" s="839">
        <v>0</v>
      </c>
      <c r="V67" s="851">
        <v>0</v>
      </c>
      <c r="W67" s="839">
        <v>0</v>
      </c>
      <c r="X67" s="851">
        <v>0</v>
      </c>
      <c r="Y67" s="839">
        <v>0</v>
      </c>
      <c r="Z67" s="851">
        <v>0</v>
      </c>
      <c r="AA67" s="839">
        <v>0</v>
      </c>
      <c r="AB67" s="851">
        <v>0</v>
      </c>
      <c r="AC67" s="839">
        <v>0</v>
      </c>
      <c r="AD67" s="851">
        <v>0</v>
      </c>
      <c r="AE67" s="839">
        <v>0</v>
      </c>
      <c r="AF67" s="851">
        <v>0</v>
      </c>
      <c r="AG67" s="856"/>
      <c r="AH67" s="839">
        <v>0</v>
      </c>
      <c r="AI67" s="851">
        <v>0</v>
      </c>
      <c r="AJ67" s="856"/>
      <c r="AK67" s="839">
        <v>0</v>
      </c>
      <c r="AL67" s="851">
        <v>0</v>
      </c>
      <c r="AM67" s="856"/>
      <c r="AN67" s="839">
        <v>0</v>
      </c>
      <c r="AO67" s="851">
        <v>0</v>
      </c>
      <c r="AP67" s="856"/>
      <c r="AQ67" s="839">
        <v>0</v>
      </c>
      <c r="AR67" s="851">
        <v>0</v>
      </c>
      <c r="AS67" s="856"/>
      <c r="AT67" s="839">
        <v>0</v>
      </c>
      <c r="AU67" s="851">
        <v>0</v>
      </c>
      <c r="AV67" s="856"/>
      <c r="AW67" s="839">
        <v>0</v>
      </c>
      <c r="AX67" s="851">
        <v>0</v>
      </c>
      <c r="AY67" s="856"/>
      <c r="AZ67" s="845">
        <v>0</v>
      </c>
      <c r="BA67" s="845">
        <v>0</v>
      </c>
      <c r="BB67" s="846">
        <v>0</v>
      </c>
      <c r="BD67" s="2">
        <v>1</v>
      </c>
      <c r="BF67" s="787">
        <v>0</v>
      </c>
      <c r="BG67" s="325">
        <v>150000522</v>
      </c>
      <c r="BI67" s="847">
        <v>0</v>
      </c>
      <c r="BJ67" s="847">
        <v>0</v>
      </c>
      <c r="BK67" s="847">
        <v>0</v>
      </c>
      <c r="BL67" s="848"/>
      <c r="BM67" s="3"/>
      <c r="BN67" s="3"/>
      <c r="BP67" s="3"/>
      <c r="BQ67" s="3"/>
      <c r="BS67" s="42" t="s">
        <v>57</v>
      </c>
    </row>
    <row r="68" spans="1:71" ht="24.9" customHeight="1" x14ac:dyDescent="0.3">
      <c r="A68" s="325">
        <v>150000523</v>
      </c>
      <c r="B68" s="862" t="s">
        <v>58</v>
      </c>
      <c r="C68" s="863">
        <v>1</v>
      </c>
      <c r="D68" s="101" t="s">
        <v>455</v>
      </c>
      <c r="E68" s="279">
        <v>300.7</v>
      </c>
      <c r="F68" s="838">
        <v>674.80434284954276</v>
      </c>
      <c r="G68" s="838">
        <v>1214</v>
      </c>
      <c r="H68" s="838">
        <v>539.19565715045724</v>
      </c>
      <c r="I68" s="839">
        <v>0</v>
      </c>
      <c r="J68" s="851">
        <v>1214</v>
      </c>
      <c r="K68" s="852"/>
      <c r="L68" s="839">
        <v>0</v>
      </c>
      <c r="M68" s="851">
        <v>0</v>
      </c>
      <c r="N68" s="853"/>
      <c r="O68" s="839">
        <v>0</v>
      </c>
      <c r="P68" s="851">
        <v>0</v>
      </c>
      <c r="Q68" s="854"/>
      <c r="R68" s="839">
        <v>0</v>
      </c>
      <c r="S68" s="851">
        <v>0</v>
      </c>
      <c r="T68" s="855"/>
      <c r="U68" s="839">
        <v>0</v>
      </c>
      <c r="V68" s="851">
        <v>0</v>
      </c>
      <c r="W68" s="839">
        <v>0</v>
      </c>
      <c r="X68" s="851">
        <v>0</v>
      </c>
      <c r="Y68" s="839">
        <v>0</v>
      </c>
      <c r="Z68" s="851">
        <v>0</v>
      </c>
      <c r="AA68" s="839">
        <v>0</v>
      </c>
      <c r="AB68" s="851">
        <v>0</v>
      </c>
      <c r="AC68" s="839">
        <v>0</v>
      </c>
      <c r="AD68" s="851">
        <v>0</v>
      </c>
      <c r="AE68" s="839">
        <v>0</v>
      </c>
      <c r="AF68" s="851">
        <v>0</v>
      </c>
      <c r="AG68" s="856"/>
      <c r="AH68" s="839">
        <v>0</v>
      </c>
      <c r="AI68" s="851">
        <v>0</v>
      </c>
      <c r="AJ68" s="856"/>
      <c r="AK68" s="839">
        <v>0</v>
      </c>
      <c r="AL68" s="851">
        <v>0</v>
      </c>
      <c r="AM68" s="856"/>
      <c r="AN68" s="839">
        <v>0</v>
      </c>
      <c r="AO68" s="851">
        <v>0</v>
      </c>
      <c r="AP68" s="856"/>
      <c r="AQ68" s="839">
        <v>0</v>
      </c>
      <c r="AR68" s="851">
        <v>0</v>
      </c>
      <c r="AS68" s="856"/>
      <c r="AT68" s="839">
        <v>0</v>
      </c>
      <c r="AU68" s="851">
        <v>0</v>
      </c>
      <c r="AV68" s="856"/>
      <c r="AW68" s="839">
        <v>0</v>
      </c>
      <c r="AX68" s="851">
        <v>0</v>
      </c>
      <c r="AY68" s="856"/>
      <c r="AZ68" s="845">
        <v>0</v>
      </c>
      <c r="BA68" s="845">
        <v>0</v>
      </c>
      <c r="BB68" s="846">
        <v>0</v>
      </c>
      <c r="BD68" s="2">
        <v>1</v>
      </c>
      <c r="BF68" s="787">
        <v>0</v>
      </c>
      <c r="BG68" s="325">
        <v>150000523</v>
      </c>
      <c r="BI68" s="847">
        <v>0</v>
      </c>
      <c r="BJ68" s="847">
        <v>0</v>
      </c>
      <c r="BK68" s="847">
        <v>0</v>
      </c>
      <c r="BL68" s="848"/>
      <c r="BM68" s="3"/>
      <c r="BN68" s="3"/>
      <c r="BP68" s="3"/>
      <c r="BQ68" s="3"/>
      <c r="BS68" s="42" t="s">
        <v>58</v>
      </c>
    </row>
    <row r="69" spans="1:71" ht="24.9" customHeight="1" x14ac:dyDescent="0.3">
      <c r="A69" s="325">
        <v>150000527</v>
      </c>
      <c r="B69" s="862" t="s">
        <v>61</v>
      </c>
      <c r="C69" s="863">
        <v>1</v>
      </c>
      <c r="D69" s="101" t="s">
        <v>455</v>
      </c>
      <c r="E69" s="279">
        <v>293.5</v>
      </c>
      <c r="F69" s="838">
        <v>729.82033441028</v>
      </c>
      <c r="G69" s="838">
        <v>809</v>
      </c>
      <c r="H69" s="838">
        <v>79.179665589720003</v>
      </c>
      <c r="I69" s="839">
        <v>0</v>
      </c>
      <c r="J69" s="851">
        <v>809</v>
      </c>
      <c r="K69" s="852"/>
      <c r="L69" s="839">
        <v>0</v>
      </c>
      <c r="M69" s="851">
        <v>0</v>
      </c>
      <c r="N69" s="853"/>
      <c r="O69" s="839">
        <v>0</v>
      </c>
      <c r="P69" s="851">
        <v>0</v>
      </c>
      <c r="Q69" s="854"/>
      <c r="R69" s="839">
        <v>0</v>
      </c>
      <c r="S69" s="851">
        <v>0</v>
      </c>
      <c r="T69" s="855"/>
      <c r="U69" s="839">
        <v>0</v>
      </c>
      <c r="V69" s="851">
        <v>0</v>
      </c>
      <c r="W69" s="839">
        <v>0</v>
      </c>
      <c r="X69" s="851">
        <v>0</v>
      </c>
      <c r="Y69" s="839">
        <v>0</v>
      </c>
      <c r="Z69" s="851">
        <v>0</v>
      </c>
      <c r="AA69" s="839">
        <v>0</v>
      </c>
      <c r="AB69" s="851">
        <v>0</v>
      </c>
      <c r="AC69" s="839">
        <v>0</v>
      </c>
      <c r="AD69" s="851">
        <v>0</v>
      </c>
      <c r="AE69" s="839">
        <v>0</v>
      </c>
      <c r="AF69" s="851">
        <v>0</v>
      </c>
      <c r="AG69" s="856"/>
      <c r="AH69" s="839">
        <v>0</v>
      </c>
      <c r="AI69" s="851">
        <v>0</v>
      </c>
      <c r="AJ69" s="856"/>
      <c r="AK69" s="839">
        <v>0</v>
      </c>
      <c r="AL69" s="851">
        <v>0</v>
      </c>
      <c r="AM69" s="856"/>
      <c r="AN69" s="839">
        <v>0</v>
      </c>
      <c r="AO69" s="851">
        <v>0</v>
      </c>
      <c r="AP69" s="856"/>
      <c r="AQ69" s="839">
        <v>0</v>
      </c>
      <c r="AR69" s="851">
        <v>0</v>
      </c>
      <c r="AS69" s="856"/>
      <c r="AT69" s="839">
        <v>0</v>
      </c>
      <c r="AU69" s="851">
        <v>0</v>
      </c>
      <c r="AV69" s="856"/>
      <c r="AW69" s="839">
        <v>0</v>
      </c>
      <c r="AX69" s="851">
        <v>0</v>
      </c>
      <c r="AY69" s="856"/>
      <c r="AZ69" s="845">
        <v>0</v>
      </c>
      <c r="BA69" s="845">
        <v>0</v>
      </c>
      <c r="BB69" s="846">
        <v>0</v>
      </c>
      <c r="BD69" s="2">
        <v>1</v>
      </c>
      <c r="BF69" s="787">
        <v>0</v>
      </c>
      <c r="BG69" s="325">
        <v>150000527</v>
      </c>
      <c r="BI69" s="847">
        <v>0</v>
      </c>
      <c r="BJ69" s="847">
        <v>0</v>
      </c>
      <c r="BK69" s="847">
        <v>0</v>
      </c>
      <c r="BL69" s="848"/>
      <c r="BM69" s="3"/>
      <c r="BN69" s="3"/>
      <c r="BP69" s="3"/>
      <c r="BQ69" s="3"/>
      <c r="BS69" s="42" t="s">
        <v>61</v>
      </c>
    </row>
    <row r="70" spans="1:71" ht="24.9" customHeight="1" x14ac:dyDescent="0.3">
      <c r="A70" s="325">
        <v>150000529</v>
      </c>
      <c r="B70" s="849" t="s">
        <v>348</v>
      </c>
      <c r="C70" s="850">
        <v>9</v>
      </c>
      <c r="D70" s="101" t="s">
        <v>455</v>
      </c>
      <c r="E70" s="279">
        <v>8443.0499999999993</v>
      </c>
      <c r="F70" s="838">
        <v>27894.71780304578</v>
      </c>
      <c r="G70" s="838">
        <v>2155.6004303754953</v>
      </c>
      <c r="H70" s="838">
        <v>-25739.117372670284</v>
      </c>
      <c r="I70" s="839">
        <v>0</v>
      </c>
      <c r="J70" s="851">
        <v>0</v>
      </c>
      <c r="K70" s="852"/>
      <c r="L70" s="839">
        <v>0</v>
      </c>
      <c r="M70" s="851">
        <v>0</v>
      </c>
      <c r="N70" s="853"/>
      <c r="O70" s="839">
        <v>0</v>
      </c>
      <c r="P70" s="851">
        <v>0</v>
      </c>
      <c r="Q70" s="854"/>
      <c r="R70" s="839">
        <v>0</v>
      </c>
      <c r="S70" s="851">
        <v>0</v>
      </c>
      <c r="T70" s="870"/>
      <c r="U70" s="839">
        <v>0</v>
      </c>
      <c r="V70" s="851">
        <v>0</v>
      </c>
      <c r="W70" s="839">
        <v>3</v>
      </c>
      <c r="X70" s="851">
        <v>1505.6004303754955</v>
      </c>
      <c r="Y70" s="839">
        <v>0</v>
      </c>
      <c r="Z70" s="851">
        <v>0</v>
      </c>
      <c r="AA70" s="839">
        <v>0</v>
      </c>
      <c r="AB70" s="851">
        <v>0</v>
      </c>
      <c r="AC70" s="839">
        <v>0</v>
      </c>
      <c r="AD70" s="851">
        <v>650</v>
      </c>
      <c r="AE70" s="839">
        <v>79.668368280872841</v>
      </c>
      <c r="AF70" s="851">
        <v>477</v>
      </c>
      <c r="AG70" s="867"/>
      <c r="AH70" s="839">
        <v>107.26776403088104</v>
      </c>
      <c r="AI70" s="851">
        <v>0</v>
      </c>
      <c r="AJ70" s="856"/>
      <c r="AK70" s="839">
        <v>219.57380665742699</v>
      </c>
      <c r="AL70" s="851">
        <v>0</v>
      </c>
      <c r="AM70" s="856"/>
      <c r="AN70" s="839">
        <v>90.336393042483721</v>
      </c>
      <c r="AO70" s="851">
        <v>0</v>
      </c>
      <c r="AP70" s="856"/>
      <c r="AQ70" s="839">
        <v>77.955933001127377</v>
      </c>
      <c r="AR70" s="851">
        <v>0</v>
      </c>
      <c r="AS70" s="856"/>
      <c r="AT70" s="839">
        <v>123.81884893767143</v>
      </c>
      <c r="AU70" s="851">
        <v>0</v>
      </c>
      <c r="AV70" s="856"/>
      <c r="AW70" s="839">
        <v>232.74222385317006</v>
      </c>
      <c r="AX70" s="851">
        <v>0</v>
      </c>
      <c r="AY70" s="856"/>
      <c r="AZ70" s="845">
        <v>931.36333780363339</v>
      </c>
      <c r="BA70" s="845">
        <v>477</v>
      </c>
      <c r="BB70" s="846">
        <v>-454.36333780363339</v>
      </c>
      <c r="BD70" s="2">
        <v>1</v>
      </c>
      <c r="BF70" s="787">
        <v>79.291034078305358</v>
      </c>
      <c r="BG70" s="325">
        <v>150000529</v>
      </c>
      <c r="BI70" s="847">
        <v>32.57</v>
      </c>
      <c r="BJ70" s="847">
        <v>3.1962062778556777</v>
      </c>
      <c r="BK70" s="847">
        <v>35.76620627785568</v>
      </c>
      <c r="BL70" s="848"/>
      <c r="BM70" s="3">
        <v>3</v>
      </c>
      <c r="BN70" s="3">
        <v>1434</v>
      </c>
      <c r="BP70" s="3"/>
      <c r="BQ70" s="3"/>
      <c r="BS70" s="42" t="s">
        <v>348</v>
      </c>
    </row>
    <row r="71" spans="1:71" ht="24.9" customHeight="1" x14ac:dyDescent="0.3">
      <c r="A71" s="325">
        <v>150000530</v>
      </c>
      <c r="B71" s="862" t="s">
        <v>63</v>
      </c>
      <c r="C71" s="863">
        <v>1</v>
      </c>
      <c r="D71" s="101" t="s">
        <v>455</v>
      </c>
      <c r="E71" s="279">
        <v>174.9</v>
      </c>
      <c r="F71" s="838">
        <v>543.55058287898601</v>
      </c>
      <c r="G71" s="838">
        <v>809</v>
      </c>
      <c r="H71" s="838">
        <v>265.44941712101399</v>
      </c>
      <c r="I71" s="839">
        <v>0</v>
      </c>
      <c r="J71" s="851">
        <v>809</v>
      </c>
      <c r="K71" s="852"/>
      <c r="L71" s="839">
        <v>0</v>
      </c>
      <c r="M71" s="851">
        <v>0</v>
      </c>
      <c r="N71" s="853"/>
      <c r="O71" s="839">
        <v>0</v>
      </c>
      <c r="P71" s="851">
        <v>0</v>
      </c>
      <c r="Q71" s="854"/>
      <c r="R71" s="839">
        <v>0</v>
      </c>
      <c r="S71" s="851">
        <v>0</v>
      </c>
      <c r="T71" s="855"/>
      <c r="U71" s="839">
        <v>0</v>
      </c>
      <c r="V71" s="851">
        <v>0</v>
      </c>
      <c r="W71" s="839">
        <v>0</v>
      </c>
      <c r="X71" s="851">
        <v>0</v>
      </c>
      <c r="Y71" s="839">
        <v>0</v>
      </c>
      <c r="Z71" s="851">
        <v>0</v>
      </c>
      <c r="AA71" s="839">
        <v>0</v>
      </c>
      <c r="AB71" s="851">
        <v>0</v>
      </c>
      <c r="AC71" s="839">
        <v>0</v>
      </c>
      <c r="AD71" s="851">
        <v>0</v>
      </c>
      <c r="AE71" s="839">
        <v>0</v>
      </c>
      <c r="AF71" s="851">
        <v>0</v>
      </c>
      <c r="AG71" s="856"/>
      <c r="AH71" s="839">
        <v>0</v>
      </c>
      <c r="AI71" s="851">
        <v>0</v>
      </c>
      <c r="AJ71" s="856"/>
      <c r="AK71" s="839">
        <v>0</v>
      </c>
      <c r="AL71" s="851">
        <v>0</v>
      </c>
      <c r="AM71" s="856"/>
      <c r="AN71" s="839">
        <v>0</v>
      </c>
      <c r="AO71" s="851">
        <v>0</v>
      </c>
      <c r="AP71" s="856"/>
      <c r="AQ71" s="839">
        <v>0</v>
      </c>
      <c r="AR71" s="851">
        <v>0</v>
      </c>
      <c r="AS71" s="856"/>
      <c r="AT71" s="839">
        <v>0</v>
      </c>
      <c r="AU71" s="851">
        <v>0</v>
      </c>
      <c r="AV71" s="856"/>
      <c r="AW71" s="839">
        <v>0</v>
      </c>
      <c r="AX71" s="851">
        <v>0</v>
      </c>
      <c r="AY71" s="856"/>
      <c r="AZ71" s="845">
        <v>0</v>
      </c>
      <c r="BA71" s="845">
        <v>0</v>
      </c>
      <c r="BB71" s="846">
        <v>0</v>
      </c>
      <c r="BD71" s="2">
        <v>1</v>
      </c>
      <c r="BF71" s="787">
        <v>0</v>
      </c>
      <c r="BG71" s="325">
        <v>150000530</v>
      </c>
      <c r="BI71" s="847">
        <v>0</v>
      </c>
      <c r="BJ71" s="847">
        <v>0</v>
      </c>
      <c r="BK71" s="847">
        <v>0</v>
      </c>
      <c r="BL71" s="848"/>
      <c r="BM71" s="3"/>
      <c r="BN71" s="3"/>
      <c r="BP71" s="3"/>
      <c r="BQ71" s="3"/>
      <c r="BS71" s="42" t="s">
        <v>63</v>
      </c>
    </row>
    <row r="72" spans="1:71" ht="24.9" customHeight="1" x14ac:dyDescent="0.3">
      <c r="A72" s="325">
        <v>150000544</v>
      </c>
      <c r="B72" s="862" t="s">
        <v>65</v>
      </c>
      <c r="C72" s="863">
        <v>1</v>
      </c>
      <c r="D72" s="101" t="s">
        <v>455</v>
      </c>
      <c r="E72" s="279">
        <v>136.9</v>
      </c>
      <c r="F72" s="838">
        <v>339.49057757246862</v>
      </c>
      <c r="G72" s="838">
        <v>0</v>
      </c>
      <c r="H72" s="838">
        <v>-339.49057757246862</v>
      </c>
      <c r="I72" s="839">
        <v>0</v>
      </c>
      <c r="J72" s="851">
        <v>0</v>
      </c>
      <c r="K72" s="852"/>
      <c r="L72" s="839">
        <v>0</v>
      </c>
      <c r="M72" s="851">
        <v>0</v>
      </c>
      <c r="N72" s="853"/>
      <c r="O72" s="839">
        <v>0</v>
      </c>
      <c r="P72" s="851">
        <v>0</v>
      </c>
      <c r="Q72" s="854"/>
      <c r="R72" s="839">
        <v>0</v>
      </c>
      <c r="S72" s="851">
        <v>0</v>
      </c>
      <c r="T72" s="855"/>
      <c r="U72" s="839">
        <v>0</v>
      </c>
      <c r="V72" s="851">
        <v>0</v>
      </c>
      <c r="W72" s="839">
        <v>0</v>
      </c>
      <c r="X72" s="851">
        <v>0</v>
      </c>
      <c r="Y72" s="839">
        <v>0</v>
      </c>
      <c r="Z72" s="851">
        <v>0</v>
      </c>
      <c r="AA72" s="839">
        <v>0</v>
      </c>
      <c r="AB72" s="851">
        <v>0</v>
      </c>
      <c r="AC72" s="839">
        <v>0</v>
      </c>
      <c r="AD72" s="851">
        <v>0</v>
      </c>
      <c r="AE72" s="839">
        <v>0</v>
      </c>
      <c r="AF72" s="851">
        <v>0</v>
      </c>
      <c r="AG72" s="856"/>
      <c r="AH72" s="839">
        <v>0</v>
      </c>
      <c r="AI72" s="851">
        <v>0</v>
      </c>
      <c r="AJ72" s="856"/>
      <c r="AK72" s="839">
        <v>0</v>
      </c>
      <c r="AL72" s="851">
        <v>0</v>
      </c>
      <c r="AM72" s="856"/>
      <c r="AN72" s="839">
        <v>0</v>
      </c>
      <c r="AO72" s="851">
        <v>0</v>
      </c>
      <c r="AP72" s="856"/>
      <c r="AQ72" s="839">
        <v>0</v>
      </c>
      <c r="AR72" s="851">
        <v>0</v>
      </c>
      <c r="AS72" s="856"/>
      <c r="AT72" s="839">
        <v>0</v>
      </c>
      <c r="AU72" s="851">
        <v>0</v>
      </c>
      <c r="AV72" s="856"/>
      <c r="AW72" s="839">
        <v>0</v>
      </c>
      <c r="AX72" s="851">
        <v>0</v>
      </c>
      <c r="AY72" s="856"/>
      <c r="AZ72" s="845">
        <v>0</v>
      </c>
      <c r="BA72" s="845">
        <v>0</v>
      </c>
      <c r="BB72" s="846">
        <v>0</v>
      </c>
      <c r="BD72" s="2">
        <v>1</v>
      </c>
      <c r="BF72" s="787">
        <v>0</v>
      </c>
      <c r="BG72" s="325">
        <v>150000544</v>
      </c>
      <c r="BI72" s="847">
        <v>0</v>
      </c>
      <c r="BJ72" s="847">
        <v>0</v>
      </c>
      <c r="BK72" s="847">
        <v>0</v>
      </c>
      <c r="BL72" s="848"/>
      <c r="BM72" s="3"/>
      <c r="BN72" s="3"/>
      <c r="BP72" s="3"/>
      <c r="BQ72" s="3"/>
      <c r="BS72" s="42" t="s">
        <v>65</v>
      </c>
    </row>
    <row r="73" spans="1:71" ht="24.9" customHeight="1" x14ac:dyDescent="0.3">
      <c r="A73" s="325">
        <v>150000531</v>
      </c>
      <c r="B73" s="849" t="s">
        <v>349</v>
      </c>
      <c r="C73" s="850">
        <v>9</v>
      </c>
      <c r="D73" s="101" t="s">
        <v>455</v>
      </c>
      <c r="E73" s="279">
        <v>7614.5</v>
      </c>
      <c r="F73" s="838">
        <v>20978.873295414356</v>
      </c>
      <c r="G73" s="838">
        <v>583.47121681213298</v>
      </c>
      <c r="H73" s="838">
        <v>-20395.402078602223</v>
      </c>
      <c r="I73" s="839">
        <v>0</v>
      </c>
      <c r="J73" s="851">
        <v>0</v>
      </c>
      <c r="K73" s="865"/>
      <c r="L73" s="839">
        <v>0</v>
      </c>
      <c r="M73" s="851">
        <v>0</v>
      </c>
      <c r="N73" s="853"/>
      <c r="O73" s="839">
        <v>0</v>
      </c>
      <c r="P73" s="851">
        <v>0</v>
      </c>
      <c r="Q73" s="874"/>
      <c r="R73" s="839">
        <v>0</v>
      </c>
      <c r="S73" s="851">
        <v>0</v>
      </c>
      <c r="T73" s="870"/>
      <c r="U73" s="839">
        <v>0</v>
      </c>
      <c r="V73" s="851">
        <v>0</v>
      </c>
      <c r="W73" s="839">
        <v>0</v>
      </c>
      <c r="X73" s="851">
        <v>38.471216812133022</v>
      </c>
      <c r="Y73" s="839">
        <v>545</v>
      </c>
      <c r="Z73" s="851">
        <v>0</v>
      </c>
      <c r="AA73" s="839">
        <v>0</v>
      </c>
      <c r="AB73" s="851">
        <v>0</v>
      </c>
      <c r="AC73" s="839">
        <v>0</v>
      </c>
      <c r="AD73" s="851">
        <v>0</v>
      </c>
      <c r="AE73" s="839">
        <v>261.46872234701635</v>
      </c>
      <c r="AF73" s="851">
        <v>390</v>
      </c>
      <c r="AG73" s="856"/>
      <c r="AH73" s="839">
        <v>351.30774901844745</v>
      </c>
      <c r="AI73" s="851">
        <v>0</v>
      </c>
      <c r="AJ73" s="856"/>
      <c r="AK73" s="839">
        <v>483.70917241723362</v>
      </c>
      <c r="AL73" s="851">
        <v>0</v>
      </c>
      <c r="AM73" s="856"/>
      <c r="AN73" s="839">
        <v>185.6386927230358</v>
      </c>
      <c r="AO73" s="851">
        <v>0</v>
      </c>
      <c r="AP73" s="856"/>
      <c r="AQ73" s="839">
        <v>292.3226339843186</v>
      </c>
      <c r="AR73" s="851">
        <v>0</v>
      </c>
      <c r="AS73" s="856"/>
      <c r="AT73" s="839">
        <v>235.82173208405922</v>
      </c>
      <c r="AU73" s="851">
        <v>0</v>
      </c>
      <c r="AV73" s="856"/>
      <c r="AW73" s="839">
        <v>142.02289427059736</v>
      </c>
      <c r="AX73" s="851">
        <v>0</v>
      </c>
      <c r="AY73" s="856"/>
      <c r="AZ73" s="845">
        <v>1952.2915968447085</v>
      </c>
      <c r="BA73" s="845">
        <v>390</v>
      </c>
      <c r="BB73" s="846">
        <v>-1562.2915968447085</v>
      </c>
      <c r="BD73" s="2">
        <v>1</v>
      </c>
      <c r="BF73" s="787">
        <v>73.464724970848962</v>
      </c>
      <c r="BG73" s="325">
        <v>150000531</v>
      </c>
      <c r="BI73" s="847">
        <v>17.5</v>
      </c>
      <c r="BJ73" s="847">
        <v>1.7173352736406005</v>
      </c>
      <c r="BK73" s="847">
        <v>19.2173352736406</v>
      </c>
      <c r="BL73" s="848"/>
      <c r="BM73" s="3"/>
      <c r="BN73" s="3"/>
      <c r="BP73" s="3"/>
      <c r="BQ73" s="3"/>
      <c r="BS73" s="42" t="s">
        <v>349</v>
      </c>
    </row>
    <row r="74" spans="1:71" ht="24.9" customHeight="1" x14ac:dyDescent="0.3">
      <c r="A74" s="325">
        <v>150000532</v>
      </c>
      <c r="B74" s="849" t="s">
        <v>254</v>
      </c>
      <c r="C74" s="850">
        <v>5</v>
      </c>
      <c r="D74" s="101" t="s">
        <v>455</v>
      </c>
      <c r="E74" s="279">
        <v>2489.87</v>
      </c>
      <c r="F74" s="838">
        <v>4098.2820626538005</v>
      </c>
      <c r="G74" s="838">
        <v>0</v>
      </c>
      <c r="H74" s="838">
        <v>-4098.2820626538005</v>
      </c>
      <c r="I74" s="839">
        <v>0</v>
      </c>
      <c r="J74" s="851">
        <v>0</v>
      </c>
      <c r="K74" s="852"/>
      <c r="L74" s="839">
        <v>0</v>
      </c>
      <c r="M74" s="851">
        <v>0</v>
      </c>
      <c r="N74" s="853"/>
      <c r="O74" s="839">
        <v>0</v>
      </c>
      <c r="P74" s="851">
        <v>0</v>
      </c>
      <c r="Q74" s="854"/>
      <c r="R74" s="839">
        <v>0</v>
      </c>
      <c r="S74" s="851">
        <v>0</v>
      </c>
      <c r="T74" s="855"/>
      <c r="U74" s="839">
        <v>0</v>
      </c>
      <c r="V74" s="851">
        <v>0</v>
      </c>
      <c r="W74" s="839">
        <v>0</v>
      </c>
      <c r="X74" s="851">
        <v>0</v>
      </c>
      <c r="Y74" s="839">
        <v>0</v>
      </c>
      <c r="Z74" s="851">
        <v>0</v>
      </c>
      <c r="AA74" s="839">
        <v>0</v>
      </c>
      <c r="AB74" s="851">
        <v>0</v>
      </c>
      <c r="AC74" s="839">
        <v>0</v>
      </c>
      <c r="AD74" s="851">
        <v>0</v>
      </c>
      <c r="AE74" s="839">
        <v>242.09477570878985</v>
      </c>
      <c r="AF74" s="851">
        <v>0</v>
      </c>
      <c r="AG74" s="856"/>
      <c r="AH74" s="839">
        <v>341.29746007718495</v>
      </c>
      <c r="AI74" s="851">
        <v>0</v>
      </c>
      <c r="AJ74" s="856"/>
      <c r="AK74" s="839">
        <v>97.993438091568279</v>
      </c>
      <c r="AL74" s="851">
        <v>0</v>
      </c>
      <c r="AM74" s="856"/>
      <c r="AN74" s="839">
        <v>114.75461373279184</v>
      </c>
      <c r="AO74" s="851">
        <v>0</v>
      </c>
      <c r="AP74" s="856"/>
      <c r="AQ74" s="839">
        <v>89.960355179059135</v>
      </c>
      <c r="AR74" s="851">
        <v>0</v>
      </c>
      <c r="AS74" s="856"/>
      <c r="AT74" s="839">
        <v>122.56982730821436</v>
      </c>
      <c r="AU74" s="851">
        <v>0</v>
      </c>
      <c r="AV74" s="856"/>
      <c r="AW74" s="839">
        <v>122.29074143818023</v>
      </c>
      <c r="AX74" s="851">
        <v>0</v>
      </c>
      <c r="AY74" s="856"/>
      <c r="AZ74" s="845">
        <v>1130.9612115357886</v>
      </c>
      <c r="BA74" s="845">
        <v>0</v>
      </c>
      <c r="BB74" s="846">
        <v>-1130.9612115357886</v>
      </c>
      <c r="BD74" s="2">
        <v>1</v>
      </c>
      <c r="BF74" s="787">
        <v>37.37554543500962</v>
      </c>
      <c r="BG74" s="325">
        <v>150000532</v>
      </c>
      <c r="BI74" s="847">
        <v>0</v>
      </c>
      <c r="BJ74" s="847">
        <v>0</v>
      </c>
      <c r="BK74" s="847">
        <v>0</v>
      </c>
      <c r="BL74" s="848"/>
      <c r="BM74" s="3"/>
      <c r="BN74" s="3"/>
      <c r="BP74" s="3"/>
      <c r="BQ74" s="3"/>
      <c r="BS74" s="42" t="s">
        <v>254</v>
      </c>
    </row>
    <row r="75" spans="1:71" ht="24.9" customHeight="1" x14ac:dyDescent="0.3">
      <c r="A75" s="325">
        <v>150000533</v>
      </c>
      <c r="B75" s="849" t="s">
        <v>350</v>
      </c>
      <c r="C75" s="850">
        <v>9</v>
      </c>
      <c r="D75" s="101" t="s">
        <v>455</v>
      </c>
      <c r="E75" s="279">
        <v>11377.55</v>
      </c>
      <c r="F75" s="838">
        <v>32711.222227285507</v>
      </c>
      <c r="G75" s="838">
        <v>8105.4621578759761</v>
      </c>
      <c r="H75" s="838">
        <v>-24605.760069409531</v>
      </c>
      <c r="I75" s="839">
        <v>0</v>
      </c>
      <c r="J75" s="851">
        <v>0</v>
      </c>
      <c r="K75" s="852"/>
      <c r="L75" s="839">
        <v>0</v>
      </c>
      <c r="M75" s="851">
        <v>0</v>
      </c>
      <c r="N75" s="853"/>
      <c r="O75" s="839">
        <v>0</v>
      </c>
      <c r="P75" s="851">
        <v>0</v>
      </c>
      <c r="Q75" s="854"/>
      <c r="R75" s="839">
        <v>2</v>
      </c>
      <c r="S75" s="851">
        <v>6914</v>
      </c>
      <c r="T75" s="870"/>
      <c r="U75" s="839">
        <v>0</v>
      </c>
      <c r="V75" s="851">
        <v>0</v>
      </c>
      <c r="W75" s="839">
        <v>0</v>
      </c>
      <c r="X75" s="851">
        <v>2.462157875976513</v>
      </c>
      <c r="Y75" s="839">
        <v>0</v>
      </c>
      <c r="Z75" s="851">
        <v>0</v>
      </c>
      <c r="AA75" s="839">
        <v>0</v>
      </c>
      <c r="AB75" s="851">
        <v>0</v>
      </c>
      <c r="AC75" s="839">
        <v>539</v>
      </c>
      <c r="AD75" s="851">
        <v>650</v>
      </c>
      <c r="AE75" s="839">
        <v>172.64896221065933</v>
      </c>
      <c r="AF75" s="851">
        <v>0</v>
      </c>
      <c r="AG75" s="857"/>
      <c r="AH75" s="839">
        <v>236.7462978235489</v>
      </c>
      <c r="AI75" s="851">
        <v>0</v>
      </c>
      <c r="AJ75" s="856"/>
      <c r="AK75" s="839">
        <v>184.64634567058175</v>
      </c>
      <c r="AL75" s="851">
        <v>0</v>
      </c>
      <c r="AM75" s="856"/>
      <c r="AN75" s="839">
        <v>115.32993121019737</v>
      </c>
      <c r="AO75" s="851">
        <v>0</v>
      </c>
      <c r="AP75" s="856"/>
      <c r="AQ75" s="839">
        <v>194.87527844079784</v>
      </c>
      <c r="AR75" s="851">
        <v>0</v>
      </c>
      <c r="AS75" s="856"/>
      <c r="AT75" s="839">
        <v>235.39234830930431</v>
      </c>
      <c r="AU75" s="851">
        <v>0</v>
      </c>
      <c r="AV75" s="856"/>
      <c r="AW75" s="839">
        <v>228.84431771884292</v>
      </c>
      <c r="AX75" s="851">
        <v>0</v>
      </c>
      <c r="AY75" s="856"/>
      <c r="AZ75" s="845">
        <v>1368.4834813839325</v>
      </c>
      <c r="BA75" s="845">
        <v>0</v>
      </c>
      <c r="BB75" s="846">
        <v>-1368.4834813839325</v>
      </c>
      <c r="BD75" s="2">
        <v>1</v>
      </c>
      <c r="BF75" s="787">
        <v>80.117558934490475</v>
      </c>
      <c r="BG75" s="325">
        <v>150000533</v>
      </c>
      <c r="BI75" s="847">
        <v>1.1200000000000001</v>
      </c>
      <c r="BJ75" s="847">
        <v>0.10990945751299844</v>
      </c>
      <c r="BK75" s="847">
        <v>1.2299094575129985</v>
      </c>
      <c r="BL75" s="848"/>
      <c r="BM75" s="3"/>
      <c r="BN75" s="3"/>
      <c r="BP75" s="3"/>
      <c r="BQ75" s="3"/>
      <c r="BS75" s="42" t="s">
        <v>350</v>
      </c>
    </row>
    <row r="76" spans="1:71" ht="24.9" customHeight="1" x14ac:dyDescent="0.3">
      <c r="A76" s="325">
        <v>150000534</v>
      </c>
      <c r="B76" s="849" t="s">
        <v>255</v>
      </c>
      <c r="C76" s="850">
        <v>5</v>
      </c>
      <c r="D76" s="101" t="s">
        <v>455</v>
      </c>
      <c r="E76" s="279">
        <v>2481.4</v>
      </c>
      <c r="F76" s="838">
        <v>7397.8271065027866</v>
      </c>
      <c r="G76" s="838">
        <v>0</v>
      </c>
      <c r="H76" s="838">
        <v>-7397.8271065027866</v>
      </c>
      <c r="I76" s="839">
        <v>0</v>
      </c>
      <c r="J76" s="851">
        <v>0</v>
      </c>
      <c r="K76" s="852"/>
      <c r="L76" s="839">
        <v>0</v>
      </c>
      <c r="M76" s="851">
        <v>0</v>
      </c>
      <c r="N76" s="858"/>
      <c r="O76" s="839">
        <v>0</v>
      </c>
      <c r="P76" s="851">
        <v>0</v>
      </c>
      <c r="Q76" s="854"/>
      <c r="R76" s="839">
        <v>0</v>
      </c>
      <c r="S76" s="851">
        <v>0</v>
      </c>
      <c r="T76" s="855"/>
      <c r="U76" s="839">
        <v>0</v>
      </c>
      <c r="V76" s="851">
        <v>0</v>
      </c>
      <c r="W76" s="839">
        <v>0</v>
      </c>
      <c r="X76" s="851">
        <v>0</v>
      </c>
      <c r="Y76" s="839">
        <v>0</v>
      </c>
      <c r="Z76" s="851">
        <v>0</v>
      </c>
      <c r="AA76" s="839">
        <v>0</v>
      </c>
      <c r="AB76" s="851">
        <v>0</v>
      </c>
      <c r="AC76" s="839">
        <v>0</v>
      </c>
      <c r="AD76" s="851">
        <v>0</v>
      </c>
      <c r="AE76" s="839">
        <v>257.18257003536439</v>
      </c>
      <c r="AF76" s="851">
        <v>0</v>
      </c>
      <c r="AG76" s="856"/>
      <c r="AH76" s="839">
        <v>341.29746007718495</v>
      </c>
      <c r="AI76" s="851">
        <v>0</v>
      </c>
      <c r="AJ76" s="857"/>
      <c r="AK76" s="839">
        <v>238.21117418178792</v>
      </c>
      <c r="AL76" s="851">
        <v>0</v>
      </c>
      <c r="AM76" s="856"/>
      <c r="AN76" s="839">
        <v>117.71760222739266</v>
      </c>
      <c r="AO76" s="851">
        <v>0</v>
      </c>
      <c r="AP76" s="856"/>
      <c r="AQ76" s="839">
        <v>89.960355179059135</v>
      </c>
      <c r="AR76" s="851">
        <v>0</v>
      </c>
      <c r="AS76" s="856"/>
      <c r="AT76" s="839">
        <v>122.56982730821436</v>
      </c>
      <c r="AU76" s="851">
        <v>827</v>
      </c>
      <c r="AV76" s="856"/>
      <c r="AW76" s="839">
        <v>122.29074143818023</v>
      </c>
      <c r="AX76" s="851">
        <v>0</v>
      </c>
      <c r="AY76" s="856"/>
      <c r="AZ76" s="845">
        <v>1289.2297304471838</v>
      </c>
      <c r="BA76" s="845">
        <v>827</v>
      </c>
      <c r="BB76" s="846">
        <v>-462.22973044718378</v>
      </c>
      <c r="BD76" s="2">
        <v>1</v>
      </c>
      <c r="BF76" s="787">
        <v>37.307671574229104</v>
      </c>
      <c r="BG76" s="325">
        <v>150000534</v>
      </c>
      <c r="BI76" s="847">
        <v>0</v>
      </c>
      <c r="BJ76" s="847">
        <v>0</v>
      </c>
      <c r="BK76" s="847">
        <v>0</v>
      </c>
      <c r="BL76" s="848"/>
      <c r="BM76" s="3"/>
      <c r="BN76" s="3"/>
      <c r="BP76" s="3"/>
      <c r="BQ76" s="3"/>
      <c r="BS76" s="42" t="s">
        <v>255</v>
      </c>
    </row>
    <row r="77" spans="1:71" ht="24.9" customHeight="1" x14ac:dyDescent="0.3">
      <c r="A77" s="325">
        <v>150000535</v>
      </c>
      <c r="B77" s="849" t="s">
        <v>351</v>
      </c>
      <c r="C77" s="850">
        <v>9</v>
      </c>
      <c r="D77" s="101" t="s">
        <v>455</v>
      </c>
      <c r="E77" s="279">
        <v>11456.45</v>
      </c>
      <c r="F77" s="838">
        <v>32883.1927937488</v>
      </c>
      <c r="G77" s="838">
        <v>1827</v>
      </c>
      <c r="H77" s="838">
        <v>-31056.1927937488</v>
      </c>
      <c r="I77" s="839">
        <v>0</v>
      </c>
      <c r="J77" s="851">
        <v>0</v>
      </c>
      <c r="K77" s="872"/>
      <c r="L77" s="839">
        <v>0</v>
      </c>
      <c r="M77" s="851">
        <v>0</v>
      </c>
      <c r="N77" s="853"/>
      <c r="O77" s="839">
        <v>0</v>
      </c>
      <c r="P77" s="851">
        <v>0</v>
      </c>
      <c r="Q77" s="874"/>
      <c r="R77" s="839">
        <v>0</v>
      </c>
      <c r="S77" s="851">
        <v>0</v>
      </c>
      <c r="T77" s="870"/>
      <c r="U77" s="839">
        <v>0</v>
      </c>
      <c r="V77" s="851">
        <v>0</v>
      </c>
      <c r="W77" s="839">
        <v>1</v>
      </c>
      <c r="X77" s="851">
        <v>142</v>
      </c>
      <c r="Y77" s="839">
        <v>0</v>
      </c>
      <c r="Z77" s="851">
        <v>0</v>
      </c>
      <c r="AA77" s="839">
        <v>0</v>
      </c>
      <c r="AB77" s="851">
        <v>0</v>
      </c>
      <c r="AC77" s="839">
        <v>857</v>
      </c>
      <c r="AD77" s="851">
        <v>828</v>
      </c>
      <c r="AE77" s="839">
        <v>432.21338540871011</v>
      </c>
      <c r="AF77" s="851">
        <v>0</v>
      </c>
      <c r="AG77" s="867"/>
      <c r="AH77" s="839">
        <v>591.86574455887205</v>
      </c>
      <c r="AI77" s="851">
        <v>0</v>
      </c>
      <c r="AJ77" s="857"/>
      <c r="AK77" s="839">
        <v>690.27183197185354</v>
      </c>
      <c r="AL77" s="851">
        <v>0</v>
      </c>
      <c r="AM77" s="856"/>
      <c r="AN77" s="839">
        <v>289.88286770503936</v>
      </c>
      <c r="AO77" s="851">
        <v>0</v>
      </c>
      <c r="AP77" s="856"/>
      <c r="AQ77" s="839">
        <v>487.18819610199455</v>
      </c>
      <c r="AR77" s="851">
        <v>0</v>
      </c>
      <c r="AS77" s="856"/>
      <c r="AT77" s="839">
        <v>588.48087077326079</v>
      </c>
      <c r="AU77" s="851">
        <v>0</v>
      </c>
      <c r="AV77" s="856"/>
      <c r="AW77" s="839">
        <v>232.74222385317006</v>
      </c>
      <c r="AX77" s="851">
        <v>0</v>
      </c>
      <c r="AY77" s="856"/>
      <c r="AZ77" s="845">
        <v>3312.6451203729002</v>
      </c>
      <c r="BA77" s="845">
        <v>0</v>
      </c>
      <c r="BB77" s="846">
        <v>-3312.6451203729002</v>
      </c>
      <c r="BD77" s="2">
        <v>1</v>
      </c>
      <c r="BF77" s="787">
        <v>80.657944703671461</v>
      </c>
      <c r="BG77" s="325">
        <v>150000535</v>
      </c>
      <c r="BI77" s="847">
        <v>0</v>
      </c>
      <c r="BJ77" s="847">
        <v>0</v>
      </c>
      <c r="BK77" s="847">
        <v>0</v>
      </c>
      <c r="BL77" s="848"/>
      <c r="BM77" s="3"/>
      <c r="BN77" s="3"/>
      <c r="BP77" s="3"/>
      <c r="BQ77" s="3"/>
      <c r="BS77" s="42" t="s">
        <v>351</v>
      </c>
    </row>
    <row r="78" spans="1:71" ht="24.9" customHeight="1" x14ac:dyDescent="0.3">
      <c r="A78" s="325">
        <v>150000645</v>
      </c>
      <c r="B78" s="862" t="s">
        <v>66</v>
      </c>
      <c r="C78" s="863">
        <v>1</v>
      </c>
      <c r="D78" s="101" t="s">
        <v>455</v>
      </c>
      <c r="E78" s="279">
        <v>216</v>
      </c>
      <c r="F78" s="838">
        <v>568.91798965145097</v>
      </c>
      <c r="G78" s="838">
        <v>0</v>
      </c>
      <c r="H78" s="838">
        <v>-568.91798965145097</v>
      </c>
      <c r="I78" s="839">
        <v>0</v>
      </c>
      <c r="J78" s="851">
        <v>0</v>
      </c>
      <c r="K78" s="852"/>
      <c r="L78" s="839">
        <v>0</v>
      </c>
      <c r="M78" s="851">
        <v>0</v>
      </c>
      <c r="N78" s="853"/>
      <c r="O78" s="839">
        <v>0</v>
      </c>
      <c r="P78" s="851">
        <v>0</v>
      </c>
      <c r="Q78" s="854"/>
      <c r="R78" s="839">
        <v>0</v>
      </c>
      <c r="S78" s="851">
        <v>0</v>
      </c>
      <c r="T78" s="855"/>
      <c r="U78" s="839">
        <v>0</v>
      </c>
      <c r="V78" s="851">
        <v>0</v>
      </c>
      <c r="W78" s="839">
        <v>0</v>
      </c>
      <c r="X78" s="851">
        <v>0</v>
      </c>
      <c r="Y78" s="839">
        <v>0</v>
      </c>
      <c r="Z78" s="851">
        <v>0</v>
      </c>
      <c r="AA78" s="839">
        <v>0</v>
      </c>
      <c r="AB78" s="851">
        <v>0</v>
      </c>
      <c r="AC78" s="839">
        <v>0</v>
      </c>
      <c r="AD78" s="851">
        <v>0</v>
      </c>
      <c r="AE78" s="839">
        <v>0</v>
      </c>
      <c r="AF78" s="851">
        <v>0</v>
      </c>
      <c r="AG78" s="856"/>
      <c r="AH78" s="839">
        <v>0</v>
      </c>
      <c r="AI78" s="851">
        <v>0</v>
      </c>
      <c r="AJ78" s="856"/>
      <c r="AK78" s="839">
        <v>0</v>
      </c>
      <c r="AL78" s="851">
        <v>0</v>
      </c>
      <c r="AM78" s="856"/>
      <c r="AN78" s="839">
        <v>0</v>
      </c>
      <c r="AO78" s="851">
        <v>0</v>
      </c>
      <c r="AP78" s="856"/>
      <c r="AQ78" s="839">
        <v>0</v>
      </c>
      <c r="AR78" s="851">
        <v>0</v>
      </c>
      <c r="AS78" s="856"/>
      <c r="AT78" s="839">
        <v>0</v>
      </c>
      <c r="AU78" s="851">
        <v>0</v>
      </c>
      <c r="AV78" s="856"/>
      <c r="AW78" s="839">
        <v>0</v>
      </c>
      <c r="AX78" s="851">
        <v>0</v>
      </c>
      <c r="AY78" s="856"/>
      <c r="AZ78" s="845">
        <v>0</v>
      </c>
      <c r="BA78" s="845">
        <v>0</v>
      </c>
      <c r="BB78" s="846">
        <v>0</v>
      </c>
      <c r="BD78" s="2">
        <v>3</v>
      </c>
      <c r="BF78" s="787">
        <v>0</v>
      </c>
      <c r="BG78" s="325">
        <v>150000645</v>
      </c>
      <c r="BI78" s="847">
        <v>0</v>
      </c>
      <c r="BJ78" s="847">
        <v>0</v>
      </c>
      <c r="BK78" s="847">
        <v>0</v>
      </c>
      <c r="BL78" s="848"/>
      <c r="BM78" s="3"/>
      <c r="BN78" s="3"/>
      <c r="BP78" s="3"/>
      <c r="BQ78" s="3"/>
      <c r="BS78" s="42" t="s">
        <v>66</v>
      </c>
    </row>
    <row r="79" spans="1:71" ht="24.9" customHeight="1" x14ac:dyDescent="0.3">
      <c r="A79" s="325">
        <v>150000643</v>
      </c>
      <c r="B79" s="862" t="s">
        <v>67</v>
      </c>
      <c r="C79" s="863">
        <v>1</v>
      </c>
      <c r="D79" s="101" t="s">
        <v>455</v>
      </c>
      <c r="E79" s="279">
        <v>216.8</v>
      </c>
      <c r="F79" s="838">
        <v>483.41008641630623</v>
      </c>
      <c r="G79" s="838">
        <v>0</v>
      </c>
      <c r="H79" s="838">
        <v>-483.41008641630623</v>
      </c>
      <c r="I79" s="839">
        <v>0</v>
      </c>
      <c r="J79" s="851">
        <v>0</v>
      </c>
      <c r="K79" s="852"/>
      <c r="L79" s="839">
        <v>0</v>
      </c>
      <c r="M79" s="851">
        <v>0</v>
      </c>
      <c r="N79" s="853"/>
      <c r="O79" s="839">
        <v>0</v>
      </c>
      <c r="P79" s="851">
        <v>0</v>
      </c>
      <c r="Q79" s="854"/>
      <c r="R79" s="839">
        <v>0</v>
      </c>
      <c r="S79" s="851">
        <v>0</v>
      </c>
      <c r="T79" s="855"/>
      <c r="U79" s="839">
        <v>0</v>
      </c>
      <c r="V79" s="851">
        <v>0</v>
      </c>
      <c r="W79" s="839">
        <v>0</v>
      </c>
      <c r="X79" s="851">
        <v>0</v>
      </c>
      <c r="Y79" s="839">
        <v>0</v>
      </c>
      <c r="Z79" s="851">
        <v>0</v>
      </c>
      <c r="AA79" s="839">
        <v>0</v>
      </c>
      <c r="AB79" s="851">
        <v>0</v>
      </c>
      <c r="AC79" s="839">
        <v>0</v>
      </c>
      <c r="AD79" s="851">
        <v>0</v>
      </c>
      <c r="AE79" s="839">
        <v>0</v>
      </c>
      <c r="AF79" s="851">
        <v>0</v>
      </c>
      <c r="AG79" s="856"/>
      <c r="AH79" s="839">
        <v>0</v>
      </c>
      <c r="AI79" s="851">
        <v>0</v>
      </c>
      <c r="AJ79" s="856"/>
      <c r="AK79" s="839">
        <v>0</v>
      </c>
      <c r="AL79" s="851">
        <v>0</v>
      </c>
      <c r="AM79" s="856"/>
      <c r="AN79" s="839">
        <v>0</v>
      </c>
      <c r="AO79" s="851">
        <v>0</v>
      </c>
      <c r="AP79" s="856"/>
      <c r="AQ79" s="839">
        <v>0</v>
      </c>
      <c r="AR79" s="851">
        <v>0</v>
      </c>
      <c r="AS79" s="856"/>
      <c r="AT79" s="839">
        <v>0</v>
      </c>
      <c r="AU79" s="851">
        <v>0</v>
      </c>
      <c r="AV79" s="856"/>
      <c r="AW79" s="839">
        <v>0</v>
      </c>
      <c r="AX79" s="851">
        <v>0</v>
      </c>
      <c r="AY79" s="856"/>
      <c r="AZ79" s="845">
        <v>0</v>
      </c>
      <c r="BA79" s="845">
        <v>0</v>
      </c>
      <c r="BB79" s="846">
        <v>0</v>
      </c>
      <c r="BD79" s="2">
        <v>3</v>
      </c>
      <c r="BF79" s="787">
        <v>0</v>
      </c>
      <c r="BG79" s="325">
        <v>150000643</v>
      </c>
      <c r="BI79" s="847">
        <v>0</v>
      </c>
      <c r="BJ79" s="847">
        <v>0</v>
      </c>
      <c r="BK79" s="847">
        <v>0</v>
      </c>
      <c r="BL79" s="848"/>
      <c r="BM79" s="3"/>
      <c r="BN79" s="3"/>
      <c r="BP79" s="3"/>
      <c r="BQ79" s="3"/>
      <c r="BS79" s="42" t="s">
        <v>67</v>
      </c>
    </row>
    <row r="80" spans="1:71" ht="24.9" customHeight="1" x14ac:dyDescent="0.3">
      <c r="A80" s="325">
        <v>150000644</v>
      </c>
      <c r="B80" s="862" t="s">
        <v>68</v>
      </c>
      <c r="C80" s="863">
        <v>1</v>
      </c>
      <c r="D80" s="101" t="s">
        <v>455</v>
      </c>
      <c r="E80" s="279">
        <v>214.7</v>
      </c>
      <c r="F80" s="838">
        <v>494.22706795266049</v>
      </c>
      <c r="G80" s="838">
        <v>0</v>
      </c>
      <c r="H80" s="838">
        <v>-494.22706795266049</v>
      </c>
      <c r="I80" s="839">
        <v>0</v>
      </c>
      <c r="J80" s="851">
        <v>0</v>
      </c>
      <c r="K80" s="852"/>
      <c r="L80" s="839">
        <v>0</v>
      </c>
      <c r="M80" s="851">
        <v>0</v>
      </c>
      <c r="N80" s="853"/>
      <c r="O80" s="839">
        <v>0</v>
      </c>
      <c r="P80" s="851">
        <v>0</v>
      </c>
      <c r="Q80" s="854"/>
      <c r="R80" s="839">
        <v>0</v>
      </c>
      <c r="S80" s="851">
        <v>0</v>
      </c>
      <c r="T80" s="855"/>
      <c r="U80" s="839">
        <v>0</v>
      </c>
      <c r="V80" s="851">
        <v>0</v>
      </c>
      <c r="W80" s="839">
        <v>0</v>
      </c>
      <c r="X80" s="851">
        <v>0</v>
      </c>
      <c r="Y80" s="839">
        <v>0</v>
      </c>
      <c r="Z80" s="851">
        <v>0</v>
      </c>
      <c r="AA80" s="839">
        <v>0</v>
      </c>
      <c r="AB80" s="851">
        <v>0</v>
      </c>
      <c r="AC80" s="839">
        <v>0</v>
      </c>
      <c r="AD80" s="851">
        <v>0</v>
      </c>
      <c r="AE80" s="839">
        <v>0</v>
      </c>
      <c r="AF80" s="851">
        <v>0</v>
      </c>
      <c r="AG80" s="856"/>
      <c r="AH80" s="839">
        <v>0</v>
      </c>
      <c r="AI80" s="851">
        <v>0</v>
      </c>
      <c r="AJ80" s="856"/>
      <c r="AK80" s="839">
        <v>16.764476281060535</v>
      </c>
      <c r="AL80" s="851">
        <v>0</v>
      </c>
      <c r="AM80" s="856"/>
      <c r="AN80" s="839">
        <v>0</v>
      </c>
      <c r="AO80" s="851">
        <v>0</v>
      </c>
      <c r="AP80" s="856"/>
      <c r="AQ80" s="839">
        <v>0</v>
      </c>
      <c r="AR80" s="851">
        <v>0</v>
      </c>
      <c r="AS80" s="856"/>
      <c r="AT80" s="839">
        <v>0</v>
      </c>
      <c r="AU80" s="851">
        <v>0</v>
      </c>
      <c r="AV80" s="856"/>
      <c r="AW80" s="839">
        <v>0</v>
      </c>
      <c r="AX80" s="851">
        <v>0</v>
      </c>
      <c r="AY80" s="856"/>
      <c r="AZ80" s="845">
        <v>16.764476281060535</v>
      </c>
      <c r="BA80" s="845">
        <v>0</v>
      </c>
      <c r="BB80" s="846">
        <v>-16.764476281060535</v>
      </c>
      <c r="BD80" s="2">
        <v>3</v>
      </c>
      <c r="BF80" s="787">
        <v>0</v>
      </c>
      <c r="BG80" s="325">
        <v>150000644</v>
      </c>
      <c r="BI80" s="847">
        <v>0</v>
      </c>
      <c r="BJ80" s="847">
        <v>0</v>
      </c>
      <c r="BK80" s="847">
        <v>0</v>
      </c>
      <c r="BL80" s="848"/>
      <c r="BM80" s="3"/>
      <c r="BN80" s="3"/>
      <c r="BP80" s="3"/>
      <c r="BQ80" s="3"/>
      <c r="BS80" s="42" t="s">
        <v>68</v>
      </c>
    </row>
    <row r="81" spans="1:71" ht="24.9" customHeight="1" x14ac:dyDescent="0.3">
      <c r="A81" s="325">
        <v>150000566</v>
      </c>
      <c r="B81" s="862" t="s">
        <v>69</v>
      </c>
      <c r="C81" s="863">
        <v>1</v>
      </c>
      <c r="D81" s="101" t="s">
        <v>455</v>
      </c>
      <c r="E81" s="279">
        <v>397.8</v>
      </c>
      <c r="F81" s="838">
        <v>1075.2062017177741</v>
      </c>
      <c r="G81" s="838">
        <v>0</v>
      </c>
      <c r="H81" s="838">
        <v>-1075.2062017177741</v>
      </c>
      <c r="I81" s="839">
        <v>0</v>
      </c>
      <c r="J81" s="851">
        <v>0</v>
      </c>
      <c r="K81" s="852"/>
      <c r="L81" s="839">
        <v>0</v>
      </c>
      <c r="M81" s="851">
        <v>0</v>
      </c>
      <c r="N81" s="853"/>
      <c r="O81" s="839">
        <v>0</v>
      </c>
      <c r="P81" s="851">
        <v>0</v>
      </c>
      <c r="Q81" s="854"/>
      <c r="R81" s="839">
        <v>0</v>
      </c>
      <c r="S81" s="851">
        <v>0</v>
      </c>
      <c r="T81" s="855"/>
      <c r="U81" s="839">
        <v>0</v>
      </c>
      <c r="V81" s="851">
        <v>0</v>
      </c>
      <c r="W81" s="839">
        <v>0</v>
      </c>
      <c r="X81" s="851">
        <v>0</v>
      </c>
      <c r="Y81" s="839">
        <v>0</v>
      </c>
      <c r="Z81" s="851">
        <v>0</v>
      </c>
      <c r="AA81" s="839">
        <v>0</v>
      </c>
      <c r="AB81" s="851">
        <v>0</v>
      </c>
      <c r="AC81" s="839">
        <v>0</v>
      </c>
      <c r="AD81" s="851">
        <v>0</v>
      </c>
      <c r="AE81" s="839">
        <v>0</v>
      </c>
      <c r="AF81" s="851">
        <v>0</v>
      </c>
      <c r="AG81" s="856"/>
      <c r="AH81" s="839">
        <v>0</v>
      </c>
      <c r="AI81" s="851">
        <v>0</v>
      </c>
      <c r="AJ81" s="856"/>
      <c r="AK81" s="839">
        <v>0</v>
      </c>
      <c r="AL81" s="851">
        <v>0</v>
      </c>
      <c r="AM81" s="856"/>
      <c r="AN81" s="839">
        <v>0</v>
      </c>
      <c r="AO81" s="851">
        <v>0</v>
      </c>
      <c r="AP81" s="856"/>
      <c r="AQ81" s="839">
        <v>0</v>
      </c>
      <c r="AR81" s="851">
        <v>0</v>
      </c>
      <c r="AS81" s="856"/>
      <c r="AT81" s="839">
        <v>0</v>
      </c>
      <c r="AU81" s="851">
        <v>0</v>
      </c>
      <c r="AV81" s="856"/>
      <c r="AW81" s="839">
        <v>0</v>
      </c>
      <c r="AX81" s="851">
        <v>0</v>
      </c>
      <c r="AY81" s="856"/>
      <c r="AZ81" s="845">
        <v>0</v>
      </c>
      <c r="BA81" s="845">
        <v>0</v>
      </c>
      <c r="BB81" s="846">
        <v>0</v>
      </c>
      <c r="BD81" s="2">
        <v>1</v>
      </c>
      <c r="BF81" s="787">
        <v>0</v>
      </c>
      <c r="BG81" s="325">
        <v>150000566</v>
      </c>
      <c r="BI81" s="847">
        <v>0</v>
      </c>
      <c r="BJ81" s="847">
        <v>0</v>
      </c>
      <c r="BK81" s="847">
        <v>0</v>
      </c>
      <c r="BL81" s="848"/>
      <c r="BM81" s="3"/>
      <c r="BN81" s="3"/>
      <c r="BP81" s="3"/>
      <c r="BQ81" s="3"/>
      <c r="BS81" s="42" t="s">
        <v>69</v>
      </c>
    </row>
    <row r="82" spans="1:71" ht="24.9" customHeight="1" x14ac:dyDescent="0.3">
      <c r="A82" s="325">
        <v>150000561</v>
      </c>
      <c r="B82" s="862" t="s">
        <v>72</v>
      </c>
      <c r="C82" s="863">
        <v>1</v>
      </c>
      <c r="D82" s="101" t="s">
        <v>455</v>
      </c>
      <c r="E82" s="279">
        <v>128.1</v>
      </c>
      <c r="F82" s="838">
        <v>229.57698808104203</v>
      </c>
      <c r="G82" s="838">
        <v>0</v>
      </c>
      <c r="H82" s="838">
        <v>-229.57698808104203</v>
      </c>
      <c r="I82" s="839">
        <v>0</v>
      </c>
      <c r="J82" s="851">
        <v>0</v>
      </c>
      <c r="K82" s="852"/>
      <c r="L82" s="839">
        <v>0</v>
      </c>
      <c r="M82" s="851">
        <v>0</v>
      </c>
      <c r="N82" s="853"/>
      <c r="O82" s="839">
        <v>0</v>
      </c>
      <c r="P82" s="851">
        <v>0</v>
      </c>
      <c r="Q82" s="854"/>
      <c r="R82" s="839">
        <v>0</v>
      </c>
      <c r="S82" s="851">
        <v>0</v>
      </c>
      <c r="T82" s="855"/>
      <c r="U82" s="839">
        <v>0</v>
      </c>
      <c r="V82" s="851">
        <v>0</v>
      </c>
      <c r="W82" s="839">
        <v>0</v>
      </c>
      <c r="X82" s="851">
        <v>0</v>
      </c>
      <c r="Y82" s="839">
        <v>0</v>
      </c>
      <c r="Z82" s="851">
        <v>0</v>
      </c>
      <c r="AA82" s="839">
        <v>0</v>
      </c>
      <c r="AB82" s="851">
        <v>0</v>
      </c>
      <c r="AC82" s="839">
        <v>0</v>
      </c>
      <c r="AD82" s="851">
        <v>0</v>
      </c>
      <c r="AE82" s="839">
        <v>0</v>
      </c>
      <c r="AF82" s="851">
        <v>0</v>
      </c>
      <c r="AG82" s="856"/>
      <c r="AH82" s="839">
        <v>0</v>
      </c>
      <c r="AI82" s="851">
        <v>0</v>
      </c>
      <c r="AJ82" s="856"/>
      <c r="AK82" s="839">
        <v>0</v>
      </c>
      <c r="AL82" s="851">
        <v>0</v>
      </c>
      <c r="AM82" s="856"/>
      <c r="AN82" s="839">
        <v>0</v>
      </c>
      <c r="AO82" s="851">
        <v>0</v>
      </c>
      <c r="AP82" s="856"/>
      <c r="AQ82" s="839">
        <v>0</v>
      </c>
      <c r="AR82" s="851">
        <v>0</v>
      </c>
      <c r="AS82" s="856"/>
      <c r="AT82" s="839">
        <v>0</v>
      </c>
      <c r="AU82" s="851">
        <v>0</v>
      </c>
      <c r="AV82" s="856"/>
      <c r="AW82" s="839">
        <v>0</v>
      </c>
      <c r="AX82" s="851">
        <v>0</v>
      </c>
      <c r="AY82" s="856"/>
      <c r="AZ82" s="845">
        <v>0</v>
      </c>
      <c r="BA82" s="845">
        <v>0</v>
      </c>
      <c r="BB82" s="846">
        <v>0</v>
      </c>
      <c r="BD82" s="2">
        <v>1</v>
      </c>
      <c r="BF82" s="787">
        <v>0</v>
      </c>
      <c r="BG82" s="325">
        <v>150000561</v>
      </c>
      <c r="BI82" s="847">
        <v>0</v>
      </c>
      <c r="BJ82" s="847">
        <v>0</v>
      </c>
      <c r="BK82" s="847">
        <v>0</v>
      </c>
      <c r="BL82" s="848"/>
      <c r="BM82" s="3"/>
      <c r="BN82" s="3"/>
      <c r="BP82" s="3"/>
      <c r="BQ82" s="3"/>
      <c r="BS82" s="42" t="s">
        <v>72</v>
      </c>
    </row>
    <row r="83" spans="1:71" ht="24.9" customHeight="1" x14ac:dyDescent="0.3">
      <c r="A83" s="325">
        <v>150000569</v>
      </c>
      <c r="B83" s="862" t="s">
        <v>73</v>
      </c>
      <c r="C83" s="863">
        <v>1</v>
      </c>
      <c r="D83" s="101" t="s">
        <v>455</v>
      </c>
      <c r="E83" s="279">
        <v>245.6</v>
      </c>
      <c r="F83" s="838">
        <v>625.77037335856789</v>
      </c>
      <c r="G83" s="838">
        <v>0</v>
      </c>
      <c r="H83" s="838">
        <v>-625.77037335856789</v>
      </c>
      <c r="I83" s="839">
        <v>0</v>
      </c>
      <c r="J83" s="851">
        <v>0</v>
      </c>
      <c r="K83" s="852"/>
      <c r="L83" s="839">
        <v>0</v>
      </c>
      <c r="M83" s="851">
        <v>0</v>
      </c>
      <c r="N83" s="853"/>
      <c r="O83" s="839">
        <v>0</v>
      </c>
      <c r="P83" s="851">
        <v>0</v>
      </c>
      <c r="Q83" s="854"/>
      <c r="R83" s="839">
        <v>0</v>
      </c>
      <c r="S83" s="851">
        <v>0</v>
      </c>
      <c r="T83" s="855"/>
      <c r="U83" s="839">
        <v>0</v>
      </c>
      <c r="V83" s="851">
        <v>0</v>
      </c>
      <c r="W83" s="839">
        <v>0</v>
      </c>
      <c r="X83" s="851">
        <v>0</v>
      </c>
      <c r="Y83" s="839">
        <v>0</v>
      </c>
      <c r="Z83" s="851">
        <v>0</v>
      </c>
      <c r="AA83" s="839">
        <v>0</v>
      </c>
      <c r="AB83" s="851">
        <v>0</v>
      </c>
      <c r="AC83" s="839">
        <v>0</v>
      </c>
      <c r="AD83" s="851">
        <v>0</v>
      </c>
      <c r="AE83" s="839">
        <v>0</v>
      </c>
      <c r="AF83" s="851">
        <v>0</v>
      </c>
      <c r="AG83" s="856"/>
      <c r="AH83" s="839">
        <v>0</v>
      </c>
      <c r="AI83" s="851">
        <v>0</v>
      </c>
      <c r="AJ83" s="856"/>
      <c r="AK83" s="839">
        <v>0</v>
      </c>
      <c r="AL83" s="851">
        <v>0</v>
      </c>
      <c r="AM83" s="856"/>
      <c r="AN83" s="839">
        <v>0</v>
      </c>
      <c r="AO83" s="851">
        <v>0</v>
      </c>
      <c r="AP83" s="856"/>
      <c r="AQ83" s="839">
        <v>0</v>
      </c>
      <c r="AR83" s="851">
        <v>0</v>
      </c>
      <c r="AS83" s="856"/>
      <c r="AT83" s="839">
        <v>0</v>
      </c>
      <c r="AU83" s="851">
        <v>0</v>
      </c>
      <c r="AV83" s="856"/>
      <c r="AW83" s="839">
        <v>0</v>
      </c>
      <c r="AX83" s="851">
        <v>0</v>
      </c>
      <c r="AY83" s="856"/>
      <c r="AZ83" s="845">
        <v>0</v>
      </c>
      <c r="BA83" s="845">
        <v>0</v>
      </c>
      <c r="BB83" s="846">
        <v>0</v>
      </c>
      <c r="BD83" s="2">
        <v>1</v>
      </c>
      <c r="BF83" s="787">
        <v>0</v>
      </c>
      <c r="BG83" s="325">
        <v>150000569</v>
      </c>
      <c r="BI83" s="847">
        <v>0</v>
      </c>
      <c r="BJ83" s="847">
        <v>0</v>
      </c>
      <c r="BK83" s="847">
        <v>0</v>
      </c>
      <c r="BL83" s="875"/>
      <c r="BM83" s="3"/>
      <c r="BN83" s="3"/>
      <c r="BP83" s="3"/>
      <c r="BQ83" s="3"/>
      <c r="BS83" s="42" t="s">
        <v>73</v>
      </c>
    </row>
    <row r="84" spans="1:71" ht="24.9" customHeight="1" x14ac:dyDescent="0.3">
      <c r="A84" s="325">
        <v>150000570</v>
      </c>
      <c r="B84" s="862" t="s">
        <v>75</v>
      </c>
      <c r="C84" s="863">
        <v>1</v>
      </c>
      <c r="D84" s="101" t="s">
        <v>455</v>
      </c>
      <c r="E84" s="279">
        <v>282.8</v>
      </c>
      <c r="F84" s="838">
        <v>475.69300020619374</v>
      </c>
      <c r="G84" s="838">
        <v>0</v>
      </c>
      <c r="H84" s="838">
        <v>-475.69300020619374</v>
      </c>
      <c r="I84" s="839">
        <v>0</v>
      </c>
      <c r="J84" s="851">
        <v>0</v>
      </c>
      <c r="K84" s="852"/>
      <c r="L84" s="839">
        <v>0</v>
      </c>
      <c r="M84" s="851">
        <v>0</v>
      </c>
      <c r="N84" s="853"/>
      <c r="O84" s="839">
        <v>0</v>
      </c>
      <c r="P84" s="851">
        <v>0</v>
      </c>
      <c r="Q84" s="854"/>
      <c r="R84" s="839">
        <v>0</v>
      </c>
      <c r="S84" s="851">
        <v>0</v>
      </c>
      <c r="T84" s="855"/>
      <c r="U84" s="839">
        <v>0</v>
      </c>
      <c r="V84" s="851">
        <v>0</v>
      </c>
      <c r="W84" s="839">
        <v>0</v>
      </c>
      <c r="X84" s="851">
        <v>0</v>
      </c>
      <c r="Y84" s="839">
        <v>0</v>
      </c>
      <c r="Z84" s="851">
        <v>0</v>
      </c>
      <c r="AA84" s="839">
        <v>0</v>
      </c>
      <c r="AB84" s="851">
        <v>0</v>
      </c>
      <c r="AC84" s="839">
        <v>0</v>
      </c>
      <c r="AD84" s="851">
        <v>0</v>
      </c>
      <c r="AE84" s="839">
        <v>0</v>
      </c>
      <c r="AF84" s="851">
        <v>0</v>
      </c>
      <c r="AG84" s="856"/>
      <c r="AH84" s="839">
        <v>0</v>
      </c>
      <c r="AI84" s="851">
        <v>0</v>
      </c>
      <c r="AJ84" s="856"/>
      <c r="AK84" s="839">
        <v>0</v>
      </c>
      <c r="AL84" s="851">
        <v>0</v>
      </c>
      <c r="AM84" s="856"/>
      <c r="AN84" s="839">
        <v>0</v>
      </c>
      <c r="AO84" s="851">
        <v>0</v>
      </c>
      <c r="AP84" s="856"/>
      <c r="AQ84" s="839">
        <v>0</v>
      </c>
      <c r="AR84" s="851">
        <v>0</v>
      </c>
      <c r="AS84" s="856"/>
      <c r="AT84" s="839">
        <v>0</v>
      </c>
      <c r="AU84" s="851">
        <v>0</v>
      </c>
      <c r="AV84" s="856"/>
      <c r="AW84" s="839">
        <v>0</v>
      </c>
      <c r="AX84" s="851">
        <v>0</v>
      </c>
      <c r="AY84" s="856"/>
      <c r="AZ84" s="845">
        <v>0</v>
      </c>
      <c r="BA84" s="845">
        <v>0</v>
      </c>
      <c r="BB84" s="846">
        <v>0</v>
      </c>
      <c r="BD84" s="2">
        <v>1</v>
      </c>
      <c r="BF84" s="787">
        <v>0</v>
      </c>
      <c r="BG84" s="325">
        <v>150000570</v>
      </c>
      <c r="BI84" s="847">
        <v>0</v>
      </c>
      <c r="BJ84" s="847">
        <v>0</v>
      </c>
      <c r="BK84" s="847">
        <v>0</v>
      </c>
      <c r="BL84" s="848"/>
      <c r="BM84" s="3"/>
      <c r="BN84" s="3"/>
      <c r="BP84" s="3"/>
      <c r="BQ84" s="3"/>
      <c r="BS84" s="42" t="s">
        <v>75</v>
      </c>
    </row>
    <row r="85" spans="1:71" ht="24.9" customHeight="1" x14ac:dyDescent="0.3">
      <c r="A85" s="325">
        <v>150000572</v>
      </c>
      <c r="B85" s="849" t="s">
        <v>153</v>
      </c>
      <c r="C85" s="850">
        <v>2</v>
      </c>
      <c r="D85" s="101" t="s">
        <v>455</v>
      </c>
      <c r="E85" s="279">
        <v>171.6</v>
      </c>
      <c r="F85" s="838">
        <v>522.37939601726362</v>
      </c>
      <c r="G85" s="838">
        <v>0</v>
      </c>
      <c r="H85" s="838">
        <v>-522.37939601726362</v>
      </c>
      <c r="I85" s="839">
        <v>0</v>
      </c>
      <c r="J85" s="851">
        <v>0</v>
      </c>
      <c r="K85" s="852"/>
      <c r="L85" s="839">
        <v>0</v>
      </c>
      <c r="M85" s="851">
        <v>0</v>
      </c>
      <c r="N85" s="853"/>
      <c r="O85" s="839">
        <v>0</v>
      </c>
      <c r="P85" s="851">
        <v>0</v>
      </c>
      <c r="Q85" s="854"/>
      <c r="R85" s="839">
        <v>0</v>
      </c>
      <c r="S85" s="851">
        <v>0</v>
      </c>
      <c r="T85" s="855"/>
      <c r="U85" s="839">
        <v>0</v>
      </c>
      <c r="V85" s="851">
        <v>0</v>
      </c>
      <c r="W85" s="839">
        <v>0</v>
      </c>
      <c r="X85" s="851">
        <v>0</v>
      </c>
      <c r="Y85" s="839">
        <v>0</v>
      </c>
      <c r="Z85" s="851">
        <v>0</v>
      </c>
      <c r="AA85" s="839">
        <v>0</v>
      </c>
      <c r="AB85" s="851">
        <v>0</v>
      </c>
      <c r="AC85" s="839">
        <v>0</v>
      </c>
      <c r="AD85" s="851">
        <v>0</v>
      </c>
      <c r="AE85" s="839">
        <v>33.712620806155606</v>
      </c>
      <c r="AF85" s="851">
        <v>0</v>
      </c>
      <c r="AG85" s="856"/>
      <c r="AH85" s="839">
        <v>43.555645366403205</v>
      </c>
      <c r="AI85" s="851">
        <v>0</v>
      </c>
      <c r="AJ85" s="856"/>
      <c r="AK85" s="839">
        <v>0</v>
      </c>
      <c r="AL85" s="851">
        <v>0</v>
      </c>
      <c r="AM85" s="856"/>
      <c r="AN85" s="839">
        <v>0</v>
      </c>
      <c r="AO85" s="851">
        <v>0</v>
      </c>
      <c r="AP85" s="856"/>
      <c r="AQ85" s="839">
        <v>0</v>
      </c>
      <c r="AR85" s="851">
        <v>0</v>
      </c>
      <c r="AS85" s="856"/>
      <c r="AT85" s="839">
        <v>0</v>
      </c>
      <c r="AU85" s="851">
        <v>0</v>
      </c>
      <c r="AV85" s="856"/>
      <c r="AW85" s="839">
        <v>9.891756720169731</v>
      </c>
      <c r="AX85" s="851">
        <v>0</v>
      </c>
      <c r="AY85" s="856"/>
      <c r="AZ85" s="845">
        <v>87.160022892728534</v>
      </c>
      <c r="BA85" s="845">
        <v>0</v>
      </c>
      <c r="BB85" s="846">
        <v>-87.160022892728534</v>
      </c>
      <c r="BD85" s="2">
        <v>1</v>
      </c>
      <c r="BF85" s="787">
        <v>1.2082110487486599</v>
      </c>
      <c r="BG85" s="325">
        <v>150000572</v>
      </c>
      <c r="BI85" s="847">
        <v>0</v>
      </c>
      <c r="BJ85" s="847">
        <v>0</v>
      </c>
      <c r="BK85" s="847">
        <v>0</v>
      </c>
      <c r="BL85" s="848"/>
      <c r="BM85" s="3"/>
      <c r="BN85" s="3"/>
      <c r="BP85" s="3"/>
      <c r="BQ85" s="3"/>
      <c r="BS85" s="42" t="s">
        <v>153</v>
      </c>
    </row>
    <row r="86" spans="1:71" ht="24.9" customHeight="1" x14ac:dyDescent="0.3">
      <c r="A86" s="325">
        <v>150000573</v>
      </c>
      <c r="B86" s="862" t="s">
        <v>76</v>
      </c>
      <c r="C86" s="863">
        <v>1</v>
      </c>
      <c r="D86" s="101" t="s">
        <v>455</v>
      </c>
      <c r="E86" s="279">
        <v>151.6</v>
      </c>
      <c r="F86" s="838">
        <v>259.94663363461746</v>
      </c>
      <c r="G86" s="838">
        <v>0</v>
      </c>
      <c r="H86" s="838">
        <v>-259.94663363461746</v>
      </c>
      <c r="I86" s="839">
        <v>0</v>
      </c>
      <c r="J86" s="851">
        <v>0</v>
      </c>
      <c r="K86" s="852"/>
      <c r="L86" s="839">
        <v>0</v>
      </c>
      <c r="M86" s="851">
        <v>0</v>
      </c>
      <c r="N86" s="853"/>
      <c r="O86" s="839">
        <v>0</v>
      </c>
      <c r="P86" s="851">
        <v>0</v>
      </c>
      <c r="Q86" s="854"/>
      <c r="R86" s="839">
        <v>0</v>
      </c>
      <c r="S86" s="851">
        <v>0</v>
      </c>
      <c r="T86" s="855"/>
      <c r="U86" s="839">
        <v>0</v>
      </c>
      <c r="V86" s="851">
        <v>0</v>
      </c>
      <c r="W86" s="839">
        <v>0</v>
      </c>
      <c r="X86" s="851">
        <v>0</v>
      </c>
      <c r="Y86" s="839">
        <v>0</v>
      </c>
      <c r="Z86" s="851">
        <v>0</v>
      </c>
      <c r="AA86" s="839">
        <v>0</v>
      </c>
      <c r="AB86" s="851">
        <v>0</v>
      </c>
      <c r="AC86" s="839">
        <v>0</v>
      </c>
      <c r="AD86" s="851">
        <v>0</v>
      </c>
      <c r="AE86" s="839">
        <v>0</v>
      </c>
      <c r="AF86" s="851">
        <v>0</v>
      </c>
      <c r="AG86" s="856"/>
      <c r="AH86" s="839">
        <v>0</v>
      </c>
      <c r="AI86" s="851">
        <v>0</v>
      </c>
      <c r="AJ86" s="856"/>
      <c r="AK86" s="839">
        <v>0</v>
      </c>
      <c r="AL86" s="851">
        <v>0</v>
      </c>
      <c r="AM86" s="856"/>
      <c r="AN86" s="839">
        <v>0</v>
      </c>
      <c r="AO86" s="851">
        <v>0</v>
      </c>
      <c r="AP86" s="856"/>
      <c r="AQ86" s="839">
        <v>0</v>
      </c>
      <c r="AR86" s="851">
        <v>0</v>
      </c>
      <c r="AS86" s="856"/>
      <c r="AT86" s="839">
        <v>0</v>
      </c>
      <c r="AU86" s="851">
        <v>0</v>
      </c>
      <c r="AV86" s="856"/>
      <c r="AW86" s="839">
        <v>0</v>
      </c>
      <c r="AX86" s="851">
        <v>0</v>
      </c>
      <c r="AY86" s="856"/>
      <c r="AZ86" s="845">
        <v>0</v>
      </c>
      <c r="BA86" s="845">
        <v>0</v>
      </c>
      <c r="BB86" s="846">
        <v>0</v>
      </c>
      <c r="BD86" s="2">
        <v>1</v>
      </c>
      <c r="BF86" s="787">
        <v>0</v>
      </c>
      <c r="BG86" s="325">
        <v>150000573</v>
      </c>
      <c r="BI86" s="847">
        <v>0</v>
      </c>
      <c r="BJ86" s="847">
        <v>0</v>
      </c>
      <c r="BK86" s="847">
        <v>0</v>
      </c>
      <c r="BL86" s="848"/>
      <c r="BM86" s="3"/>
      <c r="BN86" s="3"/>
      <c r="BP86" s="3"/>
      <c r="BQ86" s="3"/>
      <c r="BS86" s="42" t="s">
        <v>76</v>
      </c>
    </row>
    <row r="87" spans="1:71" ht="24.9" customHeight="1" x14ac:dyDescent="0.3">
      <c r="A87" s="325">
        <v>150000658</v>
      </c>
      <c r="B87" s="849" t="s">
        <v>352</v>
      </c>
      <c r="C87" s="850">
        <v>9</v>
      </c>
      <c r="D87" s="101" t="s">
        <v>455</v>
      </c>
      <c r="E87" s="279">
        <v>5047.8</v>
      </c>
      <c r="F87" s="838">
        <v>18881.948881576231</v>
      </c>
      <c r="G87" s="838">
        <v>11970.016276155657</v>
      </c>
      <c r="H87" s="838">
        <v>-6911.932605420574</v>
      </c>
      <c r="I87" s="839">
        <v>0</v>
      </c>
      <c r="J87" s="851">
        <v>0</v>
      </c>
      <c r="K87" s="865"/>
      <c r="L87" s="839">
        <v>0</v>
      </c>
      <c r="M87" s="851">
        <v>0</v>
      </c>
      <c r="N87" s="853"/>
      <c r="O87" s="839">
        <v>0</v>
      </c>
      <c r="P87" s="851">
        <v>0</v>
      </c>
      <c r="Q87" s="869"/>
      <c r="R87" s="839">
        <v>0</v>
      </c>
      <c r="S87" s="851">
        <v>11709</v>
      </c>
      <c r="T87" s="855"/>
      <c r="U87" s="839">
        <v>0</v>
      </c>
      <c r="V87" s="851">
        <v>0</v>
      </c>
      <c r="W87" s="839">
        <v>0</v>
      </c>
      <c r="X87" s="851">
        <v>21.016276155656669</v>
      </c>
      <c r="Y87" s="839">
        <v>0</v>
      </c>
      <c r="Z87" s="851">
        <v>0</v>
      </c>
      <c r="AA87" s="839">
        <v>0</v>
      </c>
      <c r="AB87" s="851">
        <v>0</v>
      </c>
      <c r="AC87" s="839">
        <v>240</v>
      </c>
      <c r="AD87" s="851">
        <v>0</v>
      </c>
      <c r="AE87" s="839">
        <v>181.86362735840896</v>
      </c>
      <c r="AF87" s="851">
        <v>0</v>
      </c>
      <c r="AG87" s="856"/>
      <c r="AH87" s="839">
        <v>247.51007217452394</v>
      </c>
      <c r="AI87" s="851">
        <v>0</v>
      </c>
      <c r="AJ87" s="856"/>
      <c r="AK87" s="839">
        <v>186.3722322641847</v>
      </c>
      <c r="AL87" s="851">
        <v>0</v>
      </c>
      <c r="AM87" s="856"/>
      <c r="AN87" s="839">
        <v>117.22675514518498</v>
      </c>
      <c r="AO87" s="851">
        <v>0</v>
      </c>
      <c r="AP87" s="856"/>
      <c r="AQ87" s="839">
        <v>52.768988252306244</v>
      </c>
      <c r="AR87" s="851">
        <v>0</v>
      </c>
      <c r="AS87" s="856"/>
      <c r="AT87" s="839">
        <v>124.71493816741945</v>
      </c>
      <c r="AU87" s="851">
        <v>1054</v>
      </c>
      <c r="AV87" s="856"/>
      <c r="AW87" s="839">
        <v>0</v>
      </c>
      <c r="AX87" s="851">
        <v>0</v>
      </c>
      <c r="AY87" s="856"/>
      <c r="AZ87" s="845">
        <v>910.45661336202818</v>
      </c>
      <c r="BA87" s="845">
        <v>1054</v>
      </c>
      <c r="BB87" s="846">
        <v>143.54338663797182</v>
      </c>
      <c r="BD87" s="2">
        <v>3</v>
      </c>
      <c r="BF87" s="787">
        <v>51.230685658911263</v>
      </c>
      <c r="BG87" s="325">
        <v>150000658</v>
      </c>
      <c r="BI87" s="847">
        <v>9.56</v>
      </c>
      <c r="BJ87" s="847">
        <v>0.93815572662880808</v>
      </c>
      <c r="BK87" s="847">
        <v>10.498155726628809</v>
      </c>
      <c r="BL87" s="848"/>
      <c r="BM87" s="3"/>
      <c r="BN87" s="3"/>
      <c r="BP87" s="3"/>
      <c r="BQ87" s="3"/>
      <c r="BS87" s="42" t="s">
        <v>352</v>
      </c>
    </row>
    <row r="88" spans="1:71" ht="24.9" customHeight="1" x14ac:dyDescent="0.3">
      <c r="A88" s="325">
        <v>150000659</v>
      </c>
      <c r="B88" s="849" t="s">
        <v>414</v>
      </c>
      <c r="C88" s="850">
        <v>10</v>
      </c>
      <c r="D88" s="101" t="s">
        <v>455</v>
      </c>
      <c r="E88" s="279">
        <v>2605.5</v>
      </c>
      <c r="F88" s="838">
        <v>8088.1051498008674</v>
      </c>
      <c r="G88" s="838">
        <v>10088</v>
      </c>
      <c r="H88" s="838">
        <v>1999.8948501991326</v>
      </c>
      <c r="I88" s="839">
        <v>371</v>
      </c>
      <c r="J88" s="851">
        <v>10088</v>
      </c>
      <c r="K88" s="852"/>
      <c r="L88" s="839">
        <v>0</v>
      </c>
      <c r="M88" s="851">
        <v>0</v>
      </c>
      <c r="N88" s="853"/>
      <c r="O88" s="839">
        <v>0</v>
      </c>
      <c r="P88" s="851">
        <v>0</v>
      </c>
      <c r="Q88" s="854"/>
      <c r="R88" s="839">
        <v>0</v>
      </c>
      <c r="S88" s="851">
        <v>0</v>
      </c>
      <c r="T88" s="855"/>
      <c r="U88" s="839">
        <v>0</v>
      </c>
      <c r="V88" s="851">
        <v>0</v>
      </c>
      <c r="W88" s="839">
        <v>0</v>
      </c>
      <c r="X88" s="851">
        <v>0</v>
      </c>
      <c r="Y88" s="839">
        <v>0</v>
      </c>
      <c r="Z88" s="851">
        <v>0</v>
      </c>
      <c r="AA88" s="839">
        <v>0</v>
      </c>
      <c r="AB88" s="851">
        <v>0</v>
      </c>
      <c r="AC88" s="839">
        <v>0</v>
      </c>
      <c r="AD88" s="851">
        <v>0</v>
      </c>
      <c r="AE88" s="839">
        <v>120.80412032157389</v>
      </c>
      <c r="AF88" s="851">
        <v>0</v>
      </c>
      <c r="AG88" s="867"/>
      <c r="AH88" s="839">
        <v>167.13409673834016</v>
      </c>
      <c r="AI88" s="851">
        <v>0</v>
      </c>
      <c r="AJ88" s="856"/>
      <c r="AK88" s="839">
        <v>227.91988548368033</v>
      </c>
      <c r="AL88" s="851">
        <v>0</v>
      </c>
      <c r="AM88" s="856"/>
      <c r="AN88" s="839">
        <v>78.705552175750455</v>
      </c>
      <c r="AO88" s="851">
        <v>0</v>
      </c>
      <c r="AP88" s="856"/>
      <c r="AQ88" s="839">
        <v>22.490068372102311</v>
      </c>
      <c r="AR88" s="851">
        <v>0</v>
      </c>
      <c r="AS88" s="867"/>
      <c r="AT88" s="839">
        <v>48.034030076738333</v>
      </c>
      <c r="AU88" s="851">
        <v>0</v>
      </c>
      <c r="AV88" s="856"/>
      <c r="AW88" s="839">
        <v>0</v>
      </c>
      <c r="AX88" s="851">
        <v>0</v>
      </c>
      <c r="AY88" s="856"/>
      <c r="AZ88" s="845">
        <v>665.08775316818549</v>
      </c>
      <c r="BA88" s="845">
        <v>0</v>
      </c>
      <c r="BB88" s="846">
        <v>-665.08775316818549</v>
      </c>
      <c r="BD88" s="2">
        <v>3</v>
      </c>
      <c r="BF88" s="787">
        <v>43.483916140831383</v>
      </c>
      <c r="BG88" s="325">
        <v>150000659</v>
      </c>
      <c r="BI88" s="847">
        <v>0</v>
      </c>
      <c r="BJ88" s="847">
        <v>0</v>
      </c>
      <c r="BK88" s="847">
        <v>0</v>
      </c>
      <c r="BL88" s="848"/>
      <c r="BM88" s="3"/>
      <c r="BN88" s="3"/>
      <c r="BP88" s="3"/>
      <c r="BQ88" s="3"/>
      <c r="BS88" s="42" t="s">
        <v>414</v>
      </c>
    </row>
    <row r="89" spans="1:71" ht="24.9" customHeight="1" x14ac:dyDescent="0.3">
      <c r="A89" s="325">
        <v>150000660</v>
      </c>
      <c r="B89" s="849" t="s">
        <v>415</v>
      </c>
      <c r="C89" s="850">
        <v>10</v>
      </c>
      <c r="D89" s="101" t="s">
        <v>455</v>
      </c>
      <c r="E89" s="279">
        <v>4661.7</v>
      </c>
      <c r="F89" s="838">
        <v>15031.684612411525</v>
      </c>
      <c r="G89" s="838">
        <v>1771</v>
      </c>
      <c r="H89" s="838">
        <v>-13260.684612411525</v>
      </c>
      <c r="I89" s="839">
        <v>0</v>
      </c>
      <c r="J89" s="851">
        <v>1643</v>
      </c>
      <c r="K89" s="852"/>
      <c r="L89" s="839">
        <v>0</v>
      </c>
      <c r="M89" s="851">
        <v>0</v>
      </c>
      <c r="N89" s="853"/>
      <c r="O89" s="839">
        <v>0</v>
      </c>
      <c r="P89" s="851">
        <v>0</v>
      </c>
      <c r="Q89" s="854"/>
      <c r="R89" s="839">
        <v>0</v>
      </c>
      <c r="S89" s="851">
        <v>0</v>
      </c>
      <c r="T89" s="855"/>
      <c r="U89" s="839">
        <v>0</v>
      </c>
      <c r="V89" s="851">
        <v>0</v>
      </c>
      <c r="W89" s="839">
        <v>0</v>
      </c>
      <c r="X89" s="851">
        <v>0</v>
      </c>
      <c r="Y89" s="839">
        <v>0</v>
      </c>
      <c r="Z89" s="851">
        <v>0</v>
      </c>
      <c r="AA89" s="839">
        <v>0</v>
      </c>
      <c r="AB89" s="851">
        <v>0</v>
      </c>
      <c r="AC89" s="839">
        <v>128</v>
      </c>
      <c r="AD89" s="851">
        <v>0</v>
      </c>
      <c r="AE89" s="839">
        <v>205.94082565918421</v>
      </c>
      <c r="AF89" s="851">
        <v>0</v>
      </c>
      <c r="AG89" s="856"/>
      <c r="AH89" s="839">
        <v>327.66924542790565</v>
      </c>
      <c r="AI89" s="851">
        <v>0</v>
      </c>
      <c r="AJ89" s="856"/>
      <c r="AK89" s="839">
        <v>427.11349242364076</v>
      </c>
      <c r="AL89" s="851">
        <v>0</v>
      </c>
      <c r="AM89" s="856"/>
      <c r="AN89" s="839">
        <v>142.59912413250379</v>
      </c>
      <c r="AO89" s="851">
        <v>0</v>
      </c>
      <c r="AP89" s="159"/>
      <c r="AQ89" s="839">
        <v>70.464078559636903</v>
      </c>
      <c r="AR89" s="851">
        <v>0</v>
      </c>
      <c r="AS89" s="856"/>
      <c r="AT89" s="839">
        <v>133.9978264959357</v>
      </c>
      <c r="AU89" s="851">
        <v>0</v>
      </c>
      <c r="AV89" s="856"/>
      <c r="AW89" s="839">
        <v>0</v>
      </c>
      <c r="AX89" s="851">
        <v>0</v>
      </c>
      <c r="AY89" s="856"/>
      <c r="AZ89" s="845">
        <v>1307.784592698807</v>
      </c>
      <c r="BA89" s="845">
        <v>0</v>
      </c>
      <c r="BB89" s="846">
        <v>-1307.784592698807</v>
      </c>
      <c r="BD89" s="2">
        <v>3</v>
      </c>
      <c r="BF89" s="787">
        <v>50.005708097814221</v>
      </c>
      <c r="BG89" s="325">
        <v>150000660</v>
      </c>
      <c r="BI89" s="847">
        <v>0</v>
      </c>
      <c r="BJ89" s="847">
        <v>0</v>
      </c>
      <c r="BK89" s="847">
        <v>0</v>
      </c>
      <c r="BL89" s="848"/>
      <c r="BM89" s="3"/>
      <c r="BN89" s="3"/>
      <c r="BP89" s="3"/>
      <c r="BQ89" s="3"/>
      <c r="BS89" s="42" t="s">
        <v>415</v>
      </c>
    </row>
    <row r="90" spans="1:71" ht="24.9" customHeight="1" x14ac:dyDescent="0.3">
      <c r="A90" s="325">
        <v>150000597</v>
      </c>
      <c r="B90" s="849" t="s">
        <v>353</v>
      </c>
      <c r="C90" s="850">
        <v>9</v>
      </c>
      <c r="D90" s="101" t="s">
        <v>455</v>
      </c>
      <c r="E90" s="279">
        <v>4715.25</v>
      </c>
      <c r="F90" s="838">
        <v>15405.051077608774</v>
      </c>
      <c r="G90" s="838">
        <v>1028</v>
      </c>
      <c r="H90" s="838">
        <v>-14377.051077608774</v>
      </c>
      <c r="I90" s="839">
        <v>0</v>
      </c>
      <c r="J90" s="851">
        <v>0</v>
      </c>
      <c r="K90" s="852"/>
      <c r="L90" s="839">
        <v>0</v>
      </c>
      <c r="M90" s="851">
        <v>0</v>
      </c>
      <c r="N90" s="853"/>
      <c r="O90" s="839">
        <v>0</v>
      </c>
      <c r="P90" s="851">
        <v>0</v>
      </c>
      <c r="Q90" s="854"/>
      <c r="R90" s="839">
        <v>0</v>
      </c>
      <c r="S90" s="851">
        <v>698</v>
      </c>
      <c r="T90" s="855"/>
      <c r="U90" s="839">
        <v>0</v>
      </c>
      <c r="V90" s="851">
        <v>0</v>
      </c>
      <c r="W90" s="839">
        <v>0</v>
      </c>
      <c r="X90" s="851">
        <v>0</v>
      </c>
      <c r="Y90" s="839">
        <v>0</v>
      </c>
      <c r="Z90" s="851">
        <v>0</v>
      </c>
      <c r="AA90" s="839">
        <v>0</v>
      </c>
      <c r="AB90" s="851">
        <v>0</v>
      </c>
      <c r="AC90" s="839">
        <v>330</v>
      </c>
      <c r="AD90" s="851">
        <v>0</v>
      </c>
      <c r="AE90" s="839">
        <v>72.267726688588141</v>
      </c>
      <c r="AF90" s="851">
        <v>0</v>
      </c>
      <c r="AG90" s="856"/>
      <c r="AH90" s="839">
        <v>96.860280139450751</v>
      </c>
      <c r="AI90" s="851">
        <v>0</v>
      </c>
      <c r="AJ90" s="857"/>
      <c r="AK90" s="839">
        <v>78.98502057400087</v>
      </c>
      <c r="AL90" s="851">
        <v>0</v>
      </c>
      <c r="AM90" s="856"/>
      <c r="AN90" s="839">
        <v>54.362571797023676</v>
      </c>
      <c r="AO90" s="851">
        <v>0</v>
      </c>
      <c r="AP90" s="856"/>
      <c r="AQ90" s="839">
        <v>26.384494126153122</v>
      </c>
      <c r="AR90" s="851">
        <v>0</v>
      </c>
      <c r="AS90" s="856"/>
      <c r="AT90" s="839">
        <v>83.05021167631331</v>
      </c>
      <c r="AU90" s="851">
        <v>0</v>
      </c>
      <c r="AV90" s="856"/>
      <c r="AW90" s="839">
        <v>94.161478523291592</v>
      </c>
      <c r="AX90" s="851">
        <v>0</v>
      </c>
      <c r="AY90" s="856"/>
      <c r="AZ90" s="845">
        <v>506.07178352482151</v>
      </c>
      <c r="BA90" s="845">
        <v>0</v>
      </c>
      <c r="BB90" s="846">
        <v>-506.07178352482151</v>
      </c>
      <c r="BD90" s="2">
        <v>1</v>
      </c>
      <c r="BF90" s="787">
        <v>53.025117310491389</v>
      </c>
      <c r="BG90" s="325">
        <v>150000597</v>
      </c>
      <c r="BI90" s="847">
        <v>0</v>
      </c>
      <c r="BJ90" s="847">
        <v>0</v>
      </c>
      <c r="BK90" s="847">
        <v>0</v>
      </c>
      <c r="BL90" s="848"/>
      <c r="BM90" s="3"/>
      <c r="BN90" s="3"/>
      <c r="BP90" s="3"/>
      <c r="BQ90" s="3"/>
      <c r="BS90" s="42" t="s">
        <v>353</v>
      </c>
    </row>
    <row r="91" spans="1:71" ht="24.9" customHeight="1" x14ac:dyDescent="0.3">
      <c r="A91" s="325">
        <v>150000598</v>
      </c>
      <c r="B91" s="862" t="s">
        <v>77</v>
      </c>
      <c r="C91" s="863">
        <v>1</v>
      </c>
      <c r="D91" s="101" t="s">
        <v>455</v>
      </c>
      <c r="E91" s="279">
        <v>258.5</v>
      </c>
      <c r="F91" s="838">
        <v>451.01894199054971</v>
      </c>
      <c r="G91" s="838">
        <v>1214</v>
      </c>
      <c r="H91" s="838">
        <v>762.98105800945029</v>
      </c>
      <c r="I91" s="839">
        <v>0</v>
      </c>
      <c r="J91" s="851">
        <v>1214</v>
      </c>
      <c r="K91" s="852"/>
      <c r="L91" s="839">
        <v>0</v>
      </c>
      <c r="M91" s="851">
        <v>0</v>
      </c>
      <c r="N91" s="853"/>
      <c r="O91" s="839">
        <v>0</v>
      </c>
      <c r="P91" s="851">
        <v>0</v>
      </c>
      <c r="Q91" s="854"/>
      <c r="R91" s="839">
        <v>0</v>
      </c>
      <c r="S91" s="851">
        <v>0</v>
      </c>
      <c r="T91" s="855"/>
      <c r="U91" s="839">
        <v>0</v>
      </c>
      <c r="V91" s="851">
        <v>0</v>
      </c>
      <c r="W91" s="839">
        <v>0</v>
      </c>
      <c r="X91" s="851">
        <v>0</v>
      </c>
      <c r="Y91" s="839">
        <v>0</v>
      </c>
      <c r="Z91" s="851">
        <v>0</v>
      </c>
      <c r="AA91" s="839">
        <v>0</v>
      </c>
      <c r="AB91" s="851">
        <v>0</v>
      </c>
      <c r="AC91" s="839">
        <v>0</v>
      </c>
      <c r="AD91" s="851">
        <v>0</v>
      </c>
      <c r="AE91" s="839">
        <v>4.1838094870111275</v>
      </c>
      <c r="AF91" s="851">
        <v>0</v>
      </c>
      <c r="AG91" s="856"/>
      <c r="AH91" s="839">
        <v>0</v>
      </c>
      <c r="AI91" s="851">
        <v>0</v>
      </c>
      <c r="AJ91" s="856"/>
      <c r="AK91" s="839">
        <v>0</v>
      </c>
      <c r="AL91" s="851">
        <v>0</v>
      </c>
      <c r="AM91" s="856"/>
      <c r="AN91" s="839">
        <v>0</v>
      </c>
      <c r="AO91" s="851">
        <v>0</v>
      </c>
      <c r="AP91" s="856"/>
      <c r="AQ91" s="839">
        <v>0</v>
      </c>
      <c r="AR91" s="851">
        <v>0</v>
      </c>
      <c r="AS91" s="856"/>
      <c r="AT91" s="839">
        <v>0</v>
      </c>
      <c r="AU91" s="851">
        <v>0</v>
      </c>
      <c r="AV91" s="856"/>
      <c r="AW91" s="839">
        <v>0</v>
      </c>
      <c r="AX91" s="851">
        <v>0</v>
      </c>
      <c r="AY91" s="856"/>
      <c r="AZ91" s="845">
        <v>4.1838094870111275</v>
      </c>
      <c r="BA91" s="845">
        <v>0</v>
      </c>
      <c r="BB91" s="846">
        <v>-4.1838094870111275</v>
      </c>
      <c r="BD91" s="2">
        <v>1</v>
      </c>
      <c r="BF91" s="787">
        <v>0</v>
      </c>
      <c r="BG91" s="325">
        <v>150000598</v>
      </c>
      <c r="BI91" s="847">
        <v>0</v>
      </c>
      <c r="BJ91" s="847">
        <v>0</v>
      </c>
      <c r="BK91" s="847">
        <v>0</v>
      </c>
      <c r="BL91" s="848"/>
      <c r="BM91" s="3"/>
      <c r="BN91" s="3"/>
      <c r="BP91" s="3"/>
      <c r="BQ91" s="3"/>
      <c r="BS91" s="42" t="s">
        <v>77</v>
      </c>
    </row>
    <row r="92" spans="1:71" ht="24.9" customHeight="1" x14ac:dyDescent="0.3">
      <c r="A92" s="325">
        <v>150000592</v>
      </c>
      <c r="B92" s="849" t="s">
        <v>354</v>
      </c>
      <c r="C92" s="850">
        <v>9</v>
      </c>
      <c r="D92" s="101" t="s">
        <v>455</v>
      </c>
      <c r="E92" s="279">
        <v>9737.7999999999993</v>
      </c>
      <c r="F92" s="838">
        <v>29765.741970449177</v>
      </c>
      <c r="G92" s="838">
        <v>2485.0041867075433</v>
      </c>
      <c r="H92" s="838">
        <v>-27280.737783741635</v>
      </c>
      <c r="I92" s="839">
        <v>0</v>
      </c>
      <c r="J92" s="851">
        <v>0</v>
      </c>
      <c r="K92" s="872"/>
      <c r="L92" s="839">
        <v>0</v>
      </c>
      <c r="M92" s="851">
        <v>0</v>
      </c>
      <c r="N92" s="853"/>
      <c r="O92" s="839">
        <v>0</v>
      </c>
      <c r="P92" s="851">
        <v>0</v>
      </c>
      <c r="Q92" s="854"/>
      <c r="R92" s="839">
        <v>0</v>
      </c>
      <c r="S92" s="851">
        <v>0</v>
      </c>
      <c r="T92" s="855"/>
      <c r="U92" s="839">
        <v>0</v>
      </c>
      <c r="V92" s="851">
        <v>0</v>
      </c>
      <c r="W92" s="839">
        <v>0</v>
      </c>
      <c r="X92" s="851">
        <v>104.00418670754361</v>
      </c>
      <c r="Y92" s="839">
        <v>0</v>
      </c>
      <c r="Z92" s="851">
        <v>0</v>
      </c>
      <c r="AA92" s="839">
        <v>0</v>
      </c>
      <c r="AB92" s="851">
        <v>0</v>
      </c>
      <c r="AC92" s="839">
        <v>1759</v>
      </c>
      <c r="AD92" s="851">
        <v>622</v>
      </c>
      <c r="AE92" s="839">
        <v>202.06990605035185</v>
      </c>
      <c r="AF92" s="851">
        <v>477</v>
      </c>
      <c r="AG92" s="856"/>
      <c r="AH92" s="839">
        <v>274.72892540618346</v>
      </c>
      <c r="AI92" s="851">
        <v>1138</v>
      </c>
      <c r="AJ92" s="856"/>
      <c r="AK92" s="839">
        <v>341.18561558757222</v>
      </c>
      <c r="AL92" s="851">
        <v>0</v>
      </c>
      <c r="AM92" s="856"/>
      <c r="AN92" s="839">
        <v>142.08269596907468</v>
      </c>
      <c r="AO92" s="851">
        <v>0</v>
      </c>
      <c r="AP92" s="856"/>
      <c r="AQ92" s="839">
        <v>233.85323677229661</v>
      </c>
      <c r="AR92" s="851">
        <v>0</v>
      </c>
      <c r="AS92" s="856"/>
      <c r="AT92" s="839">
        <v>267.81638294522492</v>
      </c>
      <c r="AU92" s="851">
        <v>0</v>
      </c>
      <c r="AV92" s="856"/>
      <c r="AW92" s="839">
        <v>187.38255906188371</v>
      </c>
      <c r="AX92" s="851">
        <v>0</v>
      </c>
      <c r="AY92" s="856"/>
      <c r="AZ92" s="845">
        <v>1649.1193217925875</v>
      </c>
      <c r="BA92" s="845">
        <v>1615</v>
      </c>
      <c r="BB92" s="846">
        <v>-34.119321792587471</v>
      </c>
      <c r="BD92" s="2">
        <v>1</v>
      </c>
      <c r="BF92" s="787">
        <v>68.590620015732483</v>
      </c>
      <c r="BG92" s="325">
        <v>150000592</v>
      </c>
      <c r="BI92" s="847">
        <v>47.31</v>
      </c>
      <c r="BJ92" s="847">
        <v>4.6426932454821035</v>
      </c>
      <c r="BK92" s="847">
        <v>51.952693245482109</v>
      </c>
      <c r="BL92" s="848"/>
      <c r="BM92" s="3"/>
      <c r="BN92" s="3"/>
      <c r="BP92" s="3"/>
      <c r="BQ92" s="3"/>
      <c r="BS92" s="42" t="s">
        <v>354</v>
      </c>
    </row>
    <row r="93" spans="1:71" ht="24.9" customHeight="1" x14ac:dyDescent="0.3">
      <c r="A93" s="325">
        <v>150000599</v>
      </c>
      <c r="B93" s="862" t="s">
        <v>78</v>
      </c>
      <c r="C93" s="863">
        <v>1</v>
      </c>
      <c r="D93" s="101" t="s">
        <v>455</v>
      </c>
      <c r="E93" s="279">
        <v>250.4</v>
      </c>
      <c r="F93" s="838">
        <v>496.33189943305825</v>
      </c>
      <c r="G93" s="838">
        <v>2023</v>
      </c>
      <c r="H93" s="838">
        <v>1526.6681005669418</v>
      </c>
      <c r="I93" s="839">
        <v>0</v>
      </c>
      <c r="J93" s="851">
        <v>2023</v>
      </c>
      <c r="K93" s="852"/>
      <c r="L93" s="839">
        <v>0</v>
      </c>
      <c r="M93" s="851">
        <v>0</v>
      </c>
      <c r="N93" s="853"/>
      <c r="O93" s="839">
        <v>0</v>
      </c>
      <c r="P93" s="851">
        <v>0</v>
      </c>
      <c r="Q93" s="854"/>
      <c r="R93" s="839">
        <v>0</v>
      </c>
      <c r="S93" s="851">
        <v>0</v>
      </c>
      <c r="T93" s="855"/>
      <c r="U93" s="839">
        <v>0</v>
      </c>
      <c r="V93" s="851">
        <v>0</v>
      </c>
      <c r="W93" s="839">
        <v>0</v>
      </c>
      <c r="X93" s="851">
        <v>0</v>
      </c>
      <c r="Y93" s="839">
        <v>0</v>
      </c>
      <c r="Z93" s="851">
        <v>0</v>
      </c>
      <c r="AA93" s="839">
        <v>0</v>
      </c>
      <c r="AB93" s="851">
        <v>0</v>
      </c>
      <c r="AC93" s="839">
        <v>0</v>
      </c>
      <c r="AD93" s="851">
        <v>0</v>
      </c>
      <c r="AE93" s="839">
        <v>0</v>
      </c>
      <c r="AF93" s="851">
        <v>0</v>
      </c>
      <c r="AG93" s="856"/>
      <c r="AH93" s="839">
        <v>0</v>
      </c>
      <c r="AI93" s="851">
        <v>0</v>
      </c>
      <c r="AJ93" s="856"/>
      <c r="AK93" s="839">
        <v>0</v>
      </c>
      <c r="AL93" s="851">
        <v>0</v>
      </c>
      <c r="AM93" s="856"/>
      <c r="AN93" s="839">
        <v>0</v>
      </c>
      <c r="AO93" s="851">
        <v>0</v>
      </c>
      <c r="AP93" s="856"/>
      <c r="AQ93" s="839">
        <v>0</v>
      </c>
      <c r="AR93" s="851">
        <v>0</v>
      </c>
      <c r="AS93" s="856"/>
      <c r="AT93" s="839">
        <v>0</v>
      </c>
      <c r="AU93" s="851">
        <v>0</v>
      </c>
      <c r="AV93" s="856"/>
      <c r="AW93" s="839">
        <v>0</v>
      </c>
      <c r="AX93" s="851">
        <v>0</v>
      </c>
      <c r="AY93" s="856"/>
      <c r="AZ93" s="845">
        <v>0</v>
      </c>
      <c r="BA93" s="845">
        <v>0</v>
      </c>
      <c r="BB93" s="846">
        <v>0</v>
      </c>
      <c r="BD93" s="2">
        <v>1</v>
      </c>
      <c r="BF93" s="876">
        <v>60.5</v>
      </c>
      <c r="BG93" s="325">
        <v>150000599</v>
      </c>
      <c r="BI93" s="847">
        <v>0</v>
      </c>
      <c r="BJ93" s="847">
        <v>0</v>
      </c>
      <c r="BK93" s="847">
        <v>0</v>
      </c>
      <c r="BL93" s="848"/>
      <c r="BM93" s="3"/>
      <c r="BN93" s="3"/>
      <c r="BP93" s="3"/>
      <c r="BQ93" s="3"/>
      <c r="BS93" s="42" t="s">
        <v>78</v>
      </c>
    </row>
    <row r="94" spans="1:71" ht="24.9" customHeight="1" x14ac:dyDescent="0.3">
      <c r="A94" s="325">
        <v>150000593</v>
      </c>
      <c r="B94" s="849" t="s">
        <v>256</v>
      </c>
      <c r="C94" s="850">
        <v>5</v>
      </c>
      <c r="D94" s="101" t="s">
        <v>455</v>
      </c>
      <c r="E94" s="279">
        <v>1899.07</v>
      </c>
      <c r="F94" s="838">
        <v>2729.1030731621481</v>
      </c>
      <c r="G94" s="838">
        <v>445.97734179303768</v>
      </c>
      <c r="H94" s="838">
        <v>-2283.1257313691103</v>
      </c>
      <c r="I94" s="839">
        <v>0</v>
      </c>
      <c r="J94" s="851">
        <v>405</v>
      </c>
      <c r="K94" s="852"/>
      <c r="L94" s="839">
        <v>0</v>
      </c>
      <c r="M94" s="851">
        <v>0</v>
      </c>
      <c r="N94" s="858"/>
      <c r="O94" s="839">
        <v>0</v>
      </c>
      <c r="P94" s="851">
        <v>0</v>
      </c>
      <c r="Q94" s="854"/>
      <c r="R94" s="839">
        <v>0</v>
      </c>
      <c r="S94" s="851">
        <v>0</v>
      </c>
      <c r="T94" s="855"/>
      <c r="U94" s="839">
        <v>0</v>
      </c>
      <c r="V94" s="851">
        <v>0</v>
      </c>
      <c r="W94" s="839">
        <v>0</v>
      </c>
      <c r="X94" s="851">
        <v>40.977341793037681</v>
      </c>
      <c r="Y94" s="839">
        <v>0</v>
      </c>
      <c r="Z94" s="851">
        <v>0</v>
      </c>
      <c r="AA94" s="839">
        <v>0</v>
      </c>
      <c r="AB94" s="851">
        <v>0</v>
      </c>
      <c r="AC94" s="839">
        <v>0</v>
      </c>
      <c r="AD94" s="851">
        <v>0</v>
      </c>
      <c r="AE94" s="839">
        <v>186.05208943515458</v>
      </c>
      <c r="AF94" s="851">
        <v>0</v>
      </c>
      <c r="AG94" s="856"/>
      <c r="AH94" s="839">
        <v>251.52520330277241</v>
      </c>
      <c r="AI94" s="851">
        <v>0</v>
      </c>
      <c r="AJ94" s="856"/>
      <c r="AK94" s="839">
        <v>75.295688921806018</v>
      </c>
      <c r="AL94" s="851">
        <v>0</v>
      </c>
      <c r="AM94" s="856"/>
      <c r="AN94" s="839">
        <v>0</v>
      </c>
      <c r="AO94" s="851">
        <v>0</v>
      </c>
      <c r="AP94" s="856"/>
      <c r="AQ94" s="839">
        <v>0</v>
      </c>
      <c r="AR94" s="851">
        <v>0</v>
      </c>
      <c r="AS94" s="856"/>
      <c r="AT94" s="839">
        <v>70.178787536868555</v>
      </c>
      <c r="AU94" s="851">
        <v>0</v>
      </c>
      <c r="AV94" s="856"/>
      <c r="AW94" s="839">
        <v>78.880070559382432</v>
      </c>
      <c r="AX94" s="851">
        <v>0</v>
      </c>
      <c r="AY94" s="856"/>
      <c r="AZ94" s="845">
        <v>661.9318397559839</v>
      </c>
      <c r="BA94" s="845">
        <v>0</v>
      </c>
      <c r="BB94" s="846">
        <v>-661.9318397559839</v>
      </c>
      <c r="BD94" s="2">
        <v>1</v>
      </c>
      <c r="BF94" s="787">
        <v>104.12192506802428</v>
      </c>
      <c r="BG94" s="325">
        <v>150000593</v>
      </c>
      <c r="BI94" s="847">
        <v>18.64</v>
      </c>
      <c r="BJ94" s="847">
        <v>1.8292074000377596</v>
      </c>
      <c r="BK94" s="847">
        <v>20.46920740003776</v>
      </c>
      <c r="BL94" s="848"/>
      <c r="BM94" s="3"/>
      <c r="BN94" s="3"/>
      <c r="BP94" s="3"/>
      <c r="BQ94" s="3"/>
      <c r="BS94" s="42" t="s">
        <v>256</v>
      </c>
    </row>
    <row r="95" spans="1:71" ht="24.9" customHeight="1" x14ac:dyDescent="0.3">
      <c r="A95" s="325">
        <v>150000594</v>
      </c>
      <c r="B95" s="849" t="s">
        <v>355</v>
      </c>
      <c r="C95" s="850">
        <v>9</v>
      </c>
      <c r="D95" s="101" t="s">
        <v>455</v>
      </c>
      <c r="E95" s="279">
        <v>9277.65</v>
      </c>
      <c r="F95" s="838">
        <v>27570.666558880832</v>
      </c>
      <c r="G95" s="838">
        <v>2768</v>
      </c>
      <c r="H95" s="838">
        <v>-24802.666558880832</v>
      </c>
      <c r="I95" s="839">
        <v>0</v>
      </c>
      <c r="J95" s="851">
        <v>0</v>
      </c>
      <c r="K95" s="852"/>
      <c r="L95" s="839">
        <v>0</v>
      </c>
      <c r="M95" s="851">
        <v>221</v>
      </c>
      <c r="N95" s="853"/>
      <c r="O95" s="839">
        <v>0</v>
      </c>
      <c r="P95" s="851">
        <v>0</v>
      </c>
      <c r="Q95" s="874"/>
      <c r="R95" s="839">
        <v>0</v>
      </c>
      <c r="S95" s="851">
        <v>0</v>
      </c>
      <c r="T95" s="870"/>
      <c r="U95" s="839">
        <v>0</v>
      </c>
      <c r="V95" s="851">
        <v>0</v>
      </c>
      <c r="W95" s="839">
        <v>0</v>
      </c>
      <c r="X95" s="851">
        <v>0</v>
      </c>
      <c r="Y95" s="839">
        <v>548</v>
      </c>
      <c r="Z95" s="851">
        <v>0</v>
      </c>
      <c r="AA95" s="839">
        <v>0</v>
      </c>
      <c r="AB95" s="851">
        <v>0</v>
      </c>
      <c r="AC95" s="839">
        <v>1682</v>
      </c>
      <c r="AD95" s="851">
        <v>317</v>
      </c>
      <c r="AE95" s="839">
        <v>134.13685304925804</v>
      </c>
      <c r="AF95" s="851">
        <v>0</v>
      </c>
      <c r="AG95" s="856"/>
      <c r="AH95" s="839">
        <v>183.15261693745566</v>
      </c>
      <c r="AI95" s="851">
        <v>0</v>
      </c>
      <c r="AJ95" s="856"/>
      <c r="AK95" s="839">
        <v>212.78673471802713</v>
      </c>
      <c r="AL95" s="851">
        <v>0</v>
      </c>
      <c r="AM95" s="856"/>
      <c r="AN95" s="839">
        <v>90.737144763417078</v>
      </c>
      <c r="AO95" s="851">
        <v>0</v>
      </c>
      <c r="AP95" s="856"/>
      <c r="AQ95" s="839">
        <v>155.90215784819776</v>
      </c>
      <c r="AR95" s="851">
        <v>0</v>
      </c>
      <c r="AS95" s="856"/>
      <c r="AT95" s="839">
        <v>178.54425529681663</v>
      </c>
      <c r="AU95" s="851">
        <v>0</v>
      </c>
      <c r="AV95" s="856"/>
      <c r="AW95" s="839">
        <v>187.38255906188371</v>
      </c>
      <c r="AX95" s="851">
        <v>0</v>
      </c>
      <c r="AY95" s="856"/>
      <c r="AZ95" s="845">
        <v>1142.6423216750559</v>
      </c>
      <c r="BA95" s="845">
        <v>0</v>
      </c>
      <c r="BB95" s="846">
        <v>-1142.6423216750559</v>
      </c>
      <c r="BD95" s="2">
        <v>1</v>
      </c>
      <c r="BF95" s="787">
        <v>65.33739207240896</v>
      </c>
      <c r="BG95" s="325">
        <v>150000594</v>
      </c>
      <c r="BI95" s="847">
        <v>0</v>
      </c>
      <c r="BJ95" s="847">
        <v>0</v>
      </c>
      <c r="BK95" s="847">
        <v>0</v>
      </c>
      <c r="BL95" s="848"/>
      <c r="BM95" s="3"/>
      <c r="BN95" s="3"/>
      <c r="BP95" s="3"/>
      <c r="BQ95" s="3"/>
      <c r="BS95" s="42" t="s">
        <v>355</v>
      </c>
    </row>
    <row r="96" spans="1:71" ht="24.9" customHeight="1" x14ac:dyDescent="0.3">
      <c r="A96" s="325">
        <v>150000627</v>
      </c>
      <c r="B96" s="849" t="s">
        <v>356</v>
      </c>
      <c r="C96" s="850">
        <v>9</v>
      </c>
      <c r="D96" s="101" t="s">
        <v>455</v>
      </c>
      <c r="E96" s="279">
        <v>3777.3500000000004</v>
      </c>
      <c r="F96" s="838">
        <v>10208.813653126617</v>
      </c>
      <c r="G96" s="838">
        <v>1792</v>
      </c>
      <c r="H96" s="838">
        <v>-8416.8136531266173</v>
      </c>
      <c r="I96" s="839">
        <v>0</v>
      </c>
      <c r="J96" s="851">
        <v>0</v>
      </c>
      <c r="K96" s="852"/>
      <c r="L96" s="839">
        <v>0</v>
      </c>
      <c r="M96" s="851">
        <v>0</v>
      </c>
      <c r="N96" s="853"/>
      <c r="O96" s="839">
        <v>0</v>
      </c>
      <c r="P96" s="851">
        <v>0</v>
      </c>
      <c r="Q96" s="854"/>
      <c r="R96" s="839">
        <v>0</v>
      </c>
      <c r="S96" s="851">
        <v>0</v>
      </c>
      <c r="T96" s="860"/>
      <c r="U96" s="839">
        <v>0</v>
      </c>
      <c r="V96" s="851">
        <v>0</v>
      </c>
      <c r="W96" s="839">
        <v>0</v>
      </c>
      <c r="X96" s="851">
        <v>0</v>
      </c>
      <c r="Y96" s="839">
        <v>0</v>
      </c>
      <c r="Z96" s="851">
        <v>0</v>
      </c>
      <c r="AA96" s="839">
        <v>0</v>
      </c>
      <c r="AB96" s="851">
        <v>0</v>
      </c>
      <c r="AC96" s="839">
        <v>1663</v>
      </c>
      <c r="AD96" s="851">
        <v>129</v>
      </c>
      <c r="AE96" s="839">
        <v>137.83775051620293</v>
      </c>
      <c r="AF96" s="851">
        <v>0</v>
      </c>
      <c r="AG96" s="856"/>
      <c r="AH96" s="839">
        <v>196.28665419193635</v>
      </c>
      <c r="AI96" s="851">
        <v>0</v>
      </c>
      <c r="AJ96" s="867"/>
      <c r="AK96" s="839">
        <v>213.70317684306562</v>
      </c>
      <c r="AL96" s="851">
        <v>0</v>
      </c>
      <c r="AM96" s="856"/>
      <c r="AN96" s="839">
        <v>94.011752103766042</v>
      </c>
      <c r="AO96" s="851">
        <v>0</v>
      </c>
      <c r="AP96" s="856"/>
      <c r="AQ96" s="839">
        <v>65.961235315382794</v>
      </c>
      <c r="AR96" s="851">
        <v>0</v>
      </c>
      <c r="AS96" s="856"/>
      <c r="AT96" s="839">
        <v>143.43543095359502</v>
      </c>
      <c r="AU96" s="851">
        <v>0</v>
      </c>
      <c r="AV96" s="856"/>
      <c r="AW96" s="839">
        <v>65.148817906898302</v>
      </c>
      <c r="AX96" s="851">
        <v>0</v>
      </c>
      <c r="AY96" s="856"/>
      <c r="AZ96" s="845">
        <v>916.38481783084717</v>
      </c>
      <c r="BA96" s="845">
        <v>0</v>
      </c>
      <c r="BB96" s="846">
        <v>-916.38481783084717</v>
      </c>
      <c r="BD96" s="2">
        <v>1</v>
      </c>
      <c r="BF96" s="787">
        <v>26.595288054879596</v>
      </c>
      <c r="BG96" s="325">
        <v>150000627</v>
      </c>
      <c r="BI96" s="847">
        <v>0</v>
      </c>
      <c r="BJ96" s="847">
        <v>0</v>
      </c>
      <c r="BK96" s="847">
        <v>0</v>
      </c>
      <c r="BL96" s="848"/>
      <c r="BM96" s="3"/>
      <c r="BN96" s="3"/>
      <c r="BP96" s="3"/>
      <c r="BQ96" s="3"/>
      <c r="BS96" s="42" t="s">
        <v>356</v>
      </c>
    </row>
    <row r="97" spans="1:71" ht="24.9" customHeight="1" x14ac:dyDescent="0.3">
      <c r="A97" s="325">
        <v>150000628</v>
      </c>
      <c r="B97" s="849" t="s">
        <v>357</v>
      </c>
      <c r="C97" s="850">
        <v>9</v>
      </c>
      <c r="D97" s="101" t="s">
        <v>455</v>
      </c>
      <c r="E97" s="279">
        <v>4652.96</v>
      </c>
      <c r="F97" s="838">
        <v>11575.811840161983</v>
      </c>
      <c r="G97" s="838">
        <v>5209.5413650436403</v>
      </c>
      <c r="H97" s="838">
        <v>-6366.2704751183428</v>
      </c>
      <c r="I97" s="839">
        <v>0</v>
      </c>
      <c r="J97" s="851">
        <v>0</v>
      </c>
      <c r="K97" s="852"/>
      <c r="L97" s="839">
        <v>0</v>
      </c>
      <c r="M97" s="851">
        <v>0</v>
      </c>
      <c r="N97" s="853"/>
      <c r="O97" s="839">
        <v>0</v>
      </c>
      <c r="P97" s="851">
        <v>0</v>
      </c>
      <c r="Q97" s="854"/>
      <c r="R97" s="839">
        <v>1</v>
      </c>
      <c r="S97" s="851">
        <v>2063</v>
      </c>
      <c r="T97" s="860"/>
      <c r="U97" s="839">
        <v>0</v>
      </c>
      <c r="V97" s="851">
        <v>0</v>
      </c>
      <c r="W97" s="839">
        <v>0</v>
      </c>
      <c r="X97" s="851">
        <v>11.541365043639905</v>
      </c>
      <c r="Y97" s="839">
        <v>0</v>
      </c>
      <c r="Z97" s="851">
        <v>0</v>
      </c>
      <c r="AA97" s="839">
        <v>0</v>
      </c>
      <c r="AB97" s="851">
        <v>0</v>
      </c>
      <c r="AC97" s="839">
        <v>1328</v>
      </c>
      <c r="AD97" s="851">
        <v>1807</v>
      </c>
      <c r="AE97" s="839">
        <v>204.42021713237085</v>
      </c>
      <c r="AF97" s="851">
        <v>0</v>
      </c>
      <c r="AG97" s="856"/>
      <c r="AH97" s="839">
        <v>247.01192583841049</v>
      </c>
      <c r="AI97" s="851">
        <v>0</v>
      </c>
      <c r="AJ97" s="867"/>
      <c r="AK97" s="839">
        <v>242.23676703378922</v>
      </c>
      <c r="AL97" s="851">
        <v>0</v>
      </c>
      <c r="AM97" s="856"/>
      <c r="AN97" s="839">
        <v>112.20924174271603</v>
      </c>
      <c r="AO97" s="851">
        <v>0</v>
      </c>
      <c r="AP97" s="856"/>
      <c r="AQ97" s="839">
        <v>65.961235315382794</v>
      </c>
      <c r="AR97" s="851">
        <v>0</v>
      </c>
      <c r="AS97" s="856"/>
      <c r="AT97" s="839">
        <v>125.7136219185039</v>
      </c>
      <c r="AU97" s="851">
        <v>0</v>
      </c>
      <c r="AV97" s="856"/>
      <c r="AW97" s="839">
        <v>65.815575516818669</v>
      </c>
      <c r="AX97" s="851">
        <v>0</v>
      </c>
      <c r="AY97" s="856"/>
      <c r="AZ97" s="845">
        <v>1063.3685844979921</v>
      </c>
      <c r="BA97" s="845">
        <v>0</v>
      </c>
      <c r="BB97" s="846">
        <v>-1063.3685844979921</v>
      </c>
      <c r="BD97" s="2">
        <v>1</v>
      </c>
      <c r="BF97" s="787">
        <v>243.63413224105042</v>
      </c>
      <c r="BG97" s="325">
        <v>150000628</v>
      </c>
      <c r="BI97" s="847">
        <v>5.25</v>
      </c>
      <c r="BJ97" s="847">
        <v>0.51520058209218011</v>
      </c>
      <c r="BK97" s="847">
        <v>5.7652005820921799</v>
      </c>
      <c r="BL97" s="848"/>
      <c r="BM97" s="3"/>
      <c r="BN97" s="3"/>
      <c r="BP97" s="3"/>
      <c r="BQ97" s="3"/>
      <c r="BS97" s="42" t="s">
        <v>357</v>
      </c>
    </row>
    <row r="98" spans="1:71" ht="24.9" customHeight="1" x14ac:dyDescent="0.3">
      <c r="A98" s="325">
        <v>150000625</v>
      </c>
      <c r="B98" s="849" t="s">
        <v>416</v>
      </c>
      <c r="C98" s="850">
        <v>10</v>
      </c>
      <c r="D98" s="101" t="s">
        <v>455</v>
      </c>
      <c r="E98" s="279">
        <v>4850.6500000000005</v>
      </c>
      <c r="F98" s="838">
        <v>11968.06806260582</v>
      </c>
      <c r="G98" s="838">
        <v>18.971805776497597</v>
      </c>
      <c r="H98" s="838">
        <v>-11949.096256829323</v>
      </c>
      <c r="I98" s="839">
        <v>0</v>
      </c>
      <c r="J98" s="851">
        <v>0</v>
      </c>
      <c r="K98" s="852"/>
      <c r="L98" s="839">
        <v>0</v>
      </c>
      <c r="M98" s="851">
        <v>0</v>
      </c>
      <c r="N98" s="853"/>
      <c r="O98" s="839">
        <v>0</v>
      </c>
      <c r="P98" s="851">
        <v>0</v>
      </c>
      <c r="Q98" s="854"/>
      <c r="R98" s="839">
        <v>0</v>
      </c>
      <c r="S98" s="851">
        <v>0</v>
      </c>
      <c r="T98" s="855"/>
      <c r="U98" s="839">
        <v>0</v>
      </c>
      <c r="V98" s="851">
        <v>0</v>
      </c>
      <c r="W98" s="839">
        <v>0</v>
      </c>
      <c r="X98" s="851">
        <v>18.971805776497597</v>
      </c>
      <c r="Y98" s="839">
        <v>0</v>
      </c>
      <c r="Z98" s="851">
        <v>0</v>
      </c>
      <c r="AA98" s="839">
        <v>0</v>
      </c>
      <c r="AB98" s="851">
        <v>0</v>
      </c>
      <c r="AC98" s="839">
        <v>0</v>
      </c>
      <c r="AD98" s="851">
        <v>0</v>
      </c>
      <c r="AE98" s="839">
        <v>224.64054342263609</v>
      </c>
      <c r="AF98" s="851">
        <v>0</v>
      </c>
      <c r="AG98" s="856"/>
      <c r="AH98" s="839">
        <v>267.27344362970138</v>
      </c>
      <c r="AI98" s="851">
        <v>0</v>
      </c>
      <c r="AJ98" s="877"/>
      <c r="AK98" s="839">
        <v>249.74705045300354</v>
      </c>
      <c r="AL98" s="851">
        <v>0</v>
      </c>
      <c r="AM98" s="856"/>
      <c r="AN98" s="839">
        <v>116.76510375432694</v>
      </c>
      <c r="AO98" s="851">
        <v>0</v>
      </c>
      <c r="AP98" s="856"/>
      <c r="AQ98" s="839">
        <v>70.464078559636903</v>
      </c>
      <c r="AR98" s="851">
        <v>0</v>
      </c>
      <c r="AS98" s="856"/>
      <c r="AT98" s="839">
        <v>129.27437902784081</v>
      </c>
      <c r="AU98" s="851">
        <v>0</v>
      </c>
      <c r="AV98" s="857"/>
      <c r="AW98" s="839">
        <v>53.862315927238761</v>
      </c>
      <c r="AX98" s="851">
        <v>0</v>
      </c>
      <c r="AY98" s="856"/>
      <c r="AZ98" s="845">
        <v>1112.0269147743843</v>
      </c>
      <c r="BA98" s="845">
        <v>0</v>
      </c>
      <c r="BB98" s="846">
        <v>-1112.0269147743843</v>
      </c>
      <c r="BD98" s="2">
        <v>1</v>
      </c>
      <c r="BF98" s="787">
        <v>94.6527326550856</v>
      </c>
      <c r="BG98" s="325">
        <v>150000625</v>
      </c>
      <c r="BI98" s="847">
        <v>8.6300000000000008</v>
      </c>
      <c r="BJ98" s="847">
        <v>0.8468916235153362</v>
      </c>
      <c r="BK98" s="847">
        <v>9.4768916235153373</v>
      </c>
      <c r="BL98" s="848"/>
      <c r="BM98" s="3"/>
      <c r="BN98" s="3"/>
      <c r="BP98" s="3"/>
      <c r="BQ98" s="3"/>
      <c r="BS98" s="42" t="s">
        <v>416</v>
      </c>
    </row>
    <row r="99" spans="1:71" ht="24.9" customHeight="1" x14ac:dyDescent="0.3">
      <c r="A99" s="325">
        <v>150000629</v>
      </c>
      <c r="B99" s="849" t="s">
        <v>358</v>
      </c>
      <c r="C99" s="850">
        <v>9</v>
      </c>
      <c r="D99" s="101" t="s">
        <v>455</v>
      </c>
      <c r="E99" s="279">
        <v>9553.74</v>
      </c>
      <c r="F99" s="838">
        <v>30389.077925700603</v>
      </c>
      <c r="G99" s="838">
        <v>1100.9718057764976</v>
      </c>
      <c r="H99" s="838">
        <v>-29288.106119924105</v>
      </c>
      <c r="I99" s="839">
        <v>0</v>
      </c>
      <c r="J99" s="851">
        <v>0</v>
      </c>
      <c r="K99" s="859"/>
      <c r="L99" s="839">
        <v>0</v>
      </c>
      <c r="M99" s="851">
        <v>0</v>
      </c>
      <c r="N99" s="858"/>
      <c r="O99" s="839">
        <v>0</v>
      </c>
      <c r="P99" s="851">
        <v>0</v>
      </c>
      <c r="Q99" s="854"/>
      <c r="R99" s="839">
        <v>0</v>
      </c>
      <c r="S99" s="851">
        <v>0</v>
      </c>
      <c r="T99" s="870"/>
      <c r="U99" s="839">
        <v>0</v>
      </c>
      <c r="V99" s="851">
        <v>0</v>
      </c>
      <c r="W99" s="839">
        <v>0</v>
      </c>
      <c r="X99" s="851">
        <v>18.971805776497597</v>
      </c>
      <c r="Y99" s="839">
        <v>0</v>
      </c>
      <c r="Z99" s="851">
        <v>0</v>
      </c>
      <c r="AA99" s="839">
        <v>0</v>
      </c>
      <c r="AB99" s="851">
        <v>0</v>
      </c>
      <c r="AC99" s="839">
        <v>0</v>
      </c>
      <c r="AD99" s="851">
        <v>1082</v>
      </c>
      <c r="AE99" s="839">
        <v>323.33608540472653</v>
      </c>
      <c r="AF99" s="851">
        <v>0</v>
      </c>
      <c r="AG99" s="856"/>
      <c r="AH99" s="839">
        <v>445.23247334072875</v>
      </c>
      <c r="AI99" s="851">
        <v>2336</v>
      </c>
      <c r="AJ99" s="856"/>
      <c r="AK99" s="839">
        <v>707.69677335411563</v>
      </c>
      <c r="AL99" s="851">
        <v>0</v>
      </c>
      <c r="AM99" s="856"/>
      <c r="AN99" s="839">
        <v>259.54606438313925</v>
      </c>
      <c r="AO99" s="851">
        <v>0</v>
      </c>
      <c r="AP99" s="856"/>
      <c r="AQ99" s="839">
        <v>389.75539462049437</v>
      </c>
      <c r="AR99" s="851">
        <v>0</v>
      </c>
      <c r="AS99" s="856"/>
      <c r="AT99" s="839">
        <v>305.88578314824531</v>
      </c>
      <c r="AU99" s="851">
        <v>0</v>
      </c>
      <c r="AV99" s="857"/>
      <c r="AW99" s="839">
        <v>186.43229164545758</v>
      </c>
      <c r="AX99" s="851">
        <v>0</v>
      </c>
      <c r="AY99" s="856"/>
      <c r="AZ99" s="845">
        <v>2617.8848658969073</v>
      </c>
      <c r="BA99" s="845">
        <v>2336</v>
      </c>
      <c r="BB99" s="846">
        <v>-281.88486589690729</v>
      </c>
      <c r="BD99" s="2">
        <v>1</v>
      </c>
      <c r="BF99" s="787">
        <v>253.9141943346927</v>
      </c>
      <c r="BG99" s="325">
        <v>150000629</v>
      </c>
      <c r="BI99" s="847">
        <v>8.6300000000000008</v>
      </c>
      <c r="BJ99" s="847">
        <v>0.8468916235153362</v>
      </c>
      <c r="BK99" s="847">
        <v>9.4768916235153373</v>
      </c>
      <c r="BL99" s="848"/>
      <c r="BM99" s="3"/>
      <c r="BN99" s="3"/>
      <c r="BP99" s="3"/>
      <c r="BQ99" s="3"/>
      <c r="BS99" s="42" t="s">
        <v>358</v>
      </c>
    </row>
    <row r="100" spans="1:71" ht="24.9" customHeight="1" x14ac:dyDescent="0.3">
      <c r="A100" s="325">
        <v>150000626</v>
      </c>
      <c r="B100" s="849" t="s">
        <v>359</v>
      </c>
      <c r="C100" s="850">
        <v>9</v>
      </c>
      <c r="D100" s="101" t="s">
        <v>455</v>
      </c>
      <c r="E100" s="279">
        <v>7507.43</v>
      </c>
      <c r="F100" s="838">
        <v>20843.791893704052</v>
      </c>
      <c r="G100" s="838">
        <v>3896.0226473403914</v>
      </c>
      <c r="H100" s="838">
        <v>-16947.769246363659</v>
      </c>
      <c r="I100" s="839">
        <v>0</v>
      </c>
      <c r="J100" s="851">
        <v>0</v>
      </c>
      <c r="K100" s="852"/>
      <c r="L100" s="839">
        <v>0</v>
      </c>
      <c r="M100" s="851">
        <v>0</v>
      </c>
      <c r="N100" s="853"/>
      <c r="O100" s="839">
        <v>0</v>
      </c>
      <c r="P100" s="851">
        <v>0</v>
      </c>
      <c r="Q100" s="854"/>
      <c r="R100" s="839">
        <v>1</v>
      </c>
      <c r="S100" s="851">
        <v>1765</v>
      </c>
      <c r="T100" s="870"/>
      <c r="U100" s="839">
        <v>0</v>
      </c>
      <c r="V100" s="851">
        <v>0</v>
      </c>
      <c r="W100" s="839">
        <v>0</v>
      </c>
      <c r="X100" s="851">
        <v>90.022647340391273</v>
      </c>
      <c r="Y100" s="839">
        <v>0</v>
      </c>
      <c r="Z100" s="851">
        <v>0</v>
      </c>
      <c r="AA100" s="839">
        <v>0</v>
      </c>
      <c r="AB100" s="851">
        <v>0</v>
      </c>
      <c r="AC100" s="839">
        <v>1328</v>
      </c>
      <c r="AD100" s="851">
        <v>713</v>
      </c>
      <c r="AE100" s="839">
        <v>269.67725713302559</v>
      </c>
      <c r="AF100" s="851">
        <v>0</v>
      </c>
      <c r="AG100" s="856"/>
      <c r="AH100" s="839">
        <v>410.25288405390029</v>
      </c>
      <c r="AI100" s="851">
        <v>5507</v>
      </c>
      <c r="AJ100" s="856"/>
      <c r="AK100" s="839">
        <v>461.00414588991288</v>
      </c>
      <c r="AL100" s="851">
        <v>0</v>
      </c>
      <c r="AM100" s="856"/>
      <c r="AN100" s="839">
        <v>184.90845320217682</v>
      </c>
      <c r="AO100" s="851">
        <v>0</v>
      </c>
      <c r="AP100" s="856"/>
      <c r="AQ100" s="839">
        <v>194.88983250281842</v>
      </c>
      <c r="AR100" s="851">
        <v>0</v>
      </c>
      <c r="AS100" s="856"/>
      <c r="AT100" s="839">
        <v>320.53124901133737</v>
      </c>
      <c r="AU100" s="851">
        <v>0</v>
      </c>
      <c r="AV100" s="856"/>
      <c r="AW100" s="839">
        <v>127.01222515318118</v>
      </c>
      <c r="AX100" s="851">
        <v>0</v>
      </c>
      <c r="AY100" s="856"/>
      <c r="AZ100" s="845">
        <v>1968.2760469463524</v>
      </c>
      <c r="BA100" s="845">
        <v>5507</v>
      </c>
      <c r="BB100" s="846">
        <v>3538.7239530536476</v>
      </c>
      <c r="BD100" s="2">
        <v>1</v>
      </c>
      <c r="BF100" s="787">
        <v>61.845850796684147</v>
      </c>
      <c r="BG100" s="325">
        <v>150000626</v>
      </c>
      <c r="BI100" s="847">
        <v>40.950000000000003</v>
      </c>
      <c r="BJ100" s="847">
        <v>4.0185645403190051</v>
      </c>
      <c r="BK100" s="847">
        <v>44.968564540319008</v>
      </c>
      <c r="BL100" s="848"/>
      <c r="BM100" s="3"/>
      <c r="BN100" s="3"/>
      <c r="BP100" s="3"/>
      <c r="BQ100" s="3"/>
      <c r="BS100" s="42" t="s">
        <v>359</v>
      </c>
    </row>
    <row r="101" spans="1:71" ht="24.9" customHeight="1" x14ac:dyDescent="0.3">
      <c r="A101" s="325">
        <v>150000603</v>
      </c>
      <c r="B101" s="849" t="s">
        <v>154</v>
      </c>
      <c r="C101" s="850">
        <v>2</v>
      </c>
      <c r="D101" s="101" t="s">
        <v>455</v>
      </c>
      <c r="E101" s="279">
        <v>506.90000000000003</v>
      </c>
      <c r="F101" s="838">
        <v>1204.8740076873394</v>
      </c>
      <c r="G101" s="838">
        <v>0</v>
      </c>
      <c r="H101" s="838">
        <v>-1204.8740076873394</v>
      </c>
      <c r="I101" s="839">
        <v>0</v>
      </c>
      <c r="J101" s="851">
        <v>0</v>
      </c>
      <c r="K101" s="852"/>
      <c r="L101" s="839">
        <v>0</v>
      </c>
      <c r="M101" s="851">
        <v>0</v>
      </c>
      <c r="N101" s="853"/>
      <c r="O101" s="839">
        <v>0</v>
      </c>
      <c r="P101" s="851">
        <v>0</v>
      </c>
      <c r="Q101" s="854"/>
      <c r="R101" s="839">
        <v>0</v>
      </c>
      <c r="S101" s="851">
        <v>0</v>
      </c>
      <c r="T101" s="855"/>
      <c r="U101" s="839">
        <v>0</v>
      </c>
      <c r="V101" s="851">
        <v>0</v>
      </c>
      <c r="W101" s="839">
        <v>0</v>
      </c>
      <c r="X101" s="851">
        <v>0</v>
      </c>
      <c r="Y101" s="839">
        <v>0</v>
      </c>
      <c r="Z101" s="851">
        <v>0</v>
      </c>
      <c r="AA101" s="839">
        <v>0</v>
      </c>
      <c r="AB101" s="851">
        <v>0</v>
      </c>
      <c r="AC101" s="839">
        <v>0</v>
      </c>
      <c r="AD101" s="851">
        <v>0</v>
      </c>
      <c r="AE101" s="839">
        <v>65.57164767213348</v>
      </c>
      <c r="AF101" s="851">
        <v>0</v>
      </c>
      <c r="AG101" s="856"/>
      <c r="AH101" s="839">
        <v>75.166243949094962</v>
      </c>
      <c r="AI101" s="851">
        <v>0</v>
      </c>
      <c r="AJ101" s="856"/>
      <c r="AK101" s="839">
        <v>45.844143371333203</v>
      </c>
      <c r="AL101" s="851">
        <v>0</v>
      </c>
      <c r="AM101" s="856"/>
      <c r="AN101" s="839">
        <v>0</v>
      </c>
      <c r="AO101" s="851">
        <v>0</v>
      </c>
      <c r="AP101" s="856"/>
      <c r="AQ101" s="839">
        <v>0</v>
      </c>
      <c r="AR101" s="851">
        <v>0</v>
      </c>
      <c r="AS101" s="856"/>
      <c r="AT101" s="839">
        <v>13.268307429658046</v>
      </c>
      <c r="AU101" s="851">
        <v>0</v>
      </c>
      <c r="AV101" s="856"/>
      <c r="AW101" s="839">
        <v>0</v>
      </c>
      <c r="AX101" s="851">
        <v>0</v>
      </c>
      <c r="AY101" s="856"/>
      <c r="AZ101" s="845">
        <v>199.85034242221971</v>
      </c>
      <c r="BA101" s="845">
        <v>0</v>
      </c>
      <c r="BB101" s="846">
        <v>-199.85034242221971</v>
      </c>
      <c r="BD101" s="2">
        <v>2</v>
      </c>
      <c r="BF101" s="787">
        <v>1.7752931545284247</v>
      </c>
      <c r="BG101" s="325">
        <v>150000603</v>
      </c>
      <c r="BI101" s="847">
        <v>0</v>
      </c>
      <c r="BJ101" s="847">
        <v>0</v>
      </c>
      <c r="BK101" s="847">
        <v>0</v>
      </c>
      <c r="BL101" s="848"/>
      <c r="BM101" s="3"/>
      <c r="BN101" s="3"/>
      <c r="BP101" s="3"/>
      <c r="BQ101" s="3"/>
      <c r="BS101" s="42" t="s">
        <v>154</v>
      </c>
    </row>
    <row r="102" spans="1:71" ht="24.9" customHeight="1" x14ac:dyDescent="0.3">
      <c r="A102" s="325">
        <v>150001562</v>
      </c>
      <c r="B102" s="849" t="s">
        <v>209</v>
      </c>
      <c r="C102" s="850">
        <v>4</v>
      </c>
      <c r="D102" s="101" t="s">
        <v>455</v>
      </c>
      <c r="E102" s="279">
        <v>2425.9</v>
      </c>
      <c r="F102" s="838">
        <v>8133.8892895917461</v>
      </c>
      <c r="G102" s="838">
        <v>0</v>
      </c>
      <c r="H102" s="838">
        <v>-8133.8892895917461</v>
      </c>
      <c r="I102" s="839">
        <v>0</v>
      </c>
      <c r="J102" s="851">
        <v>0</v>
      </c>
      <c r="K102" s="852"/>
      <c r="L102" s="839">
        <v>0</v>
      </c>
      <c r="M102" s="851">
        <v>0</v>
      </c>
      <c r="N102" s="853"/>
      <c r="O102" s="839">
        <v>0</v>
      </c>
      <c r="P102" s="851">
        <v>0</v>
      </c>
      <c r="Q102" s="854"/>
      <c r="R102" s="839">
        <v>0</v>
      </c>
      <c r="S102" s="851">
        <v>0</v>
      </c>
      <c r="T102" s="855"/>
      <c r="U102" s="839">
        <v>0</v>
      </c>
      <c r="V102" s="851">
        <v>0</v>
      </c>
      <c r="W102" s="839">
        <v>0</v>
      </c>
      <c r="X102" s="851">
        <v>0</v>
      </c>
      <c r="Y102" s="839">
        <v>0</v>
      </c>
      <c r="Z102" s="851">
        <v>0</v>
      </c>
      <c r="AA102" s="839">
        <v>0</v>
      </c>
      <c r="AB102" s="851">
        <v>0</v>
      </c>
      <c r="AC102" s="839">
        <v>0</v>
      </c>
      <c r="AD102" s="851">
        <v>0</v>
      </c>
      <c r="AE102" s="839">
        <v>278.28634321365632</v>
      </c>
      <c r="AF102" s="851">
        <v>0</v>
      </c>
      <c r="AG102" s="856"/>
      <c r="AH102" s="839">
        <v>202.33697172952878</v>
      </c>
      <c r="AI102" s="851">
        <v>0</v>
      </c>
      <c r="AJ102" s="856"/>
      <c r="AK102" s="839">
        <v>0</v>
      </c>
      <c r="AL102" s="851">
        <v>0</v>
      </c>
      <c r="AM102" s="856"/>
      <c r="AN102" s="839">
        <v>0</v>
      </c>
      <c r="AO102" s="851">
        <v>0</v>
      </c>
      <c r="AP102" s="856"/>
      <c r="AQ102" s="839">
        <v>0</v>
      </c>
      <c r="AR102" s="851">
        <v>0</v>
      </c>
      <c r="AS102" s="856"/>
      <c r="AT102" s="839">
        <v>121.16066476790479</v>
      </c>
      <c r="AU102" s="851">
        <v>0</v>
      </c>
      <c r="AV102" s="856"/>
      <c r="AW102" s="839">
        <v>0</v>
      </c>
      <c r="AX102" s="851">
        <v>0</v>
      </c>
      <c r="AY102" s="856"/>
      <c r="AZ102" s="845">
        <v>601.78397971108984</v>
      </c>
      <c r="BA102" s="845">
        <v>0</v>
      </c>
      <c r="BB102" s="846">
        <v>-601.78397971108984</v>
      </c>
      <c r="BD102" s="2">
        <v>2</v>
      </c>
      <c r="BF102" s="787">
        <v>8.5279913814888815</v>
      </c>
      <c r="BG102" s="325">
        <v>150001562</v>
      </c>
      <c r="BI102" s="847">
        <v>0</v>
      </c>
      <c r="BJ102" s="847">
        <v>0</v>
      </c>
      <c r="BK102" s="847">
        <v>0</v>
      </c>
      <c r="BL102" s="848"/>
      <c r="BM102" s="3"/>
      <c r="BN102" s="3"/>
      <c r="BP102" s="3"/>
      <c r="BQ102" s="3"/>
      <c r="BS102" s="42" t="s">
        <v>209</v>
      </c>
    </row>
    <row r="103" spans="1:71" ht="24.9" customHeight="1" x14ac:dyDescent="0.3">
      <c r="A103" s="325">
        <v>150000604</v>
      </c>
      <c r="B103" s="849" t="s">
        <v>155</v>
      </c>
      <c r="C103" s="850">
        <v>2</v>
      </c>
      <c r="D103" s="101" t="s">
        <v>455</v>
      </c>
      <c r="E103" s="279">
        <v>452.1</v>
      </c>
      <c r="F103" s="838">
        <v>789.04142677796767</v>
      </c>
      <c r="G103" s="838">
        <v>0</v>
      </c>
      <c r="H103" s="838">
        <v>-789.04142677796767</v>
      </c>
      <c r="I103" s="839">
        <v>0</v>
      </c>
      <c r="J103" s="851">
        <v>0</v>
      </c>
      <c r="K103" s="852"/>
      <c r="L103" s="839">
        <v>0</v>
      </c>
      <c r="M103" s="851">
        <v>0</v>
      </c>
      <c r="N103" s="853"/>
      <c r="O103" s="839">
        <v>0</v>
      </c>
      <c r="P103" s="851">
        <v>0</v>
      </c>
      <c r="Q103" s="854"/>
      <c r="R103" s="839">
        <v>0</v>
      </c>
      <c r="S103" s="851">
        <v>0</v>
      </c>
      <c r="T103" s="855"/>
      <c r="U103" s="839">
        <v>0</v>
      </c>
      <c r="V103" s="851">
        <v>0</v>
      </c>
      <c r="W103" s="839">
        <v>0</v>
      </c>
      <c r="X103" s="851">
        <v>0</v>
      </c>
      <c r="Y103" s="839">
        <v>0</v>
      </c>
      <c r="Z103" s="851">
        <v>0</v>
      </c>
      <c r="AA103" s="839">
        <v>0</v>
      </c>
      <c r="AB103" s="851">
        <v>0</v>
      </c>
      <c r="AC103" s="839">
        <v>0</v>
      </c>
      <c r="AD103" s="851">
        <v>0</v>
      </c>
      <c r="AE103" s="839">
        <v>61.647099991546234</v>
      </c>
      <c r="AF103" s="851">
        <v>0</v>
      </c>
      <c r="AG103" s="856"/>
      <c r="AH103" s="839">
        <v>74.22419333762916</v>
      </c>
      <c r="AI103" s="851">
        <v>0</v>
      </c>
      <c r="AJ103" s="856"/>
      <c r="AK103" s="839">
        <v>37.481307210205827</v>
      </c>
      <c r="AL103" s="851">
        <v>0</v>
      </c>
      <c r="AM103" s="856"/>
      <c r="AN103" s="839">
        <v>0</v>
      </c>
      <c r="AO103" s="851">
        <v>0</v>
      </c>
      <c r="AP103" s="856"/>
      <c r="AQ103" s="839">
        <v>0</v>
      </c>
      <c r="AR103" s="851">
        <v>0</v>
      </c>
      <c r="AS103" s="856"/>
      <c r="AT103" s="839">
        <v>13.206444555034306</v>
      </c>
      <c r="AU103" s="851">
        <v>0</v>
      </c>
      <c r="AV103" s="856"/>
      <c r="AW103" s="839">
        <v>0</v>
      </c>
      <c r="AX103" s="851">
        <v>0</v>
      </c>
      <c r="AY103" s="856"/>
      <c r="AZ103" s="845">
        <v>186.55904509441552</v>
      </c>
      <c r="BA103" s="845">
        <v>0</v>
      </c>
      <c r="BB103" s="846">
        <v>-186.55904509441552</v>
      </c>
      <c r="BD103" s="2">
        <v>2</v>
      </c>
      <c r="BF103" s="787">
        <v>1.5833695702550816</v>
      </c>
      <c r="BG103" s="325">
        <v>150000604</v>
      </c>
      <c r="BI103" s="847">
        <v>0</v>
      </c>
      <c r="BJ103" s="847">
        <v>0</v>
      </c>
      <c r="BK103" s="847">
        <v>0</v>
      </c>
      <c r="BL103" s="848"/>
      <c r="BM103" s="3"/>
      <c r="BN103" s="3"/>
      <c r="BP103" s="3"/>
      <c r="BQ103" s="3"/>
      <c r="BS103" s="42" t="s">
        <v>155</v>
      </c>
    </row>
    <row r="104" spans="1:71" ht="24.9" customHeight="1" x14ac:dyDescent="0.3">
      <c r="A104" s="325">
        <v>150000605</v>
      </c>
      <c r="B104" s="849" t="s">
        <v>156</v>
      </c>
      <c r="C104" s="850">
        <v>2</v>
      </c>
      <c r="D104" s="101" t="s">
        <v>455</v>
      </c>
      <c r="E104" s="279">
        <v>379</v>
      </c>
      <c r="F104" s="838">
        <v>991.5081372774448</v>
      </c>
      <c r="G104" s="838">
        <v>0</v>
      </c>
      <c r="H104" s="838">
        <v>-991.5081372774448</v>
      </c>
      <c r="I104" s="839">
        <v>0</v>
      </c>
      <c r="J104" s="851">
        <v>0</v>
      </c>
      <c r="K104" s="852"/>
      <c r="L104" s="839">
        <v>0</v>
      </c>
      <c r="M104" s="851">
        <v>0</v>
      </c>
      <c r="N104" s="858"/>
      <c r="O104" s="839">
        <v>0</v>
      </c>
      <c r="P104" s="851">
        <v>0</v>
      </c>
      <c r="Q104" s="854"/>
      <c r="R104" s="839">
        <v>0</v>
      </c>
      <c r="S104" s="851">
        <v>0</v>
      </c>
      <c r="T104" s="855"/>
      <c r="U104" s="839">
        <v>0</v>
      </c>
      <c r="V104" s="851">
        <v>0</v>
      </c>
      <c r="W104" s="839">
        <v>0</v>
      </c>
      <c r="X104" s="851">
        <v>0</v>
      </c>
      <c r="Y104" s="839">
        <v>0</v>
      </c>
      <c r="Z104" s="851">
        <v>0</v>
      </c>
      <c r="AA104" s="839">
        <v>0</v>
      </c>
      <c r="AB104" s="851">
        <v>0</v>
      </c>
      <c r="AC104" s="839">
        <v>0</v>
      </c>
      <c r="AD104" s="851">
        <v>0</v>
      </c>
      <c r="AE104" s="839">
        <v>62.624915751524455</v>
      </c>
      <c r="AF104" s="851">
        <v>0</v>
      </c>
      <c r="AG104" s="856"/>
      <c r="AH104" s="839">
        <v>87.83954249182338</v>
      </c>
      <c r="AI104" s="851">
        <v>0</v>
      </c>
      <c r="AJ104" s="856"/>
      <c r="AK104" s="839">
        <v>26.929707894682178</v>
      </c>
      <c r="AL104" s="851">
        <v>0</v>
      </c>
      <c r="AM104" s="856"/>
      <c r="AN104" s="839">
        <v>0</v>
      </c>
      <c r="AO104" s="851">
        <v>0</v>
      </c>
      <c r="AP104" s="856"/>
      <c r="AQ104" s="839">
        <v>0</v>
      </c>
      <c r="AR104" s="851">
        <v>0</v>
      </c>
      <c r="AS104" s="856"/>
      <c r="AT104" s="839">
        <v>9.8614252960765771</v>
      </c>
      <c r="AU104" s="851">
        <v>0</v>
      </c>
      <c r="AV104" s="856"/>
      <c r="AW104" s="839">
        <v>0</v>
      </c>
      <c r="AX104" s="851">
        <v>0</v>
      </c>
      <c r="AY104" s="856"/>
      <c r="AZ104" s="845">
        <v>187.25559143410661</v>
      </c>
      <c r="BA104" s="845">
        <v>0</v>
      </c>
      <c r="BB104" s="846">
        <v>-187.25559143410661</v>
      </c>
      <c r="BD104" s="2">
        <v>2</v>
      </c>
      <c r="BF104" s="787">
        <v>1.3273547160510415</v>
      </c>
      <c r="BG104" s="325">
        <v>150000605</v>
      </c>
      <c r="BI104" s="847">
        <v>0</v>
      </c>
      <c r="BJ104" s="847">
        <v>0</v>
      </c>
      <c r="BK104" s="847">
        <v>0</v>
      </c>
      <c r="BL104" s="848"/>
      <c r="BM104" s="3"/>
      <c r="BN104" s="3"/>
      <c r="BP104" s="3"/>
      <c r="BQ104" s="3"/>
      <c r="BS104" s="42" t="s">
        <v>156</v>
      </c>
    </row>
    <row r="105" spans="1:71" ht="24.9" customHeight="1" x14ac:dyDescent="0.3">
      <c r="A105" s="325">
        <v>150000606</v>
      </c>
      <c r="B105" s="849" t="s">
        <v>157</v>
      </c>
      <c r="C105" s="850">
        <v>2</v>
      </c>
      <c r="D105" s="101" t="s">
        <v>455</v>
      </c>
      <c r="E105" s="279">
        <v>766.3</v>
      </c>
      <c r="F105" s="838">
        <v>2219.4063426828725</v>
      </c>
      <c r="G105" s="838">
        <v>0</v>
      </c>
      <c r="H105" s="838">
        <v>-2219.4063426828725</v>
      </c>
      <c r="I105" s="839">
        <v>0</v>
      </c>
      <c r="J105" s="851">
        <v>0</v>
      </c>
      <c r="K105" s="852"/>
      <c r="L105" s="839">
        <v>0</v>
      </c>
      <c r="M105" s="851">
        <v>0</v>
      </c>
      <c r="N105" s="853"/>
      <c r="O105" s="839">
        <v>0</v>
      </c>
      <c r="P105" s="851">
        <v>0</v>
      </c>
      <c r="Q105" s="854"/>
      <c r="R105" s="839">
        <v>0</v>
      </c>
      <c r="S105" s="851">
        <v>0</v>
      </c>
      <c r="T105" s="855"/>
      <c r="U105" s="839">
        <v>0</v>
      </c>
      <c r="V105" s="851">
        <v>0</v>
      </c>
      <c r="W105" s="839">
        <v>0</v>
      </c>
      <c r="X105" s="851">
        <v>0</v>
      </c>
      <c r="Y105" s="839">
        <v>0</v>
      </c>
      <c r="Z105" s="851">
        <v>0</v>
      </c>
      <c r="AA105" s="839">
        <v>0</v>
      </c>
      <c r="AB105" s="851">
        <v>0</v>
      </c>
      <c r="AC105" s="839">
        <v>0</v>
      </c>
      <c r="AD105" s="851">
        <v>0</v>
      </c>
      <c r="AE105" s="839">
        <v>129.83068955272117</v>
      </c>
      <c r="AF105" s="851">
        <v>0</v>
      </c>
      <c r="AG105" s="856"/>
      <c r="AH105" s="839">
        <v>158.10153368374478</v>
      </c>
      <c r="AI105" s="851">
        <v>0</v>
      </c>
      <c r="AJ105" s="856"/>
      <c r="AK105" s="839">
        <v>64.119955629500566</v>
      </c>
      <c r="AL105" s="851">
        <v>0</v>
      </c>
      <c r="AM105" s="856"/>
      <c r="AN105" s="839">
        <v>0</v>
      </c>
      <c r="AO105" s="851">
        <v>0</v>
      </c>
      <c r="AP105" s="856"/>
      <c r="AQ105" s="839">
        <v>0</v>
      </c>
      <c r="AR105" s="851">
        <v>0</v>
      </c>
      <c r="AS105" s="856"/>
      <c r="AT105" s="839">
        <v>29.632723159187076</v>
      </c>
      <c r="AU105" s="851">
        <v>0</v>
      </c>
      <c r="AV105" s="856"/>
      <c r="AW105" s="839">
        <v>0</v>
      </c>
      <c r="AX105" s="851">
        <v>0</v>
      </c>
      <c r="AY105" s="856"/>
      <c r="AZ105" s="845">
        <v>381.68490202515358</v>
      </c>
      <c r="BA105" s="845">
        <v>0</v>
      </c>
      <c r="BB105" s="846">
        <v>-381.68490202515358</v>
      </c>
      <c r="BD105" s="2">
        <v>2</v>
      </c>
      <c r="BF105" s="787">
        <v>244.58442702256437</v>
      </c>
      <c r="BG105" s="325">
        <v>150000606</v>
      </c>
      <c r="BI105" s="847">
        <v>0</v>
      </c>
      <c r="BJ105" s="847">
        <v>0</v>
      </c>
      <c r="BK105" s="847">
        <v>0</v>
      </c>
      <c r="BL105" s="848"/>
      <c r="BM105" s="3"/>
      <c r="BN105" s="3"/>
      <c r="BP105" s="3"/>
      <c r="BQ105" s="3"/>
      <c r="BS105" s="42" t="s">
        <v>157</v>
      </c>
    </row>
    <row r="106" spans="1:71" ht="24.9" customHeight="1" x14ac:dyDescent="0.3">
      <c r="A106" s="325">
        <v>150000607</v>
      </c>
      <c r="B106" s="849" t="s">
        <v>158</v>
      </c>
      <c r="C106" s="850">
        <v>2</v>
      </c>
      <c r="D106" s="101" t="s">
        <v>455</v>
      </c>
      <c r="E106" s="279">
        <v>994.8</v>
      </c>
      <c r="F106" s="838">
        <v>1793.3115562584599</v>
      </c>
      <c r="G106" s="838">
        <v>0</v>
      </c>
      <c r="H106" s="838">
        <v>-1793.3115562584599</v>
      </c>
      <c r="I106" s="839">
        <v>0</v>
      </c>
      <c r="J106" s="851">
        <v>0</v>
      </c>
      <c r="K106" s="852"/>
      <c r="L106" s="839">
        <v>0</v>
      </c>
      <c r="M106" s="851">
        <v>0</v>
      </c>
      <c r="N106" s="853"/>
      <c r="O106" s="839">
        <v>0</v>
      </c>
      <c r="P106" s="851">
        <v>0</v>
      </c>
      <c r="Q106" s="854"/>
      <c r="R106" s="839">
        <v>0</v>
      </c>
      <c r="S106" s="851">
        <v>0</v>
      </c>
      <c r="T106" s="855"/>
      <c r="U106" s="839">
        <v>0</v>
      </c>
      <c r="V106" s="851">
        <v>0</v>
      </c>
      <c r="W106" s="839">
        <v>0</v>
      </c>
      <c r="X106" s="851">
        <v>0</v>
      </c>
      <c r="Y106" s="839">
        <v>0</v>
      </c>
      <c r="Z106" s="851">
        <v>0</v>
      </c>
      <c r="AA106" s="839">
        <v>0</v>
      </c>
      <c r="AB106" s="851">
        <v>0</v>
      </c>
      <c r="AC106" s="839">
        <v>0</v>
      </c>
      <c r="AD106" s="851">
        <v>0</v>
      </c>
      <c r="AE106" s="839">
        <v>136.87399555182537</v>
      </c>
      <c r="AF106" s="851">
        <v>0</v>
      </c>
      <c r="AG106" s="856"/>
      <c r="AH106" s="839">
        <v>189.71213226643653</v>
      </c>
      <c r="AI106" s="851">
        <v>0</v>
      </c>
      <c r="AJ106" s="856"/>
      <c r="AK106" s="839">
        <v>102.89263852286297</v>
      </c>
      <c r="AL106" s="851">
        <v>0</v>
      </c>
      <c r="AM106" s="856"/>
      <c r="AN106" s="839">
        <v>0</v>
      </c>
      <c r="AO106" s="851">
        <v>0</v>
      </c>
      <c r="AP106" s="856"/>
      <c r="AQ106" s="839">
        <v>0</v>
      </c>
      <c r="AR106" s="851">
        <v>0</v>
      </c>
      <c r="AS106" s="856"/>
      <c r="AT106" s="839">
        <v>29.632723159187076</v>
      </c>
      <c r="AU106" s="851">
        <v>0</v>
      </c>
      <c r="AV106" s="856"/>
      <c r="AW106" s="839">
        <v>0</v>
      </c>
      <c r="AX106" s="851">
        <v>0</v>
      </c>
      <c r="AY106" s="856"/>
      <c r="AZ106" s="845">
        <v>459.11148950031196</v>
      </c>
      <c r="BA106" s="845">
        <v>0</v>
      </c>
      <c r="BB106" s="846">
        <v>-459.11148950031196</v>
      </c>
      <c r="BD106" s="2">
        <v>2</v>
      </c>
      <c r="BF106" s="787">
        <v>305.86204346049499</v>
      </c>
      <c r="BG106" s="325">
        <v>150000607</v>
      </c>
      <c r="BI106" s="847">
        <v>0</v>
      </c>
      <c r="BJ106" s="847">
        <v>0</v>
      </c>
      <c r="BK106" s="847">
        <v>0</v>
      </c>
      <c r="BL106" s="848"/>
      <c r="BM106" s="3"/>
      <c r="BN106" s="3"/>
      <c r="BP106" s="3"/>
      <c r="BQ106" s="3"/>
      <c r="BS106" s="42" t="s">
        <v>158</v>
      </c>
    </row>
    <row r="107" spans="1:71" ht="24.9" customHeight="1" x14ac:dyDescent="0.3">
      <c r="A107" s="325">
        <v>150000608</v>
      </c>
      <c r="B107" s="849" t="s">
        <v>159</v>
      </c>
      <c r="C107" s="850">
        <v>2</v>
      </c>
      <c r="D107" s="101" t="s">
        <v>455</v>
      </c>
      <c r="E107" s="279">
        <v>598.30999999999995</v>
      </c>
      <c r="F107" s="838">
        <v>1410.7793571771711</v>
      </c>
      <c r="G107" s="838">
        <v>0</v>
      </c>
      <c r="H107" s="838">
        <v>-1410.7793571771711</v>
      </c>
      <c r="I107" s="839">
        <v>0</v>
      </c>
      <c r="J107" s="851">
        <v>0</v>
      </c>
      <c r="K107" s="852"/>
      <c r="L107" s="839">
        <v>0</v>
      </c>
      <c r="M107" s="851">
        <v>0</v>
      </c>
      <c r="N107" s="853"/>
      <c r="O107" s="839">
        <v>0</v>
      </c>
      <c r="P107" s="851">
        <v>0</v>
      </c>
      <c r="Q107" s="854"/>
      <c r="R107" s="839">
        <v>0</v>
      </c>
      <c r="S107" s="851">
        <v>0</v>
      </c>
      <c r="T107" s="855"/>
      <c r="U107" s="839">
        <v>0</v>
      </c>
      <c r="V107" s="851">
        <v>0</v>
      </c>
      <c r="W107" s="839">
        <v>0</v>
      </c>
      <c r="X107" s="851">
        <v>0</v>
      </c>
      <c r="Y107" s="839">
        <v>0</v>
      </c>
      <c r="Z107" s="851">
        <v>0</v>
      </c>
      <c r="AA107" s="839">
        <v>0</v>
      </c>
      <c r="AB107" s="851">
        <v>0</v>
      </c>
      <c r="AC107" s="839">
        <v>0</v>
      </c>
      <c r="AD107" s="851">
        <v>0</v>
      </c>
      <c r="AE107" s="839">
        <v>104.73648131794</v>
      </c>
      <c r="AF107" s="851">
        <v>0</v>
      </c>
      <c r="AG107" s="856"/>
      <c r="AH107" s="839">
        <v>158.78132636312557</v>
      </c>
      <c r="AI107" s="851">
        <v>0</v>
      </c>
      <c r="AJ107" s="856"/>
      <c r="AK107" s="839">
        <v>39.003700583199688</v>
      </c>
      <c r="AL107" s="851">
        <v>0</v>
      </c>
      <c r="AM107" s="856"/>
      <c r="AN107" s="839">
        <v>0</v>
      </c>
      <c r="AO107" s="851">
        <v>0</v>
      </c>
      <c r="AP107" s="856"/>
      <c r="AQ107" s="839">
        <v>0</v>
      </c>
      <c r="AR107" s="851">
        <v>0</v>
      </c>
      <c r="AS107" s="856"/>
      <c r="AT107" s="839">
        <v>19.771301113804686</v>
      </c>
      <c r="AU107" s="851">
        <v>711</v>
      </c>
      <c r="AV107" s="856"/>
      <c r="AW107" s="839">
        <v>0</v>
      </c>
      <c r="AX107" s="851">
        <v>0</v>
      </c>
      <c r="AY107" s="856"/>
      <c r="AZ107" s="845">
        <v>322.29280937806993</v>
      </c>
      <c r="BA107" s="845">
        <v>711</v>
      </c>
      <c r="BB107" s="846">
        <v>388.70719062193007</v>
      </c>
      <c r="BD107" s="2">
        <v>2</v>
      </c>
      <c r="BF107" s="787">
        <v>183.48511039622787</v>
      </c>
      <c r="BG107" s="325">
        <v>150000608</v>
      </c>
      <c r="BI107" s="847">
        <v>0</v>
      </c>
      <c r="BJ107" s="847">
        <v>0</v>
      </c>
      <c r="BK107" s="847">
        <v>0</v>
      </c>
      <c r="BL107" s="848"/>
      <c r="BM107" s="3"/>
      <c r="BN107" s="3"/>
      <c r="BP107" s="3"/>
      <c r="BQ107" s="3"/>
      <c r="BS107" s="42" t="s">
        <v>159</v>
      </c>
    </row>
    <row r="108" spans="1:71" ht="24.9" customHeight="1" x14ac:dyDescent="0.3">
      <c r="A108" s="325">
        <v>150000609</v>
      </c>
      <c r="B108" s="849" t="s">
        <v>160</v>
      </c>
      <c r="C108" s="850">
        <v>2</v>
      </c>
      <c r="D108" s="101" t="s">
        <v>455</v>
      </c>
      <c r="E108" s="279">
        <v>465.59999999999997</v>
      </c>
      <c r="F108" s="838">
        <v>1231.8455391580062</v>
      </c>
      <c r="G108" s="838">
        <v>0</v>
      </c>
      <c r="H108" s="838">
        <v>-1231.8455391580062</v>
      </c>
      <c r="I108" s="839">
        <v>0</v>
      </c>
      <c r="J108" s="851">
        <v>0</v>
      </c>
      <c r="K108" s="852"/>
      <c r="L108" s="839">
        <v>0</v>
      </c>
      <c r="M108" s="851">
        <v>0</v>
      </c>
      <c r="N108" s="853"/>
      <c r="O108" s="839">
        <v>0</v>
      </c>
      <c r="P108" s="851">
        <v>0</v>
      </c>
      <c r="Q108" s="854"/>
      <c r="R108" s="839">
        <v>0</v>
      </c>
      <c r="S108" s="851">
        <v>0</v>
      </c>
      <c r="T108" s="855"/>
      <c r="U108" s="839">
        <v>0</v>
      </c>
      <c r="V108" s="851">
        <v>0</v>
      </c>
      <c r="W108" s="839">
        <v>0</v>
      </c>
      <c r="X108" s="851">
        <v>0</v>
      </c>
      <c r="Y108" s="839">
        <v>0</v>
      </c>
      <c r="Z108" s="851">
        <v>0</v>
      </c>
      <c r="AA108" s="839">
        <v>0</v>
      </c>
      <c r="AB108" s="851">
        <v>0</v>
      </c>
      <c r="AC108" s="839">
        <v>0</v>
      </c>
      <c r="AD108" s="851">
        <v>0</v>
      </c>
      <c r="AE108" s="839">
        <v>74.37925463325017</v>
      </c>
      <c r="AF108" s="851">
        <v>0</v>
      </c>
      <c r="AG108" s="856"/>
      <c r="AH108" s="839">
        <v>152.46894747690439</v>
      </c>
      <c r="AI108" s="851">
        <v>0</v>
      </c>
      <c r="AJ108" s="856"/>
      <c r="AK108" s="839">
        <v>37.303148170468859</v>
      </c>
      <c r="AL108" s="851">
        <v>0</v>
      </c>
      <c r="AM108" s="856"/>
      <c r="AN108" s="839">
        <v>0</v>
      </c>
      <c r="AO108" s="851">
        <v>0</v>
      </c>
      <c r="AP108" s="856"/>
      <c r="AQ108" s="839">
        <v>0</v>
      </c>
      <c r="AR108" s="851">
        <v>0</v>
      </c>
      <c r="AS108" s="856"/>
      <c r="AT108" s="839">
        <v>19.771301113804686</v>
      </c>
      <c r="AU108" s="851">
        <v>711</v>
      </c>
      <c r="AV108" s="856"/>
      <c r="AW108" s="839">
        <v>0</v>
      </c>
      <c r="AX108" s="851">
        <v>0</v>
      </c>
      <c r="AY108" s="856"/>
      <c r="AZ108" s="845">
        <v>283.9226513944281</v>
      </c>
      <c r="BA108" s="845">
        <v>711</v>
      </c>
      <c r="BB108" s="846">
        <v>427.0773486055719</v>
      </c>
      <c r="BD108" s="2">
        <v>2</v>
      </c>
      <c r="BF108" s="787">
        <v>1.6273228728578268</v>
      </c>
      <c r="BG108" s="325">
        <v>150000609</v>
      </c>
      <c r="BI108" s="847">
        <v>0</v>
      </c>
      <c r="BJ108" s="847">
        <v>0</v>
      </c>
      <c r="BK108" s="847">
        <v>0</v>
      </c>
      <c r="BL108" s="848"/>
      <c r="BM108" s="3"/>
      <c r="BN108" s="3"/>
      <c r="BP108" s="3"/>
      <c r="BQ108" s="3"/>
      <c r="BS108" s="42" t="s">
        <v>160</v>
      </c>
    </row>
    <row r="109" spans="1:71" ht="24.9" customHeight="1" x14ac:dyDescent="0.3">
      <c r="A109" s="325">
        <v>150000610</v>
      </c>
      <c r="B109" s="849" t="s">
        <v>161</v>
      </c>
      <c r="C109" s="850">
        <v>2</v>
      </c>
      <c r="D109" s="101" t="s">
        <v>455</v>
      </c>
      <c r="E109" s="279">
        <v>475.2</v>
      </c>
      <c r="F109" s="838">
        <v>1159.589904724319</v>
      </c>
      <c r="G109" s="838">
        <v>0</v>
      </c>
      <c r="H109" s="838">
        <v>-1159.589904724319</v>
      </c>
      <c r="I109" s="839">
        <v>0</v>
      </c>
      <c r="J109" s="851">
        <v>0</v>
      </c>
      <c r="K109" s="859"/>
      <c r="L109" s="839">
        <v>0</v>
      </c>
      <c r="M109" s="851">
        <v>0</v>
      </c>
      <c r="N109" s="853"/>
      <c r="O109" s="839">
        <v>0</v>
      </c>
      <c r="P109" s="851">
        <v>0</v>
      </c>
      <c r="Q109" s="854"/>
      <c r="R109" s="839">
        <v>0</v>
      </c>
      <c r="S109" s="851">
        <v>0</v>
      </c>
      <c r="T109" s="855"/>
      <c r="U109" s="839">
        <v>0</v>
      </c>
      <c r="V109" s="851">
        <v>0</v>
      </c>
      <c r="W109" s="839">
        <v>0</v>
      </c>
      <c r="X109" s="851">
        <v>0</v>
      </c>
      <c r="Y109" s="839">
        <v>0</v>
      </c>
      <c r="Z109" s="851">
        <v>0</v>
      </c>
      <c r="AA109" s="839">
        <v>0</v>
      </c>
      <c r="AB109" s="851">
        <v>0</v>
      </c>
      <c r="AC109" s="839">
        <v>0</v>
      </c>
      <c r="AD109" s="851">
        <v>0</v>
      </c>
      <c r="AE109" s="839">
        <v>103.00123221737752</v>
      </c>
      <c r="AF109" s="851">
        <v>0</v>
      </c>
      <c r="AG109" s="856"/>
      <c r="AH109" s="839">
        <v>127.17072778043382</v>
      </c>
      <c r="AI109" s="851">
        <v>0</v>
      </c>
      <c r="AJ109" s="856"/>
      <c r="AK109" s="839">
        <v>36.881382527661664</v>
      </c>
      <c r="AL109" s="851">
        <v>0</v>
      </c>
      <c r="AM109" s="856"/>
      <c r="AN109" s="839">
        <v>0</v>
      </c>
      <c r="AO109" s="851">
        <v>0</v>
      </c>
      <c r="AP109" s="856"/>
      <c r="AQ109" s="839">
        <v>0</v>
      </c>
      <c r="AR109" s="851">
        <v>0</v>
      </c>
      <c r="AS109" s="856"/>
      <c r="AT109" s="839">
        <v>19.771277081972755</v>
      </c>
      <c r="AU109" s="851">
        <v>711</v>
      </c>
      <c r="AV109" s="878"/>
      <c r="AW109" s="839">
        <v>0</v>
      </c>
      <c r="AX109" s="851">
        <v>0</v>
      </c>
      <c r="AY109" s="856"/>
      <c r="AZ109" s="845">
        <v>286.82461960744575</v>
      </c>
      <c r="BA109" s="845">
        <v>711</v>
      </c>
      <c r="BB109" s="846">
        <v>424.17538039255425</v>
      </c>
      <c r="BD109" s="2">
        <v>2</v>
      </c>
      <c r="BF109" s="787">
        <v>1.6642716650856331</v>
      </c>
      <c r="BG109" s="325">
        <v>150000610</v>
      </c>
      <c r="BI109" s="847">
        <v>0</v>
      </c>
      <c r="BJ109" s="847">
        <v>0</v>
      </c>
      <c r="BK109" s="847">
        <v>0</v>
      </c>
      <c r="BL109" s="848"/>
      <c r="BM109" s="3"/>
      <c r="BN109" s="3"/>
      <c r="BP109" s="3"/>
      <c r="BQ109" s="3"/>
      <c r="BS109" s="42" t="s">
        <v>161</v>
      </c>
    </row>
    <row r="110" spans="1:71" ht="24.9" customHeight="1" x14ac:dyDescent="0.3">
      <c r="A110" s="325">
        <v>150000611</v>
      </c>
      <c r="B110" s="849" t="s">
        <v>196</v>
      </c>
      <c r="C110" s="850">
        <v>3</v>
      </c>
      <c r="D110" s="101" t="s">
        <v>455</v>
      </c>
      <c r="E110" s="279">
        <v>1108</v>
      </c>
      <c r="F110" s="838">
        <v>1909.0894452390098</v>
      </c>
      <c r="G110" s="838">
        <v>0</v>
      </c>
      <c r="H110" s="838">
        <v>-1909.0894452390098</v>
      </c>
      <c r="I110" s="839">
        <v>0</v>
      </c>
      <c r="J110" s="851">
        <v>0</v>
      </c>
      <c r="K110" s="852"/>
      <c r="L110" s="839">
        <v>0</v>
      </c>
      <c r="M110" s="851">
        <v>0</v>
      </c>
      <c r="N110" s="853"/>
      <c r="O110" s="839">
        <v>0</v>
      </c>
      <c r="P110" s="851">
        <v>0</v>
      </c>
      <c r="Q110" s="854"/>
      <c r="R110" s="839">
        <v>0</v>
      </c>
      <c r="S110" s="851">
        <v>0</v>
      </c>
      <c r="T110" s="855"/>
      <c r="U110" s="839">
        <v>0</v>
      </c>
      <c r="V110" s="851">
        <v>0</v>
      </c>
      <c r="W110" s="839">
        <v>0</v>
      </c>
      <c r="X110" s="851">
        <v>0</v>
      </c>
      <c r="Y110" s="839">
        <v>0</v>
      </c>
      <c r="Z110" s="851">
        <v>0</v>
      </c>
      <c r="AA110" s="839">
        <v>0</v>
      </c>
      <c r="AB110" s="851">
        <v>0</v>
      </c>
      <c r="AC110" s="839">
        <v>0</v>
      </c>
      <c r="AD110" s="851">
        <v>0</v>
      </c>
      <c r="AE110" s="839">
        <v>128.09725591400303</v>
      </c>
      <c r="AF110" s="851">
        <v>0</v>
      </c>
      <c r="AG110" s="856"/>
      <c r="AH110" s="839">
        <v>209.79530050336243</v>
      </c>
      <c r="AI110" s="851">
        <v>0</v>
      </c>
      <c r="AJ110" s="856"/>
      <c r="AK110" s="839">
        <v>132.3516939143727</v>
      </c>
      <c r="AL110" s="851">
        <v>0</v>
      </c>
      <c r="AM110" s="856"/>
      <c r="AN110" s="839">
        <v>0</v>
      </c>
      <c r="AO110" s="851">
        <v>0</v>
      </c>
      <c r="AP110" s="856"/>
      <c r="AQ110" s="839">
        <v>0</v>
      </c>
      <c r="AR110" s="851">
        <v>0</v>
      </c>
      <c r="AS110" s="856"/>
      <c r="AT110" s="839">
        <v>35.916195899513809</v>
      </c>
      <c r="AU110" s="851">
        <v>0</v>
      </c>
      <c r="AV110" s="856"/>
      <c r="AW110" s="839">
        <v>0</v>
      </c>
      <c r="AX110" s="851">
        <v>0</v>
      </c>
      <c r="AY110" s="856"/>
      <c r="AZ110" s="845">
        <v>506.16044623125197</v>
      </c>
      <c r="BA110" s="845">
        <v>0</v>
      </c>
      <c r="BB110" s="846">
        <v>-506.16044623125197</v>
      </c>
      <c r="BD110" s="2">
        <v>2</v>
      </c>
      <c r="BF110" s="787">
        <v>3.8804987477165009</v>
      </c>
      <c r="BG110" s="325">
        <v>150000611</v>
      </c>
      <c r="BI110" s="847">
        <v>0</v>
      </c>
      <c r="BJ110" s="847">
        <v>0</v>
      </c>
      <c r="BK110" s="847">
        <v>0</v>
      </c>
      <c r="BL110" s="848"/>
      <c r="BM110" s="3"/>
      <c r="BN110" s="3"/>
      <c r="BP110" s="3"/>
      <c r="BQ110" s="3"/>
      <c r="BS110" s="42" t="s">
        <v>196</v>
      </c>
    </row>
    <row r="111" spans="1:71" ht="24.9" customHeight="1" x14ac:dyDescent="0.3">
      <c r="A111" s="325">
        <v>150000623</v>
      </c>
      <c r="B111" s="849" t="s">
        <v>210</v>
      </c>
      <c r="C111" s="850">
        <v>4</v>
      </c>
      <c r="D111" s="101" t="s">
        <v>455</v>
      </c>
      <c r="E111" s="279">
        <v>1472.6</v>
      </c>
      <c r="F111" s="838">
        <v>3154.2915281237479</v>
      </c>
      <c r="G111" s="838">
        <v>0</v>
      </c>
      <c r="H111" s="838">
        <v>-3154.2915281237479</v>
      </c>
      <c r="I111" s="839">
        <v>0</v>
      </c>
      <c r="J111" s="851">
        <v>0</v>
      </c>
      <c r="K111" s="852"/>
      <c r="L111" s="839">
        <v>0</v>
      </c>
      <c r="M111" s="851">
        <v>0</v>
      </c>
      <c r="N111" s="853"/>
      <c r="O111" s="839">
        <v>0</v>
      </c>
      <c r="P111" s="851">
        <v>0</v>
      </c>
      <c r="Q111" s="854"/>
      <c r="R111" s="839">
        <v>0</v>
      </c>
      <c r="S111" s="851">
        <v>0</v>
      </c>
      <c r="T111" s="855"/>
      <c r="U111" s="839">
        <v>0</v>
      </c>
      <c r="V111" s="851">
        <v>0</v>
      </c>
      <c r="W111" s="839">
        <v>0</v>
      </c>
      <c r="X111" s="851">
        <v>0</v>
      </c>
      <c r="Y111" s="839">
        <v>0</v>
      </c>
      <c r="Z111" s="851">
        <v>0</v>
      </c>
      <c r="AA111" s="839">
        <v>0</v>
      </c>
      <c r="AB111" s="851">
        <v>0</v>
      </c>
      <c r="AC111" s="839">
        <v>0</v>
      </c>
      <c r="AD111" s="851">
        <v>0</v>
      </c>
      <c r="AE111" s="839">
        <v>149.27602959383947</v>
      </c>
      <c r="AF111" s="851">
        <v>0</v>
      </c>
      <c r="AG111" s="857"/>
      <c r="AH111" s="839">
        <v>200.97730468011736</v>
      </c>
      <c r="AI111" s="851">
        <v>0</v>
      </c>
      <c r="AJ111" s="856"/>
      <c r="AK111" s="839">
        <v>166.70191689660794</v>
      </c>
      <c r="AL111" s="851">
        <v>0</v>
      </c>
      <c r="AM111" s="856"/>
      <c r="AN111" s="839">
        <v>0</v>
      </c>
      <c r="AO111" s="851">
        <v>0</v>
      </c>
      <c r="AP111" s="856"/>
      <c r="AQ111" s="839">
        <v>0</v>
      </c>
      <c r="AR111" s="851">
        <v>0</v>
      </c>
      <c r="AS111" s="856"/>
      <c r="AT111" s="839">
        <v>60.485387360254336</v>
      </c>
      <c r="AU111" s="851">
        <v>0</v>
      </c>
      <c r="AV111" s="856"/>
      <c r="AW111" s="839">
        <v>0</v>
      </c>
      <c r="AX111" s="851">
        <v>0</v>
      </c>
      <c r="AY111" s="856"/>
      <c r="AZ111" s="845">
        <v>577.44063853081911</v>
      </c>
      <c r="BA111" s="845">
        <v>0</v>
      </c>
      <c r="BB111" s="846">
        <v>-577.44063853081911</v>
      </c>
      <c r="BD111" s="2">
        <v>2</v>
      </c>
      <c r="BF111" s="787">
        <v>5.1525178318055209</v>
      </c>
      <c r="BG111" s="325">
        <v>150000623</v>
      </c>
      <c r="BI111" s="847">
        <v>0</v>
      </c>
      <c r="BJ111" s="847">
        <v>0</v>
      </c>
      <c r="BK111" s="847">
        <v>0</v>
      </c>
      <c r="BL111" s="848"/>
      <c r="BM111" s="3"/>
      <c r="BN111" s="3"/>
      <c r="BP111" s="3"/>
      <c r="BQ111" s="3"/>
      <c r="BS111" s="42" t="s">
        <v>210</v>
      </c>
    </row>
    <row r="112" spans="1:71" ht="24.9" customHeight="1" x14ac:dyDescent="0.3">
      <c r="A112" s="325">
        <v>150000612</v>
      </c>
      <c r="B112" s="849" t="s">
        <v>162</v>
      </c>
      <c r="C112" s="850">
        <v>2</v>
      </c>
      <c r="D112" s="101" t="s">
        <v>455</v>
      </c>
      <c r="E112" s="279">
        <v>498.78</v>
      </c>
      <c r="F112" s="838">
        <v>1675.5731975947206</v>
      </c>
      <c r="G112" s="838">
        <v>0</v>
      </c>
      <c r="H112" s="838">
        <v>-1675.5731975947206</v>
      </c>
      <c r="I112" s="839">
        <v>0</v>
      </c>
      <c r="J112" s="851">
        <v>0</v>
      </c>
      <c r="K112" s="852"/>
      <c r="L112" s="839">
        <v>0</v>
      </c>
      <c r="M112" s="851">
        <v>0</v>
      </c>
      <c r="N112" s="853"/>
      <c r="O112" s="839">
        <v>0</v>
      </c>
      <c r="P112" s="851">
        <v>0</v>
      </c>
      <c r="Q112" s="854"/>
      <c r="R112" s="839">
        <v>0</v>
      </c>
      <c r="S112" s="851">
        <v>0</v>
      </c>
      <c r="T112" s="855"/>
      <c r="U112" s="839">
        <v>0</v>
      </c>
      <c r="V112" s="851">
        <v>0</v>
      </c>
      <c r="W112" s="839">
        <v>0</v>
      </c>
      <c r="X112" s="851">
        <v>0</v>
      </c>
      <c r="Y112" s="839">
        <v>0</v>
      </c>
      <c r="Z112" s="851">
        <v>0</v>
      </c>
      <c r="AA112" s="839">
        <v>0</v>
      </c>
      <c r="AB112" s="851">
        <v>0</v>
      </c>
      <c r="AC112" s="839">
        <v>0</v>
      </c>
      <c r="AD112" s="851">
        <v>0</v>
      </c>
      <c r="AE112" s="839">
        <v>66.793785964930606</v>
      </c>
      <c r="AF112" s="851">
        <v>0</v>
      </c>
      <c r="AG112" s="856"/>
      <c r="AH112" s="839">
        <v>148.24448739911162</v>
      </c>
      <c r="AI112" s="851">
        <v>0</v>
      </c>
      <c r="AJ112" s="856"/>
      <c r="AK112" s="839">
        <v>27.646517586814632</v>
      </c>
      <c r="AL112" s="851">
        <v>0</v>
      </c>
      <c r="AM112" s="856"/>
      <c r="AN112" s="839">
        <v>0</v>
      </c>
      <c r="AO112" s="851">
        <v>0</v>
      </c>
      <c r="AP112" s="856"/>
      <c r="AQ112" s="839">
        <v>0</v>
      </c>
      <c r="AR112" s="851">
        <v>0</v>
      </c>
      <c r="AS112" s="856"/>
      <c r="AT112" s="839">
        <v>19.771301113804686</v>
      </c>
      <c r="AU112" s="851">
        <v>0</v>
      </c>
      <c r="AV112" s="856"/>
      <c r="AW112" s="839">
        <v>0</v>
      </c>
      <c r="AX112" s="851">
        <v>0</v>
      </c>
      <c r="AY112" s="856"/>
      <c r="AZ112" s="845">
        <v>262.45609206466156</v>
      </c>
      <c r="BA112" s="845">
        <v>0</v>
      </c>
      <c r="BB112" s="846">
        <v>-262.45609206466156</v>
      </c>
      <c r="BD112" s="2">
        <v>2</v>
      </c>
      <c r="BF112" s="787">
        <v>1.7468548424061698</v>
      </c>
      <c r="BG112" s="325">
        <v>150000612</v>
      </c>
      <c r="BI112" s="847">
        <v>0</v>
      </c>
      <c r="BJ112" s="847">
        <v>0</v>
      </c>
      <c r="BK112" s="847">
        <v>0</v>
      </c>
      <c r="BL112" s="848"/>
      <c r="BM112" s="3"/>
      <c r="BN112" s="3"/>
      <c r="BP112" s="3"/>
      <c r="BQ112" s="3"/>
      <c r="BS112" s="42" t="s">
        <v>162</v>
      </c>
    </row>
    <row r="113" spans="1:71" ht="24.9" customHeight="1" x14ac:dyDescent="0.3">
      <c r="A113" s="325">
        <v>150000613</v>
      </c>
      <c r="B113" s="849" t="s">
        <v>211</v>
      </c>
      <c r="C113" s="850">
        <v>4</v>
      </c>
      <c r="D113" s="101" t="s">
        <v>455</v>
      </c>
      <c r="E113" s="279">
        <v>1482.22</v>
      </c>
      <c r="F113" s="838">
        <v>2509.6770077695455</v>
      </c>
      <c r="G113" s="838">
        <v>0</v>
      </c>
      <c r="H113" s="838">
        <v>-2509.6770077695455</v>
      </c>
      <c r="I113" s="839">
        <v>0</v>
      </c>
      <c r="J113" s="851">
        <v>0</v>
      </c>
      <c r="K113" s="852"/>
      <c r="L113" s="839">
        <v>0</v>
      </c>
      <c r="M113" s="851">
        <v>0</v>
      </c>
      <c r="N113" s="853"/>
      <c r="O113" s="839">
        <v>0</v>
      </c>
      <c r="P113" s="851">
        <v>0</v>
      </c>
      <c r="Q113" s="854"/>
      <c r="R113" s="839">
        <v>0</v>
      </c>
      <c r="S113" s="851">
        <v>0</v>
      </c>
      <c r="T113" s="855"/>
      <c r="U113" s="839">
        <v>0</v>
      </c>
      <c r="V113" s="851">
        <v>0</v>
      </c>
      <c r="W113" s="839">
        <v>0</v>
      </c>
      <c r="X113" s="851">
        <v>0</v>
      </c>
      <c r="Y113" s="839">
        <v>0</v>
      </c>
      <c r="Z113" s="851">
        <v>0</v>
      </c>
      <c r="AA113" s="839">
        <v>0</v>
      </c>
      <c r="AB113" s="851">
        <v>0</v>
      </c>
      <c r="AC113" s="839">
        <v>0</v>
      </c>
      <c r="AD113" s="851">
        <v>0</v>
      </c>
      <c r="AE113" s="839">
        <v>146.35357130536974</v>
      </c>
      <c r="AF113" s="851">
        <v>0</v>
      </c>
      <c r="AG113" s="856"/>
      <c r="AH113" s="839">
        <v>199.98679498901538</v>
      </c>
      <c r="AI113" s="851">
        <v>0</v>
      </c>
      <c r="AJ113" s="856"/>
      <c r="AK113" s="839">
        <v>164.52396800690619</v>
      </c>
      <c r="AL113" s="851">
        <v>0</v>
      </c>
      <c r="AM113" s="856"/>
      <c r="AN113" s="839">
        <v>0</v>
      </c>
      <c r="AO113" s="851">
        <v>0</v>
      </c>
      <c r="AP113" s="856"/>
      <c r="AQ113" s="839">
        <v>0</v>
      </c>
      <c r="AR113" s="851">
        <v>0</v>
      </c>
      <c r="AS113" s="856"/>
      <c r="AT113" s="839">
        <v>60.056147680914883</v>
      </c>
      <c r="AU113" s="851">
        <v>0</v>
      </c>
      <c r="AV113" s="856"/>
      <c r="AW113" s="839">
        <v>0</v>
      </c>
      <c r="AX113" s="851">
        <v>0</v>
      </c>
      <c r="AY113" s="856"/>
      <c r="AZ113" s="845">
        <v>570.9204819822063</v>
      </c>
      <c r="BA113" s="845">
        <v>0</v>
      </c>
      <c r="BB113" s="846">
        <v>-570.9204819822063</v>
      </c>
      <c r="BD113" s="2">
        <v>2</v>
      </c>
      <c r="BF113" s="787">
        <v>5.1909725937639388</v>
      </c>
      <c r="BG113" s="325">
        <v>150000613</v>
      </c>
      <c r="BI113" s="847">
        <v>0</v>
      </c>
      <c r="BJ113" s="847">
        <v>0</v>
      </c>
      <c r="BK113" s="847">
        <v>0</v>
      </c>
      <c r="BL113" s="848"/>
      <c r="BM113" s="3"/>
      <c r="BN113" s="3"/>
      <c r="BP113" s="3"/>
      <c r="BQ113" s="3"/>
      <c r="BS113" s="42" t="s">
        <v>211</v>
      </c>
    </row>
    <row r="114" spans="1:71" ht="24.9" customHeight="1" x14ac:dyDescent="0.3">
      <c r="A114" s="325">
        <v>150000614</v>
      </c>
      <c r="B114" s="849" t="s">
        <v>163</v>
      </c>
      <c r="C114" s="850">
        <v>2</v>
      </c>
      <c r="D114" s="101" t="s">
        <v>455</v>
      </c>
      <c r="E114" s="279">
        <v>626.29999999999995</v>
      </c>
      <c r="F114" s="838">
        <v>1590.6280479295372</v>
      </c>
      <c r="G114" s="838">
        <v>0</v>
      </c>
      <c r="H114" s="838">
        <v>-1590.6280479295372</v>
      </c>
      <c r="I114" s="839">
        <v>0</v>
      </c>
      <c r="J114" s="851">
        <v>0</v>
      </c>
      <c r="K114" s="852"/>
      <c r="L114" s="839">
        <v>0</v>
      </c>
      <c r="M114" s="851">
        <v>0</v>
      </c>
      <c r="N114" s="853"/>
      <c r="O114" s="839">
        <v>0</v>
      </c>
      <c r="P114" s="851">
        <v>0</v>
      </c>
      <c r="Q114" s="854"/>
      <c r="R114" s="839">
        <v>0</v>
      </c>
      <c r="S114" s="851">
        <v>0</v>
      </c>
      <c r="T114" s="855"/>
      <c r="U114" s="839">
        <v>0</v>
      </c>
      <c r="V114" s="851">
        <v>0</v>
      </c>
      <c r="W114" s="839">
        <v>0</v>
      </c>
      <c r="X114" s="851">
        <v>0</v>
      </c>
      <c r="Y114" s="839">
        <v>0</v>
      </c>
      <c r="Z114" s="851">
        <v>0</v>
      </c>
      <c r="AA114" s="839">
        <v>0</v>
      </c>
      <c r="AB114" s="851">
        <v>0</v>
      </c>
      <c r="AC114" s="839">
        <v>0</v>
      </c>
      <c r="AD114" s="851">
        <v>0</v>
      </c>
      <c r="AE114" s="839">
        <v>94.800233592295626</v>
      </c>
      <c r="AF114" s="851">
        <v>0</v>
      </c>
      <c r="AG114" s="856"/>
      <c r="AH114" s="839">
        <v>117.77975701338245</v>
      </c>
      <c r="AI114" s="851">
        <v>0</v>
      </c>
      <c r="AJ114" s="856"/>
      <c r="AK114" s="839">
        <v>49.688136637059898</v>
      </c>
      <c r="AL114" s="851">
        <v>0</v>
      </c>
      <c r="AM114" s="856"/>
      <c r="AN114" s="839">
        <v>0</v>
      </c>
      <c r="AO114" s="851">
        <v>0</v>
      </c>
      <c r="AP114" s="856"/>
      <c r="AQ114" s="839">
        <v>0</v>
      </c>
      <c r="AR114" s="851">
        <v>0</v>
      </c>
      <c r="AS114" s="856"/>
      <c r="AT114" s="839">
        <v>34.837121188239912</v>
      </c>
      <c r="AU114" s="851">
        <v>0</v>
      </c>
      <c r="AV114" s="856"/>
      <c r="AW114" s="839">
        <v>0</v>
      </c>
      <c r="AX114" s="851">
        <v>0</v>
      </c>
      <c r="AY114" s="856"/>
      <c r="AZ114" s="845">
        <v>297.10524843097784</v>
      </c>
      <c r="BA114" s="845">
        <v>0</v>
      </c>
      <c r="BB114" s="846">
        <v>-297.10524843097784</v>
      </c>
      <c r="BD114" s="2">
        <v>2</v>
      </c>
      <c r="BF114" s="787">
        <v>2.1934624239123144</v>
      </c>
      <c r="BG114" s="325">
        <v>150000614</v>
      </c>
      <c r="BI114" s="847">
        <v>0</v>
      </c>
      <c r="BJ114" s="847">
        <v>0</v>
      </c>
      <c r="BK114" s="847">
        <v>0</v>
      </c>
      <c r="BL114" s="848"/>
      <c r="BM114" s="3"/>
      <c r="BN114" s="3"/>
      <c r="BP114" s="3"/>
      <c r="BQ114" s="3"/>
      <c r="BS114" s="42" t="s">
        <v>163</v>
      </c>
    </row>
    <row r="115" spans="1:71" ht="24.9" customHeight="1" x14ac:dyDescent="0.3">
      <c r="A115" s="325">
        <v>150000615</v>
      </c>
      <c r="B115" s="849" t="s">
        <v>257</v>
      </c>
      <c r="C115" s="850">
        <v>5</v>
      </c>
      <c r="D115" s="101" t="s">
        <v>455</v>
      </c>
      <c r="E115" s="279">
        <v>2636.9100000000003</v>
      </c>
      <c r="F115" s="838">
        <v>3460.1383067985284</v>
      </c>
      <c r="G115" s="838">
        <v>0</v>
      </c>
      <c r="H115" s="838">
        <v>-3460.1383067985284</v>
      </c>
      <c r="I115" s="839">
        <v>0</v>
      </c>
      <c r="J115" s="851">
        <v>0</v>
      </c>
      <c r="K115" s="852"/>
      <c r="L115" s="839">
        <v>0</v>
      </c>
      <c r="M115" s="851">
        <v>0</v>
      </c>
      <c r="N115" s="853"/>
      <c r="O115" s="839">
        <v>0</v>
      </c>
      <c r="P115" s="851">
        <v>0</v>
      </c>
      <c r="Q115" s="854"/>
      <c r="R115" s="839">
        <v>0</v>
      </c>
      <c r="S115" s="851">
        <v>0</v>
      </c>
      <c r="T115" s="855"/>
      <c r="U115" s="839">
        <v>0</v>
      </c>
      <c r="V115" s="851">
        <v>0</v>
      </c>
      <c r="W115" s="839">
        <v>0</v>
      </c>
      <c r="X115" s="851">
        <v>0</v>
      </c>
      <c r="Y115" s="839">
        <v>0</v>
      </c>
      <c r="Z115" s="851">
        <v>0</v>
      </c>
      <c r="AA115" s="839">
        <v>0</v>
      </c>
      <c r="AB115" s="851">
        <v>0</v>
      </c>
      <c r="AC115" s="839">
        <v>0</v>
      </c>
      <c r="AD115" s="851">
        <v>0</v>
      </c>
      <c r="AE115" s="839">
        <v>244.42904331491323</v>
      </c>
      <c r="AF115" s="851">
        <v>0</v>
      </c>
      <c r="AG115" s="856"/>
      <c r="AH115" s="839">
        <v>370.97542606793741</v>
      </c>
      <c r="AI115" s="851">
        <v>0</v>
      </c>
      <c r="AJ115" s="856"/>
      <c r="AK115" s="839">
        <v>313.66672284506978</v>
      </c>
      <c r="AL115" s="851">
        <v>0</v>
      </c>
      <c r="AM115" s="856"/>
      <c r="AN115" s="839">
        <v>0</v>
      </c>
      <c r="AO115" s="851">
        <v>0</v>
      </c>
      <c r="AP115" s="856"/>
      <c r="AQ115" s="839">
        <v>0</v>
      </c>
      <c r="AR115" s="851">
        <v>0</v>
      </c>
      <c r="AS115" s="856"/>
      <c r="AT115" s="839">
        <v>108.30269141259552</v>
      </c>
      <c r="AU115" s="851">
        <v>0</v>
      </c>
      <c r="AV115" s="856"/>
      <c r="AW115" s="839">
        <v>0</v>
      </c>
      <c r="AX115" s="851">
        <v>0</v>
      </c>
      <c r="AY115" s="856"/>
      <c r="AZ115" s="845">
        <v>1037.3738836405159</v>
      </c>
      <c r="BA115" s="845">
        <v>0</v>
      </c>
      <c r="BB115" s="846">
        <v>-1037.3738836405159</v>
      </c>
      <c r="BD115" s="2">
        <v>2</v>
      </c>
      <c r="BF115" s="787">
        <v>9.2358321774283958</v>
      </c>
      <c r="BG115" s="325">
        <v>150000615</v>
      </c>
      <c r="BI115" s="847">
        <v>0</v>
      </c>
      <c r="BJ115" s="847">
        <v>0</v>
      </c>
      <c r="BK115" s="847">
        <v>0</v>
      </c>
      <c r="BL115" s="848"/>
      <c r="BM115" s="3"/>
      <c r="BN115" s="3"/>
      <c r="BP115" s="3"/>
      <c r="BQ115" s="3"/>
      <c r="BS115" s="42" t="s">
        <v>257</v>
      </c>
    </row>
    <row r="116" spans="1:71" ht="24.9" customHeight="1" x14ac:dyDescent="0.3">
      <c r="A116" s="325">
        <v>150000616</v>
      </c>
      <c r="B116" s="849" t="s">
        <v>258</v>
      </c>
      <c r="C116" s="850">
        <v>5</v>
      </c>
      <c r="D116" s="101" t="s">
        <v>455</v>
      </c>
      <c r="E116" s="279">
        <v>1804.3</v>
      </c>
      <c r="F116" s="838">
        <v>3341.9574334431359</v>
      </c>
      <c r="G116" s="838">
        <v>23.08273008727981</v>
      </c>
      <c r="H116" s="838">
        <v>-3318.8747033558561</v>
      </c>
      <c r="I116" s="839">
        <v>0</v>
      </c>
      <c r="J116" s="851">
        <v>0</v>
      </c>
      <c r="K116" s="852"/>
      <c r="L116" s="839">
        <v>0</v>
      </c>
      <c r="M116" s="851">
        <v>0</v>
      </c>
      <c r="N116" s="853"/>
      <c r="O116" s="839">
        <v>0</v>
      </c>
      <c r="P116" s="851">
        <v>0</v>
      </c>
      <c r="Q116" s="854"/>
      <c r="R116" s="839">
        <v>0</v>
      </c>
      <c r="S116" s="851">
        <v>0</v>
      </c>
      <c r="T116" s="855"/>
      <c r="U116" s="839">
        <v>0</v>
      </c>
      <c r="V116" s="851">
        <v>0</v>
      </c>
      <c r="W116" s="839">
        <v>0</v>
      </c>
      <c r="X116" s="851">
        <v>23.08273008727981</v>
      </c>
      <c r="Y116" s="839">
        <v>0</v>
      </c>
      <c r="Z116" s="851">
        <v>0</v>
      </c>
      <c r="AA116" s="839">
        <v>0</v>
      </c>
      <c r="AB116" s="851">
        <v>0</v>
      </c>
      <c r="AC116" s="839">
        <v>0</v>
      </c>
      <c r="AD116" s="851">
        <v>0</v>
      </c>
      <c r="AE116" s="839">
        <v>169.7904243905044</v>
      </c>
      <c r="AF116" s="851">
        <v>0</v>
      </c>
      <c r="AG116" s="856"/>
      <c r="AH116" s="839">
        <v>250.58315269130659</v>
      </c>
      <c r="AI116" s="851">
        <v>0</v>
      </c>
      <c r="AJ116" s="856"/>
      <c r="AK116" s="839">
        <v>240.66409739837528</v>
      </c>
      <c r="AL116" s="851">
        <v>0</v>
      </c>
      <c r="AM116" s="856"/>
      <c r="AN116" s="839">
        <v>0</v>
      </c>
      <c r="AO116" s="851">
        <v>0</v>
      </c>
      <c r="AP116" s="856"/>
      <c r="AQ116" s="839">
        <v>0</v>
      </c>
      <c r="AR116" s="851">
        <v>0</v>
      </c>
      <c r="AS116" s="856"/>
      <c r="AT116" s="839">
        <v>69.694344771707904</v>
      </c>
      <c r="AU116" s="851">
        <v>291</v>
      </c>
      <c r="AV116" s="856"/>
      <c r="AW116" s="839">
        <v>0</v>
      </c>
      <c r="AX116" s="851">
        <v>0</v>
      </c>
      <c r="AY116" s="856"/>
      <c r="AZ116" s="845">
        <v>730.73201925189414</v>
      </c>
      <c r="BA116" s="845">
        <v>291</v>
      </c>
      <c r="BB116" s="846">
        <v>-439.73201925189414</v>
      </c>
      <c r="BD116" s="2">
        <v>2</v>
      </c>
      <c r="BF116" s="787">
        <v>6.6290686188427737</v>
      </c>
      <c r="BG116" s="325">
        <v>150000616</v>
      </c>
      <c r="BI116" s="847">
        <v>10.5</v>
      </c>
      <c r="BJ116" s="847">
        <v>1.0304011641843602</v>
      </c>
      <c r="BK116" s="847">
        <v>11.53040116418436</v>
      </c>
      <c r="BL116" s="848"/>
      <c r="BM116" s="3"/>
      <c r="BN116" s="3"/>
      <c r="BP116" s="3"/>
      <c r="BQ116" s="3"/>
      <c r="BS116" s="42" t="s">
        <v>258</v>
      </c>
    </row>
    <row r="117" spans="1:71" ht="24.9" customHeight="1" x14ac:dyDescent="0.3">
      <c r="A117" s="325">
        <v>150000618</v>
      </c>
      <c r="B117" s="849" t="s">
        <v>417</v>
      </c>
      <c r="C117" s="850">
        <v>10</v>
      </c>
      <c r="D117" s="101" t="s">
        <v>455</v>
      </c>
      <c r="E117" s="279">
        <v>2744.2</v>
      </c>
      <c r="F117" s="838">
        <v>6587.9296288171709</v>
      </c>
      <c r="G117" s="838">
        <v>54</v>
      </c>
      <c r="H117" s="838">
        <v>-6533.9296288171709</v>
      </c>
      <c r="I117" s="839">
        <v>0</v>
      </c>
      <c r="J117" s="851">
        <v>0</v>
      </c>
      <c r="K117" s="852"/>
      <c r="L117" s="839">
        <v>0</v>
      </c>
      <c r="M117" s="851">
        <v>0</v>
      </c>
      <c r="N117" s="853"/>
      <c r="O117" s="839">
        <v>0</v>
      </c>
      <c r="P117" s="851">
        <v>0</v>
      </c>
      <c r="Q117" s="854"/>
      <c r="R117" s="839">
        <v>0</v>
      </c>
      <c r="S117" s="851">
        <v>0</v>
      </c>
      <c r="T117" s="855"/>
      <c r="U117" s="839">
        <v>0</v>
      </c>
      <c r="V117" s="851">
        <v>0</v>
      </c>
      <c r="W117" s="839">
        <v>0</v>
      </c>
      <c r="X117" s="851">
        <v>0</v>
      </c>
      <c r="Y117" s="839">
        <v>0</v>
      </c>
      <c r="Z117" s="851">
        <v>0</v>
      </c>
      <c r="AA117" s="839">
        <v>0</v>
      </c>
      <c r="AB117" s="851">
        <v>0</v>
      </c>
      <c r="AC117" s="839">
        <v>54</v>
      </c>
      <c r="AD117" s="851">
        <v>0</v>
      </c>
      <c r="AE117" s="839">
        <v>105.27399646775474</v>
      </c>
      <c r="AF117" s="851">
        <v>464</v>
      </c>
      <c r="AG117" s="856"/>
      <c r="AH117" s="839">
        <v>140.84536735076762</v>
      </c>
      <c r="AI117" s="851">
        <v>0</v>
      </c>
      <c r="AJ117" s="856"/>
      <c r="AK117" s="839">
        <v>172.52999303886682</v>
      </c>
      <c r="AL117" s="851">
        <v>0</v>
      </c>
      <c r="AM117" s="856"/>
      <c r="AN117" s="839">
        <v>62.030552270349432</v>
      </c>
      <c r="AO117" s="851">
        <v>0</v>
      </c>
      <c r="AP117" s="856"/>
      <c r="AQ117" s="839">
        <v>35.219944932571877</v>
      </c>
      <c r="AR117" s="851">
        <v>0</v>
      </c>
      <c r="AS117" s="856"/>
      <c r="AT117" s="839">
        <v>86.679575327637068</v>
      </c>
      <c r="AU117" s="851">
        <v>0</v>
      </c>
      <c r="AV117" s="856"/>
      <c r="AW117" s="839">
        <v>0</v>
      </c>
      <c r="AX117" s="851">
        <v>0</v>
      </c>
      <c r="AY117" s="856"/>
      <c r="AZ117" s="845">
        <v>602.57942938794747</v>
      </c>
      <c r="BA117" s="845">
        <v>464</v>
      </c>
      <c r="BB117" s="846">
        <v>-138.57942938794747</v>
      </c>
      <c r="BD117" s="2">
        <v>2</v>
      </c>
      <c r="BF117" s="787">
        <v>9.6108886854545315</v>
      </c>
      <c r="BG117" s="325">
        <v>150000618</v>
      </c>
      <c r="BI117" s="847">
        <v>0</v>
      </c>
      <c r="BJ117" s="847">
        <v>0</v>
      </c>
      <c r="BK117" s="847">
        <v>0</v>
      </c>
      <c r="BL117" s="848"/>
      <c r="BM117" s="3"/>
      <c r="BN117" s="3"/>
      <c r="BP117" s="3"/>
      <c r="BQ117" s="3"/>
      <c r="BS117" s="42" t="s">
        <v>417</v>
      </c>
    </row>
    <row r="118" spans="1:71" ht="24.9" customHeight="1" x14ac:dyDescent="0.3">
      <c r="A118" s="325">
        <v>150000619</v>
      </c>
      <c r="B118" s="849" t="s">
        <v>360</v>
      </c>
      <c r="C118" s="850">
        <v>9</v>
      </c>
      <c r="D118" s="101" t="s">
        <v>455</v>
      </c>
      <c r="E118" s="279">
        <v>4254.1000000000004</v>
      </c>
      <c r="F118" s="838">
        <v>11118.535947054592</v>
      </c>
      <c r="G118" s="838">
        <v>0</v>
      </c>
      <c r="H118" s="838">
        <v>-11118.535947054592</v>
      </c>
      <c r="I118" s="839">
        <v>0</v>
      </c>
      <c r="J118" s="851">
        <v>0</v>
      </c>
      <c r="K118" s="852"/>
      <c r="L118" s="839">
        <v>0</v>
      </c>
      <c r="M118" s="851">
        <v>0</v>
      </c>
      <c r="N118" s="858"/>
      <c r="O118" s="839">
        <v>0</v>
      </c>
      <c r="P118" s="851">
        <v>0</v>
      </c>
      <c r="Q118" s="854"/>
      <c r="R118" s="839">
        <v>0</v>
      </c>
      <c r="S118" s="851">
        <v>0</v>
      </c>
      <c r="T118" s="855"/>
      <c r="U118" s="839">
        <v>0</v>
      </c>
      <c r="V118" s="851">
        <v>0</v>
      </c>
      <c r="W118" s="839">
        <v>0</v>
      </c>
      <c r="X118" s="851">
        <v>0</v>
      </c>
      <c r="Y118" s="839">
        <v>0</v>
      </c>
      <c r="Z118" s="851">
        <v>0</v>
      </c>
      <c r="AA118" s="839">
        <v>0</v>
      </c>
      <c r="AB118" s="851">
        <v>0</v>
      </c>
      <c r="AC118" s="839">
        <v>0</v>
      </c>
      <c r="AD118" s="851">
        <v>0</v>
      </c>
      <c r="AE118" s="839">
        <v>208.68357540627463</v>
      </c>
      <c r="AF118" s="851">
        <v>0</v>
      </c>
      <c r="AG118" s="856"/>
      <c r="AH118" s="839">
        <v>265.33664916087628</v>
      </c>
      <c r="AI118" s="851">
        <v>0</v>
      </c>
      <c r="AJ118" s="856"/>
      <c r="AK118" s="839">
        <v>274.04768569408526</v>
      </c>
      <c r="AL118" s="851">
        <v>0</v>
      </c>
      <c r="AM118" s="856"/>
      <c r="AN118" s="839">
        <v>114.36755956189184</v>
      </c>
      <c r="AO118" s="851">
        <v>0</v>
      </c>
      <c r="AP118" s="856"/>
      <c r="AQ118" s="839">
        <v>65.961235315382794</v>
      </c>
      <c r="AR118" s="851">
        <v>0</v>
      </c>
      <c r="AS118" s="856"/>
      <c r="AT118" s="839">
        <v>173.06738905400283</v>
      </c>
      <c r="AU118" s="851">
        <v>0</v>
      </c>
      <c r="AV118" s="856"/>
      <c r="AW118" s="839">
        <v>0</v>
      </c>
      <c r="AX118" s="851">
        <v>0</v>
      </c>
      <c r="AY118" s="856"/>
      <c r="AZ118" s="845">
        <v>1101.4640941925138</v>
      </c>
      <c r="BA118" s="845">
        <v>0</v>
      </c>
      <c r="BB118" s="846">
        <v>-1101.4640941925138</v>
      </c>
      <c r="BD118" s="2">
        <v>2</v>
      </c>
      <c r="BF118" s="787">
        <v>14.89929401853388</v>
      </c>
      <c r="BG118" s="325">
        <v>150000619</v>
      </c>
      <c r="BI118" s="847">
        <v>0</v>
      </c>
      <c r="BJ118" s="847">
        <v>0</v>
      </c>
      <c r="BK118" s="847">
        <v>0</v>
      </c>
      <c r="BL118" s="848"/>
      <c r="BM118" s="3"/>
      <c r="BN118" s="3"/>
      <c r="BP118" s="3"/>
      <c r="BQ118" s="3"/>
      <c r="BS118" s="42" t="s">
        <v>360</v>
      </c>
    </row>
    <row r="119" spans="1:71" ht="24.9" customHeight="1" x14ac:dyDescent="0.3">
      <c r="A119" s="325">
        <v>150000621</v>
      </c>
      <c r="B119" s="862" t="s">
        <v>81</v>
      </c>
      <c r="C119" s="863">
        <v>1</v>
      </c>
      <c r="D119" s="101" t="s">
        <v>455</v>
      </c>
      <c r="E119" s="279">
        <v>130.1</v>
      </c>
      <c r="F119" s="838">
        <v>292.81710297192973</v>
      </c>
      <c r="G119" s="838">
        <v>0</v>
      </c>
      <c r="H119" s="838">
        <v>-292.81710297192973</v>
      </c>
      <c r="I119" s="839">
        <v>0</v>
      </c>
      <c r="J119" s="851">
        <v>0</v>
      </c>
      <c r="K119" s="852"/>
      <c r="L119" s="839">
        <v>0</v>
      </c>
      <c r="M119" s="851">
        <v>0</v>
      </c>
      <c r="N119" s="853"/>
      <c r="O119" s="839">
        <v>0</v>
      </c>
      <c r="P119" s="851">
        <v>0</v>
      </c>
      <c r="Q119" s="854"/>
      <c r="R119" s="839">
        <v>0</v>
      </c>
      <c r="S119" s="851">
        <v>0</v>
      </c>
      <c r="T119" s="855"/>
      <c r="U119" s="839">
        <v>0</v>
      </c>
      <c r="V119" s="851">
        <v>0</v>
      </c>
      <c r="W119" s="839">
        <v>0</v>
      </c>
      <c r="X119" s="851">
        <v>0</v>
      </c>
      <c r="Y119" s="839">
        <v>0</v>
      </c>
      <c r="Z119" s="851">
        <v>0</v>
      </c>
      <c r="AA119" s="839">
        <v>0</v>
      </c>
      <c r="AB119" s="851">
        <v>0</v>
      </c>
      <c r="AC119" s="839">
        <v>0</v>
      </c>
      <c r="AD119" s="851">
        <v>0</v>
      </c>
      <c r="AE119" s="839">
        <v>0</v>
      </c>
      <c r="AF119" s="851">
        <v>0</v>
      </c>
      <c r="AG119" s="856"/>
      <c r="AH119" s="839">
        <v>0</v>
      </c>
      <c r="AI119" s="851">
        <v>0</v>
      </c>
      <c r="AJ119" s="856"/>
      <c r="AK119" s="839">
        <v>0</v>
      </c>
      <c r="AL119" s="851">
        <v>0</v>
      </c>
      <c r="AM119" s="856"/>
      <c r="AN119" s="839">
        <v>0</v>
      </c>
      <c r="AO119" s="851">
        <v>0</v>
      </c>
      <c r="AP119" s="856"/>
      <c r="AQ119" s="839">
        <v>0</v>
      </c>
      <c r="AR119" s="851">
        <v>0</v>
      </c>
      <c r="AS119" s="856"/>
      <c r="AT119" s="839">
        <v>0</v>
      </c>
      <c r="AU119" s="851">
        <v>0</v>
      </c>
      <c r="AV119" s="856"/>
      <c r="AW119" s="839">
        <v>0</v>
      </c>
      <c r="AX119" s="851">
        <v>0</v>
      </c>
      <c r="AY119" s="856"/>
      <c r="AZ119" s="845">
        <v>0</v>
      </c>
      <c r="BA119" s="845">
        <v>0</v>
      </c>
      <c r="BB119" s="846">
        <v>0</v>
      </c>
      <c r="BD119" s="2">
        <v>2</v>
      </c>
      <c r="BF119" s="787">
        <v>0</v>
      </c>
      <c r="BG119" s="325">
        <v>150000621</v>
      </c>
      <c r="BI119" s="847">
        <v>0</v>
      </c>
      <c r="BJ119" s="847">
        <v>0</v>
      </c>
      <c r="BK119" s="847">
        <v>0</v>
      </c>
      <c r="BL119" s="848"/>
      <c r="BM119" s="3"/>
      <c r="BN119" s="3"/>
      <c r="BP119" s="3"/>
      <c r="BQ119" s="3"/>
      <c r="BS119" s="42" t="s">
        <v>81</v>
      </c>
    </row>
    <row r="120" spans="1:71" ht="24.9" customHeight="1" x14ac:dyDescent="0.3">
      <c r="A120" s="325">
        <v>150000590</v>
      </c>
      <c r="B120" s="849" t="s">
        <v>164</v>
      </c>
      <c r="C120" s="850">
        <v>2</v>
      </c>
      <c r="D120" s="101" t="s">
        <v>455</v>
      </c>
      <c r="E120" s="279">
        <v>373.5</v>
      </c>
      <c r="F120" s="838">
        <v>792.72739894583151</v>
      </c>
      <c r="G120" s="838">
        <v>0</v>
      </c>
      <c r="H120" s="838">
        <v>-792.72739894583151</v>
      </c>
      <c r="I120" s="839">
        <v>0</v>
      </c>
      <c r="J120" s="851">
        <v>0</v>
      </c>
      <c r="K120" s="852"/>
      <c r="L120" s="839">
        <v>0</v>
      </c>
      <c r="M120" s="851">
        <v>0</v>
      </c>
      <c r="N120" s="853"/>
      <c r="O120" s="839">
        <v>0</v>
      </c>
      <c r="P120" s="851">
        <v>0</v>
      </c>
      <c r="Q120" s="854"/>
      <c r="R120" s="839">
        <v>0</v>
      </c>
      <c r="S120" s="851">
        <v>0</v>
      </c>
      <c r="T120" s="855"/>
      <c r="U120" s="839">
        <v>0</v>
      </c>
      <c r="V120" s="851">
        <v>0</v>
      </c>
      <c r="W120" s="839">
        <v>0</v>
      </c>
      <c r="X120" s="851">
        <v>0</v>
      </c>
      <c r="Y120" s="839">
        <v>0</v>
      </c>
      <c r="Z120" s="851">
        <v>0</v>
      </c>
      <c r="AA120" s="839">
        <v>0</v>
      </c>
      <c r="AB120" s="851">
        <v>0</v>
      </c>
      <c r="AC120" s="839">
        <v>0</v>
      </c>
      <c r="AD120" s="851">
        <v>0</v>
      </c>
      <c r="AE120" s="839">
        <v>65.283353780054597</v>
      </c>
      <c r="AF120" s="851">
        <v>0</v>
      </c>
      <c r="AG120" s="856"/>
      <c r="AH120" s="839">
        <v>90.238260002622894</v>
      </c>
      <c r="AI120" s="851">
        <v>0</v>
      </c>
      <c r="AJ120" s="856"/>
      <c r="AK120" s="839">
        <v>0</v>
      </c>
      <c r="AL120" s="851">
        <v>0</v>
      </c>
      <c r="AM120" s="856"/>
      <c r="AN120" s="839">
        <v>0</v>
      </c>
      <c r="AO120" s="851">
        <v>0</v>
      </c>
      <c r="AP120" s="856"/>
      <c r="AQ120" s="839">
        <v>0</v>
      </c>
      <c r="AR120" s="851">
        <v>0</v>
      </c>
      <c r="AS120" s="856"/>
      <c r="AT120" s="839">
        <v>15.221714027152627</v>
      </c>
      <c r="AU120" s="851">
        <v>0</v>
      </c>
      <c r="AV120" s="856"/>
      <c r="AW120" s="839">
        <v>0</v>
      </c>
      <c r="AX120" s="851">
        <v>0</v>
      </c>
      <c r="AY120" s="856"/>
      <c r="AZ120" s="845">
        <v>170.74332780983011</v>
      </c>
      <c r="BA120" s="845">
        <v>0</v>
      </c>
      <c r="BB120" s="846">
        <v>-170.74332780983011</v>
      </c>
      <c r="BD120" s="2">
        <v>3</v>
      </c>
      <c r="BF120" s="787">
        <v>1.1856361424034287</v>
      </c>
      <c r="BG120" s="325">
        <v>150000590</v>
      </c>
      <c r="BI120" s="847">
        <v>0</v>
      </c>
      <c r="BJ120" s="847">
        <v>0</v>
      </c>
      <c r="BK120" s="847">
        <v>0</v>
      </c>
      <c r="BL120" s="848"/>
      <c r="BM120" s="3"/>
      <c r="BN120" s="3"/>
      <c r="BP120" s="3"/>
      <c r="BQ120" s="3"/>
      <c r="BS120" s="42" t="s">
        <v>164</v>
      </c>
    </row>
    <row r="121" spans="1:71" ht="24.9" customHeight="1" x14ac:dyDescent="0.3">
      <c r="A121" s="325">
        <v>150000578</v>
      </c>
      <c r="B121" s="862" t="s">
        <v>84</v>
      </c>
      <c r="C121" s="863">
        <v>1</v>
      </c>
      <c r="D121" s="101" t="s">
        <v>455</v>
      </c>
      <c r="E121" s="279">
        <v>173.75</v>
      </c>
      <c r="F121" s="838">
        <v>414.86545717728092</v>
      </c>
      <c r="G121" s="838">
        <v>0</v>
      </c>
      <c r="H121" s="838">
        <v>-414.86545717728092</v>
      </c>
      <c r="I121" s="839">
        <v>0</v>
      </c>
      <c r="J121" s="851">
        <v>0</v>
      </c>
      <c r="K121" s="852"/>
      <c r="L121" s="839">
        <v>0</v>
      </c>
      <c r="M121" s="851">
        <v>0</v>
      </c>
      <c r="N121" s="853"/>
      <c r="O121" s="839">
        <v>0</v>
      </c>
      <c r="P121" s="851">
        <v>0</v>
      </c>
      <c r="Q121" s="854"/>
      <c r="R121" s="839">
        <v>0</v>
      </c>
      <c r="S121" s="851">
        <v>0</v>
      </c>
      <c r="T121" s="855"/>
      <c r="U121" s="839">
        <v>0</v>
      </c>
      <c r="V121" s="851">
        <v>0</v>
      </c>
      <c r="W121" s="839">
        <v>0</v>
      </c>
      <c r="X121" s="851">
        <v>0</v>
      </c>
      <c r="Y121" s="839">
        <v>0</v>
      </c>
      <c r="Z121" s="851">
        <v>0</v>
      </c>
      <c r="AA121" s="839">
        <v>0</v>
      </c>
      <c r="AB121" s="851">
        <v>0</v>
      </c>
      <c r="AC121" s="839">
        <v>0</v>
      </c>
      <c r="AD121" s="851">
        <v>0</v>
      </c>
      <c r="AE121" s="839">
        <v>0</v>
      </c>
      <c r="AF121" s="851">
        <v>0</v>
      </c>
      <c r="AG121" s="856"/>
      <c r="AH121" s="839">
        <v>0</v>
      </c>
      <c r="AI121" s="851">
        <v>0</v>
      </c>
      <c r="AJ121" s="856"/>
      <c r="AK121" s="839">
        <v>0</v>
      </c>
      <c r="AL121" s="851">
        <v>0</v>
      </c>
      <c r="AM121" s="856"/>
      <c r="AN121" s="839">
        <v>0</v>
      </c>
      <c r="AO121" s="851">
        <v>0</v>
      </c>
      <c r="AP121" s="856"/>
      <c r="AQ121" s="839">
        <v>0</v>
      </c>
      <c r="AR121" s="851">
        <v>0</v>
      </c>
      <c r="AS121" s="856"/>
      <c r="AT121" s="839">
        <v>0</v>
      </c>
      <c r="AU121" s="851">
        <v>0</v>
      </c>
      <c r="AV121" s="856"/>
      <c r="AW121" s="839">
        <v>0</v>
      </c>
      <c r="AX121" s="851">
        <v>0</v>
      </c>
      <c r="AY121" s="856"/>
      <c r="AZ121" s="845">
        <v>0</v>
      </c>
      <c r="BA121" s="845">
        <v>0</v>
      </c>
      <c r="BB121" s="846">
        <v>0</v>
      </c>
      <c r="BD121" s="2">
        <v>3</v>
      </c>
      <c r="BF121" s="787">
        <v>0</v>
      </c>
      <c r="BG121" s="325">
        <v>150000578</v>
      </c>
      <c r="BI121" s="847">
        <v>0</v>
      </c>
      <c r="BJ121" s="847">
        <v>0</v>
      </c>
      <c r="BK121" s="847">
        <v>0</v>
      </c>
      <c r="BL121" s="848"/>
      <c r="BM121" s="3"/>
      <c r="BN121" s="3"/>
      <c r="BP121" s="3"/>
      <c r="BQ121" s="3"/>
      <c r="BS121" s="42" t="s">
        <v>84</v>
      </c>
    </row>
    <row r="122" spans="1:71" ht="24.9" customHeight="1" x14ac:dyDescent="0.3">
      <c r="A122" s="325">
        <v>150000580</v>
      </c>
      <c r="B122" s="862" t="s">
        <v>85</v>
      </c>
      <c r="C122" s="863">
        <v>1</v>
      </c>
      <c r="D122" s="101" t="s">
        <v>455</v>
      </c>
      <c r="E122" s="279">
        <v>188.4</v>
      </c>
      <c r="F122" s="838">
        <v>350.11210501028825</v>
      </c>
      <c r="G122" s="838">
        <v>0</v>
      </c>
      <c r="H122" s="838">
        <v>-350.11210501028825</v>
      </c>
      <c r="I122" s="839">
        <v>0</v>
      </c>
      <c r="J122" s="851">
        <v>0</v>
      </c>
      <c r="K122" s="852"/>
      <c r="L122" s="839">
        <v>0</v>
      </c>
      <c r="M122" s="851">
        <v>0</v>
      </c>
      <c r="N122" s="853"/>
      <c r="O122" s="839">
        <v>0</v>
      </c>
      <c r="P122" s="851">
        <v>0</v>
      </c>
      <c r="Q122" s="854"/>
      <c r="R122" s="839">
        <v>0</v>
      </c>
      <c r="S122" s="851">
        <v>0</v>
      </c>
      <c r="T122" s="855"/>
      <c r="U122" s="839">
        <v>0</v>
      </c>
      <c r="V122" s="851">
        <v>0</v>
      </c>
      <c r="W122" s="839">
        <v>0</v>
      </c>
      <c r="X122" s="851">
        <v>0</v>
      </c>
      <c r="Y122" s="839">
        <v>0</v>
      </c>
      <c r="Z122" s="851">
        <v>0</v>
      </c>
      <c r="AA122" s="839">
        <v>0</v>
      </c>
      <c r="AB122" s="851">
        <v>0</v>
      </c>
      <c r="AC122" s="839">
        <v>0</v>
      </c>
      <c r="AD122" s="851">
        <v>0</v>
      </c>
      <c r="AE122" s="839">
        <v>0</v>
      </c>
      <c r="AF122" s="851">
        <v>0</v>
      </c>
      <c r="AG122" s="856"/>
      <c r="AH122" s="839">
        <v>0</v>
      </c>
      <c r="AI122" s="851">
        <v>0</v>
      </c>
      <c r="AJ122" s="856"/>
      <c r="AK122" s="839">
        <v>0</v>
      </c>
      <c r="AL122" s="851">
        <v>0</v>
      </c>
      <c r="AM122" s="856"/>
      <c r="AN122" s="839">
        <v>0</v>
      </c>
      <c r="AO122" s="851">
        <v>0</v>
      </c>
      <c r="AP122" s="856"/>
      <c r="AQ122" s="839">
        <v>0</v>
      </c>
      <c r="AR122" s="851">
        <v>0</v>
      </c>
      <c r="AS122" s="856"/>
      <c r="AT122" s="839">
        <v>0</v>
      </c>
      <c r="AU122" s="851">
        <v>0</v>
      </c>
      <c r="AV122" s="856"/>
      <c r="AW122" s="839">
        <v>0</v>
      </c>
      <c r="AX122" s="851">
        <v>0</v>
      </c>
      <c r="AY122" s="856"/>
      <c r="AZ122" s="845">
        <v>0</v>
      </c>
      <c r="BA122" s="845">
        <v>0</v>
      </c>
      <c r="BB122" s="846">
        <v>0</v>
      </c>
      <c r="BD122" s="2">
        <v>3</v>
      </c>
      <c r="BF122" s="787">
        <v>0</v>
      </c>
      <c r="BG122" s="325">
        <v>150000580</v>
      </c>
      <c r="BI122" s="847">
        <v>0</v>
      </c>
      <c r="BJ122" s="847">
        <v>0</v>
      </c>
      <c r="BK122" s="847">
        <v>0</v>
      </c>
      <c r="BL122" s="848"/>
      <c r="BM122" s="3"/>
      <c r="BN122" s="3"/>
      <c r="BP122" s="3"/>
      <c r="BQ122" s="3"/>
      <c r="BS122" s="42" t="s">
        <v>85</v>
      </c>
    </row>
    <row r="123" spans="1:71" ht="24.9" customHeight="1" x14ac:dyDescent="0.3">
      <c r="A123" s="325">
        <v>150001054</v>
      </c>
      <c r="B123" s="862" t="s">
        <v>86</v>
      </c>
      <c r="C123" s="863">
        <v>1</v>
      </c>
      <c r="D123" s="101" t="s">
        <v>455</v>
      </c>
      <c r="E123" s="279">
        <v>195.6</v>
      </c>
      <c r="F123" s="838">
        <v>378.03119724461283</v>
      </c>
      <c r="G123" s="838">
        <v>0</v>
      </c>
      <c r="H123" s="838">
        <v>-378.03119724461283</v>
      </c>
      <c r="I123" s="839">
        <v>0</v>
      </c>
      <c r="J123" s="851">
        <v>0</v>
      </c>
      <c r="K123" s="852"/>
      <c r="L123" s="839">
        <v>0</v>
      </c>
      <c r="M123" s="851">
        <v>0</v>
      </c>
      <c r="N123" s="853"/>
      <c r="O123" s="839">
        <v>0</v>
      </c>
      <c r="P123" s="851">
        <v>0</v>
      </c>
      <c r="Q123" s="854"/>
      <c r="R123" s="839">
        <v>0</v>
      </c>
      <c r="S123" s="851">
        <v>0</v>
      </c>
      <c r="T123" s="855"/>
      <c r="U123" s="839">
        <v>0</v>
      </c>
      <c r="V123" s="851">
        <v>0</v>
      </c>
      <c r="W123" s="839">
        <v>0</v>
      </c>
      <c r="X123" s="851">
        <v>0</v>
      </c>
      <c r="Y123" s="839">
        <v>0</v>
      </c>
      <c r="Z123" s="851">
        <v>0</v>
      </c>
      <c r="AA123" s="839">
        <v>0</v>
      </c>
      <c r="AB123" s="851">
        <v>0</v>
      </c>
      <c r="AC123" s="839">
        <v>0</v>
      </c>
      <c r="AD123" s="851">
        <v>0</v>
      </c>
      <c r="AE123" s="839">
        <v>0</v>
      </c>
      <c r="AF123" s="851">
        <v>0</v>
      </c>
      <c r="AG123" s="856"/>
      <c r="AH123" s="839">
        <v>0</v>
      </c>
      <c r="AI123" s="851">
        <v>0</v>
      </c>
      <c r="AJ123" s="856"/>
      <c r="AK123" s="839">
        <v>0</v>
      </c>
      <c r="AL123" s="851">
        <v>0</v>
      </c>
      <c r="AM123" s="856"/>
      <c r="AN123" s="839">
        <v>0</v>
      </c>
      <c r="AO123" s="851">
        <v>0</v>
      </c>
      <c r="AP123" s="856"/>
      <c r="AQ123" s="839">
        <v>0</v>
      </c>
      <c r="AR123" s="851">
        <v>0</v>
      </c>
      <c r="AS123" s="856"/>
      <c r="AT123" s="839">
        <v>0</v>
      </c>
      <c r="AU123" s="851">
        <v>0</v>
      </c>
      <c r="AV123" s="856"/>
      <c r="AW123" s="839">
        <v>0</v>
      </c>
      <c r="AX123" s="851">
        <v>0</v>
      </c>
      <c r="AY123" s="856"/>
      <c r="AZ123" s="845">
        <v>0</v>
      </c>
      <c r="BA123" s="845">
        <v>0</v>
      </c>
      <c r="BB123" s="846">
        <v>0</v>
      </c>
      <c r="BD123" s="2">
        <v>3</v>
      </c>
      <c r="BF123" s="787">
        <v>0</v>
      </c>
      <c r="BG123" s="325">
        <v>150001054</v>
      </c>
      <c r="BI123" s="847">
        <v>0</v>
      </c>
      <c r="BJ123" s="847">
        <v>0</v>
      </c>
      <c r="BK123" s="847">
        <v>0</v>
      </c>
      <c r="BL123" s="848"/>
      <c r="BM123" s="3"/>
      <c r="BN123" s="3"/>
      <c r="BP123" s="3"/>
      <c r="BQ123" s="3"/>
      <c r="BS123" s="42" t="s">
        <v>86</v>
      </c>
    </row>
    <row r="124" spans="1:71" ht="24.9" customHeight="1" x14ac:dyDescent="0.3">
      <c r="A124" s="325">
        <v>150000634</v>
      </c>
      <c r="B124" s="862" t="s">
        <v>87</v>
      </c>
      <c r="C124" s="863">
        <v>1</v>
      </c>
      <c r="D124" s="101" t="s">
        <v>455</v>
      </c>
      <c r="E124" s="279">
        <v>196.35</v>
      </c>
      <c r="F124" s="838">
        <v>461.54235661714711</v>
      </c>
      <c r="G124" s="838">
        <v>0</v>
      </c>
      <c r="H124" s="838">
        <v>-461.54235661714711</v>
      </c>
      <c r="I124" s="839">
        <v>0</v>
      </c>
      <c r="J124" s="851">
        <v>0</v>
      </c>
      <c r="K124" s="852"/>
      <c r="L124" s="839">
        <v>0</v>
      </c>
      <c r="M124" s="851">
        <v>0</v>
      </c>
      <c r="N124" s="853"/>
      <c r="O124" s="839">
        <v>0</v>
      </c>
      <c r="P124" s="851">
        <v>0</v>
      </c>
      <c r="Q124" s="854"/>
      <c r="R124" s="839">
        <v>0</v>
      </c>
      <c r="S124" s="851">
        <v>0</v>
      </c>
      <c r="T124" s="855"/>
      <c r="U124" s="839">
        <v>0</v>
      </c>
      <c r="V124" s="851">
        <v>0</v>
      </c>
      <c r="W124" s="839">
        <v>0</v>
      </c>
      <c r="X124" s="851">
        <v>0</v>
      </c>
      <c r="Y124" s="839">
        <v>0</v>
      </c>
      <c r="Z124" s="851">
        <v>0</v>
      </c>
      <c r="AA124" s="839">
        <v>0</v>
      </c>
      <c r="AB124" s="851">
        <v>0</v>
      </c>
      <c r="AC124" s="839">
        <v>0</v>
      </c>
      <c r="AD124" s="851">
        <v>0</v>
      </c>
      <c r="AE124" s="839">
        <v>0</v>
      </c>
      <c r="AF124" s="851">
        <v>0</v>
      </c>
      <c r="AG124" s="856"/>
      <c r="AH124" s="839">
        <v>0</v>
      </c>
      <c r="AI124" s="851">
        <v>0</v>
      </c>
      <c r="AJ124" s="856"/>
      <c r="AK124" s="839">
        <v>0</v>
      </c>
      <c r="AL124" s="851">
        <v>0</v>
      </c>
      <c r="AM124" s="856"/>
      <c r="AN124" s="839">
        <v>0</v>
      </c>
      <c r="AO124" s="851">
        <v>0</v>
      </c>
      <c r="AP124" s="856"/>
      <c r="AQ124" s="839">
        <v>0</v>
      </c>
      <c r="AR124" s="851">
        <v>0</v>
      </c>
      <c r="AS124" s="856"/>
      <c r="AT124" s="839">
        <v>0</v>
      </c>
      <c r="AU124" s="851">
        <v>0</v>
      </c>
      <c r="AV124" s="856"/>
      <c r="AW124" s="839">
        <v>0</v>
      </c>
      <c r="AX124" s="851">
        <v>0</v>
      </c>
      <c r="AY124" s="856"/>
      <c r="AZ124" s="845">
        <v>0</v>
      </c>
      <c r="BA124" s="845">
        <v>0</v>
      </c>
      <c r="BB124" s="846">
        <v>0</v>
      </c>
      <c r="BD124" s="2">
        <v>3</v>
      </c>
      <c r="BF124" s="787">
        <v>0</v>
      </c>
      <c r="BG124" s="325">
        <v>150000634</v>
      </c>
      <c r="BI124" s="847">
        <v>0</v>
      </c>
      <c r="BJ124" s="847">
        <v>0</v>
      </c>
      <c r="BK124" s="847">
        <v>0</v>
      </c>
      <c r="BL124" s="848"/>
      <c r="BM124" s="3"/>
      <c r="BN124" s="3"/>
      <c r="BP124" s="3"/>
      <c r="BQ124" s="3"/>
      <c r="BS124" s="42" t="s">
        <v>87</v>
      </c>
    </row>
    <row r="125" spans="1:71" ht="24.9" customHeight="1" x14ac:dyDescent="0.3">
      <c r="A125" s="325">
        <v>150000636</v>
      </c>
      <c r="B125" s="849" t="s">
        <v>259</v>
      </c>
      <c r="C125" s="850">
        <v>5</v>
      </c>
      <c r="D125" s="101" t="s">
        <v>455</v>
      </c>
      <c r="E125" s="279">
        <v>3175.8</v>
      </c>
      <c r="F125" s="838">
        <v>6739.0552952929311</v>
      </c>
      <c r="G125" s="838">
        <v>418</v>
      </c>
      <c r="H125" s="838">
        <v>-6321.0552952929311</v>
      </c>
      <c r="I125" s="839">
        <v>0</v>
      </c>
      <c r="J125" s="851">
        <v>0</v>
      </c>
      <c r="K125" s="852"/>
      <c r="L125" s="839">
        <v>0</v>
      </c>
      <c r="M125" s="851">
        <v>0</v>
      </c>
      <c r="N125" s="868"/>
      <c r="O125" s="839">
        <v>0</v>
      </c>
      <c r="P125" s="851">
        <v>0</v>
      </c>
      <c r="Q125" s="854"/>
      <c r="R125" s="839">
        <v>0</v>
      </c>
      <c r="S125" s="851">
        <v>0</v>
      </c>
      <c r="T125" s="855"/>
      <c r="U125" s="839">
        <v>0</v>
      </c>
      <c r="V125" s="851">
        <v>0</v>
      </c>
      <c r="W125" s="839">
        <v>6</v>
      </c>
      <c r="X125" s="851">
        <v>418</v>
      </c>
      <c r="Y125" s="839">
        <v>0</v>
      </c>
      <c r="Z125" s="851">
        <v>0</v>
      </c>
      <c r="AA125" s="839">
        <v>0</v>
      </c>
      <c r="AB125" s="851">
        <v>0</v>
      </c>
      <c r="AC125" s="839">
        <v>0</v>
      </c>
      <c r="AD125" s="851">
        <v>0</v>
      </c>
      <c r="AE125" s="839">
        <v>293.41770088640146</v>
      </c>
      <c r="AF125" s="851">
        <v>442</v>
      </c>
      <c r="AG125" s="856"/>
      <c r="AH125" s="839">
        <v>479.78182875221421</v>
      </c>
      <c r="AI125" s="851">
        <v>0</v>
      </c>
      <c r="AJ125" s="856"/>
      <c r="AK125" s="839">
        <v>298.87887909621088</v>
      </c>
      <c r="AL125" s="851">
        <v>0</v>
      </c>
      <c r="AM125" s="861"/>
      <c r="AN125" s="839">
        <v>0</v>
      </c>
      <c r="AO125" s="851">
        <v>0</v>
      </c>
      <c r="AP125" s="856"/>
      <c r="AQ125" s="839">
        <v>119.94714023874553</v>
      </c>
      <c r="AR125" s="851">
        <v>0</v>
      </c>
      <c r="AS125" s="856"/>
      <c r="AT125" s="839">
        <v>216.37577436144372</v>
      </c>
      <c r="AU125" s="851">
        <v>0</v>
      </c>
      <c r="AV125" s="879"/>
      <c r="AW125" s="839">
        <v>0</v>
      </c>
      <c r="AX125" s="851">
        <v>0</v>
      </c>
      <c r="AY125" s="856"/>
      <c r="AZ125" s="845">
        <v>1408.4013233350158</v>
      </c>
      <c r="BA125" s="845">
        <v>442</v>
      </c>
      <c r="BB125" s="846">
        <v>-966.40132333501583</v>
      </c>
      <c r="BD125" s="2">
        <v>3</v>
      </c>
      <c r="BF125" s="787">
        <v>10.07574977779111</v>
      </c>
      <c r="BG125" s="325">
        <v>150000636</v>
      </c>
      <c r="BI125" s="847">
        <v>0</v>
      </c>
      <c r="BJ125" s="847">
        <v>0</v>
      </c>
      <c r="BK125" s="847">
        <v>0</v>
      </c>
      <c r="BL125" s="848"/>
      <c r="BM125" s="3"/>
      <c r="BN125" s="3"/>
      <c r="BP125" s="3"/>
      <c r="BQ125" s="3"/>
      <c r="BS125" s="42" t="s">
        <v>259</v>
      </c>
    </row>
    <row r="126" spans="1:71" ht="24.9" customHeight="1" x14ac:dyDescent="0.3">
      <c r="A126" s="325">
        <v>150000555</v>
      </c>
      <c r="B126" s="862" t="s">
        <v>89</v>
      </c>
      <c r="C126" s="863">
        <v>1</v>
      </c>
      <c r="D126" s="101" t="s">
        <v>455</v>
      </c>
      <c r="E126" s="279">
        <v>175.5</v>
      </c>
      <c r="F126" s="838">
        <v>447.81715310525465</v>
      </c>
      <c r="G126" s="838">
        <v>0</v>
      </c>
      <c r="H126" s="838">
        <v>-447.81715310525465</v>
      </c>
      <c r="I126" s="839">
        <v>0</v>
      </c>
      <c r="J126" s="851">
        <v>0</v>
      </c>
      <c r="K126" s="852"/>
      <c r="L126" s="839">
        <v>0</v>
      </c>
      <c r="M126" s="851">
        <v>0</v>
      </c>
      <c r="N126" s="853"/>
      <c r="O126" s="839">
        <v>0</v>
      </c>
      <c r="P126" s="851">
        <v>0</v>
      </c>
      <c r="Q126" s="854"/>
      <c r="R126" s="839">
        <v>0</v>
      </c>
      <c r="S126" s="851">
        <v>0</v>
      </c>
      <c r="T126" s="855"/>
      <c r="U126" s="839">
        <v>0</v>
      </c>
      <c r="V126" s="851">
        <v>0</v>
      </c>
      <c r="W126" s="839">
        <v>0</v>
      </c>
      <c r="X126" s="851">
        <v>0</v>
      </c>
      <c r="Y126" s="839">
        <v>0</v>
      </c>
      <c r="Z126" s="851">
        <v>0</v>
      </c>
      <c r="AA126" s="839">
        <v>0</v>
      </c>
      <c r="AB126" s="851">
        <v>0</v>
      </c>
      <c r="AC126" s="839">
        <v>0</v>
      </c>
      <c r="AD126" s="851">
        <v>0</v>
      </c>
      <c r="AE126" s="839">
        <v>0</v>
      </c>
      <c r="AF126" s="851">
        <v>0</v>
      </c>
      <c r="AG126" s="856"/>
      <c r="AH126" s="839">
        <v>0</v>
      </c>
      <c r="AI126" s="851">
        <v>0</v>
      </c>
      <c r="AJ126" s="856"/>
      <c r="AK126" s="839">
        <v>0</v>
      </c>
      <c r="AL126" s="851">
        <v>0</v>
      </c>
      <c r="AM126" s="856"/>
      <c r="AN126" s="839">
        <v>0</v>
      </c>
      <c r="AO126" s="851">
        <v>0</v>
      </c>
      <c r="AP126" s="856"/>
      <c r="AQ126" s="839">
        <v>0</v>
      </c>
      <c r="AR126" s="851">
        <v>0</v>
      </c>
      <c r="AS126" s="856"/>
      <c r="AT126" s="839">
        <v>0</v>
      </c>
      <c r="AU126" s="851">
        <v>0</v>
      </c>
      <c r="AV126" s="856"/>
      <c r="AW126" s="839">
        <v>0</v>
      </c>
      <c r="AX126" s="851">
        <v>0</v>
      </c>
      <c r="AY126" s="856"/>
      <c r="AZ126" s="845">
        <v>0</v>
      </c>
      <c r="BA126" s="845">
        <v>0</v>
      </c>
      <c r="BB126" s="846">
        <v>0</v>
      </c>
      <c r="BD126" s="2">
        <v>3</v>
      </c>
      <c r="BF126" s="787">
        <v>0</v>
      </c>
      <c r="BG126" s="325">
        <v>150000555</v>
      </c>
      <c r="BI126" s="847">
        <v>0</v>
      </c>
      <c r="BJ126" s="847">
        <v>0</v>
      </c>
      <c r="BK126" s="847">
        <v>0</v>
      </c>
      <c r="BL126" s="848"/>
      <c r="BM126" s="3"/>
      <c r="BN126" s="3"/>
      <c r="BP126" s="3"/>
      <c r="BQ126" s="3"/>
      <c r="BS126" s="42" t="s">
        <v>89</v>
      </c>
    </row>
    <row r="127" spans="1:71" ht="24.9" customHeight="1" x14ac:dyDescent="0.3">
      <c r="A127" s="325">
        <v>150000556</v>
      </c>
      <c r="B127" s="862" t="s">
        <v>90</v>
      </c>
      <c r="C127" s="863">
        <v>1</v>
      </c>
      <c r="D127" s="101" t="s">
        <v>455</v>
      </c>
      <c r="E127" s="279">
        <v>181.9</v>
      </c>
      <c r="F127" s="838">
        <v>425.94940385534807</v>
      </c>
      <c r="G127" s="838">
        <v>0</v>
      </c>
      <c r="H127" s="838">
        <v>-425.94940385534807</v>
      </c>
      <c r="I127" s="839">
        <v>0</v>
      </c>
      <c r="J127" s="851">
        <v>0</v>
      </c>
      <c r="K127" s="852"/>
      <c r="L127" s="839">
        <v>0</v>
      </c>
      <c r="M127" s="851">
        <v>0</v>
      </c>
      <c r="N127" s="853"/>
      <c r="O127" s="839">
        <v>0</v>
      </c>
      <c r="P127" s="851">
        <v>0</v>
      </c>
      <c r="Q127" s="854"/>
      <c r="R127" s="839">
        <v>0</v>
      </c>
      <c r="S127" s="851">
        <v>0</v>
      </c>
      <c r="T127" s="855"/>
      <c r="U127" s="839">
        <v>0</v>
      </c>
      <c r="V127" s="851">
        <v>0</v>
      </c>
      <c r="W127" s="839">
        <v>0</v>
      </c>
      <c r="X127" s="851">
        <v>0</v>
      </c>
      <c r="Y127" s="839">
        <v>0</v>
      </c>
      <c r="Z127" s="851">
        <v>0</v>
      </c>
      <c r="AA127" s="839">
        <v>0</v>
      </c>
      <c r="AB127" s="851">
        <v>0</v>
      </c>
      <c r="AC127" s="839">
        <v>0</v>
      </c>
      <c r="AD127" s="851">
        <v>0</v>
      </c>
      <c r="AE127" s="839">
        <v>0</v>
      </c>
      <c r="AF127" s="851">
        <v>0</v>
      </c>
      <c r="AG127" s="856"/>
      <c r="AH127" s="839">
        <v>0</v>
      </c>
      <c r="AI127" s="851">
        <v>0</v>
      </c>
      <c r="AJ127" s="856"/>
      <c r="AK127" s="839">
        <v>0</v>
      </c>
      <c r="AL127" s="851">
        <v>0</v>
      </c>
      <c r="AM127" s="856"/>
      <c r="AN127" s="839">
        <v>0</v>
      </c>
      <c r="AO127" s="851">
        <v>0</v>
      </c>
      <c r="AP127" s="856"/>
      <c r="AQ127" s="839">
        <v>0</v>
      </c>
      <c r="AR127" s="851">
        <v>0</v>
      </c>
      <c r="AS127" s="856"/>
      <c r="AT127" s="839">
        <v>0</v>
      </c>
      <c r="AU127" s="851">
        <v>0</v>
      </c>
      <c r="AV127" s="856"/>
      <c r="AW127" s="839">
        <v>0</v>
      </c>
      <c r="AX127" s="851">
        <v>0</v>
      </c>
      <c r="AY127" s="856"/>
      <c r="AZ127" s="845">
        <v>0</v>
      </c>
      <c r="BA127" s="845">
        <v>0</v>
      </c>
      <c r="BB127" s="846">
        <v>0</v>
      </c>
      <c r="BD127" s="2">
        <v>3</v>
      </c>
      <c r="BF127" s="787">
        <v>0</v>
      </c>
      <c r="BG127" s="325">
        <v>150000556</v>
      </c>
      <c r="BI127" s="847">
        <v>0</v>
      </c>
      <c r="BJ127" s="847">
        <v>0</v>
      </c>
      <c r="BK127" s="847">
        <v>0</v>
      </c>
      <c r="BL127" s="848"/>
      <c r="BM127" s="3"/>
      <c r="BN127" s="3"/>
      <c r="BP127" s="3"/>
      <c r="BQ127" s="3"/>
      <c r="BS127" s="42" t="s">
        <v>90</v>
      </c>
    </row>
    <row r="128" spans="1:71" ht="24.9" customHeight="1" x14ac:dyDescent="0.3">
      <c r="A128" s="325">
        <v>150000557</v>
      </c>
      <c r="B128" s="862" t="s">
        <v>91</v>
      </c>
      <c r="C128" s="863">
        <v>1</v>
      </c>
      <c r="D128" s="101" t="s">
        <v>455</v>
      </c>
      <c r="E128" s="279">
        <v>110.2</v>
      </c>
      <c r="F128" s="838">
        <v>276.90006966302394</v>
      </c>
      <c r="G128" s="838">
        <v>0</v>
      </c>
      <c r="H128" s="838">
        <v>-276.90006966302394</v>
      </c>
      <c r="I128" s="839">
        <v>0</v>
      </c>
      <c r="J128" s="851">
        <v>0</v>
      </c>
      <c r="K128" s="852"/>
      <c r="L128" s="839">
        <v>0</v>
      </c>
      <c r="M128" s="851">
        <v>0</v>
      </c>
      <c r="N128" s="853"/>
      <c r="O128" s="839">
        <v>0</v>
      </c>
      <c r="P128" s="851">
        <v>0</v>
      </c>
      <c r="Q128" s="854"/>
      <c r="R128" s="839">
        <v>0</v>
      </c>
      <c r="S128" s="851">
        <v>0</v>
      </c>
      <c r="T128" s="855"/>
      <c r="U128" s="839">
        <v>0</v>
      </c>
      <c r="V128" s="851">
        <v>0</v>
      </c>
      <c r="W128" s="839">
        <v>0</v>
      </c>
      <c r="X128" s="851">
        <v>0</v>
      </c>
      <c r="Y128" s="839">
        <v>0</v>
      </c>
      <c r="Z128" s="851">
        <v>0</v>
      </c>
      <c r="AA128" s="839">
        <v>0</v>
      </c>
      <c r="AB128" s="851">
        <v>0</v>
      </c>
      <c r="AC128" s="839">
        <v>0</v>
      </c>
      <c r="AD128" s="851">
        <v>0</v>
      </c>
      <c r="AE128" s="839">
        <v>0</v>
      </c>
      <c r="AF128" s="851">
        <v>0</v>
      </c>
      <c r="AG128" s="856"/>
      <c r="AH128" s="839">
        <v>0</v>
      </c>
      <c r="AI128" s="851">
        <v>0</v>
      </c>
      <c r="AJ128" s="856"/>
      <c r="AK128" s="839">
        <v>0</v>
      </c>
      <c r="AL128" s="851">
        <v>0</v>
      </c>
      <c r="AM128" s="856"/>
      <c r="AN128" s="839">
        <v>0</v>
      </c>
      <c r="AO128" s="851">
        <v>0</v>
      </c>
      <c r="AP128" s="856"/>
      <c r="AQ128" s="839">
        <v>0</v>
      </c>
      <c r="AR128" s="851">
        <v>0</v>
      </c>
      <c r="AS128" s="856"/>
      <c r="AT128" s="839">
        <v>0</v>
      </c>
      <c r="AU128" s="851">
        <v>0</v>
      </c>
      <c r="AV128" s="856"/>
      <c r="AW128" s="839">
        <v>0</v>
      </c>
      <c r="AX128" s="851">
        <v>0</v>
      </c>
      <c r="AY128" s="856"/>
      <c r="AZ128" s="845">
        <v>0</v>
      </c>
      <c r="BA128" s="845">
        <v>0</v>
      </c>
      <c r="BB128" s="846">
        <v>0</v>
      </c>
      <c r="BD128" s="2">
        <v>3</v>
      </c>
      <c r="BF128" s="787">
        <v>0</v>
      </c>
      <c r="BG128" s="325">
        <v>150000557</v>
      </c>
      <c r="BI128" s="847">
        <v>0</v>
      </c>
      <c r="BJ128" s="847">
        <v>0</v>
      </c>
      <c r="BK128" s="847">
        <v>0</v>
      </c>
      <c r="BL128" s="848"/>
      <c r="BM128" s="3"/>
      <c r="BN128" s="3"/>
      <c r="BP128" s="3"/>
      <c r="BQ128" s="3"/>
      <c r="BS128" s="42" t="s">
        <v>91</v>
      </c>
    </row>
    <row r="129" spans="1:71" ht="24.9" customHeight="1" x14ac:dyDescent="0.3">
      <c r="A129" s="325">
        <v>150000552</v>
      </c>
      <c r="B129" s="862" t="s">
        <v>92</v>
      </c>
      <c r="C129" s="863">
        <v>1</v>
      </c>
      <c r="D129" s="101" t="s">
        <v>455</v>
      </c>
      <c r="E129" s="279">
        <v>100.2</v>
      </c>
      <c r="F129" s="838">
        <v>263.16086733937976</v>
      </c>
      <c r="G129" s="838">
        <v>0</v>
      </c>
      <c r="H129" s="838">
        <v>-263.16086733937976</v>
      </c>
      <c r="I129" s="839">
        <v>0</v>
      </c>
      <c r="J129" s="851">
        <v>0</v>
      </c>
      <c r="K129" s="852"/>
      <c r="L129" s="839">
        <v>0</v>
      </c>
      <c r="M129" s="851">
        <v>0</v>
      </c>
      <c r="N129" s="853"/>
      <c r="O129" s="839">
        <v>0</v>
      </c>
      <c r="P129" s="851">
        <v>0</v>
      </c>
      <c r="Q129" s="854"/>
      <c r="R129" s="839">
        <v>0</v>
      </c>
      <c r="S129" s="851">
        <v>0</v>
      </c>
      <c r="T129" s="855"/>
      <c r="U129" s="839">
        <v>0</v>
      </c>
      <c r="V129" s="851">
        <v>0</v>
      </c>
      <c r="W129" s="839">
        <v>0</v>
      </c>
      <c r="X129" s="851">
        <v>0</v>
      </c>
      <c r="Y129" s="839">
        <v>0</v>
      </c>
      <c r="Z129" s="851">
        <v>0</v>
      </c>
      <c r="AA129" s="839">
        <v>0</v>
      </c>
      <c r="AB129" s="851">
        <v>0</v>
      </c>
      <c r="AC129" s="839">
        <v>0</v>
      </c>
      <c r="AD129" s="851">
        <v>0</v>
      </c>
      <c r="AE129" s="839">
        <v>0</v>
      </c>
      <c r="AF129" s="851">
        <v>0</v>
      </c>
      <c r="AG129" s="856"/>
      <c r="AH129" s="839">
        <v>0</v>
      </c>
      <c r="AI129" s="851">
        <v>0</v>
      </c>
      <c r="AJ129" s="856"/>
      <c r="AK129" s="839">
        <v>0</v>
      </c>
      <c r="AL129" s="851">
        <v>0</v>
      </c>
      <c r="AM129" s="856"/>
      <c r="AN129" s="839">
        <v>0</v>
      </c>
      <c r="AO129" s="851">
        <v>0</v>
      </c>
      <c r="AP129" s="856"/>
      <c r="AQ129" s="839">
        <v>0</v>
      </c>
      <c r="AR129" s="851">
        <v>0</v>
      </c>
      <c r="AS129" s="856"/>
      <c r="AT129" s="839">
        <v>0</v>
      </c>
      <c r="AU129" s="851">
        <v>0</v>
      </c>
      <c r="AV129" s="856"/>
      <c r="AW129" s="839">
        <v>0</v>
      </c>
      <c r="AX129" s="851">
        <v>0</v>
      </c>
      <c r="AY129" s="856"/>
      <c r="AZ129" s="845">
        <v>0</v>
      </c>
      <c r="BA129" s="845">
        <v>0</v>
      </c>
      <c r="BB129" s="846">
        <v>0</v>
      </c>
      <c r="BD129" s="2">
        <v>3</v>
      </c>
      <c r="BF129" s="787">
        <v>0</v>
      </c>
      <c r="BG129" s="325">
        <v>150000552</v>
      </c>
      <c r="BI129" s="847">
        <v>0</v>
      </c>
      <c r="BJ129" s="847">
        <v>0</v>
      </c>
      <c r="BK129" s="847">
        <v>0</v>
      </c>
      <c r="BL129" s="848"/>
      <c r="BM129" s="3"/>
      <c r="BN129" s="3"/>
      <c r="BP129" s="3"/>
      <c r="BQ129" s="3"/>
      <c r="BS129" s="42" t="s">
        <v>92</v>
      </c>
    </row>
    <row r="130" spans="1:71" ht="24.9" customHeight="1" x14ac:dyDescent="0.3">
      <c r="A130" s="325">
        <v>150000553</v>
      </c>
      <c r="B130" s="849" t="s">
        <v>260</v>
      </c>
      <c r="C130" s="850">
        <v>5</v>
      </c>
      <c r="D130" s="101" t="s">
        <v>455</v>
      </c>
      <c r="E130" s="279">
        <v>3380.05</v>
      </c>
      <c r="F130" s="838">
        <v>7027.2795505622944</v>
      </c>
      <c r="G130" s="838">
        <v>300.47121681213304</v>
      </c>
      <c r="H130" s="838">
        <v>-6726.8083337501612</v>
      </c>
      <c r="I130" s="839">
        <v>0</v>
      </c>
      <c r="J130" s="851">
        <v>0</v>
      </c>
      <c r="K130" s="852"/>
      <c r="L130" s="839">
        <v>0</v>
      </c>
      <c r="M130" s="851">
        <v>0</v>
      </c>
      <c r="N130" s="853"/>
      <c r="O130" s="839">
        <v>0</v>
      </c>
      <c r="P130" s="851">
        <v>0</v>
      </c>
      <c r="Q130" s="854"/>
      <c r="R130" s="839">
        <v>0</v>
      </c>
      <c r="S130" s="851">
        <v>0</v>
      </c>
      <c r="T130" s="855"/>
      <c r="U130" s="839">
        <v>0</v>
      </c>
      <c r="V130" s="851">
        <v>0</v>
      </c>
      <c r="W130" s="839">
        <v>0</v>
      </c>
      <c r="X130" s="851">
        <v>38.471216812133022</v>
      </c>
      <c r="Y130" s="839">
        <v>0</v>
      </c>
      <c r="Z130" s="851">
        <v>0</v>
      </c>
      <c r="AA130" s="839">
        <v>0</v>
      </c>
      <c r="AB130" s="851">
        <v>0</v>
      </c>
      <c r="AC130" s="839">
        <v>262</v>
      </c>
      <c r="AD130" s="851">
        <v>0</v>
      </c>
      <c r="AE130" s="839">
        <v>310.69298550910793</v>
      </c>
      <c r="AF130" s="851">
        <v>0</v>
      </c>
      <c r="AG130" s="856"/>
      <c r="AH130" s="839">
        <v>490.31866771622811</v>
      </c>
      <c r="AI130" s="851">
        <v>0</v>
      </c>
      <c r="AJ130" s="857"/>
      <c r="AK130" s="839">
        <v>298.96762202027503</v>
      </c>
      <c r="AL130" s="851">
        <v>0</v>
      </c>
      <c r="AM130" s="857"/>
      <c r="AN130" s="839">
        <v>0</v>
      </c>
      <c r="AO130" s="851">
        <v>0</v>
      </c>
      <c r="AP130" s="856"/>
      <c r="AQ130" s="839">
        <v>0</v>
      </c>
      <c r="AR130" s="851">
        <v>0</v>
      </c>
      <c r="AS130" s="856"/>
      <c r="AT130" s="839">
        <v>259.81939144057162</v>
      </c>
      <c r="AU130" s="851">
        <v>0</v>
      </c>
      <c r="AV130" s="879"/>
      <c r="AW130" s="839">
        <v>0</v>
      </c>
      <c r="AX130" s="851">
        <v>0</v>
      </c>
      <c r="AY130" s="856"/>
      <c r="AZ130" s="845">
        <v>1359.7986666861825</v>
      </c>
      <c r="BA130" s="845">
        <v>0</v>
      </c>
      <c r="BB130" s="846">
        <v>-1359.7986666861825</v>
      </c>
      <c r="BD130" s="2">
        <v>3</v>
      </c>
      <c r="BF130" s="787">
        <v>11.032412518007607</v>
      </c>
      <c r="BG130" s="325">
        <v>150000553</v>
      </c>
      <c r="BI130" s="847">
        <v>17.5</v>
      </c>
      <c r="BJ130" s="847">
        <v>1.7173352736406005</v>
      </c>
      <c r="BK130" s="847">
        <v>19.2173352736406</v>
      </c>
      <c r="BL130" s="848"/>
      <c r="BM130" s="3"/>
      <c r="BN130" s="3"/>
      <c r="BP130" s="3"/>
      <c r="BQ130" s="3"/>
      <c r="BS130" s="42" t="s">
        <v>260</v>
      </c>
    </row>
    <row r="131" spans="1:71" ht="24.9" customHeight="1" x14ac:dyDescent="0.3">
      <c r="A131" s="325">
        <v>150000493</v>
      </c>
      <c r="B131" s="849" t="s">
        <v>418</v>
      </c>
      <c r="C131" s="850">
        <v>10</v>
      </c>
      <c r="D131" s="101" t="s">
        <v>455</v>
      </c>
      <c r="E131" s="279">
        <v>7111.44</v>
      </c>
      <c r="F131" s="838">
        <v>17451.15737203055</v>
      </c>
      <c r="G131" s="838">
        <v>551</v>
      </c>
      <c r="H131" s="838">
        <v>-16900.15737203055</v>
      </c>
      <c r="I131" s="839">
        <v>0</v>
      </c>
      <c r="J131" s="851">
        <v>0</v>
      </c>
      <c r="K131" s="852"/>
      <c r="L131" s="839">
        <v>0</v>
      </c>
      <c r="M131" s="851">
        <v>0</v>
      </c>
      <c r="N131" s="853"/>
      <c r="O131" s="839">
        <v>0</v>
      </c>
      <c r="P131" s="851">
        <v>0</v>
      </c>
      <c r="Q131" s="854"/>
      <c r="R131" s="839">
        <v>0</v>
      </c>
      <c r="S131" s="851">
        <v>0</v>
      </c>
      <c r="T131" s="855"/>
      <c r="U131" s="839">
        <v>0</v>
      </c>
      <c r="V131" s="851">
        <v>0</v>
      </c>
      <c r="W131" s="839">
        <v>0</v>
      </c>
      <c r="X131" s="851">
        <v>0</v>
      </c>
      <c r="Y131" s="839">
        <v>0</v>
      </c>
      <c r="Z131" s="851">
        <v>0</v>
      </c>
      <c r="AA131" s="839">
        <v>0</v>
      </c>
      <c r="AB131" s="851">
        <v>0</v>
      </c>
      <c r="AC131" s="839">
        <v>0</v>
      </c>
      <c r="AD131" s="851">
        <v>551</v>
      </c>
      <c r="AE131" s="839">
        <v>328.46265580426922</v>
      </c>
      <c r="AF131" s="851">
        <v>0</v>
      </c>
      <c r="AG131" s="856"/>
      <c r="AH131" s="839">
        <v>392.18005276187682</v>
      </c>
      <c r="AI131" s="851">
        <v>0</v>
      </c>
      <c r="AJ131" s="856"/>
      <c r="AK131" s="839">
        <v>372.00327676087647</v>
      </c>
      <c r="AL131" s="851">
        <v>0</v>
      </c>
      <c r="AM131" s="856"/>
      <c r="AN131" s="839">
        <v>189.47734017193309</v>
      </c>
      <c r="AO131" s="851">
        <v>0</v>
      </c>
      <c r="AP131" s="856"/>
      <c r="AQ131" s="839">
        <v>105.68402349220877</v>
      </c>
      <c r="AR131" s="851">
        <v>0</v>
      </c>
      <c r="AS131" s="856"/>
      <c r="AT131" s="839">
        <v>220.07829963175874</v>
      </c>
      <c r="AU131" s="851">
        <v>3591</v>
      </c>
      <c r="AV131" s="856"/>
      <c r="AW131" s="839">
        <v>79.769107936159529</v>
      </c>
      <c r="AX131" s="851">
        <v>0</v>
      </c>
      <c r="AY131" s="856"/>
      <c r="AZ131" s="845">
        <v>1687.6547565590827</v>
      </c>
      <c r="BA131" s="845">
        <v>3591</v>
      </c>
      <c r="BB131" s="846">
        <v>1903.3452434409173</v>
      </c>
      <c r="BD131" s="2">
        <v>1</v>
      </c>
      <c r="BF131" s="787">
        <v>216.91815108807208</v>
      </c>
      <c r="BG131" s="325">
        <v>150000493</v>
      </c>
      <c r="BI131" s="847">
        <v>0</v>
      </c>
      <c r="BJ131" s="847">
        <v>0</v>
      </c>
      <c r="BK131" s="847">
        <v>0</v>
      </c>
      <c r="BL131" s="848"/>
      <c r="BM131" s="3"/>
      <c r="BN131" s="3"/>
      <c r="BP131" s="3"/>
      <c r="BQ131" s="3"/>
      <c r="BS131" s="42" t="s">
        <v>418</v>
      </c>
    </row>
    <row r="132" spans="1:71" ht="24.9" customHeight="1" x14ac:dyDescent="0.3">
      <c r="A132" s="325">
        <v>150000494</v>
      </c>
      <c r="B132" s="849" t="s">
        <v>419</v>
      </c>
      <c r="C132" s="850">
        <v>10</v>
      </c>
      <c r="D132" s="101" t="s">
        <v>455</v>
      </c>
      <c r="E132" s="279">
        <v>9469.1</v>
      </c>
      <c r="F132" s="838">
        <v>21730.434584412214</v>
      </c>
      <c r="G132" s="838">
        <v>16460</v>
      </c>
      <c r="H132" s="838">
        <v>-5270.4345844122145</v>
      </c>
      <c r="I132" s="839">
        <v>0</v>
      </c>
      <c r="J132" s="851">
        <v>0</v>
      </c>
      <c r="K132" s="852"/>
      <c r="L132" s="839">
        <v>0</v>
      </c>
      <c r="M132" s="851">
        <v>0</v>
      </c>
      <c r="N132" s="858"/>
      <c r="O132" s="839">
        <v>0</v>
      </c>
      <c r="P132" s="851">
        <v>0</v>
      </c>
      <c r="Q132" s="854"/>
      <c r="R132" s="839">
        <v>0</v>
      </c>
      <c r="S132" s="851">
        <v>16130</v>
      </c>
      <c r="T132" s="870"/>
      <c r="U132" s="839">
        <v>0</v>
      </c>
      <c r="V132" s="851">
        <v>0</v>
      </c>
      <c r="W132" s="839">
        <v>0</v>
      </c>
      <c r="X132" s="851">
        <v>0</v>
      </c>
      <c r="Y132" s="839">
        <v>0</v>
      </c>
      <c r="Z132" s="851">
        <v>0</v>
      </c>
      <c r="AA132" s="839">
        <v>0</v>
      </c>
      <c r="AB132" s="851">
        <v>0</v>
      </c>
      <c r="AC132" s="839">
        <v>330</v>
      </c>
      <c r="AD132" s="851">
        <v>0</v>
      </c>
      <c r="AE132" s="839">
        <v>369.47411731187549</v>
      </c>
      <c r="AF132" s="851">
        <v>0</v>
      </c>
      <c r="AG132" s="867"/>
      <c r="AH132" s="839">
        <v>475.19115838972868</v>
      </c>
      <c r="AI132" s="851">
        <v>0</v>
      </c>
      <c r="AJ132" s="856"/>
      <c r="AK132" s="839">
        <v>655.87603860784714</v>
      </c>
      <c r="AL132" s="851">
        <v>703</v>
      </c>
      <c r="AM132" s="861"/>
      <c r="AN132" s="839">
        <v>238.48745367779139</v>
      </c>
      <c r="AO132" s="851">
        <v>0</v>
      </c>
      <c r="AP132" s="856"/>
      <c r="AQ132" s="839">
        <v>105.68402349220877</v>
      </c>
      <c r="AR132" s="851">
        <v>0</v>
      </c>
      <c r="AS132" s="867"/>
      <c r="AT132" s="839">
        <v>223.64458815826015</v>
      </c>
      <c r="AU132" s="851">
        <v>384</v>
      </c>
      <c r="AV132" s="856"/>
      <c r="AW132" s="839">
        <v>81.769380765920587</v>
      </c>
      <c r="AX132" s="851">
        <v>0</v>
      </c>
      <c r="AY132" s="856"/>
      <c r="AZ132" s="845">
        <v>2150.126760403632</v>
      </c>
      <c r="BA132" s="845">
        <v>1087</v>
      </c>
      <c r="BB132" s="846">
        <v>-1063.126760403632</v>
      </c>
      <c r="BD132" s="2">
        <v>1</v>
      </c>
      <c r="BF132" s="787">
        <v>66.641006732524431</v>
      </c>
      <c r="BG132" s="325">
        <v>150000494</v>
      </c>
      <c r="BI132" s="847">
        <v>0</v>
      </c>
      <c r="BJ132" s="847">
        <v>0</v>
      </c>
      <c r="BK132" s="847">
        <v>0</v>
      </c>
      <c r="BL132" s="848"/>
      <c r="BM132" s="3"/>
      <c r="BN132" s="3"/>
      <c r="BP132" s="3"/>
      <c r="BQ132" s="3"/>
      <c r="BS132" s="42" t="s">
        <v>419</v>
      </c>
    </row>
    <row r="133" spans="1:71" ht="24.9" customHeight="1" x14ac:dyDescent="0.3">
      <c r="A133" s="325">
        <v>150000688</v>
      </c>
      <c r="B133" s="862" t="s">
        <v>93</v>
      </c>
      <c r="C133" s="863">
        <v>1</v>
      </c>
      <c r="D133" s="101" t="s">
        <v>455</v>
      </c>
      <c r="E133" s="279">
        <v>241.1</v>
      </c>
      <c r="F133" s="838">
        <v>569.25774224742077</v>
      </c>
      <c r="G133" s="838">
        <v>0</v>
      </c>
      <c r="H133" s="838">
        <v>-569.25774224742077</v>
      </c>
      <c r="I133" s="839">
        <v>0</v>
      </c>
      <c r="J133" s="851">
        <v>0</v>
      </c>
      <c r="K133" s="852"/>
      <c r="L133" s="839">
        <v>0</v>
      </c>
      <c r="M133" s="851">
        <v>0</v>
      </c>
      <c r="N133" s="853"/>
      <c r="O133" s="839">
        <v>0</v>
      </c>
      <c r="P133" s="851">
        <v>0</v>
      </c>
      <c r="Q133" s="854"/>
      <c r="R133" s="839">
        <v>0</v>
      </c>
      <c r="S133" s="851">
        <v>0</v>
      </c>
      <c r="T133" s="855"/>
      <c r="U133" s="839">
        <v>0</v>
      </c>
      <c r="V133" s="851">
        <v>0</v>
      </c>
      <c r="W133" s="839">
        <v>0</v>
      </c>
      <c r="X133" s="851">
        <v>0</v>
      </c>
      <c r="Y133" s="839">
        <v>0</v>
      </c>
      <c r="Z133" s="851">
        <v>0</v>
      </c>
      <c r="AA133" s="839">
        <v>0</v>
      </c>
      <c r="AB133" s="851">
        <v>0</v>
      </c>
      <c r="AC133" s="839">
        <v>0</v>
      </c>
      <c r="AD133" s="851">
        <v>0</v>
      </c>
      <c r="AE133" s="839">
        <v>0</v>
      </c>
      <c r="AF133" s="851">
        <v>0</v>
      </c>
      <c r="AG133" s="856"/>
      <c r="AH133" s="839">
        <v>0</v>
      </c>
      <c r="AI133" s="851">
        <v>0</v>
      </c>
      <c r="AJ133" s="856"/>
      <c r="AK133" s="839">
        <v>0</v>
      </c>
      <c r="AL133" s="851">
        <v>0</v>
      </c>
      <c r="AM133" s="856"/>
      <c r="AN133" s="839">
        <v>0</v>
      </c>
      <c r="AO133" s="851">
        <v>0</v>
      </c>
      <c r="AP133" s="856"/>
      <c r="AQ133" s="839">
        <v>0</v>
      </c>
      <c r="AR133" s="851">
        <v>0</v>
      </c>
      <c r="AS133" s="856"/>
      <c r="AT133" s="839">
        <v>0</v>
      </c>
      <c r="AU133" s="851">
        <v>0</v>
      </c>
      <c r="AV133" s="856"/>
      <c r="AW133" s="839">
        <v>0</v>
      </c>
      <c r="AX133" s="851">
        <v>0</v>
      </c>
      <c r="AY133" s="856"/>
      <c r="AZ133" s="845">
        <v>0</v>
      </c>
      <c r="BA133" s="845">
        <v>0</v>
      </c>
      <c r="BB133" s="846">
        <v>0</v>
      </c>
      <c r="BD133" s="2">
        <v>3</v>
      </c>
      <c r="BF133" s="787">
        <v>0</v>
      </c>
      <c r="BG133" s="325">
        <v>150000688</v>
      </c>
      <c r="BI133" s="847">
        <v>0</v>
      </c>
      <c r="BJ133" s="847">
        <v>0</v>
      </c>
      <c r="BK133" s="847">
        <v>0</v>
      </c>
      <c r="BL133" s="848"/>
      <c r="BM133" s="3"/>
      <c r="BN133" s="3"/>
      <c r="BP133" s="3"/>
      <c r="BQ133" s="3"/>
      <c r="BS133" s="42" t="s">
        <v>93</v>
      </c>
    </row>
    <row r="134" spans="1:71" ht="24.9" customHeight="1" x14ac:dyDescent="0.3">
      <c r="A134" s="325">
        <v>150000689</v>
      </c>
      <c r="B134" s="862" t="s">
        <v>94</v>
      </c>
      <c r="C134" s="863">
        <v>1</v>
      </c>
      <c r="D134" s="101" t="s">
        <v>455</v>
      </c>
      <c r="E134" s="279">
        <v>188.9</v>
      </c>
      <c r="F134" s="838">
        <v>381.67647174255643</v>
      </c>
      <c r="G134" s="838">
        <v>0</v>
      </c>
      <c r="H134" s="838">
        <v>-381.67647174255643</v>
      </c>
      <c r="I134" s="839">
        <v>0</v>
      </c>
      <c r="J134" s="851">
        <v>0</v>
      </c>
      <c r="K134" s="852"/>
      <c r="L134" s="839">
        <v>0</v>
      </c>
      <c r="M134" s="851">
        <v>0</v>
      </c>
      <c r="N134" s="853"/>
      <c r="O134" s="839">
        <v>0</v>
      </c>
      <c r="P134" s="851">
        <v>0</v>
      </c>
      <c r="Q134" s="854"/>
      <c r="R134" s="839">
        <v>0</v>
      </c>
      <c r="S134" s="851">
        <v>0</v>
      </c>
      <c r="T134" s="855"/>
      <c r="U134" s="839">
        <v>0</v>
      </c>
      <c r="V134" s="851">
        <v>0</v>
      </c>
      <c r="W134" s="839">
        <v>0</v>
      </c>
      <c r="X134" s="851">
        <v>0</v>
      </c>
      <c r="Y134" s="839">
        <v>0</v>
      </c>
      <c r="Z134" s="851">
        <v>0</v>
      </c>
      <c r="AA134" s="839">
        <v>0</v>
      </c>
      <c r="AB134" s="851">
        <v>0</v>
      </c>
      <c r="AC134" s="839">
        <v>0</v>
      </c>
      <c r="AD134" s="851">
        <v>0</v>
      </c>
      <c r="AE134" s="839">
        <v>0</v>
      </c>
      <c r="AF134" s="851">
        <v>0</v>
      </c>
      <c r="AG134" s="856"/>
      <c r="AH134" s="839">
        <v>0</v>
      </c>
      <c r="AI134" s="851">
        <v>0</v>
      </c>
      <c r="AJ134" s="856"/>
      <c r="AK134" s="839">
        <v>0</v>
      </c>
      <c r="AL134" s="851">
        <v>0</v>
      </c>
      <c r="AM134" s="856"/>
      <c r="AN134" s="839">
        <v>0</v>
      </c>
      <c r="AO134" s="851">
        <v>0</v>
      </c>
      <c r="AP134" s="856"/>
      <c r="AQ134" s="839">
        <v>0</v>
      </c>
      <c r="AR134" s="851">
        <v>0</v>
      </c>
      <c r="AS134" s="856"/>
      <c r="AT134" s="839">
        <v>0</v>
      </c>
      <c r="AU134" s="851">
        <v>0</v>
      </c>
      <c r="AV134" s="856"/>
      <c r="AW134" s="839">
        <v>0</v>
      </c>
      <c r="AX134" s="851">
        <v>0</v>
      </c>
      <c r="AY134" s="856"/>
      <c r="AZ134" s="845">
        <v>0</v>
      </c>
      <c r="BA134" s="845">
        <v>0</v>
      </c>
      <c r="BB134" s="846">
        <v>0</v>
      </c>
      <c r="BD134" s="2">
        <v>3</v>
      </c>
      <c r="BF134" s="787">
        <v>0</v>
      </c>
      <c r="BG134" s="325">
        <v>150000689</v>
      </c>
      <c r="BI134" s="847">
        <v>0</v>
      </c>
      <c r="BJ134" s="847">
        <v>0</v>
      </c>
      <c r="BK134" s="847">
        <v>0</v>
      </c>
      <c r="BL134" s="848"/>
      <c r="BM134" s="3"/>
      <c r="BN134" s="3"/>
      <c r="BP134" s="3"/>
      <c r="BQ134" s="3"/>
      <c r="BS134" s="42" t="s">
        <v>94</v>
      </c>
    </row>
    <row r="135" spans="1:71" ht="24.9" customHeight="1" x14ac:dyDescent="0.3">
      <c r="A135" s="325">
        <v>150000690</v>
      </c>
      <c r="B135" s="862" t="s">
        <v>96</v>
      </c>
      <c r="C135" s="863">
        <v>1</v>
      </c>
      <c r="D135" s="101" t="s">
        <v>455</v>
      </c>
      <c r="E135" s="279">
        <v>142.1</v>
      </c>
      <c r="F135" s="838">
        <v>309.06574070629631</v>
      </c>
      <c r="G135" s="838">
        <v>0</v>
      </c>
      <c r="H135" s="838">
        <v>-309.06574070629631</v>
      </c>
      <c r="I135" s="839">
        <v>0</v>
      </c>
      <c r="J135" s="851">
        <v>0</v>
      </c>
      <c r="K135" s="852"/>
      <c r="L135" s="839">
        <v>0</v>
      </c>
      <c r="M135" s="851">
        <v>0</v>
      </c>
      <c r="N135" s="853"/>
      <c r="O135" s="839">
        <v>0</v>
      </c>
      <c r="P135" s="851">
        <v>0</v>
      </c>
      <c r="Q135" s="854"/>
      <c r="R135" s="839">
        <v>0</v>
      </c>
      <c r="S135" s="851">
        <v>0</v>
      </c>
      <c r="T135" s="855"/>
      <c r="U135" s="839">
        <v>0</v>
      </c>
      <c r="V135" s="851">
        <v>0</v>
      </c>
      <c r="W135" s="839">
        <v>0</v>
      </c>
      <c r="X135" s="851">
        <v>0</v>
      </c>
      <c r="Y135" s="839">
        <v>0</v>
      </c>
      <c r="Z135" s="851">
        <v>0</v>
      </c>
      <c r="AA135" s="839">
        <v>0</v>
      </c>
      <c r="AB135" s="851">
        <v>0</v>
      </c>
      <c r="AC135" s="839">
        <v>0</v>
      </c>
      <c r="AD135" s="851">
        <v>0</v>
      </c>
      <c r="AE135" s="839">
        <v>0</v>
      </c>
      <c r="AF135" s="851">
        <v>0</v>
      </c>
      <c r="AG135" s="856"/>
      <c r="AH135" s="839">
        <v>0</v>
      </c>
      <c r="AI135" s="851">
        <v>0</v>
      </c>
      <c r="AJ135" s="856"/>
      <c r="AK135" s="839">
        <v>0</v>
      </c>
      <c r="AL135" s="851">
        <v>0</v>
      </c>
      <c r="AM135" s="856"/>
      <c r="AN135" s="839">
        <v>0</v>
      </c>
      <c r="AO135" s="851">
        <v>0</v>
      </c>
      <c r="AP135" s="856"/>
      <c r="AQ135" s="839">
        <v>0</v>
      </c>
      <c r="AR135" s="851">
        <v>0</v>
      </c>
      <c r="AS135" s="856"/>
      <c r="AT135" s="839">
        <v>0</v>
      </c>
      <c r="AU135" s="851">
        <v>0</v>
      </c>
      <c r="AV135" s="856"/>
      <c r="AW135" s="839">
        <v>0</v>
      </c>
      <c r="AX135" s="851">
        <v>0</v>
      </c>
      <c r="AY135" s="856"/>
      <c r="AZ135" s="845">
        <v>0</v>
      </c>
      <c r="BA135" s="845">
        <v>0</v>
      </c>
      <c r="BB135" s="846">
        <v>0</v>
      </c>
      <c r="BD135" s="2">
        <v>3</v>
      </c>
      <c r="BF135" s="787">
        <v>0</v>
      </c>
      <c r="BG135" s="325">
        <v>150000690</v>
      </c>
      <c r="BI135" s="847">
        <v>0</v>
      </c>
      <c r="BJ135" s="847">
        <v>0</v>
      </c>
      <c r="BK135" s="847">
        <v>0</v>
      </c>
      <c r="BL135" s="848"/>
      <c r="BM135" s="3"/>
      <c r="BN135" s="3"/>
      <c r="BP135" s="3"/>
      <c r="BQ135" s="3"/>
      <c r="BS135" s="42" t="s">
        <v>96</v>
      </c>
    </row>
    <row r="136" spans="1:71" ht="24.9" customHeight="1" x14ac:dyDescent="0.3">
      <c r="A136" s="325">
        <v>150000648</v>
      </c>
      <c r="B136" s="849" t="s">
        <v>362</v>
      </c>
      <c r="C136" s="850">
        <v>9</v>
      </c>
      <c r="D136" s="101" t="s">
        <v>455</v>
      </c>
      <c r="E136" s="279">
        <v>3815</v>
      </c>
      <c r="F136" s="838">
        <v>7879.6081610338397</v>
      </c>
      <c r="G136" s="838">
        <v>0</v>
      </c>
      <c r="H136" s="838">
        <v>-7879.6081610338397</v>
      </c>
      <c r="I136" s="839">
        <v>0</v>
      </c>
      <c r="J136" s="851">
        <v>0</v>
      </c>
      <c r="K136" s="852"/>
      <c r="L136" s="839">
        <v>0</v>
      </c>
      <c r="M136" s="851">
        <v>0</v>
      </c>
      <c r="N136" s="853"/>
      <c r="O136" s="839">
        <v>0</v>
      </c>
      <c r="P136" s="851">
        <v>0</v>
      </c>
      <c r="Q136" s="854"/>
      <c r="R136" s="839">
        <v>0</v>
      </c>
      <c r="S136" s="851">
        <v>0</v>
      </c>
      <c r="T136" s="855"/>
      <c r="U136" s="839">
        <v>0</v>
      </c>
      <c r="V136" s="851">
        <v>0</v>
      </c>
      <c r="W136" s="839">
        <v>0</v>
      </c>
      <c r="X136" s="851">
        <v>0</v>
      </c>
      <c r="Y136" s="839">
        <v>0</v>
      </c>
      <c r="Z136" s="851">
        <v>0</v>
      </c>
      <c r="AA136" s="839">
        <v>0</v>
      </c>
      <c r="AB136" s="851">
        <v>0</v>
      </c>
      <c r="AC136" s="839">
        <v>0</v>
      </c>
      <c r="AD136" s="851">
        <v>0</v>
      </c>
      <c r="AE136" s="839">
        <v>124.99549231576577</v>
      </c>
      <c r="AF136" s="851">
        <v>0</v>
      </c>
      <c r="AG136" s="856"/>
      <c r="AH136" s="839">
        <v>153.02341104794502</v>
      </c>
      <c r="AI136" s="851">
        <v>0</v>
      </c>
      <c r="AJ136" s="856"/>
      <c r="AK136" s="839">
        <v>335.89607452838891</v>
      </c>
      <c r="AL136" s="851">
        <v>0</v>
      </c>
      <c r="AM136" s="856"/>
      <c r="AN136" s="839">
        <v>111.59307533867725</v>
      </c>
      <c r="AO136" s="851">
        <v>0</v>
      </c>
      <c r="AP136" s="856"/>
      <c r="AQ136" s="839">
        <v>32.980617657691397</v>
      </c>
      <c r="AR136" s="851">
        <v>0</v>
      </c>
      <c r="AS136" s="856"/>
      <c r="AT136" s="839">
        <v>43.380793390018312</v>
      </c>
      <c r="AU136" s="851">
        <v>0</v>
      </c>
      <c r="AV136" s="856"/>
      <c r="AW136" s="839">
        <v>0</v>
      </c>
      <c r="AX136" s="851">
        <v>0</v>
      </c>
      <c r="AY136" s="856"/>
      <c r="AZ136" s="845">
        <v>801.8694642784867</v>
      </c>
      <c r="BA136" s="845">
        <v>0</v>
      </c>
      <c r="BB136" s="846">
        <v>-801.8694642784867</v>
      </c>
      <c r="BD136" s="2">
        <v>3</v>
      </c>
      <c r="BF136" s="787">
        <v>12.103831638397327</v>
      </c>
      <c r="BG136" s="325">
        <v>150000648</v>
      </c>
      <c r="BI136" s="847">
        <v>0</v>
      </c>
      <c r="BJ136" s="847">
        <v>0</v>
      </c>
      <c r="BK136" s="847">
        <v>0</v>
      </c>
      <c r="BL136" s="848"/>
      <c r="BM136" s="3"/>
      <c r="BN136" s="3"/>
      <c r="BP136" s="3"/>
      <c r="BQ136" s="3"/>
      <c r="BS136" s="42" t="s">
        <v>362</v>
      </c>
    </row>
    <row r="137" spans="1:71" ht="24.9" customHeight="1" x14ac:dyDescent="0.3">
      <c r="A137" s="325">
        <v>150000647</v>
      </c>
      <c r="B137" s="862" t="s">
        <v>97</v>
      </c>
      <c r="C137" s="863">
        <v>1</v>
      </c>
      <c r="D137" s="101" t="s">
        <v>455</v>
      </c>
      <c r="E137" s="279">
        <v>278.14999999999998</v>
      </c>
      <c r="F137" s="838">
        <v>601.84563493808173</v>
      </c>
      <c r="G137" s="838">
        <v>0</v>
      </c>
      <c r="H137" s="838">
        <v>-601.84563493808173</v>
      </c>
      <c r="I137" s="839">
        <v>0</v>
      </c>
      <c r="J137" s="851">
        <v>0</v>
      </c>
      <c r="K137" s="852"/>
      <c r="L137" s="839">
        <v>0</v>
      </c>
      <c r="M137" s="851">
        <v>0</v>
      </c>
      <c r="N137" s="853"/>
      <c r="O137" s="839">
        <v>0</v>
      </c>
      <c r="P137" s="851">
        <v>0</v>
      </c>
      <c r="Q137" s="854"/>
      <c r="R137" s="839">
        <v>0</v>
      </c>
      <c r="S137" s="851">
        <v>0</v>
      </c>
      <c r="T137" s="855"/>
      <c r="U137" s="839">
        <v>0</v>
      </c>
      <c r="V137" s="851">
        <v>0</v>
      </c>
      <c r="W137" s="839">
        <v>0</v>
      </c>
      <c r="X137" s="851">
        <v>0</v>
      </c>
      <c r="Y137" s="839">
        <v>0</v>
      </c>
      <c r="Z137" s="851">
        <v>0</v>
      </c>
      <c r="AA137" s="839">
        <v>0</v>
      </c>
      <c r="AB137" s="851">
        <v>0</v>
      </c>
      <c r="AC137" s="839">
        <v>0</v>
      </c>
      <c r="AD137" s="851">
        <v>0</v>
      </c>
      <c r="AE137" s="839">
        <v>0</v>
      </c>
      <c r="AF137" s="851">
        <v>0</v>
      </c>
      <c r="AG137" s="856"/>
      <c r="AH137" s="839">
        <v>0</v>
      </c>
      <c r="AI137" s="851">
        <v>0</v>
      </c>
      <c r="AJ137" s="856"/>
      <c r="AK137" s="839">
        <v>0</v>
      </c>
      <c r="AL137" s="851">
        <v>0</v>
      </c>
      <c r="AM137" s="856"/>
      <c r="AN137" s="839">
        <v>0</v>
      </c>
      <c r="AO137" s="851">
        <v>0</v>
      </c>
      <c r="AP137" s="856"/>
      <c r="AQ137" s="839">
        <v>0</v>
      </c>
      <c r="AR137" s="851">
        <v>0</v>
      </c>
      <c r="AS137" s="856"/>
      <c r="AT137" s="839">
        <v>0</v>
      </c>
      <c r="AU137" s="851">
        <v>0</v>
      </c>
      <c r="AV137" s="856"/>
      <c r="AW137" s="839">
        <v>0</v>
      </c>
      <c r="AX137" s="851">
        <v>0</v>
      </c>
      <c r="AY137" s="856"/>
      <c r="AZ137" s="845">
        <v>0</v>
      </c>
      <c r="BA137" s="845">
        <v>0</v>
      </c>
      <c r="BB137" s="846">
        <v>0</v>
      </c>
      <c r="BD137" s="2">
        <v>3</v>
      </c>
      <c r="BF137" s="787">
        <v>0</v>
      </c>
      <c r="BG137" s="325">
        <v>150000647</v>
      </c>
      <c r="BI137" s="847">
        <v>0</v>
      </c>
      <c r="BJ137" s="847">
        <v>0</v>
      </c>
      <c r="BK137" s="847">
        <v>0</v>
      </c>
      <c r="BL137" s="848"/>
      <c r="BM137" s="3"/>
      <c r="BN137" s="3"/>
      <c r="BP137" s="3"/>
      <c r="BQ137" s="3"/>
      <c r="BS137" s="42" t="s">
        <v>97</v>
      </c>
    </row>
    <row r="138" spans="1:71" ht="24.9" customHeight="1" x14ac:dyDescent="0.3">
      <c r="A138" s="325">
        <v>150000686</v>
      </c>
      <c r="B138" s="862" t="s">
        <v>98</v>
      </c>
      <c r="C138" s="863">
        <v>1</v>
      </c>
      <c r="D138" s="101" t="s">
        <v>455</v>
      </c>
      <c r="E138" s="279">
        <v>214.9</v>
      </c>
      <c r="F138" s="838">
        <v>363.18261367780133</v>
      </c>
      <c r="G138" s="838">
        <v>0</v>
      </c>
      <c r="H138" s="838">
        <v>-363.18261367780133</v>
      </c>
      <c r="I138" s="839">
        <v>0</v>
      </c>
      <c r="J138" s="851">
        <v>0</v>
      </c>
      <c r="K138" s="852"/>
      <c r="L138" s="839">
        <v>0</v>
      </c>
      <c r="M138" s="851">
        <v>0</v>
      </c>
      <c r="N138" s="853"/>
      <c r="O138" s="839">
        <v>0</v>
      </c>
      <c r="P138" s="851">
        <v>0</v>
      </c>
      <c r="Q138" s="854"/>
      <c r="R138" s="839">
        <v>0</v>
      </c>
      <c r="S138" s="851">
        <v>0</v>
      </c>
      <c r="T138" s="855"/>
      <c r="U138" s="839">
        <v>0</v>
      </c>
      <c r="V138" s="851">
        <v>0</v>
      </c>
      <c r="W138" s="839">
        <v>0</v>
      </c>
      <c r="X138" s="851">
        <v>0</v>
      </c>
      <c r="Y138" s="839">
        <v>0</v>
      </c>
      <c r="Z138" s="851">
        <v>0</v>
      </c>
      <c r="AA138" s="839">
        <v>0</v>
      </c>
      <c r="AB138" s="851">
        <v>0</v>
      </c>
      <c r="AC138" s="839">
        <v>0</v>
      </c>
      <c r="AD138" s="851">
        <v>0</v>
      </c>
      <c r="AE138" s="839">
        <v>0</v>
      </c>
      <c r="AF138" s="851">
        <v>0</v>
      </c>
      <c r="AG138" s="856"/>
      <c r="AH138" s="839">
        <v>0</v>
      </c>
      <c r="AI138" s="851">
        <v>0</v>
      </c>
      <c r="AJ138" s="856"/>
      <c r="AK138" s="839">
        <v>0</v>
      </c>
      <c r="AL138" s="851">
        <v>0</v>
      </c>
      <c r="AM138" s="856"/>
      <c r="AN138" s="839">
        <v>0</v>
      </c>
      <c r="AO138" s="851">
        <v>0</v>
      </c>
      <c r="AP138" s="856"/>
      <c r="AQ138" s="839">
        <v>0</v>
      </c>
      <c r="AR138" s="851">
        <v>0</v>
      </c>
      <c r="AS138" s="856"/>
      <c r="AT138" s="839">
        <v>0</v>
      </c>
      <c r="AU138" s="851">
        <v>0</v>
      </c>
      <c r="AV138" s="856"/>
      <c r="AW138" s="839">
        <v>0</v>
      </c>
      <c r="AX138" s="851">
        <v>0</v>
      </c>
      <c r="AY138" s="856"/>
      <c r="AZ138" s="845">
        <v>0</v>
      </c>
      <c r="BA138" s="845">
        <v>0</v>
      </c>
      <c r="BB138" s="846">
        <v>0</v>
      </c>
      <c r="BD138" s="2">
        <v>3</v>
      </c>
      <c r="BF138" s="787">
        <v>0</v>
      </c>
      <c r="BG138" s="325">
        <v>150000686</v>
      </c>
      <c r="BI138" s="847">
        <v>0</v>
      </c>
      <c r="BJ138" s="847">
        <v>0</v>
      </c>
      <c r="BK138" s="847">
        <v>0</v>
      </c>
      <c r="BL138" s="848"/>
      <c r="BM138" s="3"/>
      <c r="BN138" s="3"/>
      <c r="BP138" s="3"/>
      <c r="BQ138" s="3"/>
      <c r="BS138" s="42" t="s">
        <v>98</v>
      </c>
    </row>
    <row r="139" spans="1:71" ht="24.9" customHeight="1" x14ac:dyDescent="0.3">
      <c r="A139" s="325">
        <v>150000796</v>
      </c>
      <c r="B139" s="862" t="s">
        <v>99</v>
      </c>
      <c r="C139" s="863">
        <v>1</v>
      </c>
      <c r="D139" s="101" t="s">
        <v>455</v>
      </c>
      <c r="E139" s="279">
        <v>181.38</v>
      </c>
      <c r="F139" s="838">
        <v>376.0473934711996</v>
      </c>
      <c r="G139" s="838">
        <v>0</v>
      </c>
      <c r="H139" s="838">
        <v>-376.0473934711996</v>
      </c>
      <c r="I139" s="839">
        <v>0</v>
      </c>
      <c r="J139" s="851">
        <v>0</v>
      </c>
      <c r="K139" s="852"/>
      <c r="L139" s="839">
        <v>0</v>
      </c>
      <c r="M139" s="851">
        <v>0</v>
      </c>
      <c r="N139" s="853"/>
      <c r="O139" s="839">
        <v>0</v>
      </c>
      <c r="P139" s="851">
        <v>0</v>
      </c>
      <c r="Q139" s="854"/>
      <c r="R139" s="839">
        <v>0</v>
      </c>
      <c r="S139" s="851">
        <v>0</v>
      </c>
      <c r="T139" s="855"/>
      <c r="U139" s="839">
        <v>0</v>
      </c>
      <c r="V139" s="851">
        <v>0</v>
      </c>
      <c r="W139" s="839">
        <v>0</v>
      </c>
      <c r="X139" s="851">
        <v>0</v>
      </c>
      <c r="Y139" s="839">
        <v>0</v>
      </c>
      <c r="Z139" s="851">
        <v>0</v>
      </c>
      <c r="AA139" s="839">
        <v>0</v>
      </c>
      <c r="AB139" s="851">
        <v>0</v>
      </c>
      <c r="AC139" s="839">
        <v>0</v>
      </c>
      <c r="AD139" s="851">
        <v>0</v>
      </c>
      <c r="AE139" s="839">
        <v>0</v>
      </c>
      <c r="AF139" s="851">
        <v>0</v>
      </c>
      <c r="AG139" s="856"/>
      <c r="AH139" s="839">
        <v>0</v>
      </c>
      <c r="AI139" s="851">
        <v>0</v>
      </c>
      <c r="AJ139" s="856"/>
      <c r="AK139" s="839">
        <v>10.841388784924442</v>
      </c>
      <c r="AL139" s="851">
        <v>0</v>
      </c>
      <c r="AM139" s="856"/>
      <c r="AN139" s="839">
        <v>0</v>
      </c>
      <c r="AO139" s="851">
        <v>0</v>
      </c>
      <c r="AP139" s="856"/>
      <c r="AQ139" s="839">
        <v>0</v>
      </c>
      <c r="AR139" s="851">
        <v>0</v>
      </c>
      <c r="AS139" s="856"/>
      <c r="AT139" s="839">
        <v>0</v>
      </c>
      <c r="AU139" s="851">
        <v>0</v>
      </c>
      <c r="AV139" s="856"/>
      <c r="AW139" s="839">
        <v>0</v>
      </c>
      <c r="AX139" s="851">
        <v>0</v>
      </c>
      <c r="AY139" s="856"/>
      <c r="AZ139" s="845">
        <v>10.841388784924442</v>
      </c>
      <c r="BA139" s="845">
        <v>0</v>
      </c>
      <c r="BB139" s="846">
        <v>-10.841388784924442</v>
      </c>
      <c r="BD139" s="2">
        <v>3</v>
      </c>
      <c r="BF139" s="787">
        <v>0</v>
      </c>
      <c r="BG139" s="325">
        <v>150000796</v>
      </c>
      <c r="BI139" s="847">
        <v>0</v>
      </c>
      <c r="BJ139" s="847">
        <v>0</v>
      </c>
      <c r="BK139" s="847">
        <v>0</v>
      </c>
      <c r="BL139" s="848"/>
      <c r="BM139" s="3"/>
      <c r="BN139" s="3"/>
      <c r="BP139" s="3"/>
      <c r="BQ139" s="3"/>
      <c r="BS139" s="42" t="s">
        <v>99</v>
      </c>
    </row>
    <row r="140" spans="1:71" ht="24.9" customHeight="1" x14ac:dyDescent="0.3">
      <c r="A140" s="325">
        <v>150001008</v>
      </c>
      <c r="B140" s="849" t="s">
        <v>212</v>
      </c>
      <c r="C140" s="850">
        <v>4</v>
      </c>
      <c r="D140" s="101" t="s">
        <v>455</v>
      </c>
      <c r="E140" s="279">
        <v>1485.6</v>
      </c>
      <c r="F140" s="838">
        <v>2437.5860038463184</v>
      </c>
      <c r="G140" s="838">
        <v>972.7941800878275</v>
      </c>
      <c r="H140" s="838">
        <v>-1464.7918237584909</v>
      </c>
      <c r="I140" s="839">
        <v>0</v>
      </c>
      <c r="J140" s="851">
        <v>0</v>
      </c>
      <c r="K140" s="852"/>
      <c r="L140" s="839">
        <v>0</v>
      </c>
      <c r="M140" s="851">
        <v>0</v>
      </c>
      <c r="N140" s="853"/>
      <c r="O140" s="839">
        <v>0</v>
      </c>
      <c r="P140" s="851">
        <v>0</v>
      </c>
      <c r="Q140" s="854"/>
      <c r="R140" s="839">
        <v>0</v>
      </c>
      <c r="S140" s="851">
        <v>0</v>
      </c>
      <c r="T140" s="855"/>
      <c r="U140" s="839">
        <v>0</v>
      </c>
      <c r="V140" s="851">
        <v>0</v>
      </c>
      <c r="W140" s="839">
        <v>0</v>
      </c>
      <c r="X140" s="851">
        <v>972.7941800878275</v>
      </c>
      <c r="Y140" s="839">
        <v>0</v>
      </c>
      <c r="Z140" s="851">
        <v>0</v>
      </c>
      <c r="AA140" s="839">
        <v>0</v>
      </c>
      <c r="AB140" s="851">
        <v>0</v>
      </c>
      <c r="AC140" s="839">
        <v>0</v>
      </c>
      <c r="AD140" s="851">
        <v>0</v>
      </c>
      <c r="AE140" s="839">
        <v>143.40667600346097</v>
      </c>
      <c r="AF140" s="851">
        <v>0</v>
      </c>
      <c r="AG140" s="856"/>
      <c r="AH140" s="839">
        <v>195.76233491122258</v>
      </c>
      <c r="AI140" s="851">
        <v>0</v>
      </c>
      <c r="AJ140" s="856"/>
      <c r="AK140" s="839">
        <v>195.83071739750042</v>
      </c>
      <c r="AL140" s="851">
        <v>0</v>
      </c>
      <c r="AM140" s="856"/>
      <c r="AN140" s="839">
        <v>0</v>
      </c>
      <c r="AO140" s="851">
        <v>0</v>
      </c>
      <c r="AP140" s="856"/>
      <c r="AQ140" s="839">
        <v>0</v>
      </c>
      <c r="AR140" s="851">
        <v>0</v>
      </c>
      <c r="AS140" s="856"/>
      <c r="AT140" s="839">
        <v>58.242111861801746</v>
      </c>
      <c r="AU140" s="851">
        <v>0</v>
      </c>
      <c r="AV140" s="856"/>
      <c r="AW140" s="839">
        <v>0</v>
      </c>
      <c r="AX140" s="851">
        <v>0</v>
      </c>
      <c r="AY140" s="856"/>
      <c r="AZ140" s="845">
        <v>593.24184017398568</v>
      </c>
      <c r="BA140" s="845">
        <v>0</v>
      </c>
      <c r="BB140" s="846">
        <v>-593.24184017398568</v>
      </c>
      <c r="BD140" s="2">
        <v>2</v>
      </c>
      <c r="BF140" s="787">
        <v>5.2029503065050848</v>
      </c>
      <c r="BG140" s="325">
        <v>150001008</v>
      </c>
      <c r="BI140" s="847">
        <v>442.51</v>
      </c>
      <c r="BJ140" s="847">
        <v>43.425030396497263</v>
      </c>
      <c r="BK140" s="847">
        <v>485.93503039649727</v>
      </c>
      <c r="BL140" s="848"/>
      <c r="BM140" s="3"/>
      <c r="BN140" s="3"/>
      <c r="BP140" s="3"/>
      <c r="BQ140" s="3"/>
      <c r="BS140" s="42" t="s">
        <v>212</v>
      </c>
    </row>
    <row r="141" spans="1:71" ht="24.9" customHeight="1" x14ac:dyDescent="0.3">
      <c r="A141" s="325">
        <v>150001033</v>
      </c>
      <c r="B141" s="849" t="s">
        <v>363</v>
      </c>
      <c r="C141" s="850">
        <v>9</v>
      </c>
      <c r="D141" s="101" t="s">
        <v>455</v>
      </c>
      <c r="E141" s="279">
        <v>4024.2</v>
      </c>
      <c r="F141" s="838">
        <v>12409.802417133933</v>
      </c>
      <c r="G141" s="838">
        <v>916.20019696306395</v>
      </c>
      <c r="H141" s="838">
        <v>-11493.602220170869</v>
      </c>
      <c r="I141" s="839">
        <v>0</v>
      </c>
      <c r="J141" s="851">
        <v>0</v>
      </c>
      <c r="K141" s="852"/>
      <c r="L141" s="839">
        <v>0</v>
      </c>
      <c r="M141" s="851">
        <v>0</v>
      </c>
      <c r="N141" s="853"/>
      <c r="O141" s="839">
        <v>0</v>
      </c>
      <c r="P141" s="851">
        <v>0</v>
      </c>
      <c r="Q141" s="854"/>
      <c r="R141" s="839">
        <v>0</v>
      </c>
      <c r="S141" s="851">
        <v>0</v>
      </c>
      <c r="T141" s="870"/>
      <c r="U141" s="839">
        <v>0</v>
      </c>
      <c r="V141" s="851">
        <v>0</v>
      </c>
      <c r="W141" s="839">
        <v>1</v>
      </c>
      <c r="X141" s="851">
        <v>187.20019696306395</v>
      </c>
      <c r="Y141" s="839">
        <v>0</v>
      </c>
      <c r="Z141" s="851">
        <v>0</v>
      </c>
      <c r="AA141" s="839">
        <v>0</v>
      </c>
      <c r="AB141" s="851">
        <v>0</v>
      </c>
      <c r="AC141" s="839">
        <v>0</v>
      </c>
      <c r="AD141" s="851">
        <v>729</v>
      </c>
      <c r="AE141" s="839">
        <v>161.43598939048366</v>
      </c>
      <c r="AF141" s="851">
        <v>0</v>
      </c>
      <c r="AG141" s="856"/>
      <c r="AH141" s="839">
        <v>216.85252149748126</v>
      </c>
      <c r="AI141" s="851">
        <v>0</v>
      </c>
      <c r="AJ141" s="856"/>
      <c r="AK141" s="839">
        <v>245.14168481353812</v>
      </c>
      <c r="AL141" s="851">
        <v>0</v>
      </c>
      <c r="AM141" s="856"/>
      <c r="AN141" s="839">
        <v>99.504095214135731</v>
      </c>
      <c r="AO141" s="851">
        <v>0</v>
      </c>
      <c r="AP141" s="856"/>
      <c r="AQ141" s="839">
        <v>65.961235315382794</v>
      </c>
      <c r="AR141" s="851">
        <v>0</v>
      </c>
      <c r="AS141" s="856"/>
      <c r="AT141" s="839">
        <v>143.99064936730142</v>
      </c>
      <c r="AU141" s="851">
        <v>0</v>
      </c>
      <c r="AV141" s="856"/>
      <c r="AW141" s="839">
        <v>65.815575516818669</v>
      </c>
      <c r="AX141" s="851">
        <v>0</v>
      </c>
      <c r="AY141" s="856"/>
      <c r="AZ141" s="845">
        <v>998.70175111514152</v>
      </c>
      <c r="BA141" s="845">
        <v>0</v>
      </c>
      <c r="BB141" s="846">
        <v>-998.70175111514152</v>
      </c>
      <c r="BD141" s="2">
        <v>1</v>
      </c>
      <c r="BF141" s="787">
        <v>186.43475537332895</v>
      </c>
      <c r="BG141" s="325">
        <v>150001033</v>
      </c>
      <c r="BI141" s="847">
        <v>24.2</v>
      </c>
      <c r="BJ141" s="847">
        <v>2.3748293498344304</v>
      </c>
      <c r="BK141" s="847">
        <v>26.574829349834431</v>
      </c>
      <c r="BL141" s="848"/>
      <c r="BM141" s="3"/>
      <c r="BN141" s="3"/>
      <c r="BP141" s="3"/>
      <c r="BQ141" s="3"/>
      <c r="BS141" s="42" t="s">
        <v>363</v>
      </c>
    </row>
    <row r="142" spans="1:71" ht="24.9" customHeight="1" x14ac:dyDescent="0.3">
      <c r="A142" s="325">
        <v>150001009</v>
      </c>
      <c r="B142" s="849" t="s">
        <v>213</v>
      </c>
      <c r="C142" s="850">
        <v>4</v>
      </c>
      <c r="D142" s="101" t="s">
        <v>455</v>
      </c>
      <c r="E142" s="279">
        <v>1485</v>
      </c>
      <c r="F142" s="838">
        <v>3067.072911326195</v>
      </c>
      <c r="G142" s="838">
        <v>0</v>
      </c>
      <c r="H142" s="838">
        <v>-3067.072911326195</v>
      </c>
      <c r="I142" s="839">
        <v>0</v>
      </c>
      <c r="J142" s="851">
        <v>0</v>
      </c>
      <c r="K142" s="866"/>
      <c r="L142" s="839">
        <v>0</v>
      </c>
      <c r="M142" s="851">
        <v>0</v>
      </c>
      <c r="N142" s="853"/>
      <c r="O142" s="839">
        <v>0</v>
      </c>
      <c r="P142" s="851">
        <v>0</v>
      </c>
      <c r="Q142" s="854"/>
      <c r="R142" s="839">
        <v>0</v>
      </c>
      <c r="S142" s="851">
        <v>0</v>
      </c>
      <c r="T142" s="855"/>
      <c r="U142" s="839">
        <v>0</v>
      </c>
      <c r="V142" s="851">
        <v>0</v>
      </c>
      <c r="W142" s="839">
        <v>0</v>
      </c>
      <c r="X142" s="851">
        <v>0</v>
      </c>
      <c r="Y142" s="839">
        <v>0</v>
      </c>
      <c r="Z142" s="851">
        <v>0</v>
      </c>
      <c r="AA142" s="839">
        <v>0</v>
      </c>
      <c r="AB142" s="851">
        <v>0</v>
      </c>
      <c r="AC142" s="839">
        <v>0</v>
      </c>
      <c r="AD142" s="851">
        <v>0</v>
      </c>
      <c r="AE142" s="839">
        <v>142.83996650654154</v>
      </c>
      <c r="AF142" s="851">
        <v>0</v>
      </c>
      <c r="AG142" s="856"/>
      <c r="AH142" s="839">
        <v>195.76233491122258</v>
      </c>
      <c r="AI142" s="851">
        <v>0</v>
      </c>
      <c r="AJ142" s="856"/>
      <c r="AK142" s="839">
        <v>185.89456253896032</v>
      </c>
      <c r="AL142" s="851">
        <v>0</v>
      </c>
      <c r="AM142" s="856"/>
      <c r="AN142" s="839">
        <v>0</v>
      </c>
      <c r="AO142" s="851">
        <v>0</v>
      </c>
      <c r="AP142" s="856"/>
      <c r="AQ142" s="839">
        <v>0</v>
      </c>
      <c r="AR142" s="851">
        <v>0</v>
      </c>
      <c r="AS142" s="856"/>
      <c r="AT142" s="839">
        <v>58.242111861801746</v>
      </c>
      <c r="AU142" s="851">
        <v>0</v>
      </c>
      <c r="AV142" s="856"/>
      <c r="AW142" s="839">
        <v>0</v>
      </c>
      <c r="AX142" s="851">
        <v>0</v>
      </c>
      <c r="AY142" s="856"/>
      <c r="AZ142" s="845">
        <v>582.73897581852611</v>
      </c>
      <c r="BA142" s="845">
        <v>0</v>
      </c>
      <c r="BB142" s="846">
        <v>-582.73897581852611</v>
      </c>
      <c r="BD142" s="2">
        <v>2</v>
      </c>
      <c r="BF142" s="787">
        <v>5.1997982768363613</v>
      </c>
      <c r="BG142" s="325">
        <v>150001009</v>
      </c>
      <c r="BI142" s="847">
        <v>0</v>
      </c>
      <c r="BJ142" s="847">
        <v>0</v>
      </c>
      <c r="BK142" s="847">
        <v>0</v>
      </c>
      <c r="BL142" s="848"/>
      <c r="BM142" s="3"/>
      <c r="BN142" s="3"/>
      <c r="BP142" s="3"/>
      <c r="BQ142" s="3"/>
      <c r="BS142" s="42" t="s">
        <v>213</v>
      </c>
    </row>
    <row r="143" spans="1:71" ht="24.9" customHeight="1" x14ac:dyDescent="0.3">
      <c r="A143" s="325">
        <v>150001010</v>
      </c>
      <c r="B143" s="849" t="s">
        <v>165</v>
      </c>
      <c r="C143" s="850">
        <v>2</v>
      </c>
      <c r="D143" s="101" t="s">
        <v>455</v>
      </c>
      <c r="E143" s="279">
        <v>744.59999999999991</v>
      </c>
      <c r="F143" s="838">
        <v>1508.1134669330793</v>
      </c>
      <c r="G143" s="838">
        <v>0</v>
      </c>
      <c r="H143" s="838">
        <v>-1508.1134669330793</v>
      </c>
      <c r="I143" s="839">
        <v>0</v>
      </c>
      <c r="J143" s="851">
        <v>0</v>
      </c>
      <c r="K143" s="852"/>
      <c r="L143" s="839">
        <v>0</v>
      </c>
      <c r="M143" s="851">
        <v>0</v>
      </c>
      <c r="N143" s="868"/>
      <c r="O143" s="839">
        <v>0</v>
      </c>
      <c r="P143" s="851">
        <v>0</v>
      </c>
      <c r="Q143" s="854"/>
      <c r="R143" s="839">
        <v>0</v>
      </c>
      <c r="S143" s="851">
        <v>0</v>
      </c>
      <c r="T143" s="855"/>
      <c r="U143" s="839">
        <v>0</v>
      </c>
      <c r="V143" s="851">
        <v>0</v>
      </c>
      <c r="W143" s="839">
        <v>0</v>
      </c>
      <c r="X143" s="851">
        <v>0</v>
      </c>
      <c r="Y143" s="839">
        <v>0</v>
      </c>
      <c r="Z143" s="851">
        <v>0</v>
      </c>
      <c r="AA143" s="839">
        <v>0</v>
      </c>
      <c r="AB143" s="851">
        <v>0</v>
      </c>
      <c r="AC143" s="839">
        <v>0</v>
      </c>
      <c r="AD143" s="851">
        <v>0</v>
      </c>
      <c r="AE143" s="839">
        <v>95.899640838670678</v>
      </c>
      <c r="AF143" s="851">
        <v>0</v>
      </c>
      <c r="AG143" s="856"/>
      <c r="AH143" s="839">
        <v>149.39035559607422</v>
      </c>
      <c r="AI143" s="851">
        <v>0</v>
      </c>
      <c r="AJ143" s="856"/>
      <c r="AK143" s="839">
        <v>75.981484148226926</v>
      </c>
      <c r="AL143" s="851">
        <v>0</v>
      </c>
      <c r="AM143" s="856"/>
      <c r="AN143" s="839">
        <v>0</v>
      </c>
      <c r="AO143" s="851">
        <v>0</v>
      </c>
      <c r="AP143" s="856"/>
      <c r="AQ143" s="839">
        <v>0</v>
      </c>
      <c r="AR143" s="851">
        <v>0</v>
      </c>
      <c r="AS143" s="856"/>
      <c r="AT143" s="839">
        <v>40.779527065714653</v>
      </c>
      <c r="AU143" s="851">
        <v>0</v>
      </c>
      <c r="AV143" s="856"/>
      <c r="AW143" s="839">
        <v>0</v>
      </c>
      <c r="AX143" s="851">
        <v>0</v>
      </c>
      <c r="AY143" s="856"/>
      <c r="AZ143" s="845">
        <v>362.05100764868649</v>
      </c>
      <c r="BA143" s="845">
        <v>0</v>
      </c>
      <c r="BB143" s="846">
        <v>-362.05100764868649</v>
      </c>
      <c r="BD143" s="2">
        <v>2</v>
      </c>
      <c r="BF143" s="787">
        <v>2.6855292777518169</v>
      </c>
      <c r="BG143" s="325">
        <v>150001010</v>
      </c>
      <c r="BI143" s="847">
        <v>0</v>
      </c>
      <c r="BJ143" s="847">
        <v>0</v>
      </c>
      <c r="BK143" s="847">
        <v>0</v>
      </c>
      <c r="BL143" s="848"/>
      <c r="BM143" s="3"/>
      <c r="BN143" s="3"/>
      <c r="BP143" s="3"/>
      <c r="BQ143" s="3"/>
      <c r="BS143" s="42" t="s">
        <v>165</v>
      </c>
    </row>
    <row r="144" spans="1:71" ht="24.9" customHeight="1" x14ac:dyDescent="0.3">
      <c r="A144" s="325">
        <v>150001011</v>
      </c>
      <c r="B144" s="849" t="s">
        <v>166</v>
      </c>
      <c r="C144" s="850">
        <v>2</v>
      </c>
      <c r="D144" s="101" t="s">
        <v>455</v>
      </c>
      <c r="E144" s="279">
        <v>422.9</v>
      </c>
      <c r="F144" s="838">
        <v>1015.0315248158872</v>
      </c>
      <c r="G144" s="838">
        <v>0</v>
      </c>
      <c r="H144" s="838">
        <v>-1015.0315248158872</v>
      </c>
      <c r="I144" s="839">
        <v>0</v>
      </c>
      <c r="J144" s="851">
        <v>0</v>
      </c>
      <c r="K144" s="852"/>
      <c r="L144" s="839">
        <v>0</v>
      </c>
      <c r="M144" s="851">
        <v>0</v>
      </c>
      <c r="N144" s="853"/>
      <c r="O144" s="839">
        <v>0</v>
      </c>
      <c r="P144" s="851">
        <v>0</v>
      </c>
      <c r="Q144" s="854"/>
      <c r="R144" s="839">
        <v>0</v>
      </c>
      <c r="S144" s="851">
        <v>0</v>
      </c>
      <c r="T144" s="855"/>
      <c r="U144" s="839">
        <v>0</v>
      </c>
      <c r="V144" s="851">
        <v>0</v>
      </c>
      <c r="W144" s="839">
        <v>0</v>
      </c>
      <c r="X144" s="851">
        <v>0</v>
      </c>
      <c r="Y144" s="839">
        <v>0</v>
      </c>
      <c r="Z144" s="851">
        <v>0</v>
      </c>
      <c r="AA144" s="839">
        <v>0</v>
      </c>
      <c r="AB144" s="851">
        <v>0</v>
      </c>
      <c r="AC144" s="839">
        <v>0</v>
      </c>
      <c r="AD144" s="851">
        <v>0</v>
      </c>
      <c r="AE144" s="839">
        <v>59.085306560631935</v>
      </c>
      <c r="AF144" s="851">
        <v>0</v>
      </c>
      <c r="AG144" s="856"/>
      <c r="AH144" s="839">
        <v>72.08773375891468</v>
      </c>
      <c r="AI144" s="851">
        <v>0</v>
      </c>
      <c r="AJ144" s="856"/>
      <c r="AK144" s="839">
        <v>44.209091793188861</v>
      </c>
      <c r="AL144" s="851">
        <v>0</v>
      </c>
      <c r="AM144" s="856"/>
      <c r="AN144" s="839">
        <v>0</v>
      </c>
      <c r="AO144" s="851">
        <v>0</v>
      </c>
      <c r="AP144" s="856"/>
      <c r="AQ144" s="839">
        <v>0</v>
      </c>
      <c r="AR144" s="851">
        <v>0</v>
      </c>
      <c r="AS144" s="856"/>
      <c r="AT144" s="839">
        <v>13.131198850039331</v>
      </c>
      <c r="AU144" s="851">
        <v>0</v>
      </c>
      <c r="AV144" s="856"/>
      <c r="AW144" s="839">
        <v>0</v>
      </c>
      <c r="AX144" s="851">
        <v>0</v>
      </c>
      <c r="AY144" s="856"/>
      <c r="AZ144" s="845">
        <v>188.5133309627748</v>
      </c>
      <c r="BA144" s="845">
        <v>0</v>
      </c>
      <c r="BB144" s="846">
        <v>-188.5133309627748</v>
      </c>
      <c r="BD144" s="2">
        <v>2</v>
      </c>
      <c r="BF144" s="787">
        <v>1.4811037187809641</v>
      </c>
      <c r="BG144" s="325">
        <v>150001011</v>
      </c>
      <c r="BI144" s="847">
        <v>0</v>
      </c>
      <c r="BJ144" s="847">
        <v>0</v>
      </c>
      <c r="BK144" s="847">
        <v>0</v>
      </c>
      <c r="BL144" s="848"/>
      <c r="BM144" s="3"/>
      <c r="BN144" s="3"/>
      <c r="BP144" s="3"/>
      <c r="BQ144" s="3"/>
      <c r="BS144" s="42" t="s">
        <v>166</v>
      </c>
    </row>
    <row r="145" spans="1:71" ht="24.9" customHeight="1" x14ac:dyDescent="0.3">
      <c r="A145" s="391">
        <v>150001013</v>
      </c>
      <c r="B145" s="849" t="s">
        <v>261</v>
      </c>
      <c r="C145" s="850">
        <v>5</v>
      </c>
      <c r="D145" s="101" t="s">
        <v>455</v>
      </c>
      <c r="E145" s="279">
        <v>3476.23</v>
      </c>
      <c r="F145" s="838">
        <v>5434.9303082525867</v>
      </c>
      <c r="G145" s="838">
        <v>9236</v>
      </c>
      <c r="H145" s="838">
        <v>3801.0696917474133</v>
      </c>
      <c r="I145" s="839">
        <v>0</v>
      </c>
      <c r="J145" s="851">
        <v>9236</v>
      </c>
      <c r="K145" s="866"/>
      <c r="L145" s="839">
        <v>0</v>
      </c>
      <c r="M145" s="851">
        <v>0</v>
      </c>
      <c r="N145" s="853"/>
      <c r="O145" s="839">
        <v>0</v>
      </c>
      <c r="P145" s="851">
        <v>0</v>
      </c>
      <c r="Q145" s="854"/>
      <c r="R145" s="839">
        <v>0</v>
      </c>
      <c r="S145" s="851">
        <v>0</v>
      </c>
      <c r="T145" s="855"/>
      <c r="U145" s="839">
        <v>0</v>
      </c>
      <c r="V145" s="851">
        <v>0</v>
      </c>
      <c r="W145" s="839">
        <v>0</v>
      </c>
      <c r="X145" s="851">
        <v>0</v>
      </c>
      <c r="Y145" s="839">
        <v>0</v>
      </c>
      <c r="Z145" s="851">
        <v>0</v>
      </c>
      <c r="AA145" s="839">
        <v>0</v>
      </c>
      <c r="AB145" s="851">
        <v>0</v>
      </c>
      <c r="AC145" s="839">
        <v>0</v>
      </c>
      <c r="AD145" s="851">
        <v>0</v>
      </c>
      <c r="AE145" s="839">
        <v>309.24744506594914</v>
      </c>
      <c r="AF145" s="851">
        <v>0</v>
      </c>
      <c r="AG145" s="857"/>
      <c r="AH145" s="839">
        <v>490.42556714245251</v>
      </c>
      <c r="AI145" s="851">
        <v>0</v>
      </c>
      <c r="AJ145" s="856"/>
      <c r="AK145" s="839">
        <v>430.839921178493</v>
      </c>
      <c r="AL145" s="851">
        <v>0</v>
      </c>
      <c r="AM145" s="856"/>
      <c r="AN145" s="839">
        <v>0</v>
      </c>
      <c r="AO145" s="851">
        <v>0</v>
      </c>
      <c r="AP145" s="856"/>
      <c r="AQ145" s="839">
        <v>0</v>
      </c>
      <c r="AR145" s="851">
        <v>0</v>
      </c>
      <c r="AS145" s="856"/>
      <c r="AT145" s="839">
        <v>174.4186197559111</v>
      </c>
      <c r="AU145" s="851">
        <v>0</v>
      </c>
      <c r="AV145" s="856"/>
      <c r="AW145" s="839">
        <v>0</v>
      </c>
      <c r="AX145" s="851">
        <v>0</v>
      </c>
      <c r="AY145" s="856"/>
      <c r="AZ145" s="845">
        <v>1404.9315531428056</v>
      </c>
      <c r="BA145" s="845">
        <v>0</v>
      </c>
      <c r="BB145" s="846">
        <v>-1404.9315531428056</v>
      </c>
      <c r="BD145" s="2">
        <v>2</v>
      </c>
      <c r="BF145" s="787">
        <v>12.13710037472835</v>
      </c>
      <c r="BG145" s="391">
        <v>150001013</v>
      </c>
      <c r="BI145" s="847">
        <v>0</v>
      </c>
      <c r="BJ145" s="847">
        <v>0</v>
      </c>
      <c r="BK145" s="847">
        <v>0</v>
      </c>
      <c r="BL145" s="848">
        <v>7857</v>
      </c>
      <c r="BM145" s="3"/>
      <c r="BN145" s="3"/>
      <c r="BP145" s="3"/>
      <c r="BQ145" s="3"/>
      <c r="BS145" s="42" t="s">
        <v>261</v>
      </c>
    </row>
    <row r="146" spans="1:71" ht="24.9" customHeight="1" x14ac:dyDescent="0.3">
      <c r="A146" s="325">
        <v>150001014</v>
      </c>
      <c r="B146" s="849" t="s">
        <v>167</v>
      </c>
      <c r="C146" s="850">
        <v>2</v>
      </c>
      <c r="D146" s="101" t="s">
        <v>455</v>
      </c>
      <c r="E146" s="279">
        <v>339.3</v>
      </c>
      <c r="F146" s="838">
        <v>765.14678073392361</v>
      </c>
      <c r="G146" s="838">
        <v>0</v>
      </c>
      <c r="H146" s="838">
        <v>-765.14678073392361</v>
      </c>
      <c r="I146" s="839">
        <v>0</v>
      </c>
      <c r="J146" s="851">
        <v>0</v>
      </c>
      <c r="K146" s="852"/>
      <c r="L146" s="839">
        <v>0</v>
      </c>
      <c r="M146" s="851">
        <v>0</v>
      </c>
      <c r="N146" s="853"/>
      <c r="O146" s="839">
        <v>0</v>
      </c>
      <c r="P146" s="851">
        <v>0</v>
      </c>
      <c r="Q146" s="854"/>
      <c r="R146" s="839">
        <v>0</v>
      </c>
      <c r="S146" s="851">
        <v>0</v>
      </c>
      <c r="T146" s="855"/>
      <c r="U146" s="839">
        <v>0</v>
      </c>
      <c r="V146" s="851">
        <v>0</v>
      </c>
      <c r="W146" s="839">
        <v>0</v>
      </c>
      <c r="X146" s="851">
        <v>0</v>
      </c>
      <c r="Y146" s="839">
        <v>0</v>
      </c>
      <c r="Z146" s="851">
        <v>0</v>
      </c>
      <c r="AA146" s="839">
        <v>0</v>
      </c>
      <c r="AB146" s="851">
        <v>0</v>
      </c>
      <c r="AC146" s="839">
        <v>0</v>
      </c>
      <c r="AD146" s="851">
        <v>0</v>
      </c>
      <c r="AE146" s="839">
        <v>47.059309791594281</v>
      </c>
      <c r="AF146" s="851">
        <v>0</v>
      </c>
      <c r="AG146" s="856"/>
      <c r="AH146" s="839">
        <v>60.404944907288225</v>
      </c>
      <c r="AI146" s="851">
        <v>0</v>
      </c>
      <c r="AJ146" s="856"/>
      <c r="AK146" s="839">
        <v>29.899082143124652</v>
      </c>
      <c r="AL146" s="851">
        <v>0</v>
      </c>
      <c r="AM146" s="856"/>
      <c r="AN146" s="839">
        <v>0</v>
      </c>
      <c r="AO146" s="851">
        <v>0</v>
      </c>
      <c r="AP146" s="856"/>
      <c r="AQ146" s="839">
        <v>0</v>
      </c>
      <c r="AR146" s="851">
        <v>0</v>
      </c>
      <c r="AS146" s="856"/>
      <c r="AT146" s="839">
        <v>9.782104083393186</v>
      </c>
      <c r="AU146" s="851">
        <v>0</v>
      </c>
      <c r="AV146" s="856"/>
      <c r="AW146" s="839">
        <v>0</v>
      </c>
      <c r="AX146" s="851">
        <v>0</v>
      </c>
      <c r="AY146" s="856"/>
      <c r="AZ146" s="845">
        <v>147.14544092540035</v>
      </c>
      <c r="BA146" s="845">
        <v>0</v>
      </c>
      <c r="BB146" s="846">
        <v>-147.14544092540035</v>
      </c>
      <c r="BD146" s="2">
        <v>2</v>
      </c>
      <c r="BF146" s="787">
        <v>1.1883151851084919</v>
      </c>
      <c r="BG146" s="325">
        <v>150001014</v>
      </c>
      <c r="BI146" s="847">
        <v>0</v>
      </c>
      <c r="BJ146" s="847">
        <v>0</v>
      </c>
      <c r="BK146" s="847">
        <v>0</v>
      </c>
      <c r="BL146" s="848"/>
      <c r="BM146" s="3"/>
      <c r="BN146" s="3"/>
      <c r="BP146" s="3"/>
      <c r="BQ146" s="3"/>
      <c r="BS146" s="42" t="s">
        <v>167</v>
      </c>
    </row>
    <row r="147" spans="1:71" ht="24.9" customHeight="1" x14ac:dyDescent="0.3">
      <c r="A147" s="325">
        <v>150001015</v>
      </c>
      <c r="B147" s="862" t="s">
        <v>100</v>
      </c>
      <c r="C147" s="863">
        <v>1</v>
      </c>
      <c r="D147" s="101" t="s">
        <v>455</v>
      </c>
      <c r="E147" s="279">
        <v>346.4</v>
      </c>
      <c r="F147" s="838">
        <v>520.50321866540708</v>
      </c>
      <c r="G147" s="838">
        <v>0</v>
      </c>
      <c r="H147" s="838">
        <v>-520.50321866540708</v>
      </c>
      <c r="I147" s="839">
        <v>0</v>
      </c>
      <c r="J147" s="851">
        <v>0</v>
      </c>
      <c r="K147" s="852"/>
      <c r="L147" s="839">
        <v>0</v>
      </c>
      <c r="M147" s="851">
        <v>0</v>
      </c>
      <c r="N147" s="853"/>
      <c r="O147" s="839">
        <v>0</v>
      </c>
      <c r="P147" s="851">
        <v>0</v>
      </c>
      <c r="Q147" s="854"/>
      <c r="R147" s="839">
        <v>0</v>
      </c>
      <c r="S147" s="851">
        <v>0</v>
      </c>
      <c r="T147" s="855"/>
      <c r="U147" s="839">
        <v>0</v>
      </c>
      <c r="V147" s="851">
        <v>0</v>
      </c>
      <c r="W147" s="839">
        <v>0</v>
      </c>
      <c r="X147" s="851">
        <v>0</v>
      </c>
      <c r="Y147" s="839">
        <v>0</v>
      </c>
      <c r="Z147" s="851">
        <v>0</v>
      </c>
      <c r="AA147" s="839">
        <v>0</v>
      </c>
      <c r="AB147" s="851">
        <v>0</v>
      </c>
      <c r="AC147" s="839">
        <v>0</v>
      </c>
      <c r="AD147" s="851">
        <v>0</v>
      </c>
      <c r="AE147" s="839">
        <v>0</v>
      </c>
      <c r="AF147" s="851">
        <v>0</v>
      </c>
      <c r="AG147" s="856"/>
      <c r="AH147" s="839">
        <v>0</v>
      </c>
      <c r="AI147" s="851">
        <v>0</v>
      </c>
      <c r="AJ147" s="856"/>
      <c r="AK147" s="839">
        <v>37.508628877400184</v>
      </c>
      <c r="AL147" s="851">
        <v>0</v>
      </c>
      <c r="AM147" s="856"/>
      <c r="AN147" s="839">
        <v>0</v>
      </c>
      <c r="AO147" s="851">
        <v>0</v>
      </c>
      <c r="AP147" s="856"/>
      <c r="AQ147" s="839">
        <v>0</v>
      </c>
      <c r="AR147" s="851">
        <v>0</v>
      </c>
      <c r="AS147" s="856"/>
      <c r="AT147" s="839">
        <v>0</v>
      </c>
      <c r="AU147" s="851">
        <v>0</v>
      </c>
      <c r="AV147" s="856"/>
      <c r="AW147" s="839">
        <v>0</v>
      </c>
      <c r="AX147" s="851">
        <v>0</v>
      </c>
      <c r="AY147" s="856"/>
      <c r="AZ147" s="845">
        <v>37.508628877400184</v>
      </c>
      <c r="BA147" s="845">
        <v>0</v>
      </c>
      <c r="BB147" s="846">
        <v>-37.508628877400184</v>
      </c>
      <c r="BD147" s="2">
        <v>2</v>
      </c>
      <c r="BF147" s="787">
        <v>0</v>
      </c>
      <c r="BG147" s="325">
        <v>150001015</v>
      </c>
      <c r="BI147" s="847">
        <v>0</v>
      </c>
      <c r="BJ147" s="847">
        <v>0</v>
      </c>
      <c r="BK147" s="847">
        <v>0</v>
      </c>
      <c r="BL147" s="848"/>
      <c r="BM147" s="3"/>
      <c r="BN147" s="3"/>
      <c r="BP147" s="3"/>
      <c r="BQ147" s="3"/>
      <c r="BS147" s="42" t="s">
        <v>100</v>
      </c>
    </row>
    <row r="148" spans="1:71" ht="24.9" customHeight="1" x14ac:dyDescent="0.3">
      <c r="A148" s="325">
        <v>150001016</v>
      </c>
      <c r="B148" s="849" t="s">
        <v>262</v>
      </c>
      <c r="C148" s="850">
        <v>5</v>
      </c>
      <c r="D148" s="101" t="s">
        <v>455</v>
      </c>
      <c r="E148" s="279">
        <v>3298.2799999999997</v>
      </c>
      <c r="F148" s="838">
        <v>6661.8589022123697</v>
      </c>
      <c r="G148" s="838">
        <v>11083</v>
      </c>
      <c r="H148" s="838">
        <v>4421.1410977876303</v>
      </c>
      <c r="I148" s="839">
        <v>0</v>
      </c>
      <c r="J148" s="851">
        <v>11083</v>
      </c>
      <c r="K148" s="852"/>
      <c r="L148" s="839">
        <v>0</v>
      </c>
      <c r="M148" s="851">
        <v>0</v>
      </c>
      <c r="N148" s="858"/>
      <c r="O148" s="839">
        <v>0</v>
      </c>
      <c r="P148" s="851">
        <v>0</v>
      </c>
      <c r="Q148" s="854"/>
      <c r="R148" s="839">
        <v>0</v>
      </c>
      <c r="S148" s="851">
        <v>0</v>
      </c>
      <c r="T148" s="855"/>
      <c r="U148" s="839">
        <v>0</v>
      </c>
      <c r="V148" s="851">
        <v>0</v>
      </c>
      <c r="W148" s="839">
        <v>0</v>
      </c>
      <c r="X148" s="851">
        <v>0</v>
      </c>
      <c r="Y148" s="839">
        <v>0</v>
      </c>
      <c r="Z148" s="851">
        <v>0</v>
      </c>
      <c r="AA148" s="839">
        <v>0</v>
      </c>
      <c r="AB148" s="851">
        <v>0</v>
      </c>
      <c r="AC148" s="839">
        <v>0</v>
      </c>
      <c r="AD148" s="851">
        <v>0</v>
      </c>
      <c r="AE148" s="839">
        <v>187.4391067611696</v>
      </c>
      <c r="AF148" s="851">
        <v>0</v>
      </c>
      <c r="AG148" s="856"/>
      <c r="AH148" s="839">
        <v>258.30373939722529</v>
      </c>
      <c r="AI148" s="851">
        <v>780</v>
      </c>
      <c r="AJ148" s="856"/>
      <c r="AK148" s="839">
        <v>417.52689610795557</v>
      </c>
      <c r="AL148" s="851">
        <v>0</v>
      </c>
      <c r="AM148" s="856"/>
      <c r="AN148" s="839">
        <v>234.92107816430971</v>
      </c>
      <c r="AO148" s="851">
        <v>0</v>
      </c>
      <c r="AP148" s="856"/>
      <c r="AQ148" s="839">
        <v>0</v>
      </c>
      <c r="AR148" s="851">
        <v>0</v>
      </c>
      <c r="AS148" s="856"/>
      <c r="AT148" s="839">
        <v>120.7391811804537</v>
      </c>
      <c r="AU148" s="851">
        <v>0</v>
      </c>
      <c r="AV148" s="856"/>
      <c r="AW148" s="839">
        <v>0</v>
      </c>
      <c r="AX148" s="851">
        <v>0</v>
      </c>
      <c r="AY148" s="856"/>
      <c r="AZ148" s="845">
        <v>1218.9300016111138</v>
      </c>
      <c r="BA148" s="845">
        <v>780</v>
      </c>
      <c r="BB148" s="846">
        <v>-438.93000161111377</v>
      </c>
      <c r="BD148" s="2">
        <v>2</v>
      </c>
      <c r="BF148" s="787">
        <v>11.270012035414585</v>
      </c>
      <c r="BG148" s="325">
        <v>150001016</v>
      </c>
      <c r="BI148" s="847">
        <v>0</v>
      </c>
      <c r="BJ148" s="847">
        <v>0</v>
      </c>
      <c r="BK148" s="847">
        <v>0</v>
      </c>
      <c r="BL148" s="848"/>
      <c r="BM148" s="3"/>
      <c r="BN148" s="3"/>
      <c r="BP148" s="3"/>
      <c r="BQ148" s="3"/>
      <c r="BS148" s="42" t="s">
        <v>262</v>
      </c>
    </row>
    <row r="149" spans="1:71" ht="24.9" customHeight="1" x14ac:dyDescent="0.3">
      <c r="A149" s="325">
        <v>150001007</v>
      </c>
      <c r="B149" s="849" t="s">
        <v>214</v>
      </c>
      <c r="C149" s="850">
        <v>4</v>
      </c>
      <c r="D149" s="101" t="s">
        <v>455</v>
      </c>
      <c r="E149" s="279">
        <v>2046.1999999999998</v>
      </c>
      <c r="F149" s="838">
        <v>4338.0403342556865</v>
      </c>
      <c r="G149" s="838">
        <v>16988</v>
      </c>
      <c r="H149" s="838">
        <v>12649.959665744314</v>
      </c>
      <c r="I149" s="839">
        <v>0</v>
      </c>
      <c r="J149" s="851">
        <v>16988</v>
      </c>
      <c r="K149" s="852"/>
      <c r="L149" s="839">
        <v>0</v>
      </c>
      <c r="M149" s="851">
        <v>0</v>
      </c>
      <c r="N149" s="853"/>
      <c r="O149" s="839">
        <v>0</v>
      </c>
      <c r="P149" s="851">
        <v>0</v>
      </c>
      <c r="Q149" s="854"/>
      <c r="R149" s="839">
        <v>0</v>
      </c>
      <c r="S149" s="851">
        <v>0</v>
      </c>
      <c r="T149" s="855"/>
      <c r="U149" s="839">
        <v>0</v>
      </c>
      <c r="V149" s="851">
        <v>0</v>
      </c>
      <c r="W149" s="839">
        <v>0</v>
      </c>
      <c r="X149" s="851">
        <v>0</v>
      </c>
      <c r="Y149" s="839">
        <v>0</v>
      </c>
      <c r="Z149" s="851">
        <v>0</v>
      </c>
      <c r="AA149" s="839">
        <v>0</v>
      </c>
      <c r="AB149" s="851">
        <v>0</v>
      </c>
      <c r="AC149" s="839">
        <v>0</v>
      </c>
      <c r="AD149" s="851">
        <v>0</v>
      </c>
      <c r="AE149" s="839">
        <v>209.68610314611877</v>
      </c>
      <c r="AF149" s="851">
        <v>0</v>
      </c>
      <c r="AG149" s="856"/>
      <c r="AH149" s="839">
        <v>311.97860728969681</v>
      </c>
      <c r="AI149" s="851">
        <v>0</v>
      </c>
      <c r="AJ149" s="856"/>
      <c r="AK149" s="839">
        <v>235.70928345887529</v>
      </c>
      <c r="AL149" s="851">
        <v>0</v>
      </c>
      <c r="AM149" s="856"/>
      <c r="AN149" s="839">
        <v>0</v>
      </c>
      <c r="AO149" s="851">
        <v>0</v>
      </c>
      <c r="AP149" s="856"/>
      <c r="AQ149" s="839">
        <v>0</v>
      </c>
      <c r="AR149" s="851">
        <v>0</v>
      </c>
      <c r="AS149" s="856"/>
      <c r="AT149" s="839">
        <v>86.524571442710084</v>
      </c>
      <c r="AU149" s="851">
        <v>0</v>
      </c>
      <c r="AV149" s="856"/>
      <c r="AW149" s="839">
        <v>0</v>
      </c>
      <c r="AX149" s="851">
        <v>0</v>
      </c>
      <c r="AY149" s="856"/>
      <c r="AZ149" s="845">
        <v>843.8985653374009</v>
      </c>
      <c r="BA149" s="845">
        <v>0</v>
      </c>
      <c r="BB149" s="846">
        <v>-843.8985653374009</v>
      </c>
      <c r="BD149" s="2">
        <v>2</v>
      </c>
      <c r="BF149" s="787">
        <v>7.1663145646006363</v>
      </c>
      <c r="BG149" s="325">
        <v>150001007</v>
      </c>
      <c r="BI149" s="847">
        <v>0</v>
      </c>
      <c r="BJ149" s="847">
        <v>0</v>
      </c>
      <c r="BK149" s="847">
        <v>0</v>
      </c>
      <c r="BL149" s="848"/>
      <c r="BM149" s="3"/>
      <c r="BN149" s="3"/>
      <c r="BP149" s="3"/>
      <c r="BQ149" s="3"/>
      <c r="BS149" s="42" t="s">
        <v>214</v>
      </c>
    </row>
    <row r="150" spans="1:71" ht="24.9" customHeight="1" x14ac:dyDescent="0.3">
      <c r="A150" s="325">
        <v>150001018</v>
      </c>
      <c r="B150" s="880" t="s">
        <v>430</v>
      </c>
      <c r="C150" s="881">
        <v>5</v>
      </c>
      <c r="D150" s="102" t="s">
        <v>851</v>
      </c>
      <c r="E150" s="279">
        <v>2816.07</v>
      </c>
      <c r="F150" s="838">
        <v>6034.821116901755</v>
      </c>
      <c r="G150" s="838">
        <v>32.711526066545105</v>
      </c>
      <c r="H150" s="838">
        <v>-6002.1095908352099</v>
      </c>
      <c r="I150" s="839">
        <v>0</v>
      </c>
      <c r="J150" s="851">
        <v>0</v>
      </c>
      <c r="K150" s="852"/>
      <c r="L150" s="839">
        <v>0</v>
      </c>
      <c r="M150" s="851">
        <v>0</v>
      </c>
      <c r="N150" s="853"/>
      <c r="O150" s="839">
        <v>0</v>
      </c>
      <c r="P150" s="851">
        <v>0</v>
      </c>
      <c r="Q150" s="854"/>
      <c r="R150" s="839">
        <v>0</v>
      </c>
      <c r="S150" s="851">
        <v>0</v>
      </c>
      <c r="T150" s="855"/>
      <c r="U150" s="839">
        <v>0</v>
      </c>
      <c r="V150" s="851">
        <v>0</v>
      </c>
      <c r="W150" s="839">
        <v>0</v>
      </c>
      <c r="X150" s="851">
        <v>32.711526066545105</v>
      </c>
      <c r="Y150" s="839">
        <v>0</v>
      </c>
      <c r="Z150" s="851">
        <v>0</v>
      </c>
      <c r="AA150" s="839">
        <v>0</v>
      </c>
      <c r="AB150" s="851">
        <v>0</v>
      </c>
      <c r="AC150" s="839">
        <v>0</v>
      </c>
      <c r="AD150" s="851">
        <v>0</v>
      </c>
      <c r="AE150" s="839">
        <v>185.03472901469073</v>
      </c>
      <c r="AF150" s="851">
        <v>0</v>
      </c>
      <c r="AG150" s="857"/>
      <c r="AH150" s="839">
        <v>276.14354862921226</v>
      </c>
      <c r="AI150" s="851">
        <v>0</v>
      </c>
      <c r="AJ150" s="856"/>
      <c r="AK150" s="839">
        <v>370.93148431507529</v>
      </c>
      <c r="AL150" s="851">
        <v>0</v>
      </c>
      <c r="AM150" s="856"/>
      <c r="AN150" s="839">
        <v>213.4689416535854</v>
      </c>
      <c r="AO150" s="851">
        <v>0</v>
      </c>
      <c r="AP150" s="856"/>
      <c r="AQ150" s="839">
        <v>0</v>
      </c>
      <c r="AR150" s="851">
        <v>0</v>
      </c>
      <c r="AS150" s="856"/>
      <c r="AT150" s="839">
        <v>118.21256501765102</v>
      </c>
      <c r="AU150" s="851">
        <v>0</v>
      </c>
      <c r="AV150" s="856"/>
      <c r="AW150" s="839">
        <v>0</v>
      </c>
      <c r="AX150" s="851">
        <v>0</v>
      </c>
      <c r="AY150" s="856"/>
      <c r="AZ150" s="845">
        <v>1163.7912686302147</v>
      </c>
      <c r="BA150" s="845">
        <v>0</v>
      </c>
      <c r="BB150" s="846">
        <v>-1163.7912686302147</v>
      </c>
      <c r="BD150" s="2">
        <v>2</v>
      </c>
      <c r="BF150" s="787">
        <v>9.8457849408781293</v>
      </c>
      <c r="BG150" s="325">
        <v>150001018</v>
      </c>
      <c r="BI150" s="847">
        <v>14.88</v>
      </c>
      <c r="BJ150" s="847">
        <v>1.4602256498155506</v>
      </c>
      <c r="BK150" s="847">
        <v>16.340225649815551</v>
      </c>
      <c r="BL150" s="848"/>
      <c r="BM150" s="3"/>
      <c r="BN150" s="3"/>
      <c r="BP150" s="3"/>
      <c r="BQ150" s="3"/>
      <c r="BS150" s="43" t="s">
        <v>430</v>
      </c>
    </row>
    <row r="151" spans="1:71" ht="24.9" customHeight="1" x14ac:dyDescent="0.3">
      <c r="A151" s="325">
        <v>150001019</v>
      </c>
      <c r="B151" s="849" t="s">
        <v>420</v>
      </c>
      <c r="C151" s="850">
        <v>10</v>
      </c>
      <c r="D151" s="101" t="s">
        <v>455</v>
      </c>
      <c r="E151" s="279">
        <v>6921.8</v>
      </c>
      <c r="F151" s="838">
        <v>17154.831197693347</v>
      </c>
      <c r="G151" s="838">
        <v>2486</v>
      </c>
      <c r="H151" s="838">
        <v>-14668.831197693347</v>
      </c>
      <c r="I151" s="839">
        <v>0</v>
      </c>
      <c r="J151" s="851">
        <v>0</v>
      </c>
      <c r="K151" s="866"/>
      <c r="L151" s="839">
        <v>0</v>
      </c>
      <c r="M151" s="851">
        <v>0</v>
      </c>
      <c r="N151" s="858"/>
      <c r="O151" s="839">
        <v>0</v>
      </c>
      <c r="P151" s="851">
        <v>0</v>
      </c>
      <c r="Q151" s="854"/>
      <c r="R151" s="839">
        <v>0</v>
      </c>
      <c r="S151" s="851">
        <v>2041</v>
      </c>
      <c r="T151" s="855"/>
      <c r="U151" s="839">
        <v>0</v>
      </c>
      <c r="V151" s="851">
        <v>0</v>
      </c>
      <c r="W151" s="839">
        <v>1</v>
      </c>
      <c r="X151" s="851">
        <v>445</v>
      </c>
      <c r="Y151" s="839">
        <v>0</v>
      </c>
      <c r="Z151" s="851">
        <v>0</v>
      </c>
      <c r="AA151" s="839">
        <v>0</v>
      </c>
      <c r="AB151" s="851">
        <v>0</v>
      </c>
      <c r="AC151" s="839">
        <v>0</v>
      </c>
      <c r="AD151" s="851">
        <v>0</v>
      </c>
      <c r="AE151" s="839">
        <v>327.89594630734996</v>
      </c>
      <c r="AF151" s="851">
        <v>477</v>
      </c>
      <c r="AG151" s="856"/>
      <c r="AH151" s="839">
        <v>390.07398117832253</v>
      </c>
      <c r="AI151" s="851">
        <v>0</v>
      </c>
      <c r="AJ151" s="856"/>
      <c r="AK151" s="839">
        <v>422.98261503208329</v>
      </c>
      <c r="AL151" s="851">
        <v>0</v>
      </c>
      <c r="AM151" s="856"/>
      <c r="AN151" s="839">
        <v>179.97352815066915</v>
      </c>
      <c r="AO151" s="851">
        <v>0</v>
      </c>
      <c r="AP151" s="856"/>
      <c r="AQ151" s="839">
        <v>105.68402349220877</v>
      </c>
      <c r="AR151" s="851">
        <v>0</v>
      </c>
      <c r="AS151" s="856"/>
      <c r="AT151" s="839">
        <v>220.07829817605759</v>
      </c>
      <c r="AU151" s="851">
        <v>0</v>
      </c>
      <c r="AV151" s="857"/>
      <c r="AW151" s="839">
        <v>118.34437622421669</v>
      </c>
      <c r="AX151" s="851">
        <v>0</v>
      </c>
      <c r="AY151" s="856"/>
      <c r="AZ151" s="845">
        <v>1765.0327685609079</v>
      </c>
      <c r="BA151" s="845">
        <v>477</v>
      </c>
      <c r="BB151" s="846">
        <v>-1288.0327685609079</v>
      </c>
      <c r="BD151" s="2">
        <v>1</v>
      </c>
      <c r="BF151" s="787">
        <v>48.736811651737902</v>
      </c>
      <c r="BG151" s="325">
        <v>150001019</v>
      </c>
      <c r="BI151" s="847">
        <v>0</v>
      </c>
      <c r="BJ151" s="847">
        <v>0</v>
      </c>
      <c r="BK151" s="847">
        <v>0</v>
      </c>
      <c r="BL151" s="848"/>
      <c r="BM151" s="3"/>
      <c r="BN151" s="3"/>
      <c r="BP151" s="3"/>
      <c r="BQ151" s="3"/>
      <c r="BS151" s="42" t="s">
        <v>420</v>
      </c>
    </row>
    <row r="152" spans="1:71" ht="24.9" customHeight="1" x14ac:dyDescent="0.3">
      <c r="A152" s="325">
        <v>150001020</v>
      </c>
      <c r="B152" s="862" t="s">
        <v>101</v>
      </c>
      <c r="C152" s="863">
        <v>1</v>
      </c>
      <c r="D152" s="101" t="s">
        <v>455</v>
      </c>
      <c r="E152" s="279">
        <v>320.5</v>
      </c>
      <c r="F152" s="838">
        <v>602.23699525329232</v>
      </c>
      <c r="G152" s="838">
        <v>0</v>
      </c>
      <c r="H152" s="838">
        <v>-602.23699525329232</v>
      </c>
      <c r="I152" s="839">
        <v>0</v>
      </c>
      <c r="J152" s="851">
        <v>0</v>
      </c>
      <c r="K152" s="852"/>
      <c r="L152" s="839">
        <v>0</v>
      </c>
      <c r="M152" s="851">
        <v>0</v>
      </c>
      <c r="N152" s="853"/>
      <c r="O152" s="839">
        <v>0</v>
      </c>
      <c r="P152" s="851">
        <v>0</v>
      </c>
      <c r="Q152" s="854"/>
      <c r="R152" s="839">
        <v>0</v>
      </c>
      <c r="S152" s="851">
        <v>0</v>
      </c>
      <c r="T152" s="855"/>
      <c r="U152" s="839">
        <v>0</v>
      </c>
      <c r="V152" s="851">
        <v>0</v>
      </c>
      <c r="W152" s="839">
        <v>0</v>
      </c>
      <c r="X152" s="851">
        <v>0</v>
      </c>
      <c r="Y152" s="839">
        <v>0</v>
      </c>
      <c r="Z152" s="851">
        <v>0</v>
      </c>
      <c r="AA152" s="839">
        <v>0</v>
      </c>
      <c r="AB152" s="851">
        <v>0</v>
      </c>
      <c r="AC152" s="839">
        <v>0</v>
      </c>
      <c r="AD152" s="851">
        <v>0</v>
      </c>
      <c r="AE152" s="839">
        <v>0</v>
      </c>
      <c r="AF152" s="851">
        <v>0</v>
      </c>
      <c r="AG152" s="856"/>
      <c r="AH152" s="839">
        <v>0</v>
      </c>
      <c r="AI152" s="851">
        <v>0</v>
      </c>
      <c r="AJ152" s="856"/>
      <c r="AK152" s="839">
        <v>0</v>
      </c>
      <c r="AL152" s="851">
        <v>0</v>
      </c>
      <c r="AM152" s="856"/>
      <c r="AN152" s="839">
        <v>0</v>
      </c>
      <c r="AO152" s="851">
        <v>0</v>
      </c>
      <c r="AP152" s="856"/>
      <c r="AQ152" s="839">
        <v>0</v>
      </c>
      <c r="AR152" s="851">
        <v>0</v>
      </c>
      <c r="AS152" s="856"/>
      <c r="AT152" s="839">
        <v>0</v>
      </c>
      <c r="AU152" s="851">
        <v>0</v>
      </c>
      <c r="AV152" s="856"/>
      <c r="AW152" s="839">
        <v>0</v>
      </c>
      <c r="AX152" s="851">
        <v>0</v>
      </c>
      <c r="AY152" s="856"/>
      <c r="AZ152" s="845">
        <v>0</v>
      </c>
      <c r="BA152" s="845">
        <v>0</v>
      </c>
      <c r="BB152" s="846">
        <v>0</v>
      </c>
      <c r="BD152" s="2">
        <v>2</v>
      </c>
      <c r="BF152" s="787">
        <v>0</v>
      </c>
      <c r="BG152" s="325">
        <v>150001020</v>
      </c>
      <c r="BI152" s="847">
        <v>0</v>
      </c>
      <c r="BJ152" s="847">
        <v>0</v>
      </c>
      <c r="BK152" s="847">
        <v>0</v>
      </c>
      <c r="BL152" s="848"/>
      <c r="BM152" s="3"/>
      <c r="BN152" s="3"/>
      <c r="BP152" s="3"/>
      <c r="BQ152" s="3"/>
      <c r="BS152" s="42" t="s">
        <v>101</v>
      </c>
    </row>
    <row r="153" spans="1:71" ht="24.9" customHeight="1" x14ac:dyDescent="0.3">
      <c r="A153" s="325">
        <v>150001021</v>
      </c>
      <c r="B153" s="849" t="s">
        <v>364</v>
      </c>
      <c r="C153" s="850">
        <v>9</v>
      </c>
      <c r="D153" s="101" t="s">
        <v>455</v>
      </c>
      <c r="E153" s="279">
        <v>11582.12</v>
      </c>
      <c r="F153" s="838">
        <v>35144.668095611945</v>
      </c>
      <c r="G153" s="838">
        <v>8034</v>
      </c>
      <c r="H153" s="838">
        <v>-27110.668095611945</v>
      </c>
      <c r="I153" s="839">
        <v>0</v>
      </c>
      <c r="J153" s="851">
        <v>0</v>
      </c>
      <c r="K153" s="865"/>
      <c r="L153" s="839">
        <v>0</v>
      </c>
      <c r="M153" s="851">
        <v>0</v>
      </c>
      <c r="N153" s="853"/>
      <c r="O153" s="839">
        <v>0</v>
      </c>
      <c r="P153" s="851">
        <v>0</v>
      </c>
      <c r="Q153" s="854"/>
      <c r="R153" s="839">
        <v>0</v>
      </c>
      <c r="S153" s="851">
        <v>0</v>
      </c>
      <c r="T153" s="860"/>
      <c r="U153" s="839">
        <v>0</v>
      </c>
      <c r="V153" s="851">
        <v>0</v>
      </c>
      <c r="W153" s="839">
        <v>0</v>
      </c>
      <c r="X153" s="851">
        <v>0</v>
      </c>
      <c r="Y153" s="839">
        <v>1755</v>
      </c>
      <c r="Z153" s="851">
        <v>0</v>
      </c>
      <c r="AA153" s="839">
        <v>0</v>
      </c>
      <c r="AB153" s="851">
        <v>0</v>
      </c>
      <c r="AC153" s="839">
        <v>5212</v>
      </c>
      <c r="AD153" s="851">
        <v>1067</v>
      </c>
      <c r="AE153" s="839">
        <v>163.40459525333648</v>
      </c>
      <c r="AF153" s="851">
        <v>2888</v>
      </c>
      <c r="AG153" s="857"/>
      <c r="AH153" s="839">
        <v>336.8331617242394</v>
      </c>
      <c r="AI153" s="851">
        <v>2144</v>
      </c>
      <c r="AJ153" s="867"/>
      <c r="AK153" s="839">
        <v>244.72535051333389</v>
      </c>
      <c r="AL153" s="851">
        <v>0</v>
      </c>
      <c r="AM153" s="856"/>
      <c r="AN153" s="839">
        <v>103.02668463952413</v>
      </c>
      <c r="AO153" s="851">
        <v>0</v>
      </c>
      <c r="AP153" s="856"/>
      <c r="AQ153" s="839">
        <v>116.92905359372746</v>
      </c>
      <c r="AR153" s="851">
        <v>0</v>
      </c>
      <c r="AS153" s="856"/>
      <c r="AT153" s="839">
        <v>166.61389976254213</v>
      </c>
      <c r="AU153" s="851">
        <v>0</v>
      </c>
      <c r="AV153" s="856"/>
      <c r="AW153" s="839">
        <v>187.49373979063722</v>
      </c>
      <c r="AX153" s="851">
        <v>0</v>
      </c>
      <c r="AY153" s="856"/>
      <c r="AZ153" s="845">
        <v>1319.0264852773405</v>
      </c>
      <c r="BA153" s="845">
        <v>5032</v>
      </c>
      <c r="BB153" s="846">
        <v>3712.9735147226593</v>
      </c>
      <c r="BD153" s="2">
        <v>1</v>
      </c>
      <c r="BF153" s="787">
        <v>246.49378049902842</v>
      </c>
      <c r="BG153" s="325">
        <v>150001021</v>
      </c>
      <c r="BI153" s="847">
        <v>0</v>
      </c>
      <c r="BJ153" s="847">
        <v>0</v>
      </c>
      <c r="BK153" s="847">
        <v>0</v>
      </c>
      <c r="BL153" s="848"/>
      <c r="BM153" s="3"/>
      <c r="BN153" s="3"/>
      <c r="BP153" s="3"/>
      <c r="BQ153" s="3"/>
      <c r="BS153" s="42" t="s">
        <v>364</v>
      </c>
    </row>
    <row r="154" spans="1:71" ht="24.9" customHeight="1" x14ac:dyDescent="0.3">
      <c r="A154" s="325">
        <v>150001035</v>
      </c>
      <c r="B154" s="849" t="s">
        <v>263</v>
      </c>
      <c r="C154" s="850">
        <v>5</v>
      </c>
      <c r="D154" s="101" t="s">
        <v>455</v>
      </c>
      <c r="E154" s="279">
        <v>2850.7000000000003</v>
      </c>
      <c r="F154" s="838">
        <v>6284.1279773878887</v>
      </c>
      <c r="G154" s="838">
        <v>0</v>
      </c>
      <c r="H154" s="838">
        <v>-6284.1279773878887</v>
      </c>
      <c r="I154" s="839">
        <v>0</v>
      </c>
      <c r="J154" s="851">
        <v>0</v>
      </c>
      <c r="K154" s="866"/>
      <c r="L154" s="839">
        <v>0</v>
      </c>
      <c r="M154" s="851">
        <v>0</v>
      </c>
      <c r="N154" s="858"/>
      <c r="O154" s="839">
        <v>0</v>
      </c>
      <c r="P154" s="851">
        <v>0</v>
      </c>
      <c r="Q154" s="854"/>
      <c r="R154" s="839">
        <v>0</v>
      </c>
      <c r="S154" s="851">
        <v>0</v>
      </c>
      <c r="T154" s="855"/>
      <c r="U154" s="839">
        <v>0</v>
      </c>
      <c r="V154" s="851">
        <v>0</v>
      </c>
      <c r="W154" s="839">
        <v>0</v>
      </c>
      <c r="X154" s="851">
        <v>0</v>
      </c>
      <c r="Y154" s="839">
        <v>0</v>
      </c>
      <c r="Z154" s="851">
        <v>0</v>
      </c>
      <c r="AA154" s="839">
        <v>0</v>
      </c>
      <c r="AB154" s="851">
        <v>0</v>
      </c>
      <c r="AC154" s="839">
        <v>0</v>
      </c>
      <c r="AD154" s="851">
        <v>0</v>
      </c>
      <c r="AE154" s="839">
        <v>296.40759987889163</v>
      </c>
      <c r="AF154" s="851">
        <v>0</v>
      </c>
      <c r="AG154" s="856"/>
      <c r="AH154" s="839">
        <v>431.42874836421191</v>
      </c>
      <c r="AI154" s="851">
        <v>0</v>
      </c>
      <c r="AJ154" s="856"/>
      <c r="AK154" s="839">
        <v>290.03422020352775</v>
      </c>
      <c r="AL154" s="851">
        <v>0</v>
      </c>
      <c r="AM154" s="856"/>
      <c r="AN154" s="839">
        <v>144.21332472826128</v>
      </c>
      <c r="AO154" s="851">
        <v>0</v>
      </c>
      <c r="AP154" s="856"/>
      <c r="AQ154" s="839">
        <v>119.94714023874553</v>
      </c>
      <c r="AR154" s="851">
        <v>0</v>
      </c>
      <c r="AS154" s="856"/>
      <c r="AT154" s="839">
        <v>165.91452866121352</v>
      </c>
      <c r="AU154" s="851">
        <v>0</v>
      </c>
      <c r="AV154" s="856"/>
      <c r="AW154" s="839">
        <v>232.74222385317006</v>
      </c>
      <c r="AX154" s="851">
        <v>0</v>
      </c>
      <c r="AY154" s="856"/>
      <c r="AZ154" s="845">
        <v>1680.6877859280219</v>
      </c>
      <c r="BA154" s="845">
        <v>0</v>
      </c>
      <c r="BB154" s="846">
        <v>-1680.6877859280219</v>
      </c>
      <c r="BD154" s="2">
        <v>1</v>
      </c>
      <c r="BF154" s="787">
        <v>39.907296768978405</v>
      </c>
      <c r="BG154" s="325">
        <v>150001035</v>
      </c>
      <c r="BI154" s="847">
        <v>0</v>
      </c>
      <c r="BJ154" s="847">
        <v>0</v>
      </c>
      <c r="BK154" s="847">
        <v>0</v>
      </c>
      <c r="BL154" s="848"/>
      <c r="BM154" s="3"/>
      <c r="BN154" s="3"/>
      <c r="BP154" s="3"/>
      <c r="BQ154" s="3"/>
      <c r="BS154" s="42" t="s">
        <v>263</v>
      </c>
    </row>
    <row r="155" spans="1:71" ht="24.9" customHeight="1" x14ac:dyDescent="0.3">
      <c r="A155" s="325">
        <v>150001022</v>
      </c>
      <c r="B155" s="849" t="s">
        <v>365</v>
      </c>
      <c r="C155" s="850">
        <v>9</v>
      </c>
      <c r="D155" s="101" t="s">
        <v>455</v>
      </c>
      <c r="E155" s="279">
        <v>3771.47</v>
      </c>
      <c r="F155" s="838">
        <v>11411.464666137987</v>
      </c>
      <c r="G155" s="838">
        <v>3296</v>
      </c>
      <c r="H155" s="838">
        <v>-8115.4646661379866</v>
      </c>
      <c r="I155" s="839">
        <v>0</v>
      </c>
      <c r="J155" s="851">
        <v>0</v>
      </c>
      <c r="K155" s="852"/>
      <c r="L155" s="839">
        <v>0</v>
      </c>
      <c r="M155" s="851">
        <v>0</v>
      </c>
      <c r="N155" s="858"/>
      <c r="O155" s="839">
        <v>0</v>
      </c>
      <c r="P155" s="851">
        <v>0</v>
      </c>
      <c r="Q155" s="854"/>
      <c r="R155" s="839">
        <v>0</v>
      </c>
      <c r="S155" s="851">
        <v>0</v>
      </c>
      <c r="T155" s="855"/>
      <c r="U155" s="839">
        <v>0</v>
      </c>
      <c r="V155" s="851">
        <v>0</v>
      </c>
      <c r="W155" s="839">
        <v>0</v>
      </c>
      <c r="X155" s="851">
        <v>0</v>
      </c>
      <c r="Y155" s="839">
        <v>3296</v>
      </c>
      <c r="Z155" s="851">
        <v>0</v>
      </c>
      <c r="AA155" s="839">
        <v>0</v>
      </c>
      <c r="AB155" s="851">
        <v>0</v>
      </c>
      <c r="AC155" s="839">
        <v>0</v>
      </c>
      <c r="AD155" s="851">
        <v>0</v>
      </c>
      <c r="AE155" s="839">
        <v>137.99555972980002</v>
      </c>
      <c r="AF155" s="851">
        <v>0</v>
      </c>
      <c r="AG155" s="856"/>
      <c r="AH155" s="839">
        <v>220.85066511954076</v>
      </c>
      <c r="AI155" s="851">
        <v>0</v>
      </c>
      <c r="AJ155" s="856"/>
      <c r="AK155" s="839">
        <v>177.48698710665167</v>
      </c>
      <c r="AL155" s="851">
        <v>0</v>
      </c>
      <c r="AM155" s="867"/>
      <c r="AN155" s="839">
        <v>87.157379501975697</v>
      </c>
      <c r="AO155" s="851">
        <v>0</v>
      </c>
      <c r="AP155" s="856"/>
      <c r="AQ155" s="839">
        <v>61.458351225803753</v>
      </c>
      <c r="AR155" s="851">
        <v>0</v>
      </c>
      <c r="AS155" s="856"/>
      <c r="AT155" s="839">
        <v>128.7899698064362</v>
      </c>
      <c r="AU155" s="851">
        <v>0</v>
      </c>
      <c r="AV155" s="856"/>
      <c r="AW155" s="839">
        <v>65.148817906898302</v>
      </c>
      <c r="AX155" s="851">
        <v>0</v>
      </c>
      <c r="AY155" s="856"/>
      <c r="AZ155" s="845">
        <v>878.88773039710645</v>
      </c>
      <c r="BA155" s="845">
        <v>0</v>
      </c>
      <c r="BB155" s="846">
        <v>-878.88773039710645</v>
      </c>
      <c r="BD155" s="2">
        <v>1</v>
      </c>
      <c r="BF155" s="787">
        <v>26.554380676131164</v>
      </c>
      <c r="BG155" s="325">
        <v>150001022</v>
      </c>
      <c r="BI155" s="847">
        <v>0</v>
      </c>
      <c r="BJ155" s="847">
        <v>0</v>
      </c>
      <c r="BK155" s="847">
        <v>0</v>
      </c>
      <c r="BL155" s="848"/>
      <c r="BM155" s="3"/>
      <c r="BN155" s="3"/>
      <c r="BP155" s="3"/>
      <c r="BQ155" s="3"/>
      <c r="BS155" s="42" t="s">
        <v>365</v>
      </c>
    </row>
    <row r="156" spans="1:71" ht="24.9" customHeight="1" x14ac:dyDescent="0.3">
      <c r="A156" s="325">
        <v>150001023</v>
      </c>
      <c r="B156" s="849" t="s">
        <v>366</v>
      </c>
      <c r="C156" s="850">
        <v>9</v>
      </c>
      <c r="D156" s="101" t="s">
        <v>455</v>
      </c>
      <c r="E156" s="279">
        <v>3767.85</v>
      </c>
      <c r="F156" s="838">
        <v>10361.984393040482</v>
      </c>
      <c r="G156" s="838">
        <v>451.16445362609778</v>
      </c>
      <c r="H156" s="838">
        <v>-9910.8199394143849</v>
      </c>
      <c r="I156" s="839">
        <v>0</v>
      </c>
      <c r="J156" s="851">
        <v>0</v>
      </c>
      <c r="K156" s="852"/>
      <c r="L156" s="839">
        <v>0</v>
      </c>
      <c r="M156" s="851">
        <v>221</v>
      </c>
      <c r="N156" s="868"/>
      <c r="O156" s="839">
        <v>0</v>
      </c>
      <c r="P156" s="851">
        <v>0</v>
      </c>
      <c r="Q156" s="854"/>
      <c r="R156" s="839">
        <v>0</v>
      </c>
      <c r="S156" s="851">
        <v>0</v>
      </c>
      <c r="T156" s="870"/>
      <c r="U156" s="839">
        <v>0</v>
      </c>
      <c r="V156" s="851">
        <v>0</v>
      </c>
      <c r="W156" s="839">
        <v>0</v>
      </c>
      <c r="X156" s="851">
        <v>42.164453626097782</v>
      </c>
      <c r="Y156" s="839">
        <v>0</v>
      </c>
      <c r="Z156" s="851">
        <v>0</v>
      </c>
      <c r="AA156" s="839">
        <v>0</v>
      </c>
      <c r="AB156" s="851">
        <v>0</v>
      </c>
      <c r="AC156" s="839">
        <v>0</v>
      </c>
      <c r="AD156" s="851">
        <v>188</v>
      </c>
      <c r="AE156" s="839">
        <v>137.99555972980002</v>
      </c>
      <c r="AF156" s="851">
        <v>0</v>
      </c>
      <c r="AG156" s="856"/>
      <c r="AH156" s="839">
        <v>220.85066511954076</v>
      </c>
      <c r="AI156" s="851">
        <v>0</v>
      </c>
      <c r="AJ156" s="857"/>
      <c r="AK156" s="839">
        <v>317.2358755353203</v>
      </c>
      <c r="AL156" s="851">
        <v>0</v>
      </c>
      <c r="AM156" s="856"/>
      <c r="AN156" s="839">
        <v>109.91849602876229</v>
      </c>
      <c r="AO156" s="851">
        <v>0</v>
      </c>
      <c r="AP156" s="856"/>
      <c r="AQ156" s="839">
        <v>61.458351225803753</v>
      </c>
      <c r="AR156" s="851">
        <v>0</v>
      </c>
      <c r="AS156" s="856"/>
      <c r="AT156" s="839">
        <v>133.88047942032034</v>
      </c>
      <c r="AU156" s="851">
        <v>0</v>
      </c>
      <c r="AV156" s="856"/>
      <c r="AW156" s="839">
        <v>63.148545077137236</v>
      </c>
      <c r="AX156" s="851">
        <v>0</v>
      </c>
      <c r="AY156" s="856"/>
      <c r="AZ156" s="845">
        <v>1044.4879721366847</v>
      </c>
      <c r="BA156" s="845">
        <v>0</v>
      </c>
      <c r="BB156" s="846">
        <v>-1044.4879721366847</v>
      </c>
      <c r="BD156" s="2">
        <v>1</v>
      </c>
      <c r="BF156" s="787">
        <v>26.528892774053833</v>
      </c>
      <c r="BG156" s="325">
        <v>150001023</v>
      </c>
      <c r="BI156" s="847">
        <v>19.18</v>
      </c>
      <c r="BJ156" s="847">
        <v>1.8821994599100982</v>
      </c>
      <c r="BK156" s="847">
        <v>21.062199459910097</v>
      </c>
      <c r="BL156" s="848"/>
      <c r="BM156" s="3"/>
      <c r="BN156" s="3"/>
      <c r="BP156" s="3"/>
      <c r="BQ156" s="3"/>
      <c r="BS156" s="42" t="s">
        <v>366</v>
      </c>
    </row>
    <row r="157" spans="1:71" ht="24.9" customHeight="1" x14ac:dyDescent="0.3">
      <c r="A157" s="325">
        <v>150001024</v>
      </c>
      <c r="B157" s="849" t="s">
        <v>367</v>
      </c>
      <c r="C157" s="850">
        <v>9</v>
      </c>
      <c r="D157" s="101" t="s">
        <v>455</v>
      </c>
      <c r="E157" s="279">
        <v>4293.3200000000006</v>
      </c>
      <c r="F157" s="838">
        <v>11046.006216479449</v>
      </c>
      <c r="G157" s="838">
        <v>19138</v>
      </c>
      <c r="H157" s="838">
        <v>8091.993783520551</v>
      </c>
      <c r="I157" s="839">
        <v>0</v>
      </c>
      <c r="J157" s="851">
        <v>0</v>
      </c>
      <c r="K157" s="852"/>
      <c r="L157" s="839">
        <v>0</v>
      </c>
      <c r="M157" s="851">
        <v>3697</v>
      </c>
      <c r="N157" s="853"/>
      <c r="O157" s="839">
        <v>0</v>
      </c>
      <c r="P157" s="851">
        <v>0</v>
      </c>
      <c r="Q157" s="854"/>
      <c r="R157" s="839">
        <v>0</v>
      </c>
      <c r="S157" s="851">
        <v>0</v>
      </c>
      <c r="T157" s="855"/>
      <c r="U157" s="839">
        <v>0</v>
      </c>
      <c r="V157" s="851">
        <v>0</v>
      </c>
      <c r="W157" s="839">
        <v>0</v>
      </c>
      <c r="X157" s="851">
        <v>0</v>
      </c>
      <c r="Y157" s="839">
        <v>0</v>
      </c>
      <c r="Z157" s="851">
        <v>0</v>
      </c>
      <c r="AA157" s="839">
        <v>0</v>
      </c>
      <c r="AB157" s="851">
        <v>0</v>
      </c>
      <c r="AC157" s="839">
        <v>15441</v>
      </c>
      <c r="AD157" s="851">
        <v>0</v>
      </c>
      <c r="AE157" s="839">
        <v>206.77985978735606</v>
      </c>
      <c r="AF157" s="851">
        <v>1460</v>
      </c>
      <c r="AG157" s="856"/>
      <c r="AH157" s="839">
        <v>249.72595634349193</v>
      </c>
      <c r="AI157" s="851">
        <v>0</v>
      </c>
      <c r="AJ157" s="856"/>
      <c r="AK157" s="839">
        <v>261.65200467571259</v>
      </c>
      <c r="AL157" s="851">
        <v>0</v>
      </c>
      <c r="AM157" s="856"/>
      <c r="AN157" s="839">
        <v>136.18455916075749</v>
      </c>
      <c r="AO157" s="851">
        <v>0</v>
      </c>
      <c r="AP157" s="856"/>
      <c r="AQ157" s="839">
        <v>65.961235315382794</v>
      </c>
      <c r="AR157" s="851">
        <v>0</v>
      </c>
      <c r="AS157" s="856"/>
      <c r="AT157" s="839">
        <v>127.29001511917984</v>
      </c>
      <c r="AU157" s="851">
        <v>0</v>
      </c>
      <c r="AV157" s="856"/>
      <c r="AW157" s="839">
        <v>63.815302687057624</v>
      </c>
      <c r="AX157" s="851">
        <v>0</v>
      </c>
      <c r="AY157" s="856"/>
      <c r="AZ157" s="845">
        <v>1111.4089330889383</v>
      </c>
      <c r="BA157" s="845">
        <v>1460</v>
      </c>
      <c r="BB157" s="846">
        <v>348.59106691106172</v>
      </c>
      <c r="BD157" s="2">
        <v>1</v>
      </c>
      <c r="BF157" s="787">
        <v>30.220062018264123</v>
      </c>
      <c r="BG157" s="325">
        <v>150001024</v>
      </c>
      <c r="BI157" s="847">
        <v>0</v>
      </c>
      <c r="BJ157" s="847">
        <v>0</v>
      </c>
      <c r="BK157" s="847">
        <v>0</v>
      </c>
      <c r="BL157" s="848"/>
      <c r="BM157" s="3"/>
      <c r="BN157" s="3"/>
      <c r="BP157" s="3"/>
      <c r="BQ157" s="3"/>
      <c r="BS157" s="42" t="s">
        <v>367</v>
      </c>
    </row>
    <row r="158" spans="1:71" ht="24.9" customHeight="1" x14ac:dyDescent="0.3">
      <c r="A158" s="325">
        <v>150001025</v>
      </c>
      <c r="B158" s="849" t="s">
        <v>421</v>
      </c>
      <c r="C158" s="850">
        <v>10</v>
      </c>
      <c r="D158" s="101" t="s">
        <v>455</v>
      </c>
      <c r="E158" s="279">
        <v>5265.4</v>
      </c>
      <c r="F158" s="838">
        <v>12984.424745619957</v>
      </c>
      <c r="G158" s="838">
        <v>27383</v>
      </c>
      <c r="H158" s="838">
        <v>14398.575254380043</v>
      </c>
      <c r="I158" s="839">
        <v>0</v>
      </c>
      <c r="J158" s="851">
        <v>0</v>
      </c>
      <c r="K158" s="852"/>
      <c r="L158" s="839">
        <v>0</v>
      </c>
      <c r="M158" s="851">
        <v>0</v>
      </c>
      <c r="N158" s="858"/>
      <c r="O158" s="839">
        <v>0</v>
      </c>
      <c r="P158" s="851">
        <v>0</v>
      </c>
      <c r="Q158" s="854"/>
      <c r="R158" s="839">
        <v>0</v>
      </c>
      <c r="S158" s="851">
        <v>0</v>
      </c>
      <c r="T158" s="855"/>
      <c r="U158" s="839">
        <v>0</v>
      </c>
      <c r="V158" s="851">
        <v>0</v>
      </c>
      <c r="W158" s="839">
        <v>0</v>
      </c>
      <c r="X158" s="851">
        <v>0</v>
      </c>
      <c r="Y158" s="839">
        <v>0</v>
      </c>
      <c r="Z158" s="851">
        <v>0</v>
      </c>
      <c r="AA158" s="839">
        <v>0</v>
      </c>
      <c r="AB158" s="851">
        <v>0</v>
      </c>
      <c r="AC158" s="839">
        <v>27053</v>
      </c>
      <c r="AD158" s="851">
        <v>330</v>
      </c>
      <c r="AE158" s="839">
        <v>253.79559344136993</v>
      </c>
      <c r="AF158" s="851">
        <v>562</v>
      </c>
      <c r="AG158" s="856"/>
      <c r="AH158" s="839">
        <v>299.85918245111566</v>
      </c>
      <c r="AI158" s="851">
        <v>0</v>
      </c>
      <c r="AJ158" s="856"/>
      <c r="AK158" s="839">
        <v>314.1999342756028</v>
      </c>
      <c r="AL158" s="851">
        <v>0</v>
      </c>
      <c r="AM158" s="856"/>
      <c r="AN158" s="839">
        <v>149.09893932882818</v>
      </c>
      <c r="AO158" s="851">
        <v>0</v>
      </c>
      <c r="AP158" s="856"/>
      <c r="AQ158" s="839">
        <v>70.464078559636903</v>
      </c>
      <c r="AR158" s="851">
        <v>0</v>
      </c>
      <c r="AS158" s="856"/>
      <c r="AT158" s="839">
        <v>139.13578215632674</v>
      </c>
      <c r="AU158" s="851">
        <v>0</v>
      </c>
      <c r="AV158" s="856"/>
      <c r="AW158" s="839">
        <v>80.877523551507238</v>
      </c>
      <c r="AX158" s="851">
        <v>0</v>
      </c>
      <c r="AY158" s="856"/>
      <c r="AZ158" s="845">
        <v>1307.4310337643874</v>
      </c>
      <c r="BA158" s="845">
        <v>562</v>
      </c>
      <c r="BB158" s="846">
        <v>-745.43103376438739</v>
      </c>
      <c r="BD158" s="2">
        <v>1</v>
      </c>
      <c r="BF158" s="787">
        <v>37.072928065741223</v>
      </c>
      <c r="BG158" s="325">
        <v>150001025</v>
      </c>
      <c r="BI158" s="847">
        <v>0</v>
      </c>
      <c r="BJ158" s="847">
        <v>0</v>
      </c>
      <c r="BK158" s="847">
        <v>0</v>
      </c>
      <c r="BL158" s="848"/>
      <c r="BM158" s="3"/>
      <c r="BN158" s="3"/>
      <c r="BP158" s="3"/>
      <c r="BQ158" s="3"/>
      <c r="BS158" s="42" t="s">
        <v>421</v>
      </c>
    </row>
    <row r="159" spans="1:71" ht="24.9" customHeight="1" x14ac:dyDescent="0.3">
      <c r="A159" s="325">
        <v>150001026</v>
      </c>
      <c r="B159" s="849" t="s">
        <v>335</v>
      </c>
      <c r="C159" s="850">
        <v>8</v>
      </c>
      <c r="D159" s="101" t="s">
        <v>455</v>
      </c>
      <c r="E159" s="279">
        <v>7052.84</v>
      </c>
      <c r="F159" s="838">
        <v>23490.658100615346</v>
      </c>
      <c r="G159" s="838">
        <v>433</v>
      </c>
      <c r="H159" s="838">
        <v>-23057.658100615346</v>
      </c>
      <c r="I159" s="839">
        <v>0</v>
      </c>
      <c r="J159" s="851">
        <v>0</v>
      </c>
      <c r="K159" s="852"/>
      <c r="L159" s="839">
        <v>0</v>
      </c>
      <c r="M159" s="851">
        <v>0</v>
      </c>
      <c r="N159" s="853"/>
      <c r="O159" s="839">
        <v>0</v>
      </c>
      <c r="P159" s="851">
        <v>0</v>
      </c>
      <c r="Q159" s="874"/>
      <c r="R159" s="839">
        <v>0</v>
      </c>
      <c r="S159" s="851">
        <v>0</v>
      </c>
      <c r="T159" s="870"/>
      <c r="U159" s="839">
        <v>0</v>
      </c>
      <c r="V159" s="851">
        <v>0</v>
      </c>
      <c r="W159" s="839">
        <v>0</v>
      </c>
      <c r="X159" s="851">
        <v>0</v>
      </c>
      <c r="Y159" s="839">
        <v>0</v>
      </c>
      <c r="Z159" s="851">
        <v>0</v>
      </c>
      <c r="AA159" s="839">
        <v>0</v>
      </c>
      <c r="AB159" s="851">
        <v>0</v>
      </c>
      <c r="AC159" s="839">
        <v>0</v>
      </c>
      <c r="AD159" s="851">
        <v>433</v>
      </c>
      <c r="AE159" s="839">
        <v>94.43378304313336</v>
      </c>
      <c r="AF159" s="851">
        <v>913</v>
      </c>
      <c r="AG159" s="867"/>
      <c r="AH159" s="839">
        <v>164.69565160645897</v>
      </c>
      <c r="AI159" s="851">
        <v>3436</v>
      </c>
      <c r="AJ159" s="867"/>
      <c r="AK159" s="839">
        <v>85.522569153203989</v>
      </c>
      <c r="AL159" s="851">
        <v>0</v>
      </c>
      <c r="AM159" s="856"/>
      <c r="AN159" s="839">
        <v>77.168991502675269</v>
      </c>
      <c r="AO159" s="851">
        <v>0</v>
      </c>
      <c r="AP159" s="856"/>
      <c r="AQ159" s="839">
        <v>114.23216904794364</v>
      </c>
      <c r="AR159" s="851">
        <v>0</v>
      </c>
      <c r="AS159" s="856"/>
      <c r="AT159" s="839">
        <v>117.81904756011804</v>
      </c>
      <c r="AU159" s="851">
        <v>0</v>
      </c>
      <c r="AV159" s="882"/>
      <c r="AW159" s="839">
        <v>186.43229164545758</v>
      </c>
      <c r="AX159" s="851">
        <v>0</v>
      </c>
      <c r="AY159" s="856"/>
      <c r="AZ159" s="845">
        <v>840.30450355899086</v>
      </c>
      <c r="BA159" s="845">
        <v>4349</v>
      </c>
      <c r="BB159" s="846">
        <v>3508.6954964410093</v>
      </c>
      <c r="BD159" s="2">
        <v>1</v>
      </c>
      <c r="BF159" s="787">
        <v>49.648180172425697</v>
      </c>
      <c r="BG159" s="325">
        <v>150001026</v>
      </c>
      <c r="BI159" s="847">
        <v>0</v>
      </c>
      <c r="BJ159" s="847">
        <v>0</v>
      </c>
      <c r="BK159" s="847">
        <v>0</v>
      </c>
      <c r="BL159" s="848"/>
      <c r="BM159" s="3"/>
      <c r="BN159" s="3"/>
      <c r="BP159" s="3"/>
      <c r="BQ159" s="3"/>
      <c r="BS159" s="42" t="s">
        <v>335</v>
      </c>
    </row>
    <row r="160" spans="1:71" ht="24.9" customHeight="1" x14ac:dyDescent="0.3">
      <c r="A160" s="325">
        <v>150001027</v>
      </c>
      <c r="B160" s="849" t="s">
        <v>368</v>
      </c>
      <c r="C160" s="850">
        <v>9</v>
      </c>
      <c r="D160" s="101" t="s">
        <v>455</v>
      </c>
      <c r="E160" s="279">
        <v>10381.549999999999</v>
      </c>
      <c r="F160" s="838">
        <v>31894.502917421258</v>
      </c>
      <c r="G160" s="838">
        <v>4256</v>
      </c>
      <c r="H160" s="838">
        <v>-27638.502917421258</v>
      </c>
      <c r="I160" s="839">
        <v>0</v>
      </c>
      <c r="J160" s="851">
        <v>0</v>
      </c>
      <c r="K160" s="852"/>
      <c r="L160" s="839">
        <v>0</v>
      </c>
      <c r="M160" s="851">
        <v>0</v>
      </c>
      <c r="N160" s="853"/>
      <c r="O160" s="839">
        <v>0</v>
      </c>
      <c r="P160" s="851">
        <v>0</v>
      </c>
      <c r="Q160" s="854"/>
      <c r="R160" s="839">
        <v>2</v>
      </c>
      <c r="S160" s="851">
        <v>4127</v>
      </c>
      <c r="T160" s="860"/>
      <c r="U160" s="839">
        <v>0</v>
      </c>
      <c r="V160" s="851">
        <v>0</v>
      </c>
      <c r="W160" s="839">
        <v>0</v>
      </c>
      <c r="X160" s="851">
        <v>0</v>
      </c>
      <c r="Y160" s="839">
        <v>0</v>
      </c>
      <c r="Z160" s="851">
        <v>0</v>
      </c>
      <c r="AA160" s="839">
        <v>0</v>
      </c>
      <c r="AB160" s="851">
        <v>0</v>
      </c>
      <c r="AC160" s="839">
        <v>0</v>
      </c>
      <c r="AD160" s="851">
        <v>129</v>
      </c>
      <c r="AE160" s="839">
        <v>218.8366539500102</v>
      </c>
      <c r="AF160" s="851">
        <v>0</v>
      </c>
      <c r="AG160" s="856"/>
      <c r="AH160" s="839">
        <v>293.70984678688399</v>
      </c>
      <c r="AI160" s="851">
        <v>6333</v>
      </c>
      <c r="AJ160" s="857"/>
      <c r="AK160" s="839">
        <v>364.69237551859214</v>
      </c>
      <c r="AL160" s="851">
        <v>0</v>
      </c>
      <c r="AM160" s="867"/>
      <c r="AN160" s="839">
        <v>200.31082217688231</v>
      </c>
      <c r="AO160" s="851">
        <v>0</v>
      </c>
      <c r="AP160" s="856"/>
      <c r="AQ160" s="839">
        <v>233.85323677229661</v>
      </c>
      <c r="AR160" s="851">
        <v>0</v>
      </c>
      <c r="AS160" s="856"/>
      <c r="AT160" s="839">
        <v>278.72226634903535</v>
      </c>
      <c r="AU160" s="851">
        <v>0</v>
      </c>
      <c r="AV160" s="856"/>
      <c r="AW160" s="839">
        <v>127.01222515318118</v>
      </c>
      <c r="AX160" s="851">
        <v>0</v>
      </c>
      <c r="AY160" s="856"/>
      <c r="AZ160" s="845">
        <v>1717.1374267068818</v>
      </c>
      <c r="BA160" s="845">
        <v>6333</v>
      </c>
      <c r="BB160" s="846">
        <v>4615.8625732931177</v>
      </c>
      <c r="BD160" s="2">
        <v>1</v>
      </c>
      <c r="BF160" s="787">
        <v>92.950648560384835</v>
      </c>
      <c r="BG160" s="325">
        <v>150001027</v>
      </c>
      <c r="BI160" s="847">
        <v>0</v>
      </c>
      <c r="BJ160" s="847">
        <v>0</v>
      </c>
      <c r="BK160" s="847">
        <v>0</v>
      </c>
      <c r="BL160" s="848"/>
      <c r="BM160" s="3"/>
      <c r="BN160" s="3"/>
      <c r="BP160" s="3"/>
      <c r="BQ160" s="3"/>
      <c r="BS160" s="42" t="s">
        <v>368</v>
      </c>
    </row>
    <row r="161" spans="1:71" ht="24.9" customHeight="1" x14ac:dyDescent="0.3">
      <c r="A161" s="325">
        <v>150001028</v>
      </c>
      <c r="B161" s="862" t="s">
        <v>102</v>
      </c>
      <c r="C161" s="863">
        <v>1</v>
      </c>
      <c r="D161" s="101" t="s">
        <v>455</v>
      </c>
      <c r="E161" s="279">
        <v>110.7</v>
      </c>
      <c r="F161" s="838">
        <v>352.26530486119486</v>
      </c>
      <c r="G161" s="838">
        <v>1214</v>
      </c>
      <c r="H161" s="838">
        <v>861.73469513880514</v>
      </c>
      <c r="I161" s="839">
        <v>0</v>
      </c>
      <c r="J161" s="851">
        <v>1214</v>
      </c>
      <c r="K161" s="852"/>
      <c r="L161" s="839">
        <v>0</v>
      </c>
      <c r="M161" s="851">
        <v>0</v>
      </c>
      <c r="N161" s="853"/>
      <c r="O161" s="839">
        <v>0</v>
      </c>
      <c r="P161" s="851">
        <v>0</v>
      </c>
      <c r="Q161" s="854"/>
      <c r="R161" s="839">
        <v>0</v>
      </c>
      <c r="S161" s="851">
        <v>0</v>
      </c>
      <c r="T161" s="855"/>
      <c r="U161" s="839">
        <v>0</v>
      </c>
      <c r="V161" s="851">
        <v>0</v>
      </c>
      <c r="W161" s="839">
        <v>0</v>
      </c>
      <c r="X161" s="851">
        <v>0</v>
      </c>
      <c r="Y161" s="839">
        <v>0</v>
      </c>
      <c r="Z161" s="851">
        <v>0</v>
      </c>
      <c r="AA161" s="839">
        <v>0</v>
      </c>
      <c r="AB161" s="851">
        <v>0</v>
      </c>
      <c r="AC161" s="839">
        <v>0</v>
      </c>
      <c r="AD161" s="851">
        <v>0</v>
      </c>
      <c r="AE161" s="839">
        <v>0</v>
      </c>
      <c r="AF161" s="851">
        <v>0</v>
      </c>
      <c r="AG161" s="856"/>
      <c r="AH161" s="839">
        <v>0</v>
      </c>
      <c r="AI161" s="851">
        <v>0</v>
      </c>
      <c r="AJ161" s="856"/>
      <c r="AK161" s="839">
        <v>0</v>
      </c>
      <c r="AL161" s="851">
        <v>0</v>
      </c>
      <c r="AM161" s="856"/>
      <c r="AN161" s="839">
        <v>0</v>
      </c>
      <c r="AO161" s="851">
        <v>0</v>
      </c>
      <c r="AP161" s="856"/>
      <c r="AQ161" s="839">
        <v>0</v>
      </c>
      <c r="AR161" s="851">
        <v>0</v>
      </c>
      <c r="AS161" s="856"/>
      <c r="AT161" s="839">
        <v>0</v>
      </c>
      <c r="AU161" s="851">
        <v>0</v>
      </c>
      <c r="AV161" s="856"/>
      <c r="AW161" s="839">
        <v>0</v>
      </c>
      <c r="AX161" s="851">
        <v>0</v>
      </c>
      <c r="AY161" s="856"/>
      <c r="AZ161" s="845">
        <v>0</v>
      </c>
      <c r="BA161" s="845">
        <v>0</v>
      </c>
      <c r="BB161" s="846">
        <v>0</v>
      </c>
      <c r="BD161" s="2">
        <v>1</v>
      </c>
      <c r="BF161" s="787">
        <v>0</v>
      </c>
      <c r="BG161" s="325">
        <v>150001028</v>
      </c>
      <c r="BI161" s="847">
        <v>0</v>
      </c>
      <c r="BJ161" s="847">
        <v>0</v>
      </c>
      <c r="BK161" s="847">
        <v>0</v>
      </c>
      <c r="BL161" s="848"/>
      <c r="BM161" s="3"/>
      <c r="BN161" s="3"/>
      <c r="BP161" s="3"/>
      <c r="BQ161" s="3"/>
      <c r="BS161" s="42" t="s">
        <v>102</v>
      </c>
    </row>
    <row r="162" spans="1:71" ht="24.9" customHeight="1" x14ac:dyDescent="0.3">
      <c r="A162" s="325">
        <v>150001036</v>
      </c>
      <c r="B162" s="862" t="s">
        <v>103</v>
      </c>
      <c r="C162" s="863">
        <v>1</v>
      </c>
      <c r="D162" s="101" t="s">
        <v>455</v>
      </c>
      <c r="E162" s="279">
        <v>211.4</v>
      </c>
      <c r="F162" s="838">
        <v>442.11606747447229</v>
      </c>
      <c r="G162" s="838">
        <v>0</v>
      </c>
      <c r="H162" s="838">
        <v>-442.11606747447229</v>
      </c>
      <c r="I162" s="839">
        <v>0</v>
      </c>
      <c r="J162" s="851">
        <v>0</v>
      </c>
      <c r="K162" s="852"/>
      <c r="L162" s="839">
        <v>0</v>
      </c>
      <c r="M162" s="851">
        <v>0</v>
      </c>
      <c r="N162" s="853"/>
      <c r="O162" s="839">
        <v>0</v>
      </c>
      <c r="P162" s="851">
        <v>0</v>
      </c>
      <c r="Q162" s="854"/>
      <c r="R162" s="839">
        <v>0</v>
      </c>
      <c r="S162" s="851">
        <v>0</v>
      </c>
      <c r="T162" s="855"/>
      <c r="U162" s="839">
        <v>0</v>
      </c>
      <c r="V162" s="851">
        <v>0</v>
      </c>
      <c r="W162" s="839">
        <v>0</v>
      </c>
      <c r="X162" s="851">
        <v>0</v>
      </c>
      <c r="Y162" s="839">
        <v>0</v>
      </c>
      <c r="Z162" s="851">
        <v>0</v>
      </c>
      <c r="AA162" s="839">
        <v>0</v>
      </c>
      <c r="AB162" s="851">
        <v>0</v>
      </c>
      <c r="AC162" s="839">
        <v>0</v>
      </c>
      <c r="AD162" s="851">
        <v>0</v>
      </c>
      <c r="AE162" s="839">
        <v>0</v>
      </c>
      <c r="AF162" s="851">
        <v>0</v>
      </c>
      <c r="AG162" s="856"/>
      <c r="AH162" s="839">
        <v>0</v>
      </c>
      <c r="AI162" s="851">
        <v>0</v>
      </c>
      <c r="AJ162" s="856"/>
      <c r="AK162" s="839">
        <v>0</v>
      </c>
      <c r="AL162" s="851">
        <v>0</v>
      </c>
      <c r="AM162" s="856"/>
      <c r="AN162" s="839">
        <v>0</v>
      </c>
      <c r="AO162" s="851">
        <v>0</v>
      </c>
      <c r="AP162" s="856"/>
      <c r="AQ162" s="839">
        <v>0</v>
      </c>
      <c r="AR162" s="851">
        <v>0</v>
      </c>
      <c r="AS162" s="856"/>
      <c r="AT162" s="839">
        <v>0</v>
      </c>
      <c r="AU162" s="851">
        <v>0</v>
      </c>
      <c r="AV162" s="856"/>
      <c r="AW162" s="839">
        <v>0</v>
      </c>
      <c r="AX162" s="851">
        <v>0</v>
      </c>
      <c r="AY162" s="856"/>
      <c r="AZ162" s="845">
        <v>0</v>
      </c>
      <c r="BA162" s="845">
        <v>0</v>
      </c>
      <c r="BB162" s="846">
        <v>0</v>
      </c>
      <c r="BD162" s="2">
        <v>1</v>
      </c>
      <c r="BF162" s="787">
        <v>0</v>
      </c>
      <c r="BG162" s="325">
        <v>150001036</v>
      </c>
      <c r="BI162" s="847">
        <v>0</v>
      </c>
      <c r="BJ162" s="847">
        <v>0</v>
      </c>
      <c r="BK162" s="847">
        <v>0</v>
      </c>
      <c r="BL162" s="848"/>
      <c r="BM162" s="3"/>
      <c r="BN162" s="3"/>
      <c r="BP162" s="3"/>
      <c r="BQ162" s="3"/>
      <c r="BS162" s="42" t="s">
        <v>103</v>
      </c>
    </row>
    <row r="163" spans="1:71" ht="24.9" customHeight="1" x14ac:dyDescent="0.3">
      <c r="A163" s="325">
        <v>150001029</v>
      </c>
      <c r="B163" s="849" t="s">
        <v>369</v>
      </c>
      <c r="C163" s="850">
        <v>9</v>
      </c>
      <c r="D163" s="101" t="s">
        <v>455</v>
      </c>
      <c r="E163" s="279">
        <v>7425.1</v>
      </c>
      <c r="F163" s="838">
        <v>21655.570957957854</v>
      </c>
      <c r="G163" s="838">
        <v>0</v>
      </c>
      <c r="H163" s="838">
        <v>-21655.570957957854</v>
      </c>
      <c r="I163" s="839">
        <v>0</v>
      </c>
      <c r="J163" s="851">
        <v>0</v>
      </c>
      <c r="K163" s="852"/>
      <c r="L163" s="839">
        <v>0</v>
      </c>
      <c r="M163" s="851">
        <v>0</v>
      </c>
      <c r="N163" s="853"/>
      <c r="O163" s="839">
        <v>0</v>
      </c>
      <c r="P163" s="851">
        <v>0</v>
      </c>
      <c r="Q163" s="854"/>
      <c r="R163" s="839">
        <v>0</v>
      </c>
      <c r="S163" s="851">
        <v>0</v>
      </c>
      <c r="T163" s="870"/>
      <c r="U163" s="839">
        <v>0</v>
      </c>
      <c r="V163" s="851">
        <v>0</v>
      </c>
      <c r="W163" s="839">
        <v>0</v>
      </c>
      <c r="X163" s="851">
        <v>0</v>
      </c>
      <c r="Y163" s="839">
        <v>0</v>
      </c>
      <c r="Z163" s="851">
        <v>0</v>
      </c>
      <c r="AA163" s="839">
        <v>0</v>
      </c>
      <c r="AB163" s="851">
        <v>0</v>
      </c>
      <c r="AC163" s="839">
        <v>0</v>
      </c>
      <c r="AD163" s="851">
        <v>0</v>
      </c>
      <c r="AE163" s="839">
        <v>285.60590283188384</v>
      </c>
      <c r="AF163" s="851">
        <v>0</v>
      </c>
      <c r="AG163" s="856"/>
      <c r="AH163" s="839">
        <v>390.32326750718556</v>
      </c>
      <c r="AI163" s="851">
        <v>0</v>
      </c>
      <c r="AJ163" s="867"/>
      <c r="AK163" s="839">
        <v>457.79539128399068</v>
      </c>
      <c r="AL163" s="851">
        <v>0</v>
      </c>
      <c r="AM163" s="856"/>
      <c r="AN163" s="839">
        <v>190.64462400592069</v>
      </c>
      <c r="AO163" s="851">
        <v>0</v>
      </c>
      <c r="AP163" s="856"/>
      <c r="AQ163" s="839">
        <v>292.3226339843186</v>
      </c>
      <c r="AR163" s="851">
        <v>0</v>
      </c>
      <c r="AS163" s="856"/>
      <c r="AT163" s="839">
        <v>231.42810175412231</v>
      </c>
      <c r="AU163" s="851">
        <v>0</v>
      </c>
      <c r="AV163" s="856"/>
      <c r="AW163" s="839">
        <v>143.02162076665977</v>
      </c>
      <c r="AX163" s="851">
        <v>0</v>
      </c>
      <c r="AY163" s="856"/>
      <c r="AZ163" s="845">
        <v>1991.1415421340812</v>
      </c>
      <c r="BA163" s="845">
        <v>0</v>
      </c>
      <c r="BB163" s="846">
        <v>-1991.1415421340812</v>
      </c>
      <c r="BD163" s="2">
        <v>1</v>
      </c>
      <c r="BF163" s="787">
        <v>59.77407536668624</v>
      </c>
      <c r="BG163" s="325">
        <v>150001029</v>
      </c>
      <c r="BI163" s="847">
        <v>0</v>
      </c>
      <c r="BJ163" s="847">
        <v>0</v>
      </c>
      <c r="BK163" s="847">
        <v>0</v>
      </c>
      <c r="BL163" s="848"/>
      <c r="BM163" s="3"/>
      <c r="BN163" s="3"/>
      <c r="BP163" s="3"/>
      <c r="BQ163" s="3"/>
      <c r="BS163" s="42" t="s">
        <v>369</v>
      </c>
    </row>
    <row r="164" spans="1:71" ht="24.9" customHeight="1" x14ac:dyDescent="0.3">
      <c r="A164" s="325">
        <v>150001030</v>
      </c>
      <c r="B164" s="849" t="s">
        <v>336</v>
      </c>
      <c r="C164" s="850">
        <v>8</v>
      </c>
      <c r="D164" s="101" t="s">
        <v>455</v>
      </c>
      <c r="E164" s="279">
        <v>6125.75</v>
      </c>
      <c r="F164" s="838">
        <v>19270.077390402439</v>
      </c>
      <c r="G164" s="838">
        <v>60956.044470379158</v>
      </c>
      <c r="H164" s="838">
        <v>41685.967079976719</v>
      </c>
      <c r="I164" s="839">
        <v>0</v>
      </c>
      <c r="J164" s="851">
        <v>0</v>
      </c>
      <c r="K164" s="852"/>
      <c r="L164" s="839">
        <v>1</v>
      </c>
      <c r="M164" s="851">
        <v>43197</v>
      </c>
      <c r="N164" s="853"/>
      <c r="O164" s="839">
        <v>0</v>
      </c>
      <c r="P164" s="851">
        <v>0</v>
      </c>
      <c r="Q164" s="854"/>
      <c r="R164" s="839">
        <v>1</v>
      </c>
      <c r="S164" s="851">
        <v>3896</v>
      </c>
      <c r="T164" s="855"/>
      <c r="U164" s="839">
        <v>0</v>
      </c>
      <c r="V164" s="851">
        <v>0</v>
      </c>
      <c r="W164" s="839">
        <v>0</v>
      </c>
      <c r="X164" s="851">
        <v>2.044470379159069</v>
      </c>
      <c r="Y164" s="839">
        <v>0</v>
      </c>
      <c r="Z164" s="851">
        <v>0</v>
      </c>
      <c r="AA164" s="839">
        <v>0</v>
      </c>
      <c r="AB164" s="851">
        <v>0</v>
      </c>
      <c r="AC164" s="839">
        <v>13146</v>
      </c>
      <c r="AD164" s="851">
        <v>715</v>
      </c>
      <c r="AE164" s="839">
        <v>86.443035780007833</v>
      </c>
      <c r="AF164" s="851">
        <v>0</v>
      </c>
      <c r="AG164" s="856"/>
      <c r="AH164" s="839">
        <v>120.14218698074031</v>
      </c>
      <c r="AI164" s="851">
        <v>0</v>
      </c>
      <c r="AJ164" s="856"/>
      <c r="AK164" s="839">
        <v>78.018301012424018</v>
      </c>
      <c r="AL164" s="851">
        <v>0</v>
      </c>
      <c r="AM164" s="856"/>
      <c r="AN164" s="839">
        <v>64.015527193052435</v>
      </c>
      <c r="AO164" s="851">
        <v>0</v>
      </c>
      <c r="AP164" s="856"/>
      <c r="AQ164" s="839">
        <v>55.319784965168807</v>
      </c>
      <c r="AR164" s="851">
        <v>0</v>
      </c>
      <c r="AS164" s="856"/>
      <c r="AT164" s="839">
        <v>78.644690031445961</v>
      </c>
      <c r="AU164" s="851">
        <v>0</v>
      </c>
      <c r="AV164" s="856"/>
      <c r="AW164" s="839">
        <v>184.43633026280074</v>
      </c>
      <c r="AX164" s="851">
        <v>0</v>
      </c>
      <c r="AY164" s="856"/>
      <c r="AZ164" s="845">
        <v>667.01985622564007</v>
      </c>
      <c r="BA164" s="845">
        <v>0</v>
      </c>
      <c r="BB164" s="846">
        <v>-667.01985622564007</v>
      </c>
      <c r="BD164" s="2">
        <v>1</v>
      </c>
      <c r="BF164" s="787">
        <v>217.46144000408711</v>
      </c>
      <c r="BG164" s="325">
        <v>150001030</v>
      </c>
      <c r="BI164" s="847">
        <v>0.93</v>
      </c>
      <c r="BJ164" s="847">
        <v>9.1264103113471912E-2</v>
      </c>
      <c r="BK164" s="847">
        <v>1.0212641031134719</v>
      </c>
      <c r="BL164" s="848"/>
      <c r="BM164" s="3"/>
      <c r="BN164" s="3"/>
      <c r="BP164" s="3"/>
      <c r="BQ164" s="3"/>
      <c r="BS164" s="42" t="s">
        <v>336</v>
      </c>
    </row>
    <row r="165" spans="1:71" ht="24.9" customHeight="1" x14ac:dyDescent="0.3">
      <c r="A165" s="325">
        <v>150001031</v>
      </c>
      <c r="B165" s="862" t="s">
        <v>104</v>
      </c>
      <c r="C165" s="863">
        <v>1</v>
      </c>
      <c r="D165" s="101" t="s">
        <v>455</v>
      </c>
      <c r="E165" s="279">
        <v>159.9</v>
      </c>
      <c r="F165" s="838">
        <v>339.44755533208934</v>
      </c>
      <c r="G165" s="838">
        <v>1214</v>
      </c>
      <c r="H165" s="838">
        <v>874.55244466791066</v>
      </c>
      <c r="I165" s="839">
        <v>0</v>
      </c>
      <c r="J165" s="851">
        <v>1214</v>
      </c>
      <c r="K165" s="852"/>
      <c r="L165" s="839">
        <v>0</v>
      </c>
      <c r="M165" s="851">
        <v>0</v>
      </c>
      <c r="N165" s="853"/>
      <c r="O165" s="839">
        <v>0</v>
      </c>
      <c r="P165" s="851">
        <v>0</v>
      </c>
      <c r="Q165" s="854"/>
      <c r="R165" s="839">
        <v>0</v>
      </c>
      <c r="S165" s="851">
        <v>0</v>
      </c>
      <c r="T165" s="855"/>
      <c r="U165" s="839">
        <v>0</v>
      </c>
      <c r="V165" s="851">
        <v>0</v>
      </c>
      <c r="W165" s="839">
        <v>0</v>
      </c>
      <c r="X165" s="851">
        <v>0</v>
      </c>
      <c r="Y165" s="839">
        <v>0</v>
      </c>
      <c r="Z165" s="851">
        <v>0</v>
      </c>
      <c r="AA165" s="839">
        <v>0</v>
      </c>
      <c r="AB165" s="851">
        <v>0</v>
      </c>
      <c r="AC165" s="839">
        <v>0</v>
      </c>
      <c r="AD165" s="851">
        <v>0</v>
      </c>
      <c r="AE165" s="839">
        <v>0</v>
      </c>
      <c r="AF165" s="851">
        <v>0</v>
      </c>
      <c r="AG165" s="856"/>
      <c r="AH165" s="839">
        <v>0</v>
      </c>
      <c r="AI165" s="851">
        <v>0</v>
      </c>
      <c r="AJ165" s="856"/>
      <c r="AK165" s="839">
        <v>0</v>
      </c>
      <c r="AL165" s="851">
        <v>0</v>
      </c>
      <c r="AM165" s="856"/>
      <c r="AN165" s="839">
        <v>0</v>
      </c>
      <c r="AO165" s="851">
        <v>0</v>
      </c>
      <c r="AP165" s="856"/>
      <c r="AQ165" s="839">
        <v>0</v>
      </c>
      <c r="AR165" s="851">
        <v>0</v>
      </c>
      <c r="AS165" s="856"/>
      <c r="AT165" s="839">
        <v>0</v>
      </c>
      <c r="AU165" s="851">
        <v>0</v>
      </c>
      <c r="AV165" s="856"/>
      <c r="AW165" s="839">
        <v>0</v>
      </c>
      <c r="AX165" s="851">
        <v>0</v>
      </c>
      <c r="AY165" s="856"/>
      <c r="AZ165" s="845">
        <v>0</v>
      </c>
      <c r="BA165" s="845">
        <v>0</v>
      </c>
      <c r="BB165" s="846">
        <v>0</v>
      </c>
      <c r="BD165" s="2">
        <v>1</v>
      </c>
      <c r="BF165" s="787">
        <v>0</v>
      </c>
      <c r="BG165" s="325">
        <v>150001031</v>
      </c>
      <c r="BI165" s="847">
        <v>0</v>
      </c>
      <c r="BJ165" s="847">
        <v>0</v>
      </c>
      <c r="BK165" s="847">
        <v>0</v>
      </c>
      <c r="BL165" s="848"/>
      <c r="BM165" s="3"/>
      <c r="BN165" s="3"/>
      <c r="BP165" s="3"/>
      <c r="BQ165" s="3"/>
      <c r="BS165" s="42" t="s">
        <v>104</v>
      </c>
    </row>
    <row r="166" spans="1:71" ht="24.9" customHeight="1" x14ac:dyDescent="0.3">
      <c r="A166" s="325">
        <v>150001037</v>
      </c>
      <c r="B166" s="862" t="s">
        <v>105</v>
      </c>
      <c r="C166" s="863">
        <v>1</v>
      </c>
      <c r="D166" s="101" t="s">
        <v>455</v>
      </c>
      <c r="E166" s="279">
        <v>161.4</v>
      </c>
      <c r="F166" s="838">
        <v>323.23582226545983</v>
      </c>
      <c r="G166" s="838">
        <v>0</v>
      </c>
      <c r="H166" s="838">
        <v>-323.23582226545983</v>
      </c>
      <c r="I166" s="839">
        <v>0</v>
      </c>
      <c r="J166" s="851">
        <v>0</v>
      </c>
      <c r="K166" s="852"/>
      <c r="L166" s="839">
        <v>0</v>
      </c>
      <c r="M166" s="851">
        <v>0</v>
      </c>
      <c r="N166" s="853"/>
      <c r="O166" s="839">
        <v>0</v>
      </c>
      <c r="P166" s="851">
        <v>0</v>
      </c>
      <c r="Q166" s="854"/>
      <c r="R166" s="839">
        <v>0</v>
      </c>
      <c r="S166" s="851">
        <v>0</v>
      </c>
      <c r="T166" s="855"/>
      <c r="U166" s="839">
        <v>0</v>
      </c>
      <c r="V166" s="851">
        <v>0</v>
      </c>
      <c r="W166" s="839">
        <v>0</v>
      </c>
      <c r="X166" s="851">
        <v>0</v>
      </c>
      <c r="Y166" s="839">
        <v>0</v>
      </c>
      <c r="Z166" s="851">
        <v>0</v>
      </c>
      <c r="AA166" s="839">
        <v>0</v>
      </c>
      <c r="AB166" s="851">
        <v>0</v>
      </c>
      <c r="AC166" s="839">
        <v>0</v>
      </c>
      <c r="AD166" s="851">
        <v>0</v>
      </c>
      <c r="AE166" s="839">
        <v>0</v>
      </c>
      <c r="AF166" s="851">
        <v>0</v>
      </c>
      <c r="AG166" s="856"/>
      <c r="AH166" s="839">
        <v>0</v>
      </c>
      <c r="AI166" s="851">
        <v>0</v>
      </c>
      <c r="AJ166" s="856"/>
      <c r="AK166" s="839">
        <v>0</v>
      </c>
      <c r="AL166" s="851">
        <v>0</v>
      </c>
      <c r="AM166" s="856"/>
      <c r="AN166" s="839">
        <v>0</v>
      </c>
      <c r="AO166" s="851">
        <v>0</v>
      </c>
      <c r="AP166" s="856"/>
      <c r="AQ166" s="839">
        <v>0</v>
      </c>
      <c r="AR166" s="851">
        <v>0</v>
      </c>
      <c r="AS166" s="856"/>
      <c r="AT166" s="839">
        <v>0</v>
      </c>
      <c r="AU166" s="851">
        <v>0</v>
      </c>
      <c r="AV166" s="856"/>
      <c r="AW166" s="839">
        <v>0</v>
      </c>
      <c r="AX166" s="851">
        <v>0</v>
      </c>
      <c r="AY166" s="856"/>
      <c r="AZ166" s="845">
        <v>0</v>
      </c>
      <c r="BA166" s="845">
        <v>0</v>
      </c>
      <c r="BB166" s="846">
        <v>0</v>
      </c>
      <c r="BD166" s="2">
        <v>1</v>
      </c>
      <c r="BF166" s="787">
        <v>0</v>
      </c>
      <c r="BG166" s="325">
        <v>150001037</v>
      </c>
      <c r="BI166" s="847">
        <v>0</v>
      </c>
      <c r="BJ166" s="847">
        <v>0</v>
      </c>
      <c r="BK166" s="847">
        <v>0</v>
      </c>
      <c r="BL166" s="848"/>
      <c r="BM166" s="3"/>
      <c r="BN166" s="3"/>
      <c r="BP166" s="3"/>
      <c r="BQ166" s="3"/>
      <c r="BS166" s="42" t="s">
        <v>105</v>
      </c>
    </row>
    <row r="167" spans="1:71" ht="24.9" customHeight="1" x14ac:dyDescent="0.3">
      <c r="A167" s="325">
        <v>150001032</v>
      </c>
      <c r="B167" s="849" t="s">
        <v>370</v>
      </c>
      <c r="C167" s="850">
        <v>9</v>
      </c>
      <c r="D167" s="101" t="s">
        <v>455</v>
      </c>
      <c r="E167" s="279">
        <v>6020</v>
      </c>
      <c r="F167" s="838">
        <v>17637.511541191994</v>
      </c>
      <c r="G167" s="838">
        <v>8973</v>
      </c>
      <c r="H167" s="838">
        <v>-8664.5115411919942</v>
      </c>
      <c r="I167" s="839">
        <v>0</v>
      </c>
      <c r="J167" s="851">
        <v>0</v>
      </c>
      <c r="K167" s="852"/>
      <c r="L167" s="839">
        <v>0</v>
      </c>
      <c r="M167" s="851">
        <v>0</v>
      </c>
      <c r="N167" s="868"/>
      <c r="O167" s="839">
        <v>0</v>
      </c>
      <c r="P167" s="851">
        <v>0</v>
      </c>
      <c r="Q167" s="854"/>
      <c r="R167" s="839">
        <v>1</v>
      </c>
      <c r="S167" s="851">
        <v>2783</v>
      </c>
      <c r="T167" s="860"/>
      <c r="U167" s="839">
        <v>0</v>
      </c>
      <c r="V167" s="851">
        <v>0</v>
      </c>
      <c r="W167" s="839">
        <v>0</v>
      </c>
      <c r="X167" s="851">
        <v>0</v>
      </c>
      <c r="Y167" s="839">
        <v>0</v>
      </c>
      <c r="Z167" s="851">
        <v>0</v>
      </c>
      <c r="AA167" s="839">
        <v>0</v>
      </c>
      <c r="AB167" s="851">
        <v>0</v>
      </c>
      <c r="AC167" s="839">
        <v>2095</v>
      </c>
      <c r="AD167" s="851">
        <v>4095</v>
      </c>
      <c r="AE167" s="839">
        <v>169.81309339741193</v>
      </c>
      <c r="AF167" s="851">
        <v>0</v>
      </c>
      <c r="AG167" s="856"/>
      <c r="AH167" s="839">
        <v>211.69671960875121</v>
      </c>
      <c r="AI167" s="851">
        <v>0</v>
      </c>
      <c r="AJ167" s="856"/>
      <c r="AK167" s="839">
        <v>351.24098113888738</v>
      </c>
      <c r="AL167" s="851">
        <v>0</v>
      </c>
      <c r="AM167" s="856"/>
      <c r="AN167" s="839">
        <v>132.75947329872042</v>
      </c>
      <c r="AO167" s="851">
        <v>0</v>
      </c>
      <c r="AP167" s="856"/>
      <c r="AQ167" s="839">
        <v>146.1613169921593</v>
      </c>
      <c r="AR167" s="851">
        <v>0</v>
      </c>
      <c r="AS167" s="856"/>
      <c r="AT167" s="839">
        <v>232.16032966965076</v>
      </c>
      <c r="AU167" s="851">
        <v>0</v>
      </c>
      <c r="AV167" s="857"/>
      <c r="AW167" s="839">
        <v>184.43633026280074</v>
      </c>
      <c r="AX167" s="851">
        <v>0</v>
      </c>
      <c r="AY167" s="856"/>
      <c r="AZ167" s="845">
        <v>1428.2682443683818</v>
      </c>
      <c r="BA167" s="845">
        <v>0</v>
      </c>
      <c r="BB167" s="846">
        <v>-1428.2682443683818</v>
      </c>
      <c r="BD167" s="2">
        <v>1</v>
      </c>
      <c r="BF167" s="787">
        <v>42.393351602961062</v>
      </c>
      <c r="BG167" s="325">
        <v>150001032</v>
      </c>
      <c r="BI167" s="847">
        <v>0</v>
      </c>
      <c r="BJ167" s="847">
        <v>0</v>
      </c>
      <c r="BK167" s="847">
        <v>0</v>
      </c>
      <c r="BL167" s="848"/>
      <c r="BM167" s="3"/>
      <c r="BN167" s="3"/>
      <c r="BP167" s="3"/>
      <c r="BQ167" s="3"/>
      <c r="BS167" s="42" t="s">
        <v>370</v>
      </c>
    </row>
    <row r="168" spans="1:71" ht="24.9" customHeight="1" x14ac:dyDescent="0.3">
      <c r="A168" s="325">
        <v>150000537</v>
      </c>
      <c r="B168" s="862" t="s">
        <v>106</v>
      </c>
      <c r="C168" s="863">
        <v>1</v>
      </c>
      <c r="D168" s="101" t="s">
        <v>455</v>
      </c>
      <c r="E168" s="279">
        <v>108.3</v>
      </c>
      <c r="F168" s="838">
        <v>27.075999999999997</v>
      </c>
      <c r="G168" s="838">
        <v>0</v>
      </c>
      <c r="H168" s="838">
        <v>-27.075999999999997</v>
      </c>
      <c r="I168" s="839">
        <v>0</v>
      </c>
      <c r="J168" s="851">
        <v>0</v>
      </c>
      <c r="K168" s="852"/>
      <c r="L168" s="839">
        <v>0</v>
      </c>
      <c r="M168" s="851">
        <v>0</v>
      </c>
      <c r="N168" s="853"/>
      <c r="O168" s="839">
        <v>0</v>
      </c>
      <c r="P168" s="851">
        <v>0</v>
      </c>
      <c r="Q168" s="854"/>
      <c r="R168" s="839">
        <v>0</v>
      </c>
      <c r="S168" s="851">
        <v>0</v>
      </c>
      <c r="T168" s="855"/>
      <c r="U168" s="839">
        <v>0</v>
      </c>
      <c r="V168" s="851">
        <v>0</v>
      </c>
      <c r="W168" s="839">
        <v>0</v>
      </c>
      <c r="X168" s="851">
        <v>0</v>
      </c>
      <c r="Y168" s="839">
        <v>0</v>
      </c>
      <c r="Z168" s="851">
        <v>0</v>
      </c>
      <c r="AA168" s="839">
        <v>0</v>
      </c>
      <c r="AB168" s="851">
        <v>0</v>
      </c>
      <c r="AC168" s="839">
        <v>0</v>
      </c>
      <c r="AD168" s="851">
        <v>0</v>
      </c>
      <c r="AE168" s="839">
        <v>0</v>
      </c>
      <c r="AF168" s="851">
        <v>0</v>
      </c>
      <c r="AG168" s="856"/>
      <c r="AH168" s="839">
        <v>0</v>
      </c>
      <c r="AI168" s="851">
        <v>0</v>
      </c>
      <c r="AJ168" s="856"/>
      <c r="AK168" s="839">
        <v>0</v>
      </c>
      <c r="AL168" s="851">
        <v>0</v>
      </c>
      <c r="AM168" s="856"/>
      <c r="AN168" s="839">
        <v>0</v>
      </c>
      <c r="AO168" s="851">
        <v>0</v>
      </c>
      <c r="AP168" s="856"/>
      <c r="AQ168" s="839">
        <v>0</v>
      </c>
      <c r="AR168" s="851">
        <v>0</v>
      </c>
      <c r="AS168" s="856"/>
      <c r="AT168" s="839">
        <v>0</v>
      </c>
      <c r="AU168" s="851">
        <v>0</v>
      </c>
      <c r="AV168" s="856"/>
      <c r="AW168" s="839">
        <v>0</v>
      </c>
      <c r="AX168" s="851">
        <v>0</v>
      </c>
      <c r="AY168" s="856"/>
      <c r="AZ168" s="845">
        <v>0</v>
      </c>
      <c r="BA168" s="845">
        <v>0</v>
      </c>
      <c r="BB168" s="846">
        <v>0</v>
      </c>
      <c r="BD168" s="2">
        <v>2</v>
      </c>
      <c r="BF168" s="787">
        <v>0</v>
      </c>
      <c r="BG168" s="325">
        <v>150000537</v>
      </c>
      <c r="BI168" s="847">
        <v>0</v>
      </c>
      <c r="BJ168" s="847">
        <v>0</v>
      </c>
      <c r="BK168" s="847">
        <v>0</v>
      </c>
      <c r="BL168" s="848"/>
      <c r="BM168" s="3"/>
      <c r="BN168" s="3"/>
      <c r="BP168" s="3"/>
      <c r="BQ168" s="3"/>
      <c r="BS168" s="42" t="s">
        <v>106</v>
      </c>
    </row>
    <row r="169" spans="1:71" ht="24.9" customHeight="1" x14ac:dyDescent="0.3">
      <c r="A169" s="325">
        <v>150000545</v>
      </c>
      <c r="B169" s="862" t="s">
        <v>107</v>
      </c>
      <c r="C169" s="863">
        <v>1</v>
      </c>
      <c r="D169" s="101" t="s">
        <v>455</v>
      </c>
      <c r="E169" s="279">
        <v>95</v>
      </c>
      <c r="F169" s="838">
        <v>206.91011246234066</v>
      </c>
      <c r="G169" s="838">
        <v>0</v>
      </c>
      <c r="H169" s="838">
        <v>-206.91011246234066</v>
      </c>
      <c r="I169" s="839">
        <v>0</v>
      </c>
      <c r="J169" s="851">
        <v>0</v>
      </c>
      <c r="K169" s="852"/>
      <c r="L169" s="839">
        <v>0</v>
      </c>
      <c r="M169" s="851">
        <v>0</v>
      </c>
      <c r="N169" s="853"/>
      <c r="O169" s="839">
        <v>0</v>
      </c>
      <c r="P169" s="851">
        <v>0</v>
      </c>
      <c r="Q169" s="854"/>
      <c r="R169" s="839">
        <v>0</v>
      </c>
      <c r="S169" s="851">
        <v>0</v>
      </c>
      <c r="T169" s="855"/>
      <c r="U169" s="839">
        <v>0</v>
      </c>
      <c r="V169" s="851">
        <v>0</v>
      </c>
      <c r="W169" s="839">
        <v>0</v>
      </c>
      <c r="X169" s="851">
        <v>0</v>
      </c>
      <c r="Y169" s="839">
        <v>0</v>
      </c>
      <c r="Z169" s="851">
        <v>0</v>
      </c>
      <c r="AA169" s="839">
        <v>0</v>
      </c>
      <c r="AB169" s="851">
        <v>0</v>
      </c>
      <c r="AC169" s="839">
        <v>0</v>
      </c>
      <c r="AD169" s="851">
        <v>0</v>
      </c>
      <c r="AE169" s="839">
        <v>0</v>
      </c>
      <c r="AF169" s="851">
        <v>0</v>
      </c>
      <c r="AG169" s="856"/>
      <c r="AH169" s="839">
        <v>0</v>
      </c>
      <c r="AI169" s="851">
        <v>0</v>
      </c>
      <c r="AJ169" s="856"/>
      <c r="AK169" s="839">
        <v>0</v>
      </c>
      <c r="AL169" s="851">
        <v>0</v>
      </c>
      <c r="AM169" s="856"/>
      <c r="AN169" s="839">
        <v>0</v>
      </c>
      <c r="AO169" s="851">
        <v>0</v>
      </c>
      <c r="AP169" s="856"/>
      <c r="AQ169" s="839">
        <v>0</v>
      </c>
      <c r="AR169" s="851">
        <v>0</v>
      </c>
      <c r="AS169" s="856"/>
      <c r="AT169" s="839">
        <v>0</v>
      </c>
      <c r="AU169" s="851">
        <v>0</v>
      </c>
      <c r="AV169" s="856"/>
      <c r="AW169" s="839">
        <v>0</v>
      </c>
      <c r="AX169" s="851">
        <v>0</v>
      </c>
      <c r="AY169" s="856"/>
      <c r="AZ169" s="845">
        <v>0</v>
      </c>
      <c r="BA169" s="845">
        <v>0</v>
      </c>
      <c r="BB169" s="846">
        <v>0</v>
      </c>
      <c r="BD169" s="2">
        <v>2</v>
      </c>
      <c r="BF169" s="787">
        <v>0</v>
      </c>
      <c r="BG169" s="325">
        <v>150000545</v>
      </c>
      <c r="BI169" s="847">
        <v>0</v>
      </c>
      <c r="BJ169" s="847">
        <v>0</v>
      </c>
      <c r="BK169" s="847">
        <v>0</v>
      </c>
      <c r="BL169" s="848"/>
      <c r="BM169" s="3"/>
      <c r="BN169" s="3"/>
      <c r="BP169" s="3"/>
      <c r="BQ169" s="3"/>
      <c r="BS169" s="42" t="s">
        <v>107</v>
      </c>
    </row>
    <row r="170" spans="1:71" ht="24.9" customHeight="1" x14ac:dyDescent="0.3">
      <c r="A170" s="325">
        <v>150000546</v>
      </c>
      <c r="B170" s="862" t="s">
        <v>108</v>
      </c>
      <c r="C170" s="863">
        <v>1</v>
      </c>
      <c r="D170" s="101" t="s">
        <v>455</v>
      </c>
      <c r="E170" s="279">
        <v>131.30000000000001</v>
      </c>
      <c r="F170" s="838">
        <v>283.32110185525045</v>
      </c>
      <c r="G170" s="838">
        <v>0</v>
      </c>
      <c r="H170" s="838">
        <v>-283.32110185525045</v>
      </c>
      <c r="I170" s="839">
        <v>0</v>
      </c>
      <c r="J170" s="851">
        <v>0</v>
      </c>
      <c r="K170" s="852"/>
      <c r="L170" s="839">
        <v>0</v>
      </c>
      <c r="M170" s="851">
        <v>0</v>
      </c>
      <c r="N170" s="853"/>
      <c r="O170" s="839">
        <v>0</v>
      </c>
      <c r="P170" s="851">
        <v>0</v>
      </c>
      <c r="Q170" s="854"/>
      <c r="R170" s="839">
        <v>0</v>
      </c>
      <c r="S170" s="851">
        <v>0</v>
      </c>
      <c r="T170" s="855"/>
      <c r="U170" s="839">
        <v>0</v>
      </c>
      <c r="V170" s="851">
        <v>0</v>
      </c>
      <c r="W170" s="839">
        <v>0</v>
      </c>
      <c r="X170" s="851">
        <v>0</v>
      </c>
      <c r="Y170" s="839">
        <v>0</v>
      </c>
      <c r="Z170" s="851">
        <v>0</v>
      </c>
      <c r="AA170" s="839">
        <v>0</v>
      </c>
      <c r="AB170" s="851">
        <v>0</v>
      </c>
      <c r="AC170" s="839">
        <v>0</v>
      </c>
      <c r="AD170" s="851">
        <v>0</v>
      </c>
      <c r="AE170" s="839">
        <v>0</v>
      </c>
      <c r="AF170" s="851">
        <v>0</v>
      </c>
      <c r="AG170" s="856"/>
      <c r="AH170" s="839">
        <v>0</v>
      </c>
      <c r="AI170" s="851">
        <v>0</v>
      </c>
      <c r="AJ170" s="856"/>
      <c r="AK170" s="839">
        <v>0</v>
      </c>
      <c r="AL170" s="851">
        <v>0</v>
      </c>
      <c r="AM170" s="856"/>
      <c r="AN170" s="839">
        <v>0</v>
      </c>
      <c r="AO170" s="851">
        <v>0</v>
      </c>
      <c r="AP170" s="856"/>
      <c r="AQ170" s="839">
        <v>0</v>
      </c>
      <c r="AR170" s="851">
        <v>0</v>
      </c>
      <c r="AS170" s="856"/>
      <c r="AT170" s="839">
        <v>0</v>
      </c>
      <c r="AU170" s="851">
        <v>0</v>
      </c>
      <c r="AV170" s="856"/>
      <c r="AW170" s="839">
        <v>0</v>
      </c>
      <c r="AX170" s="851">
        <v>0</v>
      </c>
      <c r="AY170" s="856"/>
      <c r="AZ170" s="845">
        <v>0</v>
      </c>
      <c r="BA170" s="845">
        <v>0</v>
      </c>
      <c r="BB170" s="846">
        <v>0</v>
      </c>
      <c r="BD170" s="2">
        <v>2</v>
      </c>
      <c r="BF170" s="787">
        <v>0</v>
      </c>
      <c r="BG170" s="325">
        <v>150000546</v>
      </c>
      <c r="BI170" s="847">
        <v>0</v>
      </c>
      <c r="BJ170" s="847">
        <v>0</v>
      </c>
      <c r="BK170" s="847">
        <v>0</v>
      </c>
      <c r="BL170" s="848"/>
      <c r="BM170" s="3"/>
      <c r="BN170" s="3"/>
      <c r="BP170" s="3"/>
      <c r="BQ170" s="3"/>
      <c r="BS170" s="42" t="s">
        <v>108</v>
      </c>
    </row>
    <row r="171" spans="1:71" ht="24.9" customHeight="1" x14ac:dyDescent="0.3">
      <c r="A171" s="325">
        <v>150000502</v>
      </c>
      <c r="B171" s="862" t="s">
        <v>109</v>
      </c>
      <c r="C171" s="863">
        <v>1</v>
      </c>
      <c r="D171" s="101" t="s">
        <v>455</v>
      </c>
      <c r="E171" s="279">
        <v>137.30000000000001</v>
      </c>
      <c r="F171" s="838">
        <v>330.065614280077</v>
      </c>
      <c r="G171" s="838">
        <v>446</v>
      </c>
      <c r="H171" s="838">
        <v>115.934385719923</v>
      </c>
      <c r="I171" s="839">
        <v>0</v>
      </c>
      <c r="J171" s="851">
        <v>446</v>
      </c>
      <c r="K171" s="852"/>
      <c r="L171" s="839">
        <v>0</v>
      </c>
      <c r="M171" s="851">
        <v>0</v>
      </c>
      <c r="N171" s="853"/>
      <c r="O171" s="839">
        <v>0</v>
      </c>
      <c r="P171" s="851">
        <v>0</v>
      </c>
      <c r="Q171" s="854"/>
      <c r="R171" s="839">
        <v>0</v>
      </c>
      <c r="S171" s="851">
        <v>0</v>
      </c>
      <c r="T171" s="855"/>
      <c r="U171" s="839">
        <v>0</v>
      </c>
      <c r="V171" s="851">
        <v>0</v>
      </c>
      <c r="W171" s="839">
        <v>0</v>
      </c>
      <c r="X171" s="851">
        <v>0</v>
      </c>
      <c r="Y171" s="839">
        <v>0</v>
      </c>
      <c r="Z171" s="851">
        <v>0</v>
      </c>
      <c r="AA171" s="839">
        <v>0</v>
      </c>
      <c r="AB171" s="851">
        <v>0</v>
      </c>
      <c r="AC171" s="839">
        <v>0</v>
      </c>
      <c r="AD171" s="851">
        <v>0</v>
      </c>
      <c r="AE171" s="839">
        <v>0</v>
      </c>
      <c r="AF171" s="851">
        <v>0</v>
      </c>
      <c r="AG171" s="856"/>
      <c r="AH171" s="839">
        <v>0</v>
      </c>
      <c r="AI171" s="851">
        <v>0</v>
      </c>
      <c r="AJ171" s="856"/>
      <c r="AK171" s="839">
        <v>0</v>
      </c>
      <c r="AL171" s="851">
        <v>0</v>
      </c>
      <c r="AM171" s="856"/>
      <c r="AN171" s="839">
        <v>0</v>
      </c>
      <c r="AO171" s="851">
        <v>0</v>
      </c>
      <c r="AP171" s="856"/>
      <c r="AQ171" s="839">
        <v>0</v>
      </c>
      <c r="AR171" s="851">
        <v>0</v>
      </c>
      <c r="AS171" s="856"/>
      <c r="AT171" s="839">
        <v>0</v>
      </c>
      <c r="AU171" s="851">
        <v>0</v>
      </c>
      <c r="AV171" s="856"/>
      <c r="AW171" s="839">
        <v>0</v>
      </c>
      <c r="AX171" s="851">
        <v>0</v>
      </c>
      <c r="AY171" s="856"/>
      <c r="AZ171" s="845">
        <v>0</v>
      </c>
      <c r="BA171" s="845">
        <v>0</v>
      </c>
      <c r="BB171" s="846">
        <v>0</v>
      </c>
      <c r="BD171" s="2">
        <v>3</v>
      </c>
      <c r="BF171" s="787">
        <v>0</v>
      </c>
      <c r="BG171" s="325">
        <v>150000502</v>
      </c>
      <c r="BI171" s="847">
        <v>0</v>
      </c>
      <c r="BJ171" s="847">
        <v>0</v>
      </c>
      <c r="BK171" s="847">
        <v>0</v>
      </c>
      <c r="BL171" s="848"/>
      <c r="BM171" s="3"/>
      <c r="BN171" s="3"/>
      <c r="BP171" s="3"/>
      <c r="BQ171" s="3"/>
      <c r="BS171" s="42" t="s">
        <v>109</v>
      </c>
    </row>
    <row r="172" spans="1:71" ht="24.9" customHeight="1" x14ac:dyDescent="0.3">
      <c r="A172" s="325">
        <v>150000503</v>
      </c>
      <c r="B172" s="862" t="s">
        <v>110</v>
      </c>
      <c r="C172" s="863">
        <v>1</v>
      </c>
      <c r="D172" s="101" t="s">
        <v>455</v>
      </c>
      <c r="E172" s="279">
        <v>211.6</v>
      </c>
      <c r="F172" s="838">
        <v>491.33388269603643</v>
      </c>
      <c r="G172" s="838">
        <v>0</v>
      </c>
      <c r="H172" s="838">
        <v>-491.33388269603643</v>
      </c>
      <c r="I172" s="839">
        <v>0</v>
      </c>
      <c r="J172" s="851">
        <v>0</v>
      </c>
      <c r="K172" s="852"/>
      <c r="L172" s="839">
        <v>0</v>
      </c>
      <c r="M172" s="851">
        <v>0</v>
      </c>
      <c r="N172" s="853"/>
      <c r="O172" s="839">
        <v>0</v>
      </c>
      <c r="P172" s="851">
        <v>0</v>
      </c>
      <c r="Q172" s="854"/>
      <c r="R172" s="839">
        <v>0</v>
      </c>
      <c r="S172" s="851">
        <v>0</v>
      </c>
      <c r="T172" s="855"/>
      <c r="U172" s="839">
        <v>0</v>
      </c>
      <c r="V172" s="851">
        <v>0</v>
      </c>
      <c r="W172" s="839">
        <v>0</v>
      </c>
      <c r="X172" s="851">
        <v>0</v>
      </c>
      <c r="Y172" s="839">
        <v>0</v>
      </c>
      <c r="Z172" s="851">
        <v>0</v>
      </c>
      <c r="AA172" s="839">
        <v>0</v>
      </c>
      <c r="AB172" s="851">
        <v>0</v>
      </c>
      <c r="AC172" s="839">
        <v>0</v>
      </c>
      <c r="AD172" s="851">
        <v>0</v>
      </c>
      <c r="AE172" s="839">
        <v>2.4740542054058649E-3</v>
      </c>
      <c r="AF172" s="851">
        <v>0</v>
      </c>
      <c r="AG172" s="856"/>
      <c r="AH172" s="839">
        <v>0</v>
      </c>
      <c r="AI172" s="851">
        <v>0</v>
      </c>
      <c r="AJ172" s="856"/>
      <c r="AK172" s="839">
        <v>0</v>
      </c>
      <c r="AL172" s="851">
        <v>0</v>
      </c>
      <c r="AM172" s="856"/>
      <c r="AN172" s="839">
        <v>0</v>
      </c>
      <c r="AO172" s="851">
        <v>0</v>
      </c>
      <c r="AP172" s="856"/>
      <c r="AQ172" s="839">
        <v>0</v>
      </c>
      <c r="AR172" s="851">
        <v>0</v>
      </c>
      <c r="AS172" s="856"/>
      <c r="AT172" s="839">
        <v>0</v>
      </c>
      <c r="AU172" s="851">
        <v>0</v>
      </c>
      <c r="AV172" s="856"/>
      <c r="AW172" s="839">
        <v>0</v>
      </c>
      <c r="AX172" s="851">
        <v>0</v>
      </c>
      <c r="AY172" s="856"/>
      <c r="AZ172" s="845">
        <v>2.4740542054058649E-3</v>
      </c>
      <c r="BA172" s="845">
        <v>0</v>
      </c>
      <c r="BB172" s="846">
        <v>-2.4740542054058649E-3</v>
      </c>
      <c r="BD172" s="2">
        <v>3</v>
      </c>
      <c r="BF172" s="787">
        <v>0</v>
      </c>
      <c r="BG172" s="325">
        <v>150000503</v>
      </c>
      <c r="BI172" s="847">
        <v>0</v>
      </c>
      <c r="BJ172" s="847">
        <v>0</v>
      </c>
      <c r="BK172" s="847">
        <v>0</v>
      </c>
      <c r="BL172" s="848"/>
      <c r="BM172" s="3"/>
      <c r="BN172" s="3"/>
      <c r="BP172" s="3"/>
      <c r="BQ172" s="3"/>
      <c r="BS172" s="42" t="s">
        <v>110</v>
      </c>
    </row>
    <row r="173" spans="1:71" ht="24.9" customHeight="1" x14ac:dyDescent="0.3">
      <c r="A173" s="325">
        <v>150000504</v>
      </c>
      <c r="B173" s="862" t="s">
        <v>111</v>
      </c>
      <c r="C173" s="863">
        <v>1</v>
      </c>
      <c r="D173" s="101" t="s">
        <v>455</v>
      </c>
      <c r="E173" s="279">
        <v>180.6</v>
      </c>
      <c r="F173" s="838">
        <v>443.58864013860301</v>
      </c>
      <c r="G173" s="838">
        <v>0</v>
      </c>
      <c r="H173" s="838">
        <v>-443.58864013860301</v>
      </c>
      <c r="I173" s="839">
        <v>0</v>
      </c>
      <c r="J173" s="851">
        <v>0</v>
      </c>
      <c r="K173" s="852"/>
      <c r="L173" s="839">
        <v>0</v>
      </c>
      <c r="M173" s="851">
        <v>0</v>
      </c>
      <c r="N173" s="853"/>
      <c r="O173" s="839">
        <v>0</v>
      </c>
      <c r="P173" s="851">
        <v>0</v>
      </c>
      <c r="Q173" s="854"/>
      <c r="R173" s="839">
        <v>0</v>
      </c>
      <c r="S173" s="851">
        <v>0</v>
      </c>
      <c r="T173" s="855"/>
      <c r="U173" s="839">
        <v>0</v>
      </c>
      <c r="V173" s="851">
        <v>0</v>
      </c>
      <c r="W173" s="839">
        <v>0</v>
      </c>
      <c r="X173" s="851">
        <v>0</v>
      </c>
      <c r="Y173" s="839">
        <v>0</v>
      </c>
      <c r="Z173" s="851">
        <v>0</v>
      </c>
      <c r="AA173" s="839">
        <v>0</v>
      </c>
      <c r="AB173" s="851">
        <v>0</v>
      </c>
      <c r="AC173" s="839">
        <v>0</v>
      </c>
      <c r="AD173" s="851">
        <v>0</v>
      </c>
      <c r="AE173" s="839">
        <v>0</v>
      </c>
      <c r="AF173" s="851">
        <v>0</v>
      </c>
      <c r="AG173" s="856"/>
      <c r="AH173" s="839">
        <v>0</v>
      </c>
      <c r="AI173" s="851">
        <v>0</v>
      </c>
      <c r="AJ173" s="856"/>
      <c r="AK173" s="839">
        <v>0</v>
      </c>
      <c r="AL173" s="851">
        <v>0</v>
      </c>
      <c r="AM173" s="856"/>
      <c r="AN173" s="839">
        <v>0</v>
      </c>
      <c r="AO173" s="851">
        <v>0</v>
      </c>
      <c r="AP173" s="856"/>
      <c r="AQ173" s="839">
        <v>0</v>
      </c>
      <c r="AR173" s="851">
        <v>0</v>
      </c>
      <c r="AS173" s="856"/>
      <c r="AT173" s="839">
        <v>0</v>
      </c>
      <c r="AU173" s="851">
        <v>0</v>
      </c>
      <c r="AV173" s="856"/>
      <c r="AW173" s="839">
        <v>0</v>
      </c>
      <c r="AX173" s="851">
        <v>0</v>
      </c>
      <c r="AY173" s="856"/>
      <c r="AZ173" s="845">
        <v>0</v>
      </c>
      <c r="BA173" s="845">
        <v>0</v>
      </c>
      <c r="BB173" s="846">
        <v>0</v>
      </c>
      <c r="BD173" s="2">
        <v>3</v>
      </c>
      <c r="BF173" s="787">
        <v>0</v>
      </c>
      <c r="BG173" s="325">
        <v>150000504</v>
      </c>
      <c r="BI173" s="847">
        <v>0</v>
      </c>
      <c r="BJ173" s="847">
        <v>0</v>
      </c>
      <c r="BK173" s="847">
        <v>0</v>
      </c>
      <c r="BL173" s="848"/>
      <c r="BM173" s="3"/>
      <c r="BN173" s="3"/>
      <c r="BP173" s="3"/>
      <c r="BQ173" s="3"/>
      <c r="BS173" s="42" t="s">
        <v>111</v>
      </c>
    </row>
    <row r="174" spans="1:71" ht="24.9" customHeight="1" x14ac:dyDescent="0.3">
      <c r="A174" s="325">
        <v>150000506</v>
      </c>
      <c r="B174" s="862" t="s">
        <v>112</v>
      </c>
      <c r="C174" s="863">
        <v>1</v>
      </c>
      <c r="D174" s="101" t="s">
        <v>455</v>
      </c>
      <c r="E174" s="279">
        <v>102.4</v>
      </c>
      <c r="F174" s="838">
        <v>286.6016945796448</v>
      </c>
      <c r="G174" s="838">
        <v>0</v>
      </c>
      <c r="H174" s="838">
        <v>-286.6016945796448</v>
      </c>
      <c r="I174" s="839">
        <v>0</v>
      </c>
      <c r="J174" s="851">
        <v>0</v>
      </c>
      <c r="K174" s="852"/>
      <c r="L174" s="839">
        <v>0</v>
      </c>
      <c r="M174" s="851">
        <v>0</v>
      </c>
      <c r="N174" s="853"/>
      <c r="O174" s="839">
        <v>0</v>
      </c>
      <c r="P174" s="851">
        <v>0</v>
      </c>
      <c r="Q174" s="854"/>
      <c r="R174" s="839">
        <v>0</v>
      </c>
      <c r="S174" s="851">
        <v>0</v>
      </c>
      <c r="T174" s="855"/>
      <c r="U174" s="839">
        <v>0</v>
      </c>
      <c r="V174" s="851">
        <v>0</v>
      </c>
      <c r="W174" s="839">
        <v>0</v>
      </c>
      <c r="X174" s="851">
        <v>0</v>
      </c>
      <c r="Y174" s="839">
        <v>0</v>
      </c>
      <c r="Z174" s="851">
        <v>0</v>
      </c>
      <c r="AA174" s="839">
        <v>0</v>
      </c>
      <c r="AB174" s="851">
        <v>0</v>
      </c>
      <c r="AC174" s="839">
        <v>0</v>
      </c>
      <c r="AD174" s="851">
        <v>0</v>
      </c>
      <c r="AE174" s="839">
        <v>0</v>
      </c>
      <c r="AF174" s="851">
        <v>0</v>
      </c>
      <c r="AG174" s="856"/>
      <c r="AH174" s="839">
        <v>0</v>
      </c>
      <c r="AI174" s="851">
        <v>0</v>
      </c>
      <c r="AJ174" s="856"/>
      <c r="AK174" s="839">
        <v>0</v>
      </c>
      <c r="AL174" s="851">
        <v>0</v>
      </c>
      <c r="AM174" s="856"/>
      <c r="AN174" s="839">
        <v>0</v>
      </c>
      <c r="AO174" s="851">
        <v>0</v>
      </c>
      <c r="AP174" s="856"/>
      <c r="AQ174" s="839">
        <v>0</v>
      </c>
      <c r="AR174" s="851">
        <v>0</v>
      </c>
      <c r="AS174" s="856"/>
      <c r="AT174" s="839">
        <v>0</v>
      </c>
      <c r="AU174" s="851">
        <v>0</v>
      </c>
      <c r="AV174" s="856"/>
      <c r="AW174" s="839">
        <v>0</v>
      </c>
      <c r="AX174" s="851">
        <v>0</v>
      </c>
      <c r="AY174" s="856"/>
      <c r="AZ174" s="845">
        <v>0</v>
      </c>
      <c r="BA174" s="845">
        <v>0</v>
      </c>
      <c r="BB174" s="846">
        <v>0</v>
      </c>
      <c r="BD174" s="2">
        <v>3</v>
      </c>
      <c r="BF174" s="787">
        <v>0</v>
      </c>
      <c r="BG174" s="325">
        <v>150000506</v>
      </c>
      <c r="BI174" s="847">
        <v>0</v>
      </c>
      <c r="BJ174" s="847">
        <v>0</v>
      </c>
      <c r="BK174" s="847">
        <v>0</v>
      </c>
      <c r="BL174" s="848"/>
      <c r="BM174" s="3"/>
      <c r="BN174" s="3"/>
      <c r="BP174" s="3"/>
      <c r="BQ174" s="3"/>
      <c r="BS174" s="42" t="s">
        <v>112</v>
      </c>
    </row>
    <row r="175" spans="1:71" ht="24.9" customHeight="1" x14ac:dyDescent="0.3">
      <c r="A175" s="325">
        <v>150000505</v>
      </c>
      <c r="B175" s="862" t="s">
        <v>113</v>
      </c>
      <c r="C175" s="863">
        <v>1</v>
      </c>
      <c r="D175" s="101" t="s">
        <v>455</v>
      </c>
      <c r="E175" s="279">
        <v>180.22</v>
      </c>
      <c r="F175" s="838">
        <v>451.18038633558456</v>
      </c>
      <c r="G175" s="838">
        <v>0</v>
      </c>
      <c r="H175" s="838">
        <v>-451.18038633558456</v>
      </c>
      <c r="I175" s="839">
        <v>0</v>
      </c>
      <c r="J175" s="851">
        <v>0</v>
      </c>
      <c r="K175" s="852"/>
      <c r="L175" s="839">
        <v>0</v>
      </c>
      <c r="M175" s="851">
        <v>0</v>
      </c>
      <c r="N175" s="853"/>
      <c r="O175" s="839">
        <v>0</v>
      </c>
      <c r="P175" s="851">
        <v>0</v>
      </c>
      <c r="Q175" s="854"/>
      <c r="R175" s="839">
        <v>0</v>
      </c>
      <c r="S175" s="851">
        <v>0</v>
      </c>
      <c r="T175" s="855"/>
      <c r="U175" s="839">
        <v>0</v>
      </c>
      <c r="V175" s="851">
        <v>0</v>
      </c>
      <c r="W175" s="839">
        <v>0</v>
      </c>
      <c r="X175" s="851">
        <v>0</v>
      </c>
      <c r="Y175" s="839">
        <v>0</v>
      </c>
      <c r="Z175" s="851">
        <v>0</v>
      </c>
      <c r="AA175" s="839">
        <v>0</v>
      </c>
      <c r="AB175" s="851">
        <v>0</v>
      </c>
      <c r="AC175" s="839">
        <v>0</v>
      </c>
      <c r="AD175" s="851">
        <v>0</v>
      </c>
      <c r="AE175" s="839">
        <v>0</v>
      </c>
      <c r="AF175" s="851">
        <v>0</v>
      </c>
      <c r="AG175" s="856"/>
      <c r="AH175" s="839">
        <v>0</v>
      </c>
      <c r="AI175" s="851">
        <v>0</v>
      </c>
      <c r="AJ175" s="856"/>
      <c r="AK175" s="839">
        <v>0</v>
      </c>
      <c r="AL175" s="851">
        <v>0</v>
      </c>
      <c r="AM175" s="856"/>
      <c r="AN175" s="839">
        <v>0</v>
      </c>
      <c r="AO175" s="851">
        <v>0</v>
      </c>
      <c r="AP175" s="856"/>
      <c r="AQ175" s="839">
        <v>0</v>
      </c>
      <c r="AR175" s="851">
        <v>0</v>
      </c>
      <c r="AS175" s="856"/>
      <c r="AT175" s="839">
        <v>0</v>
      </c>
      <c r="AU175" s="851">
        <v>0</v>
      </c>
      <c r="AV175" s="856"/>
      <c r="AW175" s="839">
        <v>0</v>
      </c>
      <c r="AX175" s="851">
        <v>0</v>
      </c>
      <c r="AY175" s="856"/>
      <c r="AZ175" s="845">
        <v>0</v>
      </c>
      <c r="BA175" s="845">
        <v>0</v>
      </c>
      <c r="BB175" s="846">
        <v>0</v>
      </c>
      <c r="BD175" s="2">
        <v>3</v>
      </c>
      <c r="BF175" s="787">
        <v>0</v>
      </c>
      <c r="BG175" s="325">
        <v>150000505</v>
      </c>
      <c r="BI175" s="847">
        <v>0</v>
      </c>
      <c r="BJ175" s="847">
        <v>0</v>
      </c>
      <c r="BK175" s="847">
        <v>0</v>
      </c>
      <c r="BL175" s="848"/>
      <c r="BM175" s="3"/>
      <c r="BN175" s="3"/>
      <c r="BP175" s="3"/>
      <c r="BQ175" s="3"/>
      <c r="BS175" s="42" t="s">
        <v>113</v>
      </c>
    </row>
    <row r="176" spans="1:71" ht="24.9" customHeight="1" x14ac:dyDescent="0.3">
      <c r="A176" s="325">
        <v>150000507</v>
      </c>
      <c r="B176" s="862" t="s">
        <v>114</v>
      </c>
      <c r="C176" s="863">
        <v>1</v>
      </c>
      <c r="D176" s="101" t="s">
        <v>455</v>
      </c>
      <c r="E176" s="279">
        <v>329.7</v>
      </c>
      <c r="F176" s="838">
        <v>699.67583544097977</v>
      </c>
      <c r="G176" s="838">
        <v>0</v>
      </c>
      <c r="H176" s="838">
        <v>-699.67583544097977</v>
      </c>
      <c r="I176" s="839">
        <v>0</v>
      </c>
      <c r="J176" s="851">
        <v>0</v>
      </c>
      <c r="K176" s="852"/>
      <c r="L176" s="839">
        <v>0</v>
      </c>
      <c r="M176" s="851">
        <v>0</v>
      </c>
      <c r="N176" s="853"/>
      <c r="O176" s="839">
        <v>0</v>
      </c>
      <c r="P176" s="851">
        <v>0</v>
      </c>
      <c r="Q176" s="854"/>
      <c r="R176" s="839">
        <v>0</v>
      </c>
      <c r="S176" s="851">
        <v>0</v>
      </c>
      <c r="T176" s="855"/>
      <c r="U176" s="839">
        <v>0</v>
      </c>
      <c r="V176" s="851">
        <v>0</v>
      </c>
      <c r="W176" s="839">
        <v>0</v>
      </c>
      <c r="X176" s="851">
        <v>0</v>
      </c>
      <c r="Y176" s="839">
        <v>0</v>
      </c>
      <c r="Z176" s="851">
        <v>0</v>
      </c>
      <c r="AA176" s="839">
        <v>0</v>
      </c>
      <c r="AB176" s="851">
        <v>0</v>
      </c>
      <c r="AC176" s="839">
        <v>0</v>
      </c>
      <c r="AD176" s="851">
        <v>0</v>
      </c>
      <c r="AE176" s="839">
        <v>0</v>
      </c>
      <c r="AF176" s="851">
        <v>0</v>
      </c>
      <c r="AG176" s="856"/>
      <c r="AH176" s="839">
        <v>0</v>
      </c>
      <c r="AI176" s="851">
        <v>0</v>
      </c>
      <c r="AJ176" s="856"/>
      <c r="AK176" s="839">
        <v>0</v>
      </c>
      <c r="AL176" s="851">
        <v>0</v>
      </c>
      <c r="AM176" s="856"/>
      <c r="AN176" s="839">
        <v>0</v>
      </c>
      <c r="AO176" s="851">
        <v>0</v>
      </c>
      <c r="AP176" s="856"/>
      <c r="AQ176" s="839">
        <v>0</v>
      </c>
      <c r="AR176" s="851">
        <v>0</v>
      </c>
      <c r="AS176" s="856"/>
      <c r="AT176" s="839">
        <v>0</v>
      </c>
      <c r="AU176" s="851">
        <v>0</v>
      </c>
      <c r="AV176" s="856"/>
      <c r="AW176" s="839">
        <v>0</v>
      </c>
      <c r="AX176" s="851">
        <v>0</v>
      </c>
      <c r="AY176" s="856"/>
      <c r="AZ176" s="845">
        <v>0</v>
      </c>
      <c r="BA176" s="845">
        <v>0</v>
      </c>
      <c r="BB176" s="846">
        <v>0</v>
      </c>
      <c r="BD176" s="2">
        <v>3</v>
      </c>
      <c r="BF176" s="787">
        <v>0</v>
      </c>
      <c r="BG176" s="325">
        <v>150000507</v>
      </c>
      <c r="BI176" s="847">
        <v>0</v>
      </c>
      <c r="BJ176" s="847">
        <v>0</v>
      </c>
      <c r="BK176" s="847">
        <v>0</v>
      </c>
      <c r="BL176" s="848"/>
      <c r="BM176" s="3"/>
      <c r="BN176" s="3"/>
      <c r="BP176" s="3"/>
      <c r="BQ176" s="3"/>
      <c r="BS176" s="42" t="s">
        <v>114</v>
      </c>
    </row>
    <row r="177" spans="1:71" ht="24.9" customHeight="1" x14ac:dyDescent="0.3">
      <c r="A177" s="325">
        <v>150000508</v>
      </c>
      <c r="B177" s="862" t="s">
        <v>115</v>
      </c>
      <c r="C177" s="863">
        <v>1</v>
      </c>
      <c r="D177" s="101" t="s">
        <v>455</v>
      </c>
      <c r="E177" s="279">
        <v>151.80000000000001</v>
      </c>
      <c r="F177" s="838">
        <v>293.14970307877951</v>
      </c>
      <c r="G177" s="838">
        <v>0</v>
      </c>
      <c r="H177" s="838">
        <v>-293.14970307877951</v>
      </c>
      <c r="I177" s="839">
        <v>0</v>
      </c>
      <c r="J177" s="851">
        <v>0</v>
      </c>
      <c r="K177" s="852"/>
      <c r="L177" s="839">
        <v>0</v>
      </c>
      <c r="M177" s="851">
        <v>0</v>
      </c>
      <c r="N177" s="853"/>
      <c r="O177" s="839">
        <v>0</v>
      </c>
      <c r="P177" s="851">
        <v>0</v>
      </c>
      <c r="Q177" s="854"/>
      <c r="R177" s="839">
        <v>0</v>
      </c>
      <c r="S177" s="851">
        <v>0</v>
      </c>
      <c r="T177" s="855"/>
      <c r="U177" s="839">
        <v>0</v>
      </c>
      <c r="V177" s="851">
        <v>0</v>
      </c>
      <c r="W177" s="839">
        <v>0</v>
      </c>
      <c r="X177" s="851">
        <v>0</v>
      </c>
      <c r="Y177" s="839">
        <v>0</v>
      </c>
      <c r="Z177" s="851">
        <v>0</v>
      </c>
      <c r="AA177" s="839">
        <v>0</v>
      </c>
      <c r="AB177" s="851">
        <v>0</v>
      </c>
      <c r="AC177" s="839">
        <v>0</v>
      </c>
      <c r="AD177" s="851">
        <v>0</v>
      </c>
      <c r="AE177" s="839">
        <v>0</v>
      </c>
      <c r="AF177" s="851">
        <v>0</v>
      </c>
      <c r="AG177" s="856"/>
      <c r="AH177" s="839">
        <v>0</v>
      </c>
      <c r="AI177" s="851">
        <v>0</v>
      </c>
      <c r="AJ177" s="856"/>
      <c r="AK177" s="839">
        <v>0</v>
      </c>
      <c r="AL177" s="851">
        <v>0</v>
      </c>
      <c r="AM177" s="856"/>
      <c r="AN177" s="839">
        <v>0</v>
      </c>
      <c r="AO177" s="851">
        <v>0</v>
      </c>
      <c r="AP177" s="856"/>
      <c r="AQ177" s="839">
        <v>0</v>
      </c>
      <c r="AR177" s="851">
        <v>0</v>
      </c>
      <c r="AS177" s="856"/>
      <c r="AT177" s="839">
        <v>0</v>
      </c>
      <c r="AU177" s="851">
        <v>0</v>
      </c>
      <c r="AV177" s="856"/>
      <c r="AW177" s="839">
        <v>0</v>
      </c>
      <c r="AX177" s="851">
        <v>0</v>
      </c>
      <c r="AY177" s="856"/>
      <c r="AZ177" s="845">
        <v>0</v>
      </c>
      <c r="BA177" s="845">
        <v>0</v>
      </c>
      <c r="BB177" s="846">
        <v>0</v>
      </c>
      <c r="BD177" s="2">
        <v>3</v>
      </c>
      <c r="BF177" s="787">
        <v>0</v>
      </c>
      <c r="BG177" s="325">
        <v>150000508</v>
      </c>
      <c r="BI177" s="847">
        <v>0</v>
      </c>
      <c r="BJ177" s="847">
        <v>0</v>
      </c>
      <c r="BK177" s="847">
        <v>0</v>
      </c>
      <c r="BL177" s="848"/>
      <c r="BM177" s="3"/>
      <c r="BN177" s="3"/>
      <c r="BP177" s="3"/>
      <c r="BQ177" s="3"/>
      <c r="BS177" s="42" t="s">
        <v>115</v>
      </c>
    </row>
    <row r="178" spans="1:71" ht="24.9" customHeight="1" x14ac:dyDescent="0.3">
      <c r="A178" s="325">
        <v>150000501</v>
      </c>
      <c r="B178" s="883" t="s">
        <v>264</v>
      </c>
      <c r="C178" s="850">
        <v>5</v>
      </c>
      <c r="D178" s="101" t="s">
        <v>455</v>
      </c>
      <c r="E178" s="279">
        <v>4529.63</v>
      </c>
      <c r="F178" s="838">
        <v>10424.452286655856</v>
      </c>
      <c r="G178" s="838">
        <v>0</v>
      </c>
      <c r="H178" s="838">
        <v>-10424.452286655856</v>
      </c>
      <c r="I178" s="839">
        <v>0</v>
      </c>
      <c r="J178" s="851">
        <v>0</v>
      </c>
      <c r="K178" s="859"/>
      <c r="L178" s="839">
        <v>0</v>
      </c>
      <c r="M178" s="851">
        <v>0</v>
      </c>
      <c r="N178" s="853"/>
      <c r="O178" s="839">
        <v>0</v>
      </c>
      <c r="P178" s="851">
        <v>0</v>
      </c>
      <c r="Q178" s="854"/>
      <c r="R178" s="839">
        <v>0</v>
      </c>
      <c r="S178" s="851">
        <v>0</v>
      </c>
      <c r="T178" s="855"/>
      <c r="U178" s="839">
        <v>0</v>
      </c>
      <c r="V178" s="851">
        <v>0</v>
      </c>
      <c r="W178" s="839">
        <v>0</v>
      </c>
      <c r="X178" s="851">
        <v>0</v>
      </c>
      <c r="Y178" s="839">
        <v>0</v>
      </c>
      <c r="Z178" s="851">
        <v>0</v>
      </c>
      <c r="AA178" s="839">
        <v>0</v>
      </c>
      <c r="AB178" s="851">
        <v>0</v>
      </c>
      <c r="AC178" s="839">
        <v>0</v>
      </c>
      <c r="AD178" s="851">
        <v>0</v>
      </c>
      <c r="AE178" s="839">
        <v>454.72108416307685</v>
      </c>
      <c r="AF178" s="851">
        <v>0</v>
      </c>
      <c r="AG178" s="856"/>
      <c r="AH178" s="839">
        <v>741.68851251314095</v>
      </c>
      <c r="AI178" s="851">
        <v>936</v>
      </c>
      <c r="AJ178" s="856"/>
      <c r="AK178" s="839">
        <v>610.8355127320923</v>
      </c>
      <c r="AL178" s="851">
        <v>0</v>
      </c>
      <c r="AM178" s="856"/>
      <c r="AN178" s="839">
        <v>0</v>
      </c>
      <c r="AO178" s="851">
        <v>0</v>
      </c>
      <c r="AP178" s="856"/>
      <c r="AQ178" s="839">
        <v>0</v>
      </c>
      <c r="AR178" s="851">
        <v>0</v>
      </c>
      <c r="AS178" s="856"/>
      <c r="AT178" s="839">
        <v>319.67691085591161</v>
      </c>
      <c r="AU178" s="851">
        <v>0</v>
      </c>
      <c r="AV178" s="856"/>
      <c r="AW178" s="839">
        <v>0</v>
      </c>
      <c r="AX178" s="851">
        <v>0</v>
      </c>
      <c r="AY178" s="856"/>
      <c r="AZ178" s="845">
        <v>2126.9220202642218</v>
      </c>
      <c r="BA178" s="845">
        <v>936</v>
      </c>
      <c r="BB178" s="846">
        <v>-1190.9220202642218</v>
      </c>
      <c r="BD178" s="2">
        <v>2</v>
      </c>
      <c r="BF178" s="787">
        <v>15.908538895907045</v>
      </c>
      <c r="BG178" s="325">
        <v>150000501</v>
      </c>
      <c r="BI178" s="847">
        <v>0</v>
      </c>
      <c r="BJ178" s="847">
        <v>0</v>
      </c>
      <c r="BK178" s="847">
        <v>0</v>
      </c>
      <c r="BL178" s="848"/>
      <c r="BM178" s="3"/>
      <c r="BN178" s="3"/>
      <c r="BP178" s="3"/>
      <c r="BQ178" s="3"/>
      <c r="BS178" s="42" t="s">
        <v>264</v>
      </c>
    </row>
    <row r="179" spans="1:71" ht="24.9" customHeight="1" x14ac:dyDescent="0.3">
      <c r="A179" s="325">
        <v>150000778</v>
      </c>
      <c r="B179" s="883" t="s">
        <v>215</v>
      </c>
      <c r="C179" s="850">
        <v>4</v>
      </c>
      <c r="D179" s="101" t="s">
        <v>455</v>
      </c>
      <c r="E179" s="279">
        <v>2055.6</v>
      </c>
      <c r="F179" s="838">
        <v>4305.5288912157057</v>
      </c>
      <c r="G179" s="838">
        <v>193</v>
      </c>
      <c r="H179" s="838">
        <v>-4112.5288912157057</v>
      </c>
      <c r="I179" s="839">
        <v>0</v>
      </c>
      <c r="J179" s="851">
        <v>193</v>
      </c>
      <c r="K179" s="852"/>
      <c r="L179" s="839">
        <v>0</v>
      </c>
      <c r="M179" s="851">
        <v>0</v>
      </c>
      <c r="N179" s="853"/>
      <c r="O179" s="839">
        <v>0</v>
      </c>
      <c r="P179" s="851">
        <v>0</v>
      </c>
      <c r="Q179" s="854"/>
      <c r="R179" s="839">
        <v>0</v>
      </c>
      <c r="S179" s="851">
        <v>0</v>
      </c>
      <c r="T179" s="855"/>
      <c r="U179" s="839">
        <v>0</v>
      </c>
      <c r="V179" s="851">
        <v>0</v>
      </c>
      <c r="W179" s="839">
        <v>0</v>
      </c>
      <c r="X179" s="851">
        <v>0</v>
      </c>
      <c r="Y179" s="839">
        <v>0</v>
      </c>
      <c r="Z179" s="851">
        <v>0</v>
      </c>
      <c r="AA179" s="839">
        <v>0</v>
      </c>
      <c r="AB179" s="851">
        <v>0</v>
      </c>
      <c r="AC179" s="839">
        <v>0</v>
      </c>
      <c r="AD179" s="851">
        <v>0</v>
      </c>
      <c r="AE179" s="839">
        <v>190.79061341632988</v>
      </c>
      <c r="AF179" s="851">
        <v>884</v>
      </c>
      <c r="AG179" s="856"/>
      <c r="AH179" s="839">
        <v>290.74948916515837</v>
      </c>
      <c r="AI179" s="851">
        <v>0</v>
      </c>
      <c r="AJ179" s="856"/>
      <c r="AK179" s="839">
        <v>204.1555035312102</v>
      </c>
      <c r="AL179" s="851">
        <v>0</v>
      </c>
      <c r="AM179" s="856"/>
      <c r="AN179" s="839">
        <v>116.04666518546276</v>
      </c>
      <c r="AO179" s="851">
        <v>0</v>
      </c>
      <c r="AP179" s="856"/>
      <c r="AQ179" s="839">
        <v>0</v>
      </c>
      <c r="AR179" s="851">
        <v>0</v>
      </c>
      <c r="AS179" s="856"/>
      <c r="AT179" s="839">
        <v>186.09129502760808</v>
      </c>
      <c r="AU179" s="851">
        <v>0</v>
      </c>
      <c r="AV179" s="856"/>
      <c r="AW179" s="839">
        <v>0</v>
      </c>
      <c r="AX179" s="851">
        <v>0</v>
      </c>
      <c r="AY179" s="856"/>
      <c r="AZ179" s="845">
        <v>987.83356632576931</v>
      </c>
      <c r="BA179" s="845">
        <v>884</v>
      </c>
      <c r="BB179" s="846">
        <v>-103.83356632576931</v>
      </c>
      <c r="BD179" s="2">
        <v>3</v>
      </c>
      <c r="BF179" s="787">
        <v>6.619828234211278</v>
      </c>
      <c r="BG179" s="325">
        <v>150000778</v>
      </c>
      <c r="BI179" s="847">
        <v>0</v>
      </c>
      <c r="BJ179" s="847">
        <v>0</v>
      </c>
      <c r="BK179" s="847">
        <v>0</v>
      </c>
      <c r="BL179" s="848"/>
      <c r="BM179" s="3"/>
      <c r="BN179" s="3"/>
      <c r="BP179" s="3"/>
      <c r="BQ179" s="3"/>
      <c r="BS179" s="42" t="s">
        <v>215</v>
      </c>
    </row>
    <row r="180" spans="1:71" ht="24.9" customHeight="1" x14ac:dyDescent="0.3">
      <c r="A180" s="325">
        <v>150001071</v>
      </c>
      <c r="B180" s="883" t="s">
        <v>168</v>
      </c>
      <c r="C180" s="850">
        <v>2</v>
      </c>
      <c r="D180" s="101" t="s">
        <v>455</v>
      </c>
      <c r="E180" s="279">
        <v>373.83</v>
      </c>
      <c r="F180" s="838">
        <v>839.08823977043005</v>
      </c>
      <c r="G180" s="838">
        <v>0</v>
      </c>
      <c r="H180" s="838">
        <v>-839.08823977043005</v>
      </c>
      <c r="I180" s="839">
        <v>0</v>
      </c>
      <c r="J180" s="851">
        <v>0</v>
      </c>
      <c r="K180" s="859"/>
      <c r="L180" s="839">
        <v>0</v>
      </c>
      <c r="M180" s="851">
        <v>0</v>
      </c>
      <c r="N180" s="853"/>
      <c r="O180" s="839">
        <v>0</v>
      </c>
      <c r="P180" s="851">
        <v>0</v>
      </c>
      <c r="Q180" s="854"/>
      <c r="R180" s="839">
        <v>0</v>
      </c>
      <c r="S180" s="851">
        <v>0</v>
      </c>
      <c r="T180" s="855"/>
      <c r="U180" s="839">
        <v>0</v>
      </c>
      <c r="V180" s="851">
        <v>0</v>
      </c>
      <c r="W180" s="839">
        <v>0</v>
      </c>
      <c r="X180" s="851">
        <v>0</v>
      </c>
      <c r="Y180" s="839">
        <v>0</v>
      </c>
      <c r="Z180" s="851">
        <v>0</v>
      </c>
      <c r="AA180" s="839">
        <v>0</v>
      </c>
      <c r="AB180" s="851">
        <v>0</v>
      </c>
      <c r="AC180" s="839">
        <v>0</v>
      </c>
      <c r="AD180" s="851">
        <v>0</v>
      </c>
      <c r="AE180" s="839">
        <v>51.220190741760831</v>
      </c>
      <c r="AF180" s="851">
        <v>0</v>
      </c>
      <c r="AG180" s="856"/>
      <c r="AH180" s="839">
        <v>61.968429542196461</v>
      </c>
      <c r="AI180" s="851">
        <v>0</v>
      </c>
      <c r="AJ180" s="856"/>
      <c r="AK180" s="839">
        <v>35.432018750601188</v>
      </c>
      <c r="AL180" s="851">
        <v>0</v>
      </c>
      <c r="AM180" s="856"/>
      <c r="AN180" s="839">
        <v>0</v>
      </c>
      <c r="AO180" s="851">
        <v>0</v>
      </c>
      <c r="AP180" s="856"/>
      <c r="AQ180" s="839">
        <v>0</v>
      </c>
      <c r="AR180" s="851">
        <v>0</v>
      </c>
      <c r="AS180" s="856"/>
      <c r="AT180" s="839">
        <v>38.421864630327121</v>
      </c>
      <c r="AU180" s="851">
        <v>0</v>
      </c>
      <c r="AV180" s="856"/>
      <c r="AW180" s="839">
        <v>18.119813214430302</v>
      </c>
      <c r="AX180" s="851">
        <v>0</v>
      </c>
      <c r="AY180" s="856"/>
      <c r="AZ180" s="845">
        <v>205.16231687931591</v>
      </c>
      <c r="BA180" s="845">
        <v>0</v>
      </c>
      <c r="BB180" s="846">
        <v>-205.16231687931591</v>
      </c>
      <c r="BD180" s="2">
        <v>3</v>
      </c>
      <c r="BF180" s="787">
        <v>1.1860485927607005</v>
      </c>
      <c r="BG180" s="325">
        <v>150001071</v>
      </c>
      <c r="BI180" s="847">
        <v>0</v>
      </c>
      <c r="BJ180" s="847">
        <v>0</v>
      </c>
      <c r="BK180" s="847">
        <v>0</v>
      </c>
      <c r="BL180" s="848"/>
      <c r="BM180" s="3"/>
      <c r="BN180" s="3"/>
      <c r="BP180" s="3"/>
      <c r="BQ180" s="3"/>
      <c r="BS180" s="42" t="s">
        <v>168</v>
      </c>
    </row>
    <row r="181" spans="1:71" ht="24.9" customHeight="1" x14ac:dyDescent="0.3">
      <c r="A181" s="325">
        <v>150000768</v>
      </c>
      <c r="B181" s="884" t="s">
        <v>117</v>
      </c>
      <c r="C181" s="863">
        <v>1</v>
      </c>
      <c r="D181" s="101" t="s">
        <v>455</v>
      </c>
      <c r="E181" s="279">
        <v>119.3</v>
      </c>
      <c r="F181" s="838">
        <v>349.5063683686804</v>
      </c>
      <c r="G181" s="838">
        <v>0</v>
      </c>
      <c r="H181" s="838">
        <v>-349.5063683686804</v>
      </c>
      <c r="I181" s="839">
        <v>0</v>
      </c>
      <c r="J181" s="851">
        <v>0</v>
      </c>
      <c r="K181" s="852"/>
      <c r="L181" s="839">
        <v>0</v>
      </c>
      <c r="M181" s="851">
        <v>0</v>
      </c>
      <c r="N181" s="853"/>
      <c r="O181" s="839">
        <v>0</v>
      </c>
      <c r="P181" s="851">
        <v>0</v>
      </c>
      <c r="Q181" s="854"/>
      <c r="R181" s="839">
        <v>0</v>
      </c>
      <c r="S181" s="851">
        <v>0</v>
      </c>
      <c r="T181" s="855"/>
      <c r="U181" s="839">
        <v>0</v>
      </c>
      <c r="V181" s="851">
        <v>0</v>
      </c>
      <c r="W181" s="839">
        <v>0</v>
      </c>
      <c r="X181" s="851">
        <v>0</v>
      </c>
      <c r="Y181" s="839">
        <v>0</v>
      </c>
      <c r="Z181" s="851">
        <v>0</v>
      </c>
      <c r="AA181" s="839">
        <v>0</v>
      </c>
      <c r="AB181" s="851">
        <v>0</v>
      </c>
      <c r="AC181" s="839">
        <v>0</v>
      </c>
      <c r="AD181" s="851">
        <v>0</v>
      </c>
      <c r="AE181" s="839">
        <v>0</v>
      </c>
      <c r="AF181" s="851">
        <v>0</v>
      </c>
      <c r="AG181" s="856"/>
      <c r="AH181" s="839">
        <v>0</v>
      </c>
      <c r="AI181" s="851">
        <v>0</v>
      </c>
      <c r="AJ181" s="856"/>
      <c r="AK181" s="839">
        <v>0</v>
      </c>
      <c r="AL181" s="851">
        <v>0</v>
      </c>
      <c r="AM181" s="856"/>
      <c r="AN181" s="839">
        <v>0</v>
      </c>
      <c r="AO181" s="851">
        <v>0</v>
      </c>
      <c r="AP181" s="856"/>
      <c r="AQ181" s="839">
        <v>0</v>
      </c>
      <c r="AR181" s="851">
        <v>0</v>
      </c>
      <c r="AS181" s="856"/>
      <c r="AT181" s="839">
        <v>0</v>
      </c>
      <c r="AU181" s="851">
        <v>0</v>
      </c>
      <c r="AV181" s="856"/>
      <c r="AW181" s="839">
        <v>0</v>
      </c>
      <c r="AX181" s="851">
        <v>0</v>
      </c>
      <c r="AY181" s="856"/>
      <c r="AZ181" s="845">
        <v>0</v>
      </c>
      <c r="BA181" s="845">
        <v>0</v>
      </c>
      <c r="BB181" s="846">
        <v>0</v>
      </c>
      <c r="BD181" s="2">
        <v>3</v>
      </c>
      <c r="BF181" s="787">
        <v>0</v>
      </c>
      <c r="BG181" s="325">
        <v>150000768</v>
      </c>
      <c r="BI181" s="847">
        <v>0</v>
      </c>
      <c r="BJ181" s="847">
        <v>0</v>
      </c>
      <c r="BK181" s="847">
        <v>0</v>
      </c>
      <c r="BL181" s="848"/>
      <c r="BM181" s="3"/>
      <c r="BN181" s="3"/>
      <c r="BP181" s="3"/>
      <c r="BQ181" s="3"/>
      <c r="BS181" s="42" t="s">
        <v>117</v>
      </c>
    </row>
    <row r="182" spans="1:71" ht="24.9" customHeight="1" x14ac:dyDescent="0.3">
      <c r="A182" s="325">
        <v>150000763</v>
      </c>
      <c r="B182" s="884" t="s">
        <v>118</v>
      </c>
      <c r="C182" s="863">
        <v>1</v>
      </c>
      <c r="D182" s="101" t="s">
        <v>455</v>
      </c>
      <c r="E182" s="279">
        <v>182.8</v>
      </c>
      <c r="F182" s="838">
        <v>401.31287954890888</v>
      </c>
      <c r="G182" s="838">
        <v>0</v>
      </c>
      <c r="H182" s="838">
        <v>-401.31287954890888</v>
      </c>
      <c r="I182" s="839">
        <v>0</v>
      </c>
      <c r="J182" s="851">
        <v>0</v>
      </c>
      <c r="K182" s="852"/>
      <c r="L182" s="839">
        <v>0</v>
      </c>
      <c r="M182" s="851">
        <v>0</v>
      </c>
      <c r="N182" s="853"/>
      <c r="O182" s="839">
        <v>0</v>
      </c>
      <c r="P182" s="851">
        <v>0</v>
      </c>
      <c r="Q182" s="854"/>
      <c r="R182" s="839">
        <v>0</v>
      </c>
      <c r="S182" s="851">
        <v>0</v>
      </c>
      <c r="T182" s="855"/>
      <c r="U182" s="839">
        <v>0</v>
      </c>
      <c r="V182" s="851">
        <v>0</v>
      </c>
      <c r="W182" s="839">
        <v>0</v>
      </c>
      <c r="X182" s="851">
        <v>0</v>
      </c>
      <c r="Y182" s="839">
        <v>0</v>
      </c>
      <c r="Z182" s="851">
        <v>0</v>
      </c>
      <c r="AA182" s="839">
        <v>0</v>
      </c>
      <c r="AB182" s="851">
        <v>0</v>
      </c>
      <c r="AC182" s="839">
        <v>0</v>
      </c>
      <c r="AD182" s="851">
        <v>0</v>
      </c>
      <c r="AE182" s="839">
        <v>0</v>
      </c>
      <c r="AF182" s="851">
        <v>0</v>
      </c>
      <c r="AG182" s="856"/>
      <c r="AH182" s="839">
        <v>0</v>
      </c>
      <c r="AI182" s="851">
        <v>0</v>
      </c>
      <c r="AJ182" s="856"/>
      <c r="AK182" s="839">
        <v>0</v>
      </c>
      <c r="AL182" s="851">
        <v>0</v>
      </c>
      <c r="AM182" s="856"/>
      <c r="AN182" s="839">
        <v>0</v>
      </c>
      <c r="AO182" s="851">
        <v>0</v>
      </c>
      <c r="AP182" s="856"/>
      <c r="AQ182" s="839">
        <v>0</v>
      </c>
      <c r="AR182" s="851">
        <v>0</v>
      </c>
      <c r="AS182" s="856"/>
      <c r="AT182" s="839">
        <v>0</v>
      </c>
      <c r="AU182" s="851">
        <v>0</v>
      </c>
      <c r="AV182" s="856"/>
      <c r="AW182" s="839">
        <v>0</v>
      </c>
      <c r="AX182" s="851">
        <v>0</v>
      </c>
      <c r="AY182" s="856"/>
      <c r="AZ182" s="845">
        <v>0</v>
      </c>
      <c r="BA182" s="845">
        <v>0</v>
      </c>
      <c r="BB182" s="846">
        <v>0</v>
      </c>
      <c r="BD182" s="2">
        <v>3</v>
      </c>
      <c r="BF182" s="787">
        <v>0</v>
      </c>
      <c r="BG182" s="325">
        <v>150000763</v>
      </c>
      <c r="BI182" s="847">
        <v>0</v>
      </c>
      <c r="BJ182" s="847">
        <v>0</v>
      </c>
      <c r="BK182" s="847">
        <v>0</v>
      </c>
      <c r="BL182" s="848"/>
      <c r="BM182" s="3"/>
      <c r="BN182" s="3"/>
      <c r="BP182" s="3"/>
      <c r="BQ182" s="3"/>
      <c r="BS182" s="42" t="s">
        <v>118</v>
      </c>
    </row>
    <row r="183" spans="1:71" ht="24.9" customHeight="1" x14ac:dyDescent="0.3">
      <c r="A183" s="325">
        <v>150000764</v>
      </c>
      <c r="B183" s="884" t="s">
        <v>119</v>
      </c>
      <c r="C183" s="863">
        <v>1</v>
      </c>
      <c r="D183" s="101" t="s">
        <v>455</v>
      </c>
      <c r="E183" s="279">
        <v>229</v>
      </c>
      <c r="F183" s="838">
        <v>518.93488637135329</v>
      </c>
      <c r="G183" s="838">
        <v>0</v>
      </c>
      <c r="H183" s="838">
        <v>-518.93488637135329</v>
      </c>
      <c r="I183" s="839">
        <v>0</v>
      </c>
      <c r="J183" s="851">
        <v>0</v>
      </c>
      <c r="K183" s="852"/>
      <c r="L183" s="839">
        <v>0</v>
      </c>
      <c r="M183" s="851">
        <v>0</v>
      </c>
      <c r="N183" s="853"/>
      <c r="O183" s="839">
        <v>0</v>
      </c>
      <c r="P183" s="851">
        <v>0</v>
      </c>
      <c r="Q183" s="854"/>
      <c r="R183" s="839">
        <v>0</v>
      </c>
      <c r="S183" s="851">
        <v>0</v>
      </c>
      <c r="T183" s="855"/>
      <c r="U183" s="839">
        <v>0</v>
      </c>
      <c r="V183" s="851">
        <v>0</v>
      </c>
      <c r="W183" s="839">
        <v>0</v>
      </c>
      <c r="X183" s="851">
        <v>0</v>
      </c>
      <c r="Y183" s="839">
        <v>0</v>
      </c>
      <c r="Z183" s="851">
        <v>0</v>
      </c>
      <c r="AA183" s="839">
        <v>0</v>
      </c>
      <c r="AB183" s="851">
        <v>0</v>
      </c>
      <c r="AC183" s="839">
        <v>0</v>
      </c>
      <c r="AD183" s="851">
        <v>0</v>
      </c>
      <c r="AE183" s="839">
        <v>0</v>
      </c>
      <c r="AF183" s="851">
        <v>0</v>
      </c>
      <c r="AG183" s="856"/>
      <c r="AH183" s="839">
        <v>0</v>
      </c>
      <c r="AI183" s="851">
        <v>0</v>
      </c>
      <c r="AJ183" s="856"/>
      <c r="AK183" s="839">
        <v>0</v>
      </c>
      <c r="AL183" s="851">
        <v>0</v>
      </c>
      <c r="AM183" s="856"/>
      <c r="AN183" s="839">
        <v>0</v>
      </c>
      <c r="AO183" s="851">
        <v>0</v>
      </c>
      <c r="AP183" s="856"/>
      <c r="AQ183" s="839">
        <v>0</v>
      </c>
      <c r="AR183" s="851">
        <v>0</v>
      </c>
      <c r="AS183" s="856"/>
      <c r="AT183" s="839">
        <v>0</v>
      </c>
      <c r="AU183" s="851">
        <v>0</v>
      </c>
      <c r="AV183" s="856"/>
      <c r="AW183" s="839">
        <v>0</v>
      </c>
      <c r="AX183" s="851">
        <v>0</v>
      </c>
      <c r="AY183" s="856"/>
      <c r="AZ183" s="845">
        <v>0</v>
      </c>
      <c r="BA183" s="845">
        <v>0</v>
      </c>
      <c r="BB183" s="846">
        <v>0</v>
      </c>
      <c r="BD183" s="2">
        <v>3</v>
      </c>
      <c r="BF183" s="787">
        <v>0</v>
      </c>
      <c r="BG183" s="325">
        <v>150000764</v>
      </c>
      <c r="BI183" s="847">
        <v>0</v>
      </c>
      <c r="BJ183" s="847">
        <v>0</v>
      </c>
      <c r="BK183" s="847">
        <v>0</v>
      </c>
      <c r="BL183" s="848"/>
      <c r="BM183" s="3"/>
      <c r="BN183" s="3"/>
      <c r="BP183" s="3"/>
      <c r="BQ183" s="3"/>
      <c r="BS183" s="42" t="s">
        <v>119</v>
      </c>
    </row>
    <row r="184" spans="1:71" ht="24.9" customHeight="1" x14ac:dyDescent="0.3">
      <c r="A184" s="325">
        <v>150000770</v>
      </c>
      <c r="B184" s="884" t="s">
        <v>120</v>
      </c>
      <c r="C184" s="863">
        <v>1</v>
      </c>
      <c r="D184" s="101" t="s">
        <v>455</v>
      </c>
      <c r="E184" s="279">
        <v>144.5</v>
      </c>
      <c r="F184" s="838">
        <v>391.51070671639127</v>
      </c>
      <c r="G184" s="838">
        <v>0</v>
      </c>
      <c r="H184" s="838">
        <v>-391.51070671639127</v>
      </c>
      <c r="I184" s="839">
        <v>0</v>
      </c>
      <c r="J184" s="851">
        <v>0</v>
      </c>
      <c r="K184" s="852"/>
      <c r="L184" s="839">
        <v>0</v>
      </c>
      <c r="M184" s="851">
        <v>0</v>
      </c>
      <c r="N184" s="853"/>
      <c r="O184" s="839">
        <v>0</v>
      </c>
      <c r="P184" s="851">
        <v>0</v>
      </c>
      <c r="Q184" s="854"/>
      <c r="R184" s="839">
        <v>0</v>
      </c>
      <c r="S184" s="851">
        <v>0</v>
      </c>
      <c r="T184" s="855"/>
      <c r="U184" s="839">
        <v>0</v>
      </c>
      <c r="V184" s="851">
        <v>0</v>
      </c>
      <c r="W184" s="839">
        <v>0</v>
      </c>
      <c r="X184" s="851">
        <v>0</v>
      </c>
      <c r="Y184" s="839">
        <v>0</v>
      </c>
      <c r="Z184" s="851">
        <v>0</v>
      </c>
      <c r="AA184" s="839">
        <v>0</v>
      </c>
      <c r="AB184" s="851">
        <v>0</v>
      </c>
      <c r="AC184" s="839">
        <v>0</v>
      </c>
      <c r="AD184" s="851">
        <v>0</v>
      </c>
      <c r="AE184" s="839">
        <v>0</v>
      </c>
      <c r="AF184" s="851">
        <v>0</v>
      </c>
      <c r="AG184" s="856"/>
      <c r="AH184" s="839">
        <v>0</v>
      </c>
      <c r="AI184" s="851">
        <v>0</v>
      </c>
      <c r="AJ184" s="856"/>
      <c r="AK184" s="839">
        <v>0</v>
      </c>
      <c r="AL184" s="851">
        <v>0</v>
      </c>
      <c r="AM184" s="856"/>
      <c r="AN184" s="839">
        <v>0</v>
      </c>
      <c r="AO184" s="851">
        <v>0</v>
      </c>
      <c r="AP184" s="856"/>
      <c r="AQ184" s="839">
        <v>0</v>
      </c>
      <c r="AR184" s="851">
        <v>0</v>
      </c>
      <c r="AS184" s="856"/>
      <c r="AT184" s="839">
        <v>0</v>
      </c>
      <c r="AU184" s="851">
        <v>0</v>
      </c>
      <c r="AV184" s="856"/>
      <c r="AW184" s="839">
        <v>0</v>
      </c>
      <c r="AX184" s="851">
        <v>0</v>
      </c>
      <c r="AY184" s="856"/>
      <c r="AZ184" s="845">
        <v>0</v>
      </c>
      <c r="BA184" s="845">
        <v>0</v>
      </c>
      <c r="BB184" s="846">
        <v>0</v>
      </c>
      <c r="BD184" s="2">
        <v>3</v>
      </c>
      <c r="BF184" s="787">
        <v>0</v>
      </c>
      <c r="BG184" s="325">
        <v>150000770</v>
      </c>
      <c r="BI184" s="847">
        <v>0</v>
      </c>
      <c r="BJ184" s="847">
        <v>0</v>
      </c>
      <c r="BK184" s="847">
        <v>0</v>
      </c>
      <c r="BL184" s="848"/>
      <c r="BM184" s="3"/>
      <c r="BN184" s="3"/>
      <c r="BP184" s="3"/>
      <c r="BQ184" s="3"/>
      <c r="BS184" s="42" t="s">
        <v>120</v>
      </c>
    </row>
    <row r="185" spans="1:71" ht="24.9" customHeight="1" x14ac:dyDescent="0.3">
      <c r="A185" s="325">
        <v>150000777</v>
      </c>
      <c r="B185" s="883" t="s">
        <v>169</v>
      </c>
      <c r="C185" s="850">
        <v>2</v>
      </c>
      <c r="D185" s="101" t="s">
        <v>455</v>
      </c>
      <c r="E185" s="279">
        <v>393</v>
      </c>
      <c r="F185" s="838">
        <v>729.85327260524946</v>
      </c>
      <c r="G185" s="838">
        <v>0</v>
      </c>
      <c r="H185" s="838">
        <v>-729.85327260524946</v>
      </c>
      <c r="I185" s="839">
        <v>0</v>
      </c>
      <c r="J185" s="851">
        <v>0</v>
      </c>
      <c r="K185" s="852"/>
      <c r="L185" s="839">
        <v>0</v>
      </c>
      <c r="M185" s="851">
        <v>0</v>
      </c>
      <c r="N185" s="853"/>
      <c r="O185" s="839">
        <v>0</v>
      </c>
      <c r="P185" s="851">
        <v>0</v>
      </c>
      <c r="Q185" s="854"/>
      <c r="R185" s="839">
        <v>0</v>
      </c>
      <c r="S185" s="851">
        <v>0</v>
      </c>
      <c r="T185" s="855"/>
      <c r="U185" s="839">
        <v>0</v>
      </c>
      <c r="V185" s="851">
        <v>0</v>
      </c>
      <c r="W185" s="839">
        <v>0</v>
      </c>
      <c r="X185" s="851">
        <v>0</v>
      </c>
      <c r="Y185" s="839">
        <v>0</v>
      </c>
      <c r="Z185" s="851">
        <v>0</v>
      </c>
      <c r="AA185" s="839">
        <v>0</v>
      </c>
      <c r="AB185" s="851">
        <v>0</v>
      </c>
      <c r="AC185" s="839">
        <v>0</v>
      </c>
      <c r="AD185" s="851">
        <v>0</v>
      </c>
      <c r="AE185" s="839">
        <v>46.068659712404099</v>
      </c>
      <c r="AF185" s="851">
        <v>0</v>
      </c>
      <c r="AG185" s="856"/>
      <c r="AH185" s="839">
        <v>48.925973641158578</v>
      </c>
      <c r="AI185" s="851">
        <v>0</v>
      </c>
      <c r="AJ185" s="856"/>
      <c r="AK185" s="839">
        <v>22.313697520928265</v>
      </c>
      <c r="AL185" s="851">
        <v>0</v>
      </c>
      <c r="AM185" s="856"/>
      <c r="AN185" s="839">
        <v>28.65895693375586</v>
      </c>
      <c r="AO185" s="851">
        <v>0</v>
      </c>
      <c r="AP185" s="856"/>
      <c r="AQ185" s="839">
        <v>0</v>
      </c>
      <c r="AR185" s="851">
        <v>0</v>
      </c>
      <c r="AS185" s="856"/>
      <c r="AT185" s="839">
        <v>13.058040995621697</v>
      </c>
      <c r="AU185" s="851">
        <v>0</v>
      </c>
      <c r="AV185" s="856"/>
      <c r="AW185" s="839">
        <v>0</v>
      </c>
      <c r="AX185" s="851">
        <v>0</v>
      </c>
      <c r="AY185" s="856"/>
      <c r="AZ185" s="845">
        <v>159.02532880386849</v>
      </c>
      <c r="BA185" s="845">
        <v>0</v>
      </c>
      <c r="BB185" s="846">
        <v>-159.02532880386849</v>
      </c>
      <c r="BD185" s="2">
        <v>3</v>
      </c>
      <c r="BF185" s="787">
        <v>1.246869156983001</v>
      </c>
      <c r="BG185" s="325">
        <v>150000777</v>
      </c>
      <c r="BI185" s="847">
        <v>0</v>
      </c>
      <c r="BJ185" s="847">
        <v>0</v>
      </c>
      <c r="BK185" s="847">
        <v>0</v>
      </c>
      <c r="BL185" s="848"/>
      <c r="BM185" s="3"/>
      <c r="BN185" s="3"/>
      <c r="BP185" s="3"/>
      <c r="BQ185" s="3"/>
      <c r="BS185" s="42" t="s">
        <v>169</v>
      </c>
    </row>
    <row r="186" spans="1:71" ht="24.9" customHeight="1" x14ac:dyDescent="0.3">
      <c r="A186" s="325">
        <v>150000765</v>
      </c>
      <c r="B186" s="883" t="s">
        <v>265</v>
      </c>
      <c r="C186" s="850">
        <v>5</v>
      </c>
      <c r="D186" s="101" t="s">
        <v>455</v>
      </c>
      <c r="E186" s="279">
        <v>4524.01</v>
      </c>
      <c r="F186" s="838">
        <v>9352.3552740010964</v>
      </c>
      <c r="G186" s="838">
        <v>5449.1906238861056</v>
      </c>
      <c r="H186" s="838">
        <v>-3903.1646501149908</v>
      </c>
      <c r="I186" s="839">
        <v>0</v>
      </c>
      <c r="J186" s="851">
        <v>0</v>
      </c>
      <c r="K186" s="866"/>
      <c r="L186" s="839">
        <v>0</v>
      </c>
      <c r="M186" s="851">
        <v>0</v>
      </c>
      <c r="N186" s="853"/>
      <c r="O186" s="839">
        <v>0</v>
      </c>
      <c r="P186" s="851">
        <v>0</v>
      </c>
      <c r="Q186" s="854"/>
      <c r="R186" s="839">
        <v>0</v>
      </c>
      <c r="S186" s="851">
        <v>0</v>
      </c>
      <c r="T186" s="855"/>
      <c r="U186" s="839">
        <v>0</v>
      </c>
      <c r="V186" s="851">
        <v>0</v>
      </c>
      <c r="W186" s="839">
        <v>0</v>
      </c>
      <c r="X186" s="851">
        <v>146.19062388610547</v>
      </c>
      <c r="Y186" s="839">
        <v>0</v>
      </c>
      <c r="Z186" s="851">
        <v>0</v>
      </c>
      <c r="AA186" s="839">
        <v>0</v>
      </c>
      <c r="AB186" s="851">
        <v>0</v>
      </c>
      <c r="AC186" s="839">
        <v>5303</v>
      </c>
      <c r="AD186" s="851">
        <v>0</v>
      </c>
      <c r="AE186" s="839">
        <v>430.09161387458335</v>
      </c>
      <c r="AF186" s="851">
        <v>0</v>
      </c>
      <c r="AG186" s="856"/>
      <c r="AH186" s="839">
        <v>704.86294416155238</v>
      </c>
      <c r="AI186" s="851">
        <v>0</v>
      </c>
      <c r="AJ186" s="856"/>
      <c r="AK186" s="839">
        <v>609.57690160425739</v>
      </c>
      <c r="AL186" s="851">
        <v>0</v>
      </c>
      <c r="AM186" s="856"/>
      <c r="AN186" s="839">
        <v>0</v>
      </c>
      <c r="AO186" s="851">
        <v>0</v>
      </c>
      <c r="AP186" s="856"/>
      <c r="AQ186" s="839">
        <v>218.86472282667671</v>
      </c>
      <c r="AR186" s="851">
        <v>0</v>
      </c>
      <c r="AS186" s="856"/>
      <c r="AT186" s="839">
        <v>286.80844471916237</v>
      </c>
      <c r="AU186" s="851">
        <v>333</v>
      </c>
      <c r="AV186" s="856"/>
      <c r="AW186" s="839">
        <v>0</v>
      </c>
      <c r="AX186" s="851">
        <v>0</v>
      </c>
      <c r="AY186" s="856"/>
      <c r="AZ186" s="845">
        <v>2250.2046271862323</v>
      </c>
      <c r="BA186" s="845">
        <v>333</v>
      </c>
      <c r="BB186" s="846">
        <v>-1917.2046271862323</v>
      </c>
      <c r="BD186" s="2">
        <v>2</v>
      </c>
      <c r="BF186" s="787">
        <v>232.16287161114198</v>
      </c>
      <c r="BG186" s="325">
        <v>150000765</v>
      </c>
      <c r="BI186" s="847">
        <v>66.5</v>
      </c>
      <c r="BJ186" s="847">
        <v>6.5258740398342816</v>
      </c>
      <c r="BK186" s="847">
        <v>73.025874039834278</v>
      </c>
      <c r="BL186" s="848"/>
      <c r="BM186" s="3"/>
      <c r="BN186" s="3"/>
      <c r="BP186" s="3"/>
      <c r="BQ186" s="3"/>
      <c r="BS186" s="42" t="s">
        <v>265</v>
      </c>
    </row>
    <row r="187" spans="1:71" ht="24.9" customHeight="1" x14ac:dyDescent="0.3">
      <c r="A187" s="325">
        <v>150000696</v>
      </c>
      <c r="B187" s="849" t="s">
        <v>371</v>
      </c>
      <c r="C187" s="850">
        <v>9</v>
      </c>
      <c r="D187" s="101" t="s">
        <v>455</v>
      </c>
      <c r="E187" s="279">
        <v>6306.37</v>
      </c>
      <c r="F187" s="838">
        <v>18592.892818995231</v>
      </c>
      <c r="G187" s="838">
        <v>1243.1701610229052</v>
      </c>
      <c r="H187" s="838">
        <v>-17349.722657972325</v>
      </c>
      <c r="I187" s="839">
        <v>0</v>
      </c>
      <c r="J187" s="851">
        <v>0</v>
      </c>
      <c r="K187" s="852"/>
      <c r="L187" s="839">
        <v>0</v>
      </c>
      <c r="M187" s="851">
        <v>0</v>
      </c>
      <c r="N187" s="858"/>
      <c r="O187" s="839">
        <v>0</v>
      </c>
      <c r="P187" s="851">
        <v>0</v>
      </c>
      <c r="Q187" s="854"/>
      <c r="R187" s="839">
        <v>0</v>
      </c>
      <c r="S187" s="851">
        <v>0</v>
      </c>
      <c r="T187" s="855"/>
      <c r="U187" s="839">
        <v>0</v>
      </c>
      <c r="V187" s="851">
        <v>0</v>
      </c>
      <c r="W187" s="839">
        <v>0</v>
      </c>
      <c r="X187" s="851">
        <v>21.170161022905198</v>
      </c>
      <c r="Y187" s="839">
        <v>0</v>
      </c>
      <c r="Z187" s="851">
        <v>0</v>
      </c>
      <c r="AA187" s="839">
        <v>0</v>
      </c>
      <c r="AB187" s="851">
        <v>0</v>
      </c>
      <c r="AC187" s="839">
        <v>0</v>
      </c>
      <c r="AD187" s="851">
        <v>1222</v>
      </c>
      <c r="AE187" s="839">
        <v>323.77807226747711</v>
      </c>
      <c r="AF187" s="851">
        <v>0</v>
      </c>
      <c r="AG187" s="856"/>
      <c r="AH187" s="839">
        <v>454.89918193382948</v>
      </c>
      <c r="AI187" s="851">
        <v>1838</v>
      </c>
      <c r="AJ187" s="856"/>
      <c r="AK187" s="839">
        <v>547.50131884064126</v>
      </c>
      <c r="AL187" s="851">
        <v>0</v>
      </c>
      <c r="AM187" s="867"/>
      <c r="AN187" s="839">
        <v>186.23364705591104</v>
      </c>
      <c r="AO187" s="851">
        <v>0</v>
      </c>
      <c r="AP187" s="856"/>
      <c r="AQ187" s="839">
        <v>98.941812127749259</v>
      </c>
      <c r="AR187" s="851">
        <v>0</v>
      </c>
      <c r="AS187" s="856"/>
      <c r="AT187" s="839">
        <v>234.91889578159507</v>
      </c>
      <c r="AU187" s="851">
        <v>0</v>
      </c>
      <c r="AV187" s="856"/>
      <c r="AW187" s="839">
        <v>0</v>
      </c>
      <c r="AX187" s="851">
        <v>0</v>
      </c>
      <c r="AY187" s="856"/>
      <c r="AZ187" s="845">
        <v>1846.2729280072031</v>
      </c>
      <c r="BA187" s="845">
        <v>1838</v>
      </c>
      <c r="BB187" s="846">
        <v>-8.2729280072030633</v>
      </c>
      <c r="BD187" s="2">
        <v>3</v>
      </c>
      <c r="BF187" s="787">
        <v>20.000510997870204</v>
      </c>
      <c r="BG187" s="325">
        <v>150000696</v>
      </c>
      <c r="BI187" s="847">
        <v>9.6300000000000008</v>
      </c>
      <c r="BJ187" s="847">
        <v>0.94502506772337047</v>
      </c>
      <c r="BK187" s="847">
        <v>10.575025067723372</v>
      </c>
      <c r="BL187" s="848"/>
      <c r="BM187" s="3"/>
      <c r="BN187" s="3"/>
      <c r="BP187" s="3"/>
      <c r="BQ187" s="3"/>
      <c r="BS187" s="42" t="s">
        <v>371</v>
      </c>
    </row>
    <row r="188" spans="1:71" ht="24.9" customHeight="1" x14ac:dyDescent="0.3">
      <c r="A188" s="325">
        <v>150000697</v>
      </c>
      <c r="B188" s="849" t="s">
        <v>266</v>
      </c>
      <c r="C188" s="850">
        <v>5</v>
      </c>
      <c r="D188" s="101" t="s">
        <v>455</v>
      </c>
      <c r="E188" s="279">
        <v>2744.3</v>
      </c>
      <c r="F188" s="838">
        <v>8191.5701476768691</v>
      </c>
      <c r="G188" s="838">
        <v>1420</v>
      </c>
      <c r="H188" s="838">
        <v>-6771.5701476768691</v>
      </c>
      <c r="I188" s="839">
        <v>0</v>
      </c>
      <c r="J188" s="851">
        <v>0</v>
      </c>
      <c r="K188" s="852"/>
      <c r="L188" s="839">
        <v>0</v>
      </c>
      <c r="M188" s="851">
        <v>0</v>
      </c>
      <c r="N188" s="853"/>
      <c r="O188" s="839">
        <v>0</v>
      </c>
      <c r="P188" s="851">
        <v>0</v>
      </c>
      <c r="Q188" s="854"/>
      <c r="R188" s="839">
        <v>0</v>
      </c>
      <c r="S188" s="851">
        <v>0</v>
      </c>
      <c r="T188" s="855"/>
      <c r="U188" s="839">
        <v>0</v>
      </c>
      <c r="V188" s="851">
        <v>0</v>
      </c>
      <c r="W188" s="839">
        <v>0</v>
      </c>
      <c r="X188" s="851">
        <v>0</v>
      </c>
      <c r="Y188" s="839">
        <v>0</v>
      </c>
      <c r="Z188" s="851">
        <v>0</v>
      </c>
      <c r="AA188" s="839">
        <v>0</v>
      </c>
      <c r="AB188" s="851">
        <v>0</v>
      </c>
      <c r="AC188" s="839">
        <v>1420</v>
      </c>
      <c r="AD188" s="851">
        <v>0</v>
      </c>
      <c r="AE188" s="839">
        <v>297.77636292708985</v>
      </c>
      <c r="AF188" s="851">
        <v>0</v>
      </c>
      <c r="AG188" s="867"/>
      <c r="AH188" s="839">
        <v>573.36085687710136</v>
      </c>
      <c r="AI188" s="851">
        <v>0</v>
      </c>
      <c r="AJ188" s="856"/>
      <c r="AK188" s="839">
        <v>247.03479876144331</v>
      </c>
      <c r="AL188" s="851">
        <v>0</v>
      </c>
      <c r="AM188" s="856"/>
      <c r="AN188" s="839">
        <v>169.24387227042521</v>
      </c>
      <c r="AO188" s="851">
        <v>2881</v>
      </c>
      <c r="AP188" s="856"/>
      <c r="AQ188" s="839">
        <v>119.94714023874553</v>
      </c>
      <c r="AR188" s="851">
        <v>0</v>
      </c>
      <c r="AS188" s="856"/>
      <c r="AT188" s="839">
        <v>179.8175182931152</v>
      </c>
      <c r="AU188" s="851">
        <v>0</v>
      </c>
      <c r="AV188" s="856"/>
      <c r="AW188" s="839">
        <v>0</v>
      </c>
      <c r="AX188" s="851">
        <v>0</v>
      </c>
      <c r="AY188" s="856"/>
      <c r="AZ188" s="845">
        <v>1587.1805493679205</v>
      </c>
      <c r="BA188" s="845">
        <v>2881</v>
      </c>
      <c r="BB188" s="846">
        <v>1293.8194506320795</v>
      </c>
      <c r="BD188" s="2">
        <v>3</v>
      </c>
      <c r="BF188" s="787">
        <v>8.7071443115118292</v>
      </c>
      <c r="BG188" s="325">
        <v>150000697</v>
      </c>
      <c r="BI188" s="847">
        <v>0</v>
      </c>
      <c r="BJ188" s="847">
        <v>0</v>
      </c>
      <c r="BK188" s="847">
        <v>0</v>
      </c>
      <c r="BL188" s="848"/>
      <c r="BM188" s="3"/>
      <c r="BN188" s="3"/>
      <c r="BP188" s="3"/>
      <c r="BQ188" s="3"/>
      <c r="BS188" s="42" t="s">
        <v>266</v>
      </c>
    </row>
    <row r="189" spans="1:71" ht="24.9" customHeight="1" x14ac:dyDescent="0.3">
      <c r="A189" s="325">
        <v>150000694</v>
      </c>
      <c r="B189" s="849" t="s">
        <v>372</v>
      </c>
      <c r="C189" s="850">
        <v>9</v>
      </c>
      <c r="D189" s="101" t="s">
        <v>455</v>
      </c>
      <c r="E189" s="279">
        <v>6138.38</v>
      </c>
      <c r="F189" s="838">
        <v>19508.831416694451</v>
      </c>
      <c r="G189" s="838">
        <v>3468.942433624266</v>
      </c>
      <c r="H189" s="838">
        <v>-16039.888983070185</v>
      </c>
      <c r="I189" s="839">
        <v>5</v>
      </c>
      <c r="J189" s="851">
        <v>442</v>
      </c>
      <c r="K189" s="852"/>
      <c r="L189" s="839">
        <v>0</v>
      </c>
      <c r="M189" s="851">
        <v>0</v>
      </c>
      <c r="N189" s="858"/>
      <c r="O189" s="839">
        <v>0</v>
      </c>
      <c r="P189" s="851">
        <v>0</v>
      </c>
      <c r="Q189" s="854"/>
      <c r="R189" s="839">
        <v>0</v>
      </c>
      <c r="S189" s="851">
        <v>0</v>
      </c>
      <c r="T189" s="870"/>
      <c r="U189" s="839">
        <v>0</v>
      </c>
      <c r="V189" s="851">
        <v>0</v>
      </c>
      <c r="W189" s="839">
        <v>0</v>
      </c>
      <c r="X189" s="851">
        <v>76.942433624266044</v>
      </c>
      <c r="Y189" s="839">
        <v>835</v>
      </c>
      <c r="Z189" s="851">
        <v>0</v>
      </c>
      <c r="AA189" s="839">
        <v>0</v>
      </c>
      <c r="AB189" s="851">
        <v>0</v>
      </c>
      <c r="AC189" s="839">
        <v>781</v>
      </c>
      <c r="AD189" s="851">
        <v>1334</v>
      </c>
      <c r="AE189" s="839">
        <v>323.58965322690381</v>
      </c>
      <c r="AF189" s="851">
        <v>0</v>
      </c>
      <c r="AG189" s="867"/>
      <c r="AH189" s="839">
        <v>454.66614417503911</v>
      </c>
      <c r="AI189" s="851">
        <v>0</v>
      </c>
      <c r="AJ189" s="856"/>
      <c r="AK189" s="839">
        <v>530.89323843394777</v>
      </c>
      <c r="AL189" s="851">
        <v>0</v>
      </c>
      <c r="AM189" s="856"/>
      <c r="AN189" s="839">
        <v>179.5277080876393</v>
      </c>
      <c r="AO189" s="851">
        <v>0</v>
      </c>
      <c r="AP189" s="856"/>
      <c r="AQ189" s="839">
        <v>98.941812127749259</v>
      </c>
      <c r="AR189" s="851">
        <v>0</v>
      </c>
      <c r="AS189" s="867"/>
      <c r="AT189" s="839">
        <v>229.74257394823968</v>
      </c>
      <c r="AU189" s="851">
        <v>0</v>
      </c>
      <c r="AV189" s="857"/>
      <c r="AW189" s="839">
        <v>0</v>
      </c>
      <c r="AX189" s="851">
        <v>0</v>
      </c>
      <c r="AY189" s="856"/>
      <c r="AZ189" s="845">
        <v>1817.3611299995187</v>
      </c>
      <c r="BA189" s="845">
        <v>0</v>
      </c>
      <c r="BB189" s="846">
        <v>-1817.3611299995187</v>
      </c>
      <c r="BD189" s="2">
        <v>3</v>
      </c>
      <c r="BF189" s="787">
        <v>19.475207877458818</v>
      </c>
      <c r="BG189" s="325">
        <v>150000694</v>
      </c>
      <c r="BI189" s="847">
        <v>35</v>
      </c>
      <c r="BJ189" s="847">
        <v>3.4346705472812009</v>
      </c>
      <c r="BK189" s="847">
        <v>38.4346705472812</v>
      </c>
      <c r="BL189" s="848"/>
      <c r="BM189" s="3"/>
      <c r="BN189" s="3"/>
      <c r="BP189" s="3"/>
      <c r="BQ189" s="3"/>
      <c r="BS189" s="42" t="s">
        <v>372</v>
      </c>
    </row>
    <row r="190" spans="1:71" ht="24.9" customHeight="1" x14ac:dyDescent="0.3">
      <c r="A190" s="325">
        <v>150000695</v>
      </c>
      <c r="B190" s="849" t="s">
        <v>373</v>
      </c>
      <c r="C190" s="850">
        <v>9</v>
      </c>
      <c r="D190" s="101" t="s">
        <v>455</v>
      </c>
      <c r="E190" s="279">
        <v>6304.12</v>
      </c>
      <c r="F190" s="838">
        <v>18775.294033528022</v>
      </c>
      <c r="G190" s="838">
        <v>9476.5821411229153</v>
      </c>
      <c r="H190" s="838">
        <v>-9298.7118924051065</v>
      </c>
      <c r="I190" s="839">
        <v>0</v>
      </c>
      <c r="J190" s="851">
        <v>782</v>
      </c>
      <c r="K190" s="852"/>
      <c r="L190" s="839">
        <v>0</v>
      </c>
      <c r="M190" s="851">
        <v>0</v>
      </c>
      <c r="N190" s="853"/>
      <c r="O190" s="839">
        <v>0</v>
      </c>
      <c r="P190" s="851">
        <v>0</v>
      </c>
      <c r="Q190" s="885"/>
      <c r="R190" s="839">
        <v>0</v>
      </c>
      <c r="S190" s="851">
        <v>0</v>
      </c>
      <c r="T190" s="870"/>
      <c r="U190" s="839">
        <v>0</v>
      </c>
      <c r="V190" s="851">
        <v>0</v>
      </c>
      <c r="W190" s="839">
        <v>0</v>
      </c>
      <c r="X190" s="851">
        <v>42.582141122915232</v>
      </c>
      <c r="Y190" s="839">
        <v>0</v>
      </c>
      <c r="Z190" s="851">
        <v>0</v>
      </c>
      <c r="AA190" s="839">
        <v>0</v>
      </c>
      <c r="AB190" s="851">
        <v>5923</v>
      </c>
      <c r="AC190" s="839">
        <v>207</v>
      </c>
      <c r="AD190" s="851">
        <v>2522</v>
      </c>
      <c r="AE190" s="839">
        <v>259.31682263898614</v>
      </c>
      <c r="AF190" s="851">
        <v>0</v>
      </c>
      <c r="AG190" s="856"/>
      <c r="AH190" s="839">
        <v>350.53630385809657</v>
      </c>
      <c r="AI190" s="851">
        <v>0</v>
      </c>
      <c r="AJ190" s="857"/>
      <c r="AK190" s="839">
        <v>438.00105507251305</v>
      </c>
      <c r="AL190" s="851">
        <v>0</v>
      </c>
      <c r="AM190" s="856"/>
      <c r="AN190" s="839">
        <v>148.98691764472883</v>
      </c>
      <c r="AO190" s="851">
        <v>0</v>
      </c>
      <c r="AP190" s="856"/>
      <c r="AQ190" s="839">
        <v>79.153449702199396</v>
      </c>
      <c r="AR190" s="851">
        <v>0</v>
      </c>
      <c r="AS190" s="856"/>
      <c r="AT190" s="839">
        <v>186.96012202314108</v>
      </c>
      <c r="AU190" s="851">
        <v>0</v>
      </c>
      <c r="AV190" s="856"/>
      <c r="AW190" s="839">
        <v>0</v>
      </c>
      <c r="AX190" s="851">
        <v>0</v>
      </c>
      <c r="AY190" s="856"/>
      <c r="AZ190" s="845">
        <v>1462.9546709396652</v>
      </c>
      <c r="BA190" s="845">
        <v>0</v>
      </c>
      <c r="BB190" s="846">
        <v>-1462.9546709396652</v>
      </c>
      <c r="BD190" s="2">
        <v>3</v>
      </c>
      <c r="BF190" s="787">
        <v>20.001684895040903</v>
      </c>
      <c r="BG190" s="325">
        <v>150000695</v>
      </c>
      <c r="BI190" s="847">
        <v>19.37</v>
      </c>
      <c r="BJ190" s="847">
        <v>1.9008448143096248</v>
      </c>
      <c r="BK190" s="847">
        <v>21.270844814309626</v>
      </c>
      <c r="BL190" s="848"/>
      <c r="BM190" s="3"/>
      <c r="BN190" s="3"/>
      <c r="BP190" s="3"/>
      <c r="BQ190" s="3"/>
      <c r="BS190" s="42" t="s">
        <v>373</v>
      </c>
    </row>
    <row r="191" spans="1:71" ht="24.9" customHeight="1" x14ac:dyDescent="0.3">
      <c r="A191" s="325">
        <v>150000699</v>
      </c>
      <c r="B191" s="849" t="s">
        <v>374</v>
      </c>
      <c r="C191" s="850">
        <v>9</v>
      </c>
      <c r="D191" s="101" t="s">
        <v>455</v>
      </c>
      <c r="E191" s="279">
        <v>4191.3999999999996</v>
      </c>
      <c r="F191" s="838">
        <v>9891.6284381155456</v>
      </c>
      <c r="G191" s="838">
        <v>12359.859703536986</v>
      </c>
      <c r="H191" s="838">
        <v>2468.2312654214402</v>
      </c>
      <c r="I191" s="839">
        <v>0</v>
      </c>
      <c r="J191" s="851">
        <v>0</v>
      </c>
      <c r="K191" s="852"/>
      <c r="L191" s="839">
        <v>0</v>
      </c>
      <c r="M191" s="851">
        <v>0</v>
      </c>
      <c r="N191" s="853"/>
      <c r="O191" s="839">
        <v>0</v>
      </c>
      <c r="P191" s="851">
        <v>0</v>
      </c>
      <c r="Q191" s="854"/>
      <c r="R191" s="839">
        <v>0</v>
      </c>
      <c r="S191" s="851">
        <v>5306</v>
      </c>
      <c r="T191" s="870"/>
      <c r="U191" s="839">
        <v>0</v>
      </c>
      <c r="V191" s="851">
        <v>0</v>
      </c>
      <c r="W191" s="839">
        <v>0</v>
      </c>
      <c r="X191" s="851">
        <v>53.859703536986224</v>
      </c>
      <c r="Y191" s="839">
        <v>0</v>
      </c>
      <c r="Z191" s="851">
        <v>0</v>
      </c>
      <c r="AA191" s="839">
        <v>0</v>
      </c>
      <c r="AB191" s="851">
        <v>0</v>
      </c>
      <c r="AC191" s="839">
        <v>6592</v>
      </c>
      <c r="AD191" s="851">
        <v>408</v>
      </c>
      <c r="AE191" s="839">
        <v>173.0252149111553</v>
      </c>
      <c r="AF191" s="851">
        <v>0</v>
      </c>
      <c r="AG191" s="867"/>
      <c r="AH191" s="839">
        <v>190.6065330224925</v>
      </c>
      <c r="AI191" s="851">
        <v>0</v>
      </c>
      <c r="AJ191" s="856"/>
      <c r="AK191" s="839">
        <v>347.57607156084669</v>
      </c>
      <c r="AL191" s="851">
        <v>0</v>
      </c>
      <c r="AM191" s="867"/>
      <c r="AN191" s="839">
        <v>135.57212084364016</v>
      </c>
      <c r="AO191" s="851">
        <v>4660</v>
      </c>
      <c r="AP191" s="856"/>
      <c r="AQ191" s="839">
        <v>65.961235315382794</v>
      </c>
      <c r="AR191" s="851">
        <v>0</v>
      </c>
      <c r="AS191" s="867"/>
      <c r="AT191" s="839">
        <v>162.82689024297548</v>
      </c>
      <c r="AU191" s="851">
        <v>0</v>
      </c>
      <c r="AV191" s="856"/>
      <c r="AW191" s="839">
        <v>0</v>
      </c>
      <c r="AX191" s="851">
        <v>0</v>
      </c>
      <c r="AY191" s="856"/>
      <c r="AZ191" s="845">
        <v>1075.568065896493</v>
      </c>
      <c r="BA191" s="845">
        <v>4660</v>
      </c>
      <c r="BB191" s="846">
        <v>3584.431934103507</v>
      </c>
      <c r="BD191" s="2">
        <v>3</v>
      </c>
      <c r="BF191" s="787">
        <v>13.295495901407037</v>
      </c>
      <c r="BG191" s="325">
        <v>150000699</v>
      </c>
      <c r="BI191" s="847">
        <v>24.5</v>
      </c>
      <c r="BJ191" s="847">
        <v>2.4042693830968407</v>
      </c>
      <c r="BK191" s="847">
        <v>26.904269383096839</v>
      </c>
      <c r="BL191" s="848"/>
      <c r="BM191" s="3"/>
      <c r="BN191" s="3"/>
      <c r="BP191" s="3"/>
      <c r="BQ191" s="3"/>
      <c r="BS191" s="42" t="s">
        <v>374</v>
      </c>
    </row>
    <row r="192" spans="1:71" ht="24.9" customHeight="1" x14ac:dyDescent="0.3">
      <c r="A192" s="325">
        <v>150000928</v>
      </c>
      <c r="B192" s="849" t="s">
        <v>170</v>
      </c>
      <c r="C192" s="850">
        <v>2</v>
      </c>
      <c r="D192" s="101" t="s">
        <v>455</v>
      </c>
      <c r="E192" s="279">
        <v>479.2</v>
      </c>
      <c r="F192" s="838">
        <v>1056.515040328379</v>
      </c>
      <c r="G192" s="838">
        <v>261</v>
      </c>
      <c r="H192" s="838">
        <v>-795.51504032837897</v>
      </c>
      <c r="I192" s="839">
        <v>0</v>
      </c>
      <c r="J192" s="851">
        <v>0</v>
      </c>
      <c r="K192" s="852"/>
      <c r="L192" s="839">
        <v>0</v>
      </c>
      <c r="M192" s="851">
        <v>0</v>
      </c>
      <c r="N192" s="853"/>
      <c r="O192" s="839">
        <v>0</v>
      </c>
      <c r="P192" s="851">
        <v>0</v>
      </c>
      <c r="Q192" s="854"/>
      <c r="R192" s="839">
        <v>0</v>
      </c>
      <c r="S192" s="851">
        <v>0</v>
      </c>
      <c r="T192" s="855"/>
      <c r="U192" s="839">
        <v>0</v>
      </c>
      <c r="V192" s="851">
        <v>0</v>
      </c>
      <c r="W192" s="839">
        <v>0</v>
      </c>
      <c r="X192" s="851">
        <v>0</v>
      </c>
      <c r="Y192" s="839">
        <v>0</v>
      </c>
      <c r="Z192" s="851">
        <v>0</v>
      </c>
      <c r="AA192" s="839">
        <v>0</v>
      </c>
      <c r="AB192" s="851">
        <v>0</v>
      </c>
      <c r="AC192" s="839">
        <v>0</v>
      </c>
      <c r="AD192" s="851">
        <v>261</v>
      </c>
      <c r="AE192" s="839">
        <v>83.07505612416243</v>
      </c>
      <c r="AF192" s="851">
        <v>0</v>
      </c>
      <c r="AG192" s="856"/>
      <c r="AH192" s="839">
        <v>120.85834889421265</v>
      </c>
      <c r="AI192" s="851">
        <v>0</v>
      </c>
      <c r="AJ192" s="856"/>
      <c r="AK192" s="839">
        <v>50.255603364884891</v>
      </c>
      <c r="AL192" s="851">
        <v>0</v>
      </c>
      <c r="AM192" s="856"/>
      <c r="AN192" s="839">
        <v>0</v>
      </c>
      <c r="AO192" s="851">
        <v>0</v>
      </c>
      <c r="AP192" s="856"/>
      <c r="AQ192" s="839">
        <v>0</v>
      </c>
      <c r="AR192" s="851">
        <v>0</v>
      </c>
      <c r="AS192" s="856"/>
      <c r="AT192" s="839">
        <v>19.771277081972755</v>
      </c>
      <c r="AU192" s="851">
        <v>0</v>
      </c>
      <c r="AV192" s="856"/>
      <c r="AW192" s="839">
        <v>0</v>
      </c>
      <c r="AX192" s="851">
        <v>0</v>
      </c>
      <c r="AY192" s="856"/>
      <c r="AZ192" s="845">
        <v>273.96028546523274</v>
      </c>
      <c r="BA192" s="845">
        <v>0</v>
      </c>
      <c r="BB192" s="846">
        <v>-273.96028546523274</v>
      </c>
      <c r="BD192" s="2">
        <v>2</v>
      </c>
      <c r="BF192" s="787">
        <v>183.10998384309798</v>
      </c>
      <c r="BG192" s="325">
        <v>150000928</v>
      </c>
      <c r="BI192" s="847">
        <v>0</v>
      </c>
      <c r="BJ192" s="847">
        <v>0</v>
      </c>
      <c r="BK192" s="847">
        <v>0</v>
      </c>
      <c r="BL192" s="848"/>
      <c r="BM192" s="3"/>
      <c r="BN192" s="3"/>
      <c r="BP192" s="3"/>
      <c r="BQ192" s="3"/>
      <c r="BS192" s="42" t="s">
        <v>170</v>
      </c>
    </row>
    <row r="193" spans="1:71" ht="24.9" customHeight="1" x14ac:dyDescent="0.3">
      <c r="A193" s="325">
        <v>150000951</v>
      </c>
      <c r="B193" s="849" t="s">
        <v>171</v>
      </c>
      <c r="C193" s="850">
        <v>2</v>
      </c>
      <c r="D193" s="101" t="s">
        <v>455</v>
      </c>
      <c r="E193" s="279">
        <v>553.20000000000005</v>
      </c>
      <c r="F193" s="838">
        <v>840.67548234952994</v>
      </c>
      <c r="G193" s="838">
        <v>0</v>
      </c>
      <c r="H193" s="838">
        <v>-840.67548234952994</v>
      </c>
      <c r="I193" s="839">
        <v>0</v>
      </c>
      <c r="J193" s="851">
        <v>0</v>
      </c>
      <c r="K193" s="852"/>
      <c r="L193" s="839">
        <v>0</v>
      </c>
      <c r="M193" s="851">
        <v>0</v>
      </c>
      <c r="N193" s="853"/>
      <c r="O193" s="839">
        <v>0</v>
      </c>
      <c r="P193" s="851">
        <v>0</v>
      </c>
      <c r="Q193" s="854"/>
      <c r="R193" s="839">
        <v>0</v>
      </c>
      <c r="S193" s="851">
        <v>0</v>
      </c>
      <c r="T193" s="855"/>
      <c r="U193" s="839">
        <v>0</v>
      </c>
      <c r="V193" s="851">
        <v>0</v>
      </c>
      <c r="W193" s="839">
        <v>0</v>
      </c>
      <c r="X193" s="851">
        <v>0</v>
      </c>
      <c r="Y193" s="839">
        <v>0</v>
      </c>
      <c r="Z193" s="851">
        <v>0</v>
      </c>
      <c r="AA193" s="839">
        <v>0</v>
      </c>
      <c r="AB193" s="851">
        <v>0</v>
      </c>
      <c r="AC193" s="839">
        <v>0</v>
      </c>
      <c r="AD193" s="851">
        <v>0</v>
      </c>
      <c r="AE193" s="839">
        <v>0</v>
      </c>
      <c r="AF193" s="851">
        <v>0</v>
      </c>
      <c r="AG193" s="856"/>
      <c r="AH193" s="839">
        <v>0</v>
      </c>
      <c r="AI193" s="851">
        <v>0</v>
      </c>
      <c r="AJ193" s="856"/>
      <c r="AK193" s="839">
        <v>0</v>
      </c>
      <c r="AL193" s="851">
        <v>0</v>
      </c>
      <c r="AM193" s="856"/>
      <c r="AN193" s="839">
        <v>0</v>
      </c>
      <c r="AO193" s="851">
        <v>0</v>
      </c>
      <c r="AP193" s="856"/>
      <c r="AQ193" s="839">
        <v>0</v>
      </c>
      <c r="AR193" s="851">
        <v>0</v>
      </c>
      <c r="AS193" s="856"/>
      <c r="AT193" s="839">
        <v>11.79923975269347</v>
      </c>
      <c r="AU193" s="851">
        <v>0</v>
      </c>
      <c r="AV193" s="856"/>
      <c r="AW193" s="839">
        <v>18.844525374458165</v>
      </c>
      <c r="AX193" s="851">
        <v>0</v>
      </c>
      <c r="AY193" s="856"/>
      <c r="AZ193" s="845">
        <v>30.643765127151635</v>
      </c>
      <c r="BA193" s="845">
        <v>0</v>
      </c>
      <c r="BB193" s="846">
        <v>-30.643765127151635</v>
      </c>
      <c r="BD193" s="2">
        <v>1</v>
      </c>
      <c r="BF193" s="787">
        <v>3.8950020522596658</v>
      </c>
      <c r="BG193" s="325">
        <v>150000951</v>
      </c>
      <c r="BI193" s="847">
        <v>0</v>
      </c>
      <c r="BJ193" s="847">
        <v>0</v>
      </c>
      <c r="BK193" s="847">
        <v>0</v>
      </c>
      <c r="BL193" s="848"/>
      <c r="BM193" s="3"/>
      <c r="BN193" s="3"/>
      <c r="BP193" s="3"/>
      <c r="BQ193" s="3"/>
      <c r="BS193" s="42" t="s">
        <v>171</v>
      </c>
    </row>
    <row r="194" spans="1:71" ht="24.9" customHeight="1" x14ac:dyDescent="0.3">
      <c r="A194" s="325">
        <v>150000954</v>
      </c>
      <c r="B194" s="849" t="s">
        <v>172</v>
      </c>
      <c r="C194" s="850">
        <v>2</v>
      </c>
      <c r="D194" s="101" t="s">
        <v>455</v>
      </c>
      <c r="E194" s="279">
        <v>358.84</v>
      </c>
      <c r="F194" s="838">
        <v>1246.5313505136853</v>
      </c>
      <c r="G194" s="838">
        <v>0</v>
      </c>
      <c r="H194" s="838">
        <v>-1246.5313505136853</v>
      </c>
      <c r="I194" s="839">
        <v>0</v>
      </c>
      <c r="J194" s="851">
        <v>0</v>
      </c>
      <c r="K194" s="852"/>
      <c r="L194" s="839">
        <v>0</v>
      </c>
      <c r="M194" s="851">
        <v>0</v>
      </c>
      <c r="N194" s="853"/>
      <c r="O194" s="839">
        <v>0</v>
      </c>
      <c r="P194" s="851">
        <v>0</v>
      </c>
      <c r="Q194" s="854"/>
      <c r="R194" s="839">
        <v>0</v>
      </c>
      <c r="S194" s="851">
        <v>0</v>
      </c>
      <c r="T194" s="855"/>
      <c r="U194" s="839">
        <v>0</v>
      </c>
      <c r="V194" s="851">
        <v>0</v>
      </c>
      <c r="W194" s="839">
        <v>0</v>
      </c>
      <c r="X194" s="851">
        <v>0</v>
      </c>
      <c r="Y194" s="839">
        <v>0</v>
      </c>
      <c r="Z194" s="851">
        <v>0</v>
      </c>
      <c r="AA194" s="839">
        <v>0</v>
      </c>
      <c r="AB194" s="851">
        <v>0</v>
      </c>
      <c r="AC194" s="839">
        <v>0</v>
      </c>
      <c r="AD194" s="851">
        <v>0</v>
      </c>
      <c r="AE194" s="839">
        <v>39.854034337902583</v>
      </c>
      <c r="AF194" s="851">
        <v>0</v>
      </c>
      <c r="AG194" s="856"/>
      <c r="AH194" s="839">
        <v>52.004483831338867</v>
      </c>
      <c r="AI194" s="851">
        <v>0</v>
      </c>
      <c r="AJ194" s="856"/>
      <c r="AK194" s="839">
        <v>40.915006131433771</v>
      </c>
      <c r="AL194" s="851">
        <v>0</v>
      </c>
      <c r="AM194" s="856"/>
      <c r="AN194" s="839">
        <v>0</v>
      </c>
      <c r="AO194" s="851">
        <v>820</v>
      </c>
      <c r="AP194" s="856"/>
      <c r="AQ194" s="839">
        <v>0</v>
      </c>
      <c r="AR194" s="851">
        <v>0</v>
      </c>
      <c r="AS194" s="856"/>
      <c r="AT194" s="839">
        <v>36.676348877749327</v>
      </c>
      <c r="AU194" s="851">
        <v>0</v>
      </c>
      <c r="AV194" s="856"/>
      <c r="AW194" s="839">
        <v>27.907064838681809</v>
      </c>
      <c r="AX194" s="851">
        <v>0</v>
      </c>
      <c r="AY194" s="856"/>
      <c r="AZ194" s="845">
        <v>197.35693801710633</v>
      </c>
      <c r="BA194" s="845">
        <v>820</v>
      </c>
      <c r="BB194" s="846">
        <v>622.64306198289364</v>
      </c>
      <c r="BD194" s="2">
        <v>1</v>
      </c>
      <c r="BF194" s="787">
        <v>2.5265410998424773</v>
      </c>
      <c r="BG194" s="325">
        <v>150000954</v>
      </c>
      <c r="BI194" s="847">
        <v>0</v>
      </c>
      <c r="BJ194" s="847">
        <v>0</v>
      </c>
      <c r="BK194" s="847">
        <v>0</v>
      </c>
      <c r="BL194" s="848"/>
      <c r="BM194" s="3"/>
      <c r="BN194" s="3"/>
      <c r="BP194" s="3"/>
      <c r="BQ194" s="3"/>
      <c r="BS194" s="42" t="s">
        <v>172</v>
      </c>
    </row>
    <row r="195" spans="1:71" ht="24.9" customHeight="1" x14ac:dyDescent="0.3">
      <c r="A195" s="325">
        <v>150000929</v>
      </c>
      <c r="B195" s="849" t="s">
        <v>1034</v>
      </c>
      <c r="C195" s="850">
        <v>2</v>
      </c>
      <c r="D195" s="101" t="s">
        <v>455</v>
      </c>
      <c r="E195" s="279">
        <v>488.8</v>
      </c>
      <c r="F195" s="838">
        <v>1355.5330261552676</v>
      </c>
      <c r="G195" s="838">
        <v>296.10773328512937</v>
      </c>
      <c r="H195" s="838">
        <v>-1059.4252928701383</v>
      </c>
      <c r="I195" s="839">
        <v>0</v>
      </c>
      <c r="J195" s="851">
        <v>0</v>
      </c>
      <c r="K195" s="852"/>
      <c r="L195" s="839">
        <v>0</v>
      </c>
      <c r="M195" s="851">
        <v>0</v>
      </c>
      <c r="N195" s="853"/>
      <c r="O195" s="839">
        <v>0</v>
      </c>
      <c r="P195" s="851">
        <v>0</v>
      </c>
      <c r="Q195" s="854"/>
      <c r="R195" s="839">
        <v>0</v>
      </c>
      <c r="S195" s="851">
        <v>0</v>
      </c>
      <c r="T195" s="855"/>
      <c r="U195" s="839">
        <v>0</v>
      </c>
      <c r="V195" s="851">
        <v>0</v>
      </c>
      <c r="W195" s="839">
        <v>0</v>
      </c>
      <c r="X195" s="851">
        <v>35.107733285129385</v>
      </c>
      <c r="Y195" s="839">
        <v>0</v>
      </c>
      <c r="Z195" s="851">
        <v>0</v>
      </c>
      <c r="AA195" s="839">
        <v>0</v>
      </c>
      <c r="AB195" s="851">
        <v>0</v>
      </c>
      <c r="AC195" s="839">
        <v>0</v>
      </c>
      <c r="AD195" s="851">
        <v>261</v>
      </c>
      <c r="AE195" s="839">
        <v>93.124297043027042</v>
      </c>
      <c r="AF195" s="851">
        <v>0</v>
      </c>
      <c r="AG195" s="856"/>
      <c r="AH195" s="839">
        <v>120.85834889421265</v>
      </c>
      <c r="AI195" s="851">
        <v>0</v>
      </c>
      <c r="AJ195" s="856"/>
      <c r="AK195" s="839">
        <v>0</v>
      </c>
      <c r="AL195" s="851">
        <v>0</v>
      </c>
      <c r="AM195" s="856"/>
      <c r="AN195" s="839">
        <v>0</v>
      </c>
      <c r="AO195" s="851">
        <v>0</v>
      </c>
      <c r="AP195" s="856"/>
      <c r="AQ195" s="839">
        <v>0</v>
      </c>
      <c r="AR195" s="851">
        <v>0</v>
      </c>
      <c r="AS195" s="856"/>
      <c r="AT195" s="839">
        <v>19.771277081972755</v>
      </c>
      <c r="AU195" s="851">
        <v>0</v>
      </c>
      <c r="AV195" s="856"/>
      <c r="AW195" s="839">
        <v>0</v>
      </c>
      <c r="AX195" s="851">
        <v>0</v>
      </c>
      <c r="AY195" s="856"/>
      <c r="AZ195" s="845">
        <v>233.75392301921244</v>
      </c>
      <c r="BA195" s="845">
        <v>0</v>
      </c>
      <c r="BB195" s="846">
        <v>-233.75392301921244</v>
      </c>
      <c r="BD195" s="2">
        <v>2</v>
      </c>
      <c r="BF195" s="787">
        <v>183.13870233563523</v>
      </c>
      <c r="BG195" s="325">
        <v>150000929</v>
      </c>
      <c r="BI195" s="847">
        <v>15.97</v>
      </c>
      <c r="BJ195" s="847">
        <v>1.5671911040023081</v>
      </c>
      <c r="BK195" s="847">
        <v>17.537191104002307</v>
      </c>
      <c r="BL195" s="848"/>
      <c r="BM195" s="3"/>
      <c r="BN195" s="3"/>
      <c r="BP195" s="3"/>
      <c r="BQ195" s="3"/>
      <c r="BS195" s="42" t="s">
        <v>1034</v>
      </c>
    </row>
    <row r="196" spans="1:71" ht="24.9" customHeight="1" x14ac:dyDescent="0.3">
      <c r="A196" s="325">
        <v>150000930</v>
      </c>
      <c r="B196" s="849" t="s">
        <v>173</v>
      </c>
      <c r="C196" s="850">
        <v>2</v>
      </c>
      <c r="D196" s="101" t="s">
        <v>455</v>
      </c>
      <c r="E196" s="279">
        <v>327.9</v>
      </c>
      <c r="F196" s="838">
        <v>663.02809882485838</v>
      </c>
      <c r="G196" s="838">
        <v>130</v>
      </c>
      <c r="H196" s="838">
        <v>-533.02809882485838</v>
      </c>
      <c r="I196" s="839">
        <v>0</v>
      </c>
      <c r="J196" s="851">
        <v>0</v>
      </c>
      <c r="K196" s="852"/>
      <c r="L196" s="839">
        <v>0</v>
      </c>
      <c r="M196" s="851">
        <v>0</v>
      </c>
      <c r="N196" s="853"/>
      <c r="O196" s="839">
        <v>0</v>
      </c>
      <c r="P196" s="851">
        <v>0</v>
      </c>
      <c r="Q196" s="854"/>
      <c r="R196" s="839">
        <v>0</v>
      </c>
      <c r="S196" s="851">
        <v>0</v>
      </c>
      <c r="T196" s="855"/>
      <c r="U196" s="839">
        <v>0</v>
      </c>
      <c r="V196" s="851">
        <v>0</v>
      </c>
      <c r="W196" s="839">
        <v>0</v>
      </c>
      <c r="X196" s="851">
        <v>0</v>
      </c>
      <c r="Y196" s="839">
        <v>0</v>
      </c>
      <c r="Z196" s="851">
        <v>0</v>
      </c>
      <c r="AA196" s="839">
        <v>0</v>
      </c>
      <c r="AB196" s="851">
        <v>0</v>
      </c>
      <c r="AC196" s="839">
        <v>0</v>
      </c>
      <c r="AD196" s="851">
        <v>130</v>
      </c>
      <c r="AE196" s="839">
        <v>55.317016831563706</v>
      </c>
      <c r="AF196" s="851">
        <v>0</v>
      </c>
      <c r="AG196" s="856"/>
      <c r="AH196" s="839">
        <v>73.078243450016657</v>
      </c>
      <c r="AI196" s="851">
        <v>0</v>
      </c>
      <c r="AJ196" s="856"/>
      <c r="AK196" s="839">
        <v>39.334542562527318</v>
      </c>
      <c r="AL196" s="851">
        <v>0</v>
      </c>
      <c r="AM196" s="856"/>
      <c r="AN196" s="839">
        <v>0</v>
      </c>
      <c r="AO196" s="851">
        <v>0</v>
      </c>
      <c r="AP196" s="856"/>
      <c r="AQ196" s="839">
        <v>0</v>
      </c>
      <c r="AR196" s="851">
        <v>0</v>
      </c>
      <c r="AS196" s="856"/>
      <c r="AT196" s="839">
        <v>9.8614252960765771</v>
      </c>
      <c r="AU196" s="851">
        <v>0</v>
      </c>
      <c r="AV196" s="856"/>
      <c r="AW196" s="839">
        <v>0</v>
      </c>
      <c r="AX196" s="851">
        <v>0</v>
      </c>
      <c r="AY196" s="856"/>
      <c r="AZ196" s="845">
        <v>177.59122814018426</v>
      </c>
      <c r="BA196" s="845">
        <v>0</v>
      </c>
      <c r="BB196" s="846">
        <v>-177.59122814018426</v>
      </c>
      <c r="BD196" s="2">
        <v>2</v>
      </c>
      <c r="BF196" s="787">
        <v>1.1343804552214571</v>
      </c>
      <c r="BG196" s="325">
        <v>150000930</v>
      </c>
      <c r="BI196" s="847">
        <v>0</v>
      </c>
      <c r="BJ196" s="847">
        <v>0</v>
      </c>
      <c r="BK196" s="847">
        <v>0</v>
      </c>
      <c r="BL196" s="848"/>
      <c r="BM196" s="3"/>
      <c r="BN196" s="3"/>
      <c r="BP196" s="3"/>
      <c r="BQ196" s="3"/>
      <c r="BS196" s="42" t="s">
        <v>173</v>
      </c>
    </row>
    <row r="197" spans="1:71" ht="24.9" customHeight="1" x14ac:dyDescent="0.3">
      <c r="A197" s="325">
        <v>150000931</v>
      </c>
      <c r="B197" s="849" t="s">
        <v>267</v>
      </c>
      <c r="C197" s="850">
        <v>5</v>
      </c>
      <c r="D197" s="101" t="s">
        <v>455</v>
      </c>
      <c r="E197" s="279">
        <v>2292.33</v>
      </c>
      <c r="F197" s="838">
        <v>3738.8353777026609</v>
      </c>
      <c r="G197" s="838">
        <v>2402</v>
      </c>
      <c r="H197" s="838">
        <v>-1336.8353777026609</v>
      </c>
      <c r="I197" s="839">
        <v>0</v>
      </c>
      <c r="J197" s="851">
        <v>0</v>
      </c>
      <c r="K197" s="852"/>
      <c r="L197" s="839">
        <v>0</v>
      </c>
      <c r="M197" s="851">
        <v>0</v>
      </c>
      <c r="N197" s="853"/>
      <c r="O197" s="839">
        <v>0</v>
      </c>
      <c r="P197" s="851">
        <v>0</v>
      </c>
      <c r="Q197" s="854"/>
      <c r="R197" s="839">
        <v>0</v>
      </c>
      <c r="S197" s="851">
        <v>0</v>
      </c>
      <c r="T197" s="855"/>
      <c r="U197" s="839">
        <v>0</v>
      </c>
      <c r="V197" s="851">
        <v>0</v>
      </c>
      <c r="W197" s="839">
        <v>0</v>
      </c>
      <c r="X197" s="851">
        <v>0</v>
      </c>
      <c r="Y197" s="839">
        <v>0</v>
      </c>
      <c r="Z197" s="851">
        <v>0</v>
      </c>
      <c r="AA197" s="839">
        <v>0</v>
      </c>
      <c r="AB197" s="851">
        <v>0</v>
      </c>
      <c r="AC197" s="839">
        <v>2011</v>
      </c>
      <c r="AD197" s="851">
        <v>391</v>
      </c>
      <c r="AE197" s="839">
        <v>234.83426435119529</v>
      </c>
      <c r="AF197" s="851">
        <v>0</v>
      </c>
      <c r="AG197" s="867"/>
      <c r="AH197" s="839">
        <v>355.27199472401503</v>
      </c>
      <c r="AI197" s="851">
        <v>0</v>
      </c>
      <c r="AJ197" s="857"/>
      <c r="AK197" s="839">
        <v>291.88442736632646</v>
      </c>
      <c r="AL197" s="851">
        <v>0</v>
      </c>
      <c r="AM197" s="856"/>
      <c r="AN197" s="839">
        <v>148.75500964976717</v>
      </c>
      <c r="AO197" s="851">
        <v>0</v>
      </c>
      <c r="AP197" s="856"/>
      <c r="AQ197" s="839">
        <v>89.960355179059135</v>
      </c>
      <c r="AR197" s="851">
        <v>0</v>
      </c>
      <c r="AS197" s="856"/>
      <c r="AT197" s="839">
        <v>129.72769086525304</v>
      </c>
      <c r="AU197" s="851">
        <v>0</v>
      </c>
      <c r="AV197" s="856"/>
      <c r="AW197" s="839">
        <v>0</v>
      </c>
      <c r="AX197" s="851">
        <v>0</v>
      </c>
      <c r="AY197" s="856"/>
      <c r="AZ197" s="845">
        <v>1250.4337421356161</v>
      </c>
      <c r="BA197" s="845">
        <v>0</v>
      </c>
      <c r="BB197" s="846">
        <v>-1250.4337421356161</v>
      </c>
      <c r="BD197" s="2">
        <v>2</v>
      </c>
      <c r="BF197" s="787">
        <v>8.02832463389257</v>
      </c>
      <c r="BG197" s="325">
        <v>150000931</v>
      </c>
      <c r="BI197" s="847">
        <v>0</v>
      </c>
      <c r="BJ197" s="847">
        <v>0</v>
      </c>
      <c r="BK197" s="847">
        <v>0</v>
      </c>
      <c r="BL197" s="848"/>
      <c r="BM197" s="3"/>
      <c r="BN197" s="3"/>
      <c r="BP197" s="3"/>
      <c r="BQ197" s="3"/>
      <c r="BS197" s="42" t="s">
        <v>267</v>
      </c>
    </row>
    <row r="198" spans="1:71" ht="24.9" customHeight="1" x14ac:dyDescent="0.3">
      <c r="A198" s="325">
        <v>150000932</v>
      </c>
      <c r="B198" s="849" t="s">
        <v>174</v>
      </c>
      <c r="C198" s="850">
        <v>2</v>
      </c>
      <c r="D198" s="101" t="s">
        <v>455</v>
      </c>
      <c r="E198" s="279">
        <v>354.3</v>
      </c>
      <c r="F198" s="838">
        <v>448.18829791239602</v>
      </c>
      <c r="G198" s="838">
        <v>0</v>
      </c>
      <c r="H198" s="838">
        <v>-448.18829791239602</v>
      </c>
      <c r="I198" s="839">
        <v>0</v>
      </c>
      <c r="J198" s="851">
        <v>0</v>
      </c>
      <c r="K198" s="852"/>
      <c r="L198" s="839">
        <v>0</v>
      </c>
      <c r="M198" s="851">
        <v>0</v>
      </c>
      <c r="N198" s="853"/>
      <c r="O198" s="839">
        <v>0</v>
      </c>
      <c r="P198" s="851">
        <v>0</v>
      </c>
      <c r="Q198" s="854"/>
      <c r="R198" s="839">
        <v>0</v>
      </c>
      <c r="S198" s="851">
        <v>0</v>
      </c>
      <c r="T198" s="855"/>
      <c r="U198" s="839">
        <v>0</v>
      </c>
      <c r="V198" s="851">
        <v>0</v>
      </c>
      <c r="W198" s="839">
        <v>0</v>
      </c>
      <c r="X198" s="851">
        <v>0</v>
      </c>
      <c r="Y198" s="839">
        <v>0</v>
      </c>
      <c r="Z198" s="851">
        <v>0</v>
      </c>
      <c r="AA198" s="839">
        <v>0</v>
      </c>
      <c r="AB198" s="851">
        <v>0</v>
      </c>
      <c r="AC198" s="839">
        <v>0</v>
      </c>
      <c r="AD198" s="851">
        <v>0</v>
      </c>
      <c r="AE198" s="839">
        <v>50.356859347754401</v>
      </c>
      <c r="AF198" s="851">
        <v>0</v>
      </c>
      <c r="AG198" s="856"/>
      <c r="AH198" s="839">
        <v>52.004483831338867</v>
      </c>
      <c r="AI198" s="851">
        <v>0</v>
      </c>
      <c r="AJ198" s="856"/>
      <c r="AK198" s="839">
        <v>41.88574554546431</v>
      </c>
      <c r="AL198" s="851">
        <v>0</v>
      </c>
      <c r="AM198" s="856"/>
      <c r="AN198" s="839">
        <v>0</v>
      </c>
      <c r="AO198" s="851">
        <v>0</v>
      </c>
      <c r="AP198" s="856"/>
      <c r="AQ198" s="839">
        <v>0</v>
      </c>
      <c r="AR198" s="851">
        <v>0</v>
      </c>
      <c r="AS198" s="856"/>
      <c r="AT198" s="839">
        <v>0.28321488959834151</v>
      </c>
      <c r="AU198" s="851">
        <v>0</v>
      </c>
      <c r="AV198" s="856"/>
      <c r="AW198" s="839">
        <v>0</v>
      </c>
      <c r="AX198" s="851">
        <v>0</v>
      </c>
      <c r="AY198" s="856"/>
      <c r="AZ198" s="845">
        <v>144.53030361415594</v>
      </c>
      <c r="BA198" s="845">
        <v>0</v>
      </c>
      <c r="BB198" s="846">
        <v>-144.53030361415594</v>
      </c>
      <c r="BD198" s="2">
        <v>2</v>
      </c>
      <c r="BF198" s="787">
        <v>1.2408490129205383</v>
      </c>
      <c r="BG198" s="325">
        <v>150000932</v>
      </c>
      <c r="BI198" s="847">
        <v>0</v>
      </c>
      <c r="BJ198" s="847">
        <v>0</v>
      </c>
      <c r="BK198" s="847">
        <v>0</v>
      </c>
      <c r="BL198" s="848"/>
      <c r="BM198" s="3"/>
      <c r="BN198" s="3"/>
      <c r="BP198" s="3"/>
      <c r="BQ198" s="3"/>
      <c r="BS198" s="42" t="s">
        <v>174</v>
      </c>
    </row>
    <row r="199" spans="1:71" ht="25.5" customHeight="1" x14ac:dyDescent="0.3">
      <c r="A199" s="325">
        <v>150000924</v>
      </c>
      <c r="B199" s="849" t="s">
        <v>175</v>
      </c>
      <c r="C199" s="850">
        <v>2</v>
      </c>
      <c r="D199" s="101" t="s">
        <v>455</v>
      </c>
      <c r="E199" s="279">
        <v>474.29999999999995</v>
      </c>
      <c r="F199" s="838">
        <v>950.93820110495744</v>
      </c>
      <c r="G199" s="838">
        <v>261</v>
      </c>
      <c r="H199" s="838">
        <v>-689.93820110495744</v>
      </c>
      <c r="I199" s="839">
        <v>0</v>
      </c>
      <c r="J199" s="851">
        <v>0</v>
      </c>
      <c r="K199" s="852"/>
      <c r="L199" s="839">
        <v>0</v>
      </c>
      <c r="M199" s="851">
        <v>0</v>
      </c>
      <c r="N199" s="853"/>
      <c r="O199" s="839">
        <v>0</v>
      </c>
      <c r="P199" s="851">
        <v>0</v>
      </c>
      <c r="Q199" s="854"/>
      <c r="R199" s="839">
        <v>0</v>
      </c>
      <c r="S199" s="851">
        <v>0</v>
      </c>
      <c r="T199" s="855"/>
      <c r="U199" s="839">
        <v>0</v>
      </c>
      <c r="V199" s="851">
        <v>0</v>
      </c>
      <c r="W199" s="839">
        <v>0</v>
      </c>
      <c r="X199" s="851">
        <v>0</v>
      </c>
      <c r="Y199" s="839">
        <v>0</v>
      </c>
      <c r="Z199" s="851">
        <v>0</v>
      </c>
      <c r="AA199" s="839">
        <v>0</v>
      </c>
      <c r="AB199" s="851">
        <v>0</v>
      </c>
      <c r="AC199" s="839">
        <v>0</v>
      </c>
      <c r="AD199" s="851">
        <v>261</v>
      </c>
      <c r="AE199" s="839">
        <v>68.737885799463683</v>
      </c>
      <c r="AF199" s="851">
        <v>0</v>
      </c>
      <c r="AG199" s="856"/>
      <c r="AH199" s="839">
        <v>140.94151713113857</v>
      </c>
      <c r="AI199" s="851">
        <v>0</v>
      </c>
      <c r="AJ199" s="856"/>
      <c r="AK199" s="839">
        <v>50.066584629659644</v>
      </c>
      <c r="AL199" s="851">
        <v>0</v>
      </c>
      <c r="AM199" s="856"/>
      <c r="AN199" s="839">
        <v>0</v>
      </c>
      <c r="AO199" s="851">
        <v>0</v>
      </c>
      <c r="AP199" s="856"/>
      <c r="AQ199" s="839">
        <v>0</v>
      </c>
      <c r="AR199" s="851">
        <v>0</v>
      </c>
      <c r="AS199" s="856"/>
      <c r="AT199" s="839">
        <v>19.771301113804686</v>
      </c>
      <c r="AU199" s="851">
        <v>0</v>
      </c>
      <c r="AV199" s="856"/>
      <c r="AW199" s="839">
        <v>0</v>
      </c>
      <c r="AX199" s="851">
        <v>0</v>
      </c>
      <c r="AY199" s="856"/>
      <c r="AZ199" s="845">
        <v>279.51728867406655</v>
      </c>
      <c r="BA199" s="845">
        <v>0</v>
      </c>
      <c r="BB199" s="846">
        <v>-279.51728867406655</v>
      </c>
      <c r="BD199" s="2">
        <v>2</v>
      </c>
      <c r="BF199" s="787">
        <v>183.08791963541694</v>
      </c>
      <c r="BG199" s="325">
        <v>150000924</v>
      </c>
      <c r="BI199" s="847">
        <v>0</v>
      </c>
      <c r="BJ199" s="847">
        <v>0</v>
      </c>
      <c r="BK199" s="847">
        <v>0</v>
      </c>
      <c r="BL199" s="848"/>
      <c r="BM199" s="3"/>
      <c r="BN199" s="3"/>
      <c r="BP199" s="3"/>
      <c r="BQ199" s="3"/>
      <c r="BS199" s="42" t="s">
        <v>175</v>
      </c>
    </row>
    <row r="200" spans="1:71" ht="24.9" customHeight="1" x14ac:dyDescent="0.3">
      <c r="A200" s="325">
        <v>150000933</v>
      </c>
      <c r="B200" s="849" t="s">
        <v>268</v>
      </c>
      <c r="C200" s="850">
        <v>5</v>
      </c>
      <c r="D200" s="101" t="s">
        <v>455</v>
      </c>
      <c r="E200" s="279">
        <v>4735.0700000000006</v>
      </c>
      <c r="F200" s="838">
        <v>8763.0691241502554</v>
      </c>
      <c r="G200" s="838">
        <v>3827</v>
      </c>
      <c r="H200" s="838">
        <v>-4936.0691241502554</v>
      </c>
      <c r="I200" s="839">
        <v>0</v>
      </c>
      <c r="J200" s="851">
        <v>0</v>
      </c>
      <c r="K200" s="852"/>
      <c r="L200" s="839">
        <v>0</v>
      </c>
      <c r="M200" s="851">
        <v>3175</v>
      </c>
      <c r="N200" s="853"/>
      <c r="O200" s="839">
        <v>0</v>
      </c>
      <c r="P200" s="851">
        <v>0</v>
      </c>
      <c r="Q200" s="854"/>
      <c r="R200" s="839">
        <v>0</v>
      </c>
      <c r="S200" s="851">
        <v>0</v>
      </c>
      <c r="T200" s="855"/>
      <c r="U200" s="839">
        <v>0</v>
      </c>
      <c r="V200" s="851">
        <v>0</v>
      </c>
      <c r="W200" s="839">
        <v>0</v>
      </c>
      <c r="X200" s="851">
        <v>0</v>
      </c>
      <c r="Y200" s="839">
        <v>0</v>
      </c>
      <c r="Z200" s="851">
        <v>0</v>
      </c>
      <c r="AA200" s="839">
        <v>0</v>
      </c>
      <c r="AB200" s="851">
        <v>0</v>
      </c>
      <c r="AC200" s="839">
        <v>0</v>
      </c>
      <c r="AD200" s="851">
        <v>652</v>
      </c>
      <c r="AE200" s="839">
        <v>390.33847504504604</v>
      </c>
      <c r="AF200" s="851">
        <v>0</v>
      </c>
      <c r="AG200" s="856"/>
      <c r="AH200" s="839">
        <v>620.41262887163259</v>
      </c>
      <c r="AI200" s="851">
        <v>0</v>
      </c>
      <c r="AJ200" s="856"/>
      <c r="AK200" s="839">
        <v>575.45004834420865</v>
      </c>
      <c r="AL200" s="851">
        <v>0</v>
      </c>
      <c r="AM200" s="856"/>
      <c r="AN200" s="839">
        <v>271.31080726994344</v>
      </c>
      <c r="AO200" s="851">
        <v>0</v>
      </c>
      <c r="AP200" s="856"/>
      <c r="AQ200" s="839">
        <v>149.88538452814583</v>
      </c>
      <c r="AR200" s="851">
        <v>0</v>
      </c>
      <c r="AS200" s="856"/>
      <c r="AT200" s="839">
        <v>252.38051312156597</v>
      </c>
      <c r="AU200" s="851">
        <v>0</v>
      </c>
      <c r="AV200" s="856"/>
      <c r="AW200" s="839">
        <v>0</v>
      </c>
      <c r="AX200" s="851">
        <v>0</v>
      </c>
      <c r="AY200" s="856"/>
      <c r="AZ200" s="845">
        <v>2259.7778571805425</v>
      </c>
      <c r="BA200" s="845">
        <v>0</v>
      </c>
      <c r="BB200" s="846">
        <v>-2259.7778571805425</v>
      </c>
      <c r="BD200" s="2">
        <v>2</v>
      </c>
      <c r="BF200" s="787">
        <v>16.516530396451795</v>
      </c>
      <c r="BG200" s="325">
        <v>150000933</v>
      </c>
      <c r="BI200" s="847">
        <v>0</v>
      </c>
      <c r="BJ200" s="847">
        <v>0</v>
      </c>
      <c r="BK200" s="847">
        <v>0</v>
      </c>
      <c r="BL200" s="848"/>
      <c r="BM200" s="3"/>
      <c r="BN200" s="3"/>
      <c r="BP200" s="3"/>
      <c r="BQ200" s="3"/>
      <c r="BS200" s="42" t="s">
        <v>268</v>
      </c>
    </row>
    <row r="201" spans="1:71" ht="24.9" customHeight="1" x14ac:dyDescent="0.3">
      <c r="A201" s="325">
        <v>150000934</v>
      </c>
      <c r="B201" s="849" t="s">
        <v>216</v>
      </c>
      <c r="C201" s="850">
        <v>4</v>
      </c>
      <c r="D201" s="101" t="s">
        <v>455</v>
      </c>
      <c r="E201" s="279">
        <v>1981.17</v>
      </c>
      <c r="F201" s="838">
        <v>2988.2570570820485</v>
      </c>
      <c r="G201" s="838">
        <v>391</v>
      </c>
      <c r="H201" s="838">
        <v>-2597.2570570820485</v>
      </c>
      <c r="I201" s="839">
        <v>0</v>
      </c>
      <c r="J201" s="851">
        <v>0</v>
      </c>
      <c r="K201" s="852"/>
      <c r="L201" s="839">
        <v>0</v>
      </c>
      <c r="M201" s="851">
        <v>0</v>
      </c>
      <c r="N201" s="853"/>
      <c r="O201" s="839">
        <v>0</v>
      </c>
      <c r="P201" s="851">
        <v>0</v>
      </c>
      <c r="Q201" s="854"/>
      <c r="R201" s="839">
        <v>0</v>
      </c>
      <c r="S201" s="851">
        <v>0</v>
      </c>
      <c r="T201" s="855"/>
      <c r="U201" s="839">
        <v>0</v>
      </c>
      <c r="V201" s="851">
        <v>0</v>
      </c>
      <c r="W201" s="839">
        <v>0</v>
      </c>
      <c r="X201" s="851">
        <v>0</v>
      </c>
      <c r="Y201" s="839">
        <v>0</v>
      </c>
      <c r="Z201" s="851">
        <v>0</v>
      </c>
      <c r="AA201" s="839">
        <v>0</v>
      </c>
      <c r="AB201" s="851">
        <v>0</v>
      </c>
      <c r="AC201" s="839">
        <v>0</v>
      </c>
      <c r="AD201" s="851">
        <v>391</v>
      </c>
      <c r="AE201" s="839">
        <v>187.94647068857452</v>
      </c>
      <c r="AF201" s="851">
        <v>0</v>
      </c>
      <c r="AG201" s="857"/>
      <c r="AH201" s="839">
        <v>201.394921118063</v>
      </c>
      <c r="AI201" s="851">
        <v>0</v>
      </c>
      <c r="AJ201" s="856"/>
      <c r="AK201" s="839">
        <v>261.14611199583754</v>
      </c>
      <c r="AL201" s="851">
        <v>0</v>
      </c>
      <c r="AM201" s="856"/>
      <c r="AN201" s="839">
        <v>0</v>
      </c>
      <c r="AO201" s="851">
        <v>0</v>
      </c>
      <c r="AP201" s="856"/>
      <c r="AQ201" s="839">
        <v>0</v>
      </c>
      <c r="AR201" s="851">
        <v>0</v>
      </c>
      <c r="AS201" s="856"/>
      <c r="AT201" s="839">
        <v>98.937810135742524</v>
      </c>
      <c r="AU201" s="851">
        <v>0</v>
      </c>
      <c r="AV201" s="856"/>
      <c r="AW201" s="839">
        <v>0</v>
      </c>
      <c r="AX201" s="851">
        <v>0</v>
      </c>
      <c r="AY201" s="856"/>
      <c r="AZ201" s="845">
        <v>749.42531393821753</v>
      </c>
      <c r="BA201" s="845">
        <v>0</v>
      </c>
      <c r="BB201" s="846">
        <v>-749.42531393821753</v>
      </c>
      <c r="BD201" s="2">
        <v>2</v>
      </c>
      <c r="BF201" s="787">
        <v>127.8897629097595</v>
      </c>
      <c r="BG201" s="325">
        <v>150000934</v>
      </c>
      <c r="BI201" s="847">
        <v>0</v>
      </c>
      <c r="BJ201" s="847">
        <v>0</v>
      </c>
      <c r="BK201" s="847">
        <v>0</v>
      </c>
      <c r="BL201" s="848"/>
      <c r="BM201" s="3"/>
      <c r="BN201" s="3"/>
      <c r="BP201" s="3"/>
      <c r="BQ201" s="3"/>
      <c r="BS201" s="42" t="s">
        <v>216</v>
      </c>
    </row>
    <row r="202" spans="1:71" ht="24.9" customHeight="1" x14ac:dyDescent="0.3">
      <c r="A202" s="325">
        <v>150000935</v>
      </c>
      <c r="B202" s="849" t="s">
        <v>176</v>
      </c>
      <c r="C202" s="850">
        <v>2</v>
      </c>
      <c r="D202" s="101" t="s">
        <v>455</v>
      </c>
      <c r="E202" s="279">
        <v>286.2</v>
      </c>
      <c r="F202" s="838">
        <v>751.0658898522405</v>
      </c>
      <c r="G202" s="838">
        <v>130</v>
      </c>
      <c r="H202" s="838">
        <v>-621.0658898522405</v>
      </c>
      <c r="I202" s="839">
        <v>0</v>
      </c>
      <c r="J202" s="851">
        <v>0</v>
      </c>
      <c r="K202" s="852"/>
      <c r="L202" s="839">
        <v>0</v>
      </c>
      <c r="M202" s="851">
        <v>0</v>
      </c>
      <c r="N202" s="853"/>
      <c r="O202" s="839">
        <v>0</v>
      </c>
      <c r="P202" s="851">
        <v>0</v>
      </c>
      <c r="Q202" s="854"/>
      <c r="R202" s="839">
        <v>0</v>
      </c>
      <c r="S202" s="851">
        <v>0</v>
      </c>
      <c r="T202" s="855"/>
      <c r="U202" s="839">
        <v>0</v>
      </c>
      <c r="V202" s="851">
        <v>0</v>
      </c>
      <c r="W202" s="839">
        <v>0</v>
      </c>
      <c r="X202" s="851">
        <v>0</v>
      </c>
      <c r="Y202" s="839">
        <v>0</v>
      </c>
      <c r="Z202" s="851">
        <v>0</v>
      </c>
      <c r="AA202" s="839">
        <v>0</v>
      </c>
      <c r="AB202" s="851">
        <v>0</v>
      </c>
      <c r="AC202" s="839">
        <v>0</v>
      </c>
      <c r="AD202" s="851">
        <v>130</v>
      </c>
      <c r="AE202" s="839">
        <v>61.08498790277315</v>
      </c>
      <c r="AF202" s="851">
        <v>0</v>
      </c>
      <c r="AG202" s="856"/>
      <c r="AH202" s="839">
        <v>60.142686975203205</v>
      </c>
      <c r="AI202" s="851">
        <v>0</v>
      </c>
      <c r="AJ202" s="856"/>
      <c r="AK202" s="839">
        <v>25.856638541695908</v>
      </c>
      <c r="AL202" s="851">
        <v>0</v>
      </c>
      <c r="AM202" s="856"/>
      <c r="AN202" s="839">
        <v>0</v>
      </c>
      <c r="AO202" s="851">
        <v>0</v>
      </c>
      <c r="AP202" s="856"/>
      <c r="AQ202" s="839">
        <v>0</v>
      </c>
      <c r="AR202" s="851">
        <v>0</v>
      </c>
      <c r="AS202" s="856"/>
      <c r="AT202" s="839">
        <v>9.8614099354183207</v>
      </c>
      <c r="AU202" s="851">
        <v>0</v>
      </c>
      <c r="AV202" s="856"/>
      <c r="AW202" s="839">
        <v>0</v>
      </c>
      <c r="AX202" s="851">
        <v>0</v>
      </c>
      <c r="AY202" s="856"/>
      <c r="AZ202" s="845">
        <v>156.94572335509059</v>
      </c>
      <c r="BA202" s="845">
        <v>0</v>
      </c>
      <c r="BB202" s="846">
        <v>-156.94572335509059</v>
      </c>
      <c r="BD202" s="2">
        <v>2</v>
      </c>
      <c r="BF202" s="787">
        <v>1.0023454346538472</v>
      </c>
      <c r="BG202" s="325">
        <v>150000935</v>
      </c>
      <c r="BI202" s="847">
        <v>0</v>
      </c>
      <c r="BJ202" s="847">
        <v>0</v>
      </c>
      <c r="BK202" s="847">
        <v>0</v>
      </c>
      <c r="BL202" s="848"/>
      <c r="BM202" s="3"/>
      <c r="BN202" s="3"/>
      <c r="BP202" s="3"/>
      <c r="BQ202" s="3"/>
      <c r="BS202" s="42" t="s">
        <v>176</v>
      </c>
    </row>
    <row r="203" spans="1:71" ht="24.9" customHeight="1" x14ac:dyDescent="0.3">
      <c r="A203" s="325">
        <v>150000936</v>
      </c>
      <c r="B203" s="862" t="s">
        <v>122</v>
      </c>
      <c r="C203" s="863">
        <v>1</v>
      </c>
      <c r="D203" s="101" t="s">
        <v>455</v>
      </c>
      <c r="E203" s="279">
        <v>341.75</v>
      </c>
      <c r="F203" s="838">
        <v>620.74206800187403</v>
      </c>
      <c r="G203" s="838">
        <v>1214</v>
      </c>
      <c r="H203" s="838">
        <v>593.25793199812597</v>
      </c>
      <c r="I203" s="839">
        <v>0</v>
      </c>
      <c r="J203" s="851">
        <v>1214</v>
      </c>
      <c r="K203" s="852"/>
      <c r="L203" s="839">
        <v>0</v>
      </c>
      <c r="M203" s="851">
        <v>0</v>
      </c>
      <c r="N203" s="853"/>
      <c r="O203" s="839">
        <v>0</v>
      </c>
      <c r="P203" s="851">
        <v>0</v>
      </c>
      <c r="Q203" s="854"/>
      <c r="R203" s="839">
        <v>0</v>
      </c>
      <c r="S203" s="851">
        <v>0</v>
      </c>
      <c r="T203" s="855"/>
      <c r="U203" s="839">
        <v>0</v>
      </c>
      <c r="V203" s="851">
        <v>0</v>
      </c>
      <c r="W203" s="839">
        <v>0</v>
      </c>
      <c r="X203" s="851">
        <v>0</v>
      </c>
      <c r="Y203" s="839">
        <v>0</v>
      </c>
      <c r="Z203" s="851">
        <v>0</v>
      </c>
      <c r="AA203" s="839">
        <v>0</v>
      </c>
      <c r="AB203" s="851">
        <v>0</v>
      </c>
      <c r="AC203" s="839">
        <v>0</v>
      </c>
      <c r="AD203" s="851">
        <v>0</v>
      </c>
      <c r="AE203" s="839">
        <v>0</v>
      </c>
      <c r="AF203" s="851">
        <v>0</v>
      </c>
      <c r="AG203" s="856"/>
      <c r="AH203" s="839">
        <v>0</v>
      </c>
      <c r="AI203" s="851">
        <v>0</v>
      </c>
      <c r="AJ203" s="856"/>
      <c r="AK203" s="839">
        <v>0</v>
      </c>
      <c r="AL203" s="851">
        <v>0</v>
      </c>
      <c r="AM203" s="856"/>
      <c r="AN203" s="839">
        <v>0</v>
      </c>
      <c r="AO203" s="851">
        <v>0</v>
      </c>
      <c r="AP203" s="856"/>
      <c r="AQ203" s="839">
        <v>0</v>
      </c>
      <c r="AR203" s="851">
        <v>0</v>
      </c>
      <c r="AS203" s="856"/>
      <c r="AT203" s="839">
        <v>0</v>
      </c>
      <c r="AU203" s="851">
        <v>0</v>
      </c>
      <c r="AV203" s="856"/>
      <c r="AW203" s="839">
        <v>0</v>
      </c>
      <c r="AX203" s="851">
        <v>0</v>
      </c>
      <c r="AY203" s="856"/>
      <c r="AZ203" s="845">
        <v>0</v>
      </c>
      <c r="BA203" s="845">
        <v>0</v>
      </c>
      <c r="BB203" s="846">
        <v>0</v>
      </c>
      <c r="BD203" s="2">
        <v>1</v>
      </c>
      <c r="BF203" s="787">
        <v>0</v>
      </c>
      <c r="BG203" s="325">
        <v>150000936</v>
      </c>
      <c r="BI203" s="847">
        <v>0</v>
      </c>
      <c r="BJ203" s="847">
        <v>0</v>
      </c>
      <c r="BK203" s="847">
        <v>0</v>
      </c>
      <c r="BL203" s="848"/>
      <c r="BM203" s="3"/>
      <c r="BN203" s="3"/>
      <c r="BP203" s="3"/>
      <c r="BQ203" s="3"/>
      <c r="BS203" s="42" t="s">
        <v>122</v>
      </c>
    </row>
    <row r="204" spans="1:71" ht="24.9" customHeight="1" x14ac:dyDescent="0.3">
      <c r="A204" s="325">
        <v>150000937</v>
      </c>
      <c r="B204" s="849" t="s">
        <v>375</v>
      </c>
      <c r="C204" s="850">
        <v>9</v>
      </c>
      <c r="D204" s="101" t="s">
        <v>455</v>
      </c>
      <c r="E204" s="279">
        <v>3813.3</v>
      </c>
      <c r="F204" s="838">
        <v>10284.17970223984</v>
      </c>
      <c r="G204" s="838">
        <v>650</v>
      </c>
      <c r="H204" s="838">
        <v>-9634.1797022398405</v>
      </c>
      <c r="I204" s="839">
        <v>0</v>
      </c>
      <c r="J204" s="851">
        <v>0</v>
      </c>
      <c r="K204" s="852"/>
      <c r="L204" s="839">
        <v>0</v>
      </c>
      <c r="M204" s="851">
        <v>0</v>
      </c>
      <c r="N204" s="853"/>
      <c r="O204" s="839">
        <v>0</v>
      </c>
      <c r="P204" s="851">
        <v>0</v>
      </c>
      <c r="Q204" s="854"/>
      <c r="R204" s="839">
        <v>0</v>
      </c>
      <c r="S204" s="851">
        <v>0</v>
      </c>
      <c r="T204" s="855"/>
      <c r="U204" s="839">
        <v>0</v>
      </c>
      <c r="V204" s="851">
        <v>0</v>
      </c>
      <c r="W204" s="839">
        <v>0</v>
      </c>
      <c r="X204" s="851">
        <v>0</v>
      </c>
      <c r="Y204" s="839">
        <v>0</v>
      </c>
      <c r="Z204" s="851">
        <v>0</v>
      </c>
      <c r="AA204" s="839">
        <v>0</v>
      </c>
      <c r="AB204" s="851">
        <v>0</v>
      </c>
      <c r="AC204" s="839">
        <v>0</v>
      </c>
      <c r="AD204" s="851">
        <v>650</v>
      </c>
      <c r="AE204" s="839">
        <v>101.50287500156291</v>
      </c>
      <c r="AF204" s="851">
        <v>1404</v>
      </c>
      <c r="AG204" s="856"/>
      <c r="AH204" s="839">
        <v>220.35536942866483</v>
      </c>
      <c r="AI204" s="851">
        <v>0</v>
      </c>
      <c r="AJ204" s="856"/>
      <c r="AK204" s="839">
        <v>230.42606906662934</v>
      </c>
      <c r="AL204" s="851">
        <v>0</v>
      </c>
      <c r="AM204" s="856"/>
      <c r="AN204" s="839">
        <v>112.07757032379568</v>
      </c>
      <c r="AO204" s="851">
        <v>0</v>
      </c>
      <c r="AP204" s="856"/>
      <c r="AQ204" s="839">
        <v>97.432801481500164</v>
      </c>
      <c r="AR204" s="851">
        <v>0</v>
      </c>
      <c r="AS204" s="856"/>
      <c r="AT204" s="839">
        <v>142.88014072649705</v>
      </c>
      <c r="AU204" s="851">
        <v>0</v>
      </c>
      <c r="AV204" s="856"/>
      <c r="AW204" s="839">
        <v>96.663229479310985</v>
      </c>
      <c r="AX204" s="851">
        <v>0</v>
      </c>
      <c r="AY204" s="856"/>
      <c r="AZ204" s="845">
        <v>1001.338055507961</v>
      </c>
      <c r="BA204" s="845">
        <v>1404</v>
      </c>
      <c r="BB204" s="846">
        <v>402.66194449203897</v>
      </c>
      <c r="BD204" s="2">
        <v>1</v>
      </c>
      <c r="BF204" s="787">
        <v>26.848899721405974</v>
      </c>
      <c r="BG204" s="325">
        <v>150000937</v>
      </c>
      <c r="BI204" s="847">
        <v>0</v>
      </c>
      <c r="BJ204" s="847">
        <v>0</v>
      </c>
      <c r="BK204" s="847">
        <v>0</v>
      </c>
      <c r="BL204" s="848"/>
      <c r="BM204" s="3"/>
      <c r="BN204" s="3"/>
      <c r="BP204" s="3"/>
      <c r="BQ204" s="3"/>
      <c r="BS204" s="42" t="s">
        <v>375</v>
      </c>
    </row>
    <row r="205" spans="1:71" ht="24.9" customHeight="1" x14ac:dyDescent="0.3">
      <c r="A205" s="325">
        <v>150000938</v>
      </c>
      <c r="B205" s="849" t="s">
        <v>376</v>
      </c>
      <c r="C205" s="850">
        <v>9</v>
      </c>
      <c r="D205" s="101" t="s">
        <v>455</v>
      </c>
      <c r="E205" s="279">
        <v>15432.37</v>
      </c>
      <c r="F205" s="838">
        <v>38335.786223766067</v>
      </c>
      <c r="G205" s="838">
        <v>27145.973476112886</v>
      </c>
      <c r="H205" s="838">
        <v>-11189.812747653181</v>
      </c>
      <c r="I205" s="839">
        <v>0</v>
      </c>
      <c r="J205" s="851">
        <v>0</v>
      </c>
      <c r="K205" s="852"/>
      <c r="L205" s="839">
        <v>0</v>
      </c>
      <c r="M205" s="851">
        <v>0</v>
      </c>
      <c r="N205" s="858"/>
      <c r="O205" s="839">
        <v>0</v>
      </c>
      <c r="P205" s="851">
        <v>0</v>
      </c>
      <c r="Q205" s="854"/>
      <c r="R205" s="839">
        <v>0</v>
      </c>
      <c r="S205" s="851">
        <v>24840</v>
      </c>
      <c r="T205" s="870"/>
      <c r="U205" s="839">
        <v>0</v>
      </c>
      <c r="V205" s="851">
        <v>0</v>
      </c>
      <c r="W205" s="839">
        <v>0</v>
      </c>
      <c r="X205" s="851">
        <v>112.97347611288662</v>
      </c>
      <c r="Y205" s="839">
        <v>1172</v>
      </c>
      <c r="Z205" s="851">
        <v>0</v>
      </c>
      <c r="AA205" s="839">
        <v>0</v>
      </c>
      <c r="AB205" s="851">
        <v>0</v>
      </c>
      <c r="AC205" s="839">
        <v>0</v>
      </c>
      <c r="AD205" s="851">
        <v>1021</v>
      </c>
      <c r="AE205" s="839">
        <v>687.5689269980968</v>
      </c>
      <c r="AF205" s="851">
        <v>2545</v>
      </c>
      <c r="AG205" s="867"/>
      <c r="AH205" s="839">
        <v>852.73376605057626</v>
      </c>
      <c r="AI205" s="851">
        <v>5348</v>
      </c>
      <c r="AJ205" s="867"/>
      <c r="AK205" s="839">
        <v>818.59852281293365</v>
      </c>
      <c r="AL205" s="851">
        <v>0</v>
      </c>
      <c r="AM205" s="867"/>
      <c r="AN205" s="839">
        <v>452.47536652234191</v>
      </c>
      <c r="AO205" s="851">
        <v>0</v>
      </c>
      <c r="AP205" s="856"/>
      <c r="AQ205" s="839">
        <v>230.86424191318989</v>
      </c>
      <c r="AR205" s="851">
        <v>0</v>
      </c>
      <c r="AS205" s="867"/>
      <c r="AT205" s="839">
        <v>728.97575593989166</v>
      </c>
      <c r="AU205" s="851">
        <v>0</v>
      </c>
      <c r="AV205" s="856"/>
      <c r="AW205" s="839">
        <v>235.73840334135744</v>
      </c>
      <c r="AX205" s="851">
        <v>0</v>
      </c>
      <c r="AY205" s="856"/>
      <c r="AZ205" s="845">
        <v>4006.9549835783878</v>
      </c>
      <c r="BA205" s="845">
        <v>7893</v>
      </c>
      <c r="BB205" s="846">
        <v>3886.0450164216122</v>
      </c>
      <c r="BD205" s="2">
        <v>1</v>
      </c>
      <c r="BF205" s="787">
        <v>108.64309791602767</v>
      </c>
      <c r="BG205" s="325">
        <v>150000938</v>
      </c>
      <c r="BI205" s="847">
        <v>51.39</v>
      </c>
      <c r="BJ205" s="847">
        <v>5.0430776978508831</v>
      </c>
      <c r="BK205" s="847">
        <v>56.433077697850884</v>
      </c>
      <c r="BL205" s="848"/>
      <c r="BM205" s="3"/>
      <c r="BN205" s="3"/>
      <c r="BP205" s="3"/>
      <c r="BQ205" s="3"/>
      <c r="BS205" s="42" t="s">
        <v>376</v>
      </c>
    </row>
    <row r="206" spans="1:71" ht="23.1" customHeight="1" x14ac:dyDescent="0.3">
      <c r="A206" s="325">
        <v>150000925</v>
      </c>
      <c r="B206" s="849" t="s">
        <v>177</v>
      </c>
      <c r="C206" s="850">
        <v>2</v>
      </c>
      <c r="D206" s="101" t="s">
        <v>455</v>
      </c>
      <c r="E206" s="279">
        <v>479.4</v>
      </c>
      <c r="F206" s="838">
        <v>1177.6042701828499</v>
      </c>
      <c r="G206" s="838">
        <v>261</v>
      </c>
      <c r="H206" s="838">
        <v>-916.60427018284986</v>
      </c>
      <c r="I206" s="839">
        <v>0</v>
      </c>
      <c r="J206" s="851">
        <v>0</v>
      </c>
      <c r="K206" s="852"/>
      <c r="L206" s="839">
        <v>0</v>
      </c>
      <c r="M206" s="851">
        <v>0</v>
      </c>
      <c r="N206" s="853"/>
      <c r="O206" s="839">
        <v>0</v>
      </c>
      <c r="P206" s="851">
        <v>0</v>
      </c>
      <c r="Q206" s="854"/>
      <c r="R206" s="839">
        <v>0</v>
      </c>
      <c r="S206" s="851">
        <v>0</v>
      </c>
      <c r="T206" s="855"/>
      <c r="U206" s="839">
        <v>0</v>
      </c>
      <c r="V206" s="851">
        <v>0</v>
      </c>
      <c r="W206" s="839">
        <v>0</v>
      </c>
      <c r="X206" s="851">
        <v>0</v>
      </c>
      <c r="Y206" s="839">
        <v>0</v>
      </c>
      <c r="Z206" s="851">
        <v>0</v>
      </c>
      <c r="AA206" s="839">
        <v>0</v>
      </c>
      <c r="AB206" s="851">
        <v>0</v>
      </c>
      <c r="AC206" s="839">
        <v>0</v>
      </c>
      <c r="AD206" s="851">
        <v>261</v>
      </c>
      <c r="AE206" s="839">
        <v>77.254161613420038</v>
      </c>
      <c r="AF206" s="851">
        <v>0</v>
      </c>
      <c r="AG206" s="857"/>
      <c r="AH206" s="839">
        <v>115.64329743466799</v>
      </c>
      <c r="AI206" s="851">
        <v>0</v>
      </c>
      <c r="AJ206" s="856"/>
      <c r="AK206" s="839">
        <v>53.682635866982842</v>
      </c>
      <c r="AL206" s="851">
        <v>0</v>
      </c>
      <c r="AM206" s="856"/>
      <c r="AN206" s="839">
        <v>0</v>
      </c>
      <c r="AO206" s="851">
        <v>0</v>
      </c>
      <c r="AP206" s="856"/>
      <c r="AQ206" s="839">
        <v>0</v>
      </c>
      <c r="AR206" s="851">
        <v>0</v>
      </c>
      <c r="AS206" s="856"/>
      <c r="AT206" s="839">
        <v>19.771277081972755</v>
      </c>
      <c r="AU206" s="851">
        <v>0</v>
      </c>
      <c r="AV206" s="856"/>
      <c r="AW206" s="839">
        <v>0</v>
      </c>
      <c r="AX206" s="851">
        <v>0</v>
      </c>
      <c r="AY206" s="856"/>
      <c r="AZ206" s="845">
        <v>266.35137199704366</v>
      </c>
      <c r="BA206" s="845">
        <v>0</v>
      </c>
      <c r="BB206" s="846">
        <v>-266.35137199704366</v>
      </c>
      <c r="BD206" s="2">
        <v>2</v>
      </c>
      <c r="BF206" s="787">
        <v>182.91455800363718</v>
      </c>
      <c r="BG206" s="325">
        <v>150000925</v>
      </c>
      <c r="BI206" s="847">
        <v>0</v>
      </c>
      <c r="BJ206" s="847">
        <v>0</v>
      </c>
      <c r="BK206" s="847">
        <v>0</v>
      </c>
      <c r="BL206" s="848"/>
      <c r="BM206" s="3"/>
      <c r="BN206" s="3"/>
      <c r="BP206" s="3"/>
      <c r="BQ206" s="3"/>
      <c r="BS206" s="42" t="s">
        <v>177</v>
      </c>
    </row>
    <row r="207" spans="1:71" ht="24.9" customHeight="1" x14ac:dyDescent="0.3">
      <c r="A207" s="325">
        <v>150000939</v>
      </c>
      <c r="B207" s="849" t="s">
        <v>337</v>
      </c>
      <c r="C207" s="850">
        <v>8</v>
      </c>
      <c r="D207" s="101" t="s">
        <v>455</v>
      </c>
      <c r="E207" s="279">
        <v>5138.55</v>
      </c>
      <c r="F207" s="838">
        <v>14480.956615968795</v>
      </c>
      <c r="G207" s="838">
        <v>0</v>
      </c>
      <c r="H207" s="838">
        <v>-14480.956615968795</v>
      </c>
      <c r="I207" s="839">
        <v>0</v>
      </c>
      <c r="J207" s="851">
        <v>0</v>
      </c>
      <c r="K207" s="852"/>
      <c r="L207" s="839">
        <v>0</v>
      </c>
      <c r="M207" s="851">
        <v>0</v>
      </c>
      <c r="N207" s="853"/>
      <c r="O207" s="839">
        <v>0</v>
      </c>
      <c r="P207" s="851">
        <v>0</v>
      </c>
      <c r="Q207" s="854"/>
      <c r="R207" s="839">
        <v>0</v>
      </c>
      <c r="S207" s="851">
        <v>0</v>
      </c>
      <c r="T207" s="855"/>
      <c r="U207" s="839">
        <v>0</v>
      </c>
      <c r="V207" s="851">
        <v>0</v>
      </c>
      <c r="W207" s="839">
        <v>0</v>
      </c>
      <c r="X207" s="851">
        <v>0</v>
      </c>
      <c r="Y207" s="839">
        <v>0</v>
      </c>
      <c r="Z207" s="851">
        <v>0</v>
      </c>
      <c r="AA207" s="839">
        <v>0</v>
      </c>
      <c r="AB207" s="851">
        <v>0</v>
      </c>
      <c r="AC207" s="839">
        <v>0</v>
      </c>
      <c r="AD207" s="851">
        <v>0</v>
      </c>
      <c r="AE207" s="839">
        <v>110.3839524567741</v>
      </c>
      <c r="AF207" s="851">
        <v>0</v>
      </c>
      <c r="AG207" s="856"/>
      <c r="AH207" s="839">
        <v>147.54288771672486</v>
      </c>
      <c r="AI207" s="851">
        <v>0</v>
      </c>
      <c r="AJ207" s="856"/>
      <c r="AK207" s="839">
        <v>216.4953644508474</v>
      </c>
      <c r="AL207" s="851">
        <v>0</v>
      </c>
      <c r="AM207" s="856"/>
      <c r="AN207" s="839">
        <v>57.544955533841751</v>
      </c>
      <c r="AO207" s="851">
        <v>0</v>
      </c>
      <c r="AP207" s="856"/>
      <c r="AQ207" s="839">
        <v>114.23216904794364</v>
      </c>
      <c r="AR207" s="851">
        <v>0</v>
      </c>
      <c r="AS207" s="856"/>
      <c r="AT207" s="839">
        <v>75.197898812150427</v>
      </c>
      <c r="AU207" s="851">
        <v>0</v>
      </c>
      <c r="AV207" s="856"/>
      <c r="AW207" s="839">
        <v>98.612223391799574</v>
      </c>
      <c r="AX207" s="851">
        <v>0</v>
      </c>
      <c r="AY207" s="856"/>
      <c r="AZ207" s="845">
        <v>820.00945141008185</v>
      </c>
      <c r="BA207" s="845">
        <v>0</v>
      </c>
      <c r="BB207" s="846">
        <v>-820.00945141008185</v>
      </c>
      <c r="BD207" s="2">
        <v>1</v>
      </c>
      <c r="BF207" s="787">
        <v>36.199861806738696</v>
      </c>
      <c r="BG207" s="325">
        <v>150000939</v>
      </c>
      <c r="BI207" s="847">
        <v>0</v>
      </c>
      <c r="BJ207" s="847">
        <v>0</v>
      </c>
      <c r="BK207" s="847">
        <v>0</v>
      </c>
      <c r="BL207" s="848"/>
      <c r="BM207" s="3"/>
      <c r="BN207" s="3"/>
      <c r="BP207" s="3"/>
      <c r="BQ207" s="3"/>
      <c r="BS207" s="42" t="s">
        <v>337</v>
      </c>
    </row>
    <row r="208" spans="1:71" ht="24.9" customHeight="1" x14ac:dyDescent="0.3">
      <c r="A208" s="325">
        <v>150000926</v>
      </c>
      <c r="B208" s="849" t="s">
        <v>178</v>
      </c>
      <c r="C208" s="850">
        <v>2</v>
      </c>
      <c r="D208" s="101" t="s">
        <v>455</v>
      </c>
      <c r="E208" s="279">
        <v>404.5</v>
      </c>
      <c r="F208" s="838">
        <v>1154.3966077777561</v>
      </c>
      <c r="G208" s="838">
        <v>261</v>
      </c>
      <c r="H208" s="838">
        <v>-893.39660777775612</v>
      </c>
      <c r="I208" s="839">
        <v>0</v>
      </c>
      <c r="J208" s="851">
        <v>0</v>
      </c>
      <c r="K208" s="852"/>
      <c r="L208" s="839">
        <v>0</v>
      </c>
      <c r="M208" s="851">
        <v>0</v>
      </c>
      <c r="N208" s="853"/>
      <c r="O208" s="839">
        <v>0</v>
      </c>
      <c r="P208" s="851">
        <v>0</v>
      </c>
      <c r="Q208" s="854"/>
      <c r="R208" s="839">
        <v>0</v>
      </c>
      <c r="S208" s="851">
        <v>0</v>
      </c>
      <c r="T208" s="855"/>
      <c r="U208" s="839">
        <v>0</v>
      </c>
      <c r="V208" s="851">
        <v>0</v>
      </c>
      <c r="W208" s="839">
        <v>0</v>
      </c>
      <c r="X208" s="851">
        <v>0</v>
      </c>
      <c r="Y208" s="839">
        <v>0</v>
      </c>
      <c r="Z208" s="851">
        <v>0</v>
      </c>
      <c r="AA208" s="839">
        <v>0</v>
      </c>
      <c r="AB208" s="851">
        <v>0</v>
      </c>
      <c r="AC208" s="839">
        <v>0</v>
      </c>
      <c r="AD208" s="851">
        <v>261</v>
      </c>
      <c r="AE208" s="839">
        <v>53.23428105407536</v>
      </c>
      <c r="AF208" s="851">
        <v>0</v>
      </c>
      <c r="AG208" s="856"/>
      <c r="AH208" s="839">
        <v>115.64329743466799</v>
      </c>
      <c r="AI208" s="851">
        <v>0</v>
      </c>
      <c r="AJ208" s="856"/>
      <c r="AK208" s="839">
        <v>0</v>
      </c>
      <c r="AL208" s="851">
        <v>0</v>
      </c>
      <c r="AM208" s="856"/>
      <c r="AN208" s="839">
        <v>0</v>
      </c>
      <c r="AO208" s="851">
        <v>0</v>
      </c>
      <c r="AP208" s="856"/>
      <c r="AQ208" s="839">
        <v>0</v>
      </c>
      <c r="AR208" s="851">
        <v>0</v>
      </c>
      <c r="AS208" s="856"/>
      <c r="AT208" s="839">
        <v>19.771277081972755</v>
      </c>
      <c r="AU208" s="851">
        <v>0</v>
      </c>
      <c r="AV208" s="856"/>
      <c r="AW208" s="839">
        <v>0</v>
      </c>
      <c r="AX208" s="851">
        <v>0</v>
      </c>
      <c r="AY208" s="856"/>
      <c r="AZ208" s="845">
        <v>188.64885557071611</v>
      </c>
      <c r="BA208" s="845">
        <v>0</v>
      </c>
      <c r="BB208" s="846">
        <v>-188.64885557071611</v>
      </c>
      <c r="BD208" s="2">
        <v>2</v>
      </c>
      <c r="BF208" s="787">
        <v>122.36926312540652</v>
      </c>
      <c r="BG208" s="325">
        <v>150000926</v>
      </c>
      <c r="BI208" s="847">
        <v>0</v>
      </c>
      <c r="BJ208" s="847">
        <v>0</v>
      </c>
      <c r="BK208" s="847">
        <v>0</v>
      </c>
      <c r="BL208" s="848"/>
      <c r="BM208" s="3"/>
      <c r="BN208" s="3"/>
      <c r="BP208" s="3"/>
      <c r="BQ208" s="3"/>
      <c r="BS208" s="42" t="s">
        <v>178</v>
      </c>
    </row>
    <row r="209" spans="1:71" ht="24.9" customHeight="1" x14ac:dyDescent="0.3">
      <c r="A209" s="325">
        <v>150000940</v>
      </c>
      <c r="B209" s="849" t="s">
        <v>377</v>
      </c>
      <c r="C209" s="850">
        <v>9</v>
      </c>
      <c r="D209" s="101" t="s">
        <v>455</v>
      </c>
      <c r="E209" s="279">
        <v>7450.81</v>
      </c>
      <c r="F209" s="838">
        <v>19849.94132568179</v>
      </c>
      <c r="G209" s="838">
        <v>5159</v>
      </c>
      <c r="H209" s="838">
        <v>-14690.94132568179</v>
      </c>
      <c r="I209" s="839">
        <v>0</v>
      </c>
      <c r="J209" s="851">
        <v>0</v>
      </c>
      <c r="K209" s="852"/>
      <c r="L209" s="839">
        <v>0</v>
      </c>
      <c r="M209" s="851">
        <v>0</v>
      </c>
      <c r="N209" s="858"/>
      <c r="O209" s="839">
        <v>0</v>
      </c>
      <c r="P209" s="851">
        <v>0</v>
      </c>
      <c r="Q209" s="854"/>
      <c r="R209" s="839">
        <v>2</v>
      </c>
      <c r="S209" s="851">
        <v>4860</v>
      </c>
      <c r="T209" s="860"/>
      <c r="U209" s="839">
        <v>0</v>
      </c>
      <c r="V209" s="851">
        <v>0</v>
      </c>
      <c r="W209" s="839">
        <v>0</v>
      </c>
      <c r="X209" s="851">
        <v>0</v>
      </c>
      <c r="Y209" s="839">
        <v>0</v>
      </c>
      <c r="Z209" s="851">
        <v>0</v>
      </c>
      <c r="AA209" s="839">
        <v>0</v>
      </c>
      <c r="AB209" s="851">
        <v>0</v>
      </c>
      <c r="AC209" s="839">
        <v>0</v>
      </c>
      <c r="AD209" s="851">
        <v>299</v>
      </c>
      <c r="AE209" s="839">
        <v>285.32250723809909</v>
      </c>
      <c r="AF209" s="851">
        <v>710</v>
      </c>
      <c r="AG209" s="856"/>
      <c r="AH209" s="839">
        <v>390.32326750718556</v>
      </c>
      <c r="AI209" s="851">
        <v>2298</v>
      </c>
      <c r="AJ209" s="856"/>
      <c r="AK209" s="839">
        <v>487.49537740688345</v>
      </c>
      <c r="AL209" s="851">
        <v>0</v>
      </c>
      <c r="AM209" s="856"/>
      <c r="AN209" s="839">
        <v>200.76067396593027</v>
      </c>
      <c r="AO209" s="851">
        <v>0</v>
      </c>
      <c r="AP209" s="856"/>
      <c r="AQ209" s="839">
        <v>98.941812127749259</v>
      </c>
      <c r="AR209" s="851">
        <v>0</v>
      </c>
      <c r="AS209" s="856"/>
      <c r="AT209" s="839">
        <v>320.3263120897879</v>
      </c>
      <c r="AU209" s="851">
        <v>0</v>
      </c>
      <c r="AV209" s="856"/>
      <c r="AW209" s="839">
        <v>143.02162076665977</v>
      </c>
      <c r="AX209" s="851">
        <v>0</v>
      </c>
      <c r="AY209" s="856"/>
      <c r="AZ209" s="845">
        <v>1926.1915711022953</v>
      </c>
      <c r="BA209" s="845">
        <v>3008</v>
      </c>
      <c r="BB209" s="846">
        <v>1081.8084288977047</v>
      </c>
      <c r="BD209" s="2">
        <v>1</v>
      </c>
      <c r="BF209" s="787">
        <v>72.317417334522645</v>
      </c>
      <c r="BG209" s="325">
        <v>150000940</v>
      </c>
      <c r="BI209" s="847">
        <v>0</v>
      </c>
      <c r="BJ209" s="847">
        <v>0</v>
      </c>
      <c r="BK209" s="847">
        <v>0</v>
      </c>
      <c r="BL209" s="848"/>
      <c r="BM209" s="3"/>
      <c r="BN209" s="3"/>
      <c r="BP209" s="3"/>
      <c r="BQ209" s="3"/>
      <c r="BS209" s="42" t="s">
        <v>377</v>
      </c>
    </row>
    <row r="210" spans="1:71" ht="24.9" customHeight="1" x14ac:dyDescent="0.3">
      <c r="A210" s="325">
        <v>150000941</v>
      </c>
      <c r="B210" s="849" t="s">
        <v>338</v>
      </c>
      <c r="C210" s="850">
        <v>8</v>
      </c>
      <c r="D210" s="101" t="s">
        <v>455</v>
      </c>
      <c r="E210" s="279">
        <v>6120.05</v>
      </c>
      <c r="F210" s="838">
        <v>19449.217537715067</v>
      </c>
      <c r="G210" s="838">
        <v>12360</v>
      </c>
      <c r="H210" s="838">
        <v>-7089.217537715067</v>
      </c>
      <c r="I210" s="839">
        <v>0</v>
      </c>
      <c r="J210" s="851">
        <v>0</v>
      </c>
      <c r="K210" s="852"/>
      <c r="L210" s="839">
        <v>0</v>
      </c>
      <c r="M210" s="851">
        <v>0</v>
      </c>
      <c r="N210" s="853"/>
      <c r="O210" s="839">
        <v>0</v>
      </c>
      <c r="P210" s="851">
        <v>0</v>
      </c>
      <c r="Q210" s="854"/>
      <c r="R210" s="839">
        <v>0</v>
      </c>
      <c r="S210" s="851">
        <v>12360</v>
      </c>
      <c r="T210" s="870"/>
      <c r="U210" s="839">
        <v>0</v>
      </c>
      <c r="V210" s="851">
        <v>0</v>
      </c>
      <c r="W210" s="839">
        <v>0</v>
      </c>
      <c r="X210" s="851">
        <v>0</v>
      </c>
      <c r="Y210" s="839">
        <v>0</v>
      </c>
      <c r="Z210" s="851">
        <v>0</v>
      </c>
      <c r="AA210" s="839">
        <v>0</v>
      </c>
      <c r="AB210" s="851">
        <v>0</v>
      </c>
      <c r="AC210" s="839">
        <v>0</v>
      </c>
      <c r="AD210" s="851">
        <v>0</v>
      </c>
      <c r="AE210" s="839">
        <v>86.443035780007833</v>
      </c>
      <c r="AF210" s="851">
        <v>710</v>
      </c>
      <c r="AG210" s="856"/>
      <c r="AH210" s="839">
        <v>120.14218698074031</v>
      </c>
      <c r="AI210" s="851">
        <v>6600</v>
      </c>
      <c r="AJ210" s="856"/>
      <c r="AK210" s="839">
        <v>76.741518410294219</v>
      </c>
      <c r="AL210" s="851">
        <v>0</v>
      </c>
      <c r="AM210" s="856"/>
      <c r="AN210" s="839">
        <v>71.32701187536864</v>
      </c>
      <c r="AO210" s="851">
        <v>0</v>
      </c>
      <c r="AP210" s="856"/>
      <c r="AQ210" s="839">
        <v>55.319784965168807</v>
      </c>
      <c r="AR210" s="851">
        <v>0</v>
      </c>
      <c r="AS210" s="856"/>
      <c r="AT210" s="839">
        <v>114.19426926644365</v>
      </c>
      <c r="AU210" s="851">
        <v>0</v>
      </c>
      <c r="AV210" s="856"/>
      <c r="AW210" s="839">
        <v>180.65516284184937</v>
      </c>
      <c r="AX210" s="851">
        <v>0</v>
      </c>
      <c r="AY210" s="856"/>
      <c r="AZ210" s="845">
        <v>704.82297011987282</v>
      </c>
      <c r="BA210" s="845">
        <v>7310</v>
      </c>
      <c r="BB210" s="846">
        <v>6605.1770298801275</v>
      </c>
      <c r="BD210" s="2">
        <v>1</v>
      </c>
      <c r="BF210" s="787">
        <v>62.931603007399104</v>
      </c>
      <c r="BG210" s="325">
        <v>150000941</v>
      </c>
      <c r="BI210" s="847">
        <v>0</v>
      </c>
      <c r="BJ210" s="847">
        <v>0</v>
      </c>
      <c r="BK210" s="847">
        <v>0</v>
      </c>
      <c r="BL210" s="848"/>
      <c r="BM210" s="3"/>
      <c r="BN210" s="3"/>
      <c r="BP210" s="3"/>
      <c r="BQ210" s="3"/>
      <c r="BS210" s="42" t="s">
        <v>338</v>
      </c>
    </row>
    <row r="211" spans="1:71" ht="24.9" customHeight="1" x14ac:dyDescent="0.3">
      <c r="A211" s="325">
        <v>150000957</v>
      </c>
      <c r="B211" s="849" t="s">
        <v>378</v>
      </c>
      <c r="C211" s="850">
        <v>9</v>
      </c>
      <c r="D211" s="101" t="s">
        <v>455</v>
      </c>
      <c r="E211" s="279">
        <v>2163.8200000000002</v>
      </c>
      <c r="F211" s="838">
        <v>5461.3657630380385</v>
      </c>
      <c r="G211" s="838">
        <v>133.92380161115108</v>
      </c>
      <c r="H211" s="838">
        <v>-5327.4419614268872</v>
      </c>
      <c r="I211" s="839">
        <v>0</v>
      </c>
      <c r="J211" s="851">
        <v>0</v>
      </c>
      <c r="K211" s="852"/>
      <c r="L211" s="839">
        <v>0</v>
      </c>
      <c r="M211" s="851">
        <v>0</v>
      </c>
      <c r="N211" s="853"/>
      <c r="O211" s="839">
        <v>0</v>
      </c>
      <c r="P211" s="851">
        <v>0</v>
      </c>
      <c r="Q211" s="854"/>
      <c r="R211" s="839">
        <v>0</v>
      </c>
      <c r="S211" s="851">
        <v>0</v>
      </c>
      <c r="T211" s="855"/>
      <c r="U211" s="839">
        <v>0</v>
      </c>
      <c r="V211" s="851">
        <v>0</v>
      </c>
      <c r="W211" s="839">
        <v>0</v>
      </c>
      <c r="X211" s="851">
        <v>133.92380161115108</v>
      </c>
      <c r="Y211" s="839">
        <v>0</v>
      </c>
      <c r="Z211" s="851">
        <v>0</v>
      </c>
      <c r="AA211" s="839">
        <v>0</v>
      </c>
      <c r="AB211" s="851">
        <v>0</v>
      </c>
      <c r="AC211" s="839">
        <v>0</v>
      </c>
      <c r="AD211" s="851">
        <v>0</v>
      </c>
      <c r="AE211" s="839">
        <v>106.46004484722503</v>
      </c>
      <c r="AF211" s="851">
        <v>0</v>
      </c>
      <c r="AG211" s="867"/>
      <c r="AH211" s="839">
        <v>132.91597242587608</v>
      </c>
      <c r="AI211" s="851">
        <v>0</v>
      </c>
      <c r="AJ211" s="867"/>
      <c r="AK211" s="839">
        <v>96.496044322568451</v>
      </c>
      <c r="AL211" s="851">
        <v>0</v>
      </c>
      <c r="AM211" s="856"/>
      <c r="AN211" s="839">
        <v>68.311243232300868</v>
      </c>
      <c r="AO211" s="851">
        <v>0</v>
      </c>
      <c r="AP211" s="856"/>
      <c r="AQ211" s="839">
        <v>32.980617657691397</v>
      </c>
      <c r="AR211" s="851">
        <v>0</v>
      </c>
      <c r="AS211" s="856"/>
      <c r="AT211" s="839">
        <v>43.626293285779226</v>
      </c>
      <c r="AU211" s="851">
        <v>0</v>
      </c>
      <c r="AV211" s="857"/>
      <c r="AW211" s="839">
        <v>38.465579168771882</v>
      </c>
      <c r="AX211" s="851">
        <v>0</v>
      </c>
      <c r="AY211" s="856"/>
      <c r="AZ211" s="845">
        <v>519.25579494021292</v>
      </c>
      <c r="BA211" s="845">
        <v>0</v>
      </c>
      <c r="BB211" s="846">
        <v>-519.25579494021292</v>
      </c>
      <c r="BD211" s="2">
        <v>1</v>
      </c>
      <c r="BF211" s="787">
        <v>15.247398127786409</v>
      </c>
      <c r="BG211" s="325">
        <v>150000957</v>
      </c>
      <c r="BI211" s="847">
        <v>60.920000000000009</v>
      </c>
      <c r="BJ211" s="847">
        <v>5.978289421153451</v>
      </c>
      <c r="BK211" s="847">
        <v>66.898289421153464</v>
      </c>
      <c r="BL211" s="848"/>
      <c r="BM211" s="3"/>
      <c r="BN211" s="3"/>
      <c r="BP211" s="3"/>
      <c r="BQ211" s="3"/>
      <c r="BS211" s="42" t="s">
        <v>378</v>
      </c>
    </row>
    <row r="212" spans="1:71" ht="24.9" customHeight="1" x14ac:dyDescent="0.3">
      <c r="A212" s="325">
        <v>150000960</v>
      </c>
      <c r="B212" s="849" t="s">
        <v>379</v>
      </c>
      <c r="C212" s="850">
        <v>9</v>
      </c>
      <c r="D212" s="101" t="s">
        <v>455</v>
      </c>
      <c r="E212" s="279">
        <v>4314</v>
      </c>
      <c r="F212" s="838">
        <v>10155.214744297535</v>
      </c>
      <c r="G212" s="838">
        <v>1186.8427527268313</v>
      </c>
      <c r="H212" s="838">
        <v>-8968.3719915707043</v>
      </c>
      <c r="I212" s="839">
        <v>0</v>
      </c>
      <c r="J212" s="851">
        <v>0</v>
      </c>
      <c r="K212" s="852"/>
      <c r="L212" s="839">
        <v>0</v>
      </c>
      <c r="M212" s="851">
        <v>0</v>
      </c>
      <c r="N212" s="853"/>
      <c r="O212" s="839">
        <v>0</v>
      </c>
      <c r="P212" s="851">
        <v>0</v>
      </c>
      <c r="Q212" s="854"/>
      <c r="R212" s="839">
        <v>1</v>
      </c>
      <c r="S212" s="851">
        <v>1113</v>
      </c>
      <c r="T212" s="860"/>
      <c r="U212" s="839">
        <v>0</v>
      </c>
      <c r="V212" s="851">
        <v>0</v>
      </c>
      <c r="W212" s="839">
        <v>0</v>
      </c>
      <c r="X212" s="851">
        <v>73.842752726831321</v>
      </c>
      <c r="Y212" s="839">
        <v>0</v>
      </c>
      <c r="Z212" s="851">
        <v>0</v>
      </c>
      <c r="AA212" s="839">
        <v>0</v>
      </c>
      <c r="AB212" s="851">
        <v>0</v>
      </c>
      <c r="AC212" s="839">
        <v>0</v>
      </c>
      <c r="AD212" s="851">
        <v>0</v>
      </c>
      <c r="AE212" s="839">
        <v>165.41116391265822</v>
      </c>
      <c r="AF212" s="851">
        <v>253</v>
      </c>
      <c r="AG212" s="857"/>
      <c r="AH212" s="839">
        <v>212.66555588140139</v>
      </c>
      <c r="AI212" s="851">
        <v>0</v>
      </c>
      <c r="AJ212" s="857"/>
      <c r="AK212" s="839">
        <v>158.75959729993374</v>
      </c>
      <c r="AL212" s="851">
        <v>0</v>
      </c>
      <c r="AM212" s="867"/>
      <c r="AN212" s="839">
        <v>94.310142601773379</v>
      </c>
      <c r="AO212" s="851">
        <v>0</v>
      </c>
      <c r="AP212" s="856"/>
      <c r="AQ212" s="839">
        <v>52.768988252306244</v>
      </c>
      <c r="AR212" s="851">
        <v>0</v>
      </c>
      <c r="AS212" s="856"/>
      <c r="AT212" s="839">
        <v>78.040883527025315</v>
      </c>
      <c r="AU212" s="851">
        <v>0</v>
      </c>
      <c r="AV212" s="856"/>
      <c r="AW212" s="839">
        <v>79.878797055444863</v>
      </c>
      <c r="AX212" s="851">
        <v>0</v>
      </c>
      <c r="AY212" s="856"/>
      <c r="AZ212" s="845">
        <v>841.83512853054322</v>
      </c>
      <c r="BA212" s="845">
        <v>253</v>
      </c>
      <c r="BB212" s="846">
        <v>-588.83512853054322</v>
      </c>
      <c r="BD212" s="2">
        <v>1</v>
      </c>
      <c r="BF212" s="787">
        <v>30.376650676330382</v>
      </c>
      <c r="BG212" s="325">
        <v>150000960</v>
      </c>
      <c r="BI212" s="847">
        <v>33.590000000000003</v>
      </c>
      <c r="BJ212" s="847">
        <v>3.296302390947873</v>
      </c>
      <c r="BK212" s="847">
        <v>36.886302390947876</v>
      </c>
      <c r="BL212" s="848"/>
      <c r="BM212" s="3"/>
      <c r="BN212" s="3"/>
      <c r="BP212" s="3"/>
      <c r="BQ212" s="3"/>
      <c r="BS212" s="42" t="s">
        <v>379</v>
      </c>
    </row>
    <row r="213" spans="1:71" ht="24.9" customHeight="1" x14ac:dyDescent="0.3">
      <c r="A213" s="325">
        <v>150000963</v>
      </c>
      <c r="B213" s="849" t="s">
        <v>380</v>
      </c>
      <c r="C213" s="850">
        <v>9</v>
      </c>
      <c r="D213" s="101" t="s">
        <v>455</v>
      </c>
      <c r="E213" s="279">
        <v>2140.7399999999998</v>
      </c>
      <c r="F213" s="838">
        <v>5865.1706698543385</v>
      </c>
      <c r="G213" s="838">
        <v>57.706825218199526</v>
      </c>
      <c r="H213" s="838">
        <v>-5807.4638446361387</v>
      </c>
      <c r="I213" s="839">
        <v>0</v>
      </c>
      <c r="J213" s="851">
        <v>0</v>
      </c>
      <c r="K213" s="866"/>
      <c r="L213" s="839">
        <v>0</v>
      </c>
      <c r="M213" s="851">
        <v>0</v>
      </c>
      <c r="N213" s="853"/>
      <c r="O213" s="839">
        <v>0</v>
      </c>
      <c r="P213" s="851">
        <v>0</v>
      </c>
      <c r="Q213" s="854"/>
      <c r="R213" s="839">
        <v>0</v>
      </c>
      <c r="S213" s="851">
        <v>0</v>
      </c>
      <c r="T213" s="855"/>
      <c r="U213" s="839">
        <v>0</v>
      </c>
      <c r="V213" s="851">
        <v>0</v>
      </c>
      <c r="W213" s="839">
        <v>0</v>
      </c>
      <c r="X213" s="851">
        <v>57.706825218199526</v>
      </c>
      <c r="Y213" s="839">
        <v>0</v>
      </c>
      <c r="Z213" s="851">
        <v>0</v>
      </c>
      <c r="AA213" s="839">
        <v>0</v>
      </c>
      <c r="AB213" s="851">
        <v>0</v>
      </c>
      <c r="AC213" s="839">
        <v>0</v>
      </c>
      <c r="AD213" s="851">
        <v>0</v>
      </c>
      <c r="AE213" s="839">
        <v>106.46004484722503</v>
      </c>
      <c r="AF213" s="851">
        <v>0</v>
      </c>
      <c r="AG213" s="856"/>
      <c r="AH213" s="839">
        <v>132.91597242587608</v>
      </c>
      <c r="AI213" s="851">
        <v>0</v>
      </c>
      <c r="AJ213" s="856"/>
      <c r="AK213" s="839">
        <v>93.124853889192295</v>
      </c>
      <c r="AL213" s="851">
        <v>0</v>
      </c>
      <c r="AM213" s="856"/>
      <c r="AN213" s="839">
        <v>64.567014438461243</v>
      </c>
      <c r="AO213" s="851">
        <v>0</v>
      </c>
      <c r="AP213" s="856"/>
      <c r="AQ213" s="839">
        <v>32.980617657691397</v>
      </c>
      <c r="AR213" s="851">
        <v>0</v>
      </c>
      <c r="AS213" s="856"/>
      <c r="AT213" s="839">
        <v>43.626293285779226</v>
      </c>
      <c r="AU213" s="851">
        <v>0</v>
      </c>
      <c r="AV213" s="856"/>
      <c r="AW213" s="839">
        <v>27.907064838681809</v>
      </c>
      <c r="AX213" s="851">
        <v>0</v>
      </c>
      <c r="AY213" s="856"/>
      <c r="AZ213" s="845">
        <v>501.58186138290716</v>
      </c>
      <c r="BA213" s="845">
        <v>0</v>
      </c>
      <c r="BB213" s="846">
        <v>-501.58186138290716</v>
      </c>
      <c r="BD213" s="2">
        <v>1</v>
      </c>
      <c r="BF213" s="787">
        <v>15.077713475835111</v>
      </c>
      <c r="BG213" s="325">
        <v>150000963</v>
      </c>
      <c r="BI213" s="847">
        <v>26.25</v>
      </c>
      <c r="BJ213" s="847">
        <v>2.5760029104609008</v>
      </c>
      <c r="BK213" s="847">
        <v>28.8260029104609</v>
      </c>
      <c r="BL213" s="848"/>
      <c r="BM213" s="3"/>
      <c r="BN213" s="3"/>
      <c r="BP213" s="3"/>
      <c r="BQ213" s="3"/>
      <c r="BS213" s="42" t="s">
        <v>380</v>
      </c>
    </row>
    <row r="214" spans="1:71" ht="24.9" customHeight="1" x14ac:dyDescent="0.3">
      <c r="A214" s="325">
        <v>150000927</v>
      </c>
      <c r="B214" s="849" t="s">
        <v>179</v>
      </c>
      <c r="C214" s="850">
        <v>2</v>
      </c>
      <c r="D214" s="101" t="s">
        <v>455</v>
      </c>
      <c r="E214" s="279">
        <v>602.9</v>
      </c>
      <c r="F214" s="838">
        <v>1309.0255373683758</v>
      </c>
      <c r="G214" s="838">
        <v>261</v>
      </c>
      <c r="H214" s="838">
        <v>-1048.0255373683758</v>
      </c>
      <c r="I214" s="839">
        <v>0</v>
      </c>
      <c r="J214" s="851">
        <v>0</v>
      </c>
      <c r="K214" s="852"/>
      <c r="L214" s="839">
        <v>0</v>
      </c>
      <c r="M214" s="851">
        <v>0</v>
      </c>
      <c r="N214" s="853"/>
      <c r="O214" s="839">
        <v>0</v>
      </c>
      <c r="P214" s="851">
        <v>0</v>
      </c>
      <c r="Q214" s="854"/>
      <c r="R214" s="839">
        <v>0</v>
      </c>
      <c r="S214" s="851">
        <v>0</v>
      </c>
      <c r="T214" s="855"/>
      <c r="U214" s="839">
        <v>0</v>
      </c>
      <c r="V214" s="851">
        <v>0</v>
      </c>
      <c r="W214" s="839">
        <v>0</v>
      </c>
      <c r="X214" s="851">
        <v>0</v>
      </c>
      <c r="Y214" s="839">
        <v>0</v>
      </c>
      <c r="Z214" s="851">
        <v>0</v>
      </c>
      <c r="AA214" s="839">
        <v>0</v>
      </c>
      <c r="AB214" s="851">
        <v>0</v>
      </c>
      <c r="AC214" s="839">
        <v>0</v>
      </c>
      <c r="AD214" s="851">
        <v>261</v>
      </c>
      <c r="AE214" s="839">
        <v>91.656095609273535</v>
      </c>
      <c r="AF214" s="851">
        <v>0</v>
      </c>
      <c r="AG214" s="856"/>
      <c r="AH214" s="839">
        <v>152.88656391485003</v>
      </c>
      <c r="AI214" s="851">
        <v>0</v>
      </c>
      <c r="AJ214" s="856"/>
      <c r="AK214" s="839">
        <v>77.57745813108339</v>
      </c>
      <c r="AL214" s="851">
        <v>0</v>
      </c>
      <c r="AM214" s="856"/>
      <c r="AN214" s="839">
        <v>0</v>
      </c>
      <c r="AO214" s="851">
        <v>0</v>
      </c>
      <c r="AP214" s="856"/>
      <c r="AQ214" s="839">
        <v>0</v>
      </c>
      <c r="AR214" s="851">
        <v>0</v>
      </c>
      <c r="AS214" s="856"/>
      <c r="AT214" s="839">
        <v>19.771301113804686</v>
      </c>
      <c r="AU214" s="851">
        <v>0</v>
      </c>
      <c r="AV214" s="856"/>
      <c r="AW214" s="839">
        <v>0</v>
      </c>
      <c r="AX214" s="851">
        <v>0</v>
      </c>
      <c r="AY214" s="856"/>
      <c r="AZ214" s="845">
        <v>341.89141876901164</v>
      </c>
      <c r="BA214" s="845">
        <v>0</v>
      </c>
      <c r="BB214" s="846">
        <v>-341.89141876901164</v>
      </c>
      <c r="BD214" s="2">
        <v>2</v>
      </c>
      <c r="BF214" s="787">
        <v>183.91165005550982</v>
      </c>
      <c r="BG214" s="325">
        <v>150000927</v>
      </c>
      <c r="BI214" s="847">
        <v>0</v>
      </c>
      <c r="BJ214" s="847">
        <v>0</v>
      </c>
      <c r="BK214" s="847">
        <v>0</v>
      </c>
      <c r="BL214" s="848"/>
      <c r="BM214" s="3"/>
      <c r="BN214" s="3"/>
      <c r="BP214" s="3"/>
      <c r="BQ214" s="3"/>
      <c r="BS214" s="42" t="s">
        <v>179</v>
      </c>
    </row>
    <row r="215" spans="1:71" ht="24.9" customHeight="1" x14ac:dyDescent="0.3">
      <c r="A215" s="325">
        <v>150000958</v>
      </c>
      <c r="B215" s="849" t="s">
        <v>381</v>
      </c>
      <c r="C215" s="850">
        <v>9</v>
      </c>
      <c r="D215" s="101" t="s">
        <v>455</v>
      </c>
      <c r="E215" s="279">
        <v>2135.1</v>
      </c>
      <c r="F215" s="838">
        <v>5485.2675711898219</v>
      </c>
      <c r="G215" s="838">
        <v>46.16546017455962</v>
      </c>
      <c r="H215" s="838">
        <v>-5439.1021110152624</v>
      </c>
      <c r="I215" s="839">
        <v>0</v>
      </c>
      <c r="J215" s="851">
        <v>0</v>
      </c>
      <c r="K215" s="852"/>
      <c r="L215" s="839">
        <v>0</v>
      </c>
      <c r="M215" s="851">
        <v>0</v>
      </c>
      <c r="N215" s="853"/>
      <c r="O215" s="839">
        <v>0</v>
      </c>
      <c r="P215" s="851">
        <v>0</v>
      </c>
      <c r="Q215" s="854"/>
      <c r="R215" s="839">
        <v>0</v>
      </c>
      <c r="S215" s="851">
        <v>0</v>
      </c>
      <c r="T215" s="855"/>
      <c r="U215" s="839">
        <v>0</v>
      </c>
      <c r="V215" s="851">
        <v>0</v>
      </c>
      <c r="W215" s="839">
        <v>0</v>
      </c>
      <c r="X215" s="851">
        <v>46.16546017455962</v>
      </c>
      <c r="Y215" s="839">
        <v>0</v>
      </c>
      <c r="Z215" s="851">
        <v>0</v>
      </c>
      <c r="AA215" s="839">
        <v>0</v>
      </c>
      <c r="AB215" s="851">
        <v>0</v>
      </c>
      <c r="AC215" s="839">
        <v>0</v>
      </c>
      <c r="AD215" s="851">
        <v>0</v>
      </c>
      <c r="AE215" s="839">
        <v>106.46004484722503</v>
      </c>
      <c r="AF215" s="851">
        <v>0</v>
      </c>
      <c r="AG215" s="856"/>
      <c r="AH215" s="839">
        <v>132.91597242587608</v>
      </c>
      <c r="AI215" s="851">
        <v>0</v>
      </c>
      <c r="AJ215" s="856"/>
      <c r="AK215" s="839">
        <v>91.344582835785587</v>
      </c>
      <c r="AL215" s="851">
        <v>0</v>
      </c>
      <c r="AM215" s="856"/>
      <c r="AN215" s="839">
        <v>59.813520908187947</v>
      </c>
      <c r="AO215" s="851">
        <v>0</v>
      </c>
      <c r="AP215" s="856"/>
      <c r="AQ215" s="839">
        <v>32.980617657691397</v>
      </c>
      <c r="AR215" s="851">
        <v>0</v>
      </c>
      <c r="AS215" s="856"/>
      <c r="AT215" s="839">
        <v>43.626293285779226</v>
      </c>
      <c r="AU215" s="851">
        <v>0</v>
      </c>
      <c r="AV215" s="856"/>
      <c r="AW215" s="839">
        <v>51.805042814282956</v>
      </c>
      <c r="AX215" s="851">
        <v>0</v>
      </c>
      <c r="AY215" s="856"/>
      <c r="AZ215" s="845">
        <v>518.94607477482828</v>
      </c>
      <c r="BA215" s="845">
        <v>0</v>
      </c>
      <c r="BB215" s="846">
        <v>-518.94607477482828</v>
      </c>
      <c r="BD215" s="2">
        <v>1</v>
      </c>
      <c r="BF215" s="787">
        <v>15.03927039701129</v>
      </c>
      <c r="BG215" s="325">
        <v>150000958</v>
      </c>
      <c r="BI215" s="847">
        <v>21</v>
      </c>
      <c r="BJ215" s="847">
        <v>2.0608023283687205</v>
      </c>
      <c r="BK215" s="847">
        <v>23.06080232836872</v>
      </c>
      <c r="BL215" s="848"/>
      <c r="BM215" s="3"/>
      <c r="BN215" s="3"/>
      <c r="BP215" s="3"/>
      <c r="BQ215" s="3"/>
      <c r="BS215" s="42" t="s">
        <v>381</v>
      </c>
    </row>
    <row r="216" spans="1:71" ht="24.9" customHeight="1" x14ac:dyDescent="0.3">
      <c r="A216" s="325">
        <v>150000961</v>
      </c>
      <c r="B216" s="849" t="s">
        <v>382</v>
      </c>
      <c r="C216" s="850">
        <v>9</v>
      </c>
      <c r="D216" s="101" t="s">
        <v>455</v>
      </c>
      <c r="E216" s="279">
        <v>4349.8999999999996</v>
      </c>
      <c r="F216" s="838">
        <v>9864.4201277499997</v>
      </c>
      <c r="G216" s="838">
        <v>33.744753032356677</v>
      </c>
      <c r="H216" s="838">
        <v>-9830.6753747176426</v>
      </c>
      <c r="I216" s="839">
        <v>0</v>
      </c>
      <c r="J216" s="851">
        <v>0</v>
      </c>
      <c r="K216" s="852"/>
      <c r="L216" s="839">
        <v>0</v>
      </c>
      <c r="M216" s="851">
        <v>0</v>
      </c>
      <c r="N216" s="886"/>
      <c r="O216" s="839">
        <v>0</v>
      </c>
      <c r="P216" s="851">
        <v>0</v>
      </c>
      <c r="Q216" s="854"/>
      <c r="R216" s="839">
        <v>0</v>
      </c>
      <c r="S216" s="851">
        <v>0</v>
      </c>
      <c r="T216" s="860"/>
      <c r="U216" s="839">
        <v>0</v>
      </c>
      <c r="V216" s="851">
        <v>0</v>
      </c>
      <c r="W216" s="839">
        <v>0</v>
      </c>
      <c r="X216" s="851">
        <v>33.744753032356677</v>
      </c>
      <c r="Y216" s="839">
        <v>0</v>
      </c>
      <c r="Z216" s="851">
        <v>0</v>
      </c>
      <c r="AA216" s="839">
        <v>0</v>
      </c>
      <c r="AB216" s="851">
        <v>0</v>
      </c>
      <c r="AC216" s="839">
        <v>0</v>
      </c>
      <c r="AD216" s="851">
        <v>0</v>
      </c>
      <c r="AE216" s="839">
        <v>206.48060014236324</v>
      </c>
      <c r="AF216" s="851">
        <v>0</v>
      </c>
      <c r="AG216" s="856"/>
      <c r="AH216" s="839">
        <v>265.8319448517517</v>
      </c>
      <c r="AI216" s="851">
        <v>0</v>
      </c>
      <c r="AJ216" s="856"/>
      <c r="AK216" s="839">
        <v>201.92473535792897</v>
      </c>
      <c r="AL216" s="851">
        <v>0</v>
      </c>
      <c r="AM216" s="867"/>
      <c r="AN216" s="839">
        <v>110.15949442599425</v>
      </c>
      <c r="AO216" s="851">
        <v>0</v>
      </c>
      <c r="AP216" s="856"/>
      <c r="AQ216" s="839">
        <v>65.961235315382794</v>
      </c>
      <c r="AR216" s="851">
        <v>0</v>
      </c>
      <c r="AS216" s="856"/>
      <c r="AT216" s="839">
        <v>97.681528674260917</v>
      </c>
      <c r="AU216" s="851">
        <v>0</v>
      </c>
      <c r="AV216" s="856"/>
      <c r="AW216" s="839">
        <v>55.195831147079431</v>
      </c>
      <c r="AX216" s="851">
        <v>0</v>
      </c>
      <c r="AY216" s="856"/>
      <c r="AZ216" s="845">
        <v>1003.2353699147612</v>
      </c>
      <c r="BA216" s="845">
        <v>0</v>
      </c>
      <c r="BB216" s="846">
        <v>-1003.2353699147612</v>
      </c>
      <c r="BD216" s="2">
        <v>1</v>
      </c>
      <c r="BF216" s="787">
        <v>30.627023548670135</v>
      </c>
      <c r="BG216" s="325">
        <v>150000961</v>
      </c>
      <c r="BI216" s="847">
        <v>15.35</v>
      </c>
      <c r="BJ216" s="847">
        <v>1.5063483685933265</v>
      </c>
      <c r="BK216" s="847">
        <v>16.856348368593327</v>
      </c>
      <c r="BL216" s="848"/>
      <c r="BM216" s="3"/>
      <c r="BN216" s="3"/>
      <c r="BP216" s="3"/>
      <c r="BQ216" s="3"/>
      <c r="BS216" s="42" t="s">
        <v>382</v>
      </c>
    </row>
    <row r="217" spans="1:71" ht="24.9" customHeight="1" x14ac:dyDescent="0.3">
      <c r="A217" s="325">
        <v>150000964</v>
      </c>
      <c r="B217" s="849" t="s">
        <v>383</v>
      </c>
      <c r="C217" s="850">
        <v>9</v>
      </c>
      <c r="D217" s="101" t="s">
        <v>455</v>
      </c>
      <c r="E217" s="279">
        <v>2131.85</v>
      </c>
      <c r="F217" s="838">
        <v>4976.1432389686479</v>
      </c>
      <c r="G217" s="838">
        <v>1780.3562663075036</v>
      </c>
      <c r="H217" s="838">
        <v>-3195.7869726611443</v>
      </c>
      <c r="I217" s="839">
        <v>0</v>
      </c>
      <c r="J217" s="851">
        <v>0</v>
      </c>
      <c r="K217" s="852"/>
      <c r="L217" s="839">
        <v>0</v>
      </c>
      <c r="M217" s="851">
        <v>0</v>
      </c>
      <c r="N217" s="853"/>
      <c r="O217" s="839">
        <v>0</v>
      </c>
      <c r="P217" s="851">
        <v>0</v>
      </c>
      <c r="Q217" s="854"/>
      <c r="R217" s="839">
        <v>0</v>
      </c>
      <c r="S217" s="851">
        <v>1762</v>
      </c>
      <c r="T217" s="855"/>
      <c r="U217" s="839">
        <v>0</v>
      </c>
      <c r="V217" s="851">
        <v>0</v>
      </c>
      <c r="W217" s="839">
        <v>0</v>
      </c>
      <c r="X217" s="851">
        <v>18.356266307503468</v>
      </c>
      <c r="Y217" s="839">
        <v>0</v>
      </c>
      <c r="Z217" s="851">
        <v>0</v>
      </c>
      <c r="AA217" s="839">
        <v>0</v>
      </c>
      <c r="AB217" s="851">
        <v>0</v>
      </c>
      <c r="AC217" s="839">
        <v>0</v>
      </c>
      <c r="AD217" s="851">
        <v>0</v>
      </c>
      <c r="AE217" s="839">
        <v>42.584017938890014</v>
      </c>
      <c r="AF217" s="851">
        <v>0</v>
      </c>
      <c r="AG217" s="856"/>
      <c r="AH217" s="839">
        <v>53.16638897035044</v>
      </c>
      <c r="AI217" s="851">
        <v>0</v>
      </c>
      <c r="AJ217" s="856"/>
      <c r="AK217" s="839">
        <v>44.006444341695001</v>
      </c>
      <c r="AL217" s="851">
        <v>0</v>
      </c>
      <c r="AM217" s="856"/>
      <c r="AN217" s="839">
        <v>23.588891810124462</v>
      </c>
      <c r="AO217" s="851">
        <v>0</v>
      </c>
      <c r="AP217" s="856"/>
      <c r="AQ217" s="839">
        <v>13.192247063076561</v>
      </c>
      <c r="AR217" s="851">
        <v>0</v>
      </c>
      <c r="AS217" s="856"/>
      <c r="AT217" s="839">
        <v>17.450517314311693</v>
      </c>
      <c r="AU217" s="851">
        <v>0</v>
      </c>
      <c r="AV217" s="856"/>
      <c r="AW217" s="839">
        <v>27.907064838681809</v>
      </c>
      <c r="AX217" s="851">
        <v>0</v>
      </c>
      <c r="AY217" s="856"/>
      <c r="AZ217" s="845">
        <v>221.89557227712999</v>
      </c>
      <c r="BA217" s="845">
        <v>0</v>
      </c>
      <c r="BB217" s="846">
        <v>-221.89557227712999</v>
      </c>
      <c r="BD217" s="2">
        <v>1</v>
      </c>
      <c r="BF217" s="787">
        <v>65.985515140687014</v>
      </c>
      <c r="BG217" s="325">
        <v>150000964</v>
      </c>
      <c r="BI217" s="847">
        <v>8.35</v>
      </c>
      <c r="BJ217" s="847">
        <v>0.81941425913708643</v>
      </c>
      <c r="BK217" s="847">
        <v>9.1694142591370866</v>
      </c>
      <c r="BL217" s="848"/>
      <c r="BM217" s="3"/>
      <c r="BN217" s="3"/>
      <c r="BP217" s="3"/>
      <c r="BQ217" s="3"/>
      <c r="BS217" s="42" t="s">
        <v>383</v>
      </c>
    </row>
    <row r="218" spans="1:71" ht="24.9" customHeight="1" x14ac:dyDescent="0.3">
      <c r="A218" s="325">
        <v>150000943</v>
      </c>
      <c r="B218" s="862" t="s">
        <v>123</v>
      </c>
      <c r="C218" s="863">
        <v>1</v>
      </c>
      <c r="D218" s="101" t="s">
        <v>455</v>
      </c>
      <c r="E218" s="279">
        <v>105</v>
      </c>
      <c r="F218" s="838">
        <v>262.85744834382518</v>
      </c>
      <c r="G218" s="838">
        <v>2023</v>
      </c>
      <c r="H218" s="838">
        <v>1760.1425516561749</v>
      </c>
      <c r="I218" s="839">
        <v>0</v>
      </c>
      <c r="J218" s="851">
        <v>2023</v>
      </c>
      <c r="K218" s="852"/>
      <c r="L218" s="839">
        <v>0</v>
      </c>
      <c r="M218" s="851">
        <v>0</v>
      </c>
      <c r="N218" s="853"/>
      <c r="O218" s="839">
        <v>0</v>
      </c>
      <c r="P218" s="851">
        <v>0</v>
      </c>
      <c r="Q218" s="854"/>
      <c r="R218" s="839">
        <v>0</v>
      </c>
      <c r="S218" s="851">
        <v>0</v>
      </c>
      <c r="T218" s="855"/>
      <c r="U218" s="839">
        <v>0</v>
      </c>
      <c r="V218" s="851">
        <v>0</v>
      </c>
      <c r="W218" s="839">
        <v>0</v>
      </c>
      <c r="X218" s="851">
        <v>0</v>
      </c>
      <c r="Y218" s="839">
        <v>0</v>
      </c>
      <c r="Z218" s="851">
        <v>0</v>
      </c>
      <c r="AA218" s="839">
        <v>0</v>
      </c>
      <c r="AB218" s="851">
        <v>0</v>
      </c>
      <c r="AC218" s="839">
        <v>0</v>
      </c>
      <c r="AD218" s="851">
        <v>0</v>
      </c>
      <c r="AE218" s="839">
        <v>0</v>
      </c>
      <c r="AF218" s="851">
        <v>0</v>
      </c>
      <c r="AG218" s="856"/>
      <c r="AH218" s="839">
        <v>0</v>
      </c>
      <c r="AI218" s="851">
        <v>0</v>
      </c>
      <c r="AJ218" s="856"/>
      <c r="AK218" s="839">
        <v>0</v>
      </c>
      <c r="AL218" s="851">
        <v>0</v>
      </c>
      <c r="AM218" s="856"/>
      <c r="AN218" s="839">
        <v>0</v>
      </c>
      <c r="AO218" s="851">
        <v>0</v>
      </c>
      <c r="AP218" s="856"/>
      <c r="AQ218" s="839">
        <v>0</v>
      </c>
      <c r="AR218" s="851">
        <v>0</v>
      </c>
      <c r="AS218" s="856"/>
      <c r="AT218" s="839">
        <v>0</v>
      </c>
      <c r="AU218" s="851">
        <v>0</v>
      </c>
      <c r="AV218" s="856"/>
      <c r="AW218" s="839">
        <v>0</v>
      </c>
      <c r="AX218" s="851">
        <v>0</v>
      </c>
      <c r="AY218" s="856"/>
      <c r="AZ218" s="845">
        <v>0</v>
      </c>
      <c r="BA218" s="845">
        <v>0</v>
      </c>
      <c r="BB218" s="846">
        <v>0</v>
      </c>
      <c r="BD218" s="2">
        <v>1</v>
      </c>
      <c r="BF218" s="787">
        <v>0</v>
      </c>
      <c r="BG218" s="325">
        <v>150000943</v>
      </c>
      <c r="BI218" s="847">
        <v>0</v>
      </c>
      <c r="BJ218" s="847">
        <v>0</v>
      </c>
      <c r="BK218" s="847">
        <v>0</v>
      </c>
      <c r="BL218" s="848"/>
      <c r="BM218" s="3"/>
      <c r="BN218" s="3"/>
      <c r="BP218" s="3"/>
      <c r="BQ218" s="3"/>
      <c r="BS218" s="42" t="s">
        <v>123</v>
      </c>
    </row>
    <row r="219" spans="1:71" ht="24.9" customHeight="1" x14ac:dyDescent="0.3">
      <c r="A219" s="325">
        <v>150000944</v>
      </c>
      <c r="B219" s="862" t="s">
        <v>124</v>
      </c>
      <c r="C219" s="863">
        <v>1</v>
      </c>
      <c r="D219" s="101" t="s">
        <v>455</v>
      </c>
      <c r="E219" s="279">
        <v>140.69999999999999</v>
      </c>
      <c r="F219" s="838">
        <v>293.07518524158934</v>
      </c>
      <c r="G219" s="838">
        <v>2023</v>
      </c>
      <c r="H219" s="838">
        <v>1729.9248147584108</v>
      </c>
      <c r="I219" s="839">
        <v>0</v>
      </c>
      <c r="J219" s="851">
        <v>2023</v>
      </c>
      <c r="K219" s="852"/>
      <c r="L219" s="839">
        <v>0</v>
      </c>
      <c r="M219" s="851">
        <v>0</v>
      </c>
      <c r="N219" s="853"/>
      <c r="O219" s="839">
        <v>0</v>
      </c>
      <c r="P219" s="851">
        <v>0</v>
      </c>
      <c r="Q219" s="854"/>
      <c r="R219" s="839">
        <v>0</v>
      </c>
      <c r="S219" s="851">
        <v>0</v>
      </c>
      <c r="T219" s="855"/>
      <c r="U219" s="839">
        <v>0</v>
      </c>
      <c r="V219" s="851">
        <v>0</v>
      </c>
      <c r="W219" s="839">
        <v>0</v>
      </c>
      <c r="X219" s="851">
        <v>0</v>
      </c>
      <c r="Y219" s="839">
        <v>0</v>
      </c>
      <c r="Z219" s="851">
        <v>0</v>
      </c>
      <c r="AA219" s="839">
        <v>0</v>
      </c>
      <c r="AB219" s="851">
        <v>0</v>
      </c>
      <c r="AC219" s="839">
        <v>0</v>
      </c>
      <c r="AD219" s="851">
        <v>0</v>
      </c>
      <c r="AE219" s="839">
        <v>0</v>
      </c>
      <c r="AF219" s="851">
        <v>0</v>
      </c>
      <c r="AG219" s="856"/>
      <c r="AH219" s="839">
        <v>0</v>
      </c>
      <c r="AI219" s="851">
        <v>0</v>
      </c>
      <c r="AJ219" s="856"/>
      <c r="AK219" s="839">
        <v>0</v>
      </c>
      <c r="AL219" s="851">
        <v>0</v>
      </c>
      <c r="AM219" s="856"/>
      <c r="AN219" s="839">
        <v>0</v>
      </c>
      <c r="AO219" s="851">
        <v>0</v>
      </c>
      <c r="AP219" s="856"/>
      <c r="AQ219" s="839">
        <v>0</v>
      </c>
      <c r="AR219" s="851">
        <v>0</v>
      </c>
      <c r="AS219" s="856"/>
      <c r="AT219" s="839">
        <v>0</v>
      </c>
      <c r="AU219" s="851">
        <v>0</v>
      </c>
      <c r="AV219" s="856"/>
      <c r="AW219" s="839">
        <v>0</v>
      </c>
      <c r="AX219" s="851">
        <v>0</v>
      </c>
      <c r="AY219" s="856"/>
      <c r="AZ219" s="845">
        <v>0</v>
      </c>
      <c r="BA219" s="845">
        <v>0</v>
      </c>
      <c r="BB219" s="846">
        <v>0</v>
      </c>
      <c r="BD219" s="2">
        <v>1</v>
      </c>
      <c r="BF219" s="787">
        <v>0</v>
      </c>
      <c r="BG219" s="325">
        <v>150000944</v>
      </c>
      <c r="BI219" s="847">
        <v>0</v>
      </c>
      <c r="BJ219" s="847">
        <v>0</v>
      </c>
      <c r="BK219" s="847">
        <v>0</v>
      </c>
      <c r="BL219" s="848"/>
      <c r="BM219" s="3"/>
      <c r="BN219" s="3"/>
      <c r="BP219" s="3"/>
      <c r="BQ219" s="3"/>
      <c r="BS219" s="42" t="s">
        <v>124</v>
      </c>
    </row>
    <row r="220" spans="1:71" ht="24.9" customHeight="1" x14ac:dyDescent="0.3">
      <c r="A220" s="325">
        <v>150000945</v>
      </c>
      <c r="B220" s="849" t="s">
        <v>422</v>
      </c>
      <c r="C220" s="850">
        <v>10</v>
      </c>
      <c r="D220" s="101" t="s">
        <v>455</v>
      </c>
      <c r="E220" s="279">
        <v>6742.76</v>
      </c>
      <c r="F220" s="838">
        <v>17187.464720093318</v>
      </c>
      <c r="G220" s="838">
        <v>0</v>
      </c>
      <c r="H220" s="838">
        <v>-17187.464720093318</v>
      </c>
      <c r="I220" s="839">
        <v>0</v>
      </c>
      <c r="J220" s="851">
        <v>0</v>
      </c>
      <c r="K220" s="866"/>
      <c r="L220" s="839">
        <v>0</v>
      </c>
      <c r="M220" s="851">
        <v>0</v>
      </c>
      <c r="N220" s="853"/>
      <c r="O220" s="839">
        <v>0</v>
      </c>
      <c r="P220" s="851">
        <v>0</v>
      </c>
      <c r="Q220" s="854"/>
      <c r="R220" s="839">
        <v>0</v>
      </c>
      <c r="S220" s="851">
        <v>0</v>
      </c>
      <c r="T220" s="870"/>
      <c r="U220" s="839">
        <v>0</v>
      </c>
      <c r="V220" s="851">
        <v>0</v>
      </c>
      <c r="W220" s="839">
        <v>0</v>
      </c>
      <c r="X220" s="851">
        <v>0</v>
      </c>
      <c r="Y220" s="839">
        <v>0</v>
      </c>
      <c r="Z220" s="851">
        <v>0</v>
      </c>
      <c r="AA220" s="839">
        <v>0</v>
      </c>
      <c r="AB220" s="851">
        <v>0</v>
      </c>
      <c r="AC220" s="839">
        <v>0</v>
      </c>
      <c r="AD220" s="851">
        <v>0</v>
      </c>
      <c r="AE220" s="839">
        <v>327.04584121664607</v>
      </c>
      <c r="AF220" s="851">
        <v>0</v>
      </c>
      <c r="AG220" s="856"/>
      <c r="AH220" s="839">
        <v>398.9137894360008</v>
      </c>
      <c r="AI220" s="851">
        <v>0</v>
      </c>
      <c r="AJ220" s="856"/>
      <c r="AK220" s="839">
        <v>458.67069947314712</v>
      </c>
      <c r="AL220" s="851">
        <v>0</v>
      </c>
      <c r="AM220" s="856"/>
      <c r="AN220" s="839">
        <v>194.41885365990336</v>
      </c>
      <c r="AO220" s="851">
        <v>0</v>
      </c>
      <c r="AP220" s="856"/>
      <c r="AQ220" s="839">
        <v>105.68402349220877</v>
      </c>
      <c r="AR220" s="851">
        <v>0</v>
      </c>
      <c r="AS220" s="856"/>
      <c r="AT220" s="839">
        <v>205.26189571466762</v>
      </c>
      <c r="AU220" s="851">
        <v>0</v>
      </c>
      <c r="AV220" s="882"/>
      <c r="AW220" s="839">
        <v>119.34310272027908</v>
      </c>
      <c r="AX220" s="851">
        <v>0</v>
      </c>
      <c r="AY220" s="856"/>
      <c r="AZ220" s="845">
        <v>1809.3382057128529</v>
      </c>
      <c r="BA220" s="845">
        <v>0</v>
      </c>
      <c r="BB220" s="846">
        <v>-1809.3382057128529</v>
      </c>
      <c r="BD220" s="2">
        <v>1</v>
      </c>
      <c r="BF220" s="787">
        <v>67.3160150246851</v>
      </c>
      <c r="BG220" s="325">
        <v>150000945</v>
      </c>
      <c r="BI220" s="847">
        <v>0</v>
      </c>
      <c r="BJ220" s="847">
        <v>0</v>
      </c>
      <c r="BK220" s="847">
        <v>0</v>
      </c>
      <c r="BL220" s="848"/>
      <c r="BM220" s="3"/>
      <c r="BN220" s="3"/>
      <c r="BP220" s="3"/>
      <c r="BQ220" s="3"/>
      <c r="BS220" s="42" t="s">
        <v>422</v>
      </c>
    </row>
    <row r="221" spans="1:71" ht="24.9" customHeight="1" x14ac:dyDescent="0.3">
      <c r="A221" s="325">
        <v>150000947</v>
      </c>
      <c r="B221" s="849" t="s">
        <v>269</v>
      </c>
      <c r="C221" s="850">
        <v>5</v>
      </c>
      <c r="D221" s="101" t="s">
        <v>455</v>
      </c>
      <c r="E221" s="279">
        <v>3267.3</v>
      </c>
      <c r="F221" s="838">
        <v>7590.045220573912</v>
      </c>
      <c r="G221" s="838">
        <v>0</v>
      </c>
      <c r="H221" s="838">
        <v>-7590.045220573912</v>
      </c>
      <c r="I221" s="839">
        <v>0</v>
      </c>
      <c r="J221" s="851">
        <v>0</v>
      </c>
      <c r="K221" s="852"/>
      <c r="L221" s="839">
        <v>0</v>
      </c>
      <c r="M221" s="851">
        <v>0</v>
      </c>
      <c r="N221" s="853"/>
      <c r="O221" s="839">
        <v>0</v>
      </c>
      <c r="P221" s="851">
        <v>0</v>
      </c>
      <c r="Q221" s="854"/>
      <c r="R221" s="839">
        <v>0</v>
      </c>
      <c r="S221" s="851">
        <v>0</v>
      </c>
      <c r="T221" s="855"/>
      <c r="U221" s="839">
        <v>0</v>
      </c>
      <c r="V221" s="851">
        <v>0</v>
      </c>
      <c r="W221" s="839">
        <v>0</v>
      </c>
      <c r="X221" s="851">
        <v>0</v>
      </c>
      <c r="Y221" s="839">
        <v>0</v>
      </c>
      <c r="Z221" s="851">
        <v>0</v>
      </c>
      <c r="AA221" s="839">
        <v>0</v>
      </c>
      <c r="AB221" s="851">
        <v>0</v>
      </c>
      <c r="AC221" s="839">
        <v>0</v>
      </c>
      <c r="AD221" s="851">
        <v>0</v>
      </c>
      <c r="AE221" s="839">
        <v>335.49122236556309</v>
      </c>
      <c r="AF221" s="851">
        <v>0</v>
      </c>
      <c r="AG221" s="856"/>
      <c r="AH221" s="839">
        <v>503.09886568518095</v>
      </c>
      <c r="AI221" s="851">
        <v>0</v>
      </c>
      <c r="AJ221" s="856"/>
      <c r="AK221" s="839">
        <v>349.5833390983895</v>
      </c>
      <c r="AL221" s="851">
        <v>0</v>
      </c>
      <c r="AM221" s="856"/>
      <c r="AN221" s="839">
        <v>201.87973305220362</v>
      </c>
      <c r="AO221" s="851">
        <v>0</v>
      </c>
      <c r="AP221" s="856"/>
      <c r="AQ221" s="839">
        <v>119.94714023874553</v>
      </c>
      <c r="AR221" s="851">
        <v>0</v>
      </c>
      <c r="AS221" s="856"/>
      <c r="AT221" s="839">
        <v>187.174739446508</v>
      </c>
      <c r="AU221" s="851">
        <v>0</v>
      </c>
      <c r="AV221" s="856"/>
      <c r="AW221" s="839">
        <v>107.72463185447754</v>
      </c>
      <c r="AX221" s="851">
        <v>0</v>
      </c>
      <c r="AY221" s="856"/>
      <c r="AZ221" s="845">
        <v>1804.8996717410685</v>
      </c>
      <c r="BA221" s="845">
        <v>0</v>
      </c>
      <c r="BB221" s="846">
        <v>-1804.8996717410685</v>
      </c>
      <c r="BD221" s="2">
        <v>1</v>
      </c>
      <c r="BF221" s="787">
        <v>42.840517764949801</v>
      </c>
      <c r="BG221" s="325">
        <v>150000947</v>
      </c>
      <c r="BI221" s="847">
        <v>0</v>
      </c>
      <c r="BJ221" s="847">
        <v>0</v>
      </c>
      <c r="BK221" s="847">
        <v>0</v>
      </c>
      <c r="BL221" s="848"/>
      <c r="BM221" s="3"/>
      <c r="BN221" s="3"/>
      <c r="BP221" s="3"/>
      <c r="BQ221" s="3"/>
      <c r="BS221" s="42" t="s">
        <v>269</v>
      </c>
    </row>
    <row r="222" spans="1:71" ht="24.9" customHeight="1" x14ac:dyDescent="0.3">
      <c r="A222" s="325">
        <v>150000948</v>
      </c>
      <c r="B222" s="849" t="s">
        <v>384</v>
      </c>
      <c r="C222" s="850">
        <v>9</v>
      </c>
      <c r="D222" s="101" t="s">
        <v>455</v>
      </c>
      <c r="E222" s="279">
        <v>6615</v>
      </c>
      <c r="F222" s="838">
        <v>17454.572487647143</v>
      </c>
      <c r="G222" s="838">
        <v>9086.1854197635294</v>
      </c>
      <c r="H222" s="838">
        <v>-8368.3870678836138</v>
      </c>
      <c r="I222" s="839">
        <v>0</v>
      </c>
      <c r="J222" s="851">
        <v>0</v>
      </c>
      <c r="K222" s="852"/>
      <c r="L222" s="839">
        <v>0</v>
      </c>
      <c r="M222" s="851">
        <v>0</v>
      </c>
      <c r="N222" s="853"/>
      <c r="O222" s="839">
        <v>0</v>
      </c>
      <c r="P222" s="851">
        <v>0</v>
      </c>
      <c r="Q222" s="854"/>
      <c r="R222" s="839">
        <v>1</v>
      </c>
      <c r="S222" s="851">
        <v>855</v>
      </c>
      <c r="T222" s="870"/>
      <c r="U222" s="839">
        <v>0</v>
      </c>
      <c r="V222" s="851">
        <v>0</v>
      </c>
      <c r="W222" s="839">
        <v>0</v>
      </c>
      <c r="X222" s="851">
        <v>169.18541976352901</v>
      </c>
      <c r="Y222" s="839">
        <v>0</v>
      </c>
      <c r="Z222" s="851">
        <v>0</v>
      </c>
      <c r="AA222" s="839">
        <v>0</v>
      </c>
      <c r="AB222" s="851">
        <v>0</v>
      </c>
      <c r="AC222" s="839">
        <v>6993</v>
      </c>
      <c r="AD222" s="851">
        <v>1069</v>
      </c>
      <c r="AE222" s="839">
        <v>234.19939836518847</v>
      </c>
      <c r="AF222" s="851">
        <v>363</v>
      </c>
      <c r="AG222" s="857"/>
      <c r="AH222" s="839">
        <v>340.39419120155407</v>
      </c>
      <c r="AI222" s="851">
        <v>0</v>
      </c>
      <c r="AJ222" s="856"/>
      <c r="AK222" s="839">
        <v>377.32558295153785</v>
      </c>
      <c r="AL222" s="851">
        <v>0</v>
      </c>
      <c r="AM222" s="867"/>
      <c r="AN222" s="839">
        <v>175.11975664192488</v>
      </c>
      <c r="AO222" s="851">
        <v>0</v>
      </c>
      <c r="AP222" s="856"/>
      <c r="AQ222" s="839">
        <v>73.457911157641931</v>
      </c>
      <c r="AR222" s="851">
        <v>0</v>
      </c>
      <c r="AS222" s="856"/>
      <c r="AT222" s="839">
        <v>232.89259241061026</v>
      </c>
      <c r="AU222" s="851">
        <v>309</v>
      </c>
      <c r="AV222" s="882"/>
      <c r="AW222" s="839">
        <v>141.02416777453496</v>
      </c>
      <c r="AX222" s="851">
        <v>0</v>
      </c>
      <c r="AY222" s="856"/>
      <c r="AZ222" s="845">
        <v>1574.4136005029925</v>
      </c>
      <c r="BA222" s="845">
        <v>672</v>
      </c>
      <c r="BB222" s="846">
        <v>-902.41360050299249</v>
      </c>
      <c r="BD222" s="2">
        <v>1</v>
      </c>
      <c r="BF222" s="787">
        <v>101.4847886055887</v>
      </c>
      <c r="BG222" s="325">
        <v>150000948</v>
      </c>
      <c r="BI222" s="847">
        <v>76.960000000000008</v>
      </c>
      <c r="BJ222" s="847">
        <v>7.5523498662503217</v>
      </c>
      <c r="BK222" s="847">
        <v>84.512349866250332</v>
      </c>
      <c r="BL222" s="848"/>
      <c r="BM222" s="3"/>
      <c r="BN222" s="3"/>
      <c r="BP222" s="3"/>
      <c r="BQ222" s="3"/>
      <c r="BS222" s="42" t="s">
        <v>384</v>
      </c>
    </row>
    <row r="223" spans="1:71" ht="24.9" customHeight="1" x14ac:dyDescent="0.3">
      <c r="A223" s="325">
        <v>150000949</v>
      </c>
      <c r="B223" s="849" t="s">
        <v>385</v>
      </c>
      <c r="C223" s="850">
        <v>9</v>
      </c>
      <c r="D223" s="101" t="s">
        <v>455</v>
      </c>
      <c r="E223" s="279">
        <v>9392.7999999999993</v>
      </c>
      <c r="F223" s="838">
        <v>28446.047949750613</v>
      </c>
      <c r="G223" s="838">
        <v>25583.748275951973</v>
      </c>
      <c r="H223" s="838">
        <v>-2862.2996737986396</v>
      </c>
      <c r="I223" s="839">
        <v>0</v>
      </c>
      <c r="J223" s="851">
        <v>0</v>
      </c>
      <c r="K223" s="852"/>
      <c r="L223" s="839">
        <v>0</v>
      </c>
      <c r="M223" s="851">
        <v>620</v>
      </c>
      <c r="N223" s="853"/>
      <c r="O223" s="839">
        <v>0</v>
      </c>
      <c r="P223" s="851">
        <v>0</v>
      </c>
      <c r="Q223" s="854"/>
      <c r="R223" s="839">
        <v>2</v>
      </c>
      <c r="S223" s="851">
        <v>18788</v>
      </c>
      <c r="T223" s="870"/>
      <c r="U223" s="839">
        <v>1726</v>
      </c>
      <c r="V223" s="851">
        <v>0</v>
      </c>
      <c r="W223" s="839">
        <v>0</v>
      </c>
      <c r="X223" s="851">
        <v>47.748275951973092</v>
      </c>
      <c r="Y223" s="839">
        <v>484</v>
      </c>
      <c r="Z223" s="851">
        <v>0</v>
      </c>
      <c r="AA223" s="839">
        <v>0</v>
      </c>
      <c r="AB223" s="851">
        <v>0</v>
      </c>
      <c r="AC223" s="839">
        <v>2717</v>
      </c>
      <c r="AD223" s="851">
        <v>1201</v>
      </c>
      <c r="AE223" s="839">
        <v>131.66111816664187</v>
      </c>
      <c r="AF223" s="851">
        <v>776</v>
      </c>
      <c r="AG223" s="856"/>
      <c r="AH223" s="839">
        <v>193.84601730458303</v>
      </c>
      <c r="AI223" s="851">
        <v>6270</v>
      </c>
      <c r="AJ223" s="856"/>
      <c r="AK223" s="839">
        <v>215.16401743022467</v>
      </c>
      <c r="AL223" s="851">
        <v>0</v>
      </c>
      <c r="AM223" s="867"/>
      <c r="AN223" s="839">
        <v>101.39158159948053</v>
      </c>
      <c r="AO223" s="851">
        <v>0</v>
      </c>
      <c r="AP223" s="856"/>
      <c r="AQ223" s="839">
        <v>97.437647389463777</v>
      </c>
      <c r="AR223" s="851">
        <v>0</v>
      </c>
      <c r="AS223" s="856"/>
      <c r="AT223" s="839">
        <v>163.8440843954931</v>
      </c>
      <c r="AU223" s="851">
        <v>326</v>
      </c>
      <c r="AV223" s="856"/>
      <c r="AW223" s="839">
        <v>156.91956282162403</v>
      </c>
      <c r="AX223" s="851">
        <v>0</v>
      </c>
      <c r="AY223" s="856"/>
      <c r="AZ223" s="845">
        <v>1060.2640291075109</v>
      </c>
      <c r="BA223" s="845">
        <v>7372</v>
      </c>
      <c r="BB223" s="846">
        <v>6311.7359708924887</v>
      </c>
      <c r="BD223" s="2">
        <v>1</v>
      </c>
      <c r="BF223" s="787">
        <v>222.0646864771229</v>
      </c>
      <c r="BG223" s="325">
        <v>150000949</v>
      </c>
      <c r="BI223" s="847">
        <v>21.72</v>
      </c>
      <c r="BJ223" s="847">
        <v>2.1314584081985051</v>
      </c>
      <c r="BK223" s="847">
        <v>23.851458408198503</v>
      </c>
      <c r="BL223" s="848"/>
      <c r="BM223" s="3"/>
      <c r="BN223" s="3"/>
      <c r="BP223" s="3"/>
      <c r="BQ223" s="3"/>
      <c r="BS223" s="42" t="s">
        <v>385</v>
      </c>
    </row>
    <row r="224" spans="1:71" ht="24.9" customHeight="1" x14ac:dyDescent="0.3">
      <c r="A224" s="325">
        <v>150001044</v>
      </c>
      <c r="B224" s="849" t="s">
        <v>270</v>
      </c>
      <c r="C224" s="850">
        <v>5</v>
      </c>
      <c r="D224" s="101" t="s">
        <v>455</v>
      </c>
      <c r="E224" s="279">
        <v>3505.5</v>
      </c>
      <c r="F224" s="838">
        <v>5576.6969253063198</v>
      </c>
      <c r="G224" s="838">
        <v>522</v>
      </c>
      <c r="H224" s="838">
        <v>-5054.6969253063198</v>
      </c>
      <c r="I224" s="839">
        <v>0</v>
      </c>
      <c r="J224" s="851">
        <v>0</v>
      </c>
      <c r="K224" s="852"/>
      <c r="L224" s="839">
        <v>0</v>
      </c>
      <c r="M224" s="851">
        <v>0</v>
      </c>
      <c r="N224" s="853"/>
      <c r="O224" s="839">
        <v>0</v>
      </c>
      <c r="P224" s="851">
        <v>0</v>
      </c>
      <c r="Q224" s="854"/>
      <c r="R224" s="839">
        <v>0</v>
      </c>
      <c r="S224" s="851">
        <v>0</v>
      </c>
      <c r="T224" s="855"/>
      <c r="U224" s="839">
        <v>0</v>
      </c>
      <c r="V224" s="851">
        <v>0</v>
      </c>
      <c r="W224" s="839">
        <v>0</v>
      </c>
      <c r="X224" s="851">
        <v>0</v>
      </c>
      <c r="Y224" s="839">
        <v>0</v>
      </c>
      <c r="Z224" s="851">
        <v>0</v>
      </c>
      <c r="AA224" s="839">
        <v>0</v>
      </c>
      <c r="AB224" s="851">
        <v>0</v>
      </c>
      <c r="AC224" s="839">
        <v>0</v>
      </c>
      <c r="AD224" s="851">
        <v>522</v>
      </c>
      <c r="AE224" s="839">
        <v>320.62601161897658</v>
      </c>
      <c r="AF224" s="851">
        <v>0</v>
      </c>
      <c r="AG224" s="856"/>
      <c r="AH224" s="839">
        <v>492.97964315911258</v>
      </c>
      <c r="AI224" s="851">
        <v>0</v>
      </c>
      <c r="AJ224" s="856"/>
      <c r="AK224" s="839">
        <v>425.24465874824136</v>
      </c>
      <c r="AL224" s="851">
        <v>0</v>
      </c>
      <c r="AM224" s="856"/>
      <c r="AN224" s="839">
        <v>0</v>
      </c>
      <c r="AO224" s="851">
        <v>0</v>
      </c>
      <c r="AP224" s="856"/>
      <c r="AQ224" s="839">
        <v>0</v>
      </c>
      <c r="AR224" s="851">
        <v>0</v>
      </c>
      <c r="AS224" s="856"/>
      <c r="AT224" s="839">
        <v>176.92726331589199</v>
      </c>
      <c r="AU224" s="851">
        <v>711</v>
      </c>
      <c r="AV224" s="856"/>
      <c r="AW224" s="839">
        <v>0</v>
      </c>
      <c r="AX224" s="851">
        <v>0</v>
      </c>
      <c r="AY224" s="856"/>
      <c r="AZ224" s="845">
        <v>1415.7775768422225</v>
      </c>
      <c r="BA224" s="845">
        <v>711</v>
      </c>
      <c r="BB224" s="846">
        <v>-704.77757684222252</v>
      </c>
      <c r="BD224" s="2">
        <v>2</v>
      </c>
      <c r="BF224" s="787">
        <v>12.279957363825242</v>
      </c>
      <c r="BG224" s="325">
        <v>150001044</v>
      </c>
      <c r="BI224" s="847">
        <v>0</v>
      </c>
      <c r="BJ224" s="847">
        <v>0</v>
      </c>
      <c r="BK224" s="847">
        <v>0</v>
      </c>
      <c r="BL224" s="848"/>
      <c r="BM224" s="3"/>
      <c r="BN224" s="3"/>
      <c r="BP224" s="3"/>
      <c r="BQ224" s="3"/>
      <c r="BS224" s="42" t="s">
        <v>270</v>
      </c>
    </row>
    <row r="225" spans="1:71" ht="24.9" customHeight="1" x14ac:dyDescent="0.3">
      <c r="A225" s="325">
        <v>150001050</v>
      </c>
      <c r="B225" s="849" t="s">
        <v>271</v>
      </c>
      <c r="C225" s="850">
        <v>5</v>
      </c>
      <c r="D225" s="101" t="s">
        <v>455</v>
      </c>
      <c r="E225" s="279">
        <v>3564.3</v>
      </c>
      <c r="F225" s="838">
        <v>9161.9698506459335</v>
      </c>
      <c r="G225" s="838">
        <v>522</v>
      </c>
      <c r="H225" s="838">
        <v>-8639.9698506459335</v>
      </c>
      <c r="I225" s="839">
        <v>0</v>
      </c>
      <c r="J225" s="851">
        <v>0</v>
      </c>
      <c r="K225" s="852"/>
      <c r="L225" s="839">
        <v>0</v>
      </c>
      <c r="M225" s="851">
        <v>0</v>
      </c>
      <c r="N225" s="853"/>
      <c r="O225" s="839">
        <v>0</v>
      </c>
      <c r="P225" s="851">
        <v>0</v>
      </c>
      <c r="Q225" s="854"/>
      <c r="R225" s="839">
        <v>0</v>
      </c>
      <c r="S225" s="851">
        <v>0</v>
      </c>
      <c r="T225" s="855"/>
      <c r="U225" s="839">
        <v>0</v>
      </c>
      <c r="V225" s="851">
        <v>0</v>
      </c>
      <c r="W225" s="839">
        <v>0</v>
      </c>
      <c r="X225" s="851">
        <v>0</v>
      </c>
      <c r="Y225" s="839">
        <v>0</v>
      </c>
      <c r="Z225" s="851">
        <v>0</v>
      </c>
      <c r="AA225" s="839">
        <v>0</v>
      </c>
      <c r="AB225" s="851">
        <v>0</v>
      </c>
      <c r="AC225" s="839">
        <v>0</v>
      </c>
      <c r="AD225" s="851">
        <v>522</v>
      </c>
      <c r="AE225" s="839">
        <v>323.47537914525492</v>
      </c>
      <c r="AF225" s="851">
        <v>0</v>
      </c>
      <c r="AG225" s="856"/>
      <c r="AH225" s="839">
        <v>444.88882070319545</v>
      </c>
      <c r="AI225" s="851">
        <v>0</v>
      </c>
      <c r="AJ225" s="856"/>
      <c r="AK225" s="839">
        <v>431.67565626018109</v>
      </c>
      <c r="AL225" s="851">
        <v>0</v>
      </c>
      <c r="AM225" s="856"/>
      <c r="AN225" s="839">
        <v>0</v>
      </c>
      <c r="AO225" s="851">
        <v>0</v>
      </c>
      <c r="AP225" s="856"/>
      <c r="AQ225" s="839">
        <v>0</v>
      </c>
      <c r="AR225" s="851">
        <v>0</v>
      </c>
      <c r="AS225" s="856"/>
      <c r="AT225" s="839">
        <v>179.51810429532154</v>
      </c>
      <c r="AU225" s="851">
        <v>711</v>
      </c>
      <c r="AV225" s="856"/>
      <c r="AW225" s="839">
        <v>0</v>
      </c>
      <c r="AX225" s="851">
        <v>0</v>
      </c>
      <c r="AY225" s="856"/>
      <c r="AZ225" s="845">
        <v>1379.5579604039531</v>
      </c>
      <c r="BA225" s="845">
        <v>711</v>
      </c>
      <c r="BB225" s="846">
        <v>-668.55796040395308</v>
      </c>
      <c r="BD225" s="2">
        <v>2</v>
      </c>
      <c r="BF225" s="787">
        <v>12.480286360548513</v>
      </c>
      <c r="BG225" s="325">
        <v>150001050</v>
      </c>
      <c r="BI225" s="847">
        <v>0</v>
      </c>
      <c r="BJ225" s="847">
        <v>0</v>
      </c>
      <c r="BK225" s="847">
        <v>0</v>
      </c>
      <c r="BL225" s="848"/>
      <c r="BM225" s="3"/>
      <c r="BN225" s="3"/>
      <c r="BP225" s="3"/>
      <c r="BQ225" s="3"/>
      <c r="BS225" s="42" t="s">
        <v>271</v>
      </c>
    </row>
    <row r="226" spans="1:71" ht="24.9" customHeight="1" x14ac:dyDescent="0.3">
      <c r="A226" s="325">
        <v>150001045</v>
      </c>
      <c r="B226" s="849" t="s">
        <v>272</v>
      </c>
      <c r="C226" s="850">
        <v>5</v>
      </c>
      <c r="D226" s="101" t="s">
        <v>455</v>
      </c>
      <c r="E226" s="279">
        <v>3571.4</v>
      </c>
      <c r="F226" s="838">
        <v>9306.2546949358311</v>
      </c>
      <c r="G226" s="838">
        <v>522</v>
      </c>
      <c r="H226" s="838">
        <v>-8784.2546949358311</v>
      </c>
      <c r="I226" s="839">
        <v>0</v>
      </c>
      <c r="J226" s="851">
        <v>0</v>
      </c>
      <c r="K226" s="871"/>
      <c r="L226" s="839">
        <v>0</v>
      </c>
      <c r="M226" s="851">
        <v>0</v>
      </c>
      <c r="N226" s="853"/>
      <c r="O226" s="839">
        <v>0</v>
      </c>
      <c r="P226" s="851">
        <v>0</v>
      </c>
      <c r="Q226" s="887"/>
      <c r="R226" s="839">
        <v>0</v>
      </c>
      <c r="S226" s="851">
        <v>0</v>
      </c>
      <c r="T226" s="855"/>
      <c r="U226" s="839">
        <v>0</v>
      </c>
      <c r="V226" s="851">
        <v>0</v>
      </c>
      <c r="W226" s="839">
        <v>0</v>
      </c>
      <c r="X226" s="851">
        <v>0</v>
      </c>
      <c r="Y226" s="839">
        <v>0</v>
      </c>
      <c r="Z226" s="851">
        <v>0</v>
      </c>
      <c r="AA226" s="839">
        <v>0</v>
      </c>
      <c r="AB226" s="851">
        <v>0</v>
      </c>
      <c r="AC226" s="839">
        <v>0</v>
      </c>
      <c r="AD226" s="851">
        <v>522</v>
      </c>
      <c r="AE226" s="839">
        <v>309.21091681822662</v>
      </c>
      <c r="AF226" s="851">
        <v>0</v>
      </c>
      <c r="AG226" s="867"/>
      <c r="AH226" s="839">
        <v>444.88882070319545</v>
      </c>
      <c r="AI226" s="851">
        <v>0</v>
      </c>
      <c r="AJ226" s="856"/>
      <c r="AK226" s="839">
        <v>470.67431918363008</v>
      </c>
      <c r="AL226" s="851">
        <v>0</v>
      </c>
      <c r="AM226" s="856"/>
      <c r="AN226" s="839">
        <v>0</v>
      </c>
      <c r="AO226" s="851">
        <v>0</v>
      </c>
      <c r="AP226" s="856"/>
      <c r="AQ226" s="839">
        <v>0</v>
      </c>
      <c r="AR226" s="851">
        <v>0</v>
      </c>
      <c r="AS226" s="856"/>
      <c r="AT226" s="839">
        <v>179.51810429532154</v>
      </c>
      <c r="AU226" s="851">
        <v>1214</v>
      </c>
      <c r="AV226" s="856"/>
      <c r="AW226" s="839">
        <v>0</v>
      </c>
      <c r="AX226" s="851">
        <v>0</v>
      </c>
      <c r="AY226" s="856"/>
      <c r="AZ226" s="845">
        <v>1404.2921610003737</v>
      </c>
      <c r="BA226" s="845">
        <v>1214</v>
      </c>
      <c r="BB226" s="846">
        <v>-190.29216100037365</v>
      </c>
      <c r="BD226" s="2">
        <v>2</v>
      </c>
      <c r="BF226" s="787">
        <v>12.508304402048269</v>
      </c>
      <c r="BG226" s="325">
        <v>150001045</v>
      </c>
      <c r="BI226" s="847">
        <v>0</v>
      </c>
      <c r="BJ226" s="847">
        <v>0</v>
      </c>
      <c r="BK226" s="847">
        <v>0</v>
      </c>
      <c r="BL226" s="848"/>
      <c r="BM226" s="3"/>
      <c r="BN226" s="3"/>
      <c r="BP226" s="3"/>
      <c r="BQ226" s="3"/>
      <c r="BS226" s="42" t="s">
        <v>272</v>
      </c>
    </row>
    <row r="227" spans="1:71" ht="24.9" customHeight="1" x14ac:dyDescent="0.3">
      <c r="A227" s="325">
        <v>150001046</v>
      </c>
      <c r="B227" s="849" t="s">
        <v>273</v>
      </c>
      <c r="C227" s="850">
        <v>5</v>
      </c>
      <c r="D227" s="101" t="s">
        <v>455</v>
      </c>
      <c r="E227" s="279">
        <v>2681.5</v>
      </c>
      <c r="F227" s="838">
        <v>5075.1058847571803</v>
      </c>
      <c r="G227" s="838">
        <v>390</v>
      </c>
      <c r="H227" s="838">
        <v>-4685.1058847571803</v>
      </c>
      <c r="I227" s="839">
        <v>0</v>
      </c>
      <c r="J227" s="851">
        <v>0</v>
      </c>
      <c r="K227" s="871"/>
      <c r="L227" s="839">
        <v>0</v>
      </c>
      <c r="M227" s="851">
        <v>0</v>
      </c>
      <c r="N227" s="853"/>
      <c r="O227" s="839">
        <v>0</v>
      </c>
      <c r="P227" s="851">
        <v>0</v>
      </c>
      <c r="Q227" s="854"/>
      <c r="R227" s="839">
        <v>0</v>
      </c>
      <c r="S227" s="851">
        <v>0</v>
      </c>
      <c r="T227" s="855"/>
      <c r="U227" s="839">
        <v>0</v>
      </c>
      <c r="V227" s="851">
        <v>0</v>
      </c>
      <c r="W227" s="839">
        <v>0</v>
      </c>
      <c r="X227" s="851">
        <v>0</v>
      </c>
      <c r="Y227" s="839">
        <v>0</v>
      </c>
      <c r="Z227" s="851">
        <v>0</v>
      </c>
      <c r="AA227" s="839">
        <v>0</v>
      </c>
      <c r="AB227" s="851">
        <v>0</v>
      </c>
      <c r="AC227" s="839">
        <v>0</v>
      </c>
      <c r="AD227" s="851">
        <v>390</v>
      </c>
      <c r="AE227" s="839">
        <v>227.2230240106725</v>
      </c>
      <c r="AF227" s="851">
        <v>0</v>
      </c>
      <c r="AG227" s="857"/>
      <c r="AH227" s="839">
        <v>387.87318468845865</v>
      </c>
      <c r="AI227" s="851">
        <v>0</v>
      </c>
      <c r="AJ227" s="856"/>
      <c r="AK227" s="839">
        <v>299.02802678329249</v>
      </c>
      <c r="AL227" s="851">
        <v>0</v>
      </c>
      <c r="AM227" s="856"/>
      <c r="AN227" s="839">
        <v>0</v>
      </c>
      <c r="AO227" s="851">
        <v>0</v>
      </c>
      <c r="AP227" s="856"/>
      <c r="AQ227" s="839">
        <v>0</v>
      </c>
      <c r="AR227" s="851">
        <v>0</v>
      </c>
      <c r="AS227" s="856"/>
      <c r="AT227" s="839">
        <v>130.49535443444742</v>
      </c>
      <c r="AU227" s="851">
        <v>711</v>
      </c>
      <c r="AV227" s="856"/>
      <c r="AW227" s="839">
        <v>0</v>
      </c>
      <c r="AX227" s="851">
        <v>0</v>
      </c>
      <c r="AY227" s="856"/>
      <c r="AZ227" s="845">
        <v>1044.6195899168711</v>
      </c>
      <c r="BA227" s="845">
        <v>711</v>
      </c>
      <c r="BB227" s="846">
        <v>-333.61958991687106</v>
      </c>
      <c r="BD227" s="2">
        <v>2</v>
      </c>
      <c r="BF227" s="787">
        <v>9.2533084308138704</v>
      </c>
      <c r="BG227" s="325">
        <v>150001046</v>
      </c>
      <c r="BI227" s="847">
        <v>0</v>
      </c>
      <c r="BJ227" s="847">
        <v>0</v>
      </c>
      <c r="BK227" s="847">
        <v>0</v>
      </c>
      <c r="BL227" s="848"/>
      <c r="BM227" s="3"/>
      <c r="BN227" s="3"/>
      <c r="BP227" s="3"/>
      <c r="BQ227" s="3"/>
      <c r="BS227" s="42" t="s">
        <v>273</v>
      </c>
    </row>
    <row r="228" spans="1:71" ht="24.9" customHeight="1" x14ac:dyDescent="0.3">
      <c r="A228" s="325">
        <v>150001040</v>
      </c>
      <c r="B228" s="849" t="s">
        <v>217</v>
      </c>
      <c r="C228" s="850">
        <v>4</v>
      </c>
      <c r="D228" s="101" t="s">
        <v>455</v>
      </c>
      <c r="E228" s="279">
        <v>2483.1999999999998</v>
      </c>
      <c r="F228" s="838">
        <v>6894.6143675661087</v>
      </c>
      <c r="G228" s="838">
        <v>6694</v>
      </c>
      <c r="H228" s="838">
        <v>-200.61436756610874</v>
      </c>
      <c r="I228" s="839">
        <v>0</v>
      </c>
      <c r="J228" s="851">
        <v>6042</v>
      </c>
      <c r="K228" s="852"/>
      <c r="L228" s="839">
        <v>0</v>
      </c>
      <c r="M228" s="851">
        <v>0</v>
      </c>
      <c r="N228" s="853"/>
      <c r="O228" s="839">
        <v>0</v>
      </c>
      <c r="P228" s="851">
        <v>0</v>
      </c>
      <c r="Q228" s="854"/>
      <c r="R228" s="839">
        <v>0</v>
      </c>
      <c r="S228" s="851">
        <v>0</v>
      </c>
      <c r="T228" s="855"/>
      <c r="U228" s="839">
        <v>0</v>
      </c>
      <c r="V228" s="851">
        <v>0</v>
      </c>
      <c r="W228" s="839">
        <v>0</v>
      </c>
      <c r="X228" s="851">
        <v>0</v>
      </c>
      <c r="Y228" s="839">
        <v>0</v>
      </c>
      <c r="Z228" s="851">
        <v>0</v>
      </c>
      <c r="AA228" s="839">
        <v>0</v>
      </c>
      <c r="AB228" s="851">
        <v>0</v>
      </c>
      <c r="AC228" s="839">
        <v>0</v>
      </c>
      <c r="AD228" s="851">
        <v>652</v>
      </c>
      <c r="AE228" s="839">
        <v>268.63508955986697</v>
      </c>
      <c r="AF228" s="851">
        <v>0</v>
      </c>
      <c r="AG228" s="857"/>
      <c r="AH228" s="839">
        <v>489.43497576070069</v>
      </c>
      <c r="AI228" s="851">
        <v>0</v>
      </c>
      <c r="AJ228" s="856"/>
      <c r="AK228" s="839">
        <v>246.53671761751028</v>
      </c>
      <c r="AL228" s="851">
        <v>0</v>
      </c>
      <c r="AM228" s="856"/>
      <c r="AN228" s="839">
        <v>0</v>
      </c>
      <c r="AO228" s="851">
        <v>0</v>
      </c>
      <c r="AP228" s="856"/>
      <c r="AQ228" s="839">
        <v>0</v>
      </c>
      <c r="AR228" s="851">
        <v>0</v>
      </c>
      <c r="AS228" s="856"/>
      <c r="AT228" s="839">
        <v>222.83021985135576</v>
      </c>
      <c r="AU228" s="851">
        <v>0</v>
      </c>
      <c r="AV228" s="856"/>
      <c r="AW228" s="839">
        <v>0</v>
      </c>
      <c r="AX228" s="851">
        <v>0</v>
      </c>
      <c r="AY228" s="856"/>
      <c r="AZ228" s="845">
        <v>1227.4370027894338</v>
      </c>
      <c r="BA228" s="845">
        <v>0</v>
      </c>
      <c r="BB228" s="846">
        <v>-1227.4370027894338</v>
      </c>
      <c r="BD228" s="2">
        <v>2</v>
      </c>
      <c r="BF228" s="787">
        <v>189.85469692823102</v>
      </c>
      <c r="BG228" s="325">
        <v>150001040</v>
      </c>
      <c r="BI228" s="847">
        <v>0</v>
      </c>
      <c r="BJ228" s="847">
        <v>0</v>
      </c>
      <c r="BK228" s="847">
        <v>0</v>
      </c>
      <c r="BL228" s="848"/>
      <c r="BM228" s="3"/>
      <c r="BN228" s="3"/>
      <c r="BP228" s="3"/>
      <c r="BQ228" s="3"/>
      <c r="BS228" s="42" t="s">
        <v>217</v>
      </c>
    </row>
    <row r="229" spans="1:71" ht="24.9" customHeight="1" x14ac:dyDescent="0.3">
      <c r="A229" s="325">
        <v>150001047</v>
      </c>
      <c r="B229" s="849" t="s">
        <v>180</v>
      </c>
      <c r="C229" s="850">
        <v>2</v>
      </c>
      <c r="D229" s="101" t="s">
        <v>455</v>
      </c>
      <c r="E229" s="279">
        <v>762.81000000000006</v>
      </c>
      <c r="F229" s="838">
        <v>1645.8035773027812</v>
      </c>
      <c r="G229" s="838">
        <v>130</v>
      </c>
      <c r="H229" s="838">
        <v>-1515.8035773027812</v>
      </c>
      <c r="I229" s="839">
        <v>0</v>
      </c>
      <c r="J229" s="851">
        <v>0</v>
      </c>
      <c r="K229" s="852"/>
      <c r="L229" s="839">
        <v>0</v>
      </c>
      <c r="M229" s="851">
        <v>0</v>
      </c>
      <c r="N229" s="853"/>
      <c r="O229" s="839">
        <v>0</v>
      </c>
      <c r="P229" s="851">
        <v>0</v>
      </c>
      <c r="Q229" s="854"/>
      <c r="R229" s="839">
        <v>0</v>
      </c>
      <c r="S229" s="851">
        <v>0</v>
      </c>
      <c r="T229" s="855"/>
      <c r="U229" s="839">
        <v>0</v>
      </c>
      <c r="V229" s="851">
        <v>0</v>
      </c>
      <c r="W229" s="839">
        <v>0</v>
      </c>
      <c r="X229" s="851">
        <v>0</v>
      </c>
      <c r="Y229" s="839">
        <v>0</v>
      </c>
      <c r="Z229" s="851">
        <v>0</v>
      </c>
      <c r="AA229" s="839">
        <v>0</v>
      </c>
      <c r="AB229" s="851">
        <v>0</v>
      </c>
      <c r="AC229" s="839">
        <v>0</v>
      </c>
      <c r="AD229" s="851">
        <v>130</v>
      </c>
      <c r="AE229" s="839">
        <v>82.667714407915298</v>
      </c>
      <c r="AF229" s="851">
        <v>0</v>
      </c>
      <c r="AG229" s="856"/>
      <c r="AH229" s="839">
        <v>91.180310614088697</v>
      </c>
      <c r="AI229" s="851">
        <v>0</v>
      </c>
      <c r="AJ229" s="856"/>
      <c r="AK229" s="839">
        <v>83.006215262450169</v>
      </c>
      <c r="AL229" s="851">
        <v>0</v>
      </c>
      <c r="AM229" s="856"/>
      <c r="AN229" s="839">
        <v>0</v>
      </c>
      <c r="AO229" s="851">
        <v>0</v>
      </c>
      <c r="AP229" s="856"/>
      <c r="AQ229" s="839">
        <v>0</v>
      </c>
      <c r="AR229" s="851">
        <v>0</v>
      </c>
      <c r="AS229" s="856"/>
      <c r="AT229" s="839">
        <v>14.381053614686898</v>
      </c>
      <c r="AU229" s="851">
        <v>0</v>
      </c>
      <c r="AV229" s="857"/>
      <c r="AW229" s="839">
        <v>0</v>
      </c>
      <c r="AX229" s="851">
        <v>0</v>
      </c>
      <c r="AY229" s="856"/>
      <c r="AZ229" s="845">
        <v>271.23529389914103</v>
      </c>
      <c r="BA229" s="845">
        <v>0</v>
      </c>
      <c r="BB229" s="846">
        <v>-271.23529389914103</v>
      </c>
      <c r="BD229" s="2">
        <v>2</v>
      </c>
      <c r="BF229" s="787">
        <v>2.6715552795538127</v>
      </c>
      <c r="BG229" s="325">
        <v>150001047</v>
      </c>
      <c r="BI229" s="847">
        <v>0</v>
      </c>
      <c r="BJ229" s="847">
        <v>0</v>
      </c>
      <c r="BK229" s="847">
        <v>0</v>
      </c>
      <c r="BL229" s="848"/>
      <c r="BM229" s="3"/>
      <c r="BN229" s="3"/>
      <c r="BP229" s="3"/>
      <c r="BQ229" s="3"/>
      <c r="BS229" s="42" t="s">
        <v>180</v>
      </c>
    </row>
    <row r="230" spans="1:71" ht="24.9" customHeight="1" x14ac:dyDescent="0.3">
      <c r="A230" s="325">
        <v>150001048</v>
      </c>
      <c r="B230" s="862" t="s">
        <v>126</v>
      </c>
      <c r="C230" s="863">
        <v>1</v>
      </c>
      <c r="D230" s="101" t="s">
        <v>455</v>
      </c>
      <c r="E230" s="279">
        <v>63</v>
      </c>
      <c r="F230" s="838">
        <v>188.58160580956394</v>
      </c>
      <c r="G230" s="838">
        <v>0</v>
      </c>
      <c r="H230" s="838">
        <v>-188.58160580956394</v>
      </c>
      <c r="I230" s="839">
        <v>0</v>
      </c>
      <c r="J230" s="851">
        <v>0</v>
      </c>
      <c r="K230" s="852"/>
      <c r="L230" s="839">
        <v>0</v>
      </c>
      <c r="M230" s="851">
        <v>0</v>
      </c>
      <c r="N230" s="853"/>
      <c r="O230" s="839">
        <v>0</v>
      </c>
      <c r="P230" s="851">
        <v>0</v>
      </c>
      <c r="Q230" s="854"/>
      <c r="R230" s="839">
        <v>0</v>
      </c>
      <c r="S230" s="851">
        <v>0</v>
      </c>
      <c r="T230" s="855"/>
      <c r="U230" s="839">
        <v>0</v>
      </c>
      <c r="V230" s="851">
        <v>0</v>
      </c>
      <c r="W230" s="839">
        <v>0</v>
      </c>
      <c r="X230" s="851">
        <v>0</v>
      </c>
      <c r="Y230" s="839">
        <v>0</v>
      </c>
      <c r="Z230" s="851">
        <v>0</v>
      </c>
      <c r="AA230" s="839">
        <v>0</v>
      </c>
      <c r="AB230" s="851">
        <v>0</v>
      </c>
      <c r="AC230" s="839">
        <v>0</v>
      </c>
      <c r="AD230" s="851">
        <v>0</v>
      </c>
      <c r="AE230" s="839">
        <v>0</v>
      </c>
      <c r="AF230" s="851">
        <v>0</v>
      </c>
      <c r="AG230" s="856"/>
      <c r="AH230" s="839">
        <v>0</v>
      </c>
      <c r="AI230" s="851">
        <v>0</v>
      </c>
      <c r="AJ230" s="856"/>
      <c r="AK230" s="839">
        <v>0</v>
      </c>
      <c r="AL230" s="851">
        <v>0</v>
      </c>
      <c r="AM230" s="856"/>
      <c r="AN230" s="839">
        <v>0</v>
      </c>
      <c r="AO230" s="851">
        <v>0</v>
      </c>
      <c r="AP230" s="856"/>
      <c r="AQ230" s="839">
        <v>0</v>
      </c>
      <c r="AR230" s="851">
        <v>0</v>
      </c>
      <c r="AS230" s="856"/>
      <c r="AT230" s="839">
        <v>0</v>
      </c>
      <c r="AU230" s="851">
        <v>0</v>
      </c>
      <c r="AV230" s="856"/>
      <c r="AW230" s="839">
        <v>0</v>
      </c>
      <c r="AX230" s="851">
        <v>0</v>
      </c>
      <c r="AY230" s="856"/>
      <c r="AZ230" s="845">
        <v>0</v>
      </c>
      <c r="BA230" s="845">
        <v>0</v>
      </c>
      <c r="BB230" s="846">
        <v>0</v>
      </c>
      <c r="BD230" s="2">
        <v>2</v>
      </c>
      <c r="BF230" s="787">
        <v>0</v>
      </c>
      <c r="BG230" s="325">
        <v>150001048</v>
      </c>
      <c r="BI230" s="847">
        <v>0</v>
      </c>
      <c r="BJ230" s="847">
        <v>0</v>
      </c>
      <c r="BK230" s="847">
        <v>0</v>
      </c>
      <c r="BL230" s="848"/>
      <c r="BM230" s="3"/>
      <c r="BN230" s="3"/>
      <c r="BP230" s="3"/>
      <c r="BQ230" s="3"/>
      <c r="BS230" s="42" t="s">
        <v>126</v>
      </c>
    </row>
    <row r="231" spans="1:71" ht="24.9" customHeight="1" x14ac:dyDescent="0.3">
      <c r="A231" s="325">
        <v>150001049</v>
      </c>
      <c r="B231" s="849" t="s">
        <v>181</v>
      </c>
      <c r="C231" s="850">
        <v>2</v>
      </c>
      <c r="D231" s="101" t="s">
        <v>455</v>
      </c>
      <c r="E231" s="279">
        <v>253.7</v>
      </c>
      <c r="F231" s="838">
        <v>600.36541364669756</v>
      </c>
      <c r="G231" s="838">
        <v>130</v>
      </c>
      <c r="H231" s="838">
        <v>-470.36541364669756</v>
      </c>
      <c r="I231" s="839">
        <v>0</v>
      </c>
      <c r="J231" s="851">
        <v>0</v>
      </c>
      <c r="K231" s="852"/>
      <c r="L231" s="839">
        <v>0</v>
      </c>
      <c r="M231" s="851">
        <v>0</v>
      </c>
      <c r="N231" s="853"/>
      <c r="O231" s="839">
        <v>0</v>
      </c>
      <c r="P231" s="851">
        <v>0</v>
      </c>
      <c r="Q231" s="854"/>
      <c r="R231" s="839">
        <v>0</v>
      </c>
      <c r="S231" s="851">
        <v>0</v>
      </c>
      <c r="T231" s="855"/>
      <c r="U231" s="839">
        <v>0</v>
      </c>
      <c r="V231" s="851">
        <v>0</v>
      </c>
      <c r="W231" s="839">
        <v>0</v>
      </c>
      <c r="X231" s="851">
        <v>0</v>
      </c>
      <c r="Y231" s="839">
        <v>0</v>
      </c>
      <c r="Z231" s="851">
        <v>0</v>
      </c>
      <c r="AA231" s="839">
        <v>0</v>
      </c>
      <c r="AB231" s="851">
        <v>0</v>
      </c>
      <c r="AC231" s="839">
        <v>0</v>
      </c>
      <c r="AD231" s="851">
        <v>130</v>
      </c>
      <c r="AE231" s="839">
        <v>42.947547082987398</v>
      </c>
      <c r="AF231" s="851">
        <v>0</v>
      </c>
      <c r="AG231" s="856"/>
      <c r="AH231" s="839">
        <v>49.86802425262438</v>
      </c>
      <c r="AI231" s="851">
        <v>0</v>
      </c>
      <c r="AJ231" s="856"/>
      <c r="AK231" s="839">
        <v>0</v>
      </c>
      <c r="AL231" s="851">
        <v>0</v>
      </c>
      <c r="AM231" s="856"/>
      <c r="AN231" s="839">
        <v>0</v>
      </c>
      <c r="AO231" s="851">
        <v>0</v>
      </c>
      <c r="AP231" s="856"/>
      <c r="AQ231" s="839">
        <v>0</v>
      </c>
      <c r="AR231" s="851">
        <v>0</v>
      </c>
      <c r="AS231" s="856"/>
      <c r="AT231" s="839">
        <v>9.8614077016833726</v>
      </c>
      <c r="AU231" s="851">
        <v>0</v>
      </c>
      <c r="AV231" s="856"/>
      <c r="AW231" s="839">
        <v>0</v>
      </c>
      <c r="AX231" s="851">
        <v>0</v>
      </c>
      <c r="AY231" s="856"/>
      <c r="AZ231" s="845">
        <v>102.67697903729515</v>
      </c>
      <c r="BA231" s="845">
        <v>0</v>
      </c>
      <c r="BB231" s="846">
        <v>-102.67697903729515</v>
      </c>
      <c r="BD231" s="2">
        <v>2</v>
      </c>
      <c r="BF231" s="787">
        <v>0.88852214106107963</v>
      </c>
      <c r="BG231" s="325">
        <v>150001049</v>
      </c>
      <c r="BI231" s="847">
        <v>0</v>
      </c>
      <c r="BJ231" s="847">
        <v>0</v>
      </c>
      <c r="BK231" s="847">
        <v>0</v>
      </c>
      <c r="BL231" s="848"/>
      <c r="BM231" s="3"/>
      <c r="BN231" s="3"/>
      <c r="BP231" s="3"/>
      <c r="BQ231" s="3"/>
      <c r="BS231" s="42" t="s">
        <v>181</v>
      </c>
    </row>
    <row r="232" spans="1:71" ht="24.9" customHeight="1" x14ac:dyDescent="0.3">
      <c r="A232" s="325">
        <v>150001041</v>
      </c>
      <c r="B232" s="849" t="s">
        <v>197</v>
      </c>
      <c r="C232" s="850">
        <v>3</v>
      </c>
      <c r="D232" s="101" t="s">
        <v>455</v>
      </c>
      <c r="E232" s="279">
        <v>601.4</v>
      </c>
      <c r="F232" s="838">
        <v>1376.2265766356456</v>
      </c>
      <c r="G232" s="838">
        <v>130</v>
      </c>
      <c r="H232" s="838">
        <v>-1246.2265766356456</v>
      </c>
      <c r="I232" s="839">
        <v>0</v>
      </c>
      <c r="J232" s="851">
        <v>0</v>
      </c>
      <c r="K232" s="852"/>
      <c r="L232" s="839">
        <v>0</v>
      </c>
      <c r="M232" s="851">
        <v>0</v>
      </c>
      <c r="N232" s="853"/>
      <c r="O232" s="839">
        <v>0</v>
      </c>
      <c r="P232" s="851">
        <v>0</v>
      </c>
      <c r="Q232" s="854"/>
      <c r="R232" s="839">
        <v>0</v>
      </c>
      <c r="S232" s="851">
        <v>0</v>
      </c>
      <c r="T232" s="855"/>
      <c r="U232" s="839">
        <v>0</v>
      </c>
      <c r="V232" s="851">
        <v>0</v>
      </c>
      <c r="W232" s="839">
        <v>0</v>
      </c>
      <c r="X232" s="851">
        <v>0</v>
      </c>
      <c r="Y232" s="839">
        <v>0</v>
      </c>
      <c r="Z232" s="851">
        <v>0</v>
      </c>
      <c r="AA232" s="839">
        <v>0</v>
      </c>
      <c r="AB232" s="851">
        <v>0</v>
      </c>
      <c r="AC232" s="839">
        <v>0</v>
      </c>
      <c r="AD232" s="851">
        <v>130</v>
      </c>
      <c r="AE232" s="839">
        <v>74.400935727157275</v>
      </c>
      <c r="AF232" s="851">
        <v>0</v>
      </c>
      <c r="AG232" s="856"/>
      <c r="AH232" s="839">
        <v>79.235345521027114</v>
      </c>
      <c r="AI232" s="851">
        <v>0</v>
      </c>
      <c r="AJ232" s="856"/>
      <c r="AK232" s="839">
        <v>68.280931052039634</v>
      </c>
      <c r="AL232" s="851">
        <v>0</v>
      </c>
      <c r="AM232" s="856"/>
      <c r="AN232" s="839">
        <v>0</v>
      </c>
      <c r="AO232" s="851">
        <v>0</v>
      </c>
      <c r="AP232" s="856"/>
      <c r="AQ232" s="839">
        <v>0</v>
      </c>
      <c r="AR232" s="851">
        <v>0</v>
      </c>
      <c r="AS232" s="856"/>
      <c r="AT232" s="839">
        <v>14.743558598792214</v>
      </c>
      <c r="AU232" s="851">
        <v>0</v>
      </c>
      <c r="AV232" s="856"/>
      <c r="AW232" s="839">
        <v>0</v>
      </c>
      <c r="AX232" s="851">
        <v>0</v>
      </c>
      <c r="AY232" s="856"/>
      <c r="AZ232" s="845">
        <v>236.66077089901626</v>
      </c>
      <c r="BA232" s="845">
        <v>0</v>
      </c>
      <c r="BB232" s="846">
        <v>-236.66077089901626</v>
      </c>
      <c r="BD232" s="2">
        <v>2</v>
      </c>
      <c r="BF232" s="787">
        <v>2.1062562697443172</v>
      </c>
      <c r="BG232" s="325">
        <v>150001041</v>
      </c>
      <c r="BI232" s="847">
        <v>0</v>
      </c>
      <c r="BJ232" s="847">
        <v>0</v>
      </c>
      <c r="BK232" s="847">
        <v>0</v>
      </c>
      <c r="BL232" s="848"/>
      <c r="BM232" s="3"/>
      <c r="BN232" s="3"/>
      <c r="BP232" s="3"/>
      <c r="BQ232" s="3"/>
      <c r="BS232" s="42" t="s">
        <v>197</v>
      </c>
    </row>
    <row r="233" spans="1:71" ht="24.9" customHeight="1" x14ac:dyDescent="0.3">
      <c r="A233" s="325">
        <v>150001042</v>
      </c>
      <c r="B233" s="849" t="s">
        <v>182</v>
      </c>
      <c r="C233" s="850">
        <v>2</v>
      </c>
      <c r="D233" s="101" t="s">
        <v>455</v>
      </c>
      <c r="E233" s="279">
        <v>427.1</v>
      </c>
      <c r="F233" s="838">
        <v>824.54031171835345</v>
      </c>
      <c r="G233" s="838">
        <v>261</v>
      </c>
      <c r="H233" s="838">
        <v>-563.54031171835345</v>
      </c>
      <c r="I233" s="839">
        <v>0</v>
      </c>
      <c r="J233" s="851">
        <v>0</v>
      </c>
      <c r="K233" s="852"/>
      <c r="L233" s="839">
        <v>0</v>
      </c>
      <c r="M233" s="851">
        <v>0</v>
      </c>
      <c r="N233" s="873"/>
      <c r="O233" s="839">
        <v>0</v>
      </c>
      <c r="P233" s="851">
        <v>0</v>
      </c>
      <c r="Q233" s="854"/>
      <c r="R233" s="839">
        <v>0</v>
      </c>
      <c r="S233" s="851">
        <v>0</v>
      </c>
      <c r="T233" s="855"/>
      <c r="U233" s="839">
        <v>0</v>
      </c>
      <c r="V233" s="851">
        <v>0</v>
      </c>
      <c r="W233" s="839">
        <v>0</v>
      </c>
      <c r="X233" s="851">
        <v>0</v>
      </c>
      <c r="Y233" s="839">
        <v>0</v>
      </c>
      <c r="Z233" s="851">
        <v>0</v>
      </c>
      <c r="AA233" s="839">
        <v>0</v>
      </c>
      <c r="AB233" s="851">
        <v>0</v>
      </c>
      <c r="AC233" s="839">
        <v>0</v>
      </c>
      <c r="AD233" s="851">
        <v>261</v>
      </c>
      <c r="AE233" s="839">
        <v>71.960731953791409</v>
      </c>
      <c r="AF233" s="851">
        <v>0</v>
      </c>
      <c r="AG233" s="856"/>
      <c r="AH233" s="839">
        <v>89.509926552956031</v>
      </c>
      <c r="AI233" s="851">
        <v>0</v>
      </c>
      <c r="AJ233" s="856"/>
      <c r="AK233" s="839">
        <v>47.277902860351134</v>
      </c>
      <c r="AL233" s="851">
        <v>0</v>
      </c>
      <c r="AM233" s="856"/>
      <c r="AN233" s="839">
        <v>0</v>
      </c>
      <c r="AO233" s="851">
        <v>0</v>
      </c>
      <c r="AP233" s="856"/>
      <c r="AQ233" s="839">
        <v>0</v>
      </c>
      <c r="AR233" s="851">
        <v>0</v>
      </c>
      <c r="AS233" s="856"/>
      <c r="AT233" s="839">
        <v>19.771277081972755</v>
      </c>
      <c r="AU233" s="851">
        <v>0</v>
      </c>
      <c r="AV233" s="856"/>
      <c r="AW233" s="839">
        <v>0</v>
      </c>
      <c r="AX233" s="851">
        <v>0</v>
      </c>
      <c r="AY233" s="856"/>
      <c r="AZ233" s="845">
        <v>228.51983844907133</v>
      </c>
      <c r="BA233" s="845">
        <v>0</v>
      </c>
      <c r="BB233" s="846">
        <v>-228.51983844907133</v>
      </c>
      <c r="BD233" s="2">
        <v>2</v>
      </c>
      <c r="BF233" s="787">
        <v>1.4958131905683372</v>
      </c>
      <c r="BG233" s="325">
        <v>150001042</v>
      </c>
      <c r="BI233" s="847">
        <v>0</v>
      </c>
      <c r="BJ233" s="847">
        <v>0</v>
      </c>
      <c r="BK233" s="847">
        <v>0</v>
      </c>
      <c r="BL233" s="848"/>
      <c r="BM233" s="3"/>
      <c r="BN233" s="3"/>
      <c r="BP233" s="3"/>
      <c r="BQ233" s="3"/>
      <c r="BS233" s="42" t="s">
        <v>182</v>
      </c>
    </row>
    <row r="234" spans="1:71" ht="24.9" customHeight="1" x14ac:dyDescent="0.3">
      <c r="A234" s="325">
        <v>150001043</v>
      </c>
      <c r="B234" s="849" t="s">
        <v>218</v>
      </c>
      <c r="C234" s="850">
        <v>4</v>
      </c>
      <c r="D234" s="101" t="s">
        <v>455</v>
      </c>
      <c r="E234" s="279">
        <v>1282.0999999999999</v>
      </c>
      <c r="F234" s="838">
        <v>2022.5811832907536</v>
      </c>
      <c r="G234" s="838">
        <v>261</v>
      </c>
      <c r="H234" s="838">
        <v>-1761.5811832907536</v>
      </c>
      <c r="I234" s="839">
        <v>0</v>
      </c>
      <c r="J234" s="851">
        <v>0</v>
      </c>
      <c r="K234" s="859"/>
      <c r="L234" s="839">
        <v>0</v>
      </c>
      <c r="M234" s="851">
        <v>0</v>
      </c>
      <c r="N234" s="853"/>
      <c r="O234" s="839">
        <v>0</v>
      </c>
      <c r="P234" s="851">
        <v>0</v>
      </c>
      <c r="Q234" s="854"/>
      <c r="R234" s="839">
        <v>0</v>
      </c>
      <c r="S234" s="851">
        <v>0</v>
      </c>
      <c r="T234" s="855"/>
      <c r="U234" s="839">
        <v>0</v>
      </c>
      <c r="V234" s="851">
        <v>0</v>
      </c>
      <c r="W234" s="839">
        <v>0</v>
      </c>
      <c r="X234" s="851">
        <v>0</v>
      </c>
      <c r="Y234" s="839">
        <v>0</v>
      </c>
      <c r="Z234" s="851">
        <v>0</v>
      </c>
      <c r="AA234" s="839">
        <v>0</v>
      </c>
      <c r="AB234" s="851">
        <v>0</v>
      </c>
      <c r="AC234" s="839">
        <v>0</v>
      </c>
      <c r="AD234" s="851">
        <v>261</v>
      </c>
      <c r="AE234" s="839">
        <v>138.25758637960135</v>
      </c>
      <c r="AF234" s="851">
        <v>0</v>
      </c>
      <c r="AG234" s="856"/>
      <c r="AH234" s="839">
        <v>195.76233491122258</v>
      </c>
      <c r="AI234" s="851">
        <v>0</v>
      </c>
      <c r="AJ234" s="856"/>
      <c r="AK234" s="839">
        <v>144.91736678168084</v>
      </c>
      <c r="AL234" s="851">
        <v>0</v>
      </c>
      <c r="AM234" s="856"/>
      <c r="AN234" s="839">
        <v>0</v>
      </c>
      <c r="AO234" s="851">
        <v>0</v>
      </c>
      <c r="AP234" s="856"/>
      <c r="AQ234" s="839">
        <v>0</v>
      </c>
      <c r="AR234" s="851">
        <v>0</v>
      </c>
      <c r="AS234" s="856"/>
      <c r="AT234" s="839">
        <v>58.242082060788206</v>
      </c>
      <c r="AU234" s="851">
        <v>0</v>
      </c>
      <c r="AV234" s="856"/>
      <c r="AW234" s="839">
        <v>0</v>
      </c>
      <c r="AX234" s="851">
        <v>0</v>
      </c>
      <c r="AY234" s="856"/>
      <c r="AZ234" s="845">
        <v>537.17937013329299</v>
      </c>
      <c r="BA234" s="845">
        <v>0</v>
      </c>
      <c r="BB234" s="846">
        <v>-537.17937013329299</v>
      </c>
      <c r="BD234" s="2">
        <v>2</v>
      </c>
      <c r="BF234" s="787">
        <v>4.4902413758549864</v>
      </c>
      <c r="BG234" s="325">
        <v>150001043</v>
      </c>
      <c r="BI234" s="847">
        <v>0</v>
      </c>
      <c r="BJ234" s="847">
        <v>0</v>
      </c>
      <c r="BK234" s="847">
        <v>0</v>
      </c>
      <c r="BL234" s="848"/>
      <c r="BM234" s="3"/>
      <c r="BN234" s="3"/>
      <c r="BP234" s="3"/>
      <c r="BQ234" s="3"/>
      <c r="BS234" s="42" t="s">
        <v>218</v>
      </c>
    </row>
    <row r="235" spans="1:71" ht="24.9" customHeight="1" x14ac:dyDescent="0.3">
      <c r="A235" s="325">
        <v>150000672</v>
      </c>
      <c r="B235" s="880" t="s">
        <v>429</v>
      </c>
      <c r="C235" s="881">
        <v>5</v>
      </c>
      <c r="D235" s="102" t="s">
        <v>851</v>
      </c>
      <c r="E235" s="279">
        <v>3174.5</v>
      </c>
      <c r="F235" s="838">
        <v>7334.9898286120761</v>
      </c>
      <c r="G235" s="838">
        <v>6370.1780420303321</v>
      </c>
      <c r="H235" s="838">
        <v>-964.81178658174395</v>
      </c>
      <c r="I235" s="839">
        <v>0</v>
      </c>
      <c r="J235" s="851">
        <v>0</v>
      </c>
      <c r="K235" s="852"/>
      <c r="L235" s="839">
        <v>0</v>
      </c>
      <c r="M235" s="851">
        <v>0</v>
      </c>
      <c r="N235" s="853"/>
      <c r="O235" s="839">
        <v>0</v>
      </c>
      <c r="P235" s="851">
        <v>0</v>
      </c>
      <c r="Q235" s="854"/>
      <c r="R235" s="839">
        <v>0</v>
      </c>
      <c r="S235" s="851">
        <v>0</v>
      </c>
      <c r="T235" s="855"/>
      <c r="U235" s="839">
        <v>0</v>
      </c>
      <c r="V235" s="851">
        <v>0</v>
      </c>
      <c r="W235" s="839">
        <v>0</v>
      </c>
      <c r="X235" s="851">
        <v>96.178042030332549</v>
      </c>
      <c r="Y235" s="839">
        <v>0</v>
      </c>
      <c r="Z235" s="851">
        <v>0</v>
      </c>
      <c r="AA235" s="839">
        <v>0</v>
      </c>
      <c r="AB235" s="851">
        <v>0</v>
      </c>
      <c r="AC235" s="839">
        <v>0</v>
      </c>
      <c r="AD235" s="851">
        <v>6274</v>
      </c>
      <c r="AE235" s="839">
        <v>338.3518327252624</v>
      </c>
      <c r="AF235" s="851">
        <v>0</v>
      </c>
      <c r="AG235" s="857"/>
      <c r="AH235" s="839">
        <v>553.69522338747106</v>
      </c>
      <c r="AI235" s="851">
        <v>0</v>
      </c>
      <c r="AJ235" s="856"/>
      <c r="AK235" s="839">
        <v>395.83670735449164</v>
      </c>
      <c r="AL235" s="851">
        <v>0</v>
      </c>
      <c r="AM235" s="856"/>
      <c r="AN235" s="839">
        <v>0</v>
      </c>
      <c r="AO235" s="851">
        <v>0</v>
      </c>
      <c r="AP235" s="856"/>
      <c r="AQ235" s="839">
        <v>0</v>
      </c>
      <c r="AR235" s="851">
        <v>0</v>
      </c>
      <c r="AS235" s="856"/>
      <c r="AT235" s="839">
        <v>174.41860241614506</v>
      </c>
      <c r="AU235" s="851">
        <v>0</v>
      </c>
      <c r="AV235" s="856"/>
      <c r="AW235" s="839">
        <v>200.88589227223855</v>
      </c>
      <c r="AX235" s="851">
        <v>0</v>
      </c>
      <c r="AY235" s="856"/>
      <c r="AZ235" s="845">
        <v>1663.1882581556085</v>
      </c>
      <c r="BA235" s="845">
        <v>0</v>
      </c>
      <c r="BB235" s="846">
        <v>-1663.1882581556085</v>
      </c>
      <c r="BD235" s="2">
        <v>2</v>
      </c>
      <c r="BF235" s="787">
        <v>11.256948623565325</v>
      </c>
      <c r="BG235" s="325">
        <v>150000672</v>
      </c>
      <c r="BI235" s="847">
        <v>43.75</v>
      </c>
      <c r="BJ235" s="847">
        <v>4.2933381841015015</v>
      </c>
      <c r="BK235" s="847">
        <v>48.043338184101501</v>
      </c>
      <c r="BL235" s="848"/>
      <c r="BM235" s="3"/>
      <c r="BN235" s="3"/>
      <c r="BP235" s="3"/>
      <c r="BQ235" s="3"/>
      <c r="BS235" s="43" t="s">
        <v>429</v>
      </c>
    </row>
    <row r="236" spans="1:71" ht="24.9" customHeight="1" x14ac:dyDescent="0.3">
      <c r="A236" s="325">
        <v>150000673</v>
      </c>
      <c r="B236" s="849" t="s">
        <v>183</v>
      </c>
      <c r="C236" s="850">
        <v>2</v>
      </c>
      <c r="D236" s="101" t="s">
        <v>455</v>
      </c>
      <c r="E236" s="279">
        <v>603.29999999999995</v>
      </c>
      <c r="F236" s="838">
        <v>1512.9277306976576</v>
      </c>
      <c r="G236" s="838">
        <v>261</v>
      </c>
      <c r="H236" s="838">
        <v>-1251.9277306976576</v>
      </c>
      <c r="I236" s="839">
        <v>0</v>
      </c>
      <c r="J236" s="851">
        <v>0</v>
      </c>
      <c r="K236" s="866"/>
      <c r="L236" s="839">
        <v>0</v>
      </c>
      <c r="M236" s="851">
        <v>0</v>
      </c>
      <c r="N236" s="853"/>
      <c r="O236" s="839">
        <v>0</v>
      </c>
      <c r="P236" s="851">
        <v>0</v>
      </c>
      <c r="Q236" s="854"/>
      <c r="R236" s="839">
        <v>0</v>
      </c>
      <c r="S236" s="851">
        <v>0</v>
      </c>
      <c r="T236" s="855"/>
      <c r="U236" s="839">
        <v>0</v>
      </c>
      <c r="V236" s="851">
        <v>0</v>
      </c>
      <c r="W236" s="839">
        <v>0</v>
      </c>
      <c r="X236" s="851">
        <v>0</v>
      </c>
      <c r="Y236" s="839">
        <v>0</v>
      </c>
      <c r="Z236" s="851">
        <v>0</v>
      </c>
      <c r="AA236" s="839">
        <v>0</v>
      </c>
      <c r="AB236" s="851">
        <v>0</v>
      </c>
      <c r="AC236" s="839">
        <v>0</v>
      </c>
      <c r="AD236" s="851">
        <v>261</v>
      </c>
      <c r="AE236" s="839">
        <v>106.42402557711507</v>
      </c>
      <c r="AF236" s="851">
        <v>0</v>
      </c>
      <c r="AG236" s="856"/>
      <c r="AH236" s="839">
        <v>132.492596975553</v>
      </c>
      <c r="AI236" s="851">
        <v>0</v>
      </c>
      <c r="AJ236" s="856"/>
      <c r="AK236" s="839">
        <v>66.563181804184708</v>
      </c>
      <c r="AL236" s="851">
        <v>0</v>
      </c>
      <c r="AM236" s="856"/>
      <c r="AN236" s="839">
        <v>0</v>
      </c>
      <c r="AO236" s="851">
        <v>0</v>
      </c>
      <c r="AP236" s="856"/>
      <c r="AQ236" s="839">
        <v>0</v>
      </c>
      <c r="AR236" s="851">
        <v>0</v>
      </c>
      <c r="AS236" s="856"/>
      <c r="AT236" s="839">
        <v>19.771301113804686</v>
      </c>
      <c r="AU236" s="851">
        <v>711</v>
      </c>
      <c r="AV236" s="856"/>
      <c r="AW236" s="839">
        <v>0</v>
      </c>
      <c r="AX236" s="851">
        <v>0</v>
      </c>
      <c r="AY236" s="856"/>
      <c r="AZ236" s="845">
        <v>325.25110547065742</v>
      </c>
      <c r="BA236" s="845">
        <v>711</v>
      </c>
      <c r="BB236" s="846">
        <v>385.74889452934258</v>
      </c>
      <c r="BD236" s="2">
        <v>2</v>
      </c>
      <c r="BF236" s="787">
        <v>2.1129105546005098</v>
      </c>
      <c r="BG236" s="325">
        <v>150000673</v>
      </c>
      <c r="BI236" s="847">
        <v>0</v>
      </c>
      <c r="BJ236" s="847">
        <v>0</v>
      </c>
      <c r="BK236" s="847">
        <v>0</v>
      </c>
      <c r="BL236" s="848"/>
      <c r="BM236" s="3"/>
      <c r="BN236" s="3"/>
      <c r="BP236" s="3"/>
      <c r="BQ236" s="3"/>
      <c r="BS236" s="42" t="s">
        <v>183</v>
      </c>
    </row>
    <row r="237" spans="1:71" ht="24.9" customHeight="1" x14ac:dyDescent="0.3">
      <c r="A237" s="325">
        <v>150000676</v>
      </c>
      <c r="B237" s="849" t="s">
        <v>386</v>
      </c>
      <c r="C237" s="850">
        <v>9</v>
      </c>
      <c r="D237" s="101" t="s">
        <v>455</v>
      </c>
      <c r="E237" s="279">
        <v>4198.2</v>
      </c>
      <c r="F237" s="838">
        <v>10751.05370272178</v>
      </c>
      <c r="G237" s="838">
        <v>4519</v>
      </c>
      <c r="H237" s="838">
        <v>-6232.0537027217797</v>
      </c>
      <c r="I237" s="839">
        <v>0</v>
      </c>
      <c r="J237" s="851">
        <v>0</v>
      </c>
      <c r="K237" s="852"/>
      <c r="L237" s="839">
        <v>0</v>
      </c>
      <c r="M237" s="851">
        <v>0</v>
      </c>
      <c r="N237" s="853"/>
      <c r="O237" s="839">
        <v>0</v>
      </c>
      <c r="P237" s="851">
        <v>0</v>
      </c>
      <c r="Q237" s="854"/>
      <c r="R237" s="839">
        <v>1</v>
      </c>
      <c r="S237" s="851">
        <v>3297</v>
      </c>
      <c r="T237" s="870"/>
      <c r="U237" s="839">
        <v>0</v>
      </c>
      <c r="V237" s="851">
        <v>0</v>
      </c>
      <c r="W237" s="839">
        <v>0</v>
      </c>
      <c r="X237" s="851">
        <v>0</v>
      </c>
      <c r="Y237" s="839">
        <v>0</v>
      </c>
      <c r="Z237" s="851">
        <v>0</v>
      </c>
      <c r="AA237" s="839">
        <v>0</v>
      </c>
      <c r="AB237" s="851">
        <v>0</v>
      </c>
      <c r="AC237" s="839">
        <v>0</v>
      </c>
      <c r="AD237" s="851">
        <v>1222</v>
      </c>
      <c r="AE237" s="839">
        <v>205.77312815090349</v>
      </c>
      <c r="AF237" s="851">
        <v>0</v>
      </c>
      <c r="AG237" s="867"/>
      <c r="AH237" s="839">
        <v>262.67571456331655</v>
      </c>
      <c r="AI237" s="851">
        <v>0</v>
      </c>
      <c r="AJ237" s="856"/>
      <c r="AK237" s="839">
        <v>264.85518945278432</v>
      </c>
      <c r="AL237" s="851">
        <v>0</v>
      </c>
      <c r="AM237" s="856"/>
      <c r="AN237" s="839">
        <v>145.72291312674076</v>
      </c>
      <c r="AO237" s="851">
        <v>0</v>
      </c>
      <c r="AP237" s="856"/>
      <c r="AQ237" s="839">
        <v>65.961235315382794</v>
      </c>
      <c r="AR237" s="851">
        <v>0</v>
      </c>
      <c r="AS237" s="856"/>
      <c r="AT237" s="839">
        <v>171.46695994239872</v>
      </c>
      <c r="AU237" s="851">
        <v>0</v>
      </c>
      <c r="AV237" s="856"/>
      <c r="AW237" s="839">
        <v>0</v>
      </c>
      <c r="AX237" s="851">
        <v>0</v>
      </c>
      <c r="AY237" s="856"/>
      <c r="AZ237" s="845">
        <v>1116.4551405515267</v>
      </c>
      <c r="BA237" s="845">
        <v>0</v>
      </c>
      <c r="BB237" s="846">
        <v>-1116.4551405515267</v>
      </c>
      <c r="BD237" s="2">
        <v>2</v>
      </c>
      <c r="BF237" s="787">
        <v>14.703517953554321</v>
      </c>
      <c r="BG237" s="325">
        <v>150000676</v>
      </c>
      <c r="BI237" s="847">
        <v>0</v>
      </c>
      <c r="BJ237" s="847">
        <v>0</v>
      </c>
      <c r="BK237" s="847">
        <v>0</v>
      </c>
      <c r="BL237" s="848"/>
      <c r="BM237" s="3"/>
      <c r="BN237" s="3"/>
      <c r="BP237" s="3"/>
      <c r="BQ237" s="3"/>
      <c r="BS237" s="42" t="s">
        <v>386</v>
      </c>
    </row>
    <row r="238" spans="1:71" ht="24.9" customHeight="1" x14ac:dyDescent="0.3">
      <c r="A238" s="325">
        <v>150000671</v>
      </c>
      <c r="B238" s="862" t="s">
        <v>128</v>
      </c>
      <c r="C238" s="863">
        <v>1</v>
      </c>
      <c r="D238" s="101" t="s">
        <v>455</v>
      </c>
      <c r="E238" s="279">
        <v>229.7</v>
      </c>
      <c r="F238" s="838">
        <v>547.48421012736378</v>
      </c>
      <c r="G238" s="838">
        <v>0</v>
      </c>
      <c r="H238" s="838">
        <v>-547.48421012736378</v>
      </c>
      <c r="I238" s="839">
        <v>0</v>
      </c>
      <c r="J238" s="851">
        <v>0</v>
      </c>
      <c r="K238" s="852"/>
      <c r="L238" s="839">
        <v>0</v>
      </c>
      <c r="M238" s="851">
        <v>0</v>
      </c>
      <c r="N238" s="853"/>
      <c r="O238" s="839">
        <v>0</v>
      </c>
      <c r="P238" s="851">
        <v>0</v>
      </c>
      <c r="Q238" s="854"/>
      <c r="R238" s="839">
        <v>0</v>
      </c>
      <c r="S238" s="851">
        <v>0</v>
      </c>
      <c r="T238" s="855"/>
      <c r="U238" s="839">
        <v>0</v>
      </c>
      <c r="V238" s="851">
        <v>0</v>
      </c>
      <c r="W238" s="839">
        <v>0</v>
      </c>
      <c r="X238" s="851">
        <v>0</v>
      </c>
      <c r="Y238" s="839">
        <v>0</v>
      </c>
      <c r="Z238" s="851">
        <v>0</v>
      </c>
      <c r="AA238" s="839">
        <v>0</v>
      </c>
      <c r="AB238" s="851">
        <v>0</v>
      </c>
      <c r="AC238" s="839">
        <v>0</v>
      </c>
      <c r="AD238" s="851">
        <v>0</v>
      </c>
      <c r="AE238" s="839">
        <v>0</v>
      </c>
      <c r="AF238" s="851">
        <v>0</v>
      </c>
      <c r="AG238" s="856"/>
      <c r="AH238" s="839">
        <v>0</v>
      </c>
      <c r="AI238" s="851">
        <v>0</v>
      </c>
      <c r="AJ238" s="856"/>
      <c r="AK238" s="839">
        <v>0</v>
      </c>
      <c r="AL238" s="851">
        <v>0</v>
      </c>
      <c r="AM238" s="856"/>
      <c r="AN238" s="839">
        <v>0</v>
      </c>
      <c r="AO238" s="851">
        <v>0</v>
      </c>
      <c r="AP238" s="856"/>
      <c r="AQ238" s="839">
        <v>0</v>
      </c>
      <c r="AR238" s="851">
        <v>0</v>
      </c>
      <c r="AS238" s="856"/>
      <c r="AT238" s="839">
        <v>0</v>
      </c>
      <c r="AU238" s="851">
        <v>0</v>
      </c>
      <c r="AV238" s="856"/>
      <c r="AW238" s="839">
        <v>0</v>
      </c>
      <c r="AX238" s="851">
        <v>0</v>
      </c>
      <c r="AY238" s="856"/>
      <c r="AZ238" s="845">
        <v>0</v>
      </c>
      <c r="BA238" s="845">
        <v>0</v>
      </c>
      <c r="BB238" s="846">
        <v>0</v>
      </c>
      <c r="BD238" s="2">
        <v>2</v>
      </c>
      <c r="BF238" s="787">
        <v>0</v>
      </c>
      <c r="BG238" s="325">
        <v>150000671</v>
      </c>
      <c r="BI238" s="847">
        <v>0</v>
      </c>
      <c r="BJ238" s="847">
        <v>0</v>
      </c>
      <c r="BK238" s="847">
        <v>0</v>
      </c>
      <c r="BL238" s="848"/>
      <c r="BM238" s="3"/>
      <c r="BN238" s="3"/>
      <c r="BP238" s="3"/>
      <c r="BQ238" s="3"/>
      <c r="BS238" s="42" t="s">
        <v>128</v>
      </c>
    </row>
    <row r="239" spans="1:71" ht="24.9" customHeight="1" x14ac:dyDescent="0.3">
      <c r="A239" s="325">
        <v>150000726</v>
      </c>
      <c r="B239" s="849" t="s">
        <v>184</v>
      </c>
      <c r="C239" s="850">
        <v>2</v>
      </c>
      <c r="D239" s="101" t="s">
        <v>455</v>
      </c>
      <c r="E239" s="279">
        <v>409.7</v>
      </c>
      <c r="F239" s="838">
        <v>931.67389590225719</v>
      </c>
      <c r="G239" s="838">
        <v>130</v>
      </c>
      <c r="H239" s="838">
        <v>-801.67389590225719</v>
      </c>
      <c r="I239" s="839">
        <v>0</v>
      </c>
      <c r="J239" s="851">
        <v>0</v>
      </c>
      <c r="K239" s="852"/>
      <c r="L239" s="839">
        <v>0</v>
      </c>
      <c r="M239" s="851">
        <v>0</v>
      </c>
      <c r="N239" s="853"/>
      <c r="O239" s="839">
        <v>0</v>
      </c>
      <c r="P239" s="851">
        <v>0</v>
      </c>
      <c r="Q239" s="854"/>
      <c r="R239" s="839">
        <v>0</v>
      </c>
      <c r="S239" s="851">
        <v>0</v>
      </c>
      <c r="T239" s="855"/>
      <c r="U239" s="839">
        <v>0</v>
      </c>
      <c r="V239" s="851">
        <v>0</v>
      </c>
      <c r="W239" s="839">
        <v>0</v>
      </c>
      <c r="X239" s="851">
        <v>0</v>
      </c>
      <c r="Y239" s="839">
        <v>0</v>
      </c>
      <c r="Z239" s="851">
        <v>0</v>
      </c>
      <c r="AA239" s="839">
        <v>0</v>
      </c>
      <c r="AB239" s="851">
        <v>0</v>
      </c>
      <c r="AC239" s="839">
        <v>0</v>
      </c>
      <c r="AD239" s="851">
        <v>130</v>
      </c>
      <c r="AE239" s="839">
        <v>55.047242791802105</v>
      </c>
      <c r="AF239" s="851">
        <v>0</v>
      </c>
      <c r="AG239" s="856"/>
      <c r="AH239" s="839">
        <v>72.08773375891468</v>
      </c>
      <c r="AI239" s="851">
        <v>0</v>
      </c>
      <c r="AJ239" s="856"/>
      <c r="AK239" s="839">
        <v>47.77744413412605</v>
      </c>
      <c r="AL239" s="851">
        <v>0</v>
      </c>
      <c r="AM239" s="856"/>
      <c r="AN239" s="839">
        <v>0</v>
      </c>
      <c r="AO239" s="851">
        <v>0</v>
      </c>
      <c r="AP239" s="856"/>
      <c r="AQ239" s="839">
        <v>0</v>
      </c>
      <c r="AR239" s="851">
        <v>0</v>
      </c>
      <c r="AS239" s="856"/>
      <c r="AT239" s="839">
        <v>13.131198850039331</v>
      </c>
      <c r="AU239" s="851">
        <v>711</v>
      </c>
      <c r="AV239" s="856"/>
      <c r="AW239" s="839">
        <v>0</v>
      </c>
      <c r="AX239" s="851">
        <v>0</v>
      </c>
      <c r="AY239" s="856"/>
      <c r="AZ239" s="845">
        <v>188.04361953488217</v>
      </c>
      <c r="BA239" s="845">
        <v>711</v>
      </c>
      <c r="BB239" s="846">
        <v>522.95638046511783</v>
      </c>
      <c r="BD239" s="2">
        <v>2</v>
      </c>
      <c r="BF239" s="787">
        <v>1.4313716951188935</v>
      </c>
      <c r="BG239" s="325">
        <v>150000726</v>
      </c>
      <c r="BI239" s="847">
        <v>0</v>
      </c>
      <c r="BJ239" s="847">
        <v>0</v>
      </c>
      <c r="BK239" s="847">
        <v>0</v>
      </c>
      <c r="BL239" s="848"/>
      <c r="BM239" s="3"/>
      <c r="BN239" s="3"/>
      <c r="BP239" s="3"/>
      <c r="BQ239" s="3"/>
      <c r="BS239" s="42" t="s">
        <v>184</v>
      </c>
    </row>
    <row r="240" spans="1:71" ht="24.9" customHeight="1" x14ac:dyDescent="0.3">
      <c r="A240" s="325">
        <v>150000728</v>
      </c>
      <c r="B240" s="849" t="s">
        <v>185</v>
      </c>
      <c r="C240" s="850">
        <v>2</v>
      </c>
      <c r="D240" s="101" t="s">
        <v>455</v>
      </c>
      <c r="E240" s="279">
        <v>450.6</v>
      </c>
      <c r="F240" s="838">
        <v>669.94801109952175</v>
      </c>
      <c r="G240" s="838">
        <v>130</v>
      </c>
      <c r="H240" s="838">
        <v>-539.94801109952175</v>
      </c>
      <c r="I240" s="839">
        <v>0</v>
      </c>
      <c r="J240" s="851">
        <v>0</v>
      </c>
      <c r="K240" s="852"/>
      <c r="L240" s="839">
        <v>0</v>
      </c>
      <c r="M240" s="851">
        <v>0</v>
      </c>
      <c r="N240" s="853"/>
      <c r="O240" s="839">
        <v>0</v>
      </c>
      <c r="P240" s="851">
        <v>0</v>
      </c>
      <c r="Q240" s="854"/>
      <c r="R240" s="839">
        <v>0</v>
      </c>
      <c r="S240" s="851">
        <v>0</v>
      </c>
      <c r="T240" s="855"/>
      <c r="U240" s="839">
        <v>0</v>
      </c>
      <c r="V240" s="851">
        <v>0</v>
      </c>
      <c r="W240" s="839">
        <v>0</v>
      </c>
      <c r="X240" s="851">
        <v>0</v>
      </c>
      <c r="Y240" s="839">
        <v>0</v>
      </c>
      <c r="Z240" s="851">
        <v>0</v>
      </c>
      <c r="AA240" s="839">
        <v>0</v>
      </c>
      <c r="AB240" s="851">
        <v>0</v>
      </c>
      <c r="AC240" s="839">
        <v>0</v>
      </c>
      <c r="AD240" s="851">
        <v>130</v>
      </c>
      <c r="AE240" s="839">
        <v>58.218883533051603</v>
      </c>
      <c r="AF240" s="851">
        <v>0</v>
      </c>
      <c r="AG240" s="856"/>
      <c r="AH240" s="839">
        <v>72.08773375891468</v>
      </c>
      <c r="AI240" s="851">
        <v>0</v>
      </c>
      <c r="AJ240" s="856"/>
      <c r="AK240" s="839">
        <v>53.860905364050453</v>
      </c>
      <c r="AL240" s="851">
        <v>0</v>
      </c>
      <c r="AM240" s="856"/>
      <c r="AN240" s="839">
        <v>0</v>
      </c>
      <c r="AO240" s="851">
        <v>0</v>
      </c>
      <c r="AP240" s="856"/>
      <c r="AQ240" s="839">
        <v>0</v>
      </c>
      <c r="AR240" s="851">
        <v>0</v>
      </c>
      <c r="AS240" s="856"/>
      <c r="AT240" s="839">
        <v>13.131198850039331</v>
      </c>
      <c r="AU240" s="851">
        <v>0</v>
      </c>
      <c r="AV240" s="856"/>
      <c r="AW240" s="839">
        <v>0</v>
      </c>
      <c r="AX240" s="851">
        <v>0</v>
      </c>
      <c r="AY240" s="856"/>
      <c r="AZ240" s="845">
        <v>197.29872150605607</v>
      </c>
      <c r="BA240" s="845">
        <v>0</v>
      </c>
      <c r="BB240" s="846">
        <v>-197.29872150605607</v>
      </c>
      <c r="BD240" s="2">
        <v>2</v>
      </c>
      <c r="BF240" s="787">
        <v>1.5781161874738767</v>
      </c>
      <c r="BG240" s="325">
        <v>150000728</v>
      </c>
      <c r="BI240" s="847">
        <v>0</v>
      </c>
      <c r="BJ240" s="847">
        <v>0</v>
      </c>
      <c r="BK240" s="847">
        <v>0</v>
      </c>
      <c r="BL240" s="848"/>
      <c r="BM240" s="3"/>
      <c r="BN240" s="3"/>
      <c r="BP240" s="3"/>
      <c r="BQ240" s="3"/>
      <c r="BS240" s="42" t="s">
        <v>185</v>
      </c>
    </row>
    <row r="241" spans="1:71" ht="24.9" customHeight="1" x14ac:dyDescent="0.3">
      <c r="A241" s="325">
        <v>150000729</v>
      </c>
      <c r="B241" s="849" t="s">
        <v>274</v>
      </c>
      <c r="C241" s="850">
        <v>5</v>
      </c>
      <c r="D241" s="101" t="s">
        <v>455</v>
      </c>
      <c r="E241" s="279">
        <v>2102.6</v>
      </c>
      <c r="F241" s="838">
        <v>4693.1017113782236</v>
      </c>
      <c r="G241" s="838">
        <v>512</v>
      </c>
      <c r="H241" s="838">
        <v>-4181.1017113782236</v>
      </c>
      <c r="I241" s="839">
        <v>0</v>
      </c>
      <c r="J241" s="851">
        <v>0</v>
      </c>
      <c r="K241" s="871"/>
      <c r="L241" s="839">
        <v>0</v>
      </c>
      <c r="M241" s="851">
        <v>0</v>
      </c>
      <c r="N241" s="853"/>
      <c r="O241" s="839">
        <v>0</v>
      </c>
      <c r="P241" s="851">
        <v>0</v>
      </c>
      <c r="Q241" s="854"/>
      <c r="R241" s="839">
        <v>0</v>
      </c>
      <c r="S241" s="851">
        <v>0</v>
      </c>
      <c r="T241" s="855"/>
      <c r="U241" s="839">
        <v>0</v>
      </c>
      <c r="V241" s="851">
        <v>0</v>
      </c>
      <c r="W241" s="839">
        <v>0</v>
      </c>
      <c r="X241" s="851">
        <v>0</v>
      </c>
      <c r="Y241" s="839">
        <v>0</v>
      </c>
      <c r="Z241" s="851">
        <v>0</v>
      </c>
      <c r="AA241" s="839">
        <v>0</v>
      </c>
      <c r="AB241" s="851">
        <v>0</v>
      </c>
      <c r="AC241" s="839">
        <v>0</v>
      </c>
      <c r="AD241" s="851">
        <v>512</v>
      </c>
      <c r="AE241" s="839">
        <v>249.80458999544032</v>
      </c>
      <c r="AF241" s="851">
        <v>0</v>
      </c>
      <c r="AG241" s="857"/>
      <c r="AH241" s="839">
        <v>385.7367251097441</v>
      </c>
      <c r="AI241" s="851">
        <v>0</v>
      </c>
      <c r="AJ241" s="856"/>
      <c r="AK241" s="839">
        <v>225.03237420717613</v>
      </c>
      <c r="AL241" s="851">
        <v>0</v>
      </c>
      <c r="AM241" s="856"/>
      <c r="AN241" s="839">
        <v>0</v>
      </c>
      <c r="AO241" s="851">
        <v>0</v>
      </c>
      <c r="AP241" s="856"/>
      <c r="AQ241" s="839">
        <v>0</v>
      </c>
      <c r="AR241" s="851">
        <v>0</v>
      </c>
      <c r="AS241" s="856"/>
      <c r="AT241" s="839">
        <v>128.96003314994545</v>
      </c>
      <c r="AU241" s="851">
        <v>0</v>
      </c>
      <c r="AV241" s="856"/>
      <c r="AW241" s="839">
        <v>0</v>
      </c>
      <c r="AX241" s="851">
        <v>0</v>
      </c>
      <c r="AY241" s="856"/>
      <c r="AZ241" s="845">
        <v>989.53372246230606</v>
      </c>
      <c r="BA241" s="845">
        <v>0</v>
      </c>
      <c r="BB241" s="846">
        <v>-989.53372246230606</v>
      </c>
      <c r="BD241" s="2">
        <v>2</v>
      </c>
      <c r="BF241" s="787">
        <v>7.3746987482550859</v>
      </c>
      <c r="BG241" s="325">
        <v>150000729</v>
      </c>
      <c r="BI241" s="847">
        <v>0</v>
      </c>
      <c r="BJ241" s="847">
        <v>0</v>
      </c>
      <c r="BK241" s="847">
        <v>0</v>
      </c>
      <c r="BL241" s="848"/>
      <c r="BM241" s="3"/>
      <c r="BN241" s="3"/>
      <c r="BP241" s="3"/>
      <c r="BQ241" s="3"/>
      <c r="BS241" s="42" t="s">
        <v>274</v>
      </c>
    </row>
    <row r="242" spans="1:71" ht="24.9" customHeight="1" x14ac:dyDescent="0.3">
      <c r="A242" s="325">
        <v>150000721</v>
      </c>
      <c r="B242" s="849" t="s">
        <v>219</v>
      </c>
      <c r="C242" s="850">
        <v>4</v>
      </c>
      <c r="D242" s="101" t="s">
        <v>455</v>
      </c>
      <c r="E242" s="279">
        <v>2791.9</v>
      </c>
      <c r="F242" s="838">
        <v>5274.8921488145579</v>
      </c>
      <c r="G242" s="838">
        <v>7555.6039532951118</v>
      </c>
      <c r="H242" s="838">
        <v>2280.7118044805538</v>
      </c>
      <c r="I242" s="839">
        <v>0</v>
      </c>
      <c r="J242" s="851">
        <v>0</v>
      </c>
      <c r="K242" s="852"/>
      <c r="L242" s="839">
        <v>0</v>
      </c>
      <c r="M242" s="851">
        <v>0</v>
      </c>
      <c r="N242" s="853"/>
      <c r="O242" s="839">
        <v>0</v>
      </c>
      <c r="P242" s="851">
        <v>0</v>
      </c>
      <c r="Q242" s="854"/>
      <c r="R242" s="839">
        <v>0</v>
      </c>
      <c r="S242" s="851">
        <v>0</v>
      </c>
      <c r="T242" s="855"/>
      <c r="U242" s="839">
        <v>0</v>
      </c>
      <c r="V242" s="851">
        <v>0</v>
      </c>
      <c r="W242" s="839">
        <v>0</v>
      </c>
      <c r="X242" s="851">
        <v>85.603953295111978</v>
      </c>
      <c r="Y242" s="839">
        <v>0</v>
      </c>
      <c r="Z242" s="851">
        <v>0</v>
      </c>
      <c r="AA242" s="839">
        <v>0</v>
      </c>
      <c r="AB242" s="851">
        <v>0</v>
      </c>
      <c r="AC242" s="839">
        <v>0</v>
      </c>
      <c r="AD242" s="851">
        <v>7470</v>
      </c>
      <c r="AE242" s="839">
        <v>276.78672703023619</v>
      </c>
      <c r="AF242" s="851">
        <v>1526</v>
      </c>
      <c r="AG242" s="856"/>
      <c r="AH242" s="839">
        <v>319.0193196255849</v>
      </c>
      <c r="AI242" s="851">
        <v>0</v>
      </c>
      <c r="AJ242" s="856"/>
      <c r="AK242" s="839">
        <v>346.12883444303247</v>
      </c>
      <c r="AL242" s="851">
        <v>0</v>
      </c>
      <c r="AM242" s="856"/>
      <c r="AN242" s="839">
        <v>0</v>
      </c>
      <c r="AO242" s="851">
        <v>0</v>
      </c>
      <c r="AP242" s="856"/>
      <c r="AQ242" s="839">
        <v>0</v>
      </c>
      <c r="AR242" s="851">
        <v>0</v>
      </c>
      <c r="AS242" s="856"/>
      <c r="AT242" s="839">
        <v>113.23255725526957</v>
      </c>
      <c r="AU242" s="851">
        <v>0</v>
      </c>
      <c r="AV242" s="856"/>
      <c r="AW242" s="839">
        <v>0</v>
      </c>
      <c r="AX242" s="851">
        <v>0</v>
      </c>
      <c r="AY242" s="856"/>
      <c r="AZ242" s="845">
        <v>1055.1674383541231</v>
      </c>
      <c r="BA242" s="845">
        <v>1526</v>
      </c>
      <c r="BB242" s="846">
        <v>470.83256164587692</v>
      </c>
      <c r="BD242" s="2">
        <v>2</v>
      </c>
      <c r="BF242" s="787">
        <v>9.7695408454469135</v>
      </c>
      <c r="BG242" s="325">
        <v>150000721</v>
      </c>
      <c r="BI242" s="847">
        <v>38.94</v>
      </c>
      <c r="BJ242" s="847">
        <v>3.8213163174608558</v>
      </c>
      <c r="BK242" s="847">
        <v>42.761316317460853</v>
      </c>
      <c r="BL242" s="848"/>
      <c r="BM242" s="3"/>
      <c r="BN242" s="3"/>
      <c r="BP242" s="3"/>
      <c r="BQ242" s="3"/>
      <c r="BS242" s="42" t="s">
        <v>219</v>
      </c>
    </row>
    <row r="243" spans="1:71" ht="24.9" customHeight="1" x14ac:dyDescent="0.3">
      <c r="A243" s="325">
        <v>150000722</v>
      </c>
      <c r="B243" s="849" t="s">
        <v>275</v>
      </c>
      <c r="C243" s="850">
        <v>5</v>
      </c>
      <c r="D243" s="101" t="s">
        <v>455</v>
      </c>
      <c r="E243" s="279">
        <v>3559.5</v>
      </c>
      <c r="F243" s="838">
        <v>9634.576653702592</v>
      </c>
      <c r="G243" s="838">
        <v>7398</v>
      </c>
      <c r="H243" s="838">
        <v>-2236.576653702592</v>
      </c>
      <c r="I243" s="839">
        <v>0</v>
      </c>
      <c r="J243" s="851">
        <v>0</v>
      </c>
      <c r="K243" s="852"/>
      <c r="L243" s="839">
        <v>0</v>
      </c>
      <c r="M243" s="851">
        <v>0</v>
      </c>
      <c r="N243" s="853"/>
      <c r="O243" s="839">
        <v>20</v>
      </c>
      <c r="P243" s="851">
        <v>6715</v>
      </c>
      <c r="Q243" s="885"/>
      <c r="R243" s="839">
        <v>0</v>
      </c>
      <c r="S243" s="851">
        <v>0</v>
      </c>
      <c r="T243" s="855"/>
      <c r="U243" s="839">
        <v>0</v>
      </c>
      <c r="V243" s="851">
        <v>0</v>
      </c>
      <c r="W243" s="839">
        <v>0</v>
      </c>
      <c r="X243" s="851">
        <v>0</v>
      </c>
      <c r="Y243" s="839">
        <v>0</v>
      </c>
      <c r="Z243" s="851">
        <v>0</v>
      </c>
      <c r="AA243" s="839">
        <v>0</v>
      </c>
      <c r="AB243" s="851">
        <v>0</v>
      </c>
      <c r="AC243" s="839">
        <v>0</v>
      </c>
      <c r="AD243" s="851">
        <v>683</v>
      </c>
      <c r="AE243" s="839">
        <v>323.47028542496639</v>
      </c>
      <c r="AF243" s="851">
        <v>0</v>
      </c>
      <c r="AG243" s="856"/>
      <c r="AH243" s="839">
        <v>444.88882070319545</v>
      </c>
      <c r="AI243" s="851">
        <v>0</v>
      </c>
      <c r="AJ243" s="856"/>
      <c r="AK243" s="839">
        <v>469.97318737165875</v>
      </c>
      <c r="AL243" s="851">
        <v>0</v>
      </c>
      <c r="AM243" s="856"/>
      <c r="AN243" s="839">
        <v>0</v>
      </c>
      <c r="AO243" s="851">
        <v>0</v>
      </c>
      <c r="AP243" s="856"/>
      <c r="AQ243" s="839">
        <v>0</v>
      </c>
      <c r="AR243" s="851">
        <v>0</v>
      </c>
      <c r="AS243" s="856"/>
      <c r="AT243" s="839">
        <v>179.51138020506116</v>
      </c>
      <c r="AU243" s="851">
        <v>11384</v>
      </c>
      <c r="AV243" s="856"/>
      <c r="AW243" s="839">
        <v>0</v>
      </c>
      <c r="AX243" s="851">
        <v>0</v>
      </c>
      <c r="AY243" s="856"/>
      <c r="AZ243" s="845">
        <v>1417.8436737048817</v>
      </c>
      <c r="BA243" s="845">
        <v>11384</v>
      </c>
      <c r="BB243" s="846">
        <v>9966.1563262951186</v>
      </c>
      <c r="BD243" s="2">
        <v>2</v>
      </c>
      <c r="BF243" s="787">
        <v>12.466277339798635</v>
      </c>
      <c r="BG243" s="325">
        <v>150000722</v>
      </c>
      <c r="BI243" s="847">
        <v>0</v>
      </c>
      <c r="BJ243" s="847">
        <v>0</v>
      </c>
      <c r="BK243" s="847">
        <v>0</v>
      </c>
      <c r="BL243" s="848"/>
      <c r="BM243" s="3"/>
      <c r="BN243" s="3"/>
      <c r="BP243" s="3"/>
      <c r="BQ243" s="3"/>
      <c r="BS243" s="42" t="s">
        <v>275</v>
      </c>
    </row>
    <row r="244" spans="1:71" ht="24.9" customHeight="1" x14ac:dyDescent="0.3">
      <c r="A244" s="325">
        <v>150000723</v>
      </c>
      <c r="B244" s="849" t="s">
        <v>276</v>
      </c>
      <c r="C244" s="850">
        <v>5</v>
      </c>
      <c r="D244" s="101" t="s">
        <v>455</v>
      </c>
      <c r="E244" s="279">
        <v>3575.2</v>
      </c>
      <c r="F244" s="838">
        <v>9653.4290157244177</v>
      </c>
      <c r="G244" s="838">
        <v>49675.96736075612</v>
      </c>
      <c r="H244" s="838">
        <v>40022.538345031702</v>
      </c>
      <c r="I244" s="839">
        <v>0</v>
      </c>
      <c r="J244" s="851">
        <v>0</v>
      </c>
      <c r="K244" s="852"/>
      <c r="L244" s="839">
        <v>1</v>
      </c>
      <c r="M244" s="851">
        <v>46317</v>
      </c>
      <c r="N244" s="853"/>
      <c r="O244" s="839">
        <v>0</v>
      </c>
      <c r="P244" s="851">
        <v>0</v>
      </c>
      <c r="Q244" s="887"/>
      <c r="R244" s="839">
        <v>0</v>
      </c>
      <c r="S244" s="851">
        <v>0</v>
      </c>
      <c r="T244" s="855"/>
      <c r="U244" s="839">
        <v>0</v>
      </c>
      <c r="V244" s="851">
        <v>0</v>
      </c>
      <c r="W244" s="839">
        <v>0</v>
      </c>
      <c r="X244" s="851">
        <v>1005.9673607561183</v>
      </c>
      <c r="Y244" s="839">
        <v>0</v>
      </c>
      <c r="Z244" s="851">
        <v>0</v>
      </c>
      <c r="AA244" s="839">
        <v>0</v>
      </c>
      <c r="AB244" s="851">
        <v>0</v>
      </c>
      <c r="AC244" s="839">
        <v>1670</v>
      </c>
      <c r="AD244" s="851">
        <v>683</v>
      </c>
      <c r="AE244" s="839">
        <v>323.52638508503514</v>
      </c>
      <c r="AF244" s="851">
        <v>0</v>
      </c>
      <c r="AG244" s="857"/>
      <c r="AH244" s="839">
        <v>444.88882070319545</v>
      </c>
      <c r="AI244" s="851">
        <v>0</v>
      </c>
      <c r="AJ244" s="856"/>
      <c r="AK244" s="839">
        <v>472.79176507359625</v>
      </c>
      <c r="AL244" s="851">
        <v>0</v>
      </c>
      <c r="AM244" s="856"/>
      <c r="AN244" s="839">
        <v>0</v>
      </c>
      <c r="AO244" s="851">
        <v>0</v>
      </c>
      <c r="AP244" s="856"/>
      <c r="AQ244" s="839">
        <v>0</v>
      </c>
      <c r="AR244" s="851">
        <v>0</v>
      </c>
      <c r="AS244" s="856"/>
      <c r="AT244" s="839">
        <v>179.51810429532154</v>
      </c>
      <c r="AU244" s="851">
        <v>333</v>
      </c>
      <c r="AV244" s="856"/>
      <c r="AW244" s="839">
        <v>0</v>
      </c>
      <c r="AX244" s="851">
        <v>0</v>
      </c>
      <c r="AY244" s="856"/>
      <c r="AZ244" s="845">
        <v>1420.7250751571485</v>
      </c>
      <c r="BA244" s="845">
        <v>333</v>
      </c>
      <c r="BB244" s="846">
        <v>-1087.7250751571485</v>
      </c>
      <c r="BD244" s="2">
        <v>2</v>
      </c>
      <c r="BF244" s="787">
        <v>110.58196319727941</v>
      </c>
      <c r="BG244" s="325">
        <v>150000723</v>
      </c>
      <c r="BI244" s="847">
        <v>457.6</v>
      </c>
      <c r="BJ244" s="847">
        <v>44.905864069596504</v>
      </c>
      <c r="BK244" s="847">
        <v>502.50586406959656</v>
      </c>
      <c r="BL244" s="848"/>
      <c r="BM244" s="3"/>
      <c r="BN244" s="3"/>
      <c r="BP244" s="3"/>
      <c r="BQ244" s="3"/>
      <c r="BS244" s="42" t="s">
        <v>276</v>
      </c>
    </row>
    <row r="245" spans="1:71" ht="24.9" customHeight="1" x14ac:dyDescent="0.3">
      <c r="A245" s="325">
        <v>150000724</v>
      </c>
      <c r="B245" s="849" t="s">
        <v>277</v>
      </c>
      <c r="C245" s="850">
        <v>5</v>
      </c>
      <c r="D245" s="101" t="s">
        <v>455</v>
      </c>
      <c r="E245" s="279">
        <v>3564.2</v>
      </c>
      <c r="F245" s="838">
        <v>8783.0631475805385</v>
      </c>
      <c r="G245" s="838">
        <v>683</v>
      </c>
      <c r="H245" s="838">
        <v>-8100.0631475805385</v>
      </c>
      <c r="I245" s="839">
        <v>0</v>
      </c>
      <c r="J245" s="851">
        <v>0</v>
      </c>
      <c r="K245" s="852"/>
      <c r="L245" s="839">
        <v>0</v>
      </c>
      <c r="M245" s="851">
        <v>0</v>
      </c>
      <c r="N245" s="853"/>
      <c r="O245" s="839">
        <v>0</v>
      </c>
      <c r="P245" s="851">
        <v>0</v>
      </c>
      <c r="Q245" s="887"/>
      <c r="R245" s="839">
        <v>0</v>
      </c>
      <c r="S245" s="851">
        <v>0</v>
      </c>
      <c r="T245" s="855"/>
      <c r="U245" s="839">
        <v>0</v>
      </c>
      <c r="V245" s="851">
        <v>0</v>
      </c>
      <c r="W245" s="839">
        <v>0</v>
      </c>
      <c r="X245" s="851">
        <v>0</v>
      </c>
      <c r="Y245" s="839">
        <v>0</v>
      </c>
      <c r="Z245" s="851">
        <v>0</v>
      </c>
      <c r="AA245" s="839">
        <v>0</v>
      </c>
      <c r="AB245" s="851">
        <v>0</v>
      </c>
      <c r="AC245" s="839">
        <v>0</v>
      </c>
      <c r="AD245" s="851">
        <v>683</v>
      </c>
      <c r="AE245" s="839">
        <v>323.47537914525492</v>
      </c>
      <c r="AF245" s="851">
        <v>0</v>
      </c>
      <c r="AG245" s="856"/>
      <c r="AH245" s="839">
        <v>444.88882070319545</v>
      </c>
      <c r="AI245" s="851">
        <v>0</v>
      </c>
      <c r="AJ245" s="856"/>
      <c r="AK245" s="839">
        <v>472.79176507359625</v>
      </c>
      <c r="AL245" s="851">
        <v>0</v>
      </c>
      <c r="AM245" s="856"/>
      <c r="AN245" s="839">
        <v>0</v>
      </c>
      <c r="AO245" s="851">
        <v>0</v>
      </c>
      <c r="AP245" s="856"/>
      <c r="AQ245" s="839">
        <v>0</v>
      </c>
      <c r="AR245" s="851">
        <v>0</v>
      </c>
      <c r="AS245" s="856"/>
      <c r="AT245" s="839">
        <v>179.51810429532154</v>
      </c>
      <c r="AU245" s="851">
        <v>711</v>
      </c>
      <c r="AV245" s="856"/>
      <c r="AW245" s="839">
        <v>0</v>
      </c>
      <c r="AX245" s="851">
        <v>0</v>
      </c>
      <c r="AY245" s="856"/>
      <c r="AZ245" s="845">
        <v>1420.6740692173682</v>
      </c>
      <c r="BA245" s="845">
        <v>711</v>
      </c>
      <c r="BB245" s="846">
        <v>-709.67406921736824</v>
      </c>
      <c r="BD245" s="2">
        <v>2</v>
      </c>
      <c r="BF245" s="787">
        <v>12.485539743329717</v>
      </c>
      <c r="BG245" s="325">
        <v>150000724</v>
      </c>
      <c r="BI245" s="847">
        <v>0</v>
      </c>
      <c r="BJ245" s="847">
        <v>0</v>
      </c>
      <c r="BK245" s="847">
        <v>0</v>
      </c>
      <c r="BL245" s="848"/>
      <c r="BM245" s="3"/>
      <c r="BN245" s="3"/>
      <c r="BP245" s="3"/>
      <c r="BQ245" s="3"/>
      <c r="BS245" s="42" t="s">
        <v>277</v>
      </c>
    </row>
    <row r="246" spans="1:71" ht="24.9" customHeight="1" x14ac:dyDescent="0.3">
      <c r="A246" s="325">
        <v>150000725</v>
      </c>
      <c r="B246" s="849" t="s">
        <v>278</v>
      </c>
      <c r="C246" s="850">
        <v>5</v>
      </c>
      <c r="D246" s="101" t="s">
        <v>455</v>
      </c>
      <c r="E246" s="279">
        <v>3571.96</v>
      </c>
      <c r="F246" s="838">
        <v>9622.1724222320809</v>
      </c>
      <c r="G246" s="838">
        <v>683</v>
      </c>
      <c r="H246" s="838">
        <v>-8939.1724222320809</v>
      </c>
      <c r="I246" s="839">
        <v>0</v>
      </c>
      <c r="J246" s="851">
        <v>0</v>
      </c>
      <c r="K246" s="852"/>
      <c r="L246" s="839">
        <v>0</v>
      </c>
      <c r="M246" s="851">
        <v>0</v>
      </c>
      <c r="N246" s="853"/>
      <c r="O246" s="839">
        <v>0</v>
      </c>
      <c r="P246" s="851">
        <v>0</v>
      </c>
      <c r="Q246" s="854"/>
      <c r="R246" s="839">
        <v>0</v>
      </c>
      <c r="S246" s="851">
        <v>0</v>
      </c>
      <c r="T246" s="855"/>
      <c r="U246" s="839">
        <v>0</v>
      </c>
      <c r="V246" s="851">
        <v>0</v>
      </c>
      <c r="W246" s="839">
        <v>0</v>
      </c>
      <c r="X246" s="851">
        <v>0</v>
      </c>
      <c r="Y246" s="839">
        <v>0</v>
      </c>
      <c r="Z246" s="851">
        <v>0</v>
      </c>
      <c r="AA246" s="839">
        <v>0</v>
      </c>
      <c r="AB246" s="851">
        <v>0</v>
      </c>
      <c r="AC246" s="839">
        <v>0</v>
      </c>
      <c r="AD246" s="851">
        <v>683</v>
      </c>
      <c r="AE246" s="839">
        <v>323.47537914525492</v>
      </c>
      <c r="AF246" s="851">
        <v>0</v>
      </c>
      <c r="AG246" s="856"/>
      <c r="AH246" s="839">
        <v>444.88882070319545</v>
      </c>
      <c r="AI246" s="851">
        <v>0</v>
      </c>
      <c r="AJ246" s="856"/>
      <c r="AK246" s="839">
        <v>469.39987804412397</v>
      </c>
      <c r="AL246" s="851">
        <v>0</v>
      </c>
      <c r="AM246" s="856"/>
      <c r="AN246" s="839">
        <v>0</v>
      </c>
      <c r="AO246" s="851">
        <v>0</v>
      </c>
      <c r="AP246" s="856"/>
      <c r="AQ246" s="839">
        <v>0</v>
      </c>
      <c r="AR246" s="851">
        <v>0</v>
      </c>
      <c r="AS246" s="856"/>
      <c r="AT246" s="839">
        <v>179.51810429532154</v>
      </c>
      <c r="AU246" s="851">
        <v>711</v>
      </c>
      <c r="AV246" s="856"/>
      <c r="AW246" s="839">
        <v>0</v>
      </c>
      <c r="AX246" s="851">
        <v>0</v>
      </c>
      <c r="AY246" s="856"/>
      <c r="AZ246" s="845">
        <v>1417.2821821878958</v>
      </c>
      <c r="BA246" s="845">
        <v>711</v>
      </c>
      <c r="BB246" s="846">
        <v>-706.28218218789584</v>
      </c>
      <c r="BD246" s="2">
        <v>2</v>
      </c>
      <c r="BF246" s="787">
        <v>12.510615890472</v>
      </c>
      <c r="BG246" s="325">
        <v>150000725</v>
      </c>
      <c r="BI246" s="847">
        <v>0</v>
      </c>
      <c r="BJ246" s="847">
        <v>0</v>
      </c>
      <c r="BK246" s="847">
        <v>0</v>
      </c>
      <c r="BL246" s="848"/>
      <c r="BM246" s="3"/>
      <c r="BN246" s="3"/>
      <c r="BP246" s="3"/>
      <c r="BQ246" s="3"/>
      <c r="BS246" s="42" t="s">
        <v>278</v>
      </c>
    </row>
    <row r="247" spans="1:71" ht="24.9" customHeight="1" x14ac:dyDescent="0.3">
      <c r="A247" s="325">
        <v>150000710</v>
      </c>
      <c r="B247" s="849" t="s">
        <v>279</v>
      </c>
      <c r="C247" s="850">
        <v>5</v>
      </c>
      <c r="D247" s="101" t="s">
        <v>455</v>
      </c>
      <c r="E247" s="279">
        <v>4572.3</v>
      </c>
      <c r="F247" s="838">
        <v>10039.618184446057</v>
      </c>
      <c r="G247" s="838">
        <v>4219</v>
      </c>
      <c r="H247" s="838">
        <v>-5820.6181844460571</v>
      </c>
      <c r="I247" s="839">
        <v>0</v>
      </c>
      <c r="J247" s="851">
        <v>0</v>
      </c>
      <c r="K247" s="852"/>
      <c r="L247" s="839">
        <v>0</v>
      </c>
      <c r="M247" s="851">
        <v>270</v>
      </c>
      <c r="N247" s="853"/>
      <c r="O247" s="839">
        <v>0</v>
      </c>
      <c r="P247" s="851">
        <v>0</v>
      </c>
      <c r="Q247" s="854"/>
      <c r="R247" s="839">
        <v>0</v>
      </c>
      <c r="S247" s="851">
        <v>0</v>
      </c>
      <c r="T247" s="855"/>
      <c r="U247" s="839">
        <v>0</v>
      </c>
      <c r="V247" s="851">
        <v>0</v>
      </c>
      <c r="W247" s="839">
        <v>0</v>
      </c>
      <c r="X247" s="851">
        <v>0</v>
      </c>
      <c r="Y247" s="839">
        <v>0</v>
      </c>
      <c r="Z247" s="851">
        <v>0</v>
      </c>
      <c r="AA247" s="839">
        <v>0</v>
      </c>
      <c r="AB247" s="851">
        <v>0</v>
      </c>
      <c r="AC247" s="839">
        <v>2062</v>
      </c>
      <c r="AD247" s="851">
        <v>1887</v>
      </c>
      <c r="AE247" s="839">
        <v>453.16429572632046</v>
      </c>
      <c r="AF247" s="851">
        <v>0</v>
      </c>
      <c r="AG247" s="857"/>
      <c r="AH247" s="839">
        <v>730.31644067323475</v>
      </c>
      <c r="AI247" s="851">
        <v>0</v>
      </c>
      <c r="AJ247" s="857"/>
      <c r="AK247" s="839">
        <v>413.83434175910082</v>
      </c>
      <c r="AL247" s="851">
        <v>0</v>
      </c>
      <c r="AM247" s="856"/>
      <c r="AN247" s="839">
        <v>0</v>
      </c>
      <c r="AO247" s="851">
        <v>0</v>
      </c>
      <c r="AP247" s="856"/>
      <c r="AQ247" s="839">
        <v>0</v>
      </c>
      <c r="AR247" s="851">
        <v>0</v>
      </c>
      <c r="AS247" s="856"/>
      <c r="AT247" s="839">
        <v>332.67629256086099</v>
      </c>
      <c r="AU247" s="851">
        <v>0</v>
      </c>
      <c r="AV247" s="856"/>
      <c r="AW247" s="839">
        <v>0</v>
      </c>
      <c r="AX247" s="851">
        <v>0</v>
      </c>
      <c r="AY247" s="856"/>
      <c r="AZ247" s="845">
        <v>1929.9913707195169</v>
      </c>
      <c r="BA247" s="845">
        <v>0</v>
      </c>
      <c r="BB247" s="846">
        <v>-1929.9913707195169</v>
      </c>
      <c r="BD247" s="2">
        <v>3</v>
      </c>
      <c r="BF247" s="787">
        <v>14.452577788307037</v>
      </c>
      <c r="BG247" s="325">
        <v>150000710</v>
      </c>
      <c r="BI247" s="847">
        <v>0</v>
      </c>
      <c r="BJ247" s="847">
        <v>0</v>
      </c>
      <c r="BK247" s="847">
        <v>0</v>
      </c>
      <c r="BL247" s="848"/>
      <c r="BM247" s="3"/>
      <c r="BN247" s="3"/>
      <c r="BP247" s="3"/>
      <c r="BQ247" s="3"/>
      <c r="BS247" s="42" t="s">
        <v>279</v>
      </c>
    </row>
    <row r="248" spans="1:71" ht="24.9" customHeight="1" x14ac:dyDescent="0.3">
      <c r="A248" s="325">
        <v>150000711</v>
      </c>
      <c r="B248" s="849" t="s">
        <v>280</v>
      </c>
      <c r="C248" s="850">
        <v>5</v>
      </c>
      <c r="D248" s="101" t="s">
        <v>455</v>
      </c>
      <c r="E248" s="279">
        <v>4577.8</v>
      </c>
      <c r="F248" s="838">
        <v>11450.190492822518</v>
      </c>
      <c r="G248" s="838">
        <v>2877</v>
      </c>
      <c r="H248" s="838">
        <v>-8573.1904928225176</v>
      </c>
      <c r="I248" s="839">
        <v>0</v>
      </c>
      <c r="J248" s="851">
        <v>0</v>
      </c>
      <c r="K248" s="852"/>
      <c r="L248" s="839">
        <v>0</v>
      </c>
      <c r="M248" s="851">
        <v>309</v>
      </c>
      <c r="N248" s="853"/>
      <c r="O248" s="839">
        <v>0</v>
      </c>
      <c r="P248" s="851">
        <v>0</v>
      </c>
      <c r="Q248" s="854"/>
      <c r="R248" s="839">
        <v>0</v>
      </c>
      <c r="S248" s="851">
        <v>0</v>
      </c>
      <c r="T248" s="855"/>
      <c r="U248" s="839">
        <v>0</v>
      </c>
      <c r="V248" s="851">
        <v>0</v>
      </c>
      <c r="W248" s="839">
        <v>0</v>
      </c>
      <c r="X248" s="851">
        <v>0</v>
      </c>
      <c r="Y248" s="839">
        <v>0</v>
      </c>
      <c r="Z248" s="851">
        <v>0</v>
      </c>
      <c r="AA248" s="839">
        <v>0</v>
      </c>
      <c r="AB248" s="851">
        <v>0</v>
      </c>
      <c r="AC248" s="839">
        <v>2568</v>
      </c>
      <c r="AD248" s="851">
        <v>0</v>
      </c>
      <c r="AE248" s="839">
        <v>453.28676417768395</v>
      </c>
      <c r="AF248" s="851">
        <v>0</v>
      </c>
      <c r="AG248" s="856"/>
      <c r="AH248" s="839">
        <v>730.47179917909421</v>
      </c>
      <c r="AI248" s="851">
        <v>0</v>
      </c>
      <c r="AJ248" s="856"/>
      <c r="AK248" s="839">
        <v>411.00574223534153</v>
      </c>
      <c r="AL248" s="851">
        <v>0</v>
      </c>
      <c r="AM248" s="856"/>
      <c r="AN248" s="839">
        <v>0</v>
      </c>
      <c r="AO248" s="851">
        <v>0</v>
      </c>
      <c r="AP248" s="856"/>
      <c r="AQ248" s="839">
        <v>218.86472282667671</v>
      </c>
      <c r="AR248" s="851">
        <v>0</v>
      </c>
      <c r="AS248" s="856"/>
      <c r="AT248" s="839">
        <v>332.88205778624234</v>
      </c>
      <c r="AU248" s="851">
        <v>0</v>
      </c>
      <c r="AV248" s="856"/>
      <c r="AW248" s="839">
        <v>0</v>
      </c>
      <c r="AX248" s="851">
        <v>0</v>
      </c>
      <c r="AY248" s="856"/>
      <c r="AZ248" s="845">
        <v>2146.5110862050392</v>
      </c>
      <c r="BA248" s="845">
        <v>0</v>
      </c>
      <c r="BB248" s="846">
        <v>-2146.5110862050392</v>
      </c>
      <c r="BD248" s="2">
        <v>3</v>
      </c>
      <c r="BF248" s="787">
        <v>14.522059810032044</v>
      </c>
      <c r="BG248" s="325">
        <v>150000711</v>
      </c>
      <c r="BI248" s="847">
        <v>0</v>
      </c>
      <c r="BJ248" s="847">
        <v>0</v>
      </c>
      <c r="BK248" s="847">
        <v>0</v>
      </c>
      <c r="BL248" s="848"/>
      <c r="BM248" s="3"/>
      <c r="BN248" s="3"/>
      <c r="BP248" s="3"/>
      <c r="BQ248" s="3"/>
      <c r="BS248" s="42" t="s">
        <v>280</v>
      </c>
    </row>
    <row r="249" spans="1:71" ht="24.9" customHeight="1" x14ac:dyDescent="0.3">
      <c r="A249" s="325">
        <v>150000712</v>
      </c>
      <c r="B249" s="849" t="s">
        <v>281</v>
      </c>
      <c r="C249" s="850">
        <v>5</v>
      </c>
      <c r="D249" s="101" t="s">
        <v>455</v>
      </c>
      <c r="E249" s="279">
        <v>3208.93</v>
      </c>
      <c r="F249" s="838">
        <v>6845.1072319288323</v>
      </c>
      <c r="G249" s="838">
        <v>416</v>
      </c>
      <c r="H249" s="838">
        <v>-6429.1072319288323</v>
      </c>
      <c r="I249" s="839">
        <v>0</v>
      </c>
      <c r="J249" s="851">
        <v>0</v>
      </c>
      <c r="K249" s="852"/>
      <c r="L249" s="839">
        <v>0</v>
      </c>
      <c r="M249" s="851">
        <v>0</v>
      </c>
      <c r="N249" s="853"/>
      <c r="O249" s="839">
        <v>0</v>
      </c>
      <c r="P249" s="851">
        <v>0</v>
      </c>
      <c r="Q249" s="854"/>
      <c r="R249" s="839">
        <v>0</v>
      </c>
      <c r="S249" s="851">
        <v>0</v>
      </c>
      <c r="T249" s="855"/>
      <c r="U249" s="839">
        <v>0</v>
      </c>
      <c r="V249" s="851">
        <v>0</v>
      </c>
      <c r="W249" s="839">
        <v>2</v>
      </c>
      <c r="X249" s="851">
        <v>156</v>
      </c>
      <c r="Y249" s="839">
        <v>0</v>
      </c>
      <c r="Z249" s="851">
        <v>0</v>
      </c>
      <c r="AA249" s="839">
        <v>0</v>
      </c>
      <c r="AB249" s="851">
        <v>260</v>
      </c>
      <c r="AC249" s="839">
        <v>0</v>
      </c>
      <c r="AD249" s="851">
        <v>0</v>
      </c>
      <c r="AE249" s="839">
        <v>312.08107424119544</v>
      </c>
      <c r="AF249" s="851">
        <v>0</v>
      </c>
      <c r="AG249" s="867"/>
      <c r="AH249" s="839">
        <v>490.42556714245251</v>
      </c>
      <c r="AI249" s="851">
        <v>0</v>
      </c>
      <c r="AJ249" s="857"/>
      <c r="AK249" s="839">
        <v>295.04809673845114</v>
      </c>
      <c r="AL249" s="851">
        <v>0</v>
      </c>
      <c r="AM249" s="856"/>
      <c r="AN249" s="839">
        <v>0</v>
      </c>
      <c r="AO249" s="851">
        <v>0</v>
      </c>
      <c r="AP249" s="861"/>
      <c r="AQ249" s="839">
        <v>0</v>
      </c>
      <c r="AR249" s="851">
        <v>0</v>
      </c>
      <c r="AS249" s="856"/>
      <c r="AT249" s="839">
        <v>187.56725379517582</v>
      </c>
      <c r="AU249" s="851">
        <v>260</v>
      </c>
      <c r="AV249" s="856"/>
      <c r="AW249" s="839">
        <v>0</v>
      </c>
      <c r="AX249" s="851">
        <v>0</v>
      </c>
      <c r="AY249" s="856"/>
      <c r="AZ249" s="845">
        <v>1285.121991917275</v>
      </c>
      <c r="BA249" s="845">
        <v>260</v>
      </c>
      <c r="BB249" s="846">
        <v>-1025.121991917275</v>
      </c>
      <c r="BD249" s="2">
        <v>3</v>
      </c>
      <c r="BF249" s="787">
        <v>10.18095634584596</v>
      </c>
      <c r="BG249" s="325">
        <v>150000712</v>
      </c>
      <c r="BI249" s="847">
        <v>0</v>
      </c>
      <c r="BJ249" s="847">
        <v>0</v>
      </c>
      <c r="BK249" s="847">
        <v>0</v>
      </c>
      <c r="BL249" s="848"/>
      <c r="BM249" s="3"/>
      <c r="BN249" s="3"/>
      <c r="BP249" s="3"/>
      <c r="BQ249" s="3"/>
      <c r="BS249" s="42" t="s">
        <v>281</v>
      </c>
    </row>
    <row r="250" spans="1:71" ht="24.9" customHeight="1" x14ac:dyDescent="0.3">
      <c r="A250" s="325">
        <v>150000713</v>
      </c>
      <c r="B250" s="849" t="s">
        <v>282</v>
      </c>
      <c r="C250" s="850">
        <v>5</v>
      </c>
      <c r="D250" s="101" t="s">
        <v>455</v>
      </c>
      <c r="E250" s="279">
        <v>6256.6</v>
      </c>
      <c r="F250" s="838">
        <v>15370.074459256723</v>
      </c>
      <c r="G250" s="838">
        <v>6837</v>
      </c>
      <c r="H250" s="838">
        <v>-8533.0744592567225</v>
      </c>
      <c r="I250" s="839">
        <v>0</v>
      </c>
      <c r="J250" s="851">
        <v>1169</v>
      </c>
      <c r="K250" s="852"/>
      <c r="L250" s="839">
        <v>0</v>
      </c>
      <c r="M250" s="851">
        <v>3783</v>
      </c>
      <c r="N250" s="853"/>
      <c r="O250" s="839">
        <v>0</v>
      </c>
      <c r="P250" s="851">
        <v>0</v>
      </c>
      <c r="Q250" s="854"/>
      <c r="R250" s="839">
        <v>0</v>
      </c>
      <c r="S250" s="851">
        <v>0</v>
      </c>
      <c r="T250" s="855"/>
      <c r="U250" s="839">
        <v>0</v>
      </c>
      <c r="V250" s="851">
        <v>0</v>
      </c>
      <c r="W250" s="839">
        <v>0</v>
      </c>
      <c r="X250" s="851">
        <v>0</v>
      </c>
      <c r="Y250" s="839">
        <v>0</v>
      </c>
      <c r="Z250" s="851">
        <v>0</v>
      </c>
      <c r="AA250" s="839">
        <v>0</v>
      </c>
      <c r="AB250" s="851">
        <v>1041</v>
      </c>
      <c r="AC250" s="839">
        <v>844</v>
      </c>
      <c r="AD250" s="851">
        <v>0</v>
      </c>
      <c r="AE250" s="839">
        <v>597.70861840761279</v>
      </c>
      <c r="AF250" s="851">
        <v>0</v>
      </c>
      <c r="AG250" s="856"/>
      <c r="AH250" s="839">
        <v>974.84939071975509</v>
      </c>
      <c r="AI250" s="851">
        <v>0</v>
      </c>
      <c r="AJ250" s="867"/>
      <c r="AK250" s="839">
        <v>567.61626868907615</v>
      </c>
      <c r="AL250" s="851">
        <v>5741</v>
      </c>
      <c r="AM250" s="856"/>
      <c r="AN250" s="839">
        <v>0</v>
      </c>
      <c r="AO250" s="851">
        <v>0</v>
      </c>
      <c r="AP250" s="856"/>
      <c r="AQ250" s="839">
        <v>338.81178137477229</v>
      </c>
      <c r="AR250" s="851">
        <v>0</v>
      </c>
      <c r="AS250" s="856"/>
      <c r="AT250" s="839">
        <v>521.68679861452631</v>
      </c>
      <c r="AU250" s="851">
        <v>0</v>
      </c>
      <c r="AV250" s="856"/>
      <c r="AW250" s="839">
        <v>0</v>
      </c>
      <c r="AX250" s="851">
        <v>0</v>
      </c>
      <c r="AY250" s="856"/>
      <c r="AZ250" s="845">
        <v>3000.6728578057423</v>
      </c>
      <c r="BA250" s="845">
        <v>5741</v>
      </c>
      <c r="BB250" s="846">
        <v>2740.3271421942577</v>
      </c>
      <c r="BD250" s="2">
        <v>3</v>
      </c>
      <c r="BF250" s="787">
        <v>117.05840012702936</v>
      </c>
      <c r="BG250" s="325">
        <v>150000713</v>
      </c>
      <c r="BI250" s="847">
        <v>0</v>
      </c>
      <c r="BJ250" s="847">
        <v>0</v>
      </c>
      <c r="BK250" s="847">
        <v>0</v>
      </c>
      <c r="BL250" s="848"/>
      <c r="BM250" s="3"/>
      <c r="BN250" s="3"/>
      <c r="BP250" s="3"/>
      <c r="BQ250" s="3"/>
      <c r="BS250" s="42" t="s">
        <v>282</v>
      </c>
    </row>
    <row r="251" spans="1:71" ht="24.9" customHeight="1" x14ac:dyDescent="0.3">
      <c r="A251" s="325">
        <v>150000714</v>
      </c>
      <c r="B251" s="849" t="s">
        <v>283</v>
      </c>
      <c r="C251" s="850">
        <v>5</v>
      </c>
      <c r="D251" s="101" t="s">
        <v>455</v>
      </c>
      <c r="E251" s="279">
        <v>2767.8</v>
      </c>
      <c r="F251" s="838">
        <v>7884.4708332189193</v>
      </c>
      <c r="G251" s="838">
        <v>768</v>
      </c>
      <c r="H251" s="838">
        <v>-7116.4708332189193</v>
      </c>
      <c r="I251" s="839">
        <v>0</v>
      </c>
      <c r="J251" s="851">
        <v>0</v>
      </c>
      <c r="K251" s="852"/>
      <c r="L251" s="839">
        <v>0</v>
      </c>
      <c r="M251" s="851">
        <v>0</v>
      </c>
      <c r="N251" s="853"/>
      <c r="O251" s="839">
        <v>0</v>
      </c>
      <c r="P251" s="851">
        <v>0</v>
      </c>
      <c r="Q251" s="854"/>
      <c r="R251" s="839">
        <v>0</v>
      </c>
      <c r="S251" s="851">
        <v>0</v>
      </c>
      <c r="T251" s="855"/>
      <c r="U251" s="839">
        <v>0</v>
      </c>
      <c r="V251" s="851">
        <v>0</v>
      </c>
      <c r="W251" s="839">
        <v>0</v>
      </c>
      <c r="X251" s="851">
        <v>0</v>
      </c>
      <c r="Y251" s="839">
        <v>0</v>
      </c>
      <c r="Z251" s="851">
        <v>0</v>
      </c>
      <c r="AA251" s="839">
        <v>0</v>
      </c>
      <c r="AB251" s="851">
        <v>0</v>
      </c>
      <c r="AC251" s="839">
        <v>768</v>
      </c>
      <c r="AD251" s="851">
        <v>0</v>
      </c>
      <c r="AE251" s="839">
        <v>293.62362475258334</v>
      </c>
      <c r="AF251" s="851">
        <v>0</v>
      </c>
      <c r="AG251" s="867"/>
      <c r="AH251" s="839">
        <v>479.05349530254739</v>
      </c>
      <c r="AI251" s="851">
        <v>0</v>
      </c>
      <c r="AJ251" s="856"/>
      <c r="AK251" s="839">
        <v>251.78681354995123</v>
      </c>
      <c r="AL251" s="851">
        <v>0</v>
      </c>
      <c r="AM251" s="856"/>
      <c r="AN251" s="839">
        <v>0</v>
      </c>
      <c r="AO251" s="851">
        <v>0</v>
      </c>
      <c r="AP251" s="856"/>
      <c r="AQ251" s="839">
        <v>0</v>
      </c>
      <c r="AR251" s="851">
        <v>0</v>
      </c>
      <c r="AS251" s="856"/>
      <c r="AT251" s="839">
        <v>176.11396072083613</v>
      </c>
      <c r="AU251" s="851">
        <v>0</v>
      </c>
      <c r="AV251" s="856"/>
      <c r="AW251" s="839">
        <v>0</v>
      </c>
      <c r="AX251" s="851">
        <v>0</v>
      </c>
      <c r="AY251" s="856"/>
      <c r="AZ251" s="845">
        <v>1200.5778943259179</v>
      </c>
      <c r="BA251" s="845">
        <v>0</v>
      </c>
      <c r="BB251" s="846">
        <v>-1200.5778943259179</v>
      </c>
      <c r="BD251" s="2">
        <v>3</v>
      </c>
      <c r="BF251" s="787">
        <v>52.52630906373124</v>
      </c>
      <c r="BG251" s="325">
        <v>150000714</v>
      </c>
      <c r="BI251" s="847">
        <v>0</v>
      </c>
      <c r="BJ251" s="847">
        <v>0</v>
      </c>
      <c r="BK251" s="847">
        <v>0</v>
      </c>
      <c r="BL251" s="848"/>
      <c r="BM251" s="3"/>
      <c r="BN251" s="3"/>
      <c r="BP251" s="3"/>
      <c r="BQ251" s="3"/>
      <c r="BS251" s="42" t="s">
        <v>283</v>
      </c>
    </row>
    <row r="252" spans="1:71" ht="24.9" customHeight="1" x14ac:dyDescent="0.3">
      <c r="A252" s="325">
        <v>150000715</v>
      </c>
      <c r="B252" s="849" t="s">
        <v>284</v>
      </c>
      <c r="C252" s="850">
        <v>5</v>
      </c>
      <c r="D252" s="101" t="s">
        <v>455</v>
      </c>
      <c r="E252" s="279">
        <v>4580.3</v>
      </c>
      <c r="F252" s="838">
        <v>11294.600946759965</v>
      </c>
      <c r="G252" s="838">
        <v>2352</v>
      </c>
      <c r="H252" s="838">
        <v>-8942.6009467599652</v>
      </c>
      <c r="I252" s="839">
        <v>0</v>
      </c>
      <c r="J252" s="851">
        <v>847</v>
      </c>
      <c r="K252" s="852"/>
      <c r="L252" s="839">
        <v>0</v>
      </c>
      <c r="M252" s="851">
        <v>0</v>
      </c>
      <c r="N252" s="853"/>
      <c r="O252" s="839">
        <v>0</v>
      </c>
      <c r="P252" s="851">
        <v>0</v>
      </c>
      <c r="Q252" s="854"/>
      <c r="R252" s="839">
        <v>0</v>
      </c>
      <c r="S252" s="851">
        <v>0</v>
      </c>
      <c r="T252" s="855"/>
      <c r="U252" s="839">
        <v>0</v>
      </c>
      <c r="V252" s="851">
        <v>0</v>
      </c>
      <c r="W252" s="839">
        <v>8</v>
      </c>
      <c r="X252" s="851">
        <v>558</v>
      </c>
      <c r="Y252" s="839">
        <v>0</v>
      </c>
      <c r="Z252" s="851">
        <v>0</v>
      </c>
      <c r="AA252" s="839">
        <v>0</v>
      </c>
      <c r="AB252" s="851">
        <v>0</v>
      </c>
      <c r="AC252" s="839">
        <v>947</v>
      </c>
      <c r="AD252" s="851">
        <v>0</v>
      </c>
      <c r="AE252" s="839">
        <v>454.33816644439599</v>
      </c>
      <c r="AF252" s="851">
        <v>1689</v>
      </c>
      <c r="AG252" s="856"/>
      <c r="AH252" s="839">
        <v>731.30703205498548</v>
      </c>
      <c r="AI252" s="851">
        <v>0</v>
      </c>
      <c r="AJ252" s="856"/>
      <c r="AK252" s="839">
        <v>419.31302136116989</v>
      </c>
      <c r="AL252" s="851">
        <v>0</v>
      </c>
      <c r="AM252" s="888"/>
      <c r="AN252" s="839">
        <v>0</v>
      </c>
      <c r="AO252" s="851">
        <v>0</v>
      </c>
      <c r="AP252" s="856"/>
      <c r="AQ252" s="839">
        <v>223.34337737643764</v>
      </c>
      <c r="AR252" s="851">
        <v>0</v>
      </c>
      <c r="AS252" s="856"/>
      <c r="AT252" s="839">
        <v>334.27802161567132</v>
      </c>
      <c r="AU252" s="851">
        <v>149</v>
      </c>
      <c r="AV252" s="857"/>
      <c r="AW252" s="839">
        <v>0</v>
      </c>
      <c r="AX252" s="851">
        <v>0</v>
      </c>
      <c r="AY252" s="856"/>
      <c r="AZ252" s="845">
        <v>2162.5796188526601</v>
      </c>
      <c r="BA252" s="845">
        <v>1838</v>
      </c>
      <c r="BB252" s="846">
        <v>-324.57961885266013</v>
      </c>
      <c r="BD252" s="2">
        <v>3</v>
      </c>
      <c r="BF252" s="787">
        <v>58.281895164705446</v>
      </c>
      <c r="BG252" s="325">
        <v>150000715</v>
      </c>
      <c r="BI252" s="847">
        <v>0</v>
      </c>
      <c r="BJ252" s="847">
        <v>0</v>
      </c>
      <c r="BK252" s="847">
        <v>0</v>
      </c>
      <c r="BL252" s="848"/>
      <c r="BM252" s="3"/>
      <c r="BN252" s="3"/>
      <c r="BP252" s="3"/>
      <c r="BQ252" s="3"/>
      <c r="BS252" s="42" t="s">
        <v>284</v>
      </c>
    </row>
    <row r="253" spans="1:71" ht="24.9" customHeight="1" x14ac:dyDescent="0.3">
      <c r="A253" s="325">
        <v>150000719</v>
      </c>
      <c r="B253" s="849" t="s">
        <v>285</v>
      </c>
      <c r="C253" s="850">
        <v>5</v>
      </c>
      <c r="D253" s="101" t="s">
        <v>455</v>
      </c>
      <c r="E253" s="279">
        <v>6211.0999999999995</v>
      </c>
      <c r="F253" s="838">
        <v>12958.266236529415</v>
      </c>
      <c r="G253" s="838">
        <v>124211</v>
      </c>
      <c r="H253" s="838">
        <v>111252.73376347059</v>
      </c>
      <c r="I253" s="839">
        <v>0</v>
      </c>
      <c r="J253" s="851">
        <v>0</v>
      </c>
      <c r="K253" s="852"/>
      <c r="L253" s="839">
        <v>3</v>
      </c>
      <c r="M253" s="851">
        <v>114500</v>
      </c>
      <c r="N253" s="886"/>
      <c r="O253" s="839">
        <v>0</v>
      </c>
      <c r="P253" s="851">
        <v>0</v>
      </c>
      <c r="Q253" s="854"/>
      <c r="R253" s="839">
        <v>0</v>
      </c>
      <c r="S253" s="851">
        <v>0</v>
      </c>
      <c r="T253" s="855"/>
      <c r="U253" s="839">
        <v>0</v>
      </c>
      <c r="V253" s="851">
        <v>0</v>
      </c>
      <c r="W253" s="839">
        <v>0</v>
      </c>
      <c r="X253" s="851">
        <v>0</v>
      </c>
      <c r="Y253" s="839">
        <v>0</v>
      </c>
      <c r="Z253" s="851">
        <v>0</v>
      </c>
      <c r="AA253" s="839">
        <v>0</v>
      </c>
      <c r="AB253" s="851">
        <v>0</v>
      </c>
      <c r="AC253" s="839">
        <v>9711</v>
      </c>
      <c r="AD253" s="851">
        <v>0</v>
      </c>
      <c r="AE253" s="839">
        <v>598.56467936387094</v>
      </c>
      <c r="AF253" s="851">
        <v>0</v>
      </c>
      <c r="AG253" s="857"/>
      <c r="AH253" s="839">
        <v>975.5292650897868</v>
      </c>
      <c r="AI253" s="851">
        <v>0</v>
      </c>
      <c r="AJ253" s="857"/>
      <c r="AK253" s="839">
        <v>568.60575830468986</v>
      </c>
      <c r="AL253" s="851">
        <v>0</v>
      </c>
      <c r="AM253" s="856"/>
      <c r="AN253" s="839">
        <v>0</v>
      </c>
      <c r="AO253" s="851">
        <v>0</v>
      </c>
      <c r="AP253" s="856"/>
      <c r="AQ253" s="839">
        <v>338.81178137477229</v>
      </c>
      <c r="AR253" s="851">
        <v>0</v>
      </c>
      <c r="AS253" s="856"/>
      <c r="AT253" s="839">
        <v>542.99350131699373</v>
      </c>
      <c r="AU253" s="851">
        <v>0</v>
      </c>
      <c r="AV253" s="857"/>
      <c r="AW253" s="839">
        <v>0</v>
      </c>
      <c r="AX253" s="851">
        <v>0</v>
      </c>
      <c r="AY253" s="856"/>
      <c r="AZ253" s="845">
        <v>3024.5049854501135</v>
      </c>
      <c r="BA253" s="845">
        <v>0</v>
      </c>
      <c r="BB253" s="846">
        <v>-3024.5049854501135</v>
      </c>
      <c r="BD253" s="2">
        <v>3</v>
      </c>
      <c r="BF253" s="787">
        <v>19.705608992420917</v>
      </c>
      <c r="BG253" s="325">
        <v>150000719</v>
      </c>
      <c r="BI253" s="847">
        <v>0</v>
      </c>
      <c r="BJ253" s="847">
        <v>0</v>
      </c>
      <c r="BK253" s="847">
        <v>0</v>
      </c>
      <c r="BL253" s="848"/>
      <c r="BM253" s="3"/>
      <c r="BN253" s="3"/>
      <c r="BP253" s="3"/>
      <c r="BQ253" s="3"/>
      <c r="BS253" s="42" t="s">
        <v>285</v>
      </c>
    </row>
    <row r="254" spans="1:71" ht="24.9" customHeight="1" x14ac:dyDescent="0.3">
      <c r="A254" s="325">
        <v>150000716</v>
      </c>
      <c r="B254" s="849" t="s">
        <v>286</v>
      </c>
      <c r="C254" s="850">
        <v>5</v>
      </c>
      <c r="D254" s="101" t="s">
        <v>455</v>
      </c>
      <c r="E254" s="279">
        <v>3171.42</v>
      </c>
      <c r="F254" s="838">
        <v>7842.3553060547802</v>
      </c>
      <c r="G254" s="838">
        <v>678</v>
      </c>
      <c r="H254" s="838">
        <v>-7164.3553060547802</v>
      </c>
      <c r="I254" s="839">
        <v>0</v>
      </c>
      <c r="J254" s="851">
        <v>678</v>
      </c>
      <c r="K254" s="852"/>
      <c r="L254" s="839">
        <v>0</v>
      </c>
      <c r="M254" s="851">
        <v>0</v>
      </c>
      <c r="N254" s="853"/>
      <c r="O254" s="839">
        <v>0</v>
      </c>
      <c r="P254" s="851">
        <v>0</v>
      </c>
      <c r="Q254" s="854"/>
      <c r="R254" s="839">
        <v>0</v>
      </c>
      <c r="S254" s="851">
        <v>0</v>
      </c>
      <c r="T254" s="855"/>
      <c r="U254" s="839">
        <v>0</v>
      </c>
      <c r="V254" s="851">
        <v>0</v>
      </c>
      <c r="W254" s="839">
        <v>0</v>
      </c>
      <c r="X254" s="851">
        <v>0</v>
      </c>
      <c r="Y254" s="839">
        <v>0</v>
      </c>
      <c r="Z254" s="851">
        <v>0</v>
      </c>
      <c r="AA254" s="839">
        <v>0</v>
      </c>
      <c r="AB254" s="851">
        <v>0</v>
      </c>
      <c r="AC254" s="839">
        <v>0</v>
      </c>
      <c r="AD254" s="851">
        <v>0</v>
      </c>
      <c r="AE254" s="839">
        <v>366.08836141794058</v>
      </c>
      <c r="AF254" s="851">
        <v>0</v>
      </c>
      <c r="AG254" s="856"/>
      <c r="AH254" s="839">
        <v>490.31866771622811</v>
      </c>
      <c r="AI254" s="851">
        <v>0</v>
      </c>
      <c r="AJ254" s="856"/>
      <c r="AK254" s="839">
        <v>307.91442535873171</v>
      </c>
      <c r="AL254" s="851">
        <v>0</v>
      </c>
      <c r="AM254" s="856"/>
      <c r="AN254" s="839">
        <v>0</v>
      </c>
      <c r="AO254" s="851">
        <v>0</v>
      </c>
      <c r="AP254" s="856"/>
      <c r="AQ254" s="839">
        <v>0</v>
      </c>
      <c r="AR254" s="851">
        <v>0</v>
      </c>
      <c r="AS254" s="856"/>
      <c r="AT254" s="839">
        <v>200.55401869626783</v>
      </c>
      <c r="AU254" s="851">
        <v>0</v>
      </c>
      <c r="AV254" s="856"/>
      <c r="AW254" s="839">
        <v>0</v>
      </c>
      <c r="AX254" s="851">
        <v>0</v>
      </c>
      <c r="AY254" s="856"/>
      <c r="AZ254" s="845">
        <v>1364.8754731891681</v>
      </c>
      <c r="BA254" s="845">
        <v>0</v>
      </c>
      <c r="BB254" s="846">
        <v>-1364.8754731891681</v>
      </c>
      <c r="BD254" s="2">
        <v>3</v>
      </c>
      <c r="BF254" s="787">
        <v>53.906812136470286</v>
      </c>
      <c r="BG254" s="325">
        <v>150000716</v>
      </c>
      <c r="BI254" s="847">
        <v>0</v>
      </c>
      <c r="BJ254" s="847">
        <v>0</v>
      </c>
      <c r="BK254" s="847">
        <v>0</v>
      </c>
      <c r="BL254" s="848"/>
      <c r="BM254" s="3"/>
      <c r="BN254" s="3"/>
      <c r="BP254" s="3"/>
      <c r="BQ254" s="3"/>
      <c r="BS254" s="42" t="s">
        <v>286</v>
      </c>
    </row>
    <row r="255" spans="1:71" ht="24.9" customHeight="1" x14ac:dyDescent="0.3">
      <c r="A255" s="325">
        <v>150000717</v>
      </c>
      <c r="B255" s="849" t="s">
        <v>287</v>
      </c>
      <c r="C255" s="850">
        <v>5</v>
      </c>
      <c r="D255" s="101" t="s">
        <v>455</v>
      </c>
      <c r="E255" s="279">
        <v>3165.2999999999997</v>
      </c>
      <c r="F255" s="838">
        <v>7164.5218917400261</v>
      </c>
      <c r="G255" s="838">
        <v>489</v>
      </c>
      <c r="H255" s="838">
        <v>-6675.5218917400261</v>
      </c>
      <c r="I255" s="839">
        <v>0</v>
      </c>
      <c r="J255" s="851">
        <v>0</v>
      </c>
      <c r="K255" s="852"/>
      <c r="L255" s="839">
        <v>0</v>
      </c>
      <c r="M255" s="851">
        <v>0</v>
      </c>
      <c r="N255" s="853"/>
      <c r="O255" s="839">
        <v>0</v>
      </c>
      <c r="P255" s="851">
        <v>0</v>
      </c>
      <c r="Q255" s="854"/>
      <c r="R255" s="839">
        <v>0</v>
      </c>
      <c r="S255" s="851">
        <v>0</v>
      </c>
      <c r="T255" s="855"/>
      <c r="U255" s="839">
        <v>0</v>
      </c>
      <c r="V255" s="851">
        <v>0</v>
      </c>
      <c r="W255" s="839">
        <v>0</v>
      </c>
      <c r="X255" s="851">
        <v>0</v>
      </c>
      <c r="Y255" s="839">
        <v>0</v>
      </c>
      <c r="Z255" s="851">
        <v>0</v>
      </c>
      <c r="AA255" s="839">
        <v>0</v>
      </c>
      <c r="AB255" s="851">
        <v>0</v>
      </c>
      <c r="AC255" s="839">
        <v>489</v>
      </c>
      <c r="AD255" s="851">
        <v>0</v>
      </c>
      <c r="AE255" s="839">
        <v>363.89792516554621</v>
      </c>
      <c r="AF255" s="851">
        <v>0</v>
      </c>
      <c r="AG255" s="867"/>
      <c r="AH255" s="839">
        <v>490.31866771622811</v>
      </c>
      <c r="AI255" s="851">
        <v>0</v>
      </c>
      <c r="AJ255" s="856"/>
      <c r="AK255" s="839">
        <v>310.38881940211519</v>
      </c>
      <c r="AL255" s="851">
        <v>0</v>
      </c>
      <c r="AM255" s="856"/>
      <c r="AN255" s="839">
        <v>0</v>
      </c>
      <c r="AO255" s="851">
        <v>0</v>
      </c>
      <c r="AP255" s="856"/>
      <c r="AQ255" s="839">
        <v>0</v>
      </c>
      <c r="AR255" s="851">
        <v>0</v>
      </c>
      <c r="AS255" s="856"/>
      <c r="AT255" s="839">
        <v>200.62495309533139</v>
      </c>
      <c r="AU255" s="851">
        <v>0</v>
      </c>
      <c r="AV255" s="856"/>
      <c r="AW255" s="839">
        <v>0</v>
      </c>
      <c r="AX255" s="851">
        <v>0</v>
      </c>
      <c r="AY255" s="856"/>
      <c r="AZ255" s="845">
        <v>1365.230365379221</v>
      </c>
      <c r="BA255" s="845">
        <v>0</v>
      </c>
      <c r="BB255" s="846">
        <v>-1365.230365379221</v>
      </c>
      <c r="BD255" s="2">
        <v>3</v>
      </c>
      <c r="BF255" s="787">
        <v>53.792626841407134</v>
      </c>
      <c r="BG255" s="325">
        <v>150000717</v>
      </c>
      <c r="BI255" s="847">
        <v>0</v>
      </c>
      <c r="BJ255" s="847">
        <v>0</v>
      </c>
      <c r="BK255" s="847">
        <v>0</v>
      </c>
      <c r="BL255" s="848"/>
      <c r="BM255" s="3"/>
      <c r="BN255" s="3"/>
      <c r="BP255" s="3"/>
      <c r="BQ255" s="3"/>
      <c r="BS255" s="42" t="s">
        <v>287</v>
      </c>
    </row>
    <row r="256" spans="1:71" ht="24.9" customHeight="1" x14ac:dyDescent="0.3">
      <c r="A256" s="325">
        <v>150000718</v>
      </c>
      <c r="B256" s="849" t="s">
        <v>288</v>
      </c>
      <c r="C256" s="850">
        <v>5</v>
      </c>
      <c r="D256" s="101" t="s">
        <v>455</v>
      </c>
      <c r="E256" s="279">
        <v>4456.6000000000004</v>
      </c>
      <c r="F256" s="838">
        <v>10249.621393124984</v>
      </c>
      <c r="G256" s="838">
        <v>76816.248854049772</v>
      </c>
      <c r="H256" s="838">
        <v>66566.627460924792</v>
      </c>
      <c r="I256" s="839">
        <v>0</v>
      </c>
      <c r="J256" s="851">
        <v>1017</v>
      </c>
      <c r="K256" s="852"/>
      <c r="L256" s="839">
        <v>2</v>
      </c>
      <c r="M256" s="851">
        <v>66593</v>
      </c>
      <c r="N256" s="853"/>
      <c r="O256" s="839">
        <v>0</v>
      </c>
      <c r="P256" s="851">
        <v>0</v>
      </c>
      <c r="Q256" s="854"/>
      <c r="R256" s="839">
        <v>0</v>
      </c>
      <c r="S256" s="851">
        <v>0</v>
      </c>
      <c r="T256" s="855"/>
      <c r="U256" s="839">
        <v>0</v>
      </c>
      <c r="V256" s="851">
        <v>0</v>
      </c>
      <c r="W256" s="839">
        <v>2</v>
      </c>
      <c r="X256" s="851">
        <v>275.24885404976663</v>
      </c>
      <c r="Y256" s="839">
        <v>0</v>
      </c>
      <c r="Z256" s="851">
        <v>0</v>
      </c>
      <c r="AA256" s="839">
        <v>0</v>
      </c>
      <c r="AB256" s="851">
        <v>249</v>
      </c>
      <c r="AC256" s="839">
        <v>8682</v>
      </c>
      <c r="AD256" s="851">
        <v>0</v>
      </c>
      <c r="AE256" s="839">
        <v>441.65315238689044</v>
      </c>
      <c r="AF256" s="851">
        <v>0</v>
      </c>
      <c r="AG256" s="856"/>
      <c r="AH256" s="839">
        <v>725.10147090433986</v>
      </c>
      <c r="AI256" s="851">
        <v>0</v>
      </c>
      <c r="AJ256" s="856"/>
      <c r="AK256" s="839">
        <v>412.62285498128728</v>
      </c>
      <c r="AL256" s="851">
        <v>0</v>
      </c>
      <c r="AM256" s="856"/>
      <c r="AN256" s="839">
        <v>0</v>
      </c>
      <c r="AO256" s="851">
        <v>0</v>
      </c>
      <c r="AP256" s="856"/>
      <c r="AQ256" s="839">
        <v>218.86472282667671</v>
      </c>
      <c r="AR256" s="851">
        <v>0</v>
      </c>
      <c r="AS256" s="856"/>
      <c r="AT256" s="839">
        <v>324.71868414836467</v>
      </c>
      <c r="AU256" s="851">
        <v>0</v>
      </c>
      <c r="AV256" s="856"/>
      <c r="AW256" s="839">
        <v>0</v>
      </c>
      <c r="AX256" s="851">
        <v>0</v>
      </c>
      <c r="AY256" s="856"/>
      <c r="AZ256" s="845">
        <v>2122.9608852475585</v>
      </c>
      <c r="BA256" s="845">
        <v>0</v>
      </c>
      <c r="BB256" s="846">
        <v>-2122.9608852475585</v>
      </c>
      <c r="BD256" s="2">
        <v>3</v>
      </c>
      <c r="BF256" s="787">
        <v>116.76475005579171</v>
      </c>
      <c r="BG256" s="325">
        <v>150000718</v>
      </c>
      <c r="BI256" s="847">
        <v>72.44</v>
      </c>
      <c r="BJ256" s="847">
        <v>7.1087866984300057</v>
      </c>
      <c r="BK256" s="847">
        <v>79.548786698430007</v>
      </c>
      <c r="BL256" s="848"/>
      <c r="BM256" s="3">
        <v>2</v>
      </c>
      <c r="BN256" s="3">
        <v>116</v>
      </c>
      <c r="BP256" s="3"/>
      <c r="BQ256" s="3"/>
      <c r="BS256" s="42" t="s">
        <v>288</v>
      </c>
    </row>
    <row r="257" spans="1:71" ht="24.9" customHeight="1" x14ac:dyDescent="0.3">
      <c r="A257" s="325">
        <v>150000720</v>
      </c>
      <c r="B257" s="849" t="s">
        <v>289</v>
      </c>
      <c r="C257" s="850">
        <v>5</v>
      </c>
      <c r="D257" s="101" t="s">
        <v>455</v>
      </c>
      <c r="E257" s="279">
        <v>3670.1</v>
      </c>
      <c r="F257" s="838">
        <v>5110.3195709486081</v>
      </c>
      <c r="G257" s="838">
        <v>0</v>
      </c>
      <c r="H257" s="838">
        <v>-5110.3195709486081</v>
      </c>
      <c r="I257" s="839">
        <v>0</v>
      </c>
      <c r="J257" s="851">
        <v>0</v>
      </c>
      <c r="K257" s="859"/>
      <c r="L257" s="839">
        <v>0</v>
      </c>
      <c r="M257" s="851">
        <v>0</v>
      </c>
      <c r="N257" s="853"/>
      <c r="O257" s="839">
        <v>0</v>
      </c>
      <c r="P257" s="851">
        <v>0</v>
      </c>
      <c r="Q257" s="854"/>
      <c r="R257" s="839">
        <v>0</v>
      </c>
      <c r="S257" s="851">
        <v>0</v>
      </c>
      <c r="T257" s="855"/>
      <c r="U257" s="839">
        <v>0</v>
      </c>
      <c r="V257" s="851">
        <v>0</v>
      </c>
      <c r="W257" s="839">
        <v>0</v>
      </c>
      <c r="X257" s="851">
        <v>0</v>
      </c>
      <c r="Y257" s="839">
        <v>0</v>
      </c>
      <c r="Z257" s="851">
        <v>0</v>
      </c>
      <c r="AA257" s="839">
        <v>0</v>
      </c>
      <c r="AB257" s="851">
        <v>0</v>
      </c>
      <c r="AC257" s="839">
        <v>0</v>
      </c>
      <c r="AD257" s="851">
        <v>0</v>
      </c>
      <c r="AE257" s="839">
        <v>304.74829424469891</v>
      </c>
      <c r="AF257" s="851">
        <v>0</v>
      </c>
      <c r="AG257" s="856"/>
      <c r="AH257" s="839">
        <v>470.34239890552664</v>
      </c>
      <c r="AI257" s="851">
        <v>0</v>
      </c>
      <c r="AJ257" s="856"/>
      <c r="AK257" s="839">
        <v>376.50712476896177</v>
      </c>
      <c r="AL257" s="851">
        <v>0</v>
      </c>
      <c r="AM257" s="856"/>
      <c r="AN257" s="839">
        <v>225.85537583994028</v>
      </c>
      <c r="AO257" s="851">
        <v>0</v>
      </c>
      <c r="AP257" s="856"/>
      <c r="AQ257" s="839">
        <v>0</v>
      </c>
      <c r="AR257" s="851">
        <v>0</v>
      </c>
      <c r="AS257" s="856"/>
      <c r="AT257" s="839">
        <v>188.63842984583084</v>
      </c>
      <c r="AU257" s="851">
        <v>0</v>
      </c>
      <c r="AV257" s="856"/>
      <c r="AW257" s="839">
        <v>0</v>
      </c>
      <c r="AX257" s="851">
        <v>0</v>
      </c>
      <c r="AY257" s="856"/>
      <c r="AZ257" s="845">
        <v>1566.0916236049584</v>
      </c>
      <c r="BA257" s="845">
        <v>0</v>
      </c>
      <c r="BB257" s="846">
        <v>-1566.0916236049584</v>
      </c>
      <c r="BD257" s="2">
        <v>3</v>
      </c>
      <c r="BF257" s="787">
        <v>55.39410812479214</v>
      </c>
      <c r="BG257" s="325">
        <v>150000720</v>
      </c>
      <c r="BI257" s="847">
        <v>0</v>
      </c>
      <c r="BJ257" s="847">
        <v>0</v>
      </c>
      <c r="BK257" s="847">
        <v>0</v>
      </c>
      <c r="BL257" s="848"/>
      <c r="BM257" s="3"/>
      <c r="BN257" s="3"/>
      <c r="BP257" s="3"/>
      <c r="BQ257" s="3"/>
      <c r="BS257" s="42" t="s">
        <v>289</v>
      </c>
    </row>
    <row r="258" spans="1:71" ht="24.9" customHeight="1" x14ac:dyDescent="0.3">
      <c r="A258" s="325">
        <v>150000750</v>
      </c>
      <c r="B258" s="862" t="s">
        <v>130</v>
      </c>
      <c r="C258" s="863">
        <v>1</v>
      </c>
      <c r="D258" s="101" t="s">
        <v>455</v>
      </c>
      <c r="E258" s="279">
        <v>275.8</v>
      </c>
      <c r="F258" s="838">
        <v>650.57765300888207</v>
      </c>
      <c r="G258" s="838">
        <v>1349</v>
      </c>
      <c r="H258" s="838">
        <v>698.42234699111793</v>
      </c>
      <c r="I258" s="839">
        <v>0</v>
      </c>
      <c r="J258" s="851">
        <v>1349</v>
      </c>
      <c r="K258" s="852"/>
      <c r="L258" s="839">
        <v>0</v>
      </c>
      <c r="M258" s="851">
        <v>0</v>
      </c>
      <c r="N258" s="853"/>
      <c r="O258" s="839">
        <v>0</v>
      </c>
      <c r="P258" s="851">
        <v>0</v>
      </c>
      <c r="Q258" s="854"/>
      <c r="R258" s="839">
        <v>0</v>
      </c>
      <c r="S258" s="851">
        <v>0</v>
      </c>
      <c r="T258" s="855"/>
      <c r="U258" s="839">
        <v>0</v>
      </c>
      <c r="V258" s="851">
        <v>0</v>
      </c>
      <c r="W258" s="839">
        <v>0</v>
      </c>
      <c r="X258" s="851">
        <v>0</v>
      </c>
      <c r="Y258" s="839">
        <v>0</v>
      </c>
      <c r="Z258" s="851">
        <v>0</v>
      </c>
      <c r="AA258" s="839">
        <v>0</v>
      </c>
      <c r="AB258" s="851">
        <v>0</v>
      </c>
      <c r="AC258" s="839">
        <v>0</v>
      </c>
      <c r="AD258" s="851">
        <v>0</v>
      </c>
      <c r="AE258" s="839">
        <v>0</v>
      </c>
      <c r="AF258" s="851">
        <v>0</v>
      </c>
      <c r="AG258" s="856"/>
      <c r="AH258" s="839">
        <v>0</v>
      </c>
      <c r="AI258" s="851">
        <v>0</v>
      </c>
      <c r="AJ258" s="856"/>
      <c r="AK258" s="839">
        <v>0</v>
      </c>
      <c r="AL258" s="851">
        <v>0</v>
      </c>
      <c r="AM258" s="856"/>
      <c r="AN258" s="839">
        <v>0</v>
      </c>
      <c r="AO258" s="851">
        <v>0</v>
      </c>
      <c r="AP258" s="856"/>
      <c r="AQ258" s="839">
        <v>0</v>
      </c>
      <c r="AR258" s="851">
        <v>0</v>
      </c>
      <c r="AS258" s="856"/>
      <c r="AT258" s="839">
        <v>0</v>
      </c>
      <c r="AU258" s="851">
        <v>0</v>
      </c>
      <c r="AV258" s="856"/>
      <c r="AW258" s="839">
        <v>0</v>
      </c>
      <c r="AX258" s="851">
        <v>0</v>
      </c>
      <c r="AY258" s="856"/>
      <c r="AZ258" s="845">
        <v>0</v>
      </c>
      <c r="BA258" s="845">
        <v>0</v>
      </c>
      <c r="BB258" s="846">
        <v>0</v>
      </c>
      <c r="BD258" s="2">
        <v>1</v>
      </c>
      <c r="BF258" s="787">
        <v>0</v>
      </c>
      <c r="BG258" s="325">
        <v>150000750</v>
      </c>
      <c r="BI258" s="847">
        <v>0</v>
      </c>
      <c r="BJ258" s="847">
        <v>0</v>
      </c>
      <c r="BK258" s="847">
        <v>0</v>
      </c>
      <c r="BL258" s="848"/>
      <c r="BM258" s="3"/>
      <c r="BN258" s="3"/>
      <c r="BP258" s="3"/>
      <c r="BQ258" s="3"/>
      <c r="BS258" s="42" t="s">
        <v>130</v>
      </c>
    </row>
    <row r="259" spans="1:71" ht="24.9" customHeight="1" x14ac:dyDescent="0.3">
      <c r="A259" s="325">
        <v>150000751</v>
      </c>
      <c r="B259" s="862" t="s">
        <v>131</v>
      </c>
      <c r="C259" s="863">
        <v>1</v>
      </c>
      <c r="D259" s="101" t="s">
        <v>455</v>
      </c>
      <c r="E259" s="279">
        <v>146.1</v>
      </c>
      <c r="F259" s="838">
        <v>302.1483716781014</v>
      </c>
      <c r="G259" s="838">
        <v>1619</v>
      </c>
      <c r="H259" s="838">
        <v>1316.8516283218987</v>
      </c>
      <c r="I259" s="839">
        <v>0</v>
      </c>
      <c r="J259" s="851">
        <v>1619</v>
      </c>
      <c r="K259" s="852"/>
      <c r="L259" s="839">
        <v>0</v>
      </c>
      <c r="M259" s="851">
        <v>0</v>
      </c>
      <c r="N259" s="853"/>
      <c r="O259" s="839">
        <v>0</v>
      </c>
      <c r="P259" s="851">
        <v>0</v>
      </c>
      <c r="Q259" s="854"/>
      <c r="R259" s="839">
        <v>0</v>
      </c>
      <c r="S259" s="851">
        <v>0</v>
      </c>
      <c r="T259" s="855"/>
      <c r="U259" s="839">
        <v>0</v>
      </c>
      <c r="V259" s="851">
        <v>0</v>
      </c>
      <c r="W259" s="839">
        <v>0</v>
      </c>
      <c r="X259" s="851">
        <v>0</v>
      </c>
      <c r="Y259" s="839">
        <v>0</v>
      </c>
      <c r="Z259" s="851">
        <v>0</v>
      </c>
      <c r="AA259" s="839">
        <v>0</v>
      </c>
      <c r="AB259" s="851">
        <v>0</v>
      </c>
      <c r="AC259" s="839">
        <v>0</v>
      </c>
      <c r="AD259" s="851">
        <v>0</v>
      </c>
      <c r="AE259" s="839">
        <v>0</v>
      </c>
      <c r="AF259" s="851">
        <v>0</v>
      </c>
      <c r="AG259" s="856"/>
      <c r="AH259" s="839">
        <v>0</v>
      </c>
      <c r="AI259" s="851">
        <v>0</v>
      </c>
      <c r="AJ259" s="856"/>
      <c r="AK259" s="839">
        <v>0</v>
      </c>
      <c r="AL259" s="851">
        <v>0</v>
      </c>
      <c r="AM259" s="856"/>
      <c r="AN259" s="839">
        <v>0</v>
      </c>
      <c r="AO259" s="851">
        <v>0</v>
      </c>
      <c r="AP259" s="856"/>
      <c r="AQ259" s="839">
        <v>0</v>
      </c>
      <c r="AR259" s="851">
        <v>0</v>
      </c>
      <c r="AS259" s="856"/>
      <c r="AT259" s="839">
        <v>0</v>
      </c>
      <c r="AU259" s="851">
        <v>0</v>
      </c>
      <c r="AV259" s="856"/>
      <c r="AW259" s="839">
        <v>0</v>
      </c>
      <c r="AX259" s="851">
        <v>0</v>
      </c>
      <c r="AY259" s="856"/>
      <c r="AZ259" s="845">
        <v>0</v>
      </c>
      <c r="BA259" s="845">
        <v>0</v>
      </c>
      <c r="BB259" s="846">
        <v>0</v>
      </c>
      <c r="BD259" s="2">
        <v>1</v>
      </c>
      <c r="BF259" s="787">
        <v>0</v>
      </c>
      <c r="BG259" s="325">
        <v>150000751</v>
      </c>
      <c r="BI259" s="847">
        <v>0</v>
      </c>
      <c r="BJ259" s="847">
        <v>0</v>
      </c>
      <c r="BK259" s="847">
        <v>0</v>
      </c>
      <c r="BL259" s="848"/>
      <c r="BM259" s="3"/>
      <c r="BN259" s="3"/>
      <c r="BP259" s="3"/>
      <c r="BQ259" s="3"/>
      <c r="BS259" s="42" t="s">
        <v>131</v>
      </c>
    </row>
    <row r="260" spans="1:71" ht="24.9" customHeight="1" x14ac:dyDescent="0.3">
      <c r="A260" s="325">
        <v>150000752</v>
      </c>
      <c r="B260" s="849" t="s">
        <v>387</v>
      </c>
      <c r="C260" s="850">
        <v>9</v>
      </c>
      <c r="D260" s="101" t="s">
        <v>455</v>
      </c>
      <c r="E260" s="279">
        <v>3990.7000000000003</v>
      </c>
      <c r="F260" s="838">
        <v>12433.750025904579</v>
      </c>
      <c r="G260" s="838">
        <v>118840</v>
      </c>
      <c r="H260" s="838">
        <v>106406.24997409542</v>
      </c>
      <c r="I260" s="839">
        <v>0</v>
      </c>
      <c r="J260" s="851">
        <v>0</v>
      </c>
      <c r="K260" s="852"/>
      <c r="L260" s="839">
        <v>1</v>
      </c>
      <c r="M260" s="851">
        <v>108680</v>
      </c>
      <c r="N260" s="853"/>
      <c r="O260" s="839">
        <v>0</v>
      </c>
      <c r="P260" s="851">
        <v>0</v>
      </c>
      <c r="Q260" s="854"/>
      <c r="R260" s="839">
        <v>0</v>
      </c>
      <c r="S260" s="851">
        <v>0</v>
      </c>
      <c r="T260" s="870"/>
      <c r="U260" s="839">
        <v>0</v>
      </c>
      <c r="V260" s="851">
        <v>0</v>
      </c>
      <c r="W260" s="839">
        <v>1</v>
      </c>
      <c r="X260" s="851">
        <v>445</v>
      </c>
      <c r="Y260" s="839">
        <v>0</v>
      </c>
      <c r="Z260" s="851">
        <v>0</v>
      </c>
      <c r="AA260" s="839">
        <v>0</v>
      </c>
      <c r="AB260" s="851">
        <v>0</v>
      </c>
      <c r="AC260" s="839">
        <v>9715</v>
      </c>
      <c r="AD260" s="851">
        <v>0</v>
      </c>
      <c r="AE260" s="839">
        <v>160.28234453452649</v>
      </c>
      <c r="AF260" s="851">
        <v>0</v>
      </c>
      <c r="AG260" s="856"/>
      <c r="AH260" s="839">
        <v>216.30381693881802</v>
      </c>
      <c r="AI260" s="851">
        <v>0</v>
      </c>
      <c r="AJ260" s="856"/>
      <c r="AK260" s="839">
        <v>300.81395588574151</v>
      </c>
      <c r="AL260" s="851">
        <v>0</v>
      </c>
      <c r="AM260" s="856"/>
      <c r="AN260" s="839">
        <v>109.41598290170468</v>
      </c>
      <c r="AO260" s="851">
        <v>0</v>
      </c>
      <c r="AP260" s="856"/>
      <c r="AQ260" s="839">
        <v>65.961235315382794</v>
      </c>
      <c r="AR260" s="851">
        <v>0</v>
      </c>
      <c r="AS260" s="857"/>
      <c r="AT260" s="839">
        <v>182.09319879634614</v>
      </c>
      <c r="AU260" s="851">
        <v>13783</v>
      </c>
      <c r="AV260" s="856"/>
      <c r="AW260" s="839">
        <v>94.161478523291592</v>
      </c>
      <c r="AX260" s="851">
        <v>0</v>
      </c>
      <c r="AY260" s="856"/>
      <c r="AZ260" s="845">
        <v>1129.0320128958112</v>
      </c>
      <c r="BA260" s="845">
        <v>13783</v>
      </c>
      <c r="BB260" s="846">
        <v>12653.967987104188</v>
      </c>
      <c r="BD260" s="2">
        <v>1</v>
      </c>
      <c r="BF260" s="787">
        <v>200.53387366625972</v>
      </c>
      <c r="BG260" s="325">
        <v>150000752</v>
      </c>
      <c r="BI260" s="847">
        <v>0</v>
      </c>
      <c r="BJ260" s="847">
        <v>0</v>
      </c>
      <c r="BK260" s="847">
        <v>0</v>
      </c>
      <c r="BL260" s="848"/>
      <c r="BM260" s="3"/>
      <c r="BN260" s="3"/>
      <c r="BP260" s="3"/>
      <c r="BQ260" s="3"/>
      <c r="BS260" s="42" t="s">
        <v>387</v>
      </c>
    </row>
    <row r="261" spans="1:71" ht="24.9" customHeight="1" x14ac:dyDescent="0.3">
      <c r="A261" s="325">
        <v>150000760</v>
      </c>
      <c r="B261" s="849" t="s">
        <v>388</v>
      </c>
      <c r="C261" s="850">
        <v>9</v>
      </c>
      <c r="D261" s="101" t="s">
        <v>455</v>
      </c>
      <c r="E261" s="279">
        <v>11337.62</v>
      </c>
      <c r="F261" s="838">
        <v>33229.790980690806</v>
      </c>
      <c r="G261" s="838">
        <v>3964.5010813720246</v>
      </c>
      <c r="H261" s="838">
        <v>-29265.289899318781</v>
      </c>
      <c r="I261" s="839">
        <v>0</v>
      </c>
      <c r="J261" s="851">
        <v>0</v>
      </c>
      <c r="K261" s="852"/>
      <c r="L261" s="839">
        <v>0</v>
      </c>
      <c r="M261" s="851">
        <v>0</v>
      </c>
      <c r="N261" s="853"/>
      <c r="O261" s="839">
        <v>0</v>
      </c>
      <c r="P261" s="851">
        <v>0</v>
      </c>
      <c r="Q261" s="887"/>
      <c r="R261" s="839">
        <v>0</v>
      </c>
      <c r="S261" s="851">
        <v>0</v>
      </c>
      <c r="T261" s="870"/>
      <c r="U261" s="839">
        <v>0</v>
      </c>
      <c r="V261" s="851">
        <v>0</v>
      </c>
      <c r="W261" s="839">
        <v>0</v>
      </c>
      <c r="X261" s="851">
        <v>113.50108137202444</v>
      </c>
      <c r="Y261" s="839">
        <v>0</v>
      </c>
      <c r="Z261" s="851">
        <v>0</v>
      </c>
      <c r="AA261" s="839">
        <v>0</v>
      </c>
      <c r="AB261" s="851">
        <v>0</v>
      </c>
      <c r="AC261" s="839">
        <v>107</v>
      </c>
      <c r="AD261" s="851">
        <v>3744</v>
      </c>
      <c r="AE261" s="839">
        <v>355.34403081711207</v>
      </c>
      <c r="AF261" s="851">
        <v>0</v>
      </c>
      <c r="AG261" s="867"/>
      <c r="AH261" s="839">
        <v>895.58576938451483</v>
      </c>
      <c r="AI261" s="851">
        <v>13374</v>
      </c>
      <c r="AJ261" s="856"/>
      <c r="AK261" s="839">
        <v>745.46315154097363</v>
      </c>
      <c r="AL261" s="851">
        <v>0</v>
      </c>
      <c r="AM261" s="856"/>
      <c r="AN261" s="839">
        <v>288.12756542741425</v>
      </c>
      <c r="AO261" s="851">
        <v>742</v>
      </c>
      <c r="AP261" s="856"/>
      <c r="AQ261" s="839">
        <v>98.941812127749259</v>
      </c>
      <c r="AR261" s="851">
        <v>0</v>
      </c>
      <c r="AS261" s="857"/>
      <c r="AT261" s="839">
        <v>518.72018098120952</v>
      </c>
      <c r="AU261" s="851">
        <v>0</v>
      </c>
      <c r="AV261" s="856"/>
      <c r="AW261" s="839">
        <v>0</v>
      </c>
      <c r="AX261" s="851">
        <v>0</v>
      </c>
      <c r="AY261" s="856"/>
      <c r="AZ261" s="845">
        <v>2902.1825102789735</v>
      </c>
      <c r="BA261" s="845">
        <v>14116</v>
      </c>
      <c r="BB261" s="846">
        <v>11213.817489721027</v>
      </c>
      <c r="BD261" s="2">
        <v>2</v>
      </c>
      <c r="BF261" s="787">
        <v>76.022588684079722</v>
      </c>
      <c r="BG261" s="325">
        <v>150000760</v>
      </c>
      <c r="BI261" s="847">
        <v>51.63</v>
      </c>
      <c r="BJ261" s="847">
        <v>5.0666297244608121</v>
      </c>
      <c r="BK261" s="847">
        <v>56.696629724460813</v>
      </c>
      <c r="BL261" s="848"/>
      <c r="BM261" s="3"/>
      <c r="BN261" s="3"/>
      <c r="BP261" s="3"/>
      <c r="BQ261" s="3"/>
      <c r="BS261" s="42" t="s">
        <v>388</v>
      </c>
    </row>
    <row r="262" spans="1:71" ht="24.9" customHeight="1" x14ac:dyDescent="0.3">
      <c r="A262" s="325">
        <v>150000758</v>
      </c>
      <c r="B262" s="849" t="s">
        <v>389</v>
      </c>
      <c r="C262" s="850">
        <v>9</v>
      </c>
      <c r="D262" s="101" t="s">
        <v>455</v>
      </c>
      <c r="E262" s="279">
        <v>13218.32</v>
      </c>
      <c r="F262" s="838">
        <v>40646.256181783298</v>
      </c>
      <c r="G262" s="838">
        <v>4029</v>
      </c>
      <c r="H262" s="838">
        <v>-36617.256181783298</v>
      </c>
      <c r="I262" s="839">
        <v>0</v>
      </c>
      <c r="J262" s="851">
        <v>0</v>
      </c>
      <c r="K262" s="866"/>
      <c r="L262" s="839">
        <v>0</v>
      </c>
      <c r="M262" s="851">
        <v>0</v>
      </c>
      <c r="N262" s="853"/>
      <c r="O262" s="839">
        <v>0</v>
      </c>
      <c r="P262" s="851">
        <v>0</v>
      </c>
      <c r="Q262" s="885"/>
      <c r="R262" s="839">
        <v>1</v>
      </c>
      <c r="S262" s="851">
        <v>927</v>
      </c>
      <c r="T262" s="870"/>
      <c r="U262" s="839">
        <v>0</v>
      </c>
      <c r="V262" s="851">
        <v>0</v>
      </c>
      <c r="W262" s="839">
        <v>0</v>
      </c>
      <c r="X262" s="851">
        <v>0</v>
      </c>
      <c r="Y262" s="839">
        <v>0</v>
      </c>
      <c r="Z262" s="851">
        <v>0</v>
      </c>
      <c r="AA262" s="839">
        <v>0</v>
      </c>
      <c r="AB262" s="851">
        <v>0</v>
      </c>
      <c r="AC262" s="839">
        <v>0</v>
      </c>
      <c r="AD262" s="851">
        <v>3102</v>
      </c>
      <c r="AE262" s="839">
        <v>459.45289091382273</v>
      </c>
      <c r="AF262" s="851">
        <v>0</v>
      </c>
      <c r="AG262" s="857"/>
      <c r="AH262" s="839">
        <v>1044.8023367926141</v>
      </c>
      <c r="AI262" s="851">
        <v>2683</v>
      </c>
      <c r="AJ262" s="857"/>
      <c r="AK262" s="839">
        <v>822.83356848650783</v>
      </c>
      <c r="AL262" s="851">
        <v>0</v>
      </c>
      <c r="AM262" s="163"/>
      <c r="AN262" s="839">
        <v>312.27663283934402</v>
      </c>
      <c r="AO262" s="851">
        <v>0</v>
      </c>
      <c r="AP262" s="856"/>
      <c r="AQ262" s="839">
        <v>115.42002660934838</v>
      </c>
      <c r="AR262" s="851">
        <v>0</v>
      </c>
      <c r="AS262" s="856"/>
      <c r="AT262" s="839">
        <v>542.44879755970385</v>
      </c>
      <c r="AU262" s="851">
        <v>0</v>
      </c>
      <c r="AV262" s="857"/>
      <c r="AW262" s="839">
        <v>0</v>
      </c>
      <c r="AX262" s="851">
        <v>0</v>
      </c>
      <c r="AY262" s="856"/>
      <c r="AZ262" s="845">
        <v>3297.2342532013413</v>
      </c>
      <c r="BA262" s="845">
        <v>2683</v>
      </c>
      <c r="BB262" s="846">
        <v>-614.23425320134129</v>
      </c>
      <c r="BD262" s="2">
        <v>2</v>
      </c>
      <c r="BF262" s="787">
        <v>46.26233944784439</v>
      </c>
      <c r="BG262" s="325">
        <v>150000758</v>
      </c>
      <c r="BI262" s="847">
        <v>0</v>
      </c>
      <c r="BJ262" s="847">
        <v>0</v>
      </c>
      <c r="BK262" s="847">
        <v>0</v>
      </c>
      <c r="BL262" s="848"/>
      <c r="BM262" s="3"/>
      <c r="BN262" s="3"/>
      <c r="BP262" s="3"/>
      <c r="BQ262" s="3"/>
      <c r="BS262" s="42" t="s">
        <v>389</v>
      </c>
    </row>
    <row r="263" spans="1:71" ht="24.9" customHeight="1" x14ac:dyDescent="0.3">
      <c r="A263" s="325">
        <v>150000759</v>
      </c>
      <c r="B263" s="849" t="s">
        <v>390</v>
      </c>
      <c r="C263" s="850">
        <v>9</v>
      </c>
      <c r="D263" s="101" t="s">
        <v>455</v>
      </c>
      <c r="E263" s="279">
        <v>5689.68</v>
      </c>
      <c r="F263" s="838">
        <v>17529.84731482427</v>
      </c>
      <c r="G263" s="838">
        <v>2897</v>
      </c>
      <c r="H263" s="838">
        <v>-14632.84731482427</v>
      </c>
      <c r="I263" s="839">
        <v>0</v>
      </c>
      <c r="J263" s="851">
        <v>0</v>
      </c>
      <c r="K263" s="852"/>
      <c r="L263" s="839">
        <v>0</v>
      </c>
      <c r="M263" s="851">
        <v>0</v>
      </c>
      <c r="N263" s="853"/>
      <c r="O263" s="839">
        <v>0</v>
      </c>
      <c r="P263" s="851">
        <v>0</v>
      </c>
      <c r="Q263" s="854"/>
      <c r="R263" s="839">
        <v>0</v>
      </c>
      <c r="S263" s="851">
        <v>0</v>
      </c>
      <c r="T263" s="860"/>
      <c r="U263" s="839">
        <v>0</v>
      </c>
      <c r="V263" s="851">
        <v>0</v>
      </c>
      <c r="W263" s="839">
        <v>0</v>
      </c>
      <c r="X263" s="851">
        <v>0</v>
      </c>
      <c r="Y263" s="839">
        <v>0</v>
      </c>
      <c r="Z263" s="851">
        <v>0</v>
      </c>
      <c r="AA263" s="839">
        <v>0</v>
      </c>
      <c r="AB263" s="851">
        <v>0</v>
      </c>
      <c r="AC263" s="839">
        <v>0</v>
      </c>
      <c r="AD263" s="851">
        <v>2897</v>
      </c>
      <c r="AE263" s="839">
        <v>203.84207769388419</v>
      </c>
      <c r="AF263" s="851">
        <v>0</v>
      </c>
      <c r="AG263" s="857"/>
      <c r="AH263" s="839">
        <v>261.17139780857241</v>
      </c>
      <c r="AI263" s="851">
        <v>0</v>
      </c>
      <c r="AJ263" s="889"/>
      <c r="AK263" s="839">
        <v>343.78808840870335</v>
      </c>
      <c r="AL263" s="851">
        <v>0</v>
      </c>
      <c r="AM263" s="856"/>
      <c r="AN263" s="839">
        <v>180.56196682523498</v>
      </c>
      <c r="AO263" s="851">
        <v>0</v>
      </c>
      <c r="AP263" s="856"/>
      <c r="AQ263" s="839">
        <v>49.458791293965582</v>
      </c>
      <c r="AR263" s="851">
        <v>0</v>
      </c>
      <c r="AS263" s="856"/>
      <c r="AT263" s="839">
        <v>252.40009770630149</v>
      </c>
      <c r="AU263" s="851">
        <v>0</v>
      </c>
      <c r="AV263" s="856"/>
      <c r="AW263" s="839">
        <v>0</v>
      </c>
      <c r="AX263" s="851">
        <v>0</v>
      </c>
      <c r="AY263" s="856"/>
      <c r="AZ263" s="845">
        <v>1291.222419736662</v>
      </c>
      <c r="BA263" s="845">
        <v>0</v>
      </c>
      <c r="BB263" s="846">
        <v>-1291.222419736662</v>
      </c>
      <c r="BD263" s="2">
        <v>2</v>
      </c>
      <c r="BF263" s="787">
        <v>19.919356559149296</v>
      </c>
      <c r="BG263" s="325">
        <v>150000759</v>
      </c>
      <c r="BI263" s="847">
        <v>0</v>
      </c>
      <c r="BJ263" s="847">
        <v>0</v>
      </c>
      <c r="BK263" s="847">
        <v>0</v>
      </c>
      <c r="BL263" s="848"/>
      <c r="BM263" s="3"/>
      <c r="BN263" s="3"/>
      <c r="BP263" s="3"/>
      <c r="BQ263" s="3"/>
      <c r="BS263" s="42" t="s">
        <v>390</v>
      </c>
    </row>
    <row r="264" spans="1:71" ht="24.9" customHeight="1" x14ac:dyDescent="0.3">
      <c r="A264" s="325">
        <v>150000761</v>
      </c>
      <c r="B264" s="849" t="s">
        <v>391</v>
      </c>
      <c r="C264" s="850">
        <v>9</v>
      </c>
      <c r="D264" s="101" t="s">
        <v>455</v>
      </c>
      <c r="E264" s="279">
        <v>6815.39</v>
      </c>
      <c r="F264" s="838">
        <v>14873.233913691975</v>
      </c>
      <c r="G264" s="838">
        <v>364.41835128474463</v>
      </c>
      <c r="H264" s="838">
        <v>-14508.81556240723</v>
      </c>
      <c r="I264" s="839">
        <v>0</v>
      </c>
      <c r="J264" s="851">
        <v>0</v>
      </c>
      <c r="K264" s="866"/>
      <c r="L264" s="839">
        <v>0</v>
      </c>
      <c r="M264" s="851">
        <v>0</v>
      </c>
      <c r="N264" s="853"/>
      <c r="O264" s="839">
        <v>0</v>
      </c>
      <c r="P264" s="851">
        <v>0</v>
      </c>
      <c r="Q264" s="854"/>
      <c r="R264" s="839">
        <v>0</v>
      </c>
      <c r="S264" s="851">
        <v>0</v>
      </c>
      <c r="T264" s="855"/>
      <c r="U264" s="839">
        <v>0</v>
      </c>
      <c r="V264" s="851">
        <v>0</v>
      </c>
      <c r="W264" s="839">
        <v>0</v>
      </c>
      <c r="X264" s="851">
        <v>90.418351284744617</v>
      </c>
      <c r="Y264" s="839">
        <v>0</v>
      </c>
      <c r="Z264" s="851">
        <v>0</v>
      </c>
      <c r="AA264" s="839">
        <v>0</v>
      </c>
      <c r="AB264" s="851">
        <v>0</v>
      </c>
      <c r="AC264" s="839">
        <v>0</v>
      </c>
      <c r="AD264" s="851">
        <v>274</v>
      </c>
      <c r="AE264" s="839">
        <v>122.31439675540068</v>
      </c>
      <c r="AF264" s="851">
        <v>336</v>
      </c>
      <c r="AG264" s="856"/>
      <c r="AH264" s="839">
        <v>157.93467598038256</v>
      </c>
      <c r="AI264" s="851">
        <v>0</v>
      </c>
      <c r="AJ264" s="856"/>
      <c r="AK264" s="839">
        <v>264.37306341340508</v>
      </c>
      <c r="AL264" s="851">
        <v>0</v>
      </c>
      <c r="AM264" s="163"/>
      <c r="AN264" s="839">
        <v>91.444637194136348</v>
      </c>
      <c r="AO264" s="851">
        <v>0</v>
      </c>
      <c r="AP264" s="856"/>
      <c r="AQ264" s="839">
        <v>39.576741189229679</v>
      </c>
      <c r="AR264" s="851">
        <v>0</v>
      </c>
      <c r="AS264" s="856"/>
      <c r="AT264" s="839">
        <v>89.250700815318339</v>
      </c>
      <c r="AU264" s="851">
        <v>2331</v>
      </c>
      <c r="AV264" s="856"/>
      <c r="AW264" s="839">
        <v>0</v>
      </c>
      <c r="AX264" s="851">
        <v>0</v>
      </c>
      <c r="AY264" s="856"/>
      <c r="AZ264" s="845">
        <v>764.89421534787266</v>
      </c>
      <c r="BA264" s="845">
        <v>2667</v>
      </c>
      <c r="BB264" s="846">
        <v>1902.1057846521273</v>
      </c>
      <c r="BD264" s="2">
        <v>2</v>
      </c>
      <c r="BF264" s="787">
        <v>23.537921641394934</v>
      </c>
      <c r="BG264" s="325">
        <v>150000761</v>
      </c>
      <c r="BI264" s="847">
        <v>41.129999999999995</v>
      </c>
      <c r="BJ264" s="847">
        <v>4.0362285602764505</v>
      </c>
      <c r="BK264" s="847">
        <v>45.166228560276444</v>
      </c>
      <c r="BL264" s="848"/>
      <c r="BM264" s="3"/>
      <c r="BN264" s="3"/>
      <c r="BP264" s="3"/>
      <c r="BQ264" s="3"/>
      <c r="BS264" s="42" t="s">
        <v>391</v>
      </c>
    </row>
    <row r="265" spans="1:71" ht="24.9" customHeight="1" x14ac:dyDescent="0.3">
      <c r="A265" s="325">
        <v>150000762</v>
      </c>
      <c r="B265" s="849" t="s">
        <v>392</v>
      </c>
      <c r="C265" s="850">
        <v>9</v>
      </c>
      <c r="D265" s="101" t="s">
        <v>455</v>
      </c>
      <c r="E265" s="279">
        <v>2823.8</v>
      </c>
      <c r="F265" s="838">
        <v>6066.251384786151</v>
      </c>
      <c r="G265" s="838">
        <v>190</v>
      </c>
      <c r="H265" s="838">
        <v>-5876.251384786151</v>
      </c>
      <c r="I265" s="839">
        <v>0</v>
      </c>
      <c r="J265" s="851">
        <v>0</v>
      </c>
      <c r="K265" s="852"/>
      <c r="L265" s="839">
        <v>0</v>
      </c>
      <c r="M265" s="851">
        <v>0</v>
      </c>
      <c r="N265" s="853"/>
      <c r="O265" s="839">
        <v>0</v>
      </c>
      <c r="P265" s="851">
        <v>0</v>
      </c>
      <c r="Q265" s="854"/>
      <c r="R265" s="839">
        <v>0</v>
      </c>
      <c r="S265" s="851">
        <v>0</v>
      </c>
      <c r="T265" s="855"/>
      <c r="U265" s="839">
        <v>0</v>
      </c>
      <c r="V265" s="851">
        <v>0</v>
      </c>
      <c r="W265" s="839">
        <v>0</v>
      </c>
      <c r="X265" s="851">
        <v>0</v>
      </c>
      <c r="Y265" s="839">
        <v>0</v>
      </c>
      <c r="Z265" s="851">
        <v>0</v>
      </c>
      <c r="AA265" s="839">
        <v>0</v>
      </c>
      <c r="AB265" s="851">
        <v>0</v>
      </c>
      <c r="AC265" s="839">
        <v>0</v>
      </c>
      <c r="AD265" s="851">
        <v>190</v>
      </c>
      <c r="AE265" s="839">
        <v>71.122629880379705</v>
      </c>
      <c r="AF265" s="851">
        <v>0</v>
      </c>
      <c r="AG265" s="856"/>
      <c r="AH265" s="839">
        <v>91.67422397349246</v>
      </c>
      <c r="AI265" s="851">
        <v>0</v>
      </c>
      <c r="AJ265" s="856"/>
      <c r="AK265" s="839">
        <v>0</v>
      </c>
      <c r="AL265" s="851">
        <v>0</v>
      </c>
      <c r="AM265" s="856"/>
      <c r="AN265" s="839">
        <v>0</v>
      </c>
      <c r="AO265" s="851">
        <v>0</v>
      </c>
      <c r="AP265" s="856"/>
      <c r="AQ265" s="839">
        <v>19.78837059461484</v>
      </c>
      <c r="AR265" s="851">
        <v>0</v>
      </c>
      <c r="AS265" s="856"/>
      <c r="AT265" s="839">
        <v>47.713523922280622</v>
      </c>
      <c r="AU265" s="851">
        <v>0</v>
      </c>
      <c r="AV265" s="856"/>
      <c r="AW265" s="839">
        <v>0</v>
      </c>
      <c r="AX265" s="851">
        <v>0</v>
      </c>
      <c r="AY265" s="856"/>
      <c r="AZ265" s="845">
        <v>230.29874837076761</v>
      </c>
      <c r="BA265" s="845">
        <v>0</v>
      </c>
      <c r="BB265" s="846">
        <v>-230.29874837076761</v>
      </c>
      <c r="BD265" s="2">
        <v>2</v>
      </c>
      <c r="BF265" s="787">
        <v>9.8896681983771266</v>
      </c>
      <c r="BG265" s="325">
        <v>150000762</v>
      </c>
      <c r="BI265" s="847">
        <v>0</v>
      </c>
      <c r="BJ265" s="847">
        <v>0</v>
      </c>
      <c r="BK265" s="847">
        <v>0</v>
      </c>
      <c r="BL265" s="848"/>
      <c r="BM265" s="3"/>
      <c r="BN265" s="3"/>
      <c r="BP265" s="3"/>
      <c r="BQ265" s="3"/>
      <c r="BS265" s="42" t="s">
        <v>392</v>
      </c>
    </row>
    <row r="266" spans="1:71" ht="24.9" customHeight="1" x14ac:dyDescent="0.3">
      <c r="A266" s="325">
        <v>150000736</v>
      </c>
      <c r="B266" s="849" t="s">
        <v>220</v>
      </c>
      <c r="C266" s="850">
        <v>4</v>
      </c>
      <c r="D266" s="101" t="s">
        <v>455</v>
      </c>
      <c r="E266" s="279">
        <v>2846.8999999999996</v>
      </c>
      <c r="F266" s="838">
        <v>5769.3295467474818</v>
      </c>
      <c r="G266" s="838">
        <v>759</v>
      </c>
      <c r="H266" s="838">
        <v>-5010.3295467474818</v>
      </c>
      <c r="I266" s="839">
        <v>0</v>
      </c>
      <c r="J266" s="851">
        <v>0</v>
      </c>
      <c r="K266" s="852"/>
      <c r="L266" s="839">
        <v>0</v>
      </c>
      <c r="M266" s="851">
        <v>0</v>
      </c>
      <c r="N266" s="858"/>
      <c r="O266" s="839">
        <v>0</v>
      </c>
      <c r="P266" s="851">
        <v>0</v>
      </c>
      <c r="Q266" s="854"/>
      <c r="R266" s="839">
        <v>0</v>
      </c>
      <c r="S266" s="851">
        <v>0</v>
      </c>
      <c r="T266" s="855"/>
      <c r="U266" s="839">
        <v>0</v>
      </c>
      <c r="V266" s="851">
        <v>0</v>
      </c>
      <c r="W266" s="839">
        <v>0</v>
      </c>
      <c r="X266" s="851">
        <v>0</v>
      </c>
      <c r="Y266" s="839">
        <v>0</v>
      </c>
      <c r="Z266" s="851">
        <v>0</v>
      </c>
      <c r="AA266" s="839">
        <v>0</v>
      </c>
      <c r="AB266" s="851">
        <v>0</v>
      </c>
      <c r="AC266" s="839">
        <v>0</v>
      </c>
      <c r="AD266" s="851">
        <v>759</v>
      </c>
      <c r="AE266" s="839">
        <v>228.12681019305984</v>
      </c>
      <c r="AF266" s="851">
        <v>933</v>
      </c>
      <c r="AG266" s="856"/>
      <c r="AH266" s="839">
        <v>393.03969537771724</v>
      </c>
      <c r="AI266" s="851">
        <v>0</v>
      </c>
      <c r="AJ266" s="856"/>
      <c r="AK266" s="839">
        <v>367.83331737600776</v>
      </c>
      <c r="AL266" s="851">
        <v>0</v>
      </c>
      <c r="AM266" s="856"/>
      <c r="AN266" s="839">
        <v>0</v>
      </c>
      <c r="AO266" s="851">
        <v>0</v>
      </c>
      <c r="AP266" s="856"/>
      <c r="AQ266" s="839">
        <v>0</v>
      </c>
      <c r="AR266" s="851">
        <v>0</v>
      </c>
      <c r="AS266" s="856"/>
      <c r="AT266" s="839">
        <v>159.1131641582902</v>
      </c>
      <c r="AU266" s="851">
        <v>1421</v>
      </c>
      <c r="AV266" s="856"/>
      <c r="AW266" s="839">
        <v>0</v>
      </c>
      <c r="AX266" s="851">
        <v>0</v>
      </c>
      <c r="AY266" s="856"/>
      <c r="AZ266" s="845">
        <v>1148.112987105075</v>
      </c>
      <c r="BA266" s="845">
        <v>2354</v>
      </c>
      <c r="BB266" s="846">
        <v>1205.887012894925</v>
      </c>
      <c r="BD266" s="2">
        <v>2</v>
      </c>
      <c r="BF266" s="787">
        <v>9.9705702932076772</v>
      </c>
      <c r="BG266" s="325">
        <v>150000736</v>
      </c>
      <c r="BI266" s="847">
        <v>0</v>
      </c>
      <c r="BJ266" s="847">
        <v>0</v>
      </c>
      <c r="BK266" s="847">
        <v>0</v>
      </c>
      <c r="BL266" s="848">
        <v>13812</v>
      </c>
      <c r="BM266" s="3"/>
      <c r="BN266" s="3"/>
      <c r="BP266" s="3"/>
      <c r="BQ266" s="3"/>
      <c r="BS266" s="42" t="s">
        <v>220</v>
      </c>
    </row>
    <row r="267" spans="1:71" ht="24.9" customHeight="1" x14ac:dyDescent="0.3">
      <c r="A267" s="325">
        <v>150000743</v>
      </c>
      <c r="B267" s="849" t="s">
        <v>221</v>
      </c>
      <c r="C267" s="850">
        <v>4</v>
      </c>
      <c r="D267" s="101" t="s">
        <v>455</v>
      </c>
      <c r="E267" s="279">
        <v>2296.6999999999998</v>
      </c>
      <c r="F267" s="838">
        <v>4093.7792772436806</v>
      </c>
      <c r="G267" s="838">
        <v>7733.7133677832016</v>
      </c>
      <c r="H267" s="838">
        <v>3639.9340905395211</v>
      </c>
      <c r="I267" s="839">
        <v>0</v>
      </c>
      <c r="J267" s="851">
        <v>0</v>
      </c>
      <c r="K267" s="852"/>
      <c r="L267" s="839">
        <v>0</v>
      </c>
      <c r="M267" s="851">
        <v>7080</v>
      </c>
      <c r="N267" s="853"/>
      <c r="O267" s="839">
        <v>0</v>
      </c>
      <c r="P267" s="851">
        <v>0</v>
      </c>
      <c r="Q267" s="854"/>
      <c r="R267" s="839">
        <v>0</v>
      </c>
      <c r="S267" s="851">
        <v>0</v>
      </c>
      <c r="T267" s="855"/>
      <c r="U267" s="839">
        <v>0</v>
      </c>
      <c r="V267" s="851">
        <v>0</v>
      </c>
      <c r="W267" s="839">
        <v>0</v>
      </c>
      <c r="X267" s="851">
        <v>83.713367783201448</v>
      </c>
      <c r="Y267" s="839">
        <v>0</v>
      </c>
      <c r="Z267" s="851">
        <v>0</v>
      </c>
      <c r="AA267" s="839">
        <v>0</v>
      </c>
      <c r="AB267" s="851">
        <v>0</v>
      </c>
      <c r="AC267" s="839">
        <v>0</v>
      </c>
      <c r="AD267" s="851">
        <v>570</v>
      </c>
      <c r="AE267" s="839">
        <v>209.63946651249057</v>
      </c>
      <c r="AF267" s="851">
        <v>0</v>
      </c>
      <c r="AG267" s="856"/>
      <c r="AH267" s="839">
        <v>294.13871636705994</v>
      </c>
      <c r="AI267" s="851">
        <v>0</v>
      </c>
      <c r="AJ267" s="856"/>
      <c r="AK267" s="839">
        <v>215.11532239040895</v>
      </c>
      <c r="AL267" s="851">
        <v>0</v>
      </c>
      <c r="AM267" s="856"/>
      <c r="AN267" s="839">
        <v>0</v>
      </c>
      <c r="AO267" s="851">
        <v>0</v>
      </c>
      <c r="AP267" s="856"/>
      <c r="AQ267" s="839">
        <v>0</v>
      </c>
      <c r="AR267" s="851">
        <v>0</v>
      </c>
      <c r="AS267" s="856"/>
      <c r="AT267" s="839">
        <v>103.19210586326328</v>
      </c>
      <c r="AU267" s="851">
        <v>0</v>
      </c>
      <c r="AV267" s="856"/>
      <c r="AW267" s="839">
        <v>0</v>
      </c>
      <c r="AX267" s="851">
        <v>0</v>
      </c>
      <c r="AY267" s="856"/>
      <c r="AZ267" s="845">
        <v>822.08561113322264</v>
      </c>
      <c r="BA267" s="845">
        <v>0</v>
      </c>
      <c r="BB267" s="846">
        <v>-822.08561113322264</v>
      </c>
      <c r="BD267" s="2">
        <v>2</v>
      </c>
      <c r="BF267" s="787">
        <v>8.0436294890618125</v>
      </c>
      <c r="BG267" s="325">
        <v>150000743</v>
      </c>
      <c r="BI267" s="847">
        <v>38.08</v>
      </c>
      <c r="BJ267" s="847">
        <v>3.7369215554419464</v>
      </c>
      <c r="BK267" s="847">
        <v>41.816921555441944</v>
      </c>
      <c r="BL267" s="848"/>
      <c r="BM267" s="3"/>
      <c r="BN267" s="3"/>
      <c r="BP267" s="3"/>
      <c r="BQ267" s="3"/>
      <c r="BS267" s="42" t="s">
        <v>221</v>
      </c>
    </row>
    <row r="268" spans="1:71" ht="24.9" customHeight="1" x14ac:dyDescent="0.3">
      <c r="A268" s="325">
        <v>150000737</v>
      </c>
      <c r="B268" s="849" t="s">
        <v>222</v>
      </c>
      <c r="C268" s="850">
        <v>4</v>
      </c>
      <c r="D268" s="101" t="s">
        <v>455</v>
      </c>
      <c r="E268" s="279">
        <v>2573.1</v>
      </c>
      <c r="F268" s="838">
        <v>6476.2261206265648</v>
      </c>
      <c r="G268" s="838">
        <v>759</v>
      </c>
      <c r="H268" s="838">
        <v>-5717.2261206265648</v>
      </c>
      <c r="I268" s="839">
        <v>0</v>
      </c>
      <c r="J268" s="851">
        <v>0</v>
      </c>
      <c r="K268" s="866"/>
      <c r="L268" s="839">
        <v>0</v>
      </c>
      <c r="M268" s="851">
        <v>0</v>
      </c>
      <c r="N268" s="858"/>
      <c r="O268" s="839">
        <v>0</v>
      </c>
      <c r="P268" s="851">
        <v>0</v>
      </c>
      <c r="Q268" s="854"/>
      <c r="R268" s="839">
        <v>0</v>
      </c>
      <c r="S268" s="851">
        <v>0</v>
      </c>
      <c r="T268" s="855"/>
      <c r="U268" s="839">
        <v>0</v>
      </c>
      <c r="V268" s="851">
        <v>0</v>
      </c>
      <c r="W268" s="839">
        <v>0</v>
      </c>
      <c r="X268" s="851">
        <v>0</v>
      </c>
      <c r="Y268" s="839">
        <v>0</v>
      </c>
      <c r="Z268" s="851">
        <v>0</v>
      </c>
      <c r="AA268" s="839">
        <v>0</v>
      </c>
      <c r="AB268" s="851">
        <v>0</v>
      </c>
      <c r="AC268" s="839">
        <v>0</v>
      </c>
      <c r="AD268" s="851">
        <v>759</v>
      </c>
      <c r="AE268" s="839">
        <v>271.83156836932346</v>
      </c>
      <c r="AF268" s="851">
        <v>1380</v>
      </c>
      <c r="AG268" s="856"/>
      <c r="AH268" s="839">
        <v>389.54356874959132</v>
      </c>
      <c r="AI268" s="851">
        <v>0</v>
      </c>
      <c r="AJ268" s="856"/>
      <c r="AK268" s="839">
        <v>239.64210531342968</v>
      </c>
      <c r="AL268" s="851">
        <v>0</v>
      </c>
      <c r="AM268" s="856"/>
      <c r="AN268" s="839">
        <v>0</v>
      </c>
      <c r="AO268" s="851">
        <v>0</v>
      </c>
      <c r="AP268" s="856"/>
      <c r="AQ268" s="839">
        <v>0</v>
      </c>
      <c r="AR268" s="851">
        <v>0</v>
      </c>
      <c r="AS268" s="856"/>
      <c r="AT268" s="839">
        <v>155.62201221057634</v>
      </c>
      <c r="AU268" s="851">
        <v>0</v>
      </c>
      <c r="AV268" s="856"/>
      <c r="AW268" s="839">
        <v>0</v>
      </c>
      <c r="AX268" s="851">
        <v>0</v>
      </c>
      <c r="AY268" s="856"/>
      <c r="AZ268" s="845">
        <v>1056.6392546429208</v>
      </c>
      <c r="BA268" s="845">
        <v>1380</v>
      </c>
      <c r="BB268" s="846">
        <v>323.36074535707917</v>
      </c>
      <c r="BD268" s="2">
        <v>2</v>
      </c>
      <c r="BF268" s="787">
        <v>9.0151550780659271</v>
      </c>
      <c r="BG268" s="325">
        <v>150000737</v>
      </c>
      <c r="BI268" s="847">
        <v>0</v>
      </c>
      <c r="BJ268" s="847">
        <v>0</v>
      </c>
      <c r="BK268" s="847">
        <v>0</v>
      </c>
      <c r="BL268" s="848"/>
      <c r="BM268" s="3"/>
      <c r="BN268" s="3"/>
      <c r="BP268" s="3"/>
      <c r="BQ268" s="3"/>
      <c r="BS268" s="42" t="s">
        <v>222</v>
      </c>
    </row>
    <row r="269" spans="1:71" ht="24.9" customHeight="1" x14ac:dyDescent="0.3">
      <c r="A269" s="325">
        <v>150000738</v>
      </c>
      <c r="B269" s="849" t="s">
        <v>290</v>
      </c>
      <c r="C269" s="850">
        <v>5</v>
      </c>
      <c r="D269" s="101" t="s">
        <v>455</v>
      </c>
      <c r="E269" s="279">
        <v>3567.9</v>
      </c>
      <c r="F269" s="838">
        <v>9562.4065541049185</v>
      </c>
      <c r="G269" s="838">
        <v>7546</v>
      </c>
      <c r="H269" s="838">
        <v>-2016.4065541049185</v>
      </c>
      <c r="I269" s="839">
        <v>0</v>
      </c>
      <c r="J269" s="851">
        <v>0</v>
      </c>
      <c r="K269" s="852"/>
      <c r="L269" s="839">
        <v>0</v>
      </c>
      <c r="M269" s="851">
        <v>0</v>
      </c>
      <c r="N269" s="858"/>
      <c r="O269" s="839">
        <v>0</v>
      </c>
      <c r="P269" s="851">
        <v>0</v>
      </c>
      <c r="Q269" s="854"/>
      <c r="R269" s="839">
        <v>0</v>
      </c>
      <c r="S269" s="851">
        <v>0</v>
      </c>
      <c r="T269" s="855"/>
      <c r="U269" s="839">
        <v>0</v>
      </c>
      <c r="V269" s="851">
        <v>0</v>
      </c>
      <c r="W269" s="839">
        <v>0</v>
      </c>
      <c r="X269" s="851">
        <v>0</v>
      </c>
      <c r="Y269" s="839">
        <v>0</v>
      </c>
      <c r="Z269" s="851">
        <v>0</v>
      </c>
      <c r="AA269" s="839">
        <v>0</v>
      </c>
      <c r="AB269" s="851">
        <v>0</v>
      </c>
      <c r="AC269" s="839">
        <v>0</v>
      </c>
      <c r="AD269" s="851">
        <v>7546</v>
      </c>
      <c r="AE269" s="839">
        <v>323.5364997196728</v>
      </c>
      <c r="AF269" s="851">
        <v>0</v>
      </c>
      <c r="AG269" s="856"/>
      <c r="AH269" s="839">
        <v>445.04417920905604</v>
      </c>
      <c r="AI269" s="851">
        <v>0</v>
      </c>
      <c r="AJ269" s="856"/>
      <c r="AK269" s="839">
        <v>445.86836908779861</v>
      </c>
      <c r="AL269" s="851">
        <v>0</v>
      </c>
      <c r="AM269" s="856"/>
      <c r="AN269" s="839">
        <v>0</v>
      </c>
      <c r="AO269" s="851">
        <v>0</v>
      </c>
      <c r="AP269" s="856"/>
      <c r="AQ269" s="839">
        <v>0</v>
      </c>
      <c r="AR269" s="851">
        <v>0</v>
      </c>
      <c r="AS269" s="856"/>
      <c r="AT269" s="839">
        <v>179.58218534787574</v>
      </c>
      <c r="AU269" s="851">
        <v>385</v>
      </c>
      <c r="AV269" s="882"/>
      <c r="AW269" s="839">
        <v>0</v>
      </c>
      <c r="AX269" s="851">
        <v>0</v>
      </c>
      <c r="AY269" s="856"/>
      <c r="AZ269" s="845">
        <v>1394.0312333644033</v>
      </c>
      <c r="BA269" s="845">
        <v>385</v>
      </c>
      <c r="BB269" s="846">
        <v>-1009.0312333644033</v>
      </c>
      <c r="BD269" s="2">
        <v>2</v>
      </c>
      <c r="BF269" s="787">
        <v>12.496396734410874</v>
      </c>
      <c r="BG269" s="325">
        <v>150000738</v>
      </c>
      <c r="BI269" s="847">
        <v>0</v>
      </c>
      <c r="BJ269" s="847">
        <v>0</v>
      </c>
      <c r="BK269" s="847">
        <v>0</v>
      </c>
      <c r="BL269" s="848"/>
      <c r="BM269" s="3"/>
      <c r="BN269" s="3"/>
      <c r="BP269" s="3"/>
      <c r="BQ269" s="3"/>
      <c r="BS269" s="42" t="s">
        <v>290</v>
      </c>
    </row>
    <row r="270" spans="1:71" ht="24.9" customHeight="1" x14ac:dyDescent="0.3">
      <c r="A270" s="325">
        <v>150000739</v>
      </c>
      <c r="B270" s="849" t="s">
        <v>223</v>
      </c>
      <c r="C270" s="850">
        <v>4</v>
      </c>
      <c r="D270" s="101" t="s">
        <v>455</v>
      </c>
      <c r="E270" s="279">
        <v>3631.7</v>
      </c>
      <c r="F270" s="838">
        <v>7510.4836489941408</v>
      </c>
      <c r="G270" s="838">
        <v>1413.6663484331748</v>
      </c>
      <c r="H270" s="838">
        <v>-6096.817300560966</v>
      </c>
      <c r="I270" s="839">
        <v>0</v>
      </c>
      <c r="J270" s="851">
        <v>0</v>
      </c>
      <c r="K270" s="852"/>
      <c r="L270" s="839">
        <v>0</v>
      </c>
      <c r="M270" s="851">
        <v>0</v>
      </c>
      <c r="N270" s="853"/>
      <c r="O270" s="839">
        <v>0</v>
      </c>
      <c r="P270" s="851">
        <v>0</v>
      </c>
      <c r="Q270" s="854"/>
      <c r="R270" s="839">
        <v>0</v>
      </c>
      <c r="S270" s="851">
        <v>0</v>
      </c>
      <c r="T270" s="855"/>
      <c r="U270" s="839">
        <v>0</v>
      </c>
      <c r="V270" s="851">
        <v>0</v>
      </c>
      <c r="W270" s="839">
        <v>0</v>
      </c>
      <c r="X270" s="851">
        <v>464.66634843317468</v>
      </c>
      <c r="Y270" s="839">
        <v>0</v>
      </c>
      <c r="Z270" s="851">
        <v>0</v>
      </c>
      <c r="AA270" s="839">
        <v>0</v>
      </c>
      <c r="AB270" s="851">
        <v>0</v>
      </c>
      <c r="AC270" s="839">
        <v>0</v>
      </c>
      <c r="AD270" s="851">
        <v>949</v>
      </c>
      <c r="AE270" s="839">
        <v>346.64143553108937</v>
      </c>
      <c r="AF270" s="851">
        <v>499</v>
      </c>
      <c r="AG270" s="857"/>
      <c r="AH270" s="839">
        <v>494.96074423196654</v>
      </c>
      <c r="AI270" s="851">
        <v>0</v>
      </c>
      <c r="AJ270" s="856"/>
      <c r="AK270" s="839">
        <v>427.90836804502794</v>
      </c>
      <c r="AL270" s="851">
        <v>0</v>
      </c>
      <c r="AM270" s="856"/>
      <c r="AN270" s="839">
        <v>0</v>
      </c>
      <c r="AO270" s="851">
        <v>0</v>
      </c>
      <c r="AP270" s="856"/>
      <c r="AQ270" s="839">
        <v>0</v>
      </c>
      <c r="AR270" s="851">
        <v>0</v>
      </c>
      <c r="AS270" s="856"/>
      <c r="AT270" s="839">
        <v>229.60894525507237</v>
      </c>
      <c r="AU270" s="851">
        <v>0</v>
      </c>
      <c r="AV270" s="856"/>
      <c r="AW270" s="839">
        <v>0</v>
      </c>
      <c r="AX270" s="851">
        <v>0</v>
      </c>
      <c r="AY270" s="856"/>
      <c r="AZ270" s="845">
        <v>1499.1194930631561</v>
      </c>
      <c r="BA270" s="845">
        <v>499</v>
      </c>
      <c r="BB270" s="846">
        <v>-1000.1194930631561</v>
      </c>
      <c r="BD270" s="2">
        <v>2</v>
      </c>
      <c r="BF270" s="787">
        <v>12.6613529537407</v>
      </c>
      <c r="BG270" s="325">
        <v>150000739</v>
      </c>
      <c r="BI270" s="847">
        <v>211.37</v>
      </c>
      <c r="BJ270" s="847">
        <v>20.742466102252212</v>
      </c>
      <c r="BK270" s="847">
        <v>232.11246610225223</v>
      </c>
      <c r="BL270" s="848"/>
      <c r="BM270" s="3"/>
      <c r="BN270" s="3"/>
      <c r="BP270" s="3"/>
      <c r="BQ270" s="3"/>
      <c r="BS270" s="42" t="s">
        <v>223</v>
      </c>
    </row>
    <row r="271" spans="1:71" ht="24.9" customHeight="1" x14ac:dyDescent="0.3">
      <c r="A271" s="325">
        <v>150000740</v>
      </c>
      <c r="B271" s="849" t="s">
        <v>198</v>
      </c>
      <c r="C271" s="850">
        <v>3</v>
      </c>
      <c r="D271" s="101" t="s">
        <v>455</v>
      </c>
      <c r="E271" s="279">
        <v>1366.1</v>
      </c>
      <c r="F271" s="838">
        <v>2696.6519777680537</v>
      </c>
      <c r="G271" s="838">
        <v>570</v>
      </c>
      <c r="H271" s="838">
        <v>-2126.6519777680537</v>
      </c>
      <c r="I271" s="839">
        <v>0</v>
      </c>
      <c r="J271" s="851">
        <v>0</v>
      </c>
      <c r="K271" s="852"/>
      <c r="L271" s="839">
        <v>0</v>
      </c>
      <c r="M271" s="851">
        <v>0</v>
      </c>
      <c r="N271" s="853"/>
      <c r="O271" s="839">
        <v>0</v>
      </c>
      <c r="P271" s="851">
        <v>0</v>
      </c>
      <c r="Q271" s="854"/>
      <c r="R271" s="839">
        <v>0</v>
      </c>
      <c r="S271" s="851">
        <v>0</v>
      </c>
      <c r="T271" s="855"/>
      <c r="U271" s="839">
        <v>0</v>
      </c>
      <c r="V271" s="851">
        <v>0</v>
      </c>
      <c r="W271" s="839">
        <v>0</v>
      </c>
      <c r="X271" s="851">
        <v>0</v>
      </c>
      <c r="Y271" s="839">
        <v>0</v>
      </c>
      <c r="Z271" s="851">
        <v>0</v>
      </c>
      <c r="AA271" s="839">
        <v>0</v>
      </c>
      <c r="AB271" s="851">
        <v>0</v>
      </c>
      <c r="AC271" s="839">
        <v>0</v>
      </c>
      <c r="AD271" s="851">
        <v>570</v>
      </c>
      <c r="AE271" s="839">
        <v>166.96317896061075</v>
      </c>
      <c r="AF271" s="851">
        <v>0</v>
      </c>
      <c r="AG271" s="856"/>
      <c r="AH271" s="839">
        <v>300.29581843807034</v>
      </c>
      <c r="AI271" s="851">
        <v>0</v>
      </c>
      <c r="AJ271" s="856"/>
      <c r="AK271" s="839">
        <v>160.64986160541216</v>
      </c>
      <c r="AL271" s="851">
        <v>0</v>
      </c>
      <c r="AM271" s="856"/>
      <c r="AN271" s="839">
        <v>0</v>
      </c>
      <c r="AO271" s="851">
        <v>0</v>
      </c>
      <c r="AP271" s="856"/>
      <c r="AQ271" s="839">
        <v>0</v>
      </c>
      <c r="AR271" s="851">
        <v>0</v>
      </c>
      <c r="AS271" s="856"/>
      <c r="AT271" s="839">
        <v>80.014774571099423</v>
      </c>
      <c r="AU271" s="851">
        <v>711</v>
      </c>
      <c r="AV271" s="856"/>
      <c r="AW271" s="839">
        <v>0</v>
      </c>
      <c r="AX271" s="851">
        <v>0</v>
      </c>
      <c r="AY271" s="856"/>
      <c r="AZ271" s="845">
        <v>707.92363357519275</v>
      </c>
      <c r="BA271" s="845">
        <v>711</v>
      </c>
      <c r="BB271" s="846">
        <v>3.0763664248072473</v>
      </c>
      <c r="BD271" s="2">
        <v>2</v>
      </c>
      <c r="BF271" s="787">
        <v>4.7844308116024479</v>
      </c>
      <c r="BG271" s="325">
        <v>150000740</v>
      </c>
      <c r="BI271" s="847">
        <v>0</v>
      </c>
      <c r="BJ271" s="847">
        <v>0</v>
      </c>
      <c r="BK271" s="847">
        <v>0</v>
      </c>
      <c r="BL271" s="848"/>
      <c r="BM271" s="3"/>
      <c r="BN271" s="3"/>
      <c r="BP271" s="3"/>
      <c r="BQ271" s="3"/>
      <c r="BS271" s="42" t="s">
        <v>198</v>
      </c>
    </row>
    <row r="272" spans="1:71" ht="24.9" customHeight="1" x14ac:dyDescent="0.3">
      <c r="A272" s="325">
        <v>150000744</v>
      </c>
      <c r="B272" s="849" t="s">
        <v>224</v>
      </c>
      <c r="C272" s="850">
        <v>4</v>
      </c>
      <c r="D272" s="101" t="s">
        <v>455</v>
      </c>
      <c r="E272" s="279">
        <v>1504.4</v>
      </c>
      <c r="F272" s="838">
        <v>2516.9875896159838</v>
      </c>
      <c r="G272" s="838">
        <v>380</v>
      </c>
      <c r="H272" s="838">
        <v>-2136.9875896159838</v>
      </c>
      <c r="I272" s="839">
        <v>0</v>
      </c>
      <c r="J272" s="851">
        <v>0</v>
      </c>
      <c r="K272" s="852"/>
      <c r="L272" s="839">
        <v>0</v>
      </c>
      <c r="M272" s="851">
        <v>0</v>
      </c>
      <c r="N272" s="853"/>
      <c r="O272" s="839">
        <v>0</v>
      </c>
      <c r="P272" s="851">
        <v>0</v>
      </c>
      <c r="Q272" s="854"/>
      <c r="R272" s="839">
        <v>0</v>
      </c>
      <c r="S272" s="851">
        <v>0</v>
      </c>
      <c r="T272" s="855"/>
      <c r="U272" s="839">
        <v>0</v>
      </c>
      <c r="V272" s="851">
        <v>0</v>
      </c>
      <c r="W272" s="839">
        <v>0</v>
      </c>
      <c r="X272" s="851">
        <v>0</v>
      </c>
      <c r="Y272" s="839">
        <v>0</v>
      </c>
      <c r="Z272" s="851">
        <v>0</v>
      </c>
      <c r="AA272" s="839">
        <v>0</v>
      </c>
      <c r="AB272" s="851">
        <v>0</v>
      </c>
      <c r="AC272" s="839">
        <v>0</v>
      </c>
      <c r="AD272" s="851">
        <v>380</v>
      </c>
      <c r="AE272" s="839">
        <v>159.03712164227363</v>
      </c>
      <c r="AF272" s="851">
        <v>0</v>
      </c>
      <c r="AG272" s="856"/>
      <c r="AH272" s="839">
        <v>233.99602939185672</v>
      </c>
      <c r="AI272" s="851">
        <v>0</v>
      </c>
      <c r="AJ272" s="856"/>
      <c r="AK272" s="839">
        <v>172.71582493274184</v>
      </c>
      <c r="AL272" s="851">
        <v>0</v>
      </c>
      <c r="AM272" s="856"/>
      <c r="AN272" s="839">
        <v>0</v>
      </c>
      <c r="AO272" s="851">
        <v>0</v>
      </c>
      <c r="AP272" s="856"/>
      <c r="AQ272" s="839">
        <v>0</v>
      </c>
      <c r="AR272" s="851">
        <v>0</v>
      </c>
      <c r="AS272" s="856"/>
      <c r="AT272" s="839">
        <v>54.753204443068483</v>
      </c>
      <c r="AU272" s="851">
        <v>0</v>
      </c>
      <c r="AV272" s="856"/>
      <c r="AW272" s="839">
        <v>0</v>
      </c>
      <c r="AX272" s="851">
        <v>0</v>
      </c>
      <c r="AY272" s="856"/>
      <c r="AZ272" s="845">
        <v>620.50218040994071</v>
      </c>
      <c r="BA272" s="845">
        <v>0</v>
      </c>
      <c r="BB272" s="846">
        <v>-620.50218040994071</v>
      </c>
      <c r="BD272" s="2">
        <v>2</v>
      </c>
      <c r="BF272" s="787">
        <v>5.2694931550670105</v>
      </c>
      <c r="BG272" s="325">
        <v>150000744</v>
      </c>
      <c r="BI272" s="847">
        <v>0</v>
      </c>
      <c r="BJ272" s="847">
        <v>0</v>
      </c>
      <c r="BK272" s="847">
        <v>0</v>
      </c>
      <c r="BL272" s="848"/>
      <c r="BM272" s="3"/>
      <c r="BN272" s="3"/>
      <c r="BP272" s="3"/>
      <c r="BQ272" s="3"/>
      <c r="BS272" s="42" t="s">
        <v>224</v>
      </c>
    </row>
    <row r="273" spans="1:71" ht="24.9" customHeight="1" x14ac:dyDescent="0.3">
      <c r="A273" s="325">
        <v>150000741</v>
      </c>
      <c r="B273" s="849" t="s">
        <v>225</v>
      </c>
      <c r="C273" s="850">
        <v>4</v>
      </c>
      <c r="D273" s="101" t="s">
        <v>455</v>
      </c>
      <c r="E273" s="279">
        <v>2594.3000000000002</v>
      </c>
      <c r="F273" s="838">
        <v>5491.0605006795886</v>
      </c>
      <c r="G273" s="838">
        <v>14423</v>
      </c>
      <c r="H273" s="838">
        <v>8931.9394993204114</v>
      </c>
      <c r="I273" s="839">
        <v>0</v>
      </c>
      <c r="J273" s="851">
        <v>9236</v>
      </c>
      <c r="K273" s="852"/>
      <c r="L273" s="839">
        <v>0</v>
      </c>
      <c r="M273" s="851">
        <v>0</v>
      </c>
      <c r="N273" s="868"/>
      <c r="O273" s="839">
        <v>0</v>
      </c>
      <c r="P273" s="851">
        <v>0</v>
      </c>
      <c r="Q273" s="854"/>
      <c r="R273" s="839">
        <v>0</v>
      </c>
      <c r="S273" s="851">
        <v>0</v>
      </c>
      <c r="T273" s="855"/>
      <c r="U273" s="839">
        <v>0</v>
      </c>
      <c r="V273" s="851">
        <v>0</v>
      </c>
      <c r="W273" s="839">
        <v>0</v>
      </c>
      <c r="X273" s="851">
        <v>0</v>
      </c>
      <c r="Y273" s="839">
        <v>0</v>
      </c>
      <c r="Z273" s="851">
        <v>0</v>
      </c>
      <c r="AA273" s="839">
        <v>0</v>
      </c>
      <c r="AB273" s="851">
        <v>0</v>
      </c>
      <c r="AC273" s="839">
        <v>0</v>
      </c>
      <c r="AD273" s="851">
        <v>5187</v>
      </c>
      <c r="AE273" s="839">
        <v>271.32552484176745</v>
      </c>
      <c r="AF273" s="851">
        <v>0</v>
      </c>
      <c r="AG273" s="856"/>
      <c r="AH273" s="839">
        <v>338.94721104730002</v>
      </c>
      <c r="AI273" s="851">
        <v>0</v>
      </c>
      <c r="AJ273" s="856"/>
      <c r="AK273" s="839">
        <v>299.40237983729122</v>
      </c>
      <c r="AL273" s="851">
        <v>0</v>
      </c>
      <c r="AM273" s="856"/>
      <c r="AN273" s="839">
        <v>0</v>
      </c>
      <c r="AO273" s="851">
        <v>0</v>
      </c>
      <c r="AP273" s="856"/>
      <c r="AQ273" s="839">
        <v>0</v>
      </c>
      <c r="AR273" s="851">
        <v>0</v>
      </c>
      <c r="AS273" s="856"/>
      <c r="AT273" s="839">
        <v>148.43420890847807</v>
      </c>
      <c r="AU273" s="851">
        <v>291</v>
      </c>
      <c r="AV273" s="856"/>
      <c r="AW273" s="839">
        <v>0</v>
      </c>
      <c r="AX273" s="851">
        <v>0</v>
      </c>
      <c r="AY273" s="856"/>
      <c r="AZ273" s="845">
        <v>1058.1093246348366</v>
      </c>
      <c r="BA273" s="845">
        <v>291</v>
      </c>
      <c r="BB273" s="846">
        <v>-767.10932463483664</v>
      </c>
      <c r="BD273" s="2">
        <v>2</v>
      </c>
      <c r="BF273" s="787">
        <v>9.713854987966144</v>
      </c>
      <c r="BG273" s="325">
        <v>150000741</v>
      </c>
      <c r="BI273" s="847">
        <v>0</v>
      </c>
      <c r="BJ273" s="847">
        <v>0</v>
      </c>
      <c r="BK273" s="847">
        <v>0</v>
      </c>
      <c r="BL273" s="848"/>
      <c r="BM273" s="3"/>
      <c r="BN273" s="3"/>
      <c r="BP273" s="3"/>
      <c r="BQ273" s="3"/>
      <c r="BS273" s="42" t="s">
        <v>225</v>
      </c>
    </row>
    <row r="274" spans="1:71" ht="24.9" customHeight="1" x14ac:dyDescent="0.3">
      <c r="A274" s="325">
        <v>150000742</v>
      </c>
      <c r="B274" s="849" t="s">
        <v>291</v>
      </c>
      <c r="C274" s="850">
        <v>5</v>
      </c>
      <c r="D274" s="101" t="s">
        <v>455</v>
      </c>
      <c r="E274" s="279">
        <v>1869.4</v>
      </c>
      <c r="F274" s="838">
        <v>3688.054129397507</v>
      </c>
      <c r="G274" s="838">
        <v>380</v>
      </c>
      <c r="H274" s="838">
        <v>-3308.054129397507</v>
      </c>
      <c r="I274" s="839">
        <v>0</v>
      </c>
      <c r="J274" s="851">
        <v>0</v>
      </c>
      <c r="K274" s="859"/>
      <c r="L274" s="839">
        <v>0</v>
      </c>
      <c r="M274" s="851">
        <v>0</v>
      </c>
      <c r="N274" s="853"/>
      <c r="O274" s="839">
        <v>0</v>
      </c>
      <c r="P274" s="851">
        <v>0</v>
      </c>
      <c r="Q274" s="854"/>
      <c r="R274" s="839">
        <v>0</v>
      </c>
      <c r="S274" s="851">
        <v>0</v>
      </c>
      <c r="T274" s="855"/>
      <c r="U274" s="839">
        <v>0</v>
      </c>
      <c r="V274" s="851">
        <v>0</v>
      </c>
      <c r="W274" s="839">
        <v>0</v>
      </c>
      <c r="X274" s="851">
        <v>0</v>
      </c>
      <c r="Y274" s="839">
        <v>0</v>
      </c>
      <c r="Z274" s="851">
        <v>0</v>
      </c>
      <c r="AA274" s="839">
        <v>0</v>
      </c>
      <c r="AB274" s="851">
        <v>0</v>
      </c>
      <c r="AC274" s="839">
        <v>0</v>
      </c>
      <c r="AD274" s="851">
        <v>380</v>
      </c>
      <c r="AE274" s="839">
        <v>170.22583618592486</v>
      </c>
      <c r="AF274" s="851">
        <v>0</v>
      </c>
      <c r="AG274" s="856"/>
      <c r="AH274" s="839">
        <v>251.00068743860237</v>
      </c>
      <c r="AI274" s="851">
        <v>0</v>
      </c>
      <c r="AJ274" s="856"/>
      <c r="AK274" s="839">
        <v>220.77882065324417</v>
      </c>
      <c r="AL274" s="851">
        <v>0</v>
      </c>
      <c r="AM274" s="856"/>
      <c r="AN274" s="839">
        <v>0</v>
      </c>
      <c r="AO274" s="851">
        <v>0</v>
      </c>
      <c r="AP274" s="856"/>
      <c r="AQ274" s="839">
        <v>0</v>
      </c>
      <c r="AR274" s="851">
        <v>0</v>
      </c>
      <c r="AS274" s="856"/>
      <c r="AT274" s="839">
        <v>69.900011236879692</v>
      </c>
      <c r="AU274" s="851">
        <v>0</v>
      </c>
      <c r="AV274" s="856"/>
      <c r="AW274" s="839">
        <v>0</v>
      </c>
      <c r="AX274" s="851">
        <v>0</v>
      </c>
      <c r="AY274" s="856"/>
      <c r="AZ274" s="845">
        <v>711.90535551465109</v>
      </c>
      <c r="BA274" s="845">
        <v>0</v>
      </c>
      <c r="BB274" s="846">
        <v>-711.90535551465109</v>
      </c>
      <c r="BD274" s="2">
        <v>2</v>
      </c>
      <c r="BF274" s="787">
        <v>6.2648340793459178</v>
      </c>
      <c r="BG274" s="325">
        <v>150000742</v>
      </c>
      <c r="BI274" s="847">
        <v>0</v>
      </c>
      <c r="BJ274" s="847">
        <v>0</v>
      </c>
      <c r="BK274" s="847">
        <v>0</v>
      </c>
      <c r="BL274" s="848"/>
      <c r="BM274" s="3"/>
      <c r="BN274" s="3"/>
      <c r="BP274" s="3"/>
      <c r="BQ274" s="3"/>
      <c r="BS274" s="42" t="s">
        <v>291</v>
      </c>
    </row>
    <row r="275" spans="1:71" ht="24.9" customHeight="1" x14ac:dyDescent="0.3">
      <c r="A275" s="325">
        <v>150000745</v>
      </c>
      <c r="B275" s="862" t="s">
        <v>134</v>
      </c>
      <c r="C275" s="863">
        <v>1</v>
      </c>
      <c r="D275" s="101" t="s">
        <v>455</v>
      </c>
      <c r="E275" s="279">
        <v>275.3</v>
      </c>
      <c r="F275" s="838">
        <v>452.12299260614532</v>
      </c>
      <c r="G275" s="838">
        <v>0</v>
      </c>
      <c r="H275" s="838">
        <v>-452.12299260614532</v>
      </c>
      <c r="I275" s="839">
        <v>0</v>
      </c>
      <c r="J275" s="851">
        <v>0</v>
      </c>
      <c r="K275" s="852"/>
      <c r="L275" s="839">
        <v>0</v>
      </c>
      <c r="M275" s="851">
        <v>0</v>
      </c>
      <c r="N275" s="853"/>
      <c r="O275" s="839">
        <v>0</v>
      </c>
      <c r="P275" s="851">
        <v>0</v>
      </c>
      <c r="Q275" s="854"/>
      <c r="R275" s="839">
        <v>0</v>
      </c>
      <c r="S275" s="851">
        <v>0</v>
      </c>
      <c r="T275" s="855"/>
      <c r="U275" s="839">
        <v>0</v>
      </c>
      <c r="V275" s="851">
        <v>0</v>
      </c>
      <c r="W275" s="839">
        <v>0</v>
      </c>
      <c r="X275" s="851">
        <v>0</v>
      </c>
      <c r="Y275" s="839">
        <v>0</v>
      </c>
      <c r="Z275" s="851">
        <v>0</v>
      </c>
      <c r="AA275" s="839">
        <v>0</v>
      </c>
      <c r="AB275" s="851">
        <v>0</v>
      </c>
      <c r="AC275" s="839">
        <v>0</v>
      </c>
      <c r="AD275" s="851">
        <v>0</v>
      </c>
      <c r="AE275" s="839">
        <v>0</v>
      </c>
      <c r="AF275" s="851">
        <v>0</v>
      </c>
      <c r="AG275" s="856"/>
      <c r="AH275" s="839">
        <v>0</v>
      </c>
      <c r="AI275" s="851">
        <v>0</v>
      </c>
      <c r="AJ275" s="856"/>
      <c r="AK275" s="839">
        <v>0</v>
      </c>
      <c r="AL275" s="851">
        <v>0</v>
      </c>
      <c r="AM275" s="856"/>
      <c r="AN275" s="839">
        <v>0</v>
      </c>
      <c r="AO275" s="851">
        <v>0</v>
      </c>
      <c r="AP275" s="856"/>
      <c r="AQ275" s="839">
        <v>0</v>
      </c>
      <c r="AR275" s="851">
        <v>0</v>
      </c>
      <c r="AS275" s="856"/>
      <c r="AT275" s="839">
        <v>0</v>
      </c>
      <c r="AU275" s="851">
        <v>0</v>
      </c>
      <c r="AV275" s="856"/>
      <c r="AW275" s="839">
        <v>0</v>
      </c>
      <c r="AX275" s="851">
        <v>0</v>
      </c>
      <c r="AY275" s="856"/>
      <c r="AZ275" s="845">
        <v>0</v>
      </c>
      <c r="BA275" s="845">
        <v>0</v>
      </c>
      <c r="BB275" s="846">
        <v>0</v>
      </c>
      <c r="BD275" s="2">
        <v>2</v>
      </c>
      <c r="BF275" s="787">
        <v>0</v>
      </c>
      <c r="BG275" s="325">
        <v>150000745</v>
      </c>
      <c r="BI275" s="847">
        <v>0</v>
      </c>
      <c r="BJ275" s="847">
        <v>0</v>
      </c>
      <c r="BK275" s="847">
        <v>0</v>
      </c>
      <c r="BL275" s="848"/>
      <c r="BM275" s="3"/>
      <c r="BN275" s="3"/>
      <c r="BP275" s="3"/>
      <c r="BQ275" s="3"/>
      <c r="BS275" s="42" t="s">
        <v>134</v>
      </c>
    </row>
    <row r="276" spans="1:71" ht="24.9" customHeight="1" x14ac:dyDescent="0.3">
      <c r="A276" s="325">
        <v>150001094</v>
      </c>
      <c r="B276" s="883" t="s">
        <v>186</v>
      </c>
      <c r="C276" s="850">
        <v>2</v>
      </c>
      <c r="D276" s="101" t="s">
        <v>455</v>
      </c>
      <c r="E276" s="279">
        <v>304.89999999999998</v>
      </c>
      <c r="F276" s="838">
        <v>846.81030710599521</v>
      </c>
      <c r="G276" s="838">
        <v>0</v>
      </c>
      <c r="H276" s="838">
        <v>-846.81030710599521</v>
      </c>
      <c r="I276" s="839">
        <v>0</v>
      </c>
      <c r="J276" s="851">
        <v>0</v>
      </c>
      <c r="K276" s="852"/>
      <c r="L276" s="839">
        <v>0</v>
      </c>
      <c r="M276" s="851">
        <v>0</v>
      </c>
      <c r="N276" s="853"/>
      <c r="O276" s="839">
        <v>0</v>
      </c>
      <c r="P276" s="851">
        <v>0</v>
      </c>
      <c r="Q276" s="854"/>
      <c r="R276" s="839">
        <v>0</v>
      </c>
      <c r="S276" s="851">
        <v>0</v>
      </c>
      <c r="T276" s="855"/>
      <c r="U276" s="839">
        <v>0</v>
      </c>
      <c r="V276" s="851">
        <v>0</v>
      </c>
      <c r="W276" s="839">
        <v>0</v>
      </c>
      <c r="X276" s="851">
        <v>0</v>
      </c>
      <c r="Y276" s="839">
        <v>0</v>
      </c>
      <c r="Z276" s="851">
        <v>0</v>
      </c>
      <c r="AA276" s="839">
        <v>0</v>
      </c>
      <c r="AB276" s="851">
        <v>0</v>
      </c>
      <c r="AC276" s="839">
        <v>0</v>
      </c>
      <c r="AD276" s="851">
        <v>0</v>
      </c>
      <c r="AE276" s="839">
        <v>0</v>
      </c>
      <c r="AF276" s="851">
        <v>0</v>
      </c>
      <c r="AG276" s="856"/>
      <c r="AH276" s="839">
        <v>0</v>
      </c>
      <c r="AI276" s="851">
        <v>0</v>
      </c>
      <c r="AJ276" s="856"/>
      <c r="AK276" s="839">
        <v>0</v>
      </c>
      <c r="AL276" s="851">
        <v>0</v>
      </c>
      <c r="AM276" s="856"/>
      <c r="AN276" s="839">
        <v>0</v>
      </c>
      <c r="AO276" s="851">
        <v>0</v>
      </c>
      <c r="AP276" s="856"/>
      <c r="AQ276" s="839">
        <v>0</v>
      </c>
      <c r="AR276" s="851">
        <v>0</v>
      </c>
      <c r="AS276" s="856"/>
      <c r="AT276" s="839">
        <v>23.058508430931262</v>
      </c>
      <c r="AU276" s="851">
        <v>0</v>
      </c>
      <c r="AV276" s="856"/>
      <c r="AW276" s="839">
        <v>0</v>
      </c>
      <c r="AX276" s="851">
        <v>0</v>
      </c>
      <c r="AY276" s="856"/>
      <c r="AZ276" s="845">
        <v>23.058508430931262</v>
      </c>
      <c r="BA276" s="845">
        <v>0</v>
      </c>
      <c r="BB276" s="846">
        <v>-23.058508430931262</v>
      </c>
      <c r="BD276" s="2">
        <v>1</v>
      </c>
      <c r="BF276" s="787">
        <v>2.1474613628691217</v>
      </c>
      <c r="BG276" s="325">
        <v>150001094</v>
      </c>
      <c r="BI276" s="847">
        <v>0</v>
      </c>
      <c r="BJ276" s="847">
        <v>0</v>
      </c>
      <c r="BK276" s="847">
        <v>0</v>
      </c>
      <c r="BL276" s="848"/>
      <c r="BM276" s="3"/>
      <c r="BN276" s="3"/>
      <c r="BP276" s="3"/>
      <c r="BQ276" s="3"/>
      <c r="BS276" s="42" t="s">
        <v>186</v>
      </c>
    </row>
    <row r="277" spans="1:71" ht="24.9" customHeight="1" x14ac:dyDescent="0.3">
      <c r="A277" s="325">
        <v>150000851</v>
      </c>
      <c r="B277" s="862" t="s">
        <v>135</v>
      </c>
      <c r="C277" s="863">
        <v>1</v>
      </c>
      <c r="D277" s="101" t="s">
        <v>455</v>
      </c>
      <c r="E277" s="279">
        <v>168.1</v>
      </c>
      <c r="F277" s="838">
        <v>337.25477452587961</v>
      </c>
      <c r="G277" s="838">
        <v>0</v>
      </c>
      <c r="H277" s="838">
        <v>-337.25477452587961</v>
      </c>
      <c r="I277" s="839">
        <v>0</v>
      </c>
      <c r="J277" s="851">
        <v>0</v>
      </c>
      <c r="K277" s="852"/>
      <c r="L277" s="839">
        <v>0</v>
      </c>
      <c r="M277" s="851">
        <v>0</v>
      </c>
      <c r="N277" s="853"/>
      <c r="O277" s="839">
        <v>0</v>
      </c>
      <c r="P277" s="851">
        <v>0</v>
      </c>
      <c r="Q277" s="854"/>
      <c r="R277" s="839">
        <v>0</v>
      </c>
      <c r="S277" s="851">
        <v>0</v>
      </c>
      <c r="T277" s="855"/>
      <c r="U277" s="839">
        <v>0</v>
      </c>
      <c r="V277" s="851">
        <v>0</v>
      </c>
      <c r="W277" s="839">
        <v>0</v>
      </c>
      <c r="X277" s="851">
        <v>0</v>
      </c>
      <c r="Y277" s="839">
        <v>0</v>
      </c>
      <c r="Z277" s="851">
        <v>0</v>
      </c>
      <c r="AA277" s="839">
        <v>0</v>
      </c>
      <c r="AB277" s="851">
        <v>0</v>
      </c>
      <c r="AC277" s="839">
        <v>0</v>
      </c>
      <c r="AD277" s="851">
        <v>0</v>
      </c>
      <c r="AE277" s="839">
        <v>0</v>
      </c>
      <c r="AF277" s="851">
        <v>0</v>
      </c>
      <c r="AG277" s="856"/>
      <c r="AH277" s="839">
        <v>0</v>
      </c>
      <c r="AI277" s="851">
        <v>0</v>
      </c>
      <c r="AJ277" s="856"/>
      <c r="AK277" s="839">
        <v>0</v>
      </c>
      <c r="AL277" s="851">
        <v>0</v>
      </c>
      <c r="AM277" s="856"/>
      <c r="AN277" s="839">
        <v>0</v>
      </c>
      <c r="AO277" s="851">
        <v>0</v>
      </c>
      <c r="AP277" s="856"/>
      <c r="AQ277" s="839">
        <v>0</v>
      </c>
      <c r="AR277" s="851">
        <v>0</v>
      </c>
      <c r="AS277" s="856"/>
      <c r="AT277" s="839">
        <v>0</v>
      </c>
      <c r="AU277" s="851">
        <v>0</v>
      </c>
      <c r="AV277" s="856"/>
      <c r="AW277" s="839">
        <v>0</v>
      </c>
      <c r="AX277" s="851">
        <v>0</v>
      </c>
      <c r="AY277" s="856"/>
      <c r="AZ277" s="845">
        <v>0</v>
      </c>
      <c r="BA277" s="845">
        <v>0</v>
      </c>
      <c r="BB277" s="846">
        <v>0</v>
      </c>
      <c r="BD277" s="2">
        <v>3</v>
      </c>
      <c r="BF277" s="787">
        <v>0</v>
      </c>
      <c r="BG277" s="325">
        <v>150000851</v>
      </c>
      <c r="BI277" s="847">
        <v>0</v>
      </c>
      <c r="BJ277" s="847">
        <v>0</v>
      </c>
      <c r="BK277" s="847">
        <v>0</v>
      </c>
      <c r="BL277" s="848"/>
      <c r="BM277" s="3"/>
      <c r="BN277" s="3"/>
      <c r="BP277" s="3"/>
      <c r="BQ277" s="3"/>
      <c r="BS277" s="42" t="s">
        <v>135</v>
      </c>
    </row>
    <row r="278" spans="1:71" ht="24.9" customHeight="1" x14ac:dyDescent="0.3">
      <c r="A278" s="325">
        <v>150000795</v>
      </c>
      <c r="B278" s="849" t="s">
        <v>292</v>
      </c>
      <c r="C278" s="850">
        <v>5</v>
      </c>
      <c r="D278" s="101" t="s">
        <v>455</v>
      </c>
      <c r="E278" s="279">
        <v>2762.24</v>
      </c>
      <c r="F278" s="838">
        <v>6187.3527149777783</v>
      </c>
      <c r="G278" s="838">
        <v>443</v>
      </c>
      <c r="H278" s="838">
        <v>-5744.3527149777783</v>
      </c>
      <c r="I278" s="839">
        <v>0</v>
      </c>
      <c r="J278" s="851">
        <v>0</v>
      </c>
      <c r="K278" s="852"/>
      <c r="L278" s="839">
        <v>0</v>
      </c>
      <c r="M278" s="851">
        <v>0</v>
      </c>
      <c r="N278" s="853"/>
      <c r="O278" s="839">
        <v>0</v>
      </c>
      <c r="P278" s="851">
        <v>0</v>
      </c>
      <c r="Q278" s="854"/>
      <c r="R278" s="839">
        <v>0</v>
      </c>
      <c r="S278" s="851">
        <v>0</v>
      </c>
      <c r="T278" s="855"/>
      <c r="U278" s="839">
        <v>0</v>
      </c>
      <c r="V278" s="851">
        <v>0</v>
      </c>
      <c r="W278" s="839">
        <v>0</v>
      </c>
      <c r="X278" s="851">
        <v>0</v>
      </c>
      <c r="Y278" s="839">
        <v>0</v>
      </c>
      <c r="Z278" s="851">
        <v>0</v>
      </c>
      <c r="AA278" s="839">
        <v>0</v>
      </c>
      <c r="AB278" s="851">
        <v>0</v>
      </c>
      <c r="AC278" s="839">
        <v>443</v>
      </c>
      <c r="AD278" s="851">
        <v>0</v>
      </c>
      <c r="AE278" s="839">
        <v>293.68451802447441</v>
      </c>
      <c r="AF278" s="851">
        <v>0</v>
      </c>
      <c r="AG278" s="856"/>
      <c r="AH278" s="839">
        <v>428.45713760025609</v>
      </c>
      <c r="AI278" s="851">
        <v>2922</v>
      </c>
      <c r="AJ278" s="856"/>
      <c r="AK278" s="839">
        <v>0</v>
      </c>
      <c r="AL278" s="851">
        <v>0</v>
      </c>
      <c r="AM278" s="856"/>
      <c r="AN278" s="839">
        <v>0</v>
      </c>
      <c r="AO278" s="851">
        <v>0</v>
      </c>
      <c r="AP278" s="856"/>
      <c r="AQ278" s="839">
        <v>0</v>
      </c>
      <c r="AR278" s="851">
        <v>0</v>
      </c>
      <c r="AS278" s="856"/>
      <c r="AT278" s="839">
        <v>264.95478811646899</v>
      </c>
      <c r="AU278" s="851">
        <v>0</v>
      </c>
      <c r="AV278" s="856"/>
      <c r="AW278" s="839">
        <v>0</v>
      </c>
      <c r="AX278" s="851">
        <v>0</v>
      </c>
      <c r="AY278" s="856"/>
      <c r="AZ278" s="845">
        <v>987.09644374119944</v>
      </c>
      <c r="BA278" s="845">
        <v>2922</v>
      </c>
      <c r="BB278" s="846">
        <v>1934.9035562588006</v>
      </c>
      <c r="BD278" s="2">
        <v>3</v>
      </c>
      <c r="BF278" s="787">
        <v>8.7637451913097326</v>
      </c>
      <c r="BG278" s="325">
        <v>150000795</v>
      </c>
      <c r="BI278" s="847">
        <v>0</v>
      </c>
      <c r="BJ278" s="847">
        <v>0</v>
      </c>
      <c r="BK278" s="847">
        <v>0</v>
      </c>
      <c r="BL278" s="848"/>
      <c r="BM278" s="3"/>
      <c r="BN278" s="3"/>
      <c r="BP278" s="3"/>
      <c r="BQ278" s="3"/>
      <c r="BS278" s="42" t="s">
        <v>292</v>
      </c>
    </row>
    <row r="279" spans="1:71" ht="24.9" customHeight="1" x14ac:dyDescent="0.3">
      <c r="A279" s="325">
        <v>150000832</v>
      </c>
      <c r="B279" s="849" t="s">
        <v>423</v>
      </c>
      <c r="C279" s="850">
        <v>10</v>
      </c>
      <c r="D279" s="101" t="s">
        <v>455</v>
      </c>
      <c r="E279" s="279">
        <v>4396.8</v>
      </c>
      <c r="F279" s="838">
        <v>10322.180931511321</v>
      </c>
      <c r="G279" s="838">
        <v>581</v>
      </c>
      <c r="H279" s="838">
        <v>-9741.1809315113205</v>
      </c>
      <c r="I279" s="839">
        <v>0</v>
      </c>
      <c r="J279" s="851">
        <v>0</v>
      </c>
      <c r="K279" s="852"/>
      <c r="L279" s="839">
        <v>0</v>
      </c>
      <c r="M279" s="851">
        <v>0</v>
      </c>
      <c r="N279" s="853"/>
      <c r="O279" s="839">
        <v>0</v>
      </c>
      <c r="P279" s="851">
        <v>0</v>
      </c>
      <c r="Q279" s="854"/>
      <c r="R279" s="839">
        <v>0</v>
      </c>
      <c r="S279" s="851">
        <v>0</v>
      </c>
      <c r="T279" s="870"/>
      <c r="U279" s="839">
        <v>0</v>
      </c>
      <c r="V279" s="851">
        <v>0</v>
      </c>
      <c r="W279" s="839">
        <v>2</v>
      </c>
      <c r="X279" s="851">
        <v>241</v>
      </c>
      <c r="Y279" s="839">
        <v>0</v>
      </c>
      <c r="Z279" s="851">
        <v>0</v>
      </c>
      <c r="AA279" s="839">
        <v>0</v>
      </c>
      <c r="AB279" s="851">
        <v>340</v>
      </c>
      <c r="AC279" s="839">
        <v>0</v>
      </c>
      <c r="AD279" s="851">
        <v>0</v>
      </c>
      <c r="AE279" s="839">
        <v>214.40752078805031</v>
      </c>
      <c r="AF279" s="851">
        <v>0</v>
      </c>
      <c r="AG279" s="856"/>
      <c r="AH279" s="839">
        <v>249.06583069279796</v>
      </c>
      <c r="AI279" s="851">
        <v>0</v>
      </c>
      <c r="AJ279" s="856"/>
      <c r="AK279" s="839">
        <v>226.77710403175575</v>
      </c>
      <c r="AL279" s="851">
        <v>0</v>
      </c>
      <c r="AM279" s="856"/>
      <c r="AN279" s="839">
        <v>128.6876472295032</v>
      </c>
      <c r="AO279" s="851">
        <v>0</v>
      </c>
      <c r="AP279" s="856"/>
      <c r="AQ279" s="839">
        <v>44.980177589529568</v>
      </c>
      <c r="AR279" s="851">
        <v>0</v>
      </c>
      <c r="AS279" s="856"/>
      <c r="AT279" s="839">
        <v>133.23107334635267</v>
      </c>
      <c r="AU279" s="851">
        <v>0</v>
      </c>
      <c r="AV279" s="856"/>
      <c r="AW279" s="839">
        <v>79.878797055444863</v>
      </c>
      <c r="AX279" s="851">
        <v>0</v>
      </c>
      <c r="AY279" s="856"/>
      <c r="AZ279" s="845">
        <v>1077.0281507334344</v>
      </c>
      <c r="BA279" s="845">
        <v>0</v>
      </c>
      <c r="BB279" s="846">
        <v>-1077.0281507334344</v>
      </c>
      <c r="BD279" s="2">
        <v>1</v>
      </c>
      <c r="BF279" s="787">
        <v>51.606384639612287</v>
      </c>
      <c r="BG279" s="325">
        <v>150000832</v>
      </c>
      <c r="BI279" s="847">
        <v>0</v>
      </c>
      <c r="BJ279" s="847">
        <v>0</v>
      </c>
      <c r="BK279" s="847">
        <v>0</v>
      </c>
      <c r="BL279" s="848"/>
      <c r="BM279" s="3">
        <v>2</v>
      </c>
      <c r="BN279" s="3">
        <v>241</v>
      </c>
      <c r="BP279" s="3"/>
      <c r="BQ279" s="3"/>
      <c r="BS279" s="42" t="s">
        <v>423</v>
      </c>
    </row>
    <row r="280" spans="1:71" ht="24.9" customHeight="1" x14ac:dyDescent="0.3">
      <c r="A280" s="325">
        <v>150000833</v>
      </c>
      <c r="B280" s="849" t="s">
        <v>393</v>
      </c>
      <c r="C280" s="850">
        <v>9</v>
      </c>
      <c r="D280" s="101" t="s">
        <v>455</v>
      </c>
      <c r="E280" s="279">
        <v>4752.1000000000004</v>
      </c>
      <c r="F280" s="838">
        <v>11465.553840186622</v>
      </c>
      <c r="G280" s="838">
        <v>418888</v>
      </c>
      <c r="H280" s="838">
        <v>407422.44615981338</v>
      </c>
      <c r="I280" s="839">
        <v>0</v>
      </c>
      <c r="J280" s="851">
        <v>0</v>
      </c>
      <c r="K280" s="866"/>
      <c r="L280" s="839">
        <v>0</v>
      </c>
      <c r="M280" s="851">
        <v>2468</v>
      </c>
      <c r="N280" s="853"/>
      <c r="O280" s="839">
        <v>0</v>
      </c>
      <c r="P280" s="851">
        <v>0</v>
      </c>
      <c r="Q280" s="854"/>
      <c r="R280" s="839">
        <v>1</v>
      </c>
      <c r="S280" s="851">
        <v>414765</v>
      </c>
      <c r="T280" s="870"/>
      <c r="U280" s="839">
        <v>1104</v>
      </c>
      <c r="V280" s="851">
        <v>0</v>
      </c>
      <c r="W280" s="839">
        <v>0</v>
      </c>
      <c r="X280" s="851">
        <v>0</v>
      </c>
      <c r="Y280" s="839">
        <v>0</v>
      </c>
      <c r="Z280" s="851">
        <v>0</v>
      </c>
      <c r="AA280" s="839">
        <v>0</v>
      </c>
      <c r="AB280" s="851">
        <v>0</v>
      </c>
      <c r="AC280" s="839">
        <v>0</v>
      </c>
      <c r="AD280" s="851">
        <v>551</v>
      </c>
      <c r="AE280" s="839">
        <v>171.52601663044027</v>
      </c>
      <c r="AF280" s="851">
        <v>0</v>
      </c>
      <c r="AG280" s="856"/>
      <c r="AH280" s="839">
        <v>185.23402568086527</v>
      </c>
      <c r="AI280" s="851">
        <v>0</v>
      </c>
      <c r="AJ280" s="856"/>
      <c r="AK280" s="839">
        <v>229.91088521272141</v>
      </c>
      <c r="AL280" s="851">
        <v>0</v>
      </c>
      <c r="AM280" s="856"/>
      <c r="AN280" s="839">
        <v>111.16789026792613</v>
      </c>
      <c r="AO280" s="851">
        <v>0</v>
      </c>
      <c r="AP280" s="856"/>
      <c r="AQ280" s="839">
        <v>56.371262847709524</v>
      </c>
      <c r="AR280" s="851">
        <v>8442</v>
      </c>
      <c r="AS280" s="856"/>
      <c r="AT280" s="839">
        <v>105.1618901772249</v>
      </c>
      <c r="AU280" s="851">
        <v>9612</v>
      </c>
      <c r="AV280" s="856"/>
      <c r="AW280" s="839">
        <v>78.880070559382432</v>
      </c>
      <c r="AX280" s="851">
        <v>0</v>
      </c>
      <c r="AY280" s="856"/>
      <c r="AZ280" s="845">
        <v>938.25204137626997</v>
      </c>
      <c r="BA280" s="845">
        <v>18054</v>
      </c>
      <c r="BB280" s="846">
        <v>17115.747958623731</v>
      </c>
      <c r="BD280" s="2">
        <v>1</v>
      </c>
      <c r="BF280" s="787">
        <v>228.14220713081235</v>
      </c>
      <c r="BG280" s="325">
        <v>150000833</v>
      </c>
      <c r="BI280" s="847">
        <v>0</v>
      </c>
      <c r="BJ280" s="847">
        <v>0</v>
      </c>
      <c r="BK280" s="847">
        <v>0</v>
      </c>
      <c r="BL280" s="848"/>
      <c r="BM280" s="3"/>
      <c r="BN280" s="3"/>
      <c r="BP280" s="3"/>
      <c r="BQ280" s="3"/>
      <c r="BS280" s="42" t="s">
        <v>393</v>
      </c>
    </row>
    <row r="281" spans="1:71" ht="24.9" customHeight="1" x14ac:dyDescent="0.3">
      <c r="A281" s="325">
        <v>150000836</v>
      </c>
      <c r="B281" s="849" t="s">
        <v>199</v>
      </c>
      <c r="C281" s="850">
        <v>3</v>
      </c>
      <c r="D281" s="101" t="s">
        <v>455</v>
      </c>
      <c r="E281" s="279">
        <v>1578.7</v>
      </c>
      <c r="F281" s="838">
        <v>4361.3246293003276</v>
      </c>
      <c r="G281" s="838">
        <v>0</v>
      </c>
      <c r="H281" s="838">
        <v>-4361.3246293003276</v>
      </c>
      <c r="I281" s="839">
        <v>0</v>
      </c>
      <c r="J281" s="851">
        <v>0</v>
      </c>
      <c r="K281" s="852"/>
      <c r="L281" s="839">
        <v>0</v>
      </c>
      <c r="M281" s="851">
        <v>0</v>
      </c>
      <c r="N281" s="853"/>
      <c r="O281" s="839">
        <v>0</v>
      </c>
      <c r="P281" s="851">
        <v>0</v>
      </c>
      <c r="Q281" s="854"/>
      <c r="R281" s="839">
        <v>0</v>
      </c>
      <c r="S281" s="851">
        <v>0</v>
      </c>
      <c r="T281" s="855"/>
      <c r="U281" s="839">
        <v>0</v>
      </c>
      <c r="V281" s="851">
        <v>0</v>
      </c>
      <c r="W281" s="839">
        <v>0</v>
      </c>
      <c r="X281" s="851">
        <v>0</v>
      </c>
      <c r="Y281" s="839">
        <v>0</v>
      </c>
      <c r="Z281" s="851">
        <v>0</v>
      </c>
      <c r="AA281" s="839">
        <v>0</v>
      </c>
      <c r="AB281" s="851">
        <v>0</v>
      </c>
      <c r="AC281" s="839">
        <v>0</v>
      </c>
      <c r="AD281" s="851">
        <v>0</v>
      </c>
      <c r="AE281" s="839">
        <v>196.24790144530206</v>
      </c>
      <c r="AF281" s="851">
        <v>0</v>
      </c>
      <c r="AG281" s="856"/>
      <c r="AH281" s="839">
        <v>285.79135804273159</v>
      </c>
      <c r="AI281" s="851">
        <v>0</v>
      </c>
      <c r="AJ281" s="856"/>
      <c r="AK281" s="839">
        <v>174.4002952120108</v>
      </c>
      <c r="AL281" s="851">
        <v>0</v>
      </c>
      <c r="AM281" s="856"/>
      <c r="AN281" s="839">
        <v>106.53832154271349</v>
      </c>
      <c r="AO281" s="851">
        <v>0</v>
      </c>
      <c r="AP281" s="856"/>
      <c r="AQ281" s="839">
        <v>35.974450255696418</v>
      </c>
      <c r="AR281" s="851">
        <v>0</v>
      </c>
      <c r="AS281" s="856"/>
      <c r="AT281" s="839">
        <v>92.185307259032186</v>
      </c>
      <c r="AU281" s="851">
        <v>0</v>
      </c>
      <c r="AV281" s="856"/>
      <c r="AW281" s="839">
        <v>31.907610498203873</v>
      </c>
      <c r="AX281" s="851">
        <v>0</v>
      </c>
      <c r="AY281" s="856"/>
      <c r="AZ281" s="845">
        <v>923.04524425569048</v>
      </c>
      <c r="BA281" s="845">
        <v>0</v>
      </c>
      <c r="BB281" s="846">
        <v>-923.04524425569048</v>
      </c>
      <c r="BD281" s="2">
        <v>1</v>
      </c>
      <c r="BF281" s="787">
        <v>30.951326757275048</v>
      </c>
      <c r="BG281" s="325">
        <v>150000836</v>
      </c>
      <c r="BI281" s="847">
        <v>0</v>
      </c>
      <c r="BJ281" s="847">
        <v>0</v>
      </c>
      <c r="BK281" s="847">
        <v>0</v>
      </c>
      <c r="BL281" s="848"/>
      <c r="BM281" s="3"/>
      <c r="BN281" s="3"/>
      <c r="BP281" s="3"/>
      <c r="BQ281" s="3"/>
      <c r="BS281" s="42" t="s">
        <v>199</v>
      </c>
    </row>
    <row r="282" spans="1:71" ht="24.9" customHeight="1" x14ac:dyDescent="0.3">
      <c r="A282" s="325">
        <v>150000837</v>
      </c>
      <c r="B282" s="849" t="s">
        <v>200</v>
      </c>
      <c r="C282" s="850">
        <v>3</v>
      </c>
      <c r="D282" s="101" t="s">
        <v>455</v>
      </c>
      <c r="E282" s="279">
        <v>631.1</v>
      </c>
      <c r="F282" s="838">
        <v>874.75995205603374</v>
      </c>
      <c r="G282" s="838">
        <v>809</v>
      </c>
      <c r="H282" s="838">
        <v>-65.75995205603374</v>
      </c>
      <c r="I282" s="839">
        <v>0</v>
      </c>
      <c r="J282" s="851">
        <v>809</v>
      </c>
      <c r="K282" s="866"/>
      <c r="L282" s="839">
        <v>0</v>
      </c>
      <c r="M282" s="851">
        <v>0</v>
      </c>
      <c r="N282" s="858"/>
      <c r="O282" s="839">
        <v>0</v>
      </c>
      <c r="P282" s="851">
        <v>0</v>
      </c>
      <c r="Q282" s="854"/>
      <c r="R282" s="839">
        <v>0</v>
      </c>
      <c r="S282" s="851">
        <v>0</v>
      </c>
      <c r="T282" s="855"/>
      <c r="U282" s="839">
        <v>0</v>
      </c>
      <c r="V282" s="851">
        <v>0</v>
      </c>
      <c r="W282" s="839">
        <v>0</v>
      </c>
      <c r="X282" s="851">
        <v>0</v>
      </c>
      <c r="Y282" s="839">
        <v>0</v>
      </c>
      <c r="Z282" s="851">
        <v>0</v>
      </c>
      <c r="AA282" s="839">
        <v>0</v>
      </c>
      <c r="AB282" s="851">
        <v>0</v>
      </c>
      <c r="AC282" s="839">
        <v>0</v>
      </c>
      <c r="AD282" s="851">
        <v>0</v>
      </c>
      <c r="AE282" s="839">
        <v>91.799711134666694</v>
      </c>
      <c r="AF282" s="851">
        <v>0</v>
      </c>
      <c r="AG282" s="856"/>
      <c r="AH282" s="839">
        <v>93.161411686942571</v>
      </c>
      <c r="AI282" s="851">
        <v>0</v>
      </c>
      <c r="AJ282" s="856"/>
      <c r="AK282" s="839">
        <v>67.913456968774284</v>
      </c>
      <c r="AL282" s="851">
        <v>0</v>
      </c>
      <c r="AM282" s="856"/>
      <c r="AN282" s="839">
        <v>0</v>
      </c>
      <c r="AO282" s="851">
        <v>0</v>
      </c>
      <c r="AP282" s="856"/>
      <c r="AQ282" s="839">
        <v>0</v>
      </c>
      <c r="AR282" s="851">
        <v>0</v>
      </c>
      <c r="AS282" s="856"/>
      <c r="AT282" s="839">
        <v>44.518397153018292</v>
      </c>
      <c r="AU282" s="851">
        <v>0</v>
      </c>
      <c r="AV282" s="856"/>
      <c r="AW282" s="839">
        <v>15.287047639181583</v>
      </c>
      <c r="AX282" s="851">
        <v>0</v>
      </c>
      <c r="AY282" s="856"/>
      <c r="AZ282" s="845">
        <v>312.68002458258343</v>
      </c>
      <c r="BA282" s="845">
        <v>0</v>
      </c>
      <c r="BB282" s="846">
        <v>-312.68002458258343</v>
      </c>
      <c r="BD282" s="2">
        <v>1</v>
      </c>
      <c r="BF282" s="787">
        <v>24.592728866104217</v>
      </c>
      <c r="BG282" s="325">
        <v>150000837</v>
      </c>
      <c r="BI282" s="847">
        <v>0</v>
      </c>
      <c r="BJ282" s="847">
        <v>0</v>
      </c>
      <c r="BK282" s="847">
        <v>0</v>
      </c>
      <c r="BL282" s="848"/>
      <c r="BM282" s="3"/>
      <c r="BN282" s="3"/>
      <c r="BP282" s="3"/>
      <c r="BQ282" s="3"/>
      <c r="BS282" s="42" t="s">
        <v>200</v>
      </c>
    </row>
    <row r="283" spans="1:71" ht="24.9" customHeight="1" x14ac:dyDescent="0.3">
      <c r="A283" s="325">
        <v>150000839</v>
      </c>
      <c r="B283" s="862" t="s">
        <v>136</v>
      </c>
      <c r="C283" s="863">
        <v>1</v>
      </c>
      <c r="D283" s="101" t="s">
        <v>455</v>
      </c>
      <c r="E283" s="279">
        <v>128.19999999999999</v>
      </c>
      <c r="F283" s="838">
        <v>398.0008367639935</v>
      </c>
      <c r="G283" s="838">
        <v>0</v>
      </c>
      <c r="H283" s="838">
        <v>-398.0008367639935</v>
      </c>
      <c r="I283" s="839">
        <v>0</v>
      </c>
      <c r="J283" s="851">
        <v>0</v>
      </c>
      <c r="K283" s="852"/>
      <c r="L283" s="839">
        <v>0</v>
      </c>
      <c r="M283" s="851">
        <v>0</v>
      </c>
      <c r="N283" s="853"/>
      <c r="O283" s="839">
        <v>0</v>
      </c>
      <c r="P283" s="851">
        <v>0</v>
      </c>
      <c r="Q283" s="854"/>
      <c r="R283" s="839">
        <v>0</v>
      </c>
      <c r="S283" s="851">
        <v>0</v>
      </c>
      <c r="T283" s="855"/>
      <c r="U283" s="839">
        <v>0</v>
      </c>
      <c r="V283" s="851">
        <v>0</v>
      </c>
      <c r="W283" s="839">
        <v>0</v>
      </c>
      <c r="X283" s="851">
        <v>0</v>
      </c>
      <c r="Y283" s="839">
        <v>0</v>
      </c>
      <c r="Z283" s="851">
        <v>0</v>
      </c>
      <c r="AA283" s="839">
        <v>0</v>
      </c>
      <c r="AB283" s="851">
        <v>0</v>
      </c>
      <c r="AC283" s="839">
        <v>0</v>
      </c>
      <c r="AD283" s="851">
        <v>0</v>
      </c>
      <c r="AE283" s="839">
        <v>0</v>
      </c>
      <c r="AF283" s="851">
        <v>0</v>
      </c>
      <c r="AG283" s="856"/>
      <c r="AH283" s="839">
        <v>0</v>
      </c>
      <c r="AI283" s="851">
        <v>0</v>
      </c>
      <c r="AJ283" s="856"/>
      <c r="AK283" s="839">
        <v>0</v>
      </c>
      <c r="AL283" s="851">
        <v>0</v>
      </c>
      <c r="AM283" s="856"/>
      <c r="AN283" s="839">
        <v>0</v>
      </c>
      <c r="AO283" s="851">
        <v>0</v>
      </c>
      <c r="AP283" s="856"/>
      <c r="AQ283" s="839">
        <v>0</v>
      </c>
      <c r="AR283" s="851">
        <v>0</v>
      </c>
      <c r="AS283" s="856"/>
      <c r="AT283" s="839">
        <v>0</v>
      </c>
      <c r="AU283" s="851">
        <v>0</v>
      </c>
      <c r="AV283" s="856"/>
      <c r="AW283" s="839">
        <v>0</v>
      </c>
      <c r="AX283" s="851">
        <v>0</v>
      </c>
      <c r="AY283" s="856"/>
      <c r="AZ283" s="845">
        <v>0</v>
      </c>
      <c r="BA283" s="845">
        <v>0</v>
      </c>
      <c r="BB283" s="846">
        <v>0</v>
      </c>
      <c r="BD283" s="2">
        <v>1</v>
      </c>
      <c r="BF283" s="787">
        <v>0</v>
      </c>
      <c r="BG283" s="325">
        <v>150000839</v>
      </c>
      <c r="BI283" s="847">
        <v>0</v>
      </c>
      <c r="BJ283" s="847">
        <v>0</v>
      </c>
      <c r="BK283" s="847">
        <v>0</v>
      </c>
      <c r="BL283" s="848"/>
      <c r="BM283" s="3"/>
      <c r="BN283" s="3"/>
      <c r="BP283" s="3"/>
      <c r="BQ283" s="3"/>
      <c r="BS283" s="42" t="s">
        <v>136</v>
      </c>
    </row>
    <row r="284" spans="1:71" ht="24.9" customHeight="1" x14ac:dyDescent="0.3">
      <c r="A284" s="325">
        <v>150000840</v>
      </c>
      <c r="B284" s="849" t="s">
        <v>394</v>
      </c>
      <c r="C284" s="850">
        <v>9</v>
      </c>
      <c r="D284" s="101" t="s">
        <v>455</v>
      </c>
      <c r="E284" s="279">
        <v>4216.5600000000004</v>
      </c>
      <c r="F284" s="838">
        <v>10064.675918389228</v>
      </c>
      <c r="G284" s="838">
        <v>1864.7737824240535</v>
      </c>
      <c r="H284" s="838">
        <v>-8199.9021359651742</v>
      </c>
      <c r="I284" s="839">
        <v>0</v>
      </c>
      <c r="J284" s="851">
        <v>0</v>
      </c>
      <c r="K284" s="866"/>
      <c r="L284" s="839">
        <v>0</v>
      </c>
      <c r="M284" s="851">
        <v>0</v>
      </c>
      <c r="N284" s="853"/>
      <c r="O284" s="839">
        <v>0</v>
      </c>
      <c r="P284" s="851">
        <v>0</v>
      </c>
      <c r="Q284" s="854"/>
      <c r="R284" s="839">
        <v>1</v>
      </c>
      <c r="S284" s="851">
        <v>1803</v>
      </c>
      <c r="T284" s="870"/>
      <c r="U284" s="839">
        <v>0</v>
      </c>
      <c r="V284" s="851">
        <v>0</v>
      </c>
      <c r="W284" s="839">
        <v>0</v>
      </c>
      <c r="X284" s="851">
        <v>61.773782424053593</v>
      </c>
      <c r="Y284" s="839">
        <v>0</v>
      </c>
      <c r="Z284" s="851">
        <v>0</v>
      </c>
      <c r="AA284" s="839">
        <v>0</v>
      </c>
      <c r="AB284" s="851">
        <v>0</v>
      </c>
      <c r="AC284" s="839">
        <v>0</v>
      </c>
      <c r="AD284" s="851">
        <v>0</v>
      </c>
      <c r="AE284" s="839">
        <v>206.76395489082276</v>
      </c>
      <c r="AF284" s="851">
        <v>456</v>
      </c>
      <c r="AG284" s="856"/>
      <c r="AH284" s="839">
        <v>249.72595634349193</v>
      </c>
      <c r="AI284" s="851">
        <v>0</v>
      </c>
      <c r="AJ284" s="857"/>
      <c r="AK284" s="839">
        <v>312.35655427083907</v>
      </c>
      <c r="AL284" s="851">
        <v>0</v>
      </c>
      <c r="AM284" s="856"/>
      <c r="AN284" s="839">
        <v>115.73902546114914</v>
      </c>
      <c r="AO284" s="851">
        <v>0</v>
      </c>
      <c r="AP284" s="856"/>
      <c r="AQ284" s="839">
        <v>65.961235315382794</v>
      </c>
      <c r="AR284" s="851">
        <v>0</v>
      </c>
      <c r="AS284" s="856"/>
      <c r="AT284" s="839">
        <v>127.2900014790072</v>
      </c>
      <c r="AU284" s="851">
        <v>0</v>
      </c>
      <c r="AV284" s="856"/>
      <c r="AW284" s="839">
        <v>102.33357069191999</v>
      </c>
      <c r="AX284" s="851">
        <v>0</v>
      </c>
      <c r="AY284" s="856"/>
      <c r="AZ284" s="845">
        <v>1180.170298452613</v>
      </c>
      <c r="BA284" s="845">
        <v>456</v>
      </c>
      <c r="BB284" s="846">
        <v>-724.170298452613</v>
      </c>
      <c r="BD284" s="2">
        <v>1</v>
      </c>
      <c r="BF284" s="787">
        <v>49.519756280596233</v>
      </c>
      <c r="BG284" s="325">
        <v>150000840</v>
      </c>
      <c r="BI284" s="847">
        <v>28.1</v>
      </c>
      <c r="BJ284" s="847">
        <v>2.7575497822457642</v>
      </c>
      <c r="BK284" s="847">
        <v>30.857549782245766</v>
      </c>
      <c r="BL284" s="848"/>
      <c r="BM284" s="3"/>
      <c r="BN284" s="3"/>
      <c r="BP284" s="3"/>
      <c r="BQ284" s="3"/>
      <c r="BS284" s="42" t="s">
        <v>394</v>
      </c>
    </row>
    <row r="285" spans="1:71" ht="24.9" customHeight="1" x14ac:dyDescent="0.3">
      <c r="A285" s="325">
        <v>150000841</v>
      </c>
      <c r="B285" s="862" t="s">
        <v>137</v>
      </c>
      <c r="C285" s="863">
        <v>1</v>
      </c>
      <c r="D285" s="101" t="s">
        <v>455</v>
      </c>
      <c r="E285" s="279">
        <v>172.4</v>
      </c>
      <c r="F285" s="838">
        <v>320.83238666977394</v>
      </c>
      <c r="G285" s="838">
        <v>0</v>
      </c>
      <c r="H285" s="838">
        <v>-320.83238666977394</v>
      </c>
      <c r="I285" s="839">
        <v>0</v>
      </c>
      <c r="J285" s="851">
        <v>0</v>
      </c>
      <c r="K285" s="852"/>
      <c r="L285" s="839">
        <v>0</v>
      </c>
      <c r="M285" s="851">
        <v>0</v>
      </c>
      <c r="N285" s="853"/>
      <c r="O285" s="839">
        <v>0</v>
      </c>
      <c r="P285" s="851">
        <v>0</v>
      </c>
      <c r="Q285" s="854"/>
      <c r="R285" s="839">
        <v>0</v>
      </c>
      <c r="S285" s="851">
        <v>0</v>
      </c>
      <c r="T285" s="855"/>
      <c r="U285" s="839">
        <v>0</v>
      </c>
      <c r="V285" s="851">
        <v>0</v>
      </c>
      <c r="W285" s="839">
        <v>0</v>
      </c>
      <c r="X285" s="851">
        <v>0</v>
      </c>
      <c r="Y285" s="839">
        <v>0</v>
      </c>
      <c r="Z285" s="851">
        <v>0</v>
      </c>
      <c r="AA285" s="839">
        <v>0</v>
      </c>
      <c r="AB285" s="851">
        <v>0</v>
      </c>
      <c r="AC285" s="839">
        <v>0</v>
      </c>
      <c r="AD285" s="851">
        <v>0</v>
      </c>
      <c r="AE285" s="839">
        <v>0</v>
      </c>
      <c r="AF285" s="851">
        <v>0</v>
      </c>
      <c r="AG285" s="856"/>
      <c r="AH285" s="839">
        <v>0</v>
      </c>
      <c r="AI285" s="851">
        <v>0</v>
      </c>
      <c r="AJ285" s="856"/>
      <c r="AK285" s="839">
        <v>0</v>
      </c>
      <c r="AL285" s="851">
        <v>0</v>
      </c>
      <c r="AM285" s="856"/>
      <c r="AN285" s="839">
        <v>0</v>
      </c>
      <c r="AO285" s="851">
        <v>0</v>
      </c>
      <c r="AP285" s="856"/>
      <c r="AQ285" s="839">
        <v>0</v>
      </c>
      <c r="AR285" s="851">
        <v>0</v>
      </c>
      <c r="AS285" s="856"/>
      <c r="AT285" s="839">
        <v>0</v>
      </c>
      <c r="AU285" s="851">
        <v>0</v>
      </c>
      <c r="AV285" s="856"/>
      <c r="AW285" s="839">
        <v>0</v>
      </c>
      <c r="AX285" s="851">
        <v>0</v>
      </c>
      <c r="AY285" s="856"/>
      <c r="AZ285" s="845">
        <v>0</v>
      </c>
      <c r="BA285" s="845">
        <v>0</v>
      </c>
      <c r="BB285" s="846">
        <v>0</v>
      </c>
      <c r="BD285" s="2">
        <v>1</v>
      </c>
      <c r="BF285" s="787">
        <v>0</v>
      </c>
      <c r="BG285" s="325">
        <v>150000841</v>
      </c>
      <c r="BI285" s="847">
        <v>0</v>
      </c>
      <c r="BJ285" s="847">
        <v>0</v>
      </c>
      <c r="BK285" s="847">
        <v>0</v>
      </c>
      <c r="BL285" s="848"/>
      <c r="BM285" s="3"/>
      <c r="BN285" s="3"/>
      <c r="BP285" s="3"/>
      <c r="BQ285" s="3"/>
      <c r="BS285" s="42" t="s">
        <v>137</v>
      </c>
    </row>
    <row r="286" spans="1:71" ht="24.9" customHeight="1" x14ac:dyDescent="0.3">
      <c r="A286" s="325">
        <v>150000848</v>
      </c>
      <c r="B286" s="849" t="s">
        <v>187</v>
      </c>
      <c r="C286" s="850">
        <v>2</v>
      </c>
      <c r="D286" s="101" t="s">
        <v>455</v>
      </c>
      <c r="E286" s="279">
        <v>261.2</v>
      </c>
      <c r="F286" s="838">
        <v>623.57614642388046</v>
      </c>
      <c r="G286" s="838">
        <v>190</v>
      </c>
      <c r="H286" s="838">
        <v>-433.57614642388046</v>
      </c>
      <c r="I286" s="839">
        <v>0</v>
      </c>
      <c r="J286" s="851">
        <v>0</v>
      </c>
      <c r="K286" s="852"/>
      <c r="L286" s="839">
        <v>0</v>
      </c>
      <c r="M286" s="851">
        <v>0</v>
      </c>
      <c r="N286" s="853"/>
      <c r="O286" s="839">
        <v>0</v>
      </c>
      <c r="P286" s="851">
        <v>0</v>
      </c>
      <c r="Q286" s="854"/>
      <c r="R286" s="839">
        <v>0</v>
      </c>
      <c r="S286" s="851">
        <v>0</v>
      </c>
      <c r="T286" s="855"/>
      <c r="U286" s="839">
        <v>0</v>
      </c>
      <c r="V286" s="851">
        <v>0</v>
      </c>
      <c r="W286" s="839">
        <v>0</v>
      </c>
      <c r="X286" s="851">
        <v>0</v>
      </c>
      <c r="Y286" s="839">
        <v>0</v>
      </c>
      <c r="Z286" s="851">
        <v>0</v>
      </c>
      <c r="AA286" s="839">
        <v>0</v>
      </c>
      <c r="AB286" s="851">
        <v>0</v>
      </c>
      <c r="AC286" s="839">
        <v>0</v>
      </c>
      <c r="AD286" s="851">
        <v>190</v>
      </c>
      <c r="AE286" s="839">
        <v>36.308589429809629</v>
      </c>
      <c r="AF286" s="851">
        <v>0</v>
      </c>
      <c r="AG286" s="856"/>
      <c r="AH286" s="839">
        <v>48.925973641158578</v>
      </c>
      <c r="AI286" s="851">
        <v>0</v>
      </c>
      <c r="AJ286" s="856"/>
      <c r="AK286" s="839">
        <v>25.314242800838446</v>
      </c>
      <c r="AL286" s="851">
        <v>0</v>
      </c>
      <c r="AM286" s="856"/>
      <c r="AN286" s="839">
        <v>0</v>
      </c>
      <c r="AO286" s="851">
        <v>0</v>
      </c>
      <c r="AP286" s="856"/>
      <c r="AQ286" s="839">
        <v>0</v>
      </c>
      <c r="AR286" s="851">
        <v>0</v>
      </c>
      <c r="AS286" s="856"/>
      <c r="AT286" s="839">
        <v>9.8614252960765771</v>
      </c>
      <c r="AU286" s="851">
        <v>0</v>
      </c>
      <c r="AV286" s="856"/>
      <c r="AW286" s="839">
        <v>0</v>
      </c>
      <c r="AX286" s="851">
        <v>0</v>
      </c>
      <c r="AY286" s="856"/>
      <c r="AZ286" s="845">
        <v>120.41023116788323</v>
      </c>
      <c r="BA286" s="845">
        <v>0</v>
      </c>
      <c r="BB286" s="846">
        <v>-120.41023116788323</v>
      </c>
      <c r="BD286" s="2">
        <v>2</v>
      </c>
      <c r="BF286" s="787">
        <v>0.91478905496710294</v>
      </c>
      <c r="BG286" s="325">
        <v>150000848</v>
      </c>
      <c r="BI286" s="847">
        <v>0</v>
      </c>
      <c r="BJ286" s="847">
        <v>0</v>
      </c>
      <c r="BK286" s="847">
        <v>0</v>
      </c>
      <c r="BL286" s="848"/>
      <c r="BM286" s="3"/>
      <c r="BN286" s="3"/>
      <c r="BP286" s="3"/>
      <c r="BQ286" s="3"/>
      <c r="BS286" s="42" t="s">
        <v>187</v>
      </c>
    </row>
    <row r="287" spans="1:71" ht="24.9" customHeight="1" x14ac:dyDescent="0.3">
      <c r="A287" s="325">
        <v>150000835</v>
      </c>
      <c r="B287" s="862" t="s">
        <v>138</v>
      </c>
      <c r="C287" s="863">
        <v>1</v>
      </c>
      <c r="D287" s="101" t="s">
        <v>455</v>
      </c>
      <c r="E287" s="279">
        <v>128.6</v>
      </c>
      <c r="F287" s="838">
        <v>319.39668192727891</v>
      </c>
      <c r="G287" s="838">
        <v>0</v>
      </c>
      <c r="H287" s="838">
        <v>-319.39668192727891</v>
      </c>
      <c r="I287" s="839">
        <v>0</v>
      </c>
      <c r="J287" s="851">
        <v>0</v>
      </c>
      <c r="K287" s="852"/>
      <c r="L287" s="839">
        <v>0</v>
      </c>
      <c r="M287" s="851">
        <v>0</v>
      </c>
      <c r="N287" s="853"/>
      <c r="O287" s="839">
        <v>0</v>
      </c>
      <c r="P287" s="851">
        <v>0</v>
      </c>
      <c r="Q287" s="854"/>
      <c r="R287" s="839">
        <v>0</v>
      </c>
      <c r="S287" s="851">
        <v>0</v>
      </c>
      <c r="T287" s="855"/>
      <c r="U287" s="839">
        <v>0</v>
      </c>
      <c r="V287" s="851">
        <v>0</v>
      </c>
      <c r="W287" s="839">
        <v>0</v>
      </c>
      <c r="X287" s="851">
        <v>0</v>
      </c>
      <c r="Y287" s="839">
        <v>0</v>
      </c>
      <c r="Z287" s="851">
        <v>0</v>
      </c>
      <c r="AA287" s="839">
        <v>0</v>
      </c>
      <c r="AB287" s="851">
        <v>0</v>
      </c>
      <c r="AC287" s="839">
        <v>0</v>
      </c>
      <c r="AD287" s="851">
        <v>0</v>
      </c>
      <c r="AE287" s="839">
        <v>0</v>
      </c>
      <c r="AF287" s="851">
        <v>0</v>
      </c>
      <c r="AG287" s="856"/>
      <c r="AH287" s="839">
        <v>0</v>
      </c>
      <c r="AI287" s="851">
        <v>0</v>
      </c>
      <c r="AJ287" s="856"/>
      <c r="AK287" s="839">
        <v>0</v>
      </c>
      <c r="AL287" s="851">
        <v>0</v>
      </c>
      <c r="AM287" s="856"/>
      <c r="AN287" s="839">
        <v>0</v>
      </c>
      <c r="AO287" s="851">
        <v>0</v>
      </c>
      <c r="AP287" s="856"/>
      <c r="AQ287" s="839">
        <v>0</v>
      </c>
      <c r="AR287" s="851">
        <v>0</v>
      </c>
      <c r="AS287" s="856"/>
      <c r="AT287" s="839">
        <v>0</v>
      </c>
      <c r="AU287" s="851">
        <v>0</v>
      </c>
      <c r="AV287" s="856"/>
      <c r="AW287" s="839">
        <v>0</v>
      </c>
      <c r="AX287" s="851">
        <v>0</v>
      </c>
      <c r="AY287" s="856"/>
      <c r="AZ287" s="845">
        <v>0</v>
      </c>
      <c r="BA287" s="845">
        <v>0</v>
      </c>
      <c r="BB287" s="846">
        <v>0</v>
      </c>
      <c r="BD287" s="2">
        <v>2</v>
      </c>
      <c r="BF287" s="787">
        <v>0</v>
      </c>
      <c r="BG287" s="325">
        <v>150000835</v>
      </c>
      <c r="BI287" s="847">
        <v>0</v>
      </c>
      <c r="BJ287" s="847">
        <v>0</v>
      </c>
      <c r="BK287" s="847">
        <v>0</v>
      </c>
      <c r="BL287" s="848"/>
      <c r="BM287" s="3"/>
      <c r="BN287" s="3"/>
      <c r="BP287" s="3"/>
      <c r="BQ287" s="3"/>
      <c r="BS287" s="42" t="s">
        <v>138</v>
      </c>
    </row>
    <row r="288" spans="1:71" ht="24.9" customHeight="1" x14ac:dyDescent="0.3">
      <c r="A288" s="325">
        <v>150000845</v>
      </c>
      <c r="B288" s="862" t="s">
        <v>139</v>
      </c>
      <c r="C288" s="863">
        <v>1</v>
      </c>
      <c r="D288" s="101" t="s">
        <v>455</v>
      </c>
      <c r="E288" s="279">
        <v>252.8</v>
      </c>
      <c r="F288" s="838">
        <v>695.48980715602272</v>
      </c>
      <c r="G288" s="838">
        <v>0</v>
      </c>
      <c r="H288" s="838">
        <v>-695.48980715602272</v>
      </c>
      <c r="I288" s="839">
        <v>0</v>
      </c>
      <c r="J288" s="851">
        <v>0</v>
      </c>
      <c r="K288" s="852"/>
      <c r="L288" s="839">
        <v>0</v>
      </c>
      <c r="M288" s="851">
        <v>0</v>
      </c>
      <c r="N288" s="853"/>
      <c r="O288" s="839">
        <v>0</v>
      </c>
      <c r="P288" s="851">
        <v>0</v>
      </c>
      <c r="Q288" s="854"/>
      <c r="R288" s="839">
        <v>0</v>
      </c>
      <c r="S288" s="851">
        <v>0</v>
      </c>
      <c r="T288" s="855"/>
      <c r="U288" s="839">
        <v>0</v>
      </c>
      <c r="V288" s="851">
        <v>0</v>
      </c>
      <c r="W288" s="839">
        <v>0</v>
      </c>
      <c r="X288" s="851">
        <v>0</v>
      </c>
      <c r="Y288" s="839">
        <v>0</v>
      </c>
      <c r="Z288" s="851">
        <v>0</v>
      </c>
      <c r="AA288" s="839">
        <v>0</v>
      </c>
      <c r="AB288" s="851">
        <v>0</v>
      </c>
      <c r="AC288" s="839">
        <v>0</v>
      </c>
      <c r="AD288" s="851">
        <v>0</v>
      </c>
      <c r="AE288" s="839">
        <v>0</v>
      </c>
      <c r="AF288" s="851">
        <v>0</v>
      </c>
      <c r="AG288" s="856"/>
      <c r="AH288" s="839">
        <v>0</v>
      </c>
      <c r="AI288" s="851">
        <v>0</v>
      </c>
      <c r="AJ288" s="856"/>
      <c r="AK288" s="839">
        <v>0</v>
      </c>
      <c r="AL288" s="851">
        <v>0</v>
      </c>
      <c r="AM288" s="856"/>
      <c r="AN288" s="839">
        <v>0</v>
      </c>
      <c r="AO288" s="851">
        <v>0</v>
      </c>
      <c r="AP288" s="856"/>
      <c r="AQ288" s="839">
        <v>0</v>
      </c>
      <c r="AR288" s="851">
        <v>0</v>
      </c>
      <c r="AS288" s="856"/>
      <c r="AT288" s="839">
        <v>0</v>
      </c>
      <c r="AU288" s="851">
        <v>0</v>
      </c>
      <c r="AV288" s="856"/>
      <c r="AW288" s="839">
        <v>0</v>
      </c>
      <c r="AX288" s="851">
        <v>0</v>
      </c>
      <c r="AY288" s="856"/>
      <c r="AZ288" s="845">
        <v>0</v>
      </c>
      <c r="BA288" s="845">
        <v>0</v>
      </c>
      <c r="BB288" s="846">
        <v>0</v>
      </c>
      <c r="BD288" s="2">
        <v>1</v>
      </c>
      <c r="BF288" s="787">
        <v>0</v>
      </c>
      <c r="BG288" s="325">
        <v>150000845</v>
      </c>
      <c r="BI288" s="847">
        <v>0</v>
      </c>
      <c r="BJ288" s="847">
        <v>0</v>
      </c>
      <c r="BK288" s="847">
        <v>0</v>
      </c>
      <c r="BL288" s="848"/>
      <c r="BM288" s="3"/>
      <c r="BN288" s="3"/>
      <c r="BP288" s="3"/>
      <c r="BQ288" s="3"/>
      <c r="BS288" s="42" t="s">
        <v>139</v>
      </c>
    </row>
    <row r="289" spans="1:71" ht="24.9" customHeight="1" x14ac:dyDescent="0.3">
      <c r="A289" s="325">
        <v>150000846</v>
      </c>
      <c r="B289" s="862" t="s">
        <v>140</v>
      </c>
      <c r="C289" s="863">
        <v>1</v>
      </c>
      <c r="D289" s="101" t="s">
        <v>455</v>
      </c>
      <c r="E289" s="279">
        <v>126.2</v>
      </c>
      <c r="F289" s="838">
        <v>333.49125639965536</v>
      </c>
      <c r="G289" s="838">
        <v>0</v>
      </c>
      <c r="H289" s="838">
        <v>-333.49125639965536</v>
      </c>
      <c r="I289" s="839">
        <v>0</v>
      </c>
      <c r="J289" s="851">
        <v>0</v>
      </c>
      <c r="K289" s="852"/>
      <c r="L289" s="839">
        <v>0</v>
      </c>
      <c r="M289" s="851">
        <v>0</v>
      </c>
      <c r="N289" s="853"/>
      <c r="O289" s="839">
        <v>0</v>
      </c>
      <c r="P289" s="851">
        <v>0</v>
      </c>
      <c r="Q289" s="854"/>
      <c r="R289" s="839">
        <v>0</v>
      </c>
      <c r="S289" s="851">
        <v>0</v>
      </c>
      <c r="T289" s="855"/>
      <c r="U289" s="839">
        <v>0</v>
      </c>
      <c r="V289" s="851">
        <v>0</v>
      </c>
      <c r="W289" s="839">
        <v>0</v>
      </c>
      <c r="X289" s="851">
        <v>0</v>
      </c>
      <c r="Y289" s="839">
        <v>0</v>
      </c>
      <c r="Z289" s="851">
        <v>0</v>
      </c>
      <c r="AA289" s="839">
        <v>0</v>
      </c>
      <c r="AB289" s="851">
        <v>0</v>
      </c>
      <c r="AC289" s="839">
        <v>0</v>
      </c>
      <c r="AD289" s="851">
        <v>0</v>
      </c>
      <c r="AE289" s="839">
        <v>0</v>
      </c>
      <c r="AF289" s="851">
        <v>0</v>
      </c>
      <c r="AG289" s="856"/>
      <c r="AH289" s="839">
        <v>0</v>
      </c>
      <c r="AI289" s="851">
        <v>0</v>
      </c>
      <c r="AJ289" s="856"/>
      <c r="AK289" s="839">
        <v>0</v>
      </c>
      <c r="AL289" s="851">
        <v>0</v>
      </c>
      <c r="AM289" s="856"/>
      <c r="AN289" s="839">
        <v>0</v>
      </c>
      <c r="AO289" s="851">
        <v>0</v>
      </c>
      <c r="AP289" s="856"/>
      <c r="AQ289" s="839">
        <v>0</v>
      </c>
      <c r="AR289" s="851">
        <v>0</v>
      </c>
      <c r="AS289" s="856"/>
      <c r="AT289" s="839">
        <v>0</v>
      </c>
      <c r="AU289" s="851">
        <v>0</v>
      </c>
      <c r="AV289" s="856"/>
      <c r="AW289" s="839">
        <v>0</v>
      </c>
      <c r="AX289" s="851">
        <v>0</v>
      </c>
      <c r="AY289" s="856"/>
      <c r="AZ289" s="845">
        <v>0</v>
      </c>
      <c r="BA289" s="845">
        <v>0</v>
      </c>
      <c r="BB289" s="846">
        <v>0</v>
      </c>
      <c r="BD289" s="2">
        <v>1</v>
      </c>
      <c r="BF289" s="787">
        <v>0</v>
      </c>
      <c r="BG289" s="325">
        <v>150000846</v>
      </c>
      <c r="BI289" s="847">
        <v>0</v>
      </c>
      <c r="BJ289" s="847">
        <v>0</v>
      </c>
      <c r="BK289" s="847">
        <v>0</v>
      </c>
      <c r="BL289" s="848"/>
      <c r="BM289" s="3"/>
      <c r="BN289" s="3"/>
      <c r="BP289" s="3"/>
      <c r="BQ289" s="3"/>
      <c r="BS289" s="42" t="s">
        <v>140</v>
      </c>
    </row>
    <row r="290" spans="1:71" ht="24.9" customHeight="1" x14ac:dyDescent="0.3">
      <c r="A290" s="325">
        <v>150000798</v>
      </c>
      <c r="B290" s="849" t="s">
        <v>226</v>
      </c>
      <c r="C290" s="850">
        <v>4</v>
      </c>
      <c r="D290" s="101" t="s">
        <v>455</v>
      </c>
      <c r="E290" s="279">
        <v>1317.9</v>
      </c>
      <c r="F290" s="838">
        <v>2609.1057601751249</v>
      </c>
      <c r="G290" s="838">
        <v>380</v>
      </c>
      <c r="H290" s="838">
        <v>-2229.1057601751249</v>
      </c>
      <c r="I290" s="839">
        <v>0</v>
      </c>
      <c r="J290" s="851">
        <v>0</v>
      </c>
      <c r="K290" s="852"/>
      <c r="L290" s="839">
        <v>0</v>
      </c>
      <c r="M290" s="851">
        <v>0</v>
      </c>
      <c r="N290" s="853"/>
      <c r="O290" s="839">
        <v>0</v>
      </c>
      <c r="P290" s="851">
        <v>0</v>
      </c>
      <c r="Q290" s="854"/>
      <c r="R290" s="839">
        <v>0</v>
      </c>
      <c r="S290" s="851">
        <v>0</v>
      </c>
      <c r="T290" s="855"/>
      <c r="U290" s="839">
        <v>0</v>
      </c>
      <c r="V290" s="851">
        <v>0</v>
      </c>
      <c r="W290" s="839">
        <v>0</v>
      </c>
      <c r="X290" s="851">
        <v>0</v>
      </c>
      <c r="Y290" s="839">
        <v>0</v>
      </c>
      <c r="Z290" s="851">
        <v>0</v>
      </c>
      <c r="AA290" s="839">
        <v>0</v>
      </c>
      <c r="AB290" s="851">
        <v>0</v>
      </c>
      <c r="AC290" s="839">
        <v>0</v>
      </c>
      <c r="AD290" s="851">
        <v>380</v>
      </c>
      <c r="AE290" s="839">
        <v>126.78159136424794</v>
      </c>
      <c r="AF290" s="851">
        <v>0</v>
      </c>
      <c r="AG290" s="856"/>
      <c r="AH290" s="839">
        <v>151.47835609515252</v>
      </c>
      <c r="AI290" s="851">
        <v>0</v>
      </c>
      <c r="AJ290" s="856"/>
      <c r="AK290" s="839">
        <v>158.77057002037245</v>
      </c>
      <c r="AL290" s="851">
        <v>0</v>
      </c>
      <c r="AM290" s="856"/>
      <c r="AN290" s="839">
        <v>0</v>
      </c>
      <c r="AO290" s="851">
        <v>0</v>
      </c>
      <c r="AP290" s="856"/>
      <c r="AQ290" s="839">
        <v>0</v>
      </c>
      <c r="AR290" s="851">
        <v>0</v>
      </c>
      <c r="AS290" s="856"/>
      <c r="AT290" s="839">
        <v>59.149004912770224</v>
      </c>
      <c r="AU290" s="851">
        <v>711</v>
      </c>
      <c r="AV290" s="856"/>
      <c r="AW290" s="839">
        <v>0</v>
      </c>
      <c r="AX290" s="851">
        <v>0</v>
      </c>
      <c r="AY290" s="856"/>
      <c r="AZ290" s="845">
        <v>496.17952239254316</v>
      </c>
      <c r="BA290" s="845">
        <v>711</v>
      </c>
      <c r="BB290" s="846">
        <v>214.82047760745684</v>
      </c>
      <c r="BD290" s="2">
        <v>2</v>
      </c>
      <c r="BF290" s="787">
        <v>4.6348845150974896</v>
      </c>
      <c r="BG290" s="325">
        <v>150000798</v>
      </c>
      <c r="BI290" s="847">
        <v>0</v>
      </c>
      <c r="BJ290" s="847">
        <v>0</v>
      </c>
      <c r="BK290" s="847">
        <v>0</v>
      </c>
      <c r="BL290" s="848"/>
      <c r="BM290" s="3"/>
      <c r="BN290" s="3"/>
      <c r="BP290" s="3"/>
      <c r="BQ290" s="3"/>
      <c r="BS290" s="42" t="s">
        <v>226</v>
      </c>
    </row>
    <row r="291" spans="1:71" ht="24.9" customHeight="1" x14ac:dyDescent="0.3">
      <c r="A291" s="325">
        <v>150000819</v>
      </c>
      <c r="B291" s="849" t="s">
        <v>424</v>
      </c>
      <c r="C291" s="850">
        <v>10</v>
      </c>
      <c r="D291" s="101" t="s">
        <v>455</v>
      </c>
      <c r="E291" s="279">
        <v>6770.3499999999995</v>
      </c>
      <c r="F291" s="838">
        <v>17079.983820366782</v>
      </c>
      <c r="G291" s="838">
        <v>41032</v>
      </c>
      <c r="H291" s="838">
        <v>23952.016179633218</v>
      </c>
      <c r="I291" s="839">
        <v>0</v>
      </c>
      <c r="J291" s="851">
        <v>843</v>
      </c>
      <c r="K291" s="852"/>
      <c r="L291" s="839">
        <v>0</v>
      </c>
      <c r="M291" s="851">
        <v>0</v>
      </c>
      <c r="N291" s="873"/>
      <c r="O291" s="839">
        <v>0</v>
      </c>
      <c r="P291" s="851">
        <v>0</v>
      </c>
      <c r="Q291" s="854"/>
      <c r="R291" s="839">
        <v>1</v>
      </c>
      <c r="S291" s="851">
        <v>36972</v>
      </c>
      <c r="T291" s="855"/>
      <c r="U291" s="839">
        <v>0</v>
      </c>
      <c r="V291" s="851">
        <v>0</v>
      </c>
      <c r="W291" s="839">
        <v>0</v>
      </c>
      <c r="X291" s="851">
        <v>0</v>
      </c>
      <c r="Y291" s="839">
        <v>0</v>
      </c>
      <c r="Z291" s="851">
        <v>0</v>
      </c>
      <c r="AA291" s="839">
        <v>0</v>
      </c>
      <c r="AB291" s="851">
        <v>0</v>
      </c>
      <c r="AC291" s="839">
        <v>959</v>
      </c>
      <c r="AD291" s="851">
        <v>2258</v>
      </c>
      <c r="AE291" s="839">
        <v>354.5053752788794</v>
      </c>
      <c r="AF291" s="851">
        <v>727</v>
      </c>
      <c r="AG291" s="856"/>
      <c r="AH291" s="839">
        <v>493.73511237688888</v>
      </c>
      <c r="AI291" s="851">
        <v>0</v>
      </c>
      <c r="AJ291" s="856"/>
      <c r="AK291" s="839">
        <v>599.00354063093062</v>
      </c>
      <c r="AL291" s="851">
        <v>0</v>
      </c>
      <c r="AM291" s="856"/>
      <c r="AN291" s="839">
        <v>202.16392511926523</v>
      </c>
      <c r="AO291" s="851">
        <v>0</v>
      </c>
      <c r="AP291" s="856"/>
      <c r="AQ291" s="839">
        <v>105.68402349220877</v>
      </c>
      <c r="AR291" s="851">
        <v>0</v>
      </c>
      <c r="AS291" s="856"/>
      <c r="AT291" s="839">
        <v>136.87374713977206</v>
      </c>
      <c r="AU291" s="851">
        <v>0</v>
      </c>
      <c r="AV291" s="856"/>
      <c r="AW291" s="839">
        <v>0</v>
      </c>
      <c r="AX291" s="851">
        <v>0</v>
      </c>
      <c r="AY291" s="856"/>
      <c r="AZ291" s="845">
        <v>1891.9657240379449</v>
      </c>
      <c r="BA291" s="845">
        <v>727</v>
      </c>
      <c r="BB291" s="846">
        <v>-1164.9657240379449</v>
      </c>
      <c r="BD291" s="2">
        <v>3</v>
      </c>
      <c r="BF291" s="787">
        <v>21.486284092565214</v>
      </c>
      <c r="BG291" s="325">
        <v>150000819</v>
      </c>
      <c r="BI291" s="847">
        <v>0</v>
      </c>
      <c r="BJ291" s="847">
        <v>0</v>
      </c>
      <c r="BK291" s="847">
        <v>0</v>
      </c>
      <c r="BL291" s="848"/>
      <c r="BM291" s="3"/>
      <c r="BN291" s="3"/>
      <c r="BP291" s="3"/>
      <c r="BQ291" s="3"/>
      <c r="BS291" s="42" t="s">
        <v>424</v>
      </c>
    </row>
    <row r="292" spans="1:71" ht="24.9" customHeight="1" x14ac:dyDescent="0.3">
      <c r="A292" s="325">
        <v>150000820</v>
      </c>
      <c r="B292" s="849" t="s">
        <v>395</v>
      </c>
      <c r="C292" s="850">
        <v>9</v>
      </c>
      <c r="D292" s="101" t="s">
        <v>455</v>
      </c>
      <c r="E292" s="279">
        <v>4188.63</v>
      </c>
      <c r="F292" s="838">
        <v>12199.674276605239</v>
      </c>
      <c r="G292" s="838">
        <v>3958</v>
      </c>
      <c r="H292" s="838">
        <v>-8241.6742766052394</v>
      </c>
      <c r="I292" s="839">
        <v>0</v>
      </c>
      <c r="J292" s="851">
        <v>2457</v>
      </c>
      <c r="K292" s="852"/>
      <c r="L292" s="839">
        <v>0</v>
      </c>
      <c r="M292" s="851">
        <v>0</v>
      </c>
      <c r="N292" s="858"/>
      <c r="O292" s="839">
        <v>0</v>
      </c>
      <c r="P292" s="851">
        <v>0</v>
      </c>
      <c r="Q292" s="854"/>
      <c r="R292" s="839">
        <v>1</v>
      </c>
      <c r="S292" s="851">
        <v>723</v>
      </c>
      <c r="T292" s="870"/>
      <c r="U292" s="839">
        <v>0</v>
      </c>
      <c r="V292" s="851">
        <v>0</v>
      </c>
      <c r="W292" s="839">
        <v>10</v>
      </c>
      <c r="X292" s="851">
        <v>778</v>
      </c>
      <c r="Y292" s="839">
        <v>0</v>
      </c>
      <c r="Z292" s="851">
        <v>0</v>
      </c>
      <c r="AA292" s="839">
        <v>0</v>
      </c>
      <c r="AB292" s="851">
        <v>0</v>
      </c>
      <c r="AC292" s="839">
        <v>0</v>
      </c>
      <c r="AD292" s="851">
        <v>0</v>
      </c>
      <c r="AE292" s="839">
        <v>180.28000083455336</v>
      </c>
      <c r="AF292" s="851">
        <v>0</v>
      </c>
      <c r="AG292" s="856"/>
      <c r="AH292" s="839">
        <v>303.15280889421359</v>
      </c>
      <c r="AI292" s="851">
        <v>1620</v>
      </c>
      <c r="AJ292" s="856"/>
      <c r="AK292" s="839">
        <v>375.12738273257935</v>
      </c>
      <c r="AL292" s="851">
        <v>0</v>
      </c>
      <c r="AM292" s="856"/>
      <c r="AN292" s="839">
        <v>148.4035862329026</v>
      </c>
      <c r="AO292" s="851">
        <v>0</v>
      </c>
      <c r="AP292" s="856"/>
      <c r="AQ292" s="839">
        <v>65.961235315382794</v>
      </c>
      <c r="AR292" s="851">
        <v>0</v>
      </c>
      <c r="AS292" s="856"/>
      <c r="AT292" s="839">
        <v>71.693988049612315</v>
      </c>
      <c r="AU292" s="851">
        <v>0</v>
      </c>
      <c r="AV292" s="856"/>
      <c r="AW292" s="839">
        <v>0</v>
      </c>
      <c r="AX292" s="851">
        <v>0</v>
      </c>
      <c r="AY292" s="856"/>
      <c r="AZ292" s="845">
        <v>1144.6190020592439</v>
      </c>
      <c r="BA292" s="845">
        <v>1620</v>
      </c>
      <c r="BB292" s="846">
        <v>475.38099794075606</v>
      </c>
      <c r="BD292" s="2">
        <v>3</v>
      </c>
      <c r="BF292" s="787">
        <v>13.29565453615983</v>
      </c>
      <c r="BG292" s="325">
        <v>150000820</v>
      </c>
      <c r="BI292" s="847">
        <v>0</v>
      </c>
      <c r="BJ292" s="847">
        <v>0</v>
      </c>
      <c r="BK292" s="847">
        <v>0</v>
      </c>
      <c r="BL292" s="848"/>
      <c r="BM292" s="3"/>
      <c r="BN292" s="3"/>
      <c r="BP292" s="3"/>
      <c r="BQ292" s="3"/>
      <c r="BS292" s="42" t="s">
        <v>395</v>
      </c>
    </row>
    <row r="293" spans="1:71" ht="24.9" customHeight="1" x14ac:dyDescent="0.3">
      <c r="A293" s="325">
        <v>150000799</v>
      </c>
      <c r="B293" s="849" t="s">
        <v>293</v>
      </c>
      <c r="C293" s="850">
        <v>5</v>
      </c>
      <c r="D293" s="101" t="s">
        <v>455</v>
      </c>
      <c r="E293" s="279">
        <v>2066.5</v>
      </c>
      <c r="F293" s="838">
        <v>2829.2121625546706</v>
      </c>
      <c r="G293" s="838">
        <v>378</v>
      </c>
      <c r="H293" s="838">
        <v>-2451.2121625546706</v>
      </c>
      <c r="I293" s="839">
        <v>0</v>
      </c>
      <c r="J293" s="851">
        <v>0</v>
      </c>
      <c r="K293" s="852"/>
      <c r="L293" s="839">
        <v>0</v>
      </c>
      <c r="M293" s="851">
        <v>0</v>
      </c>
      <c r="N293" s="853"/>
      <c r="O293" s="839">
        <v>0</v>
      </c>
      <c r="P293" s="851">
        <v>0</v>
      </c>
      <c r="Q293" s="854"/>
      <c r="R293" s="839">
        <v>0</v>
      </c>
      <c r="S293" s="851">
        <v>0</v>
      </c>
      <c r="T293" s="855"/>
      <c r="U293" s="839">
        <v>0</v>
      </c>
      <c r="V293" s="851">
        <v>0</v>
      </c>
      <c r="W293" s="839">
        <v>0</v>
      </c>
      <c r="X293" s="851">
        <v>0</v>
      </c>
      <c r="Y293" s="839">
        <v>0</v>
      </c>
      <c r="Z293" s="851">
        <v>0</v>
      </c>
      <c r="AA293" s="839">
        <v>0</v>
      </c>
      <c r="AB293" s="851">
        <v>0</v>
      </c>
      <c r="AC293" s="839">
        <v>0</v>
      </c>
      <c r="AD293" s="851">
        <v>378</v>
      </c>
      <c r="AE293" s="839">
        <v>191.98904251927169</v>
      </c>
      <c r="AF293" s="851">
        <v>0</v>
      </c>
      <c r="AG293" s="856"/>
      <c r="AH293" s="839">
        <v>271.65683061933453</v>
      </c>
      <c r="AI293" s="851">
        <v>0</v>
      </c>
      <c r="AJ293" s="889"/>
      <c r="AK293" s="839">
        <v>267.77851529053544</v>
      </c>
      <c r="AL293" s="851">
        <v>0</v>
      </c>
      <c r="AM293" s="856"/>
      <c r="AN293" s="839">
        <v>0</v>
      </c>
      <c r="AO293" s="851">
        <v>0</v>
      </c>
      <c r="AP293" s="856"/>
      <c r="AQ293" s="839">
        <v>0</v>
      </c>
      <c r="AR293" s="851">
        <v>0</v>
      </c>
      <c r="AS293" s="856"/>
      <c r="AT293" s="839">
        <v>79.191999924649934</v>
      </c>
      <c r="AU293" s="851">
        <v>0</v>
      </c>
      <c r="AV293" s="856"/>
      <c r="AW293" s="839">
        <v>0</v>
      </c>
      <c r="AX293" s="851">
        <v>0</v>
      </c>
      <c r="AY293" s="856"/>
      <c r="AZ293" s="845">
        <v>810.61638835379165</v>
      </c>
      <c r="BA293" s="845">
        <v>0</v>
      </c>
      <c r="BB293" s="846">
        <v>-810.61638835379165</v>
      </c>
      <c r="BD293" s="2">
        <v>2</v>
      </c>
      <c r="BF293" s="787">
        <v>7.303602967949451</v>
      </c>
      <c r="BG293" s="325">
        <v>150000799</v>
      </c>
      <c r="BI293" s="847">
        <v>0</v>
      </c>
      <c r="BJ293" s="847">
        <v>0</v>
      </c>
      <c r="BK293" s="847">
        <v>0</v>
      </c>
      <c r="BL293" s="848">
        <v>8047</v>
      </c>
      <c r="BM293" s="3"/>
      <c r="BN293" s="3"/>
      <c r="BP293" s="3"/>
      <c r="BQ293" s="3"/>
      <c r="BS293" s="42" t="s">
        <v>293</v>
      </c>
    </row>
    <row r="294" spans="1:71" ht="24.9" customHeight="1" x14ac:dyDescent="0.3">
      <c r="A294" s="325">
        <v>150000830</v>
      </c>
      <c r="B294" s="849" t="s">
        <v>294</v>
      </c>
      <c r="C294" s="850">
        <v>5</v>
      </c>
      <c r="D294" s="101" t="s">
        <v>455</v>
      </c>
      <c r="E294" s="279">
        <v>5961.3</v>
      </c>
      <c r="F294" s="838">
        <v>11865.297829181649</v>
      </c>
      <c r="G294" s="838">
        <v>42313</v>
      </c>
      <c r="H294" s="838">
        <v>30447.702170818353</v>
      </c>
      <c r="I294" s="839">
        <v>9</v>
      </c>
      <c r="J294" s="851">
        <v>884</v>
      </c>
      <c r="K294" s="852"/>
      <c r="L294" s="839">
        <v>1</v>
      </c>
      <c r="M294" s="851">
        <v>40527</v>
      </c>
      <c r="N294" s="853"/>
      <c r="O294" s="839">
        <v>0</v>
      </c>
      <c r="P294" s="851">
        <v>0</v>
      </c>
      <c r="Q294" s="854"/>
      <c r="R294" s="839">
        <v>0</v>
      </c>
      <c r="S294" s="851">
        <v>0</v>
      </c>
      <c r="T294" s="855"/>
      <c r="U294" s="839">
        <v>0</v>
      </c>
      <c r="V294" s="851">
        <v>0</v>
      </c>
      <c r="W294" s="839">
        <v>0</v>
      </c>
      <c r="X294" s="851">
        <v>0</v>
      </c>
      <c r="Y294" s="839">
        <v>0</v>
      </c>
      <c r="Z294" s="851">
        <v>0</v>
      </c>
      <c r="AA294" s="839">
        <v>0</v>
      </c>
      <c r="AB294" s="851">
        <v>0</v>
      </c>
      <c r="AC294" s="839">
        <v>902</v>
      </c>
      <c r="AD294" s="851">
        <v>0</v>
      </c>
      <c r="AE294" s="839">
        <v>456.80205837427036</v>
      </c>
      <c r="AF294" s="851">
        <v>0</v>
      </c>
      <c r="AG294" s="856"/>
      <c r="AH294" s="839">
        <v>729.89882423528786</v>
      </c>
      <c r="AI294" s="851">
        <v>0</v>
      </c>
      <c r="AJ294" s="856"/>
      <c r="AK294" s="839">
        <v>431.56064698254022</v>
      </c>
      <c r="AL294" s="851">
        <v>4875</v>
      </c>
      <c r="AM294" s="861"/>
      <c r="AN294" s="839">
        <v>0</v>
      </c>
      <c r="AO294" s="851">
        <v>0</v>
      </c>
      <c r="AP294" s="856"/>
      <c r="AQ294" s="839">
        <v>218.86472282667671</v>
      </c>
      <c r="AR294" s="851">
        <v>0</v>
      </c>
      <c r="AS294" s="856"/>
      <c r="AT294" s="839">
        <v>332.1874362013159</v>
      </c>
      <c r="AU294" s="851">
        <v>0</v>
      </c>
      <c r="AV294" s="856"/>
      <c r="AW294" s="839">
        <v>0</v>
      </c>
      <c r="AX294" s="851">
        <v>0</v>
      </c>
      <c r="AY294" s="856"/>
      <c r="AZ294" s="845">
        <v>2169.3136886200909</v>
      </c>
      <c r="BA294" s="845">
        <v>4875</v>
      </c>
      <c r="BB294" s="846">
        <v>2705.6863113799091</v>
      </c>
      <c r="BD294" s="2">
        <v>3</v>
      </c>
      <c r="BF294" s="787">
        <v>18.913387036953601</v>
      </c>
      <c r="BG294" s="325">
        <v>150000830</v>
      </c>
      <c r="BI294" s="847">
        <v>0</v>
      </c>
      <c r="BJ294" s="847">
        <v>0</v>
      </c>
      <c r="BK294" s="847">
        <v>0</v>
      </c>
      <c r="BL294" s="848"/>
      <c r="BM294" s="3"/>
      <c r="BN294" s="3"/>
      <c r="BP294" s="3"/>
      <c r="BQ294" s="3"/>
      <c r="BS294" s="42" t="s">
        <v>294</v>
      </c>
    </row>
    <row r="295" spans="1:71" ht="24.9" customHeight="1" x14ac:dyDescent="0.3">
      <c r="A295" s="325">
        <v>150000800</v>
      </c>
      <c r="B295" s="849" t="s">
        <v>227</v>
      </c>
      <c r="C295" s="850">
        <v>4</v>
      </c>
      <c r="D295" s="101" t="s">
        <v>455</v>
      </c>
      <c r="E295" s="279">
        <v>1452.8</v>
      </c>
      <c r="F295" s="838">
        <v>2733.687474040727</v>
      </c>
      <c r="G295" s="838">
        <v>380</v>
      </c>
      <c r="H295" s="838">
        <v>-2353.687474040727</v>
      </c>
      <c r="I295" s="839">
        <v>0</v>
      </c>
      <c r="J295" s="851">
        <v>0</v>
      </c>
      <c r="K295" s="852"/>
      <c r="L295" s="839">
        <v>0</v>
      </c>
      <c r="M295" s="851">
        <v>0</v>
      </c>
      <c r="N295" s="853"/>
      <c r="O295" s="839">
        <v>0</v>
      </c>
      <c r="P295" s="851">
        <v>0</v>
      </c>
      <c r="Q295" s="854"/>
      <c r="R295" s="839">
        <v>0</v>
      </c>
      <c r="S295" s="851">
        <v>0</v>
      </c>
      <c r="T295" s="855"/>
      <c r="U295" s="839">
        <v>0</v>
      </c>
      <c r="V295" s="851">
        <v>0</v>
      </c>
      <c r="W295" s="839">
        <v>0</v>
      </c>
      <c r="X295" s="851">
        <v>0</v>
      </c>
      <c r="Y295" s="839">
        <v>0</v>
      </c>
      <c r="Z295" s="851">
        <v>0</v>
      </c>
      <c r="AA295" s="839">
        <v>0</v>
      </c>
      <c r="AB295" s="851">
        <v>0</v>
      </c>
      <c r="AC295" s="839">
        <v>0</v>
      </c>
      <c r="AD295" s="851">
        <v>380</v>
      </c>
      <c r="AE295" s="839">
        <v>124.57062080146615</v>
      </c>
      <c r="AF295" s="851">
        <v>1060</v>
      </c>
      <c r="AG295" s="856"/>
      <c r="AH295" s="839">
        <v>153.61481567386699</v>
      </c>
      <c r="AI295" s="851">
        <v>0</v>
      </c>
      <c r="AJ295" s="856"/>
      <c r="AK295" s="839">
        <v>172.42294749368233</v>
      </c>
      <c r="AL295" s="851">
        <v>0</v>
      </c>
      <c r="AM295" s="856"/>
      <c r="AN295" s="839">
        <v>0</v>
      </c>
      <c r="AO295" s="851">
        <v>0</v>
      </c>
      <c r="AP295" s="856"/>
      <c r="AQ295" s="839">
        <v>0</v>
      </c>
      <c r="AR295" s="851">
        <v>0</v>
      </c>
      <c r="AS295" s="856"/>
      <c r="AT295" s="839">
        <v>60.056140153587386</v>
      </c>
      <c r="AU295" s="851">
        <v>0</v>
      </c>
      <c r="AV295" s="856"/>
      <c r="AW295" s="839">
        <v>0</v>
      </c>
      <c r="AX295" s="851">
        <v>0</v>
      </c>
      <c r="AY295" s="856"/>
      <c r="AZ295" s="845">
        <v>510.66452412260281</v>
      </c>
      <c r="BA295" s="845">
        <v>1060</v>
      </c>
      <c r="BB295" s="846">
        <v>549.33547587739713</v>
      </c>
      <c r="BD295" s="2">
        <v>2</v>
      </c>
      <c r="BF295" s="787">
        <v>5.0880763363560764</v>
      </c>
      <c r="BG295" s="325">
        <v>150000800</v>
      </c>
      <c r="BI295" s="847">
        <v>0</v>
      </c>
      <c r="BJ295" s="847">
        <v>0</v>
      </c>
      <c r="BK295" s="847">
        <v>0</v>
      </c>
      <c r="BL295" s="848"/>
      <c r="BM295" s="3"/>
      <c r="BN295" s="3"/>
      <c r="BP295" s="3"/>
      <c r="BQ295" s="3"/>
      <c r="BS295" s="42" t="s">
        <v>227</v>
      </c>
    </row>
    <row r="296" spans="1:71" ht="24.9" customHeight="1" x14ac:dyDescent="0.3">
      <c r="A296" s="325">
        <v>150000801</v>
      </c>
      <c r="B296" s="849" t="s">
        <v>295</v>
      </c>
      <c r="C296" s="850">
        <v>5</v>
      </c>
      <c r="D296" s="101" t="s">
        <v>455</v>
      </c>
      <c r="E296" s="279">
        <v>4212.1099999999997</v>
      </c>
      <c r="F296" s="838">
        <v>8823.0796166398486</v>
      </c>
      <c r="G296" s="838">
        <v>71732.690859223367</v>
      </c>
      <c r="H296" s="838">
        <v>62909.611242583516</v>
      </c>
      <c r="I296" s="839">
        <v>0</v>
      </c>
      <c r="J296" s="851">
        <v>0</v>
      </c>
      <c r="K296" s="852"/>
      <c r="L296" s="839">
        <v>1</v>
      </c>
      <c r="M296" s="851">
        <v>69559</v>
      </c>
      <c r="N296" s="853"/>
      <c r="O296" s="839">
        <v>0</v>
      </c>
      <c r="P296" s="851">
        <v>0</v>
      </c>
      <c r="Q296" s="854"/>
      <c r="R296" s="839">
        <v>0</v>
      </c>
      <c r="S296" s="851">
        <v>0</v>
      </c>
      <c r="T296" s="855"/>
      <c r="U296" s="839">
        <v>0</v>
      </c>
      <c r="V296" s="851">
        <v>0</v>
      </c>
      <c r="W296" s="839">
        <v>0</v>
      </c>
      <c r="X296" s="851">
        <v>343.69085922336433</v>
      </c>
      <c r="Y296" s="839">
        <v>0</v>
      </c>
      <c r="Z296" s="851">
        <v>0</v>
      </c>
      <c r="AA296" s="839">
        <v>0</v>
      </c>
      <c r="AB296" s="851">
        <v>0</v>
      </c>
      <c r="AC296" s="839">
        <v>886</v>
      </c>
      <c r="AD296" s="851">
        <v>944</v>
      </c>
      <c r="AE296" s="839">
        <v>390.20101697689392</v>
      </c>
      <c r="AF296" s="851">
        <v>1760</v>
      </c>
      <c r="AG296" s="856"/>
      <c r="AH296" s="839">
        <v>612.42978423362774</v>
      </c>
      <c r="AI296" s="851">
        <v>0</v>
      </c>
      <c r="AJ296" s="856"/>
      <c r="AK296" s="839">
        <v>498.54465057686645</v>
      </c>
      <c r="AL296" s="851">
        <v>0</v>
      </c>
      <c r="AM296" s="856"/>
      <c r="AN296" s="839">
        <v>0</v>
      </c>
      <c r="AO296" s="851">
        <v>0</v>
      </c>
      <c r="AP296" s="856"/>
      <c r="AQ296" s="839">
        <v>0</v>
      </c>
      <c r="AR296" s="851">
        <v>0</v>
      </c>
      <c r="AS296" s="856"/>
      <c r="AT296" s="839">
        <v>242.89648827755306</v>
      </c>
      <c r="AU296" s="851">
        <v>711</v>
      </c>
      <c r="AV296" s="856"/>
      <c r="AW296" s="839">
        <v>0</v>
      </c>
      <c r="AX296" s="851">
        <v>0</v>
      </c>
      <c r="AY296" s="856"/>
      <c r="AZ296" s="845">
        <v>1744.0719400649411</v>
      </c>
      <c r="BA296" s="845">
        <v>2471</v>
      </c>
      <c r="BB296" s="846">
        <v>726.92805993505885</v>
      </c>
      <c r="BD296" s="2">
        <v>2</v>
      </c>
      <c r="BF296" s="787">
        <v>14.787957326124214</v>
      </c>
      <c r="BG296" s="325">
        <v>150000801</v>
      </c>
      <c r="BI296" s="847">
        <v>156.34</v>
      </c>
      <c r="BJ296" s="847">
        <v>15.342182667484085</v>
      </c>
      <c r="BK296" s="847">
        <v>171.68218266748408</v>
      </c>
      <c r="BL296" s="848"/>
      <c r="BM296" s="3"/>
      <c r="BN296" s="3"/>
      <c r="BP296" s="3"/>
      <c r="BQ296" s="3"/>
      <c r="BS296" s="42" t="s">
        <v>295</v>
      </c>
    </row>
    <row r="297" spans="1:71" ht="24.9" customHeight="1" x14ac:dyDescent="0.3">
      <c r="A297" s="325">
        <v>150000802</v>
      </c>
      <c r="B297" s="849" t="s">
        <v>296</v>
      </c>
      <c r="C297" s="850">
        <v>5</v>
      </c>
      <c r="D297" s="101" t="s">
        <v>455</v>
      </c>
      <c r="E297" s="279">
        <v>3203.6</v>
      </c>
      <c r="F297" s="838">
        <v>6667.8872003906527</v>
      </c>
      <c r="G297" s="838">
        <v>2795</v>
      </c>
      <c r="H297" s="838">
        <v>-3872.8872003906527</v>
      </c>
      <c r="I297" s="839">
        <v>0</v>
      </c>
      <c r="J297" s="851">
        <v>0</v>
      </c>
      <c r="K297" s="852"/>
      <c r="L297" s="839">
        <v>0</v>
      </c>
      <c r="M297" s="851">
        <v>1269</v>
      </c>
      <c r="N297" s="853"/>
      <c r="O297" s="839">
        <v>0</v>
      </c>
      <c r="P297" s="851">
        <v>0</v>
      </c>
      <c r="Q297" s="854"/>
      <c r="R297" s="839">
        <v>0</v>
      </c>
      <c r="S297" s="851">
        <v>0</v>
      </c>
      <c r="T297" s="855"/>
      <c r="U297" s="839">
        <v>0</v>
      </c>
      <c r="V297" s="851">
        <v>0</v>
      </c>
      <c r="W297" s="839">
        <v>0</v>
      </c>
      <c r="X297" s="851">
        <v>0</v>
      </c>
      <c r="Y297" s="839">
        <v>0</v>
      </c>
      <c r="Z297" s="851">
        <v>0</v>
      </c>
      <c r="AA297" s="839">
        <v>0</v>
      </c>
      <c r="AB297" s="851">
        <v>0</v>
      </c>
      <c r="AC297" s="839">
        <v>767</v>
      </c>
      <c r="AD297" s="851">
        <v>759</v>
      </c>
      <c r="AE297" s="839">
        <v>317.84533244161025</v>
      </c>
      <c r="AF297" s="851">
        <v>3584</v>
      </c>
      <c r="AG297" s="856"/>
      <c r="AH297" s="839">
        <v>490.42556714245251</v>
      </c>
      <c r="AI297" s="851">
        <v>0</v>
      </c>
      <c r="AJ297" s="856"/>
      <c r="AK297" s="839">
        <v>435.35818498390751</v>
      </c>
      <c r="AL297" s="851">
        <v>0</v>
      </c>
      <c r="AM297" s="856"/>
      <c r="AN297" s="839">
        <v>0</v>
      </c>
      <c r="AO297" s="851">
        <v>0</v>
      </c>
      <c r="AP297" s="856"/>
      <c r="AQ297" s="839">
        <v>0</v>
      </c>
      <c r="AR297" s="851">
        <v>0</v>
      </c>
      <c r="AS297" s="856"/>
      <c r="AT297" s="839">
        <v>174.41860241614506</v>
      </c>
      <c r="AU297" s="851">
        <v>711</v>
      </c>
      <c r="AV297" s="856"/>
      <c r="AW297" s="839">
        <v>0</v>
      </c>
      <c r="AX297" s="851">
        <v>0</v>
      </c>
      <c r="AY297" s="856"/>
      <c r="AZ297" s="845">
        <v>1418.0476869841154</v>
      </c>
      <c r="BA297" s="845">
        <v>4295</v>
      </c>
      <c r="BB297" s="846">
        <v>2876.9523130158846</v>
      </c>
      <c r="BD297" s="2">
        <v>2</v>
      </c>
      <c r="BF297" s="787">
        <v>11.224377650321854</v>
      </c>
      <c r="BG297" s="325">
        <v>150000802</v>
      </c>
      <c r="BI297" s="847">
        <v>0</v>
      </c>
      <c r="BJ297" s="847">
        <v>0</v>
      </c>
      <c r="BK297" s="847">
        <v>0</v>
      </c>
      <c r="BL297" s="848"/>
      <c r="BM297" s="3"/>
      <c r="BN297" s="3"/>
      <c r="BP297" s="3"/>
      <c r="BQ297" s="3"/>
      <c r="BS297" s="42" t="s">
        <v>296</v>
      </c>
    </row>
    <row r="298" spans="1:71" ht="24.9" customHeight="1" x14ac:dyDescent="0.3">
      <c r="A298" s="325">
        <v>150000803</v>
      </c>
      <c r="B298" s="849" t="s">
        <v>228</v>
      </c>
      <c r="C298" s="850">
        <v>4</v>
      </c>
      <c r="D298" s="101" t="s">
        <v>455</v>
      </c>
      <c r="E298" s="279">
        <v>1607.2</v>
      </c>
      <c r="F298" s="838">
        <v>2316.5467020425285</v>
      </c>
      <c r="G298" s="838">
        <v>276</v>
      </c>
      <c r="H298" s="838">
        <v>-2040.5467020425285</v>
      </c>
      <c r="I298" s="839">
        <v>0</v>
      </c>
      <c r="J298" s="851">
        <v>0</v>
      </c>
      <c r="K298" s="852"/>
      <c r="L298" s="839">
        <v>0</v>
      </c>
      <c r="M298" s="851">
        <v>0</v>
      </c>
      <c r="N298" s="853"/>
      <c r="O298" s="839">
        <v>0</v>
      </c>
      <c r="P298" s="851">
        <v>0</v>
      </c>
      <c r="Q298" s="854"/>
      <c r="R298" s="839">
        <v>0</v>
      </c>
      <c r="S298" s="851">
        <v>0</v>
      </c>
      <c r="T298" s="855"/>
      <c r="U298" s="839">
        <v>0</v>
      </c>
      <c r="V298" s="851">
        <v>0</v>
      </c>
      <c r="W298" s="839">
        <v>0</v>
      </c>
      <c r="X298" s="851">
        <v>0</v>
      </c>
      <c r="Y298" s="839">
        <v>0</v>
      </c>
      <c r="Z298" s="851">
        <v>0</v>
      </c>
      <c r="AA298" s="839">
        <v>0</v>
      </c>
      <c r="AB298" s="851">
        <v>0</v>
      </c>
      <c r="AC298" s="839">
        <v>0</v>
      </c>
      <c r="AD298" s="851">
        <v>276</v>
      </c>
      <c r="AE298" s="839">
        <v>137.88486578757917</v>
      </c>
      <c r="AF298" s="851">
        <v>0</v>
      </c>
      <c r="AG298" s="856"/>
      <c r="AH298" s="839">
        <v>191.12025839548414</v>
      </c>
      <c r="AI298" s="851">
        <v>0</v>
      </c>
      <c r="AJ298" s="856"/>
      <c r="AK298" s="839">
        <v>164.78563296374301</v>
      </c>
      <c r="AL298" s="851">
        <v>0</v>
      </c>
      <c r="AM298" s="856"/>
      <c r="AN298" s="839">
        <v>0</v>
      </c>
      <c r="AO298" s="851">
        <v>0</v>
      </c>
      <c r="AP298" s="856"/>
      <c r="AQ298" s="839">
        <v>0</v>
      </c>
      <c r="AR298" s="851">
        <v>0</v>
      </c>
      <c r="AS298" s="856"/>
      <c r="AT298" s="839">
        <v>56.288526279835082</v>
      </c>
      <c r="AU298" s="851">
        <v>1421</v>
      </c>
      <c r="AV298" s="856"/>
      <c r="AW298" s="839">
        <v>0</v>
      </c>
      <c r="AX298" s="851">
        <v>0</v>
      </c>
      <c r="AY298" s="856"/>
      <c r="AZ298" s="845">
        <v>550.0792834266415</v>
      </c>
      <c r="BA298" s="845">
        <v>1421</v>
      </c>
      <c r="BB298" s="846">
        <v>870.9207165733585</v>
      </c>
      <c r="BD298" s="2">
        <v>2</v>
      </c>
      <c r="BF298" s="787">
        <v>5.7188324956193819</v>
      </c>
      <c r="BG298" s="325">
        <v>150000803</v>
      </c>
      <c r="BI298" s="847">
        <v>0</v>
      </c>
      <c r="BJ298" s="847">
        <v>0</v>
      </c>
      <c r="BK298" s="847">
        <v>0</v>
      </c>
      <c r="BL298" s="848"/>
      <c r="BM298" s="3"/>
      <c r="BN298" s="3"/>
      <c r="BP298" s="3"/>
      <c r="BQ298" s="3"/>
      <c r="BS298" s="42" t="s">
        <v>228</v>
      </c>
    </row>
    <row r="299" spans="1:71" ht="24.9" customHeight="1" x14ac:dyDescent="0.3">
      <c r="A299" s="325">
        <v>150000805</v>
      </c>
      <c r="B299" s="849" t="s">
        <v>297</v>
      </c>
      <c r="C299" s="850">
        <v>5</v>
      </c>
      <c r="D299" s="101" t="s">
        <v>455</v>
      </c>
      <c r="E299" s="279">
        <v>3709.9399999999996</v>
      </c>
      <c r="F299" s="838">
        <v>6590.1876472866888</v>
      </c>
      <c r="G299" s="838">
        <v>1951.4106307910135</v>
      </c>
      <c r="H299" s="838">
        <v>-4638.7770164956755</v>
      </c>
      <c r="I299" s="839">
        <v>0</v>
      </c>
      <c r="J299" s="851">
        <v>449</v>
      </c>
      <c r="K299" s="852"/>
      <c r="L299" s="839">
        <v>0</v>
      </c>
      <c r="M299" s="851">
        <v>0</v>
      </c>
      <c r="N299" s="853"/>
      <c r="O299" s="839">
        <v>0</v>
      </c>
      <c r="P299" s="851">
        <v>0</v>
      </c>
      <c r="Q299" s="854"/>
      <c r="R299" s="839">
        <v>0</v>
      </c>
      <c r="S299" s="851">
        <v>0</v>
      </c>
      <c r="T299" s="855"/>
      <c r="U299" s="839">
        <v>0</v>
      </c>
      <c r="V299" s="851">
        <v>0</v>
      </c>
      <c r="W299" s="839">
        <v>14</v>
      </c>
      <c r="X299" s="851">
        <v>1502.4106307910135</v>
      </c>
      <c r="Y299" s="839">
        <v>0</v>
      </c>
      <c r="Z299" s="851">
        <v>0</v>
      </c>
      <c r="AA299" s="839">
        <v>0</v>
      </c>
      <c r="AB299" s="851">
        <v>0</v>
      </c>
      <c r="AC299" s="839">
        <v>0</v>
      </c>
      <c r="AD299" s="851">
        <v>0</v>
      </c>
      <c r="AE299" s="839">
        <v>315.60276808607239</v>
      </c>
      <c r="AF299" s="851">
        <v>0</v>
      </c>
      <c r="AG299" s="856"/>
      <c r="AH299" s="839">
        <v>493.55253641226898</v>
      </c>
      <c r="AI299" s="851">
        <v>0</v>
      </c>
      <c r="AJ299" s="856"/>
      <c r="AK299" s="839">
        <v>328.5099679824072</v>
      </c>
      <c r="AL299" s="851">
        <v>0</v>
      </c>
      <c r="AM299" s="856"/>
      <c r="AN299" s="839">
        <v>0</v>
      </c>
      <c r="AO299" s="851">
        <v>0</v>
      </c>
      <c r="AP299" s="856"/>
      <c r="AQ299" s="839">
        <v>0</v>
      </c>
      <c r="AR299" s="851">
        <v>0</v>
      </c>
      <c r="AS299" s="856"/>
      <c r="AT299" s="839">
        <v>230.25583944896033</v>
      </c>
      <c r="AU299" s="851">
        <v>0</v>
      </c>
      <c r="AV299" s="879"/>
      <c r="AW299" s="839">
        <v>0</v>
      </c>
      <c r="AX299" s="851">
        <v>0</v>
      </c>
      <c r="AY299" s="856"/>
      <c r="AZ299" s="845">
        <v>1367.921111929709</v>
      </c>
      <c r="BA299" s="845">
        <v>0</v>
      </c>
      <c r="BB299" s="846">
        <v>-1367.921111929709</v>
      </c>
      <c r="BD299" s="2">
        <v>3</v>
      </c>
      <c r="BF299" s="787">
        <v>11.444037974564797</v>
      </c>
      <c r="BG299" s="325">
        <v>150000805</v>
      </c>
      <c r="BI299" s="847">
        <v>47.04</v>
      </c>
      <c r="BJ299" s="847">
        <v>4.6161972155459337</v>
      </c>
      <c r="BK299" s="847">
        <v>51.65619721554593</v>
      </c>
      <c r="BL299" s="848"/>
      <c r="BM299" s="3">
        <v>2</v>
      </c>
      <c r="BN299" s="3">
        <v>586</v>
      </c>
      <c r="BP299" s="3"/>
      <c r="BQ299" s="3"/>
      <c r="BS299" s="42" t="s">
        <v>297</v>
      </c>
    </row>
    <row r="300" spans="1:71" ht="24.9" customHeight="1" x14ac:dyDescent="0.3">
      <c r="A300" s="325">
        <v>150000806</v>
      </c>
      <c r="B300" s="849" t="s">
        <v>229</v>
      </c>
      <c r="C300" s="850">
        <v>4</v>
      </c>
      <c r="D300" s="101" t="s">
        <v>455</v>
      </c>
      <c r="E300" s="279">
        <v>2716</v>
      </c>
      <c r="F300" s="838">
        <v>5037.6354411843131</v>
      </c>
      <c r="G300" s="838">
        <v>10919</v>
      </c>
      <c r="H300" s="838">
        <v>5881.3645588156869</v>
      </c>
      <c r="I300" s="839">
        <v>0</v>
      </c>
      <c r="J300" s="851">
        <v>10160</v>
      </c>
      <c r="K300" s="852"/>
      <c r="L300" s="839">
        <v>0</v>
      </c>
      <c r="M300" s="851">
        <v>0</v>
      </c>
      <c r="N300" s="853"/>
      <c r="O300" s="839">
        <v>0</v>
      </c>
      <c r="P300" s="851">
        <v>0</v>
      </c>
      <c r="Q300" s="854"/>
      <c r="R300" s="839">
        <v>0</v>
      </c>
      <c r="S300" s="851">
        <v>0</v>
      </c>
      <c r="T300" s="855"/>
      <c r="U300" s="839">
        <v>0</v>
      </c>
      <c r="V300" s="851">
        <v>0</v>
      </c>
      <c r="W300" s="839">
        <v>0</v>
      </c>
      <c r="X300" s="851">
        <v>0</v>
      </c>
      <c r="Y300" s="839">
        <v>0</v>
      </c>
      <c r="Z300" s="851">
        <v>0</v>
      </c>
      <c r="AA300" s="839">
        <v>0</v>
      </c>
      <c r="AB300" s="851">
        <v>0</v>
      </c>
      <c r="AC300" s="839">
        <v>0</v>
      </c>
      <c r="AD300" s="851">
        <v>759</v>
      </c>
      <c r="AE300" s="839">
        <v>248.84834163653545</v>
      </c>
      <c r="AF300" s="851">
        <v>0</v>
      </c>
      <c r="AG300" s="856"/>
      <c r="AH300" s="839">
        <v>367.47921774916153</v>
      </c>
      <c r="AI300" s="851">
        <v>0</v>
      </c>
      <c r="AJ300" s="856"/>
      <c r="AK300" s="839">
        <v>237.8926264600704</v>
      </c>
      <c r="AL300" s="851">
        <v>0</v>
      </c>
      <c r="AM300" s="856"/>
      <c r="AN300" s="839">
        <v>0</v>
      </c>
      <c r="AO300" s="851">
        <v>0</v>
      </c>
      <c r="AP300" s="856"/>
      <c r="AQ300" s="839">
        <v>0</v>
      </c>
      <c r="AR300" s="851">
        <v>0</v>
      </c>
      <c r="AS300" s="856"/>
      <c r="AT300" s="839">
        <v>169.9247496489308</v>
      </c>
      <c r="AU300" s="851">
        <v>1421</v>
      </c>
      <c r="AV300" s="856"/>
      <c r="AW300" s="839">
        <v>0</v>
      </c>
      <c r="AX300" s="851">
        <v>0</v>
      </c>
      <c r="AY300" s="856"/>
      <c r="AZ300" s="845">
        <v>1024.1449354946983</v>
      </c>
      <c r="BA300" s="845">
        <v>1421</v>
      </c>
      <c r="BB300" s="846">
        <v>396.8550645053017</v>
      </c>
      <c r="BD300" s="2">
        <v>2</v>
      </c>
      <c r="BF300" s="787">
        <v>8.5801749837821824</v>
      </c>
      <c r="BG300" s="325">
        <v>150000806</v>
      </c>
      <c r="BI300" s="847">
        <v>0</v>
      </c>
      <c r="BJ300" s="847">
        <v>0</v>
      </c>
      <c r="BK300" s="847">
        <v>0</v>
      </c>
      <c r="BL300" s="848"/>
      <c r="BM300" s="3"/>
      <c r="BN300" s="3"/>
      <c r="BP300" s="3"/>
      <c r="BQ300" s="3"/>
      <c r="BS300" s="42" t="s">
        <v>229</v>
      </c>
    </row>
    <row r="301" spans="1:71" ht="24.9" customHeight="1" x14ac:dyDescent="0.3">
      <c r="A301" s="325">
        <v>150000807</v>
      </c>
      <c r="B301" s="849" t="s">
        <v>188</v>
      </c>
      <c r="C301" s="850">
        <v>2</v>
      </c>
      <c r="D301" s="101" t="s">
        <v>455</v>
      </c>
      <c r="E301" s="279">
        <v>300.7</v>
      </c>
      <c r="F301" s="838">
        <v>585.00448907763837</v>
      </c>
      <c r="G301" s="838">
        <v>0</v>
      </c>
      <c r="H301" s="838">
        <v>-585.00448907763837</v>
      </c>
      <c r="I301" s="839">
        <v>0</v>
      </c>
      <c r="J301" s="851">
        <v>0</v>
      </c>
      <c r="K301" s="852"/>
      <c r="L301" s="839">
        <v>0</v>
      </c>
      <c r="M301" s="851">
        <v>0</v>
      </c>
      <c r="N301" s="853"/>
      <c r="O301" s="839">
        <v>0</v>
      </c>
      <c r="P301" s="851">
        <v>0</v>
      </c>
      <c r="Q301" s="854"/>
      <c r="R301" s="839">
        <v>0</v>
      </c>
      <c r="S301" s="851">
        <v>0</v>
      </c>
      <c r="T301" s="855"/>
      <c r="U301" s="839">
        <v>0</v>
      </c>
      <c r="V301" s="851">
        <v>0</v>
      </c>
      <c r="W301" s="839">
        <v>0</v>
      </c>
      <c r="X301" s="851">
        <v>0</v>
      </c>
      <c r="Y301" s="839">
        <v>0</v>
      </c>
      <c r="Z301" s="851">
        <v>0</v>
      </c>
      <c r="AA301" s="839">
        <v>0</v>
      </c>
      <c r="AB301" s="851">
        <v>0</v>
      </c>
      <c r="AC301" s="839">
        <v>0</v>
      </c>
      <c r="AD301" s="851">
        <v>0</v>
      </c>
      <c r="AE301" s="839">
        <v>62.42080348743935</v>
      </c>
      <c r="AF301" s="851">
        <v>0</v>
      </c>
      <c r="AG301" s="856"/>
      <c r="AH301" s="839">
        <v>71.825475826829646</v>
      </c>
      <c r="AI301" s="851">
        <v>0</v>
      </c>
      <c r="AJ301" s="856"/>
      <c r="AK301" s="839">
        <v>0</v>
      </c>
      <c r="AL301" s="851">
        <v>0</v>
      </c>
      <c r="AM301" s="856"/>
      <c r="AN301" s="839">
        <v>0</v>
      </c>
      <c r="AO301" s="851">
        <v>0</v>
      </c>
      <c r="AP301" s="856"/>
      <c r="AQ301" s="839">
        <v>0</v>
      </c>
      <c r="AR301" s="851">
        <v>0</v>
      </c>
      <c r="AS301" s="856"/>
      <c r="AT301" s="839">
        <v>9.8614351170038965</v>
      </c>
      <c r="AU301" s="851">
        <v>0</v>
      </c>
      <c r="AV301" s="856"/>
      <c r="AW301" s="839">
        <v>0</v>
      </c>
      <c r="AX301" s="851">
        <v>0</v>
      </c>
      <c r="AY301" s="856"/>
      <c r="AZ301" s="845">
        <v>144.10771443127291</v>
      </c>
      <c r="BA301" s="845">
        <v>0</v>
      </c>
      <c r="BB301" s="846">
        <v>-144.10771443127291</v>
      </c>
      <c r="BD301" s="2">
        <v>3</v>
      </c>
      <c r="BF301" s="787">
        <v>0.95402940332007247</v>
      </c>
      <c r="BG301" s="325">
        <v>150000807</v>
      </c>
      <c r="BI301" s="847">
        <v>0</v>
      </c>
      <c r="BJ301" s="847">
        <v>0</v>
      </c>
      <c r="BK301" s="847">
        <v>0</v>
      </c>
      <c r="BL301" s="848"/>
      <c r="BM301" s="3"/>
      <c r="BN301" s="3"/>
      <c r="BP301" s="3"/>
      <c r="BQ301" s="3"/>
      <c r="BS301" s="42" t="s">
        <v>188</v>
      </c>
    </row>
    <row r="302" spans="1:71" ht="24.9" customHeight="1" x14ac:dyDescent="0.3">
      <c r="A302" s="325">
        <v>150000808</v>
      </c>
      <c r="B302" s="849" t="s">
        <v>298</v>
      </c>
      <c r="C302" s="850">
        <v>5</v>
      </c>
      <c r="D302" s="101" t="s">
        <v>455</v>
      </c>
      <c r="E302" s="279">
        <v>1950.8</v>
      </c>
      <c r="F302" s="838">
        <v>2271.9955234672261</v>
      </c>
      <c r="G302" s="838">
        <v>276</v>
      </c>
      <c r="H302" s="838">
        <v>-1995.9955234672261</v>
      </c>
      <c r="I302" s="839">
        <v>0</v>
      </c>
      <c r="J302" s="851">
        <v>0</v>
      </c>
      <c r="K302" s="852"/>
      <c r="L302" s="839">
        <v>0</v>
      </c>
      <c r="M302" s="851">
        <v>0</v>
      </c>
      <c r="N302" s="868"/>
      <c r="O302" s="839">
        <v>0</v>
      </c>
      <c r="P302" s="851">
        <v>0</v>
      </c>
      <c r="Q302" s="854"/>
      <c r="R302" s="839">
        <v>0</v>
      </c>
      <c r="S302" s="851">
        <v>0</v>
      </c>
      <c r="T302" s="855"/>
      <c r="U302" s="839">
        <v>0</v>
      </c>
      <c r="V302" s="851">
        <v>0</v>
      </c>
      <c r="W302" s="839">
        <v>0</v>
      </c>
      <c r="X302" s="851">
        <v>0</v>
      </c>
      <c r="Y302" s="839">
        <v>0</v>
      </c>
      <c r="Z302" s="851">
        <v>0</v>
      </c>
      <c r="AA302" s="839">
        <v>0</v>
      </c>
      <c r="AB302" s="851">
        <v>0</v>
      </c>
      <c r="AC302" s="839">
        <v>0</v>
      </c>
      <c r="AD302" s="851">
        <v>276</v>
      </c>
      <c r="AE302" s="839">
        <v>169.7904243905044</v>
      </c>
      <c r="AF302" s="851">
        <v>0</v>
      </c>
      <c r="AG302" s="856"/>
      <c r="AH302" s="839">
        <v>250.58315269130659</v>
      </c>
      <c r="AI302" s="851">
        <v>0</v>
      </c>
      <c r="AJ302" s="856"/>
      <c r="AK302" s="839">
        <v>248.87608838806503</v>
      </c>
      <c r="AL302" s="851">
        <v>0</v>
      </c>
      <c r="AM302" s="856"/>
      <c r="AN302" s="839">
        <v>0</v>
      </c>
      <c r="AO302" s="851">
        <v>0</v>
      </c>
      <c r="AP302" s="856"/>
      <c r="AQ302" s="839">
        <v>0</v>
      </c>
      <c r="AR302" s="851">
        <v>0</v>
      </c>
      <c r="AS302" s="856"/>
      <c r="AT302" s="839">
        <v>69.694336541971353</v>
      </c>
      <c r="AU302" s="851">
        <v>0</v>
      </c>
      <c r="AV302" s="856"/>
      <c r="AW302" s="839">
        <v>0</v>
      </c>
      <c r="AX302" s="851">
        <v>0</v>
      </c>
      <c r="AY302" s="856"/>
      <c r="AZ302" s="845">
        <v>738.94400201184737</v>
      </c>
      <c r="BA302" s="845">
        <v>0</v>
      </c>
      <c r="BB302" s="846">
        <v>-738.94400201184737</v>
      </c>
      <c r="BD302" s="2">
        <v>2</v>
      </c>
      <c r="BF302" s="787">
        <v>6.8371025769784781</v>
      </c>
      <c r="BG302" s="325">
        <v>150000808</v>
      </c>
      <c r="BI302" s="847">
        <v>0</v>
      </c>
      <c r="BJ302" s="847">
        <v>0</v>
      </c>
      <c r="BK302" s="847">
        <v>0</v>
      </c>
      <c r="BL302" s="848"/>
      <c r="BM302" s="3"/>
      <c r="BN302" s="3"/>
      <c r="BP302" s="3"/>
      <c r="BQ302" s="3"/>
      <c r="BS302" s="42" t="s">
        <v>298</v>
      </c>
    </row>
    <row r="303" spans="1:71" ht="24.9" customHeight="1" x14ac:dyDescent="0.3">
      <c r="A303" s="325">
        <v>150000827</v>
      </c>
      <c r="B303" s="849" t="s">
        <v>299</v>
      </c>
      <c r="C303" s="850">
        <v>5</v>
      </c>
      <c r="D303" s="101" t="s">
        <v>455</v>
      </c>
      <c r="E303" s="279">
        <v>4420.7</v>
      </c>
      <c r="F303" s="838">
        <v>7936.3886563973701</v>
      </c>
      <c r="G303" s="838">
        <v>62637</v>
      </c>
      <c r="H303" s="838">
        <v>54700.611343602628</v>
      </c>
      <c r="I303" s="839">
        <v>0</v>
      </c>
      <c r="J303" s="851">
        <v>0</v>
      </c>
      <c r="K303" s="852"/>
      <c r="L303" s="839">
        <v>1</v>
      </c>
      <c r="M303" s="851">
        <v>60094</v>
      </c>
      <c r="N303" s="853"/>
      <c r="O303" s="839">
        <v>0</v>
      </c>
      <c r="P303" s="851">
        <v>0</v>
      </c>
      <c r="Q303" s="854"/>
      <c r="R303" s="839">
        <v>0</v>
      </c>
      <c r="S303" s="851">
        <v>0</v>
      </c>
      <c r="T303" s="855"/>
      <c r="U303" s="839">
        <v>0</v>
      </c>
      <c r="V303" s="851">
        <v>0</v>
      </c>
      <c r="W303" s="839">
        <v>0</v>
      </c>
      <c r="X303" s="851">
        <v>0</v>
      </c>
      <c r="Y303" s="839">
        <v>0</v>
      </c>
      <c r="Z303" s="851">
        <v>0</v>
      </c>
      <c r="AA303" s="839">
        <v>0</v>
      </c>
      <c r="AB303" s="851">
        <v>0</v>
      </c>
      <c r="AC303" s="839">
        <v>1594</v>
      </c>
      <c r="AD303" s="851">
        <v>949</v>
      </c>
      <c r="AE303" s="839">
        <v>390.20101697689392</v>
      </c>
      <c r="AF303" s="851">
        <v>793</v>
      </c>
      <c r="AG303" s="867"/>
      <c r="AH303" s="839">
        <v>613.10965860365957</v>
      </c>
      <c r="AI303" s="851">
        <v>0</v>
      </c>
      <c r="AJ303" s="856"/>
      <c r="AK303" s="839">
        <v>465.95764131857197</v>
      </c>
      <c r="AL303" s="851">
        <v>0</v>
      </c>
      <c r="AM303" s="856"/>
      <c r="AN303" s="839">
        <v>0</v>
      </c>
      <c r="AO303" s="851">
        <v>0</v>
      </c>
      <c r="AP303" s="856"/>
      <c r="AQ303" s="839">
        <v>0</v>
      </c>
      <c r="AR303" s="851">
        <v>0</v>
      </c>
      <c r="AS303" s="856"/>
      <c r="AT303" s="839">
        <v>242.89646399461824</v>
      </c>
      <c r="AU303" s="851">
        <v>0</v>
      </c>
      <c r="AV303" s="856"/>
      <c r="AW303" s="839">
        <v>0</v>
      </c>
      <c r="AX303" s="851">
        <v>0</v>
      </c>
      <c r="AY303" s="856"/>
      <c r="AZ303" s="845">
        <v>1712.1647808937437</v>
      </c>
      <c r="BA303" s="845">
        <v>793</v>
      </c>
      <c r="BB303" s="846">
        <v>-919.16478089374368</v>
      </c>
      <c r="BD303" s="2">
        <v>2</v>
      </c>
      <c r="BF303" s="787">
        <v>15.42533274769184</v>
      </c>
      <c r="BG303" s="325">
        <v>150000827</v>
      </c>
      <c r="BI303" s="847">
        <v>0</v>
      </c>
      <c r="BJ303" s="847">
        <v>0</v>
      </c>
      <c r="BK303" s="847">
        <v>0</v>
      </c>
      <c r="BL303" s="848"/>
      <c r="BM303" s="3"/>
      <c r="BN303" s="3"/>
      <c r="BP303" s="3"/>
      <c r="BQ303" s="3"/>
      <c r="BS303" s="42" t="s">
        <v>299</v>
      </c>
    </row>
    <row r="304" spans="1:71" ht="24.9" customHeight="1" x14ac:dyDescent="0.3">
      <c r="A304" s="325">
        <v>150000809</v>
      </c>
      <c r="B304" s="849" t="s">
        <v>300</v>
      </c>
      <c r="C304" s="850">
        <v>5</v>
      </c>
      <c r="D304" s="101" t="s">
        <v>455</v>
      </c>
      <c r="E304" s="279">
        <v>2543.14</v>
      </c>
      <c r="F304" s="838">
        <v>6146.015088983142</v>
      </c>
      <c r="G304" s="838">
        <v>570</v>
      </c>
      <c r="H304" s="838">
        <v>-5576.015088983142</v>
      </c>
      <c r="I304" s="839">
        <v>0</v>
      </c>
      <c r="J304" s="851">
        <v>0</v>
      </c>
      <c r="K304" s="852"/>
      <c r="L304" s="839">
        <v>0</v>
      </c>
      <c r="M304" s="851">
        <v>0</v>
      </c>
      <c r="N304" s="853"/>
      <c r="O304" s="839">
        <v>0</v>
      </c>
      <c r="P304" s="851">
        <v>0</v>
      </c>
      <c r="Q304" s="854"/>
      <c r="R304" s="839">
        <v>0</v>
      </c>
      <c r="S304" s="851">
        <v>0</v>
      </c>
      <c r="T304" s="855"/>
      <c r="U304" s="839">
        <v>0</v>
      </c>
      <c r="V304" s="851">
        <v>0</v>
      </c>
      <c r="W304" s="839">
        <v>0</v>
      </c>
      <c r="X304" s="851">
        <v>0</v>
      </c>
      <c r="Y304" s="839">
        <v>0</v>
      </c>
      <c r="Z304" s="851">
        <v>0</v>
      </c>
      <c r="AA304" s="839">
        <v>0</v>
      </c>
      <c r="AB304" s="851">
        <v>0</v>
      </c>
      <c r="AC304" s="839">
        <v>0</v>
      </c>
      <c r="AD304" s="851">
        <v>570</v>
      </c>
      <c r="AE304" s="839">
        <v>234.32748203760042</v>
      </c>
      <c r="AF304" s="851">
        <v>0</v>
      </c>
      <c r="AG304" s="856"/>
      <c r="AH304" s="839">
        <v>330.23603295962948</v>
      </c>
      <c r="AI304" s="851">
        <v>0</v>
      </c>
      <c r="AJ304" s="856"/>
      <c r="AK304" s="839">
        <v>294.64577629970915</v>
      </c>
      <c r="AL304" s="851">
        <v>0</v>
      </c>
      <c r="AM304" s="856"/>
      <c r="AN304" s="839">
        <v>0</v>
      </c>
      <c r="AO304" s="851">
        <v>0</v>
      </c>
      <c r="AP304" s="856"/>
      <c r="AQ304" s="839">
        <v>0</v>
      </c>
      <c r="AR304" s="851">
        <v>0</v>
      </c>
      <c r="AS304" s="856"/>
      <c r="AT304" s="839">
        <v>110.74602375906008</v>
      </c>
      <c r="AU304" s="851">
        <v>0</v>
      </c>
      <c r="AV304" s="856"/>
      <c r="AW304" s="839">
        <v>0</v>
      </c>
      <c r="AX304" s="851">
        <v>0</v>
      </c>
      <c r="AY304" s="856"/>
      <c r="AZ304" s="845">
        <v>969.95531505599922</v>
      </c>
      <c r="BA304" s="845">
        <v>0</v>
      </c>
      <c r="BB304" s="846">
        <v>-969.95531505599922</v>
      </c>
      <c r="BD304" s="2">
        <v>2</v>
      </c>
      <c r="BF304" s="787">
        <v>8.9489624550227465</v>
      </c>
      <c r="BG304" s="325">
        <v>150000809</v>
      </c>
      <c r="BI304" s="847">
        <v>0</v>
      </c>
      <c r="BJ304" s="847">
        <v>0</v>
      </c>
      <c r="BK304" s="847">
        <v>0</v>
      </c>
      <c r="BL304" s="848"/>
      <c r="BM304" s="3"/>
      <c r="BN304" s="3"/>
      <c r="BP304" s="3"/>
      <c r="BQ304" s="3"/>
      <c r="BS304" s="42" t="s">
        <v>300</v>
      </c>
    </row>
    <row r="305" spans="1:71" ht="24.9" customHeight="1" x14ac:dyDescent="0.3">
      <c r="A305" s="325">
        <v>150000810</v>
      </c>
      <c r="B305" s="849" t="s">
        <v>301</v>
      </c>
      <c r="C305" s="850">
        <v>5</v>
      </c>
      <c r="D305" s="101" t="s">
        <v>455</v>
      </c>
      <c r="E305" s="279">
        <v>2998.76</v>
      </c>
      <c r="F305" s="838">
        <v>5643.5687996202159</v>
      </c>
      <c r="G305" s="838">
        <v>6982.7942561538248</v>
      </c>
      <c r="H305" s="838">
        <v>1339.2254565336088</v>
      </c>
      <c r="I305" s="839">
        <v>0</v>
      </c>
      <c r="J305" s="851">
        <v>6927</v>
      </c>
      <c r="K305" s="852"/>
      <c r="L305" s="839">
        <v>0</v>
      </c>
      <c r="M305" s="851">
        <v>0</v>
      </c>
      <c r="N305" s="853"/>
      <c r="O305" s="839">
        <v>0</v>
      </c>
      <c r="P305" s="851">
        <v>0</v>
      </c>
      <c r="Q305" s="854"/>
      <c r="R305" s="839">
        <v>0</v>
      </c>
      <c r="S305" s="851">
        <v>0</v>
      </c>
      <c r="T305" s="855"/>
      <c r="U305" s="839">
        <v>0</v>
      </c>
      <c r="V305" s="851">
        <v>0</v>
      </c>
      <c r="W305" s="839">
        <v>0</v>
      </c>
      <c r="X305" s="851">
        <v>55.794256153824911</v>
      </c>
      <c r="Y305" s="839">
        <v>0</v>
      </c>
      <c r="Z305" s="851">
        <v>0</v>
      </c>
      <c r="AA305" s="839">
        <v>0</v>
      </c>
      <c r="AB305" s="851">
        <v>0</v>
      </c>
      <c r="AC305" s="839">
        <v>0</v>
      </c>
      <c r="AD305" s="851">
        <v>0</v>
      </c>
      <c r="AE305" s="839">
        <v>268.60745020669066</v>
      </c>
      <c r="AF305" s="851">
        <v>0</v>
      </c>
      <c r="AG305" s="856"/>
      <c r="AH305" s="839">
        <v>424.54339453418447</v>
      </c>
      <c r="AI305" s="851">
        <v>0</v>
      </c>
      <c r="AJ305" s="856"/>
      <c r="AK305" s="839">
        <v>279.86139543396388</v>
      </c>
      <c r="AL305" s="851">
        <v>0</v>
      </c>
      <c r="AM305" s="856"/>
      <c r="AN305" s="839">
        <v>0</v>
      </c>
      <c r="AO305" s="851">
        <v>0</v>
      </c>
      <c r="AP305" s="856"/>
      <c r="AQ305" s="839">
        <v>0</v>
      </c>
      <c r="AR305" s="851">
        <v>0</v>
      </c>
      <c r="AS305" s="856"/>
      <c r="AT305" s="839">
        <v>152.85067587953245</v>
      </c>
      <c r="AU305" s="851">
        <v>0</v>
      </c>
      <c r="AV305" s="856"/>
      <c r="AW305" s="839">
        <v>0</v>
      </c>
      <c r="AX305" s="851">
        <v>0</v>
      </c>
      <c r="AY305" s="856"/>
      <c r="AZ305" s="845">
        <v>1125.8629160543715</v>
      </c>
      <c r="BA305" s="845">
        <v>0</v>
      </c>
      <c r="BB305" s="846">
        <v>-1125.8629160543715</v>
      </c>
      <c r="BD305" s="2">
        <v>2</v>
      </c>
      <c r="BF305" s="787">
        <v>10.503788645499951</v>
      </c>
      <c r="BG305" s="325">
        <v>150000810</v>
      </c>
      <c r="BI305" s="847">
        <v>25.38</v>
      </c>
      <c r="BJ305" s="847">
        <v>2.4906268139999108</v>
      </c>
      <c r="BK305" s="847">
        <v>27.870626813999909</v>
      </c>
      <c r="BL305" s="848"/>
      <c r="BM305" s="3"/>
      <c r="BN305" s="3"/>
      <c r="BP305" s="3"/>
      <c r="BQ305" s="3"/>
      <c r="BS305" s="42" t="s">
        <v>301</v>
      </c>
    </row>
    <row r="306" spans="1:71" ht="24.9" customHeight="1" x14ac:dyDescent="0.3">
      <c r="A306" s="325">
        <v>150000811</v>
      </c>
      <c r="B306" s="849" t="s">
        <v>302</v>
      </c>
      <c r="C306" s="850">
        <v>5</v>
      </c>
      <c r="D306" s="101" t="s">
        <v>455</v>
      </c>
      <c r="E306" s="279">
        <v>2604</v>
      </c>
      <c r="F306" s="838">
        <v>6453.5226305070473</v>
      </c>
      <c r="G306" s="838">
        <v>76.942433624266044</v>
      </c>
      <c r="H306" s="838">
        <v>-6376.5801968827809</v>
      </c>
      <c r="I306" s="839">
        <v>0</v>
      </c>
      <c r="J306" s="851">
        <v>0</v>
      </c>
      <c r="K306" s="852"/>
      <c r="L306" s="839">
        <v>0</v>
      </c>
      <c r="M306" s="851">
        <v>0</v>
      </c>
      <c r="N306" s="853"/>
      <c r="O306" s="839">
        <v>0</v>
      </c>
      <c r="P306" s="851">
        <v>0</v>
      </c>
      <c r="Q306" s="854"/>
      <c r="R306" s="839">
        <v>0</v>
      </c>
      <c r="S306" s="851">
        <v>0</v>
      </c>
      <c r="T306" s="855"/>
      <c r="U306" s="839">
        <v>0</v>
      </c>
      <c r="V306" s="851">
        <v>0</v>
      </c>
      <c r="W306" s="839">
        <v>0</v>
      </c>
      <c r="X306" s="851">
        <v>76.942433624266044</v>
      </c>
      <c r="Y306" s="839">
        <v>0</v>
      </c>
      <c r="Z306" s="851">
        <v>0</v>
      </c>
      <c r="AA306" s="839">
        <v>0</v>
      </c>
      <c r="AB306" s="851">
        <v>0</v>
      </c>
      <c r="AC306" s="839">
        <v>0</v>
      </c>
      <c r="AD306" s="851">
        <v>0</v>
      </c>
      <c r="AE306" s="839">
        <v>244.26238760946541</v>
      </c>
      <c r="AF306" s="851">
        <v>0</v>
      </c>
      <c r="AG306" s="856"/>
      <c r="AH306" s="839">
        <v>332.47939196456838</v>
      </c>
      <c r="AI306" s="851">
        <v>0</v>
      </c>
      <c r="AJ306" s="856"/>
      <c r="AK306" s="839">
        <v>328.85794079324251</v>
      </c>
      <c r="AL306" s="851">
        <v>0</v>
      </c>
      <c r="AM306" s="856"/>
      <c r="AN306" s="839">
        <v>0</v>
      </c>
      <c r="AO306" s="851">
        <v>0</v>
      </c>
      <c r="AP306" s="856"/>
      <c r="AQ306" s="839">
        <v>0</v>
      </c>
      <c r="AR306" s="851">
        <v>0</v>
      </c>
      <c r="AS306" s="856"/>
      <c r="AT306" s="839">
        <v>117.73258216618191</v>
      </c>
      <c r="AU306" s="851">
        <v>0</v>
      </c>
      <c r="AV306" s="856"/>
      <c r="AW306" s="839">
        <v>0</v>
      </c>
      <c r="AX306" s="851">
        <v>0</v>
      </c>
      <c r="AY306" s="856"/>
      <c r="AZ306" s="845">
        <v>1023.3323025334582</v>
      </c>
      <c r="BA306" s="845">
        <v>0</v>
      </c>
      <c r="BB306" s="846">
        <v>-1023.3323025334582</v>
      </c>
      <c r="BD306" s="2">
        <v>2</v>
      </c>
      <c r="BF306" s="787">
        <v>9.1051630363838996</v>
      </c>
      <c r="BG306" s="325">
        <v>150000811</v>
      </c>
      <c r="BI306" s="847">
        <v>35</v>
      </c>
      <c r="BJ306" s="847">
        <v>3.4346705472812009</v>
      </c>
      <c r="BK306" s="847">
        <v>38.4346705472812</v>
      </c>
      <c r="BL306" s="848"/>
      <c r="BM306" s="3"/>
      <c r="BN306" s="3"/>
      <c r="BP306" s="3"/>
      <c r="BQ306" s="3"/>
      <c r="BS306" s="42" t="s">
        <v>302</v>
      </c>
    </row>
    <row r="307" spans="1:71" ht="24.9" customHeight="1" x14ac:dyDescent="0.3">
      <c r="A307" s="325">
        <v>150000812</v>
      </c>
      <c r="B307" s="849" t="s">
        <v>303</v>
      </c>
      <c r="C307" s="850">
        <v>5</v>
      </c>
      <c r="D307" s="101" t="s">
        <v>455</v>
      </c>
      <c r="E307" s="279">
        <v>2780.9</v>
      </c>
      <c r="F307" s="838">
        <v>4542.4450879451815</v>
      </c>
      <c r="G307" s="838">
        <v>6573</v>
      </c>
      <c r="H307" s="838">
        <v>2030.5549120548185</v>
      </c>
      <c r="I307" s="839">
        <v>0</v>
      </c>
      <c r="J307" s="851">
        <v>6465</v>
      </c>
      <c r="K307" s="866"/>
      <c r="L307" s="839">
        <v>0</v>
      </c>
      <c r="M307" s="851">
        <v>0</v>
      </c>
      <c r="N307" s="868"/>
      <c r="O307" s="839">
        <v>0</v>
      </c>
      <c r="P307" s="851">
        <v>0</v>
      </c>
      <c r="Q307" s="854"/>
      <c r="R307" s="839">
        <v>0</v>
      </c>
      <c r="S307" s="851">
        <v>0</v>
      </c>
      <c r="T307" s="855"/>
      <c r="U307" s="839">
        <v>0</v>
      </c>
      <c r="V307" s="851">
        <v>0</v>
      </c>
      <c r="W307" s="839">
        <v>0</v>
      </c>
      <c r="X307" s="851">
        <v>0</v>
      </c>
      <c r="Y307" s="839">
        <v>0</v>
      </c>
      <c r="Z307" s="851">
        <v>0</v>
      </c>
      <c r="AA307" s="839">
        <v>0</v>
      </c>
      <c r="AB307" s="851">
        <v>0</v>
      </c>
      <c r="AC307" s="839">
        <v>108</v>
      </c>
      <c r="AD307" s="851">
        <v>0</v>
      </c>
      <c r="AE307" s="839">
        <v>179.91919703832136</v>
      </c>
      <c r="AF307" s="851">
        <v>0</v>
      </c>
      <c r="AG307" s="856"/>
      <c r="AH307" s="839">
        <v>249.85481924163975</v>
      </c>
      <c r="AI307" s="851">
        <v>0</v>
      </c>
      <c r="AJ307" s="856"/>
      <c r="AK307" s="839">
        <v>320.43261331890704</v>
      </c>
      <c r="AL307" s="851">
        <v>0</v>
      </c>
      <c r="AM307" s="856"/>
      <c r="AN307" s="839">
        <v>0</v>
      </c>
      <c r="AO307" s="851">
        <v>0</v>
      </c>
      <c r="AP307" s="856"/>
      <c r="AQ307" s="839">
        <v>0</v>
      </c>
      <c r="AR307" s="851">
        <v>0</v>
      </c>
      <c r="AS307" s="856"/>
      <c r="AT307" s="839">
        <v>115.28343760292933</v>
      </c>
      <c r="AU307" s="851">
        <v>239</v>
      </c>
      <c r="AV307" s="856"/>
      <c r="AW307" s="839">
        <v>0</v>
      </c>
      <c r="AX307" s="851">
        <v>0</v>
      </c>
      <c r="AY307" s="856"/>
      <c r="AZ307" s="845">
        <v>865.4900672017975</v>
      </c>
      <c r="BA307" s="845">
        <v>239</v>
      </c>
      <c r="BB307" s="846">
        <v>-626.4900672017975</v>
      </c>
      <c r="BD307" s="2">
        <v>2</v>
      </c>
      <c r="BF307" s="787">
        <v>10.703242078426355</v>
      </c>
      <c r="BG307" s="325">
        <v>150000812</v>
      </c>
      <c r="BI307" s="847">
        <v>0</v>
      </c>
      <c r="BJ307" s="847">
        <v>0</v>
      </c>
      <c r="BK307" s="847">
        <v>0</v>
      </c>
      <c r="BL307" s="848"/>
      <c r="BM307" s="3"/>
      <c r="BN307" s="3"/>
      <c r="BP307" s="3"/>
      <c r="BQ307" s="3"/>
      <c r="BS307" s="42" t="s">
        <v>303</v>
      </c>
    </row>
    <row r="308" spans="1:71" ht="24.9" customHeight="1" x14ac:dyDescent="0.3">
      <c r="A308" s="325">
        <v>150000828</v>
      </c>
      <c r="B308" s="849" t="s">
        <v>304</v>
      </c>
      <c r="C308" s="850">
        <v>5</v>
      </c>
      <c r="D308" s="101" t="s">
        <v>455</v>
      </c>
      <c r="E308" s="279">
        <v>2595.52</v>
      </c>
      <c r="F308" s="838">
        <v>6643.8248808251838</v>
      </c>
      <c r="G308" s="838">
        <v>0</v>
      </c>
      <c r="H308" s="838">
        <v>-6643.8248808251838</v>
      </c>
      <c r="I308" s="839">
        <v>0</v>
      </c>
      <c r="J308" s="851">
        <v>0</v>
      </c>
      <c r="K308" s="852"/>
      <c r="L308" s="839">
        <v>0</v>
      </c>
      <c r="M308" s="851">
        <v>0</v>
      </c>
      <c r="N308" s="853"/>
      <c r="O308" s="839">
        <v>0</v>
      </c>
      <c r="P308" s="851">
        <v>0</v>
      </c>
      <c r="Q308" s="854"/>
      <c r="R308" s="839">
        <v>0</v>
      </c>
      <c r="S308" s="851">
        <v>0</v>
      </c>
      <c r="T308" s="855"/>
      <c r="U308" s="839">
        <v>0</v>
      </c>
      <c r="V308" s="851">
        <v>0</v>
      </c>
      <c r="W308" s="839">
        <v>0</v>
      </c>
      <c r="X308" s="851">
        <v>0</v>
      </c>
      <c r="Y308" s="839">
        <v>0</v>
      </c>
      <c r="Z308" s="851">
        <v>0</v>
      </c>
      <c r="AA308" s="839">
        <v>0</v>
      </c>
      <c r="AB308" s="851">
        <v>0</v>
      </c>
      <c r="AC308" s="839">
        <v>0</v>
      </c>
      <c r="AD308" s="851">
        <v>0</v>
      </c>
      <c r="AE308" s="839">
        <v>244.26238760946541</v>
      </c>
      <c r="AF308" s="851">
        <v>250</v>
      </c>
      <c r="AG308" s="867"/>
      <c r="AH308" s="839">
        <v>332.47939196456838</v>
      </c>
      <c r="AI308" s="851">
        <v>0</v>
      </c>
      <c r="AJ308" s="856"/>
      <c r="AK308" s="839">
        <v>328.55404111072403</v>
      </c>
      <c r="AL308" s="851">
        <v>0</v>
      </c>
      <c r="AM308" s="856"/>
      <c r="AN308" s="839">
        <v>0</v>
      </c>
      <c r="AO308" s="851">
        <v>0</v>
      </c>
      <c r="AP308" s="856"/>
      <c r="AQ308" s="839">
        <v>0</v>
      </c>
      <c r="AR308" s="851">
        <v>0</v>
      </c>
      <c r="AS308" s="856"/>
      <c r="AT308" s="839">
        <v>117.7325992495455</v>
      </c>
      <c r="AU308" s="851">
        <v>0</v>
      </c>
      <c r="AV308" s="857"/>
      <c r="AW308" s="839">
        <v>0</v>
      </c>
      <c r="AX308" s="851">
        <v>0</v>
      </c>
      <c r="AY308" s="856"/>
      <c r="AZ308" s="845">
        <v>1023.0284199343033</v>
      </c>
      <c r="BA308" s="845">
        <v>250</v>
      </c>
      <c r="BB308" s="846">
        <v>-773.02841993430332</v>
      </c>
      <c r="BD308" s="2">
        <v>2</v>
      </c>
      <c r="BF308" s="787">
        <v>9.0901733841815293</v>
      </c>
      <c r="BG308" s="325">
        <v>150000828</v>
      </c>
      <c r="BI308" s="847">
        <v>0</v>
      </c>
      <c r="BJ308" s="847">
        <v>0</v>
      </c>
      <c r="BK308" s="847">
        <v>0</v>
      </c>
      <c r="BL308" s="848"/>
      <c r="BM308" s="3"/>
      <c r="BN308" s="3"/>
      <c r="BP308" s="3"/>
      <c r="BQ308" s="3"/>
      <c r="BS308" s="42" t="s">
        <v>304</v>
      </c>
    </row>
    <row r="309" spans="1:71" ht="24.9" customHeight="1" x14ac:dyDescent="0.3">
      <c r="A309" s="325">
        <v>150000813</v>
      </c>
      <c r="B309" s="849" t="s">
        <v>189</v>
      </c>
      <c r="C309" s="850">
        <v>2</v>
      </c>
      <c r="D309" s="101" t="s">
        <v>455</v>
      </c>
      <c r="E309" s="279">
        <v>373.3</v>
      </c>
      <c r="F309" s="838">
        <v>788.01840163412226</v>
      </c>
      <c r="G309" s="838">
        <v>0</v>
      </c>
      <c r="H309" s="838">
        <v>-788.01840163412226</v>
      </c>
      <c r="I309" s="839">
        <v>0</v>
      </c>
      <c r="J309" s="851">
        <v>0</v>
      </c>
      <c r="K309" s="852"/>
      <c r="L309" s="839">
        <v>0</v>
      </c>
      <c r="M309" s="851">
        <v>0</v>
      </c>
      <c r="N309" s="853"/>
      <c r="O309" s="839">
        <v>0</v>
      </c>
      <c r="P309" s="851">
        <v>0</v>
      </c>
      <c r="Q309" s="854"/>
      <c r="R309" s="839">
        <v>0</v>
      </c>
      <c r="S309" s="851">
        <v>0</v>
      </c>
      <c r="T309" s="855"/>
      <c r="U309" s="839">
        <v>0</v>
      </c>
      <c r="V309" s="851">
        <v>0</v>
      </c>
      <c r="W309" s="839">
        <v>0</v>
      </c>
      <c r="X309" s="851">
        <v>0</v>
      </c>
      <c r="Y309" s="839">
        <v>0</v>
      </c>
      <c r="Z309" s="851">
        <v>0</v>
      </c>
      <c r="AA309" s="839">
        <v>0</v>
      </c>
      <c r="AB309" s="851">
        <v>0</v>
      </c>
      <c r="AC309" s="839">
        <v>0</v>
      </c>
      <c r="AD309" s="851">
        <v>0</v>
      </c>
      <c r="AE309" s="839">
        <v>61.456808197748892</v>
      </c>
      <c r="AF309" s="851">
        <v>0</v>
      </c>
      <c r="AG309" s="856"/>
      <c r="AH309" s="839">
        <v>73.340501382101692</v>
      </c>
      <c r="AI309" s="851">
        <v>0</v>
      </c>
      <c r="AJ309" s="856"/>
      <c r="AK309" s="839">
        <v>0</v>
      </c>
      <c r="AL309" s="851">
        <v>0</v>
      </c>
      <c r="AM309" s="856"/>
      <c r="AN309" s="839">
        <v>0</v>
      </c>
      <c r="AO309" s="851">
        <v>0</v>
      </c>
      <c r="AP309" s="856"/>
      <c r="AQ309" s="839">
        <v>0</v>
      </c>
      <c r="AR309" s="851">
        <v>0</v>
      </c>
      <c r="AS309" s="856"/>
      <c r="AT309" s="839">
        <v>23.056621496874509</v>
      </c>
      <c r="AU309" s="851">
        <v>0</v>
      </c>
      <c r="AV309" s="856"/>
      <c r="AW309" s="839">
        <v>0</v>
      </c>
      <c r="AX309" s="851">
        <v>0</v>
      </c>
      <c r="AY309" s="856"/>
      <c r="AZ309" s="845">
        <v>157.85393107672508</v>
      </c>
      <c r="BA309" s="845">
        <v>0</v>
      </c>
      <c r="BB309" s="846">
        <v>-157.85393107672508</v>
      </c>
      <c r="BD309" s="2">
        <v>3</v>
      </c>
      <c r="BF309" s="787">
        <v>1.1843670643810544</v>
      </c>
      <c r="BG309" s="325">
        <v>150000813</v>
      </c>
      <c r="BI309" s="847">
        <v>0</v>
      </c>
      <c r="BJ309" s="847">
        <v>0</v>
      </c>
      <c r="BK309" s="847">
        <v>0</v>
      </c>
      <c r="BL309" s="848"/>
      <c r="BM309" s="3"/>
      <c r="BN309" s="3"/>
      <c r="BP309" s="3"/>
      <c r="BQ309" s="3"/>
      <c r="BS309" s="42" t="s">
        <v>189</v>
      </c>
    </row>
    <row r="310" spans="1:71" ht="24.9" customHeight="1" x14ac:dyDescent="0.3">
      <c r="A310" s="325">
        <v>150000814</v>
      </c>
      <c r="B310" s="849" t="s">
        <v>305</v>
      </c>
      <c r="C310" s="850">
        <v>5</v>
      </c>
      <c r="D310" s="101" t="s">
        <v>455</v>
      </c>
      <c r="E310" s="279">
        <v>3235</v>
      </c>
      <c r="F310" s="838">
        <v>5174.5732964202189</v>
      </c>
      <c r="G310" s="838">
        <v>34.624095130919713</v>
      </c>
      <c r="H310" s="838">
        <v>-5139.9492012892988</v>
      </c>
      <c r="I310" s="839">
        <v>0</v>
      </c>
      <c r="J310" s="851">
        <v>0</v>
      </c>
      <c r="K310" s="852"/>
      <c r="L310" s="839">
        <v>0</v>
      </c>
      <c r="M310" s="851">
        <v>0</v>
      </c>
      <c r="N310" s="853"/>
      <c r="O310" s="839">
        <v>0</v>
      </c>
      <c r="P310" s="851">
        <v>0</v>
      </c>
      <c r="Q310" s="854"/>
      <c r="R310" s="839">
        <v>0</v>
      </c>
      <c r="S310" s="851">
        <v>0</v>
      </c>
      <c r="T310" s="855"/>
      <c r="U310" s="839">
        <v>0</v>
      </c>
      <c r="V310" s="851">
        <v>0</v>
      </c>
      <c r="W310" s="839">
        <v>0</v>
      </c>
      <c r="X310" s="851">
        <v>34.624095130919713</v>
      </c>
      <c r="Y310" s="839">
        <v>0</v>
      </c>
      <c r="Z310" s="851">
        <v>0</v>
      </c>
      <c r="AA310" s="839">
        <v>0</v>
      </c>
      <c r="AB310" s="851">
        <v>0</v>
      </c>
      <c r="AC310" s="839">
        <v>0</v>
      </c>
      <c r="AD310" s="851">
        <v>0</v>
      </c>
      <c r="AE310" s="839">
        <v>288.77331075072891</v>
      </c>
      <c r="AF310" s="851">
        <v>253</v>
      </c>
      <c r="AG310" s="856"/>
      <c r="AH310" s="839">
        <v>472.58567621981564</v>
      </c>
      <c r="AI310" s="851">
        <v>2745</v>
      </c>
      <c r="AJ310" s="856"/>
      <c r="AK310" s="839">
        <v>315.4105094807349</v>
      </c>
      <c r="AL310" s="851">
        <v>0</v>
      </c>
      <c r="AM310" s="856"/>
      <c r="AN310" s="839">
        <v>0</v>
      </c>
      <c r="AO310" s="851">
        <v>0</v>
      </c>
      <c r="AP310" s="856"/>
      <c r="AQ310" s="839">
        <v>0</v>
      </c>
      <c r="AR310" s="851">
        <v>0</v>
      </c>
      <c r="AS310" s="856"/>
      <c r="AT310" s="839">
        <v>156.35955570117008</v>
      </c>
      <c r="AU310" s="851">
        <v>0</v>
      </c>
      <c r="AV310" s="856"/>
      <c r="AW310" s="839">
        <v>0</v>
      </c>
      <c r="AX310" s="851">
        <v>0</v>
      </c>
      <c r="AY310" s="856"/>
      <c r="AZ310" s="845">
        <v>1233.1290521524495</v>
      </c>
      <c r="BA310" s="845">
        <v>2998</v>
      </c>
      <c r="BB310" s="846">
        <v>1764.8709478475505</v>
      </c>
      <c r="BD310" s="2">
        <v>2</v>
      </c>
      <c r="BF310" s="787">
        <v>11.320689667977271</v>
      </c>
      <c r="BG310" s="325">
        <v>150000814</v>
      </c>
      <c r="BI310" s="847">
        <v>15.75</v>
      </c>
      <c r="BJ310" s="847">
        <v>1.5456017462765403</v>
      </c>
      <c r="BK310" s="847">
        <v>17.295601746276539</v>
      </c>
      <c r="BL310" s="848"/>
      <c r="BM310" s="3"/>
      <c r="BN310" s="3"/>
      <c r="BP310" s="3"/>
      <c r="BQ310" s="3"/>
      <c r="BS310" s="42" t="s">
        <v>305</v>
      </c>
    </row>
    <row r="311" spans="1:71" ht="24.9" customHeight="1" x14ac:dyDescent="0.3">
      <c r="A311" s="325">
        <v>150000816</v>
      </c>
      <c r="B311" s="849" t="s">
        <v>230</v>
      </c>
      <c r="C311" s="850">
        <v>4</v>
      </c>
      <c r="D311" s="101" t="s">
        <v>455</v>
      </c>
      <c r="E311" s="279">
        <v>2488.34</v>
      </c>
      <c r="F311" s="838">
        <v>4106.8253622593747</v>
      </c>
      <c r="G311" s="838">
        <v>11.541365043639905</v>
      </c>
      <c r="H311" s="838">
        <v>-4095.2839972157349</v>
      </c>
      <c r="I311" s="839">
        <v>0</v>
      </c>
      <c r="J311" s="851">
        <v>0</v>
      </c>
      <c r="K311" s="859"/>
      <c r="L311" s="839">
        <v>0</v>
      </c>
      <c r="M311" s="851">
        <v>0</v>
      </c>
      <c r="N311" s="853"/>
      <c r="O311" s="839">
        <v>0</v>
      </c>
      <c r="P311" s="851">
        <v>0</v>
      </c>
      <c r="Q311" s="854"/>
      <c r="R311" s="839">
        <v>0</v>
      </c>
      <c r="S311" s="851">
        <v>0</v>
      </c>
      <c r="T311" s="855"/>
      <c r="U311" s="839">
        <v>0</v>
      </c>
      <c r="V311" s="851">
        <v>0</v>
      </c>
      <c r="W311" s="839">
        <v>0</v>
      </c>
      <c r="X311" s="851">
        <v>11.541365043639905</v>
      </c>
      <c r="Y311" s="839">
        <v>0</v>
      </c>
      <c r="Z311" s="851">
        <v>0</v>
      </c>
      <c r="AA311" s="839">
        <v>0</v>
      </c>
      <c r="AB311" s="851">
        <v>0</v>
      </c>
      <c r="AC311" s="839">
        <v>0</v>
      </c>
      <c r="AD311" s="851">
        <v>0</v>
      </c>
      <c r="AE311" s="839">
        <v>251.19340059985063</v>
      </c>
      <c r="AF311" s="851">
        <v>0</v>
      </c>
      <c r="AG311" s="856"/>
      <c r="AH311" s="839">
        <v>322.9330626916564</v>
      </c>
      <c r="AI311" s="851">
        <v>0</v>
      </c>
      <c r="AJ311" s="856"/>
      <c r="AK311" s="839">
        <v>309.58538086016767</v>
      </c>
      <c r="AL311" s="851">
        <v>0</v>
      </c>
      <c r="AM311" s="856"/>
      <c r="AN311" s="839">
        <v>143.16730422382903</v>
      </c>
      <c r="AO311" s="851">
        <v>0</v>
      </c>
      <c r="AP311" s="856"/>
      <c r="AQ311" s="839">
        <v>0</v>
      </c>
      <c r="AR311" s="851">
        <v>0</v>
      </c>
      <c r="AS311" s="856"/>
      <c r="AT311" s="839">
        <v>133.71803528478662</v>
      </c>
      <c r="AU311" s="851">
        <v>0</v>
      </c>
      <c r="AV311" s="856"/>
      <c r="AW311" s="839">
        <v>0</v>
      </c>
      <c r="AX311" s="851">
        <v>0</v>
      </c>
      <c r="AY311" s="856"/>
      <c r="AZ311" s="845">
        <v>1160.5971836602903</v>
      </c>
      <c r="BA311" s="845">
        <v>0</v>
      </c>
      <c r="BB311" s="846">
        <v>-1160.5971836602903</v>
      </c>
      <c r="BD311" s="2">
        <v>2</v>
      </c>
      <c r="BF311" s="787">
        <v>8.570929030087262</v>
      </c>
      <c r="BG311" s="325">
        <v>150000816</v>
      </c>
      <c r="BI311" s="847">
        <v>5.25</v>
      </c>
      <c r="BJ311" s="847">
        <v>0.51520058209218011</v>
      </c>
      <c r="BK311" s="847">
        <v>5.7652005820921799</v>
      </c>
      <c r="BL311" s="848"/>
      <c r="BM311" s="3"/>
      <c r="BN311" s="3"/>
      <c r="BP311" s="3"/>
      <c r="BQ311" s="3"/>
      <c r="BS311" s="42" t="s">
        <v>230</v>
      </c>
    </row>
    <row r="312" spans="1:71" ht="24.9" customHeight="1" x14ac:dyDescent="0.3">
      <c r="A312" s="325">
        <v>150000829</v>
      </c>
      <c r="B312" s="849" t="s">
        <v>231</v>
      </c>
      <c r="C312" s="850">
        <v>4</v>
      </c>
      <c r="D312" s="101" t="s">
        <v>455</v>
      </c>
      <c r="E312" s="279">
        <v>2581.1999999999998</v>
      </c>
      <c r="F312" s="838">
        <v>4724.3770727724414</v>
      </c>
      <c r="G312" s="838">
        <v>50.012581855772922</v>
      </c>
      <c r="H312" s="838">
        <v>-4674.3644909166687</v>
      </c>
      <c r="I312" s="839">
        <v>0</v>
      </c>
      <c r="J312" s="851">
        <v>0</v>
      </c>
      <c r="K312" s="852"/>
      <c r="L312" s="839">
        <v>0</v>
      </c>
      <c r="M312" s="851">
        <v>0</v>
      </c>
      <c r="N312" s="853"/>
      <c r="O312" s="839">
        <v>0</v>
      </c>
      <c r="P312" s="851">
        <v>0</v>
      </c>
      <c r="Q312" s="854"/>
      <c r="R312" s="839">
        <v>0</v>
      </c>
      <c r="S312" s="851">
        <v>0</v>
      </c>
      <c r="T312" s="855"/>
      <c r="U312" s="839">
        <v>0</v>
      </c>
      <c r="V312" s="851">
        <v>0</v>
      </c>
      <c r="W312" s="839">
        <v>0</v>
      </c>
      <c r="X312" s="851">
        <v>50.012581855772922</v>
      </c>
      <c r="Y312" s="839">
        <v>0</v>
      </c>
      <c r="Z312" s="851">
        <v>0</v>
      </c>
      <c r="AA312" s="839">
        <v>0</v>
      </c>
      <c r="AB312" s="851">
        <v>0</v>
      </c>
      <c r="AC312" s="839">
        <v>0</v>
      </c>
      <c r="AD312" s="851">
        <v>0</v>
      </c>
      <c r="AE312" s="839">
        <v>255.6979541345664</v>
      </c>
      <c r="AF312" s="851">
        <v>0</v>
      </c>
      <c r="AG312" s="856"/>
      <c r="AH312" s="839">
        <v>324.18583031484343</v>
      </c>
      <c r="AI312" s="851">
        <v>0</v>
      </c>
      <c r="AJ312" s="856"/>
      <c r="AK312" s="839">
        <v>286.47761685119247</v>
      </c>
      <c r="AL312" s="851">
        <v>0</v>
      </c>
      <c r="AM312" s="856"/>
      <c r="AN312" s="839">
        <v>0</v>
      </c>
      <c r="AO312" s="851">
        <v>0</v>
      </c>
      <c r="AP312" s="856"/>
      <c r="AQ312" s="839">
        <v>0</v>
      </c>
      <c r="AR312" s="851">
        <v>0</v>
      </c>
      <c r="AS312" s="856"/>
      <c r="AT312" s="839">
        <v>134.07877525191492</v>
      </c>
      <c r="AU312" s="851">
        <v>0</v>
      </c>
      <c r="AV312" s="856"/>
      <c r="AW312" s="839">
        <v>0</v>
      </c>
      <c r="AX312" s="851">
        <v>0</v>
      </c>
      <c r="AY312" s="856"/>
      <c r="AZ312" s="845">
        <v>1000.4401765525172</v>
      </c>
      <c r="BA312" s="845">
        <v>0</v>
      </c>
      <c r="BB312" s="846">
        <v>-1000.4401765525172</v>
      </c>
      <c r="BD312" s="2">
        <v>2</v>
      </c>
      <c r="BF312" s="787">
        <v>9.0442237961219263</v>
      </c>
      <c r="BG312" s="325">
        <v>150000829</v>
      </c>
      <c r="BI312" s="847">
        <v>22.75</v>
      </c>
      <c r="BJ312" s="847">
        <v>2.2325358557327806</v>
      </c>
      <c r="BK312" s="847">
        <v>24.982535855732781</v>
      </c>
      <c r="BL312" s="848"/>
      <c r="BM312" s="3"/>
      <c r="BN312" s="3"/>
      <c r="BP312" s="3"/>
      <c r="BQ312" s="3"/>
      <c r="BS312" s="42" t="s">
        <v>231</v>
      </c>
    </row>
    <row r="313" spans="1:71" ht="24.9" customHeight="1" x14ac:dyDescent="0.3">
      <c r="A313" s="325">
        <v>150000797</v>
      </c>
      <c r="B313" s="849" t="s">
        <v>232</v>
      </c>
      <c r="C313" s="850">
        <v>4</v>
      </c>
      <c r="D313" s="101" t="s">
        <v>455</v>
      </c>
      <c r="E313" s="279">
        <v>5513</v>
      </c>
      <c r="F313" s="838">
        <v>14230.204542697285</v>
      </c>
      <c r="G313" s="838">
        <v>10647.189788717911</v>
      </c>
      <c r="H313" s="838">
        <v>-3583.0147539793743</v>
      </c>
      <c r="I313" s="839">
        <v>0</v>
      </c>
      <c r="J313" s="851">
        <v>9236</v>
      </c>
      <c r="K313" s="852"/>
      <c r="L313" s="839">
        <v>0</v>
      </c>
      <c r="M313" s="851">
        <v>0</v>
      </c>
      <c r="N313" s="853"/>
      <c r="O313" s="839">
        <v>0</v>
      </c>
      <c r="P313" s="851">
        <v>0</v>
      </c>
      <c r="Q313" s="854"/>
      <c r="R313" s="839">
        <v>0</v>
      </c>
      <c r="S313" s="851">
        <v>0</v>
      </c>
      <c r="T313" s="855"/>
      <c r="U313" s="839">
        <v>0</v>
      </c>
      <c r="V313" s="851">
        <v>0</v>
      </c>
      <c r="W313" s="839">
        <v>0</v>
      </c>
      <c r="X313" s="851">
        <v>99.189788717910943</v>
      </c>
      <c r="Y313" s="839">
        <v>0</v>
      </c>
      <c r="Z313" s="851">
        <v>0</v>
      </c>
      <c r="AA313" s="839">
        <v>0</v>
      </c>
      <c r="AB313" s="851">
        <v>0</v>
      </c>
      <c r="AC313" s="839">
        <v>0</v>
      </c>
      <c r="AD313" s="851">
        <v>1312</v>
      </c>
      <c r="AE313" s="839">
        <v>510.18365466681013</v>
      </c>
      <c r="AF313" s="851">
        <v>2101</v>
      </c>
      <c r="AG313" s="856"/>
      <c r="AH313" s="839">
        <v>794.68358772623048</v>
      </c>
      <c r="AI313" s="851">
        <v>0</v>
      </c>
      <c r="AJ313" s="856"/>
      <c r="AK313" s="839">
        <v>490.33909690043743</v>
      </c>
      <c r="AL313" s="851">
        <v>0</v>
      </c>
      <c r="AM313" s="856"/>
      <c r="AN313" s="839">
        <v>0</v>
      </c>
      <c r="AO313" s="851">
        <v>0</v>
      </c>
      <c r="AP313" s="856"/>
      <c r="AQ313" s="839">
        <v>0</v>
      </c>
      <c r="AR313" s="851">
        <v>0</v>
      </c>
      <c r="AS313" s="856"/>
      <c r="AT313" s="839">
        <v>503.79300843766771</v>
      </c>
      <c r="AU313" s="851">
        <v>0</v>
      </c>
      <c r="AV313" s="856"/>
      <c r="AW313" s="839">
        <v>0</v>
      </c>
      <c r="AX313" s="851">
        <v>0</v>
      </c>
      <c r="AY313" s="856"/>
      <c r="AZ313" s="845">
        <v>2298.9993477311459</v>
      </c>
      <c r="BA313" s="845">
        <v>2101</v>
      </c>
      <c r="BB313" s="846">
        <v>-197.99934773114592</v>
      </c>
      <c r="BD313" s="2">
        <v>2</v>
      </c>
      <c r="BF313" s="787">
        <v>15.913897346343871</v>
      </c>
      <c r="BG313" s="325">
        <v>150000797</v>
      </c>
      <c r="BI313" s="847">
        <v>45.12</v>
      </c>
      <c r="BJ313" s="847">
        <v>4.4277810026665083</v>
      </c>
      <c r="BK313" s="847">
        <v>49.547781002666504</v>
      </c>
      <c r="BL313" s="848"/>
      <c r="BM313" s="3"/>
      <c r="BN313" s="3"/>
      <c r="BP313" s="3"/>
      <c r="BQ313" s="3"/>
      <c r="BS313" s="42" t="s">
        <v>232</v>
      </c>
    </row>
    <row r="314" spans="1:71" ht="24.9" customHeight="1" x14ac:dyDescent="0.3">
      <c r="A314" s="325">
        <v>150000709</v>
      </c>
      <c r="B314" s="862" t="s">
        <v>143</v>
      </c>
      <c r="C314" s="863">
        <v>1</v>
      </c>
      <c r="D314" s="101" t="s">
        <v>455</v>
      </c>
      <c r="E314" s="279">
        <v>201.1</v>
      </c>
      <c r="F314" s="838">
        <v>405.04931561218223</v>
      </c>
      <c r="G314" s="838">
        <v>0</v>
      </c>
      <c r="H314" s="838">
        <v>-405.04931561218223</v>
      </c>
      <c r="I314" s="839">
        <v>0</v>
      </c>
      <c r="J314" s="851">
        <v>0</v>
      </c>
      <c r="K314" s="852"/>
      <c r="L314" s="839">
        <v>0</v>
      </c>
      <c r="M314" s="851">
        <v>0</v>
      </c>
      <c r="N314" s="853"/>
      <c r="O314" s="839">
        <v>0</v>
      </c>
      <c r="P314" s="851">
        <v>0</v>
      </c>
      <c r="Q314" s="854"/>
      <c r="R314" s="839">
        <v>0</v>
      </c>
      <c r="S314" s="851">
        <v>0</v>
      </c>
      <c r="T314" s="855"/>
      <c r="U314" s="839">
        <v>0</v>
      </c>
      <c r="V314" s="851">
        <v>0</v>
      </c>
      <c r="W314" s="839">
        <v>0</v>
      </c>
      <c r="X314" s="851">
        <v>0</v>
      </c>
      <c r="Y314" s="839">
        <v>0</v>
      </c>
      <c r="Z314" s="851">
        <v>0</v>
      </c>
      <c r="AA314" s="839">
        <v>0</v>
      </c>
      <c r="AB314" s="851">
        <v>0</v>
      </c>
      <c r="AC314" s="839">
        <v>0</v>
      </c>
      <c r="AD314" s="851">
        <v>0</v>
      </c>
      <c r="AE314" s="839">
        <v>0</v>
      </c>
      <c r="AF314" s="851">
        <v>0</v>
      </c>
      <c r="AG314" s="856"/>
      <c r="AH314" s="839">
        <v>0</v>
      </c>
      <c r="AI314" s="851">
        <v>0</v>
      </c>
      <c r="AJ314" s="856"/>
      <c r="AK314" s="839">
        <v>0</v>
      </c>
      <c r="AL314" s="851">
        <v>0</v>
      </c>
      <c r="AM314" s="856"/>
      <c r="AN314" s="839">
        <v>0</v>
      </c>
      <c r="AO314" s="851">
        <v>0</v>
      </c>
      <c r="AP314" s="856"/>
      <c r="AQ314" s="839">
        <v>0</v>
      </c>
      <c r="AR314" s="851">
        <v>0</v>
      </c>
      <c r="AS314" s="856"/>
      <c r="AT314" s="839">
        <v>0</v>
      </c>
      <c r="AU314" s="851">
        <v>0</v>
      </c>
      <c r="AV314" s="856"/>
      <c r="AW314" s="839">
        <v>0</v>
      </c>
      <c r="AX314" s="851">
        <v>0</v>
      </c>
      <c r="AY314" s="856"/>
      <c r="AZ314" s="845">
        <v>0</v>
      </c>
      <c r="BA314" s="845">
        <v>0</v>
      </c>
      <c r="BB314" s="846">
        <v>0</v>
      </c>
      <c r="BD314" s="2">
        <v>3</v>
      </c>
      <c r="BF314" s="787">
        <v>0</v>
      </c>
      <c r="BG314" s="325">
        <v>150000709</v>
      </c>
      <c r="BI314" s="847">
        <v>0</v>
      </c>
      <c r="BJ314" s="847">
        <v>0</v>
      </c>
      <c r="BK314" s="847">
        <v>0</v>
      </c>
      <c r="BL314" s="848"/>
      <c r="BM314" s="3"/>
      <c r="BN314" s="3"/>
      <c r="BP314" s="3"/>
      <c r="BQ314" s="3"/>
      <c r="BS314" s="42" t="s">
        <v>143</v>
      </c>
    </row>
    <row r="315" spans="1:71" ht="24.9" customHeight="1" x14ac:dyDescent="0.3">
      <c r="A315" s="325">
        <v>150000706</v>
      </c>
      <c r="B315" s="862" t="s">
        <v>144</v>
      </c>
      <c r="C315" s="863">
        <v>1</v>
      </c>
      <c r="D315" s="101" t="s">
        <v>455</v>
      </c>
      <c r="E315" s="279">
        <v>243.32</v>
      </c>
      <c r="F315" s="838">
        <v>492.86698204367883</v>
      </c>
      <c r="G315" s="838">
        <v>0</v>
      </c>
      <c r="H315" s="838">
        <v>-492.86698204367883</v>
      </c>
      <c r="I315" s="839">
        <v>0</v>
      </c>
      <c r="J315" s="851">
        <v>0</v>
      </c>
      <c r="K315" s="852"/>
      <c r="L315" s="839">
        <v>0</v>
      </c>
      <c r="M315" s="851">
        <v>0</v>
      </c>
      <c r="N315" s="853"/>
      <c r="O315" s="839">
        <v>0</v>
      </c>
      <c r="P315" s="851">
        <v>0</v>
      </c>
      <c r="Q315" s="854"/>
      <c r="R315" s="839">
        <v>0</v>
      </c>
      <c r="S315" s="851">
        <v>0</v>
      </c>
      <c r="T315" s="855"/>
      <c r="U315" s="839">
        <v>0</v>
      </c>
      <c r="V315" s="851">
        <v>0</v>
      </c>
      <c r="W315" s="839">
        <v>0</v>
      </c>
      <c r="X315" s="851">
        <v>0</v>
      </c>
      <c r="Y315" s="839">
        <v>0</v>
      </c>
      <c r="Z315" s="851">
        <v>0</v>
      </c>
      <c r="AA315" s="839">
        <v>0</v>
      </c>
      <c r="AB315" s="851">
        <v>0</v>
      </c>
      <c r="AC315" s="839">
        <v>0</v>
      </c>
      <c r="AD315" s="851">
        <v>0</v>
      </c>
      <c r="AE315" s="839">
        <v>0</v>
      </c>
      <c r="AF315" s="851">
        <v>0</v>
      </c>
      <c r="AG315" s="856"/>
      <c r="AH315" s="839">
        <v>0</v>
      </c>
      <c r="AI315" s="851">
        <v>0</v>
      </c>
      <c r="AJ315" s="856"/>
      <c r="AK315" s="839">
        <v>0</v>
      </c>
      <c r="AL315" s="851">
        <v>0</v>
      </c>
      <c r="AM315" s="856"/>
      <c r="AN315" s="839">
        <v>0</v>
      </c>
      <c r="AO315" s="851">
        <v>0</v>
      </c>
      <c r="AP315" s="856"/>
      <c r="AQ315" s="839">
        <v>0</v>
      </c>
      <c r="AR315" s="851">
        <v>0</v>
      </c>
      <c r="AS315" s="856"/>
      <c r="AT315" s="839">
        <v>0</v>
      </c>
      <c r="AU315" s="851">
        <v>0</v>
      </c>
      <c r="AV315" s="856"/>
      <c r="AW315" s="839">
        <v>0</v>
      </c>
      <c r="AX315" s="851">
        <v>0</v>
      </c>
      <c r="AY315" s="856"/>
      <c r="AZ315" s="845">
        <v>0</v>
      </c>
      <c r="BA315" s="845">
        <v>0</v>
      </c>
      <c r="BB315" s="846">
        <v>0</v>
      </c>
      <c r="BD315" s="2">
        <v>3</v>
      </c>
      <c r="BF315" s="787">
        <v>0</v>
      </c>
      <c r="BG315" s="325">
        <v>150000706</v>
      </c>
      <c r="BI315" s="847">
        <v>0</v>
      </c>
      <c r="BJ315" s="847">
        <v>0</v>
      </c>
      <c r="BK315" s="847">
        <v>0</v>
      </c>
      <c r="BL315" s="848"/>
      <c r="BM315" s="3"/>
      <c r="BN315" s="3"/>
      <c r="BP315" s="3"/>
      <c r="BQ315" s="3"/>
      <c r="BS315" s="42" t="s">
        <v>144</v>
      </c>
    </row>
    <row r="316" spans="1:71" ht="24.9" customHeight="1" x14ac:dyDescent="0.3">
      <c r="A316" s="325">
        <v>150000707</v>
      </c>
      <c r="B316" s="862" t="s">
        <v>145</v>
      </c>
      <c r="C316" s="863">
        <v>1</v>
      </c>
      <c r="D316" s="101" t="s">
        <v>455</v>
      </c>
      <c r="E316" s="279">
        <v>326.10000000000002</v>
      </c>
      <c r="F316" s="838">
        <v>641.46266254981379</v>
      </c>
      <c r="G316" s="838">
        <v>0</v>
      </c>
      <c r="H316" s="838">
        <v>-641.46266254981379</v>
      </c>
      <c r="I316" s="839">
        <v>0</v>
      </c>
      <c r="J316" s="851">
        <v>0</v>
      </c>
      <c r="K316" s="852"/>
      <c r="L316" s="839">
        <v>0</v>
      </c>
      <c r="M316" s="851">
        <v>0</v>
      </c>
      <c r="N316" s="853"/>
      <c r="O316" s="839">
        <v>0</v>
      </c>
      <c r="P316" s="851">
        <v>0</v>
      </c>
      <c r="Q316" s="854"/>
      <c r="R316" s="839">
        <v>0</v>
      </c>
      <c r="S316" s="851">
        <v>0</v>
      </c>
      <c r="T316" s="855"/>
      <c r="U316" s="839">
        <v>0</v>
      </c>
      <c r="V316" s="851">
        <v>0</v>
      </c>
      <c r="W316" s="839">
        <v>0</v>
      </c>
      <c r="X316" s="851">
        <v>0</v>
      </c>
      <c r="Y316" s="839">
        <v>0</v>
      </c>
      <c r="Z316" s="851">
        <v>0</v>
      </c>
      <c r="AA316" s="839">
        <v>0</v>
      </c>
      <c r="AB316" s="851">
        <v>0</v>
      </c>
      <c r="AC316" s="839">
        <v>0</v>
      </c>
      <c r="AD316" s="851">
        <v>0</v>
      </c>
      <c r="AE316" s="839">
        <v>0</v>
      </c>
      <c r="AF316" s="851">
        <v>0</v>
      </c>
      <c r="AG316" s="856"/>
      <c r="AH316" s="839">
        <v>0</v>
      </c>
      <c r="AI316" s="851">
        <v>0</v>
      </c>
      <c r="AJ316" s="856"/>
      <c r="AK316" s="839">
        <v>0</v>
      </c>
      <c r="AL316" s="851">
        <v>0</v>
      </c>
      <c r="AM316" s="856"/>
      <c r="AN316" s="839">
        <v>0</v>
      </c>
      <c r="AO316" s="851">
        <v>0</v>
      </c>
      <c r="AP316" s="856"/>
      <c r="AQ316" s="839">
        <v>0</v>
      </c>
      <c r="AR316" s="851">
        <v>0</v>
      </c>
      <c r="AS316" s="856"/>
      <c r="AT316" s="839">
        <v>0</v>
      </c>
      <c r="AU316" s="851">
        <v>0</v>
      </c>
      <c r="AV316" s="856"/>
      <c r="AW316" s="839">
        <v>0</v>
      </c>
      <c r="AX316" s="851">
        <v>0</v>
      </c>
      <c r="AY316" s="856"/>
      <c r="AZ316" s="845">
        <v>0</v>
      </c>
      <c r="BA316" s="845">
        <v>0</v>
      </c>
      <c r="BB316" s="846">
        <v>0</v>
      </c>
      <c r="BD316" s="2">
        <v>3</v>
      </c>
      <c r="BF316" s="787">
        <v>0</v>
      </c>
      <c r="BG316" s="325">
        <v>150000707</v>
      </c>
      <c r="BI316" s="847">
        <v>0</v>
      </c>
      <c r="BJ316" s="847">
        <v>0</v>
      </c>
      <c r="BK316" s="847">
        <v>0</v>
      </c>
      <c r="BL316" s="848"/>
      <c r="BM316" s="3"/>
      <c r="BN316" s="3"/>
      <c r="BP316" s="3"/>
      <c r="BQ316" s="3"/>
      <c r="BS316" s="42" t="s">
        <v>145</v>
      </c>
    </row>
    <row r="317" spans="1:71" ht="24.9" customHeight="1" x14ac:dyDescent="0.3">
      <c r="A317" s="325">
        <v>150000708</v>
      </c>
      <c r="B317" s="862" t="s">
        <v>146</v>
      </c>
      <c r="C317" s="863">
        <v>1</v>
      </c>
      <c r="D317" s="101" t="s">
        <v>455</v>
      </c>
      <c r="E317" s="279">
        <v>241.4</v>
      </c>
      <c r="F317" s="838">
        <v>488.70442035541703</v>
      </c>
      <c r="G317" s="838">
        <v>0</v>
      </c>
      <c r="H317" s="838">
        <v>-488.70442035541703</v>
      </c>
      <c r="I317" s="839">
        <v>0</v>
      </c>
      <c r="J317" s="851">
        <v>0</v>
      </c>
      <c r="K317" s="852"/>
      <c r="L317" s="839">
        <v>0</v>
      </c>
      <c r="M317" s="851">
        <v>0</v>
      </c>
      <c r="N317" s="853"/>
      <c r="O317" s="839">
        <v>0</v>
      </c>
      <c r="P317" s="851">
        <v>0</v>
      </c>
      <c r="Q317" s="854"/>
      <c r="R317" s="839">
        <v>0</v>
      </c>
      <c r="S317" s="851">
        <v>0</v>
      </c>
      <c r="T317" s="855"/>
      <c r="U317" s="839">
        <v>0</v>
      </c>
      <c r="V317" s="851">
        <v>0</v>
      </c>
      <c r="W317" s="839">
        <v>0</v>
      </c>
      <c r="X317" s="851">
        <v>0</v>
      </c>
      <c r="Y317" s="839">
        <v>0</v>
      </c>
      <c r="Z317" s="851">
        <v>0</v>
      </c>
      <c r="AA317" s="839">
        <v>0</v>
      </c>
      <c r="AB317" s="851">
        <v>0</v>
      </c>
      <c r="AC317" s="839">
        <v>0</v>
      </c>
      <c r="AD317" s="851">
        <v>0</v>
      </c>
      <c r="AE317" s="839">
        <v>0</v>
      </c>
      <c r="AF317" s="851">
        <v>0</v>
      </c>
      <c r="AG317" s="856"/>
      <c r="AH317" s="839">
        <v>0</v>
      </c>
      <c r="AI317" s="851">
        <v>0</v>
      </c>
      <c r="AJ317" s="856"/>
      <c r="AK317" s="839">
        <v>0</v>
      </c>
      <c r="AL317" s="851">
        <v>0</v>
      </c>
      <c r="AM317" s="856"/>
      <c r="AN317" s="839">
        <v>0</v>
      </c>
      <c r="AO317" s="851">
        <v>0</v>
      </c>
      <c r="AP317" s="856"/>
      <c r="AQ317" s="839">
        <v>0</v>
      </c>
      <c r="AR317" s="851">
        <v>0</v>
      </c>
      <c r="AS317" s="856"/>
      <c r="AT317" s="839">
        <v>0</v>
      </c>
      <c r="AU317" s="851">
        <v>0</v>
      </c>
      <c r="AV317" s="856"/>
      <c r="AW317" s="839">
        <v>0</v>
      </c>
      <c r="AX317" s="851">
        <v>0</v>
      </c>
      <c r="AY317" s="856"/>
      <c r="AZ317" s="845">
        <v>0</v>
      </c>
      <c r="BA317" s="845">
        <v>0</v>
      </c>
      <c r="BB317" s="846">
        <v>0</v>
      </c>
      <c r="BD317" s="2">
        <v>3</v>
      </c>
      <c r="BF317" s="787">
        <v>0</v>
      </c>
      <c r="BG317" s="325">
        <v>150000708</v>
      </c>
      <c r="BI317" s="847">
        <v>0</v>
      </c>
      <c r="BJ317" s="847">
        <v>0</v>
      </c>
      <c r="BK317" s="847">
        <v>0</v>
      </c>
      <c r="BL317" s="848"/>
      <c r="BM317" s="3"/>
      <c r="BN317" s="3"/>
      <c r="BP317" s="3"/>
      <c r="BQ317" s="3"/>
      <c r="BS317" s="42" t="s">
        <v>146</v>
      </c>
    </row>
    <row r="318" spans="1:71" ht="24.9" customHeight="1" x14ac:dyDescent="0.3">
      <c r="A318" s="325">
        <v>150000591</v>
      </c>
      <c r="B318" s="849" t="s">
        <v>192</v>
      </c>
      <c r="C318" s="850">
        <v>2</v>
      </c>
      <c r="D318" s="101" t="s">
        <v>455</v>
      </c>
      <c r="E318" s="279">
        <v>148.4</v>
      </c>
      <c r="F318" s="838">
        <v>577.40207006763296</v>
      </c>
      <c r="G318" s="838">
        <v>0</v>
      </c>
      <c r="H318" s="838">
        <v>-577.40207006763296</v>
      </c>
      <c r="I318" s="839">
        <v>0</v>
      </c>
      <c r="J318" s="851">
        <v>0</v>
      </c>
      <c r="K318" s="852"/>
      <c r="L318" s="839">
        <v>0</v>
      </c>
      <c r="M318" s="851">
        <v>0</v>
      </c>
      <c r="N318" s="853"/>
      <c r="O318" s="839">
        <v>0</v>
      </c>
      <c r="P318" s="851">
        <v>0</v>
      </c>
      <c r="Q318" s="854"/>
      <c r="R318" s="839">
        <v>0</v>
      </c>
      <c r="S318" s="851">
        <v>0</v>
      </c>
      <c r="T318" s="855"/>
      <c r="U318" s="839">
        <v>0</v>
      </c>
      <c r="V318" s="851">
        <v>0</v>
      </c>
      <c r="W318" s="839">
        <v>0</v>
      </c>
      <c r="X318" s="851">
        <v>0</v>
      </c>
      <c r="Y318" s="839">
        <v>0</v>
      </c>
      <c r="Z318" s="851">
        <v>0</v>
      </c>
      <c r="AA318" s="839">
        <v>0</v>
      </c>
      <c r="AB318" s="851">
        <v>0</v>
      </c>
      <c r="AC318" s="839">
        <v>0</v>
      </c>
      <c r="AD318" s="851">
        <v>0</v>
      </c>
      <c r="AE318" s="839">
        <v>34.501372213371873</v>
      </c>
      <c r="AF318" s="851">
        <v>0</v>
      </c>
      <c r="AG318" s="856"/>
      <c r="AH318" s="839">
        <v>35.106725210817658</v>
      </c>
      <c r="AI318" s="851">
        <v>0</v>
      </c>
      <c r="AJ318" s="856"/>
      <c r="AK318" s="839">
        <v>11.463616105968482</v>
      </c>
      <c r="AL318" s="851">
        <v>0</v>
      </c>
      <c r="AM318" s="856"/>
      <c r="AN318" s="839">
        <v>17.956827810507491</v>
      </c>
      <c r="AO318" s="851">
        <v>0</v>
      </c>
      <c r="AP318" s="856"/>
      <c r="AQ318" s="839">
        <v>0</v>
      </c>
      <c r="AR318" s="851">
        <v>0</v>
      </c>
      <c r="AS318" s="856"/>
      <c r="AT318" s="839">
        <v>9.8614204561619534</v>
      </c>
      <c r="AU318" s="851">
        <v>0</v>
      </c>
      <c r="AV318" s="856"/>
      <c r="AW318" s="839">
        <v>0</v>
      </c>
      <c r="AX318" s="851">
        <v>0</v>
      </c>
      <c r="AY318" s="856"/>
      <c r="AZ318" s="845">
        <v>108.88996179682746</v>
      </c>
      <c r="BA318" s="845">
        <v>0</v>
      </c>
      <c r="BB318" s="846">
        <v>-108.88996179682746</v>
      </c>
      <c r="BD318" s="2">
        <v>3</v>
      </c>
      <c r="BF318" s="787">
        <v>0.47082794630096025</v>
      </c>
      <c r="BG318" s="325">
        <v>150000591</v>
      </c>
      <c r="BI318" s="847">
        <v>0</v>
      </c>
      <c r="BJ318" s="847">
        <v>0</v>
      </c>
      <c r="BK318" s="847">
        <v>0</v>
      </c>
      <c r="BL318" s="848"/>
      <c r="BM318" s="3"/>
      <c r="BN318" s="3"/>
      <c r="BP318" s="3"/>
      <c r="BQ318" s="3"/>
      <c r="BS318" s="42" t="s">
        <v>192</v>
      </c>
    </row>
    <row r="319" spans="1:71" ht="24.9" customHeight="1" x14ac:dyDescent="0.3">
      <c r="A319" s="325">
        <v>150000861</v>
      </c>
      <c r="B319" s="849" t="s">
        <v>233</v>
      </c>
      <c r="C319" s="850">
        <v>4</v>
      </c>
      <c r="D319" s="101" t="s">
        <v>455</v>
      </c>
      <c r="E319" s="279">
        <v>3401.3999999999996</v>
      </c>
      <c r="F319" s="838">
        <v>6510.7854720027708</v>
      </c>
      <c r="G319" s="838">
        <v>67353</v>
      </c>
      <c r="H319" s="838">
        <v>60842.214527997232</v>
      </c>
      <c r="I319" s="839">
        <v>0</v>
      </c>
      <c r="J319" s="851">
        <v>9236</v>
      </c>
      <c r="K319" s="866"/>
      <c r="L319" s="839">
        <v>1</v>
      </c>
      <c r="M319" s="851">
        <v>57378</v>
      </c>
      <c r="N319" s="853"/>
      <c r="O319" s="839">
        <v>0</v>
      </c>
      <c r="P319" s="851">
        <v>0</v>
      </c>
      <c r="Q319" s="854"/>
      <c r="R319" s="839">
        <v>0</v>
      </c>
      <c r="S319" s="851">
        <v>0</v>
      </c>
      <c r="T319" s="855"/>
      <c r="U319" s="839">
        <v>0</v>
      </c>
      <c r="V319" s="851">
        <v>0</v>
      </c>
      <c r="W319" s="839">
        <v>0</v>
      </c>
      <c r="X319" s="851">
        <v>0</v>
      </c>
      <c r="Y319" s="839">
        <v>0</v>
      </c>
      <c r="Z319" s="851">
        <v>0</v>
      </c>
      <c r="AA319" s="839">
        <v>0</v>
      </c>
      <c r="AB319" s="851">
        <v>0</v>
      </c>
      <c r="AC319" s="839">
        <v>739</v>
      </c>
      <c r="AD319" s="851">
        <v>0</v>
      </c>
      <c r="AE319" s="839">
        <v>362.19421393906958</v>
      </c>
      <c r="AF319" s="851">
        <v>4774</v>
      </c>
      <c r="AG319" s="856"/>
      <c r="AH319" s="839">
        <v>524.59024174180445</v>
      </c>
      <c r="AI319" s="851">
        <v>0</v>
      </c>
      <c r="AJ319" s="856"/>
      <c r="AK319" s="839">
        <v>380.4641738473648</v>
      </c>
      <c r="AL319" s="851">
        <v>0</v>
      </c>
      <c r="AM319" s="856"/>
      <c r="AN319" s="839">
        <v>0</v>
      </c>
      <c r="AO319" s="851">
        <v>0</v>
      </c>
      <c r="AP319" s="856"/>
      <c r="AQ319" s="839">
        <v>0</v>
      </c>
      <c r="AR319" s="851">
        <v>0</v>
      </c>
      <c r="AS319" s="856"/>
      <c r="AT319" s="839">
        <v>267.01036497539843</v>
      </c>
      <c r="AU319" s="851">
        <v>1029</v>
      </c>
      <c r="AV319" s="856"/>
      <c r="AW319" s="839">
        <v>0</v>
      </c>
      <c r="AX319" s="851">
        <v>0</v>
      </c>
      <c r="AY319" s="856"/>
      <c r="AZ319" s="845">
        <v>1534.2589945036373</v>
      </c>
      <c r="BA319" s="845">
        <v>5803</v>
      </c>
      <c r="BB319" s="846">
        <v>4268.741005496363</v>
      </c>
      <c r="BD319" s="2">
        <v>2</v>
      </c>
      <c r="BF319" s="787">
        <v>11.589312640856203</v>
      </c>
      <c r="BG319" s="325">
        <v>150000861</v>
      </c>
      <c r="BI319" s="847">
        <v>0</v>
      </c>
      <c r="BJ319" s="847">
        <v>0</v>
      </c>
      <c r="BK319" s="847">
        <v>0</v>
      </c>
      <c r="BL319" s="848"/>
      <c r="BM319" s="3"/>
      <c r="BN319" s="3"/>
      <c r="BP319" s="3"/>
      <c r="BQ319" s="3"/>
      <c r="BS319" s="42" t="s">
        <v>233</v>
      </c>
    </row>
    <row r="320" spans="1:71" ht="24.9" customHeight="1" x14ac:dyDescent="0.3">
      <c r="A320" s="325">
        <v>150000872</v>
      </c>
      <c r="B320" s="849" t="s">
        <v>234</v>
      </c>
      <c r="C320" s="850">
        <v>4</v>
      </c>
      <c r="D320" s="101" t="s">
        <v>455</v>
      </c>
      <c r="E320" s="279">
        <v>1210.4000000000001</v>
      </c>
      <c r="F320" s="838">
        <v>2091.0073168983063</v>
      </c>
      <c r="G320" s="838">
        <v>3694</v>
      </c>
      <c r="H320" s="838">
        <v>1602.9926831016937</v>
      </c>
      <c r="I320" s="839">
        <v>0</v>
      </c>
      <c r="J320" s="851">
        <v>0</v>
      </c>
      <c r="K320" s="852"/>
      <c r="L320" s="839">
        <v>0</v>
      </c>
      <c r="M320" s="851">
        <v>0</v>
      </c>
      <c r="N320" s="853"/>
      <c r="O320" s="839">
        <v>0</v>
      </c>
      <c r="P320" s="851">
        <v>0</v>
      </c>
      <c r="Q320" s="854"/>
      <c r="R320" s="839">
        <v>0</v>
      </c>
      <c r="S320" s="851">
        <v>0</v>
      </c>
      <c r="T320" s="855"/>
      <c r="U320" s="839">
        <v>0</v>
      </c>
      <c r="V320" s="851">
        <v>0</v>
      </c>
      <c r="W320" s="839">
        <v>0</v>
      </c>
      <c r="X320" s="851">
        <v>0</v>
      </c>
      <c r="Y320" s="839">
        <v>0</v>
      </c>
      <c r="Z320" s="851">
        <v>0</v>
      </c>
      <c r="AA320" s="839">
        <v>0</v>
      </c>
      <c r="AB320" s="851">
        <v>0</v>
      </c>
      <c r="AC320" s="839">
        <v>3694</v>
      </c>
      <c r="AD320" s="851">
        <v>0</v>
      </c>
      <c r="AE320" s="839">
        <v>242.96787395953822</v>
      </c>
      <c r="AF320" s="851">
        <v>0</v>
      </c>
      <c r="AG320" s="856"/>
      <c r="AH320" s="839">
        <v>401.48853384265288</v>
      </c>
      <c r="AI320" s="851">
        <v>0</v>
      </c>
      <c r="AJ320" s="856"/>
      <c r="AK320" s="839">
        <v>162.10302398842919</v>
      </c>
      <c r="AL320" s="851">
        <v>0</v>
      </c>
      <c r="AM320" s="856"/>
      <c r="AN320" s="839">
        <v>72.616538247391418</v>
      </c>
      <c r="AO320" s="851">
        <v>0</v>
      </c>
      <c r="AP320" s="856"/>
      <c r="AQ320" s="839">
        <v>0</v>
      </c>
      <c r="AR320" s="851">
        <v>0</v>
      </c>
      <c r="AS320" s="856"/>
      <c r="AT320" s="839">
        <v>56.996604701232371</v>
      </c>
      <c r="AU320" s="851">
        <v>0</v>
      </c>
      <c r="AV320" s="856"/>
      <c r="AW320" s="839">
        <v>0</v>
      </c>
      <c r="AX320" s="851">
        <v>0</v>
      </c>
      <c r="AY320" s="856"/>
      <c r="AZ320" s="845">
        <v>936.17257473924406</v>
      </c>
      <c r="BA320" s="845">
        <v>0</v>
      </c>
      <c r="BB320" s="846">
        <v>-936.17257473924406</v>
      </c>
      <c r="BD320" s="2">
        <v>2</v>
      </c>
      <c r="BF320" s="787">
        <v>4.2355924011740607</v>
      </c>
      <c r="BG320" s="325">
        <v>150000872</v>
      </c>
      <c r="BI320" s="847">
        <v>0</v>
      </c>
      <c r="BJ320" s="847">
        <v>0</v>
      </c>
      <c r="BK320" s="847">
        <v>0</v>
      </c>
      <c r="BL320" s="848"/>
      <c r="BM320" s="3"/>
      <c r="BN320" s="3"/>
      <c r="BP320" s="3"/>
      <c r="BQ320" s="3"/>
      <c r="BS320" s="42" t="s">
        <v>234</v>
      </c>
    </row>
    <row r="321" spans="1:71" ht="24.9" customHeight="1" x14ac:dyDescent="0.3">
      <c r="A321" s="325">
        <v>150000862</v>
      </c>
      <c r="B321" s="849" t="s">
        <v>235</v>
      </c>
      <c r="C321" s="850">
        <v>4</v>
      </c>
      <c r="D321" s="101" t="s">
        <v>455</v>
      </c>
      <c r="E321" s="279">
        <v>4486.1000000000004</v>
      </c>
      <c r="F321" s="838">
        <v>7177.1206678136678</v>
      </c>
      <c r="G321" s="838">
        <v>99.189788717910943</v>
      </c>
      <c r="H321" s="838">
        <v>-7077.9308790957566</v>
      </c>
      <c r="I321" s="839">
        <v>0</v>
      </c>
      <c r="J321" s="851">
        <v>0</v>
      </c>
      <c r="K321" s="852"/>
      <c r="L321" s="839">
        <v>0</v>
      </c>
      <c r="M321" s="851">
        <v>0</v>
      </c>
      <c r="N321" s="853"/>
      <c r="O321" s="839">
        <v>0</v>
      </c>
      <c r="P321" s="851">
        <v>0</v>
      </c>
      <c r="Q321" s="854"/>
      <c r="R321" s="839">
        <v>0</v>
      </c>
      <c r="S321" s="851">
        <v>0</v>
      </c>
      <c r="T321" s="855"/>
      <c r="U321" s="839">
        <v>0</v>
      </c>
      <c r="V321" s="851">
        <v>0</v>
      </c>
      <c r="W321" s="839">
        <v>0</v>
      </c>
      <c r="X321" s="851">
        <v>99.189788717910943</v>
      </c>
      <c r="Y321" s="839">
        <v>0</v>
      </c>
      <c r="Z321" s="851">
        <v>0</v>
      </c>
      <c r="AA321" s="839">
        <v>0</v>
      </c>
      <c r="AB321" s="851">
        <v>0</v>
      </c>
      <c r="AC321" s="839">
        <v>0</v>
      </c>
      <c r="AD321" s="851">
        <v>0</v>
      </c>
      <c r="AE321" s="839">
        <v>429.92685568395893</v>
      </c>
      <c r="AF321" s="851">
        <v>0</v>
      </c>
      <c r="AG321" s="867"/>
      <c r="AH321" s="839">
        <v>615.50829442380814</v>
      </c>
      <c r="AI321" s="851">
        <v>0</v>
      </c>
      <c r="AJ321" s="856"/>
      <c r="AK321" s="839">
        <v>420.47370380186715</v>
      </c>
      <c r="AL321" s="851">
        <v>0</v>
      </c>
      <c r="AM321" s="856"/>
      <c r="AN321" s="839">
        <v>0</v>
      </c>
      <c r="AO321" s="851">
        <v>0</v>
      </c>
      <c r="AP321" s="856"/>
      <c r="AQ321" s="839">
        <v>0</v>
      </c>
      <c r="AR321" s="851">
        <v>0</v>
      </c>
      <c r="AS321" s="856"/>
      <c r="AT321" s="839">
        <v>0</v>
      </c>
      <c r="AU321" s="851">
        <v>0</v>
      </c>
      <c r="AV321" s="856"/>
      <c r="AW321" s="839">
        <v>0</v>
      </c>
      <c r="AX321" s="851">
        <v>0</v>
      </c>
      <c r="AY321" s="856"/>
      <c r="AZ321" s="845">
        <v>1465.9088539096342</v>
      </c>
      <c r="BA321" s="845">
        <v>0</v>
      </c>
      <c r="BB321" s="846">
        <v>-1465.9088539096342</v>
      </c>
      <c r="BD321" s="2">
        <v>2</v>
      </c>
      <c r="BF321" s="787">
        <v>196.66546254619971</v>
      </c>
      <c r="BG321" s="325">
        <v>150000862</v>
      </c>
      <c r="BI321" s="847">
        <v>45.12</v>
      </c>
      <c r="BJ321" s="847">
        <v>4.4277810026665083</v>
      </c>
      <c r="BK321" s="847">
        <v>49.547781002666504</v>
      </c>
      <c r="BL321" s="848"/>
      <c r="BM321" s="3"/>
      <c r="BN321" s="3"/>
      <c r="BP321" s="3"/>
      <c r="BQ321" s="3"/>
      <c r="BS321" s="42" t="s">
        <v>235</v>
      </c>
    </row>
    <row r="322" spans="1:71" ht="24.9" customHeight="1" x14ac:dyDescent="0.3">
      <c r="A322" s="325">
        <v>150000863</v>
      </c>
      <c r="B322" s="849" t="s">
        <v>236</v>
      </c>
      <c r="C322" s="850">
        <v>4</v>
      </c>
      <c r="D322" s="101" t="s">
        <v>455</v>
      </c>
      <c r="E322" s="279">
        <v>3322.9</v>
      </c>
      <c r="F322" s="838">
        <v>6661.9038663488545</v>
      </c>
      <c r="G322" s="838">
        <v>8370.7068252181998</v>
      </c>
      <c r="H322" s="838">
        <v>1708.8029588693453</v>
      </c>
      <c r="I322" s="839">
        <v>0</v>
      </c>
      <c r="J322" s="851">
        <v>8313</v>
      </c>
      <c r="K322" s="852"/>
      <c r="L322" s="839">
        <v>0</v>
      </c>
      <c r="M322" s="851">
        <v>0</v>
      </c>
      <c r="N322" s="853"/>
      <c r="O322" s="839">
        <v>0</v>
      </c>
      <c r="P322" s="851">
        <v>0</v>
      </c>
      <c r="Q322" s="854"/>
      <c r="R322" s="839">
        <v>0</v>
      </c>
      <c r="S322" s="851">
        <v>0</v>
      </c>
      <c r="T322" s="855"/>
      <c r="U322" s="839">
        <v>0</v>
      </c>
      <c r="V322" s="851">
        <v>0</v>
      </c>
      <c r="W322" s="839">
        <v>0</v>
      </c>
      <c r="X322" s="851">
        <v>57.706825218199526</v>
      </c>
      <c r="Y322" s="839">
        <v>0</v>
      </c>
      <c r="Z322" s="851">
        <v>0</v>
      </c>
      <c r="AA322" s="839">
        <v>0</v>
      </c>
      <c r="AB322" s="851">
        <v>0</v>
      </c>
      <c r="AC322" s="839">
        <v>0</v>
      </c>
      <c r="AD322" s="851">
        <v>0</v>
      </c>
      <c r="AE322" s="839">
        <v>333.66454642231821</v>
      </c>
      <c r="AF322" s="851">
        <v>0</v>
      </c>
      <c r="AG322" s="857"/>
      <c r="AH322" s="839">
        <v>493.65943583849338</v>
      </c>
      <c r="AI322" s="851">
        <v>0</v>
      </c>
      <c r="AJ322" s="856"/>
      <c r="AK322" s="839">
        <v>405.93418033429435</v>
      </c>
      <c r="AL322" s="851">
        <v>0</v>
      </c>
      <c r="AM322" s="856"/>
      <c r="AN322" s="839">
        <v>199.58031090607005</v>
      </c>
      <c r="AO322" s="851">
        <v>0</v>
      </c>
      <c r="AP322" s="856"/>
      <c r="AQ322" s="839">
        <v>0</v>
      </c>
      <c r="AR322" s="851">
        <v>0</v>
      </c>
      <c r="AS322" s="856"/>
      <c r="AT322" s="839">
        <v>240.41378397964613</v>
      </c>
      <c r="AU322" s="851">
        <v>0</v>
      </c>
      <c r="AV322" s="856"/>
      <c r="AW322" s="839">
        <v>0</v>
      </c>
      <c r="AX322" s="851">
        <v>0</v>
      </c>
      <c r="AY322" s="856"/>
      <c r="AZ322" s="845">
        <v>1673.252257480822</v>
      </c>
      <c r="BA322" s="845">
        <v>0</v>
      </c>
      <c r="BB322" s="846">
        <v>-1673.252257480822</v>
      </c>
      <c r="BD322" s="2">
        <v>2</v>
      </c>
      <c r="BF322" s="787">
        <v>11.223852312043734</v>
      </c>
      <c r="BG322" s="325">
        <v>150000863</v>
      </c>
      <c r="BI322" s="847">
        <v>26.25</v>
      </c>
      <c r="BJ322" s="847">
        <v>2.5760029104609008</v>
      </c>
      <c r="BK322" s="847">
        <v>28.8260029104609</v>
      </c>
      <c r="BL322" s="848"/>
      <c r="BM322" s="3"/>
      <c r="BN322" s="3"/>
      <c r="BP322" s="3"/>
      <c r="BQ322" s="3"/>
      <c r="BS322" s="42" t="s">
        <v>236</v>
      </c>
    </row>
    <row r="323" spans="1:71" ht="24.9" customHeight="1" x14ac:dyDescent="0.3">
      <c r="A323" s="325">
        <v>150000864</v>
      </c>
      <c r="B323" s="849" t="s">
        <v>201</v>
      </c>
      <c r="C323" s="850">
        <v>3</v>
      </c>
      <c r="D323" s="101" t="s">
        <v>455</v>
      </c>
      <c r="E323" s="279">
        <v>3973.0600000000004</v>
      </c>
      <c r="F323" s="838">
        <v>7406.1872865321629</v>
      </c>
      <c r="G323" s="838">
        <v>2169.2528911101849</v>
      </c>
      <c r="H323" s="838">
        <v>-5236.9343954219785</v>
      </c>
      <c r="I323" s="839">
        <v>0</v>
      </c>
      <c r="J323" s="851">
        <v>0</v>
      </c>
      <c r="K323" s="852"/>
      <c r="L323" s="839">
        <v>0</v>
      </c>
      <c r="M323" s="851">
        <v>0</v>
      </c>
      <c r="N323" s="853"/>
      <c r="O323" s="839">
        <v>0</v>
      </c>
      <c r="P323" s="851">
        <v>0</v>
      </c>
      <c r="Q323" s="854"/>
      <c r="R323" s="839">
        <v>0</v>
      </c>
      <c r="S323" s="851">
        <v>0</v>
      </c>
      <c r="T323" s="855"/>
      <c r="U323" s="839">
        <v>0</v>
      </c>
      <c r="V323" s="851">
        <v>0</v>
      </c>
      <c r="W323" s="839">
        <v>0</v>
      </c>
      <c r="X323" s="851">
        <v>44.252891110185004</v>
      </c>
      <c r="Y323" s="839">
        <v>0</v>
      </c>
      <c r="Z323" s="851">
        <v>0</v>
      </c>
      <c r="AA323" s="839">
        <v>0</v>
      </c>
      <c r="AB323" s="851">
        <v>0</v>
      </c>
      <c r="AC323" s="839">
        <v>0</v>
      </c>
      <c r="AD323" s="851">
        <v>2125</v>
      </c>
      <c r="AE323" s="839">
        <v>309.40264000821674</v>
      </c>
      <c r="AF323" s="851">
        <v>0</v>
      </c>
      <c r="AG323" s="856"/>
      <c r="AH323" s="839">
        <v>429.03011254406238</v>
      </c>
      <c r="AI323" s="851">
        <v>0</v>
      </c>
      <c r="AJ323" s="856"/>
      <c r="AK323" s="839">
        <v>540.19704455889519</v>
      </c>
      <c r="AL323" s="851">
        <v>0</v>
      </c>
      <c r="AM323" s="856"/>
      <c r="AN323" s="839">
        <v>0</v>
      </c>
      <c r="AO323" s="851">
        <v>0</v>
      </c>
      <c r="AP323" s="856"/>
      <c r="AQ323" s="839">
        <v>0</v>
      </c>
      <c r="AR323" s="851">
        <v>0</v>
      </c>
      <c r="AS323" s="856"/>
      <c r="AT323" s="839">
        <v>317.0796259884653</v>
      </c>
      <c r="AU323" s="851">
        <v>0</v>
      </c>
      <c r="AV323" s="856"/>
      <c r="AW323" s="839">
        <v>0</v>
      </c>
      <c r="AX323" s="851">
        <v>0</v>
      </c>
      <c r="AY323" s="856"/>
      <c r="AZ323" s="845">
        <v>1595.7094230996397</v>
      </c>
      <c r="BA323" s="845">
        <v>0</v>
      </c>
      <c r="BB323" s="846">
        <v>-1595.7094230996397</v>
      </c>
      <c r="BD323" s="2">
        <v>2</v>
      </c>
      <c r="BF323" s="787">
        <v>209.4842681058681</v>
      </c>
      <c r="BG323" s="325">
        <v>150000864</v>
      </c>
      <c r="BI323" s="847">
        <v>20.13</v>
      </c>
      <c r="BJ323" s="847">
        <v>1.9754262319077307</v>
      </c>
      <c r="BK323" s="847">
        <v>22.105426231907728</v>
      </c>
      <c r="BL323" s="848"/>
      <c r="BM323" s="3"/>
      <c r="BN323" s="3"/>
      <c r="BP323" s="3"/>
      <c r="BQ323" s="3"/>
      <c r="BS323" s="42" t="s">
        <v>201</v>
      </c>
    </row>
    <row r="324" spans="1:71" ht="26.25" customHeight="1" x14ac:dyDescent="0.3">
      <c r="A324" s="325">
        <v>150000865</v>
      </c>
      <c r="B324" s="849" t="s">
        <v>306</v>
      </c>
      <c r="C324" s="850">
        <v>5</v>
      </c>
      <c r="D324" s="101" t="s">
        <v>455</v>
      </c>
      <c r="E324" s="279">
        <v>9098.1</v>
      </c>
      <c r="F324" s="838">
        <v>17821.236917758972</v>
      </c>
      <c r="G324" s="838">
        <v>0</v>
      </c>
      <c r="H324" s="838">
        <v>-17821.236917758972</v>
      </c>
      <c r="I324" s="839">
        <v>0</v>
      </c>
      <c r="J324" s="851">
        <v>0</v>
      </c>
      <c r="K324" s="852"/>
      <c r="L324" s="839">
        <v>0</v>
      </c>
      <c r="M324" s="851">
        <v>0</v>
      </c>
      <c r="N324" s="853"/>
      <c r="O324" s="839">
        <v>0</v>
      </c>
      <c r="P324" s="851">
        <v>0</v>
      </c>
      <c r="Q324" s="854"/>
      <c r="R324" s="839">
        <v>0</v>
      </c>
      <c r="S324" s="851">
        <v>0</v>
      </c>
      <c r="T324" s="855"/>
      <c r="U324" s="839">
        <v>0</v>
      </c>
      <c r="V324" s="851">
        <v>0</v>
      </c>
      <c r="W324" s="839">
        <v>0</v>
      </c>
      <c r="X324" s="851">
        <v>0</v>
      </c>
      <c r="Y324" s="839">
        <v>0</v>
      </c>
      <c r="Z324" s="851">
        <v>0</v>
      </c>
      <c r="AA324" s="839">
        <v>0</v>
      </c>
      <c r="AB324" s="851">
        <v>0</v>
      </c>
      <c r="AC324" s="839">
        <v>0</v>
      </c>
      <c r="AD324" s="851">
        <v>0</v>
      </c>
      <c r="AE324" s="839">
        <v>767.84224561021233</v>
      </c>
      <c r="AF324" s="851">
        <v>848</v>
      </c>
      <c r="AG324" s="857"/>
      <c r="AH324" s="839">
        <v>1229.3462864771334</v>
      </c>
      <c r="AI324" s="851">
        <v>0</v>
      </c>
      <c r="AJ324" s="856"/>
      <c r="AK324" s="839">
        <v>1074.4919495575432</v>
      </c>
      <c r="AL324" s="851">
        <v>0</v>
      </c>
      <c r="AM324" s="856"/>
      <c r="AN324" s="839">
        <v>0</v>
      </c>
      <c r="AO324" s="851">
        <v>0</v>
      </c>
      <c r="AP324" s="856"/>
      <c r="AQ324" s="839">
        <v>0</v>
      </c>
      <c r="AR324" s="851">
        <v>0</v>
      </c>
      <c r="AS324" s="856"/>
      <c r="AT324" s="839">
        <v>743.01646728891683</v>
      </c>
      <c r="AU324" s="851">
        <v>0</v>
      </c>
      <c r="AV324" s="856"/>
      <c r="AW324" s="839">
        <v>0</v>
      </c>
      <c r="AX324" s="851">
        <v>0</v>
      </c>
      <c r="AY324" s="856"/>
      <c r="AZ324" s="845">
        <v>3814.6969489338057</v>
      </c>
      <c r="BA324" s="845">
        <v>848</v>
      </c>
      <c r="BB324" s="846">
        <v>-2966.6969489338057</v>
      </c>
      <c r="BD324" s="2">
        <v>2</v>
      </c>
      <c r="BF324" s="787">
        <v>32.117221061380242</v>
      </c>
      <c r="BG324" s="325">
        <v>150000865</v>
      </c>
      <c r="BI324" s="847">
        <v>0</v>
      </c>
      <c r="BJ324" s="847">
        <v>0</v>
      </c>
      <c r="BK324" s="847">
        <v>0</v>
      </c>
      <c r="BL324" s="848"/>
      <c r="BM324" s="3"/>
      <c r="BN324" s="3"/>
      <c r="BP324" s="3"/>
      <c r="BQ324" s="3"/>
      <c r="BS324" s="42" t="s">
        <v>306</v>
      </c>
    </row>
    <row r="325" spans="1:71" ht="24.9" customHeight="1" x14ac:dyDescent="0.3">
      <c r="A325" s="325">
        <v>150000873</v>
      </c>
      <c r="B325" s="849" t="s">
        <v>307</v>
      </c>
      <c r="C325" s="850">
        <v>5</v>
      </c>
      <c r="D325" s="101" t="s">
        <v>455</v>
      </c>
      <c r="E325" s="279">
        <v>2609.46</v>
      </c>
      <c r="F325" s="838">
        <v>4665.4019357218185</v>
      </c>
      <c r="G325" s="838">
        <v>0</v>
      </c>
      <c r="H325" s="838">
        <v>-4665.4019357218185</v>
      </c>
      <c r="I325" s="839">
        <v>0</v>
      </c>
      <c r="J325" s="851">
        <v>0</v>
      </c>
      <c r="K325" s="852"/>
      <c r="L325" s="839">
        <v>0</v>
      </c>
      <c r="M325" s="851">
        <v>0</v>
      </c>
      <c r="N325" s="853"/>
      <c r="O325" s="839">
        <v>0</v>
      </c>
      <c r="P325" s="851">
        <v>0</v>
      </c>
      <c r="Q325" s="854"/>
      <c r="R325" s="839">
        <v>0</v>
      </c>
      <c r="S325" s="851">
        <v>0</v>
      </c>
      <c r="T325" s="855"/>
      <c r="U325" s="839">
        <v>0</v>
      </c>
      <c r="V325" s="851">
        <v>0</v>
      </c>
      <c r="W325" s="839">
        <v>0</v>
      </c>
      <c r="X325" s="851">
        <v>0</v>
      </c>
      <c r="Y325" s="839">
        <v>0</v>
      </c>
      <c r="Z325" s="851">
        <v>0</v>
      </c>
      <c r="AA325" s="839">
        <v>0</v>
      </c>
      <c r="AB325" s="851">
        <v>0</v>
      </c>
      <c r="AC325" s="839">
        <v>0</v>
      </c>
      <c r="AD325" s="851">
        <v>0</v>
      </c>
      <c r="AE325" s="839">
        <v>243.81387473835781</v>
      </c>
      <c r="AF325" s="851">
        <v>0</v>
      </c>
      <c r="AG325" s="856"/>
      <c r="AH325" s="839">
        <v>370.97542606793741</v>
      </c>
      <c r="AI325" s="851">
        <v>0</v>
      </c>
      <c r="AJ325" s="856"/>
      <c r="AK325" s="839">
        <v>313.66727724597587</v>
      </c>
      <c r="AL325" s="851">
        <v>0</v>
      </c>
      <c r="AM325" s="856"/>
      <c r="AN325" s="839">
        <v>0</v>
      </c>
      <c r="AO325" s="851">
        <v>0</v>
      </c>
      <c r="AP325" s="856"/>
      <c r="AQ325" s="839">
        <v>0</v>
      </c>
      <c r="AR325" s="851">
        <v>0</v>
      </c>
      <c r="AS325" s="856"/>
      <c r="AT325" s="839">
        <v>118.21256501765102</v>
      </c>
      <c r="AU325" s="851">
        <v>0</v>
      </c>
      <c r="AV325" s="856"/>
      <c r="AW325" s="839">
        <v>0</v>
      </c>
      <c r="AX325" s="851">
        <v>0</v>
      </c>
      <c r="AY325" s="856"/>
      <c r="AZ325" s="845">
        <v>1046.669143069922</v>
      </c>
      <c r="BA325" s="845">
        <v>0</v>
      </c>
      <c r="BB325" s="846">
        <v>-1046.669143069922</v>
      </c>
      <c r="BD325" s="2">
        <v>2</v>
      </c>
      <c r="BF325" s="787">
        <v>9.1389948214948564</v>
      </c>
      <c r="BG325" s="325">
        <v>150000873</v>
      </c>
      <c r="BI325" s="847">
        <v>0</v>
      </c>
      <c r="BJ325" s="847">
        <v>0</v>
      </c>
      <c r="BK325" s="847">
        <v>0</v>
      </c>
      <c r="BL325" s="848"/>
      <c r="BM325" s="3"/>
      <c r="BN325" s="3"/>
      <c r="BP325" s="3"/>
      <c r="BQ325" s="3"/>
      <c r="BS325" s="42" t="s">
        <v>307</v>
      </c>
    </row>
    <row r="326" spans="1:71" ht="24.9" customHeight="1" x14ac:dyDescent="0.3">
      <c r="A326" s="325">
        <v>150000874</v>
      </c>
      <c r="B326" s="849" t="s">
        <v>308</v>
      </c>
      <c r="C326" s="850">
        <v>5</v>
      </c>
      <c r="D326" s="101" t="s">
        <v>455</v>
      </c>
      <c r="E326" s="279">
        <v>2619.3000000000002</v>
      </c>
      <c r="F326" s="838">
        <v>4936.2947533393517</v>
      </c>
      <c r="G326" s="838">
        <v>0</v>
      </c>
      <c r="H326" s="838">
        <v>-4936.2947533393517</v>
      </c>
      <c r="I326" s="839">
        <v>0</v>
      </c>
      <c r="J326" s="851">
        <v>0</v>
      </c>
      <c r="K326" s="852"/>
      <c r="L326" s="839">
        <v>0</v>
      </c>
      <c r="M326" s="851">
        <v>0</v>
      </c>
      <c r="N326" s="853"/>
      <c r="O326" s="839">
        <v>0</v>
      </c>
      <c r="P326" s="851">
        <v>0</v>
      </c>
      <c r="Q326" s="854"/>
      <c r="R326" s="839">
        <v>0</v>
      </c>
      <c r="S326" s="851">
        <v>0</v>
      </c>
      <c r="T326" s="855"/>
      <c r="U326" s="839">
        <v>0</v>
      </c>
      <c r="V326" s="851">
        <v>0</v>
      </c>
      <c r="W326" s="839">
        <v>0</v>
      </c>
      <c r="X326" s="851">
        <v>0</v>
      </c>
      <c r="Y326" s="839">
        <v>0</v>
      </c>
      <c r="Z326" s="851">
        <v>0</v>
      </c>
      <c r="AA326" s="839">
        <v>0</v>
      </c>
      <c r="AB326" s="851">
        <v>0</v>
      </c>
      <c r="AC326" s="839">
        <v>0</v>
      </c>
      <c r="AD326" s="851">
        <v>0</v>
      </c>
      <c r="AE326" s="839">
        <v>235.2159873626965</v>
      </c>
      <c r="AF326" s="851">
        <v>253</v>
      </c>
      <c r="AG326" s="856"/>
      <c r="AH326" s="839">
        <v>370.97542606793741</v>
      </c>
      <c r="AI326" s="851">
        <v>0</v>
      </c>
      <c r="AJ326" s="856"/>
      <c r="AK326" s="839">
        <v>279.88110539235134</v>
      </c>
      <c r="AL326" s="851">
        <v>0</v>
      </c>
      <c r="AM326" s="856"/>
      <c r="AN326" s="839">
        <v>131.41230815033148</v>
      </c>
      <c r="AO326" s="851">
        <v>0</v>
      </c>
      <c r="AP326" s="856"/>
      <c r="AQ326" s="839">
        <v>89.960355179059135</v>
      </c>
      <c r="AR326" s="851">
        <v>0</v>
      </c>
      <c r="AS326" s="856"/>
      <c r="AT326" s="839">
        <v>118.21257789507058</v>
      </c>
      <c r="AU326" s="851">
        <v>0</v>
      </c>
      <c r="AV326" s="856"/>
      <c r="AW326" s="839">
        <v>0</v>
      </c>
      <c r="AX326" s="851">
        <v>0</v>
      </c>
      <c r="AY326" s="856"/>
      <c r="AZ326" s="845">
        <v>1225.6577600474466</v>
      </c>
      <c r="BA326" s="845">
        <v>253</v>
      </c>
      <c r="BB326" s="846">
        <v>-972.65776004744657</v>
      </c>
      <c r="BD326" s="2">
        <v>2</v>
      </c>
      <c r="BF326" s="787">
        <v>44.296989797762343</v>
      </c>
      <c r="BG326" s="325">
        <v>150000874</v>
      </c>
      <c r="BI326" s="847">
        <v>0</v>
      </c>
      <c r="BJ326" s="847">
        <v>0</v>
      </c>
      <c r="BK326" s="847">
        <v>0</v>
      </c>
      <c r="BL326" s="848"/>
      <c r="BM326" s="3"/>
      <c r="BN326" s="3"/>
      <c r="BP326" s="3"/>
      <c r="BQ326" s="3"/>
      <c r="BS326" s="42" t="s">
        <v>308</v>
      </c>
    </row>
    <row r="327" spans="1:71" ht="24.9" customHeight="1" x14ac:dyDescent="0.3">
      <c r="A327" s="325">
        <v>150000866</v>
      </c>
      <c r="B327" s="849" t="s">
        <v>309</v>
      </c>
      <c r="C327" s="850">
        <v>5</v>
      </c>
      <c r="D327" s="101" t="s">
        <v>455</v>
      </c>
      <c r="E327" s="279">
        <v>5026.5</v>
      </c>
      <c r="F327" s="838">
        <v>9233.3596955533867</v>
      </c>
      <c r="G327" s="838">
        <v>2678</v>
      </c>
      <c r="H327" s="838">
        <v>-6555.3596955533867</v>
      </c>
      <c r="I327" s="839">
        <v>0</v>
      </c>
      <c r="J327" s="851">
        <v>2678</v>
      </c>
      <c r="K327" s="852"/>
      <c r="L327" s="839">
        <v>0</v>
      </c>
      <c r="M327" s="851">
        <v>0</v>
      </c>
      <c r="N327" s="858"/>
      <c r="O327" s="839">
        <v>0</v>
      </c>
      <c r="P327" s="851">
        <v>0</v>
      </c>
      <c r="Q327" s="854"/>
      <c r="R327" s="839">
        <v>0</v>
      </c>
      <c r="S327" s="851">
        <v>0</v>
      </c>
      <c r="T327" s="855"/>
      <c r="U327" s="839">
        <v>0</v>
      </c>
      <c r="V327" s="851">
        <v>0</v>
      </c>
      <c r="W327" s="839">
        <v>0</v>
      </c>
      <c r="X327" s="851">
        <v>0</v>
      </c>
      <c r="Y327" s="839">
        <v>0</v>
      </c>
      <c r="Z327" s="851">
        <v>0</v>
      </c>
      <c r="AA327" s="839">
        <v>0</v>
      </c>
      <c r="AB327" s="851">
        <v>0</v>
      </c>
      <c r="AC327" s="839">
        <v>0</v>
      </c>
      <c r="AD327" s="851">
        <v>0</v>
      </c>
      <c r="AE327" s="839">
        <v>536.98858182502408</v>
      </c>
      <c r="AF327" s="851">
        <v>710</v>
      </c>
      <c r="AG327" s="856"/>
      <c r="AH327" s="839">
        <v>735.63830986835274</v>
      </c>
      <c r="AI327" s="851">
        <v>2267</v>
      </c>
      <c r="AJ327" s="856"/>
      <c r="AK327" s="839">
        <v>498.87522422955419</v>
      </c>
      <c r="AL327" s="851">
        <v>0</v>
      </c>
      <c r="AM327" s="856"/>
      <c r="AN327" s="839">
        <v>0</v>
      </c>
      <c r="AO327" s="851">
        <v>0</v>
      </c>
      <c r="AP327" s="856"/>
      <c r="AQ327" s="839">
        <v>0</v>
      </c>
      <c r="AR327" s="851">
        <v>0</v>
      </c>
      <c r="AS327" s="856"/>
      <c r="AT327" s="839">
        <v>321.34271961888942</v>
      </c>
      <c r="AU327" s="851">
        <v>0</v>
      </c>
      <c r="AV327" s="856"/>
      <c r="AW327" s="839">
        <v>237.68739725384614</v>
      </c>
      <c r="AX327" s="851">
        <v>0</v>
      </c>
      <c r="AY327" s="856"/>
      <c r="AZ327" s="845">
        <v>2330.5322327956665</v>
      </c>
      <c r="BA327" s="845">
        <v>2977</v>
      </c>
      <c r="BB327" s="846">
        <v>646.46776720433354</v>
      </c>
      <c r="BD327" s="2">
        <v>1</v>
      </c>
      <c r="BF327" s="787">
        <v>295.6438949142547</v>
      </c>
      <c r="BG327" s="325">
        <v>150000866</v>
      </c>
      <c r="BI327" s="847">
        <v>0</v>
      </c>
      <c r="BJ327" s="847">
        <v>0</v>
      </c>
      <c r="BK327" s="847">
        <v>0</v>
      </c>
      <c r="BL327" s="848"/>
      <c r="BM327" s="3"/>
      <c r="BN327" s="3"/>
      <c r="BP327" s="3"/>
      <c r="BQ327" s="3"/>
      <c r="BS327" s="42" t="s">
        <v>309</v>
      </c>
    </row>
    <row r="328" spans="1:71" ht="24.9" customHeight="1" x14ac:dyDescent="0.3">
      <c r="A328" s="325">
        <v>150000867</v>
      </c>
      <c r="B328" s="849" t="s">
        <v>310</v>
      </c>
      <c r="C328" s="850">
        <v>5</v>
      </c>
      <c r="D328" s="101" t="s">
        <v>455</v>
      </c>
      <c r="E328" s="279">
        <v>2840.51</v>
      </c>
      <c r="F328" s="838">
        <v>3775.4779419759097</v>
      </c>
      <c r="G328" s="838">
        <v>417</v>
      </c>
      <c r="H328" s="838">
        <v>-3358.4779419759097</v>
      </c>
      <c r="I328" s="839">
        <v>0</v>
      </c>
      <c r="J328" s="851">
        <v>417</v>
      </c>
      <c r="K328" s="852"/>
      <c r="L328" s="839">
        <v>0</v>
      </c>
      <c r="M328" s="851">
        <v>0</v>
      </c>
      <c r="N328" s="853"/>
      <c r="O328" s="839">
        <v>0</v>
      </c>
      <c r="P328" s="851">
        <v>0</v>
      </c>
      <c r="Q328" s="854"/>
      <c r="R328" s="839">
        <v>0</v>
      </c>
      <c r="S328" s="851">
        <v>0</v>
      </c>
      <c r="T328" s="855"/>
      <c r="U328" s="839">
        <v>0</v>
      </c>
      <c r="V328" s="851">
        <v>0</v>
      </c>
      <c r="W328" s="839">
        <v>0</v>
      </c>
      <c r="X328" s="851">
        <v>0</v>
      </c>
      <c r="Y328" s="839">
        <v>0</v>
      </c>
      <c r="Z328" s="851">
        <v>0</v>
      </c>
      <c r="AA328" s="839">
        <v>0</v>
      </c>
      <c r="AB328" s="851">
        <v>0</v>
      </c>
      <c r="AC328" s="839">
        <v>0</v>
      </c>
      <c r="AD328" s="851">
        <v>0</v>
      </c>
      <c r="AE328" s="839">
        <v>260.74742636054094</v>
      </c>
      <c r="AF328" s="851">
        <v>0</v>
      </c>
      <c r="AG328" s="856"/>
      <c r="AH328" s="839">
        <v>377.33626403379481</v>
      </c>
      <c r="AI328" s="851">
        <v>0</v>
      </c>
      <c r="AJ328" s="856"/>
      <c r="AK328" s="839">
        <v>286.46913740690536</v>
      </c>
      <c r="AL328" s="851">
        <v>0</v>
      </c>
      <c r="AM328" s="856"/>
      <c r="AN328" s="839">
        <v>0</v>
      </c>
      <c r="AO328" s="851">
        <v>0</v>
      </c>
      <c r="AP328" s="856"/>
      <c r="AQ328" s="839">
        <v>0</v>
      </c>
      <c r="AR328" s="851">
        <v>0</v>
      </c>
      <c r="AS328" s="856"/>
      <c r="AT328" s="839">
        <v>122.81870137610875</v>
      </c>
      <c r="AU328" s="851">
        <v>0</v>
      </c>
      <c r="AV328" s="856"/>
      <c r="AW328" s="839">
        <v>119.34310272027908</v>
      </c>
      <c r="AX328" s="851">
        <v>0</v>
      </c>
      <c r="AY328" s="856"/>
      <c r="AZ328" s="845">
        <v>1166.714631897629</v>
      </c>
      <c r="BA328" s="845">
        <v>0</v>
      </c>
      <c r="BB328" s="846">
        <v>-1166.714631897629</v>
      </c>
      <c r="BD328" s="2">
        <v>1</v>
      </c>
      <c r="BF328" s="787">
        <v>197.49539999680542</v>
      </c>
      <c r="BG328" s="325">
        <v>150000867</v>
      </c>
      <c r="BI328" s="847">
        <v>0</v>
      </c>
      <c r="BJ328" s="847">
        <v>0</v>
      </c>
      <c r="BK328" s="847">
        <v>0</v>
      </c>
      <c r="BL328" s="848"/>
      <c r="BM328" s="3"/>
      <c r="BN328" s="3"/>
      <c r="BP328" s="3"/>
      <c r="BQ328" s="3"/>
      <c r="BS328" s="42" t="s">
        <v>310</v>
      </c>
    </row>
    <row r="329" spans="1:71" ht="24.9" customHeight="1" x14ac:dyDescent="0.3">
      <c r="A329" s="325">
        <v>150000868</v>
      </c>
      <c r="B329" s="849" t="s">
        <v>311</v>
      </c>
      <c r="C329" s="850">
        <v>5</v>
      </c>
      <c r="D329" s="101" t="s">
        <v>455</v>
      </c>
      <c r="E329" s="279">
        <v>3295.38</v>
      </c>
      <c r="F329" s="838">
        <v>4717.2020944824671</v>
      </c>
      <c r="G329" s="838">
        <v>459.9558615148045</v>
      </c>
      <c r="H329" s="838">
        <v>-4257.2462329676628</v>
      </c>
      <c r="I329" s="839">
        <v>0</v>
      </c>
      <c r="J329" s="851">
        <v>417</v>
      </c>
      <c r="K329" s="852"/>
      <c r="L329" s="839">
        <v>0</v>
      </c>
      <c r="M329" s="851">
        <v>0</v>
      </c>
      <c r="N329" s="853"/>
      <c r="O329" s="839">
        <v>0</v>
      </c>
      <c r="P329" s="851">
        <v>0</v>
      </c>
      <c r="Q329" s="854"/>
      <c r="R329" s="839">
        <v>0</v>
      </c>
      <c r="S329" s="851">
        <v>0</v>
      </c>
      <c r="T329" s="855"/>
      <c r="U329" s="839">
        <v>0</v>
      </c>
      <c r="V329" s="851">
        <v>0</v>
      </c>
      <c r="W329" s="839">
        <v>0</v>
      </c>
      <c r="X329" s="851">
        <v>42.955861514804525</v>
      </c>
      <c r="Y329" s="839">
        <v>0</v>
      </c>
      <c r="Z329" s="851">
        <v>0</v>
      </c>
      <c r="AA329" s="839">
        <v>0</v>
      </c>
      <c r="AB329" s="851">
        <v>0</v>
      </c>
      <c r="AC329" s="839">
        <v>0</v>
      </c>
      <c r="AD329" s="851">
        <v>0</v>
      </c>
      <c r="AE329" s="839">
        <v>326.06781225211932</v>
      </c>
      <c r="AF329" s="851">
        <v>0</v>
      </c>
      <c r="AG329" s="856"/>
      <c r="AH329" s="839">
        <v>492.56202672116706</v>
      </c>
      <c r="AI329" s="851">
        <v>0</v>
      </c>
      <c r="AJ329" s="867"/>
      <c r="AK329" s="839">
        <v>300.2074328718092</v>
      </c>
      <c r="AL329" s="851">
        <v>0</v>
      </c>
      <c r="AM329" s="856"/>
      <c r="AN329" s="839">
        <v>0</v>
      </c>
      <c r="AO329" s="851">
        <v>0</v>
      </c>
      <c r="AP329" s="856"/>
      <c r="AQ329" s="839">
        <v>0</v>
      </c>
      <c r="AR329" s="851">
        <v>0</v>
      </c>
      <c r="AS329" s="856"/>
      <c r="AT329" s="839">
        <v>176.52030214061796</v>
      </c>
      <c r="AU329" s="851">
        <v>0</v>
      </c>
      <c r="AV329" s="882"/>
      <c r="AW329" s="839">
        <v>107.05787424455717</v>
      </c>
      <c r="AX329" s="851">
        <v>0</v>
      </c>
      <c r="AY329" s="856"/>
      <c r="AZ329" s="845">
        <v>1402.4154482302706</v>
      </c>
      <c r="BA329" s="845">
        <v>0</v>
      </c>
      <c r="BB329" s="846">
        <v>-1402.4154482302706</v>
      </c>
      <c r="BD329" s="2">
        <v>1</v>
      </c>
      <c r="BF329" s="787">
        <v>43.043576078737161</v>
      </c>
      <c r="BG329" s="325">
        <v>150000868</v>
      </c>
      <c r="BI329" s="847">
        <v>19.54</v>
      </c>
      <c r="BJ329" s="847">
        <v>1.9175274998249903</v>
      </c>
      <c r="BK329" s="847">
        <v>21.457527499824991</v>
      </c>
      <c r="BL329" s="848"/>
      <c r="BM329" s="3"/>
      <c r="BN329" s="3"/>
      <c r="BP329" s="3"/>
      <c r="BQ329" s="3"/>
      <c r="BS329" s="42" t="s">
        <v>311</v>
      </c>
    </row>
    <row r="330" spans="1:71" ht="24.9" customHeight="1" x14ac:dyDescent="0.3">
      <c r="A330" s="325">
        <v>150000869</v>
      </c>
      <c r="B330" s="849" t="s">
        <v>312</v>
      </c>
      <c r="C330" s="850">
        <v>5</v>
      </c>
      <c r="D330" s="101" t="s">
        <v>455</v>
      </c>
      <c r="E330" s="279">
        <v>5761.1900000000005</v>
      </c>
      <c r="F330" s="838">
        <v>13481.383032372123</v>
      </c>
      <c r="G330" s="838">
        <v>0</v>
      </c>
      <c r="H330" s="838">
        <v>-13481.383032372123</v>
      </c>
      <c r="I330" s="839">
        <v>0</v>
      </c>
      <c r="J330" s="851">
        <v>0</v>
      </c>
      <c r="K330" s="852"/>
      <c r="L330" s="839">
        <v>0</v>
      </c>
      <c r="M330" s="851">
        <v>0</v>
      </c>
      <c r="N330" s="873"/>
      <c r="O330" s="839">
        <v>0</v>
      </c>
      <c r="P330" s="851">
        <v>0</v>
      </c>
      <c r="Q330" s="854"/>
      <c r="R330" s="839">
        <v>0</v>
      </c>
      <c r="S330" s="851">
        <v>0</v>
      </c>
      <c r="T330" s="855"/>
      <c r="U330" s="839">
        <v>0</v>
      </c>
      <c r="V330" s="851">
        <v>0</v>
      </c>
      <c r="W330" s="839">
        <v>0</v>
      </c>
      <c r="X330" s="851">
        <v>0</v>
      </c>
      <c r="Y330" s="839">
        <v>0</v>
      </c>
      <c r="Z330" s="851">
        <v>0</v>
      </c>
      <c r="AA330" s="839">
        <v>0</v>
      </c>
      <c r="AB330" s="851">
        <v>0</v>
      </c>
      <c r="AC330" s="839">
        <v>0</v>
      </c>
      <c r="AD330" s="851">
        <v>0</v>
      </c>
      <c r="AE330" s="839">
        <v>542.09011909004789</v>
      </c>
      <c r="AF330" s="851">
        <v>0</v>
      </c>
      <c r="AG330" s="856"/>
      <c r="AH330" s="839">
        <v>850.60757030285652</v>
      </c>
      <c r="AI330" s="851">
        <v>1624</v>
      </c>
      <c r="AJ330" s="867"/>
      <c r="AK330" s="839">
        <v>489.80949694715548</v>
      </c>
      <c r="AL330" s="851">
        <v>0</v>
      </c>
      <c r="AM330" s="856"/>
      <c r="AN330" s="839">
        <v>271.06661852588115</v>
      </c>
      <c r="AO330" s="851">
        <v>0</v>
      </c>
      <c r="AP330" s="856"/>
      <c r="AQ330" s="839">
        <v>209.85895464751857</v>
      </c>
      <c r="AR330" s="851">
        <v>0</v>
      </c>
      <c r="AS330" s="856"/>
      <c r="AT330" s="839">
        <v>427.20193121784132</v>
      </c>
      <c r="AU330" s="851">
        <v>0</v>
      </c>
      <c r="AV330" s="857"/>
      <c r="AW330" s="839">
        <v>232.06982656797737</v>
      </c>
      <c r="AX330" s="851">
        <v>0</v>
      </c>
      <c r="AY330" s="856"/>
      <c r="AZ330" s="845">
        <v>3022.7045172992785</v>
      </c>
      <c r="BA330" s="845">
        <v>1624</v>
      </c>
      <c r="BB330" s="846">
        <v>-1398.7045172992785</v>
      </c>
      <c r="BD330" s="2">
        <v>1</v>
      </c>
      <c r="BF330" s="787">
        <v>81.34884083130153</v>
      </c>
      <c r="BG330" s="325">
        <v>150000869</v>
      </c>
      <c r="BI330" s="847">
        <v>0</v>
      </c>
      <c r="BJ330" s="847">
        <v>0</v>
      </c>
      <c r="BK330" s="847">
        <v>0</v>
      </c>
      <c r="BL330" s="848"/>
      <c r="BM330" s="3"/>
      <c r="BN330" s="3"/>
      <c r="BP330" s="3"/>
      <c r="BQ330" s="3"/>
      <c r="BS330" s="42" t="s">
        <v>312</v>
      </c>
    </row>
    <row r="331" spans="1:71" ht="24.9" customHeight="1" x14ac:dyDescent="0.3">
      <c r="A331" s="325">
        <v>150000875</v>
      </c>
      <c r="B331" s="849" t="s">
        <v>313</v>
      </c>
      <c r="C331" s="850">
        <v>5</v>
      </c>
      <c r="D331" s="101" t="s">
        <v>455</v>
      </c>
      <c r="E331" s="279">
        <v>3190.1</v>
      </c>
      <c r="F331" s="838">
        <v>5950.6543204209074</v>
      </c>
      <c r="G331" s="838">
        <v>0</v>
      </c>
      <c r="H331" s="838">
        <v>-5950.6543204209074</v>
      </c>
      <c r="I331" s="839">
        <v>0</v>
      </c>
      <c r="J331" s="851">
        <v>0</v>
      </c>
      <c r="K331" s="852"/>
      <c r="L331" s="839">
        <v>0</v>
      </c>
      <c r="M331" s="851">
        <v>0</v>
      </c>
      <c r="N331" s="853"/>
      <c r="O331" s="839">
        <v>0</v>
      </c>
      <c r="P331" s="851">
        <v>0</v>
      </c>
      <c r="Q331" s="854"/>
      <c r="R331" s="839">
        <v>0</v>
      </c>
      <c r="S331" s="851">
        <v>0</v>
      </c>
      <c r="T331" s="855"/>
      <c r="U331" s="839">
        <v>0</v>
      </c>
      <c r="V331" s="851">
        <v>0</v>
      </c>
      <c r="W331" s="839">
        <v>0</v>
      </c>
      <c r="X331" s="851">
        <v>0</v>
      </c>
      <c r="Y331" s="839">
        <v>0</v>
      </c>
      <c r="Z331" s="851">
        <v>0</v>
      </c>
      <c r="AA331" s="839">
        <v>0</v>
      </c>
      <c r="AB331" s="851">
        <v>0</v>
      </c>
      <c r="AC331" s="839">
        <v>0</v>
      </c>
      <c r="AD331" s="851">
        <v>0</v>
      </c>
      <c r="AE331" s="839">
        <v>356.05503281979952</v>
      </c>
      <c r="AF331" s="851">
        <v>0</v>
      </c>
      <c r="AG331" s="856"/>
      <c r="AH331" s="839">
        <v>553.69522338747106</v>
      </c>
      <c r="AI331" s="851">
        <v>0</v>
      </c>
      <c r="AJ331" s="856"/>
      <c r="AK331" s="839">
        <v>316.94103982577809</v>
      </c>
      <c r="AL331" s="851">
        <v>0</v>
      </c>
      <c r="AM331" s="856"/>
      <c r="AN331" s="839">
        <v>0</v>
      </c>
      <c r="AO331" s="851">
        <v>0</v>
      </c>
      <c r="AP331" s="856"/>
      <c r="AQ331" s="839">
        <v>0</v>
      </c>
      <c r="AR331" s="851">
        <v>0</v>
      </c>
      <c r="AS331" s="856"/>
      <c r="AT331" s="839">
        <v>174.41860246110207</v>
      </c>
      <c r="AU331" s="851">
        <v>0</v>
      </c>
      <c r="AV331" s="856"/>
      <c r="AW331" s="839">
        <v>200.88589227223855</v>
      </c>
      <c r="AX331" s="851">
        <v>0</v>
      </c>
      <c r="AY331" s="856"/>
      <c r="AZ331" s="845">
        <v>1601.9957907663895</v>
      </c>
      <c r="BA331" s="845">
        <v>0</v>
      </c>
      <c r="BB331" s="846">
        <v>-1601.9957907663895</v>
      </c>
      <c r="BD331" s="2">
        <v>1</v>
      </c>
      <c r="BF331" s="787">
        <v>22.462093812764639</v>
      </c>
      <c r="BG331" s="325">
        <v>150000875</v>
      </c>
      <c r="BI331" s="847">
        <v>0</v>
      </c>
      <c r="BJ331" s="847">
        <v>0</v>
      </c>
      <c r="BK331" s="847">
        <v>0</v>
      </c>
      <c r="BL331" s="848"/>
      <c r="BM331" s="3"/>
      <c r="BN331" s="3"/>
      <c r="BP331" s="3"/>
      <c r="BQ331" s="3"/>
      <c r="BS331" s="42" t="s">
        <v>313</v>
      </c>
    </row>
    <row r="332" spans="1:71" ht="24.9" customHeight="1" x14ac:dyDescent="0.3">
      <c r="A332" s="325">
        <v>150000871</v>
      </c>
      <c r="B332" s="862" t="s">
        <v>141</v>
      </c>
      <c r="C332" s="863">
        <v>1</v>
      </c>
      <c r="D332" s="101" t="s">
        <v>455</v>
      </c>
      <c r="E332" s="279">
        <v>152.6</v>
      </c>
      <c r="F332" s="838">
        <v>371.67113217406614</v>
      </c>
      <c r="G332" s="838">
        <v>0</v>
      </c>
      <c r="H332" s="838">
        <v>-371.67113217406614</v>
      </c>
      <c r="I332" s="839">
        <v>0</v>
      </c>
      <c r="J332" s="851">
        <v>0</v>
      </c>
      <c r="K332" s="852"/>
      <c r="L332" s="839">
        <v>0</v>
      </c>
      <c r="M332" s="851">
        <v>0</v>
      </c>
      <c r="N332" s="853"/>
      <c r="O332" s="839">
        <v>0</v>
      </c>
      <c r="P332" s="851">
        <v>0</v>
      </c>
      <c r="Q332" s="854"/>
      <c r="R332" s="839">
        <v>0</v>
      </c>
      <c r="S332" s="851">
        <v>0</v>
      </c>
      <c r="T332" s="855"/>
      <c r="U332" s="839">
        <v>0</v>
      </c>
      <c r="V332" s="851">
        <v>0</v>
      </c>
      <c r="W332" s="839">
        <v>0</v>
      </c>
      <c r="X332" s="851">
        <v>0</v>
      </c>
      <c r="Y332" s="839">
        <v>0</v>
      </c>
      <c r="Z332" s="851">
        <v>0</v>
      </c>
      <c r="AA332" s="839">
        <v>0</v>
      </c>
      <c r="AB332" s="851">
        <v>0</v>
      </c>
      <c r="AC332" s="839">
        <v>0</v>
      </c>
      <c r="AD332" s="851">
        <v>0</v>
      </c>
      <c r="AE332" s="839">
        <v>0</v>
      </c>
      <c r="AF332" s="851">
        <v>0</v>
      </c>
      <c r="AG332" s="856"/>
      <c r="AH332" s="839">
        <v>0</v>
      </c>
      <c r="AI332" s="851">
        <v>0</v>
      </c>
      <c r="AJ332" s="856"/>
      <c r="AK332" s="839">
        <v>0</v>
      </c>
      <c r="AL332" s="851">
        <v>0</v>
      </c>
      <c r="AM332" s="856"/>
      <c r="AN332" s="839">
        <v>0</v>
      </c>
      <c r="AO332" s="851">
        <v>0</v>
      </c>
      <c r="AP332" s="856"/>
      <c r="AQ332" s="839">
        <v>0</v>
      </c>
      <c r="AR332" s="851">
        <v>0</v>
      </c>
      <c r="AS332" s="856"/>
      <c r="AT332" s="839">
        <v>0</v>
      </c>
      <c r="AU332" s="851">
        <v>0</v>
      </c>
      <c r="AV332" s="856"/>
      <c r="AW332" s="839">
        <v>0</v>
      </c>
      <c r="AX332" s="851">
        <v>0</v>
      </c>
      <c r="AY332" s="856"/>
      <c r="AZ332" s="845">
        <v>0</v>
      </c>
      <c r="BA332" s="845">
        <v>0</v>
      </c>
      <c r="BB332" s="846">
        <v>0</v>
      </c>
      <c r="BD332" s="2">
        <v>2</v>
      </c>
      <c r="BF332" s="787">
        <v>0</v>
      </c>
      <c r="BG332" s="325">
        <v>150000871</v>
      </c>
      <c r="BI332" s="847">
        <v>0</v>
      </c>
      <c r="BJ332" s="847">
        <v>0</v>
      </c>
      <c r="BK332" s="847">
        <v>0</v>
      </c>
      <c r="BL332" s="848"/>
      <c r="BM332" s="3"/>
      <c r="BN332" s="3"/>
      <c r="BP332" s="3"/>
      <c r="BQ332" s="3"/>
      <c r="BS332" s="42" t="s">
        <v>141</v>
      </c>
    </row>
    <row r="333" spans="1:71" ht="24.9" customHeight="1" x14ac:dyDescent="0.3">
      <c r="A333" s="325">
        <v>150000886</v>
      </c>
      <c r="B333" s="849" t="s">
        <v>397</v>
      </c>
      <c r="C333" s="850">
        <v>9</v>
      </c>
      <c r="D333" s="101" t="s">
        <v>455</v>
      </c>
      <c r="E333" s="279">
        <v>2133.27</v>
      </c>
      <c r="F333" s="838">
        <v>5252.7729232824277</v>
      </c>
      <c r="G333" s="838">
        <v>135.2320854864501</v>
      </c>
      <c r="H333" s="838">
        <v>-5117.5408377959775</v>
      </c>
      <c r="I333" s="839">
        <v>0</v>
      </c>
      <c r="J333" s="851">
        <v>0</v>
      </c>
      <c r="K333" s="852"/>
      <c r="L333" s="839">
        <v>0</v>
      </c>
      <c r="M333" s="851">
        <v>0</v>
      </c>
      <c r="N333" s="853"/>
      <c r="O333" s="839">
        <v>0</v>
      </c>
      <c r="P333" s="851">
        <v>0</v>
      </c>
      <c r="Q333" s="854"/>
      <c r="R333" s="839">
        <v>0</v>
      </c>
      <c r="S333" s="851">
        <v>0</v>
      </c>
      <c r="T333" s="860"/>
      <c r="U333" s="839">
        <v>0</v>
      </c>
      <c r="V333" s="851">
        <v>0</v>
      </c>
      <c r="W333" s="839">
        <v>0</v>
      </c>
      <c r="X333" s="851">
        <v>5.2320854864500905</v>
      </c>
      <c r="Y333" s="839">
        <v>0</v>
      </c>
      <c r="Z333" s="851">
        <v>0</v>
      </c>
      <c r="AA333" s="839">
        <v>0</v>
      </c>
      <c r="AB333" s="851">
        <v>0</v>
      </c>
      <c r="AC333" s="839">
        <v>0</v>
      </c>
      <c r="AD333" s="851">
        <v>130</v>
      </c>
      <c r="AE333" s="839">
        <v>72.145296138836983</v>
      </c>
      <c r="AF333" s="851">
        <v>0</v>
      </c>
      <c r="AG333" s="867"/>
      <c r="AH333" s="839">
        <v>84.872810033977956</v>
      </c>
      <c r="AI333" s="851">
        <v>0</v>
      </c>
      <c r="AJ333" s="867"/>
      <c r="AK333" s="839">
        <v>109.49441663650556</v>
      </c>
      <c r="AL333" s="851">
        <v>0</v>
      </c>
      <c r="AM333" s="856"/>
      <c r="AN333" s="839">
        <v>57.686128782423815</v>
      </c>
      <c r="AO333" s="851">
        <v>0</v>
      </c>
      <c r="AP333" s="856"/>
      <c r="AQ333" s="839">
        <v>26.384494126153122</v>
      </c>
      <c r="AR333" s="851">
        <v>0</v>
      </c>
      <c r="AS333" s="856"/>
      <c r="AT333" s="839">
        <v>53.107231388226225</v>
      </c>
      <c r="AU333" s="851">
        <v>0</v>
      </c>
      <c r="AV333" s="856"/>
      <c r="AW333" s="839">
        <v>0</v>
      </c>
      <c r="AX333" s="851">
        <v>0</v>
      </c>
      <c r="AY333" s="856"/>
      <c r="AZ333" s="845">
        <v>403.69037710612366</v>
      </c>
      <c r="BA333" s="845">
        <v>0</v>
      </c>
      <c r="BB333" s="846">
        <v>-403.69037710612366</v>
      </c>
      <c r="BD333" s="2">
        <v>2</v>
      </c>
      <c r="BF333" s="787">
        <v>7.4712559237736276</v>
      </c>
      <c r="BG333" s="325">
        <v>150000886</v>
      </c>
      <c r="BI333" s="847">
        <v>2.38</v>
      </c>
      <c r="BJ333" s="847">
        <v>0.23355759721512165</v>
      </c>
      <c r="BK333" s="847">
        <v>2.6135575972151215</v>
      </c>
      <c r="BL333" s="848"/>
      <c r="BM333" s="3"/>
      <c r="BN333" s="3"/>
      <c r="BP333" s="3"/>
      <c r="BQ333" s="3"/>
      <c r="BS333" s="42" t="s">
        <v>397</v>
      </c>
    </row>
    <row r="334" spans="1:71" ht="24.9" customHeight="1" x14ac:dyDescent="0.3">
      <c r="A334" s="325">
        <v>150000887</v>
      </c>
      <c r="B334" s="849" t="s">
        <v>398</v>
      </c>
      <c r="C334" s="850">
        <v>9</v>
      </c>
      <c r="D334" s="101" t="s">
        <v>455</v>
      </c>
      <c r="E334" s="279">
        <v>6420.63</v>
      </c>
      <c r="F334" s="838">
        <v>15847.528667418721</v>
      </c>
      <c r="G334" s="838">
        <v>441.6940719821593</v>
      </c>
      <c r="H334" s="838">
        <v>-15405.834595436561</v>
      </c>
      <c r="I334" s="839">
        <v>0</v>
      </c>
      <c r="J334" s="851">
        <v>0</v>
      </c>
      <c r="K334" s="866"/>
      <c r="L334" s="839">
        <v>0</v>
      </c>
      <c r="M334" s="851">
        <v>0</v>
      </c>
      <c r="N334" s="858"/>
      <c r="O334" s="839">
        <v>0</v>
      </c>
      <c r="P334" s="851">
        <v>0</v>
      </c>
      <c r="Q334" s="854"/>
      <c r="R334" s="839">
        <v>0</v>
      </c>
      <c r="S334" s="851">
        <v>0</v>
      </c>
      <c r="T334" s="855"/>
      <c r="U334" s="839">
        <v>0</v>
      </c>
      <c r="V334" s="851">
        <v>0</v>
      </c>
      <c r="W334" s="839">
        <v>0</v>
      </c>
      <c r="X334" s="851">
        <v>50.694071982159279</v>
      </c>
      <c r="Y334" s="839">
        <v>0</v>
      </c>
      <c r="Z334" s="851">
        <v>0</v>
      </c>
      <c r="AA334" s="839">
        <v>0</v>
      </c>
      <c r="AB334" s="851">
        <v>0</v>
      </c>
      <c r="AC334" s="839">
        <v>0</v>
      </c>
      <c r="AD334" s="851">
        <v>391</v>
      </c>
      <c r="AE334" s="839">
        <v>121.58007400255997</v>
      </c>
      <c r="AF334" s="851">
        <v>2267</v>
      </c>
      <c r="AG334" s="857"/>
      <c r="AH334" s="839">
        <v>159.30104863470086</v>
      </c>
      <c r="AI334" s="851">
        <v>0</v>
      </c>
      <c r="AJ334" s="857"/>
      <c r="AK334" s="839">
        <v>155.80471250959988</v>
      </c>
      <c r="AL334" s="851">
        <v>0</v>
      </c>
      <c r="AM334" s="857"/>
      <c r="AN334" s="839">
        <v>65.835441136694755</v>
      </c>
      <c r="AO334" s="851">
        <v>0</v>
      </c>
      <c r="AP334" s="856"/>
      <c r="AQ334" s="839">
        <v>39.576724851099698</v>
      </c>
      <c r="AR334" s="851">
        <v>0</v>
      </c>
      <c r="AS334" s="857"/>
      <c r="AT334" s="839">
        <v>92.643523219730568</v>
      </c>
      <c r="AU334" s="851">
        <v>0</v>
      </c>
      <c r="AV334" s="856"/>
      <c r="AW334" s="839">
        <v>0</v>
      </c>
      <c r="AX334" s="851">
        <v>0</v>
      </c>
      <c r="AY334" s="856"/>
      <c r="AZ334" s="845">
        <v>634.74152435438577</v>
      </c>
      <c r="BA334" s="845">
        <v>2267</v>
      </c>
      <c r="BB334" s="846">
        <v>1632.2584756456142</v>
      </c>
      <c r="BD334" s="2">
        <v>2</v>
      </c>
      <c r="BF334" s="787">
        <v>22.489941821648355</v>
      </c>
      <c r="BG334" s="325">
        <v>150000887</v>
      </c>
      <c r="BI334" s="847">
        <v>23.06</v>
      </c>
      <c r="BJ334" s="847">
        <v>2.262957223437271</v>
      </c>
      <c r="BK334" s="847">
        <v>25.322957223437271</v>
      </c>
      <c r="BL334" s="848"/>
      <c r="BM334" s="3"/>
      <c r="BN334" s="3"/>
      <c r="BP334" s="3"/>
      <c r="BQ334" s="3"/>
      <c r="BS334" s="42" t="s">
        <v>398</v>
      </c>
    </row>
    <row r="335" spans="1:71" ht="24.9" customHeight="1" x14ac:dyDescent="0.3">
      <c r="A335" s="325">
        <v>150000888</v>
      </c>
      <c r="B335" s="849" t="s">
        <v>314</v>
      </c>
      <c r="C335" s="850">
        <v>5</v>
      </c>
      <c r="D335" s="101" t="s">
        <v>455</v>
      </c>
      <c r="E335" s="279">
        <v>3374.56</v>
      </c>
      <c r="F335" s="838">
        <v>5412.1138316388606</v>
      </c>
      <c r="G335" s="838">
        <v>610</v>
      </c>
      <c r="H335" s="838">
        <v>-4802.1138316388606</v>
      </c>
      <c r="I335" s="839">
        <v>0</v>
      </c>
      <c r="J335" s="851">
        <v>0</v>
      </c>
      <c r="K335" s="852"/>
      <c r="L335" s="839">
        <v>0</v>
      </c>
      <c r="M335" s="851">
        <v>0</v>
      </c>
      <c r="N335" s="853"/>
      <c r="O335" s="839">
        <v>0</v>
      </c>
      <c r="P335" s="851">
        <v>0</v>
      </c>
      <c r="Q335" s="854"/>
      <c r="R335" s="839">
        <v>0</v>
      </c>
      <c r="S335" s="851">
        <v>0</v>
      </c>
      <c r="T335" s="855"/>
      <c r="U335" s="839">
        <v>0</v>
      </c>
      <c r="V335" s="851">
        <v>0</v>
      </c>
      <c r="W335" s="839">
        <v>0</v>
      </c>
      <c r="X335" s="851">
        <v>0</v>
      </c>
      <c r="Y335" s="839">
        <v>0</v>
      </c>
      <c r="Z335" s="851">
        <v>0</v>
      </c>
      <c r="AA335" s="839">
        <v>0</v>
      </c>
      <c r="AB335" s="851">
        <v>0</v>
      </c>
      <c r="AC335" s="839">
        <v>89</v>
      </c>
      <c r="AD335" s="851">
        <v>521</v>
      </c>
      <c r="AE335" s="839">
        <v>308.63227648939352</v>
      </c>
      <c r="AF335" s="851">
        <v>0</v>
      </c>
      <c r="AG335" s="856"/>
      <c r="AH335" s="839">
        <v>490.42556714245251</v>
      </c>
      <c r="AI335" s="851">
        <v>0</v>
      </c>
      <c r="AJ335" s="856"/>
      <c r="AK335" s="839">
        <v>392.24599536342089</v>
      </c>
      <c r="AL335" s="851">
        <v>0</v>
      </c>
      <c r="AM335" s="856"/>
      <c r="AN335" s="839">
        <v>0</v>
      </c>
      <c r="AO335" s="851">
        <v>0</v>
      </c>
      <c r="AP335" s="856"/>
      <c r="AQ335" s="839">
        <v>0</v>
      </c>
      <c r="AR335" s="851">
        <v>0</v>
      </c>
      <c r="AS335" s="856"/>
      <c r="AT335" s="839">
        <v>174.41860683958959</v>
      </c>
      <c r="AU335" s="851">
        <v>0</v>
      </c>
      <c r="AV335" s="857"/>
      <c r="AW335" s="839">
        <v>0</v>
      </c>
      <c r="AX335" s="851">
        <v>0</v>
      </c>
      <c r="AY335" s="856"/>
      <c r="AZ335" s="845">
        <v>1365.7224458348564</v>
      </c>
      <c r="BA335" s="845">
        <v>0</v>
      </c>
      <c r="BB335" s="846">
        <v>-1365.7224458348564</v>
      </c>
      <c r="BD335" s="2">
        <v>2</v>
      </c>
      <c r="BF335" s="787">
        <v>11.81993614495109</v>
      </c>
      <c r="BG335" s="325">
        <v>150000888</v>
      </c>
      <c r="BI335" s="847">
        <v>0</v>
      </c>
      <c r="BJ335" s="847">
        <v>0</v>
      </c>
      <c r="BK335" s="847">
        <v>0</v>
      </c>
      <c r="BL335" s="848"/>
      <c r="BM335" s="3"/>
      <c r="BN335" s="3"/>
      <c r="BP335" s="3"/>
      <c r="BQ335" s="3"/>
      <c r="BS335" s="42" t="s">
        <v>314</v>
      </c>
    </row>
    <row r="336" spans="1:71" ht="24.9" customHeight="1" x14ac:dyDescent="0.3">
      <c r="A336" s="325">
        <v>150000889</v>
      </c>
      <c r="B336" s="849" t="s">
        <v>428</v>
      </c>
      <c r="C336" s="850">
        <v>16</v>
      </c>
      <c r="D336" s="101" t="s">
        <v>455</v>
      </c>
      <c r="E336" s="279">
        <v>5256.18</v>
      </c>
      <c r="F336" s="838">
        <v>12773.36424678388</v>
      </c>
      <c r="G336" s="838">
        <v>130</v>
      </c>
      <c r="H336" s="838">
        <v>-12643.36424678388</v>
      </c>
      <c r="I336" s="839">
        <v>0</v>
      </c>
      <c r="J336" s="851">
        <v>0</v>
      </c>
      <c r="K336" s="852"/>
      <c r="L336" s="839">
        <v>0</v>
      </c>
      <c r="M336" s="851">
        <v>0</v>
      </c>
      <c r="N336" s="853"/>
      <c r="O336" s="839">
        <v>0</v>
      </c>
      <c r="P336" s="851">
        <v>0</v>
      </c>
      <c r="Q336" s="854"/>
      <c r="R336" s="839">
        <v>0</v>
      </c>
      <c r="S336" s="851">
        <v>0</v>
      </c>
      <c r="T336" s="870"/>
      <c r="U336" s="839">
        <v>0</v>
      </c>
      <c r="V336" s="851">
        <v>0</v>
      </c>
      <c r="W336" s="839">
        <v>0</v>
      </c>
      <c r="X336" s="851">
        <v>0</v>
      </c>
      <c r="Y336" s="839">
        <v>0</v>
      </c>
      <c r="Z336" s="851">
        <v>0</v>
      </c>
      <c r="AA336" s="839">
        <v>0</v>
      </c>
      <c r="AB336" s="851">
        <v>0</v>
      </c>
      <c r="AC336" s="839">
        <v>0</v>
      </c>
      <c r="AD336" s="851">
        <v>130</v>
      </c>
      <c r="AE336" s="839">
        <v>299.40314063924632</v>
      </c>
      <c r="AF336" s="851">
        <v>270</v>
      </c>
      <c r="AG336" s="857"/>
      <c r="AH336" s="839">
        <v>382.22287577264916</v>
      </c>
      <c r="AI336" s="851">
        <v>0</v>
      </c>
      <c r="AJ336" s="856"/>
      <c r="AK336" s="839">
        <v>393.17290868409344</v>
      </c>
      <c r="AL336" s="851">
        <v>0</v>
      </c>
      <c r="AM336" s="857"/>
      <c r="AN336" s="839">
        <v>151.25715432493635</v>
      </c>
      <c r="AO336" s="851">
        <v>0</v>
      </c>
      <c r="AP336" s="856"/>
      <c r="AQ336" s="839">
        <v>74.942692264072917</v>
      </c>
      <c r="AR336" s="851">
        <v>0</v>
      </c>
      <c r="AS336" s="856"/>
      <c r="AT336" s="839">
        <v>322.07430498385054</v>
      </c>
      <c r="AU336" s="851">
        <v>0</v>
      </c>
      <c r="AV336" s="856"/>
      <c r="AW336" s="839">
        <v>0</v>
      </c>
      <c r="AX336" s="851">
        <v>0</v>
      </c>
      <c r="AY336" s="856"/>
      <c r="AZ336" s="845">
        <v>1623.0730766688489</v>
      </c>
      <c r="BA336" s="845">
        <v>270</v>
      </c>
      <c r="BB336" s="846">
        <v>-1353.0730766688489</v>
      </c>
      <c r="BD336" s="2">
        <v>2</v>
      </c>
      <c r="BF336" s="787">
        <v>18.415838407168522</v>
      </c>
      <c r="BG336" s="325">
        <v>150000889</v>
      </c>
      <c r="BI336" s="847">
        <v>0</v>
      </c>
      <c r="BJ336" s="847">
        <v>0</v>
      </c>
      <c r="BK336" s="847">
        <v>0</v>
      </c>
      <c r="BL336" s="848"/>
      <c r="BM336" s="3"/>
      <c r="BN336" s="3"/>
      <c r="BP336" s="3"/>
      <c r="BQ336" s="3"/>
      <c r="BS336" s="42" t="s">
        <v>428</v>
      </c>
    </row>
    <row r="337" spans="1:71" ht="24.9" customHeight="1" x14ac:dyDescent="0.3">
      <c r="A337" s="325">
        <v>150000890</v>
      </c>
      <c r="B337" s="849" t="s">
        <v>399</v>
      </c>
      <c r="C337" s="850">
        <v>9</v>
      </c>
      <c r="D337" s="101" t="s">
        <v>455</v>
      </c>
      <c r="E337" s="279">
        <v>8449.6999999999989</v>
      </c>
      <c r="F337" s="838">
        <v>19256.164844230105</v>
      </c>
      <c r="G337" s="838">
        <v>24515</v>
      </c>
      <c r="H337" s="838">
        <v>5258.8351557698952</v>
      </c>
      <c r="I337" s="839">
        <v>0</v>
      </c>
      <c r="J337" s="851">
        <v>0</v>
      </c>
      <c r="K337" s="852"/>
      <c r="L337" s="839">
        <v>0</v>
      </c>
      <c r="M337" s="851">
        <v>0</v>
      </c>
      <c r="N337" s="858"/>
      <c r="O337" s="839">
        <v>0</v>
      </c>
      <c r="P337" s="851">
        <v>0</v>
      </c>
      <c r="Q337" s="854"/>
      <c r="R337" s="839">
        <v>0</v>
      </c>
      <c r="S337" s="851">
        <v>21506</v>
      </c>
      <c r="T337" s="855"/>
      <c r="U337" s="839">
        <v>0</v>
      </c>
      <c r="V337" s="851">
        <v>0</v>
      </c>
      <c r="W337" s="839">
        <v>0</v>
      </c>
      <c r="X337" s="851">
        <v>0</v>
      </c>
      <c r="Y337" s="839">
        <v>0</v>
      </c>
      <c r="Z337" s="851">
        <v>0</v>
      </c>
      <c r="AA337" s="839">
        <v>0</v>
      </c>
      <c r="AB337" s="851">
        <v>0</v>
      </c>
      <c r="AC337" s="839">
        <v>0</v>
      </c>
      <c r="AD337" s="851">
        <v>3009</v>
      </c>
      <c r="AE337" s="839">
        <v>285.95847221364954</v>
      </c>
      <c r="AF337" s="851">
        <v>0</v>
      </c>
      <c r="AG337" s="857"/>
      <c r="AH337" s="839">
        <v>453.52599414512929</v>
      </c>
      <c r="AI337" s="851">
        <v>0</v>
      </c>
      <c r="AJ337" s="856"/>
      <c r="AK337" s="839">
        <v>508.91541862213694</v>
      </c>
      <c r="AL337" s="851">
        <v>0</v>
      </c>
      <c r="AM337" s="856"/>
      <c r="AN337" s="839">
        <v>269.21077308432922</v>
      </c>
      <c r="AO337" s="851">
        <v>0</v>
      </c>
      <c r="AP337" s="856"/>
      <c r="AQ337" s="839">
        <v>131.92242978544064</v>
      </c>
      <c r="AR337" s="851">
        <v>0</v>
      </c>
      <c r="AS337" s="856"/>
      <c r="AT337" s="839">
        <v>367.24734680686328</v>
      </c>
      <c r="AU337" s="851">
        <v>0</v>
      </c>
      <c r="AV337" s="856"/>
      <c r="AW337" s="839">
        <v>0</v>
      </c>
      <c r="AX337" s="851">
        <v>0</v>
      </c>
      <c r="AY337" s="856"/>
      <c r="AZ337" s="845">
        <v>2016.7804346575492</v>
      </c>
      <c r="BA337" s="845">
        <v>0</v>
      </c>
      <c r="BB337" s="846">
        <v>-2016.7804346575492</v>
      </c>
      <c r="BD337" s="2">
        <v>2</v>
      </c>
      <c r="BF337" s="787">
        <v>65.463079158547117</v>
      </c>
      <c r="BG337" s="325">
        <v>150000890</v>
      </c>
      <c r="BI337" s="847">
        <v>0</v>
      </c>
      <c r="BJ337" s="847">
        <v>0</v>
      </c>
      <c r="BK337" s="847">
        <v>0</v>
      </c>
      <c r="BL337" s="848"/>
      <c r="BM337" s="3"/>
      <c r="BN337" s="3"/>
      <c r="BP337" s="3"/>
      <c r="BQ337" s="3"/>
      <c r="BS337" s="42" t="s">
        <v>399</v>
      </c>
    </row>
    <row r="338" spans="1:71" ht="24.9" customHeight="1" x14ac:dyDescent="0.3">
      <c r="A338" s="325">
        <v>150000891</v>
      </c>
      <c r="B338" s="849" t="s">
        <v>190</v>
      </c>
      <c r="C338" s="850">
        <v>2</v>
      </c>
      <c r="D338" s="101" t="s">
        <v>455</v>
      </c>
      <c r="E338" s="279">
        <v>294.26</v>
      </c>
      <c r="F338" s="838">
        <v>346.72450712606081</v>
      </c>
      <c r="G338" s="838">
        <v>0</v>
      </c>
      <c r="H338" s="838">
        <v>-346.72450712606081</v>
      </c>
      <c r="I338" s="839">
        <v>0</v>
      </c>
      <c r="J338" s="851">
        <v>0</v>
      </c>
      <c r="K338" s="852"/>
      <c r="L338" s="839">
        <v>0</v>
      </c>
      <c r="M338" s="851">
        <v>0</v>
      </c>
      <c r="N338" s="853"/>
      <c r="O338" s="839">
        <v>0</v>
      </c>
      <c r="P338" s="851">
        <v>0</v>
      </c>
      <c r="Q338" s="854"/>
      <c r="R338" s="839">
        <v>0</v>
      </c>
      <c r="S338" s="851">
        <v>0</v>
      </c>
      <c r="T338" s="855"/>
      <c r="U338" s="839">
        <v>0</v>
      </c>
      <c r="V338" s="851">
        <v>0</v>
      </c>
      <c r="W338" s="839">
        <v>0</v>
      </c>
      <c r="X338" s="851">
        <v>0</v>
      </c>
      <c r="Y338" s="839">
        <v>0</v>
      </c>
      <c r="Z338" s="851">
        <v>0</v>
      </c>
      <c r="AA338" s="839">
        <v>0</v>
      </c>
      <c r="AB338" s="851">
        <v>0</v>
      </c>
      <c r="AC338" s="839">
        <v>0</v>
      </c>
      <c r="AD338" s="851">
        <v>0</v>
      </c>
      <c r="AE338" s="839">
        <v>35.585389395679698</v>
      </c>
      <c r="AF338" s="851">
        <v>0</v>
      </c>
      <c r="AG338" s="856"/>
      <c r="AH338" s="839">
        <v>65.775273182043605</v>
      </c>
      <c r="AI338" s="851">
        <v>0</v>
      </c>
      <c r="AJ338" s="856"/>
      <c r="AK338" s="839">
        <v>0</v>
      </c>
      <c r="AL338" s="851">
        <v>0</v>
      </c>
      <c r="AM338" s="856"/>
      <c r="AN338" s="839">
        <v>0</v>
      </c>
      <c r="AO338" s="851">
        <v>0</v>
      </c>
      <c r="AP338" s="856"/>
      <c r="AQ338" s="839">
        <v>0</v>
      </c>
      <c r="AR338" s="851">
        <v>0</v>
      </c>
      <c r="AS338" s="856"/>
      <c r="AT338" s="839">
        <v>0</v>
      </c>
      <c r="AU338" s="851">
        <v>0</v>
      </c>
      <c r="AV338" s="856"/>
      <c r="AW338" s="839">
        <v>0</v>
      </c>
      <c r="AX338" s="851">
        <v>0</v>
      </c>
      <c r="AY338" s="856"/>
      <c r="AZ338" s="845">
        <v>101.3606625777233</v>
      </c>
      <c r="BA338" s="845">
        <v>0</v>
      </c>
      <c r="BB338" s="846">
        <v>-101.3606625777233</v>
      </c>
      <c r="BD338" s="2">
        <v>2</v>
      </c>
      <c r="BF338" s="787">
        <v>2.52533612547695</v>
      </c>
      <c r="BG338" s="325">
        <v>150000891</v>
      </c>
      <c r="BI338" s="847">
        <v>0</v>
      </c>
      <c r="BJ338" s="847">
        <v>0</v>
      </c>
      <c r="BK338" s="847">
        <v>0</v>
      </c>
      <c r="BL338" s="848"/>
      <c r="BM338" s="3"/>
      <c r="BN338" s="3"/>
      <c r="BP338" s="3"/>
      <c r="BQ338" s="3"/>
      <c r="BS338" s="42" t="s">
        <v>190</v>
      </c>
    </row>
    <row r="339" spans="1:71" ht="24.9" customHeight="1" x14ac:dyDescent="0.3">
      <c r="A339" s="325">
        <v>150001561</v>
      </c>
      <c r="B339" s="849" t="s">
        <v>400</v>
      </c>
      <c r="C339" s="850">
        <v>9</v>
      </c>
      <c r="D339" s="101" t="s">
        <v>455</v>
      </c>
      <c r="E339" s="279">
        <v>3516.6</v>
      </c>
      <c r="F339" s="838">
        <v>6653.4224571358491</v>
      </c>
      <c r="G339" s="838">
        <v>501</v>
      </c>
      <c r="H339" s="838">
        <v>-6152.4224571358491</v>
      </c>
      <c r="I339" s="839">
        <v>0</v>
      </c>
      <c r="J339" s="851">
        <v>0</v>
      </c>
      <c r="K339" s="852"/>
      <c r="L339" s="839">
        <v>0</v>
      </c>
      <c r="M339" s="851">
        <v>0</v>
      </c>
      <c r="N339" s="853"/>
      <c r="O339" s="839">
        <v>0</v>
      </c>
      <c r="P339" s="851">
        <v>0</v>
      </c>
      <c r="Q339" s="854"/>
      <c r="R339" s="839">
        <v>0</v>
      </c>
      <c r="S339" s="851">
        <v>0</v>
      </c>
      <c r="T339" s="855"/>
      <c r="U339" s="839">
        <v>0</v>
      </c>
      <c r="V339" s="851">
        <v>0</v>
      </c>
      <c r="W339" s="839">
        <v>0</v>
      </c>
      <c r="X339" s="851">
        <v>0</v>
      </c>
      <c r="Y339" s="839">
        <v>371</v>
      </c>
      <c r="Z339" s="851">
        <v>0</v>
      </c>
      <c r="AA339" s="839">
        <v>0</v>
      </c>
      <c r="AB339" s="851">
        <v>0</v>
      </c>
      <c r="AC339" s="839">
        <v>0</v>
      </c>
      <c r="AD339" s="851">
        <v>130</v>
      </c>
      <c r="AE339" s="839">
        <v>256.75397524749241</v>
      </c>
      <c r="AF339" s="851">
        <v>0</v>
      </c>
      <c r="AG339" s="856"/>
      <c r="AH339" s="839">
        <v>333.0523260630502</v>
      </c>
      <c r="AI339" s="851">
        <v>0</v>
      </c>
      <c r="AJ339" s="856"/>
      <c r="AK339" s="839">
        <v>0</v>
      </c>
      <c r="AL339" s="851">
        <v>0</v>
      </c>
      <c r="AM339" s="856"/>
      <c r="AN339" s="839">
        <v>0</v>
      </c>
      <c r="AO339" s="851">
        <v>0</v>
      </c>
      <c r="AP339" s="856"/>
      <c r="AQ339" s="839">
        <v>22.490068372102311</v>
      </c>
      <c r="AR339" s="851">
        <v>0</v>
      </c>
      <c r="AS339" s="856"/>
      <c r="AT339" s="839">
        <v>77.368966108617101</v>
      </c>
      <c r="AU339" s="851">
        <v>0</v>
      </c>
      <c r="AV339" s="856"/>
      <c r="AW339" s="839">
        <v>0</v>
      </c>
      <c r="AX339" s="851">
        <v>0</v>
      </c>
      <c r="AY339" s="856"/>
      <c r="AZ339" s="845">
        <v>689.66533579126201</v>
      </c>
      <c r="BA339" s="845">
        <v>0</v>
      </c>
      <c r="BB339" s="846">
        <v>-689.66533579126201</v>
      </c>
      <c r="BD339" s="2">
        <v>2</v>
      </c>
      <c r="BF339" s="787">
        <v>12.297118414243844</v>
      </c>
      <c r="BG339" s="325">
        <v>150001561</v>
      </c>
      <c r="BI339" s="847">
        <v>0</v>
      </c>
      <c r="BJ339" s="847">
        <v>0</v>
      </c>
      <c r="BK339" s="847">
        <v>0</v>
      </c>
      <c r="BL339" s="848"/>
      <c r="BM339" s="3"/>
      <c r="BN339" s="3"/>
      <c r="BP339" s="3"/>
      <c r="BQ339" s="3"/>
      <c r="BS339" s="42" t="s">
        <v>400</v>
      </c>
    </row>
    <row r="340" spans="1:71" ht="24.9" customHeight="1" x14ac:dyDescent="0.3">
      <c r="A340" s="325">
        <v>150000892</v>
      </c>
      <c r="B340" s="849" t="s">
        <v>401</v>
      </c>
      <c r="C340" s="850">
        <v>9</v>
      </c>
      <c r="D340" s="101" t="s">
        <v>455</v>
      </c>
      <c r="E340" s="279">
        <v>4153.8999999999996</v>
      </c>
      <c r="F340" s="838">
        <v>10714.352313839907</v>
      </c>
      <c r="G340" s="838">
        <v>2232.5059536006374</v>
      </c>
      <c r="H340" s="838">
        <v>-8481.8463602392694</v>
      </c>
      <c r="I340" s="839">
        <v>0</v>
      </c>
      <c r="J340" s="851">
        <v>0</v>
      </c>
      <c r="K340" s="852"/>
      <c r="L340" s="839">
        <v>0</v>
      </c>
      <c r="M340" s="851">
        <v>0</v>
      </c>
      <c r="N340" s="853"/>
      <c r="O340" s="839">
        <v>0</v>
      </c>
      <c r="P340" s="851">
        <v>0</v>
      </c>
      <c r="Q340" s="854"/>
      <c r="R340" s="839">
        <v>0</v>
      </c>
      <c r="S340" s="851">
        <v>0</v>
      </c>
      <c r="T340" s="855"/>
      <c r="U340" s="839">
        <v>0</v>
      </c>
      <c r="V340" s="851">
        <v>0</v>
      </c>
      <c r="W340" s="839">
        <v>0</v>
      </c>
      <c r="X340" s="851">
        <v>45.505953600637348</v>
      </c>
      <c r="Y340" s="839">
        <v>0</v>
      </c>
      <c r="Z340" s="851">
        <v>0</v>
      </c>
      <c r="AA340" s="839">
        <v>0</v>
      </c>
      <c r="AB340" s="851">
        <v>0</v>
      </c>
      <c r="AC340" s="839">
        <v>2187</v>
      </c>
      <c r="AD340" s="851">
        <v>0</v>
      </c>
      <c r="AE340" s="839">
        <v>224.51577674707013</v>
      </c>
      <c r="AF340" s="851">
        <v>0</v>
      </c>
      <c r="AG340" s="856"/>
      <c r="AH340" s="839">
        <v>300.12770757182062</v>
      </c>
      <c r="AI340" s="851">
        <v>0</v>
      </c>
      <c r="AJ340" s="856"/>
      <c r="AK340" s="839">
        <v>376.27692534240782</v>
      </c>
      <c r="AL340" s="851">
        <v>0</v>
      </c>
      <c r="AM340" s="856"/>
      <c r="AN340" s="839">
        <v>125.13234211792332</v>
      </c>
      <c r="AO340" s="851">
        <v>0</v>
      </c>
      <c r="AP340" s="856"/>
      <c r="AQ340" s="839">
        <v>65.961235315382794</v>
      </c>
      <c r="AR340" s="851">
        <v>0</v>
      </c>
      <c r="AS340" s="856"/>
      <c r="AT340" s="839">
        <v>125.82945550466667</v>
      </c>
      <c r="AU340" s="851">
        <v>0</v>
      </c>
      <c r="AV340" s="856"/>
      <c r="AW340" s="839">
        <v>0</v>
      </c>
      <c r="AX340" s="851">
        <v>0</v>
      </c>
      <c r="AY340" s="856"/>
      <c r="AZ340" s="845">
        <v>1217.8434425992712</v>
      </c>
      <c r="BA340" s="845">
        <v>0</v>
      </c>
      <c r="BB340" s="846">
        <v>-1217.8434425992712</v>
      </c>
      <c r="BD340" s="2">
        <v>3</v>
      </c>
      <c r="BF340" s="787">
        <v>13.179057992854169</v>
      </c>
      <c r="BG340" s="325">
        <v>150000892</v>
      </c>
      <c r="BI340" s="847">
        <v>20.700000000000003</v>
      </c>
      <c r="BJ340" s="847">
        <v>2.0313622951063106</v>
      </c>
      <c r="BK340" s="847">
        <v>22.731362295106315</v>
      </c>
      <c r="BL340" s="848"/>
      <c r="BM340" s="3"/>
      <c r="BN340" s="3"/>
      <c r="BP340" s="3"/>
      <c r="BQ340" s="3"/>
      <c r="BS340" s="42" t="s">
        <v>401</v>
      </c>
    </row>
    <row r="341" spans="1:71" ht="24.9" customHeight="1" x14ac:dyDescent="0.3">
      <c r="A341" s="325">
        <v>150000893</v>
      </c>
      <c r="B341" s="849" t="s">
        <v>315</v>
      </c>
      <c r="C341" s="850">
        <v>5</v>
      </c>
      <c r="D341" s="101" t="s">
        <v>455</v>
      </c>
      <c r="E341" s="279">
        <v>2749.1</v>
      </c>
      <c r="F341" s="838">
        <v>8888.2871910180547</v>
      </c>
      <c r="G341" s="838">
        <v>1934.5000748235625</v>
      </c>
      <c r="H341" s="838">
        <v>-6953.7871161944922</v>
      </c>
      <c r="I341" s="839">
        <v>0</v>
      </c>
      <c r="J341" s="851">
        <v>0</v>
      </c>
      <c r="K341" s="852"/>
      <c r="L341" s="839">
        <v>0</v>
      </c>
      <c r="M341" s="851">
        <v>0</v>
      </c>
      <c r="N341" s="853"/>
      <c r="O341" s="839">
        <v>0</v>
      </c>
      <c r="P341" s="851">
        <v>0</v>
      </c>
      <c r="Q341" s="854"/>
      <c r="R341" s="839">
        <v>0</v>
      </c>
      <c r="S341" s="851">
        <v>0</v>
      </c>
      <c r="T341" s="855"/>
      <c r="U341" s="839">
        <v>0</v>
      </c>
      <c r="V341" s="851">
        <v>0</v>
      </c>
      <c r="W341" s="839">
        <v>0</v>
      </c>
      <c r="X341" s="851">
        <v>109.50007482356261</v>
      </c>
      <c r="Y341" s="839">
        <v>0</v>
      </c>
      <c r="Z341" s="851">
        <v>0</v>
      </c>
      <c r="AA341" s="839">
        <v>0</v>
      </c>
      <c r="AB341" s="851">
        <v>0</v>
      </c>
      <c r="AC341" s="839">
        <v>1825</v>
      </c>
      <c r="AD341" s="851">
        <v>0</v>
      </c>
      <c r="AE341" s="839">
        <v>293.75320637338609</v>
      </c>
      <c r="AF341" s="851">
        <v>0</v>
      </c>
      <c r="AG341" s="856"/>
      <c r="AH341" s="839">
        <v>428.45713760025609</v>
      </c>
      <c r="AI341" s="851">
        <v>0</v>
      </c>
      <c r="AJ341" s="856"/>
      <c r="AK341" s="839">
        <v>270.44394550521525</v>
      </c>
      <c r="AL341" s="851">
        <v>0</v>
      </c>
      <c r="AM341" s="856"/>
      <c r="AN341" s="839">
        <v>0</v>
      </c>
      <c r="AO341" s="851">
        <v>0</v>
      </c>
      <c r="AP341" s="856"/>
      <c r="AQ341" s="839">
        <v>119.94714023874553</v>
      </c>
      <c r="AR341" s="851">
        <v>0</v>
      </c>
      <c r="AS341" s="856"/>
      <c r="AT341" s="839">
        <v>182.75233818840255</v>
      </c>
      <c r="AU341" s="851">
        <v>0</v>
      </c>
      <c r="AV341" s="856"/>
      <c r="AW341" s="839">
        <v>0</v>
      </c>
      <c r="AX341" s="851">
        <v>0</v>
      </c>
      <c r="AY341" s="856"/>
      <c r="AZ341" s="845">
        <v>1295.3537679060055</v>
      </c>
      <c r="BA341" s="845">
        <v>0</v>
      </c>
      <c r="BB341" s="846">
        <v>-1295.3537679060055</v>
      </c>
      <c r="BD341" s="2">
        <v>3</v>
      </c>
      <c r="BF341" s="787">
        <v>8.7239595953082905</v>
      </c>
      <c r="BG341" s="325">
        <v>150000893</v>
      </c>
      <c r="BI341" s="847">
        <v>49.81</v>
      </c>
      <c r="BJ341" s="847">
        <v>4.8880268560021891</v>
      </c>
      <c r="BK341" s="847">
        <v>54.698026856002194</v>
      </c>
      <c r="BL341" s="848"/>
      <c r="BM341" s="3"/>
      <c r="BN341" s="3"/>
      <c r="BP341" s="3"/>
      <c r="BQ341" s="3"/>
      <c r="BS341" s="42" t="s">
        <v>315</v>
      </c>
    </row>
    <row r="342" spans="1:71" ht="24.9" customHeight="1" x14ac:dyDescent="0.3">
      <c r="A342" s="325">
        <v>150000894</v>
      </c>
      <c r="B342" s="849" t="s">
        <v>316</v>
      </c>
      <c r="C342" s="850">
        <v>5</v>
      </c>
      <c r="D342" s="101" t="s">
        <v>455</v>
      </c>
      <c r="E342" s="279">
        <v>4228.09</v>
      </c>
      <c r="F342" s="838">
        <v>9463.6085460755166</v>
      </c>
      <c r="G342" s="838">
        <v>4846</v>
      </c>
      <c r="H342" s="838">
        <v>-4617.6085460755166</v>
      </c>
      <c r="I342" s="839">
        <v>0</v>
      </c>
      <c r="J342" s="851">
        <v>530</v>
      </c>
      <c r="K342" s="852"/>
      <c r="L342" s="839">
        <v>0</v>
      </c>
      <c r="M342" s="851">
        <v>799</v>
      </c>
      <c r="N342" s="873"/>
      <c r="O342" s="839">
        <v>0</v>
      </c>
      <c r="P342" s="851">
        <v>0</v>
      </c>
      <c r="Q342" s="854"/>
      <c r="R342" s="839">
        <v>0</v>
      </c>
      <c r="S342" s="851">
        <v>0</v>
      </c>
      <c r="T342" s="855"/>
      <c r="U342" s="839">
        <v>0</v>
      </c>
      <c r="V342" s="851">
        <v>0</v>
      </c>
      <c r="W342" s="839">
        <v>0</v>
      </c>
      <c r="X342" s="851">
        <v>0</v>
      </c>
      <c r="Y342" s="839">
        <v>0</v>
      </c>
      <c r="Z342" s="851">
        <v>0</v>
      </c>
      <c r="AA342" s="839">
        <v>0</v>
      </c>
      <c r="AB342" s="851">
        <v>0</v>
      </c>
      <c r="AC342" s="839">
        <v>3517</v>
      </c>
      <c r="AD342" s="851">
        <v>0</v>
      </c>
      <c r="AE342" s="839">
        <v>434.16734811129322</v>
      </c>
      <c r="AF342" s="851">
        <v>884</v>
      </c>
      <c r="AG342" s="856"/>
      <c r="AH342" s="839">
        <v>730.73405711118153</v>
      </c>
      <c r="AI342" s="851">
        <v>0</v>
      </c>
      <c r="AJ342" s="856"/>
      <c r="AK342" s="839">
        <v>357.3446292239239</v>
      </c>
      <c r="AL342" s="851">
        <v>0</v>
      </c>
      <c r="AM342" s="856"/>
      <c r="AN342" s="839">
        <v>0</v>
      </c>
      <c r="AO342" s="851">
        <v>0</v>
      </c>
      <c r="AP342" s="856"/>
      <c r="AQ342" s="839">
        <v>179.87216958783222</v>
      </c>
      <c r="AR342" s="851">
        <v>0</v>
      </c>
      <c r="AS342" s="856"/>
      <c r="AT342" s="839">
        <v>326.88088209596361</v>
      </c>
      <c r="AU342" s="851">
        <v>0</v>
      </c>
      <c r="AV342" s="856"/>
      <c r="AW342" s="839">
        <v>0</v>
      </c>
      <c r="AX342" s="851">
        <v>0</v>
      </c>
      <c r="AY342" s="856"/>
      <c r="AZ342" s="845">
        <v>2028.9990861301947</v>
      </c>
      <c r="BA342" s="845">
        <v>884</v>
      </c>
      <c r="BB342" s="846">
        <v>-1144.9990861301947</v>
      </c>
      <c r="BD342" s="2">
        <v>3</v>
      </c>
      <c r="BF342" s="787">
        <v>66.872873748617423</v>
      </c>
      <c r="BG342" s="325">
        <v>150000894</v>
      </c>
      <c r="BI342" s="847">
        <v>0</v>
      </c>
      <c r="BJ342" s="847">
        <v>0</v>
      </c>
      <c r="BK342" s="847">
        <v>0</v>
      </c>
      <c r="BL342" s="848"/>
      <c r="BM342" s="3"/>
      <c r="BN342" s="3"/>
      <c r="BP342" s="3"/>
      <c r="BQ342" s="3"/>
      <c r="BS342" s="42" t="s">
        <v>316</v>
      </c>
    </row>
    <row r="343" spans="1:71" ht="24.9" customHeight="1" x14ac:dyDescent="0.3">
      <c r="A343" s="325">
        <v>150000895</v>
      </c>
      <c r="B343" s="849" t="s">
        <v>317</v>
      </c>
      <c r="C343" s="850">
        <v>5</v>
      </c>
      <c r="D343" s="101" t="s">
        <v>455</v>
      </c>
      <c r="E343" s="279">
        <v>2741.4</v>
      </c>
      <c r="F343" s="838">
        <v>7473.8007231799484</v>
      </c>
      <c r="G343" s="838">
        <v>2369</v>
      </c>
      <c r="H343" s="838">
        <v>-5104.8007231799484</v>
      </c>
      <c r="I343" s="839">
        <v>0</v>
      </c>
      <c r="J343" s="851">
        <v>0</v>
      </c>
      <c r="K343" s="852"/>
      <c r="L343" s="839">
        <v>0</v>
      </c>
      <c r="M343" s="851">
        <v>0</v>
      </c>
      <c r="N343" s="853"/>
      <c r="O343" s="839">
        <v>0</v>
      </c>
      <c r="P343" s="851">
        <v>0</v>
      </c>
      <c r="Q343" s="854"/>
      <c r="R343" s="839">
        <v>0</v>
      </c>
      <c r="S343" s="851">
        <v>0</v>
      </c>
      <c r="T343" s="855"/>
      <c r="U343" s="839">
        <v>0</v>
      </c>
      <c r="V343" s="851">
        <v>0</v>
      </c>
      <c r="W343" s="839">
        <v>0</v>
      </c>
      <c r="X343" s="851">
        <v>0</v>
      </c>
      <c r="Y343" s="839">
        <v>0</v>
      </c>
      <c r="Z343" s="851">
        <v>0</v>
      </c>
      <c r="AA343" s="839">
        <v>0</v>
      </c>
      <c r="AB343" s="851">
        <v>0</v>
      </c>
      <c r="AC343" s="839">
        <v>2369</v>
      </c>
      <c r="AD343" s="851">
        <v>0</v>
      </c>
      <c r="AE343" s="839">
        <v>290.36266880217647</v>
      </c>
      <c r="AF343" s="851">
        <v>884</v>
      </c>
      <c r="AG343" s="856"/>
      <c r="AH343" s="839">
        <v>423.81506108451765</v>
      </c>
      <c r="AI343" s="851">
        <v>0</v>
      </c>
      <c r="AJ343" s="856"/>
      <c r="AK343" s="839">
        <v>261.73110883754254</v>
      </c>
      <c r="AL343" s="851">
        <v>0</v>
      </c>
      <c r="AM343" s="856"/>
      <c r="AN343" s="839">
        <v>0</v>
      </c>
      <c r="AO343" s="851">
        <v>0</v>
      </c>
      <c r="AP343" s="856"/>
      <c r="AQ343" s="839">
        <v>0</v>
      </c>
      <c r="AR343" s="851">
        <v>0</v>
      </c>
      <c r="AS343" s="856"/>
      <c r="AT343" s="839">
        <v>178.07764464286564</v>
      </c>
      <c r="AU343" s="851">
        <v>0</v>
      </c>
      <c r="AV343" s="857"/>
      <c r="AW343" s="839">
        <v>0</v>
      </c>
      <c r="AX343" s="851">
        <v>0</v>
      </c>
      <c r="AY343" s="856"/>
      <c r="AZ343" s="845">
        <v>1153.9864833671022</v>
      </c>
      <c r="BA343" s="845">
        <v>884</v>
      </c>
      <c r="BB343" s="846">
        <v>-269.98648336710221</v>
      </c>
      <c r="BD343" s="2">
        <v>3</v>
      </c>
      <c r="BF343" s="787">
        <v>8.6979434958496125</v>
      </c>
      <c r="BG343" s="325">
        <v>150000895</v>
      </c>
      <c r="BI343" s="847">
        <v>0</v>
      </c>
      <c r="BJ343" s="847">
        <v>0</v>
      </c>
      <c r="BK343" s="847">
        <v>0</v>
      </c>
      <c r="BL343" s="848"/>
      <c r="BM343" s="3"/>
      <c r="BN343" s="3"/>
      <c r="BP343" s="3"/>
      <c r="BQ343" s="3"/>
      <c r="BS343" s="42" t="s">
        <v>317</v>
      </c>
    </row>
    <row r="344" spans="1:71" ht="24.9" customHeight="1" x14ac:dyDescent="0.3">
      <c r="A344" s="325">
        <v>150000922</v>
      </c>
      <c r="B344" s="849" t="s">
        <v>402</v>
      </c>
      <c r="C344" s="850">
        <v>9</v>
      </c>
      <c r="D344" s="101" t="s">
        <v>455</v>
      </c>
      <c r="E344" s="279">
        <v>4247.05</v>
      </c>
      <c r="F344" s="838">
        <v>11269.600750747102</v>
      </c>
      <c r="G344" s="838">
        <v>0</v>
      </c>
      <c r="H344" s="838">
        <v>-11269.600750747102</v>
      </c>
      <c r="I344" s="839">
        <v>0</v>
      </c>
      <c r="J344" s="851">
        <v>0</v>
      </c>
      <c r="K344" s="859"/>
      <c r="L344" s="839">
        <v>0</v>
      </c>
      <c r="M344" s="851">
        <v>0</v>
      </c>
      <c r="N344" s="853"/>
      <c r="O344" s="839">
        <v>0</v>
      </c>
      <c r="P344" s="851">
        <v>0</v>
      </c>
      <c r="Q344" s="854"/>
      <c r="R344" s="839">
        <v>0</v>
      </c>
      <c r="S344" s="851">
        <v>0</v>
      </c>
      <c r="T344" s="870"/>
      <c r="U344" s="839">
        <v>0</v>
      </c>
      <c r="V344" s="851">
        <v>0</v>
      </c>
      <c r="W344" s="839">
        <v>0</v>
      </c>
      <c r="X344" s="851">
        <v>0</v>
      </c>
      <c r="Y344" s="839">
        <v>0</v>
      </c>
      <c r="Z344" s="851">
        <v>0</v>
      </c>
      <c r="AA344" s="839">
        <v>0</v>
      </c>
      <c r="AB344" s="851">
        <v>0</v>
      </c>
      <c r="AC344" s="839">
        <v>0</v>
      </c>
      <c r="AD344" s="851">
        <v>0</v>
      </c>
      <c r="AE344" s="839">
        <v>226.61705446936185</v>
      </c>
      <c r="AF344" s="851">
        <v>0</v>
      </c>
      <c r="AG344" s="856"/>
      <c r="AH344" s="839">
        <v>302.29338732382973</v>
      </c>
      <c r="AI344" s="851">
        <v>0</v>
      </c>
      <c r="AJ344" s="856"/>
      <c r="AK344" s="839">
        <v>385.51225731494043</v>
      </c>
      <c r="AL344" s="851">
        <v>0</v>
      </c>
      <c r="AM344" s="856"/>
      <c r="AN344" s="839">
        <v>128.20842570396613</v>
      </c>
      <c r="AO344" s="851">
        <v>0</v>
      </c>
      <c r="AP344" s="856"/>
      <c r="AQ344" s="839">
        <v>65.961235315382794</v>
      </c>
      <c r="AR344" s="851">
        <v>0</v>
      </c>
      <c r="AS344" s="856"/>
      <c r="AT344" s="839">
        <v>110.66378371817535</v>
      </c>
      <c r="AU344" s="851">
        <v>0</v>
      </c>
      <c r="AV344" s="856"/>
      <c r="AW344" s="839">
        <v>0</v>
      </c>
      <c r="AX344" s="851">
        <v>0</v>
      </c>
      <c r="AY344" s="856"/>
      <c r="AZ344" s="845">
        <v>1219.2561438456564</v>
      </c>
      <c r="BA344" s="845">
        <v>0</v>
      </c>
      <c r="BB344" s="846">
        <v>-1219.2561438456564</v>
      </c>
      <c r="BD344" s="2">
        <v>3</v>
      </c>
      <c r="BF344" s="787">
        <v>13.701124964308502</v>
      </c>
      <c r="BG344" s="325">
        <v>150000922</v>
      </c>
      <c r="BI344" s="847">
        <v>0</v>
      </c>
      <c r="BJ344" s="847">
        <v>0</v>
      </c>
      <c r="BK344" s="847">
        <v>0</v>
      </c>
      <c r="BL344" s="848"/>
      <c r="BM344" s="3"/>
      <c r="BN344" s="3"/>
      <c r="BP344" s="3"/>
      <c r="BQ344" s="3"/>
      <c r="BS344" s="42" t="s">
        <v>402</v>
      </c>
    </row>
    <row r="345" spans="1:71" ht="24.9" customHeight="1" x14ac:dyDescent="0.3">
      <c r="A345" s="325">
        <v>150000896</v>
      </c>
      <c r="B345" s="849" t="s">
        <v>318</v>
      </c>
      <c r="C345" s="850">
        <v>5</v>
      </c>
      <c r="D345" s="101" t="s">
        <v>455</v>
      </c>
      <c r="E345" s="279">
        <v>2712.05</v>
      </c>
      <c r="F345" s="838">
        <v>7432.7519527779668</v>
      </c>
      <c r="G345" s="838">
        <v>349.36952281777462</v>
      </c>
      <c r="H345" s="838">
        <v>-7083.382429960192</v>
      </c>
      <c r="I345" s="839">
        <v>0</v>
      </c>
      <c r="J345" s="851">
        <v>0</v>
      </c>
      <c r="K345" s="852"/>
      <c r="L345" s="839">
        <v>0</v>
      </c>
      <c r="M345" s="851">
        <v>0</v>
      </c>
      <c r="N345" s="853"/>
      <c r="O345" s="839">
        <v>0</v>
      </c>
      <c r="P345" s="851">
        <v>0</v>
      </c>
      <c r="Q345" s="854"/>
      <c r="R345" s="839">
        <v>0</v>
      </c>
      <c r="S345" s="851">
        <v>0</v>
      </c>
      <c r="T345" s="855"/>
      <c r="U345" s="839">
        <v>0</v>
      </c>
      <c r="V345" s="851">
        <v>0</v>
      </c>
      <c r="W345" s="839">
        <v>0</v>
      </c>
      <c r="X345" s="851">
        <v>27.36952281777463</v>
      </c>
      <c r="Y345" s="839">
        <v>0</v>
      </c>
      <c r="Z345" s="851">
        <v>0</v>
      </c>
      <c r="AA345" s="839">
        <v>0</v>
      </c>
      <c r="AB345" s="851">
        <v>0</v>
      </c>
      <c r="AC345" s="839">
        <v>0</v>
      </c>
      <c r="AD345" s="851">
        <v>322</v>
      </c>
      <c r="AE345" s="839">
        <v>295.42726748454351</v>
      </c>
      <c r="AF345" s="851">
        <v>0</v>
      </c>
      <c r="AG345" s="856"/>
      <c r="AH345" s="839">
        <v>428.45713760025609</v>
      </c>
      <c r="AI345" s="851">
        <v>0</v>
      </c>
      <c r="AJ345" s="856"/>
      <c r="AK345" s="839">
        <v>308.57612691882474</v>
      </c>
      <c r="AL345" s="851">
        <v>0</v>
      </c>
      <c r="AM345" s="856"/>
      <c r="AN345" s="839">
        <v>0</v>
      </c>
      <c r="AO345" s="851">
        <v>0</v>
      </c>
      <c r="AP345" s="856"/>
      <c r="AQ345" s="839">
        <v>0</v>
      </c>
      <c r="AR345" s="851">
        <v>0</v>
      </c>
      <c r="AS345" s="856"/>
      <c r="AT345" s="839">
        <v>215.60581703809186</v>
      </c>
      <c r="AU345" s="851">
        <v>0</v>
      </c>
      <c r="AV345" s="856"/>
      <c r="AW345" s="839">
        <v>0</v>
      </c>
      <c r="AX345" s="851">
        <v>0</v>
      </c>
      <c r="AY345" s="856"/>
      <c r="AZ345" s="845">
        <v>1248.0663490417162</v>
      </c>
      <c r="BA345" s="845">
        <v>0</v>
      </c>
      <c r="BB345" s="846">
        <v>-1248.0663490417162</v>
      </c>
      <c r="BD345" s="2">
        <v>3</v>
      </c>
      <c r="BF345" s="787">
        <v>8.604824895957881</v>
      </c>
      <c r="BG345" s="325">
        <v>150000896</v>
      </c>
      <c r="BI345" s="847">
        <v>12.45</v>
      </c>
      <c r="BJ345" s="847">
        <v>1.2217613803900271</v>
      </c>
      <c r="BK345" s="847">
        <v>13.671761380390027</v>
      </c>
      <c r="BL345" s="848"/>
      <c r="BM345" s="3"/>
      <c r="BN345" s="3"/>
      <c r="BP345" s="3"/>
      <c r="BQ345" s="3"/>
      <c r="BS345" s="42" t="s">
        <v>318</v>
      </c>
    </row>
    <row r="346" spans="1:71" ht="24.9" customHeight="1" x14ac:dyDescent="0.3">
      <c r="A346" s="325">
        <v>150000898</v>
      </c>
      <c r="B346" s="849" t="s">
        <v>191</v>
      </c>
      <c r="C346" s="850">
        <v>2</v>
      </c>
      <c r="D346" s="101" t="s">
        <v>455</v>
      </c>
      <c r="E346" s="279">
        <v>472.1</v>
      </c>
      <c r="F346" s="838">
        <v>1172.2516068596362</v>
      </c>
      <c r="G346" s="838">
        <v>0</v>
      </c>
      <c r="H346" s="838">
        <v>-1172.2516068596362</v>
      </c>
      <c r="I346" s="839">
        <v>0</v>
      </c>
      <c r="J346" s="851">
        <v>0</v>
      </c>
      <c r="K346" s="852"/>
      <c r="L346" s="839">
        <v>0</v>
      </c>
      <c r="M346" s="851">
        <v>0</v>
      </c>
      <c r="N346" s="853"/>
      <c r="O346" s="839">
        <v>0</v>
      </c>
      <c r="P346" s="851">
        <v>0</v>
      </c>
      <c r="Q346" s="854"/>
      <c r="R346" s="839">
        <v>0</v>
      </c>
      <c r="S346" s="851">
        <v>0</v>
      </c>
      <c r="T346" s="855"/>
      <c r="U346" s="839">
        <v>0</v>
      </c>
      <c r="V346" s="851">
        <v>0</v>
      </c>
      <c r="W346" s="839">
        <v>0</v>
      </c>
      <c r="X346" s="851">
        <v>0</v>
      </c>
      <c r="Y346" s="839">
        <v>0</v>
      </c>
      <c r="Z346" s="851">
        <v>0</v>
      </c>
      <c r="AA346" s="839">
        <v>0</v>
      </c>
      <c r="AB346" s="851">
        <v>0</v>
      </c>
      <c r="AC346" s="839">
        <v>0</v>
      </c>
      <c r="AD346" s="851">
        <v>0</v>
      </c>
      <c r="AE346" s="839">
        <v>60.429984657058824</v>
      </c>
      <c r="AF346" s="851">
        <v>0</v>
      </c>
      <c r="AG346" s="856"/>
      <c r="AH346" s="839">
        <v>94.724978012500713</v>
      </c>
      <c r="AI346" s="851">
        <v>0</v>
      </c>
      <c r="AJ346" s="856"/>
      <c r="AK346" s="839">
        <v>31.502063628871475</v>
      </c>
      <c r="AL346" s="851">
        <v>0</v>
      </c>
      <c r="AM346" s="856"/>
      <c r="AN346" s="839">
        <v>0</v>
      </c>
      <c r="AO346" s="851">
        <v>0</v>
      </c>
      <c r="AP346" s="856"/>
      <c r="AQ346" s="839">
        <v>0</v>
      </c>
      <c r="AR346" s="851">
        <v>0</v>
      </c>
      <c r="AS346" s="856"/>
      <c r="AT346" s="839">
        <v>9.8614283025793927</v>
      </c>
      <c r="AU346" s="851">
        <v>0</v>
      </c>
      <c r="AV346" s="856"/>
      <c r="AW346" s="839">
        <v>0</v>
      </c>
      <c r="AX346" s="851">
        <v>0</v>
      </c>
      <c r="AY346" s="856"/>
      <c r="AZ346" s="845">
        <v>196.5184546010104</v>
      </c>
      <c r="BA346" s="845">
        <v>0</v>
      </c>
      <c r="BB346" s="846">
        <v>-196.5184546010104</v>
      </c>
      <c r="BD346" s="2">
        <v>3</v>
      </c>
      <c r="BF346" s="787">
        <v>1.4978293359075698</v>
      </c>
      <c r="BG346" s="325">
        <v>150000898</v>
      </c>
      <c r="BI346" s="847">
        <v>0</v>
      </c>
      <c r="BJ346" s="847">
        <v>0</v>
      </c>
      <c r="BK346" s="847">
        <v>0</v>
      </c>
      <c r="BL346" s="848"/>
      <c r="BM346" s="3"/>
      <c r="BN346" s="3"/>
      <c r="BP346" s="3"/>
      <c r="BQ346" s="3"/>
      <c r="BS346" s="42" t="s">
        <v>191</v>
      </c>
    </row>
    <row r="347" spans="1:71" ht="24.9" customHeight="1" x14ac:dyDescent="0.3">
      <c r="A347" s="325">
        <v>150000899</v>
      </c>
      <c r="B347" s="849" t="s">
        <v>403</v>
      </c>
      <c r="C347" s="850">
        <v>9</v>
      </c>
      <c r="D347" s="101" t="s">
        <v>455</v>
      </c>
      <c r="E347" s="279">
        <v>6212</v>
      </c>
      <c r="F347" s="838">
        <v>16723.939383678033</v>
      </c>
      <c r="G347" s="838">
        <v>0</v>
      </c>
      <c r="H347" s="838">
        <v>-16723.939383678033</v>
      </c>
      <c r="I347" s="839">
        <v>0</v>
      </c>
      <c r="J347" s="851">
        <v>0</v>
      </c>
      <c r="K347" s="852"/>
      <c r="L347" s="839">
        <v>0</v>
      </c>
      <c r="M347" s="851">
        <v>0</v>
      </c>
      <c r="N347" s="853"/>
      <c r="O347" s="839">
        <v>0</v>
      </c>
      <c r="P347" s="851">
        <v>0</v>
      </c>
      <c r="Q347" s="854"/>
      <c r="R347" s="839">
        <v>0</v>
      </c>
      <c r="S347" s="851">
        <v>0</v>
      </c>
      <c r="T347" s="870"/>
      <c r="U347" s="839">
        <v>0</v>
      </c>
      <c r="V347" s="851">
        <v>0</v>
      </c>
      <c r="W347" s="839">
        <v>0</v>
      </c>
      <c r="X347" s="851">
        <v>0</v>
      </c>
      <c r="Y347" s="839">
        <v>0</v>
      </c>
      <c r="Z347" s="851">
        <v>0</v>
      </c>
      <c r="AA347" s="839">
        <v>0</v>
      </c>
      <c r="AB347" s="851">
        <v>0</v>
      </c>
      <c r="AC347" s="839">
        <v>0</v>
      </c>
      <c r="AD347" s="851">
        <v>0</v>
      </c>
      <c r="AE347" s="839">
        <v>340.96883158200427</v>
      </c>
      <c r="AF347" s="851">
        <v>0</v>
      </c>
      <c r="AG347" s="856"/>
      <c r="AH347" s="839">
        <v>455.31679837177501</v>
      </c>
      <c r="AI347" s="851">
        <v>0</v>
      </c>
      <c r="AJ347" s="867"/>
      <c r="AK347" s="839">
        <v>555.88466136810791</v>
      </c>
      <c r="AL347" s="851">
        <v>0</v>
      </c>
      <c r="AM347" s="856"/>
      <c r="AN347" s="839">
        <v>181.65122486457074</v>
      </c>
      <c r="AO347" s="851">
        <v>0</v>
      </c>
      <c r="AP347" s="856"/>
      <c r="AQ347" s="839">
        <v>98.941812127749259</v>
      </c>
      <c r="AR347" s="851">
        <v>0</v>
      </c>
      <c r="AS347" s="856"/>
      <c r="AT347" s="839">
        <v>140.16379835239022</v>
      </c>
      <c r="AU347" s="851">
        <v>0</v>
      </c>
      <c r="AV347" s="857"/>
      <c r="AW347" s="839">
        <v>0</v>
      </c>
      <c r="AX347" s="851">
        <v>0</v>
      </c>
      <c r="AY347" s="856"/>
      <c r="AZ347" s="845">
        <v>1772.9271266665976</v>
      </c>
      <c r="BA347" s="845">
        <v>0</v>
      </c>
      <c r="BB347" s="846">
        <v>-1772.9271266665976</v>
      </c>
      <c r="BD347" s="2">
        <v>3</v>
      </c>
      <c r="BF347" s="787">
        <v>54.921005913223674</v>
      </c>
      <c r="BG347" s="325">
        <v>150000899</v>
      </c>
      <c r="BI347" s="847">
        <v>0</v>
      </c>
      <c r="BJ347" s="847">
        <v>0</v>
      </c>
      <c r="BK347" s="847">
        <v>0</v>
      </c>
      <c r="BL347" s="848"/>
      <c r="BM347" s="3"/>
      <c r="BN347" s="3"/>
      <c r="BP347" s="3"/>
      <c r="BQ347" s="3"/>
      <c r="BS347" s="42" t="s">
        <v>403</v>
      </c>
    </row>
    <row r="348" spans="1:71" ht="24.9" customHeight="1" x14ac:dyDescent="0.3">
      <c r="A348" s="325">
        <v>150000900</v>
      </c>
      <c r="B348" s="849" t="s">
        <v>426</v>
      </c>
      <c r="C348" s="850">
        <v>14</v>
      </c>
      <c r="D348" s="101" t="s">
        <v>455</v>
      </c>
      <c r="E348" s="279">
        <v>4357.8100000000004</v>
      </c>
      <c r="F348" s="838">
        <v>11245.874506167012</v>
      </c>
      <c r="G348" s="838">
        <v>0</v>
      </c>
      <c r="H348" s="838">
        <v>-11245.874506167012</v>
      </c>
      <c r="I348" s="839">
        <v>0</v>
      </c>
      <c r="J348" s="851">
        <v>0</v>
      </c>
      <c r="K348" s="852"/>
      <c r="L348" s="839">
        <v>0</v>
      </c>
      <c r="M348" s="851">
        <v>0</v>
      </c>
      <c r="N348" s="853"/>
      <c r="O348" s="839">
        <v>0</v>
      </c>
      <c r="P348" s="851">
        <v>0</v>
      </c>
      <c r="Q348" s="854"/>
      <c r="R348" s="839">
        <v>0</v>
      </c>
      <c r="S348" s="851">
        <v>0</v>
      </c>
      <c r="T348" s="855"/>
      <c r="U348" s="839">
        <v>0</v>
      </c>
      <c r="V348" s="851">
        <v>0</v>
      </c>
      <c r="W348" s="839">
        <v>0</v>
      </c>
      <c r="X348" s="851">
        <v>0</v>
      </c>
      <c r="Y348" s="839">
        <v>0</v>
      </c>
      <c r="Z348" s="851">
        <v>0</v>
      </c>
      <c r="AA348" s="839">
        <v>0</v>
      </c>
      <c r="AB348" s="851">
        <v>0</v>
      </c>
      <c r="AC348" s="839">
        <v>0</v>
      </c>
      <c r="AD348" s="851">
        <v>0</v>
      </c>
      <c r="AE348" s="839">
        <v>561.048539709024</v>
      </c>
      <c r="AF348" s="851">
        <v>0</v>
      </c>
      <c r="AG348" s="856"/>
      <c r="AH348" s="839">
        <v>141.51362313451344</v>
      </c>
      <c r="AI348" s="851">
        <v>0</v>
      </c>
      <c r="AJ348" s="856"/>
      <c r="AK348" s="839">
        <v>356.63179670758154</v>
      </c>
      <c r="AL348" s="851">
        <v>0</v>
      </c>
      <c r="AM348" s="857"/>
      <c r="AN348" s="839">
        <v>126.89920129436939</v>
      </c>
      <c r="AO348" s="851">
        <v>0</v>
      </c>
      <c r="AP348" s="856"/>
      <c r="AQ348" s="839">
        <v>67.470245961631889</v>
      </c>
      <c r="AR348" s="851">
        <v>0</v>
      </c>
      <c r="AS348" s="856"/>
      <c r="AT348" s="839">
        <v>112.82000111684427</v>
      </c>
      <c r="AU348" s="851">
        <v>0</v>
      </c>
      <c r="AV348" s="856"/>
      <c r="AW348" s="839">
        <v>0</v>
      </c>
      <c r="AX348" s="851">
        <v>0</v>
      </c>
      <c r="AY348" s="856"/>
      <c r="AZ348" s="845">
        <v>1366.3834079239646</v>
      </c>
      <c r="BA348" s="845">
        <v>0</v>
      </c>
      <c r="BB348" s="846">
        <v>-1366.3834079239646</v>
      </c>
      <c r="BD348" s="2">
        <v>3</v>
      </c>
      <c r="BF348" s="787">
        <v>13.777713822958809</v>
      </c>
      <c r="BG348" s="325">
        <v>150000900</v>
      </c>
      <c r="BI348" s="847">
        <v>0</v>
      </c>
      <c r="BJ348" s="847">
        <v>0</v>
      </c>
      <c r="BK348" s="847">
        <v>0</v>
      </c>
      <c r="BL348" s="848"/>
      <c r="BM348" s="3"/>
      <c r="BN348" s="3"/>
      <c r="BP348" s="3"/>
      <c r="BQ348" s="3"/>
      <c r="BS348" s="42" t="s">
        <v>426</v>
      </c>
    </row>
    <row r="349" spans="1:71" ht="24.9" customHeight="1" x14ac:dyDescent="0.3">
      <c r="A349" s="325">
        <v>150000901</v>
      </c>
      <c r="B349" s="849" t="s">
        <v>425</v>
      </c>
      <c r="C349" s="850">
        <v>10</v>
      </c>
      <c r="D349" s="101" t="s">
        <v>455</v>
      </c>
      <c r="E349" s="279">
        <v>9955.5999999999985</v>
      </c>
      <c r="F349" s="838">
        <v>25571.933646143214</v>
      </c>
      <c r="G349" s="838">
        <v>421</v>
      </c>
      <c r="H349" s="838">
        <v>-25150.933646143214</v>
      </c>
      <c r="I349" s="839">
        <v>0</v>
      </c>
      <c r="J349" s="851">
        <v>0</v>
      </c>
      <c r="K349" s="852"/>
      <c r="L349" s="839">
        <v>0</v>
      </c>
      <c r="M349" s="851">
        <v>0</v>
      </c>
      <c r="N349" s="853"/>
      <c r="O349" s="839">
        <v>0</v>
      </c>
      <c r="P349" s="851">
        <v>0</v>
      </c>
      <c r="Q349" s="854"/>
      <c r="R349" s="839">
        <v>0</v>
      </c>
      <c r="S349" s="851">
        <v>0</v>
      </c>
      <c r="T349" s="870"/>
      <c r="U349" s="839">
        <v>0</v>
      </c>
      <c r="V349" s="851">
        <v>0</v>
      </c>
      <c r="W349" s="839">
        <v>0</v>
      </c>
      <c r="X349" s="851">
        <v>0</v>
      </c>
      <c r="Y349" s="839">
        <v>0</v>
      </c>
      <c r="Z349" s="851">
        <v>0</v>
      </c>
      <c r="AA349" s="839">
        <v>0</v>
      </c>
      <c r="AB349" s="851">
        <v>0</v>
      </c>
      <c r="AC349" s="839">
        <v>421</v>
      </c>
      <c r="AD349" s="851">
        <v>0</v>
      </c>
      <c r="AE349" s="839">
        <v>476.64650222106394</v>
      </c>
      <c r="AF349" s="851">
        <v>2509</v>
      </c>
      <c r="AG349" s="867"/>
      <c r="AH349" s="839">
        <v>658.33936263838734</v>
      </c>
      <c r="AI349" s="851">
        <v>0</v>
      </c>
      <c r="AJ349" s="857"/>
      <c r="AK349" s="839">
        <v>769.26804466027988</v>
      </c>
      <c r="AL349" s="851">
        <v>0</v>
      </c>
      <c r="AM349" s="857"/>
      <c r="AN349" s="839">
        <v>257.8404877473065</v>
      </c>
      <c r="AO349" s="851">
        <v>0</v>
      </c>
      <c r="AP349" s="856"/>
      <c r="AQ349" s="839">
        <v>140.90392757945571</v>
      </c>
      <c r="AR349" s="851">
        <v>0</v>
      </c>
      <c r="AS349" s="867"/>
      <c r="AT349" s="839">
        <v>174.71782081390026</v>
      </c>
      <c r="AU349" s="851">
        <v>0</v>
      </c>
      <c r="AV349" s="856"/>
      <c r="AW349" s="839">
        <v>0</v>
      </c>
      <c r="AX349" s="851">
        <v>0</v>
      </c>
      <c r="AY349" s="856"/>
      <c r="AZ349" s="845">
        <v>2477.7161456603935</v>
      </c>
      <c r="BA349" s="845">
        <v>2509</v>
      </c>
      <c r="BB349" s="846">
        <v>31.283854339606478</v>
      </c>
      <c r="BD349" s="2">
        <v>3</v>
      </c>
      <c r="BF349" s="787">
        <v>66.69376682253403</v>
      </c>
      <c r="BG349" s="325">
        <v>150000901</v>
      </c>
      <c r="BI349" s="847">
        <v>0</v>
      </c>
      <c r="BJ349" s="847">
        <v>0</v>
      </c>
      <c r="BK349" s="847">
        <v>0</v>
      </c>
      <c r="BL349" s="848"/>
      <c r="BM349" s="3"/>
      <c r="BN349" s="3"/>
      <c r="BP349" s="3"/>
      <c r="BQ349" s="3"/>
      <c r="BS349" s="42" t="s">
        <v>425</v>
      </c>
    </row>
    <row r="350" spans="1:71" s="31" customFormat="1" ht="24.9" customHeight="1" x14ac:dyDescent="0.3">
      <c r="A350" s="325">
        <v>150000902</v>
      </c>
      <c r="B350" s="849" t="s">
        <v>404</v>
      </c>
      <c r="C350" s="850">
        <v>9</v>
      </c>
      <c r="D350" s="101" t="s">
        <v>455</v>
      </c>
      <c r="E350" s="279">
        <v>3581.3</v>
      </c>
      <c r="F350" s="838">
        <v>11292.644715090924</v>
      </c>
      <c r="G350" s="838">
        <v>0</v>
      </c>
      <c r="H350" s="838">
        <v>-11292.644715090924</v>
      </c>
      <c r="I350" s="839">
        <v>0</v>
      </c>
      <c r="J350" s="851">
        <v>0</v>
      </c>
      <c r="K350" s="852"/>
      <c r="L350" s="839">
        <v>0</v>
      </c>
      <c r="M350" s="851">
        <v>0</v>
      </c>
      <c r="N350" s="853"/>
      <c r="O350" s="839">
        <v>0</v>
      </c>
      <c r="P350" s="851">
        <v>0</v>
      </c>
      <c r="Q350" s="854"/>
      <c r="R350" s="839">
        <v>0</v>
      </c>
      <c r="S350" s="851">
        <v>0</v>
      </c>
      <c r="T350" s="855"/>
      <c r="U350" s="839">
        <v>0</v>
      </c>
      <c r="V350" s="851">
        <v>0</v>
      </c>
      <c r="W350" s="839">
        <v>0</v>
      </c>
      <c r="X350" s="851">
        <v>0</v>
      </c>
      <c r="Y350" s="839">
        <v>0</v>
      </c>
      <c r="Z350" s="851">
        <v>0</v>
      </c>
      <c r="AA350" s="839">
        <v>0</v>
      </c>
      <c r="AB350" s="851">
        <v>0</v>
      </c>
      <c r="AC350" s="839">
        <v>0</v>
      </c>
      <c r="AD350" s="851">
        <v>0</v>
      </c>
      <c r="AE350" s="839">
        <v>145.57624762893238</v>
      </c>
      <c r="AF350" s="851">
        <v>0</v>
      </c>
      <c r="AG350" s="867"/>
      <c r="AH350" s="839">
        <v>300.46764475683648</v>
      </c>
      <c r="AI350" s="851">
        <v>0</v>
      </c>
      <c r="AJ350" s="856"/>
      <c r="AK350" s="839">
        <v>314.65407721141514</v>
      </c>
      <c r="AL350" s="851">
        <v>0</v>
      </c>
      <c r="AM350" s="857"/>
      <c r="AN350" s="839">
        <v>109.3875700743293</v>
      </c>
      <c r="AO350" s="851">
        <v>0</v>
      </c>
      <c r="AP350" s="856"/>
      <c r="AQ350" s="839">
        <v>65.961235315382794</v>
      </c>
      <c r="AR350" s="851">
        <v>0</v>
      </c>
      <c r="AS350" s="867"/>
      <c r="AT350" s="839">
        <v>212.42405582180592</v>
      </c>
      <c r="AU350" s="851">
        <v>0</v>
      </c>
      <c r="AV350" s="857"/>
      <c r="AW350" s="839">
        <v>0</v>
      </c>
      <c r="AX350" s="851">
        <v>0</v>
      </c>
      <c r="AY350" s="856"/>
      <c r="AZ350" s="845">
        <v>1148.4708308087022</v>
      </c>
      <c r="BA350" s="845">
        <v>0</v>
      </c>
      <c r="BB350" s="846">
        <v>-1148.4708308087022</v>
      </c>
      <c r="BC350" s="1"/>
      <c r="BD350" s="2">
        <v>3</v>
      </c>
      <c r="BE350" s="1"/>
      <c r="BF350" s="787">
        <v>46.57792835938055</v>
      </c>
      <c r="BG350" s="325">
        <v>150000902</v>
      </c>
      <c r="BH350" s="1"/>
      <c r="BI350" s="847">
        <v>0</v>
      </c>
      <c r="BJ350" s="847">
        <v>0</v>
      </c>
      <c r="BK350" s="847">
        <v>0</v>
      </c>
      <c r="BL350" s="848"/>
      <c r="BM350" s="3"/>
      <c r="BN350" s="3"/>
      <c r="BO350" s="1"/>
      <c r="BP350" s="3"/>
      <c r="BQ350" s="3"/>
      <c r="BS350" s="42" t="s">
        <v>404</v>
      </c>
    </row>
    <row r="351" spans="1:71" x14ac:dyDescent="0.3">
      <c r="A351" s="325">
        <v>150000903</v>
      </c>
      <c r="B351" s="849" t="s">
        <v>405</v>
      </c>
      <c r="C351" s="850">
        <v>9</v>
      </c>
      <c r="D351" s="101" t="s">
        <v>455</v>
      </c>
      <c r="E351" s="279">
        <v>4073.8</v>
      </c>
      <c r="F351" s="838">
        <v>12366.532375090457</v>
      </c>
      <c r="G351" s="838">
        <v>547</v>
      </c>
      <c r="H351" s="838">
        <v>-11819.532375090457</v>
      </c>
      <c r="I351" s="839">
        <v>0</v>
      </c>
      <c r="J351" s="851">
        <v>0</v>
      </c>
      <c r="K351" s="852"/>
      <c r="L351" s="839">
        <v>0</v>
      </c>
      <c r="M351" s="851">
        <v>0</v>
      </c>
      <c r="N351" s="853"/>
      <c r="O351" s="839">
        <v>0</v>
      </c>
      <c r="P351" s="851">
        <v>0</v>
      </c>
      <c r="Q351" s="854"/>
      <c r="R351" s="839">
        <v>0</v>
      </c>
      <c r="S351" s="851">
        <v>0</v>
      </c>
      <c r="T351" s="860"/>
      <c r="U351" s="839">
        <v>0</v>
      </c>
      <c r="V351" s="851">
        <v>0</v>
      </c>
      <c r="W351" s="839">
        <v>0</v>
      </c>
      <c r="X351" s="851">
        <v>0</v>
      </c>
      <c r="Y351" s="839">
        <v>0</v>
      </c>
      <c r="Z351" s="851">
        <v>0</v>
      </c>
      <c r="AA351" s="839">
        <v>0</v>
      </c>
      <c r="AB351" s="851">
        <v>0</v>
      </c>
      <c r="AC351" s="839">
        <v>547</v>
      </c>
      <c r="AD351" s="851">
        <v>0</v>
      </c>
      <c r="AE351" s="839">
        <v>147.03276510935248</v>
      </c>
      <c r="AF351" s="851">
        <v>0</v>
      </c>
      <c r="AG351" s="856"/>
      <c r="AH351" s="839">
        <v>175.33142691704413</v>
      </c>
      <c r="AI351" s="851">
        <v>0</v>
      </c>
      <c r="AJ351" s="856"/>
      <c r="AK351" s="839">
        <v>356.82220769353341</v>
      </c>
      <c r="AL351" s="851">
        <v>0</v>
      </c>
      <c r="AM351" s="857"/>
      <c r="AN351" s="839">
        <v>132.02736547955371</v>
      </c>
      <c r="AO351" s="851">
        <v>0</v>
      </c>
      <c r="AP351" s="856"/>
      <c r="AQ351" s="839">
        <v>65.961235315382794</v>
      </c>
      <c r="AR351" s="851">
        <v>0</v>
      </c>
      <c r="AS351" s="856"/>
      <c r="AT351" s="839">
        <v>180.8957334091144</v>
      </c>
      <c r="AU351" s="851">
        <v>0</v>
      </c>
      <c r="AV351" s="856"/>
      <c r="AW351" s="839">
        <v>0</v>
      </c>
      <c r="AX351" s="851">
        <v>0</v>
      </c>
      <c r="AY351" s="856"/>
      <c r="AZ351" s="845">
        <v>1058.0707339239809</v>
      </c>
      <c r="BA351" s="845">
        <v>0</v>
      </c>
      <c r="BB351" s="846">
        <v>-1058.0707339239809</v>
      </c>
      <c r="BD351" s="2">
        <v>3</v>
      </c>
      <c r="BF351" s="787">
        <v>48.138894326901251</v>
      </c>
      <c r="BG351" s="325">
        <v>150000903</v>
      </c>
      <c r="BI351" s="847">
        <v>0</v>
      </c>
      <c r="BJ351" s="847">
        <v>0</v>
      </c>
      <c r="BK351" s="847">
        <v>0</v>
      </c>
      <c r="BL351" s="848"/>
      <c r="BM351" s="3"/>
      <c r="BN351" s="3"/>
      <c r="BP351" s="3"/>
      <c r="BQ351" s="3"/>
      <c r="BS351" s="42" t="s">
        <v>405</v>
      </c>
    </row>
    <row r="352" spans="1:71" x14ac:dyDescent="0.3">
      <c r="A352" s="325">
        <v>150000904</v>
      </c>
      <c r="B352" s="849" t="s">
        <v>406</v>
      </c>
      <c r="C352" s="850">
        <v>9</v>
      </c>
      <c r="D352" s="101" t="s">
        <v>455</v>
      </c>
      <c r="E352" s="279">
        <v>4387.3</v>
      </c>
      <c r="F352" s="838">
        <v>11530.213981401888</v>
      </c>
      <c r="G352" s="838">
        <v>286</v>
      </c>
      <c r="H352" s="838">
        <v>-11244.213981401888</v>
      </c>
      <c r="I352" s="839">
        <v>0</v>
      </c>
      <c r="J352" s="851">
        <v>0</v>
      </c>
      <c r="K352" s="852"/>
      <c r="L352" s="839">
        <v>0</v>
      </c>
      <c r="M352" s="851">
        <v>0</v>
      </c>
      <c r="N352" s="853"/>
      <c r="O352" s="839">
        <v>0</v>
      </c>
      <c r="P352" s="851">
        <v>0</v>
      </c>
      <c r="Q352" s="854"/>
      <c r="R352" s="839">
        <v>0</v>
      </c>
      <c r="S352" s="851">
        <v>0</v>
      </c>
      <c r="T352" s="855"/>
      <c r="U352" s="839">
        <v>0</v>
      </c>
      <c r="V352" s="851">
        <v>0</v>
      </c>
      <c r="W352" s="839">
        <v>0</v>
      </c>
      <c r="X352" s="851">
        <v>0</v>
      </c>
      <c r="Y352" s="839">
        <v>0</v>
      </c>
      <c r="Z352" s="851">
        <v>0</v>
      </c>
      <c r="AA352" s="839">
        <v>0</v>
      </c>
      <c r="AB352" s="851">
        <v>0</v>
      </c>
      <c r="AC352" s="839">
        <v>286</v>
      </c>
      <c r="AD352" s="851">
        <v>0</v>
      </c>
      <c r="AE352" s="839">
        <v>212.04421281182931</v>
      </c>
      <c r="AF352" s="851">
        <v>0</v>
      </c>
      <c r="AG352" s="856"/>
      <c r="AH352" s="839">
        <v>304.27448839668364</v>
      </c>
      <c r="AI352" s="851">
        <v>0</v>
      </c>
      <c r="AJ352" s="856"/>
      <c r="AK352" s="839">
        <v>398.7972333502222</v>
      </c>
      <c r="AL352" s="851">
        <v>0</v>
      </c>
      <c r="AM352" s="856"/>
      <c r="AN352" s="839">
        <v>132.606248971273</v>
      </c>
      <c r="AO352" s="851">
        <v>0</v>
      </c>
      <c r="AP352" s="856"/>
      <c r="AQ352" s="839">
        <v>65.961235315382794</v>
      </c>
      <c r="AR352" s="851">
        <v>0</v>
      </c>
      <c r="AS352" s="856"/>
      <c r="AT352" s="839">
        <v>161.26258263002811</v>
      </c>
      <c r="AU352" s="851">
        <v>0</v>
      </c>
      <c r="AV352" s="856"/>
      <c r="AW352" s="839">
        <v>0</v>
      </c>
      <c r="AX352" s="851">
        <v>0</v>
      </c>
      <c r="AY352" s="856"/>
      <c r="AZ352" s="845">
        <v>1274.9460014754191</v>
      </c>
      <c r="BA352" s="845">
        <v>0</v>
      </c>
      <c r="BB352" s="846">
        <v>-1274.9460014754191</v>
      </c>
      <c r="BD352" s="2">
        <v>3</v>
      </c>
      <c r="BF352" s="787">
        <v>49.135120574465276</v>
      </c>
      <c r="BG352" s="325">
        <v>150000904</v>
      </c>
      <c r="BI352" s="847">
        <v>0</v>
      </c>
      <c r="BJ352" s="847">
        <v>0</v>
      </c>
      <c r="BK352" s="847">
        <v>0</v>
      </c>
      <c r="BL352" s="848"/>
      <c r="BM352" s="3"/>
      <c r="BN352" s="3"/>
      <c r="BP352" s="3"/>
      <c r="BQ352" s="3"/>
      <c r="BS352" s="42" t="s">
        <v>406</v>
      </c>
    </row>
    <row r="353" spans="1:71" x14ac:dyDescent="0.3">
      <c r="A353" s="325">
        <v>150000905</v>
      </c>
      <c r="B353" s="849" t="s">
        <v>427</v>
      </c>
      <c r="C353" s="850">
        <v>14</v>
      </c>
      <c r="D353" s="101" t="s">
        <v>455</v>
      </c>
      <c r="E353" s="279">
        <v>5222.9000000000005</v>
      </c>
      <c r="F353" s="838">
        <v>12659.552194377515</v>
      </c>
      <c r="G353" s="838">
        <v>991</v>
      </c>
      <c r="H353" s="838">
        <v>-11668.552194377515</v>
      </c>
      <c r="I353" s="839">
        <v>0</v>
      </c>
      <c r="J353" s="851">
        <v>0</v>
      </c>
      <c r="K353" s="852"/>
      <c r="L353" s="839">
        <v>0</v>
      </c>
      <c r="M353" s="851">
        <v>0</v>
      </c>
      <c r="N353" s="853"/>
      <c r="O353" s="839">
        <v>0</v>
      </c>
      <c r="P353" s="851">
        <v>0</v>
      </c>
      <c r="Q353" s="854"/>
      <c r="R353" s="839">
        <v>1</v>
      </c>
      <c r="S353" s="851">
        <v>991</v>
      </c>
      <c r="T353" s="855"/>
      <c r="U353" s="839">
        <v>0</v>
      </c>
      <c r="V353" s="851">
        <v>0</v>
      </c>
      <c r="W353" s="839">
        <v>0</v>
      </c>
      <c r="X353" s="851">
        <v>0</v>
      </c>
      <c r="Y353" s="839">
        <v>0</v>
      </c>
      <c r="Z353" s="851">
        <v>0</v>
      </c>
      <c r="AA353" s="839">
        <v>0</v>
      </c>
      <c r="AB353" s="851">
        <v>0</v>
      </c>
      <c r="AC353" s="839">
        <v>0</v>
      </c>
      <c r="AD353" s="851">
        <v>0</v>
      </c>
      <c r="AE353" s="839">
        <v>183.3946159153254</v>
      </c>
      <c r="AF353" s="851">
        <v>0</v>
      </c>
      <c r="AG353" s="856"/>
      <c r="AH353" s="839">
        <v>218.36186909299212</v>
      </c>
      <c r="AI353" s="851">
        <v>0</v>
      </c>
      <c r="AJ353" s="856"/>
      <c r="AK353" s="839">
        <v>522.00363200181357</v>
      </c>
      <c r="AL353" s="851">
        <v>0</v>
      </c>
      <c r="AM353" s="856"/>
      <c r="AN353" s="839">
        <v>144.54378108389068</v>
      </c>
      <c r="AO353" s="851">
        <v>0</v>
      </c>
      <c r="AP353" s="856"/>
      <c r="AQ353" s="839">
        <v>67.470245961631889</v>
      </c>
      <c r="AR353" s="851">
        <v>0</v>
      </c>
      <c r="AS353" s="856"/>
      <c r="AT353" s="839">
        <v>142.92069518764279</v>
      </c>
      <c r="AU353" s="851">
        <v>0</v>
      </c>
      <c r="AV353" s="856"/>
      <c r="AW353" s="839">
        <v>0</v>
      </c>
      <c r="AX353" s="851">
        <v>0</v>
      </c>
      <c r="AY353" s="856"/>
      <c r="AZ353" s="845">
        <v>1278.6948392432967</v>
      </c>
      <c r="BA353" s="845">
        <v>0</v>
      </c>
      <c r="BB353" s="846">
        <v>-1278.6948392432967</v>
      </c>
      <c r="BD353" s="2">
        <v>3</v>
      </c>
      <c r="BF353" s="787">
        <v>16.570669007650174</v>
      </c>
      <c r="BG353" s="325">
        <v>150000905</v>
      </c>
      <c r="BI353" s="847">
        <v>0</v>
      </c>
      <c r="BJ353" s="847">
        <v>0</v>
      </c>
      <c r="BK353" s="847">
        <v>0</v>
      </c>
      <c r="BL353" s="848"/>
      <c r="BM353" s="3"/>
      <c r="BN353" s="3"/>
      <c r="BP353" s="3"/>
      <c r="BQ353" s="3"/>
      <c r="BS353" s="42" t="s">
        <v>427</v>
      </c>
    </row>
    <row r="354" spans="1:71" x14ac:dyDescent="0.3">
      <c r="A354" s="325">
        <v>150000906</v>
      </c>
      <c r="B354" s="849" t="s">
        <v>407</v>
      </c>
      <c r="C354" s="850">
        <v>9</v>
      </c>
      <c r="D354" s="101" t="s">
        <v>455</v>
      </c>
      <c r="E354" s="279">
        <v>3936.36</v>
      </c>
      <c r="F354" s="838">
        <v>13243.355806017549</v>
      </c>
      <c r="G354" s="838">
        <v>5510</v>
      </c>
      <c r="H354" s="838">
        <v>-7733.3558060175492</v>
      </c>
      <c r="I354" s="839">
        <v>0</v>
      </c>
      <c r="J354" s="851">
        <v>0</v>
      </c>
      <c r="K354" s="852"/>
      <c r="L354" s="839">
        <v>0</v>
      </c>
      <c r="M354" s="851">
        <v>0</v>
      </c>
      <c r="N354" s="853"/>
      <c r="O354" s="839">
        <v>0</v>
      </c>
      <c r="P354" s="851">
        <v>0</v>
      </c>
      <c r="Q354" s="869"/>
      <c r="R354" s="839">
        <v>0</v>
      </c>
      <c r="S354" s="851">
        <v>863</v>
      </c>
      <c r="T354" s="855"/>
      <c r="U354" s="839">
        <v>0</v>
      </c>
      <c r="V354" s="851">
        <v>0</v>
      </c>
      <c r="W354" s="839">
        <v>0</v>
      </c>
      <c r="X354" s="851">
        <v>0</v>
      </c>
      <c r="Y354" s="839">
        <v>0</v>
      </c>
      <c r="Z354" s="851">
        <v>0</v>
      </c>
      <c r="AA354" s="839">
        <v>0</v>
      </c>
      <c r="AB354" s="851">
        <v>4647</v>
      </c>
      <c r="AC354" s="839">
        <v>0</v>
      </c>
      <c r="AD354" s="851">
        <v>0</v>
      </c>
      <c r="AE354" s="839">
        <v>80.878175024060099</v>
      </c>
      <c r="AF354" s="851">
        <v>0</v>
      </c>
      <c r="AG354" s="867"/>
      <c r="AH354" s="839">
        <v>179.98343394677127</v>
      </c>
      <c r="AI354" s="851">
        <v>0</v>
      </c>
      <c r="AJ354" s="856"/>
      <c r="AK354" s="839">
        <v>214.01736783688938</v>
      </c>
      <c r="AL354" s="851">
        <v>0</v>
      </c>
      <c r="AM354" s="856"/>
      <c r="AN354" s="839">
        <v>71.621259226018381</v>
      </c>
      <c r="AO354" s="851">
        <v>0</v>
      </c>
      <c r="AP354" s="856"/>
      <c r="AQ354" s="839">
        <v>39.576741189229679</v>
      </c>
      <c r="AR354" s="851">
        <v>0</v>
      </c>
      <c r="AS354" s="877"/>
      <c r="AT354" s="839">
        <v>137.0164525129411</v>
      </c>
      <c r="AU354" s="851">
        <v>0</v>
      </c>
      <c r="AV354" s="856"/>
      <c r="AW354" s="839">
        <v>0</v>
      </c>
      <c r="AX354" s="851">
        <v>0</v>
      </c>
      <c r="AY354" s="856"/>
      <c r="AZ354" s="845">
        <v>723.09342973590992</v>
      </c>
      <c r="BA354" s="845">
        <v>0</v>
      </c>
      <c r="BB354" s="846">
        <v>-723.09342973590992</v>
      </c>
      <c r="BD354" s="2">
        <v>3</v>
      </c>
      <c r="BF354" s="787">
        <v>47.702141125501043</v>
      </c>
      <c r="BG354" s="325">
        <v>150000906</v>
      </c>
      <c r="BI354" s="847">
        <v>0</v>
      </c>
      <c r="BJ354" s="847">
        <v>0</v>
      </c>
      <c r="BK354" s="847">
        <v>0</v>
      </c>
      <c r="BL354" s="848"/>
      <c r="BM354" s="3"/>
      <c r="BN354" s="3"/>
      <c r="BP354" s="3"/>
      <c r="BQ354" s="3"/>
      <c r="BS354" s="42" t="s">
        <v>407</v>
      </c>
    </row>
    <row r="355" spans="1:71" x14ac:dyDescent="0.3">
      <c r="A355" s="325">
        <v>150000907</v>
      </c>
      <c r="B355" s="849" t="s">
        <v>408</v>
      </c>
      <c r="C355" s="850">
        <v>9</v>
      </c>
      <c r="D355" s="101" t="s">
        <v>455</v>
      </c>
      <c r="E355" s="279">
        <v>6307.74</v>
      </c>
      <c r="F355" s="838">
        <v>19965.106872581044</v>
      </c>
      <c r="G355" s="838">
        <v>629.47704125635255</v>
      </c>
      <c r="H355" s="838">
        <v>-19335.629831324692</v>
      </c>
      <c r="I355" s="839">
        <v>0</v>
      </c>
      <c r="J355" s="851">
        <v>0</v>
      </c>
      <c r="K355" s="852"/>
      <c r="L355" s="839">
        <v>0</v>
      </c>
      <c r="M355" s="851">
        <v>0</v>
      </c>
      <c r="N355" s="853"/>
      <c r="O355" s="839">
        <v>0</v>
      </c>
      <c r="P355" s="851">
        <v>0</v>
      </c>
      <c r="Q355" s="854"/>
      <c r="R355" s="839">
        <v>0</v>
      </c>
      <c r="S355" s="851">
        <v>0</v>
      </c>
      <c r="T355" s="870"/>
      <c r="U355" s="839">
        <v>0</v>
      </c>
      <c r="V355" s="851">
        <v>0</v>
      </c>
      <c r="W355" s="839">
        <v>0</v>
      </c>
      <c r="X355" s="851">
        <v>629.47704125635255</v>
      </c>
      <c r="Y355" s="839">
        <v>0</v>
      </c>
      <c r="Z355" s="851">
        <v>0</v>
      </c>
      <c r="AA355" s="839">
        <v>0</v>
      </c>
      <c r="AB355" s="851">
        <v>0</v>
      </c>
      <c r="AC355" s="839">
        <v>0</v>
      </c>
      <c r="AD355" s="851">
        <v>0</v>
      </c>
      <c r="AE355" s="839">
        <v>340.67941004900786</v>
      </c>
      <c r="AF355" s="851">
        <v>0</v>
      </c>
      <c r="AG355" s="856"/>
      <c r="AH355" s="839">
        <v>456.07431114941113</v>
      </c>
      <c r="AI355" s="851">
        <v>0</v>
      </c>
      <c r="AJ355" s="856"/>
      <c r="AK355" s="839">
        <v>1150.4514219355508</v>
      </c>
      <c r="AL355" s="851">
        <v>0</v>
      </c>
      <c r="AM355" s="888"/>
      <c r="AN355" s="839">
        <v>365.27880722162689</v>
      </c>
      <c r="AO355" s="851">
        <v>0</v>
      </c>
      <c r="AP355" s="159"/>
      <c r="AQ355" s="839">
        <v>98.941812127749259</v>
      </c>
      <c r="AR355" s="851">
        <v>0</v>
      </c>
      <c r="AS355" s="856"/>
      <c r="AT355" s="839">
        <v>393.71141400837746</v>
      </c>
      <c r="AU355" s="851">
        <v>0</v>
      </c>
      <c r="AV355" s="856"/>
      <c r="AW355" s="839">
        <v>0</v>
      </c>
      <c r="AX355" s="851">
        <v>0</v>
      </c>
      <c r="AY355" s="856"/>
      <c r="AZ355" s="845">
        <v>2805.1371764917239</v>
      </c>
      <c r="BA355" s="845">
        <v>0</v>
      </c>
      <c r="BB355" s="846">
        <v>-2805.1371764917239</v>
      </c>
      <c r="BD355" s="2">
        <v>3</v>
      </c>
      <c r="BF355" s="787">
        <v>55.229233237907891</v>
      </c>
      <c r="BG355" s="325">
        <v>150000907</v>
      </c>
      <c r="BI355" s="847">
        <v>286.34000000000003</v>
      </c>
      <c r="BJ355" s="847">
        <v>28.099530414528548</v>
      </c>
      <c r="BK355" s="847">
        <v>314.43953041452858</v>
      </c>
      <c r="BL355" s="848"/>
      <c r="BM355" s="3"/>
      <c r="BN355" s="3"/>
      <c r="BP355" s="3"/>
      <c r="BQ355" s="3"/>
      <c r="BS355" s="42" t="s">
        <v>408</v>
      </c>
    </row>
    <row r="356" spans="1:71" x14ac:dyDescent="0.3">
      <c r="A356" s="325">
        <v>150000908</v>
      </c>
      <c r="B356" s="849" t="s">
        <v>409</v>
      </c>
      <c r="C356" s="850">
        <v>9</v>
      </c>
      <c r="D356" s="101" t="s">
        <v>455</v>
      </c>
      <c r="E356" s="279">
        <v>6324.72</v>
      </c>
      <c r="F356" s="838">
        <v>19644.542428767843</v>
      </c>
      <c r="G356" s="838">
        <v>23873.024456457333</v>
      </c>
      <c r="H356" s="838">
        <v>4228.4820276894898</v>
      </c>
      <c r="I356" s="839">
        <v>0</v>
      </c>
      <c r="J356" s="851">
        <v>0</v>
      </c>
      <c r="K356" s="852"/>
      <c r="L356" s="839">
        <v>0</v>
      </c>
      <c r="M356" s="851">
        <v>0</v>
      </c>
      <c r="N356" s="853"/>
      <c r="O356" s="839">
        <v>0</v>
      </c>
      <c r="P356" s="851">
        <v>0</v>
      </c>
      <c r="Q356" s="854"/>
      <c r="R356" s="839">
        <v>0</v>
      </c>
      <c r="S356" s="851">
        <v>0</v>
      </c>
      <c r="T356" s="870"/>
      <c r="U356" s="839">
        <v>23211</v>
      </c>
      <c r="V356" s="851">
        <v>0</v>
      </c>
      <c r="W356" s="839">
        <v>0</v>
      </c>
      <c r="X356" s="851">
        <v>534.0244564573344</v>
      </c>
      <c r="Y356" s="839">
        <v>0</v>
      </c>
      <c r="Z356" s="851">
        <v>0</v>
      </c>
      <c r="AA356" s="839">
        <v>0</v>
      </c>
      <c r="AB356" s="851">
        <v>0</v>
      </c>
      <c r="AC356" s="839">
        <v>128</v>
      </c>
      <c r="AD356" s="851">
        <v>0</v>
      </c>
      <c r="AE356" s="839">
        <v>341.10193611683809</v>
      </c>
      <c r="AF356" s="851">
        <v>0</v>
      </c>
      <c r="AG356" s="856"/>
      <c r="AH356" s="839">
        <v>456.98718243290779</v>
      </c>
      <c r="AI356" s="851">
        <v>0</v>
      </c>
      <c r="AJ356" s="856"/>
      <c r="AK356" s="839">
        <v>1118.9449665843622</v>
      </c>
      <c r="AL356" s="851">
        <v>2046</v>
      </c>
      <c r="AM356" s="867"/>
      <c r="AN356" s="839">
        <v>365.34992358096986</v>
      </c>
      <c r="AO356" s="851">
        <v>0</v>
      </c>
      <c r="AP356" s="159"/>
      <c r="AQ356" s="839">
        <v>98.941812127749259</v>
      </c>
      <c r="AR356" s="851">
        <v>0</v>
      </c>
      <c r="AS356" s="856"/>
      <c r="AT356" s="839">
        <v>395.44141636158889</v>
      </c>
      <c r="AU356" s="851">
        <v>0</v>
      </c>
      <c r="AV356" s="856"/>
      <c r="AW356" s="839">
        <v>0</v>
      </c>
      <c r="AX356" s="851">
        <v>0</v>
      </c>
      <c r="AY356" s="856"/>
      <c r="AZ356" s="845">
        <v>2776.7672372044162</v>
      </c>
      <c r="BA356" s="845">
        <v>2046</v>
      </c>
      <c r="BB356" s="846">
        <v>-730.76723720441623</v>
      </c>
      <c r="BD356" s="2">
        <v>3</v>
      </c>
      <c r="BF356" s="787">
        <v>108.88193086574621</v>
      </c>
      <c r="BG356" s="325">
        <v>150000908</v>
      </c>
      <c r="BI356" s="847">
        <v>242.92</v>
      </c>
      <c r="BJ356" s="847">
        <v>23.838576267015693</v>
      </c>
      <c r="BK356" s="847">
        <v>266.75857626701566</v>
      </c>
      <c r="BL356" s="848"/>
      <c r="BM356" s="3"/>
      <c r="BN356" s="3"/>
      <c r="BP356" s="3"/>
      <c r="BQ356" s="3"/>
      <c r="BS356" s="42" t="s">
        <v>409</v>
      </c>
    </row>
    <row r="357" spans="1:71" x14ac:dyDescent="0.3">
      <c r="A357" s="325">
        <v>150000909</v>
      </c>
      <c r="B357" s="849" t="s">
        <v>410</v>
      </c>
      <c r="C357" s="850">
        <v>9</v>
      </c>
      <c r="D357" s="101" t="s">
        <v>455</v>
      </c>
      <c r="E357" s="279">
        <v>6335.19</v>
      </c>
      <c r="F357" s="838">
        <v>19561.369038329085</v>
      </c>
      <c r="G357" s="838">
        <v>1172.6334533613267</v>
      </c>
      <c r="H357" s="838">
        <v>-18388.735584967759</v>
      </c>
      <c r="I357" s="839">
        <v>0</v>
      </c>
      <c r="J357" s="851">
        <v>664</v>
      </c>
      <c r="K357" s="865"/>
      <c r="L357" s="839">
        <v>0</v>
      </c>
      <c r="M357" s="851">
        <v>0</v>
      </c>
      <c r="N357" s="853"/>
      <c r="O357" s="839">
        <v>0</v>
      </c>
      <c r="P357" s="851">
        <v>0</v>
      </c>
      <c r="Q357" s="854"/>
      <c r="R357" s="839">
        <v>0</v>
      </c>
      <c r="S357" s="851">
        <v>0</v>
      </c>
      <c r="T357" s="860"/>
      <c r="U357" s="839">
        <v>0</v>
      </c>
      <c r="V357" s="851">
        <v>0</v>
      </c>
      <c r="W357" s="839">
        <v>0</v>
      </c>
      <c r="X357" s="851">
        <v>508.6334533613267</v>
      </c>
      <c r="Y357" s="839">
        <v>0</v>
      </c>
      <c r="Z357" s="851">
        <v>0</v>
      </c>
      <c r="AA357" s="839">
        <v>0</v>
      </c>
      <c r="AB357" s="851">
        <v>0</v>
      </c>
      <c r="AC357" s="839">
        <v>0</v>
      </c>
      <c r="AD357" s="851">
        <v>0</v>
      </c>
      <c r="AE357" s="839">
        <v>338.94789082903128</v>
      </c>
      <c r="AF357" s="851">
        <v>505</v>
      </c>
      <c r="AG357" s="857"/>
      <c r="AH357" s="839">
        <v>454.5350152089967</v>
      </c>
      <c r="AI357" s="851">
        <v>0</v>
      </c>
      <c r="AJ357" s="857"/>
      <c r="AK357" s="839">
        <v>1157.2474197511715</v>
      </c>
      <c r="AL357" s="851">
        <v>1527</v>
      </c>
      <c r="AM357" s="888"/>
      <c r="AN357" s="839">
        <v>368.35609494407032</v>
      </c>
      <c r="AO357" s="851">
        <v>0</v>
      </c>
      <c r="AP357" s="856"/>
      <c r="AQ357" s="839">
        <v>98.941812127749259</v>
      </c>
      <c r="AR357" s="851">
        <v>0</v>
      </c>
      <c r="AS357" s="856"/>
      <c r="AT357" s="839">
        <v>390.76670427356618</v>
      </c>
      <c r="AU357" s="851">
        <v>0</v>
      </c>
      <c r="AV357" s="882"/>
      <c r="AW357" s="839">
        <v>0</v>
      </c>
      <c r="AX357" s="851">
        <v>0</v>
      </c>
      <c r="AY357" s="856"/>
      <c r="AZ357" s="845">
        <v>2808.7949371345853</v>
      </c>
      <c r="BA357" s="845">
        <v>2032</v>
      </c>
      <c r="BB357" s="846">
        <v>-776.79493713458533</v>
      </c>
      <c r="BD357" s="2">
        <v>3</v>
      </c>
      <c r="BF357" s="787">
        <v>55.316228536341669</v>
      </c>
      <c r="BG357" s="325">
        <v>150000909</v>
      </c>
      <c r="BI357" s="847">
        <v>231.37</v>
      </c>
      <c r="BJ357" s="847">
        <v>22.705134986412901</v>
      </c>
      <c r="BK357" s="847">
        <v>254.07513498641291</v>
      </c>
      <c r="BL357" s="848"/>
      <c r="BM357" s="3"/>
      <c r="BN357" s="3"/>
      <c r="BP357" s="3"/>
      <c r="BQ357" s="3"/>
      <c r="BS357" s="42" t="s">
        <v>410</v>
      </c>
    </row>
    <row r="358" spans="1:71" x14ac:dyDescent="0.3">
      <c r="A358" s="325">
        <v>150000910</v>
      </c>
      <c r="B358" s="849" t="s">
        <v>411</v>
      </c>
      <c r="C358" s="850">
        <v>9</v>
      </c>
      <c r="D358" s="101" t="s">
        <v>455</v>
      </c>
      <c r="E358" s="279">
        <v>6347.35</v>
      </c>
      <c r="F358" s="838">
        <v>19630.247036745306</v>
      </c>
      <c r="G358" s="838">
        <v>85785.717704137875</v>
      </c>
      <c r="H358" s="838">
        <v>66155.470667392568</v>
      </c>
      <c r="I358" s="839">
        <v>0</v>
      </c>
      <c r="J358" s="851">
        <v>839</v>
      </c>
      <c r="K358" s="852"/>
      <c r="L358" s="839">
        <v>0</v>
      </c>
      <c r="M358" s="851">
        <v>0</v>
      </c>
      <c r="N358" s="853"/>
      <c r="O358" s="839">
        <v>0</v>
      </c>
      <c r="P358" s="851">
        <v>0</v>
      </c>
      <c r="Q358" s="854"/>
      <c r="R358" s="839">
        <v>0</v>
      </c>
      <c r="S358" s="851">
        <v>83406</v>
      </c>
      <c r="T358" s="855"/>
      <c r="U358" s="839">
        <v>771</v>
      </c>
      <c r="V358" s="851">
        <v>0</v>
      </c>
      <c r="W358" s="839">
        <v>0</v>
      </c>
      <c r="X358" s="851">
        <v>406.71770413787021</v>
      </c>
      <c r="Y358" s="839">
        <v>0</v>
      </c>
      <c r="Z358" s="851">
        <v>0</v>
      </c>
      <c r="AA358" s="839">
        <v>0</v>
      </c>
      <c r="AB358" s="851">
        <v>0</v>
      </c>
      <c r="AC358" s="839">
        <v>0</v>
      </c>
      <c r="AD358" s="851">
        <v>363</v>
      </c>
      <c r="AE358" s="839">
        <v>338.38118133211213</v>
      </c>
      <c r="AF358" s="851">
        <v>0</v>
      </c>
      <c r="AG358" s="856"/>
      <c r="AH358" s="839">
        <v>455.31679837177501</v>
      </c>
      <c r="AI358" s="851">
        <v>0</v>
      </c>
      <c r="AJ358" s="856"/>
      <c r="AK358" s="839">
        <v>1157.2474197511715</v>
      </c>
      <c r="AL358" s="851">
        <v>0</v>
      </c>
      <c r="AM358" s="856"/>
      <c r="AN358" s="839">
        <v>367.35679527182106</v>
      </c>
      <c r="AO358" s="851">
        <v>0</v>
      </c>
      <c r="AP358" s="856"/>
      <c r="AQ358" s="839">
        <v>98.941812127749259</v>
      </c>
      <c r="AR358" s="851">
        <v>0</v>
      </c>
      <c r="AS358" s="856"/>
      <c r="AT358" s="839">
        <v>392.23794522822857</v>
      </c>
      <c r="AU358" s="851">
        <v>510</v>
      </c>
      <c r="AV358" s="856"/>
      <c r="AW358" s="839">
        <v>0</v>
      </c>
      <c r="AX358" s="851">
        <v>0</v>
      </c>
      <c r="AY358" s="856"/>
      <c r="AZ358" s="845">
        <v>2809.4819520828578</v>
      </c>
      <c r="BA358" s="845">
        <v>510</v>
      </c>
      <c r="BB358" s="846">
        <v>-2299.4819520828578</v>
      </c>
      <c r="BD358" s="2">
        <v>3</v>
      </c>
      <c r="BF358" s="787">
        <v>55.353444249347802</v>
      </c>
      <c r="BG358" s="325">
        <v>150000910</v>
      </c>
      <c r="BI358" s="847">
        <v>185.01</v>
      </c>
      <c r="BJ358" s="847">
        <v>18.155668512928429</v>
      </c>
      <c r="BK358" s="847">
        <v>203.16566851292842</v>
      </c>
      <c r="BL358" s="848"/>
      <c r="BM358" s="3"/>
      <c r="BN358" s="3"/>
      <c r="BP358" s="3"/>
      <c r="BQ358" s="3"/>
      <c r="BS358" s="42" t="s">
        <v>411</v>
      </c>
    </row>
    <row r="359" spans="1:71" x14ac:dyDescent="0.3">
      <c r="A359" s="325">
        <v>150000911</v>
      </c>
      <c r="B359" s="849" t="s">
        <v>319</v>
      </c>
      <c r="C359" s="850">
        <v>5</v>
      </c>
      <c r="D359" s="101" t="s">
        <v>455</v>
      </c>
      <c r="E359" s="279">
        <v>5864.08</v>
      </c>
      <c r="F359" s="838">
        <v>15745.21272555894</v>
      </c>
      <c r="G359" s="838">
        <v>98.244495961955693</v>
      </c>
      <c r="H359" s="838">
        <v>-15646.968229596985</v>
      </c>
      <c r="I359" s="839">
        <v>0</v>
      </c>
      <c r="J359" s="851">
        <v>0</v>
      </c>
      <c r="K359" s="852"/>
      <c r="L359" s="839">
        <v>0</v>
      </c>
      <c r="M359" s="851">
        <v>0</v>
      </c>
      <c r="N359" s="853"/>
      <c r="O359" s="839">
        <v>0</v>
      </c>
      <c r="P359" s="851">
        <v>0</v>
      </c>
      <c r="Q359" s="854"/>
      <c r="R359" s="839">
        <v>0</v>
      </c>
      <c r="S359" s="851">
        <v>0</v>
      </c>
      <c r="T359" s="855"/>
      <c r="U359" s="839">
        <v>0</v>
      </c>
      <c r="V359" s="851">
        <v>0</v>
      </c>
      <c r="W359" s="839">
        <v>0</v>
      </c>
      <c r="X359" s="851">
        <v>98.244495961955693</v>
      </c>
      <c r="Y359" s="839">
        <v>0</v>
      </c>
      <c r="Z359" s="851">
        <v>0</v>
      </c>
      <c r="AA359" s="839">
        <v>0</v>
      </c>
      <c r="AB359" s="851">
        <v>0</v>
      </c>
      <c r="AC359" s="839">
        <v>0</v>
      </c>
      <c r="AD359" s="851">
        <v>0</v>
      </c>
      <c r="AE359" s="839">
        <v>552.21617909158942</v>
      </c>
      <c r="AF359" s="851">
        <v>0</v>
      </c>
      <c r="AG359" s="867"/>
      <c r="AH359" s="839">
        <v>863.53737109845565</v>
      </c>
      <c r="AI359" s="851">
        <v>2848</v>
      </c>
      <c r="AJ359" s="856"/>
      <c r="AK359" s="839">
        <v>549.74304237231922</v>
      </c>
      <c r="AL359" s="851">
        <v>0</v>
      </c>
      <c r="AM359" s="856"/>
      <c r="AN359" s="839">
        <v>0</v>
      </c>
      <c r="AO359" s="851">
        <v>0</v>
      </c>
      <c r="AP359" s="856"/>
      <c r="AQ359" s="839">
        <v>338.81178137477229</v>
      </c>
      <c r="AR359" s="851">
        <v>0</v>
      </c>
      <c r="AS359" s="856"/>
      <c r="AT359" s="839">
        <v>500.05250650715965</v>
      </c>
      <c r="AU359" s="851">
        <v>2935</v>
      </c>
      <c r="AV359" s="856"/>
      <c r="AW359" s="839">
        <v>0</v>
      </c>
      <c r="AX359" s="851">
        <v>0</v>
      </c>
      <c r="AY359" s="856"/>
      <c r="AZ359" s="845">
        <v>2804.3608804442965</v>
      </c>
      <c r="BA359" s="845">
        <v>5783</v>
      </c>
      <c r="BB359" s="846">
        <v>2978.6391195557035</v>
      </c>
      <c r="BD359" s="2">
        <v>3</v>
      </c>
      <c r="BF359" s="787">
        <v>18.604937623615463</v>
      </c>
      <c r="BG359" s="325">
        <v>150000911</v>
      </c>
      <c r="BI359" s="847">
        <v>44.69</v>
      </c>
      <c r="BJ359" s="847">
        <v>4.3855836216570534</v>
      </c>
      <c r="BK359" s="847">
        <v>49.075583621657053</v>
      </c>
      <c r="BL359" s="848"/>
      <c r="BM359" s="3"/>
      <c r="BN359" s="3"/>
      <c r="BP359" s="3"/>
      <c r="BQ359" s="3"/>
      <c r="BS359" s="42" t="s">
        <v>319</v>
      </c>
    </row>
    <row r="360" spans="1:71" x14ac:dyDescent="0.3">
      <c r="A360" s="325">
        <v>150000912</v>
      </c>
      <c r="B360" s="849" t="s">
        <v>320</v>
      </c>
      <c r="C360" s="850">
        <v>5</v>
      </c>
      <c r="D360" s="101" t="s">
        <v>455</v>
      </c>
      <c r="E360" s="279">
        <v>4467.5200000000004</v>
      </c>
      <c r="F360" s="838">
        <v>12781.050783656552</v>
      </c>
      <c r="G360" s="838">
        <v>354.33562119746483</v>
      </c>
      <c r="H360" s="838">
        <v>-12426.715162459088</v>
      </c>
      <c r="I360" s="839">
        <v>0</v>
      </c>
      <c r="J360" s="851">
        <v>0</v>
      </c>
      <c r="K360" s="852"/>
      <c r="L360" s="839">
        <v>0</v>
      </c>
      <c r="M360" s="851">
        <v>0</v>
      </c>
      <c r="N360" s="858"/>
      <c r="O360" s="839">
        <v>0</v>
      </c>
      <c r="P360" s="851">
        <v>0</v>
      </c>
      <c r="Q360" s="854"/>
      <c r="R360" s="839">
        <v>0</v>
      </c>
      <c r="S360" s="851">
        <v>0</v>
      </c>
      <c r="T360" s="855"/>
      <c r="U360" s="839">
        <v>0</v>
      </c>
      <c r="V360" s="851">
        <v>0</v>
      </c>
      <c r="W360" s="839">
        <v>0</v>
      </c>
      <c r="X360" s="851">
        <v>67.335621197464818</v>
      </c>
      <c r="Y360" s="839">
        <v>0</v>
      </c>
      <c r="Z360" s="851">
        <v>0</v>
      </c>
      <c r="AA360" s="839">
        <v>0</v>
      </c>
      <c r="AB360" s="851">
        <v>0</v>
      </c>
      <c r="AC360" s="839">
        <v>287</v>
      </c>
      <c r="AD360" s="851">
        <v>0</v>
      </c>
      <c r="AE360" s="839">
        <v>440.7848845409053</v>
      </c>
      <c r="AF360" s="851">
        <v>0</v>
      </c>
      <c r="AG360" s="857"/>
      <c r="AH360" s="839">
        <v>648.37174232033783</v>
      </c>
      <c r="AI360" s="851">
        <v>0</v>
      </c>
      <c r="AJ360" s="857"/>
      <c r="AK360" s="839">
        <v>435.73378950881943</v>
      </c>
      <c r="AL360" s="851">
        <v>0</v>
      </c>
      <c r="AM360" s="856"/>
      <c r="AN360" s="839">
        <v>0</v>
      </c>
      <c r="AO360" s="851">
        <v>0</v>
      </c>
      <c r="AP360" s="856"/>
      <c r="AQ360" s="839">
        <v>161.90917399980211</v>
      </c>
      <c r="AR360" s="851">
        <v>0</v>
      </c>
      <c r="AS360" s="856"/>
      <c r="AT360" s="839">
        <v>323.39564104606796</v>
      </c>
      <c r="AU360" s="851">
        <v>326</v>
      </c>
      <c r="AV360" s="856"/>
      <c r="AW360" s="839">
        <v>0</v>
      </c>
      <c r="AX360" s="851">
        <v>0</v>
      </c>
      <c r="AY360" s="856"/>
      <c r="AZ360" s="845">
        <v>2010.1952314159328</v>
      </c>
      <c r="BA360" s="845">
        <v>326</v>
      </c>
      <c r="BB360" s="846">
        <v>-1684.1952314159328</v>
      </c>
      <c r="BD360" s="2">
        <v>3</v>
      </c>
      <c r="BF360" s="787">
        <v>14.173761346791348</v>
      </c>
      <c r="BG360" s="325">
        <v>150000912</v>
      </c>
      <c r="BI360" s="847">
        <v>30.63</v>
      </c>
      <c r="BJ360" s="847">
        <v>3.0058273960920907</v>
      </c>
      <c r="BK360" s="847">
        <v>33.63582739609209</v>
      </c>
      <c r="BL360" s="848"/>
      <c r="BM360" s="3"/>
      <c r="BN360" s="3"/>
      <c r="BP360" s="3"/>
      <c r="BQ360" s="3"/>
      <c r="BS360" s="42" t="s">
        <v>320</v>
      </c>
    </row>
    <row r="361" spans="1:71" x14ac:dyDescent="0.3">
      <c r="A361" s="325">
        <v>150000913</v>
      </c>
      <c r="B361" s="849" t="s">
        <v>321</v>
      </c>
      <c r="C361" s="850">
        <v>5</v>
      </c>
      <c r="D361" s="101" t="s">
        <v>455</v>
      </c>
      <c r="E361" s="279">
        <v>2779.82</v>
      </c>
      <c r="F361" s="838">
        <v>8433.0743041202404</v>
      </c>
      <c r="G361" s="838">
        <v>53.859703536986224</v>
      </c>
      <c r="H361" s="838">
        <v>-8379.2146005832547</v>
      </c>
      <c r="I361" s="839">
        <v>0</v>
      </c>
      <c r="J361" s="851">
        <v>0</v>
      </c>
      <c r="K361" s="852"/>
      <c r="L361" s="839">
        <v>0</v>
      </c>
      <c r="M361" s="851">
        <v>0</v>
      </c>
      <c r="N361" s="868"/>
      <c r="O361" s="839">
        <v>0</v>
      </c>
      <c r="P361" s="851">
        <v>0</v>
      </c>
      <c r="Q361" s="854"/>
      <c r="R361" s="839">
        <v>0</v>
      </c>
      <c r="S361" s="851">
        <v>0</v>
      </c>
      <c r="T361" s="855"/>
      <c r="U361" s="839">
        <v>0</v>
      </c>
      <c r="V361" s="851">
        <v>0</v>
      </c>
      <c r="W361" s="839">
        <v>0</v>
      </c>
      <c r="X361" s="851">
        <v>53.859703536986224</v>
      </c>
      <c r="Y361" s="839">
        <v>0</v>
      </c>
      <c r="Z361" s="851">
        <v>0</v>
      </c>
      <c r="AA361" s="839">
        <v>0</v>
      </c>
      <c r="AB361" s="851">
        <v>0</v>
      </c>
      <c r="AC361" s="839">
        <v>0</v>
      </c>
      <c r="AD361" s="851">
        <v>0</v>
      </c>
      <c r="AE361" s="839">
        <v>293.7456385988923</v>
      </c>
      <c r="AF361" s="851">
        <v>0</v>
      </c>
      <c r="AG361" s="856"/>
      <c r="AH361" s="839">
        <v>428.45713760025609</v>
      </c>
      <c r="AI361" s="851">
        <v>0</v>
      </c>
      <c r="AJ361" s="867"/>
      <c r="AK361" s="839">
        <v>249.50064667588106</v>
      </c>
      <c r="AL361" s="851">
        <v>0</v>
      </c>
      <c r="AM361" s="856"/>
      <c r="AN361" s="839">
        <v>0</v>
      </c>
      <c r="AO361" s="851">
        <v>0</v>
      </c>
      <c r="AP361" s="856"/>
      <c r="AQ361" s="839">
        <v>161.90917399980211</v>
      </c>
      <c r="AR361" s="851">
        <v>0</v>
      </c>
      <c r="AS361" s="856"/>
      <c r="AT361" s="839">
        <v>176.12067478462095</v>
      </c>
      <c r="AU361" s="851">
        <v>0</v>
      </c>
      <c r="AV361" s="856"/>
      <c r="AW361" s="839">
        <v>0</v>
      </c>
      <c r="AX361" s="851">
        <v>0</v>
      </c>
      <c r="AY361" s="856"/>
      <c r="AZ361" s="845">
        <v>1309.7332716594524</v>
      </c>
      <c r="BA361" s="845">
        <v>0</v>
      </c>
      <c r="BB361" s="846">
        <v>-1309.7332716594524</v>
      </c>
      <c r="BD361" s="2">
        <v>3</v>
      </c>
      <c r="BF361" s="787">
        <v>8.8188866313819076</v>
      </c>
      <c r="BG361" s="325">
        <v>150000913</v>
      </c>
      <c r="BI361" s="847">
        <v>24.5</v>
      </c>
      <c r="BJ361" s="847">
        <v>2.4042693830968407</v>
      </c>
      <c r="BK361" s="847">
        <v>26.904269383096839</v>
      </c>
      <c r="BL361" s="848"/>
      <c r="BM361" s="3"/>
      <c r="BN361" s="3"/>
      <c r="BP361" s="3"/>
      <c r="BQ361" s="3"/>
      <c r="BS361" s="42" t="s">
        <v>321</v>
      </c>
    </row>
    <row r="362" spans="1:71" x14ac:dyDescent="0.3">
      <c r="A362" s="325">
        <v>150000914</v>
      </c>
      <c r="B362" s="849" t="s">
        <v>322</v>
      </c>
      <c r="C362" s="850">
        <v>5</v>
      </c>
      <c r="D362" s="101" t="s">
        <v>455</v>
      </c>
      <c r="E362" s="279">
        <v>2762.3</v>
      </c>
      <c r="F362" s="838">
        <v>8469.3422748413013</v>
      </c>
      <c r="G362" s="838">
        <v>95.5586477477584</v>
      </c>
      <c r="H362" s="838">
        <v>-8373.7836270935422</v>
      </c>
      <c r="I362" s="839">
        <v>0</v>
      </c>
      <c r="J362" s="851">
        <v>0</v>
      </c>
      <c r="K362" s="852"/>
      <c r="L362" s="839">
        <v>0</v>
      </c>
      <c r="M362" s="851">
        <v>0</v>
      </c>
      <c r="N362" s="853"/>
      <c r="O362" s="839">
        <v>0</v>
      </c>
      <c r="P362" s="851">
        <v>0</v>
      </c>
      <c r="Q362" s="854"/>
      <c r="R362" s="839">
        <v>0</v>
      </c>
      <c r="S362" s="851">
        <v>0</v>
      </c>
      <c r="T362" s="855"/>
      <c r="U362" s="839">
        <v>0</v>
      </c>
      <c r="V362" s="851">
        <v>0</v>
      </c>
      <c r="W362" s="839">
        <v>2</v>
      </c>
      <c r="X362" s="851">
        <v>95.5586477477584</v>
      </c>
      <c r="Y362" s="839">
        <v>0</v>
      </c>
      <c r="Z362" s="851">
        <v>0</v>
      </c>
      <c r="AA362" s="839">
        <v>0</v>
      </c>
      <c r="AB362" s="851">
        <v>0</v>
      </c>
      <c r="AC362" s="839">
        <v>0</v>
      </c>
      <c r="AD362" s="851">
        <v>0</v>
      </c>
      <c r="AE362" s="839">
        <v>293.7456385988923</v>
      </c>
      <c r="AF362" s="851">
        <v>0</v>
      </c>
      <c r="AG362" s="856"/>
      <c r="AH362" s="839">
        <v>428.45713760025609</v>
      </c>
      <c r="AI362" s="851">
        <v>0</v>
      </c>
      <c r="AJ362" s="856"/>
      <c r="AK362" s="839">
        <v>249.50064667588106</v>
      </c>
      <c r="AL362" s="851">
        <v>0</v>
      </c>
      <c r="AM362" s="856"/>
      <c r="AN362" s="839">
        <v>0</v>
      </c>
      <c r="AO362" s="851">
        <v>0</v>
      </c>
      <c r="AP362" s="856"/>
      <c r="AQ362" s="839">
        <v>161.90917399980211</v>
      </c>
      <c r="AR362" s="851">
        <v>0</v>
      </c>
      <c r="AS362" s="856"/>
      <c r="AT362" s="839">
        <v>176.12067478462095</v>
      </c>
      <c r="AU362" s="851">
        <v>0</v>
      </c>
      <c r="AV362" s="856"/>
      <c r="AW362" s="839">
        <v>0</v>
      </c>
      <c r="AX362" s="851">
        <v>0</v>
      </c>
      <c r="AY362" s="856"/>
      <c r="AZ362" s="845">
        <v>1309.7332716594524</v>
      </c>
      <c r="BA362" s="845">
        <v>0</v>
      </c>
      <c r="BB362" s="846">
        <v>-1309.7332716594524</v>
      </c>
      <c r="BD362" s="2">
        <v>3</v>
      </c>
      <c r="BF362" s="787">
        <v>8.7639355530130914</v>
      </c>
      <c r="BG362" s="325">
        <v>150000914</v>
      </c>
      <c r="BI362" s="847">
        <v>16.63</v>
      </c>
      <c r="BJ362" s="847">
        <v>1.6319591771796105</v>
      </c>
      <c r="BK362" s="847">
        <v>18.261959177179609</v>
      </c>
      <c r="BL362" s="848"/>
      <c r="BM362" s="3">
        <v>2</v>
      </c>
      <c r="BN362" s="3">
        <v>59</v>
      </c>
      <c r="BP362" s="3"/>
      <c r="BQ362" s="3"/>
      <c r="BS362" s="42" t="s">
        <v>322</v>
      </c>
    </row>
    <row r="363" spans="1:71" x14ac:dyDescent="0.3">
      <c r="A363" s="325">
        <v>150000915</v>
      </c>
      <c r="B363" s="849" t="s">
        <v>323</v>
      </c>
      <c r="C363" s="850">
        <v>5</v>
      </c>
      <c r="D363" s="101" t="s">
        <v>455</v>
      </c>
      <c r="E363" s="279">
        <v>2743.4</v>
      </c>
      <c r="F363" s="838">
        <v>8078.8359921612318</v>
      </c>
      <c r="G363" s="838">
        <v>228.3356211974648</v>
      </c>
      <c r="H363" s="838">
        <v>-7850.5003709637667</v>
      </c>
      <c r="I363" s="839">
        <v>0</v>
      </c>
      <c r="J363" s="851">
        <v>0</v>
      </c>
      <c r="K363" s="852"/>
      <c r="L363" s="839">
        <v>0</v>
      </c>
      <c r="M363" s="851">
        <v>0</v>
      </c>
      <c r="N363" s="873"/>
      <c r="O363" s="839">
        <v>0</v>
      </c>
      <c r="P363" s="851">
        <v>0</v>
      </c>
      <c r="Q363" s="854"/>
      <c r="R363" s="839">
        <v>0</v>
      </c>
      <c r="S363" s="851">
        <v>0</v>
      </c>
      <c r="T363" s="855"/>
      <c r="U363" s="839">
        <v>0</v>
      </c>
      <c r="V363" s="851">
        <v>0</v>
      </c>
      <c r="W363" s="839">
        <v>2</v>
      </c>
      <c r="X363" s="851">
        <v>185.3356211974648</v>
      </c>
      <c r="Y363" s="839">
        <v>0</v>
      </c>
      <c r="Z363" s="851">
        <v>0</v>
      </c>
      <c r="AA363" s="839">
        <v>0</v>
      </c>
      <c r="AB363" s="851">
        <v>43</v>
      </c>
      <c r="AC363" s="839">
        <v>0</v>
      </c>
      <c r="AD363" s="851">
        <v>0</v>
      </c>
      <c r="AE363" s="839">
        <v>293.68706488461845</v>
      </c>
      <c r="AF363" s="851">
        <v>0</v>
      </c>
      <c r="AG363" s="856"/>
      <c r="AH363" s="839">
        <v>428.45713760025609</v>
      </c>
      <c r="AI363" s="851">
        <v>0</v>
      </c>
      <c r="AJ363" s="856"/>
      <c r="AK363" s="839">
        <v>249.50064667588106</v>
      </c>
      <c r="AL363" s="851">
        <v>974</v>
      </c>
      <c r="AM363" s="856"/>
      <c r="AN363" s="839">
        <v>0</v>
      </c>
      <c r="AO363" s="851">
        <v>0</v>
      </c>
      <c r="AP363" s="856"/>
      <c r="AQ363" s="839">
        <v>161.90917399980211</v>
      </c>
      <c r="AR363" s="851">
        <v>0</v>
      </c>
      <c r="AS363" s="856"/>
      <c r="AT363" s="839">
        <v>176.11164732070878</v>
      </c>
      <c r="AU363" s="851">
        <v>0</v>
      </c>
      <c r="AV363" s="882"/>
      <c r="AW363" s="839">
        <v>0</v>
      </c>
      <c r="AX363" s="851">
        <v>0</v>
      </c>
      <c r="AY363" s="856"/>
      <c r="AZ363" s="845">
        <v>1309.6656704812665</v>
      </c>
      <c r="BA363" s="845">
        <v>974</v>
      </c>
      <c r="BB363" s="846">
        <v>-335.66567048126649</v>
      </c>
      <c r="BD363" s="2">
        <v>3</v>
      </c>
      <c r="BF363" s="787">
        <v>8.7039716164558918</v>
      </c>
      <c r="BG363" s="325">
        <v>150000915</v>
      </c>
      <c r="BI363" s="847">
        <v>30.63</v>
      </c>
      <c r="BJ363" s="847">
        <v>3.0058273960920907</v>
      </c>
      <c r="BK363" s="847">
        <v>33.63582739609209</v>
      </c>
      <c r="BL363" s="848"/>
      <c r="BM363" s="3">
        <v>2</v>
      </c>
      <c r="BN363" s="3">
        <v>118</v>
      </c>
      <c r="BP363" s="3"/>
      <c r="BQ363" s="3"/>
      <c r="BS363" s="42" t="s">
        <v>323</v>
      </c>
    </row>
    <row r="364" spans="1:71" x14ac:dyDescent="0.3">
      <c r="A364" s="325">
        <v>150000916</v>
      </c>
      <c r="B364" s="849" t="s">
        <v>324</v>
      </c>
      <c r="C364" s="850">
        <v>5</v>
      </c>
      <c r="D364" s="101" t="s">
        <v>455</v>
      </c>
      <c r="E364" s="279">
        <v>5790.5899999999992</v>
      </c>
      <c r="F364" s="838">
        <v>16064.86936771587</v>
      </c>
      <c r="G364" s="838">
        <v>904.08221594647785</v>
      </c>
      <c r="H364" s="838">
        <v>-15160.787151769393</v>
      </c>
      <c r="I364" s="839">
        <v>0</v>
      </c>
      <c r="J364" s="851">
        <v>0</v>
      </c>
      <c r="K364" s="852"/>
      <c r="L364" s="839">
        <v>0</v>
      </c>
      <c r="M364" s="851">
        <v>0</v>
      </c>
      <c r="N364" s="853"/>
      <c r="O364" s="839">
        <v>0</v>
      </c>
      <c r="P364" s="851">
        <v>0</v>
      </c>
      <c r="Q364" s="854"/>
      <c r="R364" s="839">
        <v>0</v>
      </c>
      <c r="S364" s="851">
        <v>0</v>
      </c>
      <c r="T364" s="855"/>
      <c r="U364" s="839">
        <v>0</v>
      </c>
      <c r="V364" s="851">
        <v>0</v>
      </c>
      <c r="W364" s="839">
        <v>6</v>
      </c>
      <c r="X364" s="851">
        <v>618.08221594647785</v>
      </c>
      <c r="Y364" s="839">
        <v>0</v>
      </c>
      <c r="Z364" s="851">
        <v>0</v>
      </c>
      <c r="AA364" s="839">
        <v>0</v>
      </c>
      <c r="AB364" s="851">
        <v>0</v>
      </c>
      <c r="AC364" s="839">
        <v>286</v>
      </c>
      <c r="AD364" s="851">
        <v>0</v>
      </c>
      <c r="AE364" s="839">
        <v>579.30180808381465</v>
      </c>
      <c r="AF364" s="851">
        <v>0</v>
      </c>
      <c r="AG364" s="857"/>
      <c r="AH364" s="839">
        <v>863.2751948570193</v>
      </c>
      <c r="AI364" s="851">
        <v>1947</v>
      </c>
      <c r="AJ364" s="857"/>
      <c r="AK364" s="839">
        <v>544.18402662422682</v>
      </c>
      <c r="AL364" s="851">
        <v>10141</v>
      </c>
      <c r="AM364" s="856"/>
      <c r="AN364" s="839">
        <v>0</v>
      </c>
      <c r="AO364" s="851">
        <v>0</v>
      </c>
      <c r="AP364" s="856"/>
      <c r="AQ364" s="839">
        <v>338.81178137477229</v>
      </c>
      <c r="AR364" s="851">
        <v>0</v>
      </c>
      <c r="AS364" s="856"/>
      <c r="AT364" s="839">
        <v>499.63889281703172</v>
      </c>
      <c r="AU364" s="851">
        <v>0</v>
      </c>
      <c r="AV364" s="882"/>
      <c r="AW364" s="839">
        <v>0</v>
      </c>
      <c r="AX364" s="851">
        <v>0</v>
      </c>
      <c r="AY364" s="856"/>
      <c r="AZ364" s="845">
        <v>2825.2117037568651</v>
      </c>
      <c r="BA364" s="845">
        <v>12088</v>
      </c>
      <c r="BB364" s="846">
        <v>9262.7882962431358</v>
      </c>
      <c r="BD364" s="2">
        <v>3</v>
      </c>
      <c r="BF364" s="787">
        <v>18.568832353878911</v>
      </c>
      <c r="BG364" s="325">
        <v>150000916</v>
      </c>
      <c r="BI364" s="847">
        <v>69.180000000000007</v>
      </c>
      <c r="BJ364" s="847">
        <v>6.7888716703118144</v>
      </c>
      <c r="BK364" s="847">
        <v>75.968871670311827</v>
      </c>
      <c r="BL364" s="848"/>
      <c r="BM364" s="3"/>
      <c r="BN364" s="3"/>
      <c r="BP364" s="3"/>
      <c r="BQ364" s="3"/>
      <c r="BS364" s="42" t="s">
        <v>324</v>
      </c>
    </row>
    <row r="365" spans="1:71" x14ac:dyDescent="0.3">
      <c r="A365" s="325">
        <v>150000917</v>
      </c>
      <c r="B365" s="849" t="s">
        <v>325</v>
      </c>
      <c r="C365" s="850">
        <v>5</v>
      </c>
      <c r="D365" s="101" t="s">
        <v>455</v>
      </c>
      <c r="E365" s="279">
        <v>4445.5</v>
      </c>
      <c r="F365" s="838">
        <v>11808.278902401395</v>
      </c>
      <c r="G365" s="838">
        <v>946</v>
      </c>
      <c r="H365" s="838">
        <v>-10862.278902401395</v>
      </c>
      <c r="I365" s="839">
        <v>0</v>
      </c>
      <c r="J365" s="851">
        <v>0</v>
      </c>
      <c r="K365" s="859"/>
      <c r="L365" s="839">
        <v>0</v>
      </c>
      <c r="M365" s="851">
        <v>0</v>
      </c>
      <c r="N365" s="853"/>
      <c r="O365" s="839">
        <v>0</v>
      </c>
      <c r="P365" s="851">
        <v>0</v>
      </c>
      <c r="Q365" s="854"/>
      <c r="R365" s="839">
        <v>0</v>
      </c>
      <c r="S365" s="851">
        <v>0</v>
      </c>
      <c r="T365" s="855"/>
      <c r="U365" s="839">
        <v>0</v>
      </c>
      <c r="V365" s="851">
        <v>0</v>
      </c>
      <c r="W365" s="839">
        <v>0</v>
      </c>
      <c r="X365" s="851">
        <v>0</v>
      </c>
      <c r="Y365" s="839">
        <v>0</v>
      </c>
      <c r="Z365" s="851">
        <v>0</v>
      </c>
      <c r="AA365" s="839">
        <v>0</v>
      </c>
      <c r="AB365" s="851">
        <v>0</v>
      </c>
      <c r="AC365" s="839">
        <v>946</v>
      </c>
      <c r="AD365" s="851">
        <v>0</v>
      </c>
      <c r="AE365" s="839">
        <v>441.71427296130838</v>
      </c>
      <c r="AF365" s="851">
        <v>0</v>
      </c>
      <c r="AG365" s="856"/>
      <c r="AH365" s="839">
        <v>649.25535258521438</v>
      </c>
      <c r="AI365" s="851">
        <v>0</v>
      </c>
      <c r="AJ365" s="856"/>
      <c r="AK365" s="839">
        <v>427.07970210128394</v>
      </c>
      <c r="AL365" s="851">
        <v>0</v>
      </c>
      <c r="AM365" s="856"/>
      <c r="AN365" s="839">
        <v>0</v>
      </c>
      <c r="AO365" s="851">
        <v>0</v>
      </c>
      <c r="AP365" s="856"/>
      <c r="AQ365" s="839">
        <v>218.86472282667671</v>
      </c>
      <c r="AR365" s="851">
        <v>0</v>
      </c>
      <c r="AS365" s="856"/>
      <c r="AT365" s="839">
        <v>324.72985377725348</v>
      </c>
      <c r="AU365" s="851">
        <v>0</v>
      </c>
      <c r="AV365" s="856"/>
      <c r="AW365" s="839">
        <v>0</v>
      </c>
      <c r="AX365" s="851">
        <v>0</v>
      </c>
      <c r="AY365" s="856"/>
      <c r="AZ365" s="845">
        <v>2061.6439042517372</v>
      </c>
      <c r="BA365" s="845">
        <v>0</v>
      </c>
      <c r="BB365" s="846">
        <v>-2061.6439042517372</v>
      </c>
      <c r="BD365" s="2">
        <v>3</v>
      </c>
      <c r="BF365" s="787">
        <v>14.104850410176407</v>
      </c>
      <c r="BG365" s="325">
        <v>150000917</v>
      </c>
      <c r="BI365" s="847">
        <v>0</v>
      </c>
      <c r="BJ365" s="847">
        <v>0</v>
      </c>
      <c r="BK365" s="847">
        <v>0</v>
      </c>
      <c r="BL365" s="848"/>
      <c r="BM365" s="3"/>
      <c r="BN365" s="3"/>
      <c r="BP365" s="3"/>
      <c r="BQ365" s="3"/>
      <c r="BS365" s="42" t="s">
        <v>325</v>
      </c>
    </row>
    <row r="366" spans="1:71" x14ac:dyDescent="0.3">
      <c r="A366" s="325">
        <v>150000918</v>
      </c>
      <c r="B366" s="849" t="s">
        <v>326</v>
      </c>
      <c r="C366" s="850">
        <v>5</v>
      </c>
      <c r="D366" s="101" t="s">
        <v>455</v>
      </c>
      <c r="E366" s="279">
        <v>4591.2</v>
      </c>
      <c r="F366" s="838">
        <v>10493.984625076306</v>
      </c>
      <c r="G366" s="838">
        <v>2361.4326143434778</v>
      </c>
      <c r="H366" s="838">
        <v>-8132.5520107328284</v>
      </c>
      <c r="I366" s="839">
        <v>0</v>
      </c>
      <c r="J366" s="851">
        <v>678</v>
      </c>
      <c r="K366" s="852"/>
      <c r="L366" s="839">
        <v>0</v>
      </c>
      <c r="M366" s="851">
        <v>0</v>
      </c>
      <c r="N366" s="853"/>
      <c r="O366" s="839">
        <v>0</v>
      </c>
      <c r="P366" s="851">
        <v>0</v>
      </c>
      <c r="Q366" s="854"/>
      <c r="R366" s="839">
        <v>0</v>
      </c>
      <c r="S366" s="851">
        <v>0</v>
      </c>
      <c r="T366" s="855"/>
      <c r="U366" s="839">
        <v>0</v>
      </c>
      <c r="V366" s="851">
        <v>0</v>
      </c>
      <c r="W366" s="839">
        <v>0</v>
      </c>
      <c r="X366" s="851">
        <v>103.43261434347764</v>
      </c>
      <c r="Y366" s="839">
        <v>0</v>
      </c>
      <c r="Z366" s="851">
        <v>0</v>
      </c>
      <c r="AA366" s="839">
        <v>0</v>
      </c>
      <c r="AB366" s="851">
        <v>0</v>
      </c>
      <c r="AC366" s="839">
        <v>1580</v>
      </c>
      <c r="AD366" s="851">
        <v>0</v>
      </c>
      <c r="AE366" s="839">
        <v>452.10488610420913</v>
      </c>
      <c r="AF366" s="851">
        <v>0</v>
      </c>
      <c r="AG366" s="856"/>
      <c r="AH366" s="839">
        <v>730.47179917909421</v>
      </c>
      <c r="AI366" s="851">
        <v>0</v>
      </c>
      <c r="AJ366" s="856"/>
      <c r="AK366" s="839">
        <v>444.77862501958737</v>
      </c>
      <c r="AL366" s="851">
        <v>0</v>
      </c>
      <c r="AM366" s="856"/>
      <c r="AN366" s="839">
        <v>0</v>
      </c>
      <c r="AO366" s="851">
        <v>0</v>
      </c>
      <c r="AP366" s="856"/>
      <c r="AQ366" s="839">
        <v>218.86472282667671</v>
      </c>
      <c r="AR366" s="851">
        <v>0</v>
      </c>
      <c r="AS366" s="856"/>
      <c r="AT366" s="839">
        <v>332.88209539186079</v>
      </c>
      <c r="AU366" s="851">
        <v>0</v>
      </c>
      <c r="AV366" s="856"/>
      <c r="AW366" s="839">
        <v>0</v>
      </c>
      <c r="AX366" s="851">
        <v>0</v>
      </c>
      <c r="AY366" s="856"/>
      <c r="AZ366" s="845">
        <v>2179.1021285214283</v>
      </c>
      <c r="BA366" s="845">
        <v>0</v>
      </c>
      <c r="BB366" s="846">
        <v>-2179.1021285214283</v>
      </c>
      <c r="BD366" s="2">
        <v>3</v>
      </c>
      <c r="BF366" s="787">
        <v>14.55822853366972</v>
      </c>
      <c r="BG366" s="325">
        <v>150000918</v>
      </c>
      <c r="BI366" s="847">
        <v>47.050000000000004</v>
      </c>
      <c r="BJ366" s="847">
        <v>4.6171785499880151</v>
      </c>
      <c r="BK366" s="847">
        <v>51.667178549988023</v>
      </c>
      <c r="BL366" s="848"/>
      <c r="BM366" s="3"/>
      <c r="BN366" s="3"/>
      <c r="BP366" s="3"/>
      <c r="BQ366" s="3"/>
      <c r="BS366" s="42" t="s">
        <v>326</v>
      </c>
    </row>
    <row r="367" spans="1:71" x14ac:dyDescent="0.3">
      <c r="A367" s="325">
        <v>150000919</v>
      </c>
      <c r="B367" s="849" t="s">
        <v>327</v>
      </c>
      <c r="C367" s="850">
        <v>5</v>
      </c>
      <c r="D367" s="101" t="s">
        <v>455</v>
      </c>
      <c r="E367" s="279">
        <v>4566.7</v>
      </c>
      <c r="F367" s="838">
        <v>10456.835606816183</v>
      </c>
      <c r="G367" s="838">
        <v>9.1231742725915446</v>
      </c>
      <c r="H367" s="838">
        <v>-10447.712432543591</v>
      </c>
      <c r="I367" s="839">
        <v>0</v>
      </c>
      <c r="J367" s="851">
        <v>0</v>
      </c>
      <c r="K367" s="852"/>
      <c r="L367" s="839">
        <v>0</v>
      </c>
      <c r="M367" s="851">
        <v>0</v>
      </c>
      <c r="N367" s="853"/>
      <c r="O367" s="839">
        <v>0</v>
      </c>
      <c r="P367" s="851">
        <v>0</v>
      </c>
      <c r="Q367" s="854"/>
      <c r="R367" s="839">
        <v>0</v>
      </c>
      <c r="S367" s="851">
        <v>0</v>
      </c>
      <c r="T367" s="855"/>
      <c r="U367" s="839">
        <v>0</v>
      </c>
      <c r="V367" s="851">
        <v>0</v>
      </c>
      <c r="W367" s="839">
        <v>0</v>
      </c>
      <c r="X367" s="851">
        <v>9.1231742725915446</v>
      </c>
      <c r="Y367" s="839">
        <v>0</v>
      </c>
      <c r="Z367" s="851">
        <v>0</v>
      </c>
      <c r="AA367" s="839">
        <v>0</v>
      </c>
      <c r="AB367" s="851">
        <v>0</v>
      </c>
      <c r="AC367" s="839">
        <v>0</v>
      </c>
      <c r="AD367" s="851">
        <v>0</v>
      </c>
      <c r="AE367" s="839">
        <v>453.16429572632046</v>
      </c>
      <c r="AF367" s="851">
        <v>0</v>
      </c>
      <c r="AG367" s="856"/>
      <c r="AH367" s="839">
        <v>730.31644067323475</v>
      </c>
      <c r="AI367" s="851">
        <v>0</v>
      </c>
      <c r="AJ367" s="856"/>
      <c r="AK367" s="839">
        <v>445.12412098971794</v>
      </c>
      <c r="AL367" s="851">
        <v>0</v>
      </c>
      <c r="AM367" s="857"/>
      <c r="AN367" s="839">
        <v>0</v>
      </c>
      <c r="AO367" s="851">
        <v>0</v>
      </c>
      <c r="AP367" s="856"/>
      <c r="AQ367" s="839">
        <v>218.86472282667671</v>
      </c>
      <c r="AR367" s="851">
        <v>0</v>
      </c>
      <c r="AS367" s="856"/>
      <c r="AT367" s="839">
        <v>332.68755310226783</v>
      </c>
      <c r="AU367" s="851">
        <v>0</v>
      </c>
      <c r="AV367" s="856"/>
      <c r="AW367" s="839">
        <v>0</v>
      </c>
      <c r="AX367" s="851">
        <v>0</v>
      </c>
      <c r="AY367" s="856"/>
      <c r="AZ367" s="845">
        <v>2180.1571333182178</v>
      </c>
      <c r="BA367" s="845">
        <v>0</v>
      </c>
      <c r="BB367" s="846">
        <v>-2180.1571333182178</v>
      </c>
      <c r="BD367" s="2">
        <v>3</v>
      </c>
      <c r="BF367" s="787">
        <v>14.489381050955899</v>
      </c>
      <c r="BG367" s="325">
        <v>150000919</v>
      </c>
      <c r="BI367" s="847">
        <v>4.1500000000000004</v>
      </c>
      <c r="BJ367" s="847">
        <v>0.40725379346334245</v>
      </c>
      <c r="BK367" s="847">
        <v>4.5572537934633424</v>
      </c>
      <c r="BL367" s="848"/>
      <c r="BM367" s="3"/>
      <c r="BN367" s="3"/>
      <c r="BP367" s="3"/>
      <c r="BQ367" s="3"/>
      <c r="BS367" s="42" t="s">
        <v>327</v>
      </c>
    </row>
    <row r="368" spans="1:71" x14ac:dyDescent="0.3">
      <c r="A368" s="325">
        <v>150000920</v>
      </c>
      <c r="B368" s="849" t="s">
        <v>328</v>
      </c>
      <c r="C368" s="850">
        <v>5</v>
      </c>
      <c r="D368" s="101" t="s">
        <v>455</v>
      </c>
      <c r="E368" s="279">
        <v>4553.8</v>
      </c>
      <c r="F368" s="838">
        <v>12621.42003831797</v>
      </c>
      <c r="G368" s="838">
        <v>929.87228539275918</v>
      </c>
      <c r="H368" s="838">
        <v>-11691.547752925211</v>
      </c>
      <c r="I368" s="839">
        <v>0</v>
      </c>
      <c r="J368" s="851">
        <v>0</v>
      </c>
      <c r="K368" s="852"/>
      <c r="L368" s="839">
        <v>0</v>
      </c>
      <c r="M368" s="851">
        <v>0</v>
      </c>
      <c r="N368" s="853"/>
      <c r="O368" s="839">
        <v>0</v>
      </c>
      <c r="P368" s="851">
        <v>0</v>
      </c>
      <c r="Q368" s="854"/>
      <c r="R368" s="839">
        <v>0</v>
      </c>
      <c r="S368" s="851">
        <v>0</v>
      </c>
      <c r="T368" s="855"/>
      <c r="U368" s="839">
        <v>0</v>
      </c>
      <c r="V368" s="851">
        <v>0</v>
      </c>
      <c r="W368" s="839">
        <v>4</v>
      </c>
      <c r="X368" s="851">
        <v>379.87228539275918</v>
      </c>
      <c r="Y368" s="839">
        <v>0</v>
      </c>
      <c r="Z368" s="851">
        <v>0</v>
      </c>
      <c r="AA368" s="839">
        <v>0</v>
      </c>
      <c r="AB368" s="851">
        <v>0</v>
      </c>
      <c r="AC368" s="839">
        <v>550</v>
      </c>
      <c r="AD368" s="851">
        <v>0</v>
      </c>
      <c r="AE368" s="839">
        <v>453.28676417768395</v>
      </c>
      <c r="AF368" s="851">
        <v>0</v>
      </c>
      <c r="AG368" s="856"/>
      <c r="AH368" s="839">
        <v>730.47179917909421</v>
      </c>
      <c r="AI368" s="851">
        <v>0</v>
      </c>
      <c r="AJ368" s="856"/>
      <c r="AK368" s="839">
        <v>459.8961907599396</v>
      </c>
      <c r="AL368" s="851">
        <v>0</v>
      </c>
      <c r="AM368" s="857"/>
      <c r="AN368" s="839">
        <v>0</v>
      </c>
      <c r="AO368" s="851">
        <v>0</v>
      </c>
      <c r="AP368" s="856"/>
      <c r="AQ368" s="839">
        <v>218.86472282667671</v>
      </c>
      <c r="AR368" s="851">
        <v>0</v>
      </c>
      <c r="AS368" s="856"/>
      <c r="AT368" s="839">
        <v>332.96178169220053</v>
      </c>
      <c r="AU368" s="851">
        <v>621</v>
      </c>
      <c r="AV368" s="856"/>
      <c r="AW368" s="839">
        <v>0</v>
      </c>
      <c r="AX368" s="851">
        <v>0</v>
      </c>
      <c r="AY368" s="856"/>
      <c r="AZ368" s="845">
        <v>2195.4812586355952</v>
      </c>
      <c r="BA368" s="845">
        <v>621</v>
      </c>
      <c r="BB368" s="846">
        <v>-1574.4812586355952</v>
      </c>
      <c r="BD368" s="2">
        <v>3</v>
      </c>
      <c r="BF368" s="787">
        <v>14.448136015228727</v>
      </c>
      <c r="BG368" s="325">
        <v>150000920</v>
      </c>
      <c r="BI368" s="847">
        <v>47.25</v>
      </c>
      <c r="BJ368" s="847">
        <v>4.6368052388296208</v>
      </c>
      <c r="BK368" s="847">
        <v>51.886805238829623</v>
      </c>
      <c r="BL368" s="848"/>
      <c r="BM368" s="3"/>
      <c r="BN368" s="3"/>
      <c r="BP368" s="3"/>
      <c r="BQ368" s="3"/>
      <c r="BS368" s="42" t="s">
        <v>328</v>
      </c>
    </row>
    <row r="369" spans="1:71" x14ac:dyDescent="0.3">
      <c r="A369" s="325">
        <v>150000921</v>
      </c>
      <c r="B369" s="849" t="s">
        <v>329</v>
      </c>
      <c r="C369" s="850">
        <v>5</v>
      </c>
      <c r="D369" s="101" t="s">
        <v>455</v>
      </c>
      <c r="E369" s="279">
        <v>6174.2300000000005</v>
      </c>
      <c r="F369" s="838">
        <v>11340.274240181296</v>
      </c>
      <c r="G369" s="838">
        <v>0</v>
      </c>
      <c r="H369" s="838">
        <v>-11340.274240181296</v>
      </c>
      <c r="I369" s="839">
        <v>0</v>
      </c>
      <c r="J369" s="851">
        <v>0</v>
      </c>
      <c r="K369" s="852"/>
      <c r="L369" s="839">
        <v>0</v>
      </c>
      <c r="M369" s="851">
        <v>0</v>
      </c>
      <c r="N369" s="853"/>
      <c r="O369" s="839">
        <v>0</v>
      </c>
      <c r="P369" s="851">
        <v>0</v>
      </c>
      <c r="Q369" s="854"/>
      <c r="R369" s="839">
        <v>0</v>
      </c>
      <c r="S369" s="851">
        <v>0</v>
      </c>
      <c r="T369" s="855"/>
      <c r="U369" s="839">
        <v>0</v>
      </c>
      <c r="V369" s="851">
        <v>0</v>
      </c>
      <c r="W369" s="839">
        <v>0</v>
      </c>
      <c r="X369" s="851">
        <v>0</v>
      </c>
      <c r="Y369" s="839">
        <v>0</v>
      </c>
      <c r="Z369" s="851">
        <v>0</v>
      </c>
      <c r="AA369" s="839">
        <v>0</v>
      </c>
      <c r="AB369" s="851">
        <v>0</v>
      </c>
      <c r="AC369" s="839">
        <v>0</v>
      </c>
      <c r="AD369" s="851">
        <v>0</v>
      </c>
      <c r="AE369" s="839">
        <v>598.88698825376764</v>
      </c>
      <c r="AF369" s="851">
        <v>0</v>
      </c>
      <c r="AG369" s="867"/>
      <c r="AH369" s="839">
        <v>975.42236566356132</v>
      </c>
      <c r="AI369" s="851">
        <v>0</v>
      </c>
      <c r="AJ369" s="856"/>
      <c r="AK369" s="839">
        <v>577.63982887433463</v>
      </c>
      <c r="AL369" s="851">
        <v>0</v>
      </c>
      <c r="AM369" s="867"/>
      <c r="AN369" s="839">
        <v>0</v>
      </c>
      <c r="AO369" s="851">
        <v>0</v>
      </c>
      <c r="AP369" s="856"/>
      <c r="AQ369" s="839">
        <v>338.81178137477229</v>
      </c>
      <c r="AR369" s="851">
        <v>0</v>
      </c>
      <c r="AS369" s="856"/>
      <c r="AT369" s="839">
        <v>542.52466217651158</v>
      </c>
      <c r="AU369" s="851">
        <v>0</v>
      </c>
      <c r="AV369" s="856"/>
      <c r="AW369" s="839">
        <v>0</v>
      </c>
      <c r="AX369" s="851">
        <v>0</v>
      </c>
      <c r="AY369" s="856"/>
      <c r="AZ369" s="845">
        <v>3033.2856263429476</v>
      </c>
      <c r="BA369" s="845">
        <v>0</v>
      </c>
      <c r="BB369" s="846">
        <v>-3033.2856263429476</v>
      </c>
      <c r="BD369" s="2">
        <v>3</v>
      </c>
      <c r="BF369" s="787">
        <v>19.587679917191764</v>
      </c>
      <c r="BG369" s="325">
        <v>150000921</v>
      </c>
      <c r="BI369" s="847">
        <v>0</v>
      </c>
      <c r="BJ369" s="847">
        <v>0</v>
      </c>
      <c r="BK369" s="847">
        <v>0</v>
      </c>
      <c r="BL369" s="848"/>
      <c r="BM369" s="3"/>
      <c r="BN369" s="3"/>
      <c r="BP369" s="3"/>
      <c r="BQ369" s="3"/>
      <c r="BS369" s="42" t="s">
        <v>329</v>
      </c>
    </row>
    <row r="370" spans="1:71" x14ac:dyDescent="0.3">
      <c r="A370" s="325">
        <v>150000878</v>
      </c>
      <c r="B370" s="849" t="s">
        <v>237</v>
      </c>
      <c r="C370" s="850">
        <v>4</v>
      </c>
      <c r="D370" s="101" t="s">
        <v>455</v>
      </c>
      <c r="E370" s="279">
        <v>2396.4899999999998</v>
      </c>
      <c r="F370" s="838">
        <v>3683.3147317466046</v>
      </c>
      <c r="G370" s="838">
        <v>8176.8892253363429</v>
      </c>
      <c r="H370" s="838">
        <v>4493.5744935897383</v>
      </c>
      <c r="I370" s="839">
        <v>0</v>
      </c>
      <c r="J370" s="851">
        <v>3694</v>
      </c>
      <c r="K370" s="852"/>
      <c r="L370" s="839">
        <v>0</v>
      </c>
      <c r="M370" s="851">
        <v>0</v>
      </c>
      <c r="N370" s="853"/>
      <c r="O370" s="839">
        <v>0</v>
      </c>
      <c r="P370" s="851">
        <v>0</v>
      </c>
      <c r="Q370" s="854"/>
      <c r="R370" s="839">
        <v>0</v>
      </c>
      <c r="S370" s="851">
        <v>0</v>
      </c>
      <c r="T370" s="855"/>
      <c r="U370" s="839">
        <v>0</v>
      </c>
      <c r="V370" s="851">
        <v>0</v>
      </c>
      <c r="W370" s="839">
        <v>0</v>
      </c>
      <c r="X370" s="851">
        <v>214.88922533634297</v>
      </c>
      <c r="Y370" s="839">
        <v>0</v>
      </c>
      <c r="Z370" s="851">
        <v>0</v>
      </c>
      <c r="AA370" s="839">
        <v>0</v>
      </c>
      <c r="AB370" s="851">
        <v>0</v>
      </c>
      <c r="AC370" s="839">
        <v>0</v>
      </c>
      <c r="AD370" s="851">
        <v>4268</v>
      </c>
      <c r="AE370" s="839">
        <v>206.85511576985931</v>
      </c>
      <c r="AF370" s="851">
        <v>0</v>
      </c>
      <c r="AG370" s="856"/>
      <c r="AH370" s="839">
        <v>236.50164632888067</v>
      </c>
      <c r="AI370" s="851">
        <v>0</v>
      </c>
      <c r="AJ370" s="856"/>
      <c r="AK370" s="839">
        <v>321.47611055472277</v>
      </c>
      <c r="AL370" s="851">
        <v>0</v>
      </c>
      <c r="AM370" s="856"/>
      <c r="AN370" s="839">
        <v>0</v>
      </c>
      <c r="AO370" s="851">
        <v>0</v>
      </c>
      <c r="AP370" s="856"/>
      <c r="AQ370" s="839">
        <v>0</v>
      </c>
      <c r="AR370" s="851">
        <v>0</v>
      </c>
      <c r="AS370" s="856"/>
      <c r="AT370" s="839">
        <v>107.5901330625987</v>
      </c>
      <c r="AU370" s="851">
        <v>0</v>
      </c>
      <c r="AV370" s="856"/>
      <c r="AW370" s="839">
        <v>0</v>
      </c>
      <c r="AX370" s="851">
        <v>0</v>
      </c>
      <c r="AY370" s="856"/>
      <c r="AZ370" s="845">
        <v>872.42300571606154</v>
      </c>
      <c r="BA370" s="845">
        <v>0</v>
      </c>
      <c r="BB370" s="846">
        <v>-872.42300571606154</v>
      </c>
      <c r="BD370" s="2">
        <v>2</v>
      </c>
      <c r="BF370" s="787">
        <v>566.35218708360037</v>
      </c>
      <c r="BG370" s="325">
        <v>150000878</v>
      </c>
      <c r="BI370" s="847">
        <v>97.75</v>
      </c>
      <c r="BJ370" s="847">
        <v>9.5925441713353532</v>
      </c>
      <c r="BK370" s="847">
        <v>107.34254417133535</v>
      </c>
      <c r="BL370" s="848"/>
      <c r="BM370" s="3"/>
      <c r="BN370" s="3"/>
      <c r="BP370" s="3"/>
      <c r="BQ370" s="3"/>
      <c r="BS370" s="42" t="s">
        <v>237</v>
      </c>
    </row>
    <row r="371" spans="1:71" x14ac:dyDescent="0.3">
      <c r="A371" s="325">
        <v>150000879</v>
      </c>
      <c r="B371" s="849" t="s">
        <v>330</v>
      </c>
      <c r="C371" s="850">
        <v>5</v>
      </c>
      <c r="D371" s="101" t="s">
        <v>455</v>
      </c>
      <c r="E371" s="279">
        <v>4494.13</v>
      </c>
      <c r="F371" s="838">
        <v>7213.2346298301954</v>
      </c>
      <c r="G371" s="838">
        <v>651</v>
      </c>
      <c r="H371" s="838">
        <v>-6562.2346298301954</v>
      </c>
      <c r="I371" s="839">
        <v>0</v>
      </c>
      <c r="J371" s="851">
        <v>0</v>
      </c>
      <c r="K371" s="852"/>
      <c r="L371" s="839">
        <v>0</v>
      </c>
      <c r="M371" s="851">
        <v>0</v>
      </c>
      <c r="N371" s="853"/>
      <c r="O371" s="839">
        <v>0</v>
      </c>
      <c r="P371" s="851">
        <v>0</v>
      </c>
      <c r="Q371" s="854"/>
      <c r="R371" s="839">
        <v>0</v>
      </c>
      <c r="S371" s="851">
        <v>0</v>
      </c>
      <c r="T371" s="855"/>
      <c r="U371" s="839">
        <v>0</v>
      </c>
      <c r="V371" s="851">
        <v>0</v>
      </c>
      <c r="W371" s="839">
        <v>0</v>
      </c>
      <c r="X371" s="851">
        <v>0</v>
      </c>
      <c r="Y371" s="839">
        <v>0</v>
      </c>
      <c r="Z371" s="851">
        <v>0</v>
      </c>
      <c r="AA371" s="839">
        <v>0</v>
      </c>
      <c r="AB371" s="851">
        <v>0</v>
      </c>
      <c r="AC371" s="839">
        <v>0</v>
      </c>
      <c r="AD371" s="851">
        <v>651</v>
      </c>
      <c r="AE371" s="839">
        <v>352.68684170543713</v>
      </c>
      <c r="AF371" s="851">
        <v>641</v>
      </c>
      <c r="AG371" s="856"/>
      <c r="AH371" s="839">
        <v>517.13191296797083</v>
      </c>
      <c r="AI371" s="851">
        <v>0</v>
      </c>
      <c r="AJ371" s="856"/>
      <c r="AK371" s="839">
        <v>452.13417831518331</v>
      </c>
      <c r="AL371" s="851">
        <v>0</v>
      </c>
      <c r="AM371" s="856"/>
      <c r="AN371" s="839">
        <v>0</v>
      </c>
      <c r="AO371" s="851">
        <v>0</v>
      </c>
      <c r="AP371" s="856"/>
      <c r="AQ371" s="839">
        <v>0</v>
      </c>
      <c r="AR371" s="851">
        <v>0</v>
      </c>
      <c r="AS371" s="856"/>
      <c r="AT371" s="839">
        <v>242.89643245310197</v>
      </c>
      <c r="AU371" s="851">
        <v>0</v>
      </c>
      <c r="AV371" s="856"/>
      <c r="AW371" s="839">
        <v>0</v>
      </c>
      <c r="AX371" s="851">
        <v>0</v>
      </c>
      <c r="AY371" s="856"/>
      <c r="AZ371" s="845">
        <v>1564.8493654416934</v>
      </c>
      <c r="BA371" s="845">
        <v>641</v>
      </c>
      <c r="BB371" s="846">
        <v>-923.84936544169341</v>
      </c>
      <c r="BD371" s="2">
        <v>2</v>
      </c>
      <c r="BF371" s="787">
        <v>318.32807564243046</v>
      </c>
      <c r="BG371" s="325">
        <v>150000879</v>
      </c>
      <c r="BI371" s="847">
        <v>0</v>
      </c>
      <c r="BJ371" s="847">
        <v>0</v>
      </c>
      <c r="BK371" s="847">
        <v>0</v>
      </c>
      <c r="BL371" s="848"/>
      <c r="BM371" s="3"/>
      <c r="BN371" s="3"/>
      <c r="BP371" s="3"/>
      <c r="BQ371" s="3"/>
      <c r="BS371" s="42" t="s">
        <v>330</v>
      </c>
    </row>
    <row r="372" spans="1:71" x14ac:dyDescent="0.3">
      <c r="A372" s="325">
        <v>150000880</v>
      </c>
      <c r="B372" s="849" t="s">
        <v>238</v>
      </c>
      <c r="C372" s="850">
        <v>4</v>
      </c>
      <c r="D372" s="101" t="s">
        <v>455</v>
      </c>
      <c r="E372" s="279">
        <v>2726.35</v>
      </c>
      <c r="F372" s="838">
        <v>5078.4463239358784</v>
      </c>
      <c r="G372" s="838">
        <v>4356.4832953936748</v>
      </c>
      <c r="H372" s="838">
        <v>-721.96302854220357</v>
      </c>
      <c r="I372" s="839">
        <v>0</v>
      </c>
      <c r="J372" s="851">
        <v>0</v>
      </c>
      <c r="K372" s="852"/>
      <c r="L372" s="839">
        <v>0</v>
      </c>
      <c r="M372" s="851">
        <v>0</v>
      </c>
      <c r="N372" s="853"/>
      <c r="O372" s="839">
        <v>0</v>
      </c>
      <c r="P372" s="851">
        <v>0</v>
      </c>
      <c r="Q372" s="854"/>
      <c r="R372" s="839">
        <v>0</v>
      </c>
      <c r="S372" s="851">
        <v>0</v>
      </c>
      <c r="T372" s="855"/>
      <c r="U372" s="839">
        <v>0</v>
      </c>
      <c r="V372" s="851">
        <v>0</v>
      </c>
      <c r="W372" s="839">
        <v>0</v>
      </c>
      <c r="X372" s="851">
        <v>86.483295393675036</v>
      </c>
      <c r="Y372" s="839">
        <v>0</v>
      </c>
      <c r="Z372" s="851">
        <v>0</v>
      </c>
      <c r="AA372" s="839">
        <v>0</v>
      </c>
      <c r="AB372" s="851">
        <v>0</v>
      </c>
      <c r="AC372" s="839">
        <v>0</v>
      </c>
      <c r="AD372" s="851">
        <v>4270</v>
      </c>
      <c r="AE372" s="839">
        <v>285.07723534860406</v>
      </c>
      <c r="AF372" s="851">
        <v>0</v>
      </c>
      <c r="AG372" s="856"/>
      <c r="AH372" s="839">
        <v>366.07109162011398</v>
      </c>
      <c r="AI372" s="851">
        <v>0</v>
      </c>
      <c r="AJ372" s="856"/>
      <c r="AK372" s="839">
        <v>294.87116698901576</v>
      </c>
      <c r="AL372" s="851">
        <v>0</v>
      </c>
      <c r="AM372" s="856"/>
      <c r="AN372" s="839">
        <v>0</v>
      </c>
      <c r="AO372" s="851">
        <v>0</v>
      </c>
      <c r="AP372" s="856"/>
      <c r="AQ372" s="839">
        <v>0</v>
      </c>
      <c r="AR372" s="851">
        <v>0</v>
      </c>
      <c r="AS372" s="856"/>
      <c r="AT372" s="839">
        <v>169.92476655434263</v>
      </c>
      <c r="AU372" s="851">
        <v>0</v>
      </c>
      <c r="AV372" s="856"/>
      <c r="AW372" s="839">
        <v>0</v>
      </c>
      <c r="AX372" s="851">
        <v>0</v>
      </c>
      <c r="AY372" s="856"/>
      <c r="AZ372" s="845">
        <v>1115.9442605120764</v>
      </c>
      <c r="BA372" s="845">
        <v>0</v>
      </c>
      <c r="BB372" s="846">
        <v>-1115.9442605120764</v>
      </c>
      <c r="BD372" s="2">
        <v>2</v>
      </c>
      <c r="BF372" s="787">
        <v>599.08463343035817</v>
      </c>
      <c r="BG372" s="325">
        <v>150000880</v>
      </c>
      <c r="BI372" s="847">
        <v>39.340000000000003</v>
      </c>
      <c r="BJ372" s="847">
        <v>3.8605696951440702</v>
      </c>
      <c r="BK372" s="847">
        <v>43.200569695144075</v>
      </c>
      <c r="BL372" s="848"/>
      <c r="BM372" s="3"/>
      <c r="BN372" s="3"/>
      <c r="BP372" s="3"/>
      <c r="BQ372" s="3"/>
      <c r="BS372" s="42" t="s">
        <v>238</v>
      </c>
    </row>
    <row r="373" spans="1:71" x14ac:dyDescent="0.3">
      <c r="A373" s="325">
        <v>150000881</v>
      </c>
      <c r="B373" s="849" t="s">
        <v>412</v>
      </c>
      <c r="C373" s="850">
        <v>9</v>
      </c>
      <c r="D373" s="101" t="s">
        <v>455</v>
      </c>
      <c r="E373" s="279">
        <v>2405.4</v>
      </c>
      <c r="F373" s="838">
        <v>5276.0978004397211</v>
      </c>
      <c r="G373" s="838">
        <v>130</v>
      </c>
      <c r="H373" s="838">
        <v>-5146.0978004397211</v>
      </c>
      <c r="I373" s="839">
        <v>0</v>
      </c>
      <c r="J373" s="851">
        <v>0</v>
      </c>
      <c r="K373" s="852"/>
      <c r="L373" s="839">
        <v>0</v>
      </c>
      <c r="M373" s="851">
        <v>0</v>
      </c>
      <c r="N373" s="853"/>
      <c r="O373" s="839">
        <v>0</v>
      </c>
      <c r="P373" s="851">
        <v>0</v>
      </c>
      <c r="Q373" s="854"/>
      <c r="R373" s="839">
        <v>0</v>
      </c>
      <c r="S373" s="851">
        <v>0</v>
      </c>
      <c r="T373" s="855"/>
      <c r="U373" s="839">
        <v>0</v>
      </c>
      <c r="V373" s="851">
        <v>0</v>
      </c>
      <c r="W373" s="839">
        <v>0</v>
      </c>
      <c r="X373" s="851">
        <v>0</v>
      </c>
      <c r="Y373" s="839">
        <v>0</v>
      </c>
      <c r="Z373" s="851">
        <v>0</v>
      </c>
      <c r="AA373" s="839">
        <v>0</v>
      </c>
      <c r="AB373" s="851">
        <v>0</v>
      </c>
      <c r="AC373" s="839">
        <v>0</v>
      </c>
      <c r="AD373" s="851">
        <v>130</v>
      </c>
      <c r="AE373" s="839">
        <v>36.072648069418491</v>
      </c>
      <c r="AF373" s="851">
        <v>0</v>
      </c>
      <c r="AG373" s="856"/>
      <c r="AH373" s="839">
        <v>44.309609545266404</v>
      </c>
      <c r="AI373" s="851">
        <v>0</v>
      </c>
      <c r="AJ373" s="856"/>
      <c r="AK373" s="839">
        <v>56.364639436687078</v>
      </c>
      <c r="AL373" s="851">
        <v>0</v>
      </c>
      <c r="AM373" s="856"/>
      <c r="AN373" s="839">
        <v>28.814221575132017</v>
      </c>
      <c r="AO373" s="851">
        <v>0</v>
      </c>
      <c r="AP373" s="856"/>
      <c r="AQ373" s="839">
        <v>13.192247063076561</v>
      </c>
      <c r="AR373" s="851">
        <v>0</v>
      </c>
      <c r="AS373" s="856"/>
      <c r="AT373" s="839">
        <v>26.036353088784878</v>
      </c>
      <c r="AU373" s="851">
        <v>0</v>
      </c>
      <c r="AV373" s="856"/>
      <c r="AW373" s="839">
        <v>0</v>
      </c>
      <c r="AX373" s="851">
        <v>0</v>
      </c>
      <c r="AY373" s="856"/>
      <c r="AZ373" s="845">
        <v>204.78971877836545</v>
      </c>
      <c r="BA373" s="845">
        <v>0</v>
      </c>
      <c r="BB373" s="846">
        <v>-204.78971877836545</v>
      </c>
      <c r="BD373" s="2">
        <v>2</v>
      </c>
      <c r="BF373" s="787">
        <v>8.424324627939777</v>
      </c>
      <c r="BG373" s="325">
        <v>150000881</v>
      </c>
      <c r="BI373" s="847">
        <v>0</v>
      </c>
      <c r="BJ373" s="847">
        <v>0</v>
      </c>
      <c r="BK373" s="847">
        <v>0</v>
      </c>
      <c r="BL373" s="848"/>
      <c r="BM373" s="3"/>
      <c r="BN373" s="3"/>
      <c r="BP373" s="3"/>
      <c r="BQ373" s="3"/>
      <c r="BS373" s="42" t="s">
        <v>412</v>
      </c>
    </row>
    <row r="374" spans="1:71" x14ac:dyDescent="0.3">
      <c r="A374" s="325">
        <v>150000882</v>
      </c>
      <c r="B374" s="849" t="s">
        <v>331</v>
      </c>
      <c r="C374" s="850">
        <v>5</v>
      </c>
      <c r="D374" s="101" t="s">
        <v>455</v>
      </c>
      <c r="E374" s="279">
        <v>3009.77</v>
      </c>
      <c r="F374" s="838">
        <v>5455.7119872444182</v>
      </c>
      <c r="G374" s="838">
        <v>6009.0191244207745</v>
      </c>
      <c r="H374" s="838">
        <v>553.30713717635626</v>
      </c>
      <c r="I374" s="839">
        <v>0</v>
      </c>
      <c r="J374" s="851">
        <v>5542</v>
      </c>
      <c r="K374" s="852"/>
      <c r="L374" s="839">
        <v>0</v>
      </c>
      <c r="M374" s="851">
        <v>0</v>
      </c>
      <c r="N374" s="853"/>
      <c r="O374" s="839">
        <v>0</v>
      </c>
      <c r="P374" s="851">
        <v>0</v>
      </c>
      <c r="Q374" s="854"/>
      <c r="R374" s="839">
        <v>0</v>
      </c>
      <c r="S374" s="851">
        <v>0</v>
      </c>
      <c r="T374" s="855"/>
      <c r="U374" s="839">
        <v>0</v>
      </c>
      <c r="V374" s="851">
        <v>0</v>
      </c>
      <c r="W374" s="839">
        <v>0</v>
      </c>
      <c r="X374" s="851">
        <v>76.019124420774844</v>
      </c>
      <c r="Y374" s="839">
        <v>0</v>
      </c>
      <c r="Z374" s="851">
        <v>0</v>
      </c>
      <c r="AA374" s="839">
        <v>0</v>
      </c>
      <c r="AB374" s="851">
        <v>0</v>
      </c>
      <c r="AC374" s="839">
        <v>0</v>
      </c>
      <c r="AD374" s="851">
        <v>391</v>
      </c>
      <c r="AE374" s="839">
        <v>243.31189059781519</v>
      </c>
      <c r="AF374" s="851">
        <v>0</v>
      </c>
      <c r="AG374" s="867"/>
      <c r="AH374" s="839">
        <v>375.19980445508031</v>
      </c>
      <c r="AI374" s="851">
        <v>0</v>
      </c>
      <c r="AJ374" s="856"/>
      <c r="AK374" s="839">
        <v>356.99056120096998</v>
      </c>
      <c r="AL374" s="851">
        <v>0</v>
      </c>
      <c r="AM374" s="856"/>
      <c r="AN374" s="839">
        <v>0</v>
      </c>
      <c r="AO374" s="851">
        <v>0</v>
      </c>
      <c r="AP374" s="856"/>
      <c r="AQ374" s="839">
        <v>0</v>
      </c>
      <c r="AR374" s="851">
        <v>0</v>
      </c>
      <c r="AS374" s="856"/>
      <c r="AT374" s="839">
        <v>121.28325832554735</v>
      </c>
      <c r="AU374" s="851">
        <v>0</v>
      </c>
      <c r="AV374" s="856"/>
      <c r="AW374" s="839">
        <v>0</v>
      </c>
      <c r="AX374" s="851">
        <v>0</v>
      </c>
      <c r="AY374" s="856"/>
      <c r="AZ374" s="845">
        <v>1096.7855145794128</v>
      </c>
      <c r="BA374" s="845">
        <v>0</v>
      </c>
      <c r="BB374" s="846">
        <v>-1096.7855145794128</v>
      </c>
      <c r="BD374" s="2">
        <v>2</v>
      </c>
      <c r="BF374" s="787">
        <v>10.729403924676751</v>
      </c>
      <c r="BG374" s="325">
        <v>150000882</v>
      </c>
      <c r="BI374" s="847">
        <v>34.58</v>
      </c>
      <c r="BJ374" s="847">
        <v>3.3934545007138261</v>
      </c>
      <c r="BK374" s="847">
        <v>37.973454500713828</v>
      </c>
      <c r="BL374" s="848"/>
      <c r="BM374" s="3"/>
      <c r="BN374" s="3"/>
      <c r="BP374" s="3"/>
      <c r="BQ374" s="3"/>
      <c r="BS374" s="42" t="s">
        <v>331</v>
      </c>
    </row>
    <row r="375" spans="1:71" x14ac:dyDescent="0.3">
      <c r="A375" s="325">
        <v>150000883</v>
      </c>
      <c r="B375" s="849" t="s">
        <v>332</v>
      </c>
      <c r="C375" s="850">
        <v>5</v>
      </c>
      <c r="D375" s="101" t="s">
        <v>455</v>
      </c>
      <c r="E375" s="279">
        <v>1851.94</v>
      </c>
      <c r="F375" s="838">
        <v>3451.4727406228981</v>
      </c>
      <c r="G375" s="838">
        <v>65208</v>
      </c>
      <c r="H375" s="838">
        <v>61756.527259377101</v>
      </c>
      <c r="I375" s="839">
        <v>0</v>
      </c>
      <c r="J375" s="851">
        <v>0</v>
      </c>
      <c r="K375" s="866"/>
      <c r="L375" s="839">
        <v>1</v>
      </c>
      <c r="M375" s="851">
        <v>62860</v>
      </c>
      <c r="N375" s="853"/>
      <c r="O375" s="839">
        <v>0</v>
      </c>
      <c r="P375" s="851">
        <v>0</v>
      </c>
      <c r="Q375" s="854"/>
      <c r="R375" s="839">
        <v>0</v>
      </c>
      <c r="S375" s="851">
        <v>0</v>
      </c>
      <c r="T375" s="855"/>
      <c r="U375" s="839">
        <v>0</v>
      </c>
      <c r="V375" s="851">
        <v>0</v>
      </c>
      <c r="W375" s="839">
        <v>0</v>
      </c>
      <c r="X375" s="851">
        <v>0</v>
      </c>
      <c r="Y375" s="839">
        <v>0</v>
      </c>
      <c r="Z375" s="851">
        <v>0</v>
      </c>
      <c r="AA375" s="839">
        <v>0</v>
      </c>
      <c r="AB375" s="851">
        <v>0</v>
      </c>
      <c r="AC375" s="839">
        <v>2087</v>
      </c>
      <c r="AD375" s="851">
        <v>261</v>
      </c>
      <c r="AE375" s="839">
        <v>168.57610194819171</v>
      </c>
      <c r="AF375" s="851">
        <v>0</v>
      </c>
      <c r="AG375" s="856"/>
      <c r="AH375" s="839">
        <v>223.14847341612153</v>
      </c>
      <c r="AI375" s="851">
        <v>0</v>
      </c>
      <c r="AJ375" s="856"/>
      <c r="AK375" s="839">
        <v>199.49280718540049</v>
      </c>
      <c r="AL375" s="851">
        <v>0</v>
      </c>
      <c r="AM375" s="856"/>
      <c r="AN375" s="839">
        <v>0</v>
      </c>
      <c r="AO375" s="851">
        <v>0</v>
      </c>
      <c r="AP375" s="856"/>
      <c r="AQ375" s="839">
        <v>0</v>
      </c>
      <c r="AR375" s="851">
        <v>0</v>
      </c>
      <c r="AS375" s="856"/>
      <c r="AT375" s="839">
        <v>64.946753943193258</v>
      </c>
      <c r="AU375" s="851">
        <v>0</v>
      </c>
      <c r="AV375" s="856"/>
      <c r="AW375" s="839">
        <v>0</v>
      </c>
      <c r="AX375" s="851">
        <v>0</v>
      </c>
      <c r="AY375" s="856"/>
      <c r="AZ375" s="845">
        <v>656.16413649290701</v>
      </c>
      <c r="BA375" s="845">
        <v>0</v>
      </c>
      <c r="BB375" s="846">
        <v>-656.16413649290701</v>
      </c>
      <c r="BD375" s="2">
        <v>2</v>
      </c>
      <c r="BF375" s="787">
        <v>104.54596647188276</v>
      </c>
      <c r="BG375" s="325">
        <v>150000883</v>
      </c>
      <c r="BI375" s="847">
        <v>0</v>
      </c>
      <c r="BJ375" s="847">
        <v>0</v>
      </c>
      <c r="BK375" s="847">
        <v>0</v>
      </c>
      <c r="BL375" s="848"/>
      <c r="BM375" s="3"/>
      <c r="BN375" s="3"/>
      <c r="BP375" s="3"/>
      <c r="BQ375" s="3"/>
      <c r="BS375" s="42" t="s">
        <v>332</v>
      </c>
    </row>
    <row r="376" spans="1:71" x14ac:dyDescent="0.3">
      <c r="A376" s="325">
        <v>150000884</v>
      </c>
      <c r="B376" s="849" t="s">
        <v>333</v>
      </c>
      <c r="C376" s="850">
        <v>5</v>
      </c>
      <c r="D376" s="101" t="s">
        <v>455</v>
      </c>
      <c r="E376" s="279">
        <v>3400.35</v>
      </c>
      <c r="F376" s="838">
        <v>7242.3613606206154</v>
      </c>
      <c r="G376" s="838">
        <v>5759</v>
      </c>
      <c r="H376" s="838">
        <v>-1483.3613606206154</v>
      </c>
      <c r="I376" s="839">
        <v>0</v>
      </c>
      <c r="J376" s="851">
        <v>0</v>
      </c>
      <c r="K376" s="852"/>
      <c r="L376" s="839">
        <v>0</v>
      </c>
      <c r="M376" s="851">
        <v>5238</v>
      </c>
      <c r="N376" s="853"/>
      <c r="O376" s="839">
        <v>0</v>
      </c>
      <c r="P376" s="851">
        <v>0</v>
      </c>
      <c r="Q376" s="854"/>
      <c r="R376" s="839">
        <v>0</v>
      </c>
      <c r="S376" s="851">
        <v>0</v>
      </c>
      <c r="T376" s="855"/>
      <c r="U376" s="839">
        <v>0</v>
      </c>
      <c r="V376" s="851">
        <v>0</v>
      </c>
      <c r="W376" s="839">
        <v>0</v>
      </c>
      <c r="X376" s="851">
        <v>0</v>
      </c>
      <c r="Y376" s="839">
        <v>0</v>
      </c>
      <c r="Z376" s="851">
        <v>0</v>
      </c>
      <c r="AA376" s="839">
        <v>0</v>
      </c>
      <c r="AB376" s="851">
        <v>0</v>
      </c>
      <c r="AC376" s="839">
        <v>0</v>
      </c>
      <c r="AD376" s="851">
        <v>521</v>
      </c>
      <c r="AE376" s="839">
        <v>309.80614720746934</v>
      </c>
      <c r="AF376" s="851">
        <v>406</v>
      </c>
      <c r="AG376" s="857"/>
      <c r="AH376" s="839">
        <v>491.57143533941519</v>
      </c>
      <c r="AI376" s="851">
        <v>0</v>
      </c>
      <c r="AJ376" s="856"/>
      <c r="AK376" s="839">
        <v>365.94411287080538</v>
      </c>
      <c r="AL376" s="851">
        <v>0</v>
      </c>
      <c r="AM376" s="856"/>
      <c r="AN376" s="839">
        <v>0</v>
      </c>
      <c r="AO376" s="851">
        <v>0</v>
      </c>
      <c r="AP376" s="856"/>
      <c r="AQ376" s="839">
        <v>0</v>
      </c>
      <c r="AR376" s="851">
        <v>0</v>
      </c>
      <c r="AS376" s="856"/>
      <c r="AT376" s="839">
        <v>175.46952701896416</v>
      </c>
      <c r="AU376" s="851">
        <v>0</v>
      </c>
      <c r="AV376" s="856"/>
      <c r="AW376" s="839">
        <v>0</v>
      </c>
      <c r="AX376" s="851">
        <v>0</v>
      </c>
      <c r="AY376" s="856"/>
      <c r="AZ376" s="845">
        <v>1342.7912224366539</v>
      </c>
      <c r="BA376" s="845">
        <v>406</v>
      </c>
      <c r="BB376" s="846">
        <v>-936.79122243665392</v>
      </c>
      <c r="BD376" s="2">
        <v>2</v>
      </c>
      <c r="BF376" s="787">
        <v>11.906792073600339</v>
      </c>
      <c r="BG376" s="325">
        <v>150000884</v>
      </c>
      <c r="BI376" s="847">
        <v>0</v>
      </c>
      <c r="BJ376" s="847">
        <v>0</v>
      </c>
      <c r="BK376" s="847">
        <v>0</v>
      </c>
      <c r="BL376" s="848"/>
      <c r="BM376" s="3"/>
      <c r="BN376" s="3"/>
      <c r="BP376" s="3"/>
      <c r="BQ376" s="3"/>
      <c r="BS376" s="42" t="s">
        <v>333</v>
      </c>
    </row>
    <row r="377" spans="1:71" ht="14.4" thickBot="1" x14ac:dyDescent="0.35">
      <c r="A377" s="325">
        <v>150000885</v>
      </c>
      <c r="B377" s="849" t="s">
        <v>239</v>
      </c>
      <c r="C377" s="850">
        <v>4</v>
      </c>
      <c r="D377" s="101" t="s">
        <v>455</v>
      </c>
      <c r="E377" s="279">
        <v>1494.6000000000001</v>
      </c>
      <c r="F377" s="838">
        <v>3364.7835167501908</v>
      </c>
      <c r="G377" s="890">
        <v>261</v>
      </c>
      <c r="H377" s="890">
        <v>-3103.7835167501908</v>
      </c>
      <c r="I377" s="839">
        <v>0</v>
      </c>
      <c r="J377" s="891">
        <v>0</v>
      </c>
      <c r="K377" s="892"/>
      <c r="L377" s="839">
        <v>0</v>
      </c>
      <c r="M377" s="891">
        <v>0</v>
      </c>
      <c r="N377" s="893"/>
      <c r="O377" s="839">
        <v>0</v>
      </c>
      <c r="P377" s="891">
        <v>0</v>
      </c>
      <c r="Q377" s="894"/>
      <c r="R377" s="839">
        <v>0</v>
      </c>
      <c r="S377" s="891">
        <v>0</v>
      </c>
      <c r="T377" s="895"/>
      <c r="U377" s="839">
        <v>0</v>
      </c>
      <c r="V377" s="891">
        <v>0</v>
      </c>
      <c r="W377" s="839">
        <v>0</v>
      </c>
      <c r="X377" s="891">
        <v>0</v>
      </c>
      <c r="Y377" s="839">
        <v>0</v>
      </c>
      <c r="Z377" s="891">
        <v>0</v>
      </c>
      <c r="AA377" s="839">
        <v>0</v>
      </c>
      <c r="AB377" s="891">
        <v>0</v>
      </c>
      <c r="AC377" s="839">
        <v>0</v>
      </c>
      <c r="AD377" s="891">
        <v>261</v>
      </c>
      <c r="AE377" s="839">
        <v>148.66895006333297</v>
      </c>
      <c r="AF377" s="891">
        <v>0</v>
      </c>
      <c r="AG377" s="896"/>
      <c r="AH377" s="839">
        <v>199.98679498901538</v>
      </c>
      <c r="AI377" s="891">
        <v>0</v>
      </c>
      <c r="AJ377" s="896"/>
      <c r="AK377" s="839">
        <v>151.15206599134754</v>
      </c>
      <c r="AL377" s="891">
        <v>0</v>
      </c>
      <c r="AM377" s="896"/>
      <c r="AN377" s="839">
        <v>0</v>
      </c>
      <c r="AO377" s="891">
        <v>0</v>
      </c>
      <c r="AP377" s="896"/>
      <c r="AQ377" s="839">
        <v>0</v>
      </c>
      <c r="AR377" s="891">
        <v>0</v>
      </c>
      <c r="AS377" s="896"/>
      <c r="AT377" s="839">
        <v>60.056169810574971</v>
      </c>
      <c r="AU377" s="891">
        <v>0</v>
      </c>
      <c r="AV377" s="882"/>
      <c r="AW377" s="839">
        <v>0</v>
      </c>
      <c r="AX377" s="891">
        <v>0</v>
      </c>
      <c r="AY377" s="896"/>
      <c r="AZ377" s="897">
        <v>559.86398085427084</v>
      </c>
      <c r="BA377" s="897">
        <v>0</v>
      </c>
      <c r="BB377" s="898">
        <v>-559.86398085427084</v>
      </c>
      <c r="BD377" s="2">
        <v>2</v>
      </c>
      <c r="BF377" s="792">
        <v>5.2344706031923138</v>
      </c>
      <c r="BG377" s="325">
        <v>150000885</v>
      </c>
      <c r="BI377" s="847">
        <v>0</v>
      </c>
      <c r="BJ377" s="847">
        <v>0</v>
      </c>
      <c r="BK377" s="847">
        <v>0</v>
      </c>
      <c r="BL377" s="848"/>
      <c r="BM377" s="3"/>
      <c r="BN377" s="3"/>
      <c r="BP377" s="3"/>
      <c r="BQ377" s="3"/>
      <c r="BS377" s="45" t="s">
        <v>239</v>
      </c>
    </row>
    <row r="378" spans="1:71" ht="14.4" thickBot="1" x14ac:dyDescent="0.35">
      <c r="A378" s="280"/>
      <c r="B378" s="281" t="s">
        <v>853</v>
      </c>
      <c r="C378" s="281"/>
      <c r="D378" s="282"/>
      <c r="E378" s="899">
        <v>1009727.2799999997</v>
      </c>
      <c r="F378" s="900">
        <v>2525384.8693702058</v>
      </c>
      <c r="G378" s="901">
        <v>2039749.8290022509</v>
      </c>
      <c r="H378" s="900">
        <v>-485635.04036795342</v>
      </c>
      <c r="I378" s="902">
        <v>385</v>
      </c>
      <c r="J378" s="903">
        <v>164586</v>
      </c>
      <c r="K378" s="904"/>
      <c r="L378" s="905">
        <v>16</v>
      </c>
      <c r="M378" s="906">
        <v>818197</v>
      </c>
      <c r="N378" s="907"/>
      <c r="O378" s="908">
        <v>20</v>
      </c>
      <c r="P378" s="909">
        <v>6715</v>
      </c>
      <c r="Q378" s="910"/>
      <c r="R378" s="911">
        <v>22</v>
      </c>
      <c r="S378" s="912">
        <v>694451</v>
      </c>
      <c r="T378" s="913"/>
      <c r="U378" s="914">
        <v>26812</v>
      </c>
      <c r="V378" s="915"/>
      <c r="W378" s="916">
        <v>65</v>
      </c>
      <c r="X378" s="917">
        <v>17250.829002251128</v>
      </c>
      <c r="Y378" s="918">
        <v>10875</v>
      </c>
      <c r="Z378" s="919"/>
      <c r="AA378" s="920">
        <v>0</v>
      </c>
      <c r="AB378" s="921">
        <v>12665</v>
      </c>
      <c r="AC378" s="922">
        <v>171979</v>
      </c>
      <c r="AD378" s="923">
        <v>116219</v>
      </c>
      <c r="AE378" s="924">
        <v>64078.523660394538</v>
      </c>
      <c r="AF378" s="925">
        <v>52591</v>
      </c>
      <c r="AG378" s="926">
        <v>-11487.523660394538</v>
      </c>
      <c r="AH378" s="926">
        <v>92833.465966895106</v>
      </c>
      <c r="AI378" s="925">
        <v>83942</v>
      </c>
      <c r="AJ378" s="926">
        <v>-8891.4659668951062</v>
      </c>
      <c r="AK378" s="926">
        <v>80922.177901039831</v>
      </c>
      <c r="AL378" s="925">
        <v>26007</v>
      </c>
      <c r="AM378" s="926">
        <v>-54915.177901039831</v>
      </c>
      <c r="AN378" s="926">
        <v>16800.799290652958</v>
      </c>
      <c r="AO378" s="925">
        <v>9631</v>
      </c>
      <c r="AP378" s="926">
        <v>-7169.799290652958</v>
      </c>
      <c r="AQ378" s="926">
        <v>14606.204222636366</v>
      </c>
      <c r="AR378" s="925">
        <v>8442</v>
      </c>
      <c r="AS378" s="926">
        <v>-6164.2042226363665</v>
      </c>
      <c r="AT378" s="926">
        <v>42948.011739467744</v>
      </c>
      <c r="AU378" s="925">
        <v>75667</v>
      </c>
      <c r="AV378" s="926">
        <v>32718.988260532256</v>
      </c>
      <c r="AW378" s="926">
        <v>7735.508814190438</v>
      </c>
      <c r="AX378" s="925">
        <v>0</v>
      </c>
      <c r="AY378" s="926"/>
      <c r="AZ378" s="926">
        <v>319924.69159527699</v>
      </c>
      <c r="BA378" s="926">
        <v>256280</v>
      </c>
      <c r="BB378" s="927">
        <v>-63644.691595276992</v>
      </c>
      <c r="BC378" s="31"/>
      <c r="BD378" s="168"/>
      <c r="BE378" s="31"/>
      <c r="BF378" s="796">
        <v>13582.529371100003</v>
      </c>
      <c r="BG378" s="796"/>
      <c r="BH378" s="928"/>
      <c r="BI378" s="929">
        <v>4578.8</v>
      </c>
      <c r="BJ378" s="929">
        <v>449.33341433974761</v>
      </c>
      <c r="BK378" s="929">
        <v>5028.1334143397489</v>
      </c>
      <c r="BL378" s="31"/>
      <c r="BM378" s="629"/>
      <c r="BN378" s="629"/>
      <c r="BO378" s="31"/>
      <c r="BP378" s="629"/>
      <c r="BQ378" s="629"/>
    </row>
    <row r="379" spans="1:71" x14ac:dyDescent="0.3">
      <c r="BF379" s="797">
        <v>5470.440035499998</v>
      </c>
      <c r="BH379" s="94"/>
      <c r="BI379" s="930"/>
    </row>
    <row r="380" spans="1:71" x14ac:dyDescent="0.3">
      <c r="F380" s="7">
        <v>2525384.8693702058</v>
      </c>
      <c r="G380" s="7">
        <v>2039749.8290022509</v>
      </c>
      <c r="AZ380" s="7">
        <v>319924.69159527699</v>
      </c>
      <c r="BA380" s="7">
        <v>256280</v>
      </c>
      <c r="BF380" s="797">
        <v>5991.7293356000009</v>
      </c>
      <c r="BH380" s="94"/>
      <c r="BI380" s="930"/>
    </row>
    <row r="381" spans="1:71" x14ac:dyDescent="0.3">
      <c r="BF381" s="797">
        <v>2120.3599999999997</v>
      </c>
      <c r="BH381" s="94"/>
      <c r="BI381" s="930"/>
    </row>
    <row r="382" spans="1:71" x14ac:dyDescent="0.3">
      <c r="BF382" s="802">
        <v>13582.529371099998</v>
      </c>
      <c r="BI382" s="930"/>
    </row>
    <row r="383" spans="1:71" ht="15.6" x14ac:dyDescent="0.3">
      <c r="A383" s="178"/>
      <c r="B383" s="799" t="s">
        <v>986</v>
      </c>
      <c r="C383" s="800"/>
      <c r="D383" s="801"/>
      <c r="E383" s="178"/>
      <c r="F383" s="5">
        <v>909392.68342757528</v>
      </c>
      <c r="G383" s="5">
        <v>835863.63841003762</v>
      </c>
      <c r="H383" s="5">
        <v>-73529.045017537341</v>
      </c>
      <c r="I383" s="5">
        <v>0</v>
      </c>
      <c r="J383" s="5">
        <v>25549</v>
      </c>
      <c r="K383" s="5">
        <v>0</v>
      </c>
      <c r="L383" s="5">
        <v>2</v>
      </c>
      <c r="M383" s="5">
        <v>160030</v>
      </c>
      <c r="N383" s="5">
        <v>0</v>
      </c>
      <c r="O383" s="5">
        <v>0</v>
      </c>
      <c r="P383" s="5">
        <v>0</v>
      </c>
      <c r="Q383" s="5">
        <v>0</v>
      </c>
      <c r="R383" s="5">
        <v>16</v>
      </c>
      <c r="S383" s="5">
        <v>521563</v>
      </c>
      <c r="T383" s="5">
        <v>0</v>
      </c>
      <c r="U383" s="5">
        <v>2830</v>
      </c>
      <c r="V383" s="5">
        <v>0</v>
      </c>
      <c r="W383" s="5">
        <v>9</v>
      </c>
      <c r="X383" s="5">
        <v>4286.638410037639</v>
      </c>
      <c r="Y383" s="5">
        <v>9251</v>
      </c>
      <c r="Z383" s="5">
        <v>0</v>
      </c>
      <c r="AA383" s="5">
        <v>0</v>
      </c>
      <c r="AB383" s="5">
        <v>340</v>
      </c>
      <c r="AC383" s="5">
        <v>92188</v>
      </c>
      <c r="AD383" s="5">
        <v>19826</v>
      </c>
      <c r="AE383" s="5">
        <v>14083.985456616429</v>
      </c>
      <c r="AF383" s="5">
        <v>17632</v>
      </c>
      <c r="AG383" s="5">
        <v>0</v>
      </c>
      <c r="AH383" s="5">
        <v>19431.596625235175</v>
      </c>
      <c r="AI383" s="5">
        <v>47684</v>
      </c>
      <c r="AJ383" s="5">
        <v>0</v>
      </c>
      <c r="AK383" s="5">
        <v>17522.60792734893</v>
      </c>
      <c r="AL383" s="5">
        <v>703</v>
      </c>
      <c r="AM383" s="5">
        <v>0</v>
      </c>
      <c r="AN383" s="5">
        <v>7328.4332325908508</v>
      </c>
      <c r="AO383" s="5">
        <v>820</v>
      </c>
      <c r="AP383" s="5">
        <v>0</v>
      </c>
      <c r="AQ383" s="5">
        <v>6135.7129767815741</v>
      </c>
      <c r="AR383" s="5">
        <v>8442</v>
      </c>
      <c r="AS383" s="5">
        <v>0</v>
      </c>
      <c r="AT383" s="5">
        <v>11002.831550017294</v>
      </c>
      <c r="AU383" s="5">
        <v>28832</v>
      </c>
      <c r="AV383" s="5">
        <v>0</v>
      </c>
      <c r="AW383" s="5">
        <v>7390.2631005233388</v>
      </c>
      <c r="AX383" s="5">
        <v>0</v>
      </c>
      <c r="AY383" s="5">
        <v>0</v>
      </c>
      <c r="AZ383" s="5">
        <v>82895.430869113581</v>
      </c>
      <c r="BA383" s="5">
        <v>104113</v>
      </c>
      <c r="BB383" s="5">
        <v>21217.569130886415</v>
      </c>
      <c r="BF383" s="931" t="e">
        <v>#REF!</v>
      </c>
      <c r="BI383" s="930"/>
    </row>
    <row r="384" spans="1:71" ht="15.6" x14ac:dyDescent="0.3">
      <c r="A384" s="178"/>
      <c r="B384" s="799" t="s">
        <v>987</v>
      </c>
      <c r="C384" s="800"/>
      <c r="D384" s="801"/>
      <c r="E384" s="178"/>
      <c r="F384" s="5">
        <v>765273.74314309726</v>
      </c>
      <c r="G384" s="5">
        <v>686938.52066063089</v>
      </c>
      <c r="H384" s="5">
        <v>-78335.222482466095</v>
      </c>
      <c r="I384" s="5">
        <v>0</v>
      </c>
      <c r="J384" s="5">
        <v>112158</v>
      </c>
      <c r="K384" s="5">
        <v>0</v>
      </c>
      <c r="L384" s="5">
        <v>8</v>
      </c>
      <c r="M384" s="5">
        <v>431386</v>
      </c>
      <c r="N384" s="5">
        <v>0</v>
      </c>
      <c r="O384" s="5">
        <v>20</v>
      </c>
      <c r="P384" s="5">
        <v>6715</v>
      </c>
      <c r="Q384" s="5">
        <v>0</v>
      </c>
      <c r="R384" s="5">
        <v>2</v>
      </c>
      <c r="S384" s="5">
        <v>25730</v>
      </c>
      <c r="T384" s="5">
        <v>0</v>
      </c>
      <c r="U384" s="5">
        <v>0</v>
      </c>
      <c r="V384" s="5">
        <v>0</v>
      </c>
      <c r="W384" s="5">
        <v>0</v>
      </c>
      <c r="X384" s="5">
        <v>4821.5206606310076</v>
      </c>
      <c r="Y384" s="5">
        <v>371</v>
      </c>
      <c r="Z384" s="5">
        <v>0</v>
      </c>
      <c r="AA384" s="5">
        <v>0</v>
      </c>
      <c r="AB384" s="5">
        <v>0</v>
      </c>
      <c r="AC384" s="5">
        <v>20450</v>
      </c>
      <c r="AD384" s="5">
        <v>85307</v>
      </c>
      <c r="AE384" s="5">
        <v>29040.464448740338</v>
      </c>
      <c r="AF384" s="5">
        <v>26435</v>
      </c>
      <c r="AG384" s="5">
        <v>0</v>
      </c>
      <c r="AH384" s="5">
        <v>42747.645533191186</v>
      </c>
      <c r="AI384" s="5">
        <v>20518</v>
      </c>
      <c r="AJ384" s="5">
        <v>0</v>
      </c>
      <c r="AK384" s="5">
        <v>35600.348847363784</v>
      </c>
      <c r="AL384" s="5">
        <v>0</v>
      </c>
      <c r="AM384" s="5">
        <v>0</v>
      </c>
      <c r="AN384" s="5">
        <v>3661.1454277960811</v>
      </c>
      <c r="AO384" s="5">
        <v>742</v>
      </c>
      <c r="AP384" s="5">
        <v>0</v>
      </c>
      <c r="AQ384" s="5">
        <v>1571.65397333233</v>
      </c>
      <c r="AR384" s="5">
        <v>0</v>
      </c>
      <c r="AS384" s="5">
        <v>0</v>
      </c>
      <c r="AT384" s="5">
        <v>16610.201826388922</v>
      </c>
      <c r="AU384" s="5">
        <v>40980</v>
      </c>
      <c r="AV384" s="5">
        <v>0</v>
      </c>
      <c r="AW384" s="5">
        <v>327.12590045266842</v>
      </c>
      <c r="AX384" s="5">
        <v>0</v>
      </c>
      <c r="AY384" s="5">
        <v>0</v>
      </c>
      <c r="AZ384" s="5">
        <v>129558.58595726534</v>
      </c>
      <c r="BA384" s="5">
        <v>88675</v>
      </c>
      <c r="BB384" s="5">
        <v>-40883.585957265357</v>
      </c>
      <c r="BF384" s="931" t="e">
        <v>#REF!</v>
      </c>
      <c r="BI384" s="930"/>
    </row>
    <row r="385" spans="1:61" ht="15.6" x14ac:dyDescent="0.3">
      <c r="A385" s="178"/>
      <c r="B385" s="799" t="s">
        <v>988</v>
      </c>
      <c r="C385" s="800"/>
      <c r="D385" s="801"/>
      <c r="E385" s="178"/>
      <c r="F385" s="5">
        <v>850718.44279953279</v>
      </c>
      <c r="G385" s="5">
        <v>516947.66993158252</v>
      </c>
      <c r="H385" s="5">
        <v>-333770.7728679502</v>
      </c>
      <c r="I385" s="5">
        <v>385</v>
      </c>
      <c r="J385" s="5">
        <v>26879</v>
      </c>
      <c r="K385" s="5">
        <v>0</v>
      </c>
      <c r="L385" s="5">
        <v>6</v>
      </c>
      <c r="M385" s="5">
        <v>226781</v>
      </c>
      <c r="N385" s="5">
        <v>0</v>
      </c>
      <c r="O385" s="5">
        <v>0</v>
      </c>
      <c r="P385" s="5">
        <v>0</v>
      </c>
      <c r="Q385" s="5">
        <v>0</v>
      </c>
      <c r="R385" s="5">
        <v>4</v>
      </c>
      <c r="S385" s="5">
        <v>147158</v>
      </c>
      <c r="T385" s="5">
        <v>0</v>
      </c>
      <c r="U385" s="5">
        <v>23982</v>
      </c>
      <c r="V385" s="5">
        <v>0</v>
      </c>
      <c r="W385" s="5">
        <v>56</v>
      </c>
      <c r="X385" s="5">
        <v>8142.669931582479</v>
      </c>
      <c r="Y385" s="5">
        <v>1253</v>
      </c>
      <c r="Z385" s="5">
        <v>0</v>
      </c>
      <c r="AA385" s="5">
        <v>0</v>
      </c>
      <c r="AB385" s="5">
        <v>12325</v>
      </c>
      <c r="AC385" s="5">
        <v>59341</v>
      </c>
      <c r="AD385" s="5">
        <v>11086</v>
      </c>
      <c r="AE385" s="5">
        <v>20954.073755037763</v>
      </c>
      <c r="AF385" s="5">
        <v>8524</v>
      </c>
      <c r="AG385" s="5">
        <v>0</v>
      </c>
      <c r="AH385" s="5">
        <v>30654.223808468731</v>
      </c>
      <c r="AI385" s="5">
        <v>15740</v>
      </c>
      <c r="AJ385" s="5">
        <v>0</v>
      </c>
      <c r="AK385" s="5">
        <v>27799.22112632712</v>
      </c>
      <c r="AL385" s="5">
        <v>25304</v>
      </c>
      <c r="AM385" s="5">
        <v>0</v>
      </c>
      <c r="AN385" s="5">
        <v>5811.2206302660306</v>
      </c>
      <c r="AO385" s="5">
        <v>8069</v>
      </c>
      <c r="AP385" s="5">
        <v>0</v>
      </c>
      <c r="AQ385" s="5">
        <v>6898.8372725224754</v>
      </c>
      <c r="AR385" s="5">
        <v>0</v>
      </c>
      <c r="AS385" s="5">
        <v>0</v>
      </c>
      <c r="AT385" s="5">
        <v>15334.97836306152</v>
      </c>
      <c r="AU385" s="5">
        <v>5855</v>
      </c>
      <c r="AV385" s="5">
        <v>0</v>
      </c>
      <c r="AW385" s="5">
        <v>18.119813214430302</v>
      </c>
      <c r="AX385" s="5">
        <v>0</v>
      </c>
      <c r="AY385" s="5">
        <v>0</v>
      </c>
      <c r="AZ385" s="5">
        <v>107470.67476889802</v>
      </c>
      <c r="BA385" s="5">
        <v>63492</v>
      </c>
      <c r="BB385" s="5">
        <v>-43978.674768898083</v>
      </c>
      <c r="BF385" s="931" t="e">
        <v>#REF!</v>
      </c>
      <c r="BI385" s="930"/>
    </row>
    <row r="386" spans="1:61" ht="15.6" x14ac:dyDescent="0.3">
      <c r="B386" s="273"/>
      <c r="C386" s="9"/>
      <c r="D386" s="103"/>
      <c r="F386" s="8">
        <v>2525384.8693702053</v>
      </c>
      <c r="G386" s="8">
        <v>2039749.8290022509</v>
      </c>
      <c r="H386" s="8">
        <v>-485635.04036795365</v>
      </c>
      <c r="I386" s="8">
        <v>385</v>
      </c>
      <c r="J386" s="8">
        <v>164586</v>
      </c>
      <c r="K386" s="8"/>
      <c r="L386" s="8">
        <v>16</v>
      </c>
      <c r="M386" s="8">
        <v>818197</v>
      </c>
      <c r="N386" s="8"/>
      <c r="O386" s="8">
        <v>20</v>
      </c>
      <c r="P386" s="8">
        <v>6715</v>
      </c>
      <c r="Q386" s="8"/>
      <c r="R386" s="8">
        <v>22</v>
      </c>
      <c r="S386" s="8">
        <v>694451</v>
      </c>
      <c r="T386" s="8"/>
      <c r="U386" s="8">
        <v>26812</v>
      </c>
      <c r="V386" s="8">
        <v>0</v>
      </c>
      <c r="W386" s="8">
        <v>65</v>
      </c>
      <c r="X386" s="8">
        <v>17250.829002251128</v>
      </c>
      <c r="Y386" s="8">
        <v>10875</v>
      </c>
      <c r="Z386" s="8"/>
      <c r="AA386" s="8">
        <v>0</v>
      </c>
      <c r="AB386" s="8">
        <v>12665</v>
      </c>
      <c r="AC386" s="8">
        <v>171979</v>
      </c>
      <c r="AD386" s="8">
        <v>116219</v>
      </c>
      <c r="AE386" s="8">
        <v>64078.523660394538</v>
      </c>
      <c r="AF386" s="8">
        <v>52591</v>
      </c>
      <c r="AG386" s="8"/>
      <c r="AH386" s="8">
        <v>92833.465966895092</v>
      </c>
      <c r="AI386" s="8">
        <v>83942</v>
      </c>
      <c r="AJ386" s="8"/>
      <c r="AK386" s="8">
        <v>80922.177901039831</v>
      </c>
      <c r="AL386" s="8">
        <v>26007</v>
      </c>
      <c r="AM386" s="8"/>
      <c r="AN386" s="8">
        <v>16800.799290652962</v>
      </c>
      <c r="AO386" s="8">
        <v>9631</v>
      </c>
      <c r="AP386" s="8"/>
      <c r="AQ386" s="8">
        <v>14606.204222636379</v>
      </c>
      <c r="AR386" s="8">
        <v>8442</v>
      </c>
      <c r="AS386" s="8"/>
      <c r="AT386" s="8">
        <v>42948.011739467736</v>
      </c>
      <c r="AU386" s="8">
        <v>75667</v>
      </c>
      <c r="AV386" s="8"/>
      <c r="AW386" s="8">
        <v>7735.5088141904371</v>
      </c>
      <c r="AX386" s="8">
        <v>0</v>
      </c>
      <c r="AY386" s="8"/>
      <c r="AZ386" s="8">
        <v>319924.69159527693</v>
      </c>
      <c r="BA386" s="8">
        <v>256280</v>
      </c>
      <c r="BB386" s="8">
        <v>-63644.691595277021</v>
      </c>
      <c r="BD386" s="1"/>
      <c r="BF386" s="932" t="e">
        <v>#REF!</v>
      </c>
      <c r="BI386" s="930"/>
    </row>
    <row r="387" spans="1:61" x14ac:dyDescent="0.3">
      <c r="BI387" s="930"/>
    </row>
    <row r="388" spans="1:61" x14ac:dyDescent="0.3">
      <c r="E388" s="933" t="s">
        <v>1091</v>
      </c>
      <c r="BD388" s="1"/>
      <c r="BI388" s="930"/>
    </row>
    <row r="389" spans="1:61" ht="15.6" x14ac:dyDescent="0.3">
      <c r="B389" s="273" t="s">
        <v>1135</v>
      </c>
      <c r="H389" s="934"/>
      <c r="BD389" s="1"/>
      <c r="BI389" s="930"/>
    </row>
    <row r="390" spans="1:61" x14ac:dyDescent="0.3">
      <c r="B390" s="935"/>
      <c r="C390" s="936" t="s">
        <v>1136</v>
      </c>
      <c r="D390" s="936" t="s">
        <v>1137</v>
      </c>
      <c r="E390" s="936" t="s">
        <v>1138</v>
      </c>
      <c r="BD390" s="1"/>
      <c r="BI390" s="930"/>
    </row>
    <row r="391" spans="1:61" x14ac:dyDescent="0.3">
      <c r="B391" s="935" t="s">
        <v>1139</v>
      </c>
      <c r="C391" s="628">
        <v>65720</v>
      </c>
      <c r="D391" s="628">
        <v>98866</v>
      </c>
      <c r="E391" s="628">
        <v>164586</v>
      </c>
      <c r="BD391" s="1"/>
      <c r="BI391" s="930"/>
    </row>
    <row r="392" spans="1:61" x14ac:dyDescent="0.3">
      <c r="B392" s="935" t="s">
        <v>1140</v>
      </c>
      <c r="C392" s="628">
        <v>767410</v>
      </c>
      <c r="D392" s="628">
        <v>50787</v>
      </c>
      <c r="E392" s="628">
        <v>818197</v>
      </c>
      <c r="BD392" s="1"/>
      <c r="BI392" s="930"/>
    </row>
    <row r="393" spans="1:61" x14ac:dyDescent="0.3">
      <c r="B393" s="935" t="s">
        <v>1141</v>
      </c>
      <c r="C393" s="628">
        <v>29915.829002251128</v>
      </c>
      <c r="D393" s="628">
        <v>0</v>
      </c>
      <c r="E393" s="628">
        <v>29915.829002251128</v>
      </c>
      <c r="BD393" s="1"/>
      <c r="BI393" s="930"/>
    </row>
    <row r="394" spans="1:61" x14ac:dyDescent="0.3">
      <c r="B394" s="935" t="s">
        <v>1142</v>
      </c>
      <c r="C394" s="628">
        <v>111829</v>
      </c>
      <c r="D394" s="628">
        <v>609434</v>
      </c>
      <c r="E394" s="628">
        <v>721263</v>
      </c>
      <c r="BD394" s="1"/>
      <c r="BI394" s="930"/>
    </row>
    <row r="395" spans="1:61" x14ac:dyDescent="0.3">
      <c r="B395" s="935" t="s">
        <v>1143</v>
      </c>
      <c r="C395" s="628">
        <v>6715</v>
      </c>
      <c r="D395" s="628">
        <v>0</v>
      </c>
      <c r="E395" s="628">
        <v>6715</v>
      </c>
      <c r="BD395" s="1"/>
      <c r="BI395" s="930"/>
    </row>
    <row r="396" spans="1:61" x14ac:dyDescent="0.3">
      <c r="B396" s="935" t="s">
        <v>1144</v>
      </c>
      <c r="C396" s="628">
        <v>171979</v>
      </c>
      <c r="D396" s="628">
        <v>0</v>
      </c>
      <c r="E396" s="628">
        <v>171979</v>
      </c>
      <c r="BD396" s="1"/>
      <c r="BI396" s="930"/>
    </row>
    <row r="397" spans="1:61" x14ac:dyDescent="0.3">
      <c r="B397" s="935" t="s">
        <v>1145</v>
      </c>
      <c r="C397" s="628">
        <v>10875</v>
      </c>
      <c r="D397" s="628">
        <v>0</v>
      </c>
      <c r="E397" s="628">
        <v>10875</v>
      </c>
      <c r="BD397" s="1"/>
      <c r="BI397" s="930"/>
    </row>
    <row r="398" spans="1:61" x14ac:dyDescent="0.3">
      <c r="B398" s="935" t="s">
        <v>1146</v>
      </c>
      <c r="C398" s="628">
        <v>116219</v>
      </c>
      <c r="D398" s="628">
        <v>0</v>
      </c>
      <c r="E398" s="628">
        <v>116219</v>
      </c>
      <c r="BD398" s="1"/>
      <c r="BI398" s="930"/>
    </row>
    <row r="399" spans="1:61" x14ac:dyDescent="0.3">
      <c r="B399" s="935" t="s">
        <v>978</v>
      </c>
      <c r="C399" s="630">
        <v>1280662.8290022512</v>
      </c>
      <c r="D399" s="630">
        <v>759087</v>
      </c>
      <c r="E399" s="630">
        <v>2039749.8290022512</v>
      </c>
      <c r="BD399" s="1"/>
      <c r="BI399" s="930"/>
    </row>
    <row r="400" spans="1:61" x14ac:dyDescent="0.3">
      <c r="C400" s="146"/>
      <c r="D400" s="146"/>
      <c r="E400" s="937">
        <v>2039749.8290022509</v>
      </c>
      <c r="F400" s="7">
        <v>0</v>
      </c>
      <c r="BD400" s="1"/>
      <c r="BI400" s="930"/>
    </row>
    <row r="401" spans="2:61" x14ac:dyDescent="0.3">
      <c r="C401" s="938"/>
      <c r="D401" s="938"/>
      <c r="E401" s="938"/>
      <c r="BD401" s="1"/>
      <c r="BI401" s="930"/>
    </row>
    <row r="402" spans="2:61" ht="15.6" x14ac:dyDescent="0.3">
      <c r="B402" s="273" t="s">
        <v>1147</v>
      </c>
      <c r="C402" s="939"/>
      <c r="D402" s="939"/>
      <c r="E402" s="939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D402" s="1"/>
      <c r="BI402" s="930"/>
    </row>
    <row r="403" spans="2:61" x14ac:dyDescent="0.3">
      <c r="B403" s="935"/>
      <c r="C403" s="936" t="s">
        <v>1136</v>
      </c>
      <c r="D403" s="936" t="s">
        <v>1137</v>
      </c>
      <c r="E403" s="936" t="s">
        <v>1138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D403" s="1"/>
      <c r="BI403" s="930"/>
    </row>
    <row r="404" spans="2:61" x14ac:dyDescent="0.3">
      <c r="B404" s="633" t="s">
        <v>926</v>
      </c>
      <c r="C404" s="628">
        <v>52591</v>
      </c>
      <c r="D404" s="628">
        <v>0</v>
      </c>
      <c r="E404" s="628">
        <v>52591</v>
      </c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D404" s="1"/>
      <c r="BI404" s="930"/>
    </row>
    <row r="405" spans="2:61" x14ac:dyDescent="0.3">
      <c r="B405" s="633" t="s">
        <v>25</v>
      </c>
      <c r="C405" s="628">
        <v>83942</v>
      </c>
      <c r="D405" s="628">
        <v>0</v>
      </c>
      <c r="E405" s="628">
        <v>83942</v>
      </c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D405" s="1"/>
      <c r="BI405" s="930"/>
    </row>
    <row r="406" spans="2:61" x14ac:dyDescent="0.3">
      <c r="B406" s="633" t="s">
        <v>26</v>
      </c>
      <c r="C406" s="628">
        <v>24691</v>
      </c>
      <c r="D406" s="628">
        <v>1316</v>
      </c>
      <c r="E406" s="628">
        <v>26007</v>
      </c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D406" s="1"/>
      <c r="BI406" s="930"/>
    </row>
    <row r="407" spans="2:61" x14ac:dyDescent="0.3">
      <c r="B407" s="633" t="s">
        <v>1148</v>
      </c>
      <c r="C407" s="628">
        <v>8889</v>
      </c>
      <c r="D407" s="628">
        <v>742</v>
      </c>
      <c r="E407" s="628">
        <v>9631</v>
      </c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D407" s="1"/>
      <c r="BI407" s="930"/>
    </row>
    <row r="408" spans="2:61" x14ac:dyDescent="0.3">
      <c r="B408" s="633" t="s">
        <v>1149</v>
      </c>
      <c r="C408" s="628">
        <v>8442</v>
      </c>
      <c r="D408" s="628">
        <v>0</v>
      </c>
      <c r="E408" s="628">
        <v>8442</v>
      </c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D408" s="1"/>
      <c r="BI408" s="930"/>
    </row>
    <row r="409" spans="2:61" x14ac:dyDescent="0.3">
      <c r="B409" s="633" t="s">
        <v>29</v>
      </c>
      <c r="C409" s="628">
        <v>75667</v>
      </c>
      <c r="D409" s="628">
        <v>0</v>
      </c>
      <c r="E409" s="628">
        <v>75667</v>
      </c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D409" s="1"/>
      <c r="BI409" s="930"/>
    </row>
    <row r="410" spans="2:61" x14ac:dyDescent="0.3">
      <c r="B410" s="633" t="s">
        <v>30</v>
      </c>
      <c r="C410" s="628">
        <v>0</v>
      </c>
      <c r="D410" s="628">
        <v>0</v>
      </c>
      <c r="E410" s="628">
        <v>0</v>
      </c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D410" s="1"/>
      <c r="BI410" s="930"/>
    </row>
    <row r="411" spans="2:61" x14ac:dyDescent="0.3">
      <c r="B411" s="940" t="s">
        <v>978</v>
      </c>
      <c r="C411" s="630">
        <v>254222</v>
      </c>
      <c r="D411" s="793">
        <v>2058</v>
      </c>
      <c r="E411" s="630">
        <v>256280</v>
      </c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D411" s="1"/>
    </row>
    <row r="412" spans="2:61" x14ac:dyDescent="0.3">
      <c r="E412" s="938">
        <v>256280</v>
      </c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D412" s="1"/>
    </row>
    <row r="414" spans="2:61" x14ac:dyDescent="0.3">
      <c r="C414" s="32">
        <v>1534884.8290022512</v>
      </c>
      <c r="D414" s="32">
        <v>761145</v>
      </c>
      <c r="E414" s="32">
        <v>2296029.8290022509</v>
      </c>
    </row>
    <row r="415" spans="2:61" x14ac:dyDescent="0.3">
      <c r="C415" s="803">
        <v>1841861.7948027013</v>
      </c>
      <c r="D415" s="803">
        <v>913374</v>
      </c>
      <c r="E415" s="803">
        <v>2755235.7948027011</v>
      </c>
    </row>
    <row r="416" spans="2:61" x14ac:dyDescent="0.3">
      <c r="C416" s="395">
        <v>0.66849516047848623</v>
      </c>
      <c r="D416" s="395">
        <v>0.33150483952151383</v>
      </c>
    </row>
  </sheetData>
  <mergeCells count="28">
    <mergeCell ref="BF8:BF9"/>
    <mergeCell ref="BI8:BK8"/>
    <mergeCell ref="R9:T9"/>
    <mergeCell ref="U9:V9"/>
    <mergeCell ref="AT8:AV9"/>
    <mergeCell ref="AW8:AY9"/>
    <mergeCell ref="AZ8:BB9"/>
    <mergeCell ref="AE7:BB7"/>
    <mergeCell ref="F8:F10"/>
    <mergeCell ref="G8:G10"/>
    <mergeCell ref="H8:H10"/>
    <mergeCell ref="I8:AD8"/>
    <mergeCell ref="AE8:AG9"/>
    <mergeCell ref="AH8:AJ9"/>
    <mergeCell ref="AK8:AM9"/>
    <mergeCell ref="AN8:AP9"/>
    <mergeCell ref="AQ8:AS9"/>
    <mergeCell ref="F7:AD7"/>
    <mergeCell ref="W9:X9"/>
    <mergeCell ref="Y9:Z9"/>
    <mergeCell ref="I9:K9"/>
    <mergeCell ref="L9:N9"/>
    <mergeCell ref="O9:Q9"/>
    <mergeCell ref="A7:A10"/>
    <mergeCell ref="B7:B10"/>
    <mergeCell ref="C7:C10"/>
    <mergeCell ref="D7:D10"/>
    <mergeCell ref="E7:E10"/>
  </mergeCells>
  <conditionalFormatting sqref="A145">
    <cfRule type="duplicateValues" dxfId="2" priority="1"/>
  </conditionalFormatting>
  <conditionalFormatting sqref="BG145">
    <cfRule type="duplicateValues" dxfId="1" priority="2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12">
    <tabColor rgb="FFFF0066"/>
  </sheetPr>
  <dimension ref="A1:D17"/>
  <sheetViews>
    <sheetView workbookViewId="0">
      <selection activeCell="J31" sqref="J31"/>
    </sheetView>
  </sheetViews>
  <sheetFormatPr defaultColWidth="8.88671875" defaultRowHeight="13.8" x14ac:dyDescent="0.25"/>
  <cols>
    <col min="1" max="1" width="42.6640625" style="104" customWidth="1"/>
    <col min="2" max="2" width="10.44140625" style="104" customWidth="1"/>
    <col min="3" max="3" width="8.88671875" style="104"/>
    <col min="4" max="4" width="18.109375" style="104" customWidth="1"/>
    <col min="5" max="16384" width="8.88671875" style="104"/>
  </cols>
  <sheetData>
    <row r="1" spans="1:4" ht="17.399999999999999" x14ac:dyDescent="0.3">
      <c r="A1" s="104" t="s">
        <v>0</v>
      </c>
      <c r="D1" s="154" t="str">
        <f>'Звіт-будинок'!C1</f>
        <v>вул.МСТИСЛАВСЬКА,  38А</v>
      </c>
    </row>
    <row r="3" spans="1:4" ht="18" x14ac:dyDescent="0.35">
      <c r="A3" s="155" t="s">
        <v>1026</v>
      </c>
      <c r="C3" s="407" t="str">
        <f>місяць!A2</f>
        <v>2021 РІК</v>
      </c>
    </row>
    <row r="5" spans="1:4" x14ac:dyDescent="0.25">
      <c r="A5" s="156" t="s">
        <v>957</v>
      </c>
      <c r="B5" s="1197" t="s">
        <v>1004</v>
      </c>
      <c r="C5" s="1197"/>
      <c r="D5" s="140" t="s">
        <v>1005</v>
      </c>
    </row>
    <row r="6" spans="1:4" x14ac:dyDescent="0.25">
      <c r="A6" s="141" t="s">
        <v>1006</v>
      </c>
      <c r="B6" s="141" t="s">
        <v>966</v>
      </c>
      <c r="C6" s="152">
        <f>VLOOKUP($D$1,'поточний ремонт'!$B$11:$AD$414,8,FALSE)</f>
        <v>0</v>
      </c>
      <c r="D6" s="152">
        <f>VLOOKUP($D$1,'поточний ремонт'!$B$11:$AD$414,9,FALSE)</f>
        <v>0</v>
      </c>
    </row>
    <row r="7" spans="1:4" x14ac:dyDescent="0.25">
      <c r="A7" s="141" t="s">
        <v>1007</v>
      </c>
      <c r="B7" s="141" t="s">
        <v>962</v>
      </c>
      <c r="C7" s="152">
        <f>VLOOKUP($D$1,'поточний ремонт'!$B$11:$AD$414,11,FALSE)</f>
        <v>0</v>
      </c>
      <c r="D7" s="152">
        <f>VLOOKUP($D$1,'поточний ремонт'!$B$11:$AD$414,12,FALSE)</f>
        <v>513</v>
      </c>
    </row>
    <row r="8" spans="1:4" x14ac:dyDescent="0.25">
      <c r="A8" s="141" t="s">
        <v>1008</v>
      </c>
      <c r="B8" s="141" t="s">
        <v>964</v>
      </c>
      <c r="C8" s="152">
        <f>VLOOKUP($D$1,'поточний ремонт'!$B$11:$AD$414,14,FALSE)</f>
        <v>12</v>
      </c>
      <c r="D8" s="152">
        <f>VLOOKUP($D$1,'поточний ремонт'!$B$11:$AD$414,15,FALSE)</f>
        <v>2127</v>
      </c>
    </row>
    <row r="9" spans="1:4" x14ac:dyDescent="0.25">
      <c r="A9" s="141" t="s">
        <v>1009</v>
      </c>
      <c r="B9" s="141" t="s">
        <v>962</v>
      </c>
      <c r="C9" s="152">
        <f>VLOOKUP($D$1,'поточний ремонт'!$B$11:$AD$414,17,FALSE)</f>
        <v>0</v>
      </c>
      <c r="D9" s="152">
        <f>VLOOKUP($D$1,'поточний ремонт'!$B$11:$AD$414,18,FALSE)</f>
        <v>0</v>
      </c>
    </row>
    <row r="10" spans="1:4" x14ac:dyDescent="0.25">
      <c r="A10" s="141" t="s">
        <v>1010</v>
      </c>
      <c r="B10" s="141"/>
      <c r="C10" s="152"/>
      <c r="D10" s="152">
        <f>VLOOKUP($D$1,'поточний ремонт'!$B$11:$AD$414,20,FALSE)</f>
        <v>0</v>
      </c>
    </row>
    <row r="11" spans="1:4" x14ac:dyDescent="0.25">
      <c r="A11" s="141" t="s">
        <v>965</v>
      </c>
      <c r="B11" s="141" t="s">
        <v>966</v>
      </c>
      <c r="C11" s="152">
        <f>VLOOKUP($D$1,'поточний ремонт'!$B$11:$AD$414,22,FALSE)</f>
        <v>0</v>
      </c>
      <c r="D11" s="152">
        <f>VLOOKUP($D$1,'поточний ремонт'!$B$11:$AD$414,23,FALSE)</f>
        <v>0</v>
      </c>
    </row>
    <row r="12" spans="1:4" x14ac:dyDescent="0.25">
      <c r="A12" s="141" t="s">
        <v>1011</v>
      </c>
      <c r="B12" s="141"/>
      <c r="C12" s="152"/>
      <c r="D12" s="152">
        <f>VLOOKUP($D$1,'поточний ремонт'!$B$11:$AD$414,24,FALSE)</f>
        <v>0</v>
      </c>
    </row>
    <row r="13" spans="1:4" x14ac:dyDescent="0.25">
      <c r="A13" s="141" t="s">
        <v>955</v>
      </c>
      <c r="B13" s="141"/>
      <c r="C13" s="152"/>
      <c r="D13" s="152">
        <f>VLOOKUP($D$1,'поточний ремонт'!$B$11:$AD$414,26,FALSE)</f>
        <v>0</v>
      </c>
    </row>
    <row r="14" spans="1:4" x14ac:dyDescent="0.25">
      <c r="A14" s="141" t="s">
        <v>1012</v>
      </c>
      <c r="B14" s="141"/>
      <c r="C14" s="152"/>
      <c r="D14" s="152">
        <f>VLOOKUP($D$1,'поточний ремонт'!$B$11:$AD$414,27,FALSE)</f>
        <v>0</v>
      </c>
    </row>
    <row r="15" spans="1:4" x14ac:dyDescent="0.25">
      <c r="A15" s="141" t="s">
        <v>967</v>
      </c>
      <c r="B15" s="141"/>
      <c r="C15" s="152"/>
      <c r="D15" s="152">
        <f>VLOOKUP($D$1,'поточний ремонт'!$B$11:$AD$414,28,FALSE)</f>
        <v>903</v>
      </c>
    </row>
    <row r="16" spans="1:4" x14ac:dyDescent="0.25">
      <c r="A16" s="141" t="s">
        <v>979</v>
      </c>
      <c r="B16" s="141"/>
      <c r="C16" s="152"/>
      <c r="D16" s="152">
        <f>VLOOKUP($D$1,'поточний ремонт'!$B$11:$AD$414,29,FALSE)</f>
        <v>855</v>
      </c>
    </row>
    <row r="17" spans="1:4" s="105" customFormat="1" x14ac:dyDescent="0.25">
      <c r="A17" s="156" t="s">
        <v>1013</v>
      </c>
      <c r="B17" s="156"/>
      <c r="C17" s="156"/>
      <c r="D17" s="157">
        <f>SUM(D6:D16)</f>
        <v>4398</v>
      </c>
    </row>
  </sheetData>
  <mergeCells count="1">
    <mergeCell ref="B5:C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1">
    <tabColor rgb="FF9900FF"/>
  </sheetPr>
  <dimension ref="A1:K55"/>
  <sheetViews>
    <sheetView zoomScaleNormal="100" workbookViewId="0">
      <selection activeCell="K16" sqref="K16"/>
    </sheetView>
  </sheetViews>
  <sheetFormatPr defaultColWidth="9.6640625" defaultRowHeight="13.2" x14ac:dyDescent="0.3"/>
  <cols>
    <col min="1" max="1" width="6.44140625" style="10" customWidth="1"/>
    <col min="2" max="2" width="38.44140625" style="10" customWidth="1"/>
    <col min="3" max="3" width="13.6640625" style="11" customWidth="1"/>
    <col min="4" max="4" width="13.33203125" style="11" customWidth="1"/>
    <col min="5" max="5" width="11.5546875" style="11" customWidth="1"/>
    <col min="6" max="7" width="13.6640625" style="11" customWidth="1"/>
    <col min="8" max="8" width="11.88671875" style="11" customWidth="1"/>
    <col min="9" max="9" width="14.109375" style="11" customWidth="1"/>
    <col min="10" max="10" width="14.44140625" style="10" customWidth="1"/>
    <col min="11" max="11" width="13.6640625" style="10" customWidth="1"/>
    <col min="12" max="16384" width="9.6640625" style="10"/>
  </cols>
  <sheetData>
    <row r="1" spans="1:11" ht="14.7" customHeight="1" x14ac:dyDescent="0.3">
      <c r="A1" s="10" t="s">
        <v>0</v>
      </c>
      <c r="F1" s="12"/>
      <c r="G1" s="12"/>
      <c r="H1" s="12"/>
    </row>
    <row r="2" spans="1:11" ht="12.6" customHeight="1" x14ac:dyDescent="0.3">
      <c r="F2" s="12"/>
      <c r="G2" s="12"/>
      <c r="H2" s="12"/>
      <c r="I2" s="13"/>
    </row>
    <row r="3" spans="1:11" ht="17.399999999999999" x14ac:dyDescent="0.3">
      <c r="A3" s="22" t="s">
        <v>1027</v>
      </c>
      <c r="F3" s="499" t="str">
        <f>місяць!A2</f>
        <v>2021 РІК</v>
      </c>
      <c r="G3" s="24"/>
    </row>
    <row r="4" spans="1:11" ht="14.25" customHeight="1" thickBot="1" x14ac:dyDescent="0.35"/>
    <row r="5" spans="1:11" ht="24.75" customHeight="1" x14ac:dyDescent="0.3">
      <c r="A5" s="1206" t="s">
        <v>457</v>
      </c>
      <c r="B5" s="1204" t="s">
        <v>905</v>
      </c>
      <c r="C5" s="1198" t="s">
        <v>906</v>
      </c>
      <c r="D5" s="1199"/>
      <c r="E5" s="1200"/>
      <c r="F5" s="1198" t="s">
        <v>907</v>
      </c>
      <c r="G5" s="1199"/>
      <c r="H5" s="1200"/>
      <c r="I5" s="1201" t="s">
        <v>908</v>
      </c>
      <c r="J5" s="1202"/>
      <c r="K5" s="1203"/>
    </row>
    <row r="6" spans="1:11" ht="36" customHeight="1" thickBot="1" x14ac:dyDescent="0.35">
      <c r="A6" s="1207"/>
      <c r="B6" s="1205"/>
      <c r="C6" s="126" t="s">
        <v>900</v>
      </c>
      <c r="D6" s="127" t="s">
        <v>441</v>
      </c>
      <c r="E6" s="128" t="s">
        <v>442</v>
      </c>
      <c r="F6" s="126" t="s">
        <v>900</v>
      </c>
      <c r="G6" s="127" t="s">
        <v>441</v>
      </c>
      <c r="H6" s="128" t="s">
        <v>442</v>
      </c>
      <c r="I6" s="129" t="s">
        <v>900</v>
      </c>
      <c r="J6" s="127" t="s">
        <v>441</v>
      </c>
      <c r="K6" s="128" t="s">
        <v>442</v>
      </c>
    </row>
    <row r="7" spans="1:11" ht="15" customHeight="1" x14ac:dyDescent="0.3">
      <c r="A7" s="121" t="s">
        <v>859</v>
      </c>
      <c r="B7" s="122" t="s">
        <v>909</v>
      </c>
      <c r="C7" s="500">
        <f>'[8]накладні витрати'!C7+'[3]накладні витрати'!C7</f>
        <v>1578309.9529412501</v>
      </c>
      <c r="D7" s="501">
        <f>'[8]накладні витрати'!D7+'[3]накладні витрати'!D7</f>
        <v>1474664</v>
      </c>
      <c r="E7" s="124">
        <f>D7-C7</f>
        <v>-103645.95294125006</v>
      </c>
      <c r="F7" s="500">
        <f>'[8]накладні витрати'!F7+'[3]накладні витрати'!F7</f>
        <v>1030544</v>
      </c>
      <c r="G7" s="501">
        <f>'[8]накладні витрати'!G7+'[3]накладні витрати'!G7</f>
        <v>1122470</v>
      </c>
      <c r="H7" s="124">
        <f>G7-F7</f>
        <v>91926</v>
      </c>
      <c r="I7" s="125">
        <f>C7+F7</f>
        <v>2608853.9529412501</v>
      </c>
      <c r="J7" s="125">
        <f t="shared" ref="I7:J31" si="0">D7+G7</f>
        <v>2597134</v>
      </c>
      <c r="K7" s="124">
        <f>J7-I7</f>
        <v>-11719.952941250056</v>
      </c>
    </row>
    <row r="8" spans="1:11" ht="15" customHeight="1" x14ac:dyDescent="0.3">
      <c r="A8" s="119" t="s">
        <v>894</v>
      </c>
      <c r="B8" s="112" t="s">
        <v>910</v>
      </c>
      <c r="C8" s="500">
        <f>'[8]накладні витрати'!C8+'[3]накладні витрати'!C8</f>
        <v>346666.46964707505</v>
      </c>
      <c r="D8" s="123">
        <f>'[8]накладні витрати'!D8+'[3]накладні витрати'!D8</f>
        <v>310831</v>
      </c>
      <c r="E8" s="116">
        <f t="shared" ref="E8:E35" si="1">D8-C8</f>
        <v>-35835.46964707505</v>
      </c>
      <c r="F8" s="500">
        <f>'[8]накладні витрати'!F8+'[3]накладні витрати'!F8</f>
        <v>226719.62</v>
      </c>
      <c r="G8" s="123">
        <f>'[8]накладні витрати'!G8+'[3]накладні витрати'!G8</f>
        <v>228719</v>
      </c>
      <c r="H8" s="116">
        <f t="shared" ref="H8:H35" si="2">G8-F8</f>
        <v>1999.3800000000047</v>
      </c>
      <c r="I8" s="114">
        <f t="shared" si="0"/>
        <v>573386.08964707504</v>
      </c>
      <c r="J8" s="114">
        <f t="shared" si="0"/>
        <v>539550</v>
      </c>
      <c r="K8" s="116">
        <f t="shared" ref="K8:K35" si="3">J8-I8</f>
        <v>-33836.089647075045</v>
      </c>
    </row>
    <row r="9" spans="1:11" ht="15" customHeight="1" x14ac:dyDescent="0.3">
      <c r="A9" s="119" t="s">
        <v>895</v>
      </c>
      <c r="B9" s="112" t="s">
        <v>911</v>
      </c>
      <c r="C9" s="500">
        <f>'[8]накладні витрати'!C9+'[3]накладні витрати'!C9</f>
        <v>86240.113636363632</v>
      </c>
      <c r="D9" s="123">
        <f>'[8]накладні витрати'!D9+'[3]накладні витрати'!D9</f>
        <v>87136</v>
      </c>
      <c r="E9" s="116">
        <f t="shared" si="1"/>
        <v>895.88636363636761</v>
      </c>
      <c r="F9" s="500">
        <f>'[8]накладні витрати'!F9+'[3]накладні витрати'!F9</f>
        <v>35417</v>
      </c>
      <c r="G9" s="123">
        <f>'[8]накладні витрати'!G9+'[3]накладні витрати'!G9</f>
        <v>12856</v>
      </c>
      <c r="H9" s="116">
        <f t="shared" si="2"/>
        <v>-22561</v>
      </c>
      <c r="I9" s="114">
        <f t="shared" si="0"/>
        <v>121657.11363636363</v>
      </c>
      <c r="J9" s="114">
        <f t="shared" si="0"/>
        <v>99992</v>
      </c>
      <c r="K9" s="116">
        <f t="shared" si="3"/>
        <v>-21665.113636363632</v>
      </c>
    </row>
    <row r="10" spans="1:11" ht="15" customHeight="1" x14ac:dyDescent="0.3">
      <c r="A10" s="119" t="s">
        <v>896</v>
      </c>
      <c r="B10" s="112" t="s">
        <v>912</v>
      </c>
      <c r="C10" s="500">
        <f>'[8]накладні витрати'!C10+'[3]накладні витрати'!C10</f>
        <v>420781.71560750005</v>
      </c>
      <c r="D10" s="123">
        <f>'[8]накладні витрати'!D10+'[3]накладні витрати'!D10</f>
        <v>397084</v>
      </c>
      <c r="E10" s="116">
        <f t="shared" si="1"/>
        <v>-23697.715607500053</v>
      </c>
      <c r="F10" s="500">
        <f>'[8]накладні витрати'!F10+'[3]накладні витрати'!F10</f>
        <v>0</v>
      </c>
      <c r="G10" s="123">
        <f>'[8]накладні витрати'!G10+'[3]накладні витрати'!G10</f>
        <v>0</v>
      </c>
      <c r="H10" s="116">
        <f t="shared" si="2"/>
        <v>0</v>
      </c>
      <c r="I10" s="114">
        <f t="shared" si="0"/>
        <v>420781.71560750005</v>
      </c>
      <c r="J10" s="114">
        <f t="shared" si="0"/>
        <v>397084</v>
      </c>
      <c r="K10" s="116">
        <f t="shared" si="3"/>
        <v>-23697.715607500053</v>
      </c>
    </row>
    <row r="11" spans="1:11" ht="15" customHeight="1" x14ac:dyDescent="0.3">
      <c r="A11" s="119" t="s">
        <v>897</v>
      </c>
      <c r="B11" s="112" t="s">
        <v>913</v>
      </c>
      <c r="C11" s="500">
        <f>'[8]накладні витрати'!C11+'[3]накладні витрати'!C11</f>
        <v>66337.0318181818</v>
      </c>
      <c r="D11" s="123">
        <f>'[8]накладні витрати'!D11+'[3]накладні витрати'!D11</f>
        <v>43507</v>
      </c>
      <c r="E11" s="116">
        <f t="shared" si="1"/>
        <v>-22830.0318181818</v>
      </c>
      <c r="F11" s="500">
        <f>'[8]накладні витрати'!F11+'[3]накладні витрати'!F11</f>
        <v>0</v>
      </c>
      <c r="G11" s="123">
        <f>'[8]накладні витрати'!G11+'[3]накладні витрати'!G11</f>
        <v>0</v>
      </c>
      <c r="H11" s="116">
        <f t="shared" si="2"/>
        <v>0</v>
      </c>
      <c r="I11" s="114">
        <f t="shared" si="0"/>
        <v>66337.0318181818</v>
      </c>
      <c r="J11" s="114">
        <f t="shared" si="0"/>
        <v>43507</v>
      </c>
      <c r="K11" s="116">
        <f t="shared" si="3"/>
        <v>-22830.0318181818</v>
      </c>
    </row>
    <row r="12" spans="1:11" ht="15" customHeight="1" x14ac:dyDescent="0.3">
      <c r="A12" s="119" t="s">
        <v>898</v>
      </c>
      <c r="B12" s="112" t="s">
        <v>914</v>
      </c>
      <c r="C12" s="500">
        <f>'[8]накладні витрати'!C12+'[3]накладні витрати'!C12</f>
        <v>164520.72999999998</v>
      </c>
      <c r="D12" s="123">
        <f>'[8]накладні витрати'!D12+'[3]накладні витрати'!D12</f>
        <v>224839</v>
      </c>
      <c r="E12" s="116">
        <f t="shared" si="1"/>
        <v>60318.270000000019</v>
      </c>
      <c r="F12" s="500">
        <f>'[8]накладні витрати'!F12+'[3]накладні витрати'!F12</f>
        <v>48355</v>
      </c>
      <c r="G12" s="123">
        <f>'[8]накладні витрати'!G12+'[3]накладні витрати'!G12</f>
        <v>43071</v>
      </c>
      <c r="H12" s="116">
        <f t="shared" si="2"/>
        <v>-5284</v>
      </c>
      <c r="I12" s="114">
        <f t="shared" si="0"/>
        <v>212875.72999999998</v>
      </c>
      <c r="J12" s="114">
        <f t="shared" si="0"/>
        <v>267910</v>
      </c>
      <c r="K12" s="116">
        <f t="shared" si="3"/>
        <v>55034.270000000019</v>
      </c>
    </row>
    <row r="13" spans="1:11" ht="15" customHeight="1" x14ac:dyDescent="0.3">
      <c r="A13" s="119" t="s">
        <v>915</v>
      </c>
      <c r="B13" s="112" t="s">
        <v>916</v>
      </c>
      <c r="C13" s="500">
        <f>'[8]накладні витрати'!C13+'[3]накладні витрати'!C13</f>
        <v>6600</v>
      </c>
      <c r="D13" s="123">
        <f>'[8]накладні витрати'!D13+'[3]накладні витрати'!D13</f>
        <v>6700</v>
      </c>
      <c r="E13" s="116">
        <f t="shared" si="1"/>
        <v>100</v>
      </c>
      <c r="F13" s="500">
        <f>'[8]накладні витрати'!F13+'[3]накладні витрати'!F13</f>
        <v>5500</v>
      </c>
      <c r="G13" s="123">
        <f>'[8]накладні витрати'!G13+'[3]накладні витрати'!G13</f>
        <v>2995</v>
      </c>
      <c r="H13" s="116">
        <f t="shared" si="2"/>
        <v>-2505</v>
      </c>
      <c r="I13" s="114">
        <f t="shared" si="0"/>
        <v>12100</v>
      </c>
      <c r="J13" s="114">
        <f t="shared" si="0"/>
        <v>9695</v>
      </c>
      <c r="K13" s="116">
        <f t="shared" si="3"/>
        <v>-2405</v>
      </c>
    </row>
    <row r="14" spans="1:11" ht="15" customHeight="1" x14ac:dyDescent="0.3">
      <c r="A14" s="119" t="s">
        <v>917</v>
      </c>
      <c r="B14" s="112" t="s">
        <v>918</v>
      </c>
      <c r="C14" s="500">
        <f>'[8]накладні витрати'!C14+'[3]накладні витрати'!C14</f>
        <v>525080</v>
      </c>
      <c r="D14" s="123">
        <f>'[8]накладні витрати'!D14+'[3]накладні витрати'!D14</f>
        <v>478261</v>
      </c>
      <c r="E14" s="116">
        <f t="shared" si="1"/>
        <v>-46819</v>
      </c>
      <c r="F14" s="500">
        <f>'[8]накладні витрати'!F14+'[3]накладні витрати'!F14</f>
        <v>14568</v>
      </c>
      <c r="G14" s="123">
        <f>'[8]накладні витрати'!G14+'[3]накладні витрати'!G14</f>
        <v>14568</v>
      </c>
      <c r="H14" s="116">
        <f t="shared" si="2"/>
        <v>0</v>
      </c>
      <c r="I14" s="114">
        <f t="shared" si="0"/>
        <v>539648</v>
      </c>
      <c r="J14" s="114">
        <f t="shared" si="0"/>
        <v>492829</v>
      </c>
      <c r="K14" s="116">
        <f t="shared" si="3"/>
        <v>-46819</v>
      </c>
    </row>
    <row r="15" spans="1:11" ht="15" customHeight="1" x14ac:dyDescent="0.3">
      <c r="A15" s="119" t="s">
        <v>919</v>
      </c>
      <c r="B15" s="112" t="s">
        <v>920</v>
      </c>
      <c r="C15" s="500">
        <f>'[8]накладні витрати'!C15+'[3]накладні витрати'!C15</f>
        <v>118005.30757500001</v>
      </c>
      <c r="D15" s="123">
        <f>'[8]накладні витрати'!D15+'[3]накладні витрати'!D15</f>
        <v>76119</v>
      </c>
      <c r="E15" s="116">
        <f t="shared" si="1"/>
        <v>-41886.307575000013</v>
      </c>
      <c r="F15" s="500">
        <f>'[8]накладні витрати'!F15+'[3]накладні витрати'!F15</f>
        <v>59683.650000000009</v>
      </c>
      <c r="G15" s="123">
        <f>'[8]накладні витрати'!G15+'[3]накладні витрати'!G15</f>
        <v>48349</v>
      </c>
      <c r="H15" s="116">
        <f t="shared" si="2"/>
        <v>-11334.650000000009</v>
      </c>
      <c r="I15" s="114">
        <f t="shared" si="0"/>
        <v>177688.95757500001</v>
      </c>
      <c r="J15" s="114">
        <f t="shared" si="0"/>
        <v>124468</v>
      </c>
      <c r="K15" s="116">
        <f t="shared" si="3"/>
        <v>-53220.957575000008</v>
      </c>
    </row>
    <row r="16" spans="1:11" ht="15" customHeight="1" x14ac:dyDescent="0.3">
      <c r="A16" s="517" t="s">
        <v>921</v>
      </c>
      <c r="B16" s="518" t="s">
        <v>922</v>
      </c>
      <c r="C16" s="519">
        <f>'[8]накладні витрати'!C16+'[3]накладні витрати'!C16</f>
        <v>24579.575000000001</v>
      </c>
      <c r="D16" s="520">
        <f>'[8]накладні витрати'!D16+'[3]накладні витрати'!D16</f>
        <v>31385</v>
      </c>
      <c r="E16" s="521">
        <f t="shared" si="1"/>
        <v>6805.4249999999993</v>
      </c>
      <c r="F16" s="519">
        <f>'[8]накладні витрати'!F16+'[3]накладні витрати'!F16</f>
        <v>26803.08</v>
      </c>
      <c r="G16" s="520">
        <f>'[8]накладні витрати'!G16+'[3]накладні витрати'!G16</f>
        <v>27827</v>
      </c>
      <c r="H16" s="521">
        <f t="shared" si="2"/>
        <v>1023.9199999999983</v>
      </c>
      <c r="I16" s="522">
        <f t="shared" si="0"/>
        <v>51382.654999999999</v>
      </c>
      <c r="J16" s="522">
        <f t="shared" si="0"/>
        <v>59212</v>
      </c>
      <c r="K16" s="521">
        <f t="shared" si="3"/>
        <v>7829.3450000000012</v>
      </c>
    </row>
    <row r="17" spans="1:11" ht="15" customHeight="1" x14ac:dyDescent="0.3">
      <c r="A17" s="517" t="s">
        <v>923</v>
      </c>
      <c r="B17" s="518" t="s">
        <v>924</v>
      </c>
      <c r="C17" s="519">
        <f>'[8]накладні витрати'!C17+'[3]накладні витрати'!C17</f>
        <v>90985.732575000002</v>
      </c>
      <c r="D17" s="520">
        <f>'[8]накладні витрати'!D17+'[3]накладні витрати'!D17</f>
        <v>42122</v>
      </c>
      <c r="E17" s="521">
        <f t="shared" si="1"/>
        <v>-48863.732575000002</v>
      </c>
      <c r="F17" s="519">
        <f>'[8]накладні витрати'!F17+'[3]накладні витрати'!F17</f>
        <v>30880.57</v>
      </c>
      <c r="G17" s="520">
        <f>'[8]накладні витрати'!G17+'[3]накладні витрати'!G17</f>
        <v>17946</v>
      </c>
      <c r="H17" s="521">
        <f t="shared" si="2"/>
        <v>-12934.57</v>
      </c>
      <c r="I17" s="522">
        <f t="shared" si="0"/>
        <v>121866.30257500001</v>
      </c>
      <c r="J17" s="522">
        <f t="shared" si="0"/>
        <v>60068</v>
      </c>
      <c r="K17" s="521">
        <f t="shared" si="3"/>
        <v>-61798.302575000009</v>
      </c>
    </row>
    <row r="18" spans="1:11" ht="15" customHeight="1" x14ac:dyDescent="0.3">
      <c r="A18" s="517" t="s">
        <v>925</v>
      </c>
      <c r="B18" s="518" t="s">
        <v>926</v>
      </c>
      <c r="C18" s="519">
        <f>'[8]накладні витрати'!C18+'[3]накладні витрати'!C18</f>
        <v>2440</v>
      </c>
      <c r="D18" s="520">
        <f>'[8]накладні витрати'!D18+'[3]накладні витрати'!D18</f>
        <v>2612</v>
      </c>
      <c r="E18" s="521">
        <f t="shared" si="1"/>
        <v>172</v>
      </c>
      <c r="F18" s="519">
        <f>'[8]накладні витрати'!F18+'[3]накладні витрати'!F18</f>
        <v>2000</v>
      </c>
      <c r="G18" s="520">
        <f>'[8]накладні витрати'!G18+'[3]накладні витрати'!G18</f>
        <v>2576</v>
      </c>
      <c r="H18" s="521">
        <f t="shared" si="2"/>
        <v>576</v>
      </c>
      <c r="I18" s="522">
        <f t="shared" si="0"/>
        <v>4440</v>
      </c>
      <c r="J18" s="522">
        <f t="shared" si="0"/>
        <v>5188</v>
      </c>
      <c r="K18" s="521">
        <f t="shared" si="3"/>
        <v>748</v>
      </c>
    </row>
    <row r="19" spans="1:11" ht="15" customHeight="1" x14ac:dyDescent="0.3">
      <c r="A19" s="119" t="s">
        <v>927</v>
      </c>
      <c r="B19" s="112" t="s">
        <v>928</v>
      </c>
      <c r="C19" s="500">
        <f>'[8]накладні витрати'!C19+'[3]накладні витрати'!C19</f>
        <v>5600</v>
      </c>
      <c r="D19" s="123">
        <f>'[8]накладні витрати'!D19+'[3]накладні витрати'!D19</f>
        <v>5558</v>
      </c>
      <c r="E19" s="116">
        <f t="shared" si="1"/>
        <v>-42</v>
      </c>
      <c r="F19" s="500">
        <f>'[8]накладні витрати'!F19+'[3]накладні витрати'!F19</f>
        <v>4250</v>
      </c>
      <c r="G19" s="123">
        <f>'[8]накладні витрати'!G19+'[3]накладні витрати'!G19</f>
        <v>4923</v>
      </c>
      <c r="H19" s="116">
        <f t="shared" si="2"/>
        <v>673</v>
      </c>
      <c r="I19" s="114">
        <f t="shared" si="0"/>
        <v>9850</v>
      </c>
      <c r="J19" s="114">
        <f t="shared" si="0"/>
        <v>10481</v>
      </c>
      <c r="K19" s="116">
        <f t="shared" si="3"/>
        <v>631</v>
      </c>
    </row>
    <row r="20" spans="1:11" ht="15" customHeight="1" x14ac:dyDescent="0.3">
      <c r="A20" s="119" t="s">
        <v>929</v>
      </c>
      <c r="B20" s="112" t="s">
        <v>930</v>
      </c>
      <c r="C20" s="500">
        <f>'[8]накладні витрати'!C20+'[3]накладні витрати'!C20</f>
        <v>0</v>
      </c>
      <c r="D20" s="123">
        <f>'[8]накладні витрати'!D20+'[3]накладні витрати'!D20</f>
        <v>0</v>
      </c>
      <c r="E20" s="116">
        <f t="shared" si="1"/>
        <v>0</v>
      </c>
      <c r="F20" s="500">
        <f>'[8]накладні витрати'!F20+'[3]накладні витрати'!F20</f>
        <v>1500</v>
      </c>
      <c r="G20" s="123">
        <f>'[8]накладні витрати'!G20+'[3]накладні витрати'!G20</f>
        <v>0</v>
      </c>
      <c r="H20" s="116">
        <f t="shared" si="2"/>
        <v>-1500</v>
      </c>
      <c r="I20" s="114">
        <f t="shared" si="0"/>
        <v>1500</v>
      </c>
      <c r="J20" s="114">
        <f t="shared" si="0"/>
        <v>0</v>
      </c>
      <c r="K20" s="116">
        <f t="shared" si="3"/>
        <v>-1500</v>
      </c>
    </row>
    <row r="21" spans="1:11" ht="15" customHeight="1" x14ac:dyDescent="0.3">
      <c r="A21" s="119" t="s">
        <v>931</v>
      </c>
      <c r="B21" s="112" t="s">
        <v>932</v>
      </c>
      <c r="C21" s="500">
        <f>'[8]накладні витрати'!C21+'[3]накладні витрати'!C21</f>
        <v>0</v>
      </c>
      <c r="D21" s="123">
        <f>'[8]накладні витрати'!D21+'[3]накладні витрати'!D21</f>
        <v>0</v>
      </c>
      <c r="E21" s="116">
        <f t="shared" si="1"/>
        <v>0</v>
      </c>
      <c r="F21" s="500">
        <f>'[8]накладні витрати'!F21+'[3]накладні витрати'!F21</f>
        <v>20000</v>
      </c>
      <c r="G21" s="123">
        <f>'[8]накладні витрати'!G21+'[3]накладні витрати'!G21</f>
        <v>26015</v>
      </c>
      <c r="H21" s="116">
        <f t="shared" si="2"/>
        <v>6015</v>
      </c>
      <c r="I21" s="114">
        <f t="shared" si="0"/>
        <v>20000</v>
      </c>
      <c r="J21" s="114">
        <f t="shared" si="0"/>
        <v>26015</v>
      </c>
      <c r="K21" s="116">
        <f t="shared" si="3"/>
        <v>6015</v>
      </c>
    </row>
    <row r="22" spans="1:11" ht="15" customHeight="1" x14ac:dyDescent="0.3">
      <c r="A22" s="119" t="s">
        <v>933</v>
      </c>
      <c r="B22" s="112" t="s">
        <v>934</v>
      </c>
      <c r="C22" s="500">
        <f>'[8]накладні витрати'!C22+'[3]накладні витрати'!C22</f>
        <v>200404.715</v>
      </c>
      <c r="D22" s="123">
        <f>'[8]накладні витрати'!D22+'[3]накладні витрати'!D22</f>
        <v>181104</v>
      </c>
      <c r="E22" s="116">
        <f t="shared" si="1"/>
        <v>-19300.714999999997</v>
      </c>
      <c r="F22" s="500">
        <f>'[8]накладні витрати'!F22+'[3]накладні витрати'!F22</f>
        <v>0</v>
      </c>
      <c r="G22" s="123">
        <f>'[8]накладні витрати'!G22+'[3]накладні витрати'!G22</f>
        <v>0</v>
      </c>
      <c r="H22" s="116">
        <f t="shared" si="2"/>
        <v>0</v>
      </c>
      <c r="I22" s="114">
        <f t="shared" si="0"/>
        <v>200404.715</v>
      </c>
      <c r="J22" s="114">
        <f t="shared" si="0"/>
        <v>181104</v>
      </c>
      <c r="K22" s="116">
        <f t="shared" si="3"/>
        <v>-19300.714999999997</v>
      </c>
    </row>
    <row r="23" spans="1:11" ht="15" customHeight="1" x14ac:dyDescent="0.3">
      <c r="A23" s="119" t="s">
        <v>933</v>
      </c>
      <c r="B23" s="112" t="s">
        <v>935</v>
      </c>
      <c r="C23" s="500">
        <f>'[8]накладні витрати'!C23+'[3]накладні витрати'!C23</f>
        <v>0</v>
      </c>
      <c r="D23" s="123">
        <f>'[8]накладні витрати'!D23+'[3]накладні витрати'!D23</f>
        <v>0</v>
      </c>
      <c r="E23" s="116">
        <f t="shared" si="1"/>
        <v>0</v>
      </c>
      <c r="F23" s="500">
        <f>'[8]накладні витрати'!F23+'[3]накладні витрати'!F23</f>
        <v>9000</v>
      </c>
      <c r="G23" s="123">
        <f>'[8]накладні витрати'!G23+'[3]накладні витрати'!G23</f>
        <v>9052</v>
      </c>
      <c r="H23" s="116">
        <f t="shared" si="2"/>
        <v>52</v>
      </c>
      <c r="I23" s="114">
        <f t="shared" si="0"/>
        <v>9000</v>
      </c>
      <c r="J23" s="114">
        <f t="shared" si="0"/>
        <v>9052</v>
      </c>
      <c r="K23" s="116">
        <f t="shared" si="3"/>
        <v>52</v>
      </c>
    </row>
    <row r="24" spans="1:11" ht="15" customHeight="1" x14ac:dyDescent="0.3">
      <c r="A24" s="119" t="s">
        <v>936</v>
      </c>
      <c r="B24" s="112" t="s">
        <v>937</v>
      </c>
      <c r="C24" s="500">
        <f>'[8]накладні витрати'!C24+'[3]накладні витрати'!C24</f>
        <v>0</v>
      </c>
      <c r="D24" s="123">
        <f>'[8]накладні витрати'!D24+'[3]накладні витрати'!D24</f>
        <v>0</v>
      </c>
      <c r="E24" s="116">
        <f t="shared" si="1"/>
        <v>0</v>
      </c>
      <c r="F24" s="500">
        <f>'[8]накладні витрати'!F24+'[3]накладні витрати'!F24</f>
        <v>3500</v>
      </c>
      <c r="G24" s="123">
        <f>'[8]накладні витрати'!G24+'[3]накладні витрати'!G24</f>
        <v>0</v>
      </c>
      <c r="H24" s="116">
        <f t="shared" si="2"/>
        <v>-3500</v>
      </c>
      <c r="I24" s="114">
        <f t="shared" si="0"/>
        <v>3500</v>
      </c>
      <c r="J24" s="114">
        <f t="shared" si="0"/>
        <v>0</v>
      </c>
      <c r="K24" s="116">
        <f t="shared" si="3"/>
        <v>-3500</v>
      </c>
    </row>
    <row r="25" spans="1:11" ht="15" customHeight="1" x14ac:dyDescent="0.3">
      <c r="A25" s="119" t="s">
        <v>938</v>
      </c>
      <c r="B25" s="112" t="s">
        <v>939</v>
      </c>
      <c r="C25" s="500">
        <f>'[8]накладні витрати'!C25+'[3]накладні витрати'!C25</f>
        <v>6000</v>
      </c>
      <c r="D25" s="123">
        <f>'[8]накладні витрати'!D25+'[3]накладні витрати'!D25</f>
        <v>0</v>
      </c>
      <c r="E25" s="116">
        <f t="shared" si="1"/>
        <v>-6000</v>
      </c>
      <c r="F25" s="500">
        <f>'[8]накладні витрати'!F25+'[3]накладні витрати'!F25</f>
        <v>9000</v>
      </c>
      <c r="G25" s="123">
        <f>'[8]накладні витрати'!G25+'[3]накладні витрати'!G25</f>
        <v>9199</v>
      </c>
      <c r="H25" s="116">
        <f t="shared" si="2"/>
        <v>199</v>
      </c>
      <c r="I25" s="114">
        <f t="shared" si="0"/>
        <v>15000</v>
      </c>
      <c r="J25" s="114">
        <f t="shared" si="0"/>
        <v>9199</v>
      </c>
      <c r="K25" s="116">
        <f t="shared" si="3"/>
        <v>-5801</v>
      </c>
    </row>
    <row r="26" spans="1:11" ht="15" customHeight="1" x14ac:dyDescent="0.3">
      <c r="A26" s="119" t="s">
        <v>940</v>
      </c>
      <c r="B26" s="112" t="s">
        <v>956</v>
      </c>
      <c r="C26" s="500">
        <f>'[8]накладні витрати'!C26+'[3]накладні витрати'!C26</f>
        <v>25089</v>
      </c>
      <c r="D26" s="123">
        <f>'[8]накладні витрати'!D26+'[3]накладні витрати'!D26</f>
        <v>8000</v>
      </c>
      <c r="E26" s="116">
        <f t="shared" si="1"/>
        <v>-17089</v>
      </c>
      <c r="F26" s="500">
        <f>'[8]накладні витрати'!F26+'[3]накладні витрати'!F26</f>
        <v>20000</v>
      </c>
      <c r="G26" s="123">
        <f>'[8]накладні витрати'!G26+'[3]накладні витрати'!G26</f>
        <v>27980</v>
      </c>
      <c r="H26" s="116">
        <f t="shared" si="2"/>
        <v>7980</v>
      </c>
      <c r="I26" s="114">
        <f t="shared" si="0"/>
        <v>45089</v>
      </c>
      <c r="J26" s="114">
        <f t="shared" si="0"/>
        <v>35980</v>
      </c>
      <c r="K26" s="116">
        <f t="shared" si="3"/>
        <v>-9109</v>
      </c>
    </row>
    <row r="27" spans="1:11" ht="15" customHeight="1" x14ac:dyDescent="0.3">
      <c r="A27" s="119" t="s">
        <v>941</v>
      </c>
      <c r="B27" s="112" t="s">
        <v>942</v>
      </c>
      <c r="C27" s="500">
        <f>'[8]накладні витрати'!C27+'[3]накладні витрати'!C27</f>
        <v>265601</v>
      </c>
      <c r="D27" s="123">
        <f>'[8]накладні витрати'!D27+'[3]накладні витрати'!D27</f>
        <v>256525</v>
      </c>
      <c r="E27" s="116">
        <f t="shared" si="1"/>
        <v>-9076</v>
      </c>
      <c r="F27" s="500">
        <f>'[8]накладні витрати'!F27+'[3]накладні витрати'!F27</f>
        <v>0</v>
      </c>
      <c r="G27" s="123">
        <f>'[8]накладні витрати'!G27+'[3]накладні витрати'!G27</f>
        <v>0</v>
      </c>
      <c r="H27" s="116">
        <f t="shared" si="2"/>
        <v>0</v>
      </c>
      <c r="I27" s="114">
        <f t="shared" si="0"/>
        <v>265601</v>
      </c>
      <c r="J27" s="114">
        <f t="shared" si="0"/>
        <v>256525</v>
      </c>
      <c r="K27" s="116">
        <f t="shared" si="3"/>
        <v>-9076</v>
      </c>
    </row>
    <row r="28" spans="1:11" ht="15" customHeight="1" x14ac:dyDescent="0.3">
      <c r="A28" s="119" t="s">
        <v>943</v>
      </c>
      <c r="B28" s="112" t="s">
        <v>944</v>
      </c>
      <c r="C28" s="500">
        <f>'[8]накладні витрати'!C28+'[3]накладні витрати'!C28</f>
        <v>0</v>
      </c>
      <c r="D28" s="123">
        <f>'[8]накладні витрати'!D28+'[3]накладні витрати'!D28</f>
        <v>0</v>
      </c>
      <c r="E28" s="116">
        <f t="shared" si="1"/>
        <v>0</v>
      </c>
      <c r="F28" s="500">
        <f>'[8]накладні витрати'!F28+'[3]накладні витрати'!F28</f>
        <v>23644.18</v>
      </c>
      <c r="G28" s="123">
        <f>'[8]накладні витрати'!G28+'[3]накладні витрати'!G28</f>
        <v>27776</v>
      </c>
      <c r="H28" s="116">
        <f t="shared" si="2"/>
        <v>4131.82</v>
      </c>
      <c r="I28" s="114">
        <f t="shared" si="0"/>
        <v>23644.18</v>
      </c>
      <c r="J28" s="114">
        <f t="shared" si="0"/>
        <v>27776</v>
      </c>
      <c r="K28" s="116">
        <f t="shared" si="3"/>
        <v>4131.82</v>
      </c>
    </row>
    <row r="29" spans="1:11" ht="15" customHeight="1" x14ac:dyDescent="0.3">
      <c r="A29" s="119" t="s">
        <v>945</v>
      </c>
      <c r="B29" s="112" t="s">
        <v>946</v>
      </c>
      <c r="C29" s="500">
        <f>'[8]накладні витрати'!C29+'[3]накладні витрати'!C29</f>
        <v>0</v>
      </c>
      <c r="D29" s="123">
        <f>'[8]накладні витрати'!D29+'[3]накладні витрати'!D29</f>
        <v>0</v>
      </c>
      <c r="E29" s="116">
        <f t="shared" si="1"/>
        <v>0</v>
      </c>
      <c r="F29" s="500">
        <f>'[8]накладні витрати'!F29+'[3]накладні витрати'!F29</f>
        <v>29693.151174999999</v>
      </c>
      <c r="G29" s="123">
        <f>'[8]накладні витрати'!G29+'[3]накладні витрати'!G29</f>
        <v>29426</v>
      </c>
      <c r="H29" s="116">
        <f t="shared" si="2"/>
        <v>-267.15117499999906</v>
      </c>
      <c r="I29" s="114">
        <f t="shared" si="0"/>
        <v>29693.151174999999</v>
      </c>
      <c r="J29" s="114">
        <f t="shared" si="0"/>
        <v>29426</v>
      </c>
      <c r="K29" s="116">
        <f t="shared" si="3"/>
        <v>-267.15117499999906</v>
      </c>
    </row>
    <row r="30" spans="1:11" ht="15" customHeight="1" x14ac:dyDescent="0.3">
      <c r="A30" s="119" t="s">
        <v>947</v>
      </c>
      <c r="B30" s="112" t="s">
        <v>948</v>
      </c>
      <c r="C30" s="500">
        <f>'[8]накладні витрати'!C30+'[3]накладні витрати'!C30</f>
        <v>67000</v>
      </c>
      <c r="D30" s="123">
        <f>'[8]накладні витрати'!D30+'[3]накладні витрати'!D30</f>
        <v>55797</v>
      </c>
      <c r="E30" s="116">
        <f t="shared" si="1"/>
        <v>-11203</v>
      </c>
      <c r="F30" s="500">
        <f>'[8]накладні витрати'!F30+'[3]накладні витрати'!F30</f>
        <v>84500</v>
      </c>
      <c r="G30" s="123">
        <f>'[8]накладні витрати'!G30+'[3]накладні витрати'!G30</f>
        <v>0</v>
      </c>
      <c r="H30" s="116">
        <f t="shared" si="2"/>
        <v>-84500</v>
      </c>
      <c r="I30" s="114">
        <f t="shared" si="0"/>
        <v>151500</v>
      </c>
      <c r="J30" s="114">
        <f t="shared" si="0"/>
        <v>55797</v>
      </c>
      <c r="K30" s="116">
        <f t="shared" si="3"/>
        <v>-95703</v>
      </c>
    </row>
    <row r="31" spans="1:11" ht="15" customHeight="1" x14ac:dyDescent="0.3">
      <c r="A31" s="119" t="s">
        <v>949</v>
      </c>
      <c r="B31" s="112" t="s">
        <v>950</v>
      </c>
      <c r="C31" s="500">
        <f>'[8]накладні витрати'!C31+'[3]накладні витрати'!C31</f>
        <v>61300</v>
      </c>
      <c r="D31" s="123">
        <f>'[8]накладні витрати'!D31+'[3]накладні витрати'!D31</f>
        <v>104200</v>
      </c>
      <c r="E31" s="116">
        <f t="shared" si="1"/>
        <v>42900</v>
      </c>
      <c r="F31" s="500">
        <f>'[8]накладні витрати'!F31+'[3]накладні витрати'!F31</f>
        <v>250</v>
      </c>
      <c r="G31" s="123">
        <f>'[8]накладні витрати'!G31+'[3]накладні витрати'!G31</f>
        <v>255</v>
      </c>
      <c r="H31" s="116">
        <f t="shared" si="2"/>
        <v>5</v>
      </c>
      <c r="I31" s="114">
        <f t="shared" si="0"/>
        <v>61550</v>
      </c>
      <c r="J31" s="114">
        <f t="shared" si="0"/>
        <v>104455</v>
      </c>
      <c r="K31" s="116">
        <f t="shared" si="3"/>
        <v>42905</v>
      </c>
    </row>
    <row r="32" spans="1:11" ht="15" customHeight="1" x14ac:dyDescent="0.3">
      <c r="A32" s="119" t="s">
        <v>951</v>
      </c>
      <c r="B32" s="112" t="s">
        <v>952</v>
      </c>
      <c r="C32" s="500">
        <f>'[8]накладні витрати'!C32+'[3]накладні витрати'!C32</f>
        <v>23627</v>
      </c>
      <c r="D32" s="123">
        <f>'[8]накладні витрати'!D32+'[3]накладні витрати'!D32</f>
        <v>21000</v>
      </c>
      <c r="E32" s="116">
        <f t="shared" si="1"/>
        <v>-2627</v>
      </c>
      <c r="F32" s="500">
        <f>'[8]накладні витрати'!F32+'[3]накладні витрати'!F32</f>
        <v>128235.16666666667</v>
      </c>
      <c r="G32" s="123">
        <f>'[8]накладні витрати'!G32+'[3]накладні витрати'!G32</f>
        <v>3400</v>
      </c>
      <c r="H32" s="116">
        <f t="shared" si="2"/>
        <v>-124835.16666666667</v>
      </c>
      <c r="I32" s="114">
        <f t="shared" ref="I32:J32" si="4">C32+F32</f>
        <v>151862.16666666669</v>
      </c>
      <c r="J32" s="114">
        <f t="shared" si="4"/>
        <v>24400</v>
      </c>
      <c r="K32" s="116">
        <f t="shared" si="3"/>
        <v>-127462.16666666669</v>
      </c>
    </row>
    <row r="33" spans="1:11" s="14" customFormat="1" ht="15" customHeight="1" x14ac:dyDescent="0.3">
      <c r="A33" s="120"/>
      <c r="B33" s="113" t="s">
        <v>953</v>
      </c>
      <c r="C33" s="515">
        <f>C7+C8+C9+C10+C11+C12+C13+C14+C15+C19+C20+C21+C22+C23+C24+C25+C26+C27+C28+C29+C30+C31+C32</f>
        <v>3967163.0362253701</v>
      </c>
      <c r="D33" s="21">
        <f>D7+D8+D9+D10+D11+D12+D13+D14+D15+D19+D20+D21+D22+D23+D24+D25+D26+D27+D28+D29+D30+D31+D32</f>
        <v>3731325</v>
      </c>
      <c r="E33" s="118">
        <f t="shared" si="1"/>
        <v>-235838.03622537013</v>
      </c>
      <c r="F33" s="117">
        <f>F7+F8+F9+F10+F11+F12+F13+F14+F15+F19+F20+F21+F22+F23+F24+F25+F26+F27+F28+F29+F30+F31+F32</f>
        <v>1754359.7678416667</v>
      </c>
      <c r="G33" s="21">
        <f>G7+G8+G9+G10+G11+G12+G13+G14+G15+G19+G20+G21+G22+G23+G24+G25+G26+G27+G28+G29+G30+G31+G32</f>
        <v>1611054</v>
      </c>
      <c r="H33" s="118">
        <f t="shared" si="2"/>
        <v>-143305.7678416667</v>
      </c>
      <c r="I33" s="115">
        <f>I7+I8+I9+I10+I11+I12+I13+I14+I15+I19+I20+I21+I22+I23+I24+I25+I26+I27+I28+I29+I30+I31+I32</f>
        <v>5721522.8040670371</v>
      </c>
      <c r="J33" s="115">
        <f>J7+J8+J9+J10+J11+J12+J13+J14+J15+J19+J20+J21+J22+J23+J24+J25+J26+J27+J28+J29+J30+J31+J32</f>
        <v>5342379</v>
      </c>
      <c r="K33" s="118">
        <f t="shared" si="3"/>
        <v>-379143.80406703707</v>
      </c>
    </row>
    <row r="34" spans="1:11" s="15" customFormat="1" ht="25.95" customHeight="1" thickBot="1" x14ac:dyDescent="0.35">
      <c r="A34" s="130"/>
      <c r="B34" s="131" t="s">
        <v>954</v>
      </c>
      <c r="C34" s="500">
        <f>'[8]накладні витрати'!C34+'[3]накладні витрати'!C34</f>
        <v>105415.91468571429</v>
      </c>
      <c r="D34" s="123">
        <f>'[8]накладні витрати'!D34+'[3]накладні витрати'!D34</f>
        <v>274792</v>
      </c>
      <c r="E34" s="132">
        <f t="shared" si="1"/>
        <v>169376.08531428571</v>
      </c>
      <c r="F34" s="500">
        <f>'[8]накладні витрати'!F34+'[3]накладні витрати'!F34</f>
        <v>63671</v>
      </c>
      <c r="G34" s="123">
        <f>'[8]накладні витрати'!G34+'[3]накладні витрати'!G34</f>
        <v>33948</v>
      </c>
      <c r="H34" s="132">
        <f t="shared" si="2"/>
        <v>-29723</v>
      </c>
      <c r="I34" s="133">
        <f>C34+F34</f>
        <v>169086.91468571429</v>
      </c>
      <c r="J34" s="133">
        <f>D34+G34</f>
        <v>308740</v>
      </c>
      <c r="K34" s="132">
        <f t="shared" si="3"/>
        <v>139653.08531428571</v>
      </c>
    </row>
    <row r="35" spans="1:11" ht="20.100000000000001" customHeight="1" thickBot="1" x14ac:dyDescent="0.35">
      <c r="A35" s="134"/>
      <c r="B35" s="135" t="s">
        <v>1066</v>
      </c>
      <c r="C35" s="516">
        <f>C33-C34</f>
        <v>3861747.1215396561</v>
      </c>
      <c r="D35" s="137">
        <f>D33-D34</f>
        <v>3456533</v>
      </c>
      <c r="E35" s="138">
        <f t="shared" si="1"/>
        <v>-405214.12153965607</v>
      </c>
      <c r="F35" s="136">
        <f>F33-F34</f>
        <v>1690688.7678416667</v>
      </c>
      <c r="G35" s="137">
        <f>G33-G34</f>
        <v>1577106</v>
      </c>
      <c r="H35" s="138">
        <f t="shared" si="2"/>
        <v>-113582.7678416667</v>
      </c>
      <c r="I35" s="139">
        <f>I33-I34</f>
        <v>5552435.889381323</v>
      </c>
      <c r="J35" s="139">
        <f>J33-J34</f>
        <v>5033639</v>
      </c>
      <c r="K35" s="138">
        <f t="shared" si="3"/>
        <v>-518796.88938132301</v>
      </c>
    </row>
    <row r="36" spans="1:11" x14ac:dyDescent="0.3">
      <c r="C36" s="17"/>
      <c r="D36" s="17"/>
      <c r="E36" s="17"/>
      <c r="J36" s="387">
        <f>J35/I35</f>
        <v>0.90656409191982046</v>
      </c>
    </row>
    <row r="39" spans="1:11" x14ac:dyDescent="0.3">
      <c r="B39" s="14" t="s">
        <v>903</v>
      </c>
      <c r="C39" s="14"/>
      <c r="D39" s="14"/>
      <c r="E39" s="14"/>
      <c r="F39" s="14" t="s">
        <v>854</v>
      </c>
    </row>
    <row r="40" spans="1:11" x14ac:dyDescent="0.3">
      <c r="B40" s="14"/>
      <c r="C40" s="14"/>
      <c r="D40" s="14"/>
      <c r="E40" s="14"/>
      <c r="F40" s="14"/>
      <c r="J40" s="142"/>
    </row>
    <row r="41" spans="1:11" x14ac:dyDescent="0.3">
      <c r="B41" s="14" t="s">
        <v>904</v>
      </c>
      <c r="C41" s="18"/>
      <c r="D41" s="18"/>
      <c r="E41" s="18"/>
      <c r="F41" s="23" t="s">
        <v>855</v>
      </c>
      <c r="G41" s="23"/>
      <c r="H41" s="23"/>
    </row>
    <row r="42" spans="1:11" x14ac:dyDescent="0.3">
      <c r="G42" s="14"/>
      <c r="H42" s="14"/>
    </row>
    <row r="43" spans="1:11" x14ac:dyDescent="0.3">
      <c r="G43" s="24"/>
      <c r="H43" s="24"/>
    </row>
    <row r="44" spans="1:11" x14ac:dyDescent="0.3">
      <c r="C44" s="18"/>
      <c r="D44" s="18"/>
      <c r="E44" s="18"/>
    </row>
    <row r="46" spans="1:11" x14ac:dyDescent="0.3">
      <c r="B46" s="16" t="s">
        <v>995</v>
      </c>
      <c r="C46" s="19"/>
      <c r="D46" s="19"/>
      <c r="E46" s="19"/>
      <c r="F46" s="19"/>
      <c r="G46" s="19"/>
      <c r="H46" s="19"/>
      <c r="I46" s="20">
        <f>'зведена таблиця'!C41-'накладні витрати'!I35</f>
        <v>49864559.371061355</v>
      </c>
      <c r="J46" s="20">
        <f>'зведена таблиця'!D41-'накладні витрати'!J35</f>
        <v>48330106.105590746</v>
      </c>
      <c r="K46" s="20">
        <f>J46-I46</f>
        <v>-1534453.2654706091</v>
      </c>
    </row>
    <row r="47" spans="1:11" x14ac:dyDescent="0.3">
      <c r="B47" s="16" t="s">
        <v>996</v>
      </c>
      <c r="C47" s="19"/>
      <c r="D47" s="19"/>
      <c r="E47" s="19"/>
      <c r="F47" s="19"/>
      <c r="G47" s="19"/>
      <c r="H47" s="19"/>
      <c r="I47" s="20">
        <f>I35</f>
        <v>5552435.889381323</v>
      </c>
      <c r="J47" s="20">
        <f>J35</f>
        <v>5033639</v>
      </c>
      <c r="K47" s="20">
        <f t="shared" ref="K47:K48" si="5">J47-I47</f>
        <v>-518796.88938132301</v>
      </c>
    </row>
    <row r="48" spans="1:11" x14ac:dyDescent="0.3">
      <c r="B48" s="16"/>
      <c r="C48" s="19"/>
      <c r="D48" s="19"/>
      <c r="E48" s="19"/>
      <c r="F48" s="19"/>
      <c r="G48" s="19"/>
      <c r="H48" s="19"/>
      <c r="I48" s="21">
        <f>SUM(I46:I47)</f>
        <v>55416995.260442674</v>
      </c>
      <c r="J48" s="21">
        <f>SUM(J46:J47)</f>
        <v>53363745.105590746</v>
      </c>
      <c r="K48" s="21">
        <f t="shared" si="5"/>
        <v>-2053250.1548519284</v>
      </c>
    </row>
    <row r="50" spans="8:10" x14ac:dyDescent="0.3">
      <c r="H50" s="11" t="s">
        <v>997</v>
      </c>
      <c r="I50" s="145">
        <f>I46/I48</f>
        <v>0.89980626226148508</v>
      </c>
      <c r="J50" s="145">
        <f>J46/J48</f>
        <v>0.90567305592889058</v>
      </c>
    </row>
    <row r="51" spans="8:10" x14ac:dyDescent="0.3">
      <c r="H51" s="11" t="s">
        <v>998</v>
      </c>
      <c r="I51" s="145">
        <f>I47/I48</f>
        <v>0.10019373773851502</v>
      </c>
      <c r="J51" s="145">
        <f>J47/J48</f>
        <v>9.4326944071109475E-2</v>
      </c>
    </row>
    <row r="53" spans="8:10" x14ac:dyDescent="0.3">
      <c r="I53" s="167">
        <f>'зведена таблиця'!C41</f>
        <v>55416995.260442682</v>
      </c>
      <c r="J53" s="167">
        <f>'зведена таблиця'!D41</f>
        <v>53363745.105590746</v>
      </c>
    </row>
    <row r="55" spans="8:10" x14ac:dyDescent="0.3">
      <c r="I55" s="167">
        <f>'[8]накладні витрати'!I35+'[3]накладні витрати'!I35</f>
        <v>5552435.889381323</v>
      </c>
      <c r="J55" s="167">
        <f>'[8]накладні витрати'!J35+'[3]накладні витрати'!J35</f>
        <v>5033639</v>
      </c>
    </row>
  </sheetData>
  <mergeCells count="5">
    <mergeCell ref="C5:E5"/>
    <mergeCell ref="F5:H5"/>
    <mergeCell ref="I5:K5"/>
    <mergeCell ref="B5:B6"/>
    <mergeCell ref="A5:A6"/>
  </mergeCells>
  <pageMargins left="0.31496062992125984" right="0.31496062992125984" top="0.15748031496062992" bottom="0.15748031496062992" header="0.31496062992125984" footer="0.31496062992125984"/>
  <pageSetup paperSize="9" scale="85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rgb="FFFF0066"/>
  </sheetPr>
  <dimension ref="A2"/>
  <sheetViews>
    <sheetView workbookViewId="0">
      <selection activeCell="E13" sqref="E13"/>
    </sheetView>
  </sheetViews>
  <sheetFormatPr defaultRowHeight="14.4" x14ac:dyDescent="0.3"/>
  <sheetData>
    <row r="2" spans="1:1" x14ac:dyDescent="0.3">
      <c r="A2" t="s">
        <v>1087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1"/>
  <dimension ref="A5:C406"/>
  <sheetViews>
    <sheetView topLeftCell="A119" workbookViewId="0">
      <selection activeCell="J219" sqref="J219"/>
    </sheetView>
  </sheetViews>
  <sheetFormatPr defaultColWidth="8.6640625" defaultRowHeight="14.4" x14ac:dyDescent="0.3"/>
  <cols>
    <col min="1" max="1" width="13.5546875" style="1" customWidth="1"/>
    <col min="2" max="2" width="34.44140625" style="1" customWidth="1"/>
    <col min="4" max="16384" width="8.6640625" style="104"/>
  </cols>
  <sheetData>
    <row r="5" spans="1:2" ht="15" thickBot="1" x14ac:dyDescent="0.35"/>
    <row r="6" spans="1:2" x14ac:dyDescent="0.3">
      <c r="A6" s="1208" t="s">
        <v>1038</v>
      </c>
      <c r="B6" s="1042" t="s">
        <v>1</v>
      </c>
    </row>
    <row r="7" spans="1:2" x14ac:dyDescent="0.3">
      <c r="A7" s="1209"/>
      <c r="B7" s="1043"/>
    </row>
    <row r="8" spans="1:2" ht="15" thickBot="1" x14ac:dyDescent="0.35">
      <c r="A8" s="1209"/>
      <c r="B8" s="1044"/>
    </row>
    <row r="9" spans="1:2" x14ac:dyDescent="0.3">
      <c r="A9" s="322">
        <v>150001053</v>
      </c>
      <c r="B9" s="76" t="s">
        <v>147</v>
      </c>
    </row>
    <row r="10" spans="1:2" x14ac:dyDescent="0.3">
      <c r="A10" s="322">
        <v>150000753</v>
      </c>
      <c r="B10" s="42" t="s">
        <v>240</v>
      </c>
    </row>
    <row r="11" spans="1:2" x14ac:dyDescent="0.3">
      <c r="A11" s="322">
        <v>150000754</v>
      </c>
      <c r="B11" s="42" t="s">
        <v>241</v>
      </c>
    </row>
    <row r="12" spans="1:2" x14ac:dyDescent="0.3">
      <c r="A12" s="322">
        <v>150000702</v>
      </c>
      <c r="B12" s="42" t="s">
        <v>339</v>
      </c>
    </row>
    <row r="13" spans="1:2" x14ac:dyDescent="0.3">
      <c r="A13" s="322">
        <v>150000703</v>
      </c>
      <c r="B13" s="42" t="s">
        <v>340</v>
      </c>
    </row>
    <row r="14" spans="1:2" x14ac:dyDescent="0.3">
      <c r="A14" s="322">
        <v>150000781</v>
      </c>
      <c r="B14" s="42" t="s">
        <v>34</v>
      </c>
    </row>
    <row r="15" spans="1:2" x14ac:dyDescent="0.3">
      <c r="A15" s="322">
        <v>150000488</v>
      </c>
      <c r="B15" s="42" t="s">
        <v>35</v>
      </c>
    </row>
    <row r="16" spans="1:2" x14ac:dyDescent="0.3">
      <c r="A16" s="322">
        <v>150000492</v>
      </c>
      <c r="B16" s="42" t="s">
        <v>36</v>
      </c>
    </row>
    <row r="17" spans="1:2" x14ac:dyDescent="0.3">
      <c r="A17" s="322">
        <v>150000490</v>
      </c>
      <c r="B17" s="42" t="s">
        <v>37</v>
      </c>
    </row>
    <row r="18" spans="1:2" x14ac:dyDescent="0.3">
      <c r="A18" s="322">
        <v>150000497</v>
      </c>
      <c r="B18" s="42" t="s">
        <v>341</v>
      </c>
    </row>
    <row r="19" spans="1:2" x14ac:dyDescent="0.3">
      <c r="A19" s="322">
        <v>150000495</v>
      </c>
      <c r="B19" s="42" t="s">
        <v>148</v>
      </c>
    </row>
    <row r="20" spans="1:2" x14ac:dyDescent="0.3">
      <c r="A20" s="322">
        <v>150000496</v>
      </c>
      <c r="B20" s="42" t="s">
        <v>149</v>
      </c>
    </row>
    <row r="21" spans="1:2" x14ac:dyDescent="0.3">
      <c r="A21" s="322">
        <v>150000498</v>
      </c>
      <c r="B21" s="42" t="s">
        <v>242</v>
      </c>
    </row>
    <row r="22" spans="1:2" x14ac:dyDescent="0.3">
      <c r="A22" s="322">
        <v>150000969</v>
      </c>
      <c r="B22" s="42" t="s">
        <v>193</v>
      </c>
    </row>
    <row r="23" spans="1:2" x14ac:dyDescent="0.3">
      <c r="A23" s="322">
        <v>150000989</v>
      </c>
      <c r="B23" s="42" t="s">
        <v>38</v>
      </c>
    </row>
    <row r="24" spans="1:2" x14ac:dyDescent="0.3">
      <c r="A24" s="322">
        <v>150000990</v>
      </c>
      <c r="B24" s="42" t="s">
        <v>39</v>
      </c>
    </row>
    <row r="25" spans="1:2" x14ac:dyDescent="0.3">
      <c r="A25" s="322">
        <v>150000970</v>
      </c>
      <c r="B25" s="42" t="s">
        <v>243</v>
      </c>
    </row>
    <row r="26" spans="1:2" x14ac:dyDescent="0.3">
      <c r="A26" s="322">
        <v>150000971</v>
      </c>
      <c r="B26" s="42" t="s">
        <v>194</v>
      </c>
    </row>
    <row r="27" spans="1:2" x14ac:dyDescent="0.3">
      <c r="A27" s="322">
        <v>150000991</v>
      </c>
      <c r="B27" s="42" t="s">
        <v>342</v>
      </c>
    </row>
    <row r="28" spans="1:2" x14ac:dyDescent="0.3">
      <c r="A28" s="322">
        <v>150000992</v>
      </c>
      <c r="B28" s="42" t="s">
        <v>40</v>
      </c>
    </row>
    <row r="29" spans="1:2" x14ac:dyDescent="0.3">
      <c r="A29" s="322">
        <v>150000999</v>
      </c>
      <c r="B29" s="42" t="s">
        <v>41</v>
      </c>
    </row>
    <row r="30" spans="1:2" x14ac:dyDescent="0.3">
      <c r="A30" s="322">
        <v>150000993</v>
      </c>
      <c r="B30" s="42" t="s">
        <v>42</v>
      </c>
    </row>
    <row r="31" spans="1:2" x14ac:dyDescent="0.3">
      <c r="A31" s="322">
        <v>150001000</v>
      </c>
      <c r="B31" s="42" t="s">
        <v>43</v>
      </c>
    </row>
    <row r="32" spans="1:2" x14ac:dyDescent="0.3">
      <c r="A32" s="322">
        <v>150001004</v>
      </c>
      <c r="B32" s="42" t="s">
        <v>44</v>
      </c>
    </row>
    <row r="33" spans="1:2" x14ac:dyDescent="0.3">
      <c r="A33" s="322">
        <v>150000994</v>
      </c>
      <c r="B33" s="42" t="s">
        <v>45</v>
      </c>
    </row>
    <row r="34" spans="1:2" x14ac:dyDescent="0.3">
      <c r="A34" s="322">
        <v>150001001</v>
      </c>
      <c r="B34" s="42" t="s">
        <v>46</v>
      </c>
    </row>
    <row r="35" spans="1:2" x14ac:dyDescent="0.3">
      <c r="A35" s="322">
        <v>150001005</v>
      </c>
      <c r="B35" s="42" t="s">
        <v>47</v>
      </c>
    </row>
    <row r="36" spans="1:2" x14ac:dyDescent="0.3">
      <c r="A36" s="322">
        <v>150000995</v>
      </c>
      <c r="B36" s="42" t="s">
        <v>48</v>
      </c>
    </row>
    <row r="37" spans="1:2" x14ac:dyDescent="0.3">
      <c r="A37" s="322">
        <v>150001002</v>
      </c>
      <c r="B37" s="42" t="s">
        <v>49</v>
      </c>
    </row>
    <row r="38" spans="1:2" x14ac:dyDescent="0.3">
      <c r="A38" s="322">
        <v>150000972</v>
      </c>
      <c r="B38" s="42" t="s">
        <v>202</v>
      </c>
    </row>
    <row r="39" spans="1:2" x14ac:dyDescent="0.3">
      <c r="A39" s="322">
        <v>150000973</v>
      </c>
      <c r="B39" s="42" t="s">
        <v>50</v>
      </c>
    </row>
    <row r="40" spans="1:2" x14ac:dyDescent="0.3">
      <c r="A40" s="322">
        <v>150000974</v>
      </c>
      <c r="B40" s="42" t="s">
        <v>203</v>
      </c>
    </row>
    <row r="41" spans="1:2" x14ac:dyDescent="0.3">
      <c r="A41" s="322">
        <v>150000975</v>
      </c>
      <c r="B41" s="42" t="s">
        <v>204</v>
      </c>
    </row>
    <row r="42" spans="1:2" x14ac:dyDescent="0.3">
      <c r="A42" s="322">
        <v>150000976</v>
      </c>
      <c r="B42" s="42" t="s">
        <v>150</v>
      </c>
    </row>
    <row r="43" spans="1:2" x14ac:dyDescent="0.3">
      <c r="A43" s="322">
        <v>150000977</v>
      </c>
      <c r="B43" s="42" t="s">
        <v>151</v>
      </c>
    </row>
    <row r="44" spans="1:2" x14ac:dyDescent="0.3">
      <c r="A44" s="322">
        <v>150000978</v>
      </c>
      <c r="B44" s="42" t="s">
        <v>244</v>
      </c>
    </row>
    <row r="45" spans="1:2" x14ac:dyDescent="0.3">
      <c r="A45" s="322">
        <v>150000966</v>
      </c>
      <c r="B45" s="42" t="s">
        <v>205</v>
      </c>
    </row>
    <row r="46" spans="1:2" x14ac:dyDescent="0.3">
      <c r="A46" s="322">
        <v>150000967</v>
      </c>
      <c r="B46" s="42" t="s">
        <v>206</v>
      </c>
    </row>
    <row r="47" spans="1:2" x14ac:dyDescent="0.3">
      <c r="A47" s="322">
        <v>150000968</v>
      </c>
      <c r="B47" s="42" t="s">
        <v>245</v>
      </c>
    </row>
    <row r="48" spans="1:2" x14ac:dyDescent="0.3">
      <c r="A48" s="322">
        <v>150000981</v>
      </c>
      <c r="B48" s="42" t="s">
        <v>343</v>
      </c>
    </row>
    <row r="49" spans="1:2" x14ac:dyDescent="0.3">
      <c r="A49" s="322">
        <v>150000982</v>
      </c>
      <c r="B49" s="42" t="s">
        <v>344</v>
      </c>
    </row>
    <row r="50" spans="1:2" x14ac:dyDescent="0.3">
      <c r="A50" s="322">
        <v>150000983</v>
      </c>
      <c r="B50" s="42" t="s">
        <v>345</v>
      </c>
    </row>
    <row r="51" spans="1:2" x14ac:dyDescent="0.3">
      <c r="A51" s="322">
        <v>150000984</v>
      </c>
      <c r="B51" s="42" t="s">
        <v>346</v>
      </c>
    </row>
    <row r="52" spans="1:2" x14ac:dyDescent="0.3">
      <c r="A52" s="322">
        <v>150000986</v>
      </c>
      <c r="B52" s="42" t="s">
        <v>347</v>
      </c>
    </row>
    <row r="53" spans="1:2" x14ac:dyDescent="0.3">
      <c r="A53" s="322">
        <v>150000996</v>
      </c>
      <c r="B53" s="42" t="s">
        <v>246</v>
      </c>
    </row>
    <row r="54" spans="1:2" x14ac:dyDescent="0.3">
      <c r="A54" s="322">
        <v>150000987</v>
      </c>
      <c r="B54" s="42" t="s">
        <v>51</v>
      </c>
    </row>
    <row r="55" spans="1:2" x14ac:dyDescent="0.3">
      <c r="A55" s="322">
        <v>150000988</v>
      </c>
      <c r="B55" s="42" t="s">
        <v>52</v>
      </c>
    </row>
    <row r="56" spans="1:2" x14ac:dyDescent="0.3">
      <c r="A56" s="322">
        <v>150000548</v>
      </c>
      <c r="B56" s="42" t="s">
        <v>247</v>
      </c>
    </row>
    <row r="57" spans="1:2" x14ac:dyDescent="0.3">
      <c r="A57" s="322">
        <v>150000549</v>
      </c>
      <c r="B57" s="42" t="s">
        <v>207</v>
      </c>
    </row>
    <row r="58" spans="1:2" x14ac:dyDescent="0.3">
      <c r="A58" s="322">
        <v>150000547</v>
      </c>
      <c r="B58" s="42" t="s">
        <v>248</v>
      </c>
    </row>
    <row r="59" spans="1:2" x14ac:dyDescent="0.3">
      <c r="A59" s="322">
        <v>150000509</v>
      </c>
      <c r="B59" s="42" t="s">
        <v>53</v>
      </c>
    </row>
    <row r="60" spans="1:2" x14ac:dyDescent="0.3">
      <c r="A60" s="322">
        <v>150000510</v>
      </c>
      <c r="B60" s="42" t="s">
        <v>249</v>
      </c>
    </row>
    <row r="61" spans="1:2" x14ac:dyDescent="0.3">
      <c r="A61" s="322">
        <v>150000511</v>
      </c>
      <c r="B61" s="42" t="s">
        <v>250</v>
      </c>
    </row>
    <row r="62" spans="1:2" x14ac:dyDescent="0.3">
      <c r="A62" s="322">
        <v>150000512</v>
      </c>
      <c r="B62" s="42" t="s">
        <v>251</v>
      </c>
    </row>
    <row r="63" spans="1:2" x14ac:dyDescent="0.3">
      <c r="A63" s="322">
        <v>150000513</v>
      </c>
      <c r="B63" s="42" t="s">
        <v>334</v>
      </c>
    </row>
    <row r="64" spans="1:2" x14ac:dyDescent="0.3">
      <c r="A64" s="322">
        <v>150000538</v>
      </c>
      <c r="B64" s="42" t="s">
        <v>208</v>
      </c>
    </row>
    <row r="65" spans="1:2" x14ac:dyDescent="0.3">
      <c r="A65" s="322">
        <v>150000514</v>
      </c>
      <c r="B65" s="42" t="s">
        <v>152</v>
      </c>
    </row>
    <row r="66" spans="1:2" x14ac:dyDescent="0.3">
      <c r="A66" s="322">
        <v>150000515</v>
      </c>
      <c r="B66" s="42" t="s">
        <v>54</v>
      </c>
    </row>
    <row r="67" spans="1:2" x14ac:dyDescent="0.3">
      <c r="A67" s="322">
        <v>150000539</v>
      </c>
      <c r="B67" s="42" t="s">
        <v>55</v>
      </c>
    </row>
    <row r="68" spans="1:2" x14ac:dyDescent="0.3">
      <c r="A68" s="322">
        <v>150000516</v>
      </c>
      <c r="B68" s="42" t="s">
        <v>56</v>
      </c>
    </row>
    <row r="69" spans="1:2" x14ac:dyDescent="0.3">
      <c r="A69" s="322">
        <v>150000517</v>
      </c>
      <c r="B69" s="42" t="s">
        <v>252</v>
      </c>
    </row>
    <row r="70" spans="1:2" x14ac:dyDescent="0.3">
      <c r="A70" s="322">
        <v>150000518</v>
      </c>
      <c r="B70" s="42" t="s">
        <v>195</v>
      </c>
    </row>
    <row r="71" spans="1:2" x14ac:dyDescent="0.3">
      <c r="A71" s="322">
        <v>150000519</v>
      </c>
      <c r="B71" s="42" t="s">
        <v>413</v>
      </c>
    </row>
    <row r="72" spans="1:2" x14ac:dyDescent="0.3">
      <c r="A72" s="322">
        <v>150000521</v>
      </c>
      <c r="B72" s="42" t="s">
        <v>253</v>
      </c>
    </row>
    <row r="73" spans="1:2" x14ac:dyDescent="0.3">
      <c r="A73" s="322">
        <v>150000522</v>
      </c>
      <c r="B73" s="42" t="s">
        <v>57</v>
      </c>
    </row>
    <row r="74" spans="1:2" x14ac:dyDescent="0.3">
      <c r="A74" s="322">
        <v>150000523</v>
      </c>
      <c r="B74" s="42" t="s">
        <v>58</v>
      </c>
    </row>
    <row r="75" spans="1:2" x14ac:dyDescent="0.3">
      <c r="A75" s="322">
        <v>150000524</v>
      </c>
      <c r="B75" s="42" t="s">
        <v>59</v>
      </c>
    </row>
    <row r="76" spans="1:2" x14ac:dyDescent="0.3">
      <c r="A76" s="322">
        <v>150000541</v>
      </c>
      <c r="B76" s="42" t="s">
        <v>60</v>
      </c>
    </row>
    <row r="77" spans="1:2" x14ac:dyDescent="0.3">
      <c r="A77" s="322">
        <v>150000527</v>
      </c>
      <c r="B77" s="42" t="s">
        <v>61</v>
      </c>
    </row>
    <row r="78" spans="1:2" x14ac:dyDescent="0.3">
      <c r="A78" s="322">
        <v>150000542</v>
      </c>
      <c r="B78" s="42" t="s">
        <v>62</v>
      </c>
    </row>
    <row r="79" spans="1:2" x14ac:dyDescent="0.3">
      <c r="A79" s="322">
        <v>150000529</v>
      </c>
      <c r="B79" s="42" t="s">
        <v>348</v>
      </c>
    </row>
    <row r="80" spans="1:2" x14ac:dyDescent="0.3">
      <c r="A80" s="322">
        <v>150000530</v>
      </c>
      <c r="B80" s="42" t="s">
        <v>63</v>
      </c>
    </row>
    <row r="81" spans="1:2" x14ac:dyDescent="0.3">
      <c r="A81" s="322">
        <v>150000543</v>
      </c>
      <c r="B81" s="42" t="s">
        <v>64</v>
      </c>
    </row>
    <row r="82" spans="1:2" x14ac:dyDescent="0.3">
      <c r="A82" s="322">
        <v>150000544</v>
      </c>
      <c r="B82" s="42" t="s">
        <v>65</v>
      </c>
    </row>
    <row r="83" spans="1:2" x14ac:dyDescent="0.3">
      <c r="A83" s="322">
        <v>150000531</v>
      </c>
      <c r="B83" s="42" t="s">
        <v>349</v>
      </c>
    </row>
    <row r="84" spans="1:2" x14ac:dyDescent="0.3">
      <c r="A84" s="322">
        <v>150000532</v>
      </c>
      <c r="B84" s="42" t="s">
        <v>254</v>
      </c>
    </row>
    <row r="85" spans="1:2" x14ac:dyDescent="0.3">
      <c r="A85" s="322">
        <v>150000533</v>
      </c>
      <c r="B85" s="42" t="s">
        <v>350</v>
      </c>
    </row>
    <row r="86" spans="1:2" x14ac:dyDescent="0.3">
      <c r="A86" s="322">
        <v>150000534</v>
      </c>
      <c r="B86" s="42" t="s">
        <v>255</v>
      </c>
    </row>
    <row r="87" spans="1:2" x14ac:dyDescent="0.3">
      <c r="A87" s="322">
        <v>150000535</v>
      </c>
      <c r="B87" s="42" t="s">
        <v>351</v>
      </c>
    </row>
    <row r="88" spans="1:2" x14ac:dyDescent="0.3">
      <c r="A88" s="322">
        <v>150000645</v>
      </c>
      <c r="B88" s="42" t="s">
        <v>66</v>
      </c>
    </row>
    <row r="89" spans="1:2" x14ac:dyDescent="0.3">
      <c r="A89" s="322">
        <v>150000643</v>
      </c>
      <c r="B89" s="42" t="s">
        <v>67</v>
      </c>
    </row>
    <row r="90" spans="1:2" x14ac:dyDescent="0.3">
      <c r="A90" s="322">
        <v>150000644</v>
      </c>
      <c r="B90" s="42" t="s">
        <v>68</v>
      </c>
    </row>
    <row r="91" spans="1:2" x14ac:dyDescent="0.3">
      <c r="A91" s="322">
        <v>150000566</v>
      </c>
      <c r="B91" s="42" t="s">
        <v>69</v>
      </c>
    </row>
    <row r="92" spans="1:2" x14ac:dyDescent="0.3">
      <c r="A92" s="322">
        <v>150000571</v>
      </c>
      <c r="B92" s="42" t="s">
        <v>70</v>
      </c>
    </row>
    <row r="93" spans="1:2" x14ac:dyDescent="0.3">
      <c r="A93" s="322">
        <v>150000567</v>
      </c>
      <c r="B93" s="42" t="s">
        <v>71</v>
      </c>
    </row>
    <row r="94" spans="1:2" x14ac:dyDescent="0.3">
      <c r="A94" s="322">
        <v>150000561</v>
      </c>
      <c r="B94" s="42" t="s">
        <v>72</v>
      </c>
    </row>
    <row r="95" spans="1:2" x14ac:dyDescent="0.3">
      <c r="A95" s="322">
        <v>150000569</v>
      </c>
      <c r="B95" s="42" t="s">
        <v>73</v>
      </c>
    </row>
    <row r="96" spans="1:2" x14ac:dyDescent="0.3">
      <c r="A96" s="322">
        <v>150000562</v>
      </c>
      <c r="B96" s="42" t="s">
        <v>74</v>
      </c>
    </row>
    <row r="97" spans="1:2" x14ac:dyDescent="0.3">
      <c r="A97" s="322">
        <v>150000570</v>
      </c>
      <c r="B97" s="42" t="s">
        <v>75</v>
      </c>
    </row>
    <row r="98" spans="1:2" x14ac:dyDescent="0.3">
      <c r="A98" s="322">
        <v>150000572</v>
      </c>
      <c r="B98" s="42" t="s">
        <v>153</v>
      </c>
    </row>
    <row r="99" spans="1:2" x14ac:dyDescent="0.3">
      <c r="A99" s="322">
        <v>150000573</v>
      </c>
      <c r="B99" s="42" t="s">
        <v>76</v>
      </c>
    </row>
    <row r="100" spans="1:2" x14ac:dyDescent="0.3">
      <c r="A100" s="322">
        <v>150000658</v>
      </c>
      <c r="B100" s="42" t="s">
        <v>352</v>
      </c>
    </row>
    <row r="101" spans="1:2" x14ac:dyDescent="0.3">
      <c r="A101" s="322">
        <v>150000659</v>
      </c>
      <c r="B101" s="42" t="s">
        <v>414</v>
      </c>
    </row>
    <row r="102" spans="1:2" x14ac:dyDescent="0.3">
      <c r="A102" s="322">
        <v>150000660</v>
      </c>
      <c r="B102" s="42" t="s">
        <v>415</v>
      </c>
    </row>
    <row r="103" spans="1:2" x14ac:dyDescent="0.3">
      <c r="A103" s="322">
        <v>150000597</v>
      </c>
      <c r="B103" s="42" t="s">
        <v>353</v>
      </c>
    </row>
    <row r="104" spans="1:2" x14ac:dyDescent="0.3">
      <c r="A104" s="322">
        <v>150000598</v>
      </c>
      <c r="B104" s="42" t="s">
        <v>77</v>
      </c>
    </row>
    <row r="105" spans="1:2" x14ac:dyDescent="0.3">
      <c r="A105" s="322">
        <v>150000592</v>
      </c>
      <c r="B105" s="42" t="s">
        <v>354</v>
      </c>
    </row>
    <row r="106" spans="1:2" x14ac:dyDescent="0.3">
      <c r="A106" s="322">
        <v>150000599</v>
      </c>
      <c r="B106" s="42" t="s">
        <v>78</v>
      </c>
    </row>
    <row r="107" spans="1:2" x14ac:dyDescent="0.3">
      <c r="A107" s="322">
        <v>150000601</v>
      </c>
      <c r="B107" s="42" t="s">
        <v>79</v>
      </c>
    </row>
    <row r="108" spans="1:2" x14ac:dyDescent="0.3">
      <c r="A108" s="322">
        <v>150000593</v>
      </c>
      <c r="B108" s="42" t="s">
        <v>256</v>
      </c>
    </row>
    <row r="109" spans="1:2" x14ac:dyDescent="0.3">
      <c r="A109" s="322">
        <v>150000594</v>
      </c>
      <c r="B109" s="42" t="s">
        <v>355</v>
      </c>
    </row>
    <row r="110" spans="1:2" x14ac:dyDescent="0.3">
      <c r="A110" s="322">
        <v>150000834</v>
      </c>
      <c r="B110" s="42" t="s">
        <v>80</v>
      </c>
    </row>
    <row r="111" spans="1:2" x14ac:dyDescent="0.3">
      <c r="A111" s="322">
        <v>150000627</v>
      </c>
      <c r="B111" s="42" t="s">
        <v>356</v>
      </c>
    </row>
    <row r="112" spans="1:2" x14ac:dyDescent="0.3">
      <c r="A112" s="322">
        <v>150000628</v>
      </c>
      <c r="B112" s="42" t="s">
        <v>357</v>
      </c>
    </row>
    <row r="113" spans="1:2" x14ac:dyDescent="0.3">
      <c r="A113" s="322">
        <v>150000625</v>
      </c>
      <c r="B113" s="42" t="s">
        <v>416</v>
      </c>
    </row>
    <row r="114" spans="1:2" x14ac:dyDescent="0.3">
      <c r="A114" s="322">
        <v>150000629</v>
      </c>
      <c r="B114" s="42" t="s">
        <v>358</v>
      </c>
    </row>
    <row r="115" spans="1:2" x14ac:dyDescent="0.3">
      <c r="A115" s="322">
        <v>150000626</v>
      </c>
      <c r="B115" s="42" t="s">
        <v>359</v>
      </c>
    </row>
    <row r="116" spans="1:2" x14ac:dyDescent="0.3">
      <c r="A116" s="322">
        <v>150000603</v>
      </c>
      <c r="B116" s="42" t="s">
        <v>154</v>
      </c>
    </row>
    <row r="117" spans="1:2" x14ac:dyDescent="0.3">
      <c r="A117" s="322">
        <v>150001562</v>
      </c>
      <c r="B117" s="42" t="s">
        <v>209</v>
      </c>
    </row>
    <row r="118" spans="1:2" x14ac:dyDescent="0.3">
      <c r="A118" s="322">
        <v>150000604</v>
      </c>
      <c r="B118" s="42" t="s">
        <v>155</v>
      </c>
    </row>
    <row r="119" spans="1:2" x14ac:dyDescent="0.3">
      <c r="A119" s="322">
        <v>150000605</v>
      </c>
      <c r="B119" s="42" t="s">
        <v>156</v>
      </c>
    </row>
    <row r="120" spans="1:2" x14ac:dyDescent="0.3">
      <c r="A120" s="322">
        <v>150000606</v>
      </c>
      <c r="B120" s="42" t="s">
        <v>157</v>
      </c>
    </row>
    <row r="121" spans="1:2" x14ac:dyDescent="0.3">
      <c r="A121" s="322">
        <v>150000607</v>
      </c>
      <c r="B121" s="42" t="s">
        <v>158</v>
      </c>
    </row>
    <row r="122" spans="1:2" x14ac:dyDescent="0.3">
      <c r="A122" s="322">
        <v>150000608</v>
      </c>
      <c r="B122" s="42" t="s">
        <v>159</v>
      </c>
    </row>
    <row r="123" spans="1:2" x14ac:dyDescent="0.3">
      <c r="A123" s="322">
        <v>150000609</v>
      </c>
      <c r="B123" s="42" t="s">
        <v>160</v>
      </c>
    </row>
    <row r="124" spans="1:2" x14ac:dyDescent="0.3">
      <c r="A124" s="322">
        <v>150000610</v>
      </c>
      <c r="B124" s="42" t="s">
        <v>161</v>
      </c>
    </row>
    <row r="125" spans="1:2" x14ac:dyDescent="0.3">
      <c r="A125" s="322">
        <v>150000611</v>
      </c>
      <c r="B125" s="42" t="s">
        <v>196</v>
      </c>
    </row>
    <row r="126" spans="1:2" x14ac:dyDescent="0.3">
      <c r="A126" s="322">
        <v>150000623</v>
      </c>
      <c r="B126" s="42" t="s">
        <v>210</v>
      </c>
    </row>
    <row r="127" spans="1:2" x14ac:dyDescent="0.3">
      <c r="A127" s="322">
        <v>150000612</v>
      </c>
      <c r="B127" s="42" t="s">
        <v>162</v>
      </c>
    </row>
    <row r="128" spans="1:2" x14ac:dyDescent="0.3">
      <c r="A128" s="322">
        <v>150000613</v>
      </c>
      <c r="B128" s="42" t="s">
        <v>211</v>
      </c>
    </row>
    <row r="129" spans="1:2" x14ac:dyDescent="0.3">
      <c r="A129" s="322">
        <v>150000614</v>
      </c>
      <c r="B129" s="42" t="s">
        <v>163</v>
      </c>
    </row>
    <row r="130" spans="1:2" x14ac:dyDescent="0.3">
      <c r="A130" s="322">
        <v>150000615</v>
      </c>
      <c r="B130" s="42" t="s">
        <v>257</v>
      </c>
    </row>
    <row r="131" spans="1:2" x14ac:dyDescent="0.3">
      <c r="A131" s="322">
        <v>150000616</v>
      </c>
      <c r="B131" s="42" t="s">
        <v>258</v>
      </c>
    </row>
    <row r="132" spans="1:2" x14ac:dyDescent="0.3">
      <c r="A132" s="322">
        <v>150000618</v>
      </c>
      <c r="B132" s="42" t="s">
        <v>417</v>
      </c>
    </row>
    <row r="133" spans="1:2" x14ac:dyDescent="0.3">
      <c r="A133" s="322">
        <v>150000619</v>
      </c>
      <c r="B133" s="42" t="s">
        <v>360</v>
      </c>
    </row>
    <row r="134" spans="1:2" x14ac:dyDescent="0.3">
      <c r="A134" s="322">
        <v>150000620</v>
      </c>
      <c r="B134" s="42" t="s">
        <v>361</v>
      </c>
    </row>
    <row r="135" spans="1:2" x14ac:dyDescent="0.3">
      <c r="A135" s="322">
        <v>150000621</v>
      </c>
      <c r="B135" s="42" t="s">
        <v>81</v>
      </c>
    </row>
    <row r="136" spans="1:2" x14ac:dyDescent="0.3">
      <c r="A136" s="322">
        <v>150000622</v>
      </c>
      <c r="B136" s="42" t="s">
        <v>82</v>
      </c>
    </row>
    <row r="137" spans="1:2" x14ac:dyDescent="0.3">
      <c r="A137" s="322">
        <v>150000587</v>
      </c>
      <c r="B137" s="42" t="s">
        <v>83</v>
      </c>
    </row>
    <row r="138" spans="1:2" x14ac:dyDescent="0.3">
      <c r="A138" s="322">
        <v>150000590</v>
      </c>
      <c r="B138" s="42" t="s">
        <v>164</v>
      </c>
    </row>
    <row r="139" spans="1:2" x14ac:dyDescent="0.3">
      <c r="A139" s="322">
        <v>150000578</v>
      </c>
      <c r="B139" s="42" t="s">
        <v>84</v>
      </c>
    </row>
    <row r="140" spans="1:2" x14ac:dyDescent="0.3">
      <c r="A140" s="322">
        <v>150000580</v>
      </c>
      <c r="B140" s="42" t="s">
        <v>85</v>
      </c>
    </row>
    <row r="141" spans="1:2" x14ac:dyDescent="0.3">
      <c r="A141" s="322">
        <v>150001054</v>
      </c>
      <c r="B141" s="42" t="s">
        <v>86</v>
      </c>
    </row>
    <row r="142" spans="1:2" x14ac:dyDescent="0.3">
      <c r="A142" s="322">
        <v>150000634</v>
      </c>
      <c r="B142" s="42" t="s">
        <v>87</v>
      </c>
    </row>
    <row r="143" spans="1:2" x14ac:dyDescent="0.3">
      <c r="A143" s="322">
        <v>150000636</v>
      </c>
      <c r="B143" s="42" t="s">
        <v>259</v>
      </c>
    </row>
    <row r="144" spans="1:2" x14ac:dyDescent="0.3">
      <c r="A144" s="322">
        <v>150000637</v>
      </c>
      <c r="B144" s="42" t="s">
        <v>88</v>
      </c>
    </row>
    <row r="145" spans="1:2" x14ac:dyDescent="0.3">
      <c r="A145" s="322">
        <v>150000555</v>
      </c>
      <c r="B145" s="42" t="s">
        <v>89</v>
      </c>
    </row>
    <row r="146" spans="1:2" x14ac:dyDescent="0.3">
      <c r="A146" s="322">
        <v>150000556</v>
      </c>
      <c r="B146" s="42" t="s">
        <v>90</v>
      </c>
    </row>
    <row r="147" spans="1:2" x14ac:dyDescent="0.3">
      <c r="A147" s="322">
        <v>150000557</v>
      </c>
      <c r="B147" s="42" t="s">
        <v>91</v>
      </c>
    </row>
    <row r="148" spans="1:2" x14ac:dyDescent="0.3">
      <c r="A148" s="322">
        <v>150000552</v>
      </c>
      <c r="B148" s="42" t="s">
        <v>92</v>
      </c>
    </row>
    <row r="149" spans="1:2" x14ac:dyDescent="0.3">
      <c r="A149" s="322">
        <v>150000553</v>
      </c>
      <c r="B149" s="42" t="s">
        <v>260</v>
      </c>
    </row>
    <row r="150" spans="1:2" x14ac:dyDescent="0.3">
      <c r="A150" s="322">
        <v>150000493</v>
      </c>
      <c r="B150" s="42" t="s">
        <v>418</v>
      </c>
    </row>
    <row r="151" spans="1:2" x14ac:dyDescent="0.3">
      <c r="A151" s="322">
        <v>150000494</v>
      </c>
      <c r="B151" s="42" t="s">
        <v>419</v>
      </c>
    </row>
    <row r="152" spans="1:2" x14ac:dyDescent="0.3">
      <c r="A152" s="322">
        <v>150000688</v>
      </c>
      <c r="B152" s="42" t="s">
        <v>93</v>
      </c>
    </row>
    <row r="153" spans="1:2" x14ac:dyDescent="0.3">
      <c r="A153" s="322">
        <v>150000689</v>
      </c>
      <c r="B153" s="42" t="s">
        <v>94</v>
      </c>
    </row>
    <row r="154" spans="1:2" x14ac:dyDescent="0.3">
      <c r="A154" s="322">
        <v>150000693</v>
      </c>
      <c r="B154" s="42" t="s">
        <v>95</v>
      </c>
    </row>
    <row r="155" spans="1:2" x14ac:dyDescent="0.3">
      <c r="A155" s="322">
        <v>150000690</v>
      </c>
      <c r="B155" s="42" t="s">
        <v>96</v>
      </c>
    </row>
    <row r="156" spans="1:2" x14ac:dyDescent="0.3">
      <c r="A156" s="322">
        <v>150000648</v>
      </c>
      <c r="B156" s="42" t="s">
        <v>362</v>
      </c>
    </row>
    <row r="157" spans="1:2" x14ac:dyDescent="0.3">
      <c r="A157" s="322">
        <v>150000647</v>
      </c>
      <c r="B157" s="42" t="s">
        <v>97</v>
      </c>
    </row>
    <row r="158" spans="1:2" x14ac:dyDescent="0.3">
      <c r="A158" s="322">
        <v>150000686</v>
      </c>
      <c r="B158" s="42" t="s">
        <v>98</v>
      </c>
    </row>
    <row r="159" spans="1:2" x14ac:dyDescent="0.3">
      <c r="A159" s="322">
        <v>150000796</v>
      </c>
      <c r="B159" s="42" t="s">
        <v>99</v>
      </c>
    </row>
    <row r="160" spans="1:2" x14ac:dyDescent="0.3">
      <c r="A160" s="322">
        <v>150001008</v>
      </c>
      <c r="B160" s="42" t="s">
        <v>212</v>
      </c>
    </row>
    <row r="161" spans="1:2" x14ac:dyDescent="0.3">
      <c r="A161" s="322">
        <v>150001033</v>
      </c>
      <c r="B161" s="42" t="s">
        <v>363</v>
      </c>
    </row>
    <row r="162" spans="1:2" x14ac:dyDescent="0.3">
      <c r="A162" s="322">
        <v>150001009</v>
      </c>
      <c r="B162" s="42" t="s">
        <v>213</v>
      </c>
    </row>
    <row r="163" spans="1:2" x14ac:dyDescent="0.3">
      <c r="A163" s="322">
        <v>150001010</v>
      </c>
      <c r="B163" s="42" t="s">
        <v>165</v>
      </c>
    </row>
    <row r="164" spans="1:2" x14ac:dyDescent="0.3">
      <c r="A164" s="322">
        <v>150001011</v>
      </c>
      <c r="B164" s="42" t="s">
        <v>166</v>
      </c>
    </row>
    <row r="165" spans="1:2" x14ac:dyDescent="0.3">
      <c r="A165" s="323"/>
      <c r="B165" s="307" t="s">
        <v>261</v>
      </c>
    </row>
    <row r="166" spans="1:2" x14ac:dyDescent="0.3">
      <c r="A166" s="322">
        <v>150001014</v>
      </c>
      <c r="B166" s="42" t="s">
        <v>167</v>
      </c>
    </row>
    <row r="167" spans="1:2" x14ac:dyDescent="0.3">
      <c r="A167" s="322">
        <v>150001015</v>
      </c>
      <c r="B167" s="42" t="s">
        <v>100</v>
      </c>
    </row>
    <row r="168" spans="1:2" x14ac:dyDescent="0.3">
      <c r="A168" s="322">
        <v>150001016</v>
      </c>
      <c r="B168" s="42" t="s">
        <v>262</v>
      </c>
    </row>
    <row r="169" spans="1:2" x14ac:dyDescent="0.3">
      <c r="A169" s="322">
        <v>150001007</v>
      </c>
      <c r="B169" s="42" t="s">
        <v>214</v>
      </c>
    </row>
    <row r="170" spans="1:2" x14ac:dyDescent="0.3">
      <c r="A170" s="322">
        <v>150001018</v>
      </c>
      <c r="B170" s="43" t="s">
        <v>430</v>
      </c>
    </row>
    <row r="171" spans="1:2" x14ac:dyDescent="0.3">
      <c r="A171" s="322">
        <v>150001019</v>
      </c>
      <c r="B171" s="42" t="s">
        <v>420</v>
      </c>
    </row>
    <row r="172" spans="1:2" x14ac:dyDescent="0.3">
      <c r="A172" s="322">
        <v>150001020</v>
      </c>
      <c r="B172" s="42" t="s">
        <v>101</v>
      </c>
    </row>
    <row r="173" spans="1:2" x14ac:dyDescent="0.3">
      <c r="A173" s="322">
        <v>150001021</v>
      </c>
      <c r="B173" s="42" t="s">
        <v>364</v>
      </c>
    </row>
    <row r="174" spans="1:2" x14ac:dyDescent="0.3">
      <c r="A174" s="322">
        <v>150001035</v>
      </c>
      <c r="B174" s="42" t="s">
        <v>263</v>
      </c>
    </row>
    <row r="175" spans="1:2" x14ac:dyDescent="0.3">
      <c r="A175" s="322">
        <v>150001022</v>
      </c>
      <c r="B175" s="42" t="s">
        <v>365</v>
      </c>
    </row>
    <row r="176" spans="1:2" x14ac:dyDescent="0.3">
      <c r="A176" s="322">
        <v>150001023</v>
      </c>
      <c r="B176" s="42" t="s">
        <v>366</v>
      </c>
    </row>
    <row r="177" spans="1:2" x14ac:dyDescent="0.3">
      <c r="A177" s="322">
        <v>150001024</v>
      </c>
      <c r="B177" s="42" t="s">
        <v>367</v>
      </c>
    </row>
    <row r="178" spans="1:2" x14ac:dyDescent="0.3">
      <c r="A178" s="322">
        <v>150001025</v>
      </c>
      <c r="B178" s="42" t="s">
        <v>421</v>
      </c>
    </row>
    <row r="179" spans="1:2" x14ac:dyDescent="0.3">
      <c r="A179" s="322">
        <v>150001026</v>
      </c>
      <c r="B179" s="42" t="s">
        <v>335</v>
      </c>
    </row>
    <row r="180" spans="1:2" x14ac:dyDescent="0.3">
      <c r="A180" s="322">
        <v>150001027</v>
      </c>
      <c r="B180" s="42" t="s">
        <v>368</v>
      </c>
    </row>
    <row r="181" spans="1:2" x14ac:dyDescent="0.3">
      <c r="A181" s="322">
        <v>150001028</v>
      </c>
      <c r="B181" s="42" t="s">
        <v>102</v>
      </c>
    </row>
    <row r="182" spans="1:2" x14ac:dyDescent="0.3">
      <c r="A182" s="322">
        <v>150001036</v>
      </c>
      <c r="B182" s="42" t="s">
        <v>103</v>
      </c>
    </row>
    <row r="183" spans="1:2" x14ac:dyDescent="0.3">
      <c r="A183" s="322">
        <v>150001029</v>
      </c>
      <c r="B183" s="42" t="s">
        <v>369</v>
      </c>
    </row>
    <row r="184" spans="1:2" x14ac:dyDescent="0.3">
      <c r="A184" s="322">
        <v>150001030</v>
      </c>
      <c r="B184" s="42" t="s">
        <v>336</v>
      </c>
    </row>
    <row r="185" spans="1:2" x14ac:dyDescent="0.3">
      <c r="A185" s="322">
        <v>150001031</v>
      </c>
      <c r="B185" s="42" t="s">
        <v>104</v>
      </c>
    </row>
    <row r="186" spans="1:2" x14ac:dyDescent="0.3">
      <c r="A186" s="322">
        <v>150001037</v>
      </c>
      <c r="B186" s="42" t="s">
        <v>105</v>
      </c>
    </row>
    <row r="187" spans="1:2" x14ac:dyDescent="0.3">
      <c r="A187" s="322">
        <v>150001032</v>
      </c>
      <c r="B187" s="42" t="s">
        <v>370</v>
      </c>
    </row>
    <row r="188" spans="1:2" x14ac:dyDescent="0.3">
      <c r="A188" s="322">
        <v>150000537</v>
      </c>
      <c r="B188" s="42" t="s">
        <v>106</v>
      </c>
    </row>
    <row r="189" spans="1:2" x14ac:dyDescent="0.3">
      <c r="A189" s="322">
        <v>150000545</v>
      </c>
      <c r="B189" s="42" t="s">
        <v>107</v>
      </c>
    </row>
    <row r="190" spans="1:2" x14ac:dyDescent="0.3">
      <c r="A190" s="322">
        <v>150000546</v>
      </c>
      <c r="B190" s="42" t="s">
        <v>108</v>
      </c>
    </row>
    <row r="191" spans="1:2" x14ac:dyDescent="0.3">
      <c r="A191" s="322">
        <v>150000502</v>
      </c>
      <c r="B191" s="42" t="s">
        <v>109</v>
      </c>
    </row>
    <row r="192" spans="1:2" x14ac:dyDescent="0.3">
      <c r="A192" s="322">
        <v>150000503</v>
      </c>
      <c r="B192" s="42" t="s">
        <v>110</v>
      </c>
    </row>
    <row r="193" spans="1:2" x14ac:dyDescent="0.3">
      <c r="A193" s="322">
        <v>150000504</v>
      </c>
      <c r="B193" s="42" t="s">
        <v>111</v>
      </c>
    </row>
    <row r="194" spans="1:2" x14ac:dyDescent="0.3">
      <c r="A194" s="322">
        <v>150000506</v>
      </c>
      <c r="B194" s="42" t="s">
        <v>112</v>
      </c>
    </row>
    <row r="195" spans="1:2" x14ac:dyDescent="0.3">
      <c r="A195" s="322">
        <v>150000505</v>
      </c>
      <c r="B195" s="42" t="s">
        <v>113</v>
      </c>
    </row>
    <row r="196" spans="1:2" x14ac:dyDescent="0.3">
      <c r="A196" s="322">
        <v>150000507</v>
      </c>
      <c r="B196" s="42" t="s">
        <v>114</v>
      </c>
    </row>
    <row r="197" spans="1:2" x14ac:dyDescent="0.3">
      <c r="A197" s="322">
        <v>150000508</v>
      </c>
      <c r="B197" s="42" t="s">
        <v>115</v>
      </c>
    </row>
    <row r="198" spans="1:2" x14ac:dyDescent="0.3">
      <c r="A198" s="322">
        <v>150000501</v>
      </c>
      <c r="B198" s="42" t="s">
        <v>264</v>
      </c>
    </row>
    <row r="199" spans="1:2" x14ac:dyDescent="0.3">
      <c r="A199" s="322">
        <v>150000778</v>
      </c>
      <c r="B199" s="42" t="s">
        <v>215</v>
      </c>
    </row>
    <row r="200" spans="1:2" x14ac:dyDescent="0.3">
      <c r="A200" s="322">
        <v>150001071</v>
      </c>
      <c r="B200" s="42" t="s">
        <v>168</v>
      </c>
    </row>
    <row r="201" spans="1:2" x14ac:dyDescent="0.3">
      <c r="A201" s="322">
        <v>150000768</v>
      </c>
      <c r="B201" s="42" t="s">
        <v>117</v>
      </c>
    </row>
    <row r="202" spans="1:2" x14ac:dyDescent="0.3">
      <c r="A202" s="322">
        <v>150000763</v>
      </c>
      <c r="B202" s="42" t="s">
        <v>118</v>
      </c>
    </row>
    <row r="203" spans="1:2" x14ac:dyDescent="0.3">
      <c r="A203" s="322">
        <v>150000764</v>
      </c>
      <c r="B203" s="42" t="s">
        <v>119</v>
      </c>
    </row>
    <row r="204" spans="1:2" x14ac:dyDescent="0.3">
      <c r="A204" s="322">
        <v>150000770</v>
      </c>
      <c r="B204" s="42" t="s">
        <v>120</v>
      </c>
    </row>
    <row r="205" spans="1:2" x14ac:dyDescent="0.3">
      <c r="A205" s="322">
        <v>150000777</v>
      </c>
      <c r="B205" s="42" t="s">
        <v>169</v>
      </c>
    </row>
    <row r="206" spans="1:2" x14ac:dyDescent="0.3">
      <c r="A206" s="322">
        <v>150000765</v>
      </c>
      <c r="B206" s="42" t="s">
        <v>265</v>
      </c>
    </row>
    <row r="207" spans="1:2" x14ac:dyDescent="0.3">
      <c r="A207" s="322">
        <v>150000683</v>
      </c>
      <c r="B207" s="42" t="s">
        <v>116</v>
      </c>
    </row>
    <row r="208" spans="1:2" x14ac:dyDescent="0.3">
      <c r="A208" s="322">
        <v>150000696</v>
      </c>
      <c r="B208" s="42" t="s">
        <v>371</v>
      </c>
    </row>
    <row r="209" spans="1:2" x14ac:dyDescent="0.3">
      <c r="A209" s="322">
        <v>150000697</v>
      </c>
      <c r="B209" s="42" t="s">
        <v>266</v>
      </c>
    </row>
    <row r="210" spans="1:2" x14ac:dyDescent="0.3">
      <c r="A210" s="322">
        <v>150000694</v>
      </c>
      <c r="B210" s="42" t="s">
        <v>372</v>
      </c>
    </row>
    <row r="211" spans="1:2" x14ac:dyDescent="0.3">
      <c r="A211" s="322">
        <v>150000695</v>
      </c>
      <c r="B211" s="42" t="s">
        <v>373</v>
      </c>
    </row>
    <row r="212" spans="1:2" x14ac:dyDescent="0.3">
      <c r="A212" s="322">
        <v>150000698</v>
      </c>
      <c r="B212" s="42" t="s">
        <v>121</v>
      </c>
    </row>
    <row r="213" spans="1:2" x14ac:dyDescent="0.3">
      <c r="A213" s="322">
        <v>150000699</v>
      </c>
      <c r="B213" s="42" t="s">
        <v>374</v>
      </c>
    </row>
    <row r="214" spans="1:2" x14ac:dyDescent="0.3">
      <c r="A214" s="322">
        <v>150000928</v>
      </c>
      <c r="B214" s="42" t="s">
        <v>170</v>
      </c>
    </row>
    <row r="215" spans="1:2" x14ac:dyDescent="0.3">
      <c r="A215" s="322">
        <v>150000951</v>
      </c>
      <c r="B215" s="42" t="s">
        <v>171</v>
      </c>
    </row>
    <row r="216" spans="1:2" x14ac:dyDescent="0.3">
      <c r="A216" s="322">
        <v>150000954</v>
      </c>
      <c r="B216" s="42" t="s">
        <v>172</v>
      </c>
    </row>
    <row r="217" spans="1:2" x14ac:dyDescent="0.3">
      <c r="A217" s="322">
        <v>150000929</v>
      </c>
      <c r="B217" s="42" t="s">
        <v>1034</v>
      </c>
    </row>
    <row r="218" spans="1:2" x14ac:dyDescent="0.3">
      <c r="A218" s="322">
        <v>150000930</v>
      </c>
      <c r="B218" s="42" t="s">
        <v>173</v>
      </c>
    </row>
    <row r="219" spans="1:2" x14ac:dyDescent="0.3">
      <c r="A219" s="322">
        <v>150000931</v>
      </c>
      <c r="B219" s="42" t="s">
        <v>267</v>
      </c>
    </row>
    <row r="220" spans="1:2" x14ac:dyDescent="0.3">
      <c r="A220" s="322">
        <v>150000932</v>
      </c>
      <c r="B220" s="42" t="s">
        <v>174</v>
      </c>
    </row>
    <row r="221" spans="1:2" x14ac:dyDescent="0.3">
      <c r="A221" s="322">
        <v>150000924</v>
      </c>
      <c r="B221" s="42" t="s">
        <v>175</v>
      </c>
    </row>
    <row r="222" spans="1:2" x14ac:dyDescent="0.3">
      <c r="A222" s="322">
        <v>150000933</v>
      </c>
      <c r="B222" s="42" t="s">
        <v>268</v>
      </c>
    </row>
    <row r="223" spans="1:2" x14ac:dyDescent="0.3">
      <c r="A223" s="322">
        <v>150000934</v>
      </c>
      <c r="B223" s="42" t="s">
        <v>216</v>
      </c>
    </row>
    <row r="224" spans="1:2" x14ac:dyDescent="0.3">
      <c r="A224" s="322">
        <v>150000935</v>
      </c>
      <c r="B224" s="42" t="s">
        <v>176</v>
      </c>
    </row>
    <row r="225" spans="1:2" x14ac:dyDescent="0.3">
      <c r="A225" s="322">
        <v>150000936</v>
      </c>
      <c r="B225" s="42" t="s">
        <v>122</v>
      </c>
    </row>
    <row r="226" spans="1:2" x14ac:dyDescent="0.3">
      <c r="A226" s="322">
        <v>150000937</v>
      </c>
      <c r="B226" s="42" t="s">
        <v>375</v>
      </c>
    </row>
    <row r="227" spans="1:2" x14ac:dyDescent="0.3">
      <c r="A227" s="322">
        <v>150000938</v>
      </c>
      <c r="B227" s="42" t="s">
        <v>376</v>
      </c>
    </row>
    <row r="228" spans="1:2" x14ac:dyDescent="0.3">
      <c r="A228" s="322">
        <v>150000925</v>
      </c>
      <c r="B228" s="42" t="s">
        <v>177</v>
      </c>
    </row>
    <row r="229" spans="1:2" x14ac:dyDescent="0.3">
      <c r="A229" s="322">
        <v>150000939</v>
      </c>
      <c r="B229" s="42" t="s">
        <v>337</v>
      </c>
    </row>
    <row r="230" spans="1:2" x14ac:dyDescent="0.3">
      <c r="A230" s="322">
        <v>150000926</v>
      </c>
      <c r="B230" s="42" t="s">
        <v>178</v>
      </c>
    </row>
    <row r="231" spans="1:2" x14ac:dyDescent="0.3">
      <c r="A231" s="322">
        <v>150000940</v>
      </c>
      <c r="B231" s="42" t="s">
        <v>377</v>
      </c>
    </row>
    <row r="232" spans="1:2" x14ac:dyDescent="0.3">
      <c r="A232" s="322">
        <v>150000941</v>
      </c>
      <c r="B232" s="42" t="s">
        <v>338</v>
      </c>
    </row>
    <row r="233" spans="1:2" x14ac:dyDescent="0.3">
      <c r="A233" s="322">
        <v>150000957</v>
      </c>
      <c r="B233" s="42" t="s">
        <v>378</v>
      </c>
    </row>
    <row r="234" spans="1:2" x14ac:dyDescent="0.3">
      <c r="A234" s="322">
        <v>150000960</v>
      </c>
      <c r="B234" s="42" t="s">
        <v>379</v>
      </c>
    </row>
    <row r="235" spans="1:2" x14ac:dyDescent="0.3">
      <c r="A235" s="322">
        <v>150000963</v>
      </c>
      <c r="B235" s="42" t="s">
        <v>380</v>
      </c>
    </row>
    <row r="236" spans="1:2" x14ac:dyDescent="0.3">
      <c r="A236" s="322">
        <v>150000927</v>
      </c>
      <c r="B236" s="42" t="s">
        <v>179</v>
      </c>
    </row>
    <row r="237" spans="1:2" x14ac:dyDescent="0.3">
      <c r="A237" s="322">
        <v>150000958</v>
      </c>
      <c r="B237" s="42" t="s">
        <v>381</v>
      </c>
    </row>
    <row r="238" spans="1:2" x14ac:dyDescent="0.3">
      <c r="A238" s="322">
        <v>150000961</v>
      </c>
      <c r="B238" s="42" t="s">
        <v>382</v>
      </c>
    </row>
    <row r="239" spans="1:2" x14ac:dyDescent="0.3">
      <c r="A239" s="322">
        <v>150000964</v>
      </c>
      <c r="B239" s="42" t="s">
        <v>383</v>
      </c>
    </row>
    <row r="240" spans="1:2" x14ac:dyDescent="0.3">
      <c r="A240" s="322">
        <v>150000943</v>
      </c>
      <c r="B240" s="42" t="s">
        <v>123</v>
      </c>
    </row>
    <row r="241" spans="1:2" x14ac:dyDescent="0.3">
      <c r="A241" s="322">
        <v>150000944</v>
      </c>
      <c r="B241" s="42" t="s">
        <v>124</v>
      </c>
    </row>
    <row r="242" spans="1:2" x14ac:dyDescent="0.3">
      <c r="A242" s="322">
        <v>150000945</v>
      </c>
      <c r="B242" s="42" t="s">
        <v>422</v>
      </c>
    </row>
    <row r="243" spans="1:2" x14ac:dyDescent="0.3">
      <c r="A243" s="322">
        <v>150000946</v>
      </c>
      <c r="B243" s="42" t="s">
        <v>125</v>
      </c>
    </row>
    <row r="244" spans="1:2" x14ac:dyDescent="0.3">
      <c r="A244" s="322">
        <v>150000947</v>
      </c>
      <c r="B244" s="42" t="s">
        <v>269</v>
      </c>
    </row>
    <row r="245" spans="1:2" x14ac:dyDescent="0.3">
      <c r="A245" s="322">
        <v>150000948</v>
      </c>
      <c r="B245" s="42" t="s">
        <v>384</v>
      </c>
    </row>
    <row r="246" spans="1:2" x14ac:dyDescent="0.3">
      <c r="A246" s="322">
        <v>150000949</v>
      </c>
      <c r="B246" s="42" t="s">
        <v>385</v>
      </c>
    </row>
    <row r="247" spans="1:2" x14ac:dyDescent="0.3">
      <c r="A247" s="322">
        <v>150001044</v>
      </c>
      <c r="B247" s="42" t="s">
        <v>270</v>
      </c>
    </row>
    <row r="248" spans="1:2" x14ac:dyDescent="0.3">
      <c r="A248" s="322">
        <v>150001050</v>
      </c>
      <c r="B248" s="42" t="s">
        <v>271</v>
      </c>
    </row>
    <row r="249" spans="1:2" x14ac:dyDescent="0.3">
      <c r="A249" s="322">
        <v>150001045</v>
      </c>
      <c r="B249" s="42" t="s">
        <v>272</v>
      </c>
    </row>
    <row r="250" spans="1:2" x14ac:dyDescent="0.3">
      <c r="A250" s="322">
        <v>150001046</v>
      </c>
      <c r="B250" s="42" t="s">
        <v>273</v>
      </c>
    </row>
    <row r="251" spans="1:2" x14ac:dyDescent="0.3">
      <c r="A251" s="322">
        <v>150001040</v>
      </c>
      <c r="B251" s="42" t="s">
        <v>217</v>
      </c>
    </row>
    <row r="252" spans="1:2" x14ac:dyDescent="0.3">
      <c r="A252" s="322">
        <v>150001047</v>
      </c>
      <c r="B252" s="42" t="s">
        <v>180</v>
      </c>
    </row>
    <row r="253" spans="1:2" x14ac:dyDescent="0.3">
      <c r="A253" s="322">
        <v>150001048</v>
      </c>
      <c r="B253" s="42" t="s">
        <v>126</v>
      </c>
    </row>
    <row r="254" spans="1:2" x14ac:dyDescent="0.3">
      <c r="A254" s="322">
        <v>150001049</v>
      </c>
      <c r="B254" s="42" t="s">
        <v>181</v>
      </c>
    </row>
    <row r="255" spans="1:2" x14ac:dyDescent="0.3">
      <c r="A255" s="322">
        <v>150001041</v>
      </c>
      <c r="B255" s="42" t="s">
        <v>197</v>
      </c>
    </row>
    <row r="256" spans="1:2" x14ac:dyDescent="0.3">
      <c r="A256" s="322">
        <v>150001042</v>
      </c>
      <c r="B256" s="42" t="s">
        <v>182</v>
      </c>
    </row>
    <row r="257" spans="1:2" x14ac:dyDescent="0.3">
      <c r="A257" s="322">
        <v>150001043</v>
      </c>
      <c r="B257" s="42" t="s">
        <v>218</v>
      </c>
    </row>
    <row r="258" spans="1:2" x14ac:dyDescent="0.3">
      <c r="A258" s="322">
        <v>150000672</v>
      </c>
      <c r="B258" s="43" t="s">
        <v>429</v>
      </c>
    </row>
    <row r="259" spans="1:2" x14ac:dyDescent="0.3">
      <c r="A259" s="322">
        <v>150000673</v>
      </c>
      <c r="B259" s="42" t="s">
        <v>183</v>
      </c>
    </row>
    <row r="260" spans="1:2" x14ac:dyDescent="0.3">
      <c r="A260" s="322">
        <v>150000670</v>
      </c>
      <c r="B260" s="42" t="s">
        <v>127</v>
      </c>
    </row>
    <row r="261" spans="1:2" x14ac:dyDescent="0.3">
      <c r="A261" s="322">
        <v>150000676</v>
      </c>
      <c r="B261" s="42" t="s">
        <v>386</v>
      </c>
    </row>
    <row r="262" spans="1:2" x14ac:dyDescent="0.3">
      <c r="A262" s="322">
        <v>150000671</v>
      </c>
      <c r="B262" s="42" t="s">
        <v>128</v>
      </c>
    </row>
    <row r="263" spans="1:2" x14ac:dyDescent="0.3">
      <c r="A263" s="322">
        <v>150000726</v>
      </c>
      <c r="B263" s="42" t="s">
        <v>184</v>
      </c>
    </row>
    <row r="264" spans="1:2" x14ac:dyDescent="0.3">
      <c r="A264" s="322">
        <v>150000727</v>
      </c>
      <c r="B264" s="42" t="s">
        <v>129</v>
      </c>
    </row>
    <row r="265" spans="1:2" x14ac:dyDescent="0.3">
      <c r="A265" s="322">
        <v>150000728</v>
      </c>
      <c r="B265" s="42" t="s">
        <v>185</v>
      </c>
    </row>
    <row r="266" spans="1:2" x14ac:dyDescent="0.3">
      <c r="A266" s="322">
        <v>150000729</v>
      </c>
      <c r="B266" s="42" t="s">
        <v>274</v>
      </c>
    </row>
    <row r="267" spans="1:2" x14ac:dyDescent="0.3">
      <c r="A267" s="322">
        <v>150000721</v>
      </c>
      <c r="B267" s="42" t="s">
        <v>219</v>
      </c>
    </row>
    <row r="268" spans="1:2" x14ac:dyDescent="0.3">
      <c r="A268" s="322">
        <v>150000722</v>
      </c>
      <c r="B268" s="42" t="s">
        <v>275</v>
      </c>
    </row>
    <row r="269" spans="1:2" x14ac:dyDescent="0.3">
      <c r="A269" s="322">
        <v>150000723</v>
      </c>
      <c r="B269" s="42" t="s">
        <v>276</v>
      </c>
    </row>
    <row r="270" spans="1:2" x14ac:dyDescent="0.3">
      <c r="A270" s="322">
        <v>150000724</v>
      </c>
      <c r="B270" s="42" t="s">
        <v>277</v>
      </c>
    </row>
    <row r="271" spans="1:2" x14ac:dyDescent="0.3">
      <c r="A271" s="322">
        <v>150000725</v>
      </c>
      <c r="B271" s="42" t="s">
        <v>278</v>
      </c>
    </row>
    <row r="272" spans="1:2" x14ac:dyDescent="0.3">
      <c r="A272" s="322">
        <v>150000710</v>
      </c>
      <c r="B272" s="42" t="s">
        <v>279</v>
      </c>
    </row>
    <row r="273" spans="1:2" x14ac:dyDescent="0.3">
      <c r="A273" s="322">
        <v>150000711</v>
      </c>
      <c r="B273" s="42" t="s">
        <v>280</v>
      </c>
    </row>
    <row r="274" spans="1:2" x14ac:dyDescent="0.3">
      <c r="A274" s="322">
        <v>150000712</v>
      </c>
      <c r="B274" s="42" t="s">
        <v>281</v>
      </c>
    </row>
    <row r="275" spans="1:2" x14ac:dyDescent="0.3">
      <c r="A275" s="322">
        <v>150000713</v>
      </c>
      <c r="B275" s="42" t="s">
        <v>282</v>
      </c>
    </row>
    <row r="276" spans="1:2" x14ac:dyDescent="0.3">
      <c r="A276" s="322">
        <v>150000714</v>
      </c>
      <c r="B276" s="42" t="s">
        <v>283</v>
      </c>
    </row>
    <row r="277" spans="1:2" x14ac:dyDescent="0.3">
      <c r="A277" s="322">
        <v>150000715</v>
      </c>
      <c r="B277" s="42" t="s">
        <v>284</v>
      </c>
    </row>
    <row r="278" spans="1:2" x14ac:dyDescent="0.3">
      <c r="A278" s="322">
        <v>150000719</v>
      </c>
      <c r="B278" s="42" t="s">
        <v>285</v>
      </c>
    </row>
    <row r="279" spans="1:2" x14ac:dyDescent="0.3">
      <c r="A279" s="322">
        <v>150000716</v>
      </c>
      <c r="B279" s="42" t="s">
        <v>286</v>
      </c>
    </row>
    <row r="280" spans="1:2" x14ac:dyDescent="0.3">
      <c r="A280" s="322">
        <v>150000717</v>
      </c>
      <c r="B280" s="42" t="s">
        <v>287</v>
      </c>
    </row>
    <row r="281" spans="1:2" x14ac:dyDescent="0.3">
      <c r="A281" s="322">
        <v>150000718</v>
      </c>
      <c r="B281" s="42" t="s">
        <v>288</v>
      </c>
    </row>
    <row r="282" spans="1:2" x14ac:dyDescent="0.3">
      <c r="A282" s="322">
        <v>150000720</v>
      </c>
      <c r="B282" s="42" t="s">
        <v>289</v>
      </c>
    </row>
    <row r="283" spans="1:2" x14ac:dyDescent="0.3">
      <c r="A283" s="322">
        <v>150000750</v>
      </c>
      <c r="B283" s="42" t="s">
        <v>130</v>
      </c>
    </row>
    <row r="284" spans="1:2" x14ac:dyDescent="0.3">
      <c r="A284" s="322">
        <v>150000751</v>
      </c>
      <c r="B284" s="42" t="s">
        <v>131</v>
      </c>
    </row>
    <row r="285" spans="1:2" x14ac:dyDescent="0.3">
      <c r="A285" s="322">
        <v>150000752</v>
      </c>
      <c r="B285" s="42" t="s">
        <v>387</v>
      </c>
    </row>
    <row r="286" spans="1:2" x14ac:dyDescent="0.3">
      <c r="A286" s="322">
        <v>150000760</v>
      </c>
      <c r="B286" s="42" t="s">
        <v>388</v>
      </c>
    </row>
    <row r="287" spans="1:2" x14ac:dyDescent="0.3">
      <c r="A287" s="322">
        <v>150000758</v>
      </c>
      <c r="B287" s="42" t="s">
        <v>389</v>
      </c>
    </row>
    <row r="288" spans="1:2" x14ac:dyDescent="0.3">
      <c r="A288" s="322">
        <v>150000759</v>
      </c>
      <c r="B288" s="42" t="s">
        <v>390</v>
      </c>
    </row>
    <row r="289" spans="1:2" x14ac:dyDescent="0.3">
      <c r="A289" s="322">
        <v>150000761</v>
      </c>
      <c r="B289" s="42" t="s">
        <v>391</v>
      </c>
    </row>
    <row r="290" spans="1:2" x14ac:dyDescent="0.3">
      <c r="A290" s="322">
        <v>150000762</v>
      </c>
      <c r="B290" s="42" t="s">
        <v>392</v>
      </c>
    </row>
    <row r="291" spans="1:2" x14ac:dyDescent="0.3">
      <c r="A291" s="322">
        <v>150000638</v>
      </c>
      <c r="B291" s="42" t="s">
        <v>132</v>
      </c>
    </row>
    <row r="292" spans="1:2" x14ac:dyDescent="0.3">
      <c r="A292" s="322">
        <v>150000639</v>
      </c>
      <c r="B292" s="42" t="s">
        <v>133</v>
      </c>
    </row>
    <row r="293" spans="1:2" x14ac:dyDescent="0.3">
      <c r="A293" s="322">
        <v>150000736</v>
      </c>
      <c r="B293" s="42" t="s">
        <v>220</v>
      </c>
    </row>
    <row r="294" spans="1:2" x14ac:dyDescent="0.3">
      <c r="A294" s="322">
        <v>150000743</v>
      </c>
      <c r="B294" s="42" t="s">
        <v>221</v>
      </c>
    </row>
    <row r="295" spans="1:2" x14ac:dyDescent="0.3">
      <c r="A295" s="322">
        <v>150000737</v>
      </c>
      <c r="B295" s="42" t="s">
        <v>222</v>
      </c>
    </row>
    <row r="296" spans="1:2" x14ac:dyDescent="0.3">
      <c r="A296" s="322">
        <v>150000738</v>
      </c>
      <c r="B296" s="42" t="s">
        <v>290</v>
      </c>
    </row>
    <row r="297" spans="1:2" x14ac:dyDescent="0.3">
      <c r="A297" s="322">
        <v>150000739</v>
      </c>
      <c r="B297" s="42" t="s">
        <v>223</v>
      </c>
    </row>
    <row r="298" spans="1:2" x14ac:dyDescent="0.3">
      <c r="A298" s="322">
        <v>150000740</v>
      </c>
      <c r="B298" s="42" t="s">
        <v>198</v>
      </c>
    </row>
    <row r="299" spans="1:2" x14ac:dyDescent="0.3">
      <c r="A299" s="322">
        <v>150000744</v>
      </c>
      <c r="B299" s="42" t="s">
        <v>224</v>
      </c>
    </row>
    <row r="300" spans="1:2" x14ac:dyDescent="0.3">
      <c r="A300" s="322">
        <v>150000741</v>
      </c>
      <c r="B300" s="42" t="s">
        <v>225</v>
      </c>
    </row>
    <row r="301" spans="1:2" x14ac:dyDescent="0.3">
      <c r="A301" s="322">
        <v>150000742</v>
      </c>
      <c r="B301" s="42" t="s">
        <v>291</v>
      </c>
    </row>
    <row r="302" spans="1:2" x14ac:dyDescent="0.3">
      <c r="A302" s="322">
        <v>150000745</v>
      </c>
      <c r="B302" s="42" t="s">
        <v>134</v>
      </c>
    </row>
    <row r="303" spans="1:2" ht="22.8" x14ac:dyDescent="0.3">
      <c r="A303" s="322">
        <v>150001094</v>
      </c>
      <c r="B303" s="42" t="s">
        <v>186</v>
      </c>
    </row>
    <row r="304" spans="1:2" x14ac:dyDescent="0.3">
      <c r="A304" s="322">
        <v>150000851</v>
      </c>
      <c r="B304" s="42" t="s">
        <v>135</v>
      </c>
    </row>
    <row r="305" spans="1:2" x14ac:dyDescent="0.3">
      <c r="A305" s="322">
        <v>150000795</v>
      </c>
      <c r="B305" s="42" t="s">
        <v>292</v>
      </c>
    </row>
    <row r="306" spans="1:2" x14ac:dyDescent="0.3">
      <c r="A306" s="322">
        <v>150000832</v>
      </c>
      <c r="B306" s="42" t="s">
        <v>423</v>
      </c>
    </row>
    <row r="307" spans="1:2" x14ac:dyDescent="0.3">
      <c r="A307" s="322">
        <v>150000833</v>
      </c>
      <c r="B307" s="42" t="s">
        <v>393</v>
      </c>
    </row>
    <row r="308" spans="1:2" x14ac:dyDescent="0.3">
      <c r="A308" s="322">
        <v>150000836</v>
      </c>
      <c r="B308" s="42" t="s">
        <v>199</v>
      </c>
    </row>
    <row r="309" spans="1:2" x14ac:dyDescent="0.3">
      <c r="A309" s="322">
        <v>150000837</v>
      </c>
      <c r="B309" s="42" t="s">
        <v>200</v>
      </c>
    </row>
    <row r="310" spans="1:2" x14ac:dyDescent="0.3">
      <c r="A310" s="322">
        <v>150000839</v>
      </c>
      <c r="B310" s="42" t="s">
        <v>136</v>
      </c>
    </row>
    <row r="311" spans="1:2" x14ac:dyDescent="0.3">
      <c r="A311" s="322">
        <v>150000840</v>
      </c>
      <c r="B311" s="42" t="s">
        <v>394</v>
      </c>
    </row>
    <row r="312" spans="1:2" x14ac:dyDescent="0.3">
      <c r="A312" s="322">
        <v>150000841</v>
      </c>
      <c r="B312" s="42" t="s">
        <v>137</v>
      </c>
    </row>
    <row r="313" spans="1:2" x14ac:dyDescent="0.3">
      <c r="A313" s="322">
        <v>150000848</v>
      </c>
      <c r="B313" s="42" t="s">
        <v>187</v>
      </c>
    </row>
    <row r="314" spans="1:2" x14ac:dyDescent="0.3">
      <c r="A314" s="322">
        <v>150000835</v>
      </c>
      <c r="B314" s="42" t="s">
        <v>138</v>
      </c>
    </row>
    <row r="315" spans="1:2" x14ac:dyDescent="0.3">
      <c r="A315" s="322">
        <v>150000845</v>
      </c>
      <c r="B315" s="42" t="s">
        <v>139</v>
      </c>
    </row>
    <row r="316" spans="1:2" x14ac:dyDescent="0.3">
      <c r="A316" s="322">
        <v>150000846</v>
      </c>
      <c r="B316" s="42" t="s">
        <v>140</v>
      </c>
    </row>
    <row r="317" spans="1:2" x14ac:dyDescent="0.3">
      <c r="A317" s="322">
        <v>150000798</v>
      </c>
      <c r="B317" s="42" t="s">
        <v>226</v>
      </c>
    </row>
    <row r="318" spans="1:2" x14ac:dyDescent="0.3">
      <c r="A318" s="322">
        <v>150000819</v>
      </c>
      <c r="B318" s="42" t="s">
        <v>424</v>
      </c>
    </row>
    <row r="319" spans="1:2" x14ac:dyDescent="0.3">
      <c r="A319" s="322">
        <v>150000820</v>
      </c>
      <c r="B319" s="42" t="s">
        <v>395</v>
      </c>
    </row>
    <row r="320" spans="1:2" x14ac:dyDescent="0.3">
      <c r="A320" s="322">
        <v>150000799</v>
      </c>
      <c r="B320" s="42" t="s">
        <v>293</v>
      </c>
    </row>
    <row r="321" spans="1:2" x14ac:dyDescent="0.3">
      <c r="A321" s="322">
        <v>150000821</v>
      </c>
      <c r="B321" s="42" t="s">
        <v>396</v>
      </c>
    </row>
    <row r="322" spans="1:2" x14ac:dyDescent="0.3">
      <c r="A322" s="322">
        <v>150000830</v>
      </c>
      <c r="B322" s="42" t="s">
        <v>294</v>
      </c>
    </row>
    <row r="323" spans="1:2" x14ac:dyDescent="0.3">
      <c r="A323" s="322">
        <v>150000800</v>
      </c>
      <c r="B323" s="42" t="s">
        <v>227</v>
      </c>
    </row>
    <row r="324" spans="1:2" x14ac:dyDescent="0.3">
      <c r="A324" s="322">
        <v>150000801</v>
      </c>
      <c r="B324" s="42" t="s">
        <v>295</v>
      </c>
    </row>
    <row r="325" spans="1:2" x14ac:dyDescent="0.3">
      <c r="A325" s="322">
        <v>150000802</v>
      </c>
      <c r="B325" s="42" t="s">
        <v>296</v>
      </c>
    </row>
    <row r="326" spans="1:2" x14ac:dyDescent="0.3">
      <c r="A326" s="322">
        <v>150000803</v>
      </c>
      <c r="B326" s="42" t="s">
        <v>228</v>
      </c>
    </row>
    <row r="327" spans="1:2" x14ac:dyDescent="0.3">
      <c r="A327" s="322">
        <v>150000805</v>
      </c>
      <c r="B327" s="42" t="s">
        <v>297</v>
      </c>
    </row>
    <row r="328" spans="1:2" x14ac:dyDescent="0.3">
      <c r="A328" s="322">
        <v>150000806</v>
      </c>
      <c r="B328" s="42" t="s">
        <v>229</v>
      </c>
    </row>
    <row r="329" spans="1:2" x14ac:dyDescent="0.3">
      <c r="A329" s="322">
        <v>150000807</v>
      </c>
      <c r="B329" s="42" t="s">
        <v>188</v>
      </c>
    </row>
    <row r="330" spans="1:2" x14ac:dyDescent="0.3">
      <c r="A330" s="322">
        <v>150000808</v>
      </c>
      <c r="B330" s="42" t="s">
        <v>298</v>
      </c>
    </row>
    <row r="331" spans="1:2" x14ac:dyDescent="0.3">
      <c r="A331" s="322">
        <v>150000827</v>
      </c>
      <c r="B331" s="42" t="s">
        <v>299</v>
      </c>
    </row>
    <row r="332" spans="1:2" x14ac:dyDescent="0.3">
      <c r="A332" s="322">
        <v>150000809</v>
      </c>
      <c r="B332" s="42" t="s">
        <v>300</v>
      </c>
    </row>
    <row r="333" spans="1:2" x14ac:dyDescent="0.3">
      <c r="A333" s="322">
        <v>150000810</v>
      </c>
      <c r="B333" s="42" t="s">
        <v>301</v>
      </c>
    </row>
    <row r="334" spans="1:2" x14ac:dyDescent="0.3">
      <c r="A334" s="322">
        <v>150000811</v>
      </c>
      <c r="B334" s="42" t="s">
        <v>302</v>
      </c>
    </row>
    <row r="335" spans="1:2" x14ac:dyDescent="0.3">
      <c r="A335" s="322">
        <v>150000812</v>
      </c>
      <c r="B335" s="42" t="s">
        <v>303</v>
      </c>
    </row>
    <row r="336" spans="1:2" x14ac:dyDescent="0.3">
      <c r="A336" s="322">
        <v>150000828</v>
      </c>
      <c r="B336" s="42" t="s">
        <v>304</v>
      </c>
    </row>
    <row r="337" spans="1:2" x14ac:dyDescent="0.3">
      <c r="A337" s="322">
        <v>150000813</v>
      </c>
      <c r="B337" s="42" t="s">
        <v>189</v>
      </c>
    </row>
    <row r="338" spans="1:2" x14ac:dyDescent="0.3">
      <c r="A338" s="322">
        <v>150000814</v>
      </c>
      <c r="B338" s="42" t="s">
        <v>305</v>
      </c>
    </row>
    <row r="339" spans="1:2" x14ac:dyDescent="0.3">
      <c r="A339" s="322">
        <v>150000816</v>
      </c>
      <c r="B339" s="42" t="s">
        <v>230</v>
      </c>
    </row>
    <row r="340" spans="1:2" x14ac:dyDescent="0.3">
      <c r="A340" s="322">
        <v>150000829</v>
      </c>
      <c r="B340" s="42" t="s">
        <v>231</v>
      </c>
    </row>
    <row r="341" spans="1:2" x14ac:dyDescent="0.3">
      <c r="A341" s="322">
        <v>150000797</v>
      </c>
      <c r="B341" s="42" t="s">
        <v>232</v>
      </c>
    </row>
    <row r="342" spans="1:2" x14ac:dyDescent="0.3">
      <c r="A342" s="322">
        <v>150000705</v>
      </c>
      <c r="B342" s="42" t="s">
        <v>142</v>
      </c>
    </row>
    <row r="343" spans="1:2" x14ac:dyDescent="0.3">
      <c r="A343" s="322">
        <v>150000709</v>
      </c>
      <c r="B343" s="42" t="s">
        <v>143</v>
      </c>
    </row>
    <row r="344" spans="1:2" x14ac:dyDescent="0.3">
      <c r="A344" s="322">
        <v>150000706</v>
      </c>
      <c r="B344" s="42" t="s">
        <v>144</v>
      </c>
    </row>
    <row r="345" spans="1:2" x14ac:dyDescent="0.3">
      <c r="A345" s="322">
        <v>150000707</v>
      </c>
      <c r="B345" s="42" t="s">
        <v>145</v>
      </c>
    </row>
    <row r="346" spans="1:2" x14ac:dyDescent="0.3">
      <c r="A346" s="322">
        <v>150000708</v>
      </c>
      <c r="B346" s="42" t="s">
        <v>146</v>
      </c>
    </row>
    <row r="347" spans="1:2" x14ac:dyDescent="0.3">
      <c r="A347" s="322">
        <v>150000591</v>
      </c>
      <c r="B347" s="42" t="s">
        <v>192</v>
      </c>
    </row>
    <row r="348" spans="1:2" x14ac:dyDescent="0.3">
      <c r="A348" s="322">
        <v>150000861</v>
      </c>
      <c r="B348" s="42" t="s">
        <v>233</v>
      </c>
    </row>
    <row r="349" spans="1:2" x14ac:dyDescent="0.3">
      <c r="A349" s="322">
        <v>150000872</v>
      </c>
      <c r="B349" s="42" t="s">
        <v>234</v>
      </c>
    </row>
    <row r="350" spans="1:2" x14ac:dyDescent="0.3">
      <c r="A350" s="322">
        <v>150000862</v>
      </c>
      <c r="B350" s="42" t="s">
        <v>235</v>
      </c>
    </row>
    <row r="351" spans="1:2" x14ac:dyDescent="0.3">
      <c r="A351" s="322">
        <v>150000863</v>
      </c>
      <c r="B351" s="42" t="s">
        <v>236</v>
      </c>
    </row>
    <row r="352" spans="1:2" x14ac:dyDescent="0.3">
      <c r="A352" s="322">
        <v>150000864</v>
      </c>
      <c r="B352" s="42" t="s">
        <v>201</v>
      </c>
    </row>
    <row r="353" spans="1:2" x14ac:dyDescent="0.3">
      <c r="A353" s="322">
        <v>150000865</v>
      </c>
      <c r="B353" s="42" t="s">
        <v>306</v>
      </c>
    </row>
    <row r="354" spans="1:2" x14ac:dyDescent="0.3">
      <c r="A354" s="322">
        <v>150000873</v>
      </c>
      <c r="B354" s="42" t="s">
        <v>307</v>
      </c>
    </row>
    <row r="355" spans="1:2" x14ac:dyDescent="0.3">
      <c r="A355" s="322">
        <v>150000874</v>
      </c>
      <c r="B355" s="42" t="s">
        <v>308</v>
      </c>
    </row>
    <row r="356" spans="1:2" x14ac:dyDescent="0.3">
      <c r="A356" s="322">
        <v>150000866</v>
      </c>
      <c r="B356" s="42" t="s">
        <v>309</v>
      </c>
    </row>
    <row r="357" spans="1:2" x14ac:dyDescent="0.3">
      <c r="A357" s="322">
        <v>150000867</v>
      </c>
      <c r="B357" s="42" t="s">
        <v>310</v>
      </c>
    </row>
    <row r="358" spans="1:2" x14ac:dyDescent="0.3">
      <c r="A358" s="322">
        <v>150000868</v>
      </c>
      <c r="B358" s="42" t="s">
        <v>311</v>
      </c>
    </row>
    <row r="359" spans="1:2" x14ac:dyDescent="0.3">
      <c r="A359" s="322">
        <v>150000869</v>
      </c>
      <c r="B359" s="42" t="s">
        <v>312</v>
      </c>
    </row>
    <row r="360" spans="1:2" x14ac:dyDescent="0.3">
      <c r="A360" s="322">
        <v>150000875</v>
      </c>
      <c r="B360" s="42" t="s">
        <v>313</v>
      </c>
    </row>
    <row r="361" spans="1:2" x14ac:dyDescent="0.3">
      <c r="A361" s="322">
        <v>150000871</v>
      </c>
      <c r="B361" s="42" t="s">
        <v>141</v>
      </c>
    </row>
    <row r="362" spans="1:2" x14ac:dyDescent="0.3">
      <c r="A362" s="322">
        <v>150000886</v>
      </c>
      <c r="B362" s="42" t="s">
        <v>397</v>
      </c>
    </row>
    <row r="363" spans="1:2" x14ac:dyDescent="0.3">
      <c r="A363" s="322">
        <v>150000887</v>
      </c>
      <c r="B363" s="42" t="s">
        <v>398</v>
      </c>
    </row>
    <row r="364" spans="1:2" x14ac:dyDescent="0.3">
      <c r="A364" s="322">
        <v>150000888</v>
      </c>
      <c r="B364" s="42" t="s">
        <v>314</v>
      </c>
    </row>
    <row r="365" spans="1:2" x14ac:dyDescent="0.3">
      <c r="A365" s="322">
        <v>150000889</v>
      </c>
      <c r="B365" s="42" t="s">
        <v>428</v>
      </c>
    </row>
    <row r="366" spans="1:2" x14ac:dyDescent="0.3">
      <c r="A366" s="322">
        <v>150000890</v>
      </c>
      <c r="B366" s="42" t="s">
        <v>399</v>
      </c>
    </row>
    <row r="367" spans="1:2" x14ac:dyDescent="0.3">
      <c r="A367" s="322">
        <v>150000891</v>
      </c>
      <c r="B367" s="42" t="s">
        <v>190</v>
      </c>
    </row>
    <row r="368" spans="1:2" x14ac:dyDescent="0.3">
      <c r="A368" s="322">
        <v>150001561</v>
      </c>
      <c r="B368" s="42" t="s">
        <v>400</v>
      </c>
    </row>
    <row r="369" spans="1:2" x14ac:dyDescent="0.3">
      <c r="A369" s="322">
        <v>150000892</v>
      </c>
      <c r="B369" s="42" t="s">
        <v>401</v>
      </c>
    </row>
    <row r="370" spans="1:2" x14ac:dyDescent="0.3">
      <c r="A370" s="322">
        <v>150000893</v>
      </c>
      <c r="B370" s="42" t="s">
        <v>315</v>
      </c>
    </row>
    <row r="371" spans="1:2" x14ac:dyDescent="0.3">
      <c r="A371" s="322">
        <v>150000894</v>
      </c>
      <c r="B371" s="42" t="s">
        <v>316</v>
      </c>
    </row>
    <row r="372" spans="1:2" x14ac:dyDescent="0.3">
      <c r="A372" s="322">
        <v>150000895</v>
      </c>
      <c r="B372" s="42" t="s">
        <v>317</v>
      </c>
    </row>
    <row r="373" spans="1:2" x14ac:dyDescent="0.3">
      <c r="A373" s="322">
        <v>150000922</v>
      </c>
      <c r="B373" s="42" t="s">
        <v>402</v>
      </c>
    </row>
    <row r="374" spans="1:2" x14ac:dyDescent="0.3">
      <c r="A374" s="322">
        <v>150000896</v>
      </c>
      <c r="B374" s="42" t="s">
        <v>318</v>
      </c>
    </row>
    <row r="375" spans="1:2" x14ac:dyDescent="0.3">
      <c r="A375" s="322">
        <v>150000898</v>
      </c>
      <c r="B375" s="42" t="s">
        <v>191</v>
      </c>
    </row>
    <row r="376" spans="1:2" x14ac:dyDescent="0.3">
      <c r="A376" s="322">
        <v>150000899</v>
      </c>
      <c r="B376" s="42" t="s">
        <v>403</v>
      </c>
    </row>
    <row r="377" spans="1:2" x14ac:dyDescent="0.3">
      <c r="A377" s="322">
        <v>150000900</v>
      </c>
      <c r="B377" s="42" t="s">
        <v>426</v>
      </c>
    </row>
    <row r="378" spans="1:2" x14ac:dyDescent="0.3">
      <c r="A378" s="322">
        <v>150000901</v>
      </c>
      <c r="B378" s="42" t="s">
        <v>425</v>
      </c>
    </row>
    <row r="379" spans="1:2" x14ac:dyDescent="0.3">
      <c r="A379" s="322">
        <v>150000902</v>
      </c>
      <c r="B379" s="42" t="s">
        <v>404</v>
      </c>
    </row>
    <row r="380" spans="1:2" x14ac:dyDescent="0.3">
      <c r="A380" s="322">
        <v>150000903</v>
      </c>
      <c r="B380" s="42" t="s">
        <v>405</v>
      </c>
    </row>
    <row r="381" spans="1:2" x14ac:dyDescent="0.3">
      <c r="A381" s="322">
        <v>150000904</v>
      </c>
      <c r="B381" s="42" t="s">
        <v>406</v>
      </c>
    </row>
    <row r="382" spans="1:2" x14ac:dyDescent="0.3">
      <c r="A382" s="322">
        <v>150000905</v>
      </c>
      <c r="B382" s="42" t="s">
        <v>427</v>
      </c>
    </row>
    <row r="383" spans="1:2" x14ac:dyDescent="0.3">
      <c r="A383" s="322">
        <v>150000906</v>
      </c>
      <c r="B383" s="42" t="s">
        <v>407</v>
      </c>
    </row>
    <row r="384" spans="1:2" x14ac:dyDescent="0.3">
      <c r="A384" s="322">
        <v>150000907</v>
      </c>
      <c r="B384" s="42" t="s">
        <v>408</v>
      </c>
    </row>
    <row r="385" spans="1:2" x14ac:dyDescent="0.3">
      <c r="A385" s="322">
        <v>150000908</v>
      </c>
      <c r="B385" s="42" t="s">
        <v>409</v>
      </c>
    </row>
    <row r="386" spans="1:2" x14ac:dyDescent="0.3">
      <c r="A386" s="322">
        <v>150000909</v>
      </c>
      <c r="B386" s="42" t="s">
        <v>410</v>
      </c>
    </row>
    <row r="387" spans="1:2" x14ac:dyDescent="0.3">
      <c r="A387" s="322">
        <v>150000910</v>
      </c>
      <c r="B387" s="42" t="s">
        <v>411</v>
      </c>
    </row>
    <row r="388" spans="1:2" x14ac:dyDescent="0.3">
      <c r="A388" s="322">
        <v>150000911</v>
      </c>
      <c r="B388" s="42" t="s">
        <v>319</v>
      </c>
    </row>
    <row r="389" spans="1:2" x14ac:dyDescent="0.3">
      <c r="A389" s="322">
        <v>150000912</v>
      </c>
      <c r="B389" s="42" t="s">
        <v>320</v>
      </c>
    </row>
    <row r="390" spans="1:2" x14ac:dyDescent="0.3">
      <c r="A390" s="322">
        <v>150000913</v>
      </c>
      <c r="B390" s="42" t="s">
        <v>321</v>
      </c>
    </row>
    <row r="391" spans="1:2" x14ac:dyDescent="0.3">
      <c r="A391" s="322">
        <v>150000914</v>
      </c>
      <c r="B391" s="42" t="s">
        <v>322</v>
      </c>
    </row>
    <row r="392" spans="1:2" x14ac:dyDescent="0.3">
      <c r="A392" s="322">
        <v>150000915</v>
      </c>
      <c r="B392" s="42" t="s">
        <v>323</v>
      </c>
    </row>
    <row r="393" spans="1:2" x14ac:dyDescent="0.3">
      <c r="A393" s="322">
        <v>150000916</v>
      </c>
      <c r="B393" s="42" t="s">
        <v>324</v>
      </c>
    </row>
    <row r="394" spans="1:2" x14ac:dyDescent="0.3">
      <c r="A394" s="322">
        <v>150000917</v>
      </c>
      <c r="B394" s="42" t="s">
        <v>325</v>
      </c>
    </row>
    <row r="395" spans="1:2" x14ac:dyDescent="0.3">
      <c r="A395" s="322">
        <v>150000918</v>
      </c>
      <c r="B395" s="42" t="s">
        <v>326</v>
      </c>
    </row>
    <row r="396" spans="1:2" x14ac:dyDescent="0.3">
      <c r="A396" s="322">
        <v>150000919</v>
      </c>
      <c r="B396" s="42" t="s">
        <v>327</v>
      </c>
    </row>
    <row r="397" spans="1:2" x14ac:dyDescent="0.3">
      <c r="A397" s="322">
        <v>150000920</v>
      </c>
      <c r="B397" s="42" t="s">
        <v>328</v>
      </c>
    </row>
    <row r="398" spans="1:2" x14ac:dyDescent="0.3">
      <c r="A398" s="322">
        <v>150000921</v>
      </c>
      <c r="B398" s="42" t="s">
        <v>329</v>
      </c>
    </row>
    <row r="399" spans="1:2" x14ac:dyDescent="0.3">
      <c r="A399" s="322">
        <v>150000878</v>
      </c>
      <c r="B399" s="42" t="s">
        <v>237</v>
      </c>
    </row>
    <row r="400" spans="1:2" x14ac:dyDescent="0.3">
      <c r="A400" s="322">
        <v>150000879</v>
      </c>
      <c r="B400" s="42" t="s">
        <v>330</v>
      </c>
    </row>
    <row r="401" spans="1:2" x14ac:dyDescent="0.3">
      <c r="A401" s="322">
        <v>150000880</v>
      </c>
      <c r="B401" s="42" t="s">
        <v>238</v>
      </c>
    </row>
    <row r="402" spans="1:2" x14ac:dyDescent="0.3">
      <c r="A402" s="322">
        <v>150000881</v>
      </c>
      <c r="B402" s="42" t="s">
        <v>412</v>
      </c>
    </row>
    <row r="403" spans="1:2" x14ac:dyDescent="0.3">
      <c r="A403" s="322">
        <v>150000882</v>
      </c>
      <c r="B403" s="42" t="s">
        <v>331</v>
      </c>
    </row>
    <row r="404" spans="1:2" x14ac:dyDescent="0.3">
      <c r="A404" s="322">
        <v>150000883</v>
      </c>
      <c r="B404" s="42" t="s">
        <v>332</v>
      </c>
    </row>
    <row r="405" spans="1:2" x14ac:dyDescent="0.3">
      <c r="A405" s="322">
        <v>150000884</v>
      </c>
      <c r="B405" s="42" t="s">
        <v>333</v>
      </c>
    </row>
    <row r="406" spans="1:2" x14ac:dyDescent="0.3">
      <c r="A406" s="322">
        <v>150000885</v>
      </c>
      <c r="B406" s="45" t="s">
        <v>239</v>
      </c>
    </row>
  </sheetData>
  <mergeCells count="2">
    <mergeCell ref="B6:B8"/>
    <mergeCell ref="A6:A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6"/>
  <dimension ref="A1:N411"/>
  <sheetViews>
    <sheetView workbookViewId="0">
      <selection activeCell="T20" sqref="T20"/>
    </sheetView>
  </sheetViews>
  <sheetFormatPr defaultColWidth="8.88671875" defaultRowHeight="13.8" x14ac:dyDescent="0.3"/>
  <cols>
    <col min="1" max="1" width="8.88671875" style="1" customWidth="1"/>
    <col min="2" max="2" width="34.44140625" style="1" customWidth="1"/>
    <col min="3" max="3" width="6.109375" style="99" customWidth="1"/>
    <col min="4" max="4" width="9.5546875" style="337" customWidth="1"/>
    <col min="5" max="5" width="9.33203125" style="337" customWidth="1"/>
    <col min="6" max="7" width="8.109375" style="337" customWidth="1"/>
    <col min="8" max="10" width="8.109375" style="338" customWidth="1"/>
    <col min="11" max="11" width="8.109375" style="339" customWidth="1"/>
    <col min="12" max="12" width="11.5546875" style="342" customWidth="1"/>
    <col min="13" max="13" width="11" style="1" customWidth="1"/>
    <col min="14" max="14" width="12.109375" style="1" customWidth="1"/>
    <col min="15" max="16384" width="8.88671875" style="1"/>
  </cols>
  <sheetData>
    <row r="1" spans="1:14" x14ac:dyDescent="0.3">
      <c r="A1" s="1" t="s">
        <v>0</v>
      </c>
    </row>
    <row r="3" spans="1:14" ht="17.399999999999999" x14ac:dyDescent="0.3">
      <c r="A3" s="6" t="s">
        <v>1023</v>
      </c>
      <c r="I3" s="539" t="str">
        <f>місяць!A2</f>
        <v>2021 РІК</v>
      </c>
      <c r="J3" s="540"/>
      <c r="K3" s="541"/>
      <c r="L3" s="542"/>
    </row>
    <row r="5" spans="1:14" ht="15" thickBot="1" x14ac:dyDescent="0.35">
      <c r="C5" s="344"/>
      <c r="L5" s="498" t="s">
        <v>1065</v>
      </c>
      <c r="M5" s="503">
        <f>'Звіт-будинок'!I6</f>
        <v>44562</v>
      </c>
    </row>
    <row r="6" spans="1:14" ht="28.5" customHeight="1" x14ac:dyDescent="0.3">
      <c r="A6" s="1042" t="s">
        <v>850</v>
      </c>
      <c r="B6" s="1045" t="s">
        <v>1</v>
      </c>
      <c r="C6" s="1212" t="s">
        <v>2</v>
      </c>
      <c r="D6" s="1214" t="s">
        <v>1043</v>
      </c>
      <c r="E6" s="1215"/>
      <c r="F6" s="1215"/>
      <c r="G6" s="1216"/>
      <c r="H6" s="1217" t="s">
        <v>1046</v>
      </c>
      <c r="I6" s="1218"/>
      <c r="J6" s="1218"/>
      <c r="K6" s="1219"/>
      <c r="L6" s="1220" t="s">
        <v>1047</v>
      </c>
      <c r="M6" s="1210" t="s">
        <v>1048</v>
      </c>
    </row>
    <row r="7" spans="1:14" ht="29.7" customHeight="1" thickBot="1" x14ac:dyDescent="0.35">
      <c r="A7" s="1044"/>
      <c r="B7" s="1047"/>
      <c r="C7" s="1213"/>
      <c r="D7" s="353" t="s">
        <v>440</v>
      </c>
      <c r="E7" s="348" t="s">
        <v>441</v>
      </c>
      <c r="F7" s="348" t="s">
        <v>1044</v>
      </c>
      <c r="G7" s="354" t="s">
        <v>1045</v>
      </c>
      <c r="H7" s="350" t="s">
        <v>440</v>
      </c>
      <c r="I7" s="349" t="s">
        <v>441</v>
      </c>
      <c r="J7" s="349" t="s">
        <v>1044</v>
      </c>
      <c r="K7" s="359" t="s">
        <v>1045</v>
      </c>
      <c r="L7" s="1221"/>
      <c r="M7" s="1211"/>
    </row>
    <row r="8" spans="1:14" ht="20.100000000000001" customHeight="1" x14ac:dyDescent="0.3">
      <c r="A8" s="364" t="s">
        <v>458</v>
      </c>
      <c r="B8" s="345" t="s">
        <v>147</v>
      </c>
      <c r="C8" s="365">
        <v>2</v>
      </c>
      <c r="D8" s="355">
        <f>'побудинковий звіт'!CU9</f>
        <v>22957.847738019449</v>
      </c>
      <c r="E8" s="346">
        <f>'побудинковий звіт'!CV9</f>
        <v>48702.055817909146</v>
      </c>
      <c r="F8" s="346">
        <f>E8-D8</f>
        <v>25744.208079889697</v>
      </c>
      <c r="G8" s="356">
        <f>E8/D8</f>
        <v>2.1213685347889073</v>
      </c>
      <c r="H8" s="351">
        <f>('побудинковий звіт'!AS9+'побудинковий звіт'!BQ9)*1.2</f>
        <v>8522.5923369951415</v>
      </c>
      <c r="I8" s="347">
        <f>('побудинковий звіт'!AT9+'побудинковий звіт'!BR9)*1.2</f>
        <v>33175.644</v>
      </c>
      <c r="J8" s="347">
        <f>I8-H8</f>
        <v>24653.051663004859</v>
      </c>
      <c r="K8" s="360">
        <f>I8/H8</f>
        <v>3.8926705265474335</v>
      </c>
      <c r="L8" s="362">
        <f>'побудинковий звіт'!DE9</f>
        <v>2.2873703586810734E-2</v>
      </c>
      <c r="M8" s="543">
        <f>'побудинковий звіт'!DA9*-1</f>
        <v>-19257.513042652627</v>
      </c>
    </row>
    <row r="9" spans="1:14" ht="20.100000000000001" customHeight="1" x14ac:dyDescent="0.3">
      <c r="A9" s="366" t="s">
        <v>459</v>
      </c>
      <c r="B9" s="291" t="s">
        <v>240</v>
      </c>
      <c r="C9" s="367">
        <v>5</v>
      </c>
      <c r="D9" s="357">
        <f>'побудинковий звіт'!CU10</f>
        <v>111466.82732901143</v>
      </c>
      <c r="E9" s="341">
        <f>'побудинковий звіт'!CV10</f>
        <v>82243.491042611786</v>
      </c>
      <c r="F9" s="341">
        <f t="shared" ref="F9:F71" si="0">E9-D9</f>
        <v>-29223.336286399644</v>
      </c>
      <c r="G9" s="358">
        <f t="shared" ref="G9:G71" si="1">E9/D9</f>
        <v>0.73782929875502345</v>
      </c>
      <c r="H9" s="352">
        <f>('побудинковий звіт'!AS10+'побудинковий звіт'!BQ10)*1.2</f>
        <v>34624.043190730277</v>
      </c>
      <c r="I9" s="340">
        <f>('побудинковий звіт'!AT10+'побудинковий звіт'!BR10)*1.2</f>
        <v>4879.2</v>
      </c>
      <c r="J9" s="340">
        <f t="shared" ref="J9:J71" si="2">I9-H9</f>
        <v>-29744.843190730277</v>
      </c>
      <c r="K9" s="361">
        <f t="shared" ref="K9:K71" si="3">I9/H9</f>
        <v>0.14091941755971132</v>
      </c>
      <c r="L9" s="363">
        <f>'побудинковий звіт'!DE10</f>
        <v>337.04132215512254</v>
      </c>
      <c r="M9" s="546">
        <f>'побудинковий звіт'!DA10*-1</f>
        <v>-53534.572068238667</v>
      </c>
    </row>
    <row r="10" spans="1:14" ht="20.100000000000001" customHeight="1" x14ac:dyDescent="0.3">
      <c r="A10" s="366" t="s">
        <v>460</v>
      </c>
      <c r="B10" s="291" t="s">
        <v>241</v>
      </c>
      <c r="C10" s="367">
        <v>5</v>
      </c>
      <c r="D10" s="357">
        <f>'побудинковий звіт'!CU11</f>
        <v>183212.38613455775</v>
      </c>
      <c r="E10" s="341">
        <f>'побудинковий звіт'!CV11</f>
        <v>161741.62344084217</v>
      </c>
      <c r="F10" s="341">
        <f t="shared" si="0"/>
        <v>-21470.762693715573</v>
      </c>
      <c r="G10" s="358">
        <f t="shared" si="1"/>
        <v>0.88280943692340386</v>
      </c>
      <c r="H10" s="352">
        <f>('побудинковий звіт'!AS11+'побудинковий звіт'!BQ11)*1.2</f>
        <v>66134.57638551612</v>
      </c>
      <c r="I10" s="340">
        <f>('побудинковий звіт'!AT11+'побудинковий звіт'!BR11)*1.2</f>
        <v>37869.509392989807</v>
      </c>
      <c r="J10" s="340">
        <f t="shared" si="2"/>
        <v>-28265.066992526314</v>
      </c>
      <c r="K10" s="361">
        <f t="shared" si="3"/>
        <v>0.57261286701586045</v>
      </c>
      <c r="L10" s="363">
        <f>'побудинковий звіт'!DE11</f>
        <v>40808.181893783621</v>
      </c>
      <c r="M10" s="547">
        <f>'побудинковий звіт'!DA11*-1</f>
        <v>4152.3396421571233</v>
      </c>
    </row>
    <row r="11" spans="1:14" ht="20.100000000000001" customHeight="1" x14ac:dyDescent="0.3">
      <c r="A11" s="366" t="s">
        <v>461</v>
      </c>
      <c r="B11" s="291" t="s">
        <v>339</v>
      </c>
      <c r="C11" s="367">
        <v>9</v>
      </c>
      <c r="D11" s="357">
        <f>'побудинковий звіт'!CU12</f>
        <v>482579.31314422988</v>
      </c>
      <c r="E11" s="341">
        <f>'побудинковий звіт'!CV12</f>
        <v>348339.9365133784</v>
      </c>
      <c r="F11" s="341">
        <f t="shared" si="0"/>
        <v>-134239.37663085148</v>
      </c>
      <c r="G11" s="358">
        <f t="shared" si="1"/>
        <v>0.72182940094091652</v>
      </c>
      <c r="H11" s="352">
        <f>('побудинковий звіт'!AS12+'побудинковий звіт'!BQ12)*1.2</f>
        <v>130991.75351471978</v>
      </c>
      <c r="I11" s="340">
        <f>('побудинковий звіт'!AT12+'побудинковий звіт'!BR12)*1.2</f>
        <v>20417.399999999998</v>
      </c>
      <c r="J11" s="340">
        <f t="shared" si="2"/>
        <v>-110574.35351471978</v>
      </c>
      <c r="K11" s="361">
        <f t="shared" si="3"/>
        <v>0.1558678271888746</v>
      </c>
      <c r="L11" s="363">
        <f>'побудинковий звіт'!DE12</f>
        <v>39864.261581092527</v>
      </c>
      <c r="M11" s="544">
        <f>'побудинковий звіт'!DA12*-1</f>
        <v>87420.694721064239</v>
      </c>
      <c r="N11" s="103"/>
    </row>
    <row r="12" spans="1:14" ht="20.100000000000001" customHeight="1" x14ac:dyDescent="0.3">
      <c r="A12" s="366" t="s">
        <v>462</v>
      </c>
      <c r="B12" s="291" t="s">
        <v>340</v>
      </c>
      <c r="C12" s="367">
        <v>9</v>
      </c>
      <c r="D12" s="357">
        <f>'побудинковий звіт'!CU13</f>
        <v>476818.86435582046</v>
      </c>
      <c r="E12" s="341">
        <f>'побудинковий звіт'!CV13</f>
        <v>400382.21514801495</v>
      </c>
      <c r="F12" s="341">
        <f t="shared" si="0"/>
        <v>-76436.649207805516</v>
      </c>
      <c r="G12" s="358">
        <f t="shared" si="1"/>
        <v>0.83969457812649462</v>
      </c>
      <c r="H12" s="352">
        <f>('побудинковий звіт'!AS13+'побудинковий звіт'!BQ13)*1.2</f>
        <v>132141.08775760597</v>
      </c>
      <c r="I12" s="340">
        <f>('побудинковий звіт'!AT13+'побудинковий звіт'!BR13)*1.2</f>
        <v>64758.583815229365</v>
      </c>
      <c r="J12" s="340">
        <f t="shared" si="2"/>
        <v>-67382.503942376614</v>
      </c>
      <c r="K12" s="361">
        <f t="shared" si="3"/>
        <v>0.49007152063118908</v>
      </c>
      <c r="L12" s="363">
        <f>'побудинковий звіт'!DE13</f>
        <v>42910.552541240861</v>
      </c>
      <c r="M12" s="544">
        <f>'побудинковий звіт'!DA13*-1</f>
        <v>124245.1792124659</v>
      </c>
    </row>
    <row r="13" spans="1:14" ht="20.100000000000001" customHeight="1" x14ac:dyDescent="0.3">
      <c r="A13" s="366" t="s">
        <v>463</v>
      </c>
      <c r="B13" s="291" t="s">
        <v>34</v>
      </c>
      <c r="C13" s="367">
        <v>1</v>
      </c>
      <c r="D13" s="357">
        <f>'побудинковий звіт'!CU14</f>
        <v>4591.7044166776368</v>
      </c>
      <c r="E13" s="341">
        <f>'побудинковий звіт'!CV14</f>
        <v>1849.2318662104249</v>
      </c>
      <c r="F13" s="341">
        <f t="shared" si="0"/>
        <v>-2742.4725504672119</v>
      </c>
      <c r="G13" s="358">
        <f t="shared" si="1"/>
        <v>0.40273321154858893</v>
      </c>
      <c r="H13" s="352">
        <f>('побудинковий звіт'!AS14+'побудинковий звіт'!BQ14)*1.2</f>
        <v>3585.4689547122439</v>
      </c>
      <c r="I13" s="340">
        <f>('побудинковий звіт'!AT14+'побудинковий звіт'!BR14)*1.2</f>
        <v>0</v>
      </c>
      <c r="J13" s="340">
        <f t="shared" si="2"/>
        <v>-3585.4689547122439</v>
      </c>
      <c r="K13" s="361">
        <f t="shared" si="3"/>
        <v>0</v>
      </c>
      <c r="L13" s="363">
        <f>'побудинковий звіт'!DE14</f>
        <v>243.8703462161227</v>
      </c>
      <c r="M13" s="544">
        <f>'побудинковий звіт'!DA14*-1</f>
        <v>9956.1129278960798</v>
      </c>
    </row>
    <row r="14" spans="1:14" ht="20.100000000000001" customHeight="1" x14ac:dyDescent="0.3">
      <c r="A14" s="366" t="s">
        <v>464</v>
      </c>
      <c r="B14" s="291" t="s">
        <v>35</v>
      </c>
      <c r="C14" s="367">
        <v>1</v>
      </c>
      <c r="D14" s="357">
        <f>'побудинковий звіт'!CU15</f>
        <v>0</v>
      </c>
      <c r="E14" s="341">
        <f>'побудинковий звіт'!CV15</f>
        <v>0</v>
      </c>
      <c r="F14" s="341">
        <f t="shared" si="0"/>
        <v>0</v>
      </c>
      <c r="G14" s="358" t="e">
        <f t="shared" si="1"/>
        <v>#DIV/0!</v>
      </c>
      <c r="H14" s="352">
        <f>('побудинковий звіт'!AS15+'побудинковий звіт'!BQ15)*1.2</f>
        <v>0</v>
      </c>
      <c r="I14" s="340">
        <f>('побудинковий звіт'!AT15+'побудинковий звіт'!BR15)*1.2</f>
        <v>0</v>
      </c>
      <c r="J14" s="340">
        <f t="shared" si="2"/>
        <v>0</v>
      </c>
      <c r="K14" s="361" t="e">
        <f t="shared" si="3"/>
        <v>#DIV/0!</v>
      </c>
      <c r="L14" s="363">
        <f>'побудинковий звіт'!DE15</f>
        <v>2728.7375366245824</v>
      </c>
      <c r="M14" s="544">
        <f>'побудинковий звіт'!DA15*-1</f>
        <v>7856.7226225419472</v>
      </c>
    </row>
    <row r="15" spans="1:14" ht="20.100000000000001" customHeight="1" x14ac:dyDescent="0.3">
      <c r="A15" s="366" t="s">
        <v>465</v>
      </c>
      <c r="B15" s="291" t="s">
        <v>36</v>
      </c>
      <c r="C15" s="367">
        <v>1</v>
      </c>
      <c r="D15" s="357">
        <f>'побудинковий звіт'!CU16</f>
        <v>0</v>
      </c>
      <c r="E15" s="341">
        <f>'побудинковий звіт'!CV16</f>
        <v>0</v>
      </c>
      <c r="F15" s="341">
        <f t="shared" si="0"/>
        <v>0</v>
      </c>
      <c r="G15" s="358" t="e">
        <f t="shared" si="1"/>
        <v>#DIV/0!</v>
      </c>
      <c r="H15" s="352">
        <f>('побудинковий звіт'!AS16+'побудинковий звіт'!BQ16)*1.2</f>
        <v>0</v>
      </c>
      <c r="I15" s="340">
        <f>('побудинковий звіт'!AT16+'побудинковий звіт'!BR16)*1.2</f>
        <v>0</v>
      </c>
      <c r="J15" s="340">
        <f t="shared" si="2"/>
        <v>0</v>
      </c>
      <c r="K15" s="361" t="e">
        <f t="shared" si="3"/>
        <v>#DIV/0!</v>
      </c>
      <c r="L15" s="363">
        <f>'побудинковий звіт'!DE16</f>
        <v>1490.2799026302278</v>
      </c>
      <c r="M15" s="544">
        <f>'побудинковий звіт'!DA16*-1</f>
        <v>2726.636550100834</v>
      </c>
    </row>
    <row r="16" spans="1:14" ht="20.100000000000001" customHeight="1" x14ac:dyDescent="0.3">
      <c r="A16" s="366" t="s">
        <v>466</v>
      </c>
      <c r="B16" s="291" t="s">
        <v>37</v>
      </c>
      <c r="C16" s="367">
        <v>1</v>
      </c>
      <c r="D16" s="357">
        <f>'побудинковий звіт'!CU17</f>
        <v>0</v>
      </c>
      <c r="E16" s="341">
        <f>'побудинковий звіт'!CV17</f>
        <v>0</v>
      </c>
      <c r="F16" s="341">
        <f t="shared" si="0"/>
        <v>0</v>
      </c>
      <c r="G16" s="358" t="e">
        <f t="shared" si="1"/>
        <v>#DIV/0!</v>
      </c>
      <c r="H16" s="352">
        <f>('побудинковий звіт'!AS17+'побудинковий звіт'!BQ17)*1.2</f>
        <v>0</v>
      </c>
      <c r="I16" s="340">
        <f>('побудинковий звіт'!AT17+'побудинковий звіт'!BR17)*1.2</f>
        <v>0</v>
      </c>
      <c r="J16" s="340">
        <f t="shared" si="2"/>
        <v>0</v>
      </c>
      <c r="K16" s="361" t="e">
        <f t="shared" si="3"/>
        <v>#DIV/0!</v>
      </c>
      <c r="L16" s="363">
        <f>'побудинковий звіт'!DE17</f>
        <v>2210.3333784291317</v>
      </c>
      <c r="M16" s="544">
        <f>'побудинковий звіт'!DA17*-1</f>
        <v>2410.6308555609185</v>
      </c>
    </row>
    <row r="17" spans="1:13" ht="20.100000000000001" customHeight="1" x14ac:dyDescent="0.3">
      <c r="A17" s="366" t="s">
        <v>467</v>
      </c>
      <c r="B17" s="291" t="s">
        <v>341</v>
      </c>
      <c r="C17" s="367">
        <v>9</v>
      </c>
      <c r="D17" s="357">
        <f>'побудинковий звіт'!CU18</f>
        <v>356196.20622601075</v>
      </c>
      <c r="E17" s="341">
        <f>'побудинковий звіт'!CV18</f>
        <v>308812.88208713906</v>
      </c>
      <c r="F17" s="341">
        <f t="shared" si="0"/>
        <v>-47383.324138871685</v>
      </c>
      <c r="G17" s="358">
        <f t="shared" si="1"/>
        <v>0.86697409093457212</v>
      </c>
      <c r="H17" s="352">
        <f>('побудинковий звіт'!AS18+'побудинковий звіт'!BQ18)*1.2</f>
        <v>73338.133987571608</v>
      </c>
      <c r="I17" s="340">
        <f>('побудинковий звіт'!AT18+'побудинковий звіт'!BR18)*1.2</f>
        <v>27191.364000000001</v>
      </c>
      <c r="J17" s="340">
        <f t="shared" si="2"/>
        <v>-46146.769987571606</v>
      </c>
      <c r="K17" s="361">
        <f t="shared" si="3"/>
        <v>0.37076705557586237</v>
      </c>
      <c r="L17" s="363">
        <f>'побудинковий звіт'!DE18</f>
        <v>36654.730109104632</v>
      </c>
      <c r="M17" s="544">
        <f>'побудинковий звіт'!DA18*-1</f>
        <v>62071.465048049482</v>
      </c>
    </row>
    <row r="18" spans="1:13" ht="20.100000000000001" customHeight="1" x14ac:dyDescent="0.3">
      <c r="A18" s="366" t="s">
        <v>468</v>
      </c>
      <c r="B18" s="291" t="s">
        <v>148</v>
      </c>
      <c r="C18" s="367">
        <v>2</v>
      </c>
      <c r="D18" s="357">
        <f>'побудинковий звіт'!CU19</f>
        <v>27885.828967754645</v>
      </c>
      <c r="E18" s="341">
        <f>'побудинковий звіт'!CV19</f>
        <v>25941.751389691191</v>
      </c>
      <c r="F18" s="341">
        <f t="shared" si="0"/>
        <v>-1944.077578063454</v>
      </c>
      <c r="G18" s="358">
        <f t="shared" si="1"/>
        <v>0.93028438995622265</v>
      </c>
      <c r="H18" s="352">
        <f>('побудинковий звіт'!AS19+'побудинковий звіт'!BQ19)*1.2</f>
        <v>7611.1461723372649</v>
      </c>
      <c r="I18" s="340">
        <f>('побудинковий звіт'!AT19+'побудинковий звіт'!BR19)*1.2</f>
        <v>4178.3072497757494</v>
      </c>
      <c r="J18" s="340">
        <f t="shared" si="2"/>
        <v>-3432.8389225615156</v>
      </c>
      <c r="K18" s="361">
        <f t="shared" si="3"/>
        <v>0.54897214626646118</v>
      </c>
      <c r="L18" s="363">
        <f>'побудинковий звіт'!DE19</f>
        <v>4118.3455058346253</v>
      </c>
      <c r="M18" s="544">
        <f>'побудинковий звіт'!DA19*-1</f>
        <v>-404.41326809583279</v>
      </c>
    </row>
    <row r="19" spans="1:13" ht="20.100000000000001" customHeight="1" x14ac:dyDescent="0.3">
      <c r="A19" s="366" t="s">
        <v>469</v>
      </c>
      <c r="B19" s="291" t="s">
        <v>149</v>
      </c>
      <c r="C19" s="367">
        <v>2</v>
      </c>
      <c r="D19" s="357">
        <f>'побудинковий звіт'!CU20</f>
        <v>27384.219839299076</v>
      </c>
      <c r="E19" s="341">
        <f>'побудинковий звіт'!CV20</f>
        <v>24049.945642077506</v>
      </c>
      <c r="F19" s="341">
        <f t="shared" si="0"/>
        <v>-3334.2741972215699</v>
      </c>
      <c r="G19" s="358">
        <f t="shared" si="1"/>
        <v>0.87824103747383175</v>
      </c>
      <c r="H19" s="352">
        <f>('побудинковий звіт'!AS20+'побудинковий звіт'!BQ20)*1.2</f>
        <v>7364.4145613168448</v>
      </c>
      <c r="I19" s="340">
        <f>('побудинковий звіт'!AT20+'побудинковий звіт'!BR20)*1.2</f>
        <v>3309.5072497757492</v>
      </c>
      <c r="J19" s="340">
        <f t="shared" si="2"/>
        <v>-4054.9073115410956</v>
      </c>
      <c r="K19" s="361">
        <f t="shared" si="3"/>
        <v>0.44939176389656832</v>
      </c>
      <c r="L19" s="363">
        <f>'побудинковий звіт'!DE20</f>
        <v>10303.218582008332</v>
      </c>
      <c r="M19" s="544">
        <f>'побудинковий звіт'!DA20*-1</f>
        <v>-25324.034899954604</v>
      </c>
    </row>
    <row r="20" spans="1:13" ht="20.100000000000001" customHeight="1" x14ac:dyDescent="0.3">
      <c r="A20" s="366" t="s">
        <v>470</v>
      </c>
      <c r="B20" s="291" t="s">
        <v>242</v>
      </c>
      <c r="C20" s="367">
        <v>5</v>
      </c>
      <c r="D20" s="357">
        <f>'побудинковий звіт'!CU21</f>
        <v>316440.20791651466</v>
      </c>
      <c r="E20" s="341">
        <f>'побудинковий звіт'!CV21</f>
        <v>443761.66422272963</v>
      </c>
      <c r="F20" s="341">
        <f t="shared" si="0"/>
        <v>127321.45630621497</v>
      </c>
      <c r="G20" s="358">
        <f t="shared" si="1"/>
        <v>1.4023554944060894</v>
      </c>
      <c r="H20" s="352">
        <f>('побудинковий звіт'!AS21+'побудинковий звіт'!BQ21)*1.2</f>
        <v>65276.093322202069</v>
      </c>
      <c r="I20" s="340">
        <f>('побудинковий звіт'!AT21+'побудинковий звіт'!BR21)*1.2</f>
        <v>188948.56340073611</v>
      </c>
      <c r="J20" s="340">
        <f t="shared" si="2"/>
        <v>123672.47007853404</v>
      </c>
      <c r="K20" s="361">
        <f t="shared" si="3"/>
        <v>2.8946058776539845</v>
      </c>
      <c r="L20" s="363">
        <f>'побудинковий звіт'!DE21</f>
        <v>26284.62472920334</v>
      </c>
      <c r="M20" s="547">
        <f>'побудинковий звіт'!DA21*-1</f>
        <v>-52154.371303336666</v>
      </c>
    </row>
    <row r="21" spans="1:13" ht="20.100000000000001" customHeight="1" x14ac:dyDescent="0.3">
      <c r="A21" s="366" t="s">
        <v>471</v>
      </c>
      <c r="B21" s="291" t="s">
        <v>193</v>
      </c>
      <c r="C21" s="367">
        <v>3</v>
      </c>
      <c r="D21" s="357">
        <f>'побудинковий звіт'!CU22</f>
        <v>49837.5202602547</v>
      </c>
      <c r="E21" s="341">
        <f>'побудинковий звіт'!CV22</f>
        <v>41974.155338949997</v>
      </c>
      <c r="F21" s="341">
        <f t="shared" si="0"/>
        <v>-7863.3649213047029</v>
      </c>
      <c r="G21" s="358">
        <f t="shared" si="1"/>
        <v>0.84221998044361535</v>
      </c>
      <c r="H21" s="352">
        <f>('побудинковий звіт'!AS22+'побудинковий звіт'!BQ22)*1.2</f>
        <v>13155.102942421392</v>
      </c>
      <c r="I21" s="340">
        <f>('побудинковий звіт'!AT22+'побудинковий звіт'!BR22)*1.2</f>
        <v>7646.0999999999995</v>
      </c>
      <c r="J21" s="340">
        <f t="shared" si="2"/>
        <v>-5509.0029424213926</v>
      </c>
      <c r="K21" s="361">
        <f t="shared" si="3"/>
        <v>0.58122692262206055</v>
      </c>
      <c r="L21" s="363">
        <f>'побудинковий звіт'!DE22</f>
        <v>-1472.5583371095286</v>
      </c>
      <c r="M21" s="544">
        <f>'побудинковий звіт'!DA22*-1</f>
        <v>-14304.750380403822</v>
      </c>
    </row>
    <row r="22" spans="1:13" ht="20.100000000000001" customHeight="1" x14ac:dyDescent="0.3">
      <c r="A22" s="366" t="s">
        <v>472</v>
      </c>
      <c r="B22" s="291" t="s">
        <v>38</v>
      </c>
      <c r="C22" s="367">
        <v>1</v>
      </c>
      <c r="D22" s="357">
        <f>'побудинковий звіт'!CU23</f>
        <v>3653.3516262613875</v>
      </c>
      <c r="E22" s="341">
        <f>'побудинковий звіт'!CV23</f>
        <v>4433.6525775855453</v>
      </c>
      <c r="F22" s="341">
        <f t="shared" si="0"/>
        <v>780.30095132415772</v>
      </c>
      <c r="G22" s="358">
        <f t="shared" si="1"/>
        <v>1.2135849573621986</v>
      </c>
      <c r="H22" s="352">
        <f>('побудинковий звіт'!AS23+'побудинковий звіт'!BQ23)*1.2</f>
        <v>2541.142185233517</v>
      </c>
      <c r="I22" s="340">
        <f>('побудинковий звіт'!AT23+'побудинковий звіт'!BR23)*1.2</f>
        <v>2551.1999999999998</v>
      </c>
      <c r="J22" s="340">
        <f t="shared" si="2"/>
        <v>10.057814766482807</v>
      </c>
      <c r="K22" s="361">
        <f t="shared" si="3"/>
        <v>1.0039579897673292</v>
      </c>
      <c r="L22" s="363">
        <f>'побудинковий звіт'!DE23</f>
        <v>1.351097500457854E-2</v>
      </c>
      <c r="M22" s="544">
        <f>'побудинковий звіт'!DA23*-1</f>
        <v>2274.5876142254947</v>
      </c>
    </row>
    <row r="23" spans="1:13" ht="20.100000000000001" customHeight="1" x14ac:dyDescent="0.3">
      <c r="A23" s="366" t="s">
        <v>473</v>
      </c>
      <c r="B23" s="291" t="s">
        <v>243</v>
      </c>
      <c r="C23" s="367">
        <v>5</v>
      </c>
      <c r="D23" s="357">
        <f>'побудинковий звіт'!CU24</f>
        <v>145407.57483462567</v>
      </c>
      <c r="E23" s="341">
        <f>'побудинковий звіт'!CV24</f>
        <v>140884.67528814552</v>
      </c>
      <c r="F23" s="341">
        <f t="shared" si="0"/>
        <v>-4522.8995464801555</v>
      </c>
      <c r="G23" s="358">
        <f t="shared" si="1"/>
        <v>0.96889502110447734</v>
      </c>
      <c r="H23" s="352">
        <f>('побудинковий звіт'!AS24+'побудинковий звіт'!BQ24)*1.2</f>
        <v>39052.9861714293</v>
      </c>
      <c r="I23" s="340">
        <f>('побудинковий звіт'!AT24+'побудинковий звіт'!BR24)*1.2</f>
        <v>30598.799999999999</v>
      </c>
      <c r="J23" s="340">
        <f t="shared" si="2"/>
        <v>-8454.1861714293009</v>
      </c>
      <c r="K23" s="361">
        <f t="shared" si="3"/>
        <v>0.78352010946568074</v>
      </c>
      <c r="L23" s="363">
        <f>'побудинковий звіт'!DE24</f>
        <v>16363.805005704613</v>
      </c>
      <c r="M23" s="546">
        <f>'побудинковий звіт'!DA24*-1</f>
        <v>-49060.260137070763</v>
      </c>
    </row>
    <row r="24" spans="1:13" ht="20.100000000000001" customHeight="1" x14ac:dyDescent="0.3">
      <c r="A24" s="366" t="s">
        <v>474</v>
      </c>
      <c r="B24" s="291" t="s">
        <v>194</v>
      </c>
      <c r="C24" s="367">
        <v>3</v>
      </c>
      <c r="D24" s="357">
        <f>'побудинковий звіт'!CU25</f>
        <v>94776.328942633889</v>
      </c>
      <c r="E24" s="341">
        <f>'побудинковий звіт'!CV25</f>
        <v>93190.474076372499</v>
      </c>
      <c r="F24" s="341">
        <f t="shared" si="0"/>
        <v>-1585.8548662613903</v>
      </c>
      <c r="G24" s="358">
        <f t="shared" si="1"/>
        <v>0.98326739509797567</v>
      </c>
      <c r="H24" s="352">
        <f>('побудинковий звіт'!AS25+'побудинковий звіт'!BQ25)*1.2</f>
        <v>27884.342167281076</v>
      </c>
      <c r="I24" s="340">
        <f>('побудинковий звіт'!AT25+'побудинковий звіт'!BR25)*1.2</f>
        <v>27959.484</v>
      </c>
      <c r="J24" s="340">
        <f t="shared" si="2"/>
        <v>75.141832718923979</v>
      </c>
      <c r="K24" s="361">
        <f t="shared" si="3"/>
        <v>1.0026947679908724</v>
      </c>
      <c r="L24" s="363">
        <f>'побудинковий звіт'!DE25</f>
        <v>1310.0054340239012</v>
      </c>
      <c r="M24" s="544">
        <f>'побудинковий звіт'!DA25*-1</f>
        <v>12442.525089854615</v>
      </c>
    </row>
    <row r="25" spans="1:13" ht="20.100000000000001" customHeight="1" x14ac:dyDescent="0.3">
      <c r="A25" s="366" t="s">
        <v>475</v>
      </c>
      <c r="B25" s="291" t="s">
        <v>342</v>
      </c>
      <c r="C25" s="367">
        <v>9</v>
      </c>
      <c r="D25" s="357">
        <f>'побудинковий звіт'!CU26</f>
        <v>285559.81156401068</v>
      </c>
      <c r="E25" s="341">
        <f>'побудинковий звіт'!CV26</f>
        <v>209891.76494924372</v>
      </c>
      <c r="F25" s="341">
        <f t="shared" si="0"/>
        <v>-75668.046614766965</v>
      </c>
      <c r="G25" s="358">
        <f t="shared" si="1"/>
        <v>0.73501857211512645</v>
      </c>
      <c r="H25" s="352">
        <f>('побудинковий звіт'!AS26+'побудинковий звіт'!BQ26)*1.2</f>
        <v>65271.561331817022</v>
      </c>
      <c r="I25" s="340">
        <f>('побудинковий звіт'!AT26+'побудинковий звіт'!BR26)*1.2</f>
        <v>26808.6</v>
      </c>
      <c r="J25" s="340">
        <f t="shared" si="2"/>
        <v>-38462.961331817023</v>
      </c>
      <c r="K25" s="361">
        <f t="shared" si="3"/>
        <v>0.41072404969316983</v>
      </c>
      <c r="L25" s="363">
        <f>'побудинковий звіт'!DE26</f>
        <v>20154.208569177863</v>
      </c>
      <c r="M25" s="544">
        <f>'побудинковий звіт'!DA26*-1</f>
        <v>92888.904494036542</v>
      </c>
    </row>
    <row r="26" spans="1:13" ht="20.100000000000001" customHeight="1" x14ac:dyDescent="0.3">
      <c r="A26" s="366" t="s">
        <v>476</v>
      </c>
      <c r="B26" s="291" t="s">
        <v>40</v>
      </c>
      <c r="C26" s="367">
        <v>1</v>
      </c>
      <c r="D26" s="357">
        <f>'побудинковий звіт'!CU27</f>
        <v>4079.3621274944085</v>
      </c>
      <c r="E26" s="341">
        <f>'побудинковий звіт'!CV27</f>
        <v>4663.495204878428</v>
      </c>
      <c r="F26" s="341">
        <f t="shared" si="0"/>
        <v>584.13307738401954</v>
      </c>
      <c r="G26" s="358">
        <f t="shared" si="1"/>
        <v>1.1431922587717902</v>
      </c>
      <c r="H26" s="352">
        <f>('побудинковий звіт'!AS27+'побудинковий звіт'!BQ27)*1.2</f>
        <v>2903.5723308234196</v>
      </c>
      <c r="I26" s="340">
        <f>('побудинковий звіт'!AT27+'побудинковий звіт'!BR27)*1.2</f>
        <v>2575.884</v>
      </c>
      <c r="J26" s="340">
        <f t="shared" si="2"/>
        <v>-327.68833082341962</v>
      </c>
      <c r="K26" s="361">
        <f t="shared" si="3"/>
        <v>0.88714304536353983</v>
      </c>
      <c r="L26" s="363">
        <f>'побудинковий звіт'!DE27</f>
        <v>948.59203721989979</v>
      </c>
      <c r="M26" s="544">
        <f>'побудинковий звіт'!DA27*-1</f>
        <v>3890.6779709667658</v>
      </c>
    </row>
    <row r="27" spans="1:13" ht="20.100000000000001" customHeight="1" x14ac:dyDescent="0.3">
      <c r="A27" s="366" t="s">
        <v>477</v>
      </c>
      <c r="B27" s="291" t="s">
        <v>41</v>
      </c>
      <c r="C27" s="367">
        <v>1</v>
      </c>
      <c r="D27" s="357">
        <f>'побудинковий звіт'!CU28</f>
        <v>4494.0818010669682</v>
      </c>
      <c r="E27" s="341">
        <f>'побудинковий звіт'!CV28</f>
        <v>3781.984820310794</v>
      </c>
      <c r="F27" s="341">
        <f t="shared" si="0"/>
        <v>-712.09698075617416</v>
      </c>
      <c r="G27" s="358">
        <f t="shared" si="1"/>
        <v>0.84154783729412519</v>
      </c>
      <c r="H27" s="352">
        <f>('побудинковий звіт'!AS28+'побудинковий звіт'!BQ28)*1.2</f>
        <v>3212.9933393312035</v>
      </c>
      <c r="I27" s="340">
        <f>('побудинковий звіт'!AT28+'побудинковий звіт'!BR28)*1.2</f>
        <v>1446</v>
      </c>
      <c r="J27" s="340">
        <f t="shared" si="2"/>
        <v>-1766.9933393312035</v>
      </c>
      <c r="K27" s="361">
        <f t="shared" si="3"/>
        <v>0.45004761830629575</v>
      </c>
      <c r="L27" s="363">
        <f>'побудинковий звіт'!DE28</f>
        <v>258.20124527439788</v>
      </c>
      <c r="M27" s="544">
        <f>'побудинковий звіт'!DA28*-1</f>
        <v>4616.0100843049713</v>
      </c>
    </row>
    <row r="28" spans="1:13" ht="20.100000000000001" customHeight="1" x14ac:dyDescent="0.3">
      <c r="A28" s="366" t="s">
        <v>478</v>
      </c>
      <c r="B28" s="291" t="s">
        <v>42</v>
      </c>
      <c r="C28" s="367">
        <v>1</v>
      </c>
      <c r="D28" s="357">
        <f>'побудинковий звіт'!CU29</f>
        <v>4519.9758252912297</v>
      </c>
      <c r="E28" s="341">
        <f>'побудинковий звіт'!CV29</f>
        <v>3059.4910838038732</v>
      </c>
      <c r="F28" s="341">
        <f t="shared" si="0"/>
        <v>-1460.4847414873566</v>
      </c>
      <c r="G28" s="358">
        <f t="shared" si="1"/>
        <v>0.67688217859146294</v>
      </c>
      <c r="H28" s="352">
        <f>('побудинковий звіт'!AS29+'побудинковий звіт'!BQ29)*1.2</f>
        <v>3168.658037507736</v>
      </c>
      <c r="I28" s="340">
        <f>('побудинковий звіт'!AT29+'побудинковий звіт'!BR29)*1.2</f>
        <v>690</v>
      </c>
      <c r="J28" s="340">
        <f t="shared" si="2"/>
        <v>-2478.658037507736</v>
      </c>
      <c r="K28" s="361">
        <f t="shared" si="3"/>
        <v>0.21775779899010811</v>
      </c>
      <c r="L28" s="363">
        <f>'побудинковий звіт'!DE29</f>
        <v>1.9748004147572829E-3</v>
      </c>
      <c r="M28" s="544">
        <f>'побудинковий звіт'!DA29*-1</f>
        <v>5446.8948197575228</v>
      </c>
    </row>
    <row r="29" spans="1:13" ht="20.100000000000001" customHeight="1" x14ac:dyDescent="0.3">
      <c r="A29" s="366" t="s">
        <v>479</v>
      </c>
      <c r="B29" s="291" t="s">
        <v>43</v>
      </c>
      <c r="C29" s="367">
        <v>1</v>
      </c>
      <c r="D29" s="357">
        <f>'побудинковий звіт'!CU30</f>
        <v>4284.8096835205079</v>
      </c>
      <c r="E29" s="341">
        <f>'побудинковий звіт'!CV30</f>
        <v>3342.962943938895</v>
      </c>
      <c r="F29" s="341">
        <f t="shared" si="0"/>
        <v>-941.84673958161284</v>
      </c>
      <c r="G29" s="358">
        <f t="shared" si="1"/>
        <v>0.78018936448823373</v>
      </c>
      <c r="H29" s="352">
        <f>('побудинковий звіт'!AS30+'побудинковий звіт'!BQ30)*1.2</f>
        <v>3028.8606802181903</v>
      </c>
      <c r="I29" s="340">
        <f>('побудинковий звіт'!AT30+'побудинковий звіт'!BR30)*1.2</f>
        <v>1016.4</v>
      </c>
      <c r="J29" s="340">
        <f t="shared" si="2"/>
        <v>-2012.4606802181902</v>
      </c>
      <c r="K29" s="361">
        <f t="shared" si="3"/>
        <v>0.33557172392847778</v>
      </c>
      <c r="L29" s="363">
        <f>'побудинковий звіт'!DE30</f>
        <v>832.30726571064861</v>
      </c>
      <c r="M29" s="544">
        <f>'побудинковий звіт'!DA30*-1</f>
        <v>1174.8446284474296</v>
      </c>
    </row>
    <row r="30" spans="1:13" ht="20.100000000000001" customHeight="1" x14ac:dyDescent="0.3">
      <c r="A30" s="366" t="s">
        <v>480</v>
      </c>
      <c r="B30" s="291" t="s">
        <v>44</v>
      </c>
      <c r="C30" s="367">
        <v>1</v>
      </c>
      <c r="D30" s="357">
        <f>'побудинковий звіт'!CU31</f>
        <v>4638.7645431853225</v>
      </c>
      <c r="E30" s="341">
        <f>'побудинковий звіт'!CV31</f>
        <v>3758.878338432226</v>
      </c>
      <c r="F30" s="341">
        <f t="shared" si="0"/>
        <v>-879.88620475309654</v>
      </c>
      <c r="G30" s="358">
        <f t="shared" si="1"/>
        <v>0.81031884749448813</v>
      </c>
      <c r="H30" s="352">
        <f>('побудинковий звіт'!AS31+'побудинковий звіт'!BQ31)*1.2</f>
        <v>3333.4290459043145</v>
      </c>
      <c r="I30" s="340">
        <f>('побудинковий звіт'!AT31+'побудинковий звіт'!BR31)*1.2</f>
        <v>0</v>
      </c>
      <c r="J30" s="340">
        <f t="shared" si="2"/>
        <v>-3333.4290459043145</v>
      </c>
      <c r="K30" s="361">
        <f t="shared" si="3"/>
        <v>0</v>
      </c>
      <c r="L30" s="363">
        <f>'побудинковий звіт'!DE31</f>
        <v>204.48672006849483</v>
      </c>
      <c r="M30" s="544">
        <f>'побудинковий звіт'!DA31*-1</f>
        <v>4118.5862721787535</v>
      </c>
    </row>
    <row r="31" spans="1:13" ht="20.100000000000001" customHeight="1" x14ac:dyDescent="0.3">
      <c r="A31" s="366" t="s">
        <v>481</v>
      </c>
      <c r="B31" s="291" t="s">
        <v>45</v>
      </c>
      <c r="C31" s="367">
        <v>1</v>
      </c>
      <c r="D31" s="357">
        <f>'побудинковий звіт'!CU32</f>
        <v>4554.4815134080436</v>
      </c>
      <c r="E31" s="341">
        <f>'побудинковий звіт'!CV32</f>
        <v>3955.4849408751061</v>
      </c>
      <c r="F31" s="341">
        <f t="shared" si="0"/>
        <v>-598.99657253293753</v>
      </c>
      <c r="G31" s="358">
        <f t="shared" si="1"/>
        <v>0.86848194009141599</v>
      </c>
      <c r="H31" s="352">
        <f>('побудинковий звіт'!AS32+'побудинковий звіт'!BQ32)*1.2</f>
        <v>2905.3008001316912</v>
      </c>
      <c r="I31" s="340">
        <f>('побудинковий звіт'!AT32+'побудинковий звіт'!BR32)*1.2</f>
        <v>1774.8</v>
      </c>
      <c r="J31" s="340">
        <f t="shared" si="2"/>
        <v>-1130.5008001316912</v>
      </c>
      <c r="K31" s="361">
        <f t="shared" si="3"/>
        <v>0.61088338939622089</v>
      </c>
      <c r="L31" s="363">
        <f>'побудинковий звіт'!DE32</f>
        <v>-585.45600067868077</v>
      </c>
      <c r="M31" s="544">
        <f>'побудинковий звіт'!DA32*-1</f>
        <v>1120.1266978597062</v>
      </c>
    </row>
    <row r="32" spans="1:13" ht="20.100000000000001" customHeight="1" x14ac:dyDescent="0.3">
      <c r="A32" s="366" t="s">
        <v>482</v>
      </c>
      <c r="B32" s="291" t="s">
        <v>46</v>
      </c>
      <c r="C32" s="367">
        <v>1</v>
      </c>
      <c r="D32" s="357">
        <f>'побудинковий звіт'!CU33</f>
        <v>0</v>
      </c>
      <c r="E32" s="341">
        <f>'побудинковий звіт'!CV33</f>
        <v>0</v>
      </c>
      <c r="F32" s="341">
        <f t="shared" si="0"/>
        <v>0</v>
      </c>
      <c r="G32" s="358" t="e">
        <f t="shared" si="1"/>
        <v>#DIV/0!</v>
      </c>
      <c r="H32" s="352">
        <f>('побудинковий звіт'!AS33+'побудинковий звіт'!BQ33)*1.2</f>
        <v>0</v>
      </c>
      <c r="I32" s="340">
        <f>('побудинковий звіт'!AT33+'побудинковий звіт'!BR33)*1.2</f>
        <v>0</v>
      </c>
      <c r="J32" s="340">
        <f t="shared" si="2"/>
        <v>0</v>
      </c>
      <c r="K32" s="361" t="e">
        <f t="shared" si="3"/>
        <v>#DIV/0!</v>
      </c>
      <c r="L32" s="363">
        <f>'побудинковий звіт'!DE33</f>
        <v>1401.7150414547118</v>
      </c>
      <c r="M32" s="544">
        <f>'побудинковий звіт'!DA33*-1</f>
        <v>5133.3577867140239</v>
      </c>
    </row>
    <row r="33" spans="1:13" ht="20.100000000000001" customHeight="1" x14ac:dyDescent="0.3">
      <c r="A33" s="366" t="s">
        <v>483</v>
      </c>
      <c r="B33" s="291" t="s">
        <v>47</v>
      </c>
      <c r="C33" s="367">
        <v>1</v>
      </c>
      <c r="D33" s="357">
        <f>'побудинковий звіт'!CU34</f>
        <v>0</v>
      </c>
      <c r="E33" s="341">
        <f>'побудинковий звіт'!CV34</f>
        <v>0</v>
      </c>
      <c r="F33" s="341">
        <f t="shared" si="0"/>
        <v>0</v>
      </c>
      <c r="G33" s="358" t="e">
        <f t="shared" si="1"/>
        <v>#DIV/0!</v>
      </c>
      <c r="H33" s="352">
        <f>('побудинковий звіт'!AS34+'побудинковий звіт'!BQ34)*1.2</f>
        <v>0</v>
      </c>
      <c r="I33" s="340">
        <f>('побудинковий звіт'!AT34+'побудинковий звіт'!BR34)*1.2</f>
        <v>0</v>
      </c>
      <c r="J33" s="340">
        <f t="shared" si="2"/>
        <v>0</v>
      </c>
      <c r="K33" s="361" t="e">
        <f t="shared" si="3"/>
        <v>#DIV/0!</v>
      </c>
      <c r="L33" s="363">
        <f>'побудинковий звіт'!DE34</f>
        <v>1839.6871216778231</v>
      </c>
      <c r="M33" s="544">
        <f>'побудинковий звіт'!DA34*-1</f>
        <v>6977.7866965940066</v>
      </c>
    </row>
    <row r="34" spans="1:13" ht="20.100000000000001" customHeight="1" x14ac:dyDescent="0.3">
      <c r="A34" s="366" t="s">
        <v>484</v>
      </c>
      <c r="B34" s="291" t="s">
        <v>48</v>
      </c>
      <c r="C34" s="367">
        <v>1</v>
      </c>
      <c r="D34" s="357">
        <f>'побудинковий звіт'!CU35</f>
        <v>2769.4405557065024</v>
      </c>
      <c r="E34" s="341">
        <f>'побудинковий звіт'!CV35</f>
        <v>1370.9747633412123</v>
      </c>
      <c r="F34" s="341">
        <f t="shared" si="0"/>
        <v>-1398.4657923652901</v>
      </c>
      <c r="G34" s="358">
        <f t="shared" si="1"/>
        <v>0.49503671798128474</v>
      </c>
      <c r="H34" s="352">
        <f>('побудинковий звіт'!AS35+'побудинковий звіт'!BQ35)*1.2</f>
        <v>1883.1210839450316</v>
      </c>
      <c r="I34" s="340">
        <f>('побудинковий звіт'!AT35+'побудинковий звіт'!BR35)*1.2</f>
        <v>0</v>
      </c>
      <c r="J34" s="340">
        <f t="shared" si="2"/>
        <v>-1883.1210839450316</v>
      </c>
      <c r="K34" s="361">
        <f t="shared" si="3"/>
        <v>0</v>
      </c>
      <c r="L34" s="363">
        <f>'побудинковий звіт'!DE35</f>
        <v>-0.19199001220243872</v>
      </c>
      <c r="M34" s="544">
        <f>'побудинковий звіт'!DA35*-1</f>
        <v>917.28342581451602</v>
      </c>
    </row>
    <row r="35" spans="1:13" ht="20.100000000000001" customHeight="1" x14ac:dyDescent="0.3">
      <c r="A35" s="366" t="s">
        <v>485</v>
      </c>
      <c r="B35" s="291" t="s">
        <v>49</v>
      </c>
      <c r="C35" s="367">
        <v>1</v>
      </c>
      <c r="D35" s="357">
        <f>'побудинковий звіт'!CU36</f>
        <v>4529.8457845375424</v>
      </c>
      <c r="E35" s="341">
        <f>'побудинковий звіт'!CV36</f>
        <v>5161.9448016869947</v>
      </c>
      <c r="F35" s="341">
        <f t="shared" si="0"/>
        <v>632.09901714945227</v>
      </c>
      <c r="G35" s="358">
        <f t="shared" si="1"/>
        <v>1.1395409572897821</v>
      </c>
      <c r="H35" s="352">
        <f>('побудинковий звіт'!AS36+'побудинковий звіт'!BQ36)*1.2</f>
        <v>2936.3080828145798</v>
      </c>
      <c r="I35" s="340">
        <f>('побудинковий звіт'!AT36+'побудинковий звіт'!BR36)*1.2</f>
        <v>2364</v>
      </c>
      <c r="J35" s="340">
        <f t="shared" si="2"/>
        <v>-572.30808281457985</v>
      </c>
      <c r="K35" s="361">
        <f t="shared" si="3"/>
        <v>0.80509263106138462</v>
      </c>
      <c r="L35" s="363">
        <f>'побудинковий звіт'!DE36</f>
        <v>85.494122955542082</v>
      </c>
      <c r="M35" s="544">
        <f>'побудинковий звіт'!DA36*-1</f>
        <v>-1030.3493242005261</v>
      </c>
    </row>
    <row r="36" spans="1:13" ht="20.100000000000001" customHeight="1" x14ac:dyDescent="0.3">
      <c r="A36" s="366" t="s">
        <v>486</v>
      </c>
      <c r="B36" s="291" t="s">
        <v>202</v>
      </c>
      <c r="C36" s="367">
        <v>4</v>
      </c>
      <c r="D36" s="357">
        <f>'побудинковий звіт'!CU37</f>
        <v>121657.72509570769</v>
      </c>
      <c r="E36" s="341">
        <f>'побудинковий звіт'!CV37</f>
        <v>98886.835626984728</v>
      </c>
      <c r="F36" s="341">
        <f t="shared" si="0"/>
        <v>-22770.889468722962</v>
      </c>
      <c r="G36" s="358">
        <f t="shared" si="1"/>
        <v>0.81282824867217285</v>
      </c>
      <c r="H36" s="352">
        <f>('побудинковий звіт'!AS37+'побудинковий звіт'!BQ37)*1.2</f>
        <v>29184.232628265338</v>
      </c>
      <c r="I36" s="340">
        <f>('побудинковий звіт'!AT37+'побудинковий звіт'!BR37)*1.2</f>
        <v>6164.9966133061898</v>
      </c>
      <c r="J36" s="340">
        <f t="shared" si="2"/>
        <v>-23019.236014959148</v>
      </c>
      <c r="K36" s="361">
        <f t="shared" si="3"/>
        <v>0.21124408826618604</v>
      </c>
      <c r="L36" s="363">
        <f>'побудинковий звіт'!DE37</f>
        <v>9523.1492748280743</v>
      </c>
      <c r="M36" s="544">
        <f>'побудинковий звіт'!DA37*-1</f>
        <v>-14429.890750693412</v>
      </c>
    </row>
    <row r="37" spans="1:13" ht="20.100000000000001" customHeight="1" x14ac:dyDescent="0.3">
      <c r="A37" s="366" t="s">
        <v>487</v>
      </c>
      <c r="B37" s="291" t="s">
        <v>50</v>
      </c>
      <c r="C37" s="367">
        <v>1</v>
      </c>
      <c r="D37" s="357">
        <f>'побудинковий звіт'!CU38</f>
        <v>0</v>
      </c>
      <c r="E37" s="341">
        <f>'побудинковий звіт'!CV38</f>
        <v>0</v>
      </c>
      <c r="F37" s="341">
        <f t="shared" si="0"/>
        <v>0</v>
      </c>
      <c r="G37" s="358" t="e">
        <f t="shared" si="1"/>
        <v>#DIV/0!</v>
      </c>
      <c r="H37" s="352">
        <f>('побудинковий звіт'!AS38+'побудинковий звіт'!BQ38)*1.2</f>
        <v>0</v>
      </c>
      <c r="I37" s="340">
        <f>('побудинковий звіт'!AT38+'побудинковий звіт'!BR38)*1.2</f>
        <v>0</v>
      </c>
      <c r="J37" s="340">
        <f t="shared" si="2"/>
        <v>0</v>
      </c>
      <c r="K37" s="361" t="e">
        <f t="shared" si="3"/>
        <v>#DIV/0!</v>
      </c>
      <c r="L37" s="363">
        <f>'побудинковий звіт'!DE38</f>
        <v>1950.5349712513266</v>
      </c>
      <c r="M37" s="544">
        <f>'побудинковий звіт'!DA38*-1</f>
        <v>6508.0828192493636</v>
      </c>
    </row>
    <row r="38" spans="1:13" ht="20.100000000000001" customHeight="1" x14ac:dyDescent="0.3">
      <c r="A38" s="366" t="s">
        <v>488</v>
      </c>
      <c r="B38" s="291" t="s">
        <v>203</v>
      </c>
      <c r="C38" s="367">
        <v>4</v>
      </c>
      <c r="D38" s="357">
        <f>'побудинковий звіт'!CU39</f>
        <v>154560.27375687935</v>
      </c>
      <c r="E38" s="341">
        <f>'побудинковий звіт'!CV39</f>
        <v>121286.84060040451</v>
      </c>
      <c r="F38" s="341">
        <f t="shared" si="0"/>
        <v>-33273.433156474843</v>
      </c>
      <c r="G38" s="358">
        <f t="shared" si="1"/>
        <v>0.78472195766932074</v>
      </c>
      <c r="H38" s="352">
        <f>('побудинковий звіт'!AS39+'побудинковий звіт'!BQ39)*1.2</f>
        <v>35796.911375529337</v>
      </c>
      <c r="I38" s="340">
        <f>('побудинковий звіт'!AT39+'побудинковий звіт'!BR39)*1.2</f>
        <v>11027.075999999999</v>
      </c>
      <c r="J38" s="340">
        <f t="shared" si="2"/>
        <v>-24769.835375529336</v>
      </c>
      <c r="K38" s="361">
        <f t="shared" si="3"/>
        <v>0.30804545912690323</v>
      </c>
      <c r="L38" s="363">
        <f>'побудинковий звіт'!DE39</f>
        <v>1664.6038274685452</v>
      </c>
      <c r="M38" s="544">
        <f>'побудинковий звіт'!DA39*-1</f>
        <v>-12606.099311109327</v>
      </c>
    </row>
    <row r="39" spans="1:13" ht="20.100000000000001" customHeight="1" x14ac:dyDescent="0.3">
      <c r="A39" s="366" t="s">
        <v>489</v>
      </c>
      <c r="B39" s="291" t="s">
        <v>204</v>
      </c>
      <c r="C39" s="367">
        <v>4</v>
      </c>
      <c r="D39" s="357">
        <f>'побудинковий звіт'!CU40</f>
        <v>181075.05420784652</v>
      </c>
      <c r="E39" s="341">
        <f>'побудинковий звіт'!CV40</f>
        <v>173660.09142262037</v>
      </c>
      <c r="F39" s="341">
        <f t="shared" si="0"/>
        <v>-7414.9627852261474</v>
      </c>
      <c r="G39" s="358">
        <f t="shared" si="1"/>
        <v>0.95905033513498272</v>
      </c>
      <c r="H39" s="352">
        <f>('побудинковий звіт'!AS40+'побудинковий звіт'!BQ40)*1.2</f>
        <v>39526.52293373859</v>
      </c>
      <c r="I39" s="340">
        <f>('побудинковий звіт'!AT40+'побудинковий звіт'!BR40)*1.2</f>
        <v>38405.652000000002</v>
      </c>
      <c r="J39" s="340">
        <f t="shared" si="2"/>
        <v>-1120.8709337385881</v>
      </c>
      <c r="K39" s="361">
        <f t="shared" si="3"/>
        <v>0.97164256173968067</v>
      </c>
      <c r="L39" s="363">
        <f>'побудинковий звіт'!DE40</f>
        <v>20899.087823509621</v>
      </c>
      <c r="M39" s="544">
        <f>'побудинковий звіт'!DA40*-1</f>
        <v>-26824.162546917389</v>
      </c>
    </row>
    <row r="40" spans="1:13" ht="20.100000000000001" customHeight="1" x14ac:dyDescent="0.3">
      <c r="A40" s="366" t="s">
        <v>490</v>
      </c>
      <c r="B40" s="291" t="s">
        <v>150</v>
      </c>
      <c r="C40" s="367">
        <v>2</v>
      </c>
      <c r="D40" s="357">
        <f>'побудинковий звіт'!CU41</f>
        <v>61459.227138124559</v>
      </c>
      <c r="E40" s="341">
        <f>'побудинковий звіт'!CV41</f>
        <v>44608.156790477027</v>
      </c>
      <c r="F40" s="341">
        <f t="shared" si="0"/>
        <v>-16851.070347647532</v>
      </c>
      <c r="G40" s="358">
        <f t="shared" si="1"/>
        <v>0.72581708016314395</v>
      </c>
      <c r="H40" s="352">
        <f>('побудинковий звіт'!AS41+'побудинковий звіт'!BQ41)*1.2</f>
        <v>16551.307920623152</v>
      </c>
      <c r="I40" s="340">
        <f>('побудинковий звіт'!AT41+'побудинковий звіт'!BR41)*1.2</f>
        <v>397.2</v>
      </c>
      <c r="J40" s="340">
        <f t="shared" si="2"/>
        <v>-16154.107920623152</v>
      </c>
      <c r="K40" s="361">
        <f t="shared" si="3"/>
        <v>2.3998103467405343E-2</v>
      </c>
      <c r="L40" s="363">
        <f>'побудинковий звіт'!DE41</f>
        <v>12455.022809671034</v>
      </c>
      <c r="M40" s="544">
        <f>'побудинковий звіт'!DA41*-1</f>
        <v>-10979.09671930808</v>
      </c>
    </row>
    <row r="41" spans="1:13" ht="20.100000000000001" customHeight="1" x14ac:dyDescent="0.3">
      <c r="A41" s="366" t="s">
        <v>491</v>
      </c>
      <c r="B41" s="291" t="s">
        <v>151</v>
      </c>
      <c r="C41" s="367">
        <v>2</v>
      </c>
      <c r="D41" s="357">
        <f>'побудинковий звіт'!CU42</f>
        <v>61463.022332226821</v>
      </c>
      <c r="E41" s="341">
        <f>'побудинковий звіт'!CV42</f>
        <v>46909.18448669678</v>
      </c>
      <c r="F41" s="341">
        <f t="shared" si="0"/>
        <v>-14553.837845530041</v>
      </c>
      <c r="G41" s="358">
        <f t="shared" si="1"/>
        <v>0.76320985702814936</v>
      </c>
      <c r="H41" s="352">
        <f>('побудинковий звіт'!AS42+'побудинковий звіт'!BQ42)*1.2</f>
        <v>17703.73241579756</v>
      </c>
      <c r="I41" s="340">
        <f>('побудинковий звіт'!AT42+'побудинковий звіт'!BR42)*1.2</f>
        <v>2749.9320000000002</v>
      </c>
      <c r="J41" s="340">
        <f t="shared" si="2"/>
        <v>-14953.800415797559</v>
      </c>
      <c r="K41" s="361">
        <f t="shared" si="3"/>
        <v>0.15533063511207135</v>
      </c>
      <c r="L41" s="363">
        <f>'побудинковий звіт'!DE42</f>
        <v>-135.77281709117142</v>
      </c>
      <c r="M41" s="544">
        <f>'побудинковий звіт'!DA42*-1</f>
        <v>-5193.0315718800848</v>
      </c>
    </row>
    <row r="42" spans="1:13" ht="20.100000000000001" customHeight="1" x14ac:dyDescent="0.3">
      <c r="A42" s="366" t="s">
        <v>492</v>
      </c>
      <c r="B42" s="291" t="s">
        <v>244</v>
      </c>
      <c r="C42" s="367">
        <v>5</v>
      </c>
      <c r="D42" s="357">
        <f>'побудинковий звіт'!CU43</f>
        <v>94337.12501383388</v>
      </c>
      <c r="E42" s="341">
        <f>'побудинковий звіт'!CV43</f>
        <v>94167.763147526595</v>
      </c>
      <c r="F42" s="341">
        <f t="shared" si="0"/>
        <v>-169.3618663072848</v>
      </c>
      <c r="G42" s="358">
        <f t="shared" si="1"/>
        <v>0.99820471668728028</v>
      </c>
      <c r="H42" s="352">
        <f>('побудинковий звіт'!AS43+'побудинковий звіт'!BQ43)*1.2</f>
        <v>27195.898411162456</v>
      </c>
      <c r="I42" s="340">
        <f>('побудинковий звіт'!AT43+'побудинковий звіт'!BR43)*1.2</f>
        <v>28963.967999999997</v>
      </c>
      <c r="J42" s="340">
        <f t="shared" si="2"/>
        <v>1768.0695888375412</v>
      </c>
      <c r="K42" s="361">
        <f t="shared" si="3"/>
        <v>1.0650123618682088</v>
      </c>
      <c r="L42" s="363">
        <f>'побудинковий звіт'!DE43</f>
        <v>13396.779419698983</v>
      </c>
      <c r="M42" s="544">
        <f>'побудинковий звіт'!DA43*-1</f>
        <v>-9816.9847659425977</v>
      </c>
    </row>
    <row r="43" spans="1:13" ht="20.100000000000001" customHeight="1" x14ac:dyDescent="0.3">
      <c r="A43" s="366" t="s">
        <v>493</v>
      </c>
      <c r="B43" s="291" t="s">
        <v>205</v>
      </c>
      <c r="C43" s="367">
        <v>4</v>
      </c>
      <c r="D43" s="357">
        <f>'побудинковий звіт'!CU44</f>
        <v>79030.081396979032</v>
      </c>
      <c r="E43" s="341">
        <f>'побудинковий звіт'!CV44</f>
        <v>60969.235859057175</v>
      </c>
      <c r="F43" s="341">
        <f t="shared" si="0"/>
        <v>-18060.845537921858</v>
      </c>
      <c r="G43" s="358">
        <f t="shared" si="1"/>
        <v>0.77146872154667623</v>
      </c>
      <c r="H43" s="352">
        <f>('побудинковий звіт'!AS44+'побудинковий звіт'!BQ44)*1.2</f>
        <v>17506.822261875328</v>
      </c>
      <c r="I43" s="340">
        <f>('побудинковий звіт'!AT44+'побудинковий звіт'!BR44)*1.2</f>
        <v>0</v>
      </c>
      <c r="J43" s="340">
        <f t="shared" si="2"/>
        <v>-17506.822261875328</v>
      </c>
      <c r="K43" s="361">
        <f t="shared" si="3"/>
        <v>0</v>
      </c>
      <c r="L43" s="363">
        <f>'побудинковий звіт'!DE44</f>
        <v>39220.437540675935</v>
      </c>
      <c r="M43" s="544">
        <f>'побудинковий звіт'!DA44*-1</f>
        <v>5377.8659454469234</v>
      </c>
    </row>
    <row r="44" spans="1:13" ht="20.100000000000001" customHeight="1" x14ac:dyDescent="0.3">
      <c r="A44" s="366" t="s">
        <v>494</v>
      </c>
      <c r="B44" s="291" t="s">
        <v>206</v>
      </c>
      <c r="C44" s="367">
        <v>4</v>
      </c>
      <c r="D44" s="357">
        <f>'побудинковий звіт'!CU45</f>
        <v>98566.105002239419</v>
      </c>
      <c r="E44" s="341">
        <f>'побудинковий звіт'!CV45</f>
        <v>79324.7272099275</v>
      </c>
      <c r="F44" s="341">
        <f t="shared" si="0"/>
        <v>-19241.37779231192</v>
      </c>
      <c r="G44" s="358">
        <f t="shared" si="1"/>
        <v>0.8047870736915621</v>
      </c>
      <c r="H44" s="352">
        <f>('побудинковий звіт'!AS45+'побудинковий звіт'!BQ45)*1.2</f>
        <v>19838.916612430625</v>
      </c>
      <c r="I44" s="340">
        <f>('побудинковий звіт'!AT45+'побудинковий звіт'!BR45)*1.2</f>
        <v>704.95448188343369</v>
      </c>
      <c r="J44" s="340">
        <f t="shared" si="2"/>
        <v>-19133.962130547192</v>
      </c>
      <c r="K44" s="361">
        <f t="shared" si="3"/>
        <v>3.5533920307005314E-2</v>
      </c>
      <c r="L44" s="363">
        <f>'побудинковий звіт'!DE45</f>
        <v>3779.4672809215881</v>
      </c>
      <c r="M44" s="544">
        <f>'побудинковий звіт'!DA45*-1</f>
        <v>-30205.57583265318</v>
      </c>
    </row>
    <row r="45" spans="1:13" ht="20.100000000000001" customHeight="1" x14ac:dyDescent="0.3">
      <c r="A45" s="366" t="s">
        <v>495</v>
      </c>
      <c r="B45" s="291" t="s">
        <v>245</v>
      </c>
      <c r="C45" s="367">
        <v>5</v>
      </c>
      <c r="D45" s="357">
        <f>'побудинковий звіт'!CU46</f>
        <v>103227.35073260071</v>
      </c>
      <c r="E45" s="341">
        <f>'побудинковий звіт'!CV46</f>
        <v>88618.144131283581</v>
      </c>
      <c r="F45" s="341">
        <f t="shared" si="0"/>
        <v>-14609.206601317128</v>
      </c>
      <c r="G45" s="358">
        <f t="shared" si="1"/>
        <v>0.85847542828876144</v>
      </c>
      <c r="H45" s="352">
        <f>('побудинковий звіт'!AS46+'побудинковий звіт'!BQ46)*1.2</f>
        <v>21324.918210006796</v>
      </c>
      <c r="I45" s="340">
        <f>('побудинковий звіт'!AT46+'побудинковий звіт'!BR46)*1.2</f>
        <v>5972.4546571137735</v>
      </c>
      <c r="J45" s="340">
        <f t="shared" si="2"/>
        <v>-15352.463552893023</v>
      </c>
      <c r="K45" s="361">
        <f t="shared" si="3"/>
        <v>0.28006928787708912</v>
      </c>
      <c r="L45" s="363">
        <f>'побудинковий звіт'!DE46</f>
        <v>226.63384695133482</v>
      </c>
      <c r="M45" s="544">
        <f>'побудинковий звіт'!DA46*-1</f>
        <v>-25522.641621229897</v>
      </c>
    </row>
    <row r="46" spans="1:13" ht="20.100000000000001" customHeight="1" x14ac:dyDescent="0.3">
      <c r="A46" s="366" t="s">
        <v>496</v>
      </c>
      <c r="B46" s="291" t="s">
        <v>343</v>
      </c>
      <c r="C46" s="367">
        <v>9</v>
      </c>
      <c r="D46" s="357">
        <f>'побудинковий звіт'!CU47</f>
        <v>170862.79016377608</v>
      </c>
      <c r="E46" s="341">
        <f>'побудинковий звіт'!CV47</f>
        <v>155521.58148645971</v>
      </c>
      <c r="F46" s="341">
        <f t="shared" si="0"/>
        <v>-15341.208677316376</v>
      </c>
      <c r="G46" s="358">
        <f t="shared" si="1"/>
        <v>0.91021328480816999</v>
      </c>
      <c r="H46" s="352">
        <f>('побудинковий звіт'!AS47+'побудинковий звіт'!BQ47)*1.2</f>
        <v>41748.903805204187</v>
      </c>
      <c r="I46" s="340">
        <f>('побудинковий звіт'!AT47+'побудинковий звіт'!BR47)*1.2</f>
        <v>21987.547875598393</v>
      </c>
      <c r="J46" s="340">
        <f t="shared" si="2"/>
        <v>-19761.355929605794</v>
      </c>
      <c r="K46" s="361">
        <f t="shared" si="3"/>
        <v>0.52666168142258019</v>
      </c>
      <c r="L46" s="363">
        <f>'побудинковий звіт'!DE47</f>
        <v>21113.632620529286</v>
      </c>
      <c r="M46" s="544">
        <f>'побудинковий звіт'!DA47*-1</f>
        <v>2757.4429696341831</v>
      </c>
    </row>
    <row r="47" spans="1:13" ht="20.100000000000001" customHeight="1" x14ac:dyDescent="0.3">
      <c r="A47" s="366" t="s">
        <v>497</v>
      </c>
      <c r="B47" s="291" t="s">
        <v>344</v>
      </c>
      <c r="C47" s="367">
        <v>9</v>
      </c>
      <c r="D47" s="357">
        <f>'побудинковий звіт'!CU48</f>
        <v>484595.00541351724</v>
      </c>
      <c r="E47" s="341">
        <f>'побудинковий звіт'!CV48</f>
        <v>416395.23110334529</v>
      </c>
      <c r="F47" s="341">
        <f t="shared" si="0"/>
        <v>-68199.774310171953</v>
      </c>
      <c r="G47" s="358">
        <f t="shared" si="1"/>
        <v>0.85926438871986444</v>
      </c>
      <c r="H47" s="352">
        <f>('побудинковий звіт'!AS48+'побудинковий звіт'!BQ48)*1.2</f>
        <v>121656.20504691753</v>
      </c>
      <c r="I47" s="340">
        <f>('побудинковий звіт'!AT48+'побудинковий звіт'!BR48)*1.2</f>
        <v>48040.761867889858</v>
      </c>
      <c r="J47" s="340">
        <f t="shared" si="2"/>
        <v>-73615.443179027672</v>
      </c>
      <c r="K47" s="361">
        <f t="shared" si="3"/>
        <v>0.39488953193437704</v>
      </c>
      <c r="L47" s="363">
        <f>'побудинковий звіт'!DE48</f>
        <v>33614.70842854384</v>
      </c>
      <c r="M47" s="546">
        <f>'побудинковий звіт'!DA48*-1</f>
        <v>-356.49577044008765</v>
      </c>
    </row>
    <row r="48" spans="1:13" ht="20.100000000000001" customHeight="1" x14ac:dyDescent="0.3">
      <c r="A48" s="366" t="s">
        <v>498</v>
      </c>
      <c r="B48" s="291" t="s">
        <v>345</v>
      </c>
      <c r="C48" s="367">
        <v>9</v>
      </c>
      <c r="D48" s="357">
        <f>'побудинковий звіт'!CU49</f>
        <v>295554.91704247118</v>
      </c>
      <c r="E48" s="341">
        <f>'побудинковий звіт'!CV49</f>
        <v>249769.8770564961</v>
      </c>
      <c r="F48" s="341">
        <f t="shared" si="0"/>
        <v>-45785.039985975076</v>
      </c>
      <c r="G48" s="358">
        <f t="shared" si="1"/>
        <v>0.84508787590430856</v>
      </c>
      <c r="H48" s="352">
        <f>('побудинковий звіт'!AS49+'побудинковий звіт'!BQ49)*1.2</f>
        <v>78292.84155531734</v>
      </c>
      <c r="I48" s="340">
        <f>('побудинковий звіт'!AT49+'побудинковий звіт'!BR49)*1.2</f>
        <v>29152.187999999998</v>
      </c>
      <c r="J48" s="340">
        <f t="shared" si="2"/>
        <v>-49140.653555317345</v>
      </c>
      <c r="K48" s="361">
        <f t="shared" si="3"/>
        <v>0.37234806427868239</v>
      </c>
      <c r="L48" s="363">
        <f>'побудинковий звіт'!DE49</f>
        <v>21229.528032538183</v>
      </c>
      <c r="M48" s="544">
        <f>'побудинковий звіт'!DA49*-1</f>
        <v>-4689.0901293969873</v>
      </c>
    </row>
    <row r="49" spans="1:13" ht="20.100000000000001" customHeight="1" x14ac:dyDescent="0.3">
      <c r="A49" s="366" t="s">
        <v>499</v>
      </c>
      <c r="B49" s="291" t="s">
        <v>346</v>
      </c>
      <c r="C49" s="367">
        <v>9</v>
      </c>
      <c r="D49" s="357">
        <f>'побудинковий звіт'!CU50</f>
        <v>656388.92865386198</v>
      </c>
      <c r="E49" s="341">
        <f>'побудинковий звіт'!CV50</f>
        <v>609427.27936970722</v>
      </c>
      <c r="F49" s="341">
        <f t="shared" si="0"/>
        <v>-46961.649284154759</v>
      </c>
      <c r="G49" s="358">
        <f t="shared" si="1"/>
        <v>0.92845453779900766</v>
      </c>
      <c r="H49" s="352">
        <f>('побудинковий звіт'!AS50+'побудинковий звіт'!BQ50)*1.2</f>
        <v>190408.87388922257</v>
      </c>
      <c r="I49" s="340">
        <f>('побудинковий звіт'!AT50+'побудинковий звіт'!BR50)*1.2</f>
        <v>177137.076</v>
      </c>
      <c r="J49" s="340">
        <f t="shared" si="2"/>
        <v>-13271.797889222566</v>
      </c>
      <c r="K49" s="361">
        <f t="shared" si="3"/>
        <v>0.93029842770382687</v>
      </c>
      <c r="L49" s="363">
        <f>'побудинковий звіт'!DE50</f>
        <v>22254.440260834075</v>
      </c>
      <c r="M49" s="546">
        <f>'побудинковий звіт'!DA50*-1</f>
        <v>53283.784979657226</v>
      </c>
    </row>
    <row r="50" spans="1:13" ht="20.100000000000001" customHeight="1" x14ac:dyDescent="0.3">
      <c r="A50" s="366" t="s">
        <v>500</v>
      </c>
      <c r="B50" s="291" t="s">
        <v>347</v>
      </c>
      <c r="C50" s="367">
        <v>9</v>
      </c>
      <c r="D50" s="357">
        <f>'побудинковий звіт'!CU51</f>
        <v>456140.12943465164</v>
      </c>
      <c r="E50" s="341">
        <f>'побудинковий звіт'!CV51</f>
        <v>357551.78254538879</v>
      </c>
      <c r="F50" s="341">
        <f t="shared" si="0"/>
        <v>-98588.346889262844</v>
      </c>
      <c r="G50" s="358">
        <f t="shared" si="1"/>
        <v>0.78386390381513893</v>
      </c>
      <c r="H50" s="352">
        <f>('побудинковий звіт'!AS51+'побудинковий звіт'!BQ51)*1.2</f>
        <v>154524.2364112077</v>
      </c>
      <c r="I50" s="340">
        <f>('побудинковий звіт'!AT51+'побудинковий звіт'!BR51)*1.2</f>
        <v>67953.107066455414</v>
      </c>
      <c r="J50" s="340">
        <f t="shared" si="2"/>
        <v>-86571.129344752291</v>
      </c>
      <c r="K50" s="361">
        <f t="shared" si="3"/>
        <v>0.43975695104309698</v>
      </c>
      <c r="L50" s="363">
        <f>'побудинковий звіт'!DE51</f>
        <v>60873.474233599292</v>
      </c>
      <c r="M50" s="546">
        <f>'побудинковий звіт'!DA51*-1</f>
        <v>-99145.448651565181</v>
      </c>
    </row>
    <row r="51" spans="1:13" ht="20.100000000000001" customHeight="1" x14ac:dyDescent="0.3">
      <c r="A51" s="366" t="s">
        <v>501</v>
      </c>
      <c r="B51" s="291" t="s">
        <v>246</v>
      </c>
      <c r="C51" s="367">
        <v>5</v>
      </c>
      <c r="D51" s="357">
        <f>'побудинковий звіт'!CU52</f>
        <v>213789.59180348349</v>
      </c>
      <c r="E51" s="341">
        <f>'побудинковий звіт'!CV52</f>
        <v>173591.16837383201</v>
      </c>
      <c r="F51" s="341">
        <f t="shared" si="0"/>
        <v>-40198.423429651477</v>
      </c>
      <c r="G51" s="358">
        <f t="shared" si="1"/>
        <v>0.81197202777485034</v>
      </c>
      <c r="H51" s="352">
        <f>('побудинковий звіт'!AS52+'побудинковий звіт'!BQ52)*1.2</f>
        <v>56708.051525382129</v>
      </c>
      <c r="I51" s="340">
        <f>('побудинковий звіт'!AT52+'побудинковий звіт'!BR52)*1.2</f>
        <v>20709.3</v>
      </c>
      <c r="J51" s="340">
        <f t="shared" si="2"/>
        <v>-35998.751525382133</v>
      </c>
      <c r="K51" s="361">
        <f t="shared" si="3"/>
        <v>0.36519152823881917</v>
      </c>
      <c r="L51" s="363">
        <f>'побудинковий звіт'!DE52</f>
        <v>22143.009989483948</v>
      </c>
      <c r="M51" s="544">
        <f>'побудинковий звіт'!DA52*-1</f>
        <v>-13306.061993240975</v>
      </c>
    </row>
    <row r="52" spans="1:13" ht="20.100000000000001" customHeight="1" x14ac:dyDescent="0.3">
      <c r="A52" s="366" t="s">
        <v>502</v>
      </c>
      <c r="B52" s="291" t="s">
        <v>51</v>
      </c>
      <c r="C52" s="367">
        <v>1</v>
      </c>
      <c r="D52" s="357">
        <f>'побудинковий звіт'!CU53</f>
        <v>898.66187001422338</v>
      </c>
      <c r="E52" s="341">
        <f>'побудинковий звіт'!CV53</f>
        <v>738.03884610263128</v>
      </c>
      <c r="F52" s="341">
        <f t="shared" si="0"/>
        <v>-160.6230239115921</v>
      </c>
      <c r="G52" s="358">
        <f t="shared" si="1"/>
        <v>0.82126422710129021</v>
      </c>
      <c r="H52" s="352">
        <f>('побудинковий звіт'!AS53+'побудинковий звіт'!BQ53)*1.2</f>
        <v>98.307607303322882</v>
      </c>
      <c r="I52" s="340">
        <f>('побудинковий звіт'!AT53+'побудинковий звіт'!BR53)*1.2</f>
        <v>0</v>
      </c>
      <c r="J52" s="340">
        <f t="shared" si="2"/>
        <v>-98.307607303322882</v>
      </c>
      <c r="K52" s="361">
        <f t="shared" si="3"/>
        <v>0</v>
      </c>
      <c r="L52" s="363">
        <f>'побудинковий звіт'!DE53</f>
        <v>-94.862935254096158</v>
      </c>
      <c r="M52" s="544">
        <f>'побудинковий звіт'!DA53*-1</f>
        <v>-168.59974543254481</v>
      </c>
    </row>
    <row r="53" spans="1:13" ht="20.100000000000001" customHeight="1" x14ac:dyDescent="0.3">
      <c r="A53" s="366" t="s">
        <v>503</v>
      </c>
      <c r="B53" s="291" t="s">
        <v>52</v>
      </c>
      <c r="C53" s="367">
        <v>1</v>
      </c>
      <c r="D53" s="357">
        <f>'побудинковий звіт'!CU54</f>
        <v>4572.7452751332476</v>
      </c>
      <c r="E53" s="341">
        <f>'побудинковий звіт'!CV54</f>
        <v>2335.9916513326048</v>
      </c>
      <c r="F53" s="341">
        <f t="shared" si="0"/>
        <v>-2236.7536238006428</v>
      </c>
      <c r="G53" s="358">
        <f t="shared" si="1"/>
        <v>0.51085103384958064</v>
      </c>
      <c r="H53" s="352">
        <f>('побудинковий звіт'!AS54+'побудинковий звіт'!BQ54)*1.2</f>
        <v>3346.424677670534</v>
      </c>
      <c r="I53" s="340">
        <f>('побудинковий звіт'!AT54+'побудинковий звіт'!BR54)*1.2</f>
        <v>0</v>
      </c>
      <c r="J53" s="340">
        <f t="shared" si="2"/>
        <v>-3346.424677670534</v>
      </c>
      <c r="K53" s="361">
        <f t="shared" si="3"/>
        <v>0</v>
      </c>
      <c r="L53" s="363">
        <f>'побудинковий звіт'!DE54</f>
        <v>235.4599163759878</v>
      </c>
      <c r="M53" s="544">
        <f>'побудинковий звіт'!DA54*-1</f>
        <v>6230.1557126058688</v>
      </c>
    </row>
    <row r="54" spans="1:13" ht="20.100000000000001" customHeight="1" x14ac:dyDescent="0.3">
      <c r="A54" s="366" t="s">
        <v>504</v>
      </c>
      <c r="B54" s="291" t="s">
        <v>247</v>
      </c>
      <c r="C54" s="367">
        <v>5</v>
      </c>
      <c r="D54" s="357">
        <f>'побудинковий звіт'!CU55</f>
        <v>145808.96047918411</v>
      </c>
      <c r="E54" s="341">
        <f>'побудинковий звіт'!CV55</f>
        <v>124385.57206692439</v>
      </c>
      <c r="F54" s="341">
        <f t="shared" si="0"/>
        <v>-21423.388412259723</v>
      </c>
      <c r="G54" s="358">
        <f t="shared" si="1"/>
        <v>0.85307220940431738</v>
      </c>
      <c r="H54" s="352">
        <f>('побудинковий звіт'!AS55+'побудинковий звіт'!BQ55)*1.2</f>
        <v>41348.099615907879</v>
      </c>
      <c r="I54" s="340">
        <f>('побудинковий звіт'!AT55+'побудинковий звіт'!BR55)*1.2</f>
        <v>14926.8</v>
      </c>
      <c r="J54" s="340">
        <f t="shared" si="2"/>
        <v>-26421.299615907879</v>
      </c>
      <c r="K54" s="361">
        <f t="shared" si="3"/>
        <v>0.36100329008245891</v>
      </c>
      <c r="L54" s="363">
        <f>'побудинковий звіт'!DE55</f>
        <v>1809.371498414197</v>
      </c>
      <c r="M54" s="544">
        <f>'побудинковий звіт'!DA55*-1</f>
        <v>37799.657526664028</v>
      </c>
    </row>
    <row r="55" spans="1:13" ht="20.100000000000001" customHeight="1" x14ac:dyDescent="0.3">
      <c r="A55" s="366" t="s">
        <v>505</v>
      </c>
      <c r="B55" s="291" t="s">
        <v>207</v>
      </c>
      <c r="C55" s="367">
        <v>4</v>
      </c>
      <c r="D55" s="357">
        <f>'побудинковий звіт'!CU56</f>
        <v>77949.752292508056</v>
      </c>
      <c r="E55" s="341">
        <f>'побудинковий звіт'!CV56</f>
        <v>109700.07567604461</v>
      </c>
      <c r="F55" s="341">
        <f t="shared" si="0"/>
        <v>31750.323383536554</v>
      </c>
      <c r="G55" s="358">
        <f t="shared" si="1"/>
        <v>1.4073178226967651</v>
      </c>
      <c r="H55" s="352">
        <f>('побудинковий звіт'!AS56+'побудинковий звіт'!BQ56)*1.2</f>
        <v>20235.296699900387</v>
      </c>
      <c r="I55" s="340">
        <f>('побудинковий звіт'!AT56+'побудинковий звіт'!BR56)*1.2</f>
        <v>49681.560000000005</v>
      </c>
      <c r="J55" s="340">
        <f t="shared" si="2"/>
        <v>29446.263300099617</v>
      </c>
      <c r="K55" s="361">
        <f t="shared" si="3"/>
        <v>2.4551930587825073</v>
      </c>
      <c r="L55" s="363">
        <f>'побудинковий звіт'!DE56</f>
        <v>23871.774844794079</v>
      </c>
      <c r="M55" s="544">
        <f>'побудинковий звіт'!DA56*-1</f>
        <v>-9574.9931927621401</v>
      </c>
    </row>
    <row r="56" spans="1:13" ht="20.100000000000001" customHeight="1" x14ac:dyDescent="0.3">
      <c r="A56" s="366" t="s">
        <v>506</v>
      </c>
      <c r="B56" s="291" t="s">
        <v>248</v>
      </c>
      <c r="C56" s="367">
        <v>5</v>
      </c>
      <c r="D56" s="357">
        <f>'побудинковий звіт'!CU57</f>
        <v>172167.16402374968</v>
      </c>
      <c r="E56" s="341">
        <f>'побудинковий звіт'!CV57</f>
        <v>173093.47345636718</v>
      </c>
      <c r="F56" s="341">
        <f t="shared" si="0"/>
        <v>926.30943261750508</v>
      </c>
      <c r="G56" s="358">
        <f t="shared" si="1"/>
        <v>1.005380290939158</v>
      </c>
      <c r="H56" s="352">
        <f>('побудинковий звіт'!AS57+'побудинковий звіт'!BQ57)*1.2</f>
        <v>72421.631752596426</v>
      </c>
      <c r="I56" s="340">
        <f>('побудинковий звіт'!AT57+'побудинковий звіт'!BR57)*1.2</f>
        <v>78133.02</v>
      </c>
      <c r="J56" s="340">
        <f t="shared" si="2"/>
        <v>5711.3882474035781</v>
      </c>
      <c r="K56" s="361">
        <f t="shared" si="3"/>
        <v>1.0788630152233323</v>
      </c>
      <c r="L56" s="363">
        <f>'побудинковий звіт'!DE57</f>
        <v>14219.022222974876</v>
      </c>
      <c r="M56" s="547">
        <f>'побудинковий звіт'!DA57*-1</f>
        <v>33001.226020045673</v>
      </c>
    </row>
    <row r="57" spans="1:13" ht="20.100000000000001" customHeight="1" x14ac:dyDescent="0.3">
      <c r="A57" s="366" t="s">
        <v>507</v>
      </c>
      <c r="B57" s="291" t="s">
        <v>53</v>
      </c>
      <c r="C57" s="367">
        <v>1</v>
      </c>
      <c r="D57" s="357">
        <f>'побудинковий звіт'!CU58</f>
        <v>4159.7250966994743</v>
      </c>
      <c r="E57" s="341">
        <f>'побудинковий звіт'!CV58</f>
        <v>1909.7550954773183</v>
      </c>
      <c r="F57" s="341">
        <f t="shared" si="0"/>
        <v>-2249.970001222156</v>
      </c>
      <c r="G57" s="358">
        <f t="shared" si="1"/>
        <v>0.45910608299394823</v>
      </c>
      <c r="H57" s="352">
        <f>('побудинковий звіт'!AS58+'побудинковий звіт'!BQ58)*1.2</f>
        <v>2995.160003264768</v>
      </c>
      <c r="I57" s="340">
        <f>('побудинковий звіт'!AT58+'побудинковий звіт'!BR58)*1.2</f>
        <v>0</v>
      </c>
      <c r="J57" s="340">
        <f t="shared" si="2"/>
        <v>-2995.160003264768</v>
      </c>
      <c r="K57" s="361">
        <f t="shared" si="3"/>
        <v>0</v>
      </c>
      <c r="L57" s="363">
        <f>'побудинковий звіт'!DE58</f>
        <v>815.15003284973386</v>
      </c>
      <c r="M57" s="544">
        <f>'побудинковий звіт'!DA58*-1</f>
        <v>-10165.586042521336</v>
      </c>
    </row>
    <row r="58" spans="1:13" ht="20.100000000000001" customHeight="1" x14ac:dyDescent="0.3">
      <c r="A58" s="366" t="s">
        <v>508</v>
      </c>
      <c r="B58" s="291" t="s">
        <v>249</v>
      </c>
      <c r="C58" s="367">
        <v>5</v>
      </c>
      <c r="D58" s="357">
        <f>'побудинковий звіт'!CU59</f>
        <v>133968.37860383408</v>
      </c>
      <c r="E58" s="341">
        <f>'побудинковий звіт'!CV59</f>
        <v>109181.38981726445</v>
      </c>
      <c r="F58" s="341">
        <f t="shared" si="0"/>
        <v>-24786.988786569622</v>
      </c>
      <c r="G58" s="358">
        <f t="shared" si="1"/>
        <v>0.81497881033651443</v>
      </c>
      <c r="H58" s="352">
        <f>('побудинковий звіт'!AS59+'побудинковий звіт'!BQ59)*1.2</f>
        <v>32391.454734743391</v>
      </c>
      <c r="I58" s="340">
        <f>('побудинковий звіт'!AT59+'побудинковий звіт'!BR59)*1.2</f>
        <v>6869.8247009213583</v>
      </c>
      <c r="J58" s="340">
        <f t="shared" si="2"/>
        <v>-25521.630033822032</v>
      </c>
      <c r="K58" s="361">
        <f t="shared" si="3"/>
        <v>0.21208756312981267</v>
      </c>
      <c r="L58" s="363">
        <f>'побудинковий звіт'!DE59</f>
        <v>89152.82817982079</v>
      </c>
      <c r="M58" s="546">
        <f>'побудинковий звіт'!DA59*-1</f>
        <v>-53173.933382572635</v>
      </c>
    </row>
    <row r="59" spans="1:13" ht="20.100000000000001" customHeight="1" x14ac:dyDescent="0.3">
      <c r="A59" s="366" t="s">
        <v>509</v>
      </c>
      <c r="B59" s="291" t="s">
        <v>250</v>
      </c>
      <c r="C59" s="367">
        <v>5</v>
      </c>
      <c r="D59" s="357">
        <f>'побудинковий звіт'!CU60</f>
        <v>184518.19768430019</v>
      </c>
      <c r="E59" s="341">
        <f>'побудинковий звіт'!CV60</f>
        <v>149078.11215773437</v>
      </c>
      <c r="F59" s="341">
        <f t="shared" si="0"/>
        <v>-35440.085526565817</v>
      </c>
      <c r="G59" s="358">
        <f t="shared" si="1"/>
        <v>0.80793175973243725</v>
      </c>
      <c r="H59" s="352">
        <f>('побудинковий звіт'!AS60+'побудинковий звіт'!BQ60)*1.2</f>
        <v>43204.991168437664</v>
      </c>
      <c r="I59" s="340">
        <f>('побудинковий звіт'!AT60+'побудинковий звіт'!BR60)*1.2</f>
        <v>8337.6</v>
      </c>
      <c r="J59" s="340">
        <f t="shared" si="2"/>
        <v>-34867.391168437665</v>
      </c>
      <c r="K59" s="361">
        <f t="shared" si="3"/>
        <v>0.19297770406884907</v>
      </c>
      <c r="L59" s="363">
        <f>'побудинковий звіт'!DE60</f>
        <v>30043.139473546438</v>
      </c>
      <c r="M59" s="544">
        <f>'побудинковий звіт'!DA60*-1</f>
        <v>12335.421227189632</v>
      </c>
    </row>
    <row r="60" spans="1:13" ht="20.100000000000001" customHeight="1" x14ac:dyDescent="0.3">
      <c r="A60" s="366" t="s">
        <v>510</v>
      </c>
      <c r="B60" s="291" t="s">
        <v>251</v>
      </c>
      <c r="C60" s="367">
        <v>5</v>
      </c>
      <c r="D60" s="357">
        <f>'побудинковий звіт'!CU61</f>
        <v>86827.692356153784</v>
      </c>
      <c r="E60" s="341">
        <f>'побудинковий звіт'!CV61</f>
        <v>69634.027355806757</v>
      </c>
      <c r="F60" s="341">
        <f t="shared" si="0"/>
        <v>-17193.665000347028</v>
      </c>
      <c r="G60" s="358">
        <f t="shared" si="1"/>
        <v>0.80197947758623744</v>
      </c>
      <c r="H60" s="352">
        <f>('побудинковий звіт'!AS61+'побудинковий звіт'!BQ61)*1.2</f>
        <v>24686.82715696187</v>
      </c>
      <c r="I60" s="340">
        <f>('побудинковий звіт'!AT61+'побудинковий звіт'!BR61)*1.2</f>
        <v>5107.2</v>
      </c>
      <c r="J60" s="340">
        <f t="shared" si="2"/>
        <v>-19579.627156961869</v>
      </c>
      <c r="K60" s="361">
        <f t="shared" si="3"/>
        <v>0.2068795624292987</v>
      </c>
      <c r="L60" s="363">
        <f>'побудинковий звіт'!DE61</f>
        <v>12776.179558599753</v>
      </c>
      <c r="M60" s="544">
        <f>'побудинковий звіт'!DA61*-1</f>
        <v>-28053.923270895168</v>
      </c>
    </row>
    <row r="61" spans="1:13" ht="20.100000000000001" customHeight="1" x14ac:dyDescent="0.3">
      <c r="A61" s="366" t="s">
        <v>511</v>
      </c>
      <c r="B61" s="291" t="s">
        <v>334</v>
      </c>
      <c r="C61" s="367">
        <v>6</v>
      </c>
      <c r="D61" s="357">
        <f>'побудинковий звіт'!CU62</f>
        <v>146207.64201498797</v>
      </c>
      <c r="E61" s="341">
        <f>'побудинковий звіт'!CV62</f>
        <v>95091.862915091231</v>
      </c>
      <c r="F61" s="341">
        <f t="shared" si="0"/>
        <v>-51115.779099896739</v>
      </c>
      <c r="G61" s="358">
        <f t="shared" si="1"/>
        <v>0.65038914248643187</v>
      </c>
      <c r="H61" s="352">
        <f>('побудинковий звіт'!AS62+'побудинковий звіт'!BQ62)*1.2</f>
        <v>58764.52534257224</v>
      </c>
      <c r="I61" s="340">
        <f>('побудинковий звіт'!AT62+'побудинковий звіт'!BR62)*1.2</f>
        <v>643.19999999999993</v>
      </c>
      <c r="J61" s="340">
        <f t="shared" si="2"/>
        <v>-58121.325342572243</v>
      </c>
      <c r="K61" s="361">
        <f t="shared" si="3"/>
        <v>1.0945378972269697E-2</v>
      </c>
      <c r="L61" s="363">
        <f>'побудинковий звіт'!DE62</f>
        <v>24525.838199644622</v>
      </c>
      <c r="M61" s="544">
        <f>'побудинковий звіт'!DA62*-1</f>
        <v>65122.98591449474</v>
      </c>
    </row>
    <row r="62" spans="1:13" ht="20.100000000000001" customHeight="1" x14ac:dyDescent="0.3">
      <c r="A62" s="366" t="s">
        <v>512</v>
      </c>
      <c r="B62" s="291" t="s">
        <v>208</v>
      </c>
      <c r="C62" s="367">
        <v>4</v>
      </c>
      <c r="D62" s="357">
        <f>'побудинковий звіт'!CU63</f>
        <v>88261.234294865528</v>
      </c>
      <c r="E62" s="341">
        <f>'побудинковий звіт'!CV63</f>
        <v>180967.41372526289</v>
      </c>
      <c r="F62" s="341">
        <f t="shared" si="0"/>
        <v>92706.179430397358</v>
      </c>
      <c r="G62" s="358">
        <f t="shared" si="1"/>
        <v>2.0503612392353596</v>
      </c>
      <c r="H62" s="352">
        <f>('побудинковий звіт'!AS63+'побудинковий звіт'!BQ63)*1.2</f>
        <v>19322.3584720783</v>
      </c>
      <c r="I62" s="340">
        <f>('побудинковий звіт'!AT63+'побудинковий звіт'!BR63)*1.2</f>
        <v>107913.59999999999</v>
      </c>
      <c r="J62" s="340">
        <f t="shared" si="2"/>
        <v>88591.241527921695</v>
      </c>
      <c r="K62" s="361">
        <f t="shared" si="3"/>
        <v>5.5849082893240034</v>
      </c>
      <c r="L62" s="363">
        <f>'побудинковий звіт'!DE63</f>
        <v>9582.9906371499892</v>
      </c>
      <c r="M62" s="546">
        <f>'побудинковий звіт'!DA63*-1</f>
        <v>-93969.001461084539</v>
      </c>
    </row>
    <row r="63" spans="1:13" ht="20.100000000000001" customHeight="1" x14ac:dyDescent="0.3">
      <c r="A63" s="366" t="s">
        <v>513</v>
      </c>
      <c r="B63" s="291" t="s">
        <v>152</v>
      </c>
      <c r="C63" s="367">
        <v>2</v>
      </c>
      <c r="D63" s="357">
        <f>'побудинковий звіт'!CU64</f>
        <v>11997.921377424414</v>
      </c>
      <c r="E63" s="341">
        <f>'побудинковий звіт'!CV64</f>
        <v>5737.0249016026737</v>
      </c>
      <c r="F63" s="341">
        <f t="shared" si="0"/>
        <v>-6260.8964758217408</v>
      </c>
      <c r="G63" s="358">
        <f t="shared" si="1"/>
        <v>0.47816823607442549</v>
      </c>
      <c r="H63" s="352">
        <f>('побудинковий звіт'!AS64+'побудинковий звіт'!BQ64)*1.2</f>
        <v>6049.3661099361043</v>
      </c>
      <c r="I63" s="340">
        <f>('побудинковий звіт'!AT64+'побудинковий звіт'!BR64)*1.2</f>
        <v>181.2</v>
      </c>
      <c r="J63" s="340">
        <f t="shared" si="2"/>
        <v>-5868.1661099361045</v>
      </c>
      <c r="K63" s="361">
        <f t="shared" si="3"/>
        <v>2.9953551613015845E-2</v>
      </c>
      <c r="L63" s="363">
        <f>'побудинковий звіт'!DE64</f>
        <v>279.63912380654892</v>
      </c>
      <c r="M63" s="544">
        <f>'побудинковий звіт'!DA64*-1</f>
        <v>19940.651592976305</v>
      </c>
    </row>
    <row r="64" spans="1:13" ht="20.100000000000001" customHeight="1" x14ac:dyDescent="0.3">
      <c r="A64" s="366" t="s">
        <v>514</v>
      </c>
      <c r="B64" s="291" t="s">
        <v>54</v>
      </c>
      <c r="C64" s="367">
        <v>1</v>
      </c>
      <c r="D64" s="357">
        <f>'побудинковий звіт'!CU65</f>
        <v>3740.0882518481344</v>
      </c>
      <c r="E64" s="341">
        <f>'побудинковий звіт'!CV65</f>
        <v>1832.6334108332583</v>
      </c>
      <c r="F64" s="341">
        <f t="shared" si="0"/>
        <v>-1907.4548410148761</v>
      </c>
      <c r="G64" s="358">
        <f t="shared" si="1"/>
        <v>0.48999737103200097</v>
      </c>
      <c r="H64" s="352">
        <f>('побудинковий звіт'!AS65+'побудинковий звіт'!BQ65)*1.2</f>
        <v>2564.6557366517691</v>
      </c>
      <c r="I64" s="340">
        <f>('побудинковий звіт'!AT65+'побудинковий звіт'!BR65)*1.2</f>
        <v>0</v>
      </c>
      <c r="J64" s="340">
        <f t="shared" si="2"/>
        <v>-2564.6557366517691</v>
      </c>
      <c r="K64" s="361">
        <f t="shared" si="3"/>
        <v>0</v>
      </c>
      <c r="L64" s="363">
        <f>'побудинковий звіт'!DE65</f>
        <v>69.087146416146027</v>
      </c>
      <c r="M64" s="544">
        <f>'побудинковий звіт'!DA65*-1</f>
        <v>2646.3536106207557</v>
      </c>
    </row>
    <row r="65" spans="1:13" ht="20.100000000000001" customHeight="1" x14ac:dyDescent="0.3">
      <c r="A65" s="366" t="s">
        <v>515</v>
      </c>
      <c r="B65" s="291" t="s">
        <v>55</v>
      </c>
      <c r="C65" s="367">
        <v>1</v>
      </c>
      <c r="D65" s="357">
        <f>'побудинковий звіт'!CU66</f>
        <v>1636.7585324957704</v>
      </c>
      <c r="E65" s="341">
        <f>'побудинковий звіт'!CV66</f>
        <v>812.00349619259975</v>
      </c>
      <c r="F65" s="341">
        <f t="shared" si="0"/>
        <v>-824.75503630317064</v>
      </c>
      <c r="G65" s="358">
        <f t="shared" si="1"/>
        <v>0.49610463612762506</v>
      </c>
      <c r="H65" s="352">
        <f>('побудинковий звіт'!AS66+'побудинковий звіт'!BQ66)*1.2</f>
        <v>1093.03698319245</v>
      </c>
      <c r="I65" s="340">
        <f>('побудинковий звіт'!AT66+'побудинковий звіт'!BR66)*1.2</f>
        <v>0</v>
      </c>
      <c r="J65" s="340">
        <f t="shared" si="2"/>
        <v>-1093.03698319245</v>
      </c>
      <c r="K65" s="361">
        <f t="shared" si="3"/>
        <v>0</v>
      </c>
      <c r="L65" s="363">
        <f>'побудинковий звіт'!DE66</f>
        <v>25.264648046764506</v>
      </c>
      <c r="M65" s="544">
        <f>'побудинковий звіт'!DA66*-1</f>
        <v>-10087.766356315589</v>
      </c>
    </row>
    <row r="66" spans="1:13" ht="20.100000000000001" customHeight="1" x14ac:dyDescent="0.3">
      <c r="A66" s="366" t="s">
        <v>516</v>
      </c>
      <c r="B66" s="291" t="s">
        <v>56</v>
      </c>
      <c r="C66" s="367">
        <v>1</v>
      </c>
      <c r="D66" s="357">
        <f>'побудинковий звіт'!CU67</f>
        <v>0</v>
      </c>
      <c r="E66" s="341">
        <f>'побудинковий звіт'!CV67</f>
        <v>0</v>
      </c>
      <c r="F66" s="341">
        <f t="shared" si="0"/>
        <v>0</v>
      </c>
      <c r="G66" s="358" t="e">
        <f t="shared" si="1"/>
        <v>#DIV/0!</v>
      </c>
      <c r="H66" s="352">
        <f>('побудинковий звіт'!AS67+'побудинковий звіт'!BQ67)*1.2</f>
        <v>0</v>
      </c>
      <c r="I66" s="340">
        <f>('побудинковий звіт'!AT67+'побудинковий звіт'!BR67)*1.2</f>
        <v>0</v>
      </c>
      <c r="J66" s="340">
        <f t="shared" si="2"/>
        <v>0</v>
      </c>
      <c r="K66" s="361" t="e">
        <f t="shared" si="3"/>
        <v>#DIV/0!</v>
      </c>
      <c r="L66" s="363">
        <f>'побудинковий звіт'!DE67</f>
        <v>8305.9096424292857</v>
      </c>
      <c r="M66" s="544">
        <f>'побудинковий звіт'!DA67*-1</f>
        <v>1846.6012084197878</v>
      </c>
    </row>
    <row r="67" spans="1:13" ht="20.100000000000001" customHeight="1" x14ac:dyDescent="0.3">
      <c r="A67" s="366" t="s">
        <v>517</v>
      </c>
      <c r="B67" s="291" t="s">
        <v>252</v>
      </c>
      <c r="C67" s="367">
        <v>5</v>
      </c>
      <c r="D67" s="357">
        <f>'побудинковий звіт'!CU68</f>
        <v>86234.722621443041</v>
      </c>
      <c r="E67" s="341">
        <f>'побудинковий звіт'!CV68</f>
        <v>143096.05264037728</v>
      </c>
      <c r="F67" s="341">
        <f t="shared" si="0"/>
        <v>56861.330018934241</v>
      </c>
      <c r="G67" s="358">
        <f t="shared" si="1"/>
        <v>1.6593785924093083</v>
      </c>
      <c r="H67" s="352">
        <f>('побудинковий звіт'!AS68+'побудинковий звіт'!BQ68)*1.2</f>
        <v>27667.728346400556</v>
      </c>
      <c r="I67" s="340">
        <f>('побудинковий звіт'!AT68+'побудинковий звіт'!BR68)*1.2</f>
        <v>84993.730005533071</v>
      </c>
      <c r="J67" s="340">
        <f t="shared" si="2"/>
        <v>57326.001659132511</v>
      </c>
      <c r="K67" s="361">
        <f t="shared" si="3"/>
        <v>3.0719446476201346</v>
      </c>
      <c r="L67" s="363">
        <f>'побудинковий звіт'!DE68</f>
        <v>21998.160195547254</v>
      </c>
      <c r="M67" s="546">
        <f>'побудинковий звіт'!DA68*-1</f>
        <v>-93689.099867393772</v>
      </c>
    </row>
    <row r="68" spans="1:13" ht="20.100000000000001" customHeight="1" x14ac:dyDescent="0.3">
      <c r="A68" s="366" t="s">
        <v>518</v>
      </c>
      <c r="B68" s="291" t="s">
        <v>195</v>
      </c>
      <c r="C68" s="367">
        <v>3</v>
      </c>
      <c r="D68" s="357">
        <f>'побудинковий звіт'!CU69</f>
        <v>56334.619108707324</v>
      </c>
      <c r="E68" s="341">
        <f>'побудинковий звіт'!CV69</f>
        <v>46539.63756828678</v>
      </c>
      <c r="F68" s="341">
        <f t="shared" si="0"/>
        <v>-9794.9815404205438</v>
      </c>
      <c r="G68" s="358">
        <f t="shared" si="1"/>
        <v>0.82612855655384043</v>
      </c>
      <c r="H68" s="352">
        <f>('побудинковий звіт'!AS69+'побудинковий звіт'!BQ69)*1.2</f>
        <v>14345.099942966895</v>
      </c>
      <c r="I68" s="340">
        <f>('побудинковий звіт'!AT69+'побудинковий звіт'!BR69)*1.2</f>
        <v>7669.3757482206329</v>
      </c>
      <c r="J68" s="340">
        <f t="shared" si="2"/>
        <v>-6675.7241947462626</v>
      </c>
      <c r="K68" s="361">
        <f t="shared" si="3"/>
        <v>0.53463383167161327</v>
      </c>
      <c r="L68" s="363">
        <f>'побудинковий звіт'!DE69</f>
        <v>4711.7988294768274</v>
      </c>
      <c r="M68" s="544">
        <f>'побудинковий звіт'!DA69*-1</f>
        <v>-24459.494820756172</v>
      </c>
    </row>
    <row r="69" spans="1:13" ht="20.100000000000001" customHeight="1" x14ac:dyDescent="0.3">
      <c r="A69" s="366" t="s">
        <v>519</v>
      </c>
      <c r="B69" s="291" t="s">
        <v>413</v>
      </c>
      <c r="C69" s="367">
        <v>10</v>
      </c>
      <c r="D69" s="357">
        <f>'побудинковий звіт'!CU70</f>
        <v>192595.88000462786</v>
      </c>
      <c r="E69" s="341">
        <f>'побудинковий звіт'!CV70</f>
        <v>145404.79788031889</v>
      </c>
      <c r="F69" s="341">
        <f t="shared" si="0"/>
        <v>-47191.082124308974</v>
      </c>
      <c r="G69" s="358">
        <f t="shared" si="1"/>
        <v>0.75497356369630009</v>
      </c>
      <c r="H69" s="352">
        <f>('побудинковий звіт'!AS70+'побудинковий звіт'!BQ70)*1.2</f>
        <v>47382.419025278738</v>
      </c>
      <c r="I69" s="340">
        <f>('побудинковий звіт'!AT70+'побудинковий звіт'!BR70)*1.2</f>
        <v>181.2</v>
      </c>
      <c r="J69" s="340">
        <f t="shared" si="2"/>
        <v>-47201.21902527874</v>
      </c>
      <c r="K69" s="361">
        <f t="shared" si="3"/>
        <v>3.8242032324970355E-3</v>
      </c>
      <c r="L69" s="363">
        <f>'побудинковий звіт'!DE70</f>
        <v>5980.8560201163164</v>
      </c>
      <c r="M69" s="546">
        <f>'побудинковий звіт'!DA70*-1</f>
        <v>-31934.884033127855</v>
      </c>
    </row>
    <row r="70" spans="1:13" ht="20.100000000000001" customHeight="1" x14ac:dyDescent="0.3">
      <c r="A70" s="366" t="s">
        <v>520</v>
      </c>
      <c r="B70" s="291" t="s">
        <v>253</v>
      </c>
      <c r="C70" s="367">
        <v>5</v>
      </c>
      <c r="D70" s="357">
        <f>'побудинковий звіт'!CU71</f>
        <v>104683.93332943319</v>
      </c>
      <c r="E70" s="341">
        <f>'побудинковий звіт'!CV71</f>
        <v>87698.136887831381</v>
      </c>
      <c r="F70" s="341">
        <f t="shared" si="0"/>
        <v>-16985.796441601808</v>
      </c>
      <c r="G70" s="358">
        <f t="shared" si="1"/>
        <v>0.8377420880036226</v>
      </c>
      <c r="H70" s="352">
        <f>('побудинковий звіт'!AS71+'побудинковий звіт'!BQ71)*1.2</f>
        <v>27417.868902415874</v>
      </c>
      <c r="I70" s="340">
        <f>('побудинковий звіт'!AT71+'побудинковий звіт'!BR71)*1.2</f>
        <v>4328.3999999999996</v>
      </c>
      <c r="J70" s="340">
        <f t="shared" si="2"/>
        <v>-23089.468902415872</v>
      </c>
      <c r="K70" s="361">
        <f t="shared" si="3"/>
        <v>0.1578678494453889</v>
      </c>
      <c r="L70" s="363">
        <f>'побудинковий звіт'!DE71</f>
        <v>3413.1808183650555</v>
      </c>
      <c r="M70" s="544">
        <f>'побудинковий звіт'!DA71*-1</f>
        <v>-24239.177317802496</v>
      </c>
    </row>
    <row r="71" spans="1:13" ht="20.100000000000001" customHeight="1" x14ac:dyDescent="0.3">
      <c r="A71" s="366" t="s">
        <v>521</v>
      </c>
      <c r="B71" s="291" t="s">
        <v>57</v>
      </c>
      <c r="C71" s="367">
        <v>1</v>
      </c>
      <c r="D71" s="357">
        <f>'побудинковий звіт'!CU72</f>
        <v>4434.2472298330076</v>
      </c>
      <c r="E71" s="341">
        <f>'побудинковий звіт'!CV72</f>
        <v>1751.1495117015836</v>
      </c>
      <c r="F71" s="341">
        <f t="shared" si="0"/>
        <v>-2683.0977181314238</v>
      </c>
      <c r="G71" s="358">
        <f t="shared" si="1"/>
        <v>0.3949147219217029</v>
      </c>
      <c r="H71" s="352">
        <f>('побудинковий звіт'!AS72+'побудинковий звіт'!BQ72)*1.2</f>
        <v>3538.5972506323005</v>
      </c>
      <c r="I71" s="340">
        <f>('побудинковий звіт'!AT72+'побудинковий звіт'!BR72)*1.2</f>
        <v>0</v>
      </c>
      <c r="J71" s="340">
        <f t="shared" si="2"/>
        <v>-3538.5972506323005</v>
      </c>
      <c r="K71" s="361">
        <f t="shared" si="3"/>
        <v>0</v>
      </c>
      <c r="L71" s="363">
        <f>'побудинковий звіт'!DE72</f>
        <v>5376.7725261277892</v>
      </c>
      <c r="M71" s="544">
        <f>'побудинковий звіт'!DA72*-1</f>
        <v>-4137.2736396475684</v>
      </c>
    </row>
    <row r="72" spans="1:13" ht="20.100000000000001" customHeight="1" x14ac:dyDescent="0.3">
      <c r="A72" s="366" t="s">
        <v>522</v>
      </c>
      <c r="B72" s="291" t="s">
        <v>58</v>
      </c>
      <c r="C72" s="367">
        <v>1</v>
      </c>
      <c r="D72" s="357">
        <f>'побудинковий звіт'!CU73</f>
        <v>4821.4517150775173</v>
      </c>
      <c r="E72" s="341">
        <f>'побудинковий звіт'!CV73</f>
        <v>7225.7775753256738</v>
      </c>
      <c r="F72" s="341">
        <f t="shared" ref="F72:F134" si="4">E72-D72</f>
        <v>2404.3258602481565</v>
      </c>
      <c r="G72" s="358">
        <f t="shared" ref="G72:G134" si="5">E72/D72</f>
        <v>1.498672599526282</v>
      </c>
      <c r="H72" s="352">
        <f>('побудинковий звіт'!AS73+'побудинковий звіт'!BQ73)*1.2</f>
        <v>3757.5097251593716</v>
      </c>
      <c r="I72" s="340">
        <f>('побудинковий звіт'!AT73+'побудинковий звіт'!BR73)*1.2</f>
        <v>5218.8</v>
      </c>
      <c r="J72" s="340">
        <f t="shared" ref="J72:J134" si="6">I72-H72</f>
        <v>1461.2902748406286</v>
      </c>
      <c r="K72" s="361">
        <f t="shared" ref="K72:K134" si="7">I72/H72</f>
        <v>1.3888986008622104</v>
      </c>
      <c r="L72" s="363">
        <f>'побудинковий звіт'!DE73</f>
        <v>2947.5276057888918</v>
      </c>
      <c r="M72" s="544">
        <f>'побудинковий звіт'!DA73*-1</f>
        <v>-25845.689681430147</v>
      </c>
    </row>
    <row r="73" spans="1:13" ht="20.100000000000001" customHeight="1" x14ac:dyDescent="0.3">
      <c r="A73" s="366" t="s">
        <v>523</v>
      </c>
      <c r="B73" s="291" t="s">
        <v>59</v>
      </c>
      <c r="C73" s="367">
        <v>1</v>
      </c>
      <c r="D73" s="357">
        <f>'побудинковий звіт'!CU74</f>
        <v>0</v>
      </c>
      <c r="E73" s="341">
        <f>'побудинковий звіт'!CV74</f>
        <v>0</v>
      </c>
      <c r="F73" s="341">
        <f t="shared" si="4"/>
        <v>0</v>
      </c>
      <c r="G73" s="358" t="e">
        <f t="shared" si="5"/>
        <v>#DIV/0!</v>
      </c>
      <c r="H73" s="352">
        <f>('побудинковий звіт'!AS74+'побудинковий звіт'!BQ74)*1.2</f>
        <v>0</v>
      </c>
      <c r="I73" s="340">
        <f>('побудинковий звіт'!AT74+'побудинковий звіт'!BR74)*1.2</f>
        <v>0</v>
      </c>
      <c r="J73" s="340">
        <f t="shared" si="6"/>
        <v>0</v>
      </c>
      <c r="K73" s="361" t="e">
        <f t="shared" si="7"/>
        <v>#DIV/0!</v>
      </c>
      <c r="L73" s="363">
        <f>'побудинковий звіт'!DE74</f>
        <v>2923.6422770023105</v>
      </c>
      <c r="M73" s="544">
        <f>'побудинковий звіт'!DA74*-1</f>
        <v>282.48087951188211</v>
      </c>
    </row>
    <row r="74" spans="1:13" ht="20.100000000000001" customHeight="1" x14ac:dyDescent="0.3">
      <c r="A74" s="366" t="s">
        <v>524</v>
      </c>
      <c r="B74" s="291" t="s">
        <v>60</v>
      </c>
      <c r="C74" s="367">
        <v>1</v>
      </c>
      <c r="D74" s="357">
        <f>'побудинковий звіт'!CU75</f>
        <v>0</v>
      </c>
      <c r="E74" s="341">
        <f>'побудинковий звіт'!CV75</f>
        <v>0</v>
      </c>
      <c r="F74" s="341">
        <f t="shared" si="4"/>
        <v>0</v>
      </c>
      <c r="G74" s="358" t="e">
        <f t="shared" si="5"/>
        <v>#DIV/0!</v>
      </c>
      <c r="H74" s="352">
        <f>('побудинковий звіт'!AS75+'побудинковий звіт'!BQ75)*1.2</f>
        <v>0</v>
      </c>
      <c r="I74" s="340">
        <f>('побудинковий звіт'!AT75+'побудинковий звіт'!BR75)*1.2</f>
        <v>0</v>
      </c>
      <c r="J74" s="340">
        <f t="shared" si="6"/>
        <v>0</v>
      </c>
      <c r="K74" s="361" t="e">
        <f t="shared" si="7"/>
        <v>#DIV/0!</v>
      </c>
      <c r="L74" s="363">
        <f>'побудинковий звіт'!DE75</f>
        <v>259.79462976300715</v>
      </c>
      <c r="M74" s="544">
        <f>'побудинковий звіт'!DA75*-1</f>
        <v>2651.3371454682419</v>
      </c>
    </row>
    <row r="75" spans="1:13" ht="20.100000000000001" customHeight="1" x14ac:dyDescent="0.3">
      <c r="A75" s="366" t="s">
        <v>525</v>
      </c>
      <c r="B75" s="291" t="s">
        <v>61</v>
      </c>
      <c r="C75" s="367">
        <v>1</v>
      </c>
      <c r="D75" s="357">
        <f>'побудинковий звіт'!CU76</f>
        <v>5377.8033838216661</v>
      </c>
      <c r="E75" s="341">
        <f>'побудинковий звіт'!CV76</f>
        <v>4907.8740249096863</v>
      </c>
      <c r="F75" s="341">
        <f t="shared" si="4"/>
        <v>-469.92935891197976</v>
      </c>
      <c r="G75" s="358">
        <f t="shared" si="5"/>
        <v>0.91261685759548339</v>
      </c>
      <c r="H75" s="352">
        <f>('побудинковий звіт'!AS76+'побудинковий звіт'!BQ76)*1.2</f>
        <v>4118.8003451892901</v>
      </c>
      <c r="I75" s="340">
        <f>('побудинковий звіт'!AT76+'побудинковий звіт'!BR76)*1.2</f>
        <v>2757.6</v>
      </c>
      <c r="J75" s="340">
        <f t="shared" si="6"/>
        <v>-1361.2003451892901</v>
      </c>
      <c r="K75" s="361">
        <f t="shared" si="7"/>
        <v>0.66951533672197638</v>
      </c>
      <c r="L75" s="363">
        <f>'побудинковий звіт'!DE76</f>
        <v>943.20630382142531</v>
      </c>
      <c r="M75" s="544">
        <f>'побудинковий звіт'!DA76*-1</f>
        <v>-10372.173413380306</v>
      </c>
    </row>
    <row r="76" spans="1:13" ht="20.100000000000001" customHeight="1" x14ac:dyDescent="0.3">
      <c r="A76" s="366" t="s">
        <v>526</v>
      </c>
      <c r="B76" s="291" t="s">
        <v>62</v>
      </c>
      <c r="C76" s="367">
        <v>1</v>
      </c>
      <c r="D76" s="357">
        <f>'побудинковий звіт'!CU77</f>
        <v>0</v>
      </c>
      <c r="E76" s="341">
        <f>'побудинковий звіт'!CV77</f>
        <v>0</v>
      </c>
      <c r="F76" s="341">
        <f t="shared" si="4"/>
        <v>0</v>
      </c>
      <c r="G76" s="358" t="e">
        <f t="shared" si="5"/>
        <v>#DIV/0!</v>
      </c>
      <c r="H76" s="352">
        <f>('побудинковий звіт'!AS77+'побудинковий звіт'!BQ77)*1.2</f>
        <v>0</v>
      </c>
      <c r="I76" s="340">
        <f>('побудинковий звіт'!AT77+'побудинковий звіт'!BR77)*1.2</f>
        <v>0</v>
      </c>
      <c r="J76" s="340">
        <f t="shared" si="6"/>
        <v>0</v>
      </c>
      <c r="K76" s="361" t="e">
        <f t="shared" si="7"/>
        <v>#DIV/0!</v>
      </c>
      <c r="L76" s="363">
        <f>'побудинковий звіт'!DE77</f>
        <v>3990.6052687434476</v>
      </c>
      <c r="M76" s="544">
        <f>'побудинковий звіт'!DA77*-1</f>
        <v>4362.412123011708</v>
      </c>
    </row>
    <row r="77" spans="1:13" ht="20.100000000000001" customHeight="1" x14ac:dyDescent="0.3">
      <c r="A77" s="366" t="s">
        <v>527</v>
      </c>
      <c r="B77" s="291" t="s">
        <v>348</v>
      </c>
      <c r="C77" s="367">
        <v>9</v>
      </c>
      <c r="D77" s="357">
        <f>'побудинковий звіт'!CU78</f>
        <v>658114.35913730564</v>
      </c>
      <c r="E77" s="341">
        <f>'побудинковий звіт'!CV78</f>
        <v>922673.35614290158</v>
      </c>
      <c r="F77" s="341">
        <f t="shared" si="4"/>
        <v>264558.99700559594</v>
      </c>
      <c r="G77" s="358">
        <f t="shared" si="5"/>
        <v>1.40199547895049</v>
      </c>
      <c r="H77" s="352">
        <f>('побудинковий звіт'!AS78+'побудинковий звіт'!BQ78)*1.2</f>
        <v>178803.38749590976</v>
      </c>
      <c r="I77" s="340">
        <f>('побудинковий звіт'!AT78+'побудинковий звіт'!BR78)*1.2</f>
        <v>432727.96937532182</v>
      </c>
      <c r="J77" s="340">
        <f t="shared" si="6"/>
        <v>253924.58187941206</v>
      </c>
      <c r="K77" s="361">
        <f t="shared" si="7"/>
        <v>2.4201329484611733</v>
      </c>
      <c r="L77" s="363">
        <f>'побудинковий звіт'!DE78</f>
        <v>53260.559129242691</v>
      </c>
      <c r="M77" s="547">
        <f>'побудинковий звіт'!DA78*-1</f>
        <v>-137124.55698260284</v>
      </c>
    </row>
    <row r="78" spans="1:13" ht="20.100000000000001" customHeight="1" x14ac:dyDescent="0.3">
      <c r="A78" s="366" t="s">
        <v>528</v>
      </c>
      <c r="B78" s="291" t="s">
        <v>63</v>
      </c>
      <c r="C78" s="367">
        <v>1</v>
      </c>
      <c r="D78" s="357">
        <f>'побудинковий звіт'!CU79</f>
        <v>4367.8206926171861</v>
      </c>
      <c r="E78" s="341">
        <f>'побудинковий звіт'!CV79</f>
        <v>4391.6260508862515</v>
      </c>
      <c r="F78" s="341">
        <f t="shared" si="4"/>
        <v>23.805358269065437</v>
      </c>
      <c r="G78" s="358">
        <f t="shared" si="5"/>
        <v>1.0054501683893076</v>
      </c>
      <c r="H78" s="352">
        <f>('побудинковий звіт'!AS79+'побудинковий звіт'!BQ79)*1.2</f>
        <v>3195.9362439149877</v>
      </c>
      <c r="I78" s="340">
        <f>('побудинковий звіт'!AT79+'побудинковий звіт'!BR79)*1.2</f>
        <v>2757.6</v>
      </c>
      <c r="J78" s="340">
        <f t="shared" si="6"/>
        <v>-438.33624391498779</v>
      </c>
      <c r="K78" s="361">
        <f t="shared" si="7"/>
        <v>0.86284574833131511</v>
      </c>
      <c r="L78" s="363">
        <f>'побудинковий звіт'!DE79</f>
        <v>1544.095435623336</v>
      </c>
      <c r="M78" s="544">
        <f>'побудинковий звіт'!DA79*-1</f>
        <v>-8394.2611471599193</v>
      </c>
    </row>
    <row r="79" spans="1:13" ht="20.100000000000001" customHeight="1" x14ac:dyDescent="0.3">
      <c r="A79" s="366" t="s">
        <v>529</v>
      </c>
      <c r="B79" s="291" t="s">
        <v>64</v>
      </c>
      <c r="C79" s="367">
        <v>1</v>
      </c>
      <c r="D79" s="357">
        <f>'побудинковий звіт'!CU80</f>
        <v>0</v>
      </c>
      <c r="E79" s="341">
        <f>'побудинковий звіт'!CV80</f>
        <v>0</v>
      </c>
      <c r="F79" s="341">
        <f t="shared" si="4"/>
        <v>0</v>
      </c>
      <c r="G79" s="358" t="e">
        <f t="shared" si="5"/>
        <v>#DIV/0!</v>
      </c>
      <c r="H79" s="352">
        <f>('побудинковий звіт'!AS80+'побудинковий звіт'!BQ80)*1.2</f>
        <v>0</v>
      </c>
      <c r="I79" s="340">
        <f>('побудинковий звіт'!AT80+'побудинковий звіт'!BR80)*1.2</f>
        <v>0</v>
      </c>
      <c r="J79" s="340">
        <f t="shared" si="6"/>
        <v>0</v>
      </c>
      <c r="K79" s="361" t="e">
        <f t="shared" si="7"/>
        <v>#DIV/0!</v>
      </c>
      <c r="L79" s="363">
        <f>'побудинковий звіт'!DE80</f>
        <v>808.76233921473658</v>
      </c>
      <c r="M79" s="544">
        <f>'побудинковий звіт'!DA80*-1</f>
        <v>665.82669525539859</v>
      </c>
    </row>
    <row r="80" spans="1:13" ht="20.100000000000001" customHeight="1" x14ac:dyDescent="0.3">
      <c r="A80" s="366" t="s">
        <v>530</v>
      </c>
      <c r="B80" s="291" t="s">
        <v>65</v>
      </c>
      <c r="C80" s="367">
        <v>1</v>
      </c>
      <c r="D80" s="357">
        <f>'побудинковий звіт'!CU81</f>
        <v>2582.8599917394349</v>
      </c>
      <c r="E80" s="341">
        <f>'побудинковий звіт'!CV81</f>
        <v>1065.9963305139481</v>
      </c>
      <c r="F80" s="341">
        <f t="shared" si="4"/>
        <v>-1516.8636612254868</v>
      </c>
      <c r="G80" s="358">
        <f t="shared" si="5"/>
        <v>0.41271936300196033</v>
      </c>
      <c r="H80" s="352">
        <f>('побудинковий звіт'!AS81+'побудинковий звіт'!BQ81)*1.2</f>
        <v>1922.5406875646472</v>
      </c>
      <c r="I80" s="340">
        <f>('побудинковий звіт'!AT81+'побудинковий звіт'!BR81)*1.2</f>
        <v>0</v>
      </c>
      <c r="J80" s="340">
        <f t="shared" si="6"/>
        <v>-1922.5406875646472</v>
      </c>
      <c r="K80" s="361">
        <f t="shared" si="7"/>
        <v>0</v>
      </c>
      <c r="L80" s="363">
        <f>'побудинковий звіт'!DE81</f>
        <v>2772.5589090011017</v>
      </c>
      <c r="M80" s="544">
        <f>'побудинковий звіт'!DA81*-1</f>
        <v>-5346.6060263067147</v>
      </c>
    </row>
    <row r="81" spans="1:13" ht="20.100000000000001" customHeight="1" x14ac:dyDescent="0.3">
      <c r="A81" s="366" t="s">
        <v>531</v>
      </c>
      <c r="B81" s="291" t="s">
        <v>349</v>
      </c>
      <c r="C81" s="367">
        <v>9</v>
      </c>
      <c r="D81" s="357">
        <f>'побудинковий звіт'!CU82</f>
        <v>544409.76081744267</v>
      </c>
      <c r="E81" s="341">
        <f>'побудинковий звіт'!CV82</f>
        <v>598401.70192984364</v>
      </c>
      <c r="F81" s="341">
        <f t="shared" si="4"/>
        <v>53991.941112400964</v>
      </c>
      <c r="G81" s="358">
        <f t="shared" si="5"/>
        <v>1.0991751893487929</v>
      </c>
      <c r="H81" s="352">
        <f>('побудинковий звіт'!AS82+'побудинковий звіт'!BQ82)*1.2</f>
        <v>148105.7859101941</v>
      </c>
      <c r="I81" s="340">
        <f>('побудинковий звіт'!AT82+'побудинковий звіт'!BR82)*1.2</f>
        <v>248179.51643807584</v>
      </c>
      <c r="J81" s="340">
        <f t="shared" si="6"/>
        <v>100073.73052788174</v>
      </c>
      <c r="K81" s="361">
        <f t="shared" si="7"/>
        <v>1.6756908915669424</v>
      </c>
      <c r="L81" s="363">
        <f>'побудинковий звіт'!DE82</f>
        <v>61368.873975995208</v>
      </c>
      <c r="M81" s="544">
        <f>'побудинковий звіт'!DA82*-1</f>
        <v>4511.8504584004913</v>
      </c>
    </row>
    <row r="82" spans="1:13" ht="20.100000000000001" customHeight="1" x14ac:dyDescent="0.3">
      <c r="A82" s="366" t="s">
        <v>532</v>
      </c>
      <c r="B82" s="291" t="s">
        <v>254</v>
      </c>
      <c r="C82" s="367">
        <v>5</v>
      </c>
      <c r="D82" s="357">
        <f>'побудинковий звіт'!CU83</f>
        <v>171571.72484918372</v>
      </c>
      <c r="E82" s="341">
        <f>'побудинковий звіт'!CV83</f>
        <v>227841.96575361639</v>
      </c>
      <c r="F82" s="341">
        <f t="shared" si="4"/>
        <v>56270.240904432663</v>
      </c>
      <c r="G82" s="358">
        <f t="shared" si="5"/>
        <v>1.3279691974531105</v>
      </c>
      <c r="H82" s="352">
        <f>('побудинковий звіт'!AS83+'побудинковий звіт'!BQ83)*1.2</f>
        <v>38233.436498159565</v>
      </c>
      <c r="I82" s="340">
        <f>('побудинковий звіт'!AT83+'побудинковий звіт'!BR83)*1.2</f>
        <v>112036.224</v>
      </c>
      <c r="J82" s="340">
        <f t="shared" si="6"/>
        <v>73802.787501840445</v>
      </c>
      <c r="K82" s="361">
        <f t="shared" si="7"/>
        <v>2.9303205325368298</v>
      </c>
      <c r="L82" s="363">
        <f>'побудинковий звіт'!DE83</f>
        <v>18354.614883875947</v>
      </c>
      <c r="M82" s="544">
        <f>'побудинковий звіт'!DA83*-1</f>
        <v>-8914.5005733985454</v>
      </c>
    </row>
    <row r="83" spans="1:13" ht="20.100000000000001" customHeight="1" x14ac:dyDescent="0.3">
      <c r="A83" s="366" t="s">
        <v>533</v>
      </c>
      <c r="B83" s="291" t="s">
        <v>350</v>
      </c>
      <c r="C83" s="367">
        <v>9</v>
      </c>
      <c r="D83" s="357">
        <f>'побудинковий звіт'!CU84</f>
        <v>904681.91143469559</v>
      </c>
      <c r="E83" s="341">
        <f>'побудинковий звіт'!CV84</f>
        <v>1135236.12760755</v>
      </c>
      <c r="F83" s="341">
        <f t="shared" si="4"/>
        <v>230554.21617285442</v>
      </c>
      <c r="G83" s="358">
        <f t="shared" si="5"/>
        <v>1.2548456128709686</v>
      </c>
      <c r="H83" s="352">
        <f>('побудинковий звіт'!AS84+'побудинковий звіт'!BQ84)*1.2</f>
        <v>222078.61242803998</v>
      </c>
      <c r="I83" s="340">
        <f>('побудинковий звіт'!AT84+'побудинковий звіт'!BR84)*1.2</f>
        <v>451977.98898803681</v>
      </c>
      <c r="J83" s="340">
        <f t="shared" si="6"/>
        <v>229899.37655999683</v>
      </c>
      <c r="K83" s="361">
        <f t="shared" si="7"/>
        <v>2.0352161968523239</v>
      </c>
      <c r="L83" s="363">
        <f>'побудинковий звіт'!DE84</f>
        <v>80173.384246284739</v>
      </c>
      <c r="M83" s="546">
        <f>'побудинковий звіт'!DA84*-1</f>
        <v>-132219.11946599279</v>
      </c>
    </row>
    <row r="84" spans="1:13" ht="20.100000000000001" customHeight="1" x14ac:dyDescent="0.3">
      <c r="A84" s="366" t="s">
        <v>534</v>
      </c>
      <c r="B84" s="291" t="s">
        <v>255</v>
      </c>
      <c r="C84" s="367">
        <v>5</v>
      </c>
      <c r="D84" s="357">
        <f>'побудинковий звіт'!CU85</f>
        <v>172193.37411045181</v>
      </c>
      <c r="E84" s="341">
        <f>'побудинковий звіт'!CV85</f>
        <v>127380.54595273806</v>
      </c>
      <c r="F84" s="341">
        <f t="shared" si="4"/>
        <v>-44812.828157713753</v>
      </c>
      <c r="G84" s="358">
        <f t="shared" si="5"/>
        <v>0.73975288892957647</v>
      </c>
      <c r="H84" s="352">
        <f>('побудинковий звіт'!AS85+'побудинковий звіт'!BQ85)*1.2</f>
        <v>53199.465392388018</v>
      </c>
      <c r="I84" s="340">
        <f>('побудинковий звіт'!AT85+'побудинковий звіт'!BR85)*1.2</f>
        <v>7380.887999999999</v>
      </c>
      <c r="J84" s="340">
        <f t="shared" si="6"/>
        <v>-45818.577392388019</v>
      </c>
      <c r="K84" s="361">
        <f t="shared" si="7"/>
        <v>0.13873989043987808</v>
      </c>
      <c r="L84" s="363">
        <f>'побудинковий звіт'!DE85</f>
        <v>1623.9507402406798</v>
      </c>
      <c r="M84" s="544">
        <f>'побудинковий звіт'!DA85*-1</f>
        <v>31589.335734736094</v>
      </c>
    </row>
    <row r="85" spans="1:13" ht="20.100000000000001" customHeight="1" x14ac:dyDescent="0.3">
      <c r="A85" s="366" t="s">
        <v>535</v>
      </c>
      <c r="B85" s="291" t="s">
        <v>351</v>
      </c>
      <c r="C85" s="367">
        <v>9</v>
      </c>
      <c r="D85" s="357">
        <f>'побудинковий звіт'!CU86</f>
        <v>903277.08688428125</v>
      </c>
      <c r="E85" s="341">
        <f>'побудинковий звіт'!CV86</f>
        <v>838324.59846871183</v>
      </c>
      <c r="F85" s="341">
        <f t="shared" si="4"/>
        <v>-64952.488415569416</v>
      </c>
      <c r="G85" s="358">
        <f t="shared" si="5"/>
        <v>0.92809239893418172</v>
      </c>
      <c r="H85" s="352">
        <f>('побудинковий звіт'!AS86+'побудинковий звіт'!BQ86)*1.2</f>
        <v>222036.81118332397</v>
      </c>
      <c r="I85" s="340">
        <f>('побудинковий звіт'!AT86+'побудинковий звіт'!BR86)*1.2</f>
        <v>159819.19200000001</v>
      </c>
      <c r="J85" s="340">
        <f t="shared" si="6"/>
        <v>-62217.619183323957</v>
      </c>
      <c r="K85" s="361">
        <f t="shared" si="7"/>
        <v>0.71978691798111716</v>
      </c>
      <c r="L85" s="363">
        <f>'побудинковий звіт'!DE86</f>
        <v>149274.16269592429</v>
      </c>
      <c r="M85" s="544">
        <f>'побудинковий звіт'!DA86*-1</f>
        <v>75288.592422076908</v>
      </c>
    </row>
    <row r="86" spans="1:13" ht="20.100000000000001" customHeight="1" x14ac:dyDescent="0.3">
      <c r="A86" s="366" t="s">
        <v>536</v>
      </c>
      <c r="B86" s="291" t="s">
        <v>66</v>
      </c>
      <c r="C86" s="367">
        <v>1</v>
      </c>
      <c r="D86" s="357">
        <f>'побудинковий звіт'!CU87</f>
        <v>4208.4373346461271</v>
      </c>
      <c r="E86" s="341">
        <f>'побудинковий звіт'!CV87</f>
        <v>1634.4624272631693</v>
      </c>
      <c r="F86" s="341">
        <f t="shared" si="4"/>
        <v>-2573.974907382958</v>
      </c>
      <c r="G86" s="358">
        <f t="shared" si="5"/>
        <v>0.38837751338421805</v>
      </c>
      <c r="H86" s="352">
        <f>('побудинковий звіт'!AS87+'побудинковий звіт'!BQ87)*1.2</f>
        <v>3250.0248613668946</v>
      </c>
      <c r="I86" s="340">
        <f>('побудинковий звіт'!AT87+'побудинковий звіт'!BR87)*1.2</f>
        <v>0</v>
      </c>
      <c r="J86" s="340">
        <f t="shared" si="6"/>
        <v>-3250.0248613668946</v>
      </c>
      <c r="K86" s="361">
        <f t="shared" si="7"/>
        <v>0</v>
      </c>
      <c r="L86" s="363">
        <f>'побудинковий звіт'!DE87</f>
        <v>533.28779892541365</v>
      </c>
      <c r="M86" s="544">
        <f>'побудинковий звіт'!DA87*-1</f>
        <v>2703.7935330148925</v>
      </c>
    </row>
    <row r="87" spans="1:13" ht="20.100000000000001" customHeight="1" x14ac:dyDescent="0.3">
      <c r="A87" s="366" t="s">
        <v>537</v>
      </c>
      <c r="B87" s="291" t="s">
        <v>67</v>
      </c>
      <c r="C87" s="367">
        <v>1</v>
      </c>
      <c r="D87" s="357">
        <f>'побудинковий звіт'!CU88</f>
        <v>3596.5721274385137</v>
      </c>
      <c r="E87" s="341">
        <f>'побудинковий звіт'!CV88</f>
        <v>1549.1010012247177</v>
      </c>
      <c r="F87" s="341">
        <f t="shared" si="4"/>
        <v>-2047.471126213796</v>
      </c>
      <c r="G87" s="358">
        <f t="shared" si="5"/>
        <v>0.43071595573087834</v>
      </c>
      <c r="H87" s="352">
        <f>('побудинковий звіт'!AS88+'побудинковий звіт'!BQ88)*1.2</f>
        <v>2737.3992421373296</v>
      </c>
      <c r="I87" s="340">
        <f>('побудинковий звіт'!AT88+'побудинковий звіт'!BR88)*1.2</f>
        <v>0</v>
      </c>
      <c r="J87" s="340">
        <f t="shared" si="6"/>
        <v>-2737.3992421373296</v>
      </c>
      <c r="K87" s="361">
        <f t="shared" si="7"/>
        <v>0</v>
      </c>
      <c r="L87" s="363">
        <f>'побудинковий звіт'!DE88</f>
        <v>-1262.5434616559787</v>
      </c>
      <c r="M87" s="544">
        <f>'побудинковий звіт'!DA88*-1</f>
        <v>7329.2343649282493</v>
      </c>
    </row>
    <row r="88" spans="1:13" ht="20.100000000000001" customHeight="1" x14ac:dyDescent="0.3">
      <c r="A88" s="366" t="s">
        <v>538</v>
      </c>
      <c r="B88" s="291" t="s">
        <v>68</v>
      </c>
      <c r="C88" s="367">
        <v>1</v>
      </c>
      <c r="D88" s="357">
        <f>'побудинковий звіт'!CU89</f>
        <v>4051.0070717980252</v>
      </c>
      <c r="E88" s="341">
        <f>'побудинковий звіт'!CV89</f>
        <v>3024.3533824799501</v>
      </c>
      <c r="F88" s="341">
        <f t="shared" si="4"/>
        <v>-1026.6536893180751</v>
      </c>
      <c r="G88" s="358">
        <f t="shared" si="5"/>
        <v>0.74656828015301424</v>
      </c>
      <c r="H88" s="352">
        <f>('побудинковий звіт'!AS89+'побудинковий звіт'!BQ89)*1.2</f>
        <v>2822.6439737502469</v>
      </c>
      <c r="I88" s="340">
        <f>('побудинковий звіт'!AT89+'побудинковий звіт'!BR89)*1.2</f>
        <v>1190.3999999999999</v>
      </c>
      <c r="J88" s="340">
        <f t="shared" si="6"/>
        <v>-1632.2439737502471</v>
      </c>
      <c r="K88" s="361">
        <f t="shared" si="7"/>
        <v>0.42173225212615101</v>
      </c>
      <c r="L88" s="363">
        <f>'побудинковий звіт'!DE89</f>
        <v>-1.0230623780671522E-3</v>
      </c>
      <c r="M88" s="544">
        <f>'побудинковий звіт'!DA89*-1</f>
        <v>4919.7915409909911</v>
      </c>
    </row>
    <row r="89" spans="1:13" ht="20.100000000000001" customHeight="1" x14ac:dyDescent="0.3">
      <c r="A89" s="366" t="s">
        <v>539</v>
      </c>
      <c r="B89" s="291" t="s">
        <v>69</v>
      </c>
      <c r="C89" s="367">
        <v>1</v>
      </c>
      <c r="D89" s="357">
        <f>'побудинковий звіт'!CU90</f>
        <v>7416.2623405472987</v>
      </c>
      <c r="E89" s="341">
        <f>'побудинковий звіт'!CV90</f>
        <v>2811.9306497164598</v>
      </c>
      <c r="F89" s="341">
        <f t="shared" si="4"/>
        <v>-4604.3316908308389</v>
      </c>
      <c r="G89" s="358">
        <f t="shared" si="5"/>
        <v>0.37915738691478751</v>
      </c>
      <c r="H89" s="352">
        <f>('побудинковий звіт'!AS90+'побудинковий звіт'!BQ90)*1.2</f>
        <v>5937.9501867734834</v>
      </c>
      <c r="I89" s="340">
        <f>('побудинковий звіт'!AT90+'побудинковий звіт'!BR90)*1.2</f>
        <v>0</v>
      </c>
      <c r="J89" s="340">
        <f t="shared" si="6"/>
        <v>-5937.9501867734834</v>
      </c>
      <c r="K89" s="361">
        <f t="shared" si="7"/>
        <v>0</v>
      </c>
      <c r="L89" s="363">
        <f>'побудинковий звіт'!DE90</f>
        <v>-616.03036961703901</v>
      </c>
      <c r="M89" s="544">
        <f>'побудинковий звіт'!DA90*-1</f>
        <v>15570.68594220428</v>
      </c>
    </row>
    <row r="90" spans="1:13" ht="20.100000000000001" customHeight="1" x14ac:dyDescent="0.3">
      <c r="A90" s="366" t="s">
        <v>540</v>
      </c>
      <c r="B90" s="291" t="s">
        <v>70</v>
      </c>
      <c r="C90" s="367">
        <v>1</v>
      </c>
      <c r="D90" s="357">
        <f>'побудинковий звіт'!CU91</f>
        <v>0</v>
      </c>
      <c r="E90" s="341">
        <f>'побудинковий звіт'!CV91</f>
        <v>0</v>
      </c>
      <c r="F90" s="341">
        <f t="shared" si="4"/>
        <v>0</v>
      </c>
      <c r="G90" s="358" t="e">
        <f t="shared" si="5"/>
        <v>#DIV/0!</v>
      </c>
      <c r="H90" s="352">
        <f>('побудинковий звіт'!AS91+'побудинковий звіт'!BQ91)*1.2</f>
        <v>0</v>
      </c>
      <c r="I90" s="340">
        <f>('побудинковий звіт'!AT91+'побудинковий звіт'!BR91)*1.2</f>
        <v>0</v>
      </c>
      <c r="J90" s="340">
        <f t="shared" si="6"/>
        <v>0</v>
      </c>
      <c r="K90" s="361" t="e">
        <f t="shared" si="7"/>
        <v>#DIV/0!</v>
      </c>
      <c r="L90" s="363">
        <f>'побудинковий звіт'!DE91</f>
        <v>4003.9581205935169</v>
      </c>
      <c r="M90" s="544">
        <f>'побудинковий звіт'!DA91*-1</f>
        <v>10284.260793524647</v>
      </c>
    </row>
    <row r="91" spans="1:13" ht="20.100000000000001" customHeight="1" x14ac:dyDescent="0.3">
      <c r="A91" s="366" t="s">
        <v>541</v>
      </c>
      <c r="B91" s="291" t="s">
        <v>71</v>
      </c>
      <c r="C91" s="367">
        <v>1</v>
      </c>
      <c r="D91" s="357">
        <f>'побудинковий звіт'!CU92</f>
        <v>0</v>
      </c>
      <c r="E91" s="341">
        <f>'побудинковий звіт'!CV92</f>
        <v>0</v>
      </c>
      <c r="F91" s="341">
        <f t="shared" si="4"/>
        <v>0</v>
      </c>
      <c r="G91" s="358" t="e">
        <f t="shared" si="5"/>
        <v>#DIV/0!</v>
      </c>
      <c r="H91" s="352">
        <f>('побудинковий звіт'!AS92+'побудинковий звіт'!BQ92)*1.2</f>
        <v>0</v>
      </c>
      <c r="I91" s="340">
        <f>('побудинковий звіт'!AT92+'побудинковий звіт'!BR92)*1.2</f>
        <v>0</v>
      </c>
      <c r="J91" s="340">
        <f t="shared" si="6"/>
        <v>0</v>
      </c>
      <c r="K91" s="361" t="e">
        <f t="shared" si="7"/>
        <v>#DIV/0!</v>
      </c>
      <c r="L91" s="363">
        <f>'побудинковий звіт'!DE92</f>
        <v>686.9433132733468</v>
      </c>
      <c r="M91" s="544">
        <f>'побудинковий звіт'!DA92*-1</f>
        <v>1555.5906876054348</v>
      </c>
    </row>
    <row r="92" spans="1:13" ht="20.100000000000001" customHeight="1" x14ac:dyDescent="0.3">
      <c r="A92" s="366" t="s">
        <v>542</v>
      </c>
      <c r="B92" s="291" t="s">
        <v>72</v>
      </c>
      <c r="C92" s="367">
        <v>1</v>
      </c>
      <c r="D92" s="357">
        <f>'побудинковий звіт'!CU93</f>
        <v>2407.8103875200445</v>
      </c>
      <c r="E92" s="341">
        <f>'побудинковий звіт'!CV93</f>
        <v>1383.6064284484096</v>
      </c>
      <c r="F92" s="341">
        <f t="shared" si="4"/>
        <v>-1024.2039590716349</v>
      </c>
      <c r="G92" s="358">
        <f t="shared" si="5"/>
        <v>0.57463263536854869</v>
      </c>
      <c r="H92" s="352">
        <f>('побудинковий звіт'!AS93+'побудинковий звіт'!BQ93)*1.2</f>
        <v>1354.050291807428</v>
      </c>
      <c r="I92" s="340">
        <f>('побудинковий звіт'!AT93+'побудинковий звіт'!BR93)*1.2</f>
        <v>0</v>
      </c>
      <c r="J92" s="340">
        <f t="shared" si="6"/>
        <v>-1354.050291807428</v>
      </c>
      <c r="K92" s="361">
        <f t="shared" si="7"/>
        <v>0</v>
      </c>
      <c r="L92" s="363">
        <f>'побудинковий звіт'!DE93</f>
        <v>-1.115676238222818E-2</v>
      </c>
      <c r="M92" s="544">
        <f>'побудинковий звіт'!DA93*-1</f>
        <v>-10046.342938376085</v>
      </c>
    </row>
    <row r="93" spans="1:13" ht="20.100000000000001" customHeight="1" x14ac:dyDescent="0.3">
      <c r="A93" s="366" t="s">
        <v>543</v>
      </c>
      <c r="B93" s="291" t="s">
        <v>73</v>
      </c>
      <c r="C93" s="367">
        <v>1</v>
      </c>
      <c r="D93" s="357">
        <f>'побудинковий звіт'!CU94</f>
        <v>5024.602699927872</v>
      </c>
      <c r="E93" s="341">
        <f>'побудинковий звіт'!CV94</f>
        <v>19051.942093061498</v>
      </c>
      <c r="F93" s="341">
        <f t="shared" si="4"/>
        <v>14027.339393133625</v>
      </c>
      <c r="G93" s="358">
        <f t="shared" si="5"/>
        <v>3.7917310543448517</v>
      </c>
      <c r="H93" s="352">
        <f>('побудинковий звіт'!AS94+'побудинковий звіт'!BQ94)*1.2</f>
        <v>3618.1926195353594</v>
      </c>
      <c r="I93" s="340">
        <f>('побудинковий звіт'!AT94+'побудинковий звіт'!BR94)*1.2</f>
        <v>16761.936000000002</v>
      </c>
      <c r="J93" s="340">
        <f t="shared" si="6"/>
        <v>13143.743380464643</v>
      </c>
      <c r="K93" s="361">
        <f t="shared" si="7"/>
        <v>4.6326820494572045</v>
      </c>
      <c r="L93" s="363">
        <f>'побудинковий звіт'!DE94</f>
        <v>1459.2046629445599</v>
      </c>
      <c r="M93" s="544">
        <f>'побудинковий звіт'!DA94*-1</f>
        <v>-14610.167443471915</v>
      </c>
    </row>
    <row r="94" spans="1:13" ht="20.100000000000001" customHeight="1" x14ac:dyDescent="0.3">
      <c r="A94" s="366" t="s">
        <v>544</v>
      </c>
      <c r="B94" s="291" t="s">
        <v>74</v>
      </c>
      <c r="C94" s="367">
        <v>1</v>
      </c>
      <c r="D94" s="357">
        <f>'побудинковий звіт'!CU95</f>
        <v>0</v>
      </c>
      <c r="E94" s="341">
        <f>'побудинковий звіт'!CV95</f>
        <v>0</v>
      </c>
      <c r="F94" s="341">
        <f t="shared" si="4"/>
        <v>0</v>
      </c>
      <c r="G94" s="358" t="e">
        <f t="shared" si="5"/>
        <v>#DIV/0!</v>
      </c>
      <c r="H94" s="352">
        <f>('побудинковий звіт'!AS95+'побудинковий звіт'!BQ95)*1.2</f>
        <v>0</v>
      </c>
      <c r="I94" s="340">
        <f>('побудинковий звіт'!AT95+'побудинковий звіт'!BR95)*1.2</f>
        <v>0</v>
      </c>
      <c r="J94" s="340">
        <f t="shared" si="6"/>
        <v>0</v>
      </c>
      <c r="K94" s="361" t="e">
        <f t="shared" si="7"/>
        <v>#DIV/0!</v>
      </c>
      <c r="L94" s="363">
        <f>'побудинковий звіт'!DE95</f>
        <v>1854.5252139044642</v>
      </c>
      <c r="M94" s="544">
        <f>'побудинковий звіт'!DA95*-1</f>
        <v>4827.5076246538865</v>
      </c>
    </row>
    <row r="95" spans="1:13" ht="20.100000000000001" customHeight="1" x14ac:dyDescent="0.3">
      <c r="A95" s="366" t="s">
        <v>545</v>
      </c>
      <c r="B95" s="291" t="s">
        <v>75</v>
      </c>
      <c r="C95" s="367">
        <v>1</v>
      </c>
      <c r="D95" s="357">
        <f>'побудинковий звіт'!CU96</f>
        <v>4743.1769471828011</v>
      </c>
      <c r="E95" s="341">
        <f>'побудинковий звіт'!CV96</f>
        <v>3434.7881341960651</v>
      </c>
      <c r="F95" s="341">
        <f t="shared" si="4"/>
        <v>-1308.388812986736</v>
      </c>
      <c r="G95" s="358">
        <f t="shared" si="5"/>
        <v>0.72415348877847574</v>
      </c>
      <c r="H95" s="352">
        <f>('побудинковий звіт'!AS96+'побудинковий звіт'!BQ96)*1.2</f>
        <v>2827.5225748165749</v>
      </c>
      <c r="I95" s="340">
        <f>('побудинковий звіт'!AT96+'побудинковий звіт'!BR96)*1.2</f>
        <v>0</v>
      </c>
      <c r="J95" s="340">
        <f t="shared" si="6"/>
        <v>-2827.5225748165749</v>
      </c>
      <c r="K95" s="361">
        <f t="shared" si="7"/>
        <v>0</v>
      </c>
      <c r="L95" s="363">
        <f>'побудинковий звіт'!DE96</f>
        <v>195.16318335501853</v>
      </c>
      <c r="M95" s="544">
        <f>'побудинковий звіт'!DA96*-1</f>
        <v>7377.5090791715511</v>
      </c>
    </row>
    <row r="96" spans="1:13" ht="20.100000000000001" customHeight="1" x14ac:dyDescent="0.3">
      <c r="A96" s="366" t="s">
        <v>546</v>
      </c>
      <c r="B96" s="291" t="s">
        <v>153</v>
      </c>
      <c r="C96" s="367">
        <v>2</v>
      </c>
      <c r="D96" s="357">
        <f>'побудинковий звіт'!CU97</f>
        <v>7081.4393634715825</v>
      </c>
      <c r="E96" s="341">
        <f>'побудинковий звіт'!CV97</f>
        <v>3725.1632559488212</v>
      </c>
      <c r="F96" s="341">
        <f t="shared" si="4"/>
        <v>-3356.2761075227613</v>
      </c>
      <c r="G96" s="358">
        <f t="shared" si="5"/>
        <v>0.52604605712850572</v>
      </c>
      <c r="H96" s="352">
        <f>('побудинковий звіт'!AS97+'побудинковий звіт'!BQ97)*1.2</f>
        <v>3979.2925835322426</v>
      </c>
      <c r="I96" s="340">
        <f>('побудинковий звіт'!AT97+'побудинковий звіт'!BR97)*1.2</f>
        <v>0</v>
      </c>
      <c r="J96" s="340">
        <f t="shared" si="6"/>
        <v>-3979.2925835322426</v>
      </c>
      <c r="K96" s="361">
        <f t="shared" si="7"/>
        <v>0</v>
      </c>
      <c r="L96" s="363">
        <f>'побудинковий звіт'!DE97</f>
        <v>4664.5395776750638</v>
      </c>
      <c r="M96" s="544">
        <f>'побудинковий звіт'!DA97*-1</f>
        <v>15506.731189043738</v>
      </c>
    </row>
    <row r="97" spans="1:13" ht="20.100000000000001" customHeight="1" x14ac:dyDescent="0.3">
      <c r="A97" s="366" t="s">
        <v>547</v>
      </c>
      <c r="B97" s="291" t="s">
        <v>76</v>
      </c>
      <c r="C97" s="367">
        <v>1</v>
      </c>
      <c r="D97" s="357">
        <f>'побудинковий звіт'!CU98</f>
        <v>2607.9425133328791</v>
      </c>
      <c r="E97" s="341">
        <f>'побудинковий звіт'!CV98</f>
        <v>2012.8289678348963</v>
      </c>
      <c r="F97" s="341">
        <f t="shared" si="4"/>
        <v>-595.11354549798284</v>
      </c>
      <c r="G97" s="358">
        <f t="shared" si="5"/>
        <v>0.77180726091333818</v>
      </c>
      <c r="H97" s="352">
        <f>('побудинковий звіт'!AS98+'побудинковий звіт'!BQ98)*1.2</f>
        <v>1582.7025833276462</v>
      </c>
      <c r="I97" s="340">
        <f>('побудинковий звіт'!AT98+'побудинковий звіт'!BR98)*1.2</f>
        <v>0</v>
      </c>
      <c r="J97" s="340">
        <f t="shared" si="6"/>
        <v>-1582.7025833276462</v>
      </c>
      <c r="K97" s="361">
        <f t="shared" si="7"/>
        <v>0</v>
      </c>
      <c r="L97" s="363">
        <f>'побудинковий звіт'!DE98</f>
        <v>17.424099942709915</v>
      </c>
      <c r="M97" s="544">
        <f>'побудинковий звіт'!DA98*-1</f>
        <v>4121.7716251840175</v>
      </c>
    </row>
    <row r="98" spans="1:13" ht="20.100000000000001" customHeight="1" x14ac:dyDescent="0.3">
      <c r="A98" s="366" t="s">
        <v>548</v>
      </c>
      <c r="B98" s="291" t="s">
        <v>352</v>
      </c>
      <c r="C98" s="367">
        <v>9</v>
      </c>
      <c r="D98" s="357">
        <f>'побудинковий звіт'!CU99</f>
        <v>363008.06223252573</v>
      </c>
      <c r="E98" s="341">
        <f>'побудинковий звіт'!CV99</f>
        <v>280980.66592877638</v>
      </c>
      <c r="F98" s="341">
        <f t="shared" si="4"/>
        <v>-82027.396303749352</v>
      </c>
      <c r="G98" s="358">
        <f t="shared" si="5"/>
        <v>0.77403422998576132</v>
      </c>
      <c r="H98" s="352">
        <f>('побудинковий звіт'!AS99+'побудинковий звіт'!BQ99)*1.2</f>
        <v>104070.00876204706</v>
      </c>
      <c r="I98" s="340">
        <f>('побудинковий звіт'!AT99+'побудинковий звіт'!BR99)*1.2</f>
        <v>34722.956719314578</v>
      </c>
      <c r="J98" s="340">
        <f t="shared" si="6"/>
        <v>-69347.052042732481</v>
      </c>
      <c r="K98" s="361">
        <f t="shared" si="7"/>
        <v>0.33364998362503817</v>
      </c>
      <c r="L98" s="363">
        <f>'побудинковий звіт'!DE99</f>
        <v>55730.416448774013</v>
      </c>
      <c r="M98" s="544">
        <f>'побудинковий звіт'!DA99*-1</f>
        <v>116795.33545095874</v>
      </c>
    </row>
    <row r="99" spans="1:13" ht="20.100000000000001" customHeight="1" x14ac:dyDescent="0.3">
      <c r="A99" s="366" t="s">
        <v>549</v>
      </c>
      <c r="B99" s="291" t="s">
        <v>414</v>
      </c>
      <c r="C99" s="367">
        <v>10</v>
      </c>
      <c r="D99" s="357">
        <f>'побудинковий звіт'!CU100</f>
        <v>165426.08778691987</v>
      </c>
      <c r="E99" s="341">
        <f>'побудинковий звіт'!CV100</f>
        <v>112776.52485601074</v>
      </c>
      <c r="F99" s="341">
        <f t="shared" si="4"/>
        <v>-52649.562930909131</v>
      </c>
      <c r="G99" s="358">
        <f t="shared" si="5"/>
        <v>0.6817336150829767</v>
      </c>
      <c r="H99" s="352">
        <f>('побудинковий звіт'!AS100+'побудинковий звіт'!BQ100)*1.2</f>
        <v>45384.283316556306</v>
      </c>
      <c r="I99" s="340">
        <f>('побудинковий звіт'!AT100+'побудинковий звіт'!BR100)*1.2</f>
        <v>16575.599999999999</v>
      </c>
      <c r="J99" s="340">
        <f t="shared" si="6"/>
        <v>-28808.683316556308</v>
      </c>
      <c r="K99" s="361">
        <f t="shared" si="7"/>
        <v>0.36522775702735788</v>
      </c>
      <c r="L99" s="363">
        <f>'побудинковий звіт'!DE100</f>
        <v>24192.350013346073</v>
      </c>
      <c r="M99" s="546">
        <f>'побудинковий звіт'!DA100*-1</f>
        <v>-12339.759617035008</v>
      </c>
    </row>
    <row r="100" spans="1:13" ht="20.100000000000001" customHeight="1" x14ac:dyDescent="0.3">
      <c r="A100" s="366" t="s">
        <v>550</v>
      </c>
      <c r="B100" s="291" t="s">
        <v>415</v>
      </c>
      <c r="C100" s="367">
        <v>10</v>
      </c>
      <c r="D100" s="357">
        <f>'побудинковий звіт'!CU101</f>
        <v>316663.53252073884</v>
      </c>
      <c r="E100" s="341">
        <f>'побудинковий звіт'!CV101</f>
        <v>256746.72150603711</v>
      </c>
      <c r="F100" s="341">
        <f t="shared" si="4"/>
        <v>-59916.811014701729</v>
      </c>
      <c r="G100" s="358">
        <f t="shared" si="5"/>
        <v>0.81078714515136763</v>
      </c>
      <c r="H100" s="352">
        <f>('побудинковий звіт'!AS101+'побудинковий звіт'!BQ101)*1.2</f>
        <v>84570.834032569037</v>
      </c>
      <c r="I100" s="340">
        <f>('побудинковий звіт'!AT101+'побудинковий звіт'!BR101)*1.2</f>
        <v>34341.599999999999</v>
      </c>
      <c r="J100" s="340">
        <f t="shared" si="6"/>
        <v>-50229.234032569038</v>
      </c>
      <c r="K100" s="361">
        <f t="shared" si="7"/>
        <v>0.4060690708900272</v>
      </c>
      <c r="L100" s="363">
        <f>'побудинковий звіт'!DE101</f>
        <v>12873.58297569694</v>
      </c>
      <c r="M100" s="546">
        <f>'побудинковий звіт'!DA101*-1</f>
        <v>-199335.33091402287</v>
      </c>
    </row>
    <row r="101" spans="1:13" ht="20.100000000000001" customHeight="1" x14ac:dyDescent="0.3">
      <c r="A101" s="366" t="s">
        <v>551</v>
      </c>
      <c r="B101" s="291" t="s">
        <v>353</v>
      </c>
      <c r="C101" s="367">
        <v>9</v>
      </c>
      <c r="D101" s="357">
        <f>'побудинковий звіт'!CU102</f>
        <v>403923.70342348039</v>
      </c>
      <c r="E101" s="341">
        <f>'побудинковий звіт'!CV102</f>
        <v>309045.03829382197</v>
      </c>
      <c r="F101" s="341">
        <f t="shared" si="4"/>
        <v>-94878.665129658417</v>
      </c>
      <c r="G101" s="358">
        <f t="shared" si="5"/>
        <v>0.76510745884554832</v>
      </c>
      <c r="H101" s="352">
        <f>('побудинковий звіт'!AS102+'побудинковий звіт'!BQ102)*1.2</f>
        <v>103771.57278888772</v>
      </c>
      <c r="I101" s="340">
        <f>('побудинковий звіт'!AT102+'побудинковий звіт'!BR102)*1.2</f>
        <v>24267.024000000001</v>
      </c>
      <c r="J101" s="340">
        <f t="shared" si="6"/>
        <v>-79504.548788887711</v>
      </c>
      <c r="K101" s="361">
        <f t="shared" si="7"/>
        <v>0.23385040187613512</v>
      </c>
      <c r="L101" s="363">
        <f>'побудинковий звіт'!DE102</f>
        <v>38281.185526325047</v>
      </c>
      <c r="M101" s="544">
        <f>'побудинковий звіт'!DA102*-1</f>
        <v>28236.480451224939</v>
      </c>
    </row>
    <row r="102" spans="1:13" ht="20.100000000000001" customHeight="1" x14ac:dyDescent="0.3">
      <c r="A102" s="366" t="s">
        <v>552</v>
      </c>
      <c r="B102" s="291" t="s">
        <v>77</v>
      </c>
      <c r="C102" s="367">
        <v>1</v>
      </c>
      <c r="D102" s="357">
        <f>'побудинковий звіт'!CU103</f>
        <v>4569.8558651756293</v>
      </c>
      <c r="E102" s="341">
        <f>'побудинковий звіт'!CV103</f>
        <v>7917.3328288763178</v>
      </c>
      <c r="F102" s="341">
        <f t="shared" si="4"/>
        <v>3347.4769637006884</v>
      </c>
      <c r="G102" s="358">
        <f t="shared" si="5"/>
        <v>1.732512591744956</v>
      </c>
      <c r="H102" s="352">
        <f>('побудинковий звіт'!AS103+'побудинковий звіт'!BQ103)*1.2</f>
        <v>2779.1132234758138</v>
      </c>
      <c r="I102" s="340">
        <f>('побудинковий звіт'!AT103+'побудинковий звіт'!BR103)*1.2</f>
        <v>4964.3999999999996</v>
      </c>
      <c r="J102" s="340">
        <f t="shared" si="6"/>
        <v>2185.2867765241858</v>
      </c>
      <c r="K102" s="361">
        <f t="shared" si="7"/>
        <v>1.7863252054880534</v>
      </c>
      <c r="L102" s="363">
        <f>'побудинковий звіт'!DE103</f>
        <v>1944.0265646207522</v>
      </c>
      <c r="M102" s="544">
        <f>'побудинковий звіт'!DA103*-1</f>
        <v>-16040.310762526804</v>
      </c>
    </row>
    <row r="103" spans="1:13" ht="20.100000000000001" customHeight="1" x14ac:dyDescent="0.3">
      <c r="A103" s="366" t="s">
        <v>553</v>
      </c>
      <c r="B103" s="291" t="s">
        <v>354</v>
      </c>
      <c r="C103" s="367">
        <v>9</v>
      </c>
      <c r="D103" s="357">
        <f>'побудинковий звіт'!CU104</f>
        <v>765082.60865069844</v>
      </c>
      <c r="E103" s="341">
        <f>'побудинковий звіт'!CV104</f>
        <v>760843.15836484649</v>
      </c>
      <c r="F103" s="341">
        <f t="shared" si="4"/>
        <v>-4239.4502858519554</v>
      </c>
      <c r="G103" s="358">
        <f t="shared" si="5"/>
        <v>0.99445883328425322</v>
      </c>
      <c r="H103" s="352">
        <f>('побудинковий звіт'!AS104+'побудинковий звіт'!BQ104)*1.2</f>
        <v>201122.40263466959</v>
      </c>
      <c r="I103" s="340">
        <f>('побудинковий звіт'!AT104+'побудинковий звіт'!BR104)*1.2</f>
        <v>192707.03566430678</v>
      </c>
      <c r="J103" s="340">
        <f t="shared" si="6"/>
        <v>-8415.3669703628111</v>
      </c>
      <c r="K103" s="361">
        <f t="shared" si="7"/>
        <v>0.95815798309823808</v>
      </c>
      <c r="L103" s="363">
        <f>'побудинковий звіт'!DE104</f>
        <v>53529.219381615752</v>
      </c>
      <c r="M103" s="544">
        <f>'побудинковий звіт'!DA104*-1</f>
        <v>5318.0002201750249</v>
      </c>
    </row>
    <row r="104" spans="1:13" ht="20.100000000000001" customHeight="1" x14ac:dyDescent="0.3">
      <c r="A104" s="366" t="s">
        <v>554</v>
      </c>
      <c r="B104" s="291" t="s">
        <v>78</v>
      </c>
      <c r="C104" s="367">
        <v>1</v>
      </c>
      <c r="D104" s="357">
        <f>'побудинковий звіт'!CU105</f>
        <v>5639.638190194084</v>
      </c>
      <c r="E104" s="341">
        <f>'побудинковий звіт'!CV105</f>
        <v>6716.6981448925026</v>
      </c>
      <c r="F104" s="341">
        <f t="shared" si="4"/>
        <v>1077.0599546984186</v>
      </c>
      <c r="G104" s="358">
        <f t="shared" si="5"/>
        <v>1.1909803285911418</v>
      </c>
      <c r="H104" s="352">
        <f>('побудинковий звіт'!AS105+'побудинковий звіт'!BQ105)*1.2</f>
        <v>3279.2469169687315</v>
      </c>
      <c r="I104" s="340">
        <f>('побудинковий звіт'!AT105+'побудинковий звіт'!BR105)*1.2</f>
        <v>2756.4</v>
      </c>
      <c r="J104" s="340">
        <f t="shared" si="6"/>
        <v>-522.84691696873142</v>
      </c>
      <c r="K104" s="361">
        <f t="shared" si="7"/>
        <v>0.84055884469595221</v>
      </c>
      <c r="L104" s="363">
        <f>'побудинковий звіт'!DE105</f>
        <v>-298.34225279170539</v>
      </c>
      <c r="M104" s="544">
        <f>'побудинковий звіт'!DA105*-1</f>
        <v>-11885.851297166473</v>
      </c>
    </row>
    <row r="105" spans="1:13" ht="20.100000000000001" customHeight="1" x14ac:dyDescent="0.3">
      <c r="A105" s="366" t="s">
        <v>555</v>
      </c>
      <c r="B105" s="291" t="s">
        <v>79</v>
      </c>
      <c r="C105" s="367">
        <v>1</v>
      </c>
      <c r="D105" s="357">
        <f>'побудинковий звіт'!CU106</f>
        <v>0</v>
      </c>
      <c r="E105" s="341">
        <f>'побудинковий звіт'!CV106</f>
        <v>0</v>
      </c>
      <c r="F105" s="341">
        <f t="shared" si="4"/>
        <v>0</v>
      </c>
      <c r="G105" s="358" t="e">
        <f t="shared" si="5"/>
        <v>#DIV/0!</v>
      </c>
      <c r="H105" s="352">
        <f>('побудинковий звіт'!AS106+'побудинковий звіт'!BQ106)*1.2</f>
        <v>0</v>
      </c>
      <c r="I105" s="340">
        <f>('побудинковий звіт'!AT106+'побудинковий звіт'!BR106)*1.2</f>
        <v>0</v>
      </c>
      <c r="J105" s="340">
        <f t="shared" si="6"/>
        <v>0</v>
      </c>
      <c r="K105" s="361" t="e">
        <f t="shared" si="7"/>
        <v>#DIV/0!</v>
      </c>
      <c r="L105" s="363">
        <f>'побудинковий звіт'!DE106</f>
        <v>2302.2053239135303</v>
      </c>
      <c r="M105" s="544">
        <f>'побудинковий звіт'!DA106*-1</f>
        <v>1129.023236693834</v>
      </c>
    </row>
    <row r="106" spans="1:13" ht="20.100000000000001" customHeight="1" x14ac:dyDescent="0.3">
      <c r="A106" s="366" t="s">
        <v>556</v>
      </c>
      <c r="B106" s="291" t="s">
        <v>256</v>
      </c>
      <c r="C106" s="367">
        <v>5</v>
      </c>
      <c r="D106" s="357">
        <f>'побудинковий звіт'!CU107</f>
        <v>91408.257844609616</v>
      </c>
      <c r="E106" s="341">
        <f>'побудинковий звіт'!CV107</f>
        <v>181967.29292489088</v>
      </c>
      <c r="F106" s="341">
        <f t="shared" si="4"/>
        <v>90559.035080281261</v>
      </c>
      <c r="G106" s="358">
        <f t="shared" si="5"/>
        <v>1.9907095618672439</v>
      </c>
      <c r="H106" s="352">
        <f>('побудинковий звіт'!AS107+'побудинковий звіт'!BQ107)*1.2</f>
        <v>22655.588126014172</v>
      </c>
      <c r="I106" s="340">
        <f>('побудинковий звіт'!AT107+'побудинковий звіт'!BR107)*1.2</f>
        <v>109391.26958661334</v>
      </c>
      <c r="J106" s="340">
        <f t="shared" si="6"/>
        <v>86735.681460599168</v>
      </c>
      <c r="K106" s="361">
        <f t="shared" si="7"/>
        <v>4.8284453697763574</v>
      </c>
      <c r="L106" s="363">
        <f>'побудинковий звіт'!DE107</f>
        <v>929.16796452896506</v>
      </c>
      <c r="M106" s="544">
        <f>'побудинковий звіт'!DA107*-1</f>
        <v>-50572.16058833323</v>
      </c>
    </row>
    <row r="107" spans="1:13" ht="20.100000000000001" customHeight="1" x14ac:dyDescent="0.3">
      <c r="A107" s="366" t="s">
        <v>557</v>
      </c>
      <c r="B107" s="291" t="s">
        <v>355</v>
      </c>
      <c r="C107" s="367">
        <v>9</v>
      </c>
      <c r="D107" s="357">
        <f>'побудинковий звіт'!CU108</f>
        <v>716992.72860256932</v>
      </c>
      <c r="E107" s="341">
        <f>'побудинковий звіт'!CV108</f>
        <v>630035.76166620513</v>
      </c>
      <c r="F107" s="341">
        <f t="shared" si="4"/>
        <v>-86956.966936364188</v>
      </c>
      <c r="G107" s="358">
        <f t="shared" si="5"/>
        <v>0.87871987613340963</v>
      </c>
      <c r="H107" s="352">
        <f>('побудинковий звіт'!AS108+'побудинковий звіт'!BQ108)*1.2</f>
        <v>187501.82042902205</v>
      </c>
      <c r="I107" s="340">
        <f>('побудинковий звіт'!AT108+'побудинковий звіт'!BR108)*1.2</f>
        <v>102256.092</v>
      </c>
      <c r="J107" s="340">
        <f t="shared" si="6"/>
        <v>-85245.728429022041</v>
      </c>
      <c r="K107" s="361">
        <f t="shared" si="7"/>
        <v>0.54536052911928168</v>
      </c>
      <c r="L107" s="363">
        <f>'побудинковий звіт'!DE108</f>
        <v>15885.222821622039</v>
      </c>
      <c r="M107" s="546">
        <f>'побудинковий звіт'!DA108*-1</f>
        <v>-2558.66390363338</v>
      </c>
    </row>
    <row r="108" spans="1:13" ht="20.100000000000001" customHeight="1" x14ac:dyDescent="0.3">
      <c r="A108" s="366" t="s">
        <v>558</v>
      </c>
      <c r="B108" s="291" t="s">
        <v>80</v>
      </c>
      <c r="C108" s="367">
        <v>1</v>
      </c>
      <c r="D108" s="357">
        <f>'побудинковий звіт'!CU109</f>
        <v>0</v>
      </c>
      <c r="E108" s="341">
        <f>'побудинковий звіт'!CV109</f>
        <v>0</v>
      </c>
      <c r="F108" s="341">
        <f t="shared" si="4"/>
        <v>0</v>
      </c>
      <c r="G108" s="358" t="e">
        <f t="shared" si="5"/>
        <v>#DIV/0!</v>
      </c>
      <c r="H108" s="352">
        <f>('побудинковий звіт'!AS109+'побудинковий звіт'!BQ109)*1.2</f>
        <v>0</v>
      </c>
      <c r="I108" s="340">
        <f>('побудинковий звіт'!AT109+'побудинковий звіт'!BR109)*1.2</f>
        <v>0</v>
      </c>
      <c r="J108" s="340">
        <f t="shared" si="6"/>
        <v>0</v>
      </c>
      <c r="K108" s="361" t="e">
        <f t="shared" si="7"/>
        <v>#DIV/0!</v>
      </c>
      <c r="L108" s="363">
        <f>'побудинковий звіт'!DE109</f>
        <v>1493.1259535368561</v>
      </c>
      <c r="M108" s="544">
        <f>'побудинковий звіт'!DA109*-1</f>
        <v>7021.9025839317128</v>
      </c>
    </row>
    <row r="109" spans="1:13" ht="20.100000000000001" customHeight="1" x14ac:dyDescent="0.3">
      <c r="A109" s="366" t="s">
        <v>559</v>
      </c>
      <c r="B109" s="291" t="s">
        <v>356</v>
      </c>
      <c r="C109" s="367">
        <v>9</v>
      </c>
      <c r="D109" s="357">
        <f>'побудинковий звіт'!CU110</f>
        <v>313162.73929680587</v>
      </c>
      <c r="E109" s="341">
        <f>'побудинковий звіт'!CV110</f>
        <v>327345.55453614885</v>
      </c>
      <c r="F109" s="341">
        <f t="shared" si="4"/>
        <v>14182.815239342977</v>
      </c>
      <c r="G109" s="358">
        <f t="shared" si="5"/>
        <v>1.0452889614875318</v>
      </c>
      <c r="H109" s="352">
        <f>('побудинковий звіт'!AS110+'побудинковий звіт'!BQ110)*1.2</f>
        <v>72166.723859298509</v>
      </c>
      <c r="I109" s="340">
        <f>('побудинковий звіт'!AT110+'побудинковий звіт'!BR110)*1.2</f>
        <v>108910.2</v>
      </c>
      <c r="J109" s="340">
        <f t="shared" si="6"/>
        <v>36743.476140701488</v>
      </c>
      <c r="K109" s="361">
        <f t="shared" si="7"/>
        <v>1.5091470718878586</v>
      </c>
      <c r="L109" s="363">
        <f>'побудинковий звіт'!DE110</f>
        <v>41499.63129591052</v>
      </c>
      <c r="M109" s="546">
        <f>'побудинковий звіт'!DA110*-1</f>
        <v>-50369.589969475215</v>
      </c>
    </row>
    <row r="110" spans="1:13" ht="20.100000000000001" customHeight="1" x14ac:dyDescent="0.3">
      <c r="A110" s="366" t="s">
        <v>560</v>
      </c>
      <c r="B110" s="291" t="s">
        <v>357</v>
      </c>
      <c r="C110" s="367">
        <v>9</v>
      </c>
      <c r="D110" s="357">
        <f>'побудинковий звіт'!CU111</f>
        <v>329789.65289184469</v>
      </c>
      <c r="E110" s="341">
        <f>'побудинковий звіт'!CV111</f>
        <v>289200.65946372319</v>
      </c>
      <c r="F110" s="341">
        <f t="shared" si="4"/>
        <v>-40588.993428121496</v>
      </c>
      <c r="G110" s="358">
        <f t="shared" si="5"/>
        <v>0.8769246000527714</v>
      </c>
      <c r="H110" s="352">
        <f>('побудинковий звіт'!AS111+'побудинковий звіт'!BQ111)*1.2</f>
        <v>82353.420717288289</v>
      </c>
      <c r="I110" s="340">
        <f>('побудинковий звіт'!AT111+'побудинковий звіт'!BR111)*1.2</f>
        <v>36605.766131422752</v>
      </c>
      <c r="J110" s="340">
        <f t="shared" si="6"/>
        <v>-45747.654585865537</v>
      </c>
      <c r="K110" s="361">
        <f t="shared" si="7"/>
        <v>0.44449600044043069</v>
      </c>
      <c r="L110" s="363">
        <f>'побудинковий звіт'!DE111</f>
        <v>19146.353842053832</v>
      </c>
      <c r="M110" s="544">
        <f>'побудинковий звіт'!DA111*-1</f>
        <v>8297.6275256314839</v>
      </c>
    </row>
    <row r="111" spans="1:13" ht="20.100000000000001" customHeight="1" x14ac:dyDescent="0.3">
      <c r="A111" s="366" t="s">
        <v>561</v>
      </c>
      <c r="B111" s="291" t="s">
        <v>416</v>
      </c>
      <c r="C111" s="367">
        <v>10</v>
      </c>
      <c r="D111" s="357">
        <f>'побудинковий звіт'!CU112</f>
        <v>376517.06961275602</v>
      </c>
      <c r="E111" s="341">
        <f>'побудинковий звіт'!CV112</f>
        <v>359826.6924125395</v>
      </c>
      <c r="F111" s="341">
        <f t="shared" si="4"/>
        <v>-16690.377200216521</v>
      </c>
      <c r="G111" s="358">
        <f t="shared" si="5"/>
        <v>0.95567165861196568</v>
      </c>
      <c r="H111" s="352">
        <f>('побудинковий звіт'!AS112+'побудинковий звіт'!BQ112)*1.2</f>
        <v>85566.934342530367</v>
      </c>
      <c r="I111" s="340">
        <f>('побудинковий звіт'!AT112+'побудинковий звіт'!BR112)*1.2</f>
        <v>86357.06525603398</v>
      </c>
      <c r="J111" s="340">
        <f t="shared" si="6"/>
        <v>790.13091350361356</v>
      </c>
      <c r="K111" s="361">
        <f t="shared" si="7"/>
        <v>1.0092340682715202</v>
      </c>
      <c r="L111" s="363">
        <f>'побудинковий звіт'!DE112</f>
        <v>6572.5660542011829</v>
      </c>
      <c r="M111" s="544">
        <f>'побудинковий звіт'!DA112*-1</f>
        <v>5394.8625856825056</v>
      </c>
    </row>
    <row r="112" spans="1:13" ht="20.100000000000001" customHeight="1" x14ac:dyDescent="0.3">
      <c r="A112" s="366" t="s">
        <v>562</v>
      </c>
      <c r="B112" s="291" t="s">
        <v>358</v>
      </c>
      <c r="C112" s="367">
        <v>9</v>
      </c>
      <c r="D112" s="357">
        <f>'побудинковий звіт'!CU113</f>
        <v>773345.41680612531</v>
      </c>
      <c r="E112" s="341">
        <f>'побудинковий звіт'!CV113</f>
        <v>698223.71136766893</v>
      </c>
      <c r="F112" s="341">
        <f t="shared" si="4"/>
        <v>-75121.705438456382</v>
      </c>
      <c r="G112" s="358">
        <f t="shared" si="5"/>
        <v>0.90286138146560047</v>
      </c>
      <c r="H112" s="352">
        <f>('побудинковий звіт'!AS113+'побудинковий звіт'!BQ113)*1.2</f>
        <v>203718.69921765151</v>
      </c>
      <c r="I112" s="340">
        <f>('побудинковий звіт'!AT113+'побудинковий звіт'!BR113)*1.2</f>
        <v>129412.44125603398</v>
      </c>
      <c r="J112" s="340">
        <f t="shared" si="6"/>
        <v>-74306.257961617521</v>
      </c>
      <c r="K112" s="361">
        <f t="shared" si="7"/>
        <v>0.63525067533329727</v>
      </c>
      <c r="L112" s="363">
        <f>'побудинковий звіт'!DE113</f>
        <v>94298.521668573419</v>
      </c>
      <c r="M112" s="544">
        <f>'побудинковий звіт'!DA113*-1</f>
        <v>22673.783142400935</v>
      </c>
    </row>
    <row r="113" spans="1:13" ht="20.100000000000001" customHeight="1" x14ac:dyDescent="0.3">
      <c r="A113" s="366" t="s">
        <v>563</v>
      </c>
      <c r="B113" s="291" t="s">
        <v>359</v>
      </c>
      <c r="C113" s="367">
        <v>9</v>
      </c>
      <c r="D113" s="357">
        <f>'побудинковий звіт'!CU114</f>
        <v>566239.35108536354</v>
      </c>
      <c r="E113" s="341">
        <f>'побудинковий звіт'!CV114</f>
        <v>555903.43512922863</v>
      </c>
      <c r="F113" s="341">
        <f t="shared" si="4"/>
        <v>-10335.915956134908</v>
      </c>
      <c r="G113" s="358">
        <f t="shared" si="5"/>
        <v>0.98174638351021859</v>
      </c>
      <c r="H113" s="352">
        <f>('побудинковий звіт'!AS114+'побудинковий звіт'!BQ114)*1.2</f>
        <v>146133.15274887774</v>
      </c>
      <c r="I113" s="340">
        <f>('побудинковий звіт'!AT114+'побудинковий звіт'!BR114)*1.2</f>
        <v>168252.48462509745</v>
      </c>
      <c r="J113" s="340">
        <f t="shared" si="6"/>
        <v>22119.331876219716</v>
      </c>
      <c r="K113" s="361">
        <f t="shared" si="7"/>
        <v>1.1513642281723069</v>
      </c>
      <c r="L113" s="363">
        <f>'побудинковий звіт'!DE114</f>
        <v>70090.383187479893</v>
      </c>
      <c r="M113" s="546">
        <f>'побудинковий звіт'!DA114*-1</f>
        <v>-64723.573395225394</v>
      </c>
    </row>
    <row r="114" spans="1:13" ht="20.100000000000001" customHeight="1" x14ac:dyDescent="0.3">
      <c r="A114" s="366" t="s">
        <v>564</v>
      </c>
      <c r="B114" s="291" t="s">
        <v>154</v>
      </c>
      <c r="C114" s="367">
        <v>2</v>
      </c>
      <c r="D114" s="357">
        <f>'побудинковий звіт'!CU115</f>
        <v>32062.208129188853</v>
      </c>
      <c r="E114" s="341">
        <f>'побудинковий звіт'!CV115</f>
        <v>24645.754648519975</v>
      </c>
      <c r="F114" s="341">
        <f t="shared" si="4"/>
        <v>-7416.4534806688789</v>
      </c>
      <c r="G114" s="358">
        <f t="shared" si="5"/>
        <v>0.76868550504114919</v>
      </c>
      <c r="H114" s="352">
        <f>('побудинковий звіт'!AS115+'побудинковий звіт'!BQ115)*1.2</f>
        <v>9253.5430883710014</v>
      </c>
      <c r="I114" s="340">
        <f>('побудинковий звіт'!AT115+'побудинковий звіт'!BR115)*1.2</f>
        <v>301.2</v>
      </c>
      <c r="J114" s="340">
        <f t="shared" si="6"/>
        <v>-8952.3430883710007</v>
      </c>
      <c r="K114" s="361">
        <f t="shared" si="7"/>
        <v>3.2549694438503272E-2</v>
      </c>
      <c r="L114" s="363">
        <f>'побудинковий звіт'!DE115</f>
        <v>2535.0783163100914</v>
      </c>
      <c r="M114" s="544">
        <f>'побудинковий звіт'!DA115*-1</f>
        <v>3494.9933739648804</v>
      </c>
    </row>
    <row r="115" spans="1:13" ht="20.100000000000001" customHeight="1" x14ac:dyDescent="0.3">
      <c r="A115" s="366" t="s">
        <v>565</v>
      </c>
      <c r="B115" s="291" t="s">
        <v>209</v>
      </c>
      <c r="C115" s="367">
        <v>4</v>
      </c>
      <c r="D115" s="357">
        <f>'побудинковий звіт'!CU116</f>
        <v>145292.45135881199</v>
      </c>
      <c r="E115" s="341">
        <f>'побудинковий звіт'!CV116</f>
        <v>88953.305855990053</v>
      </c>
      <c r="F115" s="341">
        <f t="shared" si="4"/>
        <v>-56339.145502821935</v>
      </c>
      <c r="G115" s="358">
        <f t="shared" si="5"/>
        <v>0.61223625194616849</v>
      </c>
      <c r="H115" s="352">
        <f>('побудинковий звіт'!AS116+'побудинковий звіт'!BQ116)*1.2</f>
        <v>54897.485843739232</v>
      </c>
      <c r="I115" s="340">
        <f>('побудинковий звіт'!AT116+'побудинковий звіт'!BR116)*1.2</f>
        <v>11526</v>
      </c>
      <c r="J115" s="340">
        <f t="shared" si="6"/>
        <v>-43371.485843739232</v>
      </c>
      <c r="K115" s="361">
        <f t="shared" si="7"/>
        <v>0.20995497012026607</v>
      </c>
      <c r="L115" s="363">
        <f>'побудинковий звіт'!DE116</f>
        <v>1776.1822550995676</v>
      </c>
      <c r="M115" s="547">
        <f>'побудинковий звіт'!DA116*-1</f>
        <v>105476.01174947163</v>
      </c>
    </row>
    <row r="116" spans="1:13" ht="20.100000000000001" customHeight="1" x14ac:dyDescent="0.3">
      <c r="A116" s="366" t="s">
        <v>566</v>
      </c>
      <c r="B116" s="291" t="s">
        <v>155</v>
      </c>
      <c r="C116" s="367">
        <v>2</v>
      </c>
      <c r="D116" s="357">
        <f>'побудинковий звіт'!CU117</f>
        <v>28710.159340782167</v>
      </c>
      <c r="E116" s="341">
        <f>'побудинковий звіт'!CV117</f>
        <v>23411.726814075919</v>
      </c>
      <c r="F116" s="341">
        <f t="shared" si="4"/>
        <v>-5298.4325267062486</v>
      </c>
      <c r="G116" s="358">
        <f t="shared" si="5"/>
        <v>0.81545095365667519</v>
      </c>
      <c r="H116" s="352">
        <f>('побудинковий звіт'!AS117+'побудинковий звіт'!BQ117)*1.2</f>
        <v>7157.5750159212721</v>
      </c>
      <c r="I116" s="340">
        <f>('побудинковий звіт'!AT117+'побудинковий звіт'!BR117)*1.2</f>
        <v>1000.8</v>
      </c>
      <c r="J116" s="340">
        <f t="shared" si="6"/>
        <v>-6156.7750159212719</v>
      </c>
      <c r="K116" s="361">
        <f t="shared" si="7"/>
        <v>0.13982389255772043</v>
      </c>
      <c r="L116" s="363">
        <f>'побудинковий звіт'!DE117</f>
        <v>10835.061910481878</v>
      </c>
      <c r="M116" s="546">
        <f>'побудинковий звіт'!DA117*-1</f>
        <v>-45896.161832085083</v>
      </c>
    </row>
    <row r="117" spans="1:13" ht="20.100000000000001" customHeight="1" x14ac:dyDescent="0.3">
      <c r="A117" s="366" t="s">
        <v>567</v>
      </c>
      <c r="B117" s="291" t="s">
        <v>156</v>
      </c>
      <c r="C117" s="367">
        <v>2</v>
      </c>
      <c r="D117" s="357">
        <f>'побудинковий звіт'!CU118</f>
        <v>26038.35505616885</v>
      </c>
      <c r="E117" s="341">
        <f>'побудинковий звіт'!CV118</f>
        <v>20421.786369304249</v>
      </c>
      <c r="F117" s="341">
        <f t="shared" si="4"/>
        <v>-5616.5686868646007</v>
      </c>
      <c r="G117" s="358">
        <f t="shared" si="5"/>
        <v>0.78429633228563123</v>
      </c>
      <c r="H117" s="352">
        <f>('побудинковий звіт'!AS118+'побудинковий звіт'!BQ118)*1.2</f>
        <v>7640.2533162963891</v>
      </c>
      <c r="I117" s="340">
        <f>('побудинковий звіт'!AT118+'побудинковий звіт'!BR118)*1.2</f>
        <v>1000.8</v>
      </c>
      <c r="J117" s="340">
        <f t="shared" si="6"/>
        <v>-6639.4533162963889</v>
      </c>
      <c r="K117" s="361">
        <f t="shared" si="7"/>
        <v>0.13099042120309401</v>
      </c>
      <c r="L117" s="363">
        <f>'побудинковий звіт'!DE118</f>
        <v>19976.693475749082</v>
      </c>
      <c r="M117" s="544">
        <f>'побудинковий звіт'!DA118*-1</f>
        <v>-12063.740423995732</v>
      </c>
    </row>
    <row r="118" spans="1:13" ht="20.100000000000001" customHeight="1" x14ac:dyDescent="0.3">
      <c r="A118" s="366" t="s">
        <v>568</v>
      </c>
      <c r="B118" s="291" t="s">
        <v>157</v>
      </c>
      <c r="C118" s="367">
        <v>2</v>
      </c>
      <c r="D118" s="357">
        <f>'побудинковий звіт'!CU119</f>
        <v>53392.085104948375</v>
      </c>
      <c r="E118" s="341">
        <f>'побудинковий звіт'!CV119</f>
        <v>40268.92636212302</v>
      </c>
      <c r="F118" s="341">
        <f t="shared" si="4"/>
        <v>-13123.158742825355</v>
      </c>
      <c r="G118" s="358">
        <f t="shared" si="5"/>
        <v>0.75421153309464772</v>
      </c>
      <c r="H118" s="352">
        <f>('побудинковий звіт'!AS119+'побудинковий звіт'!BQ119)*1.2</f>
        <v>16186.946557187024</v>
      </c>
      <c r="I118" s="340">
        <f>('побудинковий звіт'!AT119+'побудинковий звіт'!BR119)*1.2</f>
        <v>4046.3999999999996</v>
      </c>
      <c r="J118" s="340">
        <f t="shared" si="6"/>
        <v>-12140.546557187025</v>
      </c>
      <c r="K118" s="361">
        <f t="shared" si="7"/>
        <v>0.24997920303896926</v>
      </c>
      <c r="L118" s="363">
        <f>'побудинковий звіт'!DE119</f>
        <v>6401.9891953987999</v>
      </c>
      <c r="M118" s="544">
        <f>'побудинковий звіт'!DA119*-1</f>
        <v>-5533.1540688096266</v>
      </c>
    </row>
    <row r="119" spans="1:13" ht="20.100000000000001" customHeight="1" x14ac:dyDescent="0.3">
      <c r="A119" s="366" t="s">
        <v>569</v>
      </c>
      <c r="B119" s="291" t="s">
        <v>158</v>
      </c>
      <c r="C119" s="367">
        <v>2</v>
      </c>
      <c r="D119" s="357">
        <f>'побудинковий звіт'!CU120</f>
        <v>63172.271782722215</v>
      </c>
      <c r="E119" s="341">
        <f>'побудинковий звіт'!CV120</f>
        <v>51911.357621434763</v>
      </c>
      <c r="F119" s="341">
        <f t="shared" si="4"/>
        <v>-11260.914161287452</v>
      </c>
      <c r="G119" s="358">
        <f t="shared" si="5"/>
        <v>0.82174277030880272</v>
      </c>
      <c r="H119" s="352">
        <f>('побудинковий звіт'!AS120+'побудинковий звіт'!BQ120)*1.2</f>
        <v>16821.265693643483</v>
      </c>
      <c r="I119" s="340">
        <f>('побудинковий звіт'!AT120+'побудинковий звіт'!BR120)*1.2</f>
        <v>3400.7999999999997</v>
      </c>
      <c r="J119" s="340">
        <f t="shared" si="6"/>
        <v>-13420.465693643484</v>
      </c>
      <c r="K119" s="361">
        <f t="shared" si="7"/>
        <v>0.20217265822542199</v>
      </c>
      <c r="L119" s="363">
        <f>'побудинковий звіт'!DE120</f>
        <v>869.1234475812962</v>
      </c>
      <c r="M119" s="544">
        <f>'побудинковий звіт'!DA120*-1</f>
        <v>24367.880725784136</v>
      </c>
    </row>
    <row r="120" spans="1:13" ht="20.100000000000001" customHeight="1" x14ac:dyDescent="0.3">
      <c r="A120" s="366" t="s">
        <v>570</v>
      </c>
      <c r="B120" s="291" t="s">
        <v>159</v>
      </c>
      <c r="C120" s="367">
        <v>2</v>
      </c>
      <c r="D120" s="357">
        <f>'побудинковий звіт'!CU121</f>
        <v>41976.830509003448</v>
      </c>
      <c r="E120" s="341">
        <f>'побудинковий звіт'!CV121</f>
        <v>30331.811326660507</v>
      </c>
      <c r="F120" s="341">
        <f t="shared" si="4"/>
        <v>-11645.019182342941</v>
      </c>
      <c r="G120" s="358">
        <f t="shared" si="5"/>
        <v>0.72258460104925626</v>
      </c>
      <c r="H120" s="352">
        <f>('побудинковий звіт'!AS121+'побудинковий звіт'!BQ121)*1.2</f>
        <v>12364.554987501289</v>
      </c>
      <c r="I120" s="340">
        <f>('побудинковий звіт'!AT121+'побудинковий звіт'!BR121)*1.2</f>
        <v>1102.8</v>
      </c>
      <c r="J120" s="340">
        <f t="shared" si="6"/>
        <v>-11261.75498750129</v>
      </c>
      <c r="K120" s="361">
        <f t="shared" si="7"/>
        <v>8.9190431933439202E-2</v>
      </c>
      <c r="L120" s="363">
        <f>'побудинковий звіт'!DE121</f>
        <v>4402.445636774366</v>
      </c>
      <c r="M120" s="544">
        <f>'побудинковий звіт'!DA121*-1</f>
        <v>12281.810433004573</v>
      </c>
    </row>
    <row r="121" spans="1:13" ht="20.100000000000001" customHeight="1" x14ac:dyDescent="0.3">
      <c r="A121" s="366" t="s">
        <v>571</v>
      </c>
      <c r="B121" s="291" t="s">
        <v>160</v>
      </c>
      <c r="C121" s="367">
        <v>2</v>
      </c>
      <c r="D121" s="357">
        <f>'побудинковий звіт'!CU122</f>
        <v>31790.297650682147</v>
      </c>
      <c r="E121" s="341">
        <f>'побудинковий звіт'!CV122</f>
        <v>23924.651805268921</v>
      </c>
      <c r="F121" s="341">
        <f t="shared" si="4"/>
        <v>-7865.6458454132262</v>
      </c>
      <c r="G121" s="358">
        <f t="shared" si="5"/>
        <v>0.75257715634366051</v>
      </c>
      <c r="H121" s="352">
        <f>('побудинковий звіт'!AS122+'побудинковий звіт'!BQ122)*1.2</f>
        <v>10659.555536746066</v>
      </c>
      <c r="I121" s="340">
        <f>('побудинковий звіт'!AT122+'побудинковий звіт'!BR122)*1.2</f>
        <v>3096</v>
      </c>
      <c r="J121" s="340">
        <f t="shared" si="6"/>
        <v>-7563.5555367460656</v>
      </c>
      <c r="K121" s="361">
        <f t="shared" si="7"/>
        <v>0.29044362959856435</v>
      </c>
      <c r="L121" s="363">
        <f>'побудинковий звіт'!DE122</f>
        <v>8732.5563872663897</v>
      </c>
      <c r="M121" s="544">
        <f>'побудинковий звіт'!DA122*-1</f>
        <v>-2352.8027021078078</v>
      </c>
    </row>
    <row r="122" spans="1:13" ht="20.100000000000001" customHeight="1" x14ac:dyDescent="0.3">
      <c r="A122" s="366" t="s">
        <v>572</v>
      </c>
      <c r="B122" s="291" t="s">
        <v>161</v>
      </c>
      <c r="C122" s="367">
        <v>2</v>
      </c>
      <c r="D122" s="357">
        <f>'побудинковий звіт'!CU123</f>
        <v>30676.869251063745</v>
      </c>
      <c r="E122" s="341">
        <f>'побудинковий звіт'!CV123</f>
        <v>20327.596404269178</v>
      </c>
      <c r="F122" s="341">
        <f t="shared" si="4"/>
        <v>-10349.272846794567</v>
      </c>
      <c r="G122" s="358">
        <f t="shared" si="5"/>
        <v>0.66263595016510046</v>
      </c>
      <c r="H122" s="352">
        <f>('побудинковий звіт'!AS123+'побудинковий звіт'!BQ123)*1.2</f>
        <v>10011.643946738706</v>
      </c>
      <c r="I122" s="340">
        <f>('побудинковий звіт'!AT123+'побудинковий звіт'!BR123)*1.2</f>
        <v>301.2</v>
      </c>
      <c r="J122" s="340">
        <f t="shared" si="6"/>
        <v>-9710.4439467387056</v>
      </c>
      <c r="K122" s="361">
        <f t="shared" si="7"/>
        <v>3.0084969222074254E-2</v>
      </c>
      <c r="L122" s="363">
        <f>'побудинковий звіт'!DE123</f>
        <v>10175.252351823248</v>
      </c>
      <c r="M122" s="544">
        <f>'побудинковий звіт'!DA123*-1</f>
        <v>3982.3929416728724</v>
      </c>
    </row>
    <row r="123" spans="1:13" ht="20.100000000000001" customHeight="1" x14ac:dyDescent="0.3">
      <c r="A123" s="366" t="s">
        <v>573</v>
      </c>
      <c r="B123" s="291" t="s">
        <v>196</v>
      </c>
      <c r="C123" s="367">
        <v>3</v>
      </c>
      <c r="D123" s="357">
        <f>'побудинковий звіт'!CU124</f>
        <v>68296.223656915943</v>
      </c>
      <c r="E123" s="341">
        <f>'побудинковий звіт'!CV124</f>
        <v>98172.315404143825</v>
      </c>
      <c r="F123" s="341">
        <f t="shared" si="4"/>
        <v>29876.091747227882</v>
      </c>
      <c r="G123" s="358">
        <f t="shared" si="5"/>
        <v>1.4374486633010566</v>
      </c>
      <c r="H123" s="352">
        <f>('побудинковий звіт'!AS124+'побудинковий звіт'!BQ124)*1.2</f>
        <v>16415.129402980307</v>
      </c>
      <c r="I123" s="340">
        <f>('побудинковий звіт'!AT124+'побудинковий звіт'!BR124)*1.2</f>
        <v>46025.267999999996</v>
      </c>
      <c r="J123" s="340">
        <f t="shared" si="6"/>
        <v>29610.13859701969</v>
      </c>
      <c r="K123" s="361">
        <f t="shared" si="7"/>
        <v>2.803832176409387</v>
      </c>
      <c r="L123" s="363">
        <f>'побудинковий звіт'!DE124</f>
        <v>1270.758812065299</v>
      </c>
      <c r="M123" s="546">
        <f>'побудинковий звіт'!DA124*-1</f>
        <v>-44328.891586491809</v>
      </c>
    </row>
    <row r="124" spans="1:13" ht="20.100000000000001" customHeight="1" x14ac:dyDescent="0.3">
      <c r="A124" s="366" t="s">
        <v>574</v>
      </c>
      <c r="B124" s="291" t="s">
        <v>210</v>
      </c>
      <c r="C124" s="367">
        <v>4</v>
      </c>
      <c r="D124" s="357">
        <f>'побудинковий звіт'!CU125</f>
        <v>89390.908135156817</v>
      </c>
      <c r="E124" s="341">
        <f>'побудинковий звіт'!CV125</f>
        <v>72024.452588019703</v>
      </c>
      <c r="F124" s="341">
        <f t="shared" si="4"/>
        <v>-17366.455547137113</v>
      </c>
      <c r="G124" s="358">
        <f t="shared" si="5"/>
        <v>0.80572458755112475</v>
      </c>
      <c r="H124" s="352">
        <f>('побудинковий звіт'!AS125+'побудинковий звіт'!BQ125)*1.2</f>
        <v>22956.217813461226</v>
      </c>
      <c r="I124" s="340">
        <f>('побудинковий звіт'!AT125+'побудинковий звіт'!BR125)*1.2</f>
        <v>5076.4319999999998</v>
      </c>
      <c r="J124" s="340">
        <f t="shared" si="6"/>
        <v>-17879.785813461225</v>
      </c>
      <c r="K124" s="361">
        <f t="shared" si="7"/>
        <v>0.22113538219798762</v>
      </c>
      <c r="L124" s="363">
        <f>'побудинковий звіт'!DE125</f>
        <v>12125.494418827002</v>
      </c>
      <c r="M124" s="544">
        <f>'побудинковий звіт'!DA125*-1</f>
        <v>23466.278570987961</v>
      </c>
    </row>
    <row r="125" spans="1:13" ht="20.100000000000001" customHeight="1" x14ac:dyDescent="0.3">
      <c r="A125" s="366" t="s">
        <v>575</v>
      </c>
      <c r="B125" s="291" t="s">
        <v>162</v>
      </c>
      <c r="C125" s="367">
        <v>2</v>
      </c>
      <c r="D125" s="357">
        <f>'побудинковий звіт'!CU126</f>
        <v>34887.406228200482</v>
      </c>
      <c r="E125" s="341">
        <f>'побудинковий звіт'!CV126</f>
        <v>23023.731265441602</v>
      </c>
      <c r="F125" s="341">
        <f t="shared" si="4"/>
        <v>-11863.67496275888</v>
      </c>
      <c r="G125" s="358">
        <f t="shared" si="5"/>
        <v>0.65994390969744454</v>
      </c>
      <c r="H125" s="352">
        <f>('побудинковий звіт'!AS126+'побудинковий звіт'!BQ126)*1.2</f>
        <v>12224.733511856615</v>
      </c>
      <c r="I125" s="340">
        <f>('побудинковий звіт'!AT126+'побудинковий звіт'!BR126)*1.2</f>
        <v>301.2</v>
      </c>
      <c r="J125" s="340">
        <f t="shared" si="6"/>
        <v>-11923.533511856614</v>
      </c>
      <c r="K125" s="361">
        <f t="shared" si="7"/>
        <v>2.4638573896753651E-2</v>
      </c>
      <c r="L125" s="363">
        <f>'побудинковий звіт'!DE126</f>
        <v>1.0954792247048317E-2</v>
      </c>
      <c r="M125" s="544">
        <f>'побудинковий звіт'!DA126*-1</f>
        <v>14084.167035258015</v>
      </c>
    </row>
    <row r="126" spans="1:13" ht="20.100000000000001" customHeight="1" x14ac:dyDescent="0.3">
      <c r="A126" s="366" t="s">
        <v>576</v>
      </c>
      <c r="B126" s="291" t="s">
        <v>211</v>
      </c>
      <c r="C126" s="367">
        <v>4</v>
      </c>
      <c r="D126" s="357">
        <f>'побудинковий звіт'!CU127</f>
        <v>90900.943343962412</v>
      </c>
      <c r="E126" s="341">
        <f>'побудинковий звіт'!CV127</f>
        <v>126379.7721370752</v>
      </c>
      <c r="F126" s="341">
        <f t="shared" si="4"/>
        <v>35478.828793112785</v>
      </c>
      <c r="G126" s="358">
        <f t="shared" si="5"/>
        <v>1.3903020968535336</v>
      </c>
      <c r="H126" s="352">
        <f>('побудинковий звіт'!AS127+'побудинковий звіт'!BQ127)*1.2</f>
        <v>20636.560549601043</v>
      </c>
      <c r="I126" s="340">
        <f>('побудинковий звіт'!AT127+'побудинковий звіт'!BR127)*1.2</f>
        <v>56543.723999999995</v>
      </c>
      <c r="J126" s="340">
        <f t="shared" si="6"/>
        <v>35907.163450398948</v>
      </c>
      <c r="K126" s="361">
        <f t="shared" si="7"/>
        <v>2.7399781016848337</v>
      </c>
      <c r="L126" s="363">
        <f>'побудинковий звіт'!DE127</f>
        <v>5213.0386939512882</v>
      </c>
      <c r="M126" s="546">
        <f>'побудинковий звіт'!DA127*-1</f>
        <v>-53527.248769338752</v>
      </c>
    </row>
    <row r="127" spans="1:13" ht="20.100000000000001" customHeight="1" x14ac:dyDescent="0.3">
      <c r="A127" s="366" t="s">
        <v>577</v>
      </c>
      <c r="B127" s="291" t="s">
        <v>163</v>
      </c>
      <c r="C127" s="367">
        <v>2</v>
      </c>
      <c r="D127" s="357">
        <f>'побудинковий звіт'!CU128</f>
        <v>38889.720490542342</v>
      </c>
      <c r="E127" s="341">
        <f>'побудинковий звіт'!CV128</f>
        <v>37539.057382274448</v>
      </c>
      <c r="F127" s="341">
        <f t="shared" si="4"/>
        <v>-1350.6631082678941</v>
      </c>
      <c r="G127" s="358">
        <f t="shared" si="5"/>
        <v>0.96526940561076124</v>
      </c>
      <c r="H127" s="352">
        <f>('побудинковий звіт'!AS128+'побудинковий звіт'!BQ128)*1.2</f>
        <v>12587.907061436648</v>
      </c>
      <c r="I127" s="340">
        <f>('побудинковий звіт'!AT128+'побудинковий звіт'!BR128)*1.2</f>
        <v>10283.987999999999</v>
      </c>
      <c r="J127" s="340">
        <f t="shared" si="6"/>
        <v>-2303.9190614366489</v>
      </c>
      <c r="K127" s="361">
        <f t="shared" si="7"/>
        <v>0.8169736199836779</v>
      </c>
      <c r="L127" s="363">
        <f>'побудинковий звіт'!DE128</f>
        <v>449.50858115368783</v>
      </c>
      <c r="M127" s="544">
        <f>'побудинковий звіт'!DA128*-1</f>
        <v>13319.324995686631</v>
      </c>
    </row>
    <row r="128" spans="1:13" ht="20.100000000000001" customHeight="1" x14ac:dyDescent="0.3">
      <c r="A128" s="366" t="s">
        <v>578</v>
      </c>
      <c r="B128" s="291" t="s">
        <v>257</v>
      </c>
      <c r="C128" s="367">
        <v>5</v>
      </c>
      <c r="D128" s="357">
        <f>'побудинковий звіт'!CU129</f>
        <v>175289.47723158309</v>
      </c>
      <c r="E128" s="341">
        <f>'побудинковий звіт'!CV129</f>
        <v>153813.55269685312</v>
      </c>
      <c r="F128" s="341">
        <f t="shared" si="4"/>
        <v>-21475.924534729973</v>
      </c>
      <c r="G128" s="358">
        <f t="shared" si="5"/>
        <v>0.87748309325860374</v>
      </c>
      <c r="H128" s="352">
        <f>('побудинковий звіт'!AS129+'побудинковий звіт'!BQ129)*1.2</f>
        <v>31426.806151065186</v>
      </c>
      <c r="I128" s="340">
        <f>('побудинковий звіт'!AT129+'побудинковий звіт'!BR129)*1.2</f>
        <v>17527.788</v>
      </c>
      <c r="J128" s="340">
        <f t="shared" si="6"/>
        <v>-13899.018151065186</v>
      </c>
      <c r="K128" s="361">
        <f t="shared" si="7"/>
        <v>0.55773367219519088</v>
      </c>
      <c r="L128" s="363">
        <f>'побудинковий звіт'!DE129</f>
        <v>19859.862032611669</v>
      </c>
      <c r="M128" s="544">
        <f>'побудинковий звіт'!DA129*-1</f>
        <v>7242.4160493973031</v>
      </c>
    </row>
    <row r="129" spans="1:13" ht="20.100000000000001" customHeight="1" x14ac:dyDescent="0.3">
      <c r="A129" s="366" t="s">
        <v>579</v>
      </c>
      <c r="B129" s="291" t="s">
        <v>258</v>
      </c>
      <c r="C129" s="367">
        <v>5</v>
      </c>
      <c r="D129" s="357">
        <f>'побудинковий звіт'!CU130</f>
        <v>97402.760193542737</v>
      </c>
      <c r="E129" s="341">
        <f>'побудинковий звіт'!CV130</f>
        <v>95655.75826256549</v>
      </c>
      <c r="F129" s="341">
        <f t="shared" si="4"/>
        <v>-1747.001930977247</v>
      </c>
      <c r="G129" s="358">
        <f t="shared" si="5"/>
        <v>0.98206414348519599</v>
      </c>
      <c r="H129" s="352">
        <f>('побудинковий звіт'!AS130+'побудинковий звіт'!BQ130)*1.2</f>
        <v>25570.277044893031</v>
      </c>
      <c r="I129" s="340">
        <f>('побудинковий звіт'!AT130+'побудинковий звіт'!BR130)*1.2</f>
        <v>24086.484262845508</v>
      </c>
      <c r="J129" s="340">
        <f t="shared" si="6"/>
        <v>-1483.7927820475234</v>
      </c>
      <c r="K129" s="361">
        <f t="shared" si="7"/>
        <v>0.94197197083776329</v>
      </c>
      <c r="L129" s="363">
        <f>'побудинковий звіт'!DE130</f>
        <v>11060.235289943272</v>
      </c>
      <c r="M129" s="546">
        <f>'побудинковий звіт'!DA130*-1</f>
        <v>-33213.53060561524</v>
      </c>
    </row>
    <row r="130" spans="1:13" ht="20.100000000000001" customHeight="1" x14ac:dyDescent="0.3">
      <c r="A130" s="366" t="s">
        <v>580</v>
      </c>
      <c r="B130" s="291" t="s">
        <v>417</v>
      </c>
      <c r="C130" s="367">
        <v>10</v>
      </c>
      <c r="D130" s="357">
        <f>'побудинковий звіт'!CU131</f>
        <v>192875.20876428075</v>
      </c>
      <c r="E130" s="341">
        <f>'побудинковий звіт'!CV131</f>
        <v>153778.25466690259</v>
      </c>
      <c r="F130" s="341">
        <f t="shared" si="4"/>
        <v>-39096.954097378155</v>
      </c>
      <c r="G130" s="358">
        <f t="shared" si="5"/>
        <v>0.79729404132409853</v>
      </c>
      <c r="H130" s="352">
        <f>('побудинковий звіт'!AS131+'побудинковий звіт'!BQ131)*1.2</f>
        <v>46749.593144910592</v>
      </c>
      <c r="I130" s="340">
        <f>('побудинковий звіт'!AT131+'побудинковий звіт'!BR131)*1.2</f>
        <v>10065.6</v>
      </c>
      <c r="J130" s="340">
        <f t="shared" si="6"/>
        <v>-36683.993144910593</v>
      </c>
      <c r="K130" s="361">
        <f t="shared" si="7"/>
        <v>0.21530882565757248</v>
      </c>
      <c r="L130" s="363">
        <f>'побудинковий звіт'!DE131</f>
        <v>5571.7559891775454</v>
      </c>
      <c r="M130" s="544">
        <f>'побудинковий звіт'!DA131*-1</f>
        <v>9085.4024416805114</v>
      </c>
    </row>
    <row r="131" spans="1:13" ht="20.100000000000001" customHeight="1" x14ac:dyDescent="0.3">
      <c r="A131" s="366" t="s">
        <v>581</v>
      </c>
      <c r="B131" s="291" t="s">
        <v>360</v>
      </c>
      <c r="C131" s="367">
        <v>9</v>
      </c>
      <c r="D131" s="357">
        <f>'побудинковий звіт'!CU132</f>
        <v>309829.75854656484</v>
      </c>
      <c r="E131" s="341">
        <f>'побудинковий звіт'!CV132</f>
        <v>252878.0990413054</v>
      </c>
      <c r="F131" s="341">
        <f t="shared" si="4"/>
        <v>-56951.659505259449</v>
      </c>
      <c r="G131" s="358">
        <f t="shared" si="5"/>
        <v>0.81618402385741107</v>
      </c>
      <c r="H131" s="352">
        <f>('побудинковий звіт'!AS132+'побудинковий звіт'!BQ132)*1.2</f>
        <v>78325.799781893889</v>
      </c>
      <c r="I131" s="340">
        <f>('побудинковий звіт'!AT132+'побудинковий звіт'!BR132)*1.2</f>
        <v>29067.456000000002</v>
      </c>
      <c r="J131" s="340">
        <f t="shared" si="6"/>
        <v>-49258.343781893884</v>
      </c>
      <c r="K131" s="361">
        <f t="shared" si="7"/>
        <v>0.37110959710518465</v>
      </c>
      <c r="L131" s="363">
        <f>'побудинковий звіт'!DE132</f>
        <v>5291.9574236521039</v>
      </c>
      <c r="M131" s="546">
        <f>'побудинковий звіт'!DA132*-1</f>
        <v>-73351.937902356454</v>
      </c>
    </row>
    <row r="132" spans="1:13" ht="20.100000000000001" customHeight="1" x14ac:dyDescent="0.3">
      <c r="A132" s="366" t="s">
        <v>582</v>
      </c>
      <c r="B132" s="291" t="s">
        <v>81</v>
      </c>
      <c r="C132" s="367">
        <v>1</v>
      </c>
      <c r="D132" s="357">
        <f>'побудинковий звіт'!CU133</f>
        <v>2440.2623820306467</v>
      </c>
      <c r="E132" s="341">
        <f>'побудинковий звіт'!CV133</f>
        <v>1203.9357024928943</v>
      </c>
      <c r="F132" s="341">
        <f t="shared" si="4"/>
        <v>-1236.3266795377524</v>
      </c>
      <c r="G132" s="358">
        <f t="shared" si="5"/>
        <v>0.49336321838106928</v>
      </c>
      <c r="H132" s="352">
        <f>('побудинковий звіт'!AS133+'побудинковий звіт'!BQ133)*1.2</f>
        <v>1712.7916922494189</v>
      </c>
      <c r="I132" s="340">
        <f>('побудинковий звіт'!AT133+'побудинковий звіт'!BR133)*1.2</f>
        <v>0</v>
      </c>
      <c r="J132" s="340">
        <f t="shared" si="6"/>
        <v>-1712.7916922494189</v>
      </c>
      <c r="K132" s="361">
        <f t="shared" si="7"/>
        <v>0</v>
      </c>
      <c r="L132" s="363">
        <f>'побудинковий звіт'!DE133</f>
        <v>30.586540334841516</v>
      </c>
      <c r="M132" s="544">
        <f>'побудинковий звіт'!DA133*-1</f>
        <v>5528.8960699694162</v>
      </c>
    </row>
    <row r="133" spans="1:13" ht="20.100000000000001" customHeight="1" x14ac:dyDescent="0.3">
      <c r="A133" s="366" t="s">
        <v>583</v>
      </c>
      <c r="B133" s="291" t="s">
        <v>82</v>
      </c>
      <c r="C133" s="367">
        <v>1</v>
      </c>
      <c r="D133" s="357">
        <f>'побудинковий звіт'!CU134</f>
        <v>0</v>
      </c>
      <c r="E133" s="341">
        <f>'побудинковий звіт'!CV134</f>
        <v>0</v>
      </c>
      <c r="F133" s="341">
        <f t="shared" si="4"/>
        <v>0</v>
      </c>
      <c r="G133" s="358" t="e">
        <f t="shared" si="5"/>
        <v>#DIV/0!</v>
      </c>
      <c r="H133" s="352">
        <f>('побудинковий звіт'!AS134+'побудинковий звіт'!BQ134)*1.2</f>
        <v>0</v>
      </c>
      <c r="I133" s="340">
        <f>('побудинковий звіт'!AT134+'побудинковий звіт'!BR134)*1.2</f>
        <v>0</v>
      </c>
      <c r="J133" s="340">
        <f t="shared" si="6"/>
        <v>0</v>
      </c>
      <c r="K133" s="361" t="e">
        <f t="shared" si="7"/>
        <v>#DIV/0!</v>
      </c>
      <c r="L133" s="363">
        <f>'побудинковий звіт'!DE134</f>
        <v>1797.5083144876608</v>
      </c>
      <c r="M133" s="544">
        <f>'побудинковий звіт'!DA134*-1</f>
        <v>5002.1114580439098</v>
      </c>
    </row>
    <row r="134" spans="1:13" ht="20.100000000000001" customHeight="1" x14ac:dyDescent="0.3">
      <c r="A134" s="366" t="s">
        <v>584</v>
      </c>
      <c r="B134" s="291" t="s">
        <v>83</v>
      </c>
      <c r="C134" s="367">
        <v>1</v>
      </c>
      <c r="D134" s="357">
        <f>'побудинковий звіт'!CU135</f>
        <v>0</v>
      </c>
      <c r="E134" s="341">
        <f>'побудинковий звіт'!CV135</f>
        <v>0</v>
      </c>
      <c r="F134" s="341">
        <f t="shared" si="4"/>
        <v>0</v>
      </c>
      <c r="G134" s="358" t="e">
        <f t="shared" si="5"/>
        <v>#DIV/0!</v>
      </c>
      <c r="H134" s="352">
        <f>('побудинковий звіт'!AS135+'побудинковий звіт'!BQ135)*1.2</f>
        <v>0</v>
      </c>
      <c r="I134" s="340">
        <f>('побудинковий звіт'!AT135+'побудинковий звіт'!BR135)*1.2</f>
        <v>0</v>
      </c>
      <c r="J134" s="340">
        <f t="shared" si="6"/>
        <v>0</v>
      </c>
      <c r="K134" s="361" t="e">
        <f t="shared" si="7"/>
        <v>#DIV/0!</v>
      </c>
      <c r="L134" s="363">
        <f>'побудинковий звіт'!DE135</f>
        <v>1342.0909072817633</v>
      </c>
      <c r="M134" s="544">
        <f>'побудинковий звіт'!DA135*-1</f>
        <v>4675.9521001685152</v>
      </c>
    </row>
    <row r="135" spans="1:13" ht="20.100000000000001" customHeight="1" x14ac:dyDescent="0.3">
      <c r="A135" s="366" t="s">
        <v>585</v>
      </c>
      <c r="B135" s="291" t="s">
        <v>164</v>
      </c>
      <c r="C135" s="367">
        <v>2</v>
      </c>
      <c r="D135" s="357">
        <f>'побудинковий звіт'!CU136</f>
        <v>14604.749930290465</v>
      </c>
      <c r="E135" s="341">
        <f>'побудинковий звіт'!CV136</f>
        <v>10899.669658839677</v>
      </c>
      <c r="F135" s="341">
        <f t="shared" ref="F135:F198" si="8">E135-D135</f>
        <v>-3705.0802714507881</v>
      </c>
      <c r="G135" s="358">
        <f t="shared" ref="G135:G198" si="9">E135/D135</f>
        <v>0.74630991361472088</v>
      </c>
      <c r="H135" s="352">
        <f>('побудинковий звіт'!AS136+'побудинковий звіт'!BQ136)*1.2</f>
        <v>6290.4348992888636</v>
      </c>
      <c r="I135" s="340">
        <f>('побудинковий звіт'!AT136+'побудинковий звіт'!BR136)*1.2</f>
        <v>2024.3999999999999</v>
      </c>
      <c r="J135" s="340">
        <f t="shared" ref="J135:J198" si="10">I135-H135</f>
        <v>-4266.0348992888639</v>
      </c>
      <c r="K135" s="361">
        <f t="shared" ref="K135:K198" si="11">I135/H135</f>
        <v>0.32182194592441599</v>
      </c>
      <c r="L135" s="363">
        <f>'побудинковий звіт'!DE136</f>
        <v>336.56969316961977</v>
      </c>
      <c r="M135" s="544">
        <f>'побудинковий звіт'!DA136*-1</f>
        <v>4325.2123192177769</v>
      </c>
    </row>
    <row r="136" spans="1:13" ht="20.100000000000001" customHeight="1" x14ac:dyDescent="0.3">
      <c r="A136" s="366" t="s">
        <v>586</v>
      </c>
      <c r="B136" s="291" t="s">
        <v>84</v>
      </c>
      <c r="C136" s="367">
        <v>1</v>
      </c>
      <c r="D136" s="357">
        <f>'побудинковий звіт'!CU137</f>
        <v>3014.8239667210805</v>
      </c>
      <c r="E136" s="341">
        <f>'побудинковий звіт'!CV137</f>
        <v>1243.606079995644</v>
      </c>
      <c r="F136" s="341">
        <f t="shared" si="8"/>
        <v>-1771.2178867254365</v>
      </c>
      <c r="G136" s="358">
        <f t="shared" si="9"/>
        <v>0.41249707900796234</v>
      </c>
      <c r="H136" s="352">
        <f>('побудинковий звіт'!AS137+'побудинковий звіт'!BQ137)*1.2</f>
        <v>2384.707123965451</v>
      </c>
      <c r="I136" s="340">
        <f>('побудинковий звіт'!AT137+'побудинковий звіт'!BR137)*1.2</f>
        <v>0</v>
      </c>
      <c r="J136" s="340">
        <f t="shared" si="10"/>
        <v>-2384.707123965451</v>
      </c>
      <c r="K136" s="361">
        <f t="shared" si="11"/>
        <v>0</v>
      </c>
      <c r="L136" s="363">
        <f>'побудинковий звіт'!DE137</f>
        <v>8.1120620906744989E-3</v>
      </c>
      <c r="M136" s="544">
        <f>'побудинковий звіт'!DA137*-1</f>
        <v>3604.7715484406949</v>
      </c>
    </row>
    <row r="137" spans="1:13" ht="20.100000000000001" customHeight="1" x14ac:dyDescent="0.3">
      <c r="A137" s="366" t="s">
        <v>587</v>
      </c>
      <c r="B137" s="291" t="s">
        <v>85</v>
      </c>
      <c r="C137" s="367">
        <v>1</v>
      </c>
      <c r="D137" s="357">
        <f>'побудинковий звіт'!CU138</f>
        <v>2650.4528144049732</v>
      </c>
      <c r="E137" s="341">
        <f>'побудинковий звіт'!CV138</f>
        <v>1389.3350064477138</v>
      </c>
      <c r="F137" s="341">
        <f t="shared" si="8"/>
        <v>-1261.1178079572594</v>
      </c>
      <c r="G137" s="358">
        <f t="shared" si="9"/>
        <v>0.52418779119432068</v>
      </c>
      <c r="H137" s="352">
        <f>('побудинковий звіт'!AS138+'побудинковий звіт'!BQ138)*1.2</f>
        <v>1975.5219781199526</v>
      </c>
      <c r="I137" s="340">
        <f>('побудинковий звіт'!AT138+'побудинковий звіт'!BR138)*1.2</f>
        <v>0</v>
      </c>
      <c r="J137" s="340">
        <f t="shared" si="10"/>
        <v>-1975.5219781199526</v>
      </c>
      <c r="K137" s="361">
        <f t="shared" si="11"/>
        <v>0</v>
      </c>
      <c r="L137" s="363">
        <f>'побудинковий звіт'!DE138</f>
        <v>5.1034074098765814E-4</v>
      </c>
      <c r="M137" s="544">
        <f>'побудинковий звіт'!DA138*-1</f>
        <v>4971.7690640857727</v>
      </c>
    </row>
    <row r="138" spans="1:13" ht="20.100000000000001" customHeight="1" x14ac:dyDescent="0.3">
      <c r="A138" s="366" t="s">
        <v>588</v>
      </c>
      <c r="B138" s="291" t="s">
        <v>86</v>
      </c>
      <c r="C138" s="367">
        <v>1</v>
      </c>
      <c r="D138" s="357">
        <f>'побудинковий звіт'!CU139</f>
        <v>3020.1622977852253</v>
      </c>
      <c r="E138" s="341">
        <f>'побудинковий звіт'!CV139</f>
        <v>1594.8609961769043</v>
      </c>
      <c r="F138" s="341">
        <f t="shared" si="8"/>
        <v>-1425.301301608321</v>
      </c>
      <c r="G138" s="358">
        <f t="shared" si="9"/>
        <v>0.5280712885352099</v>
      </c>
      <c r="H138" s="352">
        <f>('побудинковий звіт'!AS139+'побудинковий звіт'!BQ139)*1.2</f>
        <v>2157.5702502763625</v>
      </c>
      <c r="I138" s="340">
        <f>('побудинковий звіт'!AT139+'побудинковий звіт'!BR139)*1.2</f>
        <v>0</v>
      </c>
      <c r="J138" s="340">
        <f t="shared" si="10"/>
        <v>-2157.5702502763625</v>
      </c>
      <c r="K138" s="361">
        <f t="shared" si="11"/>
        <v>0</v>
      </c>
      <c r="L138" s="363">
        <f>'побудинковий звіт'!DE139</f>
        <v>72.967353754836154</v>
      </c>
      <c r="M138" s="544">
        <f>'побудинковий звіт'!DA139*-1</f>
        <v>2605.9754854312214</v>
      </c>
    </row>
    <row r="139" spans="1:13" ht="20.100000000000001" customHeight="1" x14ac:dyDescent="0.3">
      <c r="A139" s="366" t="s">
        <v>589</v>
      </c>
      <c r="B139" s="291" t="s">
        <v>87</v>
      </c>
      <c r="C139" s="367">
        <v>1</v>
      </c>
      <c r="D139" s="357">
        <f>'побудинковий звіт'!CU140</f>
        <v>3690.4929127751657</v>
      </c>
      <c r="E139" s="341">
        <f>'побудинковий звіт'!CV140</f>
        <v>2560.9931865468816</v>
      </c>
      <c r="F139" s="341">
        <f t="shared" si="8"/>
        <v>-1129.4997262282841</v>
      </c>
      <c r="G139" s="358">
        <f t="shared" si="9"/>
        <v>0.69394339647195624</v>
      </c>
      <c r="H139" s="352">
        <f>('побудинковий звіт'!AS140+'побудинковий звіт'!BQ140)*1.2</f>
        <v>2705.5014567758321</v>
      </c>
      <c r="I139" s="340">
        <f>('побудинковий звіт'!AT140+'побудинковий звіт'!BR140)*1.2</f>
        <v>848.4</v>
      </c>
      <c r="J139" s="340">
        <f t="shared" si="10"/>
        <v>-1857.101456775832</v>
      </c>
      <c r="K139" s="361">
        <f t="shared" si="11"/>
        <v>0.31358327228958327</v>
      </c>
      <c r="L139" s="363">
        <f>'побудинковий звіт'!DE140</f>
        <v>200.15854129876249</v>
      </c>
      <c r="M139" s="544">
        <f>'побудинковий звіт'!DA140*-1</f>
        <v>7901.5522048802331</v>
      </c>
    </row>
    <row r="140" spans="1:13" ht="20.100000000000001" customHeight="1" x14ac:dyDescent="0.3">
      <c r="A140" s="366" t="s">
        <v>590</v>
      </c>
      <c r="B140" s="291" t="s">
        <v>259</v>
      </c>
      <c r="C140" s="367">
        <v>5</v>
      </c>
      <c r="D140" s="357">
        <f>'побудинковий звіт'!CU141</f>
        <v>181829.70025323343</v>
      </c>
      <c r="E140" s="341">
        <f>'побудинковий звіт'!CV141</f>
        <v>147705.97129120398</v>
      </c>
      <c r="F140" s="341">
        <f t="shared" si="8"/>
        <v>-34123.728962029447</v>
      </c>
      <c r="G140" s="358">
        <f t="shared" si="9"/>
        <v>0.81233137977731096</v>
      </c>
      <c r="H140" s="352">
        <f>('побудинковий звіт'!AS141+'побудинковий звіт'!BQ141)*1.2</f>
        <v>54317.253960380338</v>
      </c>
      <c r="I140" s="340">
        <f>('побудинковий звіт'!AT141+'побудинковий звіт'!BR141)*1.2</f>
        <v>14637.6</v>
      </c>
      <c r="J140" s="340">
        <f t="shared" si="10"/>
        <v>-39679.653960380339</v>
      </c>
      <c r="K140" s="361">
        <f t="shared" si="11"/>
        <v>0.2694834317411709</v>
      </c>
      <c r="L140" s="363">
        <f>'побудинковий звіт'!DE141</f>
        <v>14337.996040276696</v>
      </c>
      <c r="M140" s="547">
        <f>'побудинковий звіт'!DA141*-1</f>
        <v>87257.599441255094</v>
      </c>
    </row>
    <row r="141" spans="1:13" ht="20.100000000000001" customHeight="1" x14ac:dyDescent="0.3">
      <c r="A141" s="366" t="s">
        <v>591</v>
      </c>
      <c r="B141" s="291" t="s">
        <v>88</v>
      </c>
      <c r="C141" s="367">
        <v>1</v>
      </c>
      <c r="D141" s="357">
        <f>'побудинковий звіт'!CU142</f>
        <v>0</v>
      </c>
      <c r="E141" s="341">
        <f>'побудинковий звіт'!CV142</f>
        <v>0</v>
      </c>
      <c r="F141" s="341">
        <f t="shared" si="8"/>
        <v>0</v>
      </c>
      <c r="G141" s="358" t="e">
        <f t="shared" si="9"/>
        <v>#DIV/0!</v>
      </c>
      <c r="H141" s="352">
        <f>('побудинковий звіт'!AS142+'побудинковий звіт'!BQ142)*1.2</f>
        <v>0</v>
      </c>
      <c r="I141" s="340">
        <f>('побудинковий звіт'!AT142+'побудинковий звіт'!BR142)*1.2</f>
        <v>0</v>
      </c>
      <c r="J141" s="340">
        <f t="shared" si="10"/>
        <v>0</v>
      </c>
      <c r="K141" s="361" t="e">
        <f t="shared" si="11"/>
        <v>#DIV/0!</v>
      </c>
      <c r="L141" s="363">
        <f>'побудинковий звіт'!DE142</f>
        <v>2449.6544986496779</v>
      </c>
      <c r="M141" s="544">
        <f>'побудинковий звіт'!DA142*-1</f>
        <v>7085.2758377840419</v>
      </c>
    </row>
    <row r="142" spans="1:13" ht="20.100000000000001" customHeight="1" x14ac:dyDescent="0.3">
      <c r="A142" s="366" t="s">
        <v>592</v>
      </c>
      <c r="B142" s="291" t="s">
        <v>89</v>
      </c>
      <c r="C142" s="367">
        <v>1</v>
      </c>
      <c r="D142" s="357">
        <f>'побудинковий звіт'!CU143</f>
        <v>3286.9467155546004</v>
      </c>
      <c r="E142" s="341">
        <f>'побудинковий звіт'!CV143</f>
        <v>1232.6382660649692</v>
      </c>
      <c r="F142" s="341">
        <f t="shared" si="8"/>
        <v>-2054.3084494896311</v>
      </c>
      <c r="G142" s="358">
        <f t="shared" si="9"/>
        <v>0.37501011508091592</v>
      </c>
      <c r="H142" s="352">
        <f>('побудинковий звіт'!AS143+'побудинковий звіт'!BQ143)*1.2</f>
        <v>2616.2507824534387</v>
      </c>
      <c r="I142" s="340">
        <f>('побудинковий звіт'!AT143+'побудинковий звіт'!BR143)*1.2</f>
        <v>0</v>
      </c>
      <c r="J142" s="340">
        <f t="shared" si="10"/>
        <v>-2616.2507824534387</v>
      </c>
      <c r="K142" s="361">
        <f t="shared" si="11"/>
        <v>0</v>
      </c>
      <c r="L142" s="363">
        <f>'побудинковий звіт'!DE143</f>
        <v>486.18917885003771</v>
      </c>
      <c r="M142" s="544">
        <f>'побудинковий звіт'!DA143*-1</f>
        <v>8170.2548946355782</v>
      </c>
    </row>
    <row r="143" spans="1:13" ht="20.100000000000001" customHeight="1" x14ac:dyDescent="0.3">
      <c r="A143" s="366" t="s">
        <v>593</v>
      </c>
      <c r="B143" s="291" t="s">
        <v>90</v>
      </c>
      <c r="C143" s="367">
        <v>1</v>
      </c>
      <c r="D143" s="357">
        <f>'побудинковий звіт'!CU144</f>
        <v>3180.9462756956141</v>
      </c>
      <c r="E143" s="341">
        <f>'побудинковий звіт'!CV144</f>
        <v>1312.6465064482045</v>
      </c>
      <c r="F143" s="341">
        <f t="shared" si="8"/>
        <v>-1868.2997692474096</v>
      </c>
      <c r="G143" s="358">
        <f t="shared" si="9"/>
        <v>0.41265912488922907</v>
      </c>
      <c r="H143" s="352">
        <f>('побудинковий звіт'!AS144+'побудинковий звіт'!BQ144)*1.2</f>
        <v>2445.1165346154567</v>
      </c>
      <c r="I143" s="340">
        <f>('побудинковий звіт'!AT144+'побудинковий звіт'!BR144)*1.2</f>
        <v>0</v>
      </c>
      <c r="J143" s="340">
        <f t="shared" si="10"/>
        <v>-2445.1165346154567</v>
      </c>
      <c r="K143" s="361">
        <f t="shared" si="11"/>
        <v>0</v>
      </c>
      <c r="L143" s="363">
        <f>'побудинковий звіт'!DE144</f>
        <v>-3.1413098487291791E-3</v>
      </c>
      <c r="M143" s="544">
        <f>'побудинковий звіт'!DA144*-1</f>
        <v>7304.3821198804217</v>
      </c>
    </row>
    <row r="144" spans="1:13" ht="20.100000000000001" customHeight="1" x14ac:dyDescent="0.3">
      <c r="A144" s="366" t="s">
        <v>594</v>
      </c>
      <c r="B144" s="291" t="s">
        <v>91</v>
      </c>
      <c r="C144" s="367">
        <v>1</v>
      </c>
      <c r="D144" s="357">
        <f>'побудинковий звіт'!CU145</f>
        <v>1980.4729937616064</v>
      </c>
      <c r="E144" s="341">
        <f>'побудинковий звіт'!CV145</f>
        <v>739.55486675631198</v>
      </c>
      <c r="F144" s="341">
        <f t="shared" si="8"/>
        <v>-1240.9181270052945</v>
      </c>
      <c r="G144" s="358">
        <f t="shared" si="9"/>
        <v>0.37342335345438882</v>
      </c>
      <c r="H144" s="352">
        <f>('побудинковий звіт'!AS145+'побудинковий звіт'!BQ145)*1.2</f>
        <v>1599.2882458439124</v>
      </c>
      <c r="I144" s="340">
        <f>('побудинковий звіт'!AT145+'побудинковий звіт'!BR145)*1.2</f>
        <v>0</v>
      </c>
      <c r="J144" s="340">
        <f t="shared" si="10"/>
        <v>-1599.2882458439124</v>
      </c>
      <c r="K144" s="361">
        <f t="shared" si="11"/>
        <v>0</v>
      </c>
      <c r="L144" s="363">
        <f>'побудинковий звіт'!DE145</f>
        <v>-3.042212570043489</v>
      </c>
      <c r="M144" s="544">
        <f>'побудинковий звіт'!DA145*-1</f>
        <v>4873.5666568355718</v>
      </c>
    </row>
    <row r="145" spans="1:13" ht="20.100000000000001" customHeight="1" x14ac:dyDescent="0.3">
      <c r="A145" s="366" t="s">
        <v>595</v>
      </c>
      <c r="B145" s="291" t="s">
        <v>92</v>
      </c>
      <c r="C145" s="367">
        <v>1</v>
      </c>
      <c r="D145" s="357">
        <f>'побудинковий звіт'!CU146</f>
        <v>1925.2938618961423</v>
      </c>
      <c r="E145" s="341">
        <f>'побудинковий звіт'!CV146</f>
        <v>729.53789408517048</v>
      </c>
      <c r="F145" s="341">
        <f t="shared" si="8"/>
        <v>-1195.7559678109719</v>
      </c>
      <c r="G145" s="358">
        <f t="shared" si="9"/>
        <v>0.37892287952690962</v>
      </c>
      <c r="H145" s="352">
        <f>('побудинковий звіт'!AS146+'побудинковий звіт'!BQ146)*1.2</f>
        <v>1512.4395324916484</v>
      </c>
      <c r="I145" s="340">
        <f>('побудинковий звіт'!AT146+'побудинковий звіт'!BR146)*1.2</f>
        <v>0</v>
      </c>
      <c r="J145" s="340">
        <f t="shared" si="10"/>
        <v>-1512.4395324916484</v>
      </c>
      <c r="K145" s="361">
        <f t="shared" si="11"/>
        <v>0</v>
      </c>
      <c r="L145" s="363">
        <f>'побудинковий звіт'!DE146</f>
        <v>444.05220490696155</v>
      </c>
      <c r="M145" s="544">
        <f>'побудинковий звіт'!DA146*-1</f>
        <v>4687.7240768091751</v>
      </c>
    </row>
    <row r="146" spans="1:13" ht="20.100000000000001" customHeight="1" x14ac:dyDescent="0.3">
      <c r="A146" s="366" t="s">
        <v>596</v>
      </c>
      <c r="B146" s="291" t="s">
        <v>260</v>
      </c>
      <c r="C146" s="367">
        <v>5</v>
      </c>
      <c r="D146" s="357">
        <f>'побудинковий звіт'!CU147</f>
        <v>168480.1967047285</v>
      </c>
      <c r="E146" s="341">
        <f>'побудинковий звіт'!CV147</f>
        <v>171757.77502173069</v>
      </c>
      <c r="F146" s="341">
        <f t="shared" si="8"/>
        <v>3277.5783170021896</v>
      </c>
      <c r="G146" s="358">
        <f t="shared" si="9"/>
        <v>1.0194537897100533</v>
      </c>
      <c r="H146" s="352">
        <f>('побудинковий звіт'!AS147+'побудинковий звіт'!BQ147)*1.2</f>
        <v>54405.592193085766</v>
      </c>
      <c r="I146" s="340">
        <f>('побудинковий звіт'!AT147+'побудинковий звіт'!BR147)*1.2</f>
        <v>46845.448438075851</v>
      </c>
      <c r="J146" s="340">
        <f t="shared" si="10"/>
        <v>-7560.1437550099145</v>
      </c>
      <c r="K146" s="361">
        <f t="shared" si="11"/>
        <v>0.86104105386485053</v>
      </c>
      <c r="L146" s="363">
        <f>'побудинковий звіт'!DE147</f>
        <v>8301.0042665795718</v>
      </c>
      <c r="M146" s="546">
        <f>'побудинковий звіт'!DA147*-1</f>
        <v>-25082.911615364857</v>
      </c>
    </row>
    <row r="147" spans="1:13" ht="20.100000000000001" customHeight="1" x14ac:dyDescent="0.3">
      <c r="A147" s="366" t="s">
        <v>597</v>
      </c>
      <c r="B147" s="291" t="s">
        <v>418</v>
      </c>
      <c r="C147" s="367">
        <v>10</v>
      </c>
      <c r="D147" s="357">
        <f>'побудинковий звіт'!CU148</f>
        <v>546096.440684531</v>
      </c>
      <c r="E147" s="341">
        <f>'побудинковий звіт'!CV148</f>
        <v>645447.74032468128</v>
      </c>
      <c r="F147" s="341">
        <f t="shared" si="8"/>
        <v>99351.299640150275</v>
      </c>
      <c r="G147" s="358">
        <f t="shared" si="9"/>
        <v>1.1819299527307183</v>
      </c>
      <c r="H147" s="352">
        <f>('побудинковий звіт'!AS148+'побудинковий звіт'!BQ148)*1.2</f>
        <v>126322.3718252885</v>
      </c>
      <c r="I147" s="340">
        <f>('побудинковий звіт'!AT148+'побудинковий звіт'!BR148)*1.2</f>
        <v>265356.43200000003</v>
      </c>
      <c r="J147" s="340">
        <f t="shared" si="10"/>
        <v>139034.06017471151</v>
      </c>
      <c r="K147" s="361">
        <f t="shared" si="11"/>
        <v>2.1006289556295226</v>
      </c>
      <c r="L147" s="363">
        <f>'побудинковий звіт'!DE148</f>
        <v>68254.17374302457</v>
      </c>
      <c r="M147" s="547">
        <f>'побудинковий звіт'!DA148*-1</f>
        <v>-24769.639698006078</v>
      </c>
    </row>
    <row r="148" spans="1:13" ht="20.100000000000001" customHeight="1" x14ac:dyDescent="0.3">
      <c r="A148" s="366" t="s">
        <v>598</v>
      </c>
      <c r="B148" s="291" t="s">
        <v>419</v>
      </c>
      <c r="C148" s="367">
        <v>10</v>
      </c>
      <c r="D148" s="357">
        <f>'побудинковий звіт'!CU149</f>
        <v>600755.67157754709</v>
      </c>
      <c r="E148" s="341">
        <f>'побудинковий звіт'!CV149</f>
        <v>455961.43490437104</v>
      </c>
      <c r="F148" s="341">
        <f t="shared" si="8"/>
        <v>-144794.23667317606</v>
      </c>
      <c r="G148" s="358">
        <f t="shared" si="9"/>
        <v>0.75897982570359201</v>
      </c>
      <c r="H148" s="352">
        <f>('побудинковий звіт'!AS149+'побудинковий звіт'!BQ149)*1.2</f>
        <v>156704.89733544868</v>
      </c>
      <c r="I148" s="340">
        <f>('побудинковий звіт'!AT149+'побудинковий звіт'!BR149)*1.2</f>
        <v>44999.939999999995</v>
      </c>
      <c r="J148" s="340">
        <f t="shared" si="10"/>
        <v>-111704.95733544868</v>
      </c>
      <c r="K148" s="361">
        <f t="shared" si="11"/>
        <v>0.28716358432417943</v>
      </c>
      <c r="L148" s="363">
        <f>'побудинковий звіт'!DE149</f>
        <v>48220.458177675493</v>
      </c>
      <c r="M148" s="547">
        <f>'побудинковий звіт'!DA149*-1</f>
        <v>210656.93569251028</v>
      </c>
    </row>
    <row r="149" spans="1:13" ht="20.100000000000001" customHeight="1" x14ac:dyDescent="0.3">
      <c r="A149" s="366" t="s">
        <v>599</v>
      </c>
      <c r="B149" s="291" t="s">
        <v>93</v>
      </c>
      <c r="C149" s="367">
        <v>1</v>
      </c>
      <c r="D149" s="357">
        <f>'побудинковий звіт'!CU150</f>
        <v>4328.8205739951445</v>
      </c>
      <c r="E149" s="341">
        <f>'побудинковий звіт'!CV150</f>
        <v>1903.0055931337456</v>
      </c>
      <c r="F149" s="341">
        <f t="shared" si="8"/>
        <v>-2425.8149808613989</v>
      </c>
      <c r="G149" s="358">
        <f t="shared" si="9"/>
        <v>0.43961295244386356</v>
      </c>
      <c r="H149" s="352">
        <f>('побудинковий звіт'!AS150+'побудинковий звіт'!BQ150)*1.2</f>
        <v>3286.0373545805865</v>
      </c>
      <c r="I149" s="340">
        <f>('побудинковий звіт'!AT150+'побудинковий звіт'!BR150)*1.2</f>
        <v>0</v>
      </c>
      <c r="J149" s="340">
        <f t="shared" si="10"/>
        <v>-3286.0373545805865</v>
      </c>
      <c r="K149" s="361">
        <f t="shared" si="11"/>
        <v>0</v>
      </c>
      <c r="L149" s="363">
        <f>'побудинковий звіт'!DE150</f>
        <v>-1.7956140625698822</v>
      </c>
      <c r="M149" s="544">
        <f>'побудинковий звіт'!DA150*-1</f>
        <v>9894.1860918920993</v>
      </c>
    </row>
    <row r="150" spans="1:13" ht="20.100000000000001" customHeight="1" x14ac:dyDescent="0.3">
      <c r="A150" s="366" t="s">
        <v>600</v>
      </c>
      <c r="B150" s="291" t="s">
        <v>94</v>
      </c>
      <c r="C150" s="367">
        <v>1</v>
      </c>
      <c r="D150" s="357">
        <f>'побудинковий звіт'!CU151</f>
        <v>2992.2332931348114</v>
      </c>
      <c r="E150" s="341">
        <f>'побудинковий звіт'!CV151</f>
        <v>1506.2754149177183</v>
      </c>
      <c r="F150" s="341">
        <f t="shared" si="8"/>
        <v>-1485.9578782170931</v>
      </c>
      <c r="G150" s="358">
        <f t="shared" si="9"/>
        <v>0.50339504555798509</v>
      </c>
      <c r="H150" s="352">
        <f>('побудинковий звіт'!AS151+'побудинковий звіт'!BQ151)*1.2</f>
        <v>2129.5313548873628</v>
      </c>
      <c r="I150" s="340">
        <f>('побудинковий звіт'!AT151+'побудинковий звіт'!BR151)*1.2</f>
        <v>0</v>
      </c>
      <c r="J150" s="340">
        <f t="shared" si="10"/>
        <v>-2129.5313548873628</v>
      </c>
      <c r="K150" s="361">
        <f t="shared" si="11"/>
        <v>0</v>
      </c>
      <c r="L150" s="363">
        <f>'побудинковий звіт'!DE151</f>
        <v>69.851172110467189</v>
      </c>
      <c r="M150" s="544">
        <f>'побудинковий звіт'!DA151*-1</f>
        <v>5448.9944347291803</v>
      </c>
    </row>
    <row r="151" spans="1:13" ht="20.100000000000001" customHeight="1" x14ac:dyDescent="0.3">
      <c r="A151" s="366" t="s">
        <v>601</v>
      </c>
      <c r="B151" s="291" t="s">
        <v>95</v>
      </c>
      <c r="C151" s="367">
        <v>1</v>
      </c>
      <c r="D151" s="357">
        <f>'побудинковий звіт'!CU152</f>
        <v>0</v>
      </c>
      <c r="E151" s="341">
        <f>'побудинковий звіт'!CV152</f>
        <v>0</v>
      </c>
      <c r="F151" s="341">
        <f t="shared" si="8"/>
        <v>0</v>
      </c>
      <c r="G151" s="358" t="e">
        <f t="shared" si="9"/>
        <v>#DIV/0!</v>
      </c>
      <c r="H151" s="352">
        <f>('побудинковий звіт'!AS152+'побудинковий звіт'!BQ152)*1.2</f>
        <v>0</v>
      </c>
      <c r="I151" s="340">
        <f>('побудинковий звіт'!AT152+'побудинковий звіт'!BR152)*1.2</f>
        <v>0</v>
      </c>
      <c r="J151" s="340">
        <f t="shared" si="10"/>
        <v>0</v>
      </c>
      <c r="K151" s="361" t="e">
        <f t="shared" si="11"/>
        <v>#DIV/0!</v>
      </c>
      <c r="L151" s="363">
        <f>'побудинковий звіт'!DE152</f>
        <v>2160.0028350876864</v>
      </c>
      <c r="M151" s="544">
        <f>'побудинковий звіт'!DA152*-1</f>
        <v>4679.9027846768458</v>
      </c>
    </row>
    <row r="152" spans="1:13" ht="20.100000000000001" customHeight="1" x14ac:dyDescent="0.3">
      <c r="A152" s="366" t="s">
        <v>602</v>
      </c>
      <c r="B152" s="291" t="s">
        <v>96</v>
      </c>
      <c r="C152" s="367">
        <v>1</v>
      </c>
      <c r="D152" s="357">
        <f>'побудинковий звіт'!CU153</f>
        <v>2411.9752859654409</v>
      </c>
      <c r="E152" s="341">
        <f>'побудинковий звіт'!CV153</f>
        <v>1565.0471344465484</v>
      </c>
      <c r="F152" s="341">
        <f t="shared" si="8"/>
        <v>-846.92815151889249</v>
      </c>
      <c r="G152" s="358">
        <f t="shared" si="9"/>
        <v>0.64886532774738082</v>
      </c>
      <c r="H152" s="352">
        <f>('побудинковий звіт'!AS153+'побудинковий звіт'!BQ153)*1.2</f>
        <v>1705.377487661518</v>
      </c>
      <c r="I152" s="340">
        <f>('побудинковий звіт'!AT153+'побудинковий звіт'!BR153)*1.2</f>
        <v>426</v>
      </c>
      <c r="J152" s="340">
        <f t="shared" si="10"/>
        <v>-1279.377487661518</v>
      </c>
      <c r="K152" s="361">
        <f t="shared" si="11"/>
        <v>0.24979806704505539</v>
      </c>
      <c r="L152" s="363">
        <f>'побудинковий звіт'!DE153</f>
        <v>203.13984986047623</v>
      </c>
      <c r="M152" s="544">
        <f>'побудинковий звіт'!DA153*-1</f>
        <v>4576.9047531913711</v>
      </c>
    </row>
    <row r="153" spans="1:13" ht="20.100000000000001" customHeight="1" x14ac:dyDescent="0.3">
      <c r="A153" s="366" t="s">
        <v>603</v>
      </c>
      <c r="B153" s="291" t="s">
        <v>362</v>
      </c>
      <c r="C153" s="367">
        <v>9</v>
      </c>
      <c r="D153" s="357">
        <f>'побудинковий звіт'!CU154</f>
        <v>193703.83413276332</v>
      </c>
      <c r="E153" s="341">
        <f>'побудинковий звіт'!CV154</f>
        <v>170372.49875333434</v>
      </c>
      <c r="F153" s="341">
        <f t="shared" si="8"/>
        <v>-23331.335379428987</v>
      </c>
      <c r="G153" s="358">
        <f t="shared" si="9"/>
        <v>0.87955150457456699</v>
      </c>
      <c r="H153" s="352">
        <f>('побудинковий звіт'!AS154+'побудинковий звіт'!BQ154)*1.2</f>
        <v>56216.344167431504</v>
      </c>
      <c r="I153" s="340">
        <f>('побудинковий звіт'!AT154+'побудинковий звіт'!BR154)*1.2</f>
        <v>32208</v>
      </c>
      <c r="J153" s="340">
        <f t="shared" si="10"/>
        <v>-24008.344167431504</v>
      </c>
      <c r="K153" s="361">
        <f t="shared" si="11"/>
        <v>0.57292946521163945</v>
      </c>
      <c r="L153" s="363">
        <f>'побудинковий звіт'!DE154</f>
        <v>5510.518653482246</v>
      </c>
      <c r="M153" s="544">
        <f>'побудинковий звіт'!DA154*-1</f>
        <v>68034.955957129787</v>
      </c>
    </row>
    <row r="154" spans="1:13" ht="20.100000000000001" customHeight="1" x14ac:dyDescent="0.3">
      <c r="A154" s="366" t="s">
        <v>604</v>
      </c>
      <c r="B154" s="291" t="s">
        <v>97</v>
      </c>
      <c r="C154" s="367">
        <v>1</v>
      </c>
      <c r="D154" s="357">
        <f>'побудинковий звіт'!CU155</f>
        <v>4864.7789348579572</v>
      </c>
      <c r="E154" s="341">
        <f>'побудинковий звіт'!CV155</f>
        <v>4087.0146314822555</v>
      </c>
      <c r="F154" s="341">
        <f t="shared" si="8"/>
        <v>-777.76430337570173</v>
      </c>
      <c r="G154" s="358">
        <f t="shared" si="9"/>
        <v>0.84012340256558626</v>
      </c>
      <c r="H154" s="352">
        <f>('побудинковий звіт'!AS155+'побудинковий звіт'!BQ155)*1.2</f>
        <v>3697.9115526861178</v>
      </c>
      <c r="I154" s="340">
        <f>('побудинковий звіт'!AT155+'побудинковий звіт'!BR155)*1.2</f>
        <v>1860</v>
      </c>
      <c r="J154" s="340">
        <f t="shared" si="10"/>
        <v>-1837.9115526861178</v>
      </c>
      <c r="K154" s="361">
        <f t="shared" si="11"/>
        <v>0.50298661109104104</v>
      </c>
      <c r="L154" s="363">
        <f>'побудинковий звіт'!DE155</f>
        <v>844.63292427719671</v>
      </c>
      <c r="M154" s="544">
        <f>'побудинковий звіт'!DA155*-1</f>
        <v>1795.6017176697853</v>
      </c>
    </row>
    <row r="155" spans="1:13" ht="20.100000000000001" customHeight="1" x14ac:dyDescent="0.3">
      <c r="A155" s="366" t="s">
        <v>605</v>
      </c>
      <c r="B155" s="291" t="s">
        <v>98</v>
      </c>
      <c r="C155" s="367">
        <v>1</v>
      </c>
      <c r="D155" s="357">
        <f>'побудинковий звіт'!CU156</f>
        <v>2865.17408665021</v>
      </c>
      <c r="E155" s="341">
        <f>'побудинковий звіт'!CV156</f>
        <v>1452.8744304594668</v>
      </c>
      <c r="F155" s="341">
        <f t="shared" si="8"/>
        <v>-1412.2996561907432</v>
      </c>
      <c r="G155" s="358">
        <f t="shared" si="9"/>
        <v>0.50708068219271119</v>
      </c>
      <c r="H155" s="352">
        <f>('побудинковий звіт'!AS156+'побудинковий звіт'!BQ156)*1.2</f>
        <v>2113.9599060694368</v>
      </c>
      <c r="I155" s="340">
        <f>('побудинковий звіт'!AT156+'побудинковий звіт'!BR156)*1.2</f>
        <v>0</v>
      </c>
      <c r="J155" s="340">
        <f t="shared" si="10"/>
        <v>-2113.9599060694368</v>
      </c>
      <c r="K155" s="361">
        <f t="shared" si="11"/>
        <v>0</v>
      </c>
      <c r="L155" s="363">
        <f>'побудинковий звіт'!DE156</f>
        <v>-1.649944336006115E-2</v>
      </c>
      <c r="M155" s="544">
        <f>'побудинковий звіт'!DA156*-1</f>
        <v>3468.7622144670941</v>
      </c>
    </row>
    <row r="156" spans="1:13" ht="20.100000000000001" customHeight="1" x14ac:dyDescent="0.3">
      <c r="A156" s="366" t="s">
        <v>606</v>
      </c>
      <c r="B156" s="291" t="s">
        <v>99</v>
      </c>
      <c r="C156" s="367">
        <v>1</v>
      </c>
      <c r="D156" s="357">
        <f>'побудинковий звіт'!CU157</f>
        <v>2820.7077736662022</v>
      </c>
      <c r="E156" s="341">
        <f>'побудинковий звіт'!CV157</f>
        <v>2302.5209634363687</v>
      </c>
      <c r="F156" s="341">
        <f t="shared" si="8"/>
        <v>-518.18681022983355</v>
      </c>
      <c r="G156" s="358">
        <f t="shared" si="9"/>
        <v>0.81629191968499359</v>
      </c>
      <c r="H156" s="352">
        <f>('побудинковий звіт'!AS157+'побудинковий звіт'!BQ157)*1.2</f>
        <v>2122.5669425542251</v>
      </c>
      <c r="I156" s="340">
        <f>('побудинковий звіт'!AT157+'побудинковий звіт'!BR157)*1.2</f>
        <v>1056</v>
      </c>
      <c r="J156" s="340">
        <f t="shared" si="10"/>
        <v>-1066.5669425542251</v>
      </c>
      <c r="K156" s="361">
        <f t="shared" si="11"/>
        <v>0.49751081053266827</v>
      </c>
      <c r="L156" s="363">
        <f>'побудинковий звіт'!DE157</f>
        <v>21.402180291115656</v>
      </c>
      <c r="M156" s="544">
        <f>'побудинковий звіт'!DA157*-1</f>
        <v>2024.1660367646873</v>
      </c>
    </row>
    <row r="157" spans="1:13" ht="20.100000000000001" customHeight="1" x14ac:dyDescent="0.3">
      <c r="A157" s="366" t="s">
        <v>607</v>
      </c>
      <c r="B157" s="291" t="s">
        <v>212</v>
      </c>
      <c r="C157" s="367">
        <v>4</v>
      </c>
      <c r="D157" s="357">
        <f>'побудинковий звіт'!CU158</f>
        <v>93546.947197808258</v>
      </c>
      <c r="E157" s="341">
        <f>'побудинковий звіт'!CV158</f>
        <v>83914.64839498447</v>
      </c>
      <c r="F157" s="341">
        <f t="shared" si="8"/>
        <v>-9632.2988028237887</v>
      </c>
      <c r="G157" s="358">
        <f t="shared" si="9"/>
        <v>0.89703246240140833</v>
      </c>
      <c r="H157" s="352">
        <f>('побудинковий звіт'!AS158+'побудинковий звіт'!BQ158)*1.2</f>
        <v>19954.718994073195</v>
      </c>
      <c r="I157" s="340">
        <f>('побудинковий звіт'!AT158+'побудинковий звіт'!BR158)*1.2</f>
        <v>7572.5591573110805</v>
      </c>
      <c r="J157" s="340">
        <f t="shared" si="10"/>
        <v>-12382.159836762115</v>
      </c>
      <c r="K157" s="361">
        <f t="shared" si="11"/>
        <v>0.37948713582788246</v>
      </c>
      <c r="L157" s="363">
        <f>'побудинковий звіт'!DE158</f>
        <v>9607.6597350641077</v>
      </c>
      <c r="M157" s="544">
        <f>'побудинковий звіт'!DA158*-1</f>
        <v>-30982.997214403171</v>
      </c>
    </row>
    <row r="158" spans="1:13" ht="20.100000000000001" customHeight="1" x14ac:dyDescent="0.3">
      <c r="A158" s="366" t="s">
        <v>608</v>
      </c>
      <c r="B158" s="291" t="s">
        <v>363</v>
      </c>
      <c r="C158" s="367">
        <v>9</v>
      </c>
      <c r="D158" s="357">
        <f>'побудинковий звіт'!CU159</f>
        <v>317819.66876172763</v>
      </c>
      <c r="E158" s="341">
        <f>'побудинковий звіт'!CV159</f>
        <v>288404.12668222416</v>
      </c>
      <c r="F158" s="341">
        <f t="shared" si="8"/>
        <v>-29415.542079503473</v>
      </c>
      <c r="G158" s="358">
        <f t="shared" si="9"/>
        <v>0.90744580977599409</v>
      </c>
      <c r="H158" s="352">
        <f>('побудинковий звіт'!AS159+'побудинковий звіт'!BQ159)*1.2</f>
        <v>81177.787035448491</v>
      </c>
      <c r="I158" s="340">
        <f>('побудинковий звіт'!AT159+'побудинковий звіт'!BR159)*1.2</f>
        <v>56451.558205796326</v>
      </c>
      <c r="J158" s="340">
        <f t="shared" si="10"/>
        <v>-24726.228829652166</v>
      </c>
      <c r="K158" s="361">
        <f t="shared" si="11"/>
        <v>0.69540646853486188</v>
      </c>
      <c r="L158" s="363">
        <f>'побудинковий звіт'!DE159</f>
        <v>10703.224896647902</v>
      </c>
      <c r="M158" s="544">
        <f>'побудинковий звіт'!DA159*-1</f>
        <v>56354.780498106978</v>
      </c>
    </row>
    <row r="159" spans="1:13" ht="20.100000000000001" customHeight="1" x14ac:dyDescent="0.3">
      <c r="A159" s="366" t="s">
        <v>609</v>
      </c>
      <c r="B159" s="291" t="s">
        <v>213</v>
      </c>
      <c r="C159" s="367">
        <v>4</v>
      </c>
      <c r="D159" s="357">
        <f>'побудинковий звіт'!CU160</f>
        <v>78401.760276808185</v>
      </c>
      <c r="E159" s="341">
        <f>'побудинковий звіт'!CV160</f>
        <v>64643.974574600936</v>
      </c>
      <c r="F159" s="341">
        <f t="shared" si="8"/>
        <v>-13757.785702207249</v>
      </c>
      <c r="G159" s="358">
        <f t="shared" si="9"/>
        <v>0.82452197943472827</v>
      </c>
      <c r="H159" s="352">
        <f>('побудинковий звіт'!AS160+'побудинковий звіт'!BQ160)*1.2</f>
        <v>22862.421520291249</v>
      </c>
      <c r="I159" s="340">
        <f>('побудинковий звіт'!AT160+'побудинковий звіт'!BR160)*1.2</f>
        <v>8160.2280000000001</v>
      </c>
      <c r="J159" s="340">
        <f t="shared" si="10"/>
        <v>-14702.19352029125</v>
      </c>
      <c r="K159" s="361">
        <f t="shared" si="11"/>
        <v>0.35692754561267687</v>
      </c>
      <c r="L159" s="363">
        <f>'побудинковий звіт'!DE160</f>
        <v>3673.1547220002694</v>
      </c>
      <c r="M159" s="544">
        <f>'побудинковий звіт'!DA160*-1</f>
        <v>7304.382338355369</v>
      </c>
    </row>
    <row r="160" spans="1:13" ht="20.100000000000001" customHeight="1" x14ac:dyDescent="0.3">
      <c r="A160" s="366" t="s">
        <v>610</v>
      </c>
      <c r="B160" s="291" t="s">
        <v>165</v>
      </c>
      <c r="C160" s="367">
        <v>2</v>
      </c>
      <c r="D160" s="357">
        <f>'побудинковий звіт'!CU161</f>
        <v>47101.638560658634</v>
      </c>
      <c r="E160" s="341">
        <f>'побудинковий звіт'!CV161</f>
        <v>37217.234391568745</v>
      </c>
      <c r="F160" s="341">
        <f t="shared" si="8"/>
        <v>-9884.4041690898885</v>
      </c>
      <c r="G160" s="358">
        <f t="shared" si="9"/>
        <v>0.79014733943150384</v>
      </c>
      <c r="H160" s="352">
        <f>('побудинковий звіт'!AS161+'побудинковий звіт'!BQ161)*1.2</f>
        <v>13011.322408661968</v>
      </c>
      <c r="I160" s="340">
        <f>('побудинковий звіт'!AT161+'побудинковий звіт'!BR161)*1.2</f>
        <v>255.6</v>
      </c>
      <c r="J160" s="340">
        <f t="shared" si="10"/>
        <v>-12755.722408661968</v>
      </c>
      <c r="K160" s="361">
        <f t="shared" si="11"/>
        <v>1.9644429057406231E-2</v>
      </c>
      <c r="L160" s="363">
        <f>'побудинковий звіт'!DE161</f>
        <v>-110.00983188226701</v>
      </c>
      <c r="M160" s="544">
        <f>'побудинковий звіт'!DA161*-1</f>
        <v>-15803.043765225222</v>
      </c>
    </row>
    <row r="161" spans="1:13" ht="20.100000000000001" customHeight="1" x14ac:dyDescent="0.3">
      <c r="A161" s="366" t="s">
        <v>611</v>
      </c>
      <c r="B161" s="291" t="s">
        <v>166</v>
      </c>
      <c r="C161" s="367">
        <v>2</v>
      </c>
      <c r="D161" s="357">
        <f>'побудинковий звіт'!CU162</f>
        <v>27764.456175879488</v>
      </c>
      <c r="E161" s="341">
        <f>'побудинковий звіт'!CV162</f>
        <v>27427.100562359326</v>
      </c>
      <c r="F161" s="341">
        <f t="shared" si="8"/>
        <v>-337.35561352016157</v>
      </c>
      <c r="G161" s="358">
        <f t="shared" si="9"/>
        <v>0.98784937074282619</v>
      </c>
      <c r="H161" s="352">
        <f>('побудинковий звіт'!AS162+'побудинковий звіт'!BQ162)*1.2</f>
        <v>7874.6372189489393</v>
      </c>
      <c r="I161" s="340">
        <f>('побудинковий звіт'!AT162+'побудинковий звіт'!BR162)*1.2</f>
        <v>7262.4</v>
      </c>
      <c r="J161" s="340">
        <f t="shared" si="10"/>
        <v>-612.2372189489397</v>
      </c>
      <c r="K161" s="361">
        <f t="shared" si="11"/>
        <v>0.92225200959408038</v>
      </c>
      <c r="L161" s="363">
        <f>'побудинковий звіт'!DE162</f>
        <v>5429.2171635118739</v>
      </c>
      <c r="M161" s="544">
        <f>'побудинковий звіт'!DA162*-1</f>
        <v>-8207.9189637788477</v>
      </c>
    </row>
    <row r="162" spans="1:13" ht="20.100000000000001" customHeight="1" x14ac:dyDescent="0.3">
      <c r="A162" s="366" t="s">
        <v>612</v>
      </c>
      <c r="B162" s="291" t="s">
        <v>261</v>
      </c>
      <c r="C162" s="367">
        <v>5</v>
      </c>
      <c r="D162" s="357">
        <f>'побудинковий звіт'!CU163</f>
        <v>174893.21778570587</v>
      </c>
      <c r="E162" s="341">
        <f>'побудинковий звіт'!CV163</f>
        <v>146042.75781087103</v>
      </c>
      <c r="F162" s="341">
        <f t="shared" si="8"/>
        <v>-28850.459974834841</v>
      </c>
      <c r="G162" s="358">
        <f t="shared" si="9"/>
        <v>0.83503957248825456</v>
      </c>
      <c r="H162" s="352">
        <f>('побудинковий звіт'!AS163+'побудинковий звіт'!BQ163)*1.2</f>
        <v>45574.691548626921</v>
      </c>
      <c r="I162" s="340">
        <f>('побудинковий звіт'!AT163+'побудинковий звіт'!BR163)*1.2</f>
        <v>22481.016</v>
      </c>
      <c r="J162" s="340">
        <f t="shared" si="10"/>
        <v>-23093.675548626921</v>
      </c>
      <c r="K162" s="361">
        <f t="shared" si="11"/>
        <v>0.49327851129860933</v>
      </c>
      <c r="L162" s="363">
        <f>'побудинковий звіт'!DE163</f>
        <v>23645.313028321412</v>
      </c>
      <c r="M162" s="544">
        <f>'побудинковий звіт'!DA163*-1</f>
        <v>63027.427017938826</v>
      </c>
    </row>
    <row r="163" spans="1:13" ht="20.100000000000001" customHeight="1" x14ac:dyDescent="0.3">
      <c r="A163" s="366" t="s">
        <v>613</v>
      </c>
      <c r="B163" s="291" t="s">
        <v>167</v>
      </c>
      <c r="C163" s="367">
        <v>2</v>
      </c>
      <c r="D163" s="357">
        <f>'побудинковий звіт'!CU164</f>
        <v>19357.391790561542</v>
      </c>
      <c r="E163" s="341">
        <f>'побудинковий звіт'!CV164</f>
        <v>14026.89251947841</v>
      </c>
      <c r="F163" s="341">
        <f t="shared" si="8"/>
        <v>-5330.499271083132</v>
      </c>
      <c r="G163" s="358">
        <f t="shared" si="9"/>
        <v>0.72462719519464258</v>
      </c>
      <c r="H163" s="352">
        <f>('побудинковий звіт'!AS164+'побудинковий звіт'!BQ164)*1.2</f>
        <v>6595.4166028828577</v>
      </c>
      <c r="I163" s="340">
        <f>('побудинковий звіт'!AT164+'побудинковий звіт'!BR164)*1.2</f>
        <v>150</v>
      </c>
      <c r="J163" s="340">
        <f t="shared" si="10"/>
        <v>-6445.4166028828577</v>
      </c>
      <c r="K163" s="361">
        <f t="shared" si="11"/>
        <v>2.2743066743416175E-2</v>
      </c>
      <c r="L163" s="363">
        <f>'побудинковий звіт'!DE164</f>
        <v>-121.91740159432402</v>
      </c>
      <c r="M163" s="544">
        <f>'побудинковий звіт'!DA164*-1</f>
        <v>8997.1472020103993</v>
      </c>
    </row>
    <row r="164" spans="1:13" ht="20.100000000000001" customHeight="1" x14ac:dyDescent="0.3">
      <c r="A164" s="366" t="s">
        <v>614</v>
      </c>
      <c r="B164" s="291" t="s">
        <v>100</v>
      </c>
      <c r="C164" s="367">
        <v>1</v>
      </c>
      <c r="D164" s="357">
        <f>'побудинковий звіт'!CU165</f>
        <v>4953.2044208792968</v>
      </c>
      <c r="E164" s="341">
        <f>'побудинковий звіт'!CV165</f>
        <v>4092.1740380164374</v>
      </c>
      <c r="F164" s="341">
        <f t="shared" si="8"/>
        <v>-861.03038286285937</v>
      </c>
      <c r="G164" s="358">
        <f t="shared" si="9"/>
        <v>0.82616700024869782</v>
      </c>
      <c r="H164" s="352">
        <f>('побудинковий звіт'!AS165+'побудинковий звіт'!BQ165)*1.2</f>
        <v>3068.6745277322034</v>
      </c>
      <c r="I164" s="340">
        <f>('побудинковий звіт'!AT165+'побудинковий звіт'!BR165)*1.2</f>
        <v>824.4</v>
      </c>
      <c r="J164" s="340">
        <f t="shared" si="10"/>
        <v>-2244.2745277322033</v>
      </c>
      <c r="K164" s="361">
        <f t="shared" si="11"/>
        <v>0.26865019165432447</v>
      </c>
      <c r="L164" s="363">
        <f>'побудинковий звіт'!DE165</f>
        <v>41.019257974564312</v>
      </c>
      <c r="M164" s="544">
        <f>'побудинковий звіт'!DA165*-1</f>
        <v>2684.1559456387122</v>
      </c>
    </row>
    <row r="165" spans="1:13" ht="20.100000000000001" customHeight="1" x14ac:dyDescent="0.3">
      <c r="A165" s="366" t="s">
        <v>615</v>
      </c>
      <c r="B165" s="291" t="s">
        <v>262</v>
      </c>
      <c r="C165" s="367">
        <v>5</v>
      </c>
      <c r="D165" s="357">
        <f>'побудинковий звіт'!CU166</f>
        <v>167532.67367581019</v>
      </c>
      <c r="E165" s="341">
        <f>'побудинковий звіт'!CV166</f>
        <v>201599.08042188684</v>
      </c>
      <c r="F165" s="341">
        <f t="shared" si="8"/>
        <v>34066.406746076653</v>
      </c>
      <c r="G165" s="358">
        <f t="shared" si="9"/>
        <v>1.203341867580995</v>
      </c>
      <c r="H165" s="352">
        <f>('побудинковий звіт'!AS166+'побудинковий звіт'!BQ166)*1.2</f>
        <v>53277.466278578169</v>
      </c>
      <c r="I165" s="340">
        <f>('побудинковий звіт'!AT166+'побудинковий звіт'!BR166)*1.2</f>
        <v>93363.671999999991</v>
      </c>
      <c r="J165" s="340">
        <f t="shared" si="10"/>
        <v>40086.205721421822</v>
      </c>
      <c r="K165" s="361">
        <f t="shared" si="11"/>
        <v>1.75240450647218</v>
      </c>
      <c r="L165" s="363">
        <f>'побудинковий звіт'!DE166</f>
        <v>32881.526240125429</v>
      </c>
      <c r="M165" s="544">
        <f>'побудинковий звіт'!DA166*-1</f>
        <v>-51009.174769531222</v>
      </c>
    </row>
    <row r="166" spans="1:13" ht="20.100000000000001" customHeight="1" x14ac:dyDescent="0.3">
      <c r="A166" s="366" t="s">
        <v>616</v>
      </c>
      <c r="B166" s="291" t="s">
        <v>214</v>
      </c>
      <c r="C166" s="367">
        <v>4</v>
      </c>
      <c r="D166" s="357">
        <f>'побудинковий звіт'!CU167</f>
        <v>108058.11466724916</v>
      </c>
      <c r="E166" s="341">
        <f>'побудинковий звіт'!CV167</f>
        <v>89083.398038900021</v>
      </c>
      <c r="F166" s="341">
        <f t="shared" si="8"/>
        <v>-18974.716628349139</v>
      </c>
      <c r="G166" s="358">
        <f t="shared" si="9"/>
        <v>0.82440266807560636</v>
      </c>
      <c r="H166" s="352">
        <f>('побудинковий звіт'!AS167+'побудинковий звіт'!BQ167)*1.2</f>
        <v>32347.719354149522</v>
      </c>
      <c r="I166" s="340">
        <f>('побудинковий звіт'!AT167+'побудинковий звіт'!BR167)*1.2</f>
        <v>13677.6</v>
      </c>
      <c r="J166" s="340">
        <f t="shared" si="10"/>
        <v>-18670.119354149523</v>
      </c>
      <c r="K166" s="361">
        <f t="shared" si="11"/>
        <v>0.42283042740215493</v>
      </c>
      <c r="L166" s="363">
        <f>'побудинковий звіт'!DE167</f>
        <v>2921.9176152527561</v>
      </c>
      <c r="M166" s="544">
        <f>'побудинковий звіт'!DA167*-1</f>
        <v>-29835.532150821738</v>
      </c>
    </row>
    <row r="167" spans="1:13" ht="20.100000000000001" customHeight="1" x14ac:dyDescent="0.3">
      <c r="A167" s="366" t="s">
        <v>852</v>
      </c>
      <c r="B167" s="292" t="s">
        <v>430</v>
      </c>
      <c r="C167" s="368">
        <v>5</v>
      </c>
      <c r="D167" s="357">
        <f>'побудинковий звіт'!CU168</f>
        <v>154249.62915821999</v>
      </c>
      <c r="E167" s="341">
        <f>'побудинковий звіт'!CV168</f>
        <v>119010.89939364375</v>
      </c>
      <c r="F167" s="341">
        <f t="shared" si="8"/>
        <v>-35238.729764576245</v>
      </c>
      <c r="G167" s="358">
        <f t="shared" si="9"/>
        <v>0.77154739394264293</v>
      </c>
      <c r="H167" s="352">
        <f>('побудинковий звіт'!AS168+'побудинковий звіт'!BQ168)*1.2</f>
        <v>44994.489644234265</v>
      </c>
      <c r="I167" s="340">
        <f>('побудинковий звіт'!AT168+'побудинковий звіт'!BR168)*1.2</f>
        <v>5719.5594124896361</v>
      </c>
      <c r="J167" s="340">
        <f t="shared" si="10"/>
        <v>-39274.930231744627</v>
      </c>
      <c r="K167" s="361">
        <f t="shared" si="11"/>
        <v>0.12711688603901208</v>
      </c>
      <c r="L167" s="363">
        <f>'побудинковий звіт'!DE168</f>
        <v>4421.9529439999988</v>
      </c>
      <c r="M167" s="546">
        <f>'побудинковий звіт'!DA168*-1</f>
        <v>-145311.51184811577</v>
      </c>
    </row>
    <row r="168" spans="1:13" ht="20.100000000000001" customHeight="1" x14ac:dyDescent="0.3">
      <c r="A168" s="366" t="s">
        <v>617</v>
      </c>
      <c r="B168" s="291" t="s">
        <v>420</v>
      </c>
      <c r="C168" s="367">
        <v>10</v>
      </c>
      <c r="D168" s="357">
        <f>'побудинковий звіт'!CU169</f>
        <v>512809.07727959898</v>
      </c>
      <c r="E168" s="341">
        <f>'побудинковий звіт'!CV169</f>
        <v>603776.10883074626</v>
      </c>
      <c r="F168" s="341">
        <f t="shared" si="8"/>
        <v>90967.031551147287</v>
      </c>
      <c r="G168" s="358">
        <f t="shared" si="9"/>
        <v>1.1773896671909911</v>
      </c>
      <c r="H168" s="352">
        <f>('побудинковий звіт'!AS169+'побудинковий звіт'!BQ169)*1.2</f>
        <v>125016.06962506879</v>
      </c>
      <c r="I168" s="340">
        <f>('побудинковий звіт'!AT169+'побудинковий звіт'!BR169)*1.2</f>
        <v>241459.22399999999</v>
      </c>
      <c r="J168" s="340">
        <f t="shared" si="10"/>
        <v>116443.1543749312</v>
      </c>
      <c r="K168" s="361">
        <f t="shared" si="11"/>
        <v>1.9314254937317392</v>
      </c>
      <c r="L168" s="363">
        <f>'побудинковий звіт'!DE169</f>
        <v>52675.847171003283</v>
      </c>
      <c r="M168" s="547">
        <f>'побудинковий звіт'!DA169*-1</f>
        <v>17929.901188258067</v>
      </c>
    </row>
    <row r="169" spans="1:13" ht="20.100000000000001" customHeight="1" x14ac:dyDescent="0.3">
      <c r="A169" s="366" t="s">
        <v>618</v>
      </c>
      <c r="B169" s="291" t="s">
        <v>101</v>
      </c>
      <c r="C169" s="367">
        <v>1</v>
      </c>
      <c r="D169" s="357">
        <f>'побудинковий звіт'!CU170</f>
        <v>5424.3481214028479</v>
      </c>
      <c r="E169" s="341">
        <f>'побудинковий звіт'!CV170</f>
        <v>3235.2542654531535</v>
      </c>
      <c r="F169" s="341">
        <f t="shared" si="8"/>
        <v>-2189.0938559496944</v>
      </c>
      <c r="G169" s="358">
        <f t="shared" si="9"/>
        <v>0.59643190168562599</v>
      </c>
      <c r="H169" s="352">
        <f>('побудинковий звіт'!AS170+'побудинковий звіт'!BQ170)*1.2</f>
        <v>3537.5367488979514</v>
      </c>
      <c r="I169" s="340">
        <f>('побудинковий звіт'!AT170+'побудинковий звіт'!BR170)*1.2</f>
        <v>0</v>
      </c>
      <c r="J169" s="340">
        <f t="shared" si="10"/>
        <v>-3537.5367488979514</v>
      </c>
      <c r="K169" s="361">
        <f t="shared" si="11"/>
        <v>0</v>
      </c>
      <c r="L169" s="363">
        <f>'побудинковий звіт'!DE170</f>
        <v>177.26218132578612</v>
      </c>
      <c r="M169" s="544">
        <f>'побудинковий звіт'!DA170*-1</f>
        <v>10365.018769260296</v>
      </c>
    </row>
    <row r="170" spans="1:13" ht="20.100000000000001" customHeight="1" x14ac:dyDescent="0.3">
      <c r="A170" s="366" t="s">
        <v>619</v>
      </c>
      <c r="B170" s="291" t="s">
        <v>364</v>
      </c>
      <c r="C170" s="367">
        <v>9</v>
      </c>
      <c r="D170" s="357">
        <f>'побудинковий звіт'!CU171</f>
        <v>858241.06913216377</v>
      </c>
      <c r="E170" s="341">
        <f>'побудинковий звіт'!CV171</f>
        <v>974645.92294215958</v>
      </c>
      <c r="F170" s="341">
        <f t="shared" si="8"/>
        <v>116404.85380999581</v>
      </c>
      <c r="G170" s="358">
        <f t="shared" si="9"/>
        <v>1.1356318847893192</v>
      </c>
      <c r="H170" s="352">
        <f>('побудинковий звіт'!AS171+'побудинковий звіт'!BQ171)*1.2</f>
        <v>231373.05255031571</v>
      </c>
      <c r="I170" s="340">
        <f>('побудинковий звіт'!AT171+'побудинковий звіт'!BR171)*1.2</f>
        <v>346117.60800000001</v>
      </c>
      <c r="J170" s="340">
        <f t="shared" si="10"/>
        <v>114744.5554496843</v>
      </c>
      <c r="K170" s="361">
        <f t="shared" si="11"/>
        <v>1.4959287790211926</v>
      </c>
      <c r="L170" s="363">
        <f>'побудинковий звіт'!DE171</f>
        <v>56601.645920036492</v>
      </c>
      <c r="M170" s="544">
        <f>'побудинковий звіт'!DA171*-1</f>
        <v>-105113.06168814987</v>
      </c>
    </row>
    <row r="171" spans="1:13" ht="20.100000000000001" customHeight="1" x14ac:dyDescent="0.3">
      <c r="A171" s="366" t="s">
        <v>620</v>
      </c>
      <c r="B171" s="291" t="s">
        <v>263</v>
      </c>
      <c r="C171" s="367">
        <v>5</v>
      </c>
      <c r="D171" s="357">
        <f>'побудинковий звіт'!CU172</f>
        <v>189981.49136781204</v>
      </c>
      <c r="E171" s="341">
        <f>'побудинковий звіт'!CV172</f>
        <v>128815.34487516033</v>
      </c>
      <c r="F171" s="341">
        <f t="shared" si="8"/>
        <v>-61166.146492651707</v>
      </c>
      <c r="G171" s="358">
        <f t="shared" si="9"/>
        <v>0.67804154998324806</v>
      </c>
      <c r="H171" s="352">
        <f>('побудинковий звіт'!AS172+'побудинковий звіт'!BQ172)*1.2</f>
        <v>60761.142119770178</v>
      </c>
      <c r="I171" s="340">
        <f>('побудинковий звіт'!AT172+'побудинковий звіт'!BR172)*1.2</f>
        <v>6288.5999999999995</v>
      </c>
      <c r="J171" s="340">
        <f t="shared" si="10"/>
        <v>-54472.54211977018</v>
      </c>
      <c r="K171" s="361">
        <f t="shared" si="11"/>
        <v>0.10349706704992703</v>
      </c>
      <c r="L171" s="363">
        <f>'побудинковий звіт'!DE172</f>
        <v>11842.745497209904</v>
      </c>
      <c r="M171" s="544">
        <f>'побудинковий звіт'!DA172*-1</f>
        <v>47566.241515051326</v>
      </c>
    </row>
    <row r="172" spans="1:13" ht="20.100000000000001" customHeight="1" x14ac:dyDescent="0.3">
      <c r="A172" s="366" t="s">
        <v>621</v>
      </c>
      <c r="B172" s="291" t="s">
        <v>365</v>
      </c>
      <c r="C172" s="367">
        <v>9</v>
      </c>
      <c r="D172" s="357">
        <f>'побудинковий звіт'!CU173</f>
        <v>292352.10160608916</v>
      </c>
      <c r="E172" s="341">
        <f>'побудинковий звіт'!CV173</f>
        <v>251872.93449053323</v>
      </c>
      <c r="F172" s="341">
        <f t="shared" si="8"/>
        <v>-40479.167115555931</v>
      </c>
      <c r="G172" s="358">
        <f t="shared" si="9"/>
        <v>0.8615396746143561</v>
      </c>
      <c r="H172" s="352">
        <f>('побудинковий звіт'!AS173+'побудинковий звіт'!BQ173)*1.2</f>
        <v>74994.717484128501</v>
      </c>
      <c r="I172" s="340">
        <f>('побудинковий звіт'!AT173+'побудинковий звіт'!BR173)*1.2</f>
        <v>36137.94</v>
      </c>
      <c r="J172" s="340">
        <f t="shared" si="10"/>
        <v>-38856.777484128499</v>
      </c>
      <c r="K172" s="361">
        <f t="shared" si="11"/>
        <v>0.48187314003347037</v>
      </c>
      <c r="L172" s="363">
        <f>'побудинковий звіт'!DE173</f>
        <v>3995.520997124826</v>
      </c>
      <c r="M172" s="544">
        <f>'побудинковий звіт'!DA173*-1</f>
        <v>14078.849695418874</v>
      </c>
    </row>
    <row r="173" spans="1:13" ht="20.100000000000001" customHeight="1" x14ac:dyDescent="0.3">
      <c r="A173" s="366" t="s">
        <v>622</v>
      </c>
      <c r="B173" s="291" t="s">
        <v>366</v>
      </c>
      <c r="C173" s="367">
        <v>9</v>
      </c>
      <c r="D173" s="357">
        <f>'побудинковий звіт'!CU174</f>
        <v>279014.32901429757</v>
      </c>
      <c r="E173" s="341">
        <f>'побудинковий звіт'!CV174</f>
        <v>380202.31644166104</v>
      </c>
      <c r="F173" s="341">
        <f t="shared" si="8"/>
        <v>101187.98742736346</v>
      </c>
      <c r="G173" s="358">
        <f t="shared" si="9"/>
        <v>1.3626623327369622</v>
      </c>
      <c r="H173" s="352">
        <f>('побудинковий звіт'!AS174+'побудинковий звіт'!BQ174)*1.2</f>
        <v>73042.224430097092</v>
      </c>
      <c r="I173" s="340">
        <f>('побудинковий звіт'!AT174+'побудинковий звіт'!BR174)*1.2</f>
        <v>173561.93392013115</v>
      </c>
      <c r="J173" s="340">
        <f t="shared" si="10"/>
        <v>100519.70949003406</v>
      </c>
      <c r="K173" s="361">
        <f t="shared" si="11"/>
        <v>2.3761863124285525</v>
      </c>
      <c r="L173" s="363">
        <f>'побудинковий звіт'!DE174</f>
        <v>31650.488518284255</v>
      </c>
      <c r="M173" s="546">
        <f>'побудинковий звіт'!DA174*-1</f>
        <v>-44612.994573111049</v>
      </c>
    </row>
    <row r="174" spans="1:13" ht="20.100000000000001" customHeight="1" x14ac:dyDescent="0.3">
      <c r="A174" s="366" t="s">
        <v>623</v>
      </c>
      <c r="B174" s="291" t="s">
        <v>367</v>
      </c>
      <c r="C174" s="367">
        <v>9</v>
      </c>
      <c r="D174" s="357">
        <f>'побудинковий звіт'!CU175</f>
        <v>335838.13243311807</v>
      </c>
      <c r="E174" s="341">
        <f>'побудинковий звіт'!CV175</f>
        <v>335925.36491956218</v>
      </c>
      <c r="F174" s="341">
        <f t="shared" si="8"/>
        <v>87.232486444117967</v>
      </c>
      <c r="G174" s="358">
        <f t="shared" si="9"/>
        <v>1.0002597456274906</v>
      </c>
      <c r="H174" s="352">
        <f>('побудинковий звіт'!AS175+'побудинковий звіт'!BQ175)*1.2</f>
        <v>80450.733903121669</v>
      </c>
      <c r="I174" s="340">
        <f>('побудинковий звіт'!AT175+'побудинковий звіт'!BR175)*1.2</f>
        <v>89391.756000000008</v>
      </c>
      <c r="J174" s="340">
        <f t="shared" si="10"/>
        <v>8941.0220968783397</v>
      </c>
      <c r="K174" s="361">
        <f t="shared" si="11"/>
        <v>1.1111366132177871</v>
      </c>
      <c r="L174" s="363">
        <f>'побудинковий звіт'!DE175</f>
        <v>6587.5350518722589</v>
      </c>
      <c r="M174" s="544">
        <f>'побудинковий звіт'!DA175*-1</f>
        <v>26565.077178611093</v>
      </c>
    </row>
    <row r="175" spans="1:13" ht="20.100000000000001" customHeight="1" x14ac:dyDescent="0.3">
      <c r="A175" s="366" t="s">
        <v>624</v>
      </c>
      <c r="B175" s="291" t="s">
        <v>421</v>
      </c>
      <c r="C175" s="367">
        <v>10</v>
      </c>
      <c r="D175" s="357">
        <f>'побудинковий звіт'!CU176</f>
        <v>378183.75628687622</v>
      </c>
      <c r="E175" s="341">
        <f>'побудинковий звіт'!CV176</f>
        <v>328903.75475650112</v>
      </c>
      <c r="F175" s="341">
        <f t="shared" si="8"/>
        <v>-49280.001530375099</v>
      </c>
      <c r="G175" s="358">
        <f t="shared" si="9"/>
        <v>0.86969297144271551</v>
      </c>
      <c r="H175" s="352">
        <f>('побудинковий звіт'!AS176+'побудинковий звіт'!BQ176)*1.2</f>
        <v>94432.005390527702</v>
      </c>
      <c r="I175" s="340">
        <f>('побудинковий звіт'!AT176+'побудинковий звіт'!BR176)*1.2</f>
        <v>41118.455999999998</v>
      </c>
      <c r="J175" s="340">
        <f t="shared" si="10"/>
        <v>-53313.549390527704</v>
      </c>
      <c r="K175" s="361">
        <f t="shared" si="11"/>
        <v>0.43542923641145626</v>
      </c>
      <c r="L175" s="363">
        <f>'побудинковий звіт'!DE176</f>
        <v>2991.6562870319103</v>
      </c>
      <c r="M175" s="544">
        <f>'побудинковий звіт'!DA176*-1</f>
        <v>46703.651782117508</v>
      </c>
    </row>
    <row r="176" spans="1:13" ht="20.100000000000001" customHeight="1" x14ac:dyDescent="0.3">
      <c r="A176" s="366" t="s">
        <v>625</v>
      </c>
      <c r="B176" s="291" t="s">
        <v>335</v>
      </c>
      <c r="C176" s="367">
        <v>8</v>
      </c>
      <c r="D176" s="357">
        <f>'побудинковий звіт'!CU177</f>
        <v>570833.27187024697</v>
      </c>
      <c r="E176" s="341">
        <f>'побудинковий звіт'!CV177</f>
        <v>469687.61379995605</v>
      </c>
      <c r="F176" s="341">
        <f t="shared" si="8"/>
        <v>-101145.65807029093</v>
      </c>
      <c r="G176" s="358">
        <f t="shared" si="9"/>
        <v>0.82281050692980318</v>
      </c>
      <c r="H176" s="352">
        <f>('побудинковий звіт'!AS177+'побудинковий звіт'!BQ177)*1.2</f>
        <v>148456.26989225083</v>
      </c>
      <c r="I176" s="340">
        <f>('побудинковий звіт'!AT177+'побудинковий звіт'!BR177)*1.2</f>
        <v>55376.4</v>
      </c>
      <c r="J176" s="340">
        <f t="shared" si="10"/>
        <v>-93079.869892250834</v>
      </c>
      <c r="K176" s="361">
        <f t="shared" si="11"/>
        <v>0.37301489549880279</v>
      </c>
      <c r="L176" s="363">
        <f>'побудинковий звіт'!DE177</f>
        <v>4942.6425485616564</v>
      </c>
      <c r="M176" s="546">
        <f>'побудинковий звіт'!DA177*-1</f>
        <v>-37205.629206862388</v>
      </c>
    </row>
    <row r="177" spans="1:13" ht="20.100000000000001" customHeight="1" x14ac:dyDescent="0.3">
      <c r="A177" s="366" t="s">
        <v>626</v>
      </c>
      <c r="B177" s="291" t="s">
        <v>368</v>
      </c>
      <c r="C177" s="367">
        <v>9</v>
      </c>
      <c r="D177" s="357">
        <f>'побудинковий звіт'!CU178</f>
        <v>766411.25708736584</v>
      </c>
      <c r="E177" s="341">
        <f>'побудинковий звіт'!CV178</f>
        <v>803774.77774472267</v>
      </c>
      <c r="F177" s="341">
        <f t="shared" si="8"/>
        <v>37363.520657356828</v>
      </c>
      <c r="G177" s="358">
        <f t="shared" si="9"/>
        <v>1.0487512680846462</v>
      </c>
      <c r="H177" s="352">
        <f>('побудинковий звіт'!AS178+'побудинковий звіт'!BQ178)*1.2</f>
        <v>213627.93701554785</v>
      </c>
      <c r="I177" s="340">
        <f>('побудинковий звіт'!AT178+'побудинковий звіт'!BR178)*1.2</f>
        <v>268068.68400000001</v>
      </c>
      <c r="J177" s="340">
        <f t="shared" si="10"/>
        <v>54440.746984452155</v>
      </c>
      <c r="K177" s="361">
        <f t="shared" si="11"/>
        <v>1.2548390802486191</v>
      </c>
      <c r="L177" s="363">
        <f>'побудинковий звіт'!DE178</f>
        <v>92856.108866461087</v>
      </c>
      <c r="M177" s="546">
        <f>'побудинковий звіт'!DA178*-1</f>
        <v>-54285.961578224167</v>
      </c>
    </row>
    <row r="178" spans="1:13" ht="20.100000000000001" customHeight="1" x14ac:dyDescent="0.3">
      <c r="A178" s="366" t="s">
        <v>627</v>
      </c>
      <c r="B178" s="291" t="s">
        <v>102</v>
      </c>
      <c r="C178" s="367">
        <v>1</v>
      </c>
      <c r="D178" s="357">
        <f>'побудинковий звіт'!CU179</f>
        <v>2777.2884051286669</v>
      </c>
      <c r="E178" s="341">
        <f>'побудинковий звіт'!CV179</f>
        <v>3837.7551601520918</v>
      </c>
      <c r="F178" s="341">
        <f t="shared" si="8"/>
        <v>1060.4667550234249</v>
      </c>
      <c r="G178" s="358">
        <f t="shared" si="9"/>
        <v>1.381835301319488</v>
      </c>
      <c r="H178" s="352">
        <f>('побудинковий звіт'!AS179+'побудинковий звіт'!BQ179)*1.2</f>
        <v>2127.0518153880894</v>
      </c>
      <c r="I178" s="340">
        <f>('побудинковий звіт'!AT179+'побудинковий звіт'!BR179)*1.2</f>
        <v>2757.6</v>
      </c>
      <c r="J178" s="340">
        <f t="shared" si="10"/>
        <v>630.54818461191053</v>
      </c>
      <c r="K178" s="361">
        <f t="shared" si="11"/>
        <v>1.2964423245593877</v>
      </c>
      <c r="L178" s="363">
        <f>'побудинковий звіт'!DE179</f>
        <v>-1.1778336175098048E-2</v>
      </c>
      <c r="M178" s="544">
        <f>'побудинковий звіт'!DA179*-1</f>
        <v>1696.9412165159301</v>
      </c>
    </row>
    <row r="179" spans="1:13" ht="20.100000000000001" customHeight="1" x14ac:dyDescent="0.3">
      <c r="A179" s="366" t="s">
        <v>628</v>
      </c>
      <c r="B179" s="291" t="s">
        <v>103</v>
      </c>
      <c r="C179" s="367">
        <v>1</v>
      </c>
      <c r="D179" s="357">
        <f>'побудинковий звіт'!CU180</f>
        <v>4206.2579331889328</v>
      </c>
      <c r="E179" s="341">
        <f>'побудинковий звіт'!CV180</f>
        <v>2487.5966825944993</v>
      </c>
      <c r="F179" s="341">
        <f t="shared" si="8"/>
        <v>-1718.6612505944336</v>
      </c>
      <c r="G179" s="358">
        <f t="shared" si="9"/>
        <v>0.59140374225898995</v>
      </c>
      <c r="H179" s="352">
        <f>('побудинковий звіт'!AS180+'побудинковий звіт'!BQ180)*1.2</f>
        <v>2819.1652259105008</v>
      </c>
      <c r="I179" s="340">
        <f>('побудинковий звіт'!AT180+'побудинковий звіт'!BR180)*1.2</f>
        <v>0</v>
      </c>
      <c r="J179" s="340">
        <f t="shared" si="10"/>
        <v>-2819.1652259105008</v>
      </c>
      <c r="K179" s="361">
        <f t="shared" si="11"/>
        <v>0</v>
      </c>
      <c r="L179" s="363">
        <f>'побудинковий звіт'!DE180</f>
        <v>-9.452688160024536E-3</v>
      </c>
      <c r="M179" s="544">
        <f>'побудинковий звіт'!DA180*-1</f>
        <v>8303.4017705669994</v>
      </c>
    </row>
    <row r="180" spans="1:13" ht="20.100000000000001" customHeight="1" x14ac:dyDescent="0.3">
      <c r="A180" s="366" t="s">
        <v>629</v>
      </c>
      <c r="B180" s="291" t="s">
        <v>369</v>
      </c>
      <c r="C180" s="367">
        <v>9</v>
      </c>
      <c r="D180" s="357">
        <f>'побудинковий звіт'!CU181</f>
        <v>588210.30281729263</v>
      </c>
      <c r="E180" s="341">
        <f>'побудинковий звіт'!CV181</f>
        <v>574659.13243141794</v>
      </c>
      <c r="F180" s="341">
        <f t="shared" si="8"/>
        <v>-13551.170385874691</v>
      </c>
      <c r="G180" s="358">
        <f t="shared" si="9"/>
        <v>0.97696203157107242</v>
      </c>
      <c r="H180" s="352">
        <f>('побудинковий звіт'!AS181+'побудинковий звіт'!BQ181)*1.2</f>
        <v>150913.14637710751</v>
      </c>
      <c r="I180" s="340">
        <f>('побудинковий звіт'!AT181+'побудинковий звіт'!BR181)*1.2</f>
        <v>137488.92000000001</v>
      </c>
      <c r="J180" s="340">
        <f t="shared" si="10"/>
        <v>-13424.226377107494</v>
      </c>
      <c r="K180" s="361">
        <f t="shared" si="11"/>
        <v>0.91104667353788693</v>
      </c>
      <c r="L180" s="363">
        <f>'побудинковий звіт'!DE181</f>
        <v>21342.03975503199</v>
      </c>
      <c r="M180" s="544">
        <f>'побудинковий звіт'!DA181*-1</f>
        <v>23894.716925053886</v>
      </c>
    </row>
    <row r="181" spans="1:13" ht="20.100000000000001" customHeight="1" x14ac:dyDescent="0.3">
      <c r="A181" s="366" t="s">
        <v>630</v>
      </c>
      <c r="B181" s="291" t="s">
        <v>336</v>
      </c>
      <c r="C181" s="367">
        <v>8</v>
      </c>
      <c r="D181" s="357">
        <f>'побудинковий звіт'!CU182</f>
        <v>465633.02921426523</v>
      </c>
      <c r="E181" s="341">
        <f>'побудинковий звіт'!CV182</f>
        <v>436819.7863385689</v>
      </c>
      <c r="F181" s="341">
        <f t="shared" si="8"/>
        <v>-28813.242875696335</v>
      </c>
      <c r="G181" s="358">
        <f t="shared" si="9"/>
        <v>0.93812027698224632</v>
      </c>
      <c r="H181" s="352">
        <f>('побудинковий звіт'!AS182+'побудинковий звіт'!BQ182)*1.2</f>
        <v>122907.16509868839</v>
      </c>
      <c r="I181" s="340">
        <f>('побудинковий звіт'!AT182+'побудинковий звіт'!BR182)*1.2</f>
        <v>87145.039463280613</v>
      </c>
      <c r="J181" s="340">
        <f t="shared" si="10"/>
        <v>-35762.125635407778</v>
      </c>
      <c r="K181" s="361">
        <f t="shared" si="11"/>
        <v>0.70903140100341133</v>
      </c>
      <c r="L181" s="363">
        <f>'побудинковий звіт'!DE182</f>
        <v>16477.556614421657</v>
      </c>
      <c r="M181" s="544">
        <f>'побудинковий звіт'!DA182*-1</f>
        <v>-21789.967408811153</v>
      </c>
    </row>
    <row r="182" spans="1:13" ht="20.100000000000001" customHeight="1" x14ac:dyDescent="0.3">
      <c r="A182" s="366" t="s">
        <v>631</v>
      </c>
      <c r="B182" s="291" t="s">
        <v>104</v>
      </c>
      <c r="C182" s="367">
        <v>1</v>
      </c>
      <c r="D182" s="357">
        <f>'побудинковий звіт'!CU183</f>
        <v>3702.6579888773708</v>
      </c>
      <c r="E182" s="341">
        <f>'побудинковий звіт'!CV183</f>
        <v>4853.2009137949572</v>
      </c>
      <c r="F182" s="341">
        <f t="shared" si="8"/>
        <v>1150.5429249175863</v>
      </c>
      <c r="G182" s="358">
        <f t="shared" si="9"/>
        <v>1.3107343233897835</v>
      </c>
      <c r="H182" s="352">
        <f>('побудинковий звіт'!AS183+'побудинковий звіт'!BQ183)*1.2</f>
        <v>2326.3368896691686</v>
      </c>
      <c r="I182" s="340">
        <f>('побудинковий звіт'!AT183+'побудинковий звіт'!BR183)*1.2</f>
        <v>2482.7999999999997</v>
      </c>
      <c r="J182" s="340">
        <f t="shared" si="10"/>
        <v>156.46311033083111</v>
      </c>
      <c r="K182" s="361">
        <f t="shared" si="11"/>
        <v>1.067257288067629</v>
      </c>
      <c r="L182" s="363">
        <f>'побудинковий звіт'!DE183</f>
        <v>-69.101593809244036</v>
      </c>
      <c r="M182" s="544">
        <f>'побудинковий звіт'!DA183*-1</f>
        <v>3229.6700122391526</v>
      </c>
    </row>
    <row r="183" spans="1:13" ht="20.100000000000001" customHeight="1" x14ac:dyDescent="0.3">
      <c r="A183" s="366" t="s">
        <v>632</v>
      </c>
      <c r="B183" s="291" t="s">
        <v>105</v>
      </c>
      <c r="C183" s="367">
        <v>1</v>
      </c>
      <c r="D183" s="357">
        <f>'побудинковий звіт'!CU184</f>
        <v>3535.6018691924601</v>
      </c>
      <c r="E183" s="341">
        <f>'побудинковий звіт'!CV184</f>
        <v>2302.8824694698192</v>
      </c>
      <c r="F183" s="341">
        <f t="shared" si="8"/>
        <v>-1232.7193997226409</v>
      </c>
      <c r="G183" s="358">
        <f t="shared" si="9"/>
        <v>0.65134100350382584</v>
      </c>
      <c r="H183" s="352">
        <f>('побудинковий звіт'!AS184+'побудинковий звіт'!BQ184)*1.2</f>
        <v>2152.4066885849033</v>
      </c>
      <c r="I183" s="340">
        <f>('побудинковий звіт'!AT184+'побудинковий звіт'!BR184)*1.2</f>
        <v>0</v>
      </c>
      <c r="J183" s="340">
        <f t="shared" si="10"/>
        <v>-2152.4066885849033</v>
      </c>
      <c r="K183" s="361">
        <f t="shared" si="11"/>
        <v>0</v>
      </c>
      <c r="L183" s="363">
        <f>'побудинковий звіт'!DE184</f>
        <v>3.0399675624721567E-3</v>
      </c>
      <c r="M183" s="544">
        <f>'побудинковий звіт'!DA184*-1</f>
        <v>4829.5850056727995</v>
      </c>
    </row>
    <row r="184" spans="1:13" ht="20.100000000000001" customHeight="1" x14ac:dyDescent="0.3">
      <c r="A184" s="366" t="s">
        <v>633</v>
      </c>
      <c r="B184" s="291" t="s">
        <v>370</v>
      </c>
      <c r="C184" s="367">
        <v>9</v>
      </c>
      <c r="D184" s="357">
        <f>'побудинковий звіт'!CU185</f>
        <v>512189.08243947243</v>
      </c>
      <c r="E184" s="341">
        <f>'побудинковий звіт'!CV185</f>
        <v>521378.35221642663</v>
      </c>
      <c r="F184" s="341">
        <f t="shared" si="8"/>
        <v>9189.2697769541992</v>
      </c>
      <c r="G184" s="358">
        <f t="shared" si="9"/>
        <v>1.0179411668307867</v>
      </c>
      <c r="H184" s="352">
        <f>('побудинковий звіт'!AS185+'побудинковий звіт'!BQ185)*1.2</f>
        <v>120250.21090456277</v>
      </c>
      <c r="I184" s="340">
        <f>('побудинковий звіт'!AT185+'побудинковий звіт'!BR185)*1.2</f>
        <v>133665.47999999998</v>
      </c>
      <c r="J184" s="340">
        <f t="shared" si="10"/>
        <v>13415.269095437208</v>
      </c>
      <c r="K184" s="361">
        <f t="shared" si="11"/>
        <v>1.1115612936935662</v>
      </c>
      <c r="L184" s="363">
        <f>'побудинковий звіт'!DE185</f>
        <v>10785.788304604197</v>
      </c>
      <c r="M184" s="547">
        <f>'побудинковий звіт'!DA185*-1</f>
        <v>43744.112336913502</v>
      </c>
    </row>
    <row r="185" spans="1:13" ht="20.100000000000001" customHeight="1" x14ac:dyDescent="0.3">
      <c r="A185" s="366" t="s">
        <v>634</v>
      </c>
      <c r="B185" s="291" t="s">
        <v>106</v>
      </c>
      <c r="C185" s="367">
        <v>1</v>
      </c>
      <c r="D185" s="357">
        <f>'побудинковий звіт'!CU186</f>
        <v>637.22114187515353</v>
      </c>
      <c r="E185" s="341">
        <f>'побудинковий звіт'!CV186</f>
        <v>406.80065962051577</v>
      </c>
      <c r="F185" s="341">
        <f t="shared" si="8"/>
        <v>-230.42048225463776</v>
      </c>
      <c r="G185" s="358">
        <f t="shared" si="9"/>
        <v>0.63839793266027178</v>
      </c>
      <c r="H185" s="352">
        <f>('побудинковий звіт'!AS186+'побудинковий звіт'!BQ186)*1.2</f>
        <v>142.72520936365393</v>
      </c>
      <c r="I185" s="340">
        <f>('побудинковий звіт'!AT186+'побудинковий звіт'!BR186)*1.2</f>
        <v>0</v>
      </c>
      <c r="J185" s="340">
        <f t="shared" si="10"/>
        <v>-142.72520936365393</v>
      </c>
      <c r="K185" s="361">
        <f t="shared" si="11"/>
        <v>0</v>
      </c>
      <c r="L185" s="363">
        <f>'побудинковий звіт'!DE186</f>
        <v>34.558606069785768</v>
      </c>
      <c r="M185" s="544">
        <f>'побудинковий звіт'!DA186*-1</f>
        <v>97.664553005474005</v>
      </c>
    </row>
    <row r="186" spans="1:13" ht="20.100000000000001" customHeight="1" x14ac:dyDescent="0.3">
      <c r="A186" s="366" t="s">
        <v>635</v>
      </c>
      <c r="B186" s="291" t="s">
        <v>107</v>
      </c>
      <c r="C186" s="367">
        <v>1</v>
      </c>
      <c r="D186" s="357">
        <f>'побудинковий звіт'!CU187</f>
        <v>1805.4079357848284</v>
      </c>
      <c r="E186" s="341">
        <f>'побудинковий звіт'!CV187</f>
        <v>925.37556395117588</v>
      </c>
      <c r="F186" s="341">
        <f t="shared" si="8"/>
        <v>-880.03237183365252</v>
      </c>
      <c r="G186" s="358">
        <f t="shared" si="9"/>
        <v>0.51255760297126762</v>
      </c>
      <c r="H186" s="352">
        <f>('побудинковий звіт'!AS187+'побудинковий звіт'!BQ187)*1.2</f>
        <v>1131.6096500226802</v>
      </c>
      <c r="I186" s="340">
        <f>('побудинковий звіт'!AT187+'побудинковий звіт'!BR187)*1.2</f>
        <v>0</v>
      </c>
      <c r="J186" s="340">
        <f t="shared" si="10"/>
        <v>-1131.6096500226802</v>
      </c>
      <c r="K186" s="361">
        <f t="shared" si="11"/>
        <v>0</v>
      </c>
      <c r="L186" s="363">
        <f>'побудинковий звіт'!DE187</f>
        <v>188.33813859238137</v>
      </c>
      <c r="M186" s="544">
        <f>'побудинковий звіт'!DA187*-1</f>
        <v>3171.3524434880428</v>
      </c>
    </row>
    <row r="187" spans="1:13" ht="20.100000000000001" customHeight="1" x14ac:dyDescent="0.3">
      <c r="A187" s="366" t="s">
        <v>636</v>
      </c>
      <c r="B187" s="291" t="s">
        <v>108</v>
      </c>
      <c r="C187" s="367">
        <v>1</v>
      </c>
      <c r="D187" s="357">
        <f>'побудинковий звіт'!CU188</f>
        <v>2295.8850792231451</v>
      </c>
      <c r="E187" s="341">
        <f>'побудинковий звіт'!CV188</f>
        <v>1124.2156393413557</v>
      </c>
      <c r="F187" s="341">
        <f t="shared" si="8"/>
        <v>-1171.6694398817895</v>
      </c>
      <c r="G187" s="358">
        <f t="shared" si="9"/>
        <v>0.48966546693258473</v>
      </c>
      <c r="H187" s="352">
        <f>('побудинковий звіт'!AS188+'побудинковий звіт'!BQ188)*1.2</f>
        <v>1543.9333660427799</v>
      </c>
      <c r="I187" s="340">
        <f>('побудинковий звіт'!AT188+'побудинковий звіт'!BR188)*1.2</f>
        <v>0</v>
      </c>
      <c r="J187" s="340">
        <f t="shared" si="10"/>
        <v>-1543.9333660427799</v>
      </c>
      <c r="K187" s="361">
        <f t="shared" si="11"/>
        <v>0</v>
      </c>
      <c r="L187" s="363">
        <f>'побудинковий звіт'!DE188</f>
        <v>770.59154495663552</v>
      </c>
      <c r="M187" s="544">
        <f>'побудинковий звіт'!DA188*-1</f>
        <v>3946.0634224317314</v>
      </c>
    </row>
    <row r="188" spans="1:13" ht="20.100000000000001" customHeight="1" x14ac:dyDescent="0.3">
      <c r="A188" s="366" t="s">
        <v>637</v>
      </c>
      <c r="B188" s="291" t="s">
        <v>109</v>
      </c>
      <c r="C188" s="367">
        <v>1</v>
      </c>
      <c r="D188" s="357">
        <f>'побудинковий звіт'!CU189</f>
        <v>2472.7839788160345</v>
      </c>
      <c r="E188" s="341">
        <f>'побудинковий звіт'!CV189</f>
        <v>1022.9453917553834</v>
      </c>
      <c r="F188" s="341">
        <f t="shared" si="8"/>
        <v>-1449.8385870606512</v>
      </c>
      <c r="G188" s="358">
        <f t="shared" si="9"/>
        <v>0.4136816642775113</v>
      </c>
      <c r="H188" s="352">
        <f>('побудинковий звіт'!AS189+'побудинковий звіт'!BQ189)*1.2</f>
        <v>1880.0429595636808</v>
      </c>
      <c r="I188" s="340">
        <f>('побудинковий звіт'!AT189+'побудинковий звіт'!BR189)*1.2</f>
        <v>0</v>
      </c>
      <c r="J188" s="340">
        <f t="shared" si="10"/>
        <v>-1880.0429595636808</v>
      </c>
      <c r="K188" s="361">
        <f t="shared" si="11"/>
        <v>0</v>
      </c>
      <c r="L188" s="363">
        <f>'побудинковий звіт'!DE189</f>
        <v>-22.071145301227091</v>
      </c>
      <c r="M188" s="544">
        <f>'побудинковий звіт'!DA189*-1</f>
        <v>5056.9429672461993</v>
      </c>
    </row>
    <row r="189" spans="1:13" ht="20.100000000000001" customHeight="1" x14ac:dyDescent="0.3">
      <c r="A189" s="366" t="s">
        <v>638</v>
      </c>
      <c r="B189" s="291" t="s">
        <v>110</v>
      </c>
      <c r="C189" s="367">
        <v>1</v>
      </c>
      <c r="D189" s="357">
        <f>'побудинковий звіт'!CU190</f>
        <v>3646.6176704807708</v>
      </c>
      <c r="E189" s="341">
        <f>'побудинковий звіт'!CV190</f>
        <v>5243.1298768573943</v>
      </c>
      <c r="F189" s="341">
        <f t="shared" si="8"/>
        <v>1596.5122063766235</v>
      </c>
      <c r="G189" s="358">
        <f t="shared" si="9"/>
        <v>1.437806304538128</v>
      </c>
      <c r="H189" s="352">
        <f>('побудинковий звіт'!AS190+'побудинковий звіт'!BQ190)*1.2</f>
        <v>2764.7026331620086</v>
      </c>
      <c r="I189" s="340">
        <f>('побудинковий звіт'!AT190+'побудинковий звіт'!BR190)*1.2</f>
        <v>3722.3999999999996</v>
      </c>
      <c r="J189" s="340">
        <f t="shared" si="10"/>
        <v>957.69736683799101</v>
      </c>
      <c r="K189" s="361">
        <f t="shared" si="11"/>
        <v>1.3464015823440174</v>
      </c>
      <c r="L189" s="363">
        <f>'побудинковий звіт'!DE190</f>
        <v>-1.3800329044565842</v>
      </c>
      <c r="M189" s="544">
        <f>'побудинковий звіт'!DA190*-1</f>
        <v>2012.7808439325563</v>
      </c>
    </row>
    <row r="190" spans="1:13" ht="20.100000000000001" customHeight="1" x14ac:dyDescent="0.3">
      <c r="A190" s="366" t="s">
        <v>639</v>
      </c>
      <c r="B190" s="291" t="s">
        <v>111</v>
      </c>
      <c r="C190" s="367">
        <v>1</v>
      </c>
      <c r="D190" s="357">
        <f>'побудинковий звіт'!CU191</f>
        <v>3164.1435630050905</v>
      </c>
      <c r="E190" s="341">
        <f>'побудинковий звіт'!CV191</f>
        <v>1215.7574616649858</v>
      </c>
      <c r="F190" s="341">
        <f t="shared" si="8"/>
        <v>-1948.3861013401047</v>
      </c>
      <c r="G190" s="358">
        <f t="shared" si="9"/>
        <v>0.38422955136407949</v>
      </c>
      <c r="H190" s="352">
        <f>('побудинковий звіт'!AS191+'побудинковий звіт'!BQ191)*1.2</f>
        <v>2534.9908598299417</v>
      </c>
      <c r="I190" s="340">
        <f>('побудинковий звіт'!AT191+'побудинковий звіт'!BR191)*1.2</f>
        <v>0</v>
      </c>
      <c r="J190" s="340">
        <f t="shared" si="10"/>
        <v>-2534.9908598299417</v>
      </c>
      <c r="K190" s="361">
        <f t="shared" si="11"/>
        <v>0</v>
      </c>
      <c r="L190" s="363">
        <f>'побудинковий звіт'!DE191</f>
        <v>5.6592156093984158E-3</v>
      </c>
      <c r="M190" s="544">
        <f>'побудинковий звіт'!DA191*-1</f>
        <v>7325.0476824384841</v>
      </c>
    </row>
    <row r="191" spans="1:13" ht="20.100000000000001" customHeight="1" x14ac:dyDescent="0.3">
      <c r="A191" s="366" t="s">
        <v>640</v>
      </c>
      <c r="B191" s="291" t="s">
        <v>112</v>
      </c>
      <c r="C191" s="367">
        <v>1</v>
      </c>
      <c r="D191" s="357">
        <f>'побудинковий звіт'!CU192</f>
        <v>2243.9908614417936</v>
      </c>
      <c r="E191" s="341">
        <f>'побудинковий звіт'!CV192</f>
        <v>876.24379682485221</v>
      </c>
      <c r="F191" s="341">
        <f t="shared" si="8"/>
        <v>-1367.7470646169413</v>
      </c>
      <c r="G191" s="358">
        <f t="shared" si="9"/>
        <v>0.39048456563760425</v>
      </c>
      <c r="H191" s="352">
        <f>('побудинковий звіт'!AS192+'побудинковий звіт'!BQ192)*1.2</f>
        <v>1670.4810014079108</v>
      </c>
      <c r="I191" s="340">
        <f>('побудинковий звіт'!AT192+'побудинковий звіт'!BR192)*1.2</f>
        <v>0</v>
      </c>
      <c r="J191" s="340">
        <f t="shared" si="10"/>
        <v>-1670.4810014079108</v>
      </c>
      <c r="K191" s="361">
        <f t="shared" si="11"/>
        <v>0</v>
      </c>
      <c r="L191" s="363">
        <f>'побудинковий звіт'!DE192</f>
        <v>5.6998947087549823E-3</v>
      </c>
      <c r="M191" s="544">
        <f>'побудинковий звіт'!DA192*-1</f>
        <v>5211.3601763122724</v>
      </c>
    </row>
    <row r="192" spans="1:13" ht="20.100000000000001" customHeight="1" x14ac:dyDescent="0.3">
      <c r="A192" s="366" t="s">
        <v>641</v>
      </c>
      <c r="B192" s="291" t="s">
        <v>113</v>
      </c>
      <c r="C192" s="367">
        <v>1</v>
      </c>
      <c r="D192" s="357">
        <f>'побудинковий звіт'!CU193</f>
        <v>3419.823582005627</v>
      </c>
      <c r="E192" s="341">
        <f>'побудинковий звіт'!CV193</f>
        <v>1393.1773112983724</v>
      </c>
      <c r="F192" s="341">
        <f t="shared" si="8"/>
        <v>-2026.6462707072546</v>
      </c>
      <c r="G192" s="358">
        <f t="shared" si="9"/>
        <v>0.40738280144887312</v>
      </c>
      <c r="H192" s="352">
        <f>('побудинковий звіт'!AS193+'побудинковий звіт'!BQ193)*1.2</f>
        <v>2583.2162527689393</v>
      </c>
      <c r="I192" s="340">
        <f>('побудинковий звіт'!AT193+'побудинковий звіт'!BR193)*1.2</f>
        <v>0</v>
      </c>
      <c r="J192" s="340">
        <f t="shared" si="10"/>
        <v>-2583.2162527689393</v>
      </c>
      <c r="K192" s="361">
        <f t="shared" si="11"/>
        <v>0</v>
      </c>
      <c r="L192" s="363">
        <f>'побудинковий звіт'!DE193</f>
        <v>42.062873625145926</v>
      </c>
      <c r="M192" s="544">
        <f>'побудинковий звіт'!DA193*-1</f>
        <v>6893.1853614560714</v>
      </c>
    </row>
    <row r="193" spans="1:13" ht="20.100000000000001" customHeight="1" x14ac:dyDescent="0.3">
      <c r="A193" s="366" t="s">
        <v>642</v>
      </c>
      <c r="B193" s="291" t="s">
        <v>114</v>
      </c>
      <c r="C193" s="367">
        <v>1</v>
      </c>
      <c r="D193" s="357">
        <f>'побудинковий звіт'!CU194</f>
        <v>4934.9615363079156</v>
      </c>
      <c r="E193" s="341">
        <f>'побудинковий звіт'!CV194</f>
        <v>2168.8477423124727</v>
      </c>
      <c r="F193" s="341">
        <f t="shared" si="8"/>
        <v>-2766.1137939954428</v>
      </c>
      <c r="G193" s="358">
        <f t="shared" si="9"/>
        <v>0.43948625057270319</v>
      </c>
      <c r="H193" s="352">
        <f>('побудинковий звіт'!AS194+'побудинковий звіт'!BQ194)*1.2</f>
        <v>3863.7225609520397</v>
      </c>
      <c r="I193" s="340">
        <f>('побудинковий звіт'!AT194+'побудинковий звіт'!BR194)*1.2</f>
        <v>0</v>
      </c>
      <c r="J193" s="340">
        <f t="shared" si="10"/>
        <v>-3863.7225609520397</v>
      </c>
      <c r="K193" s="361">
        <f t="shared" si="11"/>
        <v>0</v>
      </c>
      <c r="L193" s="363">
        <f>'побудинковий звіт'!DE194</f>
        <v>687.56842223933086</v>
      </c>
      <c r="M193" s="544">
        <f>'побудинковий звіт'!DA194*-1</f>
        <v>10807.506478918163</v>
      </c>
    </row>
    <row r="194" spans="1:13" ht="20.100000000000001" customHeight="1" x14ac:dyDescent="0.3">
      <c r="A194" s="366" t="s">
        <v>643</v>
      </c>
      <c r="B194" s="291" t="s">
        <v>115</v>
      </c>
      <c r="C194" s="367">
        <v>1</v>
      </c>
      <c r="D194" s="357">
        <f>'побудинковий звіт'!CU195</f>
        <v>2124.8811008502898</v>
      </c>
      <c r="E194" s="341">
        <f>'побудинковий звіт'!CV195</f>
        <v>1012.7879546708938</v>
      </c>
      <c r="F194" s="341">
        <f t="shared" si="8"/>
        <v>-1112.0931461793962</v>
      </c>
      <c r="G194" s="358">
        <f t="shared" si="9"/>
        <v>0.47663276513006669</v>
      </c>
      <c r="H194" s="352">
        <f>('побудинковий звіт'!AS195+'побудинковий звіт'!BQ195)*1.2</f>
        <v>1606.6345598261503</v>
      </c>
      <c r="I194" s="340">
        <f>('побудинковий звіт'!AT195+'побудинковий звіт'!BR195)*1.2</f>
        <v>0</v>
      </c>
      <c r="J194" s="340">
        <f t="shared" si="10"/>
        <v>-1606.6345598261503</v>
      </c>
      <c r="K194" s="361">
        <f t="shared" si="11"/>
        <v>0</v>
      </c>
      <c r="L194" s="363">
        <f>'побудинковий звіт'!DE195</f>
        <v>9.0709272308231448E-3</v>
      </c>
      <c r="M194" s="544">
        <f>'побудинковий звіт'!DA195*-1</f>
        <v>4312.2325125117186</v>
      </c>
    </row>
    <row r="195" spans="1:13" ht="20.100000000000001" customHeight="1" x14ac:dyDescent="0.3">
      <c r="A195" s="366" t="s">
        <v>644</v>
      </c>
      <c r="B195" s="291" t="s">
        <v>264</v>
      </c>
      <c r="C195" s="367">
        <v>5</v>
      </c>
      <c r="D195" s="357">
        <f>'побудинковий звіт'!CU196</f>
        <v>257461.35152315896</v>
      </c>
      <c r="E195" s="341">
        <f>'побудинковий звіт'!CV196</f>
        <v>353825.96818376827</v>
      </c>
      <c r="F195" s="341">
        <f t="shared" si="8"/>
        <v>96364.616660609317</v>
      </c>
      <c r="G195" s="358">
        <f t="shared" si="9"/>
        <v>1.3742876982914509</v>
      </c>
      <c r="H195" s="352">
        <f>('побудинковий звіт'!AS196+'побудинковий звіт'!BQ196)*1.2</f>
        <v>78355.158273355264</v>
      </c>
      <c r="I195" s="340">
        <f>('побудинковий звіт'!AT196+'побудинковий звіт'!BR196)*1.2</f>
        <v>172174.30799999999</v>
      </c>
      <c r="J195" s="340">
        <f t="shared" si="10"/>
        <v>93819.149726644726</v>
      </c>
      <c r="K195" s="361">
        <f t="shared" si="11"/>
        <v>2.1973576697955317</v>
      </c>
      <c r="L195" s="363">
        <f>'побудинковий звіт'!DE196</f>
        <v>29450.947038489507</v>
      </c>
      <c r="M195" s="546">
        <f>'побудинковий звіт'!DA196*-1</f>
        <v>-99269.793771241981</v>
      </c>
    </row>
    <row r="196" spans="1:13" ht="20.100000000000001" customHeight="1" x14ac:dyDescent="0.3">
      <c r="A196" s="366" t="s">
        <v>645</v>
      </c>
      <c r="B196" s="291" t="s">
        <v>215</v>
      </c>
      <c r="C196" s="367">
        <v>4</v>
      </c>
      <c r="D196" s="357">
        <f>'побудинковий звіт'!CU197</f>
        <v>118163.49775450237</v>
      </c>
      <c r="E196" s="341">
        <f>'побудинковий звіт'!CV197</f>
        <v>111998.5657940152</v>
      </c>
      <c r="F196" s="341">
        <f t="shared" si="8"/>
        <v>-6164.9319604871707</v>
      </c>
      <c r="G196" s="358">
        <f t="shared" si="9"/>
        <v>0.94782710331327957</v>
      </c>
      <c r="H196" s="352">
        <f>('побудинковий звіт'!AS197+'побудинковий звіт'!BQ197)*1.2</f>
        <v>33872.233844792616</v>
      </c>
      <c r="I196" s="340">
        <f>('побудинковий звіт'!AT197+'побудинковий звіт'!BR197)*1.2</f>
        <v>22051.175999999999</v>
      </c>
      <c r="J196" s="340">
        <f t="shared" si="10"/>
        <v>-11821.057844792616</v>
      </c>
      <c r="K196" s="361">
        <f t="shared" si="11"/>
        <v>0.6510103851148884</v>
      </c>
      <c r="L196" s="363">
        <f>'побудинковий звіт'!DE197</f>
        <v>32294.219964934109</v>
      </c>
      <c r="M196" s="544">
        <f>'побудинковий звіт'!DA197*-1</f>
        <v>50223.651857599165</v>
      </c>
    </row>
    <row r="197" spans="1:13" ht="20.100000000000001" customHeight="1" x14ac:dyDescent="0.3">
      <c r="A197" s="366" t="s">
        <v>646</v>
      </c>
      <c r="B197" s="291" t="s">
        <v>168</v>
      </c>
      <c r="C197" s="367">
        <v>2</v>
      </c>
      <c r="D197" s="357">
        <f>'побудинковий звіт'!CU198</f>
        <v>14711.025536150957</v>
      </c>
      <c r="E197" s="341">
        <f>'побудинковий звіт'!CV198</f>
        <v>13350.56283504105</v>
      </c>
      <c r="F197" s="341">
        <f t="shared" si="8"/>
        <v>-1360.4627011099074</v>
      </c>
      <c r="G197" s="358">
        <f t="shared" si="9"/>
        <v>0.90752087964454287</v>
      </c>
      <c r="H197" s="352">
        <f>('побудинковий звіт'!AS198+'побудинковий звіт'!BQ198)*1.2</f>
        <v>6572.0494181953663</v>
      </c>
      <c r="I197" s="340">
        <f>('побудинковий звіт'!AT198+'побудинковий звіт'!BR198)*1.2</f>
        <v>4021.4759999999997</v>
      </c>
      <c r="J197" s="340">
        <f t="shared" si="10"/>
        <v>-2550.5734181953667</v>
      </c>
      <c r="K197" s="361">
        <f t="shared" si="11"/>
        <v>0.61190592828869284</v>
      </c>
      <c r="L197" s="363">
        <f>'побудинковий звіт'!DE198</f>
        <v>1709.6429374578281</v>
      </c>
      <c r="M197" s="544">
        <f>'побудинковий звіт'!DA198*-1</f>
        <v>-13289.708589057907</v>
      </c>
    </row>
    <row r="198" spans="1:13" ht="20.100000000000001" customHeight="1" x14ac:dyDescent="0.3">
      <c r="A198" s="366" t="s">
        <v>647</v>
      </c>
      <c r="B198" s="291" t="s">
        <v>117</v>
      </c>
      <c r="C198" s="367">
        <v>1</v>
      </c>
      <c r="D198" s="357">
        <f>'побудинковий звіт'!CU199</f>
        <v>2472.2539441311433</v>
      </c>
      <c r="E198" s="341">
        <f>'побудинковий звіт'!CV199</f>
        <v>8552.7843312399618</v>
      </c>
      <c r="F198" s="341">
        <f t="shared" si="8"/>
        <v>6080.5303871088181</v>
      </c>
      <c r="G198" s="358">
        <f t="shared" si="9"/>
        <v>3.4595088225233996</v>
      </c>
      <c r="H198" s="352">
        <f>('побудинковий звіт'!AS199+'побудинковий звіт'!BQ199)*1.2</f>
        <v>2023.1145177504145</v>
      </c>
      <c r="I198" s="340">
        <f>('побудинковий звіт'!AT199+'побудинковий звіт'!BR199)*1.2</f>
        <v>7718.4</v>
      </c>
      <c r="J198" s="340">
        <f t="shared" si="10"/>
        <v>5695.2854822495847</v>
      </c>
      <c r="K198" s="361">
        <f t="shared" si="11"/>
        <v>3.8151078113869752</v>
      </c>
      <c r="L198" s="363">
        <f>'побудинковий звіт'!DE199</f>
        <v>32.106163512732564</v>
      </c>
      <c r="M198" s="544">
        <f>'побудинковий звіт'!DA199*-1</f>
        <v>-4046.455984367416</v>
      </c>
    </row>
    <row r="199" spans="1:13" ht="20.100000000000001" customHeight="1" x14ac:dyDescent="0.3">
      <c r="A199" s="366" t="s">
        <v>648</v>
      </c>
      <c r="B199" s="291" t="s">
        <v>118</v>
      </c>
      <c r="C199" s="367">
        <v>1</v>
      </c>
      <c r="D199" s="357">
        <f>'побудинковий звіт'!CU200</f>
        <v>3139.1140503779379</v>
      </c>
      <c r="E199" s="341">
        <f>'побудинковий звіт'!CV200</f>
        <v>1503.5832491628596</v>
      </c>
      <c r="F199" s="341">
        <f t="shared" ref="F199:F262" si="12">E199-D199</f>
        <v>-1635.5308012150783</v>
      </c>
      <c r="G199" s="358">
        <f t="shared" ref="G199:G262" si="13">E199/D199</f>
        <v>0.47898331345490097</v>
      </c>
      <c r="H199" s="352">
        <f>('побудинковий звіт'!AS200+'побудинковий звіт'!BQ200)*1.2</f>
        <v>2337.9847187978507</v>
      </c>
      <c r="I199" s="340">
        <f>('побудинковий звіт'!AT200+'побудинковий звіт'!BR200)*1.2</f>
        <v>0</v>
      </c>
      <c r="J199" s="340">
        <f t="shared" ref="J199:J262" si="14">I199-H199</f>
        <v>-2337.9847187978507</v>
      </c>
      <c r="K199" s="361">
        <f t="shared" ref="K199:K262" si="15">I199/H199</f>
        <v>0</v>
      </c>
      <c r="L199" s="363">
        <f>'побудинковий звіт'!DE200</f>
        <v>-87.109934044781198</v>
      </c>
      <c r="M199" s="544">
        <f>'побудинковий звіт'!DA200*-1</f>
        <v>3747.0210667606834</v>
      </c>
    </row>
    <row r="200" spans="1:13" ht="20.100000000000001" customHeight="1" x14ac:dyDescent="0.3">
      <c r="A200" s="366" t="s">
        <v>649</v>
      </c>
      <c r="B200" s="291" t="s">
        <v>119</v>
      </c>
      <c r="C200" s="367">
        <v>1</v>
      </c>
      <c r="D200" s="357">
        <f>'побудинковий звіт'!CU201</f>
        <v>3685.5951429008587</v>
      </c>
      <c r="E200" s="341">
        <f>'побудинковий звіт'!CV201</f>
        <v>1529.6049373200399</v>
      </c>
      <c r="F200" s="341">
        <f t="shared" si="12"/>
        <v>-2155.9902055808188</v>
      </c>
      <c r="G200" s="358">
        <f t="shared" si="13"/>
        <v>0.41502250735986107</v>
      </c>
      <c r="H200" s="352">
        <f>('побудинковий звіт'!AS201+'побудинковий звіт'!BQ201)*1.2</f>
        <v>2977.9565832077883</v>
      </c>
      <c r="I200" s="340">
        <f>('побудинковий звіт'!AT201+'побудинковий звіт'!BR201)*1.2</f>
        <v>0</v>
      </c>
      <c r="J200" s="340">
        <f t="shared" si="14"/>
        <v>-2977.9565832077883</v>
      </c>
      <c r="K200" s="361">
        <f t="shared" si="15"/>
        <v>0</v>
      </c>
      <c r="L200" s="363">
        <f>'побудинковий звіт'!DE201</f>
        <v>-26.68794438939841</v>
      </c>
      <c r="M200" s="544">
        <f>'побудинковий звіт'!DA201*-1</f>
        <v>5511.1109314480109</v>
      </c>
    </row>
    <row r="201" spans="1:13" ht="20.100000000000001" customHeight="1" x14ac:dyDescent="0.3">
      <c r="A201" s="366" t="s">
        <v>650</v>
      </c>
      <c r="B201" s="291" t="s">
        <v>120</v>
      </c>
      <c r="C201" s="367">
        <v>1</v>
      </c>
      <c r="D201" s="357">
        <f>'побудинковий звіт'!CU202</f>
        <v>2808.7784502958311</v>
      </c>
      <c r="E201" s="341">
        <f>'побудинковий звіт'!CV202</f>
        <v>1017.5922061001678</v>
      </c>
      <c r="F201" s="341">
        <f t="shared" si="12"/>
        <v>-1791.1862441956632</v>
      </c>
      <c r="G201" s="358">
        <f t="shared" si="13"/>
        <v>0.36228995063423075</v>
      </c>
      <c r="H201" s="352">
        <f>('побудинковий звіт'!AS202+'побудинковий звіт'!BQ202)*1.2</f>
        <v>2253.3490973526846</v>
      </c>
      <c r="I201" s="340">
        <f>('побудинковий звіт'!AT202+'побудинковий звіт'!BR202)*1.2</f>
        <v>0</v>
      </c>
      <c r="J201" s="340">
        <f t="shared" si="14"/>
        <v>-2253.3490973526846</v>
      </c>
      <c r="K201" s="361">
        <f t="shared" si="15"/>
        <v>0</v>
      </c>
      <c r="L201" s="363">
        <f>'побудинковий звіт'!DE202</f>
        <v>-2.0593078708600387E-2</v>
      </c>
      <c r="M201" s="544">
        <f>'побудинковий звіт'!DA202*-1</f>
        <v>7030.5314297276018</v>
      </c>
    </row>
    <row r="202" spans="1:13" ht="20.100000000000001" customHeight="1" x14ac:dyDescent="0.3">
      <c r="A202" s="366" t="s">
        <v>651</v>
      </c>
      <c r="B202" s="291" t="s">
        <v>169</v>
      </c>
      <c r="C202" s="367">
        <v>2</v>
      </c>
      <c r="D202" s="357">
        <f>'побудинковий звіт'!CU203</f>
        <v>19593.390852252604</v>
      </c>
      <c r="E202" s="341">
        <f>'побудинковий звіт'!CV203</f>
        <v>15614.531960567858</v>
      </c>
      <c r="F202" s="341">
        <f t="shared" si="12"/>
        <v>-3978.8588916847457</v>
      </c>
      <c r="G202" s="358">
        <f t="shared" si="13"/>
        <v>0.79692851933144049</v>
      </c>
      <c r="H202" s="352">
        <f>('побудинковий звіт'!AS203+'побудинковий звіт'!BQ203)*1.2</f>
        <v>6162.2151157692588</v>
      </c>
      <c r="I202" s="340">
        <f>('побудинковий звіт'!AT203+'побудинковий звіт'!BR203)*1.2</f>
        <v>1315.2</v>
      </c>
      <c r="J202" s="340">
        <f t="shared" si="14"/>
        <v>-4847.015115769259</v>
      </c>
      <c r="K202" s="361">
        <f t="shared" si="15"/>
        <v>0.21342974487118621</v>
      </c>
      <c r="L202" s="363">
        <f>'побудинковий звіт'!DE203</f>
        <v>49.603441910359379</v>
      </c>
      <c r="M202" s="544">
        <f>'побудинковий звіт'!DA203*-1</f>
        <v>2178.3623061619837</v>
      </c>
    </row>
    <row r="203" spans="1:13" ht="20.100000000000001" customHeight="1" x14ac:dyDescent="0.3">
      <c r="A203" s="366" t="s">
        <v>652</v>
      </c>
      <c r="B203" s="291" t="s">
        <v>265</v>
      </c>
      <c r="C203" s="367">
        <v>5</v>
      </c>
      <c r="D203" s="357">
        <f>'побудинковий звіт'!CU204</f>
        <v>264276.63931052445</v>
      </c>
      <c r="E203" s="341">
        <f>'побудинковий звіт'!CV204</f>
        <v>214049.77403917123</v>
      </c>
      <c r="F203" s="341">
        <f t="shared" si="12"/>
        <v>-50226.865271353221</v>
      </c>
      <c r="G203" s="358">
        <f t="shared" si="13"/>
        <v>0.80994587564609988</v>
      </c>
      <c r="H203" s="352">
        <f>('побудинковий звіт'!AS204+'побудинковий звіт'!BQ204)*1.2</f>
        <v>77949.303974397815</v>
      </c>
      <c r="I203" s="340">
        <f>('побудинковий звіт'!AT204+'побудинковий звіт'!BR204)*1.2</f>
        <v>30252.453664688222</v>
      </c>
      <c r="J203" s="340">
        <f t="shared" si="14"/>
        <v>-47696.850309709596</v>
      </c>
      <c r="K203" s="361">
        <f t="shared" si="15"/>
        <v>0.38810421802643086</v>
      </c>
      <c r="L203" s="363">
        <f>'побудинковий звіт'!DE204</f>
        <v>39038.424451957573</v>
      </c>
      <c r="M203" s="544">
        <f>'побудинковий звіт'!DA204*-1</f>
        <v>12055.500604390923</v>
      </c>
    </row>
    <row r="204" spans="1:13" ht="20.100000000000001" customHeight="1" x14ac:dyDescent="0.3">
      <c r="A204" s="366" t="s">
        <v>653</v>
      </c>
      <c r="B204" s="291" t="s">
        <v>116</v>
      </c>
      <c r="C204" s="367">
        <v>1</v>
      </c>
      <c r="D204" s="357">
        <f>'побудинковий звіт'!CU205</f>
        <v>0</v>
      </c>
      <c r="E204" s="341">
        <f>'побудинковий звіт'!CV205</f>
        <v>0</v>
      </c>
      <c r="F204" s="341">
        <f t="shared" si="12"/>
        <v>0</v>
      </c>
      <c r="G204" s="358" t="e">
        <f t="shared" si="13"/>
        <v>#DIV/0!</v>
      </c>
      <c r="H204" s="352">
        <f>('побудинковий звіт'!AS205+'побудинковий звіт'!BQ205)*1.2</f>
        <v>0</v>
      </c>
      <c r="I204" s="340">
        <f>('побудинковий звіт'!AT205+'побудинковий звіт'!BR205)*1.2</f>
        <v>0</v>
      </c>
      <c r="J204" s="340">
        <f t="shared" si="14"/>
        <v>0</v>
      </c>
      <c r="K204" s="361" t="e">
        <f t="shared" si="15"/>
        <v>#DIV/0!</v>
      </c>
      <c r="L204" s="363">
        <f>'побудинковий звіт'!DE205</f>
        <v>1977.4535911395799</v>
      </c>
      <c r="M204" s="544">
        <f>'побудинковий звіт'!DA205*-1</f>
        <v>3544.4277194500155</v>
      </c>
    </row>
    <row r="205" spans="1:13" ht="20.100000000000001" customHeight="1" x14ac:dyDescent="0.3">
      <c r="A205" s="366" t="s">
        <v>654</v>
      </c>
      <c r="B205" s="291" t="s">
        <v>371</v>
      </c>
      <c r="C205" s="367">
        <v>9</v>
      </c>
      <c r="D205" s="357">
        <f>'побудинковий звіт'!CU206</f>
        <v>528096.17115904111</v>
      </c>
      <c r="E205" s="341">
        <f>'побудинковий звіт'!CV206</f>
        <v>539335.60128961271</v>
      </c>
      <c r="F205" s="341">
        <f t="shared" si="12"/>
        <v>11239.430130571593</v>
      </c>
      <c r="G205" s="358">
        <f t="shared" si="13"/>
        <v>1.0212829229681855</v>
      </c>
      <c r="H205" s="352">
        <f>('побудинковий звіт'!AS206+'побудинковий звіт'!BQ206)*1.2</f>
        <v>130076.67126822344</v>
      </c>
      <c r="I205" s="340">
        <f>('побудинковий звіт'!AT206+'побудинковий звіт'!BR206)*1.2</f>
        <v>157194.30528106689</v>
      </c>
      <c r="J205" s="340">
        <f t="shared" si="14"/>
        <v>27117.634012843453</v>
      </c>
      <c r="K205" s="361">
        <f t="shared" si="15"/>
        <v>1.2084742309935483</v>
      </c>
      <c r="L205" s="363">
        <f>'побудинковий звіт'!DE206</f>
        <v>51646.501698773551</v>
      </c>
      <c r="M205" s="546">
        <f>'побудинковий звіт'!DA206*-1</f>
        <v>-124135.67057001937</v>
      </c>
    </row>
    <row r="206" spans="1:13" ht="20.100000000000001" customHeight="1" x14ac:dyDescent="0.3">
      <c r="A206" s="366" t="s">
        <v>655</v>
      </c>
      <c r="B206" s="291" t="s">
        <v>266</v>
      </c>
      <c r="C206" s="367">
        <v>5</v>
      </c>
      <c r="D206" s="357">
        <f>'побудинковий звіт'!CU207</f>
        <v>179018.9020782664</v>
      </c>
      <c r="E206" s="341">
        <f>'побудинковий звіт'!CV207</f>
        <v>123906.08040506869</v>
      </c>
      <c r="F206" s="341">
        <f t="shared" si="12"/>
        <v>-55112.821673197715</v>
      </c>
      <c r="G206" s="358">
        <f t="shared" si="13"/>
        <v>0.6921396509900245</v>
      </c>
      <c r="H206" s="352">
        <f>('побудинковий звіт'!AS207+'побудинковий звіт'!BQ207)*1.2</f>
        <v>67287.759959174989</v>
      </c>
      <c r="I206" s="340">
        <f>('побудинковий звіт'!AT207+'побудинковий звіт'!BR207)*1.2</f>
        <v>10884</v>
      </c>
      <c r="J206" s="340">
        <f t="shared" si="14"/>
        <v>-56403.759959174989</v>
      </c>
      <c r="K206" s="361">
        <f t="shared" si="15"/>
        <v>0.16175304403956337</v>
      </c>
      <c r="L206" s="363">
        <f>'побудинковий звіт'!DE207</f>
        <v>24671.425026568413</v>
      </c>
      <c r="M206" s="547">
        <f>'побудинковий звіт'!DA207*-1</f>
        <v>136474.70817563817</v>
      </c>
    </row>
    <row r="207" spans="1:13" ht="20.100000000000001" customHeight="1" x14ac:dyDescent="0.3">
      <c r="A207" s="366" t="s">
        <v>656</v>
      </c>
      <c r="B207" s="291" t="s">
        <v>372</v>
      </c>
      <c r="C207" s="367">
        <v>9</v>
      </c>
      <c r="D207" s="357">
        <f>'побудинковий звіт'!CU208</f>
        <v>487736.63948642276</v>
      </c>
      <c r="E207" s="341">
        <f>'побудинковий звіт'!CV208</f>
        <v>696890.40214741451</v>
      </c>
      <c r="F207" s="341">
        <f t="shared" si="12"/>
        <v>209153.76266099175</v>
      </c>
      <c r="G207" s="358">
        <f t="shared" si="13"/>
        <v>1.4288252014062888</v>
      </c>
      <c r="H207" s="352">
        <f>('побудинковий звіт'!AS208+'побудинковий звіт'!BQ208)*1.2</f>
        <v>123493.83930411452</v>
      </c>
      <c r="I207" s="340">
        <f>('побудинковий звіт'!AT208+'побудинковий звіт'!BR208)*1.2</f>
        <v>350252.50487615174</v>
      </c>
      <c r="J207" s="340">
        <f t="shared" si="14"/>
        <v>226758.66557203722</v>
      </c>
      <c r="K207" s="361">
        <f t="shared" si="15"/>
        <v>2.8361941522736527</v>
      </c>
      <c r="L207" s="363">
        <f>'побудинковий звіт'!DE208</f>
        <v>51647.212858701278</v>
      </c>
      <c r="M207" s="544">
        <f>'побудинковий звіт'!DA208*-1</f>
        <v>-162346.83819794984</v>
      </c>
    </row>
    <row r="208" spans="1:13" ht="20.100000000000001" customHeight="1" x14ac:dyDescent="0.3">
      <c r="A208" s="366" t="s">
        <v>657</v>
      </c>
      <c r="B208" s="291" t="s">
        <v>373</v>
      </c>
      <c r="C208" s="367">
        <v>9</v>
      </c>
      <c r="D208" s="357">
        <f>'побудинковий звіт'!CU209</f>
        <v>517818.10908102221</v>
      </c>
      <c r="E208" s="341">
        <f>'побудинковий звіт'!CV209</f>
        <v>473568.03917708015</v>
      </c>
      <c r="F208" s="341">
        <f t="shared" si="12"/>
        <v>-44250.069903942058</v>
      </c>
      <c r="G208" s="358">
        <f t="shared" si="13"/>
        <v>0.91454514794302355</v>
      </c>
      <c r="H208" s="352">
        <f>('побудинковий звіт'!AS209+'побудинковий звіт'!BQ209)*1.2</f>
        <v>123954.3790060366</v>
      </c>
      <c r="I208" s="340">
        <f>('побудинковий звіт'!AT209+'побудинковий звіт'!BR209)*1.2</f>
        <v>83299.647444887392</v>
      </c>
      <c r="J208" s="340">
        <f t="shared" si="14"/>
        <v>-40654.731561149209</v>
      </c>
      <c r="K208" s="361">
        <f t="shared" si="15"/>
        <v>0.6720185935571561</v>
      </c>
      <c r="L208" s="363">
        <f>'побудинковий звіт'!DE209</f>
        <v>38486.468400864949</v>
      </c>
      <c r="M208" s="544">
        <f>'побудинковий звіт'!DA209*-1</f>
        <v>44531.246880763327</v>
      </c>
    </row>
    <row r="209" spans="1:13" ht="20.100000000000001" customHeight="1" x14ac:dyDescent="0.3">
      <c r="A209" s="366" t="s">
        <v>658</v>
      </c>
      <c r="B209" s="291" t="s">
        <v>121</v>
      </c>
      <c r="C209" s="367">
        <v>1</v>
      </c>
      <c r="D209" s="357">
        <f>'побудинковий звіт'!CU210</f>
        <v>0</v>
      </c>
      <c r="E209" s="341">
        <f>'побудинковий звіт'!CV210</f>
        <v>0</v>
      </c>
      <c r="F209" s="341">
        <f t="shared" si="12"/>
        <v>0</v>
      </c>
      <c r="G209" s="358" t="e">
        <f t="shared" si="13"/>
        <v>#DIV/0!</v>
      </c>
      <c r="H209" s="352">
        <f>('побудинковий звіт'!AS210+'побудинковий звіт'!BQ210)*1.2</f>
        <v>0</v>
      </c>
      <c r="I209" s="340">
        <f>('побудинковий звіт'!AT210+'побудинковий звіт'!BR210)*1.2</f>
        <v>0</v>
      </c>
      <c r="J209" s="340">
        <f t="shared" si="14"/>
        <v>0</v>
      </c>
      <c r="K209" s="361" t="e">
        <f t="shared" si="15"/>
        <v>#DIV/0!</v>
      </c>
      <c r="L209" s="363">
        <f>'побудинковий звіт'!DE210</f>
        <v>4379.2351502687916</v>
      </c>
      <c r="M209" s="544">
        <f>'побудинковий звіт'!DA210*-1</f>
        <v>7105.5550471735478</v>
      </c>
    </row>
    <row r="210" spans="1:13" ht="20.100000000000001" customHeight="1" x14ac:dyDescent="0.3">
      <c r="A210" s="366" t="s">
        <v>659</v>
      </c>
      <c r="B210" s="291" t="s">
        <v>374</v>
      </c>
      <c r="C210" s="367">
        <v>9</v>
      </c>
      <c r="D210" s="357">
        <f>'побудинковий звіт'!CU211</f>
        <v>298139.365125223</v>
      </c>
      <c r="E210" s="341">
        <f>'побудинковий звіт'!CV211</f>
        <v>279257.73393510754</v>
      </c>
      <c r="F210" s="341">
        <f t="shared" si="12"/>
        <v>-18881.63119011547</v>
      </c>
      <c r="G210" s="358">
        <f t="shared" si="13"/>
        <v>0.93666843966684876</v>
      </c>
      <c r="H210" s="352">
        <f>('побудинковий звіт'!AS211+'побудинковий звіт'!BQ211)*1.2</f>
        <v>70542.112201401178</v>
      </c>
      <c r="I210" s="340">
        <f>('побудинковий звіт'!AT211+'побудинковий звіт'!BR211)*1.2</f>
        <v>59087.792613306185</v>
      </c>
      <c r="J210" s="340">
        <f t="shared" si="14"/>
        <v>-11454.319588094993</v>
      </c>
      <c r="K210" s="361">
        <f t="shared" si="15"/>
        <v>0.83762437456660854</v>
      </c>
      <c r="L210" s="363">
        <f>'побудинковий звіт'!DE211</f>
        <v>43089.539809098351</v>
      </c>
      <c r="M210" s="546">
        <f>'побудинковий звіт'!DA211*-1</f>
        <v>-255569.00776069402</v>
      </c>
    </row>
    <row r="211" spans="1:13" ht="20.100000000000001" customHeight="1" x14ac:dyDescent="0.3">
      <c r="A211" s="366" t="s">
        <v>660</v>
      </c>
      <c r="B211" s="291" t="s">
        <v>170</v>
      </c>
      <c r="C211" s="367">
        <v>2</v>
      </c>
      <c r="D211" s="357">
        <f>'побудинковий звіт'!CU212</f>
        <v>31249.513727616875</v>
      </c>
      <c r="E211" s="341">
        <f>'побудинковий звіт'!CV212</f>
        <v>27168.346752822952</v>
      </c>
      <c r="F211" s="341">
        <f t="shared" si="12"/>
        <v>-4081.1669747939231</v>
      </c>
      <c r="G211" s="358">
        <f t="shared" si="13"/>
        <v>0.86940062458676992</v>
      </c>
      <c r="H211" s="352">
        <f>('побудинковий звіт'!AS212+'побудинковий звіт'!BQ212)*1.2</f>
        <v>9180.0374846195518</v>
      </c>
      <c r="I211" s="340">
        <f>('побудинковий звіт'!AT212+'побудинковий звіт'!BR212)*1.2</f>
        <v>3564</v>
      </c>
      <c r="J211" s="340">
        <f t="shared" si="14"/>
        <v>-5616.0374846195518</v>
      </c>
      <c r="K211" s="361">
        <f t="shared" si="15"/>
        <v>0.38823370884609221</v>
      </c>
      <c r="L211" s="363">
        <f>'побудинковий звіт'!DE212</f>
        <v>-4.03762682415163E-2</v>
      </c>
      <c r="M211" s="544">
        <f>'побудинковий звіт'!DA212*-1</f>
        <v>-16313.003271724141</v>
      </c>
    </row>
    <row r="212" spans="1:13" ht="20.100000000000001" customHeight="1" x14ac:dyDescent="0.3">
      <c r="A212" s="366" t="s">
        <v>661</v>
      </c>
      <c r="B212" s="291" t="s">
        <v>171</v>
      </c>
      <c r="C212" s="367">
        <v>1</v>
      </c>
      <c r="D212" s="357">
        <f>'побудинковий звіт'!CU213</f>
        <v>10607.123129561685</v>
      </c>
      <c r="E212" s="341">
        <f>'побудинковий звіт'!CV213</f>
        <v>7057.5437962378328</v>
      </c>
      <c r="F212" s="341">
        <f t="shared" si="12"/>
        <v>-3549.5793333238526</v>
      </c>
      <c r="G212" s="358">
        <f t="shared" si="13"/>
        <v>0.66535890175241785</v>
      </c>
      <c r="H212" s="352">
        <f>('побудинковий звіт'!AS213+'побудинковий звіт'!BQ213)*1.2</f>
        <v>5464.7980873442002</v>
      </c>
      <c r="I212" s="340">
        <f>('побудинковий звіт'!AT213+'побудинковий звіт'!BR213)*1.2</f>
        <v>2017.1999999999998</v>
      </c>
      <c r="J212" s="340">
        <f t="shared" si="14"/>
        <v>-3447.5980873442004</v>
      </c>
      <c r="K212" s="361">
        <f t="shared" si="15"/>
        <v>0.36912617223161215</v>
      </c>
      <c r="L212" s="363">
        <f>'побудинковий звіт'!DE213</f>
        <v>105.8341069005578</v>
      </c>
      <c r="M212" s="544">
        <f>'побудинковий звіт'!DA213*-1</f>
        <v>10973.221076588221</v>
      </c>
    </row>
    <row r="213" spans="1:13" ht="20.100000000000001" customHeight="1" x14ac:dyDescent="0.3">
      <c r="A213" s="366" t="s">
        <v>662</v>
      </c>
      <c r="B213" s="291" t="s">
        <v>172</v>
      </c>
      <c r="C213" s="367">
        <v>2</v>
      </c>
      <c r="D213" s="357">
        <f>'побудинковий звіт'!CU214</f>
        <v>16723.869020731923</v>
      </c>
      <c r="E213" s="341">
        <f>'побудинковий звіт'!CV214</f>
        <v>7418.5429446874841</v>
      </c>
      <c r="F213" s="341">
        <f t="shared" si="12"/>
        <v>-9305.3260760444391</v>
      </c>
      <c r="G213" s="358">
        <f t="shared" si="13"/>
        <v>0.44359011275985288</v>
      </c>
      <c r="H213" s="352">
        <f>('побудинковий звіт'!AS214+'побудинковий звіт'!BQ214)*1.2</f>
        <v>7977.6998479047852</v>
      </c>
      <c r="I213" s="340">
        <f>('побудинковий звіт'!AT214+'побудинковий звіт'!BR214)*1.2</f>
        <v>796.19999999999993</v>
      </c>
      <c r="J213" s="340">
        <f t="shared" si="14"/>
        <v>-7181.4998479047854</v>
      </c>
      <c r="K213" s="361">
        <f t="shared" si="15"/>
        <v>9.9803203326721934E-2</v>
      </c>
      <c r="L213" s="363">
        <f>'побудинковий звіт'!DE214</f>
        <v>2622.9974190093299</v>
      </c>
      <c r="M213" s="544">
        <f>'побудинковий звіт'!DA214*-1</f>
        <v>-2430.4093663839685</v>
      </c>
    </row>
    <row r="214" spans="1:13" ht="20.100000000000001" customHeight="1" x14ac:dyDescent="0.3">
      <c r="A214" s="366" t="s">
        <v>1041</v>
      </c>
      <c r="B214" s="291" t="s">
        <v>1034</v>
      </c>
      <c r="C214" s="367">
        <v>2</v>
      </c>
      <c r="D214" s="357">
        <f>'побудинковий звіт'!CU215</f>
        <v>30616.890782224105</v>
      </c>
      <c r="E214" s="341">
        <f>'побудинковий звіт'!CV215</f>
        <v>24446.858335431763</v>
      </c>
      <c r="F214" s="341">
        <f t="shared" si="12"/>
        <v>-6170.0324467923419</v>
      </c>
      <c r="G214" s="358">
        <f t="shared" si="13"/>
        <v>0.79847619111034596</v>
      </c>
      <c r="H214" s="352">
        <f>('побудинковий звіт'!AS215+'побудинковий звіт'!BQ215)*1.2</f>
        <v>10905.125186532818</v>
      </c>
      <c r="I214" s="340">
        <f>('побудинковий звіт'!AT215+'побудинковий звіт'!BR215)*1.2</f>
        <v>3352.2881597755036</v>
      </c>
      <c r="J214" s="340">
        <f t="shared" si="14"/>
        <v>-7552.8370267573137</v>
      </c>
      <c r="K214" s="361">
        <f t="shared" si="15"/>
        <v>0.30740483052091694</v>
      </c>
      <c r="L214" s="363">
        <f>'побудинковий звіт'!DE215</f>
        <v>19460.773878946802</v>
      </c>
      <c r="M214" s="544">
        <f>'побудинковий звіт'!DA215*-1</f>
        <v>-7789.8326884263906</v>
      </c>
    </row>
    <row r="215" spans="1:13" ht="20.100000000000001" customHeight="1" x14ac:dyDescent="0.3">
      <c r="A215" s="366" t="s">
        <v>663</v>
      </c>
      <c r="B215" s="291" t="s">
        <v>173</v>
      </c>
      <c r="C215" s="367">
        <v>2</v>
      </c>
      <c r="D215" s="357">
        <f>'побудинковий звіт'!CU216</f>
        <v>23882.578295954139</v>
      </c>
      <c r="E215" s="341">
        <f>'побудинковий звіт'!CV216</f>
        <v>18432.320870519383</v>
      </c>
      <c r="F215" s="341">
        <f t="shared" si="12"/>
        <v>-5450.2574254347564</v>
      </c>
      <c r="G215" s="358">
        <f t="shared" si="13"/>
        <v>0.77178940406287433</v>
      </c>
      <c r="H215" s="352">
        <f>('побудинковий звіт'!AS216+'побудинковий звіт'!BQ216)*1.2</f>
        <v>6006.5048979063658</v>
      </c>
      <c r="I215" s="340">
        <f>('побудинковий звіт'!AT216+'побудинковий звіт'!BR216)*1.2</f>
        <v>0</v>
      </c>
      <c r="J215" s="340">
        <f t="shared" si="14"/>
        <v>-6006.5048979063658</v>
      </c>
      <c r="K215" s="361">
        <f t="shared" si="15"/>
        <v>0</v>
      </c>
      <c r="L215" s="363">
        <f>'побудинковий звіт'!DE216</f>
        <v>2141.2641316698073</v>
      </c>
      <c r="M215" s="544">
        <f>'побудинковий звіт'!DA216*-1</f>
        <v>-10140.994438337904</v>
      </c>
    </row>
    <row r="216" spans="1:13" ht="20.100000000000001" customHeight="1" x14ac:dyDescent="0.3">
      <c r="A216" s="366" t="s">
        <v>664</v>
      </c>
      <c r="B216" s="291" t="s">
        <v>267</v>
      </c>
      <c r="C216" s="367">
        <v>5</v>
      </c>
      <c r="D216" s="357">
        <f>'побудинковий звіт'!CU217</f>
        <v>145200.20637511933</v>
      </c>
      <c r="E216" s="341">
        <f>'побудинковий звіт'!CV217</f>
        <v>138696.48367596345</v>
      </c>
      <c r="F216" s="341">
        <f t="shared" si="12"/>
        <v>-6503.7226991558855</v>
      </c>
      <c r="G216" s="358">
        <f t="shared" si="13"/>
        <v>0.95520858501844164</v>
      </c>
      <c r="H216" s="352">
        <f>('побудинковий звіт'!AS217+'побудинковий звіт'!BQ217)*1.2</f>
        <v>37573.415990986883</v>
      </c>
      <c r="I216" s="340">
        <f>('побудинковий звіт'!AT217+'побудинковий звіт'!BR217)*1.2</f>
        <v>32812.487999999998</v>
      </c>
      <c r="J216" s="340">
        <f t="shared" si="14"/>
        <v>-4760.9279909868856</v>
      </c>
      <c r="K216" s="361">
        <f t="shared" si="15"/>
        <v>0.8732899880029823</v>
      </c>
      <c r="L216" s="363">
        <f>'побудинковий звіт'!DE217</f>
        <v>11731.266910175576</v>
      </c>
      <c r="M216" s="544">
        <f>'побудинковий звіт'!DA217*-1</f>
        <v>-17707.888302090883</v>
      </c>
    </row>
    <row r="217" spans="1:13" ht="20.100000000000001" customHeight="1" x14ac:dyDescent="0.3">
      <c r="A217" s="366" t="s">
        <v>665</v>
      </c>
      <c r="B217" s="291" t="s">
        <v>174</v>
      </c>
      <c r="C217" s="367">
        <v>2</v>
      </c>
      <c r="D217" s="357">
        <f>'побудинковий звіт'!CU218</f>
        <v>20397.041409036981</v>
      </c>
      <c r="E217" s="341">
        <f>'побудинковий звіт'!CV218</f>
        <v>23858.525175256349</v>
      </c>
      <c r="F217" s="341">
        <f t="shared" si="12"/>
        <v>3461.4837662193677</v>
      </c>
      <c r="G217" s="358">
        <f t="shared" si="13"/>
        <v>1.1697051889440075</v>
      </c>
      <c r="H217" s="352">
        <f>('побудинковий звіт'!AS218+'побудинковий звіт'!BQ218)*1.2</f>
        <v>3615.2854508524292</v>
      </c>
      <c r="I217" s="340">
        <f>('побудинковий звіт'!AT218+'побудинковий звіт'!BR218)*1.2</f>
        <v>6307.5240000000003</v>
      </c>
      <c r="J217" s="340">
        <f t="shared" si="14"/>
        <v>2692.2385491475711</v>
      </c>
      <c r="K217" s="361">
        <f t="shared" si="15"/>
        <v>1.7446821518651543</v>
      </c>
      <c r="L217" s="363">
        <f>'побудинковий звіт'!DE218</f>
        <v>338.2610081784203</v>
      </c>
      <c r="M217" s="544">
        <f>'побудинковий звіт'!DA218*-1</f>
        <v>-5135.1390064925217</v>
      </c>
    </row>
    <row r="218" spans="1:13" ht="20.100000000000001" customHeight="1" x14ac:dyDescent="0.3">
      <c r="A218" s="366" t="s">
        <v>666</v>
      </c>
      <c r="B218" s="291" t="s">
        <v>175</v>
      </c>
      <c r="C218" s="367">
        <v>2</v>
      </c>
      <c r="D218" s="357">
        <f>'побудинковий звіт'!CU219</f>
        <v>33607.430528539633</v>
      </c>
      <c r="E218" s="341">
        <f>'побудинковий звіт'!CV219</f>
        <v>77880.635285330456</v>
      </c>
      <c r="F218" s="341">
        <f t="shared" si="12"/>
        <v>44273.204756790823</v>
      </c>
      <c r="G218" s="358">
        <f t="shared" si="13"/>
        <v>2.3173635728918267</v>
      </c>
      <c r="H218" s="352">
        <f>('побудинковий звіт'!AS219+'побудинковий звіт'!BQ219)*1.2</f>
        <v>8767.7806741485438</v>
      </c>
      <c r="I218" s="340">
        <f>('побудинковий звіт'!AT219+'побудинковий звіт'!BR219)*1.2</f>
        <v>50459.027999999998</v>
      </c>
      <c r="J218" s="340">
        <f t="shared" si="14"/>
        <v>41691.247325851451</v>
      </c>
      <c r="K218" s="361">
        <f t="shared" si="15"/>
        <v>5.7550513493997926</v>
      </c>
      <c r="L218" s="363">
        <f>'побудинковий звіт'!DE219</f>
        <v>791.60048948224585</v>
      </c>
      <c r="M218" s="544">
        <f>'побудинковий звіт'!DA219*-1</f>
        <v>-34123.427752609416</v>
      </c>
    </row>
    <row r="219" spans="1:13" ht="20.100000000000001" customHeight="1" x14ac:dyDescent="0.3">
      <c r="A219" s="366" t="s">
        <v>667</v>
      </c>
      <c r="B219" s="291" t="s">
        <v>268</v>
      </c>
      <c r="C219" s="367">
        <v>5</v>
      </c>
      <c r="D219" s="357">
        <f>'побудинковий звіт'!CU220</f>
        <v>276426.17405493755</v>
      </c>
      <c r="E219" s="341">
        <f>'побудинковий звіт'!CV220</f>
        <v>211475.06017086477</v>
      </c>
      <c r="F219" s="341">
        <f t="shared" si="12"/>
        <v>-64951.11388407278</v>
      </c>
      <c r="G219" s="358">
        <f t="shared" si="13"/>
        <v>0.76503269234134008</v>
      </c>
      <c r="H219" s="352">
        <f>('побудинковий звіт'!AS220+'побудинковий звіт'!BQ220)*1.2</f>
        <v>73620.053708445368</v>
      </c>
      <c r="I219" s="340">
        <f>('побудинковий звіт'!AT220+'побудинковий звіт'!BR220)*1.2</f>
        <v>4677.5999999999995</v>
      </c>
      <c r="J219" s="340">
        <f t="shared" si="14"/>
        <v>-68942.453708445362</v>
      </c>
      <c r="K219" s="361">
        <f t="shared" si="15"/>
        <v>6.353703596202899E-2</v>
      </c>
      <c r="L219" s="363">
        <f>'побудинковий звіт'!DE220</f>
        <v>9569.5883603426992</v>
      </c>
      <c r="M219" s="546">
        <f>'побудинковий звіт'!DA220*-1</f>
        <v>2289.3996658727701</v>
      </c>
    </row>
    <row r="220" spans="1:13" ht="20.100000000000001" customHeight="1" x14ac:dyDescent="0.3">
      <c r="A220" s="366" t="s">
        <v>668</v>
      </c>
      <c r="B220" s="291" t="s">
        <v>216</v>
      </c>
      <c r="C220" s="367">
        <v>4</v>
      </c>
      <c r="D220" s="357">
        <f>'побудинковий звіт'!CU221</f>
        <v>123394.00543700071</v>
      </c>
      <c r="E220" s="341">
        <f>'побудинковий звіт'!CV221</f>
        <v>109223.76270711569</v>
      </c>
      <c r="F220" s="341">
        <f t="shared" si="12"/>
        <v>-14170.242729885023</v>
      </c>
      <c r="G220" s="358">
        <f t="shared" si="13"/>
        <v>0.88516263266030626</v>
      </c>
      <c r="H220" s="352">
        <f>('побудинковий звіт'!AS221+'побудинковий звіт'!BQ221)*1.2</f>
        <v>25668.562280454207</v>
      </c>
      <c r="I220" s="340">
        <f>('побудинковий звіт'!AT221+'побудинковий звіт'!BR221)*1.2</f>
        <v>12283.656000000001</v>
      </c>
      <c r="J220" s="340">
        <f t="shared" si="14"/>
        <v>-13384.906280454206</v>
      </c>
      <c r="K220" s="361">
        <f t="shared" si="15"/>
        <v>0.47854865674941266</v>
      </c>
      <c r="L220" s="363">
        <f>'побудинковий звіт'!DE221</f>
        <v>39171.057364425193</v>
      </c>
      <c r="M220" s="544">
        <f>'побудинковий звіт'!DA221*-1</f>
        <v>12558.280749415662</v>
      </c>
    </row>
    <row r="221" spans="1:13" ht="20.100000000000001" customHeight="1" x14ac:dyDescent="0.3">
      <c r="A221" s="366" t="s">
        <v>669</v>
      </c>
      <c r="B221" s="291" t="s">
        <v>176</v>
      </c>
      <c r="C221" s="367">
        <v>2</v>
      </c>
      <c r="D221" s="357">
        <f>'побудинковий звіт'!CU222</f>
        <v>20249.333542490731</v>
      </c>
      <c r="E221" s="341">
        <f>'побудинковий звіт'!CV222</f>
        <v>17238.019437842664</v>
      </c>
      <c r="F221" s="341">
        <f t="shared" si="12"/>
        <v>-3011.3141046480669</v>
      </c>
      <c r="G221" s="358">
        <f t="shared" si="13"/>
        <v>0.8512882363101385</v>
      </c>
      <c r="H221" s="352">
        <f>('побудинковий звіт'!AS222+'побудинковий звіт'!BQ222)*1.2</f>
        <v>5810.2674179159958</v>
      </c>
      <c r="I221" s="340">
        <f>('побудинковий звіт'!AT222+'побудинковий звіт'!BR222)*1.2</f>
        <v>2379.6</v>
      </c>
      <c r="J221" s="340">
        <f t="shared" si="14"/>
        <v>-3430.6674179159959</v>
      </c>
      <c r="K221" s="361">
        <f t="shared" si="15"/>
        <v>0.40955085693000781</v>
      </c>
      <c r="L221" s="363">
        <f>'побудинковий звіт'!DE222</f>
        <v>-4.6037684101249852</v>
      </c>
      <c r="M221" s="544">
        <f>'побудинковий звіт'!DA222*-1</f>
        <v>-3058.3927660197096</v>
      </c>
    </row>
    <row r="222" spans="1:13" ht="20.100000000000001" customHeight="1" x14ac:dyDescent="0.3">
      <c r="A222" s="366" t="s">
        <v>670</v>
      </c>
      <c r="B222" s="291" t="s">
        <v>122</v>
      </c>
      <c r="C222" s="367">
        <v>1</v>
      </c>
      <c r="D222" s="357">
        <f>'побудинковий звіт'!CU223</f>
        <v>4721.7650566466409</v>
      </c>
      <c r="E222" s="341">
        <f>'побудинковий звіт'!CV223</f>
        <v>4897.3001162303663</v>
      </c>
      <c r="F222" s="341">
        <f t="shared" si="12"/>
        <v>175.53505958372534</v>
      </c>
      <c r="G222" s="358">
        <f t="shared" si="13"/>
        <v>1.0371757293041575</v>
      </c>
      <c r="H222" s="352">
        <f>('побудинковий звіт'!AS223+'побудинковий звіт'!BQ223)*1.2</f>
        <v>3358.4235030474524</v>
      </c>
      <c r="I222" s="340">
        <f>('побудинковий звіт'!AT223+'побудинковий звіт'!BR223)*1.2</f>
        <v>2482.7999999999997</v>
      </c>
      <c r="J222" s="340">
        <f t="shared" si="14"/>
        <v>-875.62350304745269</v>
      </c>
      <c r="K222" s="361">
        <f t="shared" si="15"/>
        <v>0.73927543615243674</v>
      </c>
      <c r="L222" s="363">
        <f>'побудинковий звіт'!DE223</f>
        <v>2066.2420431408877</v>
      </c>
      <c r="M222" s="544">
        <f>'побудинковий звіт'!DA223*-1</f>
        <v>-5183.5417040550319</v>
      </c>
    </row>
    <row r="223" spans="1:13" ht="20.100000000000001" customHeight="1" x14ac:dyDescent="0.3">
      <c r="A223" s="366" t="s">
        <v>671</v>
      </c>
      <c r="B223" s="291" t="s">
        <v>375</v>
      </c>
      <c r="C223" s="367">
        <v>9</v>
      </c>
      <c r="D223" s="357">
        <f>'побудинковий звіт'!CU224</f>
        <v>290997.41703940084</v>
      </c>
      <c r="E223" s="341">
        <f>'побудинковий звіт'!CV224</f>
        <v>280842.92985204846</v>
      </c>
      <c r="F223" s="341">
        <f t="shared" si="12"/>
        <v>-10154.487187352381</v>
      </c>
      <c r="G223" s="358">
        <f t="shared" si="13"/>
        <v>0.96510454528887635</v>
      </c>
      <c r="H223" s="352">
        <f>('побудинковий звіт'!AS224+'побудинковий звіт'!BQ224)*1.2</f>
        <v>71715.230324639982</v>
      </c>
      <c r="I223" s="340">
        <f>('побудинковий звіт'!AT224+'побудинковий звіт'!BR224)*1.2</f>
        <v>69526.895999999993</v>
      </c>
      <c r="J223" s="340">
        <f t="shared" si="14"/>
        <v>-2188.3343246399891</v>
      </c>
      <c r="K223" s="361">
        <f t="shared" si="15"/>
        <v>0.96948577987222728</v>
      </c>
      <c r="L223" s="363">
        <f>'побудинковий звіт'!DE224</f>
        <v>27742.573852510373</v>
      </c>
      <c r="M223" s="544">
        <f>'побудинковий звіт'!DA224*-1</f>
        <v>-33117.797875685581</v>
      </c>
    </row>
    <row r="224" spans="1:13" ht="20.100000000000001" customHeight="1" x14ac:dyDescent="0.3">
      <c r="A224" s="366" t="s">
        <v>672</v>
      </c>
      <c r="B224" s="291" t="s">
        <v>376</v>
      </c>
      <c r="C224" s="367">
        <v>9</v>
      </c>
      <c r="D224" s="357">
        <f>'побудинковий звіт'!CU225</f>
        <v>1100507.3156197339</v>
      </c>
      <c r="E224" s="341">
        <f>'побудинковий звіт'!CV225</f>
        <v>1206346.9460415004</v>
      </c>
      <c r="F224" s="341">
        <f t="shared" si="12"/>
        <v>105839.63042176655</v>
      </c>
      <c r="G224" s="358">
        <f t="shared" si="13"/>
        <v>1.0961734910068859</v>
      </c>
      <c r="H224" s="352">
        <f>('побудинковий звіт'!AS225+'побудинковий звіт'!BQ225)*1.2</f>
        <v>280012.75764839287</v>
      </c>
      <c r="I224" s="340">
        <f>('побудинковий звіт'!AT225+'побудинковий звіт'!BR225)*1.2</f>
        <v>418389.0284064411</v>
      </c>
      <c r="J224" s="340">
        <f t="shared" si="14"/>
        <v>138376.27075804822</v>
      </c>
      <c r="K224" s="361">
        <f t="shared" si="15"/>
        <v>1.4941784507254663</v>
      </c>
      <c r="L224" s="363">
        <f>'побудинковий звіт'!DE225</f>
        <v>59946.017997569623</v>
      </c>
      <c r="M224" s="546">
        <f>'побудинковий звіт'!DA225*-1</f>
        <v>-182355.43547109907</v>
      </c>
    </row>
    <row r="225" spans="1:13" ht="20.100000000000001" customHeight="1" x14ac:dyDescent="0.3">
      <c r="A225" s="366" t="s">
        <v>673</v>
      </c>
      <c r="B225" s="291" t="s">
        <v>177</v>
      </c>
      <c r="C225" s="367">
        <v>2</v>
      </c>
      <c r="D225" s="357">
        <f>'побудинковий звіт'!CU226</f>
        <v>32489.043115513738</v>
      </c>
      <c r="E225" s="341">
        <f>'побудинковий звіт'!CV226</f>
        <v>31676.624137408318</v>
      </c>
      <c r="F225" s="341">
        <f t="shared" si="12"/>
        <v>-812.41897810541923</v>
      </c>
      <c r="G225" s="358">
        <f t="shared" si="13"/>
        <v>0.97499406260698751</v>
      </c>
      <c r="H225" s="352">
        <f>('побудинковий звіт'!AS226+'побудинковий звіт'!BQ226)*1.2</f>
        <v>10399.789997291251</v>
      </c>
      <c r="I225" s="340">
        <f>('побудинковий звіт'!AT226+'побудинковий звіт'!BR226)*1.2</f>
        <v>10852.8</v>
      </c>
      <c r="J225" s="340">
        <f t="shared" si="14"/>
        <v>453.01000270874829</v>
      </c>
      <c r="K225" s="361">
        <f t="shared" si="15"/>
        <v>1.0435595336854628</v>
      </c>
      <c r="L225" s="363">
        <f>'побудинковий звіт'!DE226</f>
        <v>-445.20183345939108</v>
      </c>
      <c r="M225" s="544">
        <f>'побудинковий звіт'!DA226*-1</f>
        <v>7699.7480244097842</v>
      </c>
    </row>
    <row r="226" spans="1:13" ht="20.100000000000001" customHeight="1" x14ac:dyDescent="0.3">
      <c r="A226" s="366" t="s">
        <v>674</v>
      </c>
      <c r="B226" s="291" t="s">
        <v>337</v>
      </c>
      <c r="C226" s="367">
        <v>8</v>
      </c>
      <c r="D226" s="357">
        <f>'побудинковий звіт'!CU227</f>
        <v>396561.00332325383</v>
      </c>
      <c r="E226" s="341">
        <f>'побудинковий звіт'!CV227</f>
        <v>460854.58686727518</v>
      </c>
      <c r="F226" s="341">
        <f t="shared" si="12"/>
        <v>64293.583544021356</v>
      </c>
      <c r="G226" s="358">
        <f t="shared" si="13"/>
        <v>1.1621278517182208</v>
      </c>
      <c r="H226" s="352">
        <f>('побудинковий звіт'!AS227+'побудинковий звіт'!BQ227)*1.2</f>
        <v>97773.814825058231</v>
      </c>
      <c r="I226" s="340">
        <f>('побудинковий звіт'!AT227+'побудинковий звіт'!BR227)*1.2</f>
        <v>173582.32800000001</v>
      </c>
      <c r="J226" s="340">
        <f t="shared" si="14"/>
        <v>75808.513174941778</v>
      </c>
      <c r="K226" s="361">
        <f t="shared" si="15"/>
        <v>1.775345764206727</v>
      </c>
      <c r="L226" s="363">
        <f>'побудинковий звіт'!DE227</f>
        <v>27363.832192246591</v>
      </c>
      <c r="M226" s="544">
        <f>'побудинковий звіт'!DA227*-1</f>
        <v>-83374.801912510258</v>
      </c>
    </row>
    <row r="227" spans="1:13" ht="20.100000000000001" customHeight="1" x14ac:dyDescent="0.3">
      <c r="A227" s="366" t="s">
        <v>675</v>
      </c>
      <c r="B227" s="291" t="s">
        <v>178</v>
      </c>
      <c r="C227" s="367">
        <v>2</v>
      </c>
      <c r="D227" s="357">
        <f>'побудинковий звіт'!CU228</f>
        <v>28446.284778598019</v>
      </c>
      <c r="E227" s="341">
        <f>'побудинковий звіт'!CV228</f>
        <v>20326.589457681959</v>
      </c>
      <c r="F227" s="341">
        <f t="shared" si="12"/>
        <v>-8119.6953209160602</v>
      </c>
      <c r="G227" s="358">
        <f t="shared" si="13"/>
        <v>0.71456042909951345</v>
      </c>
      <c r="H227" s="352">
        <f>('побудинковий звіт'!AS228+'побудинковий звіт'!BQ228)*1.2</f>
        <v>9079.7693020088991</v>
      </c>
      <c r="I227" s="340">
        <f>('побудинковий звіт'!AT228+'побудинковий звіт'!BR228)*1.2</f>
        <v>0</v>
      </c>
      <c r="J227" s="340">
        <f t="shared" si="14"/>
        <v>-9079.7693020088991</v>
      </c>
      <c r="K227" s="361">
        <f t="shared" si="15"/>
        <v>0</v>
      </c>
      <c r="L227" s="363">
        <f>'побудинковий звіт'!DE228</f>
        <v>1786.8300702529177</v>
      </c>
      <c r="M227" s="544">
        <f>'побудинковий звіт'!DA228*-1</f>
        <v>-8796.1381227018428</v>
      </c>
    </row>
    <row r="228" spans="1:13" ht="20.100000000000001" customHeight="1" x14ac:dyDescent="0.3">
      <c r="A228" s="366" t="s">
        <v>676</v>
      </c>
      <c r="B228" s="291" t="s">
        <v>377</v>
      </c>
      <c r="C228" s="367">
        <v>9</v>
      </c>
      <c r="D228" s="357">
        <f>'побудинковий звіт'!CU229</f>
        <v>592310.42483732651</v>
      </c>
      <c r="E228" s="341">
        <f>'побудинковий звіт'!CV229</f>
        <v>484330.70895633462</v>
      </c>
      <c r="F228" s="341">
        <f t="shared" si="12"/>
        <v>-107979.71588099189</v>
      </c>
      <c r="G228" s="358">
        <f t="shared" si="13"/>
        <v>0.81769742460526895</v>
      </c>
      <c r="H228" s="352">
        <f>('побудинковий звіт'!AS229+'побудинковий звіт'!BQ229)*1.2</f>
        <v>140290.40204896557</v>
      </c>
      <c r="I228" s="340">
        <f>('побудинковий звіт'!AT229+'побудинковий звіт'!BR229)*1.2</f>
        <v>52589.495999999999</v>
      </c>
      <c r="J228" s="340">
        <f t="shared" si="14"/>
        <v>-87700.906048965568</v>
      </c>
      <c r="K228" s="361">
        <f t="shared" si="15"/>
        <v>0.37486168142596588</v>
      </c>
      <c r="L228" s="363">
        <f>'побудинковий звіт'!DE229</f>
        <v>32903.525283182105</v>
      </c>
      <c r="M228" s="544">
        <f>'побудинковий звіт'!DA229*-1</f>
        <v>43072.640164695695</v>
      </c>
    </row>
    <row r="229" spans="1:13" ht="20.100000000000001" customHeight="1" x14ac:dyDescent="0.3">
      <c r="A229" s="366" t="s">
        <v>677</v>
      </c>
      <c r="B229" s="291" t="s">
        <v>338</v>
      </c>
      <c r="C229" s="367">
        <v>8</v>
      </c>
      <c r="D229" s="357">
        <f>'побудинковий звіт'!CU230</f>
        <v>454052.7753456069</v>
      </c>
      <c r="E229" s="341">
        <f>'побудинковий звіт'!CV230</f>
        <v>375116.90361107799</v>
      </c>
      <c r="F229" s="341">
        <f t="shared" si="12"/>
        <v>-78935.871734528919</v>
      </c>
      <c r="G229" s="358">
        <f t="shared" si="13"/>
        <v>0.82615265004283678</v>
      </c>
      <c r="H229" s="352">
        <f>('побудинковий звіт'!AS230+'побудинковий звіт'!BQ230)*1.2</f>
        <v>132442.03799078081</v>
      </c>
      <c r="I229" s="340">
        <f>('побудинковий звіт'!AT230+'побудинковий звіт'!BR230)*1.2</f>
        <v>47869.571999999993</v>
      </c>
      <c r="J229" s="340">
        <f t="shared" si="14"/>
        <v>-84572.465990780824</v>
      </c>
      <c r="K229" s="361">
        <f t="shared" si="15"/>
        <v>0.36143789937249499</v>
      </c>
      <c r="L229" s="363">
        <f>'побудинковий звіт'!DE230</f>
        <v>13280.997046253418</v>
      </c>
      <c r="M229" s="544">
        <f>'побудинковий звіт'!DA230*-1</f>
        <v>13997.8625623306</v>
      </c>
    </row>
    <row r="230" spans="1:13" ht="20.100000000000001" customHeight="1" x14ac:dyDescent="0.3">
      <c r="A230" s="366" t="s">
        <v>678</v>
      </c>
      <c r="B230" s="291" t="s">
        <v>378</v>
      </c>
      <c r="C230" s="367">
        <v>9</v>
      </c>
      <c r="D230" s="357">
        <f>'побудинковий звіт'!CU231</f>
        <v>160506.61718818947</v>
      </c>
      <c r="E230" s="341">
        <f>'побудинковий звіт'!CV231</f>
        <v>141714.4164191703</v>
      </c>
      <c r="F230" s="341">
        <f t="shared" si="12"/>
        <v>-18792.200769019168</v>
      </c>
      <c r="G230" s="358">
        <f t="shared" si="13"/>
        <v>0.88291946401819776</v>
      </c>
      <c r="H230" s="352">
        <f>('побудинковий звіт'!AS231+'побудинковий звіт'!BQ231)*1.2</f>
        <v>39227.863723036397</v>
      </c>
      <c r="I230" s="340">
        <f>('побудинковий звіт'!AT231+'побудинковий звіт'!BR231)*1.2</f>
        <v>24402.048885004613</v>
      </c>
      <c r="J230" s="340">
        <f t="shared" si="14"/>
        <v>-14825.814838031783</v>
      </c>
      <c r="K230" s="361">
        <f t="shared" si="15"/>
        <v>0.62205908171019297</v>
      </c>
      <c r="L230" s="363">
        <f>'побудинковий звіт'!DE231</f>
        <v>3195.719109401256</v>
      </c>
      <c r="M230" s="544">
        <f>'побудинковий звіт'!DA231*-1</f>
        <v>18614.027051710749</v>
      </c>
    </row>
    <row r="231" spans="1:13" ht="20.100000000000001" customHeight="1" x14ac:dyDescent="0.3">
      <c r="A231" s="366" t="s">
        <v>679</v>
      </c>
      <c r="B231" s="291" t="s">
        <v>379</v>
      </c>
      <c r="C231" s="367">
        <v>9</v>
      </c>
      <c r="D231" s="357">
        <f>'побудинковий звіт'!CU232</f>
        <v>316519.17251304473</v>
      </c>
      <c r="E231" s="341">
        <f>'побудинковий звіт'!CV232</f>
        <v>267503.57191910327</v>
      </c>
      <c r="F231" s="341">
        <f t="shared" si="12"/>
        <v>-49015.600593941461</v>
      </c>
      <c r="G231" s="358">
        <f t="shared" si="13"/>
        <v>0.8451417643842053</v>
      </c>
      <c r="H231" s="352">
        <f>('побудинковий звіт'!AS232+'побудинковий звіт'!BQ232)*1.2</f>
        <v>73979.263235674734</v>
      </c>
      <c r="I231" s="340">
        <f>('побудинковий звіт'!AT232+'побудинковий звіт'!BR232)*1.2</f>
        <v>22351.209560855299</v>
      </c>
      <c r="J231" s="340">
        <f t="shared" si="14"/>
        <v>-51628.053674819435</v>
      </c>
      <c r="K231" s="361">
        <f t="shared" si="15"/>
        <v>0.30212803673985444</v>
      </c>
      <c r="L231" s="363">
        <f>'побудинковий звіт'!DE232</f>
        <v>869.68834825916201</v>
      </c>
      <c r="M231" s="546">
        <f>'побудинковий звіт'!DA232*-1</f>
        <v>-37005.314106303864</v>
      </c>
    </row>
    <row r="232" spans="1:13" ht="20.100000000000001" customHeight="1" x14ac:dyDescent="0.3">
      <c r="A232" s="366" t="s">
        <v>680</v>
      </c>
      <c r="B232" s="291" t="s">
        <v>380</v>
      </c>
      <c r="C232" s="367">
        <v>9</v>
      </c>
      <c r="D232" s="357">
        <f>'побудинковий звіт'!CU233</f>
        <v>168551.30361198023</v>
      </c>
      <c r="E232" s="341">
        <f>'побудинковий звіт'!CV233</f>
        <v>154957.18821641069</v>
      </c>
      <c r="F232" s="341">
        <f t="shared" si="12"/>
        <v>-13594.115395569534</v>
      </c>
      <c r="G232" s="358">
        <f t="shared" si="13"/>
        <v>0.9193473138192727</v>
      </c>
      <c r="H232" s="352">
        <f>('побудинковий звіт'!AS233+'побудинковий звіт'!BQ233)*1.2</f>
        <v>40628.752132911228</v>
      </c>
      <c r="I232" s="340">
        <f>('побудинковий звіт'!AT233+'побудинковий звіт'!BR233)*1.2</f>
        <v>25250.262657113773</v>
      </c>
      <c r="J232" s="340">
        <f t="shared" si="14"/>
        <v>-15378.489475797454</v>
      </c>
      <c r="K232" s="361">
        <f t="shared" si="15"/>
        <v>0.62148752623538872</v>
      </c>
      <c r="L232" s="363">
        <f>'побудинковий звіт'!DE233</f>
        <v>6170.9509115440887</v>
      </c>
      <c r="M232" s="544">
        <f>'побудинковий звіт'!DA233*-1</f>
        <v>50333.546237203947</v>
      </c>
    </row>
    <row r="233" spans="1:13" ht="20.100000000000001" customHeight="1" x14ac:dyDescent="0.3">
      <c r="A233" s="366" t="s">
        <v>681</v>
      </c>
      <c r="B233" s="291" t="s">
        <v>179</v>
      </c>
      <c r="C233" s="367">
        <v>2</v>
      </c>
      <c r="D233" s="357">
        <f>'побудинковий звіт'!CU234</f>
        <v>39862.751076623965</v>
      </c>
      <c r="E233" s="341">
        <f>'побудинковий звіт'!CV234</f>
        <v>33467.288825231466</v>
      </c>
      <c r="F233" s="341">
        <f t="shared" si="12"/>
        <v>-6395.4622513924987</v>
      </c>
      <c r="G233" s="358">
        <f t="shared" si="13"/>
        <v>0.83956294840014489</v>
      </c>
      <c r="H233" s="352">
        <f>('побудинковий звіт'!AS234+'побудинковий звіт'!BQ234)*1.2</f>
        <v>11642.273164551159</v>
      </c>
      <c r="I233" s="340">
        <f>('побудинковий звіт'!AT234+'побудинковий звіт'!BR234)*1.2</f>
        <v>3201.6</v>
      </c>
      <c r="J233" s="340">
        <f t="shared" si="14"/>
        <v>-8440.6731645511591</v>
      </c>
      <c r="K233" s="361">
        <f t="shared" si="15"/>
        <v>0.27499784232415664</v>
      </c>
      <c r="L233" s="363">
        <f>'побудинковий звіт'!DE234</f>
        <v>1587.7599367160096</v>
      </c>
      <c r="M233" s="544">
        <f>'побудинковий звіт'!DA234*-1</f>
        <v>19968.581800820539</v>
      </c>
    </row>
    <row r="234" spans="1:13" ht="20.100000000000001" customHeight="1" x14ac:dyDescent="0.3">
      <c r="A234" s="366" t="s">
        <v>682</v>
      </c>
      <c r="B234" s="291" t="s">
        <v>381</v>
      </c>
      <c r="C234" s="367">
        <v>9</v>
      </c>
      <c r="D234" s="357">
        <f>'побудинковий звіт'!CU235</f>
        <v>164482.30832624584</v>
      </c>
      <c r="E234" s="341">
        <f>'побудинковий звіт'!CV235</f>
        <v>141978.4880069106</v>
      </c>
      <c r="F234" s="341">
        <f t="shared" si="12"/>
        <v>-22503.820319335238</v>
      </c>
      <c r="G234" s="358">
        <f t="shared" si="13"/>
        <v>0.86318394635671347</v>
      </c>
      <c r="H234" s="352">
        <f>('побудинковий звіт'!AS235+'побудинковий звіт'!BQ235)*1.2</f>
        <v>39290.546514348411</v>
      </c>
      <c r="I234" s="340">
        <f>('побудинковий звіт'!AT235+'побудинковий звіт'!BR235)*1.2</f>
        <v>11674.94452569102</v>
      </c>
      <c r="J234" s="340">
        <f t="shared" si="14"/>
        <v>-27615.601988657392</v>
      </c>
      <c r="K234" s="361">
        <f t="shared" si="15"/>
        <v>0.29714385676532851</v>
      </c>
      <c r="L234" s="363">
        <f>'побудинковий звіт'!DE235</f>
        <v>39651.937439193003</v>
      </c>
      <c r="M234" s="544">
        <f>'побудинковий звіт'!DA235*-1</f>
        <v>44458.746825569186</v>
      </c>
    </row>
    <row r="235" spans="1:13" ht="20.100000000000001" customHeight="1" x14ac:dyDescent="0.3">
      <c r="A235" s="366" t="s">
        <v>683</v>
      </c>
      <c r="B235" s="291" t="s">
        <v>382</v>
      </c>
      <c r="C235" s="367">
        <v>9</v>
      </c>
      <c r="D235" s="357">
        <f>'побудинковий звіт'!CU236</f>
        <v>313271.55026559182</v>
      </c>
      <c r="E235" s="341">
        <f>'побудинковий звіт'!CV236</f>
        <v>267947.84715568065</v>
      </c>
      <c r="F235" s="341">
        <f t="shared" si="12"/>
        <v>-45323.703109911177</v>
      </c>
      <c r="G235" s="358">
        <f t="shared" si="13"/>
        <v>0.85532135595624403</v>
      </c>
      <c r="H235" s="352">
        <f>('побудинковий звіт'!AS236+'побудинковий звіт'!BQ236)*1.2</f>
        <v>73594.475831778953</v>
      </c>
      <c r="I235" s="340">
        <f>('побудинковий звіт'!AT236+'побудинковий звіт'!BR236)*1.2</f>
        <v>29013.727184255109</v>
      </c>
      <c r="J235" s="340">
        <f t="shared" si="14"/>
        <v>-44580.74864752384</v>
      </c>
      <c r="K235" s="361">
        <f t="shared" si="15"/>
        <v>0.3942378399511155</v>
      </c>
      <c r="L235" s="363">
        <f>'побудинковий звіт'!DE236</f>
        <v>13416.662004155296</v>
      </c>
      <c r="M235" s="547">
        <f>'побудинковий звіт'!DA236*-1</f>
        <v>127645.8554599769</v>
      </c>
    </row>
    <row r="236" spans="1:13" ht="20.100000000000001" customHeight="1" x14ac:dyDescent="0.3">
      <c r="A236" s="366" t="s">
        <v>684</v>
      </c>
      <c r="B236" s="291" t="s">
        <v>383</v>
      </c>
      <c r="C236" s="367">
        <v>9</v>
      </c>
      <c r="D236" s="357">
        <f>'побудинковий звіт'!CU237</f>
        <v>159136.40753835326</v>
      </c>
      <c r="E236" s="341">
        <f>'побудинковий звіт'!CV237</f>
        <v>155735.49472429126</v>
      </c>
      <c r="F236" s="341">
        <f t="shared" si="12"/>
        <v>-3400.9128140620014</v>
      </c>
      <c r="G236" s="358">
        <f t="shared" si="13"/>
        <v>0.97862894565316649</v>
      </c>
      <c r="H236" s="352">
        <f>('побудинковий звіт'!AS237+'побудинковий звіт'!BQ237)*1.2</f>
        <v>35805.915811950596</v>
      </c>
      <c r="I236" s="340">
        <f>('побудинковий звіт'!AT237+'побудинковий звіт'!BR237)*1.2</f>
        <v>33511.959009024766</v>
      </c>
      <c r="J236" s="340">
        <f t="shared" si="14"/>
        <v>-2293.9568029258298</v>
      </c>
      <c r="K236" s="361">
        <f t="shared" si="15"/>
        <v>0.93593358106036217</v>
      </c>
      <c r="L236" s="363">
        <f>'побудинковий звіт'!DE237</f>
        <v>3515.8383851466497</v>
      </c>
      <c r="M236" s="544">
        <f>'побудинковий звіт'!DA237*-1</f>
        <v>-37339.518591801447</v>
      </c>
    </row>
    <row r="237" spans="1:13" ht="20.100000000000001" customHeight="1" x14ac:dyDescent="0.3">
      <c r="A237" s="366" t="s">
        <v>685</v>
      </c>
      <c r="B237" s="291" t="s">
        <v>123</v>
      </c>
      <c r="C237" s="367">
        <v>1</v>
      </c>
      <c r="D237" s="357">
        <f>'побудинковий звіт'!CU238</f>
        <v>2310.3522917334121</v>
      </c>
      <c r="E237" s="341">
        <f>'побудинковий звіт'!CV238</f>
        <v>2789.1821599626478</v>
      </c>
      <c r="F237" s="341">
        <f t="shared" si="12"/>
        <v>478.82986822923567</v>
      </c>
      <c r="G237" s="358">
        <f t="shared" si="13"/>
        <v>1.2072540494982169</v>
      </c>
      <c r="H237" s="352">
        <f>('побудинковий звіт'!AS238+'побудинковий звіт'!BQ238)*1.2</f>
        <v>1546.4413889604104</v>
      </c>
      <c r="I237" s="340">
        <f>('побудинковий звіт'!AT238+'побудинковий звіт'!BR238)*1.2</f>
        <v>1654.8</v>
      </c>
      <c r="J237" s="340">
        <f t="shared" si="14"/>
        <v>108.3586110395895</v>
      </c>
      <c r="K237" s="361">
        <f t="shared" si="15"/>
        <v>1.0700696526962674</v>
      </c>
      <c r="L237" s="363">
        <f>'побудинковий звіт'!DE238</f>
        <v>80.835038197960785</v>
      </c>
      <c r="M237" s="544">
        <f>'побудинковий звіт'!DA238*-1</f>
        <v>-5563.3190328077026</v>
      </c>
    </row>
    <row r="238" spans="1:13" ht="20.100000000000001" customHeight="1" x14ac:dyDescent="0.3">
      <c r="A238" s="366" t="s">
        <v>686</v>
      </c>
      <c r="B238" s="291" t="s">
        <v>124</v>
      </c>
      <c r="C238" s="367">
        <v>1</v>
      </c>
      <c r="D238" s="357">
        <f>'побудинковий звіт'!CU239</f>
        <v>3468.7511645566228</v>
      </c>
      <c r="E238" s="341">
        <f>'побудинковий звіт'!CV239</f>
        <v>3999.6797124842583</v>
      </c>
      <c r="F238" s="341">
        <f t="shared" si="12"/>
        <v>530.92854792763546</v>
      </c>
      <c r="G238" s="358">
        <f t="shared" si="13"/>
        <v>1.1530604308987666</v>
      </c>
      <c r="H238" s="352">
        <f>('побудинковий звіт'!AS239+'побудинковий звіт'!BQ239)*1.2</f>
        <v>2011.2782727828946</v>
      </c>
      <c r="I238" s="340">
        <f>('побудинковий звіт'!AT239+'побудинковий звіт'!BR239)*1.2</f>
        <v>1654.8</v>
      </c>
      <c r="J238" s="340">
        <f t="shared" si="14"/>
        <v>-356.47827278289469</v>
      </c>
      <c r="K238" s="361">
        <f t="shared" si="15"/>
        <v>0.82276034221278815</v>
      </c>
      <c r="L238" s="363">
        <f>'побудинковий звіт'!DE239</f>
        <v>-62.529734141856181</v>
      </c>
      <c r="M238" s="544">
        <f>'побудинковий звіт'!DA239*-1</f>
        <v>-12939.790524720403</v>
      </c>
    </row>
    <row r="239" spans="1:13" ht="20.100000000000001" customHeight="1" x14ac:dyDescent="0.3">
      <c r="A239" s="366" t="s">
        <v>687</v>
      </c>
      <c r="B239" s="291" t="s">
        <v>422</v>
      </c>
      <c r="C239" s="367">
        <v>10</v>
      </c>
      <c r="D239" s="357">
        <f>'побудинковий звіт'!CU240</f>
        <v>506989.29787876009</v>
      </c>
      <c r="E239" s="341">
        <f>'побудинковий звіт'!CV240</f>
        <v>473237.40476765862</v>
      </c>
      <c r="F239" s="341">
        <f t="shared" si="12"/>
        <v>-33751.893111101468</v>
      </c>
      <c r="G239" s="358">
        <f t="shared" si="13"/>
        <v>0.93342681344099532</v>
      </c>
      <c r="H239" s="352">
        <f>('побудинковий звіт'!AS240+'побудинковий звіт'!BQ240)*1.2</f>
        <v>122153.93039550836</v>
      </c>
      <c r="I239" s="340">
        <f>('побудинковий звіт'!AT240+'побудинковий звіт'!BR240)*1.2</f>
        <v>95720.80799999999</v>
      </c>
      <c r="J239" s="340">
        <f t="shared" si="14"/>
        <v>-26433.12239550837</v>
      </c>
      <c r="K239" s="361">
        <f t="shared" si="15"/>
        <v>0.78360808931875081</v>
      </c>
      <c r="L239" s="363">
        <f>'побудинковий звіт'!DE240</f>
        <v>34199.397558648649</v>
      </c>
      <c r="M239" s="544">
        <f>'побудинковий звіт'!DA240*-1</f>
        <v>31907.252234979802</v>
      </c>
    </row>
    <row r="240" spans="1:13" ht="20.100000000000001" customHeight="1" x14ac:dyDescent="0.3">
      <c r="A240" s="366" t="s">
        <v>688</v>
      </c>
      <c r="B240" s="291" t="s">
        <v>125</v>
      </c>
      <c r="C240" s="367">
        <v>1</v>
      </c>
      <c r="D240" s="357">
        <f>'побудинковий звіт'!CU241</f>
        <v>0</v>
      </c>
      <c r="E240" s="341">
        <f>'побудинковий звіт'!CV241</f>
        <v>0</v>
      </c>
      <c r="F240" s="341">
        <f t="shared" si="12"/>
        <v>0</v>
      </c>
      <c r="G240" s="358" t="e">
        <f t="shared" si="13"/>
        <v>#DIV/0!</v>
      </c>
      <c r="H240" s="352">
        <f>('побудинковий звіт'!AS241+'побудинковий звіт'!BQ241)*1.2</f>
        <v>0</v>
      </c>
      <c r="I240" s="340">
        <f>('побудинковий звіт'!AT241+'побудинковий звіт'!BR241)*1.2</f>
        <v>0</v>
      </c>
      <c r="J240" s="340">
        <f t="shared" si="14"/>
        <v>0</v>
      </c>
      <c r="K240" s="361" t="e">
        <f t="shared" si="15"/>
        <v>#DIV/0!</v>
      </c>
      <c r="L240" s="363">
        <f>'побудинковий звіт'!DE241</f>
        <v>1981.290271635944</v>
      </c>
      <c r="M240" s="544">
        <f>'побудинковий звіт'!DA241*-1</f>
        <v>604.6889251533089</v>
      </c>
    </row>
    <row r="241" spans="1:13" ht="20.100000000000001" customHeight="1" x14ac:dyDescent="0.3">
      <c r="A241" s="366" t="s">
        <v>689</v>
      </c>
      <c r="B241" s="291" t="s">
        <v>269</v>
      </c>
      <c r="C241" s="367">
        <v>5</v>
      </c>
      <c r="D241" s="357">
        <f>'побудинковий звіт'!CU242</f>
        <v>199607.948493654</v>
      </c>
      <c r="E241" s="341">
        <f>'побудинковий звіт'!CV242</f>
        <v>155811.79486595446</v>
      </c>
      <c r="F241" s="341">
        <f t="shared" si="12"/>
        <v>-43796.153627699532</v>
      </c>
      <c r="G241" s="358">
        <f t="shared" si="13"/>
        <v>0.78058913005114161</v>
      </c>
      <c r="H241" s="352">
        <f>('побудинковий звіт'!AS242+'побудинковий звіт'!BQ242)*1.2</f>
        <v>63797.759159853376</v>
      </c>
      <c r="I241" s="340">
        <f>('побудинковий звіт'!AT242+'побудинковий звіт'!BR242)*1.2</f>
        <v>18004.98</v>
      </c>
      <c r="J241" s="340">
        <f t="shared" si="14"/>
        <v>-45792.77915985338</v>
      </c>
      <c r="K241" s="361">
        <f t="shared" si="15"/>
        <v>0.28221963023632601</v>
      </c>
      <c r="L241" s="363">
        <f>'побудинковий звіт'!DE242</f>
        <v>23824.195303002325</v>
      </c>
      <c r="M241" s="544">
        <f>'побудинковий звіт'!DA242*-1</f>
        <v>22770.015108142099</v>
      </c>
    </row>
    <row r="242" spans="1:13" ht="20.100000000000001" customHeight="1" x14ac:dyDescent="0.3">
      <c r="A242" s="366" t="s">
        <v>690</v>
      </c>
      <c r="B242" s="291" t="s">
        <v>384</v>
      </c>
      <c r="C242" s="367">
        <v>9</v>
      </c>
      <c r="D242" s="357">
        <f>'побудинковий звіт'!CU243</f>
        <v>519818.74530810985</v>
      </c>
      <c r="E242" s="341">
        <f>'побудинковий звіт'!CV243</f>
        <v>619375.58855645428</v>
      </c>
      <c r="F242" s="341">
        <f t="shared" si="12"/>
        <v>99556.843248344434</v>
      </c>
      <c r="G242" s="358">
        <f t="shared" si="13"/>
        <v>1.1915222260584977</v>
      </c>
      <c r="H242" s="352">
        <f>('побудинковий звіт'!AS243+'побудинковий звіт'!BQ243)*1.2</f>
        <v>121865.86647366808</v>
      </c>
      <c r="I242" s="340">
        <f>('побудинковий звіт'!AT243+'побудинковий звіт'!BR243)*1.2</f>
        <v>229971.04960653241</v>
      </c>
      <c r="J242" s="340">
        <f t="shared" si="14"/>
        <v>108105.18313286433</v>
      </c>
      <c r="K242" s="361">
        <f t="shared" si="15"/>
        <v>1.8870833668279292</v>
      </c>
      <c r="L242" s="363">
        <f>'побудинковий звіт'!DE243</f>
        <v>17459.062731328595</v>
      </c>
      <c r="M242" s="544">
        <f>'побудинковий звіт'!DA243*-1</f>
        <v>-30027.470699141049</v>
      </c>
    </row>
    <row r="243" spans="1:13" ht="20.100000000000001" customHeight="1" x14ac:dyDescent="0.3">
      <c r="A243" s="366" t="s">
        <v>691</v>
      </c>
      <c r="B243" s="291" t="s">
        <v>385</v>
      </c>
      <c r="C243" s="367">
        <v>9</v>
      </c>
      <c r="D243" s="357">
        <f>'побудинковий звіт'!CU244</f>
        <v>754028.68162133871</v>
      </c>
      <c r="E243" s="341">
        <f>'побудинковий звіт'!CV244</f>
        <v>781050.98065548379</v>
      </c>
      <c r="F243" s="341">
        <f t="shared" si="12"/>
        <v>27022.299034145079</v>
      </c>
      <c r="G243" s="358">
        <f t="shared" si="13"/>
        <v>1.0358372296608676</v>
      </c>
      <c r="H243" s="352">
        <f>('побудинковий звіт'!AS244+'побудинковий звіт'!BQ244)*1.2</f>
        <v>188823.38895629346</v>
      </c>
      <c r="I243" s="340">
        <f>('побудинковий звіт'!AT244+'побудинковий звіт'!BR244)*1.2</f>
        <v>232514.85030371472</v>
      </c>
      <c r="J243" s="340">
        <f t="shared" si="14"/>
        <v>43691.461347421253</v>
      </c>
      <c r="K243" s="361">
        <f t="shared" si="15"/>
        <v>1.2313879736452269</v>
      </c>
      <c r="L243" s="363">
        <f>'побудинковий звіт'!DE244</f>
        <v>94760.509007104134</v>
      </c>
      <c r="M243" s="547">
        <f>'побудинковий звіт'!DA244*-1</f>
        <v>50877.43340176496</v>
      </c>
    </row>
    <row r="244" spans="1:13" ht="20.100000000000001" customHeight="1" x14ac:dyDescent="0.3">
      <c r="A244" s="366" t="s">
        <v>692</v>
      </c>
      <c r="B244" s="291" t="s">
        <v>270</v>
      </c>
      <c r="C244" s="367">
        <v>5</v>
      </c>
      <c r="D244" s="357">
        <f>'побудинковий звіт'!CU245</f>
        <v>160973.65609605087</v>
      </c>
      <c r="E244" s="341">
        <f>'побудинковий звіт'!CV245</f>
        <v>139144.3986795583</v>
      </c>
      <c r="F244" s="341">
        <f t="shared" si="12"/>
        <v>-21829.257416492561</v>
      </c>
      <c r="G244" s="358">
        <f t="shared" si="13"/>
        <v>0.86439236117326346</v>
      </c>
      <c r="H244" s="352">
        <f>('побудинковий звіт'!AS245+'побудинковий звіт'!BQ245)*1.2</f>
        <v>45711.654020068927</v>
      </c>
      <c r="I244" s="340">
        <f>('побудинковий звіт'!AT245+'побудинковий звіт'!BR245)*1.2</f>
        <v>24445.200000000001</v>
      </c>
      <c r="J244" s="340">
        <f t="shared" si="14"/>
        <v>-21266.454020068926</v>
      </c>
      <c r="K244" s="361">
        <f t="shared" si="15"/>
        <v>0.53476953577894493</v>
      </c>
      <c r="L244" s="363">
        <f>'побудинковий звіт'!DE245</f>
        <v>6088.3885708806793</v>
      </c>
      <c r="M244" s="546">
        <f>'побудинковий звіт'!DA245*-1</f>
        <v>-34091.685652436179</v>
      </c>
    </row>
    <row r="245" spans="1:13" ht="20.100000000000001" customHeight="1" x14ac:dyDescent="0.3">
      <c r="A245" s="366" t="s">
        <v>693</v>
      </c>
      <c r="B245" s="291" t="s">
        <v>271</v>
      </c>
      <c r="C245" s="367">
        <v>5</v>
      </c>
      <c r="D245" s="357">
        <f>'побудинковий звіт'!CU246</f>
        <v>181045.91899975127</v>
      </c>
      <c r="E245" s="341">
        <f>'побудинковий звіт'!CV246</f>
        <v>195767.77667796009</v>
      </c>
      <c r="F245" s="341">
        <f t="shared" si="12"/>
        <v>14721.85767820882</v>
      </c>
      <c r="G245" s="358">
        <f t="shared" si="13"/>
        <v>1.0813156008130127</v>
      </c>
      <c r="H245" s="352">
        <f>('побудинковий звіт'!AS246+'побудинковий звіт'!BQ246)*1.2</f>
        <v>72473.411457635302</v>
      </c>
      <c r="I245" s="340">
        <f>('побудинковий звіт'!AT246+'побудинковий звіт'!BR246)*1.2</f>
        <v>89185.8</v>
      </c>
      <c r="J245" s="340">
        <f t="shared" si="14"/>
        <v>16712.388542364701</v>
      </c>
      <c r="K245" s="361">
        <f t="shared" si="15"/>
        <v>1.2306002740347612</v>
      </c>
      <c r="L245" s="363">
        <f>'побудинковий звіт'!DE246</f>
        <v>10348.228503512713</v>
      </c>
      <c r="M245" s="546">
        <f>'побудинковий звіт'!DA246*-1</f>
        <v>-58592.819419791369</v>
      </c>
    </row>
    <row r="246" spans="1:13" ht="20.100000000000001" customHeight="1" x14ac:dyDescent="0.3">
      <c r="A246" s="366" t="s">
        <v>694</v>
      </c>
      <c r="B246" s="291" t="s">
        <v>272</v>
      </c>
      <c r="C246" s="367">
        <v>5</v>
      </c>
      <c r="D246" s="357">
        <f>'побудинковий звіт'!CU247</f>
        <v>191286.52575003434</v>
      </c>
      <c r="E246" s="341">
        <f>'побудинковий звіт'!CV247</f>
        <v>188344.28722522213</v>
      </c>
      <c r="F246" s="341">
        <f t="shared" si="12"/>
        <v>-2942.2385248122155</v>
      </c>
      <c r="G246" s="358">
        <f t="shared" si="13"/>
        <v>0.98461868386560059</v>
      </c>
      <c r="H246" s="352">
        <f>('побудинковий звіт'!AS247+'побудинковий звіт'!BQ247)*1.2</f>
        <v>73666.072106455962</v>
      </c>
      <c r="I246" s="340">
        <f>('побудинковий звіт'!AT247+'побудинковий звіт'!BR247)*1.2</f>
        <v>78796.428</v>
      </c>
      <c r="J246" s="340">
        <f t="shared" si="14"/>
        <v>5130.3558935440378</v>
      </c>
      <c r="K246" s="361">
        <f t="shared" si="15"/>
        <v>1.0696434022724883</v>
      </c>
      <c r="L246" s="363">
        <f>'побудинковий звіт'!DE247</f>
        <v>11268.772564605046</v>
      </c>
      <c r="M246" s="544">
        <f>'побудинковий звіт'!DA247*-1</f>
        <v>12400.252475782192</v>
      </c>
    </row>
    <row r="247" spans="1:13" ht="20.100000000000001" customHeight="1" x14ac:dyDescent="0.3">
      <c r="A247" s="366" t="s">
        <v>695</v>
      </c>
      <c r="B247" s="291" t="s">
        <v>273</v>
      </c>
      <c r="C247" s="367">
        <v>5</v>
      </c>
      <c r="D247" s="357">
        <f>'побудинковий звіт'!CU248</f>
        <v>131247.10676973953</v>
      </c>
      <c r="E247" s="341">
        <f>'побудинковий звіт'!CV248</f>
        <v>177851.81532224233</v>
      </c>
      <c r="F247" s="341">
        <f t="shared" si="12"/>
        <v>46604.708552502794</v>
      </c>
      <c r="G247" s="358">
        <f t="shared" si="13"/>
        <v>1.3550913212453992</v>
      </c>
      <c r="H247" s="352">
        <f>('побудинковий звіт'!AS248+'побудинковий звіт'!BQ248)*1.2</f>
        <v>38255.442596981222</v>
      </c>
      <c r="I247" s="340">
        <f>('побудинковий звіт'!AT248+'побудинковий звіт'!BR248)*1.2</f>
        <v>86757.599999999991</v>
      </c>
      <c r="J247" s="340">
        <f t="shared" si="14"/>
        <v>48502.157403018769</v>
      </c>
      <c r="K247" s="361">
        <f t="shared" si="15"/>
        <v>2.2678498563978482</v>
      </c>
      <c r="L247" s="363">
        <f>'побудинковий звіт'!DE248</f>
        <v>20396.770628867609</v>
      </c>
      <c r="M247" s="544">
        <f>'побудинковий звіт'!DA248*-1</f>
        <v>-43343.301752452229</v>
      </c>
    </row>
    <row r="248" spans="1:13" ht="20.100000000000001" customHeight="1" x14ac:dyDescent="0.3">
      <c r="A248" s="366" t="s">
        <v>696</v>
      </c>
      <c r="B248" s="291" t="s">
        <v>217</v>
      </c>
      <c r="C248" s="367">
        <v>4</v>
      </c>
      <c r="D248" s="357">
        <f>'побудинковий звіт'!CU249</f>
        <v>141006.67730174607</v>
      </c>
      <c r="E248" s="341">
        <f>'побудинковий звіт'!CV249</f>
        <v>109719.35473671026</v>
      </c>
      <c r="F248" s="341">
        <f t="shared" si="12"/>
        <v>-31287.322565035807</v>
      </c>
      <c r="G248" s="358">
        <f t="shared" si="13"/>
        <v>0.77811460305469959</v>
      </c>
      <c r="H248" s="352">
        <f>('побудинковий звіт'!AS249+'побудинковий звіт'!BQ249)*1.2</f>
        <v>50179.905679776784</v>
      </c>
      <c r="I248" s="340">
        <f>('побудинковий звіт'!AT249+'побудинковий звіт'!BR249)*1.2</f>
        <v>19717.2</v>
      </c>
      <c r="J248" s="340">
        <f t="shared" si="14"/>
        <v>-30462.705679776784</v>
      </c>
      <c r="K248" s="361">
        <f t="shared" si="15"/>
        <v>0.39293019253215361</v>
      </c>
      <c r="L248" s="363">
        <f>'побудинковий звіт'!DE249</f>
        <v>1494.3675155763667</v>
      </c>
      <c r="M248" s="546">
        <f>'побудинковий звіт'!DA249*-1</f>
        <v>-67624.449338877632</v>
      </c>
    </row>
    <row r="249" spans="1:13" ht="20.100000000000001" customHeight="1" x14ac:dyDescent="0.3">
      <c r="A249" s="366" t="s">
        <v>697</v>
      </c>
      <c r="B249" s="291" t="s">
        <v>180</v>
      </c>
      <c r="C249" s="367">
        <v>2</v>
      </c>
      <c r="D249" s="357">
        <f>'побудинковий звіт'!CU250</f>
        <v>36436.262579389469</v>
      </c>
      <c r="E249" s="341">
        <f>'побудинковий звіт'!CV250</f>
        <v>19660.311817095593</v>
      </c>
      <c r="F249" s="341">
        <f t="shared" si="12"/>
        <v>-16775.950762293876</v>
      </c>
      <c r="G249" s="358">
        <f t="shared" si="13"/>
        <v>0.53958091267617114</v>
      </c>
      <c r="H249" s="352">
        <f>('побудинковий звіт'!AS250+'побудинковий звіт'!BQ250)*1.2</f>
        <v>11062.916623052146</v>
      </c>
      <c r="I249" s="340">
        <f>('побудинковий звіт'!AT250+'побудинковий звіт'!BR250)*1.2</f>
        <v>278.39999999999998</v>
      </c>
      <c r="J249" s="340">
        <f t="shared" si="14"/>
        <v>-10784.516623052146</v>
      </c>
      <c r="K249" s="361">
        <f t="shared" si="15"/>
        <v>2.516515395405667E-2</v>
      </c>
      <c r="L249" s="363">
        <f>'побудинковий звіт'!DE250</f>
        <v>6016.3868642753441</v>
      </c>
      <c r="M249" s="544">
        <f>'побудинковий звіт'!DA250*-1</f>
        <v>-10940.592099295071</v>
      </c>
    </row>
    <row r="250" spans="1:13" ht="20.100000000000001" customHeight="1" x14ac:dyDescent="0.3">
      <c r="A250" s="366" t="s">
        <v>698</v>
      </c>
      <c r="B250" s="291" t="s">
        <v>126</v>
      </c>
      <c r="C250" s="367">
        <v>1</v>
      </c>
      <c r="D250" s="357">
        <f>'побудинковий звіт'!CU251</f>
        <v>1530.9141011565014</v>
      </c>
      <c r="E250" s="341">
        <f>'побудинковий звіт'!CV251</f>
        <v>615.08726188097944</v>
      </c>
      <c r="F250" s="341">
        <f t="shared" si="12"/>
        <v>-915.82683927552193</v>
      </c>
      <c r="G250" s="358">
        <f t="shared" si="13"/>
        <v>0.40177777539335674</v>
      </c>
      <c r="H250" s="352">
        <f>('побудинковий звіт'!AS251+'побудинковий звіт'!BQ251)*1.2</f>
        <v>1089.9784811035072</v>
      </c>
      <c r="I250" s="340">
        <f>('побудинковий звіт'!AT251+'побудинковий звіт'!BR251)*1.2</f>
        <v>0</v>
      </c>
      <c r="J250" s="340">
        <f t="shared" si="14"/>
        <v>-1089.9784811035072</v>
      </c>
      <c r="K250" s="361">
        <f t="shared" si="15"/>
        <v>0</v>
      </c>
      <c r="L250" s="363">
        <f>'побудинковий звіт'!DE251</f>
        <v>-84.939492772547851</v>
      </c>
      <c r="M250" s="544">
        <f>'побудинковий звіт'!DA251*-1</f>
        <v>2901.5646149832055</v>
      </c>
    </row>
    <row r="251" spans="1:13" ht="20.100000000000001" customHeight="1" x14ac:dyDescent="0.3">
      <c r="A251" s="366" t="s">
        <v>699</v>
      </c>
      <c r="B251" s="291" t="s">
        <v>181</v>
      </c>
      <c r="C251" s="367">
        <v>2</v>
      </c>
      <c r="D251" s="357">
        <f>'побудинковий звіт'!CU252</f>
        <v>15683.017088557157</v>
      </c>
      <c r="E251" s="341">
        <f>'побудинковий звіт'!CV252</f>
        <v>22634.421921225494</v>
      </c>
      <c r="F251" s="341">
        <f t="shared" si="12"/>
        <v>6951.4048326683369</v>
      </c>
      <c r="G251" s="358">
        <f t="shared" si="13"/>
        <v>1.443244102420848</v>
      </c>
      <c r="H251" s="352">
        <f>('побудинковий звіт'!AS252+'побудинковий звіт'!BQ252)*1.2</f>
        <v>4831.4504749750495</v>
      </c>
      <c r="I251" s="340">
        <f>('побудинковий звіт'!AT252+'побудинковий звіт'!BR252)*1.2</f>
        <v>10819.571999999998</v>
      </c>
      <c r="J251" s="340">
        <f t="shared" si="14"/>
        <v>5988.1215250249488</v>
      </c>
      <c r="K251" s="361">
        <f t="shared" si="15"/>
        <v>2.2394045134149643</v>
      </c>
      <c r="L251" s="363">
        <f>'побудинковий звіт'!DE252</f>
        <v>724.85246936762542</v>
      </c>
      <c r="M251" s="544">
        <f>'побудинковий звіт'!DA252*-1</f>
        <v>-11854.421974460907</v>
      </c>
    </row>
    <row r="252" spans="1:13" ht="20.100000000000001" customHeight="1" x14ac:dyDescent="0.3">
      <c r="A252" s="366" t="s">
        <v>700</v>
      </c>
      <c r="B252" s="291" t="s">
        <v>197</v>
      </c>
      <c r="C252" s="367">
        <v>3</v>
      </c>
      <c r="D252" s="357">
        <f>'побудинковий звіт'!CU253</f>
        <v>35979.079169667879</v>
      </c>
      <c r="E252" s="341">
        <f>'побудинковий звіт'!CV253</f>
        <v>32776.833488306118</v>
      </c>
      <c r="F252" s="341">
        <f t="shared" si="12"/>
        <v>-3202.2456813617609</v>
      </c>
      <c r="G252" s="358">
        <f t="shared" si="13"/>
        <v>0.91099700839310505</v>
      </c>
      <c r="H252" s="352">
        <f>('побудинковий звіт'!AS253+'побудинковий звіт'!BQ253)*1.2</f>
        <v>10010.45883806482</v>
      </c>
      <c r="I252" s="340">
        <f>('побудинковий звіт'!AT253+'побудинковий звіт'!BR253)*1.2</f>
        <v>7311.5999999999995</v>
      </c>
      <c r="J252" s="340">
        <f t="shared" si="14"/>
        <v>-2698.8588380648207</v>
      </c>
      <c r="K252" s="361">
        <f t="shared" si="15"/>
        <v>0.73039609055656907</v>
      </c>
      <c r="L252" s="363">
        <f>'побудинковий звіт'!DE253</f>
        <v>1456.9359387680552</v>
      </c>
      <c r="M252" s="544">
        <f>'побудинковий звіт'!DA253*-1</f>
        <v>3926.6661264579661</v>
      </c>
    </row>
    <row r="253" spans="1:13" ht="20.100000000000001" customHeight="1" x14ac:dyDescent="0.3">
      <c r="A253" s="366" t="s">
        <v>701</v>
      </c>
      <c r="B253" s="291" t="s">
        <v>182</v>
      </c>
      <c r="C253" s="367">
        <v>2</v>
      </c>
      <c r="D253" s="357">
        <f>'побудинковий звіт'!CU254</f>
        <v>29580.03737869631</v>
      </c>
      <c r="E253" s="341">
        <f>'побудинковий звіт'!CV254</f>
        <v>115233.81426237531</v>
      </c>
      <c r="F253" s="341">
        <f t="shared" si="12"/>
        <v>85653.776883679006</v>
      </c>
      <c r="G253" s="358">
        <f t="shared" si="13"/>
        <v>3.8956615499535263</v>
      </c>
      <c r="H253" s="352">
        <f>('побудинковий звіт'!AS254+'побудинковий звіт'!BQ254)*1.2</f>
        <v>7261.0368455295929</v>
      </c>
      <c r="I253" s="340">
        <f>('побудинковий звіт'!AT254+'побудинковий звіт'!BR254)*1.2</f>
        <v>92192.4</v>
      </c>
      <c r="J253" s="340">
        <f t="shared" si="14"/>
        <v>84931.363154470397</v>
      </c>
      <c r="K253" s="361">
        <f t="shared" si="15"/>
        <v>12.696864368173555</v>
      </c>
      <c r="L253" s="363">
        <f>'побудинковий звіт'!DE254</f>
        <v>5621.8845156394746</v>
      </c>
      <c r="M253" s="544">
        <f>'побудинковий звіт'!DA254*-1</f>
        <v>-84355.035260712204</v>
      </c>
    </row>
    <row r="254" spans="1:13" ht="20.100000000000001" customHeight="1" x14ac:dyDescent="0.3">
      <c r="A254" s="366" t="s">
        <v>702</v>
      </c>
      <c r="B254" s="291" t="s">
        <v>218</v>
      </c>
      <c r="C254" s="367">
        <v>4</v>
      </c>
      <c r="D254" s="357">
        <f>'побудинковий звіт'!CU255</f>
        <v>77816.541856571144</v>
      </c>
      <c r="E254" s="341">
        <f>'побудинковий звіт'!CV255</f>
        <v>82932.11935457612</v>
      </c>
      <c r="F254" s="341">
        <f t="shared" si="12"/>
        <v>5115.5774980049755</v>
      </c>
      <c r="G254" s="358">
        <f t="shared" si="13"/>
        <v>1.0657389467066505</v>
      </c>
      <c r="H254" s="352">
        <f>('побудинковий звіт'!AS255+'побудинковий звіт'!BQ255)*1.2</f>
        <v>17729.16511590347</v>
      </c>
      <c r="I254" s="340">
        <f>('побудинковий звіт'!AT255+'побудинковий звіт'!BR255)*1.2</f>
        <v>24468.827999999998</v>
      </c>
      <c r="J254" s="340">
        <f t="shared" si="14"/>
        <v>6739.6628840965277</v>
      </c>
      <c r="K254" s="361">
        <f t="shared" si="15"/>
        <v>1.3801455308265416</v>
      </c>
      <c r="L254" s="363">
        <f>'побудинковий звіт'!DE255</f>
        <v>400.39966106641441</v>
      </c>
      <c r="M254" s="546">
        <f>'побудинковий звіт'!DA255*-1</f>
        <v>-52921.116958247716</v>
      </c>
    </row>
    <row r="255" spans="1:13" ht="20.100000000000001" customHeight="1" x14ac:dyDescent="0.3">
      <c r="A255" s="366" t="s">
        <v>1064</v>
      </c>
      <c r="B255" s="292" t="s">
        <v>429</v>
      </c>
      <c r="C255" s="368">
        <v>5</v>
      </c>
      <c r="D255" s="357">
        <f>'побудинковий звіт'!CU256</f>
        <v>174441.65895567552</v>
      </c>
      <c r="E255" s="341">
        <f>'побудинковий звіт'!CV256</f>
        <v>191728.76450630274</v>
      </c>
      <c r="F255" s="341">
        <f t="shared" si="12"/>
        <v>17287.105550627224</v>
      </c>
      <c r="G255" s="358">
        <f t="shared" si="13"/>
        <v>1.0990996396968442</v>
      </c>
      <c r="H255" s="352">
        <f>('побудинковий звіт'!AS256+'побудинковий звіт'!BQ256)*1.2</f>
        <v>56357.200339424278</v>
      </c>
      <c r="I255" s="340">
        <f>('побудинковий звіт'!AT256+'побудинковий звіт'!BR256)*1.2</f>
        <v>69335.579095189634</v>
      </c>
      <c r="J255" s="340">
        <f t="shared" si="14"/>
        <v>12978.378755765356</v>
      </c>
      <c r="K255" s="361">
        <f t="shared" si="15"/>
        <v>1.2302878545704909</v>
      </c>
      <c r="L255" s="363">
        <f>'побудинковий звіт'!DE256</f>
        <v>17834.422500000001</v>
      </c>
      <c r="M255" s="544">
        <f>'побудинковий звіт'!DA256*-1</f>
        <v>-44505.08529576342</v>
      </c>
    </row>
    <row r="256" spans="1:13" ht="20.100000000000001" customHeight="1" x14ac:dyDescent="0.3">
      <c r="A256" s="366" t="s">
        <v>703</v>
      </c>
      <c r="B256" s="291" t="s">
        <v>183</v>
      </c>
      <c r="C256" s="367">
        <v>2</v>
      </c>
      <c r="D256" s="357">
        <f>'побудинковий звіт'!CU257</f>
        <v>41493.351866597623</v>
      </c>
      <c r="E256" s="341">
        <f>'побудинковий звіт'!CV257</f>
        <v>59694.179766204776</v>
      </c>
      <c r="F256" s="341">
        <f t="shared" si="12"/>
        <v>18200.827899607153</v>
      </c>
      <c r="G256" s="358">
        <f t="shared" si="13"/>
        <v>1.4386444353332399</v>
      </c>
      <c r="H256" s="352">
        <f>('побудинковий звіт'!AS257+'побудинковий звіт'!BQ257)*1.2</f>
        <v>12362.632071026792</v>
      </c>
      <c r="I256" s="340">
        <f>('побудинковий звіт'!AT257+'побудинковий звіт'!BR257)*1.2</f>
        <v>29353.596000000001</v>
      </c>
      <c r="J256" s="340">
        <f t="shared" si="14"/>
        <v>16990.963928973208</v>
      </c>
      <c r="K256" s="361">
        <f t="shared" si="15"/>
        <v>2.3743807816454741</v>
      </c>
      <c r="L256" s="363">
        <f>'побудинковий звіт'!DE257</f>
        <v>15256.505828016238</v>
      </c>
      <c r="M256" s="544">
        <f>'побудинковий звіт'!DA257*-1</f>
        <v>-11229.354239847755</v>
      </c>
    </row>
    <row r="257" spans="1:13" ht="20.100000000000001" customHeight="1" x14ac:dyDescent="0.3">
      <c r="A257" s="366" t="s">
        <v>704</v>
      </c>
      <c r="B257" s="291" t="s">
        <v>127</v>
      </c>
      <c r="C257" s="367">
        <v>1</v>
      </c>
      <c r="D257" s="357">
        <f>'побудинковий звіт'!CU258</f>
        <v>0</v>
      </c>
      <c r="E257" s="341">
        <f>'побудинковий звіт'!CV258</f>
        <v>0</v>
      </c>
      <c r="F257" s="341">
        <f t="shared" si="12"/>
        <v>0</v>
      </c>
      <c r="G257" s="358" t="e">
        <f t="shared" si="13"/>
        <v>#DIV/0!</v>
      </c>
      <c r="H257" s="352">
        <f>('побудинковий звіт'!AS258+'побудинковий звіт'!BQ258)*1.2</f>
        <v>0</v>
      </c>
      <c r="I257" s="340">
        <f>('побудинковий звіт'!AT258+'побудинковий звіт'!BR258)*1.2</f>
        <v>0</v>
      </c>
      <c r="J257" s="340">
        <f t="shared" si="14"/>
        <v>0</v>
      </c>
      <c r="K257" s="361" t="e">
        <f t="shared" si="15"/>
        <v>#DIV/0!</v>
      </c>
      <c r="L257" s="363">
        <f>'побудинковий звіт'!DE258</f>
        <v>1361.1221517196993</v>
      </c>
      <c r="M257" s="544">
        <f>'побудинковий звіт'!DA258*-1</f>
        <v>8247.3730706945043</v>
      </c>
    </row>
    <row r="258" spans="1:13" ht="20.100000000000001" customHeight="1" x14ac:dyDescent="0.3">
      <c r="A258" s="366" t="s">
        <v>705</v>
      </c>
      <c r="B258" s="291" t="s">
        <v>386</v>
      </c>
      <c r="C258" s="367">
        <v>9</v>
      </c>
      <c r="D258" s="357">
        <f>'побудинковий звіт'!CU259</f>
        <v>316811.88491954713</v>
      </c>
      <c r="E258" s="341">
        <f>'побудинковий звіт'!CV259</f>
        <v>363272.71053923015</v>
      </c>
      <c r="F258" s="341">
        <f t="shared" si="12"/>
        <v>46460.825619683019</v>
      </c>
      <c r="G258" s="358">
        <f t="shared" si="13"/>
        <v>1.1466511448315189</v>
      </c>
      <c r="H258" s="352">
        <f>('побудинковий звіт'!AS259+'побудинковий звіт'!BQ259)*1.2</f>
        <v>77541.394299618711</v>
      </c>
      <c r="I258" s="340">
        <f>('побудинковий звіт'!AT259+'побудинковий звіт'!BR259)*1.2</f>
        <v>95521.703999999998</v>
      </c>
      <c r="J258" s="340">
        <f t="shared" si="14"/>
        <v>17980.309700381287</v>
      </c>
      <c r="K258" s="361">
        <f t="shared" si="15"/>
        <v>1.2318801443124128</v>
      </c>
      <c r="L258" s="363">
        <f>'побудинковий звіт'!DE259</f>
        <v>60397.095200378026</v>
      </c>
      <c r="M258" s="546">
        <f>'побудинковий звіт'!DA259*-1</f>
        <v>-60430.569836561612</v>
      </c>
    </row>
    <row r="259" spans="1:13" ht="20.100000000000001" customHeight="1" x14ac:dyDescent="0.3">
      <c r="A259" s="366" t="s">
        <v>706</v>
      </c>
      <c r="B259" s="291" t="s">
        <v>128</v>
      </c>
      <c r="C259" s="367">
        <v>1</v>
      </c>
      <c r="D259" s="357">
        <f>'побудинковий звіт'!CU260</f>
        <v>4740.8813000672299</v>
      </c>
      <c r="E259" s="341">
        <f>'побудинковий звіт'!CV260</f>
        <v>2398.0844428674577</v>
      </c>
      <c r="F259" s="341">
        <f t="shared" si="12"/>
        <v>-2342.7968571997721</v>
      </c>
      <c r="G259" s="358">
        <f t="shared" si="13"/>
        <v>0.5058309396680003</v>
      </c>
      <c r="H259" s="352">
        <f>('побудинковий звіт'!AS260+'побудинковий звіт'!BQ260)*1.2</f>
        <v>3257.3635197355275</v>
      </c>
      <c r="I259" s="340">
        <f>('побудинковий звіт'!AT260+'побудинковий звіт'!BR260)*1.2</f>
        <v>0</v>
      </c>
      <c r="J259" s="340">
        <f t="shared" si="14"/>
        <v>-3257.3635197355275</v>
      </c>
      <c r="K259" s="361">
        <f t="shared" si="15"/>
        <v>0</v>
      </c>
      <c r="L259" s="363">
        <f>'побудинковий звіт'!DE260</f>
        <v>-1.027343391086788E-2</v>
      </c>
      <c r="M259" s="544">
        <f>'побудинковий звіт'!DA260*-1</f>
        <v>10561.347014126524</v>
      </c>
    </row>
    <row r="260" spans="1:13" ht="20.100000000000001" customHeight="1" x14ac:dyDescent="0.3">
      <c r="A260" s="366" t="s">
        <v>707</v>
      </c>
      <c r="B260" s="291" t="s">
        <v>184</v>
      </c>
      <c r="C260" s="367">
        <v>2</v>
      </c>
      <c r="D260" s="357">
        <f>'побудинковий звіт'!CU261</f>
        <v>26570.881682813677</v>
      </c>
      <c r="E260" s="341">
        <f>'побудинковий звіт'!CV261</f>
        <v>20937.161264596933</v>
      </c>
      <c r="F260" s="341">
        <f t="shared" si="12"/>
        <v>-5633.7204182167443</v>
      </c>
      <c r="G260" s="358">
        <f t="shared" si="13"/>
        <v>0.78797389994549205</v>
      </c>
      <c r="H260" s="352">
        <f>('побудинковий звіт'!AS261+'побудинковий звіт'!BQ261)*1.2</f>
        <v>7282.3906895559967</v>
      </c>
      <c r="I260" s="340">
        <f>('побудинковий звіт'!AT261+'побудинковий звіт'!BR261)*1.2</f>
        <v>541.19999999999993</v>
      </c>
      <c r="J260" s="340">
        <f t="shared" si="14"/>
        <v>-6741.1906895559969</v>
      </c>
      <c r="K260" s="361">
        <f t="shared" si="15"/>
        <v>7.4316254520120584E-2</v>
      </c>
      <c r="L260" s="363">
        <f>'побудинковий звіт'!DE261</f>
        <v>785.13050444178634</v>
      </c>
      <c r="M260" s="544">
        <f>'побудинковий звіт'!DA261*-1</f>
        <v>-4893.2920946136346</v>
      </c>
    </row>
    <row r="261" spans="1:13" ht="20.100000000000001" customHeight="1" x14ac:dyDescent="0.3">
      <c r="A261" s="366" t="s">
        <v>708</v>
      </c>
      <c r="B261" s="291" t="s">
        <v>129</v>
      </c>
      <c r="C261" s="367">
        <v>1</v>
      </c>
      <c r="D261" s="357">
        <f>'побудинковий звіт'!CU262</f>
        <v>0</v>
      </c>
      <c r="E261" s="341">
        <f>'побудинковий звіт'!CV262</f>
        <v>0</v>
      </c>
      <c r="F261" s="341">
        <f t="shared" si="12"/>
        <v>0</v>
      </c>
      <c r="G261" s="358" t="e">
        <f t="shared" si="13"/>
        <v>#DIV/0!</v>
      </c>
      <c r="H261" s="352">
        <f>('побудинковий звіт'!AS262+'побудинковий звіт'!BQ262)*1.2</f>
        <v>0</v>
      </c>
      <c r="I261" s="340">
        <f>('побудинковий звіт'!AT262+'побудинковий звіт'!BR262)*1.2</f>
        <v>0</v>
      </c>
      <c r="J261" s="340">
        <f t="shared" si="14"/>
        <v>0</v>
      </c>
      <c r="K261" s="361" t="e">
        <f t="shared" si="15"/>
        <v>#DIV/0!</v>
      </c>
      <c r="L261" s="363">
        <f>'побудинковий звіт'!DE262</f>
        <v>3306.6417985827711</v>
      </c>
      <c r="M261" s="544">
        <f>'побудинковий звіт'!DA262*-1</f>
        <v>6711.3315737730827</v>
      </c>
    </row>
    <row r="262" spans="1:13" ht="20.100000000000001" customHeight="1" x14ac:dyDescent="0.3">
      <c r="A262" s="366" t="s">
        <v>709</v>
      </c>
      <c r="B262" s="291" t="s">
        <v>185</v>
      </c>
      <c r="C262" s="367">
        <v>2</v>
      </c>
      <c r="D262" s="357">
        <f>'побудинковий звіт'!CU263</f>
        <v>27201.645529384954</v>
      </c>
      <c r="E262" s="341">
        <f>'побудинковий звіт'!CV263</f>
        <v>24009.121004266235</v>
      </c>
      <c r="F262" s="341">
        <f t="shared" si="12"/>
        <v>-3192.5245251187189</v>
      </c>
      <c r="G262" s="358">
        <f t="shared" si="13"/>
        <v>0.88263487509717198</v>
      </c>
      <c r="H262" s="352">
        <f>('побудинковий звіт'!AS263+'побудинковий звіт'!BQ263)*1.2</f>
        <v>6558.9615993228044</v>
      </c>
      <c r="I262" s="340">
        <f>('побудинковий звіт'!AT263+'побудинковий звіт'!BR263)*1.2</f>
        <v>850.8</v>
      </c>
      <c r="J262" s="340">
        <f t="shared" si="14"/>
        <v>-5708.1615993228042</v>
      </c>
      <c r="K262" s="361">
        <f t="shared" si="15"/>
        <v>0.12971565500365834</v>
      </c>
      <c r="L262" s="363">
        <f>'побудинковий звіт'!DE263</f>
        <v>94.940061171408161</v>
      </c>
      <c r="M262" s="544">
        <f>'побудинковий звіт'!DA263*-1</f>
        <v>-20922.397290426055</v>
      </c>
    </row>
    <row r="263" spans="1:13" ht="20.100000000000001" customHeight="1" x14ac:dyDescent="0.3">
      <c r="A263" s="366" t="s">
        <v>710</v>
      </c>
      <c r="B263" s="291" t="s">
        <v>274</v>
      </c>
      <c r="C263" s="367">
        <v>5</v>
      </c>
      <c r="D263" s="357">
        <f>'побудинковий звіт'!CU264</f>
        <v>111999.32907022561</v>
      </c>
      <c r="E263" s="341">
        <f>'побудинковий звіт'!CV264</f>
        <v>81763.946646611148</v>
      </c>
      <c r="F263" s="341">
        <f t="shared" ref="F263:F325" si="16">E263-D263</f>
        <v>-30235.382423614457</v>
      </c>
      <c r="G263" s="358">
        <f t="shared" ref="G263:G325" si="17">E263/D263</f>
        <v>0.73003961117788196</v>
      </c>
      <c r="H263" s="352">
        <f>('побудинковий звіт'!AS264+'побудинковий звіт'!BQ264)*1.2</f>
        <v>36708.46437437625</v>
      </c>
      <c r="I263" s="340">
        <f>('побудинковий звіт'!AT264+'побудинковий звіт'!BR264)*1.2</f>
        <v>4417.2</v>
      </c>
      <c r="J263" s="340">
        <f t="shared" ref="J263:J325" si="18">I263-H263</f>
        <v>-32291.264374376249</v>
      </c>
      <c r="K263" s="361">
        <f t="shared" ref="K263:K325" si="19">I263/H263</f>
        <v>0.12033192004303386</v>
      </c>
      <c r="L263" s="363">
        <f>'побудинковий звіт'!DE264</f>
        <v>11104.935308015372</v>
      </c>
      <c r="M263" s="544">
        <f>'побудинковий звіт'!DA264*-1</f>
        <v>37913.684637148348</v>
      </c>
    </row>
    <row r="264" spans="1:13" ht="20.100000000000001" customHeight="1" x14ac:dyDescent="0.3">
      <c r="A264" s="366" t="s">
        <v>711</v>
      </c>
      <c r="B264" s="291" t="s">
        <v>219</v>
      </c>
      <c r="C264" s="367">
        <v>4</v>
      </c>
      <c r="D264" s="357">
        <f>'побудинковий звіт'!CU265</f>
        <v>160385.17366193657</v>
      </c>
      <c r="E264" s="341">
        <f>'побудинковий звіт'!CV265</f>
        <v>239889.40017004203</v>
      </c>
      <c r="F264" s="341">
        <f t="shared" si="16"/>
        <v>79504.226508105465</v>
      </c>
      <c r="G264" s="358">
        <f t="shared" si="17"/>
        <v>1.4957080800728266</v>
      </c>
      <c r="H264" s="352">
        <f>('побудинковий звіт'!AS265+'побудинковий звіт'!BQ265)*1.2</f>
        <v>42730.247216032352</v>
      </c>
      <c r="I264" s="340">
        <f>('побудинковий звіт'!AT265+'побудинковий звіт'!BR265)*1.2</f>
        <v>116290.04449478132</v>
      </c>
      <c r="J264" s="340">
        <f t="shared" si="18"/>
        <v>73559.797278748971</v>
      </c>
      <c r="K264" s="361">
        <f t="shared" si="19"/>
        <v>2.721492433845536</v>
      </c>
      <c r="L264" s="363">
        <f>'побудинковий звіт'!DE265</f>
        <v>22618.410191127958</v>
      </c>
      <c r="M264" s="544">
        <f>'побудинковий звіт'!DA265*-1</f>
        <v>-124016.09431820185</v>
      </c>
    </row>
    <row r="265" spans="1:13" ht="20.100000000000001" customHeight="1" x14ac:dyDescent="0.3">
      <c r="A265" s="366" t="s">
        <v>712</v>
      </c>
      <c r="B265" s="291" t="s">
        <v>275</v>
      </c>
      <c r="C265" s="367">
        <v>5</v>
      </c>
      <c r="D265" s="357">
        <f>'побудинковий звіт'!CU266</f>
        <v>197173.81414070213</v>
      </c>
      <c r="E265" s="341">
        <f>'побудинковий звіт'!CV266</f>
        <v>226860.38838538263</v>
      </c>
      <c r="F265" s="341">
        <f t="shared" si="16"/>
        <v>29686.574244680494</v>
      </c>
      <c r="G265" s="358">
        <f t="shared" si="17"/>
        <v>1.1505604300147905</v>
      </c>
      <c r="H265" s="352">
        <f>('побудинковий звіт'!AS266+'побудинковий звіт'!BQ266)*1.2</f>
        <v>74451.157187501231</v>
      </c>
      <c r="I265" s="340">
        <f>('побудинковий звіт'!AT266+'побудинковий звіт'!BR266)*1.2</f>
        <v>110017.344</v>
      </c>
      <c r="J265" s="340">
        <f t="shared" si="18"/>
        <v>35566.186812498767</v>
      </c>
      <c r="K265" s="361">
        <f t="shared" si="19"/>
        <v>1.4777116724045973</v>
      </c>
      <c r="L265" s="363">
        <f>'побудинковий звіт'!DE266</f>
        <v>24869.990509422409</v>
      </c>
      <c r="M265" s="544">
        <f>'побудинковий звіт'!DA266*-1</f>
        <v>-16685.992417583679</v>
      </c>
    </row>
    <row r="266" spans="1:13" ht="20.100000000000001" customHeight="1" x14ac:dyDescent="0.3">
      <c r="A266" s="366" t="s">
        <v>713</v>
      </c>
      <c r="B266" s="291" t="s">
        <v>276</v>
      </c>
      <c r="C266" s="367">
        <v>5</v>
      </c>
      <c r="D266" s="357">
        <f>'побудинковий звіт'!CU267</f>
        <v>206964.46774931005</v>
      </c>
      <c r="E266" s="341">
        <f>'побудинковий звіт'!CV267</f>
        <v>196820.16958161924</v>
      </c>
      <c r="F266" s="341">
        <f t="shared" si="16"/>
        <v>-10144.298167690809</v>
      </c>
      <c r="G266" s="358">
        <f t="shared" si="17"/>
        <v>0.95098531512192563</v>
      </c>
      <c r="H266" s="352">
        <f>('побудинковий звіт'!AS267+'побудинковий звіт'!BQ267)*1.2</f>
        <v>74592.805413222915</v>
      </c>
      <c r="I266" s="340">
        <f>('побудинковий звіт'!AT267+'побудинковий звіт'!BR267)*1.2</f>
        <v>69613.880255057622</v>
      </c>
      <c r="J266" s="340">
        <f t="shared" si="18"/>
        <v>-4978.9251581652934</v>
      </c>
      <c r="K266" s="361">
        <f t="shared" si="19"/>
        <v>0.93325193856721889</v>
      </c>
      <c r="L266" s="363">
        <f>'побудинковий звіт'!DE267</f>
        <v>22879.150852057272</v>
      </c>
      <c r="M266" s="544">
        <f>'побудинковий звіт'!DA267*-1</f>
        <v>-38511.498012786586</v>
      </c>
    </row>
    <row r="267" spans="1:13" ht="20.100000000000001" customHeight="1" x14ac:dyDescent="0.3">
      <c r="A267" s="366" t="s">
        <v>714</v>
      </c>
      <c r="B267" s="291" t="s">
        <v>277</v>
      </c>
      <c r="C267" s="367">
        <v>5</v>
      </c>
      <c r="D267" s="357">
        <f>'побудинковий звіт'!CU268</f>
        <v>202744.10764417858</v>
      </c>
      <c r="E267" s="341">
        <f>'побудинковий звіт'!CV268</f>
        <v>149557.50453907051</v>
      </c>
      <c r="F267" s="341">
        <f t="shared" si="16"/>
        <v>-53186.603105108079</v>
      </c>
      <c r="G267" s="358">
        <f t="shared" si="17"/>
        <v>0.73766634343597293</v>
      </c>
      <c r="H267" s="352">
        <f>('побудинковий звіт'!AS268+'побудинковий звіт'!BQ268)*1.2</f>
        <v>70958.446264494705</v>
      </c>
      <c r="I267" s="340">
        <f>('побудинковий звіт'!AT268+'побудинковий звіт'!BR268)*1.2</f>
        <v>19342.932000000001</v>
      </c>
      <c r="J267" s="340">
        <f t="shared" si="18"/>
        <v>-51615.514264494705</v>
      </c>
      <c r="K267" s="361">
        <f t="shared" si="19"/>
        <v>0.27259520209757715</v>
      </c>
      <c r="L267" s="363">
        <f>'побудинковий звіт'!DE268</f>
        <v>30475.618208645861</v>
      </c>
      <c r="M267" s="546">
        <f>'побудинковий звіт'!DA268*-1</f>
        <v>-35626.233463665245</v>
      </c>
    </row>
    <row r="268" spans="1:13" ht="20.100000000000001" customHeight="1" x14ac:dyDescent="0.3">
      <c r="A268" s="366" t="s">
        <v>715</v>
      </c>
      <c r="B268" s="291" t="s">
        <v>278</v>
      </c>
      <c r="C268" s="367">
        <v>5</v>
      </c>
      <c r="D268" s="357">
        <f>'побудинковий звіт'!CU269</f>
        <v>216383.18980683252</v>
      </c>
      <c r="E268" s="341">
        <f>'побудинковий звіт'!CV269</f>
        <v>255980.70881290367</v>
      </c>
      <c r="F268" s="341">
        <f t="shared" si="16"/>
        <v>39597.519006071147</v>
      </c>
      <c r="G268" s="358">
        <f t="shared" si="17"/>
        <v>1.1829972052885451</v>
      </c>
      <c r="H268" s="352">
        <f>('побудинковий звіт'!AS269+'побудинковий звіт'!BQ269)*1.2</f>
        <v>74373.926147476959</v>
      </c>
      <c r="I268" s="340">
        <f>('побудинковий звіт'!AT269+'побудинковий звіт'!BR269)*1.2</f>
        <v>114390.06</v>
      </c>
      <c r="J268" s="340">
        <f t="shared" si="18"/>
        <v>40016.133852523039</v>
      </c>
      <c r="K268" s="361">
        <f t="shared" si="19"/>
        <v>1.5380398202076164</v>
      </c>
      <c r="L268" s="363">
        <f>'побудинковий звіт'!DE269</f>
        <v>39505.939014677228</v>
      </c>
      <c r="M268" s="547">
        <f>'побудинковий звіт'!DA269*-1</f>
        <v>4232.0809777860632</v>
      </c>
    </row>
    <row r="269" spans="1:13" ht="20.100000000000001" customHeight="1" x14ac:dyDescent="0.3">
      <c r="A269" s="366" t="s">
        <v>716</v>
      </c>
      <c r="B269" s="291" t="s">
        <v>279</v>
      </c>
      <c r="C269" s="367">
        <v>5</v>
      </c>
      <c r="D269" s="357">
        <f>'побудинковий звіт'!CU270</f>
        <v>252484.68811737571</v>
      </c>
      <c r="E269" s="341">
        <f>'побудинковий звіт'!CV270</f>
        <v>245563.91461734654</v>
      </c>
      <c r="F269" s="341">
        <f t="shared" si="16"/>
        <v>-6920.7735000291723</v>
      </c>
      <c r="G269" s="358">
        <f t="shared" si="17"/>
        <v>0.97258933382601076</v>
      </c>
      <c r="H269" s="352">
        <f>('побудинковий звіт'!AS270+'побудинковий звіт'!BQ270)*1.2</f>
        <v>73876.216020027263</v>
      </c>
      <c r="I269" s="340">
        <f>('побудинковий звіт'!AT270+'побудинковий звіт'!BR270)*1.2</f>
        <v>55884.635999999999</v>
      </c>
      <c r="J269" s="340">
        <f t="shared" si="18"/>
        <v>-17991.580020027264</v>
      </c>
      <c r="K269" s="361">
        <f t="shared" si="19"/>
        <v>0.75646316244527345</v>
      </c>
      <c r="L269" s="363">
        <f>'побудинковий звіт'!DE270</f>
        <v>26846.226386736613</v>
      </c>
      <c r="M269" s="544">
        <f>'побудинковий звіт'!DA270*-1</f>
        <v>14404.576553496025</v>
      </c>
    </row>
    <row r="270" spans="1:13" ht="20.100000000000001" customHeight="1" x14ac:dyDescent="0.3">
      <c r="A270" s="366" t="s">
        <v>717</v>
      </c>
      <c r="B270" s="291" t="s">
        <v>280</v>
      </c>
      <c r="C270" s="367">
        <v>5</v>
      </c>
      <c r="D270" s="357">
        <f>'побудинковий звіт'!CU271</f>
        <v>267418.77284953481</v>
      </c>
      <c r="E270" s="341">
        <f>'побудинковий звіт'!CV271</f>
        <v>219040.85637548697</v>
      </c>
      <c r="F270" s="341">
        <f t="shared" si="16"/>
        <v>-48377.916474047845</v>
      </c>
      <c r="G270" s="358">
        <f t="shared" si="17"/>
        <v>0.81909304287598372</v>
      </c>
      <c r="H270" s="352">
        <f>('побудинковий звіт'!AS271+'побудинковий звіт'!BQ271)*1.2</f>
        <v>88606.872427769282</v>
      </c>
      <c r="I270" s="340">
        <f>('побудинковий звіт'!AT271+'побудинковий звіт'!BR271)*1.2</f>
        <v>32947.428</v>
      </c>
      <c r="J270" s="340">
        <f t="shared" si="18"/>
        <v>-55659.444427769282</v>
      </c>
      <c r="K270" s="361">
        <f t="shared" si="19"/>
        <v>0.37183829083752107</v>
      </c>
      <c r="L270" s="363">
        <f>'побудинковий звіт'!DE271</f>
        <v>63847.278090755601</v>
      </c>
      <c r="M270" s="546">
        <f>'побудинковий звіт'!DA271*-1</f>
        <v>-18815.780435075503</v>
      </c>
    </row>
    <row r="271" spans="1:13" ht="20.100000000000001" customHeight="1" x14ac:dyDescent="0.3">
      <c r="A271" s="366" t="s">
        <v>718</v>
      </c>
      <c r="B271" s="291" t="s">
        <v>281</v>
      </c>
      <c r="C271" s="367">
        <v>5</v>
      </c>
      <c r="D271" s="357">
        <f>'побудинковий звіт'!CU272</f>
        <v>190228.63709293155</v>
      </c>
      <c r="E271" s="341">
        <f>'побудинковий звіт'!CV272</f>
        <v>240553.37232031467</v>
      </c>
      <c r="F271" s="341">
        <f t="shared" si="16"/>
        <v>50324.73522738312</v>
      </c>
      <c r="G271" s="358">
        <f t="shared" si="17"/>
        <v>1.2645486820304463</v>
      </c>
      <c r="H271" s="352">
        <f>('побудинковий звіт'!AS272+'побудинковий звіт'!BQ272)*1.2</f>
        <v>53711.374289168183</v>
      </c>
      <c r="I271" s="340">
        <f>('побудинковий звіт'!AT272+'побудинковий звіт'!BR272)*1.2</f>
        <v>90464.892000000007</v>
      </c>
      <c r="J271" s="340">
        <f t="shared" si="18"/>
        <v>36753.517710831824</v>
      </c>
      <c r="K271" s="361">
        <f t="shared" si="19"/>
        <v>1.6842781104977944</v>
      </c>
      <c r="L271" s="363">
        <f>'побудинковий звіт'!DE272</f>
        <v>21196.482087762422</v>
      </c>
      <c r="M271" s="546">
        <f>'побудинковий звіт'!DA272*-1</f>
        <v>-57597.11916971243</v>
      </c>
    </row>
    <row r="272" spans="1:13" ht="20.100000000000001" customHeight="1" x14ac:dyDescent="0.3">
      <c r="A272" s="366" t="s">
        <v>719</v>
      </c>
      <c r="B272" s="291" t="s">
        <v>282</v>
      </c>
      <c r="C272" s="367">
        <v>5</v>
      </c>
      <c r="D272" s="357">
        <f>'побудинковий звіт'!CU273</f>
        <v>350094.44052039587</v>
      </c>
      <c r="E272" s="341">
        <f>'побудинковий звіт'!CV273</f>
        <v>286977.20727131277</v>
      </c>
      <c r="F272" s="341">
        <f t="shared" si="16"/>
        <v>-63117.233249083103</v>
      </c>
      <c r="G272" s="358">
        <f t="shared" si="17"/>
        <v>0.81971369452407516</v>
      </c>
      <c r="H272" s="352">
        <f>('побудинковий звіт'!AS273+'побудинковий звіт'!BQ273)*1.2</f>
        <v>121534.83628842224</v>
      </c>
      <c r="I272" s="340">
        <f>('побудинковий звіт'!AT273+'побудинковий звіт'!BR273)*1.2</f>
        <v>50545.536</v>
      </c>
      <c r="J272" s="340">
        <f t="shared" si="18"/>
        <v>-70989.300288422237</v>
      </c>
      <c r="K272" s="361">
        <f t="shared" si="19"/>
        <v>0.4158933976760959</v>
      </c>
      <c r="L272" s="363">
        <f>'побудинковий звіт'!DE273</f>
        <v>44604.903123121752</v>
      </c>
      <c r="M272" s="546">
        <f>'побудинковий звіт'!DA273*-1</f>
        <v>-11422.100718665024</v>
      </c>
    </row>
    <row r="273" spans="1:13" ht="20.100000000000001" customHeight="1" x14ac:dyDescent="0.3">
      <c r="A273" s="366" t="s">
        <v>720</v>
      </c>
      <c r="B273" s="291" t="s">
        <v>283</v>
      </c>
      <c r="C273" s="367">
        <v>5</v>
      </c>
      <c r="D273" s="357">
        <f>'побудинковий звіт'!CU274</f>
        <v>178527.79649061954</v>
      </c>
      <c r="E273" s="341">
        <f>'побудинковий звіт'!CV274</f>
        <v>140960.78292776059</v>
      </c>
      <c r="F273" s="341">
        <f t="shared" si="16"/>
        <v>-37567.013562858949</v>
      </c>
      <c r="G273" s="358">
        <f t="shared" si="17"/>
        <v>0.78957330846329665</v>
      </c>
      <c r="H273" s="352">
        <f>('побудинковий звіт'!AS274+'побудинковий звіт'!BQ274)*1.2</f>
        <v>57438.052111902172</v>
      </c>
      <c r="I273" s="340">
        <f>('побудинковий звіт'!AT274+'побудинковий звіт'!BR274)*1.2</f>
        <v>15385.128000000001</v>
      </c>
      <c r="J273" s="340">
        <f t="shared" si="18"/>
        <v>-42052.924111902175</v>
      </c>
      <c r="K273" s="361">
        <f t="shared" si="19"/>
        <v>0.26785601938635262</v>
      </c>
      <c r="L273" s="363">
        <f>'побудинковий звіт'!DE274</f>
        <v>7123.4269363813</v>
      </c>
      <c r="M273" s="546">
        <f>'побудинковий звіт'!DA274*-1</f>
        <v>-86969.837981127654</v>
      </c>
    </row>
    <row r="274" spans="1:13" ht="20.100000000000001" customHeight="1" x14ac:dyDescent="0.3">
      <c r="A274" s="366" t="s">
        <v>721</v>
      </c>
      <c r="B274" s="291" t="s">
        <v>284</v>
      </c>
      <c r="C274" s="367">
        <v>5</v>
      </c>
      <c r="D274" s="357">
        <f>'побудинковий звіт'!CU275</f>
        <v>265262.2971735117</v>
      </c>
      <c r="E274" s="341">
        <f>'побудинковий звіт'!CV275</f>
        <v>320886.99490475026</v>
      </c>
      <c r="F274" s="341">
        <f t="shared" si="16"/>
        <v>55624.697731238557</v>
      </c>
      <c r="G274" s="358">
        <f t="shared" si="17"/>
        <v>1.2096969615506785</v>
      </c>
      <c r="H274" s="352">
        <f>('побудинковий звіт'!AS275+'побудинковий звіт'!BQ275)*1.2</f>
        <v>88164.541126178126</v>
      </c>
      <c r="I274" s="340">
        <f>('побудинковий звіт'!AT275+'побудинковий звіт'!BR275)*1.2</f>
        <v>136702.272</v>
      </c>
      <c r="J274" s="340">
        <f t="shared" si="18"/>
        <v>48537.730873821871</v>
      </c>
      <c r="K274" s="361">
        <f t="shared" si="19"/>
        <v>1.5505357398090045</v>
      </c>
      <c r="L274" s="363">
        <f>'побудинковий звіт'!DE275</f>
        <v>17136.834857059224</v>
      </c>
      <c r="M274" s="544">
        <f>'побудинковий звіт'!DA275*-1</f>
        <v>-64146.864205431084</v>
      </c>
    </row>
    <row r="275" spans="1:13" ht="20.100000000000001" customHeight="1" x14ac:dyDescent="0.3">
      <c r="A275" s="366" t="s">
        <v>722</v>
      </c>
      <c r="B275" s="291" t="s">
        <v>285</v>
      </c>
      <c r="C275" s="367">
        <v>5</v>
      </c>
      <c r="D275" s="357">
        <f>'побудинковий звіт'!CU276</f>
        <v>379435.23734193592</v>
      </c>
      <c r="E275" s="341">
        <f>'побудинковий звіт'!CV276</f>
        <v>339601.89178517775</v>
      </c>
      <c r="F275" s="341">
        <f t="shared" si="16"/>
        <v>-39833.34555675817</v>
      </c>
      <c r="G275" s="358">
        <f t="shared" si="17"/>
        <v>0.89501938239631251</v>
      </c>
      <c r="H275" s="352">
        <f>('побудинковий звіт'!AS276+'побудинковий звіт'!BQ276)*1.2</f>
        <v>103501.63817524731</v>
      </c>
      <c r="I275" s="340">
        <f>('побудинковий звіт'!AT276+'побудинковий звіт'!BR276)*1.2</f>
        <v>73793.399999999994</v>
      </c>
      <c r="J275" s="340">
        <f t="shared" si="18"/>
        <v>-29708.238175247316</v>
      </c>
      <c r="K275" s="361">
        <f t="shared" si="19"/>
        <v>0.71296842543742345</v>
      </c>
      <c r="L275" s="363">
        <f>'побудинковий звіт'!DE276</f>
        <v>53731.23141382687</v>
      </c>
      <c r="M275" s="547">
        <f>'побудинковий звіт'!DA276*-1</f>
        <v>-1062.0407408433966</v>
      </c>
    </row>
    <row r="276" spans="1:13" ht="20.100000000000001" customHeight="1" x14ac:dyDescent="0.3">
      <c r="A276" s="366" t="s">
        <v>723</v>
      </c>
      <c r="B276" s="291" t="s">
        <v>286</v>
      </c>
      <c r="C276" s="367">
        <v>5</v>
      </c>
      <c r="D276" s="357">
        <f>'побудинковий звіт'!CU277</f>
        <v>172043.15623256771</v>
      </c>
      <c r="E276" s="341">
        <f>'побудинковий звіт'!CV277</f>
        <v>209255.91583474475</v>
      </c>
      <c r="F276" s="341">
        <f t="shared" si="16"/>
        <v>37212.759602177044</v>
      </c>
      <c r="G276" s="358">
        <f t="shared" si="17"/>
        <v>1.2162989822848453</v>
      </c>
      <c r="H276" s="352">
        <f>('побудинковий звіт'!AS277+'побудинковий звіт'!BQ277)*1.2</f>
        <v>58767.56904552185</v>
      </c>
      <c r="I276" s="340">
        <f>('побудинковий звіт'!AT277+'побудинковий звіт'!BR277)*1.2</f>
        <v>97430.97600000001</v>
      </c>
      <c r="J276" s="340">
        <f t="shared" si="18"/>
        <v>38663.40695447816</v>
      </c>
      <c r="K276" s="361">
        <f t="shared" si="19"/>
        <v>1.6579037993647341</v>
      </c>
      <c r="L276" s="363">
        <f>'побудинковий звіт'!DE277</f>
        <v>6213.3892451057654</v>
      </c>
      <c r="M276" s="547">
        <f>'побудинковий звіт'!DA277*-1</f>
        <v>25117.554436829487</v>
      </c>
    </row>
    <row r="277" spans="1:13" ht="20.100000000000001" customHeight="1" x14ac:dyDescent="0.3">
      <c r="A277" s="366" t="s">
        <v>724</v>
      </c>
      <c r="B277" s="291" t="s">
        <v>287</v>
      </c>
      <c r="C277" s="367">
        <v>5</v>
      </c>
      <c r="D277" s="357">
        <f>'побудинковий звіт'!CU278</f>
        <v>183484.38401471954</v>
      </c>
      <c r="E277" s="341">
        <f>'побудинковий звіт'!CV278</f>
        <v>131268.47313607845</v>
      </c>
      <c r="F277" s="341">
        <f t="shared" si="16"/>
        <v>-52215.910878641094</v>
      </c>
      <c r="G277" s="358">
        <f t="shared" si="17"/>
        <v>0.71542040943139762</v>
      </c>
      <c r="H277" s="352">
        <f>('побудинковий звіт'!AS278+'побудинковий звіт'!BQ278)*1.2</f>
        <v>55695.835854765537</v>
      </c>
      <c r="I277" s="340">
        <f>('побудинковий звіт'!AT278+'побудинковий звіт'!BR278)*1.2</f>
        <v>10380</v>
      </c>
      <c r="J277" s="340">
        <f t="shared" si="18"/>
        <v>-45315.835854765537</v>
      </c>
      <c r="K277" s="361">
        <f t="shared" si="19"/>
        <v>0.18636940878429872</v>
      </c>
      <c r="L277" s="363">
        <f>'побудинковий звіт'!DE278</f>
        <v>8193.7474113070693</v>
      </c>
      <c r="M277" s="544">
        <f>'побудинковий звіт'!DA278*-1</f>
        <v>33244.861606145649</v>
      </c>
    </row>
    <row r="278" spans="1:13" ht="20.100000000000001" customHeight="1" x14ac:dyDescent="0.3">
      <c r="A278" s="366" t="s">
        <v>725</v>
      </c>
      <c r="B278" s="291" t="s">
        <v>288</v>
      </c>
      <c r="C278" s="367">
        <v>5</v>
      </c>
      <c r="D278" s="357">
        <f>'побудинковий звіт'!CU279</f>
        <v>260096.17337830414</v>
      </c>
      <c r="E278" s="341">
        <f>'побудинковий звіт'!CV279</f>
        <v>259659.34560573724</v>
      </c>
      <c r="F278" s="341">
        <f t="shared" si="16"/>
        <v>-436.82777256690315</v>
      </c>
      <c r="G278" s="358">
        <f t="shared" si="17"/>
        <v>0.99832051442013514</v>
      </c>
      <c r="H278" s="352">
        <f>('побудинковий звіт'!AS279+'побудинковий звіт'!BQ279)*1.2</f>
        <v>83267.602070592708</v>
      </c>
      <c r="I278" s="340">
        <f>('побудинковий звіт'!AT279+'побудинковий звіт'!BR279)*1.2</f>
        <v>80774.085333383686</v>
      </c>
      <c r="J278" s="340">
        <f t="shared" si="18"/>
        <v>-2493.5167372090218</v>
      </c>
      <c r="K278" s="361">
        <f t="shared" si="19"/>
        <v>0.97005417863366517</v>
      </c>
      <c r="L278" s="363">
        <f>'побудинковий звіт'!DE279</f>
        <v>18525.89850967098</v>
      </c>
      <c r="M278" s="547">
        <f>'побудинковий звіт'!DA279*-1</f>
        <v>-21631.972060816537</v>
      </c>
    </row>
    <row r="279" spans="1:13" ht="20.100000000000001" customHeight="1" x14ac:dyDescent="0.3">
      <c r="A279" s="366" t="s">
        <v>726</v>
      </c>
      <c r="B279" s="291" t="s">
        <v>289</v>
      </c>
      <c r="C279" s="367">
        <v>5</v>
      </c>
      <c r="D279" s="357">
        <f>'побудинковий звіт'!CU280</f>
        <v>183864.14057577751</v>
      </c>
      <c r="E279" s="341">
        <f>'побудинковий звіт'!CV280</f>
        <v>229817.25780063411</v>
      </c>
      <c r="F279" s="341">
        <f t="shared" si="16"/>
        <v>45953.1172248566</v>
      </c>
      <c r="G279" s="358">
        <f t="shared" si="17"/>
        <v>1.2499297420418831</v>
      </c>
      <c r="H279" s="352">
        <f>('побудинковий звіт'!AS280+'побудинковий звіт'!BQ280)*1.2</f>
        <v>44759.389407428607</v>
      </c>
      <c r="I279" s="340">
        <f>('побудинковий звіт'!AT280+'побудинковий звіт'!BR280)*1.2</f>
        <v>87018.504000000001</v>
      </c>
      <c r="J279" s="340">
        <f t="shared" si="18"/>
        <v>42259.114592571394</v>
      </c>
      <c r="K279" s="361">
        <f t="shared" si="19"/>
        <v>1.9441396576682914</v>
      </c>
      <c r="L279" s="363">
        <f>'побудинковий звіт'!DE280</f>
        <v>31850.901814673998</v>
      </c>
      <c r="M279" s="546">
        <f>'побудинковий звіт'!DA280*-1</f>
        <v>-63305.631040974942</v>
      </c>
    </row>
    <row r="280" spans="1:13" ht="20.100000000000001" customHeight="1" x14ac:dyDescent="0.3">
      <c r="A280" s="366" t="s">
        <v>727</v>
      </c>
      <c r="B280" s="291" t="s">
        <v>130</v>
      </c>
      <c r="C280" s="367">
        <v>1</v>
      </c>
      <c r="D280" s="357">
        <f>'побудинковий звіт'!CU281</f>
        <v>5742.020686530479</v>
      </c>
      <c r="E280" s="341">
        <f>'побудинковий звіт'!CV281</f>
        <v>6433.7913301312155</v>
      </c>
      <c r="F280" s="341">
        <f t="shared" si="16"/>
        <v>691.77064360073655</v>
      </c>
      <c r="G280" s="358">
        <f t="shared" si="17"/>
        <v>1.1204751221505487</v>
      </c>
      <c r="H280" s="352">
        <f>('побудинковий звіт'!AS281+'побудинковий звіт'!BQ281)*1.2</f>
        <v>3985.3154353220807</v>
      </c>
      <c r="I280" s="340">
        <f>('побудинковий звіт'!AT281+'побудинковий звіт'!BR281)*1.2</f>
        <v>3768</v>
      </c>
      <c r="J280" s="340">
        <f t="shared" si="18"/>
        <v>-217.3154353220807</v>
      </c>
      <c r="K280" s="361">
        <f t="shared" si="19"/>
        <v>0.94547095735609743</v>
      </c>
      <c r="L280" s="363">
        <f>'побудинковий звіт'!DE281</f>
        <v>375.68788139196261</v>
      </c>
      <c r="M280" s="544">
        <f>'побудинковий звіт'!DA281*-1</f>
        <v>6503.3781753372041</v>
      </c>
    </row>
    <row r="281" spans="1:13" ht="20.100000000000001" customHeight="1" x14ac:dyDescent="0.3">
      <c r="A281" s="366" t="s">
        <v>728</v>
      </c>
      <c r="B281" s="291" t="s">
        <v>131</v>
      </c>
      <c r="C281" s="367">
        <v>1</v>
      </c>
      <c r="D281" s="357">
        <f>'побудинковий звіт'!CU282</f>
        <v>2771.2050797773909</v>
      </c>
      <c r="E281" s="341">
        <f>'побудинковий звіт'!CV282</f>
        <v>3788.8231128335774</v>
      </c>
      <c r="F281" s="341">
        <f t="shared" si="16"/>
        <v>1017.6180330561865</v>
      </c>
      <c r="G281" s="358">
        <f t="shared" si="17"/>
        <v>1.3672113769140215</v>
      </c>
      <c r="H281" s="352">
        <f>('побудинковий звіт'!AS282+'побудинковий звіт'!BQ282)*1.2</f>
        <v>1808.014478927543</v>
      </c>
      <c r="I281" s="340">
        <f>('побудинковий звіт'!AT282+'побудинковий звіт'!BR282)*1.2</f>
        <v>2206.7999999999997</v>
      </c>
      <c r="J281" s="340">
        <f t="shared" si="18"/>
        <v>398.78552107245673</v>
      </c>
      <c r="K281" s="361">
        <f t="shared" si="19"/>
        <v>1.2205654466379072</v>
      </c>
      <c r="L281" s="363">
        <f>'побудинковий звіт'!DE282</f>
        <v>308.72564198702662</v>
      </c>
      <c r="M281" s="544">
        <f>'побудинковий звіт'!DA282*-1</f>
        <v>385.77783723262473</v>
      </c>
    </row>
    <row r="282" spans="1:13" ht="20.100000000000001" customHeight="1" x14ac:dyDescent="0.3">
      <c r="A282" s="366" t="s">
        <v>729</v>
      </c>
      <c r="B282" s="291" t="s">
        <v>387</v>
      </c>
      <c r="C282" s="367">
        <v>9</v>
      </c>
      <c r="D282" s="357">
        <f>'побудинковий звіт'!CU283</f>
        <v>317529.38979468145</v>
      </c>
      <c r="E282" s="341">
        <f>'побудинковий звіт'!CV283</f>
        <v>251731.61740405636</v>
      </c>
      <c r="F282" s="341">
        <f t="shared" si="16"/>
        <v>-65797.77239062509</v>
      </c>
      <c r="G282" s="358">
        <f t="shared" si="17"/>
        <v>0.79278210299471563</v>
      </c>
      <c r="H282" s="352">
        <f>('побудинковий звіт'!AS283+'побудинковий звіт'!BQ283)*1.2</f>
        <v>84476.480008576968</v>
      </c>
      <c r="I282" s="340">
        <f>('побудинковий звіт'!AT283+'побудинковий звіт'!BR283)*1.2</f>
        <v>43731.851999999999</v>
      </c>
      <c r="J282" s="340">
        <f t="shared" si="18"/>
        <v>-40744.628008576969</v>
      </c>
      <c r="K282" s="361">
        <f t="shared" si="19"/>
        <v>0.51768080293544272</v>
      </c>
      <c r="L282" s="363">
        <f>'побудинковий звіт'!DE283</f>
        <v>23497.058873240112</v>
      </c>
      <c r="M282" s="544">
        <f>'побудинковий звіт'!DA283*-1</f>
        <v>-75722.048386743554</v>
      </c>
    </row>
    <row r="283" spans="1:13" ht="20.100000000000001" customHeight="1" x14ac:dyDescent="0.3">
      <c r="A283" s="366" t="s">
        <v>730</v>
      </c>
      <c r="B283" s="291" t="s">
        <v>388</v>
      </c>
      <c r="C283" s="367">
        <v>9</v>
      </c>
      <c r="D283" s="357">
        <f>'побудинковий звіт'!CU284</f>
        <v>825731.08276214998</v>
      </c>
      <c r="E283" s="341">
        <f>'побудинковий звіт'!CV284</f>
        <v>785680.97275624832</v>
      </c>
      <c r="F283" s="341">
        <f t="shared" si="16"/>
        <v>-40050.110005901661</v>
      </c>
      <c r="G283" s="358">
        <f t="shared" si="17"/>
        <v>0.95149739322888249</v>
      </c>
      <c r="H283" s="352">
        <f>('побудинковий звіт'!AS284+'побудинковий звіт'!BQ284)*1.2</f>
        <v>233199.72376541127</v>
      </c>
      <c r="I283" s="340">
        <f>('побудинковий звіт'!AT284+'побудинковий звіт'!BR284)*1.2</f>
        <v>197605.5783324489</v>
      </c>
      <c r="J283" s="340">
        <f t="shared" si="18"/>
        <v>-35594.145432962367</v>
      </c>
      <c r="K283" s="361">
        <f t="shared" si="19"/>
        <v>0.84736626245420199</v>
      </c>
      <c r="L283" s="363">
        <f>'побудинковий звіт'!DE284</f>
        <v>79326.729534985439</v>
      </c>
      <c r="M283" s="546">
        <f>'побудинковий звіт'!DA284*-1</f>
        <v>-118587.75416972241</v>
      </c>
    </row>
    <row r="284" spans="1:13" ht="20.100000000000001" customHeight="1" x14ac:dyDescent="0.3">
      <c r="A284" s="366" t="s">
        <v>731</v>
      </c>
      <c r="B284" s="291" t="s">
        <v>389</v>
      </c>
      <c r="C284" s="367">
        <v>9</v>
      </c>
      <c r="D284" s="357">
        <f>'побудинковий звіт'!CU285</f>
        <v>1028056.4720997692</v>
      </c>
      <c r="E284" s="341">
        <f>'побудинковий звіт'!CV285</f>
        <v>1083185.619965455</v>
      </c>
      <c r="F284" s="341">
        <f t="shared" si="16"/>
        <v>55129.147865685867</v>
      </c>
      <c r="G284" s="358">
        <f t="shared" si="17"/>
        <v>1.0536246299321346</v>
      </c>
      <c r="H284" s="352">
        <f>('побудинковий звіт'!AS285+'побудинковий звіт'!BQ285)*1.2</f>
        <v>273794.30388608825</v>
      </c>
      <c r="I284" s="340">
        <f>('побудинковий звіт'!AT285+'побудинковий звіт'!BR285)*1.2</f>
        <v>317447.92800000001</v>
      </c>
      <c r="J284" s="340">
        <f t="shared" si="18"/>
        <v>43653.624113911763</v>
      </c>
      <c r="K284" s="361">
        <f t="shared" si="19"/>
        <v>1.1594394897713935</v>
      </c>
      <c r="L284" s="363">
        <f>'побудинковий звіт'!DE285</f>
        <v>99273.21537393998</v>
      </c>
      <c r="M284" s="546">
        <f>'побудинковий звіт'!DA285*-1</f>
        <v>29828.116386292306</v>
      </c>
    </row>
    <row r="285" spans="1:13" ht="20.100000000000001" customHeight="1" x14ac:dyDescent="0.3">
      <c r="A285" s="366" t="s">
        <v>732</v>
      </c>
      <c r="B285" s="291" t="s">
        <v>390</v>
      </c>
      <c r="C285" s="367">
        <v>9</v>
      </c>
      <c r="D285" s="357">
        <f>'побудинковий звіт'!CU286</f>
        <v>455372.24211154174</v>
      </c>
      <c r="E285" s="341">
        <f>'побудинковий звіт'!CV286</f>
        <v>500835.97194107552</v>
      </c>
      <c r="F285" s="341">
        <f t="shared" si="16"/>
        <v>45463.729829533782</v>
      </c>
      <c r="G285" s="358">
        <f t="shared" si="17"/>
        <v>1.0998386059253862</v>
      </c>
      <c r="H285" s="352">
        <f>('побудинковий звіт'!AS286+'побудинковий звіт'!BQ286)*1.2</f>
        <v>119311.1674821753</v>
      </c>
      <c r="I285" s="340">
        <f>('побудинковий звіт'!AT286+'побудинковий звіт'!BR286)*1.2</f>
        <v>155610.204</v>
      </c>
      <c r="J285" s="340">
        <f t="shared" si="18"/>
        <v>36299.036517824701</v>
      </c>
      <c r="K285" s="361">
        <f t="shared" si="19"/>
        <v>1.3042383817361243</v>
      </c>
      <c r="L285" s="363">
        <f>'побудинковий звіт'!DE286</f>
        <v>56426.275821486845</v>
      </c>
      <c r="M285" s="546">
        <f>'побудинковий звіт'!DA286*-1</f>
        <v>4333.1905810716926</v>
      </c>
    </row>
    <row r="286" spans="1:13" ht="20.100000000000001" customHeight="1" x14ac:dyDescent="0.3">
      <c r="A286" s="366" t="s">
        <v>733</v>
      </c>
      <c r="B286" s="291" t="s">
        <v>391</v>
      </c>
      <c r="C286" s="367">
        <v>9</v>
      </c>
      <c r="D286" s="357">
        <f>'побудинковий звіт'!CU287</f>
        <v>440931.14885460789</v>
      </c>
      <c r="E286" s="341">
        <f>'побудинковий звіт'!CV287</f>
        <v>364043.56903688231</v>
      </c>
      <c r="F286" s="341">
        <f t="shared" si="16"/>
        <v>-76887.579817725578</v>
      </c>
      <c r="G286" s="358">
        <f t="shared" si="17"/>
        <v>0.82562452206551096</v>
      </c>
      <c r="H286" s="352">
        <f>('побудинковий звіт'!AS287+'побудинковий звіт'!BQ287)*1.2</f>
        <v>101881.74570068973</v>
      </c>
      <c r="I286" s="340">
        <f>('побудинковий звіт'!AT287+'побудинковий звіт'!BR287)*1.2</f>
        <v>12139.350069603408</v>
      </c>
      <c r="J286" s="340">
        <f t="shared" si="18"/>
        <v>-89742.395631086329</v>
      </c>
      <c r="K286" s="361">
        <f t="shared" si="19"/>
        <v>0.11915137482298976</v>
      </c>
      <c r="L286" s="363">
        <f>'побудинковий звіт'!DE287</f>
        <v>15331.208377189119</v>
      </c>
      <c r="M286" s="546">
        <f>'побудинковий звіт'!DA287*-1</f>
        <v>-152841.78725895082</v>
      </c>
    </row>
    <row r="287" spans="1:13" ht="20.100000000000001" customHeight="1" x14ac:dyDescent="0.3">
      <c r="A287" s="366" t="s">
        <v>734</v>
      </c>
      <c r="B287" s="291" t="s">
        <v>392</v>
      </c>
      <c r="C287" s="367">
        <v>9</v>
      </c>
      <c r="D287" s="357">
        <f>'побудинковий звіт'!CU288</f>
        <v>175609.78929024842</v>
      </c>
      <c r="E287" s="341">
        <f>'побудинковий звіт'!CV288</f>
        <v>154465.62850771993</v>
      </c>
      <c r="F287" s="341">
        <f t="shared" si="16"/>
        <v>-21144.160782528488</v>
      </c>
      <c r="G287" s="358">
        <f t="shared" si="17"/>
        <v>0.87959577385756471</v>
      </c>
      <c r="H287" s="352">
        <f>('побудинковий звіт'!AS288+'побудинковий звіт'!BQ288)*1.2</f>
        <v>39541.552572215049</v>
      </c>
      <c r="I287" s="340">
        <f>('побудинковий звіт'!AT288+'побудинковий звіт'!BR288)*1.2</f>
        <v>15433.199999999999</v>
      </c>
      <c r="J287" s="340">
        <f t="shared" si="18"/>
        <v>-24108.352572215052</v>
      </c>
      <c r="K287" s="361">
        <f t="shared" si="19"/>
        <v>0.39030333904603831</v>
      </c>
      <c r="L287" s="363">
        <f>'побудинковий звіт'!DE288</f>
        <v>7997.8980256015275</v>
      </c>
      <c r="M287" s="544">
        <f>'побудинковий звіт'!DA288*-1</f>
        <v>36308.226946536939</v>
      </c>
    </row>
    <row r="288" spans="1:13" ht="20.100000000000001" customHeight="1" x14ac:dyDescent="0.3">
      <c r="A288" s="366" t="s">
        <v>735</v>
      </c>
      <c r="B288" s="291" t="s">
        <v>132</v>
      </c>
      <c r="C288" s="367">
        <v>1</v>
      </c>
      <c r="D288" s="357">
        <f>'побудинковий звіт'!CU289</f>
        <v>0</v>
      </c>
      <c r="E288" s="341">
        <f>'побудинковий звіт'!CV289</f>
        <v>0</v>
      </c>
      <c r="F288" s="341">
        <f t="shared" si="16"/>
        <v>0</v>
      </c>
      <c r="G288" s="358" t="e">
        <f t="shared" si="17"/>
        <v>#DIV/0!</v>
      </c>
      <c r="H288" s="352">
        <f>('побудинковий звіт'!AS289+'побудинковий звіт'!BQ289)*1.2</f>
        <v>0</v>
      </c>
      <c r="I288" s="340">
        <f>('побудинковий звіт'!AT289+'побудинковий звіт'!BR289)*1.2</f>
        <v>0</v>
      </c>
      <c r="J288" s="340">
        <f t="shared" si="18"/>
        <v>0</v>
      </c>
      <c r="K288" s="361" t="e">
        <f t="shared" si="19"/>
        <v>#DIV/0!</v>
      </c>
      <c r="L288" s="363">
        <f>'побудинковий звіт'!DE289</f>
        <v>985.58338958568265</v>
      </c>
      <c r="M288" s="544">
        <f>'побудинковий звіт'!DA289*-1</f>
        <v>4844.1352293024493</v>
      </c>
    </row>
    <row r="289" spans="1:13" ht="20.100000000000001" customHeight="1" x14ac:dyDescent="0.3">
      <c r="A289" s="366" t="s">
        <v>736</v>
      </c>
      <c r="B289" s="291" t="s">
        <v>133</v>
      </c>
      <c r="C289" s="367">
        <v>1</v>
      </c>
      <c r="D289" s="357">
        <f>'побудинковий звіт'!CU290</f>
        <v>0</v>
      </c>
      <c r="E289" s="341">
        <f>'побудинковий звіт'!CV290</f>
        <v>0</v>
      </c>
      <c r="F289" s="341">
        <f t="shared" si="16"/>
        <v>0</v>
      </c>
      <c r="G289" s="358" t="e">
        <f t="shared" si="17"/>
        <v>#DIV/0!</v>
      </c>
      <c r="H289" s="352">
        <f>('побудинковий звіт'!AS290+'побудинковий звіт'!BQ290)*1.2</f>
        <v>0</v>
      </c>
      <c r="I289" s="340">
        <f>('побудинковий звіт'!AT290+'побудинковий звіт'!BR290)*1.2</f>
        <v>0</v>
      </c>
      <c r="J289" s="340">
        <f t="shared" si="18"/>
        <v>0</v>
      </c>
      <c r="K289" s="361" t="e">
        <f t="shared" si="19"/>
        <v>#DIV/0!</v>
      </c>
      <c r="L289" s="363">
        <f>'побудинковий звіт'!DE290</f>
        <v>2031.5162676413056</v>
      </c>
      <c r="M289" s="544">
        <f>'побудинковий звіт'!DA290*-1</f>
        <v>5895.3283411370758</v>
      </c>
    </row>
    <row r="290" spans="1:13" ht="20.100000000000001" customHeight="1" x14ac:dyDescent="0.3">
      <c r="A290" s="366" t="s">
        <v>737</v>
      </c>
      <c r="B290" s="291" t="s">
        <v>220</v>
      </c>
      <c r="C290" s="367">
        <v>4</v>
      </c>
      <c r="D290" s="357">
        <f>'побудинковий звіт'!CU291</f>
        <v>144496.76899634505</v>
      </c>
      <c r="E290" s="341">
        <f>'побудинковий звіт'!CV291</f>
        <v>235273.16077569118</v>
      </c>
      <c r="F290" s="341">
        <f t="shared" si="16"/>
        <v>90776.39177934613</v>
      </c>
      <c r="G290" s="358">
        <f t="shared" si="17"/>
        <v>1.6282243707583679</v>
      </c>
      <c r="H290" s="352">
        <f>('побудинковий звіт'!AS291+'побудинковий звіт'!BQ291)*1.2</f>
        <v>43860.230272566791</v>
      </c>
      <c r="I290" s="340">
        <f>('побудинковий звіт'!AT291+'побудинковий звіт'!BR291)*1.2</f>
        <v>131615.26799999998</v>
      </c>
      <c r="J290" s="340">
        <f t="shared" si="18"/>
        <v>87755.037727433199</v>
      </c>
      <c r="K290" s="361">
        <f t="shared" si="19"/>
        <v>3.0007883493106338</v>
      </c>
      <c r="L290" s="363">
        <f>'побудинковий звіт'!DE291</f>
        <v>2121.4458119375886</v>
      </c>
      <c r="M290" s="544">
        <f>'побудинковий звіт'!DA291*-1</f>
        <v>-72653.850613079965</v>
      </c>
    </row>
    <row r="291" spans="1:13" ht="20.100000000000001" customHeight="1" x14ac:dyDescent="0.3">
      <c r="A291" s="366" t="s">
        <v>738</v>
      </c>
      <c r="B291" s="291" t="s">
        <v>221</v>
      </c>
      <c r="C291" s="367">
        <v>4</v>
      </c>
      <c r="D291" s="357">
        <f>'побудинковий звіт'!CU292</f>
        <v>104465.57806382462</v>
      </c>
      <c r="E291" s="341">
        <f>'побудинковий звіт'!CV292</f>
        <v>84674.016817163661</v>
      </c>
      <c r="F291" s="341">
        <f t="shared" si="16"/>
        <v>-19791.56124666096</v>
      </c>
      <c r="G291" s="358">
        <f t="shared" si="17"/>
        <v>0.81054466348169685</v>
      </c>
      <c r="H291" s="352">
        <f>('побудинковий звіт'!AS292+'побудинковий звіт'!BQ292)*1.2</f>
        <v>30994.460272014559</v>
      </c>
      <c r="I291" s="340">
        <f>('побудинковий звіт'!AT292+'побудинковий звіт'!BR292)*1.2</f>
        <v>4057.3455932530469</v>
      </c>
      <c r="J291" s="340">
        <f t="shared" si="18"/>
        <v>-26937.114678761514</v>
      </c>
      <c r="K291" s="361">
        <f t="shared" si="19"/>
        <v>0.13090550884399479</v>
      </c>
      <c r="L291" s="363">
        <f>'побудинковий звіт'!DE292</f>
        <v>34900.664446705792</v>
      </c>
      <c r="M291" s="544">
        <f>'побудинковий звіт'!DA292*-1</f>
        <v>-21535.23267843762</v>
      </c>
    </row>
    <row r="292" spans="1:13" ht="20.100000000000001" customHeight="1" x14ac:dyDescent="0.3">
      <c r="A292" s="366" t="s">
        <v>739</v>
      </c>
      <c r="B292" s="291" t="s">
        <v>222</v>
      </c>
      <c r="C292" s="367">
        <v>4</v>
      </c>
      <c r="D292" s="357">
        <f>'побудинковий звіт'!CU293</f>
        <v>139404.25083547554</v>
      </c>
      <c r="E292" s="341">
        <f>'побудинковий звіт'!CV293</f>
        <v>102900.10358884874</v>
      </c>
      <c r="F292" s="341">
        <f t="shared" si="16"/>
        <v>-36504.147246626802</v>
      </c>
      <c r="G292" s="358">
        <f t="shared" si="17"/>
        <v>0.73814179246435685</v>
      </c>
      <c r="H292" s="352">
        <f>('побудинковий звіт'!AS293+'побудинковий звіт'!BQ293)*1.2</f>
        <v>46659.326638349783</v>
      </c>
      <c r="I292" s="340">
        <f>('побудинковий звіт'!AT293+'побудинковий звіт'!BR293)*1.2</f>
        <v>9791.7240000000002</v>
      </c>
      <c r="J292" s="340">
        <f t="shared" si="18"/>
        <v>-36867.602638349781</v>
      </c>
      <c r="K292" s="361">
        <f t="shared" si="19"/>
        <v>0.20985566456829408</v>
      </c>
      <c r="L292" s="363">
        <f>'побудинковий звіт'!DE293</f>
        <v>32399.055961266167</v>
      </c>
      <c r="M292" s="544">
        <f>'побудинковий звіт'!DA293*-1</f>
        <v>49657.019743001809</v>
      </c>
    </row>
    <row r="293" spans="1:13" ht="20.100000000000001" customHeight="1" x14ac:dyDescent="0.3">
      <c r="A293" s="366" t="s">
        <v>740</v>
      </c>
      <c r="B293" s="291" t="s">
        <v>290</v>
      </c>
      <c r="C293" s="367">
        <v>5</v>
      </c>
      <c r="D293" s="357">
        <f>'побудинковий звіт'!CU294</f>
        <v>201237.23240845656</v>
      </c>
      <c r="E293" s="341">
        <f>'побудинковий звіт'!CV294</f>
        <v>237309.31172788262</v>
      </c>
      <c r="F293" s="341">
        <f t="shared" si="16"/>
        <v>36072.079319426062</v>
      </c>
      <c r="G293" s="358">
        <f t="shared" si="17"/>
        <v>1.1792515176625447</v>
      </c>
      <c r="H293" s="352">
        <f>('побудинковий звіт'!AS294+'побудинковий звіт'!BQ294)*1.2</f>
        <v>73510.939043423641</v>
      </c>
      <c r="I293" s="340">
        <f>('побудинковий звіт'!AT294+'побудинковий звіт'!BR294)*1.2</f>
        <v>110297.35199999998</v>
      </c>
      <c r="J293" s="340">
        <f t="shared" si="18"/>
        <v>36786.412956576343</v>
      </c>
      <c r="K293" s="361">
        <f t="shared" si="19"/>
        <v>1.5004209364656087</v>
      </c>
      <c r="L293" s="363">
        <f>'побудинковий звіт'!DE294</f>
        <v>14940.513779832803</v>
      </c>
      <c r="M293" s="546">
        <f>'побудинковий звіт'!DA294*-1</f>
        <v>-94990.866376611084</v>
      </c>
    </row>
    <row r="294" spans="1:13" ht="20.100000000000001" customHeight="1" x14ac:dyDescent="0.3">
      <c r="A294" s="366" t="s">
        <v>741</v>
      </c>
      <c r="B294" s="291" t="s">
        <v>223</v>
      </c>
      <c r="C294" s="367">
        <v>4</v>
      </c>
      <c r="D294" s="357">
        <f>'побудинковий звіт'!CU295</f>
        <v>191207.73987474019</v>
      </c>
      <c r="E294" s="341">
        <f>'побудинковий звіт'!CV295</f>
        <v>235116.09916414338</v>
      </c>
      <c r="F294" s="341">
        <f t="shared" si="16"/>
        <v>43908.35928940319</v>
      </c>
      <c r="G294" s="358">
        <f t="shared" si="17"/>
        <v>1.2296369347714033</v>
      </c>
      <c r="H294" s="352">
        <f>('побудинковий звіт'!AS295+'побудинковий звіт'!BQ295)*1.2</f>
        <v>57303.086132852062</v>
      </c>
      <c r="I294" s="340">
        <f>('побудинковий звіт'!AT295+'побудинковий звіт'!BR295)*1.2</f>
        <v>100077.56025120524</v>
      </c>
      <c r="J294" s="340">
        <f t="shared" si="18"/>
        <v>42774.474118353181</v>
      </c>
      <c r="K294" s="361">
        <f t="shared" si="19"/>
        <v>1.7464602171545247</v>
      </c>
      <c r="L294" s="363">
        <f>'побудинковий звіт'!DE295</f>
        <v>11807.366912868889</v>
      </c>
      <c r="M294" s="544">
        <f>'побудинковий звіт'!DA295*-1</f>
        <v>-30247.721731618491</v>
      </c>
    </row>
    <row r="295" spans="1:13" ht="20.100000000000001" customHeight="1" x14ac:dyDescent="0.3">
      <c r="A295" s="366" t="s">
        <v>742</v>
      </c>
      <c r="B295" s="291" t="s">
        <v>198</v>
      </c>
      <c r="C295" s="367">
        <v>3</v>
      </c>
      <c r="D295" s="357">
        <f>'побудинковий звіт'!CU296</f>
        <v>83469.836260572818</v>
      </c>
      <c r="E295" s="341">
        <f>'побудинковий звіт'!CV296</f>
        <v>88428.219951457329</v>
      </c>
      <c r="F295" s="341">
        <f t="shared" si="16"/>
        <v>4958.3836908845115</v>
      </c>
      <c r="G295" s="358">
        <f t="shared" si="17"/>
        <v>1.0594032995992184</v>
      </c>
      <c r="H295" s="352">
        <f>('побудинковий звіт'!AS296+'побудинковий звіт'!BQ296)*1.2</f>
        <v>23296.834524687711</v>
      </c>
      <c r="I295" s="340">
        <f>('побудинковий звіт'!AT296+'побудинковий звіт'!BR296)*1.2</f>
        <v>26456.088</v>
      </c>
      <c r="J295" s="340">
        <f t="shared" si="18"/>
        <v>3159.2534753122891</v>
      </c>
      <c r="K295" s="361">
        <f t="shared" si="19"/>
        <v>1.1356087013437135</v>
      </c>
      <c r="L295" s="363">
        <f>'побудинковий звіт'!DE296</f>
        <v>243.8478892029716</v>
      </c>
      <c r="M295" s="544">
        <f>'побудинковий звіт'!DA296*-1</f>
        <v>-8114.8952367916027</v>
      </c>
    </row>
    <row r="296" spans="1:13" ht="20.100000000000001" customHeight="1" x14ac:dyDescent="0.3">
      <c r="A296" s="366" t="s">
        <v>743</v>
      </c>
      <c r="B296" s="291" t="s">
        <v>224</v>
      </c>
      <c r="C296" s="367">
        <v>4</v>
      </c>
      <c r="D296" s="357">
        <f>'побудинковий звіт'!CU297</f>
        <v>89497.61113694332</v>
      </c>
      <c r="E296" s="341">
        <f>'побудинковий звіт'!CV297</f>
        <v>109608.80842928927</v>
      </c>
      <c r="F296" s="341">
        <f t="shared" si="16"/>
        <v>20111.197292345954</v>
      </c>
      <c r="G296" s="358">
        <f t="shared" si="17"/>
        <v>1.2247121128358738</v>
      </c>
      <c r="H296" s="352">
        <f>('побудинковий звіт'!AS297+'побудинковий звіт'!BQ297)*1.2</f>
        <v>20907.012514931772</v>
      </c>
      <c r="I296" s="340">
        <f>('побудинковий звіт'!AT297+'побудинковий звіт'!BR297)*1.2</f>
        <v>41038.116000000002</v>
      </c>
      <c r="J296" s="340">
        <f t="shared" si="18"/>
        <v>20131.10348506823</v>
      </c>
      <c r="K296" s="361">
        <f t="shared" si="19"/>
        <v>1.962887618242473</v>
      </c>
      <c r="L296" s="363">
        <f>'побудинковий звіт'!DE297</f>
        <v>-1155.1587815245239</v>
      </c>
      <c r="M296" s="544">
        <f>'побудинковий звіт'!DA297*-1</f>
        <v>3260.8906695012338</v>
      </c>
    </row>
    <row r="297" spans="1:13" ht="20.100000000000001" customHeight="1" x14ac:dyDescent="0.3">
      <c r="A297" s="366" t="s">
        <v>744</v>
      </c>
      <c r="B297" s="291" t="s">
        <v>225</v>
      </c>
      <c r="C297" s="367">
        <v>4</v>
      </c>
      <c r="D297" s="357">
        <f>'побудинковий звіт'!CU298</f>
        <v>151142.32365856977</v>
      </c>
      <c r="E297" s="341">
        <f>'побудинковий звіт'!CV298</f>
        <v>122671.23306462039</v>
      </c>
      <c r="F297" s="341">
        <f t="shared" si="16"/>
        <v>-28471.090593949382</v>
      </c>
      <c r="G297" s="358">
        <f t="shared" si="17"/>
        <v>0.81162728013719354</v>
      </c>
      <c r="H297" s="352">
        <f>('побудинковий звіт'!AS298+'побудинковий звіт'!BQ298)*1.2</f>
        <v>44895.34430269841</v>
      </c>
      <c r="I297" s="340">
        <f>('побудинковий звіт'!AT298+'побудинковий звіт'!BR298)*1.2</f>
        <v>15051.275999999998</v>
      </c>
      <c r="J297" s="340">
        <f t="shared" si="18"/>
        <v>-29844.068302698412</v>
      </c>
      <c r="K297" s="361">
        <f t="shared" si="19"/>
        <v>0.33525249073756069</v>
      </c>
      <c r="L297" s="363">
        <f>'побудинковий звіт'!DE298</f>
        <v>7052.3913054117475</v>
      </c>
      <c r="M297" s="544">
        <f>'побудинковий звіт'!DA298*-1</f>
        <v>-5141.0250369481328</v>
      </c>
    </row>
    <row r="298" spans="1:13" ht="20.100000000000001" customHeight="1" x14ac:dyDescent="0.3">
      <c r="A298" s="366" t="s">
        <v>745</v>
      </c>
      <c r="B298" s="291" t="s">
        <v>291</v>
      </c>
      <c r="C298" s="367">
        <v>5</v>
      </c>
      <c r="D298" s="357">
        <f>'побудинковий звіт'!CU299</f>
        <v>98447.836821901146</v>
      </c>
      <c r="E298" s="341">
        <f>'побудинковий звіт'!CV299</f>
        <v>77194.394150114022</v>
      </c>
      <c r="F298" s="341">
        <f t="shared" si="16"/>
        <v>-21253.442671787125</v>
      </c>
      <c r="G298" s="358">
        <f t="shared" si="17"/>
        <v>0.78411468085138269</v>
      </c>
      <c r="H298" s="352">
        <f>('побудинковий звіт'!AS299+'побудинковий звіт'!BQ299)*1.2</f>
        <v>27247.340575678034</v>
      </c>
      <c r="I298" s="340">
        <f>('побудинковий звіт'!AT299+'побудинковий звіт'!BR299)*1.2</f>
        <v>2742</v>
      </c>
      <c r="J298" s="340">
        <f t="shared" si="18"/>
        <v>-24505.340575678034</v>
      </c>
      <c r="K298" s="361">
        <f t="shared" si="19"/>
        <v>0.10063367440885621</v>
      </c>
      <c r="L298" s="363">
        <f>'побудинковий звіт'!DE299</f>
        <v>14798.136336448973</v>
      </c>
      <c r="M298" s="544">
        <f>'побудинковий звіт'!DA299*-1</f>
        <v>9974.4525086939175</v>
      </c>
    </row>
    <row r="299" spans="1:13" ht="20.100000000000001" customHeight="1" x14ac:dyDescent="0.3">
      <c r="A299" s="366" t="s">
        <v>746</v>
      </c>
      <c r="B299" s="291" t="s">
        <v>134</v>
      </c>
      <c r="C299" s="367">
        <v>1</v>
      </c>
      <c r="D299" s="357">
        <f>'побудинковий звіт'!CU300</f>
        <v>4536.2479548830106</v>
      </c>
      <c r="E299" s="341">
        <f>'побудинковий звіт'!CV300</f>
        <v>3050.4430665278255</v>
      </c>
      <c r="F299" s="341">
        <f t="shared" si="16"/>
        <v>-1485.8048883551851</v>
      </c>
      <c r="G299" s="358">
        <f t="shared" si="17"/>
        <v>0.67245950769604612</v>
      </c>
      <c r="H299" s="352">
        <f>('побудинковий звіт'!AS300+'побудинковий звіт'!BQ300)*1.2</f>
        <v>2585.5342818839904</v>
      </c>
      <c r="I299" s="340">
        <f>('побудинковий звіт'!AT300+'побудинковий звіт'!BR300)*1.2</f>
        <v>0</v>
      </c>
      <c r="J299" s="340">
        <f t="shared" si="18"/>
        <v>-2585.5342818839904</v>
      </c>
      <c r="K299" s="361">
        <f t="shared" si="19"/>
        <v>0</v>
      </c>
      <c r="L299" s="363">
        <f>'побудинковий звіт'!DE300</f>
        <v>422.61901693265037</v>
      </c>
      <c r="M299" s="544">
        <f>'побудинковий звіт'!DA300*-1</f>
        <v>7150.0452857462969</v>
      </c>
    </row>
    <row r="300" spans="1:13" ht="20.100000000000001" customHeight="1" x14ac:dyDescent="0.3">
      <c r="A300" s="366" t="s">
        <v>747</v>
      </c>
      <c r="B300" s="291" t="s">
        <v>186</v>
      </c>
      <c r="C300" s="367">
        <v>1</v>
      </c>
      <c r="D300" s="357">
        <f>'побудинковий звіт'!CU301</f>
        <v>7999.4829447998463</v>
      </c>
      <c r="E300" s="341">
        <f>'побудинковий звіт'!CV301</f>
        <v>2243.2557041808795</v>
      </c>
      <c r="F300" s="341">
        <f t="shared" si="16"/>
        <v>-5756.2272406189668</v>
      </c>
      <c r="G300" s="358">
        <f t="shared" si="17"/>
        <v>0.28042508742882349</v>
      </c>
      <c r="H300" s="352">
        <f>('побудинковий звіт'!AS301+'побудинковий звіт'!BQ301)*1.2</f>
        <v>5534.9293319623248</v>
      </c>
      <c r="I300" s="340">
        <f>('побудинковий звіт'!AT301+'побудинковий звіт'!BR301)*1.2</f>
        <v>0</v>
      </c>
      <c r="J300" s="340">
        <f t="shared" si="18"/>
        <v>-5534.9293319623248</v>
      </c>
      <c r="K300" s="361">
        <f t="shared" si="19"/>
        <v>0</v>
      </c>
      <c r="L300" s="363">
        <f>'побудинковий звіт'!DE301</f>
        <v>2.7234074199639053</v>
      </c>
      <c r="M300" s="544">
        <f>'побудинковий звіт'!DA301*-1</f>
        <v>5271.6586713342431</v>
      </c>
    </row>
    <row r="301" spans="1:13" ht="20.100000000000001" customHeight="1" x14ac:dyDescent="0.3">
      <c r="A301" s="366" t="s">
        <v>748</v>
      </c>
      <c r="B301" s="291" t="s">
        <v>135</v>
      </c>
      <c r="C301" s="367">
        <v>1</v>
      </c>
      <c r="D301" s="357">
        <f>'побудинковий звіт'!CU302</f>
        <v>2539.1285552583363</v>
      </c>
      <c r="E301" s="341">
        <f>'побудинковий звіт'!CV302</f>
        <v>1192.0171333453111</v>
      </c>
      <c r="F301" s="341">
        <f t="shared" si="16"/>
        <v>-1347.1114219130252</v>
      </c>
      <c r="G301" s="358">
        <f t="shared" si="17"/>
        <v>0.46945915002087507</v>
      </c>
      <c r="H301" s="352">
        <f>('побудинковий звіт'!AS302+'побудинковий звіт'!BQ302)*1.2</f>
        <v>1883.4346571296453</v>
      </c>
      <c r="I301" s="340">
        <f>('побудинковий звіт'!AT302+'побудинковий звіт'!BR302)*1.2</f>
        <v>0</v>
      </c>
      <c r="J301" s="340">
        <f t="shared" si="18"/>
        <v>-1883.4346571296453</v>
      </c>
      <c r="K301" s="361">
        <f t="shared" si="19"/>
        <v>0</v>
      </c>
      <c r="L301" s="363">
        <f>'побудинковий звіт'!DE302</f>
        <v>721.00752114760428</v>
      </c>
      <c r="M301" s="544">
        <f>'побудинковий звіт'!DA302*-1</f>
        <v>5184.787506870699</v>
      </c>
    </row>
    <row r="302" spans="1:13" ht="20.100000000000001" customHeight="1" x14ac:dyDescent="0.3">
      <c r="A302" s="366" t="s">
        <v>749</v>
      </c>
      <c r="B302" s="291" t="s">
        <v>292</v>
      </c>
      <c r="C302" s="367">
        <v>5</v>
      </c>
      <c r="D302" s="357">
        <f>'побудинковий звіт'!CU303</f>
        <v>169230.73680414393</v>
      </c>
      <c r="E302" s="341">
        <f>'побудинковий звіт'!CV303</f>
        <v>139092.39164933327</v>
      </c>
      <c r="F302" s="341">
        <f t="shared" si="16"/>
        <v>-30138.345154810668</v>
      </c>
      <c r="G302" s="358">
        <f t="shared" si="17"/>
        <v>0.82190974450645615</v>
      </c>
      <c r="H302" s="352">
        <f>('побудинковий звіт'!AS303+'побудинковий звіт'!BQ303)*1.2</f>
        <v>50758.771641309759</v>
      </c>
      <c r="I302" s="340">
        <f>('побудинковий звіт'!AT303+'побудинковий звіт'!BR303)*1.2</f>
        <v>21118.799999999999</v>
      </c>
      <c r="J302" s="340">
        <f t="shared" si="18"/>
        <v>-29639.971641309759</v>
      </c>
      <c r="K302" s="361">
        <f t="shared" si="19"/>
        <v>0.41606207788552108</v>
      </c>
      <c r="L302" s="363">
        <f>'побудинковий звіт'!DE303</f>
        <v>15.814604104607497</v>
      </c>
      <c r="M302" s="544">
        <f>'побудинковий звіт'!DA303*-1</f>
        <v>-6347.3759209521668</v>
      </c>
    </row>
    <row r="303" spans="1:13" ht="20.100000000000001" customHeight="1" x14ac:dyDescent="0.3">
      <c r="A303" s="366" t="s">
        <v>750</v>
      </c>
      <c r="B303" s="291" t="s">
        <v>423</v>
      </c>
      <c r="C303" s="367">
        <v>10</v>
      </c>
      <c r="D303" s="357">
        <f>'побудинковий звіт'!CU304</f>
        <v>345480.7905594699</v>
      </c>
      <c r="E303" s="341">
        <f>'побудинковий звіт'!CV304</f>
        <v>279570.81935847912</v>
      </c>
      <c r="F303" s="341">
        <f t="shared" si="16"/>
        <v>-65909.971200990782</v>
      </c>
      <c r="G303" s="358">
        <f t="shared" si="17"/>
        <v>0.80922247198098485</v>
      </c>
      <c r="H303" s="352">
        <f>('побудинковий звіт'!AS304+'побудинковий звіт'!BQ304)*1.2</f>
        <v>75796.285633866559</v>
      </c>
      <c r="I303" s="340">
        <f>('побудинковий звіт'!AT304+'побудинковий звіт'!BR304)*1.2</f>
        <v>15012.767999999998</v>
      </c>
      <c r="J303" s="340">
        <f t="shared" si="18"/>
        <v>-60783.517633866562</v>
      </c>
      <c r="K303" s="361">
        <f t="shared" si="19"/>
        <v>0.19806733106314828</v>
      </c>
      <c r="L303" s="363">
        <f>'побудинковий звіт'!DE304</f>
        <v>21509.272986021075</v>
      </c>
      <c r="M303" s="544">
        <f>'побудинковий звіт'!DA304*-1</f>
        <v>50758.313776396113</v>
      </c>
    </row>
    <row r="304" spans="1:13" ht="20.100000000000001" customHeight="1" x14ac:dyDescent="0.3">
      <c r="A304" s="366" t="s">
        <v>751</v>
      </c>
      <c r="B304" s="291" t="s">
        <v>393</v>
      </c>
      <c r="C304" s="367">
        <v>9</v>
      </c>
      <c r="D304" s="357">
        <f>'побудинковий звіт'!CU305</f>
        <v>342645.69578453008</v>
      </c>
      <c r="E304" s="341">
        <f>'побудинковий звіт'!CV305</f>
        <v>354588.82242172392</v>
      </c>
      <c r="F304" s="341">
        <f t="shared" si="16"/>
        <v>11943.12663719384</v>
      </c>
      <c r="G304" s="358">
        <f t="shared" si="17"/>
        <v>1.0348556155356003</v>
      </c>
      <c r="H304" s="352">
        <f>('побудинковий звіт'!AS305+'побудинковий звіт'!BQ305)*1.2</f>
        <v>81604.265195335392</v>
      </c>
      <c r="I304" s="340">
        <f>('побудинковий звіт'!AT305+'побудинковий звіт'!BR305)*1.2</f>
        <v>95661.359999999986</v>
      </c>
      <c r="J304" s="340">
        <f t="shared" si="18"/>
        <v>14057.094804664594</v>
      </c>
      <c r="K304" s="361">
        <f t="shared" si="19"/>
        <v>1.1722593147676319</v>
      </c>
      <c r="L304" s="363">
        <f>'побудинковий звіт'!DE305</f>
        <v>22459.273910360374</v>
      </c>
      <c r="M304" s="544">
        <f>'побудинковий звіт'!DA305*-1</f>
        <v>-492087.43247082049</v>
      </c>
    </row>
    <row r="305" spans="1:13" ht="20.100000000000001" customHeight="1" x14ac:dyDescent="0.3">
      <c r="A305" s="366" t="s">
        <v>752</v>
      </c>
      <c r="B305" s="291" t="s">
        <v>199</v>
      </c>
      <c r="C305" s="367">
        <v>3</v>
      </c>
      <c r="D305" s="357">
        <f>'побудинковий звіт'!CU306</f>
        <v>121107.82366445889</v>
      </c>
      <c r="E305" s="341">
        <f>'побудинковий звіт'!CV306</f>
        <v>179182.25933504393</v>
      </c>
      <c r="F305" s="341">
        <f t="shared" si="16"/>
        <v>58074.435670585037</v>
      </c>
      <c r="G305" s="358">
        <f t="shared" si="17"/>
        <v>1.4795267053224073</v>
      </c>
      <c r="H305" s="352">
        <f>('побудинковий звіт'!AS306+'побудинковий звіт'!BQ306)*1.2</f>
        <v>36784.404714288547</v>
      </c>
      <c r="I305" s="340">
        <f>('побудинковий звіт'!AT306+'побудинковий звіт'!BR306)*1.2</f>
        <v>97761.864000000001</v>
      </c>
      <c r="J305" s="340">
        <f t="shared" si="18"/>
        <v>60977.459285711455</v>
      </c>
      <c r="K305" s="361">
        <f t="shared" si="19"/>
        <v>2.6576986839758576</v>
      </c>
      <c r="L305" s="363">
        <f>'побудинковий звіт'!DE306</f>
        <v>-2312.7331309650308</v>
      </c>
      <c r="M305" s="544">
        <f>'побудинковий звіт'!DA306*-1</f>
        <v>-55314.925440949584</v>
      </c>
    </row>
    <row r="306" spans="1:13" ht="20.100000000000001" customHeight="1" x14ac:dyDescent="0.3">
      <c r="A306" s="366" t="s">
        <v>753</v>
      </c>
      <c r="B306" s="291" t="s">
        <v>200</v>
      </c>
      <c r="C306" s="367">
        <v>3</v>
      </c>
      <c r="D306" s="357">
        <f>'побудинковий звіт'!CU307</f>
        <v>38504.281340177957</v>
      </c>
      <c r="E306" s="341">
        <f>'побудинковий звіт'!CV307</f>
        <v>34479.682290107761</v>
      </c>
      <c r="F306" s="341">
        <f t="shared" si="16"/>
        <v>-4024.5990500701955</v>
      </c>
      <c r="G306" s="358">
        <f t="shared" si="17"/>
        <v>0.89547658312296152</v>
      </c>
      <c r="H306" s="352">
        <f>('побудинковий звіт'!AS307+'побудинковий звіт'!BQ307)*1.2</f>
        <v>8551.3925448173759</v>
      </c>
      <c r="I306" s="340">
        <f>('побудинковий звіт'!AT307+'побудинковий звіт'!BR307)*1.2</f>
        <v>3927.5640000000003</v>
      </c>
      <c r="J306" s="340">
        <f t="shared" si="18"/>
        <v>-4623.8285448173756</v>
      </c>
      <c r="K306" s="361">
        <f t="shared" si="19"/>
        <v>0.45928940572144877</v>
      </c>
      <c r="L306" s="363">
        <f>'побудинковий звіт'!DE307</f>
        <v>308.28093611275881</v>
      </c>
      <c r="M306" s="544">
        <f>'побудинковий звіт'!DA307*-1</f>
        <v>-17125.858488191243</v>
      </c>
    </row>
    <row r="307" spans="1:13" ht="20.100000000000001" customHeight="1" x14ac:dyDescent="0.3">
      <c r="A307" s="366" t="s">
        <v>754</v>
      </c>
      <c r="B307" s="291" t="s">
        <v>136</v>
      </c>
      <c r="C307" s="367">
        <v>1</v>
      </c>
      <c r="D307" s="357">
        <f>'побудинковий звіт'!CU308</f>
        <v>3322.1864873756599</v>
      </c>
      <c r="E307" s="341">
        <f>'побудинковий звіт'!CV308</f>
        <v>1383.3135967985918</v>
      </c>
      <c r="F307" s="341">
        <f t="shared" si="16"/>
        <v>-1938.8728905770681</v>
      </c>
      <c r="G307" s="358">
        <f t="shared" si="17"/>
        <v>0.41638649788481069</v>
      </c>
      <c r="H307" s="352">
        <f>('побудинковий звіт'!AS308+'побудинковий звіт'!BQ308)*1.2</f>
        <v>2409.122836968912</v>
      </c>
      <c r="I307" s="340">
        <f>('побудинковий звіт'!AT308+'побудинковий звіт'!BR308)*1.2</f>
        <v>0</v>
      </c>
      <c r="J307" s="340">
        <f t="shared" si="18"/>
        <v>-2409.122836968912</v>
      </c>
      <c r="K307" s="361">
        <f t="shared" si="19"/>
        <v>0</v>
      </c>
      <c r="L307" s="363">
        <f>'побудинковий звіт'!DE308</f>
        <v>-3.4563439499493143E-3</v>
      </c>
      <c r="M307" s="544">
        <f>'побудинковий звіт'!DA308*-1</f>
        <v>3193.0257647512553</v>
      </c>
    </row>
    <row r="308" spans="1:13" ht="20.100000000000001" customHeight="1" x14ac:dyDescent="0.3">
      <c r="A308" s="366" t="s">
        <v>755</v>
      </c>
      <c r="B308" s="291" t="s">
        <v>394</v>
      </c>
      <c r="C308" s="367">
        <v>9</v>
      </c>
      <c r="D308" s="357">
        <f>'побудинковий звіт'!CU309</f>
        <v>314659.81626222236</v>
      </c>
      <c r="E308" s="341">
        <f>'побудинковий звіт'!CV309</f>
        <v>287085.88753540028</v>
      </c>
      <c r="F308" s="341">
        <f t="shared" si="16"/>
        <v>-27573.92872682208</v>
      </c>
      <c r="G308" s="358">
        <f t="shared" si="17"/>
        <v>0.91236908145956808</v>
      </c>
      <c r="H308" s="352">
        <f>('побудинковий звіт'!AS309+'побудинковий звіт'!BQ309)*1.2</f>
        <v>75020.007626054416</v>
      </c>
      <c r="I308" s="340">
        <f>('побудинковий звіт'!AT309+'побудинковий звіт'!BR309)*1.2</f>
        <v>51792.757515377147</v>
      </c>
      <c r="J308" s="340">
        <f t="shared" si="18"/>
        <v>-23227.250110677269</v>
      </c>
      <c r="K308" s="361">
        <f t="shared" si="19"/>
        <v>0.69038592709219537</v>
      </c>
      <c r="L308" s="363">
        <f>'побудинковий звіт'!DE309</f>
        <v>14586.595986151369</v>
      </c>
      <c r="M308" s="544">
        <f>'побудинковий звіт'!DA309*-1</f>
        <v>-12759.113673417134</v>
      </c>
    </row>
    <row r="309" spans="1:13" ht="20.100000000000001" customHeight="1" x14ac:dyDescent="0.3">
      <c r="A309" s="366" t="s">
        <v>756</v>
      </c>
      <c r="B309" s="291" t="s">
        <v>137</v>
      </c>
      <c r="C309" s="367">
        <v>1</v>
      </c>
      <c r="D309" s="357">
        <f>'побудинковий звіт'!CU310</f>
        <v>3231.5914032922078</v>
      </c>
      <c r="E309" s="341">
        <f>'побудинковий звіт'!CV310</f>
        <v>2098.0157598510609</v>
      </c>
      <c r="F309" s="341">
        <f t="shared" si="16"/>
        <v>-1133.5756434411469</v>
      </c>
      <c r="G309" s="358">
        <f t="shared" si="17"/>
        <v>0.64922061548798893</v>
      </c>
      <c r="H309" s="352">
        <f>('побудинковий звіт'!AS310+'побудинковий звіт'!BQ310)*1.2</f>
        <v>2010.6966390555062</v>
      </c>
      <c r="I309" s="340">
        <f>('побудинковий звіт'!AT310+'побудинковий звіт'!BR310)*1.2</f>
        <v>0</v>
      </c>
      <c r="J309" s="340">
        <f t="shared" si="18"/>
        <v>-2010.6966390555062</v>
      </c>
      <c r="K309" s="361">
        <f t="shared" si="19"/>
        <v>0</v>
      </c>
      <c r="L309" s="363">
        <f>'побудинковий звіт'!DE310</f>
        <v>1.4583623625412656E-3</v>
      </c>
      <c r="M309" s="544">
        <f>'побудинковий звіт'!DA310*-1</f>
        <v>2921.3518820065328</v>
      </c>
    </row>
    <row r="310" spans="1:13" ht="20.100000000000001" customHeight="1" x14ac:dyDescent="0.3">
      <c r="A310" s="366" t="s">
        <v>757</v>
      </c>
      <c r="B310" s="291" t="s">
        <v>187</v>
      </c>
      <c r="C310" s="367">
        <v>2</v>
      </c>
      <c r="D310" s="357">
        <f>'побудинковий звіт'!CU311</f>
        <v>17958.904626023876</v>
      </c>
      <c r="E310" s="341">
        <f>'побудинковий звіт'!CV311</f>
        <v>12423.290066329007</v>
      </c>
      <c r="F310" s="341">
        <f t="shared" si="16"/>
        <v>-5535.6145596948681</v>
      </c>
      <c r="G310" s="358">
        <f t="shared" si="17"/>
        <v>0.6917621272027179</v>
      </c>
      <c r="H310" s="352">
        <f>('побудинковий звіт'!AS311+'побудинковий звіт'!BQ311)*1.2</f>
        <v>5055.3247537887737</v>
      </c>
      <c r="I310" s="340">
        <f>('побудинковий звіт'!AT311+'побудинковий звіт'!BR311)*1.2</f>
        <v>0</v>
      </c>
      <c r="J310" s="340">
        <f t="shared" si="18"/>
        <v>-5055.3247537887737</v>
      </c>
      <c r="K310" s="361">
        <f t="shared" si="19"/>
        <v>0</v>
      </c>
      <c r="L310" s="363">
        <f>'побудинковий звіт'!DE311</f>
        <v>-9.2282017644720327E-3</v>
      </c>
      <c r="M310" s="544">
        <f>'побудинковий звіт'!DA311*-1</f>
        <v>23672.875858121923</v>
      </c>
    </row>
    <row r="311" spans="1:13" ht="20.100000000000001" customHeight="1" x14ac:dyDescent="0.3">
      <c r="A311" s="366" t="s">
        <v>758</v>
      </c>
      <c r="B311" s="291" t="s">
        <v>138</v>
      </c>
      <c r="C311" s="367">
        <v>1</v>
      </c>
      <c r="D311" s="357">
        <f>'побудинковий звіт'!CU312</f>
        <v>2649.7583513693257</v>
      </c>
      <c r="E311" s="341">
        <f>'побудинковий звіт'!CV312</f>
        <v>1230.3058210487363</v>
      </c>
      <c r="F311" s="341">
        <f t="shared" si="16"/>
        <v>-1419.4525303205894</v>
      </c>
      <c r="G311" s="358">
        <f t="shared" si="17"/>
        <v>0.4643086870215718</v>
      </c>
      <c r="H311" s="352">
        <f>('побудинковий звіт'!AS312+'побудинковий звіт'!BQ312)*1.2</f>
        <v>1854.9290332058479</v>
      </c>
      <c r="I311" s="340">
        <f>('побудинковий звіт'!AT312+'побудинковий звіт'!BR312)*1.2</f>
        <v>0</v>
      </c>
      <c r="J311" s="340">
        <f t="shared" si="18"/>
        <v>-1854.9290332058479</v>
      </c>
      <c r="K311" s="361">
        <f t="shared" si="19"/>
        <v>0</v>
      </c>
      <c r="L311" s="363">
        <f>'побудинковий звіт'!DE312</f>
        <v>2328.576954855499</v>
      </c>
      <c r="M311" s="544">
        <f>'побудинковий звіт'!DA312*-1</f>
        <v>-2716.0946048655273</v>
      </c>
    </row>
    <row r="312" spans="1:13" ht="20.100000000000001" customHeight="1" x14ac:dyDescent="0.3">
      <c r="A312" s="366" t="s">
        <v>759</v>
      </c>
      <c r="B312" s="291" t="s">
        <v>139</v>
      </c>
      <c r="C312" s="367">
        <v>1</v>
      </c>
      <c r="D312" s="357">
        <f>'побудинковий звіт'!CU313</f>
        <v>5017.4957238177758</v>
      </c>
      <c r="E312" s="341">
        <f>'побудинковий звіт'!CV313</f>
        <v>1746.7173225635945</v>
      </c>
      <c r="F312" s="341">
        <f t="shared" si="16"/>
        <v>-3270.7784012541815</v>
      </c>
      <c r="G312" s="358">
        <f t="shared" si="17"/>
        <v>0.34812532360954962</v>
      </c>
      <c r="H312" s="352">
        <f>('побудинковий звіт'!AS313+'побудинковий звіт'!BQ313)*1.2</f>
        <v>4054.6435172593219</v>
      </c>
      <c r="I312" s="340">
        <f>('побудинковий звіт'!AT313+'побудинковий звіт'!BR313)*1.2</f>
        <v>0</v>
      </c>
      <c r="J312" s="340">
        <f t="shared" si="18"/>
        <v>-4054.6435172593219</v>
      </c>
      <c r="K312" s="361">
        <f t="shared" si="19"/>
        <v>0</v>
      </c>
      <c r="L312" s="363">
        <f>'побудинковий звіт'!DE313</f>
        <v>-358.84395475959366</v>
      </c>
      <c r="M312" s="544">
        <f>'побудинковий звіт'!DA313*-1</f>
        <v>4080.9123372053864</v>
      </c>
    </row>
    <row r="313" spans="1:13" ht="20.100000000000001" customHeight="1" x14ac:dyDescent="0.3">
      <c r="A313" s="366" t="s">
        <v>760</v>
      </c>
      <c r="B313" s="291" t="s">
        <v>140</v>
      </c>
      <c r="C313" s="367">
        <v>1</v>
      </c>
      <c r="D313" s="357">
        <f>'побудинковий звіт'!CU314</f>
        <v>2500.4644254356149</v>
      </c>
      <c r="E313" s="341">
        <f>'побудинковий звіт'!CV314</f>
        <v>962.01369267589644</v>
      </c>
      <c r="F313" s="341">
        <f t="shared" si="16"/>
        <v>-1538.4507327597184</v>
      </c>
      <c r="G313" s="358">
        <f t="shared" si="17"/>
        <v>0.38473400496721749</v>
      </c>
      <c r="H313" s="352">
        <f>('побудинковий звіт'!AS314+'побудинковий звіт'!BQ314)*1.2</f>
        <v>1915.3985498979887</v>
      </c>
      <c r="I313" s="340">
        <f>('побудинковий звіт'!AT314+'побудинковий звіт'!BR314)*1.2</f>
        <v>0</v>
      </c>
      <c r="J313" s="340">
        <f t="shared" si="18"/>
        <v>-1915.3985498979887</v>
      </c>
      <c r="K313" s="361">
        <f t="shared" si="19"/>
        <v>0</v>
      </c>
      <c r="L313" s="363">
        <f>'побудинковий звіт'!DE314</f>
        <v>158.99208479523222</v>
      </c>
      <c r="M313" s="544">
        <f>'побудинковий звіт'!DA314*-1</f>
        <v>5501.7582198197006</v>
      </c>
    </row>
    <row r="314" spans="1:13" ht="20.100000000000001" customHeight="1" x14ac:dyDescent="0.3">
      <c r="A314" s="366" t="s">
        <v>761</v>
      </c>
      <c r="B314" s="291" t="s">
        <v>226</v>
      </c>
      <c r="C314" s="367">
        <v>4</v>
      </c>
      <c r="D314" s="357">
        <f>'побудинковий звіт'!CU315</f>
        <v>71059.198907903483</v>
      </c>
      <c r="E314" s="341">
        <f>'побудинковий звіт'!CV315</f>
        <v>195424.20706384501</v>
      </c>
      <c r="F314" s="341">
        <f t="shared" si="16"/>
        <v>124365.00815594153</v>
      </c>
      <c r="G314" s="358">
        <f t="shared" si="17"/>
        <v>2.7501605712882466</v>
      </c>
      <c r="H314" s="352">
        <f>('побудинковий звіт'!AS315+'побудинковий звіт'!BQ315)*1.2</f>
        <v>20487.781000184146</v>
      </c>
      <c r="I314" s="340">
        <f>('побудинковий звіт'!AT315+'побудинковий звіт'!BR315)*1.2</f>
        <v>144712.79999999999</v>
      </c>
      <c r="J314" s="340">
        <f t="shared" si="18"/>
        <v>124225.01899981585</v>
      </c>
      <c r="K314" s="361">
        <f t="shared" si="19"/>
        <v>7.0633710892701993</v>
      </c>
      <c r="L314" s="363">
        <f>'побудинковий звіт'!DE315</f>
        <v>7617.0440338556928</v>
      </c>
      <c r="M314" s="546">
        <f>'побудинковий звіт'!DA315*-1</f>
        <v>-120755.25065303952</v>
      </c>
    </row>
    <row r="315" spans="1:13" ht="20.100000000000001" customHeight="1" x14ac:dyDescent="0.3">
      <c r="A315" s="366" t="s">
        <v>762</v>
      </c>
      <c r="B315" s="291" t="s">
        <v>424</v>
      </c>
      <c r="C315" s="367">
        <v>10</v>
      </c>
      <c r="D315" s="357">
        <f>'побудинковий звіт'!CU316</f>
        <v>480958.28534970427</v>
      </c>
      <c r="E315" s="341">
        <f>'побудинковий звіт'!CV316</f>
        <v>435765.39769793971</v>
      </c>
      <c r="F315" s="341">
        <f t="shared" si="16"/>
        <v>-45192.887651764555</v>
      </c>
      <c r="G315" s="358">
        <f t="shared" si="17"/>
        <v>0.90603574358032968</v>
      </c>
      <c r="H315" s="352">
        <f>('побудинковий звіт'!AS316+'побудинковий звіт'!BQ316)*1.2</f>
        <v>124591.31460073459</v>
      </c>
      <c r="I315" s="340">
        <f>('побудинковий звіт'!AT316+'побудинковий звіт'!BR316)*1.2</f>
        <v>90200.423999999999</v>
      </c>
      <c r="J315" s="340">
        <f t="shared" si="18"/>
        <v>-34390.890600734594</v>
      </c>
      <c r="K315" s="361">
        <f t="shared" si="19"/>
        <v>0.7239704010593061</v>
      </c>
      <c r="L315" s="363">
        <f>'побудинковий звіт'!DE316</f>
        <v>12059.430415005641</v>
      </c>
      <c r="M315" s="544">
        <f>'побудинковий звіт'!DA316*-1</f>
        <v>-26474.675394089216</v>
      </c>
    </row>
    <row r="316" spans="1:13" ht="20.100000000000001" customHeight="1" x14ac:dyDescent="0.3">
      <c r="A316" s="366" t="s">
        <v>763</v>
      </c>
      <c r="B316" s="291" t="s">
        <v>395</v>
      </c>
      <c r="C316" s="367">
        <v>9</v>
      </c>
      <c r="D316" s="357">
        <f>'побудинковий звіт'!CU317</f>
        <v>353829.05075081834</v>
      </c>
      <c r="E316" s="341">
        <f>'побудинковий звіт'!CV317</f>
        <v>282576.71956060536</v>
      </c>
      <c r="F316" s="341">
        <f t="shared" si="16"/>
        <v>-71252.331190212979</v>
      </c>
      <c r="G316" s="358">
        <f t="shared" si="17"/>
        <v>0.79862498277341298</v>
      </c>
      <c r="H316" s="352">
        <f>('побудинковий звіт'!AS317+'побудинковий звіт'!BQ317)*1.2</f>
        <v>84476.525972038435</v>
      </c>
      <c r="I316" s="340">
        <f>('побудинковий звіт'!AT317+'побудинковий звіт'!BR317)*1.2</f>
        <v>34951.404000000002</v>
      </c>
      <c r="J316" s="340">
        <f t="shared" si="18"/>
        <v>-49525.121972038432</v>
      </c>
      <c r="K316" s="361">
        <f t="shared" si="19"/>
        <v>0.41374101974279637</v>
      </c>
      <c r="L316" s="363">
        <f>'побудинковий звіт'!DE317</f>
        <v>10343.232215074826</v>
      </c>
      <c r="M316" s="546">
        <f>'побудинковий звіт'!DA317*-1</f>
        <v>2862.2315046763397</v>
      </c>
    </row>
    <row r="317" spans="1:13" ht="20.100000000000001" customHeight="1" x14ac:dyDescent="0.3">
      <c r="A317" s="366" t="s">
        <v>764</v>
      </c>
      <c r="B317" s="291" t="s">
        <v>293</v>
      </c>
      <c r="C317" s="367">
        <v>5</v>
      </c>
      <c r="D317" s="357">
        <f>'побудинковий звіт'!CU318</f>
        <v>82300.640197105764</v>
      </c>
      <c r="E317" s="341">
        <f>'побудинковий звіт'!CV318</f>
        <v>100408.8462355567</v>
      </c>
      <c r="F317" s="341">
        <f t="shared" si="16"/>
        <v>18108.206038450939</v>
      </c>
      <c r="G317" s="358">
        <f t="shared" si="17"/>
        <v>1.2200250933052614</v>
      </c>
      <c r="H317" s="352">
        <f>('побудинковий звіт'!AS318+'побудинковий звіт'!BQ318)*1.2</f>
        <v>24286.326187257753</v>
      </c>
      <c r="I317" s="340">
        <f>('побудинковий звіт'!AT318+'побудинковий звіт'!BR318)*1.2</f>
        <v>43307.4</v>
      </c>
      <c r="J317" s="340">
        <f t="shared" si="18"/>
        <v>19021.073812742248</v>
      </c>
      <c r="K317" s="361">
        <f t="shared" si="19"/>
        <v>1.7832009529181894</v>
      </c>
      <c r="L317" s="363">
        <f>'побудинковий звіт'!DE318</f>
        <v>4112.0151989176084</v>
      </c>
      <c r="M317" s="544">
        <f>'побудинковий звіт'!DA318*-1</f>
        <v>-7425.3426617015184</v>
      </c>
    </row>
    <row r="318" spans="1:13" ht="20.100000000000001" customHeight="1" x14ac:dyDescent="0.3">
      <c r="A318" s="366" t="s">
        <v>765</v>
      </c>
      <c r="B318" s="291" t="s">
        <v>294</v>
      </c>
      <c r="C318" s="367">
        <v>5</v>
      </c>
      <c r="D318" s="357">
        <f>'побудинковий звіт'!CU319</f>
        <v>270840.26900712086</v>
      </c>
      <c r="E318" s="341">
        <f>'побудинковий звіт'!CV319</f>
        <v>244208.90259324599</v>
      </c>
      <c r="F318" s="341">
        <f t="shared" si="16"/>
        <v>-26631.366413874872</v>
      </c>
      <c r="G318" s="358">
        <f t="shared" si="17"/>
        <v>0.90167131899734343</v>
      </c>
      <c r="H318" s="352">
        <f>('побудинковий звіт'!AS319+'побудинковий звіт'!BQ319)*1.2</f>
        <v>91551.832140562314</v>
      </c>
      <c r="I318" s="340">
        <f>('побудинковий звіт'!AT319+'побудинковий звіт'!BR319)*1.2</f>
        <v>59036.399999999994</v>
      </c>
      <c r="J318" s="340">
        <f t="shared" si="18"/>
        <v>-32515.43214056232</v>
      </c>
      <c r="K318" s="361">
        <f t="shared" si="19"/>
        <v>0.64484127318565965</v>
      </c>
      <c r="L318" s="363">
        <f>'побудинковий звіт'!DE319</f>
        <v>12530.890148570747</v>
      </c>
      <c r="M318" s="544">
        <f>'побудинковий звіт'!DA319*-1</f>
        <v>48554.365750803372</v>
      </c>
    </row>
    <row r="319" spans="1:13" ht="20.100000000000001" customHeight="1" x14ac:dyDescent="0.3">
      <c r="A319" s="366" t="s">
        <v>766</v>
      </c>
      <c r="B319" s="291" t="s">
        <v>227</v>
      </c>
      <c r="C319" s="367">
        <v>4</v>
      </c>
      <c r="D319" s="357">
        <f>'побудинковий звіт'!CU320</f>
        <v>75236.886641825375</v>
      </c>
      <c r="E319" s="341">
        <f>'побудинковий звіт'!CV320</f>
        <v>64616.49484350397</v>
      </c>
      <c r="F319" s="341">
        <f t="shared" si="16"/>
        <v>-10620.391798321405</v>
      </c>
      <c r="G319" s="358">
        <f t="shared" si="17"/>
        <v>0.85884062628905533</v>
      </c>
      <c r="H319" s="352">
        <f>('побудинковий звіт'!AS320+'побудинковий звіт'!BQ320)*1.2</f>
        <v>20717.640209555939</v>
      </c>
      <c r="I319" s="340">
        <f>('побудинковий звіт'!AT320+'побудинковий звіт'!BR320)*1.2</f>
        <v>8996.4</v>
      </c>
      <c r="J319" s="340">
        <f t="shared" si="18"/>
        <v>-11721.240209555939</v>
      </c>
      <c r="K319" s="361">
        <f t="shared" si="19"/>
        <v>0.43423864441136695</v>
      </c>
      <c r="L319" s="363">
        <f>'побудинковий звіт'!DE320</f>
        <v>542.8590280155604</v>
      </c>
      <c r="M319" s="544">
        <f>'побудинковий звіт'!DA320*-1</f>
        <v>844.73761043426748</v>
      </c>
    </row>
    <row r="320" spans="1:13" ht="20.100000000000001" customHeight="1" x14ac:dyDescent="0.3">
      <c r="A320" s="366" t="s">
        <v>767</v>
      </c>
      <c r="B320" s="291" t="s">
        <v>295</v>
      </c>
      <c r="C320" s="367">
        <v>5</v>
      </c>
      <c r="D320" s="357">
        <f>'побудинковий звіт'!CU321</f>
        <v>216744.89314393248</v>
      </c>
      <c r="E320" s="341">
        <f>'побудинковий звіт'!CV321</f>
        <v>246936.23246751897</v>
      </c>
      <c r="F320" s="341">
        <f t="shared" si="16"/>
        <v>30191.339323586493</v>
      </c>
      <c r="G320" s="358">
        <f t="shared" si="17"/>
        <v>1.1392943514638545</v>
      </c>
      <c r="H320" s="352">
        <f>('побудинковий звіт'!AS321+'побудинковий звіт'!BQ321)*1.2</f>
        <v>66602.283510168563</v>
      </c>
      <c r="I320" s="340">
        <f>('побудинковий звіт'!AT321+'побудинковий звіт'!BR321)*1.2</f>
        <v>96905.86948130271</v>
      </c>
      <c r="J320" s="340">
        <f t="shared" si="18"/>
        <v>30303.585971134147</v>
      </c>
      <c r="K320" s="361">
        <f t="shared" si="19"/>
        <v>1.4549931980411381</v>
      </c>
      <c r="L320" s="363">
        <f>'побудинковий звіт'!DE321</f>
        <v>22277.728652788919</v>
      </c>
      <c r="M320" s="544">
        <f>'побудинковий звіт'!DA321*-1</f>
        <v>-77819.925730482297</v>
      </c>
    </row>
    <row r="321" spans="1:13" ht="20.100000000000001" customHeight="1" x14ac:dyDescent="0.3">
      <c r="A321" s="366" t="s">
        <v>768</v>
      </c>
      <c r="B321" s="291" t="s">
        <v>296</v>
      </c>
      <c r="C321" s="367">
        <v>5</v>
      </c>
      <c r="D321" s="357">
        <f>'побудинковий звіт'!CU322</f>
        <v>178560.6037394274</v>
      </c>
      <c r="E321" s="341">
        <f>'побудинковий звіт'!CV322</f>
        <v>147526.14091987535</v>
      </c>
      <c r="F321" s="341">
        <f t="shared" si="16"/>
        <v>-31034.462819552049</v>
      </c>
      <c r="G321" s="358">
        <f t="shared" si="17"/>
        <v>0.82619647240417893</v>
      </c>
      <c r="H321" s="352">
        <f>('побудинковий звіт'!AS322+'побудинковий звіт'!BQ322)*1.2</f>
        <v>50424.185810343253</v>
      </c>
      <c r="I321" s="340">
        <f>('побудинковий звіт'!AT322+'побудинковий звіт'!BR322)*1.2</f>
        <v>19252.8</v>
      </c>
      <c r="J321" s="340">
        <f t="shared" si="18"/>
        <v>-31171.385810343254</v>
      </c>
      <c r="K321" s="361">
        <f t="shared" si="19"/>
        <v>0.38181677483924337</v>
      </c>
      <c r="L321" s="363">
        <f>'побудинковий звіт'!DE322</f>
        <v>11003.587594687731</v>
      </c>
      <c r="M321" s="544">
        <f>'побудинковий звіт'!DA322*-1</f>
        <v>7241.0869742869363</v>
      </c>
    </row>
    <row r="322" spans="1:13" ht="20.100000000000001" customHeight="1" x14ac:dyDescent="0.3">
      <c r="A322" s="366" t="s">
        <v>769</v>
      </c>
      <c r="B322" s="291" t="s">
        <v>228</v>
      </c>
      <c r="C322" s="367">
        <v>4</v>
      </c>
      <c r="D322" s="357">
        <f>'побудинковий звіт'!CU323</f>
        <v>68056.384041328594</v>
      </c>
      <c r="E322" s="341">
        <f>'побудинковий звіт'!CV323</f>
        <v>50049.274288611807</v>
      </c>
      <c r="F322" s="341">
        <f t="shared" si="16"/>
        <v>-18007.109752716788</v>
      </c>
      <c r="G322" s="358">
        <f t="shared" si="17"/>
        <v>0.73540895528946104</v>
      </c>
      <c r="H322" s="352">
        <f>('побудинковий звіт'!AS323+'побудинковий звіт'!BQ323)*1.2</f>
        <v>19814.136963650861</v>
      </c>
      <c r="I322" s="340">
        <f>('побудинковий звіт'!AT323+'побудинковий звіт'!BR323)*1.2</f>
        <v>3523.2</v>
      </c>
      <c r="J322" s="340">
        <f t="shared" si="18"/>
        <v>-16290.93696365086</v>
      </c>
      <c r="K322" s="361">
        <f t="shared" si="19"/>
        <v>0.17781243798119134</v>
      </c>
      <c r="L322" s="363">
        <f>'побудинковий звіт'!DE323</f>
        <v>18712.850080612548</v>
      </c>
      <c r="M322" s="546">
        <f>'побудинковий звіт'!DA323*-1</f>
        <v>-53974.275329544442</v>
      </c>
    </row>
    <row r="323" spans="1:13" ht="20.100000000000001" customHeight="1" x14ac:dyDescent="0.3">
      <c r="A323" s="366" t="s">
        <v>770</v>
      </c>
      <c r="B323" s="291" t="s">
        <v>297</v>
      </c>
      <c r="C323" s="367">
        <v>5</v>
      </c>
      <c r="D323" s="357">
        <f>'побудинковий звіт'!CU324</f>
        <v>167412.0820735069</v>
      </c>
      <c r="E323" s="341">
        <f>'побудинковий звіт'!CV324</f>
        <v>139543.76374274207</v>
      </c>
      <c r="F323" s="341">
        <f t="shared" si="16"/>
        <v>-27868.318330764829</v>
      </c>
      <c r="G323" s="358">
        <f t="shared" si="17"/>
        <v>0.83353460523519163</v>
      </c>
      <c r="H323" s="352">
        <f>('побудинковий звіт'!AS324+'побудинковий звіт'!BQ324)*1.2</f>
        <v>49685.576869559154</v>
      </c>
      <c r="I323" s="340">
        <f>('побудинковий звіт'!AT324+'побудинковий звіт'!BR324)*1.2</f>
        <v>16832.849497547882</v>
      </c>
      <c r="J323" s="340">
        <f t="shared" si="18"/>
        <v>-32852.727372011272</v>
      </c>
      <c r="K323" s="361">
        <f t="shared" si="19"/>
        <v>0.33878744211302214</v>
      </c>
      <c r="L323" s="363">
        <f>'побудинковий звіт'!DE324</f>
        <v>-203.99218397755976</v>
      </c>
      <c r="M323" s="544">
        <f>'побудинковий звіт'!DA324*-1</f>
        <v>65436.914433825121</v>
      </c>
    </row>
    <row r="324" spans="1:13" ht="20.100000000000001" customHeight="1" x14ac:dyDescent="0.3">
      <c r="A324" s="366" t="s">
        <v>771</v>
      </c>
      <c r="B324" s="291" t="s">
        <v>229</v>
      </c>
      <c r="C324" s="367">
        <v>4</v>
      </c>
      <c r="D324" s="357">
        <f>'побудинковий звіт'!CU325</f>
        <v>135664.1416932857</v>
      </c>
      <c r="E324" s="341">
        <f>'побудинковий звіт'!CV325</f>
        <v>114882.12867211099</v>
      </c>
      <c r="F324" s="341">
        <f t="shared" si="16"/>
        <v>-20782.013021174702</v>
      </c>
      <c r="G324" s="358">
        <f t="shared" si="17"/>
        <v>0.84681277777764286</v>
      </c>
      <c r="H324" s="352">
        <f>('побудинковий звіт'!AS325+'побудинковий звіт'!BQ325)*1.2</f>
        <v>39817.768850822031</v>
      </c>
      <c r="I324" s="340">
        <f>('побудинковий звіт'!AT325+'побудинковий звіт'!BR325)*1.2</f>
        <v>18790.296000000002</v>
      </c>
      <c r="J324" s="340">
        <f t="shared" si="18"/>
        <v>-21027.472850822029</v>
      </c>
      <c r="K324" s="361">
        <f t="shared" si="19"/>
        <v>0.47190730526359165</v>
      </c>
      <c r="L324" s="363">
        <f>'побудинковий звіт'!DE325</f>
        <v>25764.098292682833</v>
      </c>
      <c r="M324" s="544">
        <f>'побудинковий звіт'!DA325*-1</f>
        <v>28377.338371283957</v>
      </c>
    </row>
    <row r="325" spans="1:13" ht="20.100000000000001" customHeight="1" x14ac:dyDescent="0.3">
      <c r="A325" s="366" t="s">
        <v>772</v>
      </c>
      <c r="B325" s="291" t="s">
        <v>188</v>
      </c>
      <c r="C325" s="367">
        <v>2</v>
      </c>
      <c r="D325" s="357">
        <f>'побудинковий звіт'!CU326</f>
        <v>17510.035659070501</v>
      </c>
      <c r="E325" s="341">
        <f>'побудинковий звіт'!CV326</f>
        <v>13346.702147144313</v>
      </c>
      <c r="F325" s="341">
        <f t="shared" si="16"/>
        <v>-4163.3335119261883</v>
      </c>
      <c r="G325" s="358">
        <f t="shared" si="17"/>
        <v>0.76223158004995217</v>
      </c>
      <c r="H325" s="352">
        <f>('побудинковий звіт'!AS326+'побудинковий звіт'!BQ326)*1.2</f>
        <v>5402.8373760803925</v>
      </c>
      <c r="I325" s="340">
        <f>('побудинковий звіт'!AT326+'побудинковий звіт'!BR326)*1.2</f>
        <v>903.6</v>
      </c>
      <c r="J325" s="340">
        <f t="shared" si="18"/>
        <v>-4499.2373760803921</v>
      </c>
      <c r="K325" s="361">
        <f t="shared" si="19"/>
        <v>0.16724545587850667</v>
      </c>
      <c r="L325" s="363">
        <f>'побудинковий звіт'!DE326</f>
        <v>8949.0575775947364</v>
      </c>
      <c r="M325" s="544">
        <f>'побудинковий звіт'!DA326*-1</f>
        <v>3141.7565598164047</v>
      </c>
    </row>
    <row r="326" spans="1:13" ht="20.100000000000001" customHeight="1" x14ac:dyDescent="0.3">
      <c r="A326" s="366" t="s">
        <v>773</v>
      </c>
      <c r="B326" s="291" t="s">
        <v>298</v>
      </c>
      <c r="C326" s="367">
        <v>5</v>
      </c>
      <c r="D326" s="357">
        <f>'побудинковий звіт'!CU327</f>
        <v>98043.657002941065</v>
      </c>
      <c r="E326" s="341">
        <f>'побудинковий звіт'!CV327</f>
        <v>88434.722809533239</v>
      </c>
      <c r="F326" s="341">
        <f t="shared" ref="F326:F389" si="20">E326-D326</f>
        <v>-9608.9341934078257</v>
      </c>
      <c r="G326" s="358">
        <f t="shared" ref="G326:G389" si="21">E326/D326</f>
        <v>0.90199331107039815</v>
      </c>
      <c r="H326" s="352">
        <f>('побудинковий звіт'!AS327+'побудинковий звіт'!BQ327)*1.2</f>
        <v>21347.169779813608</v>
      </c>
      <c r="I326" s="340">
        <f>('побудинковий звіт'!AT327+'побудинковий звіт'!BR327)*1.2</f>
        <v>7341.5999999999995</v>
      </c>
      <c r="J326" s="340">
        <f t="shared" ref="J326:J389" si="22">I326-H326</f>
        <v>-14005.56977981361</v>
      </c>
      <c r="K326" s="361">
        <f t="shared" ref="K326:K389" si="23">I326/H326</f>
        <v>0.34391444279149319</v>
      </c>
      <c r="L326" s="363">
        <f>'побудинковий звіт'!DE327</f>
        <v>3644.0758656892976</v>
      </c>
      <c r="M326" s="544">
        <f>'побудинковий звіт'!DA327*-1</f>
        <v>19498.435532379255</v>
      </c>
    </row>
    <row r="327" spans="1:13" ht="20.100000000000001" customHeight="1" x14ac:dyDescent="0.3">
      <c r="A327" s="366" t="s">
        <v>774</v>
      </c>
      <c r="B327" s="291" t="s">
        <v>299</v>
      </c>
      <c r="C327" s="367">
        <v>5</v>
      </c>
      <c r="D327" s="357">
        <f>'побудинковий звіт'!CU328</f>
        <v>214043.94909887895</v>
      </c>
      <c r="E327" s="341">
        <f>'побудинковий звіт'!CV328</f>
        <v>224622.45546534186</v>
      </c>
      <c r="F327" s="341">
        <f t="shared" si="20"/>
        <v>10578.506366462912</v>
      </c>
      <c r="G327" s="358">
        <f t="shared" si="21"/>
        <v>1.0494221229378276</v>
      </c>
      <c r="H327" s="352">
        <f>('побудинковий звіт'!AS328+'побудинковий звіт'!BQ328)*1.2</f>
        <v>62642.725493020749</v>
      </c>
      <c r="I327" s="340">
        <f>('побудинковий звіт'!AT328+'побудинковий звіт'!BR328)*1.2</f>
        <v>64807.30799999999</v>
      </c>
      <c r="J327" s="340">
        <f t="shared" si="22"/>
        <v>2164.5825069792409</v>
      </c>
      <c r="K327" s="361">
        <f t="shared" si="23"/>
        <v>1.0345544113852518</v>
      </c>
      <c r="L327" s="363">
        <f>'побудинковий звіт'!DE328</f>
        <v>32883.097968242393</v>
      </c>
      <c r="M327" s="547">
        <f>'побудинковий звіт'!DA328*-1</f>
        <v>-33437.540079090824</v>
      </c>
    </row>
    <row r="328" spans="1:13" ht="20.100000000000001" customHeight="1" x14ac:dyDescent="0.3">
      <c r="A328" s="366" t="s">
        <v>775</v>
      </c>
      <c r="B328" s="291" t="s">
        <v>300</v>
      </c>
      <c r="C328" s="367">
        <v>5</v>
      </c>
      <c r="D328" s="357">
        <f>'побудинковий звіт'!CU329</f>
        <v>137590.15547402267</v>
      </c>
      <c r="E328" s="341">
        <f>'побудинковий звіт'!CV329</f>
        <v>123376.03696264328</v>
      </c>
      <c r="F328" s="341">
        <f t="shared" si="20"/>
        <v>-14214.118511379391</v>
      </c>
      <c r="G328" s="358">
        <f t="shared" si="21"/>
        <v>0.89669232902303797</v>
      </c>
      <c r="H328" s="352">
        <f>('побудинковий звіт'!AS329+'побудинковий звіт'!BQ329)*1.2</f>
        <v>45495.559947996568</v>
      </c>
      <c r="I328" s="340">
        <f>('побудинковий звіт'!AT329+'побудинковий звіт'!BR329)*1.2</f>
        <v>28254.216</v>
      </c>
      <c r="J328" s="340">
        <f t="shared" si="22"/>
        <v>-17241.343947996567</v>
      </c>
      <c r="K328" s="361">
        <f t="shared" si="23"/>
        <v>0.62103238277088613</v>
      </c>
      <c r="L328" s="363">
        <f>'побудинковий звіт'!DE329</f>
        <v>15203.373486370539</v>
      </c>
      <c r="M328" s="544">
        <f>'побудинковий звіт'!DA329*-1</f>
        <v>-15908.832238422656</v>
      </c>
    </row>
    <row r="329" spans="1:13" ht="20.100000000000001" customHeight="1" x14ac:dyDescent="0.3">
      <c r="A329" s="366" t="s">
        <v>776</v>
      </c>
      <c r="B329" s="291" t="s">
        <v>301</v>
      </c>
      <c r="C329" s="367">
        <v>5</v>
      </c>
      <c r="D329" s="357">
        <f>'побудинковий звіт'!CU330</f>
        <v>148680.68679945351</v>
      </c>
      <c r="E329" s="341">
        <f>'побудинковий звіт'!CV330</f>
        <v>177669.59548680126</v>
      </c>
      <c r="F329" s="341">
        <f t="shared" si="20"/>
        <v>28988.90868734775</v>
      </c>
      <c r="G329" s="358">
        <f t="shared" si="21"/>
        <v>1.1949742721221699</v>
      </c>
      <c r="H329" s="352">
        <f>('побудинковий звіт'!AS330+'побудинковий звіт'!BQ330)*1.2</f>
        <v>43289.085837661878</v>
      </c>
      <c r="I329" s="340">
        <f>('побудинковий звіт'!AT330+'побудинковий звіт'!BR330)*1.2</f>
        <v>66665.747675335151</v>
      </c>
      <c r="J329" s="340">
        <f t="shared" si="22"/>
        <v>23376.661837673273</v>
      </c>
      <c r="K329" s="361">
        <f t="shared" si="23"/>
        <v>1.5400128319950654</v>
      </c>
      <c r="L329" s="363">
        <f>'побудинковий звіт'!DE330</f>
        <v>33645.979403502788</v>
      </c>
      <c r="M329" s="544">
        <f>'побудинковий звіт'!DA330*-1</f>
        <v>-36067.962297287406</v>
      </c>
    </row>
    <row r="330" spans="1:13" ht="20.100000000000001" customHeight="1" x14ac:dyDescent="0.3">
      <c r="A330" s="366" t="s">
        <v>777</v>
      </c>
      <c r="B330" s="291" t="s">
        <v>302</v>
      </c>
      <c r="C330" s="367">
        <v>5</v>
      </c>
      <c r="D330" s="357">
        <f>'побудинковий звіт'!CU331</f>
        <v>159123.97108710487</v>
      </c>
      <c r="E330" s="341">
        <f>'побудинковий звіт'!CV331</f>
        <v>150556.56122980922</v>
      </c>
      <c r="F330" s="341">
        <f t="shared" si="20"/>
        <v>-8567.4098572956573</v>
      </c>
      <c r="G330" s="358">
        <f t="shared" si="21"/>
        <v>0.946158898632527</v>
      </c>
      <c r="H330" s="352">
        <f>('побудинковий звіт'!AS331+'побудинковий звіт'!BQ331)*1.2</f>
        <v>50441.170372272267</v>
      </c>
      <c r="I330" s="340">
        <f>('побудинковий звіт'!AT331+'побудинковий звіт'!BR331)*1.2</f>
        <v>46027.880876151699</v>
      </c>
      <c r="J330" s="340">
        <f t="shared" si="22"/>
        <v>-4413.2894961205675</v>
      </c>
      <c r="K330" s="361">
        <f t="shared" si="23"/>
        <v>0.91250620349311773</v>
      </c>
      <c r="L330" s="363">
        <f>'побудинковий звіт'!DE331</f>
        <v>12764.909403023783</v>
      </c>
      <c r="M330" s="546">
        <f>'побудинковий звіт'!DA331*-1</f>
        <v>-68429.687443128147</v>
      </c>
    </row>
    <row r="331" spans="1:13" ht="20.100000000000001" customHeight="1" x14ac:dyDescent="0.3">
      <c r="A331" s="366" t="s">
        <v>778</v>
      </c>
      <c r="B331" s="291" t="s">
        <v>303</v>
      </c>
      <c r="C331" s="367">
        <v>5</v>
      </c>
      <c r="D331" s="357">
        <f>'побудинковий звіт'!CU332</f>
        <v>143948.29207464025</v>
      </c>
      <c r="E331" s="341">
        <f>'побудинковий звіт'!CV332</f>
        <v>122647.06072092133</v>
      </c>
      <c r="F331" s="341">
        <f t="shared" si="20"/>
        <v>-21301.231353718918</v>
      </c>
      <c r="G331" s="358">
        <f t="shared" si="21"/>
        <v>0.85202164578184936</v>
      </c>
      <c r="H331" s="352">
        <f>('побудинковий звіт'!AS332+'побудинковий звіт'!BQ332)*1.2</f>
        <v>36418.754594935228</v>
      </c>
      <c r="I331" s="340">
        <f>('побудинковий звіт'!AT332+'побудинковий звіт'!BR332)*1.2</f>
        <v>9430.7999999999993</v>
      </c>
      <c r="J331" s="340">
        <f t="shared" si="22"/>
        <v>-26987.954594935229</v>
      </c>
      <c r="K331" s="361">
        <f t="shared" si="23"/>
        <v>0.25895448938035748</v>
      </c>
      <c r="L331" s="363">
        <f>'побудинковий звіт'!DE332</f>
        <v>27838.947819240806</v>
      </c>
      <c r="M331" s="544">
        <f>'побудинковий звіт'!DA332*-1</f>
        <v>-8826.2512316097891</v>
      </c>
    </row>
    <row r="332" spans="1:13" ht="20.100000000000001" customHeight="1" x14ac:dyDescent="0.3">
      <c r="A332" s="366" t="s">
        <v>779</v>
      </c>
      <c r="B332" s="291" t="s">
        <v>304</v>
      </c>
      <c r="C332" s="367">
        <v>5</v>
      </c>
      <c r="D332" s="357">
        <f>'побудинковий звіт'!CU333</f>
        <v>155292.26250262506</v>
      </c>
      <c r="E332" s="341">
        <f>'побудинковий звіт'!CV333</f>
        <v>154394.17643880076</v>
      </c>
      <c r="F332" s="341">
        <f t="shared" si="20"/>
        <v>-898.08606382430298</v>
      </c>
      <c r="G332" s="358">
        <f t="shared" si="21"/>
        <v>0.99421680095742615</v>
      </c>
      <c r="H332" s="352">
        <f>('побудинковий звіт'!AS333+'побудинковий звіт'!BQ333)*1.2</f>
        <v>51976.012811351487</v>
      </c>
      <c r="I332" s="340">
        <f>('побудинковий звіт'!AT333+'побудинковий звіт'!BR333)*1.2</f>
        <v>53881.2</v>
      </c>
      <c r="J332" s="340">
        <f t="shared" si="22"/>
        <v>1905.1871886485096</v>
      </c>
      <c r="K332" s="361">
        <f t="shared" si="23"/>
        <v>1.0366551238850015</v>
      </c>
      <c r="L332" s="363">
        <f>'побудинковий звіт'!DE333</f>
        <v>21332.895278001</v>
      </c>
      <c r="M332" s="544">
        <f>'побудинковий звіт'!DA333*-1</f>
        <v>24608.111075132394</v>
      </c>
    </row>
    <row r="333" spans="1:13" ht="20.100000000000001" customHeight="1" x14ac:dyDescent="0.3">
      <c r="A333" s="366" t="s">
        <v>780</v>
      </c>
      <c r="B333" s="291" t="s">
        <v>189</v>
      </c>
      <c r="C333" s="367">
        <v>2</v>
      </c>
      <c r="D333" s="357">
        <f>'побудинковий звіт'!CU334</f>
        <v>19076.371928381224</v>
      </c>
      <c r="E333" s="341">
        <f>'побудинковий звіт'!CV334</f>
        <v>14247.306454936754</v>
      </c>
      <c r="F333" s="341">
        <f t="shared" si="20"/>
        <v>-4829.0654734444706</v>
      </c>
      <c r="G333" s="358">
        <f t="shared" si="21"/>
        <v>0.74685618986805669</v>
      </c>
      <c r="H333" s="352">
        <f>('побудинковий звіт'!AS334+'побудинковий звіт'!BQ334)*1.2</f>
        <v>6416.7424399058718</v>
      </c>
      <c r="I333" s="340">
        <f>('побудинковий звіт'!AT334+'побудинковий звіт'!BR334)*1.2</f>
        <v>1687.2</v>
      </c>
      <c r="J333" s="340">
        <f t="shared" si="22"/>
        <v>-4729.542439905872</v>
      </c>
      <c r="K333" s="361">
        <f t="shared" si="23"/>
        <v>0.26293715476364826</v>
      </c>
      <c r="L333" s="363">
        <f>'побудинковий звіт'!DE334</f>
        <v>13754.139549900738</v>
      </c>
      <c r="M333" s="544">
        <f>'побудинковий звіт'!DA334*-1</f>
        <v>6783.8290392756098</v>
      </c>
    </row>
    <row r="334" spans="1:13" ht="20.100000000000001" customHeight="1" x14ac:dyDescent="0.3">
      <c r="A334" s="366" t="s">
        <v>781</v>
      </c>
      <c r="B334" s="291" t="s">
        <v>305</v>
      </c>
      <c r="C334" s="367">
        <v>5</v>
      </c>
      <c r="D334" s="357">
        <f>'побудинковий звіт'!CU335</f>
        <v>165182.99135617149</v>
      </c>
      <c r="E334" s="341">
        <f>'побудинковий звіт'!CV335</f>
        <v>213828.21883668637</v>
      </c>
      <c r="F334" s="341">
        <f t="shared" si="20"/>
        <v>48645.227480514877</v>
      </c>
      <c r="G334" s="358">
        <f t="shared" si="21"/>
        <v>1.2944929564547289</v>
      </c>
      <c r="H334" s="352">
        <f>('побудинковий звіт'!AS335+'побудинковий звіт'!BQ335)*1.2</f>
        <v>42557.269376103264</v>
      </c>
      <c r="I334" s="340">
        <f>('побудинковий звіт'!AT335+'побудинковий звіт'!BR335)*1.2</f>
        <v>93133.674394268266</v>
      </c>
      <c r="J334" s="340">
        <f t="shared" si="22"/>
        <v>50576.405018165002</v>
      </c>
      <c r="K334" s="361">
        <f t="shared" si="23"/>
        <v>2.1884316301215661</v>
      </c>
      <c r="L334" s="363">
        <f>'побудинковий звіт'!DE335</f>
        <v>16202.445452159822</v>
      </c>
      <c r="M334" s="544">
        <f>'побудинковий звіт'!DA335*-1</f>
        <v>-27180.176049860012</v>
      </c>
    </row>
    <row r="335" spans="1:13" ht="20.100000000000001" customHeight="1" x14ac:dyDescent="0.3">
      <c r="A335" s="366" t="s">
        <v>782</v>
      </c>
      <c r="B335" s="291" t="s">
        <v>230</v>
      </c>
      <c r="C335" s="367">
        <v>4</v>
      </c>
      <c r="D335" s="357">
        <f>'побудинковий звіт'!CU336</f>
        <v>142722.8549025348</v>
      </c>
      <c r="E335" s="341">
        <f>'побудинковий звіт'!CV336</f>
        <v>135143.17903819124</v>
      </c>
      <c r="F335" s="341">
        <f t="shared" si="20"/>
        <v>-7579.6758643435605</v>
      </c>
      <c r="G335" s="358">
        <f t="shared" si="21"/>
        <v>0.94689234692285473</v>
      </c>
      <c r="H335" s="352">
        <f>('побудинковий звіт'!AS336+'побудинковий звіт'!BQ336)*1.2</f>
        <v>36493.10923745839</v>
      </c>
      <c r="I335" s="340">
        <f>('побудинковий звіт'!AT336+'побудинковий звіт'!BR336)*1.2</f>
        <v>25075.650131422753</v>
      </c>
      <c r="J335" s="340">
        <f t="shared" si="22"/>
        <v>-11417.459106035636</v>
      </c>
      <c r="K335" s="361">
        <f t="shared" si="23"/>
        <v>0.68713383582245791</v>
      </c>
      <c r="L335" s="363">
        <f>'побудинковий звіт'!DE336</f>
        <v>2724.7291455546601</v>
      </c>
      <c r="M335" s="544">
        <f>'побудинковий звіт'!DA336*-1</f>
        <v>-34722.789309778913</v>
      </c>
    </row>
    <row r="336" spans="1:13" ht="20.100000000000001" customHeight="1" x14ac:dyDescent="0.3">
      <c r="A336" s="366" t="s">
        <v>783</v>
      </c>
      <c r="B336" s="291" t="s">
        <v>231</v>
      </c>
      <c r="C336" s="367">
        <v>4</v>
      </c>
      <c r="D336" s="357">
        <f>'побудинковий звіт'!CU337</f>
        <v>148286.22184902857</v>
      </c>
      <c r="E336" s="341">
        <f>'побудинковий звіт'!CV337</f>
        <v>121278.50005380847</v>
      </c>
      <c r="F336" s="341">
        <f t="shared" si="20"/>
        <v>-27007.721795220103</v>
      </c>
      <c r="G336" s="358">
        <f t="shared" si="21"/>
        <v>0.81786762479715147</v>
      </c>
      <c r="H336" s="352">
        <f>('побудинковий звіт'!AS337+'побудинковий звіт'!BQ337)*1.2</f>
        <v>36353.584400309934</v>
      </c>
      <c r="I336" s="340">
        <f>('побудинковий звіт'!AT337+'побудинковий звіт'!BR337)*1.2</f>
        <v>14236.930569498603</v>
      </c>
      <c r="J336" s="340">
        <f t="shared" si="22"/>
        <v>-22116.65383081133</v>
      </c>
      <c r="K336" s="361">
        <f t="shared" si="23"/>
        <v>0.39162384684623358</v>
      </c>
      <c r="L336" s="363">
        <f>'побудинковий звіт'!DE337</f>
        <v>9074.4198458961291</v>
      </c>
      <c r="M336" s="546">
        <f>'побудинковий звіт'!DA337*-1</f>
        <v>-32726.404552003296</v>
      </c>
    </row>
    <row r="337" spans="1:13" ht="20.100000000000001" customHeight="1" x14ac:dyDescent="0.3">
      <c r="A337" s="366" t="s">
        <v>784</v>
      </c>
      <c r="B337" s="291" t="s">
        <v>232</v>
      </c>
      <c r="C337" s="367">
        <v>4</v>
      </c>
      <c r="D337" s="357">
        <f>'побудинковий звіт'!CU338</f>
        <v>283795.0607519105</v>
      </c>
      <c r="E337" s="341">
        <f>'побудинковий звіт'!CV338</f>
        <v>248090.92820734583</v>
      </c>
      <c r="F337" s="341">
        <f t="shared" si="20"/>
        <v>-35704.132544564665</v>
      </c>
      <c r="G337" s="358">
        <f t="shared" si="21"/>
        <v>0.87419043710638533</v>
      </c>
      <c r="H337" s="352">
        <f>('побудинковий звіт'!AS338+'побудинковий звіт'!BQ338)*1.2</f>
        <v>99801.223482488873</v>
      </c>
      <c r="I337" s="340">
        <f>('побудинковий звіт'!AT338+'побудинковий звіт'!BR338)*1.2</f>
        <v>58010.474089484698</v>
      </c>
      <c r="J337" s="340">
        <f t="shared" si="22"/>
        <v>-41790.749393004175</v>
      </c>
      <c r="K337" s="361">
        <f t="shared" si="23"/>
        <v>0.58126014957785777</v>
      </c>
      <c r="L337" s="363">
        <f>'побудинковий звіт'!DE338</f>
        <v>27506.716563720307</v>
      </c>
      <c r="M337" s="544">
        <f>'побудинковий звіт'!DA338*-1</f>
        <v>26980.91188308553</v>
      </c>
    </row>
    <row r="338" spans="1:13" ht="20.100000000000001" customHeight="1" x14ac:dyDescent="0.3">
      <c r="A338" s="366" t="s">
        <v>785</v>
      </c>
      <c r="B338" s="291" t="s">
        <v>142</v>
      </c>
      <c r="C338" s="367">
        <v>1</v>
      </c>
      <c r="D338" s="357">
        <f>'побудинковий звіт'!CU339</f>
        <v>0</v>
      </c>
      <c r="E338" s="341">
        <f>'побудинковий звіт'!CV339</f>
        <v>0</v>
      </c>
      <c r="F338" s="341">
        <f t="shared" si="20"/>
        <v>0</v>
      </c>
      <c r="G338" s="358" t="e">
        <f t="shared" si="21"/>
        <v>#DIV/0!</v>
      </c>
      <c r="H338" s="352">
        <f>('побудинковий звіт'!AS339+'побудинковий звіт'!BQ339)*1.2</f>
        <v>0</v>
      </c>
      <c r="I338" s="340">
        <f>('побудинковий звіт'!AT339+'побудинковий звіт'!BR339)*1.2</f>
        <v>0</v>
      </c>
      <c r="J338" s="340">
        <f t="shared" si="22"/>
        <v>0</v>
      </c>
      <c r="K338" s="361" t="e">
        <f t="shared" si="23"/>
        <v>#DIV/0!</v>
      </c>
      <c r="L338" s="363">
        <f>'побудинковий звіт'!DE339</f>
        <v>2904.7681838912526</v>
      </c>
      <c r="M338" s="544">
        <f>'побудинковий звіт'!DA339*-1</f>
        <v>192.08342267031912</v>
      </c>
    </row>
    <row r="339" spans="1:13" ht="20.100000000000001" customHeight="1" x14ac:dyDescent="0.3">
      <c r="A339" s="366" t="s">
        <v>786</v>
      </c>
      <c r="B339" s="291" t="s">
        <v>143</v>
      </c>
      <c r="C339" s="367">
        <v>1</v>
      </c>
      <c r="D339" s="357">
        <f>'побудинковий звіт'!CU340</f>
        <v>3283.4834067047645</v>
      </c>
      <c r="E339" s="341">
        <f>'побудинковий звіт'!CV340</f>
        <v>1683.4319027572162</v>
      </c>
      <c r="F339" s="341">
        <f t="shared" si="20"/>
        <v>-1600.0515039475483</v>
      </c>
      <c r="G339" s="358">
        <f t="shared" si="21"/>
        <v>0.51269694231428242</v>
      </c>
      <c r="H339" s="352">
        <f>('побудинковий звіт'!AS340+'побудинковий звіт'!BQ340)*1.2</f>
        <v>2322.3729664666689</v>
      </c>
      <c r="I339" s="340">
        <f>('побудинковий звіт'!AT340+'побудинковий звіт'!BR340)*1.2</f>
        <v>0</v>
      </c>
      <c r="J339" s="340">
        <f t="shared" si="22"/>
        <v>-2322.3729664666689</v>
      </c>
      <c r="K339" s="361">
        <f t="shared" si="23"/>
        <v>0</v>
      </c>
      <c r="L339" s="363">
        <f>'побудинковий звіт'!DE340</f>
        <v>3.0067987214263781</v>
      </c>
      <c r="M339" s="544">
        <f>'побудинковий звіт'!DA340*-1</f>
        <v>5815.3344799862643</v>
      </c>
    </row>
    <row r="340" spans="1:13" ht="20.100000000000001" customHeight="1" x14ac:dyDescent="0.3">
      <c r="A340" s="366" t="s">
        <v>787</v>
      </c>
      <c r="B340" s="291" t="s">
        <v>144</v>
      </c>
      <c r="C340" s="367">
        <v>1</v>
      </c>
      <c r="D340" s="357">
        <f>'побудинковий звіт'!CU341</f>
        <v>3968.8754250204388</v>
      </c>
      <c r="E340" s="341">
        <f>'побудинковий звіт'!CV341</f>
        <v>2012.1003677817553</v>
      </c>
      <c r="F340" s="341">
        <f t="shared" si="20"/>
        <v>-1956.7750572386835</v>
      </c>
      <c r="G340" s="358">
        <f t="shared" si="21"/>
        <v>0.50696989759294186</v>
      </c>
      <c r="H340" s="352">
        <f>('побудинковий звіт'!AS341+'побудинковий звіт'!BQ341)*1.2</f>
        <v>2763.4999260861482</v>
      </c>
      <c r="I340" s="340">
        <f>('побудинковий звіт'!AT341+'побудинковий звіт'!BR341)*1.2</f>
        <v>0</v>
      </c>
      <c r="J340" s="340">
        <f t="shared" si="22"/>
        <v>-2763.4999260861482</v>
      </c>
      <c r="K340" s="361">
        <f t="shared" si="23"/>
        <v>0</v>
      </c>
      <c r="L340" s="363">
        <f>'побудинковий звіт'!DE341</f>
        <v>2.6279936518562863E-3</v>
      </c>
      <c r="M340" s="544">
        <f>'побудинковий звіт'!DA341*-1</f>
        <v>806.27559591888712</v>
      </c>
    </row>
    <row r="341" spans="1:13" ht="20.100000000000001" customHeight="1" x14ac:dyDescent="0.3">
      <c r="A341" s="366" t="s">
        <v>788</v>
      </c>
      <c r="B341" s="291" t="s">
        <v>145</v>
      </c>
      <c r="C341" s="367">
        <v>1</v>
      </c>
      <c r="D341" s="357">
        <f>'побудинковий звіт'!CU342</f>
        <v>5281.5790417005855</v>
      </c>
      <c r="E341" s="341">
        <f>'побудинковий звіт'!CV342</f>
        <v>2845.4010445239696</v>
      </c>
      <c r="F341" s="341">
        <f t="shared" si="20"/>
        <v>-2436.1779971766159</v>
      </c>
      <c r="G341" s="358">
        <f t="shared" si="21"/>
        <v>0.53874059671514363</v>
      </c>
      <c r="H341" s="352">
        <f>('побудинковий звіт'!AS342+'побудинковий звіт'!BQ342)*1.2</f>
        <v>3726.5968004728952</v>
      </c>
      <c r="I341" s="340">
        <f>('побудинковий звіт'!AT342+'побудинковий звіт'!BR342)*1.2</f>
        <v>0</v>
      </c>
      <c r="J341" s="340">
        <f t="shared" si="22"/>
        <v>-3726.5968004728952</v>
      </c>
      <c r="K341" s="361">
        <f t="shared" si="23"/>
        <v>0</v>
      </c>
      <c r="L341" s="363">
        <f>'побудинковий звіт'!DE342</f>
        <v>158.76039908284974</v>
      </c>
      <c r="M341" s="544">
        <f>'побудинковий звіт'!DA342*-1</f>
        <v>9466.7869535530099</v>
      </c>
    </row>
    <row r="342" spans="1:13" ht="20.100000000000001" customHeight="1" x14ac:dyDescent="0.3">
      <c r="A342" s="366" t="s">
        <v>789</v>
      </c>
      <c r="B342" s="291" t="s">
        <v>146</v>
      </c>
      <c r="C342" s="367">
        <v>1</v>
      </c>
      <c r="D342" s="357">
        <f>'побудинковий звіт'!CU343</f>
        <v>3893.5980735695507</v>
      </c>
      <c r="E342" s="341">
        <f>'побудинковий звіт'!CV343</f>
        <v>1956.684380720691</v>
      </c>
      <c r="F342" s="341">
        <f t="shared" si="20"/>
        <v>-1936.9136928488597</v>
      </c>
      <c r="G342" s="358">
        <f t="shared" si="21"/>
        <v>0.50253887118010954</v>
      </c>
      <c r="H342" s="352">
        <f>('побудинковий звіт'!AS343+'побудинковий звіт'!BQ343)*1.2</f>
        <v>2744.2527658272725</v>
      </c>
      <c r="I342" s="340">
        <f>('побудинковий звіт'!AT343+'побудинковий звіт'!BR343)*1.2</f>
        <v>0</v>
      </c>
      <c r="J342" s="340">
        <f t="shared" si="22"/>
        <v>-2744.2527658272725</v>
      </c>
      <c r="K342" s="361">
        <f t="shared" si="23"/>
        <v>0</v>
      </c>
      <c r="L342" s="363">
        <f>'побудинковий звіт'!DE343</f>
        <v>69.376068851762795</v>
      </c>
      <c r="M342" s="544">
        <f>'побудинковий звіт'!DA343*-1</f>
        <v>5089.4108605811325</v>
      </c>
    </row>
    <row r="343" spans="1:13" ht="20.100000000000001" customHeight="1" x14ac:dyDescent="0.3">
      <c r="A343" s="366" t="s">
        <v>790</v>
      </c>
      <c r="B343" s="291" t="s">
        <v>192</v>
      </c>
      <c r="C343" s="367">
        <v>2</v>
      </c>
      <c r="D343" s="357">
        <f>'побудинковий звіт'!CU344</f>
        <v>7730.0631328239306</v>
      </c>
      <c r="E343" s="341">
        <f>'побудинковий звіт'!CV344</f>
        <v>3175.5530876821376</v>
      </c>
      <c r="F343" s="341">
        <f t="shared" si="20"/>
        <v>-4554.5100451417929</v>
      </c>
      <c r="G343" s="358">
        <f t="shared" si="21"/>
        <v>0.41080558245350984</v>
      </c>
      <c r="H343" s="352">
        <f>('побудинковий звіт'!AS344+'побудинковий звіт'!BQ344)*1.2</f>
        <v>4259.7969561958871</v>
      </c>
      <c r="I343" s="340">
        <f>('побудинковий звіт'!AT344+'побудинковий звіт'!BR344)*1.2</f>
        <v>213.6</v>
      </c>
      <c r="J343" s="340">
        <f t="shared" si="22"/>
        <v>-4046.1969561958872</v>
      </c>
      <c r="K343" s="361">
        <f t="shared" si="23"/>
        <v>5.0143235040655675E-2</v>
      </c>
      <c r="L343" s="363">
        <f>'побудинковий звіт'!DE344</f>
        <v>-126.91091425123921</v>
      </c>
      <c r="M343" s="544">
        <f>'побудинковий звіт'!DA344*-1</f>
        <v>12943.824782495911</v>
      </c>
    </row>
    <row r="344" spans="1:13" ht="20.100000000000001" customHeight="1" x14ac:dyDescent="0.3">
      <c r="A344" s="366" t="s">
        <v>791</v>
      </c>
      <c r="B344" s="291" t="s">
        <v>233</v>
      </c>
      <c r="C344" s="367">
        <v>4</v>
      </c>
      <c r="D344" s="357">
        <f>'побудинковий звіт'!CU345</f>
        <v>199708.13151735425</v>
      </c>
      <c r="E344" s="341">
        <f>'побудинковий звіт'!CV345</f>
        <v>166121.97452723567</v>
      </c>
      <c r="F344" s="341">
        <f t="shared" si="20"/>
        <v>-33586.156990118587</v>
      </c>
      <c r="G344" s="358">
        <f t="shared" si="21"/>
        <v>0.83182378837088056</v>
      </c>
      <c r="H344" s="352">
        <f>('побудинковий звіт'!AS345+'побудинковий звіт'!BQ345)*1.2</f>
        <v>54820.454989237325</v>
      </c>
      <c r="I344" s="340">
        <f>('побудинковий звіт'!AT345+'побудинковий звіт'!BR345)*1.2</f>
        <v>17673.599999999999</v>
      </c>
      <c r="J344" s="340">
        <f t="shared" si="22"/>
        <v>-37146.854989237327</v>
      </c>
      <c r="K344" s="361">
        <f t="shared" si="23"/>
        <v>0.32239061137799357</v>
      </c>
      <c r="L344" s="363">
        <f>'побудинковий звіт'!DE345</f>
        <v>17206.399132593444</v>
      </c>
      <c r="M344" s="544">
        <f>'побудинковий звіт'!DA345*-1</f>
        <v>-22766.714205542907</v>
      </c>
    </row>
    <row r="345" spans="1:13" ht="20.100000000000001" customHeight="1" x14ac:dyDescent="0.3">
      <c r="A345" s="366" t="s">
        <v>792</v>
      </c>
      <c r="B345" s="291" t="s">
        <v>234</v>
      </c>
      <c r="C345" s="367">
        <v>4</v>
      </c>
      <c r="D345" s="357">
        <f>'побудинковий звіт'!CU346</f>
        <v>79981.392547126423</v>
      </c>
      <c r="E345" s="341">
        <f>'побудинковий звіт'!CV346</f>
        <v>70082.852921193073</v>
      </c>
      <c r="F345" s="341">
        <f t="shared" si="20"/>
        <v>-9898.5396259333502</v>
      </c>
      <c r="G345" s="358">
        <f t="shared" si="21"/>
        <v>0.87623946882268944</v>
      </c>
      <c r="H345" s="352">
        <f>('побудинковий звіт'!AS346+'побудинковий звіт'!BQ346)*1.2</f>
        <v>21972.267101006175</v>
      </c>
      <c r="I345" s="340">
        <f>('побудинковий звіт'!AT346+'побудинковий звіт'!BR346)*1.2</f>
        <v>10298.52</v>
      </c>
      <c r="J345" s="340">
        <f t="shared" si="22"/>
        <v>-11673.747101006174</v>
      </c>
      <c r="K345" s="361">
        <f t="shared" si="23"/>
        <v>0.46870538905511488</v>
      </c>
      <c r="L345" s="363">
        <f>'побудинковий звіт'!DE346</f>
        <v>3039.2881201728924</v>
      </c>
      <c r="M345" s="544">
        <f>'побудинковий звіт'!DA346*-1</f>
        <v>8772.0280179964102</v>
      </c>
    </row>
    <row r="346" spans="1:13" ht="20.100000000000001" customHeight="1" x14ac:dyDescent="0.3">
      <c r="A346" s="366" t="s">
        <v>793</v>
      </c>
      <c r="B346" s="291" t="s">
        <v>235</v>
      </c>
      <c r="C346" s="367">
        <v>4</v>
      </c>
      <c r="D346" s="357">
        <f>'побудинковий звіт'!CU347</f>
        <v>261152.8491206973</v>
      </c>
      <c r="E346" s="341">
        <f>'побудинковий звіт'!CV347</f>
        <v>222127.36785484891</v>
      </c>
      <c r="F346" s="341">
        <f t="shared" si="20"/>
        <v>-39025.481265848386</v>
      </c>
      <c r="G346" s="358">
        <f t="shared" si="21"/>
        <v>0.85056459695060826</v>
      </c>
      <c r="H346" s="352">
        <f>('побудинковий звіт'!AS347+'побудинковий звіт'!BQ347)*1.2</f>
        <v>60590.751775047698</v>
      </c>
      <c r="I346" s="340">
        <f>('побудинковий звіт'!AT347+'побудинковий звіт'!BR347)*1.2</f>
        <v>20251.322089484704</v>
      </c>
      <c r="J346" s="340">
        <f t="shared" si="22"/>
        <v>-40339.429685562995</v>
      </c>
      <c r="K346" s="361">
        <f t="shared" si="23"/>
        <v>0.33423123985440534</v>
      </c>
      <c r="L346" s="363">
        <f>'побудинковий звіт'!DE347</f>
        <v>13633.776753734979</v>
      </c>
      <c r="M346" s="546">
        <f>'побудинковий звіт'!DA347*-1</f>
        <v>-231065.41077556132</v>
      </c>
    </row>
    <row r="347" spans="1:13" ht="20.100000000000001" customHeight="1" x14ac:dyDescent="0.3">
      <c r="A347" s="366" t="s">
        <v>794</v>
      </c>
      <c r="B347" s="291" t="s">
        <v>236</v>
      </c>
      <c r="C347" s="367">
        <v>4</v>
      </c>
      <c r="D347" s="357">
        <f>'побудинковий звіт'!CU348</f>
        <v>217168.64384504044</v>
      </c>
      <c r="E347" s="341">
        <f>'побудинковий звіт'!CV348</f>
        <v>176804.83261064635</v>
      </c>
      <c r="F347" s="341">
        <f t="shared" si="20"/>
        <v>-40363.811234394088</v>
      </c>
      <c r="G347" s="358">
        <f t="shared" si="21"/>
        <v>0.81413609939381726</v>
      </c>
      <c r="H347" s="352">
        <f>('побудинковий звіт'!AS348+'побудинковий звіт'!BQ348)*1.2</f>
        <v>56155.72032549385</v>
      </c>
      <c r="I347" s="340">
        <f>('побудинковий звіт'!AT348+'побудинковий звіт'!BR348)*1.2</f>
        <v>22853.754657113775</v>
      </c>
      <c r="J347" s="340">
        <f t="shared" si="22"/>
        <v>-33301.965668380071</v>
      </c>
      <c r="K347" s="361">
        <f t="shared" si="23"/>
        <v>0.40697108904751267</v>
      </c>
      <c r="L347" s="363">
        <f>'побудинковий звіт'!DE348</f>
        <v>23980.66876096819</v>
      </c>
      <c r="M347" s="544">
        <f>'побудинковий звіт'!DA348*-1</f>
        <v>27356.616846693047</v>
      </c>
    </row>
    <row r="348" spans="1:13" ht="20.100000000000001" customHeight="1" x14ac:dyDescent="0.3">
      <c r="A348" s="366" t="s">
        <v>795</v>
      </c>
      <c r="B348" s="291" t="s">
        <v>201</v>
      </c>
      <c r="C348" s="367">
        <v>3</v>
      </c>
      <c r="D348" s="357">
        <f>'побудинковий звіт'!CU349</f>
        <v>242731.84443019953</v>
      </c>
      <c r="E348" s="341">
        <f>'побудинковий звіт'!CV349</f>
        <v>279961.53862393461</v>
      </c>
      <c r="F348" s="341">
        <f t="shared" si="20"/>
        <v>37229.694193735078</v>
      </c>
      <c r="G348" s="358">
        <f t="shared" si="21"/>
        <v>1.1533778737648941</v>
      </c>
      <c r="H348" s="352">
        <f>('побудинковий звіт'!AS349+'побудинковий звіт'!BQ349)*1.2</f>
        <v>59515.99070680335</v>
      </c>
      <c r="I348" s="340">
        <f>('побудинковий звіт'!AT349+'побудинковий звіт'!BR349)*1.2</f>
        <v>94516.205543912394</v>
      </c>
      <c r="J348" s="340">
        <f t="shared" si="22"/>
        <v>35000.214837109044</v>
      </c>
      <c r="K348" s="361">
        <f t="shared" si="23"/>
        <v>1.5880808572864455</v>
      </c>
      <c r="L348" s="363">
        <f>'побудинковий звіт'!DE349</f>
        <v>29664.211457943413</v>
      </c>
      <c r="M348" s="544">
        <f>'побудинковий звіт'!DA349*-1</f>
        <v>-25684.656235379196</v>
      </c>
    </row>
    <row r="349" spans="1:13" ht="20.100000000000001" customHeight="1" x14ac:dyDescent="0.3">
      <c r="A349" s="366" t="s">
        <v>796</v>
      </c>
      <c r="B349" s="291" t="s">
        <v>306</v>
      </c>
      <c r="C349" s="367">
        <v>5</v>
      </c>
      <c r="D349" s="357">
        <f>'побудинковий звіт'!CU350</f>
        <v>487896.3472731341</v>
      </c>
      <c r="E349" s="341">
        <f>'побудинковий звіт'!CV350</f>
        <v>496381.50056352658</v>
      </c>
      <c r="F349" s="341">
        <f t="shared" si="20"/>
        <v>8485.1532903924817</v>
      </c>
      <c r="G349" s="358">
        <f t="shared" si="21"/>
        <v>1.0173913031688313</v>
      </c>
      <c r="H349" s="352">
        <f>('побудинковий звіт'!AS350+'побудинковий звіт'!BQ350)*1.2</f>
        <v>138000.62067062655</v>
      </c>
      <c r="I349" s="340">
        <f>('побудинковий звіт'!AT350+'побудинковий звіт'!BR350)*1.2</f>
        <v>114575.772</v>
      </c>
      <c r="J349" s="340">
        <f t="shared" si="22"/>
        <v>-23424.848670626554</v>
      </c>
      <c r="K349" s="361">
        <f t="shared" si="23"/>
        <v>0.83025548322325382</v>
      </c>
      <c r="L349" s="363">
        <f>'побудинковий звіт'!DE350</f>
        <v>53469.047711493666</v>
      </c>
      <c r="M349" s="546">
        <f>'побудинковий звіт'!DA350*-1</f>
        <v>-63388.098353681649</v>
      </c>
    </row>
    <row r="350" spans="1:13" ht="20.100000000000001" customHeight="1" x14ac:dyDescent="0.3">
      <c r="A350" s="366" t="s">
        <v>797</v>
      </c>
      <c r="B350" s="291" t="s">
        <v>307</v>
      </c>
      <c r="C350" s="367">
        <v>5</v>
      </c>
      <c r="D350" s="357">
        <f>'побудинковий звіт'!CU351</f>
        <v>149230.41731759033</v>
      </c>
      <c r="E350" s="341">
        <f>'побудинковий звіт'!CV351</f>
        <v>118534.97897742158</v>
      </c>
      <c r="F350" s="341">
        <f t="shared" si="20"/>
        <v>-30695.438340168752</v>
      </c>
      <c r="G350" s="358">
        <f t="shared" si="21"/>
        <v>0.79430843328111123</v>
      </c>
      <c r="H350" s="352">
        <f>('побудинковий звіт'!AS351+'побудинковий звіт'!BQ351)*1.2</f>
        <v>36398.483797520203</v>
      </c>
      <c r="I350" s="340">
        <f>('побудинковий звіт'!AT351+'побудинковий звіт'!BR351)*1.2</f>
        <v>6398.4</v>
      </c>
      <c r="J350" s="340">
        <f t="shared" si="22"/>
        <v>-30000.083797520201</v>
      </c>
      <c r="K350" s="361">
        <f t="shared" si="23"/>
        <v>0.17578754201942656</v>
      </c>
      <c r="L350" s="363">
        <f>'побудинковий звіт'!DE351</f>
        <v>8513.0591954552146</v>
      </c>
      <c r="M350" s="546">
        <f>'побудинковий звіт'!DA351*-1</f>
        <v>-20895.973818567662</v>
      </c>
    </row>
    <row r="351" spans="1:13" ht="20.100000000000001" customHeight="1" x14ac:dyDescent="0.3">
      <c r="A351" s="366" t="s">
        <v>798</v>
      </c>
      <c r="B351" s="291" t="s">
        <v>308</v>
      </c>
      <c r="C351" s="367">
        <v>5</v>
      </c>
      <c r="D351" s="357">
        <f>'побудинковий звіт'!CU352</f>
        <v>160386.3798746317</v>
      </c>
      <c r="E351" s="341">
        <f>'побудинковий звіт'!CV352</f>
        <v>171679.76193708056</v>
      </c>
      <c r="F351" s="341">
        <f t="shared" si="20"/>
        <v>11293.382062448858</v>
      </c>
      <c r="G351" s="358">
        <f t="shared" si="21"/>
        <v>1.0704135979082294</v>
      </c>
      <c r="H351" s="352">
        <f>('побудинковий звіт'!AS352+'побудинковий звіт'!BQ352)*1.2</f>
        <v>40358.772795652279</v>
      </c>
      <c r="I351" s="340">
        <f>('побудинковий звіт'!AT352+'побудинковий звіт'!BR352)*1.2</f>
        <v>52289.640000000007</v>
      </c>
      <c r="J351" s="340">
        <f t="shared" si="22"/>
        <v>11930.867204347727</v>
      </c>
      <c r="K351" s="361">
        <f t="shared" si="23"/>
        <v>1.2956201682533073</v>
      </c>
      <c r="L351" s="363">
        <f>'побудинковий звіт'!DE352</f>
        <v>20194.193699959455</v>
      </c>
      <c r="M351" s="544">
        <f>'побудинковий звіт'!DA352*-1</f>
        <v>-38412.322487030659</v>
      </c>
    </row>
    <row r="352" spans="1:13" ht="20.100000000000001" customHeight="1" x14ac:dyDescent="0.3">
      <c r="A352" s="366" t="s">
        <v>799</v>
      </c>
      <c r="B352" s="291" t="s">
        <v>309</v>
      </c>
      <c r="C352" s="367">
        <v>5</v>
      </c>
      <c r="D352" s="357">
        <f>'побудинковий звіт'!CU353</f>
        <v>269941.48657290195</v>
      </c>
      <c r="E352" s="341">
        <f>'побудинковий звіт'!CV353</f>
        <v>275510.20800877799</v>
      </c>
      <c r="F352" s="341">
        <f t="shared" si="20"/>
        <v>5568.7214358760393</v>
      </c>
      <c r="G352" s="358">
        <f t="shared" si="21"/>
        <v>1.0206293649285809</v>
      </c>
      <c r="H352" s="352">
        <f>('побудинковий звіт'!AS353+'побудинковий звіт'!BQ353)*1.2</f>
        <v>74676.961787538821</v>
      </c>
      <c r="I352" s="340">
        <f>('побудинковий звіт'!AT353+'побудинковий звіт'!BR353)*1.2</f>
        <v>82734.635999999999</v>
      </c>
      <c r="J352" s="340">
        <f t="shared" si="22"/>
        <v>8057.6742124611774</v>
      </c>
      <c r="K352" s="361">
        <f t="shared" si="23"/>
        <v>1.1079004022068524</v>
      </c>
      <c r="L352" s="363">
        <f>'побудинковий звіт'!DE353</f>
        <v>46713.47730967823</v>
      </c>
      <c r="M352" s="544">
        <f>'побудинковий звіт'!DA353*-1</f>
        <v>11251.572779578764</v>
      </c>
    </row>
    <row r="353" spans="1:13" ht="20.100000000000001" customHeight="1" x14ac:dyDescent="0.3">
      <c r="A353" s="366" t="s">
        <v>800</v>
      </c>
      <c r="B353" s="291" t="s">
        <v>310</v>
      </c>
      <c r="C353" s="367">
        <v>5</v>
      </c>
      <c r="D353" s="357">
        <f>'побудинковий звіт'!CU354</f>
        <v>125486.81749852741</v>
      </c>
      <c r="E353" s="341">
        <f>'побудинковий звіт'!CV354</f>
        <v>102088.97498634983</v>
      </c>
      <c r="F353" s="341">
        <f t="shared" si="20"/>
        <v>-23397.84251217758</v>
      </c>
      <c r="G353" s="358">
        <f t="shared" si="21"/>
        <v>0.81354342249972067</v>
      </c>
      <c r="H353" s="352">
        <f>('побудинковий звіт'!AS354+'побудинковий звіт'!BQ354)*1.2</f>
        <v>33490.135663535977</v>
      </c>
      <c r="I353" s="340">
        <f>('побудинковий звіт'!AT354+'побудинковий звіт'!BR354)*1.2</f>
        <v>10182</v>
      </c>
      <c r="J353" s="340">
        <f t="shared" si="22"/>
        <v>-23308.135663535977</v>
      </c>
      <c r="K353" s="361">
        <f t="shared" si="23"/>
        <v>0.3040298224616077</v>
      </c>
      <c r="L353" s="363">
        <f>'побудинковий звіт'!DE354</f>
        <v>8210.9947597666433</v>
      </c>
      <c r="M353" s="544">
        <f>'побудинковий звіт'!DA354*-1</f>
        <v>19392.160406753417</v>
      </c>
    </row>
    <row r="354" spans="1:13" ht="20.100000000000001" customHeight="1" x14ac:dyDescent="0.3">
      <c r="A354" s="366" t="s">
        <v>801</v>
      </c>
      <c r="B354" s="291" t="s">
        <v>311</v>
      </c>
      <c r="C354" s="367">
        <v>5</v>
      </c>
      <c r="D354" s="357">
        <f>'побудинковий звіт'!CU355</f>
        <v>190601.40139076451</v>
      </c>
      <c r="E354" s="341">
        <f>'побудинковий звіт'!CV355</f>
        <v>155449.39053436401</v>
      </c>
      <c r="F354" s="341">
        <f t="shared" si="20"/>
        <v>-35152.010856400506</v>
      </c>
      <c r="G354" s="358">
        <f t="shared" si="21"/>
        <v>0.81557317732237944</v>
      </c>
      <c r="H354" s="352">
        <f>('побудинковий звіт'!AS355+'побудинковий звіт'!BQ355)*1.2</f>
        <v>42401.058427709686</v>
      </c>
      <c r="I354" s="340">
        <f>('побудинковий звіт'!AT355+'побудинковий звіт'!BR355)*1.2</f>
        <v>9916.9528091429765</v>
      </c>
      <c r="J354" s="340">
        <f t="shared" si="22"/>
        <v>-32484.105618566711</v>
      </c>
      <c r="K354" s="361">
        <f t="shared" si="23"/>
        <v>0.23388455800108304</v>
      </c>
      <c r="L354" s="363">
        <f>'побудинковий звіт'!DE355</f>
        <v>6197.7916974966029</v>
      </c>
      <c r="M354" s="544">
        <f>'побудинковий звіт'!DA355*-1</f>
        <v>24176.743571174084</v>
      </c>
    </row>
    <row r="355" spans="1:13" ht="20.100000000000001" customHeight="1" x14ac:dyDescent="0.3">
      <c r="A355" s="366" t="s">
        <v>802</v>
      </c>
      <c r="B355" s="291" t="s">
        <v>312</v>
      </c>
      <c r="C355" s="367">
        <v>5</v>
      </c>
      <c r="D355" s="357">
        <f>'побудинковий звіт'!CU356</f>
        <v>328170.86402924918</v>
      </c>
      <c r="E355" s="341">
        <f>'побудинковий звіт'!CV356</f>
        <v>253983.42249105385</v>
      </c>
      <c r="F355" s="341">
        <f t="shared" si="20"/>
        <v>-74187.441538195329</v>
      </c>
      <c r="G355" s="358">
        <f t="shared" si="21"/>
        <v>0.77393653834063969</v>
      </c>
      <c r="H355" s="352">
        <f>('побудинковий звіт'!AS356+'побудинковий звіт'!BQ356)*1.2</f>
        <v>111944.8211952898</v>
      </c>
      <c r="I355" s="340">
        <f>('побудинковий звіт'!AT356+'побудинковий звіт'!BR356)*1.2</f>
        <v>48502.38</v>
      </c>
      <c r="J355" s="340">
        <f t="shared" si="22"/>
        <v>-63442.441195289801</v>
      </c>
      <c r="K355" s="361">
        <f t="shared" si="23"/>
        <v>0.43327042271465782</v>
      </c>
      <c r="L355" s="363">
        <f>'побудинковий звіт'!DE356</f>
        <v>29427.576231452487</v>
      </c>
      <c r="M355" s="544">
        <f>'побудинковий звіт'!DA356*-1</f>
        <v>16915.401711987535</v>
      </c>
    </row>
    <row r="356" spans="1:13" ht="20.100000000000001" customHeight="1" x14ac:dyDescent="0.3">
      <c r="A356" s="366" t="s">
        <v>803</v>
      </c>
      <c r="B356" s="291" t="s">
        <v>313</v>
      </c>
      <c r="C356" s="367">
        <v>5</v>
      </c>
      <c r="D356" s="357">
        <f>'побудинковий звіт'!CU357</f>
        <v>173171.6987614297</v>
      </c>
      <c r="E356" s="341">
        <f>'побудинковий звіт'!CV357</f>
        <v>151331.43950814611</v>
      </c>
      <c r="F356" s="341">
        <f t="shared" si="20"/>
        <v>-21840.259253283584</v>
      </c>
      <c r="G356" s="358">
        <f t="shared" si="21"/>
        <v>0.87388089734355578</v>
      </c>
      <c r="H356" s="352">
        <f>('побудинковий звіт'!AS357+'побудинковий звіт'!BQ357)*1.2</f>
        <v>45514.815837050235</v>
      </c>
      <c r="I356" s="340">
        <f>('побудинковий звіт'!AT357+'побудинковий звіт'!BR357)*1.2</f>
        <v>32017.403999999995</v>
      </c>
      <c r="J356" s="340">
        <f t="shared" si="22"/>
        <v>-13497.41183705024</v>
      </c>
      <c r="K356" s="361">
        <f t="shared" si="23"/>
        <v>0.70345014938931161</v>
      </c>
      <c r="L356" s="363">
        <f>'побудинковий звіт'!DE357</f>
        <v>10702.919661335229</v>
      </c>
      <c r="M356" s="546">
        <f>'побудинковий звіт'!DA357*-1</f>
        <v>-16258.553921092898</v>
      </c>
    </row>
    <row r="357" spans="1:13" ht="20.100000000000001" customHeight="1" x14ac:dyDescent="0.3">
      <c r="A357" s="366" t="s">
        <v>804</v>
      </c>
      <c r="B357" s="291" t="s">
        <v>141</v>
      </c>
      <c r="C357" s="367">
        <v>1</v>
      </c>
      <c r="D357" s="357">
        <f>'побудинковий звіт'!CU358</f>
        <v>2708.0428822112585</v>
      </c>
      <c r="E357" s="341">
        <f>'побудинковий звіт'!CV358</f>
        <v>1534.4563283244058</v>
      </c>
      <c r="F357" s="341">
        <f t="shared" si="20"/>
        <v>-1173.5865538868527</v>
      </c>
      <c r="G357" s="358">
        <f t="shared" si="21"/>
        <v>0.56662925775807582</v>
      </c>
      <c r="H357" s="352">
        <f>('побудинковий звіт'!AS358+'побудинковий звіт'!BQ358)*1.2</f>
        <v>2075.8919791506551</v>
      </c>
      <c r="I357" s="340">
        <f>('побудинковий звіт'!AT358+'побудинковий звіт'!BR358)*1.2</f>
        <v>427.52399999999994</v>
      </c>
      <c r="J357" s="340">
        <f t="shared" si="22"/>
        <v>-1648.3679791506552</v>
      </c>
      <c r="K357" s="361">
        <f t="shared" si="23"/>
        <v>0.20594713226596698</v>
      </c>
      <c r="L357" s="363">
        <f>'побудинковий звіт'!DE358</f>
        <v>-15.808538806030413</v>
      </c>
      <c r="M357" s="544">
        <f>'побудинковий звіт'!DA358*-1</f>
        <v>3884.5141914928699</v>
      </c>
    </row>
    <row r="358" spans="1:13" ht="20.100000000000001" customHeight="1" x14ac:dyDescent="0.3">
      <c r="A358" s="366" t="s">
        <v>805</v>
      </c>
      <c r="B358" s="291" t="s">
        <v>397</v>
      </c>
      <c r="C358" s="367">
        <v>9</v>
      </c>
      <c r="D358" s="357">
        <f>'побудинковий звіт'!CU359</f>
        <v>185113.68759085305</v>
      </c>
      <c r="E358" s="341">
        <f>'побудинковий звіт'!CV359</f>
        <v>165707.43865790169</v>
      </c>
      <c r="F358" s="341">
        <f t="shared" si="20"/>
        <v>-19406.248932951363</v>
      </c>
      <c r="G358" s="358">
        <f t="shared" si="21"/>
        <v>0.89516578063182473</v>
      </c>
      <c r="H358" s="352">
        <f>('побудинковий звіт'!AS359+'побудинковий звіт'!BQ359)*1.2</f>
        <v>37992.064865052882</v>
      </c>
      <c r="I358" s="340">
        <f>('побудинковий звіт'!AT359+'побудинковий звіт'!BR359)*1.2</f>
        <v>18260.259099578314</v>
      </c>
      <c r="J358" s="340">
        <f t="shared" si="22"/>
        <v>-19731.805765474568</v>
      </c>
      <c r="K358" s="361">
        <f t="shared" si="23"/>
        <v>0.48063349976997616</v>
      </c>
      <c r="L358" s="363">
        <f>'побудинковий звіт'!DE359</f>
        <v>51141.263906328</v>
      </c>
      <c r="M358" s="546">
        <f>'побудинковий звіт'!DA359*-1</f>
        <v>-90537.27148318346</v>
      </c>
    </row>
    <row r="359" spans="1:13" ht="20.100000000000001" customHeight="1" x14ac:dyDescent="0.3">
      <c r="A359" s="366" t="s">
        <v>806</v>
      </c>
      <c r="B359" s="291" t="s">
        <v>398</v>
      </c>
      <c r="C359" s="367">
        <v>9</v>
      </c>
      <c r="D359" s="357">
        <f>'побудинковий звіт'!CU360</f>
        <v>468578.19885641453</v>
      </c>
      <c r="E359" s="341">
        <f>'побудинковий звіт'!CV360</f>
        <v>413693.11183867912</v>
      </c>
      <c r="F359" s="341">
        <f t="shared" si="20"/>
        <v>-54885.087017735408</v>
      </c>
      <c r="G359" s="358">
        <f t="shared" si="21"/>
        <v>0.88286888474178937</v>
      </c>
      <c r="H359" s="352">
        <f>('побудинковий звіт'!AS360+'побудинковий звіт'!BQ360)*1.2</f>
        <v>112264.43244203815</v>
      </c>
      <c r="I359" s="340">
        <f>('побудинковий звіт'!AT360+'побудинковий звіт'!BR360)*1.2</f>
        <v>52455.465057258807</v>
      </c>
      <c r="J359" s="340">
        <f t="shared" si="22"/>
        <v>-59808.967384779338</v>
      </c>
      <c r="K359" s="361">
        <f t="shared" si="23"/>
        <v>0.46724918940236426</v>
      </c>
      <c r="L359" s="363">
        <f>'побудинковий звіт'!DE360</f>
        <v>44073.517509448408</v>
      </c>
      <c r="M359" s="546">
        <f>'побудинковий звіт'!DA360*-1</f>
        <v>-121690.95623329563</v>
      </c>
    </row>
    <row r="360" spans="1:13" ht="20.100000000000001" customHeight="1" x14ac:dyDescent="0.3">
      <c r="A360" s="366" t="s">
        <v>807</v>
      </c>
      <c r="B360" s="291" t="s">
        <v>314</v>
      </c>
      <c r="C360" s="367">
        <v>5</v>
      </c>
      <c r="D360" s="357">
        <f>'побудинковий звіт'!CU361</f>
        <v>185262.16300413667</v>
      </c>
      <c r="E360" s="341">
        <f>'побудинковий звіт'!CV361</f>
        <v>279785.46466256009</v>
      </c>
      <c r="F360" s="341">
        <f t="shared" si="20"/>
        <v>94523.301658423414</v>
      </c>
      <c r="G360" s="358">
        <f t="shared" si="21"/>
        <v>1.5102137431932758</v>
      </c>
      <c r="H360" s="352">
        <f>('побудинковий звіт'!AS361+'побудинковий звіт'!BQ361)*1.2</f>
        <v>45674.170391371648</v>
      </c>
      <c r="I360" s="340">
        <f>('побудинковий звіт'!AT361+'побудинковий звіт'!BR361)*1.2</f>
        <v>146157.6</v>
      </c>
      <c r="J360" s="340">
        <f t="shared" si="22"/>
        <v>100483.42960862836</v>
      </c>
      <c r="K360" s="361">
        <f t="shared" si="23"/>
        <v>3.200005577498366</v>
      </c>
      <c r="L360" s="363">
        <f>'побудинковий звіт'!DE361</f>
        <v>16983.458859426893</v>
      </c>
      <c r="M360" s="546">
        <f>'побудинковий звіт'!DA361*-1</f>
        <v>-76000.589844673988</v>
      </c>
    </row>
    <row r="361" spans="1:13" ht="20.100000000000001" customHeight="1" x14ac:dyDescent="0.3">
      <c r="A361" s="366" t="s">
        <v>808</v>
      </c>
      <c r="B361" s="291" t="s">
        <v>428</v>
      </c>
      <c r="C361" s="367">
        <v>16</v>
      </c>
      <c r="D361" s="357">
        <f>'побудинковий звіт'!CU362</f>
        <v>413638.49868906598</v>
      </c>
      <c r="E361" s="341">
        <f>'побудинковий звіт'!CV362</f>
        <v>356437.72772027954</v>
      </c>
      <c r="F361" s="341">
        <f t="shared" si="20"/>
        <v>-57200.770968786441</v>
      </c>
      <c r="G361" s="358">
        <f t="shared" si="21"/>
        <v>0.86171313562429175</v>
      </c>
      <c r="H361" s="352">
        <f>('побудинковий звіт'!AS362+'побудинковий звіт'!BQ362)*1.2</f>
        <v>92792.637962443114</v>
      </c>
      <c r="I361" s="340">
        <f>('побудинковий звіт'!AT362+'побудинковий звіт'!BR362)*1.2</f>
        <v>54008.015999999996</v>
      </c>
      <c r="J361" s="340">
        <f t="shared" si="22"/>
        <v>-38784.621962443118</v>
      </c>
      <c r="K361" s="361">
        <f t="shared" si="23"/>
        <v>0.58202910474276204</v>
      </c>
      <c r="L361" s="363">
        <f>'побудинковий звіт'!DE362</f>
        <v>33880.820742803982</v>
      </c>
      <c r="M361" s="546">
        <f>'побудинковий звіт'!DA362*-1</f>
        <v>-37841.829112294268</v>
      </c>
    </row>
    <row r="362" spans="1:13" ht="20.100000000000001" customHeight="1" x14ac:dyDescent="0.3">
      <c r="A362" s="366" t="s">
        <v>809</v>
      </c>
      <c r="B362" s="291" t="s">
        <v>399</v>
      </c>
      <c r="C362" s="367">
        <v>9</v>
      </c>
      <c r="D362" s="357">
        <f>'побудинковий звіт'!CU363</f>
        <v>616300.87482733221</v>
      </c>
      <c r="E362" s="341">
        <f>'побудинковий звіт'!CV363</f>
        <v>566768.71163976623</v>
      </c>
      <c r="F362" s="341">
        <f t="shared" si="20"/>
        <v>-49532.16318756598</v>
      </c>
      <c r="G362" s="358">
        <f t="shared" si="21"/>
        <v>0.91962989959823871</v>
      </c>
      <c r="H362" s="352">
        <f>('побудинковий звіт'!AS363+'побудинковий звіт'!BQ363)*1.2</f>
        <v>144661.09148043633</v>
      </c>
      <c r="I362" s="340">
        <f>('побудинковий звіт'!AT363+'побудинковий звіт'!BR363)*1.2</f>
        <v>89034.72</v>
      </c>
      <c r="J362" s="340">
        <f t="shared" si="22"/>
        <v>-55626.371480436326</v>
      </c>
      <c r="K362" s="361">
        <f t="shared" si="23"/>
        <v>0.61547109239142495</v>
      </c>
      <c r="L362" s="363">
        <f>'побудинковий звіт'!DE363</f>
        <v>33788.548996393234</v>
      </c>
      <c r="M362" s="544">
        <f>'побудинковий звіт'!DA363*-1</f>
        <v>50735.241211770073</v>
      </c>
    </row>
    <row r="363" spans="1:13" ht="20.100000000000001" customHeight="1" x14ac:dyDescent="0.3">
      <c r="A363" s="366" t="s">
        <v>810</v>
      </c>
      <c r="B363" s="291" t="s">
        <v>190</v>
      </c>
      <c r="C363" s="367">
        <v>2</v>
      </c>
      <c r="D363" s="357">
        <f>'побудинковий звіт'!CU364</f>
        <v>15704.930903593297</v>
      </c>
      <c r="E363" s="341">
        <f>'побудинковий звіт'!CV364</f>
        <v>13337.600551326885</v>
      </c>
      <c r="F363" s="341">
        <f t="shared" si="20"/>
        <v>-2367.3303522664119</v>
      </c>
      <c r="G363" s="358">
        <f t="shared" si="21"/>
        <v>0.84926196958149203</v>
      </c>
      <c r="H363" s="352">
        <f>('побудинковий звіт'!AS364+'побудинковий звіт'!BQ364)*1.2</f>
        <v>4739.2097152460683</v>
      </c>
      <c r="I363" s="340">
        <f>('побудинковий звіт'!AT364+'побудинковий звіт'!BR364)*1.2</f>
        <v>0</v>
      </c>
      <c r="J363" s="340">
        <f t="shared" si="22"/>
        <v>-4739.2097152460683</v>
      </c>
      <c r="K363" s="361">
        <f t="shared" si="23"/>
        <v>0</v>
      </c>
      <c r="L363" s="363">
        <f>'побудинковий звіт'!DE364</f>
        <v>4742.0631002791733</v>
      </c>
      <c r="M363" s="544">
        <f>'побудинковий звіт'!DA364*-1</f>
        <v>9785.2049577854996</v>
      </c>
    </row>
    <row r="364" spans="1:13" ht="20.100000000000001" customHeight="1" x14ac:dyDescent="0.3">
      <c r="A364" s="366" t="s">
        <v>811</v>
      </c>
      <c r="B364" s="291" t="s">
        <v>400</v>
      </c>
      <c r="C364" s="367">
        <v>9</v>
      </c>
      <c r="D364" s="357">
        <f>'побудинковий звіт'!CU365</f>
        <v>197196.64748111315</v>
      </c>
      <c r="E364" s="341">
        <f>'побудинковий звіт'!CV365</f>
        <v>152546.94506372922</v>
      </c>
      <c r="F364" s="341">
        <f t="shared" si="20"/>
        <v>-44649.702417383931</v>
      </c>
      <c r="G364" s="358">
        <f t="shared" si="21"/>
        <v>0.77357778142926936</v>
      </c>
      <c r="H364" s="352">
        <f>('побудинковий звіт'!AS365+'побудинковий звіт'!BQ365)*1.2</f>
        <v>48182.658077065273</v>
      </c>
      <c r="I364" s="340">
        <f>('побудинковий звіт'!AT365+'побудинковий звіт'!BR365)*1.2</f>
        <v>5796.8159999999998</v>
      </c>
      <c r="J364" s="340">
        <f t="shared" si="22"/>
        <v>-42385.842077065274</v>
      </c>
      <c r="K364" s="361">
        <f t="shared" si="23"/>
        <v>0.12030917826759038</v>
      </c>
      <c r="L364" s="363">
        <f>'побудинковий звіт'!DE365</f>
        <v>34959.973050953609</v>
      </c>
      <c r="M364" s="547">
        <f>'побудинковий звіт'!DA365*-1</f>
        <v>124601.53280215811</v>
      </c>
    </row>
    <row r="365" spans="1:13" ht="20.100000000000001" customHeight="1" x14ac:dyDescent="0.3">
      <c r="A365" s="366" t="s">
        <v>812</v>
      </c>
      <c r="B365" s="291" t="s">
        <v>401</v>
      </c>
      <c r="C365" s="367">
        <v>9</v>
      </c>
      <c r="D365" s="357">
        <f>'побудинковий звіт'!CU366</f>
        <v>333328.60132171091</v>
      </c>
      <c r="E365" s="341">
        <f>'побудинковий звіт'!CV366</f>
        <v>330818.58303435921</v>
      </c>
      <c r="F365" s="341">
        <f t="shared" si="20"/>
        <v>-2510.0182873517042</v>
      </c>
      <c r="G365" s="358">
        <f t="shared" si="21"/>
        <v>0.99246983823950596</v>
      </c>
      <c r="H365" s="352">
        <f>('побудинковий звіт'!AS366+'побудинковий звіт'!BQ366)*1.2</f>
        <v>72048.27218219699</v>
      </c>
      <c r="I365" s="340">
        <f>('побудинковий звіт'!AT366+'побудинковий звіт'!BR366)*1.2</f>
        <v>68447.842118181143</v>
      </c>
      <c r="J365" s="340">
        <f t="shared" si="22"/>
        <v>-3600.4300640158472</v>
      </c>
      <c r="K365" s="361">
        <f t="shared" si="23"/>
        <v>0.95002753077948887</v>
      </c>
      <c r="L365" s="363">
        <f>'побудинковий звіт'!DE366</f>
        <v>29086.103831007436</v>
      </c>
      <c r="M365" s="546">
        <f>'побудинковий звіт'!DA366*-1</f>
        <v>-104540.12976557334</v>
      </c>
    </row>
    <row r="366" spans="1:13" ht="20.100000000000001" customHeight="1" x14ac:dyDescent="0.3">
      <c r="A366" s="366" t="s">
        <v>813</v>
      </c>
      <c r="B366" s="291" t="s">
        <v>315</v>
      </c>
      <c r="C366" s="367">
        <v>5</v>
      </c>
      <c r="D366" s="357">
        <f>'побудинковий звіт'!CU367</f>
        <v>177429.47191306646</v>
      </c>
      <c r="E366" s="341">
        <f>'побудинковий звіт'!CV367</f>
        <v>139093.03225438084</v>
      </c>
      <c r="F366" s="341">
        <f t="shared" si="20"/>
        <v>-38336.439658685616</v>
      </c>
      <c r="G366" s="358">
        <f t="shared" si="21"/>
        <v>0.7839342063900806</v>
      </c>
      <c r="H366" s="352">
        <f>('побудинковий звіт'!AS367+'побудинковий звіт'!BQ367)*1.2</f>
        <v>66285.810647886843</v>
      </c>
      <c r="I366" s="340">
        <f>('побудинковий звіт'!AT367+'побудинковий звіт'!BR367)*1.2</f>
        <v>41557.571726889022</v>
      </c>
      <c r="J366" s="340">
        <f t="shared" si="22"/>
        <v>-24728.238920997821</v>
      </c>
      <c r="K366" s="361">
        <f t="shared" si="23"/>
        <v>0.62694521377500656</v>
      </c>
      <c r="L366" s="363">
        <f>'побудинковий звіт'!DE367</f>
        <v>20868.996637828823</v>
      </c>
      <c r="M366" s="547">
        <f>'побудинковий звіт'!DA367*-1</f>
        <v>120991.93457685801</v>
      </c>
    </row>
    <row r="367" spans="1:13" ht="20.100000000000001" customHeight="1" x14ac:dyDescent="0.3">
      <c r="A367" s="366" t="s">
        <v>814</v>
      </c>
      <c r="B367" s="291" t="s">
        <v>316</v>
      </c>
      <c r="C367" s="367">
        <v>5</v>
      </c>
      <c r="D367" s="357">
        <f>'побудинковий звіт'!CU368</f>
        <v>238002.76730346773</v>
      </c>
      <c r="E367" s="341">
        <f>'побудинковий звіт'!CV368</f>
        <v>256004.59560089</v>
      </c>
      <c r="F367" s="341">
        <f t="shared" si="20"/>
        <v>18001.828297422267</v>
      </c>
      <c r="G367" s="358">
        <f t="shared" si="21"/>
        <v>1.0756370545661298</v>
      </c>
      <c r="H367" s="352">
        <f>('побудинковий звіт'!AS368+'побудинковий звіт'!BQ368)*1.2</f>
        <v>76253.083075435599</v>
      </c>
      <c r="I367" s="340">
        <f>('побудинковий звіт'!AT368+'побудинковий звіт'!BR368)*1.2</f>
        <v>90571.043999999994</v>
      </c>
      <c r="J367" s="340">
        <f t="shared" si="22"/>
        <v>14317.960924564395</v>
      </c>
      <c r="K367" s="361">
        <f t="shared" si="23"/>
        <v>1.1877689445081183</v>
      </c>
      <c r="L367" s="363">
        <f>'побудинковий звіт'!DE368</f>
        <v>11128.447912576768</v>
      </c>
      <c r="M367" s="547">
        <f>'побудинковий звіт'!DA368*-1</f>
        <v>93264.232318330716</v>
      </c>
    </row>
    <row r="368" spans="1:13" ht="20.100000000000001" customHeight="1" x14ac:dyDescent="0.3">
      <c r="A368" s="366" t="s">
        <v>815</v>
      </c>
      <c r="B368" s="291" t="s">
        <v>317</v>
      </c>
      <c r="C368" s="367">
        <v>5</v>
      </c>
      <c r="D368" s="357">
        <f>'побудинковий звіт'!CU369</f>
        <v>167979.00506402753</v>
      </c>
      <c r="E368" s="341">
        <f>'побудинковий звіт'!CV369</f>
        <v>158147.79353496959</v>
      </c>
      <c r="F368" s="341">
        <f t="shared" si="20"/>
        <v>-9831.2115290579386</v>
      </c>
      <c r="G368" s="358">
        <f t="shared" si="21"/>
        <v>0.94147356971598539</v>
      </c>
      <c r="H368" s="352">
        <f>('побудинковий звіт'!AS369+'побудинковий звіт'!BQ369)*1.2</f>
        <v>58094.829799023784</v>
      </c>
      <c r="I368" s="340">
        <f>('побудинковий звіт'!AT369+'побудинковий звіт'!BR369)*1.2</f>
        <v>40545.551999999996</v>
      </c>
      <c r="J368" s="340">
        <f t="shared" si="22"/>
        <v>-17549.277799023788</v>
      </c>
      <c r="K368" s="361">
        <f t="shared" si="23"/>
        <v>0.69792014436164707</v>
      </c>
      <c r="L368" s="363">
        <f>'побудинковий звіт'!DE369</f>
        <v>11704.714883221712</v>
      </c>
      <c r="M368" s="547">
        <f>'побудинковий звіт'!DA369*-1</f>
        <v>63804.84757589022</v>
      </c>
    </row>
    <row r="369" spans="1:13" ht="20.100000000000001" customHeight="1" x14ac:dyDescent="0.3">
      <c r="A369" s="366" t="s">
        <v>816</v>
      </c>
      <c r="B369" s="291" t="s">
        <v>402</v>
      </c>
      <c r="C369" s="367">
        <v>9</v>
      </c>
      <c r="D369" s="357">
        <f>'побудинковий звіт'!CU370</f>
        <v>339366.11919963261</v>
      </c>
      <c r="E369" s="341">
        <f>'побудинковий звіт'!CV370</f>
        <v>267581.14009691961</v>
      </c>
      <c r="F369" s="341">
        <f t="shared" si="20"/>
        <v>-71784.979102712998</v>
      </c>
      <c r="G369" s="358">
        <f t="shared" si="21"/>
        <v>0.7884733476871173</v>
      </c>
      <c r="H369" s="352">
        <f>('побудинковий звіт'!AS370+'побудинковий звіт'!BQ370)*1.2</f>
        <v>81258.822056412828</v>
      </c>
      <c r="I369" s="340">
        <f>('побудинковий звіт'!AT370+'побудинковий звіт'!BR370)*1.2</f>
        <v>8730.6</v>
      </c>
      <c r="J369" s="340">
        <f t="shared" si="22"/>
        <v>-72528.222056412822</v>
      </c>
      <c r="K369" s="361">
        <f t="shared" si="23"/>
        <v>0.10744187251371796</v>
      </c>
      <c r="L369" s="363">
        <f>'побудинковий звіт'!DE370</f>
        <v>12828.151887680491</v>
      </c>
      <c r="M369" s="544">
        <f>'побудинковий звіт'!DA370*-1</f>
        <v>71721.614168663626</v>
      </c>
    </row>
    <row r="370" spans="1:13" ht="20.100000000000001" customHeight="1" x14ac:dyDescent="0.3">
      <c r="A370" s="366" t="s">
        <v>817</v>
      </c>
      <c r="B370" s="291" t="s">
        <v>318</v>
      </c>
      <c r="C370" s="367">
        <v>5</v>
      </c>
      <c r="D370" s="357">
        <f>'побудинковий звіт'!CU371</f>
        <v>179400.72006302464</v>
      </c>
      <c r="E370" s="341">
        <f>'побудинковий звіт'!CV371</f>
        <v>313436.3090241013</v>
      </c>
      <c r="F370" s="341">
        <f t="shared" si="20"/>
        <v>134035.58896107666</v>
      </c>
      <c r="G370" s="358">
        <f t="shared" si="21"/>
        <v>1.7471296041286182</v>
      </c>
      <c r="H370" s="352">
        <f>('побудинковий звіт'!AS371+'побудинковий звіт'!BQ371)*1.2</f>
        <v>58356.620995911864</v>
      </c>
      <c r="I370" s="340">
        <f>('побудинковий звіт'!AT371+'побудинковий звіт'!BR371)*1.2</f>
        <v>195694.11991165971</v>
      </c>
      <c r="J370" s="340">
        <f t="shared" si="22"/>
        <v>137337.49891574786</v>
      </c>
      <c r="K370" s="361">
        <f t="shared" si="23"/>
        <v>3.3534175997847604</v>
      </c>
      <c r="L370" s="363">
        <f>'побудинковий звіт'!DE371</f>
        <v>31102.973117483394</v>
      </c>
      <c r="M370" s="546">
        <f>'побудинковий звіт'!DA371*-1</f>
        <v>-48821.975209226337</v>
      </c>
    </row>
    <row r="371" spans="1:13" ht="20.100000000000001" customHeight="1" x14ac:dyDescent="0.3">
      <c r="A371" s="366" t="s">
        <v>818</v>
      </c>
      <c r="B371" s="291" t="s">
        <v>191</v>
      </c>
      <c r="C371" s="367">
        <v>2</v>
      </c>
      <c r="D371" s="357">
        <f>'побудинковий звіт'!CU372</f>
        <v>27890.276664651406</v>
      </c>
      <c r="E371" s="341">
        <f>'побудинковий звіт'!CV372</f>
        <v>20624.204949393785</v>
      </c>
      <c r="F371" s="341">
        <f t="shared" si="20"/>
        <v>-7266.0717152576217</v>
      </c>
      <c r="G371" s="358">
        <f t="shared" si="21"/>
        <v>0.73947652787300022</v>
      </c>
      <c r="H371" s="352">
        <f>('побудинковий звіт'!AS372+'побудинковий звіт'!BQ372)*1.2</f>
        <v>9279.7422097193448</v>
      </c>
      <c r="I371" s="340">
        <f>('побудинковий звіт'!AT372+'побудинковий звіт'!BR372)*1.2</f>
        <v>428.4</v>
      </c>
      <c r="J371" s="340">
        <f t="shared" si="22"/>
        <v>-8851.3422097193452</v>
      </c>
      <c r="K371" s="361">
        <f t="shared" si="23"/>
        <v>4.6165075528855286E-2</v>
      </c>
      <c r="L371" s="363">
        <f>'побудинковий звіт'!DE372</f>
        <v>338.02343502528311</v>
      </c>
      <c r="M371" s="544">
        <f>'побудинковий звіт'!DA372*-1</f>
        <v>23931.27816513112</v>
      </c>
    </row>
    <row r="372" spans="1:13" ht="20.100000000000001" customHeight="1" x14ac:dyDescent="0.3">
      <c r="A372" s="366" t="s">
        <v>819</v>
      </c>
      <c r="B372" s="291" t="s">
        <v>403</v>
      </c>
      <c r="C372" s="367">
        <v>9</v>
      </c>
      <c r="D372" s="357">
        <f>'побудинковий звіт'!CU373</f>
        <v>527396.06826749141</v>
      </c>
      <c r="E372" s="341">
        <f>'побудинковий звіт'!CV373</f>
        <v>470739.38543858047</v>
      </c>
      <c r="F372" s="341">
        <f t="shared" si="20"/>
        <v>-56656.68282891094</v>
      </c>
      <c r="G372" s="358">
        <f t="shared" si="21"/>
        <v>0.89257280014424556</v>
      </c>
      <c r="H372" s="352">
        <f>('побудинковий звіт'!AS373+'побудинковий звіт'!BQ373)*1.2</f>
        <v>119120.00418224026</v>
      </c>
      <c r="I372" s="340">
        <f>('побудинковий звіт'!AT373+'побудинковий звіт'!BR373)*1.2</f>
        <v>62624.399999999994</v>
      </c>
      <c r="J372" s="340">
        <f t="shared" si="22"/>
        <v>-56495.604182240262</v>
      </c>
      <c r="K372" s="361">
        <f t="shared" si="23"/>
        <v>0.52572530054810673</v>
      </c>
      <c r="L372" s="363">
        <f>'побудинковий звіт'!DE373</f>
        <v>57243.926679028526</v>
      </c>
      <c r="M372" s="546">
        <f>'побудинковий звіт'!DA373*-1</f>
        <v>7668.7701873527476</v>
      </c>
    </row>
    <row r="373" spans="1:13" ht="20.100000000000001" customHeight="1" x14ac:dyDescent="0.3">
      <c r="A373" s="366" t="s">
        <v>820</v>
      </c>
      <c r="B373" s="291" t="s">
        <v>426</v>
      </c>
      <c r="C373" s="367">
        <v>14</v>
      </c>
      <c r="D373" s="357">
        <f>'побудинковий звіт'!CU374</f>
        <v>301468.30821684742</v>
      </c>
      <c r="E373" s="341">
        <f>'побудинковий звіт'!CV374</f>
        <v>238876.66232790655</v>
      </c>
      <c r="F373" s="341">
        <f t="shared" si="20"/>
        <v>-62591.645888940868</v>
      </c>
      <c r="G373" s="358">
        <f t="shared" si="21"/>
        <v>0.79237736046231955</v>
      </c>
      <c r="H373" s="352">
        <f>('побудинковий звіт'!AS374+'побудинковий звіт'!BQ374)*1.2</f>
        <v>76447.94447361023</v>
      </c>
      <c r="I373" s="340">
        <f>('побудинковий звіт'!AT374+'побудинковий звіт'!BR374)*1.2</f>
        <v>21696.6</v>
      </c>
      <c r="J373" s="340">
        <f t="shared" si="22"/>
        <v>-54751.344473610232</v>
      </c>
      <c r="K373" s="361">
        <f t="shared" si="23"/>
        <v>0.28380880806402387</v>
      </c>
      <c r="L373" s="363">
        <f>'побудинковий звіт'!DE374</f>
        <v>30201.88199984872</v>
      </c>
      <c r="M373" s="546">
        <f>'побудинковий звіт'!DA374*-1</f>
        <v>2572.9854891959985</v>
      </c>
    </row>
    <row r="374" spans="1:13" ht="20.100000000000001" customHeight="1" x14ac:dyDescent="0.3">
      <c r="A374" s="366" t="s">
        <v>821</v>
      </c>
      <c r="B374" s="291" t="s">
        <v>425</v>
      </c>
      <c r="C374" s="367">
        <v>10</v>
      </c>
      <c r="D374" s="357">
        <f>'побудинковий звіт'!CU375</f>
        <v>667725.01030172501</v>
      </c>
      <c r="E374" s="341">
        <f>'побудинковий звіт'!CV375</f>
        <v>567058.54095124209</v>
      </c>
      <c r="F374" s="341">
        <f t="shared" si="20"/>
        <v>-100666.46935048292</v>
      </c>
      <c r="G374" s="358">
        <f t="shared" si="21"/>
        <v>0.84923963039066819</v>
      </c>
      <c r="H374" s="352">
        <f>('побудинковий звіт'!AS375+'побудинковий звіт'!BQ375)*1.2</f>
        <v>177956.79449343192</v>
      </c>
      <c r="I374" s="340">
        <f>('побудинковий звіт'!AT375+'побудинковий звіт'!BR375)*1.2</f>
        <v>82047.623999999982</v>
      </c>
      <c r="J374" s="340">
        <f t="shared" si="22"/>
        <v>-95909.170493431942</v>
      </c>
      <c r="K374" s="361">
        <f t="shared" si="23"/>
        <v>0.46105361828726477</v>
      </c>
      <c r="L374" s="363">
        <f>'побудинковий звіт'!DE375</f>
        <v>72440.263835043617</v>
      </c>
      <c r="M374" s="546">
        <f>'побудинковий звіт'!DA375*-1</f>
        <v>55450.05800001559</v>
      </c>
    </row>
    <row r="375" spans="1:13" ht="20.100000000000001" customHeight="1" x14ac:dyDescent="0.3">
      <c r="A375" s="366" t="s">
        <v>822</v>
      </c>
      <c r="B375" s="291" t="s">
        <v>404</v>
      </c>
      <c r="C375" s="367">
        <v>9</v>
      </c>
      <c r="D375" s="357">
        <f>'побудинковий звіт'!CU376</f>
        <v>283241.45191063354</v>
      </c>
      <c r="E375" s="341">
        <f>'побудинковий звіт'!CV376</f>
        <v>209187.21958297357</v>
      </c>
      <c r="F375" s="341">
        <f t="shared" si="20"/>
        <v>-74054.232327659964</v>
      </c>
      <c r="G375" s="358">
        <f t="shared" si="21"/>
        <v>0.738547335398404</v>
      </c>
      <c r="H375" s="352">
        <f>('побудинковий звіт'!AS376+'побудинковий звіт'!BQ376)*1.2</f>
        <v>78103.90901881989</v>
      </c>
      <c r="I375" s="340">
        <f>('побудинковий звіт'!AT376+'побудинковий звіт'!BR376)*1.2</f>
        <v>3233.2080000000001</v>
      </c>
      <c r="J375" s="340">
        <f t="shared" si="22"/>
        <v>-74870.701018819891</v>
      </c>
      <c r="K375" s="361">
        <f t="shared" si="23"/>
        <v>4.1396237917117919E-2</v>
      </c>
      <c r="L375" s="363">
        <f>'побудинковий звіт'!DE376</f>
        <v>28694.662113794991</v>
      </c>
      <c r="M375" s="546">
        <f>'побудинковий звіт'!DA376*-1</f>
        <v>-123068.435091391</v>
      </c>
    </row>
    <row r="376" spans="1:13" ht="20.100000000000001" customHeight="1" x14ac:dyDescent="0.3">
      <c r="A376" s="366" t="s">
        <v>823</v>
      </c>
      <c r="B376" s="291" t="s">
        <v>405</v>
      </c>
      <c r="C376" s="367">
        <v>9</v>
      </c>
      <c r="D376" s="357">
        <f>'побудинковий звіт'!CU377</f>
        <v>316697.89126110316</v>
      </c>
      <c r="E376" s="341">
        <f>'побудинковий звіт'!CV377</f>
        <v>257887.03260399625</v>
      </c>
      <c r="F376" s="341">
        <f t="shared" si="20"/>
        <v>-58810.858657106903</v>
      </c>
      <c r="G376" s="358">
        <f t="shared" si="21"/>
        <v>0.81429980975585337</v>
      </c>
      <c r="H376" s="352">
        <f>('побудинковий звіт'!AS377+'побудинковий звіт'!BQ377)*1.2</f>
        <v>83887.434957411038</v>
      </c>
      <c r="I376" s="340">
        <f>('побудинковий звіт'!AT377+'побудинковий звіт'!BR377)*1.2</f>
        <v>39203.82</v>
      </c>
      <c r="J376" s="340">
        <f t="shared" si="22"/>
        <v>-44683.614957411039</v>
      </c>
      <c r="K376" s="361">
        <f t="shared" si="23"/>
        <v>0.46733840437371171</v>
      </c>
      <c r="L376" s="363">
        <f>'побудинковий звіт'!DE377</f>
        <v>13802.517369521749</v>
      </c>
      <c r="M376" s="544">
        <f>'побудинковий звіт'!DA377*-1</f>
        <v>40343.838918660498</v>
      </c>
    </row>
    <row r="377" spans="1:13" ht="20.100000000000001" customHeight="1" x14ac:dyDescent="0.3">
      <c r="A377" s="366" t="s">
        <v>824</v>
      </c>
      <c r="B377" s="291" t="s">
        <v>406</v>
      </c>
      <c r="C377" s="367">
        <v>9</v>
      </c>
      <c r="D377" s="357">
        <f>'побудинковий звіт'!CU378</f>
        <v>301473.45328337775</v>
      </c>
      <c r="E377" s="341">
        <f>'побудинковий звіт'!CV378</f>
        <v>248817.06660991622</v>
      </c>
      <c r="F377" s="341">
        <f t="shared" si="20"/>
        <v>-52656.386673461529</v>
      </c>
      <c r="G377" s="358">
        <f t="shared" si="21"/>
        <v>0.82533657242461811</v>
      </c>
      <c r="H377" s="352">
        <f>('побудинковий звіт'!AS378+'побудинковий звіт'!BQ378)*1.2</f>
        <v>85610.678963260143</v>
      </c>
      <c r="I377" s="340">
        <f>('побудинковий звіт'!AT378+'побудинковий звіт'!BR378)*1.2</f>
        <v>70776.827999999994</v>
      </c>
      <c r="J377" s="340">
        <f t="shared" si="22"/>
        <v>-14833.850963260149</v>
      </c>
      <c r="K377" s="361">
        <f t="shared" si="23"/>
        <v>0.82672896485698821</v>
      </c>
      <c r="L377" s="363">
        <f>'побудинковий звіт'!DE378</f>
        <v>17666.245285587058</v>
      </c>
      <c r="M377" s="546">
        <f>'побудинковий звіт'!DA378*-1</f>
        <v>-16370.349451368951</v>
      </c>
    </row>
    <row r="378" spans="1:13" ht="20.100000000000001" customHeight="1" x14ac:dyDescent="0.3">
      <c r="A378" s="366" t="s">
        <v>825</v>
      </c>
      <c r="B378" s="291" t="s">
        <v>427</v>
      </c>
      <c r="C378" s="367">
        <v>14</v>
      </c>
      <c r="D378" s="357">
        <f>'побудинковий звіт'!CU379</f>
        <v>341925.60525828326</v>
      </c>
      <c r="E378" s="341">
        <f>'побудинковий звіт'!CV379</f>
        <v>318513.59953841905</v>
      </c>
      <c r="F378" s="341">
        <f t="shared" si="20"/>
        <v>-23412.005719864217</v>
      </c>
      <c r="G378" s="358">
        <f t="shared" si="21"/>
        <v>0.93152894852030954</v>
      </c>
      <c r="H378" s="352">
        <f>('побудинковий звіт'!AS379+'побудинковий звіт'!BQ379)*1.2</f>
        <v>88981.672185737465</v>
      </c>
      <c r="I378" s="340">
        <f>('побудинковий звіт'!AT379+'побудинковий звіт'!BR379)*1.2</f>
        <v>73087.5</v>
      </c>
      <c r="J378" s="340">
        <f t="shared" si="22"/>
        <v>-15894.172185737465</v>
      </c>
      <c r="K378" s="361">
        <f t="shared" si="23"/>
        <v>0.82137701174506494</v>
      </c>
      <c r="L378" s="363">
        <f>'побудинковий звіт'!DE379</f>
        <v>21397.181108311379</v>
      </c>
      <c r="M378" s="546">
        <f>'побудинковий звіт'!DA379*-1</f>
        <v>-25942.102633211078</v>
      </c>
    </row>
    <row r="379" spans="1:13" ht="20.100000000000001" customHeight="1" x14ac:dyDescent="0.3">
      <c r="A379" s="366" t="s">
        <v>826</v>
      </c>
      <c r="B379" s="291" t="s">
        <v>407</v>
      </c>
      <c r="C379" s="367">
        <v>9</v>
      </c>
      <c r="D379" s="357">
        <f>'побудинковий звіт'!CU380</f>
        <v>313943.0131432963</v>
      </c>
      <c r="E379" s="341">
        <f>'побудинковий звіт'!CV380</f>
        <v>248455.0002393192</v>
      </c>
      <c r="F379" s="341">
        <f t="shared" si="20"/>
        <v>-65488.012903977098</v>
      </c>
      <c r="G379" s="358">
        <f t="shared" si="21"/>
        <v>0.79140159149174716</v>
      </c>
      <c r="H379" s="352">
        <f>('побудинковий звіт'!AS380+'побудинковий звіт'!BQ380)*1.2</f>
        <v>88974.404627703465</v>
      </c>
      <c r="I379" s="340">
        <f>('побудинковий звіт'!AT380+'побудинковий звіт'!BR380)*1.2</f>
        <v>20520</v>
      </c>
      <c r="J379" s="340">
        <f t="shared" si="22"/>
        <v>-68454.404627703465</v>
      </c>
      <c r="K379" s="361">
        <f t="shared" si="23"/>
        <v>0.23062812373808009</v>
      </c>
      <c r="L379" s="363">
        <f>'побудинковий звіт'!DE380</f>
        <v>18614.249864977952</v>
      </c>
      <c r="M379" s="546">
        <f>'побудинковий звіт'!DA380*-1</f>
        <v>-8723.3393959803652</v>
      </c>
    </row>
    <row r="380" spans="1:13" ht="20.100000000000001" customHeight="1" x14ac:dyDescent="0.3">
      <c r="A380" s="366" t="s">
        <v>827</v>
      </c>
      <c r="B380" s="291" t="s">
        <v>408</v>
      </c>
      <c r="C380" s="367">
        <v>9</v>
      </c>
      <c r="D380" s="357">
        <f>'побудинковий звіт'!CU381</f>
        <v>488522.43591422372</v>
      </c>
      <c r="E380" s="341">
        <f>'побудинковий звіт'!CV381</f>
        <v>460566.02764869807</v>
      </c>
      <c r="F380" s="341">
        <f t="shared" si="20"/>
        <v>-27956.40826552565</v>
      </c>
      <c r="G380" s="358">
        <f t="shared" si="21"/>
        <v>0.94277354280933312</v>
      </c>
      <c r="H380" s="352">
        <f>('побудинковий звіт'!AS381+'побудинковий звіт'!BQ381)*1.2</f>
        <v>139374.09319660536</v>
      </c>
      <c r="I380" s="340">
        <f>('побудинковий звіт'!AT381+'побудинковий звіт'!BR381)*1.2</f>
        <v>129533.66188792221</v>
      </c>
      <c r="J380" s="340">
        <f t="shared" si="22"/>
        <v>-9840.4313086831535</v>
      </c>
      <c r="K380" s="361">
        <f t="shared" si="23"/>
        <v>0.92939554917999045</v>
      </c>
      <c r="L380" s="363">
        <f>'побудинковий звіт'!DE381</f>
        <v>33668.024196640261</v>
      </c>
      <c r="M380" s="546">
        <f>'побудинковий звіт'!DA381*-1</f>
        <v>-46583.368831912274</v>
      </c>
    </row>
    <row r="381" spans="1:13" ht="20.100000000000001" customHeight="1" x14ac:dyDescent="0.3">
      <c r="A381" s="366" t="s">
        <v>828</v>
      </c>
      <c r="B381" s="291" t="s">
        <v>409</v>
      </c>
      <c r="C381" s="367">
        <v>9</v>
      </c>
      <c r="D381" s="357">
        <f>'побудинковий звіт'!CU382</f>
        <v>475039.77431905968</v>
      </c>
      <c r="E381" s="341">
        <f>'побудинковий звіт'!CV382</f>
        <v>392076.91827191232</v>
      </c>
      <c r="F381" s="341">
        <f t="shared" si="20"/>
        <v>-82962.856047147361</v>
      </c>
      <c r="G381" s="358">
        <f t="shared" si="21"/>
        <v>0.82535597957861628</v>
      </c>
      <c r="H381" s="352">
        <f>('побудинковий звіт'!AS382+'побудинковий звіт'!BQ382)*1.2</f>
        <v>137943.62856210934</v>
      </c>
      <c r="I381" s="340">
        <f>('побудинковий звіт'!AT382+'побудинковий звіт'!BR382)*1.2</f>
        <v>65140.549440993433</v>
      </c>
      <c r="J381" s="340">
        <f t="shared" si="22"/>
        <v>-72803.079121115908</v>
      </c>
      <c r="K381" s="361">
        <f t="shared" si="23"/>
        <v>0.47222586588451088</v>
      </c>
      <c r="L381" s="363">
        <f>'побудинковий звіт'!DE382</f>
        <v>16425.828495927351</v>
      </c>
      <c r="M381" s="546">
        <f>'побудинковий звіт'!DA382*-1</f>
        <v>-14003.480093074919</v>
      </c>
    </row>
    <row r="382" spans="1:13" ht="20.100000000000001" customHeight="1" x14ac:dyDescent="0.3">
      <c r="A382" s="366" t="s">
        <v>829</v>
      </c>
      <c r="B382" s="291" t="s">
        <v>410</v>
      </c>
      <c r="C382" s="367">
        <v>9</v>
      </c>
      <c r="D382" s="357">
        <f>'побудинковий звіт'!CU383</f>
        <v>440946.54756673664</v>
      </c>
      <c r="E382" s="341">
        <f>'побудинковий звіт'!CV383</f>
        <v>414030.33223997313</v>
      </c>
      <c r="F382" s="341">
        <f t="shared" si="20"/>
        <v>-26916.215326763515</v>
      </c>
      <c r="G382" s="358">
        <f t="shared" si="21"/>
        <v>0.93895809939936137</v>
      </c>
      <c r="H382" s="352">
        <f>('побудинковий звіт'!AS383+'побудинковий звіт'!BQ383)*1.2</f>
        <v>137795.86373338156</v>
      </c>
      <c r="I382" s="340">
        <f>('побудинковий звіт'!AT383+'побудинковий звіт'!BR383)*1.2</f>
        <v>114658.84075186338</v>
      </c>
      <c r="J382" s="340">
        <f t="shared" si="22"/>
        <v>-23137.022981518181</v>
      </c>
      <c r="K382" s="361">
        <f t="shared" si="23"/>
        <v>0.83209203560503431</v>
      </c>
      <c r="L382" s="363">
        <f>'побудинковий звіт'!DE383</f>
        <v>41977.116815888614</v>
      </c>
      <c r="M382" s="544">
        <f>'побудинковий звіт'!DA383*-1</f>
        <v>11472.69495300881</v>
      </c>
    </row>
    <row r="383" spans="1:13" ht="20.100000000000001" customHeight="1" x14ac:dyDescent="0.3">
      <c r="A383" s="366" t="s">
        <v>830</v>
      </c>
      <c r="B383" s="291" t="s">
        <v>411</v>
      </c>
      <c r="C383" s="367">
        <v>9</v>
      </c>
      <c r="D383" s="357">
        <f>'побудинковий звіт'!CU384</f>
        <v>445424.6754196164</v>
      </c>
      <c r="E383" s="341">
        <f>'побудинковий звіт'!CV384</f>
        <v>395466.17681735213</v>
      </c>
      <c r="F383" s="341">
        <f t="shared" si="20"/>
        <v>-49958.49860226427</v>
      </c>
      <c r="G383" s="358">
        <f t="shared" si="21"/>
        <v>0.88784074758498632</v>
      </c>
      <c r="H383" s="352">
        <f>('побудинковий звіт'!AS384+'побудинковий звіт'!BQ384)*1.2</f>
        <v>137688.01194001269</v>
      </c>
      <c r="I383" s="340">
        <f>('побудинковий звіт'!AT384+'побудинковий звіт'!BR384)*1.2</f>
        <v>102166.1487113379</v>
      </c>
      <c r="J383" s="340">
        <f t="shared" si="22"/>
        <v>-35521.863228674789</v>
      </c>
      <c r="K383" s="361">
        <f t="shared" si="23"/>
        <v>0.7420119389613179</v>
      </c>
      <c r="L383" s="363">
        <f>'побудинковий звіт'!DE384</f>
        <v>56633.722547168298</v>
      </c>
      <c r="M383" s="544">
        <f>'побудинковий звіт'!DA384*-1</f>
        <v>-60645.641803115417</v>
      </c>
    </row>
    <row r="384" spans="1:13" ht="20.100000000000001" customHeight="1" x14ac:dyDescent="0.3">
      <c r="A384" s="366" t="s">
        <v>831</v>
      </c>
      <c r="B384" s="291" t="s">
        <v>319</v>
      </c>
      <c r="C384" s="367">
        <v>5</v>
      </c>
      <c r="D384" s="357">
        <f>'побудинковий звіт'!CU385</f>
        <v>355062.5914956769</v>
      </c>
      <c r="E384" s="341">
        <f>'побудинковий звіт'!CV385</f>
        <v>368362.31846370385</v>
      </c>
      <c r="F384" s="341">
        <f t="shared" si="20"/>
        <v>13299.726968026953</v>
      </c>
      <c r="G384" s="358">
        <f t="shared" si="21"/>
        <v>1.0374574153588041</v>
      </c>
      <c r="H384" s="352">
        <f>('побудинковий звіт'!AS385+'побудинковий звіт'!BQ385)*1.2</f>
        <v>133204.99780058992</v>
      </c>
      <c r="I384" s="340">
        <f>('побудинковий звіт'!AT385+'побудинковий звіт'!BR385)*1.2</f>
        <v>124722.50663872054</v>
      </c>
      <c r="J384" s="340">
        <f t="shared" si="22"/>
        <v>-8482.4911618693732</v>
      </c>
      <c r="K384" s="361">
        <f t="shared" si="23"/>
        <v>0.93632002325792762</v>
      </c>
      <c r="L384" s="363">
        <f>'побудинковий звіт'!DE385</f>
        <v>28751.461710944099</v>
      </c>
      <c r="M384" s="544">
        <f>'побудинковий звіт'!DA385*-1</f>
        <v>18942.634411369298</v>
      </c>
    </row>
    <row r="385" spans="1:13" ht="20.100000000000001" customHeight="1" x14ac:dyDescent="0.3">
      <c r="A385" s="366" t="s">
        <v>832</v>
      </c>
      <c r="B385" s="291" t="s">
        <v>320</v>
      </c>
      <c r="C385" s="367">
        <v>5</v>
      </c>
      <c r="D385" s="357">
        <f>'побудинковий звіт'!CU386</f>
        <v>270367.15063959861</v>
      </c>
      <c r="E385" s="341">
        <f>'побудинковий звіт'!CV386</f>
        <v>269347.1418922334</v>
      </c>
      <c r="F385" s="341">
        <f t="shared" si="20"/>
        <v>-1020.0087473652093</v>
      </c>
      <c r="G385" s="358">
        <f t="shared" si="21"/>
        <v>0.99622731997969349</v>
      </c>
      <c r="H385" s="352">
        <f>('побудинковий звіт'!AS386+'побудинковий звіт'!BQ386)*1.2</f>
        <v>102236.25731570942</v>
      </c>
      <c r="I385" s="340">
        <f>('побудинковий звіт'!AT386+'побудинковий звіт'!BR386)*1.2</f>
        <v>94102.973806757916</v>
      </c>
      <c r="J385" s="340">
        <f t="shared" si="22"/>
        <v>-8133.2835089514992</v>
      </c>
      <c r="K385" s="361">
        <f t="shared" si="23"/>
        <v>0.92044619274514705</v>
      </c>
      <c r="L385" s="363">
        <f>'побудинковий звіт'!DE386</f>
        <v>19026.076570775123</v>
      </c>
      <c r="M385" s="544">
        <f>'побудинковий звіт'!DA386*-1</f>
        <v>99.255069787403045</v>
      </c>
    </row>
    <row r="386" spans="1:13" ht="20.100000000000001" customHeight="1" x14ac:dyDescent="0.3">
      <c r="A386" s="366" t="s">
        <v>833</v>
      </c>
      <c r="B386" s="291" t="s">
        <v>321</v>
      </c>
      <c r="C386" s="367">
        <v>5</v>
      </c>
      <c r="D386" s="357">
        <f>'побудинковий звіт'!CU387</f>
        <v>181092.7139745999</v>
      </c>
      <c r="E386" s="341">
        <f>'побудинковий звіт'!CV387</f>
        <v>163347.30130174395</v>
      </c>
      <c r="F386" s="341">
        <f t="shared" si="20"/>
        <v>-17745.412672855949</v>
      </c>
      <c r="G386" s="358">
        <f t="shared" si="21"/>
        <v>0.90200923999987692</v>
      </c>
      <c r="H386" s="352">
        <f>('побудинковий звіт'!AS387+'побудинковий звіт'!BQ387)*1.2</f>
        <v>65961.127079075464</v>
      </c>
      <c r="I386" s="340">
        <f>('побудинковий звіт'!AT387+'побудинковий звіт'!BR387)*1.2</f>
        <v>43926.788613306191</v>
      </c>
      <c r="J386" s="340">
        <f t="shared" si="22"/>
        <v>-22034.338465769273</v>
      </c>
      <c r="K386" s="361">
        <f t="shared" si="23"/>
        <v>0.66594963667988749</v>
      </c>
      <c r="L386" s="363">
        <f>'побудинковий звіт'!DE387</f>
        <v>8044.6398414233299</v>
      </c>
      <c r="M386" s="544">
        <f>'побудинковий звіт'!DA387*-1</f>
        <v>25538.636908463635</v>
      </c>
    </row>
    <row r="387" spans="1:13" ht="20.100000000000001" customHeight="1" x14ac:dyDescent="0.3">
      <c r="A387" s="366" t="s">
        <v>834</v>
      </c>
      <c r="B387" s="291" t="s">
        <v>322</v>
      </c>
      <c r="C387" s="367">
        <v>5</v>
      </c>
      <c r="D387" s="357">
        <f>'побудинковий звіт'!CU388</f>
        <v>180680.70620864609</v>
      </c>
      <c r="E387" s="341">
        <f>'побудинковий звіт'!CV388</f>
        <v>161293.81039308439</v>
      </c>
      <c r="F387" s="341">
        <f t="shared" si="20"/>
        <v>-19386.8958155617</v>
      </c>
      <c r="G387" s="358">
        <f t="shared" si="21"/>
        <v>0.89270079676811676</v>
      </c>
      <c r="H387" s="352">
        <f>('побудинковий звіт'!AS388+'побудинковий звіт'!BQ388)*1.2</f>
        <v>66124.80698945481</v>
      </c>
      <c r="I387" s="340">
        <f>('побудинковий звіт'!AT388+'побудинковий звіт'!BR388)*1.2</f>
        <v>37971.153456297216</v>
      </c>
      <c r="J387" s="340">
        <f t="shared" si="22"/>
        <v>-28153.653533157594</v>
      </c>
      <c r="K387" s="361">
        <f t="shared" si="23"/>
        <v>0.57423462063719333</v>
      </c>
      <c r="L387" s="363">
        <f>'побудинковий звіт'!DE388</f>
        <v>6705.0466414661496</v>
      </c>
      <c r="M387" s="544">
        <f>'побудинковий звіт'!DA388*-1</f>
        <v>36053.695603485728</v>
      </c>
    </row>
    <row r="388" spans="1:13" ht="20.100000000000001" customHeight="1" x14ac:dyDescent="0.3">
      <c r="A388" s="366" t="s">
        <v>835</v>
      </c>
      <c r="B388" s="291" t="s">
        <v>323</v>
      </c>
      <c r="C388" s="367">
        <v>5</v>
      </c>
      <c r="D388" s="357">
        <f>'побудинковий звіт'!CU389</f>
        <v>184158.06403737149</v>
      </c>
      <c r="E388" s="341">
        <f>'побудинковий звіт'!CV389</f>
        <v>153429.2225796718</v>
      </c>
      <c r="F388" s="341">
        <f t="shared" si="20"/>
        <v>-30728.841457699687</v>
      </c>
      <c r="G388" s="358">
        <f t="shared" si="21"/>
        <v>0.83313876794738762</v>
      </c>
      <c r="H388" s="352">
        <f>('побудинковий звіт'!AS389+'побудинковий звіт'!BQ389)*1.2</f>
        <v>60888.539711961923</v>
      </c>
      <c r="I388" s="340">
        <f>('побудинковий звіт'!AT389+'побудинковий звіт'!BR389)*1.2</f>
        <v>33235.781806757899</v>
      </c>
      <c r="J388" s="340">
        <f t="shared" si="22"/>
        <v>-27652.757905204024</v>
      </c>
      <c r="K388" s="361">
        <f t="shared" si="23"/>
        <v>0.54584626210420562</v>
      </c>
      <c r="L388" s="363">
        <f>'побудинковий звіт'!DE389</f>
        <v>12353.109364242922</v>
      </c>
      <c r="M388" s="544">
        <f>'побудинковий звіт'!DA389*-1</f>
        <v>-3886.4424901766179</v>
      </c>
    </row>
    <row r="389" spans="1:13" ht="20.100000000000001" customHeight="1" x14ac:dyDescent="0.3">
      <c r="A389" s="366" t="s">
        <v>836</v>
      </c>
      <c r="B389" s="291" t="s">
        <v>324</v>
      </c>
      <c r="C389" s="367">
        <v>5</v>
      </c>
      <c r="D389" s="357">
        <f>'побудинковий звіт'!CU390</f>
        <v>345650.96176283114</v>
      </c>
      <c r="E389" s="341">
        <f>'побудинковий звіт'!CV390</f>
        <v>291774.18994504912</v>
      </c>
      <c r="F389" s="341">
        <f t="shared" si="20"/>
        <v>-53876.771817782021</v>
      </c>
      <c r="G389" s="358">
        <f t="shared" si="21"/>
        <v>0.84412954749783209</v>
      </c>
      <c r="H389" s="352">
        <f>('побудинковий звіт'!AS390+'побудинковий звіт'!BQ390)*1.2</f>
        <v>134527.91921714714</v>
      </c>
      <c r="I389" s="340">
        <f>('побудинковий звіт'!AT390+'побудинковий звіт'!BR390)*1.2</f>
        <v>60558.207171776405</v>
      </c>
      <c r="J389" s="340">
        <f t="shared" si="22"/>
        <v>-73969.712045370732</v>
      </c>
      <c r="K389" s="361">
        <f t="shared" si="23"/>
        <v>0.45015345159711323</v>
      </c>
      <c r="L389" s="363">
        <f>'побудинковий звіт'!DE390</f>
        <v>39493.418738236665</v>
      </c>
      <c r="M389" s="544">
        <f>'побудинковий звіт'!DA390*-1</f>
        <v>60142.92910513105</v>
      </c>
    </row>
    <row r="390" spans="1:13" ht="20.100000000000001" customHeight="1" x14ac:dyDescent="0.3">
      <c r="A390" s="366" t="s">
        <v>837</v>
      </c>
      <c r="B390" s="291" t="s">
        <v>325</v>
      </c>
      <c r="C390" s="367">
        <v>5</v>
      </c>
      <c r="D390" s="357">
        <f>'побудинковий звіт'!CU391</f>
        <v>271670.45548325905</v>
      </c>
      <c r="E390" s="341">
        <f>'побудинковий звіт'!CV391</f>
        <v>240503.57948756524</v>
      </c>
      <c r="F390" s="341">
        <f t="shared" ref="F390:F403" si="24">E390-D390</f>
        <v>-31166.875995693816</v>
      </c>
      <c r="G390" s="358">
        <f t="shared" ref="G390:G401" si="25">E390/D390</f>
        <v>0.88527690307636564</v>
      </c>
      <c r="H390" s="352">
        <f>('побудинковий звіт'!AS391+'побудинковий звіт'!BQ391)*1.2</f>
        <v>95112.605729678427</v>
      </c>
      <c r="I390" s="340">
        <f>('побудинковий звіт'!AT391+'побудинковий звіт'!BR391)*1.2</f>
        <v>56997.08400000001</v>
      </c>
      <c r="J390" s="340">
        <f t="shared" ref="J390:J403" si="26">I390-H390</f>
        <v>-38115.521729678418</v>
      </c>
      <c r="K390" s="361">
        <f t="shared" ref="K390:K402" si="27">I390/H390</f>
        <v>0.59925898951809442</v>
      </c>
      <c r="L390" s="363">
        <f>'побудинковий звіт'!DE391</f>
        <v>70665.879630419106</v>
      </c>
      <c r="M390" s="544">
        <f>'побудинковий звіт'!DA391*-1</f>
        <v>64585.012926534902</v>
      </c>
    </row>
    <row r="391" spans="1:13" ht="20.100000000000001" customHeight="1" x14ac:dyDescent="0.3">
      <c r="A391" s="366" t="s">
        <v>838</v>
      </c>
      <c r="B391" s="291" t="s">
        <v>326</v>
      </c>
      <c r="C391" s="367">
        <v>5</v>
      </c>
      <c r="D391" s="357">
        <f>'побудинковий звіт'!CU392</f>
        <v>264222.36054562294</v>
      </c>
      <c r="E391" s="341">
        <f>'побудинковий звіт'!CV392</f>
        <v>326949.49058686662</v>
      </c>
      <c r="F391" s="341">
        <f t="shared" si="24"/>
        <v>62727.130041243683</v>
      </c>
      <c r="G391" s="358">
        <f t="shared" si="25"/>
        <v>1.2374028069074521</v>
      </c>
      <c r="H391" s="352">
        <f>('побудинковий звіт'!AS392+'побудинковий звіт'!BQ392)*1.2</f>
        <v>84635.971134229985</v>
      </c>
      <c r="I391" s="340">
        <f>('побудинковий звіт'!AT392+'побудинковий звіт'!BR392)*1.2</f>
        <v>139260.51757779822</v>
      </c>
      <c r="J391" s="340">
        <f t="shared" si="26"/>
        <v>54624.546443568237</v>
      </c>
      <c r="K391" s="361">
        <f t="shared" si="27"/>
        <v>1.6454057974585703</v>
      </c>
      <c r="L391" s="363">
        <f>'побудинковий звіт'!DE392</f>
        <v>39697.953583759197</v>
      </c>
      <c r="M391" s="547">
        <f>'побудинковий звіт'!DA392*-1</f>
        <v>63419.804061388742</v>
      </c>
    </row>
    <row r="392" spans="1:13" ht="20.100000000000001" customHeight="1" x14ac:dyDescent="0.3">
      <c r="A392" s="366" t="s">
        <v>839</v>
      </c>
      <c r="B392" s="291" t="s">
        <v>327</v>
      </c>
      <c r="C392" s="367">
        <v>5</v>
      </c>
      <c r="D392" s="357">
        <f>'побудинковий звіт'!CU393</f>
        <v>259951.90625280284</v>
      </c>
      <c r="E392" s="341">
        <f>'побудинковий звіт'!CV393</f>
        <v>271281.23845962097</v>
      </c>
      <c r="F392" s="341">
        <f t="shared" si="24"/>
        <v>11329.33220681813</v>
      </c>
      <c r="G392" s="358">
        <f t="shared" si="25"/>
        <v>1.0435824163405072</v>
      </c>
      <c r="H392" s="352">
        <f>('побудинковий звіт'!AS393+'побудинковий звіт'!BQ393)*1.2</f>
        <v>84497.003471388904</v>
      </c>
      <c r="I392" s="340">
        <f>('побудинковий звіт'!AT393+'побудинковий звіт'!BR393)*1.2</f>
        <v>94747.469303886566</v>
      </c>
      <c r="J392" s="340">
        <f t="shared" si="26"/>
        <v>10250.465832497663</v>
      </c>
      <c r="K392" s="361">
        <f t="shared" si="27"/>
        <v>1.1213115898952384</v>
      </c>
      <c r="L392" s="363">
        <f>'побудинковий звіт'!DE393</f>
        <v>14224.69327638606</v>
      </c>
      <c r="M392" s="547">
        <f>'побудинковий звіт'!DA393*-1</f>
        <v>62016.008962805201</v>
      </c>
    </row>
    <row r="393" spans="1:13" ht="20.100000000000001" customHeight="1" x14ac:dyDescent="0.3">
      <c r="A393" s="366" t="s">
        <v>840</v>
      </c>
      <c r="B393" s="291" t="s">
        <v>328</v>
      </c>
      <c r="C393" s="367">
        <v>5</v>
      </c>
      <c r="D393" s="357">
        <f>'побудинковий звіт'!CU394</f>
        <v>272547.84536233504</v>
      </c>
      <c r="E393" s="341">
        <f>'побудинковий звіт'!CV394</f>
        <v>287455.81480353908</v>
      </c>
      <c r="F393" s="341">
        <f t="shared" si="24"/>
        <v>14907.969441204041</v>
      </c>
      <c r="G393" s="358">
        <f t="shared" si="25"/>
        <v>1.0546985408062384</v>
      </c>
      <c r="H393" s="352">
        <f>('побудинковий звіт'!AS394+'побудинковий звіт'!BQ394)*1.2</f>
        <v>93689.85494044279</v>
      </c>
      <c r="I393" s="340">
        <f>('побудинковий звіт'!AT394+'побудинковий звіт'!BR394)*1.2</f>
        <v>103523.07118280479</v>
      </c>
      <c r="J393" s="340">
        <f t="shared" si="26"/>
        <v>9833.216242362003</v>
      </c>
      <c r="K393" s="361">
        <f t="shared" si="27"/>
        <v>1.1049549734986017</v>
      </c>
      <c r="L393" s="363">
        <f>'побудинковий звіт'!DE394</f>
        <v>14703.961211563128</v>
      </c>
      <c r="M393" s="546">
        <f>'побудинковий звіт'!DA394*-1</f>
        <v>2765.6901258967828</v>
      </c>
    </row>
    <row r="394" spans="1:13" ht="20.100000000000001" customHeight="1" x14ac:dyDescent="0.3">
      <c r="A394" s="366" t="s">
        <v>841</v>
      </c>
      <c r="B394" s="291" t="s">
        <v>329</v>
      </c>
      <c r="C394" s="367">
        <v>5</v>
      </c>
      <c r="D394" s="357">
        <f>'побудинковий звіт'!CU395</f>
        <v>335771.30061829794</v>
      </c>
      <c r="E394" s="341">
        <f>'побудинковий звіт'!CV395</f>
        <v>291770.31490189757</v>
      </c>
      <c r="F394" s="341">
        <f t="shared" si="24"/>
        <v>-44000.985716400377</v>
      </c>
      <c r="G394" s="358">
        <f t="shared" si="25"/>
        <v>0.86895548953893376</v>
      </c>
      <c r="H394" s="352">
        <f>('побудинковий звіт'!AS395+'побудинковий звіт'!BQ395)*1.2</f>
        <v>96166.597734952884</v>
      </c>
      <c r="I394" s="340">
        <f>('побудинковий звіт'!AT395+'побудинковий звіт'!BR395)*1.2</f>
        <v>42508.512000000002</v>
      </c>
      <c r="J394" s="340">
        <f t="shared" si="26"/>
        <v>-53658.085734952881</v>
      </c>
      <c r="K394" s="361">
        <f t="shared" si="27"/>
        <v>0.44202990436615791</v>
      </c>
      <c r="L394" s="363">
        <f>'побудинковий звіт'!DE395</f>
        <v>16268.733147527113</v>
      </c>
      <c r="M394" s="544">
        <f>'побудинковий звіт'!DA395*-1</f>
        <v>9859.7904681904547</v>
      </c>
    </row>
    <row r="395" spans="1:13" ht="20.100000000000001" customHeight="1" x14ac:dyDescent="0.3">
      <c r="A395" s="366" t="s">
        <v>842</v>
      </c>
      <c r="B395" s="291" t="s">
        <v>237</v>
      </c>
      <c r="C395" s="367">
        <v>4</v>
      </c>
      <c r="D395" s="357">
        <f>'побудинковий звіт'!CU396</f>
        <v>136273.63261334845</v>
      </c>
      <c r="E395" s="341">
        <f>'побудинковий звіт'!CV396</f>
        <v>142349.65190016382</v>
      </c>
      <c r="F395" s="341">
        <f t="shared" si="24"/>
        <v>6076.0192868153681</v>
      </c>
      <c r="G395" s="358">
        <f t="shared" si="25"/>
        <v>1.044586903352426</v>
      </c>
      <c r="H395" s="352">
        <f>('побудинковий звіт'!AS396+'побудинковий звіт'!BQ396)*1.2</f>
        <v>30639.284951962814</v>
      </c>
      <c r="I395" s="340">
        <f>('побудинковий звіт'!AT396+'побудинковий звіт'!BR396)*1.2</f>
        <v>39681.372446966525</v>
      </c>
      <c r="J395" s="340">
        <f t="shared" si="26"/>
        <v>9042.0874950037105</v>
      </c>
      <c r="K395" s="361">
        <f t="shared" si="27"/>
        <v>1.2951141813257119</v>
      </c>
      <c r="L395" s="363">
        <f>'побудинковий звіт'!DE396</f>
        <v>14645.810651365682</v>
      </c>
      <c r="M395" s="544">
        <f>'побудинковий звіт'!DA396*-1</f>
        <v>6494.8981430024214</v>
      </c>
    </row>
    <row r="396" spans="1:13" ht="20.100000000000001" customHeight="1" x14ac:dyDescent="0.3">
      <c r="A396" s="366" t="s">
        <v>843</v>
      </c>
      <c r="B396" s="291" t="s">
        <v>330</v>
      </c>
      <c r="C396" s="367">
        <v>5</v>
      </c>
      <c r="D396" s="357">
        <f>'побудинковий звіт'!CU397</f>
        <v>204203.38492925459</v>
      </c>
      <c r="E396" s="341">
        <f>'побудинковий звіт'!CV397</f>
        <v>173300.77481751499</v>
      </c>
      <c r="F396" s="341">
        <f t="shared" si="24"/>
        <v>-30902.610111739603</v>
      </c>
      <c r="G396" s="358">
        <f t="shared" si="25"/>
        <v>0.84866749333050628</v>
      </c>
      <c r="H396" s="352">
        <f>('побудинковий звіт'!AS397+'побудинковий звіт'!BQ397)*1.2</f>
        <v>53981.18782113694</v>
      </c>
      <c r="I396" s="340">
        <f>('побудинковий звіт'!AT397+'побудинковий звіт'!BR397)*1.2</f>
        <v>20046.612000000001</v>
      </c>
      <c r="J396" s="340">
        <f t="shared" si="26"/>
        <v>-33934.575821136939</v>
      </c>
      <c r="K396" s="361">
        <f t="shared" si="27"/>
        <v>0.37136292862660064</v>
      </c>
      <c r="L396" s="363">
        <f>'побудинковий звіт'!DE397</f>
        <v>16788.18664534697</v>
      </c>
      <c r="M396" s="544">
        <f>'побудинковий звіт'!DA397*-1</f>
        <v>12342.010875037973</v>
      </c>
    </row>
    <row r="397" spans="1:13" ht="20.100000000000001" customHeight="1" x14ac:dyDescent="0.3">
      <c r="A397" s="366" t="s">
        <v>844</v>
      </c>
      <c r="B397" s="291" t="s">
        <v>238</v>
      </c>
      <c r="C397" s="367">
        <v>4</v>
      </c>
      <c r="D397" s="357">
        <f>'побудинковий звіт'!CU398</f>
        <v>152008.33445854409</v>
      </c>
      <c r="E397" s="341">
        <f>'побудинковий звіт'!CV398</f>
        <v>111770.75665656065</v>
      </c>
      <c r="F397" s="341">
        <f t="shared" si="24"/>
        <v>-40237.57780198344</v>
      </c>
      <c r="G397" s="358">
        <f t="shared" si="25"/>
        <v>0.73529360777940056</v>
      </c>
      <c r="H397" s="352">
        <f>('побудинковий звіт'!AS398+'побудинковий звіт'!BQ398)*1.2</f>
        <v>40503.854256115425</v>
      </c>
      <c r="I397" s="340">
        <f>('побудинковий звіт'!AT398+'побудинковий звіт'!BR398)*1.2</f>
        <v>3130.2357047945093</v>
      </c>
      <c r="J397" s="340">
        <f t="shared" si="26"/>
        <v>-37373.618551320913</v>
      </c>
      <c r="K397" s="361">
        <f t="shared" si="27"/>
        <v>7.728241576718331E-2</v>
      </c>
      <c r="L397" s="363">
        <f>'побудинковий звіт'!DE398</f>
        <v>-880.14415109286347</v>
      </c>
      <c r="M397" s="544">
        <f>'побудинковий звіт'!DA398*-1</f>
        <v>3901.4694645168347</v>
      </c>
    </row>
    <row r="398" spans="1:13" ht="20.100000000000001" customHeight="1" x14ac:dyDescent="0.3">
      <c r="A398" s="366" t="s">
        <v>845</v>
      </c>
      <c r="B398" s="291" t="s">
        <v>412</v>
      </c>
      <c r="C398" s="367">
        <v>9</v>
      </c>
      <c r="D398" s="357">
        <f>'побудинковий звіт'!CU399</f>
        <v>179836.67395121066</v>
      </c>
      <c r="E398" s="341">
        <f>'побудинковий звіт'!CV399</f>
        <v>159694.05868851594</v>
      </c>
      <c r="F398" s="341">
        <f t="shared" si="24"/>
        <v>-20142.615262694715</v>
      </c>
      <c r="G398" s="358">
        <f t="shared" si="25"/>
        <v>0.8879949521966839</v>
      </c>
      <c r="H398" s="352">
        <f>('побудинковий звіт'!AS399+'побудинковий звіт'!BQ399)*1.2</f>
        <v>36282.777675687154</v>
      </c>
      <c r="I398" s="340">
        <f>('побудинковий звіт'!AT399+'побудинковий звіт'!BR399)*1.2</f>
        <v>21128.399999999998</v>
      </c>
      <c r="J398" s="340">
        <f t="shared" si="26"/>
        <v>-15154.377675687156</v>
      </c>
      <c r="K398" s="361">
        <f t="shared" si="27"/>
        <v>0.58232586790503627</v>
      </c>
      <c r="L398" s="363">
        <f>'побудинковий звіт'!DE399</f>
        <v>5013.9365036978634</v>
      </c>
      <c r="M398" s="546">
        <f>'побудинковий звіт'!DA399*-1</f>
        <v>-97576.624640427326</v>
      </c>
    </row>
    <row r="399" spans="1:13" ht="20.100000000000001" customHeight="1" x14ac:dyDescent="0.3">
      <c r="A399" s="366" t="s">
        <v>846</v>
      </c>
      <c r="B399" s="291" t="s">
        <v>331</v>
      </c>
      <c r="C399" s="367">
        <v>5</v>
      </c>
      <c r="D399" s="357">
        <f>'побудинковий звіт'!CU400</f>
        <v>147879.55838335422</v>
      </c>
      <c r="E399" s="341">
        <f>'побудинковий звіт'!CV400</f>
        <v>111723.89011015669</v>
      </c>
      <c r="F399" s="341">
        <f t="shared" si="24"/>
        <v>-36155.668273197531</v>
      </c>
      <c r="G399" s="358">
        <f t="shared" si="25"/>
        <v>0.75550597615750437</v>
      </c>
      <c r="H399" s="352">
        <f>('побудинковий звіт'!AS400+'побудинковий звіт'!BQ400)*1.2</f>
        <v>41533.018039621005</v>
      </c>
      <c r="I399" s="340">
        <f>('побудинковий звіт'!AT400+'побудинковий звіт'!BR400)*1.2</f>
        <v>8522.1175056378761</v>
      </c>
      <c r="J399" s="340">
        <f t="shared" si="26"/>
        <v>-33010.900533983127</v>
      </c>
      <c r="K399" s="361">
        <f t="shared" si="27"/>
        <v>0.20518897753849918</v>
      </c>
      <c r="L399" s="363">
        <f>'побудинковий звіт'!DE400</f>
        <v>13262.873455301255</v>
      </c>
      <c r="M399" s="544">
        <f>'побудинковий звіт'!DA400*-1</f>
        <v>35050.125965198305</v>
      </c>
    </row>
    <row r="400" spans="1:13" ht="20.100000000000001" customHeight="1" x14ac:dyDescent="0.3">
      <c r="A400" s="366" t="s">
        <v>847</v>
      </c>
      <c r="B400" s="291" t="s">
        <v>332</v>
      </c>
      <c r="C400" s="367">
        <v>5</v>
      </c>
      <c r="D400" s="357">
        <f>'побудинковий звіт'!CU401</f>
        <v>98829.949072636911</v>
      </c>
      <c r="E400" s="341">
        <f>'побудинковий звіт'!CV401</f>
        <v>82243.051185669305</v>
      </c>
      <c r="F400" s="341">
        <f t="shared" si="24"/>
        <v>-16586.897886967607</v>
      </c>
      <c r="G400" s="358">
        <f t="shared" si="25"/>
        <v>0.83216729298548198</v>
      </c>
      <c r="H400" s="352">
        <f>('побудинковий звіт'!AS401+'побудинковий звіт'!BQ401)*1.2</f>
        <v>25191.499029165476</v>
      </c>
      <c r="I400" s="340">
        <f>('побудинковий звіт'!AT401+'побудинковий звіт'!BR401)*1.2</f>
        <v>6071.5439999999944</v>
      </c>
      <c r="J400" s="340">
        <f t="shared" si="26"/>
        <v>-19119.955029165481</v>
      </c>
      <c r="K400" s="361">
        <f t="shared" si="27"/>
        <v>0.24101558994050573</v>
      </c>
      <c r="L400" s="363">
        <f>'побудинковий звіт'!DE401</f>
        <v>7798.6821109646371</v>
      </c>
      <c r="M400" s="544">
        <f>'побудинковий звіт'!DA401*-1</f>
        <v>-49657.571724454814</v>
      </c>
    </row>
    <row r="401" spans="1:13" ht="20.100000000000001" customHeight="1" x14ac:dyDescent="0.3">
      <c r="A401" s="366" t="s">
        <v>848</v>
      </c>
      <c r="B401" s="291" t="s">
        <v>333</v>
      </c>
      <c r="C401" s="367">
        <v>5</v>
      </c>
      <c r="D401" s="357">
        <f>'побудинковий звіт'!CU402</f>
        <v>168867.87750661594</v>
      </c>
      <c r="E401" s="341">
        <f>'побудинковий звіт'!CV402</f>
        <v>265687.83327420126</v>
      </c>
      <c r="F401" s="341">
        <f t="shared" si="24"/>
        <v>96819.955767585314</v>
      </c>
      <c r="G401" s="358">
        <f t="shared" si="25"/>
        <v>1.573347383748529</v>
      </c>
      <c r="H401" s="352">
        <f>('побудинковий звіт'!AS402+'побудинковий звіт'!BQ402)*1.2</f>
        <v>53338.199454715927</v>
      </c>
      <c r="I401" s="340">
        <f>('побудинковий звіт'!AT402+'побудинковий звіт'!BR402)*1.2</f>
        <v>146218.18799999999</v>
      </c>
      <c r="J401" s="340">
        <f t="shared" si="26"/>
        <v>92879.988545284068</v>
      </c>
      <c r="K401" s="361">
        <f t="shared" si="27"/>
        <v>2.7413409056700364</v>
      </c>
      <c r="L401" s="363">
        <f>'побудинковий звіт'!DE402</f>
        <v>7246.0634619720513</v>
      </c>
      <c r="M401" s="546">
        <f>'побудинковий звіт'!DA402*-1</f>
        <v>-82464.061557938243</v>
      </c>
    </row>
    <row r="402" spans="1:13" ht="20.100000000000001" customHeight="1" thickBot="1" x14ac:dyDescent="0.35">
      <c r="A402" s="369" t="s">
        <v>849</v>
      </c>
      <c r="B402" s="370" t="s">
        <v>239</v>
      </c>
      <c r="C402" s="371">
        <v>4</v>
      </c>
      <c r="D402" s="372">
        <f>'побудинковий звіт'!CU403</f>
        <v>90588.026904652099</v>
      </c>
      <c r="E402" s="373">
        <f>'побудинковий звіт'!CV403</f>
        <v>68568.962683198581</v>
      </c>
      <c r="F402" s="373">
        <f t="shared" si="24"/>
        <v>-22019.064221453518</v>
      </c>
      <c r="G402" s="374">
        <f>E402/D402</f>
        <v>0.75693184879024289</v>
      </c>
      <c r="H402" s="375">
        <f>('побудинковий звіт'!AS403+'побудинковий звіт'!BQ403)*1.2</f>
        <v>24202.114874517032</v>
      </c>
      <c r="I402" s="376">
        <f>('побудинковий звіт'!AT403+'побудинковий звіт'!BR403)*1.2</f>
        <v>3933.4560000000001</v>
      </c>
      <c r="J402" s="376">
        <f t="shared" si="26"/>
        <v>-20268.65887451703</v>
      </c>
      <c r="K402" s="377">
        <f t="shared" si="27"/>
        <v>0.1625253008009489</v>
      </c>
      <c r="L402" s="378">
        <f>'побудинковий звіт'!DE403</f>
        <v>501.48617257545266</v>
      </c>
      <c r="M402" s="545">
        <f>'побудинковий звіт'!DA403*-1</f>
        <v>29707.216103311883</v>
      </c>
    </row>
    <row r="403" spans="1:13" ht="20.100000000000001" customHeight="1" thickBot="1" x14ac:dyDescent="0.35">
      <c r="A403" s="47"/>
      <c r="B403" s="48" t="s">
        <v>853</v>
      </c>
      <c r="C403" s="379"/>
      <c r="D403" s="380">
        <f>SUM(D8:D402)</f>
        <v>66500394.312531203</v>
      </c>
      <c r="E403" s="381">
        <f>SUM(E8:E402)</f>
        <v>64036494.126708873</v>
      </c>
      <c r="F403" s="381">
        <f t="shared" si="24"/>
        <v>-2463900.1858223304</v>
      </c>
      <c r="G403" s="382">
        <f>E403/D403</f>
        <v>0.96294908907994192</v>
      </c>
      <c r="H403" s="383">
        <f>SUM(H8:H402)</f>
        <v>18296760.123173591</v>
      </c>
      <c r="I403" s="384">
        <f>SUM(I8:I402)</f>
        <v>16282459.119880283</v>
      </c>
      <c r="J403" s="384">
        <f t="shared" si="26"/>
        <v>-2014301.0032933075</v>
      </c>
      <c r="K403" s="385">
        <f>I403/H403</f>
        <v>0.88990941621723985</v>
      </c>
      <c r="L403" s="386">
        <f>SUM(L8:L402)</f>
        <v>5899642.9665197395</v>
      </c>
      <c r="M403" s="504">
        <f>SUM(M8:M402)</f>
        <v>-3015282.5283802152</v>
      </c>
    </row>
    <row r="406" spans="1:13" x14ac:dyDescent="0.3">
      <c r="B406" s="1" t="s">
        <v>1049</v>
      </c>
    </row>
    <row r="407" spans="1:13" x14ac:dyDescent="0.3">
      <c r="B407" s="343">
        <f>'Звіт-будинок'!I6</f>
        <v>44562</v>
      </c>
    </row>
    <row r="410" spans="1:13" s="7" customFormat="1" x14ac:dyDescent="0.3">
      <c r="C410" s="494"/>
      <c r="D410" s="495">
        <f>'зведена таблиця'!C42</f>
        <v>66500394.312531218</v>
      </c>
      <c r="E410" s="495">
        <f>'зведена таблиця'!D42</f>
        <v>64036494.126708895</v>
      </c>
      <c r="F410" s="495"/>
      <c r="G410" s="495"/>
      <c r="H410" s="495">
        <f>('зведена таблиця'!C22+'зведена таблиця'!C23)*1.2</f>
        <v>18296760.123173591</v>
      </c>
      <c r="I410" s="495">
        <f>('зведена таблиця'!D22+'зведена таблиця'!D23)*1.2</f>
        <v>16282459.119880285</v>
      </c>
      <c r="J410" s="495"/>
      <c r="K410" s="495"/>
      <c r="L410" s="495">
        <f>'побудинковий звіт'!DE404</f>
        <v>5899642.9665197395</v>
      </c>
      <c r="M410" s="495">
        <f>'побудинковий звіт'!DA404</f>
        <v>3015282.5283802152</v>
      </c>
    </row>
    <row r="411" spans="1:13" x14ac:dyDescent="0.3">
      <c r="D411" s="496"/>
      <c r="E411" s="496"/>
      <c r="F411" s="496"/>
      <c r="G411" s="496"/>
      <c r="H411" s="493"/>
      <c r="I411" s="493"/>
      <c r="J411" s="493"/>
      <c r="K411" s="342"/>
      <c r="M411" s="497"/>
    </row>
  </sheetData>
  <autoFilter ref="A7:M403" xr:uid="{00000000-0009-0000-0000-000008000000}"/>
  <mergeCells count="7">
    <mergeCell ref="M6:M7"/>
    <mergeCell ref="A6:A7"/>
    <mergeCell ref="B6:B7"/>
    <mergeCell ref="C6:C7"/>
    <mergeCell ref="D6:G6"/>
    <mergeCell ref="H6:K6"/>
    <mergeCell ref="L6:L7"/>
  </mergeCells>
  <pageMargins left="0.11811023622047245" right="0.11811023622047245" top="0.15748031496062992" bottom="0.15748031496062992" header="0.31496062992125984" footer="0.31496062992125984"/>
  <pageSetup paperSize="9" scale="70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5"/>
  <dimension ref="A1:D402"/>
  <sheetViews>
    <sheetView topLeftCell="A365" workbookViewId="0">
      <selection activeCell="N393" sqref="N393"/>
    </sheetView>
  </sheetViews>
  <sheetFormatPr defaultColWidth="9.109375" defaultRowHeight="14.4" x14ac:dyDescent="0.3"/>
  <cols>
    <col min="1" max="1" width="13.109375" style="324" customWidth="1"/>
    <col min="2" max="2" width="8.88671875" style="1" customWidth="1"/>
    <col min="3" max="3" width="34.44140625" style="1" customWidth="1"/>
    <col min="4" max="4" width="37.33203125" style="416" customWidth="1"/>
  </cols>
  <sheetData>
    <row r="1" spans="1:4" x14ac:dyDescent="0.3">
      <c r="A1" s="1" t="s">
        <v>0</v>
      </c>
    </row>
    <row r="3" spans="1:4" ht="15.6" x14ac:dyDescent="0.3">
      <c r="B3" s="6"/>
    </row>
    <row r="5" spans="1:4" x14ac:dyDescent="0.3">
      <c r="D5" s="417"/>
    </row>
    <row r="6" spans="1:4" ht="87.75" customHeight="1" x14ac:dyDescent="0.3">
      <c r="A6" s="401" t="s">
        <v>1038</v>
      </c>
      <c r="B6" s="402" t="s">
        <v>850</v>
      </c>
      <c r="C6" s="402" t="s">
        <v>1</v>
      </c>
      <c r="D6" s="420" t="s">
        <v>1056</v>
      </c>
    </row>
    <row r="7" spans="1:4" x14ac:dyDescent="0.3">
      <c r="A7" s="393">
        <v>150000488</v>
      </c>
      <c r="B7" s="421" t="s">
        <v>464</v>
      </c>
      <c r="C7" s="291" t="s">
        <v>35</v>
      </c>
      <c r="D7" s="418">
        <v>-4902.1730102679985</v>
      </c>
    </row>
    <row r="8" spans="1:4" x14ac:dyDescent="0.3">
      <c r="A8" s="393">
        <v>150000490</v>
      </c>
      <c r="B8" s="421" t="s">
        <v>466</v>
      </c>
      <c r="C8" s="291" t="s">
        <v>37</v>
      </c>
      <c r="D8" s="418">
        <v>-703.99758192715194</v>
      </c>
    </row>
    <row r="9" spans="1:4" x14ac:dyDescent="0.3">
      <c r="A9" s="393">
        <v>150000492</v>
      </c>
      <c r="B9" s="421" t="s">
        <v>465</v>
      </c>
      <c r="C9" s="291" t="s">
        <v>36</v>
      </c>
      <c r="D9" s="418">
        <v>-2000.8432767017466</v>
      </c>
    </row>
    <row r="10" spans="1:4" x14ac:dyDescent="0.3">
      <c r="A10" s="393">
        <v>150000493</v>
      </c>
      <c r="B10" s="421" t="s">
        <v>597</v>
      </c>
      <c r="C10" s="291" t="s">
        <v>418</v>
      </c>
      <c r="D10" s="418">
        <v>-31149.46578682472</v>
      </c>
    </row>
    <row r="11" spans="1:4" x14ac:dyDescent="0.3">
      <c r="A11" s="393">
        <v>150000494</v>
      </c>
      <c r="B11" s="421" t="s">
        <v>598</v>
      </c>
      <c r="C11" s="291" t="s">
        <v>419</v>
      </c>
      <c r="D11" s="418">
        <v>-74663.038128383167</v>
      </c>
    </row>
    <row r="12" spans="1:4" x14ac:dyDescent="0.3">
      <c r="A12" s="393">
        <v>150000495</v>
      </c>
      <c r="B12" s="421" t="s">
        <v>468</v>
      </c>
      <c r="C12" s="291" t="s">
        <v>148</v>
      </c>
      <c r="D12" s="418">
        <v>3277.5107824569741</v>
      </c>
    </row>
    <row r="13" spans="1:4" x14ac:dyDescent="0.3">
      <c r="A13" s="393">
        <v>150000496</v>
      </c>
      <c r="B13" s="421" t="s">
        <v>469</v>
      </c>
      <c r="C13" s="291" t="s">
        <v>149</v>
      </c>
      <c r="D13" s="418">
        <v>29034.721675573459</v>
      </c>
    </row>
    <row r="14" spans="1:4" x14ac:dyDescent="0.3">
      <c r="A14" s="393">
        <v>150000497</v>
      </c>
      <c r="B14" s="421" t="s">
        <v>467</v>
      </c>
      <c r="C14" s="291" t="s">
        <v>341</v>
      </c>
      <c r="D14" s="418">
        <v>-9504.2295937079543</v>
      </c>
    </row>
    <row r="15" spans="1:4" x14ac:dyDescent="0.3">
      <c r="A15" s="393">
        <v>150000498</v>
      </c>
      <c r="B15" s="421" t="s">
        <v>470</v>
      </c>
      <c r="C15" s="291" t="s">
        <v>242</v>
      </c>
      <c r="D15" s="418">
        <v>-72425.627432773239</v>
      </c>
    </row>
    <row r="16" spans="1:4" x14ac:dyDescent="0.3">
      <c r="A16" s="393">
        <v>150000501</v>
      </c>
      <c r="B16" s="421" t="s">
        <v>644</v>
      </c>
      <c r="C16" s="291" t="s">
        <v>264</v>
      </c>
      <c r="D16" s="418">
        <v>6800.6871683873942</v>
      </c>
    </row>
    <row r="17" spans="1:4" x14ac:dyDescent="0.3">
      <c r="A17" s="393">
        <v>150000502</v>
      </c>
      <c r="B17" s="421" t="s">
        <v>637</v>
      </c>
      <c r="C17" s="291" t="s">
        <v>109</v>
      </c>
      <c r="D17" s="418">
        <v>-3994.5389234463905</v>
      </c>
    </row>
    <row r="18" spans="1:4" x14ac:dyDescent="0.3">
      <c r="A18" s="393">
        <v>150000503</v>
      </c>
      <c r="B18" s="421" t="s">
        <v>638</v>
      </c>
      <c r="C18" s="291" t="s">
        <v>110</v>
      </c>
      <c r="D18" s="418">
        <v>-3394.0442235651412</v>
      </c>
    </row>
    <row r="19" spans="1:4" x14ac:dyDescent="0.3">
      <c r="A19" s="393">
        <v>150000504</v>
      </c>
      <c r="B19" s="421" t="s">
        <v>639</v>
      </c>
      <c r="C19" s="291" t="s">
        <v>111</v>
      </c>
      <c r="D19" s="418">
        <v>-5185.4790515529476</v>
      </c>
    </row>
    <row r="20" spans="1:4" x14ac:dyDescent="0.3">
      <c r="A20" s="393">
        <v>150000505</v>
      </c>
      <c r="B20" s="421" t="s">
        <v>641</v>
      </c>
      <c r="C20" s="291" t="s">
        <v>113</v>
      </c>
      <c r="D20" s="418">
        <v>-4664.9888064511279</v>
      </c>
    </row>
    <row r="21" spans="1:4" x14ac:dyDescent="0.3">
      <c r="A21" s="393">
        <v>150000506</v>
      </c>
      <c r="B21" s="421" t="s">
        <v>640</v>
      </c>
      <c r="C21" s="291" t="s">
        <v>112</v>
      </c>
      <c r="D21" s="418">
        <v>-3719.4670164739464</v>
      </c>
    </row>
    <row r="22" spans="1:4" x14ac:dyDescent="0.3">
      <c r="A22" s="393">
        <v>150000507</v>
      </c>
      <c r="B22" s="421" t="s">
        <v>642</v>
      </c>
      <c r="C22" s="291" t="s">
        <v>114</v>
      </c>
      <c r="D22" s="418">
        <v>-7698.6111689848703</v>
      </c>
    </row>
    <row r="23" spans="1:4" x14ac:dyDescent="0.3">
      <c r="A23" s="393">
        <v>150000508</v>
      </c>
      <c r="B23" s="421" t="s">
        <v>643</v>
      </c>
      <c r="C23" s="291" t="s">
        <v>115</v>
      </c>
      <c r="D23" s="418">
        <v>-3059.7155190436883</v>
      </c>
    </row>
    <row r="24" spans="1:4" x14ac:dyDescent="0.3">
      <c r="A24" s="393">
        <v>150000509</v>
      </c>
      <c r="B24" s="421" t="s">
        <v>507</v>
      </c>
      <c r="C24" s="291" t="s">
        <v>53</v>
      </c>
      <c r="D24" s="418">
        <v>12675.151558165409</v>
      </c>
    </row>
    <row r="25" spans="1:4" x14ac:dyDescent="0.3">
      <c r="A25" s="393">
        <v>150000510</v>
      </c>
      <c r="B25" s="421" t="s">
        <v>508</v>
      </c>
      <c r="C25" s="291" t="s">
        <v>249</v>
      </c>
      <c r="D25" s="418">
        <v>80759.849437720666</v>
      </c>
    </row>
    <row r="26" spans="1:4" x14ac:dyDescent="0.3">
      <c r="A26" s="393">
        <v>150000511</v>
      </c>
      <c r="B26" s="421" t="s">
        <v>509</v>
      </c>
      <c r="C26" s="291" t="s">
        <v>250</v>
      </c>
      <c r="D26" s="418">
        <v>18420.419146638887</v>
      </c>
    </row>
    <row r="27" spans="1:4" x14ac:dyDescent="0.3">
      <c r="A27" s="393">
        <v>150000512</v>
      </c>
      <c r="B27" s="421" t="s">
        <v>510</v>
      </c>
      <c r="C27" s="291" t="s">
        <v>251</v>
      </c>
      <c r="D27" s="418">
        <v>46703.022288928893</v>
      </c>
    </row>
    <row r="28" spans="1:4" x14ac:dyDescent="0.3">
      <c r="A28" s="393">
        <v>150000513</v>
      </c>
      <c r="B28" s="421" t="s">
        <v>511</v>
      </c>
      <c r="C28" s="291" t="s">
        <v>334</v>
      </c>
      <c r="D28" s="418">
        <v>-12607.23187506596</v>
      </c>
    </row>
    <row r="29" spans="1:4" x14ac:dyDescent="0.3">
      <c r="A29" s="393">
        <v>150000514</v>
      </c>
      <c r="B29" s="421" t="s">
        <v>513</v>
      </c>
      <c r="C29" s="291" t="s">
        <v>152</v>
      </c>
      <c r="D29" s="418">
        <v>-14878.798379119022</v>
      </c>
    </row>
    <row r="30" spans="1:4" x14ac:dyDescent="0.3">
      <c r="A30" s="393">
        <v>150000515</v>
      </c>
      <c r="B30" s="421" t="s">
        <v>514</v>
      </c>
      <c r="C30" s="291" t="s">
        <v>54</v>
      </c>
      <c r="D30" s="418">
        <v>-578.71537562261688</v>
      </c>
    </row>
    <row r="31" spans="1:4" x14ac:dyDescent="0.3">
      <c r="A31" s="393">
        <v>150000516</v>
      </c>
      <c r="B31" s="421" t="s">
        <v>516</v>
      </c>
      <c r="C31" s="291" t="s">
        <v>56</v>
      </c>
      <c r="D31" s="418">
        <v>528.24556001615611</v>
      </c>
    </row>
    <row r="32" spans="1:4" x14ac:dyDescent="0.3">
      <c r="A32" s="393">
        <v>150000517</v>
      </c>
      <c r="B32" s="421" t="s">
        <v>517</v>
      </c>
      <c r="C32" s="291" t="s">
        <v>252</v>
      </c>
      <c r="D32" s="418">
        <v>119008.1241237121</v>
      </c>
    </row>
    <row r="33" spans="1:4" x14ac:dyDescent="0.3">
      <c r="A33" s="393">
        <v>150000518</v>
      </c>
      <c r="B33" s="421" t="s">
        <v>518</v>
      </c>
      <c r="C33" s="291" t="s">
        <v>195</v>
      </c>
      <c r="D33" s="418">
        <v>36558.963812435824</v>
      </c>
    </row>
    <row r="34" spans="1:4" x14ac:dyDescent="0.3">
      <c r="A34" s="393">
        <v>150000519</v>
      </c>
      <c r="B34" s="421" t="s">
        <v>519</v>
      </c>
      <c r="C34" s="291" t="s">
        <v>413</v>
      </c>
      <c r="D34" s="418">
        <v>81595.876129822631</v>
      </c>
    </row>
    <row r="35" spans="1:4" x14ac:dyDescent="0.3">
      <c r="A35" s="393">
        <v>150000521</v>
      </c>
      <c r="B35" s="421" t="s">
        <v>520</v>
      </c>
      <c r="C35" s="291" t="s">
        <v>253</v>
      </c>
      <c r="D35" s="418">
        <v>48086.328343931658</v>
      </c>
    </row>
    <row r="36" spans="1:4" x14ac:dyDescent="0.3">
      <c r="A36" s="393">
        <v>150000522</v>
      </c>
      <c r="B36" s="421" t="s">
        <v>521</v>
      </c>
      <c r="C36" s="291" t="s">
        <v>57</v>
      </c>
      <c r="D36" s="418">
        <v>7232.5429952727127</v>
      </c>
    </row>
    <row r="37" spans="1:4" x14ac:dyDescent="0.3">
      <c r="A37" s="393">
        <v>150000523</v>
      </c>
      <c r="B37" s="421" t="s">
        <v>522</v>
      </c>
      <c r="C37" s="291" t="s">
        <v>58</v>
      </c>
      <c r="D37" s="418">
        <v>25225.444546119863</v>
      </c>
    </row>
    <row r="38" spans="1:4" x14ac:dyDescent="0.3">
      <c r="A38" s="393">
        <v>150000524</v>
      </c>
      <c r="B38" s="421" t="s">
        <v>523</v>
      </c>
      <c r="C38" s="291" t="s">
        <v>59</v>
      </c>
      <c r="D38" s="418">
        <v>-480.46849675959538</v>
      </c>
    </row>
    <row r="39" spans="1:4" x14ac:dyDescent="0.3">
      <c r="A39" s="393">
        <v>150000527</v>
      </c>
      <c r="B39" s="421" t="s">
        <v>525</v>
      </c>
      <c r="C39" s="291" t="s">
        <v>61</v>
      </c>
      <c r="D39" s="418">
        <v>13226.811238543669</v>
      </c>
    </row>
    <row r="40" spans="1:4" x14ac:dyDescent="0.3">
      <c r="A40" s="393">
        <v>150000529</v>
      </c>
      <c r="B40" s="421" t="s">
        <v>527</v>
      </c>
      <c r="C40" s="291" t="s">
        <v>348</v>
      </c>
      <c r="D40" s="418">
        <v>-104752.4867808799</v>
      </c>
    </row>
    <row r="41" spans="1:4" x14ac:dyDescent="0.3">
      <c r="A41" s="393">
        <v>150000530</v>
      </c>
      <c r="B41" s="421" t="s">
        <v>528</v>
      </c>
      <c r="C41" s="291" t="s">
        <v>63</v>
      </c>
      <c r="D41" s="418">
        <v>10714.688984504486</v>
      </c>
    </row>
    <row r="42" spans="1:4" x14ac:dyDescent="0.3">
      <c r="A42" s="393">
        <v>150000531</v>
      </c>
      <c r="B42" s="421" t="s">
        <v>531</v>
      </c>
      <c r="C42" s="291" t="s">
        <v>349</v>
      </c>
      <c r="D42" s="418">
        <v>-23747.321684851071</v>
      </c>
    </row>
    <row r="43" spans="1:4" x14ac:dyDescent="0.3">
      <c r="A43" s="393">
        <v>150000532</v>
      </c>
      <c r="B43" s="421" t="s">
        <v>532</v>
      </c>
      <c r="C43" s="291" t="s">
        <v>254</v>
      </c>
      <c r="D43" s="418">
        <v>27636.967287603205</v>
      </c>
    </row>
    <row r="44" spans="1:4" x14ac:dyDescent="0.3">
      <c r="A44" s="393">
        <v>150000533</v>
      </c>
      <c r="B44" s="421" t="s">
        <v>533</v>
      </c>
      <c r="C44" s="291" t="s">
        <v>350</v>
      </c>
      <c r="D44" s="418">
        <v>-90602.904570467363</v>
      </c>
    </row>
    <row r="45" spans="1:4" x14ac:dyDescent="0.3">
      <c r="A45" s="393">
        <v>150000534</v>
      </c>
      <c r="B45" s="421" t="s">
        <v>534</v>
      </c>
      <c r="C45" s="291" t="s">
        <v>255</v>
      </c>
      <c r="D45" s="418">
        <v>19711.8173604041</v>
      </c>
    </row>
    <row r="46" spans="1:4" x14ac:dyDescent="0.3">
      <c r="A46" s="393">
        <v>150000535</v>
      </c>
      <c r="B46" s="421" t="s">
        <v>535</v>
      </c>
      <c r="C46" s="291" t="s">
        <v>351</v>
      </c>
      <c r="D46" s="418">
        <v>27137.961537135569</v>
      </c>
    </row>
    <row r="47" spans="1:4" x14ac:dyDescent="0.3">
      <c r="A47" s="393">
        <v>150000537</v>
      </c>
      <c r="B47" s="421" t="s">
        <v>634</v>
      </c>
      <c r="C47" s="291" t="s">
        <v>106</v>
      </c>
      <c r="D47" s="418">
        <v>160.35861518244744</v>
      </c>
    </row>
    <row r="48" spans="1:4" x14ac:dyDescent="0.3">
      <c r="A48" s="393">
        <v>150000538</v>
      </c>
      <c r="B48" s="421" t="s">
        <v>512</v>
      </c>
      <c r="C48" s="291" t="s">
        <v>208</v>
      </c>
      <c r="D48" s="418">
        <v>-265.65730325058848</v>
      </c>
    </row>
    <row r="49" spans="1:4" x14ac:dyDescent="0.3">
      <c r="A49" s="393">
        <v>150000539</v>
      </c>
      <c r="B49" s="421" t="s">
        <v>515</v>
      </c>
      <c r="C49" s="291" t="s">
        <v>55</v>
      </c>
      <c r="D49" s="418">
        <v>10981.193438426593</v>
      </c>
    </row>
    <row r="50" spans="1:4" x14ac:dyDescent="0.3">
      <c r="A50" s="393">
        <v>150000541</v>
      </c>
      <c r="B50" s="421" t="s">
        <v>524</v>
      </c>
      <c r="C50" s="291" t="s">
        <v>60</v>
      </c>
      <c r="D50" s="418">
        <v>-550.79827270551027</v>
      </c>
    </row>
    <row r="51" spans="1:4" x14ac:dyDescent="0.3">
      <c r="A51" s="393">
        <v>150000542</v>
      </c>
      <c r="B51" s="421" t="s">
        <v>526</v>
      </c>
      <c r="C51" s="291" t="s">
        <v>62</v>
      </c>
      <c r="D51" s="418">
        <v>-1763.8217460131148</v>
      </c>
    </row>
    <row r="52" spans="1:4" x14ac:dyDescent="0.3">
      <c r="A52" s="393">
        <v>150000543</v>
      </c>
      <c r="B52" s="421" t="s">
        <v>529</v>
      </c>
      <c r="C52" s="291" t="s">
        <v>64</v>
      </c>
      <c r="D52" s="418">
        <v>627.11557438821501</v>
      </c>
    </row>
    <row r="53" spans="1:4" x14ac:dyDescent="0.3">
      <c r="A53" s="393">
        <v>150000544</v>
      </c>
      <c r="B53" s="421" t="s">
        <v>530</v>
      </c>
      <c r="C53" s="291" t="s">
        <v>65</v>
      </c>
      <c r="D53" s="418">
        <v>7173.0872956675503</v>
      </c>
    </row>
    <row r="54" spans="1:4" x14ac:dyDescent="0.3">
      <c r="A54" s="393">
        <v>150000545</v>
      </c>
      <c r="B54" s="421" t="s">
        <v>635</v>
      </c>
      <c r="C54" s="291" t="s">
        <v>107</v>
      </c>
      <c r="D54" s="418">
        <v>-2178.4862080550515</v>
      </c>
    </row>
    <row r="55" spans="1:4" x14ac:dyDescent="0.3">
      <c r="A55" s="393">
        <v>150000546</v>
      </c>
      <c r="B55" s="421" t="s">
        <v>636</v>
      </c>
      <c r="C55" s="291" t="s">
        <v>108</v>
      </c>
      <c r="D55" s="418">
        <v>-2624.6522749018204</v>
      </c>
    </row>
    <row r="56" spans="1:4" x14ac:dyDescent="0.3">
      <c r="A56" s="393">
        <v>150000547</v>
      </c>
      <c r="B56" s="421" t="s">
        <v>506</v>
      </c>
      <c r="C56" s="291" t="s">
        <v>248</v>
      </c>
      <c r="D56" s="418">
        <v>-35498.86900763755</v>
      </c>
    </row>
    <row r="57" spans="1:4" x14ac:dyDescent="0.3">
      <c r="A57" s="393">
        <v>150000548</v>
      </c>
      <c r="B57" s="421" t="s">
        <v>504</v>
      </c>
      <c r="C57" s="291" t="s">
        <v>247</v>
      </c>
      <c r="D57" s="418">
        <v>-11242.466348530648</v>
      </c>
    </row>
    <row r="58" spans="1:4" x14ac:dyDescent="0.3">
      <c r="A58" s="393">
        <v>150000549</v>
      </c>
      <c r="B58" s="421" t="s">
        <v>505</v>
      </c>
      <c r="C58" s="291" t="s">
        <v>207</v>
      </c>
      <c r="D58" s="418">
        <v>-17423.002354111228</v>
      </c>
    </row>
    <row r="59" spans="1:4" x14ac:dyDescent="0.3">
      <c r="A59" s="393">
        <v>150000552</v>
      </c>
      <c r="B59" s="421" t="s">
        <v>595</v>
      </c>
      <c r="C59" s="291" t="s">
        <v>92</v>
      </c>
      <c r="D59" s="418">
        <v>-3376.8379427719678</v>
      </c>
    </row>
    <row r="60" spans="1:4" x14ac:dyDescent="0.3">
      <c r="A60" s="393">
        <v>150000553</v>
      </c>
      <c r="B60" s="421" t="s">
        <v>596</v>
      </c>
      <c r="C60" s="291" t="s">
        <v>260</v>
      </c>
      <c r="D60" s="418">
        <v>28693.120025369946</v>
      </c>
    </row>
    <row r="61" spans="1:4" x14ac:dyDescent="0.3">
      <c r="A61" s="393">
        <v>150000555</v>
      </c>
      <c r="B61" s="421" t="s">
        <v>592</v>
      </c>
      <c r="C61" s="291" t="s">
        <v>89</v>
      </c>
      <c r="D61" s="418">
        <v>-5940.8328940163801</v>
      </c>
    </row>
    <row r="62" spans="1:4" x14ac:dyDescent="0.3">
      <c r="A62" s="393">
        <v>150000556</v>
      </c>
      <c r="B62" s="421" t="s">
        <v>593</v>
      </c>
      <c r="C62" s="291" t="s">
        <v>90</v>
      </c>
      <c r="D62" s="418">
        <v>-5256.4924057574717</v>
      </c>
    </row>
    <row r="63" spans="1:4" x14ac:dyDescent="0.3">
      <c r="A63" s="393">
        <v>150000557</v>
      </c>
      <c r="B63" s="421" t="s">
        <v>594</v>
      </c>
      <c r="C63" s="291" t="s">
        <v>91</v>
      </c>
      <c r="D63" s="418">
        <v>-3519.1137367552947</v>
      </c>
    </row>
    <row r="64" spans="1:4" x14ac:dyDescent="0.3">
      <c r="A64" s="393">
        <v>150000561</v>
      </c>
      <c r="B64" s="421" t="s">
        <v>542</v>
      </c>
      <c r="C64" s="291" t="s">
        <v>72</v>
      </c>
      <c r="D64" s="418">
        <v>11131.298345178137</v>
      </c>
    </row>
    <row r="65" spans="1:4" x14ac:dyDescent="0.3">
      <c r="A65" s="393">
        <v>150000562</v>
      </c>
      <c r="B65" s="421" t="s">
        <v>544</v>
      </c>
      <c r="C65" s="291" t="s">
        <v>74</v>
      </c>
      <c r="D65" s="418">
        <v>-3247.5326196307551</v>
      </c>
    </row>
    <row r="66" spans="1:4" x14ac:dyDescent="0.3">
      <c r="A66" s="393">
        <v>150000566</v>
      </c>
      <c r="B66" s="421" t="s">
        <v>539</v>
      </c>
      <c r="C66" s="291" t="s">
        <v>69</v>
      </c>
      <c r="D66" s="418">
        <v>-10373.435261414634</v>
      </c>
    </row>
    <row r="67" spans="1:4" x14ac:dyDescent="0.3">
      <c r="A67" s="393">
        <v>150000567</v>
      </c>
      <c r="B67" s="421" t="s">
        <v>541</v>
      </c>
      <c r="C67" s="291" t="s">
        <v>71</v>
      </c>
      <c r="D67" s="418">
        <v>-621.33325515475337</v>
      </c>
    </row>
    <row r="68" spans="1:4" x14ac:dyDescent="0.3">
      <c r="A68" s="393">
        <v>150000569</v>
      </c>
      <c r="B68" s="421" t="s">
        <v>543</v>
      </c>
      <c r="C68" s="291" t="s">
        <v>73</v>
      </c>
      <c r="D68" s="418">
        <v>774.75894070368849</v>
      </c>
    </row>
    <row r="69" spans="1:4" x14ac:dyDescent="0.3">
      <c r="A69" s="393">
        <v>150000570</v>
      </c>
      <c r="B69" s="421" t="s">
        <v>545</v>
      </c>
      <c r="C69" s="291" t="s">
        <v>75</v>
      </c>
      <c r="D69" s="418">
        <v>-6207.2817710510089</v>
      </c>
    </row>
    <row r="70" spans="1:4" x14ac:dyDescent="0.3">
      <c r="A70" s="393">
        <v>150000571</v>
      </c>
      <c r="B70" s="421" t="s">
        <v>540</v>
      </c>
      <c r="C70" s="291" t="s">
        <v>70</v>
      </c>
      <c r="D70" s="418">
        <v>-7455.316735736762</v>
      </c>
    </row>
    <row r="71" spans="1:4" x14ac:dyDescent="0.3">
      <c r="A71" s="393">
        <v>150000572</v>
      </c>
      <c r="B71" s="421" t="s">
        <v>546</v>
      </c>
      <c r="C71" s="291" t="s">
        <v>153</v>
      </c>
      <c r="D71" s="418">
        <v>-11958.029189240771</v>
      </c>
    </row>
    <row r="72" spans="1:4" x14ac:dyDescent="0.3">
      <c r="A72" s="393">
        <v>150000573</v>
      </c>
      <c r="B72" s="421" t="s">
        <v>547</v>
      </c>
      <c r="C72" s="291" t="s">
        <v>76</v>
      </c>
      <c r="D72" s="418">
        <v>-3326.3090886437717</v>
      </c>
    </row>
    <row r="73" spans="1:4" x14ac:dyDescent="0.3">
      <c r="A73" s="393">
        <v>150000578</v>
      </c>
      <c r="B73" s="421" t="s">
        <v>586</v>
      </c>
      <c r="C73" s="291" t="s">
        <v>84</v>
      </c>
      <c r="D73" s="418">
        <v>-1684.3521244889673</v>
      </c>
    </row>
    <row r="74" spans="1:4" x14ac:dyDescent="0.3">
      <c r="A74" s="393">
        <v>150000580</v>
      </c>
      <c r="B74" s="421" t="s">
        <v>587</v>
      </c>
      <c r="C74" s="291" t="s">
        <v>85</v>
      </c>
      <c r="D74" s="418">
        <v>-3613.3600054064455</v>
      </c>
    </row>
    <row r="75" spans="1:4" x14ac:dyDescent="0.3">
      <c r="A75" s="393">
        <v>150000587</v>
      </c>
      <c r="B75" s="421" t="s">
        <v>584</v>
      </c>
      <c r="C75" s="291" t="s">
        <v>83</v>
      </c>
      <c r="D75" s="418">
        <v>-3667.5691949163597</v>
      </c>
    </row>
    <row r="76" spans="1:4" x14ac:dyDescent="0.3">
      <c r="A76" s="393">
        <v>150000590</v>
      </c>
      <c r="B76" s="421" t="s">
        <v>585</v>
      </c>
      <c r="C76" s="291" t="s">
        <v>164</v>
      </c>
      <c r="D76" s="418">
        <v>2037.4460975192474</v>
      </c>
    </row>
    <row r="77" spans="1:4" x14ac:dyDescent="0.3">
      <c r="A77" s="393">
        <v>150000591</v>
      </c>
      <c r="B77" s="421" t="s">
        <v>790</v>
      </c>
      <c r="C77" s="291" t="s">
        <v>192</v>
      </c>
      <c r="D77" s="418">
        <v>-8004.6311837788617</v>
      </c>
    </row>
    <row r="78" spans="1:4" x14ac:dyDescent="0.3">
      <c r="A78" s="393">
        <v>150000592</v>
      </c>
      <c r="B78" s="421" t="s">
        <v>553</v>
      </c>
      <c r="C78" s="291" t="s">
        <v>354</v>
      </c>
      <c r="D78" s="418">
        <v>41168.366071552715</v>
      </c>
    </row>
    <row r="79" spans="1:4" x14ac:dyDescent="0.3">
      <c r="A79" s="393">
        <v>150000593</v>
      </c>
      <c r="B79" s="421" t="s">
        <v>556</v>
      </c>
      <c r="C79" s="291" t="s">
        <v>256</v>
      </c>
      <c r="D79" s="418">
        <v>-33586.845977022625</v>
      </c>
    </row>
    <row r="80" spans="1:4" x14ac:dyDescent="0.3">
      <c r="A80" s="393">
        <v>150000594</v>
      </c>
      <c r="B80" s="421" t="s">
        <v>557</v>
      </c>
      <c r="C80" s="291" t="s">
        <v>355</v>
      </c>
      <c r="D80" s="418">
        <v>107844.32706510655</v>
      </c>
    </row>
    <row r="81" spans="1:4" x14ac:dyDescent="0.3">
      <c r="A81" s="393">
        <v>150000597</v>
      </c>
      <c r="B81" s="421" t="s">
        <v>551</v>
      </c>
      <c r="C81" s="291" t="s">
        <v>353</v>
      </c>
      <c r="D81" s="418">
        <v>75953.962734692104</v>
      </c>
    </row>
    <row r="82" spans="1:4" x14ac:dyDescent="0.3">
      <c r="A82" s="393">
        <v>150000598</v>
      </c>
      <c r="B82" s="421" t="s">
        <v>552</v>
      </c>
      <c r="C82" s="291" t="s">
        <v>77</v>
      </c>
      <c r="D82" s="418">
        <v>16502.780413343498</v>
      </c>
    </row>
    <row r="83" spans="1:4" x14ac:dyDescent="0.3">
      <c r="A83" s="393">
        <v>150000599</v>
      </c>
      <c r="B83" s="421" t="s">
        <v>554</v>
      </c>
      <c r="C83" s="291" t="s">
        <v>78</v>
      </c>
      <c r="D83" s="418">
        <v>11350.631065588368</v>
      </c>
    </row>
    <row r="84" spans="1:4" x14ac:dyDescent="0.3">
      <c r="A84" s="393">
        <v>150000601</v>
      </c>
      <c r="B84" s="421" t="s">
        <v>555</v>
      </c>
      <c r="C84" s="291" t="s">
        <v>79</v>
      </c>
      <c r="D84" s="418">
        <v>156.45994528127767</v>
      </c>
    </row>
    <row r="85" spans="1:4" x14ac:dyDescent="0.3">
      <c r="A85" s="393">
        <v>150000603</v>
      </c>
      <c r="B85" s="421" t="s">
        <v>564</v>
      </c>
      <c r="C85" s="291" t="s">
        <v>154</v>
      </c>
      <c r="D85" s="418">
        <v>4864.2100716825025</v>
      </c>
    </row>
    <row r="86" spans="1:4" x14ac:dyDescent="0.3">
      <c r="A86" s="393">
        <v>150000604</v>
      </c>
      <c r="B86" s="421" t="s">
        <v>566</v>
      </c>
      <c r="C86" s="291" t="s">
        <v>155</v>
      </c>
      <c r="D86" s="418">
        <v>51854.470199929325</v>
      </c>
    </row>
    <row r="87" spans="1:4" x14ac:dyDescent="0.3">
      <c r="A87" s="393">
        <v>150000605</v>
      </c>
      <c r="B87" s="421" t="s">
        <v>567</v>
      </c>
      <c r="C87" s="291" t="s">
        <v>156</v>
      </c>
      <c r="D87" s="418">
        <v>18422.858506815275</v>
      </c>
    </row>
    <row r="88" spans="1:4" x14ac:dyDescent="0.3">
      <c r="A88" s="393">
        <v>150000606</v>
      </c>
      <c r="B88" s="421" t="s">
        <v>568</v>
      </c>
      <c r="C88" s="291" t="s">
        <v>157</v>
      </c>
      <c r="D88" s="418">
        <v>20326.687141900748</v>
      </c>
    </row>
    <row r="89" spans="1:4" x14ac:dyDescent="0.3">
      <c r="A89" s="393">
        <v>150000607</v>
      </c>
      <c r="B89" s="421" t="s">
        <v>569</v>
      </c>
      <c r="C89" s="291" t="s">
        <v>158</v>
      </c>
      <c r="D89" s="418">
        <v>-10984.59340714863</v>
      </c>
    </row>
    <row r="90" spans="1:4" x14ac:dyDescent="0.3">
      <c r="A90" s="393">
        <v>150000608</v>
      </c>
      <c r="B90" s="421" t="s">
        <v>570</v>
      </c>
      <c r="C90" s="291" t="s">
        <v>159</v>
      </c>
      <c r="D90" s="418">
        <v>-1368.1022905412945</v>
      </c>
    </row>
    <row r="91" spans="1:4" x14ac:dyDescent="0.3">
      <c r="A91" s="393">
        <v>150000609</v>
      </c>
      <c r="B91" s="421" t="s">
        <v>571</v>
      </c>
      <c r="C91" s="291" t="s">
        <v>160</v>
      </c>
      <c r="D91" s="418">
        <v>10400.456108312379</v>
      </c>
    </row>
    <row r="92" spans="1:4" x14ac:dyDescent="0.3">
      <c r="A92" s="393">
        <v>150000610</v>
      </c>
      <c r="B92" s="421" t="s">
        <v>572</v>
      </c>
      <c r="C92" s="291" t="s">
        <v>161</v>
      </c>
      <c r="D92" s="418">
        <v>6009.3907367726852</v>
      </c>
    </row>
    <row r="93" spans="1:4" x14ac:dyDescent="0.3">
      <c r="A93" s="393">
        <v>150000611</v>
      </c>
      <c r="B93" s="421" t="s">
        <v>573</v>
      </c>
      <c r="C93" s="291" t="s">
        <v>196</v>
      </c>
      <c r="D93" s="418">
        <v>18086.937752797672</v>
      </c>
    </row>
    <row r="94" spans="1:4" x14ac:dyDescent="0.3">
      <c r="A94" s="393">
        <v>150000612</v>
      </c>
      <c r="B94" s="421" t="s">
        <v>575</v>
      </c>
      <c r="C94" s="291" t="s">
        <v>162</v>
      </c>
      <c r="D94" s="418">
        <v>-412.05534297478607</v>
      </c>
    </row>
    <row r="95" spans="1:4" x14ac:dyDescent="0.3">
      <c r="A95" s="393">
        <v>150000613</v>
      </c>
      <c r="B95" s="421" t="s">
        <v>576</v>
      </c>
      <c r="C95" s="291" t="s">
        <v>211</v>
      </c>
      <c r="D95" s="418">
        <v>73808.620153440424</v>
      </c>
    </row>
    <row r="96" spans="1:4" x14ac:dyDescent="0.3">
      <c r="A96" s="393">
        <v>150000614</v>
      </c>
      <c r="B96" s="421" t="s">
        <v>577</v>
      </c>
      <c r="C96" s="291" t="s">
        <v>163</v>
      </c>
      <c r="D96" s="418">
        <v>-10663.093274395149</v>
      </c>
    </row>
    <row r="97" spans="1:4" x14ac:dyDescent="0.3">
      <c r="A97" s="393">
        <v>150000615</v>
      </c>
      <c r="B97" s="421" t="s">
        <v>578</v>
      </c>
      <c r="C97" s="291" t="s">
        <v>257</v>
      </c>
      <c r="D97" s="418">
        <v>16451.145252504233</v>
      </c>
    </row>
    <row r="98" spans="1:4" x14ac:dyDescent="0.3">
      <c r="A98" s="393">
        <v>150000616</v>
      </c>
      <c r="B98" s="421" t="s">
        <v>579</v>
      </c>
      <c r="C98" s="291" t="s">
        <v>258</v>
      </c>
      <c r="D98" s="418">
        <v>42267.230640725604</v>
      </c>
    </row>
    <row r="99" spans="1:4" x14ac:dyDescent="0.3">
      <c r="A99" s="393">
        <v>150000618</v>
      </c>
      <c r="B99" s="421" t="s">
        <v>580</v>
      </c>
      <c r="C99" s="291" t="s">
        <v>417</v>
      </c>
      <c r="D99" s="418">
        <v>33473.414820235994</v>
      </c>
    </row>
    <row r="100" spans="1:4" x14ac:dyDescent="0.3">
      <c r="A100" s="393">
        <v>150000619</v>
      </c>
      <c r="B100" s="421" t="s">
        <v>581</v>
      </c>
      <c r="C100" s="291" t="s">
        <v>360</v>
      </c>
      <c r="D100" s="418">
        <v>137616.59003604011</v>
      </c>
    </row>
    <row r="101" spans="1:4" x14ac:dyDescent="0.3">
      <c r="A101" s="393">
        <v>150000621</v>
      </c>
      <c r="B101" s="421" t="s">
        <v>582</v>
      </c>
      <c r="C101" s="291" t="s">
        <v>81</v>
      </c>
      <c r="D101" s="418">
        <v>-4224.5946173619877</v>
      </c>
    </row>
    <row r="102" spans="1:4" x14ac:dyDescent="0.3">
      <c r="A102" s="393">
        <v>150000622</v>
      </c>
      <c r="B102" s="421" t="s">
        <v>583</v>
      </c>
      <c r="C102" s="291" t="s">
        <v>82</v>
      </c>
      <c r="D102" s="418">
        <v>-4115.4040233134519</v>
      </c>
    </row>
    <row r="103" spans="1:4" x14ac:dyDescent="0.3">
      <c r="A103" s="393">
        <v>150000623</v>
      </c>
      <c r="B103" s="421" t="s">
        <v>574</v>
      </c>
      <c r="C103" s="291" t="s">
        <v>210</v>
      </c>
      <c r="D103" s="418">
        <v>-2942.9479973060334</v>
      </c>
    </row>
    <row r="104" spans="1:4" x14ac:dyDescent="0.3">
      <c r="A104" s="393">
        <v>150000625</v>
      </c>
      <c r="B104" s="421" t="s">
        <v>561</v>
      </c>
      <c r="C104" s="291" t="s">
        <v>416</v>
      </c>
      <c r="D104" s="418">
        <v>30904.94119270796</v>
      </c>
    </row>
    <row r="105" spans="1:4" x14ac:dyDescent="0.3">
      <c r="A105" s="393">
        <v>150000626</v>
      </c>
      <c r="B105" s="421" t="s">
        <v>563</v>
      </c>
      <c r="C105" s="291" t="s">
        <v>359</v>
      </c>
      <c r="D105" s="418">
        <v>133009.6862036321</v>
      </c>
    </row>
    <row r="106" spans="1:4" x14ac:dyDescent="0.3">
      <c r="A106" s="393">
        <v>150000627</v>
      </c>
      <c r="B106" s="421" t="s">
        <v>559</v>
      </c>
      <c r="C106" s="291" t="s">
        <v>356</v>
      </c>
      <c r="D106" s="418">
        <v>123550.34226668082</v>
      </c>
    </row>
    <row r="107" spans="1:4" x14ac:dyDescent="0.3">
      <c r="A107" s="393">
        <v>150000628</v>
      </c>
      <c r="B107" s="421" t="s">
        <v>560</v>
      </c>
      <c r="C107" s="291" t="s">
        <v>357</v>
      </c>
      <c r="D107" s="418">
        <v>45545.416588375971</v>
      </c>
    </row>
    <row r="108" spans="1:4" x14ac:dyDescent="0.3">
      <c r="A108" s="393">
        <v>150000629</v>
      </c>
      <c r="B108" s="421" t="s">
        <v>562</v>
      </c>
      <c r="C108" s="291" t="s">
        <v>358</v>
      </c>
      <c r="D108" s="418">
        <v>68410.350577523845</v>
      </c>
    </row>
    <row r="109" spans="1:4" x14ac:dyDescent="0.3">
      <c r="A109" s="393">
        <v>150000634</v>
      </c>
      <c r="B109" s="421" t="s">
        <v>589</v>
      </c>
      <c r="C109" s="291" t="s">
        <v>87</v>
      </c>
      <c r="D109" s="418">
        <v>-6649.8253720382572</v>
      </c>
    </row>
    <row r="110" spans="1:4" x14ac:dyDescent="0.3">
      <c r="A110" s="393">
        <v>150000636</v>
      </c>
      <c r="B110" s="421" t="s">
        <v>590</v>
      </c>
      <c r="C110" s="291" t="s">
        <v>259</v>
      </c>
      <c r="D110" s="418">
        <v>-49938.255764458045</v>
      </c>
    </row>
    <row r="111" spans="1:4" x14ac:dyDescent="0.3">
      <c r="A111" s="393">
        <v>150000637</v>
      </c>
      <c r="B111" s="421" t="s">
        <v>591</v>
      </c>
      <c r="C111" s="291" t="s">
        <v>88</v>
      </c>
      <c r="D111" s="418">
        <v>-5568.6765853521429</v>
      </c>
    </row>
    <row r="112" spans="1:4" x14ac:dyDescent="0.3">
      <c r="A112" s="393">
        <v>150000638</v>
      </c>
      <c r="B112" s="421" t="s">
        <v>735</v>
      </c>
      <c r="C112" s="291" t="s">
        <v>132</v>
      </c>
      <c r="D112" s="418">
        <v>-3856.2076313108164</v>
      </c>
    </row>
    <row r="113" spans="1:4" x14ac:dyDescent="0.3">
      <c r="A113" s="393">
        <v>150000639</v>
      </c>
      <c r="B113" s="421" t="s">
        <v>736</v>
      </c>
      <c r="C113" s="291" t="s">
        <v>133</v>
      </c>
      <c r="D113" s="418">
        <v>-4641.7699624006236</v>
      </c>
    </row>
    <row r="114" spans="1:4" x14ac:dyDescent="0.3">
      <c r="A114" s="393">
        <v>150000643</v>
      </c>
      <c r="B114" s="421" t="s">
        <v>537</v>
      </c>
      <c r="C114" s="291" t="s">
        <v>67</v>
      </c>
      <c r="D114" s="418">
        <v>-5067.5195021713935</v>
      </c>
    </row>
    <row r="115" spans="1:4" x14ac:dyDescent="0.3">
      <c r="A115" s="393">
        <v>150000644</v>
      </c>
      <c r="B115" s="421" t="s">
        <v>538</v>
      </c>
      <c r="C115" s="291" t="s">
        <v>68</v>
      </c>
      <c r="D115" s="418">
        <v>-3663.4450124292848</v>
      </c>
    </row>
    <row r="116" spans="1:4" x14ac:dyDescent="0.3">
      <c r="A116" s="393">
        <v>150000645</v>
      </c>
      <c r="B116" s="421" t="s">
        <v>536</v>
      </c>
      <c r="C116" s="291" t="s">
        <v>66</v>
      </c>
      <c r="D116" s="418">
        <v>131.10777217761068</v>
      </c>
    </row>
    <row r="117" spans="1:4" x14ac:dyDescent="0.3">
      <c r="A117" s="393">
        <v>150000647</v>
      </c>
      <c r="B117" s="421" t="s">
        <v>604</v>
      </c>
      <c r="C117" s="291" t="s">
        <v>97</v>
      </c>
      <c r="D117" s="418">
        <v>-945.52962701563558</v>
      </c>
    </row>
    <row r="118" spans="1:4" x14ac:dyDescent="0.3">
      <c r="A118" s="393">
        <v>150000648</v>
      </c>
      <c r="B118" s="421" t="s">
        <v>603</v>
      </c>
      <c r="C118" s="291" t="s">
        <v>362</v>
      </c>
      <c r="D118" s="418">
        <v>-42742.166767869217</v>
      </c>
    </row>
    <row r="119" spans="1:4" x14ac:dyDescent="0.3">
      <c r="A119" s="393">
        <v>150000658</v>
      </c>
      <c r="B119" s="421" t="s">
        <v>548</v>
      </c>
      <c r="C119" s="291" t="s">
        <v>352</v>
      </c>
      <c r="D119" s="418">
        <v>-36941.922707557111</v>
      </c>
    </row>
    <row r="120" spans="1:4" x14ac:dyDescent="0.3">
      <c r="A120" s="393">
        <v>150000659</v>
      </c>
      <c r="B120" s="421" t="s">
        <v>549</v>
      </c>
      <c r="C120" s="291" t="s">
        <v>414</v>
      </c>
      <c r="D120" s="418">
        <v>61380.507321527308</v>
      </c>
    </row>
    <row r="121" spans="1:4" x14ac:dyDescent="0.3">
      <c r="A121" s="393">
        <v>150000660</v>
      </c>
      <c r="B121" s="421" t="s">
        <v>550</v>
      </c>
      <c r="C121" s="291" t="s">
        <v>415</v>
      </c>
      <c r="D121" s="418">
        <v>290207.24155774026</v>
      </c>
    </row>
    <row r="122" spans="1:4" x14ac:dyDescent="0.3">
      <c r="A122" s="393">
        <v>150000670</v>
      </c>
      <c r="B122" s="421" t="s">
        <v>704</v>
      </c>
      <c r="C122" s="291" t="s">
        <v>127</v>
      </c>
      <c r="D122" s="418">
        <v>-6548.455420362402</v>
      </c>
    </row>
    <row r="123" spans="1:4" x14ac:dyDescent="0.3">
      <c r="A123" s="393">
        <v>150000671</v>
      </c>
      <c r="B123" s="421" t="s">
        <v>706</v>
      </c>
      <c r="C123" s="291" t="s">
        <v>128</v>
      </c>
      <c r="D123" s="418">
        <v>-8139.7140432236738</v>
      </c>
    </row>
    <row r="124" spans="1:4" x14ac:dyDescent="0.3">
      <c r="A124" s="393">
        <v>150000672</v>
      </c>
      <c r="B124" s="421"/>
      <c r="C124" s="292" t="s">
        <v>429</v>
      </c>
      <c r="D124" s="418">
        <v>31402.727094124981</v>
      </c>
    </row>
    <row r="125" spans="1:4" x14ac:dyDescent="0.3">
      <c r="A125" s="393">
        <v>150000673</v>
      </c>
      <c r="B125" s="421" t="s">
        <v>703</v>
      </c>
      <c r="C125" s="291" t="s">
        <v>183</v>
      </c>
      <c r="D125" s="418">
        <v>-6645.3947606908478</v>
      </c>
    </row>
    <row r="126" spans="1:4" x14ac:dyDescent="0.3">
      <c r="A126" s="393">
        <v>150000676</v>
      </c>
      <c r="B126" s="421" t="s">
        <v>705</v>
      </c>
      <c r="C126" s="291" t="s">
        <v>386</v>
      </c>
      <c r="D126" s="418">
        <v>4603.3857551938381</v>
      </c>
    </row>
    <row r="127" spans="1:4" x14ac:dyDescent="0.3">
      <c r="A127" s="393">
        <v>150000683</v>
      </c>
      <c r="B127" s="421" t="s">
        <v>653</v>
      </c>
      <c r="C127" s="291" t="s">
        <v>116</v>
      </c>
      <c r="D127" s="418">
        <v>-879.18822416123294</v>
      </c>
    </row>
    <row r="128" spans="1:4" x14ac:dyDescent="0.3">
      <c r="A128" s="393">
        <v>150000686</v>
      </c>
      <c r="B128" s="421" t="s">
        <v>605</v>
      </c>
      <c r="C128" s="291" t="s">
        <v>98</v>
      </c>
      <c r="D128" s="418">
        <v>-1942.0623758268928</v>
      </c>
    </row>
    <row r="129" spans="1:4" x14ac:dyDescent="0.3">
      <c r="A129" s="393">
        <v>150000688</v>
      </c>
      <c r="B129" s="421" t="s">
        <v>599</v>
      </c>
      <c r="C129" s="291" t="s">
        <v>93</v>
      </c>
      <c r="D129" s="418">
        <v>-7280.784204331685</v>
      </c>
    </row>
    <row r="130" spans="1:4" x14ac:dyDescent="0.3">
      <c r="A130" s="393">
        <v>150000689</v>
      </c>
      <c r="B130" s="421" t="s">
        <v>600</v>
      </c>
      <c r="C130" s="291" t="s">
        <v>94</v>
      </c>
      <c r="D130" s="418">
        <v>-3805.1108268462444</v>
      </c>
    </row>
    <row r="131" spans="1:4" x14ac:dyDescent="0.3">
      <c r="A131" s="393">
        <v>150000690</v>
      </c>
      <c r="B131" s="421" t="s">
        <v>602</v>
      </c>
      <c r="C131" s="291" t="s">
        <v>96</v>
      </c>
      <c r="D131" s="418">
        <v>-3571.1652726671809</v>
      </c>
    </row>
    <row r="132" spans="1:4" x14ac:dyDescent="0.3">
      <c r="A132" s="393">
        <v>150000693</v>
      </c>
      <c r="B132" s="421" t="s">
        <v>601</v>
      </c>
      <c r="C132" s="291" t="s">
        <v>95</v>
      </c>
      <c r="D132" s="418">
        <v>-3497.6776933598803</v>
      </c>
    </row>
    <row r="133" spans="1:4" x14ac:dyDescent="0.3">
      <c r="A133" s="393">
        <v>150000694</v>
      </c>
      <c r="B133" s="421" t="s">
        <v>656</v>
      </c>
      <c r="C133" s="291" t="s">
        <v>372</v>
      </c>
      <c r="D133" s="418">
        <v>-31182.766511507099</v>
      </c>
    </row>
    <row r="134" spans="1:4" x14ac:dyDescent="0.3">
      <c r="A134" s="393">
        <v>150000695</v>
      </c>
      <c r="B134" s="421" t="s">
        <v>657</v>
      </c>
      <c r="C134" s="291" t="s">
        <v>373</v>
      </c>
      <c r="D134" s="418">
        <v>3840.607337526777</v>
      </c>
    </row>
    <row r="135" spans="1:4" x14ac:dyDescent="0.3">
      <c r="A135" s="393">
        <v>150000696</v>
      </c>
      <c r="B135" s="421" t="s">
        <v>654</v>
      </c>
      <c r="C135" s="291" t="s">
        <v>371</v>
      </c>
      <c r="D135" s="418">
        <v>112480.46085932906</v>
      </c>
    </row>
    <row r="136" spans="1:4" x14ac:dyDescent="0.3">
      <c r="A136" s="393">
        <v>150000697</v>
      </c>
      <c r="B136" s="421" t="s">
        <v>655</v>
      </c>
      <c r="C136" s="291" t="s">
        <v>266</v>
      </c>
      <c r="D136" s="418">
        <v>-80960.391670591387</v>
      </c>
    </row>
    <row r="137" spans="1:4" x14ac:dyDescent="0.3">
      <c r="A137" s="393">
        <v>150000698</v>
      </c>
      <c r="B137" s="421" t="s">
        <v>658</v>
      </c>
      <c r="C137" s="291" t="s">
        <v>121</v>
      </c>
      <c r="D137" s="418">
        <v>-5693.7725621153149</v>
      </c>
    </row>
    <row r="138" spans="1:4" x14ac:dyDescent="0.3">
      <c r="A138" s="393">
        <v>150000699</v>
      </c>
      <c r="B138" s="421" t="s">
        <v>659</v>
      </c>
      <c r="C138" s="291" t="s">
        <v>374</v>
      </c>
      <c r="D138" s="418">
        <v>282183.83385024278</v>
      </c>
    </row>
    <row r="139" spans="1:4" x14ac:dyDescent="0.3">
      <c r="A139" s="393">
        <v>150000702</v>
      </c>
      <c r="B139" s="421" t="s">
        <v>461</v>
      </c>
      <c r="C139" s="291" t="s">
        <v>339</v>
      </c>
      <c r="D139" s="418">
        <v>63391.816190171667</v>
      </c>
    </row>
    <row r="140" spans="1:4" x14ac:dyDescent="0.3">
      <c r="A140" s="393">
        <v>150000703</v>
      </c>
      <c r="B140" s="421" t="s">
        <v>462</v>
      </c>
      <c r="C140" s="291" t="s">
        <v>340</v>
      </c>
      <c r="D140" s="418">
        <v>-26619.726145484266</v>
      </c>
    </row>
    <row r="141" spans="1:4" x14ac:dyDescent="0.3">
      <c r="A141" s="393">
        <v>150000705</v>
      </c>
      <c r="B141" s="421" t="s">
        <v>785</v>
      </c>
      <c r="C141" s="291" t="s">
        <v>142</v>
      </c>
      <c r="D141" s="418">
        <v>1344.5065575335061</v>
      </c>
    </row>
    <row r="142" spans="1:4" x14ac:dyDescent="0.3">
      <c r="A142" s="393">
        <v>150000706</v>
      </c>
      <c r="B142" s="421" t="s">
        <v>787</v>
      </c>
      <c r="C142" s="291" t="s">
        <v>144</v>
      </c>
      <c r="D142" s="418">
        <v>1349.7687771307296</v>
      </c>
    </row>
    <row r="143" spans="1:4" x14ac:dyDescent="0.3">
      <c r="A143" s="393">
        <v>150000707</v>
      </c>
      <c r="B143" s="421" t="s">
        <v>788</v>
      </c>
      <c r="C143" s="291" t="s">
        <v>145</v>
      </c>
      <c r="D143" s="418">
        <v>-6922.9796687066801</v>
      </c>
    </row>
    <row r="144" spans="1:4" x14ac:dyDescent="0.3">
      <c r="A144" s="393">
        <v>150000708</v>
      </c>
      <c r="B144" s="421" t="s">
        <v>789</v>
      </c>
      <c r="C144" s="291" t="s">
        <v>146</v>
      </c>
      <c r="D144" s="418">
        <v>-2958.5315860964242</v>
      </c>
    </row>
    <row r="145" spans="1:4" x14ac:dyDescent="0.3">
      <c r="A145" s="393">
        <v>150000709</v>
      </c>
      <c r="B145" s="421" t="s">
        <v>786</v>
      </c>
      <c r="C145" s="291" t="s">
        <v>143</v>
      </c>
      <c r="D145" s="418">
        <v>-4097.3489553289846</v>
      </c>
    </row>
    <row r="146" spans="1:4" x14ac:dyDescent="0.3">
      <c r="A146" s="393">
        <v>150000710</v>
      </c>
      <c r="B146" s="421" t="s">
        <v>716</v>
      </c>
      <c r="C146" s="291" t="s">
        <v>279</v>
      </c>
      <c r="D146" s="418">
        <v>2163.3169754022001</v>
      </c>
    </row>
    <row r="147" spans="1:4" x14ac:dyDescent="0.3">
      <c r="A147" s="393">
        <v>150000711</v>
      </c>
      <c r="B147" s="421" t="s">
        <v>717</v>
      </c>
      <c r="C147" s="291" t="s">
        <v>280</v>
      </c>
      <c r="D147" s="418">
        <v>80327.533103987473</v>
      </c>
    </row>
    <row r="148" spans="1:4" x14ac:dyDescent="0.3">
      <c r="A148" s="393">
        <v>150000712</v>
      </c>
      <c r="B148" s="421" t="s">
        <v>718</v>
      </c>
      <c r="C148" s="291" t="s">
        <v>281</v>
      </c>
      <c r="D148" s="418">
        <v>72168.35802323019</v>
      </c>
    </row>
    <row r="149" spans="1:4" x14ac:dyDescent="0.3">
      <c r="A149" s="393">
        <v>150000713</v>
      </c>
      <c r="B149" s="421" t="s">
        <v>719</v>
      </c>
      <c r="C149" s="291" t="s">
        <v>282</v>
      </c>
      <c r="D149" s="418">
        <v>79727.324281120615</v>
      </c>
    </row>
    <row r="150" spans="1:4" x14ac:dyDescent="0.3">
      <c r="A150" s="393">
        <v>150000714</v>
      </c>
      <c r="B150" s="421" t="s">
        <v>720</v>
      </c>
      <c r="C150" s="291" t="s">
        <v>283</v>
      </c>
      <c r="D150" s="418">
        <v>126260.82887321526</v>
      </c>
    </row>
    <row r="151" spans="1:4" x14ac:dyDescent="0.3">
      <c r="A151" s="393">
        <v>150000715</v>
      </c>
      <c r="B151" s="421" t="s">
        <v>721</v>
      </c>
      <c r="C151" s="291" t="s">
        <v>284</v>
      </c>
      <c r="D151" s="418">
        <v>13080.192385793227</v>
      </c>
    </row>
    <row r="152" spans="1:4" x14ac:dyDescent="0.3">
      <c r="A152" s="393">
        <v>150000716</v>
      </c>
      <c r="B152" s="421" t="s">
        <v>723</v>
      </c>
      <c r="C152" s="291" t="s">
        <v>286</v>
      </c>
      <c r="D152" s="418">
        <v>-54406.836163422457</v>
      </c>
    </row>
    <row r="153" spans="1:4" x14ac:dyDescent="0.3">
      <c r="A153" s="393">
        <v>150000717</v>
      </c>
      <c r="B153" s="421" t="s">
        <v>724</v>
      </c>
      <c r="C153" s="291" t="s">
        <v>287</v>
      </c>
      <c r="D153" s="418">
        <v>27142.660486919995</v>
      </c>
    </row>
    <row r="154" spans="1:4" x14ac:dyDescent="0.3">
      <c r="A154" s="393">
        <v>150000718</v>
      </c>
      <c r="B154" s="421" t="s">
        <v>725</v>
      </c>
      <c r="C154" s="291" t="s">
        <v>288</v>
      </c>
      <c r="D154" s="418">
        <v>-53069.794110209477</v>
      </c>
    </row>
    <row r="155" spans="1:4" x14ac:dyDescent="0.3">
      <c r="A155" s="393">
        <v>150000719</v>
      </c>
      <c r="B155" s="421" t="s">
        <v>722</v>
      </c>
      <c r="C155" s="291" t="s">
        <v>285</v>
      </c>
      <c r="D155" s="418">
        <v>-95047.554649066471</v>
      </c>
    </row>
    <row r="156" spans="1:4" x14ac:dyDescent="0.3">
      <c r="A156" s="393">
        <v>150000720</v>
      </c>
      <c r="B156" s="421" t="s">
        <v>726</v>
      </c>
      <c r="C156" s="291" t="s">
        <v>289</v>
      </c>
      <c r="D156" s="418">
        <v>25207.748506005824</v>
      </c>
    </row>
    <row r="157" spans="1:4" x14ac:dyDescent="0.3">
      <c r="A157" s="393">
        <v>150000721</v>
      </c>
      <c r="B157" s="421" t="s">
        <v>711</v>
      </c>
      <c r="C157" s="291" t="s">
        <v>219</v>
      </c>
      <c r="D157" s="418">
        <v>42021.77193613784</v>
      </c>
    </row>
    <row r="158" spans="1:4" x14ac:dyDescent="0.3">
      <c r="A158" s="393">
        <v>150000722</v>
      </c>
      <c r="B158" s="421" t="s">
        <v>712</v>
      </c>
      <c r="C158" s="291" t="s">
        <v>275</v>
      </c>
      <c r="D158" s="418">
        <v>-29362.458425653334</v>
      </c>
    </row>
    <row r="159" spans="1:4" x14ac:dyDescent="0.3">
      <c r="A159" s="393">
        <v>150000723</v>
      </c>
      <c r="B159" s="421" t="s">
        <v>713</v>
      </c>
      <c r="C159" s="291" t="s">
        <v>276</v>
      </c>
      <c r="D159" s="418">
        <v>-4017.4269122482056</v>
      </c>
    </row>
    <row r="160" spans="1:4" x14ac:dyDescent="0.3">
      <c r="A160" s="393">
        <v>150000724</v>
      </c>
      <c r="B160" s="421" t="s">
        <v>714</v>
      </c>
      <c r="C160" s="291" t="s">
        <v>277</v>
      </c>
      <c r="D160" s="418">
        <v>94342.169770781009</v>
      </c>
    </row>
    <row r="161" spans="1:4" x14ac:dyDescent="0.3">
      <c r="A161" s="393">
        <v>150000725</v>
      </c>
      <c r="B161" s="421" t="s">
        <v>715</v>
      </c>
      <c r="C161" s="291" t="s">
        <v>278</v>
      </c>
      <c r="D161" s="418">
        <v>-41023.790271920137</v>
      </c>
    </row>
    <row r="162" spans="1:4" x14ac:dyDescent="0.3">
      <c r="A162" s="393">
        <v>150000726</v>
      </c>
      <c r="B162" s="421" t="s">
        <v>707</v>
      </c>
      <c r="C162" s="291" t="s">
        <v>184</v>
      </c>
      <c r="D162" s="418">
        <v>10420.118148768248</v>
      </c>
    </row>
    <row r="163" spans="1:4" x14ac:dyDescent="0.3">
      <c r="A163" s="393">
        <v>150000727</v>
      </c>
      <c r="B163" s="421" t="s">
        <v>708</v>
      </c>
      <c r="C163" s="291" t="s">
        <v>129</v>
      </c>
      <c r="D163" s="418">
        <v>-5376.955617472021</v>
      </c>
    </row>
    <row r="164" spans="1:4" x14ac:dyDescent="0.3">
      <c r="A164" s="393">
        <v>150000728</v>
      </c>
      <c r="B164" s="421" t="s">
        <v>709</v>
      </c>
      <c r="C164" s="291" t="s">
        <v>185</v>
      </c>
      <c r="D164" s="418">
        <v>24786.728503448674</v>
      </c>
    </row>
    <row r="165" spans="1:4" x14ac:dyDescent="0.3">
      <c r="A165" s="393">
        <v>150000729</v>
      </c>
      <c r="B165" s="421" t="s">
        <v>710</v>
      </c>
      <c r="C165" s="291" t="s">
        <v>274</v>
      </c>
      <c r="D165" s="418">
        <v>-1230.479187647592</v>
      </c>
    </row>
    <row r="166" spans="1:4" x14ac:dyDescent="0.3">
      <c r="A166" s="393">
        <v>150000736</v>
      </c>
      <c r="B166" s="421" t="s">
        <v>737</v>
      </c>
      <c r="C166" s="291" t="s">
        <v>220</v>
      </c>
      <c r="D166" s="418">
        <v>-13427.802547565727</v>
      </c>
    </row>
    <row r="167" spans="1:4" x14ac:dyDescent="0.3">
      <c r="A167" s="393">
        <v>150000737</v>
      </c>
      <c r="B167" s="421" t="s">
        <v>739</v>
      </c>
      <c r="C167" s="291" t="s">
        <v>222</v>
      </c>
      <c r="D167" s="418">
        <v>-3751.3669046972791</v>
      </c>
    </row>
    <row r="168" spans="1:4" x14ac:dyDescent="0.3">
      <c r="A168" s="393">
        <v>150000738</v>
      </c>
      <c r="B168" s="421" t="s">
        <v>740</v>
      </c>
      <c r="C168" s="291" t="s">
        <v>290</v>
      </c>
      <c r="D168" s="418">
        <v>52841.141293782704</v>
      </c>
    </row>
    <row r="169" spans="1:4" x14ac:dyDescent="0.3">
      <c r="A169" s="393">
        <v>150000739</v>
      </c>
      <c r="B169" s="421" t="s">
        <v>741</v>
      </c>
      <c r="C169" s="291" t="s">
        <v>223</v>
      </c>
      <c r="D169" s="418">
        <v>-3440.1699672880768</v>
      </c>
    </row>
    <row r="170" spans="1:4" x14ac:dyDescent="0.3">
      <c r="A170" s="393">
        <v>150000740</v>
      </c>
      <c r="B170" s="421" t="s">
        <v>742</v>
      </c>
      <c r="C170" s="291" t="s">
        <v>198</v>
      </c>
      <c r="D170" s="418">
        <v>6850.1222667997281</v>
      </c>
    </row>
    <row r="171" spans="1:4" x14ac:dyDescent="0.3">
      <c r="A171" s="393">
        <v>150000741</v>
      </c>
      <c r="B171" s="421" t="s">
        <v>744</v>
      </c>
      <c r="C171" s="291" t="s">
        <v>225</v>
      </c>
      <c r="D171" s="418">
        <v>26615.773950695191</v>
      </c>
    </row>
    <row r="172" spans="1:4" x14ac:dyDescent="0.3">
      <c r="A172" s="393">
        <v>150000742</v>
      </c>
      <c r="B172" s="421" t="s">
        <v>745</v>
      </c>
      <c r="C172" s="291" t="s">
        <v>291</v>
      </c>
      <c r="D172" s="418">
        <v>14707.492458365625</v>
      </c>
    </row>
    <row r="173" spans="1:4" x14ac:dyDescent="0.3">
      <c r="A173" s="393">
        <v>150000743</v>
      </c>
      <c r="B173" s="421" t="s">
        <v>738</v>
      </c>
      <c r="C173" s="291" t="s">
        <v>221</v>
      </c>
      <c r="D173" s="418">
        <v>38236.000308223185</v>
      </c>
    </row>
    <row r="174" spans="1:4" x14ac:dyDescent="0.3">
      <c r="A174" s="393">
        <v>150000744</v>
      </c>
      <c r="B174" s="421" t="s">
        <v>743</v>
      </c>
      <c r="C174" s="291" t="s">
        <v>224</v>
      </c>
      <c r="D174" s="418">
        <v>-16101.463485385062</v>
      </c>
    </row>
    <row r="175" spans="1:4" x14ac:dyDescent="0.3">
      <c r="A175" s="393">
        <v>150000745</v>
      </c>
      <c r="B175" s="421" t="s">
        <v>746</v>
      </c>
      <c r="C175" s="291" t="s">
        <v>134</v>
      </c>
      <c r="D175" s="418">
        <v>-5613.9443416099339</v>
      </c>
    </row>
    <row r="176" spans="1:4" x14ac:dyDescent="0.3">
      <c r="A176" s="393">
        <v>150000750</v>
      </c>
      <c r="B176" s="421" t="s">
        <v>727</v>
      </c>
      <c r="C176" s="291" t="s">
        <v>130</v>
      </c>
      <c r="D176" s="418">
        <v>-6050.1262494630255</v>
      </c>
    </row>
    <row r="177" spans="1:4" x14ac:dyDescent="0.3">
      <c r="A177" s="393">
        <v>150000751</v>
      </c>
      <c r="B177" s="421" t="s">
        <v>728</v>
      </c>
      <c r="C177" s="291" t="s">
        <v>131</v>
      </c>
      <c r="D177" s="418">
        <v>-1135.7105347340712</v>
      </c>
    </row>
    <row r="178" spans="1:4" x14ac:dyDescent="0.3">
      <c r="A178" s="393">
        <v>150000752</v>
      </c>
      <c r="B178" s="421" t="s">
        <v>729</v>
      </c>
      <c r="C178" s="291" t="s">
        <v>387</v>
      </c>
      <c r="D178" s="418">
        <v>-3146.9673495651223</v>
      </c>
    </row>
    <row r="179" spans="1:4" x14ac:dyDescent="0.3">
      <c r="A179" s="393">
        <v>150000753</v>
      </c>
      <c r="B179" s="421" t="s">
        <v>459</v>
      </c>
      <c r="C179" s="291" t="s">
        <v>240</v>
      </c>
      <c r="D179" s="418">
        <v>89769.030860118131</v>
      </c>
    </row>
    <row r="180" spans="1:4" x14ac:dyDescent="0.3">
      <c r="A180" s="393">
        <v>150000754</v>
      </c>
      <c r="B180" s="421" t="s">
        <v>460</v>
      </c>
      <c r="C180" s="291" t="s">
        <v>241</v>
      </c>
      <c r="D180" s="418">
        <v>-41968.897882335135</v>
      </c>
    </row>
    <row r="181" spans="1:4" x14ac:dyDescent="0.3">
      <c r="A181" s="393">
        <v>150000758</v>
      </c>
      <c r="B181" s="421" t="s">
        <v>731</v>
      </c>
      <c r="C181" s="291" t="s">
        <v>389</v>
      </c>
      <c r="D181" s="418">
        <v>-63038.333546848524</v>
      </c>
    </row>
    <row r="182" spans="1:4" x14ac:dyDescent="0.3">
      <c r="A182" s="393">
        <v>150000759</v>
      </c>
      <c r="B182" s="421" t="s">
        <v>732</v>
      </c>
      <c r="C182" s="291" t="s">
        <v>390</v>
      </c>
      <c r="D182" s="418">
        <v>-25612.702455995481</v>
      </c>
    </row>
    <row r="183" spans="1:4" x14ac:dyDescent="0.3">
      <c r="A183" s="393">
        <v>150000760</v>
      </c>
      <c r="B183" s="421" t="s">
        <v>730</v>
      </c>
      <c r="C183" s="291" t="s">
        <v>388</v>
      </c>
      <c r="D183" s="418">
        <v>168545.40631040718</v>
      </c>
    </row>
    <row r="184" spans="1:4" x14ac:dyDescent="0.3">
      <c r="A184" s="393">
        <v>150000761</v>
      </c>
      <c r="B184" s="421" t="s">
        <v>733</v>
      </c>
      <c r="C184" s="291" t="s">
        <v>391</v>
      </c>
      <c r="D184" s="418">
        <v>240856.81200531064</v>
      </c>
    </row>
    <row r="185" spans="1:4" x14ac:dyDescent="0.3">
      <c r="A185" s="393">
        <v>150000762</v>
      </c>
      <c r="B185" s="421" t="s">
        <v>734</v>
      </c>
      <c r="C185" s="291" t="s">
        <v>392</v>
      </c>
      <c r="D185" s="418">
        <v>-8348.2301322043641</v>
      </c>
    </row>
    <row r="186" spans="1:4" x14ac:dyDescent="0.3">
      <c r="A186" s="393">
        <v>150000763</v>
      </c>
      <c r="B186" s="421" t="s">
        <v>648</v>
      </c>
      <c r="C186" s="291" t="s">
        <v>118</v>
      </c>
      <c r="D186" s="418">
        <v>-2013.6333930734572</v>
      </c>
    </row>
    <row r="187" spans="1:4" x14ac:dyDescent="0.3">
      <c r="A187" s="393">
        <v>150000764</v>
      </c>
      <c r="B187" s="421" t="s">
        <v>649</v>
      </c>
      <c r="C187" s="291" t="s">
        <v>119</v>
      </c>
      <c r="D187" s="418">
        <v>-3174.5727862298495</v>
      </c>
    </row>
    <row r="188" spans="1:4" x14ac:dyDescent="0.3">
      <c r="A188" s="393">
        <v>150000765</v>
      </c>
      <c r="B188" s="421" t="s">
        <v>652</v>
      </c>
      <c r="C188" s="291" t="s">
        <v>265</v>
      </c>
      <c r="D188" s="418">
        <v>39222.018295493501</v>
      </c>
    </row>
    <row r="189" spans="1:4" x14ac:dyDescent="0.3">
      <c r="A189" s="393">
        <v>150000768</v>
      </c>
      <c r="B189" s="421" t="s">
        <v>647</v>
      </c>
      <c r="C189" s="291" t="s">
        <v>117</v>
      </c>
      <c r="D189" s="418">
        <v>-1882.1088478101194</v>
      </c>
    </row>
    <row r="190" spans="1:4" x14ac:dyDescent="0.3">
      <c r="A190" s="393">
        <v>150000770</v>
      </c>
      <c r="B190" s="421" t="s">
        <v>650</v>
      </c>
      <c r="C190" s="291" t="s">
        <v>120</v>
      </c>
      <c r="D190" s="418">
        <v>-5069.1262983583183</v>
      </c>
    </row>
    <row r="191" spans="1:4" x14ac:dyDescent="0.3">
      <c r="A191" s="393">
        <v>150000777</v>
      </c>
      <c r="B191" s="421" t="s">
        <v>651</v>
      </c>
      <c r="C191" s="291" t="s">
        <v>169</v>
      </c>
      <c r="D191" s="418">
        <v>2790.6079559372738</v>
      </c>
    </row>
    <row r="192" spans="1:4" x14ac:dyDescent="0.3">
      <c r="A192" s="393">
        <v>150000778</v>
      </c>
      <c r="B192" s="421" t="s">
        <v>645</v>
      </c>
      <c r="C192" s="291" t="s">
        <v>215</v>
      </c>
      <c r="D192" s="418">
        <v>-35415.983059792452</v>
      </c>
    </row>
    <row r="193" spans="1:4" x14ac:dyDescent="0.3">
      <c r="A193" s="393">
        <v>150000781</v>
      </c>
      <c r="B193" s="421" t="s">
        <v>463</v>
      </c>
      <c r="C193" s="291" t="s">
        <v>34</v>
      </c>
      <c r="D193" s="418">
        <v>-6945.1615326785222</v>
      </c>
    </row>
    <row r="194" spans="1:4" x14ac:dyDescent="0.3">
      <c r="A194" s="393">
        <v>150000795</v>
      </c>
      <c r="B194" s="421" t="s">
        <v>749</v>
      </c>
      <c r="C194" s="291" t="s">
        <v>292</v>
      </c>
      <c r="D194" s="418">
        <v>40012.174117189104</v>
      </c>
    </row>
    <row r="195" spans="1:4" x14ac:dyDescent="0.3">
      <c r="A195" s="393">
        <v>150000796</v>
      </c>
      <c r="B195" s="421" t="s">
        <v>606</v>
      </c>
      <c r="C195" s="291" t="s">
        <v>99</v>
      </c>
      <c r="D195" s="418">
        <v>-1346.226270155654</v>
      </c>
    </row>
    <row r="196" spans="1:4" x14ac:dyDescent="0.3">
      <c r="A196" s="393">
        <v>150000797</v>
      </c>
      <c r="B196" s="421" t="s">
        <v>784</v>
      </c>
      <c r="C196" s="291" t="s">
        <v>232</v>
      </c>
      <c r="D196" s="418">
        <v>11797.15834985567</v>
      </c>
    </row>
    <row r="197" spans="1:4" x14ac:dyDescent="0.3">
      <c r="A197" s="393">
        <v>150000798</v>
      </c>
      <c r="B197" s="421" t="s">
        <v>761</v>
      </c>
      <c r="C197" s="291" t="s">
        <v>226</v>
      </c>
      <c r="D197" s="418">
        <v>135584.78882326497</v>
      </c>
    </row>
    <row r="198" spans="1:4" x14ac:dyDescent="0.3">
      <c r="A198" s="393">
        <v>150000799</v>
      </c>
      <c r="B198" s="421" t="s">
        <v>764</v>
      </c>
      <c r="C198" s="291" t="s">
        <v>293</v>
      </c>
      <c r="D198" s="418">
        <v>-7239.0395208444561</v>
      </c>
    </row>
    <row r="199" spans="1:4" x14ac:dyDescent="0.3">
      <c r="A199" s="393">
        <v>150000800</v>
      </c>
      <c r="B199" s="421" t="s">
        <v>766</v>
      </c>
      <c r="C199" s="291" t="s">
        <v>227</v>
      </c>
      <c r="D199" s="418">
        <v>12922.681996204466</v>
      </c>
    </row>
    <row r="200" spans="1:4" x14ac:dyDescent="0.3">
      <c r="A200" s="393">
        <v>150000801</v>
      </c>
      <c r="B200" s="421" t="s">
        <v>767</v>
      </c>
      <c r="C200" s="291" t="s">
        <v>295</v>
      </c>
      <c r="D200" s="418">
        <v>-31278.559536726407</v>
      </c>
    </row>
    <row r="201" spans="1:4" x14ac:dyDescent="0.3">
      <c r="A201" s="393">
        <v>150000802</v>
      </c>
      <c r="B201" s="421" t="s">
        <v>768</v>
      </c>
      <c r="C201" s="291" t="s">
        <v>296</v>
      </c>
      <c r="D201" s="418">
        <v>27618.538994640363</v>
      </c>
    </row>
    <row r="202" spans="1:4" x14ac:dyDescent="0.3">
      <c r="A202" s="393">
        <v>150000803</v>
      </c>
      <c r="B202" s="421" t="s">
        <v>769</v>
      </c>
      <c r="C202" s="291" t="s">
        <v>228</v>
      </c>
      <c r="D202" s="418">
        <v>71089.828255784378</v>
      </c>
    </row>
    <row r="203" spans="1:4" x14ac:dyDescent="0.3">
      <c r="A203" s="393">
        <v>150000805</v>
      </c>
      <c r="B203" s="421" t="s">
        <v>770</v>
      </c>
      <c r="C203" s="291" t="s">
        <v>297</v>
      </c>
      <c r="D203" s="418">
        <v>-29989.108665796601</v>
      </c>
    </row>
    <row r="204" spans="1:4" x14ac:dyDescent="0.3">
      <c r="A204" s="393">
        <v>150000806</v>
      </c>
      <c r="B204" s="421" t="s">
        <v>771</v>
      </c>
      <c r="C204" s="291" t="s">
        <v>229</v>
      </c>
      <c r="D204" s="418">
        <v>-14939.391499250927</v>
      </c>
    </row>
    <row r="205" spans="1:4" x14ac:dyDescent="0.3">
      <c r="A205" s="393">
        <v>150000807</v>
      </c>
      <c r="B205" s="421" t="s">
        <v>772</v>
      </c>
      <c r="C205" s="291" t="s">
        <v>188</v>
      </c>
      <c r="D205" s="418">
        <v>1866.8418065933158</v>
      </c>
    </row>
    <row r="206" spans="1:4" x14ac:dyDescent="0.3">
      <c r="A206" s="393">
        <v>150000808</v>
      </c>
      <c r="B206" s="421" t="s">
        <v>773</v>
      </c>
      <c r="C206" s="291" t="s">
        <v>298</v>
      </c>
      <c r="D206" s="418">
        <v>-4975.2096711543345</v>
      </c>
    </row>
    <row r="207" spans="1:4" x14ac:dyDescent="0.3">
      <c r="A207" s="393">
        <v>150000809</v>
      </c>
      <c r="B207" s="421" t="s">
        <v>775</v>
      </c>
      <c r="C207" s="291" t="s">
        <v>300</v>
      </c>
      <c r="D207" s="418">
        <v>31149.143245342166</v>
      </c>
    </row>
    <row r="208" spans="1:4" x14ac:dyDescent="0.3">
      <c r="A208" s="393">
        <v>150000810</v>
      </c>
      <c r="B208" s="421" t="s">
        <v>776</v>
      </c>
      <c r="C208" s="291" t="s">
        <v>301</v>
      </c>
      <c r="D208" s="418">
        <v>3329.8891254563732</v>
      </c>
    </row>
    <row r="209" spans="1:4" x14ac:dyDescent="0.3">
      <c r="A209" s="393">
        <v>150000811</v>
      </c>
      <c r="B209" s="421" t="s">
        <v>777</v>
      </c>
      <c r="C209" s="291" t="s">
        <v>302</v>
      </c>
      <c r="D209" s="418">
        <v>82696.611723652633</v>
      </c>
    </row>
    <row r="210" spans="1:4" x14ac:dyDescent="0.3">
      <c r="A210" s="393">
        <v>150000812</v>
      </c>
      <c r="B210" s="421" t="s">
        <v>778</v>
      </c>
      <c r="C210" s="291" t="s">
        <v>303</v>
      </c>
      <c r="D210" s="418">
        <v>32651.784563930796</v>
      </c>
    </row>
    <row r="211" spans="1:4" x14ac:dyDescent="0.3">
      <c r="A211" s="393">
        <v>150000813</v>
      </c>
      <c r="B211" s="421" t="s">
        <v>780</v>
      </c>
      <c r="C211" s="291" t="s">
        <v>189</v>
      </c>
      <c r="D211" s="418">
        <v>-1447.2722773284599</v>
      </c>
    </row>
    <row r="212" spans="1:4" x14ac:dyDescent="0.3">
      <c r="A212" s="393">
        <v>150000814</v>
      </c>
      <c r="B212" s="421" t="s">
        <v>781</v>
      </c>
      <c r="C212" s="291" t="s">
        <v>305</v>
      </c>
      <c r="D212" s="418">
        <v>-19589.414053425076</v>
      </c>
    </row>
    <row r="213" spans="1:4" x14ac:dyDescent="0.3">
      <c r="A213" s="393">
        <v>150000816</v>
      </c>
      <c r="B213" s="421" t="s">
        <v>782</v>
      </c>
      <c r="C213" s="291" t="s">
        <v>230</v>
      </c>
      <c r="D213" s="418">
        <v>54568.116918804633</v>
      </c>
    </row>
    <row r="214" spans="1:4" x14ac:dyDescent="0.3">
      <c r="A214" s="393">
        <v>150000819</v>
      </c>
      <c r="B214" s="421" t="s">
        <v>762</v>
      </c>
      <c r="C214" s="291" t="s">
        <v>424</v>
      </c>
      <c r="D214" s="418">
        <v>85056.210714647168</v>
      </c>
    </row>
    <row r="215" spans="1:4" x14ac:dyDescent="0.3">
      <c r="A215" s="393">
        <v>150000820</v>
      </c>
      <c r="B215" s="421" t="s">
        <v>763</v>
      </c>
      <c r="C215" s="291" t="s">
        <v>395</v>
      </c>
      <c r="D215" s="418">
        <v>83435.673630770616</v>
      </c>
    </row>
    <row r="216" spans="1:4" x14ac:dyDescent="0.3">
      <c r="A216" s="393">
        <v>150000827</v>
      </c>
      <c r="B216" s="421" t="s">
        <v>774</v>
      </c>
      <c r="C216" s="291" t="s">
        <v>299</v>
      </c>
      <c r="D216" s="418">
        <v>-46386.646048295814</v>
      </c>
    </row>
    <row r="217" spans="1:4" x14ac:dyDescent="0.3">
      <c r="A217" s="393">
        <v>150000828</v>
      </c>
      <c r="B217" s="421" t="s">
        <v>779</v>
      </c>
      <c r="C217" s="291" t="s">
        <v>304</v>
      </c>
      <c r="D217" s="418">
        <v>-18745.9761639481</v>
      </c>
    </row>
    <row r="218" spans="1:4" x14ac:dyDescent="0.3">
      <c r="A218" s="393">
        <v>150000829</v>
      </c>
      <c r="B218" s="421" t="s">
        <v>783</v>
      </c>
      <c r="C218" s="291" t="s">
        <v>231</v>
      </c>
      <c r="D218" s="418">
        <v>66467.476085377319</v>
      </c>
    </row>
    <row r="219" spans="1:4" x14ac:dyDescent="0.3">
      <c r="A219" s="393">
        <v>150000830</v>
      </c>
      <c r="B219" s="421" t="s">
        <v>765</v>
      </c>
      <c r="C219" s="291" t="s">
        <v>294</v>
      </c>
      <c r="D219" s="418">
        <v>-70653.594603351448</v>
      </c>
    </row>
    <row r="220" spans="1:4" x14ac:dyDescent="0.3">
      <c r="A220" s="393">
        <v>150000832</v>
      </c>
      <c r="B220" s="421" t="s">
        <v>750</v>
      </c>
      <c r="C220" s="291" t="s">
        <v>423</v>
      </c>
      <c r="D220" s="418">
        <v>22942.61360923051</v>
      </c>
    </row>
    <row r="221" spans="1:4" x14ac:dyDescent="0.3">
      <c r="A221" s="393">
        <v>150000833</v>
      </c>
      <c r="B221" s="421" t="s">
        <v>751</v>
      </c>
      <c r="C221" s="291" t="s">
        <v>393</v>
      </c>
      <c r="D221" s="418">
        <v>-32952.880015702365</v>
      </c>
    </row>
    <row r="222" spans="1:4" x14ac:dyDescent="0.3">
      <c r="A222" s="393">
        <v>150000834</v>
      </c>
      <c r="B222" s="421" t="s">
        <v>558</v>
      </c>
      <c r="C222" s="291" t="s">
        <v>80</v>
      </c>
      <c r="D222" s="418">
        <v>-5234.7266919566491</v>
      </c>
    </row>
    <row r="223" spans="1:4" x14ac:dyDescent="0.3">
      <c r="A223" s="393">
        <v>150000835</v>
      </c>
      <c r="B223" s="421" t="s">
        <v>758</v>
      </c>
      <c r="C223" s="291" t="s">
        <v>138</v>
      </c>
      <c r="D223" s="418">
        <v>4237.4786455679623</v>
      </c>
    </row>
    <row r="224" spans="1:4" x14ac:dyDescent="0.3">
      <c r="A224" s="393">
        <v>150000836</v>
      </c>
      <c r="B224" s="421" t="s">
        <v>752</v>
      </c>
      <c r="C224" s="291" t="s">
        <v>199</v>
      </c>
      <c r="D224" s="418">
        <v>-366.52391802759666</v>
      </c>
    </row>
    <row r="225" spans="1:4" x14ac:dyDescent="0.3">
      <c r="A225" s="393">
        <v>150000837</v>
      </c>
      <c r="B225" s="421" t="s">
        <v>753</v>
      </c>
      <c r="C225" s="291" t="s">
        <v>200</v>
      </c>
      <c r="D225" s="418">
        <v>19326.668867665874</v>
      </c>
    </row>
    <row r="226" spans="1:4" x14ac:dyDescent="0.3">
      <c r="A226" s="393">
        <v>150000839</v>
      </c>
      <c r="B226" s="421" t="s">
        <v>754</v>
      </c>
      <c r="C226" s="291" t="s">
        <v>136</v>
      </c>
      <c r="D226" s="418">
        <v>-1168.0014358181663</v>
      </c>
    </row>
    <row r="227" spans="1:4" x14ac:dyDescent="0.3">
      <c r="A227" s="393">
        <v>150000840</v>
      </c>
      <c r="B227" s="421" t="s">
        <v>755</v>
      </c>
      <c r="C227" s="291" t="s">
        <v>394</v>
      </c>
      <c r="D227" s="418">
        <v>44908.53029602782</v>
      </c>
    </row>
    <row r="228" spans="1:4" x14ac:dyDescent="0.3">
      <c r="A228" s="393">
        <v>150000841</v>
      </c>
      <c r="B228" s="421" t="s">
        <v>756</v>
      </c>
      <c r="C228" s="291" t="s">
        <v>137</v>
      </c>
      <c r="D228" s="418">
        <v>-1901.013038864297</v>
      </c>
    </row>
    <row r="229" spans="1:4" x14ac:dyDescent="0.3">
      <c r="A229" s="393">
        <v>150000845</v>
      </c>
      <c r="B229" s="421" t="s">
        <v>759</v>
      </c>
      <c r="C229" s="291" t="s">
        <v>139</v>
      </c>
      <c r="D229" s="418">
        <v>-540.38116103324205</v>
      </c>
    </row>
    <row r="230" spans="1:4" x14ac:dyDescent="0.3">
      <c r="A230" s="393">
        <v>150000846</v>
      </c>
      <c r="B230" s="421" t="s">
        <v>760</v>
      </c>
      <c r="C230" s="291" t="s">
        <v>140</v>
      </c>
      <c r="D230" s="418">
        <v>-3820.7840980331075</v>
      </c>
    </row>
    <row r="231" spans="1:4" x14ac:dyDescent="0.3">
      <c r="A231" s="393">
        <v>150000848</v>
      </c>
      <c r="B231" s="421" t="s">
        <v>757</v>
      </c>
      <c r="C231" s="291" t="s">
        <v>187</v>
      </c>
      <c r="D231" s="418">
        <v>-17980.871588969865</v>
      </c>
    </row>
    <row r="232" spans="1:4" x14ac:dyDescent="0.3">
      <c r="A232" s="393">
        <v>150000851</v>
      </c>
      <c r="B232" s="421" t="s">
        <v>748</v>
      </c>
      <c r="C232" s="291" t="s">
        <v>135</v>
      </c>
      <c r="D232" s="418">
        <v>-3684.5454122640908</v>
      </c>
    </row>
    <row r="233" spans="1:4" x14ac:dyDescent="0.3">
      <c r="A233" s="393">
        <v>150000861</v>
      </c>
      <c r="B233" s="421" t="s">
        <v>791</v>
      </c>
      <c r="C233" s="291" t="s">
        <v>233</v>
      </c>
      <c r="D233" s="418">
        <v>-17553.061402469677</v>
      </c>
    </row>
    <row r="234" spans="1:4" x14ac:dyDescent="0.3">
      <c r="A234" s="393">
        <v>150000862</v>
      </c>
      <c r="B234" s="421" t="s">
        <v>793</v>
      </c>
      <c r="C234" s="291" t="s">
        <v>235</v>
      </c>
      <c r="D234" s="418">
        <v>280958.73857345473</v>
      </c>
    </row>
    <row r="235" spans="1:4" x14ac:dyDescent="0.3">
      <c r="A235" s="393">
        <v>150000863</v>
      </c>
      <c r="B235" s="421" t="s">
        <v>794</v>
      </c>
      <c r="C235" s="291" t="s">
        <v>236</v>
      </c>
      <c r="D235" s="418">
        <v>10405.818363821083</v>
      </c>
    </row>
    <row r="236" spans="1:4" x14ac:dyDescent="0.3">
      <c r="A236" s="393">
        <v>150000864</v>
      </c>
      <c r="B236" s="421" t="s">
        <v>795</v>
      </c>
      <c r="C236" s="291" t="s">
        <v>201</v>
      </c>
      <c r="D236" s="418">
        <v>-5763.6015599863404</v>
      </c>
    </row>
    <row r="237" spans="1:4" x14ac:dyDescent="0.3">
      <c r="A237" s="393">
        <v>150000865</v>
      </c>
      <c r="B237" s="421" t="s">
        <v>796</v>
      </c>
      <c r="C237" s="291" t="s">
        <v>306</v>
      </c>
      <c r="D237" s="418">
        <v>78158.722023741138</v>
      </c>
    </row>
    <row r="238" spans="1:4" x14ac:dyDescent="0.3">
      <c r="A238" s="393">
        <v>150000866</v>
      </c>
      <c r="B238" s="421" t="s">
        <v>799</v>
      </c>
      <c r="C238" s="291" t="s">
        <v>309</v>
      </c>
      <c r="D238" s="418">
        <v>-4697.4471182156976</v>
      </c>
    </row>
    <row r="239" spans="1:4" x14ac:dyDescent="0.3">
      <c r="A239" s="393">
        <v>150000867</v>
      </c>
      <c r="B239" s="421" t="s">
        <v>800</v>
      </c>
      <c r="C239" s="291" t="s">
        <v>310</v>
      </c>
      <c r="D239" s="418">
        <v>7864.917207108876</v>
      </c>
    </row>
    <row r="240" spans="1:4" x14ac:dyDescent="0.3">
      <c r="A240" s="393">
        <v>150000868</v>
      </c>
      <c r="B240" s="421" t="s">
        <v>801</v>
      </c>
      <c r="C240" s="291" t="s">
        <v>311</v>
      </c>
      <c r="D240" s="418">
        <v>15981.882848130803</v>
      </c>
    </row>
    <row r="241" spans="1:4" x14ac:dyDescent="0.3">
      <c r="A241" s="393">
        <v>150000869</v>
      </c>
      <c r="B241" s="421" t="s">
        <v>802</v>
      </c>
      <c r="C241" s="291" t="s">
        <v>312</v>
      </c>
      <c r="D241" s="418">
        <v>66882.643127756834</v>
      </c>
    </row>
    <row r="242" spans="1:4" x14ac:dyDescent="0.3">
      <c r="A242" s="393">
        <v>150000871</v>
      </c>
      <c r="B242" s="421" t="s">
        <v>804</v>
      </c>
      <c r="C242" s="291" t="s">
        <v>141</v>
      </c>
      <c r="D242" s="418">
        <v>-2531.8790761818664</v>
      </c>
    </row>
    <row r="243" spans="1:4" x14ac:dyDescent="0.3">
      <c r="A243" s="393">
        <v>150000872</v>
      </c>
      <c r="B243" s="421" t="s">
        <v>792</v>
      </c>
      <c r="C243" s="291" t="s">
        <v>234</v>
      </c>
      <c r="D243" s="418">
        <v>-717.85689472333343</v>
      </c>
    </row>
    <row r="244" spans="1:4" x14ac:dyDescent="0.3">
      <c r="A244" s="393">
        <v>150000873</v>
      </c>
      <c r="B244" s="421" t="s">
        <v>797</v>
      </c>
      <c r="C244" s="291" t="s">
        <v>307</v>
      </c>
      <c r="D244" s="418">
        <v>54111.003668444391</v>
      </c>
    </row>
    <row r="245" spans="1:4" x14ac:dyDescent="0.3">
      <c r="A245" s="393">
        <v>150000874</v>
      </c>
      <c r="B245" s="421" t="s">
        <v>798</v>
      </c>
      <c r="C245" s="291" t="s">
        <v>308</v>
      </c>
      <c r="D245" s="418">
        <v>35164.782710220992</v>
      </c>
    </row>
    <row r="246" spans="1:4" x14ac:dyDescent="0.3">
      <c r="A246" s="393">
        <v>150000875</v>
      </c>
      <c r="B246" s="421" t="s">
        <v>803</v>
      </c>
      <c r="C246" s="291" t="s">
        <v>313</v>
      </c>
      <c r="D246" s="418">
        <v>49912.219687200894</v>
      </c>
    </row>
    <row r="247" spans="1:4" x14ac:dyDescent="0.3">
      <c r="A247" s="393">
        <v>150000878</v>
      </c>
      <c r="B247" s="421" t="s">
        <v>842</v>
      </c>
      <c r="C247" s="291" t="s">
        <v>237</v>
      </c>
      <c r="D247" s="418">
        <v>-17120.273036514373</v>
      </c>
    </row>
    <row r="248" spans="1:4" x14ac:dyDescent="0.3">
      <c r="A248" s="393">
        <v>150000879</v>
      </c>
      <c r="B248" s="421" t="s">
        <v>843</v>
      </c>
      <c r="C248" s="291" t="s">
        <v>330</v>
      </c>
      <c r="D248" s="418">
        <v>30780.813721437975</v>
      </c>
    </row>
    <row r="249" spans="1:4" x14ac:dyDescent="0.3">
      <c r="A249" s="393">
        <v>150000880</v>
      </c>
      <c r="B249" s="421" t="s">
        <v>844</v>
      </c>
      <c r="C249" s="291" t="s">
        <v>238</v>
      </c>
      <c r="D249" s="418">
        <v>35498.219433735721</v>
      </c>
    </row>
    <row r="250" spans="1:4" x14ac:dyDescent="0.3">
      <c r="A250" s="393">
        <v>150000881</v>
      </c>
      <c r="B250" s="421" t="s">
        <v>845</v>
      </c>
      <c r="C250" s="291" t="s">
        <v>412</v>
      </c>
      <c r="D250" s="418">
        <v>123712.01452998961</v>
      </c>
    </row>
    <row r="251" spans="1:4" x14ac:dyDescent="0.3">
      <c r="A251" s="393">
        <v>150000882</v>
      </c>
      <c r="B251" s="421" t="s">
        <v>846</v>
      </c>
      <c r="C251" s="291" t="s">
        <v>331</v>
      </c>
      <c r="D251" s="418">
        <v>3019.3918686539819</v>
      </c>
    </row>
    <row r="252" spans="1:4" x14ac:dyDescent="0.3">
      <c r="A252" s="393">
        <v>150000883</v>
      </c>
      <c r="B252" s="421" t="s">
        <v>847</v>
      </c>
      <c r="C252" s="291" t="s">
        <v>332</v>
      </c>
      <c r="D252" s="418">
        <v>-5356.9747792179814</v>
      </c>
    </row>
    <row r="253" spans="1:4" x14ac:dyDescent="0.3">
      <c r="A253" s="393">
        <v>150000884</v>
      </c>
      <c r="B253" s="421" t="s">
        <v>848</v>
      </c>
      <c r="C253" s="291" t="s">
        <v>333</v>
      </c>
      <c r="D253" s="418">
        <v>-13169.914086230636</v>
      </c>
    </row>
    <row r="254" spans="1:4" x14ac:dyDescent="0.3">
      <c r="A254" s="393">
        <v>150000885</v>
      </c>
      <c r="B254" s="421" t="s">
        <v>849</v>
      </c>
      <c r="C254" s="291" t="s">
        <v>239</v>
      </c>
      <c r="D254" s="418">
        <v>-2740.9860662516076</v>
      </c>
    </row>
    <row r="255" spans="1:4" x14ac:dyDescent="0.3">
      <c r="A255" s="393">
        <v>150000886</v>
      </c>
      <c r="B255" s="421" t="s">
        <v>805</v>
      </c>
      <c r="C255" s="291" t="s">
        <v>397</v>
      </c>
      <c r="D255" s="418">
        <v>117975.85539581731</v>
      </c>
    </row>
    <row r="256" spans="1:4" x14ac:dyDescent="0.3">
      <c r="A256" s="393">
        <v>150000887</v>
      </c>
      <c r="B256" s="421" t="s">
        <v>806</v>
      </c>
      <c r="C256" s="291" t="s">
        <v>398</v>
      </c>
      <c r="D256" s="418">
        <v>181910.55035985139</v>
      </c>
    </row>
    <row r="257" spans="1:4" x14ac:dyDescent="0.3">
      <c r="A257" s="393">
        <v>150000888</v>
      </c>
      <c r="B257" s="421" t="s">
        <v>807</v>
      </c>
      <c r="C257" s="291" t="s">
        <v>314</v>
      </c>
      <c r="D257" s="418">
        <v>116151.35955946791</v>
      </c>
    </row>
    <row r="258" spans="1:4" x14ac:dyDescent="0.3">
      <c r="A258" s="393">
        <v>150000889</v>
      </c>
      <c r="B258" s="421" t="s">
        <v>808</v>
      </c>
      <c r="C258" s="291" t="s">
        <v>428</v>
      </c>
      <c r="D258" s="418">
        <v>98375.139791385343</v>
      </c>
    </row>
    <row r="259" spans="1:4" x14ac:dyDescent="0.3">
      <c r="A259" s="393">
        <v>150000890</v>
      </c>
      <c r="B259" s="421" t="s">
        <v>809</v>
      </c>
      <c r="C259" s="291" t="s">
        <v>399</v>
      </c>
      <c r="D259" s="418">
        <v>3211.801866671678</v>
      </c>
    </row>
    <row r="260" spans="1:4" x14ac:dyDescent="0.3">
      <c r="A260" s="393">
        <v>150000891</v>
      </c>
      <c r="B260" s="421" t="s">
        <v>810</v>
      </c>
      <c r="C260" s="291" t="s">
        <v>190</v>
      </c>
      <c r="D260" s="418">
        <v>-7088.7568108412834</v>
      </c>
    </row>
    <row r="261" spans="1:4" x14ac:dyDescent="0.3">
      <c r="A261" s="393">
        <v>150000892</v>
      </c>
      <c r="B261" s="421" t="s">
        <v>812</v>
      </c>
      <c r="C261" s="291" t="s">
        <v>401</v>
      </c>
      <c r="D261" s="418">
        <v>117679.25194875145</v>
      </c>
    </row>
    <row r="262" spans="1:4" x14ac:dyDescent="0.3">
      <c r="A262" s="393">
        <v>150000893</v>
      </c>
      <c r="B262" s="421" t="s">
        <v>813</v>
      </c>
      <c r="C262" s="291" t="s">
        <v>315</v>
      </c>
      <c r="D262" s="418">
        <v>-74975.907398062656</v>
      </c>
    </row>
    <row r="263" spans="1:4" x14ac:dyDescent="0.3">
      <c r="A263" s="393">
        <v>150000894</v>
      </c>
      <c r="B263" s="421" t="s">
        <v>814</v>
      </c>
      <c r="C263" s="291" t="s">
        <v>316</v>
      </c>
      <c r="D263" s="418">
        <v>-110851.83852368144</v>
      </c>
    </row>
    <row r="264" spans="1:4" x14ac:dyDescent="0.3">
      <c r="A264" s="393">
        <v>150000895</v>
      </c>
      <c r="B264" s="421" t="s">
        <v>815</v>
      </c>
      <c r="C264" s="291" t="s">
        <v>317</v>
      </c>
      <c r="D264" s="418">
        <v>-51313.634301084814</v>
      </c>
    </row>
    <row r="265" spans="1:4" x14ac:dyDescent="0.3">
      <c r="A265" s="393">
        <v>150000896</v>
      </c>
      <c r="B265" s="421" t="s">
        <v>817</v>
      </c>
      <c r="C265" s="291" t="s">
        <v>318</v>
      </c>
      <c r="D265" s="418">
        <v>-76890.464205070923</v>
      </c>
    </row>
    <row r="266" spans="1:4" x14ac:dyDescent="0.3">
      <c r="A266" s="393">
        <v>150000898</v>
      </c>
      <c r="B266" s="421" t="s">
        <v>818</v>
      </c>
      <c r="C266" s="291" t="s">
        <v>191</v>
      </c>
      <c r="D266" s="418">
        <v>-15391.793295873751</v>
      </c>
    </row>
    <row r="267" spans="1:4" x14ac:dyDescent="0.3">
      <c r="A267" s="393">
        <v>150000899</v>
      </c>
      <c r="B267" s="421" t="s">
        <v>819</v>
      </c>
      <c r="C267" s="291" t="s">
        <v>403</v>
      </c>
      <c r="D267" s="418">
        <v>63954.151173899438</v>
      </c>
    </row>
    <row r="268" spans="1:4" x14ac:dyDescent="0.3">
      <c r="A268" s="393">
        <v>150000900</v>
      </c>
      <c r="B268" s="421" t="s">
        <v>820</v>
      </c>
      <c r="C268" s="291" t="s">
        <v>426</v>
      </c>
      <c r="D268" s="418">
        <v>71086.533956946834</v>
      </c>
    </row>
    <row r="269" spans="1:4" x14ac:dyDescent="0.3">
      <c r="A269" s="393">
        <v>150000901</v>
      </c>
      <c r="B269" s="421" t="s">
        <v>821</v>
      </c>
      <c r="C269" s="291" t="s">
        <v>425</v>
      </c>
      <c r="D269" s="418">
        <v>69105.04676830786</v>
      </c>
    </row>
    <row r="270" spans="1:4" x14ac:dyDescent="0.3">
      <c r="A270" s="393">
        <v>150000902</v>
      </c>
      <c r="B270" s="421" t="s">
        <v>822</v>
      </c>
      <c r="C270" s="291" t="s">
        <v>404</v>
      </c>
      <c r="D270" s="418">
        <v>200073.75226736773</v>
      </c>
    </row>
    <row r="271" spans="1:4" x14ac:dyDescent="0.3">
      <c r="A271" s="393">
        <v>150000903</v>
      </c>
      <c r="B271" s="421" t="s">
        <v>823</v>
      </c>
      <c r="C271" s="291" t="s">
        <v>405</v>
      </c>
      <c r="D271" s="418">
        <v>33681.031998342201</v>
      </c>
    </row>
    <row r="272" spans="1:4" x14ac:dyDescent="0.3">
      <c r="A272" s="393">
        <v>150000904</v>
      </c>
      <c r="B272" s="421" t="s">
        <v>824</v>
      </c>
      <c r="C272" s="291" t="s">
        <v>406</v>
      </c>
      <c r="D272" s="418">
        <v>91139.624672042381</v>
      </c>
    </row>
    <row r="273" spans="1:4" x14ac:dyDescent="0.3">
      <c r="A273" s="393">
        <v>150000905</v>
      </c>
      <c r="B273" s="421" t="s">
        <v>825</v>
      </c>
      <c r="C273" s="291" t="s">
        <v>427</v>
      </c>
      <c r="D273" s="418">
        <v>72224.540053846722</v>
      </c>
    </row>
    <row r="274" spans="1:4" x14ac:dyDescent="0.3">
      <c r="A274" s="393">
        <v>150000906</v>
      </c>
      <c r="B274" s="421" t="s">
        <v>826</v>
      </c>
      <c r="C274" s="291" t="s">
        <v>407</v>
      </c>
      <c r="D274" s="418">
        <v>73992.135470797977</v>
      </c>
    </row>
    <row r="275" spans="1:4" x14ac:dyDescent="0.3">
      <c r="A275" s="393">
        <v>150000907</v>
      </c>
      <c r="B275" s="421" t="s">
        <v>827</v>
      </c>
      <c r="C275" s="291" t="s">
        <v>408</v>
      </c>
      <c r="D275" s="418">
        <v>97792.34859583911</v>
      </c>
    </row>
    <row r="276" spans="1:4" x14ac:dyDescent="0.3">
      <c r="A276" s="393">
        <v>150000908</v>
      </c>
      <c r="B276" s="421" t="s">
        <v>828</v>
      </c>
      <c r="C276" s="291" t="s">
        <v>409</v>
      </c>
      <c r="D276" s="418">
        <v>78367.711052253653</v>
      </c>
    </row>
    <row r="277" spans="1:4" x14ac:dyDescent="0.3">
      <c r="A277" s="393">
        <v>150000909</v>
      </c>
      <c r="B277" s="421" t="s">
        <v>829</v>
      </c>
      <c r="C277" s="291" t="s">
        <v>410</v>
      </c>
      <c r="D277" s="418">
        <v>28859.433807562353</v>
      </c>
    </row>
    <row r="278" spans="1:4" x14ac:dyDescent="0.3">
      <c r="A278" s="393">
        <v>150000910</v>
      </c>
      <c r="B278" s="421" t="s">
        <v>830</v>
      </c>
      <c r="C278" s="291" t="s">
        <v>411</v>
      </c>
      <c r="D278" s="418">
        <v>14144.398401101116</v>
      </c>
    </row>
    <row r="279" spans="1:4" x14ac:dyDescent="0.3">
      <c r="A279" s="393">
        <v>150000911</v>
      </c>
      <c r="B279" s="421" t="s">
        <v>831</v>
      </c>
      <c r="C279" s="291" t="s">
        <v>319</v>
      </c>
      <c r="D279" s="418">
        <v>-18286.723491804951</v>
      </c>
    </row>
    <row r="280" spans="1:4" x14ac:dyDescent="0.3">
      <c r="A280" s="393">
        <v>150000912</v>
      </c>
      <c r="B280" s="421" t="s">
        <v>832</v>
      </c>
      <c r="C280" s="291" t="s">
        <v>320</v>
      </c>
      <c r="D280" s="418">
        <v>18877.928722338071</v>
      </c>
    </row>
    <row r="281" spans="1:4" x14ac:dyDescent="0.3">
      <c r="A281" s="393">
        <v>150000913</v>
      </c>
      <c r="B281" s="421" t="s">
        <v>833</v>
      </c>
      <c r="C281" s="291" t="s">
        <v>321</v>
      </c>
      <c r="D281" s="418">
        <v>26519.014402607474</v>
      </c>
    </row>
    <row r="282" spans="1:4" x14ac:dyDescent="0.3">
      <c r="A282" s="393">
        <v>150000914</v>
      </c>
      <c r="B282" s="421" t="s">
        <v>834</v>
      </c>
      <c r="C282" s="291" t="s">
        <v>322</v>
      </c>
      <c r="D282" s="418">
        <v>-14520.01050015032</v>
      </c>
    </row>
    <row r="283" spans="1:4" x14ac:dyDescent="0.3">
      <c r="A283" s="393">
        <v>150000915</v>
      </c>
      <c r="B283" s="421" t="s">
        <v>835</v>
      </c>
      <c r="C283" s="291" t="s">
        <v>323</v>
      </c>
      <c r="D283" s="418">
        <v>45875.167066612725</v>
      </c>
    </row>
    <row r="284" spans="1:4" x14ac:dyDescent="0.3">
      <c r="A284" s="393">
        <v>150000916</v>
      </c>
      <c r="B284" s="421" t="s">
        <v>836</v>
      </c>
      <c r="C284" s="291" t="s">
        <v>324</v>
      </c>
      <c r="D284" s="418">
        <v>-2701.8264079962901</v>
      </c>
    </row>
    <row r="285" spans="1:4" x14ac:dyDescent="0.3">
      <c r="A285" s="393">
        <v>150000917</v>
      </c>
      <c r="B285" s="421" t="s">
        <v>837</v>
      </c>
      <c r="C285" s="291" t="s">
        <v>325</v>
      </c>
      <c r="D285" s="418">
        <v>-27717.606036241588</v>
      </c>
    </row>
    <row r="286" spans="1:4" x14ac:dyDescent="0.3">
      <c r="A286" s="393">
        <v>150000918</v>
      </c>
      <c r="B286" s="421" t="s">
        <v>838</v>
      </c>
      <c r="C286" s="291" t="s">
        <v>326</v>
      </c>
      <c r="D286" s="418">
        <v>-110576.39425946859</v>
      </c>
    </row>
    <row r="287" spans="1:4" x14ac:dyDescent="0.3">
      <c r="A287" s="393">
        <v>150000919</v>
      </c>
      <c r="B287" s="421" t="s">
        <v>839</v>
      </c>
      <c r="C287" s="291" t="s">
        <v>327</v>
      </c>
      <c r="D287" s="418">
        <v>-67926.417935143108</v>
      </c>
    </row>
    <row r="288" spans="1:4" x14ac:dyDescent="0.3">
      <c r="A288" s="393">
        <v>150000920</v>
      </c>
      <c r="B288" s="421" t="s">
        <v>840</v>
      </c>
      <c r="C288" s="291" t="s">
        <v>328</v>
      </c>
      <c r="D288" s="418">
        <v>-6096.2931041121519</v>
      </c>
    </row>
    <row r="289" spans="1:4" x14ac:dyDescent="0.3">
      <c r="A289" s="393">
        <v>150000921</v>
      </c>
      <c r="B289" s="421" t="s">
        <v>841</v>
      </c>
      <c r="C289" s="291" t="s">
        <v>329</v>
      </c>
      <c r="D289" s="418">
        <v>49477.896181768578</v>
      </c>
    </row>
    <row r="290" spans="1:4" x14ac:dyDescent="0.3">
      <c r="A290" s="393">
        <v>150000922</v>
      </c>
      <c r="B290" s="421" t="s">
        <v>816</v>
      </c>
      <c r="C290" s="291" t="s">
        <v>402</v>
      </c>
      <c r="D290" s="418">
        <v>6727.5767095224619</v>
      </c>
    </row>
    <row r="291" spans="1:4" x14ac:dyDescent="0.3">
      <c r="A291" s="393">
        <v>150000924</v>
      </c>
      <c r="B291" s="421" t="s">
        <v>666</v>
      </c>
      <c r="C291" s="291" t="s">
        <v>175</v>
      </c>
      <c r="D291" s="418">
        <v>-9657.6959977563674</v>
      </c>
    </row>
    <row r="292" spans="1:4" x14ac:dyDescent="0.3">
      <c r="A292" s="393">
        <v>150000925</v>
      </c>
      <c r="B292" s="421" t="s">
        <v>673</v>
      </c>
      <c r="C292" s="291" t="s">
        <v>177</v>
      </c>
      <c r="D292" s="418">
        <v>-6674.9691151066145</v>
      </c>
    </row>
    <row r="293" spans="1:4" x14ac:dyDescent="0.3">
      <c r="A293" s="393">
        <v>150000926</v>
      </c>
      <c r="B293" s="421" t="s">
        <v>675</v>
      </c>
      <c r="C293" s="291" t="s">
        <v>178</v>
      </c>
      <c r="D293" s="418">
        <v>17414.643921796705</v>
      </c>
    </row>
    <row r="294" spans="1:4" x14ac:dyDescent="0.3">
      <c r="A294" s="393">
        <v>150000927</v>
      </c>
      <c r="B294" s="421" t="s">
        <v>681</v>
      </c>
      <c r="C294" s="291" t="s">
        <v>179</v>
      </c>
      <c r="D294" s="418">
        <v>-14860.981664469613</v>
      </c>
    </row>
    <row r="295" spans="1:4" x14ac:dyDescent="0.3">
      <c r="A295" s="393">
        <v>150000928</v>
      </c>
      <c r="B295" s="421" t="s">
        <v>660</v>
      </c>
      <c r="C295" s="291" t="s">
        <v>170</v>
      </c>
      <c r="D295" s="418">
        <v>21315.615426105527</v>
      </c>
    </row>
    <row r="296" spans="1:4" x14ac:dyDescent="0.3">
      <c r="A296" s="393">
        <v>150000929</v>
      </c>
      <c r="B296" s="421" t="s">
        <v>1041</v>
      </c>
      <c r="C296" s="291" t="s">
        <v>1034</v>
      </c>
      <c r="D296" s="418">
        <v>15026.759538433907</v>
      </c>
    </row>
    <row r="297" spans="1:4" x14ac:dyDescent="0.3">
      <c r="A297" s="393">
        <v>150000930</v>
      </c>
      <c r="B297" s="421" t="s">
        <v>663</v>
      </c>
      <c r="C297" s="291" t="s">
        <v>173</v>
      </c>
      <c r="D297" s="418">
        <v>16037.931155232905</v>
      </c>
    </row>
    <row r="298" spans="1:4" x14ac:dyDescent="0.3">
      <c r="A298" s="393">
        <v>150000931</v>
      </c>
      <c r="B298" s="421" t="s">
        <v>664</v>
      </c>
      <c r="C298" s="291" t="s">
        <v>267</v>
      </c>
      <c r="D298" s="418">
        <v>29055.763631216327</v>
      </c>
    </row>
    <row r="299" spans="1:4" x14ac:dyDescent="0.3">
      <c r="A299" s="393">
        <v>150000932</v>
      </c>
      <c r="B299" s="421" t="s">
        <v>665</v>
      </c>
      <c r="C299" s="291" t="s">
        <v>174</v>
      </c>
      <c r="D299" s="418">
        <v>2608.2903658079863</v>
      </c>
    </row>
    <row r="300" spans="1:4" x14ac:dyDescent="0.3">
      <c r="A300" s="393">
        <v>150000933</v>
      </c>
      <c r="B300" s="421" t="s">
        <v>667</v>
      </c>
      <c r="C300" s="291" t="s">
        <v>268</v>
      </c>
      <c r="D300" s="418">
        <v>70258.619968696381</v>
      </c>
    </row>
    <row r="301" spans="1:4" x14ac:dyDescent="0.3">
      <c r="A301" s="393">
        <v>150000934</v>
      </c>
      <c r="B301" s="421" t="s">
        <v>668</v>
      </c>
      <c r="C301" s="291" t="s">
        <v>216</v>
      </c>
      <c r="D301" s="418">
        <v>4486.0799256980836</v>
      </c>
    </row>
    <row r="302" spans="1:4" x14ac:dyDescent="0.3">
      <c r="A302" s="393">
        <v>150000935</v>
      </c>
      <c r="B302" s="421" t="s">
        <v>669</v>
      </c>
      <c r="C302" s="291" t="s">
        <v>176</v>
      </c>
      <c r="D302" s="418">
        <v>6551.1345509793855</v>
      </c>
    </row>
    <row r="303" spans="1:4" x14ac:dyDescent="0.3">
      <c r="A303" s="393">
        <v>150000936</v>
      </c>
      <c r="B303" s="421" t="s">
        <v>670</v>
      </c>
      <c r="C303" s="291" t="s">
        <v>122</v>
      </c>
      <c r="D303" s="418">
        <v>6330.0323351672341</v>
      </c>
    </row>
    <row r="304" spans="1:4" x14ac:dyDescent="0.3">
      <c r="A304" s="393">
        <v>150000937</v>
      </c>
      <c r="B304" s="421" t="s">
        <v>671</v>
      </c>
      <c r="C304" s="291" t="s">
        <v>375</v>
      </c>
      <c r="D304" s="418">
        <v>41025.99134634751</v>
      </c>
    </row>
    <row r="305" spans="1:4" x14ac:dyDescent="0.3">
      <c r="A305" s="393">
        <v>150000938</v>
      </c>
      <c r="B305" s="421" t="s">
        <v>672</v>
      </c>
      <c r="C305" s="291" t="s">
        <v>376</v>
      </c>
      <c r="D305" s="418">
        <v>78935.220573127852</v>
      </c>
    </row>
    <row r="306" spans="1:4" x14ac:dyDescent="0.3">
      <c r="A306" s="393">
        <v>150000939</v>
      </c>
      <c r="B306" s="421" t="s">
        <v>674</v>
      </c>
      <c r="C306" s="291" t="s">
        <v>337</v>
      </c>
      <c r="D306" s="418">
        <v>26729.817666302162</v>
      </c>
    </row>
    <row r="307" spans="1:4" x14ac:dyDescent="0.3">
      <c r="A307" s="393">
        <v>150000940</v>
      </c>
      <c r="B307" s="421" t="s">
        <v>676</v>
      </c>
      <c r="C307" s="291" t="s">
        <v>377</v>
      </c>
      <c r="D307" s="418">
        <v>74508.906170577902</v>
      </c>
    </row>
    <row r="308" spans="1:4" x14ac:dyDescent="0.3">
      <c r="A308" s="393">
        <v>150000941</v>
      </c>
      <c r="B308" s="421" t="s">
        <v>677</v>
      </c>
      <c r="C308" s="291" t="s">
        <v>338</v>
      </c>
      <c r="D308" s="418">
        <v>61271.882955053137</v>
      </c>
    </row>
    <row r="309" spans="1:4" x14ac:dyDescent="0.3">
      <c r="A309" s="393">
        <v>150000943</v>
      </c>
      <c r="B309" s="421" t="s">
        <v>685</v>
      </c>
      <c r="C309" s="291" t="s">
        <v>123</v>
      </c>
      <c r="D309" s="418">
        <v>4541.823335836586</v>
      </c>
    </row>
    <row r="310" spans="1:4" x14ac:dyDescent="0.3">
      <c r="A310" s="393">
        <v>150000944</v>
      </c>
      <c r="B310" s="421" t="s">
        <v>686</v>
      </c>
      <c r="C310" s="291" t="s">
        <v>124</v>
      </c>
      <c r="D310" s="418">
        <v>11496.569434053668</v>
      </c>
    </row>
    <row r="311" spans="1:4" x14ac:dyDescent="0.3">
      <c r="A311" s="393">
        <v>150000945</v>
      </c>
      <c r="B311" s="421" t="s">
        <v>687</v>
      </c>
      <c r="C311" s="291" t="s">
        <v>422</v>
      </c>
      <c r="D311" s="418">
        <v>24814.521108611691</v>
      </c>
    </row>
    <row r="312" spans="1:4" x14ac:dyDescent="0.3">
      <c r="A312" s="393">
        <v>150000946</v>
      </c>
      <c r="B312" s="421" t="s">
        <v>688</v>
      </c>
      <c r="C312" s="291" t="s">
        <v>125</v>
      </c>
      <c r="D312" s="418">
        <v>79.899122738129336</v>
      </c>
    </row>
    <row r="313" spans="1:4" x14ac:dyDescent="0.3">
      <c r="A313" s="393">
        <v>150000947</v>
      </c>
      <c r="B313" s="421" t="s">
        <v>689</v>
      </c>
      <c r="C313" s="291" t="s">
        <v>269</v>
      </c>
      <c r="D313" s="418">
        <v>39604.780822871893</v>
      </c>
    </row>
    <row r="314" spans="1:4" x14ac:dyDescent="0.3">
      <c r="A314" s="393">
        <v>150000948</v>
      </c>
      <c r="B314" s="421" t="s">
        <v>690</v>
      </c>
      <c r="C314" s="291" t="s">
        <v>384</v>
      </c>
      <c r="D314" s="418">
        <v>-51471.453987688161</v>
      </c>
    </row>
    <row r="315" spans="1:4" x14ac:dyDescent="0.3">
      <c r="A315" s="393">
        <v>150000949</v>
      </c>
      <c r="B315" s="421" t="s">
        <v>691</v>
      </c>
      <c r="C315" s="291" t="s">
        <v>385</v>
      </c>
      <c r="D315" s="418">
        <v>-78323.546863334224</v>
      </c>
    </row>
    <row r="316" spans="1:4" x14ac:dyDescent="0.3">
      <c r="A316" s="393">
        <v>150000951</v>
      </c>
      <c r="B316" s="421" t="s">
        <v>661</v>
      </c>
      <c r="C316" s="291" t="s">
        <v>171</v>
      </c>
      <c r="D316" s="418">
        <v>-6296.6056781441293</v>
      </c>
    </row>
    <row r="317" spans="1:4" x14ac:dyDescent="0.3">
      <c r="A317" s="393">
        <v>150000954</v>
      </c>
      <c r="B317" s="421" t="s">
        <v>662</v>
      </c>
      <c r="C317" s="291" t="s">
        <v>172</v>
      </c>
      <c r="D317" s="418">
        <v>11350.781873870686</v>
      </c>
    </row>
    <row r="318" spans="1:4" x14ac:dyDescent="0.3">
      <c r="A318" s="393">
        <v>150000957</v>
      </c>
      <c r="B318" s="421" t="s">
        <v>678</v>
      </c>
      <c r="C318" s="291" t="s">
        <v>378</v>
      </c>
      <c r="D318" s="418">
        <v>8835.0391675039573</v>
      </c>
    </row>
    <row r="319" spans="1:4" x14ac:dyDescent="0.3">
      <c r="A319" s="393">
        <v>150000958</v>
      </c>
      <c r="B319" s="421" t="s">
        <v>682</v>
      </c>
      <c r="C319" s="291" t="s">
        <v>381</v>
      </c>
      <c r="D319" s="418">
        <v>-16062.873103376276</v>
      </c>
    </row>
    <row r="320" spans="1:4" x14ac:dyDescent="0.3">
      <c r="A320" s="393">
        <v>150000960</v>
      </c>
      <c r="B320" s="421" t="s">
        <v>679</v>
      </c>
      <c r="C320" s="291" t="s">
        <v>379</v>
      </c>
      <c r="D320" s="418">
        <v>98688.908776632699</v>
      </c>
    </row>
    <row r="321" spans="1:4" x14ac:dyDescent="0.3">
      <c r="A321" s="393">
        <v>150000961</v>
      </c>
      <c r="B321" s="421" t="s">
        <v>683</v>
      </c>
      <c r="C321" s="291" t="s">
        <v>382</v>
      </c>
      <c r="D321" s="418">
        <v>-74281.988947224658</v>
      </c>
    </row>
    <row r="322" spans="1:4" x14ac:dyDescent="0.3">
      <c r="A322" s="393">
        <v>150000963</v>
      </c>
      <c r="B322" s="421" t="s">
        <v>680</v>
      </c>
      <c r="C322" s="291" t="s">
        <v>380</v>
      </c>
      <c r="D322" s="418">
        <v>-29241.040569594166</v>
      </c>
    </row>
    <row r="323" spans="1:4" x14ac:dyDescent="0.3">
      <c r="A323" s="393">
        <v>150000964</v>
      </c>
      <c r="B323" s="421" t="s">
        <v>684</v>
      </c>
      <c r="C323" s="291" t="s">
        <v>383</v>
      </c>
      <c r="D323" s="418">
        <v>43298.360084240718</v>
      </c>
    </row>
    <row r="324" spans="1:4" x14ac:dyDescent="0.3">
      <c r="A324" s="393">
        <v>150000966</v>
      </c>
      <c r="B324" s="421" t="s">
        <v>493</v>
      </c>
      <c r="C324" s="291" t="s">
        <v>205</v>
      </c>
      <c r="D324" s="418">
        <v>15071.403375342321</v>
      </c>
    </row>
    <row r="325" spans="1:4" x14ac:dyDescent="0.3">
      <c r="A325" s="393">
        <v>150000967</v>
      </c>
      <c r="B325" s="421" t="s">
        <v>494</v>
      </c>
      <c r="C325" s="291" t="s">
        <v>206</v>
      </c>
      <c r="D325" s="418">
        <v>50031.850301439204</v>
      </c>
    </row>
    <row r="326" spans="1:4" x14ac:dyDescent="0.3">
      <c r="A326" s="393">
        <v>150000968</v>
      </c>
      <c r="B326" s="421" t="s">
        <v>495</v>
      </c>
      <c r="C326" s="291" t="s">
        <v>245</v>
      </c>
      <c r="D326" s="418">
        <v>43133.483295633006</v>
      </c>
    </row>
    <row r="327" spans="1:4" x14ac:dyDescent="0.3">
      <c r="A327" s="393">
        <v>150000969</v>
      </c>
      <c r="B327" s="421" t="s">
        <v>471</v>
      </c>
      <c r="C327" s="291" t="s">
        <v>193</v>
      </c>
      <c r="D327" s="418">
        <v>20792.45262511219</v>
      </c>
    </row>
    <row r="328" spans="1:4" x14ac:dyDescent="0.3">
      <c r="A328" s="393">
        <v>150000970</v>
      </c>
      <c r="B328" s="421" t="s">
        <v>473</v>
      </c>
      <c r="C328" s="291" t="s">
        <v>243</v>
      </c>
      <c r="D328" s="418">
        <v>53994.568783750765</v>
      </c>
    </row>
    <row r="329" spans="1:4" x14ac:dyDescent="0.3">
      <c r="A329" s="393">
        <v>150000971</v>
      </c>
      <c r="B329" s="421" t="s">
        <v>474</v>
      </c>
      <c r="C329" s="291" t="s">
        <v>194</v>
      </c>
      <c r="D329" s="418">
        <v>-5408.8866834337095</v>
      </c>
    </row>
    <row r="330" spans="1:4" x14ac:dyDescent="0.3">
      <c r="A330" s="393">
        <v>150000972</v>
      </c>
      <c r="B330" s="421" t="s">
        <v>486</v>
      </c>
      <c r="C330" s="291" t="s">
        <v>202</v>
      </c>
      <c r="D330" s="418">
        <v>44642.333021013546</v>
      </c>
    </row>
    <row r="331" spans="1:4" x14ac:dyDescent="0.3">
      <c r="A331" s="393">
        <v>150000973</v>
      </c>
      <c r="B331" s="421" t="s">
        <v>487</v>
      </c>
      <c r="C331" s="291" t="s">
        <v>50</v>
      </c>
      <c r="D331" s="418">
        <v>-5074.54309452695</v>
      </c>
    </row>
    <row r="332" spans="1:4" x14ac:dyDescent="0.3">
      <c r="A332" s="393">
        <v>150000974</v>
      </c>
      <c r="B332" s="421" t="s">
        <v>488</v>
      </c>
      <c r="C332" s="291" t="s">
        <v>203</v>
      </c>
      <c r="D332" s="418">
        <v>51667.275448772481</v>
      </c>
    </row>
    <row r="333" spans="1:4" x14ac:dyDescent="0.3">
      <c r="A333" s="393">
        <v>150000975</v>
      </c>
      <c r="B333" s="421" t="s">
        <v>489</v>
      </c>
      <c r="C333" s="291" t="s">
        <v>204</v>
      </c>
      <c r="D333" s="418">
        <v>42887.109584298239</v>
      </c>
    </row>
    <row r="334" spans="1:4" x14ac:dyDescent="0.3">
      <c r="A334" s="393">
        <v>150000976</v>
      </c>
      <c r="B334" s="421" t="s">
        <v>490</v>
      </c>
      <c r="C334" s="291" t="s">
        <v>150</v>
      </c>
      <c r="D334" s="418">
        <v>29023.173861710136</v>
      </c>
    </row>
    <row r="335" spans="1:4" x14ac:dyDescent="0.3">
      <c r="A335" s="393">
        <v>150000977</v>
      </c>
      <c r="B335" s="421" t="s">
        <v>491</v>
      </c>
      <c r="C335" s="291" t="s">
        <v>151</v>
      </c>
      <c r="D335" s="418">
        <v>21486.657778521731</v>
      </c>
    </row>
    <row r="336" spans="1:4" x14ac:dyDescent="0.3">
      <c r="A336" s="393">
        <v>150000978</v>
      </c>
      <c r="B336" s="421" t="s">
        <v>492</v>
      </c>
      <c r="C336" s="291" t="s">
        <v>244</v>
      </c>
      <c r="D336" s="418">
        <v>9961.1433345280202</v>
      </c>
    </row>
    <row r="337" spans="1:4" x14ac:dyDescent="0.3">
      <c r="A337" s="393">
        <v>150000981</v>
      </c>
      <c r="B337" s="421" t="s">
        <v>496</v>
      </c>
      <c r="C337" s="291" t="s">
        <v>343</v>
      </c>
      <c r="D337" s="418">
        <v>18776.512558841569</v>
      </c>
    </row>
    <row r="338" spans="1:4" x14ac:dyDescent="0.3">
      <c r="A338" s="393">
        <v>150000982</v>
      </c>
      <c r="B338" s="421" t="s">
        <v>497</v>
      </c>
      <c r="C338" s="291" t="s">
        <v>344</v>
      </c>
      <c r="D338" s="418">
        <v>89168.452243524633</v>
      </c>
    </row>
    <row r="339" spans="1:4" x14ac:dyDescent="0.3">
      <c r="A339" s="393">
        <v>150000983</v>
      </c>
      <c r="B339" s="421" t="s">
        <v>498</v>
      </c>
      <c r="C339" s="291" t="s">
        <v>345</v>
      </c>
      <c r="D339" s="418">
        <v>52545.750166620492</v>
      </c>
    </row>
    <row r="340" spans="1:4" x14ac:dyDescent="0.3">
      <c r="A340" s="393">
        <v>150000984</v>
      </c>
      <c r="B340" s="421" t="s">
        <v>499</v>
      </c>
      <c r="C340" s="291" t="s">
        <v>346</v>
      </c>
      <c r="D340" s="418">
        <v>20493.522798069229</v>
      </c>
    </row>
    <row r="341" spans="1:4" x14ac:dyDescent="0.3">
      <c r="A341" s="393">
        <v>150000986</v>
      </c>
      <c r="B341" s="421" t="s">
        <v>500</v>
      </c>
      <c r="C341" s="291" t="s">
        <v>347</v>
      </c>
      <c r="D341" s="418">
        <v>212136.91085469755</v>
      </c>
    </row>
    <row r="342" spans="1:4" x14ac:dyDescent="0.3">
      <c r="A342" s="393">
        <v>150000987</v>
      </c>
      <c r="B342" s="421" t="s">
        <v>502</v>
      </c>
      <c r="C342" s="291" t="s">
        <v>51</v>
      </c>
      <c r="D342" s="418">
        <v>291.07363355762254</v>
      </c>
    </row>
    <row r="343" spans="1:4" x14ac:dyDescent="0.3">
      <c r="A343" s="393">
        <v>150000988</v>
      </c>
      <c r="B343" s="421" t="s">
        <v>503</v>
      </c>
      <c r="C343" s="291" t="s">
        <v>52</v>
      </c>
      <c r="D343" s="418">
        <v>-3708.0047088802912</v>
      </c>
    </row>
    <row r="344" spans="1:4" x14ac:dyDescent="0.3">
      <c r="A344" s="393">
        <v>150000989</v>
      </c>
      <c r="B344" s="421" t="s">
        <v>472</v>
      </c>
      <c r="C344" s="291" t="s">
        <v>38</v>
      </c>
      <c r="D344" s="418">
        <v>-2851.9900944967344</v>
      </c>
    </row>
    <row r="345" spans="1:4" x14ac:dyDescent="0.3">
      <c r="A345" s="393">
        <v>150000991</v>
      </c>
      <c r="B345" s="421" t="s">
        <v>475</v>
      </c>
      <c r="C345" s="291" t="s">
        <v>342</v>
      </c>
      <c r="D345" s="418">
        <v>-12468.84486578973</v>
      </c>
    </row>
    <row r="346" spans="1:4" x14ac:dyDescent="0.3">
      <c r="A346" s="393">
        <v>150000992</v>
      </c>
      <c r="B346" s="421" t="s">
        <v>476</v>
      </c>
      <c r="C346" s="291" t="s">
        <v>40</v>
      </c>
      <c r="D346" s="418">
        <v>-3612.2218122281042</v>
      </c>
    </row>
    <row r="347" spans="1:4" x14ac:dyDescent="0.3">
      <c r="A347" s="393">
        <v>150000993</v>
      </c>
      <c r="B347" s="421" t="s">
        <v>478</v>
      </c>
      <c r="C347" s="291" t="s">
        <v>42</v>
      </c>
      <c r="D347" s="418">
        <v>-3069.4520768689899</v>
      </c>
    </row>
    <row r="348" spans="1:4" x14ac:dyDescent="0.3">
      <c r="A348" s="393">
        <v>150000994</v>
      </c>
      <c r="B348" s="421" t="s">
        <v>481</v>
      </c>
      <c r="C348" s="291" t="s">
        <v>45</v>
      </c>
      <c r="D348" s="418">
        <v>365.7879587909074</v>
      </c>
    </row>
    <row r="349" spans="1:4" x14ac:dyDescent="0.3">
      <c r="A349" s="393">
        <v>150000995</v>
      </c>
      <c r="B349" s="421" t="s">
        <v>484</v>
      </c>
      <c r="C349" s="291" t="s">
        <v>48</v>
      </c>
      <c r="D349" s="418">
        <v>669.13991246637966</v>
      </c>
    </row>
    <row r="350" spans="1:4" x14ac:dyDescent="0.3">
      <c r="A350" s="393">
        <v>150000996</v>
      </c>
      <c r="B350" s="421" t="s">
        <v>501</v>
      </c>
      <c r="C350" s="291" t="s">
        <v>246</v>
      </c>
      <c r="D350" s="418">
        <v>-25039.75528916411</v>
      </c>
    </row>
    <row r="351" spans="1:4" x14ac:dyDescent="0.3">
      <c r="A351" s="393">
        <v>150000999</v>
      </c>
      <c r="B351" s="421" t="s">
        <v>477</v>
      </c>
      <c r="C351" s="291" t="s">
        <v>41</v>
      </c>
      <c r="D351" s="418">
        <v>-3696.5606209241209</v>
      </c>
    </row>
    <row r="352" spans="1:4" x14ac:dyDescent="0.3">
      <c r="A352" s="393">
        <v>150001000</v>
      </c>
      <c r="B352" s="421" t="s">
        <v>479</v>
      </c>
      <c r="C352" s="291" t="s">
        <v>43</v>
      </c>
      <c r="D352" s="418">
        <v>-44.15004909541662</v>
      </c>
    </row>
    <row r="353" spans="1:4" x14ac:dyDescent="0.3">
      <c r="A353" s="393">
        <v>150001001</v>
      </c>
      <c r="B353" s="421" t="s">
        <v>482</v>
      </c>
      <c r="C353" s="291" t="s">
        <v>46</v>
      </c>
      <c r="D353" s="418">
        <v>-3459.2702589794267</v>
      </c>
    </row>
    <row r="354" spans="1:4" x14ac:dyDescent="0.3">
      <c r="A354" s="393">
        <v>150001002</v>
      </c>
      <c r="B354" s="421" t="s">
        <v>485</v>
      </c>
      <c r="C354" s="291" t="s">
        <v>49</v>
      </c>
      <c r="D354" s="418">
        <v>628.95683805090255</v>
      </c>
    </row>
    <row r="355" spans="1:4" x14ac:dyDescent="0.3">
      <c r="A355" s="393">
        <v>150001004</v>
      </c>
      <c r="B355" s="421" t="s">
        <v>480</v>
      </c>
      <c r="C355" s="291" t="s">
        <v>44</v>
      </c>
      <c r="D355" s="418">
        <v>-2986.8455530756664</v>
      </c>
    </row>
    <row r="356" spans="1:4" x14ac:dyDescent="0.3">
      <c r="A356" s="393">
        <v>150001005</v>
      </c>
      <c r="B356" s="421" t="s">
        <v>483</v>
      </c>
      <c r="C356" s="291" t="s">
        <v>47</v>
      </c>
      <c r="D356" s="418">
        <v>-5046.1372839123705</v>
      </c>
    </row>
    <row r="357" spans="1:4" x14ac:dyDescent="0.3">
      <c r="A357" s="393">
        <v>150001007</v>
      </c>
      <c r="B357" s="421" t="s">
        <v>616</v>
      </c>
      <c r="C357" s="291" t="s">
        <v>214</v>
      </c>
      <c r="D357" s="418">
        <v>33851.023199727519</v>
      </c>
    </row>
    <row r="358" spans="1:4" x14ac:dyDescent="0.3">
      <c r="A358" s="393">
        <v>150001008</v>
      </c>
      <c r="B358" s="421" t="s">
        <v>607</v>
      </c>
      <c r="C358" s="291" t="s">
        <v>212</v>
      </c>
      <c r="D358" s="418">
        <v>41715.890903134263</v>
      </c>
    </row>
    <row r="359" spans="1:4" x14ac:dyDescent="0.3">
      <c r="A359" s="393">
        <v>150001009</v>
      </c>
      <c r="B359" s="421" t="s">
        <v>609</v>
      </c>
      <c r="C359" s="291" t="s">
        <v>213</v>
      </c>
      <c r="D359" s="418">
        <v>7736.5031760481897</v>
      </c>
    </row>
    <row r="360" spans="1:4" x14ac:dyDescent="0.3">
      <c r="A360" s="393">
        <v>150001010</v>
      </c>
      <c r="B360" s="421" t="s">
        <v>610</v>
      </c>
      <c r="C360" s="291" t="s">
        <v>165</v>
      </c>
      <c r="D360" s="418">
        <v>27044.818358661116</v>
      </c>
    </row>
    <row r="361" spans="1:4" x14ac:dyDescent="0.3">
      <c r="A361" s="393">
        <v>150001011</v>
      </c>
      <c r="B361" s="421" t="s">
        <v>611</v>
      </c>
      <c r="C361" s="291" t="s">
        <v>166</v>
      </c>
      <c r="D361" s="418">
        <v>9803.3134772439189</v>
      </c>
    </row>
    <row r="362" spans="1:4" x14ac:dyDescent="0.3">
      <c r="A362" s="394">
        <v>150001013</v>
      </c>
      <c r="B362" s="421" t="s">
        <v>612</v>
      </c>
      <c r="C362" s="291" t="s">
        <v>261</v>
      </c>
      <c r="D362" s="418">
        <v>-35076.761527814087</v>
      </c>
    </row>
    <row r="363" spans="1:4" x14ac:dyDescent="0.3">
      <c r="A363" s="393">
        <v>150001014</v>
      </c>
      <c r="B363" s="421" t="s">
        <v>613</v>
      </c>
      <c r="C363" s="291" t="s">
        <v>167</v>
      </c>
      <c r="D363" s="418">
        <v>-3180.9951159883376</v>
      </c>
    </row>
    <row r="364" spans="1:4" x14ac:dyDescent="0.3">
      <c r="A364" s="393">
        <v>150001015</v>
      </c>
      <c r="B364" s="421" t="s">
        <v>614</v>
      </c>
      <c r="C364" s="291" t="s">
        <v>100</v>
      </c>
      <c r="D364" s="418">
        <v>-1637.9748740311613</v>
      </c>
    </row>
    <row r="365" spans="1:4" x14ac:dyDescent="0.3">
      <c r="A365" s="393">
        <v>150001016</v>
      </c>
      <c r="B365" s="421" t="s">
        <v>615</v>
      </c>
      <c r="C365" s="291" t="s">
        <v>262</v>
      </c>
      <c r="D365" s="418">
        <v>12571.336806649542</v>
      </c>
    </row>
    <row r="366" spans="1:4" x14ac:dyDescent="0.3">
      <c r="A366" s="393">
        <v>150001018</v>
      </c>
      <c r="B366" s="421" t="s">
        <v>852</v>
      </c>
      <c r="C366" s="292" t="s">
        <v>430</v>
      </c>
      <c r="D366" s="418">
        <v>190198.86412082153</v>
      </c>
    </row>
    <row r="367" spans="1:4" x14ac:dyDescent="0.3">
      <c r="A367" s="393">
        <v>150001019</v>
      </c>
      <c r="B367" s="421" t="s">
        <v>617</v>
      </c>
      <c r="C367" s="291" t="s">
        <v>420</v>
      </c>
      <c r="D367" s="418">
        <v>-98544.119719615977</v>
      </c>
    </row>
    <row r="368" spans="1:4" x14ac:dyDescent="0.3">
      <c r="A368" s="393">
        <v>150001020</v>
      </c>
      <c r="B368" s="421" t="s">
        <v>618</v>
      </c>
      <c r="C368" s="291" t="s">
        <v>101</v>
      </c>
      <c r="D368" s="418">
        <v>-8146.0069850088221</v>
      </c>
    </row>
    <row r="369" spans="1:4" x14ac:dyDescent="0.3">
      <c r="A369" s="393">
        <v>150001021</v>
      </c>
      <c r="B369" s="421" t="s">
        <v>619</v>
      </c>
      <c r="C369" s="291" t="s">
        <v>364</v>
      </c>
      <c r="D369" s="418">
        <v>28584.536989117427</v>
      </c>
    </row>
    <row r="370" spans="1:4" x14ac:dyDescent="0.3">
      <c r="A370" s="393">
        <v>150001022</v>
      </c>
      <c r="B370" s="421" t="s">
        <v>621</v>
      </c>
      <c r="C370" s="291" t="s">
        <v>365</v>
      </c>
      <c r="D370" s="418">
        <v>32775.840304507699</v>
      </c>
    </row>
    <row r="371" spans="1:4" x14ac:dyDescent="0.3">
      <c r="A371" s="393">
        <v>150001023</v>
      </c>
      <c r="B371" s="421" t="s">
        <v>622</v>
      </c>
      <c r="C371" s="291" t="s">
        <v>366</v>
      </c>
      <c r="D371" s="418">
        <v>28061.034794624895</v>
      </c>
    </row>
    <row r="372" spans="1:4" x14ac:dyDescent="0.3">
      <c r="A372" s="393">
        <v>150001024</v>
      </c>
      <c r="B372" s="421" t="s">
        <v>623</v>
      </c>
      <c r="C372" s="291" t="s">
        <v>367</v>
      </c>
      <c r="D372" s="418">
        <v>-37986.214050849987</v>
      </c>
    </row>
    <row r="373" spans="1:4" x14ac:dyDescent="0.3">
      <c r="A373" s="393">
        <v>150001025</v>
      </c>
      <c r="B373" s="421" t="s">
        <v>624</v>
      </c>
      <c r="C373" s="291" t="s">
        <v>421</v>
      </c>
      <c r="D373" s="418">
        <v>-15323.768944114796</v>
      </c>
    </row>
    <row r="374" spans="1:4" x14ac:dyDescent="0.3">
      <c r="A374" s="393">
        <v>150001026</v>
      </c>
      <c r="B374" s="421" t="s">
        <v>625</v>
      </c>
      <c r="C374" s="291" t="s">
        <v>335</v>
      </c>
      <c r="D374" s="418">
        <v>156532.5569905887</v>
      </c>
    </row>
    <row r="375" spans="1:4" x14ac:dyDescent="0.3">
      <c r="A375" s="393">
        <v>150001027</v>
      </c>
      <c r="B375" s="421" t="s">
        <v>626</v>
      </c>
      <c r="C375" s="291" t="s">
        <v>368</v>
      </c>
      <c r="D375" s="418">
        <v>30548.109331266693</v>
      </c>
    </row>
    <row r="376" spans="1:4" x14ac:dyDescent="0.3">
      <c r="A376" s="393">
        <v>150001028</v>
      </c>
      <c r="B376" s="421" t="s">
        <v>627</v>
      </c>
      <c r="C376" s="291" t="s">
        <v>102</v>
      </c>
      <c r="D376" s="418">
        <v>-1388.8728023424346</v>
      </c>
    </row>
    <row r="377" spans="1:4" x14ac:dyDescent="0.3">
      <c r="A377" s="393">
        <v>150001029</v>
      </c>
      <c r="B377" s="421" t="s">
        <v>629</v>
      </c>
      <c r="C377" s="291" t="s">
        <v>369</v>
      </c>
      <c r="D377" s="418">
        <v>17838.760630588476</v>
      </c>
    </row>
    <row r="378" spans="1:4" x14ac:dyDescent="0.3">
      <c r="A378" s="393">
        <v>150001030</v>
      </c>
      <c r="B378" s="421" t="s">
        <v>630</v>
      </c>
      <c r="C378" s="291" t="s">
        <v>336</v>
      </c>
      <c r="D378" s="418">
        <v>-7949.6191798370055</v>
      </c>
    </row>
    <row r="379" spans="1:4" x14ac:dyDescent="0.3">
      <c r="A379" s="393">
        <v>150001031</v>
      </c>
      <c r="B379" s="421" t="s">
        <v>631</v>
      </c>
      <c r="C379" s="291" t="s">
        <v>104</v>
      </c>
      <c r="D379" s="418">
        <v>-3633.6648920607349</v>
      </c>
    </row>
    <row r="380" spans="1:4" x14ac:dyDescent="0.3">
      <c r="A380" s="393">
        <v>150001032</v>
      </c>
      <c r="B380" s="421" t="s">
        <v>633</v>
      </c>
      <c r="C380" s="291" t="s">
        <v>370</v>
      </c>
      <c r="D380" s="418">
        <v>-44506.518749677707</v>
      </c>
    </row>
    <row r="381" spans="1:4" x14ac:dyDescent="0.3">
      <c r="A381" s="393">
        <v>150001033</v>
      </c>
      <c r="B381" s="421" t="s">
        <v>608</v>
      </c>
      <c r="C381" s="291" t="s">
        <v>363</v>
      </c>
      <c r="D381" s="418">
        <v>-20603.139474673837</v>
      </c>
    </row>
    <row r="382" spans="1:4" x14ac:dyDescent="0.3">
      <c r="A382" s="393">
        <v>150001035</v>
      </c>
      <c r="B382" s="421" t="s">
        <v>620</v>
      </c>
      <c r="C382" s="291" t="s">
        <v>263</v>
      </c>
      <c r="D382" s="418">
        <v>14550.521968934008</v>
      </c>
    </row>
    <row r="383" spans="1:4" x14ac:dyDescent="0.3">
      <c r="A383" s="393">
        <v>150001036</v>
      </c>
      <c r="B383" s="421" t="s">
        <v>628</v>
      </c>
      <c r="C383" s="291" t="s">
        <v>103</v>
      </c>
      <c r="D383" s="418">
        <v>-6758.0372950720193</v>
      </c>
    </row>
    <row r="384" spans="1:4" x14ac:dyDescent="0.3">
      <c r="A384" s="393">
        <v>150001037</v>
      </c>
      <c r="B384" s="421" t="s">
        <v>632</v>
      </c>
      <c r="C384" s="291" t="s">
        <v>105</v>
      </c>
      <c r="D384" s="418">
        <v>-3816.9972164555052</v>
      </c>
    </row>
    <row r="385" spans="1:4" x14ac:dyDescent="0.3">
      <c r="A385" s="393">
        <v>150001040</v>
      </c>
      <c r="B385" s="421" t="s">
        <v>696</v>
      </c>
      <c r="C385" s="291" t="s">
        <v>217</v>
      </c>
      <c r="D385" s="418">
        <v>113703.40392421077</v>
      </c>
    </row>
    <row r="386" spans="1:4" x14ac:dyDescent="0.3">
      <c r="A386" s="393">
        <v>150001041</v>
      </c>
      <c r="B386" s="421" t="s">
        <v>700</v>
      </c>
      <c r="C386" s="291" t="s">
        <v>197</v>
      </c>
      <c r="D386" s="418">
        <v>2653.0704485994593</v>
      </c>
    </row>
    <row r="387" spans="1:4" x14ac:dyDescent="0.3">
      <c r="A387" s="393">
        <v>150001042</v>
      </c>
      <c r="B387" s="421" t="s">
        <v>701</v>
      </c>
      <c r="C387" s="291" t="s">
        <v>182</v>
      </c>
      <c r="D387" s="418">
        <v>843.28962673188948</v>
      </c>
    </row>
    <row r="388" spans="1:4" x14ac:dyDescent="0.3">
      <c r="A388" s="393">
        <v>150001043</v>
      </c>
      <c r="B388" s="421" t="s">
        <v>702</v>
      </c>
      <c r="C388" s="291" t="s">
        <v>218</v>
      </c>
      <c r="D388" s="418">
        <v>53577.176264738649</v>
      </c>
    </row>
    <row r="389" spans="1:4" x14ac:dyDescent="0.3">
      <c r="A389" s="393">
        <v>150001044</v>
      </c>
      <c r="B389" s="421" t="s">
        <v>692</v>
      </c>
      <c r="C389" s="291" t="s">
        <v>270</v>
      </c>
      <c r="D389" s="418">
        <v>59566.094879140139</v>
      </c>
    </row>
    <row r="390" spans="1:4" x14ac:dyDescent="0.3">
      <c r="A390" s="393">
        <v>150001045</v>
      </c>
      <c r="B390" s="421" t="s">
        <v>694</v>
      </c>
      <c r="C390" s="291" t="s">
        <v>272</v>
      </c>
      <c r="D390" s="418">
        <v>-5260.9282031380444</v>
      </c>
    </row>
    <row r="391" spans="1:4" x14ac:dyDescent="0.3">
      <c r="A391" s="393">
        <v>150001046</v>
      </c>
      <c r="B391" s="421" t="s">
        <v>695</v>
      </c>
      <c r="C391" s="291" t="s">
        <v>273</v>
      </c>
      <c r="D391" s="418">
        <v>-1600.0453892714249</v>
      </c>
    </row>
    <row r="392" spans="1:4" x14ac:dyDescent="0.3">
      <c r="A392" s="393">
        <v>150001047</v>
      </c>
      <c r="B392" s="421" t="s">
        <v>697</v>
      </c>
      <c r="C392" s="291" t="s">
        <v>180</v>
      </c>
      <c r="D392" s="418">
        <v>26999.843044622099</v>
      </c>
    </row>
    <row r="393" spans="1:4" x14ac:dyDescent="0.3">
      <c r="A393" s="393">
        <v>150001048</v>
      </c>
      <c r="B393" s="421" t="s">
        <v>698</v>
      </c>
      <c r="C393" s="291" t="s">
        <v>126</v>
      </c>
      <c r="D393" s="418">
        <v>-1895.7123087686632</v>
      </c>
    </row>
    <row r="394" spans="1:4" x14ac:dyDescent="0.3">
      <c r="A394" s="393">
        <v>150001049</v>
      </c>
      <c r="B394" s="421" t="s">
        <v>699</v>
      </c>
      <c r="C394" s="291" t="s">
        <v>181</v>
      </c>
      <c r="D394" s="418">
        <v>5181.9018938450199</v>
      </c>
    </row>
    <row r="395" spans="1:4" x14ac:dyDescent="0.3">
      <c r="A395" s="393">
        <v>150001050</v>
      </c>
      <c r="B395" s="421" t="s">
        <v>693</v>
      </c>
      <c r="C395" s="291" t="s">
        <v>271</v>
      </c>
      <c r="D395" s="418">
        <v>57102.68203822631</v>
      </c>
    </row>
    <row r="396" spans="1:4" x14ac:dyDescent="0.3">
      <c r="A396" s="393">
        <v>150001053</v>
      </c>
      <c r="B396" s="421" t="s">
        <v>458</v>
      </c>
      <c r="C396" s="291" t="s">
        <v>147</v>
      </c>
      <c r="D396" s="418">
        <v>-5837.1779211367793</v>
      </c>
    </row>
    <row r="397" spans="1:4" x14ac:dyDescent="0.3">
      <c r="A397" s="393">
        <v>150001054</v>
      </c>
      <c r="B397" s="421" t="s">
        <v>588</v>
      </c>
      <c r="C397" s="291" t="s">
        <v>86</v>
      </c>
      <c r="D397" s="418">
        <v>-1076.6557035955402</v>
      </c>
    </row>
    <row r="398" spans="1:4" x14ac:dyDescent="0.3">
      <c r="A398" s="393">
        <v>150001071</v>
      </c>
      <c r="B398" s="421" t="s">
        <v>646</v>
      </c>
      <c r="C398" s="291" t="s">
        <v>168</v>
      </c>
      <c r="D398" s="418">
        <v>15655.684897509063</v>
      </c>
    </row>
    <row r="399" spans="1:4" ht="16.5" customHeight="1" x14ac:dyDescent="0.3">
      <c r="A399" s="393">
        <v>150001094</v>
      </c>
      <c r="B399" s="421" t="s">
        <v>747</v>
      </c>
      <c r="C399" s="291" t="s">
        <v>186</v>
      </c>
      <c r="D399" s="418">
        <v>932.43215787036638</v>
      </c>
    </row>
    <row r="400" spans="1:4" x14ac:dyDescent="0.3">
      <c r="A400" s="393">
        <v>150001561</v>
      </c>
      <c r="B400" s="421" t="s">
        <v>811</v>
      </c>
      <c r="C400" s="291" t="s">
        <v>400</v>
      </c>
      <c r="D400" s="418">
        <v>-77636.643556349445</v>
      </c>
    </row>
    <row r="401" spans="1:4" x14ac:dyDescent="0.3">
      <c r="A401" s="393">
        <v>150001562</v>
      </c>
      <c r="B401" s="421" t="s">
        <v>565</v>
      </c>
      <c r="C401" s="291" t="s">
        <v>209</v>
      </c>
      <c r="D401" s="418">
        <v>-49541.022039721793</v>
      </c>
    </row>
    <row r="402" spans="1:4" x14ac:dyDescent="0.3">
      <c r="A402" s="327"/>
      <c r="B402" s="30"/>
      <c r="C402" s="30" t="s">
        <v>853</v>
      </c>
      <c r="D402" s="419">
        <f>SUM(D7:D401)</f>
        <v>6309458.6869720044</v>
      </c>
    </row>
  </sheetData>
  <sortState xmlns:xlrd2="http://schemas.microsoft.com/office/spreadsheetml/2017/richdata2" ref="A7:D404">
    <sortCondition ref="A7:A404"/>
  </sortState>
  <conditionalFormatting sqref="A162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4"/>
  <dimension ref="A1:E398"/>
  <sheetViews>
    <sheetView workbookViewId="0">
      <selection activeCell="O29" sqref="N29:O29"/>
    </sheetView>
  </sheetViews>
  <sheetFormatPr defaultColWidth="9.109375" defaultRowHeight="13.8" x14ac:dyDescent="0.25"/>
  <cols>
    <col min="1" max="1" width="36.6640625" style="10" customWidth="1"/>
    <col min="2" max="2" width="11.33203125" style="11" customWidth="1"/>
    <col min="3" max="3" width="10.6640625" style="295" customWidth="1"/>
    <col min="4" max="4" width="12.109375" style="537" customWidth="1"/>
    <col min="5" max="5" width="13.33203125" style="104" customWidth="1"/>
    <col min="6" max="16384" width="9.109375" style="104"/>
  </cols>
  <sheetData>
    <row r="1" spans="1:5" x14ac:dyDescent="0.25">
      <c r="A1" s="524" t="s">
        <v>1067</v>
      </c>
      <c r="B1" s="523"/>
      <c r="C1" s="104"/>
      <c r="D1" s="104" t="s">
        <v>1074</v>
      </c>
    </row>
    <row r="2" spans="1:5" ht="30.6" x14ac:dyDescent="0.25">
      <c r="A2" s="526" t="s">
        <v>1069</v>
      </c>
      <c r="B2" s="525" t="s">
        <v>1068</v>
      </c>
      <c r="C2" s="527" t="s">
        <v>1070</v>
      </c>
      <c r="D2" s="527" t="s">
        <v>1071</v>
      </c>
      <c r="E2" s="141" t="s">
        <v>978</v>
      </c>
    </row>
    <row r="3" spans="1:5" x14ac:dyDescent="0.25">
      <c r="A3" s="529" t="s">
        <v>35</v>
      </c>
      <c r="B3" s="528">
        <v>150000488</v>
      </c>
      <c r="C3" s="530">
        <v>0</v>
      </c>
      <c r="D3" s="531">
        <v>0</v>
      </c>
      <c r="E3" s="532">
        <f t="shared" ref="E3:E66" si="0">SUM(C3:D3)</f>
        <v>0</v>
      </c>
    </row>
    <row r="4" spans="1:5" x14ac:dyDescent="0.25">
      <c r="A4" s="529" t="s">
        <v>37</v>
      </c>
      <c r="B4" s="528">
        <v>150000490</v>
      </c>
      <c r="C4" s="530">
        <v>0</v>
      </c>
      <c r="D4" s="531">
        <v>0</v>
      </c>
      <c r="E4" s="532">
        <f t="shared" si="0"/>
        <v>0</v>
      </c>
    </row>
    <row r="5" spans="1:5" x14ac:dyDescent="0.25">
      <c r="A5" s="529" t="s">
        <v>36</v>
      </c>
      <c r="B5" s="528">
        <v>150000492</v>
      </c>
      <c r="C5" s="530">
        <v>0</v>
      </c>
      <c r="D5" s="531">
        <v>0</v>
      </c>
      <c r="E5" s="532">
        <f t="shared" si="0"/>
        <v>0</v>
      </c>
    </row>
    <row r="6" spans="1:5" x14ac:dyDescent="0.25">
      <c r="A6" s="529" t="s">
        <v>418</v>
      </c>
      <c r="B6" s="528">
        <v>150000493</v>
      </c>
      <c r="C6" s="530">
        <v>1500</v>
      </c>
      <c r="D6" s="531">
        <v>3930.3987750192232</v>
      </c>
      <c r="E6" s="532">
        <f t="shared" si="0"/>
        <v>5430.3987750192227</v>
      </c>
    </row>
    <row r="7" spans="1:5" x14ac:dyDescent="0.25">
      <c r="A7" s="529" t="s">
        <v>419</v>
      </c>
      <c r="B7" s="528">
        <v>150000494</v>
      </c>
      <c r="C7" s="530">
        <v>1500</v>
      </c>
      <c r="D7" s="531">
        <v>5233.4462556858425</v>
      </c>
      <c r="E7" s="532">
        <f t="shared" si="0"/>
        <v>6733.4462556858425</v>
      </c>
    </row>
    <row r="8" spans="1:5" x14ac:dyDescent="0.25">
      <c r="A8" s="529" t="s">
        <v>148</v>
      </c>
      <c r="B8" s="528">
        <v>150000495</v>
      </c>
      <c r="C8" s="530">
        <v>0</v>
      </c>
      <c r="D8" s="531">
        <v>0</v>
      </c>
      <c r="E8" s="532">
        <f t="shared" si="0"/>
        <v>0</v>
      </c>
    </row>
    <row r="9" spans="1:5" x14ac:dyDescent="0.25">
      <c r="A9" s="529" t="s">
        <v>149</v>
      </c>
      <c r="B9" s="528">
        <v>150000496</v>
      </c>
      <c r="C9" s="530">
        <v>0</v>
      </c>
      <c r="D9" s="531">
        <v>0</v>
      </c>
      <c r="E9" s="532">
        <f t="shared" si="0"/>
        <v>0</v>
      </c>
    </row>
    <row r="10" spans="1:5" x14ac:dyDescent="0.25">
      <c r="A10" s="529" t="s">
        <v>341</v>
      </c>
      <c r="B10" s="528">
        <v>150000497</v>
      </c>
      <c r="C10" s="530">
        <v>1000</v>
      </c>
      <c r="D10" s="531">
        <v>2301.0560814567848</v>
      </c>
      <c r="E10" s="532">
        <f t="shared" si="0"/>
        <v>3301.0560814567848</v>
      </c>
    </row>
    <row r="11" spans="1:5" x14ac:dyDescent="0.25">
      <c r="A11" s="529" t="s">
        <v>242</v>
      </c>
      <c r="B11" s="528">
        <v>150000498</v>
      </c>
      <c r="C11" s="530">
        <v>0</v>
      </c>
      <c r="D11" s="531">
        <v>0</v>
      </c>
      <c r="E11" s="532">
        <f t="shared" si="0"/>
        <v>0</v>
      </c>
    </row>
    <row r="12" spans="1:5" x14ac:dyDescent="0.25">
      <c r="A12" s="529" t="s">
        <v>264</v>
      </c>
      <c r="B12" s="528">
        <v>150000501</v>
      </c>
      <c r="C12" s="530">
        <v>0</v>
      </c>
      <c r="D12" s="531">
        <v>0</v>
      </c>
      <c r="E12" s="532">
        <f t="shared" si="0"/>
        <v>0</v>
      </c>
    </row>
    <row r="13" spans="1:5" x14ac:dyDescent="0.25">
      <c r="A13" s="529" t="s">
        <v>109</v>
      </c>
      <c r="B13" s="528">
        <v>150000502</v>
      </c>
      <c r="C13" s="530">
        <v>0</v>
      </c>
      <c r="D13" s="531">
        <v>0</v>
      </c>
      <c r="E13" s="532">
        <f t="shared" si="0"/>
        <v>0</v>
      </c>
    </row>
    <row r="14" spans="1:5" x14ac:dyDescent="0.25">
      <c r="A14" s="529" t="s">
        <v>110</v>
      </c>
      <c r="B14" s="528">
        <v>150000503</v>
      </c>
      <c r="C14" s="530">
        <v>0</v>
      </c>
      <c r="D14" s="531">
        <v>0</v>
      </c>
      <c r="E14" s="532">
        <f t="shared" si="0"/>
        <v>0</v>
      </c>
    </row>
    <row r="15" spans="1:5" x14ac:dyDescent="0.25">
      <c r="A15" s="529" t="s">
        <v>111</v>
      </c>
      <c r="B15" s="528">
        <v>150000504</v>
      </c>
      <c r="C15" s="530">
        <v>0</v>
      </c>
      <c r="D15" s="531">
        <v>0</v>
      </c>
      <c r="E15" s="532">
        <f t="shared" si="0"/>
        <v>0</v>
      </c>
    </row>
    <row r="16" spans="1:5" x14ac:dyDescent="0.25">
      <c r="A16" s="529" t="s">
        <v>113</v>
      </c>
      <c r="B16" s="528">
        <v>150000505</v>
      </c>
      <c r="C16" s="530">
        <v>0</v>
      </c>
      <c r="D16" s="531">
        <v>0</v>
      </c>
      <c r="E16" s="532">
        <f t="shared" si="0"/>
        <v>0</v>
      </c>
    </row>
    <row r="17" spans="1:5" x14ac:dyDescent="0.25">
      <c r="A17" s="529" t="s">
        <v>112</v>
      </c>
      <c r="B17" s="528">
        <v>150000506</v>
      </c>
      <c r="C17" s="530">
        <v>0</v>
      </c>
      <c r="D17" s="531">
        <v>0</v>
      </c>
      <c r="E17" s="532">
        <f t="shared" si="0"/>
        <v>0</v>
      </c>
    </row>
    <row r="18" spans="1:5" x14ac:dyDescent="0.25">
      <c r="A18" s="529" t="s">
        <v>114</v>
      </c>
      <c r="B18" s="528">
        <v>150000507</v>
      </c>
      <c r="C18" s="530">
        <v>0</v>
      </c>
      <c r="D18" s="531">
        <v>0</v>
      </c>
      <c r="E18" s="532">
        <f t="shared" si="0"/>
        <v>0</v>
      </c>
    </row>
    <row r="19" spans="1:5" x14ac:dyDescent="0.25">
      <c r="A19" s="529" t="s">
        <v>115</v>
      </c>
      <c r="B19" s="528">
        <v>150000508</v>
      </c>
      <c r="C19" s="530">
        <v>0</v>
      </c>
      <c r="D19" s="531">
        <v>0</v>
      </c>
      <c r="E19" s="532">
        <f t="shared" si="0"/>
        <v>0</v>
      </c>
    </row>
    <row r="20" spans="1:5" x14ac:dyDescent="0.25">
      <c r="A20" s="529" t="s">
        <v>53</v>
      </c>
      <c r="B20" s="528">
        <v>150000509</v>
      </c>
      <c r="C20" s="530">
        <v>0</v>
      </c>
      <c r="D20" s="531">
        <v>0</v>
      </c>
      <c r="E20" s="532">
        <f t="shared" si="0"/>
        <v>0</v>
      </c>
    </row>
    <row r="21" spans="1:5" x14ac:dyDescent="0.25">
      <c r="A21" s="529" t="s">
        <v>249</v>
      </c>
      <c r="B21" s="528">
        <v>150000510</v>
      </c>
      <c r="C21" s="530">
        <v>0</v>
      </c>
      <c r="D21" s="531">
        <v>0</v>
      </c>
      <c r="E21" s="532">
        <f t="shared" si="0"/>
        <v>0</v>
      </c>
    </row>
    <row r="22" spans="1:5" x14ac:dyDescent="0.25">
      <c r="A22" s="529" t="s">
        <v>250</v>
      </c>
      <c r="B22" s="528">
        <v>150000511</v>
      </c>
      <c r="C22" s="530">
        <v>0</v>
      </c>
      <c r="D22" s="531">
        <v>0</v>
      </c>
      <c r="E22" s="532">
        <f t="shared" si="0"/>
        <v>0</v>
      </c>
    </row>
    <row r="23" spans="1:5" x14ac:dyDescent="0.25">
      <c r="A23" s="529" t="s">
        <v>251</v>
      </c>
      <c r="B23" s="528">
        <v>150000512</v>
      </c>
      <c r="C23" s="530">
        <v>0</v>
      </c>
      <c r="D23" s="531">
        <v>0</v>
      </c>
      <c r="E23" s="532">
        <f t="shared" si="0"/>
        <v>0</v>
      </c>
    </row>
    <row r="24" spans="1:5" x14ac:dyDescent="0.25">
      <c r="A24" s="529" t="s">
        <v>334</v>
      </c>
      <c r="B24" s="528">
        <v>150000513</v>
      </c>
      <c r="C24" s="530">
        <v>0</v>
      </c>
      <c r="D24" s="531">
        <v>0</v>
      </c>
      <c r="E24" s="532">
        <f t="shared" si="0"/>
        <v>0</v>
      </c>
    </row>
    <row r="25" spans="1:5" x14ac:dyDescent="0.25">
      <c r="A25" s="529" t="s">
        <v>152</v>
      </c>
      <c r="B25" s="528">
        <v>150000514</v>
      </c>
      <c r="C25" s="530">
        <v>0</v>
      </c>
      <c r="D25" s="531">
        <v>0</v>
      </c>
      <c r="E25" s="532">
        <f t="shared" si="0"/>
        <v>0</v>
      </c>
    </row>
    <row r="26" spans="1:5" x14ac:dyDescent="0.25">
      <c r="A26" s="529" t="s">
        <v>54</v>
      </c>
      <c r="B26" s="528">
        <v>150000515</v>
      </c>
      <c r="C26" s="530">
        <v>0</v>
      </c>
      <c r="D26" s="531">
        <v>0</v>
      </c>
      <c r="E26" s="532">
        <f t="shared" si="0"/>
        <v>0</v>
      </c>
    </row>
    <row r="27" spans="1:5" x14ac:dyDescent="0.25">
      <c r="A27" s="529" t="s">
        <v>56</v>
      </c>
      <c r="B27" s="528">
        <v>150000516</v>
      </c>
      <c r="C27" s="530">
        <v>0</v>
      </c>
      <c r="D27" s="531">
        <v>0</v>
      </c>
      <c r="E27" s="532">
        <f t="shared" si="0"/>
        <v>0</v>
      </c>
    </row>
    <row r="28" spans="1:5" x14ac:dyDescent="0.25">
      <c r="A28" s="529" t="s">
        <v>252</v>
      </c>
      <c r="B28" s="528">
        <v>150000517</v>
      </c>
      <c r="C28" s="530">
        <v>0</v>
      </c>
      <c r="D28" s="531">
        <v>0</v>
      </c>
      <c r="E28" s="532">
        <f t="shared" si="0"/>
        <v>0</v>
      </c>
    </row>
    <row r="29" spans="1:5" x14ac:dyDescent="0.25">
      <c r="A29" s="529" t="s">
        <v>195</v>
      </c>
      <c r="B29" s="528">
        <v>150000518</v>
      </c>
      <c r="C29" s="530">
        <v>0</v>
      </c>
      <c r="D29" s="531">
        <v>0</v>
      </c>
      <c r="E29" s="532">
        <f t="shared" si="0"/>
        <v>0</v>
      </c>
    </row>
    <row r="30" spans="1:5" x14ac:dyDescent="0.25">
      <c r="A30" s="529" t="s">
        <v>413</v>
      </c>
      <c r="B30" s="528">
        <v>150000519</v>
      </c>
      <c r="C30" s="530">
        <v>500</v>
      </c>
      <c r="D30" s="531">
        <v>1490.2645957727036</v>
      </c>
      <c r="E30" s="532">
        <f t="shared" si="0"/>
        <v>1990.2645957727036</v>
      </c>
    </row>
    <row r="31" spans="1:5" x14ac:dyDescent="0.25">
      <c r="A31" s="529" t="s">
        <v>253</v>
      </c>
      <c r="B31" s="528">
        <v>150000521</v>
      </c>
      <c r="C31" s="530">
        <v>0</v>
      </c>
      <c r="D31" s="531">
        <v>0</v>
      </c>
      <c r="E31" s="532">
        <f t="shared" si="0"/>
        <v>0</v>
      </c>
    </row>
    <row r="32" spans="1:5" x14ac:dyDescent="0.25">
      <c r="A32" s="529" t="s">
        <v>57</v>
      </c>
      <c r="B32" s="528">
        <v>150000522</v>
      </c>
      <c r="C32" s="530">
        <v>0</v>
      </c>
      <c r="D32" s="531">
        <v>0</v>
      </c>
      <c r="E32" s="532">
        <f t="shared" si="0"/>
        <v>0</v>
      </c>
    </row>
    <row r="33" spans="1:5" x14ac:dyDescent="0.25">
      <c r="A33" s="529" t="s">
        <v>58</v>
      </c>
      <c r="B33" s="528">
        <v>150000523</v>
      </c>
      <c r="C33" s="530">
        <v>0</v>
      </c>
      <c r="D33" s="531">
        <v>0</v>
      </c>
      <c r="E33" s="532">
        <f t="shared" si="0"/>
        <v>0</v>
      </c>
    </row>
    <row r="34" spans="1:5" x14ac:dyDescent="0.25">
      <c r="A34" s="529" t="s">
        <v>59</v>
      </c>
      <c r="B34" s="528">
        <v>150000524</v>
      </c>
      <c r="C34" s="530">
        <v>0</v>
      </c>
      <c r="D34" s="531">
        <v>0</v>
      </c>
      <c r="E34" s="532">
        <f t="shared" si="0"/>
        <v>0</v>
      </c>
    </row>
    <row r="35" spans="1:5" x14ac:dyDescent="0.25">
      <c r="A35" s="529" t="s">
        <v>61</v>
      </c>
      <c r="B35" s="528">
        <v>150000527</v>
      </c>
      <c r="C35" s="530">
        <v>0</v>
      </c>
      <c r="D35" s="531">
        <v>0</v>
      </c>
      <c r="E35" s="532">
        <f t="shared" si="0"/>
        <v>0</v>
      </c>
    </row>
    <row r="36" spans="1:5" x14ac:dyDescent="0.25">
      <c r="A36" s="529" t="s">
        <v>348</v>
      </c>
      <c r="B36" s="528">
        <v>150000529</v>
      </c>
      <c r="C36" s="530">
        <v>2000</v>
      </c>
      <c r="D36" s="531">
        <v>4666.361999458064</v>
      </c>
      <c r="E36" s="532">
        <f t="shared" si="0"/>
        <v>6666.361999458064</v>
      </c>
    </row>
    <row r="37" spans="1:5" x14ac:dyDescent="0.25">
      <c r="A37" s="529" t="s">
        <v>63</v>
      </c>
      <c r="B37" s="528">
        <v>150000530</v>
      </c>
      <c r="C37" s="530">
        <v>0</v>
      </c>
      <c r="D37" s="531">
        <v>0</v>
      </c>
      <c r="E37" s="532">
        <f t="shared" si="0"/>
        <v>0</v>
      </c>
    </row>
    <row r="38" spans="1:5" x14ac:dyDescent="0.25">
      <c r="A38" s="529" t="s">
        <v>349</v>
      </c>
      <c r="B38" s="528">
        <v>150000531</v>
      </c>
      <c r="C38" s="530">
        <v>1500</v>
      </c>
      <c r="D38" s="531">
        <v>4208.4333795101802</v>
      </c>
      <c r="E38" s="532">
        <f t="shared" si="0"/>
        <v>5708.4333795101802</v>
      </c>
    </row>
    <row r="39" spans="1:5" x14ac:dyDescent="0.25">
      <c r="A39" s="529" t="s">
        <v>254</v>
      </c>
      <c r="B39" s="528">
        <v>150000532</v>
      </c>
      <c r="C39" s="530">
        <v>0</v>
      </c>
      <c r="D39" s="531">
        <v>0</v>
      </c>
      <c r="E39" s="532">
        <f t="shared" si="0"/>
        <v>0</v>
      </c>
    </row>
    <row r="40" spans="1:5" x14ac:dyDescent="0.25">
      <c r="A40" s="529" t="s">
        <v>350</v>
      </c>
      <c r="B40" s="528">
        <v>150000533</v>
      </c>
      <c r="C40" s="530">
        <v>2500</v>
      </c>
      <c r="D40" s="531">
        <v>6288.2213142092123</v>
      </c>
      <c r="E40" s="532">
        <f t="shared" si="0"/>
        <v>8788.2213142092114</v>
      </c>
    </row>
    <row r="41" spans="1:5" x14ac:dyDescent="0.25">
      <c r="A41" s="529" t="s">
        <v>255</v>
      </c>
      <c r="B41" s="528">
        <v>150000534</v>
      </c>
      <c r="C41" s="530">
        <v>0</v>
      </c>
      <c r="D41" s="531">
        <v>0</v>
      </c>
      <c r="E41" s="532">
        <f t="shared" si="0"/>
        <v>0</v>
      </c>
    </row>
    <row r="42" spans="1:5" x14ac:dyDescent="0.25">
      <c r="A42" s="529" t="s">
        <v>351</v>
      </c>
      <c r="B42" s="528">
        <v>150000535</v>
      </c>
      <c r="C42" s="530">
        <v>2500</v>
      </c>
      <c r="D42" s="531">
        <v>6331.8283000445745</v>
      </c>
      <c r="E42" s="532">
        <f t="shared" si="0"/>
        <v>8831.8283000445736</v>
      </c>
    </row>
    <row r="43" spans="1:5" x14ac:dyDescent="0.25">
      <c r="A43" s="529" t="s">
        <v>106</v>
      </c>
      <c r="B43" s="528">
        <v>150000537</v>
      </c>
      <c r="C43" s="530">
        <v>0</v>
      </c>
      <c r="D43" s="531">
        <v>0</v>
      </c>
      <c r="E43" s="532">
        <f t="shared" si="0"/>
        <v>0</v>
      </c>
    </row>
    <row r="44" spans="1:5" x14ac:dyDescent="0.25">
      <c r="A44" s="529" t="s">
        <v>208</v>
      </c>
      <c r="B44" s="528">
        <v>150000538</v>
      </c>
      <c r="C44" s="530">
        <v>0</v>
      </c>
      <c r="D44" s="531">
        <v>0</v>
      </c>
      <c r="E44" s="532">
        <f t="shared" si="0"/>
        <v>0</v>
      </c>
    </row>
    <row r="45" spans="1:5" x14ac:dyDescent="0.25">
      <c r="A45" s="529" t="s">
        <v>55</v>
      </c>
      <c r="B45" s="528">
        <v>150000539</v>
      </c>
      <c r="C45" s="530">
        <v>0</v>
      </c>
      <c r="D45" s="531">
        <v>0</v>
      </c>
      <c r="E45" s="532">
        <f t="shared" si="0"/>
        <v>0</v>
      </c>
    </row>
    <row r="46" spans="1:5" x14ac:dyDescent="0.25">
      <c r="A46" s="529" t="s">
        <v>60</v>
      </c>
      <c r="B46" s="528">
        <v>150000541</v>
      </c>
      <c r="C46" s="530">
        <v>0</v>
      </c>
      <c r="D46" s="531">
        <v>0</v>
      </c>
      <c r="E46" s="532">
        <f t="shared" si="0"/>
        <v>0</v>
      </c>
    </row>
    <row r="47" spans="1:5" x14ac:dyDescent="0.25">
      <c r="A47" s="529" t="s">
        <v>62</v>
      </c>
      <c r="B47" s="528">
        <v>150000542</v>
      </c>
      <c r="C47" s="530">
        <v>0</v>
      </c>
      <c r="D47" s="531">
        <v>0</v>
      </c>
      <c r="E47" s="532">
        <f t="shared" si="0"/>
        <v>0</v>
      </c>
    </row>
    <row r="48" spans="1:5" x14ac:dyDescent="0.25">
      <c r="A48" s="529" t="s">
        <v>64</v>
      </c>
      <c r="B48" s="528">
        <v>150000543</v>
      </c>
      <c r="C48" s="530">
        <v>0</v>
      </c>
      <c r="D48" s="531">
        <v>0</v>
      </c>
      <c r="E48" s="532">
        <f t="shared" si="0"/>
        <v>0</v>
      </c>
    </row>
    <row r="49" spans="1:5" x14ac:dyDescent="0.25">
      <c r="A49" s="529" t="s">
        <v>65</v>
      </c>
      <c r="B49" s="528">
        <v>150000544</v>
      </c>
      <c r="C49" s="530">
        <v>0</v>
      </c>
      <c r="D49" s="531">
        <v>0</v>
      </c>
      <c r="E49" s="532">
        <f t="shared" si="0"/>
        <v>0</v>
      </c>
    </row>
    <row r="50" spans="1:5" x14ac:dyDescent="0.25">
      <c r="A50" s="529" t="s">
        <v>107</v>
      </c>
      <c r="B50" s="528">
        <v>150000545</v>
      </c>
      <c r="C50" s="530">
        <v>0</v>
      </c>
      <c r="D50" s="531">
        <v>0</v>
      </c>
      <c r="E50" s="532">
        <f t="shared" si="0"/>
        <v>0</v>
      </c>
    </row>
    <row r="51" spans="1:5" x14ac:dyDescent="0.25">
      <c r="A51" s="529" t="s">
        <v>108</v>
      </c>
      <c r="B51" s="528">
        <v>150000546</v>
      </c>
      <c r="C51" s="530">
        <v>0</v>
      </c>
      <c r="D51" s="531">
        <v>0</v>
      </c>
      <c r="E51" s="532">
        <f t="shared" si="0"/>
        <v>0</v>
      </c>
    </row>
    <row r="52" spans="1:5" x14ac:dyDescent="0.25">
      <c r="A52" s="529" t="s">
        <v>248</v>
      </c>
      <c r="B52" s="528">
        <v>150000547</v>
      </c>
      <c r="C52" s="530">
        <v>0</v>
      </c>
      <c r="D52" s="531">
        <v>0</v>
      </c>
      <c r="E52" s="532">
        <f t="shared" si="0"/>
        <v>0</v>
      </c>
    </row>
    <row r="53" spans="1:5" x14ac:dyDescent="0.25">
      <c r="A53" s="529" t="s">
        <v>247</v>
      </c>
      <c r="B53" s="528">
        <v>150000548</v>
      </c>
      <c r="C53" s="530">
        <v>0</v>
      </c>
      <c r="D53" s="531">
        <v>0</v>
      </c>
      <c r="E53" s="532">
        <f t="shared" si="0"/>
        <v>0</v>
      </c>
    </row>
    <row r="54" spans="1:5" x14ac:dyDescent="0.25">
      <c r="A54" s="529" t="s">
        <v>207</v>
      </c>
      <c r="B54" s="528">
        <v>150000549</v>
      </c>
      <c r="C54" s="530">
        <v>0</v>
      </c>
      <c r="D54" s="531">
        <v>0</v>
      </c>
      <c r="E54" s="532">
        <f t="shared" si="0"/>
        <v>0</v>
      </c>
    </row>
    <row r="55" spans="1:5" x14ac:dyDescent="0.25">
      <c r="A55" s="529" t="s">
        <v>92</v>
      </c>
      <c r="B55" s="528">
        <v>150000552</v>
      </c>
      <c r="C55" s="530">
        <v>0</v>
      </c>
      <c r="D55" s="531">
        <v>0</v>
      </c>
      <c r="E55" s="532">
        <f t="shared" si="0"/>
        <v>0</v>
      </c>
    </row>
    <row r="56" spans="1:5" x14ac:dyDescent="0.25">
      <c r="A56" s="529" t="s">
        <v>260</v>
      </c>
      <c r="B56" s="528">
        <v>150000553</v>
      </c>
      <c r="C56" s="530">
        <v>0</v>
      </c>
      <c r="D56" s="531">
        <v>0</v>
      </c>
      <c r="E56" s="532">
        <f t="shared" si="0"/>
        <v>0</v>
      </c>
    </row>
    <row r="57" spans="1:5" x14ac:dyDescent="0.25">
      <c r="A57" s="529" t="s">
        <v>89</v>
      </c>
      <c r="B57" s="528">
        <v>150000555</v>
      </c>
      <c r="C57" s="530">
        <v>0</v>
      </c>
      <c r="D57" s="531">
        <v>0</v>
      </c>
      <c r="E57" s="532">
        <f t="shared" si="0"/>
        <v>0</v>
      </c>
    </row>
    <row r="58" spans="1:5" x14ac:dyDescent="0.25">
      <c r="A58" s="529" t="s">
        <v>90</v>
      </c>
      <c r="B58" s="528">
        <v>150000556</v>
      </c>
      <c r="C58" s="530">
        <v>0</v>
      </c>
      <c r="D58" s="531">
        <v>0</v>
      </c>
      <c r="E58" s="532">
        <f t="shared" si="0"/>
        <v>0</v>
      </c>
    </row>
    <row r="59" spans="1:5" x14ac:dyDescent="0.25">
      <c r="A59" s="529" t="s">
        <v>91</v>
      </c>
      <c r="B59" s="528">
        <v>150000557</v>
      </c>
      <c r="C59" s="530">
        <v>0</v>
      </c>
      <c r="D59" s="531">
        <v>0</v>
      </c>
      <c r="E59" s="532">
        <f t="shared" si="0"/>
        <v>0</v>
      </c>
    </row>
    <row r="60" spans="1:5" x14ac:dyDescent="0.25">
      <c r="A60" s="529" t="s">
        <v>72</v>
      </c>
      <c r="B60" s="528">
        <v>150000561</v>
      </c>
      <c r="C60" s="530">
        <v>0</v>
      </c>
      <c r="D60" s="531">
        <v>0</v>
      </c>
      <c r="E60" s="532">
        <f t="shared" si="0"/>
        <v>0</v>
      </c>
    </row>
    <row r="61" spans="1:5" x14ac:dyDescent="0.25">
      <c r="A61" s="529" t="s">
        <v>74</v>
      </c>
      <c r="B61" s="528">
        <v>150000562</v>
      </c>
      <c r="C61" s="530">
        <v>0</v>
      </c>
      <c r="D61" s="531">
        <v>0</v>
      </c>
      <c r="E61" s="532">
        <f t="shared" si="0"/>
        <v>0</v>
      </c>
    </row>
    <row r="62" spans="1:5" x14ac:dyDescent="0.25">
      <c r="A62" s="529" t="s">
        <v>69</v>
      </c>
      <c r="B62" s="528">
        <v>150000566</v>
      </c>
      <c r="C62" s="530">
        <v>0</v>
      </c>
      <c r="D62" s="531">
        <v>0</v>
      </c>
      <c r="E62" s="532">
        <f t="shared" si="0"/>
        <v>0</v>
      </c>
    </row>
    <row r="63" spans="1:5" x14ac:dyDescent="0.25">
      <c r="A63" s="529" t="s">
        <v>71</v>
      </c>
      <c r="B63" s="528">
        <v>150000567</v>
      </c>
      <c r="C63" s="530">
        <v>0</v>
      </c>
      <c r="D63" s="531">
        <v>0</v>
      </c>
      <c r="E63" s="532">
        <f t="shared" si="0"/>
        <v>0</v>
      </c>
    </row>
    <row r="64" spans="1:5" x14ac:dyDescent="0.25">
      <c r="A64" s="529" t="s">
        <v>73</v>
      </c>
      <c r="B64" s="528">
        <v>150000569</v>
      </c>
      <c r="C64" s="530">
        <v>0</v>
      </c>
      <c r="D64" s="531">
        <v>0</v>
      </c>
      <c r="E64" s="532">
        <f t="shared" si="0"/>
        <v>0</v>
      </c>
    </row>
    <row r="65" spans="1:5" x14ac:dyDescent="0.25">
      <c r="A65" s="529" t="s">
        <v>75</v>
      </c>
      <c r="B65" s="528">
        <v>150000570</v>
      </c>
      <c r="C65" s="530">
        <v>0</v>
      </c>
      <c r="D65" s="531">
        <v>0</v>
      </c>
      <c r="E65" s="532">
        <f t="shared" si="0"/>
        <v>0</v>
      </c>
    </row>
    <row r="66" spans="1:5" x14ac:dyDescent="0.25">
      <c r="A66" s="529" t="s">
        <v>70</v>
      </c>
      <c r="B66" s="528">
        <v>150000571</v>
      </c>
      <c r="C66" s="530">
        <v>0</v>
      </c>
      <c r="D66" s="531">
        <v>0</v>
      </c>
      <c r="E66" s="532">
        <f t="shared" si="0"/>
        <v>0</v>
      </c>
    </row>
    <row r="67" spans="1:5" x14ac:dyDescent="0.25">
      <c r="A67" s="529" t="s">
        <v>153</v>
      </c>
      <c r="B67" s="528">
        <v>150000572</v>
      </c>
      <c r="C67" s="530">
        <v>0</v>
      </c>
      <c r="D67" s="531">
        <v>0</v>
      </c>
      <c r="E67" s="532">
        <f t="shared" ref="E67:E130" si="1">SUM(C67:D67)</f>
        <v>0</v>
      </c>
    </row>
    <row r="68" spans="1:5" x14ac:dyDescent="0.25">
      <c r="A68" s="529" t="s">
        <v>76</v>
      </c>
      <c r="B68" s="528">
        <v>150000573</v>
      </c>
      <c r="C68" s="530">
        <v>0</v>
      </c>
      <c r="D68" s="531">
        <v>0</v>
      </c>
      <c r="E68" s="532">
        <f t="shared" si="1"/>
        <v>0</v>
      </c>
    </row>
    <row r="69" spans="1:5" x14ac:dyDescent="0.25">
      <c r="A69" s="529" t="s">
        <v>84</v>
      </c>
      <c r="B69" s="528">
        <v>150000578</v>
      </c>
      <c r="C69" s="530">
        <v>0</v>
      </c>
      <c r="D69" s="531">
        <v>0</v>
      </c>
      <c r="E69" s="532">
        <f t="shared" si="1"/>
        <v>0</v>
      </c>
    </row>
    <row r="70" spans="1:5" x14ac:dyDescent="0.25">
      <c r="A70" s="529" t="s">
        <v>85</v>
      </c>
      <c r="B70" s="528">
        <v>150000580</v>
      </c>
      <c r="C70" s="530">
        <v>0</v>
      </c>
      <c r="D70" s="531">
        <v>0</v>
      </c>
      <c r="E70" s="532">
        <f t="shared" si="1"/>
        <v>0</v>
      </c>
    </row>
    <row r="71" spans="1:5" x14ac:dyDescent="0.25">
      <c r="A71" s="529" t="s">
        <v>83</v>
      </c>
      <c r="B71" s="528">
        <v>150000587</v>
      </c>
      <c r="C71" s="530">
        <v>0</v>
      </c>
      <c r="D71" s="531">
        <v>0</v>
      </c>
      <c r="E71" s="532">
        <f t="shared" si="1"/>
        <v>0</v>
      </c>
    </row>
    <row r="72" spans="1:5" x14ac:dyDescent="0.25">
      <c r="A72" s="529" t="s">
        <v>164</v>
      </c>
      <c r="B72" s="528">
        <v>150000590</v>
      </c>
      <c r="C72" s="530">
        <v>0</v>
      </c>
      <c r="D72" s="531">
        <v>0</v>
      </c>
      <c r="E72" s="532">
        <f t="shared" si="1"/>
        <v>0</v>
      </c>
    </row>
    <row r="73" spans="1:5" x14ac:dyDescent="0.25">
      <c r="A73" s="529" t="s">
        <v>192</v>
      </c>
      <c r="B73" s="528">
        <v>150000591</v>
      </c>
      <c r="C73" s="530">
        <v>0</v>
      </c>
      <c r="D73" s="531">
        <v>0</v>
      </c>
      <c r="E73" s="532">
        <f t="shared" si="1"/>
        <v>0</v>
      </c>
    </row>
    <row r="74" spans="1:5" x14ac:dyDescent="0.25">
      <c r="A74" s="529" t="s">
        <v>354</v>
      </c>
      <c r="B74" s="528">
        <v>150000592</v>
      </c>
      <c r="C74" s="530">
        <v>2000</v>
      </c>
      <c r="D74" s="531">
        <v>5381.9531897030975</v>
      </c>
      <c r="E74" s="532">
        <f t="shared" si="1"/>
        <v>7381.9531897030975</v>
      </c>
    </row>
    <row r="75" spans="1:5" x14ac:dyDescent="0.25">
      <c r="A75" s="529" t="s">
        <v>256</v>
      </c>
      <c r="B75" s="528">
        <v>150000593</v>
      </c>
      <c r="C75" s="530">
        <v>0</v>
      </c>
      <c r="D75" s="531">
        <v>0</v>
      </c>
      <c r="E75" s="532">
        <f t="shared" si="1"/>
        <v>0</v>
      </c>
    </row>
    <row r="76" spans="1:5" x14ac:dyDescent="0.25">
      <c r="A76" s="529" t="s">
        <v>355</v>
      </c>
      <c r="B76" s="528">
        <v>150000594</v>
      </c>
      <c r="C76" s="530">
        <v>2000</v>
      </c>
      <c r="D76" s="531">
        <v>5127.6343743400912</v>
      </c>
      <c r="E76" s="532">
        <f t="shared" si="1"/>
        <v>7127.6343743400912</v>
      </c>
    </row>
    <row r="77" spans="1:5" x14ac:dyDescent="0.25">
      <c r="A77" s="529" t="s">
        <v>353</v>
      </c>
      <c r="B77" s="528">
        <v>150000597</v>
      </c>
      <c r="C77" s="530">
        <v>1000</v>
      </c>
      <c r="D77" s="531">
        <v>2606.0562732596204</v>
      </c>
      <c r="E77" s="532">
        <f t="shared" si="1"/>
        <v>3606.0562732596204</v>
      </c>
    </row>
    <row r="78" spans="1:5" x14ac:dyDescent="0.25">
      <c r="A78" s="529" t="s">
        <v>77</v>
      </c>
      <c r="B78" s="528">
        <v>150000598</v>
      </c>
      <c r="C78" s="530">
        <v>0</v>
      </c>
      <c r="D78" s="531">
        <v>0</v>
      </c>
      <c r="E78" s="532">
        <f t="shared" si="1"/>
        <v>0</v>
      </c>
    </row>
    <row r="79" spans="1:5" x14ac:dyDescent="0.25">
      <c r="A79" s="529" t="s">
        <v>78</v>
      </c>
      <c r="B79" s="528">
        <v>150000599</v>
      </c>
      <c r="C79" s="530">
        <v>0</v>
      </c>
      <c r="D79" s="531">
        <v>0</v>
      </c>
      <c r="E79" s="532">
        <f t="shared" si="1"/>
        <v>0</v>
      </c>
    </row>
    <row r="80" spans="1:5" x14ac:dyDescent="0.25">
      <c r="A80" s="529" t="s">
        <v>79</v>
      </c>
      <c r="B80" s="528">
        <v>150000601</v>
      </c>
      <c r="C80" s="530">
        <v>0</v>
      </c>
      <c r="D80" s="531">
        <v>0</v>
      </c>
      <c r="E80" s="532">
        <f t="shared" si="1"/>
        <v>0</v>
      </c>
    </row>
    <row r="81" spans="1:5" x14ac:dyDescent="0.25">
      <c r="A81" s="529" t="s">
        <v>154</v>
      </c>
      <c r="B81" s="528">
        <v>150000603</v>
      </c>
      <c r="C81" s="530">
        <v>0</v>
      </c>
      <c r="D81" s="531">
        <v>0</v>
      </c>
      <c r="E81" s="532">
        <f t="shared" si="1"/>
        <v>0</v>
      </c>
    </row>
    <row r="82" spans="1:5" x14ac:dyDescent="0.25">
      <c r="A82" s="529" t="s">
        <v>155</v>
      </c>
      <c r="B82" s="528">
        <v>150000604</v>
      </c>
      <c r="C82" s="530">
        <v>0</v>
      </c>
      <c r="D82" s="531">
        <v>0</v>
      </c>
      <c r="E82" s="532">
        <f t="shared" si="1"/>
        <v>0</v>
      </c>
    </row>
    <row r="83" spans="1:5" x14ac:dyDescent="0.25">
      <c r="A83" s="529" t="s">
        <v>156</v>
      </c>
      <c r="B83" s="528">
        <v>150000605</v>
      </c>
      <c r="C83" s="530">
        <v>0</v>
      </c>
      <c r="D83" s="531">
        <v>0</v>
      </c>
      <c r="E83" s="532">
        <f t="shared" si="1"/>
        <v>0</v>
      </c>
    </row>
    <row r="84" spans="1:5" x14ac:dyDescent="0.25">
      <c r="A84" s="529" t="s">
        <v>157</v>
      </c>
      <c r="B84" s="528">
        <v>150000606</v>
      </c>
      <c r="C84" s="530">
        <v>0</v>
      </c>
      <c r="D84" s="531">
        <v>0</v>
      </c>
      <c r="E84" s="532">
        <f t="shared" si="1"/>
        <v>0</v>
      </c>
    </row>
    <row r="85" spans="1:5" x14ac:dyDescent="0.25">
      <c r="A85" s="529" t="s">
        <v>158</v>
      </c>
      <c r="B85" s="528">
        <v>150000607</v>
      </c>
      <c r="C85" s="530">
        <v>0</v>
      </c>
      <c r="D85" s="531">
        <v>0</v>
      </c>
      <c r="E85" s="532">
        <f t="shared" si="1"/>
        <v>0</v>
      </c>
    </row>
    <row r="86" spans="1:5" x14ac:dyDescent="0.25">
      <c r="A86" s="529" t="s">
        <v>159</v>
      </c>
      <c r="B86" s="528">
        <v>150000608</v>
      </c>
      <c r="C86" s="530">
        <v>0</v>
      </c>
      <c r="D86" s="531">
        <v>0</v>
      </c>
      <c r="E86" s="532">
        <f t="shared" si="1"/>
        <v>0</v>
      </c>
    </row>
    <row r="87" spans="1:5" x14ac:dyDescent="0.25">
      <c r="A87" s="529" t="s">
        <v>160</v>
      </c>
      <c r="B87" s="528">
        <v>150000609</v>
      </c>
      <c r="C87" s="530">
        <v>0</v>
      </c>
      <c r="D87" s="531">
        <v>0</v>
      </c>
      <c r="E87" s="532">
        <f t="shared" si="1"/>
        <v>0</v>
      </c>
    </row>
    <row r="88" spans="1:5" x14ac:dyDescent="0.25">
      <c r="A88" s="529" t="s">
        <v>161</v>
      </c>
      <c r="B88" s="528">
        <v>150000610</v>
      </c>
      <c r="C88" s="530">
        <v>0</v>
      </c>
      <c r="D88" s="531">
        <v>0</v>
      </c>
      <c r="E88" s="532">
        <f t="shared" si="1"/>
        <v>0</v>
      </c>
    </row>
    <row r="89" spans="1:5" x14ac:dyDescent="0.25">
      <c r="A89" s="529" t="s">
        <v>196</v>
      </c>
      <c r="B89" s="528">
        <v>150000611</v>
      </c>
      <c r="C89" s="530">
        <v>0</v>
      </c>
      <c r="D89" s="531">
        <v>0</v>
      </c>
      <c r="E89" s="532">
        <f t="shared" si="1"/>
        <v>0</v>
      </c>
    </row>
    <row r="90" spans="1:5" x14ac:dyDescent="0.25">
      <c r="A90" s="529" t="s">
        <v>162</v>
      </c>
      <c r="B90" s="528">
        <v>150000612</v>
      </c>
      <c r="C90" s="530">
        <v>0</v>
      </c>
      <c r="D90" s="531">
        <v>0</v>
      </c>
      <c r="E90" s="532">
        <f t="shared" si="1"/>
        <v>0</v>
      </c>
    </row>
    <row r="91" spans="1:5" x14ac:dyDescent="0.25">
      <c r="A91" s="529" t="s">
        <v>211</v>
      </c>
      <c r="B91" s="528">
        <v>150000613</v>
      </c>
      <c r="C91" s="530">
        <v>0</v>
      </c>
      <c r="D91" s="531">
        <v>0</v>
      </c>
      <c r="E91" s="532">
        <f t="shared" si="1"/>
        <v>0</v>
      </c>
    </row>
    <row r="92" spans="1:5" x14ac:dyDescent="0.25">
      <c r="A92" s="529" t="s">
        <v>163</v>
      </c>
      <c r="B92" s="528">
        <v>150000614</v>
      </c>
      <c r="C92" s="530">
        <v>0</v>
      </c>
      <c r="D92" s="531">
        <v>0</v>
      </c>
      <c r="E92" s="532">
        <f t="shared" si="1"/>
        <v>0</v>
      </c>
    </row>
    <row r="93" spans="1:5" x14ac:dyDescent="0.25">
      <c r="A93" s="529" t="s">
        <v>257</v>
      </c>
      <c r="B93" s="528">
        <v>150000615</v>
      </c>
      <c r="C93" s="530">
        <v>0</v>
      </c>
      <c r="D93" s="531">
        <v>0</v>
      </c>
      <c r="E93" s="532">
        <f t="shared" si="1"/>
        <v>0</v>
      </c>
    </row>
    <row r="94" spans="1:5" x14ac:dyDescent="0.25">
      <c r="A94" s="529" t="s">
        <v>258</v>
      </c>
      <c r="B94" s="528">
        <v>150000616</v>
      </c>
      <c r="C94" s="530">
        <v>0</v>
      </c>
      <c r="D94" s="531">
        <v>0</v>
      </c>
      <c r="E94" s="532">
        <f t="shared" si="1"/>
        <v>0</v>
      </c>
    </row>
    <row r="95" spans="1:5" x14ac:dyDescent="0.25">
      <c r="A95" s="529" t="s">
        <v>417</v>
      </c>
      <c r="B95" s="528">
        <v>150000618</v>
      </c>
      <c r="C95" s="530">
        <v>500</v>
      </c>
      <c r="D95" s="531">
        <v>1516.6830231862677</v>
      </c>
      <c r="E95" s="532">
        <f t="shared" si="1"/>
        <v>2016.6830231862677</v>
      </c>
    </row>
    <row r="96" spans="1:5" x14ac:dyDescent="0.25">
      <c r="A96" s="529" t="s">
        <v>360</v>
      </c>
      <c r="B96" s="528">
        <v>150000619</v>
      </c>
      <c r="C96" s="530">
        <v>1000</v>
      </c>
      <c r="D96" s="531">
        <v>2351.1847711306405</v>
      </c>
      <c r="E96" s="532">
        <f t="shared" si="1"/>
        <v>3351.1847711306405</v>
      </c>
    </row>
    <row r="97" spans="1:5" x14ac:dyDescent="0.25">
      <c r="A97" s="529" t="s">
        <v>81</v>
      </c>
      <c r="B97" s="528">
        <v>150000621</v>
      </c>
      <c r="C97" s="530">
        <v>0</v>
      </c>
      <c r="D97" s="531">
        <v>0</v>
      </c>
      <c r="E97" s="532">
        <f t="shared" si="1"/>
        <v>0</v>
      </c>
    </row>
    <row r="98" spans="1:5" x14ac:dyDescent="0.25">
      <c r="A98" s="529" t="s">
        <v>82</v>
      </c>
      <c r="B98" s="528">
        <v>150000622</v>
      </c>
      <c r="C98" s="530">
        <v>0</v>
      </c>
      <c r="D98" s="531">
        <v>0</v>
      </c>
      <c r="E98" s="532">
        <f t="shared" si="1"/>
        <v>0</v>
      </c>
    </row>
    <row r="99" spans="1:5" x14ac:dyDescent="0.25">
      <c r="A99" s="529" t="s">
        <v>210</v>
      </c>
      <c r="B99" s="528">
        <v>150000623</v>
      </c>
      <c r="C99" s="530">
        <v>0</v>
      </c>
      <c r="D99" s="531">
        <v>0</v>
      </c>
      <c r="E99" s="532">
        <f t="shared" si="1"/>
        <v>0</v>
      </c>
    </row>
    <row r="100" spans="1:5" x14ac:dyDescent="0.25">
      <c r="A100" s="529" t="s">
        <v>416</v>
      </c>
      <c r="B100" s="528">
        <v>150000625</v>
      </c>
      <c r="C100" s="530">
        <v>1000</v>
      </c>
      <c r="D100" s="531">
        <v>2680.8900613725209</v>
      </c>
      <c r="E100" s="532">
        <f t="shared" si="1"/>
        <v>3680.8900613725209</v>
      </c>
    </row>
    <row r="101" spans="1:5" x14ac:dyDescent="0.25">
      <c r="A101" s="529" t="s">
        <v>359</v>
      </c>
      <c r="B101" s="528">
        <v>150000626</v>
      </c>
      <c r="C101" s="530">
        <v>2000</v>
      </c>
      <c r="D101" s="531">
        <v>4149.2572074773279</v>
      </c>
      <c r="E101" s="532">
        <f t="shared" si="1"/>
        <v>6149.2572074773279</v>
      </c>
    </row>
    <row r="102" spans="1:5" x14ac:dyDescent="0.25">
      <c r="A102" s="529" t="s">
        <v>356</v>
      </c>
      <c r="B102" s="528">
        <v>150000627</v>
      </c>
      <c r="C102" s="530">
        <v>1000</v>
      </c>
      <c r="D102" s="531">
        <v>2087.6913554524631</v>
      </c>
      <c r="E102" s="532">
        <f t="shared" si="1"/>
        <v>3087.6913554524631</v>
      </c>
    </row>
    <row r="103" spans="1:5" x14ac:dyDescent="0.25">
      <c r="A103" s="529" t="s">
        <v>357</v>
      </c>
      <c r="B103" s="528">
        <v>150000628</v>
      </c>
      <c r="C103" s="530">
        <v>1000</v>
      </c>
      <c r="D103" s="531">
        <v>2571.6294146070904</v>
      </c>
      <c r="E103" s="532">
        <f t="shared" si="1"/>
        <v>3571.6294146070904</v>
      </c>
    </row>
    <row r="104" spans="1:5" x14ac:dyDescent="0.25">
      <c r="A104" s="529" t="s">
        <v>358</v>
      </c>
      <c r="B104" s="528">
        <v>150000629</v>
      </c>
      <c r="C104" s="530">
        <v>2000</v>
      </c>
      <c r="D104" s="531">
        <v>5280.2256635578951</v>
      </c>
      <c r="E104" s="532">
        <f t="shared" si="1"/>
        <v>7280.2256635578951</v>
      </c>
    </row>
    <row r="105" spans="1:5" x14ac:dyDescent="0.25">
      <c r="A105" s="529" t="s">
        <v>87</v>
      </c>
      <c r="B105" s="528">
        <v>150000634</v>
      </c>
      <c r="C105" s="530">
        <v>0</v>
      </c>
      <c r="D105" s="531">
        <v>0</v>
      </c>
      <c r="E105" s="532">
        <f t="shared" si="1"/>
        <v>0</v>
      </c>
    </row>
    <row r="106" spans="1:5" x14ac:dyDescent="0.25">
      <c r="A106" s="529" t="s">
        <v>259</v>
      </c>
      <c r="B106" s="528">
        <v>150000636</v>
      </c>
      <c r="C106" s="530">
        <v>0</v>
      </c>
      <c r="D106" s="531">
        <v>0</v>
      </c>
      <c r="E106" s="532">
        <f t="shared" si="1"/>
        <v>0</v>
      </c>
    </row>
    <row r="107" spans="1:5" x14ac:dyDescent="0.25">
      <c r="A107" s="529" t="s">
        <v>88</v>
      </c>
      <c r="B107" s="528">
        <v>150000637</v>
      </c>
      <c r="C107" s="530">
        <v>0</v>
      </c>
      <c r="D107" s="531">
        <v>0</v>
      </c>
      <c r="E107" s="532">
        <f t="shared" si="1"/>
        <v>0</v>
      </c>
    </row>
    <row r="108" spans="1:5" x14ac:dyDescent="0.25">
      <c r="A108" s="529" t="s">
        <v>132</v>
      </c>
      <c r="B108" s="528">
        <v>150000638</v>
      </c>
      <c r="C108" s="530">
        <v>0</v>
      </c>
      <c r="D108" s="531">
        <v>0</v>
      </c>
      <c r="E108" s="532">
        <f t="shared" si="1"/>
        <v>0</v>
      </c>
    </row>
    <row r="109" spans="1:5" x14ac:dyDescent="0.25">
      <c r="A109" s="529" t="s">
        <v>133</v>
      </c>
      <c r="B109" s="528">
        <v>150000639</v>
      </c>
      <c r="C109" s="530">
        <v>0</v>
      </c>
      <c r="D109" s="531">
        <v>0</v>
      </c>
      <c r="E109" s="532">
        <f t="shared" si="1"/>
        <v>0</v>
      </c>
    </row>
    <row r="110" spans="1:5" x14ac:dyDescent="0.25">
      <c r="A110" s="529" t="s">
        <v>67</v>
      </c>
      <c r="B110" s="528">
        <v>150000643</v>
      </c>
      <c r="C110" s="530">
        <v>0</v>
      </c>
      <c r="D110" s="531">
        <v>0</v>
      </c>
      <c r="E110" s="532">
        <f t="shared" si="1"/>
        <v>0</v>
      </c>
    </row>
    <row r="111" spans="1:5" x14ac:dyDescent="0.25">
      <c r="A111" s="529" t="s">
        <v>68</v>
      </c>
      <c r="B111" s="528">
        <v>150000644</v>
      </c>
      <c r="C111" s="530">
        <v>0</v>
      </c>
      <c r="D111" s="531">
        <v>0</v>
      </c>
      <c r="E111" s="532">
        <f t="shared" si="1"/>
        <v>0</v>
      </c>
    </row>
    <row r="112" spans="1:5" x14ac:dyDescent="0.25">
      <c r="A112" s="529" t="s">
        <v>66</v>
      </c>
      <c r="B112" s="528">
        <v>150000645</v>
      </c>
      <c r="C112" s="530">
        <v>0</v>
      </c>
      <c r="D112" s="531">
        <v>0</v>
      </c>
      <c r="E112" s="532">
        <f t="shared" si="1"/>
        <v>0</v>
      </c>
    </row>
    <row r="113" spans="1:5" x14ac:dyDescent="0.25">
      <c r="A113" s="529" t="s">
        <v>97</v>
      </c>
      <c r="B113" s="528">
        <v>150000647</v>
      </c>
      <c r="C113" s="530">
        <v>0</v>
      </c>
      <c r="D113" s="531">
        <v>0</v>
      </c>
      <c r="E113" s="532">
        <f t="shared" si="1"/>
        <v>0</v>
      </c>
    </row>
    <row r="114" spans="1:5" x14ac:dyDescent="0.25">
      <c r="A114" s="529" t="s">
        <v>362</v>
      </c>
      <c r="B114" s="528">
        <v>150000648</v>
      </c>
      <c r="C114" s="530">
        <v>500</v>
      </c>
      <c r="D114" s="531">
        <v>2108.5000121913899</v>
      </c>
      <c r="E114" s="532">
        <f t="shared" si="1"/>
        <v>2608.5000121913899</v>
      </c>
    </row>
    <row r="115" spans="1:5" x14ac:dyDescent="0.25">
      <c r="A115" s="529" t="s">
        <v>352</v>
      </c>
      <c r="B115" s="528">
        <v>150000658</v>
      </c>
      <c r="C115" s="530">
        <v>1000</v>
      </c>
      <c r="D115" s="531">
        <v>2789.8522572843244</v>
      </c>
      <c r="E115" s="532">
        <f t="shared" si="1"/>
        <v>3789.8522572843244</v>
      </c>
    </row>
    <row r="116" spans="1:5" x14ac:dyDescent="0.25">
      <c r="A116" s="529" t="s">
        <v>414</v>
      </c>
      <c r="B116" s="528">
        <v>150000659</v>
      </c>
      <c r="C116" s="530">
        <v>500</v>
      </c>
      <c r="D116" s="531">
        <v>1440.0253687456529</v>
      </c>
      <c r="E116" s="532">
        <f t="shared" si="1"/>
        <v>1940.0253687456529</v>
      </c>
    </row>
    <row r="117" spans="1:5" x14ac:dyDescent="0.25">
      <c r="A117" s="529" t="s">
        <v>415</v>
      </c>
      <c r="B117" s="528">
        <v>150000660</v>
      </c>
      <c r="C117" s="530">
        <v>1000</v>
      </c>
      <c r="D117" s="531">
        <v>2576.4598969417043</v>
      </c>
      <c r="E117" s="532">
        <f t="shared" si="1"/>
        <v>3576.4598969417043</v>
      </c>
    </row>
    <row r="118" spans="1:5" x14ac:dyDescent="0.25">
      <c r="A118" s="529" t="s">
        <v>127</v>
      </c>
      <c r="B118" s="528">
        <v>150000670</v>
      </c>
      <c r="C118" s="530">
        <v>0</v>
      </c>
      <c r="D118" s="531">
        <v>0</v>
      </c>
      <c r="E118" s="532">
        <f t="shared" si="1"/>
        <v>0</v>
      </c>
    </row>
    <row r="119" spans="1:5" x14ac:dyDescent="0.25">
      <c r="A119" s="529" t="s">
        <v>128</v>
      </c>
      <c r="B119" s="528">
        <v>150000671</v>
      </c>
      <c r="C119" s="530">
        <v>0</v>
      </c>
      <c r="D119" s="531">
        <v>0</v>
      </c>
      <c r="E119" s="532">
        <f t="shared" si="1"/>
        <v>0</v>
      </c>
    </row>
    <row r="120" spans="1:5" x14ac:dyDescent="0.25">
      <c r="A120" s="529" t="s">
        <v>429</v>
      </c>
      <c r="B120" s="528">
        <v>150000672</v>
      </c>
      <c r="C120" s="530">
        <v>0</v>
      </c>
      <c r="D120" s="531">
        <v>0</v>
      </c>
      <c r="E120" s="532">
        <f t="shared" si="1"/>
        <v>0</v>
      </c>
    </row>
    <row r="121" spans="1:5" x14ac:dyDescent="0.25">
      <c r="A121" s="529" t="s">
        <v>183</v>
      </c>
      <c r="B121" s="528">
        <v>150000673</v>
      </c>
      <c r="C121" s="530">
        <v>0</v>
      </c>
      <c r="D121" s="531">
        <v>0</v>
      </c>
      <c r="E121" s="532">
        <f t="shared" si="1"/>
        <v>0</v>
      </c>
    </row>
    <row r="122" spans="1:5" x14ac:dyDescent="0.25">
      <c r="A122" s="529" t="s">
        <v>386</v>
      </c>
      <c r="B122" s="528">
        <v>150000676</v>
      </c>
      <c r="C122" s="530">
        <v>1000</v>
      </c>
      <c r="D122" s="531">
        <v>2320.2895809126849</v>
      </c>
      <c r="E122" s="532">
        <f t="shared" si="1"/>
        <v>3320.2895809126849</v>
      </c>
    </row>
    <row r="123" spans="1:5" x14ac:dyDescent="0.25">
      <c r="A123" s="529" t="s">
        <v>116</v>
      </c>
      <c r="B123" s="528">
        <v>150000683</v>
      </c>
      <c r="C123" s="530">
        <v>0</v>
      </c>
      <c r="D123" s="531">
        <v>0</v>
      </c>
      <c r="E123" s="532">
        <f t="shared" si="1"/>
        <v>0</v>
      </c>
    </row>
    <row r="124" spans="1:5" x14ac:dyDescent="0.25">
      <c r="A124" s="529" t="s">
        <v>98</v>
      </c>
      <c r="B124" s="528">
        <v>150000686</v>
      </c>
      <c r="C124" s="530">
        <v>0</v>
      </c>
      <c r="D124" s="531">
        <v>0</v>
      </c>
      <c r="E124" s="532">
        <f t="shared" si="1"/>
        <v>0</v>
      </c>
    </row>
    <row r="125" spans="1:5" x14ac:dyDescent="0.25">
      <c r="A125" s="529" t="s">
        <v>93</v>
      </c>
      <c r="B125" s="528">
        <v>150000688</v>
      </c>
      <c r="C125" s="530">
        <v>0</v>
      </c>
      <c r="D125" s="531">
        <v>0</v>
      </c>
      <c r="E125" s="532">
        <f t="shared" si="1"/>
        <v>0</v>
      </c>
    </row>
    <row r="126" spans="1:5" x14ac:dyDescent="0.25">
      <c r="A126" s="529" t="s">
        <v>94</v>
      </c>
      <c r="B126" s="528">
        <v>150000689</v>
      </c>
      <c r="C126" s="530">
        <v>0</v>
      </c>
      <c r="D126" s="531">
        <v>0</v>
      </c>
      <c r="E126" s="532">
        <f t="shared" si="1"/>
        <v>0</v>
      </c>
    </row>
    <row r="127" spans="1:5" x14ac:dyDescent="0.25">
      <c r="A127" s="529" t="s">
        <v>96</v>
      </c>
      <c r="B127" s="528">
        <v>150000690</v>
      </c>
      <c r="C127" s="530">
        <v>0</v>
      </c>
      <c r="D127" s="531">
        <v>0</v>
      </c>
      <c r="E127" s="532">
        <f t="shared" si="1"/>
        <v>0</v>
      </c>
    </row>
    <row r="128" spans="1:5" x14ac:dyDescent="0.25">
      <c r="A128" s="529" t="s">
        <v>95</v>
      </c>
      <c r="B128" s="528">
        <v>150000693</v>
      </c>
      <c r="C128" s="530">
        <v>0</v>
      </c>
      <c r="D128" s="531">
        <v>0</v>
      </c>
      <c r="E128" s="532">
        <f t="shared" si="1"/>
        <v>0</v>
      </c>
    </row>
    <row r="129" spans="1:5" x14ac:dyDescent="0.25">
      <c r="A129" s="529" t="s">
        <v>372</v>
      </c>
      <c r="B129" s="528">
        <v>150000694</v>
      </c>
      <c r="C129" s="530">
        <v>1500</v>
      </c>
      <c r="D129" s="531">
        <v>3392.6013905204154</v>
      </c>
      <c r="E129" s="532">
        <f t="shared" si="1"/>
        <v>4892.6013905204154</v>
      </c>
    </row>
    <row r="130" spans="1:5" x14ac:dyDescent="0.25">
      <c r="A130" s="529" t="s">
        <v>373</v>
      </c>
      <c r="B130" s="528">
        <v>150000695</v>
      </c>
      <c r="C130" s="530">
        <v>1500</v>
      </c>
      <c r="D130" s="531">
        <v>3484.2036951129712</v>
      </c>
      <c r="E130" s="532">
        <f t="shared" si="1"/>
        <v>4984.2036951129712</v>
      </c>
    </row>
    <row r="131" spans="1:5" x14ac:dyDescent="0.25">
      <c r="A131" s="529" t="s">
        <v>371</v>
      </c>
      <c r="B131" s="528">
        <v>150000696</v>
      </c>
      <c r="C131" s="530">
        <v>1500</v>
      </c>
      <c r="D131" s="531">
        <v>3485.447240336413</v>
      </c>
      <c r="E131" s="532">
        <f t="shared" ref="E131:E194" si="2">SUM(C131:D131)</f>
        <v>4985.4472403364125</v>
      </c>
    </row>
    <row r="132" spans="1:5" x14ac:dyDescent="0.25">
      <c r="A132" s="529" t="s">
        <v>266</v>
      </c>
      <c r="B132" s="528">
        <v>150000697</v>
      </c>
      <c r="C132" s="530">
        <v>0</v>
      </c>
      <c r="D132" s="531">
        <v>0</v>
      </c>
      <c r="E132" s="532">
        <f t="shared" si="2"/>
        <v>0</v>
      </c>
    </row>
    <row r="133" spans="1:5" x14ac:dyDescent="0.25">
      <c r="A133" s="529" t="s">
        <v>121</v>
      </c>
      <c r="B133" s="528">
        <v>150000698</v>
      </c>
      <c r="C133" s="530">
        <v>0</v>
      </c>
      <c r="D133" s="531">
        <v>0</v>
      </c>
      <c r="E133" s="532">
        <f t="shared" si="2"/>
        <v>0</v>
      </c>
    </row>
    <row r="134" spans="1:5" x14ac:dyDescent="0.25">
      <c r="A134" s="529" t="s">
        <v>374</v>
      </c>
      <c r="B134" s="528">
        <v>150000699</v>
      </c>
      <c r="C134" s="530">
        <v>500</v>
      </c>
      <c r="D134" s="531">
        <v>2316.5313109040603</v>
      </c>
      <c r="E134" s="532">
        <f t="shared" si="2"/>
        <v>2816.5313109040603</v>
      </c>
    </row>
    <row r="135" spans="1:5" x14ac:dyDescent="0.25">
      <c r="A135" s="529" t="s">
        <v>339</v>
      </c>
      <c r="B135" s="528">
        <v>150000702</v>
      </c>
      <c r="C135" s="530">
        <v>1500</v>
      </c>
      <c r="D135" s="531">
        <v>3368.9629775397007</v>
      </c>
      <c r="E135" s="532">
        <f t="shared" si="2"/>
        <v>4868.9629775397007</v>
      </c>
    </row>
    <row r="136" spans="1:5" x14ac:dyDescent="0.25">
      <c r="A136" s="529" t="s">
        <v>340</v>
      </c>
      <c r="B136" s="528">
        <v>150000703</v>
      </c>
      <c r="C136" s="530">
        <v>1500</v>
      </c>
      <c r="D136" s="531">
        <v>3490.769613892744</v>
      </c>
      <c r="E136" s="532">
        <f t="shared" si="2"/>
        <v>4990.769613892744</v>
      </c>
    </row>
    <row r="137" spans="1:5" x14ac:dyDescent="0.25">
      <c r="A137" s="529" t="s">
        <v>142</v>
      </c>
      <c r="B137" s="528">
        <v>150000705</v>
      </c>
      <c r="C137" s="530">
        <v>0</v>
      </c>
      <c r="D137" s="531">
        <v>0</v>
      </c>
      <c r="E137" s="532">
        <f t="shared" si="2"/>
        <v>0</v>
      </c>
    </row>
    <row r="138" spans="1:5" x14ac:dyDescent="0.25">
      <c r="A138" s="529" t="s">
        <v>144</v>
      </c>
      <c r="B138" s="528">
        <v>150000706</v>
      </c>
      <c r="C138" s="530">
        <v>0</v>
      </c>
      <c r="D138" s="531">
        <v>0</v>
      </c>
      <c r="E138" s="532">
        <f t="shared" si="2"/>
        <v>0</v>
      </c>
    </row>
    <row r="139" spans="1:5" x14ac:dyDescent="0.25">
      <c r="A139" s="529" t="s">
        <v>145</v>
      </c>
      <c r="B139" s="528">
        <v>150000707</v>
      </c>
      <c r="C139" s="530">
        <v>0</v>
      </c>
      <c r="D139" s="531">
        <v>0</v>
      </c>
      <c r="E139" s="532">
        <f t="shared" si="2"/>
        <v>0</v>
      </c>
    </row>
    <row r="140" spans="1:5" x14ac:dyDescent="0.25">
      <c r="A140" s="529" t="s">
        <v>146</v>
      </c>
      <c r="B140" s="528">
        <v>150000708</v>
      </c>
      <c r="C140" s="530">
        <v>0</v>
      </c>
      <c r="D140" s="531">
        <v>0</v>
      </c>
      <c r="E140" s="532">
        <f t="shared" si="2"/>
        <v>0</v>
      </c>
    </row>
    <row r="141" spans="1:5" x14ac:dyDescent="0.25">
      <c r="A141" s="529" t="s">
        <v>143</v>
      </c>
      <c r="B141" s="528">
        <v>150000709</v>
      </c>
      <c r="C141" s="530">
        <v>0</v>
      </c>
      <c r="D141" s="531">
        <v>0</v>
      </c>
      <c r="E141" s="532">
        <f t="shared" si="2"/>
        <v>0</v>
      </c>
    </row>
    <row r="142" spans="1:5" x14ac:dyDescent="0.25">
      <c r="A142" s="529" t="s">
        <v>279</v>
      </c>
      <c r="B142" s="528">
        <v>150000710</v>
      </c>
      <c r="C142" s="530">
        <v>0</v>
      </c>
      <c r="D142" s="531">
        <v>0</v>
      </c>
      <c r="E142" s="532">
        <f t="shared" si="2"/>
        <v>0</v>
      </c>
    </row>
    <row r="143" spans="1:5" x14ac:dyDescent="0.25">
      <c r="A143" s="529" t="s">
        <v>280</v>
      </c>
      <c r="B143" s="528">
        <v>150000711</v>
      </c>
      <c r="C143" s="530">
        <v>0</v>
      </c>
      <c r="D143" s="531">
        <v>0</v>
      </c>
      <c r="E143" s="532">
        <f t="shared" si="2"/>
        <v>0</v>
      </c>
    </row>
    <row r="144" spans="1:5" x14ac:dyDescent="0.25">
      <c r="A144" s="529" t="s">
        <v>281</v>
      </c>
      <c r="B144" s="528">
        <v>150000712</v>
      </c>
      <c r="C144" s="530">
        <v>0</v>
      </c>
      <c r="D144" s="531">
        <v>0</v>
      </c>
      <c r="E144" s="532">
        <f t="shared" si="2"/>
        <v>0</v>
      </c>
    </row>
    <row r="145" spans="1:5" x14ac:dyDescent="0.25">
      <c r="A145" s="529" t="s">
        <v>282</v>
      </c>
      <c r="B145" s="528">
        <v>150000713</v>
      </c>
      <c r="C145" s="530">
        <v>0</v>
      </c>
      <c r="D145" s="531">
        <v>0</v>
      </c>
      <c r="E145" s="532">
        <f t="shared" si="2"/>
        <v>0</v>
      </c>
    </row>
    <row r="146" spans="1:5" x14ac:dyDescent="0.25">
      <c r="A146" s="529" t="s">
        <v>283</v>
      </c>
      <c r="B146" s="528">
        <v>150000714</v>
      </c>
      <c r="C146" s="530">
        <v>0</v>
      </c>
      <c r="D146" s="531">
        <v>0</v>
      </c>
      <c r="E146" s="532">
        <f t="shared" si="2"/>
        <v>0</v>
      </c>
    </row>
    <row r="147" spans="1:5" x14ac:dyDescent="0.25">
      <c r="A147" s="529" t="s">
        <v>284</v>
      </c>
      <c r="B147" s="528">
        <v>150000715</v>
      </c>
      <c r="C147" s="530">
        <v>0</v>
      </c>
      <c r="D147" s="531">
        <v>0</v>
      </c>
      <c r="E147" s="532">
        <f t="shared" si="2"/>
        <v>0</v>
      </c>
    </row>
    <row r="148" spans="1:5" x14ac:dyDescent="0.25">
      <c r="A148" s="529" t="s">
        <v>286</v>
      </c>
      <c r="B148" s="528">
        <v>150000716</v>
      </c>
      <c r="C148" s="530">
        <v>0</v>
      </c>
      <c r="D148" s="531">
        <v>0</v>
      </c>
      <c r="E148" s="532">
        <f t="shared" si="2"/>
        <v>0</v>
      </c>
    </row>
    <row r="149" spans="1:5" x14ac:dyDescent="0.25">
      <c r="A149" s="529" t="s">
        <v>287</v>
      </c>
      <c r="B149" s="528">
        <v>150000717</v>
      </c>
      <c r="C149" s="530">
        <v>0</v>
      </c>
      <c r="D149" s="531">
        <v>0</v>
      </c>
      <c r="E149" s="532">
        <f t="shared" si="2"/>
        <v>0</v>
      </c>
    </row>
    <row r="150" spans="1:5" x14ac:dyDescent="0.25">
      <c r="A150" s="529" t="s">
        <v>288</v>
      </c>
      <c r="B150" s="528">
        <v>150000718</v>
      </c>
      <c r="C150" s="530">
        <v>0</v>
      </c>
      <c r="D150" s="531">
        <v>0</v>
      </c>
      <c r="E150" s="532">
        <f t="shared" si="2"/>
        <v>0</v>
      </c>
    </row>
    <row r="151" spans="1:5" x14ac:dyDescent="0.25">
      <c r="A151" s="529" t="s">
        <v>285</v>
      </c>
      <c r="B151" s="528">
        <v>150000719</v>
      </c>
      <c r="C151" s="530">
        <v>0</v>
      </c>
      <c r="D151" s="531">
        <v>0</v>
      </c>
      <c r="E151" s="532">
        <f t="shared" si="2"/>
        <v>0</v>
      </c>
    </row>
    <row r="152" spans="1:5" x14ac:dyDescent="0.25">
      <c r="A152" s="529" t="s">
        <v>289</v>
      </c>
      <c r="B152" s="528">
        <v>150000720</v>
      </c>
      <c r="C152" s="530">
        <v>0</v>
      </c>
      <c r="D152" s="531">
        <v>0</v>
      </c>
      <c r="E152" s="532">
        <f t="shared" si="2"/>
        <v>0</v>
      </c>
    </row>
    <row r="153" spans="1:5" x14ac:dyDescent="0.25">
      <c r="A153" s="529" t="s">
        <v>219</v>
      </c>
      <c r="B153" s="528">
        <v>150000721</v>
      </c>
      <c r="C153" s="530">
        <v>0</v>
      </c>
      <c r="D153" s="531">
        <v>0</v>
      </c>
      <c r="E153" s="532">
        <f t="shared" si="2"/>
        <v>0</v>
      </c>
    </row>
    <row r="154" spans="1:5" x14ac:dyDescent="0.25">
      <c r="A154" s="529" t="s">
        <v>275</v>
      </c>
      <c r="B154" s="528">
        <v>150000722</v>
      </c>
      <c r="C154" s="530">
        <v>0</v>
      </c>
      <c r="D154" s="531">
        <v>0</v>
      </c>
      <c r="E154" s="532">
        <f t="shared" si="2"/>
        <v>0</v>
      </c>
    </row>
    <row r="155" spans="1:5" x14ac:dyDescent="0.25">
      <c r="A155" s="529" t="s">
        <v>276</v>
      </c>
      <c r="B155" s="528">
        <v>150000723</v>
      </c>
      <c r="C155" s="530">
        <v>0</v>
      </c>
      <c r="D155" s="531">
        <v>0</v>
      </c>
      <c r="E155" s="532">
        <f t="shared" si="2"/>
        <v>0</v>
      </c>
    </row>
    <row r="156" spans="1:5" x14ac:dyDescent="0.25">
      <c r="A156" s="529" t="s">
        <v>277</v>
      </c>
      <c r="B156" s="528">
        <v>150000724</v>
      </c>
      <c r="C156" s="530">
        <v>0</v>
      </c>
      <c r="D156" s="531">
        <v>0</v>
      </c>
      <c r="E156" s="532">
        <f t="shared" si="2"/>
        <v>0</v>
      </c>
    </row>
    <row r="157" spans="1:5" x14ac:dyDescent="0.25">
      <c r="A157" s="529" t="s">
        <v>278</v>
      </c>
      <c r="B157" s="528">
        <v>150000725</v>
      </c>
      <c r="C157" s="530">
        <v>0</v>
      </c>
      <c r="D157" s="531">
        <v>0</v>
      </c>
      <c r="E157" s="532">
        <f t="shared" si="2"/>
        <v>0</v>
      </c>
    </row>
    <row r="158" spans="1:5" x14ac:dyDescent="0.25">
      <c r="A158" s="529" t="s">
        <v>184</v>
      </c>
      <c r="B158" s="528">
        <v>150000726</v>
      </c>
      <c r="C158" s="530">
        <v>0</v>
      </c>
      <c r="D158" s="531">
        <v>0</v>
      </c>
      <c r="E158" s="532">
        <f t="shared" si="2"/>
        <v>0</v>
      </c>
    </row>
    <row r="159" spans="1:5" x14ac:dyDescent="0.25">
      <c r="A159" s="529" t="s">
        <v>129</v>
      </c>
      <c r="B159" s="528">
        <v>150000727</v>
      </c>
      <c r="C159" s="530">
        <v>0</v>
      </c>
      <c r="D159" s="531">
        <v>0</v>
      </c>
      <c r="E159" s="532">
        <f t="shared" si="2"/>
        <v>0</v>
      </c>
    </row>
    <row r="160" spans="1:5" x14ac:dyDescent="0.25">
      <c r="A160" s="529" t="s">
        <v>185</v>
      </c>
      <c r="B160" s="528">
        <v>150000728</v>
      </c>
      <c r="C160" s="530">
        <v>0</v>
      </c>
      <c r="D160" s="531">
        <v>0</v>
      </c>
      <c r="E160" s="532">
        <f t="shared" si="2"/>
        <v>0</v>
      </c>
    </row>
    <row r="161" spans="1:5" x14ac:dyDescent="0.25">
      <c r="A161" s="529" t="s">
        <v>274</v>
      </c>
      <c r="B161" s="528">
        <v>150000729</v>
      </c>
      <c r="C161" s="530">
        <v>0</v>
      </c>
      <c r="D161" s="531">
        <v>0</v>
      </c>
      <c r="E161" s="532">
        <f t="shared" si="2"/>
        <v>0</v>
      </c>
    </row>
    <row r="162" spans="1:5" x14ac:dyDescent="0.25">
      <c r="A162" s="529" t="s">
        <v>220</v>
      </c>
      <c r="B162" s="528">
        <v>150000736</v>
      </c>
      <c r="C162" s="530">
        <v>0</v>
      </c>
      <c r="D162" s="531">
        <v>0</v>
      </c>
      <c r="E162" s="532">
        <f t="shared" si="2"/>
        <v>0</v>
      </c>
    </row>
    <row r="163" spans="1:5" x14ac:dyDescent="0.25">
      <c r="A163" s="529" t="s">
        <v>222</v>
      </c>
      <c r="B163" s="528">
        <v>150000737</v>
      </c>
      <c r="C163" s="530">
        <v>0</v>
      </c>
      <c r="D163" s="531">
        <v>0</v>
      </c>
      <c r="E163" s="532">
        <f t="shared" si="2"/>
        <v>0</v>
      </c>
    </row>
    <row r="164" spans="1:5" x14ac:dyDescent="0.25">
      <c r="A164" s="529" t="s">
        <v>290</v>
      </c>
      <c r="B164" s="528">
        <v>150000738</v>
      </c>
      <c r="C164" s="530">
        <v>0</v>
      </c>
      <c r="D164" s="531">
        <v>0</v>
      </c>
      <c r="E164" s="532">
        <f t="shared" si="2"/>
        <v>0</v>
      </c>
    </row>
    <row r="165" spans="1:5" x14ac:dyDescent="0.25">
      <c r="A165" s="529" t="s">
        <v>223</v>
      </c>
      <c r="B165" s="528">
        <v>150000739</v>
      </c>
      <c r="C165" s="530">
        <v>0</v>
      </c>
      <c r="D165" s="531">
        <v>0</v>
      </c>
      <c r="E165" s="532">
        <f t="shared" si="2"/>
        <v>0</v>
      </c>
    </row>
    <row r="166" spans="1:5" x14ac:dyDescent="0.25">
      <c r="A166" s="529" t="s">
        <v>198</v>
      </c>
      <c r="B166" s="528">
        <v>150000740</v>
      </c>
      <c r="C166" s="530">
        <v>0</v>
      </c>
      <c r="D166" s="531">
        <v>0</v>
      </c>
      <c r="E166" s="532">
        <f t="shared" si="2"/>
        <v>0</v>
      </c>
    </row>
    <row r="167" spans="1:5" x14ac:dyDescent="0.25">
      <c r="A167" s="529" t="s">
        <v>225</v>
      </c>
      <c r="B167" s="528">
        <v>150000741</v>
      </c>
      <c r="C167" s="530">
        <v>0</v>
      </c>
      <c r="D167" s="531">
        <v>0</v>
      </c>
      <c r="E167" s="532">
        <f t="shared" si="2"/>
        <v>0</v>
      </c>
    </row>
    <row r="168" spans="1:5" x14ac:dyDescent="0.25">
      <c r="A168" s="529" t="s">
        <v>291</v>
      </c>
      <c r="B168" s="528">
        <v>150000742</v>
      </c>
      <c r="C168" s="530">
        <v>0</v>
      </c>
      <c r="D168" s="531">
        <v>0</v>
      </c>
      <c r="E168" s="532">
        <f t="shared" si="2"/>
        <v>0</v>
      </c>
    </row>
    <row r="169" spans="1:5" x14ac:dyDescent="0.25">
      <c r="A169" s="529" t="s">
        <v>221</v>
      </c>
      <c r="B169" s="528">
        <v>150000743</v>
      </c>
      <c r="C169" s="530">
        <v>0</v>
      </c>
      <c r="D169" s="531">
        <v>0</v>
      </c>
      <c r="E169" s="532">
        <f t="shared" si="2"/>
        <v>0</v>
      </c>
    </row>
    <row r="170" spans="1:5" x14ac:dyDescent="0.25">
      <c r="A170" s="529" t="s">
        <v>224</v>
      </c>
      <c r="B170" s="528">
        <v>150000744</v>
      </c>
      <c r="C170" s="530">
        <v>0</v>
      </c>
      <c r="D170" s="531">
        <v>0</v>
      </c>
      <c r="E170" s="532">
        <f t="shared" si="2"/>
        <v>0</v>
      </c>
    </row>
    <row r="171" spans="1:5" x14ac:dyDescent="0.25">
      <c r="A171" s="529" t="s">
        <v>134</v>
      </c>
      <c r="B171" s="528">
        <v>150000745</v>
      </c>
      <c r="C171" s="530">
        <v>0</v>
      </c>
      <c r="D171" s="531">
        <v>0</v>
      </c>
      <c r="E171" s="532">
        <f t="shared" si="2"/>
        <v>0</v>
      </c>
    </row>
    <row r="172" spans="1:5" x14ac:dyDescent="0.25">
      <c r="A172" s="529" t="s">
        <v>130</v>
      </c>
      <c r="B172" s="528">
        <v>150000750</v>
      </c>
      <c r="C172" s="530">
        <v>0</v>
      </c>
      <c r="D172" s="531">
        <v>0</v>
      </c>
      <c r="E172" s="532">
        <f t="shared" si="2"/>
        <v>0</v>
      </c>
    </row>
    <row r="173" spans="1:5" x14ac:dyDescent="0.25">
      <c r="A173" s="529" t="s">
        <v>131</v>
      </c>
      <c r="B173" s="528">
        <v>150000751</v>
      </c>
      <c r="C173" s="530">
        <v>0</v>
      </c>
      <c r="D173" s="531">
        <v>0</v>
      </c>
      <c r="E173" s="532">
        <f t="shared" si="2"/>
        <v>0</v>
      </c>
    </row>
    <row r="174" spans="1:5" x14ac:dyDescent="0.25">
      <c r="A174" s="529" t="s">
        <v>387</v>
      </c>
      <c r="B174" s="528">
        <v>150000752</v>
      </c>
      <c r="C174" s="530">
        <v>1000</v>
      </c>
      <c r="D174" s="531">
        <v>2205.6070769730486</v>
      </c>
      <c r="E174" s="532">
        <f t="shared" si="2"/>
        <v>3205.6070769730486</v>
      </c>
    </row>
    <row r="175" spans="1:5" x14ac:dyDescent="0.25">
      <c r="A175" s="529" t="s">
        <v>240</v>
      </c>
      <c r="B175" s="528">
        <v>150000753</v>
      </c>
      <c r="C175" s="530">
        <v>0</v>
      </c>
      <c r="D175" s="531">
        <v>0</v>
      </c>
      <c r="E175" s="532">
        <f t="shared" si="2"/>
        <v>0</v>
      </c>
    </row>
    <row r="176" spans="1:5" x14ac:dyDescent="0.25">
      <c r="A176" s="529" t="s">
        <v>241</v>
      </c>
      <c r="B176" s="528">
        <v>150000754</v>
      </c>
      <c r="C176" s="530">
        <v>0</v>
      </c>
      <c r="D176" s="531">
        <v>0</v>
      </c>
      <c r="E176" s="532">
        <f t="shared" si="2"/>
        <v>0</v>
      </c>
    </row>
    <row r="177" spans="1:5" x14ac:dyDescent="0.25">
      <c r="A177" s="529" t="s">
        <v>389</v>
      </c>
      <c r="B177" s="528">
        <v>150000758</v>
      </c>
      <c r="C177" s="530">
        <v>3500</v>
      </c>
      <c r="D177" s="531">
        <v>7305.5905324114528</v>
      </c>
      <c r="E177" s="532">
        <f t="shared" si="2"/>
        <v>10805.590532411454</v>
      </c>
    </row>
    <row r="178" spans="1:5" x14ac:dyDescent="0.25">
      <c r="A178" s="529" t="s">
        <v>390</v>
      </c>
      <c r="B178" s="528">
        <v>150000759</v>
      </c>
      <c r="C178" s="530">
        <v>1500</v>
      </c>
      <c r="D178" s="531">
        <v>3144.6108386278133</v>
      </c>
      <c r="E178" s="532">
        <f t="shared" si="2"/>
        <v>4644.6108386278138</v>
      </c>
    </row>
    <row r="179" spans="1:5" x14ac:dyDescent="0.25">
      <c r="A179" s="529" t="s">
        <v>388</v>
      </c>
      <c r="B179" s="528">
        <v>150000760</v>
      </c>
      <c r="C179" s="530">
        <v>3000</v>
      </c>
      <c r="D179" s="531">
        <v>6266.1525316438656</v>
      </c>
      <c r="E179" s="532">
        <f t="shared" si="2"/>
        <v>9266.1525316438656</v>
      </c>
    </row>
    <row r="180" spans="1:5" x14ac:dyDescent="0.25">
      <c r="A180" s="529" t="s">
        <v>391</v>
      </c>
      <c r="B180" s="528">
        <v>150000761</v>
      </c>
      <c r="C180" s="530">
        <v>1000</v>
      </c>
      <c r="D180" s="531">
        <v>3766.7758579525762</v>
      </c>
      <c r="E180" s="532">
        <f t="shared" si="2"/>
        <v>4766.7758579525762</v>
      </c>
    </row>
    <row r="181" spans="1:5" x14ac:dyDescent="0.25">
      <c r="A181" s="529" t="s">
        <v>392</v>
      </c>
      <c r="B181" s="528">
        <v>150000762</v>
      </c>
      <c r="C181" s="530">
        <v>500</v>
      </c>
      <c r="D181" s="531">
        <v>1560.6768897578106</v>
      </c>
      <c r="E181" s="532">
        <f t="shared" si="2"/>
        <v>2060.6768897578104</v>
      </c>
    </row>
    <row r="182" spans="1:5" x14ac:dyDescent="0.25">
      <c r="A182" s="529" t="s">
        <v>118</v>
      </c>
      <c r="B182" s="528">
        <v>150000763</v>
      </c>
      <c r="C182" s="530">
        <v>0</v>
      </c>
      <c r="D182" s="531">
        <v>0</v>
      </c>
      <c r="E182" s="532">
        <f t="shared" si="2"/>
        <v>0</v>
      </c>
    </row>
    <row r="183" spans="1:5" x14ac:dyDescent="0.25">
      <c r="A183" s="529" t="s">
        <v>119</v>
      </c>
      <c r="B183" s="528">
        <v>150000764</v>
      </c>
      <c r="C183" s="530">
        <v>0</v>
      </c>
      <c r="D183" s="531">
        <v>0</v>
      </c>
      <c r="E183" s="532">
        <f t="shared" si="2"/>
        <v>0</v>
      </c>
    </row>
    <row r="184" spans="1:5" x14ac:dyDescent="0.25">
      <c r="A184" s="529" t="s">
        <v>265</v>
      </c>
      <c r="B184" s="528">
        <v>150000765</v>
      </c>
      <c r="C184" s="530">
        <v>0</v>
      </c>
      <c r="D184" s="531">
        <v>0</v>
      </c>
      <c r="E184" s="532">
        <f t="shared" si="2"/>
        <v>0</v>
      </c>
    </row>
    <row r="185" spans="1:5" x14ac:dyDescent="0.25">
      <c r="A185" s="529" t="s">
        <v>117</v>
      </c>
      <c r="B185" s="528">
        <v>150000768</v>
      </c>
      <c r="C185" s="530">
        <v>0</v>
      </c>
      <c r="D185" s="531">
        <v>0</v>
      </c>
      <c r="E185" s="532">
        <f t="shared" si="2"/>
        <v>0</v>
      </c>
    </row>
    <row r="186" spans="1:5" x14ac:dyDescent="0.25">
      <c r="A186" s="529" t="s">
        <v>120</v>
      </c>
      <c r="B186" s="528">
        <v>150000770</v>
      </c>
      <c r="C186" s="530">
        <v>0</v>
      </c>
      <c r="D186" s="531">
        <v>0</v>
      </c>
      <c r="E186" s="532">
        <f t="shared" si="2"/>
        <v>0</v>
      </c>
    </row>
    <row r="187" spans="1:5" x14ac:dyDescent="0.25">
      <c r="A187" s="529" t="s">
        <v>169</v>
      </c>
      <c r="B187" s="528">
        <v>150000777</v>
      </c>
      <c r="C187" s="530">
        <v>0</v>
      </c>
      <c r="D187" s="531">
        <v>0</v>
      </c>
      <c r="E187" s="532">
        <f t="shared" si="2"/>
        <v>0</v>
      </c>
    </row>
    <row r="188" spans="1:5" x14ac:dyDescent="0.25">
      <c r="A188" s="529" t="s">
        <v>215</v>
      </c>
      <c r="B188" s="528">
        <v>150000778</v>
      </c>
      <c r="C188" s="530">
        <v>0</v>
      </c>
      <c r="D188" s="531">
        <v>0</v>
      </c>
      <c r="E188" s="532">
        <f t="shared" si="2"/>
        <v>0</v>
      </c>
    </row>
    <row r="189" spans="1:5" x14ac:dyDescent="0.25">
      <c r="A189" s="529" t="s">
        <v>34</v>
      </c>
      <c r="B189" s="528">
        <v>150000781</v>
      </c>
      <c r="C189" s="530">
        <v>0</v>
      </c>
      <c r="D189" s="531">
        <v>0</v>
      </c>
      <c r="E189" s="532">
        <f t="shared" si="2"/>
        <v>0</v>
      </c>
    </row>
    <row r="190" spans="1:5" x14ac:dyDescent="0.25">
      <c r="A190" s="529" t="s">
        <v>292</v>
      </c>
      <c r="B190" s="528">
        <v>150000795</v>
      </c>
      <c r="C190" s="530">
        <v>0</v>
      </c>
      <c r="D190" s="531">
        <v>0</v>
      </c>
      <c r="E190" s="532">
        <f t="shared" si="2"/>
        <v>0</v>
      </c>
    </row>
    <row r="191" spans="1:5" x14ac:dyDescent="0.25">
      <c r="A191" s="529" t="s">
        <v>99</v>
      </c>
      <c r="B191" s="528">
        <v>150000796</v>
      </c>
      <c r="C191" s="530">
        <v>0</v>
      </c>
      <c r="D191" s="531">
        <v>0</v>
      </c>
      <c r="E191" s="532">
        <f t="shared" si="2"/>
        <v>0</v>
      </c>
    </row>
    <row r="192" spans="1:5" x14ac:dyDescent="0.25">
      <c r="A192" s="529" t="s">
        <v>232</v>
      </c>
      <c r="B192" s="528">
        <v>150000797</v>
      </c>
      <c r="C192" s="530">
        <v>0</v>
      </c>
      <c r="D192" s="531">
        <v>0</v>
      </c>
      <c r="E192" s="532">
        <f t="shared" si="2"/>
        <v>0</v>
      </c>
    </row>
    <row r="193" spans="1:5" x14ac:dyDescent="0.25">
      <c r="A193" s="529" t="s">
        <v>226</v>
      </c>
      <c r="B193" s="528">
        <v>150000798</v>
      </c>
      <c r="C193" s="530">
        <v>0</v>
      </c>
      <c r="D193" s="531">
        <v>0</v>
      </c>
      <c r="E193" s="532">
        <f t="shared" si="2"/>
        <v>0</v>
      </c>
    </row>
    <row r="194" spans="1:5" x14ac:dyDescent="0.25">
      <c r="A194" s="529" t="s">
        <v>293</v>
      </c>
      <c r="B194" s="528">
        <v>150000799</v>
      </c>
      <c r="C194" s="530">
        <v>0</v>
      </c>
      <c r="D194" s="531">
        <v>0</v>
      </c>
      <c r="E194" s="532">
        <f t="shared" si="2"/>
        <v>0</v>
      </c>
    </row>
    <row r="195" spans="1:5" x14ac:dyDescent="0.25">
      <c r="A195" s="529" t="s">
        <v>227</v>
      </c>
      <c r="B195" s="528">
        <v>150000800</v>
      </c>
      <c r="C195" s="530">
        <v>0</v>
      </c>
      <c r="D195" s="531">
        <v>0</v>
      </c>
      <c r="E195" s="532">
        <f t="shared" ref="E195:E258" si="3">SUM(C195:D195)</f>
        <v>0</v>
      </c>
    </row>
    <row r="196" spans="1:5" x14ac:dyDescent="0.25">
      <c r="A196" s="529" t="s">
        <v>295</v>
      </c>
      <c r="B196" s="528">
        <v>150000801</v>
      </c>
      <c r="C196" s="530">
        <v>0</v>
      </c>
      <c r="D196" s="531">
        <v>0</v>
      </c>
      <c r="E196" s="532">
        <f t="shared" si="3"/>
        <v>0</v>
      </c>
    </row>
    <row r="197" spans="1:5" x14ac:dyDescent="0.25">
      <c r="A197" s="529" t="s">
        <v>296</v>
      </c>
      <c r="B197" s="528">
        <v>150000802</v>
      </c>
      <c r="C197" s="530">
        <v>0</v>
      </c>
      <c r="D197" s="531">
        <v>0</v>
      </c>
      <c r="E197" s="532">
        <f t="shared" si="3"/>
        <v>0</v>
      </c>
    </row>
    <row r="198" spans="1:5" x14ac:dyDescent="0.25">
      <c r="A198" s="529" t="s">
        <v>228</v>
      </c>
      <c r="B198" s="528">
        <v>150000803</v>
      </c>
      <c r="C198" s="530">
        <v>0</v>
      </c>
      <c r="D198" s="531">
        <v>0</v>
      </c>
      <c r="E198" s="532">
        <f t="shared" si="3"/>
        <v>0</v>
      </c>
    </row>
    <row r="199" spans="1:5" x14ac:dyDescent="0.25">
      <c r="A199" s="529" t="s">
        <v>297</v>
      </c>
      <c r="B199" s="528">
        <v>150000805</v>
      </c>
      <c r="C199" s="530">
        <v>0</v>
      </c>
      <c r="D199" s="531">
        <v>0</v>
      </c>
      <c r="E199" s="532">
        <f t="shared" si="3"/>
        <v>0</v>
      </c>
    </row>
    <row r="200" spans="1:5" x14ac:dyDescent="0.25">
      <c r="A200" s="529" t="s">
        <v>229</v>
      </c>
      <c r="B200" s="528">
        <v>150000806</v>
      </c>
      <c r="C200" s="530">
        <v>0</v>
      </c>
      <c r="D200" s="531">
        <v>0</v>
      </c>
      <c r="E200" s="532">
        <f t="shared" si="3"/>
        <v>0</v>
      </c>
    </row>
    <row r="201" spans="1:5" x14ac:dyDescent="0.25">
      <c r="A201" s="529" t="s">
        <v>188</v>
      </c>
      <c r="B201" s="528">
        <v>150000807</v>
      </c>
      <c r="C201" s="530">
        <v>0</v>
      </c>
      <c r="D201" s="531">
        <v>0</v>
      </c>
      <c r="E201" s="532">
        <f t="shared" si="3"/>
        <v>0</v>
      </c>
    </row>
    <row r="202" spans="1:5" x14ac:dyDescent="0.25">
      <c r="A202" s="529" t="s">
        <v>298</v>
      </c>
      <c r="B202" s="528">
        <v>150000808</v>
      </c>
      <c r="C202" s="530">
        <v>0</v>
      </c>
      <c r="D202" s="531">
        <v>0</v>
      </c>
      <c r="E202" s="532">
        <f t="shared" si="3"/>
        <v>0</v>
      </c>
    </row>
    <row r="203" spans="1:5" x14ac:dyDescent="0.25">
      <c r="A203" s="529" t="s">
        <v>300</v>
      </c>
      <c r="B203" s="528">
        <v>150000809</v>
      </c>
      <c r="C203" s="530">
        <v>0</v>
      </c>
      <c r="D203" s="531">
        <v>0</v>
      </c>
      <c r="E203" s="532">
        <f t="shared" si="3"/>
        <v>0</v>
      </c>
    </row>
    <row r="204" spans="1:5" x14ac:dyDescent="0.25">
      <c r="A204" s="529" t="s">
        <v>301</v>
      </c>
      <c r="B204" s="528">
        <v>150000810</v>
      </c>
      <c r="C204" s="530">
        <v>0</v>
      </c>
      <c r="D204" s="531">
        <v>0</v>
      </c>
      <c r="E204" s="532">
        <f t="shared" si="3"/>
        <v>0</v>
      </c>
    </row>
    <row r="205" spans="1:5" x14ac:dyDescent="0.25">
      <c r="A205" s="529" t="s">
        <v>302</v>
      </c>
      <c r="B205" s="528">
        <v>150000811</v>
      </c>
      <c r="C205" s="530">
        <v>0</v>
      </c>
      <c r="D205" s="531">
        <v>0</v>
      </c>
      <c r="E205" s="532">
        <f t="shared" si="3"/>
        <v>0</v>
      </c>
    </row>
    <row r="206" spans="1:5" x14ac:dyDescent="0.25">
      <c r="A206" s="529" t="s">
        <v>303</v>
      </c>
      <c r="B206" s="528">
        <v>150000812</v>
      </c>
      <c r="C206" s="530">
        <v>0</v>
      </c>
      <c r="D206" s="531">
        <v>0</v>
      </c>
      <c r="E206" s="532">
        <f t="shared" si="3"/>
        <v>0</v>
      </c>
    </row>
    <row r="207" spans="1:5" x14ac:dyDescent="0.25">
      <c r="A207" s="529" t="s">
        <v>189</v>
      </c>
      <c r="B207" s="528">
        <v>150000813</v>
      </c>
      <c r="C207" s="530">
        <v>0</v>
      </c>
      <c r="D207" s="531">
        <v>0</v>
      </c>
      <c r="E207" s="532">
        <f t="shared" si="3"/>
        <v>0</v>
      </c>
    </row>
    <row r="208" spans="1:5" x14ac:dyDescent="0.25">
      <c r="A208" s="529" t="s">
        <v>305</v>
      </c>
      <c r="B208" s="528">
        <v>150000814</v>
      </c>
      <c r="C208" s="530">
        <v>0</v>
      </c>
      <c r="D208" s="531">
        <v>0</v>
      </c>
      <c r="E208" s="532">
        <f t="shared" si="3"/>
        <v>0</v>
      </c>
    </row>
    <row r="209" spans="1:5" x14ac:dyDescent="0.25">
      <c r="A209" s="529" t="s">
        <v>230</v>
      </c>
      <c r="B209" s="528">
        <v>150000816</v>
      </c>
      <c r="C209" s="530">
        <v>0</v>
      </c>
      <c r="D209" s="531">
        <v>0</v>
      </c>
      <c r="E209" s="532">
        <f t="shared" si="3"/>
        <v>0</v>
      </c>
    </row>
    <row r="210" spans="1:5" x14ac:dyDescent="0.25">
      <c r="A210" s="529" t="s">
        <v>424</v>
      </c>
      <c r="B210" s="528">
        <v>150000819</v>
      </c>
      <c r="C210" s="530">
        <v>1500</v>
      </c>
      <c r="D210" s="531">
        <v>3741.8828460130999</v>
      </c>
      <c r="E210" s="532">
        <f t="shared" si="3"/>
        <v>5241.8828460130999</v>
      </c>
    </row>
    <row r="211" spans="1:5" x14ac:dyDescent="0.25">
      <c r="A211" s="529" t="s">
        <v>395</v>
      </c>
      <c r="B211" s="528">
        <v>150000820</v>
      </c>
      <c r="C211" s="530">
        <v>1000</v>
      </c>
      <c r="D211" s="531">
        <v>2315.0003685623124</v>
      </c>
      <c r="E211" s="532">
        <f t="shared" si="3"/>
        <v>3315.0003685623124</v>
      </c>
    </row>
    <row r="212" spans="1:5" x14ac:dyDescent="0.25">
      <c r="A212" s="529" t="s">
        <v>299</v>
      </c>
      <c r="B212" s="528">
        <v>150000827</v>
      </c>
      <c r="C212" s="530">
        <v>0</v>
      </c>
      <c r="D212" s="531">
        <v>0</v>
      </c>
      <c r="E212" s="532">
        <f t="shared" si="3"/>
        <v>0</v>
      </c>
    </row>
    <row r="213" spans="1:5" x14ac:dyDescent="0.25">
      <c r="A213" s="529" t="s">
        <v>304</v>
      </c>
      <c r="B213" s="528">
        <v>150000828</v>
      </c>
      <c r="C213" s="530">
        <v>0</v>
      </c>
      <c r="D213" s="531">
        <v>0</v>
      </c>
      <c r="E213" s="532">
        <f t="shared" si="3"/>
        <v>0</v>
      </c>
    </row>
    <row r="214" spans="1:5" x14ac:dyDescent="0.25">
      <c r="A214" s="529" t="s">
        <v>231</v>
      </c>
      <c r="B214" s="528">
        <v>150000829</v>
      </c>
      <c r="C214" s="530">
        <v>0</v>
      </c>
      <c r="D214" s="531">
        <v>0</v>
      </c>
      <c r="E214" s="532">
        <f t="shared" si="3"/>
        <v>0</v>
      </c>
    </row>
    <row r="215" spans="1:5" x14ac:dyDescent="0.25">
      <c r="A215" s="529" t="s">
        <v>294</v>
      </c>
      <c r="B215" s="528">
        <v>150000830</v>
      </c>
      <c r="C215" s="530">
        <v>0</v>
      </c>
      <c r="D215" s="531">
        <v>0</v>
      </c>
      <c r="E215" s="532">
        <f t="shared" si="3"/>
        <v>0</v>
      </c>
    </row>
    <row r="216" spans="1:5" x14ac:dyDescent="0.25">
      <c r="A216" s="529" t="s">
        <v>423</v>
      </c>
      <c r="B216" s="528">
        <v>150000832</v>
      </c>
      <c r="C216" s="530">
        <v>1000</v>
      </c>
      <c r="D216" s="531">
        <v>2430.0531726351514</v>
      </c>
      <c r="E216" s="532">
        <f t="shared" si="3"/>
        <v>3430.0531726351514</v>
      </c>
    </row>
    <row r="217" spans="1:5" x14ac:dyDescent="0.25">
      <c r="A217" s="529" t="s">
        <v>393</v>
      </c>
      <c r="B217" s="528">
        <v>150000833</v>
      </c>
      <c r="C217" s="530">
        <v>1000</v>
      </c>
      <c r="D217" s="531">
        <v>2626.4227805857681</v>
      </c>
      <c r="E217" s="532">
        <f t="shared" si="3"/>
        <v>3626.4227805857681</v>
      </c>
    </row>
    <row r="218" spans="1:5" x14ac:dyDescent="0.25">
      <c r="A218" s="529" t="s">
        <v>80</v>
      </c>
      <c r="B218" s="528">
        <v>150000834</v>
      </c>
      <c r="C218" s="530">
        <v>0</v>
      </c>
      <c r="D218" s="531">
        <v>0</v>
      </c>
      <c r="E218" s="532">
        <f t="shared" si="3"/>
        <v>0</v>
      </c>
    </row>
    <row r="219" spans="1:5" x14ac:dyDescent="0.25">
      <c r="A219" s="529" t="s">
        <v>138</v>
      </c>
      <c r="B219" s="528">
        <v>150000835</v>
      </c>
      <c r="C219" s="530">
        <v>0</v>
      </c>
      <c r="D219" s="531">
        <v>0</v>
      </c>
      <c r="E219" s="532">
        <f t="shared" si="3"/>
        <v>0</v>
      </c>
    </row>
    <row r="220" spans="1:5" x14ac:dyDescent="0.25">
      <c r="A220" s="529" t="s">
        <v>199</v>
      </c>
      <c r="B220" s="528">
        <v>150000836</v>
      </c>
      <c r="C220" s="530">
        <v>0</v>
      </c>
      <c r="D220" s="531">
        <v>0</v>
      </c>
      <c r="E220" s="532">
        <f t="shared" si="3"/>
        <v>0</v>
      </c>
    </row>
    <row r="221" spans="1:5" x14ac:dyDescent="0.25">
      <c r="A221" s="529" t="s">
        <v>200</v>
      </c>
      <c r="B221" s="528">
        <v>150000837</v>
      </c>
      <c r="C221" s="530">
        <v>0</v>
      </c>
      <c r="D221" s="531">
        <v>0</v>
      </c>
      <c r="E221" s="532">
        <f t="shared" si="3"/>
        <v>0</v>
      </c>
    </row>
    <row r="222" spans="1:5" x14ac:dyDescent="0.25">
      <c r="A222" s="529" t="s">
        <v>136</v>
      </c>
      <c r="B222" s="528">
        <v>150000839</v>
      </c>
      <c r="C222" s="530">
        <v>0</v>
      </c>
      <c r="D222" s="531">
        <v>0</v>
      </c>
      <c r="E222" s="532">
        <f t="shared" si="3"/>
        <v>0</v>
      </c>
    </row>
    <row r="223" spans="1:5" x14ac:dyDescent="0.25">
      <c r="A223" s="529" t="s">
        <v>394</v>
      </c>
      <c r="B223" s="528">
        <v>150000840</v>
      </c>
      <c r="C223" s="530">
        <v>1000</v>
      </c>
      <c r="D223" s="531">
        <v>2330.4369099359706</v>
      </c>
      <c r="E223" s="532">
        <f t="shared" si="3"/>
        <v>3330.4369099359706</v>
      </c>
    </row>
    <row r="224" spans="1:5" x14ac:dyDescent="0.25">
      <c r="A224" s="529" t="s">
        <v>137</v>
      </c>
      <c r="B224" s="528">
        <v>150000841</v>
      </c>
      <c r="C224" s="530">
        <v>0</v>
      </c>
      <c r="D224" s="531">
        <v>0</v>
      </c>
      <c r="E224" s="532">
        <f t="shared" si="3"/>
        <v>0</v>
      </c>
    </row>
    <row r="225" spans="1:5" x14ac:dyDescent="0.25">
      <c r="A225" s="529" t="s">
        <v>139</v>
      </c>
      <c r="B225" s="528">
        <v>150000845</v>
      </c>
      <c r="C225" s="530">
        <v>0</v>
      </c>
      <c r="D225" s="531">
        <v>0</v>
      </c>
      <c r="E225" s="532">
        <f t="shared" si="3"/>
        <v>0</v>
      </c>
    </row>
    <row r="226" spans="1:5" x14ac:dyDescent="0.25">
      <c r="A226" s="529" t="s">
        <v>140</v>
      </c>
      <c r="B226" s="528">
        <v>150000846</v>
      </c>
      <c r="C226" s="530">
        <v>0</v>
      </c>
      <c r="D226" s="531">
        <v>0</v>
      </c>
      <c r="E226" s="532">
        <f t="shared" si="3"/>
        <v>0</v>
      </c>
    </row>
    <row r="227" spans="1:5" x14ac:dyDescent="0.25">
      <c r="A227" s="529" t="s">
        <v>187</v>
      </c>
      <c r="B227" s="528">
        <v>150000848</v>
      </c>
      <c r="C227" s="530">
        <v>0</v>
      </c>
      <c r="D227" s="531">
        <v>0</v>
      </c>
      <c r="E227" s="532">
        <f t="shared" si="3"/>
        <v>0</v>
      </c>
    </row>
    <row r="228" spans="1:5" x14ac:dyDescent="0.25">
      <c r="A228" s="529" t="s">
        <v>135</v>
      </c>
      <c r="B228" s="528">
        <v>150000851</v>
      </c>
      <c r="C228" s="530">
        <v>0</v>
      </c>
      <c r="D228" s="531">
        <v>0</v>
      </c>
      <c r="E228" s="532">
        <f t="shared" si="3"/>
        <v>0</v>
      </c>
    </row>
    <row r="229" spans="1:5" x14ac:dyDescent="0.25">
      <c r="A229" s="529" t="s">
        <v>233</v>
      </c>
      <c r="B229" s="528">
        <v>150000861</v>
      </c>
      <c r="C229" s="530">
        <v>0</v>
      </c>
      <c r="D229" s="531">
        <v>0</v>
      </c>
      <c r="E229" s="532">
        <f t="shared" si="3"/>
        <v>0</v>
      </c>
    </row>
    <row r="230" spans="1:5" x14ac:dyDescent="0.25">
      <c r="A230" s="529" t="s">
        <v>235</v>
      </c>
      <c r="B230" s="528">
        <v>150000862</v>
      </c>
      <c r="C230" s="530">
        <v>0</v>
      </c>
      <c r="D230" s="531">
        <v>0</v>
      </c>
      <c r="E230" s="532">
        <f t="shared" si="3"/>
        <v>0</v>
      </c>
    </row>
    <row r="231" spans="1:5" x14ac:dyDescent="0.25">
      <c r="A231" s="529" t="s">
        <v>236</v>
      </c>
      <c r="B231" s="528">
        <v>150000863</v>
      </c>
      <c r="C231" s="530">
        <v>0</v>
      </c>
      <c r="D231" s="531">
        <v>0</v>
      </c>
      <c r="E231" s="532">
        <f t="shared" si="3"/>
        <v>0</v>
      </c>
    </row>
    <row r="232" spans="1:5" x14ac:dyDescent="0.25">
      <c r="A232" s="529" t="s">
        <v>201</v>
      </c>
      <c r="B232" s="528">
        <v>150000864</v>
      </c>
      <c r="C232" s="530">
        <v>0</v>
      </c>
      <c r="D232" s="531">
        <v>0</v>
      </c>
      <c r="E232" s="532">
        <f t="shared" si="3"/>
        <v>0</v>
      </c>
    </row>
    <row r="233" spans="1:5" x14ac:dyDescent="0.25">
      <c r="A233" s="529" t="s">
        <v>306</v>
      </c>
      <c r="B233" s="528">
        <v>150000865</v>
      </c>
      <c r="C233" s="530">
        <v>0</v>
      </c>
      <c r="D233" s="531">
        <v>0</v>
      </c>
      <c r="E233" s="532">
        <f t="shared" si="3"/>
        <v>0</v>
      </c>
    </row>
    <row r="234" spans="1:5" x14ac:dyDescent="0.25">
      <c r="A234" s="529" t="s">
        <v>309</v>
      </c>
      <c r="B234" s="528">
        <v>150000866</v>
      </c>
      <c r="C234" s="530">
        <v>0</v>
      </c>
      <c r="D234" s="531">
        <v>0</v>
      </c>
      <c r="E234" s="532">
        <f t="shared" si="3"/>
        <v>0</v>
      </c>
    </row>
    <row r="235" spans="1:5" x14ac:dyDescent="0.25">
      <c r="A235" s="529" t="s">
        <v>310</v>
      </c>
      <c r="B235" s="528">
        <v>150000867</v>
      </c>
      <c r="C235" s="530">
        <v>0</v>
      </c>
      <c r="D235" s="531">
        <v>0</v>
      </c>
      <c r="E235" s="532">
        <f t="shared" si="3"/>
        <v>0</v>
      </c>
    </row>
    <row r="236" spans="1:5" x14ac:dyDescent="0.25">
      <c r="A236" s="529" t="s">
        <v>311</v>
      </c>
      <c r="B236" s="528">
        <v>150000868</v>
      </c>
      <c r="C236" s="530">
        <v>0</v>
      </c>
      <c r="D236" s="531">
        <v>0</v>
      </c>
      <c r="E236" s="532">
        <f t="shared" si="3"/>
        <v>0</v>
      </c>
    </row>
    <row r="237" spans="1:5" x14ac:dyDescent="0.25">
      <c r="A237" s="529" t="s">
        <v>312</v>
      </c>
      <c r="B237" s="528">
        <v>150000869</v>
      </c>
      <c r="C237" s="530">
        <v>0</v>
      </c>
      <c r="D237" s="531">
        <v>0</v>
      </c>
      <c r="E237" s="532">
        <f t="shared" si="3"/>
        <v>0</v>
      </c>
    </row>
    <row r="238" spans="1:5" x14ac:dyDescent="0.25">
      <c r="A238" s="529" t="s">
        <v>141</v>
      </c>
      <c r="B238" s="528">
        <v>150000871</v>
      </c>
      <c r="C238" s="530">
        <v>0</v>
      </c>
      <c r="D238" s="531">
        <v>0</v>
      </c>
      <c r="E238" s="532">
        <f t="shared" si="3"/>
        <v>0</v>
      </c>
    </row>
    <row r="239" spans="1:5" x14ac:dyDescent="0.25">
      <c r="A239" s="529" t="s">
        <v>234</v>
      </c>
      <c r="B239" s="528">
        <v>150000872</v>
      </c>
      <c r="C239" s="530">
        <v>0</v>
      </c>
      <c r="D239" s="531">
        <v>0</v>
      </c>
      <c r="E239" s="532">
        <f t="shared" si="3"/>
        <v>0</v>
      </c>
    </row>
    <row r="240" spans="1:5" x14ac:dyDescent="0.25">
      <c r="A240" s="529" t="s">
        <v>307</v>
      </c>
      <c r="B240" s="528">
        <v>150000873</v>
      </c>
      <c r="C240" s="530">
        <v>0</v>
      </c>
      <c r="D240" s="531">
        <v>0</v>
      </c>
      <c r="E240" s="532">
        <f t="shared" si="3"/>
        <v>0</v>
      </c>
    </row>
    <row r="241" spans="1:5" x14ac:dyDescent="0.25">
      <c r="A241" s="529" t="s">
        <v>308</v>
      </c>
      <c r="B241" s="528">
        <v>150000874</v>
      </c>
      <c r="C241" s="530">
        <v>0</v>
      </c>
      <c r="D241" s="531">
        <v>0</v>
      </c>
      <c r="E241" s="532">
        <f t="shared" si="3"/>
        <v>0</v>
      </c>
    </row>
    <row r="242" spans="1:5" x14ac:dyDescent="0.25">
      <c r="A242" s="529" t="s">
        <v>313</v>
      </c>
      <c r="B242" s="528">
        <v>150000875</v>
      </c>
      <c r="C242" s="530">
        <v>0</v>
      </c>
      <c r="D242" s="531">
        <v>0</v>
      </c>
      <c r="E242" s="532">
        <f t="shared" si="3"/>
        <v>0</v>
      </c>
    </row>
    <row r="243" spans="1:5" x14ac:dyDescent="0.25">
      <c r="A243" s="529" t="s">
        <v>237</v>
      </c>
      <c r="B243" s="528">
        <v>150000878</v>
      </c>
      <c r="C243" s="530">
        <v>0</v>
      </c>
      <c r="D243" s="531">
        <v>0</v>
      </c>
      <c r="E243" s="532">
        <f t="shared" si="3"/>
        <v>0</v>
      </c>
    </row>
    <row r="244" spans="1:5" x14ac:dyDescent="0.25">
      <c r="A244" s="529" t="s">
        <v>330</v>
      </c>
      <c r="B244" s="528">
        <v>150000879</v>
      </c>
      <c r="C244" s="530">
        <v>0</v>
      </c>
      <c r="D244" s="531">
        <v>0</v>
      </c>
      <c r="E244" s="532">
        <f t="shared" si="3"/>
        <v>0</v>
      </c>
    </row>
    <row r="245" spans="1:5" x14ac:dyDescent="0.25">
      <c r="A245" s="529" t="s">
        <v>238</v>
      </c>
      <c r="B245" s="528">
        <v>150000880</v>
      </c>
      <c r="C245" s="530">
        <v>0</v>
      </c>
      <c r="D245" s="531">
        <v>0</v>
      </c>
      <c r="E245" s="532">
        <f t="shared" si="3"/>
        <v>0</v>
      </c>
    </row>
    <row r="246" spans="1:5" x14ac:dyDescent="0.25">
      <c r="A246" s="529" t="s">
        <v>412</v>
      </c>
      <c r="B246" s="528">
        <v>150000881</v>
      </c>
      <c r="C246" s="530">
        <v>500</v>
      </c>
      <c r="D246" s="531">
        <v>1329.4327468742254</v>
      </c>
      <c r="E246" s="532">
        <f t="shared" si="3"/>
        <v>1829.4327468742254</v>
      </c>
    </row>
    <row r="247" spans="1:5" x14ac:dyDescent="0.25">
      <c r="A247" s="529" t="s">
        <v>331</v>
      </c>
      <c r="B247" s="528">
        <v>150000882</v>
      </c>
      <c r="C247" s="530">
        <v>0</v>
      </c>
      <c r="D247" s="531">
        <v>0</v>
      </c>
      <c r="E247" s="532">
        <f t="shared" si="3"/>
        <v>0</v>
      </c>
    </row>
    <row r="248" spans="1:5" x14ac:dyDescent="0.25">
      <c r="A248" s="529" t="s">
        <v>332</v>
      </c>
      <c r="B248" s="528">
        <v>150000883</v>
      </c>
      <c r="C248" s="530">
        <v>0</v>
      </c>
      <c r="D248" s="531">
        <v>0</v>
      </c>
      <c r="E248" s="532">
        <f t="shared" si="3"/>
        <v>0</v>
      </c>
    </row>
    <row r="249" spans="1:5" x14ac:dyDescent="0.25">
      <c r="A249" s="529" t="s">
        <v>333</v>
      </c>
      <c r="B249" s="528">
        <v>150000884</v>
      </c>
      <c r="C249" s="530">
        <v>0</v>
      </c>
      <c r="D249" s="531">
        <v>0</v>
      </c>
      <c r="E249" s="532">
        <f t="shared" si="3"/>
        <v>0</v>
      </c>
    </row>
    <row r="250" spans="1:5" x14ac:dyDescent="0.25">
      <c r="A250" s="529" t="s">
        <v>239</v>
      </c>
      <c r="B250" s="528">
        <v>150000885</v>
      </c>
      <c r="C250" s="530">
        <v>0</v>
      </c>
      <c r="D250" s="531">
        <v>0</v>
      </c>
      <c r="E250" s="532">
        <f t="shared" si="3"/>
        <v>0</v>
      </c>
    </row>
    <row r="251" spans="1:5" x14ac:dyDescent="0.25">
      <c r="A251" s="529" t="s">
        <v>397</v>
      </c>
      <c r="B251" s="528">
        <v>150000886</v>
      </c>
      <c r="C251" s="530">
        <v>500</v>
      </c>
      <c r="D251" s="531">
        <v>1179.0300972496793</v>
      </c>
      <c r="E251" s="532">
        <f t="shared" si="3"/>
        <v>1679.0300972496793</v>
      </c>
    </row>
    <row r="252" spans="1:5" x14ac:dyDescent="0.25">
      <c r="A252" s="529" t="s">
        <v>398</v>
      </c>
      <c r="B252" s="528">
        <v>150000887</v>
      </c>
      <c r="C252" s="530">
        <v>1500</v>
      </c>
      <c r="D252" s="531">
        <v>3548.5972302166197</v>
      </c>
      <c r="E252" s="532">
        <f t="shared" si="3"/>
        <v>5048.5972302166192</v>
      </c>
    </row>
    <row r="253" spans="1:5" x14ac:dyDescent="0.25">
      <c r="A253" s="529" t="s">
        <v>314</v>
      </c>
      <c r="B253" s="528">
        <v>150000888</v>
      </c>
      <c r="C253" s="530">
        <v>0</v>
      </c>
      <c r="D253" s="531">
        <v>0</v>
      </c>
      <c r="E253" s="532">
        <f t="shared" si="3"/>
        <v>0</v>
      </c>
    </row>
    <row r="254" spans="1:5" x14ac:dyDescent="0.25">
      <c r="A254" s="529" t="s">
        <v>428</v>
      </c>
      <c r="B254" s="528">
        <v>150000889</v>
      </c>
      <c r="C254" s="530">
        <v>1000</v>
      </c>
      <c r="D254" s="531">
        <v>2905.0211255780187</v>
      </c>
      <c r="E254" s="532">
        <f t="shared" si="3"/>
        <v>3905.0211255780187</v>
      </c>
    </row>
    <row r="255" spans="1:5" x14ac:dyDescent="0.25">
      <c r="A255" s="529" t="s">
        <v>399</v>
      </c>
      <c r="B255" s="528">
        <v>150000890</v>
      </c>
      <c r="C255" s="530">
        <v>2000</v>
      </c>
      <c r="D255" s="531">
        <v>4670.037366451792</v>
      </c>
      <c r="E255" s="532">
        <f t="shared" si="3"/>
        <v>6670.037366451792</v>
      </c>
    </row>
    <row r="256" spans="1:5" x14ac:dyDescent="0.25">
      <c r="A256" s="529" t="s">
        <v>190</v>
      </c>
      <c r="B256" s="528">
        <v>150000891</v>
      </c>
      <c r="C256" s="530">
        <v>0</v>
      </c>
      <c r="D256" s="531">
        <v>0</v>
      </c>
      <c r="E256" s="532">
        <f t="shared" si="3"/>
        <v>0</v>
      </c>
    </row>
    <row r="257" spans="1:5" x14ac:dyDescent="0.25">
      <c r="A257" s="529" t="s">
        <v>401</v>
      </c>
      <c r="B257" s="528">
        <v>150000892</v>
      </c>
      <c r="C257" s="530">
        <v>1000</v>
      </c>
      <c r="D257" s="531">
        <v>2295.8055571800296</v>
      </c>
      <c r="E257" s="532">
        <f t="shared" si="3"/>
        <v>3295.8055571800296</v>
      </c>
    </row>
    <row r="258" spans="1:5" x14ac:dyDescent="0.25">
      <c r="A258" s="529" t="s">
        <v>315</v>
      </c>
      <c r="B258" s="528">
        <v>150000893</v>
      </c>
      <c r="C258" s="530">
        <v>0</v>
      </c>
      <c r="D258" s="531">
        <v>0</v>
      </c>
      <c r="E258" s="532">
        <f t="shared" si="3"/>
        <v>0</v>
      </c>
    </row>
    <row r="259" spans="1:5" x14ac:dyDescent="0.25">
      <c r="A259" s="529" t="s">
        <v>316</v>
      </c>
      <c r="B259" s="528">
        <v>150000894</v>
      </c>
      <c r="C259" s="530">
        <v>0</v>
      </c>
      <c r="D259" s="531">
        <v>0</v>
      </c>
      <c r="E259" s="532">
        <f t="shared" ref="E259:E322" si="4">SUM(C259:D259)</f>
        <v>0</v>
      </c>
    </row>
    <row r="260" spans="1:5" x14ac:dyDescent="0.25">
      <c r="A260" s="529" t="s">
        <v>317</v>
      </c>
      <c r="B260" s="528">
        <v>150000895</v>
      </c>
      <c r="C260" s="530">
        <v>0</v>
      </c>
      <c r="D260" s="531">
        <v>0</v>
      </c>
      <c r="E260" s="532">
        <f t="shared" si="4"/>
        <v>0</v>
      </c>
    </row>
    <row r="261" spans="1:5" x14ac:dyDescent="0.25">
      <c r="A261" s="529" t="s">
        <v>318</v>
      </c>
      <c r="B261" s="528">
        <v>150000896</v>
      </c>
      <c r="C261" s="530">
        <v>0</v>
      </c>
      <c r="D261" s="531">
        <v>0</v>
      </c>
      <c r="E261" s="532">
        <f t="shared" si="4"/>
        <v>0</v>
      </c>
    </row>
    <row r="262" spans="1:5" x14ac:dyDescent="0.25">
      <c r="A262" s="529" t="s">
        <v>191</v>
      </c>
      <c r="B262" s="528">
        <v>150000898</v>
      </c>
      <c r="C262" s="530">
        <v>0</v>
      </c>
      <c r="D262" s="531">
        <v>0</v>
      </c>
      <c r="E262" s="532">
        <f t="shared" si="4"/>
        <v>0</v>
      </c>
    </row>
    <row r="263" spans="1:5" x14ac:dyDescent="0.25">
      <c r="A263" s="529" t="s">
        <v>403</v>
      </c>
      <c r="B263" s="528">
        <v>150000899</v>
      </c>
      <c r="C263" s="530">
        <v>1500</v>
      </c>
      <c r="D263" s="531">
        <v>3433.2901902314325</v>
      </c>
      <c r="E263" s="532">
        <f t="shared" si="4"/>
        <v>4933.2901902314325</v>
      </c>
    </row>
    <row r="264" spans="1:5" x14ac:dyDescent="0.25">
      <c r="A264" s="529" t="s">
        <v>426</v>
      </c>
      <c r="B264" s="528">
        <v>150000900</v>
      </c>
      <c r="C264" s="530">
        <v>1000</v>
      </c>
      <c r="D264" s="531">
        <v>2408.5039156298194</v>
      </c>
      <c r="E264" s="532">
        <f t="shared" si="4"/>
        <v>3408.5039156298194</v>
      </c>
    </row>
    <row r="265" spans="1:5" x14ac:dyDescent="0.25">
      <c r="A265" s="529" t="s">
        <v>425</v>
      </c>
      <c r="B265" s="528">
        <v>150000901</v>
      </c>
      <c r="C265" s="530">
        <v>2000</v>
      </c>
      <c r="D265" s="531">
        <v>5502.3283673322667</v>
      </c>
      <c r="E265" s="532">
        <f t="shared" si="4"/>
        <v>7502.3283673322667</v>
      </c>
    </row>
    <row r="266" spans="1:5" x14ac:dyDescent="0.25">
      <c r="A266" s="529" t="s">
        <v>404</v>
      </c>
      <c r="B266" s="528">
        <v>150000902</v>
      </c>
      <c r="C266" s="530">
        <v>1000</v>
      </c>
      <c r="D266" s="531">
        <v>1979.3371149832308</v>
      </c>
      <c r="E266" s="532">
        <f t="shared" si="4"/>
        <v>2979.337114983231</v>
      </c>
    </row>
    <row r="267" spans="1:5" x14ac:dyDescent="0.25">
      <c r="A267" s="529" t="s">
        <v>405</v>
      </c>
      <c r="B267" s="528">
        <v>150000903</v>
      </c>
      <c r="C267" s="530">
        <v>1000</v>
      </c>
      <c r="D267" s="531">
        <v>2251.5353472255006</v>
      </c>
      <c r="E267" s="532">
        <f t="shared" si="4"/>
        <v>3251.5353472255006</v>
      </c>
    </row>
    <row r="268" spans="1:5" x14ac:dyDescent="0.25">
      <c r="A268" s="529" t="s">
        <v>406</v>
      </c>
      <c r="B268" s="528">
        <v>150000904</v>
      </c>
      <c r="C268" s="530">
        <v>1000</v>
      </c>
      <c r="D268" s="531">
        <v>2424.8026483583972</v>
      </c>
      <c r="E268" s="532">
        <f t="shared" si="4"/>
        <v>3424.8026483583972</v>
      </c>
    </row>
    <row r="269" spans="1:5" x14ac:dyDescent="0.25">
      <c r="A269" s="529" t="s">
        <v>427</v>
      </c>
      <c r="B269" s="528">
        <v>150000905</v>
      </c>
      <c r="C269" s="530">
        <v>1000</v>
      </c>
      <c r="D269" s="531">
        <v>2886.627710006399</v>
      </c>
      <c r="E269" s="532">
        <f t="shared" si="4"/>
        <v>3886.627710006399</v>
      </c>
    </row>
    <row r="270" spans="1:5" x14ac:dyDescent="0.25">
      <c r="A270" s="529" t="s">
        <v>407</v>
      </c>
      <c r="B270" s="528">
        <v>150000906</v>
      </c>
      <c r="C270" s="530">
        <v>1000</v>
      </c>
      <c r="D270" s="531">
        <v>2175.574078110013</v>
      </c>
      <c r="E270" s="532">
        <f t="shared" si="4"/>
        <v>3175.574078110013</v>
      </c>
    </row>
    <row r="271" spans="1:5" x14ac:dyDescent="0.25">
      <c r="A271" s="529" t="s">
        <v>408</v>
      </c>
      <c r="B271" s="528">
        <v>150000907</v>
      </c>
      <c r="C271" s="530">
        <v>1500</v>
      </c>
      <c r="D271" s="531">
        <v>3486.2044212057976</v>
      </c>
      <c r="E271" s="532">
        <f t="shared" si="4"/>
        <v>4986.2044212057972</v>
      </c>
    </row>
    <row r="272" spans="1:5" x14ac:dyDescent="0.25">
      <c r="A272" s="529" t="s">
        <v>409</v>
      </c>
      <c r="B272" s="528">
        <v>150000908</v>
      </c>
      <c r="C272" s="530">
        <v>1500</v>
      </c>
      <c r="D272" s="531">
        <v>3495.589042492039</v>
      </c>
      <c r="E272" s="532">
        <f t="shared" si="4"/>
        <v>4995.589042492039</v>
      </c>
    </row>
    <row r="273" spans="1:5" x14ac:dyDescent="0.25">
      <c r="A273" s="529" t="s">
        <v>410</v>
      </c>
      <c r="B273" s="528">
        <v>150000909</v>
      </c>
      <c r="C273" s="530">
        <v>1500</v>
      </c>
      <c r="D273" s="531">
        <v>3501.3756729317879</v>
      </c>
      <c r="E273" s="532">
        <f t="shared" si="4"/>
        <v>5001.3756729317884</v>
      </c>
    </row>
    <row r="274" spans="1:5" x14ac:dyDescent="0.25">
      <c r="A274" s="529" t="s">
        <v>411</v>
      </c>
      <c r="B274" s="528">
        <v>150000910</v>
      </c>
      <c r="C274" s="530">
        <v>1500</v>
      </c>
      <c r="D274" s="531">
        <v>3508.0963440060341</v>
      </c>
      <c r="E274" s="532">
        <f t="shared" si="4"/>
        <v>5008.0963440060341</v>
      </c>
    </row>
    <row r="275" spans="1:5" x14ac:dyDescent="0.25">
      <c r="A275" s="529" t="s">
        <v>319</v>
      </c>
      <c r="B275" s="528">
        <v>150000911</v>
      </c>
      <c r="C275" s="530">
        <v>0</v>
      </c>
      <c r="D275" s="531">
        <v>0</v>
      </c>
      <c r="E275" s="532">
        <f t="shared" si="4"/>
        <v>0</v>
      </c>
    </row>
    <row r="276" spans="1:5" x14ac:dyDescent="0.25">
      <c r="A276" s="529" t="s">
        <v>320</v>
      </c>
      <c r="B276" s="528">
        <v>150000912</v>
      </c>
      <c r="C276" s="530">
        <v>0</v>
      </c>
      <c r="D276" s="531">
        <v>0</v>
      </c>
      <c r="E276" s="532">
        <f t="shared" si="4"/>
        <v>0</v>
      </c>
    </row>
    <row r="277" spans="1:5" x14ac:dyDescent="0.25">
      <c r="A277" s="529" t="s">
        <v>321</v>
      </c>
      <c r="B277" s="528">
        <v>150000913</v>
      </c>
      <c r="C277" s="530">
        <v>0</v>
      </c>
      <c r="D277" s="531">
        <v>0</v>
      </c>
      <c r="E277" s="532">
        <f t="shared" si="4"/>
        <v>0</v>
      </c>
    </row>
    <row r="278" spans="1:5" x14ac:dyDescent="0.25">
      <c r="A278" s="529" t="s">
        <v>322</v>
      </c>
      <c r="B278" s="528">
        <v>150000914</v>
      </c>
      <c r="C278" s="530">
        <v>0</v>
      </c>
      <c r="D278" s="531">
        <v>0</v>
      </c>
      <c r="E278" s="532">
        <f t="shared" si="4"/>
        <v>0</v>
      </c>
    </row>
    <row r="279" spans="1:5" x14ac:dyDescent="0.25">
      <c r="A279" s="529" t="s">
        <v>323</v>
      </c>
      <c r="B279" s="528">
        <v>150000915</v>
      </c>
      <c r="C279" s="530">
        <v>0</v>
      </c>
      <c r="D279" s="531">
        <v>0</v>
      </c>
      <c r="E279" s="532">
        <f t="shared" si="4"/>
        <v>0</v>
      </c>
    </row>
    <row r="280" spans="1:5" x14ac:dyDescent="0.25">
      <c r="A280" s="529" t="s">
        <v>324</v>
      </c>
      <c r="B280" s="528">
        <v>150000916</v>
      </c>
      <c r="C280" s="530">
        <v>0</v>
      </c>
      <c r="D280" s="531">
        <v>0</v>
      </c>
      <c r="E280" s="532">
        <f t="shared" si="4"/>
        <v>0</v>
      </c>
    </row>
    <row r="281" spans="1:5" x14ac:dyDescent="0.25">
      <c r="A281" s="529" t="s">
        <v>325</v>
      </c>
      <c r="B281" s="528">
        <v>150000917</v>
      </c>
      <c r="C281" s="530">
        <v>0</v>
      </c>
      <c r="D281" s="531">
        <v>0</v>
      </c>
      <c r="E281" s="532">
        <f t="shared" si="4"/>
        <v>0</v>
      </c>
    </row>
    <row r="282" spans="1:5" x14ac:dyDescent="0.25">
      <c r="A282" s="529" t="s">
        <v>326</v>
      </c>
      <c r="B282" s="528">
        <v>150000918</v>
      </c>
      <c r="C282" s="530">
        <v>0</v>
      </c>
      <c r="D282" s="531">
        <v>0</v>
      </c>
      <c r="E282" s="532">
        <f t="shared" si="4"/>
        <v>0</v>
      </c>
    </row>
    <row r="283" spans="1:5" x14ac:dyDescent="0.25">
      <c r="A283" s="529" t="s">
        <v>327</v>
      </c>
      <c r="B283" s="528">
        <v>150000919</v>
      </c>
      <c r="C283" s="530">
        <v>0</v>
      </c>
      <c r="D283" s="531">
        <v>0</v>
      </c>
      <c r="E283" s="532">
        <f t="shared" si="4"/>
        <v>0</v>
      </c>
    </row>
    <row r="284" spans="1:5" x14ac:dyDescent="0.25">
      <c r="A284" s="529" t="s">
        <v>328</v>
      </c>
      <c r="B284" s="528">
        <v>150000920</v>
      </c>
      <c r="C284" s="530">
        <v>0</v>
      </c>
      <c r="D284" s="531">
        <v>0</v>
      </c>
      <c r="E284" s="532">
        <f t="shared" si="4"/>
        <v>0</v>
      </c>
    </row>
    <row r="285" spans="1:5" x14ac:dyDescent="0.25">
      <c r="A285" s="529" t="s">
        <v>329</v>
      </c>
      <c r="B285" s="528">
        <v>150000921</v>
      </c>
      <c r="C285" s="530">
        <v>0</v>
      </c>
      <c r="D285" s="531">
        <v>0</v>
      </c>
      <c r="E285" s="532">
        <f t="shared" si="4"/>
        <v>0</v>
      </c>
    </row>
    <row r="286" spans="1:5" x14ac:dyDescent="0.25">
      <c r="A286" s="529" t="s">
        <v>402</v>
      </c>
      <c r="B286" s="528">
        <v>150000922</v>
      </c>
      <c r="C286" s="530">
        <v>1000</v>
      </c>
      <c r="D286" s="531">
        <v>2347.2883294305225</v>
      </c>
      <c r="E286" s="532">
        <f t="shared" si="4"/>
        <v>3347.2883294305225</v>
      </c>
    </row>
    <row r="287" spans="1:5" x14ac:dyDescent="0.25">
      <c r="A287" s="529" t="s">
        <v>175</v>
      </c>
      <c r="B287" s="528">
        <v>150000924</v>
      </c>
      <c r="C287" s="530">
        <v>0</v>
      </c>
      <c r="D287" s="531">
        <v>0</v>
      </c>
      <c r="E287" s="532">
        <f t="shared" si="4"/>
        <v>0</v>
      </c>
    </row>
    <row r="288" spans="1:5" x14ac:dyDescent="0.25">
      <c r="A288" s="529" t="s">
        <v>177</v>
      </c>
      <c r="B288" s="528">
        <v>150000925</v>
      </c>
      <c r="C288" s="530">
        <v>0</v>
      </c>
      <c r="D288" s="531">
        <v>0</v>
      </c>
      <c r="E288" s="532">
        <f t="shared" si="4"/>
        <v>0</v>
      </c>
    </row>
    <row r="289" spans="1:5" x14ac:dyDescent="0.25">
      <c r="A289" s="529" t="s">
        <v>178</v>
      </c>
      <c r="B289" s="528">
        <v>150000926</v>
      </c>
      <c r="C289" s="530">
        <v>0</v>
      </c>
      <c r="D289" s="531">
        <v>0</v>
      </c>
      <c r="E289" s="532">
        <f t="shared" si="4"/>
        <v>0</v>
      </c>
    </row>
    <row r="290" spans="1:5" x14ac:dyDescent="0.25">
      <c r="A290" s="529" t="s">
        <v>179</v>
      </c>
      <c r="B290" s="528">
        <v>150000927</v>
      </c>
      <c r="C290" s="530">
        <v>0</v>
      </c>
      <c r="D290" s="531">
        <v>0</v>
      </c>
      <c r="E290" s="532">
        <f t="shared" si="4"/>
        <v>0</v>
      </c>
    </row>
    <row r="291" spans="1:5" x14ac:dyDescent="0.25">
      <c r="A291" s="529" t="s">
        <v>170</v>
      </c>
      <c r="B291" s="528">
        <v>150000928</v>
      </c>
      <c r="C291" s="530">
        <v>0</v>
      </c>
      <c r="D291" s="531">
        <v>0</v>
      </c>
      <c r="E291" s="532">
        <f t="shared" si="4"/>
        <v>0</v>
      </c>
    </row>
    <row r="292" spans="1:5" x14ac:dyDescent="0.25">
      <c r="A292" s="529" t="s">
        <v>1034</v>
      </c>
      <c r="B292" s="528">
        <v>150000929</v>
      </c>
      <c r="C292" s="530">
        <v>0</v>
      </c>
      <c r="D292" s="531">
        <v>0</v>
      </c>
      <c r="E292" s="532">
        <f t="shared" si="4"/>
        <v>0</v>
      </c>
    </row>
    <row r="293" spans="1:5" x14ac:dyDescent="0.25">
      <c r="A293" s="529" t="s">
        <v>173</v>
      </c>
      <c r="B293" s="528">
        <v>150000930</v>
      </c>
      <c r="C293" s="530">
        <v>0</v>
      </c>
      <c r="D293" s="531">
        <v>0</v>
      </c>
      <c r="E293" s="532">
        <f t="shared" si="4"/>
        <v>0</v>
      </c>
    </row>
    <row r="294" spans="1:5" x14ac:dyDescent="0.25">
      <c r="A294" s="529" t="s">
        <v>267</v>
      </c>
      <c r="B294" s="528">
        <v>150000931</v>
      </c>
      <c r="C294" s="530">
        <v>0</v>
      </c>
      <c r="D294" s="531">
        <v>0</v>
      </c>
      <c r="E294" s="532">
        <f t="shared" si="4"/>
        <v>0</v>
      </c>
    </row>
    <row r="295" spans="1:5" x14ac:dyDescent="0.25">
      <c r="A295" s="529" t="s">
        <v>174</v>
      </c>
      <c r="B295" s="528">
        <v>150000932</v>
      </c>
      <c r="C295" s="530">
        <v>0</v>
      </c>
      <c r="D295" s="531">
        <v>0</v>
      </c>
      <c r="E295" s="532">
        <f t="shared" si="4"/>
        <v>0</v>
      </c>
    </row>
    <row r="296" spans="1:5" x14ac:dyDescent="0.25">
      <c r="A296" s="529" t="s">
        <v>268</v>
      </c>
      <c r="B296" s="528">
        <v>150000933</v>
      </c>
      <c r="C296" s="530">
        <v>0</v>
      </c>
      <c r="D296" s="531">
        <v>0</v>
      </c>
      <c r="E296" s="532">
        <f t="shared" si="4"/>
        <v>0</v>
      </c>
    </row>
    <row r="297" spans="1:5" x14ac:dyDescent="0.25">
      <c r="A297" s="529" t="s">
        <v>216</v>
      </c>
      <c r="B297" s="528">
        <v>150000934</v>
      </c>
      <c r="C297" s="530">
        <v>0</v>
      </c>
      <c r="D297" s="531">
        <v>0</v>
      </c>
      <c r="E297" s="532">
        <f t="shared" si="4"/>
        <v>0</v>
      </c>
    </row>
    <row r="298" spans="1:5" x14ac:dyDescent="0.25">
      <c r="A298" s="529" t="s">
        <v>176</v>
      </c>
      <c r="B298" s="528">
        <v>150000935</v>
      </c>
      <c r="C298" s="530">
        <v>0</v>
      </c>
      <c r="D298" s="531">
        <v>0</v>
      </c>
      <c r="E298" s="532">
        <f t="shared" si="4"/>
        <v>0</v>
      </c>
    </row>
    <row r="299" spans="1:5" x14ac:dyDescent="0.25">
      <c r="A299" s="529" t="s">
        <v>122</v>
      </c>
      <c r="B299" s="528">
        <v>150000936</v>
      </c>
      <c r="C299" s="530">
        <v>0</v>
      </c>
      <c r="D299" s="531">
        <v>0</v>
      </c>
      <c r="E299" s="532">
        <f t="shared" si="4"/>
        <v>0</v>
      </c>
    </row>
    <row r="300" spans="1:5" x14ac:dyDescent="0.25">
      <c r="A300" s="529" t="s">
        <v>375</v>
      </c>
      <c r="B300" s="528">
        <v>150000937</v>
      </c>
      <c r="C300" s="530">
        <v>1000</v>
      </c>
      <c r="D300" s="531">
        <v>2107.5604446892339</v>
      </c>
      <c r="E300" s="532">
        <f t="shared" si="4"/>
        <v>3107.5604446892339</v>
      </c>
    </row>
    <row r="301" spans="1:5" x14ac:dyDescent="0.25">
      <c r="A301" s="529" t="s">
        <v>376</v>
      </c>
      <c r="B301" s="528">
        <v>150000938</v>
      </c>
      <c r="C301" s="530">
        <v>3500</v>
      </c>
      <c r="D301" s="531">
        <v>8529.2666666165242</v>
      </c>
      <c r="E301" s="532">
        <f t="shared" si="4"/>
        <v>12029.266666616524</v>
      </c>
    </row>
    <row r="302" spans="1:5" x14ac:dyDescent="0.25">
      <c r="A302" s="529" t="s">
        <v>337</v>
      </c>
      <c r="B302" s="528">
        <v>150000939</v>
      </c>
      <c r="C302" s="530">
        <v>1000</v>
      </c>
      <c r="D302" s="531">
        <v>2840.008581296479</v>
      </c>
      <c r="E302" s="532">
        <f t="shared" si="4"/>
        <v>3840.008581296479</v>
      </c>
    </row>
    <row r="303" spans="1:5" x14ac:dyDescent="0.25">
      <c r="A303" s="529" t="s">
        <v>377</v>
      </c>
      <c r="B303" s="528">
        <v>150000940</v>
      </c>
      <c r="C303" s="530">
        <v>1500</v>
      </c>
      <c r="D303" s="531">
        <v>4117.964082787872</v>
      </c>
      <c r="E303" s="532">
        <f t="shared" si="4"/>
        <v>5617.964082787872</v>
      </c>
    </row>
    <row r="304" spans="1:5" x14ac:dyDescent="0.25">
      <c r="A304" s="529" t="s">
        <v>338</v>
      </c>
      <c r="B304" s="528">
        <v>150000941</v>
      </c>
      <c r="C304" s="530">
        <v>1500</v>
      </c>
      <c r="D304" s="531">
        <v>3382.4706421001092</v>
      </c>
      <c r="E304" s="532">
        <f t="shared" si="4"/>
        <v>4882.4706421001092</v>
      </c>
    </row>
    <row r="305" spans="1:5" x14ac:dyDescent="0.25">
      <c r="A305" s="529" t="s">
        <v>123</v>
      </c>
      <c r="B305" s="528">
        <v>150000943</v>
      </c>
      <c r="C305" s="530">
        <v>0</v>
      </c>
      <c r="D305" s="531">
        <v>0</v>
      </c>
      <c r="E305" s="532">
        <f t="shared" si="4"/>
        <v>0</v>
      </c>
    </row>
    <row r="306" spans="1:5" x14ac:dyDescent="0.25">
      <c r="A306" s="529" t="s">
        <v>124</v>
      </c>
      <c r="B306" s="528">
        <v>150000944</v>
      </c>
      <c r="C306" s="530">
        <v>0</v>
      </c>
      <c r="D306" s="531">
        <v>0</v>
      </c>
      <c r="E306" s="532">
        <f t="shared" si="4"/>
        <v>0</v>
      </c>
    </row>
    <row r="307" spans="1:5" x14ac:dyDescent="0.25">
      <c r="A307" s="529" t="s">
        <v>422</v>
      </c>
      <c r="B307" s="528">
        <v>150000945</v>
      </c>
      <c r="C307" s="530">
        <v>1500</v>
      </c>
      <c r="D307" s="531">
        <v>3726.6342181398732</v>
      </c>
      <c r="E307" s="532">
        <f t="shared" si="4"/>
        <v>5226.6342181398732</v>
      </c>
    </row>
    <row r="308" spans="1:5" x14ac:dyDescent="0.25">
      <c r="A308" s="529" t="s">
        <v>125</v>
      </c>
      <c r="B308" s="528">
        <v>150000946</v>
      </c>
      <c r="C308" s="530">
        <v>0</v>
      </c>
      <c r="D308" s="531">
        <v>0</v>
      </c>
      <c r="E308" s="532">
        <f t="shared" si="4"/>
        <v>0</v>
      </c>
    </row>
    <row r="309" spans="1:5" x14ac:dyDescent="0.25">
      <c r="A309" s="529" t="s">
        <v>269</v>
      </c>
      <c r="B309" s="528">
        <v>150000947</v>
      </c>
      <c r="C309" s="530">
        <v>0</v>
      </c>
      <c r="D309" s="531">
        <v>0</v>
      </c>
      <c r="E309" s="532">
        <f t="shared" si="4"/>
        <v>0</v>
      </c>
    </row>
    <row r="310" spans="1:5" x14ac:dyDescent="0.25">
      <c r="A310" s="529" t="s">
        <v>384</v>
      </c>
      <c r="B310" s="528">
        <v>150000948</v>
      </c>
      <c r="C310" s="530">
        <v>1500</v>
      </c>
      <c r="D310" s="531">
        <v>3656.0229569190155</v>
      </c>
      <c r="E310" s="532">
        <f t="shared" si="4"/>
        <v>5156.022956919016</v>
      </c>
    </row>
    <row r="311" spans="1:5" x14ac:dyDescent="0.25">
      <c r="A311" s="529" t="s">
        <v>385</v>
      </c>
      <c r="B311" s="528">
        <v>150000949</v>
      </c>
      <c r="C311" s="530">
        <v>2500</v>
      </c>
      <c r="D311" s="531">
        <v>5191.2762554420142</v>
      </c>
      <c r="E311" s="532">
        <f t="shared" si="4"/>
        <v>7691.2762554420142</v>
      </c>
    </row>
    <row r="312" spans="1:5" x14ac:dyDescent="0.25">
      <c r="A312" s="529" t="s">
        <v>171</v>
      </c>
      <c r="B312" s="528">
        <v>150000951</v>
      </c>
      <c r="C312" s="530">
        <v>0</v>
      </c>
      <c r="D312" s="531">
        <v>0</v>
      </c>
      <c r="E312" s="532">
        <f t="shared" si="4"/>
        <v>0</v>
      </c>
    </row>
    <row r="313" spans="1:5" x14ac:dyDescent="0.25">
      <c r="A313" s="529" t="s">
        <v>172</v>
      </c>
      <c r="B313" s="528">
        <v>150000954</v>
      </c>
      <c r="C313" s="530">
        <v>0</v>
      </c>
      <c r="D313" s="531">
        <v>0</v>
      </c>
      <c r="E313" s="532">
        <f t="shared" si="4"/>
        <v>0</v>
      </c>
    </row>
    <row r="314" spans="1:5" x14ac:dyDescent="0.25">
      <c r="A314" s="529" t="s">
        <v>378</v>
      </c>
      <c r="B314" s="528">
        <v>150000957</v>
      </c>
      <c r="C314" s="530">
        <v>500</v>
      </c>
      <c r="D314" s="531">
        <v>1195.9146779501896</v>
      </c>
      <c r="E314" s="532">
        <f t="shared" si="4"/>
        <v>1695.9146779501896</v>
      </c>
    </row>
    <row r="315" spans="1:5" x14ac:dyDescent="0.25">
      <c r="A315" s="529" t="s">
        <v>381</v>
      </c>
      <c r="B315" s="528">
        <v>150000958</v>
      </c>
      <c r="C315" s="530">
        <v>500</v>
      </c>
      <c r="D315" s="531">
        <v>1180.0415140314119</v>
      </c>
      <c r="E315" s="532">
        <f t="shared" si="4"/>
        <v>1680.0415140314119</v>
      </c>
    </row>
    <row r="316" spans="1:5" x14ac:dyDescent="0.25">
      <c r="A316" s="529" t="s">
        <v>379</v>
      </c>
      <c r="B316" s="528">
        <v>150000960</v>
      </c>
      <c r="C316" s="530">
        <v>1000</v>
      </c>
      <c r="D316" s="531">
        <v>2384.2907084124918</v>
      </c>
      <c r="E316" s="532">
        <f t="shared" si="4"/>
        <v>3384.2907084124918</v>
      </c>
    </row>
    <row r="317" spans="1:5" x14ac:dyDescent="0.25">
      <c r="A317" s="529" t="s">
        <v>382</v>
      </c>
      <c r="B317" s="528">
        <v>150000961</v>
      </c>
      <c r="C317" s="530">
        <v>1000</v>
      </c>
      <c r="D317" s="531">
        <v>2404.1321633109637</v>
      </c>
      <c r="E317" s="532">
        <f t="shared" si="4"/>
        <v>3404.1321633109637</v>
      </c>
    </row>
    <row r="318" spans="1:5" x14ac:dyDescent="0.25">
      <c r="A318" s="529" t="s">
        <v>380</v>
      </c>
      <c r="B318" s="528">
        <v>150000963</v>
      </c>
      <c r="C318" s="530">
        <v>500</v>
      </c>
      <c r="D318" s="531">
        <v>1183.158667391506</v>
      </c>
      <c r="E318" s="532">
        <f t="shared" si="4"/>
        <v>1683.158667391506</v>
      </c>
    </row>
    <row r="319" spans="1:5" x14ac:dyDescent="0.25">
      <c r="A319" s="529" t="s">
        <v>383</v>
      </c>
      <c r="B319" s="528">
        <v>150000964</v>
      </c>
      <c r="C319" s="530">
        <v>500</v>
      </c>
      <c r="D319" s="531">
        <v>1178.245282041996</v>
      </c>
      <c r="E319" s="532">
        <f t="shared" si="4"/>
        <v>1678.245282041996</v>
      </c>
    </row>
    <row r="320" spans="1:5" x14ac:dyDescent="0.25">
      <c r="A320" s="529" t="s">
        <v>205</v>
      </c>
      <c r="B320" s="528">
        <v>150000966</v>
      </c>
      <c r="C320" s="530">
        <v>0</v>
      </c>
      <c r="D320" s="531">
        <v>0</v>
      </c>
      <c r="E320" s="532">
        <f t="shared" si="4"/>
        <v>0</v>
      </c>
    </row>
    <row r="321" spans="1:5" x14ac:dyDescent="0.25">
      <c r="A321" s="529" t="s">
        <v>206</v>
      </c>
      <c r="B321" s="528">
        <v>150000967</v>
      </c>
      <c r="C321" s="530">
        <v>0</v>
      </c>
      <c r="D321" s="531">
        <v>0</v>
      </c>
      <c r="E321" s="532">
        <f t="shared" si="4"/>
        <v>0</v>
      </c>
    </row>
    <row r="322" spans="1:5" x14ac:dyDescent="0.25">
      <c r="A322" s="529" t="s">
        <v>245</v>
      </c>
      <c r="B322" s="528">
        <v>150000968</v>
      </c>
      <c r="C322" s="530">
        <v>0</v>
      </c>
      <c r="D322" s="531">
        <v>0</v>
      </c>
      <c r="E322" s="532">
        <f t="shared" si="4"/>
        <v>0</v>
      </c>
    </row>
    <row r="323" spans="1:5" x14ac:dyDescent="0.25">
      <c r="A323" s="529" t="s">
        <v>193</v>
      </c>
      <c r="B323" s="528">
        <v>150000969</v>
      </c>
      <c r="C323" s="530">
        <v>0</v>
      </c>
      <c r="D323" s="531">
        <v>0</v>
      </c>
      <c r="E323" s="532">
        <f t="shared" ref="E323:E386" si="5">SUM(C323:D323)</f>
        <v>0</v>
      </c>
    </row>
    <row r="324" spans="1:5" x14ac:dyDescent="0.25">
      <c r="A324" s="529" t="s">
        <v>243</v>
      </c>
      <c r="B324" s="528">
        <v>150000970</v>
      </c>
      <c r="C324" s="530">
        <v>0</v>
      </c>
      <c r="D324" s="531">
        <v>0</v>
      </c>
      <c r="E324" s="532">
        <f t="shared" si="5"/>
        <v>0</v>
      </c>
    </row>
    <row r="325" spans="1:5" x14ac:dyDescent="0.25">
      <c r="A325" s="529" t="s">
        <v>194</v>
      </c>
      <c r="B325" s="528">
        <v>150000971</v>
      </c>
      <c r="C325" s="530">
        <v>0</v>
      </c>
      <c r="D325" s="531">
        <v>0</v>
      </c>
      <c r="E325" s="532">
        <f t="shared" si="5"/>
        <v>0</v>
      </c>
    </row>
    <row r="326" spans="1:5" x14ac:dyDescent="0.25">
      <c r="A326" s="529" t="s">
        <v>202</v>
      </c>
      <c r="B326" s="528">
        <v>150000972</v>
      </c>
      <c r="C326" s="530">
        <v>0</v>
      </c>
      <c r="D326" s="531">
        <v>0</v>
      </c>
      <c r="E326" s="532">
        <f t="shared" si="5"/>
        <v>0</v>
      </c>
    </row>
    <row r="327" spans="1:5" x14ac:dyDescent="0.25">
      <c r="A327" s="529" t="s">
        <v>50</v>
      </c>
      <c r="B327" s="528">
        <v>150000973</v>
      </c>
      <c r="C327" s="530">
        <v>0</v>
      </c>
      <c r="D327" s="531">
        <v>0</v>
      </c>
      <c r="E327" s="532">
        <f t="shared" si="5"/>
        <v>0</v>
      </c>
    </row>
    <row r="328" spans="1:5" x14ac:dyDescent="0.25">
      <c r="A328" s="529" t="s">
        <v>203</v>
      </c>
      <c r="B328" s="528">
        <v>150000974</v>
      </c>
      <c r="C328" s="530">
        <v>0</v>
      </c>
      <c r="D328" s="531">
        <v>0</v>
      </c>
      <c r="E328" s="532">
        <f t="shared" si="5"/>
        <v>0</v>
      </c>
    </row>
    <row r="329" spans="1:5" x14ac:dyDescent="0.25">
      <c r="A329" s="529" t="s">
        <v>204</v>
      </c>
      <c r="B329" s="528">
        <v>150000975</v>
      </c>
      <c r="C329" s="530">
        <v>0</v>
      </c>
      <c r="D329" s="531">
        <v>0</v>
      </c>
      <c r="E329" s="532">
        <f t="shared" si="5"/>
        <v>0</v>
      </c>
    </row>
    <row r="330" spans="1:5" x14ac:dyDescent="0.25">
      <c r="A330" s="529" t="s">
        <v>150</v>
      </c>
      <c r="B330" s="528">
        <v>150000976</v>
      </c>
      <c r="C330" s="530">
        <v>0</v>
      </c>
      <c r="D330" s="531">
        <v>0</v>
      </c>
      <c r="E330" s="532">
        <f t="shared" si="5"/>
        <v>0</v>
      </c>
    </row>
    <row r="331" spans="1:5" x14ac:dyDescent="0.25">
      <c r="A331" s="529" t="s">
        <v>151</v>
      </c>
      <c r="B331" s="528">
        <v>150000977</v>
      </c>
      <c r="C331" s="530">
        <v>0</v>
      </c>
      <c r="D331" s="531">
        <v>0</v>
      </c>
      <c r="E331" s="532">
        <f t="shared" si="5"/>
        <v>0</v>
      </c>
    </row>
    <row r="332" spans="1:5" x14ac:dyDescent="0.25">
      <c r="A332" s="529" t="s">
        <v>244</v>
      </c>
      <c r="B332" s="528">
        <v>150000978</v>
      </c>
      <c r="C332" s="530">
        <v>0</v>
      </c>
      <c r="D332" s="531">
        <v>0</v>
      </c>
      <c r="E332" s="532">
        <f t="shared" si="5"/>
        <v>0</v>
      </c>
    </row>
    <row r="333" spans="1:5" x14ac:dyDescent="0.25">
      <c r="A333" s="529" t="s">
        <v>343</v>
      </c>
      <c r="B333" s="528">
        <v>150000981</v>
      </c>
      <c r="C333" s="530">
        <v>500</v>
      </c>
      <c r="D333" s="531">
        <v>1223.852993970183</v>
      </c>
      <c r="E333" s="532">
        <f t="shared" si="5"/>
        <v>1723.852993970183</v>
      </c>
    </row>
    <row r="334" spans="1:5" x14ac:dyDescent="0.25">
      <c r="A334" s="529" t="s">
        <v>344</v>
      </c>
      <c r="B334" s="528">
        <v>150000982</v>
      </c>
      <c r="C334" s="530">
        <v>1500</v>
      </c>
      <c r="D334" s="531">
        <v>3290.3045970062594</v>
      </c>
      <c r="E334" s="532">
        <f t="shared" si="5"/>
        <v>4790.3045970062594</v>
      </c>
    </row>
    <row r="335" spans="1:5" x14ac:dyDescent="0.25">
      <c r="A335" s="529" t="s">
        <v>345</v>
      </c>
      <c r="B335" s="528">
        <v>150000983</v>
      </c>
      <c r="C335" s="530">
        <v>1000</v>
      </c>
      <c r="D335" s="531">
        <v>2132.6247895261617</v>
      </c>
      <c r="E335" s="532">
        <f t="shared" si="5"/>
        <v>3132.6247895261617</v>
      </c>
    </row>
    <row r="336" spans="1:5" x14ac:dyDescent="0.25">
      <c r="A336" s="529" t="s">
        <v>346</v>
      </c>
      <c r="B336" s="528">
        <v>150000984</v>
      </c>
      <c r="C336" s="530">
        <v>1500</v>
      </c>
      <c r="D336" s="531">
        <v>5410.107053561821</v>
      </c>
      <c r="E336" s="532">
        <f t="shared" si="5"/>
        <v>6910.107053561821</v>
      </c>
    </row>
    <row r="337" spans="1:5" x14ac:dyDescent="0.25">
      <c r="A337" s="529" t="s">
        <v>347</v>
      </c>
      <c r="B337" s="528">
        <v>150000986</v>
      </c>
      <c r="C337" s="530">
        <v>1000</v>
      </c>
      <c r="D337" s="531">
        <v>3637.729024965271</v>
      </c>
      <c r="E337" s="532">
        <f t="shared" si="5"/>
        <v>4637.7290249652706</v>
      </c>
    </row>
    <row r="338" spans="1:5" x14ac:dyDescent="0.25">
      <c r="A338" s="529" t="s">
        <v>51</v>
      </c>
      <c r="B338" s="528">
        <v>150000987</v>
      </c>
      <c r="C338" s="530">
        <v>0</v>
      </c>
      <c r="D338" s="531">
        <v>0</v>
      </c>
      <c r="E338" s="532">
        <f t="shared" si="5"/>
        <v>0</v>
      </c>
    </row>
    <row r="339" spans="1:5" x14ac:dyDescent="0.25">
      <c r="A339" s="529" t="s">
        <v>52</v>
      </c>
      <c r="B339" s="528">
        <v>150000988</v>
      </c>
      <c r="C339" s="530">
        <v>0</v>
      </c>
      <c r="D339" s="531">
        <v>0</v>
      </c>
      <c r="E339" s="532">
        <f t="shared" si="5"/>
        <v>0</v>
      </c>
    </row>
    <row r="340" spans="1:5" x14ac:dyDescent="0.25">
      <c r="A340" s="529" t="s">
        <v>38</v>
      </c>
      <c r="B340" s="528">
        <v>150000989</v>
      </c>
      <c r="C340" s="530">
        <v>0</v>
      </c>
      <c r="D340" s="531">
        <v>0</v>
      </c>
      <c r="E340" s="532">
        <f t="shared" si="5"/>
        <v>0</v>
      </c>
    </row>
    <row r="341" spans="1:5" x14ac:dyDescent="0.25">
      <c r="A341" s="529" t="s">
        <v>342</v>
      </c>
      <c r="B341" s="528">
        <v>150000991</v>
      </c>
      <c r="C341" s="530">
        <v>1000</v>
      </c>
      <c r="D341" s="531">
        <v>2256.4542594426703</v>
      </c>
      <c r="E341" s="532">
        <f t="shared" si="5"/>
        <v>3256.4542594426703</v>
      </c>
    </row>
    <row r="342" spans="1:5" x14ac:dyDescent="0.25">
      <c r="A342" s="529" t="s">
        <v>40</v>
      </c>
      <c r="B342" s="528">
        <v>150000992</v>
      </c>
      <c r="C342" s="530">
        <v>0</v>
      </c>
      <c r="D342" s="531">
        <v>0</v>
      </c>
      <c r="E342" s="532">
        <f t="shared" si="5"/>
        <v>0</v>
      </c>
    </row>
    <row r="343" spans="1:5" x14ac:dyDescent="0.25">
      <c r="A343" s="529" t="s">
        <v>42</v>
      </c>
      <c r="B343" s="528">
        <v>150000993</v>
      </c>
      <c r="C343" s="530">
        <v>0</v>
      </c>
      <c r="D343" s="531">
        <v>0</v>
      </c>
      <c r="E343" s="532">
        <f t="shared" si="5"/>
        <v>0</v>
      </c>
    </row>
    <row r="344" spans="1:5" x14ac:dyDescent="0.25">
      <c r="A344" s="529" t="s">
        <v>45</v>
      </c>
      <c r="B344" s="528">
        <v>150000994</v>
      </c>
      <c r="C344" s="530">
        <v>0</v>
      </c>
      <c r="D344" s="531">
        <v>0</v>
      </c>
      <c r="E344" s="532">
        <f t="shared" si="5"/>
        <v>0</v>
      </c>
    </row>
    <row r="345" spans="1:5" x14ac:dyDescent="0.25">
      <c r="A345" s="529" t="s">
        <v>48</v>
      </c>
      <c r="B345" s="528">
        <v>150000995</v>
      </c>
      <c r="C345" s="530">
        <v>0</v>
      </c>
      <c r="D345" s="531">
        <v>0</v>
      </c>
      <c r="E345" s="532">
        <f t="shared" si="5"/>
        <v>0</v>
      </c>
    </row>
    <row r="346" spans="1:5" x14ac:dyDescent="0.25">
      <c r="A346" s="529" t="s">
        <v>246</v>
      </c>
      <c r="B346" s="528">
        <v>150000996</v>
      </c>
      <c r="C346" s="530">
        <v>0</v>
      </c>
      <c r="D346" s="531">
        <v>0</v>
      </c>
      <c r="E346" s="532">
        <f t="shared" si="5"/>
        <v>0</v>
      </c>
    </row>
    <row r="347" spans="1:5" x14ac:dyDescent="0.25">
      <c r="A347" s="529" t="s">
        <v>41</v>
      </c>
      <c r="B347" s="528">
        <v>150000999</v>
      </c>
      <c r="C347" s="530">
        <v>0</v>
      </c>
      <c r="D347" s="531">
        <v>0</v>
      </c>
      <c r="E347" s="532">
        <f t="shared" si="5"/>
        <v>0</v>
      </c>
    </row>
    <row r="348" spans="1:5" x14ac:dyDescent="0.25">
      <c r="A348" s="529" t="s">
        <v>43</v>
      </c>
      <c r="B348" s="528">
        <v>150001000</v>
      </c>
      <c r="C348" s="530">
        <v>0</v>
      </c>
      <c r="D348" s="531">
        <v>0</v>
      </c>
      <c r="E348" s="532">
        <f t="shared" si="5"/>
        <v>0</v>
      </c>
    </row>
    <row r="349" spans="1:5" x14ac:dyDescent="0.25">
      <c r="A349" s="529" t="s">
        <v>46</v>
      </c>
      <c r="B349" s="528">
        <v>150001001</v>
      </c>
      <c r="C349" s="530">
        <v>0</v>
      </c>
      <c r="D349" s="531">
        <v>0</v>
      </c>
      <c r="E349" s="532">
        <f t="shared" si="5"/>
        <v>0</v>
      </c>
    </row>
    <row r="350" spans="1:5" x14ac:dyDescent="0.25">
      <c r="A350" s="529" t="s">
        <v>49</v>
      </c>
      <c r="B350" s="528">
        <v>150001002</v>
      </c>
      <c r="C350" s="530">
        <v>0</v>
      </c>
      <c r="D350" s="531">
        <v>0</v>
      </c>
      <c r="E350" s="532">
        <f t="shared" si="5"/>
        <v>0</v>
      </c>
    </row>
    <row r="351" spans="1:5" x14ac:dyDescent="0.25">
      <c r="A351" s="529" t="s">
        <v>44</v>
      </c>
      <c r="B351" s="528">
        <v>150001004</v>
      </c>
      <c r="C351" s="530">
        <v>0</v>
      </c>
      <c r="D351" s="531">
        <v>0</v>
      </c>
      <c r="E351" s="532">
        <f t="shared" si="5"/>
        <v>0</v>
      </c>
    </row>
    <row r="352" spans="1:5" x14ac:dyDescent="0.25">
      <c r="A352" s="529" t="s">
        <v>47</v>
      </c>
      <c r="B352" s="528">
        <v>150001005</v>
      </c>
      <c r="C352" s="530">
        <v>0</v>
      </c>
      <c r="D352" s="531">
        <v>0</v>
      </c>
      <c r="E352" s="532">
        <f t="shared" si="5"/>
        <v>0</v>
      </c>
    </row>
    <row r="353" spans="1:5" x14ac:dyDescent="0.25">
      <c r="A353" s="529" t="s">
        <v>214</v>
      </c>
      <c r="B353" s="528">
        <v>150001007</v>
      </c>
      <c r="C353" s="530">
        <v>0</v>
      </c>
      <c r="D353" s="531">
        <v>0</v>
      </c>
      <c r="E353" s="532">
        <f t="shared" si="5"/>
        <v>0</v>
      </c>
    </row>
    <row r="354" spans="1:5" x14ac:dyDescent="0.25">
      <c r="A354" s="529" t="s">
        <v>212</v>
      </c>
      <c r="B354" s="528">
        <v>150001008</v>
      </c>
      <c r="C354" s="530">
        <v>0</v>
      </c>
      <c r="D354" s="531">
        <v>0</v>
      </c>
      <c r="E354" s="532">
        <f t="shared" si="5"/>
        <v>0</v>
      </c>
    </row>
    <row r="355" spans="1:5" x14ac:dyDescent="0.25">
      <c r="A355" s="529" t="s">
        <v>213</v>
      </c>
      <c r="B355" s="528">
        <v>150001009</v>
      </c>
      <c r="C355" s="530">
        <v>0</v>
      </c>
      <c r="D355" s="531">
        <v>0</v>
      </c>
      <c r="E355" s="532">
        <f t="shared" si="5"/>
        <v>0</v>
      </c>
    </row>
    <row r="356" spans="1:5" x14ac:dyDescent="0.25">
      <c r="A356" s="529" t="s">
        <v>165</v>
      </c>
      <c r="B356" s="528">
        <v>150001010</v>
      </c>
      <c r="C356" s="530">
        <v>0</v>
      </c>
      <c r="D356" s="531">
        <v>0</v>
      </c>
      <c r="E356" s="532">
        <f t="shared" si="5"/>
        <v>0</v>
      </c>
    </row>
    <row r="357" spans="1:5" x14ac:dyDescent="0.25">
      <c r="A357" s="529" t="s">
        <v>166</v>
      </c>
      <c r="B357" s="528">
        <v>150001011</v>
      </c>
      <c r="C357" s="530">
        <v>0</v>
      </c>
      <c r="D357" s="531">
        <v>0</v>
      </c>
      <c r="E357" s="532">
        <f t="shared" si="5"/>
        <v>0</v>
      </c>
    </row>
    <row r="358" spans="1:5" x14ac:dyDescent="0.25">
      <c r="A358" s="529" t="s">
        <v>261</v>
      </c>
      <c r="B358" s="528">
        <v>150001013</v>
      </c>
      <c r="C358" s="530">
        <v>0</v>
      </c>
      <c r="D358" s="531">
        <v>0</v>
      </c>
      <c r="E358" s="532">
        <f t="shared" si="5"/>
        <v>0</v>
      </c>
    </row>
    <row r="359" spans="1:5" x14ac:dyDescent="0.25">
      <c r="A359" s="529" t="s">
        <v>167</v>
      </c>
      <c r="B359" s="528">
        <v>150001014</v>
      </c>
      <c r="C359" s="530">
        <v>0</v>
      </c>
      <c r="D359" s="531">
        <v>0</v>
      </c>
      <c r="E359" s="532">
        <f t="shared" si="5"/>
        <v>0</v>
      </c>
    </row>
    <row r="360" spans="1:5" x14ac:dyDescent="0.25">
      <c r="A360" s="529" t="s">
        <v>100</v>
      </c>
      <c r="B360" s="528">
        <v>150001015</v>
      </c>
      <c r="C360" s="530">
        <v>0</v>
      </c>
      <c r="D360" s="531">
        <v>0</v>
      </c>
      <c r="E360" s="532">
        <f t="shared" si="5"/>
        <v>0</v>
      </c>
    </row>
    <row r="361" spans="1:5" x14ac:dyDescent="0.25">
      <c r="A361" s="529" t="s">
        <v>262</v>
      </c>
      <c r="B361" s="528">
        <v>150001016</v>
      </c>
      <c r="C361" s="530">
        <v>0</v>
      </c>
      <c r="D361" s="531">
        <v>0</v>
      </c>
      <c r="E361" s="532">
        <f t="shared" si="5"/>
        <v>0</v>
      </c>
    </row>
    <row r="362" spans="1:5" x14ac:dyDescent="0.25">
      <c r="A362" s="529" t="s">
        <v>430</v>
      </c>
      <c r="B362" s="528">
        <v>150001018</v>
      </c>
      <c r="C362" s="530">
        <v>0</v>
      </c>
      <c r="D362" s="531">
        <v>0</v>
      </c>
      <c r="E362" s="532">
        <f t="shared" si="5"/>
        <v>0</v>
      </c>
    </row>
    <row r="363" spans="1:5" x14ac:dyDescent="0.25">
      <c r="A363" s="529" t="s">
        <v>420</v>
      </c>
      <c r="B363" s="528">
        <v>150001019</v>
      </c>
      <c r="C363" s="530">
        <v>1500</v>
      </c>
      <c r="D363" s="531">
        <v>3825.5872567198853</v>
      </c>
      <c r="E363" s="532">
        <f t="shared" si="5"/>
        <v>5325.5872567198858</v>
      </c>
    </row>
    <row r="364" spans="1:5" x14ac:dyDescent="0.25">
      <c r="A364" s="529" t="s">
        <v>101</v>
      </c>
      <c r="B364" s="528">
        <v>150001020</v>
      </c>
      <c r="C364" s="530">
        <v>0</v>
      </c>
      <c r="D364" s="531">
        <v>0</v>
      </c>
      <c r="E364" s="532">
        <f t="shared" si="5"/>
        <v>0</v>
      </c>
    </row>
    <row r="365" spans="1:5" x14ac:dyDescent="0.25">
      <c r="A365" s="529" t="s">
        <v>364</v>
      </c>
      <c r="B365" s="528">
        <v>150001021</v>
      </c>
      <c r="C365" s="530">
        <v>3000</v>
      </c>
      <c r="D365" s="531">
        <v>6401.2844459245462</v>
      </c>
      <c r="E365" s="532">
        <f t="shared" si="5"/>
        <v>9401.2844459245462</v>
      </c>
    </row>
    <row r="366" spans="1:5" x14ac:dyDescent="0.25">
      <c r="A366" s="529" t="s">
        <v>365</v>
      </c>
      <c r="B366" s="528">
        <v>150001022</v>
      </c>
      <c r="C366" s="530">
        <v>1000</v>
      </c>
      <c r="D366" s="531">
        <v>2084.4415572685348</v>
      </c>
      <c r="E366" s="532">
        <f t="shared" si="5"/>
        <v>3084.4415572685348</v>
      </c>
    </row>
    <row r="367" spans="1:5" x14ac:dyDescent="0.25">
      <c r="A367" s="529" t="s">
        <v>366</v>
      </c>
      <c r="B367" s="528">
        <v>150001023</v>
      </c>
      <c r="C367" s="530">
        <v>1000</v>
      </c>
      <c r="D367" s="531">
        <v>2082.4408311757088</v>
      </c>
      <c r="E367" s="532">
        <f t="shared" si="5"/>
        <v>3082.4408311757088</v>
      </c>
    </row>
    <row r="368" spans="1:5" x14ac:dyDescent="0.25">
      <c r="A368" s="529" t="s">
        <v>367</v>
      </c>
      <c r="B368" s="528">
        <v>150001024</v>
      </c>
      <c r="C368" s="530">
        <v>1000</v>
      </c>
      <c r="D368" s="531">
        <v>2372.8611460921466</v>
      </c>
      <c r="E368" s="532">
        <f t="shared" si="5"/>
        <v>3372.8611460921466</v>
      </c>
    </row>
    <row r="369" spans="1:5" x14ac:dyDescent="0.25">
      <c r="A369" s="529" t="s">
        <v>421</v>
      </c>
      <c r="B369" s="528">
        <v>150001025</v>
      </c>
      <c r="C369" s="530">
        <v>1000</v>
      </c>
      <c r="D369" s="531">
        <v>2910.1168975602995</v>
      </c>
      <c r="E369" s="532">
        <f t="shared" si="5"/>
        <v>3910.1168975602995</v>
      </c>
    </row>
    <row r="370" spans="1:5" x14ac:dyDescent="0.25">
      <c r="A370" s="529" t="s">
        <v>335</v>
      </c>
      <c r="B370" s="528">
        <v>150001026</v>
      </c>
      <c r="C370" s="530">
        <v>2000</v>
      </c>
      <c r="D370" s="531">
        <v>3898.0113305331383</v>
      </c>
      <c r="E370" s="532">
        <f t="shared" si="5"/>
        <v>5898.0113305331379</v>
      </c>
    </row>
    <row r="371" spans="1:5" x14ac:dyDescent="0.25">
      <c r="A371" s="529" t="s">
        <v>368</v>
      </c>
      <c r="B371" s="528">
        <v>150001027</v>
      </c>
      <c r="C371" s="530">
        <v>2000</v>
      </c>
      <c r="D371" s="531">
        <v>5737.745295298957</v>
      </c>
      <c r="E371" s="532">
        <f t="shared" si="5"/>
        <v>7737.745295298957</v>
      </c>
    </row>
    <row r="372" spans="1:5" x14ac:dyDescent="0.25">
      <c r="A372" s="529" t="s">
        <v>102</v>
      </c>
      <c r="B372" s="528">
        <v>150001028</v>
      </c>
      <c r="C372" s="530">
        <v>0</v>
      </c>
      <c r="D372" s="531">
        <v>0</v>
      </c>
      <c r="E372" s="532">
        <f t="shared" si="5"/>
        <v>0</v>
      </c>
    </row>
    <row r="373" spans="1:5" x14ac:dyDescent="0.25">
      <c r="A373" s="529" t="s">
        <v>369</v>
      </c>
      <c r="B373" s="528">
        <v>150001029</v>
      </c>
      <c r="C373" s="530">
        <v>1500</v>
      </c>
      <c r="D373" s="531">
        <v>4103.7545060346765</v>
      </c>
      <c r="E373" s="532">
        <f t="shared" si="5"/>
        <v>5603.7545060346765</v>
      </c>
    </row>
    <row r="374" spans="1:5" x14ac:dyDescent="0.25">
      <c r="A374" s="529" t="s">
        <v>336</v>
      </c>
      <c r="B374" s="528">
        <v>150001030</v>
      </c>
      <c r="C374" s="530">
        <v>1500</v>
      </c>
      <c r="D374" s="531">
        <v>3385.6209566661619</v>
      </c>
      <c r="E374" s="532">
        <f t="shared" si="5"/>
        <v>4885.6209566661619</v>
      </c>
    </row>
    <row r="375" spans="1:5" x14ac:dyDescent="0.25">
      <c r="A375" s="529" t="s">
        <v>104</v>
      </c>
      <c r="B375" s="528">
        <v>150001031</v>
      </c>
      <c r="C375" s="530">
        <v>0</v>
      </c>
      <c r="D375" s="531">
        <v>0</v>
      </c>
      <c r="E375" s="532">
        <f t="shared" si="5"/>
        <v>0</v>
      </c>
    </row>
    <row r="376" spans="1:5" x14ac:dyDescent="0.25">
      <c r="A376" s="529" t="s">
        <v>370</v>
      </c>
      <c r="B376" s="528">
        <v>150001032</v>
      </c>
      <c r="C376" s="530">
        <v>1500</v>
      </c>
      <c r="D376" s="531">
        <v>3327.174331164395</v>
      </c>
      <c r="E376" s="532">
        <f t="shared" si="5"/>
        <v>4827.174331164395</v>
      </c>
    </row>
    <row r="377" spans="1:5" x14ac:dyDescent="0.25">
      <c r="A377" s="529" t="s">
        <v>363</v>
      </c>
      <c r="B377" s="528">
        <v>150001033</v>
      </c>
      <c r="C377" s="530">
        <v>1000</v>
      </c>
      <c r="D377" s="531">
        <v>2224.1220836331822</v>
      </c>
      <c r="E377" s="532">
        <f t="shared" si="5"/>
        <v>3224.1220836331822</v>
      </c>
    </row>
    <row r="378" spans="1:5" x14ac:dyDescent="0.25">
      <c r="A378" s="529" t="s">
        <v>263</v>
      </c>
      <c r="B378" s="528">
        <v>150001035</v>
      </c>
      <c r="C378" s="530">
        <v>0</v>
      </c>
      <c r="D378" s="531">
        <v>0</v>
      </c>
      <c r="E378" s="532">
        <f t="shared" si="5"/>
        <v>0</v>
      </c>
    </row>
    <row r="379" spans="1:5" x14ac:dyDescent="0.25">
      <c r="A379" s="529" t="s">
        <v>103</v>
      </c>
      <c r="B379" s="528">
        <v>150001036</v>
      </c>
      <c r="C379" s="530">
        <v>0</v>
      </c>
      <c r="D379" s="531">
        <v>0</v>
      </c>
      <c r="E379" s="532">
        <f t="shared" si="5"/>
        <v>0</v>
      </c>
    </row>
    <row r="380" spans="1:5" x14ac:dyDescent="0.25">
      <c r="A380" s="529" t="s">
        <v>105</v>
      </c>
      <c r="B380" s="528">
        <v>150001037</v>
      </c>
      <c r="C380" s="530">
        <v>0</v>
      </c>
      <c r="D380" s="531">
        <v>0</v>
      </c>
      <c r="E380" s="532">
        <f t="shared" si="5"/>
        <v>0</v>
      </c>
    </row>
    <row r="381" spans="1:5" x14ac:dyDescent="0.25">
      <c r="A381" s="529" t="s">
        <v>217</v>
      </c>
      <c r="B381" s="528">
        <v>150001040</v>
      </c>
      <c r="C381" s="530">
        <v>0</v>
      </c>
      <c r="D381" s="531">
        <v>0</v>
      </c>
      <c r="E381" s="532">
        <f t="shared" si="5"/>
        <v>0</v>
      </c>
    </row>
    <row r="382" spans="1:5" x14ac:dyDescent="0.25">
      <c r="A382" s="529" t="s">
        <v>197</v>
      </c>
      <c r="B382" s="528">
        <v>150001041</v>
      </c>
      <c r="C382" s="530">
        <v>0</v>
      </c>
      <c r="D382" s="531">
        <v>0</v>
      </c>
      <c r="E382" s="532">
        <f t="shared" si="5"/>
        <v>0</v>
      </c>
    </row>
    <row r="383" spans="1:5" x14ac:dyDescent="0.25">
      <c r="A383" s="529" t="s">
        <v>182</v>
      </c>
      <c r="B383" s="528">
        <v>150001042</v>
      </c>
      <c r="C383" s="530">
        <v>0</v>
      </c>
      <c r="D383" s="531">
        <v>0</v>
      </c>
      <c r="E383" s="532">
        <f t="shared" si="5"/>
        <v>0</v>
      </c>
    </row>
    <row r="384" spans="1:5" x14ac:dyDescent="0.25">
      <c r="A384" s="529" t="s">
        <v>218</v>
      </c>
      <c r="B384" s="528">
        <v>150001043</v>
      </c>
      <c r="C384" s="530">
        <v>0</v>
      </c>
      <c r="D384" s="531">
        <v>0</v>
      </c>
      <c r="E384" s="532">
        <f t="shared" si="5"/>
        <v>0</v>
      </c>
    </row>
    <row r="385" spans="1:5" x14ac:dyDescent="0.25">
      <c r="A385" s="529" t="s">
        <v>270</v>
      </c>
      <c r="B385" s="528">
        <v>150001044</v>
      </c>
      <c r="C385" s="530">
        <v>0</v>
      </c>
      <c r="D385" s="531">
        <v>0</v>
      </c>
      <c r="E385" s="532">
        <f t="shared" si="5"/>
        <v>0</v>
      </c>
    </row>
    <row r="386" spans="1:5" x14ac:dyDescent="0.25">
      <c r="A386" s="529" t="s">
        <v>272</v>
      </c>
      <c r="B386" s="528">
        <v>150001045</v>
      </c>
      <c r="C386" s="530">
        <v>0</v>
      </c>
      <c r="D386" s="531">
        <v>0</v>
      </c>
      <c r="E386" s="532">
        <f t="shared" si="5"/>
        <v>0</v>
      </c>
    </row>
    <row r="387" spans="1:5" x14ac:dyDescent="0.25">
      <c r="A387" s="529" t="s">
        <v>273</v>
      </c>
      <c r="B387" s="528">
        <v>150001046</v>
      </c>
      <c r="C387" s="530">
        <v>0</v>
      </c>
      <c r="D387" s="531">
        <v>0</v>
      </c>
      <c r="E387" s="532">
        <f t="shared" ref="E387:E398" si="6">SUM(C387:D387)</f>
        <v>0</v>
      </c>
    </row>
    <row r="388" spans="1:5" x14ac:dyDescent="0.25">
      <c r="A388" s="529" t="s">
        <v>180</v>
      </c>
      <c r="B388" s="528">
        <v>150001047</v>
      </c>
      <c r="C388" s="530">
        <v>0</v>
      </c>
      <c r="D388" s="531">
        <v>0</v>
      </c>
      <c r="E388" s="532">
        <f t="shared" si="6"/>
        <v>0</v>
      </c>
    </row>
    <row r="389" spans="1:5" x14ac:dyDescent="0.25">
      <c r="A389" s="529" t="s">
        <v>126</v>
      </c>
      <c r="B389" s="528">
        <v>150001048</v>
      </c>
      <c r="C389" s="530">
        <v>0</v>
      </c>
      <c r="D389" s="531">
        <v>0</v>
      </c>
      <c r="E389" s="532">
        <f t="shared" si="6"/>
        <v>0</v>
      </c>
    </row>
    <row r="390" spans="1:5" x14ac:dyDescent="0.25">
      <c r="A390" s="529" t="s">
        <v>181</v>
      </c>
      <c r="B390" s="528">
        <v>150001049</v>
      </c>
      <c r="C390" s="530">
        <v>0</v>
      </c>
      <c r="D390" s="531">
        <v>0</v>
      </c>
      <c r="E390" s="532">
        <f t="shared" si="6"/>
        <v>0</v>
      </c>
    </row>
    <row r="391" spans="1:5" x14ac:dyDescent="0.25">
      <c r="A391" s="529" t="s">
        <v>271</v>
      </c>
      <c r="B391" s="528">
        <v>150001050</v>
      </c>
      <c r="C391" s="530">
        <v>0</v>
      </c>
      <c r="D391" s="531">
        <v>0</v>
      </c>
      <c r="E391" s="532">
        <f t="shared" si="6"/>
        <v>0</v>
      </c>
    </row>
    <row r="392" spans="1:5" x14ac:dyDescent="0.25">
      <c r="A392" s="529" t="s">
        <v>147</v>
      </c>
      <c r="B392" s="528">
        <v>150001053</v>
      </c>
      <c r="C392" s="530">
        <v>0</v>
      </c>
      <c r="D392" s="531">
        <v>0</v>
      </c>
      <c r="E392" s="532">
        <f t="shared" si="6"/>
        <v>0</v>
      </c>
    </row>
    <row r="393" spans="1:5" x14ac:dyDescent="0.25">
      <c r="A393" s="529" t="s">
        <v>86</v>
      </c>
      <c r="B393" s="528">
        <v>150001054</v>
      </c>
      <c r="C393" s="530">
        <v>0</v>
      </c>
      <c r="D393" s="531">
        <v>0</v>
      </c>
      <c r="E393" s="532">
        <f t="shared" si="6"/>
        <v>0</v>
      </c>
    </row>
    <row r="394" spans="1:5" x14ac:dyDescent="0.25">
      <c r="A394" s="529" t="s">
        <v>168</v>
      </c>
      <c r="B394" s="528">
        <v>150001071</v>
      </c>
      <c r="C394" s="530">
        <v>0</v>
      </c>
      <c r="D394" s="531">
        <v>0</v>
      </c>
      <c r="E394" s="532">
        <f t="shared" si="6"/>
        <v>0</v>
      </c>
    </row>
    <row r="395" spans="1:5" x14ac:dyDescent="0.25">
      <c r="A395" s="529" t="s">
        <v>186</v>
      </c>
      <c r="B395" s="528">
        <v>150001094</v>
      </c>
      <c r="C395" s="530">
        <v>0</v>
      </c>
      <c r="D395" s="531">
        <v>0</v>
      </c>
      <c r="E395" s="532">
        <f t="shared" si="6"/>
        <v>0</v>
      </c>
    </row>
    <row r="396" spans="1:5" x14ac:dyDescent="0.25">
      <c r="A396" s="529" t="s">
        <v>400</v>
      </c>
      <c r="B396" s="528">
        <v>150001561</v>
      </c>
      <c r="C396" s="530">
        <v>500</v>
      </c>
      <c r="D396" s="531">
        <v>1943.578281224703</v>
      </c>
      <c r="E396" s="532">
        <f t="shared" si="6"/>
        <v>2443.578281224703</v>
      </c>
    </row>
    <row r="397" spans="1:5" x14ac:dyDescent="0.25">
      <c r="A397" s="529" t="s">
        <v>209</v>
      </c>
      <c r="B397" s="528">
        <v>150001562</v>
      </c>
      <c r="C397" s="530">
        <v>0</v>
      </c>
      <c r="D397" s="531">
        <v>0</v>
      </c>
      <c r="E397" s="532">
        <f t="shared" si="6"/>
        <v>0</v>
      </c>
    </row>
    <row r="398" spans="1:5" x14ac:dyDescent="0.25">
      <c r="A398" s="534" t="s">
        <v>978</v>
      </c>
      <c r="B398" s="533"/>
      <c r="C398" s="535">
        <f>SUM(C3:C397)</f>
        <v>120500</v>
      </c>
      <c r="D398" s="535">
        <f>SUM(D3:D397)</f>
        <v>297323.34498911659</v>
      </c>
      <c r="E398" s="536">
        <f t="shared" si="6"/>
        <v>417823.34498911659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5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66FFFF"/>
  </sheetPr>
  <dimension ref="A1:O70"/>
  <sheetViews>
    <sheetView zoomScale="75" zoomScaleNormal="75" workbookViewId="0">
      <pane xSplit="2" ySplit="8" topLeftCell="C9" activePane="bottomRight" state="frozen"/>
      <selection activeCell="DE390" sqref="DE390"/>
      <selection pane="topRight" activeCell="DE390" sqref="DE390"/>
      <selection pane="bottomLeft" activeCell="DE390" sqref="DE390"/>
      <selection pane="bottomRight" activeCell="X34" sqref="X34"/>
    </sheetView>
  </sheetViews>
  <sheetFormatPr defaultColWidth="8.6640625" defaultRowHeight="13.8" x14ac:dyDescent="0.3"/>
  <cols>
    <col min="1" max="1" width="7.33203125" style="1" customWidth="1"/>
    <col min="2" max="2" width="55.6640625" style="1" customWidth="1"/>
    <col min="3" max="3" width="14.5546875" style="7" customWidth="1"/>
    <col min="4" max="4" width="14.44140625" style="1" customWidth="1"/>
    <col min="5" max="5" width="13.5546875" style="1" customWidth="1"/>
    <col min="6" max="6" width="14.109375" style="1" customWidth="1"/>
    <col min="7" max="7" width="11.44140625" style="2" customWidth="1"/>
    <col min="8" max="8" width="11.109375" style="2" customWidth="1"/>
    <col min="9" max="9" width="11.109375" style="1" customWidth="1"/>
    <col min="10" max="10" width="11.44140625" style="2" customWidth="1"/>
    <col min="11" max="11" width="11.109375" style="2" customWidth="1"/>
    <col min="12" max="12" width="11.109375" style="1" customWidth="1"/>
    <col min="13" max="13" width="11.44140625" style="2" customWidth="1"/>
    <col min="14" max="14" width="11.109375" style="2" customWidth="1"/>
    <col min="15" max="15" width="11.109375" style="1" customWidth="1"/>
    <col min="16" max="16" width="9.6640625" style="1" customWidth="1"/>
    <col min="17" max="16384" width="8.6640625" style="1"/>
  </cols>
  <sheetData>
    <row r="1" spans="1:15" x14ac:dyDescent="0.3">
      <c r="A1" s="1" t="s">
        <v>0</v>
      </c>
      <c r="J1" s="549" t="s">
        <v>1080</v>
      </c>
      <c r="O1" s="1">
        <v>8</v>
      </c>
    </row>
    <row r="3" spans="1:15" ht="17.399999999999999" x14ac:dyDescent="0.3">
      <c r="A3" s="6" t="s">
        <v>1022</v>
      </c>
      <c r="E3" s="408" t="str">
        <f>місяць!A2</f>
        <v>2021 РІК</v>
      </c>
      <c r="F3" s="107"/>
    </row>
    <row r="4" spans="1:15" ht="14.4" thickBot="1" x14ac:dyDescent="0.35"/>
    <row r="5" spans="1:15" ht="22.2" customHeight="1" x14ac:dyDescent="0.3">
      <c r="A5" s="952" t="s">
        <v>856</v>
      </c>
      <c r="B5" s="981" t="s">
        <v>857</v>
      </c>
      <c r="C5" s="286"/>
      <c r="D5" s="409" t="str">
        <f>E3</f>
        <v>2021 РІК</v>
      </c>
      <c r="E5" s="287"/>
      <c r="F5" s="288"/>
      <c r="G5" s="969" t="s">
        <v>1019</v>
      </c>
      <c r="H5" s="970"/>
      <c r="I5" s="970"/>
      <c r="J5" s="973" t="s">
        <v>1020</v>
      </c>
      <c r="K5" s="974"/>
      <c r="L5" s="975"/>
      <c r="M5" s="959" t="s">
        <v>1021</v>
      </c>
      <c r="N5" s="960"/>
      <c r="O5" s="961"/>
    </row>
    <row r="6" spans="1:15" ht="34.950000000000003" customHeight="1" thickBot="1" x14ac:dyDescent="0.35">
      <c r="A6" s="953"/>
      <c r="B6" s="982"/>
      <c r="C6" s="283" t="s">
        <v>900</v>
      </c>
      <c r="D6" s="284" t="s">
        <v>441</v>
      </c>
      <c r="E6" s="284" t="s">
        <v>442</v>
      </c>
      <c r="F6" s="285" t="s">
        <v>901</v>
      </c>
      <c r="G6" s="232" t="s">
        <v>985</v>
      </c>
      <c r="H6" s="214" t="s">
        <v>441</v>
      </c>
      <c r="I6" s="249" t="s">
        <v>442</v>
      </c>
      <c r="J6" s="263" t="s">
        <v>985</v>
      </c>
      <c r="K6" s="215" t="s">
        <v>441</v>
      </c>
      <c r="L6" s="264" t="s">
        <v>442</v>
      </c>
      <c r="M6" s="256" t="s">
        <v>985</v>
      </c>
      <c r="N6" s="216" t="s">
        <v>441</v>
      </c>
      <c r="O6" s="212" t="s">
        <v>442</v>
      </c>
    </row>
    <row r="7" spans="1:15" ht="16.649999999999999" customHeight="1" x14ac:dyDescent="0.3">
      <c r="A7" s="213"/>
      <c r="B7" s="217" t="s">
        <v>858</v>
      </c>
      <c r="C7" s="954">
        <f>'побудинковий звіт'!E404</f>
        <v>1015028.5299999997</v>
      </c>
      <c r="D7" s="955"/>
      <c r="E7" s="956"/>
      <c r="F7" s="239"/>
      <c r="G7" s="971">
        <f>'побудинковий звіт'!E407</f>
        <v>341251.19999999995</v>
      </c>
      <c r="H7" s="972"/>
      <c r="I7" s="972"/>
      <c r="J7" s="976">
        <f>'побудинковий звіт'!E408</f>
        <v>357366.10000000009</v>
      </c>
      <c r="K7" s="977"/>
      <c r="L7" s="978"/>
      <c r="M7" s="962">
        <f>'побудинковий звіт'!E409</f>
        <v>316411.23000000004</v>
      </c>
      <c r="N7" s="963"/>
      <c r="O7" s="964"/>
    </row>
    <row r="8" spans="1:15" ht="15" customHeight="1" x14ac:dyDescent="0.3">
      <c r="A8" s="194" t="s">
        <v>859</v>
      </c>
      <c r="B8" s="218" t="s">
        <v>860</v>
      </c>
      <c r="C8" s="240"/>
      <c r="D8" s="182"/>
      <c r="E8" s="182"/>
      <c r="F8" s="241"/>
      <c r="G8" s="233"/>
      <c r="H8" s="169"/>
      <c r="I8" s="250"/>
      <c r="J8" s="265"/>
      <c r="K8" s="174"/>
      <c r="L8" s="98"/>
      <c r="M8" s="257"/>
      <c r="N8" s="177"/>
      <c r="O8" s="193"/>
    </row>
    <row r="9" spans="1:15" ht="15" customHeight="1" x14ac:dyDescent="0.3">
      <c r="A9" s="195" t="s">
        <v>861</v>
      </c>
      <c r="B9" s="219" t="s">
        <v>6</v>
      </c>
      <c r="C9" s="289">
        <f>C10+C11+C12+C13+C14+C15+C16+C17</f>
        <v>11476385.452768087</v>
      </c>
      <c r="D9" s="184">
        <f>D10+D11+D12+D13+D14+D15+D16+D17</f>
        <v>11387328.459176462</v>
      </c>
      <c r="E9" s="184">
        <f>D9-C9</f>
        <v>-89056.993591625243</v>
      </c>
      <c r="F9" s="243">
        <f>D9/C9</f>
        <v>0.9922399788715579</v>
      </c>
      <c r="G9" s="234">
        <f>G10+G11+G12+G13+G14+G15+G16+G17</f>
        <v>3835017.64342923</v>
      </c>
      <c r="H9" s="234">
        <f>H10+H11+H12+H13+H14+H15+H16+H17</f>
        <v>3654693.7086889781</v>
      </c>
      <c r="I9" s="251">
        <f>H9-G9</f>
        <v>-180323.93474025186</v>
      </c>
      <c r="J9" s="162">
        <f>J10+J11+J12+J13+J14+J15+J16+J17</f>
        <v>4040023.6529789725</v>
      </c>
      <c r="K9" s="163">
        <f>K10+K11+K12+K13+K14+K15+K16+K17</f>
        <v>4167441.7449959544</v>
      </c>
      <c r="L9" s="164">
        <f>K9-J9</f>
        <v>127418.09201698191</v>
      </c>
      <c r="M9" s="258">
        <f>M10+M11+M12+M13+M14+M15+M16+M17</f>
        <v>3601344.1563598886</v>
      </c>
      <c r="N9" s="179">
        <f>N10+N11+N12+N13+N14+N15+N16+N17</f>
        <v>3565193.0054915268</v>
      </c>
      <c r="O9" s="196">
        <f>N9-M9</f>
        <v>-36151.150868361816</v>
      </c>
    </row>
    <row r="10" spans="1:15" ht="15" customHeight="1" x14ac:dyDescent="0.3">
      <c r="A10" s="197" t="s">
        <v>862</v>
      </c>
      <c r="B10" s="220" t="s">
        <v>24</v>
      </c>
      <c r="C10" s="290">
        <f>'побудинковий звіт'!I404</f>
        <v>3012730.1725193714</v>
      </c>
      <c r="D10" s="183">
        <f>'побудинковий звіт'!J404</f>
        <v>3011703.0985736828</v>
      </c>
      <c r="E10" s="183">
        <f t="shared" ref="E10:E42" si="0">D10-C10</f>
        <v>-1027.0739456885494</v>
      </c>
      <c r="F10" s="244">
        <f t="shared" ref="F10:F46" si="1">D10/C10</f>
        <v>0.99965908863825348</v>
      </c>
      <c r="G10" s="235">
        <f>'побудинковий звіт'!I407</f>
        <v>924699.4531662669</v>
      </c>
      <c r="H10" s="235">
        <f>'побудинковий звіт'!J407</f>
        <v>827752.18870360719</v>
      </c>
      <c r="I10" s="252">
        <f t="shared" ref="I10:I43" si="2">H10-G10</f>
        <v>-96947.264462659718</v>
      </c>
      <c r="J10" s="160">
        <f>'побудинковий звіт'!I408</f>
        <v>1099169.5441246238</v>
      </c>
      <c r="K10" s="159">
        <f>'побудинковий звіт'!J408</f>
        <v>1212549.9469851234</v>
      </c>
      <c r="L10" s="161">
        <f t="shared" ref="L10:L43" si="3">K10-J10</f>
        <v>113380.40286049969</v>
      </c>
      <c r="M10" s="259">
        <f>'побудинковий звіт'!I409</f>
        <v>988861.17522848025</v>
      </c>
      <c r="N10" s="147">
        <f>'побудинковий звіт'!J409</f>
        <v>971400.96288494987</v>
      </c>
      <c r="O10" s="198">
        <f t="shared" ref="O10:O43" si="4">N10-M10</f>
        <v>-17460.21234353038</v>
      </c>
    </row>
    <row r="11" spans="1:15" ht="15" customHeight="1" x14ac:dyDescent="0.3">
      <c r="A11" s="197" t="s">
        <v>863</v>
      </c>
      <c r="B11" s="220" t="s">
        <v>25</v>
      </c>
      <c r="C11" s="290">
        <f>'побудинковий звіт'!L404</f>
        <v>581404.53587102692</v>
      </c>
      <c r="D11" s="183">
        <f>'побудинковий звіт'!M404</f>
        <v>589005.82286495296</v>
      </c>
      <c r="E11" s="183">
        <f t="shared" si="0"/>
        <v>7601.2869939260418</v>
      </c>
      <c r="F11" s="244">
        <f t="shared" si="1"/>
        <v>1.0130740070380397</v>
      </c>
      <c r="G11" s="235">
        <f>'побудинковий звіт'!L407</f>
        <v>172971.16925268286</v>
      </c>
      <c r="H11" s="235">
        <f>'побудинковий звіт'!M407</f>
        <v>156482.83036782322</v>
      </c>
      <c r="I11" s="252">
        <f t="shared" si="2"/>
        <v>-16488.338884859637</v>
      </c>
      <c r="J11" s="160">
        <f>'побудинковий звіт'!L408</f>
        <v>217963.74391059339</v>
      </c>
      <c r="K11" s="159">
        <f>'побудинковий звіт'!M408</f>
        <v>240290.86532076445</v>
      </c>
      <c r="L11" s="161">
        <f t="shared" si="3"/>
        <v>22327.121410171065</v>
      </c>
      <c r="M11" s="259">
        <f>'побудинковий звіт'!L409</f>
        <v>190469.62270775071</v>
      </c>
      <c r="N11" s="147">
        <f>'побудинковий звіт'!M409</f>
        <v>192232.12717636544</v>
      </c>
      <c r="O11" s="198">
        <f t="shared" si="4"/>
        <v>1762.5044686147303</v>
      </c>
    </row>
    <row r="12" spans="1:15" ht="15" customHeight="1" x14ac:dyDescent="0.3">
      <c r="A12" s="197" t="s">
        <v>864</v>
      </c>
      <c r="B12" s="220" t="s">
        <v>26</v>
      </c>
      <c r="C12" s="290">
        <f>'побудинковий звіт'!O404</f>
        <v>1267331.2031672045</v>
      </c>
      <c r="D12" s="183">
        <f>'побудинковий звіт'!P404</f>
        <v>1267568.9466666661</v>
      </c>
      <c r="E12" s="183">
        <f t="shared" si="0"/>
        <v>237.74349946156144</v>
      </c>
      <c r="F12" s="244">
        <f t="shared" si="1"/>
        <v>1.0001875938183069</v>
      </c>
      <c r="G12" s="235">
        <f>'побудинковий звіт'!O407</f>
        <v>461093.08443514217</v>
      </c>
      <c r="H12" s="235">
        <f>'побудинковий звіт'!P407</f>
        <v>461092.78666666668</v>
      </c>
      <c r="I12" s="252">
        <f t="shared" si="2"/>
        <v>-0.29776847548782825</v>
      </c>
      <c r="J12" s="160">
        <f>'побудинковий звіт'!O408</f>
        <v>434080.2197095743</v>
      </c>
      <c r="K12" s="159">
        <f>'побудинковий звіт'!P408</f>
        <v>433957.49999999983</v>
      </c>
      <c r="L12" s="161">
        <f t="shared" si="3"/>
        <v>-122.71970957447775</v>
      </c>
      <c r="M12" s="259">
        <f>'побудинковий звіт'!O409</f>
        <v>372157.8990224888</v>
      </c>
      <c r="N12" s="147">
        <f>'побудинковий звіт'!P409</f>
        <v>372518.65999999986</v>
      </c>
      <c r="O12" s="198">
        <f t="shared" si="4"/>
        <v>360.76097751106136</v>
      </c>
    </row>
    <row r="13" spans="1:15" ht="15" customHeight="1" x14ac:dyDescent="0.3">
      <c r="A13" s="197" t="s">
        <v>865</v>
      </c>
      <c r="B13" s="220" t="s">
        <v>27</v>
      </c>
      <c r="C13" s="290">
        <f>'побудинковий звіт'!R404</f>
        <v>173141.09679849859</v>
      </c>
      <c r="D13" s="183">
        <f>'побудинковий звіт'!S404</f>
        <v>173223.57500000007</v>
      </c>
      <c r="E13" s="183">
        <f t="shared" si="0"/>
        <v>82.478201501478907</v>
      </c>
      <c r="F13" s="244">
        <f t="shared" si="1"/>
        <v>1.0004763640927923</v>
      </c>
      <c r="G13" s="235">
        <f>'побудинковий звіт'!R407</f>
        <v>90456.66919030188</v>
      </c>
      <c r="H13" s="235">
        <f>'побудинковий звіт'!S407</f>
        <v>90461.143333333326</v>
      </c>
      <c r="I13" s="252">
        <f t="shared" si="2"/>
        <v>4.4741430314461468</v>
      </c>
      <c r="J13" s="160">
        <f>'побудинковий звіт'!R408</f>
        <v>31375.747835682265</v>
      </c>
      <c r="K13" s="159">
        <f>'побудинковий звіт'!S408</f>
        <v>31374.575000000001</v>
      </c>
      <c r="L13" s="161">
        <f t="shared" si="3"/>
        <v>-1.1728356822641217</v>
      </c>
      <c r="M13" s="259">
        <f>'побудинковий звіт'!R409</f>
        <v>51308.679772514413</v>
      </c>
      <c r="N13" s="147">
        <f>'побудинковий звіт'!S409</f>
        <v>51387.856666666659</v>
      </c>
      <c r="O13" s="198">
        <f t="shared" si="4"/>
        <v>79.17689415224595</v>
      </c>
    </row>
    <row r="14" spans="1:15" ht="15" customHeight="1" x14ac:dyDescent="0.3">
      <c r="A14" s="197" t="s">
        <v>866</v>
      </c>
      <c r="B14" s="220" t="s">
        <v>28</v>
      </c>
      <c r="C14" s="290">
        <f>'побудинковий звіт'!U404</f>
        <v>136867.30719318279</v>
      </c>
      <c r="D14" s="183">
        <f>'побудинковий звіт'!V404</f>
        <v>137228.17403043163</v>
      </c>
      <c r="E14" s="183">
        <f t="shared" si="0"/>
        <v>360.86683724884642</v>
      </c>
      <c r="F14" s="244">
        <f t="shared" si="1"/>
        <v>1.0026366182300899</v>
      </c>
      <c r="G14" s="235">
        <f>'побудинковий звіт'!U407</f>
        <v>74179.365984632459</v>
      </c>
      <c r="H14" s="235">
        <f>'побудинковий звіт'!V407</f>
        <v>49115.855051027196</v>
      </c>
      <c r="I14" s="252">
        <f t="shared" si="2"/>
        <v>-25063.510933605263</v>
      </c>
      <c r="J14" s="160">
        <f>'побудинковий звіт'!U408</f>
        <v>13520.929937080142</v>
      </c>
      <c r="K14" s="159">
        <f>'побудинковий звіт'!V408</f>
        <v>45442.757989335449</v>
      </c>
      <c r="L14" s="161">
        <f t="shared" si="3"/>
        <v>31921.828052255307</v>
      </c>
      <c r="M14" s="259">
        <f>'побудинковий звіт'!U409</f>
        <v>49167.011271470132</v>
      </c>
      <c r="N14" s="147">
        <f>'побудинковий звіт'!V409</f>
        <v>42669.56099006904</v>
      </c>
      <c r="O14" s="198">
        <f t="shared" si="4"/>
        <v>-6497.4502814010921</v>
      </c>
    </row>
    <row r="15" spans="1:15" ht="15" customHeight="1" x14ac:dyDescent="0.3">
      <c r="A15" s="197" t="s">
        <v>867</v>
      </c>
      <c r="B15" s="220" t="s">
        <v>29</v>
      </c>
      <c r="C15" s="290">
        <f>'побудинковий звіт'!X404</f>
        <v>1829361.5863992791</v>
      </c>
      <c r="D15" s="183">
        <f>'побудинковий звіт'!Y404</f>
        <v>1595063.6855879249</v>
      </c>
      <c r="E15" s="183">
        <f t="shared" si="0"/>
        <v>-234297.90081135416</v>
      </c>
      <c r="F15" s="244">
        <f t="shared" si="1"/>
        <v>0.87192367952115946</v>
      </c>
      <c r="G15" s="235">
        <f>'побудинковий звіт'!X407</f>
        <v>600799.05672755453</v>
      </c>
      <c r="H15" s="235">
        <f>'побудинковий звіт'!Y407</f>
        <v>524943.89476103499</v>
      </c>
      <c r="I15" s="252">
        <f t="shared" si="2"/>
        <v>-75855.161966519547</v>
      </c>
      <c r="J15" s="160">
        <f>'побудинковий звіт'!X408</f>
        <v>658980.44430860644</v>
      </c>
      <c r="K15" s="159">
        <f>'побудинковий звіт'!Y408</f>
        <v>565266.97521699429</v>
      </c>
      <c r="L15" s="161">
        <f t="shared" si="3"/>
        <v>-93713.469091612147</v>
      </c>
      <c r="M15" s="259">
        <f>'побудинковий звіт'!X409</f>
        <v>569582.08536311984</v>
      </c>
      <c r="N15" s="147">
        <f>'побудинковий звіт'!Y409</f>
        <v>504852.81560989603</v>
      </c>
      <c r="O15" s="198">
        <f t="shared" si="4"/>
        <v>-64729.269753223809</v>
      </c>
    </row>
    <row r="16" spans="1:15" ht="15" customHeight="1" x14ac:dyDescent="0.3">
      <c r="A16" s="197" t="s">
        <v>868</v>
      </c>
      <c r="B16" s="220" t="s">
        <v>30</v>
      </c>
      <c r="C16" s="290">
        <f>'побудинковий звіт'!AA404</f>
        <v>198413.32600000003</v>
      </c>
      <c r="D16" s="183">
        <f>'побудинковий звіт'!AB404</f>
        <v>18171.157012000207</v>
      </c>
      <c r="E16" s="183">
        <f t="shared" si="0"/>
        <v>-180242.16898799982</v>
      </c>
      <c r="F16" s="244">
        <f t="shared" si="1"/>
        <v>9.1582341661871056E-2</v>
      </c>
      <c r="G16" s="235">
        <f>'побудинковий звіт'!AA407</f>
        <v>67888.478000000017</v>
      </c>
      <c r="H16" s="235">
        <f>'побудинковий звіт'!AB407</f>
        <v>0</v>
      </c>
      <c r="I16" s="252">
        <f t="shared" si="2"/>
        <v>-67888.478000000017</v>
      </c>
      <c r="J16" s="160">
        <f>'побудинковий звіт'!AA408</f>
        <v>70002.960000000021</v>
      </c>
      <c r="K16" s="159">
        <f>'побудинковий звіт'!AB408</f>
        <v>17204.757012000206</v>
      </c>
      <c r="L16" s="161">
        <f t="shared" si="3"/>
        <v>-52798.202987999815</v>
      </c>
      <c r="M16" s="259">
        <f>'побудинковий звіт'!AA409</f>
        <v>60521.888000000014</v>
      </c>
      <c r="N16" s="147">
        <f>'побудинковий звіт'!AB409</f>
        <v>966.4</v>
      </c>
      <c r="O16" s="198">
        <f t="shared" si="4"/>
        <v>-59555.488000000012</v>
      </c>
    </row>
    <row r="17" spans="1:15" ht="15" customHeight="1" x14ac:dyDescent="0.3">
      <c r="A17" s="197" t="s">
        <v>869</v>
      </c>
      <c r="B17" s="221" t="s">
        <v>31</v>
      </c>
      <c r="C17" s="290">
        <f>'побудинковий звіт'!AD404</f>
        <v>4277136.2248195251</v>
      </c>
      <c r="D17" s="183">
        <f>'побудинковий звіт'!AE404</f>
        <v>4595363.9994408032</v>
      </c>
      <c r="E17" s="183">
        <f t="shared" si="0"/>
        <v>318227.77462127805</v>
      </c>
      <c r="F17" s="244">
        <f t="shared" si="1"/>
        <v>1.0744020666853336</v>
      </c>
      <c r="G17" s="235">
        <f>'побудинковий звіт'!AD407</f>
        <v>1442930.3666726493</v>
      </c>
      <c r="H17" s="235">
        <f>'побудинковий звіт'!AE407</f>
        <v>1544845.0098054854</v>
      </c>
      <c r="I17" s="252">
        <f t="shared" si="2"/>
        <v>101914.64313283609</v>
      </c>
      <c r="J17" s="160">
        <f>'побудинковий звіт'!AD408</f>
        <v>1514930.0631528124</v>
      </c>
      <c r="K17" s="159">
        <f>'побудинковий звіт'!AE408</f>
        <v>1621354.3674717371</v>
      </c>
      <c r="L17" s="161">
        <f t="shared" si="3"/>
        <v>106424.30431892467</v>
      </c>
      <c r="M17" s="259">
        <f>'побудинковий звіт'!AD409</f>
        <v>1319275.7949940644</v>
      </c>
      <c r="N17" s="147">
        <f>'побудинковий звіт'!AE409</f>
        <v>1429164.6221635796</v>
      </c>
      <c r="O17" s="198">
        <f t="shared" si="4"/>
        <v>109888.82716951519</v>
      </c>
    </row>
    <row r="18" spans="1:15" ht="15" customHeight="1" x14ac:dyDescent="0.3">
      <c r="A18" s="194" t="s">
        <v>870</v>
      </c>
      <c r="B18" s="222" t="s">
        <v>7</v>
      </c>
      <c r="C18" s="289">
        <f>'побудинковий звіт'!AJ404</f>
        <v>4683024.1490582656</v>
      </c>
      <c r="D18" s="184">
        <f>'побудинковий звіт'!AK404</f>
        <v>4646189.8944128715</v>
      </c>
      <c r="E18" s="184">
        <f t="shared" si="0"/>
        <v>-36834.254645394161</v>
      </c>
      <c r="F18" s="243">
        <f t="shared" si="1"/>
        <v>0.99213451533176455</v>
      </c>
      <c r="G18" s="234">
        <f>'побудинковий звіт'!AJ407</f>
        <v>2470238.9413704942</v>
      </c>
      <c r="H18" s="234">
        <f>'побудинковий звіт'!AK407</f>
        <v>2449068.4594893875</v>
      </c>
      <c r="I18" s="251">
        <f t="shared" si="2"/>
        <v>-21170.481881106738</v>
      </c>
      <c r="J18" s="162">
        <f>'побудинковий звіт'!AJ408</f>
        <v>720740.29727981437</v>
      </c>
      <c r="K18" s="163">
        <f>'побудинковий звіт'!AK408</f>
        <v>714308.41765717906</v>
      </c>
      <c r="L18" s="164">
        <f t="shared" si="3"/>
        <v>-6431.8796226353152</v>
      </c>
      <c r="M18" s="258">
        <f>'побудинковий звіт'!AJ409</f>
        <v>1492044.9104079562</v>
      </c>
      <c r="N18" s="179">
        <f>'побудинковий звіт'!AK409</f>
        <v>1482813.0172663066</v>
      </c>
      <c r="O18" s="196">
        <f t="shared" si="4"/>
        <v>-9231.8931416496634</v>
      </c>
    </row>
    <row r="19" spans="1:15" ht="15" customHeight="1" x14ac:dyDescent="0.3">
      <c r="A19" s="194" t="s">
        <v>871</v>
      </c>
      <c r="B19" s="222" t="s">
        <v>8</v>
      </c>
      <c r="C19" s="289">
        <f>'побудинковий звіт'!AM404</f>
        <v>93036.918842023413</v>
      </c>
      <c r="D19" s="184">
        <f>'побудинковий звіт'!AN404</f>
        <v>38523.458569089911</v>
      </c>
      <c r="E19" s="184">
        <f t="shared" si="0"/>
        <v>-54513.460272933502</v>
      </c>
      <c r="F19" s="243">
        <f t="shared" si="1"/>
        <v>0.41406636256412038</v>
      </c>
      <c r="G19" s="234">
        <f>'побудинковий звіт'!AM407</f>
        <v>63093.223948789542</v>
      </c>
      <c r="H19" s="234">
        <f>'побудинковий звіт'!AN407</f>
        <v>27401.343935449753</v>
      </c>
      <c r="I19" s="251">
        <f t="shared" si="2"/>
        <v>-35691.880013339789</v>
      </c>
      <c r="J19" s="162">
        <f>'побудинковий звіт'!AM408</f>
        <v>20221.581687051144</v>
      </c>
      <c r="K19" s="163">
        <f>'побудинковий звіт'!AN408</f>
        <v>8510.1941137260292</v>
      </c>
      <c r="L19" s="164">
        <f t="shared" si="3"/>
        <v>-11711.387573325115</v>
      </c>
      <c r="M19" s="258">
        <f>'побудинковий звіт'!AM409</f>
        <v>9722.113206182752</v>
      </c>
      <c r="N19" s="179">
        <f>'побудинковий звіт'!AN409</f>
        <v>2611.9205199141256</v>
      </c>
      <c r="O19" s="196">
        <f t="shared" si="4"/>
        <v>-7110.1926862686269</v>
      </c>
    </row>
    <row r="20" spans="1:15" ht="15" customHeight="1" x14ac:dyDescent="0.3">
      <c r="A20" s="194" t="s">
        <v>872</v>
      </c>
      <c r="B20" s="219" t="s">
        <v>9</v>
      </c>
      <c r="C20" s="289">
        <f>'побудинковий звіт'!AP404</f>
        <v>1392975.987546677</v>
      </c>
      <c r="D20" s="184">
        <f>'побудинковий звіт'!AQ404</f>
        <v>1141710.9527173073</v>
      </c>
      <c r="E20" s="184">
        <f t="shared" si="0"/>
        <v>-251265.03482936975</v>
      </c>
      <c r="F20" s="243">
        <f t="shared" si="1"/>
        <v>0.81961998119443524</v>
      </c>
      <c r="G20" s="234">
        <f>'побудинковий звіт'!AP407</f>
        <v>296198.59733227018</v>
      </c>
      <c r="H20" s="234">
        <f>'побудинковий звіт'!AQ407</f>
        <v>251201.99782054717</v>
      </c>
      <c r="I20" s="251">
        <f t="shared" si="2"/>
        <v>-44996.599511723005</v>
      </c>
      <c r="J20" s="162">
        <f>'побудинковий звіт'!AP408</f>
        <v>675130.06087906996</v>
      </c>
      <c r="K20" s="163">
        <f>'побудинковий звіт'!AQ408</f>
        <v>525556.62958936114</v>
      </c>
      <c r="L20" s="164">
        <f t="shared" si="3"/>
        <v>-149573.43128970882</v>
      </c>
      <c r="M20" s="258">
        <f>'побудинковий звіт'!AP409</f>
        <v>421647.32933533681</v>
      </c>
      <c r="N20" s="179">
        <f>'побудинковий звіт'!AQ409</f>
        <v>364952.32530739892</v>
      </c>
      <c r="O20" s="196">
        <f t="shared" si="4"/>
        <v>-56695.004027937888</v>
      </c>
    </row>
    <row r="21" spans="1:15" ht="27.45" customHeight="1" x14ac:dyDescent="0.3">
      <c r="A21" s="194" t="s">
        <v>873</v>
      </c>
      <c r="B21" s="219" t="s">
        <v>10</v>
      </c>
      <c r="C21" s="242">
        <v>0</v>
      </c>
      <c r="D21" s="184">
        <v>0</v>
      </c>
      <c r="E21" s="184">
        <f t="shared" si="0"/>
        <v>0</v>
      </c>
      <c r="F21" s="244"/>
      <c r="G21" s="234">
        <v>0</v>
      </c>
      <c r="H21" s="234">
        <v>0</v>
      </c>
      <c r="I21" s="251">
        <f t="shared" si="2"/>
        <v>0</v>
      </c>
      <c r="J21" s="162">
        <v>0</v>
      </c>
      <c r="K21" s="163">
        <v>0</v>
      </c>
      <c r="L21" s="164">
        <f t="shared" si="3"/>
        <v>0</v>
      </c>
      <c r="M21" s="258">
        <v>0</v>
      </c>
      <c r="N21" s="179">
        <v>0</v>
      </c>
      <c r="O21" s="196">
        <f t="shared" si="4"/>
        <v>0</v>
      </c>
    </row>
    <row r="22" spans="1:15" ht="66.599999999999994" customHeight="1" x14ac:dyDescent="0.3">
      <c r="A22" s="194" t="s">
        <v>874</v>
      </c>
      <c r="B22" s="219" t="s">
        <v>875</v>
      </c>
      <c r="C22" s="289">
        <f>'побудинковий звіт'!AS404</f>
        <v>11805093.420223631</v>
      </c>
      <c r="D22" s="184">
        <f>'побудинковий звіт'!AT404</f>
        <v>11711511.293233572</v>
      </c>
      <c r="E22" s="184">
        <f t="shared" si="0"/>
        <v>-93582.126990059391</v>
      </c>
      <c r="F22" s="243">
        <f t="shared" si="1"/>
        <v>0.99207273304337085</v>
      </c>
      <c r="G22" s="234">
        <f>'побудинковий звіт'!AS407</f>
        <v>4213947.8406477896</v>
      </c>
      <c r="H22" s="234">
        <f>'побудинковий звіт'!AT407</f>
        <v>4847175.6277279928</v>
      </c>
      <c r="I22" s="251">
        <f t="shared" si="2"/>
        <v>633227.78708020318</v>
      </c>
      <c r="J22" s="162">
        <f>'побудинковий звіт'!AS408</f>
        <v>3696037.2610306884</v>
      </c>
      <c r="K22" s="163">
        <f>'побудинковий звіт'!AT408</f>
        <v>3788057.8963923575</v>
      </c>
      <c r="L22" s="164">
        <f t="shared" si="3"/>
        <v>92020.635361669119</v>
      </c>
      <c r="M22" s="258">
        <f>'побудинковий звіт'!AS409</f>
        <v>3895108.3185451473</v>
      </c>
      <c r="N22" s="179">
        <f>'побудинковий звіт'!AT409</f>
        <v>3076277.7691132165</v>
      </c>
      <c r="O22" s="196">
        <f t="shared" si="4"/>
        <v>-818830.54943193076</v>
      </c>
    </row>
    <row r="23" spans="1:15" ht="23.7" customHeight="1" x14ac:dyDescent="0.3">
      <c r="A23" s="194" t="s">
        <v>876</v>
      </c>
      <c r="B23" s="219" t="s">
        <v>12</v>
      </c>
      <c r="C23" s="289">
        <f>C24+C25+C26+C27+C28+C29+C30</f>
        <v>3442206.6824210277</v>
      </c>
      <c r="D23" s="184">
        <f>D24+D25+D26+D27+D28+D29+D30</f>
        <v>1857204.64</v>
      </c>
      <c r="E23" s="184">
        <f t="shared" si="0"/>
        <v>-1585002.0424210278</v>
      </c>
      <c r="F23" s="243">
        <f t="shared" si="1"/>
        <v>0.53953896768736764</v>
      </c>
      <c r="G23" s="234">
        <f>G24+G25+G26+G27+G28+G29+G30</f>
        <v>1119825.6362855996</v>
      </c>
      <c r="H23" s="234">
        <f>H24+H25+H26+H27+H28+H29+H30</f>
        <v>777766.61</v>
      </c>
      <c r="I23" s="251">
        <f t="shared" si="2"/>
        <v>-342059.02628559957</v>
      </c>
      <c r="J23" s="162">
        <f>J24+J25+J26+J27+J28+J29+J30</f>
        <v>1182580.629177693</v>
      </c>
      <c r="K23" s="163">
        <f>K24+K25+K26+K27+K28+K29+K30</f>
        <v>483530.79</v>
      </c>
      <c r="L23" s="164">
        <f t="shared" si="3"/>
        <v>-699049.83917769301</v>
      </c>
      <c r="M23" s="258">
        <f>M24+M25+M26+M27+M28+M29+M30</f>
        <v>1139800.4169577358</v>
      </c>
      <c r="N23" s="179">
        <f>N24+N25+N26+N27+N28+N29+N30</f>
        <v>595907.24</v>
      </c>
      <c r="O23" s="196">
        <f t="shared" si="4"/>
        <v>-543893.17695773579</v>
      </c>
    </row>
    <row r="24" spans="1:15" ht="15" customHeight="1" x14ac:dyDescent="0.3">
      <c r="A24" s="197" t="s">
        <v>877</v>
      </c>
      <c r="B24" s="220" t="s">
        <v>24</v>
      </c>
      <c r="C24" s="290">
        <f>'побудинковий звіт'!AV404</f>
        <v>747511.92427616369</v>
      </c>
      <c r="D24" s="183">
        <f>'побудинковий звіт'!AW404</f>
        <v>320547.19</v>
      </c>
      <c r="E24" s="183">
        <f t="shared" si="0"/>
        <v>-426964.73427616368</v>
      </c>
      <c r="F24" s="244">
        <f t="shared" si="1"/>
        <v>0.42881883163321394</v>
      </c>
      <c r="G24" s="235">
        <f>'побудинковий звіт'!AV407</f>
        <v>207174.5975188415</v>
      </c>
      <c r="H24" s="235">
        <f>'побудинковий звіт'!AW407</f>
        <v>98716.37</v>
      </c>
      <c r="I24" s="252">
        <f t="shared" si="2"/>
        <v>-108458.22751884151</v>
      </c>
      <c r="J24" s="160">
        <f>'побудинковий звіт'!AV408</f>
        <v>294200.19934653351</v>
      </c>
      <c r="K24" s="159">
        <f>'побудинковий звіт'!AW408</f>
        <v>133447.67999999999</v>
      </c>
      <c r="L24" s="161">
        <f t="shared" si="3"/>
        <v>-160752.51934653352</v>
      </c>
      <c r="M24" s="259">
        <f>'побудинковий звіт'!AV409</f>
        <v>246137.12741078882</v>
      </c>
      <c r="N24" s="147">
        <f>'побудинковий звіт'!AW409</f>
        <v>88383.14</v>
      </c>
      <c r="O24" s="198">
        <f t="shared" si="4"/>
        <v>-157753.98741078883</v>
      </c>
    </row>
    <row r="25" spans="1:15" ht="15" customHeight="1" x14ac:dyDescent="0.3">
      <c r="A25" s="197" t="s">
        <v>878</v>
      </c>
      <c r="B25" s="220" t="s">
        <v>25</v>
      </c>
      <c r="C25" s="290">
        <f>'побудинковий звіт'!AY404</f>
        <v>965700.78735465289</v>
      </c>
      <c r="D25" s="183">
        <f>'побудинковий звіт'!AZ404</f>
        <v>618835.73999999987</v>
      </c>
      <c r="E25" s="183">
        <f t="shared" si="0"/>
        <v>-346865.04735465301</v>
      </c>
      <c r="F25" s="244">
        <f t="shared" si="1"/>
        <v>0.64081519669791143</v>
      </c>
      <c r="G25" s="235">
        <f>'побудинковий звіт'!AY407</f>
        <v>256282.49442636099</v>
      </c>
      <c r="H25" s="235">
        <f>'побудинковий звіт'!AZ407</f>
        <v>313643.89999999997</v>
      </c>
      <c r="I25" s="252">
        <f t="shared" si="2"/>
        <v>57361.405573638971</v>
      </c>
      <c r="J25" s="160">
        <f>'побудинковий звіт'!AY408</f>
        <v>391180.30396797706</v>
      </c>
      <c r="K25" s="159">
        <f>'побудинковий звіт'!AZ408</f>
        <v>96305.11</v>
      </c>
      <c r="L25" s="161">
        <f t="shared" si="3"/>
        <v>-294875.19396797707</v>
      </c>
      <c r="M25" s="259">
        <f>'побудинковий звіт'!AY409</f>
        <v>318237.98896031472</v>
      </c>
      <c r="N25" s="147">
        <f>'побудинковий звіт'!AZ409</f>
        <v>208886.73</v>
      </c>
      <c r="O25" s="198">
        <f t="shared" si="4"/>
        <v>-109351.25896031471</v>
      </c>
    </row>
    <row r="26" spans="1:15" ht="15" customHeight="1" x14ac:dyDescent="0.3">
      <c r="A26" s="197" t="s">
        <v>879</v>
      </c>
      <c r="B26" s="220" t="s">
        <v>26</v>
      </c>
      <c r="C26" s="290">
        <f>'побудинковий звіт'!BB404</f>
        <v>455980.25765954982</v>
      </c>
      <c r="D26" s="183">
        <f>'побудинковий звіт'!BC404</f>
        <v>344778.66000000003</v>
      </c>
      <c r="E26" s="183">
        <f t="shared" si="0"/>
        <v>-111201.59765954979</v>
      </c>
      <c r="F26" s="244">
        <f t="shared" si="1"/>
        <v>0.7561262888215291</v>
      </c>
      <c r="G26" s="235">
        <f>'побудинковий звіт'!BB407</f>
        <v>118181.14065924751</v>
      </c>
      <c r="H26" s="235">
        <f>'побудинковий звіт'!BC407</f>
        <v>82567.77</v>
      </c>
      <c r="I26" s="252">
        <f t="shared" si="2"/>
        <v>-35613.370659247506</v>
      </c>
      <c r="J26" s="160">
        <f>'побудинковий звіт'!BB408</f>
        <v>183189.91208590099</v>
      </c>
      <c r="K26" s="159">
        <f>'побудинковий звіт'!BC408</f>
        <v>101108</v>
      </c>
      <c r="L26" s="161">
        <f t="shared" si="3"/>
        <v>-82081.912085900985</v>
      </c>
      <c r="M26" s="259">
        <f>'побудинковий звіт'!BB409</f>
        <v>154609.20491440146</v>
      </c>
      <c r="N26" s="147">
        <f>'побудинковий звіт'!BC409</f>
        <v>161102.89000000001</v>
      </c>
      <c r="O26" s="198">
        <f t="shared" si="4"/>
        <v>6493.685085598554</v>
      </c>
    </row>
    <row r="27" spans="1:15" ht="15" customHeight="1" x14ac:dyDescent="0.3">
      <c r="A27" s="197" t="s">
        <v>880</v>
      </c>
      <c r="B27" s="220" t="s">
        <v>27</v>
      </c>
      <c r="C27" s="290">
        <f>'побудинковий звіт'!BE404</f>
        <v>373055.87885166245</v>
      </c>
      <c r="D27" s="183">
        <f>'побудинковий звіт'!BF404</f>
        <v>225877.69999999998</v>
      </c>
      <c r="E27" s="183">
        <f t="shared" si="0"/>
        <v>-147178.17885166247</v>
      </c>
      <c r="F27" s="244">
        <f t="shared" si="1"/>
        <v>0.60547953484956429</v>
      </c>
      <c r="G27" s="235">
        <f>'побудинковий звіт'!BE407</f>
        <v>186677.37893112793</v>
      </c>
      <c r="H27" s="235">
        <f>'побудинковий звіт'!BF407</f>
        <v>181169.03</v>
      </c>
      <c r="I27" s="252">
        <f t="shared" si="2"/>
        <v>-5508.3489311279263</v>
      </c>
      <c r="J27" s="160">
        <f>'побудинковий звіт'!BE408</f>
        <v>69400.080271982457</v>
      </c>
      <c r="K27" s="159">
        <f>'побудинковий звіт'!BF408</f>
        <v>3796</v>
      </c>
      <c r="L27" s="161">
        <f t="shared" si="3"/>
        <v>-65604.080271982457</v>
      </c>
      <c r="M27" s="259">
        <f>'побудинковий звіт'!BE409</f>
        <v>116978.41964855185</v>
      </c>
      <c r="N27" s="147">
        <f>'побудинковий звіт'!BF409</f>
        <v>40912.67</v>
      </c>
      <c r="O27" s="198">
        <f t="shared" si="4"/>
        <v>-76065.74964855185</v>
      </c>
    </row>
    <row r="28" spans="1:15" ht="15" customHeight="1" x14ac:dyDescent="0.3">
      <c r="A28" s="197" t="s">
        <v>881</v>
      </c>
      <c r="B28" s="220" t="s">
        <v>28</v>
      </c>
      <c r="C28" s="290">
        <f>'побудинковий звіт'!BH404</f>
        <v>263697.70230484282</v>
      </c>
      <c r="D28" s="183">
        <f>'побудинковий звіт'!BI404</f>
        <v>54428</v>
      </c>
      <c r="E28" s="183">
        <f t="shared" si="0"/>
        <v>-209269.70230484282</v>
      </c>
      <c r="F28" s="244">
        <f t="shared" si="1"/>
        <v>0.20640301194994684</v>
      </c>
      <c r="G28" s="235">
        <f>'побудинковий звіт'!BH407</f>
        <v>136905.24066848887</v>
      </c>
      <c r="H28" s="235">
        <f>'побудинковий звіт'!BI407</f>
        <v>27619</v>
      </c>
      <c r="I28" s="252">
        <f t="shared" si="2"/>
        <v>-109286.24066848887</v>
      </c>
      <c r="J28" s="160">
        <f>'побудинковий звіт'!BH408</f>
        <v>26539.829402678297</v>
      </c>
      <c r="K28" s="159">
        <f>'побудинковий звіт'!BI408</f>
        <v>6744</v>
      </c>
      <c r="L28" s="161">
        <f t="shared" si="3"/>
        <v>-19795.829402678297</v>
      </c>
      <c r="M28" s="259">
        <f>'побудинковий звіт'!BH409</f>
        <v>100252.63223367564</v>
      </c>
      <c r="N28" s="147">
        <f>'побудинковий звіт'!BI409</f>
        <v>20065</v>
      </c>
      <c r="O28" s="198">
        <f t="shared" si="4"/>
        <v>-80187.632233675642</v>
      </c>
    </row>
    <row r="29" spans="1:15" ht="15" customHeight="1" x14ac:dyDescent="0.3">
      <c r="A29" s="197" t="s">
        <v>882</v>
      </c>
      <c r="B29" s="220" t="s">
        <v>29</v>
      </c>
      <c r="C29" s="290">
        <f>'побудинковий звіт'!BK404</f>
        <v>562895.92981687014</v>
      </c>
      <c r="D29" s="183">
        <f>'побудинковий звіт'!BL404</f>
        <v>224951</v>
      </c>
      <c r="E29" s="183">
        <f t="shared" si="0"/>
        <v>-337944.92981687014</v>
      </c>
      <c r="F29" s="244">
        <f t="shared" si="1"/>
        <v>0.3996315981058603</v>
      </c>
      <c r="G29" s="235">
        <f>'побудинковий звіт'!BK407</f>
        <v>175363.0928942741</v>
      </c>
      <c r="H29" s="235">
        <f>'побудинковий звіт'!BL407</f>
        <v>41632</v>
      </c>
      <c r="I29" s="252">
        <f t="shared" si="2"/>
        <v>-133731.0928942741</v>
      </c>
      <c r="J29" s="160">
        <f>'побудинковий звіт'!BK408</f>
        <v>199154.86488748333</v>
      </c>
      <c r="K29" s="159">
        <f>'побудинковий звіт'!BL408</f>
        <v>128566</v>
      </c>
      <c r="L29" s="161">
        <f t="shared" si="3"/>
        <v>-70588.864887483331</v>
      </c>
      <c r="M29" s="259">
        <f>'побудинковий звіт'!BK409</f>
        <v>188377.97203511326</v>
      </c>
      <c r="N29" s="147">
        <f>'побудинковий звіт'!BL409</f>
        <v>54753</v>
      </c>
      <c r="O29" s="198">
        <f t="shared" si="4"/>
        <v>-133624.97203511326</v>
      </c>
    </row>
    <row r="30" spans="1:15" ht="15" customHeight="1" x14ac:dyDescent="0.3">
      <c r="A30" s="197" t="s">
        <v>883</v>
      </c>
      <c r="B30" s="220" t="s">
        <v>30</v>
      </c>
      <c r="C30" s="290">
        <f>'побудинковий звіт'!BN404</f>
        <v>73364.202157285865</v>
      </c>
      <c r="D30" s="183">
        <f>'побудинковий звіт'!BO404</f>
        <v>67786.349999999991</v>
      </c>
      <c r="E30" s="183">
        <f t="shared" si="0"/>
        <v>-5577.8521572858735</v>
      </c>
      <c r="F30" s="244">
        <f t="shared" si="1"/>
        <v>0.92397038346675553</v>
      </c>
      <c r="G30" s="235">
        <f>'побудинковий звіт'!BN407</f>
        <v>39241.69118725857</v>
      </c>
      <c r="H30" s="235">
        <f>'побудинковий звіт'!BO407</f>
        <v>32418.539999999997</v>
      </c>
      <c r="I30" s="252">
        <f t="shared" si="2"/>
        <v>-6823.1511872585725</v>
      </c>
      <c r="J30" s="160">
        <f>'побудинковий звіт'!BN408</f>
        <v>18915.439215137474</v>
      </c>
      <c r="K30" s="159">
        <f>'побудинковий звіт'!BO408</f>
        <v>13564</v>
      </c>
      <c r="L30" s="161">
        <f t="shared" si="3"/>
        <v>-5351.4392151374741</v>
      </c>
      <c r="M30" s="259">
        <f>'побудинковий звіт'!BN409</f>
        <v>15207.071754889839</v>
      </c>
      <c r="N30" s="147">
        <f>'побудинковий звіт'!BO409</f>
        <v>21803.81</v>
      </c>
      <c r="O30" s="198">
        <f t="shared" si="4"/>
        <v>6596.7382451101621</v>
      </c>
    </row>
    <row r="31" spans="1:15" ht="22.8" x14ac:dyDescent="0.3">
      <c r="A31" s="194" t="s">
        <v>884</v>
      </c>
      <c r="B31" s="219" t="s">
        <v>13</v>
      </c>
      <c r="C31" s="289">
        <v>0</v>
      </c>
      <c r="D31" s="184">
        <v>0</v>
      </c>
      <c r="E31" s="183">
        <f t="shared" si="0"/>
        <v>0</v>
      </c>
      <c r="F31" s="244"/>
      <c r="G31" s="234">
        <v>0</v>
      </c>
      <c r="H31" s="234">
        <v>0</v>
      </c>
      <c r="I31" s="252">
        <f t="shared" si="2"/>
        <v>0</v>
      </c>
      <c r="J31" s="162">
        <v>0</v>
      </c>
      <c r="K31" s="163">
        <v>0</v>
      </c>
      <c r="L31" s="161">
        <f t="shared" si="3"/>
        <v>0</v>
      </c>
      <c r="M31" s="258">
        <v>0</v>
      </c>
      <c r="N31" s="179">
        <v>0</v>
      </c>
      <c r="O31" s="198">
        <f t="shared" si="4"/>
        <v>0</v>
      </c>
    </row>
    <row r="32" spans="1:15" ht="15" customHeight="1" x14ac:dyDescent="0.3">
      <c r="A32" s="194" t="s">
        <v>885</v>
      </c>
      <c r="B32" s="219" t="s">
        <v>14</v>
      </c>
      <c r="C32" s="289">
        <f>'побудинковий звіт'!BT404</f>
        <v>9749785.5646357816</v>
      </c>
      <c r="D32" s="184">
        <f>'побудинковий звіт'!BU404</f>
        <v>10449854.820358507</v>
      </c>
      <c r="E32" s="184">
        <f t="shared" si="0"/>
        <v>700069.25572272576</v>
      </c>
      <c r="F32" s="243">
        <f t="shared" si="1"/>
        <v>1.0718035541481037</v>
      </c>
      <c r="G32" s="234">
        <f>'побудинковий звіт'!BT407</f>
        <v>3769585.6147304941</v>
      </c>
      <c r="H32" s="234">
        <f>'побудинковий звіт'!BU407</f>
        <v>3883929.5631888718</v>
      </c>
      <c r="I32" s="251">
        <f t="shared" si="2"/>
        <v>114343.94845837774</v>
      </c>
      <c r="J32" s="162">
        <f>'побудинковий звіт'!BT408</f>
        <v>3201407.5860889219</v>
      </c>
      <c r="K32" s="163">
        <f>'побудинковий звіт'!BU408</f>
        <v>3745025.2439282052</v>
      </c>
      <c r="L32" s="164">
        <f t="shared" si="3"/>
        <v>543617.65783928335</v>
      </c>
      <c r="M32" s="258">
        <f>'побудинковий звіт'!BT409</f>
        <v>2778792.3638163707</v>
      </c>
      <c r="N32" s="179">
        <f>'побудинковий звіт'!BU409</f>
        <v>2820900.0132414266</v>
      </c>
      <c r="O32" s="196">
        <f t="shared" si="4"/>
        <v>42107.649425055832</v>
      </c>
    </row>
    <row r="33" spans="1:15" ht="21" customHeight="1" x14ac:dyDescent="0.3">
      <c r="A33" s="194" t="s">
        <v>886</v>
      </c>
      <c r="B33" s="219" t="s">
        <v>15</v>
      </c>
      <c r="C33" s="289">
        <f>'побудинковий звіт'!BW404</f>
        <v>6436916.7188966004</v>
      </c>
      <c r="D33" s="184">
        <f>'побудинковий звіт'!BX404</f>
        <v>6266497.2982422551</v>
      </c>
      <c r="E33" s="184">
        <f t="shared" si="0"/>
        <v>-170419.4206543453</v>
      </c>
      <c r="F33" s="243">
        <f t="shared" si="1"/>
        <v>0.973524681443516</v>
      </c>
      <c r="G33" s="234">
        <f>'побудинковий звіт'!BW407</f>
        <v>2469280.5142335789</v>
      </c>
      <c r="H33" s="234">
        <f>'побудинковий звіт'!BX407</f>
        <v>2449823.7815553835</v>
      </c>
      <c r="I33" s="251">
        <f t="shared" si="2"/>
        <v>-19456.732678195462</v>
      </c>
      <c r="J33" s="162">
        <f>'побудинковий звіт'!BW408</f>
        <v>2014844.6593666365</v>
      </c>
      <c r="K33" s="163">
        <f>'побудинковий звіт'!BX408</f>
        <v>1927397.2159486441</v>
      </c>
      <c r="L33" s="164">
        <f t="shared" si="3"/>
        <v>-87447.443417992443</v>
      </c>
      <c r="M33" s="258">
        <f>'побудинковий звіт'!BW409</f>
        <v>1952791.5452963861</v>
      </c>
      <c r="N33" s="179">
        <f>'побудинковий звіт'!BX409</f>
        <v>1889276.3007382238</v>
      </c>
      <c r="O33" s="196">
        <f t="shared" si="4"/>
        <v>-63515.244558162289</v>
      </c>
    </row>
    <row r="34" spans="1:15" ht="37.35" customHeight="1" x14ac:dyDescent="0.3">
      <c r="A34" s="194" t="s">
        <v>887</v>
      </c>
      <c r="B34" s="219" t="s">
        <v>16</v>
      </c>
      <c r="C34" s="289">
        <f>'побудинковий звіт'!BZ404</f>
        <v>2449713.4332722849</v>
      </c>
      <c r="D34" s="184">
        <f>'побудинковий звіт'!CA404</f>
        <v>2355376.8539473298</v>
      </c>
      <c r="E34" s="184">
        <f t="shared" si="0"/>
        <v>-94336.579324955121</v>
      </c>
      <c r="F34" s="243">
        <f t="shared" si="1"/>
        <v>0.96149076947382295</v>
      </c>
      <c r="G34" s="234">
        <f>'побудинковий звіт'!BZ407</f>
        <v>816671.87122909375</v>
      </c>
      <c r="H34" s="234">
        <f>'побудинковий звіт'!CA407</f>
        <v>891993.04230341804</v>
      </c>
      <c r="I34" s="251">
        <f t="shared" si="2"/>
        <v>75321.171074324287</v>
      </c>
      <c r="J34" s="162">
        <f>'побудинковий звіт'!BZ408</f>
        <v>1131895.9033973264</v>
      </c>
      <c r="K34" s="163">
        <f>'побудинковий звіт'!CA408</f>
        <v>851678.48551461718</v>
      </c>
      <c r="L34" s="164">
        <f t="shared" si="3"/>
        <v>-280217.41788270918</v>
      </c>
      <c r="M34" s="258">
        <f>'побудинковий звіт'!BZ409</f>
        <v>501145.65864586324</v>
      </c>
      <c r="N34" s="179">
        <f>'побудинковий звіт'!CA409</f>
        <v>611705.32612929377</v>
      </c>
      <c r="O34" s="196">
        <f t="shared" si="4"/>
        <v>110559.66748343053</v>
      </c>
    </row>
    <row r="35" spans="1:15" ht="15" customHeight="1" x14ac:dyDescent="0.3">
      <c r="A35" s="194" t="s">
        <v>888</v>
      </c>
      <c r="B35" s="219" t="s">
        <v>17</v>
      </c>
      <c r="C35" s="289">
        <f>'побудинковий звіт'!CC404</f>
        <v>300906.02165113261</v>
      </c>
      <c r="D35" s="184">
        <f>'побудинковий звіт'!CD404</f>
        <v>327667.45102049608</v>
      </c>
      <c r="E35" s="184">
        <f t="shared" si="0"/>
        <v>26761.429369363468</v>
      </c>
      <c r="F35" s="243">
        <f t="shared" si="1"/>
        <v>1.0889361709098344</v>
      </c>
      <c r="G35" s="234">
        <f>'побудинковий звіт'!CC407</f>
        <v>88764.04996731237</v>
      </c>
      <c r="H35" s="234">
        <f>'побудинковий звіт'!CD407</f>
        <v>96374.270736811275</v>
      </c>
      <c r="I35" s="251">
        <f t="shared" si="2"/>
        <v>7610.2207694989047</v>
      </c>
      <c r="J35" s="162">
        <f>'побудинковий звіт'!CC408</f>
        <v>105413.66138517241</v>
      </c>
      <c r="K35" s="163">
        <f>'побудинковий звіт'!CD408</f>
        <v>115038.74430089904</v>
      </c>
      <c r="L35" s="164">
        <f t="shared" si="3"/>
        <v>9625.0829157266271</v>
      </c>
      <c r="M35" s="258">
        <f>'побудинковий звіт'!CC409</f>
        <v>106728.31029864805</v>
      </c>
      <c r="N35" s="179">
        <f>'побудинковий звіт'!CD409</f>
        <v>116254.43598278574</v>
      </c>
      <c r="O35" s="196">
        <f t="shared" si="4"/>
        <v>9526.1256841376889</v>
      </c>
    </row>
    <row r="36" spans="1:15" ht="15" customHeight="1" x14ac:dyDescent="0.3">
      <c r="A36" s="194" t="s">
        <v>889</v>
      </c>
      <c r="B36" s="219" t="s">
        <v>18</v>
      </c>
      <c r="C36" s="289">
        <f>'побудинковий звіт'!CF404</f>
        <v>36428.831468571378</v>
      </c>
      <c r="D36" s="184">
        <f>'побудинковий звіт'!CG404</f>
        <v>29965.261234823971</v>
      </c>
      <c r="E36" s="184">
        <f t="shared" si="0"/>
        <v>-6463.5702337474067</v>
      </c>
      <c r="F36" s="243">
        <f t="shared" si="1"/>
        <v>0.82256992680855578</v>
      </c>
      <c r="G36" s="234">
        <f>'побудинковий звіт'!CF407</f>
        <v>10719.45290113279</v>
      </c>
      <c r="H36" s="234">
        <f>'побудинковий звіт'!CG407</f>
        <v>4565.7588675763673</v>
      </c>
      <c r="I36" s="251">
        <f t="shared" si="2"/>
        <v>-6153.6940335564232</v>
      </c>
      <c r="J36" s="162">
        <f>'побудинковий звіт'!CF408</f>
        <v>12795.424271784235</v>
      </c>
      <c r="K36" s="163">
        <f>'побудинковий звіт'!CG408</f>
        <v>12003.746952393269</v>
      </c>
      <c r="L36" s="164">
        <f t="shared" si="3"/>
        <v>-791.67731939096666</v>
      </c>
      <c r="M36" s="258">
        <f>'побудинковий звіт'!CF409</f>
        <v>12913.954295654316</v>
      </c>
      <c r="N36" s="179">
        <f>'побудинковий звіт'!CG409</f>
        <v>13395.755414854348</v>
      </c>
      <c r="O36" s="196">
        <f t="shared" si="4"/>
        <v>481.80111920003219</v>
      </c>
    </row>
    <row r="37" spans="1:15" ht="42" customHeight="1" x14ac:dyDescent="0.3">
      <c r="A37" s="194" t="s">
        <v>890</v>
      </c>
      <c r="B37" s="219" t="s">
        <v>891</v>
      </c>
      <c r="C37" s="289">
        <f>C38+C39</f>
        <v>3550522.0796585893</v>
      </c>
      <c r="D37" s="184">
        <f>D38+D39</f>
        <v>3151914.7226780243</v>
      </c>
      <c r="E37" s="184">
        <f t="shared" si="0"/>
        <v>-398607.356980565</v>
      </c>
      <c r="F37" s="243">
        <f t="shared" si="1"/>
        <v>0.88773274801916058</v>
      </c>
      <c r="G37" s="234">
        <f>G38+G39</f>
        <v>1544377.3024784902</v>
      </c>
      <c r="H37" s="234">
        <f>H38+H39</f>
        <v>1323316.9850305186</v>
      </c>
      <c r="I37" s="251">
        <f t="shared" si="2"/>
        <v>-221060.31744797155</v>
      </c>
      <c r="J37" s="162">
        <f>J38+J39</f>
        <v>824924.79173142556</v>
      </c>
      <c r="K37" s="163">
        <f>K38+K39</f>
        <v>756979.9215597529</v>
      </c>
      <c r="L37" s="164">
        <f t="shared" si="3"/>
        <v>-67944.870171672665</v>
      </c>
      <c r="M37" s="258">
        <f>M38+M39</f>
        <v>1181219.9854486752</v>
      </c>
      <c r="N37" s="179">
        <f>N38+N39</f>
        <v>1071617.8160877526</v>
      </c>
      <c r="O37" s="196">
        <f t="shared" si="4"/>
        <v>-109602.16936092265</v>
      </c>
    </row>
    <row r="38" spans="1:15" ht="15" customHeight="1" x14ac:dyDescent="0.3">
      <c r="A38" s="199" t="s">
        <v>892</v>
      </c>
      <c r="B38" s="223" t="s">
        <v>32</v>
      </c>
      <c r="C38" s="290">
        <f>'побудинковий звіт'!CI404</f>
        <v>2295934.6245217845</v>
      </c>
      <c r="D38" s="183">
        <f>'побудинковий звіт'!CJ404</f>
        <v>1948639.6072680894</v>
      </c>
      <c r="E38" s="183">
        <f t="shared" si="0"/>
        <v>-347295.01725369506</v>
      </c>
      <c r="F38" s="244">
        <f t="shared" si="1"/>
        <v>0.84873479691259401</v>
      </c>
      <c r="G38" s="235">
        <f>'побудинковий звіт'!CI407</f>
        <v>868487.10785170086</v>
      </c>
      <c r="H38" s="235">
        <f>'побудинковий звіт'!CJ407</f>
        <v>703868.52382492903</v>
      </c>
      <c r="I38" s="252">
        <f t="shared" si="2"/>
        <v>-164618.58402677183</v>
      </c>
      <c r="J38" s="160">
        <f>'побудинковий звіт'!CI408</f>
        <v>635137.75648490491</v>
      </c>
      <c r="K38" s="159">
        <f>'побудинковий звіт'!CJ408</f>
        <v>559082.96328084567</v>
      </c>
      <c r="L38" s="161">
        <f t="shared" si="3"/>
        <v>-76054.793204059242</v>
      </c>
      <c r="M38" s="259">
        <f>'побудинковий звіт'!CI409</f>
        <v>792309.7601851807</v>
      </c>
      <c r="N38" s="147">
        <f>'побудинковий звіт'!CJ409</f>
        <v>685688.12016231439</v>
      </c>
      <c r="O38" s="198">
        <f t="shared" si="4"/>
        <v>-106621.64002286631</v>
      </c>
    </row>
    <row r="39" spans="1:15" ht="15" customHeight="1" x14ac:dyDescent="0.3">
      <c r="A39" s="199" t="s">
        <v>893</v>
      </c>
      <c r="B39" s="223" t="s">
        <v>33</v>
      </c>
      <c r="C39" s="290">
        <f>'побудинковий звіт'!CL404</f>
        <v>1254587.4551368046</v>
      </c>
      <c r="D39" s="183">
        <f>'побудинковий звіт'!CM404</f>
        <v>1203275.1154099351</v>
      </c>
      <c r="E39" s="183">
        <f t="shared" si="0"/>
        <v>-51312.339726869483</v>
      </c>
      <c r="F39" s="244">
        <f t="shared" si="1"/>
        <v>0.95910022891048741</v>
      </c>
      <c r="G39" s="235">
        <f>'побудинковий звіт'!CL407</f>
        <v>675890.19462678931</v>
      </c>
      <c r="H39" s="235">
        <f>'побудинковий звіт'!CM407</f>
        <v>619448.46120558959</v>
      </c>
      <c r="I39" s="252">
        <f t="shared" si="2"/>
        <v>-56441.733421199722</v>
      </c>
      <c r="J39" s="160">
        <f>'побудинковий звіт'!CL408</f>
        <v>189787.03524652062</v>
      </c>
      <c r="K39" s="159">
        <f>'побудинковий звіт'!CM408</f>
        <v>197896.95827890729</v>
      </c>
      <c r="L39" s="161">
        <f t="shared" si="3"/>
        <v>8109.923032386665</v>
      </c>
      <c r="M39" s="259">
        <f>'побудинковий звіт'!CL409</f>
        <v>388910.22526349465</v>
      </c>
      <c r="N39" s="147">
        <f>'побудинковий звіт'!CM409</f>
        <v>385929.69592543808</v>
      </c>
      <c r="O39" s="198">
        <f t="shared" si="4"/>
        <v>-2980.5293380565709</v>
      </c>
    </row>
    <row r="40" spans="1:15" ht="15" customHeight="1" x14ac:dyDescent="0.3">
      <c r="A40" s="194" t="s">
        <v>894</v>
      </c>
      <c r="B40" s="224" t="s">
        <v>20</v>
      </c>
      <c r="C40" s="240">
        <v>0</v>
      </c>
      <c r="D40" s="183">
        <v>0</v>
      </c>
      <c r="E40" s="183">
        <f t="shared" si="0"/>
        <v>0</v>
      </c>
      <c r="F40" s="244"/>
      <c r="G40" s="235">
        <v>0</v>
      </c>
      <c r="H40" s="235">
        <v>1</v>
      </c>
      <c r="I40" s="252">
        <f t="shared" si="2"/>
        <v>1</v>
      </c>
      <c r="J40" s="160">
        <v>0</v>
      </c>
      <c r="K40" s="159">
        <v>1</v>
      </c>
      <c r="L40" s="161">
        <f t="shared" si="3"/>
        <v>1</v>
      </c>
      <c r="M40" s="259">
        <v>0</v>
      </c>
      <c r="N40" s="147">
        <v>1</v>
      </c>
      <c r="O40" s="198">
        <f t="shared" si="4"/>
        <v>1</v>
      </c>
    </row>
    <row r="41" spans="1:15" ht="15" customHeight="1" x14ac:dyDescent="0.3">
      <c r="A41" s="197" t="s">
        <v>895</v>
      </c>
      <c r="B41" s="225" t="s">
        <v>21</v>
      </c>
      <c r="C41" s="242">
        <f>C9+C18+C19+C20+C21+C22+C23+C31+C32+C33+C34+C35+C36+C37</f>
        <v>55416995.260442682</v>
      </c>
      <c r="D41" s="184">
        <f>D9+D18+D19+D20+D21+D22+D23+D31+D32+D33+D34+D35+D36+D37</f>
        <v>53363745.105590746</v>
      </c>
      <c r="E41" s="184">
        <f t="shared" si="0"/>
        <v>-2053250.1548519358</v>
      </c>
      <c r="F41" s="243">
        <f t="shared" si="1"/>
        <v>0.96294908907994203</v>
      </c>
      <c r="G41" s="234">
        <f>G9+G18+G19+G20+G21+G22+G23+G31+G32+G33+G34+G35+G36+G37</f>
        <v>20697720.688554272</v>
      </c>
      <c r="H41" s="234">
        <f>H9+H18+H19+H20+H21+H22+H23+H31+H32+H33+H34+H35+H36+H37</f>
        <v>20657311.149344929</v>
      </c>
      <c r="I41" s="251">
        <f t="shared" si="2"/>
        <v>-40409.539209343493</v>
      </c>
      <c r="J41" s="162">
        <f>J9+J18+J19+J20+J21+J22+J23+J31+J32+J33+J34+J35+J36+J37</f>
        <v>17626015.509274554</v>
      </c>
      <c r="K41" s="163">
        <f>K9+K18+K19+K20+K21+K22+K23+K31+K32+K33+K34+K35+K36+K37</f>
        <v>17095529.030953087</v>
      </c>
      <c r="L41" s="164">
        <f t="shared" si="3"/>
        <v>-530486.47832146659</v>
      </c>
      <c r="M41" s="258">
        <f>M9+M18+M19+M20+M21+M22+M23+M31+M32+M33+M34+M35+M36+M37</f>
        <v>17093259.062613845</v>
      </c>
      <c r="N41" s="179">
        <f>N9+N18+N19+N20+N21+N22+N23+N31+N32+N33+N34+N35+N36+N37</f>
        <v>15610904.925292702</v>
      </c>
      <c r="O41" s="196">
        <f t="shared" si="4"/>
        <v>-1482354.1373211425</v>
      </c>
    </row>
    <row r="42" spans="1:15" ht="15" customHeight="1" x14ac:dyDescent="0.3">
      <c r="A42" s="194" t="s">
        <v>896</v>
      </c>
      <c r="B42" s="226" t="s">
        <v>22</v>
      </c>
      <c r="C42" s="242">
        <f>C41*1.2</f>
        <v>66500394.312531218</v>
      </c>
      <c r="D42" s="184">
        <f>D41*1.2</f>
        <v>64036494.126708895</v>
      </c>
      <c r="E42" s="184">
        <f t="shared" si="0"/>
        <v>-2463900.185822323</v>
      </c>
      <c r="F42" s="243">
        <f t="shared" si="1"/>
        <v>0.96294908907994203</v>
      </c>
      <c r="G42" s="234">
        <f>G41*1.2</f>
        <v>24837264.826265126</v>
      </c>
      <c r="H42" s="234">
        <f>H41*1.2</f>
        <v>24788773.379213914</v>
      </c>
      <c r="I42" s="251">
        <f t="shared" si="2"/>
        <v>-48491.447051212192</v>
      </c>
      <c r="J42" s="162">
        <f>J41*1.2</f>
        <v>21151218.611129463</v>
      </c>
      <c r="K42" s="163">
        <f>K41*1.2</f>
        <v>20514634.837143704</v>
      </c>
      <c r="L42" s="164">
        <f t="shared" si="3"/>
        <v>-636583.77398575842</v>
      </c>
      <c r="M42" s="258">
        <f>M41*1.2</f>
        <v>20511910.875136614</v>
      </c>
      <c r="N42" s="179">
        <f>N41*1.2</f>
        <v>18733085.910351243</v>
      </c>
      <c r="O42" s="196">
        <f t="shared" si="4"/>
        <v>-1778824.964785371</v>
      </c>
    </row>
    <row r="43" spans="1:15" ht="15" hidden="1" customHeight="1" x14ac:dyDescent="0.3">
      <c r="A43" s="197" t="s">
        <v>897</v>
      </c>
      <c r="B43" s="226" t="s">
        <v>23</v>
      </c>
      <c r="C43" s="242">
        <f>C42*0.05</f>
        <v>3325019.7156265611</v>
      </c>
      <c r="D43" s="185">
        <f>C44-D42</f>
        <v>5788919.9014488906</v>
      </c>
      <c r="E43" s="184">
        <f t="shared" ref="E43" si="5">D43-C43</f>
        <v>2463900.1858223295</v>
      </c>
      <c r="F43" s="243">
        <f t="shared" ref="F43" si="6">D43/C43</f>
        <v>1.7410182184011611</v>
      </c>
      <c r="G43" s="234">
        <f>G42*0.05</f>
        <v>1241863.2413132563</v>
      </c>
      <c r="H43" s="172">
        <f>G44-H42</f>
        <v>1290354.6883644685</v>
      </c>
      <c r="I43" s="251">
        <f t="shared" si="2"/>
        <v>48491.447051212192</v>
      </c>
      <c r="J43" s="162">
        <f>J42*0.05</f>
        <v>1057560.9305564731</v>
      </c>
      <c r="K43" s="175">
        <f>J44-K42</f>
        <v>1694144.7045422308</v>
      </c>
      <c r="L43" s="164">
        <f t="shared" si="3"/>
        <v>636583.77398575773</v>
      </c>
      <c r="M43" s="258">
        <f>M42*0.05</f>
        <v>1025595.5437568307</v>
      </c>
      <c r="N43" s="180">
        <f>M44-N42</f>
        <v>2804420.5085422024</v>
      </c>
      <c r="O43" s="196">
        <f t="shared" si="4"/>
        <v>1778824.9647853717</v>
      </c>
    </row>
    <row r="44" spans="1:15" ht="15" hidden="1" customHeight="1" x14ac:dyDescent="0.3">
      <c r="A44" s="194" t="s">
        <v>898</v>
      </c>
      <c r="B44" s="226" t="s">
        <v>899</v>
      </c>
      <c r="C44" s="242">
        <f>C42+C43</f>
        <v>69825414.028157786</v>
      </c>
      <c r="D44" s="184">
        <f>D42+D43</f>
        <v>69825414.028157786</v>
      </c>
      <c r="E44" s="184"/>
      <c r="F44" s="243">
        <f t="shared" si="1"/>
        <v>1</v>
      </c>
      <c r="G44" s="234">
        <f>G42+G43</f>
        <v>26079128.067578383</v>
      </c>
      <c r="H44" s="171">
        <f>H42+H43</f>
        <v>26079128.067578383</v>
      </c>
      <c r="I44" s="251"/>
      <c r="J44" s="162">
        <f>J42+J43</f>
        <v>22208779.541685935</v>
      </c>
      <c r="K44" s="163">
        <f>K42+K43</f>
        <v>22208779.541685935</v>
      </c>
      <c r="L44" s="164"/>
      <c r="M44" s="258">
        <f>M42+M43</f>
        <v>21537506.418893445</v>
      </c>
      <c r="N44" s="179">
        <f>N42+N43</f>
        <v>21537506.418893445</v>
      </c>
      <c r="O44" s="196"/>
    </row>
    <row r="45" spans="1:15" ht="14.1" hidden="1" customHeight="1" x14ac:dyDescent="0.3">
      <c r="A45" s="200"/>
      <c r="B45" s="227"/>
      <c r="C45" s="240"/>
      <c r="D45" s="182"/>
      <c r="E45" s="182"/>
      <c r="F45" s="244"/>
      <c r="G45" s="235"/>
      <c r="H45" s="170"/>
      <c r="I45" s="250"/>
      <c r="J45" s="160"/>
      <c r="K45" s="97"/>
      <c r="L45" s="98"/>
      <c r="M45" s="259"/>
      <c r="N45" s="178"/>
      <c r="O45" s="193"/>
    </row>
    <row r="46" spans="1:15" ht="14.7" hidden="1" customHeight="1" x14ac:dyDescent="0.3">
      <c r="A46" s="201"/>
      <c r="B46" s="228" t="s">
        <v>902</v>
      </c>
      <c r="C46" s="245">
        <f>C44/C7</f>
        <v>68.791577738369398</v>
      </c>
      <c r="D46" s="186">
        <f>D44/C7</f>
        <v>68.791577738369398</v>
      </c>
      <c r="E46" s="186"/>
      <c r="F46" s="243">
        <f t="shared" si="1"/>
        <v>1</v>
      </c>
      <c r="G46" s="236">
        <f>G44/G7</f>
        <v>76.422084574584318</v>
      </c>
      <c r="H46" s="173">
        <f>H44/G7</f>
        <v>76.422084574584318</v>
      </c>
      <c r="I46" s="253"/>
      <c r="J46" s="266">
        <f>J44/J7</f>
        <v>62.145736659649387</v>
      </c>
      <c r="K46" s="176">
        <f>K44/J7</f>
        <v>62.145736659649387</v>
      </c>
      <c r="L46" s="267"/>
      <c r="M46" s="260">
        <f>M44/M7</f>
        <v>68.068084748109101</v>
      </c>
      <c r="N46" s="181">
        <f>N44/M7</f>
        <v>68.068084748109101</v>
      </c>
      <c r="O46" s="202"/>
    </row>
    <row r="47" spans="1:15" s="192" customFormat="1" ht="14.4" x14ac:dyDescent="0.3">
      <c r="A47" s="203"/>
      <c r="B47" s="229" t="s">
        <v>1014</v>
      </c>
      <c r="C47" s="333">
        <f>C42/C7/$O$1</f>
        <v>8.1894735402820693</v>
      </c>
      <c r="D47" s="334">
        <f>D42/C7/O1</f>
        <v>7.886046085658907</v>
      </c>
      <c r="E47" s="188"/>
      <c r="F47" s="246"/>
      <c r="G47" s="237">
        <f>G42/G7/O1</f>
        <v>9.0978672112600378</v>
      </c>
      <c r="H47" s="189">
        <f>H42/G7/O1</f>
        <v>9.0801048389038339</v>
      </c>
      <c r="I47" s="254"/>
      <c r="J47" s="268">
        <f>J42/J7/O1</f>
        <v>7.3983019832915939</v>
      </c>
      <c r="K47" s="190">
        <f>K42/J7/O1</f>
        <v>7.1756368459206463</v>
      </c>
      <c r="L47" s="269"/>
      <c r="M47" s="261">
        <f>M42/M7/O1</f>
        <v>8.1033434223939409</v>
      </c>
      <c r="N47" s="191">
        <f>N42/M7/O1</f>
        <v>7.4006088178156793</v>
      </c>
      <c r="O47" s="204"/>
    </row>
    <row r="48" spans="1:15" s="4" customFormat="1" ht="14.4" x14ac:dyDescent="0.3">
      <c r="A48" s="205"/>
      <c r="B48" s="230" t="s">
        <v>1016</v>
      </c>
      <c r="C48" s="957">
        <f>C47*C49+C47</f>
        <v>8.4630293383072388</v>
      </c>
      <c r="D48" s="958"/>
      <c r="E48" s="187"/>
      <c r="F48" s="247"/>
      <c r="G48" s="967">
        <f>'побудинковий звіт'!CX418</f>
        <v>8.3435718687331129</v>
      </c>
      <c r="H48" s="968"/>
      <c r="I48" s="255"/>
      <c r="J48" s="979">
        <f>'побудинковий звіт'!CX419</f>
        <v>6.7989060145807985</v>
      </c>
      <c r="K48" s="980"/>
      <c r="L48" s="270"/>
      <c r="M48" s="965">
        <f>'побудинковий звіт'!CX420</f>
        <v>7.4548407133803005</v>
      </c>
      <c r="N48" s="966"/>
      <c r="O48" s="206"/>
    </row>
    <row r="49" spans="1:15" ht="14.4" thickBot="1" x14ac:dyDescent="0.35">
      <c r="A49" s="207"/>
      <c r="B49" s="231" t="s">
        <v>1015</v>
      </c>
      <c r="C49" s="400">
        <f>C56/C42-100%</f>
        <v>3.3403343533575658E-2</v>
      </c>
      <c r="D49" s="548">
        <f>C48/D47-100%</f>
        <v>7.3165087596634759E-2</v>
      </c>
      <c r="E49" s="208"/>
      <c r="F49" s="248"/>
      <c r="G49" s="238">
        <f>G48/G47-100%</f>
        <v>-8.2909029667235234E-2</v>
      </c>
      <c r="H49" s="209">
        <f>G48/H47-100%</f>
        <v>-8.1115029312771258E-2</v>
      </c>
      <c r="I49" s="249"/>
      <c r="J49" s="271">
        <f>J48/J47-100%</f>
        <v>-8.1018045771107716E-2</v>
      </c>
      <c r="K49" s="210">
        <f>J48/K47-100%</f>
        <v>-5.2501379240508794E-2</v>
      </c>
      <c r="L49" s="264"/>
      <c r="M49" s="262">
        <f>M48/M47-100%</f>
        <v>-8.0029029403033247E-2</v>
      </c>
      <c r="N49" s="211">
        <f>M48/N47-100%</f>
        <v>7.3280316389736644E-3</v>
      </c>
      <c r="O49" s="212"/>
    </row>
    <row r="50" spans="1:15" ht="14.4" x14ac:dyDescent="0.3">
      <c r="C50" s="165"/>
      <c r="D50" s="166"/>
    </row>
    <row r="51" spans="1:15" ht="15.6" x14ac:dyDescent="0.3">
      <c r="B51" s="6" t="s">
        <v>903</v>
      </c>
      <c r="C51" s="9"/>
      <c r="D51" s="6"/>
      <c r="E51" s="6" t="s">
        <v>854</v>
      </c>
      <c r="F51" s="6"/>
    </row>
    <row r="52" spans="1:15" ht="15.6" x14ac:dyDescent="0.3">
      <c r="B52" s="6"/>
      <c r="C52" s="9"/>
      <c r="D52" s="6"/>
      <c r="E52" s="6"/>
      <c r="F52" s="6"/>
    </row>
    <row r="53" spans="1:15" ht="15.6" x14ac:dyDescent="0.3">
      <c r="B53" s="6"/>
      <c r="C53" s="9"/>
      <c r="D53" s="6"/>
      <c r="E53" s="6"/>
      <c r="F53" s="6"/>
    </row>
    <row r="54" spans="1:15" ht="15.6" x14ac:dyDescent="0.3">
      <c r="B54" s="6" t="s">
        <v>904</v>
      </c>
      <c r="C54" s="9"/>
      <c r="D54" s="6"/>
      <c r="E54" s="6" t="s">
        <v>855</v>
      </c>
      <c r="F54" s="6"/>
    </row>
    <row r="55" spans="1:15" ht="18.45" customHeight="1" x14ac:dyDescent="0.3">
      <c r="B55" s="328" t="s">
        <v>1039</v>
      </c>
      <c r="C55" s="329">
        <f>'побудинковий звіт'!CX404</f>
        <v>2221335.5163397272</v>
      </c>
      <c r="D55" s="6"/>
      <c r="E55" s="6"/>
      <c r="F55" s="6"/>
    </row>
    <row r="56" spans="1:15" ht="15.6" x14ac:dyDescent="0.3">
      <c r="B56" s="328" t="s">
        <v>1040</v>
      </c>
      <c r="C56" s="330">
        <f>'побудинковий звіт'!CX405</f>
        <v>68721729.828870937</v>
      </c>
    </row>
    <row r="58" spans="1:15" x14ac:dyDescent="0.3">
      <c r="C58" s="149">
        <f>'побудинковий звіт'!CU404</f>
        <v>66500394.312531203</v>
      </c>
      <c r="D58" s="149">
        <f>'побудинковий звіт'!CV404</f>
        <v>64036494.126708873</v>
      </c>
    </row>
    <row r="61" spans="1:15" x14ac:dyDescent="0.3">
      <c r="G61" s="7">
        <f>'побудинковий звіт'!CU407</f>
        <v>24837264.826265126</v>
      </c>
      <c r="H61" s="7">
        <f>'побудинковий звіт'!CV407</f>
        <v>24788773.379213914</v>
      </c>
      <c r="J61" s="7">
        <f>'побудинковий звіт'!CU408</f>
        <v>21151218.611129485</v>
      </c>
      <c r="K61" s="7">
        <f>'побудинковий звіт'!CV408</f>
        <v>20514634.837143708</v>
      </c>
      <c r="M61" s="7">
        <f>'побудинковий звіт'!CU409</f>
        <v>20511910.87513661</v>
      </c>
      <c r="N61" s="7">
        <f>'побудинковий звіт'!CV409</f>
        <v>18733085.910351235</v>
      </c>
    </row>
    <row r="63" spans="1:15" x14ac:dyDescent="0.3">
      <c r="B63" s="550"/>
      <c r="C63" s="551" t="s">
        <v>440</v>
      </c>
      <c r="D63" s="552" t="s">
        <v>441</v>
      </c>
      <c r="G63" s="7">
        <f>G42+J42+M42</f>
        <v>66500394.312531203</v>
      </c>
      <c r="H63" s="7">
        <f>H42+K42+N42</f>
        <v>64036494.126708865</v>
      </c>
    </row>
    <row r="64" spans="1:15" x14ac:dyDescent="0.3">
      <c r="B64" s="550"/>
      <c r="C64" s="551" t="s">
        <v>1076</v>
      </c>
      <c r="D64" s="551" t="s">
        <v>1076</v>
      </c>
    </row>
    <row r="65" spans="2:4" x14ac:dyDescent="0.3">
      <c r="B65" s="550" t="s">
        <v>1075</v>
      </c>
      <c r="C65" s="551">
        <v>47624</v>
      </c>
      <c r="D65" s="551">
        <v>61117</v>
      </c>
    </row>
    <row r="66" spans="2:4" x14ac:dyDescent="0.3">
      <c r="B66" s="550" t="s">
        <v>1077</v>
      </c>
      <c r="C66" s="551">
        <v>1016</v>
      </c>
      <c r="D66" s="552">
        <v>864</v>
      </c>
    </row>
    <row r="67" spans="2:4" x14ac:dyDescent="0.3">
      <c r="B67" s="553"/>
      <c r="C67" s="554">
        <f>SUM(C65:C66)</f>
        <v>48640</v>
      </c>
      <c r="D67" s="554">
        <f>SUM(D65:D66)</f>
        <v>61981</v>
      </c>
    </row>
    <row r="68" spans="2:4" x14ac:dyDescent="0.3">
      <c r="B68" s="550" t="s">
        <v>1078</v>
      </c>
      <c r="C68" s="551">
        <f>C42</f>
        <v>66500394.312531218</v>
      </c>
      <c r="D68" s="551">
        <f>D42</f>
        <v>64036494.126708895</v>
      </c>
    </row>
    <row r="69" spans="2:4" x14ac:dyDescent="0.3">
      <c r="B69" s="555"/>
      <c r="C69" s="556"/>
      <c r="D69" s="555"/>
    </row>
    <row r="70" spans="2:4" x14ac:dyDescent="0.3">
      <c r="B70" s="550" t="s">
        <v>1086</v>
      </c>
      <c r="C70" s="556">
        <f>C42+C65+C66</f>
        <v>66549034.312531218</v>
      </c>
      <c r="D70" s="556">
        <f>D42+D65+D66</f>
        <v>64098475.126708895</v>
      </c>
    </row>
  </sheetData>
  <mergeCells count="13">
    <mergeCell ref="A5:A6"/>
    <mergeCell ref="C7:E7"/>
    <mergeCell ref="C48:D48"/>
    <mergeCell ref="M5:O5"/>
    <mergeCell ref="M7:O7"/>
    <mergeCell ref="M48:N48"/>
    <mergeCell ref="G48:H48"/>
    <mergeCell ref="G5:I5"/>
    <mergeCell ref="G7:I7"/>
    <mergeCell ref="J5:L5"/>
    <mergeCell ref="J7:L7"/>
    <mergeCell ref="J48:K48"/>
    <mergeCell ref="B5:B6"/>
  </mergeCells>
  <pageMargins left="0.31496062992125984" right="0.11811023622047245" top="0.15748031496062992" bottom="0.15748031496062992" header="0.31496062992125984" footer="0.31496062992125984"/>
  <pageSetup paperSize="9" scale="8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theme="5" tint="-0.249977111117893"/>
  </sheetPr>
  <dimension ref="A1:DZ423"/>
  <sheetViews>
    <sheetView topLeftCell="CS1" zoomScale="90" zoomScaleNormal="90" workbookViewId="0">
      <selection activeCell="DA9" sqref="DA9"/>
    </sheetView>
  </sheetViews>
  <sheetFormatPr defaultColWidth="8.88671875" defaultRowHeight="14.4" x14ac:dyDescent="0.3"/>
  <cols>
    <col min="1" max="1" width="13.109375" style="324" customWidth="1"/>
    <col min="2" max="2" width="8.88671875" style="1" customWidth="1"/>
    <col min="3" max="3" width="34.44140625" style="1" customWidth="1"/>
    <col min="4" max="4" width="39.33203125" style="1" customWidth="1"/>
    <col min="5" max="5" width="15.6640625" style="32" customWidth="1"/>
    <col min="6" max="6" width="14.33203125" style="93" customWidth="1"/>
    <col min="7" max="7" width="11.6640625" style="49" customWidth="1"/>
    <col min="8" max="8" width="12.44140625" style="308" customWidth="1"/>
    <col min="9" max="9" width="10.88671875" style="7" customWidth="1"/>
    <col min="10" max="10" width="10.33203125" style="7" customWidth="1"/>
    <col min="11" max="11" width="9.5546875" style="7" customWidth="1"/>
    <col min="12" max="12" width="12.44140625" style="7" customWidth="1"/>
    <col min="13" max="13" width="10.88671875" style="7" customWidth="1"/>
    <col min="14" max="14" width="10.109375" style="7" customWidth="1"/>
    <col min="15" max="17" width="10.88671875" style="7" customWidth="1"/>
    <col min="18" max="20" width="11.44140625" style="7" customWidth="1"/>
    <col min="21" max="23" width="10.6640625" style="7" customWidth="1"/>
    <col min="24" max="26" width="12.109375" style="7" customWidth="1"/>
    <col min="27" max="29" width="10.6640625" style="7" customWidth="1"/>
    <col min="30" max="32" width="14.109375" style="7" customWidth="1"/>
    <col min="33" max="33" width="14.109375" style="50" customWidth="1"/>
    <col min="34" max="35" width="14.109375" style="7" customWidth="1"/>
    <col min="36" max="38" width="10.33203125" style="7" customWidth="1"/>
    <col min="39" max="41" width="10.44140625" style="7" customWidth="1"/>
    <col min="42" max="44" width="11.109375" style="7" customWidth="1"/>
    <col min="45" max="47" width="12.109375" style="7" customWidth="1"/>
    <col min="48" max="50" width="11.33203125" style="7" customWidth="1"/>
    <col min="51" max="51" width="10.33203125" style="7" customWidth="1"/>
    <col min="52" max="52" width="8.109375" style="7" customWidth="1"/>
    <col min="53" max="54" width="10.88671875" style="7" customWidth="1"/>
    <col min="55" max="56" width="12.44140625" style="7" customWidth="1"/>
    <col min="57" max="59" width="12.109375" style="7" customWidth="1"/>
    <col min="60" max="62" width="11.5546875" style="7" customWidth="1"/>
    <col min="63" max="65" width="11.109375" style="7" customWidth="1"/>
    <col min="66" max="68" width="10.5546875" style="7" customWidth="1"/>
    <col min="69" max="69" width="10.5546875" style="50" customWidth="1"/>
    <col min="70" max="71" width="10.5546875" style="7" customWidth="1"/>
    <col min="72" max="74" width="11.6640625" style="7" customWidth="1"/>
    <col min="75" max="75" width="11.44140625" style="50" customWidth="1"/>
    <col min="76" max="77" width="11.44140625" style="7" customWidth="1"/>
    <col min="78" max="80" width="12.44140625" style="7" customWidth="1"/>
    <col min="81" max="81" width="10.6640625" style="7" customWidth="1"/>
    <col min="82" max="82" width="8.44140625" style="7" customWidth="1"/>
    <col min="83" max="83" width="11.33203125" style="7" customWidth="1"/>
    <col min="84" max="84" width="10.6640625" style="7" customWidth="1"/>
    <col min="85" max="85" width="10.44140625" style="7" customWidth="1"/>
    <col min="86" max="86" width="10.6640625" style="7" customWidth="1"/>
    <col min="87" max="89" width="12.44140625" style="7" customWidth="1"/>
    <col min="90" max="95" width="11.33203125" style="7" customWidth="1"/>
    <col min="96" max="97" width="12.6640625" style="7" customWidth="1"/>
    <col min="98" max="98" width="11.44140625" style="7" customWidth="1"/>
    <col min="99" max="99" width="12.44140625" style="7" customWidth="1"/>
    <col min="100" max="100" width="12.88671875" style="50" customWidth="1"/>
    <col min="101" max="101" width="13" style="7" customWidth="1"/>
    <col min="102" max="102" width="13.109375" style="7" customWidth="1"/>
    <col min="103" max="103" width="10.33203125" style="7" customWidth="1"/>
    <col min="104" max="104" width="10.44140625" style="7" customWidth="1"/>
    <col min="105" max="105" width="22.88671875" style="7" customWidth="1"/>
    <col min="106" max="106" width="8.88671875" style="2" customWidth="1"/>
    <col min="107" max="107" width="15.6640625" style="410" customWidth="1"/>
    <col min="108" max="108" width="14.109375" style="411" customWidth="1"/>
    <col min="109" max="109" width="16.5546875" style="412" customWidth="1"/>
    <col min="110" max="110" width="16.33203125" style="1" customWidth="1"/>
    <col min="111" max="113" width="22.88671875" style="7" customWidth="1"/>
    <col min="114" max="115" width="8.88671875" style="296" customWidth="1"/>
    <col min="116" max="116" width="8.88671875" style="1" customWidth="1"/>
    <col min="117" max="117" width="16.44140625" style="93" customWidth="1"/>
    <col min="118" max="118" width="14" style="93" customWidth="1"/>
    <col min="119" max="119" width="16" style="1" customWidth="1"/>
    <col min="120" max="120" width="12" style="1" customWidth="1"/>
    <col min="121" max="121" width="16" style="2" customWidth="1"/>
    <col min="122" max="122" width="11.5546875" style="314" customWidth="1"/>
    <col min="123" max="123" width="12.109375" style="1" customWidth="1"/>
    <col min="124" max="124" width="13.88671875" style="7" customWidth="1"/>
    <col min="125" max="125" width="13" style="7" customWidth="1"/>
    <col min="126" max="127" width="8.88671875" style="1"/>
    <col min="128" max="128" width="12.44140625" style="7" customWidth="1"/>
    <col min="129" max="129" width="12.5546875" style="7" customWidth="1"/>
    <col min="130" max="130" width="12" style="1" customWidth="1"/>
    <col min="131" max="16384" width="8.88671875" style="1"/>
  </cols>
  <sheetData>
    <row r="1" spans="1:130" x14ac:dyDescent="0.3">
      <c r="B1" s="1" t="s">
        <v>0</v>
      </c>
      <c r="CX1" s="7">
        <v>81250827</v>
      </c>
      <c r="DA1" s="492">
        <v>9</v>
      </c>
      <c r="DB1" s="2" t="s">
        <v>1060</v>
      </c>
    </row>
    <row r="2" spans="1:130" x14ac:dyDescent="0.3">
      <c r="CV2" s="396"/>
      <c r="CW2" s="397" t="s">
        <v>1053</v>
      </c>
      <c r="CX2" s="388">
        <v>81250827</v>
      </c>
    </row>
    <row r="3" spans="1:130" ht="22.8" x14ac:dyDescent="0.3">
      <c r="B3" s="6" t="s">
        <v>1023</v>
      </c>
      <c r="H3" s="405" t="str">
        <f>місяць!A2</f>
        <v>2021 РІК</v>
      </c>
      <c r="BU3" s="392"/>
      <c r="CV3" s="396"/>
      <c r="CW3" s="388"/>
      <c r="CX3" s="388">
        <f>'[1]побудинковий звіт'!CX3+'[2]побудинковий звіт'!CX3</f>
        <v>78748901.757779539</v>
      </c>
      <c r="DA3" s="424" t="s">
        <v>1083</v>
      </c>
      <c r="DB3" s="96"/>
      <c r="DC3" s="413" t="s">
        <v>1054</v>
      </c>
      <c r="DF3" s="4"/>
      <c r="DJ3" s="514" t="s">
        <v>1067</v>
      </c>
      <c r="DX3" s="389" t="s">
        <v>1050</v>
      </c>
    </row>
    <row r="4" spans="1:130" s="762" customFormat="1" x14ac:dyDescent="0.3">
      <c r="A4" s="761"/>
      <c r="E4" s="763"/>
      <c r="F4" s="764"/>
      <c r="G4" s="765"/>
      <c r="H4" s="766"/>
      <c r="I4" s="388"/>
      <c r="J4" s="388"/>
      <c r="K4" s="388"/>
      <c r="L4" s="388"/>
      <c r="M4" s="388"/>
      <c r="N4" s="388"/>
      <c r="O4" s="388">
        <v>15</v>
      </c>
      <c r="P4" s="388">
        <v>16</v>
      </c>
      <c r="Q4" s="388">
        <v>17</v>
      </c>
      <c r="R4" s="388">
        <v>18</v>
      </c>
      <c r="S4" s="388">
        <v>19</v>
      </c>
      <c r="T4" s="388">
        <v>20</v>
      </c>
      <c r="U4" s="388">
        <v>21</v>
      </c>
      <c r="V4" s="388">
        <v>22</v>
      </c>
      <c r="W4" s="388">
        <v>23</v>
      </c>
      <c r="X4" s="388">
        <v>24</v>
      </c>
      <c r="Y4" s="388">
        <v>25</v>
      </c>
      <c r="Z4" s="388">
        <v>26</v>
      </c>
      <c r="AA4" s="388">
        <v>27</v>
      </c>
      <c r="AB4" s="388">
        <v>28</v>
      </c>
      <c r="AC4" s="388">
        <v>29</v>
      </c>
      <c r="AD4" s="388">
        <v>30</v>
      </c>
      <c r="AE4" s="388">
        <v>31</v>
      </c>
      <c r="AF4" s="388">
        <v>32</v>
      </c>
      <c r="AG4" s="396">
        <v>33</v>
      </c>
      <c r="AH4" s="388">
        <v>34</v>
      </c>
      <c r="AI4" s="388">
        <v>35</v>
      </c>
      <c r="AJ4" s="388">
        <v>36</v>
      </c>
      <c r="AK4" s="388">
        <v>37</v>
      </c>
      <c r="AL4" s="388">
        <v>38</v>
      </c>
      <c r="AM4" s="388">
        <v>39</v>
      </c>
      <c r="AN4" s="388">
        <v>40</v>
      </c>
      <c r="AO4" s="388">
        <v>41</v>
      </c>
      <c r="AP4" s="388">
        <v>42</v>
      </c>
      <c r="AQ4" s="388">
        <v>43</v>
      </c>
      <c r="AR4" s="388">
        <v>44</v>
      </c>
      <c r="AS4" s="388">
        <v>45</v>
      </c>
      <c r="AT4" s="388">
        <v>46</v>
      </c>
      <c r="AU4" s="388">
        <v>47</v>
      </c>
      <c r="AV4" s="388">
        <v>48</v>
      </c>
      <c r="AW4" s="388">
        <v>49</v>
      </c>
      <c r="AX4" s="388">
        <v>50</v>
      </c>
      <c r="AY4" s="388">
        <v>51</v>
      </c>
      <c r="AZ4" s="388">
        <v>52</v>
      </c>
      <c r="BA4" s="388">
        <v>53</v>
      </c>
      <c r="BB4" s="388">
        <v>54</v>
      </c>
      <c r="BC4" s="388">
        <v>55</v>
      </c>
      <c r="BD4" s="388">
        <v>56</v>
      </c>
      <c r="BE4" s="388">
        <v>57</v>
      </c>
      <c r="BF4" s="388">
        <v>58</v>
      </c>
      <c r="BG4" s="388">
        <v>59</v>
      </c>
      <c r="BH4" s="388">
        <v>60</v>
      </c>
      <c r="BI4" s="388">
        <v>61</v>
      </c>
      <c r="BJ4" s="388">
        <v>62</v>
      </c>
      <c r="BK4" s="388">
        <v>63</v>
      </c>
      <c r="BL4" s="388">
        <v>64</v>
      </c>
      <c r="BM4" s="388">
        <v>65</v>
      </c>
      <c r="BN4" s="388">
        <v>66</v>
      </c>
      <c r="BO4" s="388">
        <v>67</v>
      </c>
      <c r="BP4" s="388">
        <v>68</v>
      </c>
      <c r="BQ4" s="396">
        <v>69</v>
      </c>
      <c r="BR4" s="388">
        <v>70</v>
      </c>
      <c r="BS4" s="388">
        <v>71</v>
      </c>
      <c r="BT4" s="388">
        <v>72</v>
      </c>
      <c r="BU4" s="388">
        <v>73</v>
      </c>
      <c r="BV4" s="388">
        <v>74</v>
      </c>
      <c r="BW4" s="396">
        <v>75</v>
      </c>
      <c r="BX4" s="388">
        <v>76</v>
      </c>
      <c r="BY4" s="388">
        <v>77</v>
      </c>
      <c r="BZ4" s="388">
        <v>78</v>
      </c>
      <c r="CA4" s="388">
        <v>79</v>
      </c>
      <c r="CB4" s="388">
        <v>80</v>
      </c>
      <c r="CC4" s="388">
        <v>81</v>
      </c>
      <c r="CD4" s="388">
        <v>82</v>
      </c>
      <c r="CE4" s="388">
        <v>83</v>
      </c>
      <c r="CF4" s="388">
        <v>84</v>
      </c>
      <c r="CG4" s="388">
        <v>85</v>
      </c>
      <c r="CH4" s="388">
        <v>86</v>
      </c>
      <c r="CI4" s="388">
        <v>87</v>
      </c>
      <c r="CJ4" s="388">
        <v>88</v>
      </c>
      <c r="CK4" s="388">
        <v>89</v>
      </c>
      <c r="CL4" s="388">
        <v>90</v>
      </c>
      <c r="CM4" s="388">
        <v>91</v>
      </c>
      <c r="CN4" s="388">
        <v>92</v>
      </c>
      <c r="CO4" s="388">
        <v>93</v>
      </c>
      <c r="CP4" s="388">
        <v>94</v>
      </c>
      <c r="CQ4" s="388">
        <v>95</v>
      </c>
      <c r="CR4" s="388">
        <v>96</v>
      </c>
      <c r="CS4" s="388">
        <v>97</v>
      </c>
      <c r="CT4" s="388">
        <v>98</v>
      </c>
      <c r="CU4" s="388">
        <v>99</v>
      </c>
      <c r="CV4" s="398">
        <v>100</v>
      </c>
      <c r="CW4" s="388">
        <v>101</v>
      </c>
      <c r="CX4" s="399">
        <v>102</v>
      </c>
      <c r="CY4" s="388">
        <v>103</v>
      </c>
      <c r="CZ4" s="388">
        <v>104</v>
      </c>
      <c r="DA4" s="388"/>
      <c r="DB4" s="767"/>
      <c r="DC4" s="768"/>
      <c r="DD4" s="769"/>
      <c r="DE4" s="770"/>
      <c r="DG4" s="388"/>
      <c r="DH4" s="388"/>
      <c r="DI4" s="388"/>
      <c r="DJ4" s="771"/>
      <c r="DK4" s="771"/>
      <c r="DM4" s="764"/>
      <c r="DN4" s="764"/>
      <c r="DQ4" s="767"/>
      <c r="DR4" s="772"/>
      <c r="DT4" s="388"/>
      <c r="DU4" s="388"/>
      <c r="DX4" s="388"/>
      <c r="DY4" s="388"/>
    </row>
    <row r="5" spans="1:130" ht="18" thickBot="1" x14ac:dyDescent="0.35">
      <c r="C5" s="1">
        <v>1</v>
      </c>
      <c r="D5" s="331">
        <f>C5+1</f>
        <v>2</v>
      </c>
      <c r="E5" s="331">
        <f t="shared" ref="E5:BP5" si="0">D5+1</f>
        <v>3</v>
      </c>
      <c r="F5" s="331">
        <f t="shared" si="0"/>
        <v>4</v>
      </c>
      <c r="G5" s="331">
        <f t="shared" si="0"/>
        <v>5</v>
      </c>
      <c r="H5" s="331">
        <f t="shared" si="0"/>
        <v>6</v>
      </c>
      <c r="I5" s="331">
        <f t="shared" si="0"/>
        <v>7</v>
      </c>
      <c r="J5" s="331">
        <f t="shared" si="0"/>
        <v>8</v>
      </c>
      <c r="K5" s="331">
        <f t="shared" si="0"/>
        <v>9</v>
      </c>
      <c r="L5" s="331">
        <f t="shared" si="0"/>
        <v>10</v>
      </c>
      <c r="M5" s="331">
        <f t="shared" si="0"/>
        <v>11</v>
      </c>
      <c r="N5" s="331">
        <f t="shared" si="0"/>
        <v>12</v>
      </c>
      <c r="O5" s="331">
        <f t="shared" si="0"/>
        <v>13</v>
      </c>
      <c r="P5" s="331">
        <f t="shared" si="0"/>
        <v>14</v>
      </c>
      <c r="Q5" s="331">
        <f t="shared" si="0"/>
        <v>15</v>
      </c>
      <c r="R5" s="331">
        <f t="shared" si="0"/>
        <v>16</v>
      </c>
      <c r="S5" s="331">
        <f t="shared" si="0"/>
        <v>17</v>
      </c>
      <c r="T5" s="331">
        <f t="shared" si="0"/>
        <v>18</v>
      </c>
      <c r="U5" s="331">
        <f t="shared" si="0"/>
        <v>19</v>
      </c>
      <c r="V5" s="331">
        <f t="shared" si="0"/>
        <v>20</v>
      </c>
      <c r="W5" s="331">
        <f t="shared" si="0"/>
        <v>21</v>
      </c>
      <c r="X5" s="331">
        <f t="shared" si="0"/>
        <v>22</v>
      </c>
      <c r="Y5" s="331">
        <f t="shared" si="0"/>
        <v>23</v>
      </c>
      <c r="Z5" s="331">
        <f t="shared" si="0"/>
        <v>24</v>
      </c>
      <c r="AA5" s="331">
        <f t="shared" si="0"/>
        <v>25</v>
      </c>
      <c r="AB5" s="331">
        <f t="shared" si="0"/>
        <v>26</v>
      </c>
      <c r="AC5" s="331">
        <f t="shared" si="0"/>
        <v>27</v>
      </c>
      <c r="AD5" s="331">
        <f t="shared" si="0"/>
        <v>28</v>
      </c>
      <c r="AE5" s="331">
        <f t="shared" si="0"/>
        <v>29</v>
      </c>
      <c r="AF5" s="331">
        <f t="shared" si="0"/>
        <v>30</v>
      </c>
      <c r="AG5" s="331">
        <f t="shared" si="0"/>
        <v>31</v>
      </c>
      <c r="AH5" s="331">
        <f t="shared" si="0"/>
        <v>32</v>
      </c>
      <c r="AI5" s="331">
        <f t="shared" si="0"/>
        <v>33</v>
      </c>
      <c r="AJ5" s="331">
        <f t="shared" si="0"/>
        <v>34</v>
      </c>
      <c r="AK5" s="331">
        <f t="shared" si="0"/>
        <v>35</v>
      </c>
      <c r="AL5" s="331">
        <f t="shared" si="0"/>
        <v>36</v>
      </c>
      <c r="AM5" s="331">
        <f t="shared" si="0"/>
        <v>37</v>
      </c>
      <c r="AN5" s="331">
        <f t="shared" si="0"/>
        <v>38</v>
      </c>
      <c r="AO5" s="331">
        <f t="shared" si="0"/>
        <v>39</v>
      </c>
      <c r="AP5" s="331">
        <f t="shared" si="0"/>
        <v>40</v>
      </c>
      <c r="AQ5" s="331">
        <f t="shared" si="0"/>
        <v>41</v>
      </c>
      <c r="AR5" s="331">
        <f t="shared" si="0"/>
        <v>42</v>
      </c>
      <c r="AS5" s="331">
        <f t="shared" si="0"/>
        <v>43</v>
      </c>
      <c r="AT5" s="331">
        <f t="shared" si="0"/>
        <v>44</v>
      </c>
      <c r="AU5" s="331">
        <f t="shared" si="0"/>
        <v>45</v>
      </c>
      <c r="AV5" s="331">
        <f t="shared" si="0"/>
        <v>46</v>
      </c>
      <c r="AW5" s="331">
        <f t="shared" si="0"/>
        <v>47</v>
      </c>
      <c r="AX5" s="331">
        <f t="shared" si="0"/>
        <v>48</v>
      </c>
      <c r="AY5" s="331">
        <f t="shared" si="0"/>
        <v>49</v>
      </c>
      <c r="AZ5" s="331">
        <f t="shared" si="0"/>
        <v>50</v>
      </c>
      <c r="BA5" s="331">
        <f t="shared" si="0"/>
        <v>51</v>
      </c>
      <c r="BB5" s="331">
        <f t="shared" si="0"/>
        <v>52</v>
      </c>
      <c r="BC5" s="331">
        <f t="shared" si="0"/>
        <v>53</v>
      </c>
      <c r="BD5" s="331">
        <f t="shared" si="0"/>
        <v>54</v>
      </c>
      <c r="BE5" s="331">
        <f t="shared" si="0"/>
        <v>55</v>
      </c>
      <c r="BF5" s="331">
        <f t="shared" si="0"/>
        <v>56</v>
      </c>
      <c r="BG5" s="331">
        <f t="shared" si="0"/>
        <v>57</v>
      </c>
      <c r="BH5" s="331">
        <f t="shared" si="0"/>
        <v>58</v>
      </c>
      <c r="BI5" s="331">
        <f t="shared" si="0"/>
        <v>59</v>
      </c>
      <c r="BJ5" s="331">
        <f t="shared" si="0"/>
        <v>60</v>
      </c>
      <c r="BK5" s="331">
        <f t="shared" si="0"/>
        <v>61</v>
      </c>
      <c r="BL5" s="331">
        <f t="shared" si="0"/>
        <v>62</v>
      </c>
      <c r="BM5" s="331">
        <f t="shared" si="0"/>
        <v>63</v>
      </c>
      <c r="BN5" s="331">
        <f t="shared" si="0"/>
        <v>64</v>
      </c>
      <c r="BO5" s="331">
        <f t="shared" si="0"/>
        <v>65</v>
      </c>
      <c r="BP5" s="331">
        <f t="shared" si="0"/>
        <v>66</v>
      </c>
      <c r="BQ5" s="331">
        <f t="shared" ref="BQ5:DE5" si="1">BP5+1</f>
        <v>67</v>
      </c>
      <c r="BR5" s="331">
        <f t="shared" si="1"/>
        <v>68</v>
      </c>
      <c r="BS5" s="331">
        <f t="shared" si="1"/>
        <v>69</v>
      </c>
      <c r="BT5" s="331">
        <f t="shared" si="1"/>
        <v>70</v>
      </c>
      <c r="BU5" s="331">
        <f t="shared" si="1"/>
        <v>71</v>
      </c>
      <c r="BV5" s="331">
        <f t="shared" si="1"/>
        <v>72</v>
      </c>
      <c r="BW5" s="331">
        <f t="shared" si="1"/>
        <v>73</v>
      </c>
      <c r="BX5" s="331">
        <f t="shared" si="1"/>
        <v>74</v>
      </c>
      <c r="BY5" s="331">
        <f t="shared" si="1"/>
        <v>75</v>
      </c>
      <c r="BZ5" s="331">
        <f t="shared" si="1"/>
        <v>76</v>
      </c>
      <c r="CA5" s="331">
        <f t="shared" si="1"/>
        <v>77</v>
      </c>
      <c r="CB5" s="331">
        <f t="shared" si="1"/>
        <v>78</v>
      </c>
      <c r="CC5" s="331">
        <f t="shared" si="1"/>
        <v>79</v>
      </c>
      <c r="CD5" s="331">
        <f t="shared" si="1"/>
        <v>80</v>
      </c>
      <c r="CE5" s="331">
        <f t="shared" si="1"/>
        <v>81</v>
      </c>
      <c r="CF5" s="331">
        <f t="shared" si="1"/>
        <v>82</v>
      </c>
      <c r="CG5" s="331">
        <f t="shared" si="1"/>
        <v>83</v>
      </c>
      <c r="CH5" s="331">
        <f t="shared" si="1"/>
        <v>84</v>
      </c>
      <c r="CI5" s="331">
        <f t="shared" si="1"/>
        <v>85</v>
      </c>
      <c r="CJ5" s="331">
        <f t="shared" si="1"/>
        <v>86</v>
      </c>
      <c r="CK5" s="331">
        <f t="shared" si="1"/>
        <v>87</v>
      </c>
      <c r="CL5" s="331">
        <f t="shared" si="1"/>
        <v>88</v>
      </c>
      <c r="CM5" s="331">
        <f t="shared" si="1"/>
        <v>89</v>
      </c>
      <c r="CN5" s="331">
        <f t="shared" si="1"/>
        <v>90</v>
      </c>
      <c r="CO5" s="331">
        <f t="shared" si="1"/>
        <v>91</v>
      </c>
      <c r="CP5" s="331">
        <f t="shared" si="1"/>
        <v>92</v>
      </c>
      <c r="CQ5" s="331">
        <f t="shared" si="1"/>
        <v>93</v>
      </c>
      <c r="CR5" s="331">
        <f t="shared" si="1"/>
        <v>94</v>
      </c>
      <c r="CS5" s="331">
        <f t="shared" si="1"/>
        <v>95</v>
      </c>
      <c r="CT5" s="331">
        <f t="shared" si="1"/>
        <v>96</v>
      </c>
      <c r="CU5" s="331">
        <f t="shared" si="1"/>
        <v>97</v>
      </c>
      <c r="CV5" s="331">
        <f t="shared" si="1"/>
        <v>98</v>
      </c>
      <c r="CW5" s="331">
        <f t="shared" si="1"/>
        <v>99</v>
      </c>
      <c r="CX5" s="331">
        <f t="shared" si="1"/>
        <v>100</v>
      </c>
      <c r="CY5" s="331">
        <f t="shared" si="1"/>
        <v>101</v>
      </c>
      <c r="CZ5" s="331">
        <f t="shared" si="1"/>
        <v>102</v>
      </c>
      <c r="DA5" s="331">
        <f t="shared" si="1"/>
        <v>103</v>
      </c>
      <c r="DB5" s="331">
        <f t="shared" si="1"/>
        <v>104</v>
      </c>
      <c r="DC5" s="331">
        <f t="shared" si="1"/>
        <v>105</v>
      </c>
      <c r="DD5" s="331">
        <f t="shared" si="1"/>
        <v>106</v>
      </c>
      <c r="DE5" s="331">
        <f t="shared" si="1"/>
        <v>107</v>
      </c>
      <c r="DF5" s="331">
        <f t="shared" ref="DF5" si="2">DE5+1</f>
        <v>108</v>
      </c>
      <c r="DG5" s="331">
        <f t="shared" ref="DG5" si="3">DF5+1</f>
        <v>109</v>
      </c>
      <c r="DH5" s="331">
        <f t="shared" ref="DH5" si="4">DG5+1</f>
        <v>110</v>
      </c>
      <c r="DI5" s="331">
        <f t="shared" ref="DI5" si="5">DH5+1</f>
        <v>111</v>
      </c>
      <c r="DJ5" s="331">
        <f t="shared" ref="DJ5" si="6">DI5+1</f>
        <v>112</v>
      </c>
      <c r="DK5" s="331">
        <f t="shared" ref="DK5" si="7">DJ5+1</f>
        <v>113</v>
      </c>
      <c r="DL5" s="331">
        <f t="shared" ref="DL5" si="8">DK5+1</f>
        <v>114</v>
      </c>
      <c r="DM5" s="331">
        <f t="shared" ref="DM5" si="9">DL5+1</f>
        <v>115</v>
      </c>
      <c r="DN5" s="331">
        <f t="shared" ref="DN5" si="10">DM5+1</f>
        <v>116</v>
      </c>
      <c r="DO5" s="331">
        <f t="shared" ref="DO5" si="11">DN5+1</f>
        <v>117</v>
      </c>
      <c r="DP5" s="331">
        <f t="shared" ref="DP5" si="12">DO5+1</f>
        <v>118</v>
      </c>
      <c r="DQ5" s="331">
        <f t="shared" ref="DQ5" si="13">DP5+1</f>
        <v>119</v>
      </c>
      <c r="DR5" s="331">
        <f t="shared" ref="DR5" si="14">DQ5+1</f>
        <v>120</v>
      </c>
      <c r="DS5" s="331">
        <f t="shared" ref="DS5" si="15">DR5+1</f>
        <v>121</v>
      </c>
      <c r="DT5" s="331">
        <f t="shared" ref="DT5" si="16">DS5+1</f>
        <v>122</v>
      </c>
      <c r="DU5" s="331">
        <f t="shared" ref="DU5" si="17">DT5+1</f>
        <v>123</v>
      </c>
      <c r="DV5" s="331">
        <f t="shared" ref="DV5" si="18">DU5+1</f>
        <v>124</v>
      </c>
      <c r="DW5" s="331">
        <f t="shared" ref="DW5" si="19">DV5+1</f>
        <v>125</v>
      </c>
      <c r="DX5" s="331">
        <f t="shared" ref="DX5" si="20">DW5+1</f>
        <v>126</v>
      </c>
      <c r="DY5" s="331">
        <f t="shared" ref="DY5" si="21">DX5+1</f>
        <v>127</v>
      </c>
      <c r="DZ5" s="331">
        <f t="shared" ref="DZ5" si="22">DY5+1</f>
        <v>128</v>
      </c>
    </row>
    <row r="6" spans="1:130" s="277" customFormat="1" ht="60.75" customHeight="1" thickBot="1" x14ac:dyDescent="0.35">
      <c r="A6" s="1030" t="s">
        <v>1038</v>
      </c>
      <c r="B6" s="1042" t="s">
        <v>850</v>
      </c>
      <c r="C6" s="1042" t="s">
        <v>1</v>
      </c>
      <c r="D6" s="1045" t="s">
        <v>2</v>
      </c>
      <c r="E6" s="1057" t="s">
        <v>431</v>
      </c>
      <c r="F6" s="1048" t="s">
        <v>3</v>
      </c>
      <c r="G6" s="1051" t="s">
        <v>4</v>
      </c>
      <c r="H6" s="1054" t="s">
        <v>5</v>
      </c>
      <c r="I6" s="1060" t="s">
        <v>444</v>
      </c>
      <c r="J6" s="1061"/>
      <c r="K6" s="1061"/>
      <c r="L6" s="1061"/>
      <c r="M6" s="1061"/>
      <c r="N6" s="1061"/>
      <c r="O6" s="1061"/>
      <c r="P6" s="1061"/>
      <c r="Q6" s="1061"/>
      <c r="R6" s="1061"/>
      <c r="S6" s="1061"/>
      <c r="T6" s="1061"/>
      <c r="U6" s="1061"/>
      <c r="V6" s="1061"/>
      <c r="W6" s="1061"/>
      <c r="X6" s="1061"/>
      <c r="Y6" s="1061"/>
      <c r="Z6" s="1061"/>
      <c r="AA6" s="1061"/>
      <c r="AB6" s="1061"/>
      <c r="AC6" s="1061"/>
      <c r="AD6" s="1061"/>
      <c r="AE6" s="1061"/>
      <c r="AF6" s="1061"/>
      <c r="AG6" s="1061"/>
      <c r="AH6" s="1061"/>
      <c r="AI6" s="1062"/>
      <c r="AJ6" s="1063" t="s">
        <v>7</v>
      </c>
      <c r="AK6" s="1064"/>
      <c r="AL6" s="1065"/>
      <c r="AM6" s="1069" t="s">
        <v>8</v>
      </c>
      <c r="AN6" s="1064"/>
      <c r="AO6" s="1064"/>
      <c r="AP6" s="1004" t="s">
        <v>9</v>
      </c>
      <c r="AQ6" s="1064"/>
      <c r="AR6" s="1064"/>
      <c r="AS6" s="988" t="s">
        <v>11</v>
      </c>
      <c r="AT6" s="1037"/>
      <c r="AU6" s="1038"/>
      <c r="AV6" s="1086" t="s">
        <v>452</v>
      </c>
      <c r="AW6" s="1086"/>
      <c r="AX6" s="1086"/>
      <c r="AY6" s="1086"/>
      <c r="AZ6" s="1086"/>
      <c r="BA6" s="1086"/>
      <c r="BB6" s="1086"/>
      <c r="BC6" s="1086"/>
      <c r="BD6" s="1086"/>
      <c r="BE6" s="1086"/>
      <c r="BF6" s="1086"/>
      <c r="BG6" s="1086"/>
      <c r="BH6" s="1086"/>
      <c r="BI6" s="1086"/>
      <c r="BJ6" s="1086"/>
      <c r="BK6" s="1086"/>
      <c r="BL6" s="1086"/>
      <c r="BM6" s="1086"/>
      <c r="BN6" s="1086"/>
      <c r="BO6" s="1086"/>
      <c r="BP6" s="1086"/>
      <c r="BQ6" s="1087"/>
      <c r="BR6" s="1087"/>
      <c r="BS6" s="1088"/>
      <c r="BT6" s="1004" t="s">
        <v>14</v>
      </c>
      <c r="BU6" s="1005"/>
      <c r="BV6" s="1006"/>
      <c r="BW6" s="1004" t="s">
        <v>15</v>
      </c>
      <c r="BX6" s="1005"/>
      <c r="BY6" s="1006"/>
      <c r="BZ6" s="1024" t="s">
        <v>16</v>
      </c>
      <c r="CA6" s="1025"/>
      <c r="CB6" s="1025"/>
      <c r="CC6" s="1004" t="s">
        <v>17</v>
      </c>
      <c r="CD6" s="1005"/>
      <c r="CE6" s="1006"/>
      <c r="CF6" s="1069" t="s">
        <v>18</v>
      </c>
      <c r="CG6" s="1005"/>
      <c r="CH6" s="1005"/>
      <c r="CI6" s="1080" t="s">
        <v>19</v>
      </c>
      <c r="CJ6" s="1081"/>
      <c r="CK6" s="1081"/>
      <c r="CL6" s="1081"/>
      <c r="CM6" s="1081"/>
      <c r="CN6" s="1081"/>
      <c r="CO6" s="1081"/>
      <c r="CP6" s="1081"/>
      <c r="CQ6" s="1082"/>
      <c r="CR6" s="1004" t="s">
        <v>21</v>
      </c>
      <c r="CS6" s="1010"/>
      <c r="CT6" s="1011"/>
      <c r="CU6" s="1015" t="s">
        <v>982</v>
      </c>
      <c r="CV6" s="1016"/>
      <c r="CW6" s="1017"/>
      <c r="CX6" s="988" t="s">
        <v>983</v>
      </c>
      <c r="CY6" s="989"/>
      <c r="CZ6" s="990"/>
      <c r="DA6" s="996" t="s">
        <v>1088</v>
      </c>
      <c r="DB6" s="2"/>
      <c r="DC6" s="983" t="s">
        <v>1089</v>
      </c>
      <c r="DD6" s="999"/>
      <c r="DE6" s="1000" t="s">
        <v>1081</v>
      </c>
      <c r="DF6" s="1002" t="s">
        <v>1082</v>
      </c>
      <c r="DG6" s="985" t="s">
        <v>1055</v>
      </c>
      <c r="DH6" s="994" t="s">
        <v>1057</v>
      </c>
      <c r="DI6" s="513" t="s">
        <v>1067</v>
      </c>
      <c r="DJ6" s="983" t="s">
        <v>1029</v>
      </c>
      <c r="DK6" s="983" t="s">
        <v>1030</v>
      </c>
      <c r="DL6" s="983" t="s">
        <v>1031</v>
      </c>
      <c r="DM6" s="300"/>
      <c r="DN6" s="300"/>
      <c r="DQ6" s="312"/>
      <c r="DR6" s="315"/>
      <c r="DT6" s="313"/>
      <c r="DU6" s="313"/>
      <c r="DX6" s="994" t="s">
        <v>1051</v>
      </c>
      <c r="DY6" s="1070"/>
      <c r="DZ6" s="1071"/>
    </row>
    <row r="7" spans="1:130" s="277" customFormat="1" ht="38.700000000000003" customHeight="1" thickBot="1" x14ac:dyDescent="0.35">
      <c r="A7" s="1031"/>
      <c r="B7" s="1043"/>
      <c r="C7" s="1043"/>
      <c r="D7" s="1046"/>
      <c r="E7" s="1058"/>
      <c r="F7" s="1049"/>
      <c r="G7" s="1052"/>
      <c r="H7" s="1055"/>
      <c r="I7" s="1033" t="s">
        <v>432</v>
      </c>
      <c r="J7" s="1034"/>
      <c r="K7" s="1034"/>
      <c r="L7" s="1033" t="s">
        <v>433</v>
      </c>
      <c r="M7" s="1034"/>
      <c r="N7" s="1035"/>
      <c r="O7" s="1036" t="s">
        <v>434</v>
      </c>
      <c r="P7" s="1034"/>
      <c r="Q7" s="1034"/>
      <c r="R7" s="1033" t="s">
        <v>435</v>
      </c>
      <c r="S7" s="1034"/>
      <c r="T7" s="1035"/>
      <c r="U7" s="1036" t="s">
        <v>436</v>
      </c>
      <c r="V7" s="1034"/>
      <c r="W7" s="1034"/>
      <c r="X7" s="1033" t="s">
        <v>437</v>
      </c>
      <c r="Y7" s="1034"/>
      <c r="Z7" s="1035"/>
      <c r="AA7" s="1036" t="s">
        <v>438</v>
      </c>
      <c r="AB7" s="1034"/>
      <c r="AC7" s="1034"/>
      <c r="AD7" s="1033" t="s">
        <v>439</v>
      </c>
      <c r="AE7" s="1034"/>
      <c r="AF7" s="1034"/>
      <c r="AG7" s="1033" t="s">
        <v>443</v>
      </c>
      <c r="AH7" s="1034"/>
      <c r="AI7" s="1035"/>
      <c r="AJ7" s="1066"/>
      <c r="AK7" s="1067"/>
      <c r="AL7" s="1068"/>
      <c r="AM7" s="1067"/>
      <c r="AN7" s="1067"/>
      <c r="AO7" s="1067"/>
      <c r="AP7" s="1072"/>
      <c r="AQ7" s="1067"/>
      <c r="AR7" s="1067"/>
      <c r="AS7" s="1039"/>
      <c r="AT7" s="1040"/>
      <c r="AU7" s="1041"/>
      <c r="AV7" s="988" t="s">
        <v>445</v>
      </c>
      <c r="AW7" s="1076"/>
      <c r="AX7" s="1077"/>
      <c r="AY7" s="1078" t="s">
        <v>446</v>
      </c>
      <c r="AZ7" s="1079"/>
      <c r="BA7" s="1079"/>
      <c r="BB7" s="988" t="s">
        <v>447</v>
      </c>
      <c r="BC7" s="1076"/>
      <c r="BD7" s="1077"/>
      <c r="BE7" s="1078" t="s">
        <v>448</v>
      </c>
      <c r="BF7" s="1079"/>
      <c r="BG7" s="1079"/>
      <c r="BH7" s="988" t="s">
        <v>449</v>
      </c>
      <c r="BI7" s="1076"/>
      <c r="BJ7" s="1077"/>
      <c r="BK7" s="1078" t="s">
        <v>450</v>
      </c>
      <c r="BL7" s="1079"/>
      <c r="BM7" s="1079"/>
      <c r="BN7" s="988" t="s">
        <v>451</v>
      </c>
      <c r="BO7" s="1076"/>
      <c r="BP7" s="1077"/>
      <c r="BQ7" s="1083" t="s">
        <v>453</v>
      </c>
      <c r="BR7" s="1084"/>
      <c r="BS7" s="1085"/>
      <c r="BT7" s="1073"/>
      <c r="BU7" s="1074"/>
      <c r="BV7" s="1075"/>
      <c r="BW7" s="1021"/>
      <c r="BX7" s="1022"/>
      <c r="BY7" s="1023"/>
      <c r="BZ7" s="1026"/>
      <c r="CA7" s="1027"/>
      <c r="CB7" s="1027"/>
      <c r="CC7" s="1007"/>
      <c r="CD7" s="1008"/>
      <c r="CE7" s="1009"/>
      <c r="CF7" s="1008"/>
      <c r="CG7" s="1008"/>
      <c r="CH7" s="1008"/>
      <c r="CI7" s="1089" t="s">
        <v>32</v>
      </c>
      <c r="CJ7" s="1090"/>
      <c r="CK7" s="1090"/>
      <c r="CL7" s="988" t="s">
        <v>33</v>
      </c>
      <c r="CM7" s="1028"/>
      <c r="CN7" s="1029"/>
      <c r="CO7" s="988" t="s">
        <v>454</v>
      </c>
      <c r="CP7" s="1028"/>
      <c r="CQ7" s="1029"/>
      <c r="CR7" s="1012"/>
      <c r="CS7" s="1013"/>
      <c r="CT7" s="1014"/>
      <c r="CU7" s="1018"/>
      <c r="CV7" s="1019"/>
      <c r="CW7" s="1020"/>
      <c r="CX7" s="991"/>
      <c r="CY7" s="992"/>
      <c r="CZ7" s="993"/>
      <c r="DA7" s="997"/>
      <c r="DB7" s="2"/>
      <c r="DC7" s="983" t="s">
        <v>1035</v>
      </c>
      <c r="DD7" s="999"/>
      <c r="DE7" s="1001"/>
      <c r="DF7" s="1003"/>
      <c r="DG7" s="986"/>
      <c r="DH7" s="995"/>
      <c r="DI7" s="491" t="s">
        <v>900</v>
      </c>
      <c r="DJ7" s="984"/>
      <c r="DK7" s="984"/>
      <c r="DL7" s="984"/>
      <c r="DM7" s="300"/>
      <c r="DN7" s="300"/>
      <c r="DQ7" s="312"/>
      <c r="DR7" s="316"/>
      <c r="DT7" s="313"/>
      <c r="DU7" s="313"/>
      <c r="DX7" s="403" t="s">
        <v>985</v>
      </c>
      <c r="DY7" s="403" t="s">
        <v>441</v>
      </c>
      <c r="DZ7" s="538" t="s">
        <v>1073</v>
      </c>
    </row>
    <row r="8" spans="1:130" s="79" customFormat="1" ht="53.25" customHeight="1" thickBot="1" x14ac:dyDescent="0.35">
      <c r="A8" s="1032"/>
      <c r="B8" s="1044"/>
      <c r="C8" s="1044"/>
      <c r="D8" s="1047"/>
      <c r="E8" s="1059"/>
      <c r="F8" s="1050"/>
      <c r="G8" s="1053"/>
      <c r="H8" s="1056"/>
      <c r="I8" s="562" t="s">
        <v>440</v>
      </c>
      <c r="J8" s="563" t="s">
        <v>441</v>
      </c>
      <c r="K8" s="75" t="s">
        <v>442</v>
      </c>
      <c r="L8" s="84" t="s">
        <v>440</v>
      </c>
      <c r="M8" s="85" t="s">
        <v>441</v>
      </c>
      <c r="N8" s="86" t="s">
        <v>442</v>
      </c>
      <c r="O8" s="87" t="s">
        <v>440</v>
      </c>
      <c r="P8" s="85" t="s">
        <v>441</v>
      </c>
      <c r="Q8" s="88" t="s">
        <v>442</v>
      </c>
      <c r="R8" s="84" t="s">
        <v>440</v>
      </c>
      <c r="S8" s="85" t="s">
        <v>441</v>
      </c>
      <c r="T8" s="86" t="s">
        <v>442</v>
      </c>
      <c r="U8" s="87" t="s">
        <v>440</v>
      </c>
      <c r="V8" s="85" t="s">
        <v>441</v>
      </c>
      <c r="W8" s="88" t="s">
        <v>442</v>
      </c>
      <c r="X8" s="84" t="s">
        <v>440</v>
      </c>
      <c r="Y8" s="85" t="s">
        <v>441</v>
      </c>
      <c r="Z8" s="86" t="s">
        <v>442</v>
      </c>
      <c r="AA8" s="87" t="s">
        <v>440</v>
      </c>
      <c r="AB8" s="85" t="s">
        <v>441</v>
      </c>
      <c r="AC8" s="88" t="s">
        <v>442</v>
      </c>
      <c r="AD8" s="84" t="s">
        <v>440</v>
      </c>
      <c r="AE8" s="85" t="s">
        <v>441</v>
      </c>
      <c r="AF8" s="88" t="s">
        <v>442</v>
      </c>
      <c r="AG8" s="89" t="s">
        <v>440</v>
      </c>
      <c r="AH8" s="85" t="s">
        <v>441</v>
      </c>
      <c r="AI8" s="86" t="s">
        <v>442</v>
      </c>
      <c r="AJ8" s="278" t="s">
        <v>440</v>
      </c>
      <c r="AK8" s="82" t="s">
        <v>441</v>
      </c>
      <c r="AL8" s="83" t="s">
        <v>442</v>
      </c>
      <c r="AM8" s="278" t="s">
        <v>440</v>
      </c>
      <c r="AN8" s="82" t="s">
        <v>441</v>
      </c>
      <c r="AO8" s="90" t="s">
        <v>442</v>
      </c>
      <c r="AP8" s="91" t="s">
        <v>440</v>
      </c>
      <c r="AQ8" s="82" t="s">
        <v>441</v>
      </c>
      <c r="AR8" s="90" t="s">
        <v>442</v>
      </c>
      <c r="AS8" s="91" t="s">
        <v>440</v>
      </c>
      <c r="AT8" s="82" t="s">
        <v>441</v>
      </c>
      <c r="AU8" s="83" t="s">
        <v>442</v>
      </c>
      <c r="AV8" s="91" t="s">
        <v>440</v>
      </c>
      <c r="AW8" s="82" t="s">
        <v>441</v>
      </c>
      <c r="AX8" s="83" t="s">
        <v>442</v>
      </c>
      <c r="AY8" s="278" t="s">
        <v>440</v>
      </c>
      <c r="AZ8" s="82" t="s">
        <v>441</v>
      </c>
      <c r="BA8" s="90" t="s">
        <v>442</v>
      </c>
      <c r="BB8" s="91" t="s">
        <v>440</v>
      </c>
      <c r="BC8" s="82" t="s">
        <v>441</v>
      </c>
      <c r="BD8" s="83" t="s">
        <v>442</v>
      </c>
      <c r="BE8" s="278" t="s">
        <v>440</v>
      </c>
      <c r="BF8" s="82" t="s">
        <v>441</v>
      </c>
      <c r="BG8" s="90" t="s">
        <v>442</v>
      </c>
      <c r="BH8" s="91" t="s">
        <v>440</v>
      </c>
      <c r="BI8" s="82" t="s">
        <v>441</v>
      </c>
      <c r="BJ8" s="83" t="s">
        <v>442</v>
      </c>
      <c r="BK8" s="278" t="s">
        <v>440</v>
      </c>
      <c r="BL8" s="82" t="s">
        <v>441</v>
      </c>
      <c r="BM8" s="90" t="s">
        <v>442</v>
      </c>
      <c r="BN8" s="91" t="s">
        <v>440</v>
      </c>
      <c r="BO8" s="82" t="s">
        <v>441</v>
      </c>
      <c r="BP8" s="83" t="s">
        <v>442</v>
      </c>
      <c r="BQ8" s="81" t="s">
        <v>440</v>
      </c>
      <c r="BR8" s="82" t="s">
        <v>441</v>
      </c>
      <c r="BS8" s="83" t="s">
        <v>442</v>
      </c>
      <c r="BT8" s="91" t="s">
        <v>440</v>
      </c>
      <c r="BU8" s="82" t="s">
        <v>441</v>
      </c>
      <c r="BV8" s="83" t="s">
        <v>442</v>
      </c>
      <c r="BW8" s="81" t="s">
        <v>440</v>
      </c>
      <c r="BX8" s="82" t="s">
        <v>441</v>
      </c>
      <c r="BY8" s="83" t="s">
        <v>442</v>
      </c>
      <c r="BZ8" s="81" t="s">
        <v>440</v>
      </c>
      <c r="CA8" s="82" t="s">
        <v>441</v>
      </c>
      <c r="CB8" s="90" t="s">
        <v>442</v>
      </c>
      <c r="CC8" s="81" t="s">
        <v>440</v>
      </c>
      <c r="CD8" s="82" t="s">
        <v>441</v>
      </c>
      <c r="CE8" s="83" t="s">
        <v>442</v>
      </c>
      <c r="CF8" s="92" t="s">
        <v>440</v>
      </c>
      <c r="CG8" s="82" t="s">
        <v>441</v>
      </c>
      <c r="CH8" s="90" t="s">
        <v>442</v>
      </c>
      <c r="CI8" s="81" t="s">
        <v>440</v>
      </c>
      <c r="CJ8" s="82" t="s">
        <v>441</v>
      </c>
      <c r="CK8" s="90" t="s">
        <v>442</v>
      </c>
      <c r="CL8" s="81" t="s">
        <v>440</v>
      </c>
      <c r="CM8" s="82" t="s">
        <v>441</v>
      </c>
      <c r="CN8" s="83" t="s">
        <v>442</v>
      </c>
      <c r="CO8" s="81" t="s">
        <v>440</v>
      </c>
      <c r="CP8" s="82" t="s">
        <v>441</v>
      </c>
      <c r="CQ8" s="83" t="s">
        <v>442</v>
      </c>
      <c r="CR8" s="81" t="s">
        <v>440</v>
      </c>
      <c r="CS8" s="82" t="s">
        <v>441</v>
      </c>
      <c r="CT8" s="83" t="s">
        <v>442</v>
      </c>
      <c r="CU8" s="89" t="s">
        <v>984</v>
      </c>
      <c r="CV8" s="106" t="s">
        <v>441</v>
      </c>
      <c r="CW8" s="88" t="s">
        <v>442</v>
      </c>
      <c r="CX8" s="66" t="s">
        <v>985</v>
      </c>
      <c r="CY8" s="110" t="s">
        <v>441</v>
      </c>
      <c r="CZ8" s="111" t="s">
        <v>442</v>
      </c>
      <c r="DA8" s="998"/>
      <c r="DB8" s="2"/>
      <c r="DC8" s="390" t="s">
        <v>1036</v>
      </c>
      <c r="DD8" s="390" t="s">
        <v>1037</v>
      </c>
      <c r="DE8" s="1001"/>
      <c r="DF8" s="1003"/>
      <c r="DG8" s="987"/>
      <c r="DH8" s="995"/>
      <c r="DI8" s="491" t="s">
        <v>1028</v>
      </c>
      <c r="DJ8" s="984"/>
      <c r="DK8" s="984"/>
      <c r="DL8" s="984"/>
      <c r="DM8" s="302" t="s">
        <v>1032</v>
      </c>
      <c r="DN8" s="302" t="s">
        <v>1033</v>
      </c>
      <c r="DQ8" s="313"/>
      <c r="DR8" s="317"/>
      <c r="DT8" s="404"/>
      <c r="DU8" s="5"/>
      <c r="DX8" s="403" t="s">
        <v>1058</v>
      </c>
      <c r="DY8" s="403" t="s">
        <v>1058</v>
      </c>
      <c r="DZ8" s="538" t="s">
        <v>1059</v>
      </c>
    </row>
    <row r="9" spans="1:130" ht="14.1" customHeight="1" x14ac:dyDescent="0.3">
      <c r="A9" s="325">
        <v>150001053</v>
      </c>
      <c r="B9" s="41" t="s">
        <v>458</v>
      </c>
      <c r="C9" s="76" t="s">
        <v>147</v>
      </c>
      <c r="D9" s="76"/>
      <c r="E9" s="293">
        <f t="shared" ref="E9:E70" si="23">F9+H9</f>
        <v>372.8</v>
      </c>
      <c r="F9" s="304">
        <f>'[3]побудинковий звіт'!F9</f>
        <v>372.8</v>
      </c>
      <c r="G9" s="511">
        <f>'[3]побудинковий звіт'!G9</f>
        <v>0</v>
      </c>
      <c r="H9" s="559">
        <f>'[3]побудинковий звіт'!H9</f>
        <v>0</v>
      </c>
      <c r="I9" s="566">
        <f>VLOOKUP($A9,'01-02.2021'!$A$6:$CZ$403,9,FALSE)+VLOOKUP($A9,'1.3.21-28.2.22'!$A$6:$DA$404,9,FALSE)-VLOOKUP($A9,'01-02.2022'!$A$6:$DA$376,9,FALSE)</f>
        <v>1964.6105056815845</v>
      </c>
      <c r="J9" s="566">
        <f>VLOOKUP($A9,'01-02.2021'!$A$6:$CZ$403,10,FALSE)+VLOOKUP($A9,'1.3.21-28.2.22'!$A$6:$DA$404,10,FALSE)-VLOOKUP($A9,'01-02.2022'!$A$6:$DA$376,10,FALSE)</f>
        <v>1887.7681113696158</v>
      </c>
      <c r="K9" s="512">
        <f>J9-I9</f>
        <v>-76.842394311968746</v>
      </c>
      <c r="L9" s="566">
        <f>VLOOKUP($A9,'01-02.2021'!$A$6:$CZ$403,12,FALSE)+VLOOKUP($A9,'1.3.21-28.2.22'!$A$6:$DA$404,12,FALSE)-VLOOKUP($A9,'01-02.2022'!$A$6:$DA$376,12,FALSE)</f>
        <v>332.94757927279477</v>
      </c>
      <c r="M9" s="566">
        <f>VLOOKUP($A9,'01-02.2021'!$A$6:$CZ$403,13,FALSE)+VLOOKUP($A9,'1.3.21-28.2.22'!$A$6:$DA$404,13,FALSE)-VLOOKUP($A9,'01-02.2022'!$A$6:$DA$376,13,FALSE)</f>
        <v>332.44896403605969</v>
      </c>
      <c r="N9" s="70">
        <f>M9-L9</f>
        <v>-0.49861523673507691</v>
      </c>
      <c r="O9" s="566">
        <f>VLOOKUP($A9,'01-02.2021'!$A$6:$CZ$403,15,FALSE)+VLOOKUP($A9,'1.3.21-28.2.22'!$A$6:$DA$404,15,FALSE)-VLOOKUP($A9,'01-02.2022'!$A$6:$DA$376,15,FALSE)</f>
        <v>609.29831331787489</v>
      </c>
      <c r="P9" s="566">
        <f>VLOOKUP($A9,'01-02.2021'!$A$6:$CZ$403,16,FALSE)+VLOOKUP($A9,'1.3.21-28.2.22'!$A$6:$DA$404,16,FALSE)-VLOOKUP($A9,'01-02.2022'!$A$6:$DA$376,16,FALSE)</f>
        <v>609.2299999999999</v>
      </c>
      <c r="Q9" s="70">
        <f>P9-O9</f>
        <v>-6.8313317874981294E-2</v>
      </c>
      <c r="R9" s="566">
        <f>VLOOKUP($A9,'01-02.2021'!$A$6:$CZ$403,18,FALSE)+VLOOKUP($A9,'1.3.21-28.2.22'!$A$6:$DA$404,18,FALSE)-VLOOKUP($A9,'01-02.2022'!$A$6:$DA$376,18,FALSE)</f>
        <v>0</v>
      </c>
      <c r="S9" s="566">
        <f>VLOOKUP($A9,'01-02.2021'!$A$6:$CZ$403,19,FALSE)+VLOOKUP($A9,'1.3.21-28.2.22'!$A$6:$DA$404,19,FALSE)-VLOOKUP($A9,'01-02.2022'!$A$6:$DA$376,19,FALSE)</f>
        <v>0</v>
      </c>
      <c r="T9" s="70">
        <f>S9-R9</f>
        <v>0</v>
      </c>
      <c r="U9" s="566">
        <f>VLOOKUP($A9,'01-02.2021'!$A$6:$CZ$403,21,FALSE)+VLOOKUP($A9,'1.3.21-28.2.22'!$A$6:$DA$404,21,FALSE)-VLOOKUP($A9,'01-02.2022'!$A$6:$DA$376,21,FALSE)</f>
        <v>0</v>
      </c>
      <c r="V9" s="566">
        <f>VLOOKUP($A9,'01-02.2021'!$A$6:$CZ$403,22,FALSE)+VLOOKUP($A9,'1.3.21-28.2.22'!$A$6:$DA$404,22,FALSE)-VLOOKUP($A9,'01-02.2022'!$A$6:$DA$376,22,FALSE)</f>
        <v>0</v>
      </c>
      <c r="W9" s="70">
        <f>V9-U9</f>
        <v>0</v>
      </c>
      <c r="X9" s="566">
        <f>VLOOKUP($A9,'01-02.2021'!$A$6:$CZ$403,24,FALSE)+VLOOKUP($A9,'1.3.21-28.2.22'!$A$6:$DA$404,24,FALSE)-VLOOKUP($A9,'01-02.2022'!$A$6:$DA$376,24,FALSE)</f>
        <v>383.42143994862965</v>
      </c>
      <c r="Y9" s="566">
        <f>VLOOKUP($A9,'01-02.2021'!$A$6:$CZ$403,25,FALSE)+VLOOKUP($A9,'1.3.21-28.2.22'!$A$6:$DA$404,25,FALSE)-VLOOKUP($A9,'01-02.2022'!$A$6:$DA$376,25,FALSE)</f>
        <v>254.74784630315554</v>
      </c>
      <c r="Z9" s="70">
        <f>Y9-X9</f>
        <v>-128.67359364547411</v>
      </c>
      <c r="AA9" s="566">
        <f>VLOOKUP($A9,'01-02.2021'!$A$6:$CZ$403,27,FALSE)+VLOOKUP($A9,'1.3.21-28.2.22'!$A$6:$DA$404,27,FALSE)-VLOOKUP($A9,'01-02.2022'!$A$6:$DA$376,27,FALSE)</f>
        <v>74.56</v>
      </c>
      <c r="AB9" s="566">
        <f>VLOOKUP($A9,'01-02.2021'!$A$6:$CZ$403,28,FALSE)+VLOOKUP($A9,'1.3.21-28.2.22'!$A$6:$DA$404,28,FALSE)-VLOOKUP($A9,'01-02.2022'!$A$6:$DA$376,28,FALSE)</f>
        <v>0</v>
      </c>
      <c r="AC9" s="70">
        <f>AB9-AA9</f>
        <v>-74.56</v>
      </c>
      <c r="AD9" s="566">
        <f>VLOOKUP($A9,'01-02.2021'!$A$6:$CZ$403,30,FALSE)+VLOOKUP($A9,'1.3.21-28.2.22'!$A$6:$DA$404,30,FALSE)-VLOOKUP($A9,'01-02.2022'!$A$6:$DA$376,30,FALSE)</f>
        <v>1601.2703104504317</v>
      </c>
      <c r="AE9" s="566">
        <f>VLOOKUP($A9,'01-02.2021'!$A$6:$CZ$403,31,FALSE)+VLOOKUP($A9,'1.3.21-28.2.22'!$A$6:$DA$404,31,FALSE)-VLOOKUP($A9,'01-02.2022'!$A$6:$DA$376,31,FALSE)</f>
        <v>1697.0006209509329</v>
      </c>
      <c r="AF9" s="68">
        <f>AE9-AD9</f>
        <v>95.730310500501218</v>
      </c>
      <c r="AG9" s="77">
        <f t="shared" ref="AG9:AH70" si="24">I9+L9+O9+R9+U9+X9+AA9+AD9</f>
        <v>4966.1081486713156</v>
      </c>
      <c r="AH9" s="53">
        <f t="shared" si="24"/>
        <v>4781.1955426597642</v>
      </c>
      <c r="AI9" s="70">
        <f>AH9-AG9</f>
        <v>-184.91260601155136</v>
      </c>
      <c r="AJ9" s="566">
        <f>VLOOKUP($A9,'01-02.2021'!$A$6:$CZ$403,36,FALSE)+VLOOKUP($A9,'1.3.21-28.2.22'!$A$6:$DA$404,36,FALSE)-VLOOKUP($A9,'01-02.2022'!$A$6:$DA$376,36,FALSE)</f>
        <v>0</v>
      </c>
      <c r="AK9" s="566">
        <f>VLOOKUP($A9,'01-02.2021'!$A$6:$CZ$403,37,FALSE)+VLOOKUP($A9,'1.3.21-28.2.22'!$A$6:$DA$404,37,FALSE)-VLOOKUP($A9,'01-02.2022'!$A$6:$DA$376,37,FALSE)</f>
        <v>0</v>
      </c>
      <c r="AL9" s="70">
        <f>AK9-AJ9</f>
        <v>0</v>
      </c>
      <c r="AM9" s="566">
        <f>VLOOKUP($A9,'01-02.2021'!$A$6:$CZ$403,39,FALSE)+VLOOKUP($A9,'1.3.21-28.2.22'!$A$6:$DA$404,39,FALSE)-VLOOKUP($A9,'01-02.2022'!$A$6:$DA$376,39,FALSE)</f>
        <v>0</v>
      </c>
      <c r="AN9" s="566">
        <f>VLOOKUP($A9,'01-02.2021'!$A$6:$CZ$403,40,FALSE)+VLOOKUP($A9,'1.3.21-28.2.22'!$A$6:$DA$404,40,FALSE)-VLOOKUP($A9,'01-02.2022'!$A$6:$DA$376,40,FALSE)</f>
        <v>0</v>
      </c>
      <c r="AO9" s="70">
        <f>AN9-AM9</f>
        <v>0</v>
      </c>
      <c r="AP9" s="566">
        <f>VLOOKUP($A9,'01-02.2021'!$A$6:$CZ$403,42,FALSE)+VLOOKUP($A9,'1.3.21-28.2.22'!$A$6:$DA$404,42,FALSE)-VLOOKUP($A9,'01-02.2022'!$A$6:$DA$376,42,FALSE)</f>
        <v>1388.1598000340728</v>
      </c>
      <c r="AQ9" s="566">
        <f>VLOOKUP($A9,'01-02.2021'!$A$6:$CZ$403,43,FALSE)+VLOOKUP($A9,'1.3.21-28.2.22'!$A$6:$DA$404,43,FALSE)-VLOOKUP($A9,'01-02.2022'!$A$6:$DA$376,43,FALSE)</f>
        <v>1063.1234441560705</v>
      </c>
      <c r="AR9" s="70">
        <f>AQ9-AP9</f>
        <v>-325.03635587800227</v>
      </c>
      <c r="AS9" s="566">
        <f>VLOOKUP($A9,'01-02.2021'!$A$6:$CZ$403,45,FALSE)+VLOOKUP($A9,'1.3.21-28.2.22'!$A$6:$DA$404,45,FALSE)-VLOOKUP($A9,'01-02.2022'!$A$6:$DA$376,45,FALSE)</f>
        <v>5498.4559129675199</v>
      </c>
      <c r="AT9" s="566">
        <f>VLOOKUP($A9,'01-02.2021'!$A$6:$CZ$403,46,FALSE)+VLOOKUP($A9,'1.3.21-28.2.22'!$A$6:$DA$404,46,FALSE)-VLOOKUP($A9,'01-02.2022'!$A$6:$DA$376,46,FALSE)</f>
        <v>27013.370000000003</v>
      </c>
      <c r="AU9" s="78">
        <f>AT9-AS9</f>
        <v>21514.914087032485</v>
      </c>
      <c r="AV9" s="566">
        <f>VLOOKUP($A9,'01-02.2021'!$A$6:$CZ$403,48,FALSE)+VLOOKUP($A9,'1.3.21-28.2.22'!$A$6:$DA$404,48,FALSE)-VLOOKUP($A9,'01-02.2022'!$A$6:$DA$376,48,FALSE)</f>
        <v>599.04671440051516</v>
      </c>
      <c r="AW9" s="566">
        <f>VLOOKUP($A9,'01-02.2021'!$A$6:$CZ$403,49,FALSE)+VLOOKUP($A9,'1.3.21-28.2.22'!$A$6:$DA$404,49,FALSE)-VLOOKUP($A9,'01-02.2022'!$A$6:$DA$376,49,FALSE)</f>
        <v>0</v>
      </c>
      <c r="AX9" s="55">
        <f>AW9-AV9</f>
        <v>-599.04671440051516</v>
      </c>
      <c r="AY9" s="566">
        <f>VLOOKUP($A9,'01-02.2021'!$A$6:$CZ$403,51,FALSE)+VLOOKUP($A9,'1.3.21-28.2.22'!$A$6:$DA$404,51,FALSE)-VLOOKUP($A9,'01-02.2022'!$A$6:$DA$376,51,FALSE)</f>
        <v>626.09717803828948</v>
      </c>
      <c r="AZ9" s="566">
        <f>VLOOKUP($A9,'01-02.2021'!$A$6:$CZ$403,52,FALSE)+VLOOKUP($A9,'1.3.21-28.2.22'!$A$6:$DA$404,52,FALSE)-VLOOKUP($A9,'01-02.2022'!$A$6:$DA$376,52,FALSE)</f>
        <v>0</v>
      </c>
      <c r="BA9" s="38">
        <f>AZ9-AY9</f>
        <v>-626.09717803828948</v>
      </c>
      <c r="BB9" s="566">
        <f>VLOOKUP($A9,'01-02.2021'!$A$6:$CZ$403,54,FALSE)+VLOOKUP($A9,'1.3.21-28.2.22'!$A$6:$DA$404,54,FALSE)-VLOOKUP($A9,'01-02.2022'!$A$6:$DA$376,54,FALSE)</f>
        <v>220.76094710019595</v>
      </c>
      <c r="BC9" s="566">
        <f>VLOOKUP($A9,'01-02.2021'!$A$6:$CZ$403,55,FALSE)+VLOOKUP($A9,'1.3.21-28.2.22'!$A$6:$DA$404,55,FALSE)-VLOOKUP($A9,'01-02.2022'!$A$6:$DA$376,55,FALSE)</f>
        <v>633</v>
      </c>
      <c r="BD9" s="55">
        <f>BC9-BB9</f>
        <v>412.23905289980405</v>
      </c>
      <c r="BE9" s="566">
        <f>VLOOKUP($A9,'01-02.2021'!$A$6:$CZ$403,57,FALSE)+VLOOKUP($A9,'1.3.21-28.2.22'!$A$6:$DA$404,57,FALSE)-VLOOKUP($A9,'01-02.2022'!$A$6:$DA$376,57,FALSE)</f>
        <v>0</v>
      </c>
      <c r="BF9" s="566">
        <f>VLOOKUP($A9,'01-02.2021'!$A$6:$CZ$403,58,FALSE)+VLOOKUP($A9,'1.3.21-28.2.22'!$A$6:$DA$404,58,FALSE)-VLOOKUP($A9,'01-02.2022'!$A$6:$DA$376,58,FALSE)</f>
        <v>0</v>
      </c>
      <c r="BG9" s="55">
        <f>BF9-BE9</f>
        <v>0</v>
      </c>
      <c r="BH9" s="566">
        <f>VLOOKUP($A9,'01-02.2021'!$A$6:$CZ$403,60,FALSE)+VLOOKUP($A9,'1.3.21-28.2.22'!$A$6:$DA$404,60,FALSE)-VLOOKUP($A9,'01-02.2022'!$A$6:$DA$376,60,FALSE)</f>
        <v>0</v>
      </c>
      <c r="BI9" s="566">
        <f>VLOOKUP($A9,'01-02.2021'!$A$6:$CZ$403,61,FALSE)+VLOOKUP($A9,'1.3.21-28.2.22'!$A$6:$DA$404,61,FALSE)-VLOOKUP($A9,'01-02.2022'!$A$6:$DA$376,61,FALSE)</f>
        <v>0</v>
      </c>
      <c r="BJ9" s="55">
        <f>BI9-BH9</f>
        <v>0</v>
      </c>
      <c r="BK9" s="566">
        <f>VLOOKUP($A9,'01-02.2021'!$A$6:$CZ$403,63,FALSE)+VLOOKUP($A9,'1.3.21-28.2.22'!$A$6:$DA$404,63,FALSE)-VLOOKUP($A9,'01-02.2022'!$A$6:$DA$376,63,FALSE)</f>
        <v>139.1595283227644</v>
      </c>
      <c r="BL9" s="566">
        <f>VLOOKUP($A9,'01-02.2021'!$A$6:$CZ$403,64,FALSE)+VLOOKUP($A9,'1.3.21-28.2.22'!$A$6:$DA$404,64,FALSE)-VLOOKUP($A9,'01-02.2022'!$A$6:$DA$376,64,FALSE)</f>
        <v>0</v>
      </c>
      <c r="BM9" s="55">
        <f>BL9-BK9</f>
        <v>-139.1595283227644</v>
      </c>
      <c r="BN9" s="566">
        <f>VLOOKUP($A9,'01-02.2021'!$A$6:$CZ$403,66,FALSE)+VLOOKUP($A9,'1.3.21-28.2.22'!$A$6:$DA$404,66,FALSE)-VLOOKUP($A9,'01-02.2022'!$A$6:$DA$376,66,FALSE)</f>
        <v>18.64</v>
      </c>
      <c r="BO9" s="566">
        <f>VLOOKUP($A9,'01-02.2021'!$A$6:$CZ$403,67,FALSE)+VLOOKUP($A9,'1.3.21-28.2.22'!$A$6:$DA$404,67,FALSE)-VLOOKUP($A9,'01-02.2022'!$A$6:$DA$376,67,FALSE)</f>
        <v>0</v>
      </c>
      <c r="BP9" s="55">
        <f>BO9-BN9</f>
        <v>-18.64</v>
      </c>
      <c r="BQ9" s="77">
        <f t="shared" ref="BQ9:BQ38" si="25">AV9+AY9+BB9+BE9+BH9+BK9+BN9</f>
        <v>1603.7043678617649</v>
      </c>
      <c r="BR9" s="40">
        <f t="shared" ref="BR9:BR38" si="26">AW9+AZ9+BC9+BF9+BI9+BL9+BO9</f>
        <v>633</v>
      </c>
      <c r="BS9" s="55">
        <f>BR9-BQ9</f>
        <v>-970.70436786176492</v>
      </c>
      <c r="BT9" s="566">
        <f>VLOOKUP($A9,'01-02.2021'!$A$6:$CZ$403,72,FALSE)+VLOOKUP($A9,'1.3.21-28.2.22'!$A$6:$DA$404,72,FALSE)-VLOOKUP($A9,'01-02.2022'!$A$6:$DA$376,72,FALSE)</f>
        <v>3271.1628191377258</v>
      </c>
      <c r="BU9" s="566">
        <f>VLOOKUP($A9,'01-02.2021'!$A$6:$CZ$403,73,FALSE)+VLOOKUP($A9,'1.3.21-28.2.22'!$A$6:$DA$404,73,FALSE)-VLOOKUP($A9,'01-02.2022'!$A$6:$DA$376,73,FALSE)</f>
        <v>3492.7911173156144</v>
      </c>
      <c r="BV9" s="70">
        <f>BU9-BT9</f>
        <v>221.62829817788861</v>
      </c>
      <c r="BW9" s="566">
        <f>VLOOKUP($A9,'01-02.2021'!$A$6:$CZ$403,75,FALSE)+VLOOKUP($A9,'1.3.21-28.2.22'!$A$6:$DA$404,75,FALSE)-VLOOKUP($A9,'01-02.2022'!$A$6:$DA$376,75,FALSE)</f>
        <v>1727.3707831018069</v>
      </c>
      <c r="BX9" s="566">
        <f>VLOOKUP($A9,'01-02.2021'!$A$6:$CZ$403,76,FALSE)+VLOOKUP($A9,'1.3.21-28.2.22'!$A$6:$DA$404,76,FALSE)-VLOOKUP($A9,'01-02.2022'!$A$6:$DA$376,76,FALSE)</f>
        <v>2651.7680193299234</v>
      </c>
      <c r="BY9" s="70">
        <f>BX9-BW9</f>
        <v>924.39723622811653</v>
      </c>
      <c r="BZ9" s="566">
        <f>VLOOKUP($A9,'01-02.2021'!$A$6:$CZ$403,78,FALSE)+VLOOKUP($A9,'1.3.21-28.2.22'!$A$6:$DA$404,78,FALSE)-VLOOKUP($A9,'01-02.2022'!$A$6:$DA$376,78,FALSE)</f>
        <v>676.57794990866762</v>
      </c>
      <c r="CA9" s="566">
        <f>VLOOKUP($A9,'01-02.2021'!$A$6:$CZ$403,79,FALSE)+VLOOKUP($A9,'1.3.21-28.2.22'!$A$6:$DA$404,79,FALSE)-VLOOKUP($A9,'01-02.2022'!$A$6:$DA$376,79,FALSE)</f>
        <v>949.79839146290919</v>
      </c>
      <c r="CB9" s="70">
        <f>CA9-BZ9</f>
        <v>273.22044155424157</v>
      </c>
      <c r="CC9" s="566">
        <f>VLOOKUP($A9,'01-02.2021'!$A$6:$CZ$403,81,FALSE)+VLOOKUP($A9,'1.3.21-28.2.22'!$A$6:$DA$404,81,FALSE)-VLOOKUP($A9,'01-02.2022'!$A$6:$DA$376,81,FALSE)</f>
        <v>0</v>
      </c>
      <c r="CD9" s="566">
        <f>VLOOKUP($A9,'01-02.2021'!$A$6:$CZ$403,82,FALSE)+VLOOKUP($A9,'1.3.21-28.2.22'!$A$6:$DA$404,82,FALSE)-VLOOKUP($A9,'01-02.2022'!$A$6:$DA$376,82,FALSE)</f>
        <v>0</v>
      </c>
      <c r="CE9" s="70">
        <f>CD9-CC9</f>
        <v>0</v>
      </c>
      <c r="CF9" s="566">
        <f>VLOOKUP($A9,'01-02.2021'!$A$6:$CZ$403,84,FALSE)+VLOOKUP($A9,'1.3.21-28.2.22'!$A$6:$DA$404,84,FALSE)-VLOOKUP($A9,'01-02.2022'!$A$6:$DA$376,84,FALSE)</f>
        <v>0</v>
      </c>
      <c r="CG9" s="566">
        <f>VLOOKUP($A9,'01-02.2021'!$A$6:$CZ$403,85,FALSE)+VLOOKUP($A9,'1.3.21-28.2.22'!$A$6:$DA$404,85,FALSE)-VLOOKUP($A9,'01-02.2022'!$A$6:$DA$376,85,FALSE)</f>
        <v>0</v>
      </c>
      <c r="CH9" s="70">
        <f>CG9-CF9</f>
        <v>0</v>
      </c>
      <c r="CI9" s="566">
        <f>VLOOKUP($A9,'01-02.2021'!$A$6:$CZ$403,87,FALSE)+VLOOKUP($A9,'1.3.21-28.2.22'!$A$6:$DA$404,87,FALSE)-VLOOKUP($A9,'01-02.2022'!$A$6:$DA$376,87,FALSE)</f>
        <v>0</v>
      </c>
      <c r="CJ9" s="566">
        <f>VLOOKUP($A9,'01-02.2021'!$A$6:$CZ$403,88,FALSE)+VLOOKUP($A9,'1.3.21-28.2.22'!$A$6:$DA$404,88,FALSE)-VLOOKUP($A9,'01-02.2022'!$A$6:$DA$376,88,FALSE)</f>
        <v>0</v>
      </c>
      <c r="CK9" s="70">
        <f>CJ9-CI9</f>
        <v>0</v>
      </c>
      <c r="CL9" s="566">
        <f>VLOOKUP($A9,'01-02.2021'!$A$6:$CZ$403,90,FALSE)+VLOOKUP($A9,'1.3.21-28.2.22'!$A$6:$DA$404,90,FALSE)-VLOOKUP($A9,'01-02.2022'!$A$6:$DA$376,90,FALSE)</f>
        <v>0</v>
      </c>
      <c r="CM9" s="566">
        <f>VLOOKUP($A9,'01-02.2021'!$A$6:$CZ$403,91,FALSE)+VLOOKUP($A9,'1.3.21-28.2.22'!$A$6:$DA$404,91,FALSE)-VLOOKUP($A9,'01-02.2022'!$A$6:$DA$376,91,FALSE)</f>
        <v>0</v>
      </c>
      <c r="CN9" s="70">
        <f>CM9-CL9</f>
        <v>0</v>
      </c>
      <c r="CO9" s="39">
        <f t="shared" ref="CO9:CO70" si="27">CI9+CL9</f>
        <v>0</v>
      </c>
      <c r="CP9" s="40">
        <f>CJ9+CM9</f>
        <v>0</v>
      </c>
      <c r="CQ9" s="70">
        <f>CP9-CO9</f>
        <v>0</v>
      </c>
      <c r="CR9" s="73">
        <f t="shared" ref="CR9:CS70" si="28">AG9+AJ9+AM9+AP9+AS9+BQ9+BT9+BW9+BZ9+CC9+CF9+CO9</f>
        <v>19131.539781682874</v>
      </c>
      <c r="CS9" s="40">
        <f t="shared" si="28"/>
        <v>40585.046514924288</v>
      </c>
      <c r="CT9" s="70">
        <f>CS9-CR9</f>
        <v>21453.506733241415</v>
      </c>
      <c r="CU9" s="77">
        <f>CR9*1.2</f>
        <v>22957.847738019449</v>
      </c>
      <c r="CV9" s="65">
        <f>CS9*1.2</f>
        <v>48702.055817909146</v>
      </c>
      <c r="CW9" s="68">
        <f>CV9-CU9</f>
        <v>25744.208079889697</v>
      </c>
      <c r="CX9" s="566">
        <f>VLOOKUP($A9,'01-02.2021'!$A$6:$CZ$403,102,FALSE)+VLOOKUP($A9,'1.3.21-28.2.22'!$A$6:$DA$404,102,FALSE)-VLOOKUP($A9,'01-02.2022'!$A$6:$DA$376,102,FALSE)</f>
        <v>424.94289219418465</v>
      </c>
      <c r="CY9" s="566">
        <f>VLOOKUP($A9,'01-02.2021'!$A$6:$CZ$403,103,FALSE)+VLOOKUP($A9,'1.3.21-28.2.22'!$A$6:$DA$404,103,FALSE)-VLOOKUP($A9,'01-02.2022'!$A$6:$DA$376,103,FALSE)</f>
        <v>-25319.265187695499</v>
      </c>
      <c r="CZ9" s="55">
        <f>CY9-CX9</f>
        <v>-25744.208079889682</v>
      </c>
      <c r="DA9" s="150">
        <f>'[2]побудинковий звіт'!DA9</f>
        <v>19257.513042652627</v>
      </c>
      <c r="DB9" s="2">
        <v>3</v>
      </c>
      <c r="DC9" s="414">
        <f>'[4]побудинковий звіт'!DC9</f>
        <v>2125.1999999999998</v>
      </c>
      <c r="DD9" s="414">
        <f>'[4]побудинковий звіт'!DD9</f>
        <v>0</v>
      </c>
      <c r="DE9" s="557">
        <f>'[4]побудинковий звіт'!DE9</f>
        <v>2.2873703586810734E-2</v>
      </c>
      <c r="DF9" s="557">
        <f>'[4]побудинковий звіт'!DF9</f>
        <v>0</v>
      </c>
      <c r="DG9" s="321">
        <f>VLOOKUP(A9,'кошти 01.03.2021'!$A$6:$D$401,4,)</f>
        <v>-5837.1779211367793</v>
      </c>
      <c r="DH9" s="40">
        <f>'[3]побудинковий звіт'!DJ9</f>
        <v>24218.184886523763</v>
      </c>
      <c r="DI9" s="422">
        <f>'[3]побудинковий звіт'!CU9+'[3]побудинковий звіт'!CX9</f>
        <v>2125.1771262964135</v>
      </c>
      <c r="DJ9" s="306">
        <f>'[3]побудинковий звіт'!DM9</f>
        <v>5.7005824203229967</v>
      </c>
      <c r="DK9" s="306">
        <f>DJ9</f>
        <v>5.7005824203229967</v>
      </c>
      <c r="DL9" s="306">
        <f>'[3]побудинковий звіт'!DO9</f>
        <v>5.1294110528349899</v>
      </c>
      <c r="DM9" s="28">
        <f>F9*DJ9</f>
        <v>2125.177126296413</v>
      </c>
      <c r="DN9" s="28">
        <f>H9*DL9</f>
        <v>0</v>
      </c>
      <c r="DO9" s="423">
        <f t="shared" ref="DO9:DO71" si="29">DM9+DN9</f>
        <v>2125.177126296413</v>
      </c>
      <c r="DP9" s="94">
        <f t="shared" ref="DP9:DP71" si="30">DI9-DO9</f>
        <v>0</v>
      </c>
      <c r="DQ9" s="28">
        <f t="shared" ref="DQ9:DQ71" si="31">DM9+DN9</f>
        <v>2125.177126296413</v>
      </c>
      <c r="DR9" s="318"/>
      <c r="DT9" s="8"/>
      <c r="DU9" s="5"/>
      <c r="DX9" s="5">
        <f t="shared" ref="DX9:DX71" si="32">(AS9+BQ9)*1.2</f>
        <v>8522.5923369951415</v>
      </c>
      <c r="DY9" s="5">
        <f t="shared" ref="DY9:DY71" si="33">(AT9+BR9)*1.2</f>
        <v>33175.644</v>
      </c>
      <c r="DZ9" s="159">
        <f>'[3]побудинковий звіт'!EA9</f>
        <v>768.62932443037528</v>
      </c>
    </row>
    <row r="10" spans="1:130" x14ac:dyDescent="0.3">
      <c r="A10" s="325">
        <v>150000753</v>
      </c>
      <c r="B10" s="41" t="s">
        <v>459</v>
      </c>
      <c r="C10" s="42" t="s">
        <v>240</v>
      </c>
      <c r="D10" s="42"/>
      <c r="E10" s="293">
        <f t="shared" si="23"/>
        <v>1840.7</v>
      </c>
      <c r="F10" s="305">
        <f>'[3]побудинковий звіт'!F10</f>
        <v>1840.7</v>
      </c>
      <c r="G10" s="508">
        <f>'[3]побудинковий звіт'!G10</f>
        <v>0</v>
      </c>
      <c r="H10" s="560">
        <f>'[3]побудинковий звіт'!H10</f>
        <v>0</v>
      </c>
      <c r="I10" s="566">
        <f>VLOOKUP($A10,'01-02.2021'!$A$6:$CZ$403,9,FALSE)+VLOOKUP($A10,'1.3.21-28.2.22'!$A$6:$DA$404,9,FALSE)-VLOOKUP($A10,'01-02.2022'!$A$6:$DA$376,9,FALSE)</f>
        <v>6570.2763908647221</v>
      </c>
      <c r="J10" s="566">
        <f>VLOOKUP($A10,'01-02.2021'!$A$6:$CZ$403,10,FALSE)+VLOOKUP($A10,'1.3.21-28.2.22'!$A$6:$DA$404,10,FALSE)-VLOOKUP($A10,'01-02.2022'!$A$6:$DA$376,10,FALSE)</f>
        <v>7192.6728669313961</v>
      </c>
      <c r="K10" s="52">
        <f t="shared" ref="K10:K71" si="34">J10-I10</f>
        <v>622.39647606667404</v>
      </c>
      <c r="L10" s="566">
        <f>VLOOKUP($A10,'01-02.2021'!$A$6:$CZ$403,12,FALSE)+VLOOKUP($A10,'1.3.21-28.2.22'!$A$6:$DA$404,12,FALSE)-VLOOKUP($A10,'01-02.2022'!$A$6:$DA$376,12,FALSE)</f>
        <v>1616.1835751915514</v>
      </c>
      <c r="M10" s="566">
        <f>VLOOKUP($A10,'01-02.2021'!$A$6:$CZ$403,13,FALSE)+VLOOKUP($A10,'1.3.21-28.2.22'!$A$6:$DA$404,13,FALSE)-VLOOKUP($A10,'01-02.2022'!$A$6:$DA$376,13,FALSE)</f>
        <v>1779.4795153803116</v>
      </c>
      <c r="N10" s="52">
        <f t="shared" ref="N10:N71" si="35">M10-L10</f>
        <v>163.29594018876014</v>
      </c>
      <c r="O10" s="566">
        <f>VLOOKUP($A10,'01-02.2021'!$A$6:$CZ$403,15,FALSE)+VLOOKUP($A10,'1.3.21-28.2.22'!$A$6:$DA$404,15,FALSE)-VLOOKUP($A10,'01-02.2022'!$A$6:$DA$376,15,FALSE)</f>
        <v>2229.0580564190495</v>
      </c>
      <c r="P10" s="566">
        <f>VLOOKUP($A10,'01-02.2021'!$A$6:$CZ$403,16,FALSE)+VLOOKUP($A10,'1.3.21-28.2.22'!$A$6:$DA$404,16,FALSE)-VLOOKUP($A10,'01-02.2022'!$A$6:$DA$376,16,FALSE)</f>
        <v>2229.0766666666677</v>
      </c>
      <c r="Q10" s="70">
        <f t="shared" ref="Q10:Q73" si="36">P10-O10</f>
        <v>1.8610247618198628E-2</v>
      </c>
      <c r="R10" s="566">
        <f>VLOOKUP($A10,'01-02.2021'!$A$6:$CZ$403,18,FALSE)+VLOOKUP($A10,'1.3.21-28.2.22'!$A$6:$DA$404,18,FALSE)-VLOOKUP($A10,'01-02.2022'!$A$6:$DA$376,18,FALSE)</f>
        <v>0</v>
      </c>
      <c r="S10" s="566">
        <f>VLOOKUP($A10,'01-02.2021'!$A$6:$CZ$403,19,FALSE)+VLOOKUP($A10,'1.3.21-28.2.22'!$A$6:$DA$404,19,FALSE)-VLOOKUP($A10,'01-02.2022'!$A$6:$DA$376,19,FALSE)</f>
        <v>0</v>
      </c>
      <c r="T10" s="70">
        <f t="shared" ref="T10:T73" si="37">S10-R10</f>
        <v>0</v>
      </c>
      <c r="U10" s="566">
        <f>VLOOKUP($A10,'01-02.2021'!$A$6:$CZ$403,21,FALSE)+VLOOKUP($A10,'1.3.21-28.2.22'!$A$6:$DA$404,21,FALSE)-VLOOKUP($A10,'01-02.2022'!$A$6:$DA$376,21,FALSE)</f>
        <v>0</v>
      </c>
      <c r="V10" s="566">
        <f>VLOOKUP($A10,'01-02.2021'!$A$6:$CZ$403,22,FALSE)+VLOOKUP($A10,'1.3.21-28.2.22'!$A$6:$DA$404,22,FALSE)-VLOOKUP($A10,'01-02.2022'!$A$6:$DA$376,22,FALSE)</f>
        <v>0</v>
      </c>
      <c r="W10" s="70">
        <f t="shared" ref="W10:W73" si="38">V10-U10</f>
        <v>0</v>
      </c>
      <c r="X10" s="566">
        <f>VLOOKUP($A10,'01-02.2021'!$A$6:$CZ$403,24,FALSE)+VLOOKUP($A10,'1.3.21-28.2.22'!$A$6:$DA$404,24,FALSE)-VLOOKUP($A10,'01-02.2022'!$A$6:$DA$376,24,FALSE)</f>
        <v>4095.7579928634332</v>
      </c>
      <c r="Y10" s="566">
        <f>VLOOKUP($A10,'01-02.2021'!$A$6:$CZ$403,25,FALSE)+VLOOKUP($A10,'1.3.21-28.2.22'!$A$6:$DA$404,25,FALSE)-VLOOKUP($A10,'01-02.2022'!$A$6:$DA$376,25,FALSE)</f>
        <v>3217.2372266065709</v>
      </c>
      <c r="Z10" s="70">
        <f t="shared" ref="Z10:Z73" si="39">Y10-X10</f>
        <v>-878.52076625686232</v>
      </c>
      <c r="AA10" s="566">
        <f>VLOOKUP($A10,'01-02.2021'!$A$6:$CZ$403,27,FALSE)+VLOOKUP($A10,'1.3.21-28.2.22'!$A$6:$DA$404,27,FALSE)-VLOOKUP($A10,'01-02.2022'!$A$6:$DA$376,27,FALSE)</f>
        <v>368.14</v>
      </c>
      <c r="AB10" s="566">
        <f>VLOOKUP($A10,'01-02.2021'!$A$6:$CZ$403,28,FALSE)+VLOOKUP($A10,'1.3.21-28.2.22'!$A$6:$DA$404,28,FALSE)-VLOOKUP($A10,'01-02.2022'!$A$6:$DA$376,28,FALSE)</f>
        <v>0</v>
      </c>
      <c r="AC10" s="70">
        <f t="shared" ref="AC10:AC73" si="40">AB10-AA10</f>
        <v>-368.14</v>
      </c>
      <c r="AD10" s="566">
        <f>VLOOKUP($A10,'01-02.2021'!$A$6:$CZ$403,30,FALSE)+VLOOKUP($A10,'1.3.21-28.2.22'!$A$6:$DA$404,30,FALSE)-VLOOKUP($A10,'01-02.2022'!$A$6:$DA$376,30,FALSE)</f>
        <v>7906.2854010905212</v>
      </c>
      <c r="AE10" s="566">
        <f>VLOOKUP($A10,'01-02.2021'!$A$6:$CZ$403,31,FALSE)+VLOOKUP($A10,'1.3.21-28.2.22'!$A$6:$DA$404,31,FALSE)-VLOOKUP($A10,'01-02.2022'!$A$6:$DA$376,31,FALSE)</f>
        <v>8378.9405659452295</v>
      </c>
      <c r="AF10" s="68">
        <f t="shared" ref="AF10:AF73" si="41">AE10-AD10</f>
        <v>472.65516485470835</v>
      </c>
      <c r="AG10" s="77">
        <f t="shared" si="24"/>
        <v>22785.701416429278</v>
      </c>
      <c r="AH10" s="53">
        <f t="shared" si="24"/>
        <v>22797.406841530174</v>
      </c>
      <c r="AI10" s="52">
        <f t="shared" ref="AI10:AI71" si="42">AH10-AG10</f>
        <v>11.705425100895809</v>
      </c>
      <c r="AJ10" s="566">
        <f>VLOOKUP($A10,'01-02.2021'!$A$6:$CZ$403,36,FALSE)+VLOOKUP($A10,'1.3.21-28.2.22'!$A$6:$DA$404,36,FALSE)-VLOOKUP($A10,'01-02.2022'!$A$6:$DA$376,36,FALSE)</f>
        <v>0</v>
      </c>
      <c r="AK10" s="566">
        <f>VLOOKUP($A10,'01-02.2021'!$A$6:$CZ$403,37,FALSE)+VLOOKUP($A10,'1.3.21-28.2.22'!$A$6:$DA$404,37,FALSE)-VLOOKUP($A10,'01-02.2022'!$A$6:$DA$376,37,FALSE)</f>
        <v>0</v>
      </c>
      <c r="AL10" s="70">
        <f t="shared" ref="AL10:AL73" si="43">AK10-AJ10</f>
        <v>0</v>
      </c>
      <c r="AM10" s="566">
        <f>VLOOKUP($A10,'01-02.2021'!$A$6:$CZ$403,39,FALSE)+VLOOKUP($A10,'1.3.21-28.2.22'!$A$6:$DA$404,39,FALSE)-VLOOKUP($A10,'01-02.2022'!$A$6:$DA$376,39,FALSE)</f>
        <v>0</v>
      </c>
      <c r="AN10" s="566">
        <f>VLOOKUP($A10,'01-02.2021'!$A$6:$CZ$403,40,FALSE)+VLOOKUP($A10,'1.3.21-28.2.22'!$A$6:$DA$404,40,FALSE)-VLOOKUP($A10,'01-02.2022'!$A$6:$DA$376,40,FALSE)</f>
        <v>0</v>
      </c>
      <c r="AO10" s="70">
        <f t="shared" ref="AO10:AO73" si="44">AN10-AM10</f>
        <v>0</v>
      </c>
      <c r="AP10" s="566">
        <f>VLOOKUP($A10,'01-02.2021'!$A$6:$CZ$403,42,FALSE)+VLOOKUP($A10,'1.3.21-28.2.22'!$A$6:$DA$404,42,FALSE)-VLOOKUP($A10,'01-02.2022'!$A$6:$DA$376,42,FALSE)</f>
        <v>3904.1994375958316</v>
      </c>
      <c r="AQ10" s="566">
        <f>VLOOKUP($A10,'01-02.2021'!$A$6:$CZ$403,43,FALSE)+VLOOKUP($A10,'1.3.21-28.2.22'!$A$6:$DA$404,43,FALSE)-VLOOKUP($A10,'01-02.2022'!$A$6:$DA$376,43,FALSE)</f>
        <v>3410.5274243471986</v>
      </c>
      <c r="AR10" s="70">
        <f t="shared" ref="AR10:AR73" si="45">AQ10-AP10</f>
        <v>-493.67201324863299</v>
      </c>
      <c r="AS10" s="566">
        <f>VLOOKUP($A10,'01-02.2021'!$A$6:$CZ$403,45,FALSE)+VLOOKUP($A10,'1.3.21-28.2.22'!$A$6:$DA$404,45,FALSE)-VLOOKUP($A10,'01-02.2022'!$A$6:$DA$376,45,FALSE)</f>
        <v>21160.947844214938</v>
      </c>
      <c r="AT10" s="566">
        <f>VLOOKUP($A10,'01-02.2021'!$A$6:$CZ$403,46,FALSE)+VLOOKUP($A10,'1.3.21-28.2.22'!$A$6:$DA$404,46,FALSE)-VLOOKUP($A10,'01-02.2022'!$A$6:$DA$376,46,FALSE)</f>
        <v>480</v>
      </c>
      <c r="AU10" s="78">
        <f t="shared" ref="AU10:AU73" si="46">AT10-AS10</f>
        <v>-20680.947844214938</v>
      </c>
      <c r="AV10" s="566">
        <f>VLOOKUP($A10,'01-02.2021'!$A$6:$CZ$403,48,FALSE)+VLOOKUP($A10,'1.3.21-28.2.22'!$A$6:$DA$404,48,FALSE)-VLOOKUP($A10,'01-02.2022'!$A$6:$DA$376,48,FALSE)</f>
        <v>2002.9581208284346</v>
      </c>
      <c r="AW10" s="566">
        <f>VLOOKUP($A10,'01-02.2021'!$A$6:$CZ$403,49,FALSE)+VLOOKUP($A10,'1.3.21-28.2.22'!$A$6:$DA$404,49,FALSE)-VLOOKUP($A10,'01-02.2022'!$A$6:$DA$376,49,FALSE)</f>
        <v>3553</v>
      </c>
      <c r="AX10" s="55">
        <f t="shared" ref="AX10:AX73" si="47">AW10-AV10</f>
        <v>1550.0418791715654</v>
      </c>
      <c r="AY10" s="566">
        <f>VLOOKUP($A10,'01-02.2021'!$A$6:$CZ$403,51,FALSE)+VLOOKUP($A10,'1.3.21-28.2.22'!$A$6:$DA$404,51,FALSE)-VLOOKUP($A10,'01-02.2022'!$A$6:$DA$376,51,FALSE)</f>
        <v>3038.0941907547967</v>
      </c>
      <c r="AZ10" s="566">
        <f>VLOOKUP($A10,'01-02.2021'!$A$6:$CZ$403,52,FALSE)+VLOOKUP($A10,'1.3.21-28.2.22'!$A$6:$DA$404,52,FALSE)-VLOOKUP($A10,'01-02.2022'!$A$6:$DA$376,52,FALSE)</f>
        <v>33</v>
      </c>
      <c r="BA10" s="38">
        <f t="shared" ref="BA10:BA73" si="48">AZ10-AY10</f>
        <v>-3005.0941907547967</v>
      </c>
      <c r="BB10" s="566">
        <f>VLOOKUP($A10,'01-02.2021'!$A$6:$CZ$403,54,FALSE)+VLOOKUP($A10,'1.3.21-28.2.22'!$A$6:$DA$404,54,FALSE)-VLOOKUP($A10,'01-02.2022'!$A$6:$DA$376,54,FALSE)</f>
        <v>1161.1580019258429</v>
      </c>
      <c r="BC10" s="566">
        <f>VLOOKUP($A10,'01-02.2021'!$A$6:$CZ$403,55,FALSE)+VLOOKUP($A10,'1.3.21-28.2.22'!$A$6:$DA$404,55,FALSE)-VLOOKUP($A10,'01-02.2022'!$A$6:$DA$376,55,FALSE)</f>
        <v>0</v>
      </c>
      <c r="BD10" s="55">
        <f t="shared" ref="BD10:BD73" si="49">BC10-BB10</f>
        <v>-1161.1580019258429</v>
      </c>
      <c r="BE10" s="566">
        <f>VLOOKUP($A10,'01-02.2021'!$A$6:$CZ$403,57,FALSE)+VLOOKUP($A10,'1.3.21-28.2.22'!$A$6:$DA$404,57,FALSE)-VLOOKUP($A10,'01-02.2022'!$A$6:$DA$376,57,FALSE)</f>
        <v>0</v>
      </c>
      <c r="BF10" s="566">
        <f>VLOOKUP($A10,'01-02.2021'!$A$6:$CZ$403,58,FALSE)+VLOOKUP($A10,'1.3.21-28.2.22'!$A$6:$DA$404,58,FALSE)-VLOOKUP($A10,'01-02.2022'!$A$6:$DA$376,58,FALSE)</f>
        <v>0</v>
      </c>
      <c r="BG10" s="55">
        <f t="shared" ref="BG10:BG73" si="50">BF10-BE10</f>
        <v>0</v>
      </c>
      <c r="BH10" s="566">
        <f>VLOOKUP($A10,'01-02.2021'!$A$6:$CZ$403,60,FALSE)+VLOOKUP($A10,'1.3.21-28.2.22'!$A$6:$DA$404,60,FALSE)-VLOOKUP($A10,'01-02.2022'!$A$6:$DA$376,60,FALSE)</f>
        <v>0</v>
      </c>
      <c r="BI10" s="566">
        <f>VLOOKUP($A10,'01-02.2021'!$A$6:$CZ$403,61,FALSE)+VLOOKUP($A10,'1.3.21-28.2.22'!$A$6:$DA$404,61,FALSE)-VLOOKUP($A10,'01-02.2022'!$A$6:$DA$376,61,FALSE)</f>
        <v>0</v>
      </c>
      <c r="BJ10" s="55">
        <f t="shared" ref="BJ10:BJ73" si="51">BI10-BH10</f>
        <v>0</v>
      </c>
      <c r="BK10" s="566">
        <f>VLOOKUP($A10,'01-02.2021'!$A$6:$CZ$403,63,FALSE)+VLOOKUP($A10,'1.3.21-28.2.22'!$A$6:$DA$404,63,FALSE)-VLOOKUP($A10,'01-02.2022'!$A$6:$DA$376,63,FALSE)</f>
        <v>1137.1760963838651</v>
      </c>
      <c r="BL10" s="566">
        <f>VLOOKUP($A10,'01-02.2021'!$A$6:$CZ$403,64,FALSE)+VLOOKUP($A10,'1.3.21-28.2.22'!$A$6:$DA$404,64,FALSE)-VLOOKUP($A10,'01-02.2022'!$A$6:$DA$376,64,FALSE)</f>
        <v>0</v>
      </c>
      <c r="BM10" s="55">
        <f t="shared" ref="BM10:BM73" si="52">BL10-BK10</f>
        <v>-1137.1760963838651</v>
      </c>
      <c r="BN10" s="566">
        <f>VLOOKUP($A10,'01-02.2021'!$A$6:$CZ$403,66,FALSE)+VLOOKUP($A10,'1.3.21-28.2.22'!$A$6:$DA$404,66,FALSE)-VLOOKUP($A10,'01-02.2022'!$A$6:$DA$376,66,FALSE)</f>
        <v>353.03507150069345</v>
      </c>
      <c r="BO10" s="566">
        <f>VLOOKUP($A10,'01-02.2021'!$A$6:$CZ$403,67,FALSE)+VLOOKUP($A10,'1.3.21-28.2.22'!$A$6:$DA$404,67,FALSE)-VLOOKUP($A10,'01-02.2022'!$A$6:$DA$376,67,FALSE)</f>
        <v>0</v>
      </c>
      <c r="BP10" s="55">
        <f t="shared" ref="BP10:BP73" si="53">BO10-BN10</f>
        <v>-353.03507150069345</v>
      </c>
      <c r="BQ10" s="77">
        <f t="shared" si="25"/>
        <v>7692.4214813936323</v>
      </c>
      <c r="BR10" s="40">
        <f t="shared" si="26"/>
        <v>3586</v>
      </c>
      <c r="BS10" s="55">
        <f>BR10-BQ10</f>
        <v>-4106.4214813936323</v>
      </c>
      <c r="BT10" s="566">
        <f>VLOOKUP($A10,'01-02.2021'!$A$6:$CZ$403,72,FALSE)+VLOOKUP($A10,'1.3.21-28.2.22'!$A$6:$DA$404,72,FALSE)-VLOOKUP($A10,'01-02.2022'!$A$6:$DA$376,72,FALSE)</f>
        <v>13190.057656236695</v>
      </c>
      <c r="BU10" s="566">
        <f>VLOOKUP($A10,'01-02.2021'!$A$6:$CZ$403,73,FALSE)+VLOOKUP($A10,'1.3.21-28.2.22'!$A$6:$DA$404,73,FALSE)-VLOOKUP($A10,'01-02.2022'!$A$6:$DA$376,73,FALSE)</f>
        <v>19539.281765898872</v>
      </c>
      <c r="BV10" s="70">
        <f t="shared" ref="BV10:BV73" si="54">BU10-BT10</f>
        <v>6349.2241096621765</v>
      </c>
      <c r="BW10" s="566">
        <f>VLOOKUP($A10,'01-02.2021'!$A$6:$CZ$403,75,FALSE)+VLOOKUP($A10,'1.3.21-28.2.22'!$A$6:$DA$404,75,FALSE)-VLOOKUP($A10,'01-02.2022'!$A$6:$DA$376,75,FALSE)</f>
        <v>12269.823785311051</v>
      </c>
      <c r="BX10" s="566">
        <f>VLOOKUP($A10,'01-02.2021'!$A$6:$CZ$403,76,FALSE)+VLOOKUP($A10,'1.3.21-28.2.22'!$A$6:$DA$404,76,FALSE)-VLOOKUP($A10,'01-02.2022'!$A$6:$DA$376,76,FALSE)</f>
        <v>11958.899554762069</v>
      </c>
      <c r="BY10" s="70">
        <f t="shared" ref="BY10:BY73" si="55">BX10-BW10</f>
        <v>-310.92423054898245</v>
      </c>
      <c r="BZ10" s="566">
        <f>VLOOKUP($A10,'01-02.2021'!$A$6:$CZ$403,78,FALSE)+VLOOKUP($A10,'1.3.21-28.2.22'!$A$6:$DA$404,78,FALSE)-VLOOKUP($A10,'01-02.2022'!$A$6:$DA$376,78,FALSE)</f>
        <v>8605.8643699526128</v>
      </c>
      <c r="CA10" s="566">
        <f>VLOOKUP($A10,'01-02.2021'!$A$6:$CZ$403,79,FALSE)+VLOOKUP($A10,'1.3.21-28.2.22'!$A$6:$DA$404,79,FALSE)-VLOOKUP($A10,'01-02.2022'!$A$6:$DA$376,79,FALSE)</f>
        <v>4326.4942483729355</v>
      </c>
      <c r="CB10" s="70">
        <f t="shared" ref="CB10:CB73" si="56">CA10-BZ10</f>
        <v>-4279.3701215796773</v>
      </c>
      <c r="CC10" s="566">
        <f>VLOOKUP($A10,'01-02.2021'!$A$6:$CZ$403,81,FALSE)+VLOOKUP($A10,'1.3.21-28.2.22'!$A$6:$DA$404,81,FALSE)-VLOOKUP($A10,'01-02.2022'!$A$6:$DA$376,81,FALSE)</f>
        <v>1045.8645560356069</v>
      </c>
      <c r="CD10" s="566">
        <f>VLOOKUP($A10,'01-02.2021'!$A$6:$CZ$403,82,FALSE)+VLOOKUP($A10,'1.3.21-28.2.22'!$A$6:$DA$404,82,FALSE)-VLOOKUP($A10,'01-02.2022'!$A$6:$DA$376,82,FALSE)</f>
        <v>1143.1226591432865</v>
      </c>
      <c r="CE10" s="70">
        <f t="shared" ref="CE10:CE73" si="57">CD10-CC10</f>
        <v>97.258103107679517</v>
      </c>
      <c r="CF10" s="566">
        <f>VLOOKUP($A10,'01-02.2021'!$A$6:$CZ$403,84,FALSE)+VLOOKUP($A10,'1.3.21-28.2.22'!$A$6:$DA$404,84,FALSE)-VLOOKUP($A10,'01-02.2022'!$A$6:$DA$376,84,FALSE)</f>
        <v>127.14638061740428</v>
      </c>
      <c r="CG10" s="566">
        <f>VLOOKUP($A10,'01-02.2021'!$A$6:$CZ$403,85,FALSE)+VLOOKUP($A10,'1.3.21-28.2.22'!$A$6:$DA$404,85,FALSE)-VLOOKUP($A10,'01-02.2022'!$A$6:$DA$376,85,FALSE)</f>
        <v>0</v>
      </c>
      <c r="CH10" s="70">
        <f t="shared" ref="CH10:CH73" si="58">CG10-CF10</f>
        <v>-127.14638061740428</v>
      </c>
      <c r="CI10" s="566">
        <f>VLOOKUP($A10,'01-02.2021'!$A$6:$CZ$403,87,FALSE)+VLOOKUP($A10,'1.3.21-28.2.22'!$A$6:$DA$404,87,FALSE)-VLOOKUP($A10,'01-02.2022'!$A$6:$DA$376,87,FALSE)</f>
        <v>2106.9958463891389</v>
      </c>
      <c r="CJ10" s="566">
        <f>VLOOKUP($A10,'01-02.2021'!$A$6:$CZ$403,88,FALSE)+VLOOKUP($A10,'1.3.21-28.2.22'!$A$6:$DA$404,88,FALSE)-VLOOKUP($A10,'01-02.2022'!$A$6:$DA$376,88,FALSE)</f>
        <v>1294.5100414552751</v>
      </c>
      <c r="CK10" s="70">
        <f t="shared" ref="CK10:CK73" si="59">CJ10-CI10</f>
        <v>-812.48580493386385</v>
      </c>
      <c r="CL10" s="566">
        <f>VLOOKUP($A10,'01-02.2021'!$A$6:$CZ$403,90,FALSE)+VLOOKUP($A10,'1.3.21-28.2.22'!$A$6:$DA$404,90,FALSE)-VLOOKUP($A10,'01-02.2022'!$A$6:$DA$376,90,FALSE)</f>
        <v>0</v>
      </c>
      <c r="CM10" s="566">
        <f>VLOOKUP($A10,'01-02.2021'!$A$6:$CZ$403,91,FALSE)+VLOOKUP($A10,'1.3.21-28.2.22'!$A$6:$DA$404,91,FALSE)-VLOOKUP($A10,'01-02.2022'!$A$6:$DA$376,91,FALSE)</f>
        <v>0</v>
      </c>
      <c r="CN10" s="52">
        <f t="shared" ref="CN10:CN71" si="60">CM10-CL10</f>
        <v>0</v>
      </c>
      <c r="CO10" s="39">
        <f t="shared" si="27"/>
        <v>2106.9958463891389</v>
      </c>
      <c r="CP10" s="40">
        <f t="shared" ref="CP10:CP71" si="61">CJ10+CM10</f>
        <v>1294.5100414552751</v>
      </c>
      <c r="CQ10" s="52">
        <f t="shared" ref="CQ10:CQ71" si="62">CP10-CO10</f>
        <v>-812.48580493386385</v>
      </c>
      <c r="CR10" s="72">
        <f t="shared" si="28"/>
        <v>92889.022774176192</v>
      </c>
      <c r="CS10" s="5">
        <f t="shared" si="28"/>
        <v>68536.242535509824</v>
      </c>
      <c r="CT10" s="52">
        <f t="shared" ref="CT10:CT71" si="63">CS10-CR10</f>
        <v>-24352.780238666368</v>
      </c>
      <c r="CU10" s="77">
        <f t="shared" ref="CU10:CU71" si="64">CR10*1.2</f>
        <v>111466.82732901143</v>
      </c>
      <c r="CV10" s="65">
        <f t="shared" ref="CV10:CV71" si="65">CS10*1.2</f>
        <v>82243.491042611786</v>
      </c>
      <c r="CW10" s="35">
        <f t="shared" ref="CW10:CW71" si="66">CV10-CU10</f>
        <v>-29223.336286399644</v>
      </c>
      <c r="CX10" s="566">
        <f>VLOOKUP($A10,'01-02.2021'!$A$6:$CZ$403,102,FALSE)+VLOOKUP($A10,'1.3.21-28.2.22'!$A$6:$DA$404,102,FALSE)-VLOOKUP($A10,'01-02.2022'!$A$6:$DA$376,102,FALSE)</f>
        <v>3459.2763312155162</v>
      </c>
      <c r="CY10" s="566">
        <f>VLOOKUP($A10,'01-02.2021'!$A$6:$CZ$403,103,FALSE)+VLOOKUP($A10,'1.3.21-28.2.22'!$A$6:$DA$404,103,FALSE)-VLOOKUP($A10,'01-02.2022'!$A$6:$DA$376,103,FALSE)</f>
        <v>32682.612617615159</v>
      </c>
      <c r="CZ10" s="52">
        <f t="shared" ref="CZ10:CZ71" si="67">CY10-CX10</f>
        <v>29223.336286399644</v>
      </c>
      <c r="DA10" s="150">
        <f>'[2]побудинковий звіт'!DA10</f>
        <v>53534.572068238667</v>
      </c>
      <c r="DB10" s="2">
        <v>2</v>
      </c>
      <c r="DC10" s="414">
        <f>'[4]побудинковий звіт'!DC10</f>
        <v>10748.6</v>
      </c>
      <c r="DD10" s="414">
        <f>'[4]побудинковий звіт'!DD10</f>
        <v>0</v>
      </c>
      <c r="DE10" s="557">
        <f>'[4]побудинковий звіт'!DE10</f>
        <v>337.04132215512254</v>
      </c>
      <c r="DF10" s="557">
        <f>'[4]побудинковий звіт'!DF10</f>
        <v>0</v>
      </c>
      <c r="DG10" s="321">
        <f>VLOOKUP(A10,'кошти 01.03.2021'!$A$6:$D$401,4,)</f>
        <v>89769.030860118131</v>
      </c>
      <c r="DH10" s="40">
        <f>'[3]побудинковий звіт'!DJ10</f>
        <v>118870.15262183742</v>
      </c>
      <c r="DI10" s="422">
        <f>'[3]побудинковий звіт'!CU10+'[3]побудинковий звіт'!CX10</f>
        <v>10411.558677844878</v>
      </c>
      <c r="DJ10" s="306">
        <f>'[3]побудинковий звіт'!DM10</f>
        <v>5.65630394841358</v>
      </c>
      <c r="DK10" s="306">
        <f t="shared" ref="DK10:DK11" si="68">DJ10</f>
        <v>5.65630394841358</v>
      </c>
      <c r="DL10" s="306">
        <f>'[3]побудинковий звіт'!DO10</f>
        <v>4.8573719650353837</v>
      </c>
      <c r="DM10" s="28">
        <f t="shared" ref="DM10:DM11" si="69">F10*DJ10</f>
        <v>10411.558677844878</v>
      </c>
      <c r="DN10" s="28">
        <f>H10*DL10</f>
        <v>0</v>
      </c>
      <c r="DO10" s="423">
        <f t="shared" si="29"/>
        <v>10411.558677844878</v>
      </c>
      <c r="DP10" s="94">
        <f t="shared" si="30"/>
        <v>0</v>
      </c>
      <c r="DQ10" s="28">
        <f t="shared" si="31"/>
        <v>10411.558677844878</v>
      </c>
      <c r="DR10" s="318"/>
      <c r="DT10" s="8"/>
      <c r="DU10" s="5"/>
      <c r="DX10" s="5">
        <f t="shared" si="32"/>
        <v>34624.043190730277</v>
      </c>
      <c r="DY10" s="5">
        <f t="shared" si="33"/>
        <v>4879.2</v>
      </c>
      <c r="DZ10" s="159">
        <f>'[3]побудинковий звіт'!EA10</f>
        <v>3283.549403027404</v>
      </c>
    </row>
    <row r="11" spans="1:130" x14ac:dyDescent="0.3">
      <c r="A11" s="325">
        <v>150000754</v>
      </c>
      <c r="B11" s="41" t="s">
        <v>460</v>
      </c>
      <c r="C11" s="42" t="s">
        <v>241</v>
      </c>
      <c r="D11" s="42"/>
      <c r="E11" s="293">
        <f t="shared" si="23"/>
        <v>2805.68</v>
      </c>
      <c r="F11" s="305">
        <f>'[3]побудинковий звіт'!F11</f>
        <v>2805.68</v>
      </c>
      <c r="G11" s="508">
        <f>'[3]побудинковий звіт'!G11</f>
        <v>0</v>
      </c>
      <c r="H11" s="560">
        <f>'[3]побудинковий звіт'!H11</f>
        <v>0</v>
      </c>
      <c r="I11" s="566">
        <f>VLOOKUP($A11,'01-02.2021'!$A$6:$CZ$403,9,FALSE)+VLOOKUP($A11,'1.3.21-28.2.22'!$A$6:$DA$404,9,FALSE)-VLOOKUP($A11,'01-02.2022'!$A$6:$DA$376,9,FALSE)</f>
        <v>9838.8204733476086</v>
      </c>
      <c r="J11" s="566">
        <f>VLOOKUP($A11,'01-02.2021'!$A$6:$CZ$403,10,FALSE)+VLOOKUP($A11,'1.3.21-28.2.22'!$A$6:$DA$404,10,FALSE)-VLOOKUP($A11,'01-02.2022'!$A$6:$DA$376,10,FALSE)</f>
        <v>10805.079643441029</v>
      </c>
      <c r="K11" s="52">
        <f t="shared" si="34"/>
        <v>966.25917009342083</v>
      </c>
      <c r="L11" s="566">
        <f>VLOOKUP($A11,'01-02.2021'!$A$6:$CZ$403,12,FALSE)+VLOOKUP($A11,'1.3.21-28.2.22'!$A$6:$DA$404,12,FALSE)-VLOOKUP($A11,'01-02.2022'!$A$6:$DA$376,12,FALSE)</f>
        <v>1920.0304933666889</v>
      </c>
      <c r="M11" s="566">
        <f>VLOOKUP($A11,'01-02.2021'!$A$6:$CZ$403,13,FALSE)+VLOOKUP($A11,'1.3.21-28.2.22'!$A$6:$DA$404,13,FALSE)-VLOOKUP($A11,'01-02.2022'!$A$6:$DA$376,13,FALSE)</f>
        <v>2114.0267019175176</v>
      </c>
      <c r="N11" s="52">
        <f t="shared" si="35"/>
        <v>193.99620855082867</v>
      </c>
      <c r="O11" s="566">
        <f>VLOOKUP($A11,'01-02.2021'!$A$6:$CZ$403,15,FALSE)+VLOOKUP($A11,'1.3.21-28.2.22'!$A$6:$DA$404,15,FALSE)-VLOOKUP($A11,'01-02.2022'!$A$6:$DA$376,15,FALSE)</f>
        <v>3575.2347568575005</v>
      </c>
      <c r="P11" s="566">
        <f>VLOOKUP($A11,'01-02.2021'!$A$6:$CZ$403,16,FALSE)+VLOOKUP($A11,'1.3.21-28.2.22'!$A$6:$DA$404,16,FALSE)-VLOOKUP($A11,'01-02.2022'!$A$6:$DA$376,16,FALSE)</f>
        <v>3576.0899999999992</v>
      </c>
      <c r="Q11" s="70">
        <f t="shared" si="36"/>
        <v>0.85524314249869349</v>
      </c>
      <c r="R11" s="566">
        <f>VLOOKUP($A11,'01-02.2021'!$A$6:$CZ$403,18,FALSE)+VLOOKUP($A11,'1.3.21-28.2.22'!$A$6:$DA$404,18,FALSE)-VLOOKUP($A11,'01-02.2022'!$A$6:$DA$376,18,FALSE)</f>
        <v>0</v>
      </c>
      <c r="S11" s="566">
        <f>VLOOKUP($A11,'01-02.2021'!$A$6:$CZ$403,19,FALSE)+VLOOKUP($A11,'1.3.21-28.2.22'!$A$6:$DA$404,19,FALSE)-VLOOKUP($A11,'01-02.2022'!$A$6:$DA$376,19,FALSE)</f>
        <v>0</v>
      </c>
      <c r="T11" s="70">
        <f t="shared" si="37"/>
        <v>0</v>
      </c>
      <c r="U11" s="566">
        <f>VLOOKUP($A11,'01-02.2021'!$A$6:$CZ$403,21,FALSE)+VLOOKUP($A11,'1.3.21-28.2.22'!$A$6:$DA$404,21,FALSE)-VLOOKUP($A11,'01-02.2022'!$A$6:$DA$376,21,FALSE)</f>
        <v>610.46629745812027</v>
      </c>
      <c r="V11" s="566">
        <f>VLOOKUP($A11,'01-02.2021'!$A$6:$CZ$403,22,FALSE)+VLOOKUP($A11,'1.3.21-28.2.22'!$A$6:$DA$404,22,FALSE)-VLOOKUP($A11,'01-02.2022'!$A$6:$DA$376,22,FALSE)</f>
        <v>2020.0986129313442</v>
      </c>
      <c r="W11" s="70">
        <f t="shared" si="38"/>
        <v>1409.632315473224</v>
      </c>
      <c r="X11" s="566">
        <f>VLOOKUP($A11,'01-02.2021'!$A$6:$CZ$403,24,FALSE)+VLOOKUP($A11,'1.3.21-28.2.22'!$A$6:$DA$404,24,FALSE)-VLOOKUP($A11,'01-02.2022'!$A$6:$DA$376,24,FALSE)</f>
        <v>5819.5234613707835</v>
      </c>
      <c r="Y11" s="566">
        <f>VLOOKUP($A11,'01-02.2021'!$A$6:$CZ$403,25,FALSE)+VLOOKUP($A11,'1.3.21-28.2.22'!$A$6:$DA$404,25,FALSE)-VLOOKUP($A11,'01-02.2022'!$A$6:$DA$376,25,FALSE)</f>
        <v>5309.3494664232458</v>
      </c>
      <c r="Z11" s="70">
        <f t="shared" si="39"/>
        <v>-510.17399494753772</v>
      </c>
      <c r="AA11" s="566">
        <f>VLOOKUP($A11,'01-02.2021'!$A$6:$CZ$403,27,FALSE)+VLOOKUP($A11,'1.3.21-28.2.22'!$A$6:$DA$404,27,FALSE)-VLOOKUP($A11,'01-02.2022'!$A$6:$DA$376,27,FALSE)</f>
        <v>561.75600000000009</v>
      </c>
      <c r="AB11" s="566">
        <f>VLOOKUP($A11,'01-02.2021'!$A$6:$CZ$403,28,FALSE)+VLOOKUP($A11,'1.3.21-28.2.22'!$A$6:$DA$404,28,FALSE)-VLOOKUP($A11,'01-02.2022'!$A$6:$DA$376,28,FALSE)</f>
        <v>0</v>
      </c>
      <c r="AC11" s="70">
        <f t="shared" si="40"/>
        <v>-561.75600000000009</v>
      </c>
      <c r="AD11" s="566">
        <f>VLOOKUP($A11,'01-02.2021'!$A$6:$CZ$403,30,FALSE)+VLOOKUP($A11,'1.3.21-28.2.22'!$A$6:$DA$404,30,FALSE)-VLOOKUP($A11,'01-02.2022'!$A$6:$DA$376,30,FALSE)</f>
        <v>12056.735014829088</v>
      </c>
      <c r="AE11" s="566">
        <f>VLOOKUP($A11,'01-02.2021'!$A$6:$CZ$403,31,FALSE)+VLOOKUP($A11,'1.3.21-28.2.22'!$A$6:$DA$404,31,FALSE)-VLOOKUP($A11,'01-02.2022'!$A$6:$DA$376,31,FALSE)</f>
        <v>12773.441176085769</v>
      </c>
      <c r="AF11" s="68">
        <f t="shared" si="41"/>
        <v>716.7061612566813</v>
      </c>
      <c r="AG11" s="77">
        <f t="shared" si="24"/>
        <v>34382.566497229789</v>
      </c>
      <c r="AH11" s="53">
        <f t="shared" si="24"/>
        <v>36598.085600798906</v>
      </c>
      <c r="AI11" s="52">
        <f t="shared" si="42"/>
        <v>2215.5191035691169</v>
      </c>
      <c r="AJ11" s="566">
        <f>VLOOKUP($A11,'01-02.2021'!$A$6:$CZ$403,36,FALSE)+VLOOKUP($A11,'1.3.21-28.2.22'!$A$6:$DA$404,36,FALSE)-VLOOKUP($A11,'01-02.2022'!$A$6:$DA$376,36,FALSE)</f>
        <v>0</v>
      </c>
      <c r="AK11" s="566">
        <f>VLOOKUP($A11,'01-02.2021'!$A$6:$CZ$403,37,FALSE)+VLOOKUP($A11,'1.3.21-28.2.22'!$A$6:$DA$404,37,FALSE)-VLOOKUP($A11,'01-02.2022'!$A$6:$DA$376,37,FALSE)</f>
        <v>0</v>
      </c>
      <c r="AL11" s="70">
        <f t="shared" si="43"/>
        <v>0</v>
      </c>
      <c r="AM11" s="566">
        <f>VLOOKUP($A11,'01-02.2021'!$A$6:$CZ$403,39,FALSE)+VLOOKUP($A11,'1.3.21-28.2.22'!$A$6:$DA$404,39,FALSE)-VLOOKUP($A11,'01-02.2022'!$A$6:$DA$376,39,FALSE)</f>
        <v>0</v>
      </c>
      <c r="AN11" s="566">
        <f>VLOOKUP($A11,'01-02.2021'!$A$6:$CZ$403,40,FALSE)+VLOOKUP($A11,'1.3.21-28.2.22'!$A$6:$DA$404,40,FALSE)-VLOOKUP($A11,'01-02.2022'!$A$6:$DA$376,40,FALSE)</f>
        <v>0</v>
      </c>
      <c r="AO11" s="70">
        <f t="shared" si="44"/>
        <v>0</v>
      </c>
      <c r="AP11" s="566">
        <f>VLOOKUP($A11,'01-02.2021'!$A$6:$CZ$403,42,FALSE)+VLOOKUP($A11,'1.3.21-28.2.22'!$A$6:$DA$404,42,FALSE)-VLOOKUP($A11,'01-02.2022'!$A$6:$DA$376,42,FALSE)</f>
        <v>4685.0393251149972</v>
      </c>
      <c r="AQ11" s="566">
        <f>VLOOKUP($A11,'01-02.2021'!$A$6:$CZ$403,43,FALSE)+VLOOKUP($A11,'1.3.21-28.2.22'!$A$6:$DA$404,43,FALSE)-VLOOKUP($A11,'01-02.2022'!$A$6:$DA$376,43,FALSE)</f>
        <v>4024.8345371550504</v>
      </c>
      <c r="AR11" s="70">
        <f t="shared" si="45"/>
        <v>-660.20478795994677</v>
      </c>
      <c r="AS11" s="566">
        <f>VLOOKUP($A11,'01-02.2021'!$A$6:$CZ$403,45,FALSE)+VLOOKUP($A11,'1.3.21-28.2.22'!$A$6:$DA$404,45,FALSE)-VLOOKUP($A11,'01-02.2022'!$A$6:$DA$376,45,FALSE)</f>
        <v>43856.382433178151</v>
      </c>
      <c r="AT11" s="566">
        <f>VLOOKUP($A11,'01-02.2021'!$A$6:$CZ$403,46,FALSE)+VLOOKUP($A11,'1.3.21-28.2.22'!$A$6:$DA$404,46,FALSE)-VLOOKUP($A11,'01-02.2022'!$A$6:$DA$376,46,FALSE)</f>
        <v>31557.924494158171</v>
      </c>
      <c r="AU11" s="78">
        <f t="shared" si="46"/>
        <v>-12298.45793901998</v>
      </c>
      <c r="AV11" s="566">
        <f>VLOOKUP($A11,'01-02.2021'!$A$6:$CZ$403,48,FALSE)+VLOOKUP($A11,'1.3.21-28.2.22'!$A$6:$DA$404,48,FALSE)-VLOOKUP($A11,'01-02.2022'!$A$6:$DA$376,48,FALSE)</f>
        <v>2722.5973485857198</v>
      </c>
      <c r="AW11" s="566">
        <f>VLOOKUP($A11,'01-02.2021'!$A$6:$CZ$403,49,FALSE)+VLOOKUP($A11,'1.3.21-28.2.22'!$A$6:$DA$404,49,FALSE)-VLOOKUP($A11,'01-02.2022'!$A$6:$DA$376,49,FALSE)</f>
        <v>0</v>
      </c>
      <c r="AX11" s="55">
        <f t="shared" si="47"/>
        <v>-2722.5973485857198</v>
      </c>
      <c r="AY11" s="566">
        <f>VLOOKUP($A11,'01-02.2021'!$A$6:$CZ$403,51,FALSE)+VLOOKUP($A11,'1.3.21-28.2.22'!$A$6:$DA$404,51,FALSE)-VLOOKUP($A11,'01-02.2022'!$A$6:$DA$376,51,FALSE)</f>
        <v>3609.1155266462838</v>
      </c>
      <c r="AZ11" s="566">
        <f>VLOOKUP($A11,'01-02.2021'!$A$6:$CZ$403,52,FALSE)+VLOOKUP($A11,'1.3.21-28.2.22'!$A$6:$DA$404,52,FALSE)-VLOOKUP($A11,'01-02.2022'!$A$6:$DA$376,52,FALSE)</f>
        <v>0</v>
      </c>
      <c r="BA11" s="38">
        <f t="shared" si="48"/>
        <v>-3609.1155266462838</v>
      </c>
      <c r="BB11" s="566">
        <f>VLOOKUP($A11,'01-02.2021'!$A$6:$CZ$403,54,FALSE)+VLOOKUP($A11,'1.3.21-28.2.22'!$A$6:$DA$404,54,FALSE)-VLOOKUP($A11,'01-02.2022'!$A$6:$DA$376,54,FALSE)</f>
        <v>1651.6395136548281</v>
      </c>
      <c r="BC11" s="566">
        <f>VLOOKUP($A11,'01-02.2021'!$A$6:$CZ$403,55,FALSE)+VLOOKUP($A11,'1.3.21-28.2.22'!$A$6:$DA$404,55,FALSE)-VLOOKUP($A11,'01-02.2022'!$A$6:$DA$376,55,FALSE)</f>
        <v>0</v>
      </c>
      <c r="BD11" s="55">
        <f t="shared" si="49"/>
        <v>-1651.6395136548281</v>
      </c>
      <c r="BE11" s="566">
        <f>VLOOKUP($A11,'01-02.2021'!$A$6:$CZ$403,57,FALSE)+VLOOKUP($A11,'1.3.21-28.2.22'!$A$6:$DA$404,57,FALSE)-VLOOKUP($A11,'01-02.2022'!$A$6:$DA$376,57,FALSE)</f>
        <v>0</v>
      </c>
      <c r="BF11" s="566">
        <f>VLOOKUP($A11,'01-02.2021'!$A$6:$CZ$403,58,FALSE)+VLOOKUP($A11,'1.3.21-28.2.22'!$A$6:$DA$404,58,FALSE)-VLOOKUP($A11,'01-02.2022'!$A$6:$DA$376,58,FALSE)</f>
        <v>0</v>
      </c>
      <c r="BG11" s="55">
        <f t="shared" si="50"/>
        <v>0</v>
      </c>
      <c r="BH11" s="566">
        <f>VLOOKUP($A11,'01-02.2021'!$A$6:$CZ$403,60,FALSE)+VLOOKUP($A11,'1.3.21-28.2.22'!$A$6:$DA$404,60,FALSE)-VLOOKUP($A11,'01-02.2022'!$A$6:$DA$376,60,FALSE)</f>
        <v>1369.6262160600197</v>
      </c>
      <c r="BI11" s="566">
        <f>VLOOKUP($A11,'01-02.2021'!$A$6:$CZ$403,61,FALSE)+VLOOKUP($A11,'1.3.21-28.2.22'!$A$6:$DA$404,61,FALSE)-VLOOKUP($A11,'01-02.2022'!$A$6:$DA$376,61,FALSE)</f>
        <v>0</v>
      </c>
      <c r="BJ11" s="55">
        <f t="shared" si="51"/>
        <v>-1369.6262160600197</v>
      </c>
      <c r="BK11" s="566">
        <f>VLOOKUP($A11,'01-02.2021'!$A$6:$CZ$403,63,FALSE)+VLOOKUP($A11,'1.3.21-28.2.22'!$A$6:$DA$404,63,FALSE)-VLOOKUP($A11,'01-02.2022'!$A$6:$DA$376,63,FALSE)</f>
        <v>1762.3469498050993</v>
      </c>
      <c r="BL11" s="566">
        <f>VLOOKUP($A11,'01-02.2021'!$A$6:$CZ$403,64,FALSE)+VLOOKUP($A11,'1.3.21-28.2.22'!$A$6:$DA$404,64,FALSE)-VLOOKUP($A11,'01-02.2022'!$A$6:$DA$376,64,FALSE)</f>
        <v>0</v>
      </c>
      <c r="BM11" s="55">
        <f t="shared" si="52"/>
        <v>-1762.3469498050993</v>
      </c>
      <c r="BN11" s="566">
        <f>VLOOKUP($A11,'01-02.2021'!$A$6:$CZ$403,66,FALSE)+VLOOKUP($A11,'1.3.21-28.2.22'!$A$6:$DA$404,66,FALSE)-VLOOKUP($A11,'01-02.2022'!$A$6:$DA$376,66,FALSE)</f>
        <v>140.43900000000002</v>
      </c>
      <c r="BO11" s="566">
        <f>VLOOKUP($A11,'01-02.2021'!$A$6:$CZ$403,67,FALSE)+VLOOKUP($A11,'1.3.21-28.2.22'!$A$6:$DA$404,67,FALSE)-VLOOKUP($A11,'01-02.2022'!$A$6:$DA$376,67,FALSE)</f>
        <v>0</v>
      </c>
      <c r="BP11" s="55">
        <f t="shared" si="53"/>
        <v>-140.43900000000002</v>
      </c>
      <c r="BQ11" s="77">
        <f t="shared" si="25"/>
        <v>11255.764554751951</v>
      </c>
      <c r="BR11" s="40">
        <f t="shared" si="26"/>
        <v>0</v>
      </c>
      <c r="BS11" s="55">
        <f t="shared" ref="BS11:BS72" si="70">BR11-BQ11</f>
        <v>-11255.764554751951</v>
      </c>
      <c r="BT11" s="566">
        <f>VLOOKUP($A11,'01-02.2021'!$A$6:$CZ$403,72,FALSE)+VLOOKUP($A11,'1.3.21-28.2.22'!$A$6:$DA$404,72,FALSE)-VLOOKUP($A11,'01-02.2022'!$A$6:$DA$376,72,FALSE)</f>
        <v>23289.882920294425</v>
      </c>
      <c r="BU11" s="566">
        <f>VLOOKUP($A11,'01-02.2021'!$A$6:$CZ$403,73,FALSE)+VLOOKUP($A11,'1.3.21-28.2.22'!$A$6:$DA$404,73,FALSE)-VLOOKUP($A11,'01-02.2022'!$A$6:$DA$376,73,FALSE)</f>
        <v>30238.367391896172</v>
      </c>
      <c r="BV11" s="70">
        <f t="shared" si="54"/>
        <v>6948.4844716017469</v>
      </c>
      <c r="BW11" s="566">
        <f>VLOOKUP($A11,'01-02.2021'!$A$6:$CZ$403,75,FALSE)+VLOOKUP($A11,'1.3.21-28.2.22'!$A$6:$DA$404,75,FALSE)-VLOOKUP($A11,'01-02.2022'!$A$6:$DA$376,75,FALSE)</f>
        <v>14168.22532095391</v>
      </c>
      <c r="BX11" s="566">
        <f>VLOOKUP($A11,'01-02.2021'!$A$6:$CZ$403,76,FALSE)+VLOOKUP($A11,'1.3.21-28.2.22'!$A$6:$DA$404,76,FALSE)-VLOOKUP($A11,'01-02.2022'!$A$6:$DA$376,76,FALSE)</f>
        <v>14635.561472932783</v>
      </c>
      <c r="BY11" s="70">
        <f t="shared" si="55"/>
        <v>467.33615197887229</v>
      </c>
      <c r="BZ11" s="566">
        <f>VLOOKUP($A11,'01-02.2021'!$A$6:$CZ$403,78,FALSE)+VLOOKUP($A11,'1.3.21-28.2.22'!$A$6:$DA$404,78,FALSE)-VLOOKUP($A11,'01-02.2022'!$A$6:$DA$376,78,FALSE)</f>
        <v>10112.060990061349</v>
      </c>
      <c r="CA11" s="566">
        <f>VLOOKUP($A11,'01-02.2021'!$A$6:$CZ$403,79,FALSE)+VLOOKUP($A11,'1.3.21-28.2.22'!$A$6:$DA$404,79,FALSE)-VLOOKUP($A11,'01-02.2022'!$A$6:$DA$376,79,FALSE)</f>
        <v>6513.5642720551223</v>
      </c>
      <c r="CB11" s="70">
        <f t="shared" si="56"/>
        <v>-3598.4967180062267</v>
      </c>
      <c r="CC11" s="566">
        <f>VLOOKUP($A11,'01-02.2021'!$A$6:$CZ$403,81,FALSE)+VLOOKUP($A11,'1.3.21-28.2.22'!$A$6:$DA$404,81,FALSE)-VLOOKUP($A11,'01-02.2022'!$A$6:$DA$376,81,FALSE)</f>
        <v>1534.3441967376314</v>
      </c>
      <c r="CD11" s="566">
        <f>VLOOKUP($A11,'01-02.2021'!$A$6:$CZ$403,82,FALSE)+VLOOKUP($A11,'1.3.21-28.2.22'!$A$6:$DA$404,82,FALSE)-VLOOKUP($A11,'01-02.2022'!$A$6:$DA$376,82,FALSE)</f>
        <v>1677.0274966236411</v>
      </c>
      <c r="CE11" s="70">
        <f t="shared" si="57"/>
        <v>142.68329988600976</v>
      </c>
      <c r="CF11" s="566">
        <f>VLOOKUP($A11,'01-02.2021'!$A$6:$CZ$403,84,FALSE)+VLOOKUP($A11,'1.3.21-28.2.22'!$A$6:$DA$404,84,FALSE)-VLOOKUP($A11,'01-02.2022'!$A$6:$DA$376,84,FALSE)</f>
        <v>186.53114316828078</v>
      </c>
      <c r="CG11" s="566">
        <f>VLOOKUP($A11,'01-02.2021'!$A$6:$CZ$403,85,FALSE)+VLOOKUP($A11,'1.3.21-28.2.22'!$A$6:$DA$404,85,FALSE)-VLOOKUP($A11,'01-02.2022'!$A$6:$DA$376,85,FALSE)</f>
        <v>847.43648595108107</v>
      </c>
      <c r="CH11" s="70">
        <f t="shared" si="58"/>
        <v>660.90534278280029</v>
      </c>
      <c r="CI11" s="566">
        <f>VLOOKUP($A11,'01-02.2021'!$A$6:$CZ$403,87,FALSE)+VLOOKUP($A11,'1.3.21-28.2.22'!$A$6:$DA$404,87,FALSE)-VLOOKUP($A11,'01-02.2022'!$A$6:$DA$376,87,FALSE)</f>
        <v>9206.1910639743146</v>
      </c>
      <c r="CJ11" s="566">
        <f>VLOOKUP($A11,'01-02.2021'!$A$6:$CZ$403,88,FALSE)+VLOOKUP($A11,'1.3.21-28.2.22'!$A$6:$DA$404,88,FALSE)-VLOOKUP($A11,'01-02.2022'!$A$6:$DA$376,88,FALSE)</f>
        <v>8691.8844491308773</v>
      </c>
      <c r="CK11" s="70">
        <f t="shared" si="59"/>
        <v>-514.30661484343727</v>
      </c>
      <c r="CL11" s="566">
        <f>VLOOKUP($A11,'01-02.2021'!$A$6:$CZ$403,90,FALSE)+VLOOKUP($A11,'1.3.21-28.2.22'!$A$6:$DA$404,90,FALSE)-VLOOKUP($A11,'01-02.2022'!$A$6:$DA$376,90,FALSE)</f>
        <v>0</v>
      </c>
      <c r="CM11" s="566">
        <f>VLOOKUP($A11,'01-02.2021'!$A$6:$CZ$403,91,FALSE)+VLOOKUP($A11,'1.3.21-28.2.22'!$A$6:$DA$404,91,FALSE)-VLOOKUP($A11,'01-02.2022'!$A$6:$DA$376,91,FALSE)</f>
        <v>0</v>
      </c>
      <c r="CN11" s="52">
        <f t="shared" si="60"/>
        <v>0</v>
      </c>
      <c r="CO11" s="39">
        <f t="shared" si="27"/>
        <v>9206.1910639743146</v>
      </c>
      <c r="CP11" s="40">
        <f t="shared" si="61"/>
        <v>8691.8844491308773</v>
      </c>
      <c r="CQ11" s="52">
        <f t="shared" si="62"/>
        <v>-514.30661484343727</v>
      </c>
      <c r="CR11" s="72">
        <f t="shared" si="28"/>
        <v>152676.98844546478</v>
      </c>
      <c r="CS11" s="5">
        <f t="shared" si="28"/>
        <v>134784.68620070181</v>
      </c>
      <c r="CT11" s="52">
        <f t="shared" si="63"/>
        <v>-17892.302244762977</v>
      </c>
      <c r="CU11" s="77">
        <f t="shared" si="64"/>
        <v>183212.38613455775</v>
      </c>
      <c r="CV11" s="65">
        <f t="shared" si="65"/>
        <v>161741.62344084217</v>
      </c>
      <c r="CW11" s="35">
        <f t="shared" si="66"/>
        <v>-21470.762693715573</v>
      </c>
      <c r="CX11" s="566">
        <f>VLOOKUP($A11,'01-02.2021'!$A$6:$CZ$403,102,FALSE)+VLOOKUP($A11,'1.3.21-28.2.22'!$A$6:$DA$404,102,FALSE)-VLOOKUP($A11,'01-02.2022'!$A$6:$DA$376,102,FALSE)</f>
        <v>9107.2725734040887</v>
      </c>
      <c r="CY11" s="566">
        <f>VLOOKUP($A11,'01-02.2021'!$A$6:$CZ$403,103,FALSE)+VLOOKUP($A11,'1.3.21-28.2.22'!$A$6:$DA$404,103,FALSE)-VLOOKUP($A11,'01-02.2022'!$A$6:$DA$376,103,FALSE)</f>
        <v>30578.035267119692</v>
      </c>
      <c r="CZ11" s="52">
        <f t="shared" si="67"/>
        <v>21470.762693715602</v>
      </c>
      <c r="DA11" s="150">
        <f>'[2]побудинковий звіт'!DA11</f>
        <v>-4152.3396421571233</v>
      </c>
      <c r="DB11" s="2">
        <v>2</v>
      </c>
      <c r="DC11" s="414">
        <f>'[4]побудинковий звіт'!DC11</f>
        <v>58006.879999999997</v>
      </c>
      <c r="DD11" s="414">
        <f>'[4]побудинковий звіт'!DD11</f>
        <v>0</v>
      </c>
      <c r="DE11" s="557">
        <f>'[4]побудинковий звіт'!DE11</f>
        <v>40808.181893783621</v>
      </c>
      <c r="DF11" s="557">
        <f>'[4]побудинковий звіт'!DF11</f>
        <v>0</v>
      </c>
      <c r="DG11" s="321">
        <f>VLOOKUP(A11,'кошти 01.03.2021'!$A$6:$D$401,4,)</f>
        <v>-41968.897882335135</v>
      </c>
      <c r="DH11" s="40">
        <f>'[3]побудинковий звіт'!DJ11</f>
        <v>197841.20545205107</v>
      </c>
      <c r="DI11" s="422">
        <f>'[3]побудинковий звіт'!CU11+'[3]побудинковий звіт'!CX11</f>
        <v>17198.69810621638</v>
      </c>
      <c r="DJ11" s="306">
        <f>'[3]побудинковий звіт'!DM11</f>
        <v>6.1299571249096054</v>
      </c>
      <c r="DK11" s="306">
        <f t="shared" si="68"/>
        <v>6.1299571249096054</v>
      </c>
      <c r="DL11" s="306">
        <f>'[3]побудинковий звіт'!DO11</f>
        <v>5.5157034613044331</v>
      </c>
      <c r="DM11" s="28">
        <f t="shared" si="69"/>
        <v>17198.69810621638</v>
      </c>
      <c r="DN11" s="28">
        <f>H11*DL11</f>
        <v>0</v>
      </c>
      <c r="DO11" s="423">
        <f t="shared" si="29"/>
        <v>17198.69810621638</v>
      </c>
      <c r="DP11" s="94">
        <f t="shared" si="30"/>
        <v>0</v>
      </c>
      <c r="DQ11" s="28">
        <f t="shared" si="31"/>
        <v>17198.69810621638</v>
      </c>
      <c r="DR11" s="318"/>
      <c r="DT11" s="8"/>
      <c r="DU11" s="5"/>
      <c r="DX11" s="5">
        <f t="shared" si="32"/>
        <v>66134.57638551612</v>
      </c>
      <c r="DY11" s="5">
        <f t="shared" si="33"/>
        <v>37869.509392989807</v>
      </c>
      <c r="DZ11" s="159">
        <f>'[3]побудинковий звіт'!EA11</f>
        <v>5719.9618627942518</v>
      </c>
    </row>
    <row r="12" spans="1:130" x14ac:dyDescent="0.3">
      <c r="A12" s="325">
        <v>150000702</v>
      </c>
      <c r="B12" s="41" t="s">
        <v>461</v>
      </c>
      <c r="C12" s="42" t="s">
        <v>339</v>
      </c>
      <c r="D12" s="42"/>
      <c r="E12" s="293">
        <f t="shared" si="23"/>
        <v>6095.61</v>
      </c>
      <c r="F12" s="305">
        <f>'[3]побудинковий звіт'!F12</f>
        <v>6095.61</v>
      </c>
      <c r="G12" s="508">
        <f>'[3]побудинковий звіт'!G12</f>
        <v>601.05999999999995</v>
      </c>
      <c r="H12" s="560">
        <f>'[3]побудинковий звіт'!H12</f>
        <v>0</v>
      </c>
      <c r="I12" s="566">
        <f>VLOOKUP($A12,'01-02.2021'!$A$6:$CZ$403,9,FALSE)+VLOOKUP($A12,'1.3.21-28.2.22'!$A$6:$DA$404,9,FALSE)-VLOOKUP($A12,'01-02.2022'!$A$6:$DA$376,9,FALSE)</f>
        <v>20689.34087741503</v>
      </c>
      <c r="J12" s="566">
        <f>VLOOKUP($A12,'01-02.2021'!$A$6:$CZ$403,10,FALSE)+VLOOKUP($A12,'1.3.21-28.2.22'!$A$6:$DA$404,10,FALSE)-VLOOKUP($A12,'01-02.2022'!$A$6:$DA$376,10,FALSE)</f>
        <v>20191.481591049927</v>
      </c>
      <c r="K12" s="52">
        <f t="shared" si="34"/>
        <v>-497.85928636510289</v>
      </c>
      <c r="L12" s="566">
        <f>VLOOKUP($A12,'01-02.2021'!$A$6:$CZ$403,12,FALSE)+VLOOKUP($A12,'1.3.21-28.2.22'!$A$6:$DA$404,12,FALSE)-VLOOKUP($A12,'01-02.2022'!$A$6:$DA$376,12,FALSE)</f>
        <v>4030.0041319378925</v>
      </c>
      <c r="M12" s="566">
        <f>VLOOKUP($A12,'01-02.2021'!$A$6:$CZ$403,13,FALSE)+VLOOKUP($A12,'1.3.21-28.2.22'!$A$6:$DA$404,13,FALSE)-VLOOKUP($A12,'01-02.2022'!$A$6:$DA$376,13,FALSE)</f>
        <v>4023.7540590466333</v>
      </c>
      <c r="N12" s="52">
        <f t="shared" si="35"/>
        <v>-6.2500728912591512</v>
      </c>
      <c r="O12" s="566">
        <f>VLOOKUP($A12,'01-02.2021'!$A$6:$CZ$403,15,FALSE)+VLOOKUP($A12,'1.3.21-28.2.22'!$A$6:$DA$404,15,FALSE)-VLOOKUP($A12,'01-02.2022'!$A$6:$DA$376,15,FALSE)</f>
        <v>7235.237350418367</v>
      </c>
      <c r="P12" s="566">
        <f>VLOOKUP($A12,'01-02.2021'!$A$6:$CZ$403,16,FALSE)+VLOOKUP($A12,'1.3.21-28.2.22'!$A$6:$DA$404,16,FALSE)-VLOOKUP($A12,'01-02.2022'!$A$6:$DA$376,16,FALSE)</f>
        <v>7235.8083333333343</v>
      </c>
      <c r="Q12" s="70">
        <f t="shared" si="36"/>
        <v>0.5709829149673169</v>
      </c>
      <c r="R12" s="566">
        <f>VLOOKUP($A12,'01-02.2021'!$A$6:$CZ$403,18,FALSE)+VLOOKUP($A12,'1.3.21-28.2.22'!$A$6:$DA$404,18,FALSE)-VLOOKUP($A12,'01-02.2022'!$A$6:$DA$376,18,FALSE)</f>
        <v>1744.1636379239994</v>
      </c>
      <c r="S12" s="566">
        <f>VLOOKUP($A12,'01-02.2021'!$A$6:$CZ$403,19,FALSE)+VLOOKUP($A12,'1.3.21-28.2.22'!$A$6:$DA$404,19,FALSE)-VLOOKUP($A12,'01-02.2022'!$A$6:$DA$376,19,FALSE)</f>
        <v>1744.3183333333332</v>
      </c>
      <c r="T12" s="70">
        <f t="shared" si="37"/>
        <v>0.15469540933372627</v>
      </c>
      <c r="U12" s="566">
        <f>VLOOKUP($A12,'01-02.2021'!$A$6:$CZ$403,21,FALSE)+VLOOKUP($A12,'1.3.21-28.2.22'!$A$6:$DA$404,21,FALSE)-VLOOKUP($A12,'01-02.2022'!$A$6:$DA$376,21,FALSE)</f>
        <v>1007.187849608177</v>
      </c>
      <c r="V12" s="566">
        <f>VLOOKUP($A12,'01-02.2021'!$A$6:$CZ$403,22,FALSE)+VLOOKUP($A12,'1.3.21-28.2.22'!$A$6:$DA$404,22,FALSE)-VLOOKUP($A12,'01-02.2022'!$A$6:$DA$376,22,FALSE)</f>
        <v>894.90793478035198</v>
      </c>
      <c r="W12" s="70">
        <f t="shared" si="38"/>
        <v>-112.279914827825</v>
      </c>
      <c r="X12" s="566">
        <f>VLOOKUP($A12,'01-02.2021'!$A$6:$CZ$403,24,FALSE)+VLOOKUP($A12,'1.3.21-28.2.22'!$A$6:$DA$404,24,FALSE)-VLOOKUP($A12,'01-02.2022'!$A$6:$DA$376,24,FALSE)</f>
        <v>10758.779385903936</v>
      </c>
      <c r="Y12" s="566">
        <f>VLOOKUP($A12,'01-02.2021'!$A$6:$CZ$403,25,FALSE)+VLOOKUP($A12,'1.3.21-28.2.22'!$A$6:$DA$404,25,FALSE)-VLOOKUP($A12,'01-02.2022'!$A$6:$DA$376,25,FALSE)</f>
        <v>9379.7330363483143</v>
      </c>
      <c r="Z12" s="70">
        <f t="shared" si="39"/>
        <v>-1379.0463495556214</v>
      </c>
      <c r="AA12" s="566">
        <f>VLOOKUP($A12,'01-02.2021'!$A$6:$CZ$403,27,FALSE)+VLOOKUP($A12,'1.3.21-28.2.22'!$A$6:$DA$404,27,FALSE)-VLOOKUP($A12,'01-02.2022'!$A$6:$DA$376,27,FALSE)</f>
        <v>1219.098</v>
      </c>
      <c r="AB12" s="566">
        <f>VLOOKUP($A12,'01-02.2021'!$A$6:$CZ$403,28,FALSE)+VLOOKUP($A12,'1.3.21-28.2.22'!$A$6:$DA$404,28,FALSE)-VLOOKUP($A12,'01-02.2022'!$A$6:$DA$376,28,FALSE)</f>
        <v>0</v>
      </c>
      <c r="AC12" s="70">
        <f t="shared" si="40"/>
        <v>-1219.098</v>
      </c>
      <c r="AD12" s="566">
        <f>VLOOKUP($A12,'01-02.2021'!$A$6:$CZ$403,30,FALSE)+VLOOKUP($A12,'1.3.21-28.2.22'!$A$6:$DA$404,30,FALSE)-VLOOKUP($A12,'01-02.2022'!$A$6:$DA$376,30,FALSE)</f>
        <v>26182.114454166258</v>
      </c>
      <c r="AE12" s="566">
        <f>VLOOKUP($A12,'01-02.2021'!$A$6:$CZ$403,31,FALSE)+VLOOKUP($A12,'1.3.21-28.2.22'!$A$6:$DA$404,31,FALSE)-VLOOKUP($A12,'01-02.2022'!$A$6:$DA$376,31,FALSE)</f>
        <v>27747.181410505473</v>
      </c>
      <c r="AF12" s="68">
        <f t="shared" si="41"/>
        <v>1565.0669563392148</v>
      </c>
      <c r="AG12" s="77">
        <f t="shared" si="24"/>
        <v>72865.925687373659</v>
      </c>
      <c r="AH12" s="53">
        <f t="shared" si="24"/>
        <v>71217.184698397366</v>
      </c>
      <c r="AI12" s="52">
        <f t="shared" si="42"/>
        <v>-1648.740988976293</v>
      </c>
      <c r="AJ12" s="566">
        <f>VLOOKUP($A12,'01-02.2021'!$A$6:$CZ$403,36,FALSE)+VLOOKUP($A12,'1.3.21-28.2.22'!$A$6:$DA$404,36,FALSE)-VLOOKUP($A12,'01-02.2022'!$A$6:$DA$376,36,FALSE)</f>
        <v>57000.199256704997</v>
      </c>
      <c r="AK12" s="566">
        <f>VLOOKUP($A12,'01-02.2021'!$A$6:$CZ$403,37,FALSE)+VLOOKUP($A12,'1.3.21-28.2.22'!$A$6:$DA$404,37,FALSE)-VLOOKUP($A12,'01-02.2022'!$A$6:$DA$376,37,FALSE)</f>
        <v>56626.4945248687</v>
      </c>
      <c r="AL12" s="70">
        <f t="shared" si="43"/>
        <v>-373.70473183629656</v>
      </c>
      <c r="AM12" s="566">
        <f>VLOOKUP($A12,'01-02.2021'!$A$6:$CZ$403,39,FALSE)+VLOOKUP($A12,'1.3.21-28.2.22'!$A$6:$DA$404,39,FALSE)-VLOOKUP($A12,'01-02.2022'!$A$6:$DA$376,39,FALSE)</f>
        <v>0</v>
      </c>
      <c r="AN12" s="566">
        <f>VLOOKUP($A12,'01-02.2021'!$A$6:$CZ$403,40,FALSE)+VLOOKUP($A12,'1.3.21-28.2.22'!$A$6:$DA$404,40,FALSE)-VLOOKUP($A12,'01-02.2022'!$A$6:$DA$376,40,FALSE)</f>
        <v>0</v>
      </c>
      <c r="AO12" s="70">
        <f t="shared" si="44"/>
        <v>0</v>
      </c>
      <c r="AP12" s="566">
        <f>VLOOKUP($A12,'01-02.2021'!$A$6:$CZ$403,42,FALSE)+VLOOKUP($A12,'1.3.21-28.2.22'!$A$6:$DA$404,42,FALSE)-VLOOKUP($A12,'01-02.2022'!$A$6:$DA$376,42,FALSE)</f>
        <v>4554.8993438618027</v>
      </c>
      <c r="AQ12" s="566">
        <f>VLOOKUP($A12,'01-02.2021'!$A$6:$CZ$403,43,FALSE)+VLOOKUP($A12,'1.3.21-28.2.22'!$A$6:$DA$404,43,FALSE)-VLOOKUP($A12,'01-02.2022'!$A$6:$DA$376,43,FALSE)</f>
        <v>4000.6972543352604</v>
      </c>
      <c r="AR12" s="70">
        <f t="shared" si="45"/>
        <v>-554.2020895265423</v>
      </c>
      <c r="AS12" s="566">
        <f>VLOOKUP($A12,'01-02.2021'!$A$6:$CZ$403,45,FALSE)+VLOOKUP($A12,'1.3.21-28.2.22'!$A$6:$DA$404,45,FALSE)-VLOOKUP($A12,'01-02.2022'!$A$6:$DA$376,45,FALSE)</f>
        <v>87302.024523099928</v>
      </c>
      <c r="AT12" s="566">
        <f>VLOOKUP($A12,'01-02.2021'!$A$6:$CZ$403,46,FALSE)+VLOOKUP($A12,'1.3.21-28.2.22'!$A$6:$DA$404,46,FALSE)-VLOOKUP($A12,'01-02.2022'!$A$6:$DA$376,46,FALSE)</f>
        <v>15815</v>
      </c>
      <c r="AU12" s="78">
        <f t="shared" si="46"/>
        <v>-71487.024523099928</v>
      </c>
      <c r="AV12" s="566">
        <f>VLOOKUP($A12,'01-02.2021'!$A$6:$CZ$403,48,FALSE)+VLOOKUP($A12,'1.3.21-28.2.22'!$A$6:$DA$404,48,FALSE)-VLOOKUP($A12,'01-02.2022'!$A$6:$DA$376,48,FALSE)</f>
        <v>4587.9875262201913</v>
      </c>
      <c r="AW12" s="566">
        <f>VLOOKUP($A12,'01-02.2021'!$A$6:$CZ$403,49,FALSE)+VLOOKUP($A12,'1.3.21-28.2.22'!$A$6:$DA$404,49,FALSE)-VLOOKUP($A12,'01-02.2022'!$A$6:$DA$376,49,FALSE)</f>
        <v>0</v>
      </c>
      <c r="AX12" s="55">
        <f t="shared" si="47"/>
        <v>-4587.9875262201913</v>
      </c>
      <c r="AY12" s="566">
        <f>VLOOKUP($A12,'01-02.2021'!$A$6:$CZ$403,51,FALSE)+VLOOKUP($A12,'1.3.21-28.2.22'!$A$6:$DA$404,51,FALSE)-VLOOKUP($A12,'01-02.2022'!$A$6:$DA$376,51,FALSE)</f>
        <v>5463.2279104952249</v>
      </c>
      <c r="AZ12" s="566">
        <f>VLOOKUP($A12,'01-02.2021'!$A$6:$CZ$403,52,FALSE)+VLOOKUP($A12,'1.3.21-28.2.22'!$A$6:$DA$404,52,FALSE)-VLOOKUP($A12,'01-02.2022'!$A$6:$DA$376,52,FALSE)</f>
        <v>0</v>
      </c>
      <c r="BA12" s="38">
        <f t="shared" si="48"/>
        <v>-5463.2279104952249</v>
      </c>
      <c r="BB12" s="566">
        <f>VLOOKUP($A12,'01-02.2021'!$A$6:$CZ$403,54,FALSE)+VLOOKUP($A12,'1.3.21-28.2.22'!$A$6:$DA$404,54,FALSE)-VLOOKUP($A12,'01-02.2022'!$A$6:$DA$376,54,FALSE)</f>
        <v>2543.8363899494698</v>
      </c>
      <c r="BC12" s="566">
        <f>VLOOKUP($A12,'01-02.2021'!$A$6:$CZ$403,55,FALSE)+VLOOKUP($A12,'1.3.21-28.2.22'!$A$6:$DA$404,55,FALSE)-VLOOKUP($A12,'01-02.2022'!$A$6:$DA$376,55,FALSE)</f>
        <v>0</v>
      </c>
      <c r="BD12" s="55">
        <f t="shared" si="49"/>
        <v>-2543.8363899494698</v>
      </c>
      <c r="BE12" s="566">
        <f>VLOOKUP($A12,'01-02.2021'!$A$6:$CZ$403,57,FALSE)+VLOOKUP($A12,'1.3.21-28.2.22'!$A$6:$DA$404,57,FALSE)-VLOOKUP($A12,'01-02.2022'!$A$6:$DA$376,57,FALSE)</f>
        <v>3718.9535356959109</v>
      </c>
      <c r="BF12" s="566">
        <f>VLOOKUP($A12,'01-02.2021'!$A$6:$CZ$403,58,FALSE)+VLOOKUP($A12,'1.3.21-28.2.22'!$A$6:$DA$404,58,FALSE)-VLOOKUP($A12,'01-02.2022'!$A$6:$DA$376,58,FALSE)</f>
        <v>0</v>
      </c>
      <c r="BG12" s="55">
        <f t="shared" si="50"/>
        <v>-3718.9535356959109</v>
      </c>
      <c r="BH12" s="566">
        <f>VLOOKUP($A12,'01-02.2021'!$A$6:$CZ$403,60,FALSE)+VLOOKUP($A12,'1.3.21-28.2.22'!$A$6:$DA$404,60,FALSE)-VLOOKUP($A12,'01-02.2022'!$A$6:$DA$376,60,FALSE)</f>
        <v>1775.0511444706733</v>
      </c>
      <c r="BI12" s="566">
        <f>VLOOKUP($A12,'01-02.2021'!$A$6:$CZ$403,61,FALSE)+VLOOKUP($A12,'1.3.21-28.2.22'!$A$6:$DA$404,61,FALSE)-VLOOKUP($A12,'01-02.2022'!$A$6:$DA$376,61,FALSE)</f>
        <v>16.5</v>
      </c>
      <c r="BJ12" s="55">
        <f t="shared" si="51"/>
        <v>-1758.5511444706733</v>
      </c>
      <c r="BK12" s="566">
        <f>VLOOKUP($A12,'01-02.2021'!$A$6:$CZ$403,63,FALSE)+VLOOKUP($A12,'1.3.21-28.2.22'!$A$6:$DA$404,63,FALSE)-VLOOKUP($A12,'01-02.2022'!$A$6:$DA$376,63,FALSE)</f>
        <v>3463.9390656684141</v>
      </c>
      <c r="BL12" s="566">
        <f>VLOOKUP($A12,'01-02.2021'!$A$6:$CZ$403,64,FALSE)+VLOOKUP($A12,'1.3.21-28.2.22'!$A$6:$DA$404,64,FALSE)-VLOOKUP($A12,'01-02.2022'!$A$6:$DA$376,64,FALSE)</f>
        <v>1183</v>
      </c>
      <c r="BM12" s="55">
        <f t="shared" si="52"/>
        <v>-2280.9390656684141</v>
      </c>
      <c r="BN12" s="566">
        <f>VLOOKUP($A12,'01-02.2021'!$A$6:$CZ$403,66,FALSE)+VLOOKUP($A12,'1.3.21-28.2.22'!$A$6:$DA$404,66,FALSE)-VLOOKUP($A12,'01-02.2022'!$A$6:$DA$376,66,FALSE)</f>
        <v>304.77449999999999</v>
      </c>
      <c r="BO12" s="566">
        <f>VLOOKUP($A12,'01-02.2021'!$A$6:$CZ$403,67,FALSE)+VLOOKUP($A12,'1.3.21-28.2.22'!$A$6:$DA$404,67,FALSE)-VLOOKUP($A12,'01-02.2022'!$A$6:$DA$376,67,FALSE)</f>
        <v>0</v>
      </c>
      <c r="BP12" s="55">
        <f t="shared" si="53"/>
        <v>-304.77449999999999</v>
      </c>
      <c r="BQ12" s="77">
        <f t="shared" si="25"/>
        <v>21857.770072499887</v>
      </c>
      <c r="BR12" s="40">
        <f t="shared" si="26"/>
        <v>1199.5</v>
      </c>
      <c r="BS12" s="55">
        <f t="shared" si="70"/>
        <v>-20658.270072499887</v>
      </c>
      <c r="BT12" s="566">
        <f>VLOOKUP($A12,'01-02.2021'!$A$6:$CZ$403,72,FALSE)+VLOOKUP($A12,'1.3.21-28.2.22'!$A$6:$DA$404,72,FALSE)-VLOOKUP($A12,'01-02.2022'!$A$6:$DA$376,72,FALSE)</f>
        <v>60912.737910305877</v>
      </c>
      <c r="BU12" s="566">
        <f>VLOOKUP($A12,'01-02.2021'!$A$6:$CZ$403,73,FALSE)+VLOOKUP($A12,'1.3.21-28.2.22'!$A$6:$DA$404,73,FALSE)-VLOOKUP($A12,'01-02.2022'!$A$6:$DA$376,73,FALSE)</f>
        <v>51985.178178209775</v>
      </c>
      <c r="BV12" s="70">
        <f t="shared" si="54"/>
        <v>-8927.5597320961024</v>
      </c>
      <c r="BW12" s="566">
        <f>VLOOKUP($A12,'01-02.2021'!$A$6:$CZ$403,75,FALSE)+VLOOKUP($A12,'1.3.21-28.2.22'!$A$6:$DA$404,75,FALSE)-VLOOKUP($A12,'01-02.2022'!$A$6:$DA$376,75,FALSE)</f>
        <v>50987.69153281927</v>
      </c>
      <c r="BX12" s="566">
        <f>VLOOKUP($A12,'01-02.2021'!$A$6:$CZ$403,76,FALSE)+VLOOKUP($A12,'1.3.21-28.2.22'!$A$6:$DA$404,76,FALSE)-VLOOKUP($A12,'01-02.2022'!$A$6:$DA$376,76,FALSE)</f>
        <v>45173.497394384955</v>
      </c>
      <c r="BY12" s="70">
        <f t="shared" si="55"/>
        <v>-5814.1941384343154</v>
      </c>
      <c r="BZ12" s="566">
        <f>VLOOKUP($A12,'01-02.2021'!$A$6:$CZ$403,78,FALSE)+VLOOKUP($A12,'1.3.21-28.2.22'!$A$6:$DA$404,78,FALSE)-VLOOKUP($A12,'01-02.2022'!$A$6:$DA$376,78,FALSE)</f>
        <v>7948.5383074823303</v>
      </c>
      <c r="CA12" s="566">
        <f>VLOOKUP($A12,'01-02.2021'!$A$6:$CZ$403,79,FALSE)+VLOOKUP($A12,'1.3.21-28.2.22'!$A$6:$DA$404,79,FALSE)-VLOOKUP($A12,'01-02.2022'!$A$6:$DA$376,79,FALSE)</f>
        <v>10323.837177072764</v>
      </c>
      <c r="CB12" s="70">
        <f t="shared" si="56"/>
        <v>2375.2988695904342</v>
      </c>
      <c r="CC12" s="566">
        <f>VLOOKUP($A12,'01-02.2021'!$A$6:$CZ$403,81,FALSE)+VLOOKUP($A12,'1.3.21-28.2.22'!$A$6:$DA$404,81,FALSE)-VLOOKUP($A12,'01-02.2022'!$A$6:$DA$376,81,FALSE)</f>
        <v>1993.3117933959106</v>
      </c>
      <c r="CD12" s="566">
        <f>VLOOKUP($A12,'01-02.2021'!$A$6:$CZ$403,82,FALSE)+VLOOKUP($A12,'1.3.21-28.2.22'!$A$6:$DA$404,82,FALSE)-VLOOKUP($A12,'01-02.2022'!$A$6:$DA$376,82,FALSE)</f>
        <v>2159.2641240252524</v>
      </c>
      <c r="CE12" s="70">
        <f t="shared" si="57"/>
        <v>165.95233062934176</v>
      </c>
      <c r="CF12" s="566">
        <f>VLOOKUP($A12,'01-02.2021'!$A$6:$CZ$403,84,FALSE)+VLOOKUP($A12,'1.3.21-28.2.22'!$A$6:$DA$404,84,FALSE)-VLOOKUP($A12,'01-02.2022'!$A$6:$DA$376,84,FALSE)</f>
        <v>240.16899321423381</v>
      </c>
      <c r="CG12" s="566">
        <f>VLOOKUP($A12,'01-02.2021'!$A$6:$CZ$403,85,FALSE)+VLOOKUP($A12,'1.3.21-28.2.22'!$A$6:$DA$404,85,FALSE)-VLOOKUP($A12,'01-02.2022'!$A$6:$DA$376,85,FALSE)</f>
        <v>1663.3372303883007</v>
      </c>
      <c r="CH12" s="70">
        <f t="shared" si="58"/>
        <v>1423.1682371740669</v>
      </c>
      <c r="CI12" s="566">
        <f>VLOOKUP($A12,'01-02.2021'!$A$6:$CZ$403,87,FALSE)+VLOOKUP($A12,'1.3.21-28.2.22'!$A$6:$DA$404,87,FALSE)-VLOOKUP($A12,'01-02.2022'!$A$6:$DA$376,87,FALSE)</f>
        <v>14587.911595961477</v>
      </c>
      <c r="CJ12" s="566">
        <f>VLOOKUP($A12,'01-02.2021'!$A$6:$CZ$403,88,FALSE)+VLOOKUP($A12,'1.3.21-28.2.22'!$A$6:$DA$404,88,FALSE)-VLOOKUP($A12,'01-02.2022'!$A$6:$DA$376,88,FALSE)</f>
        <v>12048.328569067802</v>
      </c>
      <c r="CK12" s="70">
        <f t="shared" si="59"/>
        <v>-2539.5830268936752</v>
      </c>
      <c r="CL12" s="566">
        <f>VLOOKUP($A12,'01-02.2021'!$A$6:$CZ$403,90,FALSE)+VLOOKUP($A12,'1.3.21-28.2.22'!$A$6:$DA$404,90,FALSE)-VLOOKUP($A12,'01-02.2022'!$A$6:$DA$376,90,FALSE)</f>
        <v>21898.248603472253</v>
      </c>
      <c r="CM12" s="566">
        <f>VLOOKUP($A12,'01-02.2021'!$A$6:$CZ$403,91,FALSE)+VLOOKUP($A12,'1.3.21-28.2.22'!$A$6:$DA$404,91,FALSE)-VLOOKUP($A12,'01-02.2022'!$A$6:$DA$376,91,FALSE)</f>
        <v>18070.961277065118</v>
      </c>
      <c r="CN12" s="52">
        <f t="shared" si="60"/>
        <v>-3827.287326407135</v>
      </c>
      <c r="CO12" s="39">
        <f t="shared" si="27"/>
        <v>36486.160199433732</v>
      </c>
      <c r="CP12" s="40">
        <f t="shared" si="61"/>
        <v>30119.289846132921</v>
      </c>
      <c r="CQ12" s="52">
        <f t="shared" si="62"/>
        <v>-6366.870353300812</v>
      </c>
      <c r="CR12" s="72">
        <f t="shared" si="28"/>
        <v>402149.42762019159</v>
      </c>
      <c r="CS12" s="5">
        <f t="shared" si="28"/>
        <v>290283.28042781533</v>
      </c>
      <c r="CT12" s="52">
        <f t="shared" si="63"/>
        <v>-111866.14719237626</v>
      </c>
      <c r="CU12" s="77">
        <f t="shared" si="64"/>
        <v>482579.31314422988</v>
      </c>
      <c r="CV12" s="65">
        <f t="shared" si="65"/>
        <v>348339.9365133784</v>
      </c>
      <c r="CW12" s="35">
        <f t="shared" si="66"/>
        <v>-134239.37663085148</v>
      </c>
      <c r="CX12" s="566">
        <f>VLOOKUP($A12,'01-02.2021'!$A$6:$CZ$403,102,FALSE)+VLOOKUP($A12,'1.3.21-28.2.22'!$A$6:$DA$404,102,FALSE)-VLOOKUP($A12,'01-02.2022'!$A$6:$DA$376,102,FALSE)</f>
        <v>13787.996383133488</v>
      </c>
      <c r="CY12" s="566">
        <f>VLOOKUP($A12,'01-02.2021'!$A$6:$CZ$403,103,FALSE)+VLOOKUP($A12,'1.3.21-28.2.22'!$A$6:$DA$404,103,FALSE)-VLOOKUP($A12,'01-02.2022'!$A$6:$DA$376,103,FALSE)</f>
        <v>148027.3730139852</v>
      </c>
      <c r="CZ12" s="52">
        <f t="shared" si="67"/>
        <v>134239.37663085171</v>
      </c>
      <c r="DA12" s="150">
        <f>'[2]побудинковий звіт'!DA12</f>
        <v>-87420.694721064239</v>
      </c>
      <c r="DB12" s="2">
        <v>3</v>
      </c>
      <c r="DC12" s="414">
        <f>'[4]побудинковий звіт'!DC12</f>
        <v>84569.18</v>
      </c>
      <c r="DD12" s="414">
        <f>'[4]побудинковий звіт'!DD12</f>
        <v>0</v>
      </c>
      <c r="DE12" s="557">
        <f>'[4]побудинковий звіт'!DE12</f>
        <v>39864.261581092527</v>
      </c>
      <c r="DF12" s="557">
        <f>'[4]побудинковий звіт'!DF12</f>
        <v>0</v>
      </c>
      <c r="DG12" s="321">
        <f>VLOOKUP(A12,'кошти 01.03.2021'!$A$6:$D$401,4,)</f>
        <v>63391.816190171667</v>
      </c>
      <c r="DH12" s="40">
        <f>'[3]побудинковий звіт'!DJ12</f>
        <v>512137.90433524008</v>
      </c>
      <c r="DI12" s="422">
        <f>'[3]побудинковий звіт'!CU12+'[3]побудинковий звіт'!CX12</f>
        <v>44704.918418907473</v>
      </c>
      <c r="DJ12" s="306">
        <f>'[3]побудинковий звіт'!DM12</f>
        <v>5.9482476944041096</v>
      </c>
      <c r="DK12" s="306">
        <f>'[3]побудинковий звіт'!DN12</f>
        <v>7.4855383352065115</v>
      </c>
      <c r="DL12" s="306">
        <f>'[3]побудинковий звіт'!DO12</f>
        <v>4.9623037621392525</v>
      </c>
      <c r="DM12" s="28">
        <f>DJ12*G12+(F12-G12)*DK12</f>
        <v>44704.918418907466</v>
      </c>
      <c r="DN12" s="28">
        <f>DL12*H12</f>
        <v>0</v>
      </c>
      <c r="DO12" s="423">
        <f t="shared" si="29"/>
        <v>44704.918418907466</v>
      </c>
      <c r="DP12" s="94">
        <f t="shared" si="30"/>
        <v>0</v>
      </c>
      <c r="DQ12" s="28">
        <f t="shared" si="31"/>
        <v>44704.918418907466</v>
      </c>
      <c r="DR12" s="318"/>
      <c r="DT12" s="8"/>
      <c r="DU12" s="5"/>
      <c r="DX12" s="5">
        <f t="shared" si="32"/>
        <v>130991.75351471978</v>
      </c>
      <c r="DY12" s="5">
        <f t="shared" si="33"/>
        <v>20417.399999999998</v>
      </c>
      <c r="DZ12" s="159">
        <f>'[3]побудинковий звіт'!EA12</f>
        <v>12444.593083311318</v>
      </c>
    </row>
    <row r="13" spans="1:130" x14ac:dyDescent="0.3">
      <c r="A13" s="325">
        <v>150000703</v>
      </c>
      <c r="B13" s="41" t="s">
        <v>462</v>
      </c>
      <c r="C13" s="42" t="s">
        <v>340</v>
      </c>
      <c r="D13" s="42"/>
      <c r="E13" s="293">
        <f t="shared" si="23"/>
        <v>6316</v>
      </c>
      <c r="F13" s="305">
        <f>'[3]побудинковий звіт'!F13</f>
        <v>6316</v>
      </c>
      <c r="G13" s="508">
        <f>'[3]побудинковий звіт'!G13</f>
        <v>712.5</v>
      </c>
      <c r="H13" s="560">
        <f>'[3]побудинковий звіт'!H13</f>
        <v>0</v>
      </c>
      <c r="I13" s="566">
        <f>VLOOKUP($A13,'01-02.2021'!$A$6:$CZ$403,9,FALSE)+VLOOKUP($A13,'1.3.21-28.2.22'!$A$6:$DA$404,9,FALSE)-VLOOKUP($A13,'01-02.2022'!$A$6:$DA$376,9,FALSE)</f>
        <v>20403.683241683317</v>
      </c>
      <c r="J13" s="566">
        <f>VLOOKUP($A13,'01-02.2021'!$A$6:$CZ$403,10,FALSE)+VLOOKUP($A13,'1.3.21-28.2.22'!$A$6:$DA$404,10,FALSE)-VLOOKUP($A13,'01-02.2022'!$A$6:$DA$376,10,FALSE)</f>
        <v>20167.043093240725</v>
      </c>
      <c r="K13" s="52">
        <f t="shared" si="34"/>
        <v>-236.64014844259145</v>
      </c>
      <c r="L13" s="566">
        <f>VLOOKUP($A13,'01-02.2021'!$A$6:$CZ$403,12,FALSE)+VLOOKUP($A13,'1.3.21-28.2.22'!$A$6:$DA$404,12,FALSE)-VLOOKUP($A13,'01-02.2022'!$A$6:$DA$376,12,FALSE)</f>
        <v>3980.9408388382262</v>
      </c>
      <c r="M13" s="566">
        <f>VLOOKUP($A13,'01-02.2021'!$A$6:$CZ$403,13,FALSE)+VLOOKUP($A13,'1.3.21-28.2.22'!$A$6:$DA$404,13,FALSE)-VLOOKUP($A13,'01-02.2022'!$A$6:$DA$376,13,FALSE)</f>
        <v>3974.779422296519</v>
      </c>
      <c r="N13" s="52">
        <f t="shared" si="35"/>
        <v>-6.16141654170724</v>
      </c>
      <c r="O13" s="566">
        <f>VLOOKUP($A13,'01-02.2021'!$A$6:$CZ$403,15,FALSE)+VLOOKUP($A13,'1.3.21-28.2.22'!$A$6:$DA$404,15,FALSE)-VLOOKUP($A13,'01-02.2022'!$A$6:$DA$376,15,FALSE)</f>
        <v>7603.3240666393667</v>
      </c>
      <c r="P13" s="566">
        <f>VLOOKUP($A13,'01-02.2021'!$A$6:$CZ$403,16,FALSE)+VLOOKUP($A13,'1.3.21-28.2.22'!$A$6:$DA$404,16,FALSE)-VLOOKUP($A13,'01-02.2022'!$A$6:$DA$376,16,FALSE)</f>
        <v>7604.1050000000023</v>
      </c>
      <c r="Q13" s="70">
        <f t="shared" si="36"/>
        <v>0.78093336063557217</v>
      </c>
      <c r="R13" s="566">
        <f>VLOOKUP($A13,'01-02.2021'!$A$6:$CZ$403,18,FALSE)+VLOOKUP($A13,'1.3.21-28.2.22'!$A$6:$DA$404,18,FALSE)-VLOOKUP($A13,'01-02.2022'!$A$6:$DA$376,18,FALSE)</f>
        <v>1771.4559413424081</v>
      </c>
      <c r="S13" s="566">
        <f>VLOOKUP($A13,'01-02.2021'!$A$6:$CZ$403,19,FALSE)+VLOOKUP($A13,'1.3.21-28.2.22'!$A$6:$DA$404,19,FALSE)-VLOOKUP($A13,'01-02.2022'!$A$6:$DA$376,19,FALSE)</f>
        <v>1772.3233333333328</v>
      </c>
      <c r="T13" s="70">
        <f t="shared" si="37"/>
        <v>0.86739199092471608</v>
      </c>
      <c r="U13" s="566">
        <f>VLOOKUP($A13,'01-02.2021'!$A$6:$CZ$403,21,FALSE)+VLOOKUP($A13,'1.3.21-28.2.22'!$A$6:$DA$404,21,FALSE)-VLOOKUP($A13,'01-02.2022'!$A$6:$DA$376,21,FALSE)</f>
        <v>1007.187849608177</v>
      </c>
      <c r="V13" s="566">
        <f>VLOOKUP($A13,'01-02.2021'!$A$6:$CZ$403,22,FALSE)+VLOOKUP($A13,'1.3.21-28.2.22'!$A$6:$DA$404,22,FALSE)-VLOOKUP($A13,'01-02.2022'!$A$6:$DA$376,22,FALSE)</f>
        <v>894.90793478035198</v>
      </c>
      <c r="W13" s="70">
        <f t="shared" si="38"/>
        <v>-112.279914827825</v>
      </c>
      <c r="X13" s="566">
        <f>VLOOKUP($A13,'01-02.2021'!$A$6:$CZ$403,24,FALSE)+VLOOKUP($A13,'1.3.21-28.2.22'!$A$6:$DA$404,24,FALSE)-VLOOKUP($A13,'01-02.2022'!$A$6:$DA$376,24,FALSE)</f>
        <v>12380.712865449184</v>
      </c>
      <c r="Y13" s="566">
        <f>VLOOKUP($A13,'01-02.2021'!$A$6:$CZ$403,25,FALSE)+VLOOKUP($A13,'1.3.21-28.2.22'!$A$6:$DA$404,25,FALSE)-VLOOKUP($A13,'01-02.2022'!$A$6:$DA$376,25,FALSE)</f>
        <v>10787.456855775064</v>
      </c>
      <c r="Z13" s="70">
        <f t="shared" si="39"/>
        <v>-1593.2560096741199</v>
      </c>
      <c r="AA13" s="566">
        <f>VLOOKUP($A13,'01-02.2021'!$A$6:$CZ$403,27,FALSE)+VLOOKUP($A13,'1.3.21-28.2.22'!$A$6:$DA$404,27,FALSE)-VLOOKUP($A13,'01-02.2022'!$A$6:$DA$376,27,FALSE)</f>
        <v>1263.3200000000002</v>
      </c>
      <c r="AB13" s="566">
        <f>VLOOKUP($A13,'01-02.2021'!$A$6:$CZ$403,28,FALSE)+VLOOKUP($A13,'1.3.21-28.2.22'!$A$6:$DA$404,28,FALSE)-VLOOKUP($A13,'01-02.2022'!$A$6:$DA$376,28,FALSE)</f>
        <v>0</v>
      </c>
      <c r="AC13" s="70">
        <f t="shared" si="40"/>
        <v>-1263.3200000000002</v>
      </c>
      <c r="AD13" s="566">
        <f>VLOOKUP($A13,'01-02.2021'!$A$6:$CZ$403,30,FALSE)+VLOOKUP($A13,'1.3.21-28.2.22'!$A$6:$DA$404,30,FALSE)-VLOOKUP($A13,'01-02.2022'!$A$6:$DA$376,30,FALSE)</f>
        <v>27130.056319883668</v>
      </c>
      <c r="AE13" s="566">
        <f>VLOOKUP($A13,'01-02.2021'!$A$6:$CZ$403,31,FALSE)+VLOOKUP($A13,'1.3.21-28.2.22'!$A$6:$DA$404,31,FALSE)-VLOOKUP($A13,'01-02.2022'!$A$6:$DA$376,31,FALSE)</f>
        <v>28750.686485853246</v>
      </c>
      <c r="AF13" s="68">
        <f t="shared" si="41"/>
        <v>1620.6301659695782</v>
      </c>
      <c r="AG13" s="77">
        <f t="shared" si="24"/>
        <v>75540.681123444345</v>
      </c>
      <c r="AH13" s="53">
        <f t="shared" si="24"/>
        <v>73951.302125279239</v>
      </c>
      <c r="AI13" s="52">
        <f t="shared" si="42"/>
        <v>-1589.3789981651062</v>
      </c>
      <c r="AJ13" s="566">
        <f>VLOOKUP($A13,'01-02.2021'!$A$6:$CZ$403,36,FALSE)+VLOOKUP($A13,'1.3.21-28.2.22'!$A$6:$DA$404,36,FALSE)-VLOOKUP($A13,'01-02.2022'!$A$6:$DA$376,36,FALSE)</f>
        <v>57000.199256704997</v>
      </c>
      <c r="AK13" s="566">
        <f>VLOOKUP($A13,'01-02.2021'!$A$6:$CZ$403,37,FALSE)+VLOOKUP($A13,'1.3.21-28.2.22'!$A$6:$DA$404,37,FALSE)-VLOOKUP($A13,'01-02.2022'!$A$6:$DA$376,37,FALSE)</f>
        <v>56626.4945248687</v>
      </c>
      <c r="AL13" s="70">
        <f t="shared" si="43"/>
        <v>-373.70473183629656</v>
      </c>
      <c r="AM13" s="566">
        <f>VLOOKUP($A13,'01-02.2021'!$A$6:$CZ$403,39,FALSE)+VLOOKUP($A13,'1.3.21-28.2.22'!$A$6:$DA$404,39,FALSE)-VLOOKUP($A13,'01-02.2022'!$A$6:$DA$376,39,FALSE)</f>
        <v>0</v>
      </c>
      <c r="AN13" s="566">
        <f>VLOOKUP($A13,'01-02.2021'!$A$6:$CZ$403,40,FALSE)+VLOOKUP($A13,'1.3.21-28.2.22'!$A$6:$DA$404,40,FALSE)-VLOOKUP($A13,'01-02.2022'!$A$6:$DA$376,40,FALSE)</f>
        <v>0</v>
      </c>
      <c r="AO13" s="70">
        <f t="shared" si="44"/>
        <v>0</v>
      </c>
      <c r="AP13" s="566">
        <f>VLOOKUP($A13,'01-02.2021'!$A$6:$CZ$403,42,FALSE)+VLOOKUP($A13,'1.3.21-28.2.22'!$A$6:$DA$404,42,FALSE)-VLOOKUP($A13,'01-02.2022'!$A$6:$DA$376,42,FALSE)</f>
        <v>4598.2793376128675</v>
      </c>
      <c r="AQ13" s="566">
        <f>VLOOKUP($A13,'01-02.2021'!$A$6:$CZ$403,43,FALSE)+VLOOKUP($A13,'1.3.21-28.2.22'!$A$6:$DA$404,43,FALSE)-VLOOKUP($A13,'01-02.2022'!$A$6:$DA$376,43,FALSE)</f>
        <v>4038.7991329479769</v>
      </c>
      <c r="AR13" s="70">
        <f t="shared" si="45"/>
        <v>-559.48020466489061</v>
      </c>
      <c r="AS13" s="566">
        <f>VLOOKUP($A13,'01-02.2021'!$A$6:$CZ$403,45,FALSE)+VLOOKUP($A13,'1.3.21-28.2.22'!$A$6:$DA$404,45,FALSE)-VLOOKUP($A13,'01-02.2022'!$A$6:$DA$376,45,FALSE)</f>
        <v>88411.508033288468</v>
      </c>
      <c r="AT13" s="566">
        <f>VLOOKUP($A13,'01-02.2021'!$A$6:$CZ$403,46,FALSE)+VLOOKUP($A13,'1.3.21-28.2.22'!$A$6:$DA$404,46,FALSE)-VLOOKUP($A13,'01-02.2022'!$A$6:$DA$376,46,FALSE)</f>
        <v>46160.486512691139</v>
      </c>
      <c r="AU13" s="78">
        <f t="shared" si="46"/>
        <v>-42251.021520597329</v>
      </c>
      <c r="AV13" s="566">
        <f>VLOOKUP($A13,'01-02.2021'!$A$6:$CZ$403,48,FALSE)+VLOOKUP($A13,'1.3.21-28.2.22'!$A$6:$DA$404,48,FALSE)-VLOOKUP($A13,'01-02.2022'!$A$6:$DA$376,48,FALSE)</f>
        <v>4502.6449995488083</v>
      </c>
      <c r="AW13" s="566">
        <f>VLOOKUP($A13,'01-02.2021'!$A$6:$CZ$403,49,FALSE)+VLOOKUP($A13,'1.3.21-28.2.22'!$A$6:$DA$404,49,FALSE)-VLOOKUP($A13,'01-02.2022'!$A$6:$DA$376,49,FALSE)</f>
        <v>71</v>
      </c>
      <c r="AX13" s="55">
        <f t="shared" si="47"/>
        <v>-4431.6449995488083</v>
      </c>
      <c r="AY13" s="566">
        <f>VLOOKUP($A13,'01-02.2021'!$A$6:$CZ$403,51,FALSE)+VLOOKUP($A13,'1.3.21-28.2.22'!$A$6:$DA$404,51,FALSE)-VLOOKUP($A13,'01-02.2022'!$A$6:$DA$376,51,FALSE)</f>
        <v>5397.7394438608744</v>
      </c>
      <c r="AZ13" s="566">
        <f>VLOOKUP($A13,'01-02.2021'!$A$6:$CZ$403,52,FALSE)+VLOOKUP($A13,'1.3.21-28.2.22'!$A$6:$DA$404,52,FALSE)-VLOOKUP($A13,'01-02.2022'!$A$6:$DA$376,52,FALSE)</f>
        <v>4959</v>
      </c>
      <c r="BA13" s="38">
        <f t="shared" si="48"/>
        <v>-438.73944386087442</v>
      </c>
      <c r="BB13" s="566">
        <f>VLOOKUP($A13,'01-02.2021'!$A$6:$CZ$403,54,FALSE)+VLOOKUP($A13,'1.3.21-28.2.22'!$A$6:$DA$404,54,FALSE)-VLOOKUP($A13,'01-02.2022'!$A$6:$DA$376,54,FALSE)</f>
        <v>2691.1052980796521</v>
      </c>
      <c r="BC13" s="566">
        <f>VLOOKUP($A13,'01-02.2021'!$A$6:$CZ$403,55,FALSE)+VLOOKUP($A13,'1.3.21-28.2.22'!$A$6:$DA$404,55,FALSE)-VLOOKUP($A13,'01-02.2022'!$A$6:$DA$376,55,FALSE)</f>
        <v>0</v>
      </c>
      <c r="BD13" s="55">
        <f t="shared" si="49"/>
        <v>-2691.1052980796521</v>
      </c>
      <c r="BE13" s="566">
        <f>VLOOKUP($A13,'01-02.2021'!$A$6:$CZ$403,57,FALSE)+VLOOKUP($A13,'1.3.21-28.2.22'!$A$6:$DA$404,57,FALSE)-VLOOKUP($A13,'01-02.2022'!$A$6:$DA$376,57,FALSE)</f>
        <v>3764.6754733590578</v>
      </c>
      <c r="BF13" s="566">
        <f>VLOOKUP($A13,'01-02.2021'!$A$6:$CZ$403,58,FALSE)+VLOOKUP($A13,'1.3.21-28.2.22'!$A$6:$DA$404,58,FALSE)-VLOOKUP($A13,'01-02.2022'!$A$6:$DA$376,58,FALSE)</f>
        <v>0</v>
      </c>
      <c r="BG13" s="55">
        <f t="shared" si="50"/>
        <v>-3764.6754733590578</v>
      </c>
      <c r="BH13" s="566">
        <f>VLOOKUP($A13,'01-02.2021'!$A$6:$CZ$403,60,FALSE)+VLOOKUP($A13,'1.3.21-28.2.22'!$A$6:$DA$404,60,FALSE)-VLOOKUP($A13,'01-02.2022'!$A$6:$DA$376,60,FALSE)</f>
        <v>1775.0511444706733</v>
      </c>
      <c r="BI13" s="566">
        <f>VLOOKUP($A13,'01-02.2021'!$A$6:$CZ$403,61,FALSE)+VLOOKUP($A13,'1.3.21-28.2.22'!$A$6:$DA$404,61,FALSE)-VLOOKUP($A13,'01-02.2022'!$A$6:$DA$376,61,FALSE)</f>
        <v>15</v>
      </c>
      <c r="BJ13" s="55">
        <f t="shared" si="51"/>
        <v>-1760.0511444706733</v>
      </c>
      <c r="BK13" s="566">
        <f>VLOOKUP($A13,'01-02.2021'!$A$6:$CZ$403,63,FALSE)+VLOOKUP($A13,'1.3.21-28.2.22'!$A$6:$DA$404,63,FALSE)-VLOOKUP($A13,'01-02.2022'!$A$6:$DA$376,63,FALSE)</f>
        <v>3259.0187387307824</v>
      </c>
      <c r="BL13" s="566">
        <f>VLOOKUP($A13,'01-02.2021'!$A$6:$CZ$403,64,FALSE)+VLOOKUP($A13,'1.3.21-28.2.22'!$A$6:$DA$404,64,FALSE)-VLOOKUP($A13,'01-02.2022'!$A$6:$DA$376,64,FALSE)</f>
        <v>2760</v>
      </c>
      <c r="BM13" s="55">
        <f t="shared" si="52"/>
        <v>-499.01873873078239</v>
      </c>
      <c r="BN13" s="566">
        <f>VLOOKUP($A13,'01-02.2021'!$A$6:$CZ$403,66,FALSE)+VLOOKUP($A13,'1.3.21-28.2.22'!$A$6:$DA$404,66,FALSE)-VLOOKUP($A13,'01-02.2022'!$A$6:$DA$376,66,FALSE)</f>
        <v>315.83000000000004</v>
      </c>
      <c r="BO13" s="566">
        <f>VLOOKUP($A13,'01-02.2021'!$A$6:$CZ$403,67,FALSE)+VLOOKUP($A13,'1.3.21-28.2.22'!$A$6:$DA$404,67,FALSE)-VLOOKUP($A13,'01-02.2022'!$A$6:$DA$376,67,FALSE)</f>
        <v>0</v>
      </c>
      <c r="BP13" s="55">
        <f t="shared" si="53"/>
        <v>-315.83000000000004</v>
      </c>
      <c r="BQ13" s="77">
        <f t="shared" si="25"/>
        <v>21706.065098049847</v>
      </c>
      <c r="BR13" s="40">
        <f t="shared" si="26"/>
        <v>7805</v>
      </c>
      <c r="BS13" s="55">
        <f t="shared" si="70"/>
        <v>-13901.065098049847</v>
      </c>
      <c r="BT13" s="566">
        <f>VLOOKUP($A13,'01-02.2021'!$A$6:$CZ$403,72,FALSE)+VLOOKUP($A13,'1.3.21-28.2.22'!$A$6:$DA$404,72,FALSE)-VLOOKUP($A13,'01-02.2022'!$A$6:$DA$376,72,FALSE)</f>
        <v>61121.228248307496</v>
      </c>
      <c r="BU13" s="566">
        <f>VLOOKUP($A13,'01-02.2021'!$A$6:$CZ$403,73,FALSE)+VLOOKUP($A13,'1.3.21-28.2.22'!$A$6:$DA$404,73,FALSE)-VLOOKUP($A13,'01-02.2022'!$A$6:$DA$376,73,FALSE)</f>
        <v>54326.234553403498</v>
      </c>
      <c r="BV13" s="70">
        <f t="shared" si="54"/>
        <v>-6794.9936949039984</v>
      </c>
      <c r="BW13" s="566">
        <f>VLOOKUP($A13,'01-02.2021'!$A$6:$CZ$403,75,FALSE)+VLOOKUP($A13,'1.3.21-28.2.22'!$A$6:$DA$404,75,FALSE)-VLOOKUP($A13,'01-02.2022'!$A$6:$DA$376,75,FALSE)</f>
        <v>51473.432333850178</v>
      </c>
      <c r="BX13" s="566">
        <f>VLOOKUP($A13,'01-02.2021'!$A$6:$CZ$403,76,FALSE)+VLOOKUP($A13,'1.3.21-28.2.22'!$A$6:$DA$404,76,FALSE)-VLOOKUP($A13,'01-02.2022'!$A$6:$DA$376,76,FALSE)</f>
        <v>49002.645115844483</v>
      </c>
      <c r="BY13" s="70">
        <f t="shared" si="55"/>
        <v>-2470.7872180056947</v>
      </c>
      <c r="BZ13" s="566">
        <f>VLOOKUP($A13,'01-02.2021'!$A$6:$CZ$403,78,FALSE)+VLOOKUP($A13,'1.3.21-28.2.22'!$A$6:$DA$404,78,FALSE)-VLOOKUP($A13,'01-02.2022'!$A$6:$DA$376,78,FALSE)</f>
        <v>8374.0285557916341</v>
      </c>
      <c r="CA13" s="566">
        <f>VLOOKUP($A13,'01-02.2021'!$A$6:$CZ$403,79,FALSE)+VLOOKUP($A13,'1.3.21-28.2.22'!$A$6:$DA$404,79,FALSE)-VLOOKUP($A13,'01-02.2022'!$A$6:$DA$376,79,FALSE)</f>
        <v>14161.262253905168</v>
      </c>
      <c r="CB13" s="70">
        <f t="shared" si="56"/>
        <v>5787.233698113534</v>
      </c>
      <c r="CC13" s="566">
        <f>VLOOKUP($A13,'01-02.2021'!$A$6:$CZ$403,81,FALSE)+VLOOKUP($A13,'1.3.21-28.2.22'!$A$6:$DA$404,81,FALSE)-VLOOKUP($A13,'01-02.2022'!$A$6:$DA$376,81,FALSE)</f>
        <v>2439.4677754016452</v>
      </c>
      <c r="CD13" s="566">
        <f>VLOOKUP($A13,'01-02.2021'!$A$6:$CZ$403,82,FALSE)+VLOOKUP($A13,'1.3.21-28.2.22'!$A$6:$DA$404,82,FALSE)-VLOOKUP($A13,'01-02.2022'!$A$6:$DA$376,82,FALSE)</f>
        <v>2659.0153989111836</v>
      </c>
      <c r="CE13" s="70">
        <f t="shared" si="57"/>
        <v>219.54762350953843</v>
      </c>
      <c r="CF13" s="566">
        <f>VLOOKUP($A13,'01-02.2021'!$A$6:$CZ$403,84,FALSE)+VLOOKUP($A13,'1.3.21-28.2.22'!$A$6:$DA$404,84,FALSE)-VLOOKUP($A13,'01-02.2022'!$A$6:$DA$376,84,FALSE)</f>
        <v>295.75494919405918</v>
      </c>
      <c r="CG13" s="566">
        <f>VLOOKUP($A13,'01-02.2021'!$A$6:$CZ$403,85,FALSE)+VLOOKUP($A13,'1.3.21-28.2.22'!$A$6:$DA$404,85,FALSE)-VLOOKUP($A13,'01-02.2022'!$A$6:$DA$376,85,FALSE)</f>
        <v>1673.8491442262543</v>
      </c>
      <c r="CH13" s="70">
        <f t="shared" si="58"/>
        <v>1378.0941950321951</v>
      </c>
      <c r="CI13" s="566">
        <f>VLOOKUP($A13,'01-02.2021'!$A$6:$CZ$403,87,FALSE)+VLOOKUP($A13,'1.3.21-28.2.22'!$A$6:$DA$404,87,FALSE)-VLOOKUP($A13,'01-02.2022'!$A$6:$DA$376,87,FALSE)</f>
        <v>10560.034867281902</v>
      </c>
      <c r="CJ13" s="566">
        <f>VLOOKUP($A13,'01-02.2021'!$A$6:$CZ$403,88,FALSE)+VLOOKUP($A13,'1.3.21-28.2.22'!$A$6:$DA$404,88,FALSE)-VLOOKUP($A13,'01-02.2022'!$A$6:$DA$376,88,FALSE)</f>
        <v>9297.1287160955708</v>
      </c>
      <c r="CK13" s="70">
        <f t="shared" si="59"/>
        <v>-1262.906151186331</v>
      </c>
      <c r="CL13" s="566">
        <f>VLOOKUP($A13,'01-02.2021'!$A$6:$CZ$403,90,FALSE)+VLOOKUP($A13,'1.3.21-28.2.22'!$A$6:$DA$404,90,FALSE)-VLOOKUP($A13,'01-02.2022'!$A$6:$DA$376,90,FALSE)</f>
        <v>15828.374050922852</v>
      </c>
      <c r="CM13" s="566">
        <f>VLOOKUP($A13,'01-02.2021'!$A$6:$CZ$403,91,FALSE)+VLOOKUP($A13,'1.3.21-28.2.22'!$A$6:$DA$404,91,FALSE)-VLOOKUP($A13,'01-02.2022'!$A$6:$DA$376,91,FALSE)</f>
        <v>13949.628478505907</v>
      </c>
      <c r="CN13" s="52">
        <f t="shared" si="60"/>
        <v>-1878.7455724169449</v>
      </c>
      <c r="CO13" s="39">
        <f t="shared" si="27"/>
        <v>26388.408918204754</v>
      </c>
      <c r="CP13" s="40">
        <f t="shared" si="61"/>
        <v>23246.75719460148</v>
      </c>
      <c r="CQ13" s="52">
        <f t="shared" si="62"/>
        <v>-3141.6517236032741</v>
      </c>
      <c r="CR13" s="72">
        <f t="shared" si="28"/>
        <v>397349.05362985039</v>
      </c>
      <c r="CS13" s="5">
        <f t="shared" si="28"/>
        <v>333651.84595667914</v>
      </c>
      <c r="CT13" s="52">
        <f t="shared" si="63"/>
        <v>-63697.207673171244</v>
      </c>
      <c r="CU13" s="77">
        <f t="shared" si="64"/>
        <v>476818.86435582046</v>
      </c>
      <c r="CV13" s="65">
        <f t="shared" si="65"/>
        <v>400382.21514801495</v>
      </c>
      <c r="CW13" s="35">
        <f t="shared" si="66"/>
        <v>-76436.649207805516</v>
      </c>
      <c r="CX13" s="566">
        <f>VLOOKUP($A13,'01-02.2021'!$A$6:$CZ$403,102,FALSE)+VLOOKUP($A13,'1.3.21-28.2.22'!$A$6:$DA$404,102,FALSE)-VLOOKUP($A13,'01-02.2022'!$A$6:$DA$376,102,FALSE)</f>
        <v>16629.249853005982</v>
      </c>
      <c r="CY13" s="566">
        <f>VLOOKUP($A13,'01-02.2021'!$A$6:$CZ$403,103,FALSE)+VLOOKUP($A13,'1.3.21-28.2.22'!$A$6:$DA$404,103,FALSE)-VLOOKUP($A13,'01-02.2022'!$A$6:$DA$376,103,FALSE)</f>
        <v>93065.899060811455</v>
      </c>
      <c r="CZ13" s="52">
        <f t="shared" si="67"/>
        <v>76436.649207805473</v>
      </c>
      <c r="DA13" s="150">
        <f>'[2]побудинковий звіт'!DA13</f>
        <v>-124245.1792124659</v>
      </c>
      <c r="DB13" s="2">
        <v>3</v>
      </c>
      <c r="DC13" s="414">
        <f>'[4]побудинковий звіт'!DC13</f>
        <v>87731.81</v>
      </c>
      <c r="DD13" s="414">
        <f>'[4]побудинковий звіт'!DD13</f>
        <v>0</v>
      </c>
      <c r="DE13" s="557">
        <f>'[4]побудинковий звіт'!DE13</f>
        <v>42910.552541240861</v>
      </c>
      <c r="DF13" s="557">
        <f>'[4]побудинковий звіт'!DF13</f>
        <v>0</v>
      </c>
      <c r="DG13" s="321">
        <f>VLOOKUP(A13,'кошти 01.03.2021'!$A$6:$D$401,4,)</f>
        <v>-26619.726145484266</v>
      </c>
      <c r="DH13" s="40">
        <f>'[3]побудинковий звіт'!DJ13</f>
        <v>510950.2304918475</v>
      </c>
      <c r="DI13" s="422">
        <f>'[3]побудинковий звіт'!CU13+'[3]побудинковий звіт'!CX13</f>
        <v>44821.257458759137</v>
      </c>
      <c r="DJ13" s="306">
        <f>'[3]побудинковий звіт'!DM13</f>
        <v>5.8452632836205494</v>
      </c>
      <c r="DK13" s="306">
        <f>'[3]побудинковий звіт'!DN13</f>
        <v>7.2555558792146861</v>
      </c>
      <c r="DL13" s="306">
        <f>'[3]побудинковий звіт'!DO13</f>
        <v>4.8749049911248123</v>
      </c>
      <c r="DM13" s="28">
        <f>DJ13*G13+(F13-G13)*DK13</f>
        <v>44821.257458759137</v>
      </c>
      <c r="DN13" s="28">
        <f>DL13*H13</f>
        <v>0</v>
      </c>
      <c r="DO13" s="423">
        <f t="shared" si="29"/>
        <v>44821.257458759137</v>
      </c>
      <c r="DP13" s="94">
        <f t="shared" si="30"/>
        <v>0</v>
      </c>
      <c r="DQ13" s="28">
        <f t="shared" si="31"/>
        <v>44821.257458759137</v>
      </c>
      <c r="DR13" s="318"/>
      <c r="DT13" s="8"/>
      <c r="DU13" s="5"/>
      <c r="DX13" s="5">
        <f t="shared" si="32"/>
        <v>132141.08775760597</v>
      </c>
      <c r="DY13" s="5">
        <f t="shared" si="33"/>
        <v>64758.583815229365</v>
      </c>
      <c r="DZ13" s="159">
        <f>'[3]побудинковий звіт'!EA13</f>
        <v>12465.877527528964</v>
      </c>
    </row>
    <row r="14" spans="1:130" x14ac:dyDescent="0.3">
      <c r="A14" s="325">
        <v>150000781</v>
      </c>
      <c r="B14" s="41" t="s">
        <v>463</v>
      </c>
      <c r="C14" s="42" t="s">
        <v>34</v>
      </c>
      <c r="D14" s="42"/>
      <c r="E14" s="293">
        <f t="shared" si="23"/>
        <v>263.3</v>
      </c>
      <c r="F14" s="305">
        <f>'[3]побудинковий звіт'!F14</f>
        <v>263.3</v>
      </c>
      <c r="G14" s="508">
        <f>'[3]побудинковий звіт'!G14</f>
        <v>0</v>
      </c>
      <c r="H14" s="560">
        <f>'[3]побудинковий звіт'!H14</f>
        <v>0</v>
      </c>
      <c r="I14" s="566">
        <f>VLOOKUP($A14,'01-02.2021'!$A$6:$CZ$403,9,FALSE)+VLOOKUP($A14,'1.3.21-28.2.22'!$A$6:$DA$404,9,FALSE)-VLOOKUP($A14,'01-02.2022'!$A$6:$DA$376,9,FALSE)</f>
        <v>0</v>
      </c>
      <c r="J14" s="566">
        <f>VLOOKUP($A14,'01-02.2021'!$A$6:$CZ$403,10,FALSE)+VLOOKUP($A14,'1.3.21-28.2.22'!$A$6:$DA$404,10,FALSE)-VLOOKUP($A14,'01-02.2022'!$A$6:$DA$376,10,FALSE)</f>
        <v>0</v>
      </c>
      <c r="K14" s="52">
        <f t="shared" si="34"/>
        <v>0</v>
      </c>
      <c r="L14" s="566">
        <f>VLOOKUP($A14,'01-02.2021'!$A$6:$CZ$403,12,FALSE)+VLOOKUP($A14,'1.3.21-28.2.22'!$A$6:$DA$404,12,FALSE)-VLOOKUP($A14,'01-02.2022'!$A$6:$DA$376,12,FALSE)</f>
        <v>0</v>
      </c>
      <c r="M14" s="566">
        <f>VLOOKUP($A14,'01-02.2021'!$A$6:$CZ$403,13,FALSE)+VLOOKUP($A14,'1.3.21-28.2.22'!$A$6:$DA$404,13,FALSE)-VLOOKUP($A14,'01-02.2022'!$A$6:$DA$376,13,FALSE)</f>
        <v>0</v>
      </c>
      <c r="N14" s="52">
        <f t="shared" si="35"/>
        <v>0</v>
      </c>
      <c r="O14" s="566">
        <f>VLOOKUP($A14,'01-02.2021'!$A$6:$CZ$403,15,FALSE)+VLOOKUP($A14,'1.3.21-28.2.22'!$A$6:$DA$404,15,FALSE)-VLOOKUP($A14,'01-02.2022'!$A$6:$DA$376,15,FALSE)</f>
        <v>0</v>
      </c>
      <c r="P14" s="566">
        <f>VLOOKUP($A14,'01-02.2021'!$A$6:$CZ$403,16,FALSE)+VLOOKUP($A14,'1.3.21-28.2.22'!$A$6:$DA$404,16,FALSE)-VLOOKUP($A14,'01-02.2022'!$A$6:$DA$376,16,FALSE)</f>
        <v>0</v>
      </c>
      <c r="Q14" s="70">
        <f t="shared" si="36"/>
        <v>0</v>
      </c>
      <c r="R14" s="566">
        <f>VLOOKUP($A14,'01-02.2021'!$A$6:$CZ$403,18,FALSE)+VLOOKUP($A14,'1.3.21-28.2.22'!$A$6:$DA$404,18,FALSE)-VLOOKUP($A14,'01-02.2022'!$A$6:$DA$376,18,FALSE)</f>
        <v>0</v>
      </c>
      <c r="S14" s="566">
        <f>VLOOKUP($A14,'01-02.2021'!$A$6:$CZ$403,19,FALSE)+VLOOKUP($A14,'1.3.21-28.2.22'!$A$6:$DA$404,19,FALSE)-VLOOKUP($A14,'01-02.2022'!$A$6:$DA$376,19,FALSE)</f>
        <v>0</v>
      </c>
      <c r="T14" s="70">
        <f t="shared" si="37"/>
        <v>0</v>
      </c>
      <c r="U14" s="566">
        <f>VLOOKUP($A14,'01-02.2021'!$A$6:$CZ$403,21,FALSE)+VLOOKUP($A14,'1.3.21-28.2.22'!$A$6:$DA$404,21,FALSE)-VLOOKUP($A14,'01-02.2022'!$A$6:$DA$376,21,FALSE)</f>
        <v>0</v>
      </c>
      <c r="V14" s="566">
        <f>VLOOKUP($A14,'01-02.2021'!$A$6:$CZ$403,22,FALSE)+VLOOKUP($A14,'1.3.21-28.2.22'!$A$6:$DA$404,22,FALSE)-VLOOKUP($A14,'01-02.2022'!$A$6:$DA$376,22,FALSE)</f>
        <v>0</v>
      </c>
      <c r="W14" s="70">
        <f t="shared" si="38"/>
        <v>0</v>
      </c>
      <c r="X14" s="566">
        <f>VLOOKUP($A14,'01-02.2021'!$A$6:$CZ$403,24,FALSE)+VLOOKUP($A14,'1.3.21-28.2.22'!$A$6:$DA$404,24,FALSE)-VLOOKUP($A14,'01-02.2022'!$A$6:$DA$376,24,FALSE)</f>
        <v>0</v>
      </c>
      <c r="Y14" s="566">
        <f>VLOOKUP($A14,'01-02.2021'!$A$6:$CZ$403,25,FALSE)+VLOOKUP($A14,'1.3.21-28.2.22'!$A$6:$DA$404,25,FALSE)-VLOOKUP($A14,'01-02.2022'!$A$6:$DA$376,25,FALSE)</f>
        <v>0</v>
      </c>
      <c r="Z14" s="70">
        <f t="shared" si="39"/>
        <v>0</v>
      </c>
      <c r="AA14" s="566">
        <f>VLOOKUP($A14,'01-02.2021'!$A$6:$CZ$403,27,FALSE)+VLOOKUP($A14,'1.3.21-28.2.22'!$A$6:$DA$404,27,FALSE)-VLOOKUP($A14,'01-02.2022'!$A$6:$DA$376,27,FALSE)</f>
        <v>52.66</v>
      </c>
      <c r="AB14" s="566">
        <f>VLOOKUP($A14,'01-02.2021'!$A$6:$CZ$403,28,FALSE)+VLOOKUP($A14,'1.3.21-28.2.22'!$A$6:$DA$404,28,FALSE)-VLOOKUP($A14,'01-02.2022'!$A$6:$DA$376,28,FALSE)</f>
        <v>0</v>
      </c>
      <c r="AC14" s="70">
        <f t="shared" si="40"/>
        <v>-52.66</v>
      </c>
      <c r="AD14" s="566">
        <f>VLOOKUP($A14,'01-02.2021'!$A$6:$CZ$403,30,FALSE)+VLOOKUP($A14,'1.3.21-28.2.22'!$A$6:$DA$404,30,FALSE)-VLOOKUP($A14,'01-02.2022'!$A$6:$DA$376,30,FALSE)</f>
        <v>395.44960787824436</v>
      </c>
      <c r="AE14" s="566">
        <f>VLOOKUP($A14,'01-02.2021'!$A$6:$CZ$403,31,FALSE)+VLOOKUP($A14,'1.3.21-28.2.22'!$A$6:$DA$404,31,FALSE)-VLOOKUP($A14,'01-02.2022'!$A$6:$DA$376,31,FALSE)</f>
        <v>1198.5522089495189</v>
      </c>
      <c r="AF14" s="68">
        <f t="shared" si="41"/>
        <v>803.10260107127453</v>
      </c>
      <c r="AG14" s="77">
        <f t="shared" si="24"/>
        <v>448.10960787824433</v>
      </c>
      <c r="AH14" s="53">
        <f t="shared" si="24"/>
        <v>1198.5522089495189</v>
      </c>
      <c r="AI14" s="52">
        <f t="shared" si="42"/>
        <v>750.44260107127457</v>
      </c>
      <c r="AJ14" s="566">
        <f>VLOOKUP($A14,'01-02.2021'!$A$6:$CZ$403,36,FALSE)+VLOOKUP($A14,'1.3.21-28.2.22'!$A$6:$DA$404,36,FALSE)-VLOOKUP($A14,'01-02.2022'!$A$6:$DA$376,36,FALSE)</f>
        <v>0</v>
      </c>
      <c r="AK14" s="566">
        <f>VLOOKUP($A14,'01-02.2021'!$A$6:$CZ$403,37,FALSE)+VLOOKUP($A14,'1.3.21-28.2.22'!$A$6:$DA$404,37,FALSE)-VLOOKUP($A14,'01-02.2022'!$A$6:$DA$376,37,FALSE)</f>
        <v>0</v>
      </c>
      <c r="AL14" s="70">
        <f t="shared" si="43"/>
        <v>0</v>
      </c>
      <c r="AM14" s="566">
        <f>VLOOKUP($A14,'01-02.2021'!$A$6:$CZ$403,39,FALSE)+VLOOKUP($A14,'1.3.21-28.2.22'!$A$6:$DA$404,39,FALSE)-VLOOKUP($A14,'01-02.2022'!$A$6:$DA$376,39,FALSE)</f>
        <v>0</v>
      </c>
      <c r="AN14" s="566">
        <f>VLOOKUP($A14,'01-02.2021'!$A$6:$CZ$403,40,FALSE)+VLOOKUP($A14,'1.3.21-28.2.22'!$A$6:$DA$404,40,FALSE)-VLOOKUP($A14,'01-02.2022'!$A$6:$DA$376,40,FALSE)</f>
        <v>0</v>
      </c>
      <c r="AO14" s="70">
        <f t="shared" si="44"/>
        <v>0</v>
      </c>
      <c r="AP14" s="566">
        <f>VLOOKUP($A14,'01-02.2021'!$A$6:$CZ$403,42,FALSE)+VLOOKUP($A14,'1.3.21-28.2.22'!$A$6:$DA$404,42,FALSE)-VLOOKUP($A14,'01-02.2022'!$A$6:$DA$376,42,FALSE)</f>
        <v>390.41994375958296</v>
      </c>
      <c r="AQ14" s="566">
        <f>VLOOKUP($A14,'01-02.2021'!$A$6:$CZ$403,43,FALSE)+VLOOKUP($A14,'1.3.21-28.2.22'!$A$6:$DA$404,43,FALSE)-VLOOKUP($A14,'01-02.2022'!$A$6:$DA$376,43,FALSE)</f>
        <v>336.57337442243158</v>
      </c>
      <c r="AR14" s="70">
        <f t="shared" si="45"/>
        <v>-53.846569337151379</v>
      </c>
      <c r="AS14" s="566">
        <f>VLOOKUP($A14,'01-02.2021'!$A$6:$CZ$403,45,FALSE)+VLOOKUP($A14,'1.3.21-28.2.22'!$A$6:$DA$404,45,FALSE)-VLOOKUP($A14,'01-02.2022'!$A$6:$DA$376,45,FALSE)</f>
        <v>2974.7257955935365</v>
      </c>
      <c r="AT14" s="566">
        <f>VLOOKUP($A14,'01-02.2021'!$A$6:$CZ$403,46,FALSE)+VLOOKUP($A14,'1.3.21-28.2.22'!$A$6:$DA$404,46,FALSE)-VLOOKUP($A14,'01-02.2022'!$A$6:$DA$376,46,FALSE)</f>
        <v>0</v>
      </c>
      <c r="AU14" s="78">
        <f t="shared" si="46"/>
        <v>-2974.7257955935365</v>
      </c>
      <c r="AV14" s="566">
        <f>VLOOKUP($A14,'01-02.2021'!$A$6:$CZ$403,48,FALSE)+VLOOKUP($A14,'1.3.21-28.2.22'!$A$6:$DA$404,48,FALSE)-VLOOKUP($A14,'01-02.2022'!$A$6:$DA$376,48,FALSE)</f>
        <v>0</v>
      </c>
      <c r="AW14" s="566">
        <f>VLOOKUP($A14,'01-02.2021'!$A$6:$CZ$403,49,FALSE)+VLOOKUP($A14,'1.3.21-28.2.22'!$A$6:$DA$404,49,FALSE)-VLOOKUP($A14,'01-02.2022'!$A$6:$DA$376,49,FALSE)</f>
        <v>0</v>
      </c>
      <c r="AX14" s="55">
        <f t="shared" si="47"/>
        <v>0</v>
      </c>
      <c r="AY14" s="566">
        <f>VLOOKUP($A14,'01-02.2021'!$A$6:$CZ$403,51,FALSE)+VLOOKUP($A14,'1.3.21-28.2.22'!$A$6:$DA$404,51,FALSE)-VLOOKUP($A14,'01-02.2022'!$A$6:$DA$376,51,FALSE)</f>
        <v>0</v>
      </c>
      <c r="AZ14" s="566">
        <f>VLOOKUP($A14,'01-02.2021'!$A$6:$CZ$403,52,FALSE)+VLOOKUP($A14,'1.3.21-28.2.22'!$A$6:$DA$404,52,FALSE)-VLOOKUP($A14,'01-02.2022'!$A$6:$DA$376,52,FALSE)</f>
        <v>0</v>
      </c>
      <c r="BA14" s="38">
        <f t="shared" si="48"/>
        <v>0</v>
      </c>
      <c r="BB14" s="566">
        <f>VLOOKUP($A14,'01-02.2021'!$A$6:$CZ$403,54,FALSE)+VLOOKUP($A14,'1.3.21-28.2.22'!$A$6:$DA$404,54,FALSE)-VLOOKUP($A14,'01-02.2022'!$A$6:$DA$376,54,FALSE)</f>
        <v>0</v>
      </c>
      <c r="BC14" s="566">
        <f>VLOOKUP($A14,'01-02.2021'!$A$6:$CZ$403,55,FALSE)+VLOOKUP($A14,'1.3.21-28.2.22'!$A$6:$DA$404,55,FALSE)-VLOOKUP($A14,'01-02.2022'!$A$6:$DA$376,55,FALSE)</f>
        <v>0</v>
      </c>
      <c r="BD14" s="55">
        <f t="shared" si="49"/>
        <v>0</v>
      </c>
      <c r="BE14" s="566">
        <f>VLOOKUP($A14,'01-02.2021'!$A$6:$CZ$403,57,FALSE)+VLOOKUP($A14,'1.3.21-28.2.22'!$A$6:$DA$404,57,FALSE)-VLOOKUP($A14,'01-02.2022'!$A$6:$DA$376,57,FALSE)</f>
        <v>0</v>
      </c>
      <c r="BF14" s="566">
        <f>VLOOKUP($A14,'01-02.2021'!$A$6:$CZ$403,58,FALSE)+VLOOKUP($A14,'1.3.21-28.2.22'!$A$6:$DA$404,58,FALSE)-VLOOKUP($A14,'01-02.2022'!$A$6:$DA$376,58,FALSE)</f>
        <v>0</v>
      </c>
      <c r="BG14" s="55">
        <f t="shared" si="50"/>
        <v>0</v>
      </c>
      <c r="BH14" s="566">
        <f>VLOOKUP($A14,'01-02.2021'!$A$6:$CZ$403,60,FALSE)+VLOOKUP($A14,'1.3.21-28.2.22'!$A$6:$DA$404,60,FALSE)-VLOOKUP($A14,'01-02.2022'!$A$6:$DA$376,60,FALSE)</f>
        <v>0</v>
      </c>
      <c r="BI14" s="566">
        <f>VLOOKUP($A14,'01-02.2021'!$A$6:$CZ$403,61,FALSE)+VLOOKUP($A14,'1.3.21-28.2.22'!$A$6:$DA$404,61,FALSE)-VLOOKUP($A14,'01-02.2022'!$A$6:$DA$376,61,FALSE)</f>
        <v>0</v>
      </c>
      <c r="BJ14" s="55">
        <f t="shared" si="51"/>
        <v>0</v>
      </c>
      <c r="BK14" s="566">
        <f>VLOOKUP($A14,'01-02.2021'!$A$6:$CZ$403,63,FALSE)+VLOOKUP($A14,'1.3.21-28.2.22'!$A$6:$DA$404,63,FALSE)-VLOOKUP($A14,'01-02.2022'!$A$6:$DA$376,63,FALSE)</f>
        <v>0</v>
      </c>
      <c r="BL14" s="566">
        <f>VLOOKUP($A14,'01-02.2021'!$A$6:$CZ$403,64,FALSE)+VLOOKUP($A14,'1.3.21-28.2.22'!$A$6:$DA$404,64,FALSE)-VLOOKUP($A14,'01-02.2022'!$A$6:$DA$376,64,FALSE)</f>
        <v>0</v>
      </c>
      <c r="BM14" s="55">
        <f t="shared" si="52"/>
        <v>0</v>
      </c>
      <c r="BN14" s="566">
        <f>VLOOKUP($A14,'01-02.2021'!$A$6:$CZ$403,66,FALSE)+VLOOKUP($A14,'1.3.21-28.2.22'!$A$6:$DA$404,66,FALSE)-VLOOKUP($A14,'01-02.2022'!$A$6:$DA$376,66,FALSE)</f>
        <v>13.164999999999999</v>
      </c>
      <c r="BO14" s="566">
        <f>VLOOKUP($A14,'01-02.2021'!$A$6:$CZ$403,67,FALSE)+VLOOKUP($A14,'1.3.21-28.2.22'!$A$6:$DA$404,67,FALSE)-VLOOKUP($A14,'01-02.2022'!$A$6:$DA$376,67,FALSE)</f>
        <v>0</v>
      </c>
      <c r="BP14" s="55">
        <f t="shared" si="53"/>
        <v>-13.164999999999999</v>
      </c>
      <c r="BQ14" s="77">
        <f t="shared" si="25"/>
        <v>13.164999999999999</v>
      </c>
      <c r="BR14" s="40">
        <f t="shared" si="26"/>
        <v>0</v>
      </c>
      <c r="BS14" s="55">
        <f t="shared" si="70"/>
        <v>-13.164999999999999</v>
      </c>
      <c r="BT14" s="566">
        <f>VLOOKUP($A14,'01-02.2021'!$A$6:$CZ$403,72,FALSE)+VLOOKUP($A14,'1.3.21-28.2.22'!$A$6:$DA$404,72,FALSE)-VLOOKUP($A14,'01-02.2022'!$A$6:$DA$376,72,FALSE)</f>
        <v>0</v>
      </c>
      <c r="BU14" s="566">
        <f>VLOOKUP($A14,'01-02.2021'!$A$6:$CZ$403,73,FALSE)+VLOOKUP($A14,'1.3.21-28.2.22'!$A$6:$DA$404,73,FALSE)-VLOOKUP($A14,'01-02.2022'!$A$6:$DA$376,73,FALSE)</f>
        <v>0</v>
      </c>
      <c r="BV14" s="70">
        <f t="shared" si="54"/>
        <v>0</v>
      </c>
      <c r="BW14" s="566">
        <f>VLOOKUP($A14,'01-02.2021'!$A$6:$CZ$403,75,FALSE)+VLOOKUP($A14,'1.3.21-28.2.22'!$A$6:$DA$404,75,FALSE)-VLOOKUP($A14,'01-02.2022'!$A$6:$DA$376,75,FALSE)</f>
        <v>0</v>
      </c>
      <c r="BX14" s="566">
        <f>VLOOKUP($A14,'01-02.2021'!$A$6:$CZ$403,76,FALSE)+VLOOKUP($A14,'1.3.21-28.2.22'!$A$6:$DA$404,76,FALSE)-VLOOKUP($A14,'01-02.2022'!$A$6:$DA$376,76,FALSE)</f>
        <v>5.9009718034035101</v>
      </c>
      <c r="BY14" s="70">
        <f t="shared" si="55"/>
        <v>5.9009718034035101</v>
      </c>
      <c r="BZ14" s="566">
        <f>VLOOKUP($A14,'01-02.2021'!$A$6:$CZ$403,78,FALSE)+VLOOKUP($A14,'1.3.21-28.2.22'!$A$6:$DA$404,78,FALSE)-VLOOKUP($A14,'01-02.2022'!$A$6:$DA$376,78,FALSE)</f>
        <v>0</v>
      </c>
      <c r="CA14" s="566">
        <f>VLOOKUP($A14,'01-02.2021'!$A$6:$CZ$403,79,FALSE)+VLOOKUP($A14,'1.3.21-28.2.22'!$A$6:$DA$404,79,FALSE)-VLOOKUP($A14,'01-02.2022'!$A$6:$DA$376,79,FALSE)</f>
        <v>0</v>
      </c>
      <c r="CB14" s="70">
        <f t="shared" si="56"/>
        <v>0</v>
      </c>
      <c r="CC14" s="566">
        <f>VLOOKUP($A14,'01-02.2021'!$A$6:$CZ$403,81,FALSE)+VLOOKUP($A14,'1.3.21-28.2.22'!$A$6:$DA$404,81,FALSE)-VLOOKUP($A14,'01-02.2022'!$A$6:$DA$376,81,FALSE)</f>
        <v>0</v>
      </c>
      <c r="CD14" s="566">
        <f>VLOOKUP($A14,'01-02.2021'!$A$6:$CZ$403,82,FALSE)+VLOOKUP($A14,'1.3.21-28.2.22'!$A$6:$DA$404,82,FALSE)-VLOOKUP($A14,'01-02.2022'!$A$6:$DA$376,82,FALSE)</f>
        <v>0</v>
      </c>
      <c r="CE14" s="70">
        <f t="shared" si="57"/>
        <v>0</v>
      </c>
      <c r="CF14" s="566">
        <f>VLOOKUP($A14,'01-02.2021'!$A$6:$CZ$403,84,FALSE)+VLOOKUP($A14,'1.3.21-28.2.22'!$A$6:$DA$404,84,FALSE)-VLOOKUP($A14,'01-02.2022'!$A$6:$DA$376,84,FALSE)</f>
        <v>0</v>
      </c>
      <c r="CG14" s="566">
        <f>VLOOKUP($A14,'01-02.2021'!$A$6:$CZ$403,85,FALSE)+VLOOKUP($A14,'1.3.21-28.2.22'!$A$6:$DA$404,85,FALSE)-VLOOKUP($A14,'01-02.2022'!$A$6:$DA$376,85,FALSE)</f>
        <v>0</v>
      </c>
      <c r="CH14" s="70">
        <f t="shared" si="58"/>
        <v>0</v>
      </c>
      <c r="CI14" s="566">
        <f>VLOOKUP($A14,'01-02.2021'!$A$6:$CZ$403,87,FALSE)+VLOOKUP($A14,'1.3.21-28.2.22'!$A$6:$DA$404,87,FALSE)-VLOOKUP($A14,'01-02.2022'!$A$6:$DA$376,87,FALSE)</f>
        <v>0</v>
      </c>
      <c r="CJ14" s="566">
        <f>VLOOKUP($A14,'01-02.2021'!$A$6:$CZ$403,88,FALSE)+VLOOKUP($A14,'1.3.21-28.2.22'!$A$6:$DA$404,88,FALSE)-VLOOKUP($A14,'01-02.2022'!$A$6:$DA$376,88,FALSE)</f>
        <v>0</v>
      </c>
      <c r="CK14" s="70">
        <f t="shared" si="59"/>
        <v>0</v>
      </c>
      <c r="CL14" s="566">
        <f>VLOOKUP($A14,'01-02.2021'!$A$6:$CZ$403,90,FALSE)+VLOOKUP($A14,'1.3.21-28.2.22'!$A$6:$DA$404,90,FALSE)-VLOOKUP($A14,'01-02.2022'!$A$6:$DA$376,90,FALSE)</f>
        <v>0</v>
      </c>
      <c r="CM14" s="566">
        <f>VLOOKUP($A14,'01-02.2021'!$A$6:$CZ$403,91,FALSE)+VLOOKUP($A14,'1.3.21-28.2.22'!$A$6:$DA$404,91,FALSE)-VLOOKUP($A14,'01-02.2022'!$A$6:$DA$376,91,FALSE)</f>
        <v>0</v>
      </c>
      <c r="CN14" s="52">
        <f t="shared" si="60"/>
        <v>0</v>
      </c>
      <c r="CO14" s="39">
        <f t="shared" si="27"/>
        <v>0</v>
      </c>
      <c r="CP14" s="40">
        <f t="shared" si="61"/>
        <v>0</v>
      </c>
      <c r="CQ14" s="52">
        <f t="shared" si="62"/>
        <v>0</v>
      </c>
      <c r="CR14" s="72">
        <f t="shared" si="28"/>
        <v>3826.4203472313638</v>
      </c>
      <c r="CS14" s="5">
        <f t="shared" si="28"/>
        <v>1541.0265551753541</v>
      </c>
      <c r="CT14" s="52">
        <f t="shared" si="63"/>
        <v>-2285.3937920560097</v>
      </c>
      <c r="CU14" s="77">
        <f t="shared" si="64"/>
        <v>4591.7044166776368</v>
      </c>
      <c r="CV14" s="65">
        <f t="shared" si="65"/>
        <v>1849.2318662104249</v>
      </c>
      <c r="CW14" s="35">
        <f t="shared" si="66"/>
        <v>-2742.4725504672119</v>
      </c>
      <c r="CX14" s="566">
        <f>VLOOKUP($A14,'01-02.2021'!$A$6:$CZ$403,102,FALSE)+VLOOKUP($A14,'1.3.21-28.2.22'!$A$6:$DA$404,102,FALSE)-VLOOKUP($A14,'01-02.2022'!$A$6:$DA$376,102,FALSE)</f>
        <v>219.22170096965937</v>
      </c>
      <c r="CY14" s="566">
        <f>VLOOKUP($A14,'01-02.2021'!$A$6:$CZ$403,103,FALSE)+VLOOKUP($A14,'1.3.21-28.2.22'!$A$6:$DA$404,103,FALSE)-VLOOKUP($A14,'01-02.2022'!$A$6:$DA$376,103,FALSE)</f>
        <v>2961.6942514368707</v>
      </c>
      <c r="CZ14" s="52">
        <f t="shared" si="67"/>
        <v>2742.4725504672115</v>
      </c>
      <c r="DA14" s="150">
        <f>'[2]побудинковий звіт'!DA14</f>
        <v>-9956.1129278960798</v>
      </c>
      <c r="DB14" s="2">
        <v>3</v>
      </c>
      <c r="DC14" s="414">
        <f>'[4]побудинковий звіт'!DC14</f>
        <v>681.34</v>
      </c>
      <c r="DD14" s="414">
        <f>'[4]побудинковий звіт'!DD14</f>
        <v>0</v>
      </c>
      <c r="DE14" s="557">
        <f>'[4]побудинковий звіт'!DE14</f>
        <v>243.8703462161227</v>
      </c>
      <c r="DF14" s="557">
        <f>'[4]побудинковий звіт'!DF14</f>
        <v>0</v>
      </c>
      <c r="DG14" s="321">
        <f>VLOOKUP(A14,'кошти 01.03.2021'!$A$6:$D$401,4,)</f>
        <v>-6945.1615326785222</v>
      </c>
      <c r="DH14" s="40">
        <f>'[3]побудинковий звіт'!DJ14</f>
        <v>4983.8734140899014</v>
      </c>
      <c r="DI14" s="422">
        <f>'[3]побудинковий звіт'!CU14+'[3]побудинковий звіт'!CX14</f>
        <v>437.46965378387728</v>
      </c>
      <c r="DJ14" s="306">
        <f>'[3]побудинковий звіт'!DM14</f>
        <v>1.6614874811389189</v>
      </c>
      <c r="DK14" s="306">
        <f t="shared" ref="DK14:DK17" si="71">DJ14</f>
        <v>1.6614874811389189</v>
      </c>
      <c r="DL14" s="306">
        <f>'[3]побудинковий звіт'!DO14</f>
        <v>1.6614874811389189</v>
      </c>
      <c r="DM14" s="28">
        <f t="shared" ref="DM14:DM17" si="72">F14*DJ14</f>
        <v>437.46965378387733</v>
      </c>
      <c r="DN14" s="28">
        <f>H14*DL14</f>
        <v>0</v>
      </c>
      <c r="DO14" s="423">
        <f t="shared" si="29"/>
        <v>437.46965378387733</v>
      </c>
      <c r="DP14" s="94">
        <f t="shared" si="30"/>
        <v>0</v>
      </c>
      <c r="DQ14" s="28">
        <f t="shared" si="31"/>
        <v>437.46965378387733</v>
      </c>
      <c r="DR14" s="318"/>
      <c r="DT14" s="8"/>
      <c r="DU14" s="5"/>
      <c r="DX14" s="5">
        <f t="shared" si="32"/>
        <v>3585.4689547122439</v>
      </c>
      <c r="DY14" s="5">
        <f t="shared" si="33"/>
        <v>0</v>
      </c>
      <c r="DZ14" s="159">
        <f>'[3]побудинковий звіт'!EA14</f>
        <v>376.01545370985974</v>
      </c>
    </row>
    <row r="15" spans="1:130" x14ac:dyDescent="0.3">
      <c r="A15" s="325">
        <v>150000488</v>
      </c>
      <c r="B15" s="41" t="s">
        <v>464</v>
      </c>
      <c r="C15" s="42" t="s">
        <v>35</v>
      </c>
      <c r="D15" s="42"/>
      <c r="E15" s="293">
        <f t="shared" si="23"/>
        <v>317.88</v>
      </c>
      <c r="F15" s="305">
        <f>'[3]побудинковий звіт'!F15</f>
        <v>317.88</v>
      </c>
      <c r="G15" s="508">
        <f>'[3]побудинковий звіт'!G15</f>
        <v>0</v>
      </c>
      <c r="H15" s="560">
        <f>'[3]побудинковий звіт'!H15</f>
        <v>0</v>
      </c>
      <c r="I15" s="566"/>
      <c r="J15" s="566"/>
      <c r="K15" s="52">
        <f t="shared" si="34"/>
        <v>0</v>
      </c>
      <c r="L15" s="566"/>
      <c r="M15" s="566"/>
      <c r="N15" s="52">
        <f t="shared" si="35"/>
        <v>0</v>
      </c>
      <c r="O15" s="566"/>
      <c r="P15" s="566"/>
      <c r="Q15" s="70"/>
      <c r="R15" s="566"/>
      <c r="S15" s="566"/>
      <c r="T15" s="70"/>
      <c r="U15" s="566"/>
      <c r="V15" s="566"/>
      <c r="W15" s="70"/>
      <c r="X15" s="566"/>
      <c r="Y15" s="566"/>
      <c r="Z15" s="70"/>
      <c r="AA15" s="566"/>
      <c r="AB15" s="566"/>
      <c r="AC15" s="70"/>
      <c r="AD15" s="566"/>
      <c r="AE15" s="566"/>
      <c r="AF15" s="68"/>
      <c r="AG15" s="77">
        <f t="shared" si="24"/>
        <v>0</v>
      </c>
      <c r="AH15" s="53">
        <f t="shared" si="24"/>
        <v>0</v>
      </c>
      <c r="AI15" s="52">
        <f t="shared" si="42"/>
        <v>0</v>
      </c>
      <c r="AJ15" s="566"/>
      <c r="AK15" s="566"/>
      <c r="AL15" s="70"/>
      <c r="AM15" s="566"/>
      <c r="AN15" s="566"/>
      <c r="AO15" s="70"/>
      <c r="AP15" s="566"/>
      <c r="AQ15" s="566"/>
      <c r="AR15" s="70"/>
      <c r="AS15" s="566"/>
      <c r="AT15" s="566"/>
      <c r="AU15" s="78"/>
      <c r="AV15" s="566"/>
      <c r="AW15" s="566"/>
      <c r="AX15" s="55"/>
      <c r="AY15" s="566"/>
      <c r="AZ15" s="566"/>
      <c r="BA15" s="38"/>
      <c r="BB15" s="566"/>
      <c r="BC15" s="566"/>
      <c r="BD15" s="55"/>
      <c r="BE15" s="566"/>
      <c r="BF15" s="566"/>
      <c r="BG15" s="55"/>
      <c r="BH15" s="566"/>
      <c r="BI15" s="566"/>
      <c r="BJ15" s="55"/>
      <c r="BK15" s="566"/>
      <c r="BL15" s="566"/>
      <c r="BM15" s="55"/>
      <c r="BN15" s="566"/>
      <c r="BO15" s="566"/>
      <c r="BP15" s="55"/>
      <c r="BQ15" s="77">
        <f t="shared" si="25"/>
        <v>0</v>
      </c>
      <c r="BR15" s="40">
        <f t="shared" si="26"/>
        <v>0</v>
      </c>
      <c r="BS15" s="55">
        <f t="shared" si="70"/>
        <v>0</v>
      </c>
      <c r="BT15" s="566"/>
      <c r="BU15" s="566"/>
      <c r="BV15" s="70"/>
      <c r="BW15" s="566"/>
      <c r="BX15" s="566"/>
      <c r="BY15" s="70"/>
      <c r="BZ15" s="566"/>
      <c r="CA15" s="566"/>
      <c r="CB15" s="70"/>
      <c r="CC15" s="566"/>
      <c r="CD15" s="566"/>
      <c r="CE15" s="70"/>
      <c r="CF15" s="566"/>
      <c r="CG15" s="566"/>
      <c r="CH15" s="70"/>
      <c r="CI15" s="566"/>
      <c r="CJ15" s="566"/>
      <c r="CK15" s="70"/>
      <c r="CL15" s="566"/>
      <c r="CM15" s="566"/>
      <c r="CN15" s="52">
        <f t="shared" si="60"/>
        <v>0</v>
      </c>
      <c r="CO15" s="39">
        <f t="shared" si="27"/>
        <v>0</v>
      </c>
      <c r="CP15" s="40">
        <f t="shared" si="61"/>
        <v>0</v>
      </c>
      <c r="CQ15" s="52">
        <f t="shared" si="62"/>
        <v>0</v>
      </c>
      <c r="CR15" s="72">
        <f t="shared" si="28"/>
        <v>0</v>
      </c>
      <c r="CS15" s="5">
        <f t="shared" si="28"/>
        <v>0</v>
      </c>
      <c r="CT15" s="52">
        <f t="shared" si="63"/>
        <v>0</v>
      </c>
      <c r="CU15" s="77">
        <f t="shared" si="64"/>
        <v>0</v>
      </c>
      <c r="CV15" s="65">
        <f t="shared" si="65"/>
        <v>0</v>
      </c>
      <c r="CW15" s="35">
        <f t="shared" si="66"/>
        <v>0</v>
      </c>
      <c r="CX15" s="566"/>
      <c r="CY15" s="566"/>
      <c r="CZ15" s="52">
        <f t="shared" si="67"/>
        <v>0</v>
      </c>
      <c r="DA15" s="150">
        <f>'[2]побудинковий звіт'!DA15</f>
        <v>-7856.7226225419472</v>
      </c>
      <c r="DB15" s="2">
        <v>3</v>
      </c>
      <c r="DC15" s="414">
        <f>'[4]побудинковий звіт'!DC15</f>
        <v>3250.49</v>
      </c>
      <c r="DD15" s="414">
        <f>'[4]побудинковий звіт'!DD15</f>
        <v>0</v>
      </c>
      <c r="DE15" s="557">
        <f>'[4]побудинковий звіт'!DE15</f>
        <v>2728.7375366245824</v>
      </c>
      <c r="DF15" s="557">
        <f>'[4]побудинковий звіт'!DF15</f>
        <v>0</v>
      </c>
      <c r="DG15" s="321">
        <f>VLOOKUP(A15,'кошти 01.03.2021'!$A$6:$D$401,4,)</f>
        <v>-4902.1730102679985</v>
      </c>
      <c r="DH15" s="40">
        <f>'[3]побудинковий звіт'!DJ15</f>
        <v>5951.2494600796272</v>
      </c>
      <c r="DI15" s="422">
        <f>'[3]побудинковий звіт'!CU15+'[3]побудинковий звіт'!CX15</f>
        <v>521.75246337541739</v>
      </c>
      <c r="DJ15" s="306">
        <f>'[3]побудинковий звіт'!DM15</f>
        <v>1.6413503944111532</v>
      </c>
      <c r="DK15" s="306">
        <f t="shared" si="71"/>
        <v>1.6413503944111532</v>
      </c>
      <c r="DL15" s="306">
        <f>'[3]побудинковий звіт'!DO15</f>
        <v>1.6413503944111532</v>
      </c>
      <c r="DM15" s="28">
        <f t="shared" si="72"/>
        <v>521.75246337541739</v>
      </c>
      <c r="DN15" s="28">
        <f>H15*DL15</f>
        <v>0</v>
      </c>
      <c r="DO15" s="423">
        <f t="shared" si="29"/>
        <v>521.75246337541739</v>
      </c>
      <c r="DP15" s="94">
        <f t="shared" si="30"/>
        <v>0</v>
      </c>
      <c r="DQ15" s="28">
        <f t="shared" si="31"/>
        <v>521.75246337541739</v>
      </c>
      <c r="DR15" s="318"/>
      <c r="DT15" s="8"/>
      <c r="DU15" s="5"/>
      <c r="DX15" s="5">
        <f t="shared" si="32"/>
        <v>0</v>
      </c>
      <c r="DY15" s="5">
        <f t="shared" si="33"/>
        <v>0</v>
      </c>
      <c r="DZ15" s="159">
        <f>'[3]побудинковий звіт'!EA15</f>
        <v>469.66649301626671</v>
      </c>
    </row>
    <row r="16" spans="1:130" x14ac:dyDescent="0.3">
      <c r="A16" s="325">
        <v>150000492</v>
      </c>
      <c r="B16" s="41" t="s">
        <v>465</v>
      </c>
      <c r="C16" s="42" t="s">
        <v>36</v>
      </c>
      <c r="D16" s="42"/>
      <c r="E16" s="293">
        <f t="shared" si="23"/>
        <v>95.5</v>
      </c>
      <c r="F16" s="305">
        <f>'[3]побудинковий звіт'!F16</f>
        <v>95.5</v>
      </c>
      <c r="G16" s="508">
        <f>'[3]побудинковий звіт'!G16</f>
        <v>0</v>
      </c>
      <c r="H16" s="560">
        <f>'[3]побудинковий звіт'!H16</f>
        <v>0</v>
      </c>
      <c r="I16" s="566"/>
      <c r="J16" s="566"/>
      <c r="K16" s="52">
        <f t="shared" si="34"/>
        <v>0</v>
      </c>
      <c r="L16" s="566"/>
      <c r="M16" s="566"/>
      <c r="N16" s="52">
        <f t="shared" si="35"/>
        <v>0</v>
      </c>
      <c r="O16" s="566"/>
      <c r="P16" s="566"/>
      <c r="Q16" s="70"/>
      <c r="R16" s="566"/>
      <c r="S16" s="566"/>
      <c r="T16" s="70"/>
      <c r="U16" s="566"/>
      <c r="V16" s="566"/>
      <c r="W16" s="70"/>
      <c r="X16" s="566"/>
      <c r="Y16" s="566"/>
      <c r="Z16" s="70"/>
      <c r="AA16" s="566"/>
      <c r="AB16" s="566"/>
      <c r="AC16" s="70"/>
      <c r="AD16" s="566"/>
      <c r="AE16" s="566"/>
      <c r="AF16" s="68"/>
      <c r="AG16" s="77">
        <f t="shared" si="24"/>
        <v>0</v>
      </c>
      <c r="AH16" s="53">
        <f t="shared" si="24"/>
        <v>0</v>
      </c>
      <c r="AI16" s="52">
        <f t="shared" si="42"/>
        <v>0</v>
      </c>
      <c r="AJ16" s="566"/>
      <c r="AK16" s="566"/>
      <c r="AL16" s="70"/>
      <c r="AM16" s="566"/>
      <c r="AN16" s="566"/>
      <c r="AO16" s="70"/>
      <c r="AP16" s="566"/>
      <c r="AQ16" s="566"/>
      <c r="AR16" s="70"/>
      <c r="AS16" s="566"/>
      <c r="AT16" s="566"/>
      <c r="AU16" s="78"/>
      <c r="AV16" s="566"/>
      <c r="AW16" s="566"/>
      <c r="AX16" s="55"/>
      <c r="AY16" s="566"/>
      <c r="AZ16" s="566"/>
      <c r="BA16" s="38"/>
      <c r="BB16" s="566"/>
      <c r="BC16" s="566"/>
      <c r="BD16" s="55"/>
      <c r="BE16" s="566"/>
      <c r="BF16" s="566"/>
      <c r="BG16" s="55"/>
      <c r="BH16" s="566"/>
      <c r="BI16" s="566"/>
      <c r="BJ16" s="55"/>
      <c r="BK16" s="566"/>
      <c r="BL16" s="566"/>
      <c r="BM16" s="55"/>
      <c r="BN16" s="566"/>
      <c r="BO16" s="566"/>
      <c r="BP16" s="55"/>
      <c r="BQ16" s="77">
        <f t="shared" si="25"/>
        <v>0</v>
      </c>
      <c r="BR16" s="40">
        <f t="shared" si="26"/>
        <v>0</v>
      </c>
      <c r="BS16" s="55">
        <f t="shared" si="70"/>
        <v>0</v>
      </c>
      <c r="BT16" s="566"/>
      <c r="BU16" s="566"/>
      <c r="BV16" s="70"/>
      <c r="BW16" s="566"/>
      <c r="BX16" s="566"/>
      <c r="BY16" s="70"/>
      <c r="BZ16" s="566"/>
      <c r="CA16" s="566"/>
      <c r="CB16" s="70"/>
      <c r="CC16" s="566"/>
      <c r="CD16" s="566"/>
      <c r="CE16" s="70"/>
      <c r="CF16" s="566"/>
      <c r="CG16" s="566"/>
      <c r="CH16" s="70"/>
      <c r="CI16" s="566"/>
      <c r="CJ16" s="566"/>
      <c r="CK16" s="70"/>
      <c r="CL16" s="566"/>
      <c r="CM16" s="566"/>
      <c r="CN16" s="52">
        <f t="shared" si="60"/>
        <v>0</v>
      </c>
      <c r="CO16" s="39">
        <f t="shared" si="27"/>
        <v>0</v>
      </c>
      <c r="CP16" s="40">
        <f t="shared" si="61"/>
        <v>0</v>
      </c>
      <c r="CQ16" s="52">
        <f t="shared" si="62"/>
        <v>0</v>
      </c>
      <c r="CR16" s="72">
        <f t="shared" si="28"/>
        <v>0</v>
      </c>
      <c r="CS16" s="5">
        <f t="shared" si="28"/>
        <v>0</v>
      </c>
      <c r="CT16" s="52">
        <f t="shared" si="63"/>
        <v>0</v>
      </c>
      <c r="CU16" s="77">
        <f t="shared" si="64"/>
        <v>0</v>
      </c>
      <c r="CV16" s="65">
        <f t="shared" si="65"/>
        <v>0</v>
      </c>
      <c r="CW16" s="35">
        <f t="shared" si="66"/>
        <v>0</v>
      </c>
      <c r="CX16" s="566"/>
      <c r="CY16" s="566"/>
      <c r="CZ16" s="52">
        <f t="shared" si="67"/>
        <v>0</v>
      </c>
      <c r="DA16" s="150">
        <f>'[2]побудинковий звіт'!DA16</f>
        <v>-2726.636550100834</v>
      </c>
      <c r="DB16" s="2">
        <v>3</v>
      </c>
      <c r="DC16" s="414">
        <f>'[4]побудинковий звіт'!DC16</f>
        <v>1635.77</v>
      </c>
      <c r="DD16" s="414">
        <f>'[4]побудинковий звіт'!DD16</f>
        <v>0</v>
      </c>
      <c r="DE16" s="557">
        <f>'[4]побудинковий звіт'!DE16</f>
        <v>1490.2799026302278</v>
      </c>
      <c r="DF16" s="557">
        <f>'[4]побудинковий звіт'!DF16</f>
        <v>0</v>
      </c>
      <c r="DG16" s="321">
        <f>VLOOKUP(A16,'кошти 01.03.2021'!$A$6:$D$401,4,)</f>
        <v>-2000.8432767017466</v>
      </c>
      <c r="DH16" s="40">
        <f>'[3]побудинковий звіт'!DJ16</f>
        <v>1658.2596141618883</v>
      </c>
      <c r="DI16" s="422">
        <f>'[3]побудинковий звіт'!CU16+'[3]побудинковий звіт'!CX16</f>
        <v>145.49009736977212</v>
      </c>
      <c r="DJ16" s="306">
        <f>'[3]побудинковий звіт'!DM16</f>
        <v>1.5234565169609646</v>
      </c>
      <c r="DK16" s="306">
        <f t="shared" si="71"/>
        <v>1.5234565169609646</v>
      </c>
      <c r="DL16" s="306">
        <f>'[3]побудинковий звіт'!DO16</f>
        <v>1.5234565169609646</v>
      </c>
      <c r="DM16" s="28">
        <f t="shared" si="72"/>
        <v>145.49009736977212</v>
      </c>
      <c r="DN16" s="28">
        <f>H16*DL16</f>
        <v>0</v>
      </c>
      <c r="DO16" s="423">
        <f t="shared" si="29"/>
        <v>145.49009736977212</v>
      </c>
      <c r="DP16" s="94">
        <f t="shared" si="30"/>
        <v>0</v>
      </c>
      <c r="DQ16" s="28">
        <f t="shared" si="31"/>
        <v>145.49009736977212</v>
      </c>
      <c r="DR16" s="318"/>
      <c r="DT16" s="8"/>
      <c r="DU16" s="5"/>
      <c r="DX16" s="5">
        <f t="shared" si="32"/>
        <v>0</v>
      </c>
      <c r="DY16" s="5">
        <f t="shared" si="33"/>
        <v>0</v>
      </c>
      <c r="DZ16" s="159">
        <f>'[3]побудинковий звіт'!EA16</f>
        <v>123.00120555166077</v>
      </c>
    </row>
    <row r="17" spans="1:130" x14ac:dyDescent="0.3">
      <c r="A17" s="325">
        <v>150000490</v>
      </c>
      <c r="B17" s="41" t="s">
        <v>466</v>
      </c>
      <c r="C17" s="42" t="s">
        <v>37</v>
      </c>
      <c r="D17" s="42"/>
      <c r="E17" s="293">
        <f t="shared" si="23"/>
        <v>147.5</v>
      </c>
      <c r="F17" s="305">
        <f>'[3]побудинковий звіт'!F17</f>
        <v>147.5</v>
      </c>
      <c r="G17" s="508">
        <f>'[3]побудинковий звіт'!G17</f>
        <v>0</v>
      </c>
      <c r="H17" s="560">
        <f>'[3]побудинковий звіт'!H17</f>
        <v>0</v>
      </c>
      <c r="I17" s="566"/>
      <c r="J17" s="566"/>
      <c r="K17" s="52">
        <f t="shared" si="34"/>
        <v>0</v>
      </c>
      <c r="L17" s="566"/>
      <c r="M17" s="566"/>
      <c r="N17" s="52">
        <f t="shared" si="35"/>
        <v>0</v>
      </c>
      <c r="O17" s="566"/>
      <c r="P17" s="566"/>
      <c r="Q17" s="70"/>
      <c r="R17" s="566"/>
      <c r="S17" s="566"/>
      <c r="T17" s="70"/>
      <c r="U17" s="566"/>
      <c r="V17" s="566"/>
      <c r="W17" s="70"/>
      <c r="X17" s="566"/>
      <c r="Y17" s="566"/>
      <c r="Z17" s="70"/>
      <c r="AA17" s="566"/>
      <c r="AB17" s="566"/>
      <c r="AC17" s="70"/>
      <c r="AD17" s="566"/>
      <c r="AE17" s="566"/>
      <c r="AF17" s="68"/>
      <c r="AG17" s="77">
        <f t="shared" si="24"/>
        <v>0</v>
      </c>
      <c r="AH17" s="53">
        <f t="shared" si="24"/>
        <v>0</v>
      </c>
      <c r="AI17" s="52">
        <f t="shared" si="42"/>
        <v>0</v>
      </c>
      <c r="AJ17" s="566"/>
      <c r="AK17" s="566"/>
      <c r="AL17" s="70"/>
      <c r="AM17" s="566"/>
      <c r="AN17" s="566"/>
      <c r="AO17" s="70"/>
      <c r="AP17" s="566"/>
      <c r="AQ17" s="566"/>
      <c r="AR17" s="70"/>
      <c r="AS17" s="566"/>
      <c r="AT17" s="566"/>
      <c r="AU17" s="78"/>
      <c r="AV17" s="566"/>
      <c r="AW17" s="566"/>
      <c r="AX17" s="55"/>
      <c r="AY17" s="566"/>
      <c r="AZ17" s="566"/>
      <c r="BA17" s="38"/>
      <c r="BB17" s="566"/>
      <c r="BC17" s="566"/>
      <c r="BD17" s="55"/>
      <c r="BE17" s="566"/>
      <c r="BF17" s="566"/>
      <c r="BG17" s="55"/>
      <c r="BH17" s="566"/>
      <c r="BI17" s="566"/>
      <c r="BJ17" s="55"/>
      <c r="BK17" s="566"/>
      <c r="BL17" s="566"/>
      <c r="BM17" s="55"/>
      <c r="BN17" s="566"/>
      <c r="BO17" s="566"/>
      <c r="BP17" s="55"/>
      <c r="BQ17" s="77">
        <f t="shared" si="25"/>
        <v>0</v>
      </c>
      <c r="BR17" s="40">
        <f t="shared" si="26"/>
        <v>0</v>
      </c>
      <c r="BS17" s="55">
        <f t="shared" si="70"/>
        <v>0</v>
      </c>
      <c r="BT17" s="566"/>
      <c r="BU17" s="566"/>
      <c r="BV17" s="70"/>
      <c r="BW17" s="566"/>
      <c r="BX17" s="566"/>
      <c r="BY17" s="70"/>
      <c r="BZ17" s="566"/>
      <c r="CA17" s="566"/>
      <c r="CB17" s="70"/>
      <c r="CC17" s="566"/>
      <c r="CD17" s="566"/>
      <c r="CE17" s="70"/>
      <c r="CF17" s="566"/>
      <c r="CG17" s="566"/>
      <c r="CH17" s="70"/>
      <c r="CI17" s="566"/>
      <c r="CJ17" s="566"/>
      <c r="CK17" s="70"/>
      <c r="CL17" s="566"/>
      <c r="CM17" s="566"/>
      <c r="CN17" s="52">
        <f t="shared" si="60"/>
        <v>0</v>
      </c>
      <c r="CO17" s="39">
        <f t="shared" si="27"/>
        <v>0</v>
      </c>
      <c r="CP17" s="40">
        <f t="shared" si="61"/>
        <v>0</v>
      </c>
      <c r="CQ17" s="52">
        <f t="shared" si="62"/>
        <v>0</v>
      </c>
      <c r="CR17" s="72">
        <f t="shared" si="28"/>
        <v>0</v>
      </c>
      <c r="CS17" s="5">
        <f t="shared" si="28"/>
        <v>0</v>
      </c>
      <c r="CT17" s="52">
        <f t="shared" si="63"/>
        <v>0</v>
      </c>
      <c r="CU17" s="77">
        <f t="shared" si="64"/>
        <v>0</v>
      </c>
      <c r="CV17" s="65">
        <f t="shared" si="65"/>
        <v>0</v>
      </c>
      <c r="CW17" s="35">
        <f t="shared" si="66"/>
        <v>0</v>
      </c>
      <c r="CX17" s="566"/>
      <c r="CY17" s="566"/>
      <c r="CZ17" s="52">
        <f t="shared" si="67"/>
        <v>0</v>
      </c>
      <c r="DA17" s="150">
        <f>'[2]побудинковий звіт'!DA17</f>
        <v>-2410.6308555609185</v>
      </c>
      <c r="DB17" s="2">
        <v>3</v>
      </c>
      <c r="DC17" s="414">
        <f>'[4]побудинковий звіт'!DC17</f>
        <v>2490.96</v>
      </c>
      <c r="DD17" s="414">
        <f>'[4]побудинковий звіт'!DD17</f>
        <v>0</v>
      </c>
      <c r="DE17" s="557">
        <f>'[4]побудинковий звіт'!DE17</f>
        <v>2210.3333784291317</v>
      </c>
      <c r="DF17" s="557">
        <f>'[4]побудинковий звіт'!DF17</f>
        <v>0</v>
      </c>
      <c r="DG17" s="321">
        <f>VLOOKUP(A17,'кошти 01.03.2021'!$A$6:$D$401,4,)</f>
        <v>-703.99758192715194</v>
      </c>
      <c r="DH17" s="40">
        <f>'[3]побудинковий звіт'!DJ17</f>
        <v>3260.153689235306</v>
      </c>
      <c r="DI17" s="422">
        <f>'[3]побудинковий звіт'!CU17+'[3]побудинковий звіт'!CX17</f>
        <v>280.62662157086845</v>
      </c>
      <c r="DJ17" s="306">
        <f>'[3]побудинковий звіт'!DM17</f>
        <v>1.902553366582159</v>
      </c>
      <c r="DK17" s="306">
        <f t="shared" si="71"/>
        <v>1.902553366582159</v>
      </c>
      <c r="DL17" s="306">
        <f>'[3]побудинковий звіт'!DO17</f>
        <v>1.902553366582159</v>
      </c>
      <c r="DM17" s="28">
        <f t="shared" si="72"/>
        <v>280.62662157086845</v>
      </c>
      <c r="DN17" s="28">
        <f>H17*DL17</f>
        <v>0</v>
      </c>
      <c r="DO17" s="423">
        <f t="shared" si="29"/>
        <v>280.62662157086845</v>
      </c>
      <c r="DP17" s="94">
        <f t="shared" si="30"/>
        <v>0</v>
      </c>
      <c r="DQ17" s="28">
        <f t="shared" si="31"/>
        <v>280.62662157086845</v>
      </c>
      <c r="DR17" s="318"/>
      <c r="DT17" s="8"/>
      <c r="DU17" s="5"/>
      <c r="DX17" s="5">
        <f t="shared" si="32"/>
        <v>0</v>
      </c>
      <c r="DY17" s="5">
        <f t="shared" si="33"/>
        <v>0</v>
      </c>
      <c r="DZ17" s="159">
        <f>'[3]побудинковий звіт'!EA17</f>
        <v>246.71360950815955</v>
      </c>
    </row>
    <row r="18" spans="1:130" x14ac:dyDescent="0.3">
      <c r="A18" s="325">
        <v>150000497</v>
      </c>
      <c r="B18" s="41" t="s">
        <v>467</v>
      </c>
      <c r="C18" s="42" t="s">
        <v>341</v>
      </c>
      <c r="D18" s="42"/>
      <c r="E18" s="293">
        <f t="shared" si="23"/>
        <v>4163.4000000000005</v>
      </c>
      <c r="F18" s="305">
        <f>'[3]побудинковий звіт'!F18</f>
        <v>4099.3</v>
      </c>
      <c r="G18" s="508">
        <f>'[3]побудинковий звіт'!G18</f>
        <v>274</v>
      </c>
      <c r="H18" s="560">
        <f>'[3]побудинковий звіт'!H18</f>
        <v>64.099999999999994</v>
      </c>
      <c r="I18" s="566">
        <f>VLOOKUP($A18,'01-02.2021'!$A$6:$CZ$403,9,FALSE)+VLOOKUP($A18,'1.3.21-28.2.22'!$A$6:$DA$404,9,FALSE)-VLOOKUP($A18,'01-02.2022'!$A$6:$DA$376,9,FALSE)</f>
        <v>14543.066142782416</v>
      </c>
      <c r="J18" s="566">
        <f>VLOOKUP($A18,'01-02.2021'!$A$6:$CZ$403,10,FALSE)+VLOOKUP($A18,'1.3.21-28.2.22'!$A$6:$DA$404,10,FALSE)-VLOOKUP($A18,'01-02.2022'!$A$6:$DA$376,10,FALSE)</f>
        <v>12923.969000052137</v>
      </c>
      <c r="K18" s="52">
        <f t="shared" si="34"/>
        <v>-1619.0971427302793</v>
      </c>
      <c r="L18" s="566">
        <f>VLOOKUP($A18,'01-02.2021'!$A$6:$CZ$403,12,FALSE)+VLOOKUP($A18,'1.3.21-28.2.22'!$A$6:$DA$404,12,FALSE)-VLOOKUP($A18,'01-02.2022'!$A$6:$DA$376,12,FALSE)</f>
        <v>2213.4415241017728</v>
      </c>
      <c r="M18" s="566">
        <f>VLOOKUP($A18,'01-02.2021'!$A$6:$CZ$403,13,FALSE)+VLOOKUP($A18,'1.3.21-28.2.22'!$A$6:$DA$404,13,FALSE)-VLOOKUP($A18,'01-02.2022'!$A$6:$DA$376,13,FALSE)</f>
        <v>2001.5090917167765</v>
      </c>
      <c r="N18" s="52">
        <f t="shared" si="35"/>
        <v>-211.93243238499622</v>
      </c>
      <c r="O18" s="566">
        <f>VLOOKUP($A18,'01-02.2021'!$A$6:$CZ$403,15,FALSE)+VLOOKUP($A18,'1.3.21-28.2.22'!$A$6:$DA$404,15,FALSE)-VLOOKUP($A18,'01-02.2022'!$A$6:$DA$376,15,FALSE)</f>
        <v>6078.4852912984006</v>
      </c>
      <c r="P18" s="566">
        <f>VLOOKUP($A18,'01-02.2021'!$A$6:$CZ$403,16,FALSE)+VLOOKUP($A18,'1.3.21-28.2.22'!$A$6:$DA$404,16,FALSE)-VLOOKUP($A18,'01-02.2022'!$A$6:$DA$376,16,FALSE)</f>
        <v>6077.9083333333347</v>
      </c>
      <c r="Q18" s="70">
        <f t="shared" si="36"/>
        <v>-0.57695796506595798</v>
      </c>
      <c r="R18" s="566">
        <f>VLOOKUP($A18,'01-02.2021'!$A$6:$CZ$403,18,FALSE)+VLOOKUP($A18,'1.3.21-28.2.22'!$A$6:$DA$404,18,FALSE)-VLOOKUP($A18,'01-02.2022'!$A$6:$DA$376,18,FALSE)</f>
        <v>1209.3362599541588</v>
      </c>
      <c r="S18" s="566">
        <f>VLOOKUP($A18,'01-02.2021'!$A$6:$CZ$403,19,FALSE)+VLOOKUP($A18,'1.3.21-28.2.22'!$A$6:$DA$404,19,FALSE)-VLOOKUP($A18,'01-02.2022'!$A$6:$DA$376,19,FALSE)</f>
        <v>1210.2616666666668</v>
      </c>
      <c r="T18" s="70">
        <f t="shared" si="37"/>
        <v>0.92540671250799278</v>
      </c>
      <c r="U18" s="566">
        <f>VLOOKUP($A18,'01-02.2021'!$A$6:$CZ$403,21,FALSE)+VLOOKUP($A18,'1.3.21-28.2.22'!$A$6:$DA$404,21,FALSE)-VLOOKUP($A18,'01-02.2022'!$A$6:$DA$376,21,FALSE)</f>
        <v>671.36656966572173</v>
      </c>
      <c r="V18" s="566">
        <f>VLOOKUP($A18,'01-02.2021'!$A$6:$CZ$403,22,FALSE)+VLOOKUP($A18,'1.3.21-28.2.22'!$A$6:$DA$404,22,FALSE)-VLOOKUP($A18,'01-02.2022'!$A$6:$DA$376,22,FALSE)</f>
        <v>454.29474368854693</v>
      </c>
      <c r="W18" s="70">
        <f t="shared" si="38"/>
        <v>-217.0718259771748</v>
      </c>
      <c r="X18" s="566">
        <f>VLOOKUP($A18,'01-02.2021'!$A$6:$CZ$403,24,FALSE)+VLOOKUP($A18,'1.3.21-28.2.22'!$A$6:$DA$404,24,FALSE)-VLOOKUP($A18,'01-02.2022'!$A$6:$DA$376,24,FALSE)</f>
        <v>4809.7445305864303</v>
      </c>
      <c r="Y18" s="566">
        <f>VLOOKUP($A18,'01-02.2021'!$A$6:$CZ$403,25,FALSE)+VLOOKUP($A18,'1.3.21-28.2.22'!$A$6:$DA$404,25,FALSE)-VLOOKUP($A18,'01-02.2022'!$A$6:$DA$376,25,FALSE)</f>
        <v>3932.6977626125067</v>
      </c>
      <c r="Z18" s="70">
        <f t="shared" si="39"/>
        <v>-877.04676797392358</v>
      </c>
      <c r="AA18" s="566">
        <f>VLOOKUP($A18,'01-02.2021'!$A$6:$CZ$403,27,FALSE)+VLOOKUP($A18,'1.3.21-28.2.22'!$A$6:$DA$404,27,FALSE)-VLOOKUP($A18,'01-02.2022'!$A$6:$DA$376,27,FALSE)</f>
        <v>832.54000000000019</v>
      </c>
      <c r="AB18" s="566">
        <f>VLOOKUP($A18,'01-02.2021'!$A$6:$CZ$403,28,FALSE)+VLOOKUP($A18,'1.3.21-28.2.22'!$A$6:$DA$404,28,FALSE)-VLOOKUP($A18,'01-02.2022'!$A$6:$DA$376,28,FALSE)</f>
        <v>0</v>
      </c>
      <c r="AC18" s="70">
        <f t="shared" si="40"/>
        <v>-832.54000000000019</v>
      </c>
      <c r="AD18" s="566">
        <f>VLOOKUP($A18,'01-02.2021'!$A$6:$CZ$403,30,FALSE)+VLOOKUP($A18,'1.3.21-28.2.22'!$A$6:$DA$404,30,FALSE)-VLOOKUP($A18,'01-02.2022'!$A$6:$DA$376,30,FALSE)</f>
        <v>17875.349843954868</v>
      </c>
      <c r="AE18" s="566">
        <f>VLOOKUP($A18,'01-02.2021'!$A$6:$CZ$403,31,FALSE)+VLOOKUP($A18,'1.3.21-28.2.22'!$A$6:$DA$404,31,FALSE)-VLOOKUP($A18,'01-02.2022'!$A$6:$DA$376,31,FALSE)</f>
        <v>18950.325879945944</v>
      </c>
      <c r="AF18" s="68">
        <f t="shared" si="41"/>
        <v>1074.9760359910761</v>
      </c>
      <c r="AG18" s="77">
        <f t="shared" si="24"/>
        <v>48233.330162343773</v>
      </c>
      <c r="AH18" s="53">
        <f t="shared" si="24"/>
        <v>45550.966478015907</v>
      </c>
      <c r="AI18" s="52">
        <f t="shared" si="42"/>
        <v>-2682.3636843278655</v>
      </c>
      <c r="AJ18" s="566">
        <f>VLOOKUP($A18,'01-02.2021'!$A$6:$CZ$403,36,FALSE)+VLOOKUP($A18,'1.3.21-28.2.22'!$A$6:$DA$404,36,FALSE)-VLOOKUP($A18,'01-02.2022'!$A$6:$DA$376,36,FALSE)</f>
        <v>47409.588723754277</v>
      </c>
      <c r="AK18" s="566">
        <f>VLOOKUP($A18,'01-02.2021'!$A$6:$CZ$403,37,FALSE)+VLOOKUP($A18,'1.3.21-28.2.22'!$A$6:$DA$404,37,FALSE)-VLOOKUP($A18,'01-02.2022'!$A$6:$DA$376,37,FALSE)</f>
        <v>46885.213941530266</v>
      </c>
      <c r="AL18" s="70">
        <f t="shared" si="43"/>
        <v>-524.37478222401114</v>
      </c>
      <c r="AM18" s="566">
        <f>VLOOKUP($A18,'01-02.2021'!$A$6:$CZ$403,39,FALSE)+VLOOKUP($A18,'1.3.21-28.2.22'!$A$6:$DA$404,39,FALSE)-VLOOKUP($A18,'01-02.2022'!$A$6:$DA$376,39,FALSE)</f>
        <v>0</v>
      </c>
      <c r="AN18" s="566">
        <f>VLOOKUP($A18,'01-02.2021'!$A$6:$CZ$403,40,FALSE)+VLOOKUP($A18,'1.3.21-28.2.22'!$A$6:$DA$404,40,FALSE)-VLOOKUP($A18,'01-02.2022'!$A$6:$DA$376,40,FALSE)</f>
        <v>0</v>
      </c>
      <c r="AO18" s="70">
        <f t="shared" si="44"/>
        <v>0</v>
      </c>
      <c r="AP18" s="566">
        <f>VLOOKUP($A18,'01-02.2021'!$A$6:$CZ$403,42,FALSE)+VLOOKUP($A18,'1.3.21-28.2.22'!$A$6:$DA$404,42,FALSE)-VLOOKUP($A18,'01-02.2022'!$A$6:$DA$376,42,FALSE)</f>
        <v>3079.9795563256007</v>
      </c>
      <c r="AQ18" s="566">
        <f>VLOOKUP($A18,'01-02.2021'!$A$6:$CZ$403,43,FALSE)+VLOOKUP($A18,'1.3.21-28.2.22'!$A$6:$DA$404,43,FALSE)-VLOOKUP($A18,'01-02.2022'!$A$6:$DA$376,43,FALSE)</f>
        <v>2676.8640494382385</v>
      </c>
      <c r="AR18" s="70">
        <f t="shared" si="45"/>
        <v>-403.11550688736224</v>
      </c>
      <c r="AS18" s="566">
        <f>VLOOKUP($A18,'01-02.2021'!$A$6:$CZ$403,45,FALSE)+VLOOKUP($A18,'1.3.21-28.2.22'!$A$6:$DA$404,45,FALSE)-VLOOKUP($A18,'01-02.2022'!$A$6:$DA$376,45,FALSE)</f>
        <v>48634.359818673045</v>
      </c>
      <c r="AT18" s="566">
        <f>VLOOKUP($A18,'01-02.2021'!$A$6:$CZ$403,46,FALSE)+VLOOKUP($A18,'1.3.21-28.2.22'!$A$6:$DA$404,46,FALSE)-VLOOKUP($A18,'01-02.2022'!$A$6:$DA$376,46,FALSE)</f>
        <v>20888.47</v>
      </c>
      <c r="AU18" s="78">
        <f t="shared" si="46"/>
        <v>-27745.889818673044</v>
      </c>
      <c r="AV18" s="566">
        <f>VLOOKUP($A18,'01-02.2021'!$A$6:$CZ$403,48,FALSE)+VLOOKUP($A18,'1.3.21-28.2.22'!$A$6:$DA$404,48,FALSE)-VLOOKUP($A18,'01-02.2022'!$A$6:$DA$376,48,FALSE)</f>
        <v>2892.8258895916201</v>
      </c>
      <c r="AW18" s="566">
        <f>VLOOKUP($A18,'01-02.2021'!$A$6:$CZ$403,49,FALSE)+VLOOKUP($A18,'1.3.21-28.2.22'!$A$6:$DA$404,49,FALSE)-VLOOKUP($A18,'01-02.2022'!$A$6:$DA$376,49,FALSE)</f>
        <v>1041</v>
      </c>
      <c r="AX18" s="55">
        <f t="shared" si="47"/>
        <v>-1851.8258895916201</v>
      </c>
      <c r="AY18" s="566">
        <f>VLOOKUP($A18,'01-02.2021'!$A$6:$CZ$403,51,FALSE)+VLOOKUP($A18,'1.3.21-28.2.22'!$A$6:$DA$404,51,FALSE)-VLOOKUP($A18,'01-02.2022'!$A$6:$DA$376,51,FALSE)</f>
        <v>3136.7563912230667</v>
      </c>
      <c r="AZ18" s="566">
        <f>VLOOKUP($A18,'01-02.2021'!$A$6:$CZ$403,52,FALSE)+VLOOKUP($A18,'1.3.21-28.2.22'!$A$6:$DA$404,52,FALSE)-VLOOKUP($A18,'01-02.2022'!$A$6:$DA$376,52,FALSE)</f>
        <v>0</v>
      </c>
      <c r="BA18" s="38">
        <f t="shared" si="48"/>
        <v>-3136.7563912230667</v>
      </c>
      <c r="BB18" s="566">
        <f>VLOOKUP($A18,'01-02.2021'!$A$6:$CZ$403,54,FALSE)+VLOOKUP($A18,'1.3.21-28.2.22'!$A$6:$DA$404,54,FALSE)-VLOOKUP($A18,'01-02.2022'!$A$6:$DA$376,54,FALSE)</f>
        <v>1489.5217767080289</v>
      </c>
      <c r="BC18" s="566">
        <f>VLOOKUP($A18,'01-02.2021'!$A$6:$CZ$403,55,FALSE)+VLOOKUP($A18,'1.3.21-28.2.22'!$A$6:$DA$404,55,FALSE)-VLOOKUP($A18,'01-02.2022'!$A$6:$DA$376,55,FALSE)</f>
        <v>0</v>
      </c>
      <c r="BD18" s="55">
        <f t="shared" si="49"/>
        <v>-1489.5217767080289</v>
      </c>
      <c r="BE18" s="566">
        <f>VLOOKUP($A18,'01-02.2021'!$A$6:$CZ$403,57,FALSE)+VLOOKUP($A18,'1.3.21-28.2.22'!$A$6:$DA$404,57,FALSE)-VLOOKUP($A18,'01-02.2022'!$A$6:$DA$376,57,FALSE)</f>
        <v>2282.4458499917796</v>
      </c>
      <c r="BF18" s="566">
        <f>VLOOKUP($A18,'01-02.2021'!$A$6:$CZ$403,58,FALSE)+VLOOKUP($A18,'1.3.21-28.2.22'!$A$6:$DA$404,58,FALSE)-VLOOKUP($A18,'01-02.2022'!$A$6:$DA$376,58,FALSE)</f>
        <v>730</v>
      </c>
      <c r="BG18" s="55">
        <f t="shared" si="50"/>
        <v>-1552.4458499917796</v>
      </c>
      <c r="BH18" s="566">
        <f>VLOOKUP($A18,'01-02.2021'!$A$6:$CZ$403,60,FALSE)+VLOOKUP($A18,'1.3.21-28.2.22'!$A$6:$DA$404,60,FALSE)-VLOOKUP($A18,'01-02.2022'!$A$6:$DA$376,60,FALSE)</f>
        <v>1275.6779514917541</v>
      </c>
      <c r="BI18" s="566">
        <f>VLOOKUP($A18,'01-02.2021'!$A$6:$CZ$403,61,FALSE)+VLOOKUP($A18,'1.3.21-28.2.22'!$A$6:$DA$404,61,FALSE)-VLOOKUP($A18,'01-02.2022'!$A$6:$DA$376,61,FALSE)</f>
        <v>0</v>
      </c>
      <c r="BJ18" s="55">
        <f t="shared" si="51"/>
        <v>-1275.6779514917541</v>
      </c>
      <c r="BK18" s="566">
        <f>VLOOKUP($A18,'01-02.2021'!$A$6:$CZ$403,63,FALSE)+VLOOKUP($A18,'1.3.21-28.2.22'!$A$6:$DA$404,63,FALSE)-VLOOKUP($A18,'01-02.2022'!$A$6:$DA$376,63,FALSE)</f>
        <v>1120.384565912163</v>
      </c>
      <c r="BL18" s="566">
        <f>VLOOKUP($A18,'01-02.2021'!$A$6:$CZ$403,64,FALSE)+VLOOKUP($A18,'1.3.21-28.2.22'!$A$6:$DA$404,64,FALSE)-VLOOKUP($A18,'01-02.2022'!$A$6:$DA$376,64,FALSE)</f>
        <v>0</v>
      </c>
      <c r="BM18" s="55">
        <f t="shared" si="52"/>
        <v>-1120.384565912163</v>
      </c>
      <c r="BN18" s="566">
        <f>VLOOKUP($A18,'01-02.2021'!$A$6:$CZ$403,66,FALSE)+VLOOKUP($A18,'1.3.21-28.2.22'!$A$6:$DA$404,66,FALSE)-VLOOKUP($A18,'01-02.2022'!$A$6:$DA$376,66,FALSE)</f>
        <v>283.13941271822029</v>
      </c>
      <c r="BO18" s="566">
        <f>VLOOKUP($A18,'01-02.2021'!$A$6:$CZ$403,67,FALSE)+VLOOKUP($A18,'1.3.21-28.2.22'!$A$6:$DA$404,67,FALSE)-VLOOKUP($A18,'01-02.2022'!$A$6:$DA$376,67,FALSE)</f>
        <v>0</v>
      </c>
      <c r="BP18" s="55">
        <f t="shared" si="53"/>
        <v>-283.13941271822029</v>
      </c>
      <c r="BQ18" s="77">
        <f t="shared" si="25"/>
        <v>12480.751837636635</v>
      </c>
      <c r="BR18" s="40">
        <f t="shared" si="26"/>
        <v>1771</v>
      </c>
      <c r="BS18" s="55">
        <f t="shared" si="70"/>
        <v>-10709.751837636635</v>
      </c>
      <c r="BT18" s="566">
        <f>VLOOKUP($A18,'01-02.2021'!$A$6:$CZ$403,72,FALSE)+VLOOKUP($A18,'1.3.21-28.2.22'!$A$6:$DA$404,72,FALSE)-VLOOKUP($A18,'01-02.2022'!$A$6:$DA$376,72,FALSE)</f>
        <v>59384.324062947358</v>
      </c>
      <c r="BU18" s="566">
        <f>VLOOKUP($A18,'01-02.2021'!$A$6:$CZ$403,73,FALSE)+VLOOKUP($A18,'1.3.21-28.2.22'!$A$6:$DA$404,73,FALSE)-VLOOKUP($A18,'01-02.2022'!$A$6:$DA$376,73,FALSE)</f>
        <v>61089.106859126274</v>
      </c>
      <c r="BV18" s="70">
        <f t="shared" si="54"/>
        <v>1704.7827961789153</v>
      </c>
      <c r="BW18" s="566">
        <f>VLOOKUP($A18,'01-02.2021'!$A$6:$CZ$403,75,FALSE)+VLOOKUP($A18,'1.3.21-28.2.22'!$A$6:$DA$404,75,FALSE)-VLOOKUP($A18,'01-02.2022'!$A$6:$DA$376,75,FALSE)</f>
        <v>33712.761264183078</v>
      </c>
      <c r="BX18" s="566">
        <f>VLOOKUP($A18,'01-02.2021'!$A$6:$CZ$403,76,FALSE)+VLOOKUP($A18,'1.3.21-28.2.22'!$A$6:$DA$404,76,FALSE)-VLOOKUP($A18,'01-02.2022'!$A$6:$DA$376,76,FALSE)</f>
        <v>33650.403520903994</v>
      </c>
      <c r="BY18" s="70">
        <f t="shared" si="55"/>
        <v>-62.357743279084389</v>
      </c>
      <c r="BZ18" s="566">
        <f>VLOOKUP($A18,'01-02.2021'!$A$6:$CZ$403,78,FALSE)+VLOOKUP($A18,'1.3.21-28.2.22'!$A$6:$DA$404,78,FALSE)-VLOOKUP($A18,'01-02.2022'!$A$6:$DA$376,78,FALSE)</f>
        <v>11410.223507030223</v>
      </c>
      <c r="CA18" s="566">
        <f>VLOOKUP($A18,'01-02.2021'!$A$6:$CZ$403,79,FALSE)+VLOOKUP($A18,'1.3.21-28.2.22'!$A$6:$DA$404,79,FALSE)-VLOOKUP($A18,'01-02.2022'!$A$6:$DA$376,79,FALSE)</f>
        <v>14128.227277497141</v>
      </c>
      <c r="CB18" s="70">
        <f t="shared" si="56"/>
        <v>2718.0037704669176</v>
      </c>
      <c r="CC18" s="566">
        <f>VLOOKUP($A18,'01-02.2021'!$A$6:$CZ$403,81,FALSE)+VLOOKUP($A18,'1.3.21-28.2.22'!$A$6:$DA$404,81,FALSE)-VLOOKUP($A18,'01-02.2022'!$A$6:$DA$376,81,FALSE)</f>
        <v>1571.7625946382302</v>
      </c>
      <c r="CD18" s="566">
        <f>VLOOKUP($A18,'01-02.2021'!$A$6:$CZ$403,82,FALSE)+VLOOKUP($A18,'1.3.21-28.2.22'!$A$6:$DA$404,82,FALSE)-VLOOKUP($A18,'01-02.2022'!$A$6:$DA$376,82,FALSE)</f>
        <v>1687.2443743228282</v>
      </c>
      <c r="CE18" s="70">
        <f t="shared" si="57"/>
        <v>115.481779684598</v>
      </c>
      <c r="CF18" s="566">
        <f>VLOOKUP($A18,'01-02.2021'!$A$6:$CZ$403,84,FALSE)+VLOOKUP($A18,'1.3.21-28.2.22'!$A$6:$DA$404,84,FALSE)-VLOOKUP($A18,'01-02.2022'!$A$6:$DA$376,84,FALSE)</f>
        <v>187.66753829637298</v>
      </c>
      <c r="CG18" s="566">
        <f>VLOOKUP($A18,'01-02.2021'!$A$6:$CZ$403,85,FALSE)+VLOOKUP($A18,'1.3.21-28.2.22'!$A$6:$DA$404,85,FALSE)-VLOOKUP($A18,'01-02.2022'!$A$6:$DA$376,85,FALSE)</f>
        <v>0</v>
      </c>
      <c r="CH18" s="70">
        <f t="shared" si="58"/>
        <v>-187.66753829637298</v>
      </c>
      <c r="CI18" s="566">
        <f>VLOOKUP($A18,'01-02.2021'!$A$6:$CZ$403,87,FALSE)+VLOOKUP($A18,'1.3.21-28.2.22'!$A$6:$DA$404,87,FALSE)-VLOOKUP($A18,'01-02.2022'!$A$6:$DA$376,87,FALSE)</f>
        <v>13633.779658406384</v>
      </c>
      <c r="CJ18" s="566">
        <f>VLOOKUP($A18,'01-02.2021'!$A$6:$CZ$403,88,FALSE)+VLOOKUP($A18,'1.3.21-28.2.22'!$A$6:$DA$404,88,FALSE)-VLOOKUP($A18,'01-02.2022'!$A$6:$DA$376,88,FALSE)</f>
        <v>11609.095365453588</v>
      </c>
      <c r="CK18" s="70">
        <f t="shared" si="59"/>
        <v>-2024.6842929527957</v>
      </c>
      <c r="CL18" s="566">
        <f>VLOOKUP($A18,'01-02.2021'!$A$6:$CZ$403,90,FALSE)+VLOOKUP($A18,'1.3.21-28.2.22'!$A$6:$DA$404,90,FALSE)-VLOOKUP($A18,'01-02.2022'!$A$6:$DA$376,90,FALSE)</f>
        <v>17091.643130774057</v>
      </c>
      <c r="CM18" s="566">
        <f>VLOOKUP($A18,'01-02.2021'!$A$6:$CZ$403,91,FALSE)+VLOOKUP($A18,'1.3.21-28.2.22'!$A$6:$DA$404,91,FALSE)-VLOOKUP($A18,'01-02.2022'!$A$6:$DA$376,91,FALSE)</f>
        <v>17407.476539661016</v>
      </c>
      <c r="CN18" s="52">
        <f t="shared" si="60"/>
        <v>315.83340888695966</v>
      </c>
      <c r="CO18" s="39">
        <f t="shared" si="27"/>
        <v>30725.42278918044</v>
      </c>
      <c r="CP18" s="40">
        <f t="shared" si="61"/>
        <v>29016.571905114604</v>
      </c>
      <c r="CQ18" s="52">
        <f t="shared" si="62"/>
        <v>-1708.850884065836</v>
      </c>
      <c r="CR18" s="72">
        <f t="shared" si="28"/>
        <v>296830.17185500899</v>
      </c>
      <c r="CS18" s="5">
        <f t="shared" si="28"/>
        <v>257344.06840594925</v>
      </c>
      <c r="CT18" s="52">
        <f t="shared" si="63"/>
        <v>-39486.103449059738</v>
      </c>
      <c r="CU18" s="77">
        <f t="shared" si="64"/>
        <v>356196.20622601075</v>
      </c>
      <c r="CV18" s="65">
        <f t="shared" si="65"/>
        <v>308812.88208713906</v>
      </c>
      <c r="CW18" s="35">
        <f t="shared" si="66"/>
        <v>-47383.324138871685</v>
      </c>
      <c r="CX18" s="566">
        <f>VLOOKUP($A18,'01-02.2021'!$A$6:$CZ$403,102,FALSE)+VLOOKUP($A18,'1.3.21-28.2.22'!$A$6:$DA$404,102,FALSE)-VLOOKUP($A18,'01-02.2022'!$A$6:$DA$376,102,FALSE)</f>
        <v>10109.933422917064</v>
      </c>
      <c r="CY18" s="566">
        <f>VLOOKUP($A18,'01-02.2021'!$A$6:$CZ$403,103,FALSE)+VLOOKUP($A18,'1.3.21-28.2.22'!$A$6:$DA$404,103,FALSE)-VLOOKUP($A18,'01-02.2022'!$A$6:$DA$376,103,FALSE)</f>
        <v>57493.257561788763</v>
      </c>
      <c r="CZ18" s="52">
        <f t="shared" si="67"/>
        <v>47383.3241388717</v>
      </c>
      <c r="DA18" s="150">
        <f>'[2]побудинковий звіт'!DA18</f>
        <v>-62071.465048049482</v>
      </c>
      <c r="DB18" s="2">
        <v>1</v>
      </c>
      <c r="DC18" s="414">
        <f>'[4]побудинковий звіт'!DC18</f>
        <v>69573.13</v>
      </c>
      <c r="DD18" s="414">
        <f>'[4]побудинковий звіт'!DD18</f>
        <v>337.64</v>
      </c>
      <c r="DE18" s="557">
        <f>'[4]побудинковий звіт'!DE18</f>
        <v>36654.730109104632</v>
      </c>
      <c r="DF18" s="557">
        <f>'[4]побудинковий звіт'!DF18</f>
        <v>-9.8321557785538971E-3</v>
      </c>
      <c r="DG18" s="321">
        <f>VLOOKUP(A18,'кошти 01.03.2021'!$A$6:$D$401,4,)</f>
        <v>-9504.2295937079543</v>
      </c>
      <c r="DH18" s="40">
        <f>'[3]побудинковий звіт'!DJ18</f>
        <v>379219.04585791973</v>
      </c>
      <c r="DI18" s="422">
        <f>'[3]побудинковий звіт'!CU18+'[3]побудинковий звіт'!CX18</f>
        <v>33256.049723051154</v>
      </c>
      <c r="DJ18" s="306">
        <f>'[3]побудинковий звіт'!DM18</f>
        <v>6.2696809416747836</v>
      </c>
      <c r="DK18" s="306">
        <f>'[3]побудинковий звіт'!DN18</f>
        <v>8.1563556617458719</v>
      </c>
      <c r="DL18" s="306">
        <f>'[3]побудинковий звіт'!DO18</f>
        <v>5.2675480835534882</v>
      </c>
      <c r="DM18" s="28">
        <f>DJ18*G18+(F18-G18)*DK18</f>
        <v>32918.399890895373</v>
      </c>
      <c r="DN18" s="28">
        <f>DL18*H18</f>
        <v>337.64983215577854</v>
      </c>
      <c r="DO18" s="423">
        <f t="shared" si="29"/>
        <v>33256.049723051154</v>
      </c>
      <c r="DP18" s="94">
        <f t="shared" si="30"/>
        <v>0</v>
      </c>
      <c r="DQ18" s="28">
        <f t="shared" si="31"/>
        <v>33256.049723051154</v>
      </c>
      <c r="DR18" s="318"/>
      <c r="DT18" s="8"/>
      <c r="DU18" s="5"/>
      <c r="DX18" s="5">
        <f t="shared" si="32"/>
        <v>73338.133987571608</v>
      </c>
      <c r="DY18" s="5">
        <f t="shared" si="33"/>
        <v>27191.364000000001</v>
      </c>
      <c r="DZ18" s="159">
        <f>'[3]побудинковий звіт'!EA18</f>
        <v>6727.1265937332901</v>
      </c>
    </row>
    <row r="19" spans="1:130" x14ac:dyDescent="0.3">
      <c r="A19" s="325">
        <v>150000495</v>
      </c>
      <c r="B19" s="41" t="s">
        <v>468</v>
      </c>
      <c r="C19" s="42" t="s">
        <v>148</v>
      </c>
      <c r="D19" s="42"/>
      <c r="E19" s="293">
        <f t="shared" si="23"/>
        <v>409.93</v>
      </c>
      <c r="F19" s="305">
        <f>'[3]побудинковий звіт'!F19</f>
        <v>409.93</v>
      </c>
      <c r="G19" s="508">
        <f>'[3]побудинковий звіт'!G19</f>
        <v>0</v>
      </c>
      <c r="H19" s="560">
        <f>'[3]побудинковий звіт'!H19</f>
        <v>0</v>
      </c>
      <c r="I19" s="566">
        <f>VLOOKUP($A19,'01-02.2021'!$A$6:$CZ$403,9,FALSE)+VLOOKUP($A19,'1.3.21-28.2.22'!$A$6:$DA$404,9,FALSE)-VLOOKUP($A19,'01-02.2022'!$A$6:$DA$376,9,FALSE)</f>
        <v>1355.232084236437</v>
      </c>
      <c r="J19" s="566">
        <f>VLOOKUP($A19,'01-02.2021'!$A$6:$CZ$403,10,FALSE)+VLOOKUP($A19,'1.3.21-28.2.22'!$A$6:$DA$404,10,FALSE)-VLOOKUP($A19,'01-02.2022'!$A$6:$DA$376,10,FALSE)</f>
        <v>1324.0367185111645</v>
      </c>
      <c r="K19" s="52">
        <f t="shared" si="34"/>
        <v>-31.195365725272495</v>
      </c>
      <c r="L19" s="566">
        <f>VLOOKUP($A19,'01-02.2021'!$A$6:$CZ$403,12,FALSE)+VLOOKUP($A19,'1.3.21-28.2.22'!$A$6:$DA$404,12,FALSE)-VLOOKUP($A19,'01-02.2022'!$A$6:$DA$376,12,FALSE)</f>
        <v>413.07483507113943</v>
      </c>
      <c r="M19" s="566">
        <f>VLOOKUP($A19,'01-02.2021'!$A$6:$CZ$403,13,FALSE)+VLOOKUP($A19,'1.3.21-28.2.22'!$A$6:$DA$404,13,FALSE)-VLOOKUP($A19,'01-02.2022'!$A$6:$DA$376,13,FALSE)</f>
        <v>372.1905542530568</v>
      </c>
      <c r="N19" s="52">
        <f t="shared" si="35"/>
        <v>-40.88428081808263</v>
      </c>
      <c r="O19" s="566">
        <f>VLOOKUP($A19,'01-02.2021'!$A$6:$CZ$403,15,FALSE)+VLOOKUP($A19,'1.3.21-28.2.22'!$A$6:$DA$404,15,FALSE)-VLOOKUP($A19,'01-02.2022'!$A$6:$DA$376,15,FALSE)</f>
        <v>601.48434578319984</v>
      </c>
      <c r="P19" s="566">
        <f>VLOOKUP($A19,'01-02.2021'!$A$6:$CZ$403,16,FALSE)+VLOOKUP($A19,'1.3.21-28.2.22'!$A$6:$DA$404,16,FALSE)-VLOOKUP($A19,'01-02.2022'!$A$6:$DA$376,16,FALSE)</f>
        <v>601.39833333333331</v>
      </c>
      <c r="Q19" s="70">
        <f t="shared" si="36"/>
        <v>-8.6012449866530005E-2</v>
      </c>
      <c r="R19" s="566">
        <f>VLOOKUP($A19,'01-02.2021'!$A$6:$CZ$403,18,FALSE)+VLOOKUP($A19,'1.3.21-28.2.22'!$A$6:$DA$404,18,FALSE)-VLOOKUP($A19,'01-02.2022'!$A$6:$DA$376,18,FALSE)</f>
        <v>0</v>
      </c>
      <c r="S19" s="566">
        <f>VLOOKUP($A19,'01-02.2021'!$A$6:$CZ$403,19,FALSE)+VLOOKUP($A19,'1.3.21-28.2.22'!$A$6:$DA$404,19,FALSE)-VLOOKUP($A19,'01-02.2022'!$A$6:$DA$376,19,FALSE)</f>
        <v>0</v>
      </c>
      <c r="T19" s="70">
        <f t="shared" si="37"/>
        <v>0</v>
      </c>
      <c r="U19" s="566">
        <f>VLOOKUP($A19,'01-02.2021'!$A$6:$CZ$403,21,FALSE)+VLOOKUP($A19,'1.3.21-28.2.22'!$A$6:$DA$404,21,FALSE)-VLOOKUP($A19,'01-02.2022'!$A$6:$DA$376,21,FALSE)</f>
        <v>0</v>
      </c>
      <c r="V19" s="566">
        <f>VLOOKUP($A19,'01-02.2021'!$A$6:$CZ$403,22,FALSE)+VLOOKUP($A19,'1.3.21-28.2.22'!$A$6:$DA$404,22,FALSE)-VLOOKUP($A19,'01-02.2022'!$A$6:$DA$376,22,FALSE)</f>
        <v>0</v>
      </c>
      <c r="W19" s="70">
        <f t="shared" si="38"/>
        <v>0</v>
      </c>
      <c r="X19" s="566">
        <f>VLOOKUP($A19,'01-02.2021'!$A$6:$CZ$403,24,FALSE)+VLOOKUP($A19,'1.3.21-28.2.22'!$A$6:$DA$404,24,FALSE)-VLOOKUP($A19,'01-02.2022'!$A$6:$DA$376,24,FALSE)</f>
        <v>684.44160484332565</v>
      </c>
      <c r="Y19" s="566">
        <f>VLOOKUP($A19,'01-02.2021'!$A$6:$CZ$403,25,FALSE)+VLOOKUP($A19,'1.3.21-28.2.22'!$A$6:$DA$404,25,FALSE)-VLOOKUP($A19,'01-02.2022'!$A$6:$DA$376,25,FALSE)</f>
        <v>589.1764895448855</v>
      </c>
      <c r="Z19" s="70">
        <f t="shared" si="39"/>
        <v>-95.265115298440151</v>
      </c>
      <c r="AA19" s="566">
        <f>VLOOKUP($A19,'01-02.2021'!$A$6:$CZ$403,27,FALSE)+VLOOKUP($A19,'1.3.21-28.2.22'!$A$6:$DA$404,27,FALSE)-VLOOKUP($A19,'01-02.2022'!$A$6:$DA$376,27,FALSE)</f>
        <v>82.213999999999999</v>
      </c>
      <c r="AB19" s="566">
        <f>VLOOKUP($A19,'01-02.2021'!$A$6:$CZ$403,28,FALSE)+VLOOKUP($A19,'1.3.21-28.2.22'!$A$6:$DA$404,28,FALSE)-VLOOKUP($A19,'01-02.2022'!$A$6:$DA$376,28,FALSE)</f>
        <v>0</v>
      </c>
      <c r="AC19" s="70">
        <f t="shared" si="40"/>
        <v>-82.213999999999999</v>
      </c>
      <c r="AD19" s="566">
        <f>VLOOKUP($A19,'01-02.2021'!$A$6:$CZ$403,30,FALSE)+VLOOKUP($A19,'1.3.21-28.2.22'!$A$6:$DA$404,30,FALSE)-VLOOKUP($A19,'01-02.2022'!$A$6:$DA$376,30,FALSE)</f>
        <v>1762.8518946323202</v>
      </c>
      <c r="AE19" s="566">
        <f>VLOOKUP($A19,'01-02.2021'!$A$6:$CZ$403,31,FALSE)+VLOOKUP($A19,'1.3.21-28.2.22'!$A$6:$DA$404,31,FALSE)-VLOOKUP($A19,'01-02.2022'!$A$6:$DA$376,31,FALSE)</f>
        <v>1866.0178770021887</v>
      </c>
      <c r="AF19" s="68">
        <f t="shared" si="41"/>
        <v>103.16598236986852</v>
      </c>
      <c r="AG19" s="77">
        <f t="shared" si="24"/>
        <v>4899.2987645664225</v>
      </c>
      <c r="AH19" s="53">
        <f t="shared" si="24"/>
        <v>4752.8199726446292</v>
      </c>
      <c r="AI19" s="52">
        <f t="shared" si="42"/>
        <v>-146.47879192179334</v>
      </c>
      <c r="AJ19" s="566">
        <f>VLOOKUP($A19,'01-02.2021'!$A$6:$CZ$403,36,FALSE)+VLOOKUP($A19,'1.3.21-28.2.22'!$A$6:$DA$404,36,FALSE)-VLOOKUP($A19,'01-02.2022'!$A$6:$DA$376,36,FALSE)</f>
        <v>0</v>
      </c>
      <c r="AK19" s="566">
        <f>VLOOKUP($A19,'01-02.2021'!$A$6:$CZ$403,37,FALSE)+VLOOKUP($A19,'1.3.21-28.2.22'!$A$6:$DA$404,37,FALSE)-VLOOKUP($A19,'01-02.2022'!$A$6:$DA$376,37,FALSE)</f>
        <v>0</v>
      </c>
      <c r="AL19" s="70">
        <f t="shared" si="43"/>
        <v>0</v>
      </c>
      <c r="AM19" s="566">
        <f>VLOOKUP($A19,'01-02.2021'!$A$6:$CZ$403,39,FALSE)+VLOOKUP($A19,'1.3.21-28.2.22'!$A$6:$DA$404,39,FALSE)-VLOOKUP($A19,'01-02.2022'!$A$6:$DA$376,39,FALSE)</f>
        <v>0</v>
      </c>
      <c r="AN19" s="566">
        <f>VLOOKUP($A19,'01-02.2021'!$A$6:$CZ$403,40,FALSE)+VLOOKUP($A19,'1.3.21-28.2.22'!$A$6:$DA$404,40,FALSE)-VLOOKUP($A19,'01-02.2022'!$A$6:$DA$376,40,FALSE)</f>
        <v>0</v>
      </c>
      <c r="AO19" s="70">
        <f t="shared" si="44"/>
        <v>0</v>
      </c>
      <c r="AP19" s="566">
        <f>VLOOKUP($A19,'01-02.2021'!$A$6:$CZ$403,42,FALSE)+VLOOKUP($A19,'1.3.21-28.2.22'!$A$6:$DA$404,42,FALSE)-VLOOKUP($A19,'01-02.2022'!$A$6:$DA$376,42,FALSE)</f>
        <v>1041.1198500255546</v>
      </c>
      <c r="AQ19" s="566">
        <f>VLOOKUP($A19,'01-02.2021'!$A$6:$CZ$403,43,FALSE)+VLOOKUP($A19,'1.3.21-28.2.22'!$A$6:$DA$404,43,FALSE)-VLOOKUP($A19,'01-02.2022'!$A$6:$DA$376,43,FALSE)</f>
        <v>898.58678628650102</v>
      </c>
      <c r="AR19" s="70">
        <f t="shared" si="45"/>
        <v>-142.53306373905355</v>
      </c>
      <c r="AS19" s="566">
        <f>VLOOKUP($A19,'01-02.2021'!$A$6:$CZ$403,45,FALSE)+VLOOKUP($A19,'1.3.21-28.2.22'!$A$6:$DA$404,45,FALSE)-VLOOKUP($A19,'01-02.2022'!$A$6:$DA$376,45,FALSE)</f>
        <v>4534.644856985954</v>
      </c>
      <c r="AT19" s="566">
        <f>VLOOKUP($A19,'01-02.2021'!$A$6:$CZ$403,46,FALSE)+VLOOKUP($A19,'1.3.21-28.2.22'!$A$6:$DA$404,46,FALSE)-VLOOKUP($A19,'01-02.2022'!$A$6:$DA$376,46,FALSE)</f>
        <v>2736.9227081464578</v>
      </c>
      <c r="AU19" s="78">
        <f t="shared" si="46"/>
        <v>-1797.7221488394962</v>
      </c>
      <c r="AV19" s="566">
        <f>VLOOKUP($A19,'01-02.2021'!$A$6:$CZ$403,48,FALSE)+VLOOKUP($A19,'1.3.21-28.2.22'!$A$6:$DA$404,48,FALSE)-VLOOKUP($A19,'01-02.2022'!$A$6:$DA$376,48,FALSE)</f>
        <v>621.86261425464056</v>
      </c>
      <c r="AW19" s="566">
        <f>VLOOKUP($A19,'01-02.2021'!$A$6:$CZ$403,49,FALSE)+VLOOKUP($A19,'1.3.21-28.2.22'!$A$6:$DA$404,49,FALSE)-VLOOKUP($A19,'01-02.2022'!$A$6:$DA$376,49,FALSE)</f>
        <v>0</v>
      </c>
      <c r="AX19" s="55">
        <f t="shared" si="47"/>
        <v>-621.86261425464056</v>
      </c>
      <c r="AY19" s="566">
        <f>VLOOKUP($A19,'01-02.2021'!$A$6:$CZ$403,51,FALSE)+VLOOKUP($A19,'1.3.21-28.2.22'!$A$6:$DA$404,51,FALSE)-VLOOKUP($A19,'01-02.2022'!$A$6:$DA$376,51,FALSE)</f>
        <v>776.51410953932429</v>
      </c>
      <c r="AZ19" s="566">
        <f>VLOOKUP($A19,'01-02.2021'!$A$6:$CZ$403,52,FALSE)+VLOOKUP($A19,'1.3.21-28.2.22'!$A$6:$DA$404,52,FALSE)-VLOOKUP($A19,'01-02.2022'!$A$6:$DA$376,52,FALSE)</f>
        <v>0</v>
      </c>
      <c r="BA19" s="38">
        <f t="shared" si="48"/>
        <v>-776.51410953932429</v>
      </c>
      <c r="BB19" s="566">
        <f>VLOOKUP($A19,'01-02.2021'!$A$6:$CZ$403,54,FALSE)+VLOOKUP($A19,'1.3.21-28.2.22'!$A$6:$DA$404,54,FALSE)-VLOOKUP($A19,'01-02.2022'!$A$6:$DA$376,54,FALSE)</f>
        <v>158.41137829700853</v>
      </c>
      <c r="BC19" s="566">
        <f>VLOOKUP($A19,'01-02.2021'!$A$6:$CZ$403,55,FALSE)+VLOOKUP($A19,'1.3.21-28.2.22'!$A$6:$DA$404,55,FALSE)-VLOOKUP($A19,'01-02.2022'!$A$6:$DA$376,55,FALSE)</f>
        <v>745</v>
      </c>
      <c r="BD19" s="55">
        <f t="shared" si="49"/>
        <v>586.58862170299153</v>
      </c>
      <c r="BE19" s="566">
        <f>VLOOKUP($A19,'01-02.2021'!$A$6:$CZ$403,57,FALSE)+VLOOKUP($A19,'1.3.21-28.2.22'!$A$6:$DA$404,57,FALSE)-VLOOKUP($A19,'01-02.2022'!$A$6:$DA$376,57,FALSE)</f>
        <v>0</v>
      </c>
      <c r="BF19" s="566">
        <f>VLOOKUP($A19,'01-02.2021'!$A$6:$CZ$403,58,FALSE)+VLOOKUP($A19,'1.3.21-28.2.22'!$A$6:$DA$404,58,FALSE)-VLOOKUP($A19,'01-02.2022'!$A$6:$DA$376,58,FALSE)</f>
        <v>0</v>
      </c>
      <c r="BG19" s="55">
        <f t="shared" si="50"/>
        <v>0</v>
      </c>
      <c r="BH19" s="566">
        <f>VLOOKUP($A19,'01-02.2021'!$A$6:$CZ$403,60,FALSE)+VLOOKUP($A19,'1.3.21-28.2.22'!$A$6:$DA$404,60,FALSE)-VLOOKUP($A19,'01-02.2022'!$A$6:$DA$376,60,FALSE)</f>
        <v>0</v>
      </c>
      <c r="BI19" s="566">
        <f>VLOOKUP($A19,'01-02.2021'!$A$6:$CZ$403,61,FALSE)+VLOOKUP($A19,'1.3.21-28.2.22'!$A$6:$DA$404,61,FALSE)-VLOOKUP($A19,'01-02.2022'!$A$6:$DA$376,61,FALSE)</f>
        <v>0</v>
      </c>
      <c r="BJ19" s="55">
        <f t="shared" si="51"/>
        <v>0</v>
      </c>
      <c r="BK19" s="566">
        <f>VLOOKUP($A19,'01-02.2021'!$A$6:$CZ$403,63,FALSE)+VLOOKUP($A19,'1.3.21-28.2.22'!$A$6:$DA$404,63,FALSE)-VLOOKUP($A19,'01-02.2022'!$A$6:$DA$376,63,FALSE)</f>
        <v>104.41205811104427</v>
      </c>
      <c r="BL19" s="566">
        <f>VLOOKUP($A19,'01-02.2021'!$A$6:$CZ$403,64,FALSE)+VLOOKUP($A19,'1.3.21-28.2.22'!$A$6:$DA$404,64,FALSE)-VLOOKUP($A19,'01-02.2022'!$A$6:$DA$376,64,FALSE)</f>
        <v>0</v>
      </c>
      <c r="BM19" s="55">
        <f t="shared" si="52"/>
        <v>-104.41205811104427</v>
      </c>
      <c r="BN19" s="566">
        <f>VLOOKUP($A19,'01-02.2021'!$A$6:$CZ$403,66,FALSE)+VLOOKUP($A19,'1.3.21-28.2.22'!$A$6:$DA$404,66,FALSE)-VLOOKUP($A19,'01-02.2022'!$A$6:$DA$376,66,FALSE)</f>
        <v>146.77679309308323</v>
      </c>
      <c r="BO19" s="566">
        <f>VLOOKUP($A19,'01-02.2021'!$A$6:$CZ$403,67,FALSE)+VLOOKUP($A19,'1.3.21-28.2.22'!$A$6:$DA$404,67,FALSE)-VLOOKUP($A19,'01-02.2022'!$A$6:$DA$376,67,FALSE)</f>
        <v>0</v>
      </c>
      <c r="BP19" s="55">
        <f t="shared" si="53"/>
        <v>-146.77679309308323</v>
      </c>
      <c r="BQ19" s="77">
        <f t="shared" si="25"/>
        <v>1807.9769532951007</v>
      </c>
      <c r="BR19" s="40">
        <f t="shared" si="26"/>
        <v>745</v>
      </c>
      <c r="BS19" s="55">
        <f t="shared" si="70"/>
        <v>-1062.9769532951007</v>
      </c>
      <c r="BT19" s="566">
        <f>VLOOKUP($A19,'01-02.2021'!$A$6:$CZ$403,72,FALSE)+VLOOKUP($A19,'1.3.21-28.2.22'!$A$6:$DA$404,72,FALSE)-VLOOKUP($A19,'01-02.2022'!$A$6:$DA$376,72,FALSE)</f>
        <v>5269.7614188486459</v>
      </c>
      <c r="BU19" s="566">
        <f>VLOOKUP($A19,'01-02.2021'!$A$6:$CZ$403,73,FALSE)+VLOOKUP($A19,'1.3.21-28.2.22'!$A$6:$DA$404,73,FALSE)-VLOOKUP($A19,'01-02.2022'!$A$6:$DA$376,73,FALSE)</f>
        <v>7069.9057979115296</v>
      </c>
      <c r="BV19" s="70">
        <f t="shared" si="54"/>
        <v>1800.1443790628837</v>
      </c>
      <c r="BW19" s="566">
        <f>VLOOKUP($A19,'01-02.2021'!$A$6:$CZ$403,75,FALSE)+VLOOKUP($A19,'1.3.21-28.2.22'!$A$6:$DA$404,75,FALSE)-VLOOKUP($A19,'01-02.2022'!$A$6:$DA$376,75,FALSE)</f>
        <v>2629.4648696180202</v>
      </c>
      <c r="BX19" s="566">
        <f>VLOOKUP($A19,'01-02.2021'!$A$6:$CZ$403,76,FALSE)+VLOOKUP($A19,'1.3.21-28.2.22'!$A$6:$DA$404,76,FALSE)-VLOOKUP($A19,'01-02.2022'!$A$6:$DA$376,76,FALSE)</f>
        <v>3028.7980637103087</v>
      </c>
      <c r="BY19" s="70">
        <f t="shared" si="55"/>
        <v>399.33319409228852</v>
      </c>
      <c r="BZ19" s="566">
        <f>VLOOKUP($A19,'01-02.2021'!$A$6:$CZ$403,78,FALSE)+VLOOKUP($A19,'1.3.21-28.2.22'!$A$6:$DA$404,78,FALSE)-VLOOKUP($A19,'01-02.2022'!$A$6:$DA$376,78,FALSE)</f>
        <v>1816.6251483871595</v>
      </c>
      <c r="CA19" s="566">
        <f>VLOOKUP($A19,'01-02.2021'!$A$6:$CZ$403,79,FALSE)+VLOOKUP($A19,'1.3.21-28.2.22'!$A$6:$DA$404,79,FALSE)-VLOOKUP($A19,'01-02.2022'!$A$6:$DA$376,79,FALSE)</f>
        <v>1469.0833179765691</v>
      </c>
      <c r="CB19" s="70">
        <f t="shared" si="56"/>
        <v>-347.54183041059036</v>
      </c>
      <c r="CC19" s="566">
        <f>VLOOKUP($A19,'01-02.2021'!$A$6:$CZ$403,81,FALSE)+VLOOKUP($A19,'1.3.21-28.2.22'!$A$6:$DA$404,81,FALSE)-VLOOKUP($A19,'01-02.2022'!$A$6:$DA$376,81,FALSE)</f>
        <v>0</v>
      </c>
      <c r="CD19" s="566">
        <f>VLOOKUP($A19,'01-02.2021'!$A$6:$CZ$403,82,FALSE)+VLOOKUP($A19,'1.3.21-28.2.22'!$A$6:$DA$404,82,FALSE)-VLOOKUP($A19,'01-02.2022'!$A$6:$DA$376,82,FALSE)</f>
        <v>0</v>
      </c>
      <c r="CE19" s="70">
        <f t="shared" si="57"/>
        <v>0</v>
      </c>
      <c r="CF19" s="566">
        <f>VLOOKUP($A19,'01-02.2021'!$A$6:$CZ$403,84,FALSE)+VLOOKUP($A19,'1.3.21-28.2.22'!$A$6:$DA$404,84,FALSE)-VLOOKUP($A19,'01-02.2022'!$A$6:$DA$376,84,FALSE)</f>
        <v>0</v>
      </c>
      <c r="CG19" s="566">
        <f>VLOOKUP($A19,'01-02.2021'!$A$6:$CZ$403,85,FALSE)+VLOOKUP($A19,'1.3.21-28.2.22'!$A$6:$DA$404,85,FALSE)-VLOOKUP($A19,'01-02.2022'!$A$6:$DA$376,85,FALSE)</f>
        <v>0</v>
      </c>
      <c r="CH19" s="70">
        <f t="shared" si="58"/>
        <v>0</v>
      </c>
      <c r="CI19" s="566">
        <f>VLOOKUP($A19,'01-02.2021'!$A$6:$CZ$403,87,FALSE)+VLOOKUP($A19,'1.3.21-28.2.22'!$A$6:$DA$404,87,FALSE)-VLOOKUP($A19,'01-02.2022'!$A$6:$DA$376,87,FALSE)</f>
        <v>1239.2989447353455</v>
      </c>
      <c r="CJ19" s="566">
        <f>VLOOKUP($A19,'01-02.2021'!$A$6:$CZ$403,88,FALSE)+VLOOKUP($A19,'1.3.21-28.2.22'!$A$6:$DA$404,88,FALSE)-VLOOKUP($A19,'01-02.2022'!$A$6:$DA$376,88,FALSE)</f>
        <v>917.00951139999847</v>
      </c>
      <c r="CK19" s="70">
        <f t="shared" si="59"/>
        <v>-322.28943333534698</v>
      </c>
      <c r="CL19" s="566">
        <f>VLOOKUP($A19,'01-02.2021'!$A$6:$CZ$403,90,FALSE)+VLOOKUP($A19,'1.3.21-28.2.22'!$A$6:$DA$404,90,FALSE)-VLOOKUP($A19,'01-02.2022'!$A$6:$DA$376,90,FALSE)</f>
        <v>0</v>
      </c>
      <c r="CM19" s="566">
        <f>VLOOKUP($A19,'01-02.2021'!$A$6:$CZ$403,91,FALSE)+VLOOKUP($A19,'1.3.21-28.2.22'!$A$6:$DA$404,91,FALSE)-VLOOKUP($A19,'01-02.2022'!$A$6:$DA$376,91,FALSE)</f>
        <v>0</v>
      </c>
      <c r="CN19" s="52">
        <f t="shared" si="60"/>
        <v>0</v>
      </c>
      <c r="CO19" s="39">
        <f t="shared" si="27"/>
        <v>1239.2989447353455</v>
      </c>
      <c r="CP19" s="40">
        <f t="shared" si="61"/>
        <v>917.00951139999847</v>
      </c>
      <c r="CQ19" s="52">
        <f t="shared" si="62"/>
        <v>-322.28943333534698</v>
      </c>
      <c r="CR19" s="72">
        <f t="shared" si="28"/>
        <v>23238.190806462204</v>
      </c>
      <c r="CS19" s="5">
        <f t="shared" si="28"/>
        <v>21618.126158075993</v>
      </c>
      <c r="CT19" s="52">
        <f t="shared" si="63"/>
        <v>-1620.064648386211</v>
      </c>
      <c r="CU19" s="77">
        <f t="shared" si="64"/>
        <v>27885.828967754645</v>
      </c>
      <c r="CV19" s="65">
        <f t="shared" si="65"/>
        <v>25941.751389691191</v>
      </c>
      <c r="CW19" s="35">
        <f t="shared" si="66"/>
        <v>-1944.077578063454</v>
      </c>
      <c r="CX19" s="566">
        <f>VLOOKUP($A19,'01-02.2021'!$A$6:$CZ$403,102,FALSE)+VLOOKUP($A19,'1.3.21-28.2.22'!$A$6:$DA$404,102,FALSE)-VLOOKUP($A19,'01-02.2022'!$A$6:$DA$376,102,FALSE)</f>
        <v>517.84751151590683</v>
      </c>
      <c r="CY19" s="566">
        <f>VLOOKUP($A19,'01-02.2021'!$A$6:$CZ$403,103,FALSE)+VLOOKUP($A19,'1.3.21-28.2.22'!$A$6:$DA$404,103,FALSE)-VLOOKUP($A19,'01-02.2022'!$A$6:$DA$376,103,FALSE)</f>
        <v>2461.9250895793571</v>
      </c>
      <c r="CZ19" s="52">
        <f t="shared" si="67"/>
        <v>1944.0775780634503</v>
      </c>
      <c r="DA19" s="150">
        <f>'[2]побудинковий звіт'!DA19</f>
        <v>404.41326809583279</v>
      </c>
      <c r="DB19" s="2">
        <v>1</v>
      </c>
      <c r="DC19" s="414">
        <f>'[4]побудинковий звіт'!DC19</f>
        <v>6695.11</v>
      </c>
      <c r="DD19" s="414">
        <f>'[4]побудинковий звіт'!DD19</f>
        <v>0</v>
      </c>
      <c r="DE19" s="557">
        <f>'[4]побудинковий звіт'!DE19</f>
        <v>4118.3455058346253</v>
      </c>
      <c r="DF19" s="557">
        <f>'[4]побудинковий звіт'!DF19</f>
        <v>0</v>
      </c>
      <c r="DG19" s="321">
        <f>VLOOKUP(A19,'кошти 01.03.2021'!$A$6:$D$401,4,)</f>
        <v>3277.5107824569741</v>
      </c>
      <c r="DH19" s="40">
        <f>'[3]побудинковий звіт'!DJ19</f>
        <v>29395.637952328565</v>
      </c>
      <c r="DI19" s="422">
        <f>'[3]побудинковий звіт'!CU19+'[3]побудинковий звіт'!CX19</f>
        <v>2576.7644941653748</v>
      </c>
      <c r="DJ19" s="306">
        <f>'[3]побудинковий звіт'!DM19</f>
        <v>6.2858646455867451</v>
      </c>
      <c r="DK19" s="306">
        <f t="shared" ref="DK19:DK25" si="73">DJ19</f>
        <v>6.2858646455867451</v>
      </c>
      <c r="DL19" s="306">
        <f>'[3]побудинковий звіт'!DO19</f>
        <v>5.378504172439234</v>
      </c>
      <c r="DM19" s="28">
        <f t="shared" ref="DM19:DM25" si="74">F19*DJ19</f>
        <v>2576.7644941653743</v>
      </c>
      <c r="DN19" s="28">
        <f t="shared" ref="DN19:DN25" si="75">H19*DL19</f>
        <v>0</v>
      </c>
      <c r="DO19" s="423">
        <f t="shared" si="29"/>
        <v>2576.7644941653743</v>
      </c>
      <c r="DP19" s="94">
        <f t="shared" si="30"/>
        <v>0</v>
      </c>
      <c r="DQ19" s="28">
        <f t="shared" si="31"/>
        <v>2576.7644941653743</v>
      </c>
      <c r="DR19" s="318"/>
      <c r="DT19" s="8"/>
      <c r="DU19" s="5"/>
      <c r="DX19" s="5">
        <f t="shared" si="32"/>
        <v>7611.1461723372649</v>
      </c>
      <c r="DY19" s="5">
        <f t="shared" si="33"/>
        <v>4178.3072497757494</v>
      </c>
      <c r="DZ19" s="159">
        <f>'[3]побудинковий звіт'!EA19</f>
        <v>670.46976059571546</v>
      </c>
    </row>
    <row r="20" spans="1:130" x14ac:dyDescent="0.3">
      <c r="A20" s="325">
        <v>150000496</v>
      </c>
      <c r="B20" s="41" t="s">
        <v>469</v>
      </c>
      <c r="C20" s="42" t="s">
        <v>149</v>
      </c>
      <c r="D20" s="42"/>
      <c r="E20" s="293">
        <f t="shared" si="23"/>
        <v>403.93</v>
      </c>
      <c r="F20" s="305">
        <f>'[3]побудинковий звіт'!F20</f>
        <v>403.93</v>
      </c>
      <c r="G20" s="508">
        <f>'[3]побудинковий звіт'!G20</f>
        <v>0</v>
      </c>
      <c r="H20" s="560">
        <f>'[3]побудинковий звіт'!H20</f>
        <v>0</v>
      </c>
      <c r="I20" s="566">
        <f>VLOOKUP($A20,'01-02.2021'!$A$6:$CZ$403,9,FALSE)+VLOOKUP($A20,'1.3.21-28.2.22'!$A$6:$DA$404,9,FALSE)-VLOOKUP($A20,'01-02.2022'!$A$6:$DA$376,9,FALSE)</f>
        <v>1355.232084236437</v>
      </c>
      <c r="J20" s="566">
        <f>VLOOKUP($A20,'01-02.2021'!$A$6:$CZ$403,10,FALSE)+VLOOKUP($A20,'1.3.21-28.2.22'!$A$6:$DA$404,10,FALSE)-VLOOKUP($A20,'01-02.2022'!$A$6:$DA$376,10,FALSE)</f>
        <v>1322.9008981208979</v>
      </c>
      <c r="K20" s="52">
        <f t="shared" si="34"/>
        <v>-32.33118611553914</v>
      </c>
      <c r="L20" s="566">
        <f>VLOOKUP($A20,'01-02.2021'!$A$6:$CZ$403,12,FALSE)+VLOOKUP($A20,'1.3.21-28.2.22'!$A$6:$DA$404,12,FALSE)-VLOOKUP($A20,'01-02.2022'!$A$6:$DA$376,12,FALSE)</f>
        <v>413.07483507113943</v>
      </c>
      <c r="M20" s="566">
        <f>VLOOKUP($A20,'01-02.2021'!$A$6:$CZ$403,13,FALSE)+VLOOKUP($A20,'1.3.21-28.2.22'!$A$6:$DA$404,13,FALSE)-VLOOKUP($A20,'01-02.2022'!$A$6:$DA$376,13,FALSE)</f>
        <v>372.15777035087206</v>
      </c>
      <c r="N20" s="52">
        <f t="shared" si="35"/>
        <v>-40.917064720267376</v>
      </c>
      <c r="O20" s="566">
        <f>VLOOKUP($A20,'01-02.2021'!$A$6:$CZ$403,15,FALSE)+VLOOKUP($A20,'1.3.21-28.2.22'!$A$6:$DA$404,15,FALSE)-VLOOKUP($A20,'01-02.2022'!$A$6:$DA$376,15,FALSE)</f>
        <v>589.38774450439155</v>
      </c>
      <c r="P20" s="566">
        <f>VLOOKUP($A20,'01-02.2021'!$A$6:$CZ$403,16,FALSE)+VLOOKUP($A20,'1.3.21-28.2.22'!$A$6:$DA$404,16,FALSE)-VLOOKUP($A20,'01-02.2022'!$A$6:$DA$376,16,FALSE)</f>
        <v>589.38000000000034</v>
      </c>
      <c r="Q20" s="70">
        <f t="shared" si="36"/>
        <v>-7.7445043912121037E-3</v>
      </c>
      <c r="R20" s="566">
        <f>VLOOKUP($A20,'01-02.2021'!$A$6:$CZ$403,18,FALSE)+VLOOKUP($A20,'1.3.21-28.2.22'!$A$6:$DA$404,18,FALSE)-VLOOKUP($A20,'01-02.2022'!$A$6:$DA$376,18,FALSE)</f>
        <v>0</v>
      </c>
      <c r="S20" s="566">
        <f>VLOOKUP($A20,'01-02.2021'!$A$6:$CZ$403,19,FALSE)+VLOOKUP($A20,'1.3.21-28.2.22'!$A$6:$DA$404,19,FALSE)-VLOOKUP($A20,'01-02.2022'!$A$6:$DA$376,19,FALSE)</f>
        <v>0</v>
      </c>
      <c r="T20" s="70">
        <f t="shared" si="37"/>
        <v>0</v>
      </c>
      <c r="U20" s="566">
        <f>VLOOKUP($A20,'01-02.2021'!$A$6:$CZ$403,21,FALSE)+VLOOKUP($A20,'1.3.21-28.2.22'!$A$6:$DA$404,21,FALSE)-VLOOKUP($A20,'01-02.2022'!$A$6:$DA$376,21,FALSE)</f>
        <v>0</v>
      </c>
      <c r="V20" s="566">
        <f>VLOOKUP($A20,'01-02.2021'!$A$6:$CZ$403,22,FALSE)+VLOOKUP($A20,'1.3.21-28.2.22'!$A$6:$DA$404,22,FALSE)-VLOOKUP($A20,'01-02.2022'!$A$6:$DA$376,22,FALSE)</f>
        <v>0</v>
      </c>
      <c r="W20" s="70">
        <f t="shared" si="38"/>
        <v>0</v>
      </c>
      <c r="X20" s="566">
        <f>VLOOKUP($A20,'01-02.2021'!$A$6:$CZ$403,24,FALSE)+VLOOKUP($A20,'1.3.21-28.2.22'!$A$6:$DA$404,24,FALSE)-VLOOKUP($A20,'01-02.2022'!$A$6:$DA$376,24,FALSE)</f>
        <v>684.44160484332565</v>
      </c>
      <c r="Y20" s="566">
        <f>VLOOKUP($A20,'01-02.2021'!$A$6:$CZ$403,25,FALSE)+VLOOKUP($A20,'1.3.21-28.2.22'!$A$6:$DA$404,25,FALSE)-VLOOKUP($A20,'01-02.2022'!$A$6:$DA$376,25,FALSE)</f>
        <v>588.95492940415954</v>
      </c>
      <c r="Z20" s="70">
        <f t="shared" si="39"/>
        <v>-95.486675439166106</v>
      </c>
      <c r="AA20" s="566">
        <f>VLOOKUP($A20,'01-02.2021'!$A$6:$CZ$403,27,FALSE)+VLOOKUP($A20,'1.3.21-28.2.22'!$A$6:$DA$404,27,FALSE)-VLOOKUP($A20,'01-02.2022'!$A$6:$DA$376,27,FALSE)</f>
        <v>80.786000000000001</v>
      </c>
      <c r="AB20" s="566">
        <f>VLOOKUP($A20,'01-02.2021'!$A$6:$CZ$403,28,FALSE)+VLOOKUP($A20,'1.3.21-28.2.22'!$A$6:$DA$404,28,FALSE)-VLOOKUP($A20,'01-02.2022'!$A$6:$DA$376,28,FALSE)</f>
        <v>0</v>
      </c>
      <c r="AC20" s="70">
        <f t="shared" si="40"/>
        <v>-80.786000000000001</v>
      </c>
      <c r="AD20" s="566">
        <f>VLOOKUP($A20,'01-02.2021'!$A$6:$CZ$403,30,FALSE)+VLOOKUP($A20,'1.3.21-28.2.22'!$A$6:$DA$404,30,FALSE)-VLOOKUP($A20,'01-02.2022'!$A$6:$DA$376,30,FALSE)</f>
        <v>1734.9982630842487</v>
      </c>
      <c r="AE20" s="566">
        <f>VLOOKUP($A20,'01-02.2021'!$A$6:$CZ$403,31,FALSE)+VLOOKUP($A20,'1.3.21-28.2.22'!$A$6:$DA$404,31,FALSE)-VLOOKUP($A20,'01-02.2022'!$A$6:$DA$376,31,FALSE)</f>
        <v>1838.7056352486863</v>
      </c>
      <c r="AF20" s="68">
        <f t="shared" si="41"/>
        <v>103.70737216443763</v>
      </c>
      <c r="AG20" s="77">
        <f t="shared" si="24"/>
        <v>4857.9205317395426</v>
      </c>
      <c r="AH20" s="53">
        <f t="shared" si="24"/>
        <v>4712.0992331246161</v>
      </c>
      <c r="AI20" s="52">
        <f t="shared" si="42"/>
        <v>-145.82129861492649</v>
      </c>
      <c r="AJ20" s="566">
        <f>VLOOKUP($A20,'01-02.2021'!$A$6:$CZ$403,36,FALSE)+VLOOKUP($A20,'1.3.21-28.2.22'!$A$6:$DA$404,36,FALSE)-VLOOKUP($A20,'01-02.2022'!$A$6:$DA$376,36,FALSE)</f>
        <v>0</v>
      </c>
      <c r="AK20" s="566">
        <f>VLOOKUP($A20,'01-02.2021'!$A$6:$CZ$403,37,FALSE)+VLOOKUP($A20,'1.3.21-28.2.22'!$A$6:$DA$404,37,FALSE)-VLOOKUP($A20,'01-02.2022'!$A$6:$DA$376,37,FALSE)</f>
        <v>0</v>
      </c>
      <c r="AL20" s="70">
        <f t="shared" si="43"/>
        <v>0</v>
      </c>
      <c r="AM20" s="566">
        <f>VLOOKUP($A20,'01-02.2021'!$A$6:$CZ$403,39,FALSE)+VLOOKUP($A20,'1.3.21-28.2.22'!$A$6:$DA$404,39,FALSE)-VLOOKUP($A20,'01-02.2022'!$A$6:$DA$376,39,FALSE)</f>
        <v>0</v>
      </c>
      <c r="AN20" s="566">
        <f>VLOOKUP($A20,'01-02.2021'!$A$6:$CZ$403,40,FALSE)+VLOOKUP($A20,'1.3.21-28.2.22'!$A$6:$DA$404,40,FALSE)-VLOOKUP($A20,'01-02.2022'!$A$6:$DA$376,40,FALSE)</f>
        <v>0</v>
      </c>
      <c r="AO20" s="70">
        <f t="shared" si="44"/>
        <v>0</v>
      </c>
      <c r="AP20" s="566">
        <f>VLOOKUP($A20,'01-02.2021'!$A$6:$CZ$403,42,FALSE)+VLOOKUP($A20,'1.3.21-28.2.22'!$A$6:$DA$404,42,FALSE)-VLOOKUP($A20,'01-02.2022'!$A$6:$DA$376,42,FALSE)</f>
        <v>1041.1198500255546</v>
      </c>
      <c r="AQ20" s="566">
        <f>VLOOKUP($A20,'01-02.2021'!$A$6:$CZ$403,43,FALSE)+VLOOKUP($A20,'1.3.21-28.2.22'!$A$6:$DA$404,43,FALSE)-VLOOKUP($A20,'01-02.2022'!$A$6:$DA$376,43,FALSE)</f>
        <v>898.58678628650102</v>
      </c>
      <c r="AR20" s="70">
        <f t="shared" si="45"/>
        <v>-142.53306373905355</v>
      </c>
      <c r="AS20" s="566">
        <f>VLOOKUP($A20,'01-02.2021'!$A$6:$CZ$403,45,FALSE)+VLOOKUP($A20,'1.3.21-28.2.22'!$A$6:$DA$404,45,FALSE)-VLOOKUP($A20,'01-02.2022'!$A$6:$DA$376,45,FALSE)</f>
        <v>4337.1436224806193</v>
      </c>
      <c r="AT20" s="566">
        <f>VLOOKUP($A20,'01-02.2021'!$A$6:$CZ$403,46,FALSE)+VLOOKUP($A20,'1.3.21-28.2.22'!$A$6:$DA$404,46,FALSE)-VLOOKUP($A20,'01-02.2022'!$A$6:$DA$376,46,FALSE)</f>
        <v>2757.9227081464578</v>
      </c>
      <c r="AU20" s="78">
        <f t="shared" si="46"/>
        <v>-1579.2209143341615</v>
      </c>
      <c r="AV20" s="566">
        <f>VLOOKUP($A20,'01-02.2021'!$A$6:$CZ$403,48,FALSE)+VLOOKUP($A20,'1.3.21-28.2.22'!$A$6:$DA$404,48,FALSE)-VLOOKUP($A20,'01-02.2022'!$A$6:$DA$376,48,FALSE)</f>
        <v>621.86261425464056</v>
      </c>
      <c r="AW20" s="566">
        <f>VLOOKUP($A20,'01-02.2021'!$A$6:$CZ$403,49,FALSE)+VLOOKUP($A20,'1.3.21-28.2.22'!$A$6:$DA$404,49,FALSE)-VLOOKUP($A20,'01-02.2022'!$A$6:$DA$376,49,FALSE)</f>
        <v>0</v>
      </c>
      <c r="AX20" s="55">
        <f t="shared" si="47"/>
        <v>-621.86261425464056</v>
      </c>
      <c r="AY20" s="566">
        <f>VLOOKUP($A20,'01-02.2021'!$A$6:$CZ$403,51,FALSE)+VLOOKUP($A20,'1.3.21-28.2.22'!$A$6:$DA$404,51,FALSE)-VLOOKUP($A20,'01-02.2022'!$A$6:$DA$376,51,FALSE)</f>
        <v>776.51410953932429</v>
      </c>
      <c r="AZ20" s="566">
        <f>VLOOKUP($A20,'01-02.2021'!$A$6:$CZ$403,52,FALSE)+VLOOKUP($A20,'1.3.21-28.2.22'!$A$6:$DA$404,52,FALSE)-VLOOKUP($A20,'01-02.2022'!$A$6:$DA$376,52,FALSE)</f>
        <v>0</v>
      </c>
      <c r="BA20" s="38">
        <f t="shared" si="48"/>
        <v>-776.51410953932429</v>
      </c>
      <c r="BB20" s="566">
        <f>VLOOKUP($A20,'01-02.2021'!$A$6:$CZ$403,54,FALSE)+VLOOKUP($A20,'1.3.21-28.2.22'!$A$6:$DA$404,54,FALSE)-VLOOKUP($A20,'01-02.2022'!$A$6:$DA$376,54,FALSE)</f>
        <v>153.79559892052967</v>
      </c>
      <c r="BC20" s="566">
        <f>VLOOKUP($A20,'01-02.2021'!$A$6:$CZ$403,55,FALSE)+VLOOKUP($A20,'1.3.21-28.2.22'!$A$6:$DA$404,55,FALSE)-VLOOKUP($A20,'01-02.2022'!$A$6:$DA$376,55,FALSE)</f>
        <v>0</v>
      </c>
      <c r="BD20" s="55">
        <f t="shared" si="49"/>
        <v>-153.79559892052967</v>
      </c>
      <c r="BE20" s="566">
        <f>VLOOKUP($A20,'01-02.2021'!$A$6:$CZ$403,57,FALSE)+VLOOKUP($A20,'1.3.21-28.2.22'!$A$6:$DA$404,57,FALSE)-VLOOKUP($A20,'01-02.2022'!$A$6:$DA$376,57,FALSE)</f>
        <v>0</v>
      </c>
      <c r="BF20" s="566">
        <f>VLOOKUP($A20,'01-02.2021'!$A$6:$CZ$403,58,FALSE)+VLOOKUP($A20,'1.3.21-28.2.22'!$A$6:$DA$404,58,FALSE)-VLOOKUP($A20,'01-02.2022'!$A$6:$DA$376,58,FALSE)</f>
        <v>0</v>
      </c>
      <c r="BG20" s="55">
        <f t="shared" si="50"/>
        <v>0</v>
      </c>
      <c r="BH20" s="566">
        <f>VLOOKUP($A20,'01-02.2021'!$A$6:$CZ$403,60,FALSE)+VLOOKUP($A20,'1.3.21-28.2.22'!$A$6:$DA$404,60,FALSE)-VLOOKUP($A20,'01-02.2022'!$A$6:$DA$376,60,FALSE)</f>
        <v>0</v>
      </c>
      <c r="BI20" s="566">
        <f>VLOOKUP($A20,'01-02.2021'!$A$6:$CZ$403,61,FALSE)+VLOOKUP($A20,'1.3.21-28.2.22'!$A$6:$DA$404,61,FALSE)-VLOOKUP($A20,'01-02.2022'!$A$6:$DA$376,61,FALSE)</f>
        <v>0</v>
      </c>
      <c r="BJ20" s="55">
        <f t="shared" si="51"/>
        <v>0</v>
      </c>
      <c r="BK20" s="566">
        <f>VLOOKUP($A20,'01-02.2021'!$A$6:$CZ$403,63,FALSE)+VLOOKUP($A20,'1.3.21-28.2.22'!$A$6:$DA$404,63,FALSE)-VLOOKUP($A20,'01-02.2022'!$A$6:$DA$376,63,FALSE)</f>
        <v>104.41205811104427</v>
      </c>
      <c r="BL20" s="566">
        <f>VLOOKUP($A20,'01-02.2021'!$A$6:$CZ$403,64,FALSE)+VLOOKUP($A20,'1.3.21-28.2.22'!$A$6:$DA$404,64,FALSE)-VLOOKUP($A20,'01-02.2022'!$A$6:$DA$376,64,FALSE)</f>
        <v>0</v>
      </c>
      <c r="BM20" s="55">
        <f t="shared" si="52"/>
        <v>-104.41205811104427</v>
      </c>
      <c r="BN20" s="566">
        <f>VLOOKUP($A20,'01-02.2021'!$A$6:$CZ$403,66,FALSE)+VLOOKUP($A20,'1.3.21-28.2.22'!$A$6:$DA$404,66,FALSE)-VLOOKUP($A20,'01-02.2022'!$A$6:$DA$376,66,FALSE)</f>
        <v>143.28413112454632</v>
      </c>
      <c r="BO20" s="566">
        <f>VLOOKUP($A20,'01-02.2021'!$A$6:$CZ$403,67,FALSE)+VLOOKUP($A20,'1.3.21-28.2.22'!$A$6:$DA$404,67,FALSE)-VLOOKUP($A20,'01-02.2022'!$A$6:$DA$376,67,FALSE)</f>
        <v>0</v>
      </c>
      <c r="BP20" s="55">
        <f t="shared" si="53"/>
        <v>-143.28413112454632</v>
      </c>
      <c r="BQ20" s="77">
        <f t="shared" si="25"/>
        <v>1799.8685119500851</v>
      </c>
      <c r="BR20" s="40">
        <f t="shared" si="26"/>
        <v>0</v>
      </c>
      <c r="BS20" s="55">
        <f t="shared" si="70"/>
        <v>-1799.8685119500851</v>
      </c>
      <c r="BT20" s="566">
        <f>VLOOKUP($A20,'01-02.2021'!$A$6:$CZ$403,72,FALSE)+VLOOKUP($A20,'1.3.21-28.2.22'!$A$6:$DA$404,72,FALSE)-VLOOKUP($A20,'01-02.2022'!$A$6:$DA$376,72,FALSE)</f>
        <v>4305.6232403233662</v>
      </c>
      <c r="BU20" s="566">
        <f>VLOOKUP($A20,'01-02.2021'!$A$6:$CZ$403,73,FALSE)+VLOOKUP($A20,'1.3.21-28.2.22'!$A$6:$DA$404,73,FALSE)-VLOOKUP($A20,'01-02.2022'!$A$6:$DA$376,73,FALSE)</f>
        <v>6006.0181084556507</v>
      </c>
      <c r="BV20" s="70">
        <f t="shared" si="54"/>
        <v>1700.3948681322845</v>
      </c>
      <c r="BW20" s="566">
        <f>VLOOKUP($A20,'01-02.2021'!$A$6:$CZ$403,75,FALSE)+VLOOKUP($A20,'1.3.21-28.2.22'!$A$6:$DA$404,75,FALSE)-VLOOKUP($A20,'01-02.2022'!$A$6:$DA$376,75,FALSE)</f>
        <v>2671.3132623201441</v>
      </c>
      <c r="BX20" s="566">
        <f>VLOOKUP($A20,'01-02.2021'!$A$6:$CZ$403,76,FALSE)+VLOOKUP($A20,'1.3.21-28.2.22'!$A$6:$DA$404,76,FALSE)-VLOOKUP($A20,'01-02.2022'!$A$6:$DA$376,76,FALSE)</f>
        <v>2902.5872738081257</v>
      </c>
      <c r="BY20" s="70">
        <f t="shared" si="55"/>
        <v>231.27401148798162</v>
      </c>
      <c r="BZ20" s="566">
        <f>VLOOKUP($A20,'01-02.2021'!$A$6:$CZ$403,78,FALSE)+VLOOKUP($A20,'1.3.21-28.2.22'!$A$6:$DA$404,78,FALSE)-VLOOKUP($A20,'01-02.2022'!$A$6:$DA$376,78,FALSE)</f>
        <v>1908.6571015937395</v>
      </c>
      <c r="CA20" s="566">
        <f>VLOOKUP($A20,'01-02.2021'!$A$6:$CZ$403,79,FALSE)+VLOOKUP($A20,'1.3.21-28.2.22'!$A$6:$DA$404,79,FALSE)-VLOOKUP($A20,'01-02.2022'!$A$6:$DA$376,79,FALSE)</f>
        <v>1204.3543175699144</v>
      </c>
      <c r="CB20" s="70">
        <f t="shared" si="56"/>
        <v>-704.3027840238251</v>
      </c>
      <c r="CC20" s="566">
        <f>VLOOKUP($A20,'01-02.2021'!$A$6:$CZ$403,81,FALSE)+VLOOKUP($A20,'1.3.21-28.2.22'!$A$6:$DA$404,81,FALSE)-VLOOKUP($A20,'01-02.2022'!$A$6:$DA$376,81,FALSE)</f>
        <v>0</v>
      </c>
      <c r="CD20" s="566">
        <f>VLOOKUP($A20,'01-02.2021'!$A$6:$CZ$403,82,FALSE)+VLOOKUP($A20,'1.3.21-28.2.22'!$A$6:$DA$404,82,FALSE)-VLOOKUP($A20,'01-02.2022'!$A$6:$DA$376,82,FALSE)</f>
        <v>0</v>
      </c>
      <c r="CE20" s="70">
        <f t="shared" si="57"/>
        <v>0</v>
      </c>
      <c r="CF20" s="566">
        <f>VLOOKUP($A20,'01-02.2021'!$A$6:$CZ$403,84,FALSE)+VLOOKUP($A20,'1.3.21-28.2.22'!$A$6:$DA$404,84,FALSE)-VLOOKUP($A20,'01-02.2022'!$A$6:$DA$376,84,FALSE)</f>
        <v>0</v>
      </c>
      <c r="CG20" s="566">
        <f>VLOOKUP($A20,'01-02.2021'!$A$6:$CZ$403,85,FALSE)+VLOOKUP($A20,'1.3.21-28.2.22'!$A$6:$DA$404,85,FALSE)-VLOOKUP($A20,'01-02.2022'!$A$6:$DA$376,85,FALSE)</f>
        <v>0</v>
      </c>
      <c r="CH20" s="70">
        <f t="shared" si="58"/>
        <v>0</v>
      </c>
      <c r="CI20" s="566">
        <f>VLOOKUP($A20,'01-02.2021'!$A$6:$CZ$403,87,FALSE)+VLOOKUP($A20,'1.3.21-28.2.22'!$A$6:$DA$404,87,FALSE)-VLOOKUP($A20,'01-02.2022'!$A$6:$DA$376,87,FALSE)</f>
        <v>1898.5370789828457</v>
      </c>
      <c r="CJ20" s="566">
        <f>VLOOKUP($A20,'01-02.2021'!$A$6:$CZ$403,88,FALSE)+VLOOKUP($A20,'1.3.21-28.2.22'!$A$6:$DA$404,88,FALSE)-VLOOKUP($A20,'01-02.2022'!$A$6:$DA$376,88,FALSE)</f>
        <v>1560.0529410066565</v>
      </c>
      <c r="CK20" s="70">
        <f t="shared" si="59"/>
        <v>-338.48413797618923</v>
      </c>
      <c r="CL20" s="566">
        <f>VLOOKUP($A20,'01-02.2021'!$A$6:$CZ$403,90,FALSE)+VLOOKUP($A20,'1.3.21-28.2.22'!$A$6:$DA$404,90,FALSE)-VLOOKUP($A20,'01-02.2022'!$A$6:$DA$376,90,FALSE)</f>
        <v>0</v>
      </c>
      <c r="CM20" s="566">
        <f>VLOOKUP($A20,'01-02.2021'!$A$6:$CZ$403,91,FALSE)+VLOOKUP($A20,'1.3.21-28.2.22'!$A$6:$DA$404,91,FALSE)-VLOOKUP($A20,'01-02.2022'!$A$6:$DA$376,91,FALSE)</f>
        <v>0</v>
      </c>
      <c r="CN20" s="52">
        <f t="shared" si="60"/>
        <v>0</v>
      </c>
      <c r="CO20" s="39">
        <f t="shared" si="27"/>
        <v>1898.5370789828457</v>
      </c>
      <c r="CP20" s="40">
        <f t="shared" si="61"/>
        <v>1560.0529410066565</v>
      </c>
      <c r="CQ20" s="52">
        <f t="shared" si="62"/>
        <v>-338.48413797618923</v>
      </c>
      <c r="CR20" s="72">
        <f t="shared" si="28"/>
        <v>22820.183199415897</v>
      </c>
      <c r="CS20" s="5">
        <f t="shared" si="28"/>
        <v>20041.621368397922</v>
      </c>
      <c r="CT20" s="52">
        <f t="shared" si="63"/>
        <v>-2778.5618310179743</v>
      </c>
      <c r="CU20" s="77">
        <f t="shared" si="64"/>
        <v>27384.219839299076</v>
      </c>
      <c r="CV20" s="65">
        <f t="shared" si="65"/>
        <v>24049.945642077506</v>
      </c>
      <c r="CW20" s="35">
        <f t="shared" si="66"/>
        <v>-3334.2741972215699</v>
      </c>
      <c r="CX20" s="566">
        <f>VLOOKUP($A20,'01-02.2021'!$A$6:$CZ$403,102,FALSE)+VLOOKUP($A20,'1.3.21-28.2.22'!$A$6:$DA$404,102,FALSE)-VLOOKUP($A20,'01-02.2022'!$A$6:$DA$376,102,FALSE)</f>
        <v>954.48032099831198</v>
      </c>
      <c r="CY20" s="566">
        <f>VLOOKUP($A20,'01-02.2021'!$A$6:$CZ$403,103,FALSE)+VLOOKUP($A20,'1.3.21-28.2.22'!$A$6:$DA$404,103,FALSE)-VLOOKUP($A20,'01-02.2022'!$A$6:$DA$376,103,FALSE)</f>
        <v>4288.754518219881</v>
      </c>
      <c r="CZ20" s="52">
        <f t="shared" si="67"/>
        <v>3334.274197221569</v>
      </c>
      <c r="DA20" s="150">
        <f>'[2]побудинковий звіт'!DA20</f>
        <v>25324.034899954604</v>
      </c>
      <c r="DB20" s="2">
        <v>1</v>
      </c>
      <c r="DC20" s="414">
        <f>'[4]побудинковий звіт'!DC20</f>
        <v>12880.3</v>
      </c>
      <c r="DD20" s="414">
        <f>'[4]побудинковий звіт'!DD20</f>
        <v>0</v>
      </c>
      <c r="DE20" s="557">
        <f>'[4]побудинковий звіт'!DE20</f>
        <v>10303.218582008332</v>
      </c>
      <c r="DF20" s="557">
        <f>'[4]побудинковий звіт'!DF20</f>
        <v>0</v>
      </c>
      <c r="DG20" s="321">
        <f>VLOOKUP(A20,'кошти 01.03.2021'!$A$6:$D$401,4,)</f>
        <v>29034.721675573459</v>
      </c>
      <c r="DH20" s="40">
        <f>'[3]побудинковий звіт'!DJ20</f>
        <v>29358.270868819985</v>
      </c>
      <c r="DI20" s="422">
        <f>'[3]побудинковий звіт'!CU20+'[3]побудинковий звіт'!CX20</f>
        <v>2577.0814179916661</v>
      </c>
      <c r="DJ20" s="306">
        <f>'[3]побудинковий звіт'!DM20</f>
        <v>6.3800198499533733</v>
      </c>
      <c r="DK20" s="306">
        <f t="shared" si="73"/>
        <v>6.3800198499533733</v>
      </c>
      <c r="DL20" s="306">
        <f>'[3]побудинковий звіт'!DO20</f>
        <v>5.4179558879841263</v>
      </c>
      <c r="DM20" s="28">
        <f t="shared" si="74"/>
        <v>2577.0814179916661</v>
      </c>
      <c r="DN20" s="28">
        <f t="shared" si="75"/>
        <v>0</v>
      </c>
      <c r="DO20" s="423">
        <f t="shared" si="29"/>
        <v>2577.0814179916661</v>
      </c>
      <c r="DP20" s="94">
        <f t="shared" si="30"/>
        <v>0</v>
      </c>
      <c r="DQ20" s="28">
        <f t="shared" si="31"/>
        <v>2577.0814179916661</v>
      </c>
      <c r="DR20" s="318"/>
      <c r="DT20" s="8"/>
      <c r="DU20" s="5"/>
      <c r="DX20" s="5">
        <f t="shared" si="32"/>
        <v>7364.4145613168448</v>
      </c>
      <c r="DY20" s="5">
        <f t="shared" si="33"/>
        <v>3309.5072497757492</v>
      </c>
      <c r="DZ20" s="159">
        <f>'[3]побудинковий звіт'!EA20</f>
        <v>651.38980347193876</v>
      </c>
    </row>
    <row r="21" spans="1:130" x14ac:dyDescent="0.3">
      <c r="A21" s="325">
        <v>150000498</v>
      </c>
      <c r="B21" s="41" t="s">
        <v>470</v>
      </c>
      <c r="C21" s="42" t="s">
        <v>242</v>
      </c>
      <c r="D21" s="42"/>
      <c r="E21" s="293">
        <f t="shared" si="23"/>
        <v>4890.7</v>
      </c>
      <c r="F21" s="305">
        <f>'[3]побудинковий звіт'!F21</f>
        <v>4845</v>
      </c>
      <c r="G21" s="508">
        <f>'[3]побудинковий звіт'!G21</f>
        <v>0</v>
      </c>
      <c r="H21" s="560">
        <f>'[3]побудинковий звіт'!H21</f>
        <v>45.7</v>
      </c>
      <c r="I21" s="566">
        <f>VLOOKUP($A21,'01-02.2021'!$A$6:$CZ$403,9,FALSE)+VLOOKUP($A21,'1.3.21-28.2.22'!$A$6:$DA$404,9,FALSE)-VLOOKUP($A21,'01-02.2022'!$A$6:$DA$376,9,FALSE)</f>
        <v>15455.372940099272</v>
      </c>
      <c r="J21" s="566">
        <f>VLOOKUP($A21,'01-02.2021'!$A$6:$CZ$403,10,FALSE)+VLOOKUP($A21,'1.3.21-28.2.22'!$A$6:$DA$404,10,FALSE)-VLOOKUP($A21,'01-02.2022'!$A$6:$DA$376,10,FALSE)</f>
        <v>13675.742333606164</v>
      </c>
      <c r="K21" s="52">
        <f t="shared" si="34"/>
        <v>-1779.6306064931086</v>
      </c>
      <c r="L21" s="566">
        <f>VLOOKUP($A21,'01-02.2021'!$A$6:$CZ$403,12,FALSE)+VLOOKUP($A21,'1.3.21-28.2.22'!$A$6:$DA$404,12,FALSE)-VLOOKUP($A21,'01-02.2022'!$A$6:$DA$376,12,FALSE)</f>
        <v>3317.6527263424496</v>
      </c>
      <c r="M21" s="566">
        <f>VLOOKUP($A21,'01-02.2021'!$A$6:$CZ$403,13,FALSE)+VLOOKUP($A21,'1.3.21-28.2.22'!$A$6:$DA$404,13,FALSE)-VLOOKUP($A21,'01-02.2022'!$A$6:$DA$376,13,FALSE)</f>
        <v>2995.8510812913551</v>
      </c>
      <c r="N21" s="52">
        <f t="shared" si="35"/>
        <v>-321.80164505109451</v>
      </c>
      <c r="O21" s="566">
        <f>VLOOKUP($A21,'01-02.2021'!$A$6:$CZ$403,15,FALSE)+VLOOKUP($A21,'1.3.21-28.2.22'!$A$6:$DA$404,15,FALSE)-VLOOKUP($A21,'01-02.2022'!$A$6:$DA$376,15,FALSE)</f>
        <v>7043.8641040886678</v>
      </c>
      <c r="P21" s="566">
        <f>VLOOKUP($A21,'01-02.2021'!$A$6:$CZ$403,16,FALSE)+VLOOKUP($A21,'1.3.21-28.2.22'!$A$6:$DA$404,16,FALSE)-VLOOKUP($A21,'01-02.2022'!$A$6:$DA$376,16,FALSE)</f>
        <v>7042.1216666666705</v>
      </c>
      <c r="Q21" s="70">
        <f t="shared" si="36"/>
        <v>-1.7424374219972378</v>
      </c>
      <c r="R21" s="566">
        <f>VLOOKUP($A21,'01-02.2021'!$A$6:$CZ$403,18,FALSE)+VLOOKUP($A21,'1.3.21-28.2.22'!$A$6:$DA$404,18,FALSE)-VLOOKUP($A21,'01-02.2022'!$A$6:$DA$376,18,FALSE)</f>
        <v>0</v>
      </c>
      <c r="S21" s="566">
        <f>VLOOKUP($A21,'01-02.2021'!$A$6:$CZ$403,19,FALSE)+VLOOKUP($A21,'1.3.21-28.2.22'!$A$6:$DA$404,19,FALSE)-VLOOKUP($A21,'01-02.2022'!$A$6:$DA$376,19,FALSE)</f>
        <v>0</v>
      </c>
      <c r="T21" s="70">
        <f t="shared" si="37"/>
        <v>0</v>
      </c>
      <c r="U21" s="566">
        <f>VLOOKUP($A21,'01-02.2021'!$A$6:$CZ$403,21,FALSE)+VLOOKUP($A21,'1.3.21-28.2.22'!$A$6:$DA$404,21,FALSE)-VLOOKUP($A21,'01-02.2022'!$A$6:$DA$376,21,FALSE)</f>
        <v>0</v>
      </c>
      <c r="V21" s="566">
        <f>VLOOKUP($A21,'01-02.2021'!$A$6:$CZ$403,22,FALSE)+VLOOKUP($A21,'1.3.21-28.2.22'!$A$6:$DA$404,22,FALSE)-VLOOKUP($A21,'01-02.2022'!$A$6:$DA$376,22,FALSE)</f>
        <v>0</v>
      </c>
      <c r="W21" s="70">
        <f t="shared" si="38"/>
        <v>0</v>
      </c>
      <c r="X21" s="566">
        <f>VLOOKUP($A21,'01-02.2021'!$A$6:$CZ$403,24,FALSE)+VLOOKUP($A21,'1.3.21-28.2.22'!$A$6:$DA$404,24,FALSE)-VLOOKUP($A21,'01-02.2022'!$A$6:$DA$376,24,FALSE)</f>
        <v>12217.977148619677</v>
      </c>
      <c r="Y21" s="566">
        <f>VLOOKUP($A21,'01-02.2021'!$A$6:$CZ$403,25,FALSE)+VLOOKUP($A21,'1.3.21-28.2.22'!$A$6:$DA$404,25,FALSE)-VLOOKUP($A21,'01-02.2022'!$A$6:$DA$376,25,FALSE)</f>
        <v>10953.317732325466</v>
      </c>
      <c r="Z21" s="70">
        <f t="shared" si="39"/>
        <v>-1264.659416294211</v>
      </c>
      <c r="AA21" s="566">
        <f>VLOOKUP($A21,'01-02.2021'!$A$6:$CZ$403,27,FALSE)+VLOOKUP($A21,'1.3.21-28.2.22'!$A$6:$DA$404,27,FALSE)-VLOOKUP($A21,'01-02.2022'!$A$6:$DA$376,27,FALSE)</f>
        <v>978.64</v>
      </c>
      <c r="AB21" s="566">
        <f>VLOOKUP($A21,'01-02.2021'!$A$6:$CZ$403,28,FALSE)+VLOOKUP($A21,'1.3.21-28.2.22'!$A$6:$DA$404,28,FALSE)-VLOOKUP($A21,'01-02.2022'!$A$6:$DA$376,28,FALSE)</f>
        <v>0</v>
      </c>
      <c r="AC21" s="70">
        <f t="shared" si="40"/>
        <v>-978.64</v>
      </c>
      <c r="AD21" s="566">
        <f>VLOOKUP($A21,'01-02.2021'!$A$6:$CZ$403,30,FALSE)+VLOOKUP($A21,'1.3.21-28.2.22'!$A$6:$DA$404,30,FALSE)-VLOOKUP($A21,'01-02.2022'!$A$6:$DA$376,30,FALSE)</f>
        <v>21006.929865527651</v>
      </c>
      <c r="AE21" s="566">
        <f>VLOOKUP($A21,'01-02.2021'!$A$6:$CZ$403,31,FALSE)+VLOOKUP($A21,'1.3.21-28.2.22'!$A$6:$DA$404,31,FALSE)-VLOOKUP($A21,'01-02.2022'!$A$6:$DA$376,31,FALSE)</f>
        <v>22269.686340776774</v>
      </c>
      <c r="AF21" s="68">
        <f t="shared" si="41"/>
        <v>1262.7564752491235</v>
      </c>
      <c r="AG21" s="77">
        <f t="shared" si="24"/>
        <v>60020.436784677717</v>
      </c>
      <c r="AH21" s="53">
        <f t="shared" si="24"/>
        <v>56936.719154666425</v>
      </c>
      <c r="AI21" s="52">
        <f t="shared" si="42"/>
        <v>-3083.7176300112915</v>
      </c>
      <c r="AJ21" s="566">
        <f>VLOOKUP($A21,'01-02.2021'!$A$6:$CZ$403,36,FALSE)+VLOOKUP($A21,'1.3.21-28.2.22'!$A$6:$DA$404,36,FALSE)-VLOOKUP($A21,'01-02.2022'!$A$6:$DA$376,36,FALSE)</f>
        <v>0</v>
      </c>
      <c r="AK21" s="566">
        <f>VLOOKUP($A21,'01-02.2021'!$A$6:$CZ$403,37,FALSE)+VLOOKUP($A21,'1.3.21-28.2.22'!$A$6:$DA$404,37,FALSE)-VLOOKUP($A21,'01-02.2022'!$A$6:$DA$376,37,FALSE)</f>
        <v>0</v>
      </c>
      <c r="AL21" s="70">
        <f t="shared" si="43"/>
        <v>0</v>
      </c>
      <c r="AM21" s="566">
        <f>VLOOKUP($A21,'01-02.2021'!$A$6:$CZ$403,39,FALSE)+VLOOKUP($A21,'1.3.21-28.2.22'!$A$6:$DA$404,39,FALSE)-VLOOKUP($A21,'01-02.2022'!$A$6:$DA$376,39,FALSE)</f>
        <v>0</v>
      </c>
      <c r="AN21" s="566">
        <f>VLOOKUP($A21,'01-02.2021'!$A$6:$CZ$403,40,FALSE)+VLOOKUP($A21,'1.3.21-28.2.22'!$A$6:$DA$404,40,FALSE)-VLOOKUP($A21,'01-02.2022'!$A$6:$DA$376,40,FALSE)</f>
        <v>0</v>
      </c>
      <c r="AO21" s="70">
        <f t="shared" si="44"/>
        <v>0</v>
      </c>
      <c r="AP21" s="566">
        <f>VLOOKUP($A21,'01-02.2021'!$A$6:$CZ$403,42,FALSE)+VLOOKUP($A21,'1.3.21-28.2.22'!$A$6:$DA$404,42,FALSE)-VLOOKUP($A21,'01-02.2022'!$A$6:$DA$376,42,FALSE)</f>
        <v>14315.39793785138</v>
      </c>
      <c r="AQ21" s="566">
        <f>VLOOKUP($A21,'01-02.2021'!$A$6:$CZ$403,43,FALSE)+VLOOKUP($A21,'1.3.21-28.2.22'!$A$6:$DA$404,43,FALSE)-VLOOKUP($A21,'01-02.2022'!$A$6:$DA$376,43,FALSE)</f>
        <v>12355.568311439389</v>
      </c>
      <c r="AR21" s="70">
        <f t="shared" si="45"/>
        <v>-1959.8296264119908</v>
      </c>
      <c r="AS21" s="566">
        <f>VLOOKUP($A21,'01-02.2021'!$A$6:$CZ$403,45,FALSE)+VLOOKUP($A21,'1.3.21-28.2.22'!$A$6:$DA$404,45,FALSE)-VLOOKUP($A21,'01-02.2022'!$A$6:$DA$376,45,FALSE)</f>
        <v>36652.052407346935</v>
      </c>
      <c r="AT21" s="566">
        <f>VLOOKUP($A21,'01-02.2021'!$A$6:$CZ$403,46,FALSE)+VLOOKUP($A21,'1.3.21-28.2.22'!$A$6:$DA$404,46,FALSE)-VLOOKUP($A21,'01-02.2022'!$A$6:$DA$376,46,FALSE)</f>
        <v>138772.0861672801</v>
      </c>
      <c r="AU21" s="78">
        <f t="shared" si="46"/>
        <v>102120.03375993317</v>
      </c>
      <c r="AV21" s="566">
        <f>VLOOKUP($A21,'01-02.2021'!$A$6:$CZ$403,48,FALSE)+VLOOKUP($A21,'1.3.21-28.2.22'!$A$6:$DA$404,48,FALSE)-VLOOKUP($A21,'01-02.2022'!$A$6:$DA$376,48,FALSE)</f>
        <v>4388.8792546225995</v>
      </c>
      <c r="AW21" s="566">
        <f>VLOOKUP($A21,'01-02.2021'!$A$6:$CZ$403,49,FALSE)+VLOOKUP($A21,'1.3.21-28.2.22'!$A$6:$DA$404,49,FALSE)-VLOOKUP($A21,'01-02.2022'!$A$6:$DA$376,49,FALSE)</f>
        <v>2166</v>
      </c>
      <c r="AX21" s="55">
        <f t="shared" si="47"/>
        <v>-2222.8792546225995</v>
      </c>
      <c r="AY21" s="566">
        <f>VLOOKUP($A21,'01-02.2021'!$A$6:$CZ$403,51,FALSE)+VLOOKUP($A21,'1.3.21-28.2.22'!$A$6:$DA$404,51,FALSE)-VLOOKUP($A21,'01-02.2022'!$A$6:$DA$376,51,FALSE)</f>
        <v>6236.2667583730463</v>
      </c>
      <c r="AZ21" s="566">
        <f>VLOOKUP($A21,'01-02.2021'!$A$6:$CZ$403,52,FALSE)+VLOOKUP($A21,'1.3.21-28.2.22'!$A$6:$DA$404,52,FALSE)-VLOOKUP($A21,'01-02.2022'!$A$6:$DA$376,52,FALSE)</f>
        <v>1329</v>
      </c>
      <c r="BA21" s="38">
        <f t="shared" si="48"/>
        <v>-4907.2667583730463</v>
      </c>
      <c r="BB21" s="566">
        <f>VLOOKUP($A21,'01-02.2021'!$A$6:$CZ$403,54,FALSE)+VLOOKUP($A21,'1.3.21-28.2.22'!$A$6:$DA$404,54,FALSE)-VLOOKUP($A21,'01-02.2022'!$A$6:$DA$376,54,FALSE)</f>
        <v>2228.3466047784627</v>
      </c>
      <c r="BC21" s="566">
        <f>VLOOKUP($A21,'01-02.2021'!$A$6:$CZ$403,55,FALSE)+VLOOKUP($A21,'1.3.21-28.2.22'!$A$6:$DA$404,55,FALSE)-VLOOKUP($A21,'01-02.2022'!$A$6:$DA$376,55,FALSE)</f>
        <v>4578.05</v>
      </c>
      <c r="BD21" s="55">
        <f t="shared" si="49"/>
        <v>2349.7033952215374</v>
      </c>
      <c r="BE21" s="566">
        <f>VLOOKUP($A21,'01-02.2021'!$A$6:$CZ$403,57,FALSE)+VLOOKUP($A21,'1.3.21-28.2.22'!$A$6:$DA$404,57,FALSE)-VLOOKUP($A21,'01-02.2022'!$A$6:$DA$376,57,FALSE)</f>
        <v>0</v>
      </c>
      <c r="BF21" s="566">
        <f>VLOOKUP($A21,'01-02.2021'!$A$6:$CZ$403,58,FALSE)+VLOOKUP($A21,'1.3.21-28.2.22'!$A$6:$DA$404,58,FALSE)-VLOOKUP($A21,'01-02.2022'!$A$6:$DA$376,58,FALSE)</f>
        <v>0</v>
      </c>
      <c r="BG21" s="55">
        <f t="shared" si="50"/>
        <v>0</v>
      </c>
      <c r="BH21" s="566">
        <f>VLOOKUP($A21,'01-02.2021'!$A$6:$CZ$403,60,FALSE)+VLOOKUP($A21,'1.3.21-28.2.22'!$A$6:$DA$404,60,FALSE)-VLOOKUP($A21,'01-02.2022'!$A$6:$DA$376,60,FALSE)</f>
        <v>0</v>
      </c>
      <c r="BI21" s="566">
        <f>VLOOKUP($A21,'01-02.2021'!$A$6:$CZ$403,61,FALSE)+VLOOKUP($A21,'1.3.21-28.2.22'!$A$6:$DA$404,61,FALSE)-VLOOKUP($A21,'01-02.2022'!$A$6:$DA$376,61,FALSE)</f>
        <v>0</v>
      </c>
      <c r="BJ21" s="55">
        <f t="shared" si="51"/>
        <v>0</v>
      </c>
      <c r="BK21" s="566">
        <f>VLOOKUP($A21,'01-02.2021'!$A$6:$CZ$403,63,FALSE)+VLOOKUP($A21,'1.3.21-28.2.22'!$A$6:$DA$404,63,FALSE)-VLOOKUP($A21,'01-02.2022'!$A$6:$DA$376,63,FALSE)</f>
        <v>4048.7666474208309</v>
      </c>
      <c r="BL21" s="566">
        <f>VLOOKUP($A21,'01-02.2021'!$A$6:$CZ$403,64,FALSE)+VLOOKUP($A21,'1.3.21-28.2.22'!$A$6:$DA$404,64,FALSE)-VLOOKUP($A21,'01-02.2022'!$A$6:$DA$376,64,FALSE)</f>
        <v>10612</v>
      </c>
      <c r="BM21" s="55">
        <f t="shared" si="52"/>
        <v>6563.2333525791691</v>
      </c>
      <c r="BN21" s="566">
        <f>VLOOKUP($A21,'01-02.2021'!$A$6:$CZ$403,66,FALSE)+VLOOKUP($A21,'1.3.21-28.2.22'!$A$6:$DA$404,66,FALSE)-VLOOKUP($A21,'01-02.2022'!$A$6:$DA$376,66,FALSE)</f>
        <v>842.43276262652387</v>
      </c>
      <c r="BO21" s="566">
        <f>VLOOKUP($A21,'01-02.2021'!$A$6:$CZ$403,67,FALSE)+VLOOKUP($A21,'1.3.21-28.2.22'!$A$6:$DA$404,67,FALSE)-VLOOKUP($A21,'01-02.2022'!$A$6:$DA$376,67,FALSE)</f>
        <v>0</v>
      </c>
      <c r="BP21" s="55">
        <f t="shared" si="53"/>
        <v>-842.43276262652387</v>
      </c>
      <c r="BQ21" s="77">
        <f t="shared" si="25"/>
        <v>17744.69202782146</v>
      </c>
      <c r="BR21" s="40">
        <f t="shared" si="26"/>
        <v>18685.05</v>
      </c>
      <c r="BS21" s="55">
        <f t="shared" si="70"/>
        <v>940.35797217853906</v>
      </c>
      <c r="BT21" s="566">
        <f>VLOOKUP($A21,'01-02.2021'!$A$6:$CZ$403,72,FALSE)+VLOOKUP($A21,'1.3.21-28.2.22'!$A$6:$DA$404,72,FALSE)-VLOOKUP($A21,'01-02.2022'!$A$6:$DA$376,72,FALSE)</f>
        <v>66389.368320365989</v>
      </c>
      <c r="BU21" s="566">
        <f>VLOOKUP($A21,'01-02.2021'!$A$6:$CZ$403,73,FALSE)+VLOOKUP($A21,'1.3.21-28.2.22'!$A$6:$DA$404,73,FALSE)-VLOOKUP($A21,'01-02.2022'!$A$6:$DA$376,73,FALSE)</f>
        <v>87619.481990285058</v>
      </c>
      <c r="BV21" s="70">
        <f t="shared" si="54"/>
        <v>21230.113669919068</v>
      </c>
      <c r="BW21" s="566">
        <f>VLOOKUP($A21,'01-02.2021'!$A$6:$CZ$403,75,FALSE)+VLOOKUP($A21,'1.3.21-28.2.22'!$A$6:$DA$404,75,FALSE)-VLOOKUP($A21,'01-02.2022'!$A$6:$DA$376,75,FALSE)</f>
        <v>21956.820485437664</v>
      </c>
      <c r="BX21" s="566">
        <f>VLOOKUP($A21,'01-02.2021'!$A$6:$CZ$403,76,FALSE)+VLOOKUP($A21,'1.3.21-28.2.22'!$A$6:$DA$404,76,FALSE)-VLOOKUP($A21,'01-02.2022'!$A$6:$DA$376,76,FALSE)</f>
        <v>24163.382875104588</v>
      </c>
      <c r="BY21" s="70">
        <f t="shared" si="55"/>
        <v>2206.562389666924</v>
      </c>
      <c r="BZ21" s="566">
        <f>VLOOKUP($A21,'01-02.2021'!$A$6:$CZ$403,78,FALSE)+VLOOKUP($A21,'1.3.21-28.2.22'!$A$6:$DA$404,78,FALSE)-VLOOKUP($A21,'01-02.2022'!$A$6:$DA$376,78,FALSE)</f>
        <v>34449.305609502662</v>
      </c>
      <c r="CA21" s="566">
        <f>VLOOKUP($A21,'01-02.2021'!$A$6:$CZ$403,79,FALSE)+VLOOKUP($A21,'1.3.21-28.2.22'!$A$6:$DA$404,79,FALSE)-VLOOKUP($A21,'01-02.2022'!$A$6:$DA$376,79,FALSE)</f>
        <v>20037.086851647786</v>
      </c>
      <c r="CB21" s="70">
        <f t="shared" si="56"/>
        <v>-14412.218757854876</v>
      </c>
      <c r="CC21" s="566">
        <f>VLOOKUP($A21,'01-02.2021'!$A$6:$CZ$403,81,FALSE)+VLOOKUP($A21,'1.3.21-28.2.22'!$A$6:$DA$404,81,FALSE)-VLOOKUP($A21,'01-02.2022'!$A$6:$DA$376,81,FALSE)</f>
        <v>1643.8448269660776</v>
      </c>
      <c r="CD21" s="566">
        <f>VLOOKUP($A21,'01-02.2021'!$A$6:$CZ$403,82,FALSE)+VLOOKUP($A21,'1.3.21-28.2.22'!$A$6:$DA$404,82,FALSE)-VLOOKUP($A21,'01-02.2022'!$A$6:$DA$376,82,FALSE)</f>
        <v>1796.7109210998281</v>
      </c>
      <c r="CE21" s="70">
        <f t="shared" si="57"/>
        <v>152.86609413375049</v>
      </c>
      <c r="CF21" s="566">
        <f>VLOOKUP($A21,'01-02.2021'!$A$6:$CZ$403,84,FALSE)+VLOOKUP($A21,'1.3.21-28.2.22'!$A$6:$DA$404,84,FALSE)-VLOOKUP($A21,'01-02.2022'!$A$6:$DA$376,84,FALSE)</f>
        <v>199.84320038307547</v>
      </c>
      <c r="CG21" s="566">
        <f>VLOOKUP($A21,'01-02.2021'!$A$6:$CZ$403,85,FALSE)+VLOOKUP($A21,'1.3.21-28.2.22'!$A$6:$DA$404,85,FALSE)-VLOOKUP($A21,'01-02.2022'!$A$6:$DA$376,85,FALSE)</f>
        <v>0</v>
      </c>
      <c r="CH21" s="70">
        <f t="shared" si="58"/>
        <v>-199.84320038307547</v>
      </c>
      <c r="CI21" s="566">
        <f>VLOOKUP($A21,'01-02.2021'!$A$6:$CZ$403,87,FALSE)+VLOOKUP($A21,'1.3.21-28.2.22'!$A$6:$DA$404,87,FALSE)-VLOOKUP($A21,'01-02.2022'!$A$6:$DA$376,87,FALSE)</f>
        <v>10328.41166340923</v>
      </c>
      <c r="CJ21" s="566">
        <f>VLOOKUP($A21,'01-02.2021'!$A$6:$CZ$403,88,FALSE)+VLOOKUP($A21,'1.3.21-28.2.22'!$A$6:$DA$404,88,FALSE)-VLOOKUP($A21,'01-02.2022'!$A$6:$DA$376,88,FALSE)</f>
        <v>9435.3005807515838</v>
      </c>
      <c r="CK21" s="70">
        <f t="shared" si="59"/>
        <v>-893.11108265764597</v>
      </c>
      <c r="CL21" s="566">
        <f>VLOOKUP($A21,'01-02.2021'!$A$6:$CZ$403,90,FALSE)+VLOOKUP($A21,'1.3.21-28.2.22'!$A$6:$DA$404,90,FALSE)-VLOOKUP($A21,'01-02.2022'!$A$6:$DA$376,90,FALSE)</f>
        <v>0</v>
      </c>
      <c r="CM21" s="566">
        <f>VLOOKUP($A21,'01-02.2021'!$A$6:$CZ$403,91,FALSE)+VLOOKUP($A21,'1.3.21-28.2.22'!$A$6:$DA$404,91,FALSE)-VLOOKUP($A21,'01-02.2022'!$A$6:$DA$376,91,FALSE)</f>
        <v>0</v>
      </c>
      <c r="CN21" s="52">
        <f t="shared" si="60"/>
        <v>0</v>
      </c>
      <c r="CO21" s="39">
        <f t="shared" si="27"/>
        <v>10328.41166340923</v>
      </c>
      <c r="CP21" s="40">
        <f t="shared" si="61"/>
        <v>9435.3005807515838</v>
      </c>
      <c r="CQ21" s="52">
        <f t="shared" si="62"/>
        <v>-893.11108265764597</v>
      </c>
      <c r="CR21" s="72">
        <f t="shared" si="28"/>
        <v>263700.1732637622</v>
      </c>
      <c r="CS21" s="5">
        <f t="shared" si="28"/>
        <v>369801.38685227471</v>
      </c>
      <c r="CT21" s="52">
        <f t="shared" si="63"/>
        <v>106101.2135885125</v>
      </c>
      <c r="CU21" s="77">
        <f t="shared" si="64"/>
        <v>316440.20791651466</v>
      </c>
      <c r="CV21" s="65">
        <f t="shared" si="65"/>
        <v>443761.66422272963</v>
      </c>
      <c r="CW21" s="35">
        <f t="shared" si="66"/>
        <v>127321.45630621497</v>
      </c>
      <c r="CX21" s="566">
        <f>VLOOKUP($A21,'01-02.2021'!$A$6:$CZ$403,102,FALSE)+VLOOKUP($A21,'1.3.21-28.2.22'!$A$6:$DA$404,102,FALSE)-VLOOKUP($A21,'01-02.2022'!$A$6:$DA$376,102,FALSE)</f>
        <v>15111.096056323051</v>
      </c>
      <c r="CY21" s="566">
        <f>VLOOKUP($A21,'01-02.2021'!$A$6:$CZ$403,103,FALSE)+VLOOKUP($A21,'1.3.21-28.2.22'!$A$6:$DA$404,103,FALSE)-VLOOKUP($A21,'01-02.2022'!$A$6:$DA$376,103,FALSE)</f>
        <v>-112210.36024989204</v>
      </c>
      <c r="CZ21" s="52">
        <f t="shared" si="67"/>
        <v>-127321.45630621508</v>
      </c>
      <c r="DA21" s="150">
        <f>'[2]побудинковий звіт'!DA21</f>
        <v>52154.371303336666</v>
      </c>
      <c r="DB21" s="2">
        <v>1</v>
      </c>
      <c r="DC21" s="414">
        <f>'[4]побудинковий звіт'!DC21</f>
        <v>56112.51</v>
      </c>
      <c r="DD21" s="414">
        <f>'[4]побудинковий звіт'!DD21</f>
        <v>767.22</v>
      </c>
      <c r="DE21" s="557">
        <f>'[4]побудинковий звіт'!DE21</f>
        <v>26284.62472920334</v>
      </c>
      <c r="DF21" s="557">
        <f>'[4]побудинковий звіт'!DF21</f>
        <v>511.47301512530191</v>
      </c>
      <c r="DG21" s="321">
        <f>VLOOKUP(A21,'кошти 01.03.2021'!$A$6:$D$401,4,)</f>
        <v>-72425.627432773239</v>
      </c>
      <c r="DH21" s="40">
        <f>'[3]побудинковий звіт'!DJ21</f>
        <v>343156.74275262491</v>
      </c>
      <c r="DI21" s="422">
        <f>'[3]побудинковий звіт'!CU21+'[3]побудинковий звіт'!CX21</f>
        <v>30083.63225567136</v>
      </c>
      <c r="DJ21" s="306">
        <f>'[3]побудинковий звіт'!DM21</f>
        <v>6.1564262684822832</v>
      </c>
      <c r="DK21" s="306">
        <f t="shared" si="73"/>
        <v>6.1564262684822832</v>
      </c>
      <c r="DL21" s="306">
        <f>'[3]побудинковий звіт'!DO21</f>
        <v>5.5962141110437216</v>
      </c>
      <c r="DM21" s="28">
        <f t="shared" si="74"/>
        <v>29827.885270796662</v>
      </c>
      <c r="DN21" s="28">
        <f t="shared" si="75"/>
        <v>255.74698487469809</v>
      </c>
      <c r="DO21" s="423">
        <f t="shared" si="29"/>
        <v>30083.63225567136</v>
      </c>
      <c r="DP21" s="94">
        <f t="shared" si="30"/>
        <v>0</v>
      </c>
      <c r="DQ21" s="28">
        <f t="shared" si="31"/>
        <v>30083.63225567136</v>
      </c>
      <c r="DR21" s="318"/>
      <c r="DT21" s="8"/>
      <c r="DU21" s="5"/>
      <c r="DX21" s="5">
        <f t="shared" si="32"/>
        <v>65276.093322202069</v>
      </c>
      <c r="DY21" s="5">
        <f t="shared" si="33"/>
        <v>188948.56340073611</v>
      </c>
      <c r="DZ21" s="159">
        <f>'[3]побудинковий звіт'!EA21</f>
        <v>5723.8105207418594</v>
      </c>
    </row>
    <row r="22" spans="1:130" x14ac:dyDescent="0.3">
      <c r="A22" s="325">
        <v>150000969</v>
      </c>
      <c r="B22" s="41" t="s">
        <v>471</v>
      </c>
      <c r="C22" s="42" t="s">
        <v>193</v>
      </c>
      <c r="D22" s="42"/>
      <c r="E22" s="293">
        <f t="shared" si="23"/>
        <v>753.3</v>
      </c>
      <c r="F22" s="305">
        <f>'[3]побудинковий звіт'!F22</f>
        <v>664</v>
      </c>
      <c r="G22" s="508">
        <f>'[3]побудинковий звіт'!G22</f>
        <v>0</v>
      </c>
      <c r="H22" s="560">
        <f>'[3]побудинковий звіт'!H22</f>
        <v>89.3</v>
      </c>
      <c r="I22" s="566">
        <f>VLOOKUP($A22,'01-02.2021'!$A$6:$CZ$403,9,FALSE)+VLOOKUP($A22,'1.3.21-28.2.22'!$A$6:$DA$404,9,FALSE)-VLOOKUP($A22,'01-02.2022'!$A$6:$DA$376,9,FALSE)</f>
        <v>3518.0309898810815</v>
      </c>
      <c r="J22" s="566">
        <f>VLOOKUP($A22,'01-02.2021'!$A$6:$CZ$403,10,FALSE)+VLOOKUP($A22,'1.3.21-28.2.22'!$A$6:$DA$404,10,FALSE)-VLOOKUP($A22,'01-02.2022'!$A$6:$DA$376,10,FALSE)</f>
        <v>3827.6185578166123</v>
      </c>
      <c r="K22" s="52">
        <f t="shared" si="34"/>
        <v>309.58756793553084</v>
      </c>
      <c r="L22" s="566">
        <f>VLOOKUP($A22,'01-02.2021'!$A$6:$CZ$403,12,FALSE)+VLOOKUP($A22,'1.3.21-28.2.22'!$A$6:$DA$404,12,FALSE)-VLOOKUP($A22,'01-02.2022'!$A$6:$DA$376,12,FALSE)</f>
        <v>737.27715931153114</v>
      </c>
      <c r="M22" s="566">
        <f>VLOOKUP($A22,'01-02.2021'!$A$6:$CZ$403,13,FALSE)+VLOOKUP($A22,'1.3.21-28.2.22'!$A$6:$DA$404,13,FALSE)-VLOOKUP($A22,'01-02.2022'!$A$6:$DA$376,13,FALSE)</f>
        <v>811.76425130245923</v>
      </c>
      <c r="N22" s="52">
        <f t="shared" si="35"/>
        <v>74.487091990928093</v>
      </c>
      <c r="O22" s="566">
        <f>VLOOKUP($A22,'01-02.2021'!$A$6:$CZ$403,15,FALSE)+VLOOKUP($A22,'1.3.21-28.2.22'!$A$6:$DA$404,15,FALSE)-VLOOKUP($A22,'01-02.2022'!$A$6:$DA$376,15,FALSE)</f>
        <v>939.82918104685029</v>
      </c>
      <c r="P22" s="566">
        <f>VLOOKUP($A22,'01-02.2021'!$A$6:$CZ$403,16,FALSE)+VLOOKUP($A22,'1.3.21-28.2.22'!$A$6:$DA$404,16,FALSE)-VLOOKUP($A22,'01-02.2022'!$A$6:$DA$376,16,FALSE)</f>
        <v>939.83000000000027</v>
      </c>
      <c r="Q22" s="70">
        <f t="shared" si="36"/>
        <v>8.1895314997382229E-4</v>
      </c>
      <c r="R22" s="566">
        <f>VLOOKUP($A22,'01-02.2021'!$A$6:$CZ$403,18,FALSE)+VLOOKUP($A22,'1.3.21-28.2.22'!$A$6:$DA$404,18,FALSE)-VLOOKUP($A22,'01-02.2022'!$A$6:$DA$376,18,FALSE)</f>
        <v>0</v>
      </c>
      <c r="S22" s="566">
        <f>VLOOKUP($A22,'01-02.2021'!$A$6:$CZ$403,19,FALSE)+VLOOKUP($A22,'1.3.21-28.2.22'!$A$6:$DA$404,19,FALSE)-VLOOKUP($A22,'01-02.2022'!$A$6:$DA$376,19,FALSE)</f>
        <v>0</v>
      </c>
      <c r="T22" s="70">
        <f t="shared" si="37"/>
        <v>0</v>
      </c>
      <c r="U22" s="566">
        <f>VLOOKUP($A22,'01-02.2021'!$A$6:$CZ$403,21,FALSE)+VLOOKUP($A22,'1.3.21-28.2.22'!$A$6:$DA$404,21,FALSE)-VLOOKUP($A22,'01-02.2022'!$A$6:$DA$376,21,FALSE)</f>
        <v>0</v>
      </c>
      <c r="V22" s="566">
        <f>VLOOKUP($A22,'01-02.2021'!$A$6:$CZ$403,22,FALSE)+VLOOKUP($A22,'1.3.21-28.2.22'!$A$6:$DA$404,22,FALSE)-VLOOKUP($A22,'01-02.2022'!$A$6:$DA$376,22,FALSE)</f>
        <v>0</v>
      </c>
      <c r="W22" s="70">
        <f t="shared" si="38"/>
        <v>0</v>
      </c>
      <c r="X22" s="566">
        <f>VLOOKUP($A22,'01-02.2021'!$A$6:$CZ$403,24,FALSE)+VLOOKUP($A22,'1.3.21-28.2.22'!$A$6:$DA$404,24,FALSE)-VLOOKUP($A22,'01-02.2022'!$A$6:$DA$376,24,FALSE)</f>
        <v>1959.1954515911821</v>
      </c>
      <c r="Y22" s="566">
        <f>VLOOKUP($A22,'01-02.2021'!$A$6:$CZ$403,25,FALSE)+VLOOKUP($A22,'1.3.21-28.2.22'!$A$6:$DA$404,25,FALSE)-VLOOKUP($A22,'01-02.2022'!$A$6:$DA$376,25,FALSE)</f>
        <v>1409.1856246898919</v>
      </c>
      <c r="Z22" s="70">
        <f t="shared" si="39"/>
        <v>-550.00982690129013</v>
      </c>
      <c r="AA22" s="566">
        <f>VLOOKUP($A22,'01-02.2021'!$A$6:$CZ$403,27,FALSE)+VLOOKUP($A22,'1.3.21-28.2.22'!$A$6:$DA$404,27,FALSE)-VLOOKUP($A22,'01-02.2022'!$A$6:$DA$376,27,FALSE)</f>
        <v>150.4</v>
      </c>
      <c r="AB22" s="566">
        <f>VLOOKUP($A22,'01-02.2021'!$A$6:$CZ$403,28,FALSE)+VLOOKUP($A22,'1.3.21-28.2.22'!$A$6:$DA$404,28,FALSE)-VLOOKUP($A22,'01-02.2022'!$A$6:$DA$376,28,FALSE)</f>
        <v>0</v>
      </c>
      <c r="AC22" s="70">
        <f t="shared" si="40"/>
        <v>-150.4</v>
      </c>
      <c r="AD22" s="566">
        <f>VLOOKUP($A22,'01-02.2021'!$A$6:$CZ$403,30,FALSE)+VLOOKUP($A22,'1.3.21-28.2.22'!$A$6:$DA$404,30,FALSE)-VLOOKUP($A22,'01-02.2022'!$A$6:$DA$376,30,FALSE)</f>
        <v>3224.5222216120037</v>
      </c>
      <c r="AE22" s="566">
        <f>VLOOKUP($A22,'01-02.2021'!$A$6:$CZ$403,31,FALSE)+VLOOKUP($A22,'1.3.21-28.2.22'!$A$6:$DA$404,31,FALSE)-VLOOKUP($A22,'01-02.2022'!$A$6:$DA$376,31,FALSE)</f>
        <v>3428.3496638053966</v>
      </c>
      <c r="AF22" s="68">
        <f t="shared" si="41"/>
        <v>203.82744219339293</v>
      </c>
      <c r="AG22" s="77">
        <f t="shared" si="24"/>
        <v>10529.255003442648</v>
      </c>
      <c r="AH22" s="53">
        <f t="shared" si="24"/>
        <v>10416.74809761436</v>
      </c>
      <c r="AI22" s="52">
        <f t="shared" si="42"/>
        <v>-112.50690582828793</v>
      </c>
      <c r="AJ22" s="566">
        <f>VLOOKUP($A22,'01-02.2021'!$A$6:$CZ$403,36,FALSE)+VLOOKUP($A22,'1.3.21-28.2.22'!$A$6:$DA$404,36,FALSE)-VLOOKUP($A22,'01-02.2022'!$A$6:$DA$376,36,FALSE)</f>
        <v>0</v>
      </c>
      <c r="AK22" s="566">
        <f>VLOOKUP($A22,'01-02.2021'!$A$6:$CZ$403,37,FALSE)+VLOOKUP($A22,'1.3.21-28.2.22'!$A$6:$DA$404,37,FALSE)-VLOOKUP($A22,'01-02.2022'!$A$6:$DA$376,37,FALSE)</f>
        <v>0</v>
      </c>
      <c r="AL22" s="70">
        <f t="shared" si="43"/>
        <v>0</v>
      </c>
      <c r="AM22" s="566">
        <f>VLOOKUP($A22,'01-02.2021'!$A$6:$CZ$403,39,FALSE)+VLOOKUP($A22,'1.3.21-28.2.22'!$A$6:$DA$404,39,FALSE)-VLOOKUP($A22,'01-02.2022'!$A$6:$DA$376,39,FALSE)</f>
        <v>0</v>
      </c>
      <c r="AN22" s="566">
        <f>VLOOKUP($A22,'01-02.2021'!$A$6:$CZ$403,40,FALSE)+VLOOKUP($A22,'1.3.21-28.2.22'!$A$6:$DA$404,40,FALSE)-VLOOKUP($A22,'01-02.2022'!$A$6:$DA$376,40,FALSE)</f>
        <v>0</v>
      </c>
      <c r="AO22" s="70">
        <f t="shared" si="44"/>
        <v>0</v>
      </c>
      <c r="AP22" s="566">
        <f>VLOOKUP($A22,'01-02.2021'!$A$6:$CZ$403,42,FALSE)+VLOOKUP($A22,'1.3.21-28.2.22'!$A$6:$DA$404,42,FALSE)-VLOOKUP($A22,'01-02.2022'!$A$6:$DA$376,42,FALSE)</f>
        <v>2732.9396063170807</v>
      </c>
      <c r="AQ22" s="566">
        <f>VLOOKUP($A22,'01-02.2021'!$A$6:$CZ$403,43,FALSE)+VLOOKUP($A22,'1.3.21-28.2.22'!$A$6:$DA$404,43,FALSE)-VLOOKUP($A22,'01-02.2022'!$A$6:$DA$376,43,FALSE)</f>
        <v>2163.8826222998582</v>
      </c>
      <c r="AR22" s="70">
        <f t="shared" si="45"/>
        <v>-569.05698401722248</v>
      </c>
      <c r="AS22" s="566">
        <f>VLOOKUP($A22,'01-02.2021'!$A$6:$CZ$403,45,FALSE)+VLOOKUP($A22,'1.3.21-28.2.22'!$A$6:$DA$404,45,FALSE)-VLOOKUP($A22,'01-02.2022'!$A$6:$DA$376,45,FALSE)</f>
        <v>7872.1043866805621</v>
      </c>
      <c r="AT22" s="566">
        <f>VLOOKUP($A22,'01-02.2021'!$A$6:$CZ$403,46,FALSE)+VLOOKUP($A22,'1.3.21-28.2.22'!$A$6:$DA$404,46,FALSE)-VLOOKUP($A22,'01-02.2022'!$A$6:$DA$376,46,FALSE)</f>
        <v>6371.75</v>
      </c>
      <c r="AU22" s="78">
        <f t="shared" si="46"/>
        <v>-1500.3543866805621</v>
      </c>
      <c r="AV22" s="566">
        <f>VLOOKUP($A22,'01-02.2021'!$A$6:$CZ$403,48,FALSE)+VLOOKUP($A22,'1.3.21-28.2.22'!$A$6:$DA$404,48,FALSE)-VLOOKUP($A22,'01-02.2022'!$A$6:$DA$376,48,FALSE)</f>
        <v>958.03058615785699</v>
      </c>
      <c r="AW22" s="566">
        <f>VLOOKUP($A22,'01-02.2021'!$A$6:$CZ$403,49,FALSE)+VLOOKUP($A22,'1.3.21-28.2.22'!$A$6:$DA$404,49,FALSE)-VLOOKUP($A22,'01-02.2022'!$A$6:$DA$376,49,FALSE)</f>
        <v>0</v>
      </c>
      <c r="AX22" s="55">
        <f t="shared" si="47"/>
        <v>-958.03058615785699</v>
      </c>
      <c r="AY22" s="566">
        <f>VLOOKUP($A22,'01-02.2021'!$A$6:$CZ$403,51,FALSE)+VLOOKUP($A22,'1.3.21-28.2.22'!$A$6:$DA$404,51,FALSE)-VLOOKUP($A22,'01-02.2022'!$A$6:$DA$376,51,FALSE)</f>
        <v>1385.8415930795036</v>
      </c>
      <c r="AZ22" s="566">
        <f>VLOOKUP($A22,'01-02.2021'!$A$6:$CZ$403,52,FALSE)+VLOOKUP($A22,'1.3.21-28.2.22'!$A$6:$DA$404,52,FALSE)-VLOOKUP($A22,'01-02.2022'!$A$6:$DA$376,52,FALSE)</f>
        <v>0</v>
      </c>
      <c r="BA22" s="38">
        <f t="shared" si="48"/>
        <v>-1385.8415930795036</v>
      </c>
      <c r="BB22" s="566">
        <f>VLOOKUP($A22,'01-02.2021'!$A$6:$CZ$403,54,FALSE)+VLOOKUP($A22,'1.3.21-28.2.22'!$A$6:$DA$404,54,FALSE)-VLOOKUP($A22,'01-02.2022'!$A$6:$DA$376,54,FALSE)</f>
        <v>348.46786358819861</v>
      </c>
      <c r="BC22" s="566">
        <f>VLOOKUP($A22,'01-02.2021'!$A$6:$CZ$403,55,FALSE)+VLOOKUP($A22,'1.3.21-28.2.22'!$A$6:$DA$404,55,FALSE)-VLOOKUP($A22,'01-02.2022'!$A$6:$DA$376,55,FALSE)</f>
        <v>0</v>
      </c>
      <c r="BD22" s="55">
        <f t="shared" si="49"/>
        <v>-348.46786358819861</v>
      </c>
      <c r="BE22" s="566">
        <f>VLOOKUP($A22,'01-02.2021'!$A$6:$CZ$403,57,FALSE)+VLOOKUP($A22,'1.3.21-28.2.22'!$A$6:$DA$404,57,FALSE)-VLOOKUP($A22,'01-02.2022'!$A$6:$DA$376,57,FALSE)</f>
        <v>0</v>
      </c>
      <c r="BF22" s="566">
        <f>VLOOKUP($A22,'01-02.2021'!$A$6:$CZ$403,58,FALSE)+VLOOKUP($A22,'1.3.21-28.2.22'!$A$6:$DA$404,58,FALSE)-VLOOKUP($A22,'01-02.2022'!$A$6:$DA$376,58,FALSE)</f>
        <v>0</v>
      </c>
      <c r="BG22" s="55">
        <f t="shared" si="50"/>
        <v>0</v>
      </c>
      <c r="BH22" s="566">
        <f>VLOOKUP($A22,'01-02.2021'!$A$6:$CZ$403,60,FALSE)+VLOOKUP($A22,'1.3.21-28.2.22'!$A$6:$DA$404,60,FALSE)-VLOOKUP($A22,'01-02.2022'!$A$6:$DA$376,60,FALSE)</f>
        <v>0</v>
      </c>
      <c r="BI22" s="566">
        <f>VLOOKUP($A22,'01-02.2021'!$A$6:$CZ$403,61,FALSE)+VLOOKUP($A22,'1.3.21-28.2.22'!$A$6:$DA$404,61,FALSE)-VLOOKUP($A22,'01-02.2022'!$A$6:$DA$376,61,FALSE)</f>
        <v>0</v>
      </c>
      <c r="BJ22" s="55">
        <f t="shared" si="51"/>
        <v>0</v>
      </c>
      <c r="BK22" s="566">
        <f>VLOOKUP($A22,'01-02.2021'!$A$6:$CZ$403,63,FALSE)+VLOOKUP($A22,'1.3.21-28.2.22'!$A$6:$DA$404,63,FALSE)-VLOOKUP($A22,'01-02.2022'!$A$6:$DA$376,63,FALSE)</f>
        <v>360.54135584503842</v>
      </c>
      <c r="BL22" s="566">
        <f>VLOOKUP($A22,'01-02.2021'!$A$6:$CZ$403,64,FALSE)+VLOOKUP($A22,'1.3.21-28.2.22'!$A$6:$DA$404,64,FALSE)-VLOOKUP($A22,'01-02.2022'!$A$6:$DA$376,64,FALSE)</f>
        <v>0</v>
      </c>
      <c r="BM22" s="55">
        <f t="shared" si="52"/>
        <v>-360.54135584503842</v>
      </c>
      <c r="BN22" s="566">
        <f>VLOOKUP($A22,'01-02.2021'!$A$6:$CZ$403,66,FALSE)+VLOOKUP($A22,'1.3.21-28.2.22'!$A$6:$DA$404,66,FALSE)-VLOOKUP($A22,'01-02.2022'!$A$6:$DA$376,66,FALSE)</f>
        <v>37.6</v>
      </c>
      <c r="BO22" s="566">
        <f>VLOOKUP($A22,'01-02.2021'!$A$6:$CZ$403,67,FALSE)+VLOOKUP($A22,'1.3.21-28.2.22'!$A$6:$DA$404,67,FALSE)-VLOOKUP($A22,'01-02.2022'!$A$6:$DA$376,67,FALSE)</f>
        <v>0</v>
      </c>
      <c r="BP22" s="55">
        <f t="shared" si="53"/>
        <v>-37.6</v>
      </c>
      <c r="BQ22" s="77">
        <f t="shared" si="25"/>
        <v>3090.4813986705981</v>
      </c>
      <c r="BR22" s="40">
        <f t="shared" si="26"/>
        <v>0</v>
      </c>
      <c r="BS22" s="55">
        <f t="shared" si="70"/>
        <v>-3090.4813986705981</v>
      </c>
      <c r="BT22" s="566">
        <f>VLOOKUP($A22,'01-02.2021'!$A$6:$CZ$403,72,FALSE)+VLOOKUP($A22,'1.3.21-28.2.22'!$A$6:$DA$404,72,FALSE)-VLOOKUP($A22,'01-02.2022'!$A$6:$DA$376,72,FALSE)</f>
        <v>7537.8334247721195</v>
      </c>
      <c r="BU22" s="566">
        <f>VLOOKUP($A22,'01-02.2021'!$A$6:$CZ$403,73,FALSE)+VLOOKUP($A22,'1.3.21-28.2.22'!$A$6:$DA$404,73,FALSE)-VLOOKUP($A22,'01-02.2022'!$A$6:$DA$376,73,FALSE)</f>
        <v>7930.831802776579</v>
      </c>
      <c r="BV22" s="70">
        <f t="shared" si="54"/>
        <v>392.99837800445948</v>
      </c>
      <c r="BW22" s="566">
        <f>VLOOKUP($A22,'01-02.2021'!$A$6:$CZ$403,75,FALSE)+VLOOKUP($A22,'1.3.21-28.2.22'!$A$6:$DA$404,75,FALSE)-VLOOKUP($A22,'01-02.2022'!$A$6:$DA$376,75,FALSE)</f>
        <v>4657.7572008948455</v>
      </c>
      <c r="BX22" s="566">
        <f>VLOOKUP($A22,'01-02.2021'!$A$6:$CZ$403,76,FALSE)+VLOOKUP($A22,'1.3.21-28.2.22'!$A$6:$DA$404,76,FALSE)-VLOOKUP($A22,'01-02.2022'!$A$6:$DA$376,76,FALSE)</f>
        <v>4184.8787191745969</v>
      </c>
      <c r="BY22" s="70">
        <f t="shared" si="55"/>
        <v>-472.8784817202486</v>
      </c>
      <c r="BZ22" s="566">
        <f>VLOOKUP($A22,'01-02.2021'!$A$6:$CZ$403,78,FALSE)+VLOOKUP($A22,'1.3.21-28.2.22'!$A$6:$DA$404,78,FALSE)-VLOOKUP($A22,'01-02.2022'!$A$6:$DA$376,78,FALSE)</f>
        <v>3195.1282547415767</v>
      </c>
      <c r="CA22" s="566">
        <f>VLOOKUP($A22,'01-02.2021'!$A$6:$CZ$403,79,FALSE)+VLOOKUP($A22,'1.3.21-28.2.22'!$A$6:$DA$404,79,FALSE)-VLOOKUP($A22,'01-02.2022'!$A$6:$DA$376,79,FALSE)</f>
        <v>2078.417646087757</v>
      </c>
      <c r="CB22" s="70">
        <f t="shared" si="56"/>
        <v>-1116.7106086538197</v>
      </c>
      <c r="CC22" s="566">
        <f>VLOOKUP($A22,'01-02.2021'!$A$6:$CZ$403,81,FALSE)+VLOOKUP($A22,'1.3.21-28.2.22'!$A$6:$DA$404,81,FALSE)-VLOOKUP($A22,'01-02.2022'!$A$6:$DA$376,81,FALSE)</f>
        <v>413.9657972051051</v>
      </c>
      <c r="CD22" s="566">
        <f>VLOOKUP($A22,'01-02.2021'!$A$6:$CZ$403,82,FALSE)+VLOOKUP($A22,'1.3.21-28.2.22'!$A$6:$DA$404,82,FALSE)-VLOOKUP($A22,'01-02.2022'!$A$6:$DA$376,82,FALSE)</f>
        <v>452.46172667826698</v>
      </c>
      <c r="CE22" s="70">
        <f t="shared" si="57"/>
        <v>38.49592947316188</v>
      </c>
      <c r="CF22" s="566">
        <f>VLOOKUP($A22,'01-02.2021'!$A$6:$CZ$403,84,FALSE)+VLOOKUP($A22,'1.3.21-28.2.22'!$A$6:$DA$404,84,FALSE)-VLOOKUP($A22,'01-02.2022'!$A$6:$DA$376,84,FALSE)</f>
        <v>50.326069958369921</v>
      </c>
      <c r="CG22" s="566">
        <f>VLOOKUP($A22,'01-02.2021'!$A$6:$CZ$403,85,FALSE)+VLOOKUP($A22,'1.3.21-28.2.22'!$A$6:$DA$404,85,FALSE)-VLOOKUP($A22,'01-02.2022'!$A$6:$DA$376,85,FALSE)</f>
        <v>0</v>
      </c>
      <c r="CH22" s="70">
        <f t="shared" si="58"/>
        <v>-50.326069958369921</v>
      </c>
      <c r="CI22" s="566">
        <f>VLOOKUP($A22,'01-02.2021'!$A$6:$CZ$403,87,FALSE)+VLOOKUP($A22,'1.3.21-28.2.22'!$A$6:$DA$404,87,FALSE)-VLOOKUP($A22,'01-02.2022'!$A$6:$DA$376,87,FALSE)</f>
        <v>1451.4757408626729</v>
      </c>
      <c r="CJ22" s="566">
        <f>VLOOKUP($A22,'01-02.2021'!$A$6:$CZ$403,88,FALSE)+VLOOKUP($A22,'1.3.21-28.2.22'!$A$6:$DA$404,88,FALSE)-VLOOKUP($A22,'01-02.2022'!$A$6:$DA$376,88,FALSE)</f>
        <v>1379.4921678269102</v>
      </c>
      <c r="CK22" s="70">
        <f t="shared" si="59"/>
        <v>-71.983573035762674</v>
      </c>
      <c r="CL22" s="566">
        <f>VLOOKUP($A22,'01-02.2021'!$A$6:$CZ$403,90,FALSE)+VLOOKUP($A22,'1.3.21-28.2.22'!$A$6:$DA$404,90,FALSE)-VLOOKUP($A22,'01-02.2022'!$A$6:$DA$376,90,FALSE)</f>
        <v>0</v>
      </c>
      <c r="CM22" s="566">
        <f>VLOOKUP($A22,'01-02.2021'!$A$6:$CZ$403,91,FALSE)+VLOOKUP($A22,'1.3.21-28.2.22'!$A$6:$DA$404,91,FALSE)-VLOOKUP($A22,'01-02.2022'!$A$6:$DA$376,91,FALSE)</f>
        <v>0</v>
      </c>
      <c r="CN22" s="52">
        <f t="shared" si="60"/>
        <v>0</v>
      </c>
      <c r="CO22" s="39">
        <f t="shared" si="27"/>
        <v>1451.4757408626729</v>
      </c>
      <c r="CP22" s="40">
        <f t="shared" si="61"/>
        <v>1379.4921678269102</v>
      </c>
      <c r="CQ22" s="52">
        <f t="shared" si="62"/>
        <v>-71.983573035762674</v>
      </c>
      <c r="CR22" s="72">
        <f t="shared" si="28"/>
        <v>41531.266883545584</v>
      </c>
      <c r="CS22" s="5">
        <f t="shared" si="28"/>
        <v>34978.462782458329</v>
      </c>
      <c r="CT22" s="52">
        <f t="shared" si="63"/>
        <v>-6552.8041010872548</v>
      </c>
      <c r="CU22" s="77">
        <f t="shared" si="64"/>
        <v>49837.5202602547</v>
      </c>
      <c r="CV22" s="65">
        <f t="shared" si="65"/>
        <v>41974.155338949997</v>
      </c>
      <c r="CW22" s="35">
        <f t="shared" si="66"/>
        <v>-7863.3649213047029</v>
      </c>
      <c r="CX22" s="566">
        <f>VLOOKUP($A22,'01-02.2021'!$A$6:$CZ$403,102,FALSE)+VLOOKUP($A22,'1.3.21-28.2.22'!$A$6:$DA$404,102,FALSE)-VLOOKUP($A22,'01-02.2022'!$A$6:$DA$376,102,FALSE)</f>
        <v>921.96079358034899</v>
      </c>
      <c r="CY22" s="566">
        <f>VLOOKUP($A22,'01-02.2021'!$A$6:$CZ$403,103,FALSE)+VLOOKUP($A22,'1.3.21-28.2.22'!$A$6:$DA$404,103,FALSE)-VLOOKUP($A22,'01-02.2022'!$A$6:$DA$376,103,FALSE)</f>
        <v>8785.3257148850535</v>
      </c>
      <c r="CZ22" s="52">
        <f t="shared" si="67"/>
        <v>7863.3649213047047</v>
      </c>
      <c r="DA22" s="150">
        <f>'[2]побудинковий звіт'!DA22</f>
        <v>14304.750380403822</v>
      </c>
      <c r="DB22" s="2">
        <v>2</v>
      </c>
      <c r="DC22" s="414">
        <f>'[4]побудинковий звіт'!DC22</f>
        <v>2660.98</v>
      </c>
      <c r="DD22" s="414">
        <f>'[4]побудинковий звіт'!DD22</f>
        <v>1375.0599999999997</v>
      </c>
      <c r="DE22" s="557">
        <f>'[4]побудинковий звіт'!DE22</f>
        <v>-1472.5583371095286</v>
      </c>
      <c r="DF22" s="557">
        <f>'[4]побудинковий звіт'!DF22</f>
        <v>893.80196903723936</v>
      </c>
      <c r="DG22" s="321">
        <f>VLOOKUP(A22,'кошти 01.03.2021'!$A$6:$D$401,4,)</f>
        <v>20792.45262511219</v>
      </c>
      <c r="DH22" s="40">
        <f>'[3]побудинковий звіт'!DJ22</f>
        <v>52579.938854315842</v>
      </c>
      <c r="DI22" s="422">
        <f>'[3]побудинковий звіт'!CU22+'[3]побудинковий звіт'!CX22</f>
        <v>4614.7963680722887</v>
      </c>
      <c r="DJ22" s="306">
        <f>'[3]побудинковий звіт'!DM22</f>
        <v>6.2252083390203738</v>
      </c>
      <c r="DK22" s="306">
        <f t="shared" si="73"/>
        <v>6.2252083390203738</v>
      </c>
      <c r="DL22" s="306">
        <f>'[3]побудинковий звіт'!DO22</f>
        <v>5.3892276703556599</v>
      </c>
      <c r="DM22" s="28">
        <f t="shared" si="74"/>
        <v>4133.5383371095286</v>
      </c>
      <c r="DN22" s="28">
        <f t="shared" si="75"/>
        <v>481.25803096276042</v>
      </c>
      <c r="DO22" s="423">
        <f t="shared" si="29"/>
        <v>4614.7963680722887</v>
      </c>
      <c r="DP22" s="94">
        <f t="shared" si="30"/>
        <v>0</v>
      </c>
      <c r="DQ22" s="28">
        <f t="shared" si="31"/>
        <v>4614.7963680722887</v>
      </c>
      <c r="DR22" s="318"/>
      <c r="DT22" s="8"/>
      <c r="DU22" s="5"/>
      <c r="DX22" s="5">
        <f t="shared" si="32"/>
        <v>13155.102942421392</v>
      </c>
      <c r="DY22" s="5">
        <f t="shared" si="33"/>
        <v>7646.0999999999995</v>
      </c>
      <c r="DZ22" s="159">
        <f>'[3]побудинковий звіт'!EA22</f>
        <v>1197.2245596060666</v>
      </c>
    </row>
    <row r="23" spans="1:130" x14ac:dyDescent="0.3">
      <c r="A23" s="325">
        <v>150000989</v>
      </c>
      <c r="B23" s="41" t="s">
        <v>472</v>
      </c>
      <c r="C23" s="42" t="s">
        <v>38</v>
      </c>
      <c r="D23" s="42"/>
      <c r="E23" s="293">
        <f t="shared" si="23"/>
        <v>256.91000000000003</v>
      </c>
      <c r="F23" s="305">
        <f>'[3]побудинковий звіт'!F23</f>
        <v>206.8</v>
      </c>
      <c r="G23" s="508">
        <f>'[3]побудинковий звіт'!G23</f>
        <v>0</v>
      </c>
      <c r="H23" s="560">
        <f>'[3]побудинковий звіт'!H23</f>
        <v>50.11</v>
      </c>
      <c r="I23" s="566">
        <f>VLOOKUP($A23,'01-02.2021'!$A$6:$CZ$403,9,FALSE)+VLOOKUP($A23,'1.3.21-28.2.22'!$A$6:$DA$404,9,FALSE)-VLOOKUP($A23,'01-02.2022'!$A$6:$DA$376,9,FALSE)</f>
        <v>0</v>
      </c>
      <c r="J23" s="566">
        <f>VLOOKUP($A23,'01-02.2021'!$A$6:$CZ$403,10,FALSE)+VLOOKUP($A23,'1.3.21-28.2.22'!$A$6:$DA$404,10,FALSE)-VLOOKUP($A23,'01-02.2022'!$A$6:$DA$376,10,FALSE)</f>
        <v>0</v>
      </c>
      <c r="K23" s="52">
        <f t="shared" si="34"/>
        <v>0</v>
      </c>
      <c r="L23" s="566">
        <f>VLOOKUP($A23,'01-02.2021'!$A$6:$CZ$403,12,FALSE)+VLOOKUP($A23,'1.3.21-28.2.22'!$A$6:$DA$404,12,FALSE)-VLOOKUP($A23,'01-02.2022'!$A$6:$DA$376,12,FALSE)</f>
        <v>0</v>
      </c>
      <c r="M23" s="566">
        <f>VLOOKUP($A23,'01-02.2021'!$A$6:$CZ$403,13,FALSE)+VLOOKUP($A23,'1.3.21-28.2.22'!$A$6:$DA$404,13,FALSE)-VLOOKUP($A23,'01-02.2022'!$A$6:$DA$376,13,FALSE)</f>
        <v>0</v>
      </c>
      <c r="N23" s="52">
        <f t="shared" si="35"/>
        <v>0</v>
      </c>
      <c r="O23" s="566">
        <f>VLOOKUP($A23,'01-02.2021'!$A$6:$CZ$403,15,FALSE)+VLOOKUP($A23,'1.3.21-28.2.22'!$A$6:$DA$404,15,FALSE)-VLOOKUP($A23,'01-02.2022'!$A$6:$DA$376,15,FALSE)</f>
        <v>0</v>
      </c>
      <c r="P23" s="566">
        <f>VLOOKUP($A23,'01-02.2021'!$A$6:$CZ$403,16,FALSE)+VLOOKUP($A23,'1.3.21-28.2.22'!$A$6:$DA$404,16,FALSE)-VLOOKUP($A23,'01-02.2022'!$A$6:$DA$376,16,FALSE)</f>
        <v>0</v>
      </c>
      <c r="Q23" s="70">
        <f t="shared" si="36"/>
        <v>0</v>
      </c>
      <c r="R23" s="566">
        <f>VLOOKUP($A23,'01-02.2021'!$A$6:$CZ$403,18,FALSE)+VLOOKUP($A23,'1.3.21-28.2.22'!$A$6:$DA$404,18,FALSE)-VLOOKUP($A23,'01-02.2022'!$A$6:$DA$376,18,FALSE)</f>
        <v>0</v>
      </c>
      <c r="S23" s="566">
        <f>VLOOKUP($A23,'01-02.2021'!$A$6:$CZ$403,19,FALSE)+VLOOKUP($A23,'1.3.21-28.2.22'!$A$6:$DA$404,19,FALSE)-VLOOKUP($A23,'01-02.2022'!$A$6:$DA$376,19,FALSE)</f>
        <v>0</v>
      </c>
      <c r="T23" s="70">
        <f t="shared" si="37"/>
        <v>0</v>
      </c>
      <c r="U23" s="566">
        <f>VLOOKUP($A23,'01-02.2021'!$A$6:$CZ$403,21,FALSE)+VLOOKUP($A23,'1.3.21-28.2.22'!$A$6:$DA$404,21,FALSE)-VLOOKUP($A23,'01-02.2022'!$A$6:$DA$376,21,FALSE)</f>
        <v>0</v>
      </c>
      <c r="V23" s="566">
        <f>VLOOKUP($A23,'01-02.2021'!$A$6:$CZ$403,22,FALSE)+VLOOKUP($A23,'1.3.21-28.2.22'!$A$6:$DA$404,22,FALSE)-VLOOKUP($A23,'01-02.2022'!$A$6:$DA$376,22,FALSE)</f>
        <v>0</v>
      </c>
      <c r="W23" s="70">
        <f t="shared" si="38"/>
        <v>0</v>
      </c>
      <c r="X23" s="566">
        <f>VLOOKUP($A23,'01-02.2021'!$A$6:$CZ$403,24,FALSE)+VLOOKUP($A23,'1.3.21-28.2.22'!$A$6:$DA$404,24,FALSE)-VLOOKUP($A23,'01-02.2022'!$A$6:$DA$376,24,FALSE)</f>
        <v>0</v>
      </c>
      <c r="Y23" s="566">
        <f>VLOOKUP($A23,'01-02.2021'!$A$6:$CZ$403,25,FALSE)+VLOOKUP($A23,'1.3.21-28.2.22'!$A$6:$DA$404,25,FALSE)-VLOOKUP($A23,'01-02.2022'!$A$6:$DA$376,25,FALSE)</f>
        <v>0</v>
      </c>
      <c r="Z23" s="70">
        <f t="shared" si="39"/>
        <v>0</v>
      </c>
      <c r="AA23" s="566">
        <f>VLOOKUP($A23,'01-02.2021'!$A$6:$CZ$403,27,FALSE)+VLOOKUP($A23,'1.3.21-28.2.22'!$A$6:$DA$404,27,FALSE)-VLOOKUP($A23,'01-02.2022'!$A$6:$DA$376,27,FALSE)</f>
        <v>51.382000000000005</v>
      </c>
      <c r="AB23" s="566">
        <f>VLOOKUP($A23,'01-02.2021'!$A$6:$CZ$403,28,FALSE)+VLOOKUP($A23,'1.3.21-28.2.22'!$A$6:$DA$404,28,FALSE)-VLOOKUP($A23,'01-02.2022'!$A$6:$DA$376,28,FALSE)</f>
        <v>0</v>
      </c>
      <c r="AC23" s="70">
        <f t="shared" si="40"/>
        <v>-51.382000000000005</v>
      </c>
      <c r="AD23" s="566">
        <f>VLOOKUP($A23,'01-02.2021'!$A$6:$CZ$403,30,FALSE)+VLOOKUP($A23,'1.3.21-28.2.22'!$A$6:$DA$404,30,FALSE)-VLOOKUP($A23,'01-02.2022'!$A$6:$DA$376,30,FALSE)</f>
        <v>385.82957158611691</v>
      </c>
      <c r="AE23" s="566">
        <f>VLOOKUP($A23,'01-02.2021'!$A$6:$CZ$403,31,FALSE)+VLOOKUP($A23,'1.3.21-28.2.22'!$A$6:$DA$404,31,FALSE)-VLOOKUP($A23,'01-02.2022'!$A$6:$DA$376,31,FALSE)</f>
        <v>1097.3235086853788</v>
      </c>
      <c r="AF23" s="68">
        <f t="shared" si="41"/>
        <v>711.49393709926187</v>
      </c>
      <c r="AG23" s="77">
        <f t="shared" si="24"/>
        <v>437.21157158611692</v>
      </c>
      <c r="AH23" s="53">
        <f t="shared" si="24"/>
        <v>1097.3235086853788</v>
      </c>
      <c r="AI23" s="52">
        <f t="shared" si="42"/>
        <v>660.11193709926192</v>
      </c>
      <c r="AJ23" s="566">
        <f>VLOOKUP($A23,'01-02.2021'!$A$6:$CZ$403,36,FALSE)+VLOOKUP($A23,'1.3.21-28.2.22'!$A$6:$DA$404,36,FALSE)-VLOOKUP($A23,'01-02.2022'!$A$6:$DA$376,36,FALSE)</f>
        <v>0</v>
      </c>
      <c r="AK23" s="566">
        <f>VLOOKUP($A23,'01-02.2021'!$A$6:$CZ$403,37,FALSE)+VLOOKUP($A23,'1.3.21-28.2.22'!$A$6:$DA$404,37,FALSE)-VLOOKUP($A23,'01-02.2022'!$A$6:$DA$376,37,FALSE)</f>
        <v>0</v>
      </c>
      <c r="AL23" s="70">
        <f t="shared" si="43"/>
        <v>0</v>
      </c>
      <c r="AM23" s="566">
        <f>VLOOKUP($A23,'01-02.2021'!$A$6:$CZ$403,39,FALSE)+VLOOKUP($A23,'1.3.21-28.2.22'!$A$6:$DA$404,39,FALSE)-VLOOKUP($A23,'01-02.2022'!$A$6:$DA$376,39,FALSE)</f>
        <v>0</v>
      </c>
      <c r="AN23" s="566">
        <f>VLOOKUP($A23,'01-02.2021'!$A$6:$CZ$403,40,FALSE)+VLOOKUP($A23,'1.3.21-28.2.22'!$A$6:$DA$404,40,FALSE)-VLOOKUP($A23,'01-02.2022'!$A$6:$DA$376,40,FALSE)</f>
        <v>0</v>
      </c>
      <c r="AO23" s="70">
        <f t="shared" si="44"/>
        <v>0</v>
      </c>
      <c r="AP23" s="566">
        <f>VLOOKUP($A23,'01-02.2021'!$A$6:$CZ$403,42,FALSE)+VLOOKUP($A23,'1.3.21-28.2.22'!$A$6:$DA$404,42,FALSE)-VLOOKUP($A23,'01-02.2022'!$A$6:$DA$376,42,FALSE)</f>
        <v>433.79993751064791</v>
      </c>
      <c r="AQ23" s="566">
        <f>VLOOKUP($A23,'01-02.2021'!$A$6:$CZ$403,43,FALSE)+VLOOKUP($A23,'1.3.21-28.2.22'!$A$6:$DA$404,43,FALSE)-VLOOKUP($A23,'01-02.2022'!$A$6:$DA$376,43,FALSE)</f>
        <v>373.97041602492402</v>
      </c>
      <c r="AR23" s="70">
        <f t="shared" si="45"/>
        <v>-59.829521485723888</v>
      </c>
      <c r="AS23" s="566">
        <f>VLOOKUP($A23,'01-02.2021'!$A$6:$CZ$403,45,FALSE)+VLOOKUP($A23,'1.3.21-28.2.22'!$A$6:$DA$404,45,FALSE)-VLOOKUP($A23,'01-02.2022'!$A$6:$DA$376,45,FALSE)</f>
        <v>2104.7729876945978</v>
      </c>
      <c r="AT23" s="566">
        <f>VLOOKUP($A23,'01-02.2021'!$A$6:$CZ$403,46,FALSE)+VLOOKUP($A23,'1.3.21-28.2.22'!$A$6:$DA$404,46,FALSE)-VLOOKUP($A23,'01-02.2022'!$A$6:$DA$376,46,FALSE)</f>
        <v>2126</v>
      </c>
      <c r="AU23" s="78">
        <f t="shared" si="46"/>
        <v>21.227012305402241</v>
      </c>
      <c r="AV23" s="566">
        <f>VLOOKUP($A23,'01-02.2021'!$A$6:$CZ$403,48,FALSE)+VLOOKUP($A23,'1.3.21-28.2.22'!$A$6:$DA$404,48,FALSE)-VLOOKUP($A23,'01-02.2022'!$A$6:$DA$376,48,FALSE)</f>
        <v>0</v>
      </c>
      <c r="AW23" s="566">
        <f>VLOOKUP($A23,'01-02.2021'!$A$6:$CZ$403,49,FALSE)+VLOOKUP($A23,'1.3.21-28.2.22'!$A$6:$DA$404,49,FALSE)-VLOOKUP($A23,'01-02.2022'!$A$6:$DA$376,49,FALSE)</f>
        <v>0</v>
      </c>
      <c r="AX23" s="55">
        <f t="shared" si="47"/>
        <v>0</v>
      </c>
      <c r="AY23" s="566">
        <f>VLOOKUP($A23,'01-02.2021'!$A$6:$CZ$403,51,FALSE)+VLOOKUP($A23,'1.3.21-28.2.22'!$A$6:$DA$404,51,FALSE)-VLOOKUP($A23,'01-02.2022'!$A$6:$DA$376,51,FALSE)</f>
        <v>0</v>
      </c>
      <c r="AZ23" s="566">
        <f>VLOOKUP($A23,'01-02.2021'!$A$6:$CZ$403,52,FALSE)+VLOOKUP($A23,'1.3.21-28.2.22'!$A$6:$DA$404,52,FALSE)-VLOOKUP($A23,'01-02.2022'!$A$6:$DA$376,52,FALSE)</f>
        <v>0</v>
      </c>
      <c r="BA23" s="38">
        <f t="shared" si="48"/>
        <v>0</v>
      </c>
      <c r="BB23" s="566">
        <f>VLOOKUP($A23,'01-02.2021'!$A$6:$CZ$403,54,FALSE)+VLOOKUP($A23,'1.3.21-28.2.22'!$A$6:$DA$404,54,FALSE)-VLOOKUP($A23,'01-02.2022'!$A$6:$DA$376,54,FALSE)</f>
        <v>0</v>
      </c>
      <c r="BC23" s="566">
        <f>VLOOKUP($A23,'01-02.2021'!$A$6:$CZ$403,55,FALSE)+VLOOKUP($A23,'1.3.21-28.2.22'!$A$6:$DA$404,55,FALSE)-VLOOKUP($A23,'01-02.2022'!$A$6:$DA$376,55,FALSE)</f>
        <v>0</v>
      </c>
      <c r="BD23" s="55">
        <f t="shared" si="49"/>
        <v>0</v>
      </c>
      <c r="BE23" s="566">
        <f>VLOOKUP($A23,'01-02.2021'!$A$6:$CZ$403,57,FALSE)+VLOOKUP($A23,'1.3.21-28.2.22'!$A$6:$DA$404,57,FALSE)-VLOOKUP($A23,'01-02.2022'!$A$6:$DA$376,57,FALSE)</f>
        <v>0</v>
      </c>
      <c r="BF23" s="566">
        <f>VLOOKUP($A23,'01-02.2021'!$A$6:$CZ$403,58,FALSE)+VLOOKUP($A23,'1.3.21-28.2.22'!$A$6:$DA$404,58,FALSE)-VLOOKUP($A23,'01-02.2022'!$A$6:$DA$376,58,FALSE)</f>
        <v>0</v>
      </c>
      <c r="BG23" s="55">
        <f t="shared" si="50"/>
        <v>0</v>
      </c>
      <c r="BH23" s="566">
        <f>VLOOKUP($A23,'01-02.2021'!$A$6:$CZ$403,60,FALSE)+VLOOKUP($A23,'1.3.21-28.2.22'!$A$6:$DA$404,60,FALSE)-VLOOKUP($A23,'01-02.2022'!$A$6:$DA$376,60,FALSE)</f>
        <v>0</v>
      </c>
      <c r="BI23" s="566">
        <f>VLOOKUP($A23,'01-02.2021'!$A$6:$CZ$403,61,FALSE)+VLOOKUP($A23,'1.3.21-28.2.22'!$A$6:$DA$404,61,FALSE)-VLOOKUP($A23,'01-02.2022'!$A$6:$DA$376,61,FALSE)</f>
        <v>0</v>
      </c>
      <c r="BJ23" s="55">
        <f t="shared" si="51"/>
        <v>0</v>
      </c>
      <c r="BK23" s="566">
        <f>VLOOKUP($A23,'01-02.2021'!$A$6:$CZ$403,63,FALSE)+VLOOKUP($A23,'1.3.21-28.2.22'!$A$6:$DA$404,63,FALSE)-VLOOKUP($A23,'01-02.2022'!$A$6:$DA$376,63,FALSE)</f>
        <v>0</v>
      </c>
      <c r="BL23" s="566">
        <f>VLOOKUP($A23,'01-02.2021'!$A$6:$CZ$403,64,FALSE)+VLOOKUP($A23,'1.3.21-28.2.22'!$A$6:$DA$404,64,FALSE)-VLOOKUP($A23,'01-02.2022'!$A$6:$DA$376,64,FALSE)</f>
        <v>0</v>
      </c>
      <c r="BM23" s="55">
        <f t="shared" si="52"/>
        <v>0</v>
      </c>
      <c r="BN23" s="566">
        <f>VLOOKUP($A23,'01-02.2021'!$A$6:$CZ$403,66,FALSE)+VLOOKUP($A23,'1.3.21-28.2.22'!$A$6:$DA$404,66,FALSE)-VLOOKUP($A23,'01-02.2022'!$A$6:$DA$376,66,FALSE)</f>
        <v>12.845500000000001</v>
      </c>
      <c r="BO23" s="566">
        <f>VLOOKUP($A23,'01-02.2021'!$A$6:$CZ$403,67,FALSE)+VLOOKUP($A23,'1.3.21-28.2.22'!$A$6:$DA$404,67,FALSE)-VLOOKUP($A23,'01-02.2022'!$A$6:$DA$376,67,FALSE)</f>
        <v>0</v>
      </c>
      <c r="BP23" s="55">
        <f t="shared" si="53"/>
        <v>-12.845500000000001</v>
      </c>
      <c r="BQ23" s="77">
        <f t="shared" si="25"/>
        <v>12.845500000000001</v>
      </c>
      <c r="BR23" s="40">
        <f t="shared" si="26"/>
        <v>0</v>
      </c>
      <c r="BS23" s="55">
        <f t="shared" si="70"/>
        <v>-12.845500000000001</v>
      </c>
      <c r="BT23" s="566">
        <f>VLOOKUP($A23,'01-02.2021'!$A$6:$CZ$403,72,FALSE)+VLOOKUP($A23,'1.3.21-28.2.22'!$A$6:$DA$404,72,FALSE)-VLOOKUP($A23,'01-02.2022'!$A$6:$DA$376,72,FALSE)</f>
        <v>55.829691759794166</v>
      </c>
      <c r="BU23" s="566">
        <f>VLOOKUP($A23,'01-02.2021'!$A$6:$CZ$403,73,FALSE)+VLOOKUP($A23,'1.3.21-28.2.22'!$A$6:$DA$404,73,FALSE)-VLOOKUP($A23,'01-02.2022'!$A$6:$DA$376,73,FALSE)</f>
        <v>86.656986732550635</v>
      </c>
      <c r="BV23" s="70">
        <f t="shared" si="54"/>
        <v>30.827294972756469</v>
      </c>
      <c r="BW23" s="566">
        <f>VLOOKUP($A23,'01-02.2021'!$A$6:$CZ$403,75,FALSE)+VLOOKUP($A23,'1.3.21-28.2.22'!$A$6:$DA$404,75,FALSE)-VLOOKUP($A23,'01-02.2022'!$A$6:$DA$376,75,FALSE)</f>
        <v>0</v>
      </c>
      <c r="BX23" s="566">
        <f>VLOOKUP($A23,'01-02.2021'!$A$6:$CZ$403,76,FALSE)+VLOOKUP($A23,'1.3.21-28.2.22'!$A$6:$DA$404,76,FALSE)-VLOOKUP($A23,'01-02.2022'!$A$6:$DA$376,76,FALSE)</f>
        <v>5.4773376687938597</v>
      </c>
      <c r="BY23" s="70">
        <f t="shared" si="55"/>
        <v>5.4773376687938597</v>
      </c>
      <c r="BZ23" s="566">
        <f>VLOOKUP($A23,'01-02.2021'!$A$6:$CZ$403,78,FALSE)+VLOOKUP($A23,'1.3.21-28.2.22'!$A$6:$DA$404,78,FALSE)-VLOOKUP($A23,'01-02.2022'!$A$6:$DA$376,78,FALSE)</f>
        <v>0</v>
      </c>
      <c r="CA23" s="566">
        <f>VLOOKUP($A23,'01-02.2021'!$A$6:$CZ$403,79,FALSE)+VLOOKUP($A23,'1.3.21-28.2.22'!$A$6:$DA$404,79,FALSE)-VLOOKUP($A23,'01-02.2022'!$A$6:$DA$376,79,FALSE)</f>
        <v>5.2822322096409309</v>
      </c>
      <c r="CB23" s="70">
        <f t="shared" si="56"/>
        <v>5.2822322096409309</v>
      </c>
      <c r="CC23" s="566">
        <f>VLOOKUP($A23,'01-02.2021'!$A$6:$CZ$403,81,FALSE)+VLOOKUP($A23,'1.3.21-28.2.22'!$A$6:$DA$404,81,FALSE)-VLOOKUP($A23,'01-02.2022'!$A$6:$DA$376,81,FALSE)</f>
        <v>0</v>
      </c>
      <c r="CD23" s="566">
        <f>VLOOKUP($A23,'01-02.2021'!$A$6:$CZ$403,82,FALSE)+VLOOKUP($A23,'1.3.21-28.2.22'!$A$6:$DA$404,82,FALSE)-VLOOKUP($A23,'01-02.2022'!$A$6:$DA$376,82,FALSE)</f>
        <v>0</v>
      </c>
      <c r="CE23" s="70">
        <f t="shared" si="57"/>
        <v>0</v>
      </c>
      <c r="CF23" s="566">
        <f>VLOOKUP($A23,'01-02.2021'!$A$6:$CZ$403,84,FALSE)+VLOOKUP($A23,'1.3.21-28.2.22'!$A$6:$DA$404,84,FALSE)-VLOOKUP($A23,'01-02.2022'!$A$6:$DA$376,84,FALSE)</f>
        <v>0</v>
      </c>
      <c r="CG23" s="566">
        <f>VLOOKUP($A23,'01-02.2021'!$A$6:$CZ$403,85,FALSE)+VLOOKUP($A23,'1.3.21-28.2.22'!$A$6:$DA$404,85,FALSE)-VLOOKUP($A23,'01-02.2022'!$A$6:$DA$376,85,FALSE)</f>
        <v>0</v>
      </c>
      <c r="CH23" s="70">
        <f t="shared" si="58"/>
        <v>0</v>
      </c>
      <c r="CI23" s="566">
        <f>VLOOKUP($A23,'01-02.2021'!$A$6:$CZ$403,87,FALSE)+VLOOKUP($A23,'1.3.21-28.2.22'!$A$6:$DA$404,87,FALSE)-VLOOKUP($A23,'01-02.2022'!$A$6:$DA$376,87,FALSE)</f>
        <v>0</v>
      </c>
      <c r="CJ23" s="566">
        <f>VLOOKUP($A23,'01-02.2021'!$A$6:$CZ$403,88,FALSE)+VLOOKUP($A23,'1.3.21-28.2.22'!$A$6:$DA$404,88,FALSE)-VLOOKUP($A23,'01-02.2022'!$A$6:$DA$376,88,FALSE)</f>
        <v>0</v>
      </c>
      <c r="CK23" s="70">
        <f t="shared" si="59"/>
        <v>0</v>
      </c>
      <c r="CL23" s="566">
        <f>VLOOKUP($A23,'01-02.2021'!$A$6:$CZ$403,90,FALSE)+VLOOKUP($A23,'1.3.21-28.2.22'!$A$6:$DA$404,90,FALSE)-VLOOKUP($A23,'01-02.2022'!$A$6:$DA$376,90,FALSE)</f>
        <v>0</v>
      </c>
      <c r="CM23" s="566">
        <f>VLOOKUP($A23,'01-02.2021'!$A$6:$CZ$403,91,FALSE)+VLOOKUP($A23,'1.3.21-28.2.22'!$A$6:$DA$404,91,FALSE)-VLOOKUP($A23,'01-02.2022'!$A$6:$DA$376,91,FALSE)</f>
        <v>0</v>
      </c>
      <c r="CN23" s="52">
        <f t="shared" si="60"/>
        <v>0</v>
      </c>
      <c r="CO23" s="39">
        <f t="shared" si="27"/>
        <v>0</v>
      </c>
      <c r="CP23" s="40">
        <f t="shared" si="61"/>
        <v>0</v>
      </c>
      <c r="CQ23" s="52">
        <f t="shared" si="62"/>
        <v>0</v>
      </c>
      <c r="CR23" s="72">
        <f t="shared" si="28"/>
        <v>3044.4596885511564</v>
      </c>
      <c r="CS23" s="5">
        <f t="shared" si="28"/>
        <v>3694.7104813212882</v>
      </c>
      <c r="CT23" s="52">
        <f t="shared" si="63"/>
        <v>650.25079277013174</v>
      </c>
      <c r="CU23" s="77">
        <f t="shared" si="64"/>
        <v>3653.3516262613875</v>
      </c>
      <c r="CV23" s="65">
        <f t="shared" si="65"/>
        <v>4433.6525775855453</v>
      </c>
      <c r="CW23" s="35">
        <f t="shared" si="66"/>
        <v>780.30095132415772</v>
      </c>
      <c r="CX23" s="566">
        <f>VLOOKUP($A23,'01-02.2021'!$A$6:$CZ$403,102,FALSE)+VLOOKUP($A23,'1.3.21-28.2.22'!$A$6:$DA$404,102,FALSE)-VLOOKUP($A23,'01-02.2022'!$A$6:$DA$376,102,FALSE)</f>
        <v>127.31794708277914</v>
      </c>
      <c r="CY23" s="566">
        <f>VLOOKUP($A23,'01-02.2021'!$A$6:$CZ$403,103,FALSE)+VLOOKUP($A23,'1.3.21-28.2.22'!$A$6:$DA$404,103,FALSE)-VLOOKUP($A23,'01-02.2022'!$A$6:$DA$376,103,FALSE)</f>
        <v>-652.98300424137824</v>
      </c>
      <c r="CZ23" s="52">
        <f t="shared" si="67"/>
        <v>-780.30095132415738</v>
      </c>
      <c r="DA23" s="150">
        <f>'[2]побудинковий звіт'!DA23</f>
        <v>-2274.5876142254947</v>
      </c>
      <c r="DB23" s="2">
        <v>3</v>
      </c>
      <c r="DC23" s="414">
        <f>'[4]побудинковий звіт'!DC23</f>
        <v>276.85000000000002</v>
      </c>
      <c r="DD23" s="414">
        <f>'[4]побудинковий звіт'!DD23</f>
        <v>-0.56000000000000005</v>
      </c>
      <c r="DE23" s="557">
        <f>'[4]побудинковий звіт'!DE23</f>
        <v>1.351097500457854E-2</v>
      </c>
      <c r="DF23" s="557">
        <f>'[4]побудинковий звіт'!DF23</f>
        <v>-67.640640546627282</v>
      </c>
      <c r="DG23" s="321">
        <f>VLOOKUP(A23,'кошти 01.03.2021'!$A$6:$D$401,4,)</f>
        <v>-2851.9900944967344</v>
      </c>
      <c r="DH23" s="40">
        <f>'[3]побудинковий звіт'!DJ23</f>
        <v>3917.2119145971997</v>
      </c>
      <c r="DI23" s="422">
        <f>'[3]побудинковий звіт'!CU23+'[3]побудинковий звіт'!CX23</f>
        <v>343.91712957162275</v>
      </c>
      <c r="DJ23" s="306">
        <f>'[3]побудинковий звіт'!DM23</f>
        <v>1.3386677419003647</v>
      </c>
      <c r="DK23" s="306">
        <f t="shared" si="73"/>
        <v>1.3386677419003647</v>
      </c>
      <c r="DL23" s="306">
        <f>'[3]побудинковий звіт'!DO23</f>
        <v>1.3386677419003647</v>
      </c>
      <c r="DM23" s="28">
        <f t="shared" si="74"/>
        <v>276.83648902499544</v>
      </c>
      <c r="DN23" s="28">
        <f t="shared" si="75"/>
        <v>67.080640546627279</v>
      </c>
      <c r="DO23" s="423">
        <f t="shared" si="29"/>
        <v>343.9171295716227</v>
      </c>
      <c r="DP23" s="94">
        <f t="shared" si="30"/>
        <v>0</v>
      </c>
      <c r="DQ23" s="28">
        <f t="shared" si="31"/>
        <v>343.9171295716227</v>
      </c>
      <c r="DR23" s="318"/>
      <c r="DT23" s="8"/>
      <c r="DU23" s="5"/>
      <c r="DX23" s="5">
        <f t="shared" si="32"/>
        <v>2541.142185233517</v>
      </c>
      <c r="DY23" s="5">
        <f t="shared" si="33"/>
        <v>2551.1999999999998</v>
      </c>
      <c r="DZ23" s="159">
        <f>'[3]побудинковий звіт'!EA23</f>
        <v>278.60722045278266</v>
      </c>
    </row>
    <row r="24" spans="1:130" x14ac:dyDescent="0.3">
      <c r="A24" s="325">
        <v>150000970</v>
      </c>
      <c r="B24" s="41" t="s">
        <v>473</v>
      </c>
      <c r="C24" s="42" t="s">
        <v>243</v>
      </c>
      <c r="D24" s="42"/>
      <c r="E24" s="293">
        <f t="shared" si="23"/>
        <v>2947.6</v>
      </c>
      <c r="F24" s="305">
        <f>'[3]побудинковий звіт'!F24</f>
        <v>2589.4</v>
      </c>
      <c r="G24" s="508">
        <f>'[3]побудинковий звіт'!G24</f>
        <v>0</v>
      </c>
      <c r="H24" s="560">
        <f>'[3]побудинковий звіт'!H24</f>
        <v>358.2</v>
      </c>
      <c r="I24" s="566">
        <f>VLOOKUP($A24,'01-02.2021'!$A$6:$CZ$403,9,FALSE)+VLOOKUP($A24,'1.3.21-28.2.22'!$A$6:$DA$404,9,FALSE)-VLOOKUP($A24,'01-02.2022'!$A$6:$DA$376,9,FALSE)</f>
        <v>8230.4033778779158</v>
      </c>
      <c r="J24" s="566">
        <f>VLOOKUP($A24,'01-02.2021'!$A$6:$CZ$403,10,FALSE)+VLOOKUP($A24,'1.3.21-28.2.22'!$A$6:$DA$404,10,FALSE)-VLOOKUP($A24,'01-02.2022'!$A$6:$DA$376,10,FALSE)</f>
        <v>9113.5072829156124</v>
      </c>
      <c r="K24" s="52">
        <f t="shared" si="34"/>
        <v>883.10390503769668</v>
      </c>
      <c r="L24" s="566">
        <f>VLOOKUP($A24,'01-02.2021'!$A$6:$CZ$403,12,FALSE)+VLOOKUP($A24,'1.3.21-28.2.22'!$A$6:$DA$404,12,FALSE)-VLOOKUP($A24,'01-02.2022'!$A$6:$DA$376,12,FALSE)</f>
        <v>1649.2114113258026</v>
      </c>
      <c r="M24" s="566">
        <f>VLOOKUP($A24,'01-02.2021'!$A$6:$CZ$403,13,FALSE)+VLOOKUP($A24,'1.3.21-28.2.22'!$A$6:$DA$404,13,FALSE)-VLOOKUP($A24,'01-02.2022'!$A$6:$DA$376,13,FALSE)</f>
        <v>1815.8410451483289</v>
      </c>
      <c r="N24" s="52">
        <f t="shared" si="35"/>
        <v>166.62963382252633</v>
      </c>
      <c r="O24" s="566">
        <f>VLOOKUP($A24,'01-02.2021'!$A$6:$CZ$403,15,FALSE)+VLOOKUP($A24,'1.3.21-28.2.22'!$A$6:$DA$404,15,FALSE)-VLOOKUP($A24,'01-02.2022'!$A$6:$DA$376,15,FALSE)</f>
        <v>3403.0602638165328</v>
      </c>
      <c r="P24" s="566">
        <f>VLOOKUP($A24,'01-02.2021'!$A$6:$CZ$403,16,FALSE)+VLOOKUP($A24,'1.3.21-28.2.22'!$A$6:$DA$404,16,FALSE)-VLOOKUP($A24,'01-02.2022'!$A$6:$DA$376,16,FALSE)</f>
        <v>3403.0399999999991</v>
      </c>
      <c r="Q24" s="70">
        <f t="shared" si="36"/>
        <v>-2.0263816533770296E-2</v>
      </c>
      <c r="R24" s="566">
        <f>VLOOKUP($A24,'01-02.2021'!$A$6:$CZ$403,18,FALSE)+VLOOKUP($A24,'1.3.21-28.2.22'!$A$6:$DA$404,18,FALSE)-VLOOKUP($A24,'01-02.2022'!$A$6:$DA$376,18,FALSE)</f>
        <v>0</v>
      </c>
      <c r="S24" s="566">
        <f>VLOOKUP($A24,'01-02.2021'!$A$6:$CZ$403,19,FALSE)+VLOOKUP($A24,'1.3.21-28.2.22'!$A$6:$DA$404,19,FALSE)-VLOOKUP($A24,'01-02.2022'!$A$6:$DA$376,19,FALSE)</f>
        <v>0</v>
      </c>
      <c r="T24" s="70">
        <f t="shared" si="37"/>
        <v>0</v>
      </c>
      <c r="U24" s="566">
        <f>VLOOKUP($A24,'01-02.2021'!$A$6:$CZ$403,21,FALSE)+VLOOKUP($A24,'1.3.21-28.2.22'!$A$6:$DA$404,21,FALSE)-VLOOKUP($A24,'01-02.2022'!$A$6:$DA$376,21,FALSE)</f>
        <v>0</v>
      </c>
      <c r="V24" s="566">
        <f>VLOOKUP($A24,'01-02.2021'!$A$6:$CZ$403,22,FALSE)+VLOOKUP($A24,'1.3.21-28.2.22'!$A$6:$DA$404,22,FALSE)-VLOOKUP($A24,'01-02.2022'!$A$6:$DA$376,22,FALSE)</f>
        <v>0</v>
      </c>
      <c r="W24" s="70">
        <f t="shared" si="38"/>
        <v>0</v>
      </c>
      <c r="X24" s="566">
        <f>VLOOKUP($A24,'01-02.2021'!$A$6:$CZ$403,24,FALSE)+VLOOKUP($A24,'1.3.21-28.2.22'!$A$6:$DA$404,24,FALSE)-VLOOKUP($A24,'01-02.2022'!$A$6:$DA$376,24,FALSE)</f>
        <v>4588.1426340682119</v>
      </c>
      <c r="Y24" s="566">
        <f>VLOOKUP($A24,'01-02.2021'!$A$6:$CZ$403,25,FALSE)+VLOOKUP($A24,'1.3.21-28.2.22'!$A$6:$DA$404,25,FALSE)-VLOOKUP($A24,'01-02.2022'!$A$6:$DA$376,25,FALSE)</f>
        <v>3646.3907823690115</v>
      </c>
      <c r="Z24" s="70">
        <f t="shared" si="39"/>
        <v>-941.75185169920042</v>
      </c>
      <c r="AA24" s="566">
        <f>VLOOKUP($A24,'01-02.2021'!$A$6:$CZ$403,27,FALSE)+VLOOKUP($A24,'1.3.21-28.2.22'!$A$6:$DA$404,27,FALSE)-VLOOKUP($A24,'01-02.2022'!$A$6:$DA$376,27,FALSE)</f>
        <v>589.41999999999996</v>
      </c>
      <c r="AB24" s="566">
        <f>VLOOKUP($A24,'01-02.2021'!$A$6:$CZ$403,28,FALSE)+VLOOKUP($A24,'1.3.21-28.2.22'!$A$6:$DA$404,28,FALSE)-VLOOKUP($A24,'01-02.2022'!$A$6:$DA$376,28,FALSE)</f>
        <v>0</v>
      </c>
      <c r="AC24" s="70">
        <f t="shared" si="40"/>
        <v>-589.41999999999996</v>
      </c>
      <c r="AD24" s="566">
        <f>VLOOKUP($A24,'01-02.2021'!$A$6:$CZ$403,30,FALSE)+VLOOKUP($A24,'1.3.21-28.2.22'!$A$6:$DA$404,30,FALSE)-VLOOKUP($A24,'01-02.2022'!$A$6:$DA$376,30,FALSE)</f>
        <v>12624.397491424161</v>
      </c>
      <c r="AE24" s="566">
        <f>VLOOKUP($A24,'01-02.2021'!$A$6:$CZ$403,31,FALSE)+VLOOKUP($A24,'1.3.21-28.2.22'!$A$6:$DA$404,31,FALSE)-VLOOKUP($A24,'01-02.2022'!$A$6:$DA$376,31,FALSE)</f>
        <v>13417.59396543715</v>
      </c>
      <c r="AF24" s="68">
        <f t="shared" si="41"/>
        <v>793.19647401298971</v>
      </c>
      <c r="AG24" s="77">
        <f t="shared" si="24"/>
        <v>31084.635178512624</v>
      </c>
      <c r="AH24" s="53">
        <f t="shared" si="24"/>
        <v>31396.373075870102</v>
      </c>
      <c r="AI24" s="52">
        <f t="shared" si="42"/>
        <v>311.73789735747778</v>
      </c>
      <c r="AJ24" s="566">
        <f>VLOOKUP($A24,'01-02.2021'!$A$6:$CZ$403,36,FALSE)+VLOOKUP($A24,'1.3.21-28.2.22'!$A$6:$DA$404,36,FALSE)-VLOOKUP($A24,'01-02.2022'!$A$6:$DA$376,36,FALSE)</f>
        <v>0</v>
      </c>
      <c r="AK24" s="566">
        <f>VLOOKUP($A24,'01-02.2021'!$A$6:$CZ$403,37,FALSE)+VLOOKUP($A24,'1.3.21-28.2.22'!$A$6:$DA$404,37,FALSE)-VLOOKUP($A24,'01-02.2022'!$A$6:$DA$376,37,FALSE)</f>
        <v>0</v>
      </c>
      <c r="AL24" s="70">
        <f t="shared" si="43"/>
        <v>0</v>
      </c>
      <c r="AM24" s="566">
        <f>VLOOKUP($A24,'01-02.2021'!$A$6:$CZ$403,39,FALSE)+VLOOKUP($A24,'1.3.21-28.2.22'!$A$6:$DA$404,39,FALSE)-VLOOKUP($A24,'01-02.2022'!$A$6:$DA$376,39,FALSE)</f>
        <v>0</v>
      </c>
      <c r="AN24" s="566">
        <f>VLOOKUP($A24,'01-02.2021'!$A$6:$CZ$403,40,FALSE)+VLOOKUP($A24,'1.3.21-28.2.22'!$A$6:$DA$404,40,FALSE)-VLOOKUP($A24,'01-02.2022'!$A$6:$DA$376,40,FALSE)</f>
        <v>0</v>
      </c>
      <c r="AO24" s="70">
        <f t="shared" si="44"/>
        <v>0</v>
      </c>
      <c r="AP24" s="566">
        <f>VLOOKUP($A24,'01-02.2021'!$A$6:$CZ$403,42,FALSE)+VLOOKUP($A24,'1.3.21-28.2.22'!$A$6:$DA$404,42,FALSE)-VLOOKUP($A24,'01-02.2022'!$A$6:$DA$376,42,FALSE)</f>
        <v>7027.5589876724962</v>
      </c>
      <c r="AQ24" s="566">
        <f>VLOOKUP($A24,'01-02.2021'!$A$6:$CZ$403,43,FALSE)+VLOOKUP($A24,'1.3.21-28.2.22'!$A$6:$DA$404,43,FALSE)-VLOOKUP($A24,'01-02.2022'!$A$6:$DA$376,43,FALSE)</f>
        <v>5523.9941680132179</v>
      </c>
      <c r="AR24" s="70">
        <f t="shared" si="45"/>
        <v>-1503.5648196592783</v>
      </c>
      <c r="AS24" s="566">
        <f>VLOOKUP($A24,'01-02.2021'!$A$6:$CZ$403,45,FALSE)+VLOOKUP($A24,'1.3.21-28.2.22'!$A$6:$DA$404,45,FALSE)-VLOOKUP($A24,'01-02.2022'!$A$6:$DA$376,45,FALSE)</f>
        <v>24182.352940245444</v>
      </c>
      <c r="AT24" s="566">
        <f>VLOOKUP($A24,'01-02.2021'!$A$6:$CZ$403,46,FALSE)+VLOOKUP($A24,'1.3.21-28.2.22'!$A$6:$DA$404,46,FALSE)-VLOOKUP($A24,'01-02.2022'!$A$6:$DA$376,46,FALSE)</f>
        <v>2729</v>
      </c>
      <c r="AU24" s="78">
        <f t="shared" si="46"/>
        <v>-21453.352940245444</v>
      </c>
      <c r="AV24" s="566">
        <f>VLOOKUP($A24,'01-02.2021'!$A$6:$CZ$403,48,FALSE)+VLOOKUP($A24,'1.3.21-28.2.22'!$A$6:$DA$404,48,FALSE)-VLOOKUP($A24,'01-02.2022'!$A$6:$DA$376,48,FALSE)</f>
        <v>2202.1159261716275</v>
      </c>
      <c r="AW24" s="566">
        <f>VLOOKUP($A24,'01-02.2021'!$A$6:$CZ$403,49,FALSE)+VLOOKUP($A24,'1.3.21-28.2.22'!$A$6:$DA$404,49,FALSE)-VLOOKUP($A24,'01-02.2022'!$A$6:$DA$376,49,FALSE)</f>
        <v>858</v>
      </c>
      <c r="AX24" s="55">
        <f t="shared" si="47"/>
        <v>-1344.1159261716275</v>
      </c>
      <c r="AY24" s="566">
        <f>VLOOKUP($A24,'01-02.2021'!$A$6:$CZ$403,51,FALSE)+VLOOKUP($A24,'1.3.21-28.2.22'!$A$6:$DA$404,51,FALSE)-VLOOKUP($A24,'01-02.2022'!$A$6:$DA$376,51,FALSE)</f>
        <v>3100.172032923057</v>
      </c>
      <c r="AZ24" s="566">
        <f>VLOOKUP($A24,'01-02.2021'!$A$6:$CZ$403,52,FALSE)+VLOOKUP($A24,'1.3.21-28.2.22'!$A$6:$DA$404,52,FALSE)-VLOOKUP($A24,'01-02.2022'!$A$6:$DA$376,52,FALSE)</f>
        <v>1427</v>
      </c>
      <c r="BA24" s="38">
        <f t="shared" si="48"/>
        <v>-1673.172032923057</v>
      </c>
      <c r="BB24" s="566">
        <f>VLOOKUP($A24,'01-02.2021'!$A$6:$CZ$403,54,FALSE)+VLOOKUP($A24,'1.3.21-28.2.22'!$A$6:$DA$404,54,FALSE)-VLOOKUP($A24,'01-02.2022'!$A$6:$DA$376,54,FALSE)</f>
        <v>1686.0654318236411</v>
      </c>
      <c r="BC24" s="566">
        <f>VLOOKUP($A24,'01-02.2021'!$A$6:$CZ$403,55,FALSE)+VLOOKUP($A24,'1.3.21-28.2.22'!$A$6:$DA$404,55,FALSE)-VLOOKUP($A24,'01-02.2022'!$A$6:$DA$376,55,FALSE)</f>
        <v>10519</v>
      </c>
      <c r="BD24" s="55">
        <f t="shared" si="49"/>
        <v>8832.9345681763589</v>
      </c>
      <c r="BE24" s="566">
        <f>VLOOKUP($A24,'01-02.2021'!$A$6:$CZ$403,57,FALSE)+VLOOKUP($A24,'1.3.21-28.2.22'!$A$6:$DA$404,57,FALSE)-VLOOKUP($A24,'01-02.2022'!$A$6:$DA$376,57,FALSE)</f>
        <v>0</v>
      </c>
      <c r="BF24" s="566">
        <f>VLOOKUP($A24,'01-02.2021'!$A$6:$CZ$403,58,FALSE)+VLOOKUP($A24,'1.3.21-28.2.22'!$A$6:$DA$404,58,FALSE)-VLOOKUP($A24,'01-02.2022'!$A$6:$DA$376,58,FALSE)</f>
        <v>0</v>
      </c>
      <c r="BG24" s="55">
        <f t="shared" si="50"/>
        <v>0</v>
      </c>
      <c r="BH24" s="566">
        <f>VLOOKUP($A24,'01-02.2021'!$A$6:$CZ$403,60,FALSE)+VLOOKUP($A24,'1.3.21-28.2.22'!$A$6:$DA$404,60,FALSE)-VLOOKUP($A24,'01-02.2022'!$A$6:$DA$376,60,FALSE)</f>
        <v>0</v>
      </c>
      <c r="BI24" s="566">
        <f>VLOOKUP($A24,'01-02.2021'!$A$6:$CZ$403,61,FALSE)+VLOOKUP($A24,'1.3.21-28.2.22'!$A$6:$DA$404,61,FALSE)-VLOOKUP($A24,'01-02.2022'!$A$6:$DA$376,61,FALSE)</f>
        <v>0</v>
      </c>
      <c r="BJ24" s="55">
        <f t="shared" si="51"/>
        <v>0</v>
      </c>
      <c r="BK24" s="566">
        <f>VLOOKUP($A24,'01-02.2021'!$A$6:$CZ$403,63,FALSE)+VLOOKUP($A24,'1.3.21-28.2.22'!$A$6:$DA$404,63,FALSE)-VLOOKUP($A24,'01-02.2022'!$A$6:$DA$376,63,FALSE)</f>
        <v>1226.093811693979</v>
      </c>
      <c r="BL24" s="566">
        <f>VLOOKUP($A24,'01-02.2021'!$A$6:$CZ$403,64,FALSE)+VLOOKUP($A24,'1.3.21-28.2.22'!$A$6:$DA$404,64,FALSE)-VLOOKUP($A24,'01-02.2022'!$A$6:$DA$376,64,FALSE)</f>
        <v>9966</v>
      </c>
      <c r="BM24" s="55">
        <f t="shared" si="52"/>
        <v>8739.9061883060203</v>
      </c>
      <c r="BN24" s="566">
        <f>VLOOKUP($A24,'01-02.2021'!$A$6:$CZ$403,66,FALSE)+VLOOKUP($A24,'1.3.21-28.2.22'!$A$6:$DA$404,66,FALSE)-VLOOKUP($A24,'01-02.2022'!$A$6:$DA$376,66,FALSE)</f>
        <v>147.35499999999999</v>
      </c>
      <c r="BO24" s="566">
        <f>VLOOKUP($A24,'01-02.2021'!$A$6:$CZ$403,67,FALSE)+VLOOKUP($A24,'1.3.21-28.2.22'!$A$6:$DA$404,67,FALSE)-VLOOKUP($A24,'01-02.2022'!$A$6:$DA$376,67,FALSE)</f>
        <v>0</v>
      </c>
      <c r="BP24" s="55">
        <f t="shared" si="53"/>
        <v>-147.35499999999999</v>
      </c>
      <c r="BQ24" s="77">
        <f t="shared" si="25"/>
        <v>8361.8022026123053</v>
      </c>
      <c r="BR24" s="40">
        <f t="shared" si="26"/>
        <v>22770</v>
      </c>
      <c r="BS24" s="55">
        <f t="shared" si="70"/>
        <v>14408.197797387695</v>
      </c>
      <c r="BT24" s="566">
        <f>VLOOKUP($A24,'01-02.2021'!$A$6:$CZ$403,72,FALSE)+VLOOKUP($A24,'1.3.21-28.2.22'!$A$6:$DA$404,72,FALSE)-VLOOKUP($A24,'01-02.2022'!$A$6:$DA$376,72,FALSE)</f>
        <v>23609.269519592599</v>
      </c>
      <c r="BU24" s="566">
        <f>VLOOKUP($A24,'01-02.2021'!$A$6:$CZ$403,73,FALSE)+VLOOKUP($A24,'1.3.21-28.2.22'!$A$6:$DA$404,73,FALSE)-VLOOKUP($A24,'01-02.2022'!$A$6:$DA$376,73,FALSE)</f>
        <v>31740.611540970738</v>
      </c>
      <c r="BV24" s="70">
        <f t="shared" si="54"/>
        <v>8131.3420213781392</v>
      </c>
      <c r="BW24" s="566">
        <f>VLOOKUP($A24,'01-02.2021'!$A$6:$CZ$403,75,FALSE)+VLOOKUP($A24,'1.3.21-28.2.22'!$A$6:$DA$404,75,FALSE)-VLOOKUP($A24,'01-02.2022'!$A$6:$DA$376,75,FALSE)</f>
        <v>9849.4357866090249</v>
      </c>
      <c r="BX24" s="566">
        <f>VLOOKUP($A24,'01-02.2021'!$A$6:$CZ$403,76,FALSE)+VLOOKUP($A24,'1.3.21-28.2.22'!$A$6:$DA$404,76,FALSE)-VLOOKUP($A24,'01-02.2022'!$A$6:$DA$376,76,FALSE)</f>
        <v>11254.068521898205</v>
      </c>
      <c r="BY24" s="70">
        <f t="shared" si="55"/>
        <v>1404.6327352891803</v>
      </c>
      <c r="BZ24" s="566">
        <f>VLOOKUP($A24,'01-02.2021'!$A$6:$CZ$403,78,FALSE)+VLOOKUP($A24,'1.3.21-28.2.22'!$A$6:$DA$404,78,FALSE)-VLOOKUP($A24,'01-02.2022'!$A$6:$DA$376,78,FALSE)</f>
        <v>10946.341276012639</v>
      </c>
      <c r="CA24" s="566">
        <f>VLOOKUP($A24,'01-02.2021'!$A$6:$CZ$403,79,FALSE)+VLOOKUP($A24,'1.3.21-28.2.22'!$A$6:$DA$404,79,FALSE)-VLOOKUP($A24,'01-02.2022'!$A$6:$DA$376,79,FALSE)</f>
        <v>6838.0229466465771</v>
      </c>
      <c r="CB24" s="70">
        <f t="shared" si="56"/>
        <v>-4108.3183293660622</v>
      </c>
      <c r="CC24" s="566">
        <f>VLOOKUP($A24,'01-02.2021'!$A$6:$CZ$403,81,FALSE)+VLOOKUP($A24,'1.3.21-28.2.22'!$A$6:$DA$404,81,FALSE)-VLOOKUP($A24,'01-02.2022'!$A$6:$DA$376,81,FALSE)</f>
        <v>1262.4621441216332</v>
      </c>
      <c r="CD24" s="566">
        <f>VLOOKUP($A24,'01-02.2021'!$A$6:$CZ$403,82,FALSE)+VLOOKUP($A24,'1.3.21-28.2.22'!$A$6:$DA$404,82,FALSE)-VLOOKUP($A24,'01-02.2022'!$A$6:$DA$376,82,FALSE)</f>
        <v>1379.862310973012</v>
      </c>
      <c r="CE24" s="70">
        <f t="shared" si="57"/>
        <v>117.4001668513788</v>
      </c>
      <c r="CF24" s="566">
        <f>VLOOKUP($A24,'01-02.2021'!$A$6:$CZ$403,84,FALSE)+VLOOKUP($A24,'1.3.21-28.2.22'!$A$6:$DA$404,84,FALSE)-VLOOKUP($A24,'01-02.2022'!$A$6:$DA$376,84,FALSE)</f>
        <v>153.47827915691266</v>
      </c>
      <c r="CG24" s="566">
        <f>VLOOKUP($A24,'01-02.2021'!$A$6:$CZ$403,85,FALSE)+VLOOKUP($A24,'1.3.21-28.2.22'!$A$6:$DA$404,85,FALSE)-VLOOKUP($A24,'01-02.2022'!$A$6:$DA$376,85,FALSE)</f>
        <v>0</v>
      </c>
      <c r="CH24" s="70">
        <f t="shared" si="58"/>
        <v>-153.47827915691266</v>
      </c>
      <c r="CI24" s="566">
        <f>VLOOKUP($A24,'01-02.2021'!$A$6:$CZ$403,87,FALSE)+VLOOKUP($A24,'1.3.21-28.2.22'!$A$6:$DA$404,87,FALSE)-VLOOKUP($A24,'01-02.2022'!$A$6:$DA$376,87,FALSE)</f>
        <v>4695.6427143190531</v>
      </c>
      <c r="CJ24" s="566">
        <f>VLOOKUP($A24,'01-02.2021'!$A$6:$CZ$403,88,FALSE)+VLOOKUP($A24,'1.3.21-28.2.22'!$A$6:$DA$404,88,FALSE)-VLOOKUP($A24,'01-02.2022'!$A$6:$DA$376,88,FALSE)</f>
        <v>3771.9635090827578</v>
      </c>
      <c r="CK24" s="70">
        <f t="shared" si="59"/>
        <v>-923.67920523629527</v>
      </c>
      <c r="CL24" s="566">
        <f>VLOOKUP($A24,'01-02.2021'!$A$6:$CZ$403,90,FALSE)+VLOOKUP($A24,'1.3.21-28.2.22'!$A$6:$DA$404,90,FALSE)-VLOOKUP($A24,'01-02.2022'!$A$6:$DA$376,90,FALSE)</f>
        <v>0</v>
      </c>
      <c r="CM24" s="566">
        <f>VLOOKUP($A24,'01-02.2021'!$A$6:$CZ$403,91,FALSE)+VLOOKUP($A24,'1.3.21-28.2.22'!$A$6:$DA$404,91,FALSE)-VLOOKUP($A24,'01-02.2022'!$A$6:$DA$376,91,FALSE)</f>
        <v>0</v>
      </c>
      <c r="CN24" s="52">
        <f t="shared" si="60"/>
        <v>0</v>
      </c>
      <c r="CO24" s="39">
        <f t="shared" si="27"/>
        <v>4695.6427143190531</v>
      </c>
      <c r="CP24" s="40">
        <f t="shared" si="61"/>
        <v>3771.9635090827578</v>
      </c>
      <c r="CQ24" s="52">
        <f t="shared" si="62"/>
        <v>-923.67920523629527</v>
      </c>
      <c r="CR24" s="72">
        <f t="shared" si="28"/>
        <v>121172.97902885472</v>
      </c>
      <c r="CS24" s="5">
        <f t="shared" si="28"/>
        <v>117403.89607345461</v>
      </c>
      <c r="CT24" s="52">
        <f t="shared" si="63"/>
        <v>-3769.0829554001102</v>
      </c>
      <c r="CU24" s="77">
        <f t="shared" si="64"/>
        <v>145407.57483462567</v>
      </c>
      <c r="CV24" s="65">
        <f t="shared" si="65"/>
        <v>140884.67528814552</v>
      </c>
      <c r="CW24" s="35">
        <f t="shared" si="66"/>
        <v>-4522.8995464801555</v>
      </c>
      <c r="CX24" s="566">
        <f>VLOOKUP($A24,'01-02.2021'!$A$6:$CZ$403,102,FALSE)+VLOOKUP($A24,'1.3.21-28.2.22'!$A$6:$DA$404,102,FALSE)-VLOOKUP($A24,'01-02.2022'!$A$6:$DA$376,102,FALSE)</f>
        <v>8982.0953561364222</v>
      </c>
      <c r="CY24" s="566">
        <f>VLOOKUP($A24,'01-02.2021'!$A$6:$CZ$403,103,FALSE)+VLOOKUP($A24,'1.3.21-28.2.22'!$A$6:$DA$404,103,FALSE)-VLOOKUP($A24,'01-02.2022'!$A$6:$DA$376,103,FALSE)</f>
        <v>13504.994902616596</v>
      </c>
      <c r="CZ24" s="52">
        <f t="shared" si="67"/>
        <v>4522.8995464801737</v>
      </c>
      <c r="DA24" s="150">
        <f>'[2]побудинковий звіт'!DA24</f>
        <v>49060.260137070763</v>
      </c>
      <c r="DB24" s="2">
        <v>2</v>
      </c>
      <c r="DC24" s="414">
        <f>'[4]побудинковий звіт'!DC24</f>
        <v>28682.91</v>
      </c>
      <c r="DD24" s="414">
        <f>'[4]побудинковий звіт'!DD24</f>
        <v>2939.66</v>
      </c>
      <c r="DE24" s="557">
        <f>'[4]побудинковий звіт'!DE24</f>
        <v>16363.805005704613</v>
      </c>
      <c r="DF24" s="557">
        <f>'[4]побудинковий звіт'!DF24</f>
        <v>1406.0662039173674</v>
      </c>
      <c r="DG24" s="321">
        <f>VLOOKUP(A24,'кошти 01.03.2021'!$A$6:$D$401,4,)</f>
        <v>53994.568783750765</v>
      </c>
      <c r="DH24" s="40">
        <f>'[3]побудинковий звіт'!DJ24</f>
        <v>158100.89361978008</v>
      </c>
      <c r="DI24" s="422">
        <f>'[3]побудинковий звіт'!CU24+'[3]побудинковий звіт'!CX24</f>
        <v>13852.698790378017</v>
      </c>
      <c r="DJ24" s="306">
        <f>'[3]побудинковий звіт'!DM24</f>
        <v>4.7575133213467931</v>
      </c>
      <c r="DK24" s="306">
        <f t="shared" si="73"/>
        <v>4.7575133213467931</v>
      </c>
      <c r="DL24" s="306">
        <f>'[3]побудинковий звіт'!DO24</f>
        <v>4.2813897154735692</v>
      </c>
      <c r="DM24" s="28">
        <f t="shared" si="74"/>
        <v>12319.104994295387</v>
      </c>
      <c r="DN24" s="28">
        <f t="shared" si="75"/>
        <v>1533.5937960826325</v>
      </c>
      <c r="DO24" s="423">
        <f t="shared" si="29"/>
        <v>13852.698790378019</v>
      </c>
      <c r="DP24" s="94">
        <f t="shared" si="30"/>
        <v>0</v>
      </c>
      <c r="DQ24" s="28">
        <f t="shared" si="31"/>
        <v>13852.698790378019</v>
      </c>
      <c r="DR24" s="318"/>
      <c r="DT24" s="8"/>
      <c r="DU24" s="5"/>
      <c r="DX24" s="5">
        <f t="shared" si="32"/>
        <v>39052.9861714293</v>
      </c>
      <c r="DY24" s="5">
        <f t="shared" si="33"/>
        <v>30598.799999999999</v>
      </c>
      <c r="DZ24" s="159">
        <f>'[3]побудинковий звіт'!EA24</f>
        <v>3759.9613044782668</v>
      </c>
    </row>
    <row r="25" spans="1:130" x14ac:dyDescent="0.3">
      <c r="A25" s="325">
        <v>150000971</v>
      </c>
      <c r="B25" s="41" t="s">
        <v>474</v>
      </c>
      <c r="C25" s="42" t="s">
        <v>194</v>
      </c>
      <c r="D25" s="42"/>
      <c r="E25" s="293">
        <f t="shared" si="23"/>
        <v>1469.5300000000002</v>
      </c>
      <c r="F25" s="305">
        <f>'[3]побудинковий звіт'!F25</f>
        <v>1132.9000000000001</v>
      </c>
      <c r="G25" s="508">
        <f>'[3]побудинковий звіт'!G25</f>
        <v>0</v>
      </c>
      <c r="H25" s="560">
        <f>'[3]побудинковий звіт'!H25</f>
        <v>336.63</v>
      </c>
      <c r="I25" s="566">
        <f>VLOOKUP($A25,'01-02.2021'!$A$6:$CZ$403,9,FALSE)+VLOOKUP($A25,'1.3.21-28.2.22'!$A$6:$DA$404,9,FALSE)-VLOOKUP($A25,'01-02.2022'!$A$6:$DA$376,9,FALSE)</f>
        <v>5531.8021738020634</v>
      </c>
      <c r="J25" s="566">
        <f>VLOOKUP($A25,'01-02.2021'!$A$6:$CZ$403,10,FALSE)+VLOOKUP($A25,'1.3.21-28.2.22'!$A$6:$DA$404,10,FALSE)-VLOOKUP($A25,'01-02.2022'!$A$6:$DA$376,10,FALSE)</f>
        <v>6033.1261994143351</v>
      </c>
      <c r="K25" s="52">
        <f t="shared" si="34"/>
        <v>501.32402561227173</v>
      </c>
      <c r="L25" s="566">
        <f>VLOOKUP($A25,'01-02.2021'!$A$6:$CZ$403,12,FALSE)+VLOOKUP($A25,'1.3.21-28.2.22'!$A$6:$DA$404,12,FALSE)-VLOOKUP($A25,'01-02.2022'!$A$6:$DA$376,12,FALSE)</f>
        <v>1149.0573227378723</v>
      </c>
      <c r="M25" s="566">
        <f>VLOOKUP($A25,'01-02.2021'!$A$6:$CZ$403,13,FALSE)+VLOOKUP($A25,'1.3.21-28.2.22'!$A$6:$DA$404,13,FALSE)-VLOOKUP($A25,'01-02.2022'!$A$6:$DA$376,13,FALSE)</f>
        <v>1265.157215407897</v>
      </c>
      <c r="N25" s="52">
        <f t="shared" si="35"/>
        <v>116.0998926700247</v>
      </c>
      <c r="O25" s="566">
        <f>VLOOKUP($A25,'01-02.2021'!$A$6:$CZ$403,15,FALSE)+VLOOKUP($A25,'1.3.21-28.2.22'!$A$6:$DA$404,15,FALSE)-VLOOKUP($A25,'01-02.2022'!$A$6:$DA$376,15,FALSE)</f>
        <v>1920.1771454354498</v>
      </c>
      <c r="P25" s="566">
        <f>VLOOKUP($A25,'01-02.2021'!$A$6:$CZ$403,16,FALSE)+VLOOKUP($A25,'1.3.21-28.2.22'!$A$6:$DA$404,16,FALSE)-VLOOKUP($A25,'01-02.2022'!$A$6:$DA$376,16,FALSE)</f>
        <v>1920.1699999999996</v>
      </c>
      <c r="Q25" s="70">
        <f t="shared" si="36"/>
        <v>-7.1454354501838679E-3</v>
      </c>
      <c r="R25" s="566">
        <f>VLOOKUP($A25,'01-02.2021'!$A$6:$CZ$403,18,FALSE)+VLOOKUP($A25,'1.3.21-28.2.22'!$A$6:$DA$404,18,FALSE)-VLOOKUP($A25,'01-02.2022'!$A$6:$DA$376,18,FALSE)</f>
        <v>0</v>
      </c>
      <c r="S25" s="566">
        <f>VLOOKUP($A25,'01-02.2021'!$A$6:$CZ$403,19,FALSE)+VLOOKUP($A25,'1.3.21-28.2.22'!$A$6:$DA$404,19,FALSE)-VLOOKUP($A25,'01-02.2022'!$A$6:$DA$376,19,FALSE)</f>
        <v>0</v>
      </c>
      <c r="T25" s="70">
        <f t="shared" si="37"/>
        <v>0</v>
      </c>
      <c r="U25" s="566">
        <f>VLOOKUP($A25,'01-02.2021'!$A$6:$CZ$403,21,FALSE)+VLOOKUP($A25,'1.3.21-28.2.22'!$A$6:$DA$404,21,FALSE)-VLOOKUP($A25,'01-02.2022'!$A$6:$DA$376,21,FALSE)</f>
        <v>0</v>
      </c>
      <c r="V25" s="566">
        <f>VLOOKUP($A25,'01-02.2021'!$A$6:$CZ$403,22,FALSE)+VLOOKUP($A25,'1.3.21-28.2.22'!$A$6:$DA$404,22,FALSE)-VLOOKUP($A25,'01-02.2022'!$A$6:$DA$376,22,FALSE)</f>
        <v>0</v>
      </c>
      <c r="W25" s="70">
        <f t="shared" si="38"/>
        <v>0</v>
      </c>
      <c r="X25" s="566">
        <f>VLOOKUP($A25,'01-02.2021'!$A$6:$CZ$403,24,FALSE)+VLOOKUP($A25,'1.3.21-28.2.22'!$A$6:$DA$404,24,FALSE)-VLOOKUP($A25,'01-02.2022'!$A$6:$DA$376,24,FALSE)</f>
        <v>3659.2323084261407</v>
      </c>
      <c r="Y25" s="566">
        <f>VLOOKUP($A25,'01-02.2021'!$A$6:$CZ$403,25,FALSE)+VLOOKUP($A25,'1.3.21-28.2.22'!$A$6:$DA$404,25,FALSE)-VLOOKUP($A25,'01-02.2022'!$A$6:$DA$376,25,FALSE)</f>
        <v>2961.8338282695408</v>
      </c>
      <c r="Z25" s="70">
        <f t="shared" si="39"/>
        <v>-697.39848015659982</v>
      </c>
      <c r="AA25" s="566">
        <f>VLOOKUP($A25,'01-02.2021'!$A$6:$CZ$403,27,FALSE)+VLOOKUP($A25,'1.3.21-28.2.22'!$A$6:$DA$404,27,FALSE)-VLOOKUP($A25,'01-02.2022'!$A$6:$DA$376,27,FALSE)</f>
        <v>282.62600000000003</v>
      </c>
      <c r="AB25" s="566">
        <f>VLOOKUP($A25,'01-02.2021'!$A$6:$CZ$403,28,FALSE)+VLOOKUP($A25,'1.3.21-28.2.22'!$A$6:$DA$404,28,FALSE)-VLOOKUP($A25,'01-02.2022'!$A$6:$DA$376,28,FALSE)</f>
        <v>0</v>
      </c>
      <c r="AC25" s="70">
        <f t="shared" si="40"/>
        <v>-282.62600000000003</v>
      </c>
      <c r="AD25" s="566">
        <f>VLOOKUP($A25,'01-02.2021'!$A$6:$CZ$403,30,FALSE)+VLOOKUP($A25,'1.3.21-28.2.22'!$A$6:$DA$404,30,FALSE)-VLOOKUP($A25,'01-02.2022'!$A$6:$DA$376,30,FALSE)</f>
        <v>6185.8917648617007</v>
      </c>
      <c r="AE25" s="566">
        <f>VLOOKUP($A25,'01-02.2021'!$A$6:$CZ$403,31,FALSE)+VLOOKUP($A25,'1.3.21-28.2.22'!$A$6:$DA$404,31,FALSE)-VLOOKUP($A25,'01-02.2022'!$A$6:$DA$376,31,FALSE)</f>
        <v>6688.1892900926723</v>
      </c>
      <c r="AF25" s="68">
        <f t="shared" si="41"/>
        <v>502.29752523097159</v>
      </c>
      <c r="AG25" s="77">
        <f t="shared" si="24"/>
        <v>18728.786715263224</v>
      </c>
      <c r="AH25" s="53">
        <f t="shared" si="24"/>
        <v>18868.476533184446</v>
      </c>
      <c r="AI25" s="52">
        <f t="shared" si="42"/>
        <v>139.68981792122213</v>
      </c>
      <c r="AJ25" s="566">
        <f>VLOOKUP($A25,'01-02.2021'!$A$6:$CZ$403,36,FALSE)+VLOOKUP($A25,'1.3.21-28.2.22'!$A$6:$DA$404,36,FALSE)-VLOOKUP($A25,'01-02.2022'!$A$6:$DA$376,36,FALSE)</f>
        <v>0</v>
      </c>
      <c r="AK25" s="566">
        <f>VLOOKUP($A25,'01-02.2021'!$A$6:$CZ$403,37,FALSE)+VLOOKUP($A25,'1.3.21-28.2.22'!$A$6:$DA$404,37,FALSE)-VLOOKUP($A25,'01-02.2022'!$A$6:$DA$376,37,FALSE)</f>
        <v>0</v>
      </c>
      <c r="AL25" s="70">
        <f t="shared" si="43"/>
        <v>0</v>
      </c>
      <c r="AM25" s="566">
        <f>VLOOKUP($A25,'01-02.2021'!$A$6:$CZ$403,39,FALSE)+VLOOKUP($A25,'1.3.21-28.2.22'!$A$6:$DA$404,39,FALSE)-VLOOKUP($A25,'01-02.2022'!$A$6:$DA$376,39,FALSE)</f>
        <v>0</v>
      </c>
      <c r="AN25" s="566">
        <f>VLOOKUP($A25,'01-02.2021'!$A$6:$CZ$403,40,FALSE)+VLOOKUP($A25,'1.3.21-28.2.22'!$A$6:$DA$404,40,FALSE)-VLOOKUP($A25,'01-02.2022'!$A$6:$DA$376,40,FALSE)</f>
        <v>0</v>
      </c>
      <c r="AO25" s="70">
        <f t="shared" si="44"/>
        <v>0</v>
      </c>
      <c r="AP25" s="566">
        <f>VLOOKUP($A25,'01-02.2021'!$A$6:$CZ$403,42,FALSE)+VLOOKUP($A25,'1.3.21-28.2.22'!$A$6:$DA$404,42,FALSE)-VLOOKUP($A25,'01-02.2022'!$A$6:$DA$376,42,FALSE)</f>
        <v>3774.0594563426366</v>
      </c>
      <c r="AQ25" s="566">
        <f>VLOOKUP($A25,'01-02.2021'!$A$6:$CZ$403,43,FALSE)+VLOOKUP($A25,'1.3.21-28.2.22'!$A$6:$DA$404,43,FALSE)-VLOOKUP($A25,'01-02.2022'!$A$6:$DA$376,43,FALSE)</f>
        <v>3245.4565190808862</v>
      </c>
      <c r="AR25" s="70">
        <f t="shared" si="45"/>
        <v>-528.60293726175041</v>
      </c>
      <c r="AS25" s="566">
        <f>VLOOKUP($A25,'01-02.2021'!$A$6:$CZ$403,45,FALSE)+VLOOKUP($A25,'1.3.21-28.2.22'!$A$6:$DA$404,45,FALSE)-VLOOKUP($A25,'01-02.2022'!$A$6:$DA$376,45,FALSE)</f>
        <v>17728.486647221394</v>
      </c>
      <c r="AT25" s="566">
        <f>VLOOKUP($A25,'01-02.2021'!$A$6:$CZ$403,46,FALSE)+VLOOKUP($A25,'1.3.21-28.2.22'!$A$6:$DA$404,46,FALSE)-VLOOKUP($A25,'01-02.2022'!$A$6:$DA$376,46,FALSE)</f>
        <v>18702.57</v>
      </c>
      <c r="AU25" s="78">
        <f t="shared" si="46"/>
        <v>974.08335277860533</v>
      </c>
      <c r="AV25" s="566">
        <f>VLOOKUP($A25,'01-02.2021'!$A$6:$CZ$403,48,FALSE)+VLOOKUP($A25,'1.3.21-28.2.22'!$A$6:$DA$404,48,FALSE)-VLOOKUP($A25,'01-02.2022'!$A$6:$DA$376,48,FALSE)</f>
        <v>1533.7904204382178</v>
      </c>
      <c r="AW25" s="566">
        <f>VLOOKUP($A25,'01-02.2021'!$A$6:$CZ$403,49,FALSE)+VLOOKUP($A25,'1.3.21-28.2.22'!$A$6:$DA$404,49,FALSE)-VLOOKUP($A25,'01-02.2022'!$A$6:$DA$376,49,FALSE)</f>
        <v>207</v>
      </c>
      <c r="AX25" s="55">
        <f t="shared" si="47"/>
        <v>-1326.7904204382178</v>
      </c>
      <c r="AY25" s="566">
        <f>VLOOKUP($A25,'01-02.2021'!$A$6:$CZ$403,51,FALSE)+VLOOKUP($A25,'1.3.21-28.2.22'!$A$6:$DA$404,51,FALSE)-VLOOKUP($A25,'01-02.2022'!$A$6:$DA$376,51,FALSE)</f>
        <v>2159.9725334143313</v>
      </c>
      <c r="AZ25" s="566">
        <f>VLOOKUP($A25,'01-02.2021'!$A$6:$CZ$403,52,FALSE)+VLOOKUP($A25,'1.3.21-28.2.22'!$A$6:$DA$404,52,FALSE)-VLOOKUP($A25,'01-02.2022'!$A$6:$DA$376,52,FALSE)</f>
        <v>3215</v>
      </c>
      <c r="BA25" s="38">
        <f t="shared" si="48"/>
        <v>1055.0274665856687</v>
      </c>
      <c r="BB25" s="566">
        <f>VLOOKUP($A25,'01-02.2021'!$A$6:$CZ$403,54,FALSE)+VLOOKUP($A25,'1.3.21-28.2.22'!$A$6:$DA$404,54,FALSE)-VLOOKUP($A25,'01-02.2022'!$A$6:$DA$376,54,FALSE)</f>
        <v>731.83287266498814</v>
      </c>
      <c r="BC25" s="566">
        <f>VLOOKUP($A25,'01-02.2021'!$A$6:$CZ$403,55,FALSE)+VLOOKUP($A25,'1.3.21-28.2.22'!$A$6:$DA$404,55,FALSE)-VLOOKUP($A25,'01-02.2022'!$A$6:$DA$376,55,FALSE)</f>
        <v>0</v>
      </c>
      <c r="BD25" s="55">
        <f t="shared" si="49"/>
        <v>-731.83287266498814</v>
      </c>
      <c r="BE25" s="566">
        <f>VLOOKUP($A25,'01-02.2021'!$A$6:$CZ$403,57,FALSE)+VLOOKUP($A25,'1.3.21-28.2.22'!$A$6:$DA$404,57,FALSE)-VLOOKUP($A25,'01-02.2022'!$A$6:$DA$376,57,FALSE)</f>
        <v>0</v>
      </c>
      <c r="BF25" s="566">
        <f>VLOOKUP($A25,'01-02.2021'!$A$6:$CZ$403,58,FALSE)+VLOOKUP($A25,'1.3.21-28.2.22'!$A$6:$DA$404,58,FALSE)-VLOOKUP($A25,'01-02.2022'!$A$6:$DA$376,58,FALSE)</f>
        <v>0</v>
      </c>
      <c r="BG25" s="55">
        <f t="shared" si="50"/>
        <v>0</v>
      </c>
      <c r="BH25" s="566">
        <f>VLOOKUP($A25,'01-02.2021'!$A$6:$CZ$403,60,FALSE)+VLOOKUP($A25,'1.3.21-28.2.22'!$A$6:$DA$404,60,FALSE)-VLOOKUP($A25,'01-02.2022'!$A$6:$DA$376,60,FALSE)</f>
        <v>0</v>
      </c>
      <c r="BI25" s="566">
        <f>VLOOKUP($A25,'01-02.2021'!$A$6:$CZ$403,61,FALSE)+VLOOKUP($A25,'1.3.21-28.2.22'!$A$6:$DA$404,61,FALSE)-VLOOKUP($A25,'01-02.2022'!$A$6:$DA$376,61,FALSE)</f>
        <v>0</v>
      </c>
      <c r="BJ25" s="55">
        <f t="shared" si="51"/>
        <v>0</v>
      </c>
      <c r="BK25" s="566">
        <f>VLOOKUP($A25,'01-02.2021'!$A$6:$CZ$403,63,FALSE)+VLOOKUP($A25,'1.3.21-28.2.22'!$A$6:$DA$404,63,FALSE)-VLOOKUP($A25,'01-02.2022'!$A$6:$DA$376,63,FALSE)</f>
        <v>1012.2128323286353</v>
      </c>
      <c r="BL25" s="566">
        <f>VLOOKUP($A25,'01-02.2021'!$A$6:$CZ$403,64,FALSE)+VLOOKUP($A25,'1.3.21-28.2.22'!$A$6:$DA$404,64,FALSE)-VLOOKUP($A25,'01-02.2022'!$A$6:$DA$376,64,FALSE)</f>
        <v>1175</v>
      </c>
      <c r="BM25" s="55">
        <f t="shared" si="52"/>
        <v>162.78716767136473</v>
      </c>
      <c r="BN25" s="566">
        <f>VLOOKUP($A25,'01-02.2021'!$A$6:$CZ$403,66,FALSE)+VLOOKUP($A25,'1.3.21-28.2.22'!$A$6:$DA$404,66,FALSE)-VLOOKUP($A25,'01-02.2022'!$A$6:$DA$376,66,FALSE)</f>
        <v>70.656500000000008</v>
      </c>
      <c r="BO25" s="566">
        <f>VLOOKUP($A25,'01-02.2021'!$A$6:$CZ$403,67,FALSE)+VLOOKUP($A25,'1.3.21-28.2.22'!$A$6:$DA$404,67,FALSE)-VLOOKUP($A25,'01-02.2022'!$A$6:$DA$376,67,FALSE)</f>
        <v>0</v>
      </c>
      <c r="BP25" s="55">
        <f t="shared" si="53"/>
        <v>-70.656500000000008</v>
      </c>
      <c r="BQ25" s="77">
        <f t="shared" si="25"/>
        <v>5508.465158846172</v>
      </c>
      <c r="BR25" s="40">
        <f t="shared" si="26"/>
        <v>4597</v>
      </c>
      <c r="BS25" s="55">
        <f t="shared" si="70"/>
        <v>-911.46515884617202</v>
      </c>
      <c r="BT25" s="566">
        <f>VLOOKUP($A25,'01-02.2021'!$A$6:$CZ$403,72,FALSE)+VLOOKUP($A25,'1.3.21-28.2.22'!$A$6:$DA$404,72,FALSE)-VLOOKUP($A25,'01-02.2022'!$A$6:$DA$376,72,FALSE)</f>
        <v>11344.85719256182</v>
      </c>
      <c r="BU25" s="566">
        <f>VLOOKUP($A25,'01-02.2021'!$A$6:$CZ$403,73,FALSE)+VLOOKUP($A25,'1.3.21-28.2.22'!$A$6:$DA$404,73,FALSE)-VLOOKUP($A25,'01-02.2022'!$A$6:$DA$376,73,FALSE)</f>
        <v>12572.965957807906</v>
      </c>
      <c r="BV25" s="70">
        <f t="shared" si="54"/>
        <v>1228.1087652460865</v>
      </c>
      <c r="BW25" s="566">
        <f>VLOOKUP($A25,'01-02.2021'!$A$6:$CZ$403,75,FALSE)+VLOOKUP($A25,'1.3.21-28.2.22'!$A$6:$DA$404,75,FALSE)-VLOOKUP($A25,'01-02.2022'!$A$6:$DA$376,75,FALSE)</f>
        <v>11400.105372531203</v>
      </c>
      <c r="BX25" s="566">
        <f>VLOOKUP($A25,'01-02.2021'!$A$6:$CZ$403,76,FALSE)+VLOOKUP($A25,'1.3.21-28.2.22'!$A$6:$DA$404,76,FALSE)-VLOOKUP($A25,'01-02.2022'!$A$6:$DA$376,76,FALSE)</f>
        <v>11618.368220495089</v>
      </c>
      <c r="BY25" s="70">
        <f t="shared" si="55"/>
        <v>218.26284796388609</v>
      </c>
      <c r="BZ25" s="566">
        <f>VLOOKUP($A25,'01-02.2021'!$A$6:$CZ$403,78,FALSE)+VLOOKUP($A25,'1.3.21-28.2.22'!$A$6:$DA$404,78,FALSE)-VLOOKUP($A25,'01-02.2022'!$A$6:$DA$376,78,FALSE)</f>
        <v>4990.5813743574708</v>
      </c>
      <c r="CA25" s="566">
        <f>VLOOKUP($A25,'01-02.2021'!$A$6:$CZ$403,79,FALSE)+VLOOKUP($A25,'1.3.21-28.2.22'!$A$6:$DA$404,79,FALSE)-VLOOKUP($A25,'01-02.2022'!$A$6:$DA$376,79,FALSE)</f>
        <v>3455.0650926085286</v>
      </c>
      <c r="CB25" s="70">
        <f t="shared" si="56"/>
        <v>-1535.5162817489422</v>
      </c>
      <c r="CC25" s="566">
        <f>VLOOKUP($A25,'01-02.2021'!$A$6:$CZ$403,81,FALSE)+VLOOKUP($A25,'1.3.21-28.2.22'!$A$6:$DA$404,81,FALSE)-VLOOKUP($A25,'01-02.2022'!$A$6:$DA$376,81,FALSE)</f>
        <v>1786.7297956788079</v>
      </c>
      <c r="CD25" s="566">
        <f>VLOOKUP($A25,'01-02.2021'!$A$6:$CZ$403,82,FALSE)+VLOOKUP($A25,'1.3.21-28.2.22'!$A$6:$DA$404,82,FALSE)-VLOOKUP($A25,'01-02.2022'!$A$6:$DA$376,82,FALSE)</f>
        <v>1952.8831945016814</v>
      </c>
      <c r="CE25" s="70">
        <f t="shared" si="57"/>
        <v>166.15339882287344</v>
      </c>
      <c r="CF25" s="566">
        <f>VLOOKUP($A25,'01-02.2021'!$A$6:$CZ$403,84,FALSE)+VLOOKUP($A25,'1.3.21-28.2.22'!$A$6:$DA$404,84,FALSE)-VLOOKUP($A25,'01-02.2022'!$A$6:$DA$376,84,FALSE)</f>
        <v>217.21381162677079</v>
      </c>
      <c r="CG25" s="566">
        <f>VLOOKUP($A25,'01-02.2021'!$A$6:$CZ$403,85,FALSE)+VLOOKUP($A25,'1.3.21-28.2.22'!$A$6:$DA$404,85,FALSE)-VLOOKUP($A25,'01-02.2022'!$A$6:$DA$376,85,FALSE)</f>
        <v>0</v>
      </c>
      <c r="CH25" s="70">
        <f t="shared" si="58"/>
        <v>-217.21381162677079</v>
      </c>
      <c r="CI25" s="566">
        <f>VLOOKUP($A25,'01-02.2021'!$A$6:$CZ$403,87,FALSE)+VLOOKUP($A25,'1.3.21-28.2.22'!$A$6:$DA$404,87,FALSE)-VLOOKUP($A25,'01-02.2022'!$A$6:$DA$376,87,FALSE)</f>
        <v>3500.9885944320704</v>
      </c>
      <c r="CJ25" s="566">
        <f>VLOOKUP($A25,'01-02.2021'!$A$6:$CZ$403,88,FALSE)+VLOOKUP($A25,'1.3.21-28.2.22'!$A$6:$DA$404,88,FALSE)-VLOOKUP($A25,'01-02.2022'!$A$6:$DA$376,88,FALSE)</f>
        <v>2645.9428792985404</v>
      </c>
      <c r="CK25" s="70">
        <f t="shared" si="59"/>
        <v>-855.04571513352994</v>
      </c>
      <c r="CL25" s="566">
        <f>VLOOKUP($A25,'01-02.2021'!$A$6:$CZ$403,90,FALSE)+VLOOKUP($A25,'1.3.21-28.2.22'!$A$6:$DA$404,90,FALSE)-VLOOKUP($A25,'01-02.2022'!$A$6:$DA$376,90,FALSE)</f>
        <v>0</v>
      </c>
      <c r="CM25" s="566">
        <f>VLOOKUP($A25,'01-02.2021'!$A$6:$CZ$403,91,FALSE)+VLOOKUP($A25,'1.3.21-28.2.22'!$A$6:$DA$404,91,FALSE)-VLOOKUP($A25,'01-02.2022'!$A$6:$DA$376,91,FALSE)</f>
        <v>0</v>
      </c>
      <c r="CN25" s="52">
        <f t="shared" si="60"/>
        <v>0</v>
      </c>
      <c r="CO25" s="39">
        <f t="shared" si="27"/>
        <v>3500.9885944320704</v>
      </c>
      <c r="CP25" s="40">
        <f t="shared" si="61"/>
        <v>2645.9428792985404</v>
      </c>
      <c r="CQ25" s="52">
        <f t="shared" si="62"/>
        <v>-855.04571513352994</v>
      </c>
      <c r="CR25" s="72">
        <f t="shared" si="28"/>
        <v>78980.274118861576</v>
      </c>
      <c r="CS25" s="5">
        <f t="shared" si="28"/>
        <v>77658.72839697708</v>
      </c>
      <c r="CT25" s="52">
        <f t="shared" si="63"/>
        <v>-1321.5457218844967</v>
      </c>
      <c r="CU25" s="77">
        <f t="shared" si="64"/>
        <v>94776.328942633889</v>
      </c>
      <c r="CV25" s="65">
        <f t="shared" si="65"/>
        <v>93190.474076372499</v>
      </c>
      <c r="CW25" s="35">
        <f t="shared" si="66"/>
        <v>-1585.8548662613903</v>
      </c>
      <c r="CX25" s="566">
        <f>VLOOKUP($A25,'01-02.2021'!$A$6:$CZ$403,102,FALSE)+VLOOKUP($A25,'1.3.21-28.2.22'!$A$6:$DA$404,102,FALSE)-VLOOKUP($A25,'01-02.2022'!$A$6:$DA$376,102,FALSE)</f>
        <v>2671.3112078994955</v>
      </c>
      <c r="CY25" s="566">
        <f>VLOOKUP($A25,'01-02.2021'!$A$6:$CZ$403,103,FALSE)+VLOOKUP($A25,'1.3.21-28.2.22'!$A$6:$DA$404,103,FALSE)-VLOOKUP($A25,'01-02.2022'!$A$6:$DA$376,103,FALSE)</f>
        <v>4257.166074160883</v>
      </c>
      <c r="CZ25" s="52">
        <f t="shared" si="67"/>
        <v>1585.8548662613875</v>
      </c>
      <c r="DA25" s="150">
        <f>'[2]побудинковий звіт'!DA25</f>
        <v>-12442.525089854615</v>
      </c>
      <c r="DB25" s="2">
        <v>2</v>
      </c>
      <c r="DC25" s="414">
        <f>'[4]побудинковий звіт'!DC25</f>
        <v>8501.5300000000007</v>
      </c>
      <c r="DD25" s="414">
        <f>'[4]побудинковий звіт'!DD25</f>
        <v>12603.650000000001</v>
      </c>
      <c r="DE25" s="557">
        <f>'[4]побудинковий звіт'!DE25</f>
        <v>1310.0054340239012</v>
      </c>
      <c r="DF25" s="557">
        <f>'[4]побудинковий звіт'!DF25</f>
        <v>10874.173646077397</v>
      </c>
      <c r="DG25" s="321">
        <f>VLOOKUP(A25,'кошти 01.03.2021'!$A$6:$D$401,4,)</f>
        <v>-5408.8866834337095</v>
      </c>
      <c r="DH25" s="40">
        <f>'[3]побудинковий звіт'!DJ25</f>
        <v>101238.6161943945</v>
      </c>
      <c r="DI25" s="422">
        <f>'[3]побудинковий звіт'!CU25+'[3]побудинковий звіт'!CX25</f>
        <v>8921.0009198987045</v>
      </c>
      <c r="DJ25" s="306">
        <f>'[3]побудинковий звіт'!DM25</f>
        <v>6.3478899867385463</v>
      </c>
      <c r="DK25" s="306">
        <f t="shared" si="73"/>
        <v>6.3478899867385463</v>
      </c>
      <c r="DL25" s="306">
        <f>'[3]побудинковий звіт'!DO25</f>
        <v>5.1376180195544219</v>
      </c>
      <c r="DM25" s="28">
        <f t="shared" si="74"/>
        <v>7191.5245659760994</v>
      </c>
      <c r="DN25" s="28">
        <f t="shared" si="75"/>
        <v>1729.4763539226051</v>
      </c>
      <c r="DO25" s="423">
        <f t="shared" si="29"/>
        <v>8921.0009198987045</v>
      </c>
      <c r="DP25" s="94">
        <f t="shared" si="30"/>
        <v>0</v>
      </c>
      <c r="DQ25" s="28">
        <f t="shared" si="31"/>
        <v>8921.0009198987045</v>
      </c>
      <c r="DR25" s="318"/>
      <c r="DT25" s="8"/>
      <c r="DU25" s="5"/>
      <c r="DX25" s="5">
        <f t="shared" si="32"/>
        <v>27884.342167281076</v>
      </c>
      <c r="DY25" s="5">
        <f t="shared" si="33"/>
        <v>27959.484</v>
      </c>
      <c r="DZ25" s="159">
        <f>'[3]побудинковий звіт'!EA25</f>
        <v>2617.8887280929371</v>
      </c>
    </row>
    <row r="26" spans="1:130" x14ac:dyDescent="0.3">
      <c r="A26" s="325">
        <v>150000991</v>
      </c>
      <c r="B26" s="41" t="s">
        <v>475</v>
      </c>
      <c r="C26" s="42" t="s">
        <v>342</v>
      </c>
      <c r="D26" s="42"/>
      <c r="E26" s="293">
        <f t="shared" si="23"/>
        <v>4082.7</v>
      </c>
      <c r="F26" s="305">
        <f>'[3]побудинковий звіт'!F26</f>
        <v>4082.7</v>
      </c>
      <c r="G26" s="508">
        <f>'[3]побудинковий звіт'!G26</f>
        <v>442.1</v>
      </c>
      <c r="H26" s="560">
        <f>'[3]побудинковий звіт'!H26</f>
        <v>0</v>
      </c>
      <c r="I26" s="566">
        <f>VLOOKUP($A26,'01-02.2021'!$A$6:$CZ$403,9,FALSE)+VLOOKUP($A26,'1.3.21-28.2.22'!$A$6:$DA$404,9,FALSE)-VLOOKUP($A26,'01-02.2022'!$A$6:$DA$376,9,FALSE)</f>
        <v>9916.6874510480666</v>
      </c>
      <c r="J26" s="566">
        <f>VLOOKUP($A26,'01-02.2021'!$A$6:$CZ$403,10,FALSE)+VLOOKUP($A26,'1.3.21-28.2.22'!$A$6:$DA$404,10,FALSE)-VLOOKUP($A26,'01-02.2022'!$A$6:$DA$376,10,FALSE)</f>
        <v>10834.293598616436</v>
      </c>
      <c r="K26" s="52">
        <f t="shared" si="34"/>
        <v>917.60614756836912</v>
      </c>
      <c r="L26" s="566">
        <f>VLOOKUP($A26,'01-02.2021'!$A$6:$CZ$403,12,FALSE)+VLOOKUP($A26,'1.3.21-28.2.22'!$A$6:$DA$404,12,FALSE)-VLOOKUP($A26,'01-02.2022'!$A$6:$DA$376,12,FALSE)</f>
        <v>1573.7100025880711</v>
      </c>
      <c r="M26" s="566">
        <f>VLOOKUP($A26,'01-02.2021'!$A$6:$CZ$403,13,FALSE)+VLOOKUP($A26,'1.3.21-28.2.22'!$A$6:$DA$404,13,FALSE)-VLOOKUP($A26,'01-02.2022'!$A$6:$DA$376,13,FALSE)</f>
        <v>1782.6144617748305</v>
      </c>
      <c r="N26" s="52">
        <f t="shared" si="35"/>
        <v>208.90445918675937</v>
      </c>
      <c r="O26" s="566">
        <f>VLOOKUP($A26,'01-02.2021'!$A$6:$CZ$403,15,FALSE)+VLOOKUP($A26,'1.3.21-28.2.22'!$A$6:$DA$404,15,FALSE)-VLOOKUP($A26,'01-02.2022'!$A$6:$DA$376,15,FALSE)</f>
        <v>3020.7113133853254</v>
      </c>
      <c r="P26" s="566">
        <f>VLOOKUP($A26,'01-02.2021'!$A$6:$CZ$403,16,FALSE)+VLOOKUP($A26,'1.3.21-28.2.22'!$A$6:$DA$404,16,FALSE)-VLOOKUP($A26,'01-02.2022'!$A$6:$DA$376,16,FALSE)</f>
        <v>3369.5299999999997</v>
      </c>
      <c r="Q26" s="70">
        <f t="shared" si="36"/>
        <v>348.81868661467433</v>
      </c>
      <c r="R26" s="566">
        <f>VLOOKUP($A26,'01-02.2021'!$A$6:$CZ$403,18,FALSE)+VLOOKUP($A26,'1.3.21-28.2.22'!$A$6:$DA$404,18,FALSE)-VLOOKUP($A26,'01-02.2022'!$A$6:$DA$376,18,FALSE)</f>
        <v>703.32834437882502</v>
      </c>
      <c r="S26" s="566">
        <f>VLOOKUP($A26,'01-02.2021'!$A$6:$CZ$403,19,FALSE)+VLOOKUP($A26,'1.3.21-28.2.22'!$A$6:$DA$404,19,FALSE)-VLOOKUP($A26,'01-02.2022'!$A$6:$DA$376,19,FALSE)</f>
        <v>785.31333333333293</v>
      </c>
      <c r="T26" s="70">
        <f t="shared" si="37"/>
        <v>81.984988954507912</v>
      </c>
      <c r="U26" s="566">
        <f>VLOOKUP($A26,'01-02.2021'!$A$6:$CZ$403,21,FALSE)+VLOOKUP($A26,'1.3.21-28.2.22'!$A$6:$DA$404,21,FALSE)-VLOOKUP($A26,'01-02.2022'!$A$6:$DA$376,21,FALSE)</f>
        <v>593.25320474304408</v>
      </c>
      <c r="V26" s="566">
        <f>VLOOKUP($A26,'01-02.2021'!$A$6:$CZ$403,22,FALSE)+VLOOKUP($A26,'1.3.21-28.2.22'!$A$6:$DA$404,22,FALSE)-VLOOKUP($A26,'01-02.2022'!$A$6:$DA$376,22,FALSE)</f>
        <v>609.65382050933795</v>
      </c>
      <c r="W26" s="70">
        <f t="shared" si="38"/>
        <v>16.400615766293868</v>
      </c>
      <c r="X26" s="566">
        <f>VLOOKUP($A26,'01-02.2021'!$A$6:$CZ$403,24,FALSE)+VLOOKUP($A26,'1.3.21-28.2.22'!$A$6:$DA$404,24,FALSE)-VLOOKUP($A26,'01-02.2022'!$A$6:$DA$376,24,FALSE)</f>
        <v>6307.3788759748004</v>
      </c>
      <c r="Y26" s="566">
        <f>VLOOKUP($A26,'01-02.2021'!$A$6:$CZ$403,25,FALSE)+VLOOKUP($A26,'1.3.21-28.2.22'!$A$6:$DA$404,25,FALSE)-VLOOKUP($A26,'01-02.2022'!$A$6:$DA$376,25,FALSE)</f>
        <v>6066.9529068974407</v>
      </c>
      <c r="Z26" s="70">
        <f t="shared" si="39"/>
        <v>-240.4259690773597</v>
      </c>
      <c r="AA26" s="566">
        <f>VLOOKUP($A26,'01-02.2021'!$A$6:$CZ$403,27,FALSE)+VLOOKUP($A26,'1.3.21-28.2.22'!$A$6:$DA$404,27,FALSE)-VLOOKUP($A26,'01-02.2022'!$A$6:$DA$376,27,FALSE)</f>
        <v>407.94000000000005</v>
      </c>
      <c r="AB26" s="566">
        <f>VLOOKUP($A26,'01-02.2021'!$A$6:$CZ$403,28,FALSE)+VLOOKUP($A26,'1.3.21-28.2.22'!$A$6:$DA$404,28,FALSE)-VLOOKUP($A26,'01-02.2022'!$A$6:$DA$376,28,FALSE)</f>
        <v>0</v>
      </c>
      <c r="AC26" s="70">
        <f t="shared" si="40"/>
        <v>-407.94000000000005</v>
      </c>
      <c r="AD26" s="566">
        <f>VLOOKUP($A26,'01-02.2021'!$A$6:$CZ$403,30,FALSE)+VLOOKUP($A26,'1.3.21-28.2.22'!$A$6:$DA$404,30,FALSE)-VLOOKUP($A26,'01-02.2022'!$A$6:$DA$376,30,FALSE)</f>
        <v>15406.795371172413</v>
      </c>
      <c r="AE26" s="566">
        <f>VLOOKUP($A26,'01-02.2021'!$A$6:$CZ$403,31,FALSE)+VLOOKUP($A26,'1.3.21-28.2.22'!$A$6:$DA$404,31,FALSE)-VLOOKUP($A26,'01-02.2022'!$A$6:$DA$376,31,FALSE)</f>
        <v>18584.614901170527</v>
      </c>
      <c r="AF26" s="68">
        <f t="shared" si="41"/>
        <v>3177.8195299981144</v>
      </c>
      <c r="AG26" s="77">
        <f t="shared" si="24"/>
        <v>37929.804563290549</v>
      </c>
      <c r="AH26" s="53">
        <f t="shared" si="24"/>
        <v>42032.9730223019</v>
      </c>
      <c r="AI26" s="52">
        <f t="shared" si="42"/>
        <v>4103.1684590113509</v>
      </c>
      <c r="AJ26" s="566">
        <f>VLOOKUP($A26,'01-02.2021'!$A$6:$CZ$403,36,FALSE)+VLOOKUP($A26,'1.3.21-28.2.22'!$A$6:$DA$404,36,FALSE)-VLOOKUP($A26,'01-02.2022'!$A$6:$DA$376,36,FALSE)</f>
        <v>29811.307825499294</v>
      </c>
      <c r="AK26" s="566">
        <f>VLOOKUP($A26,'01-02.2021'!$A$6:$CZ$403,37,FALSE)+VLOOKUP($A26,'1.3.21-28.2.22'!$A$6:$DA$404,37,FALSE)-VLOOKUP($A26,'01-02.2022'!$A$6:$DA$376,37,FALSE)</f>
        <v>31055.851710226278</v>
      </c>
      <c r="AL26" s="70">
        <f t="shared" si="43"/>
        <v>1244.5438847269834</v>
      </c>
      <c r="AM26" s="566">
        <f>VLOOKUP($A26,'01-02.2021'!$A$6:$CZ$403,39,FALSE)+VLOOKUP($A26,'1.3.21-28.2.22'!$A$6:$DA$404,39,FALSE)-VLOOKUP($A26,'01-02.2022'!$A$6:$DA$376,39,FALSE)</f>
        <v>525.37471249999999</v>
      </c>
      <c r="AN26" s="566">
        <f>VLOOKUP($A26,'01-02.2021'!$A$6:$CZ$403,40,FALSE)+VLOOKUP($A26,'1.3.21-28.2.22'!$A$6:$DA$404,40,FALSE)-VLOOKUP($A26,'01-02.2022'!$A$6:$DA$376,40,FALSE)</f>
        <v>0</v>
      </c>
      <c r="AO26" s="70">
        <f t="shared" si="44"/>
        <v>-525.37471249999999</v>
      </c>
      <c r="AP26" s="566">
        <f>VLOOKUP($A26,'01-02.2021'!$A$6:$CZ$403,42,FALSE)+VLOOKUP($A26,'1.3.21-28.2.22'!$A$6:$DA$404,42,FALSE)-VLOOKUP($A26,'01-02.2022'!$A$6:$DA$376,42,FALSE)</f>
        <v>2856.869662557498</v>
      </c>
      <c r="AQ26" s="566">
        <f>VLOOKUP($A26,'01-02.2021'!$A$6:$CZ$403,43,FALSE)+VLOOKUP($A26,'1.3.21-28.2.22'!$A$6:$DA$404,43,FALSE)-VLOOKUP($A26,'01-02.2022'!$A$6:$DA$376,43,FALSE)</f>
        <v>4078.576292240451</v>
      </c>
      <c r="AR26" s="70">
        <f t="shared" si="45"/>
        <v>1221.706629682953</v>
      </c>
      <c r="AS26" s="566">
        <f>VLOOKUP($A26,'01-02.2021'!$A$6:$CZ$403,45,FALSE)+VLOOKUP($A26,'1.3.21-28.2.22'!$A$6:$DA$404,45,FALSE)-VLOOKUP($A26,'01-02.2022'!$A$6:$DA$376,45,FALSE)</f>
        <v>46823.435358640127</v>
      </c>
      <c r="AT26" s="566">
        <f>VLOOKUP($A26,'01-02.2021'!$A$6:$CZ$403,46,FALSE)+VLOOKUP($A26,'1.3.21-28.2.22'!$A$6:$DA$404,46,FALSE)-VLOOKUP($A26,'01-02.2022'!$A$6:$DA$376,46,FALSE)</f>
        <v>13813</v>
      </c>
      <c r="AU26" s="78">
        <f t="shared" si="46"/>
        <v>-33010.435358640127</v>
      </c>
      <c r="AV26" s="566">
        <f>VLOOKUP($A26,'01-02.2021'!$A$6:$CZ$403,48,FALSE)+VLOOKUP($A26,'1.3.21-28.2.22'!$A$6:$DA$404,48,FALSE)-VLOOKUP($A26,'01-02.2022'!$A$6:$DA$376,48,FALSE)</f>
        <v>1664.9736374660038</v>
      </c>
      <c r="AW26" s="566">
        <f>VLOOKUP($A26,'01-02.2021'!$A$6:$CZ$403,49,FALSE)+VLOOKUP($A26,'1.3.21-28.2.22'!$A$6:$DA$404,49,FALSE)-VLOOKUP($A26,'01-02.2022'!$A$6:$DA$376,49,FALSE)</f>
        <v>71</v>
      </c>
      <c r="AX26" s="55">
        <f t="shared" si="47"/>
        <v>-1593.9736374660038</v>
      </c>
      <c r="AY26" s="566">
        <f>VLOOKUP($A26,'01-02.2021'!$A$6:$CZ$403,51,FALSE)+VLOOKUP($A26,'1.3.21-28.2.22'!$A$6:$DA$404,51,FALSE)-VLOOKUP($A26,'01-02.2022'!$A$6:$DA$376,51,FALSE)</f>
        <v>1704.5462302650769</v>
      </c>
      <c r="AZ26" s="566">
        <f>VLOOKUP($A26,'01-02.2021'!$A$6:$CZ$403,52,FALSE)+VLOOKUP($A26,'1.3.21-28.2.22'!$A$6:$DA$404,52,FALSE)-VLOOKUP($A26,'01-02.2022'!$A$6:$DA$376,52,FALSE)</f>
        <v>4001</v>
      </c>
      <c r="BA26" s="38">
        <f t="shared" si="48"/>
        <v>2296.4537697349233</v>
      </c>
      <c r="BB26" s="566">
        <f>VLOOKUP($A26,'01-02.2021'!$A$6:$CZ$403,54,FALSE)+VLOOKUP($A26,'1.3.21-28.2.22'!$A$6:$DA$404,54,FALSE)-VLOOKUP($A26,'01-02.2022'!$A$6:$DA$376,54,FALSE)</f>
        <v>805.81143578270996</v>
      </c>
      <c r="BC26" s="566">
        <f>VLOOKUP($A26,'01-02.2021'!$A$6:$CZ$403,55,FALSE)+VLOOKUP($A26,'1.3.21-28.2.22'!$A$6:$DA$404,55,FALSE)-VLOOKUP($A26,'01-02.2022'!$A$6:$DA$376,55,FALSE)</f>
        <v>0</v>
      </c>
      <c r="BD26" s="55">
        <f t="shared" si="49"/>
        <v>-805.81143578270996</v>
      </c>
      <c r="BE26" s="566">
        <f>VLOOKUP($A26,'01-02.2021'!$A$6:$CZ$403,57,FALSE)+VLOOKUP($A26,'1.3.21-28.2.22'!$A$6:$DA$404,57,FALSE)-VLOOKUP($A26,'01-02.2022'!$A$6:$DA$376,57,FALSE)</f>
        <v>1121.0222872712807</v>
      </c>
      <c r="BF26" s="566">
        <f>VLOOKUP($A26,'01-02.2021'!$A$6:$CZ$403,58,FALSE)+VLOOKUP($A26,'1.3.21-28.2.22'!$A$6:$DA$404,58,FALSE)-VLOOKUP($A26,'01-02.2022'!$A$6:$DA$376,58,FALSE)</f>
        <v>4424</v>
      </c>
      <c r="BG26" s="55">
        <f t="shared" si="50"/>
        <v>3302.9777127287193</v>
      </c>
      <c r="BH26" s="566">
        <f>VLOOKUP($A26,'01-02.2021'!$A$6:$CZ$403,60,FALSE)+VLOOKUP($A26,'1.3.21-28.2.22'!$A$6:$DA$404,60,FALSE)-VLOOKUP($A26,'01-02.2022'!$A$6:$DA$376,60,FALSE)</f>
        <v>753.32403471832754</v>
      </c>
      <c r="BI26" s="566">
        <f>VLOOKUP($A26,'01-02.2021'!$A$6:$CZ$403,61,FALSE)+VLOOKUP($A26,'1.3.21-28.2.22'!$A$6:$DA$404,61,FALSE)-VLOOKUP($A26,'01-02.2022'!$A$6:$DA$376,61,FALSE)</f>
        <v>31.5</v>
      </c>
      <c r="BJ26" s="55">
        <f t="shared" si="51"/>
        <v>-721.82403471832754</v>
      </c>
      <c r="BK26" s="566">
        <f>VLOOKUP($A26,'01-02.2021'!$A$6:$CZ$403,63,FALSE)+VLOOKUP($A26,'1.3.21-28.2.22'!$A$6:$DA$404,63,FALSE)-VLOOKUP($A26,'01-02.2022'!$A$6:$DA$376,63,FALSE)</f>
        <v>1417.8697923706632</v>
      </c>
      <c r="BL26" s="566">
        <f>VLOOKUP($A26,'01-02.2021'!$A$6:$CZ$403,64,FALSE)+VLOOKUP($A26,'1.3.21-28.2.22'!$A$6:$DA$404,64,FALSE)-VLOOKUP($A26,'01-02.2022'!$A$6:$DA$376,64,FALSE)</f>
        <v>0</v>
      </c>
      <c r="BM26" s="55">
        <f t="shared" si="52"/>
        <v>-1417.8697923706632</v>
      </c>
      <c r="BN26" s="566">
        <f>VLOOKUP($A26,'01-02.2021'!$A$6:$CZ$403,66,FALSE)+VLOOKUP($A26,'1.3.21-28.2.22'!$A$6:$DA$404,66,FALSE)-VLOOKUP($A26,'01-02.2022'!$A$6:$DA$376,66,FALSE)</f>
        <v>101.98500000000001</v>
      </c>
      <c r="BO26" s="566">
        <f>VLOOKUP($A26,'01-02.2021'!$A$6:$CZ$403,67,FALSE)+VLOOKUP($A26,'1.3.21-28.2.22'!$A$6:$DA$404,67,FALSE)-VLOOKUP($A26,'01-02.2022'!$A$6:$DA$376,67,FALSE)</f>
        <v>0</v>
      </c>
      <c r="BP26" s="55">
        <f t="shared" si="53"/>
        <v>-101.98500000000001</v>
      </c>
      <c r="BQ26" s="77">
        <f t="shared" si="25"/>
        <v>7569.5324178740611</v>
      </c>
      <c r="BR26" s="40">
        <f t="shared" si="26"/>
        <v>8527.5</v>
      </c>
      <c r="BS26" s="55">
        <f t="shared" si="70"/>
        <v>957.96758212593886</v>
      </c>
      <c r="BT26" s="566">
        <f>VLOOKUP($A26,'01-02.2021'!$A$6:$CZ$403,72,FALSE)+VLOOKUP($A26,'1.3.21-28.2.22'!$A$6:$DA$404,72,FALSE)-VLOOKUP($A26,'01-02.2022'!$A$6:$DA$376,72,FALSE)</f>
        <v>56092.202279647201</v>
      </c>
      <c r="BU26" s="566">
        <f>VLOOKUP($A26,'01-02.2021'!$A$6:$CZ$403,73,FALSE)+VLOOKUP($A26,'1.3.21-28.2.22'!$A$6:$DA$404,73,FALSE)-VLOOKUP($A26,'01-02.2022'!$A$6:$DA$376,73,FALSE)</f>
        <v>22230.956391998912</v>
      </c>
      <c r="BV26" s="70">
        <f t="shared" si="54"/>
        <v>-33861.245887648285</v>
      </c>
      <c r="BW26" s="566">
        <f>VLOOKUP($A26,'01-02.2021'!$A$6:$CZ$403,75,FALSE)+VLOOKUP($A26,'1.3.21-28.2.22'!$A$6:$DA$404,75,FALSE)-VLOOKUP($A26,'01-02.2022'!$A$6:$DA$376,75,FALSE)</f>
        <v>23774.307098227146</v>
      </c>
      <c r="BX26" s="566">
        <f>VLOOKUP($A26,'01-02.2021'!$A$6:$CZ$403,76,FALSE)+VLOOKUP($A26,'1.3.21-28.2.22'!$A$6:$DA$404,76,FALSE)-VLOOKUP($A26,'01-02.2022'!$A$6:$DA$376,76,FALSE)</f>
        <v>11213.291677750984</v>
      </c>
      <c r="BY26" s="70">
        <f t="shared" si="55"/>
        <v>-12561.015420476162</v>
      </c>
      <c r="BZ26" s="566">
        <f>VLOOKUP($A26,'01-02.2021'!$A$6:$CZ$403,78,FALSE)+VLOOKUP($A26,'1.3.21-28.2.22'!$A$6:$DA$404,78,FALSE)-VLOOKUP($A26,'01-02.2022'!$A$6:$DA$376,78,FALSE)</f>
        <v>2776.879379206654</v>
      </c>
      <c r="CA26" s="566">
        <f>VLOOKUP($A26,'01-02.2021'!$A$6:$CZ$403,79,FALSE)+VLOOKUP($A26,'1.3.21-28.2.22'!$A$6:$DA$404,79,FALSE)-VLOOKUP($A26,'01-02.2022'!$A$6:$DA$376,79,FALSE)</f>
        <v>6003.4325496794718</v>
      </c>
      <c r="CB26" s="70">
        <f t="shared" si="56"/>
        <v>3226.5531704728178</v>
      </c>
      <c r="CC26" s="566">
        <f>VLOOKUP($A26,'01-02.2021'!$A$6:$CZ$403,81,FALSE)+VLOOKUP($A26,'1.3.21-28.2.22'!$A$6:$DA$404,81,FALSE)-VLOOKUP($A26,'01-02.2022'!$A$6:$DA$376,81,FALSE)</f>
        <v>1641.2858537204932</v>
      </c>
      <c r="CD26" s="566">
        <f>VLOOKUP($A26,'01-02.2021'!$A$6:$CZ$403,82,FALSE)+VLOOKUP($A26,'1.3.21-28.2.22'!$A$6:$DA$404,82,FALSE)-VLOOKUP($A26,'01-02.2022'!$A$6:$DA$376,82,FALSE)</f>
        <v>1780.6558275725349</v>
      </c>
      <c r="CE26" s="70">
        <f t="shared" si="57"/>
        <v>139.36997385204177</v>
      </c>
      <c r="CF26" s="566">
        <f>VLOOKUP($A26,'01-02.2021'!$A$6:$CZ$403,84,FALSE)+VLOOKUP($A26,'1.3.21-28.2.22'!$A$6:$DA$404,84,FALSE)-VLOOKUP($A26,'01-02.2022'!$A$6:$DA$376,84,FALSE)</f>
        <v>181.35145036035908</v>
      </c>
      <c r="CG26" s="566">
        <f>VLOOKUP($A26,'01-02.2021'!$A$6:$CZ$403,85,FALSE)+VLOOKUP($A26,'1.3.21-28.2.22'!$A$6:$DA$404,85,FALSE)-VLOOKUP($A26,'01-02.2022'!$A$6:$DA$376,85,FALSE)</f>
        <v>0</v>
      </c>
      <c r="CH26" s="70">
        <f t="shared" si="58"/>
        <v>-181.35145036035908</v>
      </c>
      <c r="CI26" s="566">
        <f>VLOOKUP($A26,'01-02.2021'!$A$6:$CZ$403,87,FALSE)+VLOOKUP($A26,'1.3.21-28.2.22'!$A$6:$DA$404,87,FALSE)-VLOOKUP($A26,'01-02.2022'!$A$6:$DA$376,87,FALSE)</f>
        <v>14843.539307120673</v>
      </c>
      <c r="CJ26" s="566">
        <f>VLOOKUP($A26,'01-02.2021'!$A$6:$CZ$403,88,FALSE)+VLOOKUP($A26,'1.3.21-28.2.22'!$A$6:$DA$404,88,FALSE)-VLOOKUP($A26,'01-02.2022'!$A$6:$DA$376,88,FALSE)</f>
        <v>14408.138511038898</v>
      </c>
      <c r="CK26" s="70">
        <f t="shared" si="59"/>
        <v>-435.40079608177439</v>
      </c>
      <c r="CL26" s="566">
        <f>VLOOKUP($A26,'01-02.2021'!$A$6:$CZ$403,90,FALSE)+VLOOKUP($A26,'1.3.21-28.2.22'!$A$6:$DA$404,90,FALSE)-VLOOKUP($A26,'01-02.2022'!$A$6:$DA$376,90,FALSE)</f>
        <v>13140.619728031557</v>
      </c>
      <c r="CM26" s="566">
        <f>VLOOKUP($A26,'01-02.2021'!$A$6:$CZ$403,91,FALSE)+VLOOKUP($A26,'1.3.21-28.2.22'!$A$6:$DA$404,91,FALSE)-VLOOKUP($A26,'01-02.2022'!$A$6:$DA$376,91,FALSE)</f>
        <v>19765.428141560333</v>
      </c>
      <c r="CN26" s="52">
        <f t="shared" si="60"/>
        <v>6624.8084135287754</v>
      </c>
      <c r="CO26" s="39">
        <f t="shared" si="27"/>
        <v>27984.159035152232</v>
      </c>
      <c r="CP26" s="40">
        <f t="shared" si="61"/>
        <v>34173.566652599227</v>
      </c>
      <c r="CQ26" s="52">
        <f t="shared" si="62"/>
        <v>6189.4076174469956</v>
      </c>
      <c r="CR26" s="72">
        <f t="shared" si="28"/>
        <v>237966.50963667559</v>
      </c>
      <c r="CS26" s="5">
        <f t="shared" si="28"/>
        <v>174909.80412436978</v>
      </c>
      <c r="CT26" s="52">
        <f t="shared" si="63"/>
        <v>-63056.705512305809</v>
      </c>
      <c r="CU26" s="77">
        <f t="shared" si="64"/>
        <v>285559.81156401068</v>
      </c>
      <c r="CV26" s="65">
        <f t="shared" si="65"/>
        <v>209891.76494924372</v>
      </c>
      <c r="CW26" s="35">
        <f t="shared" si="66"/>
        <v>-75668.046614766965</v>
      </c>
      <c r="CX26" s="566">
        <f>VLOOKUP($A26,'01-02.2021'!$A$6:$CZ$403,102,FALSE)+VLOOKUP($A26,'1.3.21-28.2.22'!$A$6:$DA$404,102,FALSE)-VLOOKUP($A26,'01-02.2022'!$A$6:$DA$376,102,FALSE)</f>
        <v>6466.4476531270466</v>
      </c>
      <c r="CY26" s="566">
        <f>VLOOKUP($A26,'01-02.2021'!$A$6:$CZ$403,103,FALSE)+VLOOKUP($A26,'1.3.21-28.2.22'!$A$6:$DA$404,103,FALSE)-VLOOKUP($A26,'01-02.2022'!$A$6:$DA$376,103,FALSE)</f>
        <v>82134.494267894057</v>
      </c>
      <c r="CZ26" s="52">
        <f t="shared" si="67"/>
        <v>75668.046614767009</v>
      </c>
      <c r="DA26" s="150">
        <f>'[2]побудинковий звіт'!DA26</f>
        <v>-92888.904494036542</v>
      </c>
      <c r="DB26" s="2">
        <v>3</v>
      </c>
      <c r="DC26" s="414">
        <f>'[4]побудинковий звіт'!DC26</f>
        <v>47766.89</v>
      </c>
      <c r="DD26" s="414">
        <f>'[4]побудинковий звіт'!DD26</f>
        <v>0</v>
      </c>
      <c r="DE26" s="557">
        <f>'[4]побудинковий звіт'!DE26</f>
        <v>20154.208569177863</v>
      </c>
      <c r="DF26" s="557">
        <f>'[4]побудинковий звіт'!DF26</f>
        <v>0</v>
      </c>
      <c r="DG26" s="321">
        <f>VLOOKUP(A26,'кошти 01.03.2021'!$A$6:$D$401,4,)</f>
        <v>-12468.84486578973</v>
      </c>
      <c r="DH26" s="40">
        <f>'[3]побудинковий звіт'!DJ26</f>
        <v>307613.39669005206</v>
      </c>
      <c r="DI26" s="422">
        <f>'[3]побудинковий звіт'!CU26+'[3]побудинковий звіт'!CX26</f>
        <v>27612.68143082214</v>
      </c>
      <c r="DJ26" s="306">
        <f>'[3]побудинковий звіт'!DM26</f>
        <v>5.5669406455463317</v>
      </c>
      <c r="DK26" s="306">
        <f>'[3]побудинковий звіт'!DN26</f>
        <v>6.9086241200423295</v>
      </c>
      <c r="DL26" s="306">
        <f>'[3]побудинковий звіт'!DO26</f>
        <v>4.9320505683068916</v>
      </c>
      <c r="DM26" s="28">
        <f>DJ26*G26+(F26-G26)*DK26</f>
        <v>27612.681430822136</v>
      </c>
      <c r="DN26" s="28">
        <f>DL26*H26</f>
        <v>0</v>
      </c>
      <c r="DO26" s="423">
        <f t="shared" si="29"/>
        <v>27612.681430822136</v>
      </c>
      <c r="DP26" s="94">
        <f t="shared" si="30"/>
        <v>0</v>
      </c>
      <c r="DQ26" s="28">
        <f t="shared" si="31"/>
        <v>27612.681430822136</v>
      </c>
      <c r="DR26" s="318"/>
      <c r="DT26" s="8"/>
      <c r="DU26" s="5"/>
      <c r="DX26" s="5">
        <f t="shared" si="32"/>
        <v>65271.561331817022</v>
      </c>
      <c r="DY26" s="5">
        <f t="shared" si="33"/>
        <v>26808.6</v>
      </c>
      <c r="DZ26" s="159">
        <f>'[3]побудинковий звіт'!EA26</f>
        <v>6391.732848699352</v>
      </c>
    </row>
    <row r="27" spans="1:130" x14ac:dyDescent="0.3">
      <c r="A27" s="325">
        <v>150000992</v>
      </c>
      <c r="B27" s="41" t="s">
        <v>476</v>
      </c>
      <c r="C27" s="42" t="s">
        <v>40</v>
      </c>
      <c r="D27" s="42"/>
      <c r="E27" s="293">
        <f t="shared" si="23"/>
        <v>263.39999999999998</v>
      </c>
      <c r="F27" s="305">
        <f>'[3]побудинковий звіт'!F27</f>
        <v>263.39999999999998</v>
      </c>
      <c r="G27" s="508">
        <f>'[3]побудинковий звіт'!G27</f>
        <v>0</v>
      </c>
      <c r="H27" s="560">
        <f>'[3]побудинковий звіт'!H27</f>
        <v>0</v>
      </c>
      <c r="I27" s="566">
        <f>VLOOKUP($A27,'01-02.2021'!$A$6:$CZ$403,9,FALSE)+VLOOKUP($A27,'1.3.21-28.2.22'!$A$6:$DA$404,9,FALSE)-VLOOKUP($A27,'01-02.2022'!$A$6:$DA$376,9,FALSE)</f>
        <v>0</v>
      </c>
      <c r="J27" s="566">
        <f>VLOOKUP($A27,'01-02.2021'!$A$6:$CZ$403,10,FALSE)+VLOOKUP($A27,'1.3.21-28.2.22'!$A$6:$DA$404,10,FALSE)-VLOOKUP($A27,'01-02.2022'!$A$6:$DA$376,10,FALSE)</f>
        <v>0</v>
      </c>
      <c r="K27" s="52">
        <f t="shared" si="34"/>
        <v>0</v>
      </c>
      <c r="L27" s="566">
        <f>VLOOKUP($A27,'01-02.2021'!$A$6:$CZ$403,12,FALSE)+VLOOKUP($A27,'1.3.21-28.2.22'!$A$6:$DA$404,12,FALSE)-VLOOKUP($A27,'01-02.2022'!$A$6:$DA$376,12,FALSE)</f>
        <v>0</v>
      </c>
      <c r="M27" s="566">
        <f>VLOOKUP($A27,'01-02.2021'!$A$6:$CZ$403,13,FALSE)+VLOOKUP($A27,'1.3.21-28.2.22'!$A$6:$DA$404,13,FALSE)-VLOOKUP($A27,'01-02.2022'!$A$6:$DA$376,13,FALSE)</f>
        <v>0</v>
      </c>
      <c r="N27" s="52">
        <f t="shared" si="35"/>
        <v>0</v>
      </c>
      <c r="O27" s="566">
        <f>VLOOKUP($A27,'01-02.2021'!$A$6:$CZ$403,15,FALSE)+VLOOKUP($A27,'1.3.21-28.2.22'!$A$6:$DA$404,15,FALSE)-VLOOKUP($A27,'01-02.2022'!$A$6:$DA$376,15,FALSE)</f>
        <v>0</v>
      </c>
      <c r="P27" s="566">
        <f>VLOOKUP($A27,'01-02.2021'!$A$6:$CZ$403,16,FALSE)+VLOOKUP($A27,'1.3.21-28.2.22'!$A$6:$DA$404,16,FALSE)-VLOOKUP($A27,'01-02.2022'!$A$6:$DA$376,16,FALSE)</f>
        <v>0</v>
      </c>
      <c r="Q27" s="70">
        <f t="shared" si="36"/>
        <v>0</v>
      </c>
      <c r="R27" s="566">
        <f>VLOOKUP($A27,'01-02.2021'!$A$6:$CZ$403,18,FALSE)+VLOOKUP($A27,'1.3.21-28.2.22'!$A$6:$DA$404,18,FALSE)-VLOOKUP($A27,'01-02.2022'!$A$6:$DA$376,18,FALSE)</f>
        <v>0</v>
      </c>
      <c r="S27" s="566">
        <f>VLOOKUP($A27,'01-02.2021'!$A$6:$CZ$403,19,FALSE)+VLOOKUP($A27,'1.3.21-28.2.22'!$A$6:$DA$404,19,FALSE)-VLOOKUP($A27,'01-02.2022'!$A$6:$DA$376,19,FALSE)</f>
        <v>0</v>
      </c>
      <c r="T27" s="70">
        <f t="shared" si="37"/>
        <v>0</v>
      </c>
      <c r="U27" s="566">
        <f>VLOOKUP($A27,'01-02.2021'!$A$6:$CZ$403,21,FALSE)+VLOOKUP($A27,'1.3.21-28.2.22'!$A$6:$DA$404,21,FALSE)-VLOOKUP($A27,'01-02.2022'!$A$6:$DA$376,21,FALSE)</f>
        <v>0</v>
      </c>
      <c r="V27" s="566">
        <f>VLOOKUP($A27,'01-02.2021'!$A$6:$CZ$403,22,FALSE)+VLOOKUP($A27,'1.3.21-28.2.22'!$A$6:$DA$404,22,FALSE)-VLOOKUP($A27,'01-02.2022'!$A$6:$DA$376,22,FALSE)</f>
        <v>0</v>
      </c>
      <c r="W27" s="70">
        <f t="shared" si="38"/>
        <v>0</v>
      </c>
      <c r="X27" s="566">
        <f>VLOOKUP($A27,'01-02.2021'!$A$6:$CZ$403,24,FALSE)+VLOOKUP($A27,'1.3.21-28.2.22'!$A$6:$DA$404,24,FALSE)-VLOOKUP($A27,'01-02.2022'!$A$6:$DA$376,24,FALSE)</f>
        <v>0</v>
      </c>
      <c r="Y27" s="566">
        <f>VLOOKUP($A27,'01-02.2021'!$A$6:$CZ$403,25,FALSE)+VLOOKUP($A27,'1.3.21-28.2.22'!$A$6:$DA$404,25,FALSE)-VLOOKUP($A27,'01-02.2022'!$A$6:$DA$376,25,FALSE)</f>
        <v>0</v>
      </c>
      <c r="Z27" s="70">
        <f t="shared" si="39"/>
        <v>0</v>
      </c>
      <c r="AA27" s="566">
        <f>VLOOKUP($A27,'01-02.2021'!$A$6:$CZ$403,27,FALSE)+VLOOKUP($A27,'1.3.21-28.2.22'!$A$6:$DA$404,27,FALSE)-VLOOKUP($A27,'01-02.2022'!$A$6:$DA$376,27,FALSE)</f>
        <v>52.679999999999993</v>
      </c>
      <c r="AB27" s="566">
        <f>VLOOKUP($A27,'01-02.2021'!$A$6:$CZ$403,28,FALSE)+VLOOKUP($A27,'1.3.21-28.2.22'!$A$6:$DA$404,28,FALSE)-VLOOKUP($A27,'01-02.2022'!$A$6:$DA$376,28,FALSE)</f>
        <v>0</v>
      </c>
      <c r="AC27" s="70">
        <f t="shared" si="40"/>
        <v>-52.679999999999993</v>
      </c>
      <c r="AD27" s="566">
        <f>VLOOKUP($A27,'01-02.2021'!$A$6:$CZ$403,30,FALSE)+VLOOKUP($A27,'1.3.21-28.2.22'!$A$6:$DA$404,30,FALSE)-VLOOKUP($A27,'01-02.2022'!$A$6:$DA$376,30,FALSE)</f>
        <v>395.64293246886962</v>
      </c>
      <c r="AE27" s="566">
        <f>VLOOKUP($A27,'01-02.2021'!$A$6:$CZ$403,31,FALSE)+VLOOKUP($A27,'1.3.21-28.2.22'!$A$6:$DA$404,31,FALSE)-VLOOKUP($A27,'01-02.2022'!$A$6:$DA$376,31,FALSE)</f>
        <v>1199.0074129787436</v>
      </c>
      <c r="AF27" s="68">
        <f t="shared" si="41"/>
        <v>803.36448050987394</v>
      </c>
      <c r="AG27" s="77">
        <f t="shared" si="24"/>
        <v>448.32293246886962</v>
      </c>
      <c r="AH27" s="53">
        <f t="shared" si="24"/>
        <v>1199.0074129787436</v>
      </c>
      <c r="AI27" s="52">
        <f t="shared" si="42"/>
        <v>750.68448050987399</v>
      </c>
      <c r="AJ27" s="566">
        <f>VLOOKUP($A27,'01-02.2021'!$A$6:$CZ$403,36,FALSE)+VLOOKUP($A27,'1.3.21-28.2.22'!$A$6:$DA$404,36,FALSE)-VLOOKUP($A27,'01-02.2022'!$A$6:$DA$376,36,FALSE)</f>
        <v>0</v>
      </c>
      <c r="AK27" s="566">
        <f>VLOOKUP($A27,'01-02.2021'!$A$6:$CZ$403,37,FALSE)+VLOOKUP($A27,'1.3.21-28.2.22'!$A$6:$DA$404,37,FALSE)-VLOOKUP($A27,'01-02.2022'!$A$6:$DA$376,37,FALSE)</f>
        <v>0</v>
      </c>
      <c r="AL27" s="70">
        <f t="shared" si="43"/>
        <v>0</v>
      </c>
      <c r="AM27" s="566">
        <f>VLOOKUP($A27,'01-02.2021'!$A$6:$CZ$403,39,FALSE)+VLOOKUP($A27,'1.3.21-28.2.22'!$A$6:$DA$404,39,FALSE)-VLOOKUP($A27,'01-02.2022'!$A$6:$DA$376,39,FALSE)</f>
        <v>0</v>
      </c>
      <c r="AN27" s="566">
        <f>VLOOKUP($A27,'01-02.2021'!$A$6:$CZ$403,40,FALSE)+VLOOKUP($A27,'1.3.21-28.2.22'!$A$6:$DA$404,40,FALSE)-VLOOKUP($A27,'01-02.2022'!$A$6:$DA$376,40,FALSE)</f>
        <v>0</v>
      </c>
      <c r="AO27" s="70">
        <f t="shared" si="44"/>
        <v>0</v>
      </c>
      <c r="AP27" s="566">
        <f>VLOOKUP($A27,'01-02.2021'!$A$6:$CZ$403,42,FALSE)+VLOOKUP($A27,'1.3.21-28.2.22'!$A$6:$DA$404,42,FALSE)-VLOOKUP($A27,'01-02.2022'!$A$6:$DA$376,42,FALSE)</f>
        <v>433.79993751064791</v>
      </c>
      <c r="AQ27" s="566">
        <f>VLOOKUP($A27,'01-02.2021'!$A$6:$CZ$403,43,FALSE)+VLOOKUP($A27,'1.3.21-28.2.22'!$A$6:$DA$404,43,FALSE)-VLOOKUP($A27,'01-02.2022'!$A$6:$DA$376,43,FALSE)</f>
        <v>373.97041602492402</v>
      </c>
      <c r="AR27" s="70">
        <f t="shared" si="45"/>
        <v>-59.829521485723888</v>
      </c>
      <c r="AS27" s="566">
        <f>VLOOKUP($A27,'01-02.2021'!$A$6:$CZ$403,45,FALSE)+VLOOKUP($A27,'1.3.21-28.2.22'!$A$6:$DA$404,45,FALSE)-VLOOKUP($A27,'01-02.2022'!$A$6:$DA$376,45,FALSE)</f>
        <v>2406.4736090195165</v>
      </c>
      <c r="AT27" s="566">
        <f>VLOOKUP($A27,'01-02.2021'!$A$6:$CZ$403,46,FALSE)+VLOOKUP($A27,'1.3.21-28.2.22'!$A$6:$DA$404,46,FALSE)-VLOOKUP($A27,'01-02.2022'!$A$6:$DA$376,46,FALSE)</f>
        <v>2146.5700000000002</v>
      </c>
      <c r="AU27" s="78">
        <f t="shared" si="46"/>
        <v>-259.90360901951635</v>
      </c>
      <c r="AV27" s="566">
        <f>VLOOKUP($A27,'01-02.2021'!$A$6:$CZ$403,48,FALSE)+VLOOKUP($A27,'1.3.21-28.2.22'!$A$6:$DA$404,48,FALSE)-VLOOKUP($A27,'01-02.2022'!$A$6:$DA$376,48,FALSE)</f>
        <v>0</v>
      </c>
      <c r="AW27" s="566">
        <f>VLOOKUP($A27,'01-02.2021'!$A$6:$CZ$403,49,FALSE)+VLOOKUP($A27,'1.3.21-28.2.22'!$A$6:$DA$404,49,FALSE)-VLOOKUP($A27,'01-02.2022'!$A$6:$DA$376,49,FALSE)</f>
        <v>0</v>
      </c>
      <c r="AX27" s="55">
        <f t="shared" si="47"/>
        <v>0</v>
      </c>
      <c r="AY27" s="566">
        <f>VLOOKUP($A27,'01-02.2021'!$A$6:$CZ$403,51,FALSE)+VLOOKUP($A27,'1.3.21-28.2.22'!$A$6:$DA$404,51,FALSE)-VLOOKUP($A27,'01-02.2022'!$A$6:$DA$376,51,FALSE)</f>
        <v>0</v>
      </c>
      <c r="AZ27" s="566">
        <f>VLOOKUP($A27,'01-02.2021'!$A$6:$CZ$403,52,FALSE)+VLOOKUP($A27,'1.3.21-28.2.22'!$A$6:$DA$404,52,FALSE)-VLOOKUP($A27,'01-02.2022'!$A$6:$DA$376,52,FALSE)</f>
        <v>0</v>
      </c>
      <c r="BA27" s="38">
        <f t="shared" si="48"/>
        <v>0</v>
      </c>
      <c r="BB27" s="566">
        <f>VLOOKUP($A27,'01-02.2021'!$A$6:$CZ$403,54,FALSE)+VLOOKUP($A27,'1.3.21-28.2.22'!$A$6:$DA$404,54,FALSE)-VLOOKUP($A27,'01-02.2022'!$A$6:$DA$376,54,FALSE)</f>
        <v>0</v>
      </c>
      <c r="BC27" s="566">
        <f>VLOOKUP($A27,'01-02.2021'!$A$6:$CZ$403,55,FALSE)+VLOOKUP($A27,'1.3.21-28.2.22'!$A$6:$DA$404,55,FALSE)-VLOOKUP($A27,'01-02.2022'!$A$6:$DA$376,55,FALSE)</f>
        <v>0</v>
      </c>
      <c r="BD27" s="55">
        <f t="shared" si="49"/>
        <v>0</v>
      </c>
      <c r="BE27" s="566">
        <f>VLOOKUP($A27,'01-02.2021'!$A$6:$CZ$403,57,FALSE)+VLOOKUP($A27,'1.3.21-28.2.22'!$A$6:$DA$404,57,FALSE)-VLOOKUP($A27,'01-02.2022'!$A$6:$DA$376,57,FALSE)</f>
        <v>0</v>
      </c>
      <c r="BF27" s="566">
        <f>VLOOKUP($A27,'01-02.2021'!$A$6:$CZ$403,58,FALSE)+VLOOKUP($A27,'1.3.21-28.2.22'!$A$6:$DA$404,58,FALSE)-VLOOKUP($A27,'01-02.2022'!$A$6:$DA$376,58,FALSE)</f>
        <v>0</v>
      </c>
      <c r="BG27" s="55">
        <f t="shared" si="50"/>
        <v>0</v>
      </c>
      <c r="BH27" s="566">
        <f>VLOOKUP($A27,'01-02.2021'!$A$6:$CZ$403,60,FALSE)+VLOOKUP($A27,'1.3.21-28.2.22'!$A$6:$DA$404,60,FALSE)-VLOOKUP($A27,'01-02.2022'!$A$6:$DA$376,60,FALSE)</f>
        <v>0</v>
      </c>
      <c r="BI27" s="566">
        <f>VLOOKUP($A27,'01-02.2021'!$A$6:$CZ$403,61,FALSE)+VLOOKUP($A27,'1.3.21-28.2.22'!$A$6:$DA$404,61,FALSE)-VLOOKUP($A27,'01-02.2022'!$A$6:$DA$376,61,FALSE)</f>
        <v>0</v>
      </c>
      <c r="BJ27" s="55">
        <f t="shared" si="51"/>
        <v>0</v>
      </c>
      <c r="BK27" s="566">
        <f>VLOOKUP($A27,'01-02.2021'!$A$6:$CZ$403,63,FALSE)+VLOOKUP($A27,'1.3.21-28.2.22'!$A$6:$DA$404,63,FALSE)-VLOOKUP($A27,'01-02.2022'!$A$6:$DA$376,63,FALSE)</f>
        <v>0</v>
      </c>
      <c r="BL27" s="566">
        <f>VLOOKUP($A27,'01-02.2021'!$A$6:$CZ$403,64,FALSE)+VLOOKUP($A27,'1.3.21-28.2.22'!$A$6:$DA$404,64,FALSE)-VLOOKUP($A27,'01-02.2022'!$A$6:$DA$376,64,FALSE)</f>
        <v>0</v>
      </c>
      <c r="BM27" s="55">
        <f t="shared" si="52"/>
        <v>0</v>
      </c>
      <c r="BN27" s="566">
        <f>VLOOKUP($A27,'01-02.2021'!$A$6:$CZ$403,66,FALSE)+VLOOKUP($A27,'1.3.21-28.2.22'!$A$6:$DA$404,66,FALSE)-VLOOKUP($A27,'01-02.2022'!$A$6:$DA$376,66,FALSE)</f>
        <v>13.169999999999998</v>
      </c>
      <c r="BO27" s="566">
        <f>VLOOKUP($A27,'01-02.2021'!$A$6:$CZ$403,67,FALSE)+VLOOKUP($A27,'1.3.21-28.2.22'!$A$6:$DA$404,67,FALSE)-VLOOKUP($A27,'01-02.2022'!$A$6:$DA$376,67,FALSE)</f>
        <v>0</v>
      </c>
      <c r="BP27" s="55">
        <f t="shared" si="53"/>
        <v>-13.169999999999998</v>
      </c>
      <c r="BQ27" s="77">
        <f t="shared" si="25"/>
        <v>13.169999999999998</v>
      </c>
      <c r="BR27" s="40">
        <f t="shared" si="26"/>
        <v>0</v>
      </c>
      <c r="BS27" s="55">
        <f t="shared" si="70"/>
        <v>-13.169999999999998</v>
      </c>
      <c r="BT27" s="566">
        <f>VLOOKUP($A27,'01-02.2021'!$A$6:$CZ$403,72,FALSE)+VLOOKUP($A27,'1.3.21-28.2.22'!$A$6:$DA$404,72,FALSE)-VLOOKUP($A27,'01-02.2022'!$A$6:$DA$376,72,FALSE)</f>
        <v>97.701960579639803</v>
      </c>
      <c r="BU27" s="566">
        <f>VLOOKUP($A27,'01-02.2021'!$A$6:$CZ$403,73,FALSE)+VLOOKUP($A27,'1.3.21-28.2.22'!$A$6:$DA$404,73,FALSE)-VLOOKUP($A27,'01-02.2022'!$A$6:$DA$376,73,FALSE)</f>
        <v>151.55132144799228</v>
      </c>
      <c r="BV27" s="70">
        <f t="shared" si="54"/>
        <v>53.849360868352477</v>
      </c>
      <c r="BW27" s="566">
        <f>VLOOKUP($A27,'01-02.2021'!$A$6:$CZ$403,75,FALSE)+VLOOKUP($A27,'1.3.21-28.2.22'!$A$6:$DA$404,75,FALSE)-VLOOKUP($A27,'01-02.2022'!$A$6:$DA$376,75,FALSE)</f>
        <v>0</v>
      </c>
      <c r="BX27" s="566">
        <f>VLOOKUP($A27,'01-02.2021'!$A$6:$CZ$403,76,FALSE)+VLOOKUP($A27,'1.3.21-28.2.22'!$A$6:$DA$404,76,FALSE)-VLOOKUP($A27,'01-02.2022'!$A$6:$DA$376,76,FALSE)</f>
        <v>5.9032129624629102</v>
      </c>
      <c r="BY27" s="70">
        <f t="shared" si="55"/>
        <v>5.9032129624629102</v>
      </c>
      <c r="BZ27" s="566">
        <f>VLOOKUP($A27,'01-02.2021'!$A$6:$CZ$403,78,FALSE)+VLOOKUP($A27,'1.3.21-28.2.22'!$A$6:$DA$404,78,FALSE)-VLOOKUP($A27,'01-02.2022'!$A$6:$DA$376,78,FALSE)</f>
        <v>0</v>
      </c>
      <c r="CA27" s="566">
        <f>VLOOKUP($A27,'01-02.2021'!$A$6:$CZ$403,79,FALSE)+VLOOKUP($A27,'1.3.21-28.2.22'!$A$6:$DA$404,79,FALSE)-VLOOKUP($A27,'01-02.2022'!$A$6:$DA$376,79,FALSE)</f>
        <v>9.2436406512338465</v>
      </c>
      <c r="CB27" s="70">
        <f t="shared" si="56"/>
        <v>9.2436406512338465</v>
      </c>
      <c r="CC27" s="566">
        <f>VLOOKUP($A27,'01-02.2021'!$A$6:$CZ$403,81,FALSE)+VLOOKUP($A27,'1.3.21-28.2.22'!$A$6:$DA$404,81,FALSE)-VLOOKUP($A27,'01-02.2022'!$A$6:$DA$376,81,FALSE)</f>
        <v>0</v>
      </c>
      <c r="CD27" s="566">
        <f>VLOOKUP($A27,'01-02.2021'!$A$6:$CZ$403,82,FALSE)+VLOOKUP($A27,'1.3.21-28.2.22'!$A$6:$DA$404,82,FALSE)-VLOOKUP($A27,'01-02.2022'!$A$6:$DA$376,82,FALSE)</f>
        <v>0</v>
      </c>
      <c r="CE27" s="70">
        <f t="shared" si="57"/>
        <v>0</v>
      </c>
      <c r="CF27" s="566">
        <f>VLOOKUP($A27,'01-02.2021'!$A$6:$CZ$403,84,FALSE)+VLOOKUP($A27,'1.3.21-28.2.22'!$A$6:$DA$404,84,FALSE)-VLOOKUP($A27,'01-02.2022'!$A$6:$DA$376,84,FALSE)</f>
        <v>0</v>
      </c>
      <c r="CG27" s="566">
        <f>VLOOKUP($A27,'01-02.2021'!$A$6:$CZ$403,85,FALSE)+VLOOKUP($A27,'1.3.21-28.2.22'!$A$6:$DA$404,85,FALSE)-VLOOKUP($A27,'01-02.2022'!$A$6:$DA$376,85,FALSE)</f>
        <v>0</v>
      </c>
      <c r="CH27" s="70">
        <f t="shared" si="58"/>
        <v>0</v>
      </c>
      <c r="CI27" s="566">
        <f>VLOOKUP($A27,'01-02.2021'!$A$6:$CZ$403,87,FALSE)+VLOOKUP($A27,'1.3.21-28.2.22'!$A$6:$DA$404,87,FALSE)-VLOOKUP($A27,'01-02.2022'!$A$6:$DA$376,87,FALSE)</f>
        <v>0</v>
      </c>
      <c r="CJ27" s="566">
        <f>VLOOKUP($A27,'01-02.2021'!$A$6:$CZ$403,88,FALSE)+VLOOKUP($A27,'1.3.21-28.2.22'!$A$6:$DA$404,88,FALSE)-VLOOKUP($A27,'01-02.2022'!$A$6:$DA$376,88,FALSE)</f>
        <v>0</v>
      </c>
      <c r="CK27" s="70">
        <f t="shared" si="59"/>
        <v>0</v>
      </c>
      <c r="CL27" s="566">
        <f>VLOOKUP($A27,'01-02.2021'!$A$6:$CZ$403,90,FALSE)+VLOOKUP($A27,'1.3.21-28.2.22'!$A$6:$DA$404,90,FALSE)-VLOOKUP($A27,'01-02.2022'!$A$6:$DA$376,90,FALSE)</f>
        <v>0</v>
      </c>
      <c r="CM27" s="566">
        <f>VLOOKUP($A27,'01-02.2021'!$A$6:$CZ$403,91,FALSE)+VLOOKUP($A27,'1.3.21-28.2.22'!$A$6:$DA$404,91,FALSE)-VLOOKUP($A27,'01-02.2022'!$A$6:$DA$376,91,FALSE)</f>
        <v>0</v>
      </c>
      <c r="CN27" s="52">
        <f t="shared" si="60"/>
        <v>0</v>
      </c>
      <c r="CO27" s="39">
        <f t="shared" si="27"/>
        <v>0</v>
      </c>
      <c r="CP27" s="40">
        <f t="shared" si="61"/>
        <v>0</v>
      </c>
      <c r="CQ27" s="52">
        <f t="shared" si="62"/>
        <v>0</v>
      </c>
      <c r="CR27" s="72">
        <f t="shared" si="28"/>
        <v>3399.468439578674</v>
      </c>
      <c r="CS27" s="5">
        <f t="shared" si="28"/>
        <v>3886.2460040653568</v>
      </c>
      <c r="CT27" s="52">
        <f t="shared" si="63"/>
        <v>486.77756448668288</v>
      </c>
      <c r="CU27" s="77">
        <f t="shared" si="64"/>
        <v>4079.3621274944085</v>
      </c>
      <c r="CV27" s="65">
        <f t="shared" si="65"/>
        <v>4663.495204878428</v>
      </c>
      <c r="CW27" s="35">
        <f t="shared" si="66"/>
        <v>584.13307738401954</v>
      </c>
      <c r="CX27" s="566">
        <f>VLOOKUP($A27,'01-02.2021'!$A$6:$CZ$403,102,FALSE)+VLOOKUP($A27,'1.3.21-28.2.22'!$A$6:$DA$404,102,FALSE)-VLOOKUP($A27,'01-02.2022'!$A$6:$DA$376,102,FALSE)</f>
        <v>142.97848430038178</v>
      </c>
      <c r="CY27" s="566">
        <f>VLOOKUP($A27,'01-02.2021'!$A$6:$CZ$403,103,FALSE)+VLOOKUP($A27,'1.3.21-28.2.22'!$A$6:$DA$404,103,FALSE)-VLOOKUP($A27,'01-02.2022'!$A$6:$DA$376,103,FALSE)</f>
        <v>-441.15459308363717</v>
      </c>
      <c r="CZ27" s="52">
        <f t="shared" si="67"/>
        <v>-584.13307738401897</v>
      </c>
      <c r="DA27" s="150">
        <f>'[2]побудинковий звіт'!DA27</f>
        <v>-3890.6779709667658</v>
      </c>
      <c r="DB27" s="2">
        <v>3</v>
      </c>
      <c r="DC27" s="414">
        <f>'[4]побудинковий звіт'!DC27</f>
        <v>1328.29</v>
      </c>
      <c r="DD27" s="414">
        <f>'[4]побудинковий звіт'!DD27</f>
        <v>0</v>
      </c>
      <c r="DE27" s="557">
        <f>'[4]побудинковий звіт'!DE27</f>
        <v>948.59203721989979</v>
      </c>
      <c r="DF27" s="557">
        <f>'[4]побудинковий звіт'!DF27</f>
        <v>0</v>
      </c>
      <c r="DG27" s="321">
        <f>VLOOKUP(A27,'кошти 01.03.2021'!$A$6:$D$401,4,)</f>
        <v>-3612.2218122281042</v>
      </c>
      <c r="DH27" s="40">
        <f>'[3]побудинковий звіт'!DJ27</f>
        <v>4353.6851726540226</v>
      </c>
      <c r="DI27" s="422">
        <f>'[3]побудинковий звіт'!CU27+'[3]побудинковий звіт'!CX27</f>
        <v>379.69796278010017</v>
      </c>
      <c r="DJ27" s="306">
        <f>'[3]побудинковий звіт'!DM27</f>
        <v>1.4415260545941542</v>
      </c>
      <c r="DK27" s="306">
        <f t="shared" ref="DK27:DK46" si="76">DJ27</f>
        <v>1.4415260545941542</v>
      </c>
      <c r="DL27" s="306">
        <f>'[3]побудинковий звіт'!DO27</f>
        <v>1.4415260545941542</v>
      </c>
      <c r="DM27" s="28">
        <f t="shared" ref="DM27:DM46" si="77">F27*DJ27</f>
        <v>379.69796278010017</v>
      </c>
      <c r="DN27" s="28">
        <f t="shared" ref="DN27:DN46" si="78">H27*DL27</f>
        <v>0</v>
      </c>
      <c r="DO27" s="423">
        <f t="shared" si="29"/>
        <v>379.69796278010017</v>
      </c>
      <c r="DP27" s="94">
        <f t="shared" si="30"/>
        <v>0</v>
      </c>
      <c r="DQ27" s="28">
        <f t="shared" si="31"/>
        <v>379.69796278010017</v>
      </c>
      <c r="DR27" s="318"/>
      <c r="DT27" s="8"/>
      <c r="DU27" s="5"/>
      <c r="DX27" s="5">
        <f t="shared" si="32"/>
        <v>2903.5723308234196</v>
      </c>
      <c r="DY27" s="5">
        <f t="shared" si="33"/>
        <v>2575.884</v>
      </c>
      <c r="DZ27" s="159">
        <f>'[3]побудинковий звіт'!EA27</f>
        <v>306.3372471860136</v>
      </c>
    </row>
    <row r="28" spans="1:130" x14ac:dyDescent="0.3">
      <c r="A28" s="325">
        <v>150000999</v>
      </c>
      <c r="B28" s="41" t="s">
        <v>477</v>
      </c>
      <c r="C28" s="42" t="s">
        <v>41</v>
      </c>
      <c r="D28" s="42"/>
      <c r="E28" s="293">
        <f t="shared" si="23"/>
        <v>298.60000000000002</v>
      </c>
      <c r="F28" s="305">
        <f>'[3]побудинковий звіт'!F28</f>
        <v>298.60000000000002</v>
      </c>
      <c r="G28" s="508">
        <f>'[3]побудинковий звіт'!G28</f>
        <v>0</v>
      </c>
      <c r="H28" s="560">
        <f>'[3]побудинковий звіт'!H28</f>
        <v>0</v>
      </c>
      <c r="I28" s="566">
        <f>VLOOKUP($A28,'01-02.2021'!$A$6:$CZ$403,9,FALSE)+VLOOKUP($A28,'1.3.21-28.2.22'!$A$6:$DA$404,9,FALSE)-VLOOKUP($A28,'01-02.2022'!$A$6:$DA$376,9,FALSE)</f>
        <v>0</v>
      </c>
      <c r="J28" s="566">
        <f>VLOOKUP($A28,'01-02.2021'!$A$6:$CZ$403,10,FALSE)+VLOOKUP($A28,'1.3.21-28.2.22'!$A$6:$DA$404,10,FALSE)-VLOOKUP($A28,'01-02.2022'!$A$6:$DA$376,10,FALSE)</f>
        <v>0</v>
      </c>
      <c r="K28" s="52">
        <f t="shared" si="34"/>
        <v>0</v>
      </c>
      <c r="L28" s="566">
        <f>VLOOKUP($A28,'01-02.2021'!$A$6:$CZ$403,12,FALSE)+VLOOKUP($A28,'1.3.21-28.2.22'!$A$6:$DA$404,12,FALSE)-VLOOKUP($A28,'01-02.2022'!$A$6:$DA$376,12,FALSE)</f>
        <v>0</v>
      </c>
      <c r="M28" s="566">
        <f>VLOOKUP($A28,'01-02.2021'!$A$6:$CZ$403,13,FALSE)+VLOOKUP($A28,'1.3.21-28.2.22'!$A$6:$DA$404,13,FALSE)-VLOOKUP($A28,'01-02.2022'!$A$6:$DA$376,13,FALSE)</f>
        <v>0</v>
      </c>
      <c r="N28" s="52">
        <f t="shared" si="35"/>
        <v>0</v>
      </c>
      <c r="O28" s="566">
        <f>VLOOKUP($A28,'01-02.2021'!$A$6:$CZ$403,15,FALSE)+VLOOKUP($A28,'1.3.21-28.2.22'!$A$6:$DA$404,15,FALSE)-VLOOKUP($A28,'01-02.2022'!$A$6:$DA$376,15,FALSE)</f>
        <v>0</v>
      </c>
      <c r="P28" s="566">
        <f>VLOOKUP($A28,'01-02.2021'!$A$6:$CZ$403,16,FALSE)+VLOOKUP($A28,'1.3.21-28.2.22'!$A$6:$DA$404,16,FALSE)-VLOOKUP($A28,'01-02.2022'!$A$6:$DA$376,16,FALSE)</f>
        <v>0</v>
      </c>
      <c r="Q28" s="70">
        <f t="shared" si="36"/>
        <v>0</v>
      </c>
      <c r="R28" s="566">
        <f>VLOOKUP($A28,'01-02.2021'!$A$6:$CZ$403,18,FALSE)+VLOOKUP($A28,'1.3.21-28.2.22'!$A$6:$DA$404,18,FALSE)-VLOOKUP($A28,'01-02.2022'!$A$6:$DA$376,18,FALSE)</f>
        <v>0</v>
      </c>
      <c r="S28" s="566">
        <f>VLOOKUP($A28,'01-02.2021'!$A$6:$CZ$403,19,FALSE)+VLOOKUP($A28,'1.3.21-28.2.22'!$A$6:$DA$404,19,FALSE)-VLOOKUP($A28,'01-02.2022'!$A$6:$DA$376,19,FALSE)</f>
        <v>0</v>
      </c>
      <c r="T28" s="70">
        <f t="shared" si="37"/>
        <v>0</v>
      </c>
      <c r="U28" s="566">
        <f>VLOOKUP($A28,'01-02.2021'!$A$6:$CZ$403,21,FALSE)+VLOOKUP($A28,'1.3.21-28.2.22'!$A$6:$DA$404,21,FALSE)-VLOOKUP($A28,'01-02.2022'!$A$6:$DA$376,21,FALSE)</f>
        <v>0</v>
      </c>
      <c r="V28" s="566">
        <f>VLOOKUP($A28,'01-02.2021'!$A$6:$CZ$403,22,FALSE)+VLOOKUP($A28,'1.3.21-28.2.22'!$A$6:$DA$404,22,FALSE)-VLOOKUP($A28,'01-02.2022'!$A$6:$DA$376,22,FALSE)</f>
        <v>0</v>
      </c>
      <c r="W28" s="70">
        <f t="shared" si="38"/>
        <v>0</v>
      </c>
      <c r="X28" s="566">
        <f>VLOOKUP($A28,'01-02.2021'!$A$6:$CZ$403,24,FALSE)+VLOOKUP($A28,'1.3.21-28.2.22'!$A$6:$DA$404,24,FALSE)-VLOOKUP($A28,'01-02.2022'!$A$6:$DA$376,24,FALSE)</f>
        <v>0</v>
      </c>
      <c r="Y28" s="566">
        <f>VLOOKUP($A28,'01-02.2021'!$A$6:$CZ$403,25,FALSE)+VLOOKUP($A28,'1.3.21-28.2.22'!$A$6:$DA$404,25,FALSE)-VLOOKUP($A28,'01-02.2022'!$A$6:$DA$376,25,FALSE)</f>
        <v>0</v>
      </c>
      <c r="Z28" s="70">
        <f t="shared" si="39"/>
        <v>0</v>
      </c>
      <c r="AA28" s="566">
        <f>VLOOKUP($A28,'01-02.2021'!$A$6:$CZ$403,27,FALSE)+VLOOKUP($A28,'1.3.21-28.2.22'!$A$6:$DA$404,27,FALSE)-VLOOKUP($A28,'01-02.2022'!$A$6:$DA$376,27,FALSE)</f>
        <v>59.72</v>
      </c>
      <c r="AB28" s="566">
        <f>VLOOKUP($A28,'01-02.2021'!$A$6:$CZ$403,28,FALSE)+VLOOKUP($A28,'1.3.21-28.2.22'!$A$6:$DA$404,28,FALSE)-VLOOKUP($A28,'01-02.2022'!$A$6:$DA$376,28,FALSE)</f>
        <v>0</v>
      </c>
      <c r="AC28" s="70">
        <f t="shared" si="40"/>
        <v>-59.72</v>
      </c>
      <c r="AD28" s="566">
        <f>VLOOKUP($A28,'01-02.2021'!$A$6:$CZ$403,30,FALSE)+VLOOKUP($A28,'1.3.21-28.2.22'!$A$6:$DA$404,30,FALSE)-VLOOKUP($A28,'01-02.2022'!$A$6:$DA$376,30,FALSE)</f>
        <v>448.43697414295224</v>
      </c>
      <c r="AE28" s="566">
        <f>VLOOKUP($A28,'01-02.2021'!$A$6:$CZ$403,31,FALSE)+VLOOKUP($A28,'1.3.21-28.2.22'!$A$6:$DA$404,31,FALSE)-VLOOKUP($A28,'01-02.2022'!$A$6:$DA$376,31,FALSE)</f>
        <v>1359.2392312659563</v>
      </c>
      <c r="AF28" s="68">
        <f t="shared" si="41"/>
        <v>910.80225712300398</v>
      </c>
      <c r="AG28" s="77">
        <f t="shared" si="24"/>
        <v>508.15697414295221</v>
      </c>
      <c r="AH28" s="53">
        <f t="shared" si="24"/>
        <v>1359.2392312659563</v>
      </c>
      <c r="AI28" s="52">
        <f t="shared" si="42"/>
        <v>851.08225712300407</v>
      </c>
      <c r="AJ28" s="566">
        <f>VLOOKUP($A28,'01-02.2021'!$A$6:$CZ$403,36,FALSE)+VLOOKUP($A28,'1.3.21-28.2.22'!$A$6:$DA$404,36,FALSE)-VLOOKUP($A28,'01-02.2022'!$A$6:$DA$376,36,FALSE)</f>
        <v>0</v>
      </c>
      <c r="AK28" s="566">
        <f>VLOOKUP($A28,'01-02.2021'!$A$6:$CZ$403,37,FALSE)+VLOOKUP($A28,'1.3.21-28.2.22'!$A$6:$DA$404,37,FALSE)-VLOOKUP($A28,'01-02.2022'!$A$6:$DA$376,37,FALSE)</f>
        <v>0</v>
      </c>
      <c r="AL28" s="70">
        <f t="shared" si="43"/>
        <v>0</v>
      </c>
      <c r="AM28" s="566">
        <f>VLOOKUP($A28,'01-02.2021'!$A$6:$CZ$403,39,FALSE)+VLOOKUP($A28,'1.3.21-28.2.22'!$A$6:$DA$404,39,FALSE)-VLOOKUP($A28,'01-02.2022'!$A$6:$DA$376,39,FALSE)</f>
        <v>0</v>
      </c>
      <c r="AN28" s="566">
        <f>VLOOKUP($A28,'01-02.2021'!$A$6:$CZ$403,40,FALSE)+VLOOKUP($A28,'1.3.21-28.2.22'!$A$6:$DA$404,40,FALSE)-VLOOKUP($A28,'01-02.2022'!$A$6:$DA$376,40,FALSE)</f>
        <v>0</v>
      </c>
      <c r="AO28" s="70">
        <f t="shared" si="44"/>
        <v>0</v>
      </c>
      <c r="AP28" s="566">
        <f>VLOOKUP($A28,'01-02.2021'!$A$6:$CZ$403,42,FALSE)+VLOOKUP($A28,'1.3.21-28.2.22'!$A$6:$DA$404,42,FALSE)-VLOOKUP($A28,'01-02.2022'!$A$6:$DA$376,42,FALSE)</f>
        <v>433.79993751064791</v>
      </c>
      <c r="AQ28" s="566">
        <f>VLOOKUP($A28,'01-02.2021'!$A$6:$CZ$403,43,FALSE)+VLOOKUP($A28,'1.3.21-28.2.22'!$A$6:$DA$404,43,FALSE)-VLOOKUP($A28,'01-02.2022'!$A$6:$DA$376,43,FALSE)</f>
        <v>373.97041602492402</v>
      </c>
      <c r="AR28" s="70">
        <f t="shared" si="45"/>
        <v>-59.829521485723888</v>
      </c>
      <c r="AS28" s="566">
        <f>VLOOKUP($A28,'01-02.2021'!$A$6:$CZ$403,45,FALSE)+VLOOKUP($A28,'1.3.21-28.2.22'!$A$6:$DA$404,45,FALSE)-VLOOKUP($A28,'01-02.2022'!$A$6:$DA$376,45,FALSE)</f>
        <v>2662.5644494426697</v>
      </c>
      <c r="AT28" s="566">
        <f>VLOOKUP($A28,'01-02.2021'!$A$6:$CZ$403,46,FALSE)+VLOOKUP($A28,'1.3.21-28.2.22'!$A$6:$DA$404,46,FALSE)-VLOOKUP($A28,'01-02.2022'!$A$6:$DA$376,46,FALSE)</f>
        <v>1205</v>
      </c>
      <c r="AU28" s="78">
        <f t="shared" si="46"/>
        <v>-1457.5644494426697</v>
      </c>
      <c r="AV28" s="566">
        <f>VLOOKUP($A28,'01-02.2021'!$A$6:$CZ$403,48,FALSE)+VLOOKUP($A28,'1.3.21-28.2.22'!$A$6:$DA$404,48,FALSE)-VLOOKUP($A28,'01-02.2022'!$A$6:$DA$376,48,FALSE)</f>
        <v>0</v>
      </c>
      <c r="AW28" s="566">
        <f>VLOOKUP($A28,'01-02.2021'!$A$6:$CZ$403,49,FALSE)+VLOOKUP($A28,'1.3.21-28.2.22'!$A$6:$DA$404,49,FALSE)-VLOOKUP($A28,'01-02.2022'!$A$6:$DA$376,49,FALSE)</f>
        <v>0</v>
      </c>
      <c r="AX28" s="55">
        <f t="shared" si="47"/>
        <v>0</v>
      </c>
      <c r="AY28" s="566">
        <f>VLOOKUP($A28,'01-02.2021'!$A$6:$CZ$403,51,FALSE)+VLOOKUP($A28,'1.3.21-28.2.22'!$A$6:$DA$404,51,FALSE)-VLOOKUP($A28,'01-02.2022'!$A$6:$DA$376,51,FALSE)</f>
        <v>0</v>
      </c>
      <c r="AZ28" s="566">
        <f>VLOOKUP($A28,'01-02.2021'!$A$6:$CZ$403,52,FALSE)+VLOOKUP($A28,'1.3.21-28.2.22'!$A$6:$DA$404,52,FALSE)-VLOOKUP($A28,'01-02.2022'!$A$6:$DA$376,52,FALSE)</f>
        <v>0</v>
      </c>
      <c r="BA28" s="38">
        <f t="shared" si="48"/>
        <v>0</v>
      </c>
      <c r="BB28" s="566">
        <f>VLOOKUP($A28,'01-02.2021'!$A$6:$CZ$403,54,FALSE)+VLOOKUP($A28,'1.3.21-28.2.22'!$A$6:$DA$404,54,FALSE)-VLOOKUP($A28,'01-02.2022'!$A$6:$DA$376,54,FALSE)</f>
        <v>0</v>
      </c>
      <c r="BC28" s="566">
        <f>VLOOKUP($A28,'01-02.2021'!$A$6:$CZ$403,55,FALSE)+VLOOKUP($A28,'1.3.21-28.2.22'!$A$6:$DA$404,55,FALSE)-VLOOKUP($A28,'01-02.2022'!$A$6:$DA$376,55,FALSE)</f>
        <v>0</v>
      </c>
      <c r="BD28" s="55">
        <f t="shared" si="49"/>
        <v>0</v>
      </c>
      <c r="BE28" s="566">
        <f>VLOOKUP($A28,'01-02.2021'!$A$6:$CZ$403,57,FALSE)+VLOOKUP($A28,'1.3.21-28.2.22'!$A$6:$DA$404,57,FALSE)-VLOOKUP($A28,'01-02.2022'!$A$6:$DA$376,57,FALSE)</f>
        <v>0</v>
      </c>
      <c r="BF28" s="566">
        <f>VLOOKUP($A28,'01-02.2021'!$A$6:$CZ$403,58,FALSE)+VLOOKUP($A28,'1.3.21-28.2.22'!$A$6:$DA$404,58,FALSE)-VLOOKUP($A28,'01-02.2022'!$A$6:$DA$376,58,FALSE)</f>
        <v>0</v>
      </c>
      <c r="BG28" s="55">
        <f t="shared" si="50"/>
        <v>0</v>
      </c>
      <c r="BH28" s="566">
        <f>VLOOKUP($A28,'01-02.2021'!$A$6:$CZ$403,60,FALSE)+VLOOKUP($A28,'1.3.21-28.2.22'!$A$6:$DA$404,60,FALSE)-VLOOKUP($A28,'01-02.2022'!$A$6:$DA$376,60,FALSE)</f>
        <v>0</v>
      </c>
      <c r="BI28" s="566">
        <f>VLOOKUP($A28,'01-02.2021'!$A$6:$CZ$403,61,FALSE)+VLOOKUP($A28,'1.3.21-28.2.22'!$A$6:$DA$404,61,FALSE)-VLOOKUP($A28,'01-02.2022'!$A$6:$DA$376,61,FALSE)</f>
        <v>0</v>
      </c>
      <c r="BJ28" s="55">
        <f t="shared" si="51"/>
        <v>0</v>
      </c>
      <c r="BK28" s="566">
        <f>VLOOKUP($A28,'01-02.2021'!$A$6:$CZ$403,63,FALSE)+VLOOKUP($A28,'1.3.21-28.2.22'!$A$6:$DA$404,63,FALSE)-VLOOKUP($A28,'01-02.2022'!$A$6:$DA$376,63,FALSE)</f>
        <v>0</v>
      </c>
      <c r="BL28" s="566">
        <f>VLOOKUP($A28,'01-02.2021'!$A$6:$CZ$403,64,FALSE)+VLOOKUP($A28,'1.3.21-28.2.22'!$A$6:$DA$404,64,FALSE)-VLOOKUP($A28,'01-02.2022'!$A$6:$DA$376,64,FALSE)</f>
        <v>0</v>
      </c>
      <c r="BM28" s="55">
        <f t="shared" si="52"/>
        <v>0</v>
      </c>
      <c r="BN28" s="566">
        <f>VLOOKUP($A28,'01-02.2021'!$A$6:$CZ$403,66,FALSE)+VLOOKUP($A28,'1.3.21-28.2.22'!$A$6:$DA$404,66,FALSE)-VLOOKUP($A28,'01-02.2022'!$A$6:$DA$376,66,FALSE)</f>
        <v>14.93</v>
      </c>
      <c r="BO28" s="566">
        <f>VLOOKUP($A28,'01-02.2021'!$A$6:$CZ$403,67,FALSE)+VLOOKUP($A28,'1.3.21-28.2.22'!$A$6:$DA$404,67,FALSE)-VLOOKUP($A28,'01-02.2022'!$A$6:$DA$376,67,FALSE)</f>
        <v>0</v>
      </c>
      <c r="BP28" s="55">
        <f t="shared" si="53"/>
        <v>-14.93</v>
      </c>
      <c r="BQ28" s="77">
        <f t="shared" si="25"/>
        <v>14.93</v>
      </c>
      <c r="BR28" s="40">
        <f t="shared" si="26"/>
        <v>0</v>
      </c>
      <c r="BS28" s="55">
        <f t="shared" si="70"/>
        <v>-14.93</v>
      </c>
      <c r="BT28" s="566">
        <f>VLOOKUP($A28,'01-02.2021'!$A$6:$CZ$403,72,FALSE)+VLOOKUP($A28,'1.3.21-28.2.22'!$A$6:$DA$404,72,FALSE)-VLOOKUP($A28,'01-02.2022'!$A$6:$DA$376,72,FALSE)</f>
        <v>125.61680645953695</v>
      </c>
      <c r="BU28" s="566">
        <f>VLOOKUP($A28,'01-02.2021'!$A$6:$CZ$403,73,FALSE)+VLOOKUP($A28,'1.3.21-28.2.22'!$A$6:$DA$404,73,FALSE)-VLOOKUP($A28,'01-02.2022'!$A$6:$DA$376,73,FALSE)</f>
        <v>194.86972644699941</v>
      </c>
      <c r="BV28" s="70">
        <f t="shared" si="54"/>
        <v>69.252919987462462</v>
      </c>
      <c r="BW28" s="566">
        <f>VLOOKUP($A28,'01-02.2021'!$A$6:$CZ$403,75,FALSE)+VLOOKUP($A28,'1.3.21-28.2.22'!$A$6:$DA$404,75,FALSE)-VLOOKUP($A28,'01-02.2022'!$A$6:$DA$376,75,FALSE)</f>
        <v>0</v>
      </c>
      <c r="BX28" s="566">
        <f>VLOOKUP($A28,'01-02.2021'!$A$6:$CZ$403,76,FALSE)+VLOOKUP($A28,'1.3.21-28.2.22'!$A$6:$DA$404,76,FALSE)-VLOOKUP($A28,'01-02.2022'!$A$6:$DA$376,76,FALSE)</f>
        <v>6.6921009513721543</v>
      </c>
      <c r="BY28" s="70">
        <f t="shared" si="55"/>
        <v>6.6921009513721543</v>
      </c>
      <c r="BZ28" s="566">
        <f>VLOOKUP($A28,'01-02.2021'!$A$6:$CZ$403,78,FALSE)+VLOOKUP($A28,'1.3.21-28.2.22'!$A$6:$DA$404,78,FALSE)-VLOOKUP($A28,'01-02.2022'!$A$6:$DA$376,78,FALSE)</f>
        <v>0</v>
      </c>
      <c r="CA28" s="566">
        <f>VLOOKUP($A28,'01-02.2021'!$A$6:$CZ$403,79,FALSE)+VLOOKUP($A28,'1.3.21-28.2.22'!$A$6:$DA$404,79,FALSE)-VLOOKUP($A28,'01-02.2022'!$A$6:$DA$376,79,FALSE)</f>
        <v>11.88254223641006</v>
      </c>
      <c r="CB28" s="70">
        <f t="shared" si="56"/>
        <v>11.88254223641006</v>
      </c>
      <c r="CC28" s="566">
        <f>VLOOKUP($A28,'01-02.2021'!$A$6:$CZ$403,81,FALSE)+VLOOKUP($A28,'1.3.21-28.2.22'!$A$6:$DA$404,81,FALSE)-VLOOKUP($A28,'01-02.2022'!$A$6:$DA$376,81,FALSE)</f>
        <v>0</v>
      </c>
      <c r="CD28" s="566">
        <f>VLOOKUP($A28,'01-02.2021'!$A$6:$CZ$403,82,FALSE)+VLOOKUP($A28,'1.3.21-28.2.22'!$A$6:$DA$404,82,FALSE)-VLOOKUP($A28,'01-02.2022'!$A$6:$DA$376,82,FALSE)</f>
        <v>0</v>
      </c>
      <c r="CE28" s="70">
        <f t="shared" si="57"/>
        <v>0</v>
      </c>
      <c r="CF28" s="566">
        <f>VLOOKUP($A28,'01-02.2021'!$A$6:$CZ$403,84,FALSE)+VLOOKUP($A28,'1.3.21-28.2.22'!$A$6:$DA$404,84,FALSE)-VLOOKUP($A28,'01-02.2022'!$A$6:$DA$376,84,FALSE)</f>
        <v>0</v>
      </c>
      <c r="CG28" s="566">
        <f>VLOOKUP($A28,'01-02.2021'!$A$6:$CZ$403,85,FALSE)+VLOOKUP($A28,'1.3.21-28.2.22'!$A$6:$DA$404,85,FALSE)-VLOOKUP($A28,'01-02.2022'!$A$6:$DA$376,85,FALSE)</f>
        <v>0</v>
      </c>
      <c r="CH28" s="70">
        <f t="shared" si="58"/>
        <v>0</v>
      </c>
      <c r="CI28" s="566">
        <f>VLOOKUP($A28,'01-02.2021'!$A$6:$CZ$403,87,FALSE)+VLOOKUP($A28,'1.3.21-28.2.22'!$A$6:$DA$404,87,FALSE)-VLOOKUP($A28,'01-02.2022'!$A$6:$DA$376,87,FALSE)</f>
        <v>0</v>
      </c>
      <c r="CJ28" s="566">
        <f>VLOOKUP($A28,'01-02.2021'!$A$6:$CZ$403,88,FALSE)+VLOOKUP($A28,'1.3.21-28.2.22'!$A$6:$DA$404,88,FALSE)-VLOOKUP($A28,'01-02.2022'!$A$6:$DA$376,88,FALSE)</f>
        <v>0</v>
      </c>
      <c r="CK28" s="70">
        <f t="shared" si="59"/>
        <v>0</v>
      </c>
      <c r="CL28" s="566">
        <f>VLOOKUP($A28,'01-02.2021'!$A$6:$CZ$403,90,FALSE)+VLOOKUP($A28,'1.3.21-28.2.22'!$A$6:$DA$404,90,FALSE)-VLOOKUP($A28,'01-02.2022'!$A$6:$DA$376,90,FALSE)</f>
        <v>0</v>
      </c>
      <c r="CM28" s="566">
        <f>VLOOKUP($A28,'01-02.2021'!$A$6:$CZ$403,91,FALSE)+VLOOKUP($A28,'1.3.21-28.2.22'!$A$6:$DA$404,91,FALSE)-VLOOKUP($A28,'01-02.2022'!$A$6:$DA$376,91,FALSE)</f>
        <v>0</v>
      </c>
      <c r="CN28" s="52">
        <f t="shared" si="60"/>
        <v>0</v>
      </c>
      <c r="CO28" s="39">
        <f t="shared" si="27"/>
        <v>0</v>
      </c>
      <c r="CP28" s="40">
        <f t="shared" si="61"/>
        <v>0</v>
      </c>
      <c r="CQ28" s="52">
        <f t="shared" si="62"/>
        <v>0</v>
      </c>
      <c r="CR28" s="72">
        <f t="shared" si="28"/>
        <v>3745.0681675558067</v>
      </c>
      <c r="CS28" s="5">
        <f t="shared" si="28"/>
        <v>3151.6540169256618</v>
      </c>
      <c r="CT28" s="52">
        <f t="shared" si="63"/>
        <v>-593.41415063014483</v>
      </c>
      <c r="CU28" s="77">
        <f t="shared" si="64"/>
        <v>4494.0818010669682</v>
      </c>
      <c r="CV28" s="65">
        <f t="shared" si="65"/>
        <v>3781.984820310794</v>
      </c>
      <c r="CW28" s="35">
        <f t="shared" si="66"/>
        <v>-712.09698075617416</v>
      </c>
      <c r="CX28" s="566">
        <f>VLOOKUP($A28,'01-02.2021'!$A$6:$CZ$403,102,FALSE)+VLOOKUP($A28,'1.3.21-28.2.22'!$A$6:$DA$404,102,FALSE)-VLOOKUP($A28,'01-02.2022'!$A$6:$DA$376,102,FALSE)</f>
        <v>127.47241895313967</v>
      </c>
      <c r="CY28" s="566">
        <f>VLOOKUP($A28,'01-02.2021'!$A$6:$CZ$403,103,FALSE)+VLOOKUP($A28,'1.3.21-28.2.22'!$A$6:$DA$404,103,FALSE)-VLOOKUP($A28,'01-02.2022'!$A$6:$DA$376,103,FALSE)</f>
        <v>839.56939970931307</v>
      </c>
      <c r="CZ28" s="52">
        <f t="shared" si="67"/>
        <v>712.09698075617337</v>
      </c>
      <c r="DA28" s="150">
        <f>'[2]побудинковий звіт'!DA28</f>
        <v>-4616.0100843049713</v>
      </c>
      <c r="DB28" s="2">
        <v>3</v>
      </c>
      <c r="DC28" s="414">
        <f>'[4]побудинковий звіт'!DC28</f>
        <v>678.11</v>
      </c>
      <c r="DD28" s="414">
        <f>'[4]побудинковий звіт'!DD28</f>
        <v>0</v>
      </c>
      <c r="DE28" s="557">
        <f>'[4]побудинковий звіт'!DE28</f>
        <v>258.20124527439788</v>
      </c>
      <c r="DF28" s="557">
        <f>'[4]побудинковий звіт'!DF28</f>
        <v>0</v>
      </c>
      <c r="DG28" s="321">
        <f>VLOOKUP(A28,'кошти 01.03.2021'!$A$6:$D$401,4,)</f>
        <v>-3696.5606209241209</v>
      </c>
      <c r="DH28" s="40">
        <f>'[3]побудинковий звіт'!DJ28</f>
        <v>4786.0543467718635</v>
      </c>
      <c r="DI28" s="422">
        <f>'[3]побудинковий звіт'!CU28+'[3]побудинковий звіт'!CX28</f>
        <v>419.90875472560214</v>
      </c>
      <c r="DJ28" s="306">
        <f>'[3]побудинковий звіт'!DM28</f>
        <v>1.4062583882304156</v>
      </c>
      <c r="DK28" s="306">
        <f t="shared" si="76"/>
        <v>1.4062583882304156</v>
      </c>
      <c r="DL28" s="306">
        <f>'[3]побудинковий звіт'!DO28</f>
        <v>1.4062583882304156</v>
      </c>
      <c r="DM28" s="28">
        <f t="shared" si="77"/>
        <v>419.90875472560214</v>
      </c>
      <c r="DN28" s="28">
        <f t="shared" si="78"/>
        <v>0</v>
      </c>
      <c r="DO28" s="423">
        <f t="shared" si="29"/>
        <v>419.90875472560214</v>
      </c>
      <c r="DP28" s="94">
        <f t="shared" si="30"/>
        <v>0</v>
      </c>
      <c r="DQ28" s="28">
        <f t="shared" si="31"/>
        <v>419.90875472560214</v>
      </c>
      <c r="DR28" s="318"/>
      <c r="DT28" s="8"/>
      <c r="DU28" s="5"/>
      <c r="DX28" s="5">
        <f t="shared" si="32"/>
        <v>3212.9933393312035</v>
      </c>
      <c r="DY28" s="5">
        <f t="shared" si="33"/>
        <v>1446</v>
      </c>
      <c r="DZ28" s="159">
        <f>'[3]побудинковий звіт'!EA28</f>
        <v>344.81801480274873</v>
      </c>
    </row>
    <row r="29" spans="1:130" x14ac:dyDescent="0.3">
      <c r="A29" s="325">
        <v>150000993</v>
      </c>
      <c r="B29" s="41" t="s">
        <v>478</v>
      </c>
      <c r="C29" s="42" t="s">
        <v>42</v>
      </c>
      <c r="D29" s="42"/>
      <c r="E29" s="293">
        <f t="shared" si="23"/>
        <v>298.39999999999998</v>
      </c>
      <c r="F29" s="305">
        <f>'[3]побудинковий звіт'!F29</f>
        <v>298.39999999999998</v>
      </c>
      <c r="G29" s="508">
        <f>'[3]побудинковий звіт'!G29</f>
        <v>0</v>
      </c>
      <c r="H29" s="560">
        <f>'[3]побудинковий звіт'!H29</f>
        <v>0</v>
      </c>
      <c r="I29" s="566">
        <f>VLOOKUP($A29,'01-02.2021'!$A$6:$CZ$403,9,FALSE)+VLOOKUP($A29,'1.3.21-28.2.22'!$A$6:$DA$404,9,FALSE)-VLOOKUP($A29,'01-02.2022'!$A$6:$DA$376,9,FALSE)</f>
        <v>0</v>
      </c>
      <c r="J29" s="566">
        <f>VLOOKUP($A29,'01-02.2021'!$A$6:$CZ$403,10,FALSE)+VLOOKUP($A29,'1.3.21-28.2.22'!$A$6:$DA$404,10,FALSE)-VLOOKUP($A29,'01-02.2022'!$A$6:$DA$376,10,FALSE)</f>
        <v>0</v>
      </c>
      <c r="K29" s="52">
        <f t="shared" si="34"/>
        <v>0</v>
      </c>
      <c r="L29" s="566">
        <f>VLOOKUP($A29,'01-02.2021'!$A$6:$CZ$403,12,FALSE)+VLOOKUP($A29,'1.3.21-28.2.22'!$A$6:$DA$404,12,FALSE)-VLOOKUP($A29,'01-02.2022'!$A$6:$DA$376,12,FALSE)</f>
        <v>0</v>
      </c>
      <c r="M29" s="566">
        <f>VLOOKUP($A29,'01-02.2021'!$A$6:$CZ$403,13,FALSE)+VLOOKUP($A29,'1.3.21-28.2.22'!$A$6:$DA$404,13,FALSE)-VLOOKUP($A29,'01-02.2022'!$A$6:$DA$376,13,FALSE)</f>
        <v>0</v>
      </c>
      <c r="N29" s="52">
        <f t="shared" si="35"/>
        <v>0</v>
      </c>
      <c r="O29" s="566">
        <f>VLOOKUP($A29,'01-02.2021'!$A$6:$CZ$403,15,FALSE)+VLOOKUP($A29,'1.3.21-28.2.22'!$A$6:$DA$404,15,FALSE)-VLOOKUP($A29,'01-02.2022'!$A$6:$DA$376,15,FALSE)</f>
        <v>0</v>
      </c>
      <c r="P29" s="566">
        <f>VLOOKUP($A29,'01-02.2021'!$A$6:$CZ$403,16,FALSE)+VLOOKUP($A29,'1.3.21-28.2.22'!$A$6:$DA$404,16,FALSE)-VLOOKUP($A29,'01-02.2022'!$A$6:$DA$376,16,FALSE)</f>
        <v>0</v>
      </c>
      <c r="Q29" s="70">
        <f t="shared" si="36"/>
        <v>0</v>
      </c>
      <c r="R29" s="566">
        <f>VLOOKUP($A29,'01-02.2021'!$A$6:$CZ$403,18,FALSE)+VLOOKUP($A29,'1.3.21-28.2.22'!$A$6:$DA$404,18,FALSE)-VLOOKUP($A29,'01-02.2022'!$A$6:$DA$376,18,FALSE)</f>
        <v>0</v>
      </c>
      <c r="S29" s="566">
        <f>VLOOKUP($A29,'01-02.2021'!$A$6:$CZ$403,19,FALSE)+VLOOKUP($A29,'1.3.21-28.2.22'!$A$6:$DA$404,19,FALSE)-VLOOKUP($A29,'01-02.2022'!$A$6:$DA$376,19,FALSE)</f>
        <v>0</v>
      </c>
      <c r="T29" s="70">
        <f t="shared" si="37"/>
        <v>0</v>
      </c>
      <c r="U29" s="566">
        <f>VLOOKUP($A29,'01-02.2021'!$A$6:$CZ$403,21,FALSE)+VLOOKUP($A29,'1.3.21-28.2.22'!$A$6:$DA$404,21,FALSE)-VLOOKUP($A29,'01-02.2022'!$A$6:$DA$376,21,FALSE)</f>
        <v>0</v>
      </c>
      <c r="V29" s="566">
        <f>VLOOKUP($A29,'01-02.2021'!$A$6:$CZ$403,22,FALSE)+VLOOKUP($A29,'1.3.21-28.2.22'!$A$6:$DA$404,22,FALSE)-VLOOKUP($A29,'01-02.2022'!$A$6:$DA$376,22,FALSE)</f>
        <v>0</v>
      </c>
      <c r="W29" s="70">
        <f t="shared" si="38"/>
        <v>0</v>
      </c>
      <c r="X29" s="566">
        <f>VLOOKUP($A29,'01-02.2021'!$A$6:$CZ$403,24,FALSE)+VLOOKUP($A29,'1.3.21-28.2.22'!$A$6:$DA$404,24,FALSE)-VLOOKUP($A29,'01-02.2022'!$A$6:$DA$376,24,FALSE)</f>
        <v>0</v>
      </c>
      <c r="Y29" s="566">
        <f>VLOOKUP($A29,'01-02.2021'!$A$6:$CZ$403,25,FALSE)+VLOOKUP($A29,'1.3.21-28.2.22'!$A$6:$DA$404,25,FALSE)-VLOOKUP($A29,'01-02.2022'!$A$6:$DA$376,25,FALSE)</f>
        <v>0</v>
      </c>
      <c r="Z29" s="70">
        <f t="shared" si="39"/>
        <v>0</v>
      </c>
      <c r="AA29" s="566">
        <f>VLOOKUP($A29,'01-02.2021'!$A$6:$CZ$403,27,FALSE)+VLOOKUP($A29,'1.3.21-28.2.22'!$A$6:$DA$404,27,FALSE)-VLOOKUP($A29,'01-02.2022'!$A$6:$DA$376,27,FALSE)</f>
        <v>59.68</v>
      </c>
      <c r="AB29" s="566">
        <f>VLOOKUP($A29,'01-02.2021'!$A$6:$CZ$403,28,FALSE)+VLOOKUP($A29,'1.3.21-28.2.22'!$A$6:$DA$404,28,FALSE)-VLOOKUP($A29,'01-02.2022'!$A$6:$DA$376,28,FALSE)</f>
        <v>0</v>
      </c>
      <c r="AC29" s="70">
        <f t="shared" si="40"/>
        <v>-59.68</v>
      </c>
      <c r="AD29" s="566">
        <f>VLOOKUP($A29,'01-02.2021'!$A$6:$CZ$403,30,FALSE)+VLOOKUP($A29,'1.3.21-28.2.22'!$A$6:$DA$404,30,FALSE)-VLOOKUP($A29,'01-02.2022'!$A$6:$DA$376,30,FALSE)</f>
        <v>448.15627089382701</v>
      </c>
      <c r="AE29" s="566">
        <f>VLOOKUP($A29,'01-02.2021'!$A$6:$CZ$403,31,FALSE)+VLOOKUP($A29,'1.3.21-28.2.22'!$A$6:$DA$404,31,FALSE)-VLOOKUP($A29,'01-02.2022'!$A$6:$DA$376,31,FALSE)</f>
        <v>1358.3288232075058</v>
      </c>
      <c r="AF29" s="68">
        <f t="shared" si="41"/>
        <v>910.17255231367881</v>
      </c>
      <c r="AG29" s="77">
        <f t="shared" si="24"/>
        <v>507.83627089382702</v>
      </c>
      <c r="AH29" s="53">
        <f t="shared" si="24"/>
        <v>1358.3288232075058</v>
      </c>
      <c r="AI29" s="52">
        <f t="shared" si="42"/>
        <v>850.49255231367874</v>
      </c>
      <c r="AJ29" s="566">
        <f>VLOOKUP($A29,'01-02.2021'!$A$6:$CZ$403,36,FALSE)+VLOOKUP($A29,'1.3.21-28.2.22'!$A$6:$DA$404,36,FALSE)-VLOOKUP($A29,'01-02.2022'!$A$6:$DA$376,36,FALSE)</f>
        <v>0</v>
      </c>
      <c r="AK29" s="566">
        <f>VLOOKUP($A29,'01-02.2021'!$A$6:$CZ$403,37,FALSE)+VLOOKUP($A29,'1.3.21-28.2.22'!$A$6:$DA$404,37,FALSE)-VLOOKUP($A29,'01-02.2022'!$A$6:$DA$376,37,FALSE)</f>
        <v>0</v>
      </c>
      <c r="AL29" s="70">
        <f t="shared" si="43"/>
        <v>0</v>
      </c>
      <c r="AM29" s="566">
        <f>VLOOKUP($A29,'01-02.2021'!$A$6:$CZ$403,39,FALSE)+VLOOKUP($A29,'1.3.21-28.2.22'!$A$6:$DA$404,39,FALSE)-VLOOKUP($A29,'01-02.2022'!$A$6:$DA$376,39,FALSE)</f>
        <v>0</v>
      </c>
      <c r="AN29" s="566">
        <f>VLOOKUP($A29,'01-02.2021'!$A$6:$CZ$403,40,FALSE)+VLOOKUP($A29,'1.3.21-28.2.22'!$A$6:$DA$404,40,FALSE)-VLOOKUP($A29,'01-02.2022'!$A$6:$DA$376,40,FALSE)</f>
        <v>0</v>
      </c>
      <c r="AO29" s="70">
        <f t="shared" si="44"/>
        <v>0</v>
      </c>
      <c r="AP29" s="566">
        <f>VLOOKUP($A29,'01-02.2021'!$A$6:$CZ$403,42,FALSE)+VLOOKUP($A29,'1.3.21-28.2.22'!$A$6:$DA$404,42,FALSE)-VLOOKUP($A29,'01-02.2022'!$A$6:$DA$376,42,FALSE)</f>
        <v>520.55992501277728</v>
      </c>
      <c r="AQ29" s="566">
        <f>VLOOKUP($A29,'01-02.2021'!$A$6:$CZ$403,43,FALSE)+VLOOKUP($A29,'1.3.21-28.2.22'!$A$6:$DA$404,43,FALSE)-VLOOKUP($A29,'01-02.2022'!$A$6:$DA$376,43,FALSE)</f>
        <v>448.76449922990878</v>
      </c>
      <c r="AR29" s="70">
        <f t="shared" si="45"/>
        <v>-71.795425782868506</v>
      </c>
      <c r="AS29" s="566">
        <f>VLOOKUP($A29,'01-02.2021'!$A$6:$CZ$403,45,FALSE)+VLOOKUP($A29,'1.3.21-28.2.22'!$A$6:$DA$404,45,FALSE)-VLOOKUP($A29,'01-02.2022'!$A$6:$DA$376,45,FALSE)</f>
        <v>2625.6283645897802</v>
      </c>
      <c r="AT29" s="566">
        <f>VLOOKUP($A29,'01-02.2021'!$A$6:$CZ$403,46,FALSE)+VLOOKUP($A29,'1.3.21-28.2.22'!$A$6:$DA$404,46,FALSE)-VLOOKUP($A29,'01-02.2022'!$A$6:$DA$376,46,FALSE)</f>
        <v>575</v>
      </c>
      <c r="AU29" s="78">
        <f t="shared" si="46"/>
        <v>-2050.6283645897802</v>
      </c>
      <c r="AV29" s="566">
        <f>VLOOKUP($A29,'01-02.2021'!$A$6:$CZ$403,48,FALSE)+VLOOKUP($A29,'1.3.21-28.2.22'!$A$6:$DA$404,48,FALSE)-VLOOKUP($A29,'01-02.2022'!$A$6:$DA$376,48,FALSE)</f>
        <v>0</v>
      </c>
      <c r="AW29" s="566">
        <f>VLOOKUP($A29,'01-02.2021'!$A$6:$CZ$403,49,FALSE)+VLOOKUP($A29,'1.3.21-28.2.22'!$A$6:$DA$404,49,FALSE)-VLOOKUP($A29,'01-02.2022'!$A$6:$DA$376,49,FALSE)</f>
        <v>0</v>
      </c>
      <c r="AX29" s="55">
        <f t="shared" si="47"/>
        <v>0</v>
      </c>
      <c r="AY29" s="566">
        <f>VLOOKUP($A29,'01-02.2021'!$A$6:$CZ$403,51,FALSE)+VLOOKUP($A29,'1.3.21-28.2.22'!$A$6:$DA$404,51,FALSE)-VLOOKUP($A29,'01-02.2022'!$A$6:$DA$376,51,FALSE)</f>
        <v>0</v>
      </c>
      <c r="AZ29" s="566">
        <f>VLOOKUP($A29,'01-02.2021'!$A$6:$CZ$403,52,FALSE)+VLOOKUP($A29,'1.3.21-28.2.22'!$A$6:$DA$404,52,FALSE)-VLOOKUP($A29,'01-02.2022'!$A$6:$DA$376,52,FALSE)</f>
        <v>0</v>
      </c>
      <c r="BA29" s="38">
        <f t="shared" si="48"/>
        <v>0</v>
      </c>
      <c r="BB29" s="566">
        <f>VLOOKUP($A29,'01-02.2021'!$A$6:$CZ$403,54,FALSE)+VLOOKUP($A29,'1.3.21-28.2.22'!$A$6:$DA$404,54,FALSE)-VLOOKUP($A29,'01-02.2022'!$A$6:$DA$376,54,FALSE)</f>
        <v>0</v>
      </c>
      <c r="BC29" s="566">
        <f>VLOOKUP($A29,'01-02.2021'!$A$6:$CZ$403,55,FALSE)+VLOOKUP($A29,'1.3.21-28.2.22'!$A$6:$DA$404,55,FALSE)-VLOOKUP($A29,'01-02.2022'!$A$6:$DA$376,55,FALSE)</f>
        <v>0</v>
      </c>
      <c r="BD29" s="55">
        <f t="shared" si="49"/>
        <v>0</v>
      </c>
      <c r="BE29" s="566">
        <f>VLOOKUP($A29,'01-02.2021'!$A$6:$CZ$403,57,FALSE)+VLOOKUP($A29,'1.3.21-28.2.22'!$A$6:$DA$404,57,FALSE)-VLOOKUP($A29,'01-02.2022'!$A$6:$DA$376,57,FALSE)</f>
        <v>0</v>
      </c>
      <c r="BF29" s="566">
        <f>VLOOKUP($A29,'01-02.2021'!$A$6:$CZ$403,58,FALSE)+VLOOKUP($A29,'1.3.21-28.2.22'!$A$6:$DA$404,58,FALSE)-VLOOKUP($A29,'01-02.2022'!$A$6:$DA$376,58,FALSE)</f>
        <v>0</v>
      </c>
      <c r="BG29" s="55">
        <f t="shared" si="50"/>
        <v>0</v>
      </c>
      <c r="BH29" s="566">
        <f>VLOOKUP($A29,'01-02.2021'!$A$6:$CZ$403,60,FALSE)+VLOOKUP($A29,'1.3.21-28.2.22'!$A$6:$DA$404,60,FALSE)-VLOOKUP($A29,'01-02.2022'!$A$6:$DA$376,60,FALSE)</f>
        <v>0</v>
      </c>
      <c r="BI29" s="566">
        <f>VLOOKUP($A29,'01-02.2021'!$A$6:$CZ$403,61,FALSE)+VLOOKUP($A29,'1.3.21-28.2.22'!$A$6:$DA$404,61,FALSE)-VLOOKUP($A29,'01-02.2022'!$A$6:$DA$376,61,FALSE)</f>
        <v>0</v>
      </c>
      <c r="BJ29" s="55">
        <f t="shared" si="51"/>
        <v>0</v>
      </c>
      <c r="BK29" s="566">
        <f>VLOOKUP($A29,'01-02.2021'!$A$6:$CZ$403,63,FALSE)+VLOOKUP($A29,'1.3.21-28.2.22'!$A$6:$DA$404,63,FALSE)-VLOOKUP($A29,'01-02.2022'!$A$6:$DA$376,63,FALSE)</f>
        <v>0</v>
      </c>
      <c r="BL29" s="566">
        <f>VLOOKUP($A29,'01-02.2021'!$A$6:$CZ$403,64,FALSE)+VLOOKUP($A29,'1.3.21-28.2.22'!$A$6:$DA$404,64,FALSE)-VLOOKUP($A29,'01-02.2022'!$A$6:$DA$376,64,FALSE)</f>
        <v>0</v>
      </c>
      <c r="BM29" s="55">
        <f t="shared" si="52"/>
        <v>0</v>
      </c>
      <c r="BN29" s="566">
        <f>VLOOKUP($A29,'01-02.2021'!$A$6:$CZ$403,66,FALSE)+VLOOKUP($A29,'1.3.21-28.2.22'!$A$6:$DA$404,66,FALSE)-VLOOKUP($A29,'01-02.2022'!$A$6:$DA$376,66,FALSE)</f>
        <v>14.92</v>
      </c>
      <c r="BO29" s="566">
        <f>VLOOKUP($A29,'01-02.2021'!$A$6:$CZ$403,67,FALSE)+VLOOKUP($A29,'1.3.21-28.2.22'!$A$6:$DA$404,67,FALSE)-VLOOKUP($A29,'01-02.2022'!$A$6:$DA$376,67,FALSE)</f>
        <v>0</v>
      </c>
      <c r="BP29" s="55">
        <f t="shared" si="53"/>
        <v>-14.92</v>
      </c>
      <c r="BQ29" s="77">
        <f t="shared" si="25"/>
        <v>14.92</v>
      </c>
      <c r="BR29" s="40">
        <f t="shared" si="26"/>
        <v>0</v>
      </c>
      <c r="BS29" s="55">
        <f t="shared" si="70"/>
        <v>-14.92</v>
      </c>
      <c r="BT29" s="566">
        <f>VLOOKUP($A29,'01-02.2021'!$A$6:$CZ$403,72,FALSE)+VLOOKUP($A29,'1.3.21-28.2.22'!$A$6:$DA$404,72,FALSE)-VLOOKUP($A29,'01-02.2022'!$A$6:$DA$376,72,FALSE)</f>
        <v>97.701960579639803</v>
      </c>
      <c r="BU29" s="566">
        <f>VLOOKUP($A29,'01-02.2021'!$A$6:$CZ$403,73,FALSE)+VLOOKUP($A29,'1.3.21-28.2.22'!$A$6:$DA$404,73,FALSE)-VLOOKUP($A29,'01-02.2022'!$A$6:$DA$376,73,FALSE)</f>
        <v>151.55132144799228</v>
      </c>
      <c r="BV29" s="70">
        <f t="shared" si="54"/>
        <v>53.849360868352477</v>
      </c>
      <c r="BW29" s="566">
        <f>VLOOKUP($A29,'01-02.2021'!$A$6:$CZ$403,75,FALSE)+VLOOKUP($A29,'1.3.21-28.2.22'!$A$6:$DA$404,75,FALSE)-VLOOKUP($A29,'01-02.2022'!$A$6:$DA$376,75,FALSE)</f>
        <v>0</v>
      </c>
      <c r="BX29" s="566">
        <f>VLOOKUP($A29,'01-02.2021'!$A$6:$CZ$403,76,FALSE)+VLOOKUP($A29,'1.3.21-28.2.22'!$A$6:$DA$404,76,FALSE)-VLOOKUP($A29,'01-02.2022'!$A$6:$DA$376,76,FALSE)</f>
        <v>6.6876186332533498</v>
      </c>
      <c r="BY29" s="70">
        <f t="shared" si="55"/>
        <v>6.6876186332533498</v>
      </c>
      <c r="BZ29" s="566">
        <f>VLOOKUP($A29,'01-02.2021'!$A$6:$CZ$403,78,FALSE)+VLOOKUP($A29,'1.3.21-28.2.22'!$A$6:$DA$404,78,FALSE)-VLOOKUP($A29,'01-02.2022'!$A$6:$DA$376,78,FALSE)</f>
        <v>0</v>
      </c>
      <c r="CA29" s="566">
        <f>VLOOKUP($A29,'01-02.2021'!$A$6:$CZ$403,79,FALSE)+VLOOKUP($A29,'1.3.21-28.2.22'!$A$6:$DA$404,79,FALSE)-VLOOKUP($A29,'01-02.2022'!$A$6:$DA$376,79,FALSE)</f>
        <v>9.2436406512338465</v>
      </c>
      <c r="CB29" s="70">
        <f t="shared" si="56"/>
        <v>9.2436406512338465</v>
      </c>
      <c r="CC29" s="566">
        <f>VLOOKUP($A29,'01-02.2021'!$A$6:$CZ$403,81,FALSE)+VLOOKUP($A29,'1.3.21-28.2.22'!$A$6:$DA$404,81,FALSE)-VLOOKUP($A29,'01-02.2022'!$A$6:$DA$376,81,FALSE)</f>
        <v>0</v>
      </c>
      <c r="CD29" s="566">
        <f>VLOOKUP($A29,'01-02.2021'!$A$6:$CZ$403,82,FALSE)+VLOOKUP($A29,'1.3.21-28.2.22'!$A$6:$DA$404,82,FALSE)-VLOOKUP($A29,'01-02.2022'!$A$6:$DA$376,82,FALSE)</f>
        <v>0</v>
      </c>
      <c r="CE29" s="70">
        <f t="shared" si="57"/>
        <v>0</v>
      </c>
      <c r="CF29" s="566">
        <f>VLOOKUP($A29,'01-02.2021'!$A$6:$CZ$403,84,FALSE)+VLOOKUP($A29,'1.3.21-28.2.22'!$A$6:$DA$404,84,FALSE)-VLOOKUP($A29,'01-02.2022'!$A$6:$DA$376,84,FALSE)</f>
        <v>0</v>
      </c>
      <c r="CG29" s="566">
        <f>VLOOKUP($A29,'01-02.2021'!$A$6:$CZ$403,85,FALSE)+VLOOKUP($A29,'1.3.21-28.2.22'!$A$6:$DA$404,85,FALSE)-VLOOKUP($A29,'01-02.2022'!$A$6:$DA$376,85,FALSE)</f>
        <v>0</v>
      </c>
      <c r="CH29" s="70">
        <f t="shared" si="58"/>
        <v>0</v>
      </c>
      <c r="CI29" s="566">
        <f>VLOOKUP($A29,'01-02.2021'!$A$6:$CZ$403,87,FALSE)+VLOOKUP($A29,'1.3.21-28.2.22'!$A$6:$DA$404,87,FALSE)-VLOOKUP($A29,'01-02.2022'!$A$6:$DA$376,87,FALSE)</f>
        <v>0</v>
      </c>
      <c r="CJ29" s="566">
        <f>VLOOKUP($A29,'01-02.2021'!$A$6:$CZ$403,88,FALSE)+VLOOKUP($A29,'1.3.21-28.2.22'!$A$6:$DA$404,88,FALSE)-VLOOKUP($A29,'01-02.2022'!$A$6:$DA$376,88,FALSE)</f>
        <v>0</v>
      </c>
      <c r="CK29" s="70">
        <f t="shared" si="59"/>
        <v>0</v>
      </c>
      <c r="CL29" s="566">
        <f>VLOOKUP($A29,'01-02.2021'!$A$6:$CZ$403,90,FALSE)+VLOOKUP($A29,'1.3.21-28.2.22'!$A$6:$DA$404,90,FALSE)-VLOOKUP($A29,'01-02.2022'!$A$6:$DA$376,90,FALSE)</f>
        <v>0</v>
      </c>
      <c r="CM29" s="566">
        <f>VLOOKUP($A29,'01-02.2021'!$A$6:$CZ$403,91,FALSE)+VLOOKUP($A29,'1.3.21-28.2.22'!$A$6:$DA$404,91,FALSE)-VLOOKUP($A29,'01-02.2022'!$A$6:$DA$376,91,FALSE)</f>
        <v>0</v>
      </c>
      <c r="CN29" s="52">
        <f t="shared" si="60"/>
        <v>0</v>
      </c>
      <c r="CO29" s="39">
        <f t="shared" si="27"/>
        <v>0</v>
      </c>
      <c r="CP29" s="40">
        <f t="shared" si="61"/>
        <v>0</v>
      </c>
      <c r="CQ29" s="52">
        <f t="shared" si="62"/>
        <v>0</v>
      </c>
      <c r="CR29" s="72">
        <f t="shared" si="28"/>
        <v>3766.6465210760248</v>
      </c>
      <c r="CS29" s="5">
        <f t="shared" si="28"/>
        <v>2549.5759031698944</v>
      </c>
      <c r="CT29" s="52">
        <f t="shared" si="63"/>
        <v>-1217.0706179061303</v>
      </c>
      <c r="CU29" s="77">
        <f t="shared" si="64"/>
        <v>4519.9758252912297</v>
      </c>
      <c r="CV29" s="65">
        <f t="shared" si="65"/>
        <v>3059.4910838038732</v>
      </c>
      <c r="CW29" s="35">
        <f t="shared" si="66"/>
        <v>-1460.4847414873566</v>
      </c>
      <c r="CX29" s="566">
        <f>VLOOKUP($A29,'01-02.2021'!$A$6:$CZ$403,102,FALSE)+VLOOKUP($A29,'1.3.21-28.2.22'!$A$6:$DA$404,102,FALSE)-VLOOKUP($A29,'01-02.2022'!$A$6:$DA$376,102,FALSE)</f>
        <v>128.27431967678649</v>
      </c>
      <c r="CY29" s="566">
        <f>VLOOKUP($A29,'01-02.2021'!$A$6:$CZ$403,103,FALSE)+VLOOKUP($A29,'1.3.21-28.2.22'!$A$6:$DA$404,103,FALSE)-VLOOKUP($A29,'01-02.2022'!$A$6:$DA$376,103,FALSE)</f>
        <v>1588.7590611641426</v>
      </c>
      <c r="CZ29" s="52">
        <f t="shared" si="67"/>
        <v>1460.4847414873561</v>
      </c>
      <c r="DA29" s="150">
        <f>'[2]побудинковий звіт'!DA29</f>
        <v>-5446.8948197575228</v>
      </c>
      <c r="DB29" s="2">
        <v>3</v>
      </c>
      <c r="DC29" s="414">
        <f>'[4]побудинковий звіт'!DC29</f>
        <v>422.07</v>
      </c>
      <c r="DD29" s="414">
        <f>'[4]побудинковий звіт'!DD29</f>
        <v>0</v>
      </c>
      <c r="DE29" s="557">
        <f>'[4]побудинковий звіт'!DE29</f>
        <v>1.9748004147572829E-3</v>
      </c>
      <c r="DF29" s="557">
        <f>'[4]побудинковий звіт'!DF29</f>
        <v>0</v>
      </c>
      <c r="DG29" s="321">
        <f>VLOOKUP(A29,'кошти 01.03.2021'!$A$6:$D$401,4,)</f>
        <v>-3069.4520768689899</v>
      </c>
      <c r="DH29" s="40">
        <f>'[3]побудинковий звіт'!DJ29</f>
        <v>4812.4196004414816</v>
      </c>
      <c r="DI29" s="422">
        <f>'[3]побудинковий звіт'!CU29+'[3]побудинковий звіт'!CX29</f>
        <v>422.06802519958524</v>
      </c>
      <c r="DJ29" s="306">
        <f>'[3]побудинковий звіт'!DM29</f>
        <v>1.4144370817680472</v>
      </c>
      <c r="DK29" s="306">
        <f t="shared" si="76"/>
        <v>1.4144370817680472</v>
      </c>
      <c r="DL29" s="306">
        <f>'[3]побудинковий звіт'!DO29</f>
        <v>1.4144370817680472</v>
      </c>
      <c r="DM29" s="28">
        <f t="shared" si="77"/>
        <v>422.06802519958524</v>
      </c>
      <c r="DN29" s="28">
        <f t="shared" si="78"/>
        <v>0</v>
      </c>
      <c r="DO29" s="423">
        <f t="shared" si="29"/>
        <v>422.06802519958524</v>
      </c>
      <c r="DP29" s="94">
        <f t="shared" si="30"/>
        <v>0</v>
      </c>
      <c r="DQ29" s="28">
        <f t="shared" si="31"/>
        <v>422.06802519958524</v>
      </c>
      <c r="DR29" s="318"/>
      <c r="DT29" s="8"/>
      <c r="DU29" s="5"/>
      <c r="DX29" s="5">
        <f t="shared" si="32"/>
        <v>3168.658037507736</v>
      </c>
      <c r="DY29" s="5">
        <f t="shared" si="33"/>
        <v>690</v>
      </c>
      <c r="DZ29" s="159">
        <f>'[3]побудинковий звіт'!EA29</f>
        <v>342.2606005975415</v>
      </c>
    </row>
    <row r="30" spans="1:130" x14ac:dyDescent="0.3">
      <c r="A30" s="325">
        <v>150001000</v>
      </c>
      <c r="B30" s="41" t="s">
        <v>479</v>
      </c>
      <c r="C30" s="42" t="s">
        <v>43</v>
      </c>
      <c r="D30" s="42"/>
      <c r="E30" s="293">
        <f t="shared" si="23"/>
        <v>236.7</v>
      </c>
      <c r="F30" s="305">
        <f>'[3]побудинковий звіт'!F30</f>
        <v>236.7</v>
      </c>
      <c r="G30" s="508">
        <f>'[3]побудинковий звіт'!G30</f>
        <v>0</v>
      </c>
      <c r="H30" s="560">
        <f>'[3]побудинковий звіт'!H30</f>
        <v>0</v>
      </c>
      <c r="I30" s="566">
        <f>VLOOKUP($A30,'01-02.2021'!$A$6:$CZ$403,9,FALSE)+VLOOKUP($A30,'1.3.21-28.2.22'!$A$6:$DA$404,9,FALSE)-VLOOKUP($A30,'01-02.2022'!$A$6:$DA$376,9,FALSE)</f>
        <v>0</v>
      </c>
      <c r="J30" s="566">
        <f>VLOOKUP($A30,'01-02.2021'!$A$6:$CZ$403,10,FALSE)+VLOOKUP($A30,'1.3.21-28.2.22'!$A$6:$DA$404,10,FALSE)-VLOOKUP($A30,'01-02.2022'!$A$6:$DA$376,10,FALSE)</f>
        <v>0</v>
      </c>
      <c r="K30" s="52">
        <f t="shared" si="34"/>
        <v>0</v>
      </c>
      <c r="L30" s="566">
        <f>VLOOKUP($A30,'01-02.2021'!$A$6:$CZ$403,12,FALSE)+VLOOKUP($A30,'1.3.21-28.2.22'!$A$6:$DA$404,12,FALSE)-VLOOKUP($A30,'01-02.2022'!$A$6:$DA$376,12,FALSE)</f>
        <v>0</v>
      </c>
      <c r="M30" s="566">
        <f>VLOOKUP($A30,'01-02.2021'!$A$6:$CZ$403,13,FALSE)+VLOOKUP($A30,'1.3.21-28.2.22'!$A$6:$DA$404,13,FALSE)-VLOOKUP($A30,'01-02.2022'!$A$6:$DA$376,13,FALSE)</f>
        <v>0</v>
      </c>
      <c r="N30" s="52">
        <f t="shared" si="35"/>
        <v>0</v>
      </c>
      <c r="O30" s="566">
        <f>VLOOKUP($A30,'01-02.2021'!$A$6:$CZ$403,15,FALSE)+VLOOKUP($A30,'1.3.21-28.2.22'!$A$6:$DA$404,15,FALSE)-VLOOKUP($A30,'01-02.2022'!$A$6:$DA$376,15,FALSE)</f>
        <v>0</v>
      </c>
      <c r="P30" s="566">
        <f>VLOOKUP($A30,'01-02.2021'!$A$6:$CZ$403,16,FALSE)+VLOOKUP($A30,'1.3.21-28.2.22'!$A$6:$DA$404,16,FALSE)-VLOOKUP($A30,'01-02.2022'!$A$6:$DA$376,16,FALSE)</f>
        <v>0</v>
      </c>
      <c r="Q30" s="70">
        <f t="shared" si="36"/>
        <v>0</v>
      </c>
      <c r="R30" s="566">
        <f>VLOOKUP($A30,'01-02.2021'!$A$6:$CZ$403,18,FALSE)+VLOOKUP($A30,'1.3.21-28.2.22'!$A$6:$DA$404,18,FALSE)-VLOOKUP($A30,'01-02.2022'!$A$6:$DA$376,18,FALSE)</f>
        <v>0</v>
      </c>
      <c r="S30" s="566">
        <f>VLOOKUP($A30,'01-02.2021'!$A$6:$CZ$403,19,FALSE)+VLOOKUP($A30,'1.3.21-28.2.22'!$A$6:$DA$404,19,FALSE)-VLOOKUP($A30,'01-02.2022'!$A$6:$DA$376,19,FALSE)</f>
        <v>0</v>
      </c>
      <c r="T30" s="70">
        <f t="shared" si="37"/>
        <v>0</v>
      </c>
      <c r="U30" s="566">
        <f>VLOOKUP($A30,'01-02.2021'!$A$6:$CZ$403,21,FALSE)+VLOOKUP($A30,'1.3.21-28.2.22'!$A$6:$DA$404,21,FALSE)-VLOOKUP($A30,'01-02.2022'!$A$6:$DA$376,21,FALSE)</f>
        <v>0</v>
      </c>
      <c r="V30" s="566">
        <f>VLOOKUP($A30,'01-02.2021'!$A$6:$CZ$403,22,FALSE)+VLOOKUP($A30,'1.3.21-28.2.22'!$A$6:$DA$404,22,FALSE)-VLOOKUP($A30,'01-02.2022'!$A$6:$DA$376,22,FALSE)</f>
        <v>0</v>
      </c>
      <c r="W30" s="70">
        <f t="shared" si="38"/>
        <v>0</v>
      </c>
      <c r="X30" s="566">
        <f>VLOOKUP($A30,'01-02.2021'!$A$6:$CZ$403,24,FALSE)+VLOOKUP($A30,'1.3.21-28.2.22'!$A$6:$DA$404,24,FALSE)-VLOOKUP($A30,'01-02.2022'!$A$6:$DA$376,24,FALSE)</f>
        <v>0</v>
      </c>
      <c r="Y30" s="566">
        <f>VLOOKUP($A30,'01-02.2021'!$A$6:$CZ$403,25,FALSE)+VLOOKUP($A30,'1.3.21-28.2.22'!$A$6:$DA$404,25,FALSE)-VLOOKUP($A30,'01-02.2022'!$A$6:$DA$376,25,FALSE)</f>
        <v>0</v>
      </c>
      <c r="Z30" s="70">
        <f t="shared" si="39"/>
        <v>0</v>
      </c>
      <c r="AA30" s="566">
        <f>VLOOKUP($A30,'01-02.2021'!$A$6:$CZ$403,27,FALSE)+VLOOKUP($A30,'1.3.21-28.2.22'!$A$6:$DA$404,27,FALSE)-VLOOKUP($A30,'01-02.2022'!$A$6:$DA$376,27,FALSE)</f>
        <v>47.34</v>
      </c>
      <c r="AB30" s="566">
        <f>VLOOKUP($A30,'01-02.2021'!$A$6:$CZ$403,28,FALSE)+VLOOKUP($A30,'1.3.21-28.2.22'!$A$6:$DA$404,28,FALSE)-VLOOKUP($A30,'01-02.2022'!$A$6:$DA$376,28,FALSE)</f>
        <v>0</v>
      </c>
      <c r="AC30" s="70">
        <f t="shared" si="40"/>
        <v>-47.34</v>
      </c>
      <c r="AD30" s="566">
        <f>VLOOKUP($A30,'01-02.2021'!$A$6:$CZ$403,30,FALSE)+VLOOKUP($A30,'1.3.21-28.2.22'!$A$6:$DA$404,30,FALSE)-VLOOKUP($A30,'01-02.2022'!$A$6:$DA$376,30,FALSE)</f>
        <v>355.46742744143171</v>
      </c>
      <c r="AE30" s="566">
        <f>VLOOKUP($A30,'01-02.2021'!$A$6:$CZ$403,31,FALSE)+VLOOKUP($A30,'1.3.21-28.2.22'!$A$6:$DA$404,31,FALSE)-VLOOKUP($A30,'01-02.2022'!$A$6:$DA$376,31,FALSE)</f>
        <v>1077.4679371756592</v>
      </c>
      <c r="AF30" s="68">
        <f t="shared" si="41"/>
        <v>722.00050973422753</v>
      </c>
      <c r="AG30" s="77">
        <f t="shared" si="24"/>
        <v>402.80742744143174</v>
      </c>
      <c r="AH30" s="53">
        <f t="shared" si="24"/>
        <v>1077.4679371756592</v>
      </c>
      <c r="AI30" s="52">
        <f t="shared" si="42"/>
        <v>674.6605097342275</v>
      </c>
      <c r="AJ30" s="566">
        <f>VLOOKUP($A30,'01-02.2021'!$A$6:$CZ$403,36,FALSE)+VLOOKUP($A30,'1.3.21-28.2.22'!$A$6:$DA$404,36,FALSE)-VLOOKUP($A30,'01-02.2022'!$A$6:$DA$376,36,FALSE)</f>
        <v>0</v>
      </c>
      <c r="AK30" s="566">
        <f>VLOOKUP($A30,'01-02.2021'!$A$6:$CZ$403,37,FALSE)+VLOOKUP($A30,'1.3.21-28.2.22'!$A$6:$DA$404,37,FALSE)-VLOOKUP($A30,'01-02.2022'!$A$6:$DA$376,37,FALSE)</f>
        <v>0</v>
      </c>
      <c r="AL30" s="70">
        <f t="shared" si="43"/>
        <v>0</v>
      </c>
      <c r="AM30" s="566">
        <f>VLOOKUP($A30,'01-02.2021'!$A$6:$CZ$403,39,FALSE)+VLOOKUP($A30,'1.3.21-28.2.22'!$A$6:$DA$404,39,FALSE)-VLOOKUP($A30,'01-02.2022'!$A$6:$DA$376,39,FALSE)</f>
        <v>0</v>
      </c>
      <c r="AN30" s="566">
        <f>VLOOKUP($A30,'01-02.2021'!$A$6:$CZ$403,40,FALSE)+VLOOKUP($A30,'1.3.21-28.2.22'!$A$6:$DA$404,40,FALSE)-VLOOKUP($A30,'01-02.2022'!$A$6:$DA$376,40,FALSE)</f>
        <v>0</v>
      </c>
      <c r="AO30" s="70">
        <f t="shared" si="44"/>
        <v>0</v>
      </c>
      <c r="AP30" s="566">
        <f>VLOOKUP($A30,'01-02.2021'!$A$6:$CZ$403,42,FALSE)+VLOOKUP($A30,'1.3.21-28.2.22'!$A$6:$DA$404,42,FALSE)-VLOOKUP($A30,'01-02.2022'!$A$6:$DA$376,42,FALSE)</f>
        <v>433.79993751064791</v>
      </c>
      <c r="AQ30" s="566">
        <f>VLOOKUP($A30,'01-02.2021'!$A$6:$CZ$403,43,FALSE)+VLOOKUP($A30,'1.3.21-28.2.22'!$A$6:$DA$404,43,FALSE)-VLOOKUP($A30,'01-02.2022'!$A$6:$DA$376,43,FALSE)</f>
        <v>373.97041602492402</v>
      </c>
      <c r="AR30" s="70">
        <f t="shared" si="45"/>
        <v>-59.829521485723888</v>
      </c>
      <c r="AS30" s="566">
        <f>VLOOKUP($A30,'01-02.2021'!$A$6:$CZ$403,45,FALSE)+VLOOKUP($A30,'1.3.21-28.2.22'!$A$6:$DA$404,45,FALSE)-VLOOKUP($A30,'01-02.2022'!$A$6:$DA$376,45,FALSE)</f>
        <v>2512.215566848492</v>
      </c>
      <c r="AT30" s="566">
        <f>VLOOKUP($A30,'01-02.2021'!$A$6:$CZ$403,46,FALSE)+VLOOKUP($A30,'1.3.21-28.2.22'!$A$6:$DA$404,46,FALSE)-VLOOKUP($A30,'01-02.2022'!$A$6:$DA$376,46,FALSE)</f>
        <v>847</v>
      </c>
      <c r="AU30" s="78">
        <f t="shared" si="46"/>
        <v>-1665.215566848492</v>
      </c>
      <c r="AV30" s="566">
        <f>VLOOKUP($A30,'01-02.2021'!$A$6:$CZ$403,48,FALSE)+VLOOKUP($A30,'1.3.21-28.2.22'!$A$6:$DA$404,48,FALSE)-VLOOKUP($A30,'01-02.2022'!$A$6:$DA$376,48,FALSE)</f>
        <v>0</v>
      </c>
      <c r="AW30" s="566">
        <f>VLOOKUP($A30,'01-02.2021'!$A$6:$CZ$403,49,FALSE)+VLOOKUP($A30,'1.3.21-28.2.22'!$A$6:$DA$404,49,FALSE)-VLOOKUP($A30,'01-02.2022'!$A$6:$DA$376,49,FALSE)</f>
        <v>0</v>
      </c>
      <c r="AX30" s="55">
        <f t="shared" si="47"/>
        <v>0</v>
      </c>
      <c r="AY30" s="566">
        <f>VLOOKUP($A30,'01-02.2021'!$A$6:$CZ$403,51,FALSE)+VLOOKUP($A30,'1.3.21-28.2.22'!$A$6:$DA$404,51,FALSE)-VLOOKUP($A30,'01-02.2022'!$A$6:$DA$376,51,FALSE)</f>
        <v>0</v>
      </c>
      <c r="AZ30" s="566">
        <f>VLOOKUP($A30,'01-02.2021'!$A$6:$CZ$403,52,FALSE)+VLOOKUP($A30,'1.3.21-28.2.22'!$A$6:$DA$404,52,FALSE)-VLOOKUP($A30,'01-02.2022'!$A$6:$DA$376,52,FALSE)</f>
        <v>0</v>
      </c>
      <c r="BA30" s="38">
        <f t="shared" si="48"/>
        <v>0</v>
      </c>
      <c r="BB30" s="566">
        <f>VLOOKUP($A30,'01-02.2021'!$A$6:$CZ$403,54,FALSE)+VLOOKUP($A30,'1.3.21-28.2.22'!$A$6:$DA$404,54,FALSE)-VLOOKUP($A30,'01-02.2022'!$A$6:$DA$376,54,FALSE)</f>
        <v>0</v>
      </c>
      <c r="BC30" s="566">
        <f>VLOOKUP($A30,'01-02.2021'!$A$6:$CZ$403,55,FALSE)+VLOOKUP($A30,'1.3.21-28.2.22'!$A$6:$DA$404,55,FALSE)-VLOOKUP($A30,'01-02.2022'!$A$6:$DA$376,55,FALSE)</f>
        <v>0</v>
      </c>
      <c r="BD30" s="55">
        <f t="shared" si="49"/>
        <v>0</v>
      </c>
      <c r="BE30" s="566">
        <f>VLOOKUP($A30,'01-02.2021'!$A$6:$CZ$403,57,FALSE)+VLOOKUP($A30,'1.3.21-28.2.22'!$A$6:$DA$404,57,FALSE)-VLOOKUP($A30,'01-02.2022'!$A$6:$DA$376,57,FALSE)</f>
        <v>0</v>
      </c>
      <c r="BF30" s="566">
        <f>VLOOKUP($A30,'01-02.2021'!$A$6:$CZ$403,58,FALSE)+VLOOKUP($A30,'1.3.21-28.2.22'!$A$6:$DA$404,58,FALSE)-VLOOKUP($A30,'01-02.2022'!$A$6:$DA$376,58,FALSE)</f>
        <v>0</v>
      </c>
      <c r="BG30" s="55">
        <f t="shared" si="50"/>
        <v>0</v>
      </c>
      <c r="BH30" s="566">
        <f>VLOOKUP($A30,'01-02.2021'!$A$6:$CZ$403,60,FALSE)+VLOOKUP($A30,'1.3.21-28.2.22'!$A$6:$DA$404,60,FALSE)-VLOOKUP($A30,'01-02.2022'!$A$6:$DA$376,60,FALSE)</f>
        <v>0</v>
      </c>
      <c r="BI30" s="566">
        <f>VLOOKUP($A30,'01-02.2021'!$A$6:$CZ$403,61,FALSE)+VLOOKUP($A30,'1.3.21-28.2.22'!$A$6:$DA$404,61,FALSE)-VLOOKUP($A30,'01-02.2022'!$A$6:$DA$376,61,FALSE)</f>
        <v>0</v>
      </c>
      <c r="BJ30" s="55">
        <f t="shared" si="51"/>
        <v>0</v>
      </c>
      <c r="BK30" s="566">
        <f>VLOOKUP($A30,'01-02.2021'!$A$6:$CZ$403,63,FALSE)+VLOOKUP($A30,'1.3.21-28.2.22'!$A$6:$DA$404,63,FALSE)-VLOOKUP($A30,'01-02.2022'!$A$6:$DA$376,63,FALSE)</f>
        <v>0</v>
      </c>
      <c r="BL30" s="566">
        <f>VLOOKUP($A30,'01-02.2021'!$A$6:$CZ$403,64,FALSE)+VLOOKUP($A30,'1.3.21-28.2.22'!$A$6:$DA$404,64,FALSE)-VLOOKUP($A30,'01-02.2022'!$A$6:$DA$376,64,FALSE)</f>
        <v>0</v>
      </c>
      <c r="BM30" s="55">
        <f t="shared" si="52"/>
        <v>0</v>
      </c>
      <c r="BN30" s="566">
        <f>VLOOKUP($A30,'01-02.2021'!$A$6:$CZ$403,66,FALSE)+VLOOKUP($A30,'1.3.21-28.2.22'!$A$6:$DA$404,66,FALSE)-VLOOKUP($A30,'01-02.2022'!$A$6:$DA$376,66,FALSE)</f>
        <v>11.835000000000001</v>
      </c>
      <c r="BO30" s="566">
        <f>VLOOKUP($A30,'01-02.2021'!$A$6:$CZ$403,67,FALSE)+VLOOKUP($A30,'1.3.21-28.2.22'!$A$6:$DA$404,67,FALSE)-VLOOKUP($A30,'01-02.2022'!$A$6:$DA$376,67,FALSE)</f>
        <v>0</v>
      </c>
      <c r="BP30" s="55">
        <f t="shared" si="53"/>
        <v>-11.835000000000001</v>
      </c>
      <c r="BQ30" s="77">
        <f t="shared" si="25"/>
        <v>11.835000000000001</v>
      </c>
      <c r="BR30" s="40">
        <f t="shared" si="26"/>
        <v>0</v>
      </c>
      <c r="BS30" s="55">
        <f t="shared" si="70"/>
        <v>-11.835000000000001</v>
      </c>
      <c r="BT30" s="566">
        <f>VLOOKUP($A30,'01-02.2021'!$A$6:$CZ$403,72,FALSE)+VLOOKUP($A30,'1.3.21-28.2.22'!$A$6:$DA$404,72,FALSE)-VLOOKUP($A30,'01-02.2022'!$A$6:$DA$376,72,FALSE)</f>
        <v>55.829691759794166</v>
      </c>
      <c r="BU30" s="566">
        <f>VLOOKUP($A30,'01-02.2021'!$A$6:$CZ$403,73,FALSE)+VLOOKUP($A30,'1.3.21-28.2.22'!$A$6:$DA$404,73,FALSE)-VLOOKUP($A30,'01-02.2022'!$A$6:$DA$376,73,FALSE)</f>
        <v>86.656986732550635</v>
      </c>
      <c r="BV30" s="70">
        <f t="shared" si="54"/>
        <v>30.827294972756469</v>
      </c>
      <c r="BW30" s="566">
        <f>VLOOKUP($A30,'01-02.2021'!$A$6:$CZ$403,75,FALSE)+VLOOKUP($A30,'1.3.21-28.2.22'!$A$6:$DA$404,75,FALSE)-VLOOKUP($A30,'01-02.2022'!$A$6:$DA$376,75,FALSE)</f>
        <v>0</v>
      </c>
      <c r="BX30" s="566">
        <f>VLOOKUP($A30,'01-02.2021'!$A$6:$CZ$403,76,FALSE)+VLOOKUP($A30,'1.3.21-28.2.22'!$A$6:$DA$404,76,FALSE)-VLOOKUP($A30,'01-02.2022'!$A$6:$DA$376,76,FALSE)</f>
        <v>5.3048234936027754</v>
      </c>
      <c r="BY30" s="70">
        <f t="shared" si="55"/>
        <v>5.3048234936027754</v>
      </c>
      <c r="BZ30" s="566">
        <f>VLOOKUP($A30,'01-02.2021'!$A$6:$CZ$403,78,FALSE)+VLOOKUP($A30,'1.3.21-28.2.22'!$A$6:$DA$404,78,FALSE)-VLOOKUP($A30,'01-02.2022'!$A$6:$DA$376,78,FALSE)</f>
        <v>0</v>
      </c>
      <c r="CA30" s="566">
        <f>VLOOKUP($A30,'01-02.2021'!$A$6:$CZ$403,79,FALSE)+VLOOKUP($A30,'1.3.21-28.2.22'!$A$6:$DA$404,79,FALSE)-VLOOKUP($A30,'01-02.2022'!$A$6:$DA$376,79,FALSE)</f>
        <v>5.2822322096409309</v>
      </c>
      <c r="CB30" s="70">
        <f t="shared" si="56"/>
        <v>5.2822322096409309</v>
      </c>
      <c r="CC30" s="566">
        <f>VLOOKUP($A30,'01-02.2021'!$A$6:$CZ$403,81,FALSE)+VLOOKUP($A30,'1.3.21-28.2.22'!$A$6:$DA$404,81,FALSE)-VLOOKUP($A30,'01-02.2022'!$A$6:$DA$376,81,FALSE)</f>
        <v>0</v>
      </c>
      <c r="CD30" s="566">
        <f>VLOOKUP($A30,'01-02.2021'!$A$6:$CZ$403,82,FALSE)+VLOOKUP($A30,'1.3.21-28.2.22'!$A$6:$DA$404,82,FALSE)-VLOOKUP($A30,'01-02.2022'!$A$6:$DA$376,82,FALSE)</f>
        <v>0</v>
      </c>
      <c r="CE30" s="70">
        <f t="shared" si="57"/>
        <v>0</v>
      </c>
      <c r="CF30" s="566">
        <f>VLOOKUP($A30,'01-02.2021'!$A$6:$CZ$403,84,FALSE)+VLOOKUP($A30,'1.3.21-28.2.22'!$A$6:$DA$404,84,FALSE)-VLOOKUP($A30,'01-02.2022'!$A$6:$DA$376,84,FALSE)</f>
        <v>0</v>
      </c>
      <c r="CG30" s="566">
        <f>VLOOKUP($A30,'01-02.2021'!$A$6:$CZ$403,85,FALSE)+VLOOKUP($A30,'1.3.21-28.2.22'!$A$6:$DA$404,85,FALSE)-VLOOKUP($A30,'01-02.2022'!$A$6:$DA$376,85,FALSE)</f>
        <v>0</v>
      </c>
      <c r="CH30" s="70">
        <f t="shared" si="58"/>
        <v>0</v>
      </c>
      <c r="CI30" s="566">
        <f>VLOOKUP($A30,'01-02.2021'!$A$6:$CZ$403,87,FALSE)+VLOOKUP($A30,'1.3.21-28.2.22'!$A$6:$DA$404,87,FALSE)-VLOOKUP($A30,'01-02.2022'!$A$6:$DA$376,87,FALSE)</f>
        <v>154.18711270672418</v>
      </c>
      <c r="CJ30" s="566">
        <f>VLOOKUP($A30,'01-02.2021'!$A$6:$CZ$403,88,FALSE)+VLOOKUP($A30,'1.3.21-28.2.22'!$A$6:$DA$404,88,FALSE)-VLOOKUP($A30,'01-02.2022'!$A$6:$DA$376,88,FALSE)</f>
        <v>390.12005764603526</v>
      </c>
      <c r="CK30" s="70">
        <f t="shared" si="59"/>
        <v>235.93294493931108</v>
      </c>
      <c r="CL30" s="566">
        <f>VLOOKUP($A30,'01-02.2021'!$A$6:$CZ$403,90,FALSE)+VLOOKUP($A30,'1.3.21-28.2.22'!$A$6:$DA$404,90,FALSE)-VLOOKUP($A30,'01-02.2022'!$A$6:$DA$376,90,FALSE)</f>
        <v>0</v>
      </c>
      <c r="CM30" s="566">
        <f>VLOOKUP($A30,'01-02.2021'!$A$6:$CZ$403,91,FALSE)+VLOOKUP($A30,'1.3.21-28.2.22'!$A$6:$DA$404,91,FALSE)-VLOOKUP($A30,'01-02.2022'!$A$6:$DA$376,91,FALSE)</f>
        <v>0</v>
      </c>
      <c r="CN30" s="52">
        <f t="shared" si="60"/>
        <v>0</v>
      </c>
      <c r="CO30" s="39">
        <f t="shared" si="27"/>
        <v>154.18711270672418</v>
      </c>
      <c r="CP30" s="40">
        <f t="shared" si="61"/>
        <v>390.12005764603526</v>
      </c>
      <c r="CQ30" s="52">
        <f t="shared" si="62"/>
        <v>235.93294493931108</v>
      </c>
      <c r="CR30" s="72">
        <f t="shared" si="28"/>
        <v>3570.6747362670899</v>
      </c>
      <c r="CS30" s="5">
        <f t="shared" si="28"/>
        <v>2785.8024532824124</v>
      </c>
      <c r="CT30" s="52">
        <f t="shared" si="63"/>
        <v>-784.87228298467744</v>
      </c>
      <c r="CU30" s="77">
        <f t="shared" si="64"/>
        <v>4284.8096835205079</v>
      </c>
      <c r="CV30" s="65">
        <f t="shared" si="65"/>
        <v>3342.962943938895</v>
      </c>
      <c r="CW30" s="35">
        <f t="shared" si="66"/>
        <v>-941.84673958161284</v>
      </c>
      <c r="CX30" s="566">
        <f>VLOOKUP($A30,'01-02.2021'!$A$6:$CZ$403,102,FALSE)+VLOOKUP($A30,'1.3.21-28.2.22'!$A$6:$DA$404,102,FALSE)-VLOOKUP($A30,'01-02.2022'!$A$6:$DA$376,102,FALSE)</f>
        <v>204.56494911067603</v>
      </c>
      <c r="CY30" s="566">
        <f>VLOOKUP($A30,'01-02.2021'!$A$6:$CZ$403,103,FALSE)+VLOOKUP($A30,'1.3.21-28.2.22'!$A$6:$DA$404,103,FALSE)-VLOOKUP($A30,'01-02.2022'!$A$6:$DA$376,103,FALSE)</f>
        <v>1146.4116886922884</v>
      </c>
      <c r="CZ30" s="52">
        <f t="shared" si="67"/>
        <v>941.84673958161238</v>
      </c>
      <c r="DA30" s="150">
        <f>'[2]побудинковий звіт'!DA30</f>
        <v>-1174.8446284474296</v>
      </c>
      <c r="DB30" s="2">
        <v>3</v>
      </c>
      <c r="DC30" s="414">
        <f>'[4]побудинковий звіт'!DC30</f>
        <v>1240.6300000000001</v>
      </c>
      <c r="DD30" s="414">
        <f>'[4]побудинковий звіт'!DD30</f>
        <v>0</v>
      </c>
      <c r="DE30" s="557">
        <f>'[4]побудинковий звіт'!DE30</f>
        <v>832.30726571064861</v>
      </c>
      <c r="DF30" s="557">
        <f>'[4]побудинковий звіт'!DF30</f>
        <v>0</v>
      </c>
      <c r="DG30" s="321">
        <f>VLOOKUP(A30,'кошти 01.03.2021'!$A$6:$D$401,4,)</f>
        <v>-44.15004909541662</v>
      </c>
      <c r="DH30" s="40">
        <f>'[3]побудинковий звіт'!DJ30</f>
        <v>4651.2077897575764</v>
      </c>
      <c r="DI30" s="422">
        <f>'[3]побудинковий звіт'!CU30+'[3]побудинковий звіт'!CX30</f>
        <v>408.32273428935156</v>
      </c>
      <c r="DJ30" s="306">
        <f>'[3]побудинковий звіт'!DM30</f>
        <v>1.7250643611717429</v>
      </c>
      <c r="DK30" s="306">
        <f t="shared" si="76"/>
        <v>1.7250643611717429</v>
      </c>
      <c r="DL30" s="306">
        <f>'[3]побудинковий звіт'!DO30</f>
        <v>1.7250643611717429</v>
      </c>
      <c r="DM30" s="28">
        <f t="shared" si="77"/>
        <v>408.3227342893515</v>
      </c>
      <c r="DN30" s="28">
        <f t="shared" si="78"/>
        <v>0</v>
      </c>
      <c r="DO30" s="423">
        <f t="shared" si="29"/>
        <v>408.3227342893515</v>
      </c>
      <c r="DP30" s="94">
        <f t="shared" si="30"/>
        <v>0</v>
      </c>
      <c r="DQ30" s="28">
        <f t="shared" si="31"/>
        <v>408.3227342893515</v>
      </c>
      <c r="DR30" s="318"/>
      <c r="DT30" s="8"/>
      <c r="DU30" s="5"/>
      <c r="DX30" s="5">
        <f t="shared" si="32"/>
        <v>3028.8606802181903</v>
      </c>
      <c r="DY30" s="5">
        <f t="shared" si="33"/>
        <v>1016.4</v>
      </c>
      <c r="DZ30" s="159">
        <f>'[3]побудинковий звіт'!EA30</f>
        <v>330.07426716829724</v>
      </c>
    </row>
    <row r="31" spans="1:130" x14ac:dyDescent="0.3">
      <c r="A31" s="325">
        <v>150001004</v>
      </c>
      <c r="B31" s="41" t="s">
        <v>480</v>
      </c>
      <c r="C31" s="42" t="s">
        <v>44</v>
      </c>
      <c r="D31" s="42"/>
      <c r="E31" s="293">
        <f t="shared" si="23"/>
        <v>315.7</v>
      </c>
      <c r="F31" s="305">
        <f>'[3]побудинковий звіт'!F31</f>
        <v>315.7</v>
      </c>
      <c r="G31" s="508">
        <f>'[3]побудинковий звіт'!G31</f>
        <v>0</v>
      </c>
      <c r="H31" s="560">
        <f>'[3]побудинковий звіт'!H31</f>
        <v>0</v>
      </c>
      <c r="I31" s="566">
        <f>VLOOKUP($A31,'01-02.2021'!$A$6:$CZ$403,9,FALSE)+VLOOKUP($A31,'1.3.21-28.2.22'!$A$6:$DA$404,9,FALSE)-VLOOKUP($A31,'01-02.2022'!$A$6:$DA$376,9,FALSE)</f>
        <v>0</v>
      </c>
      <c r="J31" s="566">
        <f>VLOOKUP($A31,'01-02.2021'!$A$6:$CZ$403,10,FALSE)+VLOOKUP($A31,'1.3.21-28.2.22'!$A$6:$DA$404,10,FALSE)-VLOOKUP($A31,'01-02.2022'!$A$6:$DA$376,10,FALSE)</f>
        <v>0</v>
      </c>
      <c r="K31" s="52">
        <f t="shared" si="34"/>
        <v>0</v>
      </c>
      <c r="L31" s="566">
        <f>VLOOKUP($A31,'01-02.2021'!$A$6:$CZ$403,12,FALSE)+VLOOKUP($A31,'1.3.21-28.2.22'!$A$6:$DA$404,12,FALSE)-VLOOKUP($A31,'01-02.2022'!$A$6:$DA$376,12,FALSE)</f>
        <v>0</v>
      </c>
      <c r="M31" s="566">
        <f>VLOOKUP($A31,'01-02.2021'!$A$6:$CZ$403,13,FALSE)+VLOOKUP($A31,'1.3.21-28.2.22'!$A$6:$DA$404,13,FALSE)-VLOOKUP($A31,'01-02.2022'!$A$6:$DA$376,13,FALSE)</f>
        <v>0</v>
      </c>
      <c r="N31" s="52">
        <f t="shared" si="35"/>
        <v>0</v>
      </c>
      <c r="O31" s="566">
        <f>VLOOKUP($A31,'01-02.2021'!$A$6:$CZ$403,15,FALSE)+VLOOKUP($A31,'1.3.21-28.2.22'!$A$6:$DA$404,15,FALSE)-VLOOKUP($A31,'01-02.2022'!$A$6:$DA$376,15,FALSE)</f>
        <v>0</v>
      </c>
      <c r="P31" s="566">
        <f>VLOOKUP($A31,'01-02.2021'!$A$6:$CZ$403,16,FALSE)+VLOOKUP($A31,'1.3.21-28.2.22'!$A$6:$DA$404,16,FALSE)-VLOOKUP($A31,'01-02.2022'!$A$6:$DA$376,16,FALSE)</f>
        <v>0</v>
      </c>
      <c r="Q31" s="70">
        <f t="shared" si="36"/>
        <v>0</v>
      </c>
      <c r="R31" s="566">
        <f>VLOOKUP($A31,'01-02.2021'!$A$6:$CZ$403,18,FALSE)+VLOOKUP($A31,'1.3.21-28.2.22'!$A$6:$DA$404,18,FALSE)-VLOOKUP($A31,'01-02.2022'!$A$6:$DA$376,18,FALSE)</f>
        <v>0</v>
      </c>
      <c r="S31" s="566">
        <f>VLOOKUP($A31,'01-02.2021'!$A$6:$CZ$403,19,FALSE)+VLOOKUP($A31,'1.3.21-28.2.22'!$A$6:$DA$404,19,FALSE)-VLOOKUP($A31,'01-02.2022'!$A$6:$DA$376,19,FALSE)</f>
        <v>0</v>
      </c>
      <c r="T31" s="70">
        <f t="shared" si="37"/>
        <v>0</v>
      </c>
      <c r="U31" s="566">
        <f>VLOOKUP($A31,'01-02.2021'!$A$6:$CZ$403,21,FALSE)+VLOOKUP($A31,'1.3.21-28.2.22'!$A$6:$DA$404,21,FALSE)-VLOOKUP($A31,'01-02.2022'!$A$6:$DA$376,21,FALSE)</f>
        <v>0</v>
      </c>
      <c r="V31" s="566">
        <f>VLOOKUP($A31,'01-02.2021'!$A$6:$CZ$403,22,FALSE)+VLOOKUP($A31,'1.3.21-28.2.22'!$A$6:$DA$404,22,FALSE)-VLOOKUP($A31,'01-02.2022'!$A$6:$DA$376,22,FALSE)</f>
        <v>0</v>
      </c>
      <c r="W31" s="70">
        <f t="shared" si="38"/>
        <v>0</v>
      </c>
      <c r="X31" s="566">
        <f>VLOOKUP($A31,'01-02.2021'!$A$6:$CZ$403,24,FALSE)+VLOOKUP($A31,'1.3.21-28.2.22'!$A$6:$DA$404,24,FALSE)-VLOOKUP($A31,'01-02.2022'!$A$6:$DA$376,24,FALSE)</f>
        <v>0</v>
      </c>
      <c r="Y31" s="566">
        <f>VLOOKUP($A31,'01-02.2021'!$A$6:$CZ$403,25,FALSE)+VLOOKUP($A31,'1.3.21-28.2.22'!$A$6:$DA$404,25,FALSE)-VLOOKUP($A31,'01-02.2022'!$A$6:$DA$376,25,FALSE)</f>
        <v>1139.0726923985831</v>
      </c>
      <c r="Z31" s="70">
        <f t="shared" si="39"/>
        <v>1139.0726923985831</v>
      </c>
      <c r="AA31" s="566">
        <f>VLOOKUP($A31,'01-02.2021'!$A$6:$CZ$403,27,FALSE)+VLOOKUP($A31,'1.3.21-28.2.22'!$A$6:$DA$404,27,FALSE)-VLOOKUP($A31,'01-02.2022'!$A$6:$DA$376,27,FALSE)</f>
        <v>61.92</v>
      </c>
      <c r="AB31" s="566">
        <f>VLOOKUP($A31,'01-02.2021'!$A$6:$CZ$403,28,FALSE)+VLOOKUP($A31,'1.3.21-28.2.22'!$A$6:$DA$404,28,FALSE)-VLOOKUP($A31,'01-02.2022'!$A$6:$DA$376,28,FALSE)</f>
        <v>0</v>
      </c>
      <c r="AC31" s="70">
        <f t="shared" si="40"/>
        <v>-61.92</v>
      </c>
      <c r="AD31" s="566">
        <f>VLOOKUP($A31,'01-02.2021'!$A$6:$CZ$403,30,FALSE)+VLOOKUP($A31,'1.3.21-28.2.22'!$A$6:$DA$404,30,FALSE)-VLOOKUP($A31,'01-02.2022'!$A$6:$DA$376,30,FALSE)</f>
        <v>464.93511216610307</v>
      </c>
      <c r="AE31" s="566">
        <f>VLOOKUP($A31,'01-02.2021'!$A$6:$CZ$403,31,FALSE)+VLOOKUP($A31,'1.3.21-28.2.22'!$A$6:$DA$404,31,FALSE)-VLOOKUP($A31,'01-02.2022'!$A$6:$DA$376,31,FALSE)</f>
        <v>1437.0791202634373</v>
      </c>
      <c r="AF31" s="68">
        <f t="shared" si="41"/>
        <v>972.14400809733422</v>
      </c>
      <c r="AG31" s="77">
        <f t="shared" si="24"/>
        <v>526.85511216610303</v>
      </c>
      <c r="AH31" s="53">
        <f t="shared" si="24"/>
        <v>2576.1518126620203</v>
      </c>
      <c r="AI31" s="52">
        <f t="shared" si="42"/>
        <v>2049.2967004959173</v>
      </c>
      <c r="AJ31" s="566">
        <f>VLOOKUP($A31,'01-02.2021'!$A$6:$CZ$403,36,FALSE)+VLOOKUP($A31,'1.3.21-28.2.22'!$A$6:$DA$404,36,FALSE)-VLOOKUP($A31,'01-02.2022'!$A$6:$DA$376,36,FALSE)</f>
        <v>0</v>
      </c>
      <c r="AK31" s="566">
        <f>VLOOKUP($A31,'01-02.2021'!$A$6:$CZ$403,37,FALSE)+VLOOKUP($A31,'1.3.21-28.2.22'!$A$6:$DA$404,37,FALSE)-VLOOKUP($A31,'01-02.2022'!$A$6:$DA$376,37,FALSE)</f>
        <v>0</v>
      </c>
      <c r="AL31" s="70">
        <f t="shared" si="43"/>
        <v>0</v>
      </c>
      <c r="AM31" s="566">
        <f>VLOOKUP($A31,'01-02.2021'!$A$6:$CZ$403,39,FALSE)+VLOOKUP($A31,'1.3.21-28.2.22'!$A$6:$DA$404,39,FALSE)-VLOOKUP($A31,'01-02.2022'!$A$6:$DA$376,39,FALSE)</f>
        <v>0</v>
      </c>
      <c r="AN31" s="566">
        <f>VLOOKUP($A31,'01-02.2021'!$A$6:$CZ$403,40,FALSE)+VLOOKUP($A31,'1.3.21-28.2.22'!$A$6:$DA$404,40,FALSE)-VLOOKUP($A31,'01-02.2022'!$A$6:$DA$376,40,FALSE)</f>
        <v>0</v>
      </c>
      <c r="AO31" s="70">
        <f t="shared" si="44"/>
        <v>0</v>
      </c>
      <c r="AP31" s="566">
        <f>VLOOKUP($A31,'01-02.2021'!$A$6:$CZ$403,42,FALSE)+VLOOKUP($A31,'1.3.21-28.2.22'!$A$6:$DA$404,42,FALSE)-VLOOKUP($A31,'01-02.2022'!$A$6:$DA$376,42,FALSE)</f>
        <v>477.17993126171268</v>
      </c>
      <c r="AQ31" s="566">
        <f>VLOOKUP($A31,'01-02.2021'!$A$6:$CZ$403,43,FALSE)+VLOOKUP($A31,'1.3.21-28.2.22'!$A$6:$DA$404,43,FALSE)-VLOOKUP($A31,'01-02.2022'!$A$6:$DA$376,43,FALSE)</f>
        <v>411.3674576274164</v>
      </c>
      <c r="AR31" s="70">
        <f t="shared" si="45"/>
        <v>-65.812473634296282</v>
      </c>
      <c r="AS31" s="566">
        <f>VLOOKUP($A31,'01-02.2021'!$A$6:$CZ$403,45,FALSE)+VLOOKUP($A31,'1.3.21-28.2.22'!$A$6:$DA$404,45,FALSE)-VLOOKUP($A31,'01-02.2022'!$A$6:$DA$376,45,FALSE)</f>
        <v>2762.3775382535955</v>
      </c>
      <c r="AT31" s="566">
        <f>VLOOKUP($A31,'01-02.2021'!$A$6:$CZ$403,46,FALSE)+VLOOKUP($A31,'1.3.21-28.2.22'!$A$6:$DA$404,46,FALSE)-VLOOKUP($A31,'01-02.2022'!$A$6:$DA$376,46,FALSE)</f>
        <v>0</v>
      </c>
      <c r="AU31" s="78">
        <f t="shared" si="46"/>
        <v>-2762.3775382535955</v>
      </c>
      <c r="AV31" s="566">
        <f>VLOOKUP($A31,'01-02.2021'!$A$6:$CZ$403,48,FALSE)+VLOOKUP($A31,'1.3.21-28.2.22'!$A$6:$DA$404,48,FALSE)-VLOOKUP($A31,'01-02.2022'!$A$6:$DA$376,48,FALSE)</f>
        <v>0</v>
      </c>
      <c r="AW31" s="566">
        <f>VLOOKUP($A31,'01-02.2021'!$A$6:$CZ$403,49,FALSE)+VLOOKUP($A31,'1.3.21-28.2.22'!$A$6:$DA$404,49,FALSE)-VLOOKUP($A31,'01-02.2022'!$A$6:$DA$376,49,FALSE)</f>
        <v>0</v>
      </c>
      <c r="AX31" s="55">
        <f t="shared" si="47"/>
        <v>0</v>
      </c>
      <c r="AY31" s="566">
        <f>VLOOKUP($A31,'01-02.2021'!$A$6:$CZ$403,51,FALSE)+VLOOKUP($A31,'1.3.21-28.2.22'!$A$6:$DA$404,51,FALSE)-VLOOKUP($A31,'01-02.2022'!$A$6:$DA$376,51,FALSE)</f>
        <v>0</v>
      </c>
      <c r="AZ31" s="566">
        <f>VLOOKUP($A31,'01-02.2021'!$A$6:$CZ$403,52,FALSE)+VLOOKUP($A31,'1.3.21-28.2.22'!$A$6:$DA$404,52,FALSE)-VLOOKUP($A31,'01-02.2022'!$A$6:$DA$376,52,FALSE)</f>
        <v>0</v>
      </c>
      <c r="BA31" s="38">
        <f t="shared" si="48"/>
        <v>0</v>
      </c>
      <c r="BB31" s="566">
        <f>VLOOKUP($A31,'01-02.2021'!$A$6:$CZ$403,54,FALSE)+VLOOKUP($A31,'1.3.21-28.2.22'!$A$6:$DA$404,54,FALSE)-VLOOKUP($A31,'01-02.2022'!$A$6:$DA$376,54,FALSE)</f>
        <v>0</v>
      </c>
      <c r="BC31" s="566">
        <f>VLOOKUP($A31,'01-02.2021'!$A$6:$CZ$403,55,FALSE)+VLOOKUP($A31,'1.3.21-28.2.22'!$A$6:$DA$404,55,FALSE)-VLOOKUP($A31,'01-02.2022'!$A$6:$DA$376,55,FALSE)</f>
        <v>0</v>
      </c>
      <c r="BD31" s="55">
        <f t="shared" si="49"/>
        <v>0</v>
      </c>
      <c r="BE31" s="566">
        <f>VLOOKUP($A31,'01-02.2021'!$A$6:$CZ$403,57,FALSE)+VLOOKUP($A31,'1.3.21-28.2.22'!$A$6:$DA$404,57,FALSE)-VLOOKUP($A31,'01-02.2022'!$A$6:$DA$376,57,FALSE)</f>
        <v>0</v>
      </c>
      <c r="BF31" s="566">
        <f>VLOOKUP($A31,'01-02.2021'!$A$6:$CZ$403,58,FALSE)+VLOOKUP($A31,'1.3.21-28.2.22'!$A$6:$DA$404,58,FALSE)-VLOOKUP($A31,'01-02.2022'!$A$6:$DA$376,58,FALSE)</f>
        <v>0</v>
      </c>
      <c r="BG31" s="55">
        <f t="shared" si="50"/>
        <v>0</v>
      </c>
      <c r="BH31" s="566">
        <f>VLOOKUP($A31,'01-02.2021'!$A$6:$CZ$403,60,FALSE)+VLOOKUP($A31,'1.3.21-28.2.22'!$A$6:$DA$404,60,FALSE)-VLOOKUP($A31,'01-02.2022'!$A$6:$DA$376,60,FALSE)</f>
        <v>0</v>
      </c>
      <c r="BI31" s="566">
        <f>VLOOKUP($A31,'01-02.2021'!$A$6:$CZ$403,61,FALSE)+VLOOKUP($A31,'1.3.21-28.2.22'!$A$6:$DA$404,61,FALSE)-VLOOKUP($A31,'01-02.2022'!$A$6:$DA$376,61,FALSE)</f>
        <v>0</v>
      </c>
      <c r="BJ31" s="55">
        <f t="shared" si="51"/>
        <v>0</v>
      </c>
      <c r="BK31" s="566">
        <f>VLOOKUP($A31,'01-02.2021'!$A$6:$CZ$403,63,FALSE)+VLOOKUP($A31,'1.3.21-28.2.22'!$A$6:$DA$404,63,FALSE)-VLOOKUP($A31,'01-02.2022'!$A$6:$DA$376,63,FALSE)</f>
        <v>0</v>
      </c>
      <c r="BL31" s="566">
        <f>VLOOKUP($A31,'01-02.2021'!$A$6:$CZ$403,64,FALSE)+VLOOKUP($A31,'1.3.21-28.2.22'!$A$6:$DA$404,64,FALSE)-VLOOKUP($A31,'01-02.2022'!$A$6:$DA$376,64,FALSE)</f>
        <v>0</v>
      </c>
      <c r="BM31" s="55">
        <f t="shared" si="52"/>
        <v>0</v>
      </c>
      <c r="BN31" s="566">
        <f>VLOOKUP($A31,'01-02.2021'!$A$6:$CZ$403,66,FALSE)+VLOOKUP($A31,'1.3.21-28.2.22'!$A$6:$DA$404,66,FALSE)-VLOOKUP($A31,'01-02.2022'!$A$6:$DA$376,66,FALSE)</f>
        <v>15.48</v>
      </c>
      <c r="BO31" s="566">
        <f>VLOOKUP($A31,'01-02.2021'!$A$6:$CZ$403,67,FALSE)+VLOOKUP($A31,'1.3.21-28.2.22'!$A$6:$DA$404,67,FALSE)-VLOOKUP($A31,'01-02.2022'!$A$6:$DA$376,67,FALSE)</f>
        <v>0</v>
      </c>
      <c r="BP31" s="55">
        <f t="shared" si="53"/>
        <v>-15.48</v>
      </c>
      <c r="BQ31" s="77">
        <f t="shared" si="25"/>
        <v>15.48</v>
      </c>
      <c r="BR31" s="40">
        <f t="shared" si="26"/>
        <v>0</v>
      </c>
      <c r="BS31" s="55">
        <f t="shared" si="70"/>
        <v>-15.48</v>
      </c>
      <c r="BT31" s="566">
        <f>VLOOKUP($A31,'01-02.2021'!$A$6:$CZ$403,72,FALSE)+VLOOKUP($A31,'1.3.21-28.2.22'!$A$6:$DA$404,72,FALSE)-VLOOKUP($A31,'01-02.2022'!$A$6:$DA$376,72,FALSE)</f>
        <v>83.744537639691274</v>
      </c>
      <c r="BU31" s="566">
        <f>VLOOKUP($A31,'01-02.2021'!$A$6:$CZ$403,73,FALSE)+VLOOKUP($A31,'1.3.21-28.2.22'!$A$6:$DA$404,73,FALSE)-VLOOKUP($A31,'01-02.2022'!$A$6:$DA$376,73,FALSE)</f>
        <v>129.88203058122053</v>
      </c>
      <c r="BV31" s="70">
        <f t="shared" si="54"/>
        <v>46.13749294152926</v>
      </c>
      <c r="BW31" s="566">
        <f>VLOOKUP($A31,'01-02.2021'!$A$6:$CZ$403,75,FALSE)+VLOOKUP($A31,'1.3.21-28.2.22'!$A$6:$DA$404,75,FALSE)-VLOOKUP($A31,'01-02.2022'!$A$6:$DA$376,75,FALSE)</f>
        <v>0</v>
      </c>
      <c r="BX31" s="566">
        <f>VLOOKUP($A31,'01-02.2021'!$A$6:$CZ$403,76,FALSE)+VLOOKUP($A31,'1.3.21-28.2.22'!$A$6:$DA$404,76,FALSE)-VLOOKUP($A31,'01-02.2022'!$A$6:$DA$376,76,FALSE)</f>
        <v>7.0753391505297696</v>
      </c>
      <c r="BY31" s="70">
        <f t="shared" si="55"/>
        <v>7.0753391505297696</v>
      </c>
      <c r="BZ31" s="566">
        <f>VLOOKUP($A31,'01-02.2021'!$A$6:$CZ$403,78,FALSE)+VLOOKUP($A31,'1.3.21-28.2.22'!$A$6:$DA$404,78,FALSE)-VLOOKUP($A31,'01-02.2022'!$A$6:$DA$376,78,FALSE)</f>
        <v>0</v>
      </c>
      <c r="CA31" s="566">
        <f>VLOOKUP($A31,'01-02.2021'!$A$6:$CZ$403,79,FALSE)+VLOOKUP($A31,'1.3.21-28.2.22'!$A$6:$DA$404,79,FALSE)-VLOOKUP($A31,'01-02.2022'!$A$6:$DA$376,79,FALSE)</f>
        <v>7.9219753390014915</v>
      </c>
      <c r="CB31" s="70">
        <f t="shared" si="56"/>
        <v>7.9219753390014915</v>
      </c>
      <c r="CC31" s="566">
        <f>VLOOKUP($A31,'01-02.2021'!$A$6:$CZ$403,81,FALSE)+VLOOKUP($A31,'1.3.21-28.2.22'!$A$6:$DA$404,81,FALSE)-VLOOKUP($A31,'01-02.2022'!$A$6:$DA$376,81,FALSE)</f>
        <v>0</v>
      </c>
      <c r="CD31" s="566">
        <f>VLOOKUP($A31,'01-02.2021'!$A$6:$CZ$403,82,FALSE)+VLOOKUP($A31,'1.3.21-28.2.22'!$A$6:$DA$404,82,FALSE)-VLOOKUP($A31,'01-02.2022'!$A$6:$DA$376,82,FALSE)</f>
        <v>0</v>
      </c>
      <c r="CE31" s="70">
        <f t="shared" si="57"/>
        <v>0</v>
      </c>
      <c r="CF31" s="566">
        <f>VLOOKUP($A31,'01-02.2021'!$A$6:$CZ$403,84,FALSE)+VLOOKUP($A31,'1.3.21-28.2.22'!$A$6:$DA$404,84,FALSE)-VLOOKUP($A31,'01-02.2022'!$A$6:$DA$376,84,FALSE)</f>
        <v>0</v>
      </c>
      <c r="CG31" s="566">
        <f>VLOOKUP($A31,'01-02.2021'!$A$6:$CZ$403,85,FALSE)+VLOOKUP($A31,'1.3.21-28.2.22'!$A$6:$DA$404,85,FALSE)-VLOOKUP($A31,'01-02.2022'!$A$6:$DA$376,85,FALSE)</f>
        <v>0</v>
      </c>
      <c r="CH31" s="70">
        <f t="shared" si="58"/>
        <v>0</v>
      </c>
      <c r="CI31" s="566">
        <f>VLOOKUP($A31,'01-02.2021'!$A$6:$CZ$403,87,FALSE)+VLOOKUP($A31,'1.3.21-28.2.22'!$A$6:$DA$404,87,FALSE)-VLOOKUP($A31,'01-02.2022'!$A$6:$DA$376,87,FALSE)</f>
        <v>0</v>
      </c>
      <c r="CJ31" s="566">
        <f>VLOOKUP($A31,'01-02.2021'!$A$6:$CZ$403,88,FALSE)+VLOOKUP($A31,'1.3.21-28.2.22'!$A$6:$DA$404,88,FALSE)-VLOOKUP($A31,'01-02.2022'!$A$6:$DA$376,88,FALSE)</f>
        <v>0</v>
      </c>
      <c r="CK31" s="70">
        <f t="shared" si="59"/>
        <v>0</v>
      </c>
      <c r="CL31" s="566">
        <f>VLOOKUP($A31,'01-02.2021'!$A$6:$CZ$403,90,FALSE)+VLOOKUP($A31,'1.3.21-28.2.22'!$A$6:$DA$404,90,FALSE)-VLOOKUP($A31,'01-02.2022'!$A$6:$DA$376,90,FALSE)</f>
        <v>0</v>
      </c>
      <c r="CM31" s="566">
        <f>VLOOKUP($A31,'01-02.2021'!$A$6:$CZ$403,91,FALSE)+VLOOKUP($A31,'1.3.21-28.2.22'!$A$6:$DA$404,91,FALSE)-VLOOKUP($A31,'01-02.2022'!$A$6:$DA$376,91,FALSE)</f>
        <v>0</v>
      </c>
      <c r="CN31" s="52">
        <f t="shared" si="60"/>
        <v>0</v>
      </c>
      <c r="CO31" s="39">
        <f t="shared" si="27"/>
        <v>0</v>
      </c>
      <c r="CP31" s="40">
        <f t="shared" si="61"/>
        <v>0</v>
      </c>
      <c r="CQ31" s="52">
        <f t="shared" si="62"/>
        <v>0</v>
      </c>
      <c r="CR31" s="72">
        <f t="shared" si="28"/>
        <v>3865.6371193211025</v>
      </c>
      <c r="CS31" s="5">
        <f t="shared" si="28"/>
        <v>3132.3986153601886</v>
      </c>
      <c r="CT31" s="52">
        <f t="shared" si="63"/>
        <v>-733.23850396091393</v>
      </c>
      <c r="CU31" s="77">
        <f t="shared" si="64"/>
        <v>4638.7645431853225</v>
      </c>
      <c r="CV31" s="65">
        <f t="shared" si="65"/>
        <v>3758.878338432226</v>
      </c>
      <c r="CW31" s="35">
        <f t="shared" si="66"/>
        <v>-879.88620475309654</v>
      </c>
      <c r="CX31" s="566">
        <f>VLOOKUP($A31,'01-02.2021'!$A$6:$CZ$403,102,FALSE)+VLOOKUP($A31,'1.3.21-28.2.22'!$A$6:$DA$404,102,FALSE)-VLOOKUP($A31,'01-02.2022'!$A$6:$DA$376,102,FALSE)</f>
        <v>161.36878465258781</v>
      </c>
      <c r="CY31" s="566">
        <f>VLOOKUP($A31,'01-02.2021'!$A$6:$CZ$403,103,FALSE)+VLOOKUP($A31,'1.3.21-28.2.22'!$A$6:$DA$404,103,FALSE)-VLOOKUP($A31,'01-02.2022'!$A$6:$DA$376,103,FALSE)</f>
        <v>1041.2549894056847</v>
      </c>
      <c r="CZ31" s="52">
        <f t="shared" si="67"/>
        <v>879.88620475309688</v>
      </c>
      <c r="DA31" s="150">
        <f>'[2]побудинковий звіт'!DA31</f>
        <v>-4118.5862721787535</v>
      </c>
      <c r="DB31" s="2">
        <v>3</v>
      </c>
      <c r="DC31" s="414">
        <f>'[4]побудинковий звіт'!DC31</f>
        <v>642.71</v>
      </c>
      <c r="DD31" s="414">
        <f>'[4]побудинковий звіт'!DD31</f>
        <v>0</v>
      </c>
      <c r="DE31" s="557">
        <f>'[4]побудинковий звіт'!DE31</f>
        <v>204.48672006849483</v>
      </c>
      <c r="DF31" s="557">
        <f>'[4]побудинковий звіт'!DF31</f>
        <v>0</v>
      </c>
      <c r="DG31" s="321">
        <f>VLOOKUP(A31,'кошти 01.03.2021'!$A$6:$D$401,4,)</f>
        <v>-2986.8455530756664</v>
      </c>
      <c r="DH31" s="40">
        <f>'[3]побудинковий звіт'!DJ31</f>
        <v>4981.0384543844521</v>
      </c>
      <c r="DI31" s="422">
        <f>'[3]побудинковий звіт'!CU31+'[3]побудинковий звіт'!CX31</f>
        <v>438.2232799315052</v>
      </c>
      <c r="DJ31" s="306">
        <f>'[3]побудинковий звіт'!DM31</f>
        <v>1.3881003482150942</v>
      </c>
      <c r="DK31" s="306">
        <f t="shared" si="76"/>
        <v>1.3881003482150942</v>
      </c>
      <c r="DL31" s="306">
        <f>'[3]побудинковий звіт'!DO31</f>
        <v>1.3881003482150942</v>
      </c>
      <c r="DM31" s="28">
        <f t="shared" si="77"/>
        <v>438.2232799315052</v>
      </c>
      <c r="DN31" s="28">
        <f t="shared" si="78"/>
        <v>0</v>
      </c>
      <c r="DO31" s="423">
        <f t="shared" si="29"/>
        <v>438.2232799315052</v>
      </c>
      <c r="DP31" s="94">
        <f t="shared" si="30"/>
        <v>0</v>
      </c>
      <c r="DQ31" s="28">
        <f t="shared" si="31"/>
        <v>438.2232799315052</v>
      </c>
      <c r="DR31" s="318"/>
      <c r="DT31" s="8"/>
      <c r="DU31" s="5"/>
      <c r="DX31" s="5">
        <f t="shared" si="32"/>
        <v>3333.4290459043145</v>
      </c>
      <c r="DY31" s="5">
        <f t="shared" si="33"/>
        <v>0</v>
      </c>
      <c r="DZ31" s="159">
        <f>'[3]побудинковий звіт'!EA31</f>
        <v>361.09273043857974</v>
      </c>
    </row>
    <row r="32" spans="1:130" x14ac:dyDescent="0.3">
      <c r="A32" s="325">
        <v>150000994</v>
      </c>
      <c r="B32" s="41" t="s">
        <v>481</v>
      </c>
      <c r="C32" s="42" t="s">
        <v>45</v>
      </c>
      <c r="D32" s="42"/>
      <c r="E32" s="293">
        <f t="shared" si="23"/>
        <v>239.9</v>
      </c>
      <c r="F32" s="305">
        <f>'[3]побудинковий звіт'!F32</f>
        <v>239.9</v>
      </c>
      <c r="G32" s="508">
        <f>'[3]побудинковий звіт'!G32</f>
        <v>0</v>
      </c>
      <c r="H32" s="560">
        <f>'[3]побудинковий звіт'!H32</f>
        <v>0</v>
      </c>
      <c r="I32" s="566">
        <f>VLOOKUP($A32,'01-02.2021'!$A$6:$CZ$403,9,FALSE)+VLOOKUP($A32,'1.3.21-28.2.22'!$A$6:$DA$404,9,FALSE)-VLOOKUP($A32,'01-02.2022'!$A$6:$DA$376,9,FALSE)</f>
        <v>0</v>
      </c>
      <c r="J32" s="566">
        <f>VLOOKUP($A32,'01-02.2021'!$A$6:$CZ$403,10,FALSE)+VLOOKUP($A32,'1.3.21-28.2.22'!$A$6:$DA$404,10,FALSE)-VLOOKUP($A32,'01-02.2022'!$A$6:$DA$376,10,FALSE)</f>
        <v>0</v>
      </c>
      <c r="K32" s="52">
        <f t="shared" si="34"/>
        <v>0</v>
      </c>
      <c r="L32" s="566">
        <f>VLOOKUP($A32,'01-02.2021'!$A$6:$CZ$403,12,FALSE)+VLOOKUP($A32,'1.3.21-28.2.22'!$A$6:$DA$404,12,FALSE)-VLOOKUP($A32,'01-02.2022'!$A$6:$DA$376,12,FALSE)</f>
        <v>0</v>
      </c>
      <c r="M32" s="566">
        <f>VLOOKUP($A32,'01-02.2021'!$A$6:$CZ$403,13,FALSE)+VLOOKUP($A32,'1.3.21-28.2.22'!$A$6:$DA$404,13,FALSE)-VLOOKUP($A32,'01-02.2022'!$A$6:$DA$376,13,FALSE)</f>
        <v>0</v>
      </c>
      <c r="N32" s="52">
        <f t="shared" si="35"/>
        <v>0</v>
      </c>
      <c r="O32" s="566">
        <f>VLOOKUP($A32,'01-02.2021'!$A$6:$CZ$403,15,FALSE)+VLOOKUP($A32,'1.3.21-28.2.22'!$A$6:$DA$404,15,FALSE)-VLOOKUP($A32,'01-02.2022'!$A$6:$DA$376,15,FALSE)</f>
        <v>0</v>
      </c>
      <c r="P32" s="566">
        <f>VLOOKUP($A32,'01-02.2021'!$A$6:$CZ$403,16,FALSE)+VLOOKUP($A32,'1.3.21-28.2.22'!$A$6:$DA$404,16,FALSE)-VLOOKUP($A32,'01-02.2022'!$A$6:$DA$376,16,FALSE)</f>
        <v>0</v>
      </c>
      <c r="Q32" s="70">
        <f t="shared" si="36"/>
        <v>0</v>
      </c>
      <c r="R32" s="566">
        <f>VLOOKUP($A32,'01-02.2021'!$A$6:$CZ$403,18,FALSE)+VLOOKUP($A32,'1.3.21-28.2.22'!$A$6:$DA$404,18,FALSE)-VLOOKUP($A32,'01-02.2022'!$A$6:$DA$376,18,FALSE)</f>
        <v>0</v>
      </c>
      <c r="S32" s="566">
        <f>VLOOKUP($A32,'01-02.2021'!$A$6:$CZ$403,19,FALSE)+VLOOKUP($A32,'1.3.21-28.2.22'!$A$6:$DA$404,19,FALSE)-VLOOKUP($A32,'01-02.2022'!$A$6:$DA$376,19,FALSE)</f>
        <v>0</v>
      </c>
      <c r="T32" s="70">
        <f t="shared" si="37"/>
        <v>0</v>
      </c>
      <c r="U32" s="566">
        <f>VLOOKUP($A32,'01-02.2021'!$A$6:$CZ$403,21,FALSE)+VLOOKUP($A32,'1.3.21-28.2.22'!$A$6:$DA$404,21,FALSE)-VLOOKUP($A32,'01-02.2022'!$A$6:$DA$376,21,FALSE)</f>
        <v>0</v>
      </c>
      <c r="V32" s="566">
        <f>VLOOKUP($A32,'01-02.2021'!$A$6:$CZ$403,22,FALSE)+VLOOKUP($A32,'1.3.21-28.2.22'!$A$6:$DA$404,22,FALSE)-VLOOKUP($A32,'01-02.2022'!$A$6:$DA$376,22,FALSE)</f>
        <v>0</v>
      </c>
      <c r="W32" s="70">
        <f t="shared" si="38"/>
        <v>0</v>
      </c>
      <c r="X32" s="566">
        <f>VLOOKUP($A32,'01-02.2021'!$A$6:$CZ$403,24,FALSE)+VLOOKUP($A32,'1.3.21-28.2.22'!$A$6:$DA$404,24,FALSE)-VLOOKUP($A32,'01-02.2022'!$A$6:$DA$376,24,FALSE)</f>
        <v>0</v>
      </c>
      <c r="Y32" s="566">
        <f>VLOOKUP($A32,'01-02.2021'!$A$6:$CZ$403,25,FALSE)+VLOOKUP($A32,'1.3.21-28.2.22'!$A$6:$DA$404,25,FALSE)-VLOOKUP($A32,'01-02.2022'!$A$6:$DA$376,25,FALSE)</f>
        <v>0</v>
      </c>
      <c r="Z32" s="70">
        <f t="shared" si="39"/>
        <v>0</v>
      </c>
      <c r="AA32" s="566">
        <f>VLOOKUP($A32,'01-02.2021'!$A$6:$CZ$403,27,FALSE)+VLOOKUP($A32,'1.3.21-28.2.22'!$A$6:$DA$404,27,FALSE)-VLOOKUP($A32,'01-02.2022'!$A$6:$DA$376,27,FALSE)</f>
        <v>47.980000000000004</v>
      </c>
      <c r="AB32" s="566">
        <f>VLOOKUP($A32,'01-02.2021'!$A$6:$CZ$403,28,FALSE)+VLOOKUP($A32,'1.3.21-28.2.22'!$A$6:$DA$404,28,FALSE)-VLOOKUP($A32,'01-02.2022'!$A$6:$DA$376,28,FALSE)</f>
        <v>0</v>
      </c>
      <c r="AC32" s="70">
        <f t="shared" si="40"/>
        <v>-47.980000000000004</v>
      </c>
      <c r="AD32" s="566">
        <f>VLOOKUP($A32,'01-02.2021'!$A$6:$CZ$403,30,FALSE)+VLOOKUP($A32,'1.3.21-28.2.22'!$A$6:$DA$404,30,FALSE)-VLOOKUP($A32,'01-02.2022'!$A$6:$DA$376,30,FALSE)</f>
        <v>360.27651722381438</v>
      </c>
      <c r="AE32" s="566">
        <f>VLOOKUP($A32,'01-02.2021'!$A$6:$CZ$403,31,FALSE)+VLOOKUP($A32,'1.3.21-28.2.22'!$A$6:$DA$404,31,FALSE)-VLOOKUP($A32,'01-02.2022'!$A$6:$DA$376,31,FALSE)</f>
        <v>1092.0344661108602</v>
      </c>
      <c r="AF32" s="68">
        <f t="shared" si="41"/>
        <v>731.75794888704581</v>
      </c>
      <c r="AG32" s="77">
        <f t="shared" si="24"/>
        <v>408.2565172238144</v>
      </c>
      <c r="AH32" s="53">
        <f t="shared" si="24"/>
        <v>1092.0344661108602</v>
      </c>
      <c r="AI32" s="52">
        <f t="shared" si="42"/>
        <v>683.7779488870458</v>
      </c>
      <c r="AJ32" s="566">
        <f>VLOOKUP($A32,'01-02.2021'!$A$6:$CZ$403,36,FALSE)+VLOOKUP($A32,'1.3.21-28.2.22'!$A$6:$DA$404,36,FALSE)-VLOOKUP($A32,'01-02.2022'!$A$6:$DA$376,36,FALSE)</f>
        <v>0</v>
      </c>
      <c r="AK32" s="566">
        <f>VLOOKUP($A32,'01-02.2021'!$A$6:$CZ$403,37,FALSE)+VLOOKUP($A32,'1.3.21-28.2.22'!$A$6:$DA$404,37,FALSE)-VLOOKUP($A32,'01-02.2022'!$A$6:$DA$376,37,FALSE)</f>
        <v>0</v>
      </c>
      <c r="AL32" s="70">
        <f t="shared" si="43"/>
        <v>0</v>
      </c>
      <c r="AM32" s="566">
        <f>VLOOKUP($A32,'01-02.2021'!$A$6:$CZ$403,39,FALSE)+VLOOKUP($A32,'1.3.21-28.2.22'!$A$6:$DA$404,39,FALSE)-VLOOKUP($A32,'01-02.2022'!$A$6:$DA$376,39,FALSE)</f>
        <v>0</v>
      </c>
      <c r="AN32" s="566">
        <f>VLOOKUP($A32,'01-02.2021'!$A$6:$CZ$403,40,FALSE)+VLOOKUP($A32,'1.3.21-28.2.22'!$A$6:$DA$404,40,FALSE)-VLOOKUP($A32,'01-02.2022'!$A$6:$DA$376,40,FALSE)</f>
        <v>0</v>
      </c>
      <c r="AO32" s="70">
        <f t="shared" si="44"/>
        <v>0</v>
      </c>
      <c r="AP32" s="566">
        <f>VLOOKUP($A32,'01-02.2021'!$A$6:$CZ$403,42,FALSE)+VLOOKUP($A32,'1.3.21-28.2.22'!$A$6:$DA$404,42,FALSE)-VLOOKUP($A32,'01-02.2022'!$A$6:$DA$376,42,FALSE)</f>
        <v>520.55992501277728</v>
      </c>
      <c r="AQ32" s="566">
        <f>VLOOKUP($A32,'01-02.2021'!$A$6:$CZ$403,43,FALSE)+VLOOKUP($A32,'1.3.21-28.2.22'!$A$6:$DA$404,43,FALSE)-VLOOKUP($A32,'01-02.2022'!$A$6:$DA$376,43,FALSE)</f>
        <v>448.76449922990878</v>
      </c>
      <c r="AR32" s="70">
        <f t="shared" si="45"/>
        <v>-71.795425782868506</v>
      </c>
      <c r="AS32" s="566">
        <f>VLOOKUP($A32,'01-02.2021'!$A$6:$CZ$403,45,FALSE)+VLOOKUP($A32,'1.3.21-28.2.22'!$A$6:$DA$404,45,FALSE)-VLOOKUP($A32,'01-02.2022'!$A$6:$DA$376,45,FALSE)</f>
        <v>2409.0890001097428</v>
      </c>
      <c r="AT32" s="566">
        <f>VLOOKUP($A32,'01-02.2021'!$A$6:$CZ$403,46,FALSE)+VLOOKUP($A32,'1.3.21-28.2.22'!$A$6:$DA$404,46,FALSE)-VLOOKUP($A32,'01-02.2022'!$A$6:$DA$376,46,FALSE)</f>
        <v>1479</v>
      </c>
      <c r="AU32" s="78">
        <f t="shared" si="46"/>
        <v>-930.08900010974276</v>
      </c>
      <c r="AV32" s="566">
        <f>VLOOKUP($A32,'01-02.2021'!$A$6:$CZ$403,48,FALSE)+VLOOKUP($A32,'1.3.21-28.2.22'!$A$6:$DA$404,48,FALSE)-VLOOKUP($A32,'01-02.2022'!$A$6:$DA$376,48,FALSE)</f>
        <v>0</v>
      </c>
      <c r="AW32" s="566">
        <f>VLOOKUP($A32,'01-02.2021'!$A$6:$CZ$403,49,FALSE)+VLOOKUP($A32,'1.3.21-28.2.22'!$A$6:$DA$404,49,FALSE)-VLOOKUP($A32,'01-02.2022'!$A$6:$DA$376,49,FALSE)</f>
        <v>0</v>
      </c>
      <c r="AX32" s="55">
        <f t="shared" si="47"/>
        <v>0</v>
      </c>
      <c r="AY32" s="566">
        <f>VLOOKUP($A32,'01-02.2021'!$A$6:$CZ$403,51,FALSE)+VLOOKUP($A32,'1.3.21-28.2.22'!$A$6:$DA$404,51,FALSE)-VLOOKUP($A32,'01-02.2022'!$A$6:$DA$376,51,FALSE)</f>
        <v>0</v>
      </c>
      <c r="AZ32" s="566">
        <f>VLOOKUP($A32,'01-02.2021'!$A$6:$CZ$403,52,FALSE)+VLOOKUP($A32,'1.3.21-28.2.22'!$A$6:$DA$404,52,FALSE)-VLOOKUP($A32,'01-02.2022'!$A$6:$DA$376,52,FALSE)</f>
        <v>0</v>
      </c>
      <c r="BA32" s="38">
        <f t="shared" si="48"/>
        <v>0</v>
      </c>
      <c r="BB32" s="566">
        <f>VLOOKUP($A32,'01-02.2021'!$A$6:$CZ$403,54,FALSE)+VLOOKUP($A32,'1.3.21-28.2.22'!$A$6:$DA$404,54,FALSE)-VLOOKUP($A32,'01-02.2022'!$A$6:$DA$376,54,FALSE)</f>
        <v>0</v>
      </c>
      <c r="BC32" s="566">
        <f>VLOOKUP($A32,'01-02.2021'!$A$6:$CZ$403,55,FALSE)+VLOOKUP($A32,'1.3.21-28.2.22'!$A$6:$DA$404,55,FALSE)-VLOOKUP($A32,'01-02.2022'!$A$6:$DA$376,55,FALSE)</f>
        <v>0</v>
      </c>
      <c r="BD32" s="55">
        <f t="shared" si="49"/>
        <v>0</v>
      </c>
      <c r="BE32" s="566">
        <f>VLOOKUP($A32,'01-02.2021'!$A$6:$CZ$403,57,FALSE)+VLOOKUP($A32,'1.3.21-28.2.22'!$A$6:$DA$404,57,FALSE)-VLOOKUP($A32,'01-02.2022'!$A$6:$DA$376,57,FALSE)</f>
        <v>0</v>
      </c>
      <c r="BF32" s="566">
        <f>VLOOKUP($A32,'01-02.2021'!$A$6:$CZ$403,58,FALSE)+VLOOKUP($A32,'1.3.21-28.2.22'!$A$6:$DA$404,58,FALSE)-VLOOKUP($A32,'01-02.2022'!$A$6:$DA$376,58,FALSE)</f>
        <v>0</v>
      </c>
      <c r="BG32" s="55">
        <f t="shared" si="50"/>
        <v>0</v>
      </c>
      <c r="BH32" s="566">
        <f>VLOOKUP($A32,'01-02.2021'!$A$6:$CZ$403,60,FALSE)+VLOOKUP($A32,'1.3.21-28.2.22'!$A$6:$DA$404,60,FALSE)-VLOOKUP($A32,'01-02.2022'!$A$6:$DA$376,60,FALSE)</f>
        <v>0</v>
      </c>
      <c r="BI32" s="566">
        <f>VLOOKUP($A32,'01-02.2021'!$A$6:$CZ$403,61,FALSE)+VLOOKUP($A32,'1.3.21-28.2.22'!$A$6:$DA$404,61,FALSE)-VLOOKUP($A32,'01-02.2022'!$A$6:$DA$376,61,FALSE)</f>
        <v>0</v>
      </c>
      <c r="BJ32" s="55">
        <f t="shared" si="51"/>
        <v>0</v>
      </c>
      <c r="BK32" s="566">
        <f>VLOOKUP($A32,'01-02.2021'!$A$6:$CZ$403,63,FALSE)+VLOOKUP($A32,'1.3.21-28.2.22'!$A$6:$DA$404,63,FALSE)-VLOOKUP($A32,'01-02.2022'!$A$6:$DA$376,63,FALSE)</f>
        <v>0</v>
      </c>
      <c r="BL32" s="566">
        <f>VLOOKUP($A32,'01-02.2021'!$A$6:$CZ$403,64,FALSE)+VLOOKUP($A32,'1.3.21-28.2.22'!$A$6:$DA$404,64,FALSE)-VLOOKUP($A32,'01-02.2022'!$A$6:$DA$376,64,FALSE)</f>
        <v>0</v>
      </c>
      <c r="BM32" s="55">
        <f t="shared" si="52"/>
        <v>0</v>
      </c>
      <c r="BN32" s="566">
        <f>VLOOKUP($A32,'01-02.2021'!$A$6:$CZ$403,66,FALSE)+VLOOKUP($A32,'1.3.21-28.2.22'!$A$6:$DA$404,66,FALSE)-VLOOKUP($A32,'01-02.2022'!$A$6:$DA$376,66,FALSE)</f>
        <v>11.995000000000001</v>
      </c>
      <c r="BO32" s="566">
        <f>VLOOKUP($A32,'01-02.2021'!$A$6:$CZ$403,67,FALSE)+VLOOKUP($A32,'1.3.21-28.2.22'!$A$6:$DA$404,67,FALSE)-VLOOKUP($A32,'01-02.2022'!$A$6:$DA$376,67,FALSE)</f>
        <v>0</v>
      </c>
      <c r="BP32" s="55">
        <f t="shared" si="53"/>
        <v>-11.995000000000001</v>
      </c>
      <c r="BQ32" s="77">
        <f t="shared" si="25"/>
        <v>11.995000000000001</v>
      </c>
      <c r="BR32" s="40">
        <f t="shared" si="26"/>
        <v>0</v>
      </c>
      <c r="BS32" s="55">
        <f t="shared" si="70"/>
        <v>-11.995000000000001</v>
      </c>
      <c r="BT32" s="566">
        <f>VLOOKUP($A32,'01-02.2021'!$A$6:$CZ$403,72,FALSE)+VLOOKUP($A32,'1.3.21-28.2.22'!$A$6:$DA$404,72,FALSE)-VLOOKUP($A32,'01-02.2022'!$A$6:$DA$376,72,FALSE)</f>
        <v>55.829691759794166</v>
      </c>
      <c r="BU32" s="566">
        <f>VLOOKUP($A32,'01-02.2021'!$A$6:$CZ$403,73,FALSE)+VLOOKUP($A32,'1.3.21-28.2.22'!$A$6:$DA$404,73,FALSE)-VLOOKUP($A32,'01-02.2022'!$A$6:$DA$376,73,FALSE)</f>
        <v>86.656986732550635</v>
      </c>
      <c r="BV32" s="70">
        <f t="shared" si="54"/>
        <v>30.827294972756469</v>
      </c>
      <c r="BW32" s="566">
        <f>VLOOKUP($A32,'01-02.2021'!$A$6:$CZ$403,75,FALSE)+VLOOKUP($A32,'1.3.21-28.2.22'!$A$6:$DA$404,75,FALSE)-VLOOKUP($A32,'01-02.2022'!$A$6:$DA$376,75,FALSE)</f>
        <v>0</v>
      </c>
      <c r="BX32" s="566">
        <f>VLOOKUP($A32,'01-02.2021'!$A$6:$CZ$403,76,FALSE)+VLOOKUP($A32,'1.3.21-28.2.22'!$A$6:$DA$404,76,FALSE)-VLOOKUP($A32,'01-02.2022'!$A$6:$DA$376,76,FALSE)</f>
        <v>5.3765405835036155</v>
      </c>
      <c r="BY32" s="70">
        <f t="shared" si="55"/>
        <v>5.3765405835036155</v>
      </c>
      <c r="BZ32" s="566">
        <f>VLOOKUP($A32,'01-02.2021'!$A$6:$CZ$403,78,FALSE)+VLOOKUP($A32,'1.3.21-28.2.22'!$A$6:$DA$404,78,FALSE)-VLOOKUP($A32,'01-02.2022'!$A$6:$DA$376,78,FALSE)</f>
        <v>0</v>
      </c>
      <c r="CA32" s="566">
        <f>VLOOKUP($A32,'01-02.2021'!$A$6:$CZ$403,79,FALSE)+VLOOKUP($A32,'1.3.21-28.2.22'!$A$6:$DA$404,79,FALSE)-VLOOKUP($A32,'01-02.2022'!$A$6:$DA$376,79,FALSE)</f>
        <v>5.2822322096409309</v>
      </c>
      <c r="CB32" s="70">
        <f t="shared" si="56"/>
        <v>5.2822322096409309</v>
      </c>
      <c r="CC32" s="566">
        <f>VLOOKUP($A32,'01-02.2021'!$A$6:$CZ$403,81,FALSE)+VLOOKUP($A32,'1.3.21-28.2.22'!$A$6:$DA$404,81,FALSE)-VLOOKUP($A32,'01-02.2022'!$A$6:$DA$376,81,FALSE)</f>
        <v>0</v>
      </c>
      <c r="CD32" s="566">
        <f>VLOOKUP($A32,'01-02.2021'!$A$6:$CZ$403,82,FALSE)+VLOOKUP($A32,'1.3.21-28.2.22'!$A$6:$DA$404,82,FALSE)-VLOOKUP($A32,'01-02.2022'!$A$6:$DA$376,82,FALSE)</f>
        <v>0</v>
      </c>
      <c r="CE32" s="70">
        <f t="shared" si="57"/>
        <v>0</v>
      </c>
      <c r="CF32" s="566">
        <f>VLOOKUP($A32,'01-02.2021'!$A$6:$CZ$403,84,FALSE)+VLOOKUP($A32,'1.3.21-28.2.22'!$A$6:$DA$404,84,FALSE)-VLOOKUP($A32,'01-02.2022'!$A$6:$DA$376,84,FALSE)</f>
        <v>0</v>
      </c>
      <c r="CG32" s="566">
        <f>VLOOKUP($A32,'01-02.2021'!$A$6:$CZ$403,85,FALSE)+VLOOKUP($A32,'1.3.21-28.2.22'!$A$6:$DA$404,85,FALSE)-VLOOKUP($A32,'01-02.2022'!$A$6:$DA$376,85,FALSE)</f>
        <v>0</v>
      </c>
      <c r="CH32" s="70">
        <f t="shared" si="58"/>
        <v>0</v>
      </c>
      <c r="CI32" s="566">
        <f>VLOOKUP($A32,'01-02.2021'!$A$6:$CZ$403,87,FALSE)+VLOOKUP($A32,'1.3.21-28.2.22'!$A$6:$DA$404,87,FALSE)-VLOOKUP($A32,'01-02.2022'!$A$6:$DA$376,87,FALSE)</f>
        <v>389.67112706724151</v>
      </c>
      <c r="CJ32" s="566">
        <f>VLOOKUP($A32,'01-02.2021'!$A$6:$CZ$403,88,FALSE)+VLOOKUP($A32,'1.3.21-28.2.22'!$A$6:$DA$404,88,FALSE)-VLOOKUP($A32,'01-02.2022'!$A$6:$DA$376,88,FALSE)</f>
        <v>179.12272586279096</v>
      </c>
      <c r="CK32" s="70">
        <f t="shared" si="59"/>
        <v>-210.54840120445056</v>
      </c>
      <c r="CL32" s="566">
        <f>VLOOKUP($A32,'01-02.2021'!$A$6:$CZ$403,90,FALSE)+VLOOKUP($A32,'1.3.21-28.2.22'!$A$6:$DA$404,90,FALSE)-VLOOKUP($A32,'01-02.2022'!$A$6:$DA$376,90,FALSE)</f>
        <v>0</v>
      </c>
      <c r="CM32" s="566">
        <f>VLOOKUP($A32,'01-02.2021'!$A$6:$CZ$403,91,FALSE)+VLOOKUP($A32,'1.3.21-28.2.22'!$A$6:$DA$404,91,FALSE)-VLOOKUP($A32,'01-02.2022'!$A$6:$DA$376,91,FALSE)</f>
        <v>0</v>
      </c>
      <c r="CN32" s="52">
        <f t="shared" si="60"/>
        <v>0</v>
      </c>
      <c r="CO32" s="39">
        <f t="shared" si="27"/>
        <v>389.67112706724151</v>
      </c>
      <c r="CP32" s="40">
        <f t="shared" si="61"/>
        <v>179.12272586279096</v>
      </c>
      <c r="CQ32" s="52">
        <f t="shared" si="62"/>
        <v>-210.54840120445056</v>
      </c>
      <c r="CR32" s="72">
        <f t="shared" si="28"/>
        <v>3795.4012611733697</v>
      </c>
      <c r="CS32" s="5">
        <f t="shared" si="28"/>
        <v>3296.2374507292552</v>
      </c>
      <c r="CT32" s="52">
        <f t="shared" si="63"/>
        <v>-499.16381044411446</v>
      </c>
      <c r="CU32" s="77">
        <f t="shared" si="64"/>
        <v>4554.4815134080436</v>
      </c>
      <c r="CV32" s="65">
        <f t="shared" si="65"/>
        <v>3955.4849408751061</v>
      </c>
      <c r="CW32" s="35">
        <f t="shared" si="66"/>
        <v>-598.99657253293753</v>
      </c>
      <c r="CX32" s="566">
        <f>VLOOKUP($A32,'01-02.2021'!$A$6:$CZ$403,102,FALSE)+VLOOKUP($A32,'1.3.21-28.2.22'!$A$6:$DA$404,102,FALSE)-VLOOKUP($A32,'01-02.2022'!$A$6:$DA$376,102,FALSE)</f>
        <v>84.47737803478725</v>
      </c>
      <c r="CY32" s="566">
        <f>VLOOKUP($A32,'01-02.2021'!$A$6:$CZ$403,103,FALSE)+VLOOKUP($A32,'1.3.21-28.2.22'!$A$6:$DA$404,103,FALSE)-VLOOKUP($A32,'01-02.2022'!$A$6:$DA$376,103,FALSE)</f>
        <v>683.47395056772496</v>
      </c>
      <c r="CZ32" s="52">
        <f t="shared" si="67"/>
        <v>598.99657253293776</v>
      </c>
      <c r="DA32" s="150">
        <f>'[2]побудинковий звіт'!DA32</f>
        <v>-1120.1266978597062</v>
      </c>
      <c r="DB32" s="2">
        <v>3</v>
      </c>
      <c r="DC32" s="414">
        <f>'[4]побудинковий звіт'!DC32</f>
        <v>-164.33</v>
      </c>
      <c r="DD32" s="414">
        <f>'[4]побудинковий звіт'!DD32</f>
        <v>0</v>
      </c>
      <c r="DE32" s="557">
        <f>'[4]побудинковий звіт'!DE32</f>
        <v>-585.45600067868077</v>
      </c>
      <c r="DF32" s="557">
        <f>'[4]побудинковий звіт'!DF32</f>
        <v>0</v>
      </c>
      <c r="DG32" s="321">
        <f>VLOOKUP(A32,'кошти 01.03.2021'!$A$6:$D$401,4,)</f>
        <v>365.7879587909074</v>
      </c>
      <c r="DH32" s="40">
        <f>'[3]побудинковий звіт'!DJ32</f>
        <v>4802.3270430432231</v>
      </c>
      <c r="DI32" s="422">
        <f>'[3]побудинковий звіт'!CU32+'[3]побудинковий звіт'!CX32</f>
        <v>421.12600067868078</v>
      </c>
      <c r="DJ32" s="306">
        <f>'[3]побудинковий звіт'!DM32</f>
        <v>1.7554230957844135</v>
      </c>
      <c r="DK32" s="306">
        <f t="shared" si="76"/>
        <v>1.7554230957844135</v>
      </c>
      <c r="DL32" s="306">
        <f>'[3]побудинковий звіт'!DO32</f>
        <v>1.7554230957844135</v>
      </c>
      <c r="DM32" s="28">
        <f t="shared" si="77"/>
        <v>421.12600067868078</v>
      </c>
      <c r="DN32" s="28">
        <f t="shared" si="78"/>
        <v>0</v>
      </c>
      <c r="DO32" s="423">
        <f t="shared" si="29"/>
        <v>421.12600067868078</v>
      </c>
      <c r="DP32" s="94">
        <f t="shared" si="30"/>
        <v>0</v>
      </c>
      <c r="DQ32" s="28">
        <f t="shared" si="31"/>
        <v>421.12600067868078</v>
      </c>
      <c r="DR32" s="318"/>
      <c r="DT32" s="8"/>
      <c r="DU32" s="5"/>
      <c r="DX32" s="5">
        <f t="shared" si="32"/>
        <v>2905.3008001316912</v>
      </c>
      <c r="DY32" s="5">
        <f t="shared" si="33"/>
        <v>1774.8</v>
      </c>
      <c r="DZ32" s="159">
        <f>'[3]побудинковий звіт'!EA32</f>
        <v>317.29908744899859</v>
      </c>
    </row>
    <row r="33" spans="1:130" x14ac:dyDescent="0.3">
      <c r="A33" s="325">
        <v>150001001</v>
      </c>
      <c r="B33" s="41" t="s">
        <v>482</v>
      </c>
      <c r="C33" s="42" t="s">
        <v>46</v>
      </c>
      <c r="D33" s="42"/>
      <c r="E33" s="293">
        <f t="shared" si="23"/>
        <v>239.8</v>
      </c>
      <c r="F33" s="305">
        <f>'[3]побудинковий звіт'!F33</f>
        <v>239.8</v>
      </c>
      <c r="G33" s="508">
        <f>'[3]побудинковий звіт'!G33</f>
        <v>0</v>
      </c>
      <c r="H33" s="560">
        <f>'[3]побудинковий звіт'!H33</f>
        <v>0</v>
      </c>
      <c r="I33" s="566"/>
      <c r="J33" s="566"/>
      <c r="K33" s="52">
        <f t="shared" si="34"/>
        <v>0</v>
      </c>
      <c r="L33" s="566"/>
      <c r="M33" s="566"/>
      <c r="N33" s="52">
        <f t="shared" si="35"/>
        <v>0</v>
      </c>
      <c r="O33" s="566"/>
      <c r="P33" s="566"/>
      <c r="Q33" s="70"/>
      <c r="R33" s="566"/>
      <c r="S33" s="566"/>
      <c r="T33" s="70"/>
      <c r="U33" s="566"/>
      <c r="V33" s="566"/>
      <c r="W33" s="70"/>
      <c r="X33" s="566"/>
      <c r="Y33" s="566"/>
      <c r="Z33" s="70"/>
      <c r="AA33" s="566"/>
      <c r="AB33" s="566"/>
      <c r="AC33" s="70"/>
      <c r="AD33" s="566"/>
      <c r="AE33" s="566"/>
      <c r="AF33" s="68"/>
      <c r="AG33" s="77">
        <f t="shared" si="24"/>
        <v>0</v>
      </c>
      <c r="AH33" s="53">
        <f t="shared" si="24"/>
        <v>0</v>
      </c>
      <c r="AI33" s="52">
        <f t="shared" si="42"/>
        <v>0</v>
      </c>
      <c r="AJ33" s="566"/>
      <c r="AK33" s="566"/>
      <c r="AL33" s="70"/>
      <c r="AM33" s="566"/>
      <c r="AN33" s="566"/>
      <c r="AO33" s="70"/>
      <c r="AP33" s="566"/>
      <c r="AQ33" s="566"/>
      <c r="AR33" s="70"/>
      <c r="AS33" s="566"/>
      <c r="AT33" s="566"/>
      <c r="AU33" s="78"/>
      <c r="AV33" s="566"/>
      <c r="AW33" s="566"/>
      <c r="AX33" s="55"/>
      <c r="AY33" s="566"/>
      <c r="AZ33" s="566"/>
      <c r="BA33" s="38"/>
      <c r="BB33" s="566"/>
      <c r="BC33" s="566"/>
      <c r="BD33" s="55"/>
      <c r="BE33" s="566"/>
      <c r="BF33" s="566"/>
      <c r="BG33" s="55"/>
      <c r="BH33" s="566"/>
      <c r="BI33" s="566"/>
      <c r="BJ33" s="55"/>
      <c r="BK33" s="566"/>
      <c r="BL33" s="566"/>
      <c r="BM33" s="55"/>
      <c r="BN33" s="566"/>
      <c r="BO33" s="566"/>
      <c r="BP33" s="55"/>
      <c r="BQ33" s="77">
        <f t="shared" si="25"/>
        <v>0</v>
      </c>
      <c r="BR33" s="40">
        <f t="shared" si="26"/>
        <v>0</v>
      </c>
      <c r="BS33" s="55">
        <f t="shared" si="70"/>
        <v>0</v>
      </c>
      <c r="BT33" s="566"/>
      <c r="BU33" s="566"/>
      <c r="BV33" s="70"/>
      <c r="BW33" s="566"/>
      <c r="BX33" s="566"/>
      <c r="BY33" s="70"/>
      <c r="BZ33" s="566"/>
      <c r="CA33" s="566"/>
      <c r="CB33" s="70"/>
      <c r="CC33" s="566"/>
      <c r="CD33" s="566"/>
      <c r="CE33" s="70"/>
      <c r="CF33" s="566"/>
      <c r="CG33" s="566"/>
      <c r="CH33" s="70"/>
      <c r="CI33" s="566"/>
      <c r="CJ33" s="566"/>
      <c r="CK33" s="70"/>
      <c r="CL33" s="566"/>
      <c r="CM33" s="566"/>
      <c r="CN33" s="52">
        <f t="shared" si="60"/>
        <v>0</v>
      </c>
      <c r="CO33" s="39">
        <f t="shared" si="27"/>
        <v>0</v>
      </c>
      <c r="CP33" s="40">
        <f t="shared" si="61"/>
        <v>0</v>
      </c>
      <c r="CQ33" s="52">
        <f t="shared" si="62"/>
        <v>0</v>
      </c>
      <c r="CR33" s="72">
        <f t="shared" si="28"/>
        <v>0</v>
      </c>
      <c r="CS33" s="5">
        <f t="shared" si="28"/>
        <v>0</v>
      </c>
      <c r="CT33" s="52">
        <f t="shared" si="63"/>
        <v>0</v>
      </c>
      <c r="CU33" s="77">
        <f t="shared" si="64"/>
        <v>0</v>
      </c>
      <c r="CV33" s="65">
        <f t="shared" si="65"/>
        <v>0</v>
      </c>
      <c r="CW33" s="35">
        <f t="shared" si="66"/>
        <v>0</v>
      </c>
      <c r="CX33" s="566"/>
      <c r="CY33" s="566"/>
      <c r="CZ33" s="52">
        <f t="shared" si="67"/>
        <v>0</v>
      </c>
      <c r="DA33" s="150">
        <f>'[2]побудинковий звіт'!DA33</f>
        <v>-5133.3577867140239</v>
      </c>
      <c r="DB33" s="2">
        <v>3</v>
      </c>
      <c r="DC33" s="414">
        <f>'[4]побудинковий звіт'!DC33</f>
        <v>1794.2</v>
      </c>
      <c r="DD33" s="414">
        <f>'[4]побудинковий звіт'!DD33</f>
        <v>0</v>
      </c>
      <c r="DE33" s="557">
        <f>'[4]побудинковий звіт'!DE33</f>
        <v>1401.7150414547118</v>
      </c>
      <c r="DF33" s="557">
        <f>'[4]побудинковий звіт'!DF33</f>
        <v>0</v>
      </c>
      <c r="DG33" s="321">
        <f>VLOOKUP(A33,'кошти 01.03.2021'!$A$6:$D$401,4,)</f>
        <v>-3459.2702589794267</v>
      </c>
      <c r="DH33" s="40">
        <f>'[3]побудинковий звіт'!DJ33</f>
        <v>4467.846372590695</v>
      </c>
      <c r="DI33" s="422">
        <f>'[3]побудинковий звіт'!CU33+'[3]побудинковий звіт'!CX33</f>
        <v>392.48495854528824</v>
      </c>
      <c r="DJ33" s="306">
        <f>'[3]побудинковий звіт'!DM33</f>
        <v>1.6367179255433204</v>
      </c>
      <c r="DK33" s="306">
        <f t="shared" si="76"/>
        <v>1.6367179255433204</v>
      </c>
      <c r="DL33" s="306">
        <f>'[3]побудинковий звіт'!DO33</f>
        <v>1.6367179255433204</v>
      </c>
      <c r="DM33" s="28">
        <f t="shared" si="77"/>
        <v>392.48495854528824</v>
      </c>
      <c r="DN33" s="28">
        <f t="shared" si="78"/>
        <v>0</v>
      </c>
      <c r="DO33" s="423">
        <f t="shared" si="29"/>
        <v>392.48495854528824</v>
      </c>
      <c r="DP33" s="94">
        <f t="shared" si="30"/>
        <v>0</v>
      </c>
      <c r="DQ33" s="28">
        <f t="shared" si="31"/>
        <v>392.48495854528824</v>
      </c>
      <c r="DR33" s="318"/>
      <c r="DT33" s="8"/>
      <c r="DU33" s="5"/>
      <c r="DX33" s="5">
        <f t="shared" si="32"/>
        <v>0</v>
      </c>
      <c r="DY33" s="5">
        <f t="shared" si="33"/>
        <v>0</v>
      </c>
      <c r="DZ33" s="159">
        <f>'[3]побудинковий звіт'!EA33</f>
        <v>303.06080296328787</v>
      </c>
    </row>
    <row r="34" spans="1:130" x14ac:dyDescent="0.3">
      <c r="A34" s="325">
        <v>150001005</v>
      </c>
      <c r="B34" s="41" t="s">
        <v>483</v>
      </c>
      <c r="C34" s="42" t="s">
        <v>47</v>
      </c>
      <c r="D34" s="42"/>
      <c r="E34" s="293">
        <f t="shared" si="23"/>
        <v>242.2</v>
      </c>
      <c r="F34" s="305">
        <f>'[3]побудинковий звіт'!F34</f>
        <v>242.2</v>
      </c>
      <c r="G34" s="508">
        <f>'[3]побудинковий звіт'!G34</f>
        <v>0</v>
      </c>
      <c r="H34" s="560">
        <f>'[3]побудинковий звіт'!H34</f>
        <v>0</v>
      </c>
      <c r="I34" s="566"/>
      <c r="J34" s="566"/>
      <c r="K34" s="52">
        <f t="shared" si="34"/>
        <v>0</v>
      </c>
      <c r="L34" s="566"/>
      <c r="M34" s="566"/>
      <c r="N34" s="52">
        <f t="shared" si="35"/>
        <v>0</v>
      </c>
      <c r="O34" s="566"/>
      <c r="P34" s="566"/>
      <c r="Q34" s="70"/>
      <c r="R34" s="566"/>
      <c r="S34" s="566"/>
      <c r="T34" s="70"/>
      <c r="U34" s="566"/>
      <c r="V34" s="566"/>
      <c r="W34" s="70"/>
      <c r="X34" s="566"/>
      <c r="Y34" s="566"/>
      <c r="Z34" s="70"/>
      <c r="AA34" s="566"/>
      <c r="AB34" s="566"/>
      <c r="AC34" s="70"/>
      <c r="AD34" s="566"/>
      <c r="AE34" s="566"/>
      <c r="AF34" s="68"/>
      <c r="AG34" s="77">
        <f t="shared" si="24"/>
        <v>0</v>
      </c>
      <c r="AH34" s="53">
        <f t="shared" si="24"/>
        <v>0</v>
      </c>
      <c r="AI34" s="52">
        <f t="shared" si="42"/>
        <v>0</v>
      </c>
      <c r="AJ34" s="566"/>
      <c r="AK34" s="566"/>
      <c r="AL34" s="70"/>
      <c r="AM34" s="566"/>
      <c r="AN34" s="566"/>
      <c r="AO34" s="70"/>
      <c r="AP34" s="566"/>
      <c r="AQ34" s="566"/>
      <c r="AR34" s="70"/>
      <c r="AS34" s="566"/>
      <c r="AT34" s="566"/>
      <c r="AU34" s="78"/>
      <c r="AV34" s="566"/>
      <c r="AW34" s="566"/>
      <c r="AX34" s="55"/>
      <c r="AY34" s="566"/>
      <c r="AZ34" s="566"/>
      <c r="BA34" s="38"/>
      <c r="BB34" s="566"/>
      <c r="BC34" s="566"/>
      <c r="BD34" s="55"/>
      <c r="BE34" s="566"/>
      <c r="BF34" s="566"/>
      <c r="BG34" s="55"/>
      <c r="BH34" s="566"/>
      <c r="BI34" s="566"/>
      <c r="BJ34" s="55"/>
      <c r="BK34" s="566"/>
      <c r="BL34" s="566"/>
      <c r="BM34" s="55"/>
      <c r="BN34" s="566"/>
      <c r="BO34" s="566"/>
      <c r="BP34" s="55"/>
      <c r="BQ34" s="77">
        <f t="shared" si="25"/>
        <v>0</v>
      </c>
      <c r="BR34" s="40">
        <f t="shared" si="26"/>
        <v>0</v>
      </c>
      <c r="BS34" s="55">
        <f t="shared" si="70"/>
        <v>0</v>
      </c>
      <c r="BT34" s="566"/>
      <c r="BU34" s="566"/>
      <c r="BV34" s="70"/>
      <c r="BW34" s="566"/>
      <c r="BX34" s="566"/>
      <c r="BY34" s="70"/>
      <c r="BZ34" s="566"/>
      <c r="CA34" s="566"/>
      <c r="CB34" s="70"/>
      <c r="CC34" s="566"/>
      <c r="CD34" s="566"/>
      <c r="CE34" s="70"/>
      <c r="CF34" s="566"/>
      <c r="CG34" s="566"/>
      <c r="CH34" s="70"/>
      <c r="CI34" s="566"/>
      <c r="CJ34" s="566"/>
      <c r="CK34" s="70"/>
      <c r="CL34" s="566"/>
      <c r="CM34" s="566"/>
      <c r="CN34" s="52">
        <f t="shared" si="60"/>
        <v>0</v>
      </c>
      <c r="CO34" s="39">
        <f t="shared" si="27"/>
        <v>0</v>
      </c>
      <c r="CP34" s="40">
        <f t="shared" si="61"/>
        <v>0</v>
      </c>
      <c r="CQ34" s="52">
        <f t="shared" si="62"/>
        <v>0</v>
      </c>
      <c r="CR34" s="72">
        <f t="shared" si="28"/>
        <v>0</v>
      </c>
      <c r="CS34" s="5">
        <f t="shared" si="28"/>
        <v>0</v>
      </c>
      <c r="CT34" s="52">
        <f t="shared" si="63"/>
        <v>0</v>
      </c>
      <c r="CU34" s="77">
        <f t="shared" si="64"/>
        <v>0</v>
      </c>
      <c r="CV34" s="65">
        <f t="shared" si="65"/>
        <v>0</v>
      </c>
      <c r="CW34" s="35">
        <f t="shared" si="66"/>
        <v>0</v>
      </c>
      <c r="CX34" s="566"/>
      <c r="CY34" s="566"/>
      <c r="CZ34" s="52">
        <f t="shared" si="67"/>
        <v>0</v>
      </c>
      <c r="DA34" s="150">
        <f>'[2]побудинковий звіт'!DA34</f>
        <v>-6977.7866965940066</v>
      </c>
      <c r="DB34" s="2">
        <v>3</v>
      </c>
      <c r="DC34" s="414">
        <f>'[4]побудинковий звіт'!DC34</f>
        <v>2228.13</v>
      </c>
      <c r="DD34" s="414">
        <f>'[4]побудинковий звіт'!DD34</f>
        <v>0</v>
      </c>
      <c r="DE34" s="557">
        <f>'[4]побудинковий звіт'!DE34</f>
        <v>1839.6871216778231</v>
      </c>
      <c r="DF34" s="557">
        <f>'[4]побудинковий звіт'!DF34</f>
        <v>0</v>
      </c>
      <c r="DG34" s="321">
        <f>VLOOKUP(A34,'кошти 01.03.2021'!$A$6:$D$401,4,)</f>
        <v>-5046.1372839123705</v>
      </c>
      <c r="DH34" s="40">
        <f>'[3]побудинковий звіт'!DJ34</f>
        <v>4427.5336145040465</v>
      </c>
      <c r="DI34" s="422">
        <f>'[3]побудинковий звіт'!CU34+'[3]побудинковий звіт'!CX34</f>
        <v>388.44287832217708</v>
      </c>
      <c r="DJ34" s="306">
        <f>'[3]побудинковий звіт'!DM34</f>
        <v>1.6038103976968501</v>
      </c>
      <c r="DK34" s="306">
        <f t="shared" si="76"/>
        <v>1.6038103976968501</v>
      </c>
      <c r="DL34" s="306">
        <f>'[3]побудинковий звіт'!DO34</f>
        <v>1.6038103976968501</v>
      </c>
      <c r="DM34" s="28">
        <f t="shared" si="77"/>
        <v>388.44287832217708</v>
      </c>
      <c r="DN34" s="28">
        <f t="shared" si="78"/>
        <v>0</v>
      </c>
      <c r="DO34" s="423">
        <f t="shared" si="29"/>
        <v>388.44287832217708</v>
      </c>
      <c r="DP34" s="94">
        <f t="shared" si="30"/>
        <v>0</v>
      </c>
      <c r="DQ34" s="28">
        <f t="shared" si="31"/>
        <v>388.44287832217708</v>
      </c>
      <c r="DR34" s="318"/>
      <c r="DT34" s="8"/>
      <c r="DU34" s="5"/>
      <c r="DX34" s="5">
        <f t="shared" si="32"/>
        <v>0</v>
      </c>
      <c r="DY34" s="5">
        <f t="shared" si="33"/>
        <v>0</v>
      </c>
      <c r="DZ34" s="159">
        <f>'[3]побудинковий звіт'!EA34</f>
        <v>324.38936247042085</v>
      </c>
    </row>
    <row r="35" spans="1:130" x14ac:dyDescent="0.3">
      <c r="A35" s="325">
        <v>150000995</v>
      </c>
      <c r="B35" s="41" t="s">
        <v>484</v>
      </c>
      <c r="C35" s="42" t="s">
        <v>48</v>
      </c>
      <c r="D35" s="42"/>
      <c r="E35" s="293">
        <f t="shared" si="23"/>
        <v>135.6</v>
      </c>
      <c r="F35" s="305">
        <f>'[3]побудинковий звіт'!F35</f>
        <v>135.6</v>
      </c>
      <c r="G35" s="508">
        <f>'[3]побудинковий звіт'!G35</f>
        <v>0</v>
      </c>
      <c r="H35" s="560">
        <f>'[3]побудинковий звіт'!H35</f>
        <v>0</v>
      </c>
      <c r="I35" s="566">
        <f>VLOOKUP($A35,'01-02.2021'!$A$6:$CZ$403,9,FALSE)+VLOOKUP($A35,'1.3.21-28.2.22'!$A$6:$DA$404,9,FALSE)-VLOOKUP($A35,'01-02.2022'!$A$6:$DA$376,9,FALSE)</f>
        <v>0</v>
      </c>
      <c r="J35" s="566">
        <f>VLOOKUP($A35,'01-02.2021'!$A$6:$CZ$403,10,FALSE)+VLOOKUP($A35,'1.3.21-28.2.22'!$A$6:$DA$404,10,FALSE)-VLOOKUP($A35,'01-02.2022'!$A$6:$DA$376,10,FALSE)</f>
        <v>0</v>
      </c>
      <c r="K35" s="52">
        <f t="shared" si="34"/>
        <v>0</v>
      </c>
      <c r="L35" s="566">
        <f>VLOOKUP($A35,'01-02.2021'!$A$6:$CZ$403,12,FALSE)+VLOOKUP($A35,'1.3.21-28.2.22'!$A$6:$DA$404,12,FALSE)-VLOOKUP($A35,'01-02.2022'!$A$6:$DA$376,12,FALSE)</f>
        <v>0</v>
      </c>
      <c r="M35" s="566">
        <f>VLOOKUP($A35,'01-02.2021'!$A$6:$CZ$403,13,FALSE)+VLOOKUP($A35,'1.3.21-28.2.22'!$A$6:$DA$404,13,FALSE)-VLOOKUP($A35,'01-02.2022'!$A$6:$DA$376,13,FALSE)</f>
        <v>0</v>
      </c>
      <c r="N35" s="52">
        <f t="shared" si="35"/>
        <v>0</v>
      </c>
      <c r="O35" s="566">
        <f>VLOOKUP($A35,'01-02.2021'!$A$6:$CZ$403,15,FALSE)+VLOOKUP($A35,'1.3.21-28.2.22'!$A$6:$DA$404,15,FALSE)-VLOOKUP($A35,'01-02.2022'!$A$6:$DA$376,15,FALSE)</f>
        <v>0</v>
      </c>
      <c r="P35" s="566">
        <f>VLOOKUP($A35,'01-02.2021'!$A$6:$CZ$403,16,FALSE)+VLOOKUP($A35,'1.3.21-28.2.22'!$A$6:$DA$404,16,FALSE)-VLOOKUP($A35,'01-02.2022'!$A$6:$DA$376,16,FALSE)</f>
        <v>0</v>
      </c>
      <c r="Q35" s="70">
        <f t="shared" si="36"/>
        <v>0</v>
      </c>
      <c r="R35" s="566">
        <f>VLOOKUP($A35,'01-02.2021'!$A$6:$CZ$403,18,FALSE)+VLOOKUP($A35,'1.3.21-28.2.22'!$A$6:$DA$404,18,FALSE)-VLOOKUP($A35,'01-02.2022'!$A$6:$DA$376,18,FALSE)</f>
        <v>0</v>
      </c>
      <c r="S35" s="566">
        <f>VLOOKUP($A35,'01-02.2021'!$A$6:$CZ$403,19,FALSE)+VLOOKUP($A35,'1.3.21-28.2.22'!$A$6:$DA$404,19,FALSE)-VLOOKUP($A35,'01-02.2022'!$A$6:$DA$376,19,FALSE)</f>
        <v>0</v>
      </c>
      <c r="T35" s="70">
        <f t="shared" si="37"/>
        <v>0</v>
      </c>
      <c r="U35" s="566">
        <f>VLOOKUP($A35,'01-02.2021'!$A$6:$CZ$403,21,FALSE)+VLOOKUP($A35,'1.3.21-28.2.22'!$A$6:$DA$404,21,FALSE)-VLOOKUP($A35,'01-02.2022'!$A$6:$DA$376,21,FALSE)</f>
        <v>0</v>
      </c>
      <c r="V35" s="566">
        <f>VLOOKUP($A35,'01-02.2021'!$A$6:$CZ$403,22,FALSE)+VLOOKUP($A35,'1.3.21-28.2.22'!$A$6:$DA$404,22,FALSE)-VLOOKUP($A35,'01-02.2022'!$A$6:$DA$376,22,FALSE)</f>
        <v>0</v>
      </c>
      <c r="W35" s="70">
        <f t="shared" si="38"/>
        <v>0</v>
      </c>
      <c r="X35" s="566">
        <f>VLOOKUP($A35,'01-02.2021'!$A$6:$CZ$403,24,FALSE)+VLOOKUP($A35,'1.3.21-28.2.22'!$A$6:$DA$404,24,FALSE)-VLOOKUP($A35,'01-02.2022'!$A$6:$DA$376,24,FALSE)</f>
        <v>0</v>
      </c>
      <c r="Y35" s="566">
        <f>VLOOKUP($A35,'01-02.2021'!$A$6:$CZ$403,25,FALSE)+VLOOKUP($A35,'1.3.21-28.2.22'!$A$6:$DA$404,25,FALSE)-VLOOKUP($A35,'01-02.2022'!$A$6:$DA$376,25,FALSE)</f>
        <v>0</v>
      </c>
      <c r="Z35" s="70">
        <f t="shared" si="39"/>
        <v>0</v>
      </c>
      <c r="AA35" s="566">
        <f>VLOOKUP($A35,'01-02.2021'!$A$6:$CZ$403,27,FALSE)+VLOOKUP($A35,'1.3.21-28.2.22'!$A$6:$DA$404,27,FALSE)-VLOOKUP($A35,'01-02.2022'!$A$6:$DA$376,27,FALSE)</f>
        <v>27.119999999999997</v>
      </c>
      <c r="AB35" s="566">
        <f>VLOOKUP($A35,'01-02.2021'!$A$6:$CZ$403,28,FALSE)+VLOOKUP($A35,'1.3.21-28.2.22'!$A$6:$DA$404,28,FALSE)-VLOOKUP($A35,'01-02.2022'!$A$6:$DA$376,28,FALSE)</f>
        <v>0</v>
      </c>
      <c r="AC35" s="70">
        <f t="shared" si="40"/>
        <v>-27.119999999999997</v>
      </c>
      <c r="AD35" s="566">
        <f>VLOOKUP($A35,'01-02.2021'!$A$6:$CZ$403,30,FALSE)+VLOOKUP($A35,'1.3.21-28.2.22'!$A$6:$DA$404,30,FALSE)-VLOOKUP($A35,'01-02.2022'!$A$6:$DA$376,30,FALSE)</f>
        <v>203.66599035481903</v>
      </c>
      <c r="AE35" s="566">
        <f>VLOOKUP($A35,'01-02.2021'!$A$6:$CZ$403,31,FALSE)+VLOOKUP($A35,'1.3.21-28.2.22'!$A$6:$DA$404,31,FALSE)-VLOOKUP($A35,'01-02.2022'!$A$6:$DA$376,31,FALSE)</f>
        <v>617.25666362914808</v>
      </c>
      <c r="AF35" s="68">
        <f t="shared" si="41"/>
        <v>413.59067327432905</v>
      </c>
      <c r="AG35" s="77">
        <f t="shared" si="24"/>
        <v>230.78599035481903</v>
      </c>
      <c r="AH35" s="53">
        <f t="shared" si="24"/>
        <v>617.25666362914808</v>
      </c>
      <c r="AI35" s="52">
        <f t="shared" si="42"/>
        <v>386.47067327432904</v>
      </c>
      <c r="AJ35" s="566">
        <f>VLOOKUP($A35,'01-02.2021'!$A$6:$CZ$403,36,FALSE)+VLOOKUP($A35,'1.3.21-28.2.22'!$A$6:$DA$404,36,FALSE)-VLOOKUP($A35,'01-02.2022'!$A$6:$DA$376,36,FALSE)</f>
        <v>0</v>
      </c>
      <c r="AK35" s="566">
        <f>VLOOKUP($A35,'01-02.2021'!$A$6:$CZ$403,37,FALSE)+VLOOKUP($A35,'1.3.21-28.2.22'!$A$6:$DA$404,37,FALSE)-VLOOKUP($A35,'01-02.2022'!$A$6:$DA$376,37,FALSE)</f>
        <v>0</v>
      </c>
      <c r="AL35" s="70">
        <f t="shared" si="43"/>
        <v>0</v>
      </c>
      <c r="AM35" s="566">
        <f>VLOOKUP($A35,'01-02.2021'!$A$6:$CZ$403,39,FALSE)+VLOOKUP($A35,'1.3.21-28.2.22'!$A$6:$DA$404,39,FALSE)-VLOOKUP($A35,'01-02.2022'!$A$6:$DA$376,39,FALSE)</f>
        <v>0</v>
      </c>
      <c r="AN35" s="566">
        <f>VLOOKUP($A35,'01-02.2021'!$A$6:$CZ$403,40,FALSE)+VLOOKUP($A35,'1.3.21-28.2.22'!$A$6:$DA$404,40,FALSE)-VLOOKUP($A35,'01-02.2022'!$A$6:$DA$376,40,FALSE)</f>
        <v>0</v>
      </c>
      <c r="AO35" s="70">
        <f t="shared" si="44"/>
        <v>0</v>
      </c>
      <c r="AP35" s="566">
        <f>VLOOKUP($A35,'01-02.2021'!$A$6:$CZ$403,42,FALSE)+VLOOKUP($A35,'1.3.21-28.2.22'!$A$6:$DA$404,42,FALSE)-VLOOKUP($A35,'01-02.2022'!$A$6:$DA$376,42,FALSE)</f>
        <v>260.27996250638864</v>
      </c>
      <c r="AQ35" s="566">
        <f>VLOOKUP($A35,'01-02.2021'!$A$6:$CZ$403,43,FALSE)+VLOOKUP($A35,'1.3.21-28.2.22'!$A$6:$DA$404,43,FALSE)-VLOOKUP($A35,'01-02.2022'!$A$6:$DA$376,43,FALSE)</f>
        <v>224.38224961495439</v>
      </c>
      <c r="AR35" s="70">
        <f t="shared" si="45"/>
        <v>-35.897712891434253</v>
      </c>
      <c r="AS35" s="566">
        <f>VLOOKUP($A35,'01-02.2021'!$A$6:$CZ$403,45,FALSE)+VLOOKUP($A35,'1.3.21-28.2.22'!$A$6:$DA$404,45,FALSE)-VLOOKUP($A35,'01-02.2022'!$A$6:$DA$376,45,FALSE)</f>
        <v>1562.4875699541931</v>
      </c>
      <c r="AT35" s="566">
        <f>VLOOKUP($A35,'01-02.2021'!$A$6:$CZ$403,46,FALSE)+VLOOKUP($A35,'1.3.21-28.2.22'!$A$6:$DA$404,46,FALSE)-VLOOKUP($A35,'01-02.2022'!$A$6:$DA$376,46,FALSE)</f>
        <v>0</v>
      </c>
      <c r="AU35" s="78">
        <f t="shared" si="46"/>
        <v>-1562.4875699541931</v>
      </c>
      <c r="AV35" s="566">
        <f>VLOOKUP($A35,'01-02.2021'!$A$6:$CZ$403,48,FALSE)+VLOOKUP($A35,'1.3.21-28.2.22'!$A$6:$DA$404,48,FALSE)-VLOOKUP($A35,'01-02.2022'!$A$6:$DA$376,48,FALSE)</f>
        <v>0</v>
      </c>
      <c r="AW35" s="566">
        <f>VLOOKUP($A35,'01-02.2021'!$A$6:$CZ$403,49,FALSE)+VLOOKUP($A35,'1.3.21-28.2.22'!$A$6:$DA$404,49,FALSE)-VLOOKUP($A35,'01-02.2022'!$A$6:$DA$376,49,FALSE)</f>
        <v>0</v>
      </c>
      <c r="AX35" s="55">
        <f t="shared" si="47"/>
        <v>0</v>
      </c>
      <c r="AY35" s="566">
        <f>VLOOKUP($A35,'01-02.2021'!$A$6:$CZ$403,51,FALSE)+VLOOKUP($A35,'1.3.21-28.2.22'!$A$6:$DA$404,51,FALSE)-VLOOKUP($A35,'01-02.2022'!$A$6:$DA$376,51,FALSE)</f>
        <v>0</v>
      </c>
      <c r="AZ35" s="566">
        <f>VLOOKUP($A35,'01-02.2021'!$A$6:$CZ$403,52,FALSE)+VLOOKUP($A35,'1.3.21-28.2.22'!$A$6:$DA$404,52,FALSE)-VLOOKUP($A35,'01-02.2022'!$A$6:$DA$376,52,FALSE)</f>
        <v>0</v>
      </c>
      <c r="BA35" s="38">
        <f t="shared" si="48"/>
        <v>0</v>
      </c>
      <c r="BB35" s="566">
        <f>VLOOKUP($A35,'01-02.2021'!$A$6:$CZ$403,54,FALSE)+VLOOKUP($A35,'1.3.21-28.2.22'!$A$6:$DA$404,54,FALSE)-VLOOKUP($A35,'01-02.2022'!$A$6:$DA$376,54,FALSE)</f>
        <v>0</v>
      </c>
      <c r="BC35" s="566">
        <f>VLOOKUP($A35,'01-02.2021'!$A$6:$CZ$403,55,FALSE)+VLOOKUP($A35,'1.3.21-28.2.22'!$A$6:$DA$404,55,FALSE)-VLOOKUP($A35,'01-02.2022'!$A$6:$DA$376,55,FALSE)</f>
        <v>0</v>
      </c>
      <c r="BD35" s="55">
        <f t="shared" si="49"/>
        <v>0</v>
      </c>
      <c r="BE35" s="566">
        <f>VLOOKUP($A35,'01-02.2021'!$A$6:$CZ$403,57,FALSE)+VLOOKUP($A35,'1.3.21-28.2.22'!$A$6:$DA$404,57,FALSE)-VLOOKUP($A35,'01-02.2022'!$A$6:$DA$376,57,FALSE)</f>
        <v>0</v>
      </c>
      <c r="BF35" s="566">
        <f>VLOOKUP($A35,'01-02.2021'!$A$6:$CZ$403,58,FALSE)+VLOOKUP($A35,'1.3.21-28.2.22'!$A$6:$DA$404,58,FALSE)-VLOOKUP($A35,'01-02.2022'!$A$6:$DA$376,58,FALSE)</f>
        <v>0</v>
      </c>
      <c r="BG35" s="55">
        <f t="shared" si="50"/>
        <v>0</v>
      </c>
      <c r="BH35" s="566">
        <f>VLOOKUP($A35,'01-02.2021'!$A$6:$CZ$403,60,FALSE)+VLOOKUP($A35,'1.3.21-28.2.22'!$A$6:$DA$404,60,FALSE)-VLOOKUP($A35,'01-02.2022'!$A$6:$DA$376,60,FALSE)</f>
        <v>0</v>
      </c>
      <c r="BI35" s="566">
        <f>VLOOKUP($A35,'01-02.2021'!$A$6:$CZ$403,61,FALSE)+VLOOKUP($A35,'1.3.21-28.2.22'!$A$6:$DA$404,61,FALSE)-VLOOKUP($A35,'01-02.2022'!$A$6:$DA$376,61,FALSE)</f>
        <v>0</v>
      </c>
      <c r="BJ35" s="55">
        <f t="shared" si="51"/>
        <v>0</v>
      </c>
      <c r="BK35" s="566">
        <f>VLOOKUP($A35,'01-02.2021'!$A$6:$CZ$403,63,FALSE)+VLOOKUP($A35,'1.3.21-28.2.22'!$A$6:$DA$404,63,FALSE)-VLOOKUP($A35,'01-02.2022'!$A$6:$DA$376,63,FALSE)</f>
        <v>0</v>
      </c>
      <c r="BL35" s="566">
        <f>VLOOKUP($A35,'01-02.2021'!$A$6:$CZ$403,64,FALSE)+VLOOKUP($A35,'1.3.21-28.2.22'!$A$6:$DA$404,64,FALSE)-VLOOKUP($A35,'01-02.2022'!$A$6:$DA$376,64,FALSE)</f>
        <v>0</v>
      </c>
      <c r="BM35" s="55">
        <f t="shared" si="52"/>
        <v>0</v>
      </c>
      <c r="BN35" s="566">
        <f>VLOOKUP($A35,'01-02.2021'!$A$6:$CZ$403,66,FALSE)+VLOOKUP($A35,'1.3.21-28.2.22'!$A$6:$DA$404,66,FALSE)-VLOOKUP($A35,'01-02.2022'!$A$6:$DA$376,66,FALSE)</f>
        <v>6.7799999999999994</v>
      </c>
      <c r="BO35" s="566">
        <f>VLOOKUP($A35,'01-02.2021'!$A$6:$CZ$403,67,FALSE)+VLOOKUP($A35,'1.3.21-28.2.22'!$A$6:$DA$404,67,FALSE)-VLOOKUP($A35,'01-02.2022'!$A$6:$DA$376,67,FALSE)</f>
        <v>0</v>
      </c>
      <c r="BP35" s="55">
        <f t="shared" si="53"/>
        <v>-6.7799999999999994</v>
      </c>
      <c r="BQ35" s="77">
        <f t="shared" si="25"/>
        <v>6.7799999999999994</v>
      </c>
      <c r="BR35" s="40">
        <f t="shared" si="26"/>
        <v>0</v>
      </c>
      <c r="BS35" s="55">
        <f t="shared" si="70"/>
        <v>-6.7799999999999994</v>
      </c>
      <c r="BT35" s="566">
        <f>VLOOKUP($A35,'01-02.2021'!$A$6:$CZ$403,72,FALSE)+VLOOKUP($A35,'1.3.21-28.2.22'!$A$6:$DA$404,72,FALSE)-VLOOKUP($A35,'01-02.2022'!$A$6:$DA$376,72,FALSE)</f>
        <v>41.872268819845637</v>
      </c>
      <c r="BU35" s="566">
        <f>VLOOKUP($A35,'01-02.2021'!$A$6:$CZ$403,73,FALSE)+VLOOKUP($A35,'1.3.21-28.2.22'!$A$6:$DA$404,73,FALSE)-VLOOKUP($A35,'01-02.2022'!$A$6:$DA$376,73,FALSE)</f>
        <v>64.987695865778861</v>
      </c>
      <c r="BV35" s="70">
        <f t="shared" si="54"/>
        <v>23.115427045933224</v>
      </c>
      <c r="BW35" s="566">
        <f>VLOOKUP($A35,'01-02.2021'!$A$6:$CZ$403,75,FALSE)+VLOOKUP($A35,'1.3.21-28.2.22'!$A$6:$DA$404,75,FALSE)-VLOOKUP($A35,'01-02.2022'!$A$6:$DA$376,75,FALSE)</f>
        <v>0</v>
      </c>
      <c r="BX35" s="566">
        <f>VLOOKUP($A35,'01-02.2021'!$A$6:$CZ$403,76,FALSE)+VLOOKUP($A35,'1.3.21-28.2.22'!$A$6:$DA$404,76,FALSE)-VLOOKUP($A35,'01-02.2022'!$A$6:$DA$376,76,FALSE)</f>
        <v>3.0390116845481043</v>
      </c>
      <c r="BY35" s="70">
        <f t="shared" si="55"/>
        <v>3.0390116845481043</v>
      </c>
      <c r="BZ35" s="566">
        <f>VLOOKUP($A35,'01-02.2021'!$A$6:$CZ$403,78,FALSE)+VLOOKUP($A35,'1.3.21-28.2.22'!$A$6:$DA$404,78,FALSE)-VLOOKUP($A35,'01-02.2022'!$A$6:$DA$376,78,FALSE)</f>
        <v>0</v>
      </c>
      <c r="CA35" s="566">
        <f>VLOOKUP($A35,'01-02.2021'!$A$6:$CZ$403,79,FALSE)+VLOOKUP($A35,'1.3.21-28.2.22'!$A$6:$DA$404,79,FALSE)-VLOOKUP($A35,'01-02.2022'!$A$6:$DA$376,79,FALSE)</f>
        <v>3.9605668974085724</v>
      </c>
      <c r="CB35" s="70">
        <f t="shared" si="56"/>
        <v>3.9605668974085724</v>
      </c>
      <c r="CC35" s="566">
        <f>VLOOKUP($A35,'01-02.2021'!$A$6:$CZ$403,81,FALSE)+VLOOKUP($A35,'1.3.21-28.2.22'!$A$6:$DA$404,81,FALSE)-VLOOKUP($A35,'01-02.2022'!$A$6:$DA$376,81,FALSE)</f>
        <v>0</v>
      </c>
      <c r="CD35" s="566">
        <f>VLOOKUP($A35,'01-02.2021'!$A$6:$CZ$403,82,FALSE)+VLOOKUP($A35,'1.3.21-28.2.22'!$A$6:$DA$404,82,FALSE)-VLOOKUP($A35,'01-02.2022'!$A$6:$DA$376,82,FALSE)</f>
        <v>0</v>
      </c>
      <c r="CE35" s="70">
        <f t="shared" si="57"/>
        <v>0</v>
      </c>
      <c r="CF35" s="566">
        <f>VLOOKUP($A35,'01-02.2021'!$A$6:$CZ$403,84,FALSE)+VLOOKUP($A35,'1.3.21-28.2.22'!$A$6:$DA$404,84,FALSE)-VLOOKUP($A35,'01-02.2022'!$A$6:$DA$376,84,FALSE)</f>
        <v>0</v>
      </c>
      <c r="CG35" s="566">
        <f>VLOOKUP($A35,'01-02.2021'!$A$6:$CZ$403,85,FALSE)+VLOOKUP($A35,'1.3.21-28.2.22'!$A$6:$DA$404,85,FALSE)-VLOOKUP($A35,'01-02.2022'!$A$6:$DA$376,85,FALSE)</f>
        <v>0</v>
      </c>
      <c r="CH35" s="70">
        <f t="shared" si="58"/>
        <v>0</v>
      </c>
      <c r="CI35" s="566">
        <f>VLOOKUP($A35,'01-02.2021'!$A$6:$CZ$403,87,FALSE)+VLOOKUP($A35,'1.3.21-28.2.22'!$A$6:$DA$404,87,FALSE)-VLOOKUP($A35,'01-02.2022'!$A$6:$DA$376,87,FALSE)</f>
        <v>205.66133812017253</v>
      </c>
      <c r="CJ35" s="566">
        <f>VLOOKUP($A35,'01-02.2021'!$A$6:$CZ$403,88,FALSE)+VLOOKUP($A35,'1.3.21-28.2.22'!$A$6:$DA$404,88,FALSE)-VLOOKUP($A35,'01-02.2022'!$A$6:$DA$376,88,FALSE)</f>
        <v>228.85278175917213</v>
      </c>
      <c r="CK35" s="70">
        <f t="shared" si="59"/>
        <v>23.191443638999601</v>
      </c>
      <c r="CL35" s="566">
        <f>VLOOKUP($A35,'01-02.2021'!$A$6:$CZ$403,90,FALSE)+VLOOKUP($A35,'1.3.21-28.2.22'!$A$6:$DA$404,90,FALSE)-VLOOKUP($A35,'01-02.2022'!$A$6:$DA$376,90,FALSE)</f>
        <v>0</v>
      </c>
      <c r="CM35" s="566">
        <f>VLOOKUP($A35,'01-02.2021'!$A$6:$CZ$403,91,FALSE)+VLOOKUP($A35,'1.3.21-28.2.22'!$A$6:$DA$404,91,FALSE)-VLOOKUP($A35,'01-02.2022'!$A$6:$DA$376,91,FALSE)</f>
        <v>0</v>
      </c>
      <c r="CN35" s="52">
        <f t="shared" si="60"/>
        <v>0</v>
      </c>
      <c r="CO35" s="39">
        <f t="shared" si="27"/>
        <v>205.66133812017253</v>
      </c>
      <c r="CP35" s="40">
        <f t="shared" si="61"/>
        <v>228.85278175917213</v>
      </c>
      <c r="CQ35" s="52">
        <f t="shared" si="62"/>
        <v>23.191443638999601</v>
      </c>
      <c r="CR35" s="72">
        <f t="shared" si="28"/>
        <v>2307.8671297554188</v>
      </c>
      <c r="CS35" s="5">
        <f t="shared" si="28"/>
        <v>1142.4789694510102</v>
      </c>
      <c r="CT35" s="52">
        <f t="shared" si="63"/>
        <v>-1165.3881603044085</v>
      </c>
      <c r="CU35" s="77">
        <f t="shared" si="64"/>
        <v>2769.4405557065024</v>
      </c>
      <c r="CV35" s="65">
        <f t="shared" si="65"/>
        <v>1370.9747633412123</v>
      </c>
      <c r="CW35" s="35">
        <f t="shared" si="66"/>
        <v>-1398.4657923652901</v>
      </c>
      <c r="CX35" s="566">
        <f>VLOOKUP($A35,'01-02.2021'!$A$6:$CZ$403,102,FALSE)+VLOOKUP($A35,'1.3.21-28.2.22'!$A$6:$DA$404,102,FALSE)-VLOOKUP($A35,'01-02.2022'!$A$6:$DA$376,102,FALSE)</f>
        <v>78.598732365653717</v>
      </c>
      <c r="CY35" s="566">
        <f>VLOOKUP($A35,'01-02.2021'!$A$6:$CZ$403,103,FALSE)+VLOOKUP($A35,'1.3.21-28.2.22'!$A$6:$DA$404,103,FALSE)-VLOOKUP($A35,'01-02.2022'!$A$6:$DA$376,103,FALSE)</f>
        <v>1477.0645247309446</v>
      </c>
      <c r="CZ35" s="52">
        <f t="shared" si="67"/>
        <v>1398.465792365291</v>
      </c>
      <c r="DA35" s="150">
        <f>'[2]побудинковий звіт'!DA35</f>
        <v>-917.28342581451602</v>
      </c>
      <c r="DB35" s="2">
        <v>3</v>
      </c>
      <c r="DC35" s="414">
        <f>'[4]побудинковий звіт'!DC35</f>
        <v>258.39999999999998</v>
      </c>
      <c r="DD35" s="414">
        <f>'[4]побудинковий звіт'!DD35</f>
        <v>0</v>
      </c>
      <c r="DE35" s="557">
        <f>'[4]побудинковий звіт'!DE35</f>
        <v>-0.19199001220243872</v>
      </c>
      <c r="DF35" s="557">
        <f>'[4]побудинковий звіт'!DF35</f>
        <v>0</v>
      </c>
      <c r="DG35" s="321">
        <f>VLOOKUP(A35,'кошти 01.03.2021'!$A$6:$D$401,4,)</f>
        <v>669.13991246637966</v>
      </c>
      <c r="DH35" s="40">
        <f>'[3]побудинковий звіт'!DJ35</f>
        <v>2948.5595422660808</v>
      </c>
      <c r="DI35" s="422">
        <f>'[3]побудинковий звіт'!CU35+'[3]побудинковий звіт'!CX35</f>
        <v>258.59199001220242</v>
      </c>
      <c r="DJ35" s="306">
        <f>'[3]побудинковий звіт'!DM35</f>
        <v>1.9070205753112273</v>
      </c>
      <c r="DK35" s="306">
        <f t="shared" si="76"/>
        <v>1.9070205753112273</v>
      </c>
      <c r="DL35" s="306">
        <f>'[3]побудинковий звіт'!DO35</f>
        <v>1.9070205753112273</v>
      </c>
      <c r="DM35" s="28">
        <f t="shared" si="77"/>
        <v>258.59199001220242</v>
      </c>
      <c r="DN35" s="28">
        <f t="shared" si="78"/>
        <v>0</v>
      </c>
      <c r="DO35" s="423">
        <f t="shared" si="29"/>
        <v>258.59199001220242</v>
      </c>
      <c r="DP35" s="94">
        <f t="shared" si="30"/>
        <v>0</v>
      </c>
      <c r="DQ35" s="28">
        <f t="shared" si="31"/>
        <v>258.59199001220242</v>
      </c>
      <c r="DR35" s="318"/>
      <c r="DT35" s="8"/>
      <c r="DU35" s="5"/>
      <c r="DX35" s="5">
        <f t="shared" si="32"/>
        <v>1883.1210839450316</v>
      </c>
      <c r="DY35" s="5">
        <f t="shared" si="33"/>
        <v>0</v>
      </c>
      <c r="DZ35" s="159">
        <f>'[3]побудинковий звіт'!EA35</f>
        <v>207.951285890175</v>
      </c>
    </row>
    <row r="36" spans="1:130" x14ac:dyDescent="0.3">
      <c r="A36" s="325">
        <v>150001002</v>
      </c>
      <c r="B36" s="41" t="s">
        <v>485</v>
      </c>
      <c r="C36" s="42" t="s">
        <v>49</v>
      </c>
      <c r="D36" s="42"/>
      <c r="E36" s="293">
        <f t="shared" si="23"/>
        <v>229.9</v>
      </c>
      <c r="F36" s="305">
        <f>'[3]побудинковий звіт'!F36</f>
        <v>229.9</v>
      </c>
      <c r="G36" s="508">
        <f>'[3]побудинковий звіт'!G36</f>
        <v>0</v>
      </c>
      <c r="H36" s="560">
        <f>'[3]побудинковий звіт'!H36</f>
        <v>0</v>
      </c>
      <c r="I36" s="566">
        <f>VLOOKUP($A36,'01-02.2021'!$A$6:$CZ$403,9,FALSE)+VLOOKUP($A36,'1.3.21-28.2.22'!$A$6:$DA$404,9,FALSE)-VLOOKUP($A36,'01-02.2022'!$A$6:$DA$376,9,FALSE)</f>
        <v>0</v>
      </c>
      <c r="J36" s="566">
        <f>VLOOKUP($A36,'01-02.2021'!$A$6:$CZ$403,10,FALSE)+VLOOKUP($A36,'1.3.21-28.2.22'!$A$6:$DA$404,10,FALSE)-VLOOKUP($A36,'01-02.2022'!$A$6:$DA$376,10,FALSE)</f>
        <v>0</v>
      </c>
      <c r="K36" s="52">
        <f t="shared" si="34"/>
        <v>0</v>
      </c>
      <c r="L36" s="566">
        <f>VLOOKUP($A36,'01-02.2021'!$A$6:$CZ$403,12,FALSE)+VLOOKUP($A36,'1.3.21-28.2.22'!$A$6:$DA$404,12,FALSE)-VLOOKUP($A36,'01-02.2022'!$A$6:$DA$376,12,FALSE)</f>
        <v>0</v>
      </c>
      <c r="M36" s="566">
        <f>VLOOKUP($A36,'01-02.2021'!$A$6:$CZ$403,13,FALSE)+VLOOKUP($A36,'1.3.21-28.2.22'!$A$6:$DA$404,13,FALSE)-VLOOKUP($A36,'01-02.2022'!$A$6:$DA$376,13,FALSE)</f>
        <v>0</v>
      </c>
      <c r="N36" s="52">
        <f t="shared" si="35"/>
        <v>0</v>
      </c>
      <c r="O36" s="566">
        <f>VLOOKUP($A36,'01-02.2021'!$A$6:$CZ$403,15,FALSE)+VLOOKUP($A36,'1.3.21-28.2.22'!$A$6:$DA$404,15,FALSE)-VLOOKUP($A36,'01-02.2022'!$A$6:$DA$376,15,FALSE)</f>
        <v>0</v>
      </c>
      <c r="P36" s="566">
        <f>VLOOKUP($A36,'01-02.2021'!$A$6:$CZ$403,16,FALSE)+VLOOKUP($A36,'1.3.21-28.2.22'!$A$6:$DA$404,16,FALSE)-VLOOKUP($A36,'01-02.2022'!$A$6:$DA$376,16,FALSE)</f>
        <v>0</v>
      </c>
      <c r="Q36" s="70">
        <f t="shared" si="36"/>
        <v>0</v>
      </c>
      <c r="R36" s="566">
        <f>VLOOKUP($A36,'01-02.2021'!$A$6:$CZ$403,18,FALSE)+VLOOKUP($A36,'1.3.21-28.2.22'!$A$6:$DA$404,18,FALSE)-VLOOKUP($A36,'01-02.2022'!$A$6:$DA$376,18,FALSE)</f>
        <v>0</v>
      </c>
      <c r="S36" s="566">
        <f>VLOOKUP($A36,'01-02.2021'!$A$6:$CZ$403,19,FALSE)+VLOOKUP($A36,'1.3.21-28.2.22'!$A$6:$DA$404,19,FALSE)-VLOOKUP($A36,'01-02.2022'!$A$6:$DA$376,19,FALSE)</f>
        <v>0</v>
      </c>
      <c r="T36" s="70">
        <f t="shared" si="37"/>
        <v>0</v>
      </c>
      <c r="U36" s="566">
        <f>VLOOKUP($A36,'01-02.2021'!$A$6:$CZ$403,21,FALSE)+VLOOKUP($A36,'1.3.21-28.2.22'!$A$6:$DA$404,21,FALSE)-VLOOKUP($A36,'01-02.2022'!$A$6:$DA$376,21,FALSE)</f>
        <v>0</v>
      </c>
      <c r="V36" s="566">
        <f>VLOOKUP($A36,'01-02.2021'!$A$6:$CZ$403,22,FALSE)+VLOOKUP($A36,'1.3.21-28.2.22'!$A$6:$DA$404,22,FALSE)-VLOOKUP($A36,'01-02.2022'!$A$6:$DA$376,22,FALSE)</f>
        <v>0</v>
      </c>
      <c r="W36" s="70">
        <f t="shared" si="38"/>
        <v>0</v>
      </c>
      <c r="X36" s="566">
        <f>VLOOKUP($A36,'01-02.2021'!$A$6:$CZ$403,24,FALSE)+VLOOKUP($A36,'1.3.21-28.2.22'!$A$6:$DA$404,24,FALSE)-VLOOKUP($A36,'01-02.2022'!$A$6:$DA$376,24,FALSE)</f>
        <v>0</v>
      </c>
      <c r="Y36" s="566">
        <f>VLOOKUP($A36,'01-02.2021'!$A$6:$CZ$403,25,FALSE)+VLOOKUP($A36,'1.3.21-28.2.22'!$A$6:$DA$404,25,FALSE)-VLOOKUP($A36,'01-02.2022'!$A$6:$DA$376,25,FALSE)</f>
        <v>0</v>
      </c>
      <c r="Z36" s="70">
        <f t="shared" si="39"/>
        <v>0</v>
      </c>
      <c r="AA36" s="566">
        <f>VLOOKUP($A36,'01-02.2021'!$A$6:$CZ$403,27,FALSE)+VLOOKUP($A36,'1.3.21-28.2.22'!$A$6:$DA$404,27,FALSE)-VLOOKUP($A36,'01-02.2022'!$A$6:$DA$376,27,FALSE)</f>
        <v>45.980000000000004</v>
      </c>
      <c r="AB36" s="566">
        <f>VLOOKUP($A36,'01-02.2021'!$A$6:$CZ$403,28,FALSE)+VLOOKUP($A36,'1.3.21-28.2.22'!$A$6:$DA$404,28,FALSE)-VLOOKUP($A36,'01-02.2022'!$A$6:$DA$376,28,FALSE)</f>
        <v>0</v>
      </c>
      <c r="AC36" s="70">
        <f t="shared" si="40"/>
        <v>-45.980000000000004</v>
      </c>
      <c r="AD36" s="566">
        <f>VLOOKUP($A36,'01-02.2021'!$A$6:$CZ$403,30,FALSE)+VLOOKUP($A36,'1.3.21-28.2.22'!$A$6:$DA$404,30,FALSE)-VLOOKUP($A36,'01-02.2022'!$A$6:$DA$376,30,FALSE)</f>
        <v>345.28784137841581</v>
      </c>
      <c r="AE36" s="566">
        <f>VLOOKUP($A36,'01-02.2021'!$A$6:$CZ$403,31,FALSE)+VLOOKUP($A36,'1.3.21-28.2.22'!$A$6:$DA$404,31,FALSE)-VLOOKUP($A36,'01-02.2022'!$A$6:$DA$376,31,FALSE)</f>
        <v>1046.5140631883569</v>
      </c>
      <c r="AF36" s="68">
        <f t="shared" si="41"/>
        <v>701.22622180994108</v>
      </c>
      <c r="AG36" s="77">
        <f t="shared" si="24"/>
        <v>391.26784137841582</v>
      </c>
      <c r="AH36" s="53">
        <f t="shared" si="24"/>
        <v>1046.5140631883569</v>
      </c>
      <c r="AI36" s="52">
        <f t="shared" si="42"/>
        <v>655.24622180994106</v>
      </c>
      <c r="AJ36" s="566">
        <f>VLOOKUP($A36,'01-02.2021'!$A$6:$CZ$403,36,FALSE)+VLOOKUP($A36,'1.3.21-28.2.22'!$A$6:$DA$404,36,FALSE)-VLOOKUP($A36,'01-02.2022'!$A$6:$DA$376,36,FALSE)</f>
        <v>0</v>
      </c>
      <c r="AK36" s="566">
        <f>VLOOKUP($A36,'01-02.2021'!$A$6:$CZ$403,37,FALSE)+VLOOKUP($A36,'1.3.21-28.2.22'!$A$6:$DA$404,37,FALSE)-VLOOKUP($A36,'01-02.2022'!$A$6:$DA$376,37,FALSE)</f>
        <v>0</v>
      </c>
      <c r="AL36" s="70">
        <f t="shared" si="43"/>
        <v>0</v>
      </c>
      <c r="AM36" s="566">
        <f>VLOOKUP($A36,'01-02.2021'!$A$6:$CZ$403,39,FALSE)+VLOOKUP($A36,'1.3.21-28.2.22'!$A$6:$DA$404,39,FALSE)-VLOOKUP($A36,'01-02.2022'!$A$6:$DA$376,39,FALSE)</f>
        <v>0</v>
      </c>
      <c r="AN36" s="566">
        <f>VLOOKUP($A36,'01-02.2021'!$A$6:$CZ$403,40,FALSE)+VLOOKUP($A36,'1.3.21-28.2.22'!$A$6:$DA$404,40,FALSE)-VLOOKUP($A36,'01-02.2022'!$A$6:$DA$376,40,FALSE)</f>
        <v>0</v>
      </c>
      <c r="AO36" s="70">
        <f t="shared" si="44"/>
        <v>0</v>
      </c>
      <c r="AP36" s="566">
        <f>VLOOKUP($A36,'01-02.2021'!$A$6:$CZ$403,42,FALSE)+VLOOKUP($A36,'1.3.21-28.2.22'!$A$6:$DA$404,42,FALSE)-VLOOKUP($A36,'01-02.2022'!$A$6:$DA$376,42,FALSE)</f>
        <v>433.79993751064791</v>
      </c>
      <c r="AQ36" s="566">
        <f>VLOOKUP($A36,'01-02.2021'!$A$6:$CZ$403,43,FALSE)+VLOOKUP($A36,'1.3.21-28.2.22'!$A$6:$DA$404,43,FALSE)-VLOOKUP($A36,'01-02.2022'!$A$6:$DA$376,43,FALSE)</f>
        <v>373.97041602492402</v>
      </c>
      <c r="AR36" s="70">
        <f t="shared" si="45"/>
        <v>-59.829521485723888</v>
      </c>
      <c r="AS36" s="566">
        <f>VLOOKUP($A36,'01-02.2021'!$A$6:$CZ$403,45,FALSE)+VLOOKUP($A36,'1.3.21-28.2.22'!$A$6:$DA$404,45,FALSE)-VLOOKUP($A36,'01-02.2022'!$A$6:$DA$376,45,FALSE)</f>
        <v>2435.4284023454834</v>
      </c>
      <c r="AT36" s="566">
        <f>VLOOKUP($A36,'01-02.2021'!$A$6:$CZ$403,46,FALSE)+VLOOKUP($A36,'1.3.21-28.2.22'!$A$6:$DA$404,46,FALSE)-VLOOKUP($A36,'01-02.2022'!$A$6:$DA$376,46,FALSE)</f>
        <v>1970</v>
      </c>
      <c r="AU36" s="78">
        <f t="shared" si="46"/>
        <v>-465.42840234548339</v>
      </c>
      <c r="AV36" s="566">
        <f>VLOOKUP($A36,'01-02.2021'!$A$6:$CZ$403,48,FALSE)+VLOOKUP($A36,'1.3.21-28.2.22'!$A$6:$DA$404,48,FALSE)-VLOOKUP($A36,'01-02.2022'!$A$6:$DA$376,48,FALSE)</f>
        <v>0</v>
      </c>
      <c r="AW36" s="566">
        <f>VLOOKUP($A36,'01-02.2021'!$A$6:$CZ$403,49,FALSE)+VLOOKUP($A36,'1.3.21-28.2.22'!$A$6:$DA$404,49,FALSE)-VLOOKUP($A36,'01-02.2022'!$A$6:$DA$376,49,FALSE)</f>
        <v>0</v>
      </c>
      <c r="AX36" s="55">
        <f t="shared" si="47"/>
        <v>0</v>
      </c>
      <c r="AY36" s="566">
        <f>VLOOKUP($A36,'01-02.2021'!$A$6:$CZ$403,51,FALSE)+VLOOKUP($A36,'1.3.21-28.2.22'!$A$6:$DA$404,51,FALSE)-VLOOKUP($A36,'01-02.2022'!$A$6:$DA$376,51,FALSE)</f>
        <v>0</v>
      </c>
      <c r="AZ36" s="566">
        <f>VLOOKUP($A36,'01-02.2021'!$A$6:$CZ$403,52,FALSE)+VLOOKUP($A36,'1.3.21-28.2.22'!$A$6:$DA$404,52,FALSE)-VLOOKUP($A36,'01-02.2022'!$A$6:$DA$376,52,FALSE)</f>
        <v>0</v>
      </c>
      <c r="BA36" s="38">
        <f t="shared" si="48"/>
        <v>0</v>
      </c>
      <c r="BB36" s="566">
        <f>VLOOKUP($A36,'01-02.2021'!$A$6:$CZ$403,54,FALSE)+VLOOKUP($A36,'1.3.21-28.2.22'!$A$6:$DA$404,54,FALSE)-VLOOKUP($A36,'01-02.2022'!$A$6:$DA$376,54,FALSE)</f>
        <v>0</v>
      </c>
      <c r="BC36" s="566">
        <f>VLOOKUP($A36,'01-02.2021'!$A$6:$CZ$403,55,FALSE)+VLOOKUP($A36,'1.3.21-28.2.22'!$A$6:$DA$404,55,FALSE)-VLOOKUP($A36,'01-02.2022'!$A$6:$DA$376,55,FALSE)</f>
        <v>0</v>
      </c>
      <c r="BD36" s="55">
        <f t="shared" si="49"/>
        <v>0</v>
      </c>
      <c r="BE36" s="566">
        <f>VLOOKUP($A36,'01-02.2021'!$A$6:$CZ$403,57,FALSE)+VLOOKUP($A36,'1.3.21-28.2.22'!$A$6:$DA$404,57,FALSE)-VLOOKUP($A36,'01-02.2022'!$A$6:$DA$376,57,FALSE)</f>
        <v>0</v>
      </c>
      <c r="BF36" s="566">
        <f>VLOOKUP($A36,'01-02.2021'!$A$6:$CZ$403,58,FALSE)+VLOOKUP($A36,'1.3.21-28.2.22'!$A$6:$DA$404,58,FALSE)-VLOOKUP($A36,'01-02.2022'!$A$6:$DA$376,58,FALSE)</f>
        <v>0</v>
      </c>
      <c r="BG36" s="55">
        <f t="shared" si="50"/>
        <v>0</v>
      </c>
      <c r="BH36" s="566">
        <f>VLOOKUP($A36,'01-02.2021'!$A$6:$CZ$403,60,FALSE)+VLOOKUP($A36,'1.3.21-28.2.22'!$A$6:$DA$404,60,FALSE)-VLOOKUP($A36,'01-02.2022'!$A$6:$DA$376,60,FALSE)</f>
        <v>0</v>
      </c>
      <c r="BI36" s="566">
        <f>VLOOKUP($A36,'01-02.2021'!$A$6:$CZ$403,61,FALSE)+VLOOKUP($A36,'1.3.21-28.2.22'!$A$6:$DA$404,61,FALSE)-VLOOKUP($A36,'01-02.2022'!$A$6:$DA$376,61,FALSE)</f>
        <v>0</v>
      </c>
      <c r="BJ36" s="55">
        <f t="shared" si="51"/>
        <v>0</v>
      </c>
      <c r="BK36" s="566">
        <f>VLOOKUP($A36,'01-02.2021'!$A$6:$CZ$403,63,FALSE)+VLOOKUP($A36,'1.3.21-28.2.22'!$A$6:$DA$404,63,FALSE)-VLOOKUP($A36,'01-02.2022'!$A$6:$DA$376,63,FALSE)</f>
        <v>0</v>
      </c>
      <c r="BL36" s="566">
        <f>VLOOKUP($A36,'01-02.2021'!$A$6:$CZ$403,64,FALSE)+VLOOKUP($A36,'1.3.21-28.2.22'!$A$6:$DA$404,64,FALSE)-VLOOKUP($A36,'01-02.2022'!$A$6:$DA$376,64,FALSE)</f>
        <v>0</v>
      </c>
      <c r="BM36" s="55">
        <f t="shared" si="52"/>
        <v>0</v>
      </c>
      <c r="BN36" s="566">
        <f>VLOOKUP($A36,'01-02.2021'!$A$6:$CZ$403,66,FALSE)+VLOOKUP($A36,'1.3.21-28.2.22'!$A$6:$DA$404,66,FALSE)-VLOOKUP($A36,'01-02.2022'!$A$6:$DA$376,66,FALSE)</f>
        <v>11.495000000000001</v>
      </c>
      <c r="BO36" s="566">
        <f>VLOOKUP($A36,'01-02.2021'!$A$6:$CZ$403,67,FALSE)+VLOOKUP($A36,'1.3.21-28.2.22'!$A$6:$DA$404,67,FALSE)-VLOOKUP($A36,'01-02.2022'!$A$6:$DA$376,67,FALSE)</f>
        <v>0</v>
      </c>
      <c r="BP36" s="55">
        <f t="shared" si="53"/>
        <v>-11.495000000000001</v>
      </c>
      <c r="BQ36" s="77">
        <f t="shared" si="25"/>
        <v>11.495000000000001</v>
      </c>
      <c r="BR36" s="40">
        <f t="shared" si="26"/>
        <v>0</v>
      </c>
      <c r="BS36" s="55">
        <f t="shared" si="70"/>
        <v>-11.495000000000001</v>
      </c>
      <c r="BT36" s="566">
        <f>VLOOKUP($A36,'01-02.2021'!$A$6:$CZ$403,72,FALSE)+VLOOKUP($A36,'1.3.21-28.2.22'!$A$6:$DA$404,72,FALSE)-VLOOKUP($A36,'01-02.2022'!$A$6:$DA$376,72,FALSE)</f>
        <v>97.701960579639803</v>
      </c>
      <c r="BU36" s="566">
        <f>VLOOKUP($A36,'01-02.2021'!$A$6:$CZ$403,73,FALSE)+VLOOKUP($A36,'1.3.21-28.2.22'!$A$6:$DA$404,73,FALSE)-VLOOKUP($A36,'01-02.2022'!$A$6:$DA$376,73,FALSE)</f>
        <v>151.55132144799228</v>
      </c>
      <c r="BV36" s="70">
        <f t="shared" si="54"/>
        <v>53.849360868352477</v>
      </c>
      <c r="BW36" s="566">
        <f>VLOOKUP($A36,'01-02.2021'!$A$6:$CZ$403,75,FALSE)+VLOOKUP($A36,'1.3.21-28.2.22'!$A$6:$DA$404,75,FALSE)-VLOOKUP($A36,'01-02.2022'!$A$6:$DA$376,75,FALSE)</f>
        <v>0</v>
      </c>
      <c r="BX36" s="566">
        <f>VLOOKUP($A36,'01-02.2021'!$A$6:$CZ$403,76,FALSE)+VLOOKUP($A36,'1.3.21-28.2.22'!$A$6:$DA$404,76,FALSE)-VLOOKUP($A36,'01-02.2022'!$A$6:$DA$376,76,FALSE)</f>
        <v>5.1524246775634905</v>
      </c>
      <c r="BY36" s="70">
        <f t="shared" si="55"/>
        <v>5.1524246775634905</v>
      </c>
      <c r="BZ36" s="566">
        <f>VLOOKUP($A36,'01-02.2021'!$A$6:$CZ$403,78,FALSE)+VLOOKUP($A36,'1.3.21-28.2.22'!$A$6:$DA$404,78,FALSE)-VLOOKUP($A36,'01-02.2022'!$A$6:$DA$376,78,FALSE)</f>
        <v>0</v>
      </c>
      <c r="CA36" s="566">
        <f>VLOOKUP($A36,'01-02.2021'!$A$6:$CZ$403,79,FALSE)+VLOOKUP($A36,'1.3.21-28.2.22'!$A$6:$DA$404,79,FALSE)-VLOOKUP($A36,'01-02.2022'!$A$6:$DA$376,79,FALSE)</f>
        <v>9.2436406512338465</v>
      </c>
      <c r="CB36" s="70">
        <f t="shared" si="56"/>
        <v>9.2436406512338465</v>
      </c>
      <c r="CC36" s="566">
        <f>VLOOKUP($A36,'01-02.2021'!$A$6:$CZ$403,81,FALSE)+VLOOKUP($A36,'1.3.21-28.2.22'!$A$6:$DA$404,81,FALSE)-VLOOKUP($A36,'01-02.2022'!$A$6:$DA$376,81,FALSE)</f>
        <v>0</v>
      </c>
      <c r="CD36" s="566">
        <f>VLOOKUP($A36,'01-02.2021'!$A$6:$CZ$403,82,FALSE)+VLOOKUP($A36,'1.3.21-28.2.22'!$A$6:$DA$404,82,FALSE)-VLOOKUP($A36,'01-02.2022'!$A$6:$DA$376,82,FALSE)</f>
        <v>0</v>
      </c>
      <c r="CE36" s="70">
        <f t="shared" si="57"/>
        <v>0</v>
      </c>
      <c r="CF36" s="566">
        <f>VLOOKUP($A36,'01-02.2021'!$A$6:$CZ$403,84,FALSE)+VLOOKUP($A36,'1.3.21-28.2.22'!$A$6:$DA$404,84,FALSE)-VLOOKUP($A36,'01-02.2022'!$A$6:$DA$376,84,FALSE)</f>
        <v>0</v>
      </c>
      <c r="CG36" s="566">
        <f>VLOOKUP($A36,'01-02.2021'!$A$6:$CZ$403,85,FALSE)+VLOOKUP($A36,'1.3.21-28.2.22'!$A$6:$DA$404,85,FALSE)-VLOOKUP($A36,'01-02.2022'!$A$6:$DA$376,85,FALSE)</f>
        <v>0</v>
      </c>
      <c r="CH36" s="70">
        <f t="shared" si="58"/>
        <v>0</v>
      </c>
      <c r="CI36" s="566">
        <f>VLOOKUP($A36,'01-02.2021'!$A$6:$CZ$403,87,FALSE)+VLOOKUP($A36,'1.3.21-28.2.22'!$A$6:$DA$404,87,FALSE)-VLOOKUP($A36,'01-02.2022'!$A$6:$DA$376,87,FALSE)</f>
        <v>405.1783453004312</v>
      </c>
      <c r="CJ36" s="566">
        <f>VLOOKUP($A36,'01-02.2021'!$A$6:$CZ$403,88,FALSE)+VLOOKUP($A36,'1.3.21-28.2.22'!$A$6:$DA$404,88,FALSE)-VLOOKUP($A36,'01-02.2022'!$A$6:$DA$376,88,FALSE)</f>
        <v>745.18880208242456</v>
      </c>
      <c r="CK36" s="70">
        <f t="shared" si="59"/>
        <v>340.01045678199335</v>
      </c>
      <c r="CL36" s="566">
        <f>VLOOKUP($A36,'01-02.2021'!$A$6:$CZ$403,90,FALSE)+VLOOKUP($A36,'1.3.21-28.2.22'!$A$6:$DA$404,90,FALSE)-VLOOKUP($A36,'01-02.2022'!$A$6:$DA$376,90,FALSE)</f>
        <v>0</v>
      </c>
      <c r="CM36" s="566">
        <f>VLOOKUP($A36,'01-02.2021'!$A$6:$CZ$403,91,FALSE)+VLOOKUP($A36,'1.3.21-28.2.22'!$A$6:$DA$404,91,FALSE)-VLOOKUP($A36,'01-02.2022'!$A$6:$DA$376,91,FALSE)</f>
        <v>0</v>
      </c>
      <c r="CN36" s="52">
        <f t="shared" si="60"/>
        <v>0</v>
      </c>
      <c r="CO36" s="39">
        <f t="shared" si="27"/>
        <v>405.1783453004312</v>
      </c>
      <c r="CP36" s="40">
        <f t="shared" si="61"/>
        <v>745.18880208242456</v>
      </c>
      <c r="CQ36" s="52">
        <f t="shared" si="62"/>
        <v>340.01045678199335</v>
      </c>
      <c r="CR36" s="72">
        <f t="shared" si="28"/>
        <v>3774.8714871146185</v>
      </c>
      <c r="CS36" s="5">
        <f t="shared" si="28"/>
        <v>4301.6206680724954</v>
      </c>
      <c r="CT36" s="52">
        <f t="shared" si="63"/>
        <v>526.74918095787689</v>
      </c>
      <c r="CU36" s="77">
        <f t="shared" si="64"/>
        <v>4529.8457845375424</v>
      </c>
      <c r="CV36" s="65">
        <f t="shared" si="65"/>
        <v>5161.9448016869947</v>
      </c>
      <c r="CW36" s="35">
        <f t="shared" si="66"/>
        <v>632.09901714945227</v>
      </c>
      <c r="CX36" s="566">
        <f>VLOOKUP($A36,'01-02.2021'!$A$6:$CZ$403,102,FALSE)+VLOOKUP($A36,'1.3.21-28.2.22'!$A$6:$DA$404,102,FALSE)-VLOOKUP($A36,'01-02.2022'!$A$6:$DA$376,102,FALSE)</f>
        <v>158.56267011016553</v>
      </c>
      <c r="CY36" s="566">
        <f>VLOOKUP($A36,'01-02.2021'!$A$6:$CZ$403,103,FALSE)+VLOOKUP($A36,'1.3.21-28.2.22'!$A$6:$DA$404,103,FALSE)-VLOOKUP($A36,'01-02.2022'!$A$6:$DA$376,103,FALSE)</f>
        <v>-473.53634703928725</v>
      </c>
      <c r="CZ36" s="52">
        <f t="shared" si="67"/>
        <v>-632.09901714945272</v>
      </c>
      <c r="DA36" s="150">
        <f>'[2]побудинковий звіт'!DA36</f>
        <v>1030.3493242005261</v>
      </c>
      <c r="DB36" s="2">
        <v>3</v>
      </c>
      <c r="DC36" s="414">
        <f>'[4]побудинковий звіт'!DC36</f>
        <v>508.21</v>
      </c>
      <c r="DD36" s="414">
        <f>'[4]побудинковий звіт'!DD36</f>
        <v>0</v>
      </c>
      <c r="DE36" s="557">
        <f>'[4]побудинковий звіт'!DE36</f>
        <v>85.494122955542082</v>
      </c>
      <c r="DF36" s="557">
        <f>'[4]побудинковий звіт'!DF36</f>
        <v>0</v>
      </c>
      <c r="DG36" s="321">
        <f>VLOOKUP(A36,'кошти 01.03.2021'!$A$6:$D$401,4,)</f>
        <v>628.95683805090255</v>
      </c>
      <c r="DH36" s="40">
        <f>'[3]побудинковий звіт'!DJ36</f>
        <v>4839.5725994787108</v>
      </c>
      <c r="DI36" s="422">
        <f>'[3]побудинковий звіт'!CU36+'[3]побудинковий звіт'!CX36</f>
        <v>422.7158770444579</v>
      </c>
      <c r="DJ36" s="306">
        <f>'[3]побудинковий звіт'!DM36</f>
        <v>1.8386945499976419</v>
      </c>
      <c r="DK36" s="306">
        <f t="shared" si="76"/>
        <v>1.8386945499976419</v>
      </c>
      <c r="DL36" s="306">
        <f>'[3]побудинковий звіт'!DO36</f>
        <v>1.8386945499976419</v>
      </c>
      <c r="DM36" s="28">
        <f t="shared" si="77"/>
        <v>422.7158770444579</v>
      </c>
      <c r="DN36" s="28">
        <f t="shared" si="78"/>
        <v>0</v>
      </c>
      <c r="DO36" s="423">
        <f t="shared" si="29"/>
        <v>422.7158770444579</v>
      </c>
      <c r="DP36" s="94">
        <f t="shared" si="30"/>
        <v>0</v>
      </c>
      <c r="DQ36" s="28">
        <f t="shared" si="31"/>
        <v>422.7158770444579</v>
      </c>
      <c r="DR36" s="318"/>
      <c r="DT36" s="8"/>
      <c r="DU36" s="5"/>
      <c r="DX36" s="5">
        <f t="shared" si="32"/>
        <v>2936.3080828145798</v>
      </c>
      <c r="DY36" s="5">
        <f t="shared" si="33"/>
        <v>2364</v>
      </c>
      <c r="DZ36" s="159">
        <f>'[3]побудинковий звіт'!EA36</f>
        <v>320.22965626350123</v>
      </c>
    </row>
    <row r="37" spans="1:130" x14ac:dyDescent="0.3">
      <c r="A37" s="325">
        <v>150000972</v>
      </c>
      <c r="B37" s="41" t="s">
        <v>486</v>
      </c>
      <c r="C37" s="42" t="s">
        <v>202</v>
      </c>
      <c r="D37" s="42"/>
      <c r="E37" s="293">
        <f t="shared" si="23"/>
        <v>2167.6</v>
      </c>
      <c r="F37" s="305">
        <f>'[3]побудинковий звіт'!F37</f>
        <v>1931.4</v>
      </c>
      <c r="G37" s="508">
        <f>'[3]побудинковий звіт'!G37</f>
        <v>0</v>
      </c>
      <c r="H37" s="560">
        <f>'[3]побудинковий звіт'!H37</f>
        <v>236.2</v>
      </c>
      <c r="I37" s="566">
        <f>VLOOKUP($A37,'01-02.2021'!$A$6:$CZ$403,9,FALSE)+VLOOKUP($A37,'1.3.21-28.2.22'!$A$6:$DA$404,9,FALSE)-VLOOKUP($A37,'01-02.2022'!$A$6:$DA$376,9,FALSE)</f>
        <v>7934.7531163835774</v>
      </c>
      <c r="J37" s="566">
        <f>VLOOKUP($A37,'01-02.2021'!$A$6:$CZ$403,10,FALSE)+VLOOKUP($A37,'1.3.21-28.2.22'!$A$6:$DA$404,10,FALSE)-VLOOKUP($A37,'01-02.2022'!$A$6:$DA$376,10,FALSE)</f>
        <v>8694.3681112961185</v>
      </c>
      <c r="K37" s="52">
        <f t="shared" si="34"/>
        <v>759.61499491254108</v>
      </c>
      <c r="L37" s="566">
        <f>VLOOKUP($A37,'01-02.2021'!$A$6:$CZ$403,12,FALSE)+VLOOKUP($A37,'1.3.21-28.2.22'!$A$6:$DA$404,12,FALSE)-VLOOKUP($A37,'01-02.2022'!$A$6:$DA$376,12,FALSE)</f>
        <v>1334.6553646826906</v>
      </c>
      <c r="M37" s="566">
        <f>VLOOKUP($A37,'01-02.2021'!$A$6:$CZ$403,13,FALSE)+VLOOKUP($A37,'1.3.21-28.2.22'!$A$6:$DA$404,13,FALSE)-VLOOKUP($A37,'01-02.2022'!$A$6:$DA$376,13,FALSE)</f>
        <v>1469.5001349420645</v>
      </c>
      <c r="N37" s="52">
        <f t="shared" si="35"/>
        <v>134.84477025937395</v>
      </c>
      <c r="O37" s="566">
        <f>VLOOKUP($A37,'01-02.2021'!$A$6:$CZ$403,15,FALSE)+VLOOKUP($A37,'1.3.21-28.2.22'!$A$6:$DA$404,15,FALSE)-VLOOKUP($A37,'01-02.2022'!$A$6:$DA$376,15,FALSE)</f>
        <v>3009.604195409991</v>
      </c>
      <c r="P37" s="566">
        <f>VLOOKUP($A37,'01-02.2021'!$A$6:$CZ$403,16,FALSE)+VLOOKUP($A37,'1.3.21-28.2.22'!$A$6:$DA$404,16,FALSE)-VLOOKUP($A37,'01-02.2022'!$A$6:$DA$376,16,FALSE)</f>
        <v>3009.5999999999995</v>
      </c>
      <c r="Q37" s="70">
        <f t="shared" si="36"/>
        <v>-4.1954099915528786E-3</v>
      </c>
      <c r="R37" s="566">
        <f>VLOOKUP($A37,'01-02.2021'!$A$6:$CZ$403,18,FALSE)+VLOOKUP($A37,'1.3.21-28.2.22'!$A$6:$DA$404,18,FALSE)-VLOOKUP($A37,'01-02.2022'!$A$6:$DA$376,18,FALSE)</f>
        <v>0</v>
      </c>
      <c r="S37" s="566">
        <f>VLOOKUP($A37,'01-02.2021'!$A$6:$CZ$403,19,FALSE)+VLOOKUP($A37,'1.3.21-28.2.22'!$A$6:$DA$404,19,FALSE)-VLOOKUP($A37,'01-02.2022'!$A$6:$DA$376,19,FALSE)</f>
        <v>0</v>
      </c>
      <c r="T37" s="70">
        <f t="shared" si="37"/>
        <v>0</v>
      </c>
      <c r="U37" s="566">
        <f>VLOOKUP($A37,'01-02.2021'!$A$6:$CZ$403,21,FALSE)+VLOOKUP($A37,'1.3.21-28.2.22'!$A$6:$DA$404,21,FALSE)-VLOOKUP($A37,'01-02.2022'!$A$6:$DA$376,21,FALSE)</f>
        <v>0</v>
      </c>
      <c r="V37" s="566">
        <f>VLOOKUP($A37,'01-02.2021'!$A$6:$CZ$403,22,FALSE)+VLOOKUP($A37,'1.3.21-28.2.22'!$A$6:$DA$404,22,FALSE)-VLOOKUP($A37,'01-02.2022'!$A$6:$DA$376,22,FALSE)</f>
        <v>0</v>
      </c>
      <c r="W37" s="70">
        <f t="shared" si="38"/>
        <v>0</v>
      </c>
      <c r="X37" s="566">
        <f>VLOOKUP($A37,'01-02.2021'!$A$6:$CZ$403,24,FALSE)+VLOOKUP($A37,'1.3.21-28.2.22'!$A$6:$DA$404,24,FALSE)-VLOOKUP($A37,'01-02.2022'!$A$6:$DA$376,24,FALSE)</f>
        <v>4172.3554502778798</v>
      </c>
      <c r="Y37" s="566">
        <f>VLOOKUP($A37,'01-02.2021'!$A$6:$CZ$403,25,FALSE)+VLOOKUP($A37,'1.3.21-28.2.22'!$A$6:$DA$404,25,FALSE)-VLOOKUP($A37,'01-02.2022'!$A$6:$DA$376,25,FALSE)</f>
        <v>3455.5233408362515</v>
      </c>
      <c r="Z37" s="70">
        <f t="shared" si="39"/>
        <v>-716.83210944162829</v>
      </c>
      <c r="AA37" s="566">
        <f>VLOOKUP($A37,'01-02.2021'!$A$6:$CZ$403,27,FALSE)+VLOOKUP($A37,'1.3.21-28.2.22'!$A$6:$DA$404,27,FALSE)-VLOOKUP($A37,'01-02.2022'!$A$6:$DA$376,27,FALSE)</f>
        <v>459.86000000000007</v>
      </c>
      <c r="AB37" s="566">
        <f>VLOOKUP($A37,'01-02.2021'!$A$6:$CZ$403,28,FALSE)+VLOOKUP($A37,'1.3.21-28.2.22'!$A$6:$DA$404,28,FALSE)-VLOOKUP($A37,'01-02.2022'!$A$6:$DA$376,28,FALSE)</f>
        <v>0</v>
      </c>
      <c r="AC37" s="70">
        <f t="shared" si="40"/>
        <v>-459.86000000000007</v>
      </c>
      <c r="AD37" s="566">
        <f>VLOOKUP($A37,'01-02.2021'!$A$6:$CZ$403,30,FALSE)+VLOOKUP($A37,'1.3.21-28.2.22'!$A$6:$DA$404,30,FALSE)-VLOOKUP($A37,'01-02.2022'!$A$6:$DA$376,30,FALSE)</f>
        <v>9511.1314281091272</v>
      </c>
      <c r="AE37" s="566">
        <f>VLOOKUP($A37,'01-02.2021'!$A$6:$CZ$403,31,FALSE)+VLOOKUP($A37,'1.3.21-28.2.22'!$A$6:$DA$404,31,FALSE)-VLOOKUP($A37,'01-02.2022'!$A$6:$DA$376,31,FALSE)</f>
        <v>9867.0025374818688</v>
      </c>
      <c r="AF37" s="68">
        <f t="shared" si="41"/>
        <v>355.87110937274156</v>
      </c>
      <c r="AG37" s="77">
        <f t="shared" si="24"/>
        <v>26422.359554863266</v>
      </c>
      <c r="AH37" s="53">
        <f t="shared" si="24"/>
        <v>26495.994124556302</v>
      </c>
      <c r="AI37" s="52">
        <f t="shared" si="42"/>
        <v>73.63456969303661</v>
      </c>
      <c r="AJ37" s="566">
        <f>VLOOKUP($A37,'01-02.2021'!$A$6:$CZ$403,36,FALSE)+VLOOKUP($A37,'1.3.21-28.2.22'!$A$6:$DA$404,36,FALSE)-VLOOKUP($A37,'01-02.2022'!$A$6:$DA$376,36,FALSE)</f>
        <v>0</v>
      </c>
      <c r="AK37" s="566">
        <f>VLOOKUP($A37,'01-02.2021'!$A$6:$CZ$403,37,FALSE)+VLOOKUP($A37,'1.3.21-28.2.22'!$A$6:$DA$404,37,FALSE)-VLOOKUP($A37,'01-02.2022'!$A$6:$DA$376,37,FALSE)</f>
        <v>0</v>
      </c>
      <c r="AL37" s="70">
        <f t="shared" si="43"/>
        <v>0</v>
      </c>
      <c r="AM37" s="566">
        <f>VLOOKUP($A37,'01-02.2021'!$A$6:$CZ$403,39,FALSE)+VLOOKUP($A37,'1.3.21-28.2.22'!$A$6:$DA$404,39,FALSE)-VLOOKUP($A37,'01-02.2022'!$A$6:$DA$376,39,FALSE)</f>
        <v>0</v>
      </c>
      <c r="AN37" s="566">
        <f>VLOOKUP($A37,'01-02.2021'!$A$6:$CZ$403,40,FALSE)+VLOOKUP($A37,'1.3.21-28.2.22'!$A$6:$DA$404,40,FALSE)-VLOOKUP($A37,'01-02.2022'!$A$6:$DA$376,40,FALSE)</f>
        <v>0</v>
      </c>
      <c r="AO37" s="70">
        <f t="shared" si="44"/>
        <v>0</v>
      </c>
      <c r="AP37" s="566">
        <f>VLOOKUP($A37,'01-02.2021'!$A$6:$CZ$403,42,FALSE)+VLOOKUP($A37,'1.3.21-28.2.22'!$A$6:$DA$404,42,FALSE)-VLOOKUP($A37,'01-02.2022'!$A$6:$DA$376,42,FALSE)</f>
        <v>5596.0191938873577</v>
      </c>
      <c r="AQ37" s="566">
        <f>VLOOKUP($A37,'01-02.2021'!$A$6:$CZ$403,43,FALSE)+VLOOKUP($A37,'1.3.21-28.2.22'!$A$6:$DA$404,43,FALSE)-VLOOKUP($A37,'01-02.2022'!$A$6:$DA$376,43,FALSE)</f>
        <v>4499.0280480142483</v>
      </c>
      <c r="AR37" s="70">
        <f t="shared" si="45"/>
        <v>-1096.9911458731094</v>
      </c>
      <c r="AS37" s="566">
        <f>VLOOKUP($A37,'01-02.2021'!$A$6:$CZ$403,45,FALSE)+VLOOKUP($A37,'1.3.21-28.2.22'!$A$6:$DA$404,45,FALSE)-VLOOKUP($A37,'01-02.2022'!$A$6:$DA$376,45,FALSE)</f>
        <v>16922.624888569513</v>
      </c>
      <c r="AT37" s="566">
        <f>VLOOKUP($A37,'01-02.2021'!$A$6:$CZ$403,46,FALSE)+VLOOKUP($A37,'1.3.21-28.2.22'!$A$6:$DA$404,46,FALSE)-VLOOKUP($A37,'01-02.2022'!$A$6:$DA$376,46,FALSE)</f>
        <v>3839.4971777551577</v>
      </c>
      <c r="AU37" s="78">
        <f t="shared" si="46"/>
        <v>-13083.127710814355</v>
      </c>
      <c r="AV37" s="566">
        <f>VLOOKUP($A37,'01-02.2021'!$A$6:$CZ$403,48,FALSE)+VLOOKUP($A37,'1.3.21-28.2.22'!$A$6:$DA$404,48,FALSE)-VLOOKUP($A37,'01-02.2022'!$A$6:$DA$376,48,FALSE)</f>
        <v>2181.1803856320494</v>
      </c>
      <c r="AW37" s="566">
        <f>VLOOKUP($A37,'01-02.2021'!$A$6:$CZ$403,49,FALSE)+VLOOKUP($A37,'1.3.21-28.2.22'!$A$6:$DA$404,49,FALSE)-VLOOKUP($A37,'01-02.2022'!$A$6:$DA$376,49,FALSE)</f>
        <v>98</v>
      </c>
      <c r="AX37" s="55">
        <f t="shared" si="47"/>
        <v>-2083.1803856320494</v>
      </c>
      <c r="AY37" s="566">
        <f>VLOOKUP($A37,'01-02.2021'!$A$6:$CZ$403,51,FALSE)+VLOOKUP($A37,'1.3.21-28.2.22'!$A$6:$DA$404,51,FALSE)-VLOOKUP($A37,'01-02.2022'!$A$6:$DA$376,51,FALSE)</f>
        <v>2508.9435962062353</v>
      </c>
      <c r="AZ37" s="566">
        <f>VLOOKUP($A37,'01-02.2021'!$A$6:$CZ$403,52,FALSE)+VLOOKUP($A37,'1.3.21-28.2.22'!$A$6:$DA$404,52,FALSE)-VLOOKUP($A37,'01-02.2022'!$A$6:$DA$376,52,FALSE)</f>
        <v>0</v>
      </c>
      <c r="BA37" s="38">
        <f t="shared" si="48"/>
        <v>-2508.9435962062353</v>
      </c>
      <c r="BB37" s="566">
        <f>VLOOKUP($A37,'01-02.2021'!$A$6:$CZ$403,54,FALSE)+VLOOKUP($A37,'1.3.21-28.2.22'!$A$6:$DA$404,54,FALSE)-VLOOKUP($A37,'01-02.2022'!$A$6:$DA$376,54,FALSE)</f>
        <v>1416.508934636151</v>
      </c>
      <c r="BC37" s="566">
        <f>VLOOKUP($A37,'01-02.2021'!$A$6:$CZ$403,55,FALSE)+VLOOKUP($A37,'1.3.21-28.2.22'!$A$6:$DA$404,55,FALSE)-VLOOKUP($A37,'01-02.2022'!$A$6:$DA$376,55,FALSE)</f>
        <v>0</v>
      </c>
      <c r="BD37" s="55">
        <f t="shared" si="49"/>
        <v>-1416.508934636151</v>
      </c>
      <c r="BE37" s="566">
        <f>VLOOKUP($A37,'01-02.2021'!$A$6:$CZ$403,57,FALSE)+VLOOKUP($A37,'1.3.21-28.2.22'!$A$6:$DA$404,57,FALSE)-VLOOKUP($A37,'01-02.2022'!$A$6:$DA$376,57,FALSE)</f>
        <v>0</v>
      </c>
      <c r="BF37" s="566">
        <f>VLOOKUP($A37,'01-02.2021'!$A$6:$CZ$403,58,FALSE)+VLOOKUP($A37,'1.3.21-28.2.22'!$A$6:$DA$404,58,FALSE)-VLOOKUP($A37,'01-02.2022'!$A$6:$DA$376,58,FALSE)</f>
        <v>0</v>
      </c>
      <c r="BG37" s="55">
        <f t="shared" si="50"/>
        <v>0</v>
      </c>
      <c r="BH37" s="566">
        <f>VLOOKUP($A37,'01-02.2021'!$A$6:$CZ$403,60,FALSE)+VLOOKUP($A37,'1.3.21-28.2.22'!$A$6:$DA$404,60,FALSE)-VLOOKUP($A37,'01-02.2022'!$A$6:$DA$376,60,FALSE)</f>
        <v>0</v>
      </c>
      <c r="BI37" s="566">
        <f>VLOOKUP($A37,'01-02.2021'!$A$6:$CZ$403,61,FALSE)+VLOOKUP($A37,'1.3.21-28.2.22'!$A$6:$DA$404,61,FALSE)-VLOOKUP($A37,'01-02.2022'!$A$6:$DA$376,61,FALSE)</f>
        <v>0</v>
      </c>
      <c r="BJ37" s="55">
        <f t="shared" si="51"/>
        <v>0</v>
      </c>
      <c r="BK37" s="566">
        <f>VLOOKUP($A37,'01-02.2021'!$A$6:$CZ$403,63,FALSE)+VLOOKUP($A37,'1.3.21-28.2.22'!$A$6:$DA$404,63,FALSE)-VLOOKUP($A37,'01-02.2022'!$A$6:$DA$376,63,FALSE)</f>
        <v>1175.9710518438335</v>
      </c>
      <c r="BL37" s="566">
        <f>VLOOKUP($A37,'01-02.2021'!$A$6:$CZ$403,64,FALSE)+VLOOKUP($A37,'1.3.21-28.2.22'!$A$6:$DA$404,64,FALSE)-VLOOKUP($A37,'01-02.2022'!$A$6:$DA$376,64,FALSE)</f>
        <v>727</v>
      </c>
      <c r="BM37" s="55">
        <f t="shared" si="52"/>
        <v>-448.97105184383349</v>
      </c>
      <c r="BN37" s="566">
        <f>VLOOKUP($A37,'01-02.2021'!$A$6:$CZ$403,66,FALSE)+VLOOKUP($A37,'1.3.21-28.2.22'!$A$6:$DA$404,66,FALSE)-VLOOKUP($A37,'01-02.2022'!$A$6:$DA$376,66,FALSE)</f>
        <v>114.96500000000002</v>
      </c>
      <c r="BO37" s="566">
        <f>VLOOKUP($A37,'01-02.2021'!$A$6:$CZ$403,67,FALSE)+VLOOKUP($A37,'1.3.21-28.2.22'!$A$6:$DA$404,67,FALSE)-VLOOKUP($A37,'01-02.2022'!$A$6:$DA$376,67,FALSE)</f>
        <v>473</v>
      </c>
      <c r="BP37" s="55">
        <f t="shared" si="53"/>
        <v>358.03499999999997</v>
      </c>
      <c r="BQ37" s="77">
        <f t="shared" si="25"/>
        <v>7397.5689683182691</v>
      </c>
      <c r="BR37" s="40">
        <f t="shared" si="26"/>
        <v>1298</v>
      </c>
      <c r="BS37" s="55">
        <f t="shared" si="70"/>
        <v>-6099.5689683182691</v>
      </c>
      <c r="BT37" s="566">
        <f>VLOOKUP($A37,'01-02.2021'!$A$6:$CZ$403,72,FALSE)+VLOOKUP($A37,'1.3.21-28.2.22'!$A$6:$DA$404,72,FALSE)-VLOOKUP($A37,'01-02.2022'!$A$6:$DA$376,72,FALSE)</f>
        <v>22473.478598231148</v>
      </c>
      <c r="BU37" s="566">
        <f>VLOOKUP($A37,'01-02.2021'!$A$6:$CZ$403,73,FALSE)+VLOOKUP($A37,'1.3.21-28.2.22'!$A$6:$DA$404,73,FALSE)-VLOOKUP($A37,'01-02.2022'!$A$6:$DA$376,73,FALSE)</f>
        <v>22419.808050212148</v>
      </c>
      <c r="BV37" s="70">
        <f t="shared" si="54"/>
        <v>-53.670548018999398</v>
      </c>
      <c r="BW37" s="566">
        <f>VLOOKUP($A37,'01-02.2021'!$A$6:$CZ$403,75,FALSE)+VLOOKUP($A37,'1.3.21-28.2.22'!$A$6:$DA$404,75,FALSE)-VLOOKUP($A37,'01-02.2022'!$A$6:$DA$376,75,FALSE)</f>
        <v>11481.092225729441</v>
      </c>
      <c r="BX37" s="566">
        <f>VLOOKUP($A37,'01-02.2021'!$A$6:$CZ$403,76,FALSE)+VLOOKUP($A37,'1.3.21-28.2.22'!$A$6:$DA$404,76,FALSE)-VLOOKUP($A37,'01-02.2022'!$A$6:$DA$376,76,FALSE)</f>
        <v>11960.854361965448</v>
      </c>
      <c r="BY37" s="70">
        <f t="shared" si="55"/>
        <v>479.76213623600779</v>
      </c>
      <c r="BZ37" s="566">
        <f>VLOOKUP($A37,'01-02.2021'!$A$6:$CZ$403,78,FALSE)+VLOOKUP($A37,'1.3.21-28.2.22'!$A$6:$DA$404,78,FALSE)-VLOOKUP($A37,'01-02.2022'!$A$6:$DA$376,78,FALSE)</f>
        <v>7279.2095151996837</v>
      </c>
      <c r="CA37" s="566">
        <f>VLOOKUP($A37,'01-02.2021'!$A$6:$CZ$403,79,FALSE)+VLOOKUP($A37,'1.3.21-28.2.22'!$A$6:$DA$404,79,FALSE)-VLOOKUP($A37,'01-02.2022'!$A$6:$DA$376,79,FALSE)</f>
        <v>6288.8815685460368</v>
      </c>
      <c r="CB37" s="70">
        <f t="shared" si="56"/>
        <v>-990.3279466536469</v>
      </c>
      <c r="CC37" s="566">
        <f>VLOOKUP($A37,'01-02.2021'!$A$6:$CZ$403,81,FALSE)+VLOOKUP($A37,'1.3.21-28.2.22'!$A$6:$DA$404,81,FALSE)-VLOOKUP($A37,'01-02.2022'!$A$6:$DA$376,81,FALSE)</f>
        <v>1215.1899208278885</v>
      </c>
      <c r="CD37" s="566">
        <f>VLOOKUP($A37,'01-02.2021'!$A$6:$CZ$403,82,FALSE)+VLOOKUP($A37,'1.3.21-28.2.22'!$A$6:$DA$404,82,FALSE)-VLOOKUP($A37,'01-02.2022'!$A$6:$DA$376,82,FALSE)</f>
        <v>1328.1941008942676</v>
      </c>
      <c r="CE37" s="70">
        <f t="shared" si="57"/>
        <v>113.00418006637915</v>
      </c>
      <c r="CF37" s="566">
        <f>VLOOKUP($A37,'01-02.2021'!$A$6:$CZ$403,84,FALSE)+VLOOKUP($A37,'1.3.21-28.2.22'!$A$6:$DA$404,84,FALSE)-VLOOKUP($A37,'01-02.2022'!$A$6:$DA$376,84,FALSE)</f>
        <v>147.73136665198913</v>
      </c>
      <c r="CG37" s="566">
        <f>VLOOKUP($A37,'01-02.2021'!$A$6:$CZ$403,85,FALSE)+VLOOKUP($A37,'1.3.21-28.2.22'!$A$6:$DA$404,85,FALSE)-VLOOKUP($A37,'01-02.2022'!$A$6:$DA$376,85,FALSE)</f>
        <v>1684.3610580642082</v>
      </c>
      <c r="CH37" s="70">
        <f t="shared" si="58"/>
        <v>1536.629691412219</v>
      </c>
      <c r="CI37" s="566">
        <f>VLOOKUP($A37,'01-02.2021'!$A$6:$CZ$403,87,FALSE)+VLOOKUP($A37,'1.3.21-28.2.22'!$A$6:$DA$404,87,FALSE)-VLOOKUP($A37,'01-02.2022'!$A$6:$DA$376,87,FALSE)</f>
        <v>2446.1633474778464</v>
      </c>
      <c r="CJ37" s="566">
        <f>VLOOKUP($A37,'01-02.2021'!$A$6:$CZ$403,88,FALSE)+VLOOKUP($A37,'1.3.21-28.2.22'!$A$6:$DA$404,88,FALSE)-VLOOKUP($A37,'01-02.2022'!$A$6:$DA$376,88,FALSE)</f>
        <v>2591.0778658127747</v>
      </c>
      <c r="CK37" s="70">
        <f t="shared" si="59"/>
        <v>144.91451833492829</v>
      </c>
      <c r="CL37" s="566">
        <f>VLOOKUP($A37,'01-02.2021'!$A$6:$CZ$403,90,FALSE)+VLOOKUP($A37,'1.3.21-28.2.22'!$A$6:$DA$404,90,FALSE)-VLOOKUP($A37,'01-02.2022'!$A$6:$DA$376,90,FALSE)</f>
        <v>0</v>
      </c>
      <c r="CM37" s="566">
        <f>VLOOKUP($A37,'01-02.2021'!$A$6:$CZ$403,91,FALSE)+VLOOKUP($A37,'1.3.21-28.2.22'!$A$6:$DA$404,91,FALSE)-VLOOKUP($A37,'01-02.2022'!$A$6:$DA$376,91,FALSE)</f>
        <v>0</v>
      </c>
      <c r="CN37" s="52">
        <f t="shared" si="60"/>
        <v>0</v>
      </c>
      <c r="CO37" s="39">
        <f t="shared" si="27"/>
        <v>2446.1633474778464</v>
      </c>
      <c r="CP37" s="40">
        <f t="shared" si="61"/>
        <v>2591.0778658127747</v>
      </c>
      <c r="CQ37" s="52">
        <f t="shared" si="62"/>
        <v>144.91451833492829</v>
      </c>
      <c r="CR37" s="72">
        <f t="shared" si="28"/>
        <v>101381.43757975641</v>
      </c>
      <c r="CS37" s="5">
        <f t="shared" si="28"/>
        <v>82405.696355820604</v>
      </c>
      <c r="CT37" s="52">
        <f t="shared" si="63"/>
        <v>-18975.741223935809</v>
      </c>
      <c r="CU37" s="77">
        <f t="shared" si="64"/>
        <v>121657.72509570769</v>
      </c>
      <c r="CV37" s="65">
        <f t="shared" si="65"/>
        <v>98886.835626984728</v>
      </c>
      <c r="CW37" s="35">
        <f t="shared" si="66"/>
        <v>-22770.889468722962</v>
      </c>
      <c r="CX37" s="566">
        <f>VLOOKUP($A37,'01-02.2021'!$A$6:$CZ$403,102,FALSE)+VLOOKUP($A37,'1.3.21-28.2.22'!$A$6:$DA$404,102,FALSE)-VLOOKUP($A37,'01-02.2022'!$A$6:$DA$376,102,FALSE)</f>
        <v>4287.9381698516163</v>
      </c>
      <c r="CY37" s="566">
        <f>VLOOKUP($A37,'01-02.2021'!$A$6:$CZ$403,103,FALSE)+VLOOKUP($A37,'1.3.21-28.2.22'!$A$6:$DA$404,103,FALSE)-VLOOKUP($A37,'01-02.2022'!$A$6:$DA$376,103,FALSE)</f>
        <v>27058.827638574585</v>
      </c>
      <c r="CZ37" s="52">
        <f t="shared" si="67"/>
        <v>22770.889468722969</v>
      </c>
      <c r="DA37" s="150">
        <f>'[2]побудинковий звіт'!DA37</f>
        <v>14429.890750693412</v>
      </c>
      <c r="DB37" s="2">
        <v>2</v>
      </c>
      <c r="DC37" s="414">
        <f>'[4]побудинковий звіт'!DC37</f>
        <v>19651.689999999999</v>
      </c>
      <c r="DD37" s="414">
        <f>'[4]побудинковий звіт'!DD37</f>
        <v>4403.09</v>
      </c>
      <c r="DE37" s="557">
        <f>'[4]побудинковий звіт'!DE37</f>
        <v>9523.1492748280743</v>
      </c>
      <c r="DF37" s="557">
        <f>'[4]побудинковий звіт'!DF37</f>
        <v>3335.0382439345394</v>
      </c>
      <c r="DG37" s="321">
        <f>VLOOKUP(A37,'кошти 01.03.2021'!$A$6:$D$401,4,)</f>
        <v>44642.333021013546</v>
      </c>
      <c r="DH37" s="40">
        <f>'[3]побудинковий звіт'!DJ37</f>
        <v>129242.03699650441</v>
      </c>
      <c r="DI37" s="422">
        <f>'[3]побудинковий звіт'!CU37+'[3]побудинковий звіт'!CX37</f>
        <v>11196.592481237383</v>
      </c>
      <c r="DJ37" s="306">
        <f>'[3]побудинковий звіт'!DM37</f>
        <v>5.2441445196085343</v>
      </c>
      <c r="DK37" s="306">
        <f t="shared" si="76"/>
        <v>5.2441445196085343</v>
      </c>
      <c r="DL37" s="306">
        <f>'[3]побудинковий звіт'!DO37</f>
        <v>4.5218109909630009</v>
      </c>
      <c r="DM37" s="28">
        <f t="shared" si="77"/>
        <v>10128.540725171924</v>
      </c>
      <c r="DN37" s="28">
        <f t="shared" si="78"/>
        <v>1068.0517560654607</v>
      </c>
      <c r="DO37" s="423">
        <f t="shared" si="29"/>
        <v>11196.592481237385</v>
      </c>
      <c r="DP37" s="94">
        <f t="shared" si="30"/>
        <v>0</v>
      </c>
      <c r="DQ37" s="28">
        <f t="shared" si="31"/>
        <v>11196.592481237385</v>
      </c>
      <c r="DR37" s="318"/>
      <c r="DT37" s="8"/>
      <c r="DU37" s="5"/>
      <c r="DX37" s="5">
        <f t="shared" si="32"/>
        <v>29184.232628265338</v>
      </c>
      <c r="DY37" s="5">
        <f t="shared" si="33"/>
        <v>6164.9966133061898</v>
      </c>
      <c r="DZ37" s="159">
        <f>'[3]побудинковий звіт'!EA37</f>
        <v>2495.0109952499606</v>
      </c>
    </row>
    <row r="38" spans="1:130" x14ac:dyDescent="0.3">
      <c r="A38" s="325">
        <v>150000973</v>
      </c>
      <c r="B38" s="41" t="s">
        <v>487</v>
      </c>
      <c r="C38" s="42" t="s">
        <v>50</v>
      </c>
      <c r="D38" s="42"/>
      <c r="E38" s="293">
        <f t="shared" si="23"/>
        <v>132.19999999999999</v>
      </c>
      <c r="F38" s="305">
        <f>'[3]побудинковий звіт'!F38</f>
        <v>132.19999999999999</v>
      </c>
      <c r="G38" s="508">
        <f>'[3]побудинковий звіт'!G38</f>
        <v>0</v>
      </c>
      <c r="H38" s="560">
        <f>'[3]побудинковий звіт'!H38</f>
        <v>0</v>
      </c>
      <c r="I38" s="566"/>
      <c r="J38" s="566"/>
      <c r="K38" s="52">
        <f t="shared" si="34"/>
        <v>0</v>
      </c>
      <c r="L38" s="566"/>
      <c r="M38" s="566"/>
      <c r="N38" s="52">
        <f t="shared" si="35"/>
        <v>0</v>
      </c>
      <c r="O38" s="566"/>
      <c r="P38" s="566"/>
      <c r="Q38" s="70"/>
      <c r="R38" s="566"/>
      <c r="S38" s="566"/>
      <c r="T38" s="70"/>
      <c r="U38" s="566"/>
      <c r="V38" s="566"/>
      <c r="W38" s="70"/>
      <c r="X38" s="566"/>
      <c r="Y38" s="566"/>
      <c r="Z38" s="70"/>
      <c r="AA38" s="566"/>
      <c r="AB38" s="566"/>
      <c r="AC38" s="70"/>
      <c r="AD38" s="566"/>
      <c r="AE38" s="566"/>
      <c r="AF38" s="68"/>
      <c r="AG38" s="77">
        <f t="shared" si="24"/>
        <v>0</v>
      </c>
      <c r="AH38" s="53">
        <f t="shared" si="24"/>
        <v>0</v>
      </c>
      <c r="AI38" s="52">
        <f t="shared" si="42"/>
        <v>0</v>
      </c>
      <c r="AJ38" s="566"/>
      <c r="AK38" s="566"/>
      <c r="AL38" s="70"/>
      <c r="AM38" s="566"/>
      <c r="AN38" s="566"/>
      <c r="AO38" s="70"/>
      <c r="AP38" s="566"/>
      <c r="AQ38" s="566"/>
      <c r="AR38" s="70"/>
      <c r="AS38" s="566"/>
      <c r="AT38" s="566"/>
      <c r="AU38" s="78"/>
      <c r="AV38" s="566"/>
      <c r="AW38" s="566"/>
      <c r="AX38" s="55"/>
      <c r="AY38" s="566"/>
      <c r="AZ38" s="566"/>
      <c r="BA38" s="38"/>
      <c r="BB38" s="566"/>
      <c r="BC38" s="566"/>
      <c r="BD38" s="55"/>
      <c r="BE38" s="566"/>
      <c r="BF38" s="566"/>
      <c r="BG38" s="55"/>
      <c r="BH38" s="566"/>
      <c r="BI38" s="566"/>
      <c r="BJ38" s="55"/>
      <c r="BK38" s="566"/>
      <c r="BL38" s="566"/>
      <c r="BM38" s="55"/>
      <c r="BN38" s="566"/>
      <c r="BO38" s="566"/>
      <c r="BP38" s="55"/>
      <c r="BQ38" s="77">
        <f t="shared" si="25"/>
        <v>0</v>
      </c>
      <c r="BR38" s="40">
        <f t="shared" si="26"/>
        <v>0</v>
      </c>
      <c r="BS38" s="55">
        <f t="shared" si="70"/>
        <v>0</v>
      </c>
      <c r="BT38" s="566"/>
      <c r="BU38" s="566"/>
      <c r="BV38" s="70"/>
      <c r="BW38" s="566"/>
      <c r="BX38" s="566"/>
      <c r="BY38" s="70"/>
      <c r="BZ38" s="566"/>
      <c r="CA38" s="566"/>
      <c r="CB38" s="70"/>
      <c r="CC38" s="566"/>
      <c r="CD38" s="566"/>
      <c r="CE38" s="70"/>
      <c r="CF38" s="566"/>
      <c r="CG38" s="566"/>
      <c r="CH38" s="70"/>
      <c r="CI38" s="566"/>
      <c r="CJ38" s="566"/>
      <c r="CK38" s="70"/>
      <c r="CL38" s="566"/>
      <c r="CM38" s="566"/>
      <c r="CN38" s="52">
        <f t="shared" si="60"/>
        <v>0</v>
      </c>
      <c r="CO38" s="39">
        <f t="shared" si="27"/>
        <v>0</v>
      </c>
      <c r="CP38" s="40">
        <f t="shared" si="61"/>
        <v>0</v>
      </c>
      <c r="CQ38" s="52">
        <f t="shared" si="62"/>
        <v>0</v>
      </c>
      <c r="CR38" s="72">
        <f t="shared" si="28"/>
        <v>0</v>
      </c>
      <c r="CS38" s="5">
        <f t="shared" si="28"/>
        <v>0</v>
      </c>
      <c r="CT38" s="52">
        <f t="shared" si="63"/>
        <v>0</v>
      </c>
      <c r="CU38" s="77">
        <f t="shared" si="64"/>
        <v>0</v>
      </c>
      <c r="CV38" s="65">
        <f t="shared" si="65"/>
        <v>0</v>
      </c>
      <c r="CW38" s="35">
        <f t="shared" si="66"/>
        <v>0</v>
      </c>
      <c r="CX38" s="566"/>
      <c r="CY38" s="566"/>
      <c r="CZ38" s="52">
        <f t="shared" si="67"/>
        <v>0</v>
      </c>
      <c r="DA38" s="150">
        <f>'[2]побудинковий звіт'!DA38</f>
        <v>-6508.0828192493636</v>
      </c>
      <c r="DB38" s="2">
        <v>2</v>
      </c>
      <c r="DC38" s="414">
        <f>'[4]побудинковий звіт'!DC38</f>
        <v>2232.71</v>
      </c>
      <c r="DD38" s="414">
        <f>'[4]побудинковий звіт'!DD38</f>
        <v>0</v>
      </c>
      <c r="DE38" s="557">
        <f>'[4]побудинковий звіт'!DE38</f>
        <v>1950.5349712513266</v>
      </c>
      <c r="DF38" s="557">
        <f>'[4]побудинковий звіт'!DF38</f>
        <v>0</v>
      </c>
      <c r="DG38" s="321">
        <f>VLOOKUP(A38,'кошти 01.03.2021'!$A$6:$D$401,4,)</f>
        <v>-5074.54309452695</v>
      </c>
      <c r="DH38" s="40">
        <f>'[3]побудинковий звіт'!DJ38</f>
        <v>3219.6853806075756</v>
      </c>
      <c r="DI38" s="422">
        <f>'[3]побудинковий звіт'!CU38+'[3]побудинковий звіт'!CX38</f>
        <v>282.17502874867336</v>
      </c>
      <c r="DJ38" s="306">
        <f>'[3]побудинковий звіт'!DM38</f>
        <v>2.1344555881140197</v>
      </c>
      <c r="DK38" s="306">
        <f t="shared" si="76"/>
        <v>2.1344555881140197</v>
      </c>
      <c r="DL38" s="306">
        <f>'[3]побудинковий звіт'!DO38</f>
        <v>2.1344555881140197</v>
      </c>
      <c r="DM38" s="28">
        <f t="shared" si="77"/>
        <v>282.17502874867336</v>
      </c>
      <c r="DN38" s="28">
        <f t="shared" si="78"/>
        <v>0</v>
      </c>
      <c r="DO38" s="423">
        <f t="shared" si="29"/>
        <v>282.17502874867336</v>
      </c>
      <c r="DP38" s="94">
        <f t="shared" si="30"/>
        <v>0</v>
      </c>
      <c r="DQ38" s="28">
        <f t="shared" si="31"/>
        <v>282.17502874867336</v>
      </c>
      <c r="DR38" s="318"/>
      <c r="DT38" s="8"/>
      <c r="DU38" s="5"/>
      <c r="DX38" s="5">
        <f t="shared" si="32"/>
        <v>0</v>
      </c>
      <c r="DY38" s="5">
        <f t="shared" si="33"/>
        <v>0</v>
      </c>
      <c r="DZ38" s="159">
        <f>'[3]побудинковий звіт'!EA38</f>
        <v>218.37102452795395</v>
      </c>
    </row>
    <row r="39" spans="1:130" x14ac:dyDescent="0.3">
      <c r="A39" s="325">
        <v>150000974</v>
      </c>
      <c r="B39" s="41" t="s">
        <v>488</v>
      </c>
      <c r="C39" s="42" t="s">
        <v>203</v>
      </c>
      <c r="D39" s="42"/>
      <c r="E39" s="293">
        <f t="shared" si="23"/>
        <v>2315.5700000000002</v>
      </c>
      <c r="F39" s="305">
        <f>'[3]побудинковий звіт'!F39</f>
        <v>1907.4</v>
      </c>
      <c r="G39" s="508">
        <f>'[3]побудинковий звіт'!G39</f>
        <v>0</v>
      </c>
      <c r="H39" s="560">
        <f>'[3]побудинковий звіт'!H39</f>
        <v>408.17</v>
      </c>
      <c r="I39" s="566">
        <f>VLOOKUP($A39,'01-02.2021'!$A$6:$CZ$403,9,FALSE)+VLOOKUP($A39,'1.3.21-28.2.22'!$A$6:$DA$404,9,FALSE)-VLOOKUP($A39,'01-02.2022'!$A$6:$DA$376,9,FALSE)</f>
        <v>6129.8058130606132</v>
      </c>
      <c r="J39" s="566">
        <f>VLOOKUP($A39,'01-02.2021'!$A$6:$CZ$403,10,FALSE)+VLOOKUP($A39,'1.3.21-28.2.22'!$A$6:$DA$404,10,FALSE)-VLOOKUP($A39,'01-02.2022'!$A$6:$DA$376,10,FALSE)</f>
        <v>6756.935926125303</v>
      </c>
      <c r="K39" s="52">
        <f t="shared" si="34"/>
        <v>627.13011306468979</v>
      </c>
      <c r="L39" s="566">
        <f>VLOOKUP($A39,'01-02.2021'!$A$6:$CZ$403,12,FALSE)+VLOOKUP($A39,'1.3.21-28.2.22'!$A$6:$DA$404,12,FALSE)-VLOOKUP($A39,'01-02.2022'!$A$6:$DA$376,12,FALSE)</f>
        <v>915.29758209281545</v>
      </c>
      <c r="M39" s="566">
        <f>VLOOKUP($A39,'01-02.2021'!$A$6:$CZ$403,13,FALSE)+VLOOKUP($A39,'1.3.21-28.2.22'!$A$6:$DA$404,13,FALSE)-VLOOKUP($A39,'01-02.2022'!$A$6:$DA$376,13,FALSE)</f>
        <v>1007.7784483045642</v>
      </c>
      <c r="N39" s="52">
        <f t="shared" si="35"/>
        <v>92.480866211748776</v>
      </c>
      <c r="O39" s="566">
        <f>VLOOKUP($A39,'01-02.2021'!$A$6:$CZ$403,15,FALSE)+VLOOKUP($A39,'1.3.21-28.2.22'!$A$6:$DA$404,15,FALSE)-VLOOKUP($A39,'01-02.2022'!$A$6:$DA$376,15,FALSE)</f>
        <v>2960.9899437372496</v>
      </c>
      <c r="P39" s="566">
        <f>VLOOKUP($A39,'01-02.2021'!$A$6:$CZ$403,16,FALSE)+VLOOKUP($A39,'1.3.21-28.2.22'!$A$6:$DA$404,16,FALSE)-VLOOKUP($A39,'01-02.2022'!$A$6:$DA$376,16,FALSE)</f>
        <v>2961.0099999999993</v>
      </c>
      <c r="Q39" s="70">
        <f t="shared" si="36"/>
        <v>2.0056262749676534E-2</v>
      </c>
      <c r="R39" s="566">
        <f>VLOOKUP($A39,'01-02.2021'!$A$6:$CZ$403,18,FALSE)+VLOOKUP($A39,'1.3.21-28.2.22'!$A$6:$DA$404,18,FALSE)-VLOOKUP($A39,'01-02.2022'!$A$6:$DA$376,18,FALSE)</f>
        <v>735.58495198859168</v>
      </c>
      <c r="S39" s="566">
        <f>VLOOKUP($A39,'01-02.2021'!$A$6:$CZ$403,19,FALSE)+VLOOKUP($A39,'1.3.21-28.2.22'!$A$6:$DA$404,19,FALSE)-VLOOKUP($A39,'01-02.2022'!$A$6:$DA$376,19,FALSE)</f>
        <v>735.59</v>
      </c>
      <c r="T39" s="70">
        <f t="shared" si="37"/>
        <v>5.0480114083484295E-3</v>
      </c>
      <c r="U39" s="566">
        <f>VLOOKUP($A39,'01-02.2021'!$A$6:$CZ$403,21,FALSE)+VLOOKUP($A39,'1.3.21-28.2.22'!$A$6:$DA$404,21,FALSE)-VLOOKUP($A39,'01-02.2022'!$A$6:$DA$376,21,FALSE)</f>
        <v>0</v>
      </c>
      <c r="V39" s="566">
        <f>VLOOKUP($A39,'01-02.2021'!$A$6:$CZ$403,22,FALSE)+VLOOKUP($A39,'1.3.21-28.2.22'!$A$6:$DA$404,22,FALSE)-VLOOKUP($A39,'01-02.2022'!$A$6:$DA$376,22,FALSE)</f>
        <v>0</v>
      </c>
      <c r="W39" s="70">
        <f t="shared" si="38"/>
        <v>0</v>
      </c>
      <c r="X39" s="566">
        <f>VLOOKUP($A39,'01-02.2021'!$A$6:$CZ$403,24,FALSE)+VLOOKUP($A39,'1.3.21-28.2.22'!$A$6:$DA$404,24,FALSE)-VLOOKUP($A39,'01-02.2022'!$A$6:$DA$376,24,FALSE)</f>
        <v>3953.7075090599774</v>
      </c>
      <c r="Y39" s="566">
        <f>VLOOKUP($A39,'01-02.2021'!$A$6:$CZ$403,25,FALSE)+VLOOKUP($A39,'1.3.21-28.2.22'!$A$6:$DA$404,25,FALSE)-VLOOKUP($A39,'01-02.2022'!$A$6:$DA$376,25,FALSE)</f>
        <v>3085.1351728293585</v>
      </c>
      <c r="Z39" s="70">
        <f t="shared" si="39"/>
        <v>-868.57233623061893</v>
      </c>
      <c r="AA39" s="566">
        <f>VLOOKUP($A39,'01-02.2021'!$A$6:$CZ$403,27,FALSE)+VLOOKUP($A39,'1.3.21-28.2.22'!$A$6:$DA$404,27,FALSE)-VLOOKUP($A39,'01-02.2022'!$A$6:$DA$376,27,FALSE)</f>
        <v>463.11400000000009</v>
      </c>
      <c r="AB39" s="566">
        <f>VLOOKUP($A39,'01-02.2021'!$A$6:$CZ$403,28,FALSE)+VLOOKUP($A39,'1.3.21-28.2.22'!$A$6:$DA$404,28,FALSE)-VLOOKUP($A39,'01-02.2022'!$A$6:$DA$376,28,FALSE)</f>
        <v>0</v>
      </c>
      <c r="AC39" s="70">
        <f t="shared" si="40"/>
        <v>-463.11400000000009</v>
      </c>
      <c r="AD39" s="566">
        <f>VLOOKUP($A39,'01-02.2021'!$A$6:$CZ$403,30,FALSE)+VLOOKUP($A39,'1.3.21-28.2.22'!$A$6:$DA$404,30,FALSE)-VLOOKUP($A39,'01-02.2022'!$A$6:$DA$376,30,FALSE)</f>
        <v>9905.5161969041474</v>
      </c>
      <c r="AE39" s="566">
        <f>VLOOKUP($A39,'01-02.2021'!$A$6:$CZ$403,31,FALSE)+VLOOKUP($A39,'1.3.21-28.2.22'!$A$6:$DA$404,31,FALSE)-VLOOKUP($A39,'01-02.2022'!$A$6:$DA$376,31,FALSE)</f>
        <v>10540.56793952616</v>
      </c>
      <c r="AF39" s="68">
        <f t="shared" si="41"/>
        <v>635.05174262201217</v>
      </c>
      <c r="AG39" s="77">
        <f t="shared" si="24"/>
        <v>25064.015996843395</v>
      </c>
      <c r="AH39" s="53">
        <f t="shared" si="24"/>
        <v>25087.017486785386</v>
      </c>
      <c r="AI39" s="52">
        <f t="shared" si="42"/>
        <v>23.001489941991167</v>
      </c>
      <c r="AJ39" s="566">
        <f>VLOOKUP($A39,'01-02.2021'!$A$6:$CZ$403,36,FALSE)+VLOOKUP($A39,'1.3.21-28.2.22'!$A$6:$DA$404,36,FALSE)-VLOOKUP($A39,'01-02.2022'!$A$6:$DA$376,36,FALSE)</f>
        <v>0</v>
      </c>
      <c r="AK39" s="566">
        <f>VLOOKUP($A39,'01-02.2021'!$A$6:$CZ$403,37,FALSE)+VLOOKUP($A39,'1.3.21-28.2.22'!$A$6:$DA$404,37,FALSE)-VLOOKUP($A39,'01-02.2022'!$A$6:$DA$376,37,FALSE)</f>
        <v>0</v>
      </c>
      <c r="AL39" s="70">
        <f t="shared" si="43"/>
        <v>0</v>
      </c>
      <c r="AM39" s="566">
        <f>VLOOKUP($A39,'01-02.2021'!$A$6:$CZ$403,39,FALSE)+VLOOKUP($A39,'1.3.21-28.2.22'!$A$6:$DA$404,39,FALSE)-VLOOKUP($A39,'01-02.2022'!$A$6:$DA$376,39,FALSE)</f>
        <v>0</v>
      </c>
      <c r="AN39" s="566">
        <f>VLOOKUP($A39,'01-02.2021'!$A$6:$CZ$403,40,FALSE)+VLOOKUP($A39,'1.3.21-28.2.22'!$A$6:$DA$404,40,FALSE)-VLOOKUP($A39,'01-02.2022'!$A$6:$DA$376,40,FALSE)</f>
        <v>0</v>
      </c>
      <c r="AO39" s="70">
        <f t="shared" si="44"/>
        <v>0</v>
      </c>
      <c r="AP39" s="566">
        <f>VLOOKUP($A39,'01-02.2021'!$A$6:$CZ$403,42,FALSE)+VLOOKUP($A39,'1.3.21-28.2.22'!$A$6:$DA$404,42,FALSE)-VLOOKUP($A39,'01-02.2022'!$A$6:$DA$376,42,FALSE)</f>
        <v>1388.1598000340728</v>
      </c>
      <c r="AQ39" s="566">
        <f>VLOOKUP($A39,'01-02.2021'!$A$6:$CZ$403,43,FALSE)+VLOOKUP($A39,'1.3.21-28.2.22'!$A$6:$DA$404,43,FALSE)-VLOOKUP($A39,'01-02.2022'!$A$6:$DA$376,43,FALSE)</f>
        <v>1195.9160839160838</v>
      </c>
      <c r="AR39" s="70">
        <f t="shared" si="45"/>
        <v>-192.24371611798892</v>
      </c>
      <c r="AS39" s="566">
        <f>VLOOKUP($A39,'01-02.2021'!$A$6:$CZ$403,45,FALSE)+VLOOKUP($A39,'1.3.21-28.2.22'!$A$6:$DA$404,45,FALSE)-VLOOKUP($A39,'01-02.2022'!$A$6:$DA$376,45,FALSE)</f>
        <v>21767.106376460892</v>
      </c>
      <c r="AT39" s="566">
        <f>VLOOKUP($A39,'01-02.2021'!$A$6:$CZ$403,46,FALSE)+VLOOKUP($A39,'1.3.21-28.2.22'!$A$6:$DA$404,46,FALSE)-VLOOKUP($A39,'01-02.2022'!$A$6:$DA$376,46,FALSE)</f>
        <v>9189.23</v>
      </c>
      <c r="AU39" s="78">
        <f t="shared" si="46"/>
        <v>-12577.876376460892</v>
      </c>
      <c r="AV39" s="566">
        <f>VLOOKUP($A39,'01-02.2021'!$A$6:$CZ$403,48,FALSE)+VLOOKUP($A39,'1.3.21-28.2.22'!$A$6:$DA$404,48,FALSE)-VLOOKUP($A39,'01-02.2022'!$A$6:$DA$376,48,FALSE)</f>
        <v>1747.9231135066741</v>
      </c>
      <c r="AW39" s="566">
        <f>VLOOKUP($A39,'01-02.2021'!$A$6:$CZ$403,49,FALSE)+VLOOKUP($A39,'1.3.21-28.2.22'!$A$6:$DA$404,49,FALSE)-VLOOKUP($A39,'01-02.2022'!$A$6:$DA$376,49,FALSE)</f>
        <v>0</v>
      </c>
      <c r="AX39" s="55">
        <f t="shared" si="47"/>
        <v>-1747.9231135066741</v>
      </c>
      <c r="AY39" s="566">
        <f>VLOOKUP($A39,'01-02.2021'!$A$6:$CZ$403,51,FALSE)+VLOOKUP($A39,'1.3.21-28.2.22'!$A$6:$DA$404,51,FALSE)-VLOOKUP($A39,'01-02.2022'!$A$6:$DA$376,51,FALSE)</f>
        <v>1720.2148278129437</v>
      </c>
      <c r="AZ39" s="566">
        <f>VLOOKUP($A39,'01-02.2021'!$A$6:$CZ$403,52,FALSE)+VLOOKUP($A39,'1.3.21-28.2.22'!$A$6:$DA$404,52,FALSE)-VLOOKUP($A39,'01-02.2022'!$A$6:$DA$376,52,FALSE)</f>
        <v>0</v>
      </c>
      <c r="BA39" s="38">
        <f t="shared" si="48"/>
        <v>-1720.2148278129437</v>
      </c>
      <c r="BB39" s="566">
        <f>VLOOKUP($A39,'01-02.2021'!$A$6:$CZ$403,54,FALSE)+VLOOKUP($A39,'1.3.21-28.2.22'!$A$6:$DA$404,54,FALSE)-VLOOKUP($A39,'01-02.2022'!$A$6:$DA$376,54,FALSE)</f>
        <v>1403.2350696425058</v>
      </c>
      <c r="BC39" s="566">
        <f>VLOOKUP($A39,'01-02.2021'!$A$6:$CZ$403,55,FALSE)+VLOOKUP($A39,'1.3.21-28.2.22'!$A$6:$DA$404,55,FALSE)-VLOOKUP($A39,'01-02.2022'!$A$6:$DA$376,55,FALSE)</f>
        <v>0</v>
      </c>
      <c r="BD39" s="55">
        <f t="shared" si="49"/>
        <v>-1403.2350696425058</v>
      </c>
      <c r="BE39" s="566">
        <f>VLOOKUP($A39,'01-02.2021'!$A$6:$CZ$403,57,FALSE)+VLOOKUP($A39,'1.3.21-28.2.22'!$A$6:$DA$404,57,FALSE)-VLOOKUP($A39,'01-02.2022'!$A$6:$DA$376,57,FALSE)</f>
        <v>1971.9375068775983</v>
      </c>
      <c r="BF39" s="566">
        <f>VLOOKUP($A39,'01-02.2021'!$A$6:$CZ$403,58,FALSE)+VLOOKUP($A39,'1.3.21-28.2.22'!$A$6:$DA$404,58,FALSE)-VLOOKUP($A39,'01-02.2022'!$A$6:$DA$376,58,FALSE)</f>
        <v>0</v>
      </c>
      <c r="BG39" s="55">
        <f t="shared" si="50"/>
        <v>-1971.9375068775983</v>
      </c>
      <c r="BH39" s="566">
        <f>VLOOKUP($A39,'01-02.2021'!$A$6:$CZ$403,60,FALSE)+VLOOKUP($A39,'1.3.21-28.2.22'!$A$6:$DA$404,60,FALSE)-VLOOKUP($A39,'01-02.2022'!$A$6:$DA$376,60,FALSE)</f>
        <v>0</v>
      </c>
      <c r="BI39" s="566">
        <f>VLOOKUP($A39,'01-02.2021'!$A$6:$CZ$403,61,FALSE)+VLOOKUP($A39,'1.3.21-28.2.22'!$A$6:$DA$404,61,FALSE)-VLOOKUP($A39,'01-02.2022'!$A$6:$DA$376,61,FALSE)</f>
        <v>0</v>
      </c>
      <c r="BJ39" s="55">
        <f t="shared" si="51"/>
        <v>0</v>
      </c>
      <c r="BK39" s="566">
        <f>VLOOKUP($A39,'01-02.2021'!$A$6:$CZ$403,63,FALSE)+VLOOKUP($A39,'1.3.21-28.2.22'!$A$6:$DA$404,63,FALSE)-VLOOKUP($A39,'01-02.2022'!$A$6:$DA$376,63,FALSE)</f>
        <v>1104.564085307165</v>
      </c>
      <c r="BL39" s="566">
        <f>VLOOKUP($A39,'01-02.2021'!$A$6:$CZ$403,64,FALSE)+VLOOKUP($A39,'1.3.21-28.2.22'!$A$6:$DA$404,64,FALSE)-VLOOKUP($A39,'01-02.2022'!$A$6:$DA$376,64,FALSE)</f>
        <v>0</v>
      </c>
      <c r="BM39" s="55">
        <f t="shared" si="52"/>
        <v>-1104.564085307165</v>
      </c>
      <c r="BN39" s="566">
        <f>VLOOKUP($A39,'01-02.2021'!$A$6:$CZ$403,66,FALSE)+VLOOKUP($A39,'1.3.21-28.2.22'!$A$6:$DA$404,66,FALSE)-VLOOKUP($A39,'01-02.2022'!$A$6:$DA$376,66,FALSE)</f>
        <v>115.77850000000002</v>
      </c>
      <c r="BO39" s="566">
        <f>VLOOKUP($A39,'01-02.2021'!$A$6:$CZ$403,67,FALSE)+VLOOKUP($A39,'1.3.21-28.2.22'!$A$6:$DA$404,67,FALSE)-VLOOKUP($A39,'01-02.2022'!$A$6:$DA$376,67,FALSE)</f>
        <v>0</v>
      </c>
      <c r="BP39" s="55">
        <f t="shared" si="53"/>
        <v>-115.77850000000002</v>
      </c>
      <c r="BQ39" s="77">
        <f t="shared" ref="BQ39:BQ70" si="79">AV39+AY39+BB39+BE39+BH39+BK39+BN39</f>
        <v>8063.6531031468876</v>
      </c>
      <c r="BR39" s="40">
        <f t="shared" ref="BR39:BR70" si="80">AW39+AZ39+BC39+BF39+BI39+BL39+BO39</f>
        <v>0</v>
      </c>
      <c r="BS39" s="55">
        <f t="shared" si="70"/>
        <v>-8063.6531031468876</v>
      </c>
      <c r="BT39" s="566">
        <f>VLOOKUP($A39,'01-02.2021'!$A$6:$CZ$403,72,FALSE)+VLOOKUP($A39,'1.3.21-28.2.22'!$A$6:$DA$404,72,FALSE)-VLOOKUP($A39,'01-02.2022'!$A$6:$DA$376,72,FALSE)</f>
        <v>37264.683009371729</v>
      </c>
      <c r="BU39" s="566">
        <f>VLOOKUP($A39,'01-02.2021'!$A$6:$CZ$403,73,FALSE)+VLOOKUP($A39,'1.3.21-28.2.22'!$A$6:$DA$404,73,FALSE)-VLOOKUP($A39,'01-02.2022'!$A$6:$DA$376,73,FALSE)</f>
        <v>35890.375779154019</v>
      </c>
      <c r="BV39" s="70">
        <f t="shared" si="54"/>
        <v>-1374.3072302177097</v>
      </c>
      <c r="BW39" s="566">
        <f>VLOOKUP($A39,'01-02.2021'!$A$6:$CZ$403,75,FALSE)+VLOOKUP($A39,'1.3.21-28.2.22'!$A$6:$DA$404,75,FALSE)-VLOOKUP($A39,'01-02.2022'!$A$6:$DA$376,75,FALSE)</f>
        <v>19137.37369075451</v>
      </c>
      <c r="BX39" s="566">
        <f>VLOOKUP($A39,'01-02.2021'!$A$6:$CZ$403,76,FALSE)+VLOOKUP($A39,'1.3.21-28.2.22'!$A$6:$DA$404,76,FALSE)-VLOOKUP($A39,'01-02.2022'!$A$6:$DA$376,76,FALSE)</f>
        <v>17668.670082253524</v>
      </c>
      <c r="BY39" s="70">
        <f t="shared" si="55"/>
        <v>-1468.7036085009859</v>
      </c>
      <c r="BZ39" s="566">
        <f>VLOOKUP($A39,'01-02.2021'!$A$6:$CZ$403,78,FALSE)+VLOOKUP($A39,'1.3.21-28.2.22'!$A$6:$DA$404,78,FALSE)-VLOOKUP($A39,'01-02.2022'!$A$6:$DA$376,78,FALSE)</f>
        <v>12197.515588410268</v>
      </c>
      <c r="CA39" s="566">
        <f>VLOOKUP($A39,'01-02.2021'!$A$6:$CZ$403,79,FALSE)+VLOOKUP($A39,'1.3.21-28.2.22'!$A$6:$DA$404,79,FALSE)-VLOOKUP($A39,'01-02.2022'!$A$6:$DA$376,79,FALSE)</f>
        <v>9378.4664707851425</v>
      </c>
      <c r="CB39" s="70">
        <f t="shared" si="56"/>
        <v>-2819.0491176251253</v>
      </c>
      <c r="CC39" s="566">
        <f>VLOOKUP($A39,'01-02.2021'!$A$6:$CZ$403,81,FALSE)+VLOOKUP($A39,'1.3.21-28.2.22'!$A$6:$DA$404,81,FALSE)-VLOOKUP($A39,'01-02.2022'!$A$6:$DA$376,81,FALSE)</f>
        <v>0</v>
      </c>
      <c r="CD39" s="566">
        <f>VLOOKUP($A39,'01-02.2021'!$A$6:$CZ$403,82,FALSE)+VLOOKUP($A39,'1.3.21-28.2.22'!$A$6:$DA$404,82,FALSE)-VLOOKUP($A39,'01-02.2022'!$A$6:$DA$376,82,FALSE)</f>
        <v>0</v>
      </c>
      <c r="CE39" s="70">
        <f t="shared" si="57"/>
        <v>0</v>
      </c>
      <c r="CF39" s="566">
        <f>VLOOKUP($A39,'01-02.2021'!$A$6:$CZ$403,84,FALSE)+VLOOKUP($A39,'1.3.21-28.2.22'!$A$6:$DA$404,84,FALSE)-VLOOKUP($A39,'01-02.2022'!$A$6:$DA$376,84,FALSE)</f>
        <v>0</v>
      </c>
      <c r="CG39" s="566">
        <f>VLOOKUP($A39,'01-02.2021'!$A$6:$CZ$403,85,FALSE)+VLOOKUP($A39,'1.3.21-28.2.22'!$A$6:$DA$404,85,FALSE)-VLOOKUP($A39,'01-02.2022'!$A$6:$DA$376,85,FALSE)</f>
        <v>0</v>
      </c>
      <c r="CH39" s="70">
        <f t="shared" si="58"/>
        <v>0</v>
      </c>
      <c r="CI39" s="566">
        <f>VLOOKUP($A39,'01-02.2021'!$A$6:$CZ$403,87,FALSE)+VLOOKUP($A39,'1.3.21-28.2.22'!$A$6:$DA$404,87,FALSE)-VLOOKUP($A39,'01-02.2022'!$A$6:$DA$376,87,FALSE)</f>
        <v>3917.7205657110376</v>
      </c>
      <c r="CJ39" s="566">
        <f>VLOOKUP($A39,'01-02.2021'!$A$6:$CZ$403,88,FALSE)+VLOOKUP($A39,'1.3.21-28.2.22'!$A$6:$DA$404,88,FALSE)-VLOOKUP($A39,'01-02.2022'!$A$6:$DA$376,88,FALSE)</f>
        <v>2662.691264109611</v>
      </c>
      <c r="CK39" s="70">
        <f t="shared" si="59"/>
        <v>-1255.0293016014266</v>
      </c>
      <c r="CL39" s="566">
        <f>VLOOKUP($A39,'01-02.2021'!$A$6:$CZ$403,90,FALSE)+VLOOKUP($A39,'1.3.21-28.2.22'!$A$6:$DA$404,90,FALSE)-VLOOKUP($A39,'01-02.2022'!$A$6:$DA$376,90,FALSE)</f>
        <v>0</v>
      </c>
      <c r="CM39" s="566">
        <f>VLOOKUP($A39,'01-02.2021'!$A$6:$CZ$403,91,FALSE)+VLOOKUP($A39,'1.3.21-28.2.22'!$A$6:$DA$404,91,FALSE)-VLOOKUP($A39,'01-02.2022'!$A$6:$DA$376,91,FALSE)</f>
        <v>0</v>
      </c>
      <c r="CN39" s="52">
        <f t="shared" si="60"/>
        <v>0</v>
      </c>
      <c r="CO39" s="39">
        <f t="shared" si="27"/>
        <v>3917.7205657110376</v>
      </c>
      <c r="CP39" s="40">
        <f t="shared" si="61"/>
        <v>2662.691264109611</v>
      </c>
      <c r="CQ39" s="52">
        <f t="shared" si="62"/>
        <v>-1255.0293016014266</v>
      </c>
      <c r="CR39" s="72">
        <f t="shared" si="28"/>
        <v>128800.22813073279</v>
      </c>
      <c r="CS39" s="5">
        <f t="shared" si="28"/>
        <v>101072.36716700376</v>
      </c>
      <c r="CT39" s="52">
        <f t="shared" si="63"/>
        <v>-27727.860963729036</v>
      </c>
      <c r="CU39" s="77">
        <f t="shared" si="64"/>
        <v>154560.27375687935</v>
      </c>
      <c r="CV39" s="65">
        <f t="shared" si="65"/>
        <v>121286.84060040451</v>
      </c>
      <c r="CW39" s="35">
        <f t="shared" si="66"/>
        <v>-33273.433156474843</v>
      </c>
      <c r="CX39" s="566">
        <f>VLOOKUP($A39,'01-02.2021'!$A$6:$CZ$403,102,FALSE)+VLOOKUP($A39,'1.3.21-28.2.22'!$A$6:$DA$404,102,FALSE)-VLOOKUP($A39,'01-02.2022'!$A$6:$DA$376,102,FALSE)</f>
        <v>4391.0172076310328</v>
      </c>
      <c r="CY39" s="566">
        <f>VLOOKUP($A39,'01-02.2021'!$A$6:$CZ$403,103,FALSE)+VLOOKUP($A39,'1.3.21-28.2.22'!$A$6:$DA$404,103,FALSE)-VLOOKUP($A39,'01-02.2022'!$A$6:$DA$376,103,FALSE)</f>
        <v>37664.450364105898</v>
      </c>
      <c r="CZ39" s="52">
        <f t="shared" si="67"/>
        <v>33273.433156474865</v>
      </c>
      <c r="DA39" s="150">
        <f>'[2]побудинковий звіт'!DA39</f>
        <v>12606.099311109327</v>
      </c>
      <c r="DB39" s="2">
        <v>2</v>
      </c>
      <c r="DC39" s="414">
        <f>'[4]побудинковий звіт'!DC39</f>
        <v>13941.67</v>
      </c>
      <c r="DD39" s="414">
        <f>'[4]побудинковий звіт'!DD39</f>
        <v>24067.149999999998</v>
      </c>
      <c r="DE39" s="557">
        <f>'[4]побудинковий звіт'!DE39</f>
        <v>1664.6038274685452</v>
      </c>
      <c r="DF39" s="557">
        <f>'[4]побудинковий звіт'!DF39</f>
        <v>21929.705428609555</v>
      </c>
      <c r="DG39" s="321">
        <f>VLOOKUP(A39,'кошти 01.03.2021'!$A$6:$D$401,4,)</f>
        <v>51667.275448772481</v>
      </c>
      <c r="DH39" s="40">
        <f>'[3]побудинковий звіт'!DJ39</f>
        <v>164476.21858141423</v>
      </c>
      <c r="DI39" s="422">
        <f>'[3]побудинковий звіт'!CU39+'[3]побудинковий звіт'!CX39</f>
        <v>14414.510743921895</v>
      </c>
      <c r="DJ39" s="306">
        <f>'[3]побудинковий звіт'!DM39</f>
        <v>6.4365451255800847</v>
      </c>
      <c r="DK39" s="306">
        <f t="shared" si="76"/>
        <v>6.4365451255800847</v>
      </c>
      <c r="DL39" s="306">
        <f>'[3]побудинковий звіт'!DO39</f>
        <v>5.2366527951354618</v>
      </c>
      <c r="DM39" s="28">
        <f t="shared" si="77"/>
        <v>12277.066172531455</v>
      </c>
      <c r="DN39" s="28">
        <f t="shared" si="78"/>
        <v>2137.4445713904415</v>
      </c>
      <c r="DO39" s="423">
        <f t="shared" si="29"/>
        <v>14414.510743921895</v>
      </c>
      <c r="DP39" s="94">
        <f t="shared" si="30"/>
        <v>0</v>
      </c>
      <c r="DQ39" s="28">
        <f t="shared" si="31"/>
        <v>14414.510743921895</v>
      </c>
      <c r="DR39" s="318"/>
      <c r="DT39" s="8"/>
      <c r="DU39" s="5"/>
      <c r="DX39" s="5">
        <f t="shared" si="32"/>
        <v>35796.911375529337</v>
      </c>
      <c r="DY39" s="5">
        <f t="shared" si="33"/>
        <v>11027.075999999999</v>
      </c>
      <c r="DZ39" s="159">
        <f>'[3]побудинковий звіт'!EA39</f>
        <v>3190.9034040539382</v>
      </c>
    </row>
    <row r="40" spans="1:130" x14ac:dyDescent="0.3">
      <c r="A40" s="325">
        <v>150000975</v>
      </c>
      <c r="B40" s="41" t="s">
        <v>489</v>
      </c>
      <c r="C40" s="42" t="s">
        <v>204</v>
      </c>
      <c r="D40" s="42"/>
      <c r="E40" s="293">
        <f t="shared" si="23"/>
        <v>3253.33</v>
      </c>
      <c r="F40" s="305">
        <f>'[3]побудинковий звіт'!F40</f>
        <v>2888.6</v>
      </c>
      <c r="G40" s="508">
        <f>'[3]побудинковий звіт'!G40</f>
        <v>0</v>
      </c>
      <c r="H40" s="560">
        <f>'[3]побудинковий звіт'!H40</f>
        <v>364.73</v>
      </c>
      <c r="I40" s="566">
        <f>VLOOKUP($A40,'01-02.2021'!$A$6:$CZ$403,9,FALSE)+VLOOKUP($A40,'1.3.21-28.2.22'!$A$6:$DA$404,9,FALSE)-VLOOKUP($A40,'01-02.2022'!$A$6:$DA$376,9,FALSE)</f>
        <v>9222.3620877058183</v>
      </c>
      <c r="J40" s="566">
        <f>VLOOKUP($A40,'01-02.2021'!$A$6:$CZ$403,10,FALSE)+VLOOKUP($A40,'1.3.21-28.2.22'!$A$6:$DA$404,10,FALSE)-VLOOKUP($A40,'01-02.2022'!$A$6:$DA$376,10,FALSE)</f>
        <v>10160.53806210931</v>
      </c>
      <c r="K40" s="52">
        <f t="shared" si="34"/>
        <v>938.17597440349164</v>
      </c>
      <c r="L40" s="566">
        <f>VLOOKUP($A40,'01-02.2021'!$A$6:$CZ$403,12,FALSE)+VLOOKUP($A40,'1.3.21-28.2.22'!$A$6:$DA$404,12,FALSE)-VLOOKUP($A40,'01-02.2022'!$A$6:$DA$376,12,FALSE)</f>
        <v>1884.371332039445</v>
      </c>
      <c r="M40" s="566">
        <f>VLOOKUP($A40,'01-02.2021'!$A$6:$CZ$403,13,FALSE)+VLOOKUP($A40,'1.3.21-28.2.22'!$A$6:$DA$404,13,FALSE)-VLOOKUP($A40,'01-02.2022'!$A$6:$DA$376,13,FALSE)</f>
        <v>2074.7621682761182</v>
      </c>
      <c r="N40" s="52">
        <f t="shared" si="35"/>
        <v>190.39083623667329</v>
      </c>
      <c r="O40" s="566">
        <f>VLOOKUP($A40,'01-02.2021'!$A$6:$CZ$403,15,FALSE)+VLOOKUP($A40,'1.3.21-28.2.22'!$A$6:$DA$404,15,FALSE)-VLOOKUP($A40,'01-02.2022'!$A$6:$DA$376,15,FALSE)</f>
        <v>4191.5655027558423</v>
      </c>
      <c r="P40" s="566">
        <f>VLOOKUP($A40,'01-02.2021'!$A$6:$CZ$403,16,FALSE)+VLOOKUP($A40,'1.3.21-28.2.22'!$A$6:$DA$404,16,FALSE)-VLOOKUP($A40,'01-02.2022'!$A$6:$DA$376,16,FALSE)</f>
        <v>4191.5500000000011</v>
      </c>
      <c r="Q40" s="70">
        <f t="shared" si="36"/>
        <v>-1.5502755841225735E-2</v>
      </c>
      <c r="R40" s="566">
        <f>VLOOKUP($A40,'01-02.2021'!$A$6:$CZ$403,18,FALSE)+VLOOKUP($A40,'1.3.21-28.2.22'!$A$6:$DA$404,18,FALSE)-VLOOKUP($A40,'01-02.2022'!$A$6:$DA$376,18,FALSE)</f>
        <v>0</v>
      </c>
      <c r="S40" s="566">
        <f>VLOOKUP($A40,'01-02.2021'!$A$6:$CZ$403,19,FALSE)+VLOOKUP($A40,'1.3.21-28.2.22'!$A$6:$DA$404,19,FALSE)-VLOOKUP($A40,'01-02.2022'!$A$6:$DA$376,19,FALSE)</f>
        <v>0</v>
      </c>
      <c r="T40" s="70">
        <f t="shared" si="37"/>
        <v>0</v>
      </c>
      <c r="U40" s="566">
        <f>VLOOKUP($A40,'01-02.2021'!$A$6:$CZ$403,21,FALSE)+VLOOKUP($A40,'1.3.21-28.2.22'!$A$6:$DA$404,21,FALSE)-VLOOKUP($A40,'01-02.2022'!$A$6:$DA$376,21,FALSE)</f>
        <v>0</v>
      </c>
      <c r="V40" s="566">
        <f>VLOOKUP($A40,'01-02.2021'!$A$6:$CZ$403,22,FALSE)+VLOOKUP($A40,'1.3.21-28.2.22'!$A$6:$DA$404,22,FALSE)-VLOOKUP($A40,'01-02.2022'!$A$6:$DA$376,22,FALSE)</f>
        <v>0</v>
      </c>
      <c r="W40" s="70">
        <f t="shared" si="38"/>
        <v>0</v>
      </c>
      <c r="X40" s="566">
        <f>VLOOKUP($A40,'01-02.2021'!$A$6:$CZ$403,24,FALSE)+VLOOKUP($A40,'1.3.21-28.2.22'!$A$6:$DA$404,24,FALSE)-VLOOKUP($A40,'01-02.2022'!$A$6:$DA$376,24,FALSE)</f>
        <v>7062.1464744262958</v>
      </c>
      <c r="Y40" s="566">
        <f>VLOOKUP($A40,'01-02.2021'!$A$6:$CZ$403,25,FALSE)+VLOOKUP($A40,'1.3.21-28.2.22'!$A$6:$DA$404,25,FALSE)-VLOOKUP($A40,'01-02.2022'!$A$6:$DA$376,25,FALSE)</f>
        <v>6298.9002780756127</v>
      </c>
      <c r="Z40" s="70">
        <f t="shared" si="39"/>
        <v>-763.24619635068302</v>
      </c>
      <c r="AA40" s="566">
        <f>VLOOKUP($A40,'01-02.2021'!$A$6:$CZ$403,27,FALSE)+VLOOKUP($A40,'1.3.21-28.2.22'!$A$6:$DA$404,27,FALSE)-VLOOKUP($A40,'01-02.2022'!$A$6:$DA$376,27,FALSE)</f>
        <v>650.72600000000011</v>
      </c>
      <c r="AB40" s="566">
        <f>VLOOKUP($A40,'01-02.2021'!$A$6:$CZ$403,28,FALSE)+VLOOKUP($A40,'1.3.21-28.2.22'!$A$6:$DA$404,28,FALSE)-VLOOKUP($A40,'01-02.2022'!$A$6:$DA$376,28,FALSE)</f>
        <v>0</v>
      </c>
      <c r="AC40" s="70">
        <f t="shared" si="40"/>
        <v>-650.72600000000011</v>
      </c>
      <c r="AD40" s="566">
        <f>VLOOKUP($A40,'01-02.2021'!$A$6:$CZ$403,30,FALSE)+VLOOKUP($A40,'1.3.21-28.2.22'!$A$6:$DA$404,30,FALSE)-VLOOKUP($A40,'01-02.2022'!$A$6:$DA$376,30,FALSE)</f>
        <v>13938.331360839313</v>
      </c>
      <c r="AE40" s="566">
        <f>VLOOKUP($A40,'01-02.2021'!$A$6:$CZ$403,31,FALSE)+VLOOKUP($A40,'1.3.21-28.2.22'!$A$6:$DA$404,31,FALSE)-VLOOKUP($A40,'01-02.2022'!$A$6:$DA$376,31,FALSE)</f>
        <v>14809.289243986846</v>
      </c>
      <c r="AF40" s="68">
        <f t="shared" si="41"/>
        <v>870.95788314753372</v>
      </c>
      <c r="AG40" s="77">
        <f t="shared" si="24"/>
        <v>36949.502757766713</v>
      </c>
      <c r="AH40" s="53">
        <f t="shared" si="24"/>
        <v>37535.03975244789</v>
      </c>
      <c r="AI40" s="52">
        <f t="shared" si="42"/>
        <v>585.53699468117702</v>
      </c>
      <c r="AJ40" s="566">
        <f>VLOOKUP($A40,'01-02.2021'!$A$6:$CZ$403,36,FALSE)+VLOOKUP($A40,'1.3.21-28.2.22'!$A$6:$DA$404,36,FALSE)-VLOOKUP($A40,'01-02.2022'!$A$6:$DA$376,36,FALSE)</f>
        <v>0</v>
      </c>
      <c r="AK40" s="566">
        <f>VLOOKUP($A40,'01-02.2021'!$A$6:$CZ$403,37,FALSE)+VLOOKUP($A40,'1.3.21-28.2.22'!$A$6:$DA$404,37,FALSE)-VLOOKUP($A40,'01-02.2022'!$A$6:$DA$376,37,FALSE)</f>
        <v>0</v>
      </c>
      <c r="AL40" s="70">
        <f t="shared" si="43"/>
        <v>0</v>
      </c>
      <c r="AM40" s="566">
        <f>VLOOKUP($A40,'01-02.2021'!$A$6:$CZ$403,39,FALSE)+VLOOKUP($A40,'1.3.21-28.2.22'!$A$6:$DA$404,39,FALSE)-VLOOKUP($A40,'01-02.2022'!$A$6:$DA$376,39,FALSE)</f>
        <v>0</v>
      </c>
      <c r="AN40" s="566">
        <f>VLOOKUP($A40,'01-02.2021'!$A$6:$CZ$403,40,FALSE)+VLOOKUP($A40,'1.3.21-28.2.22'!$A$6:$DA$404,40,FALSE)-VLOOKUP($A40,'01-02.2022'!$A$6:$DA$376,40,FALSE)</f>
        <v>0</v>
      </c>
      <c r="AO40" s="70">
        <f t="shared" si="44"/>
        <v>0</v>
      </c>
      <c r="AP40" s="566">
        <f>VLOOKUP($A40,'01-02.2021'!$A$6:$CZ$403,42,FALSE)+VLOOKUP($A40,'1.3.21-28.2.22'!$A$6:$DA$404,42,FALSE)-VLOOKUP($A40,'01-02.2022'!$A$6:$DA$376,42,FALSE)</f>
        <v>6637.1390439129136</v>
      </c>
      <c r="AQ40" s="566">
        <f>VLOOKUP($A40,'01-02.2021'!$A$6:$CZ$403,43,FALSE)+VLOOKUP($A40,'1.3.21-28.2.22'!$A$6:$DA$404,43,FALSE)-VLOOKUP($A40,'01-02.2022'!$A$6:$DA$376,43,FALSE)</f>
        <v>5797.8966213902368</v>
      </c>
      <c r="AR40" s="70">
        <f t="shared" si="45"/>
        <v>-839.24242252267686</v>
      </c>
      <c r="AS40" s="566">
        <f>VLOOKUP($A40,'01-02.2021'!$A$6:$CZ$403,45,FALSE)+VLOOKUP($A40,'1.3.21-28.2.22'!$A$6:$DA$404,45,FALSE)-VLOOKUP($A40,'01-02.2022'!$A$6:$DA$376,45,FALSE)</f>
        <v>22274.363884144965</v>
      </c>
      <c r="AT40" s="566">
        <f>VLOOKUP($A40,'01-02.2021'!$A$6:$CZ$403,46,FALSE)+VLOOKUP($A40,'1.3.21-28.2.22'!$A$6:$DA$404,46,FALSE)-VLOOKUP($A40,'01-02.2022'!$A$6:$DA$376,46,FALSE)</f>
        <v>31275.4</v>
      </c>
      <c r="AU40" s="78">
        <f t="shared" si="46"/>
        <v>9001.0361158550368</v>
      </c>
      <c r="AV40" s="566">
        <f>VLOOKUP($A40,'01-02.2021'!$A$6:$CZ$403,48,FALSE)+VLOOKUP($A40,'1.3.21-28.2.22'!$A$6:$DA$404,48,FALSE)-VLOOKUP($A40,'01-02.2022'!$A$6:$DA$376,48,FALSE)</f>
        <v>2611.9729471697547</v>
      </c>
      <c r="AW40" s="566">
        <f>VLOOKUP($A40,'01-02.2021'!$A$6:$CZ$403,49,FALSE)+VLOOKUP($A40,'1.3.21-28.2.22'!$A$6:$DA$404,49,FALSE)-VLOOKUP($A40,'01-02.2022'!$A$6:$DA$376,49,FALSE)</f>
        <v>729.31</v>
      </c>
      <c r="AX40" s="55">
        <f t="shared" si="47"/>
        <v>-1882.6629471697547</v>
      </c>
      <c r="AY40" s="566">
        <f>VLOOKUP($A40,'01-02.2021'!$A$6:$CZ$403,51,FALSE)+VLOOKUP($A40,'1.3.21-28.2.22'!$A$6:$DA$404,51,FALSE)-VLOOKUP($A40,'01-02.2022'!$A$6:$DA$376,51,FALSE)</f>
        <v>3542.20696179682</v>
      </c>
      <c r="AZ40" s="566">
        <f>VLOOKUP($A40,'01-02.2021'!$A$6:$CZ$403,52,FALSE)+VLOOKUP($A40,'1.3.21-28.2.22'!$A$6:$DA$404,52,FALSE)-VLOOKUP($A40,'01-02.2022'!$A$6:$DA$376,52,FALSE)</f>
        <v>0</v>
      </c>
      <c r="BA40" s="38">
        <f t="shared" si="48"/>
        <v>-3542.20696179682</v>
      </c>
      <c r="BB40" s="566">
        <f>VLOOKUP($A40,'01-02.2021'!$A$6:$CZ$403,54,FALSE)+VLOOKUP($A40,'1.3.21-28.2.22'!$A$6:$DA$404,54,FALSE)-VLOOKUP($A40,'01-02.2022'!$A$6:$DA$376,54,FALSE)</f>
        <v>2041.1682986753028</v>
      </c>
      <c r="BC40" s="566">
        <f>VLOOKUP($A40,'01-02.2021'!$A$6:$CZ$403,55,FALSE)+VLOOKUP($A40,'1.3.21-28.2.22'!$A$6:$DA$404,55,FALSE)-VLOOKUP($A40,'01-02.2022'!$A$6:$DA$376,55,FALSE)</f>
        <v>0</v>
      </c>
      <c r="BD40" s="55">
        <f t="shared" si="49"/>
        <v>-2041.1682986753028</v>
      </c>
      <c r="BE40" s="566">
        <f>VLOOKUP($A40,'01-02.2021'!$A$6:$CZ$403,57,FALSE)+VLOOKUP($A40,'1.3.21-28.2.22'!$A$6:$DA$404,57,FALSE)-VLOOKUP($A40,'01-02.2022'!$A$6:$DA$376,57,FALSE)</f>
        <v>0</v>
      </c>
      <c r="BF40" s="566">
        <f>VLOOKUP($A40,'01-02.2021'!$A$6:$CZ$403,58,FALSE)+VLOOKUP($A40,'1.3.21-28.2.22'!$A$6:$DA$404,58,FALSE)-VLOOKUP($A40,'01-02.2022'!$A$6:$DA$376,58,FALSE)</f>
        <v>0</v>
      </c>
      <c r="BG40" s="55">
        <f t="shared" si="50"/>
        <v>0</v>
      </c>
      <c r="BH40" s="566">
        <f>VLOOKUP($A40,'01-02.2021'!$A$6:$CZ$403,60,FALSE)+VLOOKUP($A40,'1.3.21-28.2.22'!$A$6:$DA$404,60,FALSE)-VLOOKUP($A40,'01-02.2022'!$A$6:$DA$376,60,FALSE)</f>
        <v>0</v>
      </c>
      <c r="BI40" s="566">
        <f>VLOOKUP($A40,'01-02.2021'!$A$6:$CZ$403,61,FALSE)+VLOOKUP($A40,'1.3.21-28.2.22'!$A$6:$DA$404,61,FALSE)-VLOOKUP($A40,'01-02.2022'!$A$6:$DA$376,61,FALSE)</f>
        <v>0</v>
      </c>
      <c r="BJ40" s="55">
        <f t="shared" si="51"/>
        <v>0</v>
      </c>
      <c r="BK40" s="566">
        <f>VLOOKUP($A40,'01-02.2021'!$A$6:$CZ$403,63,FALSE)+VLOOKUP($A40,'1.3.21-28.2.22'!$A$6:$DA$404,63,FALSE)-VLOOKUP($A40,'01-02.2022'!$A$6:$DA$376,63,FALSE)</f>
        <v>2306.3755196619823</v>
      </c>
      <c r="BL40" s="566">
        <f>VLOOKUP($A40,'01-02.2021'!$A$6:$CZ$403,64,FALSE)+VLOOKUP($A40,'1.3.21-28.2.22'!$A$6:$DA$404,64,FALSE)-VLOOKUP($A40,'01-02.2022'!$A$6:$DA$376,64,FALSE)</f>
        <v>0</v>
      </c>
      <c r="BM40" s="55">
        <f t="shared" si="52"/>
        <v>-2306.3755196619823</v>
      </c>
      <c r="BN40" s="566">
        <f>VLOOKUP($A40,'01-02.2021'!$A$6:$CZ$403,66,FALSE)+VLOOKUP($A40,'1.3.21-28.2.22'!$A$6:$DA$404,66,FALSE)-VLOOKUP($A40,'01-02.2022'!$A$6:$DA$376,66,FALSE)</f>
        <v>162.68150000000003</v>
      </c>
      <c r="BO40" s="566">
        <f>VLOOKUP($A40,'01-02.2021'!$A$6:$CZ$403,67,FALSE)+VLOOKUP($A40,'1.3.21-28.2.22'!$A$6:$DA$404,67,FALSE)-VLOOKUP($A40,'01-02.2022'!$A$6:$DA$376,67,FALSE)</f>
        <v>0</v>
      </c>
      <c r="BP40" s="55">
        <f t="shared" si="53"/>
        <v>-162.68150000000003</v>
      </c>
      <c r="BQ40" s="77">
        <f t="shared" si="79"/>
        <v>10664.40522730386</v>
      </c>
      <c r="BR40" s="40">
        <f t="shared" si="80"/>
        <v>729.31</v>
      </c>
      <c r="BS40" s="55">
        <f t="shared" si="70"/>
        <v>-9935.0952273038602</v>
      </c>
      <c r="BT40" s="566">
        <f>VLOOKUP($A40,'01-02.2021'!$A$6:$CZ$403,72,FALSE)+VLOOKUP($A40,'1.3.21-28.2.22'!$A$6:$DA$404,72,FALSE)-VLOOKUP($A40,'01-02.2022'!$A$6:$DA$376,72,FALSE)</f>
        <v>34224.072287808565</v>
      </c>
      <c r="BU40" s="566">
        <f>VLOOKUP($A40,'01-02.2021'!$A$6:$CZ$403,73,FALSE)+VLOOKUP($A40,'1.3.21-28.2.22'!$A$6:$DA$404,73,FALSE)-VLOOKUP($A40,'01-02.2022'!$A$6:$DA$376,73,FALSE)</f>
        <v>35536.898865020237</v>
      </c>
      <c r="BV40" s="70">
        <f t="shared" si="54"/>
        <v>1312.826577211672</v>
      </c>
      <c r="BW40" s="566">
        <f>VLOOKUP($A40,'01-02.2021'!$A$6:$CZ$403,75,FALSE)+VLOOKUP($A40,'1.3.21-28.2.22'!$A$6:$DA$404,75,FALSE)-VLOOKUP($A40,'01-02.2022'!$A$6:$DA$376,75,FALSE)</f>
        <v>22513.233000361382</v>
      </c>
      <c r="BX40" s="566">
        <f>VLOOKUP($A40,'01-02.2021'!$A$6:$CZ$403,76,FALSE)+VLOOKUP($A40,'1.3.21-28.2.22'!$A$6:$DA$404,76,FALSE)-VLOOKUP($A40,'01-02.2022'!$A$6:$DA$376,76,FALSE)</f>
        <v>22035.425668424352</v>
      </c>
      <c r="BY40" s="70">
        <f t="shared" si="55"/>
        <v>-477.80733193703054</v>
      </c>
      <c r="BZ40" s="566">
        <f>VLOOKUP($A40,'01-02.2021'!$A$6:$CZ$403,78,FALSE)+VLOOKUP($A40,'1.3.21-28.2.22'!$A$6:$DA$404,78,FALSE)-VLOOKUP($A40,'01-02.2022'!$A$6:$DA$376,78,FALSE)</f>
        <v>14420.437484059623</v>
      </c>
      <c r="CA40" s="566">
        <f>VLOOKUP($A40,'01-02.2021'!$A$6:$CZ$403,79,FALSE)+VLOOKUP($A40,'1.3.21-28.2.22'!$A$6:$DA$404,79,FALSE)-VLOOKUP($A40,'01-02.2022'!$A$6:$DA$376,79,FALSE)</f>
        <v>9117.2830343988917</v>
      </c>
      <c r="CB40" s="70">
        <f t="shared" si="56"/>
        <v>-5303.1544496607312</v>
      </c>
      <c r="CC40" s="566">
        <f>VLOOKUP($A40,'01-02.2021'!$A$6:$CZ$403,81,FALSE)+VLOOKUP($A40,'1.3.21-28.2.22'!$A$6:$DA$404,81,FALSE)-VLOOKUP($A40,'01-02.2022'!$A$6:$DA$376,81,FALSE)</f>
        <v>921.40774216620139</v>
      </c>
      <c r="CD40" s="566">
        <f>VLOOKUP($A40,'01-02.2021'!$A$6:$CZ$403,82,FALSE)+VLOOKUP($A40,'1.3.21-28.2.22'!$A$6:$DA$404,82,FALSE)-VLOOKUP($A40,'01-02.2022'!$A$6:$DA$376,82,FALSE)</f>
        <v>1007.0922303484009</v>
      </c>
      <c r="CE40" s="70">
        <f t="shared" si="57"/>
        <v>85.684488182199516</v>
      </c>
      <c r="CF40" s="566">
        <f>VLOOKUP($A40,'01-02.2021'!$A$6:$CZ$403,84,FALSE)+VLOOKUP($A40,'1.3.21-28.2.22'!$A$6:$DA$404,84,FALSE)-VLOOKUP($A40,'01-02.2022'!$A$6:$DA$376,84,FALSE)</f>
        <v>112.01609119766212</v>
      </c>
      <c r="CG40" s="566">
        <f>VLOOKUP($A40,'01-02.2021'!$A$6:$CZ$403,85,FALSE)+VLOOKUP($A40,'1.3.21-28.2.22'!$A$6:$DA$404,85,FALSE)-VLOOKUP($A40,'01-02.2022'!$A$6:$DA$376,85,FALSE)</f>
        <v>0</v>
      </c>
      <c r="CH40" s="70">
        <f t="shared" si="58"/>
        <v>-112.01609119766212</v>
      </c>
      <c r="CI40" s="566">
        <f>VLOOKUP($A40,'01-02.2021'!$A$6:$CZ$403,87,FALSE)+VLOOKUP($A40,'1.3.21-28.2.22'!$A$6:$DA$404,87,FALSE)-VLOOKUP($A40,'01-02.2022'!$A$6:$DA$376,87,FALSE)</f>
        <v>2179.3009878168973</v>
      </c>
      <c r="CJ40" s="566">
        <f>VLOOKUP($A40,'01-02.2021'!$A$6:$CZ$403,88,FALSE)+VLOOKUP($A40,'1.3.21-28.2.22'!$A$6:$DA$404,88,FALSE)-VLOOKUP($A40,'01-02.2022'!$A$6:$DA$376,88,FALSE)</f>
        <v>1682.3966801536269</v>
      </c>
      <c r="CK40" s="70">
        <f t="shared" si="59"/>
        <v>-496.9043076632704</v>
      </c>
      <c r="CL40" s="566">
        <f>VLOOKUP($A40,'01-02.2021'!$A$6:$CZ$403,90,FALSE)+VLOOKUP($A40,'1.3.21-28.2.22'!$A$6:$DA$404,90,FALSE)-VLOOKUP($A40,'01-02.2022'!$A$6:$DA$376,90,FALSE)</f>
        <v>0</v>
      </c>
      <c r="CM40" s="566">
        <f>VLOOKUP($A40,'01-02.2021'!$A$6:$CZ$403,91,FALSE)+VLOOKUP($A40,'1.3.21-28.2.22'!$A$6:$DA$404,91,FALSE)-VLOOKUP($A40,'01-02.2022'!$A$6:$DA$376,91,FALSE)</f>
        <v>0</v>
      </c>
      <c r="CN40" s="52">
        <f t="shared" si="60"/>
        <v>0</v>
      </c>
      <c r="CO40" s="39">
        <f t="shared" si="27"/>
        <v>2179.3009878168973</v>
      </c>
      <c r="CP40" s="40">
        <f t="shared" si="61"/>
        <v>1682.3966801536269</v>
      </c>
      <c r="CQ40" s="52">
        <f t="shared" si="62"/>
        <v>-496.9043076632704</v>
      </c>
      <c r="CR40" s="72">
        <f t="shared" si="28"/>
        <v>150895.87850653878</v>
      </c>
      <c r="CS40" s="5">
        <f t="shared" si="28"/>
        <v>144716.74285218364</v>
      </c>
      <c r="CT40" s="52">
        <f t="shared" si="63"/>
        <v>-6179.1356543551374</v>
      </c>
      <c r="CU40" s="77">
        <f t="shared" si="64"/>
        <v>181075.05420784652</v>
      </c>
      <c r="CV40" s="65">
        <f t="shared" si="65"/>
        <v>173660.09142262037</v>
      </c>
      <c r="CW40" s="35">
        <f t="shared" si="66"/>
        <v>-7414.9627852261474</v>
      </c>
      <c r="CX40" s="566">
        <f>VLOOKUP($A40,'01-02.2021'!$A$6:$CZ$403,102,FALSE)+VLOOKUP($A40,'1.3.21-28.2.22'!$A$6:$DA$404,102,FALSE)-VLOOKUP($A40,'01-02.2022'!$A$6:$DA$376,102,FALSE)</f>
        <v>3357.6574391314139</v>
      </c>
      <c r="CY40" s="566">
        <f>VLOOKUP($A40,'01-02.2021'!$A$6:$CZ$403,103,FALSE)+VLOOKUP($A40,'1.3.21-28.2.22'!$A$6:$DA$404,103,FALSE)-VLOOKUP($A40,'01-02.2022'!$A$6:$DA$376,103,FALSE)</f>
        <v>10772.620224357575</v>
      </c>
      <c r="CZ40" s="52">
        <f t="shared" si="67"/>
        <v>7414.9627852261619</v>
      </c>
      <c r="DA40" s="150">
        <f>'[2]побудинковий звіт'!DA40</f>
        <v>26824.162546917389</v>
      </c>
      <c r="DB40" s="2">
        <v>2</v>
      </c>
      <c r="DC40" s="414">
        <f>'[4]побудинковий звіт'!DC40</f>
        <v>36065.68</v>
      </c>
      <c r="DD40" s="414">
        <f>'[4]побудинковий звіт'!DD40</f>
        <v>1045.27</v>
      </c>
      <c r="DE40" s="557">
        <f>'[4]побудинковий звіт'!DE40</f>
        <v>20899.087823509621</v>
      </c>
      <c r="DF40" s="557">
        <f>'[4]побудинковий звіт'!DF40</f>
        <v>-533.67752622174748</v>
      </c>
      <c r="DG40" s="321">
        <f>VLOOKUP(A40,'кошти 01.03.2021'!$A$6:$D$401,4,)</f>
        <v>42887.109584298239</v>
      </c>
      <c r="DH40" s="40">
        <f>'[3]побудинковий звіт'!DJ40</f>
        <v>190940.71627581533</v>
      </c>
      <c r="DI40" s="422">
        <f>'[3]побудинковий звіт'!CU40+'[3]побудинковий звіт'!CX40</f>
        <v>16745.539702712125</v>
      </c>
      <c r="DJ40" s="306">
        <f>'[3]побудинковий звіт'!DM40</f>
        <v>5.2504992648654643</v>
      </c>
      <c r="DK40" s="306">
        <f t="shared" si="76"/>
        <v>5.2504992648654643</v>
      </c>
      <c r="DL40" s="306">
        <f>'[3]побудинковий звіт'!DO40</f>
        <v>4.3290859710518665</v>
      </c>
      <c r="DM40" s="28">
        <f t="shared" si="77"/>
        <v>15166.59217649038</v>
      </c>
      <c r="DN40" s="28">
        <f t="shared" si="78"/>
        <v>1578.9475262217475</v>
      </c>
      <c r="DO40" s="423">
        <f t="shared" si="29"/>
        <v>16745.539702712129</v>
      </c>
      <c r="DP40" s="94">
        <f t="shared" si="30"/>
        <v>0</v>
      </c>
      <c r="DQ40" s="28">
        <f t="shared" si="31"/>
        <v>16745.539702712129</v>
      </c>
      <c r="DR40" s="318"/>
      <c r="DT40" s="8"/>
      <c r="DU40" s="5"/>
      <c r="DX40" s="5">
        <f t="shared" si="32"/>
        <v>39526.52293373859</v>
      </c>
      <c r="DY40" s="5">
        <f t="shared" si="33"/>
        <v>38405.652000000002</v>
      </c>
      <c r="DZ40" s="159">
        <f>'[3]побудинковий звіт'!EA40</f>
        <v>3363.3029062394608</v>
      </c>
    </row>
    <row r="41" spans="1:130" x14ac:dyDescent="0.3">
      <c r="A41" s="325">
        <v>150000976</v>
      </c>
      <c r="B41" s="41" t="s">
        <v>490</v>
      </c>
      <c r="C41" s="42" t="s">
        <v>150</v>
      </c>
      <c r="D41" s="42"/>
      <c r="E41" s="293">
        <f t="shared" si="23"/>
        <v>924.5</v>
      </c>
      <c r="F41" s="305">
        <f>'[3]побудинковий звіт'!F41</f>
        <v>821.7</v>
      </c>
      <c r="G41" s="508">
        <f>'[3]побудинковий звіт'!G41</f>
        <v>0</v>
      </c>
      <c r="H41" s="560">
        <f>'[3]побудинковий звіт'!H41</f>
        <v>102.8</v>
      </c>
      <c r="I41" s="566">
        <f>VLOOKUP($A41,'01-02.2021'!$A$6:$CZ$403,9,FALSE)+VLOOKUP($A41,'1.3.21-28.2.22'!$A$6:$DA$404,9,FALSE)-VLOOKUP($A41,'01-02.2022'!$A$6:$DA$376,9,FALSE)</f>
        <v>4216.521688890607</v>
      </c>
      <c r="J41" s="566">
        <f>VLOOKUP($A41,'01-02.2021'!$A$6:$CZ$403,10,FALSE)+VLOOKUP($A41,'1.3.21-28.2.22'!$A$6:$DA$404,10,FALSE)-VLOOKUP($A41,'01-02.2022'!$A$6:$DA$376,10,FALSE)</f>
        <v>4575.6949769167213</v>
      </c>
      <c r="K41" s="52">
        <f t="shared" si="34"/>
        <v>359.17328802611428</v>
      </c>
      <c r="L41" s="566">
        <f>VLOOKUP($A41,'01-02.2021'!$A$6:$CZ$403,12,FALSE)+VLOOKUP($A41,'1.3.21-28.2.22'!$A$6:$DA$404,12,FALSE)-VLOOKUP($A41,'01-02.2022'!$A$6:$DA$376,12,FALSE)</f>
        <v>805.7943984032363</v>
      </c>
      <c r="M41" s="566">
        <f>VLOOKUP($A41,'01-02.2021'!$A$6:$CZ$403,13,FALSE)+VLOOKUP($A41,'1.3.21-28.2.22'!$A$6:$DA$404,13,FALSE)-VLOOKUP($A41,'01-02.2022'!$A$6:$DA$376,13,FALSE)</f>
        <v>887.20860653634531</v>
      </c>
      <c r="N41" s="52">
        <f t="shared" si="35"/>
        <v>81.414208133109014</v>
      </c>
      <c r="O41" s="566">
        <f>VLOOKUP($A41,'01-02.2021'!$A$6:$CZ$403,15,FALSE)+VLOOKUP($A41,'1.3.21-28.2.22'!$A$6:$DA$404,15,FALSE)-VLOOKUP($A41,'01-02.2022'!$A$6:$DA$376,15,FALSE)</f>
        <v>1152.5758977293583</v>
      </c>
      <c r="P41" s="566">
        <f>VLOOKUP($A41,'01-02.2021'!$A$6:$CZ$403,16,FALSE)+VLOOKUP($A41,'1.3.21-28.2.22'!$A$6:$DA$404,16,FALSE)-VLOOKUP($A41,'01-02.2022'!$A$6:$DA$376,16,FALSE)</f>
        <v>1152.6099999999999</v>
      </c>
      <c r="Q41" s="70">
        <f t="shared" si="36"/>
        <v>3.4102270641596988E-2</v>
      </c>
      <c r="R41" s="566">
        <f>VLOOKUP($A41,'01-02.2021'!$A$6:$CZ$403,18,FALSE)+VLOOKUP($A41,'1.3.21-28.2.22'!$A$6:$DA$404,18,FALSE)-VLOOKUP($A41,'01-02.2022'!$A$6:$DA$376,18,FALSE)</f>
        <v>284.577012916775</v>
      </c>
      <c r="S41" s="566">
        <f>VLOOKUP($A41,'01-02.2021'!$A$6:$CZ$403,19,FALSE)+VLOOKUP($A41,'1.3.21-28.2.22'!$A$6:$DA$404,19,FALSE)-VLOOKUP($A41,'01-02.2022'!$A$6:$DA$376,19,FALSE)</f>
        <v>284.58999999999997</v>
      </c>
      <c r="T41" s="70">
        <f t="shared" si="37"/>
        <v>1.2987083224970775E-2</v>
      </c>
      <c r="U41" s="566">
        <f>VLOOKUP($A41,'01-02.2021'!$A$6:$CZ$403,21,FALSE)+VLOOKUP($A41,'1.3.21-28.2.22'!$A$6:$DA$404,21,FALSE)-VLOOKUP($A41,'01-02.2022'!$A$6:$DA$376,21,FALSE)</f>
        <v>0</v>
      </c>
      <c r="V41" s="566">
        <f>VLOOKUP($A41,'01-02.2021'!$A$6:$CZ$403,22,FALSE)+VLOOKUP($A41,'1.3.21-28.2.22'!$A$6:$DA$404,22,FALSE)-VLOOKUP($A41,'01-02.2022'!$A$6:$DA$376,22,FALSE)</f>
        <v>0</v>
      </c>
      <c r="W41" s="70">
        <f t="shared" si="38"/>
        <v>0</v>
      </c>
      <c r="X41" s="566">
        <f>VLOOKUP($A41,'01-02.2021'!$A$6:$CZ$403,24,FALSE)+VLOOKUP($A41,'1.3.21-28.2.22'!$A$6:$DA$404,24,FALSE)-VLOOKUP($A41,'01-02.2022'!$A$6:$DA$376,24,FALSE)</f>
        <v>1436.0132926575097</v>
      </c>
      <c r="Y41" s="566">
        <f>VLOOKUP($A41,'01-02.2021'!$A$6:$CZ$403,25,FALSE)+VLOOKUP($A41,'1.3.21-28.2.22'!$A$6:$DA$404,25,FALSE)-VLOOKUP($A41,'01-02.2022'!$A$6:$DA$376,25,FALSE)</f>
        <v>1824.847403703387</v>
      </c>
      <c r="Z41" s="70">
        <f t="shared" si="39"/>
        <v>388.83411104587731</v>
      </c>
      <c r="AA41" s="566">
        <f>VLOOKUP($A41,'01-02.2021'!$A$6:$CZ$403,27,FALSE)+VLOOKUP($A41,'1.3.21-28.2.22'!$A$6:$DA$404,27,FALSE)-VLOOKUP($A41,'01-02.2022'!$A$6:$DA$376,27,FALSE)</f>
        <v>209.22000000000003</v>
      </c>
      <c r="AB41" s="566">
        <f>VLOOKUP($A41,'01-02.2021'!$A$6:$CZ$403,28,FALSE)+VLOOKUP($A41,'1.3.21-28.2.22'!$A$6:$DA$404,28,FALSE)-VLOOKUP($A41,'01-02.2022'!$A$6:$DA$376,28,FALSE)</f>
        <v>0</v>
      </c>
      <c r="AC41" s="70">
        <f t="shared" si="40"/>
        <v>-209.22000000000003</v>
      </c>
      <c r="AD41" s="566">
        <f>VLOOKUP($A41,'01-02.2021'!$A$6:$CZ$403,30,FALSE)+VLOOKUP($A41,'1.3.21-28.2.22'!$A$6:$DA$404,30,FALSE)-VLOOKUP($A41,'01-02.2022'!$A$6:$DA$376,30,FALSE)</f>
        <v>4167.7747842403942</v>
      </c>
      <c r="AE41" s="566">
        <f>VLOOKUP($A41,'01-02.2021'!$A$6:$CZ$403,31,FALSE)+VLOOKUP($A41,'1.3.21-28.2.22'!$A$6:$DA$404,31,FALSE)-VLOOKUP($A41,'01-02.2022'!$A$6:$DA$376,31,FALSE)</f>
        <v>4208.3612501854532</v>
      </c>
      <c r="AF41" s="68">
        <f t="shared" si="41"/>
        <v>40.58646594505899</v>
      </c>
      <c r="AG41" s="77">
        <f t="shared" si="24"/>
        <v>12272.47707483788</v>
      </c>
      <c r="AH41" s="53">
        <f t="shared" si="24"/>
        <v>12933.312237341906</v>
      </c>
      <c r="AI41" s="52">
        <f t="shared" si="42"/>
        <v>660.83516250402681</v>
      </c>
      <c r="AJ41" s="566">
        <f>VLOOKUP($A41,'01-02.2021'!$A$6:$CZ$403,36,FALSE)+VLOOKUP($A41,'1.3.21-28.2.22'!$A$6:$DA$404,36,FALSE)-VLOOKUP($A41,'01-02.2022'!$A$6:$DA$376,36,FALSE)</f>
        <v>0</v>
      </c>
      <c r="AK41" s="566">
        <f>VLOOKUP($A41,'01-02.2021'!$A$6:$CZ$403,37,FALSE)+VLOOKUP($A41,'1.3.21-28.2.22'!$A$6:$DA$404,37,FALSE)-VLOOKUP($A41,'01-02.2022'!$A$6:$DA$376,37,FALSE)</f>
        <v>0</v>
      </c>
      <c r="AL41" s="70">
        <f t="shared" si="43"/>
        <v>0</v>
      </c>
      <c r="AM41" s="566">
        <f>VLOOKUP($A41,'01-02.2021'!$A$6:$CZ$403,39,FALSE)+VLOOKUP($A41,'1.3.21-28.2.22'!$A$6:$DA$404,39,FALSE)-VLOOKUP($A41,'01-02.2022'!$A$6:$DA$376,39,FALSE)</f>
        <v>0</v>
      </c>
      <c r="AN41" s="566">
        <f>VLOOKUP($A41,'01-02.2021'!$A$6:$CZ$403,40,FALSE)+VLOOKUP($A41,'1.3.21-28.2.22'!$A$6:$DA$404,40,FALSE)-VLOOKUP($A41,'01-02.2022'!$A$6:$DA$376,40,FALSE)</f>
        <v>0</v>
      </c>
      <c r="AO41" s="70">
        <f t="shared" si="44"/>
        <v>0</v>
      </c>
      <c r="AP41" s="566">
        <f>VLOOKUP($A41,'01-02.2021'!$A$6:$CZ$403,42,FALSE)+VLOOKUP($A41,'1.3.21-28.2.22'!$A$6:$DA$404,42,FALSE)-VLOOKUP($A41,'01-02.2022'!$A$6:$DA$376,42,FALSE)</f>
        <v>694.07990001703638</v>
      </c>
      <c r="AQ41" s="566">
        <f>VLOOKUP($A41,'01-02.2021'!$A$6:$CZ$403,43,FALSE)+VLOOKUP($A41,'1.3.21-28.2.22'!$A$6:$DA$404,43,FALSE)-VLOOKUP($A41,'01-02.2022'!$A$6:$DA$376,43,FALSE)</f>
        <v>598.74728932171479</v>
      </c>
      <c r="AR41" s="70">
        <f t="shared" si="45"/>
        <v>-95.332610695321591</v>
      </c>
      <c r="AS41" s="566">
        <f>VLOOKUP($A41,'01-02.2021'!$A$6:$CZ$403,45,FALSE)+VLOOKUP($A41,'1.3.21-28.2.22'!$A$6:$DA$404,45,FALSE)-VLOOKUP($A41,'01-02.2022'!$A$6:$DA$376,45,FALSE)</f>
        <v>9350.1147892698791</v>
      </c>
      <c r="AT41" s="566">
        <f>VLOOKUP($A41,'01-02.2021'!$A$6:$CZ$403,46,FALSE)+VLOOKUP($A41,'1.3.21-28.2.22'!$A$6:$DA$404,46,FALSE)-VLOOKUP($A41,'01-02.2022'!$A$6:$DA$376,46,FALSE)</f>
        <v>331</v>
      </c>
      <c r="AU41" s="78">
        <f t="shared" si="46"/>
        <v>-9019.1147892698791</v>
      </c>
      <c r="AV41" s="566">
        <f>VLOOKUP($A41,'01-02.2021'!$A$6:$CZ$403,48,FALSE)+VLOOKUP($A41,'1.3.21-28.2.22'!$A$6:$DA$404,48,FALSE)-VLOOKUP($A41,'01-02.2022'!$A$6:$DA$376,48,FALSE)</f>
        <v>1275.2681625279047</v>
      </c>
      <c r="AW41" s="566">
        <f>VLOOKUP($A41,'01-02.2021'!$A$6:$CZ$403,49,FALSE)+VLOOKUP($A41,'1.3.21-28.2.22'!$A$6:$DA$404,49,FALSE)-VLOOKUP($A41,'01-02.2022'!$A$6:$DA$376,49,FALSE)</f>
        <v>0</v>
      </c>
      <c r="AX41" s="55">
        <f t="shared" si="47"/>
        <v>-1275.2681625279047</v>
      </c>
      <c r="AY41" s="566">
        <f>VLOOKUP($A41,'01-02.2021'!$A$6:$CZ$403,51,FALSE)+VLOOKUP($A41,'1.3.21-28.2.22'!$A$6:$DA$404,51,FALSE)-VLOOKUP($A41,'01-02.2022'!$A$6:$DA$376,51,FALSE)</f>
        <v>1514.828151688288</v>
      </c>
      <c r="AZ41" s="566">
        <f>VLOOKUP($A41,'01-02.2021'!$A$6:$CZ$403,52,FALSE)+VLOOKUP($A41,'1.3.21-28.2.22'!$A$6:$DA$404,52,FALSE)-VLOOKUP($A41,'01-02.2022'!$A$6:$DA$376,52,FALSE)</f>
        <v>0</v>
      </c>
      <c r="BA41" s="38">
        <f t="shared" si="48"/>
        <v>-1514.828151688288</v>
      </c>
      <c r="BB41" s="566">
        <f>VLOOKUP($A41,'01-02.2021'!$A$6:$CZ$403,54,FALSE)+VLOOKUP($A41,'1.3.21-28.2.22'!$A$6:$DA$404,54,FALSE)-VLOOKUP($A41,'01-02.2022'!$A$6:$DA$376,54,FALSE)</f>
        <v>451.99095483449412</v>
      </c>
      <c r="BC41" s="566">
        <f>VLOOKUP($A41,'01-02.2021'!$A$6:$CZ$403,55,FALSE)+VLOOKUP($A41,'1.3.21-28.2.22'!$A$6:$DA$404,55,FALSE)-VLOOKUP($A41,'01-02.2022'!$A$6:$DA$376,55,FALSE)</f>
        <v>0</v>
      </c>
      <c r="BD41" s="55">
        <f t="shared" si="49"/>
        <v>-451.99095483449412</v>
      </c>
      <c r="BE41" s="566">
        <f>VLOOKUP($A41,'01-02.2021'!$A$6:$CZ$403,57,FALSE)+VLOOKUP($A41,'1.3.21-28.2.22'!$A$6:$DA$404,57,FALSE)-VLOOKUP($A41,'01-02.2022'!$A$6:$DA$376,57,FALSE)</f>
        <v>733.33023632655625</v>
      </c>
      <c r="BF41" s="566">
        <f>VLOOKUP($A41,'01-02.2021'!$A$6:$CZ$403,58,FALSE)+VLOOKUP($A41,'1.3.21-28.2.22'!$A$6:$DA$404,58,FALSE)-VLOOKUP($A41,'01-02.2022'!$A$6:$DA$376,58,FALSE)</f>
        <v>0</v>
      </c>
      <c r="BG41" s="55">
        <f t="shared" si="50"/>
        <v>-733.33023632655625</v>
      </c>
      <c r="BH41" s="566">
        <f>VLOOKUP($A41,'01-02.2021'!$A$6:$CZ$403,60,FALSE)+VLOOKUP($A41,'1.3.21-28.2.22'!$A$6:$DA$404,60,FALSE)-VLOOKUP($A41,'01-02.2022'!$A$6:$DA$376,60,FALSE)</f>
        <v>0</v>
      </c>
      <c r="BI41" s="566">
        <f>VLOOKUP($A41,'01-02.2021'!$A$6:$CZ$403,61,FALSE)+VLOOKUP($A41,'1.3.21-28.2.22'!$A$6:$DA$404,61,FALSE)-VLOOKUP($A41,'01-02.2022'!$A$6:$DA$376,61,FALSE)</f>
        <v>0</v>
      </c>
      <c r="BJ41" s="55">
        <f t="shared" si="51"/>
        <v>0</v>
      </c>
      <c r="BK41" s="566">
        <f>VLOOKUP($A41,'01-02.2021'!$A$6:$CZ$403,63,FALSE)+VLOOKUP($A41,'1.3.21-28.2.22'!$A$6:$DA$404,63,FALSE)-VLOOKUP($A41,'01-02.2022'!$A$6:$DA$376,63,FALSE)</f>
        <v>156.53328518824611</v>
      </c>
      <c r="BL41" s="566">
        <f>VLOOKUP($A41,'01-02.2021'!$A$6:$CZ$403,64,FALSE)+VLOOKUP($A41,'1.3.21-28.2.22'!$A$6:$DA$404,64,FALSE)-VLOOKUP($A41,'01-02.2022'!$A$6:$DA$376,64,FALSE)</f>
        <v>0</v>
      </c>
      <c r="BM41" s="55">
        <f t="shared" si="52"/>
        <v>-156.53328518824611</v>
      </c>
      <c r="BN41" s="566">
        <f>VLOOKUP($A41,'01-02.2021'!$A$6:$CZ$403,66,FALSE)+VLOOKUP($A41,'1.3.21-28.2.22'!$A$6:$DA$404,66,FALSE)-VLOOKUP($A41,'01-02.2022'!$A$6:$DA$376,66,FALSE)</f>
        <v>310.69102068392567</v>
      </c>
      <c r="BO41" s="566">
        <f>VLOOKUP($A41,'01-02.2021'!$A$6:$CZ$403,67,FALSE)+VLOOKUP($A41,'1.3.21-28.2.22'!$A$6:$DA$404,67,FALSE)-VLOOKUP($A41,'01-02.2022'!$A$6:$DA$376,67,FALSE)</f>
        <v>0</v>
      </c>
      <c r="BP41" s="55">
        <f t="shared" si="53"/>
        <v>-310.69102068392567</v>
      </c>
      <c r="BQ41" s="77">
        <f t="shared" si="79"/>
        <v>4442.6418112494148</v>
      </c>
      <c r="BR41" s="40">
        <f t="shared" si="80"/>
        <v>0</v>
      </c>
      <c r="BS41" s="55">
        <f t="shared" si="70"/>
        <v>-4442.6418112494148</v>
      </c>
      <c r="BT41" s="566">
        <f>VLOOKUP($A41,'01-02.2021'!$A$6:$CZ$403,72,FALSE)+VLOOKUP($A41,'1.3.21-28.2.22'!$A$6:$DA$404,72,FALSE)-VLOOKUP($A41,'01-02.2022'!$A$6:$DA$376,72,FALSE)</f>
        <v>11003.165888397032</v>
      </c>
      <c r="BU41" s="566">
        <f>VLOOKUP($A41,'01-02.2021'!$A$6:$CZ$403,73,FALSE)+VLOOKUP($A41,'1.3.21-28.2.22'!$A$6:$DA$404,73,FALSE)-VLOOKUP($A41,'01-02.2022'!$A$6:$DA$376,73,FALSE)</f>
        <v>11961.511977234462</v>
      </c>
      <c r="BV41" s="70">
        <f t="shared" si="54"/>
        <v>958.34608883743022</v>
      </c>
      <c r="BW41" s="566">
        <f>VLOOKUP($A41,'01-02.2021'!$A$6:$CZ$403,75,FALSE)+VLOOKUP($A41,'1.3.21-28.2.22'!$A$6:$DA$404,75,FALSE)-VLOOKUP($A41,'01-02.2022'!$A$6:$DA$376,75,FALSE)</f>
        <v>6041.9604627083154</v>
      </c>
      <c r="BX41" s="566">
        <f>VLOOKUP($A41,'01-02.2021'!$A$6:$CZ$403,76,FALSE)+VLOOKUP($A41,'1.3.21-28.2.22'!$A$6:$DA$404,76,FALSE)-VLOOKUP($A41,'01-02.2022'!$A$6:$DA$376,76,FALSE)</f>
        <v>6495.4926658683135</v>
      </c>
      <c r="BY41" s="70">
        <f t="shared" si="55"/>
        <v>453.53220315999806</v>
      </c>
      <c r="BZ41" s="566">
        <f>VLOOKUP($A41,'01-02.2021'!$A$6:$CZ$403,78,FALSE)+VLOOKUP($A41,'1.3.21-28.2.22'!$A$6:$DA$404,78,FALSE)-VLOOKUP($A41,'01-02.2022'!$A$6:$DA$376,78,FALSE)</f>
        <v>4691.6347991535513</v>
      </c>
      <c r="CA41" s="566">
        <f>VLOOKUP($A41,'01-02.2021'!$A$6:$CZ$403,79,FALSE)+VLOOKUP($A41,'1.3.21-28.2.22'!$A$6:$DA$404,79,FALSE)-VLOOKUP($A41,'01-02.2022'!$A$6:$DA$376,79,FALSE)</f>
        <v>3119.8917053578784</v>
      </c>
      <c r="CB41" s="70">
        <f t="shared" si="56"/>
        <v>-1571.7430937956728</v>
      </c>
      <c r="CC41" s="566">
        <f>VLOOKUP($A41,'01-02.2021'!$A$6:$CZ$403,81,FALSE)+VLOOKUP($A41,'1.3.21-28.2.22'!$A$6:$DA$404,81,FALSE)-VLOOKUP($A41,'01-02.2022'!$A$6:$DA$376,81,FALSE)</f>
        <v>0</v>
      </c>
      <c r="CD41" s="566">
        <f>VLOOKUP($A41,'01-02.2021'!$A$6:$CZ$403,82,FALSE)+VLOOKUP($A41,'1.3.21-28.2.22'!$A$6:$DA$404,82,FALSE)-VLOOKUP($A41,'01-02.2022'!$A$6:$DA$376,82,FALSE)</f>
        <v>0</v>
      </c>
      <c r="CE41" s="70">
        <f t="shared" si="57"/>
        <v>0</v>
      </c>
      <c r="CF41" s="566">
        <f>VLOOKUP($A41,'01-02.2021'!$A$6:$CZ$403,84,FALSE)+VLOOKUP($A41,'1.3.21-28.2.22'!$A$6:$DA$404,84,FALSE)-VLOOKUP($A41,'01-02.2022'!$A$6:$DA$376,84,FALSE)</f>
        <v>0</v>
      </c>
      <c r="CG41" s="566">
        <f>VLOOKUP($A41,'01-02.2021'!$A$6:$CZ$403,85,FALSE)+VLOOKUP($A41,'1.3.21-28.2.22'!$A$6:$DA$404,85,FALSE)-VLOOKUP($A41,'01-02.2022'!$A$6:$DA$376,85,FALSE)</f>
        <v>0</v>
      </c>
      <c r="CH41" s="70">
        <f t="shared" si="58"/>
        <v>0</v>
      </c>
      <c r="CI41" s="566">
        <f>VLOOKUP($A41,'01-02.2021'!$A$6:$CZ$403,87,FALSE)+VLOOKUP($A41,'1.3.21-28.2.22'!$A$6:$DA$404,87,FALSE)-VLOOKUP($A41,'01-02.2022'!$A$6:$DA$376,87,FALSE)</f>
        <v>2719.9478894706913</v>
      </c>
      <c r="CJ41" s="566">
        <f>VLOOKUP($A41,'01-02.2021'!$A$6:$CZ$403,88,FALSE)+VLOOKUP($A41,'1.3.21-28.2.22'!$A$6:$DA$404,88,FALSE)-VLOOKUP($A41,'01-02.2022'!$A$6:$DA$376,88,FALSE)</f>
        <v>1733.5081169399109</v>
      </c>
      <c r="CK41" s="70">
        <f t="shared" si="59"/>
        <v>-986.43977253078037</v>
      </c>
      <c r="CL41" s="566">
        <f>VLOOKUP($A41,'01-02.2021'!$A$6:$CZ$403,90,FALSE)+VLOOKUP($A41,'1.3.21-28.2.22'!$A$6:$DA$404,90,FALSE)-VLOOKUP($A41,'01-02.2022'!$A$6:$DA$376,90,FALSE)</f>
        <v>0</v>
      </c>
      <c r="CM41" s="566">
        <f>VLOOKUP($A41,'01-02.2021'!$A$6:$CZ$403,91,FALSE)+VLOOKUP($A41,'1.3.21-28.2.22'!$A$6:$DA$404,91,FALSE)-VLOOKUP($A41,'01-02.2022'!$A$6:$DA$376,91,FALSE)</f>
        <v>0</v>
      </c>
      <c r="CN41" s="52">
        <f t="shared" si="60"/>
        <v>0</v>
      </c>
      <c r="CO41" s="39">
        <f t="shared" si="27"/>
        <v>2719.9478894706913</v>
      </c>
      <c r="CP41" s="40">
        <f t="shared" si="61"/>
        <v>1733.5081169399109</v>
      </c>
      <c r="CQ41" s="52">
        <f t="shared" si="62"/>
        <v>-986.43977253078037</v>
      </c>
      <c r="CR41" s="72">
        <f t="shared" si="28"/>
        <v>51216.0226151038</v>
      </c>
      <c r="CS41" s="5">
        <f t="shared" si="28"/>
        <v>37173.463992064193</v>
      </c>
      <c r="CT41" s="52">
        <f t="shared" si="63"/>
        <v>-14042.558623039607</v>
      </c>
      <c r="CU41" s="77">
        <f t="shared" si="64"/>
        <v>61459.227138124559</v>
      </c>
      <c r="CV41" s="65">
        <f t="shared" si="65"/>
        <v>44608.156790477027</v>
      </c>
      <c r="CW41" s="35">
        <f t="shared" si="66"/>
        <v>-16851.070347647532</v>
      </c>
      <c r="CX41" s="566">
        <f>VLOOKUP($A41,'01-02.2021'!$A$6:$CZ$403,102,FALSE)+VLOOKUP($A41,'1.3.21-28.2.22'!$A$6:$DA$404,102,FALSE)-VLOOKUP($A41,'01-02.2022'!$A$6:$DA$376,102,FALSE)</f>
        <v>2187.4661133768523</v>
      </c>
      <c r="CY41" s="566">
        <f>VLOOKUP($A41,'01-02.2021'!$A$6:$CZ$403,103,FALSE)+VLOOKUP($A41,'1.3.21-28.2.22'!$A$6:$DA$404,103,FALSE)-VLOOKUP($A41,'01-02.2022'!$A$6:$DA$376,103,FALSE)</f>
        <v>19038.536461024396</v>
      </c>
      <c r="CZ41" s="52">
        <f t="shared" si="67"/>
        <v>16851.070347647543</v>
      </c>
      <c r="DA41" s="150">
        <f>'[2]побудинковий звіт'!DA41</f>
        <v>10979.09671930808</v>
      </c>
      <c r="DB41" s="2">
        <v>2</v>
      </c>
      <c r="DC41" s="414">
        <f>'[4]побудинковий звіт'!DC41</f>
        <v>17464.810000000001</v>
      </c>
      <c r="DD41" s="414">
        <f>'[4]побудинковий звіт'!DD41</f>
        <v>7266.68</v>
      </c>
      <c r="DE41" s="557">
        <f>'[4]побудинковий звіт'!DE41</f>
        <v>12455.022809671034</v>
      </c>
      <c r="DF41" s="557">
        <f>'[4]побудинковий звіт'!DF41</f>
        <v>6733.1266389547</v>
      </c>
      <c r="DG41" s="321">
        <f>VLOOKUP(A41,'кошти 01.03.2021'!$A$6:$D$401,4,)</f>
        <v>29023.173861710136</v>
      </c>
      <c r="DH41" s="40">
        <f>'[3]побудинковий звіт'!DJ41</f>
        <v>64760.012614527252</v>
      </c>
      <c r="DI41" s="422">
        <f>'[3]побудинковий звіт'!CU41+'[3]побудинковий звіт'!CX41</f>
        <v>5543.3405513742664</v>
      </c>
      <c r="DJ41" s="306">
        <f>'[3]побудинковий звіт'!DM41</f>
        <v>6.0968567486052896</v>
      </c>
      <c r="DK41" s="306">
        <f t="shared" si="76"/>
        <v>6.0968567486052896</v>
      </c>
      <c r="DL41" s="306">
        <f>'[3]побудинковий звіт'!DO41</f>
        <v>5.1902077922694545</v>
      </c>
      <c r="DM41" s="28">
        <f t="shared" si="77"/>
        <v>5009.787190328967</v>
      </c>
      <c r="DN41" s="28">
        <f t="shared" si="78"/>
        <v>533.55336104529988</v>
      </c>
      <c r="DO41" s="423">
        <f t="shared" si="29"/>
        <v>5543.3405513742673</v>
      </c>
      <c r="DP41" s="94">
        <f t="shared" si="30"/>
        <v>0</v>
      </c>
      <c r="DQ41" s="28">
        <f t="shared" si="31"/>
        <v>5543.3405513742673</v>
      </c>
      <c r="DR41" s="318"/>
      <c r="DT41" s="8"/>
      <c r="DU41" s="5"/>
      <c r="DX41" s="5">
        <f t="shared" si="32"/>
        <v>16551.307920623152</v>
      </c>
      <c r="DY41" s="5">
        <f t="shared" si="33"/>
        <v>397.2</v>
      </c>
      <c r="DZ41" s="159">
        <f>'[3]побудинковий звіт'!EA41</f>
        <v>1302.083540615484</v>
      </c>
    </row>
    <row r="42" spans="1:130" x14ac:dyDescent="0.3">
      <c r="A42" s="325">
        <v>150000977</v>
      </c>
      <c r="B42" s="41" t="s">
        <v>491</v>
      </c>
      <c r="C42" s="42" t="s">
        <v>151</v>
      </c>
      <c r="D42" s="42"/>
      <c r="E42" s="293">
        <f t="shared" si="23"/>
        <v>909.2</v>
      </c>
      <c r="F42" s="305">
        <f>'[3]побудинковий звіт'!F42</f>
        <v>654.20000000000005</v>
      </c>
      <c r="G42" s="508">
        <f>'[3]побудинковий звіт'!G42</f>
        <v>0</v>
      </c>
      <c r="H42" s="560">
        <f>'[3]побудинковий звіт'!H42</f>
        <v>255</v>
      </c>
      <c r="I42" s="566">
        <f>VLOOKUP($A42,'01-02.2021'!$A$6:$CZ$403,9,FALSE)+VLOOKUP($A42,'1.3.21-28.2.22'!$A$6:$DA$404,9,FALSE)-VLOOKUP($A42,'01-02.2022'!$A$6:$DA$376,9,FALSE)</f>
        <v>4040.4672944562753</v>
      </c>
      <c r="J42" s="566">
        <f>VLOOKUP($A42,'01-02.2021'!$A$6:$CZ$403,10,FALSE)+VLOOKUP($A42,'1.3.21-28.2.22'!$A$6:$DA$404,10,FALSE)-VLOOKUP($A42,'01-02.2022'!$A$6:$DA$376,10,FALSE)</f>
        <v>4367.9768625846682</v>
      </c>
      <c r="K42" s="52">
        <f t="shared" si="34"/>
        <v>327.50956812839286</v>
      </c>
      <c r="L42" s="566">
        <f>VLOOKUP($A42,'01-02.2021'!$A$6:$CZ$403,12,FALSE)+VLOOKUP($A42,'1.3.21-28.2.22'!$A$6:$DA$404,12,FALSE)-VLOOKUP($A42,'01-02.2022'!$A$6:$DA$376,12,FALSE)</f>
        <v>805.7943984032363</v>
      </c>
      <c r="M42" s="566">
        <f>VLOOKUP($A42,'01-02.2021'!$A$6:$CZ$403,13,FALSE)+VLOOKUP($A42,'1.3.21-28.2.22'!$A$6:$DA$404,13,FALSE)-VLOOKUP($A42,'01-02.2022'!$A$6:$DA$376,13,FALSE)</f>
        <v>887.20860653634531</v>
      </c>
      <c r="N42" s="52">
        <f t="shared" si="35"/>
        <v>81.414208133109014</v>
      </c>
      <c r="O42" s="566">
        <f>VLOOKUP($A42,'01-02.2021'!$A$6:$CZ$403,15,FALSE)+VLOOKUP($A42,'1.3.21-28.2.22'!$A$6:$DA$404,15,FALSE)-VLOOKUP($A42,'01-02.2022'!$A$6:$DA$376,15,FALSE)</f>
        <v>1092.2930736736666</v>
      </c>
      <c r="P42" s="566">
        <f>VLOOKUP($A42,'01-02.2021'!$A$6:$CZ$403,16,FALSE)+VLOOKUP($A42,'1.3.21-28.2.22'!$A$6:$DA$404,16,FALSE)-VLOOKUP($A42,'01-02.2022'!$A$6:$DA$376,16,FALSE)</f>
        <v>1092.2999999999997</v>
      </c>
      <c r="Q42" s="70">
        <f t="shared" si="36"/>
        <v>6.926326333086763E-3</v>
      </c>
      <c r="R42" s="566">
        <f>VLOOKUP($A42,'01-02.2021'!$A$6:$CZ$403,18,FALSE)+VLOOKUP($A42,'1.3.21-28.2.22'!$A$6:$DA$404,18,FALSE)-VLOOKUP($A42,'01-02.2022'!$A$6:$DA$376,18,FALSE)</f>
        <v>0</v>
      </c>
      <c r="S42" s="566">
        <f>VLOOKUP($A42,'01-02.2021'!$A$6:$CZ$403,19,FALSE)+VLOOKUP($A42,'1.3.21-28.2.22'!$A$6:$DA$404,19,FALSE)-VLOOKUP($A42,'01-02.2022'!$A$6:$DA$376,19,FALSE)</f>
        <v>0</v>
      </c>
      <c r="T42" s="70">
        <f t="shared" si="37"/>
        <v>0</v>
      </c>
      <c r="U42" s="566">
        <f>VLOOKUP($A42,'01-02.2021'!$A$6:$CZ$403,21,FALSE)+VLOOKUP($A42,'1.3.21-28.2.22'!$A$6:$DA$404,21,FALSE)-VLOOKUP($A42,'01-02.2022'!$A$6:$DA$376,21,FALSE)</f>
        <v>0</v>
      </c>
      <c r="V42" s="566">
        <f>VLOOKUP($A42,'01-02.2021'!$A$6:$CZ$403,22,FALSE)+VLOOKUP($A42,'1.3.21-28.2.22'!$A$6:$DA$404,22,FALSE)-VLOOKUP($A42,'01-02.2022'!$A$6:$DA$376,22,FALSE)</f>
        <v>0</v>
      </c>
      <c r="W42" s="70">
        <f t="shared" si="38"/>
        <v>0</v>
      </c>
      <c r="X42" s="566">
        <f>VLOOKUP($A42,'01-02.2021'!$A$6:$CZ$403,24,FALSE)+VLOOKUP($A42,'1.3.21-28.2.22'!$A$6:$DA$404,24,FALSE)-VLOOKUP($A42,'01-02.2022'!$A$6:$DA$376,24,FALSE)</f>
        <v>1436.0132926575097</v>
      </c>
      <c r="Y42" s="566">
        <f>VLOOKUP($A42,'01-02.2021'!$A$6:$CZ$403,25,FALSE)+VLOOKUP($A42,'1.3.21-28.2.22'!$A$6:$DA$404,25,FALSE)-VLOOKUP($A42,'01-02.2022'!$A$6:$DA$376,25,FALSE)</f>
        <v>1748.6226620062564</v>
      </c>
      <c r="Z42" s="70">
        <f t="shared" si="39"/>
        <v>312.60936934874667</v>
      </c>
      <c r="AA42" s="566">
        <f>VLOOKUP($A42,'01-02.2021'!$A$6:$CZ$403,27,FALSE)+VLOOKUP($A42,'1.3.21-28.2.22'!$A$6:$DA$404,27,FALSE)-VLOOKUP($A42,'01-02.2022'!$A$6:$DA$376,27,FALSE)</f>
        <v>181.06</v>
      </c>
      <c r="AB42" s="566">
        <f>VLOOKUP($A42,'01-02.2021'!$A$6:$CZ$403,28,FALSE)+VLOOKUP($A42,'1.3.21-28.2.22'!$A$6:$DA$404,28,FALSE)-VLOOKUP($A42,'01-02.2022'!$A$6:$DA$376,28,FALSE)</f>
        <v>0</v>
      </c>
      <c r="AC42" s="70">
        <f t="shared" si="40"/>
        <v>-181.06</v>
      </c>
      <c r="AD42" s="566">
        <f>VLOOKUP($A42,'01-02.2021'!$A$6:$CZ$403,30,FALSE)+VLOOKUP($A42,'1.3.21-28.2.22'!$A$6:$DA$404,30,FALSE)-VLOOKUP($A42,'01-02.2022'!$A$6:$DA$376,30,FALSE)</f>
        <v>3873.3476691752248</v>
      </c>
      <c r="AE42" s="566">
        <f>VLOOKUP($A42,'01-02.2021'!$A$6:$CZ$403,31,FALSE)+VLOOKUP($A42,'1.3.21-28.2.22'!$A$6:$DA$404,31,FALSE)-VLOOKUP($A42,'01-02.2022'!$A$6:$DA$376,31,FALSE)</f>
        <v>4138.7150337140229</v>
      </c>
      <c r="AF42" s="68">
        <f t="shared" si="41"/>
        <v>265.36736453879803</v>
      </c>
      <c r="AG42" s="77">
        <f t="shared" si="24"/>
        <v>11428.975728365913</v>
      </c>
      <c r="AH42" s="53">
        <f t="shared" si="24"/>
        <v>12234.823164841291</v>
      </c>
      <c r="AI42" s="52">
        <f t="shared" si="42"/>
        <v>805.84743647537834</v>
      </c>
      <c r="AJ42" s="566">
        <f>VLOOKUP($A42,'01-02.2021'!$A$6:$CZ$403,36,FALSE)+VLOOKUP($A42,'1.3.21-28.2.22'!$A$6:$DA$404,36,FALSE)-VLOOKUP($A42,'01-02.2022'!$A$6:$DA$376,36,FALSE)</f>
        <v>0</v>
      </c>
      <c r="AK42" s="566">
        <f>VLOOKUP($A42,'01-02.2021'!$A$6:$CZ$403,37,FALSE)+VLOOKUP($A42,'1.3.21-28.2.22'!$A$6:$DA$404,37,FALSE)-VLOOKUP($A42,'01-02.2022'!$A$6:$DA$376,37,FALSE)</f>
        <v>0</v>
      </c>
      <c r="AL42" s="70">
        <f t="shared" si="43"/>
        <v>0</v>
      </c>
      <c r="AM42" s="566">
        <f>VLOOKUP($A42,'01-02.2021'!$A$6:$CZ$403,39,FALSE)+VLOOKUP($A42,'1.3.21-28.2.22'!$A$6:$DA$404,39,FALSE)-VLOOKUP($A42,'01-02.2022'!$A$6:$DA$376,39,FALSE)</f>
        <v>0</v>
      </c>
      <c r="AN42" s="566">
        <f>VLOOKUP($A42,'01-02.2021'!$A$6:$CZ$403,40,FALSE)+VLOOKUP($A42,'1.3.21-28.2.22'!$A$6:$DA$404,40,FALSE)-VLOOKUP($A42,'01-02.2022'!$A$6:$DA$376,40,FALSE)</f>
        <v>0</v>
      </c>
      <c r="AO42" s="70">
        <f t="shared" si="44"/>
        <v>0</v>
      </c>
      <c r="AP42" s="566">
        <f>VLOOKUP($A42,'01-02.2021'!$A$6:$CZ$403,42,FALSE)+VLOOKUP($A42,'1.3.21-28.2.22'!$A$6:$DA$404,42,FALSE)-VLOOKUP($A42,'01-02.2022'!$A$6:$DA$376,42,FALSE)</f>
        <v>1691.8197562915266</v>
      </c>
      <c r="AQ42" s="566">
        <f>VLOOKUP($A42,'01-02.2021'!$A$6:$CZ$403,43,FALSE)+VLOOKUP($A42,'1.3.21-28.2.22'!$A$6:$DA$404,43,FALSE)-VLOOKUP($A42,'01-02.2022'!$A$6:$DA$376,43,FALSE)</f>
        <v>1477.8952172171194</v>
      </c>
      <c r="AR42" s="70">
        <f t="shared" si="45"/>
        <v>-213.92453907440722</v>
      </c>
      <c r="AS42" s="566">
        <f>VLOOKUP($A42,'01-02.2021'!$A$6:$CZ$403,45,FALSE)+VLOOKUP($A42,'1.3.21-28.2.22'!$A$6:$DA$404,45,FALSE)-VLOOKUP($A42,'01-02.2022'!$A$6:$DA$376,45,FALSE)</f>
        <v>11264.4674189211</v>
      </c>
      <c r="AT42" s="566">
        <f>VLOOKUP($A42,'01-02.2021'!$A$6:$CZ$403,46,FALSE)+VLOOKUP($A42,'1.3.21-28.2.22'!$A$6:$DA$404,46,FALSE)-VLOOKUP($A42,'01-02.2022'!$A$6:$DA$376,46,FALSE)</f>
        <v>300.61</v>
      </c>
      <c r="AU42" s="78">
        <f t="shared" si="46"/>
        <v>-10963.857418921099</v>
      </c>
      <c r="AV42" s="566">
        <f>VLOOKUP($A42,'01-02.2021'!$A$6:$CZ$403,48,FALSE)+VLOOKUP($A42,'1.3.21-28.2.22'!$A$6:$DA$404,48,FALSE)-VLOOKUP($A42,'01-02.2022'!$A$6:$DA$376,48,FALSE)</f>
        <v>1260.5686866497208</v>
      </c>
      <c r="AW42" s="566">
        <f>VLOOKUP($A42,'01-02.2021'!$A$6:$CZ$403,49,FALSE)+VLOOKUP($A42,'1.3.21-28.2.22'!$A$6:$DA$404,49,FALSE)-VLOOKUP($A42,'01-02.2022'!$A$6:$DA$376,49,FALSE)</f>
        <v>1991</v>
      </c>
      <c r="AX42" s="55">
        <f t="shared" si="47"/>
        <v>730.4313133502792</v>
      </c>
      <c r="AY42" s="566">
        <f>VLOOKUP($A42,'01-02.2021'!$A$6:$CZ$403,51,FALSE)+VLOOKUP($A42,'1.3.21-28.2.22'!$A$6:$DA$404,51,FALSE)-VLOOKUP($A42,'01-02.2022'!$A$6:$DA$376,51,FALSE)</f>
        <v>1514.828151688288</v>
      </c>
      <c r="AZ42" s="566">
        <f>VLOOKUP($A42,'01-02.2021'!$A$6:$CZ$403,52,FALSE)+VLOOKUP($A42,'1.3.21-28.2.22'!$A$6:$DA$404,52,FALSE)-VLOOKUP($A42,'01-02.2022'!$A$6:$DA$376,52,FALSE)</f>
        <v>0</v>
      </c>
      <c r="BA42" s="38">
        <f t="shared" si="48"/>
        <v>-1514.828151688288</v>
      </c>
      <c r="BB42" s="566">
        <f>VLOOKUP($A42,'01-02.2021'!$A$6:$CZ$403,54,FALSE)+VLOOKUP($A42,'1.3.21-28.2.22'!$A$6:$DA$404,54,FALSE)-VLOOKUP($A42,'01-02.2022'!$A$6:$DA$376,54,FALSE)</f>
        <v>511.44780405061152</v>
      </c>
      <c r="BC42" s="566">
        <f>VLOOKUP($A42,'01-02.2021'!$A$6:$CZ$403,55,FALSE)+VLOOKUP($A42,'1.3.21-28.2.22'!$A$6:$DA$404,55,FALSE)-VLOOKUP($A42,'01-02.2022'!$A$6:$DA$376,55,FALSE)</f>
        <v>0</v>
      </c>
      <c r="BD42" s="55">
        <f t="shared" si="49"/>
        <v>-511.44780405061152</v>
      </c>
      <c r="BE42" s="566">
        <f>VLOOKUP($A42,'01-02.2021'!$A$6:$CZ$403,57,FALSE)+VLOOKUP($A42,'1.3.21-28.2.22'!$A$6:$DA$404,57,FALSE)-VLOOKUP($A42,'01-02.2022'!$A$6:$DA$376,57,FALSE)</f>
        <v>0</v>
      </c>
      <c r="BF42" s="566">
        <f>VLOOKUP($A42,'01-02.2021'!$A$6:$CZ$403,58,FALSE)+VLOOKUP($A42,'1.3.21-28.2.22'!$A$6:$DA$404,58,FALSE)-VLOOKUP($A42,'01-02.2022'!$A$6:$DA$376,58,FALSE)</f>
        <v>0</v>
      </c>
      <c r="BG42" s="55">
        <f t="shared" si="50"/>
        <v>0</v>
      </c>
      <c r="BH42" s="566">
        <f>VLOOKUP($A42,'01-02.2021'!$A$6:$CZ$403,60,FALSE)+VLOOKUP($A42,'1.3.21-28.2.22'!$A$6:$DA$404,60,FALSE)-VLOOKUP($A42,'01-02.2022'!$A$6:$DA$376,60,FALSE)</f>
        <v>0</v>
      </c>
      <c r="BI42" s="566">
        <f>VLOOKUP($A42,'01-02.2021'!$A$6:$CZ$403,61,FALSE)+VLOOKUP($A42,'1.3.21-28.2.22'!$A$6:$DA$404,61,FALSE)-VLOOKUP($A42,'01-02.2022'!$A$6:$DA$376,61,FALSE)</f>
        <v>0</v>
      </c>
      <c r="BJ42" s="55">
        <f t="shared" si="51"/>
        <v>0</v>
      </c>
      <c r="BK42" s="566">
        <f>VLOOKUP($A42,'01-02.2021'!$A$6:$CZ$403,63,FALSE)+VLOOKUP($A42,'1.3.21-28.2.22'!$A$6:$DA$404,63,FALSE)-VLOOKUP($A42,'01-02.2022'!$A$6:$DA$376,63,FALSE)</f>
        <v>156.53328518824611</v>
      </c>
      <c r="BL42" s="566">
        <f>VLOOKUP($A42,'01-02.2021'!$A$6:$CZ$403,64,FALSE)+VLOOKUP($A42,'1.3.21-28.2.22'!$A$6:$DA$404,64,FALSE)-VLOOKUP($A42,'01-02.2022'!$A$6:$DA$376,64,FALSE)</f>
        <v>0</v>
      </c>
      <c r="BM42" s="55">
        <f t="shared" si="52"/>
        <v>-156.53328518824611</v>
      </c>
      <c r="BN42" s="566">
        <f>VLOOKUP($A42,'01-02.2021'!$A$6:$CZ$403,66,FALSE)+VLOOKUP($A42,'1.3.21-28.2.22'!$A$6:$DA$404,66,FALSE)-VLOOKUP($A42,'01-02.2022'!$A$6:$DA$376,66,FALSE)</f>
        <v>45.265000000000001</v>
      </c>
      <c r="BO42" s="566">
        <f>VLOOKUP($A42,'01-02.2021'!$A$6:$CZ$403,67,FALSE)+VLOOKUP($A42,'1.3.21-28.2.22'!$A$6:$DA$404,67,FALSE)-VLOOKUP($A42,'01-02.2022'!$A$6:$DA$376,67,FALSE)</f>
        <v>0</v>
      </c>
      <c r="BP42" s="55">
        <f t="shared" si="53"/>
        <v>-45.265000000000001</v>
      </c>
      <c r="BQ42" s="77">
        <f t="shared" si="79"/>
        <v>3488.6429275768664</v>
      </c>
      <c r="BR42" s="40">
        <f t="shared" si="80"/>
        <v>1991</v>
      </c>
      <c r="BS42" s="55">
        <f t="shared" si="70"/>
        <v>-1497.6429275768664</v>
      </c>
      <c r="BT42" s="566">
        <f>VLOOKUP($A42,'01-02.2021'!$A$6:$CZ$403,72,FALSE)+VLOOKUP($A42,'1.3.21-28.2.22'!$A$6:$DA$404,72,FALSE)-VLOOKUP($A42,'01-02.2022'!$A$6:$DA$376,72,FALSE)</f>
        <v>13071.687493956751</v>
      </c>
      <c r="BU42" s="566">
        <f>VLOOKUP($A42,'01-02.2021'!$A$6:$CZ$403,73,FALSE)+VLOOKUP($A42,'1.3.21-28.2.22'!$A$6:$DA$404,73,FALSE)-VLOOKUP($A42,'01-02.2022'!$A$6:$DA$376,73,FALSE)</f>
        <v>12169.888607852525</v>
      </c>
      <c r="BV42" s="70">
        <f t="shared" si="54"/>
        <v>-901.79888610422677</v>
      </c>
      <c r="BW42" s="566">
        <f>VLOOKUP($A42,'01-02.2021'!$A$6:$CZ$403,75,FALSE)+VLOOKUP($A42,'1.3.21-28.2.22'!$A$6:$DA$404,75,FALSE)-VLOOKUP($A42,'01-02.2022'!$A$6:$DA$376,75,FALSE)</f>
        <v>5643.3655891731569</v>
      </c>
      <c r="BX42" s="566">
        <f>VLOOKUP($A42,'01-02.2021'!$A$6:$CZ$403,76,FALSE)+VLOOKUP($A42,'1.3.21-28.2.22'!$A$6:$DA$404,76,FALSE)-VLOOKUP($A42,'01-02.2022'!$A$6:$DA$376,76,FALSE)</f>
        <v>6303.8317075558771</v>
      </c>
      <c r="BY42" s="70">
        <f t="shared" si="55"/>
        <v>660.4661183827202</v>
      </c>
      <c r="BZ42" s="566">
        <f>VLOOKUP($A42,'01-02.2021'!$A$6:$CZ$403,78,FALSE)+VLOOKUP($A42,'1.3.21-28.2.22'!$A$6:$DA$404,78,FALSE)-VLOOKUP($A42,'01-02.2022'!$A$6:$DA$376,78,FALSE)</f>
        <v>3537.5500940753668</v>
      </c>
      <c r="CA42" s="566">
        <f>VLOOKUP($A42,'01-02.2021'!$A$6:$CZ$403,79,FALSE)+VLOOKUP($A42,'1.3.21-28.2.22'!$A$6:$DA$404,79,FALSE)-VLOOKUP($A42,'01-02.2022'!$A$6:$DA$376,79,FALSE)</f>
        <v>3087.5544898003891</v>
      </c>
      <c r="CB42" s="70">
        <f t="shared" si="56"/>
        <v>-449.99560427497772</v>
      </c>
      <c r="CC42" s="566">
        <f>VLOOKUP($A42,'01-02.2021'!$A$6:$CZ$403,81,FALSE)+VLOOKUP($A42,'1.3.21-28.2.22'!$A$6:$DA$404,81,FALSE)-VLOOKUP($A42,'01-02.2022'!$A$6:$DA$376,81,FALSE)</f>
        <v>0</v>
      </c>
      <c r="CD42" s="566">
        <f>VLOOKUP($A42,'01-02.2021'!$A$6:$CZ$403,82,FALSE)+VLOOKUP($A42,'1.3.21-28.2.22'!$A$6:$DA$404,82,FALSE)-VLOOKUP($A42,'01-02.2022'!$A$6:$DA$376,82,FALSE)</f>
        <v>0</v>
      </c>
      <c r="CE42" s="70">
        <f t="shared" si="57"/>
        <v>0</v>
      </c>
      <c r="CF42" s="566">
        <f>VLOOKUP($A42,'01-02.2021'!$A$6:$CZ$403,84,FALSE)+VLOOKUP($A42,'1.3.21-28.2.22'!$A$6:$DA$404,84,FALSE)-VLOOKUP($A42,'01-02.2022'!$A$6:$DA$376,84,FALSE)</f>
        <v>0</v>
      </c>
      <c r="CG42" s="566">
        <f>VLOOKUP($A42,'01-02.2021'!$A$6:$CZ$403,85,FALSE)+VLOOKUP($A42,'1.3.21-28.2.22'!$A$6:$DA$404,85,FALSE)-VLOOKUP($A42,'01-02.2022'!$A$6:$DA$376,85,FALSE)</f>
        <v>0</v>
      </c>
      <c r="CH42" s="70">
        <f t="shared" si="58"/>
        <v>0</v>
      </c>
      <c r="CI42" s="566">
        <f>VLOOKUP($A42,'01-02.2021'!$A$6:$CZ$403,87,FALSE)+VLOOKUP($A42,'1.3.21-28.2.22'!$A$6:$DA$404,87,FALSE)-VLOOKUP($A42,'01-02.2022'!$A$6:$DA$376,87,FALSE)</f>
        <v>1092.6762684950006</v>
      </c>
      <c r="CJ42" s="566">
        <f>VLOOKUP($A42,'01-02.2021'!$A$6:$CZ$403,88,FALSE)+VLOOKUP($A42,'1.3.21-28.2.22'!$A$6:$DA$404,88,FALSE)-VLOOKUP($A42,'01-02.2022'!$A$6:$DA$376,88,FALSE)</f>
        <v>1525.3838849801198</v>
      </c>
      <c r="CK42" s="70">
        <f t="shared" si="59"/>
        <v>432.70761648511916</v>
      </c>
      <c r="CL42" s="566">
        <f>VLOOKUP($A42,'01-02.2021'!$A$6:$CZ$403,90,FALSE)+VLOOKUP($A42,'1.3.21-28.2.22'!$A$6:$DA$404,90,FALSE)-VLOOKUP($A42,'01-02.2022'!$A$6:$DA$376,90,FALSE)</f>
        <v>0</v>
      </c>
      <c r="CM42" s="566">
        <f>VLOOKUP($A42,'01-02.2021'!$A$6:$CZ$403,91,FALSE)+VLOOKUP($A42,'1.3.21-28.2.22'!$A$6:$DA$404,91,FALSE)-VLOOKUP($A42,'01-02.2022'!$A$6:$DA$376,91,FALSE)</f>
        <v>0</v>
      </c>
      <c r="CN42" s="52">
        <f t="shared" si="60"/>
        <v>0</v>
      </c>
      <c r="CO42" s="39">
        <f t="shared" si="27"/>
        <v>1092.6762684950006</v>
      </c>
      <c r="CP42" s="40">
        <f t="shared" si="61"/>
        <v>1525.3838849801198</v>
      </c>
      <c r="CQ42" s="52">
        <f t="shared" si="62"/>
        <v>432.70761648511916</v>
      </c>
      <c r="CR42" s="72">
        <f t="shared" si="28"/>
        <v>51219.185276855686</v>
      </c>
      <c r="CS42" s="5">
        <f t="shared" si="28"/>
        <v>39090.987072247321</v>
      </c>
      <c r="CT42" s="52">
        <f t="shared" si="63"/>
        <v>-12128.198204608365</v>
      </c>
      <c r="CU42" s="77">
        <f t="shared" si="64"/>
        <v>61463.022332226821</v>
      </c>
      <c r="CV42" s="65">
        <f t="shared" si="65"/>
        <v>46909.18448669678</v>
      </c>
      <c r="CW42" s="35">
        <f t="shared" si="66"/>
        <v>-14553.837845530041</v>
      </c>
      <c r="CX42" s="566">
        <f>VLOOKUP($A42,'01-02.2021'!$A$6:$CZ$403,102,FALSE)+VLOOKUP($A42,'1.3.21-28.2.22'!$A$6:$DA$404,102,FALSE)-VLOOKUP($A42,'01-02.2022'!$A$6:$DA$376,102,FALSE)</f>
        <v>1144.9198106977742</v>
      </c>
      <c r="CY42" s="566">
        <f>VLOOKUP($A42,'01-02.2021'!$A$6:$CZ$403,103,FALSE)+VLOOKUP($A42,'1.3.21-28.2.22'!$A$6:$DA$404,103,FALSE)-VLOOKUP($A42,'01-02.2022'!$A$6:$DA$376,103,FALSE)</f>
        <v>15698.757656227823</v>
      </c>
      <c r="CZ42" s="52">
        <f t="shared" si="67"/>
        <v>14553.837845530048</v>
      </c>
      <c r="DA42" s="150">
        <f>'[2]побудинковий звіт'!DA42</f>
        <v>5193.0315718800848</v>
      </c>
      <c r="DB42" s="2">
        <v>2</v>
      </c>
      <c r="DC42" s="414">
        <f>'[4]побудинковий звіт'!DC42</f>
        <v>4134.58</v>
      </c>
      <c r="DD42" s="414">
        <f>'[4]побудинковий звіт'!DD42</f>
        <v>14020.93</v>
      </c>
      <c r="DE42" s="557">
        <f>'[4]побудинковий звіт'!DE42</f>
        <v>-135.77281709117142</v>
      </c>
      <c r="DF42" s="557">
        <f>'[4]побудинковий звіт'!DF42</f>
        <v>12621.451529713175</v>
      </c>
      <c r="DG42" s="321">
        <f>VLOOKUP(A42,'кошти 01.03.2021'!$A$6:$D$401,4,)</f>
        <v>21486.657778521731</v>
      </c>
      <c r="DH42" s="40">
        <f>'[3]побудинковий звіт'!DJ42</f>
        <v>64746.708728348967</v>
      </c>
      <c r="DI42" s="422">
        <f>'[3]побудинковий звіт'!CU42+'[3]побудинковий звіт'!CX42</f>
        <v>5669.8312873779969</v>
      </c>
      <c r="DJ42" s="306">
        <f>'[3]побудинковий звіт'!DM42</f>
        <v>6.5275952569415638</v>
      </c>
      <c r="DK42" s="306">
        <f t="shared" si="76"/>
        <v>6.5275952569415638</v>
      </c>
      <c r="DL42" s="306">
        <f>'[3]побудинковий звіт'!DO42</f>
        <v>5.4881508638699055</v>
      </c>
      <c r="DM42" s="28">
        <f t="shared" si="77"/>
        <v>4270.3528170911713</v>
      </c>
      <c r="DN42" s="28">
        <f t="shared" si="78"/>
        <v>1399.478470286826</v>
      </c>
      <c r="DO42" s="423">
        <f t="shared" si="29"/>
        <v>5669.8312873779978</v>
      </c>
      <c r="DP42" s="94">
        <f t="shared" si="30"/>
        <v>0</v>
      </c>
      <c r="DQ42" s="28">
        <f t="shared" si="31"/>
        <v>5669.8312873779978</v>
      </c>
      <c r="DR42" s="318"/>
      <c r="DT42" s="8"/>
      <c r="DU42" s="5"/>
      <c r="DX42" s="5">
        <f t="shared" si="32"/>
        <v>17703.73241579756</v>
      </c>
      <c r="DY42" s="5">
        <f t="shared" si="33"/>
        <v>2749.9320000000002</v>
      </c>
      <c r="DZ42" s="159">
        <f>'[3]побудинковий звіт'!EA42</f>
        <v>1576.3985409156107</v>
      </c>
    </row>
    <row r="43" spans="1:130" x14ac:dyDescent="0.3">
      <c r="A43" s="325">
        <v>150000978</v>
      </c>
      <c r="B43" s="41" t="s">
        <v>492</v>
      </c>
      <c r="C43" s="42" t="s">
        <v>244</v>
      </c>
      <c r="D43" s="42"/>
      <c r="E43" s="293">
        <f t="shared" si="23"/>
        <v>1867.1</v>
      </c>
      <c r="F43" s="305">
        <f>'[3]побудинковий звіт'!F43</f>
        <v>1730</v>
      </c>
      <c r="G43" s="508">
        <f>'[3]побудинковий звіт'!G43</f>
        <v>0</v>
      </c>
      <c r="H43" s="560">
        <f>'[3]побудинковий звіт'!H43</f>
        <v>137.1</v>
      </c>
      <c r="I43" s="566">
        <f>VLOOKUP($A43,'01-02.2021'!$A$6:$CZ$403,9,FALSE)+VLOOKUP($A43,'1.3.21-28.2.22'!$A$6:$DA$404,9,FALSE)-VLOOKUP($A43,'01-02.2022'!$A$6:$DA$376,9,FALSE)</f>
        <v>5761.3869362464229</v>
      </c>
      <c r="J43" s="566">
        <f>VLOOKUP($A43,'01-02.2021'!$A$6:$CZ$403,10,FALSE)+VLOOKUP($A43,'1.3.21-28.2.22'!$A$6:$DA$404,10,FALSE)-VLOOKUP($A43,'01-02.2022'!$A$6:$DA$376,10,FALSE)</f>
        <v>6346.4275649997726</v>
      </c>
      <c r="K43" s="52">
        <f t="shared" si="34"/>
        <v>585.04062875334967</v>
      </c>
      <c r="L43" s="566">
        <f>VLOOKUP($A43,'01-02.2021'!$A$6:$CZ$403,12,FALSE)+VLOOKUP($A43,'1.3.21-28.2.22'!$A$6:$DA$404,12,FALSE)-VLOOKUP($A43,'01-02.2022'!$A$6:$DA$376,12,FALSE)</f>
        <v>1018.8053698203929</v>
      </c>
      <c r="M43" s="566">
        <f>VLOOKUP($A43,'01-02.2021'!$A$6:$CZ$403,13,FALSE)+VLOOKUP($A43,'1.3.21-28.2.22'!$A$6:$DA$404,13,FALSE)-VLOOKUP($A43,'01-02.2022'!$A$6:$DA$376,13,FALSE)</f>
        <v>1121.743631740706</v>
      </c>
      <c r="N43" s="52">
        <f t="shared" si="35"/>
        <v>102.93826192031304</v>
      </c>
      <c r="O43" s="566">
        <f>VLOOKUP($A43,'01-02.2021'!$A$6:$CZ$403,15,FALSE)+VLOOKUP($A43,'1.3.21-28.2.22'!$A$6:$DA$404,15,FALSE)-VLOOKUP($A43,'01-02.2022'!$A$6:$DA$376,15,FALSE)</f>
        <v>2609.9513709504999</v>
      </c>
      <c r="P43" s="566">
        <f>VLOOKUP($A43,'01-02.2021'!$A$6:$CZ$403,16,FALSE)+VLOOKUP($A43,'1.3.21-28.2.22'!$A$6:$DA$404,16,FALSE)-VLOOKUP($A43,'01-02.2022'!$A$6:$DA$376,16,FALSE)</f>
        <v>2609.94</v>
      </c>
      <c r="Q43" s="70">
        <f t="shared" si="36"/>
        <v>-1.1370950499895116E-2</v>
      </c>
      <c r="R43" s="566">
        <f>VLOOKUP($A43,'01-02.2021'!$A$6:$CZ$403,18,FALSE)+VLOOKUP($A43,'1.3.21-28.2.22'!$A$6:$DA$404,18,FALSE)-VLOOKUP($A43,'01-02.2022'!$A$6:$DA$376,18,FALSE)</f>
        <v>0</v>
      </c>
      <c r="S43" s="566">
        <f>VLOOKUP($A43,'01-02.2021'!$A$6:$CZ$403,19,FALSE)+VLOOKUP($A43,'1.3.21-28.2.22'!$A$6:$DA$404,19,FALSE)-VLOOKUP($A43,'01-02.2022'!$A$6:$DA$376,19,FALSE)</f>
        <v>0</v>
      </c>
      <c r="T43" s="70">
        <f t="shared" si="37"/>
        <v>0</v>
      </c>
      <c r="U43" s="566">
        <f>VLOOKUP($A43,'01-02.2021'!$A$6:$CZ$403,21,FALSE)+VLOOKUP($A43,'1.3.21-28.2.22'!$A$6:$DA$404,21,FALSE)-VLOOKUP($A43,'01-02.2022'!$A$6:$DA$376,21,FALSE)</f>
        <v>0</v>
      </c>
      <c r="V43" s="566">
        <f>VLOOKUP($A43,'01-02.2021'!$A$6:$CZ$403,22,FALSE)+VLOOKUP($A43,'1.3.21-28.2.22'!$A$6:$DA$404,22,FALSE)-VLOOKUP($A43,'01-02.2022'!$A$6:$DA$376,22,FALSE)</f>
        <v>0</v>
      </c>
      <c r="W43" s="70">
        <f t="shared" si="38"/>
        <v>0</v>
      </c>
      <c r="X43" s="566">
        <f>VLOOKUP($A43,'01-02.2021'!$A$6:$CZ$403,24,FALSE)+VLOOKUP($A43,'1.3.21-28.2.22'!$A$6:$DA$404,24,FALSE)-VLOOKUP($A43,'01-02.2022'!$A$6:$DA$376,24,FALSE)</f>
        <v>2785.3992915870581</v>
      </c>
      <c r="Y43" s="566">
        <f>VLOOKUP($A43,'01-02.2021'!$A$6:$CZ$403,25,FALSE)+VLOOKUP($A43,'1.3.21-28.2.22'!$A$6:$DA$404,25,FALSE)-VLOOKUP($A43,'01-02.2022'!$A$6:$DA$376,25,FALSE)</f>
        <v>2122.6063467746458</v>
      </c>
      <c r="Z43" s="70">
        <f t="shared" si="39"/>
        <v>-662.79294481241232</v>
      </c>
      <c r="AA43" s="566">
        <f>VLOOKUP($A43,'01-02.2021'!$A$6:$CZ$403,27,FALSE)+VLOOKUP($A43,'1.3.21-28.2.22'!$A$6:$DA$404,27,FALSE)-VLOOKUP($A43,'01-02.2022'!$A$6:$DA$376,27,FALSE)</f>
        <v>373.41999999999996</v>
      </c>
      <c r="AB43" s="566">
        <f>VLOOKUP($A43,'01-02.2021'!$A$6:$CZ$403,28,FALSE)+VLOOKUP($A43,'1.3.21-28.2.22'!$A$6:$DA$404,28,FALSE)-VLOOKUP($A43,'01-02.2022'!$A$6:$DA$376,28,FALSE)</f>
        <v>0</v>
      </c>
      <c r="AC43" s="70">
        <f t="shared" si="40"/>
        <v>-373.41999999999996</v>
      </c>
      <c r="AD43" s="566">
        <f>VLOOKUP($A43,'01-02.2021'!$A$6:$CZ$403,30,FALSE)+VLOOKUP($A43,'1.3.21-28.2.22'!$A$6:$DA$404,30,FALSE)-VLOOKUP($A43,'01-02.2022'!$A$6:$DA$376,30,FALSE)</f>
        <v>8006.1363407543558</v>
      </c>
      <c r="AE43" s="566">
        <f>VLOOKUP($A43,'01-02.2021'!$A$6:$CZ$403,31,FALSE)+VLOOKUP($A43,'1.3.21-28.2.22'!$A$6:$DA$404,31,FALSE)-VLOOKUP($A43,'01-02.2022'!$A$6:$DA$376,31,FALSE)</f>
        <v>8499.1144296606399</v>
      </c>
      <c r="AF43" s="68">
        <f t="shared" si="41"/>
        <v>492.97808890628403</v>
      </c>
      <c r="AG43" s="77">
        <f t="shared" si="24"/>
        <v>20555.099309358731</v>
      </c>
      <c r="AH43" s="53">
        <f t="shared" si="24"/>
        <v>20699.831973175766</v>
      </c>
      <c r="AI43" s="52">
        <f t="shared" si="42"/>
        <v>144.73266381703434</v>
      </c>
      <c r="AJ43" s="566">
        <f>VLOOKUP($A43,'01-02.2021'!$A$6:$CZ$403,36,FALSE)+VLOOKUP($A43,'1.3.21-28.2.22'!$A$6:$DA$404,36,FALSE)-VLOOKUP($A43,'01-02.2022'!$A$6:$DA$376,36,FALSE)</f>
        <v>0</v>
      </c>
      <c r="AK43" s="566">
        <f>VLOOKUP($A43,'01-02.2021'!$A$6:$CZ$403,37,FALSE)+VLOOKUP($A43,'1.3.21-28.2.22'!$A$6:$DA$404,37,FALSE)-VLOOKUP($A43,'01-02.2022'!$A$6:$DA$376,37,FALSE)</f>
        <v>0</v>
      </c>
      <c r="AL43" s="70">
        <f t="shared" si="43"/>
        <v>0</v>
      </c>
      <c r="AM43" s="566">
        <f>VLOOKUP($A43,'01-02.2021'!$A$6:$CZ$403,39,FALSE)+VLOOKUP($A43,'1.3.21-28.2.22'!$A$6:$DA$404,39,FALSE)-VLOOKUP($A43,'01-02.2022'!$A$6:$DA$376,39,FALSE)</f>
        <v>0</v>
      </c>
      <c r="AN43" s="566">
        <f>VLOOKUP($A43,'01-02.2021'!$A$6:$CZ$403,40,FALSE)+VLOOKUP($A43,'1.3.21-28.2.22'!$A$6:$DA$404,40,FALSE)-VLOOKUP($A43,'01-02.2022'!$A$6:$DA$376,40,FALSE)</f>
        <v>0</v>
      </c>
      <c r="AO43" s="70">
        <f t="shared" si="44"/>
        <v>0</v>
      </c>
      <c r="AP43" s="566">
        <f>VLOOKUP($A43,'01-02.2021'!$A$6:$CZ$403,42,FALSE)+VLOOKUP($A43,'1.3.21-28.2.22'!$A$6:$DA$404,42,FALSE)-VLOOKUP($A43,'01-02.2022'!$A$6:$DA$376,42,FALSE)</f>
        <v>4815.1793063681926</v>
      </c>
      <c r="AQ43" s="566">
        <f>VLOOKUP($A43,'01-02.2021'!$A$6:$CZ$403,43,FALSE)+VLOOKUP($A43,'1.3.21-28.2.22'!$A$6:$DA$404,43,FALSE)-VLOOKUP($A43,'01-02.2022'!$A$6:$DA$376,43,FALSE)</f>
        <v>4206.3171566948768</v>
      </c>
      <c r="AR43" s="70">
        <f t="shared" si="45"/>
        <v>-608.8621496733158</v>
      </c>
      <c r="AS43" s="566">
        <f>VLOOKUP($A43,'01-02.2021'!$A$6:$CZ$403,45,FALSE)+VLOOKUP($A43,'1.3.21-28.2.22'!$A$6:$DA$404,45,FALSE)-VLOOKUP($A43,'01-02.2022'!$A$6:$DA$376,45,FALSE)</f>
        <v>17418.363401490631</v>
      </c>
      <c r="AT43" s="566">
        <f>VLOOKUP($A43,'01-02.2021'!$A$6:$CZ$403,46,FALSE)+VLOOKUP($A43,'1.3.21-28.2.22'!$A$6:$DA$404,46,FALSE)-VLOOKUP($A43,'01-02.2022'!$A$6:$DA$376,46,FALSE)</f>
        <v>22178</v>
      </c>
      <c r="AU43" s="78">
        <f t="shared" si="46"/>
        <v>4759.6365985093689</v>
      </c>
      <c r="AV43" s="566">
        <f>VLOOKUP($A43,'01-02.2021'!$A$6:$CZ$403,48,FALSE)+VLOOKUP($A43,'1.3.21-28.2.22'!$A$6:$DA$404,48,FALSE)-VLOOKUP($A43,'01-02.2022'!$A$6:$DA$376,48,FALSE)</f>
        <v>1579.341320831611</v>
      </c>
      <c r="AW43" s="566">
        <f>VLOOKUP($A43,'01-02.2021'!$A$6:$CZ$403,49,FALSE)+VLOOKUP($A43,'1.3.21-28.2.22'!$A$6:$DA$404,49,FALSE)-VLOOKUP($A43,'01-02.2022'!$A$6:$DA$376,49,FALSE)</f>
        <v>471</v>
      </c>
      <c r="AX43" s="55">
        <f t="shared" si="47"/>
        <v>-1108.341320831611</v>
      </c>
      <c r="AY43" s="566">
        <f>VLOOKUP($A43,'01-02.2021'!$A$6:$CZ$403,51,FALSE)+VLOOKUP($A43,'1.3.21-28.2.22'!$A$6:$DA$404,51,FALSE)-VLOOKUP($A43,'01-02.2022'!$A$6:$DA$376,51,FALSE)</f>
        <v>1915.1619459978581</v>
      </c>
      <c r="AZ43" s="566">
        <f>VLOOKUP($A43,'01-02.2021'!$A$6:$CZ$403,52,FALSE)+VLOOKUP($A43,'1.3.21-28.2.22'!$A$6:$DA$404,52,FALSE)-VLOOKUP($A43,'01-02.2022'!$A$6:$DA$376,52,FALSE)</f>
        <v>1487.64</v>
      </c>
      <c r="BA43" s="38">
        <f t="shared" si="48"/>
        <v>-427.52194599785798</v>
      </c>
      <c r="BB43" s="566">
        <f>VLOOKUP($A43,'01-02.2021'!$A$6:$CZ$403,54,FALSE)+VLOOKUP($A43,'1.3.21-28.2.22'!$A$6:$DA$404,54,FALSE)-VLOOKUP($A43,'01-02.2022'!$A$6:$DA$376,54,FALSE)</f>
        <v>1007.6488712776115</v>
      </c>
      <c r="BC43" s="566">
        <f>VLOOKUP($A43,'01-02.2021'!$A$6:$CZ$403,55,FALSE)+VLOOKUP($A43,'1.3.21-28.2.22'!$A$6:$DA$404,55,FALSE)-VLOOKUP($A43,'01-02.2022'!$A$6:$DA$376,55,FALSE)</f>
        <v>0</v>
      </c>
      <c r="BD43" s="55">
        <f t="shared" si="49"/>
        <v>-1007.6488712776115</v>
      </c>
      <c r="BE43" s="566">
        <f>VLOOKUP($A43,'01-02.2021'!$A$6:$CZ$403,57,FALSE)+VLOOKUP($A43,'1.3.21-28.2.22'!$A$6:$DA$404,57,FALSE)-VLOOKUP($A43,'01-02.2022'!$A$6:$DA$376,57,FALSE)</f>
        <v>0</v>
      </c>
      <c r="BF43" s="566">
        <f>VLOOKUP($A43,'01-02.2021'!$A$6:$CZ$403,58,FALSE)+VLOOKUP($A43,'1.3.21-28.2.22'!$A$6:$DA$404,58,FALSE)-VLOOKUP($A43,'01-02.2022'!$A$6:$DA$376,58,FALSE)</f>
        <v>0</v>
      </c>
      <c r="BG43" s="55">
        <f t="shared" si="50"/>
        <v>0</v>
      </c>
      <c r="BH43" s="566">
        <f>VLOOKUP($A43,'01-02.2021'!$A$6:$CZ$403,60,FALSE)+VLOOKUP($A43,'1.3.21-28.2.22'!$A$6:$DA$404,60,FALSE)-VLOOKUP($A43,'01-02.2022'!$A$6:$DA$376,60,FALSE)</f>
        <v>0</v>
      </c>
      <c r="BI43" s="566">
        <f>VLOOKUP($A43,'01-02.2021'!$A$6:$CZ$403,61,FALSE)+VLOOKUP($A43,'1.3.21-28.2.22'!$A$6:$DA$404,61,FALSE)-VLOOKUP($A43,'01-02.2022'!$A$6:$DA$376,61,FALSE)</f>
        <v>0</v>
      </c>
      <c r="BJ43" s="55">
        <f t="shared" si="51"/>
        <v>0</v>
      </c>
      <c r="BK43" s="566">
        <f>VLOOKUP($A43,'01-02.2021'!$A$6:$CZ$403,63,FALSE)+VLOOKUP($A43,'1.3.21-28.2.22'!$A$6:$DA$404,63,FALSE)-VLOOKUP($A43,'01-02.2022'!$A$6:$DA$376,63,FALSE)</f>
        <v>649.3781363710018</v>
      </c>
      <c r="BL43" s="566">
        <f>VLOOKUP($A43,'01-02.2021'!$A$6:$CZ$403,64,FALSE)+VLOOKUP($A43,'1.3.21-28.2.22'!$A$6:$DA$404,64,FALSE)-VLOOKUP($A43,'01-02.2022'!$A$6:$DA$376,64,FALSE)</f>
        <v>0</v>
      </c>
      <c r="BM43" s="55">
        <f t="shared" si="52"/>
        <v>-649.3781363710018</v>
      </c>
      <c r="BN43" s="566">
        <f>VLOOKUP($A43,'01-02.2021'!$A$6:$CZ$403,66,FALSE)+VLOOKUP($A43,'1.3.21-28.2.22'!$A$6:$DA$404,66,FALSE)-VLOOKUP($A43,'01-02.2022'!$A$6:$DA$376,66,FALSE)</f>
        <v>93.35499999999999</v>
      </c>
      <c r="BO43" s="566">
        <f>VLOOKUP($A43,'01-02.2021'!$A$6:$CZ$403,67,FALSE)+VLOOKUP($A43,'1.3.21-28.2.22'!$A$6:$DA$404,67,FALSE)-VLOOKUP($A43,'01-02.2022'!$A$6:$DA$376,67,FALSE)</f>
        <v>0</v>
      </c>
      <c r="BP43" s="55">
        <f t="shared" si="53"/>
        <v>-93.35499999999999</v>
      </c>
      <c r="BQ43" s="77">
        <f t="shared" si="79"/>
        <v>5244.8852744780816</v>
      </c>
      <c r="BR43" s="40">
        <f t="shared" si="80"/>
        <v>1958.64</v>
      </c>
      <c r="BS43" s="55">
        <f t="shared" si="70"/>
        <v>-3286.2452744780812</v>
      </c>
      <c r="BT43" s="566">
        <f>VLOOKUP($A43,'01-02.2021'!$A$6:$CZ$403,72,FALSE)+VLOOKUP($A43,'1.3.21-28.2.22'!$A$6:$DA$404,72,FALSE)-VLOOKUP($A43,'01-02.2022'!$A$6:$DA$376,72,FALSE)</f>
        <v>13781.066323740883</v>
      </c>
      <c r="BU43" s="566">
        <f>VLOOKUP($A43,'01-02.2021'!$A$6:$CZ$403,73,FALSE)+VLOOKUP($A43,'1.3.21-28.2.22'!$A$6:$DA$404,73,FALSE)-VLOOKUP($A43,'01-02.2022'!$A$6:$DA$376,73,FALSE)</f>
        <v>16800.514352505877</v>
      </c>
      <c r="BV43" s="70">
        <f t="shared" si="54"/>
        <v>3019.4480287649949</v>
      </c>
      <c r="BW43" s="566">
        <f>VLOOKUP($A43,'01-02.2021'!$A$6:$CZ$403,75,FALSE)+VLOOKUP($A43,'1.3.21-28.2.22'!$A$6:$DA$404,75,FALSE)-VLOOKUP($A43,'01-02.2022'!$A$6:$DA$376,75,FALSE)</f>
        <v>7174.4295545232508</v>
      </c>
      <c r="BX43" s="566">
        <f>VLOOKUP($A43,'01-02.2021'!$A$6:$CZ$403,76,FALSE)+VLOOKUP($A43,'1.3.21-28.2.22'!$A$6:$DA$404,76,FALSE)-VLOOKUP($A43,'01-02.2022'!$A$6:$DA$376,76,FALSE)</f>
        <v>6576.7123353482248</v>
      </c>
      <c r="BY43" s="70">
        <f t="shared" si="55"/>
        <v>-597.717219175026</v>
      </c>
      <c r="BZ43" s="566">
        <f>VLOOKUP($A43,'01-02.2021'!$A$6:$CZ$403,78,FALSE)+VLOOKUP($A43,'1.3.21-28.2.22'!$A$6:$DA$404,78,FALSE)-VLOOKUP($A43,'01-02.2022'!$A$6:$DA$376,78,FALSE)</f>
        <v>7497.4209124983627</v>
      </c>
      <c r="CA43" s="566">
        <f>VLOOKUP($A43,'01-02.2021'!$A$6:$CZ$403,79,FALSE)+VLOOKUP($A43,'1.3.21-28.2.22'!$A$6:$DA$404,79,FALSE)-VLOOKUP($A43,'01-02.2022'!$A$6:$DA$376,79,FALSE)</f>
        <v>4585.0128842513968</v>
      </c>
      <c r="CB43" s="70">
        <f t="shared" si="56"/>
        <v>-2912.4080282469658</v>
      </c>
      <c r="CC43" s="566">
        <f>VLOOKUP($A43,'01-02.2021'!$A$6:$CZ$403,81,FALSE)+VLOOKUP($A43,'1.3.21-28.2.22'!$A$6:$DA$404,81,FALSE)-VLOOKUP($A43,'01-02.2022'!$A$6:$DA$376,81,FALSE)</f>
        <v>0</v>
      </c>
      <c r="CD43" s="566">
        <f>VLOOKUP($A43,'01-02.2021'!$A$6:$CZ$403,82,FALSE)+VLOOKUP($A43,'1.3.21-28.2.22'!$A$6:$DA$404,82,FALSE)-VLOOKUP($A43,'01-02.2022'!$A$6:$DA$376,82,FALSE)</f>
        <v>0</v>
      </c>
      <c r="CE43" s="70">
        <f t="shared" si="57"/>
        <v>0</v>
      </c>
      <c r="CF43" s="566">
        <f>VLOOKUP($A43,'01-02.2021'!$A$6:$CZ$403,84,FALSE)+VLOOKUP($A43,'1.3.21-28.2.22'!$A$6:$DA$404,84,FALSE)-VLOOKUP($A43,'01-02.2022'!$A$6:$DA$376,84,FALSE)</f>
        <v>0</v>
      </c>
      <c r="CG43" s="566">
        <f>VLOOKUP($A43,'01-02.2021'!$A$6:$CZ$403,85,FALSE)+VLOOKUP($A43,'1.3.21-28.2.22'!$A$6:$DA$404,85,FALSE)-VLOOKUP($A43,'01-02.2022'!$A$6:$DA$376,85,FALSE)</f>
        <v>0</v>
      </c>
      <c r="CH43" s="70">
        <f t="shared" si="58"/>
        <v>0</v>
      </c>
      <c r="CI43" s="566">
        <f>VLOOKUP($A43,'01-02.2021'!$A$6:$CZ$403,87,FALSE)+VLOOKUP($A43,'1.3.21-28.2.22'!$A$6:$DA$404,87,FALSE)-VLOOKUP($A43,'01-02.2022'!$A$6:$DA$376,87,FALSE)</f>
        <v>2127.8267624034493</v>
      </c>
      <c r="CJ43" s="566">
        <f>VLOOKUP($A43,'01-02.2021'!$A$6:$CZ$403,88,FALSE)+VLOOKUP($A43,'1.3.21-28.2.22'!$A$6:$DA$404,88,FALSE)-VLOOKUP($A43,'01-02.2022'!$A$6:$DA$376,88,FALSE)</f>
        <v>1468.107254296011</v>
      </c>
      <c r="CK43" s="70">
        <f t="shared" si="59"/>
        <v>-659.71950810743829</v>
      </c>
      <c r="CL43" s="566">
        <f>VLOOKUP($A43,'01-02.2021'!$A$6:$CZ$403,90,FALSE)+VLOOKUP($A43,'1.3.21-28.2.22'!$A$6:$DA$404,90,FALSE)-VLOOKUP($A43,'01-02.2022'!$A$6:$DA$376,90,FALSE)</f>
        <v>0</v>
      </c>
      <c r="CM43" s="566">
        <f>VLOOKUP($A43,'01-02.2021'!$A$6:$CZ$403,91,FALSE)+VLOOKUP($A43,'1.3.21-28.2.22'!$A$6:$DA$404,91,FALSE)-VLOOKUP($A43,'01-02.2022'!$A$6:$DA$376,91,FALSE)</f>
        <v>0</v>
      </c>
      <c r="CN43" s="52">
        <f t="shared" si="60"/>
        <v>0</v>
      </c>
      <c r="CO43" s="39">
        <f t="shared" si="27"/>
        <v>2127.8267624034493</v>
      </c>
      <c r="CP43" s="40">
        <f t="shared" si="61"/>
        <v>1468.107254296011</v>
      </c>
      <c r="CQ43" s="52">
        <f t="shared" si="62"/>
        <v>-659.71950810743829</v>
      </c>
      <c r="CR43" s="72">
        <f t="shared" si="28"/>
        <v>78614.270844861574</v>
      </c>
      <c r="CS43" s="5">
        <f t="shared" si="28"/>
        <v>78473.135956272163</v>
      </c>
      <c r="CT43" s="52">
        <f t="shared" si="63"/>
        <v>-141.13488858941128</v>
      </c>
      <c r="CU43" s="77">
        <f t="shared" si="64"/>
        <v>94337.12501383388</v>
      </c>
      <c r="CV43" s="65">
        <f t="shared" si="65"/>
        <v>94167.763147526595</v>
      </c>
      <c r="CW43" s="35">
        <f t="shared" si="66"/>
        <v>-169.3618663072848</v>
      </c>
      <c r="CX43" s="566">
        <f>VLOOKUP($A43,'01-02.2021'!$A$6:$CZ$403,102,FALSE)+VLOOKUP($A43,'1.3.21-28.2.22'!$A$6:$DA$404,102,FALSE)-VLOOKUP($A43,'01-02.2022'!$A$6:$DA$376,102,FALSE)</f>
        <v>3602.1461175593258</v>
      </c>
      <c r="CY43" s="566">
        <f>VLOOKUP($A43,'01-02.2021'!$A$6:$CZ$403,103,FALSE)+VLOOKUP($A43,'1.3.21-28.2.22'!$A$6:$DA$404,103,FALSE)-VLOOKUP($A43,'01-02.2022'!$A$6:$DA$376,103,FALSE)</f>
        <v>3771.5079838666343</v>
      </c>
      <c r="CZ43" s="52">
        <f t="shared" si="67"/>
        <v>169.36186630730845</v>
      </c>
      <c r="DA43" s="150">
        <f>'[2]побудинковий звіт'!DA43</f>
        <v>9816.9847659425977</v>
      </c>
      <c r="DB43" s="2">
        <v>2</v>
      </c>
      <c r="DC43" s="414">
        <f>'[4]побудинковий звіт'!DC43</f>
        <v>21661.81</v>
      </c>
      <c r="DD43" s="414">
        <f>'[4]побудинковий звіт'!DD43</f>
        <v>33.97</v>
      </c>
      <c r="DE43" s="557">
        <f>'[4]побудинковий звіт'!DE43</f>
        <v>13396.779419698983</v>
      </c>
      <c r="DF43" s="557">
        <f>'[4]побудинковий звіт'!DF43</f>
        <v>-551.40425876481027</v>
      </c>
      <c r="DG43" s="321">
        <f>VLOOKUP(A43,'кошти 01.03.2021'!$A$6:$D$401,4,)</f>
        <v>9961.1433345280202</v>
      </c>
      <c r="DH43" s="40">
        <f>'[3]побудинковий звіт'!DJ43</f>
        <v>101193.30357724195</v>
      </c>
      <c r="DI43" s="422">
        <f>'[3]побудинковий звіт'!CU43+'[3]побудинковий звіт'!CX43</f>
        <v>8850.4048390658263</v>
      </c>
      <c r="DJ43" s="306">
        <f>'[3]побудинковий звіт'!DM43</f>
        <v>4.7774743238734203</v>
      </c>
      <c r="DK43" s="306">
        <f t="shared" si="76"/>
        <v>4.7774743238734203</v>
      </c>
      <c r="DL43" s="306">
        <f>'[3]побудинковий звіт'!DO43</f>
        <v>4.2696882477374931</v>
      </c>
      <c r="DM43" s="28">
        <f t="shared" si="77"/>
        <v>8265.0305803010178</v>
      </c>
      <c r="DN43" s="28">
        <f t="shared" si="78"/>
        <v>585.37425876481029</v>
      </c>
      <c r="DO43" s="423">
        <f t="shared" si="29"/>
        <v>8850.4048390658281</v>
      </c>
      <c r="DP43" s="94">
        <f t="shared" si="30"/>
        <v>0</v>
      </c>
      <c r="DQ43" s="28">
        <f t="shared" si="31"/>
        <v>8850.4048390658281</v>
      </c>
      <c r="DR43" s="318"/>
      <c r="DT43" s="8"/>
      <c r="DU43" s="5"/>
      <c r="DX43" s="5">
        <f t="shared" si="32"/>
        <v>27195.898411162456</v>
      </c>
      <c r="DY43" s="5">
        <f t="shared" si="33"/>
        <v>28963.967999999997</v>
      </c>
      <c r="DZ43" s="159">
        <f>'[3]побудинковий звіт'!EA43</f>
        <v>2684.3316132479981</v>
      </c>
    </row>
    <row r="44" spans="1:130" x14ac:dyDescent="0.3">
      <c r="A44" s="325">
        <v>150000966</v>
      </c>
      <c r="B44" s="41" t="s">
        <v>493</v>
      </c>
      <c r="C44" s="42" t="s">
        <v>205</v>
      </c>
      <c r="D44" s="42"/>
      <c r="E44" s="293">
        <f t="shared" si="23"/>
        <v>1172.81</v>
      </c>
      <c r="F44" s="305">
        <f>'[3]побудинковий звіт'!F44</f>
        <v>934</v>
      </c>
      <c r="G44" s="508">
        <f>'[3]побудинковий звіт'!G44</f>
        <v>0</v>
      </c>
      <c r="H44" s="560">
        <f>'[3]побудинковий звіт'!H44</f>
        <v>238.81</v>
      </c>
      <c r="I44" s="566">
        <f>VLOOKUP($A44,'01-02.2021'!$A$6:$CZ$403,9,FALSE)+VLOOKUP($A44,'1.3.21-28.2.22'!$A$6:$DA$404,9,FALSE)-VLOOKUP($A44,'01-02.2022'!$A$6:$DA$376,9,FALSE)</f>
        <v>4135.621647776482</v>
      </c>
      <c r="J44" s="566">
        <f>VLOOKUP($A44,'01-02.2021'!$A$6:$CZ$403,10,FALSE)+VLOOKUP($A44,'1.3.21-28.2.22'!$A$6:$DA$404,10,FALSE)-VLOOKUP($A44,'01-02.2022'!$A$6:$DA$376,10,FALSE)</f>
        <v>4521.7261056488405</v>
      </c>
      <c r="K44" s="52">
        <f t="shared" si="34"/>
        <v>386.10445787235858</v>
      </c>
      <c r="L44" s="566">
        <f>VLOOKUP($A44,'01-02.2021'!$A$6:$CZ$403,12,FALSE)+VLOOKUP($A44,'1.3.21-28.2.22'!$A$6:$DA$404,12,FALSE)-VLOOKUP($A44,'01-02.2022'!$A$6:$DA$376,12,FALSE)</f>
        <v>875.88157593331687</v>
      </c>
      <c r="M44" s="566">
        <f>VLOOKUP($A44,'01-02.2021'!$A$6:$CZ$403,13,FALSE)+VLOOKUP($A44,'1.3.21-28.2.22'!$A$6:$DA$404,13,FALSE)-VLOOKUP($A44,'01-02.2022'!$A$6:$DA$376,13,FALSE)</f>
        <v>964.3770259702178</v>
      </c>
      <c r="N44" s="52">
        <f t="shared" si="35"/>
        <v>88.495450036900934</v>
      </c>
      <c r="O44" s="566">
        <f>VLOOKUP($A44,'01-02.2021'!$A$6:$CZ$403,15,FALSE)+VLOOKUP($A44,'1.3.21-28.2.22'!$A$6:$DA$404,15,FALSE)-VLOOKUP($A44,'01-02.2022'!$A$6:$DA$376,15,FALSE)</f>
        <v>1455.416147231258</v>
      </c>
      <c r="P44" s="566">
        <f>VLOOKUP($A44,'01-02.2021'!$A$6:$CZ$403,16,FALSE)+VLOOKUP($A44,'1.3.21-28.2.22'!$A$6:$DA$404,16,FALSE)-VLOOKUP($A44,'01-02.2022'!$A$6:$DA$376,16,FALSE)</f>
        <v>1455.4199999999996</v>
      </c>
      <c r="Q44" s="70">
        <f t="shared" si="36"/>
        <v>3.8527687415808032E-3</v>
      </c>
      <c r="R44" s="566">
        <f>VLOOKUP($A44,'01-02.2021'!$A$6:$CZ$403,18,FALSE)+VLOOKUP($A44,'1.3.21-28.2.22'!$A$6:$DA$404,18,FALSE)-VLOOKUP($A44,'01-02.2022'!$A$6:$DA$376,18,FALSE)</f>
        <v>0</v>
      </c>
      <c r="S44" s="566">
        <f>VLOOKUP($A44,'01-02.2021'!$A$6:$CZ$403,19,FALSE)+VLOOKUP($A44,'1.3.21-28.2.22'!$A$6:$DA$404,19,FALSE)-VLOOKUP($A44,'01-02.2022'!$A$6:$DA$376,19,FALSE)</f>
        <v>0</v>
      </c>
      <c r="T44" s="70">
        <f t="shared" si="37"/>
        <v>0</v>
      </c>
      <c r="U44" s="566">
        <f>VLOOKUP($A44,'01-02.2021'!$A$6:$CZ$403,21,FALSE)+VLOOKUP($A44,'1.3.21-28.2.22'!$A$6:$DA$404,21,FALSE)-VLOOKUP($A44,'01-02.2022'!$A$6:$DA$376,21,FALSE)</f>
        <v>0</v>
      </c>
      <c r="V44" s="566">
        <f>VLOOKUP($A44,'01-02.2021'!$A$6:$CZ$403,22,FALSE)+VLOOKUP($A44,'1.3.21-28.2.22'!$A$6:$DA$404,22,FALSE)-VLOOKUP($A44,'01-02.2022'!$A$6:$DA$376,22,FALSE)</f>
        <v>0</v>
      </c>
      <c r="W44" s="70">
        <f t="shared" si="38"/>
        <v>0</v>
      </c>
      <c r="X44" s="566">
        <f>VLOOKUP($A44,'01-02.2021'!$A$6:$CZ$403,24,FALSE)+VLOOKUP($A44,'1.3.21-28.2.22'!$A$6:$DA$404,24,FALSE)-VLOOKUP($A44,'01-02.2022'!$A$6:$DA$376,24,FALSE)</f>
        <v>2555.0687021643475</v>
      </c>
      <c r="Y44" s="566">
        <f>VLOOKUP($A44,'01-02.2021'!$A$6:$CZ$403,25,FALSE)+VLOOKUP($A44,'1.3.21-28.2.22'!$A$6:$DA$404,25,FALSE)-VLOOKUP($A44,'01-02.2022'!$A$6:$DA$376,25,FALSE)</f>
        <v>2571.6437970809798</v>
      </c>
      <c r="Z44" s="70">
        <f t="shared" si="39"/>
        <v>16.575094916632224</v>
      </c>
      <c r="AA44" s="566">
        <f>VLOOKUP($A44,'01-02.2021'!$A$6:$CZ$403,27,FALSE)+VLOOKUP($A44,'1.3.21-28.2.22'!$A$6:$DA$404,27,FALSE)-VLOOKUP($A44,'01-02.2022'!$A$6:$DA$376,27,FALSE)</f>
        <v>235.52199999999999</v>
      </c>
      <c r="AB44" s="566">
        <f>VLOOKUP($A44,'01-02.2021'!$A$6:$CZ$403,28,FALSE)+VLOOKUP($A44,'1.3.21-28.2.22'!$A$6:$DA$404,28,FALSE)-VLOOKUP($A44,'01-02.2022'!$A$6:$DA$376,28,FALSE)</f>
        <v>0</v>
      </c>
      <c r="AC44" s="70">
        <f t="shared" si="40"/>
        <v>-235.52199999999999</v>
      </c>
      <c r="AD44" s="566">
        <f>VLOOKUP($A44,'01-02.2021'!$A$6:$CZ$403,30,FALSE)+VLOOKUP($A44,'1.3.21-28.2.22'!$A$6:$DA$404,30,FALSE)-VLOOKUP($A44,'01-02.2022'!$A$6:$DA$376,30,FALSE)</f>
        <v>5024.6579984113623</v>
      </c>
      <c r="AE44" s="566">
        <f>VLOOKUP($A44,'01-02.2021'!$A$6:$CZ$403,31,FALSE)+VLOOKUP($A44,'1.3.21-28.2.22'!$A$6:$DA$404,31,FALSE)-VLOOKUP($A44,'01-02.2022'!$A$6:$DA$376,31,FALSE)</f>
        <v>5338.6783751541388</v>
      </c>
      <c r="AF44" s="68">
        <f t="shared" si="41"/>
        <v>314.02037674277653</v>
      </c>
      <c r="AG44" s="77">
        <f t="shared" si="24"/>
        <v>14282.168071516768</v>
      </c>
      <c r="AH44" s="53">
        <f t="shared" si="24"/>
        <v>14851.845303854177</v>
      </c>
      <c r="AI44" s="52">
        <f t="shared" si="42"/>
        <v>569.67723233740981</v>
      </c>
      <c r="AJ44" s="566">
        <f>VLOOKUP($A44,'01-02.2021'!$A$6:$CZ$403,36,FALSE)+VLOOKUP($A44,'1.3.21-28.2.22'!$A$6:$DA$404,36,FALSE)-VLOOKUP($A44,'01-02.2022'!$A$6:$DA$376,36,FALSE)</f>
        <v>0</v>
      </c>
      <c r="AK44" s="566">
        <f>VLOOKUP($A44,'01-02.2021'!$A$6:$CZ$403,37,FALSE)+VLOOKUP($A44,'1.3.21-28.2.22'!$A$6:$DA$404,37,FALSE)-VLOOKUP($A44,'01-02.2022'!$A$6:$DA$376,37,FALSE)</f>
        <v>0</v>
      </c>
      <c r="AL44" s="70">
        <f t="shared" si="43"/>
        <v>0</v>
      </c>
      <c r="AM44" s="566">
        <f>VLOOKUP($A44,'01-02.2021'!$A$6:$CZ$403,39,FALSE)+VLOOKUP($A44,'1.3.21-28.2.22'!$A$6:$DA$404,39,FALSE)-VLOOKUP($A44,'01-02.2022'!$A$6:$DA$376,39,FALSE)</f>
        <v>0</v>
      </c>
      <c r="AN44" s="566">
        <f>VLOOKUP($A44,'01-02.2021'!$A$6:$CZ$403,40,FALSE)+VLOOKUP($A44,'1.3.21-28.2.22'!$A$6:$DA$404,40,FALSE)-VLOOKUP($A44,'01-02.2022'!$A$6:$DA$376,40,FALSE)</f>
        <v>0</v>
      </c>
      <c r="AO44" s="70">
        <f t="shared" si="44"/>
        <v>0</v>
      </c>
      <c r="AP44" s="566">
        <f>VLOOKUP($A44,'01-02.2021'!$A$6:$CZ$403,42,FALSE)+VLOOKUP($A44,'1.3.21-28.2.22'!$A$6:$DA$404,42,FALSE)-VLOOKUP($A44,'01-02.2022'!$A$6:$DA$376,42,FALSE)</f>
        <v>2342.5196625574986</v>
      </c>
      <c r="AQ44" s="566">
        <f>VLOOKUP($A44,'01-02.2021'!$A$6:$CZ$403,43,FALSE)+VLOOKUP($A44,'1.3.21-28.2.22'!$A$6:$DA$404,43,FALSE)-VLOOKUP($A44,'01-02.2022'!$A$6:$DA$376,43,FALSE)</f>
        <v>1823.5610694508046</v>
      </c>
      <c r="AR44" s="70">
        <f t="shared" si="45"/>
        <v>-518.95859310669402</v>
      </c>
      <c r="AS44" s="566">
        <f>VLOOKUP($A44,'01-02.2021'!$A$6:$CZ$403,45,FALSE)+VLOOKUP($A44,'1.3.21-28.2.22'!$A$6:$DA$404,45,FALSE)-VLOOKUP($A44,'01-02.2022'!$A$6:$DA$376,45,FALSE)</f>
        <v>10378.549062273858</v>
      </c>
      <c r="AT44" s="566">
        <f>VLOOKUP($A44,'01-02.2021'!$A$6:$CZ$403,46,FALSE)+VLOOKUP($A44,'1.3.21-28.2.22'!$A$6:$DA$404,46,FALSE)-VLOOKUP($A44,'01-02.2022'!$A$6:$DA$376,46,FALSE)</f>
        <v>0</v>
      </c>
      <c r="AU44" s="78">
        <f t="shared" si="46"/>
        <v>-10378.549062273858</v>
      </c>
      <c r="AV44" s="566">
        <f>VLOOKUP($A44,'01-02.2021'!$A$6:$CZ$403,48,FALSE)+VLOOKUP($A44,'1.3.21-28.2.22'!$A$6:$DA$404,48,FALSE)-VLOOKUP($A44,'01-02.2022'!$A$6:$DA$376,48,FALSE)</f>
        <v>1252.9750910047239</v>
      </c>
      <c r="AW44" s="566">
        <f>VLOOKUP($A44,'01-02.2021'!$A$6:$CZ$403,49,FALSE)+VLOOKUP($A44,'1.3.21-28.2.22'!$A$6:$DA$404,49,FALSE)-VLOOKUP($A44,'01-02.2022'!$A$6:$DA$376,49,FALSE)</f>
        <v>0</v>
      </c>
      <c r="AX44" s="55">
        <f t="shared" si="47"/>
        <v>-1252.9750910047239</v>
      </c>
      <c r="AY44" s="566">
        <f>VLOOKUP($A44,'01-02.2021'!$A$6:$CZ$403,51,FALSE)+VLOOKUP($A44,'1.3.21-28.2.22'!$A$6:$DA$404,51,FALSE)-VLOOKUP($A44,'01-02.2022'!$A$6:$DA$376,51,FALSE)</f>
        <v>1646.198165418843</v>
      </c>
      <c r="AZ44" s="566">
        <f>VLOOKUP($A44,'01-02.2021'!$A$6:$CZ$403,52,FALSE)+VLOOKUP($A44,'1.3.21-28.2.22'!$A$6:$DA$404,52,FALSE)-VLOOKUP($A44,'01-02.2022'!$A$6:$DA$376,52,FALSE)</f>
        <v>0</v>
      </c>
      <c r="BA44" s="38">
        <f t="shared" si="48"/>
        <v>-1646.198165418843</v>
      </c>
      <c r="BB44" s="566">
        <f>VLOOKUP($A44,'01-02.2021'!$A$6:$CZ$403,54,FALSE)+VLOOKUP($A44,'1.3.21-28.2.22'!$A$6:$DA$404,54,FALSE)-VLOOKUP($A44,'01-02.2022'!$A$6:$DA$376,54,FALSE)</f>
        <v>668.3023735649391</v>
      </c>
      <c r="BC44" s="566">
        <f>VLOOKUP($A44,'01-02.2021'!$A$6:$CZ$403,55,FALSE)+VLOOKUP($A44,'1.3.21-28.2.22'!$A$6:$DA$404,55,FALSE)-VLOOKUP($A44,'01-02.2022'!$A$6:$DA$376,55,FALSE)</f>
        <v>0</v>
      </c>
      <c r="BD44" s="55">
        <f t="shared" si="49"/>
        <v>-668.3023735649391</v>
      </c>
      <c r="BE44" s="566">
        <f>VLOOKUP($A44,'01-02.2021'!$A$6:$CZ$403,57,FALSE)+VLOOKUP($A44,'1.3.21-28.2.22'!$A$6:$DA$404,57,FALSE)-VLOOKUP($A44,'01-02.2022'!$A$6:$DA$376,57,FALSE)</f>
        <v>0</v>
      </c>
      <c r="BF44" s="566">
        <f>VLOOKUP($A44,'01-02.2021'!$A$6:$CZ$403,58,FALSE)+VLOOKUP($A44,'1.3.21-28.2.22'!$A$6:$DA$404,58,FALSE)-VLOOKUP($A44,'01-02.2022'!$A$6:$DA$376,58,FALSE)</f>
        <v>0</v>
      </c>
      <c r="BG44" s="55">
        <f t="shared" si="50"/>
        <v>0</v>
      </c>
      <c r="BH44" s="566">
        <f>VLOOKUP($A44,'01-02.2021'!$A$6:$CZ$403,60,FALSE)+VLOOKUP($A44,'1.3.21-28.2.22'!$A$6:$DA$404,60,FALSE)-VLOOKUP($A44,'01-02.2022'!$A$6:$DA$376,60,FALSE)</f>
        <v>0</v>
      </c>
      <c r="BI44" s="566">
        <f>VLOOKUP($A44,'01-02.2021'!$A$6:$CZ$403,61,FALSE)+VLOOKUP($A44,'1.3.21-28.2.22'!$A$6:$DA$404,61,FALSE)-VLOOKUP($A44,'01-02.2022'!$A$6:$DA$376,61,FALSE)</f>
        <v>0</v>
      </c>
      <c r="BJ44" s="55">
        <f t="shared" si="51"/>
        <v>0</v>
      </c>
      <c r="BK44" s="566">
        <f>VLOOKUP($A44,'01-02.2021'!$A$6:$CZ$403,63,FALSE)+VLOOKUP($A44,'1.3.21-28.2.22'!$A$6:$DA$404,63,FALSE)-VLOOKUP($A44,'01-02.2022'!$A$6:$DA$376,63,FALSE)</f>
        <v>584.11335930041139</v>
      </c>
      <c r="BL44" s="566">
        <f>VLOOKUP($A44,'01-02.2021'!$A$6:$CZ$403,64,FALSE)+VLOOKUP($A44,'1.3.21-28.2.22'!$A$6:$DA$404,64,FALSE)-VLOOKUP($A44,'01-02.2022'!$A$6:$DA$376,64,FALSE)</f>
        <v>0</v>
      </c>
      <c r="BM44" s="55">
        <f t="shared" si="52"/>
        <v>-584.11335930041139</v>
      </c>
      <c r="BN44" s="566">
        <f>VLOOKUP($A44,'01-02.2021'!$A$6:$CZ$403,66,FALSE)+VLOOKUP($A44,'1.3.21-28.2.22'!$A$6:$DA$404,66,FALSE)-VLOOKUP($A44,'01-02.2022'!$A$6:$DA$376,66,FALSE)</f>
        <v>58.880499999999998</v>
      </c>
      <c r="BO44" s="566">
        <f>VLOOKUP($A44,'01-02.2021'!$A$6:$CZ$403,67,FALSE)+VLOOKUP($A44,'1.3.21-28.2.22'!$A$6:$DA$404,67,FALSE)-VLOOKUP($A44,'01-02.2022'!$A$6:$DA$376,67,FALSE)</f>
        <v>0</v>
      </c>
      <c r="BP44" s="55">
        <f t="shared" si="53"/>
        <v>-58.880499999999998</v>
      </c>
      <c r="BQ44" s="77">
        <f t="shared" si="79"/>
        <v>4210.4694892889174</v>
      </c>
      <c r="BR44" s="40">
        <f t="shared" si="80"/>
        <v>0</v>
      </c>
      <c r="BS44" s="55">
        <f t="shared" si="70"/>
        <v>-4210.4694892889174</v>
      </c>
      <c r="BT44" s="566">
        <f>VLOOKUP($A44,'01-02.2021'!$A$6:$CZ$403,72,FALSE)+VLOOKUP($A44,'1.3.21-28.2.22'!$A$6:$DA$404,72,FALSE)-VLOOKUP($A44,'01-02.2022'!$A$6:$DA$376,72,FALSE)</f>
        <v>19039.899302085421</v>
      </c>
      <c r="BU44" s="566">
        <f>VLOOKUP($A44,'01-02.2021'!$A$6:$CZ$403,73,FALSE)+VLOOKUP($A44,'1.3.21-28.2.22'!$A$6:$DA$404,73,FALSE)-VLOOKUP($A44,'01-02.2022'!$A$6:$DA$376,73,FALSE)</f>
        <v>20155.748896181412</v>
      </c>
      <c r="BV44" s="70">
        <f t="shared" si="54"/>
        <v>1115.8495940959911</v>
      </c>
      <c r="BW44" s="566">
        <f>VLOOKUP($A44,'01-02.2021'!$A$6:$CZ$403,75,FALSE)+VLOOKUP($A44,'1.3.21-28.2.22'!$A$6:$DA$404,75,FALSE)-VLOOKUP($A44,'01-02.2022'!$A$6:$DA$376,75,FALSE)</f>
        <v>6769.9112090862718</v>
      </c>
      <c r="BX44" s="566">
        <f>VLOOKUP($A44,'01-02.2021'!$A$6:$CZ$403,76,FALSE)+VLOOKUP($A44,'1.3.21-28.2.22'!$A$6:$DA$404,76,FALSE)-VLOOKUP($A44,'01-02.2022'!$A$6:$DA$376,76,FALSE)</f>
        <v>6437.7810121185375</v>
      </c>
      <c r="BY44" s="70">
        <f t="shared" si="55"/>
        <v>-332.13019696773426</v>
      </c>
      <c r="BZ44" s="566">
        <f>VLOOKUP($A44,'01-02.2021'!$A$6:$CZ$403,78,FALSE)+VLOOKUP($A44,'1.3.21-28.2.22'!$A$6:$DA$404,78,FALSE)-VLOOKUP($A44,'01-02.2022'!$A$6:$DA$376,78,FALSE)</f>
        <v>5609.4357497395158</v>
      </c>
      <c r="CA44" s="566">
        <f>VLOOKUP($A44,'01-02.2021'!$A$6:$CZ$403,79,FALSE)+VLOOKUP($A44,'1.3.21-28.2.22'!$A$6:$DA$404,79,FALSE)-VLOOKUP($A44,'01-02.2022'!$A$6:$DA$376,79,FALSE)</f>
        <v>4998.0977285459421</v>
      </c>
      <c r="CB44" s="70">
        <f t="shared" si="56"/>
        <v>-611.3380211935737</v>
      </c>
      <c r="CC44" s="566">
        <f>VLOOKUP($A44,'01-02.2021'!$A$6:$CZ$403,81,FALSE)+VLOOKUP($A44,'1.3.21-28.2.22'!$A$6:$DA$404,81,FALSE)-VLOOKUP($A44,'01-02.2022'!$A$6:$DA$376,81,FALSE)</f>
        <v>261.73321371677594</v>
      </c>
      <c r="CD44" s="566">
        <f>VLOOKUP($A44,'01-02.2021'!$A$6:$CZ$403,82,FALSE)+VLOOKUP($A44,'1.3.21-28.2.22'!$A$6:$DA$404,82,FALSE)-VLOOKUP($A44,'01-02.2022'!$A$6:$DA$376,82,FALSE)</f>
        <v>286.07257557722687</v>
      </c>
      <c r="CE44" s="70">
        <f t="shared" si="57"/>
        <v>24.339361860450936</v>
      </c>
      <c r="CF44" s="566">
        <f>VLOOKUP($A44,'01-02.2021'!$A$6:$CZ$403,84,FALSE)+VLOOKUP($A44,'1.3.21-28.2.22'!$A$6:$DA$404,84,FALSE)-VLOOKUP($A44,'01-02.2022'!$A$6:$DA$376,84,FALSE)</f>
        <v>31.819063586582274</v>
      </c>
      <c r="CG44" s="566">
        <f>VLOOKUP($A44,'01-02.2021'!$A$6:$CZ$403,85,FALSE)+VLOOKUP($A44,'1.3.21-28.2.22'!$A$6:$DA$404,85,FALSE)-VLOOKUP($A44,'01-02.2022'!$A$6:$DA$376,85,FALSE)</f>
        <v>0</v>
      </c>
      <c r="CH44" s="70">
        <f t="shared" si="58"/>
        <v>-31.819063586582274</v>
      </c>
      <c r="CI44" s="566">
        <f>VLOOKUP($A44,'01-02.2021'!$A$6:$CZ$403,87,FALSE)+VLOOKUP($A44,'1.3.21-28.2.22'!$A$6:$DA$404,87,FALSE)-VLOOKUP($A44,'01-02.2022'!$A$6:$DA$376,87,FALSE)</f>
        <v>2931.8963402975887</v>
      </c>
      <c r="CJ44" s="566">
        <f>VLOOKUP($A44,'01-02.2021'!$A$6:$CZ$403,88,FALSE)+VLOOKUP($A44,'1.3.21-28.2.22'!$A$6:$DA$404,88,FALSE)-VLOOKUP($A44,'01-02.2022'!$A$6:$DA$376,88,FALSE)</f>
        <v>2254.5899634862071</v>
      </c>
      <c r="CK44" s="70">
        <f t="shared" si="59"/>
        <v>-677.3063768113816</v>
      </c>
      <c r="CL44" s="566">
        <f>VLOOKUP($A44,'01-02.2021'!$A$6:$CZ$403,90,FALSE)+VLOOKUP($A44,'1.3.21-28.2.22'!$A$6:$DA$404,90,FALSE)-VLOOKUP($A44,'01-02.2022'!$A$6:$DA$376,90,FALSE)</f>
        <v>0</v>
      </c>
      <c r="CM44" s="566">
        <f>VLOOKUP($A44,'01-02.2021'!$A$6:$CZ$403,91,FALSE)+VLOOKUP($A44,'1.3.21-28.2.22'!$A$6:$DA$404,91,FALSE)-VLOOKUP($A44,'01-02.2022'!$A$6:$DA$376,91,FALSE)</f>
        <v>0</v>
      </c>
      <c r="CN44" s="52">
        <f t="shared" si="60"/>
        <v>0</v>
      </c>
      <c r="CO44" s="39">
        <f t="shared" si="27"/>
        <v>2931.8963402975887</v>
      </c>
      <c r="CP44" s="40">
        <f t="shared" si="61"/>
        <v>2254.5899634862071</v>
      </c>
      <c r="CQ44" s="52">
        <f t="shared" si="62"/>
        <v>-677.3063768113816</v>
      </c>
      <c r="CR44" s="72">
        <f t="shared" si="28"/>
        <v>65858.401164149196</v>
      </c>
      <c r="CS44" s="5">
        <f t="shared" si="28"/>
        <v>50807.696549214314</v>
      </c>
      <c r="CT44" s="52">
        <f t="shared" si="63"/>
        <v>-15050.704614934883</v>
      </c>
      <c r="CU44" s="77">
        <f t="shared" si="64"/>
        <v>79030.081396979032</v>
      </c>
      <c r="CV44" s="65">
        <f t="shared" si="65"/>
        <v>60969.235859057175</v>
      </c>
      <c r="CW44" s="35">
        <f t="shared" si="66"/>
        <v>-18060.845537921858</v>
      </c>
      <c r="CX44" s="566">
        <f>VLOOKUP($A44,'01-02.2021'!$A$6:$CZ$403,102,FALSE)+VLOOKUP($A44,'1.3.21-28.2.22'!$A$6:$DA$404,102,FALSE)-VLOOKUP($A44,'01-02.2022'!$A$6:$DA$376,102,FALSE)</f>
        <v>2761.0745207888654</v>
      </c>
      <c r="CY44" s="566">
        <f>VLOOKUP($A44,'01-02.2021'!$A$6:$CZ$403,103,FALSE)+VLOOKUP($A44,'1.3.21-28.2.22'!$A$6:$DA$404,103,FALSE)-VLOOKUP($A44,'01-02.2022'!$A$6:$DA$376,103,FALSE)</f>
        <v>20821.920058710723</v>
      </c>
      <c r="CZ44" s="52">
        <f t="shared" si="67"/>
        <v>18060.845537921858</v>
      </c>
      <c r="DA44" s="150">
        <f>'[2]побудинковий звіт'!DA44</f>
        <v>-5377.8659454469234</v>
      </c>
      <c r="DB44" s="2">
        <v>2</v>
      </c>
      <c r="DC44" s="414">
        <f>'[4]побудинковий звіт'!DC44</f>
        <v>45283.95</v>
      </c>
      <c r="DD44" s="414">
        <f>'[4]побудинковий звіт'!DD44</f>
        <v>4355.08</v>
      </c>
      <c r="DE44" s="557">
        <f>'[4]побудинковий звіт'!DE44</f>
        <v>39220.437540675935</v>
      </c>
      <c r="DF44" s="557">
        <f>'[4]побудинковий звіт'!DF44</f>
        <v>3015.564919508899</v>
      </c>
      <c r="DG44" s="321">
        <f>VLOOKUP(A44,'кошти 01.03.2021'!$A$6:$D$401,4,)</f>
        <v>15071.403375342321</v>
      </c>
      <c r="DH44" s="40">
        <f>'[3]побудинковий звіт'!DJ44</f>
        <v>84565.750977434232</v>
      </c>
      <c r="DI44" s="422">
        <f>'[3]побудинковий звіт'!CU44+'[3]побудинковий звіт'!CX44</f>
        <v>7403.027539815158</v>
      </c>
      <c r="DJ44" s="306">
        <f>'[3]побудинковий звіт'!DM44</f>
        <v>6.4919833611606617</v>
      </c>
      <c r="DK44" s="306">
        <f t="shared" si="76"/>
        <v>6.4919833611606617</v>
      </c>
      <c r="DL44" s="306">
        <f>'[3]побудинковий звіт'!DO44</f>
        <v>5.6091247455764019</v>
      </c>
      <c r="DM44" s="28">
        <f t="shared" si="77"/>
        <v>6063.512459324058</v>
      </c>
      <c r="DN44" s="28">
        <f t="shared" si="78"/>
        <v>1339.5150804911007</v>
      </c>
      <c r="DO44" s="423">
        <f t="shared" si="29"/>
        <v>7403.0275398151589</v>
      </c>
      <c r="DP44" s="94">
        <f t="shared" si="30"/>
        <v>0</v>
      </c>
      <c r="DQ44" s="28">
        <f t="shared" si="31"/>
        <v>7403.0275398151589</v>
      </c>
      <c r="DR44" s="318"/>
      <c r="DT44" s="8"/>
      <c r="DU44" s="5"/>
      <c r="DX44" s="5">
        <f t="shared" si="32"/>
        <v>17506.822261875328</v>
      </c>
      <c r="DY44" s="5">
        <f t="shared" si="33"/>
        <v>0</v>
      </c>
      <c r="DZ44" s="159">
        <f>'[3]побудинковий звіт'!EA44</f>
        <v>1637.0193977344718</v>
      </c>
    </row>
    <row r="45" spans="1:130" x14ac:dyDescent="0.3">
      <c r="A45" s="325">
        <v>150000967</v>
      </c>
      <c r="B45" s="41" t="s">
        <v>494</v>
      </c>
      <c r="C45" s="42" t="s">
        <v>206</v>
      </c>
      <c r="D45" s="42"/>
      <c r="E45" s="293">
        <f t="shared" si="23"/>
        <v>1448.3</v>
      </c>
      <c r="F45" s="305">
        <f>'[3]побудинковий звіт'!F45</f>
        <v>1264.5999999999999</v>
      </c>
      <c r="G45" s="508">
        <f>'[3]побудинковий звіт'!G45</f>
        <v>0</v>
      </c>
      <c r="H45" s="560">
        <f>'[3]побудинковий звіт'!H45</f>
        <v>183.7</v>
      </c>
      <c r="I45" s="566">
        <f>VLOOKUP($A45,'01-02.2021'!$A$6:$CZ$403,9,FALSE)+VLOOKUP($A45,'1.3.21-28.2.22'!$A$6:$DA$404,9,FALSE)-VLOOKUP($A45,'01-02.2022'!$A$6:$DA$376,9,FALSE)</f>
        <v>4890.3811499977801</v>
      </c>
      <c r="J45" s="566">
        <f>VLOOKUP($A45,'01-02.2021'!$A$6:$CZ$403,10,FALSE)+VLOOKUP($A45,'1.3.21-28.2.22'!$A$6:$DA$404,10,FALSE)-VLOOKUP($A45,'01-02.2022'!$A$6:$DA$376,10,FALSE)</f>
        <v>5367.7216299001338</v>
      </c>
      <c r="K45" s="52">
        <f t="shared" si="34"/>
        <v>477.34047990235376</v>
      </c>
      <c r="L45" s="566">
        <f>VLOOKUP($A45,'01-02.2021'!$A$6:$CZ$403,12,FALSE)+VLOOKUP($A45,'1.3.21-28.2.22'!$A$6:$DA$404,12,FALSE)-VLOOKUP($A45,'01-02.2022'!$A$6:$DA$376,12,FALSE)</f>
        <v>904.4195702717268</v>
      </c>
      <c r="M45" s="566">
        <f>VLOOKUP($A45,'01-02.2021'!$A$6:$CZ$403,13,FALSE)+VLOOKUP($A45,'1.3.21-28.2.22'!$A$6:$DA$404,13,FALSE)-VLOOKUP($A45,'01-02.2022'!$A$6:$DA$376,13,FALSE)</f>
        <v>995.80301645997588</v>
      </c>
      <c r="N45" s="52">
        <f t="shared" si="35"/>
        <v>91.383446188249081</v>
      </c>
      <c r="O45" s="566">
        <f>VLOOKUP($A45,'01-02.2021'!$A$6:$CZ$403,15,FALSE)+VLOOKUP($A45,'1.3.21-28.2.22'!$A$6:$DA$404,15,FALSE)-VLOOKUP($A45,'01-02.2022'!$A$6:$DA$376,15,FALSE)</f>
        <v>1879.1489464242411</v>
      </c>
      <c r="P45" s="566">
        <f>VLOOKUP($A45,'01-02.2021'!$A$6:$CZ$403,16,FALSE)+VLOOKUP($A45,'1.3.21-28.2.22'!$A$6:$DA$404,16,FALSE)-VLOOKUP($A45,'01-02.2022'!$A$6:$DA$376,16,FALSE)</f>
        <v>1879.1599999999996</v>
      </c>
      <c r="Q45" s="70">
        <f t="shared" si="36"/>
        <v>1.1053575758523948E-2</v>
      </c>
      <c r="R45" s="566">
        <f>VLOOKUP($A45,'01-02.2021'!$A$6:$CZ$403,18,FALSE)+VLOOKUP($A45,'1.3.21-28.2.22'!$A$6:$DA$404,18,FALSE)-VLOOKUP($A45,'01-02.2022'!$A$6:$DA$376,18,FALSE)</f>
        <v>0</v>
      </c>
      <c r="S45" s="566">
        <f>VLOOKUP($A45,'01-02.2021'!$A$6:$CZ$403,19,FALSE)+VLOOKUP($A45,'1.3.21-28.2.22'!$A$6:$DA$404,19,FALSE)-VLOOKUP($A45,'01-02.2022'!$A$6:$DA$376,19,FALSE)</f>
        <v>0</v>
      </c>
      <c r="T45" s="70">
        <f t="shared" si="37"/>
        <v>0</v>
      </c>
      <c r="U45" s="566">
        <f>VLOOKUP($A45,'01-02.2021'!$A$6:$CZ$403,21,FALSE)+VLOOKUP($A45,'1.3.21-28.2.22'!$A$6:$DA$404,21,FALSE)-VLOOKUP($A45,'01-02.2022'!$A$6:$DA$376,21,FALSE)</f>
        <v>0</v>
      </c>
      <c r="V45" s="566">
        <f>VLOOKUP($A45,'01-02.2021'!$A$6:$CZ$403,22,FALSE)+VLOOKUP($A45,'1.3.21-28.2.22'!$A$6:$DA$404,22,FALSE)-VLOOKUP($A45,'01-02.2022'!$A$6:$DA$376,22,FALSE)</f>
        <v>0</v>
      </c>
      <c r="W45" s="70">
        <f t="shared" si="38"/>
        <v>0</v>
      </c>
      <c r="X45" s="566">
        <f>VLOOKUP($A45,'01-02.2021'!$A$6:$CZ$403,24,FALSE)+VLOOKUP($A45,'1.3.21-28.2.22'!$A$6:$DA$404,24,FALSE)-VLOOKUP($A45,'01-02.2022'!$A$6:$DA$376,24,FALSE)</f>
        <v>2572.1485048667842</v>
      </c>
      <c r="Y45" s="566">
        <f>VLOOKUP($A45,'01-02.2021'!$A$6:$CZ$403,25,FALSE)+VLOOKUP($A45,'1.3.21-28.2.22'!$A$6:$DA$404,25,FALSE)-VLOOKUP($A45,'01-02.2022'!$A$6:$DA$376,25,FALSE)</f>
        <v>1967.5472083613438</v>
      </c>
      <c r="Z45" s="70">
        <f t="shared" si="39"/>
        <v>-604.60129650544036</v>
      </c>
      <c r="AA45" s="566">
        <f>VLOOKUP($A45,'01-02.2021'!$A$6:$CZ$403,27,FALSE)+VLOOKUP($A45,'1.3.21-28.2.22'!$A$6:$DA$404,27,FALSE)-VLOOKUP($A45,'01-02.2022'!$A$6:$DA$376,27,FALSE)</f>
        <v>298.84000000000003</v>
      </c>
      <c r="AB45" s="566">
        <f>VLOOKUP($A45,'01-02.2021'!$A$6:$CZ$403,28,FALSE)+VLOOKUP($A45,'1.3.21-28.2.22'!$A$6:$DA$404,28,FALSE)-VLOOKUP($A45,'01-02.2022'!$A$6:$DA$376,28,FALSE)</f>
        <v>0</v>
      </c>
      <c r="AC45" s="70">
        <f t="shared" si="40"/>
        <v>-298.84000000000003</v>
      </c>
      <c r="AD45" s="566">
        <f>VLOOKUP($A45,'01-02.2021'!$A$6:$CZ$403,30,FALSE)+VLOOKUP($A45,'1.3.21-28.2.22'!$A$6:$DA$404,30,FALSE)-VLOOKUP($A45,'01-02.2022'!$A$6:$DA$376,30,FALSE)</f>
        <v>6280.9626590745102</v>
      </c>
      <c r="AE45" s="566">
        <f>VLOOKUP($A45,'01-02.2021'!$A$6:$CZ$403,31,FALSE)+VLOOKUP($A45,'1.3.21-28.2.22'!$A$6:$DA$404,31,FALSE)-VLOOKUP($A45,'01-02.2022'!$A$6:$DA$376,31,FALSE)</f>
        <v>6594.3586280753807</v>
      </c>
      <c r="AF45" s="68">
        <f t="shared" si="41"/>
        <v>313.39596900087054</v>
      </c>
      <c r="AG45" s="77">
        <f t="shared" si="24"/>
        <v>16825.900830635044</v>
      </c>
      <c r="AH45" s="53">
        <f t="shared" si="24"/>
        <v>16804.590482796833</v>
      </c>
      <c r="AI45" s="52">
        <f t="shared" si="42"/>
        <v>-21.310347838210873</v>
      </c>
      <c r="AJ45" s="566">
        <f>VLOOKUP($A45,'01-02.2021'!$A$6:$CZ$403,36,FALSE)+VLOOKUP($A45,'1.3.21-28.2.22'!$A$6:$DA$404,36,FALSE)-VLOOKUP($A45,'01-02.2022'!$A$6:$DA$376,36,FALSE)</f>
        <v>0</v>
      </c>
      <c r="AK45" s="566">
        <f>VLOOKUP($A45,'01-02.2021'!$A$6:$CZ$403,37,FALSE)+VLOOKUP($A45,'1.3.21-28.2.22'!$A$6:$DA$404,37,FALSE)-VLOOKUP($A45,'01-02.2022'!$A$6:$DA$376,37,FALSE)</f>
        <v>0</v>
      </c>
      <c r="AL45" s="70">
        <f t="shared" si="43"/>
        <v>0</v>
      </c>
      <c r="AM45" s="566">
        <f>VLOOKUP($A45,'01-02.2021'!$A$6:$CZ$403,39,FALSE)+VLOOKUP($A45,'1.3.21-28.2.22'!$A$6:$DA$404,39,FALSE)-VLOOKUP($A45,'01-02.2022'!$A$6:$DA$376,39,FALSE)</f>
        <v>0</v>
      </c>
      <c r="AN45" s="566">
        <f>VLOOKUP($A45,'01-02.2021'!$A$6:$CZ$403,40,FALSE)+VLOOKUP($A45,'1.3.21-28.2.22'!$A$6:$DA$404,40,FALSE)-VLOOKUP($A45,'01-02.2022'!$A$6:$DA$376,40,FALSE)</f>
        <v>0</v>
      </c>
      <c r="AO45" s="70">
        <f t="shared" si="44"/>
        <v>0</v>
      </c>
      <c r="AP45" s="566">
        <f>VLOOKUP($A45,'01-02.2021'!$A$6:$CZ$403,42,FALSE)+VLOOKUP($A45,'1.3.21-28.2.22'!$A$6:$DA$404,42,FALSE)-VLOOKUP($A45,'01-02.2022'!$A$6:$DA$376,42,FALSE)</f>
        <v>3513.7794938362481</v>
      </c>
      <c r="AQ45" s="566">
        <f>VLOOKUP($A45,'01-02.2021'!$A$6:$CZ$403,43,FALSE)+VLOOKUP($A45,'1.3.21-28.2.22'!$A$6:$DA$404,43,FALSE)-VLOOKUP($A45,'01-02.2022'!$A$6:$DA$376,43,FALSE)</f>
        <v>3069.4746819124784</v>
      </c>
      <c r="AR45" s="70">
        <f t="shared" si="45"/>
        <v>-444.30481192376965</v>
      </c>
      <c r="AS45" s="566">
        <f>VLOOKUP($A45,'01-02.2021'!$A$6:$CZ$403,45,FALSE)+VLOOKUP($A45,'1.3.21-28.2.22'!$A$6:$DA$404,45,FALSE)-VLOOKUP($A45,'01-02.2022'!$A$6:$DA$376,45,FALSE)</f>
        <v>11819.326239393464</v>
      </c>
      <c r="AT45" s="566">
        <f>VLOOKUP($A45,'01-02.2021'!$A$6:$CZ$403,46,FALSE)+VLOOKUP($A45,'1.3.21-28.2.22'!$A$6:$DA$404,46,FALSE)-VLOOKUP($A45,'01-02.2022'!$A$6:$DA$376,46,FALSE)</f>
        <v>355.4620682361948</v>
      </c>
      <c r="AU45" s="78">
        <f t="shared" si="46"/>
        <v>-11463.864171157269</v>
      </c>
      <c r="AV45" s="566">
        <f>VLOOKUP($A45,'01-02.2021'!$A$6:$CZ$403,48,FALSE)+VLOOKUP($A45,'1.3.21-28.2.22'!$A$6:$DA$404,48,FALSE)-VLOOKUP($A45,'01-02.2022'!$A$6:$DA$376,48,FALSE)</f>
        <v>1368.9821181209666</v>
      </c>
      <c r="AW45" s="566">
        <f>VLOOKUP($A45,'01-02.2021'!$A$6:$CZ$403,49,FALSE)+VLOOKUP($A45,'1.3.21-28.2.22'!$A$6:$DA$404,49,FALSE)-VLOOKUP($A45,'01-02.2022'!$A$6:$DA$376,49,FALSE)</f>
        <v>232</v>
      </c>
      <c r="AX45" s="55">
        <f t="shared" si="47"/>
        <v>-1136.9821181209666</v>
      </c>
      <c r="AY45" s="566">
        <f>VLOOKUP($A45,'01-02.2021'!$A$6:$CZ$403,51,FALSE)+VLOOKUP($A45,'1.3.21-28.2.22'!$A$6:$DA$404,51,FALSE)-VLOOKUP($A45,'01-02.2022'!$A$6:$DA$376,51,FALSE)</f>
        <v>1700.1139588370038</v>
      </c>
      <c r="AZ45" s="566">
        <f>VLOOKUP($A45,'01-02.2021'!$A$6:$CZ$403,52,FALSE)+VLOOKUP($A45,'1.3.21-28.2.22'!$A$6:$DA$404,52,FALSE)-VLOOKUP($A45,'01-02.2022'!$A$6:$DA$376,52,FALSE)</f>
        <v>0</v>
      </c>
      <c r="BA45" s="38">
        <f t="shared" si="48"/>
        <v>-1700.1139588370038</v>
      </c>
      <c r="BB45" s="566">
        <f>VLOOKUP($A45,'01-02.2021'!$A$6:$CZ$403,54,FALSE)+VLOOKUP($A45,'1.3.21-28.2.22'!$A$6:$DA$404,54,FALSE)-VLOOKUP($A45,'01-02.2022'!$A$6:$DA$376,54,FALSE)</f>
        <v>939.47181147205185</v>
      </c>
      <c r="BC45" s="566">
        <f>VLOOKUP($A45,'01-02.2021'!$A$6:$CZ$403,55,FALSE)+VLOOKUP($A45,'1.3.21-28.2.22'!$A$6:$DA$404,55,FALSE)-VLOOKUP($A45,'01-02.2022'!$A$6:$DA$376,55,FALSE)</f>
        <v>0</v>
      </c>
      <c r="BD45" s="55">
        <f t="shared" si="49"/>
        <v>-939.47181147205185</v>
      </c>
      <c r="BE45" s="566">
        <f>VLOOKUP($A45,'01-02.2021'!$A$6:$CZ$403,57,FALSE)+VLOOKUP($A45,'1.3.21-28.2.22'!$A$6:$DA$404,57,FALSE)-VLOOKUP($A45,'01-02.2022'!$A$6:$DA$376,57,FALSE)</f>
        <v>0</v>
      </c>
      <c r="BF45" s="566">
        <f>VLOOKUP($A45,'01-02.2021'!$A$6:$CZ$403,58,FALSE)+VLOOKUP($A45,'1.3.21-28.2.22'!$A$6:$DA$404,58,FALSE)-VLOOKUP($A45,'01-02.2022'!$A$6:$DA$376,58,FALSE)</f>
        <v>0</v>
      </c>
      <c r="BG45" s="55">
        <f t="shared" si="50"/>
        <v>0</v>
      </c>
      <c r="BH45" s="566">
        <f>VLOOKUP($A45,'01-02.2021'!$A$6:$CZ$403,60,FALSE)+VLOOKUP($A45,'1.3.21-28.2.22'!$A$6:$DA$404,60,FALSE)-VLOOKUP($A45,'01-02.2022'!$A$6:$DA$376,60,FALSE)</f>
        <v>0</v>
      </c>
      <c r="BI45" s="566">
        <f>VLOOKUP($A45,'01-02.2021'!$A$6:$CZ$403,61,FALSE)+VLOOKUP($A45,'1.3.21-28.2.22'!$A$6:$DA$404,61,FALSE)-VLOOKUP($A45,'01-02.2022'!$A$6:$DA$376,61,FALSE)</f>
        <v>0</v>
      </c>
      <c r="BJ45" s="55">
        <f t="shared" si="51"/>
        <v>0</v>
      </c>
      <c r="BK45" s="566">
        <f>VLOOKUP($A45,'01-02.2021'!$A$6:$CZ$403,63,FALSE)+VLOOKUP($A45,'1.3.21-28.2.22'!$A$6:$DA$404,63,FALSE)-VLOOKUP($A45,'01-02.2022'!$A$6:$DA$376,63,FALSE)</f>
        <v>629.82638253536959</v>
      </c>
      <c r="BL45" s="566">
        <f>VLOOKUP($A45,'01-02.2021'!$A$6:$CZ$403,64,FALSE)+VLOOKUP($A45,'1.3.21-28.2.22'!$A$6:$DA$404,64,FALSE)-VLOOKUP($A45,'01-02.2022'!$A$6:$DA$376,64,FALSE)</f>
        <v>0</v>
      </c>
      <c r="BM45" s="55">
        <f t="shared" si="52"/>
        <v>-629.82638253536959</v>
      </c>
      <c r="BN45" s="566">
        <f>VLOOKUP($A45,'01-02.2021'!$A$6:$CZ$403,66,FALSE)+VLOOKUP($A45,'1.3.21-28.2.22'!$A$6:$DA$404,66,FALSE)-VLOOKUP($A45,'01-02.2022'!$A$6:$DA$376,66,FALSE)</f>
        <v>74.710000000000008</v>
      </c>
      <c r="BO45" s="566">
        <f>VLOOKUP($A45,'01-02.2021'!$A$6:$CZ$403,67,FALSE)+VLOOKUP($A45,'1.3.21-28.2.22'!$A$6:$DA$404,67,FALSE)-VLOOKUP($A45,'01-02.2022'!$A$6:$DA$376,67,FALSE)</f>
        <v>0</v>
      </c>
      <c r="BP45" s="55">
        <f t="shared" si="53"/>
        <v>-74.710000000000008</v>
      </c>
      <c r="BQ45" s="77">
        <f t="shared" si="79"/>
        <v>4713.1042709653921</v>
      </c>
      <c r="BR45" s="40">
        <f t="shared" si="80"/>
        <v>232</v>
      </c>
      <c r="BS45" s="55">
        <f t="shared" si="70"/>
        <v>-4481.1042709653921</v>
      </c>
      <c r="BT45" s="566">
        <f>VLOOKUP($A45,'01-02.2021'!$A$6:$CZ$403,72,FALSE)+VLOOKUP($A45,'1.3.21-28.2.22'!$A$6:$DA$404,72,FALSE)-VLOOKUP($A45,'01-02.2022'!$A$6:$DA$376,72,FALSE)</f>
        <v>23785.580467564334</v>
      </c>
      <c r="BU45" s="566">
        <f>VLOOKUP($A45,'01-02.2021'!$A$6:$CZ$403,73,FALSE)+VLOOKUP($A45,'1.3.21-28.2.22'!$A$6:$DA$404,73,FALSE)-VLOOKUP($A45,'01-02.2022'!$A$6:$DA$376,73,FALSE)</f>
        <v>28715.186076726266</v>
      </c>
      <c r="BV45" s="70">
        <f t="shared" si="54"/>
        <v>4929.6056091619321</v>
      </c>
      <c r="BW45" s="566">
        <f>VLOOKUP($A45,'01-02.2021'!$A$6:$CZ$403,75,FALSE)+VLOOKUP($A45,'1.3.21-28.2.22'!$A$6:$DA$404,75,FALSE)-VLOOKUP($A45,'01-02.2022'!$A$6:$DA$376,75,FALSE)</f>
        <v>7569.907593870973</v>
      </c>
      <c r="BX45" s="566">
        <f>VLOOKUP($A45,'01-02.2021'!$A$6:$CZ$403,76,FALSE)+VLOOKUP($A45,'1.3.21-28.2.22'!$A$6:$DA$404,76,FALSE)-VLOOKUP($A45,'01-02.2022'!$A$6:$DA$376,76,FALSE)</f>
        <v>8092.835292453321</v>
      </c>
      <c r="BY45" s="70">
        <f t="shared" si="55"/>
        <v>522.92769858234806</v>
      </c>
      <c r="BZ45" s="566">
        <f>VLOOKUP($A45,'01-02.2021'!$A$6:$CZ$403,78,FALSE)+VLOOKUP($A45,'1.3.21-28.2.22'!$A$6:$DA$404,78,FALSE)-VLOOKUP($A45,'01-02.2022'!$A$6:$DA$376,78,FALSE)</f>
        <v>10212.311072412067</v>
      </c>
      <c r="CA45" s="566">
        <f>VLOOKUP($A45,'01-02.2021'!$A$6:$CZ$403,79,FALSE)+VLOOKUP($A45,'1.3.21-28.2.22'!$A$6:$DA$404,79,FALSE)-VLOOKUP($A45,'01-02.2022'!$A$6:$DA$376,79,FALSE)</f>
        <v>6037.293827260849</v>
      </c>
      <c r="CB45" s="70">
        <f t="shared" si="56"/>
        <v>-4175.017245151218</v>
      </c>
      <c r="CC45" s="566">
        <f>VLOOKUP($A45,'01-02.2021'!$A$6:$CZ$403,81,FALSE)+VLOOKUP($A45,'1.3.21-28.2.22'!$A$6:$DA$404,81,FALSE)-VLOOKUP($A45,'01-02.2022'!$A$6:$DA$376,81,FALSE)</f>
        <v>822.5901002527246</v>
      </c>
      <c r="CD45" s="566">
        <f>VLOOKUP($A45,'01-02.2021'!$A$6:$CZ$403,82,FALSE)+VLOOKUP($A45,'1.3.21-28.2.22'!$A$6:$DA$404,82,FALSE)-VLOOKUP($A45,'01-02.2022'!$A$6:$DA$376,82,FALSE)</f>
        <v>899.08523752842757</v>
      </c>
      <c r="CE45" s="70">
        <f t="shared" si="57"/>
        <v>76.495137275702973</v>
      </c>
      <c r="CF45" s="566">
        <f>VLOOKUP($A45,'01-02.2021'!$A$6:$CZ$403,84,FALSE)+VLOOKUP($A45,'1.3.21-28.2.22'!$A$6:$DA$404,84,FALSE)-VLOOKUP($A45,'01-02.2022'!$A$6:$DA$376,84,FALSE)</f>
        <v>100.00277127211572</v>
      </c>
      <c r="CG45" s="566">
        <f>VLOOKUP($A45,'01-02.2021'!$A$6:$CZ$403,85,FALSE)+VLOOKUP($A45,'1.3.21-28.2.22'!$A$6:$DA$404,85,FALSE)-VLOOKUP($A45,'01-02.2022'!$A$6:$DA$376,85,FALSE)</f>
        <v>554.44574346276681</v>
      </c>
      <c r="CH45" s="70">
        <f t="shared" si="58"/>
        <v>454.44297219065106</v>
      </c>
      <c r="CI45" s="566">
        <f>VLOOKUP($A45,'01-02.2021'!$A$6:$CZ$403,87,FALSE)+VLOOKUP($A45,'1.3.21-28.2.22'!$A$6:$DA$404,87,FALSE)-VLOOKUP($A45,'01-02.2022'!$A$6:$DA$376,87,FALSE)</f>
        <v>2775.9179949971567</v>
      </c>
      <c r="CJ45" s="566">
        <f>VLOOKUP($A45,'01-02.2021'!$A$6:$CZ$403,88,FALSE)+VLOOKUP($A45,'1.3.21-28.2.22'!$A$6:$DA$404,88,FALSE)-VLOOKUP($A45,'01-02.2022'!$A$6:$DA$376,88,FALSE)</f>
        <v>1343.5659312291032</v>
      </c>
      <c r="CK45" s="70">
        <f t="shared" si="59"/>
        <v>-1432.3520637680535</v>
      </c>
      <c r="CL45" s="566">
        <f>VLOOKUP($A45,'01-02.2021'!$A$6:$CZ$403,90,FALSE)+VLOOKUP($A45,'1.3.21-28.2.22'!$A$6:$DA$404,90,FALSE)-VLOOKUP($A45,'01-02.2022'!$A$6:$DA$376,90,FALSE)</f>
        <v>0</v>
      </c>
      <c r="CM45" s="566">
        <f>VLOOKUP($A45,'01-02.2021'!$A$6:$CZ$403,91,FALSE)+VLOOKUP($A45,'1.3.21-28.2.22'!$A$6:$DA$404,91,FALSE)-VLOOKUP($A45,'01-02.2022'!$A$6:$DA$376,91,FALSE)</f>
        <v>0</v>
      </c>
      <c r="CN45" s="52">
        <f t="shared" si="60"/>
        <v>0</v>
      </c>
      <c r="CO45" s="39">
        <f t="shared" si="27"/>
        <v>2775.9179949971567</v>
      </c>
      <c r="CP45" s="40">
        <f t="shared" si="61"/>
        <v>1343.5659312291032</v>
      </c>
      <c r="CQ45" s="52">
        <f t="shared" si="62"/>
        <v>-1432.3520637680535</v>
      </c>
      <c r="CR45" s="72">
        <f t="shared" si="28"/>
        <v>82138.420835199518</v>
      </c>
      <c r="CS45" s="5">
        <f t="shared" si="28"/>
        <v>66103.939341606252</v>
      </c>
      <c r="CT45" s="52">
        <f t="shared" si="63"/>
        <v>-16034.481493593266</v>
      </c>
      <c r="CU45" s="77">
        <f t="shared" si="64"/>
        <v>98566.105002239419</v>
      </c>
      <c r="CV45" s="65">
        <f t="shared" si="65"/>
        <v>79324.7272099275</v>
      </c>
      <c r="CW45" s="35">
        <f t="shared" si="66"/>
        <v>-19241.37779231192</v>
      </c>
      <c r="CX45" s="566">
        <f>VLOOKUP($A45,'01-02.2021'!$A$6:$CZ$403,102,FALSE)+VLOOKUP($A45,'1.3.21-28.2.22'!$A$6:$DA$404,102,FALSE)-VLOOKUP($A45,'01-02.2022'!$A$6:$DA$376,102,FALSE)</f>
        <v>1863.5515446447087</v>
      </c>
      <c r="CY45" s="566">
        <f>VLOOKUP($A45,'01-02.2021'!$A$6:$CZ$403,103,FALSE)+VLOOKUP($A45,'1.3.21-28.2.22'!$A$6:$DA$404,103,FALSE)-VLOOKUP($A45,'01-02.2022'!$A$6:$DA$376,103,FALSE)</f>
        <v>21104.929336956615</v>
      </c>
      <c r="CZ45" s="52">
        <f t="shared" si="67"/>
        <v>19241.377792311905</v>
      </c>
      <c r="DA45" s="150">
        <f>'[2]побудинковий звіт'!DA45</f>
        <v>30205.57583265318</v>
      </c>
      <c r="DB45" s="2">
        <v>2</v>
      </c>
      <c r="DC45" s="414">
        <f>'[4]побудинковий звіт'!DC45</f>
        <v>11767.39</v>
      </c>
      <c r="DD45" s="414">
        <f>'[4]побудинковий звіт'!DD45</f>
        <v>8757.58</v>
      </c>
      <c r="DE45" s="557">
        <f>'[4]побудинковий звіт'!DE45</f>
        <v>3779.4672809215881</v>
      </c>
      <c r="DF45" s="557">
        <f>'[4]побудинковий звіт'!DF45</f>
        <v>7727.661422794894</v>
      </c>
      <c r="DG45" s="321">
        <f>VLOOKUP(A45,'кошти 01.03.2021'!$A$6:$D$401,4,)</f>
        <v>50031.850301439204</v>
      </c>
      <c r="DH45" s="40">
        <f>'[3]побудинковий звіт'!DJ45</f>
        <v>103489.31743659984</v>
      </c>
      <c r="DI45" s="422">
        <f>'[3]побудинковий звіт'!CU45+'[3]побудинковий звіт'!CX45</f>
        <v>9017.8412962835191</v>
      </c>
      <c r="DJ45" s="306">
        <f>'[3]побудинковий звіт'!DM45</f>
        <v>6.3165607457523425</v>
      </c>
      <c r="DK45" s="306">
        <f t="shared" si="76"/>
        <v>6.3165607457523425</v>
      </c>
      <c r="DL45" s="306">
        <f>'[3]побудинковий звіт'!DO45</f>
        <v>5.606524644556921</v>
      </c>
      <c r="DM45" s="28">
        <f t="shared" si="77"/>
        <v>7987.9227190784113</v>
      </c>
      <c r="DN45" s="28">
        <f t="shared" si="78"/>
        <v>1029.9185772051064</v>
      </c>
      <c r="DO45" s="423">
        <f t="shared" si="29"/>
        <v>9017.8412962835173</v>
      </c>
      <c r="DP45" s="94">
        <f t="shared" si="30"/>
        <v>0</v>
      </c>
      <c r="DQ45" s="28">
        <f t="shared" si="31"/>
        <v>9017.8412962835173</v>
      </c>
      <c r="DR45" s="318"/>
      <c r="DT45" s="8"/>
      <c r="DU45" s="5"/>
      <c r="DX45" s="5">
        <f t="shared" si="32"/>
        <v>19838.916612430625</v>
      </c>
      <c r="DY45" s="5">
        <f t="shared" si="33"/>
        <v>704.95448188343369</v>
      </c>
      <c r="DZ45" s="159">
        <f>'[3]побудинковий звіт'!EA45</f>
        <v>1669.9003451585202</v>
      </c>
    </row>
    <row r="46" spans="1:130" x14ac:dyDescent="0.3">
      <c r="A46" s="325">
        <v>150000968</v>
      </c>
      <c r="B46" s="41" t="s">
        <v>495</v>
      </c>
      <c r="C46" s="42" t="s">
        <v>245</v>
      </c>
      <c r="D46" s="42"/>
      <c r="E46" s="293">
        <f t="shared" si="23"/>
        <v>2117.4</v>
      </c>
      <c r="F46" s="305">
        <f>'[3]побудинковий звіт'!F46</f>
        <v>1759.4</v>
      </c>
      <c r="G46" s="508">
        <f>'[3]побудинковий звіт'!G46</f>
        <v>0</v>
      </c>
      <c r="H46" s="560">
        <f>'[3]побудинковий звіт'!H46</f>
        <v>358</v>
      </c>
      <c r="I46" s="566">
        <f>VLOOKUP($A46,'01-02.2021'!$A$6:$CZ$403,9,FALSE)+VLOOKUP($A46,'1.3.21-28.2.22'!$A$6:$DA$404,9,FALSE)-VLOOKUP($A46,'01-02.2022'!$A$6:$DA$376,9,FALSE)</f>
        <v>5761.3856237214095</v>
      </c>
      <c r="J46" s="566">
        <f>VLOOKUP($A46,'01-02.2021'!$A$6:$CZ$403,10,FALSE)+VLOOKUP($A46,'1.3.21-28.2.22'!$A$6:$DA$404,10,FALSE)-VLOOKUP($A46,'01-02.2022'!$A$6:$DA$376,10,FALSE)</f>
        <v>6399.649565444588</v>
      </c>
      <c r="K46" s="52">
        <f t="shared" si="34"/>
        <v>638.2639417231785</v>
      </c>
      <c r="L46" s="566">
        <f>VLOOKUP($A46,'01-02.2021'!$A$6:$CZ$403,12,FALSE)+VLOOKUP($A46,'1.3.21-28.2.22'!$A$6:$DA$404,12,FALSE)-VLOOKUP($A46,'01-02.2022'!$A$6:$DA$376,12,FALSE)</f>
        <v>1018.8053698203929</v>
      </c>
      <c r="M46" s="566">
        <f>VLOOKUP($A46,'01-02.2021'!$A$6:$CZ$403,13,FALSE)+VLOOKUP($A46,'1.3.21-28.2.22'!$A$6:$DA$404,13,FALSE)-VLOOKUP($A46,'01-02.2022'!$A$6:$DA$376,13,FALSE)</f>
        <v>1121.743631740706</v>
      </c>
      <c r="N46" s="52">
        <f t="shared" si="35"/>
        <v>102.93826192031304</v>
      </c>
      <c r="O46" s="566">
        <f>VLOOKUP($A46,'01-02.2021'!$A$6:$CZ$403,15,FALSE)+VLOOKUP($A46,'1.3.21-28.2.22'!$A$6:$DA$404,15,FALSE)-VLOOKUP($A46,'01-02.2022'!$A$6:$DA$376,15,FALSE)</f>
        <v>2468.0628754217823</v>
      </c>
      <c r="P46" s="566">
        <f>VLOOKUP($A46,'01-02.2021'!$A$6:$CZ$403,16,FALSE)+VLOOKUP($A46,'1.3.21-28.2.22'!$A$6:$DA$404,16,FALSE)-VLOOKUP($A46,'01-02.2022'!$A$6:$DA$376,16,FALSE)</f>
        <v>2468.0399999999991</v>
      </c>
      <c r="Q46" s="70">
        <f t="shared" si="36"/>
        <v>-2.2875421783282945E-2</v>
      </c>
      <c r="R46" s="566">
        <f>VLOOKUP($A46,'01-02.2021'!$A$6:$CZ$403,18,FALSE)+VLOOKUP($A46,'1.3.21-28.2.22'!$A$6:$DA$404,18,FALSE)-VLOOKUP($A46,'01-02.2022'!$A$6:$DA$376,18,FALSE)</f>
        <v>0</v>
      </c>
      <c r="S46" s="566">
        <f>VLOOKUP($A46,'01-02.2021'!$A$6:$CZ$403,19,FALSE)+VLOOKUP($A46,'1.3.21-28.2.22'!$A$6:$DA$404,19,FALSE)-VLOOKUP($A46,'01-02.2022'!$A$6:$DA$376,19,FALSE)</f>
        <v>0</v>
      </c>
      <c r="T46" s="70">
        <f t="shared" si="37"/>
        <v>0</v>
      </c>
      <c r="U46" s="566">
        <f>VLOOKUP($A46,'01-02.2021'!$A$6:$CZ$403,21,FALSE)+VLOOKUP($A46,'1.3.21-28.2.22'!$A$6:$DA$404,21,FALSE)-VLOOKUP($A46,'01-02.2022'!$A$6:$DA$376,21,FALSE)</f>
        <v>0</v>
      </c>
      <c r="V46" s="566">
        <f>VLOOKUP($A46,'01-02.2021'!$A$6:$CZ$403,22,FALSE)+VLOOKUP($A46,'1.3.21-28.2.22'!$A$6:$DA$404,22,FALSE)-VLOOKUP($A46,'01-02.2022'!$A$6:$DA$376,22,FALSE)</f>
        <v>0</v>
      </c>
      <c r="W46" s="70">
        <f t="shared" si="38"/>
        <v>0</v>
      </c>
      <c r="X46" s="566">
        <f>VLOOKUP($A46,'01-02.2021'!$A$6:$CZ$403,24,FALSE)+VLOOKUP($A46,'1.3.21-28.2.22'!$A$6:$DA$404,24,FALSE)-VLOOKUP($A46,'01-02.2022'!$A$6:$DA$376,24,FALSE)</f>
        <v>3091.3765587285197</v>
      </c>
      <c r="Y46" s="566">
        <f>VLOOKUP($A46,'01-02.2021'!$A$6:$CZ$403,25,FALSE)+VLOOKUP($A46,'1.3.21-28.2.22'!$A$6:$DA$404,25,FALSE)-VLOOKUP($A46,'01-02.2022'!$A$6:$DA$376,25,FALSE)</f>
        <v>2423.8145441074635</v>
      </c>
      <c r="Z46" s="70">
        <f t="shared" si="39"/>
        <v>-667.56201462105628</v>
      </c>
      <c r="AA46" s="566">
        <f>VLOOKUP($A46,'01-02.2021'!$A$6:$CZ$403,27,FALSE)+VLOOKUP($A46,'1.3.21-28.2.22'!$A$6:$DA$404,27,FALSE)-VLOOKUP($A46,'01-02.2022'!$A$6:$DA$376,27,FALSE)</f>
        <v>459.58000000000004</v>
      </c>
      <c r="AB46" s="566">
        <f>VLOOKUP($A46,'01-02.2021'!$A$6:$CZ$403,28,FALSE)+VLOOKUP($A46,'1.3.21-28.2.22'!$A$6:$DA$404,28,FALSE)-VLOOKUP($A46,'01-02.2022'!$A$6:$DA$376,28,FALSE)</f>
        <v>0</v>
      </c>
      <c r="AC46" s="70">
        <f t="shared" si="40"/>
        <v>-459.58000000000004</v>
      </c>
      <c r="AD46" s="566">
        <f>VLOOKUP($A46,'01-02.2021'!$A$6:$CZ$403,30,FALSE)+VLOOKUP($A46,'1.3.21-28.2.22'!$A$6:$DA$404,30,FALSE)-VLOOKUP($A46,'01-02.2022'!$A$6:$DA$376,30,FALSE)</f>
        <v>9366.5322055242723</v>
      </c>
      <c r="AE46" s="566">
        <f>VLOOKUP($A46,'01-02.2021'!$A$6:$CZ$403,31,FALSE)+VLOOKUP($A46,'1.3.21-28.2.22'!$A$6:$DA$404,31,FALSE)-VLOOKUP($A46,'01-02.2022'!$A$6:$DA$376,31,FALSE)</f>
        <v>9638.490114810902</v>
      </c>
      <c r="AF46" s="68">
        <f t="shared" si="41"/>
        <v>271.95790928662973</v>
      </c>
      <c r="AG46" s="77">
        <f t="shared" si="24"/>
        <v>22165.742633216374</v>
      </c>
      <c r="AH46" s="53">
        <f t="shared" si="24"/>
        <v>22051.73785610366</v>
      </c>
      <c r="AI46" s="52">
        <f t="shared" si="42"/>
        <v>-114.00477711271378</v>
      </c>
      <c r="AJ46" s="566">
        <f>VLOOKUP($A46,'01-02.2021'!$A$6:$CZ$403,36,FALSE)+VLOOKUP($A46,'1.3.21-28.2.22'!$A$6:$DA$404,36,FALSE)-VLOOKUP($A46,'01-02.2022'!$A$6:$DA$376,36,FALSE)</f>
        <v>0</v>
      </c>
      <c r="AK46" s="566">
        <f>VLOOKUP($A46,'01-02.2021'!$A$6:$CZ$403,37,FALSE)+VLOOKUP($A46,'1.3.21-28.2.22'!$A$6:$DA$404,37,FALSE)-VLOOKUP($A46,'01-02.2022'!$A$6:$DA$376,37,FALSE)</f>
        <v>0</v>
      </c>
      <c r="AL46" s="70">
        <f t="shared" si="43"/>
        <v>0</v>
      </c>
      <c r="AM46" s="566">
        <f>VLOOKUP($A46,'01-02.2021'!$A$6:$CZ$403,39,FALSE)+VLOOKUP($A46,'1.3.21-28.2.22'!$A$6:$DA$404,39,FALSE)-VLOOKUP($A46,'01-02.2022'!$A$6:$DA$376,39,FALSE)</f>
        <v>0</v>
      </c>
      <c r="AN46" s="566">
        <f>VLOOKUP($A46,'01-02.2021'!$A$6:$CZ$403,40,FALSE)+VLOOKUP($A46,'1.3.21-28.2.22'!$A$6:$DA$404,40,FALSE)-VLOOKUP($A46,'01-02.2022'!$A$6:$DA$376,40,FALSE)</f>
        <v>0</v>
      </c>
      <c r="AO46" s="70">
        <f t="shared" si="44"/>
        <v>0</v>
      </c>
      <c r="AP46" s="566">
        <f>VLOOKUP($A46,'01-02.2021'!$A$6:$CZ$403,42,FALSE)+VLOOKUP($A46,'1.3.21-28.2.22'!$A$6:$DA$404,42,FALSE)-VLOOKUP($A46,'01-02.2022'!$A$6:$DA$376,42,FALSE)</f>
        <v>4815.1793063681926</v>
      </c>
      <c r="AQ46" s="566">
        <f>VLOOKUP($A46,'01-02.2021'!$A$6:$CZ$403,43,FALSE)+VLOOKUP($A46,'1.3.21-28.2.22'!$A$6:$DA$404,43,FALSE)-VLOOKUP($A46,'01-02.2022'!$A$6:$DA$376,43,FALSE)</f>
        <v>4213.5957609874713</v>
      </c>
      <c r="AR46" s="70">
        <f t="shared" si="45"/>
        <v>-601.58354538072126</v>
      </c>
      <c r="AS46" s="566">
        <f>VLOOKUP($A46,'01-02.2021'!$A$6:$CZ$403,45,FALSE)+VLOOKUP($A46,'1.3.21-28.2.22'!$A$6:$DA$404,45,FALSE)-VLOOKUP($A46,'01-02.2022'!$A$6:$DA$376,45,FALSE)</f>
        <v>12131.233688735896</v>
      </c>
      <c r="AT46" s="566">
        <f>VLOOKUP($A46,'01-02.2021'!$A$6:$CZ$403,46,FALSE)+VLOOKUP($A46,'1.3.21-28.2.22'!$A$6:$DA$404,46,FALSE)-VLOOKUP($A46,'01-02.2022'!$A$6:$DA$376,46,FALSE)</f>
        <v>2344.0455475948111</v>
      </c>
      <c r="AU46" s="78">
        <f t="shared" si="46"/>
        <v>-9787.188141141085</v>
      </c>
      <c r="AV46" s="566">
        <f>VLOOKUP($A46,'01-02.2021'!$A$6:$CZ$403,48,FALSE)+VLOOKUP($A46,'1.3.21-28.2.22'!$A$6:$DA$404,48,FALSE)-VLOOKUP($A46,'01-02.2022'!$A$6:$DA$376,48,FALSE)</f>
        <v>1579.341320831611</v>
      </c>
      <c r="AW46" s="566">
        <f>VLOOKUP($A46,'01-02.2021'!$A$6:$CZ$403,49,FALSE)+VLOOKUP($A46,'1.3.21-28.2.22'!$A$6:$DA$404,49,FALSE)-VLOOKUP($A46,'01-02.2022'!$A$6:$DA$376,49,FALSE)</f>
        <v>1341</v>
      </c>
      <c r="AX46" s="55">
        <f t="shared" si="47"/>
        <v>-238.34132083161103</v>
      </c>
      <c r="AY46" s="566">
        <f>VLOOKUP($A46,'01-02.2021'!$A$6:$CZ$403,51,FALSE)+VLOOKUP($A46,'1.3.21-28.2.22'!$A$6:$DA$404,51,FALSE)-VLOOKUP($A46,'01-02.2022'!$A$6:$DA$376,51,FALSE)</f>
        <v>1915.1619459978581</v>
      </c>
      <c r="AZ46" s="566">
        <f>VLOOKUP($A46,'01-02.2021'!$A$6:$CZ$403,52,FALSE)+VLOOKUP($A46,'1.3.21-28.2.22'!$A$6:$DA$404,52,FALSE)-VLOOKUP($A46,'01-02.2022'!$A$6:$DA$376,52,FALSE)</f>
        <v>1292</v>
      </c>
      <c r="BA46" s="38">
        <f t="shared" si="48"/>
        <v>-623.16194599785808</v>
      </c>
      <c r="BB46" s="566">
        <f>VLOOKUP($A46,'01-02.2021'!$A$6:$CZ$403,54,FALSE)+VLOOKUP($A46,'1.3.21-28.2.22'!$A$6:$DA$404,54,FALSE)-VLOOKUP($A46,'01-02.2022'!$A$6:$DA$376,54,FALSE)</f>
        <v>1308.6899757016618</v>
      </c>
      <c r="BC46" s="566">
        <f>VLOOKUP($A46,'01-02.2021'!$A$6:$CZ$403,55,FALSE)+VLOOKUP($A46,'1.3.21-28.2.22'!$A$6:$DA$404,55,FALSE)-VLOOKUP($A46,'01-02.2022'!$A$6:$DA$376,55,FALSE)</f>
        <v>0</v>
      </c>
      <c r="BD46" s="55">
        <f t="shared" si="49"/>
        <v>-1308.6899757016618</v>
      </c>
      <c r="BE46" s="566">
        <f>VLOOKUP($A46,'01-02.2021'!$A$6:$CZ$403,57,FALSE)+VLOOKUP($A46,'1.3.21-28.2.22'!$A$6:$DA$404,57,FALSE)-VLOOKUP($A46,'01-02.2022'!$A$6:$DA$376,57,FALSE)</f>
        <v>0</v>
      </c>
      <c r="BF46" s="566">
        <f>VLOOKUP($A46,'01-02.2021'!$A$6:$CZ$403,58,FALSE)+VLOOKUP($A46,'1.3.21-28.2.22'!$A$6:$DA$404,58,FALSE)-VLOOKUP($A46,'01-02.2022'!$A$6:$DA$376,58,FALSE)</f>
        <v>0</v>
      </c>
      <c r="BG46" s="55">
        <f t="shared" si="50"/>
        <v>0</v>
      </c>
      <c r="BH46" s="566">
        <f>VLOOKUP($A46,'01-02.2021'!$A$6:$CZ$403,60,FALSE)+VLOOKUP($A46,'1.3.21-28.2.22'!$A$6:$DA$404,60,FALSE)-VLOOKUP($A46,'01-02.2022'!$A$6:$DA$376,60,FALSE)</f>
        <v>0</v>
      </c>
      <c r="BI46" s="566">
        <f>VLOOKUP($A46,'01-02.2021'!$A$6:$CZ$403,61,FALSE)+VLOOKUP($A46,'1.3.21-28.2.22'!$A$6:$DA$404,61,FALSE)-VLOOKUP($A46,'01-02.2022'!$A$6:$DA$376,61,FALSE)</f>
        <v>0</v>
      </c>
      <c r="BJ46" s="55">
        <f t="shared" si="51"/>
        <v>0</v>
      </c>
      <c r="BK46" s="566">
        <f>VLOOKUP($A46,'01-02.2021'!$A$6:$CZ$403,63,FALSE)+VLOOKUP($A46,'1.3.21-28.2.22'!$A$6:$DA$404,63,FALSE)-VLOOKUP($A46,'01-02.2022'!$A$6:$DA$376,63,FALSE)</f>
        <v>721.44324373863844</v>
      </c>
      <c r="BL46" s="566">
        <f>VLOOKUP($A46,'01-02.2021'!$A$6:$CZ$403,64,FALSE)+VLOOKUP($A46,'1.3.21-28.2.22'!$A$6:$DA$404,64,FALSE)-VLOOKUP($A46,'01-02.2022'!$A$6:$DA$376,64,FALSE)</f>
        <v>0</v>
      </c>
      <c r="BM46" s="55">
        <f t="shared" si="52"/>
        <v>-721.44324373863844</v>
      </c>
      <c r="BN46" s="566">
        <f>VLOOKUP($A46,'01-02.2021'!$A$6:$CZ$403,66,FALSE)+VLOOKUP($A46,'1.3.21-28.2.22'!$A$6:$DA$404,66,FALSE)-VLOOKUP($A46,'01-02.2022'!$A$6:$DA$376,66,FALSE)</f>
        <v>114.89500000000001</v>
      </c>
      <c r="BO46" s="566">
        <f>VLOOKUP($A46,'01-02.2021'!$A$6:$CZ$403,67,FALSE)+VLOOKUP($A46,'1.3.21-28.2.22'!$A$6:$DA$404,67,FALSE)-VLOOKUP($A46,'01-02.2022'!$A$6:$DA$376,67,FALSE)</f>
        <v>0</v>
      </c>
      <c r="BP46" s="55">
        <f t="shared" si="53"/>
        <v>-114.89500000000001</v>
      </c>
      <c r="BQ46" s="77">
        <f t="shared" si="79"/>
        <v>5639.5314862697696</v>
      </c>
      <c r="BR46" s="40">
        <f t="shared" si="80"/>
        <v>2633</v>
      </c>
      <c r="BS46" s="55">
        <f t="shared" si="70"/>
        <v>-3006.5314862697696</v>
      </c>
      <c r="BT46" s="566">
        <f>VLOOKUP($A46,'01-02.2021'!$A$6:$CZ$403,72,FALSE)+VLOOKUP($A46,'1.3.21-28.2.22'!$A$6:$DA$404,72,FALSE)-VLOOKUP($A46,'01-02.2022'!$A$6:$DA$376,72,FALSE)</f>
        <v>19071.076970468221</v>
      </c>
      <c r="BU46" s="566">
        <f>VLOOKUP($A46,'01-02.2021'!$A$6:$CZ$403,73,FALSE)+VLOOKUP($A46,'1.3.21-28.2.22'!$A$6:$DA$404,73,FALSE)-VLOOKUP($A46,'01-02.2022'!$A$6:$DA$376,73,FALSE)</f>
        <v>25446.126722081532</v>
      </c>
      <c r="BV46" s="70">
        <f t="shared" si="54"/>
        <v>6375.0497516133109</v>
      </c>
      <c r="BW46" s="566">
        <f>VLOOKUP($A46,'01-02.2021'!$A$6:$CZ$403,75,FALSE)+VLOOKUP($A46,'1.3.21-28.2.22'!$A$6:$DA$404,75,FALSE)-VLOOKUP($A46,'01-02.2022'!$A$6:$DA$376,75,FALSE)</f>
        <v>8376.9716439893054</v>
      </c>
      <c r="BX46" s="566">
        <f>VLOOKUP($A46,'01-02.2021'!$A$6:$CZ$403,76,FALSE)+VLOOKUP($A46,'1.3.21-28.2.22'!$A$6:$DA$404,76,FALSE)-VLOOKUP($A46,'01-02.2022'!$A$6:$DA$376,76,FALSE)</f>
        <v>8968.6104586149395</v>
      </c>
      <c r="BY46" s="70">
        <f t="shared" si="55"/>
        <v>591.63881462563404</v>
      </c>
      <c r="BZ46" s="566">
        <f>VLOOKUP($A46,'01-02.2021'!$A$6:$CZ$403,78,FALSE)+VLOOKUP($A46,'1.3.21-28.2.22'!$A$6:$DA$404,78,FALSE)-VLOOKUP($A46,'01-02.2022'!$A$6:$DA$376,78,FALSE)</f>
        <v>10253.944749814744</v>
      </c>
      <c r="CA46" s="566">
        <f>VLOOKUP($A46,'01-02.2021'!$A$6:$CZ$403,79,FALSE)+VLOOKUP($A46,'1.3.21-28.2.22'!$A$6:$DA$404,79,FALSE)-VLOOKUP($A46,'01-02.2022'!$A$6:$DA$376,79,FALSE)</f>
        <v>5437.6305708308819</v>
      </c>
      <c r="CB46" s="70">
        <f t="shared" si="56"/>
        <v>-4816.3141789838619</v>
      </c>
      <c r="CC46" s="566">
        <f>VLOOKUP($A46,'01-02.2021'!$A$6:$CZ$403,81,FALSE)+VLOOKUP($A46,'1.3.21-28.2.22'!$A$6:$DA$404,81,FALSE)-VLOOKUP($A46,'01-02.2022'!$A$6:$DA$376,81,FALSE)</f>
        <v>0</v>
      </c>
      <c r="CD46" s="566">
        <f>VLOOKUP($A46,'01-02.2021'!$A$6:$CZ$403,82,FALSE)+VLOOKUP($A46,'1.3.21-28.2.22'!$A$6:$DA$404,82,FALSE)-VLOOKUP($A46,'01-02.2022'!$A$6:$DA$376,82,FALSE)</f>
        <v>0</v>
      </c>
      <c r="CE46" s="70">
        <f t="shared" si="57"/>
        <v>0</v>
      </c>
      <c r="CF46" s="566">
        <f>VLOOKUP($A46,'01-02.2021'!$A$6:$CZ$403,84,FALSE)+VLOOKUP($A46,'1.3.21-28.2.22'!$A$6:$DA$404,84,FALSE)-VLOOKUP($A46,'01-02.2022'!$A$6:$DA$376,84,FALSE)</f>
        <v>0</v>
      </c>
      <c r="CG46" s="566">
        <f>VLOOKUP($A46,'01-02.2021'!$A$6:$CZ$403,85,FALSE)+VLOOKUP($A46,'1.3.21-28.2.22'!$A$6:$DA$404,85,FALSE)-VLOOKUP($A46,'01-02.2022'!$A$6:$DA$376,85,FALSE)</f>
        <v>0</v>
      </c>
      <c r="CH46" s="70">
        <f t="shared" si="58"/>
        <v>0</v>
      </c>
      <c r="CI46" s="566">
        <f>VLOOKUP($A46,'01-02.2021'!$A$6:$CZ$403,87,FALSE)+VLOOKUP($A46,'1.3.21-28.2.22'!$A$6:$DA$404,87,FALSE)-VLOOKUP($A46,'01-02.2022'!$A$6:$DA$376,87,FALSE)</f>
        <v>3569.1117983047434</v>
      </c>
      <c r="CJ46" s="566">
        <f>VLOOKUP($A46,'01-02.2021'!$A$6:$CZ$403,88,FALSE)+VLOOKUP($A46,'1.3.21-28.2.22'!$A$6:$DA$404,88,FALSE)-VLOOKUP($A46,'01-02.2022'!$A$6:$DA$376,88,FALSE)</f>
        <v>2753.7065265230381</v>
      </c>
      <c r="CK46" s="70">
        <f t="shared" si="59"/>
        <v>-815.40527178170532</v>
      </c>
      <c r="CL46" s="566">
        <f>VLOOKUP($A46,'01-02.2021'!$A$6:$CZ$403,90,FALSE)+VLOOKUP($A46,'1.3.21-28.2.22'!$A$6:$DA$404,90,FALSE)-VLOOKUP($A46,'01-02.2022'!$A$6:$DA$376,90,FALSE)</f>
        <v>0</v>
      </c>
      <c r="CM46" s="566">
        <f>VLOOKUP($A46,'01-02.2021'!$A$6:$CZ$403,91,FALSE)+VLOOKUP($A46,'1.3.21-28.2.22'!$A$6:$DA$404,91,FALSE)-VLOOKUP($A46,'01-02.2022'!$A$6:$DA$376,91,FALSE)</f>
        <v>0</v>
      </c>
      <c r="CN46" s="52">
        <f t="shared" si="60"/>
        <v>0</v>
      </c>
      <c r="CO46" s="39">
        <f t="shared" si="27"/>
        <v>3569.1117983047434</v>
      </c>
      <c r="CP46" s="40">
        <f t="shared" si="61"/>
        <v>2753.7065265230381</v>
      </c>
      <c r="CQ46" s="52">
        <f t="shared" si="62"/>
        <v>-815.40527178170532</v>
      </c>
      <c r="CR46" s="72">
        <f t="shared" si="28"/>
        <v>86022.79227716726</v>
      </c>
      <c r="CS46" s="5">
        <f t="shared" si="28"/>
        <v>73848.453442736325</v>
      </c>
      <c r="CT46" s="52">
        <f t="shared" si="63"/>
        <v>-12174.338834430935</v>
      </c>
      <c r="CU46" s="77">
        <f t="shared" si="64"/>
        <v>103227.35073260071</v>
      </c>
      <c r="CV46" s="65">
        <f t="shared" si="65"/>
        <v>88618.144131283581</v>
      </c>
      <c r="CW46" s="35">
        <f t="shared" si="66"/>
        <v>-14609.206601317128</v>
      </c>
      <c r="CX46" s="566">
        <f>VLOOKUP($A46,'01-02.2021'!$A$6:$CZ$403,102,FALSE)+VLOOKUP($A46,'1.3.21-28.2.22'!$A$6:$DA$404,102,FALSE)-VLOOKUP($A46,'01-02.2022'!$A$6:$DA$376,102,FALSE)</f>
        <v>2013.163494433531</v>
      </c>
      <c r="CY46" s="566">
        <f>VLOOKUP($A46,'01-02.2021'!$A$6:$CZ$403,103,FALSE)+VLOOKUP($A46,'1.3.21-28.2.22'!$A$6:$DA$404,103,FALSE)-VLOOKUP($A46,'01-02.2022'!$A$6:$DA$376,103,FALSE)</f>
        <v>16622.370095750612</v>
      </c>
      <c r="CZ46" s="52">
        <f t="shared" si="67"/>
        <v>14609.206601317081</v>
      </c>
      <c r="DA46" s="150">
        <f>'[2]побудинковий звіт'!DA46</f>
        <v>25522.641621229897</v>
      </c>
      <c r="DB46" s="2">
        <v>2</v>
      </c>
      <c r="DC46" s="414">
        <f>'[4]побудинковий звіт'!DC46</f>
        <v>8103.26</v>
      </c>
      <c r="DD46" s="414">
        <f>'[4]побудинковий звіт'!DD46</f>
        <v>1400.6399999999999</v>
      </c>
      <c r="DE46" s="557">
        <f>'[4]побудинковий звіт'!DE46</f>
        <v>226.63384695133482</v>
      </c>
      <c r="DF46" s="557">
        <f>'[4]побудинковий звіт'!DF46</f>
        <v>9.1135458405915415E-3</v>
      </c>
      <c r="DG46" s="321">
        <f>VLOOKUP(A46,'кошти 01.03.2021'!$A$6:$D$401,4,)</f>
        <v>43133.483295633006</v>
      </c>
      <c r="DH46" s="40">
        <f>'[3]побудинковий звіт'!DJ46</f>
        <v>107616.68310777354</v>
      </c>
      <c r="DI46" s="422">
        <f>'[3]побудинковий звіт'!CU46+'[3]побудинковий звіт'!CX46</f>
        <v>9277.2570395028251</v>
      </c>
      <c r="DJ46" s="306">
        <f>'[3]побудинковий звіт'!DM46</f>
        <v>4.4768819785430631</v>
      </c>
      <c r="DK46" s="306">
        <f t="shared" si="76"/>
        <v>4.4768819785430631</v>
      </c>
      <c r="DL46" s="306">
        <f>'[3]побудинковий звіт'!DO46</f>
        <v>3.9123767778049143</v>
      </c>
      <c r="DM46" s="28">
        <f t="shared" si="77"/>
        <v>7876.6261530486654</v>
      </c>
      <c r="DN46" s="28">
        <f t="shared" si="78"/>
        <v>1400.6308864541593</v>
      </c>
      <c r="DO46" s="423">
        <f t="shared" si="29"/>
        <v>9277.2570395028251</v>
      </c>
      <c r="DP46" s="94">
        <f t="shared" si="30"/>
        <v>0</v>
      </c>
      <c r="DQ46" s="28">
        <f t="shared" si="31"/>
        <v>9277.2570395028251</v>
      </c>
      <c r="DR46" s="318"/>
      <c r="DT46" s="8"/>
      <c r="DU46" s="5"/>
      <c r="DX46" s="5">
        <f t="shared" si="32"/>
        <v>21324.918210006796</v>
      </c>
      <c r="DY46" s="5">
        <f t="shared" si="33"/>
        <v>5972.4546571137735</v>
      </c>
      <c r="DZ46" s="159">
        <f>'[3]побудинковий звіт'!EA46</f>
        <v>1835.7178228681785</v>
      </c>
    </row>
    <row r="47" spans="1:130" x14ac:dyDescent="0.3">
      <c r="A47" s="325">
        <v>150000981</v>
      </c>
      <c r="B47" s="41" t="s">
        <v>496</v>
      </c>
      <c r="C47" s="42" t="s">
        <v>343</v>
      </c>
      <c r="D47" s="42"/>
      <c r="E47" s="293">
        <f t="shared" si="23"/>
        <v>2214.37</v>
      </c>
      <c r="F47" s="305">
        <f>'[3]побудинковий звіт'!F47</f>
        <v>2214.37</v>
      </c>
      <c r="G47" s="508">
        <f>'[3]побудинковий звіт'!G47</f>
        <v>213.63</v>
      </c>
      <c r="H47" s="560">
        <f>'[3]побудинковий звіт'!H47</f>
        <v>0</v>
      </c>
      <c r="I47" s="566">
        <f>VLOOKUP($A47,'01-02.2021'!$A$6:$CZ$403,9,FALSE)+VLOOKUP($A47,'1.3.21-28.2.22'!$A$6:$DA$404,9,FALSE)-VLOOKUP($A47,'01-02.2022'!$A$6:$DA$376,9,FALSE)</f>
        <v>7002.7356702438246</v>
      </c>
      <c r="J47" s="566">
        <f>VLOOKUP($A47,'01-02.2021'!$A$6:$CZ$403,10,FALSE)+VLOOKUP($A47,'1.3.21-28.2.22'!$A$6:$DA$404,10,FALSE)-VLOOKUP($A47,'01-02.2022'!$A$6:$DA$376,10,FALSE)</f>
        <v>6839.4242688230797</v>
      </c>
      <c r="K47" s="52">
        <f t="shared" si="34"/>
        <v>-163.31140142074491</v>
      </c>
      <c r="L47" s="566">
        <f>VLOOKUP($A47,'01-02.2021'!$A$6:$CZ$403,12,FALSE)+VLOOKUP($A47,'1.3.21-28.2.22'!$A$6:$DA$404,12,FALSE)-VLOOKUP($A47,'01-02.2022'!$A$6:$DA$376,12,FALSE)</f>
        <v>1340.939672728394</v>
      </c>
      <c r="M47" s="566">
        <f>VLOOKUP($A47,'01-02.2021'!$A$6:$CZ$403,13,FALSE)+VLOOKUP($A47,'1.3.21-28.2.22'!$A$6:$DA$404,13,FALSE)-VLOOKUP($A47,'01-02.2022'!$A$6:$DA$376,13,FALSE)</f>
        <v>1338.875708395957</v>
      </c>
      <c r="N47" s="52">
        <f t="shared" si="35"/>
        <v>-2.0639643324370809</v>
      </c>
      <c r="O47" s="566">
        <f>VLOOKUP($A47,'01-02.2021'!$A$6:$CZ$403,15,FALSE)+VLOOKUP($A47,'1.3.21-28.2.22'!$A$6:$DA$404,15,FALSE)-VLOOKUP($A47,'01-02.2022'!$A$6:$DA$376,15,FALSE)</f>
        <v>2650.6631010532165</v>
      </c>
      <c r="P47" s="566">
        <f>VLOOKUP($A47,'01-02.2021'!$A$6:$CZ$403,16,FALSE)+VLOOKUP($A47,'1.3.21-28.2.22'!$A$6:$DA$404,16,FALSE)-VLOOKUP($A47,'01-02.2022'!$A$6:$DA$376,16,FALSE)</f>
        <v>2651.1666666666665</v>
      </c>
      <c r="Q47" s="70">
        <f t="shared" si="36"/>
        <v>0.50356561345006412</v>
      </c>
      <c r="R47" s="566">
        <f>VLOOKUP($A47,'01-02.2021'!$A$6:$CZ$403,18,FALSE)+VLOOKUP($A47,'1.3.21-28.2.22'!$A$6:$DA$404,18,FALSE)-VLOOKUP($A47,'01-02.2022'!$A$6:$DA$376,18,FALSE)</f>
        <v>666.4993263626252</v>
      </c>
      <c r="S47" s="566">
        <f>VLOOKUP($A47,'01-02.2021'!$A$6:$CZ$403,19,FALSE)+VLOOKUP($A47,'1.3.21-28.2.22'!$A$6:$DA$404,19,FALSE)-VLOOKUP($A47,'01-02.2022'!$A$6:$DA$376,19,FALSE)</f>
        <v>666.37666666666655</v>
      </c>
      <c r="T47" s="70">
        <f t="shared" si="37"/>
        <v>-0.1226596959586459</v>
      </c>
      <c r="U47" s="566">
        <f>VLOOKUP($A47,'01-02.2021'!$A$6:$CZ$403,21,FALSE)+VLOOKUP($A47,'1.3.21-28.2.22'!$A$6:$DA$404,21,FALSE)-VLOOKUP($A47,'01-02.2022'!$A$6:$DA$376,21,FALSE)</f>
        <v>335.82127994245559</v>
      </c>
      <c r="V47" s="566">
        <f>VLOOKUP($A47,'01-02.2021'!$A$6:$CZ$403,22,FALSE)+VLOOKUP($A47,'1.3.21-28.2.22'!$A$6:$DA$404,22,FALSE)-VLOOKUP($A47,'01-02.2022'!$A$6:$DA$376,22,FALSE)</f>
        <v>324.33772625122708</v>
      </c>
      <c r="W47" s="70">
        <f t="shared" si="38"/>
        <v>-11.483553691228508</v>
      </c>
      <c r="X47" s="566">
        <f>VLOOKUP($A47,'01-02.2021'!$A$6:$CZ$403,24,FALSE)+VLOOKUP($A47,'1.3.21-28.2.22'!$A$6:$DA$404,24,FALSE)-VLOOKUP($A47,'01-02.2022'!$A$6:$DA$376,24,FALSE)</f>
        <v>3322.7375144026796</v>
      </c>
      <c r="Y47" s="566">
        <f>VLOOKUP($A47,'01-02.2021'!$A$6:$CZ$403,25,FALSE)+VLOOKUP($A47,'1.3.21-28.2.22'!$A$6:$DA$404,25,FALSE)-VLOOKUP($A47,'01-02.2022'!$A$6:$DA$376,25,FALSE)</f>
        <v>2791.3933208710109</v>
      </c>
      <c r="Z47" s="70">
        <f t="shared" si="39"/>
        <v>-531.34419353166868</v>
      </c>
      <c r="AA47" s="566">
        <f>VLOOKUP($A47,'01-02.2021'!$A$6:$CZ$403,27,FALSE)+VLOOKUP($A47,'1.3.21-28.2.22'!$A$6:$DA$404,27,FALSE)-VLOOKUP($A47,'01-02.2022'!$A$6:$DA$376,27,FALSE)</f>
        <v>442.87400000000002</v>
      </c>
      <c r="AB47" s="566">
        <f>VLOOKUP($A47,'01-02.2021'!$A$6:$CZ$403,28,FALSE)+VLOOKUP($A47,'1.3.21-28.2.22'!$A$6:$DA$404,28,FALSE)-VLOOKUP($A47,'01-02.2022'!$A$6:$DA$376,28,FALSE)</f>
        <v>0</v>
      </c>
      <c r="AC47" s="70">
        <f t="shared" si="40"/>
        <v>-442.87400000000002</v>
      </c>
      <c r="AD47" s="566">
        <f>VLOOKUP($A47,'01-02.2021'!$A$6:$CZ$403,30,FALSE)+VLOOKUP($A47,'1.3.21-28.2.22'!$A$6:$DA$404,30,FALSE)-VLOOKUP($A47,'01-02.2022'!$A$6:$DA$376,30,FALSE)</f>
        <v>9511.3076834747644</v>
      </c>
      <c r="AE47" s="566">
        <f>VLOOKUP($A47,'01-02.2021'!$A$6:$CZ$403,31,FALSE)+VLOOKUP($A47,'1.3.21-28.2.22'!$A$6:$DA$404,31,FALSE)-VLOOKUP($A47,'01-02.2022'!$A$6:$DA$376,31,FALSE)</f>
        <v>10079.90146195042</v>
      </c>
      <c r="AF47" s="68">
        <f t="shared" si="41"/>
        <v>568.5937784756552</v>
      </c>
      <c r="AG47" s="77">
        <f t="shared" si="24"/>
        <v>25273.578248207959</v>
      </c>
      <c r="AH47" s="53">
        <f t="shared" si="24"/>
        <v>24691.47581962503</v>
      </c>
      <c r="AI47" s="52">
        <f t="shared" si="42"/>
        <v>-582.10242858292986</v>
      </c>
      <c r="AJ47" s="566">
        <f>VLOOKUP($A47,'01-02.2021'!$A$6:$CZ$403,36,FALSE)+VLOOKUP($A47,'1.3.21-28.2.22'!$A$6:$DA$404,36,FALSE)-VLOOKUP($A47,'01-02.2022'!$A$6:$DA$376,36,FALSE)</f>
        <v>19000.066418901661</v>
      </c>
      <c r="AK47" s="566">
        <f>VLOOKUP($A47,'01-02.2021'!$A$6:$CZ$403,37,FALSE)+VLOOKUP($A47,'1.3.21-28.2.22'!$A$6:$DA$404,37,FALSE)-VLOOKUP($A47,'01-02.2022'!$A$6:$DA$376,37,FALSE)</f>
        <v>18875.542406939494</v>
      </c>
      <c r="AL47" s="70">
        <f t="shared" si="43"/>
        <v>-124.5240119621667</v>
      </c>
      <c r="AM47" s="566">
        <f>VLOOKUP($A47,'01-02.2021'!$A$6:$CZ$403,39,FALSE)+VLOOKUP($A47,'1.3.21-28.2.22'!$A$6:$DA$404,39,FALSE)-VLOOKUP($A47,'01-02.2022'!$A$6:$DA$376,39,FALSE)</f>
        <v>0</v>
      </c>
      <c r="AN47" s="566">
        <f>VLOOKUP($A47,'01-02.2021'!$A$6:$CZ$403,40,FALSE)+VLOOKUP($A47,'1.3.21-28.2.22'!$A$6:$DA$404,40,FALSE)-VLOOKUP($A47,'01-02.2022'!$A$6:$DA$376,40,FALSE)</f>
        <v>0</v>
      </c>
      <c r="AO47" s="70">
        <f t="shared" si="44"/>
        <v>0</v>
      </c>
      <c r="AP47" s="566">
        <f>VLOOKUP($A47,'01-02.2021'!$A$6:$CZ$403,42,FALSE)+VLOOKUP($A47,'1.3.21-28.2.22'!$A$6:$DA$404,42,FALSE)-VLOOKUP($A47,'01-02.2022'!$A$6:$DA$376,42,FALSE)</f>
        <v>1518.2997812872677</v>
      </c>
      <c r="AQ47" s="566">
        <f>VLOOKUP($A47,'01-02.2021'!$A$6:$CZ$403,43,FALSE)+VLOOKUP($A47,'1.3.21-28.2.22'!$A$6:$DA$404,43,FALSE)-VLOOKUP($A47,'01-02.2022'!$A$6:$DA$376,43,FALSE)</f>
        <v>1217.8271336719918</v>
      </c>
      <c r="AR47" s="70">
        <f t="shared" si="45"/>
        <v>-300.47264761527595</v>
      </c>
      <c r="AS47" s="566">
        <f>VLOOKUP($A47,'01-02.2021'!$A$6:$CZ$403,45,FALSE)+VLOOKUP($A47,'1.3.21-28.2.22'!$A$6:$DA$404,45,FALSE)-VLOOKUP($A47,'01-02.2022'!$A$6:$DA$376,45,FALSE)</f>
        <v>27851.435838690777</v>
      </c>
      <c r="AT47" s="566">
        <f>VLOOKUP($A47,'01-02.2021'!$A$6:$CZ$403,46,FALSE)+VLOOKUP($A47,'1.3.21-28.2.22'!$A$6:$DA$404,46,FALSE)-VLOOKUP($A47,'01-02.2022'!$A$6:$DA$376,46,FALSE)</f>
        <v>18322.956562998661</v>
      </c>
      <c r="AU47" s="78">
        <f t="shared" si="46"/>
        <v>-9528.4792756921161</v>
      </c>
      <c r="AV47" s="566">
        <f>VLOOKUP($A47,'01-02.2021'!$A$6:$CZ$403,48,FALSE)+VLOOKUP($A47,'1.3.21-28.2.22'!$A$6:$DA$404,48,FALSE)-VLOOKUP($A47,'01-02.2022'!$A$6:$DA$376,48,FALSE)</f>
        <v>1489.0637194812925</v>
      </c>
      <c r="AW47" s="566">
        <f>VLOOKUP($A47,'01-02.2021'!$A$6:$CZ$403,49,FALSE)+VLOOKUP($A47,'1.3.21-28.2.22'!$A$6:$DA$404,49,FALSE)-VLOOKUP($A47,'01-02.2022'!$A$6:$DA$376,49,FALSE)</f>
        <v>0</v>
      </c>
      <c r="AX47" s="55">
        <f t="shared" si="47"/>
        <v>-1489.0637194812925</v>
      </c>
      <c r="AY47" s="566">
        <f>VLOOKUP($A47,'01-02.2021'!$A$6:$CZ$403,51,FALSE)+VLOOKUP($A47,'1.3.21-28.2.22'!$A$6:$DA$404,51,FALSE)-VLOOKUP($A47,'01-02.2022'!$A$6:$DA$376,51,FALSE)</f>
        <v>1711.4866133485559</v>
      </c>
      <c r="AZ47" s="566">
        <f>VLOOKUP($A47,'01-02.2021'!$A$6:$CZ$403,52,FALSE)+VLOOKUP($A47,'1.3.21-28.2.22'!$A$6:$DA$404,52,FALSE)-VLOOKUP($A47,'01-02.2022'!$A$6:$DA$376,52,FALSE)</f>
        <v>0</v>
      </c>
      <c r="BA47" s="38">
        <f t="shared" si="48"/>
        <v>-1711.4866133485559</v>
      </c>
      <c r="BB47" s="566">
        <f>VLOOKUP($A47,'01-02.2021'!$A$6:$CZ$403,54,FALSE)+VLOOKUP($A47,'1.3.21-28.2.22'!$A$6:$DA$404,54,FALSE)-VLOOKUP($A47,'01-02.2022'!$A$6:$DA$376,54,FALSE)</f>
        <v>743.92795175904973</v>
      </c>
      <c r="BC47" s="566">
        <f>VLOOKUP($A47,'01-02.2021'!$A$6:$CZ$403,55,FALSE)+VLOOKUP($A47,'1.3.21-28.2.22'!$A$6:$DA$404,55,FALSE)-VLOOKUP($A47,'01-02.2022'!$A$6:$DA$376,55,FALSE)</f>
        <v>0</v>
      </c>
      <c r="BD47" s="55">
        <f t="shared" si="49"/>
        <v>-743.92795175904973</v>
      </c>
      <c r="BE47" s="566">
        <f>VLOOKUP($A47,'01-02.2021'!$A$6:$CZ$403,57,FALSE)+VLOOKUP($A47,'1.3.21-28.2.22'!$A$6:$DA$404,57,FALSE)-VLOOKUP($A47,'01-02.2022'!$A$6:$DA$376,57,FALSE)</f>
        <v>1391.7253707826205</v>
      </c>
      <c r="BF47" s="566">
        <f>VLOOKUP($A47,'01-02.2021'!$A$6:$CZ$403,58,FALSE)+VLOOKUP($A47,'1.3.21-28.2.22'!$A$6:$DA$404,58,FALSE)-VLOOKUP($A47,'01-02.2022'!$A$6:$DA$376,58,FALSE)</f>
        <v>0</v>
      </c>
      <c r="BG47" s="55">
        <f t="shared" si="50"/>
        <v>-1391.7253707826205</v>
      </c>
      <c r="BH47" s="566">
        <f>VLOOKUP($A47,'01-02.2021'!$A$6:$CZ$403,60,FALSE)+VLOOKUP($A47,'1.3.21-28.2.22'!$A$6:$DA$404,60,FALSE)-VLOOKUP($A47,'01-02.2022'!$A$6:$DA$376,60,FALSE)</f>
        <v>568.63257583525615</v>
      </c>
      <c r="BI47" s="566">
        <f>VLOOKUP($A47,'01-02.2021'!$A$6:$CZ$403,61,FALSE)+VLOOKUP($A47,'1.3.21-28.2.22'!$A$6:$DA$404,61,FALSE)-VLOOKUP($A47,'01-02.2022'!$A$6:$DA$376,61,FALSE)</f>
        <v>0</v>
      </c>
      <c r="BJ47" s="55">
        <f t="shared" si="51"/>
        <v>-568.63257583525615</v>
      </c>
      <c r="BK47" s="566">
        <f>VLOOKUP($A47,'01-02.2021'!$A$6:$CZ$403,63,FALSE)+VLOOKUP($A47,'1.3.21-28.2.22'!$A$6:$DA$404,63,FALSE)-VLOOKUP($A47,'01-02.2022'!$A$6:$DA$376,63,FALSE)</f>
        <v>923.76260110593591</v>
      </c>
      <c r="BL47" s="566">
        <f>VLOOKUP($A47,'01-02.2021'!$A$6:$CZ$403,64,FALSE)+VLOOKUP($A47,'1.3.21-28.2.22'!$A$6:$DA$404,64,FALSE)-VLOOKUP($A47,'01-02.2022'!$A$6:$DA$376,64,FALSE)</f>
        <v>0</v>
      </c>
      <c r="BM47" s="55">
        <f t="shared" si="52"/>
        <v>-923.76260110593591</v>
      </c>
      <c r="BN47" s="566">
        <f>VLOOKUP($A47,'01-02.2021'!$A$6:$CZ$403,66,FALSE)+VLOOKUP($A47,'1.3.21-28.2.22'!$A$6:$DA$404,66,FALSE)-VLOOKUP($A47,'01-02.2022'!$A$6:$DA$376,66,FALSE)</f>
        <v>110.71850000000001</v>
      </c>
      <c r="BO47" s="566">
        <f>VLOOKUP($A47,'01-02.2021'!$A$6:$CZ$403,67,FALSE)+VLOOKUP($A47,'1.3.21-28.2.22'!$A$6:$DA$404,67,FALSE)-VLOOKUP($A47,'01-02.2022'!$A$6:$DA$376,67,FALSE)</f>
        <v>0</v>
      </c>
      <c r="BP47" s="55">
        <f t="shared" si="53"/>
        <v>-110.71850000000001</v>
      </c>
      <c r="BQ47" s="77">
        <f t="shared" si="79"/>
        <v>6939.3173323127103</v>
      </c>
      <c r="BR47" s="40">
        <f t="shared" si="80"/>
        <v>0</v>
      </c>
      <c r="BS47" s="55">
        <f t="shared" si="70"/>
        <v>-6939.3173323127103</v>
      </c>
      <c r="BT47" s="566">
        <f>VLOOKUP($A47,'01-02.2021'!$A$6:$CZ$403,72,FALSE)+VLOOKUP($A47,'1.3.21-28.2.22'!$A$6:$DA$404,72,FALSE)-VLOOKUP($A47,'01-02.2022'!$A$6:$DA$376,72,FALSE)</f>
        <v>28138.07613390702</v>
      </c>
      <c r="BU47" s="566">
        <f>VLOOKUP($A47,'01-02.2021'!$A$6:$CZ$403,73,FALSE)+VLOOKUP($A47,'1.3.21-28.2.22'!$A$6:$DA$404,73,FALSE)-VLOOKUP($A47,'01-02.2022'!$A$6:$DA$376,73,FALSE)</f>
        <v>28634.551314484455</v>
      </c>
      <c r="BV47" s="70">
        <f t="shared" si="54"/>
        <v>496.47518057743582</v>
      </c>
      <c r="BW47" s="566">
        <f>VLOOKUP($A47,'01-02.2021'!$A$6:$CZ$403,75,FALSE)+VLOOKUP($A47,'1.3.21-28.2.22'!$A$6:$DA$404,75,FALSE)-VLOOKUP($A47,'01-02.2022'!$A$6:$DA$376,75,FALSE)</f>
        <v>19127.587578377443</v>
      </c>
      <c r="BX47" s="566">
        <f>VLOOKUP($A47,'01-02.2021'!$A$6:$CZ$403,76,FALSE)+VLOOKUP($A47,'1.3.21-28.2.22'!$A$6:$DA$404,76,FALSE)-VLOOKUP($A47,'01-02.2022'!$A$6:$DA$376,76,FALSE)</f>
        <v>19370.448161838191</v>
      </c>
      <c r="BY47" s="70">
        <f t="shared" si="55"/>
        <v>242.86058346074788</v>
      </c>
      <c r="BZ47" s="566">
        <f>VLOOKUP($A47,'01-02.2021'!$A$6:$CZ$403,78,FALSE)+VLOOKUP($A47,'1.3.21-28.2.22'!$A$6:$DA$404,78,FALSE)-VLOOKUP($A47,'01-02.2022'!$A$6:$DA$376,78,FALSE)</f>
        <v>3215.7094750782298</v>
      </c>
      <c r="CA47" s="566">
        <f>VLOOKUP($A47,'01-02.2021'!$A$6:$CZ$403,79,FALSE)+VLOOKUP($A47,'1.3.21-28.2.22'!$A$6:$DA$404,79,FALSE)-VLOOKUP($A47,'01-02.2022'!$A$6:$DA$376,79,FALSE)</f>
        <v>6528.0301577787905</v>
      </c>
      <c r="CB47" s="70">
        <f t="shared" si="56"/>
        <v>3312.3206827005606</v>
      </c>
      <c r="CC47" s="566">
        <f>VLOOKUP($A47,'01-02.2021'!$A$6:$CZ$403,81,FALSE)+VLOOKUP($A47,'1.3.21-28.2.22'!$A$6:$DA$404,81,FALSE)-VLOOKUP($A47,'01-02.2022'!$A$6:$DA$376,81,FALSE)</f>
        <v>670.97310485553317</v>
      </c>
      <c r="CD47" s="566">
        <f>VLOOKUP($A47,'01-02.2021'!$A$6:$CZ$403,82,FALSE)+VLOOKUP($A47,'1.3.21-28.2.22'!$A$6:$DA$404,82,FALSE)-VLOOKUP($A47,'01-02.2022'!$A$6:$DA$376,82,FALSE)</f>
        <v>727.73360297349655</v>
      </c>
      <c r="CE47" s="70">
        <f t="shared" si="57"/>
        <v>56.76049811796338</v>
      </c>
      <c r="CF47" s="566">
        <f>VLOOKUP($A47,'01-02.2021'!$A$6:$CZ$403,84,FALSE)+VLOOKUP($A47,'1.3.21-28.2.22'!$A$6:$DA$404,84,FALSE)-VLOOKUP($A47,'01-02.2022'!$A$6:$DA$376,84,FALSE)</f>
        <v>80.943801552397588</v>
      </c>
      <c r="CG47" s="566">
        <f>VLOOKUP($A47,'01-02.2021'!$A$6:$CZ$403,85,FALSE)+VLOOKUP($A47,'1.3.21-28.2.22'!$A$6:$DA$404,85,FALSE)-VLOOKUP($A47,'01-02.2022'!$A$6:$DA$376,85,FALSE)</f>
        <v>0</v>
      </c>
      <c r="CH47" s="70">
        <f t="shared" si="58"/>
        <v>-80.943801552397588</v>
      </c>
      <c r="CI47" s="566">
        <f>VLOOKUP($A47,'01-02.2021'!$A$6:$CZ$403,87,FALSE)+VLOOKUP($A47,'1.3.21-28.2.22'!$A$6:$DA$404,87,FALSE)-VLOOKUP($A47,'01-02.2022'!$A$6:$DA$376,87,FALSE)</f>
        <v>4486.1777502203468</v>
      </c>
      <c r="CJ47" s="566">
        <f>VLOOKUP($A47,'01-02.2021'!$A$6:$CZ$403,88,FALSE)+VLOOKUP($A47,'1.3.21-28.2.22'!$A$6:$DA$404,88,FALSE)-VLOOKUP($A47,'01-02.2022'!$A$6:$DA$376,88,FALSE)</f>
        <v>5849.1090535348267</v>
      </c>
      <c r="CK47" s="70">
        <f t="shared" si="59"/>
        <v>1362.9313033144799</v>
      </c>
      <c r="CL47" s="566">
        <f>VLOOKUP($A47,'01-02.2021'!$A$6:$CZ$403,90,FALSE)+VLOOKUP($A47,'1.3.21-28.2.22'!$A$6:$DA$404,90,FALSE)-VLOOKUP($A47,'01-02.2022'!$A$6:$DA$376,90,FALSE)</f>
        <v>6083.4930064220725</v>
      </c>
      <c r="CM47" s="566">
        <f>VLOOKUP($A47,'01-02.2021'!$A$6:$CZ$403,91,FALSE)+VLOOKUP($A47,'1.3.21-28.2.22'!$A$6:$DA$404,91,FALSE)-VLOOKUP($A47,'01-02.2022'!$A$6:$DA$376,91,FALSE)</f>
        <v>5383.6436915381382</v>
      </c>
      <c r="CN47" s="52">
        <f t="shared" si="60"/>
        <v>-699.84931488393431</v>
      </c>
      <c r="CO47" s="39">
        <f t="shared" si="27"/>
        <v>10569.670756642419</v>
      </c>
      <c r="CP47" s="40">
        <f t="shared" si="61"/>
        <v>11232.752745072965</v>
      </c>
      <c r="CQ47" s="52">
        <f t="shared" si="62"/>
        <v>663.08198843054561</v>
      </c>
      <c r="CR47" s="72">
        <f t="shared" si="28"/>
        <v>142385.65846981341</v>
      </c>
      <c r="CS47" s="5">
        <f t="shared" si="28"/>
        <v>129601.31790538308</v>
      </c>
      <c r="CT47" s="52">
        <f t="shared" si="63"/>
        <v>-12784.340564430328</v>
      </c>
      <c r="CU47" s="77">
        <f t="shared" si="64"/>
        <v>170862.79016377608</v>
      </c>
      <c r="CV47" s="65">
        <f t="shared" si="65"/>
        <v>155521.58148645971</v>
      </c>
      <c r="CW47" s="35">
        <f t="shared" si="66"/>
        <v>-15341.208677316376</v>
      </c>
      <c r="CX47" s="566">
        <f>VLOOKUP($A47,'01-02.2021'!$A$6:$CZ$403,102,FALSE)+VLOOKUP($A47,'1.3.21-28.2.22'!$A$6:$DA$404,102,FALSE)-VLOOKUP($A47,'01-02.2022'!$A$6:$DA$376,102,FALSE)</f>
        <v>5953.7675986140839</v>
      </c>
      <c r="CY47" s="566">
        <f>VLOOKUP($A47,'01-02.2021'!$A$6:$CZ$403,103,FALSE)+VLOOKUP($A47,'1.3.21-28.2.22'!$A$6:$DA$404,103,FALSE)-VLOOKUP($A47,'01-02.2022'!$A$6:$DA$376,103,FALSE)</f>
        <v>21294.976275930501</v>
      </c>
      <c r="CZ47" s="52">
        <f t="shared" si="67"/>
        <v>15341.208677316417</v>
      </c>
      <c r="DA47" s="150">
        <f>'[2]побудинковий звіт'!DA47</f>
        <v>-2757.4429696341831</v>
      </c>
      <c r="DB47" s="2">
        <v>3</v>
      </c>
      <c r="DC47" s="414">
        <f>'[4]побудинковий звіт'!DC47</f>
        <v>37202.129999999997</v>
      </c>
      <c r="DD47" s="414">
        <f>'[4]побудинковий звіт'!DD47</f>
        <v>0</v>
      </c>
      <c r="DE47" s="557">
        <f>'[4]побудинковий звіт'!DE47</f>
        <v>21113.632620529286</v>
      </c>
      <c r="DF47" s="557">
        <f>'[4]побудинковий звіт'!DF47</f>
        <v>0</v>
      </c>
      <c r="DG47" s="321">
        <f>VLOOKUP(A47,'кошти 01.03.2021'!$A$6:$D$401,4,)</f>
        <v>18776.512558841569</v>
      </c>
      <c r="DH47" s="40">
        <f>'[3]побудинковий звіт'!DJ47</f>
        <v>183221.5970809737</v>
      </c>
      <c r="DI47" s="422">
        <f>'[3]побудинковий звіт'!CU47+'[3]побудинковий звіт'!CX47</f>
        <v>16088.497379470715</v>
      </c>
      <c r="DJ47" s="306">
        <f>'[3]побудинковий звіт'!DM47</f>
        <v>6.0421169690571013</v>
      </c>
      <c r="DK47" s="306">
        <f>'[3]побудинковий звіт'!DN47</f>
        <v>7.3961234000275127</v>
      </c>
      <c r="DL47" s="306">
        <f>'[3]побудинковий звіт'!DO47</f>
        <v>5.0321242600402067</v>
      </c>
      <c r="DM47" s="28">
        <f t="shared" ref="DM47:DM51" si="81">DJ47*G47+(F47-G47)*DK47</f>
        <v>16088.497379470713</v>
      </c>
      <c r="DN47" s="28">
        <f>DL47*H47</f>
        <v>0</v>
      </c>
      <c r="DO47" s="423">
        <f t="shared" si="29"/>
        <v>16088.497379470713</v>
      </c>
      <c r="DP47" s="94">
        <f t="shared" si="30"/>
        <v>0</v>
      </c>
      <c r="DQ47" s="28">
        <f t="shared" si="31"/>
        <v>16088.497379470713</v>
      </c>
      <c r="DR47" s="318"/>
      <c r="DT47" s="8"/>
      <c r="DU47" s="5"/>
      <c r="DX47" s="5">
        <f t="shared" si="32"/>
        <v>41748.903805204187</v>
      </c>
      <c r="DY47" s="5">
        <f t="shared" si="33"/>
        <v>21987.547875598393</v>
      </c>
      <c r="DZ47" s="159">
        <f>'[3]побудинковий звіт'!EA47</f>
        <v>3993.9761685019694</v>
      </c>
    </row>
    <row r="48" spans="1:130" x14ac:dyDescent="0.3">
      <c r="A48" s="325">
        <v>150000982</v>
      </c>
      <c r="B48" s="41" t="s">
        <v>497</v>
      </c>
      <c r="C48" s="42" t="s">
        <v>344</v>
      </c>
      <c r="D48" s="42"/>
      <c r="E48" s="293">
        <f t="shared" si="23"/>
        <v>5953.29</v>
      </c>
      <c r="F48" s="305">
        <f>'[3]побудинковий звіт'!F48</f>
        <v>5953.29</v>
      </c>
      <c r="G48" s="508">
        <f>'[3]побудинковий звіт'!G48</f>
        <v>569.36</v>
      </c>
      <c r="H48" s="560">
        <f>'[3]побудинковий звіт'!H48</f>
        <v>0</v>
      </c>
      <c r="I48" s="566">
        <f>VLOOKUP($A48,'01-02.2021'!$A$6:$CZ$403,9,FALSE)+VLOOKUP($A48,'1.3.21-28.2.22'!$A$6:$DA$404,9,FALSE)-VLOOKUP($A48,'01-02.2022'!$A$6:$DA$376,9,FALSE)</f>
        <v>15125.029321072474</v>
      </c>
      <c r="J48" s="566">
        <f>VLOOKUP($A48,'01-02.2021'!$A$6:$CZ$403,10,FALSE)+VLOOKUP($A48,'1.3.21-28.2.22'!$A$6:$DA$404,10,FALSE)-VLOOKUP($A48,'01-02.2022'!$A$6:$DA$376,10,FALSE)</f>
        <v>15014.904390527208</v>
      </c>
      <c r="K48" s="52">
        <f t="shared" si="34"/>
        <v>-110.12493054526567</v>
      </c>
      <c r="L48" s="566">
        <f>VLOOKUP($A48,'01-02.2021'!$A$6:$CZ$403,12,FALSE)+VLOOKUP($A48,'1.3.21-28.2.22'!$A$6:$DA$404,12,FALSE)-VLOOKUP($A48,'01-02.2022'!$A$6:$DA$376,12,FALSE)</f>
        <v>4005.1591699940718</v>
      </c>
      <c r="M48" s="566">
        <f>VLOOKUP($A48,'01-02.2021'!$A$6:$CZ$403,13,FALSE)+VLOOKUP($A48,'1.3.21-28.2.22'!$A$6:$DA$404,13,FALSE)-VLOOKUP($A48,'01-02.2022'!$A$6:$DA$376,13,FALSE)</f>
        <v>3998.9750211881596</v>
      </c>
      <c r="N48" s="52">
        <f t="shared" si="35"/>
        <v>-6.184148805912173</v>
      </c>
      <c r="O48" s="566">
        <f>VLOOKUP($A48,'01-02.2021'!$A$6:$CZ$403,15,FALSE)+VLOOKUP($A48,'1.3.21-28.2.22'!$A$6:$DA$404,15,FALSE)-VLOOKUP($A48,'01-02.2022'!$A$6:$DA$376,15,FALSE)</f>
        <v>7119.5128503142323</v>
      </c>
      <c r="P48" s="566">
        <f>VLOOKUP($A48,'01-02.2021'!$A$6:$CZ$403,16,FALSE)+VLOOKUP($A48,'1.3.21-28.2.22'!$A$6:$DA$404,16,FALSE)-VLOOKUP($A48,'01-02.2022'!$A$6:$DA$376,16,FALSE)</f>
        <v>7120.8250000000035</v>
      </c>
      <c r="Q48" s="70">
        <f t="shared" si="36"/>
        <v>1.3121496857711463</v>
      </c>
      <c r="R48" s="566">
        <f>VLOOKUP($A48,'01-02.2021'!$A$6:$CZ$403,18,FALSE)+VLOOKUP($A48,'1.3.21-28.2.22'!$A$6:$DA$404,18,FALSE)-VLOOKUP($A48,'01-02.2022'!$A$6:$DA$376,18,FALSE)</f>
        <v>1736.0329638818162</v>
      </c>
      <c r="S48" s="566">
        <f>VLOOKUP($A48,'01-02.2021'!$A$6:$CZ$403,19,FALSE)+VLOOKUP($A48,'1.3.21-28.2.22'!$A$6:$DA$404,19,FALSE)-VLOOKUP($A48,'01-02.2022'!$A$6:$DA$376,19,FALSE)</f>
        <v>1736.6383333333333</v>
      </c>
      <c r="T48" s="70">
        <f t="shared" si="37"/>
        <v>0.60536945151716282</v>
      </c>
      <c r="U48" s="566">
        <f>VLOOKUP($A48,'01-02.2021'!$A$6:$CZ$403,21,FALSE)+VLOOKUP($A48,'1.3.21-28.2.22'!$A$6:$DA$404,21,FALSE)-VLOOKUP($A48,'01-02.2022'!$A$6:$DA$376,21,FALSE)</f>
        <v>1007.187849608177</v>
      </c>
      <c r="V48" s="566">
        <f>VLOOKUP($A48,'01-02.2021'!$A$6:$CZ$403,22,FALSE)+VLOOKUP($A48,'1.3.21-28.2.22'!$A$6:$DA$404,22,FALSE)-VLOOKUP($A48,'01-02.2022'!$A$6:$DA$376,22,FALSE)</f>
        <v>894.90793478035198</v>
      </c>
      <c r="W48" s="70">
        <f t="shared" si="38"/>
        <v>-112.279914827825</v>
      </c>
      <c r="X48" s="566">
        <f>VLOOKUP($A48,'01-02.2021'!$A$6:$CZ$403,24,FALSE)+VLOOKUP($A48,'1.3.21-28.2.22'!$A$6:$DA$404,24,FALSE)-VLOOKUP($A48,'01-02.2022'!$A$6:$DA$376,24,FALSE)</f>
        <v>10658.598520733594</v>
      </c>
      <c r="Y48" s="566">
        <f>VLOOKUP($A48,'01-02.2021'!$A$6:$CZ$403,25,FALSE)+VLOOKUP($A48,'1.3.21-28.2.22'!$A$6:$DA$404,25,FALSE)-VLOOKUP($A48,'01-02.2022'!$A$6:$DA$376,25,FALSE)</f>
        <v>9171.0023518964954</v>
      </c>
      <c r="Z48" s="70">
        <f t="shared" si="39"/>
        <v>-1487.596168837099</v>
      </c>
      <c r="AA48" s="566">
        <f>VLOOKUP($A48,'01-02.2021'!$A$6:$CZ$403,27,FALSE)+VLOOKUP($A48,'1.3.21-28.2.22'!$A$6:$DA$404,27,FALSE)-VLOOKUP($A48,'01-02.2022'!$A$6:$DA$376,27,FALSE)</f>
        <v>1190.5260000000001</v>
      </c>
      <c r="AB48" s="566">
        <f>VLOOKUP($A48,'01-02.2021'!$A$6:$CZ$403,28,FALSE)+VLOOKUP($A48,'1.3.21-28.2.22'!$A$6:$DA$404,28,FALSE)-VLOOKUP($A48,'01-02.2022'!$A$6:$DA$376,28,FALSE)</f>
        <v>0</v>
      </c>
      <c r="AC48" s="70">
        <f t="shared" si="40"/>
        <v>-1190.5260000000001</v>
      </c>
      <c r="AD48" s="566">
        <f>VLOOKUP($A48,'01-02.2021'!$A$6:$CZ$403,30,FALSE)+VLOOKUP($A48,'1.3.21-28.2.22'!$A$6:$DA$404,30,FALSE)-VLOOKUP($A48,'01-02.2022'!$A$6:$DA$376,30,FALSE)</f>
        <v>25569.893416345829</v>
      </c>
      <c r="AE48" s="566">
        <f>VLOOKUP($A48,'01-02.2021'!$A$6:$CZ$403,31,FALSE)+VLOOKUP($A48,'1.3.21-28.2.22'!$A$6:$DA$404,31,FALSE)-VLOOKUP($A48,'01-02.2022'!$A$6:$DA$376,31,FALSE)</f>
        <v>27098.960482327442</v>
      </c>
      <c r="AF48" s="68">
        <f t="shared" si="41"/>
        <v>1529.0670659816133</v>
      </c>
      <c r="AG48" s="77">
        <f t="shared" si="24"/>
        <v>66411.940091950193</v>
      </c>
      <c r="AH48" s="53">
        <f t="shared" si="24"/>
        <v>65036.213514052994</v>
      </c>
      <c r="AI48" s="52">
        <f t="shared" si="42"/>
        <v>-1375.7265778971996</v>
      </c>
      <c r="AJ48" s="566">
        <f>VLOOKUP($A48,'01-02.2021'!$A$6:$CZ$403,36,FALSE)+VLOOKUP($A48,'1.3.21-28.2.22'!$A$6:$DA$404,36,FALSE)-VLOOKUP($A48,'01-02.2022'!$A$6:$DA$376,36,FALSE)</f>
        <v>71114.383085631431</v>
      </c>
      <c r="AK48" s="566">
        <f>VLOOKUP($A48,'01-02.2021'!$A$6:$CZ$403,37,FALSE)+VLOOKUP($A48,'1.3.21-28.2.22'!$A$6:$DA$404,37,FALSE)-VLOOKUP($A48,'01-02.2022'!$A$6:$DA$376,37,FALSE)</f>
        <v>70674.693072806258</v>
      </c>
      <c r="AL48" s="70">
        <f t="shared" si="43"/>
        <v>-439.69001282517274</v>
      </c>
      <c r="AM48" s="566">
        <f>VLOOKUP($A48,'01-02.2021'!$A$6:$CZ$403,39,FALSE)+VLOOKUP($A48,'1.3.21-28.2.22'!$A$6:$DA$404,39,FALSE)-VLOOKUP($A48,'01-02.2022'!$A$6:$DA$376,39,FALSE)</f>
        <v>0</v>
      </c>
      <c r="AN48" s="566">
        <f>VLOOKUP($A48,'01-02.2021'!$A$6:$CZ$403,40,FALSE)+VLOOKUP($A48,'1.3.21-28.2.22'!$A$6:$DA$404,40,FALSE)-VLOOKUP($A48,'01-02.2022'!$A$6:$DA$376,40,FALSE)</f>
        <v>0</v>
      </c>
      <c r="AO48" s="70">
        <f t="shared" si="44"/>
        <v>0</v>
      </c>
      <c r="AP48" s="566">
        <f>VLOOKUP($A48,'01-02.2021'!$A$6:$CZ$403,42,FALSE)+VLOOKUP($A48,'1.3.21-28.2.22'!$A$6:$DA$404,42,FALSE)-VLOOKUP($A48,'01-02.2022'!$A$6:$DA$376,42,FALSE)</f>
        <v>4554.8993438618027</v>
      </c>
      <c r="AQ48" s="566">
        <f>VLOOKUP($A48,'01-02.2021'!$A$6:$CZ$403,43,FALSE)+VLOOKUP($A48,'1.3.21-28.2.22'!$A$6:$DA$404,43,FALSE)-VLOOKUP($A48,'01-02.2022'!$A$6:$DA$376,43,FALSE)</f>
        <v>3941.859995027226</v>
      </c>
      <c r="AR48" s="70">
        <f t="shared" si="45"/>
        <v>-613.03934883457669</v>
      </c>
      <c r="AS48" s="566">
        <f>VLOOKUP($A48,'01-02.2021'!$A$6:$CZ$403,45,FALSE)+VLOOKUP($A48,'1.3.21-28.2.22'!$A$6:$DA$404,45,FALSE)-VLOOKUP($A48,'01-02.2022'!$A$6:$DA$376,45,FALSE)</f>
        <v>83283.191824336187</v>
      </c>
      <c r="AT48" s="566">
        <f>VLOOKUP($A48,'01-02.2021'!$A$6:$CZ$403,46,FALSE)+VLOOKUP($A48,'1.3.21-28.2.22'!$A$6:$DA$404,46,FALSE)-VLOOKUP($A48,'01-02.2022'!$A$6:$DA$376,46,FALSE)</f>
        <v>29745.968223241547</v>
      </c>
      <c r="AU48" s="78">
        <f t="shared" si="46"/>
        <v>-53537.223601094636</v>
      </c>
      <c r="AV48" s="566">
        <f>VLOOKUP($A48,'01-02.2021'!$A$6:$CZ$403,48,FALSE)+VLOOKUP($A48,'1.3.21-28.2.22'!$A$6:$DA$404,48,FALSE)-VLOOKUP($A48,'01-02.2022'!$A$6:$DA$376,48,FALSE)</f>
        <v>2673.9633081943321</v>
      </c>
      <c r="AW48" s="566">
        <f>VLOOKUP($A48,'01-02.2021'!$A$6:$CZ$403,49,FALSE)+VLOOKUP($A48,'1.3.21-28.2.22'!$A$6:$DA$404,49,FALSE)-VLOOKUP($A48,'01-02.2022'!$A$6:$DA$376,49,FALSE)</f>
        <v>1015</v>
      </c>
      <c r="AX48" s="55">
        <f t="shared" si="47"/>
        <v>-1658.9633081943321</v>
      </c>
      <c r="AY48" s="566">
        <f>VLOOKUP($A48,'01-02.2021'!$A$6:$CZ$403,51,FALSE)+VLOOKUP($A48,'1.3.21-28.2.22'!$A$6:$DA$404,51,FALSE)-VLOOKUP($A48,'01-02.2022'!$A$6:$DA$376,51,FALSE)</f>
        <v>5111.9807901093018</v>
      </c>
      <c r="AZ48" s="566">
        <f>VLOOKUP($A48,'01-02.2021'!$A$6:$CZ$403,52,FALSE)+VLOOKUP($A48,'1.3.21-28.2.22'!$A$6:$DA$404,52,FALSE)-VLOOKUP($A48,'01-02.2022'!$A$6:$DA$376,52,FALSE)</f>
        <v>6280</v>
      </c>
      <c r="BA48" s="38">
        <f t="shared" si="48"/>
        <v>1168.0192098906982</v>
      </c>
      <c r="BB48" s="566">
        <f>VLOOKUP($A48,'01-02.2021'!$A$6:$CZ$403,54,FALSE)+VLOOKUP($A48,'1.3.21-28.2.22'!$A$6:$DA$404,54,FALSE)-VLOOKUP($A48,'01-02.2022'!$A$6:$DA$376,54,FALSE)</f>
        <v>2094.1702444124326</v>
      </c>
      <c r="BC48" s="566">
        <f>VLOOKUP($A48,'01-02.2021'!$A$6:$CZ$403,55,FALSE)+VLOOKUP($A48,'1.3.21-28.2.22'!$A$6:$DA$404,55,FALSE)-VLOOKUP($A48,'01-02.2022'!$A$6:$DA$376,55,FALSE)</f>
        <v>1943</v>
      </c>
      <c r="BD48" s="55">
        <f t="shared" si="49"/>
        <v>-151.17024441243257</v>
      </c>
      <c r="BE48" s="566">
        <f>VLOOKUP($A48,'01-02.2021'!$A$6:$CZ$403,57,FALSE)+VLOOKUP($A48,'1.3.21-28.2.22'!$A$6:$DA$404,57,FALSE)-VLOOKUP($A48,'01-02.2022'!$A$6:$DA$376,57,FALSE)</f>
        <v>3550.0694313617769</v>
      </c>
      <c r="BF48" s="566">
        <f>VLOOKUP($A48,'01-02.2021'!$A$6:$CZ$403,58,FALSE)+VLOOKUP($A48,'1.3.21-28.2.22'!$A$6:$DA$404,58,FALSE)-VLOOKUP($A48,'01-02.2022'!$A$6:$DA$376,58,FALSE)</f>
        <v>1028</v>
      </c>
      <c r="BG48" s="55">
        <f t="shared" si="50"/>
        <v>-2522.0694313617769</v>
      </c>
      <c r="BH48" s="566">
        <f>VLOOKUP($A48,'01-02.2021'!$A$6:$CZ$403,60,FALSE)+VLOOKUP($A48,'1.3.21-28.2.22'!$A$6:$DA$404,60,FALSE)-VLOOKUP($A48,'01-02.2022'!$A$6:$DA$376,60,FALSE)</f>
        <v>1705.7918759812496</v>
      </c>
      <c r="BI48" s="566">
        <f>VLOOKUP($A48,'01-02.2021'!$A$6:$CZ$403,61,FALSE)+VLOOKUP($A48,'1.3.21-28.2.22'!$A$6:$DA$404,61,FALSE)-VLOOKUP($A48,'01-02.2022'!$A$6:$DA$376,61,FALSE)</f>
        <v>22</v>
      </c>
      <c r="BJ48" s="55">
        <f t="shared" si="51"/>
        <v>-1683.7918759812496</v>
      </c>
      <c r="BK48" s="566">
        <f>VLOOKUP($A48,'01-02.2021'!$A$6:$CZ$403,63,FALSE)+VLOOKUP($A48,'1.3.21-28.2.22'!$A$6:$DA$404,63,FALSE)-VLOOKUP($A48,'01-02.2022'!$A$6:$DA$376,63,FALSE)</f>
        <v>2663.3718980359999</v>
      </c>
      <c r="BL48" s="566">
        <f>VLOOKUP($A48,'01-02.2021'!$A$6:$CZ$403,64,FALSE)+VLOOKUP($A48,'1.3.21-28.2.22'!$A$6:$DA$404,64,FALSE)-VLOOKUP($A48,'01-02.2022'!$A$6:$DA$376,64,FALSE)</f>
        <v>0</v>
      </c>
      <c r="BM48" s="55">
        <f t="shared" si="52"/>
        <v>-2663.3718980359999</v>
      </c>
      <c r="BN48" s="566">
        <f>VLOOKUP($A48,'01-02.2021'!$A$6:$CZ$403,66,FALSE)+VLOOKUP($A48,'1.3.21-28.2.22'!$A$6:$DA$404,66,FALSE)-VLOOKUP($A48,'01-02.2022'!$A$6:$DA$376,66,FALSE)</f>
        <v>297.63150000000002</v>
      </c>
      <c r="BO48" s="566">
        <f>VLOOKUP($A48,'01-02.2021'!$A$6:$CZ$403,67,FALSE)+VLOOKUP($A48,'1.3.21-28.2.22'!$A$6:$DA$404,67,FALSE)-VLOOKUP($A48,'01-02.2022'!$A$6:$DA$376,67,FALSE)</f>
        <v>0</v>
      </c>
      <c r="BP48" s="55">
        <f t="shared" si="53"/>
        <v>-297.63150000000002</v>
      </c>
      <c r="BQ48" s="77">
        <f t="shared" si="79"/>
        <v>18096.979048095091</v>
      </c>
      <c r="BR48" s="40">
        <f t="shared" si="80"/>
        <v>10288</v>
      </c>
      <c r="BS48" s="55">
        <f t="shared" si="70"/>
        <v>-7808.9790480950905</v>
      </c>
      <c r="BT48" s="566">
        <f>VLOOKUP($A48,'01-02.2021'!$A$6:$CZ$403,72,FALSE)+VLOOKUP($A48,'1.3.21-28.2.22'!$A$6:$DA$404,72,FALSE)-VLOOKUP($A48,'01-02.2022'!$A$6:$DA$376,72,FALSE)</f>
        <v>56081.023045690672</v>
      </c>
      <c r="BU48" s="566">
        <f>VLOOKUP($A48,'01-02.2021'!$A$6:$CZ$403,73,FALSE)+VLOOKUP($A48,'1.3.21-28.2.22'!$A$6:$DA$404,73,FALSE)-VLOOKUP($A48,'01-02.2022'!$A$6:$DA$376,73,FALSE)</f>
        <v>55400.520769632189</v>
      </c>
      <c r="BV48" s="70">
        <f t="shared" si="54"/>
        <v>-680.5022760584834</v>
      </c>
      <c r="BW48" s="566">
        <f>VLOOKUP($A48,'01-02.2021'!$A$6:$CZ$403,75,FALSE)+VLOOKUP($A48,'1.3.21-28.2.22'!$A$6:$DA$404,75,FALSE)-VLOOKUP($A48,'01-02.2022'!$A$6:$DA$376,75,FALSE)</f>
        <v>57612.740117724585</v>
      </c>
      <c r="BX48" s="566">
        <f>VLOOKUP($A48,'01-02.2021'!$A$6:$CZ$403,76,FALSE)+VLOOKUP($A48,'1.3.21-28.2.22'!$A$6:$DA$404,76,FALSE)-VLOOKUP($A48,'01-02.2022'!$A$6:$DA$376,76,FALSE)</f>
        <v>58079.29354678269</v>
      </c>
      <c r="BY48" s="70">
        <f t="shared" si="55"/>
        <v>466.55342905810539</v>
      </c>
      <c r="BZ48" s="566">
        <f>VLOOKUP($A48,'01-02.2021'!$A$6:$CZ$403,78,FALSE)+VLOOKUP($A48,'1.3.21-28.2.22'!$A$6:$DA$404,78,FALSE)-VLOOKUP($A48,'01-02.2022'!$A$6:$DA$376,78,FALSE)</f>
        <v>8236.6794505187609</v>
      </c>
      <c r="CA48" s="566">
        <f>VLOOKUP($A48,'01-02.2021'!$A$6:$CZ$403,79,FALSE)+VLOOKUP($A48,'1.3.21-28.2.22'!$A$6:$DA$404,79,FALSE)-VLOOKUP($A48,'01-02.2022'!$A$6:$DA$376,79,FALSE)</f>
        <v>13713.124974545533</v>
      </c>
      <c r="CB48" s="70">
        <f t="shared" si="56"/>
        <v>5476.4455240267725</v>
      </c>
      <c r="CC48" s="566">
        <f>VLOOKUP($A48,'01-02.2021'!$A$6:$CZ$403,81,FALSE)+VLOOKUP($A48,'1.3.21-28.2.22'!$A$6:$DA$404,81,FALSE)-VLOOKUP($A48,'01-02.2022'!$A$6:$DA$376,81,FALSE)</f>
        <v>2015.6991815747497</v>
      </c>
      <c r="CD48" s="566">
        <f>VLOOKUP($A48,'01-02.2021'!$A$6:$CZ$403,82,FALSE)+VLOOKUP($A48,'1.3.21-28.2.22'!$A$6:$DA$404,82,FALSE)-VLOOKUP($A48,'01-02.2022'!$A$6:$DA$376,82,FALSE)</f>
        <v>2183.3175732370528</v>
      </c>
      <c r="CE48" s="70">
        <f t="shared" si="57"/>
        <v>167.61839166230311</v>
      </c>
      <c r="CF48" s="566">
        <f>VLOOKUP($A48,'01-02.2021'!$A$6:$CZ$403,84,FALSE)+VLOOKUP($A48,'1.3.21-28.2.22'!$A$6:$DA$404,84,FALSE)-VLOOKUP($A48,'01-02.2022'!$A$6:$DA$376,84,FALSE)</f>
        <v>242.84439203008512</v>
      </c>
      <c r="CG48" s="566">
        <f>VLOOKUP($A48,'01-02.2021'!$A$6:$CZ$403,85,FALSE)+VLOOKUP($A48,'1.3.21-28.2.22'!$A$6:$DA$404,85,FALSE)-VLOOKUP($A48,'01-02.2022'!$A$6:$DA$376,85,FALSE)</f>
        <v>0</v>
      </c>
      <c r="CH48" s="70">
        <f t="shared" si="58"/>
        <v>-242.84439203008512</v>
      </c>
      <c r="CI48" s="566">
        <f>VLOOKUP($A48,'01-02.2021'!$A$6:$CZ$403,87,FALSE)+VLOOKUP($A48,'1.3.21-28.2.22'!$A$6:$DA$404,87,FALSE)-VLOOKUP($A48,'01-02.2022'!$A$6:$DA$376,87,FALSE)</f>
        <v>22772.354209108886</v>
      </c>
      <c r="CJ48" s="566">
        <f>VLOOKUP($A48,'01-02.2021'!$A$6:$CZ$403,88,FALSE)+VLOOKUP($A48,'1.3.21-28.2.22'!$A$6:$DA$404,88,FALSE)-VLOOKUP($A48,'01-02.2022'!$A$6:$DA$376,88,FALSE)</f>
        <v>22682.999475124649</v>
      </c>
      <c r="CK48" s="70">
        <f t="shared" si="59"/>
        <v>-89.3547339842371</v>
      </c>
      <c r="CL48" s="566">
        <f>VLOOKUP($A48,'01-02.2021'!$A$6:$CZ$403,90,FALSE)+VLOOKUP($A48,'1.3.21-28.2.22'!$A$6:$DA$404,90,FALSE)-VLOOKUP($A48,'01-02.2022'!$A$6:$DA$376,90,FALSE)</f>
        <v>13406.437387408663</v>
      </c>
      <c r="CM48" s="566">
        <f>VLOOKUP($A48,'01-02.2021'!$A$6:$CZ$403,91,FALSE)+VLOOKUP($A48,'1.3.21-28.2.22'!$A$6:$DA$404,91,FALSE)-VLOOKUP($A48,'01-02.2022'!$A$6:$DA$376,91,FALSE)</f>
        <v>15250.034775004282</v>
      </c>
      <c r="CN48" s="52">
        <f t="shared" si="60"/>
        <v>1843.5973875956188</v>
      </c>
      <c r="CO48" s="39">
        <f t="shared" si="27"/>
        <v>36178.791596517549</v>
      </c>
      <c r="CP48" s="40">
        <f t="shared" si="61"/>
        <v>37933.034250128927</v>
      </c>
      <c r="CQ48" s="52">
        <f t="shared" si="62"/>
        <v>1754.242653611378</v>
      </c>
      <c r="CR48" s="72">
        <f t="shared" si="28"/>
        <v>403829.17117793107</v>
      </c>
      <c r="CS48" s="5">
        <f t="shared" si="28"/>
        <v>346996.02591945441</v>
      </c>
      <c r="CT48" s="52">
        <f t="shared" si="63"/>
        <v>-56833.145258476667</v>
      </c>
      <c r="CU48" s="77">
        <f t="shared" si="64"/>
        <v>484595.00541351724</v>
      </c>
      <c r="CV48" s="65">
        <f t="shared" si="65"/>
        <v>416395.23110334529</v>
      </c>
      <c r="CW48" s="35">
        <f t="shared" si="66"/>
        <v>-68199.774310171953</v>
      </c>
      <c r="CX48" s="566">
        <f>VLOOKUP($A48,'01-02.2021'!$A$6:$CZ$403,102,FALSE)+VLOOKUP($A48,'1.3.21-28.2.22'!$A$6:$DA$404,102,FALSE)-VLOOKUP($A48,'01-02.2022'!$A$6:$DA$376,102,FALSE)</f>
        <v>12161.970242870411</v>
      </c>
      <c r="CY48" s="566">
        <f>VLOOKUP($A48,'01-02.2021'!$A$6:$CZ$403,103,FALSE)+VLOOKUP($A48,'1.3.21-28.2.22'!$A$6:$DA$404,103,FALSE)-VLOOKUP($A48,'01-02.2022'!$A$6:$DA$376,103,FALSE)</f>
        <v>80361.744553042474</v>
      </c>
      <c r="CZ48" s="52">
        <f t="shared" si="67"/>
        <v>68199.77431017207</v>
      </c>
      <c r="DA48" s="150">
        <f>'[2]побудинковий звіт'!DA48</f>
        <v>356.49577044008765</v>
      </c>
      <c r="DB48" s="2">
        <v>3</v>
      </c>
      <c r="DC48" s="414">
        <f>'[4]побудинковий звіт'!DC48</f>
        <v>78744.789999999994</v>
      </c>
      <c r="DD48" s="414">
        <f>'[4]побудинковий звіт'!DD48</f>
        <v>0</v>
      </c>
      <c r="DE48" s="557">
        <f>'[4]побудинковий звіт'!DE48</f>
        <v>33614.70842854384</v>
      </c>
      <c r="DF48" s="557">
        <f>'[4]побудинковий звіт'!DF48</f>
        <v>0</v>
      </c>
      <c r="DG48" s="321">
        <f>VLOOKUP(A48,'кошти 01.03.2021'!$A$6:$D$401,4,)</f>
        <v>89168.452243524633</v>
      </c>
      <c r="DH48" s="40">
        <f>'[3]побудинковий звіт'!DJ48</f>
        <v>514416.23911586637</v>
      </c>
      <c r="DI48" s="422">
        <f>'[3]побудинковий звіт'!CU48+'[3]побудинковий звіт'!CX48</f>
        <v>45130.081571456161</v>
      </c>
      <c r="DJ48" s="306">
        <f>'[3]побудинковий звіт'!DM48</f>
        <v>5.9306016635307897</v>
      </c>
      <c r="DK48" s="306">
        <f>'[3]побудинковий звіт'!DN48</f>
        <v>7.7551963358194227</v>
      </c>
      <c r="DL48" s="306">
        <f>'[3]побудинковий звіт'!DO48</f>
        <v>4.7935738498184897</v>
      </c>
      <c r="DM48" s="28">
        <f t="shared" si="81"/>
        <v>45130.081571456154</v>
      </c>
      <c r="DN48" s="28">
        <f>DL48*H48</f>
        <v>0</v>
      </c>
      <c r="DO48" s="423">
        <f t="shared" si="29"/>
        <v>45130.081571456154</v>
      </c>
      <c r="DP48" s="94">
        <f t="shared" si="30"/>
        <v>0</v>
      </c>
      <c r="DQ48" s="28">
        <f t="shared" si="31"/>
        <v>45130.081571456154</v>
      </c>
      <c r="DR48" s="318"/>
      <c r="DT48" s="8"/>
      <c r="DU48" s="5"/>
      <c r="DX48" s="5">
        <f t="shared" si="32"/>
        <v>121656.20504691753</v>
      </c>
      <c r="DY48" s="5">
        <f t="shared" si="33"/>
        <v>48040.761867889858</v>
      </c>
      <c r="DZ48" s="159">
        <f>'[3]побудинковий звіт'!EA48</f>
        <v>11308.265917130453</v>
      </c>
    </row>
    <row r="49" spans="1:130" x14ac:dyDescent="0.3">
      <c r="A49" s="325">
        <v>150000983</v>
      </c>
      <c r="B49" s="41" t="s">
        <v>498</v>
      </c>
      <c r="C49" s="42" t="s">
        <v>345</v>
      </c>
      <c r="D49" s="42"/>
      <c r="E49" s="293">
        <f t="shared" si="23"/>
        <v>3858.65</v>
      </c>
      <c r="F49" s="305">
        <f>'[3]побудинковий звіт'!F49</f>
        <v>3858.65</v>
      </c>
      <c r="G49" s="508">
        <f>'[3]побудинковий звіт'!G49</f>
        <v>441.5</v>
      </c>
      <c r="H49" s="560">
        <f>'[3]побудинковий звіт'!H49</f>
        <v>0</v>
      </c>
      <c r="I49" s="566">
        <f>VLOOKUP($A49,'01-02.2021'!$A$6:$CZ$403,9,FALSE)+VLOOKUP($A49,'1.3.21-28.2.22'!$A$6:$DA$404,9,FALSE)-VLOOKUP($A49,'01-02.2022'!$A$6:$DA$376,9,FALSE)</f>
        <v>9955.6057920914955</v>
      </c>
      <c r="J49" s="566">
        <f>VLOOKUP($A49,'01-02.2021'!$A$6:$CZ$403,10,FALSE)+VLOOKUP($A49,'1.3.21-28.2.22'!$A$6:$DA$404,10,FALSE)-VLOOKUP($A49,'01-02.2022'!$A$6:$DA$376,10,FALSE)</f>
        <v>9917.4302186710975</v>
      </c>
      <c r="K49" s="52">
        <f t="shared" si="34"/>
        <v>-38.175573420397996</v>
      </c>
      <c r="L49" s="566">
        <f>VLOOKUP($A49,'01-02.2021'!$A$6:$CZ$403,12,FALSE)+VLOOKUP($A49,'1.3.21-28.2.22'!$A$6:$DA$404,12,FALSE)-VLOOKUP($A49,'01-02.2022'!$A$6:$DA$376,12,FALSE)</f>
        <v>1494.1380041801158</v>
      </c>
      <c r="M49" s="566">
        <f>VLOOKUP($A49,'01-02.2021'!$A$6:$CZ$403,13,FALSE)+VLOOKUP($A49,'1.3.21-28.2.22'!$A$6:$DA$404,13,FALSE)-VLOOKUP($A49,'01-02.2022'!$A$6:$DA$376,13,FALSE)</f>
        <v>1491.7851368545296</v>
      </c>
      <c r="N49" s="52">
        <f t="shared" si="35"/>
        <v>-2.3528673255862032</v>
      </c>
      <c r="O49" s="566">
        <f>VLOOKUP($A49,'01-02.2021'!$A$6:$CZ$403,15,FALSE)+VLOOKUP($A49,'1.3.21-28.2.22'!$A$6:$DA$404,15,FALSE)-VLOOKUP($A49,'01-02.2022'!$A$6:$DA$376,15,FALSE)</f>
        <v>4584.1391313625991</v>
      </c>
      <c r="P49" s="566">
        <f>VLOOKUP($A49,'01-02.2021'!$A$6:$CZ$403,16,FALSE)+VLOOKUP($A49,'1.3.21-28.2.22'!$A$6:$DA$404,16,FALSE)-VLOOKUP($A49,'01-02.2022'!$A$6:$DA$376,16,FALSE)</f>
        <v>4584.1366666666663</v>
      </c>
      <c r="Q49" s="70">
        <f t="shared" si="36"/>
        <v>-2.4646959327583318E-3</v>
      </c>
      <c r="R49" s="566">
        <f>VLOOKUP($A49,'01-02.2021'!$A$6:$CZ$403,18,FALSE)+VLOOKUP($A49,'1.3.21-28.2.22'!$A$6:$DA$404,18,FALSE)-VLOOKUP($A49,'01-02.2022'!$A$6:$DA$376,18,FALSE)</f>
        <v>1172.9144987582665</v>
      </c>
      <c r="S49" s="566">
        <f>VLOOKUP($A49,'01-02.2021'!$A$6:$CZ$403,19,FALSE)+VLOOKUP($A49,'1.3.21-28.2.22'!$A$6:$DA$404,19,FALSE)-VLOOKUP($A49,'01-02.2022'!$A$6:$DA$376,19,FALSE)</f>
        <v>1173.2916666666667</v>
      </c>
      <c r="T49" s="70">
        <f t="shared" si="37"/>
        <v>0.37716790840022441</v>
      </c>
      <c r="U49" s="566">
        <f>VLOOKUP($A49,'01-02.2021'!$A$6:$CZ$403,21,FALSE)+VLOOKUP($A49,'1.3.21-28.2.22'!$A$6:$DA$404,21,FALSE)-VLOOKUP($A49,'01-02.2022'!$A$6:$DA$376,21,FALSE)</f>
        <v>671.36656966572173</v>
      </c>
      <c r="V49" s="566">
        <f>VLOOKUP($A49,'01-02.2021'!$A$6:$CZ$403,22,FALSE)+VLOOKUP($A49,'1.3.21-28.2.22'!$A$6:$DA$404,22,FALSE)-VLOOKUP($A49,'01-02.2022'!$A$6:$DA$376,22,FALSE)</f>
        <v>609.49562838983297</v>
      </c>
      <c r="W49" s="70">
        <f t="shared" si="38"/>
        <v>-61.870941275888754</v>
      </c>
      <c r="X49" s="566">
        <f>VLOOKUP($A49,'01-02.2021'!$A$6:$CZ$403,24,FALSE)+VLOOKUP($A49,'1.3.21-28.2.22'!$A$6:$DA$404,24,FALSE)-VLOOKUP($A49,'01-02.2022'!$A$6:$DA$376,24,FALSE)</f>
        <v>7800.0320470112456</v>
      </c>
      <c r="Y49" s="566">
        <f>VLOOKUP($A49,'01-02.2021'!$A$6:$CZ$403,25,FALSE)+VLOOKUP($A49,'1.3.21-28.2.22'!$A$6:$DA$404,25,FALSE)-VLOOKUP($A49,'01-02.2022'!$A$6:$DA$376,25,FALSE)</f>
        <v>6985.5492844766659</v>
      </c>
      <c r="Z49" s="70">
        <f t="shared" si="39"/>
        <v>-814.48276253457971</v>
      </c>
      <c r="AA49" s="566">
        <f>VLOOKUP($A49,'01-02.2021'!$A$6:$CZ$403,27,FALSE)+VLOOKUP($A49,'1.3.21-28.2.22'!$A$6:$DA$404,27,FALSE)-VLOOKUP($A49,'01-02.2022'!$A$6:$DA$376,27,FALSE)</f>
        <v>771.68000000000006</v>
      </c>
      <c r="AB49" s="566">
        <f>VLOOKUP($A49,'01-02.2021'!$A$6:$CZ$403,28,FALSE)+VLOOKUP($A49,'1.3.21-28.2.22'!$A$6:$DA$404,28,FALSE)-VLOOKUP($A49,'01-02.2022'!$A$6:$DA$376,28,FALSE)</f>
        <v>0</v>
      </c>
      <c r="AC49" s="70">
        <f t="shared" si="40"/>
        <v>-771.68000000000006</v>
      </c>
      <c r="AD49" s="566">
        <f>VLOOKUP($A49,'01-02.2021'!$A$6:$CZ$403,30,FALSE)+VLOOKUP($A49,'1.3.21-28.2.22'!$A$6:$DA$404,30,FALSE)-VLOOKUP($A49,'01-02.2022'!$A$6:$DA$376,30,FALSE)</f>
        <v>16573.530869399634</v>
      </c>
      <c r="AE49" s="566">
        <f>VLOOKUP($A49,'01-02.2021'!$A$6:$CZ$403,31,FALSE)+VLOOKUP($A49,'1.3.21-28.2.22'!$A$6:$DA$404,31,FALSE)-VLOOKUP($A49,'01-02.2022'!$A$6:$DA$376,31,FALSE)</f>
        <v>17564.145033402838</v>
      </c>
      <c r="AF49" s="68">
        <f t="shared" si="41"/>
        <v>990.61416400320377</v>
      </c>
      <c r="AG49" s="77">
        <f t="shared" si="24"/>
        <v>43023.40691246908</v>
      </c>
      <c r="AH49" s="53">
        <f t="shared" si="24"/>
        <v>42325.833635128292</v>
      </c>
      <c r="AI49" s="52">
        <f t="shared" si="42"/>
        <v>-697.57327734078717</v>
      </c>
      <c r="AJ49" s="566">
        <f>VLOOKUP($A49,'01-02.2021'!$A$6:$CZ$403,36,FALSE)+VLOOKUP($A49,'1.3.21-28.2.22'!$A$6:$DA$404,36,FALSE)-VLOOKUP($A49,'01-02.2022'!$A$6:$DA$376,36,FALSE)</f>
        <v>47409.588723754277</v>
      </c>
      <c r="AK49" s="566">
        <f>VLOOKUP($A49,'01-02.2021'!$A$6:$CZ$403,37,FALSE)+VLOOKUP($A49,'1.3.21-28.2.22'!$A$6:$DA$404,37,FALSE)-VLOOKUP($A49,'01-02.2022'!$A$6:$DA$376,37,FALSE)</f>
        <v>47116.41781655424</v>
      </c>
      <c r="AL49" s="70">
        <f t="shared" si="43"/>
        <v>-293.17090720003762</v>
      </c>
      <c r="AM49" s="566">
        <f>VLOOKUP($A49,'01-02.2021'!$A$6:$CZ$403,39,FALSE)+VLOOKUP($A49,'1.3.21-28.2.22'!$A$6:$DA$404,39,FALSE)-VLOOKUP($A49,'01-02.2022'!$A$6:$DA$376,39,FALSE)</f>
        <v>0</v>
      </c>
      <c r="AN49" s="566">
        <f>VLOOKUP($A49,'01-02.2021'!$A$6:$CZ$403,40,FALSE)+VLOOKUP($A49,'1.3.21-28.2.22'!$A$6:$DA$404,40,FALSE)-VLOOKUP($A49,'01-02.2022'!$A$6:$DA$376,40,FALSE)</f>
        <v>0</v>
      </c>
      <c r="AO49" s="70">
        <f t="shared" si="44"/>
        <v>0</v>
      </c>
      <c r="AP49" s="566">
        <f>VLOOKUP($A49,'01-02.2021'!$A$6:$CZ$403,42,FALSE)+VLOOKUP($A49,'1.3.21-28.2.22'!$A$6:$DA$404,42,FALSE)-VLOOKUP($A49,'01-02.2022'!$A$6:$DA$376,42,FALSE)</f>
        <v>3036.5995625745354</v>
      </c>
      <c r="AQ49" s="566">
        <f>VLOOKUP($A49,'01-02.2021'!$A$6:$CZ$403,43,FALSE)+VLOOKUP($A49,'1.3.21-28.2.22'!$A$6:$DA$404,43,FALSE)-VLOOKUP($A49,'01-02.2022'!$A$6:$DA$376,43,FALSE)</f>
        <v>2511.768463198483</v>
      </c>
      <c r="AR49" s="70">
        <f t="shared" si="45"/>
        <v>-524.83109937605241</v>
      </c>
      <c r="AS49" s="566">
        <f>VLOOKUP($A49,'01-02.2021'!$A$6:$CZ$403,45,FALSE)+VLOOKUP($A49,'1.3.21-28.2.22'!$A$6:$DA$404,45,FALSE)-VLOOKUP($A49,'01-02.2022'!$A$6:$DA$376,45,FALSE)</f>
        <v>54827.252436916096</v>
      </c>
      <c r="AT49" s="566">
        <f>VLOOKUP($A49,'01-02.2021'!$A$6:$CZ$403,46,FALSE)+VLOOKUP($A49,'1.3.21-28.2.22'!$A$6:$DA$404,46,FALSE)-VLOOKUP($A49,'01-02.2022'!$A$6:$DA$376,46,FALSE)</f>
        <v>17793.489999999998</v>
      </c>
      <c r="AU49" s="78">
        <f t="shared" si="46"/>
        <v>-37033.762436916099</v>
      </c>
      <c r="AV49" s="566">
        <f>VLOOKUP($A49,'01-02.2021'!$A$6:$CZ$403,48,FALSE)+VLOOKUP($A49,'1.3.21-28.2.22'!$A$6:$DA$404,48,FALSE)-VLOOKUP($A49,'01-02.2022'!$A$6:$DA$376,48,FALSE)</f>
        <v>1749.0249339281986</v>
      </c>
      <c r="AW49" s="566">
        <f>VLOOKUP($A49,'01-02.2021'!$A$6:$CZ$403,49,FALSE)+VLOOKUP($A49,'1.3.21-28.2.22'!$A$6:$DA$404,49,FALSE)-VLOOKUP($A49,'01-02.2022'!$A$6:$DA$376,49,FALSE)</f>
        <v>5875</v>
      </c>
      <c r="AX49" s="55">
        <f t="shared" si="47"/>
        <v>4125.9750660718018</v>
      </c>
      <c r="AY49" s="566">
        <f>VLOOKUP($A49,'01-02.2021'!$A$6:$CZ$403,51,FALSE)+VLOOKUP($A49,'1.3.21-28.2.22'!$A$6:$DA$404,51,FALSE)-VLOOKUP($A49,'01-02.2022'!$A$6:$DA$376,51,FALSE)</f>
        <v>1925.5516585233315</v>
      </c>
      <c r="AZ49" s="566">
        <f>VLOOKUP($A49,'01-02.2021'!$A$6:$CZ$403,52,FALSE)+VLOOKUP($A49,'1.3.21-28.2.22'!$A$6:$DA$404,52,FALSE)-VLOOKUP($A49,'01-02.2022'!$A$6:$DA$376,52,FALSE)</f>
        <v>0</v>
      </c>
      <c r="BA49" s="38">
        <f t="shared" si="48"/>
        <v>-1925.5516585233315</v>
      </c>
      <c r="BB49" s="566">
        <f>VLOOKUP($A49,'01-02.2021'!$A$6:$CZ$403,54,FALSE)+VLOOKUP($A49,'1.3.21-28.2.22'!$A$6:$DA$404,54,FALSE)-VLOOKUP($A49,'01-02.2022'!$A$6:$DA$376,54,FALSE)</f>
        <v>1341.7400184718153</v>
      </c>
      <c r="BC49" s="566">
        <f>VLOOKUP($A49,'01-02.2021'!$A$6:$CZ$403,55,FALSE)+VLOOKUP($A49,'1.3.21-28.2.22'!$A$6:$DA$404,55,FALSE)-VLOOKUP($A49,'01-02.2022'!$A$6:$DA$376,55,FALSE)</f>
        <v>0</v>
      </c>
      <c r="BD49" s="55">
        <f t="shared" si="49"/>
        <v>-1341.7400184718153</v>
      </c>
      <c r="BE49" s="566">
        <f>VLOOKUP($A49,'01-02.2021'!$A$6:$CZ$403,57,FALSE)+VLOOKUP($A49,'1.3.21-28.2.22'!$A$6:$DA$404,57,FALSE)-VLOOKUP($A49,'01-02.2022'!$A$6:$DA$376,57,FALSE)</f>
        <v>2437.0767902915559</v>
      </c>
      <c r="BF49" s="566">
        <f>VLOOKUP($A49,'01-02.2021'!$A$6:$CZ$403,58,FALSE)+VLOOKUP($A49,'1.3.21-28.2.22'!$A$6:$DA$404,58,FALSE)-VLOOKUP($A49,'01-02.2022'!$A$6:$DA$376,58,FALSE)</f>
        <v>586</v>
      </c>
      <c r="BG49" s="55">
        <f t="shared" si="50"/>
        <v>-1851.0767902915559</v>
      </c>
      <c r="BH49" s="566">
        <f>VLOOKUP($A49,'01-02.2021'!$A$6:$CZ$403,60,FALSE)+VLOOKUP($A49,'1.3.21-28.2.22'!$A$6:$DA$404,60,FALSE)-VLOOKUP($A49,'01-02.2022'!$A$6:$DA$376,60,FALSE)</f>
        <v>1137.1593573294506</v>
      </c>
      <c r="BI49" s="566">
        <f>VLOOKUP($A49,'01-02.2021'!$A$6:$CZ$403,61,FALSE)+VLOOKUP($A49,'1.3.21-28.2.22'!$A$6:$DA$404,61,FALSE)-VLOOKUP($A49,'01-02.2022'!$A$6:$DA$376,61,FALSE)</f>
        <v>39</v>
      </c>
      <c r="BJ49" s="55">
        <f t="shared" si="51"/>
        <v>-1098.1593573294506</v>
      </c>
      <c r="BK49" s="566">
        <f>VLOOKUP($A49,'01-02.2021'!$A$6:$CZ$403,63,FALSE)+VLOOKUP($A49,'1.3.21-28.2.22'!$A$6:$DA$404,63,FALSE)-VLOOKUP($A49,'01-02.2022'!$A$6:$DA$376,63,FALSE)</f>
        <v>1633.3094339706709</v>
      </c>
      <c r="BL49" s="566">
        <f>VLOOKUP($A49,'01-02.2021'!$A$6:$CZ$403,64,FALSE)+VLOOKUP($A49,'1.3.21-28.2.22'!$A$6:$DA$404,64,FALSE)-VLOOKUP($A49,'01-02.2022'!$A$6:$DA$376,64,FALSE)</f>
        <v>0</v>
      </c>
      <c r="BM49" s="55">
        <f t="shared" si="52"/>
        <v>-1633.3094339706709</v>
      </c>
      <c r="BN49" s="566">
        <f>VLOOKUP($A49,'01-02.2021'!$A$6:$CZ$403,66,FALSE)+VLOOKUP($A49,'1.3.21-28.2.22'!$A$6:$DA$404,66,FALSE)-VLOOKUP($A49,'01-02.2022'!$A$6:$DA$376,66,FALSE)</f>
        <v>192.92000000000002</v>
      </c>
      <c r="BO49" s="566">
        <f>VLOOKUP($A49,'01-02.2021'!$A$6:$CZ$403,67,FALSE)+VLOOKUP($A49,'1.3.21-28.2.22'!$A$6:$DA$404,67,FALSE)-VLOOKUP($A49,'01-02.2022'!$A$6:$DA$376,67,FALSE)</f>
        <v>0</v>
      </c>
      <c r="BP49" s="55">
        <f t="shared" si="53"/>
        <v>-192.92000000000002</v>
      </c>
      <c r="BQ49" s="77">
        <f t="shared" si="79"/>
        <v>10416.782192515024</v>
      </c>
      <c r="BR49" s="40">
        <f t="shared" si="80"/>
        <v>6500</v>
      </c>
      <c r="BS49" s="55">
        <f t="shared" si="70"/>
        <v>-3916.7821925150238</v>
      </c>
      <c r="BT49" s="566">
        <f>VLOOKUP($A49,'01-02.2021'!$A$6:$CZ$403,72,FALSE)+VLOOKUP($A49,'1.3.21-28.2.22'!$A$6:$DA$404,72,FALSE)-VLOOKUP($A49,'01-02.2022'!$A$6:$DA$376,72,FALSE)</f>
        <v>34363.56399431602</v>
      </c>
      <c r="BU49" s="566">
        <f>VLOOKUP($A49,'01-02.2021'!$A$6:$CZ$403,73,FALSE)+VLOOKUP($A49,'1.3.21-28.2.22'!$A$6:$DA$404,73,FALSE)-VLOOKUP($A49,'01-02.2022'!$A$6:$DA$376,73,FALSE)</f>
        <v>34929.331659425297</v>
      </c>
      <c r="BV49" s="70">
        <f t="shared" si="54"/>
        <v>565.767665109277</v>
      </c>
      <c r="BW49" s="566">
        <f>VLOOKUP($A49,'01-02.2021'!$A$6:$CZ$403,75,FALSE)+VLOOKUP($A49,'1.3.21-28.2.22'!$A$6:$DA$404,75,FALSE)-VLOOKUP($A49,'01-02.2022'!$A$6:$DA$376,75,FALSE)</f>
        <v>37474.756943189241</v>
      </c>
      <c r="BX49" s="566">
        <f>VLOOKUP($A49,'01-02.2021'!$A$6:$CZ$403,76,FALSE)+VLOOKUP($A49,'1.3.21-28.2.22'!$A$6:$DA$404,76,FALSE)-VLOOKUP($A49,'01-02.2022'!$A$6:$DA$376,76,FALSE)</f>
        <v>37265.829660224088</v>
      </c>
      <c r="BY49" s="70">
        <f t="shared" si="55"/>
        <v>-208.9272829651527</v>
      </c>
      <c r="BZ49" s="566">
        <f>VLOOKUP($A49,'01-02.2021'!$A$6:$CZ$403,78,FALSE)+VLOOKUP($A49,'1.3.21-28.2.22'!$A$6:$DA$404,78,FALSE)-VLOOKUP($A49,'01-02.2022'!$A$6:$DA$376,78,FALSE)</f>
        <v>5418.0957674000911</v>
      </c>
      <c r="CA49" s="566">
        <f>VLOOKUP($A49,'01-02.2021'!$A$6:$CZ$403,79,FALSE)+VLOOKUP($A49,'1.3.21-28.2.22'!$A$6:$DA$404,79,FALSE)-VLOOKUP($A49,'01-02.2022'!$A$6:$DA$376,79,FALSE)</f>
        <v>8705.9325954116466</v>
      </c>
      <c r="CB49" s="70">
        <f t="shared" si="56"/>
        <v>3287.8368280115556</v>
      </c>
      <c r="CC49" s="566">
        <f>VLOOKUP($A49,'01-02.2021'!$A$6:$CZ$403,81,FALSE)+VLOOKUP($A49,'1.3.21-28.2.22'!$A$6:$DA$404,81,FALSE)-VLOOKUP($A49,'01-02.2022'!$A$6:$DA$376,81,FALSE)</f>
        <v>1083.2977301041412</v>
      </c>
      <c r="CD49" s="566">
        <f>VLOOKUP($A49,'01-02.2021'!$A$6:$CZ$403,82,FALSE)+VLOOKUP($A49,'1.3.21-28.2.22'!$A$6:$DA$404,82,FALSE)-VLOOKUP($A49,'01-02.2022'!$A$6:$DA$376,82,FALSE)</f>
        <v>1179.0276864861421</v>
      </c>
      <c r="CE49" s="70">
        <f t="shared" si="57"/>
        <v>95.729956382000864</v>
      </c>
      <c r="CF49" s="566">
        <f>VLOOKUP($A49,'01-02.2021'!$A$6:$CZ$403,84,FALSE)+VLOOKUP($A49,'1.3.21-28.2.22'!$A$6:$DA$404,84,FALSE)-VLOOKUP($A49,'01-02.2022'!$A$6:$DA$376,84,FALSE)</f>
        <v>131.13999778184265</v>
      </c>
      <c r="CG49" s="566">
        <f>VLOOKUP($A49,'01-02.2021'!$A$6:$CZ$403,85,FALSE)+VLOOKUP($A49,'1.3.21-28.2.22'!$A$6:$DA$404,85,FALSE)-VLOOKUP($A49,'01-02.2022'!$A$6:$DA$376,85,FALSE)</f>
        <v>0</v>
      </c>
      <c r="CH49" s="70">
        <f t="shared" si="58"/>
        <v>-131.13999778184265</v>
      </c>
      <c r="CI49" s="566">
        <f>VLOOKUP($A49,'01-02.2021'!$A$6:$CZ$403,87,FALSE)+VLOOKUP($A49,'1.3.21-28.2.22'!$A$6:$DA$404,87,FALSE)-VLOOKUP($A49,'01-02.2022'!$A$6:$DA$376,87,FALSE)</f>
        <v>2359.9494723676735</v>
      </c>
      <c r="CJ49" s="566">
        <f>VLOOKUP($A49,'01-02.2021'!$A$6:$CZ$403,88,FALSE)+VLOOKUP($A49,'1.3.21-28.2.22'!$A$6:$DA$404,88,FALSE)-VLOOKUP($A49,'01-02.2022'!$A$6:$DA$376,88,FALSE)</f>
        <v>708.37403617362247</v>
      </c>
      <c r="CK49" s="70">
        <f t="shared" si="59"/>
        <v>-1651.575436194051</v>
      </c>
      <c r="CL49" s="566">
        <f>VLOOKUP($A49,'01-02.2021'!$A$6:$CZ$403,90,FALSE)+VLOOKUP($A49,'1.3.21-28.2.22'!$A$6:$DA$404,90,FALSE)-VLOOKUP($A49,'01-02.2022'!$A$6:$DA$376,90,FALSE)</f>
        <v>6751.33046867128</v>
      </c>
      <c r="CM49" s="566">
        <f>VLOOKUP($A49,'01-02.2021'!$A$6:$CZ$403,91,FALSE)+VLOOKUP($A49,'1.3.21-28.2.22'!$A$6:$DA$404,91,FALSE)-VLOOKUP($A49,'01-02.2022'!$A$6:$DA$376,91,FALSE)</f>
        <v>9105.5586611449653</v>
      </c>
      <c r="CN49" s="52">
        <f t="shared" si="60"/>
        <v>2354.2281924736853</v>
      </c>
      <c r="CO49" s="39">
        <f t="shared" si="27"/>
        <v>9111.2799410389525</v>
      </c>
      <c r="CP49" s="40">
        <f t="shared" si="61"/>
        <v>9813.9326973185871</v>
      </c>
      <c r="CQ49" s="52">
        <f t="shared" si="62"/>
        <v>702.65275627963456</v>
      </c>
      <c r="CR49" s="72">
        <f t="shared" si="28"/>
        <v>246295.76420205933</v>
      </c>
      <c r="CS49" s="5">
        <f t="shared" si="28"/>
        <v>208141.56421374675</v>
      </c>
      <c r="CT49" s="52">
        <f t="shared" si="63"/>
        <v>-38154.199988312583</v>
      </c>
      <c r="CU49" s="77">
        <f t="shared" si="64"/>
        <v>295554.91704247118</v>
      </c>
      <c r="CV49" s="65">
        <f t="shared" si="65"/>
        <v>249769.8770564961</v>
      </c>
      <c r="CW49" s="35">
        <f t="shared" si="66"/>
        <v>-45785.039985975076</v>
      </c>
      <c r="CX49" s="566">
        <f>VLOOKUP($A49,'01-02.2021'!$A$6:$CZ$403,102,FALSE)+VLOOKUP($A49,'1.3.21-28.2.22'!$A$6:$DA$404,102,FALSE)-VLOOKUP($A49,'01-02.2022'!$A$6:$DA$376,102,FALSE)</f>
        <v>7416.6177169199264</v>
      </c>
      <c r="CY49" s="566">
        <f>VLOOKUP($A49,'01-02.2021'!$A$6:$CZ$403,103,FALSE)+VLOOKUP($A49,'1.3.21-28.2.22'!$A$6:$DA$404,103,FALSE)-VLOOKUP($A49,'01-02.2022'!$A$6:$DA$376,103,FALSE)</f>
        <v>53201.657702894947</v>
      </c>
      <c r="CZ49" s="52">
        <f t="shared" si="67"/>
        <v>45785.039985975018</v>
      </c>
      <c r="DA49" s="150">
        <f>'[2]побудинковий звіт'!DA49</f>
        <v>4689.0901293969873</v>
      </c>
      <c r="DB49" s="2">
        <v>3</v>
      </c>
      <c r="DC49" s="414">
        <f>'[4]побудинковий звіт'!DC49</f>
        <v>48757.72</v>
      </c>
      <c r="DD49" s="414">
        <f>'[4]побудинковий звіт'!DD49</f>
        <v>0</v>
      </c>
      <c r="DE49" s="557">
        <f>'[4]побудинковий звіт'!DE49</f>
        <v>21229.528032538183</v>
      </c>
      <c r="DF49" s="557">
        <f>'[4]побудинковий звіт'!DF49</f>
        <v>0</v>
      </c>
      <c r="DG49" s="321">
        <f>VLOOKUP(A49,'кошти 01.03.2021'!$A$6:$D$401,4,)</f>
        <v>52545.750166620492</v>
      </c>
      <c r="DH49" s="40">
        <f>'[3]побудинковий звіт'!DJ49</f>
        <v>313758.27732239664</v>
      </c>
      <c r="DI49" s="422">
        <f>'[3]побудинковий звіт'!CU49+'[3]побудинковий звіт'!CX49</f>
        <v>27528.191967461822</v>
      </c>
      <c r="DJ49" s="306">
        <f>'[3]побудинковий звіт'!DM49</f>
        <v>5.5021858027701382</v>
      </c>
      <c r="DK49" s="306">
        <f>'[3]побудинковий звіт'!DN49</f>
        <v>7.3450029807116461</v>
      </c>
      <c r="DL49" s="306">
        <f>'[3]побудинковий звіт'!DO49</f>
        <v>4.2929902431640103</v>
      </c>
      <c r="DM49" s="28">
        <f t="shared" si="81"/>
        <v>27528.191967461818</v>
      </c>
      <c r="DN49" s="28">
        <f>DL49*H49</f>
        <v>0</v>
      </c>
      <c r="DO49" s="423">
        <f t="shared" si="29"/>
        <v>27528.191967461818</v>
      </c>
      <c r="DP49" s="94">
        <f t="shared" si="30"/>
        <v>0</v>
      </c>
      <c r="DQ49" s="28">
        <f t="shared" si="31"/>
        <v>27528.191967461818</v>
      </c>
      <c r="DR49" s="318"/>
      <c r="DT49" s="8"/>
      <c r="DU49" s="5"/>
      <c r="DX49" s="5">
        <f t="shared" si="32"/>
        <v>78292.84155531734</v>
      </c>
      <c r="DY49" s="5">
        <f t="shared" si="33"/>
        <v>29152.187999999998</v>
      </c>
      <c r="DZ49" s="159">
        <f>'[3]побудинковий звіт'!EA49</f>
        <v>7111.6197140496124</v>
      </c>
    </row>
    <row r="50" spans="1:130" x14ac:dyDescent="0.3">
      <c r="A50" s="325">
        <v>150000984</v>
      </c>
      <c r="B50" s="41" t="s">
        <v>499</v>
      </c>
      <c r="C50" s="42" t="s">
        <v>346</v>
      </c>
      <c r="D50" s="42"/>
      <c r="E50" s="293">
        <f t="shared" si="23"/>
        <v>9788.74</v>
      </c>
      <c r="F50" s="305">
        <f>'[3]побудинковий звіт'!F50</f>
        <v>9788.74</v>
      </c>
      <c r="G50" s="508">
        <f>'[3]побудинковий звіт'!G50</f>
        <v>1089.02</v>
      </c>
      <c r="H50" s="560">
        <f>'[3]побудинковий звіт'!H50</f>
        <v>0</v>
      </c>
      <c r="I50" s="566">
        <f>VLOOKUP($A50,'01-02.2021'!$A$6:$CZ$403,9,FALSE)+VLOOKUP($A50,'1.3.21-28.2.22'!$A$6:$DA$404,9,FALSE)-VLOOKUP($A50,'01-02.2022'!$A$6:$DA$376,9,FALSE)</f>
        <v>24642.024540656814</v>
      </c>
      <c r="J50" s="566">
        <f>VLOOKUP($A50,'01-02.2021'!$A$6:$CZ$403,10,FALSE)+VLOOKUP($A50,'1.3.21-28.2.22'!$A$6:$DA$404,10,FALSE)-VLOOKUP($A50,'01-02.2022'!$A$6:$DA$376,10,FALSE)</f>
        <v>24272.797661353972</v>
      </c>
      <c r="K50" s="52">
        <f t="shared" si="34"/>
        <v>-369.22687930284155</v>
      </c>
      <c r="L50" s="566">
        <f>VLOOKUP($A50,'01-02.2021'!$A$6:$CZ$403,12,FALSE)+VLOOKUP($A50,'1.3.21-28.2.22'!$A$6:$DA$404,12,FALSE)-VLOOKUP($A50,'01-02.2022'!$A$6:$DA$376,12,FALSE)</f>
        <v>4143.0949739244825</v>
      </c>
      <c r="M50" s="566">
        <f>VLOOKUP($A50,'01-02.2021'!$A$6:$CZ$403,13,FALSE)+VLOOKUP($A50,'1.3.21-28.2.22'!$A$6:$DA$404,13,FALSE)-VLOOKUP($A50,'01-02.2022'!$A$6:$DA$376,13,FALSE)</f>
        <v>4136.6923161574241</v>
      </c>
      <c r="N50" s="52">
        <f t="shared" si="35"/>
        <v>-6.402657767058372</v>
      </c>
      <c r="O50" s="566">
        <f>VLOOKUP($A50,'01-02.2021'!$A$6:$CZ$403,15,FALSE)+VLOOKUP($A50,'1.3.21-28.2.22'!$A$6:$DA$404,15,FALSE)-VLOOKUP($A50,'01-02.2022'!$A$6:$DA$376,15,FALSE)</f>
        <v>11487.206845782342</v>
      </c>
      <c r="P50" s="566">
        <f>VLOOKUP($A50,'01-02.2021'!$A$6:$CZ$403,16,FALSE)+VLOOKUP($A50,'1.3.21-28.2.22'!$A$6:$DA$404,16,FALSE)-VLOOKUP($A50,'01-02.2022'!$A$6:$DA$376,16,FALSE)</f>
        <v>11485.451666666671</v>
      </c>
      <c r="Q50" s="70">
        <f t="shared" si="36"/>
        <v>-1.7551791156711261</v>
      </c>
      <c r="R50" s="566">
        <f>VLOOKUP($A50,'01-02.2021'!$A$6:$CZ$403,18,FALSE)+VLOOKUP($A50,'1.3.21-28.2.22'!$A$6:$DA$404,18,FALSE)-VLOOKUP($A50,'01-02.2022'!$A$6:$DA$376,18,FALSE)</f>
        <v>2713.1563999739087</v>
      </c>
      <c r="S50" s="566">
        <f>VLOOKUP($A50,'01-02.2021'!$A$6:$CZ$403,19,FALSE)+VLOOKUP($A50,'1.3.21-28.2.22'!$A$6:$DA$404,19,FALSE)-VLOOKUP($A50,'01-02.2022'!$A$6:$DA$376,19,FALSE)</f>
        <v>2711.4916666666663</v>
      </c>
      <c r="T50" s="70">
        <f t="shared" si="37"/>
        <v>-1.6647333072423862</v>
      </c>
      <c r="U50" s="566">
        <f>VLOOKUP($A50,'01-02.2021'!$A$6:$CZ$403,21,FALSE)+VLOOKUP($A50,'1.3.21-28.2.22'!$A$6:$DA$404,21,FALSE)-VLOOKUP($A50,'01-02.2022'!$A$6:$DA$376,21,FALSE)</f>
        <v>1007.187849608177</v>
      </c>
      <c r="V50" s="566">
        <f>VLOOKUP($A50,'01-02.2021'!$A$6:$CZ$403,22,FALSE)+VLOOKUP($A50,'1.3.21-28.2.22'!$A$6:$DA$404,22,FALSE)-VLOOKUP($A50,'01-02.2022'!$A$6:$DA$376,22,FALSE)</f>
        <v>894.90793478035198</v>
      </c>
      <c r="W50" s="70">
        <f t="shared" si="38"/>
        <v>-112.279914827825</v>
      </c>
      <c r="X50" s="566">
        <f>VLOOKUP($A50,'01-02.2021'!$A$6:$CZ$403,24,FALSE)+VLOOKUP($A50,'1.3.21-28.2.22'!$A$6:$DA$404,24,FALSE)-VLOOKUP($A50,'01-02.2022'!$A$6:$DA$376,24,FALSE)</f>
        <v>14296.376055086783</v>
      </c>
      <c r="Y50" s="566">
        <f>VLOOKUP($A50,'01-02.2021'!$A$6:$CZ$403,25,FALSE)+VLOOKUP($A50,'1.3.21-28.2.22'!$A$6:$DA$404,25,FALSE)-VLOOKUP($A50,'01-02.2022'!$A$6:$DA$376,25,FALSE)</f>
        <v>12801.417808712216</v>
      </c>
      <c r="Z50" s="70">
        <f t="shared" si="39"/>
        <v>-1494.9582463745664</v>
      </c>
      <c r="AA50" s="566">
        <f>VLOOKUP($A50,'01-02.2021'!$A$6:$CZ$403,27,FALSE)+VLOOKUP($A50,'1.3.21-28.2.22'!$A$6:$DA$404,27,FALSE)-VLOOKUP($A50,'01-02.2022'!$A$6:$DA$376,27,FALSE)</f>
        <v>1957.748</v>
      </c>
      <c r="AB50" s="566">
        <f>VLOOKUP($A50,'01-02.2021'!$A$6:$CZ$403,28,FALSE)+VLOOKUP($A50,'1.3.21-28.2.22'!$A$6:$DA$404,28,FALSE)-VLOOKUP($A50,'01-02.2022'!$A$6:$DA$376,28,FALSE)</f>
        <v>0</v>
      </c>
      <c r="AC50" s="70">
        <f t="shared" si="40"/>
        <v>-1957.748</v>
      </c>
      <c r="AD50" s="566">
        <f>VLOOKUP($A50,'01-02.2021'!$A$6:$CZ$403,30,FALSE)+VLOOKUP($A50,'1.3.21-28.2.22'!$A$6:$DA$404,30,FALSE)-VLOOKUP($A50,'01-02.2022'!$A$6:$DA$376,30,FALSE)</f>
        <v>42045.417327285264</v>
      </c>
      <c r="AE50" s="566">
        <f>VLOOKUP($A50,'01-02.2021'!$A$6:$CZ$403,31,FALSE)+VLOOKUP($A50,'1.3.21-28.2.22'!$A$6:$DA$404,31,FALSE)-VLOOKUP($A50,'01-02.2022'!$A$6:$DA$376,31,FALSE)</f>
        <v>44558.738890362743</v>
      </c>
      <c r="AF50" s="68">
        <f t="shared" si="41"/>
        <v>2513.3215630774794</v>
      </c>
      <c r="AG50" s="77">
        <f t="shared" si="24"/>
        <v>102292.21199231777</v>
      </c>
      <c r="AH50" s="53">
        <f t="shared" si="24"/>
        <v>100861.49794470004</v>
      </c>
      <c r="AI50" s="52">
        <f t="shared" si="42"/>
        <v>-1430.7140476177301</v>
      </c>
      <c r="AJ50" s="566">
        <f>VLOOKUP($A50,'01-02.2021'!$A$6:$CZ$403,36,FALSE)+VLOOKUP($A50,'1.3.21-28.2.22'!$A$6:$DA$404,36,FALSE)-VLOOKUP($A50,'01-02.2022'!$A$6:$DA$376,36,FALSE)</f>
        <v>50925.344689149984</v>
      </c>
      <c r="AK50" s="566">
        <f>VLOOKUP($A50,'01-02.2021'!$A$6:$CZ$403,37,FALSE)+VLOOKUP($A50,'1.3.21-28.2.22'!$A$6:$DA$404,37,FALSE)-VLOOKUP($A50,'01-02.2022'!$A$6:$DA$376,37,FALSE)</f>
        <v>50591.421477212891</v>
      </c>
      <c r="AL50" s="70">
        <f t="shared" si="43"/>
        <v>-333.92321193709358</v>
      </c>
      <c r="AM50" s="566">
        <f>VLOOKUP($A50,'01-02.2021'!$A$6:$CZ$403,39,FALSE)+VLOOKUP($A50,'1.3.21-28.2.22'!$A$6:$DA$404,39,FALSE)-VLOOKUP($A50,'01-02.2022'!$A$6:$DA$376,39,FALSE)</f>
        <v>525.37471249999999</v>
      </c>
      <c r="AN50" s="566">
        <f>VLOOKUP($A50,'01-02.2021'!$A$6:$CZ$403,40,FALSE)+VLOOKUP($A50,'1.3.21-28.2.22'!$A$6:$DA$404,40,FALSE)-VLOOKUP($A50,'01-02.2022'!$A$6:$DA$376,40,FALSE)</f>
        <v>0</v>
      </c>
      <c r="AO50" s="70">
        <f t="shared" si="44"/>
        <v>-525.37471249999999</v>
      </c>
      <c r="AP50" s="566">
        <f>VLOOKUP($A50,'01-02.2021'!$A$6:$CZ$403,42,FALSE)+VLOOKUP($A50,'1.3.21-28.2.22'!$A$6:$DA$404,42,FALSE)-VLOOKUP($A50,'01-02.2022'!$A$6:$DA$376,42,FALSE)</f>
        <v>6984.1789939214304</v>
      </c>
      <c r="AQ50" s="566">
        <f>VLOOKUP($A50,'01-02.2021'!$A$6:$CZ$403,43,FALSE)+VLOOKUP($A50,'1.3.21-28.2.22'!$A$6:$DA$404,43,FALSE)-VLOOKUP($A50,'01-02.2022'!$A$6:$DA$376,43,FALSE)</f>
        <v>5985.9673832468507</v>
      </c>
      <c r="AR50" s="70">
        <f t="shared" si="45"/>
        <v>-998.21161067457979</v>
      </c>
      <c r="AS50" s="566">
        <f>VLOOKUP($A50,'01-02.2021'!$A$6:$CZ$403,45,FALSE)+VLOOKUP($A50,'1.3.21-28.2.22'!$A$6:$DA$404,45,FALSE)-VLOOKUP($A50,'01-02.2022'!$A$6:$DA$376,45,FALSE)</f>
        <v>128339.02638496179</v>
      </c>
      <c r="AT50" s="566">
        <f>VLOOKUP($A50,'01-02.2021'!$A$6:$CZ$403,46,FALSE)+VLOOKUP($A50,'1.3.21-28.2.22'!$A$6:$DA$404,46,FALSE)-VLOOKUP($A50,'01-02.2022'!$A$6:$DA$376,46,FALSE)</f>
        <v>138905.23000000001</v>
      </c>
      <c r="AU50" s="78">
        <f t="shared" si="46"/>
        <v>10566.203615038219</v>
      </c>
      <c r="AV50" s="566">
        <f>VLOOKUP($A50,'01-02.2021'!$A$6:$CZ$403,48,FALSE)+VLOOKUP($A50,'1.3.21-28.2.22'!$A$6:$DA$404,48,FALSE)-VLOOKUP($A50,'01-02.2022'!$A$6:$DA$376,48,FALSE)</f>
        <v>5477.916369684518</v>
      </c>
      <c r="AW50" s="566">
        <f>VLOOKUP($A50,'01-02.2021'!$A$6:$CZ$403,49,FALSE)+VLOOKUP($A50,'1.3.21-28.2.22'!$A$6:$DA$404,49,FALSE)-VLOOKUP($A50,'01-02.2022'!$A$6:$DA$376,49,FALSE)</f>
        <v>91</v>
      </c>
      <c r="AX50" s="55">
        <f t="shared" si="47"/>
        <v>-5386.916369684518</v>
      </c>
      <c r="AY50" s="566">
        <f>VLOOKUP($A50,'01-02.2021'!$A$6:$CZ$403,51,FALSE)+VLOOKUP($A50,'1.3.21-28.2.22'!$A$6:$DA$404,51,FALSE)-VLOOKUP($A50,'01-02.2022'!$A$6:$DA$376,51,FALSE)</f>
        <v>6272.0762531065056</v>
      </c>
      <c r="AZ50" s="566">
        <f>VLOOKUP($A50,'01-02.2021'!$A$6:$CZ$403,52,FALSE)+VLOOKUP($A50,'1.3.21-28.2.22'!$A$6:$DA$404,52,FALSE)-VLOOKUP($A50,'01-02.2022'!$A$6:$DA$376,52,FALSE)</f>
        <v>0</v>
      </c>
      <c r="BA50" s="38">
        <f t="shared" si="48"/>
        <v>-6272.0762531065056</v>
      </c>
      <c r="BB50" s="566">
        <f>VLOOKUP($A50,'01-02.2021'!$A$6:$CZ$403,54,FALSE)+VLOOKUP($A50,'1.3.21-28.2.22'!$A$6:$DA$404,54,FALSE)-VLOOKUP($A50,'01-02.2022'!$A$6:$DA$376,54,FALSE)</f>
        <v>5545.5514023732376</v>
      </c>
      <c r="BC50" s="566">
        <f>VLOOKUP($A50,'01-02.2021'!$A$6:$CZ$403,55,FALSE)+VLOOKUP($A50,'1.3.21-28.2.22'!$A$6:$DA$404,55,FALSE)-VLOOKUP($A50,'01-02.2022'!$A$6:$DA$376,55,FALSE)</f>
        <v>2272</v>
      </c>
      <c r="BD50" s="55">
        <f t="shared" si="49"/>
        <v>-3273.5514023732376</v>
      </c>
      <c r="BE50" s="566">
        <f>VLOOKUP($A50,'01-02.2021'!$A$6:$CZ$403,57,FALSE)+VLOOKUP($A50,'1.3.21-28.2.22'!$A$6:$DA$404,57,FALSE)-VLOOKUP($A50,'01-02.2022'!$A$6:$DA$376,57,FALSE)</f>
        <v>6147.628512804009</v>
      </c>
      <c r="BF50" s="566">
        <f>VLOOKUP($A50,'01-02.2021'!$A$6:$CZ$403,58,FALSE)+VLOOKUP($A50,'1.3.21-28.2.22'!$A$6:$DA$404,58,FALSE)-VLOOKUP($A50,'01-02.2022'!$A$6:$DA$376,58,FALSE)</f>
        <v>2573</v>
      </c>
      <c r="BG50" s="55">
        <f t="shared" si="50"/>
        <v>-3574.628512804009</v>
      </c>
      <c r="BH50" s="566">
        <f>VLOOKUP($A50,'01-02.2021'!$A$6:$CZ$403,60,FALSE)+VLOOKUP($A50,'1.3.21-28.2.22'!$A$6:$DA$404,60,FALSE)-VLOOKUP($A50,'01-02.2022'!$A$6:$DA$376,60,FALSE)</f>
        <v>1913.5696814495238</v>
      </c>
      <c r="BI50" s="566">
        <f>VLOOKUP($A50,'01-02.2021'!$A$6:$CZ$403,61,FALSE)+VLOOKUP($A50,'1.3.21-28.2.22'!$A$6:$DA$404,61,FALSE)-VLOOKUP($A50,'01-02.2022'!$A$6:$DA$376,61,FALSE)</f>
        <v>3639</v>
      </c>
      <c r="BJ50" s="55">
        <f t="shared" si="51"/>
        <v>1725.4303185504762</v>
      </c>
      <c r="BK50" s="566">
        <f>VLOOKUP($A50,'01-02.2021'!$A$6:$CZ$403,63,FALSE)+VLOOKUP($A50,'1.3.21-28.2.22'!$A$6:$DA$404,63,FALSE)-VLOOKUP($A50,'01-02.2022'!$A$6:$DA$376,63,FALSE)</f>
        <v>4488.8559699725702</v>
      </c>
      <c r="BL50" s="566">
        <f>VLOOKUP($A50,'01-02.2021'!$A$6:$CZ$403,64,FALSE)+VLOOKUP($A50,'1.3.21-28.2.22'!$A$6:$DA$404,64,FALSE)-VLOOKUP($A50,'01-02.2022'!$A$6:$DA$376,64,FALSE)</f>
        <v>134</v>
      </c>
      <c r="BM50" s="55">
        <f t="shared" si="52"/>
        <v>-4354.8559699725702</v>
      </c>
      <c r="BN50" s="566">
        <f>VLOOKUP($A50,'01-02.2021'!$A$6:$CZ$403,66,FALSE)+VLOOKUP($A50,'1.3.21-28.2.22'!$A$6:$DA$404,66,FALSE)-VLOOKUP($A50,'01-02.2022'!$A$6:$DA$376,66,FALSE)</f>
        <v>489.43700000000001</v>
      </c>
      <c r="BO50" s="566">
        <f>VLOOKUP($A50,'01-02.2021'!$A$6:$CZ$403,67,FALSE)+VLOOKUP($A50,'1.3.21-28.2.22'!$A$6:$DA$404,67,FALSE)-VLOOKUP($A50,'01-02.2022'!$A$6:$DA$376,67,FALSE)</f>
        <v>0</v>
      </c>
      <c r="BP50" s="55">
        <f t="shared" si="53"/>
        <v>-489.43700000000001</v>
      </c>
      <c r="BQ50" s="77">
        <f t="shared" si="79"/>
        <v>30335.035189390364</v>
      </c>
      <c r="BR50" s="40">
        <f t="shared" si="80"/>
        <v>8709</v>
      </c>
      <c r="BS50" s="55">
        <f t="shared" si="70"/>
        <v>-21626.035189390364</v>
      </c>
      <c r="BT50" s="566">
        <f>VLOOKUP($A50,'01-02.2021'!$A$6:$CZ$403,72,FALSE)+VLOOKUP($A50,'1.3.21-28.2.22'!$A$6:$DA$404,72,FALSE)-VLOOKUP($A50,'01-02.2022'!$A$6:$DA$376,72,FALSE)</f>
        <v>92054.607427384995</v>
      </c>
      <c r="BU50" s="566">
        <f>VLOOKUP($A50,'01-02.2021'!$A$6:$CZ$403,73,FALSE)+VLOOKUP($A50,'1.3.21-28.2.22'!$A$6:$DA$404,73,FALSE)-VLOOKUP($A50,'01-02.2022'!$A$6:$DA$376,73,FALSE)</f>
        <v>73299.192356637926</v>
      </c>
      <c r="BV50" s="70">
        <f t="shared" si="54"/>
        <v>-18755.415070747069</v>
      </c>
      <c r="BW50" s="566">
        <f>VLOOKUP($A50,'01-02.2021'!$A$6:$CZ$403,75,FALSE)+VLOOKUP($A50,'1.3.21-28.2.22'!$A$6:$DA$404,75,FALSE)-VLOOKUP($A50,'01-02.2022'!$A$6:$DA$376,75,FALSE)</f>
        <v>61012.356867611343</v>
      </c>
      <c r="BX50" s="566">
        <f>VLOOKUP($A50,'01-02.2021'!$A$6:$CZ$403,76,FALSE)+VLOOKUP($A50,'1.3.21-28.2.22'!$A$6:$DA$404,76,FALSE)-VLOOKUP($A50,'01-02.2022'!$A$6:$DA$376,76,FALSE)</f>
        <v>51075.878011521287</v>
      </c>
      <c r="BY50" s="70">
        <f t="shared" si="55"/>
        <v>-9936.4788560900561</v>
      </c>
      <c r="BZ50" s="566">
        <f>VLOOKUP($A50,'01-02.2021'!$A$6:$CZ$403,78,FALSE)+VLOOKUP($A50,'1.3.21-28.2.22'!$A$6:$DA$404,78,FALSE)-VLOOKUP($A50,'01-02.2022'!$A$6:$DA$376,78,FALSE)</f>
        <v>10579.306549555784</v>
      </c>
      <c r="CA50" s="566">
        <f>VLOOKUP($A50,'01-02.2021'!$A$6:$CZ$403,79,FALSE)+VLOOKUP($A50,'1.3.21-28.2.22'!$A$6:$DA$404,79,FALSE)-VLOOKUP($A50,'01-02.2022'!$A$6:$DA$376,79,FALSE)</f>
        <v>17179.758408353227</v>
      </c>
      <c r="CB50" s="70">
        <f t="shared" si="56"/>
        <v>6600.4518587974435</v>
      </c>
      <c r="CC50" s="566">
        <f>VLOOKUP($A50,'01-02.2021'!$A$6:$CZ$403,81,FALSE)+VLOOKUP($A50,'1.3.21-28.2.22'!$A$6:$DA$404,81,FALSE)-VLOOKUP($A50,'01-02.2022'!$A$6:$DA$376,81,FALSE)</f>
        <v>2119.5155391977687</v>
      </c>
      <c r="CD50" s="566">
        <f>VLOOKUP($A50,'01-02.2021'!$A$6:$CZ$403,82,FALSE)+VLOOKUP($A50,'1.3.21-28.2.22'!$A$6:$DA$404,82,FALSE)-VLOOKUP($A50,'01-02.2022'!$A$6:$DA$376,82,FALSE)</f>
        <v>2309.1019332536098</v>
      </c>
      <c r="CE50" s="70">
        <f t="shared" si="57"/>
        <v>189.58639405584108</v>
      </c>
      <c r="CF50" s="566">
        <f>VLOOKUP($A50,'01-02.2021'!$A$6:$CZ$403,84,FALSE)+VLOOKUP($A50,'1.3.21-28.2.22'!$A$6:$DA$404,84,FALSE)-VLOOKUP($A50,'01-02.2022'!$A$6:$DA$376,84,FALSE)</f>
        <v>256.83503947851204</v>
      </c>
      <c r="CG50" s="566">
        <f>VLOOKUP($A50,'01-02.2021'!$A$6:$CZ$403,85,FALSE)+VLOOKUP($A50,'1.3.21-28.2.22'!$A$6:$DA$404,85,FALSE)-VLOOKUP($A50,'01-02.2022'!$A$6:$DA$376,85,FALSE)</f>
        <v>0</v>
      </c>
      <c r="CH50" s="70">
        <f t="shared" si="58"/>
        <v>-256.83503947851204</v>
      </c>
      <c r="CI50" s="566">
        <f>VLOOKUP($A50,'01-02.2021'!$A$6:$CZ$403,87,FALSE)+VLOOKUP($A50,'1.3.21-28.2.22'!$A$6:$DA$404,87,FALSE)-VLOOKUP($A50,'01-02.2022'!$A$6:$DA$376,87,FALSE)</f>
        <v>42412.788380139078</v>
      </c>
      <c r="CJ50" s="566">
        <f>VLOOKUP($A50,'01-02.2021'!$A$6:$CZ$403,88,FALSE)+VLOOKUP($A50,'1.3.21-28.2.22'!$A$6:$DA$404,88,FALSE)-VLOOKUP($A50,'01-02.2022'!$A$6:$DA$376,88,FALSE)</f>
        <v>38834.119176354892</v>
      </c>
      <c r="CK50" s="70">
        <f t="shared" si="59"/>
        <v>-3578.6692037841858</v>
      </c>
      <c r="CL50" s="566">
        <f>VLOOKUP($A50,'01-02.2021'!$A$6:$CZ$403,90,FALSE)+VLOOKUP($A50,'1.3.21-28.2.22'!$A$6:$DA$404,90,FALSE)-VLOOKUP($A50,'01-02.2022'!$A$6:$DA$376,90,FALSE)</f>
        <v>19154.19211260958</v>
      </c>
      <c r="CM50" s="566">
        <f>VLOOKUP($A50,'01-02.2021'!$A$6:$CZ$403,91,FALSE)+VLOOKUP($A50,'1.3.21-28.2.22'!$A$6:$DA$404,91,FALSE)-VLOOKUP($A50,'01-02.2022'!$A$6:$DA$376,91,FALSE)</f>
        <v>20104.899450141871</v>
      </c>
      <c r="CN50" s="52">
        <f t="shared" si="60"/>
        <v>950.70733753229069</v>
      </c>
      <c r="CO50" s="39">
        <f t="shared" si="27"/>
        <v>61566.980492748655</v>
      </c>
      <c r="CP50" s="40">
        <f t="shared" si="61"/>
        <v>58939.018626496763</v>
      </c>
      <c r="CQ50" s="52">
        <f t="shared" si="62"/>
        <v>-2627.9618662518915</v>
      </c>
      <c r="CR50" s="72">
        <f t="shared" si="28"/>
        <v>546990.77387821837</v>
      </c>
      <c r="CS50" s="5">
        <f t="shared" si="28"/>
        <v>507856.06614142266</v>
      </c>
      <c r="CT50" s="52">
        <f t="shared" si="63"/>
        <v>-39134.70773679571</v>
      </c>
      <c r="CU50" s="77">
        <f t="shared" si="64"/>
        <v>656388.92865386198</v>
      </c>
      <c r="CV50" s="65">
        <f t="shared" si="65"/>
        <v>609427.27936970722</v>
      </c>
      <c r="CW50" s="35">
        <f t="shared" si="66"/>
        <v>-46961.649284154759</v>
      </c>
      <c r="CX50" s="566">
        <f>VLOOKUP($A50,'01-02.2021'!$A$6:$CZ$403,102,FALSE)+VLOOKUP($A50,'1.3.21-28.2.22'!$A$6:$DA$404,102,FALSE)-VLOOKUP($A50,'01-02.2022'!$A$6:$DA$376,102,FALSE)</f>
        <v>22886.493894594631</v>
      </c>
      <c r="CY50" s="566">
        <f>VLOOKUP($A50,'01-02.2021'!$A$6:$CZ$403,103,FALSE)+VLOOKUP($A50,'1.3.21-28.2.22'!$A$6:$DA$404,103,FALSE)-VLOOKUP($A50,'01-02.2022'!$A$6:$DA$376,103,FALSE)</f>
        <v>69848.143178749669</v>
      </c>
      <c r="CZ50" s="52">
        <f t="shared" si="67"/>
        <v>46961.649284155035</v>
      </c>
      <c r="DA50" s="150">
        <f>'[2]побудинковий звіт'!DA50</f>
        <v>-53283.784979657226</v>
      </c>
      <c r="DB50" s="2">
        <v>3</v>
      </c>
      <c r="DC50" s="414">
        <f>'[4]побудинковий звіт'!DC50</f>
        <v>83983.71</v>
      </c>
      <c r="DD50" s="414">
        <f>'[4]побудинковий звіт'!DD50</f>
        <v>0</v>
      </c>
      <c r="DE50" s="557">
        <f>'[4]побудинковий звіт'!DE50</f>
        <v>22254.440260834075</v>
      </c>
      <c r="DF50" s="557">
        <f>'[4]побудинковий звіт'!DF50</f>
        <v>0</v>
      </c>
      <c r="DG50" s="321">
        <f>VLOOKUP(A50,'кошти 01.03.2021'!$A$6:$D$401,4,)</f>
        <v>20493.522798069229</v>
      </c>
      <c r="DH50" s="40">
        <f>'[3]побудинковий звіт'!DJ50</f>
        <v>703507.19993039174</v>
      </c>
      <c r="DI50" s="422">
        <f>'[3]побудинковий звіт'!CU50+'[3]побудинковий звіт'!CX50</f>
        <v>61729.269739165931</v>
      </c>
      <c r="DJ50" s="306">
        <f>'[3]побудинковий звіт'!DM50</f>
        <v>5.5224091950364445</v>
      </c>
      <c r="DK50" s="306">
        <f>'[3]побудинковий звіт'!DN50</f>
        <v>6.4042584908005491</v>
      </c>
      <c r="DL50" s="306">
        <f>'[3]побудинковий звіт'!DO50</f>
        <v>4.7781747592983397</v>
      </c>
      <c r="DM50" s="28">
        <f t="shared" si="81"/>
        <v>61729.269739165931</v>
      </c>
      <c r="DN50" s="28">
        <f>DL50*H50</f>
        <v>0</v>
      </c>
      <c r="DO50" s="423">
        <f t="shared" si="29"/>
        <v>61729.269739165931</v>
      </c>
      <c r="DP50" s="94">
        <f t="shared" si="30"/>
        <v>0</v>
      </c>
      <c r="DQ50" s="28">
        <f t="shared" si="31"/>
        <v>61729.269739165931</v>
      </c>
      <c r="DR50" s="318"/>
      <c r="DT50" s="8"/>
      <c r="DU50" s="5"/>
      <c r="DX50" s="5">
        <f t="shared" si="32"/>
        <v>190408.87388922257</v>
      </c>
      <c r="DY50" s="5">
        <f t="shared" si="33"/>
        <v>177137.076</v>
      </c>
      <c r="DZ50" s="159">
        <f>'[3]побудинковий звіт'!EA50</f>
        <v>18118.420640720244</v>
      </c>
    </row>
    <row r="51" spans="1:130" x14ac:dyDescent="0.3">
      <c r="A51" s="325">
        <v>150000986</v>
      </c>
      <c r="B51" s="41" t="s">
        <v>500</v>
      </c>
      <c r="C51" s="42" t="s">
        <v>347</v>
      </c>
      <c r="D51" s="42"/>
      <c r="E51" s="293">
        <f t="shared" si="23"/>
        <v>6581.9</v>
      </c>
      <c r="F51" s="305">
        <f>'[3]побудинковий звіт'!F51</f>
        <v>6581.9</v>
      </c>
      <c r="G51" s="508">
        <f>'[3]побудинковий звіт'!G51</f>
        <v>729.6</v>
      </c>
      <c r="H51" s="560">
        <f>'[3]побудинковий звіт'!H51</f>
        <v>0</v>
      </c>
      <c r="I51" s="566">
        <f>VLOOKUP($A51,'01-02.2021'!$A$6:$CZ$403,9,FALSE)+VLOOKUP($A51,'1.3.21-28.2.22'!$A$6:$DA$404,9,FALSE)-VLOOKUP($A51,'01-02.2022'!$A$6:$DA$376,9,FALSE)</f>
        <v>16453.248719752421</v>
      </c>
      <c r="J51" s="566">
        <f>VLOOKUP($A51,'01-02.2021'!$A$6:$CZ$403,10,FALSE)+VLOOKUP($A51,'1.3.21-28.2.22'!$A$6:$DA$404,10,FALSE)-VLOOKUP($A51,'01-02.2022'!$A$6:$DA$376,10,FALSE)</f>
        <v>16310.117430434115</v>
      </c>
      <c r="K51" s="52">
        <f t="shared" si="34"/>
        <v>-143.13128931830579</v>
      </c>
      <c r="L51" s="566">
        <f>VLOOKUP($A51,'01-02.2021'!$A$6:$CZ$403,12,FALSE)+VLOOKUP($A51,'1.3.21-28.2.22'!$A$6:$DA$404,12,FALSE)-VLOOKUP($A51,'01-02.2022'!$A$6:$DA$376,12,FALSE)</f>
        <v>2772.2166547510556</v>
      </c>
      <c r="M51" s="566">
        <f>VLOOKUP($A51,'01-02.2021'!$A$6:$CZ$403,13,FALSE)+VLOOKUP($A51,'1.3.21-28.2.22'!$A$6:$DA$404,13,FALSE)-VLOOKUP($A51,'01-02.2022'!$A$6:$DA$376,13,FALSE)</f>
        <v>2767.9144790034466</v>
      </c>
      <c r="N51" s="52">
        <f t="shared" si="35"/>
        <v>-4.3021757476089988</v>
      </c>
      <c r="O51" s="566">
        <f>VLOOKUP($A51,'01-02.2021'!$A$6:$CZ$403,15,FALSE)+VLOOKUP($A51,'1.3.21-28.2.22'!$A$6:$DA$404,15,FALSE)-VLOOKUP($A51,'01-02.2022'!$A$6:$DA$376,15,FALSE)</f>
        <v>7773.0246747729861</v>
      </c>
      <c r="P51" s="566">
        <f>VLOOKUP($A51,'01-02.2021'!$A$6:$CZ$403,16,FALSE)+VLOOKUP($A51,'1.3.21-28.2.22'!$A$6:$DA$404,16,FALSE)-VLOOKUP($A51,'01-02.2022'!$A$6:$DA$376,16,FALSE)</f>
        <v>7773.2366666666676</v>
      </c>
      <c r="Q51" s="70">
        <f t="shared" si="36"/>
        <v>0.21199189368144289</v>
      </c>
      <c r="R51" s="566">
        <f>VLOOKUP($A51,'01-02.2021'!$A$6:$CZ$403,18,FALSE)+VLOOKUP($A51,'1.3.21-28.2.22'!$A$6:$DA$404,18,FALSE)-VLOOKUP($A51,'01-02.2022'!$A$6:$DA$376,18,FALSE)</f>
        <v>1834.7931535535913</v>
      </c>
      <c r="S51" s="566">
        <f>VLOOKUP($A51,'01-02.2021'!$A$6:$CZ$403,19,FALSE)+VLOOKUP($A51,'1.3.21-28.2.22'!$A$6:$DA$404,19,FALSE)-VLOOKUP($A51,'01-02.2022'!$A$6:$DA$376,19,FALSE)</f>
        <v>1834.3783333333331</v>
      </c>
      <c r="T51" s="70">
        <f t="shared" si="37"/>
        <v>-0.41482022025820697</v>
      </c>
      <c r="U51" s="566">
        <f>VLOOKUP($A51,'01-02.2021'!$A$6:$CZ$403,21,FALSE)+VLOOKUP($A51,'1.3.21-28.2.22'!$A$6:$DA$404,21,FALSE)-VLOOKUP($A51,'01-02.2022'!$A$6:$DA$376,21,FALSE)</f>
        <v>671.36656966572173</v>
      </c>
      <c r="V51" s="566">
        <f>VLOOKUP($A51,'01-02.2021'!$A$6:$CZ$403,22,FALSE)+VLOOKUP($A51,'1.3.21-28.2.22'!$A$6:$DA$404,22,FALSE)-VLOOKUP($A51,'01-02.2022'!$A$6:$DA$376,22,FALSE)</f>
        <v>609.49562838983297</v>
      </c>
      <c r="W51" s="70">
        <f t="shared" si="38"/>
        <v>-61.870941275888754</v>
      </c>
      <c r="X51" s="566">
        <f>VLOOKUP($A51,'01-02.2021'!$A$6:$CZ$403,24,FALSE)+VLOOKUP($A51,'1.3.21-28.2.22'!$A$6:$DA$404,24,FALSE)-VLOOKUP($A51,'01-02.2022'!$A$6:$DA$376,24,FALSE)</f>
        <v>8776.2228750221238</v>
      </c>
      <c r="Y51" s="566">
        <f>VLOOKUP($A51,'01-02.2021'!$A$6:$CZ$403,25,FALSE)+VLOOKUP($A51,'1.3.21-28.2.22'!$A$6:$DA$404,25,FALSE)-VLOOKUP($A51,'01-02.2022'!$A$6:$DA$376,25,FALSE)</f>
        <v>7628.6053158509794</v>
      </c>
      <c r="Z51" s="70">
        <f t="shared" si="39"/>
        <v>-1147.6175591711444</v>
      </c>
      <c r="AA51" s="566">
        <f>VLOOKUP($A51,'01-02.2021'!$A$6:$CZ$403,27,FALSE)+VLOOKUP($A51,'1.3.21-28.2.22'!$A$6:$DA$404,27,FALSE)-VLOOKUP($A51,'01-02.2022'!$A$6:$DA$376,27,FALSE)</f>
        <v>1316.94</v>
      </c>
      <c r="AB51" s="566">
        <f>VLOOKUP($A51,'01-02.2021'!$A$6:$CZ$403,28,FALSE)+VLOOKUP($A51,'1.3.21-28.2.22'!$A$6:$DA$404,28,FALSE)-VLOOKUP($A51,'01-02.2022'!$A$6:$DA$376,28,FALSE)</f>
        <v>0</v>
      </c>
      <c r="AC51" s="70">
        <f t="shared" si="40"/>
        <v>-1316.94</v>
      </c>
      <c r="AD51" s="566">
        <f>VLOOKUP($A51,'01-02.2021'!$A$6:$CZ$403,30,FALSE)+VLOOKUP($A51,'1.3.21-28.2.22'!$A$6:$DA$404,30,FALSE)-VLOOKUP($A51,'01-02.2022'!$A$6:$DA$376,30,FALSE)</f>
        <v>28276.197657955199</v>
      </c>
      <c r="AE51" s="566">
        <f>VLOOKUP($A51,'01-02.2021'!$A$6:$CZ$403,31,FALSE)+VLOOKUP($A51,'1.3.21-28.2.22'!$A$6:$DA$404,31,FALSE)-VLOOKUP($A51,'01-02.2022'!$A$6:$DA$376,31,FALSE)</f>
        <v>29967.628690799374</v>
      </c>
      <c r="AF51" s="68">
        <f t="shared" si="41"/>
        <v>1691.4310328441752</v>
      </c>
      <c r="AG51" s="77">
        <f t="shared" si="24"/>
        <v>67874.010305473101</v>
      </c>
      <c r="AH51" s="53">
        <f t="shared" si="24"/>
        <v>66891.376544477753</v>
      </c>
      <c r="AI51" s="52">
        <f t="shared" si="42"/>
        <v>-982.63376099534798</v>
      </c>
      <c r="AJ51" s="566">
        <f>VLOOKUP($A51,'01-02.2021'!$A$6:$CZ$403,36,FALSE)+VLOOKUP($A51,'1.3.21-28.2.22'!$A$6:$DA$404,36,FALSE)-VLOOKUP($A51,'01-02.2022'!$A$6:$DA$376,36,FALSE)</f>
        <v>24285.273702693328</v>
      </c>
      <c r="AK51" s="566">
        <f>VLOOKUP($A51,'01-02.2021'!$A$6:$CZ$403,37,FALSE)+VLOOKUP($A51,'1.3.21-28.2.22'!$A$6:$DA$404,37,FALSE)-VLOOKUP($A51,'01-02.2022'!$A$6:$DA$376,37,FALSE)</f>
        <v>24131.24439517971</v>
      </c>
      <c r="AL51" s="70">
        <f t="shared" si="43"/>
        <v>-154.02930751361782</v>
      </c>
      <c r="AM51" s="566">
        <f>VLOOKUP($A51,'01-02.2021'!$A$6:$CZ$403,39,FALSE)+VLOOKUP($A51,'1.3.21-28.2.22'!$A$6:$DA$404,39,FALSE)-VLOOKUP($A51,'01-02.2022'!$A$6:$DA$376,39,FALSE)</f>
        <v>1050.749425</v>
      </c>
      <c r="AN51" s="566">
        <f>VLOOKUP($A51,'01-02.2021'!$A$6:$CZ$403,40,FALSE)+VLOOKUP($A51,'1.3.21-28.2.22'!$A$6:$DA$404,40,FALSE)-VLOOKUP($A51,'01-02.2022'!$A$6:$DA$376,40,FALSE)</f>
        <v>0</v>
      </c>
      <c r="AO51" s="70">
        <f t="shared" si="44"/>
        <v>-1050.749425</v>
      </c>
      <c r="AP51" s="566">
        <f>VLOOKUP($A51,'01-02.2021'!$A$6:$CZ$403,42,FALSE)+VLOOKUP($A51,'1.3.21-28.2.22'!$A$6:$DA$404,42,FALSE)-VLOOKUP($A51,'01-02.2022'!$A$6:$DA$376,42,FALSE)</f>
        <v>4685.0393251149972</v>
      </c>
      <c r="AQ51" s="566">
        <f>VLOOKUP($A51,'01-02.2021'!$A$6:$CZ$403,43,FALSE)+VLOOKUP($A51,'1.3.21-28.2.22'!$A$6:$DA$404,43,FALSE)-VLOOKUP($A51,'01-02.2022'!$A$6:$DA$376,43,FALSE)</f>
        <v>3881.8239885794733</v>
      </c>
      <c r="AR51" s="70">
        <f t="shared" si="45"/>
        <v>-803.21533653552387</v>
      </c>
      <c r="AS51" s="566">
        <f>VLOOKUP($A51,'01-02.2021'!$A$6:$CZ$403,45,FALSE)+VLOOKUP($A51,'1.3.21-28.2.22'!$A$6:$DA$404,45,FALSE)-VLOOKUP($A51,'01-02.2022'!$A$6:$DA$376,45,FALSE)</f>
        <v>108527.85109619919</v>
      </c>
      <c r="AT51" s="566">
        <f>VLOOKUP($A51,'01-02.2021'!$A$6:$CZ$403,46,FALSE)+VLOOKUP($A51,'1.3.21-28.2.22'!$A$6:$DA$404,46,FALSE)-VLOOKUP($A51,'01-02.2022'!$A$6:$DA$376,46,FALSE)</f>
        <v>54337.589222046183</v>
      </c>
      <c r="AU51" s="78">
        <f t="shared" si="46"/>
        <v>-54190.261874153002</v>
      </c>
      <c r="AV51" s="566">
        <f>VLOOKUP($A51,'01-02.2021'!$A$6:$CZ$403,48,FALSE)+VLOOKUP($A51,'1.3.21-28.2.22'!$A$6:$DA$404,48,FALSE)-VLOOKUP($A51,'01-02.2022'!$A$6:$DA$376,48,FALSE)</f>
        <v>3654.5191442391988</v>
      </c>
      <c r="AW51" s="566">
        <f>VLOOKUP($A51,'01-02.2021'!$A$6:$CZ$403,49,FALSE)+VLOOKUP($A51,'1.3.21-28.2.22'!$A$6:$DA$404,49,FALSE)-VLOOKUP($A51,'01-02.2022'!$A$6:$DA$376,49,FALSE)</f>
        <v>301</v>
      </c>
      <c r="AX51" s="55">
        <f t="shared" si="47"/>
        <v>-3353.5191442391988</v>
      </c>
      <c r="AY51" s="566">
        <f>VLOOKUP($A51,'01-02.2021'!$A$6:$CZ$403,51,FALSE)+VLOOKUP($A51,'1.3.21-28.2.22'!$A$6:$DA$404,51,FALSE)-VLOOKUP($A51,'01-02.2022'!$A$6:$DA$376,51,FALSE)</f>
        <v>4190.1880805120854</v>
      </c>
      <c r="AZ51" s="566">
        <f>VLOOKUP($A51,'01-02.2021'!$A$6:$CZ$403,52,FALSE)+VLOOKUP($A51,'1.3.21-28.2.22'!$A$6:$DA$404,52,FALSE)-VLOOKUP($A51,'01-02.2022'!$A$6:$DA$376,52,FALSE)</f>
        <v>0</v>
      </c>
      <c r="BA51" s="38">
        <f t="shared" si="48"/>
        <v>-4190.1880805120854</v>
      </c>
      <c r="BB51" s="566">
        <f>VLOOKUP($A51,'01-02.2021'!$A$6:$CZ$403,54,FALSE)+VLOOKUP($A51,'1.3.21-28.2.22'!$A$6:$DA$404,54,FALSE)-VLOOKUP($A51,'01-02.2022'!$A$6:$DA$376,54,FALSE)</f>
        <v>3668.9954844995691</v>
      </c>
      <c r="BC51" s="566">
        <f>VLOOKUP($A51,'01-02.2021'!$A$6:$CZ$403,55,FALSE)+VLOOKUP($A51,'1.3.21-28.2.22'!$A$6:$DA$404,55,FALSE)-VLOOKUP($A51,'01-02.2022'!$A$6:$DA$376,55,FALSE)</f>
        <v>1972</v>
      </c>
      <c r="BD51" s="55">
        <f t="shared" si="49"/>
        <v>-1696.9954844995691</v>
      </c>
      <c r="BE51" s="566">
        <f>VLOOKUP($A51,'01-02.2021'!$A$6:$CZ$403,57,FALSE)+VLOOKUP($A51,'1.3.21-28.2.22'!$A$6:$DA$404,57,FALSE)-VLOOKUP($A51,'01-02.2022'!$A$6:$DA$376,57,FALSE)</f>
        <v>4169.9897882880177</v>
      </c>
      <c r="BF51" s="566">
        <f>VLOOKUP($A51,'01-02.2021'!$A$6:$CZ$403,58,FALSE)+VLOOKUP($A51,'1.3.21-28.2.22'!$A$6:$DA$404,58,FALSE)-VLOOKUP($A51,'01-02.2022'!$A$6:$DA$376,58,FALSE)</f>
        <v>0</v>
      </c>
      <c r="BG51" s="55">
        <f t="shared" si="50"/>
        <v>-4169.9897882880177</v>
      </c>
      <c r="BH51" s="566">
        <f>VLOOKUP($A51,'01-02.2021'!$A$6:$CZ$403,60,FALSE)+VLOOKUP($A51,'1.3.21-28.2.22'!$A$6:$DA$404,60,FALSE)-VLOOKUP($A51,'01-02.2022'!$A$6:$DA$376,60,FALSE)</f>
        <v>1275.6779514917541</v>
      </c>
      <c r="BI51" s="566">
        <f>VLOOKUP($A51,'01-02.2021'!$A$6:$CZ$403,61,FALSE)+VLOOKUP($A51,'1.3.21-28.2.22'!$A$6:$DA$404,61,FALSE)-VLOOKUP($A51,'01-02.2022'!$A$6:$DA$376,61,FALSE)</f>
        <v>17</v>
      </c>
      <c r="BJ51" s="55">
        <f t="shared" si="51"/>
        <v>-1258.6779514917541</v>
      </c>
      <c r="BK51" s="566">
        <f>VLOOKUP($A51,'01-02.2021'!$A$6:$CZ$403,63,FALSE)+VLOOKUP($A51,'1.3.21-28.2.22'!$A$6:$DA$404,63,FALSE)-VLOOKUP($A51,'01-02.2022'!$A$6:$DA$376,63,FALSE)</f>
        <v>2953.7404641099602</v>
      </c>
      <c r="BL51" s="566">
        <f>VLOOKUP($A51,'01-02.2021'!$A$6:$CZ$403,64,FALSE)+VLOOKUP($A51,'1.3.21-28.2.22'!$A$6:$DA$404,64,FALSE)-VLOOKUP($A51,'01-02.2022'!$A$6:$DA$376,64,FALSE)</f>
        <v>0</v>
      </c>
      <c r="BM51" s="55">
        <f t="shared" si="52"/>
        <v>-2953.7404641099602</v>
      </c>
      <c r="BN51" s="566">
        <f>VLOOKUP($A51,'01-02.2021'!$A$6:$CZ$403,66,FALSE)+VLOOKUP($A51,'1.3.21-28.2.22'!$A$6:$DA$404,66,FALSE)-VLOOKUP($A51,'01-02.2022'!$A$6:$DA$376,66,FALSE)</f>
        <v>329.23500000000001</v>
      </c>
      <c r="BO51" s="566">
        <f>VLOOKUP($A51,'01-02.2021'!$A$6:$CZ$403,67,FALSE)+VLOOKUP($A51,'1.3.21-28.2.22'!$A$6:$DA$404,67,FALSE)-VLOOKUP($A51,'01-02.2022'!$A$6:$DA$376,67,FALSE)</f>
        <v>0</v>
      </c>
      <c r="BP51" s="55">
        <f t="shared" si="53"/>
        <v>-329.23500000000001</v>
      </c>
      <c r="BQ51" s="77">
        <f t="shared" si="79"/>
        <v>20242.345913140587</v>
      </c>
      <c r="BR51" s="40">
        <f t="shared" si="80"/>
        <v>2290</v>
      </c>
      <c r="BS51" s="55">
        <f t="shared" si="70"/>
        <v>-17952.345913140587</v>
      </c>
      <c r="BT51" s="566">
        <f>VLOOKUP($A51,'01-02.2021'!$A$6:$CZ$403,72,FALSE)+VLOOKUP($A51,'1.3.21-28.2.22'!$A$6:$DA$404,72,FALSE)-VLOOKUP($A51,'01-02.2022'!$A$6:$DA$376,72,FALSE)</f>
        <v>74691.723813163946</v>
      </c>
      <c r="BU51" s="566">
        <f>VLOOKUP($A51,'01-02.2021'!$A$6:$CZ$403,73,FALSE)+VLOOKUP($A51,'1.3.21-28.2.22'!$A$6:$DA$404,73,FALSE)-VLOOKUP($A51,'01-02.2022'!$A$6:$DA$376,73,FALSE)</f>
        <v>75894.939376100985</v>
      </c>
      <c r="BV51" s="70">
        <f t="shared" si="54"/>
        <v>1203.2155629370391</v>
      </c>
      <c r="BW51" s="566">
        <f>VLOOKUP($A51,'01-02.2021'!$A$6:$CZ$403,75,FALSE)+VLOOKUP($A51,'1.3.21-28.2.22'!$A$6:$DA$404,75,FALSE)-VLOOKUP($A51,'01-02.2022'!$A$6:$DA$376,75,FALSE)</f>
        <v>38829.939871202689</v>
      </c>
      <c r="BX51" s="566">
        <f>VLOOKUP($A51,'01-02.2021'!$A$6:$CZ$403,76,FALSE)+VLOOKUP($A51,'1.3.21-28.2.22'!$A$6:$DA$404,76,FALSE)-VLOOKUP($A51,'01-02.2022'!$A$6:$DA$376,76,FALSE)</f>
        <v>40029.170777115607</v>
      </c>
      <c r="BY51" s="70">
        <f t="shared" si="55"/>
        <v>1199.2309059129184</v>
      </c>
      <c r="BZ51" s="566">
        <f>VLOOKUP($A51,'01-02.2021'!$A$6:$CZ$403,78,FALSE)+VLOOKUP($A51,'1.3.21-28.2.22'!$A$6:$DA$404,78,FALSE)-VLOOKUP($A51,'01-02.2022'!$A$6:$DA$376,78,FALSE)</f>
        <v>8785.0263901689832</v>
      </c>
      <c r="CA51" s="566">
        <f>VLOOKUP($A51,'01-02.2021'!$A$6:$CZ$403,79,FALSE)+VLOOKUP($A51,'1.3.21-28.2.22'!$A$6:$DA$404,79,FALSE)-VLOOKUP($A51,'01-02.2022'!$A$6:$DA$376,79,FALSE)</f>
        <v>16401.198671636856</v>
      </c>
      <c r="CB51" s="70">
        <f t="shared" si="56"/>
        <v>7616.1722814678724</v>
      </c>
      <c r="CC51" s="566">
        <f>VLOOKUP($A51,'01-02.2021'!$A$6:$CZ$403,81,FALSE)+VLOOKUP($A51,'1.3.21-28.2.22'!$A$6:$DA$404,81,FALSE)-VLOOKUP($A51,'01-02.2022'!$A$6:$DA$376,81,FALSE)</f>
        <v>2050.455369729204</v>
      </c>
      <c r="CD51" s="566">
        <f>VLOOKUP($A51,'01-02.2021'!$A$6:$CZ$403,82,FALSE)+VLOOKUP($A51,'1.3.21-28.2.22'!$A$6:$DA$404,82,FALSE)-VLOOKUP($A51,'01-02.2022'!$A$6:$DA$376,82,FALSE)</f>
        <v>2236.1242354022766</v>
      </c>
      <c r="CE51" s="70">
        <f t="shared" si="57"/>
        <v>185.66886567307256</v>
      </c>
      <c r="CF51" s="566">
        <f>VLOOKUP($A51,'01-02.2021'!$A$6:$CZ$403,84,FALSE)+VLOOKUP($A51,'1.3.21-28.2.22'!$A$6:$DA$404,84,FALSE)-VLOOKUP($A51,'01-02.2022'!$A$6:$DA$376,84,FALSE)</f>
        <v>248.71793142071044</v>
      </c>
      <c r="CG51" s="566">
        <f>VLOOKUP($A51,'01-02.2021'!$A$6:$CZ$403,85,FALSE)+VLOOKUP($A51,'1.3.21-28.2.22'!$A$6:$DA$404,85,FALSE)-VLOOKUP($A51,'01-02.2022'!$A$6:$DA$376,85,FALSE)</f>
        <v>0</v>
      </c>
      <c r="CH51" s="70">
        <f t="shared" si="58"/>
        <v>-248.71793142071044</v>
      </c>
      <c r="CI51" s="566">
        <f>VLOOKUP($A51,'01-02.2021'!$A$6:$CZ$403,87,FALSE)+VLOOKUP($A51,'1.3.21-28.2.22'!$A$6:$DA$404,87,FALSE)-VLOOKUP($A51,'01-02.2022'!$A$6:$DA$376,87,FALSE)</f>
        <v>20002.259417984409</v>
      </c>
      <c r="CJ51" s="566">
        <f>VLOOKUP($A51,'01-02.2021'!$A$6:$CZ$403,88,FALSE)+VLOOKUP($A51,'1.3.21-28.2.22'!$A$6:$DA$404,88,FALSE)-VLOOKUP($A51,'01-02.2022'!$A$6:$DA$376,88,FALSE)</f>
        <v>3746.6580042076748</v>
      </c>
      <c r="CK51" s="70">
        <f t="shared" si="59"/>
        <v>-16255.601413776734</v>
      </c>
      <c r="CL51" s="566">
        <f>VLOOKUP($A51,'01-02.2021'!$A$6:$CZ$403,90,FALSE)+VLOOKUP($A51,'1.3.21-28.2.22'!$A$6:$DA$404,90,FALSE)-VLOOKUP($A51,'01-02.2022'!$A$6:$DA$376,90,FALSE)</f>
        <v>8843.3819675851792</v>
      </c>
      <c r="CM51" s="566">
        <f>VLOOKUP($A51,'01-02.2021'!$A$6:$CZ$403,91,FALSE)+VLOOKUP($A51,'1.3.21-28.2.22'!$A$6:$DA$404,91,FALSE)-VLOOKUP($A51,'01-02.2022'!$A$6:$DA$376,91,FALSE)</f>
        <v>8119.693573077474</v>
      </c>
      <c r="CN51" s="52">
        <f t="shared" si="60"/>
        <v>-723.6883945077052</v>
      </c>
      <c r="CO51" s="39">
        <f t="shared" si="27"/>
        <v>28845.641385569586</v>
      </c>
      <c r="CP51" s="40">
        <f t="shared" si="61"/>
        <v>11866.35157728515</v>
      </c>
      <c r="CQ51" s="52">
        <f t="shared" si="62"/>
        <v>-16979.289808284437</v>
      </c>
      <c r="CR51" s="72">
        <f t="shared" si="28"/>
        <v>380116.77452887635</v>
      </c>
      <c r="CS51" s="5">
        <f t="shared" si="28"/>
        <v>297959.81878782401</v>
      </c>
      <c r="CT51" s="52">
        <f t="shared" si="63"/>
        <v>-82156.955741052341</v>
      </c>
      <c r="CU51" s="77">
        <f t="shared" si="64"/>
        <v>456140.12943465164</v>
      </c>
      <c r="CV51" s="65">
        <f t="shared" si="65"/>
        <v>357551.78254538879</v>
      </c>
      <c r="CW51" s="35">
        <f t="shared" si="66"/>
        <v>-98588.346889262844</v>
      </c>
      <c r="CX51" s="566">
        <f>VLOOKUP($A51,'01-02.2021'!$A$6:$CZ$403,102,FALSE)+VLOOKUP($A51,'1.3.21-28.2.22'!$A$6:$DA$404,102,FALSE)-VLOOKUP($A51,'01-02.2022'!$A$6:$DA$376,102,FALSE)</f>
        <v>12988.286622215344</v>
      </c>
      <c r="CY51" s="566">
        <f>VLOOKUP($A51,'01-02.2021'!$A$6:$CZ$403,103,FALSE)+VLOOKUP($A51,'1.3.21-28.2.22'!$A$6:$DA$404,103,FALSE)-VLOOKUP($A51,'01-02.2022'!$A$6:$DA$376,103,FALSE)</f>
        <v>111576.63351147818</v>
      </c>
      <c r="CZ51" s="52">
        <f t="shared" si="67"/>
        <v>98588.346889262844</v>
      </c>
      <c r="DA51" s="150">
        <f>'[2]побудинковий звіт'!DA51</f>
        <v>99145.448651565181</v>
      </c>
      <c r="DB51" s="2">
        <v>3</v>
      </c>
      <c r="DC51" s="414">
        <f>'[4]побудинковий звіт'!DC51</f>
        <v>103300.07</v>
      </c>
      <c r="DD51" s="414">
        <f>'[4]побудинковий звіт'!DD51</f>
        <v>0</v>
      </c>
      <c r="DE51" s="557">
        <f>'[4]побудинковий звіт'!DE51</f>
        <v>60873.474233599292</v>
      </c>
      <c r="DF51" s="557">
        <f>'[4]побудинковий звіт'!DF51</f>
        <v>0</v>
      </c>
      <c r="DG51" s="321">
        <f>VLOOKUP(A51,'кошти 01.03.2021'!$A$6:$D$401,4,)</f>
        <v>212136.91085469755</v>
      </c>
      <c r="DH51" s="40">
        <f>'[3]побудинковий звіт'!DJ51</f>
        <v>484874.99784241017</v>
      </c>
      <c r="DI51" s="422">
        <f>'[3]побудинковий звіт'!CU51+'[3]побудинковий звіт'!CX51</f>
        <v>42426.595766400722</v>
      </c>
      <c r="DJ51" s="306">
        <f>'[3]побудинковий звіт'!DM51</f>
        <v>5.8918966216855715</v>
      </c>
      <c r="DK51" s="306">
        <f>'[3]побудинковий звіт'!DN51</f>
        <v>6.5150228100437317</v>
      </c>
      <c r="DL51" s="306">
        <f>'[3]побудинковий звіт'!DO51</f>
        <v>5.1906796835539026</v>
      </c>
      <c r="DM51" s="28">
        <f t="shared" si="81"/>
        <v>42426.595766400715</v>
      </c>
      <c r="DN51" s="28">
        <f>DL51*H51</f>
        <v>0</v>
      </c>
      <c r="DO51" s="423">
        <f t="shared" si="29"/>
        <v>42426.595766400715</v>
      </c>
      <c r="DP51" s="94">
        <f t="shared" si="30"/>
        <v>0</v>
      </c>
      <c r="DQ51" s="28">
        <f t="shared" si="31"/>
        <v>42426.595766400715</v>
      </c>
      <c r="DR51" s="318"/>
      <c r="DT51" s="8"/>
      <c r="DU51" s="5"/>
      <c r="DX51" s="5">
        <f t="shared" si="32"/>
        <v>154524.2364112077</v>
      </c>
      <c r="DY51" s="5">
        <f t="shared" si="33"/>
        <v>67953.107066455414</v>
      </c>
      <c r="DZ51" s="159">
        <f>'[3]побудинковий звіт'!EA51</f>
        <v>14180.980508350653</v>
      </c>
    </row>
    <row r="52" spans="1:130" x14ac:dyDescent="0.3">
      <c r="A52" s="325">
        <v>150000996</v>
      </c>
      <c r="B52" s="41" t="s">
        <v>501</v>
      </c>
      <c r="C52" s="42" t="s">
        <v>246</v>
      </c>
      <c r="D52" s="42"/>
      <c r="E52" s="293">
        <f t="shared" si="23"/>
        <v>3446.77</v>
      </c>
      <c r="F52" s="305">
        <f>'[3]побудинковий звіт'!F52</f>
        <v>3261</v>
      </c>
      <c r="G52" s="508">
        <f>'[3]побудинковий звіт'!G52</f>
        <v>0</v>
      </c>
      <c r="H52" s="560">
        <f>'[3]побудинковий звіт'!H52</f>
        <v>185.77</v>
      </c>
      <c r="I52" s="566">
        <f>VLOOKUP($A52,'01-02.2021'!$A$6:$CZ$403,9,FALSE)+VLOOKUP($A52,'1.3.21-28.2.22'!$A$6:$DA$404,9,FALSE)-VLOOKUP($A52,'01-02.2022'!$A$6:$DA$376,9,FALSE)</f>
        <v>10916.915177213694</v>
      </c>
      <c r="J52" s="566">
        <f>VLOOKUP($A52,'01-02.2021'!$A$6:$CZ$403,10,FALSE)+VLOOKUP($A52,'1.3.21-28.2.22'!$A$6:$DA$404,10,FALSE)-VLOOKUP($A52,'01-02.2022'!$A$6:$DA$376,10,FALSE)</f>
        <v>12029.551367822258</v>
      </c>
      <c r="K52" s="52">
        <f t="shared" si="34"/>
        <v>1112.636190608564</v>
      </c>
      <c r="L52" s="566">
        <f>VLOOKUP($A52,'01-02.2021'!$A$6:$CZ$403,12,FALSE)+VLOOKUP($A52,'1.3.21-28.2.22'!$A$6:$DA$404,12,FALSE)-VLOOKUP($A52,'01-02.2022'!$A$6:$DA$376,12,FALSE)</f>
        <v>1984.8541282292554</v>
      </c>
      <c r="M52" s="566">
        <f>VLOOKUP($A52,'01-02.2021'!$A$6:$CZ$403,13,FALSE)+VLOOKUP($A52,'1.3.21-28.2.22'!$A$6:$DA$404,13,FALSE)-VLOOKUP($A52,'01-02.2022'!$A$6:$DA$376,13,FALSE)</f>
        <v>2185.3891136046254</v>
      </c>
      <c r="N52" s="52">
        <f t="shared" si="35"/>
        <v>200.53498537537007</v>
      </c>
      <c r="O52" s="566">
        <f>VLOOKUP($A52,'01-02.2021'!$A$6:$CZ$403,15,FALSE)+VLOOKUP($A52,'1.3.21-28.2.22'!$A$6:$DA$404,15,FALSE)-VLOOKUP($A52,'01-02.2022'!$A$6:$DA$376,15,FALSE)</f>
        <v>4135.4575099993917</v>
      </c>
      <c r="P52" s="566">
        <f>VLOOKUP($A52,'01-02.2021'!$A$6:$CZ$403,16,FALSE)+VLOOKUP($A52,'1.3.21-28.2.22'!$A$6:$DA$404,16,FALSE)-VLOOKUP($A52,'01-02.2022'!$A$6:$DA$376,16,FALSE)</f>
        <v>4135.4499999999989</v>
      </c>
      <c r="Q52" s="70">
        <f t="shared" si="36"/>
        <v>-7.5099993928233744E-3</v>
      </c>
      <c r="R52" s="566">
        <f>VLOOKUP($A52,'01-02.2021'!$A$6:$CZ$403,18,FALSE)+VLOOKUP($A52,'1.3.21-28.2.22'!$A$6:$DA$404,18,FALSE)-VLOOKUP($A52,'01-02.2022'!$A$6:$DA$376,18,FALSE)</f>
        <v>0</v>
      </c>
      <c r="S52" s="566">
        <f>VLOOKUP($A52,'01-02.2021'!$A$6:$CZ$403,19,FALSE)+VLOOKUP($A52,'1.3.21-28.2.22'!$A$6:$DA$404,19,FALSE)-VLOOKUP($A52,'01-02.2022'!$A$6:$DA$376,19,FALSE)</f>
        <v>0</v>
      </c>
      <c r="T52" s="70">
        <f t="shared" si="37"/>
        <v>0</v>
      </c>
      <c r="U52" s="566">
        <f>VLOOKUP($A52,'01-02.2021'!$A$6:$CZ$403,21,FALSE)+VLOOKUP($A52,'1.3.21-28.2.22'!$A$6:$DA$404,21,FALSE)-VLOOKUP($A52,'01-02.2022'!$A$6:$DA$376,21,FALSE)</f>
        <v>0</v>
      </c>
      <c r="V52" s="566">
        <f>VLOOKUP($A52,'01-02.2021'!$A$6:$CZ$403,22,FALSE)+VLOOKUP($A52,'1.3.21-28.2.22'!$A$6:$DA$404,22,FALSE)-VLOOKUP($A52,'01-02.2022'!$A$6:$DA$376,22,FALSE)</f>
        <v>0</v>
      </c>
      <c r="W52" s="70">
        <f t="shared" si="38"/>
        <v>0</v>
      </c>
      <c r="X52" s="566">
        <f>VLOOKUP($A52,'01-02.2021'!$A$6:$CZ$403,24,FALSE)+VLOOKUP($A52,'1.3.21-28.2.22'!$A$6:$DA$404,24,FALSE)-VLOOKUP($A52,'01-02.2022'!$A$6:$DA$376,24,FALSE)</f>
        <v>6218.3437639183458</v>
      </c>
      <c r="Y52" s="566">
        <f>VLOOKUP($A52,'01-02.2021'!$A$6:$CZ$403,25,FALSE)+VLOOKUP($A52,'1.3.21-28.2.22'!$A$6:$DA$404,25,FALSE)-VLOOKUP($A52,'01-02.2022'!$A$6:$DA$376,25,FALSE)</f>
        <v>5264.5488997879356</v>
      </c>
      <c r="Z52" s="70">
        <f t="shared" si="39"/>
        <v>-953.79486413041013</v>
      </c>
      <c r="AA52" s="566">
        <f>VLOOKUP($A52,'01-02.2021'!$A$6:$CZ$403,27,FALSE)+VLOOKUP($A52,'1.3.21-28.2.22'!$A$6:$DA$404,27,FALSE)-VLOOKUP($A52,'01-02.2022'!$A$6:$DA$376,27,FALSE)</f>
        <v>689.33400000000006</v>
      </c>
      <c r="AB52" s="566">
        <f>VLOOKUP($A52,'01-02.2021'!$A$6:$CZ$403,28,FALSE)+VLOOKUP($A52,'1.3.21-28.2.22'!$A$6:$DA$404,28,FALSE)-VLOOKUP($A52,'01-02.2022'!$A$6:$DA$376,28,FALSE)</f>
        <v>0</v>
      </c>
      <c r="AC52" s="70">
        <f t="shared" si="40"/>
        <v>-689.33400000000006</v>
      </c>
      <c r="AD52" s="566">
        <f>VLOOKUP($A52,'01-02.2021'!$A$6:$CZ$403,30,FALSE)+VLOOKUP($A52,'1.3.21-28.2.22'!$A$6:$DA$404,30,FALSE)-VLOOKUP($A52,'01-02.2022'!$A$6:$DA$376,30,FALSE)</f>
        <v>14786.257660516616</v>
      </c>
      <c r="AE52" s="566">
        <f>VLOOKUP($A52,'01-02.2021'!$A$6:$CZ$403,31,FALSE)+VLOOKUP($A52,'1.3.21-28.2.22'!$A$6:$DA$404,31,FALSE)-VLOOKUP($A52,'01-02.2022'!$A$6:$DA$376,31,FALSE)</f>
        <v>15690.070014235356</v>
      </c>
      <c r="AF52" s="68">
        <f t="shared" si="41"/>
        <v>903.81235371874027</v>
      </c>
      <c r="AG52" s="77">
        <f t="shared" si="24"/>
        <v>38731.162239877303</v>
      </c>
      <c r="AH52" s="53">
        <f t="shared" si="24"/>
        <v>39305.009395450179</v>
      </c>
      <c r="AI52" s="52">
        <f t="shared" si="42"/>
        <v>573.84715557287564</v>
      </c>
      <c r="AJ52" s="566">
        <f>VLOOKUP($A52,'01-02.2021'!$A$6:$CZ$403,36,FALSE)+VLOOKUP($A52,'1.3.21-28.2.22'!$A$6:$DA$404,36,FALSE)-VLOOKUP($A52,'01-02.2022'!$A$6:$DA$376,36,FALSE)</f>
        <v>0</v>
      </c>
      <c r="AK52" s="566">
        <f>VLOOKUP($A52,'01-02.2021'!$A$6:$CZ$403,37,FALSE)+VLOOKUP($A52,'1.3.21-28.2.22'!$A$6:$DA$404,37,FALSE)-VLOOKUP($A52,'01-02.2022'!$A$6:$DA$376,37,FALSE)</f>
        <v>0</v>
      </c>
      <c r="AL52" s="70">
        <f t="shared" si="43"/>
        <v>0</v>
      </c>
      <c r="AM52" s="566">
        <f>VLOOKUP($A52,'01-02.2021'!$A$6:$CZ$403,39,FALSE)+VLOOKUP($A52,'1.3.21-28.2.22'!$A$6:$DA$404,39,FALSE)-VLOOKUP($A52,'01-02.2022'!$A$6:$DA$376,39,FALSE)</f>
        <v>0</v>
      </c>
      <c r="AN52" s="566">
        <f>VLOOKUP($A52,'01-02.2021'!$A$6:$CZ$403,40,FALSE)+VLOOKUP($A52,'1.3.21-28.2.22'!$A$6:$DA$404,40,FALSE)-VLOOKUP($A52,'01-02.2022'!$A$6:$DA$376,40,FALSE)</f>
        <v>0</v>
      </c>
      <c r="AO52" s="70">
        <f t="shared" si="44"/>
        <v>0</v>
      </c>
      <c r="AP52" s="566">
        <f>VLOOKUP($A52,'01-02.2021'!$A$6:$CZ$403,42,FALSE)+VLOOKUP($A52,'1.3.21-28.2.22'!$A$6:$DA$404,42,FALSE)-VLOOKUP($A52,'01-02.2022'!$A$6:$DA$376,42,FALSE)</f>
        <v>9239.9386689767962</v>
      </c>
      <c r="AQ52" s="566">
        <f>VLOOKUP($A52,'01-02.2021'!$A$6:$CZ$403,43,FALSE)+VLOOKUP($A52,'1.3.21-28.2.22'!$A$6:$DA$404,43,FALSE)-VLOOKUP($A52,'01-02.2022'!$A$6:$DA$376,43,FALSE)</f>
        <v>7597.3062182867579</v>
      </c>
      <c r="AR52" s="70">
        <f t="shared" si="45"/>
        <v>-1642.6324506900382</v>
      </c>
      <c r="AS52" s="566">
        <f>VLOOKUP($A52,'01-02.2021'!$A$6:$CZ$403,45,FALSE)+VLOOKUP($A52,'1.3.21-28.2.22'!$A$6:$DA$404,45,FALSE)-VLOOKUP($A52,'01-02.2022'!$A$6:$DA$376,45,FALSE)</f>
        <v>36506.682448710664</v>
      </c>
      <c r="AT52" s="566">
        <f>VLOOKUP($A52,'01-02.2021'!$A$6:$CZ$403,46,FALSE)+VLOOKUP($A52,'1.3.21-28.2.22'!$A$6:$DA$404,46,FALSE)-VLOOKUP($A52,'01-02.2022'!$A$6:$DA$376,46,FALSE)</f>
        <v>17257.75</v>
      </c>
      <c r="AU52" s="78">
        <f t="shared" si="46"/>
        <v>-19248.932448710664</v>
      </c>
      <c r="AV52" s="566">
        <f>VLOOKUP($A52,'01-02.2021'!$A$6:$CZ$403,48,FALSE)+VLOOKUP($A52,'1.3.21-28.2.22'!$A$6:$DA$404,48,FALSE)-VLOOKUP($A52,'01-02.2022'!$A$6:$DA$376,48,FALSE)</f>
        <v>2932.5413790287853</v>
      </c>
      <c r="AW52" s="566">
        <f>VLOOKUP($A52,'01-02.2021'!$A$6:$CZ$403,49,FALSE)+VLOOKUP($A52,'1.3.21-28.2.22'!$A$6:$DA$404,49,FALSE)-VLOOKUP($A52,'01-02.2022'!$A$6:$DA$376,49,FALSE)</f>
        <v>0</v>
      </c>
      <c r="AX52" s="55">
        <f t="shared" si="47"/>
        <v>-2932.5413790287853</v>
      </c>
      <c r="AY52" s="566">
        <f>VLOOKUP($A52,'01-02.2021'!$A$6:$CZ$403,51,FALSE)+VLOOKUP($A52,'1.3.21-28.2.22'!$A$6:$DA$404,51,FALSE)-VLOOKUP($A52,'01-02.2022'!$A$6:$DA$376,51,FALSE)</f>
        <v>3731.0996477252788</v>
      </c>
      <c r="AZ52" s="566">
        <f>VLOOKUP($A52,'01-02.2021'!$A$6:$CZ$403,52,FALSE)+VLOOKUP($A52,'1.3.21-28.2.22'!$A$6:$DA$404,52,FALSE)-VLOOKUP($A52,'01-02.2022'!$A$6:$DA$376,52,FALSE)</f>
        <v>0</v>
      </c>
      <c r="BA52" s="38">
        <f t="shared" si="48"/>
        <v>-3731.0996477252788</v>
      </c>
      <c r="BB52" s="566">
        <f>VLOOKUP($A52,'01-02.2021'!$A$6:$CZ$403,54,FALSE)+VLOOKUP($A52,'1.3.21-28.2.22'!$A$6:$DA$404,54,FALSE)-VLOOKUP($A52,'01-02.2022'!$A$6:$DA$376,54,FALSE)</f>
        <v>2030.3995041081982</v>
      </c>
      <c r="BC52" s="566">
        <f>VLOOKUP($A52,'01-02.2021'!$A$6:$CZ$403,55,FALSE)+VLOOKUP($A52,'1.3.21-28.2.22'!$A$6:$DA$404,55,FALSE)-VLOOKUP($A52,'01-02.2022'!$A$6:$DA$376,55,FALSE)</f>
        <v>0</v>
      </c>
      <c r="BD52" s="55">
        <f t="shared" si="49"/>
        <v>-2030.3995041081982</v>
      </c>
      <c r="BE52" s="566">
        <f>VLOOKUP($A52,'01-02.2021'!$A$6:$CZ$403,57,FALSE)+VLOOKUP($A52,'1.3.21-28.2.22'!$A$6:$DA$404,57,FALSE)-VLOOKUP($A52,'01-02.2022'!$A$6:$DA$376,57,FALSE)</f>
        <v>0</v>
      </c>
      <c r="BF52" s="566">
        <f>VLOOKUP($A52,'01-02.2021'!$A$6:$CZ$403,58,FALSE)+VLOOKUP($A52,'1.3.21-28.2.22'!$A$6:$DA$404,58,FALSE)-VLOOKUP($A52,'01-02.2022'!$A$6:$DA$376,58,FALSE)</f>
        <v>0</v>
      </c>
      <c r="BG52" s="55">
        <f t="shared" si="50"/>
        <v>0</v>
      </c>
      <c r="BH52" s="566">
        <f>VLOOKUP($A52,'01-02.2021'!$A$6:$CZ$403,60,FALSE)+VLOOKUP($A52,'1.3.21-28.2.22'!$A$6:$DA$404,60,FALSE)-VLOOKUP($A52,'01-02.2022'!$A$6:$DA$376,60,FALSE)</f>
        <v>0</v>
      </c>
      <c r="BI52" s="566">
        <f>VLOOKUP($A52,'01-02.2021'!$A$6:$CZ$403,61,FALSE)+VLOOKUP($A52,'1.3.21-28.2.22'!$A$6:$DA$404,61,FALSE)-VLOOKUP($A52,'01-02.2022'!$A$6:$DA$376,61,FALSE)</f>
        <v>0</v>
      </c>
      <c r="BJ52" s="55">
        <f t="shared" si="51"/>
        <v>0</v>
      </c>
      <c r="BK52" s="566">
        <f>VLOOKUP($A52,'01-02.2021'!$A$6:$CZ$403,63,FALSE)+VLOOKUP($A52,'1.3.21-28.2.22'!$A$6:$DA$404,63,FALSE)-VLOOKUP($A52,'01-02.2022'!$A$6:$DA$376,63,FALSE)</f>
        <v>1883.6531249121763</v>
      </c>
      <c r="BL52" s="566">
        <f>VLOOKUP($A52,'01-02.2021'!$A$6:$CZ$403,64,FALSE)+VLOOKUP($A52,'1.3.21-28.2.22'!$A$6:$DA$404,64,FALSE)-VLOOKUP($A52,'01-02.2022'!$A$6:$DA$376,64,FALSE)</f>
        <v>0</v>
      </c>
      <c r="BM52" s="55">
        <f t="shared" si="52"/>
        <v>-1883.6531249121763</v>
      </c>
      <c r="BN52" s="566">
        <f>VLOOKUP($A52,'01-02.2021'!$A$6:$CZ$403,66,FALSE)+VLOOKUP($A52,'1.3.21-28.2.22'!$A$6:$DA$404,66,FALSE)-VLOOKUP($A52,'01-02.2022'!$A$6:$DA$376,66,FALSE)</f>
        <v>172.33350000000002</v>
      </c>
      <c r="BO52" s="566">
        <f>VLOOKUP($A52,'01-02.2021'!$A$6:$CZ$403,67,FALSE)+VLOOKUP($A52,'1.3.21-28.2.22'!$A$6:$DA$404,67,FALSE)-VLOOKUP($A52,'01-02.2022'!$A$6:$DA$376,67,FALSE)</f>
        <v>0</v>
      </c>
      <c r="BP52" s="55">
        <f t="shared" si="53"/>
        <v>-172.33350000000002</v>
      </c>
      <c r="BQ52" s="77">
        <f t="shared" si="79"/>
        <v>10750.02715577444</v>
      </c>
      <c r="BR52" s="40">
        <f t="shared" si="80"/>
        <v>0</v>
      </c>
      <c r="BS52" s="55">
        <f t="shared" si="70"/>
        <v>-10750.02715577444</v>
      </c>
      <c r="BT52" s="566">
        <f>VLOOKUP($A52,'01-02.2021'!$A$6:$CZ$403,72,FALSE)+VLOOKUP($A52,'1.3.21-28.2.22'!$A$6:$DA$404,72,FALSE)-VLOOKUP($A52,'01-02.2022'!$A$6:$DA$376,72,FALSE)</f>
        <v>33487.392570166136</v>
      </c>
      <c r="BU52" s="566">
        <f>VLOOKUP($A52,'01-02.2021'!$A$6:$CZ$403,73,FALSE)+VLOOKUP($A52,'1.3.21-28.2.22'!$A$6:$DA$404,73,FALSE)-VLOOKUP($A52,'01-02.2022'!$A$6:$DA$376,73,FALSE)</f>
        <v>44339.721190314165</v>
      </c>
      <c r="BV52" s="70">
        <f t="shared" si="54"/>
        <v>10852.32862014803</v>
      </c>
      <c r="BW52" s="566">
        <f>VLOOKUP($A52,'01-02.2021'!$A$6:$CZ$403,75,FALSE)+VLOOKUP($A52,'1.3.21-28.2.22'!$A$6:$DA$404,75,FALSE)-VLOOKUP($A52,'01-02.2022'!$A$6:$DA$376,75,FALSE)</f>
        <v>26116.498788999961</v>
      </c>
      <c r="BX52" s="566">
        <f>VLOOKUP($A52,'01-02.2021'!$A$6:$CZ$403,76,FALSE)+VLOOKUP($A52,'1.3.21-28.2.22'!$A$6:$DA$404,76,FALSE)-VLOOKUP($A52,'01-02.2022'!$A$6:$DA$376,76,FALSE)</f>
        <v>25016.022285617422</v>
      </c>
      <c r="BY52" s="70">
        <f t="shared" si="55"/>
        <v>-1100.4765033825388</v>
      </c>
      <c r="BZ52" s="566">
        <f>VLOOKUP($A52,'01-02.2021'!$A$6:$CZ$403,78,FALSE)+VLOOKUP($A52,'1.3.21-28.2.22'!$A$6:$DA$404,78,FALSE)-VLOOKUP($A52,'01-02.2022'!$A$6:$DA$376,78,FALSE)</f>
        <v>17593.385729175829</v>
      </c>
      <c r="CA52" s="566">
        <f>VLOOKUP($A52,'01-02.2021'!$A$6:$CZ$403,79,FALSE)+VLOOKUP($A52,'1.3.21-28.2.22'!$A$6:$DA$404,79,FALSE)-VLOOKUP($A52,'01-02.2022'!$A$6:$DA$376,79,FALSE)</f>
        <v>7168.1553294116893</v>
      </c>
      <c r="CB52" s="70">
        <f t="shared" si="56"/>
        <v>-10425.230399764139</v>
      </c>
      <c r="CC52" s="566">
        <f>VLOOKUP($A52,'01-02.2021'!$A$6:$CZ$403,81,FALSE)+VLOOKUP($A52,'1.3.21-28.2.22'!$A$6:$DA$404,81,FALSE)-VLOOKUP($A52,'01-02.2022'!$A$6:$DA$376,81,FALSE)</f>
        <v>0</v>
      </c>
      <c r="CD52" s="566">
        <f>VLOOKUP($A52,'01-02.2021'!$A$6:$CZ$403,82,FALSE)+VLOOKUP($A52,'1.3.21-28.2.22'!$A$6:$DA$404,82,FALSE)-VLOOKUP($A52,'01-02.2022'!$A$6:$DA$376,82,FALSE)</f>
        <v>0</v>
      </c>
      <c r="CE52" s="70">
        <f t="shared" si="57"/>
        <v>0</v>
      </c>
      <c r="CF52" s="566">
        <f>VLOOKUP($A52,'01-02.2021'!$A$6:$CZ$403,84,FALSE)+VLOOKUP($A52,'1.3.21-28.2.22'!$A$6:$DA$404,84,FALSE)-VLOOKUP($A52,'01-02.2022'!$A$6:$DA$376,84,FALSE)</f>
        <v>0</v>
      </c>
      <c r="CG52" s="566">
        <f>VLOOKUP($A52,'01-02.2021'!$A$6:$CZ$403,85,FALSE)+VLOOKUP($A52,'1.3.21-28.2.22'!$A$6:$DA$404,85,FALSE)-VLOOKUP($A52,'01-02.2022'!$A$6:$DA$376,85,FALSE)</f>
        <v>0</v>
      </c>
      <c r="CH52" s="70">
        <f t="shared" si="58"/>
        <v>0</v>
      </c>
      <c r="CI52" s="566">
        <f>VLOOKUP($A52,'01-02.2021'!$A$6:$CZ$403,87,FALSE)+VLOOKUP($A52,'1.3.21-28.2.22'!$A$6:$DA$404,87,FALSE)-VLOOKUP($A52,'01-02.2022'!$A$6:$DA$376,87,FALSE)</f>
        <v>5732.9055678884506</v>
      </c>
      <c r="CJ52" s="566">
        <f>VLOOKUP($A52,'01-02.2021'!$A$6:$CZ$403,88,FALSE)+VLOOKUP($A52,'1.3.21-28.2.22'!$A$6:$DA$404,88,FALSE)-VLOOKUP($A52,'01-02.2022'!$A$6:$DA$376,88,FALSE)</f>
        <v>3975.3425591130981</v>
      </c>
      <c r="CK52" s="70">
        <f t="shared" si="59"/>
        <v>-1757.5630087753525</v>
      </c>
      <c r="CL52" s="566">
        <f>VLOOKUP($A52,'01-02.2021'!$A$6:$CZ$403,90,FALSE)+VLOOKUP($A52,'1.3.21-28.2.22'!$A$6:$DA$404,90,FALSE)-VLOOKUP($A52,'01-02.2022'!$A$6:$DA$376,90,FALSE)</f>
        <v>0</v>
      </c>
      <c r="CM52" s="566">
        <f>VLOOKUP($A52,'01-02.2021'!$A$6:$CZ$403,91,FALSE)+VLOOKUP($A52,'1.3.21-28.2.22'!$A$6:$DA$404,91,FALSE)-VLOOKUP($A52,'01-02.2022'!$A$6:$DA$376,91,FALSE)</f>
        <v>0</v>
      </c>
      <c r="CN52" s="52">
        <f t="shared" si="60"/>
        <v>0</v>
      </c>
      <c r="CO52" s="39">
        <f t="shared" si="27"/>
        <v>5732.9055678884506</v>
      </c>
      <c r="CP52" s="40">
        <f t="shared" si="61"/>
        <v>3975.3425591130981</v>
      </c>
      <c r="CQ52" s="52">
        <f t="shared" si="62"/>
        <v>-1757.5630087753525</v>
      </c>
      <c r="CR52" s="72">
        <f t="shared" si="28"/>
        <v>178157.99316956959</v>
      </c>
      <c r="CS52" s="5">
        <f t="shared" si="28"/>
        <v>144659.30697819334</v>
      </c>
      <c r="CT52" s="52">
        <f t="shared" si="63"/>
        <v>-33498.68619137624</v>
      </c>
      <c r="CU52" s="77">
        <f t="shared" si="64"/>
        <v>213789.59180348349</v>
      </c>
      <c r="CV52" s="65">
        <f t="shared" si="65"/>
        <v>173591.16837383201</v>
      </c>
      <c r="CW52" s="35">
        <f t="shared" si="66"/>
        <v>-40198.423429651477</v>
      </c>
      <c r="CX52" s="566">
        <f>VLOOKUP($A52,'01-02.2021'!$A$6:$CZ$403,102,FALSE)+VLOOKUP($A52,'1.3.21-28.2.22'!$A$6:$DA$404,102,FALSE)-VLOOKUP($A52,'01-02.2022'!$A$6:$DA$376,102,FALSE)</f>
        <v>3958.8180362855855</v>
      </c>
      <c r="CY52" s="566">
        <f>VLOOKUP($A52,'01-02.2021'!$A$6:$CZ$403,103,FALSE)+VLOOKUP($A52,'1.3.21-28.2.22'!$A$6:$DA$404,103,FALSE)-VLOOKUP($A52,'01-02.2022'!$A$6:$DA$376,103,FALSE)</f>
        <v>44157.241465937092</v>
      </c>
      <c r="CZ52" s="52">
        <f t="shared" si="67"/>
        <v>40198.423429651506</v>
      </c>
      <c r="DA52" s="150">
        <f>'[2]побудинковий звіт'!DA52</f>
        <v>13306.061993240975</v>
      </c>
      <c r="DB52" s="2">
        <v>2</v>
      </c>
      <c r="DC52" s="414">
        <f>'[4]побудинковий звіт'!DC52</f>
        <v>41027.57</v>
      </c>
      <c r="DD52" s="414">
        <f>'[4]побудинковий звіт'!DD52</f>
        <v>41.259999999999991</v>
      </c>
      <c r="DE52" s="557">
        <f>'[4]побудинковий звіт'!DE52</f>
        <v>22143.009989483948</v>
      </c>
      <c r="DF52" s="557">
        <f>'[4]побудинковий звіт'!DF52</f>
        <v>-859.94872241652615</v>
      </c>
      <c r="DG52" s="321">
        <f>VLOOKUP(A52,'кошти 01.03.2021'!$A$6:$D$401,4,)</f>
        <v>-25039.75528916411</v>
      </c>
      <c r="DH52" s="40">
        <f>'[3]побудинковий звіт'!DJ52</f>
        <v>225505.77774352781</v>
      </c>
      <c r="DI52" s="422">
        <f>'[3]побудинковий звіт'!CU52+'[3]побудинковий звіт'!CX52</f>
        <v>19785.768732932582</v>
      </c>
      <c r="DJ52" s="306">
        <f>'[3]побудинковий звіт'!DM52</f>
        <v>5.7910334285544476</v>
      </c>
      <c r="DK52" s="306">
        <f t="shared" ref="DK52:DK69" si="82">DJ52</f>
        <v>5.7910334285544476</v>
      </c>
      <c r="DL52" s="306">
        <f>'[3]побудинковий звіт'!DO52</f>
        <v>4.8512069893767888</v>
      </c>
      <c r="DM52" s="28">
        <f t="shared" ref="DM52:DM69" si="83">F52*DJ52</f>
        <v>18884.560010516052</v>
      </c>
      <c r="DN52" s="28">
        <f t="shared" ref="DN52:DN69" si="84">H52*DL52</f>
        <v>901.20872241652614</v>
      </c>
      <c r="DO52" s="423">
        <f t="shared" si="29"/>
        <v>19785.768732932578</v>
      </c>
      <c r="DP52" s="94">
        <f t="shared" si="30"/>
        <v>0</v>
      </c>
      <c r="DQ52" s="28">
        <f t="shared" si="31"/>
        <v>19785.768732932578</v>
      </c>
      <c r="DR52" s="318"/>
      <c r="DT52" s="8"/>
      <c r="DU52" s="5"/>
      <c r="DX52" s="5">
        <f t="shared" si="32"/>
        <v>56708.051525382129</v>
      </c>
      <c r="DY52" s="5">
        <f t="shared" si="33"/>
        <v>20709.3</v>
      </c>
      <c r="DZ52" s="159">
        <f>'[3]побудинковий звіт'!EA52</f>
        <v>5130.7769850605891</v>
      </c>
    </row>
    <row r="53" spans="1:130" x14ac:dyDescent="0.3">
      <c r="A53" s="325">
        <v>150000987</v>
      </c>
      <c r="B53" s="41" t="s">
        <v>502</v>
      </c>
      <c r="C53" s="42" t="s">
        <v>51</v>
      </c>
      <c r="D53" s="42"/>
      <c r="E53" s="293">
        <f t="shared" si="23"/>
        <v>244.2</v>
      </c>
      <c r="F53" s="305">
        <f>'[3]побудинковий звіт'!F53</f>
        <v>244.2</v>
      </c>
      <c r="G53" s="508">
        <f>'[3]побудинковий звіт'!G53</f>
        <v>0</v>
      </c>
      <c r="H53" s="560">
        <f>'[3]побудинковий звіт'!H53</f>
        <v>0</v>
      </c>
      <c r="I53" s="566">
        <f>VLOOKUP($A53,'01-02.2021'!$A$6:$CZ$403,9,FALSE)+VLOOKUP($A53,'1.3.21-28.2.22'!$A$6:$DA$404,9,FALSE)-VLOOKUP($A53,'01-02.2022'!$A$6:$DA$376,9,FALSE)</f>
        <v>0</v>
      </c>
      <c r="J53" s="566">
        <f>VLOOKUP($A53,'01-02.2021'!$A$6:$CZ$403,10,FALSE)+VLOOKUP($A53,'1.3.21-28.2.22'!$A$6:$DA$404,10,FALSE)-VLOOKUP($A53,'01-02.2022'!$A$6:$DA$376,10,FALSE)</f>
        <v>0</v>
      </c>
      <c r="K53" s="52">
        <f t="shared" si="34"/>
        <v>0</v>
      </c>
      <c r="L53" s="566">
        <f>VLOOKUP($A53,'01-02.2021'!$A$6:$CZ$403,12,FALSE)+VLOOKUP($A53,'1.3.21-28.2.22'!$A$6:$DA$404,12,FALSE)-VLOOKUP($A53,'01-02.2022'!$A$6:$DA$376,12,FALSE)</f>
        <v>0</v>
      </c>
      <c r="M53" s="566">
        <f>VLOOKUP($A53,'01-02.2021'!$A$6:$CZ$403,13,FALSE)+VLOOKUP($A53,'1.3.21-28.2.22'!$A$6:$DA$404,13,FALSE)-VLOOKUP($A53,'01-02.2022'!$A$6:$DA$376,13,FALSE)</f>
        <v>0</v>
      </c>
      <c r="N53" s="52">
        <f t="shared" si="35"/>
        <v>0</v>
      </c>
      <c r="O53" s="566">
        <f>VLOOKUP($A53,'01-02.2021'!$A$6:$CZ$403,15,FALSE)+VLOOKUP($A53,'1.3.21-28.2.22'!$A$6:$DA$404,15,FALSE)-VLOOKUP($A53,'01-02.2022'!$A$6:$DA$376,15,FALSE)</f>
        <v>0</v>
      </c>
      <c r="P53" s="566">
        <f>VLOOKUP($A53,'01-02.2021'!$A$6:$CZ$403,16,FALSE)+VLOOKUP($A53,'1.3.21-28.2.22'!$A$6:$DA$404,16,FALSE)-VLOOKUP($A53,'01-02.2022'!$A$6:$DA$376,16,FALSE)</f>
        <v>0</v>
      </c>
      <c r="Q53" s="70">
        <f t="shared" si="36"/>
        <v>0</v>
      </c>
      <c r="R53" s="566">
        <f>VLOOKUP($A53,'01-02.2021'!$A$6:$CZ$403,18,FALSE)+VLOOKUP($A53,'1.3.21-28.2.22'!$A$6:$DA$404,18,FALSE)-VLOOKUP($A53,'01-02.2022'!$A$6:$DA$376,18,FALSE)</f>
        <v>0</v>
      </c>
      <c r="S53" s="566">
        <f>VLOOKUP($A53,'01-02.2021'!$A$6:$CZ$403,19,FALSE)+VLOOKUP($A53,'1.3.21-28.2.22'!$A$6:$DA$404,19,FALSE)-VLOOKUP($A53,'01-02.2022'!$A$6:$DA$376,19,FALSE)</f>
        <v>0</v>
      </c>
      <c r="T53" s="70">
        <f t="shared" si="37"/>
        <v>0</v>
      </c>
      <c r="U53" s="566">
        <f>VLOOKUP($A53,'01-02.2021'!$A$6:$CZ$403,21,FALSE)+VLOOKUP($A53,'1.3.21-28.2.22'!$A$6:$DA$404,21,FALSE)-VLOOKUP($A53,'01-02.2022'!$A$6:$DA$376,21,FALSE)</f>
        <v>0</v>
      </c>
      <c r="V53" s="566">
        <f>VLOOKUP($A53,'01-02.2021'!$A$6:$CZ$403,22,FALSE)+VLOOKUP($A53,'1.3.21-28.2.22'!$A$6:$DA$404,22,FALSE)-VLOOKUP($A53,'01-02.2022'!$A$6:$DA$376,22,FALSE)</f>
        <v>0</v>
      </c>
      <c r="W53" s="70">
        <f t="shared" si="38"/>
        <v>0</v>
      </c>
      <c r="X53" s="566">
        <f>VLOOKUP($A53,'01-02.2021'!$A$6:$CZ$403,24,FALSE)+VLOOKUP($A53,'1.3.21-28.2.22'!$A$6:$DA$404,24,FALSE)-VLOOKUP($A53,'01-02.2022'!$A$6:$DA$376,24,FALSE)</f>
        <v>0</v>
      </c>
      <c r="Y53" s="566">
        <f>VLOOKUP($A53,'01-02.2021'!$A$6:$CZ$403,25,FALSE)+VLOOKUP($A53,'1.3.21-28.2.22'!$A$6:$DA$404,25,FALSE)-VLOOKUP($A53,'01-02.2022'!$A$6:$DA$376,25,FALSE)</f>
        <v>0</v>
      </c>
      <c r="Z53" s="70">
        <f t="shared" si="39"/>
        <v>0</v>
      </c>
      <c r="AA53" s="566">
        <f>VLOOKUP($A53,'01-02.2021'!$A$6:$CZ$403,27,FALSE)+VLOOKUP($A53,'1.3.21-28.2.22'!$A$6:$DA$404,27,FALSE)-VLOOKUP($A53,'01-02.2022'!$A$6:$DA$376,27,FALSE)</f>
        <v>48.7</v>
      </c>
      <c r="AB53" s="566">
        <f>VLOOKUP($A53,'01-02.2021'!$A$6:$CZ$403,28,FALSE)+VLOOKUP($A53,'1.3.21-28.2.22'!$A$6:$DA$404,28,FALSE)-VLOOKUP($A53,'01-02.2022'!$A$6:$DA$376,28,FALSE)</f>
        <v>0</v>
      </c>
      <c r="AC53" s="70">
        <f t="shared" si="40"/>
        <v>-48.7</v>
      </c>
      <c r="AD53" s="566">
        <f>VLOOKUP($A53,'01-02.2021'!$A$6:$CZ$403,30,FALSE)+VLOOKUP($A53,'1.3.21-28.2.22'!$A$6:$DA$404,30,FALSE)-VLOOKUP($A53,'01-02.2022'!$A$6:$DA$376,30,FALSE)</f>
        <v>0</v>
      </c>
      <c r="AE53" s="566">
        <f>VLOOKUP($A53,'01-02.2021'!$A$6:$CZ$403,31,FALSE)+VLOOKUP($A53,'1.3.21-28.2.22'!$A$6:$DA$404,31,FALSE)-VLOOKUP($A53,'01-02.2022'!$A$6:$DA$376,31,FALSE)</f>
        <v>0</v>
      </c>
      <c r="AF53" s="68">
        <f t="shared" si="41"/>
        <v>0</v>
      </c>
      <c r="AG53" s="77">
        <f t="shared" si="24"/>
        <v>48.7</v>
      </c>
      <c r="AH53" s="53">
        <f t="shared" si="24"/>
        <v>0</v>
      </c>
      <c r="AI53" s="52">
        <f t="shared" si="42"/>
        <v>-48.7</v>
      </c>
      <c r="AJ53" s="566">
        <f>VLOOKUP($A53,'01-02.2021'!$A$6:$CZ$403,36,FALSE)+VLOOKUP($A53,'1.3.21-28.2.22'!$A$6:$DA$404,36,FALSE)-VLOOKUP($A53,'01-02.2022'!$A$6:$DA$376,36,FALSE)</f>
        <v>0</v>
      </c>
      <c r="AK53" s="566">
        <f>VLOOKUP($A53,'01-02.2021'!$A$6:$CZ$403,37,FALSE)+VLOOKUP($A53,'1.3.21-28.2.22'!$A$6:$DA$404,37,FALSE)-VLOOKUP($A53,'01-02.2022'!$A$6:$DA$376,37,FALSE)</f>
        <v>0</v>
      </c>
      <c r="AL53" s="70">
        <f t="shared" si="43"/>
        <v>0</v>
      </c>
      <c r="AM53" s="566">
        <f>VLOOKUP($A53,'01-02.2021'!$A$6:$CZ$403,39,FALSE)+VLOOKUP($A53,'1.3.21-28.2.22'!$A$6:$DA$404,39,FALSE)-VLOOKUP($A53,'01-02.2022'!$A$6:$DA$376,39,FALSE)</f>
        <v>0</v>
      </c>
      <c r="AN53" s="566">
        <f>VLOOKUP($A53,'01-02.2021'!$A$6:$CZ$403,40,FALSE)+VLOOKUP($A53,'1.3.21-28.2.22'!$A$6:$DA$404,40,FALSE)-VLOOKUP($A53,'01-02.2022'!$A$6:$DA$376,40,FALSE)</f>
        <v>0</v>
      </c>
      <c r="AO53" s="70">
        <f t="shared" si="44"/>
        <v>0</v>
      </c>
      <c r="AP53" s="566">
        <f>VLOOKUP($A53,'01-02.2021'!$A$6:$CZ$403,42,FALSE)+VLOOKUP($A53,'1.3.21-28.2.22'!$A$6:$DA$404,42,FALSE)-VLOOKUP($A53,'01-02.2022'!$A$6:$DA$376,42,FALSE)</f>
        <v>520.55992501277728</v>
      </c>
      <c r="AQ53" s="566">
        <f>VLOOKUP($A53,'01-02.2021'!$A$6:$CZ$403,43,FALSE)+VLOOKUP($A53,'1.3.21-28.2.22'!$A$6:$DA$404,43,FALSE)-VLOOKUP($A53,'01-02.2022'!$A$6:$DA$376,43,FALSE)</f>
        <v>448.76449922990878</v>
      </c>
      <c r="AR53" s="70">
        <f t="shared" si="45"/>
        <v>-71.795425782868506</v>
      </c>
      <c r="AS53" s="566">
        <f>VLOOKUP($A53,'01-02.2021'!$A$6:$CZ$403,45,FALSE)+VLOOKUP($A53,'1.3.21-28.2.22'!$A$6:$DA$404,45,FALSE)-VLOOKUP($A53,'01-02.2022'!$A$6:$DA$376,45,FALSE)</f>
        <v>69.748006086102407</v>
      </c>
      <c r="AT53" s="566">
        <f>VLOOKUP($A53,'01-02.2021'!$A$6:$CZ$403,46,FALSE)+VLOOKUP($A53,'1.3.21-28.2.22'!$A$6:$DA$404,46,FALSE)-VLOOKUP($A53,'01-02.2022'!$A$6:$DA$376,46,FALSE)</f>
        <v>0</v>
      </c>
      <c r="AU53" s="78">
        <f t="shared" si="46"/>
        <v>-69.748006086102407</v>
      </c>
      <c r="AV53" s="566">
        <f>VLOOKUP($A53,'01-02.2021'!$A$6:$CZ$403,48,FALSE)+VLOOKUP($A53,'1.3.21-28.2.22'!$A$6:$DA$404,48,FALSE)-VLOOKUP($A53,'01-02.2022'!$A$6:$DA$376,48,FALSE)</f>
        <v>0</v>
      </c>
      <c r="AW53" s="566">
        <f>VLOOKUP($A53,'01-02.2021'!$A$6:$CZ$403,49,FALSE)+VLOOKUP($A53,'1.3.21-28.2.22'!$A$6:$DA$404,49,FALSE)-VLOOKUP($A53,'01-02.2022'!$A$6:$DA$376,49,FALSE)</f>
        <v>0</v>
      </c>
      <c r="AX53" s="55">
        <f t="shared" si="47"/>
        <v>0</v>
      </c>
      <c r="AY53" s="566">
        <f>VLOOKUP($A53,'01-02.2021'!$A$6:$CZ$403,51,FALSE)+VLOOKUP($A53,'1.3.21-28.2.22'!$A$6:$DA$404,51,FALSE)-VLOOKUP($A53,'01-02.2022'!$A$6:$DA$376,51,FALSE)</f>
        <v>0</v>
      </c>
      <c r="AZ53" s="566">
        <f>VLOOKUP($A53,'01-02.2021'!$A$6:$CZ$403,52,FALSE)+VLOOKUP($A53,'1.3.21-28.2.22'!$A$6:$DA$404,52,FALSE)-VLOOKUP($A53,'01-02.2022'!$A$6:$DA$376,52,FALSE)</f>
        <v>0</v>
      </c>
      <c r="BA53" s="38">
        <f t="shared" si="48"/>
        <v>0</v>
      </c>
      <c r="BB53" s="566">
        <f>VLOOKUP($A53,'01-02.2021'!$A$6:$CZ$403,54,FALSE)+VLOOKUP($A53,'1.3.21-28.2.22'!$A$6:$DA$404,54,FALSE)-VLOOKUP($A53,'01-02.2022'!$A$6:$DA$376,54,FALSE)</f>
        <v>0</v>
      </c>
      <c r="BC53" s="566">
        <f>VLOOKUP($A53,'01-02.2021'!$A$6:$CZ$403,55,FALSE)+VLOOKUP($A53,'1.3.21-28.2.22'!$A$6:$DA$404,55,FALSE)-VLOOKUP($A53,'01-02.2022'!$A$6:$DA$376,55,FALSE)</f>
        <v>0</v>
      </c>
      <c r="BD53" s="55">
        <f t="shared" si="49"/>
        <v>0</v>
      </c>
      <c r="BE53" s="566">
        <f>VLOOKUP($A53,'01-02.2021'!$A$6:$CZ$403,57,FALSE)+VLOOKUP($A53,'1.3.21-28.2.22'!$A$6:$DA$404,57,FALSE)-VLOOKUP($A53,'01-02.2022'!$A$6:$DA$376,57,FALSE)</f>
        <v>0</v>
      </c>
      <c r="BF53" s="566">
        <f>VLOOKUP($A53,'01-02.2021'!$A$6:$CZ$403,58,FALSE)+VLOOKUP($A53,'1.3.21-28.2.22'!$A$6:$DA$404,58,FALSE)-VLOOKUP($A53,'01-02.2022'!$A$6:$DA$376,58,FALSE)</f>
        <v>0</v>
      </c>
      <c r="BG53" s="55">
        <f t="shared" si="50"/>
        <v>0</v>
      </c>
      <c r="BH53" s="566">
        <f>VLOOKUP($A53,'01-02.2021'!$A$6:$CZ$403,60,FALSE)+VLOOKUP($A53,'1.3.21-28.2.22'!$A$6:$DA$404,60,FALSE)-VLOOKUP($A53,'01-02.2022'!$A$6:$DA$376,60,FALSE)</f>
        <v>0</v>
      </c>
      <c r="BI53" s="566">
        <f>VLOOKUP($A53,'01-02.2021'!$A$6:$CZ$403,61,FALSE)+VLOOKUP($A53,'1.3.21-28.2.22'!$A$6:$DA$404,61,FALSE)-VLOOKUP($A53,'01-02.2022'!$A$6:$DA$376,61,FALSE)</f>
        <v>0</v>
      </c>
      <c r="BJ53" s="55">
        <f t="shared" si="51"/>
        <v>0</v>
      </c>
      <c r="BK53" s="566">
        <f>VLOOKUP($A53,'01-02.2021'!$A$6:$CZ$403,63,FALSE)+VLOOKUP($A53,'1.3.21-28.2.22'!$A$6:$DA$404,63,FALSE)-VLOOKUP($A53,'01-02.2022'!$A$6:$DA$376,63,FALSE)</f>
        <v>0</v>
      </c>
      <c r="BL53" s="566">
        <f>VLOOKUP($A53,'01-02.2021'!$A$6:$CZ$403,64,FALSE)+VLOOKUP($A53,'1.3.21-28.2.22'!$A$6:$DA$404,64,FALSE)-VLOOKUP($A53,'01-02.2022'!$A$6:$DA$376,64,FALSE)</f>
        <v>0</v>
      </c>
      <c r="BM53" s="55">
        <f t="shared" si="52"/>
        <v>0</v>
      </c>
      <c r="BN53" s="566">
        <f>VLOOKUP($A53,'01-02.2021'!$A$6:$CZ$403,66,FALSE)+VLOOKUP($A53,'1.3.21-28.2.22'!$A$6:$DA$404,66,FALSE)-VLOOKUP($A53,'01-02.2022'!$A$6:$DA$376,66,FALSE)</f>
        <v>12.175000000000001</v>
      </c>
      <c r="BO53" s="566">
        <f>VLOOKUP($A53,'01-02.2021'!$A$6:$CZ$403,67,FALSE)+VLOOKUP($A53,'1.3.21-28.2.22'!$A$6:$DA$404,67,FALSE)-VLOOKUP($A53,'01-02.2022'!$A$6:$DA$376,67,FALSE)</f>
        <v>0</v>
      </c>
      <c r="BP53" s="55">
        <f t="shared" si="53"/>
        <v>-12.175000000000001</v>
      </c>
      <c r="BQ53" s="77">
        <f t="shared" si="79"/>
        <v>12.175000000000001</v>
      </c>
      <c r="BR53" s="40">
        <f t="shared" si="80"/>
        <v>0</v>
      </c>
      <c r="BS53" s="55">
        <f t="shared" si="70"/>
        <v>-12.175000000000001</v>
      </c>
      <c r="BT53" s="566">
        <f>VLOOKUP($A53,'01-02.2021'!$A$6:$CZ$403,72,FALSE)+VLOOKUP($A53,'1.3.21-28.2.22'!$A$6:$DA$404,72,FALSE)-VLOOKUP($A53,'01-02.2022'!$A$6:$DA$376,72,FALSE)</f>
        <v>97.701960579639803</v>
      </c>
      <c r="BU53" s="566">
        <f>VLOOKUP($A53,'01-02.2021'!$A$6:$CZ$403,73,FALSE)+VLOOKUP($A53,'1.3.21-28.2.22'!$A$6:$DA$404,73,FALSE)-VLOOKUP($A53,'01-02.2022'!$A$6:$DA$376,73,FALSE)</f>
        <v>151.55132144799228</v>
      </c>
      <c r="BV53" s="70">
        <f t="shared" si="54"/>
        <v>53.849360868352477</v>
      </c>
      <c r="BW53" s="566">
        <f>VLOOKUP($A53,'01-02.2021'!$A$6:$CZ$403,75,FALSE)+VLOOKUP($A53,'1.3.21-28.2.22'!$A$6:$DA$404,75,FALSE)-VLOOKUP($A53,'01-02.2022'!$A$6:$DA$376,75,FALSE)</f>
        <v>0</v>
      </c>
      <c r="BX53" s="566">
        <f>VLOOKUP($A53,'01-02.2021'!$A$6:$CZ$403,76,FALSE)+VLOOKUP($A53,'1.3.21-28.2.22'!$A$6:$DA$404,76,FALSE)-VLOOKUP($A53,'01-02.2022'!$A$6:$DA$376,76,FALSE)</f>
        <v>5.4729104230578693</v>
      </c>
      <c r="BY53" s="70">
        <f t="shared" si="55"/>
        <v>5.4729104230578693</v>
      </c>
      <c r="BZ53" s="566">
        <f>VLOOKUP($A53,'01-02.2021'!$A$6:$CZ$403,78,FALSE)+VLOOKUP($A53,'1.3.21-28.2.22'!$A$6:$DA$404,78,FALSE)-VLOOKUP($A53,'01-02.2022'!$A$6:$DA$376,78,FALSE)</f>
        <v>0</v>
      </c>
      <c r="CA53" s="566">
        <f>VLOOKUP($A53,'01-02.2021'!$A$6:$CZ$403,79,FALSE)+VLOOKUP($A53,'1.3.21-28.2.22'!$A$6:$DA$404,79,FALSE)-VLOOKUP($A53,'01-02.2022'!$A$6:$DA$376,79,FALSE)</f>
        <v>9.2436406512338465</v>
      </c>
      <c r="CB53" s="70">
        <f t="shared" si="56"/>
        <v>9.2436406512338465</v>
      </c>
      <c r="CC53" s="566">
        <f>VLOOKUP($A53,'01-02.2021'!$A$6:$CZ$403,81,FALSE)+VLOOKUP($A53,'1.3.21-28.2.22'!$A$6:$DA$404,81,FALSE)-VLOOKUP($A53,'01-02.2022'!$A$6:$DA$376,81,FALSE)</f>
        <v>0</v>
      </c>
      <c r="CD53" s="566">
        <f>VLOOKUP($A53,'01-02.2021'!$A$6:$CZ$403,82,FALSE)+VLOOKUP($A53,'1.3.21-28.2.22'!$A$6:$DA$404,82,FALSE)-VLOOKUP($A53,'01-02.2022'!$A$6:$DA$376,82,FALSE)</f>
        <v>0</v>
      </c>
      <c r="CE53" s="70">
        <f t="shared" si="57"/>
        <v>0</v>
      </c>
      <c r="CF53" s="566">
        <f>VLOOKUP($A53,'01-02.2021'!$A$6:$CZ$403,84,FALSE)+VLOOKUP($A53,'1.3.21-28.2.22'!$A$6:$DA$404,84,FALSE)-VLOOKUP($A53,'01-02.2022'!$A$6:$DA$376,84,FALSE)</f>
        <v>0</v>
      </c>
      <c r="CG53" s="566">
        <f>VLOOKUP($A53,'01-02.2021'!$A$6:$CZ$403,85,FALSE)+VLOOKUP($A53,'1.3.21-28.2.22'!$A$6:$DA$404,85,FALSE)-VLOOKUP($A53,'01-02.2022'!$A$6:$DA$376,85,FALSE)</f>
        <v>0</v>
      </c>
      <c r="CH53" s="70">
        <f t="shared" si="58"/>
        <v>0</v>
      </c>
      <c r="CI53" s="566">
        <f>VLOOKUP($A53,'01-02.2021'!$A$6:$CZ$403,87,FALSE)+VLOOKUP($A53,'1.3.21-28.2.22'!$A$6:$DA$404,87,FALSE)-VLOOKUP($A53,'01-02.2022'!$A$6:$DA$376,87,FALSE)</f>
        <v>0</v>
      </c>
      <c r="CJ53" s="566">
        <f>VLOOKUP($A53,'01-02.2021'!$A$6:$CZ$403,88,FALSE)+VLOOKUP($A53,'1.3.21-28.2.22'!$A$6:$DA$404,88,FALSE)-VLOOKUP($A53,'01-02.2022'!$A$6:$DA$376,88,FALSE)</f>
        <v>0</v>
      </c>
      <c r="CK53" s="70">
        <f t="shared" si="59"/>
        <v>0</v>
      </c>
      <c r="CL53" s="566">
        <f>VLOOKUP($A53,'01-02.2021'!$A$6:$CZ$403,90,FALSE)+VLOOKUP($A53,'1.3.21-28.2.22'!$A$6:$DA$404,90,FALSE)-VLOOKUP($A53,'01-02.2022'!$A$6:$DA$376,90,FALSE)</f>
        <v>0</v>
      </c>
      <c r="CM53" s="566">
        <f>VLOOKUP($A53,'01-02.2021'!$A$6:$CZ$403,91,FALSE)+VLOOKUP($A53,'1.3.21-28.2.22'!$A$6:$DA$404,91,FALSE)-VLOOKUP($A53,'01-02.2022'!$A$6:$DA$376,91,FALSE)</f>
        <v>0</v>
      </c>
      <c r="CN53" s="52">
        <f t="shared" si="60"/>
        <v>0</v>
      </c>
      <c r="CO53" s="39">
        <f t="shared" si="27"/>
        <v>0</v>
      </c>
      <c r="CP53" s="40">
        <f t="shared" si="61"/>
        <v>0</v>
      </c>
      <c r="CQ53" s="52">
        <f t="shared" si="62"/>
        <v>0</v>
      </c>
      <c r="CR53" s="72">
        <f t="shared" si="28"/>
        <v>748.88489167851947</v>
      </c>
      <c r="CS53" s="5">
        <f t="shared" si="28"/>
        <v>615.03237175219272</v>
      </c>
      <c r="CT53" s="52">
        <f t="shared" si="63"/>
        <v>-133.85251992632675</v>
      </c>
      <c r="CU53" s="77">
        <f t="shared" si="64"/>
        <v>898.66187001422338</v>
      </c>
      <c r="CV53" s="65">
        <f t="shared" si="65"/>
        <v>738.03884610263128</v>
      </c>
      <c r="CW53" s="35">
        <f t="shared" si="66"/>
        <v>-160.6230239115921</v>
      </c>
      <c r="CX53" s="566">
        <f>VLOOKUP($A53,'01-02.2021'!$A$6:$CZ$403,102,FALSE)+VLOOKUP($A53,'1.3.21-28.2.22'!$A$6:$DA$404,102,FALSE)-VLOOKUP($A53,'01-02.2022'!$A$6:$DA$376,102,FALSE)</f>
        <v>31.528014304793238</v>
      </c>
      <c r="CY53" s="566">
        <f>VLOOKUP($A53,'01-02.2021'!$A$6:$CZ$403,103,FALSE)+VLOOKUP($A53,'1.3.21-28.2.22'!$A$6:$DA$404,103,FALSE)-VLOOKUP($A53,'01-02.2022'!$A$6:$DA$376,103,FALSE)</f>
        <v>192.15103821638547</v>
      </c>
      <c r="CZ53" s="52">
        <f t="shared" si="67"/>
        <v>160.62302391159224</v>
      </c>
      <c r="DA53" s="150">
        <f>'[2]побудинковий звіт'!DA53</f>
        <v>168.59974543254481</v>
      </c>
      <c r="DB53" s="2">
        <v>3</v>
      </c>
      <c r="DC53" s="414">
        <f>'[4]побудинковий звіт'!DC53</f>
        <v>-11.38</v>
      </c>
      <c r="DD53" s="414">
        <f>'[4]побудинковий звіт'!DD53</f>
        <v>0</v>
      </c>
      <c r="DE53" s="557">
        <f>'[4]побудинковий звіт'!DE53</f>
        <v>-94.862935254096158</v>
      </c>
      <c r="DF53" s="557">
        <f>'[4]побудинковий звіт'!DF53</f>
        <v>0</v>
      </c>
      <c r="DG53" s="321">
        <f>VLOOKUP(A53,'кошти 01.03.2021'!$A$6:$D$401,4,)</f>
        <v>291.07363355762254</v>
      </c>
      <c r="DH53" s="40">
        <f>'[3]побудинковий звіт'!DJ53</f>
        <v>958.33038491128457</v>
      </c>
      <c r="DI53" s="422">
        <f>'[3]побудинковий звіт'!CU53+'[3]побудинковий звіт'!CX53</f>
        <v>83.482935254096162</v>
      </c>
      <c r="DJ53" s="306">
        <f>'[3]побудинковий звіт'!DM53</f>
        <v>0.34186296172848551</v>
      </c>
      <c r="DK53" s="306">
        <f t="shared" si="82"/>
        <v>0.34186296172848551</v>
      </c>
      <c r="DL53" s="306">
        <f>'[3]побудинковий звіт'!DO53</f>
        <v>0.34186296172848551</v>
      </c>
      <c r="DM53" s="28">
        <f t="shared" si="83"/>
        <v>83.482935254096162</v>
      </c>
      <c r="DN53" s="28">
        <f t="shared" si="84"/>
        <v>0</v>
      </c>
      <c r="DO53" s="423">
        <f t="shared" si="29"/>
        <v>83.482935254096162</v>
      </c>
      <c r="DP53" s="94">
        <f t="shared" si="30"/>
        <v>0</v>
      </c>
      <c r="DQ53" s="28">
        <f t="shared" si="31"/>
        <v>83.482935254096162</v>
      </c>
      <c r="DR53" s="318"/>
      <c r="DT53" s="8"/>
      <c r="DU53" s="5"/>
      <c r="DX53" s="5">
        <f t="shared" si="32"/>
        <v>98.307607303322882</v>
      </c>
      <c r="DY53" s="5">
        <f t="shared" si="33"/>
        <v>0</v>
      </c>
      <c r="DZ53" s="159">
        <f>'[3]побудинковий звіт'!EA53</f>
        <v>7.8767999999999994</v>
      </c>
    </row>
    <row r="54" spans="1:130" x14ac:dyDescent="0.3">
      <c r="A54" s="325">
        <v>150000988</v>
      </c>
      <c r="B54" s="41" t="s">
        <v>503</v>
      </c>
      <c r="C54" s="42" t="s">
        <v>52</v>
      </c>
      <c r="D54" s="42"/>
      <c r="E54" s="293">
        <f t="shared" si="23"/>
        <v>323.7</v>
      </c>
      <c r="F54" s="305">
        <f>'[3]побудинковий звіт'!F54</f>
        <v>323.7</v>
      </c>
      <c r="G54" s="508">
        <f>'[3]побудинковий звіт'!G54</f>
        <v>0</v>
      </c>
      <c r="H54" s="560">
        <f>'[3]побудинковий звіт'!H54</f>
        <v>0</v>
      </c>
      <c r="I54" s="566">
        <f>VLOOKUP($A54,'01-02.2021'!$A$6:$CZ$403,9,FALSE)+VLOOKUP($A54,'1.3.21-28.2.22'!$A$6:$DA$404,9,FALSE)-VLOOKUP($A54,'01-02.2022'!$A$6:$DA$376,9,FALSE)</f>
        <v>0</v>
      </c>
      <c r="J54" s="566">
        <f>VLOOKUP($A54,'01-02.2021'!$A$6:$CZ$403,10,FALSE)+VLOOKUP($A54,'1.3.21-28.2.22'!$A$6:$DA$404,10,FALSE)-VLOOKUP($A54,'01-02.2022'!$A$6:$DA$376,10,FALSE)</f>
        <v>0</v>
      </c>
      <c r="K54" s="52">
        <f t="shared" si="34"/>
        <v>0</v>
      </c>
      <c r="L54" s="566">
        <f>VLOOKUP($A54,'01-02.2021'!$A$6:$CZ$403,12,FALSE)+VLOOKUP($A54,'1.3.21-28.2.22'!$A$6:$DA$404,12,FALSE)-VLOOKUP($A54,'01-02.2022'!$A$6:$DA$376,12,FALSE)</f>
        <v>0</v>
      </c>
      <c r="M54" s="566">
        <f>VLOOKUP($A54,'01-02.2021'!$A$6:$CZ$403,13,FALSE)+VLOOKUP($A54,'1.3.21-28.2.22'!$A$6:$DA$404,13,FALSE)-VLOOKUP($A54,'01-02.2022'!$A$6:$DA$376,13,FALSE)</f>
        <v>0</v>
      </c>
      <c r="N54" s="52">
        <f t="shared" si="35"/>
        <v>0</v>
      </c>
      <c r="O54" s="566">
        <f>VLOOKUP($A54,'01-02.2021'!$A$6:$CZ$403,15,FALSE)+VLOOKUP($A54,'1.3.21-28.2.22'!$A$6:$DA$404,15,FALSE)-VLOOKUP($A54,'01-02.2022'!$A$6:$DA$376,15,FALSE)</f>
        <v>0</v>
      </c>
      <c r="P54" s="566">
        <f>VLOOKUP($A54,'01-02.2021'!$A$6:$CZ$403,16,FALSE)+VLOOKUP($A54,'1.3.21-28.2.22'!$A$6:$DA$404,16,FALSE)-VLOOKUP($A54,'01-02.2022'!$A$6:$DA$376,16,FALSE)</f>
        <v>0</v>
      </c>
      <c r="Q54" s="70">
        <f t="shared" si="36"/>
        <v>0</v>
      </c>
      <c r="R54" s="566">
        <f>VLOOKUP($A54,'01-02.2021'!$A$6:$CZ$403,18,FALSE)+VLOOKUP($A54,'1.3.21-28.2.22'!$A$6:$DA$404,18,FALSE)-VLOOKUP($A54,'01-02.2022'!$A$6:$DA$376,18,FALSE)</f>
        <v>0</v>
      </c>
      <c r="S54" s="566">
        <f>VLOOKUP($A54,'01-02.2021'!$A$6:$CZ$403,19,FALSE)+VLOOKUP($A54,'1.3.21-28.2.22'!$A$6:$DA$404,19,FALSE)-VLOOKUP($A54,'01-02.2022'!$A$6:$DA$376,19,FALSE)</f>
        <v>0</v>
      </c>
      <c r="T54" s="70">
        <f t="shared" si="37"/>
        <v>0</v>
      </c>
      <c r="U54" s="566">
        <f>VLOOKUP($A54,'01-02.2021'!$A$6:$CZ$403,21,FALSE)+VLOOKUP($A54,'1.3.21-28.2.22'!$A$6:$DA$404,21,FALSE)-VLOOKUP($A54,'01-02.2022'!$A$6:$DA$376,21,FALSE)</f>
        <v>0</v>
      </c>
      <c r="V54" s="566">
        <f>VLOOKUP($A54,'01-02.2021'!$A$6:$CZ$403,22,FALSE)+VLOOKUP($A54,'1.3.21-28.2.22'!$A$6:$DA$404,22,FALSE)-VLOOKUP($A54,'01-02.2022'!$A$6:$DA$376,22,FALSE)</f>
        <v>0</v>
      </c>
      <c r="W54" s="70">
        <f t="shared" si="38"/>
        <v>0</v>
      </c>
      <c r="X54" s="566">
        <f>VLOOKUP($A54,'01-02.2021'!$A$6:$CZ$403,24,FALSE)+VLOOKUP($A54,'1.3.21-28.2.22'!$A$6:$DA$404,24,FALSE)-VLOOKUP($A54,'01-02.2022'!$A$6:$DA$376,24,FALSE)</f>
        <v>0</v>
      </c>
      <c r="Y54" s="566">
        <f>VLOOKUP($A54,'01-02.2021'!$A$6:$CZ$403,25,FALSE)+VLOOKUP($A54,'1.3.21-28.2.22'!$A$6:$DA$404,25,FALSE)-VLOOKUP($A54,'01-02.2022'!$A$6:$DA$376,25,FALSE)</f>
        <v>0</v>
      </c>
      <c r="Z54" s="70">
        <f t="shared" si="39"/>
        <v>0</v>
      </c>
      <c r="AA54" s="566">
        <f>VLOOKUP($A54,'01-02.2021'!$A$6:$CZ$403,27,FALSE)+VLOOKUP($A54,'1.3.21-28.2.22'!$A$6:$DA$404,27,FALSE)-VLOOKUP($A54,'01-02.2022'!$A$6:$DA$376,27,FALSE)</f>
        <v>62.56</v>
      </c>
      <c r="AB54" s="566">
        <f>VLOOKUP($A54,'01-02.2021'!$A$6:$CZ$403,28,FALSE)+VLOOKUP($A54,'1.3.21-28.2.22'!$A$6:$DA$404,28,FALSE)-VLOOKUP($A54,'01-02.2022'!$A$6:$DA$376,28,FALSE)</f>
        <v>0</v>
      </c>
      <c r="AC54" s="70">
        <f t="shared" si="40"/>
        <v>-62.56</v>
      </c>
      <c r="AD54" s="566">
        <f>VLOOKUP($A54,'01-02.2021'!$A$6:$CZ$403,30,FALSE)+VLOOKUP($A54,'1.3.21-28.2.22'!$A$6:$DA$404,30,FALSE)-VLOOKUP($A54,'01-02.2022'!$A$6:$DA$376,30,FALSE)</f>
        <v>469.74420194848591</v>
      </c>
      <c r="AE54" s="566">
        <f>VLOOKUP($A54,'01-02.2021'!$A$6:$CZ$403,31,FALSE)+VLOOKUP($A54,'1.3.21-28.2.22'!$A$6:$DA$404,31,FALSE)-VLOOKUP($A54,'01-02.2022'!$A$6:$DA$376,31,FALSE)</f>
        <v>1473.4954426014399</v>
      </c>
      <c r="AF54" s="68">
        <f t="shared" si="41"/>
        <v>1003.751240652954</v>
      </c>
      <c r="AG54" s="77">
        <f t="shared" si="24"/>
        <v>532.30420194848591</v>
      </c>
      <c r="AH54" s="53">
        <f t="shared" si="24"/>
        <v>1473.4954426014399</v>
      </c>
      <c r="AI54" s="52">
        <f t="shared" si="42"/>
        <v>941.19124065295398</v>
      </c>
      <c r="AJ54" s="566">
        <f>VLOOKUP($A54,'01-02.2021'!$A$6:$CZ$403,36,FALSE)+VLOOKUP($A54,'1.3.21-28.2.22'!$A$6:$DA$404,36,FALSE)-VLOOKUP($A54,'01-02.2022'!$A$6:$DA$376,36,FALSE)</f>
        <v>0</v>
      </c>
      <c r="AK54" s="566">
        <f>VLOOKUP($A54,'01-02.2021'!$A$6:$CZ$403,37,FALSE)+VLOOKUP($A54,'1.3.21-28.2.22'!$A$6:$DA$404,37,FALSE)-VLOOKUP($A54,'01-02.2022'!$A$6:$DA$376,37,FALSE)</f>
        <v>0</v>
      </c>
      <c r="AL54" s="70">
        <f t="shared" si="43"/>
        <v>0</v>
      </c>
      <c r="AM54" s="566">
        <f>VLOOKUP($A54,'01-02.2021'!$A$6:$CZ$403,39,FALSE)+VLOOKUP($A54,'1.3.21-28.2.22'!$A$6:$DA$404,39,FALSE)-VLOOKUP($A54,'01-02.2022'!$A$6:$DA$376,39,FALSE)</f>
        <v>0</v>
      </c>
      <c r="AN54" s="566">
        <f>VLOOKUP($A54,'01-02.2021'!$A$6:$CZ$403,40,FALSE)+VLOOKUP($A54,'1.3.21-28.2.22'!$A$6:$DA$404,40,FALSE)-VLOOKUP($A54,'01-02.2022'!$A$6:$DA$376,40,FALSE)</f>
        <v>0</v>
      </c>
      <c r="AO54" s="70">
        <f t="shared" si="44"/>
        <v>0</v>
      </c>
      <c r="AP54" s="566">
        <f>VLOOKUP($A54,'01-02.2021'!$A$6:$CZ$403,42,FALSE)+VLOOKUP($A54,'1.3.21-28.2.22'!$A$6:$DA$404,42,FALSE)-VLOOKUP($A54,'01-02.2022'!$A$6:$DA$376,42,FALSE)</f>
        <v>433.79993751064791</v>
      </c>
      <c r="AQ54" s="566">
        <f>VLOOKUP($A54,'01-02.2021'!$A$6:$CZ$403,43,FALSE)+VLOOKUP($A54,'1.3.21-28.2.22'!$A$6:$DA$404,43,FALSE)-VLOOKUP($A54,'01-02.2022'!$A$6:$DA$376,43,FALSE)</f>
        <v>373.97041602492402</v>
      </c>
      <c r="AR54" s="70">
        <f t="shared" si="45"/>
        <v>-59.829521485723888</v>
      </c>
      <c r="AS54" s="566">
        <f>VLOOKUP($A54,'01-02.2021'!$A$6:$CZ$403,45,FALSE)+VLOOKUP($A54,'1.3.21-28.2.22'!$A$6:$DA$404,45,FALSE)-VLOOKUP($A54,'01-02.2022'!$A$6:$DA$376,45,FALSE)</f>
        <v>2773.0472313921118</v>
      </c>
      <c r="AT54" s="566">
        <f>VLOOKUP($A54,'01-02.2021'!$A$6:$CZ$403,46,FALSE)+VLOOKUP($A54,'1.3.21-28.2.22'!$A$6:$DA$404,46,FALSE)-VLOOKUP($A54,'01-02.2022'!$A$6:$DA$376,46,FALSE)</f>
        <v>0</v>
      </c>
      <c r="AU54" s="78">
        <f t="shared" si="46"/>
        <v>-2773.0472313921118</v>
      </c>
      <c r="AV54" s="566">
        <f>VLOOKUP($A54,'01-02.2021'!$A$6:$CZ$403,48,FALSE)+VLOOKUP($A54,'1.3.21-28.2.22'!$A$6:$DA$404,48,FALSE)-VLOOKUP($A54,'01-02.2022'!$A$6:$DA$376,48,FALSE)</f>
        <v>0</v>
      </c>
      <c r="AW54" s="566">
        <f>VLOOKUP($A54,'01-02.2021'!$A$6:$CZ$403,49,FALSE)+VLOOKUP($A54,'1.3.21-28.2.22'!$A$6:$DA$404,49,FALSE)-VLOOKUP($A54,'01-02.2022'!$A$6:$DA$376,49,FALSE)</f>
        <v>0</v>
      </c>
      <c r="AX54" s="55">
        <f t="shared" si="47"/>
        <v>0</v>
      </c>
      <c r="AY54" s="566">
        <f>VLOOKUP($A54,'01-02.2021'!$A$6:$CZ$403,51,FALSE)+VLOOKUP($A54,'1.3.21-28.2.22'!$A$6:$DA$404,51,FALSE)-VLOOKUP($A54,'01-02.2022'!$A$6:$DA$376,51,FALSE)</f>
        <v>0</v>
      </c>
      <c r="AZ54" s="566">
        <f>VLOOKUP($A54,'01-02.2021'!$A$6:$CZ$403,52,FALSE)+VLOOKUP($A54,'1.3.21-28.2.22'!$A$6:$DA$404,52,FALSE)-VLOOKUP($A54,'01-02.2022'!$A$6:$DA$376,52,FALSE)</f>
        <v>0</v>
      </c>
      <c r="BA54" s="38">
        <f t="shared" si="48"/>
        <v>0</v>
      </c>
      <c r="BB54" s="566">
        <f>VLOOKUP($A54,'01-02.2021'!$A$6:$CZ$403,54,FALSE)+VLOOKUP($A54,'1.3.21-28.2.22'!$A$6:$DA$404,54,FALSE)-VLOOKUP($A54,'01-02.2022'!$A$6:$DA$376,54,FALSE)</f>
        <v>0</v>
      </c>
      <c r="BC54" s="566">
        <f>VLOOKUP($A54,'01-02.2021'!$A$6:$CZ$403,55,FALSE)+VLOOKUP($A54,'1.3.21-28.2.22'!$A$6:$DA$404,55,FALSE)-VLOOKUP($A54,'01-02.2022'!$A$6:$DA$376,55,FALSE)</f>
        <v>0</v>
      </c>
      <c r="BD54" s="55">
        <f t="shared" si="49"/>
        <v>0</v>
      </c>
      <c r="BE54" s="566">
        <f>VLOOKUP($A54,'01-02.2021'!$A$6:$CZ$403,57,FALSE)+VLOOKUP($A54,'1.3.21-28.2.22'!$A$6:$DA$404,57,FALSE)-VLOOKUP($A54,'01-02.2022'!$A$6:$DA$376,57,FALSE)</f>
        <v>0</v>
      </c>
      <c r="BF54" s="566">
        <f>VLOOKUP($A54,'01-02.2021'!$A$6:$CZ$403,58,FALSE)+VLOOKUP($A54,'1.3.21-28.2.22'!$A$6:$DA$404,58,FALSE)-VLOOKUP($A54,'01-02.2022'!$A$6:$DA$376,58,FALSE)</f>
        <v>0</v>
      </c>
      <c r="BG54" s="55">
        <f t="shared" si="50"/>
        <v>0</v>
      </c>
      <c r="BH54" s="566">
        <f>VLOOKUP($A54,'01-02.2021'!$A$6:$CZ$403,60,FALSE)+VLOOKUP($A54,'1.3.21-28.2.22'!$A$6:$DA$404,60,FALSE)-VLOOKUP($A54,'01-02.2022'!$A$6:$DA$376,60,FALSE)</f>
        <v>0</v>
      </c>
      <c r="BI54" s="566">
        <f>VLOOKUP($A54,'01-02.2021'!$A$6:$CZ$403,61,FALSE)+VLOOKUP($A54,'1.3.21-28.2.22'!$A$6:$DA$404,61,FALSE)-VLOOKUP($A54,'01-02.2022'!$A$6:$DA$376,61,FALSE)</f>
        <v>0</v>
      </c>
      <c r="BJ54" s="55">
        <f t="shared" si="51"/>
        <v>0</v>
      </c>
      <c r="BK54" s="566">
        <f>VLOOKUP($A54,'01-02.2021'!$A$6:$CZ$403,63,FALSE)+VLOOKUP($A54,'1.3.21-28.2.22'!$A$6:$DA$404,63,FALSE)-VLOOKUP($A54,'01-02.2022'!$A$6:$DA$376,63,FALSE)</f>
        <v>0</v>
      </c>
      <c r="BL54" s="566">
        <f>VLOOKUP($A54,'01-02.2021'!$A$6:$CZ$403,64,FALSE)+VLOOKUP($A54,'1.3.21-28.2.22'!$A$6:$DA$404,64,FALSE)-VLOOKUP($A54,'01-02.2022'!$A$6:$DA$376,64,FALSE)</f>
        <v>0</v>
      </c>
      <c r="BM54" s="55">
        <f t="shared" si="52"/>
        <v>0</v>
      </c>
      <c r="BN54" s="566">
        <f>VLOOKUP($A54,'01-02.2021'!$A$6:$CZ$403,66,FALSE)+VLOOKUP($A54,'1.3.21-28.2.22'!$A$6:$DA$404,66,FALSE)-VLOOKUP($A54,'01-02.2022'!$A$6:$DA$376,66,FALSE)</f>
        <v>15.64</v>
      </c>
      <c r="BO54" s="566">
        <f>VLOOKUP($A54,'01-02.2021'!$A$6:$CZ$403,67,FALSE)+VLOOKUP($A54,'1.3.21-28.2.22'!$A$6:$DA$404,67,FALSE)-VLOOKUP($A54,'01-02.2022'!$A$6:$DA$376,67,FALSE)</f>
        <v>0</v>
      </c>
      <c r="BP54" s="55">
        <f t="shared" si="53"/>
        <v>-15.64</v>
      </c>
      <c r="BQ54" s="77">
        <f t="shared" si="79"/>
        <v>15.64</v>
      </c>
      <c r="BR54" s="40">
        <f t="shared" si="80"/>
        <v>0</v>
      </c>
      <c r="BS54" s="55">
        <f t="shared" si="70"/>
        <v>-15.64</v>
      </c>
      <c r="BT54" s="566">
        <f>VLOOKUP($A54,'01-02.2021'!$A$6:$CZ$403,72,FALSE)+VLOOKUP($A54,'1.3.21-28.2.22'!$A$6:$DA$404,72,FALSE)-VLOOKUP($A54,'01-02.2022'!$A$6:$DA$376,72,FALSE)</f>
        <v>55.829691759794166</v>
      </c>
      <c r="BU54" s="566">
        <f>VLOOKUP($A54,'01-02.2021'!$A$6:$CZ$403,73,FALSE)+VLOOKUP($A54,'1.3.21-28.2.22'!$A$6:$DA$404,73,FALSE)-VLOOKUP($A54,'01-02.2022'!$A$6:$DA$376,73,FALSE)</f>
        <v>86.656986732550635</v>
      </c>
      <c r="BV54" s="70">
        <f t="shared" si="54"/>
        <v>30.827294972756469</v>
      </c>
      <c r="BW54" s="566">
        <f>VLOOKUP($A54,'01-02.2021'!$A$6:$CZ$403,75,FALSE)+VLOOKUP($A54,'1.3.21-28.2.22'!$A$6:$DA$404,75,FALSE)-VLOOKUP($A54,'01-02.2022'!$A$6:$DA$376,75,FALSE)</f>
        <v>0</v>
      </c>
      <c r="BX54" s="566">
        <f>VLOOKUP($A54,'01-02.2021'!$A$6:$CZ$403,76,FALSE)+VLOOKUP($A54,'1.3.21-28.2.22'!$A$6:$DA$404,76,FALSE)-VLOOKUP($A54,'01-02.2022'!$A$6:$DA$376,76,FALSE)</f>
        <v>7.2546318752818681</v>
      </c>
      <c r="BY54" s="70">
        <f t="shared" si="55"/>
        <v>7.2546318752818681</v>
      </c>
      <c r="BZ54" s="566">
        <f>VLOOKUP($A54,'01-02.2021'!$A$6:$CZ$403,78,FALSE)+VLOOKUP($A54,'1.3.21-28.2.22'!$A$6:$DA$404,78,FALSE)-VLOOKUP($A54,'01-02.2022'!$A$6:$DA$376,78,FALSE)</f>
        <v>0</v>
      </c>
      <c r="CA54" s="566">
        <f>VLOOKUP($A54,'01-02.2021'!$A$6:$CZ$403,79,FALSE)+VLOOKUP($A54,'1.3.21-28.2.22'!$A$6:$DA$404,79,FALSE)-VLOOKUP($A54,'01-02.2022'!$A$6:$DA$376,79,FALSE)</f>
        <v>5.2822322096409309</v>
      </c>
      <c r="CB54" s="70">
        <f t="shared" si="56"/>
        <v>5.2822322096409309</v>
      </c>
      <c r="CC54" s="566">
        <f>VLOOKUP($A54,'01-02.2021'!$A$6:$CZ$403,81,FALSE)+VLOOKUP($A54,'1.3.21-28.2.22'!$A$6:$DA$404,81,FALSE)-VLOOKUP($A54,'01-02.2022'!$A$6:$DA$376,81,FALSE)</f>
        <v>0</v>
      </c>
      <c r="CD54" s="566">
        <f>VLOOKUP($A54,'01-02.2021'!$A$6:$CZ$403,82,FALSE)+VLOOKUP($A54,'1.3.21-28.2.22'!$A$6:$DA$404,82,FALSE)-VLOOKUP($A54,'01-02.2022'!$A$6:$DA$376,82,FALSE)</f>
        <v>0</v>
      </c>
      <c r="CE54" s="70">
        <f t="shared" si="57"/>
        <v>0</v>
      </c>
      <c r="CF54" s="566">
        <f>VLOOKUP($A54,'01-02.2021'!$A$6:$CZ$403,84,FALSE)+VLOOKUP($A54,'1.3.21-28.2.22'!$A$6:$DA$404,84,FALSE)-VLOOKUP($A54,'01-02.2022'!$A$6:$DA$376,84,FALSE)</f>
        <v>0</v>
      </c>
      <c r="CG54" s="566">
        <f>VLOOKUP($A54,'01-02.2021'!$A$6:$CZ$403,85,FALSE)+VLOOKUP($A54,'1.3.21-28.2.22'!$A$6:$DA$404,85,FALSE)-VLOOKUP($A54,'01-02.2022'!$A$6:$DA$376,85,FALSE)</f>
        <v>0</v>
      </c>
      <c r="CH54" s="70">
        <f t="shared" si="58"/>
        <v>0</v>
      </c>
      <c r="CI54" s="566">
        <f>VLOOKUP($A54,'01-02.2021'!$A$6:$CZ$403,87,FALSE)+VLOOKUP($A54,'1.3.21-28.2.22'!$A$6:$DA$404,87,FALSE)-VLOOKUP($A54,'01-02.2022'!$A$6:$DA$376,87,FALSE)</f>
        <v>0</v>
      </c>
      <c r="CJ54" s="566">
        <f>VLOOKUP($A54,'01-02.2021'!$A$6:$CZ$403,88,FALSE)+VLOOKUP($A54,'1.3.21-28.2.22'!$A$6:$DA$404,88,FALSE)-VLOOKUP($A54,'01-02.2022'!$A$6:$DA$376,88,FALSE)</f>
        <v>0</v>
      </c>
      <c r="CK54" s="70">
        <f t="shared" si="59"/>
        <v>0</v>
      </c>
      <c r="CL54" s="566">
        <f>VLOOKUP($A54,'01-02.2021'!$A$6:$CZ$403,90,FALSE)+VLOOKUP($A54,'1.3.21-28.2.22'!$A$6:$DA$404,90,FALSE)-VLOOKUP($A54,'01-02.2022'!$A$6:$DA$376,90,FALSE)</f>
        <v>0</v>
      </c>
      <c r="CM54" s="566">
        <f>VLOOKUP($A54,'01-02.2021'!$A$6:$CZ$403,91,FALSE)+VLOOKUP($A54,'1.3.21-28.2.22'!$A$6:$DA$404,91,FALSE)-VLOOKUP($A54,'01-02.2022'!$A$6:$DA$376,91,FALSE)</f>
        <v>0</v>
      </c>
      <c r="CN54" s="52">
        <f t="shared" si="60"/>
        <v>0</v>
      </c>
      <c r="CO54" s="39">
        <f t="shared" si="27"/>
        <v>0</v>
      </c>
      <c r="CP54" s="40">
        <f t="shared" si="61"/>
        <v>0</v>
      </c>
      <c r="CQ54" s="52">
        <f t="shared" si="62"/>
        <v>0</v>
      </c>
      <c r="CR54" s="72">
        <f t="shared" si="28"/>
        <v>3810.6210626110396</v>
      </c>
      <c r="CS54" s="5">
        <f t="shared" si="28"/>
        <v>1946.6597094438373</v>
      </c>
      <c r="CT54" s="52">
        <f t="shared" si="63"/>
        <v>-1863.9613531672023</v>
      </c>
      <c r="CU54" s="77">
        <f t="shared" si="64"/>
        <v>4572.7452751332476</v>
      </c>
      <c r="CV54" s="65">
        <f t="shared" si="65"/>
        <v>2335.9916513326048</v>
      </c>
      <c r="CW54" s="35">
        <f t="shared" si="66"/>
        <v>-2236.7536238006428</v>
      </c>
      <c r="CX54" s="566">
        <f>VLOOKUP($A54,'01-02.2021'!$A$6:$CZ$403,102,FALSE)+VLOOKUP($A54,'1.3.21-28.2.22'!$A$6:$DA$404,102,FALSE)-VLOOKUP($A54,'01-02.2022'!$A$6:$DA$376,102,FALSE)</f>
        <v>158.52712277323553</v>
      </c>
      <c r="CY54" s="566">
        <f>VLOOKUP($A54,'01-02.2021'!$A$6:$CZ$403,103,FALSE)+VLOOKUP($A54,'1.3.21-28.2.22'!$A$6:$DA$404,103,FALSE)-VLOOKUP($A54,'01-02.2022'!$A$6:$DA$376,103,FALSE)</f>
        <v>2395.2807465738788</v>
      </c>
      <c r="CZ54" s="52">
        <f t="shared" si="67"/>
        <v>2236.7536238006433</v>
      </c>
      <c r="DA54" s="150">
        <f>'[2]побудинковий звіт'!DA54</f>
        <v>-6230.1557126058688</v>
      </c>
      <c r="DB54" s="2">
        <v>3</v>
      </c>
      <c r="DC54" s="414">
        <f>'[4]побудинковий звіт'!DC54</f>
        <v>670.34</v>
      </c>
      <c r="DD54" s="414">
        <f>'[4]побудинковий звіт'!DD54</f>
        <v>0</v>
      </c>
      <c r="DE54" s="557">
        <f>'[4]побудинковий звіт'!DE54</f>
        <v>235.4599163759878</v>
      </c>
      <c r="DF54" s="557">
        <f>'[4]побудинковий звіт'!DF54</f>
        <v>0</v>
      </c>
      <c r="DG54" s="321">
        <f>VLOOKUP(A54,'кошти 01.03.2021'!$A$6:$D$401,4,)</f>
        <v>-3708.0047088802912</v>
      </c>
      <c r="DH54" s="40">
        <f>'[3]побудинковий звіт'!DJ54</f>
        <v>4923.7404968400006</v>
      </c>
      <c r="DI54" s="422">
        <f>'[3]побудинковий звіт'!CU54+'[3]побудинковий звіт'!CX54</f>
        <v>434.88008362401223</v>
      </c>
      <c r="DJ54" s="306">
        <f>'[3]побудинковий звіт'!DM54</f>
        <v>1.3434664307198401</v>
      </c>
      <c r="DK54" s="306">
        <f t="shared" si="82"/>
        <v>1.3434664307198401</v>
      </c>
      <c r="DL54" s="306">
        <f>'[3]побудинковий звіт'!DO54</f>
        <v>1.3434664307198401</v>
      </c>
      <c r="DM54" s="28">
        <f t="shared" si="83"/>
        <v>434.88008362401223</v>
      </c>
      <c r="DN54" s="28">
        <f t="shared" si="84"/>
        <v>0</v>
      </c>
      <c r="DO54" s="423">
        <f t="shared" si="29"/>
        <v>434.88008362401223</v>
      </c>
      <c r="DP54" s="94">
        <f t="shared" si="30"/>
        <v>0</v>
      </c>
      <c r="DQ54" s="28">
        <f t="shared" si="31"/>
        <v>434.88008362401223</v>
      </c>
      <c r="DR54" s="318"/>
      <c r="DT54" s="8"/>
      <c r="DU54" s="5"/>
      <c r="DX54" s="5">
        <f t="shared" si="32"/>
        <v>3346.424677670534</v>
      </c>
      <c r="DY54" s="5">
        <f t="shared" si="33"/>
        <v>0</v>
      </c>
      <c r="DZ54" s="159">
        <f>'[3]побудинковий звіт'!EA54</f>
        <v>367.35156586974801</v>
      </c>
    </row>
    <row r="55" spans="1:130" x14ac:dyDescent="0.3">
      <c r="A55" s="325">
        <v>150000548</v>
      </c>
      <c r="B55" s="41" t="s">
        <v>504</v>
      </c>
      <c r="C55" s="42" t="s">
        <v>247</v>
      </c>
      <c r="D55" s="42"/>
      <c r="E55" s="293">
        <f t="shared" si="23"/>
        <v>2189.9</v>
      </c>
      <c r="F55" s="305">
        <f>'[3]побудинковий звіт'!F55</f>
        <v>2189.9</v>
      </c>
      <c r="G55" s="508">
        <f>'[3]побудинковий звіт'!G55</f>
        <v>0</v>
      </c>
      <c r="H55" s="560">
        <f>'[3]побудинковий звіт'!H55</f>
        <v>0</v>
      </c>
      <c r="I55" s="566">
        <f>VLOOKUP($A55,'01-02.2021'!$A$6:$CZ$403,9,FALSE)+VLOOKUP($A55,'1.3.21-28.2.22'!$A$6:$DA$404,9,FALSE)-VLOOKUP($A55,'01-02.2022'!$A$6:$DA$376,9,FALSE)</f>
        <v>7144.6980200561229</v>
      </c>
      <c r="J55" s="566">
        <f>VLOOKUP($A55,'01-02.2021'!$A$6:$CZ$403,10,FALSE)+VLOOKUP($A55,'1.3.21-28.2.22'!$A$6:$DA$404,10,FALSE)-VLOOKUP($A55,'01-02.2022'!$A$6:$DA$376,10,FALSE)</f>
        <v>6273.6109773314874</v>
      </c>
      <c r="K55" s="52">
        <f t="shared" si="34"/>
        <v>-871.08704272463547</v>
      </c>
      <c r="L55" s="566">
        <f>VLOOKUP($A55,'01-02.2021'!$A$6:$CZ$403,12,FALSE)+VLOOKUP($A55,'1.3.21-28.2.22'!$A$6:$DA$404,12,FALSE)-VLOOKUP($A55,'01-02.2022'!$A$6:$DA$376,12,FALSE)</f>
        <v>1714.782972610092</v>
      </c>
      <c r="M55" s="566">
        <f>VLOOKUP($A55,'01-02.2021'!$A$6:$CZ$403,13,FALSE)+VLOOKUP($A55,'1.3.21-28.2.22'!$A$6:$DA$404,13,FALSE)-VLOOKUP($A55,'01-02.2022'!$A$6:$DA$376,13,FALSE)</f>
        <v>1546.5699550520974</v>
      </c>
      <c r="N55" s="52">
        <f t="shared" si="35"/>
        <v>-168.21301755799459</v>
      </c>
      <c r="O55" s="566">
        <f>VLOOKUP($A55,'01-02.2021'!$A$6:$CZ$403,15,FALSE)+VLOOKUP($A55,'1.3.21-28.2.22'!$A$6:$DA$404,15,FALSE)-VLOOKUP($A55,'01-02.2022'!$A$6:$DA$376,15,FALSE)</f>
        <v>3041.2790623671499</v>
      </c>
      <c r="P55" s="566">
        <f>VLOOKUP($A55,'01-02.2021'!$A$6:$CZ$403,16,FALSE)+VLOOKUP($A55,'1.3.21-28.2.22'!$A$6:$DA$404,16,FALSE)-VLOOKUP($A55,'01-02.2022'!$A$6:$DA$376,16,FALSE)</f>
        <v>3041.26</v>
      </c>
      <c r="Q55" s="70">
        <f t="shared" si="36"/>
        <v>-1.9062367149672355E-2</v>
      </c>
      <c r="R55" s="566">
        <f>VLOOKUP($A55,'01-02.2021'!$A$6:$CZ$403,18,FALSE)+VLOOKUP($A55,'1.3.21-28.2.22'!$A$6:$DA$404,18,FALSE)-VLOOKUP($A55,'01-02.2022'!$A$6:$DA$376,18,FALSE)</f>
        <v>596.62402991422505</v>
      </c>
      <c r="S55" s="566">
        <f>VLOOKUP($A55,'01-02.2021'!$A$6:$CZ$403,19,FALSE)+VLOOKUP($A55,'1.3.21-28.2.22'!$A$6:$DA$404,19,FALSE)-VLOOKUP($A55,'01-02.2022'!$A$6:$DA$376,19,FALSE)</f>
        <v>596.58000000000004</v>
      </c>
      <c r="T55" s="70">
        <f t="shared" si="37"/>
        <v>-4.4029914225006905E-2</v>
      </c>
      <c r="U55" s="566">
        <f>VLOOKUP($A55,'01-02.2021'!$A$6:$CZ$403,21,FALSE)+VLOOKUP($A55,'1.3.21-28.2.22'!$A$6:$DA$404,21,FALSE)-VLOOKUP($A55,'01-02.2022'!$A$6:$DA$376,21,FALSE)</f>
        <v>457.79129681017355</v>
      </c>
      <c r="V55" s="566">
        <f>VLOOKUP($A55,'01-02.2021'!$A$6:$CZ$403,22,FALSE)+VLOOKUP($A55,'1.3.21-28.2.22'!$A$6:$DA$404,22,FALSE)-VLOOKUP($A55,'01-02.2022'!$A$6:$DA$376,22,FALSE)</f>
        <v>298.26485456778323</v>
      </c>
      <c r="W55" s="70">
        <f t="shared" si="38"/>
        <v>-159.52644224239032</v>
      </c>
      <c r="X55" s="566">
        <f>VLOOKUP($A55,'01-02.2021'!$A$6:$CZ$403,24,FALSE)+VLOOKUP($A55,'1.3.21-28.2.22'!$A$6:$DA$404,24,FALSE)-VLOOKUP($A55,'01-02.2022'!$A$6:$DA$376,24,FALSE)</f>
        <v>5041.0608821010446</v>
      </c>
      <c r="Y55" s="566">
        <f>VLOOKUP($A55,'01-02.2021'!$A$6:$CZ$403,25,FALSE)+VLOOKUP($A55,'1.3.21-28.2.22'!$A$6:$DA$404,25,FALSE)-VLOOKUP($A55,'01-02.2022'!$A$6:$DA$376,25,FALSE)</f>
        <v>12300.064998328036</v>
      </c>
      <c r="Z55" s="70">
        <f t="shared" si="39"/>
        <v>7259.0041162269918</v>
      </c>
      <c r="AA55" s="566">
        <f>VLOOKUP($A55,'01-02.2021'!$A$6:$CZ$403,27,FALSE)+VLOOKUP($A55,'1.3.21-28.2.22'!$A$6:$DA$404,27,FALSE)-VLOOKUP($A55,'01-02.2022'!$A$6:$DA$376,27,FALSE)</f>
        <v>438.03999999999996</v>
      </c>
      <c r="AB55" s="566">
        <f>VLOOKUP($A55,'01-02.2021'!$A$6:$CZ$403,28,FALSE)+VLOOKUP($A55,'1.3.21-28.2.22'!$A$6:$DA$404,28,FALSE)-VLOOKUP($A55,'01-02.2022'!$A$6:$DA$376,28,FALSE)</f>
        <v>0</v>
      </c>
      <c r="AC55" s="70">
        <f t="shared" si="40"/>
        <v>-438.03999999999996</v>
      </c>
      <c r="AD55" s="566">
        <f>VLOOKUP($A55,'01-02.2021'!$A$6:$CZ$403,30,FALSE)+VLOOKUP($A55,'1.3.21-28.2.22'!$A$6:$DA$404,30,FALSE)-VLOOKUP($A55,'01-02.2022'!$A$6:$DA$376,30,FALSE)</f>
        <v>9406.7412898610073</v>
      </c>
      <c r="AE55" s="566">
        <f>VLOOKUP($A55,'01-02.2021'!$A$6:$CZ$403,31,FALSE)+VLOOKUP($A55,'1.3.21-28.2.22'!$A$6:$DA$404,31,FALSE)-VLOOKUP($A55,'01-02.2022'!$A$6:$DA$376,31,FALSE)</f>
        <v>9968.5130359990544</v>
      </c>
      <c r="AF55" s="68">
        <f t="shared" si="41"/>
        <v>561.77174613804709</v>
      </c>
      <c r="AG55" s="77">
        <f t="shared" si="24"/>
        <v>27841.017553719816</v>
      </c>
      <c r="AH55" s="53">
        <f t="shared" si="24"/>
        <v>34024.863821278457</v>
      </c>
      <c r="AI55" s="52">
        <f t="shared" si="42"/>
        <v>6183.8462675586416</v>
      </c>
      <c r="AJ55" s="566">
        <f>VLOOKUP($A55,'01-02.2021'!$A$6:$CZ$403,36,FALSE)+VLOOKUP($A55,'1.3.21-28.2.22'!$A$6:$DA$404,36,FALSE)-VLOOKUP($A55,'01-02.2022'!$A$6:$DA$376,36,FALSE)</f>
        <v>0</v>
      </c>
      <c r="AK55" s="566">
        <f>VLOOKUP($A55,'01-02.2021'!$A$6:$CZ$403,37,FALSE)+VLOOKUP($A55,'1.3.21-28.2.22'!$A$6:$DA$404,37,FALSE)-VLOOKUP($A55,'01-02.2022'!$A$6:$DA$376,37,FALSE)</f>
        <v>0</v>
      </c>
      <c r="AL55" s="70">
        <f t="shared" si="43"/>
        <v>0</v>
      </c>
      <c r="AM55" s="566">
        <f>VLOOKUP($A55,'01-02.2021'!$A$6:$CZ$403,39,FALSE)+VLOOKUP($A55,'1.3.21-28.2.22'!$A$6:$DA$404,39,FALSE)-VLOOKUP($A55,'01-02.2022'!$A$6:$DA$376,39,FALSE)</f>
        <v>0</v>
      </c>
      <c r="AN55" s="566">
        <f>VLOOKUP($A55,'01-02.2021'!$A$6:$CZ$403,40,FALSE)+VLOOKUP($A55,'1.3.21-28.2.22'!$A$6:$DA$404,40,FALSE)-VLOOKUP($A55,'01-02.2022'!$A$6:$DA$376,40,FALSE)</f>
        <v>0</v>
      </c>
      <c r="AO55" s="70">
        <f t="shared" si="44"/>
        <v>0</v>
      </c>
      <c r="AP55" s="566">
        <f>VLOOKUP($A55,'01-02.2021'!$A$6:$CZ$403,42,FALSE)+VLOOKUP($A55,'1.3.21-28.2.22'!$A$6:$DA$404,42,FALSE)-VLOOKUP($A55,'01-02.2022'!$A$6:$DA$376,42,FALSE)</f>
        <v>1301.399812531944</v>
      </c>
      <c r="AQ55" s="566">
        <f>VLOOKUP($A55,'01-02.2021'!$A$6:$CZ$403,43,FALSE)+VLOOKUP($A55,'1.3.21-28.2.22'!$A$6:$DA$404,43,FALSE)-VLOOKUP($A55,'01-02.2022'!$A$6:$DA$376,43,FALSE)</f>
        <v>1121.0450781968721</v>
      </c>
      <c r="AR55" s="70">
        <f t="shared" si="45"/>
        <v>-180.35473433507195</v>
      </c>
      <c r="AS55" s="566">
        <f>VLOOKUP($A55,'01-02.2021'!$A$6:$CZ$403,45,FALSE)+VLOOKUP($A55,'1.3.21-28.2.22'!$A$6:$DA$404,45,FALSE)-VLOOKUP($A55,'01-02.2022'!$A$6:$DA$376,45,FALSE)</f>
        <v>23822.759334939776</v>
      </c>
      <c r="AT55" s="566">
        <f>VLOOKUP($A55,'01-02.2021'!$A$6:$CZ$403,46,FALSE)+VLOOKUP($A55,'1.3.21-28.2.22'!$A$6:$DA$404,46,FALSE)-VLOOKUP($A55,'01-02.2022'!$A$6:$DA$376,46,FALSE)</f>
        <v>9640</v>
      </c>
      <c r="AU55" s="78">
        <f t="shared" si="46"/>
        <v>-14182.759334939776</v>
      </c>
      <c r="AV55" s="566">
        <f>VLOOKUP($A55,'01-02.2021'!$A$6:$CZ$403,48,FALSE)+VLOOKUP($A55,'1.3.21-28.2.22'!$A$6:$DA$404,48,FALSE)-VLOOKUP($A55,'01-02.2022'!$A$6:$DA$376,48,FALSE)</f>
        <v>2222.1716670768924</v>
      </c>
      <c r="AW55" s="566">
        <f>VLOOKUP($A55,'01-02.2021'!$A$6:$CZ$403,49,FALSE)+VLOOKUP($A55,'1.3.21-28.2.22'!$A$6:$DA$404,49,FALSE)-VLOOKUP($A55,'01-02.2022'!$A$6:$DA$376,49,FALSE)</f>
        <v>0</v>
      </c>
      <c r="AX55" s="55">
        <f t="shared" si="47"/>
        <v>-2222.1716670768924</v>
      </c>
      <c r="AY55" s="566">
        <f>VLOOKUP($A55,'01-02.2021'!$A$6:$CZ$403,51,FALSE)+VLOOKUP($A55,'1.3.21-28.2.22'!$A$6:$DA$404,51,FALSE)-VLOOKUP($A55,'01-02.2022'!$A$6:$DA$376,51,FALSE)</f>
        <v>3045.5472028884892</v>
      </c>
      <c r="AZ55" s="566">
        <f>VLOOKUP($A55,'01-02.2021'!$A$6:$CZ$403,52,FALSE)+VLOOKUP($A55,'1.3.21-28.2.22'!$A$6:$DA$404,52,FALSE)-VLOOKUP($A55,'01-02.2022'!$A$6:$DA$376,52,FALSE)</f>
        <v>2799</v>
      </c>
      <c r="BA55" s="38">
        <f t="shared" si="48"/>
        <v>-246.54720288848921</v>
      </c>
      <c r="BB55" s="566">
        <f>VLOOKUP($A55,'01-02.2021'!$A$6:$CZ$403,54,FALSE)+VLOOKUP($A55,'1.3.21-28.2.22'!$A$6:$DA$404,54,FALSE)-VLOOKUP($A55,'01-02.2022'!$A$6:$DA$376,54,FALSE)</f>
        <v>995.48836191961743</v>
      </c>
      <c r="BC55" s="566">
        <f>VLOOKUP($A55,'01-02.2021'!$A$6:$CZ$403,55,FALSE)+VLOOKUP($A55,'1.3.21-28.2.22'!$A$6:$DA$404,55,FALSE)-VLOOKUP($A55,'01-02.2022'!$A$6:$DA$376,55,FALSE)</f>
        <v>0</v>
      </c>
      <c r="BD55" s="55">
        <f t="shared" si="49"/>
        <v>-995.48836191961743</v>
      </c>
      <c r="BE55" s="566">
        <f>VLOOKUP($A55,'01-02.2021'!$A$6:$CZ$403,57,FALSE)+VLOOKUP($A55,'1.3.21-28.2.22'!$A$6:$DA$404,57,FALSE)-VLOOKUP($A55,'01-02.2022'!$A$6:$DA$376,57,FALSE)</f>
        <v>1328.9994652904418</v>
      </c>
      <c r="BF55" s="566">
        <f>VLOOKUP($A55,'01-02.2021'!$A$6:$CZ$403,58,FALSE)+VLOOKUP($A55,'1.3.21-28.2.22'!$A$6:$DA$404,58,FALSE)-VLOOKUP($A55,'01-02.2022'!$A$6:$DA$376,58,FALSE)</f>
        <v>0</v>
      </c>
      <c r="BG55" s="55">
        <f t="shared" si="50"/>
        <v>-1328.9994652904418</v>
      </c>
      <c r="BH55" s="566">
        <f>VLOOKUP($A55,'01-02.2021'!$A$6:$CZ$403,60,FALSE)+VLOOKUP($A55,'1.3.21-28.2.22'!$A$6:$DA$404,60,FALSE)-VLOOKUP($A55,'01-02.2022'!$A$6:$DA$376,60,FALSE)</f>
        <v>1027.219662045015</v>
      </c>
      <c r="BI55" s="566">
        <f>VLOOKUP($A55,'01-02.2021'!$A$6:$CZ$403,61,FALSE)+VLOOKUP($A55,'1.3.21-28.2.22'!$A$6:$DA$404,61,FALSE)-VLOOKUP($A55,'01-02.2022'!$A$6:$DA$376,61,FALSE)</f>
        <v>0</v>
      </c>
      <c r="BJ55" s="55">
        <f t="shared" si="51"/>
        <v>-1027.219662045015</v>
      </c>
      <c r="BK55" s="566">
        <f>VLOOKUP($A55,'01-02.2021'!$A$6:$CZ$403,63,FALSE)+VLOOKUP($A55,'1.3.21-28.2.22'!$A$6:$DA$404,63,FALSE)-VLOOKUP($A55,'01-02.2022'!$A$6:$DA$376,63,FALSE)</f>
        <v>1392.4660953503594</v>
      </c>
      <c r="BL55" s="566">
        <f>VLOOKUP($A55,'01-02.2021'!$A$6:$CZ$403,64,FALSE)+VLOOKUP($A55,'1.3.21-28.2.22'!$A$6:$DA$404,64,FALSE)-VLOOKUP($A55,'01-02.2022'!$A$6:$DA$376,64,FALSE)</f>
        <v>0</v>
      </c>
      <c r="BM55" s="55">
        <f t="shared" si="52"/>
        <v>-1392.4660953503594</v>
      </c>
      <c r="BN55" s="566">
        <f>VLOOKUP($A55,'01-02.2021'!$A$6:$CZ$403,66,FALSE)+VLOOKUP($A55,'1.3.21-28.2.22'!$A$6:$DA$404,66,FALSE)-VLOOKUP($A55,'01-02.2022'!$A$6:$DA$376,66,FALSE)</f>
        <v>622.09789041264105</v>
      </c>
      <c r="BO55" s="566">
        <f>VLOOKUP($A55,'01-02.2021'!$A$6:$CZ$403,67,FALSE)+VLOOKUP($A55,'1.3.21-28.2.22'!$A$6:$DA$404,67,FALSE)-VLOOKUP($A55,'01-02.2022'!$A$6:$DA$376,67,FALSE)</f>
        <v>0</v>
      </c>
      <c r="BP55" s="55">
        <f t="shared" si="53"/>
        <v>-622.09789041264105</v>
      </c>
      <c r="BQ55" s="77">
        <f t="shared" si="79"/>
        <v>10633.990344983455</v>
      </c>
      <c r="BR55" s="40">
        <f t="shared" si="80"/>
        <v>2799</v>
      </c>
      <c r="BS55" s="55">
        <f t="shared" si="70"/>
        <v>-7834.9903449834546</v>
      </c>
      <c r="BT55" s="566">
        <f>VLOOKUP($A55,'01-02.2021'!$A$6:$CZ$403,72,FALSE)+VLOOKUP($A55,'1.3.21-28.2.22'!$A$6:$DA$404,72,FALSE)-VLOOKUP($A55,'01-02.2022'!$A$6:$DA$376,72,FALSE)</f>
        <v>31587.202603185207</v>
      </c>
      <c r="BU55" s="566">
        <f>VLOOKUP($A55,'01-02.2021'!$A$6:$CZ$403,73,FALSE)+VLOOKUP($A55,'1.3.21-28.2.22'!$A$6:$DA$404,73,FALSE)-VLOOKUP($A55,'01-02.2022'!$A$6:$DA$376,73,FALSE)</f>
        <v>30508.71663503594</v>
      </c>
      <c r="BV55" s="70">
        <f t="shared" si="54"/>
        <v>-1078.4859681492671</v>
      </c>
      <c r="BW55" s="566">
        <f>VLOOKUP($A55,'01-02.2021'!$A$6:$CZ$403,75,FALSE)+VLOOKUP($A55,'1.3.21-28.2.22'!$A$6:$DA$404,75,FALSE)-VLOOKUP($A55,'01-02.2022'!$A$6:$DA$376,75,FALSE)</f>
        <v>14929.698971475198</v>
      </c>
      <c r="BX55" s="566">
        <f>VLOOKUP($A55,'01-02.2021'!$A$6:$CZ$403,76,FALSE)+VLOOKUP($A55,'1.3.21-28.2.22'!$A$6:$DA$404,76,FALSE)-VLOOKUP($A55,'01-02.2022'!$A$6:$DA$376,76,FALSE)</f>
        <v>14874.704485558204</v>
      </c>
      <c r="BY55" s="70">
        <f t="shared" si="55"/>
        <v>-54.994485916993654</v>
      </c>
      <c r="BZ55" s="566">
        <f>VLOOKUP($A55,'01-02.2021'!$A$6:$CZ$403,78,FALSE)+VLOOKUP($A55,'1.3.21-28.2.22'!$A$6:$DA$404,78,FALSE)-VLOOKUP($A55,'01-02.2022'!$A$6:$DA$376,78,FALSE)</f>
        <v>5587.2679719023099</v>
      </c>
      <c r="CA55" s="566">
        <f>VLOOKUP($A55,'01-02.2021'!$A$6:$CZ$403,79,FALSE)+VLOOKUP($A55,'1.3.21-28.2.22'!$A$6:$DA$404,79,FALSE)-VLOOKUP($A55,'01-02.2022'!$A$6:$DA$376,79,FALSE)</f>
        <v>6935.687846452287</v>
      </c>
      <c r="CB55" s="70">
        <f t="shared" si="56"/>
        <v>1348.4198745499771</v>
      </c>
      <c r="CC55" s="566">
        <f>VLOOKUP($A55,'01-02.2021'!$A$6:$CZ$403,81,FALSE)+VLOOKUP($A55,'1.3.21-28.2.22'!$A$6:$DA$404,81,FALSE)-VLOOKUP($A55,'01-02.2022'!$A$6:$DA$376,81,FALSE)</f>
        <v>572.29611867747508</v>
      </c>
      <c r="CD55" s="566">
        <f>VLOOKUP($A55,'01-02.2021'!$A$6:$CZ$403,82,FALSE)+VLOOKUP($A55,'1.3.21-28.2.22'!$A$6:$DA$404,82,FALSE)-VLOOKUP($A55,'01-02.2022'!$A$6:$DA$376,82,FALSE)</f>
        <v>602.5038734606087</v>
      </c>
      <c r="CE55" s="70">
        <f t="shared" si="57"/>
        <v>30.207754783133623</v>
      </c>
      <c r="CF55" s="566">
        <f>VLOOKUP($A55,'01-02.2021'!$A$6:$CZ$403,84,FALSE)+VLOOKUP($A55,'1.3.21-28.2.22'!$A$6:$DA$404,84,FALSE)-VLOOKUP($A55,'01-02.2022'!$A$6:$DA$376,84,FALSE)</f>
        <v>67.014844125210018</v>
      </c>
      <c r="CG55" s="566">
        <f>VLOOKUP($A55,'01-02.2021'!$A$6:$CZ$403,85,FALSE)+VLOOKUP($A55,'1.3.21-28.2.22'!$A$6:$DA$404,85,FALSE)-VLOOKUP($A55,'01-02.2022'!$A$6:$DA$376,85,FALSE)</f>
        <v>0</v>
      </c>
      <c r="CH55" s="70">
        <f t="shared" si="58"/>
        <v>-67.014844125210018</v>
      </c>
      <c r="CI55" s="566">
        <f>VLOOKUP($A55,'01-02.2021'!$A$6:$CZ$403,87,FALSE)+VLOOKUP($A55,'1.3.21-28.2.22'!$A$6:$DA$404,87,FALSE)-VLOOKUP($A55,'01-02.2022'!$A$6:$DA$376,87,FALSE)</f>
        <v>5164.8195104463812</v>
      </c>
      <c r="CJ55" s="566">
        <f>VLOOKUP($A55,'01-02.2021'!$A$6:$CZ$403,88,FALSE)+VLOOKUP($A55,'1.3.21-28.2.22'!$A$6:$DA$404,88,FALSE)-VLOOKUP($A55,'01-02.2022'!$A$6:$DA$376,88,FALSE)</f>
        <v>3148.1216491213027</v>
      </c>
      <c r="CK55" s="70">
        <f t="shared" si="59"/>
        <v>-2016.6978613250785</v>
      </c>
      <c r="CL55" s="566">
        <f>VLOOKUP($A55,'01-02.2021'!$A$6:$CZ$403,90,FALSE)+VLOOKUP($A55,'1.3.21-28.2.22'!$A$6:$DA$404,90,FALSE)-VLOOKUP($A55,'01-02.2022'!$A$6:$DA$376,90,FALSE)</f>
        <v>0</v>
      </c>
      <c r="CM55" s="566">
        <f>VLOOKUP($A55,'01-02.2021'!$A$6:$CZ$403,91,FALSE)+VLOOKUP($A55,'1.3.21-28.2.22'!$A$6:$DA$404,91,FALSE)-VLOOKUP($A55,'01-02.2022'!$A$6:$DA$376,91,FALSE)</f>
        <v>0</v>
      </c>
      <c r="CN55" s="52">
        <f t="shared" si="60"/>
        <v>0</v>
      </c>
      <c r="CO55" s="39">
        <f t="shared" si="27"/>
        <v>5164.8195104463812</v>
      </c>
      <c r="CP55" s="40">
        <f t="shared" si="61"/>
        <v>3148.1216491213027</v>
      </c>
      <c r="CQ55" s="52">
        <f t="shared" si="62"/>
        <v>-2016.6978613250785</v>
      </c>
      <c r="CR55" s="72">
        <f t="shared" si="28"/>
        <v>121507.46706598677</v>
      </c>
      <c r="CS55" s="5">
        <f t="shared" si="28"/>
        <v>103654.64338910366</v>
      </c>
      <c r="CT55" s="52">
        <f t="shared" si="63"/>
        <v>-17852.823676883112</v>
      </c>
      <c r="CU55" s="77">
        <f t="shared" si="64"/>
        <v>145808.96047918411</v>
      </c>
      <c r="CV55" s="65">
        <f t="shared" si="65"/>
        <v>124385.57206692439</v>
      </c>
      <c r="CW55" s="35">
        <f t="shared" si="66"/>
        <v>-21423.388412259723</v>
      </c>
      <c r="CX55" s="566">
        <f>VLOOKUP($A55,'01-02.2021'!$A$6:$CZ$403,102,FALSE)+VLOOKUP($A55,'1.3.21-28.2.22'!$A$6:$DA$404,102,FALSE)-VLOOKUP($A55,'01-02.2022'!$A$6:$DA$376,102,FALSE)</f>
        <v>7427.1455119132288</v>
      </c>
      <c r="CY55" s="566">
        <f>VLOOKUP($A55,'01-02.2021'!$A$6:$CZ$403,103,FALSE)+VLOOKUP($A55,'1.3.21-28.2.22'!$A$6:$DA$404,103,FALSE)-VLOOKUP($A55,'01-02.2022'!$A$6:$DA$376,103,FALSE)</f>
        <v>28850.533924172949</v>
      </c>
      <c r="CZ55" s="52">
        <f t="shared" si="67"/>
        <v>21423.388412259719</v>
      </c>
      <c r="DA55" s="150">
        <f>'[2]побудинковий звіт'!DA55</f>
        <v>-37799.657526664028</v>
      </c>
      <c r="DB55" s="2">
        <v>1</v>
      </c>
      <c r="DC55" s="414">
        <f>'[4]побудинковий звіт'!DC55</f>
        <v>15737.74</v>
      </c>
      <c r="DD55" s="414">
        <f>'[4]побудинковий звіт'!DD55</f>
        <v>0</v>
      </c>
      <c r="DE55" s="557">
        <f>'[4]побудинковий звіт'!DE55</f>
        <v>1809.371498414197</v>
      </c>
      <c r="DF55" s="557">
        <f>'[4]побудинковий звіт'!DF55</f>
        <v>0</v>
      </c>
      <c r="DG55" s="321">
        <f>VLOOKUP(A55,'кошти 01.03.2021'!$A$6:$D$401,4,)</f>
        <v>-11242.466348530648</v>
      </c>
      <c r="DH55" s="40">
        <f>'[3]побудинковий звіт'!DJ55</f>
        <v>158716.97892182623</v>
      </c>
      <c r="DI55" s="422">
        <f>'[3]побудинковий звіт'!CU55+'[3]побудинковий звіт'!CX55</f>
        <v>13928.368501585803</v>
      </c>
      <c r="DJ55" s="306">
        <f>'[3]побудинковий звіт'!DM55</f>
        <v>6.36027604072597</v>
      </c>
      <c r="DK55" s="306">
        <f t="shared" si="82"/>
        <v>6.36027604072597</v>
      </c>
      <c r="DL55" s="306">
        <f>'[3]побудинковий звіт'!DO55</f>
        <v>5.516066245261352</v>
      </c>
      <c r="DM55" s="28">
        <f t="shared" si="83"/>
        <v>13928.368501585803</v>
      </c>
      <c r="DN55" s="28">
        <f t="shared" si="84"/>
        <v>0</v>
      </c>
      <c r="DO55" s="423">
        <f t="shared" si="29"/>
        <v>13928.368501585803</v>
      </c>
      <c r="DP55" s="94">
        <f t="shared" si="30"/>
        <v>0</v>
      </c>
      <c r="DQ55" s="28">
        <f t="shared" si="31"/>
        <v>13928.368501585803</v>
      </c>
      <c r="DR55" s="318"/>
      <c r="DT55" s="8"/>
      <c r="DU55" s="5"/>
      <c r="DX55" s="5">
        <f t="shared" si="32"/>
        <v>41348.099615907879</v>
      </c>
      <c r="DY55" s="5">
        <f t="shared" si="33"/>
        <v>14926.8</v>
      </c>
      <c r="DZ55" s="159">
        <f>'[3]побудинковий звіт'!EA55</f>
        <v>3665.3406569180788</v>
      </c>
    </row>
    <row r="56" spans="1:130" x14ac:dyDescent="0.3">
      <c r="A56" s="325">
        <v>150000549</v>
      </c>
      <c r="B56" s="41" t="s">
        <v>505</v>
      </c>
      <c r="C56" s="42" t="s">
        <v>207</v>
      </c>
      <c r="D56" s="42"/>
      <c r="E56" s="293">
        <f t="shared" si="23"/>
        <v>1173.1199999999999</v>
      </c>
      <c r="F56" s="305">
        <f>'[3]побудинковий звіт'!F56</f>
        <v>1173.1199999999999</v>
      </c>
      <c r="G56" s="508">
        <f>'[3]побудинковий звіт'!G56</f>
        <v>0</v>
      </c>
      <c r="H56" s="560">
        <f>'[3]побудинковий звіт'!H56</f>
        <v>0</v>
      </c>
      <c r="I56" s="566">
        <f>VLOOKUP($A56,'01-02.2021'!$A$6:$CZ$403,9,FALSE)+VLOOKUP($A56,'1.3.21-28.2.22'!$A$6:$DA$404,9,FALSE)-VLOOKUP($A56,'01-02.2022'!$A$6:$DA$376,9,FALSE)</f>
        <v>5307.120797338066</v>
      </c>
      <c r="J56" s="566">
        <f>VLOOKUP($A56,'01-02.2021'!$A$6:$CZ$403,10,FALSE)+VLOOKUP($A56,'1.3.21-28.2.22'!$A$6:$DA$404,10,FALSE)-VLOOKUP($A56,'01-02.2022'!$A$6:$DA$376,10,FALSE)</f>
        <v>4647.3864003122835</v>
      </c>
      <c r="K56" s="52">
        <f t="shared" si="34"/>
        <v>-659.73439702578253</v>
      </c>
      <c r="L56" s="566">
        <f>VLOOKUP($A56,'01-02.2021'!$A$6:$CZ$403,12,FALSE)+VLOOKUP($A56,'1.3.21-28.2.22'!$A$6:$DA$404,12,FALSE)-VLOOKUP($A56,'01-02.2022'!$A$6:$DA$376,12,FALSE)</f>
        <v>1318.4164997474577</v>
      </c>
      <c r="M56" s="566">
        <f>VLOOKUP($A56,'01-02.2021'!$A$6:$CZ$403,13,FALSE)+VLOOKUP($A56,'1.3.21-28.2.22'!$A$6:$DA$404,13,FALSE)-VLOOKUP($A56,'01-02.2022'!$A$6:$DA$376,13,FALSE)</f>
        <v>1186.8832232194964</v>
      </c>
      <c r="N56" s="52">
        <f t="shared" si="35"/>
        <v>-131.53327652796133</v>
      </c>
      <c r="O56" s="566">
        <f>VLOOKUP($A56,'01-02.2021'!$A$6:$CZ$403,15,FALSE)+VLOOKUP($A56,'1.3.21-28.2.22'!$A$6:$DA$404,15,FALSE)-VLOOKUP($A56,'01-02.2022'!$A$6:$DA$376,15,FALSE)</f>
        <v>1558.1346155637837</v>
      </c>
      <c r="P56" s="566">
        <f>VLOOKUP($A56,'01-02.2021'!$A$6:$CZ$403,16,FALSE)+VLOOKUP($A56,'1.3.21-28.2.22'!$A$6:$DA$404,16,FALSE)-VLOOKUP($A56,'01-02.2022'!$A$6:$DA$376,16,FALSE)</f>
        <v>1558.1500000000003</v>
      </c>
      <c r="Q56" s="70">
        <f t="shared" si="36"/>
        <v>1.5384436216663744E-2</v>
      </c>
      <c r="R56" s="566">
        <f>VLOOKUP($A56,'01-02.2021'!$A$6:$CZ$403,18,FALSE)+VLOOKUP($A56,'1.3.21-28.2.22'!$A$6:$DA$404,18,FALSE)-VLOOKUP($A56,'01-02.2022'!$A$6:$DA$376,18,FALSE)</f>
        <v>305.01599316610839</v>
      </c>
      <c r="S56" s="566">
        <f>VLOOKUP($A56,'01-02.2021'!$A$6:$CZ$403,19,FALSE)+VLOOKUP($A56,'1.3.21-28.2.22'!$A$6:$DA$404,19,FALSE)-VLOOKUP($A56,'01-02.2022'!$A$6:$DA$376,19,FALSE)</f>
        <v>305.01000000000005</v>
      </c>
      <c r="T56" s="70">
        <f t="shared" si="37"/>
        <v>-5.9931661083396648E-3</v>
      </c>
      <c r="U56" s="566">
        <f>VLOOKUP($A56,'01-02.2021'!$A$6:$CZ$403,21,FALSE)+VLOOKUP($A56,'1.3.21-28.2.22'!$A$6:$DA$404,21,FALSE)-VLOOKUP($A56,'01-02.2022'!$A$6:$DA$376,21,FALSE)</f>
        <v>0</v>
      </c>
      <c r="V56" s="566">
        <f>VLOOKUP($A56,'01-02.2021'!$A$6:$CZ$403,22,FALSE)+VLOOKUP($A56,'1.3.21-28.2.22'!$A$6:$DA$404,22,FALSE)-VLOOKUP($A56,'01-02.2022'!$A$6:$DA$376,22,FALSE)</f>
        <v>0</v>
      </c>
      <c r="W56" s="70">
        <f t="shared" si="38"/>
        <v>0</v>
      </c>
      <c r="X56" s="566">
        <f>VLOOKUP($A56,'01-02.2021'!$A$6:$CZ$403,24,FALSE)+VLOOKUP($A56,'1.3.21-28.2.22'!$A$6:$DA$404,24,FALSE)-VLOOKUP($A56,'01-02.2022'!$A$6:$DA$376,24,FALSE)</f>
        <v>2475.4348069793296</v>
      </c>
      <c r="Y56" s="566">
        <f>VLOOKUP($A56,'01-02.2021'!$A$6:$CZ$403,25,FALSE)+VLOOKUP($A56,'1.3.21-28.2.22'!$A$6:$DA$404,25,FALSE)-VLOOKUP($A56,'01-02.2022'!$A$6:$DA$376,25,FALSE)</f>
        <v>1922.6268735308636</v>
      </c>
      <c r="Z56" s="70">
        <f t="shared" si="39"/>
        <v>-552.80793344846597</v>
      </c>
      <c r="AA56" s="566">
        <f>VLOOKUP($A56,'01-02.2021'!$A$6:$CZ$403,27,FALSE)+VLOOKUP($A56,'1.3.21-28.2.22'!$A$6:$DA$404,27,FALSE)-VLOOKUP($A56,'01-02.2022'!$A$6:$DA$376,27,FALSE)</f>
        <v>234.06799999999998</v>
      </c>
      <c r="AB56" s="566">
        <f>VLOOKUP($A56,'01-02.2021'!$A$6:$CZ$403,28,FALSE)+VLOOKUP($A56,'1.3.21-28.2.22'!$A$6:$DA$404,28,FALSE)-VLOOKUP($A56,'01-02.2022'!$A$6:$DA$376,28,FALSE)</f>
        <v>0</v>
      </c>
      <c r="AC56" s="70">
        <f t="shared" si="40"/>
        <v>-234.06799999999998</v>
      </c>
      <c r="AD56" s="566">
        <f>VLOOKUP($A56,'01-02.2021'!$A$6:$CZ$403,30,FALSE)+VLOOKUP($A56,'1.3.21-28.2.22'!$A$6:$DA$404,30,FALSE)-VLOOKUP($A56,'01-02.2022'!$A$6:$DA$376,30,FALSE)</f>
        <v>5033.9138587333064</v>
      </c>
      <c r="AE56" s="566">
        <f>VLOOKUP($A56,'01-02.2021'!$A$6:$CZ$403,31,FALSE)+VLOOKUP($A56,'1.3.21-28.2.22'!$A$6:$DA$404,31,FALSE)-VLOOKUP($A56,'01-02.2022'!$A$6:$DA$376,31,FALSE)</f>
        <v>5336.9526196957158</v>
      </c>
      <c r="AF56" s="68">
        <f t="shared" si="41"/>
        <v>303.03876096240947</v>
      </c>
      <c r="AG56" s="77">
        <f t="shared" si="24"/>
        <v>16232.104571528052</v>
      </c>
      <c r="AH56" s="53">
        <f t="shared" si="24"/>
        <v>14957.00911675836</v>
      </c>
      <c r="AI56" s="52">
        <f t="shared" si="42"/>
        <v>-1275.0954547696929</v>
      </c>
      <c r="AJ56" s="566">
        <f>VLOOKUP($A56,'01-02.2021'!$A$6:$CZ$403,36,FALSE)+VLOOKUP($A56,'1.3.21-28.2.22'!$A$6:$DA$404,36,FALSE)-VLOOKUP($A56,'01-02.2022'!$A$6:$DA$376,36,FALSE)</f>
        <v>0</v>
      </c>
      <c r="AK56" s="566">
        <f>VLOOKUP($A56,'01-02.2021'!$A$6:$CZ$403,37,FALSE)+VLOOKUP($A56,'1.3.21-28.2.22'!$A$6:$DA$404,37,FALSE)-VLOOKUP($A56,'01-02.2022'!$A$6:$DA$376,37,FALSE)</f>
        <v>0</v>
      </c>
      <c r="AL56" s="70">
        <f t="shared" si="43"/>
        <v>0</v>
      </c>
      <c r="AM56" s="566">
        <f>VLOOKUP($A56,'01-02.2021'!$A$6:$CZ$403,39,FALSE)+VLOOKUP($A56,'1.3.21-28.2.22'!$A$6:$DA$404,39,FALSE)-VLOOKUP($A56,'01-02.2022'!$A$6:$DA$376,39,FALSE)</f>
        <v>0</v>
      </c>
      <c r="AN56" s="566">
        <f>VLOOKUP($A56,'01-02.2021'!$A$6:$CZ$403,40,FALSE)+VLOOKUP($A56,'1.3.21-28.2.22'!$A$6:$DA$404,40,FALSE)-VLOOKUP($A56,'01-02.2022'!$A$6:$DA$376,40,FALSE)</f>
        <v>0</v>
      </c>
      <c r="AO56" s="70">
        <f t="shared" si="44"/>
        <v>0</v>
      </c>
      <c r="AP56" s="566">
        <f>VLOOKUP($A56,'01-02.2021'!$A$6:$CZ$403,42,FALSE)+VLOOKUP($A56,'1.3.21-28.2.22'!$A$6:$DA$404,42,FALSE)-VLOOKUP($A56,'01-02.2022'!$A$6:$DA$376,42,FALSE)</f>
        <v>1561.6797750383319</v>
      </c>
      <c r="AQ56" s="566">
        <f>VLOOKUP($A56,'01-02.2021'!$A$6:$CZ$403,43,FALSE)+VLOOKUP($A56,'1.3.21-28.2.22'!$A$6:$DA$404,43,FALSE)-VLOOKUP($A56,'01-02.2022'!$A$6:$DA$376,43,FALSE)</f>
        <v>1338.4771788626499</v>
      </c>
      <c r="AR56" s="70">
        <f t="shared" si="45"/>
        <v>-223.20259617568195</v>
      </c>
      <c r="AS56" s="566">
        <f>VLOOKUP($A56,'01-02.2021'!$A$6:$CZ$403,45,FALSE)+VLOOKUP($A56,'1.3.21-28.2.22'!$A$6:$DA$404,45,FALSE)-VLOOKUP($A56,'01-02.2022'!$A$6:$DA$376,45,FALSE)</f>
        <v>11220.075452821724</v>
      </c>
      <c r="AT56" s="566">
        <f>VLOOKUP($A56,'01-02.2021'!$A$6:$CZ$403,46,FALSE)+VLOOKUP($A56,'1.3.21-28.2.22'!$A$6:$DA$404,46,FALSE)-VLOOKUP($A56,'01-02.2022'!$A$6:$DA$376,46,FALSE)</f>
        <v>41394.800000000003</v>
      </c>
      <c r="AU56" s="78">
        <f t="shared" si="46"/>
        <v>30174.724547178281</v>
      </c>
      <c r="AV56" s="566">
        <f>VLOOKUP($A56,'01-02.2021'!$A$6:$CZ$403,48,FALSE)+VLOOKUP($A56,'1.3.21-28.2.22'!$A$6:$DA$404,48,FALSE)-VLOOKUP($A56,'01-02.2022'!$A$6:$DA$376,48,FALSE)</f>
        <v>1249.0053750224447</v>
      </c>
      <c r="AW56" s="566">
        <f>VLOOKUP($A56,'01-02.2021'!$A$6:$CZ$403,49,FALSE)+VLOOKUP($A56,'1.3.21-28.2.22'!$A$6:$DA$404,49,FALSE)-VLOOKUP($A56,'01-02.2022'!$A$6:$DA$376,49,FALSE)</f>
        <v>0</v>
      </c>
      <c r="AX56" s="55">
        <f t="shared" si="47"/>
        <v>-1249.0053750224447</v>
      </c>
      <c r="AY56" s="566">
        <f>VLOOKUP($A56,'01-02.2021'!$A$6:$CZ$403,51,FALSE)+VLOOKUP($A56,'1.3.21-28.2.22'!$A$6:$DA$404,51,FALSE)-VLOOKUP($A56,'01-02.2022'!$A$6:$DA$376,51,FALSE)</f>
        <v>2305.8529309353585</v>
      </c>
      <c r="AZ56" s="566">
        <f>VLOOKUP($A56,'01-02.2021'!$A$6:$CZ$403,52,FALSE)+VLOOKUP($A56,'1.3.21-28.2.22'!$A$6:$DA$404,52,FALSE)-VLOOKUP($A56,'01-02.2022'!$A$6:$DA$376,52,FALSE)</f>
        <v>6.5</v>
      </c>
      <c r="BA56" s="38">
        <f t="shared" si="48"/>
        <v>-2299.3529309353585</v>
      </c>
      <c r="BB56" s="566">
        <f>VLOOKUP($A56,'01-02.2021'!$A$6:$CZ$403,54,FALSE)+VLOOKUP($A56,'1.3.21-28.2.22'!$A$6:$DA$404,54,FALSE)-VLOOKUP($A56,'01-02.2022'!$A$6:$DA$376,54,FALSE)</f>
        <v>398.69085413540859</v>
      </c>
      <c r="BC56" s="566">
        <f>VLOOKUP($A56,'01-02.2021'!$A$6:$CZ$403,55,FALSE)+VLOOKUP($A56,'1.3.21-28.2.22'!$A$6:$DA$404,55,FALSE)-VLOOKUP($A56,'01-02.2022'!$A$6:$DA$376,55,FALSE)</f>
        <v>0</v>
      </c>
      <c r="BD56" s="55">
        <f t="shared" si="49"/>
        <v>-398.69085413540859</v>
      </c>
      <c r="BE56" s="566">
        <f>VLOOKUP($A56,'01-02.2021'!$A$6:$CZ$403,57,FALSE)+VLOOKUP($A56,'1.3.21-28.2.22'!$A$6:$DA$404,57,FALSE)-VLOOKUP($A56,'01-02.2022'!$A$6:$DA$376,57,FALSE)</f>
        <v>783.62999106283723</v>
      </c>
      <c r="BF56" s="566">
        <f>VLOOKUP($A56,'01-02.2021'!$A$6:$CZ$403,58,FALSE)+VLOOKUP($A56,'1.3.21-28.2.22'!$A$6:$DA$404,58,FALSE)-VLOOKUP($A56,'01-02.2022'!$A$6:$DA$376,58,FALSE)</f>
        <v>0</v>
      </c>
      <c r="BG56" s="55">
        <f t="shared" si="50"/>
        <v>-783.62999106283723</v>
      </c>
      <c r="BH56" s="566">
        <f>VLOOKUP($A56,'01-02.2021'!$A$6:$CZ$403,60,FALSE)+VLOOKUP($A56,'1.3.21-28.2.22'!$A$6:$DA$404,60,FALSE)-VLOOKUP($A56,'01-02.2022'!$A$6:$DA$376,60,FALSE)</f>
        <v>0</v>
      </c>
      <c r="BI56" s="566">
        <f>VLOOKUP($A56,'01-02.2021'!$A$6:$CZ$403,61,FALSE)+VLOOKUP($A56,'1.3.21-28.2.22'!$A$6:$DA$404,61,FALSE)-VLOOKUP($A56,'01-02.2022'!$A$6:$DA$376,61,FALSE)</f>
        <v>0</v>
      </c>
      <c r="BJ56" s="55">
        <f t="shared" si="51"/>
        <v>0</v>
      </c>
      <c r="BK56" s="566">
        <f>VLOOKUP($A56,'01-02.2021'!$A$6:$CZ$403,63,FALSE)+VLOOKUP($A56,'1.3.21-28.2.22'!$A$6:$DA$404,63,FALSE)-VLOOKUP($A56,'01-02.2022'!$A$6:$DA$376,63,FALSE)</f>
        <v>618.86057125245657</v>
      </c>
      <c r="BL56" s="566">
        <f>VLOOKUP($A56,'01-02.2021'!$A$6:$CZ$403,64,FALSE)+VLOOKUP($A56,'1.3.21-28.2.22'!$A$6:$DA$404,64,FALSE)-VLOOKUP($A56,'01-02.2022'!$A$6:$DA$376,64,FALSE)</f>
        <v>0</v>
      </c>
      <c r="BM56" s="55">
        <f t="shared" si="52"/>
        <v>-618.86057125245657</v>
      </c>
      <c r="BN56" s="566">
        <f>VLOOKUP($A56,'01-02.2021'!$A$6:$CZ$403,66,FALSE)+VLOOKUP($A56,'1.3.21-28.2.22'!$A$6:$DA$404,66,FALSE)-VLOOKUP($A56,'01-02.2022'!$A$6:$DA$376,66,FALSE)</f>
        <v>286.63207468675722</v>
      </c>
      <c r="BO56" s="566">
        <f>VLOOKUP($A56,'01-02.2021'!$A$6:$CZ$403,67,FALSE)+VLOOKUP($A56,'1.3.21-28.2.22'!$A$6:$DA$404,67,FALSE)-VLOOKUP($A56,'01-02.2022'!$A$6:$DA$376,67,FALSE)</f>
        <v>0</v>
      </c>
      <c r="BP56" s="55">
        <f t="shared" si="53"/>
        <v>-286.63207468675722</v>
      </c>
      <c r="BQ56" s="77">
        <f t="shared" si="79"/>
        <v>5642.6717970952632</v>
      </c>
      <c r="BR56" s="40">
        <f t="shared" si="80"/>
        <v>6.5</v>
      </c>
      <c r="BS56" s="55">
        <f t="shared" si="70"/>
        <v>-5636.1717970952632</v>
      </c>
      <c r="BT56" s="566">
        <f>VLOOKUP($A56,'01-02.2021'!$A$6:$CZ$403,72,FALSE)+VLOOKUP($A56,'1.3.21-28.2.22'!$A$6:$DA$404,72,FALSE)-VLOOKUP($A56,'01-02.2022'!$A$6:$DA$376,72,FALSE)</f>
        <v>15185.801704255104</v>
      </c>
      <c r="BU56" s="566">
        <f>VLOOKUP($A56,'01-02.2021'!$A$6:$CZ$403,73,FALSE)+VLOOKUP($A56,'1.3.21-28.2.22'!$A$6:$DA$404,73,FALSE)-VLOOKUP($A56,'01-02.2022'!$A$6:$DA$376,73,FALSE)</f>
        <v>20429.960442847936</v>
      </c>
      <c r="BV56" s="70">
        <f t="shared" si="54"/>
        <v>5244.1587385928324</v>
      </c>
      <c r="BW56" s="566">
        <f>VLOOKUP($A56,'01-02.2021'!$A$6:$CZ$403,75,FALSE)+VLOOKUP($A56,'1.3.21-28.2.22'!$A$6:$DA$404,75,FALSE)-VLOOKUP($A56,'01-02.2022'!$A$6:$DA$376,75,FALSE)</f>
        <v>6676.509314174813</v>
      </c>
      <c r="BX56" s="566">
        <f>VLOOKUP($A56,'01-02.2021'!$A$6:$CZ$403,76,FALSE)+VLOOKUP($A56,'1.3.21-28.2.22'!$A$6:$DA$404,76,FALSE)-VLOOKUP($A56,'01-02.2022'!$A$6:$DA$376,76,FALSE)</f>
        <v>7302.2021762850381</v>
      </c>
      <c r="BY56" s="70">
        <f t="shared" si="55"/>
        <v>625.69286211022518</v>
      </c>
      <c r="BZ56" s="566">
        <f>VLOOKUP($A56,'01-02.2021'!$A$6:$CZ$403,78,FALSE)+VLOOKUP($A56,'1.3.21-28.2.22'!$A$6:$DA$404,78,FALSE)-VLOOKUP($A56,'01-02.2022'!$A$6:$DA$376,78,FALSE)</f>
        <v>6506.0496026529563</v>
      </c>
      <c r="CA56" s="566">
        <f>VLOOKUP($A56,'01-02.2021'!$A$6:$CZ$403,79,FALSE)+VLOOKUP($A56,'1.3.21-28.2.22'!$A$6:$DA$404,79,FALSE)-VLOOKUP($A56,'01-02.2022'!$A$6:$DA$376,79,FALSE)</f>
        <v>4154.4692401472785</v>
      </c>
      <c r="CB56" s="70">
        <f t="shared" si="56"/>
        <v>-2351.5803625056778</v>
      </c>
      <c r="CC56" s="566">
        <f>VLOOKUP($A56,'01-02.2021'!$A$6:$CZ$403,81,FALSE)+VLOOKUP($A56,'1.3.21-28.2.22'!$A$6:$DA$404,81,FALSE)-VLOOKUP($A56,'01-02.2022'!$A$6:$DA$376,81,FALSE)</f>
        <v>543.49703052412178</v>
      </c>
      <c r="CD56" s="566">
        <f>VLOOKUP($A56,'01-02.2021'!$A$6:$CZ$403,82,FALSE)+VLOOKUP($A56,'1.3.21-28.2.22'!$A$6:$DA$404,82,FALSE)-VLOOKUP($A56,'01-02.2022'!$A$6:$DA$376,82,FALSE)</f>
        <v>594.03846050985396</v>
      </c>
      <c r="CE56" s="70">
        <f t="shared" si="57"/>
        <v>50.541429985732179</v>
      </c>
      <c r="CF56" s="566">
        <f>VLOOKUP($A56,'01-02.2021'!$A$6:$CZ$403,84,FALSE)+VLOOKUP($A56,'1.3.21-28.2.22'!$A$6:$DA$404,84,FALSE)-VLOOKUP($A56,'01-02.2022'!$A$6:$DA$376,84,FALSE)</f>
        <v>66.073259590505032</v>
      </c>
      <c r="CG56" s="566">
        <f>VLOOKUP($A56,'01-02.2021'!$A$6:$CZ$403,85,FALSE)+VLOOKUP($A56,'1.3.21-28.2.22'!$A$6:$DA$404,85,FALSE)-VLOOKUP($A56,'01-02.2022'!$A$6:$DA$376,85,FALSE)</f>
        <v>0</v>
      </c>
      <c r="CH56" s="70">
        <f t="shared" si="58"/>
        <v>-66.073259590505032</v>
      </c>
      <c r="CI56" s="566">
        <f>VLOOKUP($A56,'01-02.2021'!$A$6:$CZ$403,87,FALSE)+VLOOKUP($A56,'1.3.21-28.2.22'!$A$6:$DA$404,87,FALSE)-VLOOKUP($A56,'01-02.2022'!$A$6:$DA$376,87,FALSE)</f>
        <v>1323.6644027425009</v>
      </c>
      <c r="CJ56" s="566">
        <f>VLOOKUP($A56,'01-02.2021'!$A$6:$CZ$403,88,FALSE)+VLOOKUP($A56,'1.3.21-28.2.22'!$A$6:$DA$404,88,FALSE)-VLOOKUP($A56,'01-02.2022'!$A$6:$DA$376,88,FALSE)</f>
        <v>1239.2731146260535</v>
      </c>
      <c r="CK56" s="70">
        <f t="shared" si="59"/>
        <v>-84.391288116447413</v>
      </c>
      <c r="CL56" s="566">
        <f>VLOOKUP($A56,'01-02.2021'!$A$6:$CZ$403,90,FALSE)+VLOOKUP($A56,'1.3.21-28.2.22'!$A$6:$DA$404,90,FALSE)-VLOOKUP($A56,'01-02.2022'!$A$6:$DA$376,90,FALSE)</f>
        <v>0</v>
      </c>
      <c r="CM56" s="566">
        <f>VLOOKUP($A56,'01-02.2021'!$A$6:$CZ$403,91,FALSE)+VLOOKUP($A56,'1.3.21-28.2.22'!$A$6:$DA$404,91,FALSE)-VLOOKUP($A56,'01-02.2022'!$A$6:$DA$376,91,FALSE)</f>
        <v>0</v>
      </c>
      <c r="CN56" s="52">
        <f t="shared" si="60"/>
        <v>0</v>
      </c>
      <c r="CO56" s="39">
        <f t="shared" si="27"/>
        <v>1323.6644027425009</v>
      </c>
      <c r="CP56" s="40">
        <f t="shared" si="61"/>
        <v>1239.2731146260535</v>
      </c>
      <c r="CQ56" s="52">
        <f t="shared" si="62"/>
        <v>-84.391288116447413</v>
      </c>
      <c r="CR56" s="72">
        <f t="shared" si="28"/>
        <v>64958.12691042338</v>
      </c>
      <c r="CS56" s="5">
        <f t="shared" si="28"/>
        <v>91416.729730037172</v>
      </c>
      <c r="CT56" s="52">
        <f t="shared" si="63"/>
        <v>26458.602819613792</v>
      </c>
      <c r="CU56" s="77">
        <f t="shared" si="64"/>
        <v>77949.752292508056</v>
      </c>
      <c r="CV56" s="65">
        <f t="shared" si="65"/>
        <v>109700.07567604461</v>
      </c>
      <c r="CW56" s="35">
        <f t="shared" si="66"/>
        <v>31750.323383536554</v>
      </c>
      <c r="CX56" s="566">
        <f>VLOOKUP($A56,'01-02.2021'!$A$6:$CZ$403,102,FALSE)+VLOOKUP($A56,'1.3.21-28.2.22'!$A$6:$DA$404,102,FALSE)-VLOOKUP($A56,'01-02.2022'!$A$6:$DA$376,102,FALSE)</f>
        <v>1444.1732521189074</v>
      </c>
      <c r="CY56" s="566">
        <f>VLOOKUP($A56,'01-02.2021'!$A$6:$CZ$403,103,FALSE)+VLOOKUP($A56,'1.3.21-28.2.22'!$A$6:$DA$404,103,FALSE)-VLOOKUP($A56,'01-02.2022'!$A$6:$DA$376,103,FALSE)</f>
        <v>-30306.15013141766</v>
      </c>
      <c r="CZ56" s="52">
        <f t="shared" si="67"/>
        <v>-31750.323383536568</v>
      </c>
      <c r="DA56" s="150">
        <f>'[2]побудинковий звіт'!DA56</f>
        <v>9574.9931927621401</v>
      </c>
      <c r="DB56" s="2">
        <v>1</v>
      </c>
      <c r="DC56" s="414">
        <f>'[4]побудинковий звіт'!DC56</f>
        <v>31083.82</v>
      </c>
      <c r="DD56" s="414">
        <f>'[4]побудинковий звіт'!DD56</f>
        <v>0</v>
      </c>
      <c r="DE56" s="557">
        <f>'[4]побудинковий звіт'!DE56</f>
        <v>23871.774844794079</v>
      </c>
      <c r="DF56" s="557">
        <f>'[4]побудинковий звіт'!DF56</f>
        <v>0</v>
      </c>
      <c r="DG56" s="321">
        <f>VLOOKUP(A56,'кошти 01.03.2021'!$A$6:$D$401,4,)</f>
        <v>-17423.002354111228</v>
      </c>
      <c r="DH56" s="40">
        <f>'[3]побудинковий звіт'!DJ56</f>
        <v>82212.235468355924</v>
      </c>
      <c r="DI56" s="422">
        <f>'[3]побудинковий звіт'!CU56+'[3]побудинковий звіт'!CX56</f>
        <v>7212.0451552059203</v>
      </c>
      <c r="DJ56" s="306">
        <f>'[3]побудинковий звіт'!DM56</f>
        <v>6.1477471658533833</v>
      </c>
      <c r="DK56" s="306">
        <f t="shared" si="82"/>
        <v>6.1477471658533833</v>
      </c>
      <c r="DL56" s="306">
        <f>'[3]побудинковий звіт'!DO56</f>
        <v>5.4746973002745358</v>
      </c>
      <c r="DM56" s="28">
        <f t="shared" si="83"/>
        <v>7212.0451552059203</v>
      </c>
      <c r="DN56" s="28">
        <f t="shared" si="84"/>
        <v>0</v>
      </c>
      <c r="DO56" s="423">
        <f t="shared" si="29"/>
        <v>7212.0451552059203</v>
      </c>
      <c r="DP56" s="94">
        <f t="shared" si="30"/>
        <v>0</v>
      </c>
      <c r="DQ56" s="28">
        <f t="shared" si="31"/>
        <v>7212.0451552059203</v>
      </c>
      <c r="DR56" s="318"/>
      <c r="DT56" s="8"/>
      <c r="DU56" s="5"/>
      <c r="DX56" s="5">
        <f t="shared" si="32"/>
        <v>20235.296699900387</v>
      </c>
      <c r="DY56" s="5">
        <f t="shared" si="33"/>
        <v>49681.560000000005</v>
      </c>
      <c r="DZ56" s="159">
        <f>'[3]побудинковий звіт'!EA56</f>
        <v>1815.9086838018441</v>
      </c>
    </row>
    <row r="57" spans="1:130" x14ac:dyDescent="0.3">
      <c r="A57" s="325">
        <v>150000547</v>
      </c>
      <c r="B57" s="41" t="s">
        <v>506</v>
      </c>
      <c r="C57" s="42" t="s">
        <v>248</v>
      </c>
      <c r="D57" s="42"/>
      <c r="E57" s="293">
        <f t="shared" si="23"/>
        <v>2743.1</v>
      </c>
      <c r="F57" s="305">
        <f>'[3]побудинковий звіт'!F57</f>
        <v>2743.1</v>
      </c>
      <c r="G57" s="508">
        <f>'[3]побудинковий звіт'!G57</f>
        <v>0</v>
      </c>
      <c r="H57" s="560">
        <f>'[3]побудинковий звіт'!H57</f>
        <v>0</v>
      </c>
      <c r="I57" s="566">
        <f>VLOOKUP($A57,'01-02.2021'!$A$6:$CZ$403,9,FALSE)+VLOOKUP($A57,'1.3.21-28.2.22'!$A$6:$DA$404,9,FALSE)-VLOOKUP($A57,'01-02.2022'!$A$6:$DA$376,9,FALSE)</f>
        <v>10016.695390219342</v>
      </c>
      <c r="J57" s="566">
        <f>VLOOKUP($A57,'01-02.2021'!$A$6:$CZ$403,10,FALSE)+VLOOKUP($A57,'1.3.21-28.2.22'!$A$6:$DA$404,10,FALSE)-VLOOKUP($A57,'01-02.2022'!$A$6:$DA$376,10,FALSE)</f>
        <v>8797.6199981627869</v>
      </c>
      <c r="K57" s="52">
        <f t="shared" si="34"/>
        <v>-1219.0753920565548</v>
      </c>
      <c r="L57" s="566">
        <f>VLOOKUP($A57,'01-02.2021'!$A$6:$CZ$403,12,FALSE)+VLOOKUP($A57,'1.3.21-28.2.22'!$A$6:$DA$404,12,FALSE)-VLOOKUP($A57,'01-02.2022'!$A$6:$DA$376,12,FALSE)</f>
        <v>1951.094741982643</v>
      </c>
      <c r="M57" s="566">
        <f>VLOOKUP($A57,'01-02.2021'!$A$6:$CZ$403,13,FALSE)+VLOOKUP($A57,'1.3.21-28.2.22'!$A$6:$DA$404,13,FALSE)-VLOOKUP($A57,'01-02.2022'!$A$6:$DA$376,13,FALSE)</f>
        <v>1761.3098387367304</v>
      </c>
      <c r="N57" s="52">
        <f t="shared" si="35"/>
        <v>-189.78490324591257</v>
      </c>
      <c r="O57" s="566">
        <f>VLOOKUP($A57,'01-02.2021'!$A$6:$CZ$403,15,FALSE)+VLOOKUP($A57,'1.3.21-28.2.22'!$A$6:$DA$404,15,FALSE)-VLOOKUP($A57,'01-02.2022'!$A$6:$DA$376,15,FALSE)</f>
        <v>3783.5750234729003</v>
      </c>
      <c r="P57" s="566">
        <f>VLOOKUP($A57,'01-02.2021'!$A$6:$CZ$403,16,FALSE)+VLOOKUP($A57,'1.3.21-28.2.22'!$A$6:$DA$404,16,FALSE)-VLOOKUP($A57,'01-02.2022'!$A$6:$DA$376,16,FALSE)</f>
        <v>3783.62</v>
      </c>
      <c r="Q57" s="70">
        <f t="shared" si="36"/>
        <v>4.4976527099606756E-2</v>
      </c>
      <c r="R57" s="566">
        <f>VLOOKUP($A57,'01-02.2021'!$A$6:$CZ$403,18,FALSE)+VLOOKUP($A57,'1.3.21-28.2.22'!$A$6:$DA$404,18,FALSE)-VLOOKUP($A57,'01-02.2022'!$A$6:$DA$376,18,FALSE)</f>
        <v>819.28768386239176</v>
      </c>
      <c r="S57" s="566">
        <f>VLOOKUP($A57,'01-02.2021'!$A$6:$CZ$403,19,FALSE)+VLOOKUP($A57,'1.3.21-28.2.22'!$A$6:$DA$404,19,FALSE)-VLOOKUP($A57,'01-02.2022'!$A$6:$DA$376,19,FALSE)</f>
        <v>819.2600000000001</v>
      </c>
      <c r="T57" s="70">
        <f t="shared" si="37"/>
        <v>-2.7683862391654657E-2</v>
      </c>
      <c r="U57" s="566">
        <f>VLOOKUP($A57,'01-02.2021'!$A$6:$CZ$403,21,FALSE)+VLOOKUP($A57,'1.3.21-28.2.22'!$A$6:$DA$404,21,FALSE)-VLOOKUP($A57,'01-02.2022'!$A$6:$DA$376,21,FALSE)</f>
        <v>610.46629745812027</v>
      </c>
      <c r="V57" s="566">
        <f>VLOOKUP($A57,'01-02.2021'!$A$6:$CZ$403,22,FALSE)+VLOOKUP($A57,'1.3.21-28.2.22'!$A$6:$DA$404,22,FALSE)-VLOOKUP($A57,'01-02.2022'!$A$6:$DA$376,22,FALSE)</f>
        <v>416.00401694064215</v>
      </c>
      <c r="W57" s="70">
        <f t="shared" si="38"/>
        <v>-194.46228051747812</v>
      </c>
      <c r="X57" s="566">
        <f>VLOOKUP($A57,'01-02.2021'!$A$6:$CZ$403,24,FALSE)+VLOOKUP($A57,'1.3.21-28.2.22'!$A$6:$DA$404,24,FALSE)-VLOOKUP($A57,'01-02.2022'!$A$6:$DA$376,24,FALSE)</f>
        <v>6509.8523607673469</v>
      </c>
      <c r="Y57" s="566">
        <f>VLOOKUP($A57,'01-02.2021'!$A$6:$CZ$403,25,FALSE)+VLOOKUP($A57,'1.3.21-28.2.22'!$A$6:$DA$404,25,FALSE)-VLOOKUP($A57,'01-02.2022'!$A$6:$DA$376,25,FALSE)</f>
        <v>5053.8203861821294</v>
      </c>
      <c r="Z57" s="70">
        <f t="shared" si="39"/>
        <v>-1456.0319745852175</v>
      </c>
      <c r="AA57" s="566">
        <f>VLOOKUP($A57,'01-02.2021'!$A$6:$CZ$403,27,FALSE)+VLOOKUP($A57,'1.3.21-28.2.22'!$A$6:$DA$404,27,FALSE)-VLOOKUP($A57,'01-02.2022'!$A$6:$DA$376,27,FALSE)</f>
        <v>548.64</v>
      </c>
      <c r="AB57" s="566">
        <f>VLOOKUP($A57,'01-02.2021'!$A$6:$CZ$403,28,FALSE)+VLOOKUP($A57,'1.3.21-28.2.22'!$A$6:$DA$404,28,FALSE)-VLOOKUP($A57,'01-02.2022'!$A$6:$DA$376,28,FALSE)</f>
        <v>0</v>
      </c>
      <c r="AC57" s="70">
        <f t="shared" si="40"/>
        <v>-548.64</v>
      </c>
      <c r="AD57" s="566">
        <f>VLOOKUP($A57,'01-02.2021'!$A$6:$CZ$403,30,FALSE)+VLOOKUP($A57,'1.3.21-28.2.22'!$A$6:$DA$404,30,FALSE)-VLOOKUP($A57,'01-02.2022'!$A$6:$DA$376,30,FALSE)</f>
        <v>11782.594948233733</v>
      </c>
      <c r="AE57" s="566">
        <f>VLOOKUP($A57,'01-02.2021'!$A$6:$CZ$403,31,FALSE)+VLOOKUP($A57,'1.3.21-28.2.22'!$A$6:$DA$404,31,FALSE)-VLOOKUP($A57,'01-02.2022'!$A$6:$DA$376,31,FALSE)</f>
        <v>12486.935821787549</v>
      </c>
      <c r="AF57" s="68">
        <f t="shared" si="41"/>
        <v>704.34087355381598</v>
      </c>
      <c r="AG57" s="77">
        <f t="shared" si="24"/>
        <v>36022.206445996475</v>
      </c>
      <c r="AH57" s="53">
        <f t="shared" si="24"/>
        <v>33118.570061809834</v>
      </c>
      <c r="AI57" s="52">
        <f t="shared" si="42"/>
        <v>-2903.6363841866405</v>
      </c>
      <c r="AJ57" s="566">
        <f>VLOOKUP($A57,'01-02.2021'!$A$6:$CZ$403,36,FALSE)+VLOOKUP($A57,'1.3.21-28.2.22'!$A$6:$DA$404,36,FALSE)-VLOOKUP($A57,'01-02.2022'!$A$6:$DA$376,36,FALSE)</f>
        <v>0</v>
      </c>
      <c r="AK57" s="566">
        <f>VLOOKUP($A57,'01-02.2021'!$A$6:$CZ$403,37,FALSE)+VLOOKUP($A57,'1.3.21-28.2.22'!$A$6:$DA$404,37,FALSE)-VLOOKUP($A57,'01-02.2022'!$A$6:$DA$376,37,FALSE)</f>
        <v>0</v>
      </c>
      <c r="AL57" s="70">
        <f t="shared" si="43"/>
        <v>0</v>
      </c>
      <c r="AM57" s="566">
        <f>VLOOKUP($A57,'01-02.2021'!$A$6:$CZ$403,39,FALSE)+VLOOKUP($A57,'1.3.21-28.2.22'!$A$6:$DA$404,39,FALSE)-VLOOKUP($A57,'01-02.2022'!$A$6:$DA$376,39,FALSE)</f>
        <v>0</v>
      </c>
      <c r="AN57" s="566">
        <f>VLOOKUP($A57,'01-02.2021'!$A$6:$CZ$403,40,FALSE)+VLOOKUP($A57,'1.3.21-28.2.22'!$A$6:$DA$404,40,FALSE)-VLOOKUP($A57,'01-02.2022'!$A$6:$DA$376,40,FALSE)</f>
        <v>0</v>
      </c>
      <c r="AO57" s="70">
        <f t="shared" si="44"/>
        <v>0</v>
      </c>
      <c r="AP57" s="566">
        <f>VLOOKUP($A57,'01-02.2021'!$A$6:$CZ$403,42,FALSE)+VLOOKUP($A57,'1.3.21-28.2.22'!$A$6:$DA$404,42,FALSE)-VLOOKUP($A57,'01-02.2022'!$A$6:$DA$376,42,FALSE)</f>
        <v>2602.799625063888</v>
      </c>
      <c r="AQ57" s="566">
        <f>VLOOKUP($A57,'01-02.2021'!$A$6:$CZ$403,43,FALSE)+VLOOKUP($A57,'1.3.21-28.2.22'!$A$6:$DA$404,43,FALSE)-VLOOKUP($A57,'01-02.2022'!$A$6:$DA$376,43,FALSE)</f>
        <v>2245.3023349564305</v>
      </c>
      <c r="AR57" s="70">
        <f t="shared" si="45"/>
        <v>-357.4972901074575</v>
      </c>
      <c r="AS57" s="566">
        <f>VLOOKUP($A57,'01-02.2021'!$A$6:$CZ$403,45,FALSE)+VLOOKUP($A57,'1.3.21-28.2.22'!$A$6:$DA$404,45,FALSE)-VLOOKUP($A57,'01-02.2022'!$A$6:$DA$376,45,FALSE)</f>
        <v>47405.799539400192</v>
      </c>
      <c r="AT57" s="566">
        <f>VLOOKUP($A57,'01-02.2021'!$A$6:$CZ$403,46,FALSE)+VLOOKUP($A57,'1.3.21-28.2.22'!$A$6:$DA$404,46,FALSE)-VLOOKUP($A57,'01-02.2022'!$A$6:$DA$376,46,FALSE)</f>
        <v>65104.350000000006</v>
      </c>
      <c r="AU57" s="78">
        <f t="shared" si="46"/>
        <v>17698.550460599814</v>
      </c>
      <c r="AV57" s="566">
        <f>VLOOKUP($A57,'01-02.2021'!$A$6:$CZ$403,48,FALSE)+VLOOKUP($A57,'1.3.21-28.2.22'!$A$6:$DA$404,48,FALSE)-VLOOKUP($A57,'01-02.2022'!$A$6:$DA$376,48,FALSE)</f>
        <v>2795.4498082199179</v>
      </c>
      <c r="AW57" s="566">
        <f>VLOOKUP($A57,'01-02.2021'!$A$6:$CZ$403,49,FALSE)+VLOOKUP($A57,'1.3.21-28.2.22'!$A$6:$DA$404,49,FALSE)-VLOOKUP($A57,'01-02.2022'!$A$6:$DA$376,49,FALSE)</f>
        <v>0</v>
      </c>
      <c r="AX57" s="55">
        <f t="shared" si="47"/>
        <v>-2795.4498082199179</v>
      </c>
      <c r="AY57" s="566">
        <f>VLOOKUP($A57,'01-02.2021'!$A$6:$CZ$403,51,FALSE)+VLOOKUP($A57,'1.3.21-28.2.22'!$A$6:$DA$404,51,FALSE)-VLOOKUP($A57,'01-02.2022'!$A$6:$DA$376,51,FALSE)</f>
        <v>3667.6923016407127</v>
      </c>
      <c r="AZ57" s="566">
        <f>VLOOKUP($A57,'01-02.2021'!$A$6:$CZ$403,52,FALSE)+VLOOKUP($A57,'1.3.21-28.2.22'!$A$6:$DA$404,52,FALSE)-VLOOKUP($A57,'01-02.2022'!$A$6:$DA$376,52,FALSE)</f>
        <v>6.5</v>
      </c>
      <c r="BA57" s="38">
        <f t="shared" si="48"/>
        <v>-3661.1923016407127</v>
      </c>
      <c r="BB57" s="566">
        <f>VLOOKUP($A57,'01-02.2021'!$A$6:$CZ$403,54,FALSE)+VLOOKUP($A57,'1.3.21-28.2.22'!$A$6:$DA$404,54,FALSE)-VLOOKUP($A57,'01-02.2022'!$A$6:$DA$376,54,FALSE)</f>
        <v>1165.7550987068012</v>
      </c>
      <c r="BC57" s="566">
        <f>VLOOKUP($A57,'01-02.2021'!$A$6:$CZ$403,55,FALSE)+VLOOKUP($A57,'1.3.21-28.2.22'!$A$6:$DA$404,55,FALSE)-VLOOKUP($A57,'01-02.2022'!$A$6:$DA$376,55,FALSE)</f>
        <v>0</v>
      </c>
      <c r="BD57" s="55">
        <f t="shared" si="49"/>
        <v>-1165.7550987068012</v>
      </c>
      <c r="BE57" s="566">
        <f>VLOOKUP($A57,'01-02.2021'!$A$6:$CZ$403,57,FALSE)+VLOOKUP($A57,'1.3.21-28.2.22'!$A$6:$DA$404,57,FALSE)-VLOOKUP($A57,'01-02.2022'!$A$6:$DA$376,57,FALSE)</f>
        <v>1755.0550221159376</v>
      </c>
      <c r="BF57" s="566">
        <f>VLOOKUP($A57,'01-02.2021'!$A$6:$CZ$403,58,FALSE)+VLOOKUP($A57,'1.3.21-28.2.22'!$A$6:$DA$404,58,FALSE)-VLOOKUP($A57,'01-02.2022'!$A$6:$DA$376,58,FALSE)</f>
        <v>0</v>
      </c>
      <c r="BG57" s="55">
        <f t="shared" si="50"/>
        <v>-1755.0550221159376</v>
      </c>
      <c r="BH57" s="566">
        <f>VLOOKUP($A57,'01-02.2021'!$A$6:$CZ$403,60,FALSE)+VLOOKUP($A57,'1.3.21-28.2.22'!$A$6:$DA$404,60,FALSE)-VLOOKUP($A57,'01-02.2022'!$A$6:$DA$376,60,FALSE)</f>
        <v>1369.6262160600197</v>
      </c>
      <c r="BI57" s="566">
        <f>VLOOKUP($A57,'01-02.2021'!$A$6:$CZ$403,61,FALSE)+VLOOKUP($A57,'1.3.21-28.2.22'!$A$6:$DA$404,61,FALSE)-VLOOKUP($A57,'01-02.2022'!$A$6:$DA$376,61,FALSE)</f>
        <v>0</v>
      </c>
      <c r="BJ57" s="55">
        <f t="shared" si="51"/>
        <v>-1369.6262160600197</v>
      </c>
      <c r="BK57" s="566">
        <f>VLOOKUP($A57,'01-02.2021'!$A$6:$CZ$403,63,FALSE)+VLOOKUP($A57,'1.3.21-28.2.22'!$A$6:$DA$404,63,FALSE)-VLOOKUP($A57,'01-02.2022'!$A$6:$DA$376,63,FALSE)</f>
        <v>1982.4341178178267</v>
      </c>
      <c r="BL57" s="566">
        <f>VLOOKUP($A57,'01-02.2021'!$A$6:$CZ$403,64,FALSE)+VLOOKUP($A57,'1.3.21-28.2.22'!$A$6:$DA$404,64,FALSE)-VLOOKUP($A57,'01-02.2022'!$A$6:$DA$376,64,FALSE)</f>
        <v>0</v>
      </c>
      <c r="BM57" s="55">
        <f t="shared" si="52"/>
        <v>-1982.4341178178267</v>
      </c>
      <c r="BN57" s="566">
        <f>VLOOKUP($A57,'01-02.2021'!$A$6:$CZ$403,66,FALSE)+VLOOKUP($A57,'1.3.21-28.2.22'!$A$6:$DA$404,66,FALSE)-VLOOKUP($A57,'01-02.2022'!$A$6:$DA$376,66,FALSE)</f>
        <v>209.54768986894649</v>
      </c>
      <c r="BO57" s="566">
        <f>VLOOKUP($A57,'01-02.2021'!$A$6:$CZ$403,67,FALSE)+VLOOKUP($A57,'1.3.21-28.2.22'!$A$6:$DA$404,67,FALSE)-VLOOKUP($A57,'01-02.2022'!$A$6:$DA$376,67,FALSE)</f>
        <v>0</v>
      </c>
      <c r="BP57" s="55">
        <f t="shared" si="53"/>
        <v>-209.54768986894649</v>
      </c>
      <c r="BQ57" s="77">
        <f t="shared" si="79"/>
        <v>12945.560254430164</v>
      </c>
      <c r="BR57" s="40">
        <f t="shared" si="80"/>
        <v>6.5</v>
      </c>
      <c r="BS57" s="55">
        <f t="shared" si="70"/>
        <v>-12939.060254430164</v>
      </c>
      <c r="BT57" s="566">
        <f>VLOOKUP($A57,'01-02.2021'!$A$6:$CZ$403,72,FALSE)+VLOOKUP($A57,'1.3.21-28.2.22'!$A$6:$DA$404,72,FALSE)-VLOOKUP($A57,'01-02.2022'!$A$6:$DA$376,72,FALSE)</f>
        <v>13700.755462610192</v>
      </c>
      <c r="BU57" s="566">
        <f>VLOOKUP($A57,'01-02.2021'!$A$6:$CZ$403,73,FALSE)+VLOOKUP($A57,'1.3.21-28.2.22'!$A$6:$DA$404,73,FALSE)-VLOOKUP($A57,'01-02.2022'!$A$6:$DA$376,73,FALSE)</f>
        <v>16956.272986411499</v>
      </c>
      <c r="BV57" s="70">
        <f t="shared" si="54"/>
        <v>3255.5175238013071</v>
      </c>
      <c r="BW57" s="566">
        <f>VLOOKUP($A57,'01-02.2021'!$A$6:$CZ$403,75,FALSE)+VLOOKUP($A57,'1.3.21-28.2.22'!$A$6:$DA$404,75,FALSE)-VLOOKUP($A57,'01-02.2022'!$A$6:$DA$376,75,FALSE)</f>
        <v>15204.889952779413</v>
      </c>
      <c r="BX57" s="566">
        <f>VLOOKUP($A57,'01-02.2021'!$A$6:$CZ$403,76,FALSE)+VLOOKUP($A57,'1.3.21-28.2.22'!$A$6:$DA$404,76,FALSE)-VLOOKUP($A57,'01-02.2022'!$A$6:$DA$376,76,FALSE)</f>
        <v>14521.606393328217</v>
      </c>
      <c r="BY57" s="70">
        <f t="shared" si="55"/>
        <v>-683.2835594511962</v>
      </c>
      <c r="BZ57" s="566">
        <f>VLOOKUP($A57,'01-02.2021'!$A$6:$CZ$403,78,FALSE)+VLOOKUP($A57,'1.3.21-28.2.22'!$A$6:$DA$404,78,FALSE)-VLOOKUP($A57,'01-02.2022'!$A$6:$DA$376,78,FALSE)</f>
        <v>7626.8345554110074</v>
      </c>
      <c r="CA57" s="566">
        <f>VLOOKUP($A57,'01-02.2021'!$A$6:$CZ$403,79,FALSE)+VLOOKUP($A57,'1.3.21-28.2.22'!$A$6:$DA$404,79,FALSE)-VLOOKUP($A57,'01-02.2022'!$A$6:$DA$376,79,FALSE)</f>
        <v>4780.7317731441281</v>
      </c>
      <c r="CB57" s="70">
        <f t="shared" si="56"/>
        <v>-2846.1027822668793</v>
      </c>
      <c r="CC57" s="566">
        <f>VLOOKUP($A57,'01-02.2021'!$A$6:$CZ$403,81,FALSE)+VLOOKUP($A57,'1.3.21-28.2.22'!$A$6:$DA$404,81,FALSE)-VLOOKUP($A57,'01-02.2022'!$A$6:$DA$376,81,FALSE)</f>
        <v>1326.0259245957072</v>
      </c>
      <c r="CD57" s="566">
        <f>VLOOKUP($A57,'01-02.2021'!$A$6:$CZ$403,82,FALSE)+VLOOKUP($A57,'1.3.21-28.2.22'!$A$6:$DA$404,82,FALSE)-VLOOKUP($A57,'01-02.2022'!$A$6:$DA$376,82,FALSE)</f>
        <v>1449.3370793274812</v>
      </c>
      <c r="CE57" s="70">
        <f t="shared" si="57"/>
        <v>123.31115473177397</v>
      </c>
      <c r="CF57" s="566">
        <f>VLOOKUP($A57,'01-02.2021'!$A$6:$CZ$403,84,FALSE)+VLOOKUP($A57,'1.3.21-28.2.22'!$A$6:$DA$404,84,FALSE)-VLOOKUP($A57,'01-02.2022'!$A$6:$DA$376,84,FALSE)</f>
        <v>161.20576602793977</v>
      </c>
      <c r="CG57" s="566">
        <f>VLOOKUP($A57,'01-02.2021'!$A$6:$CZ$403,85,FALSE)+VLOOKUP($A57,'1.3.21-28.2.22'!$A$6:$DA$404,85,FALSE)-VLOOKUP($A57,'01-02.2022'!$A$6:$DA$376,85,FALSE)</f>
        <v>0</v>
      </c>
      <c r="CH57" s="70">
        <f t="shared" si="58"/>
        <v>-161.20576602793977</v>
      </c>
      <c r="CI57" s="566">
        <f>VLOOKUP($A57,'01-02.2021'!$A$6:$CZ$403,87,FALSE)+VLOOKUP($A57,'1.3.21-28.2.22'!$A$6:$DA$404,87,FALSE)-VLOOKUP($A57,'01-02.2022'!$A$6:$DA$376,87,FALSE)</f>
        <v>6476.559160143107</v>
      </c>
      <c r="CJ57" s="566">
        <f>VLOOKUP($A57,'01-02.2021'!$A$6:$CZ$403,88,FALSE)+VLOOKUP($A57,'1.3.21-28.2.22'!$A$6:$DA$404,88,FALSE)-VLOOKUP($A57,'01-02.2022'!$A$6:$DA$376,88,FALSE)</f>
        <v>6061.8905846617026</v>
      </c>
      <c r="CK57" s="70">
        <f t="shared" si="59"/>
        <v>-414.66857548140433</v>
      </c>
      <c r="CL57" s="566">
        <f>VLOOKUP($A57,'01-02.2021'!$A$6:$CZ$403,90,FALSE)+VLOOKUP($A57,'1.3.21-28.2.22'!$A$6:$DA$404,90,FALSE)-VLOOKUP($A57,'01-02.2022'!$A$6:$DA$376,90,FALSE)</f>
        <v>0</v>
      </c>
      <c r="CM57" s="566">
        <f>VLOOKUP($A57,'01-02.2021'!$A$6:$CZ$403,91,FALSE)+VLOOKUP($A57,'1.3.21-28.2.22'!$A$6:$DA$404,91,FALSE)-VLOOKUP($A57,'01-02.2022'!$A$6:$DA$376,91,FALSE)</f>
        <v>0</v>
      </c>
      <c r="CN57" s="52">
        <f t="shared" si="60"/>
        <v>0</v>
      </c>
      <c r="CO57" s="39">
        <f t="shared" si="27"/>
        <v>6476.559160143107</v>
      </c>
      <c r="CP57" s="40">
        <f t="shared" si="61"/>
        <v>6061.8905846617026</v>
      </c>
      <c r="CQ57" s="52">
        <f t="shared" si="62"/>
        <v>-414.66857548140433</v>
      </c>
      <c r="CR57" s="72">
        <f t="shared" si="28"/>
        <v>143472.63668645808</v>
      </c>
      <c r="CS57" s="5">
        <f t="shared" si="28"/>
        <v>144244.56121363933</v>
      </c>
      <c r="CT57" s="52">
        <f t="shared" si="63"/>
        <v>771.92452718125423</v>
      </c>
      <c r="CU57" s="77">
        <f t="shared" si="64"/>
        <v>172167.16402374968</v>
      </c>
      <c r="CV57" s="65">
        <f t="shared" si="65"/>
        <v>173093.47345636718</v>
      </c>
      <c r="CW57" s="35">
        <f t="shared" si="66"/>
        <v>926.30943261750508</v>
      </c>
      <c r="CX57" s="566">
        <f>VLOOKUP($A57,'01-02.2021'!$A$6:$CZ$403,102,FALSE)+VLOOKUP($A57,'1.3.21-28.2.22'!$A$6:$DA$404,102,FALSE)-VLOOKUP($A57,'01-02.2022'!$A$6:$DA$376,102,FALSE)</f>
        <v>8771.235003758713</v>
      </c>
      <c r="CY57" s="566">
        <f>VLOOKUP($A57,'01-02.2021'!$A$6:$CZ$403,103,FALSE)+VLOOKUP($A57,'1.3.21-28.2.22'!$A$6:$DA$404,103,FALSE)-VLOOKUP($A57,'01-02.2022'!$A$6:$DA$376,103,FALSE)</f>
        <v>7844.9255711412661</v>
      </c>
      <c r="CZ57" s="52">
        <f t="shared" si="67"/>
        <v>-926.30943261744687</v>
      </c>
      <c r="DA57" s="150">
        <f>'[2]побудинковий звіт'!DA57</f>
        <v>-33001.226020045673</v>
      </c>
      <c r="DB57" s="2">
        <v>1</v>
      </c>
      <c r="DC57" s="414">
        <f>'[4]побудинковий звіт'!DC57</f>
        <v>30579.94</v>
      </c>
      <c r="DD57" s="414">
        <f>'[4]побудинковий звіт'!DD57</f>
        <v>0</v>
      </c>
      <c r="DE57" s="557">
        <f>'[4]побудинковий звіт'!DE57</f>
        <v>14219.022222974876</v>
      </c>
      <c r="DF57" s="557">
        <f>'[4]побудинковий звіт'!DF57</f>
        <v>0</v>
      </c>
      <c r="DG57" s="321">
        <f>VLOOKUP(A57,'кошти 01.03.2021'!$A$6:$D$401,4,)</f>
        <v>-35498.86900763755</v>
      </c>
      <c r="DH57" s="40">
        <f>'[3]побудинковий звіт'!DJ57</f>
        <v>186999.10679174983</v>
      </c>
      <c r="DI57" s="422">
        <f>'[3]побудинковий звіт'!CU57+'[3]побудинковий звіт'!CX57</f>
        <v>16360.917777025121</v>
      </c>
      <c r="DJ57" s="306">
        <f>'[3]побудинковий звіт'!DM57</f>
        <v>5.9643898425231026</v>
      </c>
      <c r="DK57" s="306">
        <f t="shared" si="82"/>
        <v>5.9643898425231026</v>
      </c>
      <c r="DL57" s="306">
        <f>'[3]побудинковий звіт'!DO57</f>
        <v>5.2881823614970447</v>
      </c>
      <c r="DM57" s="28">
        <f t="shared" si="83"/>
        <v>16360.917777025123</v>
      </c>
      <c r="DN57" s="28">
        <f t="shared" si="84"/>
        <v>0</v>
      </c>
      <c r="DO57" s="423">
        <f t="shared" si="29"/>
        <v>16360.917777025123</v>
      </c>
      <c r="DP57" s="94">
        <f t="shared" si="30"/>
        <v>0</v>
      </c>
      <c r="DQ57" s="28">
        <f t="shared" si="31"/>
        <v>16360.917777025123</v>
      </c>
      <c r="DR57" s="318"/>
      <c r="DT57" s="8"/>
      <c r="DU57" s="5"/>
      <c r="DX57" s="5">
        <f t="shared" si="32"/>
        <v>72421.631752596426</v>
      </c>
      <c r="DY57" s="5">
        <f t="shared" si="33"/>
        <v>78133.02</v>
      </c>
      <c r="DZ57" s="159">
        <f>'[3]побудинковий звіт'!EA57</f>
        <v>6605.7197321114627</v>
      </c>
    </row>
    <row r="58" spans="1:130" x14ac:dyDescent="0.3">
      <c r="A58" s="325">
        <v>150000509</v>
      </c>
      <c r="B58" s="41" t="s">
        <v>507</v>
      </c>
      <c r="C58" s="42" t="s">
        <v>53</v>
      </c>
      <c r="D58" s="42"/>
      <c r="E58" s="293">
        <f t="shared" si="23"/>
        <v>249.8</v>
      </c>
      <c r="F58" s="305">
        <f>'[3]побудинковий звіт'!F58</f>
        <v>249.8</v>
      </c>
      <c r="G58" s="508">
        <f>'[3]побудинковий звіт'!G58</f>
        <v>0</v>
      </c>
      <c r="H58" s="560">
        <f>'[3]побудинковий звіт'!H58</f>
        <v>0</v>
      </c>
      <c r="I58" s="566">
        <f>VLOOKUP($A58,'01-02.2021'!$A$6:$CZ$403,9,FALSE)+VLOOKUP($A58,'1.3.21-28.2.22'!$A$6:$DA$404,9,FALSE)-VLOOKUP($A58,'01-02.2022'!$A$6:$DA$376,9,FALSE)</f>
        <v>0</v>
      </c>
      <c r="J58" s="566">
        <f>VLOOKUP($A58,'01-02.2021'!$A$6:$CZ$403,10,FALSE)+VLOOKUP($A58,'1.3.21-28.2.22'!$A$6:$DA$404,10,FALSE)-VLOOKUP($A58,'01-02.2022'!$A$6:$DA$376,10,FALSE)</f>
        <v>0</v>
      </c>
      <c r="K58" s="52">
        <f t="shared" si="34"/>
        <v>0</v>
      </c>
      <c r="L58" s="566">
        <f>VLOOKUP($A58,'01-02.2021'!$A$6:$CZ$403,12,FALSE)+VLOOKUP($A58,'1.3.21-28.2.22'!$A$6:$DA$404,12,FALSE)-VLOOKUP($A58,'01-02.2022'!$A$6:$DA$376,12,FALSE)</f>
        <v>0</v>
      </c>
      <c r="M58" s="566">
        <f>VLOOKUP($A58,'01-02.2021'!$A$6:$CZ$403,13,FALSE)+VLOOKUP($A58,'1.3.21-28.2.22'!$A$6:$DA$404,13,FALSE)-VLOOKUP($A58,'01-02.2022'!$A$6:$DA$376,13,FALSE)</f>
        <v>0</v>
      </c>
      <c r="N58" s="52">
        <f t="shared" si="35"/>
        <v>0</v>
      </c>
      <c r="O58" s="566">
        <f>VLOOKUP($A58,'01-02.2021'!$A$6:$CZ$403,15,FALSE)+VLOOKUP($A58,'1.3.21-28.2.22'!$A$6:$DA$404,15,FALSE)-VLOOKUP($A58,'01-02.2022'!$A$6:$DA$376,15,FALSE)</f>
        <v>0</v>
      </c>
      <c r="P58" s="566">
        <f>VLOOKUP($A58,'01-02.2021'!$A$6:$CZ$403,16,FALSE)+VLOOKUP($A58,'1.3.21-28.2.22'!$A$6:$DA$404,16,FALSE)-VLOOKUP($A58,'01-02.2022'!$A$6:$DA$376,16,FALSE)</f>
        <v>0</v>
      </c>
      <c r="Q58" s="70">
        <f t="shared" si="36"/>
        <v>0</v>
      </c>
      <c r="R58" s="566">
        <f>VLOOKUP($A58,'01-02.2021'!$A$6:$CZ$403,18,FALSE)+VLOOKUP($A58,'1.3.21-28.2.22'!$A$6:$DA$404,18,FALSE)-VLOOKUP($A58,'01-02.2022'!$A$6:$DA$376,18,FALSE)</f>
        <v>0</v>
      </c>
      <c r="S58" s="566">
        <f>VLOOKUP($A58,'01-02.2021'!$A$6:$CZ$403,19,FALSE)+VLOOKUP($A58,'1.3.21-28.2.22'!$A$6:$DA$404,19,FALSE)-VLOOKUP($A58,'01-02.2022'!$A$6:$DA$376,19,FALSE)</f>
        <v>0</v>
      </c>
      <c r="T58" s="70">
        <f t="shared" si="37"/>
        <v>0</v>
      </c>
      <c r="U58" s="566">
        <f>VLOOKUP($A58,'01-02.2021'!$A$6:$CZ$403,21,FALSE)+VLOOKUP($A58,'1.3.21-28.2.22'!$A$6:$DA$404,21,FALSE)-VLOOKUP($A58,'01-02.2022'!$A$6:$DA$376,21,FALSE)</f>
        <v>0</v>
      </c>
      <c r="V58" s="566">
        <f>VLOOKUP($A58,'01-02.2021'!$A$6:$CZ$403,22,FALSE)+VLOOKUP($A58,'1.3.21-28.2.22'!$A$6:$DA$404,22,FALSE)-VLOOKUP($A58,'01-02.2022'!$A$6:$DA$376,22,FALSE)</f>
        <v>0</v>
      </c>
      <c r="W58" s="70">
        <f t="shared" si="38"/>
        <v>0</v>
      </c>
      <c r="X58" s="566">
        <f>VLOOKUP($A58,'01-02.2021'!$A$6:$CZ$403,24,FALSE)+VLOOKUP($A58,'1.3.21-28.2.22'!$A$6:$DA$404,24,FALSE)-VLOOKUP($A58,'01-02.2022'!$A$6:$DA$376,24,FALSE)</f>
        <v>0</v>
      </c>
      <c r="Y58" s="566">
        <f>VLOOKUP($A58,'01-02.2021'!$A$6:$CZ$403,25,FALSE)+VLOOKUP($A58,'1.3.21-28.2.22'!$A$6:$DA$404,25,FALSE)-VLOOKUP($A58,'01-02.2022'!$A$6:$DA$376,25,FALSE)</f>
        <v>0</v>
      </c>
      <c r="Z58" s="70">
        <f t="shared" si="39"/>
        <v>0</v>
      </c>
      <c r="AA58" s="566">
        <f>VLOOKUP($A58,'01-02.2021'!$A$6:$CZ$403,27,FALSE)+VLOOKUP($A58,'1.3.21-28.2.22'!$A$6:$DA$404,27,FALSE)-VLOOKUP($A58,'01-02.2022'!$A$6:$DA$376,27,FALSE)</f>
        <v>49.960000000000008</v>
      </c>
      <c r="AB58" s="566">
        <f>VLOOKUP($A58,'01-02.2021'!$A$6:$CZ$403,28,FALSE)+VLOOKUP($A58,'1.3.21-28.2.22'!$A$6:$DA$404,28,FALSE)-VLOOKUP($A58,'01-02.2022'!$A$6:$DA$376,28,FALSE)</f>
        <v>0</v>
      </c>
      <c r="AC58" s="70">
        <f t="shared" si="40"/>
        <v>-49.960000000000008</v>
      </c>
      <c r="AD58" s="566">
        <f>VLOOKUP($A58,'01-02.2021'!$A$6:$CZ$403,30,FALSE)+VLOOKUP($A58,'1.3.21-28.2.22'!$A$6:$DA$404,30,FALSE)-VLOOKUP($A58,'01-02.2022'!$A$6:$DA$376,30,FALSE)</f>
        <v>399.95098618281122</v>
      </c>
      <c r="AE58" s="566">
        <f>VLOOKUP($A58,'01-02.2021'!$A$6:$CZ$403,31,FALSE)+VLOOKUP($A58,'1.3.21-28.2.22'!$A$6:$DA$404,31,FALSE)-VLOOKUP($A58,'01-02.2022'!$A$6:$DA$376,31,FALSE)</f>
        <v>1137.0996650041388</v>
      </c>
      <c r="AF58" s="68">
        <f t="shared" si="41"/>
        <v>737.14867882132762</v>
      </c>
      <c r="AG58" s="77">
        <f t="shared" si="24"/>
        <v>449.91098618281126</v>
      </c>
      <c r="AH58" s="53">
        <f t="shared" si="24"/>
        <v>1137.0996650041388</v>
      </c>
      <c r="AI58" s="52">
        <f t="shared" si="42"/>
        <v>687.18867882132758</v>
      </c>
      <c r="AJ58" s="566">
        <f>VLOOKUP($A58,'01-02.2021'!$A$6:$CZ$403,36,FALSE)+VLOOKUP($A58,'1.3.21-28.2.22'!$A$6:$DA$404,36,FALSE)-VLOOKUP($A58,'01-02.2022'!$A$6:$DA$376,36,FALSE)</f>
        <v>0</v>
      </c>
      <c r="AK58" s="566">
        <f>VLOOKUP($A58,'01-02.2021'!$A$6:$CZ$403,37,FALSE)+VLOOKUP($A58,'1.3.21-28.2.22'!$A$6:$DA$404,37,FALSE)-VLOOKUP($A58,'01-02.2022'!$A$6:$DA$376,37,FALSE)</f>
        <v>0</v>
      </c>
      <c r="AL58" s="70">
        <f t="shared" si="43"/>
        <v>0</v>
      </c>
      <c r="AM58" s="566">
        <f>VLOOKUP($A58,'01-02.2021'!$A$6:$CZ$403,39,FALSE)+VLOOKUP($A58,'1.3.21-28.2.22'!$A$6:$DA$404,39,FALSE)-VLOOKUP($A58,'01-02.2022'!$A$6:$DA$376,39,FALSE)</f>
        <v>0</v>
      </c>
      <c r="AN58" s="566">
        <f>VLOOKUP($A58,'01-02.2021'!$A$6:$CZ$403,40,FALSE)+VLOOKUP($A58,'1.3.21-28.2.22'!$A$6:$DA$404,40,FALSE)-VLOOKUP($A58,'01-02.2022'!$A$6:$DA$376,40,FALSE)</f>
        <v>0</v>
      </c>
      <c r="AO58" s="70">
        <f t="shared" si="44"/>
        <v>0</v>
      </c>
      <c r="AP58" s="566">
        <f>VLOOKUP($A58,'01-02.2021'!$A$6:$CZ$403,42,FALSE)+VLOOKUP($A58,'1.3.21-28.2.22'!$A$6:$DA$404,42,FALSE)-VLOOKUP($A58,'01-02.2022'!$A$6:$DA$376,42,FALSE)</f>
        <v>520.55992501277728</v>
      </c>
      <c r="AQ58" s="566">
        <f>VLOOKUP($A58,'01-02.2021'!$A$6:$CZ$403,43,FALSE)+VLOOKUP($A58,'1.3.21-28.2.22'!$A$6:$DA$404,43,FALSE)-VLOOKUP($A58,'01-02.2022'!$A$6:$DA$376,43,FALSE)</f>
        <v>448.76449922990878</v>
      </c>
      <c r="AR58" s="70">
        <f t="shared" si="45"/>
        <v>-71.795425782868506</v>
      </c>
      <c r="AS58" s="566">
        <f>VLOOKUP($A58,'01-02.2021'!$A$6:$CZ$403,45,FALSE)+VLOOKUP($A58,'1.3.21-28.2.22'!$A$6:$DA$404,45,FALSE)-VLOOKUP($A58,'01-02.2022'!$A$6:$DA$376,45,FALSE)</f>
        <v>2483.4766693873071</v>
      </c>
      <c r="AT58" s="566">
        <f>VLOOKUP($A58,'01-02.2021'!$A$6:$CZ$403,46,FALSE)+VLOOKUP($A58,'1.3.21-28.2.22'!$A$6:$DA$404,46,FALSE)-VLOOKUP($A58,'01-02.2022'!$A$6:$DA$376,46,FALSE)</f>
        <v>0</v>
      </c>
      <c r="AU58" s="78">
        <f t="shared" si="46"/>
        <v>-2483.4766693873071</v>
      </c>
      <c r="AV58" s="566">
        <f>VLOOKUP($A58,'01-02.2021'!$A$6:$CZ$403,48,FALSE)+VLOOKUP($A58,'1.3.21-28.2.22'!$A$6:$DA$404,48,FALSE)-VLOOKUP($A58,'01-02.2022'!$A$6:$DA$376,48,FALSE)</f>
        <v>0</v>
      </c>
      <c r="AW58" s="566">
        <f>VLOOKUP($A58,'01-02.2021'!$A$6:$CZ$403,49,FALSE)+VLOOKUP($A58,'1.3.21-28.2.22'!$A$6:$DA$404,49,FALSE)-VLOOKUP($A58,'01-02.2022'!$A$6:$DA$376,49,FALSE)</f>
        <v>0</v>
      </c>
      <c r="AX58" s="55">
        <f t="shared" si="47"/>
        <v>0</v>
      </c>
      <c r="AY58" s="566">
        <f>VLOOKUP($A58,'01-02.2021'!$A$6:$CZ$403,51,FALSE)+VLOOKUP($A58,'1.3.21-28.2.22'!$A$6:$DA$404,51,FALSE)-VLOOKUP($A58,'01-02.2022'!$A$6:$DA$376,51,FALSE)</f>
        <v>0</v>
      </c>
      <c r="AZ58" s="566">
        <f>VLOOKUP($A58,'01-02.2021'!$A$6:$CZ$403,52,FALSE)+VLOOKUP($A58,'1.3.21-28.2.22'!$A$6:$DA$404,52,FALSE)-VLOOKUP($A58,'01-02.2022'!$A$6:$DA$376,52,FALSE)</f>
        <v>0</v>
      </c>
      <c r="BA58" s="38">
        <f t="shared" si="48"/>
        <v>0</v>
      </c>
      <c r="BB58" s="566">
        <f>VLOOKUP($A58,'01-02.2021'!$A$6:$CZ$403,54,FALSE)+VLOOKUP($A58,'1.3.21-28.2.22'!$A$6:$DA$404,54,FALSE)-VLOOKUP($A58,'01-02.2022'!$A$6:$DA$376,54,FALSE)</f>
        <v>0</v>
      </c>
      <c r="BC58" s="566">
        <f>VLOOKUP($A58,'01-02.2021'!$A$6:$CZ$403,55,FALSE)+VLOOKUP($A58,'1.3.21-28.2.22'!$A$6:$DA$404,55,FALSE)-VLOOKUP($A58,'01-02.2022'!$A$6:$DA$376,55,FALSE)</f>
        <v>0</v>
      </c>
      <c r="BD58" s="55">
        <f t="shared" si="49"/>
        <v>0</v>
      </c>
      <c r="BE58" s="566">
        <f>VLOOKUP($A58,'01-02.2021'!$A$6:$CZ$403,57,FALSE)+VLOOKUP($A58,'1.3.21-28.2.22'!$A$6:$DA$404,57,FALSE)-VLOOKUP($A58,'01-02.2022'!$A$6:$DA$376,57,FALSE)</f>
        <v>0</v>
      </c>
      <c r="BF58" s="566">
        <f>VLOOKUP($A58,'01-02.2021'!$A$6:$CZ$403,58,FALSE)+VLOOKUP($A58,'1.3.21-28.2.22'!$A$6:$DA$404,58,FALSE)-VLOOKUP($A58,'01-02.2022'!$A$6:$DA$376,58,FALSE)</f>
        <v>0</v>
      </c>
      <c r="BG58" s="55">
        <f t="shared" si="50"/>
        <v>0</v>
      </c>
      <c r="BH58" s="566">
        <f>VLOOKUP($A58,'01-02.2021'!$A$6:$CZ$403,60,FALSE)+VLOOKUP($A58,'1.3.21-28.2.22'!$A$6:$DA$404,60,FALSE)-VLOOKUP($A58,'01-02.2022'!$A$6:$DA$376,60,FALSE)</f>
        <v>0</v>
      </c>
      <c r="BI58" s="566">
        <f>VLOOKUP($A58,'01-02.2021'!$A$6:$CZ$403,61,FALSE)+VLOOKUP($A58,'1.3.21-28.2.22'!$A$6:$DA$404,61,FALSE)-VLOOKUP($A58,'01-02.2022'!$A$6:$DA$376,61,FALSE)</f>
        <v>0</v>
      </c>
      <c r="BJ58" s="55">
        <f t="shared" si="51"/>
        <v>0</v>
      </c>
      <c r="BK58" s="566">
        <f>VLOOKUP($A58,'01-02.2021'!$A$6:$CZ$403,63,FALSE)+VLOOKUP($A58,'1.3.21-28.2.22'!$A$6:$DA$404,63,FALSE)-VLOOKUP($A58,'01-02.2022'!$A$6:$DA$376,63,FALSE)</f>
        <v>0</v>
      </c>
      <c r="BL58" s="566">
        <f>VLOOKUP($A58,'01-02.2021'!$A$6:$CZ$403,64,FALSE)+VLOOKUP($A58,'1.3.21-28.2.22'!$A$6:$DA$404,64,FALSE)-VLOOKUP($A58,'01-02.2022'!$A$6:$DA$376,64,FALSE)</f>
        <v>0</v>
      </c>
      <c r="BM58" s="55">
        <f t="shared" si="52"/>
        <v>0</v>
      </c>
      <c r="BN58" s="566">
        <f>VLOOKUP($A58,'01-02.2021'!$A$6:$CZ$403,66,FALSE)+VLOOKUP($A58,'1.3.21-28.2.22'!$A$6:$DA$404,66,FALSE)-VLOOKUP($A58,'01-02.2022'!$A$6:$DA$376,66,FALSE)</f>
        <v>12.490000000000002</v>
      </c>
      <c r="BO58" s="566">
        <f>VLOOKUP($A58,'01-02.2021'!$A$6:$CZ$403,67,FALSE)+VLOOKUP($A58,'1.3.21-28.2.22'!$A$6:$DA$404,67,FALSE)-VLOOKUP($A58,'01-02.2022'!$A$6:$DA$376,67,FALSE)</f>
        <v>0</v>
      </c>
      <c r="BP58" s="55">
        <f t="shared" si="53"/>
        <v>-12.490000000000002</v>
      </c>
      <c r="BQ58" s="77">
        <f t="shared" si="79"/>
        <v>12.490000000000002</v>
      </c>
      <c r="BR58" s="40">
        <f t="shared" si="80"/>
        <v>0</v>
      </c>
      <c r="BS58" s="55">
        <f t="shared" si="70"/>
        <v>-12.490000000000002</v>
      </c>
      <c r="BT58" s="566">
        <f>VLOOKUP($A58,'01-02.2021'!$A$6:$CZ$403,72,FALSE)+VLOOKUP($A58,'1.3.21-28.2.22'!$A$6:$DA$404,72,FALSE)-VLOOKUP($A58,'01-02.2022'!$A$6:$DA$376,72,FALSE)</f>
        <v>0</v>
      </c>
      <c r="BU58" s="566">
        <f>VLOOKUP($A58,'01-02.2021'!$A$6:$CZ$403,73,FALSE)+VLOOKUP($A58,'1.3.21-28.2.22'!$A$6:$DA$404,73,FALSE)-VLOOKUP($A58,'01-02.2022'!$A$6:$DA$376,73,FALSE)</f>
        <v>0</v>
      </c>
      <c r="BV58" s="70">
        <f t="shared" si="54"/>
        <v>0</v>
      </c>
      <c r="BW58" s="566">
        <f>VLOOKUP($A58,'01-02.2021'!$A$6:$CZ$403,75,FALSE)+VLOOKUP($A58,'1.3.21-28.2.22'!$A$6:$DA$404,75,FALSE)-VLOOKUP($A58,'01-02.2022'!$A$6:$DA$376,75,FALSE)</f>
        <v>0</v>
      </c>
      <c r="BX58" s="566">
        <f>VLOOKUP($A58,'01-02.2021'!$A$6:$CZ$403,76,FALSE)+VLOOKUP($A58,'1.3.21-28.2.22'!$A$6:$DA$404,76,FALSE)-VLOOKUP($A58,'01-02.2022'!$A$6:$DA$376,76,FALSE)</f>
        <v>5.5984153303843396</v>
      </c>
      <c r="BY58" s="70">
        <f t="shared" si="55"/>
        <v>5.5984153303843396</v>
      </c>
      <c r="BZ58" s="566">
        <f>VLOOKUP($A58,'01-02.2021'!$A$6:$CZ$403,78,FALSE)+VLOOKUP($A58,'1.3.21-28.2.22'!$A$6:$DA$404,78,FALSE)-VLOOKUP($A58,'01-02.2022'!$A$6:$DA$376,78,FALSE)</f>
        <v>0</v>
      </c>
      <c r="CA58" s="566">
        <f>VLOOKUP($A58,'01-02.2021'!$A$6:$CZ$403,79,FALSE)+VLOOKUP($A58,'1.3.21-28.2.22'!$A$6:$DA$404,79,FALSE)-VLOOKUP($A58,'01-02.2022'!$A$6:$DA$376,79,FALSE)</f>
        <v>0</v>
      </c>
      <c r="CB58" s="70">
        <f t="shared" si="56"/>
        <v>0</v>
      </c>
      <c r="CC58" s="566">
        <f>VLOOKUP($A58,'01-02.2021'!$A$6:$CZ$403,81,FALSE)+VLOOKUP($A58,'1.3.21-28.2.22'!$A$6:$DA$404,81,FALSE)-VLOOKUP($A58,'01-02.2022'!$A$6:$DA$376,81,FALSE)</f>
        <v>0</v>
      </c>
      <c r="CD58" s="566">
        <f>VLOOKUP($A58,'01-02.2021'!$A$6:$CZ$403,82,FALSE)+VLOOKUP($A58,'1.3.21-28.2.22'!$A$6:$DA$404,82,FALSE)-VLOOKUP($A58,'01-02.2022'!$A$6:$DA$376,82,FALSE)</f>
        <v>0</v>
      </c>
      <c r="CE58" s="70">
        <f t="shared" si="57"/>
        <v>0</v>
      </c>
      <c r="CF58" s="566">
        <f>VLOOKUP($A58,'01-02.2021'!$A$6:$CZ$403,84,FALSE)+VLOOKUP($A58,'1.3.21-28.2.22'!$A$6:$DA$404,84,FALSE)-VLOOKUP($A58,'01-02.2022'!$A$6:$DA$376,84,FALSE)</f>
        <v>0</v>
      </c>
      <c r="CG58" s="566">
        <f>VLOOKUP($A58,'01-02.2021'!$A$6:$CZ$403,85,FALSE)+VLOOKUP($A58,'1.3.21-28.2.22'!$A$6:$DA$404,85,FALSE)-VLOOKUP($A58,'01-02.2022'!$A$6:$DA$376,85,FALSE)</f>
        <v>0</v>
      </c>
      <c r="CH58" s="70">
        <f t="shared" si="58"/>
        <v>0</v>
      </c>
      <c r="CI58" s="566">
        <f>VLOOKUP($A58,'01-02.2021'!$A$6:$CZ$403,87,FALSE)+VLOOKUP($A58,'1.3.21-28.2.22'!$A$6:$DA$404,87,FALSE)-VLOOKUP($A58,'01-02.2022'!$A$6:$DA$376,87,FALSE)</f>
        <v>0</v>
      </c>
      <c r="CJ58" s="566">
        <f>VLOOKUP($A58,'01-02.2021'!$A$6:$CZ$403,88,FALSE)+VLOOKUP($A58,'1.3.21-28.2.22'!$A$6:$DA$404,88,FALSE)-VLOOKUP($A58,'01-02.2022'!$A$6:$DA$376,88,FALSE)</f>
        <v>0</v>
      </c>
      <c r="CK58" s="70">
        <f t="shared" si="59"/>
        <v>0</v>
      </c>
      <c r="CL58" s="566">
        <f>VLOOKUP($A58,'01-02.2021'!$A$6:$CZ$403,90,FALSE)+VLOOKUP($A58,'1.3.21-28.2.22'!$A$6:$DA$404,90,FALSE)-VLOOKUP($A58,'01-02.2022'!$A$6:$DA$376,90,FALSE)</f>
        <v>0</v>
      </c>
      <c r="CM58" s="566">
        <f>VLOOKUP($A58,'01-02.2021'!$A$6:$CZ$403,91,FALSE)+VLOOKUP($A58,'1.3.21-28.2.22'!$A$6:$DA$404,91,FALSE)-VLOOKUP($A58,'01-02.2022'!$A$6:$DA$376,91,FALSE)</f>
        <v>0</v>
      </c>
      <c r="CN58" s="52">
        <f t="shared" si="60"/>
        <v>0</v>
      </c>
      <c r="CO58" s="39">
        <f t="shared" si="27"/>
        <v>0</v>
      </c>
      <c r="CP58" s="40">
        <f t="shared" si="61"/>
        <v>0</v>
      </c>
      <c r="CQ58" s="52">
        <f t="shared" si="62"/>
        <v>0</v>
      </c>
      <c r="CR58" s="72">
        <f t="shared" si="28"/>
        <v>3466.4375805828954</v>
      </c>
      <c r="CS58" s="5">
        <f t="shared" si="28"/>
        <v>1591.462579564432</v>
      </c>
      <c r="CT58" s="52">
        <f t="shared" si="63"/>
        <v>-1874.9750010184634</v>
      </c>
      <c r="CU58" s="77">
        <f t="shared" si="64"/>
        <v>4159.7250966994743</v>
      </c>
      <c r="CV58" s="65">
        <f t="shared" si="65"/>
        <v>1909.7550954773183</v>
      </c>
      <c r="CW58" s="35">
        <f t="shared" si="66"/>
        <v>-2249.970001222156</v>
      </c>
      <c r="CX58" s="566">
        <f>VLOOKUP($A58,'01-02.2021'!$A$6:$CZ$403,102,FALSE)+VLOOKUP($A58,'1.3.21-28.2.22'!$A$6:$DA$404,102,FALSE)-VLOOKUP($A58,'01-02.2022'!$A$6:$DA$376,102,FALSE)</f>
        <v>145.00930115406254</v>
      </c>
      <c r="CY58" s="566">
        <f>VLOOKUP($A58,'01-02.2021'!$A$6:$CZ$403,103,FALSE)+VLOOKUP($A58,'1.3.21-28.2.22'!$A$6:$DA$404,103,FALSE)-VLOOKUP($A58,'01-02.2022'!$A$6:$DA$376,103,FALSE)</f>
        <v>2394.9793023762186</v>
      </c>
      <c r="CZ58" s="52">
        <f t="shared" si="67"/>
        <v>2249.970001222156</v>
      </c>
      <c r="DA58" s="150">
        <f>'[2]побудинковий звіт'!DA58</f>
        <v>10165.586042521336</v>
      </c>
      <c r="DB58" s="2">
        <v>2</v>
      </c>
      <c r="DC58" s="414">
        <f>'[4]побудинковий звіт'!DC58</f>
        <v>1206.5</v>
      </c>
      <c r="DD58" s="414">
        <f>'[4]побудинковий звіт'!DD58</f>
        <v>0</v>
      </c>
      <c r="DE58" s="557">
        <f>'[4]побудинковий звіт'!DE58</f>
        <v>815.15003284973386</v>
      </c>
      <c r="DF58" s="557">
        <f>'[4]побудинковий звіт'!DF58</f>
        <v>0</v>
      </c>
      <c r="DG58" s="321">
        <f>VLOOKUP(A58,'кошти 01.03.2021'!$A$6:$D$401,4,)</f>
        <v>12675.151558165409</v>
      </c>
      <c r="DH58" s="40">
        <f>'[3]побудинковий звіт'!DJ58</f>
        <v>4459.0498616134901</v>
      </c>
      <c r="DI58" s="422">
        <f>'[3]побудинковий звіт'!CU58+'[3]побудинковий звіт'!CX58</f>
        <v>391.34996715026614</v>
      </c>
      <c r="DJ58" s="306">
        <f>'[3]побудинковий звіт'!DM58</f>
        <v>1.5666531911539874</v>
      </c>
      <c r="DK58" s="306">
        <f t="shared" si="82"/>
        <v>1.5666531911539874</v>
      </c>
      <c r="DL58" s="306">
        <f>'[3]побудинковий звіт'!DO58</f>
        <v>1.5666531911539874</v>
      </c>
      <c r="DM58" s="28">
        <f t="shared" si="83"/>
        <v>391.34996715026608</v>
      </c>
      <c r="DN58" s="28">
        <f t="shared" si="84"/>
        <v>0</v>
      </c>
      <c r="DO58" s="423">
        <f t="shared" si="29"/>
        <v>391.34996715026608</v>
      </c>
      <c r="DP58" s="94">
        <f t="shared" si="30"/>
        <v>0</v>
      </c>
      <c r="DQ58" s="28">
        <f t="shared" si="31"/>
        <v>391.34996715026608</v>
      </c>
      <c r="DR58" s="318"/>
      <c r="DT58" s="8"/>
      <c r="DU58" s="5"/>
      <c r="DX58" s="5">
        <f t="shared" si="32"/>
        <v>2995.160003264768</v>
      </c>
      <c r="DY58" s="5">
        <f t="shared" si="33"/>
        <v>0</v>
      </c>
      <c r="DZ58" s="159">
        <f>'[3]побудинковий звіт'!EA58</f>
        <v>324.98378742664067</v>
      </c>
    </row>
    <row r="59" spans="1:130" x14ac:dyDescent="0.3">
      <c r="A59" s="325">
        <v>150000510</v>
      </c>
      <c r="B59" s="41" t="s">
        <v>508</v>
      </c>
      <c r="C59" s="42" t="s">
        <v>249</v>
      </c>
      <c r="D59" s="42"/>
      <c r="E59" s="293">
        <f t="shared" si="23"/>
        <v>2889.06</v>
      </c>
      <c r="F59" s="305">
        <f>'[3]побудинковий звіт'!F59</f>
        <v>2796.95</v>
      </c>
      <c r="G59" s="508">
        <f>'[3]побудинковий звіт'!G59</f>
        <v>0</v>
      </c>
      <c r="H59" s="560">
        <f>'[3]побудинковий звіт'!H59</f>
        <v>92.11</v>
      </c>
      <c r="I59" s="566">
        <f>VLOOKUP($A59,'01-02.2021'!$A$6:$CZ$403,9,FALSE)+VLOOKUP($A59,'1.3.21-28.2.22'!$A$6:$DA$404,9,FALSE)-VLOOKUP($A59,'01-02.2022'!$A$6:$DA$376,9,FALSE)</f>
        <v>6165.7985475552541</v>
      </c>
      <c r="J59" s="566">
        <f>VLOOKUP($A59,'01-02.2021'!$A$6:$CZ$403,10,FALSE)+VLOOKUP($A59,'1.3.21-28.2.22'!$A$6:$DA$404,10,FALSE)-VLOOKUP($A59,'01-02.2022'!$A$6:$DA$376,10,FALSE)</f>
        <v>6866.9209714100016</v>
      </c>
      <c r="K59" s="52">
        <f t="shared" si="34"/>
        <v>701.12242385474747</v>
      </c>
      <c r="L59" s="566">
        <f>VLOOKUP($A59,'01-02.2021'!$A$6:$CZ$403,12,FALSE)+VLOOKUP($A59,'1.3.21-28.2.22'!$A$6:$DA$404,12,FALSE)-VLOOKUP($A59,'01-02.2022'!$A$6:$DA$376,12,FALSE)</f>
        <v>1202.4404133463142</v>
      </c>
      <c r="M59" s="566">
        <f>VLOOKUP($A59,'01-02.2021'!$A$6:$CZ$403,13,FALSE)+VLOOKUP($A59,'1.3.21-28.2.22'!$A$6:$DA$404,13,FALSE)-VLOOKUP($A59,'01-02.2022'!$A$6:$DA$376,13,FALSE)</f>
        <v>1330.7824275496503</v>
      </c>
      <c r="N59" s="52">
        <f t="shared" si="35"/>
        <v>128.34201420333602</v>
      </c>
      <c r="O59" s="566">
        <f>VLOOKUP($A59,'01-02.2021'!$A$6:$CZ$403,15,FALSE)+VLOOKUP($A59,'1.3.21-28.2.22'!$A$6:$DA$404,15,FALSE)-VLOOKUP($A59,'01-02.2022'!$A$6:$DA$376,15,FALSE)</f>
        <v>3941.852158187583</v>
      </c>
      <c r="P59" s="566">
        <f>VLOOKUP($A59,'01-02.2021'!$A$6:$CZ$403,16,FALSE)+VLOOKUP($A59,'1.3.21-28.2.22'!$A$6:$DA$404,16,FALSE)-VLOOKUP($A59,'01-02.2022'!$A$6:$DA$376,16,FALSE)</f>
        <v>3941.8499999999995</v>
      </c>
      <c r="Q59" s="70">
        <f t="shared" si="36"/>
        <v>-2.1581875835181563E-3</v>
      </c>
      <c r="R59" s="566">
        <f>VLOOKUP($A59,'01-02.2021'!$A$6:$CZ$403,18,FALSE)+VLOOKUP($A59,'1.3.21-28.2.22'!$A$6:$DA$404,18,FALSE)-VLOOKUP($A59,'01-02.2022'!$A$6:$DA$376,18,FALSE)</f>
        <v>0</v>
      </c>
      <c r="S59" s="566">
        <f>VLOOKUP($A59,'01-02.2021'!$A$6:$CZ$403,19,FALSE)+VLOOKUP($A59,'1.3.21-28.2.22'!$A$6:$DA$404,19,FALSE)-VLOOKUP($A59,'01-02.2022'!$A$6:$DA$376,19,FALSE)</f>
        <v>0</v>
      </c>
      <c r="T59" s="70">
        <f t="shared" si="37"/>
        <v>0</v>
      </c>
      <c r="U59" s="566">
        <f>VLOOKUP($A59,'01-02.2021'!$A$6:$CZ$403,21,FALSE)+VLOOKUP($A59,'1.3.21-28.2.22'!$A$6:$DA$404,21,FALSE)-VLOOKUP($A59,'01-02.2022'!$A$6:$DA$376,21,FALSE)</f>
        <v>0</v>
      </c>
      <c r="V59" s="566">
        <f>VLOOKUP($A59,'01-02.2021'!$A$6:$CZ$403,22,FALSE)+VLOOKUP($A59,'1.3.21-28.2.22'!$A$6:$DA$404,22,FALSE)-VLOOKUP($A59,'01-02.2022'!$A$6:$DA$376,22,FALSE)</f>
        <v>0</v>
      </c>
      <c r="W59" s="70">
        <f t="shared" si="38"/>
        <v>0</v>
      </c>
      <c r="X59" s="566">
        <f>VLOOKUP($A59,'01-02.2021'!$A$6:$CZ$403,24,FALSE)+VLOOKUP($A59,'1.3.21-28.2.22'!$A$6:$DA$404,24,FALSE)-VLOOKUP($A59,'01-02.2022'!$A$6:$DA$376,24,FALSE)</f>
        <v>4607.9786530146084</v>
      </c>
      <c r="Y59" s="566">
        <f>VLOOKUP($A59,'01-02.2021'!$A$6:$CZ$403,25,FALSE)+VLOOKUP($A59,'1.3.21-28.2.22'!$A$6:$DA$404,25,FALSE)-VLOOKUP($A59,'01-02.2022'!$A$6:$DA$376,25,FALSE)</f>
        <v>3671.6413044777078</v>
      </c>
      <c r="Z59" s="70">
        <f t="shared" si="39"/>
        <v>-936.33734853690066</v>
      </c>
      <c r="AA59" s="566">
        <f>VLOOKUP($A59,'01-02.2021'!$A$6:$CZ$403,27,FALSE)+VLOOKUP($A59,'1.3.21-28.2.22'!$A$6:$DA$404,27,FALSE)-VLOOKUP($A59,'01-02.2022'!$A$6:$DA$376,27,FALSE)</f>
        <v>578.02</v>
      </c>
      <c r="AB59" s="566">
        <f>VLOOKUP($A59,'01-02.2021'!$A$6:$CZ$403,28,FALSE)+VLOOKUP($A59,'1.3.21-28.2.22'!$A$6:$DA$404,28,FALSE)-VLOOKUP($A59,'01-02.2022'!$A$6:$DA$376,28,FALSE)</f>
        <v>0</v>
      </c>
      <c r="AC59" s="70">
        <f t="shared" si="40"/>
        <v>-578.02</v>
      </c>
      <c r="AD59" s="566">
        <f>VLOOKUP($A59,'01-02.2021'!$A$6:$CZ$403,30,FALSE)+VLOOKUP($A59,'1.3.21-28.2.22'!$A$6:$DA$404,30,FALSE)-VLOOKUP($A59,'01-02.2022'!$A$6:$DA$376,30,FALSE)</f>
        <v>12402.10528919398</v>
      </c>
      <c r="AE59" s="566">
        <f>VLOOKUP($A59,'01-02.2021'!$A$6:$CZ$403,31,FALSE)+VLOOKUP($A59,'1.3.21-28.2.22'!$A$6:$DA$404,31,FALSE)-VLOOKUP($A59,'01-02.2022'!$A$6:$DA$376,31,FALSE)</f>
        <v>13151.108513677378</v>
      </c>
      <c r="AF59" s="68">
        <f t="shared" si="41"/>
        <v>749.0032244833983</v>
      </c>
      <c r="AG59" s="77">
        <f t="shared" si="24"/>
        <v>28898.195061297738</v>
      </c>
      <c r="AH59" s="53">
        <f t="shared" si="24"/>
        <v>28962.303217114735</v>
      </c>
      <c r="AI59" s="52">
        <f t="shared" si="42"/>
        <v>64.108155816997169</v>
      </c>
      <c r="AJ59" s="566">
        <f>VLOOKUP($A59,'01-02.2021'!$A$6:$CZ$403,36,FALSE)+VLOOKUP($A59,'1.3.21-28.2.22'!$A$6:$DA$404,36,FALSE)-VLOOKUP($A59,'01-02.2022'!$A$6:$DA$376,36,FALSE)</f>
        <v>0</v>
      </c>
      <c r="AK59" s="566">
        <f>VLOOKUP($A59,'01-02.2021'!$A$6:$CZ$403,37,FALSE)+VLOOKUP($A59,'1.3.21-28.2.22'!$A$6:$DA$404,37,FALSE)-VLOOKUP($A59,'01-02.2022'!$A$6:$DA$376,37,FALSE)</f>
        <v>0</v>
      </c>
      <c r="AL59" s="70">
        <f t="shared" si="43"/>
        <v>0</v>
      </c>
      <c r="AM59" s="566">
        <f>VLOOKUP($A59,'01-02.2021'!$A$6:$CZ$403,39,FALSE)+VLOOKUP($A59,'1.3.21-28.2.22'!$A$6:$DA$404,39,FALSE)-VLOOKUP($A59,'01-02.2022'!$A$6:$DA$376,39,FALSE)</f>
        <v>0</v>
      </c>
      <c r="AN59" s="566">
        <f>VLOOKUP($A59,'01-02.2021'!$A$6:$CZ$403,40,FALSE)+VLOOKUP($A59,'1.3.21-28.2.22'!$A$6:$DA$404,40,FALSE)-VLOOKUP($A59,'01-02.2022'!$A$6:$DA$376,40,FALSE)</f>
        <v>0</v>
      </c>
      <c r="AO59" s="70">
        <f t="shared" si="44"/>
        <v>0</v>
      </c>
      <c r="AP59" s="566">
        <f>VLOOKUP($A59,'01-02.2021'!$A$6:$CZ$403,42,FALSE)+VLOOKUP($A59,'1.3.21-28.2.22'!$A$6:$DA$404,42,FALSE)-VLOOKUP($A59,'01-02.2022'!$A$6:$DA$376,42,FALSE)</f>
        <v>1258.0198187808787</v>
      </c>
      <c r="AQ59" s="566">
        <f>VLOOKUP($A59,'01-02.2021'!$A$6:$CZ$403,43,FALSE)+VLOOKUP($A59,'1.3.21-28.2.22'!$A$6:$DA$404,43,FALSE)-VLOOKUP($A59,'01-02.2022'!$A$6:$DA$376,43,FALSE)</f>
        <v>1073.9053493037813</v>
      </c>
      <c r="AR59" s="70">
        <f t="shared" si="45"/>
        <v>-184.11446947709737</v>
      </c>
      <c r="AS59" s="566">
        <f>VLOOKUP($A59,'01-02.2021'!$A$6:$CZ$403,45,FALSE)+VLOOKUP($A59,'1.3.21-28.2.22'!$A$6:$DA$404,45,FALSE)-VLOOKUP($A59,'01-02.2022'!$A$6:$DA$376,45,FALSE)</f>
        <v>19612.72490927155</v>
      </c>
      <c r="AT59" s="566">
        <f>VLOOKUP($A59,'01-02.2021'!$A$6:$CZ$403,46,FALSE)+VLOOKUP($A59,'1.3.21-28.2.22'!$A$6:$DA$404,46,FALSE)-VLOOKUP($A59,'01-02.2022'!$A$6:$DA$376,46,FALSE)</f>
        <v>639.8539174344653</v>
      </c>
      <c r="AU59" s="78">
        <f t="shared" si="46"/>
        <v>-18972.870991837084</v>
      </c>
      <c r="AV59" s="566">
        <f>VLOOKUP($A59,'01-02.2021'!$A$6:$CZ$403,48,FALSE)+VLOOKUP($A59,'1.3.21-28.2.22'!$A$6:$DA$404,48,FALSE)-VLOOKUP($A59,'01-02.2022'!$A$6:$DA$376,48,FALSE)</f>
        <v>1872.9962328525471</v>
      </c>
      <c r="AW59" s="566">
        <f>VLOOKUP($A59,'01-02.2021'!$A$6:$CZ$403,49,FALSE)+VLOOKUP($A59,'1.3.21-28.2.22'!$A$6:$DA$404,49,FALSE)-VLOOKUP($A59,'01-02.2022'!$A$6:$DA$376,49,FALSE)</f>
        <v>1633</v>
      </c>
      <c r="AX59" s="55">
        <f t="shared" si="47"/>
        <v>-239.99623285254711</v>
      </c>
      <c r="AY59" s="566">
        <f>VLOOKUP($A59,'01-02.2021'!$A$6:$CZ$403,51,FALSE)+VLOOKUP($A59,'1.3.21-28.2.22'!$A$6:$DA$404,51,FALSE)-VLOOKUP($A59,'01-02.2022'!$A$6:$DA$376,51,FALSE)</f>
        <v>2260.356237314013</v>
      </c>
      <c r="AZ59" s="566">
        <f>VLOOKUP($A59,'01-02.2021'!$A$6:$CZ$403,52,FALSE)+VLOOKUP($A59,'1.3.21-28.2.22'!$A$6:$DA$404,52,FALSE)-VLOOKUP($A59,'01-02.2022'!$A$6:$DA$376,52,FALSE)</f>
        <v>1171</v>
      </c>
      <c r="BA59" s="38">
        <f t="shared" si="48"/>
        <v>-1089.356237314013</v>
      </c>
      <c r="BB59" s="566">
        <f>VLOOKUP($A59,'01-02.2021'!$A$6:$CZ$403,54,FALSE)+VLOOKUP($A59,'1.3.21-28.2.22'!$A$6:$DA$404,54,FALSE)-VLOOKUP($A59,'01-02.2022'!$A$6:$DA$376,54,FALSE)</f>
        <v>1727.0345012445073</v>
      </c>
      <c r="BC59" s="566">
        <f>VLOOKUP($A59,'01-02.2021'!$A$6:$CZ$403,55,FALSE)+VLOOKUP($A59,'1.3.21-28.2.22'!$A$6:$DA$404,55,FALSE)-VLOOKUP($A59,'01-02.2022'!$A$6:$DA$376,55,FALSE)</f>
        <v>2194</v>
      </c>
      <c r="BD59" s="55">
        <f t="shared" si="49"/>
        <v>466.96549875549272</v>
      </c>
      <c r="BE59" s="566">
        <f>VLOOKUP($A59,'01-02.2021'!$A$6:$CZ$403,57,FALSE)+VLOOKUP($A59,'1.3.21-28.2.22'!$A$6:$DA$404,57,FALSE)-VLOOKUP($A59,'01-02.2022'!$A$6:$DA$376,57,FALSE)</f>
        <v>0</v>
      </c>
      <c r="BF59" s="566">
        <f>VLOOKUP($A59,'01-02.2021'!$A$6:$CZ$403,58,FALSE)+VLOOKUP($A59,'1.3.21-28.2.22'!$A$6:$DA$404,58,FALSE)-VLOOKUP($A59,'01-02.2022'!$A$6:$DA$376,58,FALSE)</f>
        <v>0</v>
      </c>
      <c r="BG59" s="55">
        <f t="shared" si="50"/>
        <v>0</v>
      </c>
      <c r="BH59" s="566">
        <f>VLOOKUP($A59,'01-02.2021'!$A$6:$CZ$403,60,FALSE)+VLOOKUP($A59,'1.3.21-28.2.22'!$A$6:$DA$404,60,FALSE)-VLOOKUP($A59,'01-02.2022'!$A$6:$DA$376,60,FALSE)</f>
        <v>0</v>
      </c>
      <c r="BI59" s="566">
        <f>VLOOKUP($A59,'01-02.2021'!$A$6:$CZ$403,61,FALSE)+VLOOKUP($A59,'1.3.21-28.2.22'!$A$6:$DA$404,61,FALSE)-VLOOKUP($A59,'01-02.2022'!$A$6:$DA$376,61,FALSE)</f>
        <v>0</v>
      </c>
      <c r="BJ59" s="55">
        <f t="shared" si="51"/>
        <v>0</v>
      </c>
      <c r="BK59" s="566">
        <f>VLOOKUP($A59,'01-02.2021'!$A$6:$CZ$403,63,FALSE)+VLOOKUP($A59,'1.3.21-28.2.22'!$A$6:$DA$404,63,FALSE)-VLOOKUP($A59,'01-02.2022'!$A$6:$DA$376,63,FALSE)</f>
        <v>1375.2620649368744</v>
      </c>
      <c r="BL59" s="566">
        <f>VLOOKUP($A59,'01-02.2021'!$A$6:$CZ$403,64,FALSE)+VLOOKUP($A59,'1.3.21-28.2.22'!$A$6:$DA$404,64,FALSE)-VLOOKUP($A59,'01-02.2022'!$A$6:$DA$376,64,FALSE)</f>
        <v>87</v>
      </c>
      <c r="BM59" s="55">
        <f t="shared" si="52"/>
        <v>-1288.2620649368744</v>
      </c>
      <c r="BN59" s="566">
        <f>VLOOKUP($A59,'01-02.2021'!$A$6:$CZ$403,66,FALSE)+VLOOKUP($A59,'1.3.21-28.2.22'!$A$6:$DA$404,66,FALSE)-VLOOKUP($A59,'01-02.2022'!$A$6:$DA$376,66,FALSE)</f>
        <v>144.505</v>
      </c>
      <c r="BO59" s="566">
        <f>VLOOKUP($A59,'01-02.2021'!$A$6:$CZ$403,67,FALSE)+VLOOKUP($A59,'1.3.21-28.2.22'!$A$6:$DA$404,67,FALSE)-VLOOKUP($A59,'01-02.2022'!$A$6:$DA$376,67,FALSE)</f>
        <v>0</v>
      </c>
      <c r="BP59" s="55">
        <f t="shared" si="53"/>
        <v>-144.505</v>
      </c>
      <c r="BQ59" s="77">
        <f t="shared" si="79"/>
        <v>7380.1540363479426</v>
      </c>
      <c r="BR59" s="40">
        <f t="shared" si="80"/>
        <v>5085</v>
      </c>
      <c r="BS59" s="55">
        <f t="shared" si="70"/>
        <v>-2295.1540363479426</v>
      </c>
      <c r="BT59" s="566">
        <f>VLOOKUP($A59,'01-02.2021'!$A$6:$CZ$403,72,FALSE)+VLOOKUP($A59,'1.3.21-28.2.22'!$A$6:$DA$404,72,FALSE)-VLOOKUP($A59,'01-02.2022'!$A$6:$DA$376,72,FALSE)</f>
        <v>26100.199269889556</v>
      </c>
      <c r="BU59" s="566">
        <f>VLOOKUP($A59,'01-02.2021'!$A$6:$CZ$403,73,FALSE)+VLOOKUP($A59,'1.3.21-28.2.22'!$A$6:$DA$404,73,FALSE)-VLOOKUP($A59,'01-02.2022'!$A$6:$DA$376,73,FALSE)</f>
        <v>31801.687217903462</v>
      </c>
      <c r="BV59" s="70">
        <f t="shared" si="54"/>
        <v>5701.4879480139061</v>
      </c>
      <c r="BW59" s="566">
        <f>VLOOKUP($A59,'01-02.2021'!$A$6:$CZ$403,75,FALSE)+VLOOKUP($A59,'1.3.21-28.2.22'!$A$6:$DA$404,75,FALSE)-VLOOKUP($A59,'01-02.2022'!$A$6:$DA$376,75,FALSE)</f>
        <v>14091.00696371147</v>
      </c>
      <c r="BX59" s="566">
        <f>VLOOKUP($A59,'01-02.2021'!$A$6:$CZ$403,76,FALSE)+VLOOKUP($A59,'1.3.21-28.2.22'!$A$6:$DA$404,76,FALSE)-VLOOKUP($A59,'01-02.2022'!$A$6:$DA$376,76,FALSE)</f>
        <v>13057.649324085007</v>
      </c>
      <c r="BY59" s="70">
        <f t="shared" si="55"/>
        <v>-1033.3576396264634</v>
      </c>
      <c r="BZ59" s="566">
        <f>VLOOKUP($A59,'01-02.2021'!$A$6:$CZ$403,78,FALSE)+VLOOKUP($A59,'1.3.21-28.2.22'!$A$6:$DA$404,78,FALSE)-VLOOKUP($A59,'01-02.2022'!$A$6:$DA$376,78,FALSE)</f>
        <v>11494.139209124833</v>
      </c>
      <c r="CA59" s="566">
        <f>VLOOKUP($A59,'01-02.2021'!$A$6:$CZ$403,79,FALSE)+VLOOKUP($A59,'1.3.21-28.2.22'!$A$6:$DA$404,79,FALSE)-VLOOKUP($A59,'01-02.2022'!$A$6:$DA$376,79,FALSE)</f>
        <v>7872.4235271328225</v>
      </c>
      <c r="CB59" s="70">
        <f t="shared" si="56"/>
        <v>-3621.7156819920101</v>
      </c>
      <c r="CC59" s="566">
        <f>VLOOKUP($A59,'01-02.2021'!$A$6:$CZ$403,81,FALSE)+VLOOKUP($A59,'1.3.21-28.2.22'!$A$6:$DA$404,81,FALSE)-VLOOKUP($A59,'01-02.2022'!$A$6:$DA$376,81,FALSE)</f>
        <v>0</v>
      </c>
      <c r="CD59" s="566">
        <f>VLOOKUP($A59,'01-02.2021'!$A$6:$CZ$403,82,FALSE)+VLOOKUP($A59,'1.3.21-28.2.22'!$A$6:$DA$404,82,FALSE)-VLOOKUP($A59,'01-02.2022'!$A$6:$DA$376,82,FALSE)</f>
        <v>0</v>
      </c>
      <c r="CE59" s="70">
        <f t="shared" si="57"/>
        <v>0</v>
      </c>
      <c r="CF59" s="566">
        <f>VLOOKUP($A59,'01-02.2021'!$A$6:$CZ$403,84,FALSE)+VLOOKUP($A59,'1.3.21-28.2.22'!$A$6:$DA$404,84,FALSE)-VLOOKUP($A59,'01-02.2022'!$A$6:$DA$376,84,FALSE)</f>
        <v>0</v>
      </c>
      <c r="CG59" s="566">
        <f>VLOOKUP($A59,'01-02.2021'!$A$6:$CZ$403,85,FALSE)+VLOOKUP($A59,'1.3.21-28.2.22'!$A$6:$DA$404,85,FALSE)-VLOOKUP($A59,'01-02.2022'!$A$6:$DA$376,85,FALSE)</f>
        <v>0</v>
      </c>
      <c r="CH59" s="70">
        <f t="shared" si="58"/>
        <v>0</v>
      </c>
      <c r="CI59" s="566">
        <f>VLOOKUP($A59,'01-02.2021'!$A$6:$CZ$403,87,FALSE)+VLOOKUP($A59,'1.3.21-28.2.22'!$A$6:$DA$404,87,FALSE)-VLOOKUP($A59,'01-02.2022'!$A$6:$DA$376,87,FALSE)</f>
        <v>2805.8762347711222</v>
      </c>
      <c r="CJ59" s="566">
        <f>VLOOKUP($A59,'01-02.2021'!$A$6:$CZ$403,88,FALSE)+VLOOKUP($A59,'1.3.21-28.2.22'!$A$6:$DA$404,88,FALSE)-VLOOKUP($A59,'01-02.2022'!$A$6:$DA$376,88,FALSE)</f>
        <v>2491.6689614127722</v>
      </c>
      <c r="CK59" s="70">
        <f t="shared" si="59"/>
        <v>-314.20727335834999</v>
      </c>
      <c r="CL59" s="566">
        <f>VLOOKUP($A59,'01-02.2021'!$A$6:$CZ$403,90,FALSE)+VLOOKUP($A59,'1.3.21-28.2.22'!$A$6:$DA$404,90,FALSE)-VLOOKUP($A59,'01-02.2022'!$A$6:$DA$376,90,FALSE)</f>
        <v>0</v>
      </c>
      <c r="CM59" s="566">
        <f>VLOOKUP($A59,'01-02.2021'!$A$6:$CZ$403,91,FALSE)+VLOOKUP($A59,'1.3.21-28.2.22'!$A$6:$DA$404,91,FALSE)-VLOOKUP($A59,'01-02.2022'!$A$6:$DA$376,91,FALSE)</f>
        <v>0</v>
      </c>
      <c r="CN59" s="52">
        <f t="shared" si="60"/>
        <v>0</v>
      </c>
      <c r="CO59" s="39">
        <f t="shared" si="27"/>
        <v>2805.8762347711222</v>
      </c>
      <c r="CP59" s="40">
        <f t="shared" si="61"/>
        <v>2491.6689614127722</v>
      </c>
      <c r="CQ59" s="52">
        <f t="shared" si="62"/>
        <v>-314.20727335834999</v>
      </c>
      <c r="CR59" s="72">
        <f t="shared" si="28"/>
        <v>111640.31550319507</v>
      </c>
      <c r="CS59" s="5">
        <f t="shared" si="28"/>
        <v>90984.491514387046</v>
      </c>
      <c r="CT59" s="52">
        <f t="shared" si="63"/>
        <v>-20655.823988808028</v>
      </c>
      <c r="CU59" s="77">
        <f t="shared" si="64"/>
        <v>133968.37860383408</v>
      </c>
      <c r="CV59" s="65">
        <f t="shared" si="65"/>
        <v>109181.38981726445</v>
      </c>
      <c r="CW59" s="35">
        <f t="shared" si="66"/>
        <v>-24786.988786569622</v>
      </c>
      <c r="CX59" s="566">
        <f>VLOOKUP($A59,'01-02.2021'!$A$6:$CZ$403,102,FALSE)+VLOOKUP($A59,'1.3.21-28.2.22'!$A$6:$DA$404,102,FALSE)-VLOOKUP($A59,'01-02.2022'!$A$6:$DA$376,102,FALSE)</f>
        <v>6824.6648966570574</v>
      </c>
      <c r="CY59" s="566">
        <f>VLOOKUP($A59,'01-02.2021'!$A$6:$CZ$403,103,FALSE)+VLOOKUP($A59,'1.3.21-28.2.22'!$A$6:$DA$404,103,FALSE)-VLOOKUP($A59,'01-02.2022'!$A$6:$DA$376,103,FALSE)</f>
        <v>31611.653683226687</v>
      </c>
      <c r="CZ59" s="52">
        <f t="shared" si="67"/>
        <v>24786.988786569629</v>
      </c>
      <c r="DA59" s="150">
        <f>'[2]побудинковий звіт'!DA59</f>
        <v>53173.933382572635</v>
      </c>
      <c r="DB59" s="2">
        <v>2</v>
      </c>
      <c r="DC59" s="414">
        <f>'[4]побудинковий звіт'!DC59</f>
        <v>101561.42</v>
      </c>
      <c r="DD59" s="414">
        <f>'[4]побудинковий звіт'!DD59</f>
        <v>1052.8499999999999</v>
      </c>
      <c r="DE59" s="557">
        <f>'[4]побудинковий звіт'!DE59</f>
        <v>89152.82817982079</v>
      </c>
      <c r="DF59" s="557">
        <f>'[4]побудинковий звіт'!DF59</f>
        <v>701.8620964677857</v>
      </c>
      <c r="DG59" s="321">
        <f>VLOOKUP(A59,'кошти 01.03.2021'!$A$6:$D$401,4,)</f>
        <v>80759.849437720666</v>
      </c>
      <c r="DH59" s="40">
        <f>'[3]побудинковий звіт'!DJ59</f>
        <v>145647.13713285615</v>
      </c>
      <c r="DI59" s="422">
        <f>'[3]побудинковий звіт'!CU59+'[3]побудинковий звіт'!CX59</f>
        <v>12759.579723711422</v>
      </c>
      <c r="DJ59" s="306">
        <f>'[3]побудинковий звіт'!DM59</f>
        <v>4.436472521918235</v>
      </c>
      <c r="DK59" s="306">
        <f t="shared" si="82"/>
        <v>4.436472521918235</v>
      </c>
      <c r="DL59" s="306">
        <f>'[3]побудинковий звіт'!DO59</f>
        <v>3.8105298396722849</v>
      </c>
      <c r="DM59" s="28">
        <f t="shared" si="83"/>
        <v>12408.591820179206</v>
      </c>
      <c r="DN59" s="28">
        <f t="shared" si="84"/>
        <v>350.98790353221415</v>
      </c>
      <c r="DO59" s="423">
        <f t="shared" si="29"/>
        <v>12759.57972371142</v>
      </c>
      <c r="DP59" s="94">
        <f t="shared" si="30"/>
        <v>0</v>
      </c>
      <c r="DQ59" s="28">
        <f t="shared" si="31"/>
        <v>12759.57972371142</v>
      </c>
      <c r="DR59" s="318"/>
      <c r="DT59" s="8"/>
      <c r="DU59" s="5"/>
      <c r="DX59" s="5">
        <f t="shared" si="32"/>
        <v>32391.454734743391</v>
      </c>
      <c r="DY59" s="5">
        <f t="shared" si="33"/>
        <v>6869.8247009213583</v>
      </c>
      <c r="DZ59" s="159">
        <f>'[3]побудинковий звіт'!EA59</f>
        <v>2937.2749211054806</v>
      </c>
    </row>
    <row r="60" spans="1:130" x14ac:dyDescent="0.3">
      <c r="A60" s="325">
        <v>150000511</v>
      </c>
      <c r="B60" s="41" t="s">
        <v>509</v>
      </c>
      <c r="C60" s="42" t="s">
        <v>250</v>
      </c>
      <c r="D60" s="42"/>
      <c r="E60" s="293">
        <f t="shared" si="23"/>
        <v>3219.5</v>
      </c>
      <c r="F60" s="305">
        <f>'[3]побудинковий звіт'!F60</f>
        <v>3219.5</v>
      </c>
      <c r="G60" s="508">
        <f>'[3]побудинковий звіт'!G60</f>
        <v>0</v>
      </c>
      <c r="H60" s="560">
        <f>'[3]побудинковий звіт'!H60</f>
        <v>0</v>
      </c>
      <c r="I60" s="566">
        <f>VLOOKUP($A60,'01-02.2021'!$A$6:$CZ$403,9,FALSE)+VLOOKUP($A60,'1.3.21-28.2.22'!$A$6:$DA$404,9,FALSE)-VLOOKUP($A60,'01-02.2022'!$A$6:$DA$376,9,FALSE)</f>
        <v>11424.276048364565</v>
      </c>
      <c r="J60" s="566">
        <f>VLOOKUP($A60,'01-02.2021'!$A$6:$CZ$403,10,FALSE)+VLOOKUP($A60,'1.3.21-28.2.22'!$A$6:$DA$404,10,FALSE)-VLOOKUP($A60,'01-02.2022'!$A$6:$DA$376,10,FALSE)</f>
        <v>12547.638593589836</v>
      </c>
      <c r="K60" s="52">
        <f t="shared" si="34"/>
        <v>1123.3625452252709</v>
      </c>
      <c r="L60" s="566">
        <f>VLOOKUP($A60,'01-02.2021'!$A$6:$CZ$403,12,FALSE)+VLOOKUP($A60,'1.3.21-28.2.22'!$A$6:$DA$404,12,FALSE)-VLOOKUP($A60,'01-02.2022'!$A$6:$DA$376,12,FALSE)</f>
        <v>2219.282633156748</v>
      </c>
      <c r="M60" s="566">
        <f>VLOOKUP($A60,'01-02.2021'!$A$6:$CZ$403,13,FALSE)+VLOOKUP($A60,'1.3.21-28.2.22'!$A$6:$DA$404,13,FALSE)-VLOOKUP($A60,'01-02.2022'!$A$6:$DA$376,13,FALSE)</f>
        <v>2443.5115861471031</v>
      </c>
      <c r="N60" s="52">
        <f t="shared" si="35"/>
        <v>224.22895299035508</v>
      </c>
      <c r="O60" s="566">
        <f>VLOOKUP($A60,'01-02.2021'!$A$6:$CZ$403,15,FALSE)+VLOOKUP($A60,'1.3.21-28.2.22'!$A$6:$DA$404,15,FALSE)-VLOOKUP($A60,'01-02.2022'!$A$6:$DA$376,15,FALSE)</f>
        <v>4443.5401699503745</v>
      </c>
      <c r="P60" s="566">
        <f>VLOOKUP($A60,'01-02.2021'!$A$6:$CZ$403,16,FALSE)+VLOOKUP($A60,'1.3.21-28.2.22'!$A$6:$DA$404,16,FALSE)-VLOOKUP($A60,'01-02.2022'!$A$6:$DA$376,16,FALSE)</f>
        <v>4443.57</v>
      </c>
      <c r="Q60" s="70">
        <f t="shared" si="36"/>
        <v>2.9830049625161337E-2</v>
      </c>
      <c r="R60" s="566">
        <f>VLOOKUP($A60,'01-02.2021'!$A$6:$CZ$403,18,FALSE)+VLOOKUP($A60,'1.3.21-28.2.22'!$A$6:$DA$404,18,FALSE)-VLOOKUP($A60,'01-02.2022'!$A$6:$DA$376,18,FALSE)</f>
        <v>0</v>
      </c>
      <c r="S60" s="566">
        <f>VLOOKUP($A60,'01-02.2021'!$A$6:$CZ$403,19,FALSE)+VLOOKUP($A60,'1.3.21-28.2.22'!$A$6:$DA$404,19,FALSE)-VLOOKUP($A60,'01-02.2022'!$A$6:$DA$376,19,FALSE)</f>
        <v>0</v>
      </c>
      <c r="T60" s="70">
        <f t="shared" si="37"/>
        <v>0</v>
      </c>
      <c r="U60" s="566">
        <f>VLOOKUP($A60,'01-02.2021'!$A$6:$CZ$403,21,FALSE)+VLOOKUP($A60,'1.3.21-28.2.22'!$A$6:$DA$404,21,FALSE)-VLOOKUP($A60,'01-02.2022'!$A$6:$DA$376,21,FALSE)</f>
        <v>0</v>
      </c>
      <c r="V60" s="566">
        <f>VLOOKUP($A60,'01-02.2021'!$A$6:$CZ$403,22,FALSE)+VLOOKUP($A60,'1.3.21-28.2.22'!$A$6:$DA$404,22,FALSE)-VLOOKUP($A60,'01-02.2022'!$A$6:$DA$376,22,FALSE)</f>
        <v>0</v>
      </c>
      <c r="W60" s="70">
        <f t="shared" si="38"/>
        <v>0</v>
      </c>
      <c r="X60" s="566">
        <f>VLOOKUP($A60,'01-02.2021'!$A$6:$CZ$403,24,FALSE)+VLOOKUP($A60,'1.3.21-28.2.22'!$A$6:$DA$404,24,FALSE)-VLOOKUP($A60,'01-02.2022'!$A$6:$DA$376,24,FALSE)</f>
        <v>6453.7659506798163</v>
      </c>
      <c r="Y60" s="566">
        <f>VLOOKUP($A60,'01-02.2021'!$A$6:$CZ$403,25,FALSE)+VLOOKUP($A60,'1.3.21-28.2.22'!$A$6:$DA$404,25,FALSE)-VLOOKUP($A60,'01-02.2022'!$A$6:$DA$376,25,FALSE)</f>
        <v>5257.6119084788816</v>
      </c>
      <c r="Z60" s="70">
        <f t="shared" si="39"/>
        <v>-1196.1540422009348</v>
      </c>
      <c r="AA60" s="566">
        <f>VLOOKUP($A60,'01-02.2021'!$A$6:$CZ$403,27,FALSE)+VLOOKUP($A60,'1.3.21-28.2.22'!$A$6:$DA$404,27,FALSE)-VLOOKUP($A60,'01-02.2022'!$A$6:$DA$376,27,FALSE)</f>
        <v>643.90000000000009</v>
      </c>
      <c r="AB60" s="566">
        <f>VLOOKUP($A60,'01-02.2021'!$A$6:$CZ$403,28,FALSE)+VLOOKUP($A60,'1.3.21-28.2.22'!$A$6:$DA$404,28,FALSE)-VLOOKUP($A60,'01-02.2022'!$A$6:$DA$376,28,FALSE)</f>
        <v>0</v>
      </c>
      <c r="AC60" s="70">
        <f t="shared" si="40"/>
        <v>-643.90000000000009</v>
      </c>
      <c r="AD60" s="566">
        <f>VLOOKUP($A60,'01-02.2021'!$A$6:$CZ$403,30,FALSE)+VLOOKUP($A60,'1.3.21-28.2.22'!$A$6:$DA$404,30,FALSE)-VLOOKUP($A60,'01-02.2022'!$A$6:$DA$376,30,FALSE)</f>
        <v>13828.720029437245</v>
      </c>
      <c r="AE60" s="566">
        <f>VLOOKUP($A60,'01-02.2021'!$A$6:$CZ$403,31,FALSE)+VLOOKUP($A60,'1.3.21-28.2.22'!$A$6:$DA$404,31,FALSE)-VLOOKUP($A60,'01-02.2022'!$A$6:$DA$376,31,FALSE)</f>
        <v>14655.293720900019</v>
      </c>
      <c r="AF60" s="68">
        <f t="shared" si="41"/>
        <v>826.57369146277415</v>
      </c>
      <c r="AG60" s="77">
        <f t="shared" si="24"/>
        <v>39013.48483158875</v>
      </c>
      <c r="AH60" s="53">
        <f t="shared" si="24"/>
        <v>39347.625809115838</v>
      </c>
      <c r="AI60" s="52">
        <f t="shared" si="42"/>
        <v>334.14097752708767</v>
      </c>
      <c r="AJ60" s="566">
        <f>VLOOKUP($A60,'01-02.2021'!$A$6:$CZ$403,36,FALSE)+VLOOKUP($A60,'1.3.21-28.2.22'!$A$6:$DA$404,36,FALSE)-VLOOKUP($A60,'01-02.2022'!$A$6:$DA$376,36,FALSE)</f>
        <v>0</v>
      </c>
      <c r="AK60" s="566">
        <f>VLOOKUP($A60,'01-02.2021'!$A$6:$CZ$403,37,FALSE)+VLOOKUP($A60,'1.3.21-28.2.22'!$A$6:$DA$404,37,FALSE)-VLOOKUP($A60,'01-02.2022'!$A$6:$DA$376,37,FALSE)</f>
        <v>0</v>
      </c>
      <c r="AL60" s="70">
        <f t="shared" si="43"/>
        <v>0</v>
      </c>
      <c r="AM60" s="566">
        <f>VLOOKUP($A60,'01-02.2021'!$A$6:$CZ$403,39,FALSE)+VLOOKUP($A60,'1.3.21-28.2.22'!$A$6:$DA$404,39,FALSE)-VLOOKUP($A60,'01-02.2022'!$A$6:$DA$376,39,FALSE)</f>
        <v>0</v>
      </c>
      <c r="AN60" s="566">
        <f>VLOOKUP($A60,'01-02.2021'!$A$6:$CZ$403,40,FALSE)+VLOOKUP($A60,'1.3.21-28.2.22'!$A$6:$DA$404,40,FALSE)-VLOOKUP($A60,'01-02.2022'!$A$6:$DA$376,40,FALSE)</f>
        <v>0</v>
      </c>
      <c r="AO60" s="70">
        <f t="shared" si="44"/>
        <v>0</v>
      </c>
      <c r="AP60" s="566">
        <f>VLOOKUP($A60,'01-02.2021'!$A$6:$CZ$403,42,FALSE)+VLOOKUP($A60,'1.3.21-28.2.22'!$A$6:$DA$404,42,FALSE)-VLOOKUP($A60,'01-02.2022'!$A$6:$DA$376,42,FALSE)</f>
        <v>10411.198500255552</v>
      </c>
      <c r="AQ60" s="566">
        <f>VLOOKUP($A60,'01-02.2021'!$A$6:$CZ$403,43,FALSE)+VLOOKUP($A60,'1.3.21-28.2.22'!$A$6:$DA$404,43,FALSE)-VLOOKUP($A60,'01-02.2022'!$A$6:$DA$376,43,FALSE)</f>
        <v>10589.040555108561</v>
      </c>
      <c r="AR60" s="70">
        <f t="shared" si="45"/>
        <v>177.84205485300845</v>
      </c>
      <c r="AS60" s="566">
        <f>VLOOKUP($A60,'01-02.2021'!$A$6:$CZ$403,45,FALSE)+VLOOKUP($A60,'1.3.21-28.2.22'!$A$6:$DA$404,45,FALSE)-VLOOKUP($A60,'01-02.2022'!$A$6:$DA$376,45,FALSE)</f>
        <v>24801.886654336144</v>
      </c>
      <c r="AT60" s="566">
        <f>VLOOKUP($A60,'01-02.2021'!$A$6:$CZ$403,46,FALSE)+VLOOKUP($A60,'1.3.21-28.2.22'!$A$6:$DA$404,46,FALSE)-VLOOKUP($A60,'01-02.2022'!$A$6:$DA$376,46,FALSE)</f>
        <v>5634</v>
      </c>
      <c r="AU60" s="78">
        <f t="shared" si="46"/>
        <v>-19167.886654336144</v>
      </c>
      <c r="AV60" s="566">
        <f>VLOOKUP($A60,'01-02.2021'!$A$6:$CZ$403,48,FALSE)+VLOOKUP($A60,'1.3.21-28.2.22'!$A$6:$DA$404,48,FALSE)-VLOOKUP($A60,'01-02.2022'!$A$6:$DA$376,48,FALSE)</f>
        <v>2984.9128561440671</v>
      </c>
      <c r="AW60" s="566">
        <f>VLOOKUP($A60,'01-02.2021'!$A$6:$CZ$403,49,FALSE)+VLOOKUP($A60,'1.3.21-28.2.22'!$A$6:$DA$404,49,FALSE)-VLOOKUP($A60,'01-02.2022'!$A$6:$DA$376,49,FALSE)</f>
        <v>0</v>
      </c>
      <c r="AX60" s="55">
        <f t="shared" si="47"/>
        <v>-2984.9128561440671</v>
      </c>
      <c r="AY60" s="566">
        <f>VLOOKUP($A60,'01-02.2021'!$A$6:$CZ$403,51,FALSE)+VLOOKUP($A60,'1.3.21-28.2.22'!$A$6:$DA$404,51,FALSE)-VLOOKUP($A60,'01-02.2022'!$A$6:$DA$376,51,FALSE)</f>
        <v>4171.9113045321283</v>
      </c>
      <c r="AZ60" s="566">
        <f>VLOOKUP($A60,'01-02.2021'!$A$6:$CZ$403,52,FALSE)+VLOOKUP($A60,'1.3.21-28.2.22'!$A$6:$DA$404,52,FALSE)-VLOOKUP($A60,'01-02.2022'!$A$6:$DA$376,52,FALSE)</f>
        <v>0</v>
      </c>
      <c r="BA60" s="38">
        <f t="shared" si="48"/>
        <v>-4171.9113045321283</v>
      </c>
      <c r="BB60" s="566">
        <f>VLOOKUP($A60,'01-02.2021'!$A$6:$CZ$403,54,FALSE)+VLOOKUP($A60,'1.3.21-28.2.22'!$A$6:$DA$404,54,FALSE)-VLOOKUP($A60,'01-02.2022'!$A$6:$DA$376,54,FALSE)</f>
        <v>1860.1743155969998</v>
      </c>
      <c r="BC60" s="566">
        <f>VLOOKUP($A60,'01-02.2021'!$A$6:$CZ$403,55,FALSE)+VLOOKUP($A60,'1.3.21-28.2.22'!$A$6:$DA$404,55,FALSE)-VLOOKUP($A60,'01-02.2022'!$A$6:$DA$376,55,FALSE)</f>
        <v>1314</v>
      </c>
      <c r="BD60" s="55">
        <f t="shared" si="49"/>
        <v>-546.1743155969998</v>
      </c>
      <c r="BE60" s="566">
        <f>VLOOKUP($A60,'01-02.2021'!$A$6:$CZ$403,57,FALSE)+VLOOKUP($A60,'1.3.21-28.2.22'!$A$6:$DA$404,57,FALSE)-VLOOKUP($A60,'01-02.2022'!$A$6:$DA$376,57,FALSE)</f>
        <v>0</v>
      </c>
      <c r="BF60" s="566">
        <f>VLOOKUP($A60,'01-02.2021'!$A$6:$CZ$403,58,FALSE)+VLOOKUP($A60,'1.3.21-28.2.22'!$A$6:$DA$404,58,FALSE)-VLOOKUP($A60,'01-02.2022'!$A$6:$DA$376,58,FALSE)</f>
        <v>0</v>
      </c>
      <c r="BG60" s="55">
        <f t="shared" si="50"/>
        <v>0</v>
      </c>
      <c r="BH60" s="566">
        <f>VLOOKUP($A60,'01-02.2021'!$A$6:$CZ$403,60,FALSE)+VLOOKUP($A60,'1.3.21-28.2.22'!$A$6:$DA$404,60,FALSE)-VLOOKUP($A60,'01-02.2022'!$A$6:$DA$376,60,FALSE)</f>
        <v>0</v>
      </c>
      <c r="BI60" s="566">
        <f>VLOOKUP($A60,'01-02.2021'!$A$6:$CZ$403,61,FALSE)+VLOOKUP($A60,'1.3.21-28.2.22'!$A$6:$DA$404,61,FALSE)-VLOOKUP($A60,'01-02.2022'!$A$6:$DA$376,61,FALSE)</f>
        <v>0</v>
      </c>
      <c r="BJ60" s="55">
        <f t="shared" si="51"/>
        <v>0</v>
      </c>
      <c r="BK60" s="566">
        <f>VLOOKUP($A60,'01-02.2021'!$A$6:$CZ$403,63,FALSE)+VLOOKUP($A60,'1.3.21-28.2.22'!$A$6:$DA$404,63,FALSE)-VLOOKUP($A60,'01-02.2022'!$A$6:$DA$376,63,FALSE)</f>
        <v>2024.299176422054</v>
      </c>
      <c r="BL60" s="566">
        <f>VLOOKUP($A60,'01-02.2021'!$A$6:$CZ$403,64,FALSE)+VLOOKUP($A60,'1.3.21-28.2.22'!$A$6:$DA$404,64,FALSE)-VLOOKUP($A60,'01-02.2022'!$A$6:$DA$376,64,FALSE)</f>
        <v>0</v>
      </c>
      <c r="BM60" s="55">
        <f t="shared" si="52"/>
        <v>-2024.299176422054</v>
      </c>
      <c r="BN60" s="566">
        <f>VLOOKUP($A60,'01-02.2021'!$A$6:$CZ$403,66,FALSE)+VLOOKUP($A60,'1.3.21-28.2.22'!$A$6:$DA$404,66,FALSE)-VLOOKUP($A60,'01-02.2022'!$A$6:$DA$376,66,FALSE)</f>
        <v>160.97500000000002</v>
      </c>
      <c r="BO60" s="566">
        <f>VLOOKUP($A60,'01-02.2021'!$A$6:$CZ$403,67,FALSE)+VLOOKUP($A60,'1.3.21-28.2.22'!$A$6:$DA$404,67,FALSE)-VLOOKUP($A60,'01-02.2022'!$A$6:$DA$376,67,FALSE)</f>
        <v>0</v>
      </c>
      <c r="BP60" s="55">
        <f t="shared" si="53"/>
        <v>-160.97500000000002</v>
      </c>
      <c r="BQ60" s="77">
        <f t="shared" si="79"/>
        <v>11202.272652695248</v>
      </c>
      <c r="BR60" s="40">
        <f t="shared" si="80"/>
        <v>1314</v>
      </c>
      <c r="BS60" s="55">
        <f t="shared" si="70"/>
        <v>-9888.2726526952483</v>
      </c>
      <c r="BT60" s="566">
        <f>VLOOKUP($A60,'01-02.2021'!$A$6:$CZ$403,72,FALSE)+VLOOKUP($A60,'1.3.21-28.2.22'!$A$6:$DA$404,72,FALSE)-VLOOKUP($A60,'01-02.2022'!$A$6:$DA$376,72,FALSE)</f>
        <v>31344.00197890351</v>
      </c>
      <c r="BU60" s="566">
        <f>VLOOKUP($A60,'01-02.2021'!$A$6:$CZ$403,73,FALSE)+VLOOKUP($A60,'1.3.21-28.2.22'!$A$6:$DA$404,73,FALSE)-VLOOKUP($A60,'01-02.2022'!$A$6:$DA$376,73,FALSE)</f>
        <v>39585.989982246283</v>
      </c>
      <c r="BV60" s="70">
        <f t="shared" si="54"/>
        <v>8241.9880033427726</v>
      </c>
      <c r="BW60" s="566">
        <f>VLOOKUP($A60,'01-02.2021'!$A$6:$CZ$403,75,FALSE)+VLOOKUP($A60,'1.3.21-28.2.22'!$A$6:$DA$404,75,FALSE)-VLOOKUP($A60,'01-02.2022'!$A$6:$DA$376,75,FALSE)</f>
        <v>16069.82342257096</v>
      </c>
      <c r="BX60" s="566">
        <f>VLOOKUP($A60,'01-02.2021'!$A$6:$CZ$403,76,FALSE)+VLOOKUP($A60,'1.3.21-28.2.22'!$A$6:$DA$404,76,FALSE)-VLOOKUP($A60,'01-02.2022'!$A$6:$DA$376,76,FALSE)</f>
        <v>14795.824969436517</v>
      </c>
      <c r="BY60" s="70">
        <f t="shared" si="55"/>
        <v>-1273.9984531344435</v>
      </c>
      <c r="BZ60" s="566">
        <f>VLOOKUP($A60,'01-02.2021'!$A$6:$CZ$403,78,FALSE)+VLOOKUP($A60,'1.3.21-28.2.22'!$A$6:$DA$404,78,FALSE)-VLOOKUP($A60,'01-02.2022'!$A$6:$DA$376,78,FALSE)</f>
        <v>13400.72405998618</v>
      </c>
      <c r="CA60" s="566">
        <f>VLOOKUP($A60,'01-02.2021'!$A$6:$CZ$403,79,FALSE)+VLOOKUP($A60,'1.3.21-28.2.22'!$A$6:$DA$404,79,FALSE)-VLOOKUP($A60,'01-02.2022'!$A$6:$DA$376,79,FALSE)</f>
        <v>8385.892556094077</v>
      </c>
      <c r="CB60" s="70">
        <f t="shared" si="56"/>
        <v>-5014.8315038921028</v>
      </c>
      <c r="CC60" s="566">
        <f>VLOOKUP($A60,'01-02.2021'!$A$6:$CZ$403,81,FALSE)+VLOOKUP($A60,'1.3.21-28.2.22'!$A$6:$DA$404,81,FALSE)-VLOOKUP($A60,'01-02.2022'!$A$6:$DA$376,81,FALSE)</f>
        <v>1790.2017668811732</v>
      </c>
      <c r="CD60" s="566">
        <f>VLOOKUP($A60,'01-02.2021'!$A$6:$CZ$403,82,FALSE)+VLOOKUP($A60,'1.3.21-28.2.22'!$A$6:$DA$404,82,FALSE)-VLOOKUP($A60,'01-02.2022'!$A$6:$DA$376,82,FALSE)</f>
        <v>1956.6780347899503</v>
      </c>
      <c r="CE60" s="70">
        <f t="shared" si="57"/>
        <v>166.47626790877712</v>
      </c>
      <c r="CF60" s="566">
        <f>VLOOKUP($A60,'01-02.2021'!$A$6:$CZ$403,84,FALSE)+VLOOKUP($A60,'1.3.21-28.2.22'!$A$6:$DA$404,84,FALSE)-VLOOKUP($A60,'01-02.2022'!$A$6:$DA$376,84,FALSE)</f>
        <v>217.63590124577658</v>
      </c>
      <c r="CG60" s="566">
        <f>VLOOKUP($A60,'01-02.2021'!$A$6:$CZ$403,85,FALSE)+VLOOKUP($A60,'1.3.21-28.2.22'!$A$6:$DA$404,85,FALSE)-VLOOKUP($A60,'01-02.2022'!$A$6:$DA$376,85,FALSE)</f>
        <v>0</v>
      </c>
      <c r="CH60" s="70">
        <f t="shared" si="58"/>
        <v>-217.63590124577658</v>
      </c>
      <c r="CI60" s="566">
        <f>VLOOKUP($A60,'01-02.2021'!$A$6:$CZ$403,87,FALSE)+VLOOKUP($A60,'1.3.21-28.2.22'!$A$6:$DA$404,87,FALSE)-VLOOKUP($A60,'01-02.2022'!$A$6:$DA$376,87,FALSE)</f>
        <v>5513.9349684535373</v>
      </c>
      <c r="CJ60" s="566">
        <f>VLOOKUP($A60,'01-02.2021'!$A$6:$CZ$403,88,FALSE)+VLOOKUP($A60,'1.3.21-28.2.22'!$A$6:$DA$404,88,FALSE)-VLOOKUP($A60,'01-02.2022'!$A$6:$DA$376,88,FALSE)</f>
        <v>2622.7082246540822</v>
      </c>
      <c r="CK60" s="70">
        <f t="shared" si="59"/>
        <v>-2891.2267437994551</v>
      </c>
      <c r="CL60" s="566">
        <f>VLOOKUP($A60,'01-02.2021'!$A$6:$CZ$403,90,FALSE)+VLOOKUP($A60,'1.3.21-28.2.22'!$A$6:$DA$404,90,FALSE)-VLOOKUP($A60,'01-02.2022'!$A$6:$DA$376,90,FALSE)</f>
        <v>0</v>
      </c>
      <c r="CM60" s="566">
        <f>VLOOKUP($A60,'01-02.2021'!$A$6:$CZ$403,91,FALSE)+VLOOKUP($A60,'1.3.21-28.2.22'!$A$6:$DA$404,91,FALSE)-VLOOKUP($A60,'01-02.2022'!$A$6:$DA$376,91,FALSE)</f>
        <v>0</v>
      </c>
      <c r="CN60" s="52">
        <f t="shared" si="60"/>
        <v>0</v>
      </c>
      <c r="CO60" s="39">
        <f t="shared" si="27"/>
        <v>5513.9349684535373</v>
      </c>
      <c r="CP60" s="40">
        <f t="shared" si="61"/>
        <v>2622.7082246540822</v>
      </c>
      <c r="CQ60" s="52">
        <f t="shared" si="62"/>
        <v>-2891.2267437994551</v>
      </c>
      <c r="CR60" s="72">
        <f t="shared" si="28"/>
        <v>153765.16473691683</v>
      </c>
      <c r="CS60" s="5">
        <f t="shared" si="28"/>
        <v>124231.76013144531</v>
      </c>
      <c r="CT60" s="52">
        <f t="shared" si="63"/>
        <v>-29533.404605471529</v>
      </c>
      <c r="CU60" s="77">
        <f t="shared" si="64"/>
        <v>184518.19768430019</v>
      </c>
      <c r="CV60" s="65">
        <f t="shared" si="65"/>
        <v>149078.11215773437</v>
      </c>
      <c r="CW60" s="35">
        <f t="shared" si="66"/>
        <v>-35440.085526565817</v>
      </c>
      <c r="CX60" s="566">
        <f>VLOOKUP($A60,'01-02.2021'!$A$6:$CZ$403,102,FALSE)+VLOOKUP($A60,'1.3.21-28.2.22'!$A$6:$DA$404,102,FALSE)-VLOOKUP($A60,'01-02.2022'!$A$6:$DA$376,102,FALSE)</f>
        <v>7633.8586660586097</v>
      </c>
      <c r="CY60" s="566">
        <f>VLOOKUP($A60,'01-02.2021'!$A$6:$CZ$403,103,FALSE)+VLOOKUP($A60,'1.3.21-28.2.22'!$A$6:$DA$404,103,FALSE)-VLOOKUP($A60,'01-02.2022'!$A$6:$DA$376,103,FALSE)</f>
        <v>43073.944192624447</v>
      </c>
      <c r="CZ60" s="52">
        <f t="shared" si="67"/>
        <v>35440.085526565839</v>
      </c>
      <c r="DA60" s="150">
        <f>'[2]побудинковий звіт'!DA60</f>
        <v>-12335.421227189632</v>
      </c>
      <c r="DB60" s="2">
        <v>2</v>
      </c>
      <c r="DC60" s="414">
        <f>'[4]побудинковий звіт'!DC60</f>
        <v>47437.86</v>
      </c>
      <c r="DD60" s="414">
        <f>'[4]побудинковий звіт'!DD60</f>
        <v>0</v>
      </c>
      <c r="DE60" s="557">
        <f>'[4]побудинковий звіт'!DE60</f>
        <v>30043.139473546438</v>
      </c>
      <c r="DF60" s="557">
        <f>'[4]побудинковий звіт'!DF60</f>
        <v>0</v>
      </c>
      <c r="DG60" s="321">
        <f>VLOOKUP(A60,'кошти 01.03.2021'!$A$6:$D$401,4,)</f>
        <v>18420.419146638887</v>
      </c>
      <c r="DH60" s="40">
        <f>'[3]побудинковий звіт'!DJ60</f>
        <v>198683.78524672007</v>
      </c>
      <c r="DI60" s="422">
        <f>'[3]побудинковий звіт'!CU60+'[3]побудинковий звіт'!CX60</f>
        <v>17394.720526453562</v>
      </c>
      <c r="DJ60" s="306">
        <f>'[3]побудинковий звіт'!DM60</f>
        <v>5.4029260836942266</v>
      </c>
      <c r="DK60" s="306">
        <f t="shared" si="82"/>
        <v>5.4029260836942266</v>
      </c>
      <c r="DL60" s="306">
        <f>'[3]побудинковий звіт'!DO60</f>
        <v>4.7934303155311877</v>
      </c>
      <c r="DM60" s="28">
        <f t="shared" si="83"/>
        <v>17394.720526453562</v>
      </c>
      <c r="DN60" s="28">
        <f t="shared" si="84"/>
        <v>0</v>
      </c>
      <c r="DO60" s="423">
        <f t="shared" si="29"/>
        <v>17394.720526453562</v>
      </c>
      <c r="DP60" s="94">
        <f t="shared" si="30"/>
        <v>0</v>
      </c>
      <c r="DQ60" s="28">
        <f t="shared" si="31"/>
        <v>17394.720526453562</v>
      </c>
      <c r="DR60" s="318"/>
      <c r="DT60" s="8"/>
      <c r="DU60" s="5"/>
      <c r="DX60" s="5">
        <f t="shared" si="32"/>
        <v>43204.991168437664</v>
      </c>
      <c r="DY60" s="5">
        <f t="shared" si="33"/>
        <v>8337.6</v>
      </c>
      <c r="DZ60" s="159">
        <f>'[3]побудинковий звіт'!EA60</f>
        <v>3781.3039675153364</v>
      </c>
    </row>
    <row r="61" spans="1:130" x14ac:dyDescent="0.3">
      <c r="A61" s="325">
        <v>150000512</v>
      </c>
      <c r="B61" s="41" t="s">
        <v>510</v>
      </c>
      <c r="C61" s="42" t="s">
        <v>251</v>
      </c>
      <c r="D61" s="42"/>
      <c r="E61" s="293">
        <f t="shared" si="23"/>
        <v>1871.6999999999998</v>
      </c>
      <c r="F61" s="305">
        <f>'[3]побудинковий звіт'!F61</f>
        <v>1738.1</v>
      </c>
      <c r="G61" s="508">
        <f>'[3]побудинковий звіт'!G61</f>
        <v>0</v>
      </c>
      <c r="H61" s="560">
        <f>'[3]побудинковий звіт'!H61</f>
        <v>133.6</v>
      </c>
      <c r="I61" s="566">
        <f>VLOOKUP($A61,'01-02.2021'!$A$6:$CZ$403,9,FALSE)+VLOOKUP($A61,'1.3.21-28.2.22'!$A$6:$DA$404,9,FALSE)-VLOOKUP($A61,'01-02.2022'!$A$6:$DA$376,9,FALSE)</f>
        <v>5124.2915369039092</v>
      </c>
      <c r="J61" s="566">
        <f>VLOOKUP($A61,'01-02.2021'!$A$6:$CZ$403,10,FALSE)+VLOOKUP($A61,'1.3.21-28.2.22'!$A$6:$DA$404,10,FALSE)-VLOOKUP($A61,'01-02.2022'!$A$6:$DA$376,10,FALSE)</f>
        <v>5666.4453676936846</v>
      </c>
      <c r="K61" s="52">
        <f t="shared" si="34"/>
        <v>542.15383078977538</v>
      </c>
      <c r="L61" s="566">
        <f>VLOOKUP($A61,'01-02.2021'!$A$6:$CZ$403,12,FALSE)+VLOOKUP($A61,'1.3.21-28.2.22'!$A$6:$DA$404,12,FALSE)-VLOOKUP($A61,'01-02.2022'!$A$6:$DA$376,12,FALSE)</f>
        <v>1136.3853301772137</v>
      </c>
      <c r="M61" s="566">
        <f>VLOOKUP($A61,'01-02.2021'!$A$6:$CZ$403,13,FALSE)+VLOOKUP($A61,'1.3.21-28.2.22'!$A$6:$DA$404,13,FALSE)-VLOOKUP($A61,'01-02.2022'!$A$6:$DA$376,13,FALSE)</f>
        <v>1251.2041933046009</v>
      </c>
      <c r="N61" s="52">
        <f t="shared" si="35"/>
        <v>114.8188631273872</v>
      </c>
      <c r="O61" s="566">
        <f>VLOOKUP($A61,'01-02.2021'!$A$6:$CZ$403,15,FALSE)+VLOOKUP($A61,'1.3.21-28.2.22'!$A$6:$DA$404,15,FALSE)-VLOOKUP($A61,'01-02.2022'!$A$6:$DA$376,15,FALSE)</f>
        <v>2146.7545700378669</v>
      </c>
      <c r="P61" s="566">
        <f>VLOOKUP($A61,'01-02.2021'!$A$6:$CZ$403,16,FALSE)+VLOOKUP($A61,'1.3.21-28.2.22'!$A$6:$DA$404,16,FALSE)-VLOOKUP($A61,'01-02.2022'!$A$6:$DA$376,16,FALSE)</f>
        <v>2146.7199999999998</v>
      </c>
      <c r="Q61" s="70">
        <f t="shared" si="36"/>
        <v>-3.4570037867069914E-2</v>
      </c>
      <c r="R61" s="566">
        <f>VLOOKUP($A61,'01-02.2021'!$A$6:$CZ$403,18,FALSE)+VLOOKUP($A61,'1.3.21-28.2.22'!$A$6:$DA$404,18,FALSE)-VLOOKUP($A61,'01-02.2022'!$A$6:$DA$376,18,FALSE)</f>
        <v>0</v>
      </c>
      <c r="S61" s="566">
        <f>VLOOKUP($A61,'01-02.2021'!$A$6:$CZ$403,19,FALSE)+VLOOKUP($A61,'1.3.21-28.2.22'!$A$6:$DA$404,19,FALSE)-VLOOKUP($A61,'01-02.2022'!$A$6:$DA$376,19,FALSE)</f>
        <v>0</v>
      </c>
      <c r="T61" s="70">
        <f t="shared" si="37"/>
        <v>0</v>
      </c>
      <c r="U61" s="566">
        <f>VLOOKUP($A61,'01-02.2021'!$A$6:$CZ$403,21,FALSE)+VLOOKUP($A61,'1.3.21-28.2.22'!$A$6:$DA$404,21,FALSE)-VLOOKUP($A61,'01-02.2022'!$A$6:$DA$376,21,FALSE)</f>
        <v>0</v>
      </c>
      <c r="V61" s="566">
        <f>VLOOKUP($A61,'01-02.2021'!$A$6:$CZ$403,22,FALSE)+VLOOKUP($A61,'1.3.21-28.2.22'!$A$6:$DA$404,22,FALSE)-VLOOKUP($A61,'01-02.2022'!$A$6:$DA$376,22,FALSE)</f>
        <v>0</v>
      </c>
      <c r="W61" s="70">
        <f t="shared" si="38"/>
        <v>0</v>
      </c>
      <c r="X61" s="566">
        <f>VLOOKUP($A61,'01-02.2021'!$A$6:$CZ$403,24,FALSE)+VLOOKUP($A61,'1.3.21-28.2.22'!$A$6:$DA$404,24,FALSE)-VLOOKUP($A61,'01-02.2022'!$A$6:$DA$376,24,FALSE)</f>
        <v>2849.0213392117894</v>
      </c>
      <c r="Y61" s="566">
        <f>VLOOKUP($A61,'01-02.2021'!$A$6:$CZ$403,25,FALSE)+VLOOKUP($A61,'1.3.21-28.2.22'!$A$6:$DA$404,25,FALSE)-VLOOKUP($A61,'01-02.2022'!$A$6:$DA$376,25,FALSE)</f>
        <v>2529.3711384933704</v>
      </c>
      <c r="Z61" s="70">
        <f t="shared" si="39"/>
        <v>-319.650200718419</v>
      </c>
      <c r="AA61" s="566">
        <f>VLOOKUP($A61,'01-02.2021'!$A$6:$CZ$403,27,FALSE)+VLOOKUP($A61,'1.3.21-28.2.22'!$A$6:$DA$404,27,FALSE)-VLOOKUP($A61,'01-02.2022'!$A$6:$DA$376,27,FALSE)</f>
        <v>365.66</v>
      </c>
      <c r="AB61" s="566">
        <f>VLOOKUP($A61,'01-02.2021'!$A$6:$CZ$403,28,FALSE)+VLOOKUP($A61,'1.3.21-28.2.22'!$A$6:$DA$404,28,FALSE)-VLOOKUP($A61,'01-02.2022'!$A$6:$DA$376,28,FALSE)</f>
        <v>0</v>
      </c>
      <c r="AC61" s="70">
        <f t="shared" si="40"/>
        <v>-365.66</v>
      </c>
      <c r="AD61" s="566">
        <f>VLOOKUP($A61,'01-02.2021'!$A$6:$CZ$403,30,FALSE)+VLOOKUP($A61,'1.3.21-28.2.22'!$A$6:$DA$404,30,FALSE)-VLOOKUP($A61,'01-02.2022'!$A$6:$DA$376,30,FALSE)</f>
        <v>7952.3826315484139</v>
      </c>
      <c r="AE61" s="566">
        <f>VLOOKUP($A61,'01-02.2021'!$A$6:$CZ$403,31,FALSE)+VLOOKUP($A61,'1.3.21-28.2.22'!$A$6:$DA$404,31,FALSE)-VLOOKUP($A61,'01-02.2022'!$A$6:$DA$376,31,FALSE)</f>
        <v>8520.0538150049906</v>
      </c>
      <c r="AF61" s="68">
        <f t="shared" si="41"/>
        <v>567.67118345657673</v>
      </c>
      <c r="AG61" s="77">
        <f t="shared" si="24"/>
        <v>19574.495407879192</v>
      </c>
      <c r="AH61" s="53">
        <f t="shared" si="24"/>
        <v>20113.794514496647</v>
      </c>
      <c r="AI61" s="52">
        <f t="shared" si="42"/>
        <v>539.29910661745453</v>
      </c>
      <c r="AJ61" s="566">
        <f>VLOOKUP($A61,'01-02.2021'!$A$6:$CZ$403,36,FALSE)+VLOOKUP($A61,'1.3.21-28.2.22'!$A$6:$DA$404,36,FALSE)-VLOOKUP($A61,'01-02.2022'!$A$6:$DA$376,36,FALSE)</f>
        <v>0</v>
      </c>
      <c r="AK61" s="566">
        <f>VLOOKUP($A61,'01-02.2021'!$A$6:$CZ$403,37,FALSE)+VLOOKUP($A61,'1.3.21-28.2.22'!$A$6:$DA$404,37,FALSE)-VLOOKUP($A61,'01-02.2022'!$A$6:$DA$376,37,FALSE)</f>
        <v>0</v>
      </c>
      <c r="AL61" s="70">
        <f t="shared" si="43"/>
        <v>0</v>
      </c>
      <c r="AM61" s="566">
        <f>VLOOKUP($A61,'01-02.2021'!$A$6:$CZ$403,39,FALSE)+VLOOKUP($A61,'1.3.21-28.2.22'!$A$6:$DA$404,39,FALSE)-VLOOKUP($A61,'01-02.2022'!$A$6:$DA$376,39,FALSE)</f>
        <v>0</v>
      </c>
      <c r="AN61" s="566">
        <f>VLOOKUP($A61,'01-02.2021'!$A$6:$CZ$403,40,FALSE)+VLOOKUP($A61,'1.3.21-28.2.22'!$A$6:$DA$404,40,FALSE)-VLOOKUP($A61,'01-02.2022'!$A$6:$DA$376,40,FALSE)</f>
        <v>0</v>
      </c>
      <c r="AO61" s="70">
        <f t="shared" si="44"/>
        <v>0</v>
      </c>
      <c r="AP61" s="566">
        <f>VLOOKUP($A61,'01-02.2021'!$A$6:$CZ$403,42,FALSE)+VLOOKUP($A61,'1.3.21-28.2.22'!$A$6:$DA$404,42,FALSE)-VLOOKUP($A61,'01-02.2022'!$A$6:$DA$376,42,FALSE)</f>
        <v>4815.1793063681926</v>
      </c>
      <c r="AQ61" s="566">
        <f>VLOOKUP($A61,'01-02.2021'!$A$6:$CZ$403,43,FALSE)+VLOOKUP($A61,'1.3.21-28.2.22'!$A$6:$DA$404,43,FALSE)-VLOOKUP($A61,'01-02.2022'!$A$6:$DA$376,43,FALSE)</f>
        <v>4155.9638865750658</v>
      </c>
      <c r="AR61" s="70">
        <f t="shared" si="45"/>
        <v>-659.21541979312678</v>
      </c>
      <c r="AS61" s="566">
        <f>VLOOKUP($A61,'01-02.2021'!$A$6:$CZ$403,45,FALSE)+VLOOKUP($A61,'1.3.21-28.2.22'!$A$6:$DA$404,45,FALSE)-VLOOKUP($A61,'01-02.2022'!$A$6:$DA$376,45,FALSE)</f>
        <v>15182.70810348391</v>
      </c>
      <c r="AT61" s="566">
        <f>VLOOKUP($A61,'01-02.2021'!$A$6:$CZ$403,46,FALSE)+VLOOKUP($A61,'1.3.21-28.2.22'!$A$6:$DA$404,46,FALSE)-VLOOKUP($A61,'01-02.2022'!$A$6:$DA$376,46,FALSE)</f>
        <v>2802</v>
      </c>
      <c r="AU61" s="78">
        <f t="shared" si="46"/>
        <v>-12380.70810348391</v>
      </c>
      <c r="AV61" s="566">
        <f>VLOOKUP($A61,'01-02.2021'!$A$6:$CZ$403,48,FALSE)+VLOOKUP($A61,'1.3.21-28.2.22'!$A$6:$DA$404,48,FALSE)-VLOOKUP($A61,'01-02.2022'!$A$6:$DA$376,48,FALSE)</f>
        <v>1307.3858847778142</v>
      </c>
      <c r="AW61" s="566">
        <f>VLOOKUP($A61,'01-02.2021'!$A$6:$CZ$403,49,FALSE)+VLOOKUP($A61,'1.3.21-28.2.22'!$A$6:$DA$404,49,FALSE)-VLOOKUP($A61,'01-02.2022'!$A$6:$DA$376,49,FALSE)</f>
        <v>0</v>
      </c>
      <c r="AX61" s="55">
        <f t="shared" si="47"/>
        <v>-1307.3858847778142</v>
      </c>
      <c r="AY61" s="566">
        <f>VLOOKUP($A61,'01-02.2021'!$A$6:$CZ$403,51,FALSE)+VLOOKUP($A61,'1.3.21-28.2.22'!$A$6:$DA$404,51,FALSE)-VLOOKUP($A61,'01-02.2022'!$A$6:$DA$376,51,FALSE)</f>
        <v>2136.0946070453733</v>
      </c>
      <c r="AZ61" s="566">
        <f>VLOOKUP($A61,'01-02.2021'!$A$6:$CZ$403,52,FALSE)+VLOOKUP($A61,'1.3.21-28.2.22'!$A$6:$DA$404,52,FALSE)-VLOOKUP($A61,'01-02.2022'!$A$6:$DA$376,52,FALSE)</f>
        <v>0</v>
      </c>
      <c r="BA61" s="38">
        <f t="shared" si="48"/>
        <v>-2136.0946070453733</v>
      </c>
      <c r="BB61" s="566">
        <f>VLOOKUP($A61,'01-02.2021'!$A$6:$CZ$403,54,FALSE)+VLOOKUP($A61,'1.3.21-28.2.22'!$A$6:$DA$404,54,FALSE)-VLOOKUP($A61,'01-02.2022'!$A$6:$DA$376,54,FALSE)</f>
        <v>1133.1603880663797</v>
      </c>
      <c r="BC61" s="566">
        <f>VLOOKUP($A61,'01-02.2021'!$A$6:$CZ$403,55,FALSE)+VLOOKUP($A61,'1.3.21-28.2.22'!$A$6:$DA$404,55,FALSE)-VLOOKUP($A61,'01-02.2022'!$A$6:$DA$376,55,FALSE)</f>
        <v>0</v>
      </c>
      <c r="BD61" s="55">
        <f t="shared" si="49"/>
        <v>-1133.1603880663797</v>
      </c>
      <c r="BE61" s="566">
        <f>VLOOKUP($A61,'01-02.2021'!$A$6:$CZ$403,57,FALSE)+VLOOKUP($A61,'1.3.21-28.2.22'!$A$6:$DA$404,57,FALSE)-VLOOKUP($A61,'01-02.2022'!$A$6:$DA$376,57,FALSE)</f>
        <v>0</v>
      </c>
      <c r="BF61" s="566">
        <f>VLOOKUP($A61,'01-02.2021'!$A$6:$CZ$403,58,FALSE)+VLOOKUP($A61,'1.3.21-28.2.22'!$A$6:$DA$404,58,FALSE)-VLOOKUP($A61,'01-02.2022'!$A$6:$DA$376,58,FALSE)</f>
        <v>0</v>
      </c>
      <c r="BG61" s="55">
        <f t="shared" si="50"/>
        <v>0</v>
      </c>
      <c r="BH61" s="566">
        <f>VLOOKUP($A61,'01-02.2021'!$A$6:$CZ$403,60,FALSE)+VLOOKUP($A61,'1.3.21-28.2.22'!$A$6:$DA$404,60,FALSE)-VLOOKUP($A61,'01-02.2022'!$A$6:$DA$376,60,FALSE)</f>
        <v>0</v>
      </c>
      <c r="BI61" s="566">
        <f>VLOOKUP($A61,'01-02.2021'!$A$6:$CZ$403,61,FALSE)+VLOOKUP($A61,'1.3.21-28.2.22'!$A$6:$DA$404,61,FALSE)-VLOOKUP($A61,'01-02.2022'!$A$6:$DA$376,61,FALSE)</f>
        <v>0</v>
      </c>
      <c r="BJ61" s="55">
        <f t="shared" si="51"/>
        <v>0</v>
      </c>
      <c r="BK61" s="566">
        <f>VLOOKUP($A61,'01-02.2021'!$A$6:$CZ$403,63,FALSE)+VLOOKUP($A61,'1.3.21-28.2.22'!$A$6:$DA$404,63,FALSE)-VLOOKUP($A61,'01-02.2022'!$A$6:$DA$376,63,FALSE)</f>
        <v>721.59198076141502</v>
      </c>
      <c r="BL61" s="566">
        <f>VLOOKUP($A61,'01-02.2021'!$A$6:$CZ$403,64,FALSE)+VLOOKUP($A61,'1.3.21-28.2.22'!$A$6:$DA$404,64,FALSE)-VLOOKUP($A61,'01-02.2022'!$A$6:$DA$376,64,FALSE)</f>
        <v>1454</v>
      </c>
      <c r="BM61" s="55">
        <f t="shared" si="52"/>
        <v>732.40801923858498</v>
      </c>
      <c r="BN61" s="566">
        <f>VLOOKUP($A61,'01-02.2021'!$A$6:$CZ$403,66,FALSE)+VLOOKUP($A61,'1.3.21-28.2.22'!$A$6:$DA$404,66,FALSE)-VLOOKUP($A61,'01-02.2022'!$A$6:$DA$376,66,FALSE)</f>
        <v>91.415000000000006</v>
      </c>
      <c r="BO61" s="566">
        <f>VLOOKUP($A61,'01-02.2021'!$A$6:$CZ$403,67,FALSE)+VLOOKUP($A61,'1.3.21-28.2.22'!$A$6:$DA$404,67,FALSE)-VLOOKUP($A61,'01-02.2022'!$A$6:$DA$376,67,FALSE)</f>
        <v>0</v>
      </c>
      <c r="BP61" s="55">
        <f t="shared" si="53"/>
        <v>-91.415000000000006</v>
      </c>
      <c r="BQ61" s="77">
        <f t="shared" si="79"/>
        <v>5389.6478606509818</v>
      </c>
      <c r="BR61" s="40">
        <f t="shared" si="80"/>
        <v>1454</v>
      </c>
      <c r="BS61" s="55">
        <f t="shared" si="70"/>
        <v>-3935.6478606509818</v>
      </c>
      <c r="BT61" s="566">
        <f>VLOOKUP($A61,'01-02.2021'!$A$6:$CZ$403,72,FALSE)+VLOOKUP($A61,'1.3.21-28.2.22'!$A$6:$DA$404,72,FALSE)-VLOOKUP($A61,'01-02.2022'!$A$6:$DA$376,72,FALSE)</f>
        <v>9514.4755491381802</v>
      </c>
      <c r="BU61" s="566">
        <f>VLOOKUP($A61,'01-02.2021'!$A$6:$CZ$403,73,FALSE)+VLOOKUP($A61,'1.3.21-28.2.22'!$A$6:$DA$404,73,FALSE)-VLOOKUP($A61,'01-02.2022'!$A$6:$DA$376,73,FALSE)</f>
        <v>14141.035852211062</v>
      </c>
      <c r="BV61" s="70">
        <f t="shared" si="54"/>
        <v>4626.5603030728817</v>
      </c>
      <c r="BW61" s="566">
        <f>VLOOKUP($A61,'01-02.2021'!$A$6:$CZ$403,75,FALSE)+VLOOKUP($A61,'1.3.21-28.2.22'!$A$6:$DA$404,75,FALSE)-VLOOKUP($A61,'01-02.2022'!$A$6:$DA$376,75,FALSE)</f>
        <v>6723.5483835844134</v>
      </c>
      <c r="BX61" s="566">
        <f>VLOOKUP($A61,'01-02.2021'!$A$6:$CZ$403,76,FALSE)+VLOOKUP($A61,'1.3.21-28.2.22'!$A$6:$DA$404,76,FALSE)-VLOOKUP($A61,'01-02.2022'!$A$6:$DA$376,76,FALSE)</f>
        <v>6771.6140148484837</v>
      </c>
      <c r="BY61" s="70">
        <f t="shared" si="55"/>
        <v>48.065631264070362</v>
      </c>
      <c r="BZ61" s="566">
        <f>VLOOKUP($A61,'01-02.2021'!$A$6:$CZ$403,78,FALSE)+VLOOKUP($A61,'1.3.21-28.2.22'!$A$6:$DA$404,78,FALSE)-VLOOKUP($A61,'01-02.2022'!$A$6:$DA$376,78,FALSE)</f>
        <v>6584.3796375162046</v>
      </c>
      <c r="CA61" s="566">
        <f>VLOOKUP($A61,'01-02.2021'!$A$6:$CZ$403,79,FALSE)+VLOOKUP($A61,'1.3.21-28.2.22'!$A$6:$DA$404,79,FALSE)-VLOOKUP($A61,'01-02.2022'!$A$6:$DA$376,79,FALSE)</f>
        <v>3823.8295604176583</v>
      </c>
      <c r="CB61" s="70">
        <f t="shared" si="56"/>
        <v>-2760.5500770985464</v>
      </c>
      <c r="CC61" s="566">
        <f>VLOOKUP($A61,'01-02.2021'!$A$6:$CZ$403,81,FALSE)+VLOOKUP($A61,'1.3.21-28.2.22'!$A$6:$DA$404,81,FALSE)-VLOOKUP($A61,'01-02.2022'!$A$6:$DA$376,81,FALSE)</f>
        <v>473.79053176893927</v>
      </c>
      <c r="CD61" s="566">
        <f>VLOOKUP($A61,'01-02.2021'!$A$6:$CZ$403,82,FALSE)+VLOOKUP($A61,'1.3.21-28.2.22'!$A$6:$DA$404,82,FALSE)-VLOOKUP($A61,'01-02.2022'!$A$6:$DA$376,82,FALSE)</f>
        <v>517.84974395306165</v>
      </c>
      <c r="CE61" s="70">
        <f t="shared" si="57"/>
        <v>44.059212184122373</v>
      </c>
      <c r="CF61" s="566">
        <f>VLOOKUP($A61,'01-02.2021'!$A$6:$CZ$403,84,FALSE)+VLOOKUP($A61,'1.3.21-28.2.22'!$A$6:$DA$404,84,FALSE)-VLOOKUP($A61,'01-02.2022'!$A$6:$DA$376,84,FALSE)</f>
        <v>57.598998778160166</v>
      </c>
      <c r="CG61" s="566">
        <f>VLOOKUP($A61,'01-02.2021'!$A$6:$CZ$403,85,FALSE)+VLOOKUP($A61,'1.3.21-28.2.22'!$A$6:$DA$404,85,FALSE)-VLOOKUP($A61,'01-02.2022'!$A$6:$DA$376,85,FALSE)</f>
        <v>0</v>
      </c>
      <c r="CH61" s="70">
        <f t="shared" si="58"/>
        <v>-57.598998778160166</v>
      </c>
      <c r="CI61" s="566">
        <f>VLOOKUP($A61,'01-02.2021'!$A$6:$CZ$403,87,FALSE)+VLOOKUP($A61,'1.3.21-28.2.22'!$A$6:$DA$404,87,FALSE)-VLOOKUP($A61,'01-02.2022'!$A$6:$DA$376,87,FALSE)</f>
        <v>4040.5865176266393</v>
      </c>
      <c r="CJ61" s="566">
        <f>VLOOKUP($A61,'01-02.2021'!$A$6:$CZ$403,88,FALSE)+VLOOKUP($A61,'1.3.21-28.2.22'!$A$6:$DA$404,88,FALSE)-VLOOKUP($A61,'01-02.2022'!$A$6:$DA$376,88,FALSE)</f>
        <v>4248.2685573369836</v>
      </c>
      <c r="CK61" s="70">
        <f t="shared" si="59"/>
        <v>207.68203971034427</v>
      </c>
      <c r="CL61" s="566">
        <f>VLOOKUP($A61,'01-02.2021'!$A$6:$CZ$403,90,FALSE)+VLOOKUP($A61,'1.3.21-28.2.22'!$A$6:$DA$404,90,FALSE)-VLOOKUP($A61,'01-02.2022'!$A$6:$DA$376,90,FALSE)</f>
        <v>0</v>
      </c>
      <c r="CM61" s="566">
        <f>VLOOKUP($A61,'01-02.2021'!$A$6:$CZ$403,91,FALSE)+VLOOKUP($A61,'1.3.21-28.2.22'!$A$6:$DA$404,91,FALSE)-VLOOKUP($A61,'01-02.2022'!$A$6:$DA$376,91,FALSE)</f>
        <v>0</v>
      </c>
      <c r="CN61" s="52">
        <f t="shared" si="60"/>
        <v>0</v>
      </c>
      <c r="CO61" s="39">
        <f t="shared" si="27"/>
        <v>4040.5865176266393</v>
      </c>
      <c r="CP61" s="40">
        <f t="shared" si="61"/>
        <v>4248.2685573369836</v>
      </c>
      <c r="CQ61" s="52">
        <f t="shared" si="62"/>
        <v>207.68203971034427</v>
      </c>
      <c r="CR61" s="72">
        <f t="shared" si="28"/>
        <v>72356.410296794827</v>
      </c>
      <c r="CS61" s="5">
        <f t="shared" si="28"/>
        <v>58028.356129838961</v>
      </c>
      <c r="CT61" s="52">
        <f t="shared" si="63"/>
        <v>-14328.054166955866</v>
      </c>
      <c r="CU61" s="77">
        <f t="shared" si="64"/>
        <v>86827.692356153784</v>
      </c>
      <c r="CV61" s="65">
        <f t="shared" si="65"/>
        <v>69634.027355806757</v>
      </c>
      <c r="CW61" s="35">
        <f t="shared" si="66"/>
        <v>-17193.665000347028</v>
      </c>
      <c r="CX61" s="566">
        <f>VLOOKUP($A61,'01-02.2021'!$A$6:$CZ$403,102,FALSE)+VLOOKUP($A61,'1.3.21-28.2.22'!$A$6:$DA$404,102,FALSE)-VLOOKUP($A61,'01-02.2022'!$A$6:$DA$376,102,FALSE)</f>
        <v>4422.0744801551409</v>
      </c>
      <c r="CY61" s="566">
        <f>VLOOKUP($A61,'01-02.2021'!$A$6:$CZ$403,103,FALSE)+VLOOKUP($A61,'1.3.21-28.2.22'!$A$6:$DA$404,103,FALSE)-VLOOKUP($A61,'01-02.2022'!$A$6:$DA$376,103,FALSE)</f>
        <v>21615.739480502154</v>
      </c>
      <c r="CZ61" s="52">
        <f t="shared" si="67"/>
        <v>17193.665000347013</v>
      </c>
      <c r="DA61" s="150">
        <f>'[2]побудинковий звіт'!DA61</f>
        <v>28053.923270895168</v>
      </c>
      <c r="DB61" s="2">
        <v>2</v>
      </c>
      <c r="DC61" s="414">
        <f>'[4]побудинковий звіт'!DC61</f>
        <v>20576.77</v>
      </c>
      <c r="DD61" s="414">
        <f>'[4]побудинковий звіт'!DD61</f>
        <v>783.76</v>
      </c>
      <c r="DE61" s="557">
        <f>'[4]побудинковий звіт'!DE61</f>
        <v>12776.179558599753</v>
      </c>
      <c r="DF61" s="557">
        <f>'[4]побудинковий звіт'!DF61</f>
        <v>248.78022611694155</v>
      </c>
      <c r="DG61" s="321">
        <f>VLOOKUP(A61,'кошти 01.03.2021'!$A$6:$D$401,4,)</f>
        <v>46703.022288928893</v>
      </c>
      <c r="DH61" s="40">
        <f>'[3]побудинковий звіт'!DJ61</f>
        <v>94712.87090180337</v>
      </c>
      <c r="DI61" s="422">
        <f>'[3]побудинковий звіт'!CU61+'[3]побудинковий звіт'!CX61</f>
        <v>8335.5702152833055</v>
      </c>
      <c r="DJ61" s="306">
        <f>'[3]побудинковий звіт'!DM61</f>
        <v>4.4879986430011209</v>
      </c>
      <c r="DK61" s="306">
        <f t="shared" si="82"/>
        <v>4.4879986430011209</v>
      </c>
      <c r="DL61" s="306">
        <f>'[3]побудинковий звіт'!DO61</f>
        <v>4.0043396248731922</v>
      </c>
      <c r="DM61" s="28">
        <f t="shared" si="83"/>
        <v>7800.590441400248</v>
      </c>
      <c r="DN61" s="28">
        <f t="shared" si="84"/>
        <v>534.97977388305844</v>
      </c>
      <c r="DO61" s="423">
        <f t="shared" si="29"/>
        <v>8335.5702152833073</v>
      </c>
      <c r="DP61" s="94">
        <f t="shared" si="30"/>
        <v>0</v>
      </c>
      <c r="DQ61" s="28">
        <f t="shared" si="31"/>
        <v>8335.5702152833073</v>
      </c>
      <c r="DR61" s="318"/>
      <c r="DT61" s="8"/>
      <c r="DU61" s="5"/>
      <c r="DX61" s="5">
        <f t="shared" si="32"/>
        <v>24686.82715696187</v>
      </c>
      <c r="DY61" s="5">
        <f t="shared" si="33"/>
        <v>5107.2</v>
      </c>
      <c r="DZ61" s="159">
        <f>'[3]побудинковий звіт'!EA61</f>
        <v>2342.6882305925296</v>
      </c>
    </row>
    <row r="62" spans="1:130" x14ac:dyDescent="0.3">
      <c r="A62" s="325">
        <v>150000513</v>
      </c>
      <c r="B62" s="41" t="s">
        <v>511</v>
      </c>
      <c r="C62" s="42" t="s">
        <v>334</v>
      </c>
      <c r="D62" s="42"/>
      <c r="E62" s="293">
        <f t="shared" si="23"/>
        <v>3630</v>
      </c>
      <c r="F62" s="305">
        <f>'[3]побудинковий звіт'!F62</f>
        <v>2148</v>
      </c>
      <c r="G62" s="508">
        <f>'[3]побудинковий звіт'!G62</f>
        <v>0</v>
      </c>
      <c r="H62" s="560">
        <f>'[3]побудинковий звіт'!H62</f>
        <v>1482</v>
      </c>
      <c r="I62" s="566">
        <f>VLOOKUP($A62,'01-02.2021'!$A$6:$CZ$403,9,FALSE)+VLOOKUP($A62,'1.3.21-28.2.22'!$A$6:$DA$404,9,FALSE)-VLOOKUP($A62,'01-02.2022'!$A$6:$DA$376,9,FALSE)</f>
        <v>7471.9830537332628</v>
      </c>
      <c r="J62" s="566">
        <f>VLOOKUP($A62,'01-02.2021'!$A$6:$CZ$403,10,FALSE)+VLOOKUP($A62,'1.3.21-28.2.22'!$A$6:$DA$404,10,FALSE)-VLOOKUP($A62,'01-02.2022'!$A$6:$DA$376,10,FALSE)</f>
        <v>8335.7317656700598</v>
      </c>
      <c r="K62" s="52">
        <f t="shared" si="34"/>
        <v>863.74871193679701</v>
      </c>
      <c r="L62" s="566">
        <f>VLOOKUP($A62,'01-02.2021'!$A$6:$CZ$403,12,FALSE)+VLOOKUP($A62,'1.3.21-28.2.22'!$A$6:$DA$404,12,FALSE)-VLOOKUP($A62,'01-02.2022'!$A$6:$DA$376,12,FALSE)</f>
        <v>1571.6098379704529</v>
      </c>
      <c r="M62" s="566">
        <f>VLOOKUP($A62,'01-02.2021'!$A$6:$CZ$403,13,FALSE)+VLOOKUP($A62,'1.3.21-28.2.22'!$A$6:$DA$404,13,FALSE)-VLOOKUP($A62,'01-02.2022'!$A$6:$DA$376,13,FALSE)</f>
        <v>1730.398848328563</v>
      </c>
      <c r="N62" s="52">
        <f t="shared" si="35"/>
        <v>158.78901035811009</v>
      </c>
      <c r="O62" s="566">
        <f>VLOOKUP($A62,'01-02.2021'!$A$6:$CZ$403,15,FALSE)+VLOOKUP($A62,'1.3.21-28.2.22'!$A$6:$DA$404,15,FALSE)-VLOOKUP($A62,'01-02.2022'!$A$6:$DA$376,15,FALSE)</f>
        <v>5092.4432210340328</v>
      </c>
      <c r="P62" s="566">
        <f>VLOOKUP($A62,'01-02.2021'!$A$6:$CZ$403,16,FALSE)+VLOOKUP($A62,'1.3.21-28.2.22'!$A$6:$DA$404,16,FALSE)-VLOOKUP($A62,'01-02.2022'!$A$6:$DA$376,16,FALSE)</f>
        <v>5092.45</v>
      </c>
      <c r="Q62" s="70">
        <f t="shared" si="36"/>
        <v>6.7789659669870161E-3</v>
      </c>
      <c r="R62" s="566">
        <f>VLOOKUP($A62,'01-02.2021'!$A$6:$CZ$403,18,FALSE)+VLOOKUP($A62,'1.3.21-28.2.22'!$A$6:$DA$404,18,FALSE)-VLOOKUP($A62,'01-02.2022'!$A$6:$DA$376,18,FALSE)</f>
        <v>1067.6415070894163</v>
      </c>
      <c r="S62" s="566">
        <f>VLOOKUP($A62,'01-02.2021'!$A$6:$CZ$403,19,FALSE)+VLOOKUP($A62,'1.3.21-28.2.22'!$A$6:$DA$404,19,FALSE)-VLOOKUP($A62,'01-02.2022'!$A$6:$DA$376,19,FALSE)</f>
        <v>1067.6199999999999</v>
      </c>
      <c r="T62" s="70">
        <f t="shared" si="37"/>
        <v>-2.1507089416445524E-2</v>
      </c>
      <c r="U62" s="566">
        <f>VLOOKUP($A62,'01-02.2021'!$A$6:$CZ$403,21,FALSE)+VLOOKUP($A62,'1.3.21-28.2.22'!$A$6:$DA$404,21,FALSE)-VLOOKUP($A62,'01-02.2022'!$A$6:$DA$376,21,FALSE)</f>
        <v>351.03563376433772</v>
      </c>
      <c r="V62" s="566">
        <f>VLOOKUP($A62,'01-02.2021'!$A$6:$CZ$403,22,FALSE)+VLOOKUP($A62,'1.3.21-28.2.22'!$A$6:$DA$404,22,FALSE)-VLOOKUP($A62,'01-02.2022'!$A$6:$DA$376,22,FALSE)</f>
        <v>1161.6531802344402</v>
      </c>
      <c r="W62" s="70">
        <f t="shared" si="38"/>
        <v>810.61754647010252</v>
      </c>
      <c r="X62" s="566">
        <f>VLOOKUP($A62,'01-02.2021'!$A$6:$CZ$403,24,FALSE)+VLOOKUP($A62,'1.3.21-28.2.22'!$A$6:$DA$404,24,FALSE)-VLOOKUP($A62,'01-02.2022'!$A$6:$DA$376,24,FALSE)</f>
        <v>3451.7044403684699</v>
      </c>
      <c r="Y62" s="566">
        <f>VLOOKUP($A62,'01-02.2021'!$A$6:$CZ$403,25,FALSE)+VLOOKUP($A62,'1.3.21-28.2.22'!$A$6:$DA$404,25,FALSE)-VLOOKUP($A62,'01-02.2022'!$A$6:$DA$376,25,FALSE)</f>
        <v>4887.9025651727225</v>
      </c>
      <c r="Z62" s="70">
        <f t="shared" si="39"/>
        <v>1436.1981248042525</v>
      </c>
      <c r="AA62" s="566">
        <f>VLOOKUP($A62,'01-02.2021'!$A$6:$CZ$403,27,FALSE)+VLOOKUP($A62,'1.3.21-28.2.22'!$A$6:$DA$404,27,FALSE)-VLOOKUP($A62,'01-02.2022'!$A$6:$DA$376,27,FALSE)</f>
        <v>719.07999999999993</v>
      </c>
      <c r="AB62" s="566">
        <f>VLOOKUP($A62,'01-02.2021'!$A$6:$CZ$403,28,FALSE)+VLOOKUP($A62,'1.3.21-28.2.22'!$A$6:$DA$404,28,FALSE)-VLOOKUP($A62,'01-02.2022'!$A$6:$DA$376,28,FALSE)</f>
        <v>0</v>
      </c>
      <c r="AC62" s="70">
        <f t="shared" si="40"/>
        <v>-719.07999999999993</v>
      </c>
      <c r="AD62" s="566">
        <f>VLOOKUP($A62,'01-02.2021'!$A$6:$CZ$403,30,FALSE)+VLOOKUP($A62,'1.3.21-28.2.22'!$A$6:$DA$404,30,FALSE)-VLOOKUP($A62,'01-02.2022'!$A$6:$DA$376,30,FALSE)</f>
        <v>15386.024611594481</v>
      </c>
      <c r="AE62" s="566">
        <f>VLOOKUP($A62,'01-02.2021'!$A$6:$CZ$403,31,FALSE)+VLOOKUP($A62,'1.3.21-28.2.22'!$A$6:$DA$404,31,FALSE)-VLOOKUP($A62,'01-02.2022'!$A$6:$DA$376,31,FALSE)</f>
        <v>16523.906260868793</v>
      </c>
      <c r="AF62" s="68">
        <f t="shared" si="41"/>
        <v>1137.8816492743117</v>
      </c>
      <c r="AG62" s="77">
        <f t="shared" si="24"/>
        <v>35111.522305554456</v>
      </c>
      <c r="AH62" s="53">
        <f t="shared" si="24"/>
        <v>38799.662620274583</v>
      </c>
      <c r="AI62" s="52">
        <f t="shared" si="42"/>
        <v>3688.1403147201272</v>
      </c>
      <c r="AJ62" s="566">
        <f>VLOOKUP($A62,'01-02.2021'!$A$6:$CZ$403,36,FALSE)+VLOOKUP($A62,'1.3.21-28.2.22'!$A$6:$DA$404,36,FALSE)-VLOOKUP($A62,'01-02.2022'!$A$6:$DA$376,36,FALSE)</f>
        <v>0</v>
      </c>
      <c r="AK62" s="566">
        <f>VLOOKUP($A62,'01-02.2021'!$A$6:$CZ$403,37,FALSE)+VLOOKUP($A62,'1.3.21-28.2.22'!$A$6:$DA$404,37,FALSE)-VLOOKUP($A62,'01-02.2022'!$A$6:$DA$376,37,FALSE)</f>
        <v>0</v>
      </c>
      <c r="AL62" s="70">
        <f t="shared" si="43"/>
        <v>0</v>
      </c>
      <c r="AM62" s="566">
        <f>VLOOKUP($A62,'01-02.2021'!$A$6:$CZ$403,39,FALSE)+VLOOKUP($A62,'1.3.21-28.2.22'!$A$6:$DA$404,39,FALSE)-VLOOKUP($A62,'01-02.2022'!$A$6:$DA$376,39,FALSE)</f>
        <v>0</v>
      </c>
      <c r="AN62" s="566">
        <f>VLOOKUP($A62,'01-02.2021'!$A$6:$CZ$403,40,FALSE)+VLOOKUP($A62,'1.3.21-28.2.22'!$A$6:$DA$404,40,FALSE)-VLOOKUP($A62,'01-02.2022'!$A$6:$DA$376,40,FALSE)</f>
        <v>0</v>
      </c>
      <c r="AO62" s="70">
        <f t="shared" si="44"/>
        <v>0</v>
      </c>
      <c r="AP62" s="566">
        <f>VLOOKUP($A62,'01-02.2021'!$A$6:$CZ$403,42,FALSE)+VLOOKUP($A62,'1.3.21-28.2.22'!$A$6:$DA$404,42,FALSE)-VLOOKUP($A62,'01-02.2022'!$A$6:$DA$376,42,FALSE)</f>
        <v>1127.8798375276845</v>
      </c>
      <c r="AQ62" s="566">
        <f>VLOOKUP($A62,'01-02.2021'!$A$6:$CZ$403,43,FALSE)+VLOOKUP($A62,'1.3.21-28.2.22'!$A$6:$DA$404,43,FALSE)-VLOOKUP($A62,'01-02.2022'!$A$6:$DA$376,43,FALSE)</f>
        <v>962.8116924792522</v>
      </c>
      <c r="AR62" s="70">
        <f t="shared" si="45"/>
        <v>-165.06814504843226</v>
      </c>
      <c r="AS62" s="566">
        <f>VLOOKUP($A62,'01-02.2021'!$A$6:$CZ$403,45,FALSE)+VLOOKUP($A62,'1.3.21-28.2.22'!$A$6:$DA$404,45,FALSE)-VLOOKUP($A62,'01-02.2022'!$A$6:$DA$376,45,FALSE)</f>
        <v>37460.797060324294</v>
      </c>
      <c r="AT62" s="566">
        <f>VLOOKUP($A62,'01-02.2021'!$A$6:$CZ$403,46,FALSE)+VLOOKUP($A62,'1.3.21-28.2.22'!$A$6:$DA$404,46,FALSE)-VLOOKUP($A62,'01-02.2022'!$A$6:$DA$376,46,FALSE)</f>
        <v>302</v>
      </c>
      <c r="AU62" s="78">
        <f t="shared" si="46"/>
        <v>-37158.797060324294</v>
      </c>
      <c r="AV62" s="566">
        <f>VLOOKUP($A62,'01-02.2021'!$A$6:$CZ$403,48,FALSE)+VLOOKUP($A62,'1.3.21-28.2.22'!$A$6:$DA$404,48,FALSE)-VLOOKUP($A62,'01-02.2022'!$A$6:$DA$376,48,FALSE)</f>
        <v>2406.0635034472534</v>
      </c>
      <c r="AW62" s="566">
        <f>VLOOKUP($A62,'01-02.2021'!$A$6:$CZ$403,49,FALSE)+VLOOKUP($A62,'1.3.21-28.2.22'!$A$6:$DA$404,49,FALSE)-VLOOKUP($A62,'01-02.2022'!$A$6:$DA$376,49,FALSE)</f>
        <v>59</v>
      </c>
      <c r="AX62" s="55">
        <f t="shared" si="47"/>
        <v>-2347.0635034472534</v>
      </c>
      <c r="AY62" s="566">
        <f>VLOOKUP($A62,'01-02.2021'!$A$6:$CZ$403,51,FALSE)+VLOOKUP($A62,'1.3.21-28.2.22'!$A$6:$DA$404,51,FALSE)-VLOOKUP($A62,'01-02.2022'!$A$6:$DA$376,51,FALSE)</f>
        <v>2954.4160829982925</v>
      </c>
      <c r="AZ62" s="566">
        <f>VLOOKUP($A62,'01-02.2021'!$A$6:$CZ$403,52,FALSE)+VLOOKUP($A62,'1.3.21-28.2.22'!$A$6:$DA$404,52,FALSE)-VLOOKUP($A62,'01-02.2022'!$A$6:$DA$376,52,FALSE)</f>
        <v>33</v>
      </c>
      <c r="BA62" s="38">
        <f t="shared" si="48"/>
        <v>-2921.4160829982925</v>
      </c>
      <c r="BB62" s="566">
        <f>VLOOKUP($A62,'01-02.2021'!$A$6:$CZ$403,54,FALSE)+VLOOKUP($A62,'1.3.21-28.2.22'!$A$6:$DA$404,54,FALSE)-VLOOKUP($A62,'01-02.2022'!$A$6:$DA$376,54,FALSE)</f>
        <v>2183.437816814856</v>
      </c>
      <c r="BC62" s="566">
        <f>VLOOKUP($A62,'01-02.2021'!$A$6:$CZ$403,55,FALSE)+VLOOKUP($A62,'1.3.21-28.2.22'!$A$6:$DA$404,55,FALSE)-VLOOKUP($A62,'01-02.2022'!$A$6:$DA$376,55,FALSE)</f>
        <v>0</v>
      </c>
      <c r="BD62" s="55">
        <f t="shared" si="49"/>
        <v>-2183.437816814856</v>
      </c>
      <c r="BE62" s="566">
        <f>VLOOKUP($A62,'01-02.2021'!$A$6:$CZ$403,57,FALSE)+VLOOKUP($A62,'1.3.21-28.2.22'!$A$6:$DA$404,57,FALSE)-VLOOKUP($A62,'01-02.2022'!$A$6:$DA$376,57,FALSE)</f>
        <v>2290.1378695321919</v>
      </c>
      <c r="BF62" s="566">
        <f>VLOOKUP($A62,'01-02.2021'!$A$6:$CZ$403,58,FALSE)+VLOOKUP($A62,'1.3.21-28.2.22'!$A$6:$DA$404,58,FALSE)-VLOOKUP($A62,'01-02.2022'!$A$6:$DA$376,58,FALSE)</f>
        <v>0</v>
      </c>
      <c r="BG62" s="55">
        <f t="shared" si="50"/>
        <v>-2290.1378695321919</v>
      </c>
      <c r="BH62" s="566">
        <f>VLOOKUP($A62,'01-02.2021'!$A$6:$CZ$403,60,FALSE)+VLOOKUP($A62,'1.3.21-28.2.22'!$A$6:$DA$404,60,FALSE)-VLOOKUP($A62,'01-02.2022'!$A$6:$DA$376,60,FALSE)</f>
        <v>787.61133711821378</v>
      </c>
      <c r="BI62" s="566">
        <f>VLOOKUP($A62,'01-02.2021'!$A$6:$CZ$403,61,FALSE)+VLOOKUP($A62,'1.3.21-28.2.22'!$A$6:$DA$404,61,FALSE)-VLOOKUP($A62,'01-02.2022'!$A$6:$DA$376,61,FALSE)</f>
        <v>0</v>
      </c>
      <c r="BJ62" s="55">
        <f t="shared" si="51"/>
        <v>-787.61133711821378</v>
      </c>
      <c r="BK62" s="566">
        <f>VLOOKUP($A62,'01-02.2021'!$A$6:$CZ$403,63,FALSE)+VLOOKUP($A62,'1.3.21-28.2.22'!$A$6:$DA$404,63,FALSE)-VLOOKUP($A62,'01-02.2022'!$A$6:$DA$376,63,FALSE)</f>
        <v>708.20411524176757</v>
      </c>
      <c r="BL62" s="566">
        <f>VLOOKUP($A62,'01-02.2021'!$A$6:$CZ$403,64,FALSE)+VLOOKUP($A62,'1.3.21-28.2.22'!$A$6:$DA$404,64,FALSE)-VLOOKUP($A62,'01-02.2022'!$A$6:$DA$376,64,FALSE)</f>
        <v>142</v>
      </c>
      <c r="BM62" s="55">
        <f t="shared" si="52"/>
        <v>-566.20411524176757</v>
      </c>
      <c r="BN62" s="566">
        <f>VLOOKUP($A62,'01-02.2021'!$A$6:$CZ$403,66,FALSE)+VLOOKUP($A62,'1.3.21-28.2.22'!$A$6:$DA$404,66,FALSE)-VLOOKUP($A62,'01-02.2022'!$A$6:$DA$376,66,FALSE)</f>
        <v>179.76999999999998</v>
      </c>
      <c r="BO62" s="566">
        <f>VLOOKUP($A62,'01-02.2021'!$A$6:$CZ$403,67,FALSE)+VLOOKUP($A62,'1.3.21-28.2.22'!$A$6:$DA$404,67,FALSE)-VLOOKUP($A62,'01-02.2022'!$A$6:$DA$376,67,FALSE)</f>
        <v>0</v>
      </c>
      <c r="BP62" s="55">
        <f t="shared" si="53"/>
        <v>-179.76999999999998</v>
      </c>
      <c r="BQ62" s="77">
        <f t="shared" si="79"/>
        <v>11509.640725152576</v>
      </c>
      <c r="BR62" s="40">
        <f t="shared" si="80"/>
        <v>234</v>
      </c>
      <c r="BS62" s="55">
        <f t="shared" si="70"/>
        <v>-11275.640725152576</v>
      </c>
      <c r="BT62" s="566">
        <f>VLOOKUP($A62,'01-02.2021'!$A$6:$CZ$403,72,FALSE)+VLOOKUP($A62,'1.3.21-28.2.22'!$A$6:$DA$404,72,FALSE)-VLOOKUP($A62,'01-02.2022'!$A$6:$DA$376,72,FALSE)</f>
        <v>11549.428473377357</v>
      </c>
      <c r="BU62" s="566">
        <f>VLOOKUP($A62,'01-02.2021'!$A$6:$CZ$403,73,FALSE)+VLOOKUP($A62,'1.3.21-28.2.22'!$A$6:$DA$404,73,FALSE)-VLOOKUP($A62,'01-02.2022'!$A$6:$DA$376,73,FALSE)</f>
        <v>17830.495986234535</v>
      </c>
      <c r="BV62" s="70">
        <f t="shared" si="54"/>
        <v>6281.0675128571784</v>
      </c>
      <c r="BW62" s="566">
        <f>VLOOKUP($A62,'01-02.2021'!$A$6:$CZ$403,75,FALSE)+VLOOKUP($A62,'1.3.21-28.2.22'!$A$6:$DA$404,75,FALSE)-VLOOKUP($A62,'01-02.2022'!$A$6:$DA$376,75,FALSE)</f>
        <v>13651.576849439829</v>
      </c>
      <c r="BX62" s="566">
        <f>VLOOKUP($A62,'01-02.2021'!$A$6:$CZ$403,76,FALSE)+VLOOKUP($A62,'1.3.21-28.2.22'!$A$6:$DA$404,76,FALSE)-VLOOKUP($A62,'01-02.2022'!$A$6:$DA$376,76,FALSE)</f>
        <v>12983.10577177121</v>
      </c>
      <c r="BY62" s="70">
        <f t="shared" si="55"/>
        <v>-668.47107766861882</v>
      </c>
      <c r="BZ62" s="566">
        <f>VLOOKUP($A62,'01-02.2021'!$A$6:$CZ$403,78,FALSE)+VLOOKUP($A62,'1.3.21-28.2.22'!$A$6:$DA$404,78,FALSE)-VLOOKUP($A62,'01-02.2022'!$A$6:$DA$376,78,FALSE)</f>
        <v>8477.0069891366711</v>
      </c>
      <c r="CA62" s="566">
        <f>VLOOKUP($A62,'01-02.2021'!$A$6:$CZ$403,79,FALSE)+VLOOKUP($A62,'1.3.21-28.2.22'!$A$6:$DA$404,79,FALSE)-VLOOKUP($A62,'01-02.2022'!$A$6:$DA$376,79,FALSE)</f>
        <v>5045.8421346933119</v>
      </c>
      <c r="CB62" s="70">
        <f t="shared" si="56"/>
        <v>-3431.1648544433592</v>
      </c>
      <c r="CC62" s="566">
        <f>VLOOKUP($A62,'01-02.2021'!$A$6:$CZ$403,81,FALSE)+VLOOKUP($A62,'1.3.21-28.2.22'!$A$6:$DA$404,81,FALSE)-VLOOKUP($A62,'01-02.2022'!$A$6:$DA$376,81,FALSE)</f>
        <v>0</v>
      </c>
      <c r="CD62" s="566">
        <f>VLOOKUP($A62,'01-02.2021'!$A$6:$CZ$403,82,FALSE)+VLOOKUP($A62,'1.3.21-28.2.22'!$A$6:$DA$404,82,FALSE)-VLOOKUP($A62,'01-02.2022'!$A$6:$DA$376,82,FALSE)</f>
        <v>0</v>
      </c>
      <c r="CE62" s="70">
        <f t="shared" si="57"/>
        <v>0</v>
      </c>
      <c r="CF62" s="566">
        <f>VLOOKUP($A62,'01-02.2021'!$A$6:$CZ$403,84,FALSE)+VLOOKUP($A62,'1.3.21-28.2.22'!$A$6:$DA$404,84,FALSE)-VLOOKUP($A62,'01-02.2022'!$A$6:$DA$376,84,FALSE)</f>
        <v>0</v>
      </c>
      <c r="CG62" s="566">
        <f>VLOOKUP($A62,'01-02.2021'!$A$6:$CZ$403,85,FALSE)+VLOOKUP($A62,'1.3.21-28.2.22'!$A$6:$DA$404,85,FALSE)-VLOOKUP($A62,'01-02.2022'!$A$6:$DA$376,85,FALSE)</f>
        <v>0</v>
      </c>
      <c r="CH62" s="70">
        <f t="shared" si="58"/>
        <v>0</v>
      </c>
      <c r="CI62" s="566">
        <f>VLOOKUP($A62,'01-02.2021'!$A$6:$CZ$403,87,FALSE)+VLOOKUP($A62,'1.3.21-28.2.22'!$A$6:$DA$404,87,FALSE)-VLOOKUP($A62,'01-02.2022'!$A$6:$DA$376,87,FALSE)</f>
        <v>2951.8494386437937</v>
      </c>
      <c r="CJ62" s="566">
        <f>VLOOKUP($A62,'01-02.2021'!$A$6:$CZ$403,88,FALSE)+VLOOKUP($A62,'1.3.21-28.2.22'!$A$6:$DA$404,88,FALSE)-VLOOKUP($A62,'01-02.2022'!$A$6:$DA$376,88,FALSE)</f>
        <v>3085.3008904564535</v>
      </c>
      <c r="CK62" s="70">
        <f t="shared" si="59"/>
        <v>133.4514518126598</v>
      </c>
      <c r="CL62" s="566">
        <f>VLOOKUP($A62,'01-02.2021'!$A$6:$CZ$403,90,FALSE)+VLOOKUP($A62,'1.3.21-28.2.22'!$A$6:$DA$404,90,FALSE)-VLOOKUP($A62,'01-02.2022'!$A$6:$DA$376,90,FALSE)</f>
        <v>0</v>
      </c>
      <c r="CM62" s="566">
        <f>VLOOKUP($A62,'01-02.2021'!$A$6:$CZ$403,91,FALSE)+VLOOKUP($A62,'1.3.21-28.2.22'!$A$6:$DA$404,91,FALSE)-VLOOKUP($A62,'01-02.2022'!$A$6:$DA$376,91,FALSE)</f>
        <v>0</v>
      </c>
      <c r="CN62" s="52">
        <f t="shared" si="60"/>
        <v>0</v>
      </c>
      <c r="CO62" s="39">
        <f t="shared" si="27"/>
        <v>2951.8494386437937</v>
      </c>
      <c r="CP62" s="40">
        <f t="shared" si="61"/>
        <v>3085.3008904564535</v>
      </c>
      <c r="CQ62" s="52">
        <f t="shared" si="62"/>
        <v>133.4514518126598</v>
      </c>
      <c r="CR62" s="72">
        <f t="shared" si="28"/>
        <v>121839.70167915666</v>
      </c>
      <c r="CS62" s="5">
        <f t="shared" si="28"/>
        <v>79243.219095909357</v>
      </c>
      <c r="CT62" s="52">
        <f t="shared" si="63"/>
        <v>-42596.4825832473</v>
      </c>
      <c r="CU62" s="77">
        <f t="shared" si="64"/>
        <v>146207.64201498797</v>
      </c>
      <c r="CV62" s="65">
        <f t="shared" si="65"/>
        <v>95091.862915091231</v>
      </c>
      <c r="CW62" s="35">
        <f t="shared" si="66"/>
        <v>-51115.779099896739</v>
      </c>
      <c r="CX62" s="566">
        <f>VLOOKUP($A62,'01-02.2021'!$A$6:$CZ$403,102,FALSE)+VLOOKUP($A62,'1.3.21-28.2.22'!$A$6:$DA$404,102,FALSE)-VLOOKUP($A62,'01-02.2022'!$A$6:$DA$376,102,FALSE)</f>
        <v>5103.7197931402834</v>
      </c>
      <c r="CY62" s="566">
        <f>VLOOKUP($A62,'01-02.2021'!$A$6:$CZ$403,103,FALSE)+VLOOKUP($A62,'1.3.21-28.2.22'!$A$6:$DA$404,103,FALSE)-VLOOKUP($A62,'01-02.2022'!$A$6:$DA$376,103,FALSE)</f>
        <v>56219.498893037075</v>
      </c>
      <c r="CZ62" s="52">
        <f t="shared" si="67"/>
        <v>51115.77909989679</v>
      </c>
      <c r="DA62" s="150">
        <f>'[2]побудинковий звіт'!DA62</f>
        <v>-65122.98591449474</v>
      </c>
      <c r="DB62" s="2">
        <v>2</v>
      </c>
      <c r="DC62" s="414">
        <f>'[4]побудинковий звіт'!DC62</f>
        <v>33307</v>
      </c>
      <c r="DD62" s="414">
        <f>'[4]побудинковий звіт'!DD62</f>
        <v>2131.9699999999998</v>
      </c>
      <c r="DE62" s="557">
        <f>'[4]побудинковий звіт'!DE62</f>
        <v>24525.838199644622</v>
      </c>
      <c r="DF62" s="557">
        <f>'[4]побудинковий звіт'!DF62</f>
        <v>-2805.6840138203574</v>
      </c>
      <c r="DG62" s="321">
        <f>VLOOKUP(A62,'кошти 01.03.2021'!$A$6:$D$401,4,)</f>
        <v>-12607.23187506596</v>
      </c>
      <c r="DH62" s="40">
        <f>'[3]побудинковий звіт'!DJ62</f>
        <v>156556.94371162026</v>
      </c>
      <c r="DI62" s="422">
        <f>'[3]побудинковий звіт'!CU62+'[3]побудинковий звіт'!CX62</f>
        <v>13718.815814175736</v>
      </c>
      <c r="DJ62" s="306">
        <f>'[3]побудинковий звіт'!DM62</f>
        <v>4.0880641528656323</v>
      </c>
      <c r="DK62" s="306">
        <f t="shared" si="82"/>
        <v>4.0880641528656323</v>
      </c>
      <c r="DL62" s="306">
        <f>'[3]побудинковий звіт'!DO62</f>
        <v>3.3317503467073935</v>
      </c>
      <c r="DM62" s="28">
        <f t="shared" si="83"/>
        <v>8781.1618003553776</v>
      </c>
      <c r="DN62" s="28">
        <f t="shared" si="84"/>
        <v>4937.6540138203572</v>
      </c>
      <c r="DO62" s="423">
        <f t="shared" si="29"/>
        <v>13718.815814175734</v>
      </c>
      <c r="DP62" s="94">
        <f t="shared" si="30"/>
        <v>0</v>
      </c>
      <c r="DQ62" s="28">
        <f t="shared" si="31"/>
        <v>13718.815814175734</v>
      </c>
      <c r="DR62" s="318"/>
      <c r="DT62" s="8"/>
      <c r="DU62" s="5"/>
      <c r="DX62" s="5">
        <f t="shared" si="32"/>
        <v>58764.52534257224</v>
      </c>
      <c r="DY62" s="5">
        <f t="shared" si="33"/>
        <v>643.19999999999993</v>
      </c>
      <c r="DZ62" s="159">
        <f>'[3]побудинковий звіт'!EA62</f>
        <v>5562.1755406539478</v>
      </c>
    </row>
    <row r="63" spans="1:130" x14ac:dyDescent="0.3">
      <c r="A63" s="325">
        <v>150000538</v>
      </c>
      <c r="B63" s="41" t="s">
        <v>512</v>
      </c>
      <c r="C63" s="42" t="s">
        <v>208</v>
      </c>
      <c r="D63" s="42"/>
      <c r="E63" s="293">
        <f t="shared" si="23"/>
        <v>1469.3</v>
      </c>
      <c r="F63" s="305">
        <f>'[3]побудинковий звіт'!F63</f>
        <v>1469.3</v>
      </c>
      <c r="G63" s="508">
        <f>'[3]побудинковий звіт'!G63</f>
        <v>0</v>
      </c>
      <c r="H63" s="560">
        <f>'[3]побудинковий звіт'!H63</f>
        <v>0</v>
      </c>
      <c r="I63" s="566">
        <f>VLOOKUP($A63,'01-02.2021'!$A$6:$CZ$403,9,FALSE)+VLOOKUP($A63,'1.3.21-28.2.22'!$A$6:$DA$404,9,FALSE)-VLOOKUP($A63,'01-02.2022'!$A$6:$DA$376,9,FALSE)</f>
        <v>4426.4400487799385</v>
      </c>
      <c r="J63" s="566">
        <f>VLOOKUP($A63,'01-02.2021'!$A$6:$CZ$403,10,FALSE)+VLOOKUP($A63,'1.3.21-28.2.22'!$A$6:$DA$404,10,FALSE)-VLOOKUP($A63,'01-02.2022'!$A$6:$DA$376,10,FALSE)</f>
        <v>4874.7140230960067</v>
      </c>
      <c r="K63" s="52">
        <f t="shared" si="34"/>
        <v>448.27397431606823</v>
      </c>
      <c r="L63" s="566">
        <f>VLOOKUP($A63,'01-02.2021'!$A$6:$CZ$403,12,FALSE)+VLOOKUP($A63,'1.3.21-28.2.22'!$A$6:$DA$404,12,FALSE)-VLOOKUP($A63,'01-02.2022'!$A$6:$DA$376,12,FALSE)</f>
        <v>694.60304558000075</v>
      </c>
      <c r="M63" s="566">
        <f>VLOOKUP($A63,'01-02.2021'!$A$6:$CZ$403,13,FALSE)+VLOOKUP($A63,'1.3.21-28.2.22'!$A$6:$DA$404,13,FALSE)-VLOOKUP($A63,'01-02.2022'!$A$6:$DA$376,13,FALSE)</f>
        <v>764.78793753877972</v>
      </c>
      <c r="N63" s="52">
        <f t="shared" si="35"/>
        <v>70.184891958778962</v>
      </c>
      <c r="O63" s="566">
        <f>VLOOKUP($A63,'01-02.2021'!$A$6:$CZ$403,15,FALSE)+VLOOKUP($A63,'1.3.21-28.2.22'!$A$6:$DA$404,15,FALSE)-VLOOKUP($A63,'01-02.2022'!$A$6:$DA$376,15,FALSE)</f>
        <v>1848.1029719797748</v>
      </c>
      <c r="P63" s="566">
        <f>VLOOKUP($A63,'01-02.2021'!$A$6:$CZ$403,16,FALSE)+VLOOKUP($A63,'1.3.21-28.2.22'!$A$6:$DA$404,16,FALSE)-VLOOKUP($A63,'01-02.2022'!$A$6:$DA$376,16,FALSE)</f>
        <v>1848.12</v>
      </c>
      <c r="Q63" s="70">
        <f t="shared" si="36"/>
        <v>1.7028020225097862E-2</v>
      </c>
      <c r="R63" s="566">
        <f>VLOOKUP($A63,'01-02.2021'!$A$6:$CZ$403,18,FALSE)+VLOOKUP($A63,'1.3.21-28.2.22'!$A$6:$DA$404,18,FALSE)-VLOOKUP($A63,'01-02.2022'!$A$6:$DA$376,18,FALSE)</f>
        <v>0</v>
      </c>
      <c r="S63" s="566">
        <f>VLOOKUP($A63,'01-02.2021'!$A$6:$CZ$403,19,FALSE)+VLOOKUP($A63,'1.3.21-28.2.22'!$A$6:$DA$404,19,FALSE)-VLOOKUP($A63,'01-02.2022'!$A$6:$DA$376,19,FALSE)</f>
        <v>0</v>
      </c>
      <c r="T63" s="70">
        <f t="shared" si="37"/>
        <v>0</v>
      </c>
      <c r="U63" s="566">
        <f>VLOOKUP($A63,'01-02.2021'!$A$6:$CZ$403,21,FALSE)+VLOOKUP($A63,'1.3.21-28.2.22'!$A$6:$DA$404,21,FALSE)-VLOOKUP($A63,'01-02.2022'!$A$6:$DA$376,21,FALSE)</f>
        <v>0</v>
      </c>
      <c r="V63" s="566">
        <f>VLOOKUP($A63,'01-02.2021'!$A$6:$CZ$403,22,FALSE)+VLOOKUP($A63,'1.3.21-28.2.22'!$A$6:$DA$404,22,FALSE)-VLOOKUP($A63,'01-02.2022'!$A$6:$DA$376,22,FALSE)</f>
        <v>0</v>
      </c>
      <c r="W63" s="70">
        <f t="shared" si="38"/>
        <v>0</v>
      </c>
      <c r="X63" s="566">
        <f>VLOOKUP($A63,'01-02.2021'!$A$6:$CZ$403,24,FALSE)+VLOOKUP($A63,'1.3.21-28.2.22'!$A$6:$DA$404,24,FALSE)-VLOOKUP($A63,'01-02.2022'!$A$6:$DA$376,24,FALSE)</f>
        <v>2572.1485048667842</v>
      </c>
      <c r="Y63" s="566">
        <f>VLOOKUP($A63,'01-02.2021'!$A$6:$CZ$403,25,FALSE)+VLOOKUP($A63,'1.3.21-28.2.22'!$A$6:$DA$404,25,FALSE)-VLOOKUP($A63,'01-02.2022'!$A$6:$DA$376,25,FALSE)</f>
        <v>2019.0666214015173</v>
      </c>
      <c r="Z63" s="70">
        <f t="shared" si="39"/>
        <v>-553.08188346526686</v>
      </c>
      <c r="AA63" s="566">
        <f>VLOOKUP($A63,'01-02.2021'!$A$6:$CZ$403,27,FALSE)+VLOOKUP($A63,'1.3.21-28.2.22'!$A$6:$DA$404,27,FALSE)-VLOOKUP($A63,'01-02.2022'!$A$6:$DA$376,27,FALSE)</f>
        <v>293.86</v>
      </c>
      <c r="AB63" s="566">
        <f>VLOOKUP($A63,'01-02.2021'!$A$6:$CZ$403,28,FALSE)+VLOOKUP($A63,'1.3.21-28.2.22'!$A$6:$DA$404,28,FALSE)-VLOOKUP($A63,'01-02.2022'!$A$6:$DA$376,28,FALSE)</f>
        <v>0</v>
      </c>
      <c r="AC63" s="70">
        <f t="shared" si="40"/>
        <v>-293.86</v>
      </c>
      <c r="AD63" s="566">
        <f>VLOOKUP($A63,'01-02.2021'!$A$6:$CZ$403,30,FALSE)+VLOOKUP($A63,'1.3.21-28.2.22'!$A$6:$DA$404,30,FALSE)-VLOOKUP($A63,'01-02.2022'!$A$6:$DA$376,30,FALSE)</f>
        <v>6311.1026751682584</v>
      </c>
      <c r="AE63" s="566">
        <f>VLOOKUP($A63,'01-02.2021'!$A$6:$CZ$403,31,FALSE)+VLOOKUP($A63,'1.3.21-28.2.22'!$A$6:$DA$404,31,FALSE)-VLOOKUP($A63,'01-02.2022'!$A$6:$DA$376,31,FALSE)</f>
        <v>6688.3128014034464</v>
      </c>
      <c r="AF63" s="68">
        <f t="shared" si="41"/>
        <v>377.210126235188</v>
      </c>
      <c r="AG63" s="77">
        <f t="shared" si="24"/>
        <v>16146.257246374757</v>
      </c>
      <c r="AH63" s="53">
        <f t="shared" si="24"/>
        <v>16195.00138343975</v>
      </c>
      <c r="AI63" s="52">
        <f t="shared" si="42"/>
        <v>48.744137064993993</v>
      </c>
      <c r="AJ63" s="566">
        <f>VLOOKUP($A63,'01-02.2021'!$A$6:$CZ$403,36,FALSE)+VLOOKUP($A63,'1.3.21-28.2.22'!$A$6:$DA$404,36,FALSE)-VLOOKUP($A63,'01-02.2022'!$A$6:$DA$376,36,FALSE)</f>
        <v>0</v>
      </c>
      <c r="AK63" s="566">
        <f>VLOOKUP($A63,'01-02.2021'!$A$6:$CZ$403,37,FALSE)+VLOOKUP($A63,'1.3.21-28.2.22'!$A$6:$DA$404,37,FALSE)-VLOOKUP($A63,'01-02.2022'!$A$6:$DA$376,37,FALSE)</f>
        <v>0</v>
      </c>
      <c r="AL63" s="70">
        <f t="shared" si="43"/>
        <v>0</v>
      </c>
      <c r="AM63" s="566">
        <f>VLOOKUP($A63,'01-02.2021'!$A$6:$CZ$403,39,FALSE)+VLOOKUP($A63,'1.3.21-28.2.22'!$A$6:$DA$404,39,FALSE)-VLOOKUP($A63,'01-02.2022'!$A$6:$DA$376,39,FALSE)</f>
        <v>0</v>
      </c>
      <c r="AN63" s="566">
        <f>VLOOKUP($A63,'01-02.2021'!$A$6:$CZ$403,40,FALSE)+VLOOKUP($A63,'1.3.21-28.2.22'!$A$6:$DA$404,40,FALSE)-VLOOKUP($A63,'01-02.2022'!$A$6:$DA$376,40,FALSE)</f>
        <v>0</v>
      </c>
      <c r="AO63" s="70">
        <f t="shared" si="44"/>
        <v>0</v>
      </c>
      <c r="AP63" s="566">
        <f>VLOOKUP($A63,'01-02.2021'!$A$6:$CZ$403,42,FALSE)+VLOOKUP($A63,'1.3.21-28.2.22'!$A$6:$DA$404,42,FALSE)-VLOOKUP($A63,'01-02.2022'!$A$6:$DA$376,42,FALSE)</f>
        <v>5552.639200136291</v>
      </c>
      <c r="AQ63" s="566">
        <f>VLOOKUP($A63,'01-02.2021'!$A$6:$CZ$403,43,FALSE)+VLOOKUP($A63,'1.3.21-28.2.22'!$A$6:$DA$404,43,FALSE)-VLOOKUP($A63,'01-02.2022'!$A$6:$DA$376,43,FALSE)</f>
        <v>4786.8213251190264</v>
      </c>
      <c r="AR63" s="70">
        <f t="shared" si="45"/>
        <v>-765.81787501726467</v>
      </c>
      <c r="AS63" s="566">
        <f>VLOOKUP($A63,'01-02.2021'!$A$6:$CZ$403,45,FALSE)+VLOOKUP($A63,'1.3.21-28.2.22'!$A$6:$DA$404,45,FALSE)-VLOOKUP($A63,'01-02.2022'!$A$6:$DA$376,45,FALSE)</f>
        <v>12022.040517979985</v>
      </c>
      <c r="AT63" s="566">
        <f>VLOOKUP($A63,'01-02.2021'!$A$6:$CZ$403,46,FALSE)+VLOOKUP($A63,'1.3.21-28.2.22'!$A$6:$DA$404,46,FALSE)-VLOOKUP($A63,'01-02.2022'!$A$6:$DA$376,46,FALSE)</f>
        <v>89928</v>
      </c>
      <c r="AU63" s="78">
        <f t="shared" si="46"/>
        <v>77905.959482020015</v>
      </c>
      <c r="AV63" s="566">
        <f>VLOOKUP($A63,'01-02.2021'!$A$6:$CZ$403,48,FALSE)+VLOOKUP($A63,'1.3.21-28.2.22'!$A$6:$DA$404,48,FALSE)-VLOOKUP($A63,'01-02.2022'!$A$6:$DA$376,48,FALSE)</f>
        <v>1151.2451173013362</v>
      </c>
      <c r="AW63" s="566">
        <f>VLOOKUP($A63,'01-02.2021'!$A$6:$CZ$403,49,FALSE)+VLOOKUP($A63,'1.3.21-28.2.22'!$A$6:$DA$404,49,FALSE)-VLOOKUP($A63,'01-02.2022'!$A$6:$DA$376,49,FALSE)</f>
        <v>0</v>
      </c>
      <c r="AX63" s="55">
        <f t="shared" si="47"/>
        <v>-1151.2451173013362</v>
      </c>
      <c r="AY63" s="566">
        <f>VLOOKUP($A63,'01-02.2021'!$A$6:$CZ$403,51,FALSE)+VLOOKUP($A63,'1.3.21-28.2.22'!$A$6:$DA$404,51,FALSE)-VLOOKUP($A63,'01-02.2022'!$A$6:$DA$376,51,FALSE)</f>
        <v>1305.8343108666145</v>
      </c>
      <c r="AZ63" s="566">
        <f>VLOOKUP($A63,'01-02.2021'!$A$6:$CZ$403,52,FALSE)+VLOOKUP($A63,'1.3.21-28.2.22'!$A$6:$DA$404,52,FALSE)-VLOOKUP($A63,'01-02.2022'!$A$6:$DA$376,52,FALSE)</f>
        <v>0</v>
      </c>
      <c r="BA63" s="38">
        <f t="shared" si="48"/>
        <v>-1305.8343108666145</v>
      </c>
      <c r="BB63" s="566">
        <f>VLOOKUP($A63,'01-02.2021'!$A$6:$CZ$403,54,FALSE)+VLOOKUP($A63,'1.3.21-28.2.22'!$A$6:$DA$404,54,FALSE)-VLOOKUP($A63,'01-02.2022'!$A$6:$DA$376,54,FALSE)</f>
        <v>919.55406471527692</v>
      </c>
      <c r="BC63" s="566">
        <f>VLOOKUP($A63,'01-02.2021'!$A$6:$CZ$403,55,FALSE)+VLOOKUP($A63,'1.3.21-28.2.22'!$A$6:$DA$404,55,FALSE)-VLOOKUP($A63,'01-02.2022'!$A$6:$DA$376,55,FALSE)</f>
        <v>0</v>
      </c>
      <c r="BD63" s="55">
        <f t="shared" si="49"/>
        <v>-919.55406471527692</v>
      </c>
      <c r="BE63" s="566">
        <f>VLOOKUP($A63,'01-02.2021'!$A$6:$CZ$403,57,FALSE)+VLOOKUP($A63,'1.3.21-28.2.22'!$A$6:$DA$404,57,FALSE)-VLOOKUP($A63,'01-02.2022'!$A$6:$DA$376,57,FALSE)</f>
        <v>0</v>
      </c>
      <c r="BF63" s="566">
        <f>VLOOKUP($A63,'01-02.2021'!$A$6:$CZ$403,58,FALSE)+VLOOKUP($A63,'1.3.21-28.2.22'!$A$6:$DA$404,58,FALSE)-VLOOKUP($A63,'01-02.2022'!$A$6:$DA$376,58,FALSE)</f>
        <v>0</v>
      </c>
      <c r="BG63" s="55">
        <f t="shared" si="50"/>
        <v>0</v>
      </c>
      <c r="BH63" s="566">
        <f>VLOOKUP($A63,'01-02.2021'!$A$6:$CZ$403,60,FALSE)+VLOOKUP($A63,'1.3.21-28.2.22'!$A$6:$DA$404,60,FALSE)-VLOOKUP($A63,'01-02.2022'!$A$6:$DA$376,60,FALSE)</f>
        <v>0</v>
      </c>
      <c r="BI63" s="566">
        <f>VLOOKUP($A63,'01-02.2021'!$A$6:$CZ$403,61,FALSE)+VLOOKUP($A63,'1.3.21-28.2.22'!$A$6:$DA$404,61,FALSE)-VLOOKUP($A63,'01-02.2022'!$A$6:$DA$376,61,FALSE)</f>
        <v>0</v>
      </c>
      <c r="BJ63" s="55">
        <f t="shared" si="51"/>
        <v>0</v>
      </c>
      <c r="BK63" s="566">
        <f>VLOOKUP($A63,'01-02.2021'!$A$6:$CZ$403,63,FALSE)+VLOOKUP($A63,'1.3.21-28.2.22'!$A$6:$DA$404,63,FALSE)-VLOOKUP($A63,'01-02.2022'!$A$6:$DA$376,63,FALSE)</f>
        <v>629.82638253536959</v>
      </c>
      <c r="BL63" s="566">
        <f>VLOOKUP($A63,'01-02.2021'!$A$6:$CZ$403,64,FALSE)+VLOOKUP($A63,'1.3.21-28.2.22'!$A$6:$DA$404,64,FALSE)-VLOOKUP($A63,'01-02.2022'!$A$6:$DA$376,64,FALSE)</f>
        <v>0</v>
      </c>
      <c r="BM63" s="55">
        <f t="shared" si="52"/>
        <v>-629.82638253536959</v>
      </c>
      <c r="BN63" s="566">
        <f>VLOOKUP($A63,'01-02.2021'!$A$6:$CZ$403,66,FALSE)+VLOOKUP($A63,'1.3.21-28.2.22'!$A$6:$DA$404,66,FALSE)-VLOOKUP($A63,'01-02.2022'!$A$6:$DA$376,66,FALSE)</f>
        <v>73.465000000000003</v>
      </c>
      <c r="BO63" s="566">
        <f>VLOOKUP($A63,'01-02.2021'!$A$6:$CZ$403,67,FALSE)+VLOOKUP($A63,'1.3.21-28.2.22'!$A$6:$DA$404,67,FALSE)-VLOOKUP($A63,'01-02.2022'!$A$6:$DA$376,67,FALSE)</f>
        <v>0</v>
      </c>
      <c r="BP63" s="55">
        <f t="shared" si="53"/>
        <v>-73.465000000000003</v>
      </c>
      <c r="BQ63" s="77">
        <f t="shared" si="79"/>
        <v>4079.9248754185978</v>
      </c>
      <c r="BR63" s="40">
        <f t="shared" si="80"/>
        <v>0</v>
      </c>
      <c r="BS63" s="55">
        <f t="shared" si="70"/>
        <v>-4079.9248754185978</v>
      </c>
      <c r="BT63" s="566">
        <f>VLOOKUP($A63,'01-02.2021'!$A$6:$CZ$403,72,FALSE)+VLOOKUP($A63,'1.3.21-28.2.22'!$A$6:$DA$404,72,FALSE)-VLOOKUP($A63,'01-02.2022'!$A$6:$DA$376,72,FALSE)</f>
        <v>18309.851982111046</v>
      </c>
      <c r="BU63" s="566">
        <f>VLOOKUP($A63,'01-02.2021'!$A$6:$CZ$403,73,FALSE)+VLOOKUP($A63,'1.3.21-28.2.22'!$A$6:$DA$404,73,FALSE)-VLOOKUP($A63,'01-02.2022'!$A$6:$DA$376,73,FALSE)</f>
        <v>23195.302777021763</v>
      </c>
      <c r="BV63" s="70">
        <f t="shared" si="54"/>
        <v>4885.4507949107174</v>
      </c>
      <c r="BW63" s="566">
        <f>VLOOKUP($A63,'01-02.2021'!$A$6:$CZ$403,75,FALSE)+VLOOKUP($A63,'1.3.21-28.2.22'!$A$6:$DA$404,75,FALSE)-VLOOKUP($A63,'01-02.2022'!$A$6:$DA$376,75,FALSE)</f>
        <v>6141.9285096356307</v>
      </c>
      <c r="BX63" s="566">
        <f>VLOOKUP($A63,'01-02.2021'!$A$6:$CZ$403,76,FALSE)+VLOOKUP($A63,'1.3.21-28.2.22'!$A$6:$DA$404,76,FALSE)-VLOOKUP($A63,'01-02.2022'!$A$6:$DA$376,76,FALSE)</f>
        <v>6120.8571567890467</v>
      </c>
      <c r="BY63" s="70">
        <f t="shared" si="55"/>
        <v>-21.071352846583977</v>
      </c>
      <c r="BZ63" s="566">
        <f>VLOOKUP($A63,'01-02.2021'!$A$6:$CZ$403,78,FALSE)+VLOOKUP($A63,'1.3.21-28.2.22'!$A$6:$DA$404,78,FALSE)-VLOOKUP($A63,'01-02.2022'!$A$6:$DA$376,78,FALSE)</f>
        <v>6226.7507972484937</v>
      </c>
      <c r="CA63" s="566">
        <f>VLOOKUP($A63,'01-02.2021'!$A$6:$CZ$403,79,FALSE)+VLOOKUP($A63,'1.3.21-28.2.22'!$A$6:$DA$404,79,FALSE)-VLOOKUP($A63,'01-02.2022'!$A$6:$DA$376,79,FALSE)</f>
        <v>5449.0644547865495</v>
      </c>
      <c r="CB63" s="70">
        <f t="shared" si="56"/>
        <v>-777.68634246194415</v>
      </c>
      <c r="CC63" s="566">
        <f>VLOOKUP($A63,'01-02.2021'!$A$6:$CZ$403,81,FALSE)+VLOOKUP($A63,'1.3.21-28.2.22'!$A$6:$DA$404,81,FALSE)-VLOOKUP($A63,'01-02.2022'!$A$6:$DA$376,81,FALSE)</f>
        <v>887.75632897404421</v>
      </c>
      <c r="CD63" s="566">
        <f>VLOOKUP($A63,'01-02.2021'!$A$6:$CZ$403,82,FALSE)+VLOOKUP($A63,'1.3.21-28.2.22'!$A$6:$DA$404,82,FALSE)-VLOOKUP($A63,'01-02.2022'!$A$6:$DA$376,82,FALSE)</f>
        <v>970.31147063132858</v>
      </c>
      <c r="CE63" s="70">
        <f t="shared" si="57"/>
        <v>82.555141657284366</v>
      </c>
      <c r="CF63" s="566">
        <f>VLOOKUP($A63,'01-02.2021'!$A$6:$CZ$403,84,FALSE)+VLOOKUP($A63,'1.3.21-28.2.22'!$A$6:$DA$404,84,FALSE)-VLOOKUP($A63,'01-02.2022'!$A$6:$DA$376,84,FALSE)</f>
        <v>107.92506873653008</v>
      </c>
      <c r="CG63" s="566">
        <f>VLOOKUP($A63,'01-02.2021'!$A$6:$CZ$403,85,FALSE)+VLOOKUP($A63,'1.3.21-28.2.22'!$A$6:$DA$404,85,FALSE)-VLOOKUP($A63,'01-02.2022'!$A$6:$DA$376,85,FALSE)</f>
        <v>0</v>
      </c>
      <c r="CH63" s="70">
        <f t="shared" si="58"/>
        <v>-107.92506873653008</v>
      </c>
      <c r="CI63" s="566">
        <f>VLOOKUP($A63,'01-02.2021'!$A$6:$CZ$403,87,FALSE)+VLOOKUP($A63,'1.3.21-28.2.22'!$A$6:$DA$404,87,FALSE)-VLOOKUP($A63,'01-02.2022'!$A$6:$DA$376,87,FALSE)</f>
        <v>4075.9540524392251</v>
      </c>
      <c r="CJ63" s="566">
        <f>VLOOKUP($A63,'01-02.2021'!$A$6:$CZ$403,88,FALSE)+VLOOKUP($A63,'1.3.21-28.2.22'!$A$6:$DA$404,88,FALSE)-VLOOKUP($A63,'01-02.2022'!$A$6:$DA$376,88,FALSE)</f>
        <v>4160.8195365982492</v>
      </c>
      <c r="CK63" s="70">
        <f t="shared" si="59"/>
        <v>84.865484159024163</v>
      </c>
      <c r="CL63" s="566">
        <f>VLOOKUP($A63,'01-02.2021'!$A$6:$CZ$403,90,FALSE)+VLOOKUP($A63,'1.3.21-28.2.22'!$A$6:$DA$404,90,FALSE)-VLOOKUP($A63,'01-02.2022'!$A$6:$DA$376,90,FALSE)</f>
        <v>0</v>
      </c>
      <c r="CM63" s="566">
        <f>VLOOKUP($A63,'01-02.2021'!$A$6:$CZ$403,91,FALSE)+VLOOKUP($A63,'1.3.21-28.2.22'!$A$6:$DA$404,91,FALSE)-VLOOKUP($A63,'01-02.2022'!$A$6:$DA$376,91,FALSE)</f>
        <v>0</v>
      </c>
      <c r="CN63" s="52">
        <f t="shared" si="60"/>
        <v>0</v>
      </c>
      <c r="CO63" s="39">
        <f t="shared" si="27"/>
        <v>4075.9540524392251</v>
      </c>
      <c r="CP63" s="40">
        <f t="shared" si="61"/>
        <v>4160.8195365982492</v>
      </c>
      <c r="CQ63" s="52">
        <f t="shared" si="62"/>
        <v>84.865484159024163</v>
      </c>
      <c r="CR63" s="72">
        <f t="shared" si="28"/>
        <v>73551.028579054604</v>
      </c>
      <c r="CS63" s="5">
        <f t="shared" si="28"/>
        <v>150806.17810438573</v>
      </c>
      <c r="CT63" s="52">
        <f t="shared" si="63"/>
        <v>77255.14952533113</v>
      </c>
      <c r="CU63" s="77">
        <f t="shared" si="64"/>
        <v>88261.234294865528</v>
      </c>
      <c r="CV63" s="65">
        <f t="shared" si="65"/>
        <v>180967.41372526289</v>
      </c>
      <c r="CW63" s="35">
        <f t="shared" si="66"/>
        <v>92706.179430397358</v>
      </c>
      <c r="CX63" s="566">
        <f>VLOOKUP($A63,'01-02.2021'!$A$6:$CZ$403,102,FALSE)+VLOOKUP($A63,'1.3.21-28.2.22'!$A$6:$DA$404,102,FALSE)-VLOOKUP($A63,'01-02.2022'!$A$6:$DA$376,102,FALSE)</f>
        <v>1637.7026738225395</v>
      </c>
      <c r="CY63" s="566">
        <f>VLOOKUP($A63,'01-02.2021'!$A$6:$CZ$403,103,FALSE)+VLOOKUP($A63,'1.3.21-28.2.22'!$A$6:$DA$404,103,FALSE)-VLOOKUP($A63,'01-02.2022'!$A$6:$DA$376,103,FALSE)</f>
        <v>-91068.476756574761</v>
      </c>
      <c r="CZ63" s="52">
        <f t="shared" si="67"/>
        <v>-92706.1794303973</v>
      </c>
      <c r="DA63" s="150">
        <f>'[2]побудинковий звіт'!DA63</f>
        <v>93969.001461084539</v>
      </c>
      <c r="DB63" s="2">
        <v>2</v>
      </c>
      <c r="DC63" s="414">
        <f>'[4]побудинковий звіт'!DC63</f>
        <v>17742.310000000001</v>
      </c>
      <c r="DD63" s="414">
        <f>'[4]побудинковий звіт'!DD63</f>
        <v>0</v>
      </c>
      <c r="DE63" s="557">
        <f>'[4]побудинковий звіт'!DE63</f>
        <v>9582.9906371499892</v>
      </c>
      <c r="DF63" s="557">
        <f>'[4]побудинковий звіт'!DF63</f>
        <v>0</v>
      </c>
      <c r="DG63" s="321">
        <f>VLOOKUP(A63,'кошти 01.03.2021'!$A$6:$D$401,4,)</f>
        <v>-265.65730325058848</v>
      </c>
      <c r="DH63" s="40">
        <f>'[3]побудинковий звіт'!DJ63</f>
        <v>93056.538718263051</v>
      </c>
      <c r="DI63" s="422">
        <f>'[3]побудинковий звіт'!CU63+'[3]побудинковий звіт'!CX63</f>
        <v>8159.319362850013</v>
      </c>
      <c r="DJ63" s="306">
        <f>'[3]побудинковий звіт'!DM63</f>
        <v>5.5532017714898343</v>
      </c>
      <c r="DK63" s="306">
        <f t="shared" si="82"/>
        <v>5.5532017714898343</v>
      </c>
      <c r="DL63" s="306">
        <f>'[3]побудинковий звіт'!DO63</f>
        <v>5.0544500086809743</v>
      </c>
      <c r="DM63" s="28">
        <f t="shared" si="83"/>
        <v>8159.319362850013</v>
      </c>
      <c r="DN63" s="28">
        <f t="shared" si="84"/>
        <v>0</v>
      </c>
      <c r="DO63" s="423">
        <f t="shared" si="29"/>
        <v>8159.319362850013</v>
      </c>
      <c r="DP63" s="94">
        <f t="shared" si="30"/>
        <v>0</v>
      </c>
      <c r="DQ63" s="28">
        <f t="shared" si="31"/>
        <v>8159.319362850013</v>
      </c>
      <c r="DR63" s="318"/>
      <c r="DT63" s="8"/>
      <c r="DU63" s="5"/>
      <c r="DX63" s="5">
        <f t="shared" si="32"/>
        <v>19322.3584720783</v>
      </c>
      <c r="DY63" s="5">
        <f t="shared" si="33"/>
        <v>107913.59999999999</v>
      </c>
      <c r="DZ63" s="159">
        <f>'[3]побудинковий звіт'!EA63</f>
        <v>1858.6929087743983</v>
      </c>
    </row>
    <row r="64" spans="1:130" x14ac:dyDescent="0.3">
      <c r="A64" s="325">
        <v>150000514</v>
      </c>
      <c r="B64" s="41" t="s">
        <v>513</v>
      </c>
      <c r="C64" s="42" t="s">
        <v>152</v>
      </c>
      <c r="D64" s="42"/>
      <c r="E64" s="293">
        <f t="shared" si="23"/>
        <v>253.5</v>
      </c>
      <c r="F64" s="305">
        <f>'[3]побудинковий звіт'!F64</f>
        <v>253.5</v>
      </c>
      <c r="G64" s="508">
        <f>'[3]побудинковий звіт'!G64</f>
        <v>0</v>
      </c>
      <c r="H64" s="560">
        <f>'[3]побудинковий звіт'!H64</f>
        <v>0</v>
      </c>
      <c r="I64" s="566">
        <f>VLOOKUP($A64,'01-02.2021'!$A$6:$CZ$403,9,FALSE)+VLOOKUP($A64,'1.3.21-28.2.22'!$A$6:$DA$404,9,FALSE)-VLOOKUP($A64,'01-02.2022'!$A$6:$DA$376,9,FALSE)</f>
        <v>1350.0913589238876</v>
      </c>
      <c r="J64" s="566">
        <f>VLOOKUP($A64,'01-02.2021'!$A$6:$CZ$403,10,FALSE)+VLOOKUP($A64,'1.3.21-28.2.22'!$A$6:$DA$404,10,FALSE)-VLOOKUP($A64,'01-02.2022'!$A$6:$DA$376,10,FALSE)</f>
        <v>1469.9604502672082</v>
      </c>
      <c r="K64" s="52">
        <f t="shared" si="34"/>
        <v>119.86909134332063</v>
      </c>
      <c r="L64" s="566">
        <f>VLOOKUP($A64,'01-02.2021'!$A$6:$CZ$403,12,FALSE)+VLOOKUP($A64,'1.3.21-28.2.22'!$A$6:$DA$404,12,FALSE)-VLOOKUP($A64,'01-02.2022'!$A$6:$DA$376,12,FALSE)</f>
        <v>278.3337637834311</v>
      </c>
      <c r="M64" s="566">
        <f>VLOOKUP($A64,'01-02.2021'!$A$6:$CZ$403,13,FALSE)+VLOOKUP($A64,'1.3.21-28.2.22'!$A$6:$DA$404,13,FALSE)-VLOOKUP($A64,'01-02.2022'!$A$6:$DA$376,13,FALSE)</f>
        <v>306.45943415508236</v>
      </c>
      <c r="N64" s="52">
        <f t="shared" si="35"/>
        <v>28.125670371651267</v>
      </c>
      <c r="O64" s="566">
        <f>VLOOKUP($A64,'01-02.2021'!$A$6:$CZ$403,15,FALSE)+VLOOKUP($A64,'1.3.21-28.2.22'!$A$6:$DA$404,15,FALSE)-VLOOKUP($A64,'01-02.2022'!$A$6:$DA$376,15,FALSE)</f>
        <v>352.42649194181672</v>
      </c>
      <c r="P64" s="566">
        <f>VLOOKUP($A64,'01-02.2021'!$A$6:$CZ$403,16,FALSE)+VLOOKUP($A64,'1.3.21-28.2.22'!$A$6:$DA$404,16,FALSE)-VLOOKUP($A64,'01-02.2022'!$A$6:$DA$376,16,FALSE)</f>
        <v>352.43000000000006</v>
      </c>
      <c r="Q64" s="70">
        <f t="shared" si="36"/>
        <v>3.508058183342655E-3</v>
      </c>
      <c r="R64" s="566">
        <f>VLOOKUP($A64,'01-02.2021'!$A$6:$CZ$403,18,FALSE)+VLOOKUP($A64,'1.3.21-28.2.22'!$A$6:$DA$404,18,FALSE)-VLOOKUP($A64,'01-02.2022'!$A$6:$DA$376,18,FALSE)</f>
        <v>0</v>
      </c>
      <c r="S64" s="566">
        <f>VLOOKUP($A64,'01-02.2021'!$A$6:$CZ$403,19,FALSE)+VLOOKUP($A64,'1.3.21-28.2.22'!$A$6:$DA$404,19,FALSE)-VLOOKUP($A64,'01-02.2022'!$A$6:$DA$376,19,FALSE)</f>
        <v>0</v>
      </c>
      <c r="T64" s="70">
        <f t="shared" si="37"/>
        <v>0</v>
      </c>
      <c r="U64" s="566">
        <f>VLOOKUP($A64,'01-02.2021'!$A$6:$CZ$403,21,FALSE)+VLOOKUP($A64,'1.3.21-28.2.22'!$A$6:$DA$404,21,FALSE)-VLOOKUP($A64,'01-02.2022'!$A$6:$DA$376,21,FALSE)</f>
        <v>0</v>
      </c>
      <c r="V64" s="566">
        <f>VLOOKUP($A64,'01-02.2021'!$A$6:$CZ$403,22,FALSE)+VLOOKUP($A64,'1.3.21-28.2.22'!$A$6:$DA$404,22,FALSE)-VLOOKUP($A64,'01-02.2022'!$A$6:$DA$376,22,FALSE)</f>
        <v>0</v>
      </c>
      <c r="W64" s="70">
        <f t="shared" si="38"/>
        <v>0</v>
      </c>
      <c r="X64" s="566">
        <f>VLOOKUP($A64,'01-02.2021'!$A$6:$CZ$403,24,FALSE)+VLOOKUP($A64,'1.3.21-28.2.22'!$A$6:$DA$404,24,FALSE)-VLOOKUP($A64,'01-02.2022'!$A$6:$DA$376,24,FALSE)</f>
        <v>838.29978130558118</v>
      </c>
      <c r="Y64" s="566">
        <f>VLOOKUP($A64,'01-02.2021'!$A$6:$CZ$403,25,FALSE)+VLOOKUP($A64,'1.3.21-28.2.22'!$A$6:$DA$404,25,FALSE)-VLOOKUP($A64,'01-02.2022'!$A$6:$DA$376,25,FALSE)</f>
        <v>628.15641005822999</v>
      </c>
      <c r="Z64" s="70">
        <f t="shared" si="39"/>
        <v>-210.14337124735118</v>
      </c>
      <c r="AA64" s="566">
        <f>VLOOKUP($A64,'01-02.2021'!$A$6:$CZ$403,27,FALSE)+VLOOKUP($A64,'1.3.21-28.2.22'!$A$6:$DA$404,27,FALSE)-VLOOKUP($A64,'01-02.2022'!$A$6:$DA$376,27,FALSE)</f>
        <v>50.7</v>
      </c>
      <c r="AB64" s="566">
        <f>VLOOKUP($A64,'01-02.2021'!$A$6:$CZ$403,28,FALSE)+VLOOKUP($A64,'1.3.21-28.2.22'!$A$6:$DA$404,28,FALSE)-VLOOKUP($A64,'01-02.2022'!$A$6:$DA$376,28,FALSE)</f>
        <v>0</v>
      </c>
      <c r="AC64" s="70">
        <f t="shared" si="40"/>
        <v>-50.7</v>
      </c>
      <c r="AD64" s="566">
        <f>VLOOKUP($A64,'01-02.2021'!$A$6:$CZ$403,30,FALSE)+VLOOKUP($A64,'1.3.21-28.2.22'!$A$6:$DA$404,30,FALSE)-VLOOKUP($A64,'01-02.2022'!$A$6:$DA$376,30,FALSE)</f>
        <v>1088.8703315180355</v>
      </c>
      <c r="AE64" s="566">
        <f>VLOOKUP($A64,'01-02.2021'!$A$6:$CZ$403,31,FALSE)+VLOOKUP($A64,'1.3.21-28.2.22'!$A$6:$DA$404,31,FALSE)-VLOOKUP($A64,'01-02.2022'!$A$6:$DA$376,31,FALSE)</f>
        <v>1153.9422140854649</v>
      </c>
      <c r="AF64" s="68">
        <f t="shared" si="41"/>
        <v>65.071882567429384</v>
      </c>
      <c r="AG64" s="77">
        <f t="shared" si="24"/>
        <v>3958.7217274727518</v>
      </c>
      <c r="AH64" s="53">
        <f t="shared" si="24"/>
        <v>3910.9485085659853</v>
      </c>
      <c r="AI64" s="52">
        <f t="shared" si="42"/>
        <v>-47.773218906766488</v>
      </c>
      <c r="AJ64" s="566">
        <f>VLOOKUP($A64,'01-02.2021'!$A$6:$CZ$403,36,FALSE)+VLOOKUP($A64,'1.3.21-28.2.22'!$A$6:$DA$404,36,FALSE)-VLOOKUP($A64,'01-02.2022'!$A$6:$DA$376,36,FALSE)</f>
        <v>0</v>
      </c>
      <c r="AK64" s="566">
        <f>VLOOKUP($A64,'01-02.2021'!$A$6:$CZ$403,37,FALSE)+VLOOKUP($A64,'1.3.21-28.2.22'!$A$6:$DA$404,37,FALSE)-VLOOKUP($A64,'01-02.2022'!$A$6:$DA$376,37,FALSE)</f>
        <v>0</v>
      </c>
      <c r="AL64" s="70">
        <f t="shared" si="43"/>
        <v>0</v>
      </c>
      <c r="AM64" s="566">
        <f>VLOOKUP($A64,'01-02.2021'!$A$6:$CZ$403,39,FALSE)+VLOOKUP($A64,'1.3.21-28.2.22'!$A$6:$DA$404,39,FALSE)-VLOOKUP($A64,'01-02.2022'!$A$6:$DA$376,39,FALSE)</f>
        <v>0</v>
      </c>
      <c r="AN64" s="566">
        <f>VLOOKUP($A64,'01-02.2021'!$A$6:$CZ$403,40,FALSE)+VLOOKUP($A64,'1.3.21-28.2.22'!$A$6:$DA$404,40,FALSE)-VLOOKUP($A64,'01-02.2022'!$A$6:$DA$376,40,FALSE)</f>
        <v>0</v>
      </c>
      <c r="AO64" s="70">
        <f t="shared" si="44"/>
        <v>0</v>
      </c>
      <c r="AP64" s="566">
        <f>VLOOKUP($A64,'01-02.2021'!$A$6:$CZ$403,42,FALSE)+VLOOKUP($A64,'1.3.21-28.2.22'!$A$6:$DA$404,42,FALSE)-VLOOKUP($A64,'01-02.2022'!$A$6:$DA$376,42,FALSE)</f>
        <v>520.55992501277728</v>
      </c>
      <c r="AQ64" s="566">
        <f>VLOOKUP($A64,'01-02.2021'!$A$6:$CZ$403,43,FALSE)+VLOOKUP($A64,'1.3.21-28.2.22'!$A$6:$DA$404,43,FALSE)-VLOOKUP($A64,'01-02.2022'!$A$6:$DA$376,43,FALSE)</f>
        <v>449.29339314325051</v>
      </c>
      <c r="AR64" s="70">
        <f t="shared" si="45"/>
        <v>-71.266531869526773</v>
      </c>
      <c r="AS64" s="566">
        <f>VLOOKUP($A64,'01-02.2021'!$A$6:$CZ$403,45,FALSE)+VLOOKUP($A64,'1.3.21-28.2.22'!$A$6:$DA$404,45,FALSE)-VLOOKUP($A64,'01-02.2022'!$A$6:$DA$376,45,FALSE)</f>
        <v>3869.2239759148815</v>
      </c>
      <c r="AT64" s="566">
        <f>VLOOKUP($A64,'01-02.2021'!$A$6:$CZ$403,46,FALSE)+VLOOKUP($A64,'1.3.21-28.2.22'!$A$6:$DA$404,46,FALSE)-VLOOKUP($A64,'01-02.2022'!$A$6:$DA$376,46,FALSE)</f>
        <v>151</v>
      </c>
      <c r="AU64" s="78">
        <f t="shared" si="46"/>
        <v>-3718.2239759148815</v>
      </c>
      <c r="AV64" s="566">
        <f>VLOOKUP($A64,'01-02.2021'!$A$6:$CZ$403,48,FALSE)+VLOOKUP($A64,'1.3.21-28.2.22'!$A$6:$DA$404,48,FALSE)-VLOOKUP($A64,'01-02.2022'!$A$6:$DA$376,48,FALSE)</f>
        <v>470.47288223984356</v>
      </c>
      <c r="AW64" s="566">
        <f>VLOOKUP($A64,'01-02.2021'!$A$6:$CZ$403,49,FALSE)+VLOOKUP($A64,'1.3.21-28.2.22'!$A$6:$DA$404,49,FALSE)-VLOOKUP($A64,'01-02.2022'!$A$6:$DA$376,49,FALSE)</f>
        <v>0</v>
      </c>
      <c r="AX64" s="55">
        <f t="shared" si="47"/>
        <v>-470.47288223984356</v>
      </c>
      <c r="AY64" s="566">
        <f>VLOOKUP($A64,'01-02.2021'!$A$6:$CZ$403,51,FALSE)+VLOOKUP($A64,'1.3.21-28.2.22'!$A$6:$DA$404,51,FALSE)-VLOOKUP($A64,'01-02.2022'!$A$6:$DA$376,51,FALSE)</f>
        <v>523.26592066189937</v>
      </c>
      <c r="AZ64" s="566">
        <f>VLOOKUP($A64,'01-02.2021'!$A$6:$CZ$403,52,FALSE)+VLOOKUP($A64,'1.3.21-28.2.22'!$A$6:$DA$404,52,FALSE)-VLOOKUP($A64,'01-02.2022'!$A$6:$DA$376,52,FALSE)</f>
        <v>0</v>
      </c>
      <c r="BA64" s="38">
        <f t="shared" si="48"/>
        <v>-523.26592066189937</v>
      </c>
      <c r="BB64" s="566">
        <f>VLOOKUP($A64,'01-02.2021'!$A$6:$CZ$403,54,FALSE)+VLOOKUP($A64,'1.3.21-28.2.22'!$A$6:$DA$404,54,FALSE)-VLOOKUP($A64,'01-02.2022'!$A$6:$DA$376,54,FALSE)</f>
        <v>58.676924865032575</v>
      </c>
      <c r="BC64" s="566">
        <f>VLOOKUP($A64,'01-02.2021'!$A$6:$CZ$403,55,FALSE)+VLOOKUP($A64,'1.3.21-28.2.22'!$A$6:$DA$404,55,FALSE)-VLOOKUP($A64,'01-02.2022'!$A$6:$DA$376,55,FALSE)</f>
        <v>0</v>
      </c>
      <c r="BD64" s="55">
        <f t="shared" si="49"/>
        <v>-58.676924865032575</v>
      </c>
      <c r="BE64" s="566">
        <f>VLOOKUP($A64,'01-02.2021'!$A$6:$CZ$403,57,FALSE)+VLOOKUP($A64,'1.3.21-28.2.22'!$A$6:$DA$404,57,FALSE)-VLOOKUP($A64,'01-02.2022'!$A$6:$DA$376,57,FALSE)</f>
        <v>0</v>
      </c>
      <c r="BF64" s="566">
        <f>VLOOKUP($A64,'01-02.2021'!$A$6:$CZ$403,58,FALSE)+VLOOKUP($A64,'1.3.21-28.2.22'!$A$6:$DA$404,58,FALSE)-VLOOKUP($A64,'01-02.2022'!$A$6:$DA$376,58,FALSE)</f>
        <v>0</v>
      </c>
      <c r="BG64" s="55">
        <f t="shared" si="50"/>
        <v>0</v>
      </c>
      <c r="BH64" s="566">
        <f>VLOOKUP($A64,'01-02.2021'!$A$6:$CZ$403,60,FALSE)+VLOOKUP($A64,'1.3.21-28.2.22'!$A$6:$DA$404,60,FALSE)-VLOOKUP($A64,'01-02.2022'!$A$6:$DA$376,60,FALSE)</f>
        <v>0</v>
      </c>
      <c r="BI64" s="566">
        <f>VLOOKUP($A64,'01-02.2021'!$A$6:$CZ$403,61,FALSE)+VLOOKUP($A64,'1.3.21-28.2.22'!$A$6:$DA$404,61,FALSE)-VLOOKUP($A64,'01-02.2022'!$A$6:$DA$376,61,FALSE)</f>
        <v>0</v>
      </c>
      <c r="BJ64" s="55">
        <f t="shared" si="51"/>
        <v>0</v>
      </c>
      <c r="BK64" s="566">
        <f>VLOOKUP($A64,'01-02.2021'!$A$6:$CZ$403,63,FALSE)+VLOOKUP($A64,'1.3.21-28.2.22'!$A$6:$DA$404,63,FALSE)-VLOOKUP($A64,'01-02.2022'!$A$6:$DA$376,63,FALSE)</f>
        <v>106.82372126509718</v>
      </c>
      <c r="BL64" s="566">
        <f>VLOOKUP($A64,'01-02.2021'!$A$6:$CZ$403,64,FALSE)+VLOOKUP($A64,'1.3.21-28.2.22'!$A$6:$DA$404,64,FALSE)-VLOOKUP($A64,'01-02.2022'!$A$6:$DA$376,64,FALSE)</f>
        <v>0</v>
      </c>
      <c r="BM64" s="55">
        <f t="shared" si="52"/>
        <v>-106.82372126509718</v>
      </c>
      <c r="BN64" s="566">
        <f>VLOOKUP($A64,'01-02.2021'!$A$6:$CZ$403,66,FALSE)+VLOOKUP($A64,'1.3.21-28.2.22'!$A$6:$DA$404,66,FALSE)-VLOOKUP($A64,'01-02.2022'!$A$6:$DA$376,66,FALSE)</f>
        <v>12.675000000000001</v>
      </c>
      <c r="BO64" s="566">
        <f>VLOOKUP($A64,'01-02.2021'!$A$6:$CZ$403,67,FALSE)+VLOOKUP($A64,'1.3.21-28.2.22'!$A$6:$DA$404,67,FALSE)-VLOOKUP($A64,'01-02.2022'!$A$6:$DA$376,67,FALSE)</f>
        <v>0</v>
      </c>
      <c r="BP64" s="55">
        <f t="shared" si="53"/>
        <v>-12.675000000000001</v>
      </c>
      <c r="BQ64" s="77">
        <f t="shared" si="79"/>
        <v>1171.9144490318727</v>
      </c>
      <c r="BR64" s="40">
        <f t="shared" si="80"/>
        <v>0</v>
      </c>
      <c r="BS64" s="55">
        <f t="shared" si="70"/>
        <v>-1171.9144490318727</v>
      </c>
      <c r="BT64" s="566">
        <f>VLOOKUP($A64,'01-02.2021'!$A$6:$CZ$403,72,FALSE)+VLOOKUP($A64,'1.3.21-28.2.22'!$A$6:$DA$404,72,FALSE)-VLOOKUP($A64,'01-02.2022'!$A$6:$DA$376,72,FALSE)</f>
        <v>0</v>
      </c>
      <c r="BU64" s="566">
        <f>VLOOKUP($A64,'01-02.2021'!$A$6:$CZ$403,73,FALSE)+VLOOKUP($A64,'1.3.21-28.2.22'!$A$6:$DA$404,73,FALSE)-VLOOKUP($A64,'01-02.2022'!$A$6:$DA$376,73,FALSE)</f>
        <v>0</v>
      </c>
      <c r="BV64" s="70">
        <f t="shared" si="54"/>
        <v>0</v>
      </c>
      <c r="BW64" s="566">
        <f>VLOOKUP($A64,'01-02.2021'!$A$6:$CZ$403,75,FALSE)+VLOOKUP($A64,'1.3.21-28.2.22'!$A$6:$DA$404,75,FALSE)-VLOOKUP($A64,'01-02.2022'!$A$6:$DA$376,75,FALSE)</f>
        <v>110.10650449435707</v>
      </c>
      <c r="BX64" s="566">
        <f>VLOOKUP($A64,'01-02.2021'!$A$6:$CZ$403,76,FALSE)+VLOOKUP($A64,'1.3.21-28.2.22'!$A$6:$DA$404,76,FALSE)-VLOOKUP($A64,'01-02.2022'!$A$6:$DA$376,76,FALSE)</f>
        <v>129.38330388218355</v>
      </c>
      <c r="BY64" s="70">
        <f t="shared" si="55"/>
        <v>19.276799387826486</v>
      </c>
      <c r="BZ64" s="566">
        <f>VLOOKUP($A64,'01-02.2021'!$A$6:$CZ$403,78,FALSE)+VLOOKUP($A64,'1.3.21-28.2.22'!$A$6:$DA$404,78,FALSE)-VLOOKUP($A64,'01-02.2022'!$A$6:$DA$376,78,FALSE)</f>
        <v>0</v>
      </c>
      <c r="CA64" s="566">
        <f>VLOOKUP($A64,'01-02.2021'!$A$6:$CZ$403,79,FALSE)+VLOOKUP($A64,'1.3.21-28.2.22'!$A$6:$DA$404,79,FALSE)-VLOOKUP($A64,'01-02.2022'!$A$6:$DA$376,79,FALSE)</f>
        <v>0</v>
      </c>
      <c r="CB64" s="70">
        <f t="shared" si="56"/>
        <v>0</v>
      </c>
      <c r="CC64" s="566">
        <f>VLOOKUP($A64,'01-02.2021'!$A$6:$CZ$403,81,FALSE)+VLOOKUP($A64,'1.3.21-28.2.22'!$A$6:$DA$404,81,FALSE)-VLOOKUP($A64,'01-02.2022'!$A$6:$DA$376,81,FALSE)</f>
        <v>0</v>
      </c>
      <c r="CD64" s="566">
        <f>VLOOKUP($A64,'01-02.2021'!$A$6:$CZ$403,82,FALSE)+VLOOKUP($A64,'1.3.21-28.2.22'!$A$6:$DA$404,82,FALSE)-VLOOKUP($A64,'01-02.2022'!$A$6:$DA$376,82,FALSE)</f>
        <v>0</v>
      </c>
      <c r="CE64" s="70">
        <f t="shared" si="57"/>
        <v>0</v>
      </c>
      <c r="CF64" s="566">
        <f>VLOOKUP($A64,'01-02.2021'!$A$6:$CZ$403,84,FALSE)+VLOOKUP($A64,'1.3.21-28.2.22'!$A$6:$DA$404,84,FALSE)-VLOOKUP($A64,'01-02.2022'!$A$6:$DA$376,84,FALSE)</f>
        <v>0</v>
      </c>
      <c r="CG64" s="566">
        <f>VLOOKUP($A64,'01-02.2021'!$A$6:$CZ$403,85,FALSE)+VLOOKUP($A64,'1.3.21-28.2.22'!$A$6:$DA$404,85,FALSE)-VLOOKUP($A64,'01-02.2022'!$A$6:$DA$376,85,FALSE)</f>
        <v>0</v>
      </c>
      <c r="CH64" s="70">
        <f t="shared" si="58"/>
        <v>0</v>
      </c>
      <c r="CI64" s="566">
        <f>VLOOKUP($A64,'01-02.2021'!$A$6:$CZ$403,87,FALSE)+VLOOKUP($A64,'1.3.21-28.2.22'!$A$6:$DA$404,87,FALSE)-VLOOKUP($A64,'01-02.2022'!$A$6:$DA$376,87,FALSE)</f>
        <v>367.74123259370685</v>
      </c>
      <c r="CJ64" s="566">
        <f>VLOOKUP($A64,'01-02.2021'!$A$6:$CZ$403,88,FALSE)+VLOOKUP($A64,'1.3.21-28.2.22'!$A$6:$DA$404,88,FALSE)-VLOOKUP($A64,'01-02.2022'!$A$6:$DA$376,88,FALSE)</f>
        <v>140.22887907747591</v>
      </c>
      <c r="CK64" s="70">
        <f t="shared" si="59"/>
        <v>-227.51235351623095</v>
      </c>
      <c r="CL64" s="566">
        <f>VLOOKUP($A64,'01-02.2021'!$A$6:$CZ$403,90,FALSE)+VLOOKUP($A64,'1.3.21-28.2.22'!$A$6:$DA$404,90,FALSE)-VLOOKUP($A64,'01-02.2022'!$A$6:$DA$376,90,FALSE)</f>
        <v>0</v>
      </c>
      <c r="CM64" s="566">
        <f>VLOOKUP($A64,'01-02.2021'!$A$6:$CZ$403,91,FALSE)+VLOOKUP($A64,'1.3.21-28.2.22'!$A$6:$DA$404,91,FALSE)-VLOOKUP($A64,'01-02.2022'!$A$6:$DA$376,91,FALSE)</f>
        <v>0</v>
      </c>
      <c r="CN64" s="52">
        <f t="shared" si="60"/>
        <v>0</v>
      </c>
      <c r="CO64" s="39">
        <f t="shared" si="27"/>
        <v>367.74123259370685</v>
      </c>
      <c r="CP64" s="40">
        <f t="shared" si="61"/>
        <v>140.22887907747591</v>
      </c>
      <c r="CQ64" s="52">
        <f t="shared" si="62"/>
        <v>-227.51235351623095</v>
      </c>
      <c r="CR64" s="72">
        <f t="shared" si="28"/>
        <v>9998.2678145203463</v>
      </c>
      <c r="CS64" s="5">
        <f t="shared" si="28"/>
        <v>4780.8540846688948</v>
      </c>
      <c r="CT64" s="52">
        <f t="shared" si="63"/>
        <v>-5217.4137298514515</v>
      </c>
      <c r="CU64" s="77">
        <f t="shared" si="64"/>
        <v>11997.921377424414</v>
      </c>
      <c r="CV64" s="65">
        <f t="shared" si="65"/>
        <v>5737.0249016026737</v>
      </c>
      <c r="CW64" s="35">
        <f t="shared" si="66"/>
        <v>-6260.8964758217408</v>
      </c>
      <c r="CX64" s="566">
        <f>VLOOKUP($A64,'01-02.2021'!$A$6:$CZ$403,102,FALSE)+VLOOKUP($A64,'1.3.21-28.2.22'!$A$6:$DA$404,102,FALSE)-VLOOKUP($A64,'01-02.2022'!$A$6:$DA$376,102,FALSE)</f>
        <v>340.13790154040493</v>
      </c>
      <c r="CY64" s="566">
        <f>VLOOKUP($A64,'01-02.2021'!$A$6:$CZ$403,103,FALSE)+VLOOKUP($A64,'1.3.21-28.2.22'!$A$6:$DA$404,103,FALSE)-VLOOKUP($A64,'01-02.2022'!$A$6:$DA$376,103,FALSE)</f>
        <v>6601.0343773621471</v>
      </c>
      <c r="CZ64" s="52">
        <f t="shared" si="67"/>
        <v>6260.8964758217426</v>
      </c>
      <c r="DA64" s="150">
        <f>'[2]побудинковий звіт'!DA64</f>
        <v>-19940.651592976305</v>
      </c>
      <c r="DB64" s="2">
        <v>2</v>
      </c>
      <c r="DC64" s="414">
        <f>'[4]побудинковий звіт'!DC64</f>
        <v>1401.36</v>
      </c>
      <c r="DD64" s="414">
        <f>'[4]побудинковий звіт'!DD64</f>
        <v>0</v>
      </c>
      <c r="DE64" s="557">
        <f>'[4]побудинковий звіт'!DE64</f>
        <v>279.63912380654892</v>
      </c>
      <c r="DF64" s="557">
        <f>'[4]побудинковий звіт'!DF64</f>
        <v>0</v>
      </c>
      <c r="DG64" s="321">
        <f>VLOOKUP(A64,'кошти 01.03.2021'!$A$6:$D$401,4,)</f>
        <v>-14878.798379119022</v>
      </c>
      <c r="DH64" s="40">
        <f>'[3]побудинковий звіт'!DJ64</f>
        <v>12780.588312173211</v>
      </c>
      <c r="DI64" s="422">
        <f>'[3]побудинковий звіт'!CU64+'[3]побудинковий звіт'!CX64</f>
        <v>1121.720876193451</v>
      </c>
      <c r="DJ64" s="306">
        <f>'[3]побудинковий звіт'!DM64</f>
        <v>4.4249344228538501</v>
      </c>
      <c r="DK64" s="306">
        <f t="shared" si="82"/>
        <v>4.4249344228538501</v>
      </c>
      <c r="DL64" s="306">
        <f>'[3]побудинковий звіт'!DO64</f>
        <v>4.3493583605973685</v>
      </c>
      <c r="DM64" s="28">
        <f t="shared" si="83"/>
        <v>1121.720876193451</v>
      </c>
      <c r="DN64" s="28">
        <f t="shared" si="84"/>
        <v>0</v>
      </c>
      <c r="DO64" s="423">
        <f t="shared" si="29"/>
        <v>1121.720876193451</v>
      </c>
      <c r="DP64" s="94">
        <f t="shared" si="30"/>
        <v>0</v>
      </c>
      <c r="DQ64" s="28">
        <f t="shared" si="31"/>
        <v>1121.720876193451</v>
      </c>
      <c r="DR64" s="318"/>
      <c r="DT64" s="8"/>
      <c r="DU64" s="5"/>
      <c r="DX64" s="5">
        <f t="shared" si="32"/>
        <v>6049.3661099361043</v>
      </c>
      <c r="DY64" s="5">
        <f t="shared" si="33"/>
        <v>181.2</v>
      </c>
      <c r="DZ64" s="159">
        <f>'[3]побудинковий звіт'!EA64</f>
        <v>587.63143644507068</v>
      </c>
    </row>
    <row r="65" spans="1:130" x14ac:dyDescent="0.3">
      <c r="A65" s="325">
        <v>150000515</v>
      </c>
      <c r="B65" s="41" t="s">
        <v>514</v>
      </c>
      <c r="C65" s="42" t="s">
        <v>54</v>
      </c>
      <c r="D65" s="42"/>
      <c r="E65" s="293">
        <f t="shared" si="23"/>
        <v>200.6</v>
      </c>
      <c r="F65" s="305">
        <f>'[3]побудинковий звіт'!F65</f>
        <v>200.6</v>
      </c>
      <c r="G65" s="508">
        <f>'[3]побудинковий звіт'!G65</f>
        <v>0</v>
      </c>
      <c r="H65" s="560">
        <f>'[3]побудинковий звіт'!H65</f>
        <v>0</v>
      </c>
      <c r="I65" s="566">
        <f>VLOOKUP($A65,'01-02.2021'!$A$6:$CZ$403,9,FALSE)+VLOOKUP($A65,'1.3.21-28.2.22'!$A$6:$DA$404,9,FALSE)-VLOOKUP($A65,'01-02.2022'!$A$6:$DA$376,9,FALSE)</f>
        <v>0</v>
      </c>
      <c r="J65" s="566">
        <f>VLOOKUP($A65,'01-02.2021'!$A$6:$CZ$403,10,FALSE)+VLOOKUP($A65,'1.3.21-28.2.22'!$A$6:$DA$404,10,FALSE)-VLOOKUP($A65,'01-02.2022'!$A$6:$DA$376,10,FALSE)</f>
        <v>0</v>
      </c>
      <c r="K65" s="52">
        <f t="shared" si="34"/>
        <v>0</v>
      </c>
      <c r="L65" s="566">
        <f>VLOOKUP($A65,'01-02.2021'!$A$6:$CZ$403,12,FALSE)+VLOOKUP($A65,'1.3.21-28.2.22'!$A$6:$DA$404,12,FALSE)-VLOOKUP($A65,'01-02.2022'!$A$6:$DA$376,12,FALSE)</f>
        <v>0</v>
      </c>
      <c r="M65" s="566">
        <f>VLOOKUP($A65,'01-02.2021'!$A$6:$CZ$403,13,FALSE)+VLOOKUP($A65,'1.3.21-28.2.22'!$A$6:$DA$404,13,FALSE)-VLOOKUP($A65,'01-02.2022'!$A$6:$DA$376,13,FALSE)</f>
        <v>0</v>
      </c>
      <c r="N65" s="52">
        <f t="shared" si="35"/>
        <v>0</v>
      </c>
      <c r="O65" s="566">
        <f>VLOOKUP($A65,'01-02.2021'!$A$6:$CZ$403,15,FALSE)+VLOOKUP($A65,'1.3.21-28.2.22'!$A$6:$DA$404,15,FALSE)-VLOOKUP($A65,'01-02.2022'!$A$6:$DA$376,15,FALSE)</f>
        <v>0</v>
      </c>
      <c r="P65" s="566">
        <f>VLOOKUP($A65,'01-02.2021'!$A$6:$CZ$403,16,FALSE)+VLOOKUP($A65,'1.3.21-28.2.22'!$A$6:$DA$404,16,FALSE)-VLOOKUP($A65,'01-02.2022'!$A$6:$DA$376,16,FALSE)</f>
        <v>0</v>
      </c>
      <c r="Q65" s="70">
        <f t="shared" si="36"/>
        <v>0</v>
      </c>
      <c r="R65" s="566">
        <f>VLOOKUP($A65,'01-02.2021'!$A$6:$CZ$403,18,FALSE)+VLOOKUP($A65,'1.3.21-28.2.22'!$A$6:$DA$404,18,FALSE)-VLOOKUP($A65,'01-02.2022'!$A$6:$DA$376,18,FALSE)</f>
        <v>0</v>
      </c>
      <c r="S65" s="566">
        <f>VLOOKUP($A65,'01-02.2021'!$A$6:$CZ$403,19,FALSE)+VLOOKUP($A65,'1.3.21-28.2.22'!$A$6:$DA$404,19,FALSE)-VLOOKUP($A65,'01-02.2022'!$A$6:$DA$376,19,FALSE)</f>
        <v>0</v>
      </c>
      <c r="T65" s="70">
        <f t="shared" si="37"/>
        <v>0</v>
      </c>
      <c r="U65" s="566">
        <f>VLOOKUP($A65,'01-02.2021'!$A$6:$CZ$403,21,FALSE)+VLOOKUP($A65,'1.3.21-28.2.22'!$A$6:$DA$404,21,FALSE)-VLOOKUP($A65,'01-02.2022'!$A$6:$DA$376,21,FALSE)</f>
        <v>0</v>
      </c>
      <c r="V65" s="566">
        <f>VLOOKUP($A65,'01-02.2021'!$A$6:$CZ$403,22,FALSE)+VLOOKUP($A65,'1.3.21-28.2.22'!$A$6:$DA$404,22,FALSE)-VLOOKUP($A65,'01-02.2022'!$A$6:$DA$376,22,FALSE)</f>
        <v>0</v>
      </c>
      <c r="W65" s="70">
        <f t="shared" si="38"/>
        <v>0</v>
      </c>
      <c r="X65" s="566">
        <f>VLOOKUP($A65,'01-02.2021'!$A$6:$CZ$403,24,FALSE)+VLOOKUP($A65,'1.3.21-28.2.22'!$A$6:$DA$404,24,FALSE)-VLOOKUP($A65,'01-02.2022'!$A$6:$DA$376,24,FALSE)</f>
        <v>0</v>
      </c>
      <c r="Y65" s="566">
        <f>VLOOKUP($A65,'01-02.2021'!$A$6:$CZ$403,25,FALSE)+VLOOKUP($A65,'1.3.21-28.2.22'!$A$6:$DA$404,25,FALSE)-VLOOKUP($A65,'01-02.2022'!$A$6:$DA$376,25,FALSE)</f>
        <v>0</v>
      </c>
      <c r="Z65" s="70">
        <f t="shared" si="39"/>
        <v>0</v>
      </c>
      <c r="AA65" s="566">
        <f>VLOOKUP($A65,'01-02.2021'!$A$6:$CZ$403,27,FALSE)+VLOOKUP($A65,'1.3.21-28.2.22'!$A$6:$DA$404,27,FALSE)-VLOOKUP($A65,'01-02.2022'!$A$6:$DA$376,27,FALSE)</f>
        <v>40.11999999999999</v>
      </c>
      <c r="AB65" s="566">
        <f>VLOOKUP($A65,'01-02.2021'!$A$6:$CZ$403,28,FALSE)+VLOOKUP($A65,'1.3.21-28.2.22'!$A$6:$DA$404,28,FALSE)-VLOOKUP($A65,'01-02.2022'!$A$6:$DA$376,28,FALSE)</f>
        <v>0</v>
      </c>
      <c r="AC65" s="70">
        <f t="shared" si="40"/>
        <v>-40.11999999999999</v>
      </c>
      <c r="AD65" s="566">
        <f>VLOOKUP($A65,'01-02.2021'!$A$6:$CZ$403,30,FALSE)+VLOOKUP($A65,'1.3.21-28.2.22'!$A$6:$DA$404,30,FALSE)-VLOOKUP($A65,'01-02.2022'!$A$6:$DA$376,30,FALSE)</f>
        <v>321.14521040455418</v>
      </c>
      <c r="AE65" s="566">
        <f>VLOOKUP($A65,'01-02.2021'!$A$6:$CZ$403,31,FALSE)+VLOOKUP($A65,'1.3.21-28.2.22'!$A$6:$DA$404,31,FALSE)-VLOOKUP($A65,'01-02.2022'!$A$6:$DA$376,31,FALSE)</f>
        <v>913.1392826254214</v>
      </c>
      <c r="AF65" s="68">
        <f t="shared" si="41"/>
        <v>591.99407222086722</v>
      </c>
      <c r="AG65" s="77">
        <f t="shared" si="24"/>
        <v>361.26521040455418</v>
      </c>
      <c r="AH65" s="53">
        <f t="shared" si="24"/>
        <v>913.1392826254214</v>
      </c>
      <c r="AI65" s="52">
        <f t="shared" si="42"/>
        <v>551.87407222086722</v>
      </c>
      <c r="AJ65" s="566">
        <f>VLOOKUP($A65,'01-02.2021'!$A$6:$CZ$403,36,FALSE)+VLOOKUP($A65,'1.3.21-28.2.22'!$A$6:$DA$404,36,FALSE)-VLOOKUP($A65,'01-02.2022'!$A$6:$DA$376,36,FALSE)</f>
        <v>0</v>
      </c>
      <c r="AK65" s="566">
        <f>VLOOKUP($A65,'01-02.2021'!$A$6:$CZ$403,37,FALSE)+VLOOKUP($A65,'1.3.21-28.2.22'!$A$6:$DA$404,37,FALSE)-VLOOKUP($A65,'01-02.2022'!$A$6:$DA$376,37,FALSE)</f>
        <v>0</v>
      </c>
      <c r="AL65" s="70">
        <f t="shared" si="43"/>
        <v>0</v>
      </c>
      <c r="AM65" s="566">
        <f>VLOOKUP($A65,'01-02.2021'!$A$6:$CZ$403,39,FALSE)+VLOOKUP($A65,'1.3.21-28.2.22'!$A$6:$DA$404,39,FALSE)-VLOOKUP($A65,'01-02.2022'!$A$6:$DA$376,39,FALSE)</f>
        <v>0</v>
      </c>
      <c r="AN65" s="566">
        <f>VLOOKUP($A65,'01-02.2021'!$A$6:$CZ$403,40,FALSE)+VLOOKUP($A65,'1.3.21-28.2.22'!$A$6:$DA$404,40,FALSE)-VLOOKUP($A65,'01-02.2022'!$A$6:$DA$376,40,FALSE)</f>
        <v>0</v>
      </c>
      <c r="AO65" s="70">
        <f t="shared" si="44"/>
        <v>0</v>
      </c>
      <c r="AP65" s="566">
        <f>VLOOKUP($A65,'01-02.2021'!$A$6:$CZ$403,42,FALSE)+VLOOKUP($A65,'1.3.21-28.2.22'!$A$6:$DA$404,42,FALSE)-VLOOKUP($A65,'01-02.2022'!$A$6:$DA$376,42,FALSE)</f>
        <v>520.55992501277728</v>
      </c>
      <c r="AQ65" s="566">
        <f>VLOOKUP($A65,'01-02.2021'!$A$6:$CZ$403,43,FALSE)+VLOOKUP($A65,'1.3.21-28.2.22'!$A$6:$DA$404,43,FALSE)-VLOOKUP($A65,'01-02.2022'!$A$6:$DA$376,43,FALSE)</f>
        <v>448.76449922990878</v>
      </c>
      <c r="AR65" s="70">
        <f t="shared" si="45"/>
        <v>-71.795425782868506</v>
      </c>
      <c r="AS65" s="566">
        <f>VLOOKUP($A65,'01-02.2021'!$A$6:$CZ$403,45,FALSE)+VLOOKUP($A65,'1.3.21-28.2.22'!$A$6:$DA$404,45,FALSE)-VLOOKUP($A65,'01-02.2022'!$A$6:$DA$376,45,FALSE)</f>
        <v>2127.1831138764742</v>
      </c>
      <c r="AT65" s="566">
        <f>VLOOKUP($A65,'01-02.2021'!$A$6:$CZ$403,46,FALSE)+VLOOKUP($A65,'1.3.21-28.2.22'!$A$6:$DA$404,46,FALSE)-VLOOKUP($A65,'01-02.2022'!$A$6:$DA$376,46,FALSE)</f>
        <v>0</v>
      </c>
      <c r="AU65" s="78">
        <f t="shared" si="46"/>
        <v>-2127.1831138764742</v>
      </c>
      <c r="AV65" s="566">
        <f>VLOOKUP($A65,'01-02.2021'!$A$6:$CZ$403,48,FALSE)+VLOOKUP($A65,'1.3.21-28.2.22'!$A$6:$DA$404,48,FALSE)-VLOOKUP($A65,'01-02.2022'!$A$6:$DA$376,48,FALSE)</f>
        <v>0</v>
      </c>
      <c r="AW65" s="566">
        <f>VLOOKUP($A65,'01-02.2021'!$A$6:$CZ$403,49,FALSE)+VLOOKUP($A65,'1.3.21-28.2.22'!$A$6:$DA$404,49,FALSE)-VLOOKUP($A65,'01-02.2022'!$A$6:$DA$376,49,FALSE)</f>
        <v>0</v>
      </c>
      <c r="AX65" s="55">
        <f t="shared" si="47"/>
        <v>0</v>
      </c>
      <c r="AY65" s="566">
        <f>VLOOKUP($A65,'01-02.2021'!$A$6:$CZ$403,51,FALSE)+VLOOKUP($A65,'1.3.21-28.2.22'!$A$6:$DA$404,51,FALSE)-VLOOKUP($A65,'01-02.2022'!$A$6:$DA$376,51,FALSE)</f>
        <v>0</v>
      </c>
      <c r="AZ65" s="566">
        <f>VLOOKUP($A65,'01-02.2021'!$A$6:$CZ$403,52,FALSE)+VLOOKUP($A65,'1.3.21-28.2.22'!$A$6:$DA$404,52,FALSE)-VLOOKUP($A65,'01-02.2022'!$A$6:$DA$376,52,FALSE)</f>
        <v>0</v>
      </c>
      <c r="BA65" s="38">
        <f t="shared" si="48"/>
        <v>0</v>
      </c>
      <c r="BB65" s="566">
        <f>VLOOKUP($A65,'01-02.2021'!$A$6:$CZ$403,54,FALSE)+VLOOKUP($A65,'1.3.21-28.2.22'!$A$6:$DA$404,54,FALSE)-VLOOKUP($A65,'01-02.2022'!$A$6:$DA$376,54,FALSE)</f>
        <v>0</v>
      </c>
      <c r="BC65" s="566">
        <f>VLOOKUP($A65,'01-02.2021'!$A$6:$CZ$403,55,FALSE)+VLOOKUP($A65,'1.3.21-28.2.22'!$A$6:$DA$404,55,FALSE)-VLOOKUP($A65,'01-02.2022'!$A$6:$DA$376,55,FALSE)</f>
        <v>0</v>
      </c>
      <c r="BD65" s="55">
        <f t="shared" si="49"/>
        <v>0</v>
      </c>
      <c r="BE65" s="566">
        <f>VLOOKUP($A65,'01-02.2021'!$A$6:$CZ$403,57,FALSE)+VLOOKUP($A65,'1.3.21-28.2.22'!$A$6:$DA$404,57,FALSE)-VLOOKUP($A65,'01-02.2022'!$A$6:$DA$376,57,FALSE)</f>
        <v>0</v>
      </c>
      <c r="BF65" s="566">
        <f>VLOOKUP($A65,'01-02.2021'!$A$6:$CZ$403,58,FALSE)+VLOOKUP($A65,'1.3.21-28.2.22'!$A$6:$DA$404,58,FALSE)-VLOOKUP($A65,'01-02.2022'!$A$6:$DA$376,58,FALSE)</f>
        <v>0</v>
      </c>
      <c r="BG65" s="55">
        <f t="shared" si="50"/>
        <v>0</v>
      </c>
      <c r="BH65" s="566">
        <f>VLOOKUP($A65,'01-02.2021'!$A$6:$CZ$403,60,FALSE)+VLOOKUP($A65,'1.3.21-28.2.22'!$A$6:$DA$404,60,FALSE)-VLOOKUP($A65,'01-02.2022'!$A$6:$DA$376,60,FALSE)</f>
        <v>0</v>
      </c>
      <c r="BI65" s="566">
        <f>VLOOKUP($A65,'01-02.2021'!$A$6:$CZ$403,61,FALSE)+VLOOKUP($A65,'1.3.21-28.2.22'!$A$6:$DA$404,61,FALSE)-VLOOKUP($A65,'01-02.2022'!$A$6:$DA$376,61,FALSE)</f>
        <v>0</v>
      </c>
      <c r="BJ65" s="55">
        <f t="shared" si="51"/>
        <v>0</v>
      </c>
      <c r="BK65" s="566">
        <f>VLOOKUP($A65,'01-02.2021'!$A$6:$CZ$403,63,FALSE)+VLOOKUP($A65,'1.3.21-28.2.22'!$A$6:$DA$404,63,FALSE)-VLOOKUP($A65,'01-02.2022'!$A$6:$DA$376,63,FALSE)</f>
        <v>0</v>
      </c>
      <c r="BL65" s="566">
        <f>VLOOKUP($A65,'01-02.2021'!$A$6:$CZ$403,64,FALSE)+VLOOKUP($A65,'1.3.21-28.2.22'!$A$6:$DA$404,64,FALSE)-VLOOKUP($A65,'01-02.2022'!$A$6:$DA$376,64,FALSE)</f>
        <v>0</v>
      </c>
      <c r="BM65" s="55">
        <f t="shared" si="52"/>
        <v>0</v>
      </c>
      <c r="BN65" s="566">
        <f>VLOOKUP($A65,'01-02.2021'!$A$6:$CZ$403,66,FALSE)+VLOOKUP($A65,'1.3.21-28.2.22'!$A$6:$DA$404,66,FALSE)-VLOOKUP($A65,'01-02.2022'!$A$6:$DA$376,66,FALSE)</f>
        <v>10.029999999999998</v>
      </c>
      <c r="BO65" s="566">
        <f>VLOOKUP($A65,'01-02.2021'!$A$6:$CZ$403,67,FALSE)+VLOOKUP($A65,'1.3.21-28.2.22'!$A$6:$DA$404,67,FALSE)-VLOOKUP($A65,'01-02.2022'!$A$6:$DA$376,67,FALSE)</f>
        <v>0</v>
      </c>
      <c r="BP65" s="55">
        <f t="shared" si="53"/>
        <v>-10.029999999999998</v>
      </c>
      <c r="BQ65" s="77">
        <f t="shared" si="79"/>
        <v>10.029999999999998</v>
      </c>
      <c r="BR65" s="40">
        <f t="shared" si="80"/>
        <v>0</v>
      </c>
      <c r="BS65" s="55">
        <f t="shared" si="70"/>
        <v>-10.029999999999998</v>
      </c>
      <c r="BT65" s="566">
        <f>VLOOKUP($A65,'01-02.2021'!$A$6:$CZ$403,72,FALSE)+VLOOKUP($A65,'1.3.21-28.2.22'!$A$6:$DA$404,72,FALSE)-VLOOKUP($A65,'01-02.2022'!$A$6:$DA$376,72,FALSE)</f>
        <v>97.701960579639803</v>
      </c>
      <c r="BU65" s="566">
        <f>VLOOKUP($A65,'01-02.2021'!$A$6:$CZ$403,73,FALSE)+VLOOKUP($A65,'1.3.21-28.2.22'!$A$6:$DA$404,73,FALSE)-VLOOKUP($A65,'01-02.2022'!$A$6:$DA$376,73,FALSE)</f>
        <v>151.55132144799228</v>
      </c>
      <c r="BV65" s="70">
        <f t="shared" si="54"/>
        <v>53.849360868352477</v>
      </c>
      <c r="BW65" s="566">
        <f>VLOOKUP($A65,'01-02.2021'!$A$6:$CZ$403,75,FALSE)+VLOOKUP($A65,'1.3.21-28.2.22'!$A$6:$DA$404,75,FALSE)-VLOOKUP($A65,'01-02.2022'!$A$6:$DA$376,75,FALSE)</f>
        <v>0</v>
      </c>
      <c r="BX65" s="566">
        <f>VLOOKUP($A65,'01-02.2021'!$A$6:$CZ$403,76,FALSE)+VLOOKUP($A65,'1.3.21-28.2.22'!$A$6:$DA$404,76,FALSE)-VLOOKUP($A65,'01-02.2022'!$A$6:$DA$376,76,FALSE)</f>
        <v>4.495765073158922</v>
      </c>
      <c r="BY65" s="70">
        <f t="shared" si="55"/>
        <v>4.495765073158922</v>
      </c>
      <c r="BZ65" s="566">
        <f>VLOOKUP($A65,'01-02.2021'!$A$6:$CZ$403,78,FALSE)+VLOOKUP($A65,'1.3.21-28.2.22'!$A$6:$DA$404,78,FALSE)-VLOOKUP($A65,'01-02.2022'!$A$6:$DA$376,78,FALSE)</f>
        <v>0</v>
      </c>
      <c r="CA65" s="566">
        <f>VLOOKUP($A65,'01-02.2021'!$A$6:$CZ$403,79,FALSE)+VLOOKUP($A65,'1.3.21-28.2.22'!$A$6:$DA$404,79,FALSE)-VLOOKUP($A65,'01-02.2022'!$A$6:$DA$376,79,FALSE)</f>
        <v>9.2436406512338465</v>
      </c>
      <c r="CB65" s="70">
        <f t="shared" si="56"/>
        <v>9.2436406512338465</v>
      </c>
      <c r="CC65" s="566">
        <f>VLOOKUP($A65,'01-02.2021'!$A$6:$CZ$403,81,FALSE)+VLOOKUP($A65,'1.3.21-28.2.22'!$A$6:$DA$404,81,FALSE)-VLOOKUP($A65,'01-02.2022'!$A$6:$DA$376,81,FALSE)</f>
        <v>0</v>
      </c>
      <c r="CD65" s="566">
        <f>VLOOKUP($A65,'01-02.2021'!$A$6:$CZ$403,82,FALSE)+VLOOKUP($A65,'1.3.21-28.2.22'!$A$6:$DA$404,82,FALSE)-VLOOKUP($A65,'01-02.2022'!$A$6:$DA$376,82,FALSE)</f>
        <v>0</v>
      </c>
      <c r="CE65" s="70">
        <f t="shared" si="57"/>
        <v>0</v>
      </c>
      <c r="CF65" s="566">
        <f>VLOOKUP($A65,'01-02.2021'!$A$6:$CZ$403,84,FALSE)+VLOOKUP($A65,'1.3.21-28.2.22'!$A$6:$DA$404,84,FALSE)-VLOOKUP($A65,'01-02.2022'!$A$6:$DA$376,84,FALSE)</f>
        <v>0</v>
      </c>
      <c r="CG65" s="566">
        <f>VLOOKUP($A65,'01-02.2021'!$A$6:$CZ$403,85,FALSE)+VLOOKUP($A65,'1.3.21-28.2.22'!$A$6:$DA$404,85,FALSE)-VLOOKUP($A65,'01-02.2022'!$A$6:$DA$376,85,FALSE)</f>
        <v>0</v>
      </c>
      <c r="CH65" s="70">
        <f t="shared" si="58"/>
        <v>0</v>
      </c>
      <c r="CI65" s="566">
        <f>VLOOKUP($A65,'01-02.2021'!$A$6:$CZ$403,87,FALSE)+VLOOKUP($A65,'1.3.21-28.2.22'!$A$6:$DA$404,87,FALSE)-VLOOKUP($A65,'01-02.2022'!$A$6:$DA$376,87,FALSE)</f>
        <v>0</v>
      </c>
      <c r="CJ65" s="566">
        <f>VLOOKUP($A65,'01-02.2021'!$A$6:$CZ$403,88,FALSE)+VLOOKUP($A65,'1.3.21-28.2.22'!$A$6:$DA$404,88,FALSE)-VLOOKUP($A65,'01-02.2022'!$A$6:$DA$376,88,FALSE)</f>
        <v>0</v>
      </c>
      <c r="CK65" s="70">
        <f t="shared" si="59"/>
        <v>0</v>
      </c>
      <c r="CL65" s="566">
        <f>VLOOKUP($A65,'01-02.2021'!$A$6:$CZ$403,90,FALSE)+VLOOKUP($A65,'1.3.21-28.2.22'!$A$6:$DA$404,90,FALSE)-VLOOKUP($A65,'01-02.2022'!$A$6:$DA$376,90,FALSE)</f>
        <v>0</v>
      </c>
      <c r="CM65" s="566">
        <f>VLOOKUP($A65,'01-02.2021'!$A$6:$CZ$403,91,FALSE)+VLOOKUP($A65,'1.3.21-28.2.22'!$A$6:$DA$404,91,FALSE)-VLOOKUP($A65,'01-02.2022'!$A$6:$DA$376,91,FALSE)</f>
        <v>0</v>
      </c>
      <c r="CN65" s="52">
        <f t="shared" si="60"/>
        <v>0</v>
      </c>
      <c r="CO65" s="39">
        <f t="shared" si="27"/>
        <v>0</v>
      </c>
      <c r="CP65" s="40">
        <f t="shared" si="61"/>
        <v>0</v>
      </c>
      <c r="CQ65" s="52">
        <f t="shared" si="62"/>
        <v>0</v>
      </c>
      <c r="CR65" s="72">
        <f t="shared" si="28"/>
        <v>3116.7402098734456</v>
      </c>
      <c r="CS65" s="5">
        <f t="shared" si="28"/>
        <v>1527.1945090277152</v>
      </c>
      <c r="CT65" s="52">
        <f t="shared" si="63"/>
        <v>-1589.5457008457304</v>
      </c>
      <c r="CU65" s="77">
        <f t="shared" si="64"/>
        <v>3740.0882518481344</v>
      </c>
      <c r="CV65" s="65">
        <f t="shared" si="65"/>
        <v>1832.6334108332583</v>
      </c>
      <c r="CW65" s="35">
        <f t="shared" si="66"/>
        <v>-1907.4548410148761</v>
      </c>
      <c r="CX65" s="566">
        <f>VLOOKUP($A65,'01-02.2021'!$A$6:$CZ$403,102,FALSE)+VLOOKUP($A65,'1.3.21-28.2.22'!$A$6:$DA$404,102,FALSE)-VLOOKUP($A65,'01-02.2022'!$A$6:$DA$376,102,FALSE)</f>
        <v>130.36318393854009</v>
      </c>
      <c r="CY65" s="566">
        <f>VLOOKUP($A65,'01-02.2021'!$A$6:$CZ$403,103,FALSE)+VLOOKUP($A65,'1.3.21-28.2.22'!$A$6:$DA$404,103,FALSE)-VLOOKUP($A65,'01-02.2022'!$A$6:$DA$376,103,FALSE)</f>
        <v>2037.8180249534159</v>
      </c>
      <c r="CZ65" s="52">
        <f t="shared" si="67"/>
        <v>1907.4548410148759</v>
      </c>
      <c r="DA65" s="150">
        <f>'[2]побудинковий звіт'!DA65</f>
        <v>-2646.3536106207557</v>
      </c>
      <c r="DB65" s="2">
        <v>2</v>
      </c>
      <c r="DC65" s="414">
        <f>'[4]побудинковий звіт'!DC65</f>
        <v>421.05</v>
      </c>
      <c r="DD65" s="414">
        <f>'[4]побудинковий звіт'!DD65</f>
        <v>0</v>
      </c>
      <c r="DE65" s="557">
        <f>'[4]побудинковий звіт'!DE65</f>
        <v>69.087146416146027</v>
      </c>
      <c r="DF65" s="557">
        <f>'[4]побудинковий звіт'!DF65</f>
        <v>0</v>
      </c>
      <c r="DG65" s="321">
        <f>VLOOKUP(A65,'кошти 01.03.2021'!$A$6:$D$401,4,)</f>
        <v>-578.71537562261688</v>
      </c>
      <c r="DH65" s="40">
        <f>'[3]побудинковий звіт'!DJ65</f>
        <v>4009.6519672675845</v>
      </c>
      <c r="DI65" s="422">
        <f>'[3]побудинковий звіт'!CU65+'[3]побудинковий звіт'!CX65</f>
        <v>351.96285358385398</v>
      </c>
      <c r="DJ65" s="306">
        <f>'[3]побудинковий звіт'!DM65</f>
        <v>1.7545506160710569</v>
      </c>
      <c r="DK65" s="306">
        <f t="shared" si="82"/>
        <v>1.7545506160710569</v>
      </c>
      <c r="DL65" s="306">
        <f>'[3]побудинковий звіт'!DO65</f>
        <v>1.7545506160710569</v>
      </c>
      <c r="DM65" s="28">
        <f t="shared" si="83"/>
        <v>351.96285358385398</v>
      </c>
      <c r="DN65" s="28">
        <f t="shared" si="84"/>
        <v>0</v>
      </c>
      <c r="DO65" s="423">
        <f t="shared" si="29"/>
        <v>351.96285358385398</v>
      </c>
      <c r="DP65" s="94">
        <f t="shared" si="30"/>
        <v>0</v>
      </c>
      <c r="DQ65" s="28">
        <f t="shared" si="31"/>
        <v>351.96285358385398</v>
      </c>
      <c r="DR65" s="318"/>
      <c r="DT65" s="8"/>
      <c r="DU65" s="5"/>
      <c r="DX65" s="5">
        <f t="shared" si="32"/>
        <v>2564.6557366517691</v>
      </c>
      <c r="DY65" s="5">
        <f t="shared" si="33"/>
        <v>0</v>
      </c>
      <c r="DZ65" s="159">
        <f>'[3]побудинковий звіт'!EA65</f>
        <v>269.80842763878815</v>
      </c>
    </row>
    <row r="66" spans="1:130" x14ac:dyDescent="0.3">
      <c r="A66" s="325">
        <v>150000539</v>
      </c>
      <c r="B66" s="41" t="s">
        <v>515</v>
      </c>
      <c r="C66" s="42" t="s">
        <v>55</v>
      </c>
      <c r="D66" s="42"/>
      <c r="E66" s="293">
        <f t="shared" si="23"/>
        <v>83.8</v>
      </c>
      <c r="F66" s="305">
        <f>'[3]побудинковий звіт'!F66</f>
        <v>83.8</v>
      </c>
      <c r="G66" s="508">
        <f>'[3]побудинковий звіт'!G66</f>
        <v>0</v>
      </c>
      <c r="H66" s="560">
        <f>'[3]побудинковий звіт'!H66</f>
        <v>0</v>
      </c>
      <c r="I66" s="566">
        <f>VLOOKUP($A66,'01-02.2021'!$A$6:$CZ$403,9,FALSE)+VLOOKUP($A66,'1.3.21-28.2.22'!$A$6:$DA$404,9,FALSE)-VLOOKUP($A66,'01-02.2022'!$A$6:$DA$376,9,FALSE)</f>
        <v>0</v>
      </c>
      <c r="J66" s="566">
        <f>VLOOKUP($A66,'01-02.2021'!$A$6:$CZ$403,10,FALSE)+VLOOKUP($A66,'1.3.21-28.2.22'!$A$6:$DA$404,10,FALSE)-VLOOKUP($A66,'01-02.2022'!$A$6:$DA$376,10,FALSE)</f>
        <v>0</v>
      </c>
      <c r="K66" s="52">
        <f t="shared" si="34"/>
        <v>0</v>
      </c>
      <c r="L66" s="566">
        <f>VLOOKUP($A66,'01-02.2021'!$A$6:$CZ$403,12,FALSE)+VLOOKUP($A66,'1.3.21-28.2.22'!$A$6:$DA$404,12,FALSE)-VLOOKUP($A66,'01-02.2022'!$A$6:$DA$376,12,FALSE)</f>
        <v>0</v>
      </c>
      <c r="M66" s="566">
        <f>VLOOKUP($A66,'01-02.2021'!$A$6:$CZ$403,13,FALSE)+VLOOKUP($A66,'1.3.21-28.2.22'!$A$6:$DA$404,13,FALSE)-VLOOKUP($A66,'01-02.2022'!$A$6:$DA$376,13,FALSE)</f>
        <v>0</v>
      </c>
      <c r="N66" s="52">
        <f t="shared" si="35"/>
        <v>0</v>
      </c>
      <c r="O66" s="566">
        <f>VLOOKUP($A66,'01-02.2021'!$A$6:$CZ$403,15,FALSE)+VLOOKUP($A66,'1.3.21-28.2.22'!$A$6:$DA$404,15,FALSE)-VLOOKUP($A66,'01-02.2022'!$A$6:$DA$376,15,FALSE)</f>
        <v>0</v>
      </c>
      <c r="P66" s="566">
        <f>VLOOKUP($A66,'01-02.2021'!$A$6:$CZ$403,16,FALSE)+VLOOKUP($A66,'1.3.21-28.2.22'!$A$6:$DA$404,16,FALSE)-VLOOKUP($A66,'01-02.2022'!$A$6:$DA$376,16,FALSE)</f>
        <v>0</v>
      </c>
      <c r="Q66" s="70">
        <f t="shared" si="36"/>
        <v>0</v>
      </c>
      <c r="R66" s="566">
        <f>VLOOKUP($A66,'01-02.2021'!$A$6:$CZ$403,18,FALSE)+VLOOKUP($A66,'1.3.21-28.2.22'!$A$6:$DA$404,18,FALSE)-VLOOKUP($A66,'01-02.2022'!$A$6:$DA$376,18,FALSE)</f>
        <v>0</v>
      </c>
      <c r="S66" s="566">
        <f>VLOOKUP($A66,'01-02.2021'!$A$6:$CZ$403,19,FALSE)+VLOOKUP($A66,'1.3.21-28.2.22'!$A$6:$DA$404,19,FALSE)-VLOOKUP($A66,'01-02.2022'!$A$6:$DA$376,19,FALSE)</f>
        <v>0</v>
      </c>
      <c r="T66" s="70">
        <f t="shared" si="37"/>
        <v>0</v>
      </c>
      <c r="U66" s="566">
        <f>VLOOKUP($A66,'01-02.2021'!$A$6:$CZ$403,21,FALSE)+VLOOKUP($A66,'1.3.21-28.2.22'!$A$6:$DA$404,21,FALSE)-VLOOKUP($A66,'01-02.2022'!$A$6:$DA$376,21,FALSE)</f>
        <v>0</v>
      </c>
      <c r="V66" s="566">
        <f>VLOOKUP($A66,'01-02.2021'!$A$6:$CZ$403,22,FALSE)+VLOOKUP($A66,'1.3.21-28.2.22'!$A$6:$DA$404,22,FALSE)-VLOOKUP($A66,'01-02.2022'!$A$6:$DA$376,22,FALSE)</f>
        <v>0</v>
      </c>
      <c r="W66" s="70">
        <f t="shared" si="38"/>
        <v>0</v>
      </c>
      <c r="X66" s="566">
        <f>VLOOKUP($A66,'01-02.2021'!$A$6:$CZ$403,24,FALSE)+VLOOKUP($A66,'1.3.21-28.2.22'!$A$6:$DA$404,24,FALSE)-VLOOKUP($A66,'01-02.2022'!$A$6:$DA$376,24,FALSE)</f>
        <v>0</v>
      </c>
      <c r="Y66" s="566">
        <f>VLOOKUP($A66,'01-02.2021'!$A$6:$CZ$403,25,FALSE)+VLOOKUP($A66,'1.3.21-28.2.22'!$A$6:$DA$404,25,FALSE)-VLOOKUP($A66,'01-02.2022'!$A$6:$DA$376,25,FALSE)</f>
        <v>0</v>
      </c>
      <c r="Z66" s="70">
        <f t="shared" si="39"/>
        <v>0</v>
      </c>
      <c r="AA66" s="566">
        <f>VLOOKUP($A66,'01-02.2021'!$A$6:$CZ$403,27,FALSE)+VLOOKUP($A66,'1.3.21-28.2.22'!$A$6:$DA$404,27,FALSE)-VLOOKUP($A66,'01-02.2022'!$A$6:$DA$376,27,FALSE)</f>
        <v>16.759999999999998</v>
      </c>
      <c r="AB66" s="566">
        <f>VLOOKUP($A66,'01-02.2021'!$A$6:$CZ$403,28,FALSE)+VLOOKUP($A66,'1.3.21-28.2.22'!$A$6:$DA$404,28,FALSE)-VLOOKUP($A66,'01-02.2022'!$A$6:$DA$376,28,FALSE)</f>
        <v>0</v>
      </c>
      <c r="AC66" s="70">
        <f t="shared" si="40"/>
        <v>-16.759999999999998</v>
      </c>
      <c r="AD66" s="566">
        <f>VLOOKUP($A66,'01-02.2021'!$A$6:$CZ$403,30,FALSE)+VLOOKUP($A66,'1.3.21-28.2.22'!$A$6:$DA$404,30,FALSE)-VLOOKUP($A66,'01-02.2022'!$A$6:$DA$376,30,FALSE)</f>
        <v>134.18905975986604</v>
      </c>
      <c r="AE66" s="566">
        <f>VLOOKUP($A66,'01-02.2021'!$A$6:$CZ$403,31,FALSE)+VLOOKUP($A66,'1.3.21-28.2.22'!$A$6:$DA$404,31,FALSE)-VLOOKUP($A66,'01-02.2022'!$A$6:$DA$376,31,FALSE)</f>
        <v>381.46097649057975</v>
      </c>
      <c r="AF66" s="68">
        <f t="shared" si="41"/>
        <v>247.27191673071371</v>
      </c>
      <c r="AG66" s="77">
        <f t="shared" si="24"/>
        <v>150.94905975986603</v>
      </c>
      <c r="AH66" s="53">
        <f t="shared" si="24"/>
        <v>381.46097649057975</v>
      </c>
      <c r="AI66" s="52">
        <f t="shared" si="42"/>
        <v>230.51191673071372</v>
      </c>
      <c r="AJ66" s="566">
        <f>VLOOKUP($A66,'01-02.2021'!$A$6:$CZ$403,36,FALSE)+VLOOKUP($A66,'1.3.21-28.2.22'!$A$6:$DA$404,36,FALSE)-VLOOKUP($A66,'01-02.2022'!$A$6:$DA$376,36,FALSE)</f>
        <v>0</v>
      </c>
      <c r="AK66" s="566">
        <f>VLOOKUP($A66,'01-02.2021'!$A$6:$CZ$403,37,FALSE)+VLOOKUP($A66,'1.3.21-28.2.22'!$A$6:$DA$404,37,FALSE)-VLOOKUP($A66,'01-02.2022'!$A$6:$DA$376,37,FALSE)</f>
        <v>0</v>
      </c>
      <c r="AL66" s="70">
        <f t="shared" si="43"/>
        <v>0</v>
      </c>
      <c r="AM66" s="566">
        <f>VLOOKUP($A66,'01-02.2021'!$A$6:$CZ$403,39,FALSE)+VLOOKUP($A66,'1.3.21-28.2.22'!$A$6:$DA$404,39,FALSE)-VLOOKUP($A66,'01-02.2022'!$A$6:$DA$376,39,FALSE)</f>
        <v>0</v>
      </c>
      <c r="AN66" s="566">
        <f>VLOOKUP($A66,'01-02.2021'!$A$6:$CZ$403,40,FALSE)+VLOOKUP($A66,'1.3.21-28.2.22'!$A$6:$DA$404,40,FALSE)-VLOOKUP($A66,'01-02.2022'!$A$6:$DA$376,40,FALSE)</f>
        <v>0</v>
      </c>
      <c r="AO66" s="70">
        <f t="shared" si="44"/>
        <v>0</v>
      </c>
      <c r="AP66" s="566">
        <f>VLOOKUP($A66,'01-02.2021'!$A$6:$CZ$403,42,FALSE)+VLOOKUP($A66,'1.3.21-28.2.22'!$A$6:$DA$404,42,FALSE)-VLOOKUP($A66,'01-02.2022'!$A$6:$DA$376,42,FALSE)</f>
        <v>260.27996250638864</v>
      </c>
      <c r="AQ66" s="566">
        <f>VLOOKUP($A66,'01-02.2021'!$A$6:$CZ$403,43,FALSE)+VLOOKUP($A66,'1.3.21-28.2.22'!$A$6:$DA$404,43,FALSE)-VLOOKUP($A66,'01-02.2022'!$A$6:$DA$376,43,FALSE)</f>
        <v>224.38224961495439</v>
      </c>
      <c r="AR66" s="70">
        <f t="shared" si="45"/>
        <v>-35.897712891434253</v>
      </c>
      <c r="AS66" s="566">
        <f>VLOOKUP($A66,'01-02.2021'!$A$6:$CZ$403,45,FALSE)+VLOOKUP($A66,'1.3.21-28.2.22'!$A$6:$DA$404,45,FALSE)-VLOOKUP($A66,'01-02.2022'!$A$6:$DA$376,45,FALSE)</f>
        <v>906.67415266037494</v>
      </c>
      <c r="AT66" s="566">
        <f>VLOOKUP($A66,'01-02.2021'!$A$6:$CZ$403,46,FALSE)+VLOOKUP($A66,'1.3.21-28.2.22'!$A$6:$DA$404,46,FALSE)-VLOOKUP($A66,'01-02.2022'!$A$6:$DA$376,46,FALSE)</f>
        <v>0</v>
      </c>
      <c r="AU66" s="78">
        <f t="shared" si="46"/>
        <v>-906.67415266037494</v>
      </c>
      <c r="AV66" s="566">
        <f>VLOOKUP($A66,'01-02.2021'!$A$6:$CZ$403,48,FALSE)+VLOOKUP($A66,'1.3.21-28.2.22'!$A$6:$DA$404,48,FALSE)-VLOOKUP($A66,'01-02.2022'!$A$6:$DA$376,48,FALSE)</f>
        <v>0</v>
      </c>
      <c r="AW66" s="566">
        <f>VLOOKUP($A66,'01-02.2021'!$A$6:$CZ$403,49,FALSE)+VLOOKUP($A66,'1.3.21-28.2.22'!$A$6:$DA$404,49,FALSE)-VLOOKUP($A66,'01-02.2022'!$A$6:$DA$376,49,FALSE)</f>
        <v>0</v>
      </c>
      <c r="AX66" s="55">
        <f t="shared" si="47"/>
        <v>0</v>
      </c>
      <c r="AY66" s="566">
        <f>VLOOKUP($A66,'01-02.2021'!$A$6:$CZ$403,51,FALSE)+VLOOKUP($A66,'1.3.21-28.2.22'!$A$6:$DA$404,51,FALSE)-VLOOKUP($A66,'01-02.2022'!$A$6:$DA$376,51,FALSE)</f>
        <v>0</v>
      </c>
      <c r="AZ66" s="566">
        <f>VLOOKUP($A66,'01-02.2021'!$A$6:$CZ$403,52,FALSE)+VLOOKUP($A66,'1.3.21-28.2.22'!$A$6:$DA$404,52,FALSE)-VLOOKUP($A66,'01-02.2022'!$A$6:$DA$376,52,FALSE)</f>
        <v>0</v>
      </c>
      <c r="BA66" s="38">
        <f t="shared" si="48"/>
        <v>0</v>
      </c>
      <c r="BB66" s="566">
        <f>VLOOKUP($A66,'01-02.2021'!$A$6:$CZ$403,54,FALSE)+VLOOKUP($A66,'1.3.21-28.2.22'!$A$6:$DA$404,54,FALSE)-VLOOKUP($A66,'01-02.2022'!$A$6:$DA$376,54,FALSE)</f>
        <v>0</v>
      </c>
      <c r="BC66" s="566">
        <f>VLOOKUP($A66,'01-02.2021'!$A$6:$CZ$403,55,FALSE)+VLOOKUP($A66,'1.3.21-28.2.22'!$A$6:$DA$404,55,FALSE)-VLOOKUP($A66,'01-02.2022'!$A$6:$DA$376,55,FALSE)</f>
        <v>0</v>
      </c>
      <c r="BD66" s="55">
        <f t="shared" si="49"/>
        <v>0</v>
      </c>
      <c r="BE66" s="566">
        <f>VLOOKUP($A66,'01-02.2021'!$A$6:$CZ$403,57,FALSE)+VLOOKUP($A66,'1.3.21-28.2.22'!$A$6:$DA$404,57,FALSE)-VLOOKUP($A66,'01-02.2022'!$A$6:$DA$376,57,FALSE)</f>
        <v>0</v>
      </c>
      <c r="BF66" s="566">
        <f>VLOOKUP($A66,'01-02.2021'!$A$6:$CZ$403,58,FALSE)+VLOOKUP($A66,'1.3.21-28.2.22'!$A$6:$DA$404,58,FALSE)-VLOOKUP($A66,'01-02.2022'!$A$6:$DA$376,58,FALSE)</f>
        <v>0</v>
      </c>
      <c r="BG66" s="55">
        <f t="shared" si="50"/>
        <v>0</v>
      </c>
      <c r="BH66" s="566">
        <f>VLOOKUP($A66,'01-02.2021'!$A$6:$CZ$403,60,FALSE)+VLOOKUP($A66,'1.3.21-28.2.22'!$A$6:$DA$404,60,FALSE)-VLOOKUP($A66,'01-02.2022'!$A$6:$DA$376,60,FALSE)</f>
        <v>0</v>
      </c>
      <c r="BI66" s="566">
        <f>VLOOKUP($A66,'01-02.2021'!$A$6:$CZ$403,61,FALSE)+VLOOKUP($A66,'1.3.21-28.2.22'!$A$6:$DA$404,61,FALSE)-VLOOKUP($A66,'01-02.2022'!$A$6:$DA$376,61,FALSE)</f>
        <v>0</v>
      </c>
      <c r="BJ66" s="55">
        <f t="shared" si="51"/>
        <v>0</v>
      </c>
      <c r="BK66" s="566">
        <f>VLOOKUP($A66,'01-02.2021'!$A$6:$CZ$403,63,FALSE)+VLOOKUP($A66,'1.3.21-28.2.22'!$A$6:$DA$404,63,FALSE)-VLOOKUP($A66,'01-02.2022'!$A$6:$DA$376,63,FALSE)</f>
        <v>0</v>
      </c>
      <c r="BL66" s="566">
        <f>VLOOKUP($A66,'01-02.2021'!$A$6:$CZ$403,64,FALSE)+VLOOKUP($A66,'1.3.21-28.2.22'!$A$6:$DA$404,64,FALSE)-VLOOKUP($A66,'01-02.2022'!$A$6:$DA$376,64,FALSE)</f>
        <v>0</v>
      </c>
      <c r="BM66" s="55">
        <f t="shared" si="52"/>
        <v>0</v>
      </c>
      <c r="BN66" s="566">
        <f>VLOOKUP($A66,'01-02.2021'!$A$6:$CZ$403,66,FALSE)+VLOOKUP($A66,'1.3.21-28.2.22'!$A$6:$DA$404,66,FALSE)-VLOOKUP($A66,'01-02.2022'!$A$6:$DA$376,66,FALSE)</f>
        <v>4.1899999999999995</v>
      </c>
      <c r="BO66" s="566">
        <f>VLOOKUP($A66,'01-02.2021'!$A$6:$CZ$403,67,FALSE)+VLOOKUP($A66,'1.3.21-28.2.22'!$A$6:$DA$404,67,FALSE)-VLOOKUP($A66,'01-02.2022'!$A$6:$DA$376,67,FALSE)</f>
        <v>0</v>
      </c>
      <c r="BP66" s="55">
        <f t="shared" si="53"/>
        <v>-4.1899999999999995</v>
      </c>
      <c r="BQ66" s="77">
        <f t="shared" si="79"/>
        <v>4.1899999999999995</v>
      </c>
      <c r="BR66" s="40">
        <f t="shared" si="80"/>
        <v>0</v>
      </c>
      <c r="BS66" s="55">
        <f t="shared" si="70"/>
        <v>-4.1899999999999995</v>
      </c>
      <c r="BT66" s="566">
        <f>VLOOKUP($A66,'01-02.2021'!$A$6:$CZ$403,72,FALSE)+VLOOKUP($A66,'1.3.21-28.2.22'!$A$6:$DA$404,72,FALSE)-VLOOKUP($A66,'01-02.2022'!$A$6:$DA$376,72,FALSE)</f>
        <v>41.872268819845637</v>
      </c>
      <c r="BU66" s="566">
        <f>VLOOKUP($A66,'01-02.2021'!$A$6:$CZ$403,73,FALSE)+VLOOKUP($A66,'1.3.21-28.2.22'!$A$6:$DA$404,73,FALSE)-VLOOKUP($A66,'01-02.2022'!$A$6:$DA$376,73,FALSE)</f>
        <v>64.987695865778861</v>
      </c>
      <c r="BV66" s="70">
        <f t="shared" si="54"/>
        <v>23.115427045933224</v>
      </c>
      <c r="BW66" s="566">
        <f>VLOOKUP($A66,'01-02.2021'!$A$6:$CZ$403,75,FALSE)+VLOOKUP($A66,'1.3.21-28.2.22'!$A$6:$DA$404,75,FALSE)-VLOOKUP($A66,'01-02.2022'!$A$6:$DA$376,75,FALSE)</f>
        <v>0</v>
      </c>
      <c r="BX66" s="566">
        <f>VLOOKUP($A66,'01-02.2021'!$A$6:$CZ$403,76,FALSE)+VLOOKUP($A66,'1.3.21-28.2.22'!$A$6:$DA$404,76,FALSE)-VLOOKUP($A66,'01-02.2022'!$A$6:$DA$376,76,FALSE)</f>
        <v>1.8780912917782535</v>
      </c>
      <c r="BY66" s="70">
        <f t="shared" si="55"/>
        <v>1.8780912917782535</v>
      </c>
      <c r="BZ66" s="566">
        <f>VLOOKUP($A66,'01-02.2021'!$A$6:$CZ$403,78,FALSE)+VLOOKUP($A66,'1.3.21-28.2.22'!$A$6:$DA$404,78,FALSE)-VLOOKUP($A66,'01-02.2022'!$A$6:$DA$376,78,FALSE)</f>
        <v>0</v>
      </c>
      <c r="CA66" s="566">
        <f>VLOOKUP($A66,'01-02.2021'!$A$6:$CZ$403,79,FALSE)+VLOOKUP($A66,'1.3.21-28.2.22'!$A$6:$DA$404,79,FALSE)-VLOOKUP($A66,'01-02.2022'!$A$6:$DA$376,79,FALSE)</f>
        <v>3.9605668974085759</v>
      </c>
      <c r="CB66" s="70">
        <f t="shared" si="56"/>
        <v>3.9605668974085759</v>
      </c>
      <c r="CC66" s="566">
        <f>VLOOKUP($A66,'01-02.2021'!$A$6:$CZ$403,81,FALSE)+VLOOKUP($A66,'1.3.21-28.2.22'!$A$6:$DA$404,81,FALSE)-VLOOKUP($A66,'01-02.2022'!$A$6:$DA$376,81,FALSE)</f>
        <v>0</v>
      </c>
      <c r="CD66" s="566">
        <f>VLOOKUP($A66,'01-02.2021'!$A$6:$CZ$403,82,FALSE)+VLOOKUP($A66,'1.3.21-28.2.22'!$A$6:$DA$404,82,FALSE)-VLOOKUP($A66,'01-02.2022'!$A$6:$DA$376,82,FALSE)</f>
        <v>0</v>
      </c>
      <c r="CE66" s="70">
        <f t="shared" si="57"/>
        <v>0</v>
      </c>
      <c r="CF66" s="566">
        <f>VLOOKUP($A66,'01-02.2021'!$A$6:$CZ$403,84,FALSE)+VLOOKUP($A66,'1.3.21-28.2.22'!$A$6:$DA$404,84,FALSE)-VLOOKUP($A66,'01-02.2022'!$A$6:$DA$376,84,FALSE)</f>
        <v>0</v>
      </c>
      <c r="CG66" s="566">
        <f>VLOOKUP($A66,'01-02.2021'!$A$6:$CZ$403,85,FALSE)+VLOOKUP($A66,'1.3.21-28.2.22'!$A$6:$DA$404,85,FALSE)-VLOOKUP($A66,'01-02.2022'!$A$6:$DA$376,85,FALSE)</f>
        <v>0</v>
      </c>
      <c r="CH66" s="70">
        <f t="shared" si="58"/>
        <v>0</v>
      </c>
      <c r="CI66" s="566">
        <f>VLOOKUP($A66,'01-02.2021'!$A$6:$CZ$403,87,FALSE)+VLOOKUP($A66,'1.3.21-28.2.22'!$A$6:$DA$404,87,FALSE)-VLOOKUP($A66,'01-02.2022'!$A$6:$DA$376,87,FALSE)</f>
        <v>0</v>
      </c>
      <c r="CJ66" s="566">
        <f>VLOOKUP($A66,'01-02.2021'!$A$6:$CZ$403,88,FALSE)+VLOOKUP($A66,'1.3.21-28.2.22'!$A$6:$DA$404,88,FALSE)-VLOOKUP($A66,'01-02.2022'!$A$6:$DA$376,88,FALSE)</f>
        <v>0</v>
      </c>
      <c r="CK66" s="70">
        <f t="shared" si="59"/>
        <v>0</v>
      </c>
      <c r="CL66" s="566">
        <f>VLOOKUP($A66,'01-02.2021'!$A$6:$CZ$403,90,FALSE)+VLOOKUP($A66,'1.3.21-28.2.22'!$A$6:$DA$404,90,FALSE)-VLOOKUP($A66,'01-02.2022'!$A$6:$DA$376,90,FALSE)</f>
        <v>0</v>
      </c>
      <c r="CM66" s="566">
        <f>VLOOKUP($A66,'01-02.2021'!$A$6:$CZ$403,91,FALSE)+VLOOKUP($A66,'1.3.21-28.2.22'!$A$6:$DA$404,91,FALSE)-VLOOKUP($A66,'01-02.2022'!$A$6:$DA$376,91,FALSE)</f>
        <v>0</v>
      </c>
      <c r="CN66" s="52">
        <f t="shared" si="60"/>
        <v>0</v>
      </c>
      <c r="CO66" s="39">
        <f t="shared" si="27"/>
        <v>0</v>
      </c>
      <c r="CP66" s="40">
        <f t="shared" si="61"/>
        <v>0</v>
      </c>
      <c r="CQ66" s="52">
        <f t="shared" si="62"/>
        <v>0</v>
      </c>
      <c r="CR66" s="72">
        <f t="shared" si="28"/>
        <v>1363.9654437464753</v>
      </c>
      <c r="CS66" s="5">
        <f t="shared" si="28"/>
        <v>676.66958016049978</v>
      </c>
      <c r="CT66" s="52">
        <f t="shared" si="63"/>
        <v>-687.29586358597555</v>
      </c>
      <c r="CU66" s="77">
        <f t="shared" si="64"/>
        <v>1636.7585324957704</v>
      </c>
      <c r="CV66" s="65">
        <f t="shared" si="65"/>
        <v>812.00349619259975</v>
      </c>
      <c r="CW66" s="35">
        <f t="shared" si="66"/>
        <v>-824.75503630317064</v>
      </c>
      <c r="CX66" s="566">
        <f>VLOOKUP($A66,'01-02.2021'!$A$6:$CZ$403,102,FALSE)+VLOOKUP($A66,'1.3.21-28.2.22'!$A$6:$DA$404,102,FALSE)-VLOOKUP($A66,'01-02.2022'!$A$6:$DA$376,102,FALSE)</f>
        <v>57.073369049403688</v>
      </c>
      <c r="CY66" s="566">
        <f>VLOOKUP($A66,'01-02.2021'!$A$6:$CZ$403,103,FALSE)+VLOOKUP($A66,'1.3.21-28.2.22'!$A$6:$DA$404,103,FALSE)-VLOOKUP($A66,'01-02.2022'!$A$6:$DA$376,103,FALSE)</f>
        <v>881.82840535257401</v>
      </c>
      <c r="CZ66" s="52">
        <f t="shared" si="67"/>
        <v>824.7550363031703</v>
      </c>
      <c r="DA66" s="150">
        <f>'[2]побудинковий звіт'!DA66</f>
        <v>10087.766356315589</v>
      </c>
      <c r="DB66" s="2">
        <v>2</v>
      </c>
      <c r="DC66" s="414">
        <f>'[4]побудинковий звіт'!DC66</f>
        <v>179.17</v>
      </c>
      <c r="DD66" s="414">
        <f>'[4]побудинковий звіт'!DD66</f>
        <v>0</v>
      </c>
      <c r="DE66" s="557">
        <f>'[4]побудинковий звіт'!DE66</f>
        <v>25.264648046764506</v>
      </c>
      <c r="DF66" s="557">
        <f>'[4]побудинковий звіт'!DF66</f>
        <v>0</v>
      </c>
      <c r="DG66" s="321">
        <f>VLOOKUP(A66,'кошти 01.03.2021'!$A$6:$D$401,4,)</f>
        <v>10981.193438426593</v>
      </c>
      <c r="DH66" s="40">
        <f>'[3]побудинковий звіт'!DJ66</f>
        <v>1754.1505365633122</v>
      </c>
      <c r="DI66" s="422">
        <f>'[3]побудинковий звіт'!CU66+'[3]побудинковий звіт'!CX66</f>
        <v>153.90535195323545</v>
      </c>
      <c r="DJ66" s="306">
        <f>'[3]побудинковий звіт'!DM66</f>
        <v>1.8365793789168912</v>
      </c>
      <c r="DK66" s="306">
        <f t="shared" si="82"/>
        <v>1.8365793789168912</v>
      </c>
      <c r="DL66" s="306">
        <f>'[3]побудинковий звіт'!DO66</f>
        <v>1.8365793789168912</v>
      </c>
      <c r="DM66" s="28">
        <f t="shared" si="83"/>
        <v>153.90535195323548</v>
      </c>
      <c r="DN66" s="28">
        <f t="shared" si="84"/>
        <v>0</v>
      </c>
      <c r="DO66" s="423">
        <f t="shared" si="29"/>
        <v>153.90535195323548</v>
      </c>
      <c r="DP66" s="94">
        <f t="shared" si="30"/>
        <v>0</v>
      </c>
      <c r="DQ66" s="28">
        <f t="shared" si="31"/>
        <v>153.90535195323548</v>
      </c>
      <c r="DR66" s="318"/>
      <c r="DT66" s="8"/>
      <c r="DU66" s="5"/>
      <c r="DX66" s="5">
        <f t="shared" si="32"/>
        <v>1093.03698319245</v>
      </c>
      <c r="DY66" s="5">
        <f t="shared" si="33"/>
        <v>0</v>
      </c>
      <c r="DZ66" s="159">
        <f>'[3]побудинковий звіт'!EA66</f>
        <v>114.56293036813658</v>
      </c>
    </row>
    <row r="67" spans="1:130" x14ac:dyDescent="0.3">
      <c r="A67" s="325">
        <v>150000516</v>
      </c>
      <c r="B67" s="41" t="s">
        <v>516</v>
      </c>
      <c r="C67" s="42" t="s">
        <v>56</v>
      </c>
      <c r="D67" s="42"/>
      <c r="E67" s="293">
        <f t="shared" si="23"/>
        <v>323.10000000000002</v>
      </c>
      <c r="F67" s="305">
        <f>'[3]побудинковий звіт'!F67</f>
        <v>323.10000000000002</v>
      </c>
      <c r="G67" s="508">
        <f>'[3]побудинковий звіт'!G67</f>
        <v>0</v>
      </c>
      <c r="H67" s="560">
        <f>'[3]побудинковий звіт'!H67</f>
        <v>0</v>
      </c>
      <c r="I67" s="566"/>
      <c r="J67" s="566"/>
      <c r="K67" s="52">
        <f t="shared" si="34"/>
        <v>0</v>
      </c>
      <c r="L67" s="566"/>
      <c r="M67" s="566"/>
      <c r="N67" s="52">
        <f t="shared" si="35"/>
        <v>0</v>
      </c>
      <c r="O67" s="566"/>
      <c r="P67" s="566"/>
      <c r="Q67" s="70"/>
      <c r="R67" s="566"/>
      <c r="S67" s="566"/>
      <c r="T67" s="70"/>
      <c r="U67" s="566"/>
      <c r="V67" s="566"/>
      <c r="W67" s="70"/>
      <c r="X67" s="566"/>
      <c r="Y67" s="566"/>
      <c r="Z67" s="70"/>
      <c r="AA67" s="566"/>
      <c r="AB67" s="566"/>
      <c r="AC67" s="70"/>
      <c r="AD67" s="566"/>
      <c r="AE67" s="566"/>
      <c r="AF67" s="68"/>
      <c r="AG67" s="77">
        <f t="shared" si="24"/>
        <v>0</v>
      </c>
      <c r="AH67" s="53">
        <f t="shared" si="24"/>
        <v>0</v>
      </c>
      <c r="AI67" s="52">
        <f t="shared" si="42"/>
        <v>0</v>
      </c>
      <c r="AJ67" s="566"/>
      <c r="AK67" s="566"/>
      <c r="AL67" s="70"/>
      <c r="AM67" s="566"/>
      <c r="AN67" s="566"/>
      <c r="AO67" s="70"/>
      <c r="AP67" s="566"/>
      <c r="AQ67" s="566"/>
      <c r="AR67" s="70"/>
      <c r="AS67" s="566"/>
      <c r="AT67" s="566"/>
      <c r="AU67" s="78"/>
      <c r="AV67" s="566"/>
      <c r="AW67" s="566"/>
      <c r="AX67" s="55"/>
      <c r="AY67" s="566"/>
      <c r="AZ67" s="566"/>
      <c r="BA67" s="38"/>
      <c r="BB67" s="566"/>
      <c r="BC67" s="566"/>
      <c r="BD67" s="55"/>
      <c r="BE67" s="566"/>
      <c r="BF67" s="566"/>
      <c r="BG67" s="55"/>
      <c r="BH67" s="566"/>
      <c r="BI67" s="566"/>
      <c r="BJ67" s="55"/>
      <c r="BK67" s="566"/>
      <c r="BL67" s="566"/>
      <c r="BM67" s="55"/>
      <c r="BN67" s="566"/>
      <c r="BO67" s="566"/>
      <c r="BP67" s="55"/>
      <c r="BQ67" s="77">
        <f t="shared" si="79"/>
        <v>0</v>
      </c>
      <c r="BR67" s="40">
        <f t="shared" si="80"/>
        <v>0</v>
      </c>
      <c r="BS67" s="55">
        <f t="shared" si="70"/>
        <v>0</v>
      </c>
      <c r="BT67" s="566"/>
      <c r="BU67" s="566"/>
      <c r="BV67" s="70"/>
      <c r="BW67" s="566"/>
      <c r="BX67" s="566"/>
      <c r="BY67" s="70"/>
      <c r="BZ67" s="566"/>
      <c r="CA67" s="566"/>
      <c r="CB67" s="70"/>
      <c r="CC67" s="566"/>
      <c r="CD67" s="566"/>
      <c r="CE67" s="70"/>
      <c r="CF67" s="566"/>
      <c r="CG67" s="566"/>
      <c r="CH67" s="70"/>
      <c r="CI67" s="566"/>
      <c r="CJ67" s="566"/>
      <c r="CK67" s="70"/>
      <c r="CL67" s="566"/>
      <c r="CM67" s="566"/>
      <c r="CN67" s="52">
        <f t="shared" si="60"/>
        <v>0</v>
      </c>
      <c r="CO67" s="39">
        <f t="shared" si="27"/>
        <v>0</v>
      </c>
      <c r="CP67" s="40">
        <f t="shared" si="61"/>
        <v>0</v>
      </c>
      <c r="CQ67" s="52">
        <f t="shared" si="62"/>
        <v>0</v>
      </c>
      <c r="CR67" s="72">
        <f t="shared" si="28"/>
        <v>0</v>
      </c>
      <c r="CS67" s="5">
        <f t="shared" si="28"/>
        <v>0</v>
      </c>
      <c r="CT67" s="52">
        <f t="shared" si="63"/>
        <v>0</v>
      </c>
      <c r="CU67" s="77">
        <f t="shared" si="64"/>
        <v>0</v>
      </c>
      <c r="CV67" s="65">
        <f t="shared" si="65"/>
        <v>0</v>
      </c>
      <c r="CW67" s="35">
        <f t="shared" si="66"/>
        <v>0</v>
      </c>
      <c r="CX67" s="566"/>
      <c r="CY67" s="566"/>
      <c r="CZ67" s="52">
        <f t="shared" si="67"/>
        <v>0</v>
      </c>
      <c r="DA67" s="150">
        <f>'[2]побудинковий звіт'!DA67</f>
        <v>-1846.6012084197878</v>
      </c>
      <c r="DB67" s="2">
        <v>2</v>
      </c>
      <c r="DC67" s="414">
        <f>'[4]побудинковий звіт'!DC67</f>
        <v>8789.08</v>
      </c>
      <c r="DD67" s="414">
        <f>'[4]побудинковий звіт'!DD67</f>
        <v>0</v>
      </c>
      <c r="DE67" s="557">
        <f>'[4]побудинковий звіт'!DE67</f>
        <v>8305.9096424292857</v>
      </c>
      <c r="DF67" s="557">
        <f>'[4]побудинковий звіт'!DF67</f>
        <v>0</v>
      </c>
      <c r="DG67" s="321">
        <f>VLOOKUP(A67,'кошти 01.03.2021'!$A$6:$D$401,4,)</f>
        <v>528.24556001615611</v>
      </c>
      <c r="DH67" s="40">
        <f>'[3]побудинковий звіт'!DJ67</f>
        <v>5506.2290027746167</v>
      </c>
      <c r="DI67" s="422">
        <f>'[3]побудинковий звіт'!CU67+'[3]побудинковий звіт'!CX67</f>
        <v>483.1703575707146</v>
      </c>
      <c r="DJ67" s="306">
        <f>'[3]побудинковий звіт'!DM67</f>
        <v>1.4954204814940097</v>
      </c>
      <c r="DK67" s="306">
        <f t="shared" si="82"/>
        <v>1.4954204814940097</v>
      </c>
      <c r="DL67" s="306">
        <f>'[3]побудинковий звіт'!DO67</f>
        <v>1.4954204814940097</v>
      </c>
      <c r="DM67" s="28">
        <f t="shared" si="83"/>
        <v>483.1703575707146</v>
      </c>
      <c r="DN67" s="28">
        <f t="shared" si="84"/>
        <v>0</v>
      </c>
      <c r="DO67" s="423">
        <f t="shared" si="29"/>
        <v>483.1703575707146</v>
      </c>
      <c r="DP67" s="94">
        <f t="shared" si="30"/>
        <v>0</v>
      </c>
      <c r="DQ67" s="28">
        <f t="shared" si="31"/>
        <v>483.1703575707146</v>
      </c>
      <c r="DR67" s="318"/>
      <c r="DT67" s="8"/>
      <c r="DU67" s="5"/>
      <c r="DX67" s="5">
        <f t="shared" si="32"/>
        <v>0</v>
      </c>
      <c r="DY67" s="5">
        <f t="shared" si="33"/>
        <v>0</v>
      </c>
      <c r="DZ67" s="159">
        <f>'[3]побудинковий звіт'!EA67</f>
        <v>408.82217354850985</v>
      </c>
    </row>
    <row r="68" spans="1:130" x14ac:dyDescent="0.3">
      <c r="A68" s="325">
        <v>150000517</v>
      </c>
      <c r="B68" s="41" t="s">
        <v>517</v>
      </c>
      <c r="C68" s="42" t="s">
        <v>252</v>
      </c>
      <c r="D68" s="42"/>
      <c r="E68" s="293">
        <f t="shared" si="23"/>
        <v>1894.8000000000002</v>
      </c>
      <c r="F68" s="305">
        <f>'[3]побудинковий звіт'!F68</f>
        <v>1531.9</v>
      </c>
      <c r="G68" s="508">
        <f>'[3]побудинковий звіт'!G68</f>
        <v>0</v>
      </c>
      <c r="H68" s="560">
        <f>'[3]побудинковий звіт'!H68</f>
        <v>362.9</v>
      </c>
      <c r="I68" s="566">
        <f>VLOOKUP($A68,'01-02.2021'!$A$6:$CZ$403,9,FALSE)+VLOOKUP($A68,'1.3.21-28.2.22'!$A$6:$DA$404,9,FALSE)-VLOOKUP($A68,'01-02.2022'!$A$6:$DA$376,9,FALSE)</f>
        <v>5898.0566541839162</v>
      </c>
      <c r="J68" s="566">
        <f>VLOOKUP($A68,'01-02.2021'!$A$6:$CZ$403,10,FALSE)+VLOOKUP($A68,'1.3.21-28.2.22'!$A$6:$DA$404,10,FALSE)-VLOOKUP($A68,'01-02.2022'!$A$6:$DA$376,10,FALSE)</f>
        <v>6496.1428020996336</v>
      </c>
      <c r="K68" s="52">
        <f t="shared" si="34"/>
        <v>598.08614791571745</v>
      </c>
      <c r="L68" s="566">
        <f>VLOOKUP($A68,'01-02.2021'!$A$6:$CZ$403,12,FALSE)+VLOOKUP($A68,'1.3.21-28.2.22'!$A$6:$DA$404,12,FALSE)-VLOOKUP($A68,'01-02.2022'!$A$6:$DA$376,12,FALSE)</f>
        <v>1133.1913209601216</v>
      </c>
      <c r="M68" s="566">
        <f>VLOOKUP($A68,'01-02.2021'!$A$6:$CZ$403,13,FALSE)+VLOOKUP($A68,'1.3.21-28.2.22'!$A$6:$DA$404,13,FALSE)-VLOOKUP($A68,'01-02.2022'!$A$6:$DA$376,13,FALSE)</f>
        <v>1247.6842470214362</v>
      </c>
      <c r="N68" s="52">
        <f t="shared" si="35"/>
        <v>114.49292606131462</v>
      </c>
      <c r="O68" s="566">
        <f>VLOOKUP($A68,'01-02.2021'!$A$6:$CZ$403,15,FALSE)+VLOOKUP($A68,'1.3.21-28.2.22'!$A$6:$DA$404,15,FALSE)-VLOOKUP($A68,'01-02.2022'!$A$6:$DA$376,15,FALSE)</f>
        <v>2195.2759271844084</v>
      </c>
      <c r="P68" s="566">
        <f>VLOOKUP($A68,'01-02.2021'!$A$6:$CZ$403,16,FALSE)+VLOOKUP($A68,'1.3.21-28.2.22'!$A$6:$DA$404,16,FALSE)-VLOOKUP($A68,'01-02.2022'!$A$6:$DA$376,16,FALSE)</f>
        <v>2195.29</v>
      </c>
      <c r="Q68" s="70">
        <f t="shared" si="36"/>
        <v>1.407281559158946E-2</v>
      </c>
      <c r="R68" s="566">
        <f>VLOOKUP($A68,'01-02.2021'!$A$6:$CZ$403,18,FALSE)+VLOOKUP($A68,'1.3.21-28.2.22'!$A$6:$DA$404,18,FALSE)-VLOOKUP($A68,'01-02.2022'!$A$6:$DA$376,18,FALSE)</f>
        <v>0</v>
      </c>
      <c r="S68" s="566">
        <f>VLOOKUP($A68,'01-02.2021'!$A$6:$CZ$403,19,FALSE)+VLOOKUP($A68,'1.3.21-28.2.22'!$A$6:$DA$404,19,FALSE)-VLOOKUP($A68,'01-02.2022'!$A$6:$DA$376,19,FALSE)</f>
        <v>0</v>
      </c>
      <c r="T68" s="70">
        <f t="shared" si="37"/>
        <v>0</v>
      </c>
      <c r="U68" s="566">
        <f>VLOOKUP($A68,'01-02.2021'!$A$6:$CZ$403,21,FALSE)+VLOOKUP($A68,'1.3.21-28.2.22'!$A$6:$DA$404,21,FALSE)-VLOOKUP($A68,'01-02.2022'!$A$6:$DA$376,21,FALSE)</f>
        <v>0</v>
      </c>
      <c r="V68" s="566">
        <f>VLOOKUP($A68,'01-02.2021'!$A$6:$CZ$403,22,FALSE)+VLOOKUP($A68,'1.3.21-28.2.22'!$A$6:$DA$404,22,FALSE)-VLOOKUP($A68,'01-02.2022'!$A$6:$DA$376,22,FALSE)</f>
        <v>0</v>
      </c>
      <c r="W68" s="70">
        <f t="shared" si="38"/>
        <v>0</v>
      </c>
      <c r="X68" s="566">
        <f>VLOOKUP($A68,'01-02.2021'!$A$6:$CZ$403,24,FALSE)+VLOOKUP($A68,'1.3.21-28.2.22'!$A$6:$DA$404,24,FALSE)-VLOOKUP($A68,'01-02.2022'!$A$6:$DA$376,24,FALSE)</f>
        <v>2684.0600496156972</v>
      </c>
      <c r="Y68" s="566">
        <f>VLOOKUP($A68,'01-02.2021'!$A$6:$CZ$403,25,FALSE)+VLOOKUP($A68,'1.3.21-28.2.22'!$A$6:$DA$404,25,FALSE)-VLOOKUP($A68,'01-02.2022'!$A$6:$DA$376,25,FALSE)</f>
        <v>2077.8471343249003</v>
      </c>
      <c r="Z68" s="70">
        <f t="shared" si="39"/>
        <v>-606.2129152907969</v>
      </c>
      <c r="AA68" s="566">
        <f>VLOOKUP($A68,'01-02.2021'!$A$6:$CZ$403,27,FALSE)+VLOOKUP($A68,'1.3.21-28.2.22'!$A$6:$DA$404,27,FALSE)-VLOOKUP($A68,'01-02.2022'!$A$6:$DA$376,27,FALSE)</f>
        <v>384.32000000000005</v>
      </c>
      <c r="AB68" s="566">
        <f>VLOOKUP($A68,'01-02.2021'!$A$6:$CZ$403,28,FALSE)+VLOOKUP($A68,'1.3.21-28.2.22'!$A$6:$DA$404,28,FALSE)-VLOOKUP($A68,'01-02.2022'!$A$6:$DA$376,28,FALSE)</f>
        <v>0</v>
      </c>
      <c r="AC68" s="70">
        <f t="shared" si="40"/>
        <v>-384.32000000000005</v>
      </c>
      <c r="AD68" s="566">
        <f>VLOOKUP($A68,'01-02.2021'!$A$6:$CZ$403,30,FALSE)+VLOOKUP($A68,'1.3.21-28.2.22'!$A$6:$DA$404,30,FALSE)-VLOOKUP($A68,'01-02.2022'!$A$6:$DA$376,30,FALSE)</f>
        <v>8148.3225788093623</v>
      </c>
      <c r="AE68" s="566">
        <f>VLOOKUP($A68,'01-02.2021'!$A$6:$CZ$403,31,FALSE)+VLOOKUP($A68,'1.3.21-28.2.22'!$A$6:$DA$404,31,FALSE)-VLOOKUP($A68,'01-02.2022'!$A$6:$DA$376,31,FALSE)</f>
        <v>8625.2059457559753</v>
      </c>
      <c r="AF68" s="68">
        <f t="shared" si="41"/>
        <v>476.88336694661302</v>
      </c>
      <c r="AG68" s="77">
        <f t="shared" si="24"/>
        <v>20443.226530753505</v>
      </c>
      <c r="AH68" s="53">
        <f t="shared" si="24"/>
        <v>20642.170129201942</v>
      </c>
      <c r="AI68" s="52">
        <f t="shared" si="42"/>
        <v>198.94359844843711</v>
      </c>
      <c r="AJ68" s="566">
        <f>VLOOKUP($A68,'01-02.2021'!$A$6:$CZ$403,36,FALSE)+VLOOKUP($A68,'1.3.21-28.2.22'!$A$6:$DA$404,36,FALSE)-VLOOKUP($A68,'01-02.2022'!$A$6:$DA$376,36,FALSE)</f>
        <v>0</v>
      </c>
      <c r="AK68" s="566">
        <f>VLOOKUP($A68,'01-02.2021'!$A$6:$CZ$403,37,FALSE)+VLOOKUP($A68,'1.3.21-28.2.22'!$A$6:$DA$404,37,FALSE)-VLOOKUP($A68,'01-02.2022'!$A$6:$DA$376,37,FALSE)</f>
        <v>0</v>
      </c>
      <c r="AL68" s="70">
        <f t="shared" si="43"/>
        <v>0</v>
      </c>
      <c r="AM68" s="566">
        <f>VLOOKUP($A68,'01-02.2021'!$A$6:$CZ$403,39,FALSE)+VLOOKUP($A68,'1.3.21-28.2.22'!$A$6:$DA$404,39,FALSE)-VLOOKUP($A68,'01-02.2022'!$A$6:$DA$376,39,FALSE)</f>
        <v>0</v>
      </c>
      <c r="AN68" s="566">
        <f>VLOOKUP($A68,'01-02.2021'!$A$6:$CZ$403,40,FALSE)+VLOOKUP($A68,'1.3.21-28.2.22'!$A$6:$DA$404,40,FALSE)-VLOOKUP($A68,'01-02.2022'!$A$6:$DA$376,40,FALSE)</f>
        <v>0</v>
      </c>
      <c r="AO68" s="70">
        <f t="shared" si="44"/>
        <v>0</v>
      </c>
      <c r="AP68" s="566">
        <f>VLOOKUP($A68,'01-02.2021'!$A$6:$CZ$403,42,FALSE)+VLOOKUP($A68,'1.3.21-28.2.22'!$A$6:$DA$404,42,FALSE)-VLOOKUP($A68,'01-02.2022'!$A$6:$DA$376,42,FALSE)</f>
        <v>4294.6193813554146</v>
      </c>
      <c r="AQ68" s="566">
        <f>VLOOKUP($A68,'01-02.2021'!$A$6:$CZ$403,43,FALSE)+VLOOKUP($A68,'1.3.21-28.2.22'!$A$6:$DA$404,43,FALSE)-VLOOKUP($A68,'01-02.2022'!$A$6:$DA$376,43,FALSE)</f>
        <v>3751.5801667819178</v>
      </c>
      <c r="AR68" s="70">
        <f t="shared" si="45"/>
        <v>-543.03921457349679</v>
      </c>
      <c r="AS68" s="566">
        <f>VLOOKUP($A68,'01-02.2021'!$A$6:$CZ$403,45,FALSE)+VLOOKUP($A68,'1.3.21-28.2.22'!$A$6:$DA$404,45,FALSE)-VLOOKUP($A68,'01-02.2022'!$A$6:$DA$376,45,FALSE)</f>
        <v>17399.907677901418</v>
      </c>
      <c r="AT68" s="566">
        <f>VLOOKUP($A68,'01-02.2021'!$A$6:$CZ$403,46,FALSE)+VLOOKUP($A68,'1.3.21-28.2.22'!$A$6:$DA$404,46,FALSE)-VLOOKUP($A68,'01-02.2022'!$A$6:$DA$376,46,FALSE)</f>
        <v>70282.108337944228</v>
      </c>
      <c r="AU68" s="78">
        <f t="shared" si="46"/>
        <v>52882.200660042814</v>
      </c>
      <c r="AV68" s="566">
        <f>VLOOKUP($A68,'01-02.2021'!$A$6:$CZ$403,48,FALSE)+VLOOKUP($A68,'1.3.21-28.2.22'!$A$6:$DA$404,48,FALSE)-VLOOKUP($A68,'01-02.2022'!$A$6:$DA$376,48,FALSE)</f>
        <v>1614.7980968572797</v>
      </c>
      <c r="AW68" s="566">
        <f>VLOOKUP($A68,'01-02.2021'!$A$6:$CZ$403,49,FALSE)+VLOOKUP($A68,'1.3.21-28.2.22'!$A$6:$DA$404,49,FALSE)-VLOOKUP($A68,'01-02.2022'!$A$6:$DA$376,49,FALSE)</f>
        <v>0</v>
      </c>
      <c r="AX68" s="55">
        <f t="shared" si="47"/>
        <v>-1614.7980968572797</v>
      </c>
      <c r="AY68" s="566">
        <f>VLOOKUP($A68,'01-02.2021'!$A$6:$CZ$403,51,FALSE)+VLOOKUP($A68,'1.3.21-28.2.22'!$A$6:$DA$404,51,FALSE)-VLOOKUP($A68,'01-02.2022'!$A$6:$DA$376,51,FALSE)</f>
        <v>2130.2100674849212</v>
      </c>
      <c r="AZ68" s="566">
        <f>VLOOKUP($A68,'01-02.2021'!$A$6:$CZ$403,52,FALSE)+VLOOKUP($A68,'1.3.21-28.2.22'!$A$6:$DA$404,52,FALSE)-VLOOKUP($A68,'01-02.2022'!$A$6:$DA$376,52,FALSE)</f>
        <v>0</v>
      </c>
      <c r="BA68" s="38">
        <f t="shared" si="48"/>
        <v>-2130.2100674849212</v>
      </c>
      <c r="BB68" s="566">
        <f>VLOOKUP($A68,'01-02.2021'!$A$6:$CZ$403,54,FALSE)+VLOOKUP($A68,'1.3.21-28.2.22'!$A$6:$DA$404,54,FALSE)-VLOOKUP($A68,'01-02.2022'!$A$6:$DA$376,54,FALSE)</f>
        <v>1166.0664572190021</v>
      </c>
      <c r="BC68" s="566">
        <f>VLOOKUP($A68,'01-02.2021'!$A$6:$CZ$403,55,FALSE)+VLOOKUP($A68,'1.3.21-28.2.22'!$A$6:$DA$404,55,FALSE)-VLOOKUP($A68,'01-02.2022'!$A$6:$DA$376,55,FALSE)</f>
        <v>546</v>
      </c>
      <c r="BD68" s="55">
        <f t="shared" si="49"/>
        <v>-620.06645721900213</v>
      </c>
      <c r="BE68" s="566">
        <f>VLOOKUP($A68,'01-02.2021'!$A$6:$CZ$403,57,FALSE)+VLOOKUP($A68,'1.3.21-28.2.22'!$A$6:$DA$404,57,FALSE)-VLOOKUP($A68,'01-02.2022'!$A$6:$DA$376,57,FALSE)</f>
        <v>0</v>
      </c>
      <c r="BF68" s="566">
        <f>VLOOKUP($A68,'01-02.2021'!$A$6:$CZ$403,58,FALSE)+VLOOKUP($A68,'1.3.21-28.2.22'!$A$6:$DA$404,58,FALSE)-VLOOKUP($A68,'01-02.2022'!$A$6:$DA$376,58,FALSE)</f>
        <v>0</v>
      </c>
      <c r="BG68" s="55">
        <f t="shared" si="50"/>
        <v>0</v>
      </c>
      <c r="BH68" s="566">
        <f>VLOOKUP($A68,'01-02.2021'!$A$6:$CZ$403,60,FALSE)+VLOOKUP($A68,'1.3.21-28.2.22'!$A$6:$DA$404,60,FALSE)-VLOOKUP($A68,'01-02.2022'!$A$6:$DA$376,60,FALSE)</f>
        <v>0</v>
      </c>
      <c r="BI68" s="566">
        <f>VLOOKUP($A68,'01-02.2021'!$A$6:$CZ$403,61,FALSE)+VLOOKUP($A68,'1.3.21-28.2.22'!$A$6:$DA$404,61,FALSE)-VLOOKUP($A68,'01-02.2022'!$A$6:$DA$376,61,FALSE)</f>
        <v>0</v>
      </c>
      <c r="BJ68" s="55">
        <f t="shared" si="51"/>
        <v>0</v>
      </c>
      <c r="BK68" s="566">
        <f>VLOOKUP($A68,'01-02.2021'!$A$6:$CZ$403,63,FALSE)+VLOOKUP($A68,'1.3.21-28.2.22'!$A$6:$DA$404,63,FALSE)-VLOOKUP($A68,'01-02.2022'!$A$6:$DA$376,63,FALSE)</f>
        <v>649.37798920451144</v>
      </c>
      <c r="BL68" s="566">
        <f>VLOOKUP($A68,'01-02.2021'!$A$6:$CZ$403,64,FALSE)+VLOOKUP($A68,'1.3.21-28.2.22'!$A$6:$DA$404,64,FALSE)-VLOOKUP($A68,'01-02.2022'!$A$6:$DA$376,64,FALSE)</f>
        <v>0</v>
      </c>
      <c r="BM68" s="55">
        <f t="shared" si="52"/>
        <v>-649.37798920451144</v>
      </c>
      <c r="BN68" s="566">
        <f>VLOOKUP($A68,'01-02.2021'!$A$6:$CZ$403,66,FALSE)+VLOOKUP($A68,'1.3.21-28.2.22'!$A$6:$DA$404,66,FALSE)-VLOOKUP($A68,'01-02.2022'!$A$6:$DA$376,66,FALSE)</f>
        <v>96.080000000000013</v>
      </c>
      <c r="BO68" s="566">
        <f>VLOOKUP($A68,'01-02.2021'!$A$6:$CZ$403,67,FALSE)+VLOOKUP($A68,'1.3.21-28.2.22'!$A$6:$DA$404,67,FALSE)-VLOOKUP($A68,'01-02.2022'!$A$6:$DA$376,67,FALSE)</f>
        <v>0</v>
      </c>
      <c r="BP68" s="55">
        <f t="shared" si="53"/>
        <v>-96.080000000000013</v>
      </c>
      <c r="BQ68" s="77">
        <f t="shared" si="79"/>
        <v>5656.5326107657147</v>
      </c>
      <c r="BR68" s="40">
        <f t="shared" si="80"/>
        <v>546</v>
      </c>
      <c r="BS68" s="55">
        <f t="shared" si="70"/>
        <v>-5110.5326107657147</v>
      </c>
      <c r="BT68" s="566">
        <f>VLOOKUP($A68,'01-02.2021'!$A$6:$CZ$403,72,FALSE)+VLOOKUP($A68,'1.3.21-28.2.22'!$A$6:$DA$404,72,FALSE)-VLOOKUP($A68,'01-02.2022'!$A$6:$DA$376,72,FALSE)</f>
        <v>8610.7780137688915</v>
      </c>
      <c r="BU68" s="566">
        <f>VLOOKUP($A68,'01-02.2021'!$A$6:$CZ$403,73,FALSE)+VLOOKUP($A68,'1.3.21-28.2.22'!$A$6:$DA$404,73,FALSE)-VLOOKUP($A68,'01-02.2022'!$A$6:$DA$376,73,FALSE)</f>
        <v>12047.144256334013</v>
      </c>
      <c r="BV68" s="70">
        <f t="shared" si="54"/>
        <v>3436.3662425651219</v>
      </c>
      <c r="BW68" s="566">
        <f>VLOOKUP($A68,'01-02.2021'!$A$6:$CZ$403,75,FALSE)+VLOOKUP($A68,'1.3.21-28.2.22'!$A$6:$DA$404,75,FALSE)-VLOOKUP($A68,'01-02.2022'!$A$6:$DA$376,75,FALSE)</f>
        <v>6547.469389712207</v>
      </c>
      <c r="BX68" s="566">
        <f>VLOOKUP($A68,'01-02.2021'!$A$6:$CZ$403,76,FALSE)+VLOOKUP($A68,'1.3.21-28.2.22'!$A$6:$DA$404,76,FALSE)-VLOOKUP($A68,'01-02.2022'!$A$6:$DA$376,76,FALSE)</f>
        <v>6153.2310719845009</v>
      </c>
      <c r="BY68" s="70">
        <f t="shared" si="55"/>
        <v>-394.23831772770609</v>
      </c>
      <c r="BZ68" s="566">
        <f>VLOOKUP($A68,'01-02.2021'!$A$6:$CZ$403,78,FALSE)+VLOOKUP($A68,'1.3.21-28.2.22'!$A$6:$DA$404,78,FALSE)-VLOOKUP($A68,'01-02.2022'!$A$6:$DA$376,78,FALSE)</f>
        <v>5867.1404558208887</v>
      </c>
      <c r="CA68" s="566">
        <f>VLOOKUP($A68,'01-02.2021'!$A$6:$CZ$403,79,FALSE)+VLOOKUP($A68,'1.3.21-28.2.22'!$A$6:$DA$404,79,FALSE)-VLOOKUP($A68,'01-02.2022'!$A$6:$DA$376,79,FALSE)</f>
        <v>3916.2382554467199</v>
      </c>
      <c r="CB68" s="70">
        <f t="shared" si="56"/>
        <v>-1950.9022003741688</v>
      </c>
      <c r="CC68" s="566">
        <f>VLOOKUP($A68,'01-02.2021'!$A$6:$CZ$403,81,FALSE)+VLOOKUP($A68,'1.3.21-28.2.22'!$A$6:$DA$404,81,FALSE)-VLOOKUP($A68,'01-02.2022'!$A$6:$DA$376,81,FALSE)</f>
        <v>0</v>
      </c>
      <c r="CD68" s="566">
        <f>VLOOKUP($A68,'01-02.2021'!$A$6:$CZ$403,82,FALSE)+VLOOKUP($A68,'1.3.21-28.2.22'!$A$6:$DA$404,82,FALSE)-VLOOKUP($A68,'01-02.2022'!$A$6:$DA$376,82,FALSE)</f>
        <v>0</v>
      </c>
      <c r="CE68" s="70">
        <f t="shared" si="57"/>
        <v>0</v>
      </c>
      <c r="CF68" s="566">
        <f>VLOOKUP($A68,'01-02.2021'!$A$6:$CZ$403,84,FALSE)+VLOOKUP($A68,'1.3.21-28.2.22'!$A$6:$DA$404,84,FALSE)-VLOOKUP($A68,'01-02.2022'!$A$6:$DA$376,84,FALSE)</f>
        <v>0</v>
      </c>
      <c r="CG68" s="566">
        <f>VLOOKUP($A68,'01-02.2021'!$A$6:$CZ$403,85,FALSE)+VLOOKUP($A68,'1.3.21-28.2.22'!$A$6:$DA$404,85,FALSE)-VLOOKUP($A68,'01-02.2022'!$A$6:$DA$376,85,FALSE)</f>
        <v>0</v>
      </c>
      <c r="CH68" s="70">
        <f t="shared" si="58"/>
        <v>0</v>
      </c>
      <c r="CI68" s="566">
        <f>VLOOKUP($A68,'01-02.2021'!$A$6:$CZ$403,87,FALSE)+VLOOKUP($A68,'1.3.21-28.2.22'!$A$6:$DA$404,87,FALSE)-VLOOKUP($A68,'01-02.2022'!$A$6:$DA$376,87,FALSE)</f>
        <v>3042.5947911244834</v>
      </c>
      <c r="CJ68" s="566">
        <f>VLOOKUP($A68,'01-02.2021'!$A$6:$CZ$403,88,FALSE)+VLOOKUP($A68,'1.3.21-28.2.22'!$A$6:$DA$404,88,FALSE)-VLOOKUP($A68,'01-02.2022'!$A$6:$DA$376,88,FALSE)</f>
        <v>1908.2383159544299</v>
      </c>
      <c r="CK68" s="70">
        <f t="shared" si="59"/>
        <v>-1134.3564751700535</v>
      </c>
      <c r="CL68" s="566">
        <f>VLOOKUP($A68,'01-02.2021'!$A$6:$CZ$403,90,FALSE)+VLOOKUP($A68,'1.3.21-28.2.22'!$A$6:$DA$404,90,FALSE)-VLOOKUP($A68,'01-02.2022'!$A$6:$DA$376,90,FALSE)</f>
        <v>0</v>
      </c>
      <c r="CM68" s="566">
        <f>VLOOKUP($A68,'01-02.2021'!$A$6:$CZ$403,91,FALSE)+VLOOKUP($A68,'1.3.21-28.2.22'!$A$6:$DA$404,91,FALSE)-VLOOKUP($A68,'01-02.2022'!$A$6:$DA$376,91,FALSE)</f>
        <v>0</v>
      </c>
      <c r="CN68" s="52">
        <f t="shared" si="60"/>
        <v>0</v>
      </c>
      <c r="CO68" s="39">
        <f t="shared" si="27"/>
        <v>3042.5947911244834</v>
      </c>
      <c r="CP68" s="40">
        <f t="shared" si="61"/>
        <v>1908.2383159544299</v>
      </c>
      <c r="CQ68" s="52">
        <f t="shared" si="62"/>
        <v>-1134.3564751700535</v>
      </c>
      <c r="CR68" s="72">
        <f t="shared" si="28"/>
        <v>71862.268851202534</v>
      </c>
      <c r="CS68" s="5">
        <f t="shared" si="28"/>
        <v>119246.71053364774</v>
      </c>
      <c r="CT68" s="52">
        <f t="shared" si="63"/>
        <v>47384.441682445206</v>
      </c>
      <c r="CU68" s="77">
        <f t="shared" si="64"/>
        <v>86234.722621443041</v>
      </c>
      <c r="CV68" s="65">
        <f t="shared" si="65"/>
        <v>143096.05264037728</v>
      </c>
      <c r="CW68" s="35">
        <f t="shared" si="66"/>
        <v>56861.330018934241</v>
      </c>
      <c r="CX68" s="566">
        <f>VLOOKUP($A68,'01-02.2021'!$A$6:$CZ$403,102,FALSE)+VLOOKUP($A68,'1.3.21-28.2.22'!$A$6:$DA$404,102,FALSE)-VLOOKUP($A68,'01-02.2022'!$A$6:$DA$376,102,FALSE)</f>
        <v>3572.1745893869906</v>
      </c>
      <c r="CY68" s="566">
        <f>VLOOKUP($A68,'01-02.2021'!$A$6:$CZ$403,103,FALSE)+VLOOKUP($A68,'1.3.21-28.2.22'!$A$6:$DA$404,103,FALSE)-VLOOKUP($A68,'01-02.2022'!$A$6:$DA$376,103,FALSE)</f>
        <v>-53289.155429547296</v>
      </c>
      <c r="CZ68" s="52">
        <f t="shared" si="67"/>
        <v>-56861.330018934284</v>
      </c>
      <c r="DA68" s="150">
        <f>'[2]побудинковий звіт'!DA68</f>
        <v>93689.099867393772</v>
      </c>
      <c r="DB68" s="2">
        <v>2</v>
      </c>
      <c r="DC68" s="414">
        <f>'[4]побудинковий звіт'!DC68</f>
        <v>28694.67</v>
      </c>
      <c r="DD68" s="414">
        <f>'[4]побудинковий звіт'!DD68</f>
        <v>3703.33</v>
      </c>
      <c r="DE68" s="557">
        <f>'[4]побудинковий звіт'!DE68</f>
        <v>21998.160195547254</v>
      </c>
      <c r="DF68" s="557">
        <f>'[4]побудинковий звіт'!DF68</f>
        <v>2308.1203092883179</v>
      </c>
      <c r="DG68" s="321">
        <f>VLOOKUP(A68,'кошти 01.03.2021'!$A$6:$D$401,4,)</f>
        <v>119008.1241237121</v>
      </c>
      <c r="DH68" s="40">
        <f>'[3]побудинковий звіт'!DJ68</f>
        <v>92676.282584682835</v>
      </c>
      <c r="DI68" s="422">
        <f>'[3]побудинковий звіт'!CU68+'[3]побудинковий звіт'!CX68</f>
        <v>8091.7194951644269</v>
      </c>
      <c r="DJ68" s="306">
        <f>'[3]побудинковий звіт'!DM68</f>
        <v>4.3713752884997348</v>
      </c>
      <c r="DK68" s="306">
        <f t="shared" si="82"/>
        <v>4.3713752884997348</v>
      </c>
      <c r="DL68" s="306">
        <f>'[3]побудинковий звіт'!DO68</f>
        <v>3.8446119887343126</v>
      </c>
      <c r="DM68" s="28">
        <f t="shared" si="83"/>
        <v>6696.509804452744</v>
      </c>
      <c r="DN68" s="28">
        <f t="shared" si="84"/>
        <v>1395.209690711682</v>
      </c>
      <c r="DO68" s="423">
        <f t="shared" si="29"/>
        <v>8091.719495164426</v>
      </c>
      <c r="DP68" s="94">
        <f t="shared" si="30"/>
        <v>0</v>
      </c>
      <c r="DQ68" s="28">
        <f t="shared" si="31"/>
        <v>8091.719495164426</v>
      </c>
      <c r="DR68" s="318"/>
      <c r="DT68" s="8"/>
      <c r="DU68" s="5"/>
      <c r="DX68" s="5">
        <f t="shared" si="32"/>
        <v>27667.728346400556</v>
      </c>
      <c r="DY68" s="5">
        <f t="shared" si="33"/>
        <v>84993.730005533071</v>
      </c>
      <c r="DZ68" s="159">
        <f>'[3]побудинковий звіт'!EA68</f>
        <v>2719.9493559072043</v>
      </c>
    </row>
    <row r="69" spans="1:130" x14ac:dyDescent="0.3">
      <c r="A69" s="325">
        <v>150000518</v>
      </c>
      <c r="B69" s="41" t="s">
        <v>518</v>
      </c>
      <c r="C69" s="42" t="s">
        <v>195</v>
      </c>
      <c r="D69" s="42"/>
      <c r="E69" s="293">
        <f t="shared" si="23"/>
        <v>847.5</v>
      </c>
      <c r="F69" s="305">
        <f>'[3]побудинковий звіт'!F69</f>
        <v>783.2</v>
      </c>
      <c r="G69" s="508">
        <f>'[3]побудинковий звіт'!G69</f>
        <v>0</v>
      </c>
      <c r="H69" s="560">
        <f>'[3]побудинковий звіт'!H69</f>
        <v>64.3</v>
      </c>
      <c r="I69" s="566">
        <f>VLOOKUP($A69,'01-02.2021'!$A$6:$CZ$403,9,FALSE)+VLOOKUP($A69,'1.3.21-28.2.22'!$A$6:$DA$404,9,FALSE)-VLOOKUP($A69,'01-02.2022'!$A$6:$DA$376,9,FALSE)</f>
        <v>3375.2558525909444</v>
      </c>
      <c r="J69" s="566">
        <f>VLOOKUP($A69,'01-02.2021'!$A$6:$CZ$403,10,FALSE)+VLOOKUP($A69,'1.3.21-28.2.22'!$A$6:$DA$404,10,FALSE)-VLOOKUP($A69,'01-02.2022'!$A$6:$DA$376,10,FALSE)</f>
        <v>3682.6390174805533</v>
      </c>
      <c r="K69" s="52">
        <f t="shared" si="34"/>
        <v>307.38316488960891</v>
      </c>
      <c r="L69" s="566">
        <f>VLOOKUP($A69,'01-02.2021'!$A$6:$CZ$403,12,FALSE)+VLOOKUP($A69,'1.3.21-28.2.22'!$A$6:$DA$404,12,FALSE)-VLOOKUP($A69,'01-02.2022'!$A$6:$DA$376,12,FALSE)</f>
        <v>775.29296813759322</v>
      </c>
      <c r="M69" s="566">
        <f>VLOOKUP($A69,'01-02.2021'!$A$6:$CZ$403,13,FALSE)+VLOOKUP($A69,'1.3.21-28.2.22'!$A$6:$DA$404,13,FALSE)-VLOOKUP($A69,'01-02.2022'!$A$6:$DA$376,13,FALSE)</f>
        <v>853.62331761234918</v>
      </c>
      <c r="N69" s="52">
        <f t="shared" si="35"/>
        <v>78.330349474755963</v>
      </c>
      <c r="O69" s="566">
        <f>VLOOKUP($A69,'01-02.2021'!$A$6:$CZ$403,15,FALSE)+VLOOKUP($A69,'1.3.21-28.2.22'!$A$6:$DA$404,15,FALSE)-VLOOKUP($A69,'01-02.2022'!$A$6:$DA$376,15,FALSE)</f>
        <v>1043.1248073182917</v>
      </c>
      <c r="P69" s="566">
        <f>VLOOKUP($A69,'01-02.2021'!$A$6:$CZ$403,16,FALSE)+VLOOKUP($A69,'1.3.21-28.2.22'!$A$6:$DA$404,16,FALSE)-VLOOKUP($A69,'01-02.2022'!$A$6:$DA$376,16,FALSE)</f>
        <v>1043.1600000000001</v>
      </c>
      <c r="Q69" s="70">
        <f t="shared" si="36"/>
        <v>3.5192681708394957E-2</v>
      </c>
      <c r="R69" s="566">
        <f>VLOOKUP($A69,'01-02.2021'!$A$6:$CZ$403,18,FALSE)+VLOOKUP($A69,'1.3.21-28.2.22'!$A$6:$DA$404,18,FALSE)-VLOOKUP($A69,'01-02.2022'!$A$6:$DA$376,18,FALSE)</f>
        <v>0</v>
      </c>
      <c r="S69" s="566">
        <f>VLOOKUP($A69,'01-02.2021'!$A$6:$CZ$403,19,FALSE)+VLOOKUP($A69,'1.3.21-28.2.22'!$A$6:$DA$404,19,FALSE)-VLOOKUP($A69,'01-02.2022'!$A$6:$DA$376,19,FALSE)</f>
        <v>0</v>
      </c>
      <c r="T69" s="70">
        <f t="shared" si="37"/>
        <v>0</v>
      </c>
      <c r="U69" s="566">
        <f>VLOOKUP($A69,'01-02.2021'!$A$6:$CZ$403,21,FALSE)+VLOOKUP($A69,'1.3.21-28.2.22'!$A$6:$DA$404,21,FALSE)-VLOOKUP($A69,'01-02.2022'!$A$6:$DA$376,21,FALSE)</f>
        <v>0</v>
      </c>
      <c r="V69" s="566">
        <f>VLOOKUP($A69,'01-02.2021'!$A$6:$CZ$403,22,FALSE)+VLOOKUP($A69,'1.3.21-28.2.22'!$A$6:$DA$404,22,FALSE)-VLOOKUP($A69,'01-02.2022'!$A$6:$DA$376,22,FALSE)</f>
        <v>0</v>
      </c>
      <c r="W69" s="70">
        <f t="shared" si="38"/>
        <v>0</v>
      </c>
      <c r="X69" s="566">
        <f>VLOOKUP($A69,'01-02.2021'!$A$6:$CZ$403,24,FALSE)+VLOOKUP($A69,'1.3.21-28.2.22'!$A$6:$DA$404,24,FALSE)-VLOOKUP($A69,'01-02.2022'!$A$6:$DA$376,24,FALSE)</f>
        <v>2037.821327576662</v>
      </c>
      <c r="Y69" s="566">
        <f>VLOOKUP($A69,'01-02.2021'!$A$6:$CZ$403,25,FALSE)+VLOOKUP($A69,'1.3.21-28.2.22'!$A$6:$DA$404,25,FALSE)-VLOOKUP($A69,'01-02.2022'!$A$6:$DA$376,25,FALSE)</f>
        <v>1479.7567709389803</v>
      </c>
      <c r="Z69" s="70">
        <f t="shared" si="39"/>
        <v>-558.06455663768179</v>
      </c>
      <c r="AA69" s="566">
        <f>VLOOKUP($A69,'01-02.2021'!$A$6:$CZ$403,27,FALSE)+VLOOKUP($A69,'1.3.21-28.2.22'!$A$6:$DA$404,27,FALSE)-VLOOKUP($A69,'01-02.2022'!$A$6:$DA$376,27,FALSE)</f>
        <v>169.5</v>
      </c>
      <c r="AB69" s="566">
        <f>VLOOKUP($A69,'01-02.2021'!$A$6:$CZ$403,28,FALSE)+VLOOKUP($A69,'1.3.21-28.2.22'!$A$6:$DA$404,28,FALSE)-VLOOKUP($A69,'01-02.2022'!$A$6:$DA$376,28,FALSE)</f>
        <v>0</v>
      </c>
      <c r="AC69" s="70">
        <f t="shared" si="40"/>
        <v>-169.5</v>
      </c>
      <c r="AD69" s="566">
        <f>VLOOKUP($A69,'01-02.2021'!$A$6:$CZ$403,30,FALSE)+VLOOKUP($A69,'1.3.21-28.2.22'!$A$6:$DA$404,30,FALSE)-VLOOKUP($A69,'01-02.2022'!$A$6:$DA$376,30,FALSE)</f>
        <v>3633.8422377646643</v>
      </c>
      <c r="AE69" s="566">
        <f>VLOOKUP($A69,'01-02.2021'!$A$6:$CZ$403,31,FALSE)+VLOOKUP($A69,'1.3.21-28.2.22'!$A$6:$DA$404,31,FALSE)-VLOOKUP($A69,'01-02.2022'!$A$6:$DA$376,31,FALSE)</f>
        <v>3857.8541476821765</v>
      </c>
      <c r="AF69" s="68">
        <f t="shared" si="41"/>
        <v>224.01190991751218</v>
      </c>
      <c r="AG69" s="77">
        <f t="shared" si="24"/>
        <v>11034.837193388155</v>
      </c>
      <c r="AH69" s="53">
        <f t="shared" si="24"/>
        <v>10917.03325371406</v>
      </c>
      <c r="AI69" s="52">
        <f t="shared" si="42"/>
        <v>-117.80393967409509</v>
      </c>
      <c r="AJ69" s="566">
        <f>VLOOKUP($A69,'01-02.2021'!$A$6:$CZ$403,36,FALSE)+VLOOKUP($A69,'1.3.21-28.2.22'!$A$6:$DA$404,36,FALSE)-VLOOKUP($A69,'01-02.2022'!$A$6:$DA$376,36,FALSE)</f>
        <v>0</v>
      </c>
      <c r="AK69" s="566">
        <f>VLOOKUP($A69,'01-02.2021'!$A$6:$CZ$403,37,FALSE)+VLOOKUP($A69,'1.3.21-28.2.22'!$A$6:$DA$404,37,FALSE)-VLOOKUP($A69,'01-02.2022'!$A$6:$DA$376,37,FALSE)</f>
        <v>0</v>
      </c>
      <c r="AL69" s="70">
        <f t="shared" si="43"/>
        <v>0</v>
      </c>
      <c r="AM69" s="566">
        <f>VLOOKUP($A69,'01-02.2021'!$A$6:$CZ$403,39,FALSE)+VLOOKUP($A69,'1.3.21-28.2.22'!$A$6:$DA$404,39,FALSE)-VLOOKUP($A69,'01-02.2022'!$A$6:$DA$376,39,FALSE)</f>
        <v>0</v>
      </c>
      <c r="AN69" s="566">
        <f>VLOOKUP($A69,'01-02.2021'!$A$6:$CZ$403,40,FALSE)+VLOOKUP($A69,'1.3.21-28.2.22'!$A$6:$DA$404,40,FALSE)-VLOOKUP($A69,'01-02.2022'!$A$6:$DA$376,40,FALSE)</f>
        <v>0</v>
      </c>
      <c r="AO69" s="70">
        <f t="shared" si="44"/>
        <v>0</v>
      </c>
      <c r="AP69" s="566">
        <f>VLOOKUP($A69,'01-02.2021'!$A$6:$CZ$403,42,FALSE)+VLOOKUP($A69,'1.3.21-28.2.22'!$A$6:$DA$404,42,FALSE)-VLOOKUP($A69,'01-02.2022'!$A$6:$DA$376,42,FALSE)</f>
        <v>2212.3796813043041</v>
      </c>
      <c r="AQ69" s="566">
        <f>VLOOKUP($A69,'01-02.2021'!$A$6:$CZ$403,43,FALSE)+VLOOKUP($A69,'1.3.21-28.2.22'!$A$6:$DA$404,43,FALSE)-VLOOKUP($A69,'01-02.2022'!$A$6:$DA$376,43,FALSE)</f>
        <v>1743.495139480742</v>
      </c>
      <c r="AR69" s="70">
        <f t="shared" si="45"/>
        <v>-468.88454182356213</v>
      </c>
      <c r="AS69" s="566">
        <f>VLOOKUP($A69,'01-02.2021'!$A$6:$CZ$403,45,FALSE)+VLOOKUP($A69,'1.3.21-28.2.22'!$A$6:$DA$404,45,FALSE)-VLOOKUP($A69,'01-02.2022'!$A$6:$DA$376,45,FALSE)</f>
        <v>8650.4415773271921</v>
      </c>
      <c r="AT69" s="566">
        <f>VLOOKUP($A69,'01-02.2021'!$A$6:$CZ$403,46,FALSE)+VLOOKUP($A69,'1.3.21-28.2.22'!$A$6:$DA$404,46,FALSE)-VLOOKUP($A69,'01-02.2022'!$A$6:$DA$376,46,FALSE)</f>
        <v>6391.146456850528</v>
      </c>
      <c r="AU69" s="78">
        <f t="shared" si="46"/>
        <v>-2259.2951204766641</v>
      </c>
      <c r="AV69" s="566">
        <f>VLOOKUP($A69,'01-02.2021'!$A$6:$CZ$403,48,FALSE)+VLOOKUP($A69,'1.3.21-28.2.22'!$A$6:$DA$404,48,FALSE)-VLOOKUP($A69,'01-02.2022'!$A$6:$DA$376,48,FALSE)</f>
        <v>977.4585630752531</v>
      </c>
      <c r="AW69" s="566">
        <f>VLOOKUP($A69,'01-02.2021'!$A$6:$CZ$403,49,FALSE)+VLOOKUP($A69,'1.3.21-28.2.22'!$A$6:$DA$404,49,FALSE)-VLOOKUP($A69,'01-02.2022'!$A$6:$DA$376,49,FALSE)</f>
        <v>0</v>
      </c>
      <c r="AX69" s="55">
        <f t="shared" si="47"/>
        <v>-977.4585630752531</v>
      </c>
      <c r="AY69" s="566">
        <f>VLOOKUP($A69,'01-02.2021'!$A$6:$CZ$403,51,FALSE)+VLOOKUP($A69,'1.3.21-28.2.22'!$A$6:$DA$404,51,FALSE)-VLOOKUP($A69,'01-02.2022'!$A$6:$DA$376,51,FALSE)</f>
        <v>1457.5810322012346</v>
      </c>
      <c r="AZ69" s="566">
        <f>VLOOKUP($A69,'01-02.2021'!$A$6:$CZ$403,52,FALSE)+VLOOKUP($A69,'1.3.21-28.2.22'!$A$6:$DA$404,52,FALSE)-VLOOKUP($A69,'01-02.2022'!$A$6:$DA$376,52,FALSE)</f>
        <v>0</v>
      </c>
      <c r="BA69" s="38">
        <f t="shared" si="48"/>
        <v>-1457.5810322012346</v>
      </c>
      <c r="BB69" s="566">
        <f>VLOOKUP($A69,'01-02.2021'!$A$6:$CZ$403,54,FALSE)+VLOOKUP($A69,'1.3.21-28.2.22'!$A$6:$DA$404,54,FALSE)-VLOOKUP($A69,'01-02.2022'!$A$6:$DA$376,54,FALSE)</f>
        <v>427.40735552519925</v>
      </c>
      <c r="BC69" s="566">
        <f>VLOOKUP($A69,'01-02.2021'!$A$6:$CZ$403,55,FALSE)+VLOOKUP($A69,'1.3.21-28.2.22'!$A$6:$DA$404,55,FALSE)-VLOOKUP($A69,'01-02.2022'!$A$6:$DA$376,55,FALSE)</f>
        <v>0</v>
      </c>
      <c r="BD69" s="55">
        <f t="shared" si="49"/>
        <v>-427.40735552519925</v>
      </c>
      <c r="BE69" s="566">
        <f>VLOOKUP($A69,'01-02.2021'!$A$6:$CZ$403,57,FALSE)+VLOOKUP($A69,'1.3.21-28.2.22'!$A$6:$DA$404,57,FALSE)-VLOOKUP($A69,'01-02.2022'!$A$6:$DA$376,57,FALSE)</f>
        <v>0</v>
      </c>
      <c r="BF69" s="566">
        <f>VLOOKUP($A69,'01-02.2021'!$A$6:$CZ$403,58,FALSE)+VLOOKUP($A69,'1.3.21-28.2.22'!$A$6:$DA$404,58,FALSE)-VLOOKUP($A69,'01-02.2022'!$A$6:$DA$376,58,FALSE)</f>
        <v>0</v>
      </c>
      <c r="BG69" s="55">
        <f t="shared" si="50"/>
        <v>0</v>
      </c>
      <c r="BH69" s="566">
        <f>VLOOKUP($A69,'01-02.2021'!$A$6:$CZ$403,60,FALSE)+VLOOKUP($A69,'1.3.21-28.2.22'!$A$6:$DA$404,60,FALSE)-VLOOKUP($A69,'01-02.2022'!$A$6:$DA$376,60,FALSE)</f>
        <v>0</v>
      </c>
      <c r="BI69" s="566">
        <f>VLOOKUP($A69,'01-02.2021'!$A$6:$CZ$403,61,FALSE)+VLOOKUP($A69,'1.3.21-28.2.22'!$A$6:$DA$404,61,FALSE)-VLOOKUP($A69,'01-02.2022'!$A$6:$DA$376,61,FALSE)</f>
        <v>0</v>
      </c>
      <c r="BJ69" s="55">
        <f t="shared" si="51"/>
        <v>0</v>
      </c>
      <c r="BK69" s="566">
        <f>VLOOKUP($A69,'01-02.2021'!$A$6:$CZ$403,63,FALSE)+VLOOKUP($A69,'1.3.21-28.2.22'!$A$6:$DA$404,63,FALSE)-VLOOKUP($A69,'01-02.2022'!$A$6:$DA$376,63,FALSE)</f>
        <v>398.986424343534</v>
      </c>
      <c r="BL69" s="566">
        <f>VLOOKUP($A69,'01-02.2021'!$A$6:$CZ$403,64,FALSE)+VLOOKUP($A69,'1.3.21-28.2.22'!$A$6:$DA$404,64,FALSE)-VLOOKUP($A69,'01-02.2022'!$A$6:$DA$376,64,FALSE)</f>
        <v>0</v>
      </c>
      <c r="BM69" s="55">
        <f t="shared" si="52"/>
        <v>-398.986424343534</v>
      </c>
      <c r="BN69" s="566">
        <f>VLOOKUP($A69,'01-02.2021'!$A$6:$CZ$403,66,FALSE)+VLOOKUP($A69,'1.3.21-28.2.22'!$A$6:$DA$404,66,FALSE)-VLOOKUP($A69,'01-02.2022'!$A$6:$DA$376,66,FALSE)</f>
        <v>42.375</v>
      </c>
      <c r="BO69" s="566">
        <f>VLOOKUP($A69,'01-02.2021'!$A$6:$CZ$403,67,FALSE)+VLOOKUP($A69,'1.3.21-28.2.22'!$A$6:$DA$404,67,FALSE)-VLOOKUP($A69,'01-02.2022'!$A$6:$DA$376,67,FALSE)</f>
        <v>0</v>
      </c>
      <c r="BP69" s="55">
        <f t="shared" si="53"/>
        <v>-42.375</v>
      </c>
      <c r="BQ69" s="77">
        <f t="shared" si="79"/>
        <v>3303.8083751452209</v>
      </c>
      <c r="BR69" s="40">
        <f t="shared" si="80"/>
        <v>0</v>
      </c>
      <c r="BS69" s="55">
        <f t="shared" si="70"/>
        <v>-3303.8083751452209</v>
      </c>
      <c r="BT69" s="566">
        <f>VLOOKUP($A69,'01-02.2021'!$A$6:$CZ$403,72,FALSE)+VLOOKUP($A69,'1.3.21-28.2.22'!$A$6:$DA$404,72,FALSE)-VLOOKUP($A69,'01-02.2022'!$A$6:$DA$376,72,FALSE)</f>
        <v>9941.0422289680355</v>
      </c>
      <c r="BU69" s="566">
        <f>VLOOKUP($A69,'01-02.2021'!$A$6:$CZ$403,73,FALSE)+VLOOKUP($A69,'1.3.21-28.2.22'!$A$6:$DA$404,73,FALSE)-VLOOKUP($A69,'01-02.2022'!$A$6:$DA$376,73,FALSE)</f>
        <v>10295.688178091468</v>
      </c>
      <c r="BV69" s="70">
        <f t="shared" si="54"/>
        <v>354.64594912343273</v>
      </c>
      <c r="BW69" s="566">
        <f>VLOOKUP($A69,'01-02.2021'!$A$6:$CZ$403,75,FALSE)+VLOOKUP($A69,'1.3.21-28.2.22'!$A$6:$DA$404,75,FALSE)-VLOOKUP($A69,'01-02.2022'!$A$6:$DA$376,75,FALSE)</f>
        <v>5426.6684926118724</v>
      </c>
      <c r="BX69" s="566">
        <f>VLOOKUP($A69,'01-02.2021'!$A$6:$CZ$403,76,FALSE)+VLOOKUP($A69,'1.3.21-28.2.22'!$A$6:$DA$404,76,FALSE)-VLOOKUP($A69,'01-02.2022'!$A$6:$DA$376,76,FALSE)</f>
        <v>4945.374853424988</v>
      </c>
      <c r="BY69" s="70">
        <f t="shared" si="55"/>
        <v>-481.29363918688432</v>
      </c>
      <c r="BZ69" s="566">
        <f>VLOOKUP($A69,'01-02.2021'!$A$6:$CZ$403,78,FALSE)+VLOOKUP($A69,'1.3.21-28.2.22'!$A$6:$DA$404,78,FALSE)-VLOOKUP($A69,'01-02.2022'!$A$6:$DA$376,78,FALSE)</f>
        <v>3341.4213667019444</v>
      </c>
      <c r="CA69" s="566">
        <f>VLOOKUP($A69,'01-02.2021'!$A$6:$CZ$403,79,FALSE)+VLOOKUP($A69,'1.3.21-28.2.22'!$A$6:$DA$404,79,FALSE)-VLOOKUP($A69,'01-02.2022'!$A$6:$DA$376,79,FALSE)</f>
        <v>2224.344897073267</v>
      </c>
      <c r="CB69" s="70">
        <f t="shared" si="56"/>
        <v>-1117.0764696286774</v>
      </c>
      <c r="CC69" s="566">
        <f>VLOOKUP($A69,'01-02.2021'!$A$6:$CZ$403,81,FALSE)+VLOOKUP($A69,'1.3.21-28.2.22'!$A$6:$DA$404,81,FALSE)-VLOOKUP($A69,'01-02.2022'!$A$6:$DA$376,81,FALSE)</f>
        <v>742.46768789044631</v>
      </c>
      <c r="CD69" s="566">
        <f>VLOOKUP($A69,'01-02.2021'!$A$6:$CZ$403,82,FALSE)+VLOOKUP($A69,'1.3.21-28.2.22'!$A$6:$DA$404,82,FALSE)-VLOOKUP($A69,'01-02.2022'!$A$6:$DA$376,82,FALSE)</f>
        <v>811.51200010682726</v>
      </c>
      <c r="CE69" s="70">
        <f t="shared" si="57"/>
        <v>69.044312216380945</v>
      </c>
      <c r="CF69" s="566">
        <f>VLOOKUP($A69,'01-02.2021'!$A$6:$CZ$403,84,FALSE)+VLOOKUP($A69,'1.3.21-28.2.22'!$A$6:$DA$404,84,FALSE)-VLOOKUP($A69,'01-02.2022'!$A$6:$DA$376,84,FALSE)</f>
        <v>90.262241602753818</v>
      </c>
      <c r="CG69" s="566">
        <f>VLOOKUP($A69,'01-02.2021'!$A$6:$CZ$403,85,FALSE)+VLOOKUP($A69,'1.3.21-28.2.22'!$A$6:$DA$404,85,FALSE)-VLOOKUP($A69,'01-02.2022'!$A$6:$DA$376,85,FALSE)</f>
        <v>0</v>
      </c>
      <c r="CH69" s="70">
        <f t="shared" si="58"/>
        <v>-90.262241602753818</v>
      </c>
      <c r="CI69" s="566">
        <f>VLOOKUP($A69,'01-02.2021'!$A$6:$CZ$403,87,FALSE)+VLOOKUP($A69,'1.3.21-28.2.22'!$A$6:$DA$404,87,FALSE)-VLOOKUP($A69,'01-02.2022'!$A$6:$DA$376,87,FALSE)</f>
        <v>2202.1870789828458</v>
      </c>
      <c r="CJ69" s="566">
        <f>VLOOKUP($A69,'01-02.2021'!$A$6:$CZ$403,88,FALSE)+VLOOKUP($A69,'1.3.21-28.2.22'!$A$6:$DA$404,88,FALSE)-VLOOKUP($A69,'01-02.2022'!$A$6:$DA$376,88,FALSE)</f>
        <v>1454.4365281637715</v>
      </c>
      <c r="CK69" s="70">
        <f t="shared" si="59"/>
        <v>-747.75055081907431</v>
      </c>
      <c r="CL69" s="566">
        <f>VLOOKUP($A69,'01-02.2021'!$A$6:$CZ$403,90,FALSE)+VLOOKUP($A69,'1.3.21-28.2.22'!$A$6:$DA$404,90,FALSE)-VLOOKUP($A69,'01-02.2022'!$A$6:$DA$376,90,FALSE)</f>
        <v>0</v>
      </c>
      <c r="CM69" s="566">
        <f>VLOOKUP($A69,'01-02.2021'!$A$6:$CZ$403,91,FALSE)+VLOOKUP($A69,'1.3.21-28.2.22'!$A$6:$DA$404,91,FALSE)-VLOOKUP($A69,'01-02.2022'!$A$6:$DA$376,91,FALSE)</f>
        <v>0</v>
      </c>
      <c r="CN69" s="52">
        <f t="shared" si="60"/>
        <v>0</v>
      </c>
      <c r="CO69" s="39">
        <f t="shared" si="27"/>
        <v>2202.1870789828458</v>
      </c>
      <c r="CP69" s="40">
        <f t="shared" si="61"/>
        <v>1454.4365281637715</v>
      </c>
      <c r="CQ69" s="52">
        <f t="shared" si="62"/>
        <v>-747.75055081907431</v>
      </c>
      <c r="CR69" s="72">
        <f t="shared" si="28"/>
        <v>46945.515923922772</v>
      </c>
      <c r="CS69" s="5">
        <f t="shared" si="28"/>
        <v>38783.03130690565</v>
      </c>
      <c r="CT69" s="52">
        <f t="shared" si="63"/>
        <v>-8162.4846170171222</v>
      </c>
      <c r="CU69" s="77">
        <f t="shared" si="64"/>
        <v>56334.619108707324</v>
      </c>
      <c r="CV69" s="65">
        <f t="shared" si="65"/>
        <v>46539.63756828678</v>
      </c>
      <c r="CW69" s="35">
        <f t="shared" si="66"/>
        <v>-9794.9815404205438</v>
      </c>
      <c r="CX69" s="566">
        <f>VLOOKUP($A69,'01-02.2021'!$A$6:$CZ$403,102,FALSE)+VLOOKUP($A69,'1.3.21-28.2.22'!$A$6:$DA$404,102,FALSE)-VLOOKUP($A69,'01-02.2022'!$A$6:$DA$376,102,FALSE)</f>
        <v>1043.9015284876275</v>
      </c>
      <c r="CY69" s="566">
        <f>VLOOKUP($A69,'01-02.2021'!$A$6:$CZ$403,103,FALSE)+VLOOKUP($A69,'1.3.21-28.2.22'!$A$6:$DA$404,103,FALSE)-VLOOKUP($A69,'01-02.2022'!$A$6:$DA$376,103,FALSE)</f>
        <v>10838.883068908171</v>
      </c>
      <c r="CZ69" s="52">
        <f t="shared" si="67"/>
        <v>9794.9815404205438</v>
      </c>
      <c r="DA69" s="150">
        <f>'[2]побудинковий звіт'!DA69</f>
        <v>24459.494820756172</v>
      </c>
      <c r="DB69" s="2">
        <v>2</v>
      </c>
      <c r="DC69" s="414">
        <f>'[4]побудинковий звіт'!DC69</f>
        <v>9577.08</v>
      </c>
      <c r="DD69" s="414">
        <f>'[4]побудинковий звіт'!DD69</f>
        <v>0</v>
      </c>
      <c r="DE69" s="557">
        <f>'[4]побудинковий звіт'!DE69</f>
        <v>4711.7988294768274</v>
      </c>
      <c r="DF69" s="557">
        <f>'[4]побудинковий звіт'!DF69</f>
        <v>-346.37481838737267</v>
      </c>
      <c r="DG69" s="321">
        <f>VLOOKUP(A69,'кошти 01.03.2021'!$A$6:$D$401,4,)</f>
        <v>36558.963812435824</v>
      </c>
      <c r="DH69" s="40">
        <f>'[3]побудинковий звіт'!DJ69</f>
        <v>59412.747810146364</v>
      </c>
      <c r="DI69" s="422">
        <f>'[3]побудинковий звіт'!CU69+'[3]побудинковий звіт'!CX69</f>
        <v>5211.6559889105456</v>
      </c>
      <c r="DJ69" s="306">
        <f>'[3]побудинковий звіт'!DM69</f>
        <v>6.2120546099631921</v>
      </c>
      <c r="DK69" s="306">
        <f t="shared" si="82"/>
        <v>6.2120546099631921</v>
      </c>
      <c r="DL69" s="306">
        <f>'[3]побудинковий звіт'!DO69</f>
        <v>5.3868556514365888</v>
      </c>
      <c r="DM69" s="28">
        <f t="shared" si="83"/>
        <v>4865.2811705231725</v>
      </c>
      <c r="DN69" s="28">
        <f t="shared" si="84"/>
        <v>346.37481838737267</v>
      </c>
      <c r="DO69" s="423">
        <f t="shared" si="29"/>
        <v>5211.6559889105447</v>
      </c>
      <c r="DP69" s="94">
        <f t="shared" si="30"/>
        <v>0</v>
      </c>
      <c r="DQ69" s="28">
        <f t="shared" si="31"/>
        <v>5211.6559889105447</v>
      </c>
      <c r="DR69" s="318"/>
      <c r="DT69" s="8"/>
      <c r="DU69" s="5"/>
      <c r="DX69" s="5">
        <f t="shared" si="32"/>
        <v>14345.099942966895</v>
      </c>
      <c r="DY69" s="5">
        <f t="shared" si="33"/>
        <v>7669.3757482206329</v>
      </c>
      <c r="DZ69" s="159">
        <f>'[3]побудинковий звіт'!EA69</f>
        <v>1253.7935465085634</v>
      </c>
    </row>
    <row r="70" spans="1:130" x14ac:dyDescent="0.3">
      <c r="A70" s="325">
        <v>150000519</v>
      </c>
      <c r="B70" s="41" t="s">
        <v>519</v>
      </c>
      <c r="C70" s="42" t="s">
        <v>413</v>
      </c>
      <c r="D70" s="42"/>
      <c r="E70" s="293">
        <f t="shared" si="23"/>
        <v>2696.4</v>
      </c>
      <c r="F70" s="305">
        <f>'[3]побудинковий звіт'!F70</f>
        <v>2635.5</v>
      </c>
      <c r="G70" s="508">
        <f>'[3]побудинковий звіт'!G70</f>
        <v>208.7</v>
      </c>
      <c r="H70" s="560">
        <f>'[3]побудинковий звіт'!H70</f>
        <v>60.9</v>
      </c>
      <c r="I70" s="566">
        <f>VLOOKUP($A70,'01-02.2021'!$A$6:$CZ$403,9,FALSE)+VLOOKUP($A70,'1.3.21-28.2.22'!$A$6:$DA$404,9,FALSE)-VLOOKUP($A70,'01-02.2022'!$A$6:$DA$376,9,FALSE)</f>
        <v>7799.6834655458033</v>
      </c>
      <c r="J70" s="566">
        <f>VLOOKUP($A70,'01-02.2021'!$A$6:$CZ$403,10,FALSE)+VLOOKUP($A70,'1.3.21-28.2.22'!$A$6:$DA$404,10,FALSE)-VLOOKUP($A70,'01-02.2022'!$A$6:$DA$376,10,FALSE)</f>
        <v>8646.5878280963152</v>
      </c>
      <c r="K70" s="52">
        <f t="shared" si="34"/>
        <v>846.90436255051191</v>
      </c>
      <c r="L70" s="566">
        <f>VLOOKUP($A70,'01-02.2021'!$A$6:$CZ$403,12,FALSE)+VLOOKUP($A70,'1.3.21-28.2.22'!$A$6:$DA$404,12,FALSE)-VLOOKUP($A70,'01-02.2022'!$A$6:$DA$376,12,FALSE)</f>
        <v>1253.1925126809924</v>
      </c>
      <c r="M70" s="566">
        <f>VLOOKUP($A70,'01-02.2021'!$A$6:$CZ$403,13,FALSE)+VLOOKUP($A70,'1.3.21-28.2.22'!$A$6:$DA$404,13,FALSE)-VLOOKUP($A70,'01-02.2022'!$A$6:$DA$376,13,FALSE)</f>
        <v>1379.7942863999904</v>
      </c>
      <c r="N70" s="52">
        <f t="shared" si="35"/>
        <v>126.60177371899795</v>
      </c>
      <c r="O70" s="566">
        <f>VLOOKUP($A70,'01-02.2021'!$A$6:$CZ$403,15,FALSE)+VLOOKUP($A70,'1.3.21-28.2.22'!$A$6:$DA$404,15,FALSE)-VLOOKUP($A70,'01-02.2022'!$A$6:$DA$376,15,FALSE)</f>
        <v>3701.0556578001415</v>
      </c>
      <c r="P70" s="566">
        <f>VLOOKUP($A70,'01-02.2021'!$A$6:$CZ$403,16,FALSE)+VLOOKUP($A70,'1.3.21-28.2.22'!$A$6:$DA$404,16,FALSE)-VLOOKUP($A70,'01-02.2022'!$A$6:$DA$376,16,FALSE)</f>
        <v>3701.0699999999997</v>
      </c>
      <c r="Q70" s="70">
        <f t="shared" si="36"/>
        <v>1.4342199858219828E-2</v>
      </c>
      <c r="R70" s="566">
        <f>VLOOKUP($A70,'01-02.2021'!$A$6:$CZ$403,18,FALSE)+VLOOKUP($A70,'1.3.21-28.2.22'!$A$6:$DA$404,18,FALSE)-VLOOKUP($A70,'01-02.2022'!$A$6:$DA$376,18,FALSE)</f>
        <v>802.43531623682509</v>
      </c>
      <c r="S70" s="566">
        <f>VLOOKUP($A70,'01-02.2021'!$A$6:$CZ$403,19,FALSE)+VLOOKUP($A70,'1.3.21-28.2.22'!$A$6:$DA$404,19,FALSE)-VLOOKUP($A70,'01-02.2022'!$A$6:$DA$376,19,FALSE)</f>
        <v>802.45000000000016</v>
      </c>
      <c r="T70" s="70">
        <f t="shared" si="37"/>
        <v>1.4683763175071363E-2</v>
      </c>
      <c r="U70" s="566">
        <f>VLOOKUP($A70,'01-02.2021'!$A$6:$CZ$403,21,FALSE)+VLOOKUP($A70,'1.3.21-28.2.22'!$A$6:$DA$404,21,FALSE)-VLOOKUP($A70,'01-02.2022'!$A$6:$DA$376,21,FALSE)</f>
        <v>358.69606955861605</v>
      </c>
      <c r="V70" s="566">
        <f>VLOOKUP($A70,'01-02.2021'!$A$6:$CZ$403,22,FALSE)+VLOOKUP($A70,'1.3.21-28.2.22'!$A$6:$DA$404,22,FALSE)-VLOOKUP($A70,'01-02.2022'!$A$6:$DA$376,22,FALSE)</f>
        <v>1186.9600405591111</v>
      </c>
      <c r="W70" s="70">
        <f t="shared" si="38"/>
        <v>828.26397100049508</v>
      </c>
      <c r="X70" s="566">
        <f>VLOOKUP($A70,'01-02.2021'!$A$6:$CZ$403,24,FALSE)+VLOOKUP($A70,'1.3.21-28.2.22'!$A$6:$DA$404,24,FALSE)-VLOOKUP($A70,'01-02.2022'!$A$6:$DA$376,24,FALSE)</f>
        <v>3007.7474425349951</v>
      </c>
      <c r="Y70" s="566">
        <f>VLOOKUP($A70,'01-02.2021'!$A$6:$CZ$403,25,FALSE)+VLOOKUP($A70,'1.3.21-28.2.22'!$A$6:$DA$404,25,FALSE)-VLOOKUP($A70,'01-02.2022'!$A$6:$DA$376,25,FALSE)</f>
        <v>2313.1788014693011</v>
      </c>
      <c r="Z70" s="70">
        <f t="shared" si="39"/>
        <v>-694.56864106569401</v>
      </c>
      <c r="AA70" s="566">
        <f>VLOOKUP($A70,'01-02.2021'!$A$6:$CZ$403,27,FALSE)+VLOOKUP($A70,'1.3.21-28.2.22'!$A$6:$DA$404,27,FALSE)-VLOOKUP($A70,'01-02.2022'!$A$6:$DA$376,27,FALSE)</f>
        <v>539.46</v>
      </c>
      <c r="AB70" s="566">
        <f>VLOOKUP($A70,'01-02.2021'!$A$6:$CZ$403,28,FALSE)+VLOOKUP($A70,'1.3.21-28.2.22'!$A$6:$DA$404,28,FALSE)-VLOOKUP($A70,'01-02.2022'!$A$6:$DA$376,28,FALSE)</f>
        <v>0</v>
      </c>
      <c r="AC70" s="70">
        <f t="shared" si="40"/>
        <v>-539.46</v>
      </c>
      <c r="AD70" s="566">
        <f>VLOOKUP($A70,'01-02.2021'!$A$6:$CZ$403,30,FALSE)+VLOOKUP($A70,'1.3.21-28.2.22'!$A$6:$DA$404,30,FALSE)-VLOOKUP($A70,'01-02.2022'!$A$6:$DA$376,30,FALSE)</f>
        <v>11577.418500854927</v>
      </c>
      <c r="AE70" s="566">
        <f>VLOOKUP($A70,'01-02.2021'!$A$6:$CZ$403,31,FALSE)+VLOOKUP($A70,'1.3.21-28.2.22'!$A$6:$DA$404,31,FALSE)-VLOOKUP($A70,'01-02.2022'!$A$6:$DA$376,31,FALSE)</f>
        <v>12276.228309064249</v>
      </c>
      <c r="AF70" s="68">
        <f t="shared" si="41"/>
        <v>698.809808209322</v>
      </c>
      <c r="AG70" s="77">
        <f t="shared" si="24"/>
        <v>29039.688965212299</v>
      </c>
      <c r="AH70" s="53">
        <f t="shared" si="24"/>
        <v>30306.269265588966</v>
      </c>
      <c r="AI70" s="52">
        <f t="shared" si="42"/>
        <v>1266.5803003766669</v>
      </c>
      <c r="AJ70" s="566">
        <f>VLOOKUP($A70,'01-02.2021'!$A$6:$CZ$403,36,FALSE)+VLOOKUP($A70,'1.3.21-28.2.22'!$A$6:$DA$404,36,FALSE)-VLOOKUP($A70,'01-02.2022'!$A$6:$DA$376,36,FALSE)</f>
        <v>18381.035686479405</v>
      </c>
      <c r="AK70" s="566">
        <f>VLOOKUP($A70,'01-02.2021'!$A$6:$CZ$403,37,FALSE)+VLOOKUP($A70,'1.3.21-28.2.22'!$A$6:$DA$404,37,FALSE)-VLOOKUP($A70,'01-02.2022'!$A$6:$DA$376,37,FALSE)</f>
        <v>18264.345085918267</v>
      </c>
      <c r="AL70" s="70">
        <f t="shared" si="43"/>
        <v>-116.69060056113813</v>
      </c>
      <c r="AM70" s="566">
        <f>VLOOKUP($A70,'01-02.2021'!$A$6:$CZ$403,39,FALSE)+VLOOKUP($A70,'1.3.21-28.2.22'!$A$6:$DA$404,39,FALSE)-VLOOKUP($A70,'01-02.2022'!$A$6:$DA$376,39,FALSE)</f>
        <v>0</v>
      </c>
      <c r="AN70" s="566">
        <f>VLOOKUP($A70,'01-02.2021'!$A$6:$CZ$403,40,FALSE)+VLOOKUP($A70,'1.3.21-28.2.22'!$A$6:$DA$404,40,FALSE)-VLOOKUP($A70,'01-02.2022'!$A$6:$DA$376,40,FALSE)</f>
        <v>0</v>
      </c>
      <c r="AO70" s="70">
        <f t="shared" si="44"/>
        <v>0</v>
      </c>
      <c r="AP70" s="566">
        <f>VLOOKUP($A70,'01-02.2021'!$A$6:$CZ$403,42,FALSE)+VLOOKUP($A70,'1.3.21-28.2.22'!$A$6:$DA$404,42,FALSE)-VLOOKUP($A70,'01-02.2022'!$A$6:$DA$376,42,FALSE)</f>
        <v>1691.8197562915266</v>
      </c>
      <c r="AQ70" s="566">
        <f>VLOOKUP($A70,'01-02.2021'!$A$6:$CZ$403,43,FALSE)+VLOOKUP($A70,'1.3.21-28.2.22'!$A$6:$DA$404,43,FALSE)-VLOOKUP($A70,'01-02.2022'!$A$6:$DA$376,43,FALSE)</f>
        <v>1444.2175387188784</v>
      </c>
      <c r="AR70" s="70">
        <f t="shared" si="45"/>
        <v>-247.60221757264821</v>
      </c>
      <c r="AS70" s="566">
        <f>VLOOKUP($A70,'01-02.2021'!$A$6:$CZ$403,45,FALSE)+VLOOKUP($A70,'1.3.21-28.2.22'!$A$6:$DA$404,45,FALSE)-VLOOKUP($A70,'01-02.2022'!$A$6:$DA$376,45,FALSE)</f>
        <v>31245.152915643481</v>
      </c>
      <c r="AT70" s="566">
        <f>VLOOKUP($A70,'01-02.2021'!$A$6:$CZ$403,46,FALSE)+VLOOKUP($A70,'1.3.21-28.2.22'!$A$6:$DA$404,46,FALSE)-VLOOKUP($A70,'01-02.2022'!$A$6:$DA$376,46,FALSE)</f>
        <v>151</v>
      </c>
      <c r="AU70" s="78">
        <f t="shared" si="46"/>
        <v>-31094.152915643481</v>
      </c>
      <c r="AV70" s="566">
        <f>VLOOKUP($A70,'01-02.2021'!$A$6:$CZ$403,48,FALSE)+VLOOKUP($A70,'1.3.21-28.2.22'!$A$6:$DA$404,48,FALSE)-VLOOKUP($A70,'01-02.2022'!$A$6:$DA$376,48,FALSE)</f>
        <v>1619.5614524667908</v>
      </c>
      <c r="AW70" s="566">
        <f>VLOOKUP($A70,'01-02.2021'!$A$6:$CZ$403,49,FALSE)+VLOOKUP($A70,'1.3.21-28.2.22'!$A$6:$DA$404,49,FALSE)-VLOOKUP($A70,'01-02.2022'!$A$6:$DA$376,49,FALSE)</f>
        <v>0</v>
      </c>
      <c r="AX70" s="55">
        <f t="shared" si="47"/>
        <v>-1619.5614524667908</v>
      </c>
      <c r="AY70" s="566">
        <f>VLOOKUP($A70,'01-02.2021'!$A$6:$CZ$403,51,FALSE)+VLOOKUP($A70,'1.3.21-28.2.22'!$A$6:$DA$404,51,FALSE)-VLOOKUP($A70,'01-02.2022'!$A$6:$DA$376,51,FALSE)</f>
        <v>1899.9655545349542</v>
      </c>
      <c r="AZ70" s="566">
        <f>VLOOKUP($A70,'01-02.2021'!$A$6:$CZ$403,52,FALSE)+VLOOKUP($A70,'1.3.21-28.2.22'!$A$6:$DA$404,52,FALSE)-VLOOKUP($A70,'01-02.2022'!$A$6:$DA$376,52,FALSE)</f>
        <v>0</v>
      </c>
      <c r="BA70" s="38">
        <f t="shared" si="48"/>
        <v>-1899.9655545349542</v>
      </c>
      <c r="BB70" s="566">
        <f>VLOOKUP($A70,'01-02.2021'!$A$6:$CZ$403,54,FALSE)+VLOOKUP($A70,'1.3.21-28.2.22'!$A$6:$DA$404,54,FALSE)-VLOOKUP($A70,'01-02.2022'!$A$6:$DA$376,54,FALSE)</f>
        <v>1027.4931858427763</v>
      </c>
      <c r="BC70" s="566">
        <f>VLOOKUP($A70,'01-02.2021'!$A$6:$CZ$403,55,FALSE)+VLOOKUP($A70,'1.3.21-28.2.22'!$A$6:$DA$404,55,FALSE)-VLOOKUP($A70,'01-02.2022'!$A$6:$DA$376,55,FALSE)</f>
        <v>0</v>
      </c>
      <c r="BD70" s="55">
        <f t="shared" si="49"/>
        <v>-1027.4931858427763</v>
      </c>
      <c r="BE70" s="566">
        <f>VLOOKUP($A70,'01-02.2021'!$A$6:$CZ$403,57,FALSE)+VLOOKUP($A70,'1.3.21-28.2.22'!$A$6:$DA$404,57,FALSE)-VLOOKUP($A70,'01-02.2022'!$A$6:$DA$376,57,FALSE)</f>
        <v>1882.9231207904884</v>
      </c>
      <c r="BF70" s="566">
        <f>VLOOKUP($A70,'01-02.2021'!$A$6:$CZ$403,58,FALSE)+VLOOKUP($A70,'1.3.21-28.2.22'!$A$6:$DA$404,58,FALSE)-VLOOKUP($A70,'01-02.2022'!$A$6:$DA$376,58,FALSE)</f>
        <v>0</v>
      </c>
      <c r="BG70" s="55">
        <f t="shared" si="50"/>
        <v>-1882.9231207904884</v>
      </c>
      <c r="BH70" s="566">
        <f>VLOOKUP($A70,'01-02.2021'!$A$6:$CZ$403,60,FALSE)+VLOOKUP($A70,'1.3.21-28.2.22'!$A$6:$DA$404,60,FALSE)-VLOOKUP($A70,'01-02.2022'!$A$6:$DA$376,60,FALSE)</f>
        <v>681.31570860163993</v>
      </c>
      <c r="BI70" s="566">
        <f>VLOOKUP($A70,'01-02.2021'!$A$6:$CZ$403,61,FALSE)+VLOOKUP($A70,'1.3.21-28.2.22'!$A$6:$DA$404,61,FALSE)-VLOOKUP($A70,'01-02.2022'!$A$6:$DA$376,61,FALSE)</f>
        <v>0</v>
      </c>
      <c r="BJ70" s="55">
        <f t="shared" si="51"/>
        <v>-681.31570860163993</v>
      </c>
      <c r="BK70" s="566">
        <f>VLOOKUP($A70,'01-02.2021'!$A$6:$CZ$403,63,FALSE)+VLOOKUP($A70,'1.3.21-28.2.22'!$A$6:$DA$404,63,FALSE)-VLOOKUP($A70,'01-02.2022'!$A$6:$DA$376,63,FALSE)</f>
        <v>994.0722498521543</v>
      </c>
      <c r="BL70" s="566">
        <f>VLOOKUP($A70,'01-02.2021'!$A$6:$CZ$403,64,FALSE)+VLOOKUP($A70,'1.3.21-28.2.22'!$A$6:$DA$404,64,FALSE)-VLOOKUP($A70,'01-02.2022'!$A$6:$DA$376,64,FALSE)</f>
        <v>0</v>
      </c>
      <c r="BM70" s="55">
        <f t="shared" si="52"/>
        <v>-994.0722498521543</v>
      </c>
      <c r="BN70" s="566">
        <f>VLOOKUP($A70,'01-02.2021'!$A$6:$CZ$403,66,FALSE)+VLOOKUP($A70,'1.3.21-28.2.22'!$A$6:$DA$404,66,FALSE)-VLOOKUP($A70,'01-02.2022'!$A$6:$DA$376,66,FALSE)</f>
        <v>134.86500000000001</v>
      </c>
      <c r="BO70" s="566">
        <f>VLOOKUP($A70,'01-02.2021'!$A$6:$CZ$403,67,FALSE)+VLOOKUP($A70,'1.3.21-28.2.22'!$A$6:$DA$404,67,FALSE)-VLOOKUP($A70,'01-02.2022'!$A$6:$DA$376,67,FALSE)</f>
        <v>0</v>
      </c>
      <c r="BP70" s="55">
        <f t="shared" si="53"/>
        <v>-134.86500000000001</v>
      </c>
      <c r="BQ70" s="77">
        <f t="shared" si="79"/>
        <v>8240.1962720888041</v>
      </c>
      <c r="BR70" s="40">
        <f t="shared" si="80"/>
        <v>0</v>
      </c>
      <c r="BS70" s="55">
        <f t="shared" si="70"/>
        <v>-8240.1962720888041</v>
      </c>
      <c r="BT70" s="566">
        <f>VLOOKUP($A70,'01-02.2021'!$A$6:$CZ$403,72,FALSE)+VLOOKUP($A70,'1.3.21-28.2.22'!$A$6:$DA$404,72,FALSE)-VLOOKUP($A70,'01-02.2022'!$A$6:$DA$376,72,FALSE)</f>
        <v>28622.008364521349</v>
      </c>
      <c r="BU70" s="566">
        <f>VLOOKUP($A70,'01-02.2021'!$A$6:$CZ$403,73,FALSE)+VLOOKUP($A70,'1.3.21-28.2.22'!$A$6:$DA$404,73,FALSE)-VLOOKUP($A70,'01-02.2022'!$A$6:$DA$376,73,FALSE)</f>
        <v>28529.078369450384</v>
      </c>
      <c r="BV70" s="70">
        <f t="shared" si="54"/>
        <v>-92.929995070964651</v>
      </c>
      <c r="BW70" s="566">
        <f>VLOOKUP($A70,'01-02.2021'!$A$6:$CZ$403,75,FALSE)+VLOOKUP($A70,'1.3.21-28.2.22'!$A$6:$DA$404,75,FALSE)-VLOOKUP($A70,'01-02.2022'!$A$6:$DA$376,75,FALSE)</f>
        <v>22763.28217698757</v>
      </c>
      <c r="BX70" s="566">
        <f>VLOOKUP($A70,'01-02.2021'!$A$6:$CZ$403,76,FALSE)+VLOOKUP($A70,'1.3.21-28.2.22'!$A$6:$DA$404,76,FALSE)-VLOOKUP($A70,'01-02.2022'!$A$6:$DA$376,76,FALSE)</f>
        <v>22682.147053352375</v>
      </c>
      <c r="BY70" s="70">
        <f t="shared" si="55"/>
        <v>-81.135123635194759</v>
      </c>
      <c r="BZ70" s="566">
        <f>VLOOKUP($A70,'01-02.2021'!$A$6:$CZ$403,78,FALSE)+VLOOKUP($A70,'1.3.21-28.2.22'!$A$6:$DA$404,78,FALSE)-VLOOKUP($A70,'01-02.2022'!$A$6:$DA$376,78,FALSE)</f>
        <v>5398.6934641069847</v>
      </c>
      <c r="CA70" s="566">
        <f>VLOOKUP($A70,'01-02.2021'!$A$6:$CZ$403,79,FALSE)+VLOOKUP($A70,'1.3.21-28.2.22'!$A$6:$DA$404,79,FALSE)-VLOOKUP($A70,'01-02.2022'!$A$6:$DA$376,79,FALSE)</f>
        <v>5892.0036712650872</v>
      </c>
      <c r="CB70" s="70">
        <f t="shared" si="56"/>
        <v>493.31020715810246</v>
      </c>
      <c r="CC70" s="566">
        <f>VLOOKUP($A70,'01-02.2021'!$A$6:$CZ$403,81,FALSE)+VLOOKUP($A70,'1.3.21-28.2.22'!$A$6:$DA$404,81,FALSE)-VLOOKUP($A70,'01-02.2022'!$A$6:$DA$376,81,FALSE)</f>
        <v>772.94951234912992</v>
      </c>
      <c r="CD70" s="566">
        <f>VLOOKUP($A70,'01-02.2021'!$A$6:$CZ$403,82,FALSE)+VLOOKUP($A70,'1.3.21-28.2.22'!$A$6:$DA$404,82,FALSE)-VLOOKUP($A70,'01-02.2022'!$A$6:$DA$376,82,FALSE)</f>
        <v>837.78397133330759</v>
      </c>
      <c r="CE70" s="70">
        <f t="shared" si="57"/>
        <v>64.834458984177672</v>
      </c>
      <c r="CF70" s="566">
        <f>VLOOKUP($A70,'01-02.2021'!$A$6:$CZ$403,84,FALSE)+VLOOKUP($A70,'1.3.21-28.2.22'!$A$6:$DA$404,84,FALSE)-VLOOKUP($A70,'01-02.2022'!$A$6:$DA$376,84,FALSE)</f>
        <v>93.184400503562401</v>
      </c>
      <c r="CG70" s="566">
        <f>VLOOKUP($A70,'01-02.2021'!$A$6:$CZ$403,85,FALSE)+VLOOKUP($A70,'1.3.21-28.2.22'!$A$6:$DA$404,85,FALSE)-VLOOKUP($A70,'01-02.2022'!$A$6:$DA$376,85,FALSE)</f>
        <v>0</v>
      </c>
      <c r="CH70" s="70">
        <f t="shared" si="58"/>
        <v>-93.184400503562401</v>
      </c>
      <c r="CI70" s="566">
        <f>VLOOKUP($A70,'01-02.2021'!$A$6:$CZ$403,87,FALSE)+VLOOKUP($A70,'1.3.21-28.2.22'!$A$6:$DA$404,87,FALSE)-VLOOKUP($A70,'01-02.2022'!$A$6:$DA$376,87,FALSE)</f>
        <v>11346.206521981474</v>
      </c>
      <c r="CJ70" s="566">
        <f>VLOOKUP($A70,'01-02.2021'!$A$6:$CZ$403,88,FALSE)+VLOOKUP($A70,'1.3.21-28.2.22'!$A$6:$DA$404,88,FALSE)-VLOOKUP($A70,'01-02.2022'!$A$6:$DA$376,88,FALSE)</f>
        <v>10350.234568078502</v>
      </c>
      <c r="CK70" s="70">
        <f t="shared" si="59"/>
        <v>-995.97195390297202</v>
      </c>
      <c r="CL70" s="566">
        <f>VLOOKUP($A70,'01-02.2021'!$A$6:$CZ$403,90,FALSE)+VLOOKUP($A70,'1.3.21-28.2.22'!$A$6:$DA$404,90,FALSE)-VLOOKUP($A70,'01-02.2022'!$A$6:$DA$376,90,FALSE)</f>
        <v>2902.3486343576737</v>
      </c>
      <c r="CM70" s="566">
        <f>VLOOKUP($A70,'01-02.2021'!$A$6:$CZ$403,91,FALSE)+VLOOKUP($A70,'1.3.21-28.2.22'!$A$6:$DA$404,91,FALSE)-VLOOKUP($A70,'01-02.2022'!$A$6:$DA$376,91,FALSE)</f>
        <v>2713.5853765599782</v>
      </c>
      <c r="CN70" s="52">
        <f t="shared" si="60"/>
        <v>-188.76325779769559</v>
      </c>
      <c r="CO70" s="39">
        <f t="shared" si="27"/>
        <v>14248.555156339147</v>
      </c>
      <c r="CP70" s="40">
        <f t="shared" si="61"/>
        <v>13063.819944638481</v>
      </c>
      <c r="CQ70" s="52">
        <f t="shared" si="62"/>
        <v>-1184.7352117006667</v>
      </c>
      <c r="CR70" s="72">
        <f t="shared" si="28"/>
        <v>160496.56667052323</v>
      </c>
      <c r="CS70" s="5">
        <f t="shared" si="28"/>
        <v>121170.66490026575</v>
      </c>
      <c r="CT70" s="52">
        <f t="shared" si="63"/>
        <v>-39325.901770257478</v>
      </c>
      <c r="CU70" s="77">
        <f t="shared" si="64"/>
        <v>192595.88000462786</v>
      </c>
      <c r="CV70" s="65">
        <f t="shared" si="65"/>
        <v>145404.79788031889</v>
      </c>
      <c r="CW70" s="35">
        <f t="shared" si="66"/>
        <v>-47191.082124308974</v>
      </c>
      <c r="CX70" s="566">
        <f>VLOOKUP($A70,'01-02.2021'!$A$6:$CZ$403,102,FALSE)+VLOOKUP($A70,'1.3.21-28.2.22'!$A$6:$DA$404,102,FALSE)-VLOOKUP($A70,'01-02.2022'!$A$6:$DA$376,102,FALSE)</f>
        <v>4197.7215963396857</v>
      </c>
      <c r="CY70" s="566">
        <f>VLOOKUP($A70,'01-02.2021'!$A$6:$CZ$403,103,FALSE)+VLOOKUP($A70,'1.3.21-28.2.22'!$A$6:$DA$404,103,FALSE)-VLOOKUP($A70,'01-02.2022'!$A$6:$DA$376,103,FALSE)</f>
        <v>51388.803720648699</v>
      </c>
      <c r="CZ70" s="52">
        <f t="shared" si="67"/>
        <v>47191.08212430901</v>
      </c>
      <c r="DA70" s="150">
        <f>'[2]побудинковий звіт'!DA70</f>
        <v>31934.884033127855</v>
      </c>
      <c r="DB70" s="2">
        <v>2</v>
      </c>
      <c r="DC70" s="414">
        <f>'[4]побудинковий звіт'!DC70</f>
        <v>23583.19</v>
      </c>
      <c r="DD70" s="414">
        <f>'[4]побудинковий звіт'!DD70</f>
        <v>1869.18</v>
      </c>
      <c r="DE70" s="557">
        <f>'[4]побудинковий звіт'!DE70</f>
        <v>5980.8560201163164</v>
      </c>
      <c r="DF70" s="557">
        <f>'[4]побудинковий звіт'!DF70</f>
        <v>1580.6965274238628</v>
      </c>
      <c r="DG70" s="321">
        <f>VLOOKUP(A70,'кошти 01.03.2021'!$A$6:$D$401,4,)</f>
        <v>81595.876129822631</v>
      </c>
      <c r="DH70" s="40">
        <f>'[3]побудинковий звіт'!DJ70</f>
        <v>203848.2820706839</v>
      </c>
      <c r="DI70" s="422">
        <f>'[3]побудинковий звіт'!CU70+'[3]побудинковий звіт'!CX70</f>
        <v>17890.817452459818</v>
      </c>
      <c r="DJ70" s="306">
        <f>'[3]побудинковий звіт'!DM70</f>
        <v>5.7581864649161858</v>
      </c>
      <c r="DK70" s="306">
        <f>'[3]побудинковий звіт'!DN70</f>
        <v>6.7581178773099033</v>
      </c>
      <c r="DL70" s="306">
        <f>'[3]побудинковий звіт'!DO70</f>
        <v>4.7370028337625154</v>
      </c>
      <c r="DM70" s="28">
        <f>DJ70*G70+(F70-G70)*DK70</f>
        <v>17602.333979883682</v>
      </c>
      <c r="DN70" s="28">
        <f>DL70*H70</f>
        <v>288.48347257613716</v>
      </c>
      <c r="DO70" s="423">
        <f t="shared" si="29"/>
        <v>17890.817452459818</v>
      </c>
      <c r="DP70" s="94">
        <f t="shared" si="30"/>
        <v>0</v>
      </c>
      <c r="DQ70" s="28">
        <f t="shared" si="31"/>
        <v>17890.817452459818</v>
      </c>
      <c r="DR70" s="318"/>
      <c r="DT70" s="8"/>
      <c r="DU70" s="5"/>
      <c r="DX70" s="5">
        <f t="shared" si="32"/>
        <v>47382.419025278738</v>
      </c>
      <c r="DY70" s="5">
        <f t="shared" si="33"/>
        <v>181.2</v>
      </c>
      <c r="DZ70" s="159">
        <f>'[3]побудинковий звіт'!EA70</f>
        <v>4309.4576856531276</v>
      </c>
    </row>
    <row r="71" spans="1:130" x14ac:dyDescent="0.3">
      <c r="A71" s="325">
        <v>150000521</v>
      </c>
      <c r="B71" s="41" t="s">
        <v>520</v>
      </c>
      <c r="C71" s="42" t="s">
        <v>253</v>
      </c>
      <c r="D71" s="42"/>
      <c r="E71" s="293">
        <f t="shared" ref="E71:E128" si="85">F71+H71</f>
        <v>1861.1999999999998</v>
      </c>
      <c r="F71" s="305">
        <f>'[3]побудинковий звіт'!F71</f>
        <v>1556.6</v>
      </c>
      <c r="G71" s="508">
        <f>'[3]побудинковий звіт'!G71</f>
        <v>0</v>
      </c>
      <c r="H71" s="560">
        <f>'[3]побудинковий звіт'!H71</f>
        <v>304.60000000000002</v>
      </c>
      <c r="I71" s="566">
        <f>VLOOKUP($A71,'01-02.2021'!$A$6:$CZ$403,9,FALSE)+VLOOKUP($A71,'1.3.21-28.2.22'!$A$6:$DA$404,9,FALSE)-VLOOKUP($A71,'01-02.2022'!$A$6:$DA$376,9,FALSE)</f>
        <v>5163.3970206233553</v>
      </c>
      <c r="J71" s="566">
        <f>VLOOKUP($A71,'01-02.2021'!$A$6:$CZ$403,10,FALSE)+VLOOKUP($A71,'1.3.21-28.2.22'!$A$6:$DA$404,10,FALSE)-VLOOKUP($A71,'01-02.2022'!$A$6:$DA$376,10,FALSE)</f>
        <v>5724.9228642416301</v>
      </c>
      <c r="K71" s="52">
        <f t="shared" si="34"/>
        <v>561.52584361827485</v>
      </c>
      <c r="L71" s="566">
        <f>VLOOKUP($A71,'01-02.2021'!$A$6:$CZ$403,12,FALSE)+VLOOKUP($A71,'1.3.21-28.2.22'!$A$6:$DA$404,12,FALSE)-VLOOKUP($A71,'01-02.2022'!$A$6:$DA$376,12,FALSE)</f>
        <v>1133.1913209601216</v>
      </c>
      <c r="M71" s="566">
        <f>VLOOKUP($A71,'01-02.2021'!$A$6:$CZ$403,13,FALSE)+VLOOKUP($A71,'1.3.21-28.2.22'!$A$6:$DA$404,13,FALSE)-VLOOKUP($A71,'01-02.2022'!$A$6:$DA$376,13,FALSE)</f>
        <v>1247.6842470214362</v>
      </c>
      <c r="N71" s="52">
        <f t="shared" si="35"/>
        <v>114.49292606131462</v>
      </c>
      <c r="O71" s="566">
        <f>VLOOKUP($A71,'01-02.2021'!$A$6:$CZ$403,15,FALSE)+VLOOKUP($A71,'1.3.21-28.2.22'!$A$6:$DA$404,15,FALSE)-VLOOKUP($A71,'01-02.2022'!$A$6:$DA$376,15,FALSE)</f>
        <v>2434.6100909447996</v>
      </c>
      <c r="P71" s="566">
        <f>VLOOKUP($A71,'01-02.2021'!$A$6:$CZ$403,16,FALSE)+VLOOKUP($A71,'1.3.21-28.2.22'!$A$6:$DA$404,16,FALSE)-VLOOKUP($A71,'01-02.2022'!$A$6:$DA$376,16,FALSE)</f>
        <v>2434.6099999999997</v>
      </c>
      <c r="Q71" s="70">
        <f t="shared" si="36"/>
        <v>-9.094479992199922E-5</v>
      </c>
      <c r="R71" s="566">
        <f>VLOOKUP($A71,'01-02.2021'!$A$6:$CZ$403,18,FALSE)+VLOOKUP($A71,'1.3.21-28.2.22'!$A$6:$DA$404,18,FALSE)-VLOOKUP($A71,'01-02.2022'!$A$6:$DA$376,18,FALSE)</f>
        <v>0</v>
      </c>
      <c r="S71" s="566">
        <f>VLOOKUP($A71,'01-02.2021'!$A$6:$CZ$403,19,FALSE)+VLOOKUP($A71,'1.3.21-28.2.22'!$A$6:$DA$404,19,FALSE)-VLOOKUP($A71,'01-02.2022'!$A$6:$DA$376,19,FALSE)</f>
        <v>0</v>
      </c>
      <c r="T71" s="70">
        <f t="shared" si="37"/>
        <v>0</v>
      </c>
      <c r="U71" s="566">
        <f>VLOOKUP($A71,'01-02.2021'!$A$6:$CZ$403,21,FALSE)+VLOOKUP($A71,'1.3.21-28.2.22'!$A$6:$DA$404,21,FALSE)-VLOOKUP($A71,'01-02.2022'!$A$6:$DA$376,21,FALSE)</f>
        <v>0</v>
      </c>
      <c r="V71" s="566">
        <f>VLOOKUP($A71,'01-02.2021'!$A$6:$CZ$403,22,FALSE)+VLOOKUP($A71,'1.3.21-28.2.22'!$A$6:$DA$404,22,FALSE)-VLOOKUP($A71,'01-02.2022'!$A$6:$DA$376,22,FALSE)</f>
        <v>0</v>
      </c>
      <c r="W71" s="70">
        <f t="shared" si="38"/>
        <v>0</v>
      </c>
      <c r="X71" s="566">
        <f>VLOOKUP($A71,'01-02.2021'!$A$6:$CZ$403,24,FALSE)+VLOOKUP($A71,'1.3.21-28.2.22'!$A$6:$DA$404,24,FALSE)-VLOOKUP($A71,'01-02.2022'!$A$6:$DA$376,24,FALSE)</f>
        <v>2938.7383366714844</v>
      </c>
      <c r="Y71" s="566">
        <f>VLOOKUP($A71,'01-02.2021'!$A$6:$CZ$403,25,FALSE)+VLOOKUP($A71,'1.3.21-28.2.22'!$A$6:$DA$404,25,FALSE)-VLOOKUP($A71,'01-02.2022'!$A$6:$DA$376,25,FALSE)</f>
        <v>2934.8880577329355</v>
      </c>
      <c r="Z71" s="70">
        <f t="shared" si="39"/>
        <v>-3.8502789385488541</v>
      </c>
      <c r="AA71" s="566">
        <f>VLOOKUP($A71,'01-02.2021'!$A$6:$CZ$403,27,FALSE)+VLOOKUP($A71,'1.3.21-28.2.22'!$A$6:$DA$404,27,FALSE)-VLOOKUP($A71,'01-02.2022'!$A$6:$DA$376,27,FALSE)</f>
        <v>377.35199999999998</v>
      </c>
      <c r="AB71" s="566">
        <f>VLOOKUP($A71,'01-02.2021'!$A$6:$CZ$403,28,FALSE)+VLOOKUP($A71,'1.3.21-28.2.22'!$A$6:$DA$404,28,FALSE)-VLOOKUP($A71,'01-02.2022'!$A$6:$DA$376,28,FALSE)</f>
        <v>0</v>
      </c>
      <c r="AC71" s="70">
        <f t="shared" si="40"/>
        <v>-377.35199999999998</v>
      </c>
      <c r="AD71" s="566">
        <f>VLOOKUP($A71,'01-02.2021'!$A$6:$CZ$403,30,FALSE)+VLOOKUP($A71,'1.3.21-28.2.22'!$A$6:$DA$404,30,FALSE)-VLOOKUP($A71,'01-02.2022'!$A$6:$DA$376,30,FALSE)</f>
        <v>8007.6627086893559</v>
      </c>
      <c r="AE71" s="566">
        <f>VLOOKUP($A71,'01-02.2021'!$A$6:$CZ$403,31,FALSE)+VLOOKUP($A71,'1.3.21-28.2.22'!$A$6:$DA$404,31,FALSE)-VLOOKUP($A71,'01-02.2022'!$A$6:$DA$376,31,FALSE)</f>
        <v>8656.7251310281008</v>
      </c>
      <c r="AF71" s="68">
        <f t="shared" si="41"/>
        <v>649.06242233874491</v>
      </c>
      <c r="AG71" s="77">
        <f t="shared" ref="AG71:AH128" si="86">I71+L71+O71+R71+U71+X71+AA71+AD71</f>
        <v>20054.951477889117</v>
      </c>
      <c r="AH71" s="53">
        <f t="shared" si="86"/>
        <v>20998.830300024099</v>
      </c>
      <c r="AI71" s="52">
        <f t="shared" si="42"/>
        <v>943.87882213498233</v>
      </c>
      <c r="AJ71" s="566">
        <f>VLOOKUP($A71,'01-02.2021'!$A$6:$CZ$403,36,FALSE)+VLOOKUP($A71,'1.3.21-28.2.22'!$A$6:$DA$404,36,FALSE)-VLOOKUP($A71,'01-02.2022'!$A$6:$DA$376,36,FALSE)</f>
        <v>0</v>
      </c>
      <c r="AK71" s="566">
        <f>VLOOKUP($A71,'01-02.2021'!$A$6:$CZ$403,37,FALSE)+VLOOKUP($A71,'1.3.21-28.2.22'!$A$6:$DA$404,37,FALSE)-VLOOKUP($A71,'01-02.2022'!$A$6:$DA$376,37,FALSE)</f>
        <v>0</v>
      </c>
      <c r="AL71" s="70">
        <f t="shared" si="43"/>
        <v>0</v>
      </c>
      <c r="AM71" s="566">
        <f>VLOOKUP($A71,'01-02.2021'!$A$6:$CZ$403,39,FALSE)+VLOOKUP($A71,'1.3.21-28.2.22'!$A$6:$DA$404,39,FALSE)-VLOOKUP($A71,'01-02.2022'!$A$6:$DA$376,39,FALSE)</f>
        <v>0</v>
      </c>
      <c r="AN71" s="566">
        <f>VLOOKUP($A71,'01-02.2021'!$A$6:$CZ$403,40,FALSE)+VLOOKUP($A71,'1.3.21-28.2.22'!$A$6:$DA$404,40,FALSE)-VLOOKUP($A71,'01-02.2022'!$A$6:$DA$376,40,FALSE)</f>
        <v>0</v>
      </c>
      <c r="AO71" s="70">
        <f t="shared" si="44"/>
        <v>0</v>
      </c>
      <c r="AP71" s="566">
        <f>VLOOKUP($A71,'01-02.2021'!$A$6:$CZ$403,42,FALSE)+VLOOKUP($A71,'1.3.21-28.2.22'!$A$6:$DA$404,42,FALSE)-VLOOKUP($A71,'01-02.2022'!$A$6:$DA$376,42,FALSE)</f>
        <v>2949.8395750724053</v>
      </c>
      <c r="AQ71" s="566">
        <f>VLOOKUP($A71,'01-02.2021'!$A$6:$CZ$403,43,FALSE)+VLOOKUP($A71,'1.3.21-28.2.22'!$A$6:$DA$404,43,FALSE)-VLOOKUP($A71,'01-02.2022'!$A$6:$DA$376,43,FALSE)</f>
        <v>3706.0020906668351</v>
      </c>
      <c r="AR71" s="70">
        <f t="shared" si="45"/>
        <v>756.16251559442981</v>
      </c>
      <c r="AS71" s="566">
        <f>VLOOKUP($A71,'01-02.2021'!$A$6:$CZ$403,45,FALSE)+VLOOKUP($A71,'1.3.21-28.2.22'!$A$6:$DA$404,45,FALSE)-VLOOKUP($A71,'01-02.2022'!$A$6:$DA$376,45,FALSE)</f>
        <v>17546.55096339052</v>
      </c>
      <c r="AT71" s="566">
        <f>VLOOKUP($A71,'01-02.2021'!$A$6:$CZ$403,46,FALSE)+VLOOKUP($A71,'1.3.21-28.2.22'!$A$6:$DA$404,46,FALSE)-VLOOKUP($A71,'01-02.2022'!$A$6:$DA$376,46,FALSE)</f>
        <v>2658</v>
      </c>
      <c r="AU71" s="78">
        <f t="shared" si="46"/>
        <v>-14888.55096339052</v>
      </c>
      <c r="AV71" s="566">
        <f>VLOOKUP($A71,'01-02.2021'!$A$6:$CZ$403,48,FALSE)+VLOOKUP($A71,'1.3.21-28.2.22'!$A$6:$DA$404,48,FALSE)-VLOOKUP($A71,'01-02.2022'!$A$6:$DA$376,48,FALSE)</f>
        <v>1396.3461603303706</v>
      </c>
      <c r="AW71" s="566">
        <f>VLOOKUP($A71,'01-02.2021'!$A$6:$CZ$403,49,FALSE)+VLOOKUP($A71,'1.3.21-28.2.22'!$A$6:$DA$404,49,FALSE)-VLOOKUP($A71,'01-02.2022'!$A$6:$DA$376,49,FALSE)</f>
        <v>0</v>
      </c>
      <c r="AX71" s="55">
        <f t="shared" si="47"/>
        <v>-1396.3461603303706</v>
      </c>
      <c r="AY71" s="566">
        <f>VLOOKUP($A71,'01-02.2021'!$A$6:$CZ$403,51,FALSE)+VLOOKUP($A71,'1.3.21-28.2.22'!$A$6:$DA$404,51,FALSE)-VLOOKUP($A71,'01-02.2022'!$A$6:$DA$376,51,FALSE)</f>
        <v>2130.2100674849212</v>
      </c>
      <c r="AZ71" s="566">
        <f>VLOOKUP($A71,'01-02.2021'!$A$6:$CZ$403,52,FALSE)+VLOOKUP($A71,'1.3.21-28.2.22'!$A$6:$DA$404,52,FALSE)-VLOOKUP($A71,'01-02.2022'!$A$6:$DA$376,52,FALSE)</f>
        <v>0</v>
      </c>
      <c r="BA71" s="38">
        <f t="shared" si="48"/>
        <v>-2130.2100674849212</v>
      </c>
      <c r="BB71" s="566">
        <f>VLOOKUP($A71,'01-02.2021'!$A$6:$CZ$403,54,FALSE)+VLOOKUP($A71,'1.3.21-28.2.22'!$A$6:$DA$404,54,FALSE)-VLOOKUP($A71,'01-02.2022'!$A$6:$DA$376,54,FALSE)</f>
        <v>964.86083802120959</v>
      </c>
      <c r="BC71" s="566">
        <f>VLOOKUP($A71,'01-02.2021'!$A$6:$CZ$403,55,FALSE)+VLOOKUP($A71,'1.3.21-28.2.22'!$A$6:$DA$404,55,FALSE)-VLOOKUP($A71,'01-02.2022'!$A$6:$DA$376,55,FALSE)</f>
        <v>0</v>
      </c>
      <c r="BD71" s="55">
        <f t="shared" si="49"/>
        <v>-964.86083802120959</v>
      </c>
      <c r="BE71" s="566">
        <f>VLOOKUP($A71,'01-02.2021'!$A$6:$CZ$403,57,FALSE)+VLOOKUP($A71,'1.3.21-28.2.22'!$A$6:$DA$404,57,FALSE)-VLOOKUP($A71,'01-02.2022'!$A$6:$DA$376,57,FALSE)</f>
        <v>0</v>
      </c>
      <c r="BF71" s="566">
        <f>VLOOKUP($A71,'01-02.2021'!$A$6:$CZ$403,58,FALSE)+VLOOKUP($A71,'1.3.21-28.2.22'!$A$6:$DA$404,58,FALSE)-VLOOKUP($A71,'01-02.2022'!$A$6:$DA$376,58,FALSE)</f>
        <v>0</v>
      </c>
      <c r="BG71" s="55">
        <f t="shared" si="50"/>
        <v>0</v>
      </c>
      <c r="BH71" s="566">
        <f>VLOOKUP($A71,'01-02.2021'!$A$6:$CZ$403,60,FALSE)+VLOOKUP($A71,'1.3.21-28.2.22'!$A$6:$DA$404,60,FALSE)-VLOOKUP($A71,'01-02.2022'!$A$6:$DA$376,60,FALSE)</f>
        <v>0</v>
      </c>
      <c r="BI71" s="566">
        <f>VLOOKUP($A71,'01-02.2021'!$A$6:$CZ$403,61,FALSE)+VLOOKUP($A71,'1.3.21-28.2.22'!$A$6:$DA$404,61,FALSE)-VLOOKUP($A71,'01-02.2022'!$A$6:$DA$376,61,FALSE)</f>
        <v>0</v>
      </c>
      <c r="BJ71" s="55">
        <f t="shared" si="51"/>
        <v>0</v>
      </c>
      <c r="BK71" s="566">
        <f>VLOOKUP($A71,'01-02.2021'!$A$6:$CZ$403,63,FALSE)+VLOOKUP($A71,'1.3.21-28.2.22'!$A$6:$DA$404,63,FALSE)-VLOOKUP($A71,'01-02.2022'!$A$6:$DA$376,63,FALSE)</f>
        <v>715.91805611954135</v>
      </c>
      <c r="BL71" s="566">
        <f>VLOOKUP($A71,'01-02.2021'!$A$6:$CZ$403,64,FALSE)+VLOOKUP($A71,'1.3.21-28.2.22'!$A$6:$DA$404,64,FALSE)-VLOOKUP($A71,'01-02.2022'!$A$6:$DA$376,64,FALSE)</f>
        <v>949</v>
      </c>
      <c r="BM71" s="55">
        <f t="shared" si="52"/>
        <v>233.08194388045865</v>
      </c>
      <c r="BN71" s="566">
        <f>VLOOKUP($A71,'01-02.2021'!$A$6:$CZ$403,66,FALSE)+VLOOKUP($A71,'1.3.21-28.2.22'!$A$6:$DA$404,66,FALSE)-VLOOKUP($A71,'01-02.2022'!$A$6:$DA$376,66,FALSE)</f>
        <v>94.337999999999994</v>
      </c>
      <c r="BO71" s="566">
        <f>VLOOKUP($A71,'01-02.2021'!$A$6:$CZ$403,67,FALSE)+VLOOKUP($A71,'1.3.21-28.2.22'!$A$6:$DA$404,67,FALSE)-VLOOKUP($A71,'01-02.2022'!$A$6:$DA$376,67,FALSE)</f>
        <v>0</v>
      </c>
      <c r="BP71" s="55">
        <f t="shared" si="53"/>
        <v>-94.337999999999994</v>
      </c>
      <c r="BQ71" s="77">
        <f t="shared" ref="BQ71:BQ98" si="87">AV71+AY71+BB71+BE71+BH71+BK71+BN71</f>
        <v>5301.6731219560434</v>
      </c>
      <c r="BR71" s="40">
        <f t="shared" ref="BR71:BR98" si="88">AW71+AZ71+BC71+BF71+BI71+BL71+BO71</f>
        <v>949</v>
      </c>
      <c r="BS71" s="55">
        <f t="shared" si="70"/>
        <v>-4352.6731219560434</v>
      </c>
      <c r="BT71" s="566">
        <f>VLOOKUP($A71,'01-02.2021'!$A$6:$CZ$403,72,FALSE)+VLOOKUP($A71,'1.3.21-28.2.22'!$A$6:$DA$404,72,FALSE)-VLOOKUP($A71,'01-02.2022'!$A$6:$DA$376,72,FALSE)</f>
        <v>21850.14221410593</v>
      </c>
      <c r="BU71" s="566">
        <f>VLOOKUP($A71,'01-02.2021'!$A$6:$CZ$403,73,FALSE)+VLOOKUP($A71,'1.3.21-28.2.22'!$A$6:$DA$404,73,FALSE)-VLOOKUP($A71,'01-02.2022'!$A$6:$DA$376,73,FALSE)</f>
        <v>25020.342593801859</v>
      </c>
      <c r="BV71" s="70">
        <f t="shared" si="54"/>
        <v>3170.2003796959289</v>
      </c>
      <c r="BW71" s="566">
        <f>VLOOKUP($A71,'01-02.2021'!$A$6:$CZ$403,75,FALSE)+VLOOKUP($A71,'1.3.21-28.2.22'!$A$6:$DA$404,75,FALSE)-VLOOKUP($A71,'01-02.2022'!$A$6:$DA$376,75,FALSE)</f>
        <v>6428.6521320155543</v>
      </c>
      <c r="BX71" s="566">
        <f>VLOOKUP($A71,'01-02.2021'!$A$6:$CZ$403,76,FALSE)+VLOOKUP($A71,'1.3.21-28.2.22'!$A$6:$DA$404,76,FALSE)-VLOOKUP($A71,'01-02.2022'!$A$6:$DA$376,76,FALSE)</f>
        <v>7881.50877399409</v>
      </c>
      <c r="BY71" s="70">
        <f t="shared" si="55"/>
        <v>1452.8566419785357</v>
      </c>
      <c r="BZ71" s="566">
        <f>VLOOKUP($A71,'01-02.2021'!$A$6:$CZ$403,78,FALSE)+VLOOKUP($A71,'1.3.21-28.2.22'!$A$6:$DA$404,78,FALSE)-VLOOKUP($A71,'01-02.2022'!$A$6:$DA$376,78,FALSE)</f>
        <v>7080.9956080941847</v>
      </c>
      <c r="CA71" s="566">
        <f>VLOOKUP($A71,'01-02.2021'!$A$6:$CZ$403,79,FALSE)+VLOOKUP($A71,'1.3.21-28.2.22'!$A$6:$DA$404,79,FALSE)-VLOOKUP($A71,'01-02.2022'!$A$6:$DA$376,79,FALSE)</f>
        <v>7067.088868453613</v>
      </c>
      <c r="CB71" s="70">
        <f t="shared" si="56"/>
        <v>-13.906739640571686</v>
      </c>
      <c r="CC71" s="566">
        <f>VLOOKUP($A71,'01-02.2021'!$A$6:$CZ$403,81,FALSE)+VLOOKUP($A71,'1.3.21-28.2.22'!$A$6:$DA$404,81,FALSE)-VLOOKUP($A71,'01-02.2022'!$A$6:$DA$376,81,FALSE)</f>
        <v>718.43096418176242</v>
      </c>
      <c r="CD71" s="566">
        <f>VLOOKUP($A71,'01-02.2021'!$A$6:$CZ$403,82,FALSE)+VLOOKUP($A71,'1.3.21-28.2.22'!$A$6:$DA$404,82,FALSE)-VLOOKUP($A71,'01-02.2022'!$A$6:$DA$376,82,FALSE)</f>
        <v>785.24002888034738</v>
      </c>
      <c r="CE71" s="70">
        <f t="shared" si="57"/>
        <v>66.809064698584962</v>
      </c>
      <c r="CF71" s="566">
        <f>VLOOKUP($A71,'01-02.2021'!$A$6:$CZ$403,84,FALSE)+VLOOKUP($A71,'1.3.21-28.2.22'!$A$6:$DA$404,84,FALSE)-VLOOKUP($A71,'01-02.2022'!$A$6:$DA$376,84,FALSE)</f>
        <v>87.340082701945235</v>
      </c>
      <c r="CG71" s="566">
        <f>VLOOKUP($A71,'01-02.2021'!$A$6:$CZ$403,85,FALSE)+VLOOKUP($A71,'1.3.21-28.2.22'!$A$6:$DA$404,85,FALSE)-VLOOKUP($A71,'01-02.2022'!$A$6:$DA$376,85,FALSE)</f>
        <v>0</v>
      </c>
      <c r="CH71" s="70">
        <f t="shared" si="58"/>
        <v>-87.340082701945235</v>
      </c>
      <c r="CI71" s="566">
        <f>VLOOKUP($A71,'01-02.2021'!$A$6:$CZ$403,87,FALSE)+VLOOKUP($A71,'1.3.21-28.2.22'!$A$6:$DA$404,87,FALSE)-VLOOKUP($A71,'01-02.2022'!$A$6:$DA$376,87,FALSE)</f>
        <v>5218.0349684535377</v>
      </c>
      <c r="CJ71" s="566">
        <f>VLOOKUP($A71,'01-02.2021'!$A$6:$CZ$403,88,FALSE)+VLOOKUP($A71,'1.3.21-28.2.22'!$A$6:$DA$404,88,FALSE)-VLOOKUP($A71,'01-02.2022'!$A$6:$DA$376,88,FALSE)</f>
        <v>4015.7680840386256</v>
      </c>
      <c r="CK71" s="70">
        <f t="shared" si="59"/>
        <v>-1202.2668844149121</v>
      </c>
      <c r="CL71" s="566">
        <f>VLOOKUP($A71,'01-02.2021'!$A$6:$CZ$403,90,FALSE)+VLOOKUP($A71,'1.3.21-28.2.22'!$A$6:$DA$404,90,FALSE)-VLOOKUP($A71,'01-02.2022'!$A$6:$DA$376,90,FALSE)</f>
        <v>0</v>
      </c>
      <c r="CM71" s="566">
        <f>VLOOKUP($A71,'01-02.2021'!$A$6:$CZ$403,91,FALSE)+VLOOKUP($A71,'1.3.21-28.2.22'!$A$6:$DA$404,91,FALSE)-VLOOKUP($A71,'01-02.2022'!$A$6:$DA$376,91,FALSE)</f>
        <v>0</v>
      </c>
      <c r="CN71" s="52">
        <f t="shared" si="60"/>
        <v>0</v>
      </c>
      <c r="CO71" s="39">
        <f t="shared" ref="CO71:CO128" si="89">CI71+CL71</f>
        <v>5218.0349684535377</v>
      </c>
      <c r="CP71" s="40">
        <f t="shared" si="61"/>
        <v>4015.7680840386256</v>
      </c>
      <c r="CQ71" s="52">
        <f t="shared" si="62"/>
        <v>-1202.2668844149121</v>
      </c>
      <c r="CR71" s="72">
        <f t="shared" ref="CR71:CS128" si="90">AG71+AJ71+AM71+AP71+AS71+BQ71+BT71+BW71+BZ71+CC71+CF71+CO71</f>
        <v>87236.611107860997</v>
      </c>
      <c r="CS71" s="5">
        <f t="shared" si="90"/>
        <v>73081.780739859489</v>
      </c>
      <c r="CT71" s="52">
        <f t="shared" si="63"/>
        <v>-14154.830368001509</v>
      </c>
      <c r="CU71" s="77">
        <f t="shared" si="64"/>
        <v>104683.93332943319</v>
      </c>
      <c r="CV71" s="65">
        <f t="shared" si="65"/>
        <v>87698.136887831381</v>
      </c>
      <c r="CW71" s="35">
        <f t="shared" si="66"/>
        <v>-16985.796441601808</v>
      </c>
      <c r="CX71" s="566">
        <f>VLOOKUP($A71,'01-02.2021'!$A$6:$CZ$403,102,FALSE)+VLOOKUP($A71,'1.3.21-28.2.22'!$A$6:$DA$404,102,FALSE)-VLOOKUP($A71,'01-02.2022'!$A$6:$DA$376,102,FALSE)</f>
        <v>4086.8686017731866</v>
      </c>
      <c r="CY71" s="566">
        <f>VLOOKUP($A71,'01-02.2021'!$A$6:$CZ$403,103,FALSE)+VLOOKUP($A71,'1.3.21-28.2.22'!$A$6:$DA$404,103,FALSE)-VLOOKUP($A71,'01-02.2022'!$A$6:$DA$376,103,FALSE)</f>
        <v>21072.665043375018</v>
      </c>
      <c r="CZ71" s="52">
        <f t="shared" si="67"/>
        <v>16985.796441601833</v>
      </c>
      <c r="DA71" s="150">
        <f>'[2]побудинковий звіт'!DA71</f>
        <v>24239.177317802496</v>
      </c>
      <c r="DB71" s="2">
        <v>2</v>
      </c>
      <c r="DC71" s="414">
        <f>'[4]побудинковий звіт'!DC71</f>
        <v>11676.68</v>
      </c>
      <c r="DD71" s="414">
        <f>'[4]побудинковий звіт'!DD71</f>
        <v>9410.07</v>
      </c>
      <c r="DE71" s="557">
        <f>'[4]побудинковий звіт'!DE71</f>
        <v>3413.1808183650555</v>
      </c>
      <c r="DF71" s="557">
        <f>'[4]побудинковий звіт'!DF71</f>
        <v>7945.9795663020741</v>
      </c>
      <c r="DG71" s="321">
        <f>VLOOKUP(A71,'кошти 01.03.2021'!$A$6:$D$401,4,)</f>
        <v>48086.328343931658</v>
      </c>
      <c r="DH71" s="40">
        <f>'[3]побудинковий звіт'!DJ71</f>
        <v>111442.49912980369</v>
      </c>
      <c r="DI71" s="422">
        <f>'[3]побудинковий звіт'!CU71+'[3]побудинковий звіт'!CX71</f>
        <v>9727.5896153328686</v>
      </c>
      <c r="DJ71" s="306">
        <f>'[3]побудинковий звіт'!DM71</f>
        <v>5.3086850710747431</v>
      </c>
      <c r="DK71" s="306">
        <f t="shared" ref="DK71:DK77" si="91">DJ71</f>
        <v>5.3086850710747431</v>
      </c>
      <c r="DL71" s="306">
        <f>'[3]побудинковий звіт'!DO71</f>
        <v>4.8066002419498535</v>
      </c>
      <c r="DM71" s="28">
        <f t="shared" ref="DM71:DM77" si="92">F71*DJ71</f>
        <v>8263.4991816349448</v>
      </c>
      <c r="DN71" s="28">
        <f t="shared" ref="DN71:DN77" si="93">H71*DL71</f>
        <v>1464.0904336979254</v>
      </c>
      <c r="DO71" s="423">
        <f t="shared" si="29"/>
        <v>9727.5896153328704</v>
      </c>
      <c r="DP71" s="94">
        <f t="shared" si="30"/>
        <v>0</v>
      </c>
      <c r="DQ71" s="28">
        <f t="shared" si="31"/>
        <v>9727.5896153328704</v>
      </c>
      <c r="DR71" s="318"/>
      <c r="DT71" s="8"/>
      <c r="DU71" s="5"/>
      <c r="DX71" s="5">
        <f t="shared" si="32"/>
        <v>27417.868902415874</v>
      </c>
      <c r="DY71" s="5">
        <f t="shared" si="33"/>
        <v>4328.3999999999996</v>
      </c>
      <c r="DZ71" s="159">
        <f>'[3]побудинковий звіт'!EA71</f>
        <v>2664.6301311202064</v>
      </c>
    </row>
    <row r="72" spans="1:130" x14ac:dyDescent="0.3">
      <c r="A72" s="325">
        <v>150000522</v>
      </c>
      <c r="B72" s="41" t="s">
        <v>521</v>
      </c>
      <c r="C72" s="42" t="s">
        <v>57</v>
      </c>
      <c r="D72" s="42"/>
      <c r="E72" s="293">
        <f t="shared" si="85"/>
        <v>269.89999999999998</v>
      </c>
      <c r="F72" s="305">
        <f>'[3]побудинковий звіт'!F72</f>
        <v>269.89999999999998</v>
      </c>
      <c r="G72" s="508">
        <f>'[3]побудинковий звіт'!G72</f>
        <v>0</v>
      </c>
      <c r="H72" s="560">
        <f>'[3]побудинковий звіт'!H72</f>
        <v>0</v>
      </c>
      <c r="I72" s="566">
        <f>VLOOKUP($A72,'01-02.2021'!$A$6:$CZ$403,9,FALSE)+VLOOKUP($A72,'1.3.21-28.2.22'!$A$6:$DA$404,9,FALSE)-VLOOKUP($A72,'01-02.2022'!$A$6:$DA$376,9,FALSE)</f>
        <v>0</v>
      </c>
      <c r="J72" s="566">
        <f>VLOOKUP($A72,'01-02.2021'!$A$6:$CZ$403,10,FALSE)+VLOOKUP($A72,'1.3.21-28.2.22'!$A$6:$DA$404,10,FALSE)-VLOOKUP($A72,'01-02.2022'!$A$6:$DA$376,10,FALSE)</f>
        <v>0</v>
      </c>
      <c r="K72" s="52">
        <f t="shared" ref="K72:K129" si="94">J72-I72</f>
        <v>0</v>
      </c>
      <c r="L72" s="566">
        <f>VLOOKUP($A72,'01-02.2021'!$A$6:$CZ$403,12,FALSE)+VLOOKUP($A72,'1.3.21-28.2.22'!$A$6:$DA$404,12,FALSE)-VLOOKUP($A72,'01-02.2022'!$A$6:$DA$376,12,FALSE)</f>
        <v>0</v>
      </c>
      <c r="M72" s="566">
        <f>VLOOKUP($A72,'01-02.2021'!$A$6:$CZ$403,13,FALSE)+VLOOKUP($A72,'1.3.21-28.2.22'!$A$6:$DA$404,13,FALSE)-VLOOKUP($A72,'01-02.2022'!$A$6:$DA$376,13,FALSE)</f>
        <v>0</v>
      </c>
      <c r="N72" s="52">
        <f t="shared" ref="N72:N129" si="95">M72-L72</f>
        <v>0</v>
      </c>
      <c r="O72" s="566">
        <f>VLOOKUP($A72,'01-02.2021'!$A$6:$CZ$403,15,FALSE)+VLOOKUP($A72,'1.3.21-28.2.22'!$A$6:$DA$404,15,FALSE)-VLOOKUP($A72,'01-02.2022'!$A$6:$DA$376,15,FALSE)</f>
        <v>0</v>
      </c>
      <c r="P72" s="566">
        <f>VLOOKUP($A72,'01-02.2021'!$A$6:$CZ$403,16,FALSE)+VLOOKUP($A72,'1.3.21-28.2.22'!$A$6:$DA$404,16,FALSE)-VLOOKUP($A72,'01-02.2022'!$A$6:$DA$376,16,FALSE)</f>
        <v>0</v>
      </c>
      <c r="Q72" s="70">
        <f t="shared" si="36"/>
        <v>0</v>
      </c>
      <c r="R72" s="566">
        <f>VLOOKUP($A72,'01-02.2021'!$A$6:$CZ$403,18,FALSE)+VLOOKUP($A72,'1.3.21-28.2.22'!$A$6:$DA$404,18,FALSE)-VLOOKUP($A72,'01-02.2022'!$A$6:$DA$376,18,FALSE)</f>
        <v>0</v>
      </c>
      <c r="S72" s="566">
        <f>VLOOKUP($A72,'01-02.2021'!$A$6:$CZ$403,19,FALSE)+VLOOKUP($A72,'1.3.21-28.2.22'!$A$6:$DA$404,19,FALSE)-VLOOKUP($A72,'01-02.2022'!$A$6:$DA$376,19,FALSE)</f>
        <v>0</v>
      </c>
      <c r="T72" s="70">
        <f t="shared" si="37"/>
        <v>0</v>
      </c>
      <c r="U72" s="566">
        <f>VLOOKUP($A72,'01-02.2021'!$A$6:$CZ$403,21,FALSE)+VLOOKUP($A72,'1.3.21-28.2.22'!$A$6:$DA$404,21,FALSE)-VLOOKUP($A72,'01-02.2022'!$A$6:$DA$376,21,FALSE)</f>
        <v>0</v>
      </c>
      <c r="V72" s="566">
        <f>VLOOKUP($A72,'01-02.2021'!$A$6:$CZ$403,22,FALSE)+VLOOKUP($A72,'1.3.21-28.2.22'!$A$6:$DA$404,22,FALSE)-VLOOKUP($A72,'01-02.2022'!$A$6:$DA$376,22,FALSE)</f>
        <v>0</v>
      </c>
      <c r="W72" s="70">
        <f t="shared" si="38"/>
        <v>0</v>
      </c>
      <c r="X72" s="566">
        <f>VLOOKUP($A72,'01-02.2021'!$A$6:$CZ$403,24,FALSE)+VLOOKUP($A72,'1.3.21-28.2.22'!$A$6:$DA$404,24,FALSE)-VLOOKUP($A72,'01-02.2022'!$A$6:$DA$376,24,FALSE)</f>
        <v>0</v>
      </c>
      <c r="Y72" s="566">
        <f>VLOOKUP($A72,'01-02.2021'!$A$6:$CZ$403,25,FALSE)+VLOOKUP($A72,'1.3.21-28.2.22'!$A$6:$DA$404,25,FALSE)-VLOOKUP($A72,'01-02.2022'!$A$6:$DA$376,25,FALSE)</f>
        <v>0</v>
      </c>
      <c r="Z72" s="70">
        <f t="shared" si="39"/>
        <v>0</v>
      </c>
      <c r="AA72" s="566">
        <f>VLOOKUP($A72,'01-02.2021'!$A$6:$CZ$403,27,FALSE)+VLOOKUP($A72,'1.3.21-28.2.22'!$A$6:$DA$404,27,FALSE)-VLOOKUP($A72,'01-02.2022'!$A$6:$DA$376,27,FALSE)</f>
        <v>53.98</v>
      </c>
      <c r="AB72" s="566">
        <f>VLOOKUP($A72,'01-02.2021'!$A$6:$CZ$403,28,FALSE)+VLOOKUP($A72,'1.3.21-28.2.22'!$A$6:$DA$404,28,FALSE)-VLOOKUP($A72,'01-02.2022'!$A$6:$DA$376,28,FALSE)</f>
        <v>0</v>
      </c>
      <c r="AC72" s="70">
        <f t="shared" si="40"/>
        <v>-53.98</v>
      </c>
      <c r="AD72" s="566">
        <f>VLOOKUP($A72,'01-02.2021'!$A$6:$CZ$403,30,FALSE)+VLOOKUP($A72,'1.3.21-28.2.22'!$A$6:$DA$404,30,FALSE)-VLOOKUP($A72,'01-02.2022'!$A$6:$DA$376,30,FALSE)</f>
        <v>432.11502016086769</v>
      </c>
      <c r="AE72" s="566">
        <f>VLOOKUP($A72,'01-02.2021'!$A$6:$CZ$403,31,FALSE)+VLOOKUP($A72,'1.3.21-28.2.22'!$A$6:$DA$404,31,FALSE)-VLOOKUP($A72,'01-02.2022'!$A$6:$DA$376,31,FALSE)</f>
        <v>1228.5956748783706</v>
      </c>
      <c r="AF72" s="68">
        <f t="shared" si="41"/>
        <v>796.48065471750283</v>
      </c>
      <c r="AG72" s="77">
        <f t="shared" si="86"/>
        <v>486.0950201608677</v>
      </c>
      <c r="AH72" s="53">
        <f t="shared" si="86"/>
        <v>1228.5956748783706</v>
      </c>
      <c r="AI72" s="52">
        <f t="shared" ref="AI72:AI129" si="96">AH72-AG72</f>
        <v>742.50065471750281</v>
      </c>
      <c r="AJ72" s="566">
        <f>VLOOKUP($A72,'01-02.2021'!$A$6:$CZ$403,36,FALSE)+VLOOKUP($A72,'1.3.21-28.2.22'!$A$6:$DA$404,36,FALSE)-VLOOKUP($A72,'01-02.2022'!$A$6:$DA$376,36,FALSE)</f>
        <v>0</v>
      </c>
      <c r="AK72" s="566">
        <f>VLOOKUP($A72,'01-02.2021'!$A$6:$CZ$403,37,FALSE)+VLOOKUP($A72,'1.3.21-28.2.22'!$A$6:$DA$404,37,FALSE)-VLOOKUP($A72,'01-02.2022'!$A$6:$DA$376,37,FALSE)</f>
        <v>0</v>
      </c>
      <c r="AL72" s="70">
        <f t="shared" si="43"/>
        <v>0</v>
      </c>
      <c r="AM72" s="566">
        <f>VLOOKUP($A72,'01-02.2021'!$A$6:$CZ$403,39,FALSE)+VLOOKUP($A72,'1.3.21-28.2.22'!$A$6:$DA$404,39,FALSE)-VLOOKUP($A72,'01-02.2022'!$A$6:$DA$376,39,FALSE)</f>
        <v>0</v>
      </c>
      <c r="AN72" s="566">
        <f>VLOOKUP($A72,'01-02.2021'!$A$6:$CZ$403,40,FALSE)+VLOOKUP($A72,'1.3.21-28.2.22'!$A$6:$DA$404,40,FALSE)-VLOOKUP($A72,'01-02.2022'!$A$6:$DA$376,40,FALSE)</f>
        <v>0</v>
      </c>
      <c r="AO72" s="70">
        <f t="shared" si="44"/>
        <v>0</v>
      </c>
      <c r="AP72" s="566">
        <f>VLOOKUP($A72,'01-02.2021'!$A$6:$CZ$403,42,FALSE)+VLOOKUP($A72,'1.3.21-28.2.22'!$A$6:$DA$404,42,FALSE)-VLOOKUP($A72,'01-02.2022'!$A$6:$DA$376,42,FALSE)</f>
        <v>260.27996250638864</v>
      </c>
      <c r="AQ72" s="566">
        <f>VLOOKUP($A72,'01-02.2021'!$A$6:$CZ$403,43,FALSE)+VLOOKUP($A72,'1.3.21-28.2.22'!$A$6:$DA$404,43,FALSE)-VLOOKUP($A72,'01-02.2022'!$A$6:$DA$376,43,FALSE)</f>
        <v>224.64669657162523</v>
      </c>
      <c r="AR72" s="70">
        <f t="shared" si="45"/>
        <v>-35.633265934763415</v>
      </c>
      <c r="AS72" s="566">
        <f>VLOOKUP($A72,'01-02.2021'!$A$6:$CZ$403,45,FALSE)+VLOOKUP($A72,'1.3.21-28.2.22'!$A$6:$DA$404,45,FALSE)-VLOOKUP($A72,'01-02.2022'!$A$6:$DA$376,45,FALSE)</f>
        <v>2931.9929993998753</v>
      </c>
      <c r="AT72" s="566">
        <f>VLOOKUP($A72,'01-02.2021'!$A$6:$CZ$403,46,FALSE)+VLOOKUP($A72,'1.3.21-28.2.22'!$A$6:$DA$404,46,FALSE)-VLOOKUP($A72,'01-02.2022'!$A$6:$DA$376,46,FALSE)</f>
        <v>0</v>
      </c>
      <c r="AU72" s="78">
        <f t="shared" si="46"/>
        <v>-2931.9929993998753</v>
      </c>
      <c r="AV72" s="566">
        <f>VLOOKUP($A72,'01-02.2021'!$A$6:$CZ$403,48,FALSE)+VLOOKUP($A72,'1.3.21-28.2.22'!$A$6:$DA$404,48,FALSE)-VLOOKUP($A72,'01-02.2022'!$A$6:$DA$376,48,FALSE)</f>
        <v>0</v>
      </c>
      <c r="AW72" s="566">
        <f>VLOOKUP($A72,'01-02.2021'!$A$6:$CZ$403,49,FALSE)+VLOOKUP($A72,'1.3.21-28.2.22'!$A$6:$DA$404,49,FALSE)-VLOOKUP($A72,'01-02.2022'!$A$6:$DA$376,49,FALSE)</f>
        <v>0</v>
      </c>
      <c r="AX72" s="55">
        <f t="shared" si="47"/>
        <v>0</v>
      </c>
      <c r="AY72" s="566">
        <f>VLOOKUP($A72,'01-02.2021'!$A$6:$CZ$403,51,FALSE)+VLOOKUP($A72,'1.3.21-28.2.22'!$A$6:$DA$404,51,FALSE)-VLOOKUP($A72,'01-02.2022'!$A$6:$DA$376,51,FALSE)</f>
        <v>0</v>
      </c>
      <c r="AZ72" s="566">
        <f>VLOOKUP($A72,'01-02.2021'!$A$6:$CZ$403,52,FALSE)+VLOOKUP($A72,'1.3.21-28.2.22'!$A$6:$DA$404,52,FALSE)-VLOOKUP($A72,'01-02.2022'!$A$6:$DA$376,52,FALSE)</f>
        <v>0</v>
      </c>
      <c r="BA72" s="38">
        <f t="shared" si="48"/>
        <v>0</v>
      </c>
      <c r="BB72" s="566">
        <f>VLOOKUP($A72,'01-02.2021'!$A$6:$CZ$403,54,FALSE)+VLOOKUP($A72,'1.3.21-28.2.22'!$A$6:$DA$404,54,FALSE)-VLOOKUP($A72,'01-02.2022'!$A$6:$DA$376,54,FALSE)</f>
        <v>0</v>
      </c>
      <c r="BC72" s="566">
        <f>VLOOKUP($A72,'01-02.2021'!$A$6:$CZ$403,55,FALSE)+VLOOKUP($A72,'1.3.21-28.2.22'!$A$6:$DA$404,55,FALSE)-VLOOKUP($A72,'01-02.2022'!$A$6:$DA$376,55,FALSE)</f>
        <v>0</v>
      </c>
      <c r="BD72" s="55">
        <f t="shared" si="49"/>
        <v>0</v>
      </c>
      <c r="BE72" s="566">
        <f>VLOOKUP($A72,'01-02.2021'!$A$6:$CZ$403,57,FALSE)+VLOOKUP($A72,'1.3.21-28.2.22'!$A$6:$DA$404,57,FALSE)-VLOOKUP($A72,'01-02.2022'!$A$6:$DA$376,57,FALSE)</f>
        <v>0</v>
      </c>
      <c r="BF72" s="566">
        <f>VLOOKUP($A72,'01-02.2021'!$A$6:$CZ$403,58,FALSE)+VLOOKUP($A72,'1.3.21-28.2.22'!$A$6:$DA$404,58,FALSE)-VLOOKUP($A72,'01-02.2022'!$A$6:$DA$376,58,FALSE)</f>
        <v>0</v>
      </c>
      <c r="BG72" s="55">
        <f t="shared" si="50"/>
        <v>0</v>
      </c>
      <c r="BH72" s="566">
        <f>VLOOKUP($A72,'01-02.2021'!$A$6:$CZ$403,60,FALSE)+VLOOKUP($A72,'1.3.21-28.2.22'!$A$6:$DA$404,60,FALSE)-VLOOKUP($A72,'01-02.2022'!$A$6:$DA$376,60,FALSE)</f>
        <v>0</v>
      </c>
      <c r="BI72" s="566">
        <f>VLOOKUP($A72,'01-02.2021'!$A$6:$CZ$403,61,FALSE)+VLOOKUP($A72,'1.3.21-28.2.22'!$A$6:$DA$404,61,FALSE)-VLOOKUP($A72,'01-02.2022'!$A$6:$DA$376,61,FALSE)</f>
        <v>0</v>
      </c>
      <c r="BJ72" s="55">
        <f t="shared" si="51"/>
        <v>0</v>
      </c>
      <c r="BK72" s="566">
        <f>VLOOKUP($A72,'01-02.2021'!$A$6:$CZ$403,63,FALSE)+VLOOKUP($A72,'1.3.21-28.2.22'!$A$6:$DA$404,63,FALSE)-VLOOKUP($A72,'01-02.2022'!$A$6:$DA$376,63,FALSE)</f>
        <v>0</v>
      </c>
      <c r="BL72" s="566">
        <f>VLOOKUP($A72,'01-02.2021'!$A$6:$CZ$403,64,FALSE)+VLOOKUP($A72,'1.3.21-28.2.22'!$A$6:$DA$404,64,FALSE)-VLOOKUP($A72,'01-02.2022'!$A$6:$DA$376,64,FALSE)</f>
        <v>0</v>
      </c>
      <c r="BM72" s="55">
        <f t="shared" si="52"/>
        <v>0</v>
      </c>
      <c r="BN72" s="566">
        <f>VLOOKUP($A72,'01-02.2021'!$A$6:$CZ$403,66,FALSE)+VLOOKUP($A72,'1.3.21-28.2.22'!$A$6:$DA$404,66,FALSE)-VLOOKUP($A72,'01-02.2022'!$A$6:$DA$376,66,FALSE)</f>
        <v>16.838042793708642</v>
      </c>
      <c r="BO72" s="566">
        <f>VLOOKUP($A72,'01-02.2021'!$A$6:$CZ$403,67,FALSE)+VLOOKUP($A72,'1.3.21-28.2.22'!$A$6:$DA$404,67,FALSE)-VLOOKUP($A72,'01-02.2022'!$A$6:$DA$376,67,FALSE)</f>
        <v>0</v>
      </c>
      <c r="BP72" s="55">
        <f t="shared" si="53"/>
        <v>-16.838042793708642</v>
      </c>
      <c r="BQ72" s="77">
        <f t="shared" si="87"/>
        <v>16.838042793708642</v>
      </c>
      <c r="BR72" s="40">
        <f t="shared" si="88"/>
        <v>0</v>
      </c>
      <c r="BS72" s="55">
        <f t="shared" si="70"/>
        <v>-16.838042793708642</v>
      </c>
      <c r="BT72" s="566">
        <f>VLOOKUP($A72,'01-02.2021'!$A$6:$CZ$403,72,FALSE)+VLOOKUP($A72,'1.3.21-28.2.22'!$A$6:$DA$404,72,FALSE)-VLOOKUP($A72,'01-02.2022'!$A$6:$DA$376,72,FALSE)</f>
        <v>0</v>
      </c>
      <c r="BU72" s="566">
        <f>VLOOKUP($A72,'01-02.2021'!$A$6:$CZ$403,73,FALSE)+VLOOKUP($A72,'1.3.21-28.2.22'!$A$6:$DA$404,73,FALSE)-VLOOKUP($A72,'01-02.2022'!$A$6:$DA$376,73,FALSE)</f>
        <v>0</v>
      </c>
      <c r="BV72" s="70">
        <f t="shared" si="54"/>
        <v>0</v>
      </c>
      <c r="BW72" s="566">
        <f>VLOOKUP($A72,'01-02.2021'!$A$6:$CZ$403,75,FALSE)+VLOOKUP($A72,'1.3.21-28.2.22'!$A$6:$DA$404,75,FALSE)-VLOOKUP($A72,'01-02.2022'!$A$6:$DA$376,75,FALSE)</f>
        <v>0</v>
      </c>
      <c r="BX72" s="566">
        <f>VLOOKUP($A72,'01-02.2021'!$A$6:$CZ$403,76,FALSE)+VLOOKUP($A72,'1.3.21-28.2.22'!$A$6:$DA$404,76,FALSE)-VLOOKUP($A72,'01-02.2022'!$A$6:$DA$376,76,FALSE)</f>
        <v>6.0488883013239914</v>
      </c>
      <c r="BY72" s="70">
        <f t="shared" si="55"/>
        <v>6.0488883013239914</v>
      </c>
      <c r="BZ72" s="566">
        <f>VLOOKUP($A72,'01-02.2021'!$A$6:$CZ$403,78,FALSE)+VLOOKUP($A72,'1.3.21-28.2.22'!$A$6:$DA$404,78,FALSE)-VLOOKUP($A72,'01-02.2022'!$A$6:$DA$376,78,FALSE)</f>
        <v>0</v>
      </c>
      <c r="CA72" s="566">
        <f>VLOOKUP($A72,'01-02.2021'!$A$6:$CZ$403,79,FALSE)+VLOOKUP($A72,'1.3.21-28.2.22'!$A$6:$DA$404,79,FALSE)-VLOOKUP($A72,'01-02.2022'!$A$6:$DA$376,79,FALSE)</f>
        <v>0</v>
      </c>
      <c r="CB72" s="70">
        <f t="shared" si="56"/>
        <v>0</v>
      </c>
      <c r="CC72" s="566">
        <f>VLOOKUP($A72,'01-02.2021'!$A$6:$CZ$403,81,FALSE)+VLOOKUP($A72,'1.3.21-28.2.22'!$A$6:$DA$404,81,FALSE)-VLOOKUP($A72,'01-02.2022'!$A$6:$DA$376,81,FALSE)</f>
        <v>0</v>
      </c>
      <c r="CD72" s="566">
        <f>VLOOKUP($A72,'01-02.2021'!$A$6:$CZ$403,82,FALSE)+VLOOKUP($A72,'1.3.21-28.2.22'!$A$6:$DA$404,82,FALSE)-VLOOKUP($A72,'01-02.2022'!$A$6:$DA$376,82,FALSE)</f>
        <v>0</v>
      </c>
      <c r="CE72" s="70">
        <f t="shared" si="57"/>
        <v>0</v>
      </c>
      <c r="CF72" s="566">
        <f>VLOOKUP($A72,'01-02.2021'!$A$6:$CZ$403,84,FALSE)+VLOOKUP($A72,'1.3.21-28.2.22'!$A$6:$DA$404,84,FALSE)-VLOOKUP($A72,'01-02.2022'!$A$6:$DA$376,84,FALSE)</f>
        <v>0</v>
      </c>
      <c r="CG72" s="566">
        <f>VLOOKUP($A72,'01-02.2021'!$A$6:$CZ$403,85,FALSE)+VLOOKUP($A72,'1.3.21-28.2.22'!$A$6:$DA$404,85,FALSE)-VLOOKUP($A72,'01-02.2022'!$A$6:$DA$376,85,FALSE)</f>
        <v>0</v>
      </c>
      <c r="CH72" s="70">
        <f t="shared" si="58"/>
        <v>0</v>
      </c>
      <c r="CI72" s="566">
        <f>VLOOKUP($A72,'01-02.2021'!$A$6:$CZ$403,87,FALSE)+VLOOKUP($A72,'1.3.21-28.2.22'!$A$6:$DA$404,87,FALSE)-VLOOKUP($A72,'01-02.2022'!$A$6:$DA$376,87,FALSE)</f>
        <v>0</v>
      </c>
      <c r="CJ72" s="566">
        <f>VLOOKUP($A72,'01-02.2021'!$A$6:$CZ$403,88,FALSE)+VLOOKUP($A72,'1.3.21-28.2.22'!$A$6:$DA$404,88,FALSE)-VLOOKUP($A72,'01-02.2022'!$A$6:$DA$376,88,FALSE)</f>
        <v>0</v>
      </c>
      <c r="CK72" s="70">
        <f t="shared" si="59"/>
        <v>0</v>
      </c>
      <c r="CL72" s="566">
        <f>VLOOKUP($A72,'01-02.2021'!$A$6:$CZ$403,90,FALSE)+VLOOKUP($A72,'1.3.21-28.2.22'!$A$6:$DA$404,90,FALSE)-VLOOKUP($A72,'01-02.2022'!$A$6:$DA$376,90,FALSE)</f>
        <v>0</v>
      </c>
      <c r="CM72" s="566">
        <f>VLOOKUP($A72,'01-02.2021'!$A$6:$CZ$403,91,FALSE)+VLOOKUP($A72,'1.3.21-28.2.22'!$A$6:$DA$404,91,FALSE)-VLOOKUP($A72,'01-02.2022'!$A$6:$DA$376,91,FALSE)</f>
        <v>0</v>
      </c>
      <c r="CN72" s="52">
        <f t="shared" ref="CN72:CN129" si="97">CM72-CL72</f>
        <v>0</v>
      </c>
      <c r="CO72" s="39">
        <f t="shared" si="89"/>
        <v>0</v>
      </c>
      <c r="CP72" s="40">
        <f t="shared" ref="CP72:CP129" si="98">CJ72+CM72</f>
        <v>0</v>
      </c>
      <c r="CQ72" s="52">
        <f t="shared" ref="CQ72:CQ129" si="99">CP72-CO72</f>
        <v>0</v>
      </c>
      <c r="CR72" s="72">
        <f t="shared" si="90"/>
        <v>3695.20602486084</v>
      </c>
      <c r="CS72" s="5">
        <f t="shared" si="90"/>
        <v>1459.2912597513198</v>
      </c>
      <c r="CT72" s="52">
        <f t="shared" ref="CT72:CT129" si="100">CS72-CR72</f>
        <v>-2235.91476510952</v>
      </c>
      <c r="CU72" s="77">
        <f t="shared" ref="CU72:CU129" si="101">CR72*1.2</f>
        <v>4434.2472298330076</v>
      </c>
      <c r="CV72" s="65">
        <f t="shared" ref="CV72:CV129" si="102">CS72*1.2</f>
        <v>1751.1495117015836</v>
      </c>
      <c r="CW72" s="35">
        <f t="shared" ref="CW72:CW129" si="103">CV72-CU72</f>
        <v>-2683.0977181314238</v>
      </c>
      <c r="CX72" s="566">
        <f>VLOOKUP($A72,'01-02.2021'!$A$6:$CZ$403,102,FALSE)+VLOOKUP($A72,'1.3.21-28.2.22'!$A$6:$DA$404,102,FALSE)-VLOOKUP($A72,'01-02.2022'!$A$6:$DA$376,102,FALSE)</f>
        <v>154.5678759770974</v>
      </c>
      <c r="CY72" s="566">
        <f>VLOOKUP($A72,'01-02.2021'!$A$6:$CZ$403,103,FALSE)+VLOOKUP($A72,'1.3.21-28.2.22'!$A$6:$DA$404,103,FALSE)-VLOOKUP($A72,'01-02.2022'!$A$6:$DA$376,103,FALSE)</f>
        <v>2837.6655941085219</v>
      </c>
      <c r="CZ72" s="52">
        <f t="shared" ref="CZ72:CZ129" si="104">CY72-CX72</f>
        <v>2683.0977181314247</v>
      </c>
      <c r="DA72" s="150">
        <f>'[2]побудинковий звіт'!DA72</f>
        <v>4137.2736396475684</v>
      </c>
      <c r="DB72" s="2">
        <v>1</v>
      </c>
      <c r="DC72" s="414">
        <f>'[4]побудинковий звіт'!DC72</f>
        <v>5794.01</v>
      </c>
      <c r="DD72" s="414">
        <f>'[4]побудинковий звіт'!DD72</f>
        <v>0</v>
      </c>
      <c r="DE72" s="557">
        <f>'[4]побудинковий звіт'!DE72</f>
        <v>5376.7725261277892</v>
      </c>
      <c r="DF72" s="557">
        <f>'[4]побудинковий звіт'!DF72</f>
        <v>0</v>
      </c>
      <c r="DG72" s="321">
        <f>VLOOKUP(A72,'кошти 01.03.2021'!$A$6:$D$401,4,)</f>
        <v>7232.5429952727127</v>
      </c>
      <c r="DH72" s="40">
        <f>'[3]побудинковий звіт'!DJ72</f>
        <v>4753.6090969459365</v>
      </c>
      <c r="DI72" s="422">
        <f>'[3]побудинковий звіт'!CU72+'[3]побудинковий звіт'!CX72</f>
        <v>417.23747387221124</v>
      </c>
      <c r="DJ72" s="306">
        <f>'[3]побудинковий звіт'!DM72</f>
        <v>1.54589653157544</v>
      </c>
      <c r="DK72" s="306">
        <f t="shared" si="91"/>
        <v>1.54589653157544</v>
      </c>
      <c r="DL72" s="306">
        <f>'[3]побудинковий звіт'!DO72</f>
        <v>1.54589653157544</v>
      </c>
      <c r="DM72" s="28">
        <f t="shared" si="92"/>
        <v>417.23747387221124</v>
      </c>
      <c r="DN72" s="28">
        <f t="shared" si="93"/>
        <v>0</v>
      </c>
      <c r="DO72" s="423">
        <f t="shared" ref="DO72:DO135" si="105">DM72+DN72</f>
        <v>417.23747387221124</v>
      </c>
      <c r="DP72" s="94">
        <f t="shared" ref="DP72:DP135" si="106">DI72-DO72</f>
        <v>0</v>
      </c>
      <c r="DQ72" s="28">
        <f t="shared" ref="DQ72:DQ135" si="107">DM72+DN72</f>
        <v>417.23747387221124</v>
      </c>
      <c r="DR72" s="318"/>
      <c r="DT72" s="8"/>
      <c r="DU72" s="5"/>
      <c r="DX72" s="5">
        <f t="shared" ref="DX72:DX135" si="108">(AS72+BQ72)*1.2</f>
        <v>3538.5972506323005</v>
      </c>
      <c r="DY72" s="5">
        <f t="shared" ref="DY72:DY135" si="109">(AT72+BR72)*1.2</f>
        <v>0</v>
      </c>
      <c r="DZ72" s="159">
        <f>'[3]побудинковий звіт'!EA72</f>
        <v>378.65042083242099</v>
      </c>
    </row>
    <row r="73" spans="1:130" x14ac:dyDescent="0.3">
      <c r="A73" s="325">
        <v>150000523</v>
      </c>
      <c r="B73" s="41" t="s">
        <v>522</v>
      </c>
      <c r="C73" s="42" t="s">
        <v>58</v>
      </c>
      <c r="D73" s="42"/>
      <c r="E73" s="293">
        <f t="shared" si="85"/>
        <v>300.7</v>
      </c>
      <c r="F73" s="305">
        <f>'[3]побудинковий звіт'!F73</f>
        <v>300.7</v>
      </c>
      <c r="G73" s="508">
        <f>'[3]побудинковий звіт'!G73</f>
        <v>0</v>
      </c>
      <c r="H73" s="560">
        <f>'[3]побудинковий звіт'!H73</f>
        <v>0</v>
      </c>
      <c r="I73" s="566">
        <f>VLOOKUP($A73,'01-02.2021'!$A$6:$CZ$403,9,FALSE)+VLOOKUP($A73,'1.3.21-28.2.22'!$A$6:$DA$404,9,FALSE)-VLOOKUP($A73,'01-02.2022'!$A$6:$DA$376,9,FALSE)</f>
        <v>0</v>
      </c>
      <c r="J73" s="566">
        <f>VLOOKUP($A73,'01-02.2021'!$A$6:$CZ$403,10,FALSE)+VLOOKUP($A73,'1.3.21-28.2.22'!$A$6:$DA$404,10,FALSE)-VLOOKUP($A73,'01-02.2022'!$A$6:$DA$376,10,FALSE)</f>
        <v>0</v>
      </c>
      <c r="K73" s="52">
        <f t="shared" si="94"/>
        <v>0</v>
      </c>
      <c r="L73" s="566">
        <f>VLOOKUP($A73,'01-02.2021'!$A$6:$CZ$403,12,FALSE)+VLOOKUP($A73,'1.3.21-28.2.22'!$A$6:$DA$404,12,FALSE)-VLOOKUP($A73,'01-02.2022'!$A$6:$DA$376,12,FALSE)</f>
        <v>0</v>
      </c>
      <c r="M73" s="566">
        <f>VLOOKUP($A73,'01-02.2021'!$A$6:$CZ$403,13,FALSE)+VLOOKUP($A73,'1.3.21-28.2.22'!$A$6:$DA$404,13,FALSE)-VLOOKUP($A73,'01-02.2022'!$A$6:$DA$376,13,FALSE)</f>
        <v>0</v>
      </c>
      <c r="N73" s="52">
        <f t="shared" si="95"/>
        <v>0</v>
      </c>
      <c r="O73" s="566">
        <f>VLOOKUP($A73,'01-02.2021'!$A$6:$CZ$403,15,FALSE)+VLOOKUP($A73,'1.3.21-28.2.22'!$A$6:$DA$404,15,FALSE)-VLOOKUP($A73,'01-02.2022'!$A$6:$DA$376,15,FALSE)</f>
        <v>0</v>
      </c>
      <c r="P73" s="566">
        <f>VLOOKUP($A73,'01-02.2021'!$A$6:$CZ$403,16,FALSE)+VLOOKUP($A73,'1.3.21-28.2.22'!$A$6:$DA$404,16,FALSE)-VLOOKUP($A73,'01-02.2022'!$A$6:$DA$376,16,FALSE)</f>
        <v>0</v>
      </c>
      <c r="Q73" s="70">
        <f t="shared" si="36"/>
        <v>0</v>
      </c>
      <c r="R73" s="566">
        <f>VLOOKUP($A73,'01-02.2021'!$A$6:$CZ$403,18,FALSE)+VLOOKUP($A73,'1.3.21-28.2.22'!$A$6:$DA$404,18,FALSE)-VLOOKUP($A73,'01-02.2022'!$A$6:$DA$376,18,FALSE)</f>
        <v>0</v>
      </c>
      <c r="S73" s="566">
        <f>VLOOKUP($A73,'01-02.2021'!$A$6:$CZ$403,19,FALSE)+VLOOKUP($A73,'1.3.21-28.2.22'!$A$6:$DA$404,19,FALSE)-VLOOKUP($A73,'01-02.2022'!$A$6:$DA$376,19,FALSE)</f>
        <v>0</v>
      </c>
      <c r="T73" s="70">
        <f t="shared" si="37"/>
        <v>0</v>
      </c>
      <c r="U73" s="566">
        <f>VLOOKUP($A73,'01-02.2021'!$A$6:$CZ$403,21,FALSE)+VLOOKUP($A73,'1.3.21-28.2.22'!$A$6:$DA$404,21,FALSE)-VLOOKUP($A73,'01-02.2022'!$A$6:$DA$376,21,FALSE)</f>
        <v>0</v>
      </c>
      <c r="V73" s="566">
        <f>VLOOKUP($A73,'01-02.2021'!$A$6:$CZ$403,22,FALSE)+VLOOKUP($A73,'1.3.21-28.2.22'!$A$6:$DA$404,22,FALSE)-VLOOKUP($A73,'01-02.2022'!$A$6:$DA$376,22,FALSE)</f>
        <v>0</v>
      </c>
      <c r="W73" s="70">
        <f t="shared" si="38"/>
        <v>0</v>
      </c>
      <c r="X73" s="566">
        <f>VLOOKUP($A73,'01-02.2021'!$A$6:$CZ$403,24,FALSE)+VLOOKUP($A73,'1.3.21-28.2.22'!$A$6:$DA$404,24,FALSE)-VLOOKUP($A73,'01-02.2022'!$A$6:$DA$376,24,FALSE)</f>
        <v>0</v>
      </c>
      <c r="Y73" s="566">
        <f>VLOOKUP($A73,'01-02.2021'!$A$6:$CZ$403,25,FALSE)+VLOOKUP($A73,'1.3.21-28.2.22'!$A$6:$DA$404,25,FALSE)-VLOOKUP($A73,'01-02.2022'!$A$6:$DA$376,25,FALSE)</f>
        <v>0</v>
      </c>
      <c r="Z73" s="70">
        <f t="shared" si="39"/>
        <v>0</v>
      </c>
      <c r="AA73" s="566">
        <f>VLOOKUP($A73,'01-02.2021'!$A$6:$CZ$403,27,FALSE)+VLOOKUP($A73,'1.3.21-28.2.22'!$A$6:$DA$404,27,FALSE)-VLOOKUP($A73,'01-02.2022'!$A$6:$DA$376,27,FALSE)</f>
        <v>59.920000000000009</v>
      </c>
      <c r="AB73" s="566">
        <f>VLOOKUP($A73,'01-02.2021'!$A$6:$CZ$403,28,FALSE)+VLOOKUP($A73,'1.3.21-28.2.22'!$A$6:$DA$404,28,FALSE)-VLOOKUP($A73,'01-02.2022'!$A$6:$DA$376,28,FALSE)</f>
        <v>0</v>
      </c>
      <c r="AC73" s="70">
        <f t="shared" si="40"/>
        <v>-59.920000000000009</v>
      </c>
      <c r="AD73" s="566">
        <f>VLOOKUP($A73,'01-02.2021'!$A$6:$CZ$403,30,FALSE)+VLOOKUP($A73,'1.3.21-28.2.22'!$A$6:$DA$404,30,FALSE)-VLOOKUP($A73,'01-02.2022'!$A$6:$DA$376,30,FALSE)</f>
        <v>479.65837492327012</v>
      </c>
      <c r="AE73" s="566">
        <f>VLOOKUP($A73,'01-02.2021'!$A$6:$CZ$403,31,FALSE)+VLOOKUP($A73,'1.3.21-28.2.22'!$A$6:$DA$404,31,FALSE)-VLOOKUP($A73,'01-02.2022'!$A$6:$DA$376,31,FALSE)</f>
        <v>1366.2234586080965</v>
      </c>
      <c r="AF73" s="68">
        <f t="shared" si="41"/>
        <v>886.56508368482639</v>
      </c>
      <c r="AG73" s="77">
        <f t="shared" si="86"/>
        <v>539.57837492327008</v>
      </c>
      <c r="AH73" s="53">
        <f t="shared" si="86"/>
        <v>1366.2234586080965</v>
      </c>
      <c r="AI73" s="52">
        <f t="shared" si="96"/>
        <v>826.64508368482643</v>
      </c>
      <c r="AJ73" s="566">
        <f>VLOOKUP($A73,'01-02.2021'!$A$6:$CZ$403,36,FALSE)+VLOOKUP($A73,'1.3.21-28.2.22'!$A$6:$DA$404,36,FALSE)-VLOOKUP($A73,'01-02.2022'!$A$6:$DA$376,36,FALSE)</f>
        <v>0</v>
      </c>
      <c r="AK73" s="566">
        <f>VLOOKUP($A73,'01-02.2021'!$A$6:$CZ$403,37,FALSE)+VLOOKUP($A73,'1.3.21-28.2.22'!$A$6:$DA$404,37,FALSE)-VLOOKUP($A73,'01-02.2022'!$A$6:$DA$376,37,FALSE)</f>
        <v>0</v>
      </c>
      <c r="AL73" s="70">
        <f t="shared" si="43"/>
        <v>0</v>
      </c>
      <c r="AM73" s="566">
        <f>VLOOKUP($A73,'01-02.2021'!$A$6:$CZ$403,39,FALSE)+VLOOKUP($A73,'1.3.21-28.2.22'!$A$6:$DA$404,39,FALSE)-VLOOKUP($A73,'01-02.2022'!$A$6:$DA$376,39,FALSE)</f>
        <v>0</v>
      </c>
      <c r="AN73" s="566">
        <f>VLOOKUP($A73,'01-02.2021'!$A$6:$CZ$403,40,FALSE)+VLOOKUP($A73,'1.3.21-28.2.22'!$A$6:$DA$404,40,FALSE)-VLOOKUP($A73,'01-02.2022'!$A$6:$DA$376,40,FALSE)</f>
        <v>0</v>
      </c>
      <c r="AO73" s="70">
        <f t="shared" si="44"/>
        <v>0</v>
      </c>
      <c r="AP73" s="566">
        <f>VLOOKUP($A73,'01-02.2021'!$A$6:$CZ$403,42,FALSE)+VLOOKUP($A73,'1.3.21-28.2.22'!$A$6:$DA$404,42,FALSE)-VLOOKUP($A73,'01-02.2022'!$A$6:$DA$376,42,FALSE)</f>
        <v>347.03995000851819</v>
      </c>
      <c r="AQ73" s="566">
        <f>VLOOKUP($A73,'01-02.2021'!$A$6:$CZ$403,43,FALSE)+VLOOKUP($A73,'1.3.21-28.2.22'!$A$6:$DA$404,43,FALSE)-VLOOKUP($A73,'01-02.2022'!$A$6:$DA$376,43,FALSE)</f>
        <v>299.52892876216697</v>
      </c>
      <c r="AR73" s="70">
        <f t="shared" si="45"/>
        <v>-47.51102124635122</v>
      </c>
      <c r="AS73" s="566">
        <f>VLOOKUP($A73,'01-02.2021'!$A$6:$CZ$403,45,FALSE)+VLOOKUP($A73,'1.3.21-28.2.22'!$A$6:$DA$404,45,FALSE)-VLOOKUP($A73,'01-02.2022'!$A$6:$DA$376,45,FALSE)</f>
        <v>3109.6678600275709</v>
      </c>
      <c r="AT73" s="566">
        <f>VLOOKUP($A73,'01-02.2021'!$A$6:$CZ$403,46,FALSE)+VLOOKUP($A73,'1.3.21-28.2.22'!$A$6:$DA$404,46,FALSE)-VLOOKUP($A73,'01-02.2022'!$A$6:$DA$376,46,FALSE)</f>
        <v>4349</v>
      </c>
      <c r="AU73" s="78">
        <f t="shared" si="46"/>
        <v>1239.3321399724291</v>
      </c>
      <c r="AV73" s="566">
        <f>VLOOKUP($A73,'01-02.2021'!$A$6:$CZ$403,48,FALSE)+VLOOKUP($A73,'1.3.21-28.2.22'!$A$6:$DA$404,48,FALSE)-VLOOKUP($A73,'01-02.2022'!$A$6:$DA$376,48,FALSE)</f>
        <v>0</v>
      </c>
      <c r="AW73" s="566">
        <f>VLOOKUP($A73,'01-02.2021'!$A$6:$CZ$403,49,FALSE)+VLOOKUP($A73,'1.3.21-28.2.22'!$A$6:$DA$404,49,FALSE)-VLOOKUP($A73,'01-02.2022'!$A$6:$DA$376,49,FALSE)</f>
        <v>0</v>
      </c>
      <c r="AX73" s="55">
        <f t="shared" si="47"/>
        <v>0</v>
      </c>
      <c r="AY73" s="566">
        <f>VLOOKUP($A73,'01-02.2021'!$A$6:$CZ$403,51,FALSE)+VLOOKUP($A73,'1.3.21-28.2.22'!$A$6:$DA$404,51,FALSE)-VLOOKUP($A73,'01-02.2022'!$A$6:$DA$376,51,FALSE)</f>
        <v>0</v>
      </c>
      <c r="AZ73" s="566">
        <f>VLOOKUP($A73,'01-02.2021'!$A$6:$CZ$403,52,FALSE)+VLOOKUP($A73,'1.3.21-28.2.22'!$A$6:$DA$404,52,FALSE)-VLOOKUP($A73,'01-02.2022'!$A$6:$DA$376,52,FALSE)</f>
        <v>0</v>
      </c>
      <c r="BA73" s="38">
        <f t="shared" si="48"/>
        <v>0</v>
      </c>
      <c r="BB73" s="566">
        <f>VLOOKUP($A73,'01-02.2021'!$A$6:$CZ$403,54,FALSE)+VLOOKUP($A73,'1.3.21-28.2.22'!$A$6:$DA$404,54,FALSE)-VLOOKUP($A73,'01-02.2022'!$A$6:$DA$376,54,FALSE)</f>
        <v>0</v>
      </c>
      <c r="BC73" s="566">
        <f>VLOOKUP($A73,'01-02.2021'!$A$6:$CZ$403,55,FALSE)+VLOOKUP($A73,'1.3.21-28.2.22'!$A$6:$DA$404,55,FALSE)-VLOOKUP($A73,'01-02.2022'!$A$6:$DA$376,55,FALSE)</f>
        <v>0</v>
      </c>
      <c r="BD73" s="55">
        <f t="shared" si="49"/>
        <v>0</v>
      </c>
      <c r="BE73" s="566">
        <f>VLOOKUP($A73,'01-02.2021'!$A$6:$CZ$403,57,FALSE)+VLOOKUP($A73,'1.3.21-28.2.22'!$A$6:$DA$404,57,FALSE)-VLOOKUP($A73,'01-02.2022'!$A$6:$DA$376,57,FALSE)</f>
        <v>0</v>
      </c>
      <c r="BF73" s="566">
        <f>VLOOKUP($A73,'01-02.2021'!$A$6:$CZ$403,58,FALSE)+VLOOKUP($A73,'1.3.21-28.2.22'!$A$6:$DA$404,58,FALSE)-VLOOKUP($A73,'01-02.2022'!$A$6:$DA$376,58,FALSE)</f>
        <v>0</v>
      </c>
      <c r="BG73" s="55">
        <f t="shared" si="50"/>
        <v>0</v>
      </c>
      <c r="BH73" s="566">
        <f>VLOOKUP($A73,'01-02.2021'!$A$6:$CZ$403,60,FALSE)+VLOOKUP($A73,'1.3.21-28.2.22'!$A$6:$DA$404,60,FALSE)-VLOOKUP($A73,'01-02.2022'!$A$6:$DA$376,60,FALSE)</f>
        <v>0</v>
      </c>
      <c r="BI73" s="566">
        <f>VLOOKUP($A73,'01-02.2021'!$A$6:$CZ$403,61,FALSE)+VLOOKUP($A73,'1.3.21-28.2.22'!$A$6:$DA$404,61,FALSE)-VLOOKUP($A73,'01-02.2022'!$A$6:$DA$376,61,FALSE)</f>
        <v>0</v>
      </c>
      <c r="BJ73" s="55">
        <f t="shared" si="51"/>
        <v>0</v>
      </c>
      <c r="BK73" s="566">
        <f>VLOOKUP($A73,'01-02.2021'!$A$6:$CZ$403,63,FALSE)+VLOOKUP($A73,'1.3.21-28.2.22'!$A$6:$DA$404,63,FALSE)-VLOOKUP($A73,'01-02.2022'!$A$6:$DA$376,63,FALSE)</f>
        <v>0</v>
      </c>
      <c r="BL73" s="566">
        <f>VLOOKUP($A73,'01-02.2021'!$A$6:$CZ$403,64,FALSE)+VLOOKUP($A73,'1.3.21-28.2.22'!$A$6:$DA$404,64,FALSE)-VLOOKUP($A73,'01-02.2022'!$A$6:$DA$376,64,FALSE)</f>
        <v>0</v>
      </c>
      <c r="BM73" s="55">
        <f t="shared" si="52"/>
        <v>0</v>
      </c>
      <c r="BN73" s="566">
        <f>VLOOKUP($A73,'01-02.2021'!$A$6:$CZ$403,66,FALSE)+VLOOKUP($A73,'1.3.21-28.2.22'!$A$6:$DA$404,66,FALSE)-VLOOKUP($A73,'01-02.2022'!$A$6:$DA$376,66,FALSE)</f>
        <v>21.590244271905831</v>
      </c>
      <c r="BO73" s="566">
        <f>VLOOKUP($A73,'01-02.2021'!$A$6:$CZ$403,67,FALSE)+VLOOKUP($A73,'1.3.21-28.2.22'!$A$6:$DA$404,67,FALSE)-VLOOKUP($A73,'01-02.2022'!$A$6:$DA$376,67,FALSE)</f>
        <v>0</v>
      </c>
      <c r="BP73" s="55">
        <f t="shared" si="53"/>
        <v>-21.590244271905831</v>
      </c>
      <c r="BQ73" s="77">
        <f t="shared" si="87"/>
        <v>21.590244271905831</v>
      </c>
      <c r="BR73" s="40">
        <f t="shared" si="88"/>
        <v>0</v>
      </c>
      <c r="BS73" s="55">
        <f t="shared" ref="BS73:BS130" si="110">BR73-BQ73</f>
        <v>-21.590244271905831</v>
      </c>
      <c r="BT73" s="566">
        <f>VLOOKUP($A73,'01-02.2021'!$A$6:$CZ$403,72,FALSE)+VLOOKUP($A73,'1.3.21-28.2.22'!$A$6:$DA$404,72,FALSE)-VLOOKUP($A73,'01-02.2022'!$A$6:$DA$376,72,FALSE)</f>
        <v>0</v>
      </c>
      <c r="BU73" s="566">
        <f>VLOOKUP($A73,'01-02.2021'!$A$6:$CZ$403,73,FALSE)+VLOOKUP($A73,'1.3.21-28.2.22'!$A$6:$DA$404,73,FALSE)-VLOOKUP($A73,'01-02.2022'!$A$6:$DA$376,73,FALSE)</f>
        <v>0</v>
      </c>
      <c r="BV73" s="70">
        <f t="shared" si="54"/>
        <v>0</v>
      </c>
      <c r="BW73" s="566">
        <f>VLOOKUP($A73,'01-02.2021'!$A$6:$CZ$403,75,FALSE)+VLOOKUP($A73,'1.3.21-28.2.22'!$A$6:$DA$404,75,FALSE)-VLOOKUP($A73,'01-02.2022'!$A$6:$DA$376,75,FALSE)</f>
        <v>0</v>
      </c>
      <c r="BX73" s="566">
        <f>VLOOKUP($A73,'01-02.2021'!$A$6:$CZ$403,76,FALSE)+VLOOKUP($A73,'1.3.21-28.2.22'!$A$6:$DA$404,76,FALSE)-VLOOKUP($A73,'01-02.2022'!$A$6:$DA$376,76,FALSE)</f>
        <v>6.7289254011325035</v>
      </c>
      <c r="BY73" s="70">
        <f t="shared" si="55"/>
        <v>6.7289254011325035</v>
      </c>
      <c r="BZ73" s="566">
        <f>VLOOKUP($A73,'01-02.2021'!$A$6:$CZ$403,78,FALSE)+VLOOKUP($A73,'1.3.21-28.2.22'!$A$6:$DA$404,78,FALSE)-VLOOKUP($A73,'01-02.2022'!$A$6:$DA$376,78,FALSE)</f>
        <v>0</v>
      </c>
      <c r="CA73" s="566">
        <f>VLOOKUP($A73,'01-02.2021'!$A$6:$CZ$403,79,FALSE)+VLOOKUP($A73,'1.3.21-28.2.22'!$A$6:$DA$404,79,FALSE)-VLOOKUP($A73,'01-02.2022'!$A$6:$DA$376,79,FALSE)</f>
        <v>0</v>
      </c>
      <c r="CB73" s="70">
        <f t="shared" si="56"/>
        <v>0</v>
      </c>
      <c r="CC73" s="566">
        <f>VLOOKUP($A73,'01-02.2021'!$A$6:$CZ$403,81,FALSE)+VLOOKUP($A73,'1.3.21-28.2.22'!$A$6:$DA$404,81,FALSE)-VLOOKUP($A73,'01-02.2022'!$A$6:$DA$376,81,FALSE)</f>
        <v>0</v>
      </c>
      <c r="CD73" s="566">
        <f>VLOOKUP($A73,'01-02.2021'!$A$6:$CZ$403,82,FALSE)+VLOOKUP($A73,'1.3.21-28.2.22'!$A$6:$DA$404,82,FALSE)-VLOOKUP($A73,'01-02.2022'!$A$6:$DA$376,82,FALSE)</f>
        <v>0</v>
      </c>
      <c r="CE73" s="70">
        <f t="shared" si="57"/>
        <v>0</v>
      </c>
      <c r="CF73" s="566">
        <f>VLOOKUP($A73,'01-02.2021'!$A$6:$CZ$403,84,FALSE)+VLOOKUP($A73,'1.3.21-28.2.22'!$A$6:$DA$404,84,FALSE)-VLOOKUP($A73,'01-02.2022'!$A$6:$DA$376,84,FALSE)</f>
        <v>0</v>
      </c>
      <c r="CG73" s="566">
        <f>VLOOKUP($A73,'01-02.2021'!$A$6:$CZ$403,85,FALSE)+VLOOKUP($A73,'1.3.21-28.2.22'!$A$6:$DA$404,85,FALSE)-VLOOKUP($A73,'01-02.2022'!$A$6:$DA$376,85,FALSE)</f>
        <v>0</v>
      </c>
      <c r="CH73" s="70">
        <f t="shared" si="58"/>
        <v>0</v>
      </c>
      <c r="CI73" s="566">
        <f>VLOOKUP($A73,'01-02.2021'!$A$6:$CZ$403,87,FALSE)+VLOOKUP($A73,'1.3.21-28.2.22'!$A$6:$DA$404,87,FALSE)-VLOOKUP($A73,'01-02.2022'!$A$6:$DA$376,87,FALSE)</f>
        <v>0</v>
      </c>
      <c r="CJ73" s="566">
        <f>VLOOKUP($A73,'01-02.2021'!$A$6:$CZ$403,88,FALSE)+VLOOKUP($A73,'1.3.21-28.2.22'!$A$6:$DA$404,88,FALSE)-VLOOKUP($A73,'01-02.2022'!$A$6:$DA$376,88,FALSE)</f>
        <v>0</v>
      </c>
      <c r="CK73" s="70">
        <f t="shared" si="59"/>
        <v>0</v>
      </c>
      <c r="CL73" s="566">
        <f>VLOOKUP($A73,'01-02.2021'!$A$6:$CZ$403,90,FALSE)+VLOOKUP($A73,'1.3.21-28.2.22'!$A$6:$DA$404,90,FALSE)-VLOOKUP($A73,'01-02.2022'!$A$6:$DA$376,90,FALSE)</f>
        <v>0</v>
      </c>
      <c r="CM73" s="566">
        <f>VLOOKUP($A73,'01-02.2021'!$A$6:$CZ$403,91,FALSE)+VLOOKUP($A73,'1.3.21-28.2.22'!$A$6:$DA$404,91,FALSE)-VLOOKUP($A73,'01-02.2022'!$A$6:$DA$376,91,FALSE)</f>
        <v>0</v>
      </c>
      <c r="CN73" s="52">
        <f t="shared" si="97"/>
        <v>0</v>
      </c>
      <c r="CO73" s="39">
        <f t="shared" si="89"/>
        <v>0</v>
      </c>
      <c r="CP73" s="40">
        <f t="shared" si="98"/>
        <v>0</v>
      </c>
      <c r="CQ73" s="52">
        <f t="shared" si="99"/>
        <v>0</v>
      </c>
      <c r="CR73" s="72">
        <f t="shared" si="90"/>
        <v>4017.8764292312649</v>
      </c>
      <c r="CS73" s="5">
        <f t="shared" si="90"/>
        <v>6021.4813127713951</v>
      </c>
      <c r="CT73" s="52">
        <f t="shared" si="100"/>
        <v>2003.6048835401302</v>
      </c>
      <c r="CU73" s="77">
        <f t="shared" si="101"/>
        <v>4821.4517150775173</v>
      </c>
      <c r="CV73" s="65">
        <f t="shared" si="102"/>
        <v>7225.7775753256738</v>
      </c>
      <c r="CW73" s="35">
        <f t="shared" si="103"/>
        <v>2404.3258602481565</v>
      </c>
      <c r="CX73" s="566">
        <f>VLOOKUP($A73,'01-02.2021'!$A$6:$CZ$403,102,FALSE)+VLOOKUP($A73,'1.3.21-28.2.22'!$A$6:$DA$404,102,FALSE)-VLOOKUP($A73,'01-02.2022'!$A$6:$DA$376,102,FALSE)</f>
        <v>168.0345929614839</v>
      </c>
      <c r="CY73" s="566">
        <f>VLOOKUP($A73,'01-02.2021'!$A$6:$CZ$403,103,FALSE)+VLOOKUP($A73,'1.3.21-28.2.22'!$A$6:$DA$404,103,FALSE)-VLOOKUP($A73,'01-02.2022'!$A$6:$DA$376,103,FALSE)</f>
        <v>-2236.2912672866732</v>
      </c>
      <c r="CZ73" s="52">
        <f t="shared" si="104"/>
        <v>-2404.3258602481574</v>
      </c>
      <c r="DA73" s="150">
        <f>'[2]побудинковий звіт'!DA73</f>
        <v>25845.689681430147</v>
      </c>
      <c r="DB73" s="2">
        <v>1</v>
      </c>
      <c r="DC73" s="414">
        <f>'[4]побудинковий звіт'!DC73</f>
        <v>3401.36</v>
      </c>
      <c r="DD73" s="414">
        <f>'[4]побудинковий звіт'!DD73</f>
        <v>0</v>
      </c>
      <c r="DE73" s="557">
        <f>'[4]побудинковий звіт'!DE73</f>
        <v>2947.5276057888918</v>
      </c>
      <c r="DF73" s="557">
        <f>'[4]побудинковий звіт'!DF73</f>
        <v>0</v>
      </c>
      <c r="DG73" s="321">
        <f>VLOOKUP(A73,'кошти 01.03.2021'!$A$6:$D$401,4,)</f>
        <v>25225.444546119863</v>
      </c>
      <c r="DH73" s="40">
        <f>'[3]побудинковий звіт'!DJ73</f>
        <v>5169.4578127849518</v>
      </c>
      <c r="DI73" s="422">
        <f>'[3]побудинковий звіт'!CU73+'[3]побудинковий звіт'!CX73</f>
        <v>453.83239421110841</v>
      </c>
      <c r="DJ73" s="306">
        <f>'[3]побудинковий звіт'!DM73</f>
        <v>1.5092530569042515</v>
      </c>
      <c r="DK73" s="306">
        <f t="shared" si="91"/>
        <v>1.5092530569042515</v>
      </c>
      <c r="DL73" s="306">
        <f>'[3]побудинковий звіт'!DO73</f>
        <v>1.5092530569042515</v>
      </c>
      <c r="DM73" s="28">
        <f t="shared" si="92"/>
        <v>453.83239421110841</v>
      </c>
      <c r="DN73" s="28">
        <f t="shared" si="93"/>
        <v>0</v>
      </c>
      <c r="DO73" s="423">
        <f t="shared" si="105"/>
        <v>453.83239421110841</v>
      </c>
      <c r="DP73" s="94">
        <f t="shared" si="106"/>
        <v>0</v>
      </c>
      <c r="DQ73" s="28">
        <f t="shared" si="107"/>
        <v>453.83239421110841</v>
      </c>
      <c r="DR73" s="318"/>
      <c r="DT73" s="8"/>
      <c r="DU73" s="5"/>
      <c r="DX73" s="5">
        <f t="shared" si="108"/>
        <v>3757.5097251593716</v>
      </c>
      <c r="DY73" s="5">
        <f t="shared" si="109"/>
        <v>5218.8</v>
      </c>
      <c r="DZ73" s="159">
        <f>'[3]побудинковий звіт'!EA73</f>
        <v>404.88260570972562</v>
      </c>
    </row>
    <row r="74" spans="1:130" x14ac:dyDescent="0.3">
      <c r="A74" s="325">
        <v>150000524</v>
      </c>
      <c r="B74" s="41" t="s">
        <v>523</v>
      </c>
      <c r="C74" s="42" t="s">
        <v>59</v>
      </c>
      <c r="D74" s="42"/>
      <c r="E74" s="293">
        <f t="shared" si="85"/>
        <v>214.7</v>
      </c>
      <c r="F74" s="305">
        <f>'[3]побудинковий звіт'!F74</f>
        <v>214.7</v>
      </c>
      <c r="G74" s="508">
        <f>'[3]побудинковий звіт'!G74</f>
        <v>0</v>
      </c>
      <c r="H74" s="560">
        <f>'[3]побудинковий звіт'!H74</f>
        <v>0</v>
      </c>
      <c r="I74" s="566"/>
      <c r="J74" s="566"/>
      <c r="K74" s="52">
        <f t="shared" si="94"/>
        <v>0</v>
      </c>
      <c r="L74" s="566"/>
      <c r="M74" s="566"/>
      <c r="N74" s="52">
        <f t="shared" si="95"/>
        <v>0</v>
      </c>
      <c r="O74" s="566"/>
      <c r="P74" s="566"/>
      <c r="Q74" s="70"/>
      <c r="R74" s="566"/>
      <c r="S74" s="566"/>
      <c r="T74" s="70"/>
      <c r="U74" s="566"/>
      <c r="V74" s="566"/>
      <c r="W74" s="70"/>
      <c r="X74" s="566"/>
      <c r="Y74" s="566"/>
      <c r="Z74" s="70"/>
      <c r="AA74" s="566"/>
      <c r="AB74" s="566"/>
      <c r="AC74" s="70"/>
      <c r="AD74" s="566"/>
      <c r="AE74" s="566"/>
      <c r="AF74" s="68"/>
      <c r="AG74" s="77">
        <f t="shared" si="86"/>
        <v>0</v>
      </c>
      <c r="AH74" s="53">
        <f t="shared" si="86"/>
        <v>0</v>
      </c>
      <c r="AI74" s="52">
        <f t="shared" si="96"/>
        <v>0</v>
      </c>
      <c r="AJ74" s="566"/>
      <c r="AK74" s="566"/>
      <c r="AL74" s="70"/>
      <c r="AM74" s="566"/>
      <c r="AN74" s="566"/>
      <c r="AO74" s="70"/>
      <c r="AP74" s="566"/>
      <c r="AQ74" s="566"/>
      <c r="AR74" s="70"/>
      <c r="AS74" s="566"/>
      <c r="AT74" s="566"/>
      <c r="AU74" s="78"/>
      <c r="AV74" s="566"/>
      <c r="AW74" s="566"/>
      <c r="AX74" s="55"/>
      <c r="AY74" s="566"/>
      <c r="AZ74" s="566"/>
      <c r="BA74" s="38"/>
      <c r="BB74" s="566"/>
      <c r="BC74" s="566"/>
      <c r="BD74" s="55"/>
      <c r="BE74" s="566"/>
      <c r="BF74" s="566"/>
      <c r="BG74" s="55"/>
      <c r="BH74" s="566"/>
      <c r="BI74" s="566"/>
      <c r="BJ74" s="55"/>
      <c r="BK74" s="566"/>
      <c r="BL74" s="566"/>
      <c r="BM74" s="55"/>
      <c r="BN74" s="566"/>
      <c r="BO74" s="566"/>
      <c r="BP74" s="55"/>
      <c r="BQ74" s="77">
        <f t="shared" si="87"/>
        <v>0</v>
      </c>
      <c r="BR74" s="40">
        <f t="shared" si="88"/>
        <v>0</v>
      </c>
      <c r="BS74" s="55">
        <f t="shared" si="110"/>
        <v>0</v>
      </c>
      <c r="BT74" s="566"/>
      <c r="BU74" s="566"/>
      <c r="BV74" s="70"/>
      <c r="BW74" s="566"/>
      <c r="BX74" s="566"/>
      <c r="BY74" s="70"/>
      <c r="BZ74" s="566"/>
      <c r="CA74" s="566"/>
      <c r="CB74" s="70"/>
      <c r="CC74" s="566"/>
      <c r="CD74" s="566"/>
      <c r="CE74" s="70"/>
      <c r="CF74" s="566"/>
      <c r="CG74" s="566"/>
      <c r="CH74" s="70"/>
      <c r="CI74" s="566"/>
      <c r="CJ74" s="566"/>
      <c r="CK74" s="70"/>
      <c r="CL74" s="566"/>
      <c r="CM74" s="566"/>
      <c r="CN74" s="52">
        <f t="shared" si="97"/>
        <v>0</v>
      </c>
      <c r="CO74" s="39">
        <f t="shared" si="89"/>
        <v>0</v>
      </c>
      <c r="CP74" s="40">
        <f t="shared" si="98"/>
        <v>0</v>
      </c>
      <c r="CQ74" s="52">
        <f t="shared" si="99"/>
        <v>0</v>
      </c>
      <c r="CR74" s="72">
        <f t="shared" si="90"/>
        <v>0</v>
      </c>
      <c r="CS74" s="5">
        <f t="shared" si="90"/>
        <v>0</v>
      </c>
      <c r="CT74" s="52">
        <f t="shared" si="100"/>
        <v>0</v>
      </c>
      <c r="CU74" s="77">
        <f t="shared" si="101"/>
        <v>0</v>
      </c>
      <c r="CV74" s="65">
        <f t="shared" si="102"/>
        <v>0</v>
      </c>
      <c r="CW74" s="35">
        <f t="shared" si="103"/>
        <v>0</v>
      </c>
      <c r="CX74" s="566"/>
      <c r="CY74" s="566"/>
      <c r="CZ74" s="52">
        <f t="shared" si="104"/>
        <v>0</v>
      </c>
      <c r="DA74" s="150">
        <f>'[2]побудинковий звіт'!DA74</f>
        <v>-282.48087951188211</v>
      </c>
      <c r="DB74" s="2">
        <v>1</v>
      </c>
      <c r="DC74" s="414">
        <f>'[4]побудинковий звіт'!DC74</f>
        <v>3240.8</v>
      </c>
      <c r="DD74" s="414">
        <f>'[4]побудинковий звіт'!DD74</f>
        <v>0</v>
      </c>
      <c r="DE74" s="557">
        <f>'[4]побудинковий звіт'!DE74</f>
        <v>2923.6422770023105</v>
      </c>
      <c r="DF74" s="557">
        <f>'[4]побудинковий звіт'!DF74</f>
        <v>0</v>
      </c>
      <c r="DG74" s="321">
        <f>VLOOKUP(A74,'кошти 01.03.2021'!$A$6:$D$401,4,)</f>
        <v>-480.46849675959538</v>
      </c>
      <c r="DH74" s="40">
        <f>'[3]побудинковий звіт'!DJ74</f>
        <v>3952.5063081929547</v>
      </c>
      <c r="DI74" s="422">
        <f>'[3]побудинковий звіт'!CU74+'[3]побудинковий звіт'!CX74</f>
        <v>317.15772299768952</v>
      </c>
      <c r="DJ74" s="306">
        <f>'[3]побудинковий звіт'!DM74</f>
        <v>1.4772134280283631</v>
      </c>
      <c r="DK74" s="306">
        <f t="shared" si="91"/>
        <v>1.4772134280283631</v>
      </c>
      <c r="DL74" s="306">
        <f>'[3]побудинковий звіт'!DO74</f>
        <v>1.4772134280283631</v>
      </c>
      <c r="DM74" s="28">
        <f t="shared" si="92"/>
        <v>317.15772299768952</v>
      </c>
      <c r="DN74" s="28">
        <f t="shared" si="93"/>
        <v>0</v>
      </c>
      <c r="DO74" s="423">
        <f t="shared" si="105"/>
        <v>317.15772299768952</v>
      </c>
      <c r="DP74" s="94">
        <f t="shared" si="106"/>
        <v>0</v>
      </c>
      <c r="DQ74" s="28">
        <f t="shared" si="107"/>
        <v>317.15772299768952</v>
      </c>
      <c r="DR74" s="318"/>
      <c r="DT74" s="8"/>
      <c r="DU74" s="5"/>
      <c r="DX74" s="5">
        <f t="shared" si="108"/>
        <v>0</v>
      </c>
      <c r="DY74" s="5">
        <f t="shared" si="109"/>
        <v>0</v>
      </c>
      <c r="DZ74" s="159">
        <f>'[3]побудинковий звіт'!EA74</f>
        <v>268.22894173361556</v>
      </c>
    </row>
    <row r="75" spans="1:130" x14ac:dyDescent="0.3">
      <c r="A75" s="325">
        <v>150000541</v>
      </c>
      <c r="B75" s="41" t="s">
        <v>524</v>
      </c>
      <c r="C75" s="42" t="s">
        <v>60</v>
      </c>
      <c r="D75" s="42"/>
      <c r="E75" s="293">
        <f t="shared" si="85"/>
        <v>150.19999999999999</v>
      </c>
      <c r="F75" s="305">
        <f>'[3]побудинковий звіт'!F75</f>
        <v>150.19999999999999</v>
      </c>
      <c r="G75" s="508">
        <f>'[3]побудинковий звіт'!G75</f>
        <v>0</v>
      </c>
      <c r="H75" s="560">
        <f>'[3]побудинковий звіт'!H75</f>
        <v>0</v>
      </c>
      <c r="I75" s="566"/>
      <c r="J75" s="566"/>
      <c r="K75" s="52">
        <f t="shared" si="94"/>
        <v>0</v>
      </c>
      <c r="L75" s="566"/>
      <c r="M75" s="566"/>
      <c r="N75" s="52">
        <f t="shared" si="95"/>
        <v>0</v>
      </c>
      <c r="O75" s="566"/>
      <c r="P75" s="566"/>
      <c r="Q75" s="70"/>
      <c r="R75" s="566"/>
      <c r="S75" s="566"/>
      <c r="T75" s="70"/>
      <c r="U75" s="566"/>
      <c r="V75" s="566"/>
      <c r="W75" s="70"/>
      <c r="X75" s="566"/>
      <c r="Y75" s="566"/>
      <c r="Z75" s="70"/>
      <c r="AA75" s="566"/>
      <c r="AB75" s="566"/>
      <c r="AC75" s="70"/>
      <c r="AD75" s="566"/>
      <c r="AE75" s="566"/>
      <c r="AF75" s="68"/>
      <c r="AG75" s="77">
        <f t="shared" si="86"/>
        <v>0</v>
      </c>
      <c r="AH75" s="53">
        <f t="shared" si="86"/>
        <v>0</v>
      </c>
      <c r="AI75" s="52">
        <f t="shared" si="96"/>
        <v>0</v>
      </c>
      <c r="AJ75" s="566"/>
      <c r="AK75" s="566"/>
      <c r="AL75" s="70"/>
      <c r="AM75" s="566"/>
      <c r="AN75" s="566"/>
      <c r="AO75" s="70"/>
      <c r="AP75" s="566"/>
      <c r="AQ75" s="566"/>
      <c r="AR75" s="70"/>
      <c r="AS75" s="566"/>
      <c r="AT75" s="566"/>
      <c r="AU75" s="78"/>
      <c r="AV75" s="566"/>
      <c r="AW75" s="566"/>
      <c r="AX75" s="55"/>
      <c r="AY75" s="566"/>
      <c r="AZ75" s="566"/>
      <c r="BA75" s="38"/>
      <c r="BB75" s="566"/>
      <c r="BC75" s="566"/>
      <c r="BD75" s="55"/>
      <c r="BE75" s="566"/>
      <c r="BF75" s="566"/>
      <c r="BG75" s="55"/>
      <c r="BH75" s="566"/>
      <c r="BI75" s="566"/>
      <c r="BJ75" s="55"/>
      <c r="BK75" s="566"/>
      <c r="BL75" s="566"/>
      <c r="BM75" s="55"/>
      <c r="BN75" s="566"/>
      <c r="BO75" s="566"/>
      <c r="BP75" s="55"/>
      <c r="BQ75" s="77">
        <f t="shared" si="87"/>
        <v>0</v>
      </c>
      <c r="BR75" s="40">
        <f t="shared" si="88"/>
        <v>0</v>
      </c>
      <c r="BS75" s="55">
        <f t="shared" si="110"/>
        <v>0</v>
      </c>
      <c r="BT75" s="566"/>
      <c r="BU75" s="566"/>
      <c r="BV75" s="70"/>
      <c r="BW75" s="566"/>
      <c r="BX75" s="566"/>
      <c r="BY75" s="70"/>
      <c r="BZ75" s="566"/>
      <c r="CA75" s="566"/>
      <c r="CB75" s="70"/>
      <c r="CC75" s="566"/>
      <c r="CD75" s="566"/>
      <c r="CE75" s="70"/>
      <c r="CF75" s="566"/>
      <c r="CG75" s="566"/>
      <c r="CH75" s="70"/>
      <c r="CI75" s="566"/>
      <c r="CJ75" s="566"/>
      <c r="CK75" s="70"/>
      <c r="CL75" s="566"/>
      <c r="CM75" s="566"/>
      <c r="CN75" s="52">
        <f t="shared" si="97"/>
        <v>0</v>
      </c>
      <c r="CO75" s="39">
        <f t="shared" si="89"/>
        <v>0</v>
      </c>
      <c r="CP75" s="40">
        <f t="shared" si="98"/>
        <v>0</v>
      </c>
      <c r="CQ75" s="52">
        <f t="shared" si="99"/>
        <v>0</v>
      </c>
      <c r="CR75" s="72">
        <f t="shared" si="90"/>
        <v>0</v>
      </c>
      <c r="CS75" s="5">
        <f t="shared" si="90"/>
        <v>0</v>
      </c>
      <c r="CT75" s="52">
        <f t="shared" si="100"/>
        <v>0</v>
      </c>
      <c r="CU75" s="77">
        <f t="shared" si="101"/>
        <v>0</v>
      </c>
      <c r="CV75" s="65">
        <f t="shared" si="102"/>
        <v>0</v>
      </c>
      <c r="CW75" s="35">
        <f t="shared" si="103"/>
        <v>0</v>
      </c>
      <c r="CX75" s="566"/>
      <c r="CY75" s="566"/>
      <c r="CZ75" s="52">
        <f t="shared" si="104"/>
        <v>0</v>
      </c>
      <c r="DA75" s="150">
        <f>'[2]побудинковий звіт'!DA75</f>
        <v>-2651.3371454682419</v>
      </c>
      <c r="DB75" s="2">
        <v>1</v>
      </c>
      <c r="DC75" s="414">
        <f>'[4]побудинковий звіт'!DC75</f>
        <v>573</v>
      </c>
      <c r="DD75" s="414">
        <f>'[4]побудинковий звіт'!DD75</f>
        <v>0</v>
      </c>
      <c r="DE75" s="557">
        <f>'[4]побудинковий звіт'!DE75</f>
        <v>259.79462976300715</v>
      </c>
      <c r="DF75" s="557">
        <f>'[4]побудинковий звіт'!DF75</f>
        <v>0</v>
      </c>
      <c r="DG75" s="321">
        <f>VLOOKUP(A75,'кошти 01.03.2021'!$A$6:$D$401,4,)</f>
        <v>-550.79827270551027</v>
      </c>
      <c r="DH75" s="40">
        <f>'[3]побудинковий звіт'!DJ75</f>
        <v>3569.6120953981695</v>
      </c>
      <c r="DI75" s="422">
        <f>'[3]побудинковий звіт'!CU75+'[3]побудинковий звіт'!CX75</f>
        <v>313.20575303027698</v>
      </c>
      <c r="DJ75" s="306">
        <f>'[3]побудинковий звіт'!DM75</f>
        <v>2.0852554609653322</v>
      </c>
      <c r="DK75" s="306">
        <f t="shared" si="91"/>
        <v>2.0852554609653322</v>
      </c>
      <c r="DL75" s="306">
        <f>'[3]побудинковий звіт'!DO75</f>
        <v>2.0852554609653322</v>
      </c>
      <c r="DM75" s="28">
        <f t="shared" si="92"/>
        <v>313.20537023699285</v>
      </c>
      <c r="DN75" s="28">
        <f t="shared" si="93"/>
        <v>0</v>
      </c>
      <c r="DO75" s="423">
        <f t="shared" si="105"/>
        <v>313.20537023699285</v>
      </c>
      <c r="DP75" s="94">
        <f t="shared" si="106"/>
        <v>3.8279328413182157E-4</v>
      </c>
      <c r="DQ75" s="28">
        <f t="shared" si="107"/>
        <v>313.20537023699285</v>
      </c>
      <c r="DR75" s="318"/>
      <c r="DT75" s="8"/>
      <c r="DU75" s="5"/>
      <c r="DX75" s="5">
        <f t="shared" si="108"/>
        <v>0</v>
      </c>
      <c r="DY75" s="5">
        <f t="shared" si="109"/>
        <v>0</v>
      </c>
      <c r="DZ75" s="159">
        <f>'[3]побудинковий звіт'!EA75</f>
        <v>284.90166116625602</v>
      </c>
    </row>
    <row r="76" spans="1:130" x14ac:dyDescent="0.3">
      <c r="A76" s="325">
        <v>150000527</v>
      </c>
      <c r="B76" s="41" t="s">
        <v>525</v>
      </c>
      <c r="C76" s="42" t="s">
        <v>61</v>
      </c>
      <c r="D76" s="42"/>
      <c r="E76" s="293">
        <f t="shared" si="85"/>
        <v>293.5</v>
      </c>
      <c r="F76" s="305">
        <f>'[3]побудинковий звіт'!F76</f>
        <v>293.5</v>
      </c>
      <c r="G76" s="508">
        <f>'[3]побудинковий звіт'!G76</f>
        <v>0</v>
      </c>
      <c r="H76" s="560">
        <f>'[3]побудинковий звіт'!H76</f>
        <v>0</v>
      </c>
      <c r="I76" s="566">
        <f>VLOOKUP($A76,'01-02.2021'!$A$6:$CZ$403,9,FALSE)+VLOOKUP($A76,'1.3.21-28.2.22'!$A$6:$DA$404,9,FALSE)-VLOOKUP($A76,'01-02.2022'!$A$6:$DA$376,9,FALSE)</f>
        <v>0</v>
      </c>
      <c r="J76" s="566">
        <f>VLOOKUP($A76,'01-02.2021'!$A$6:$CZ$403,10,FALSE)+VLOOKUP($A76,'1.3.21-28.2.22'!$A$6:$DA$404,10,FALSE)-VLOOKUP($A76,'01-02.2022'!$A$6:$DA$376,10,FALSE)</f>
        <v>0</v>
      </c>
      <c r="K76" s="52">
        <f t="shared" si="94"/>
        <v>0</v>
      </c>
      <c r="L76" s="566">
        <f>VLOOKUP($A76,'01-02.2021'!$A$6:$CZ$403,12,FALSE)+VLOOKUP($A76,'1.3.21-28.2.22'!$A$6:$DA$404,12,FALSE)-VLOOKUP($A76,'01-02.2022'!$A$6:$DA$376,12,FALSE)</f>
        <v>0</v>
      </c>
      <c r="M76" s="566">
        <f>VLOOKUP($A76,'01-02.2021'!$A$6:$CZ$403,13,FALSE)+VLOOKUP($A76,'1.3.21-28.2.22'!$A$6:$DA$404,13,FALSE)-VLOOKUP($A76,'01-02.2022'!$A$6:$DA$376,13,FALSE)</f>
        <v>0</v>
      </c>
      <c r="N76" s="52">
        <f t="shared" si="95"/>
        <v>0</v>
      </c>
      <c r="O76" s="566">
        <f>VLOOKUP($A76,'01-02.2021'!$A$6:$CZ$403,15,FALSE)+VLOOKUP($A76,'1.3.21-28.2.22'!$A$6:$DA$404,15,FALSE)-VLOOKUP($A76,'01-02.2022'!$A$6:$DA$376,15,FALSE)</f>
        <v>0</v>
      </c>
      <c r="P76" s="566">
        <f>VLOOKUP($A76,'01-02.2021'!$A$6:$CZ$403,16,FALSE)+VLOOKUP($A76,'1.3.21-28.2.22'!$A$6:$DA$404,16,FALSE)-VLOOKUP($A76,'01-02.2022'!$A$6:$DA$376,16,FALSE)</f>
        <v>0</v>
      </c>
      <c r="Q76" s="70">
        <f t="shared" ref="Q76:Q137" si="111">P76-O76</f>
        <v>0</v>
      </c>
      <c r="R76" s="566">
        <f>VLOOKUP($A76,'01-02.2021'!$A$6:$CZ$403,18,FALSE)+VLOOKUP($A76,'1.3.21-28.2.22'!$A$6:$DA$404,18,FALSE)-VLOOKUP($A76,'01-02.2022'!$A$6:$DA$376,18,FALSE)</f>
        <v>0</v>
      </c>
      <c r="S76" s="566">
        <f>VLOOKUP($A76,'01-02.2021'!$A$6:$CZ$403,19,FALSE)+VLOOKUP($A76,'1.3.21-28.2.22'!$A$6:$DA$404,19,FALSE)-VLOOKUP($A76,'01-02.2022'!$A$6:$DA$376,19,FALSE)</f>
        <v>0</v>
      </c>
      <c r="T76" s="70">
        <f t="shared" ref="T76:T137" si="112">S76-R76</f>
        <v>0</v>
      </c>
      <c r="U76" s="566">
        <f>VLOOKUP($A76,'01-02.2021'!$A$6:$CZ$403,21,FALSE)+VLOOKUP($A76,'1.3.21-28.2.22'!$A$6:$DA$404,21,FALSE)-VLOOKUP($A76,'01-02.2022'!$A$6:$DA$376,21,FALSE)</f>
        <v>0</v>
      </c>
      <c r="V76" s="566">
        <f>VLOOKUP($A76,'01-02.2021'!$A$6:$CZ$403,22,FALSE)+VLOOKUP($A76,'1.3.21-28.2.22'!$A$6:$DA$404,22,FALSE)-VLOOKUP($A76,'01-02.2022'!$A$6:$DA$376,22,FALSE)</f>
        <v>0</v>
      </c>
      <c r="W76" s="70">
        <f t="shared" ref="W76:W137" si="113">V76-U76</f>
        <v>0</v>
      </c>
      <c r="X76" s="566">
        <f>VLOOKUP($A76,'01-02.2021'!$A$6:$CZ$403,24,FALSE)+VLOOKUP($A76,'1.3.21-28.2.22'!$A$6:$DA$404,24,FALSE)-VLOOKUP($A76,'01-02.2022'!$A$6:$DA$376,24,FALSE)</f>
        <v>0</v>
      </c>
      <c r="Y76" s="566">
        <f>VLOOKUP($A76,'01-02.2021'!$A$6:$CZ$403,25,FALSE)+VLOOKUP($A76,'1.3.21-28.2.22'!$A$6:$DA$404,25,FALSE)-VLOOKUP($A76,'01-02.2022'!$A$6:$DA$376,25,FALSE)</f>
        <v>0</v>
      </c>
      <c r="Z76" s="70">
        <f t="shared" ref="Z76:Z137" si="114">Y76-X76</f>
        <v>0</v>
      </c>
      <c r="AA76" s="566">
        <f>VLOOKUP($A76,'01-02.2021'!$A$6:$CZ$403,27,FALSE)+VLOOKUP($A76,'1.3.21-28.2.22'!$A$6:$DA$404,27,FALSE)-VLOOKUP($A76,'01-02.2022'!$A$6:$DA$376,27,FALSE)</f>
        <v>58.7</v>
      </c>
      <c r="AB76" s="566">
        <f>VLOOKUP($A76,'01-02.2021'!$A$6:$CZ$403,28,FALSE)+VLOOKUP($A76,'1.3.21-28.2.22'!$A$6:$DA$404,28,FALSE)-VLOOKUP($A76,'01-02.2022'!$A$6:$DA$376,28,FALSE)</f>
        <v>0</v>
      </c>
      <c r="AC76" s="70">
        <f t="shared" ref="AC76:AC137" si="115">AB76-AA76</f>
        <v>-58.7</v>
      </c>
      <c r="AD76" s="566">
        <f>VLOOKUP($A76,'01-02.2021'!$A$6:$CZ$403,30,FALSE)+VLOOKUP($A76,'1.3.21-28.2.22'!$A$6:$DA$404,30,FALSE)-VLOOKUP($A76,'01-02.2022'!$A$6:$DA$376,30,FALSE)</f>
        <v>469.90927384753559</v>
      </c>
      <c r="AE76" s="566">
        <f>VLOOKUP($A76,'01-02.2021'!$A$6:$CZ$403,31,FALSE)+VLOOKUP($A76,'1.3.21-28.2.22'!$A$6:$DA$404,31,FALSE)-VLOOKUP($A76,'01-02.2022'!$A$6:$DA$376,31,FALSE)</f>
        <v>1336.0238257754793</v>
      </c>
      <c r="AF76" s="68">
        <f t="shared" ref="AF76:AF137" si="116">AE76-AD76</f>
        <v>866.11455192794369</v>
      </c>
      <c r="AG76" s="77">
        <f t="shared" si="86"/>
        <v>528.60927384753563</v>
      </c>
      <c r="AH76" s="53">
        <f t="shared" si="86"/>
        <v>1336.0238257754793</v>
      </c>
      <c r="AI76" s="52">
        <f t="shared" si="96"/>
        <v>807.41455192794365</v>
      </c>
      <c r="AJ76" s="566">
        <f>VLOOKUP($A76,'01-02.2021'!$A$6:$CZ$403,36,FALSE)+VLOOKUP($A76,'1.3.21-28.2.22'!$A$6:$DA$404,36,FALSE)-VLOOKUP($A76,'01-02.2022'!$A$6:$DA$376,36,FALSE)</f>
        <v>0</v>
      </c>
      <c r="AK76" s="566">
        <f>VLOOKUP($A76,'01-02.2021'!$A$6:$CZ$403,37,FALSE)+VLOOKUP($A76,'1.3.21-28.2.22'!$A$6:$DA$404,37,FALSE)-VLOOKUP($A76,'01-02.2022'!$A$6:$DA$376,37,FALSE)</f>
        <v>0</v>
      </c>
      <c r="AL76" s="70">
        <f t="shared" ref="AL76:AL137" si="117">AK76-AJ76</f>
        <v>0</v>
      </c>
      <c r="AM76" s="566">
        <f>VLOOKUP($A76,'01-02.2021'!$A$6:$CZ$403,39,FALSE)+VLOOKUP($A76,'1.3.21-28.2.22'!$A$6:$DA$404,39,FALSE)-VLOOKUP($A76,'01-02.2022'!$A$6:$DA$376,39,FALSE)</f>
        <v>0</v>
      </c>
      <c r="AN76" s="566">
        <f>VLOOKUP($A76,'01-02.2021'!$A$6:$CZ$403,40,FALSE)+VLOOKUP($A76,'1.3.21-28.2.22'!$A$6:$DA$404,40,FALSE)-VLOOKUP($A76,'01-02.2022'!$A$6:$DA$376,40,FALSE)</f>
        <v>0</v>
      </c>
      <c r="AO76" s="70">
        <f t="shared" ref="AO76:AO137" si="118">AN76-AM76</f>
        <v>0</v>
      </c>
      <c r="AP76" s="566">
        <f>VLOOKUP($A76,'01-02.2021'!$A$6:$CZ$403,42,FALSE)+VLOOKUP($A76,'1.3.21-28.2.22'!$A$6:$DA$404,42,FALSE)-VLOOKUP($A76,'01-02.2022'!$A$6:$DA$376,42,FALSE)</f>
        <v>520.55992501277728</v>
      </c>
      <c r="AQ76" s="566">
        <f>VLOOKUP($A76,'01-02.2021'!$A$6:$CZ$403,43,FALSE)+VLOOKUP($A76,'1.3.21-28.2.22'!$A$6:$DA$404,43,FALSE)-VLOOKUP($A76,'01-02.2022'!$A$6:$DA$376,43,FALSE)</f>
        <v>449.29339314325046</v>
      </c>
      <c r="AR76" s="70">
        <f t="shared" ref="AR76:AR137" si="119">AQ76-AP76</f>
        <v>-71.26653186952683</v>
      </c>
      <c r="AS76" s="566">
        <f>VLOOKUP($A76,'01-02.2021'!$A$6:$CZ$403,45,FALSE)+VLOOKUP($A76,'1.3.21-28.2.22'!$A$6:$DA$404,45,FALSE)-VLOOKUP($A76,'01-02.2022'!$A$6:$DA$376,45,FALSE)</f>
        <v>3415.4955781973663</v>
      </c>
      <c r="AT76" s="566">
        <f>VLOOKUP($A76,'01-02.2021'!$A$6:$CZ$403,46,FALSE)+VLOOKUP($A76,'1.3.21-28.2.22'!$A$6:$DA$404,46,FALSE)-VLOOKUP($A76,'01-02.2022'!$A$6:$DA$376,46,FALSE)</f>
        <v>2298</v>
      </c>
      <c r="AU76" s="78">
        <f t="shared" ref="AU76:AU137" si="120">AT76-AS76</f>
        <v>-1117.4955781973663</v>
      </c>
      <c r="AV76" s="566">
        <f>VLOOKUP($A76,'01-02.2021'!$A$6:$CZ$403,48,FALSE)+VLOOKUP($A76,'1.3.21-28.2.22'!$A$6:$DA$404,48,FALSE)-VLOOKUP($A76,'01-02.2022'!$A$6:$DA$376,48,FALSE)</f>
        <v>0</v>
      </c>
      <c r="AW76" s="566">
        <f>VLOOKUP($A76,'01-02.2021'!$A$6:$CZ$403,49,FALSE)+VLOOKUP($A76,'1.3.21-28.2.22'!$A$6:$DA$404,49,FALSE)-VLOOKUP($A76,'01-02.2022'!$A$6:$DA$376,49,FALSE)</f>
        <v>0</v>
      </c>
      <c r="AX76" s="55">
        <f t="shared" ref="AX76:AX137" si="121">AW76-AV76</f>
        <v>0</v>
      </c>
      <c r="AY76" s="566">
        <f>VLOOKUP($A76,'01-02.2021'!$A$6:$CZ$403,51,FALSE)+VLOOKUP($A76,'1.3.21-28.2.22'!$A$6:$DA$404,51,FALSE)-VLOOKUP($A76,'01-02.2022'!$A$6:$DA$376,51,FALSE)</f>
        <v>0</v>
      </c>
      <c r="AZ76" s="566">
        <f>VLOOKUP($A76,'01-02.2021'!$A$6:$CZ$403,52,FALSE)+VLOOKUP($A76,'1.3.21-28.2.22'!$A$6:$DA$404,52,FALSE)-VLOOKUP($A76,'01-02.2022'!$A$6:$DA$376,52,FALSE)</f>
        <v>0</v>
      </c>
      <c r="BA76" s="38">
        <f t="shared" ref="BA76:BA137" si="122">AZ76-AY76</f>
        <v>0</v>
      </c>
      <c r="BB76" s="566">
        <f>VLOOKUP($A76,'01-02.2021'!$A$6:$CZ$403,54,FALSE)+VLOOKUP($A76,'1.3.21-28.2.22'!$A$6:$DA$404,54,FALSE)-VLOOKUP($A76,'01-02.2022'!$A$6:$DA$376,54,FALSE)</f>
        <v>0</v>
      </c>
      <c r="BC76" s="566">
        <f>VLOOKUP($A76,'01-02.2021'!$A$6:$CZ$403,55,FALSE)+VLOOKUP($A76,'1.3.21-28.2.22'!$A$6:$DA$404,55,FALSE)-VLOOKUP($A76,'01-02.2022'!$A$6:$DA$376,55,FALSE)</f>
        <v>0</v>
      </c>
      <c r="BD76" s="55">
        <f t="shared" ref="BD76:BD137" si="123">BC76-BB76</f>
        <v>0</v>
      </c>
      <c r="BE76" s="566">
        <f>VLOOKUP($A76,'01-02.2021'!$A$6:$CZ$403,57,FALSE)+VLOOKUP($A76,'1.3.21-28.2.22'!$A$6:$DA$404,57,FALSE)-VLOOKUP($A76,'01-02.2022'!$A$6:$DA$376,57,FALSE)</f>
        <v>0</v>
      </c>
      <c r="BF76" s="566">
        <f>VLOOKUP($A76,'01-02.2021'!$A$6:$CZ$403,58,FALSE)+VLOOKUP($A76,'1.3.21-28.2.22'!$A$6:$DA$404,58,FALSE)-VLOOKUP($A76,'01-02.2022'!$A$6:$DA$376,58,FALSE)</f>
        <v>0</v>
      </c>
      <c r="BG76" s="55">
        <f t="shared" ref="BG76:BG137" si="124">BF76-BE76</f>
        <v>0</v>
      </c>
      <c r="BH76" s="566">
        <f>VLOOKUP($A76,'01-02.2021'!$A$6:$CZ$403,60,FALSE)+VLOOKUP($A76,'1.3.21-28.2.22'!$A$6:$DA$404,60,FALSE)-VLOOKUP($A76,'01-02.2022'!$A$6:$DA$376,60,FALSE)</f>
        <v>0</v>
      </c>
      <c r="BI76" s="566">
        <f>VLOOKUP($A76,'01-02.2021'!$A$6:$CZ$403,61,FALSE)+VLOOKUP($A76,'1.3.21-28.2.22'!$A$6:$DA$404,61,FALSE)-VLOOKUP($A76,'01-02.2022'!$A$6:$DA$376,61,FALSE)</f>
        <v>0</v>
      </c>
      <c r="BJ76" s="55">
        <f t="shared" ref="BJ76:BJ137" si="125">BI76-BH76</f>
        <v>0</v>
      </c>
      <c r="BK76" s="566">
        <f>VLOOKUP($A76,'01-02.2021'!$A$6:$CZ$403,63,FALSE)+VLOOKUP($A76,'1.3.21-28.2.22'!$A$6:$DA$404,63,FALSE)-VLOOKUP($A76,'01-02.2022'!$A$6:$DA$376,63,FALSE)</f>
        <v>0</v>
      </c>
      <c r="BL76" s="566">
        <f>VLOOKUP($A76,'01-02.2021'!$A$6:$CZ$403,64,FALSE)+VLOOKUP($A76,'1.3.21-28.2.22'!$A$6:$DA$404,64,FALSE)-VLOOKUP($A76,'01-02.2022'!$A$6:$DA$376,64,FALSE)</f>
        <v>0</v>
      </c>
      <c r="BM76" s="55">
        <f t="shared" ref="BM76:BM137" si="126">BL76-BK76</f>
        <v>0</v>
      </c>
      <c r="BN76" s="566">
        <f>VLOOKUP($A76,'01-02.2021'!$A$6:$CZ$403,66,FALSE)+VLOOKUP($A76,'1.3.21-28.2.22'!$A$6:$DA$404,66,FALSE)-VLOOKUP($A76,'01-02.2022'!$A$6:$DA$376,66,FALSE)</f>
        <v>16.838042793708642</v>
      </c>
      <c r="BO76" s="566">
        <f>VLOOKUP($A76,'01-02.2021'!$A$6:$CZ$403,67,FALSE)+VLOOKUP($A76,'1.3.21-28.2.22'!$A$6:$DA$404,67,FALSE)-VLOOKUP($A76,'01-02.2022'!$A$6:$DA$376,67,FALSE)</f>
        <v>0</v>
      </c>
      <c r="BP76" s="55">
        <f t="shared" ref="BP76:BP137" si="127">BO76-BN76</f>
        <v>-16.838042793708642</v>
      </c>
      <c r="BQ76" s="77">
        <f t="shared" si="87"/>
        <v>16.838042793708642</v>
      </c>
      <c r="BR76" s="40">
        <f t="shared" si="88"/>
        <v>0</v>
      </c>
      <c r="BS76" s="55">
        <f t="shared" si="110"/>
        <v>-16.838042793708642</v>
      </c>
      <c r="BT76" s="566">
        <f>VLOOKUP($A76,'01-02.2021'!$A$6:$CZ$403,72,FALSE)+VLOOKUP($A76,'1.3.21-28.2.22'!$A$6:$DA$404,72,FALSE)-VLOOKUP($A76,'01-02.2022'!$A$6:$DA$376,72,FALSE)</f>
        <v>0</v>
      </c>
      <c r="BU76" s="566">
        <f>VLOOKUP($A76,'01-02.2021'!$A$6:$CZ$403,73,FALSE)+VLOOKUP($A76,'1.3.21-28.2.22'!$A$6:$DA$404,73,FALSE)-VLOOKUP($A76,'01-02.2022'!$A$6:$DA$376,73,FALSE)</f>
        <v>0</v>
      </c>
      <c r="BV76" s="70">
        <f t="shared" ref="BV76:BV137" si="128">BU76-BT76</f>
        <v>0</v>
      </c>
      <c r="BW76" s="566">
        <f>VLOOKUP($A76,'01-02.2021'!$A$6:$CZ$403,75,FALSE)+VLOOKUP($A76,'1.3.21-28.2.22'!$A$6:$DA$404,75,FALSE)-VLOOKUP($A76,'01-02.2022'!$A$6:$DA$376,75,FALSE)</f>
        <v>0</v>
      </c>
      <c r="BX76" s="566">
        <f>VLOOKUP($A76,'01-02.2021'!$A$6:$CZ$403,76,FALSE)+VLOOKUP($A76,'1.3.21-28.2.22'!$A$6:$DA$404,76,FALSE)-VLOOKUP($A76,'01-02.2022'!$A$6:$DA$376,76,FALSE)</f>
        <v>6.5778018393426905</v>
      </c>
      <c r="BY76" s="70">
        <f t="shared" ref="BY76:BY137" si="129">BX76-BW76</f>
        <v>6.5778018393426905</v>
      </c>
      <c r="BZ76" s="566">
        <f>VLOOKUP($A76,'01-02.2021'!$A$6:$CZ$403,78,FALSE)+VLOOKUP($A76,'1.3.21-28.2.22'!$A$6:$DA$404,78,FALSE)-VLOOKUP($A76,'01-02.2022'!$A$6:$DA$376,78,FALSE)</f>
        <v>0</v>
      </c>
      <c r="CA76" s="566">
        <f>VLOOKUP($A76,'01-02.2021'!$A$6:$CZ$403,79,FALSE)+VLOOKUP($A76,'1.3.21-28.2.22'!$A$6:$DA$404,79,FALSE)-VLOOKUP($A76,'01-02.2022'!$A$6:$DA$376,79,FALSE)</f>
        <v>0</v>
      </c>
      <c r="CB76" s="70">
        <f t="shared" ref="CB76:CB137" si="130">CA76-BZ76</f>
        <v>0</v>
      </c>
      <c r="CC76" s="566">
        <f>VLOOKUP($A76,'01-02.2021'!$A$6:$CZ$403,81,FALSE)+VLOOKUP($A76,'1.3.21-28.2.22'!$A$6:$DA$404,81,FALSE)-VLOOKUP($A76,'01-02.2022'!$A$6:$DA$376,81,FALSE)</f>
        <v>0</v>
      </c>
      <c r="CD76" s="566">
        <f>VLOOKUP($A76,'01-02.2021'!$A$6:$CZ$403,82,FALSE)+VLOOKUP($A76,'1.3.21-28.2.22'!$A$6:$DA$404,82,FALSE)-VLOOKUP($A76,'01-02.2022'!$A$6:$DA$376,82,FALSE)</f>
        <v>0</v>
      </c>
      <c r="CE76" s="70">
        <f t="shared" ref="CE76:CE137" si="131">CD76-CC76</f>
        <v>0</v>
      </c>
      <c r="CF76" s="566">
        <f>VLOOKUP($A76,'01-02.2021'!$A$6:$CZ$403,84,FALSE)+VLOOKUP($A76,'1.3.21-28.2.22'!$A$6:$DA$404,84,FALSE)-VLOOKUP($A76,'01-02.2022'!$A$6:$DA$376,84,FALSE)</f>
        <v>0</v>
      </c>
      <c r="CG76" s="566">
        <f>VLOOKUP($A76,'01-02.2021'!$A$6:$CZ$403,85,FALSE)+VLOOKUP($A76,'1.3.21-28.2.22'!$A$6:$DA$404,85,FALSE)-VLOOKUP($A76,'01-02.2022'!$A$6:$DA$376,85,FALSE)</f>
        <v>0</v>
      </c>
      <c r="CH76" s="70">
        <f t="shared" ref="CH76:CH137" si="132">CG76-CF76</f>
        <v>0</v>
      </c>
      <c r="CI76" s="566">
        <f>VLOOKUP($A76,'01-02.2021'!$A$6:$CZ$403,87,FALSE)+VLOOKUP($A76,'1.3.21-28.2.22'!$A$6:$DA$404,87,FALSE)-VLOOKUP($A76,'01-02.2022'!$A$6:$DA$376,87,FALSE)</f>
        <v>0</v>
      </c>
      <c r="CJ76" s="566">
        <f>VLOOKUP($A76,'01-02.2021'!$A$6:$CZ$403,88,FALSE)+VLOOKUP($A76,'1.3.21-28.2.22'!$A$6:$DA$404,88,FALSE)-VLOOKUP($A76,'01-02.2022'!$A$6:$DA$376,88,FALSE)</f>
        <v>0</v>
      </c>
      <c r="CK76" s="70">
        <f t="shared" ref="CK76:CK137" si="133">CJ76-CI76</f>
        <v>0</v>
      </c>
      <c r="CL76" s="566">
        <f>VLOOKUP($A76,'01-02.2021'!$A$6:$CZ$403,90,FALSE)+VLOOKUP($A76,'1.3.21-28.2.22'!$A$6:$DA$404,90,FALSE)-VLOOKUP($A76,'01-02.2022'!$A$6:$DA$376,90,FALSE)</f>
        <v>0</v>
      </c>
      <c r="CM76" s="566">
        <f>VLOOKUP($A76,'01-02.2021'!$A$6:$CZ$403,91,FALSE)+VLOOKUP($A76,'1.3.21-28.2.22'!$A$6:$DA$404,91,FALSE)-VLOOKUP($A76,'01-02.2022'!$A$6:$DA$376,91,FALSE)</f>
        <v>0</v>
      </c>
      <c r="CN76" s="52">
        <f t="shared" si="97"/>
        <v>0</v>
      </c>
      <c r="CO76" s="39">
        <f t="shared" si="89"/>
        <v>0</v>
      </c>
      <c r="CP76" s="40">
        <f t="shared" si="98"/>
        <v>0</v>
      </c>
      <c r="CQ76" s="52">
        <f t="shared" si="99"/>
        <v>0</v>
      </c>
      <c r="CR76" s="72">
        <f t="shared" si="90"/>
        <v>4481.5028198513883</v>
      </c>
      <c r="CS76" s="5">
        <f t="shared" si="90"/>
        <v>4089.8950207580724</v>
      </c>
      <c r="CT76" s="52">
        <f t="shared" si="100"/>
        <v>-391.60779909331586</v>
      </c>
      <c r="CU76" s="77">
        <f t="shared" si="101"/>
        <v>5377.8033838216661</v>
      </c>
      <c r="CV76" s="65">
        <f t="shared" si="102"/>
        <v>4907.8740249096863</v>
      </c>
      <c r="CW76" s="35">
        <f t="shared" si="103"/>
        <v>-469.92935891197976</v>
      </c>
      <c r="CX76" s="566">
        <f>VLOOKUP($A76,'01-02.2021'!$A$6:$CZ$403,102,FALSE)+VLOOKUP($A76,'1.3.21-28.2.22'!$A$6:$DA$404,102,FALSE)-VLOOKUP($A76,'01-02.2022'!$A$6:$DA$376,102,FALSE)</f>
        <v>152.62843651273397</v>
      </c>
      <c r="CY76" s="566">
        <f>VLOOKUP($A76,'01-02.2021'!$A$6:$CZ$403,103,FALSE)+VLOOKUP($A76,'1.3.21-28.2.22'!$A$6:$DA$404,103,FALSE)-VLOOKUP($A76,'01-02.2022'!$A$6:$DA$376,103,FALSE)</f>
        <v>622.55779542471043</v>
      </c>
      <c r="CZ76" s="52">
        <f t="shared" si="104"/>
        <v>469.92935891197646</v>
      </c>
      <c r="DA76" s="150">
        <f>'[2]побудинковий звіт'!DA76</f>
        <v>10372.173413380306</v>
      </c>
      <c r="DB76" s="2">
        <v>1</v>
      </c>
      <c r="DC76" s="414">
        <f>'[4]побудинковий звіт'!DC76</f>
        <v>1445.34</v>
      </c>
      <c r="DD76" s="414">
        <f>'[4]побудинковий звіт'!DD76</f>
        <v>0</v>
      </c>
      <c r="DE76" s="557">
        <f>'[4]побудинковий звіт'!DE76</f>
        <v>943.20630382142531</v>
      </c>
      <c r="DF76" s="557">
        <f>'[4]побудинковий звіт'!DF76</f>
        <v>0</v>
      </c>
      <c r="DG76" s="321">
        <f>VLOOKUP(A76,'кошти 01.03.2021'!$A$6:$D$401,4,)</f>
        <v>13226.811238543669</v>
      </c>
      <c r="DH76" s="40">
        <f>'[3]побудинковий звіт'!DJ76</f>
        <v>5725.5783741553951</v>
      </c>
      <c r="DI76" s="422">
        <f>'[3]побудинковий звіт'!CU76+'[3]побудинковий звіт'!CX76</f>
        <v>502.13395423720431</v>
      </c>
      <c r="DJ76" s="306">
        <f>'[3]побудинковий звіт'!DM76</f>
        <v>1.7108473464346663</v>
      </c>
      <c r="DK76" s="306">
        <f t="shared" si="91"/>
        <v>1.7108473464346663</v>
      </c>
      <c r="DL76" s="306">
        <f>'[3]побудинковий звіт'!DO76</f>
        <v>1.7108473464346663</v>
      </c>
      <c r="DM76" s="28">
        <f t="shared" si="92"/>
        <v>502.13369617857455</v>
      </c>
      <c r="DN76" s="28">
        <f t="shared" si="93"/>
        <v>0</v>
      </c>
      <c r="DO76" s="423">
        <f t="shared" si="105"/>
        <v>502.13369617857455</v>
      </c>
      <c r="DP76" s="94">
        <f t="shared" si="106"/>
        <v>2.5805862975403215E-4</v>
      </c>
      <c r="DQ76" s="28">
        <f t="shared" si="107"/>
        <v>502.13369617857455</v>
      </c>
      <c r="DR76" s="318"/>
      <c r="DT76" s="8"/>
      <c r="DU76" s="5"/>
      <c r="DX76" s="5">
        <f t="shared" si="108"/>
        <v>4118.8003451892901</v>
      </c>
      <c r="DY76" s="5">
        <f t="shared" si="109"/>
        <v>2757.6</v>
      </c>
      <c r="DZ76" s="159">
        <f>'[3]побудинковий звіт'!EA76</f>
        <v>437.89220064616796</v>
      </c>
    </row>
    <row r="77" spans="1:130" x14ac:dyDescent="0.3">
      <c r="A77" s="325">
        <v>150000542</v>
      </c>
      <c r="B77" s="41" t="s">
        <v>526</v>
      </c>
      <c r="C77" s="42" t="s">
        <v>62</v>
      </c>
      <c r="D77" s="42"/>
      <c r="E77" s="293">
        <f t="shared" si="85"/>
        <v>164.7</v>
      </c>
      <c r="F77" s="305">
        <f>'[3]побудинковий звіт'!F77</f>
        <v>164.7</v>
      </c>
      <c r="G77" s="508">
        <f>'[3]побудинковий звіт'!G77</f>
        <v>0</v>
      </c>
      <c r="H77" s="560">
        <f>'[3]побудинковий звіт'!H77</f>
        <v>0</v>
      </c>
      <c r="I77" s="566"/>
      <c r="J77" s="566"/>
      <c r="K77" s="52">
        <f t="shared" si="94"/>
        <v>0</v>
      </c>
      <c r="L77" s="566"/>
      <c r="M77" s="566"/>
      <c r="N77" s="52">
        <f t="shared" si="95"/>
        <v>0</v>
      </c>
      <c r="O77" s="566"/>
      <c r="P77" s="566"/>
      <c r="Q77" s="70"/>
      <c r="R77" s="566"/>
      <c r="S77" s="566"/>
      <c r="T77" s="70"/>
      <c r="U77" s="566"/>
      <c r="V77" s="566"/>
      <c r="W77" s="70"/>
      <c r="X77" s="566"/>
      <c r="Y77" s="566"/>
      <c r="Z77" s="70"/>
      <c r="AA77" s="566"/>
      <c r="AB77" s="566"/>
      <c r="AC77" s="70"/>
      <c r="AD77" s="566"/>
      <c r="AE77" s="566"/>
      <c r="AF77" s="68"/>
      <c r="AG77" s="77">
        <f t="shared" si="86"/>
        <v>0</v>
      </c>
      <c r="AH77" s="53">
        <f t="shared" si="86"/>
        <v>0</v>
      </c>
      <c r="AI77" s="52">
        <f t="shared" si="96"/>
        <v>0</v>
      </c>
      <c r="AJ77" s="566"/>
      <c r="AK77" s="566"/>
      <c r="AL77" s="70"/>
      <c r="AM77" s="566"/>
      <c r="AN77" s="566"/>
      <c r="AO77" s="70"/>
      <c r="AP77" s="566"/>
      <c r="AQ77" s="566"/>
      <c r="AR77" s="70"/>
      <c r="AS77" s="566"/>
      <c r="AT77" s="566"/>
      <c r="AU77" s="78"/>
      <c r="AV77" s="566"/>
      <c r="AW77" s="566"/>
      <c r="AX77" s="55"/>
      <c r="AY77" s="566"/>
      <c r="AZ77" s="566"/>
      <c r="BA77" s="38"/>
      <c r="BB77" s="566"/>
      <c r="BC77" s="566"/>
      <c r="BD77" s="55"/>
      <c r="BE77" s="566"/>
      <c r="BF77" s="566"/>
      <c r="BG77" s="55"/>
      <c r="BH77" s="566"/>
      <c r="BI77" s="566"/>
      <c r="BJ77" s="55"/>
      <c r="BK77" s="566"/>
      <c r="BL77" s="566"/>
      <c r="BM77" s="55"/>
      <c r="BN77" s="566"/>
      <c r="BO77" s="566"/>
      <c r="BP77" s="55"/>
      <c r="BQ77" s="77">
        <f t="shared" si="87"/>
        <v>0</v>
      </c>
      <c r="BR77" s="40">
        <f t="shared" si="88"/>
        <v>0</v>
      </c>
      <c r="BS77" s="55">
        <f t="shared" si="110"/>
        <v>0</v>
      </c>
      <c r="BT77" s="566"/>
      <c r="BU77" s="566"/>
      <c r="BV77" s="70"/>
      <c r="BW77" s="566"/>
      <c r="BX77" s="566"/>
      <c r="BY77" s="70"/>
      <c r="BZ77" s="566"/>
      <c r="CA77" s="566"/>
      <c r="CB77" s="70"/>
      <c r="CC77" s="566"/>
      <c r="CD77" s="566"/>
      <c r="CE77" s="70"/>
      <c r="CF77" s="566"/>
      <c r="CG77" s="566"/>
      <c r="CH77" s="70"/>
      <c r="CI77" s="566"/>
      <c r="CJ77" s="566"/>
      <c r="CK77" s="70"/>
      <c r="CL77" s="566"/>
      <c r="CM77" s="566"/>
      <c r="CN77" s="52">
        <f t="shared" si="97"/>
        <v>0</v>
      </c>
      <c r="CO77" s="39">
        <f t="shared" si="89"/>
        <v>0</v>
      </c>
      <c r="CP77" s="40">
        <f t="shared" si="98"/>
        <v>0</v>
      </c>
      <c r="CQ77" s="52">
        <f t="shared" si="99"/>
        <v>0</v>
      </c>
      <c r="CR77" s="72">
        <f t="shared" si="90"/>
        <v>0</v>
      </c>
      <c r="CS77" s="5">
        <f t="shared" si="90"/>
        <v>0</v>
      </c>
      <c r="CT77" s="52">
        <f t="shared" si="100"/>
        <v>0</v>
      </c>
      <c r="CU77" s="77">
        <f t="shared" si="101"/>
        <v>0</v>
      </c>
      <c r="CV77" s="65">
        <f t="shared" si="102"/>
        <v>0</v>
      </c>
      <c r="CW77" s="35">
        <f t="shared" si="103"/>
        <v>0</v>
      </c>
      <c r="CX77" s="566"/>
      <c r="CY77" s="566"/>
      <c r="CZ77" s="52">
        <f t="shared" si="104"/>
        <v>0</v>
      </c>
      <c r="DA77" s="150">
        <f>'[2]побудинковий звіт'!DA77</f>
        <v>-4362.412123011708</v>
      </c>
      <c r="DB77" s="2">
        <v>1</v>
      </c>
      <c r="DC77" s="414">
        <f>'[4]побудинковий звіт'!DC77</f>
        <v>4372.42</v>
      </c>
      <c r="DD77" s="414">
        <f>'[4]побудинковий звіт'!DD77</f>
        <v>0</v>
      </c>
      <c r="DE77" s="557">
        <f>'[4]побудинковий звіт'!DE77</f>
        <v>3990.6052687434476</v>
      </c>
      <c r="DF77" s="557">
        <f>'[4]побудинковий звіт'!DF77</f>
        <v>0</v>
      </c>
      <c r="DG77" s="321">
        <f>VLOOKUP(A77,'кошти 01.03.2021'!$A$6:$D$401,4,)</f>
        <v>-1763.8217460131148</v>
      </c>
      <c r="DH77" s="40">
        <f>'[3]побудинковий звіт'!DJ77</f>
        <v>4351.5265196364144</v>
      </c>
      <c r="DI77" s="422">
        <f>'[3]побудинковий звіт'!CU77+'[3]побудинковий звіт'!CX77</f>
        <v>381.81440867273767</v>
      </c>
      <c r="DJ77" s="306">
        <f>'[3]побудинковий звіт'!DM77</f>
        <v>2.3182436627598815</v>
      </c>
      <c r="DK77" s="306">
        <f t="shared" si="91"/>
        <v>2.3182436627598815</v>
      </c>
      <c r="DL77" s="306">
        <f>'[3]побудинковий звіт'!DO77</f>
        <v>2.3182436627598815</v>
      </c>
      <c r="DM77" s="28">
        <f t="shared" si="92"/>
        <v>381.81473125655248</v>
      </c>
      <c r="DN77" s="28">
        <f t="shared" si="93"/>
        <v>0</v>
      </c>
      <c r="DO77" s="423">
        <f t="shared" si="105"/>
        <v>381.81473125655248</v>
      </c>
      <c r="DP77" s="94">
        <f t="shared" si="106"/>
        <v>-3.2258381480687603E-4</v>
      </c>
      <c r="DQ77" s="28">
        <f t="shared" si="107"/>
        <v>381.81473125655248</v>
      </c>
      <c r="DR77" s="318"/>
      <c r="DT77" s="8"/>
      <c r="DU77" s="5"/>
      <c r="DX77" s="5">
        <f t="shared" si="108"/>
        <v>0</v>
      </c>
      <c r="DY77" s="5">
        <f t="shared" si="109"/>
        <v>0</v>
      </c>
      <c r="DZ77" s="159">
        <f>'[3]побудинковий звіт'!EA77</f>
        <v>338.29112072167317</v>
      </c>
    </row>
    <row r="78" spans="1:130" x14ac:dyDescent="0.3">
      <c r="A78" s="325">
        <v>150000529</v>
      </c>
      <c r="B78" s="41" t="s">
        <v>527</v>
      </c>
      <c r="C78" s="42" t="s">
        <v>348</v>
      </c>
      <c r="D78" s="42"/>
      <c r="E78" s="293">
        <f t="shared" si="85"/>
        <v>8443.0499999999993</v>
      </c>
      <c r="F78" s="305">
        <f>'[3]побудинковий звіт'!F78</f>
        <v>8443.0499999999993</v>
      </c>
      <c r="G78" s="508">
        <f>'[3]побудинковий звіт'!G78</f>
        <v>979.2</v>
      </c>
      <c r="H78" s="560">
        <f>'[3]побудинковий звіт'!H78</f>
        <v>0</v>
      </c>
      <c r="I78" s="566">
        <f>VLOOKUP($A78,'01-02.2021'!$A$6:$CZ$403,9,FALSE)+VLOOKUP($A78,'1.3.21-28.2.22'!$A$6:$DA$404,9,FALSE)-VLOOKUP($A78,'01-02.2022'!$A$6:$DA$376,9,FALSE)</f>
        <v>13221.733590246191</v>
      </c>
      <c r="J78" s="566">
        <f>VLOOKUP($A78,'01-02.2021'!$A$6:$CZ$403,10,FALSE)+VLOOKUP($A78,'1.3.21-28.2.22'!$A$6:$DA$404,10,FALSE)-VLOOKUP($A78,'01-02.2022'!$A$6:$DA$376,10,FALSE)</f>
        <v>12371.598036020816</v>
      </c>
      <c r="K78" s="52">
        <f t="shared" si="94"/>
        <v>-850.13555422537502</v>
      </c>
      <c r="L78" s="566">
        <f>VLOOKUP($A78,'01-02.2021'!$A$6:$CZ$403,12,FALSE)+VLOOKUP($A78,'1.3.21-28.2.22'!$A$6:$DA$404,12,FALSE)-VLOOKUP($A78,'01-02.2022'!$A$6:$DA$376,12,FALSE)</f>
        <v>2286.6580276407949</v>
      </c>
      <c r="M78" s="566">
        <f>VLOOKUP($A78,'01-02.2021'!$A$6:$CZ$403,13,FALSE)+VLOOKUP($A78,'1.3.21-28.2.22'!$A$6:$DA$404,13,FALSE)-VLOOKUP($A78,'01-02.2022'!$A$6:$DA$376,13,FALSE)</f>
        <v>2085.5083799865783</v>
      </c>
      <c r="N78" s="52">
        <f t="shared" si="95"/>
        <v>-201.14964765421655</v>
      </c>
      <c r="O78" s="566">
        <f>VLOOKUP($A78,'01-02.2021'!$A$6:$CZ$403,15,FALSE)+VLOOKUP($A78,'1.3.21-28.2.22'!$A$6:$DA$404,15,FALSE)-VLOOKUP($A78,'01-02.2022'!$A$6:$DA$376,15,FALSE)</f>
        <v>11684.954457036445</v>
      </c>
      <c r="P78" s="566">
        <f>VLOOKUP($A78,'01-02.2021'!$A$6:$CZ$403,16,FALSE)+VLOOKUP($A78,'1.3.21-28.2.22'!$A$6:$DA$404,16,FALSE)-VLOOKUP($A78,'01-02.2022'!$A$6:$DA$376,16,FALSE)</f>
        <v>11684.990000000002</v>
      </c>
      <c r="Q78" s="70">
        <f t="shared" si="111"/>
        <v>3.5542963556508766E-2</v>
      </c>
      <c r="R78" s="566">
        <f>VLOOKUP($A78,'01-02.2021'!$A$6:$CZ$403,18,FALSE)+VLOOKUP($A78,'1.3.21-28.2.22'!$A$6:$DA$404,18,FALSE)-VLOOKUP($A78,'01-02.2022'!$A$6:$DA$376,18,FALSE)</f>
        <v>2538.3575345471504</v>
      </c>
      <c r="S78" s="566">
        <f>VLOOKUP($A78,'01-02.2021'!$A$6:$CZ$403,19,FALSE)+VLOOKUP($A78,'1.3.21-28.2.22'!$A$6:$DA$404,19,FALSE)-VLOOKUP($A78,'01-02.2022'!$A$6:$DA$376,19,FALSE)</f>
        <v>2538.3700000000003</v>
      </c>
      <c r="T78" s="70">
        <f t="shared" si="112"/>
        <v>1.2465452849937719E-2</v>
      </c>
      <c r="U78" s="566">
        <f>VLOOKUP($A78,'01-02.2021'!$A$6:$CZ$403,21,FALSE)+VLOOKUP($A78,'1.3.21-28.2.22'!$A$6:$DA$404,21,FALSE)-VLOOKUP($A78,'01-02.2022'!$A$6:$DA$376,21,FALSE)</f>
        <v>1983.8403222148527</v>
      </c>
      <c r="V78" s="566">
        <f>VLOOKUP($A78,'01-02.2021'!$A$6:$CZ$403,22,FALSE)+VLOOKUP($A78,'1.3.21-28.2.22'!$A$6:$DA$404,22,FALSE)-VLOOKUP($A78,'01-02.2022'!$A$6:$DA$376,22,FALSE)</f>
        <v>1292.4587745782617</v>
      </c>
      <c r="W78" s="70">
        <f t="shared" si="113"/>
        <v>-691.38154763659099</v>
      </c>
      <c r="X78" s="566">
        <f>VLOOKUP($A78,'01-02.2021'!$A$6:$CZ$403,24,FALSE)+VLOOKUP($A78,'1.3.21-28.2.22'!$A$6:$DA$404,24,FALSE)-VLOOKUP($A78,'01-02.2022'!$A$6:$DA$376,24,FALSE)</f>
        <v>17231.044697068024</v>
      </c>
      <c r="Y78" s="566">
        <f>VLOOKUP($A78,'01-02.2021'!$A$6:$CZ$403,25,FALSE)+VLOOKUP($A78,'1.3.21-28.2.22'!$A$6:$DA$404,25,FALSE)-VLOOKUP($A78,'01-02.2022'!$A$6:$DA$376,25,FALSE)</f>
        <v>15086.145920838202</v>
      </c>
      <c r="Z78" s="70">
        <f t="shared" si="114"/>
        <v>-2144.898776229822</v>
      </c>
      <c r="AA78" s="566">
        <f>VLOOKUP($A78,'01-02.2021'!$A$6:$CZ$403,27,FALSE)+VLOOKUP($A78,'1.3.21-28.2.22'!$A$6:$DA$404,27,FALSE)-VLOOKUP($A78,'01-02.2022'!$A$6:$DA$376,27,FALSE)</f>
        <v>1688.8600000000001</v>
      </c>
      <c r="AB78" s="566">
        <f>VLOOKUP($A78,'01-02.2021'!$A$6:$CZ$403,28,FALSE)+VLOOKUP($A78,'1.3.21-28.2.22'!$A$6:$DA$404,28,FALSE)-VLOOKUP($A78,'01-02.2022'!$A$6:$DA$376,28,FALSE)</f>
        <v>0</v>
      </c>
      <c r="AC78" s="70">
        <f t="shared" si="115"/>
        <v>-1688.8600000000001</v>
      </c>
      <c r="AD78" s="566">
        <f>VLOOKUP($A78,'01-02.2021'!$A$6:$CZ$403,30,FALSE)+VLOOKUP($A78,'1.3.21-28.2.22'!$A$6:$DA$404,30,FALSE)-VLOOKUP($A78,'01-02.2022'!$A$6:$DA$376,30,FALSE)</f>
        <v>36267.525028165423</v>
      </c>
      <c r="AE78" s="566">
        <f>VLOOKUP($A78,'01-02.2021'!$A$6:$CZ$403,31,FALSE)+VLOOKUP($A78,'1.3.21-28.2.22'!$A$6:$DA$404,31,FALSE)-VLOOKUP($A78,'01-02.2022'!$A$6:$DA$376,31,FALSE)</f>
        <v>38429.358251634781</v>
      </c>
      <c r="AF78" s="68">
        <f t="shared" si="116"/>
        <v>2161.8332234693589</v>
      </c>
      <c r="AG78" s="77">
        <f t="shared" si="86"/>
        <v>86902.973656918883</v>
      </c>
      <c r="AH78" s="53">
        <f t="shared" si="86"/>
        <v>83488.429363058647</v>
      </c>
      <c r="AI78" s="52">
        <f t="shared" si="96"/>
        <v>-3414.5442938602355</v>
      </c>
      <c r="AJ78" s="566">
        <f>VLOOKUP($A78,'01-02.2021'!$A$6:$CZ$403,36,FALSE)+VLOOKUP($A78,'1.3.21-28.2.22'!$A$6:$DA$404,36,FALSE)-VLOOKUP($A78,'01-02.2022'!$A$6:$DA$376,36,FALSE)</f>
        <v>86356.930110703339</v>
      </c>
      <c r="AK78" s="566">
        <f>VLOOKUP($A78,'01-02.2021'!$A$6:$CZ$403,37,FALSE)+VLOOKUP($A78,'1.3.21-28.2.22'!$A$6:$DA$404,37,FALSE)-VLOOKUP($A78,'01-02.2022'!$A$6:$DA$376,37,FALSE)</f>
        <v>85823.304652880033</v>
      </c>
      <c r="AL78" s="70">
        <f t="shared" si="117"/>
        <v>-533.62545782330562</v>
      </c>
      <c r="AM78" s="566">
        <f>VLOOKUP($A78,'01-02.2021'!$A$6:$CZ$403,39,FALSE)+VLOOKUP($A78,'1.3.21-28.2.22'!$A$6:$DA$404,39,FALSE)-VLOOKUP($A78,'01-02.2022'!$A$6:$DA$376,39,FALSE)</f>
        <v>1446.1209718413761</v>
      </c>
      <c r="AN78" s="566">
        <f>VLOOKUP($A78,'01-02.2021'!$A$6:$CZ$403,40,FALSE)+VLOOKUP($A78,'1.3.21-28.2.22'!$A$6:$DA$404,40,FALSE)-VLOOKUP($A78,'01-02.2022'!$A$6:$DA$376,40,FALSE)</f>
        <v>1043.0412335713274</v>
      </c>
      <c r="AO78" s="70">
        <f t="shared" si="118"/>
        <v>-403.07973827004867</v>
      </c>
      <c r="AP78" s="566">
        <f>VLOOKUP($A78,'01-02.2021'!$A$6:$CZ$403,42,FALSE)+VLOOKUP($A78,'1.3.21-28.2.22'!$A$6:$DA$404,42,FALSE)-VLOOKUP($A78,'01-02.2022'!$A$6:$DA$376,42,FALSE)</f>
        <v>6073.1991251490708</v>
      </c>
      <c r="AQ78" s="566">
        <f>VLOOKUP($A78,'01-02.2021'!$A$6:$CZ$403,43,FALSE)+VLOOKUP($A78,'1.3.21-28.2.22'!$A$6:$DA$404,43,FALSE)-VLOOKUP($A78,'01-02.2022'!$A$6:$DA$376,43,FALSE)</f>
        <v>5205.1890289103048</v>
      </c>
      <c r="AR78" s="70">
        <f t="shared" si="119"/>
        <v>-868.01009623876598</v>
      </c>
      <c r="AS78" s="566">
        <f>VLOOKUP($A78,'01-02.2021'!$A$6:$CZ$403,45,FALSE)+VLOOKUP($A78,'1.3.21-28.2.22'!$A$6:$DA$404,45,FALSE)-VLOOKUP($A78,'01-02.2022'!$A$6:$DA$376,45,FALSE)</f>
        <v>127297.12520977363</v>
      </c>
      <c r="AT78" s="566">
        <f>VLOOKUP($A78,'01-02.2021'!$A$6:$CZ$403,46,FALSE)+VLOOKUP($A78,'1.3.21-28.2.22'!$A$6:$DA$404,46,FALSE)-VLOOKUP($A78,'01-02.2022'!$A$6:$DA$376,46,FALSE)</f>
        <v>343756.3011461015</v>
      </c>
      <c r="AU78" s="78">
        <f t="shared" si="120"/>
        <v>216459.17593632787</v>
      </c>
      <c r="AV78" s="566">
        <f>VLOOKUP($A78,'01-02.2021'!$A$6:$CZ$403,48,FALSE)+VLOOKUP($A78,'1.3.21-28.2.22'!$A$6:$DA$404,48,FALSE)-VLOOKUP($A78,'01-02.2022'!$A$6:$DA$376,48,FALSE)</f>
        <v>2647.1866505715034</v>
      </c>
      <c r="AW78" s="566">
        <f>VLOOKUP($A78,'01-02.2021'!$A$6:$CZ$403,49,FALSE)+VLOOKUP($A78,'1.3.21-28.2.22'!$A$6:$DA$404,49,FALSE)-VLOOKUP($A78,'01-02.2022'!$A$6:$DA$376,49,FALSE)</f>
        <v>2275.34</v>
      </c>
      <c r="AX78" s="55">
        <f t="shared" si="121"/>
        <v>-371.84665057150323</v>
      </c>
      <c r="AY78" s="566">
        <f>VLOOKUP($A78,'01-02.2021'!$A$6:$CZ$403,51,FALSE)+VLOOKUP($A78,'1.3.21-28.2.22'!$A$6:$DA$404,51,FALSE)-VLOOKUP($A78,'01-02.2022'!$A$6:$DA$376,51,FALSE)</f>
        <v>2966.5000173100652</v>
      </c>
      <c r="AZ78" s="566">
        <f>VLOOKUP($A78,'01-02.2021'!$A$6:$CZ$403,52,FALSE)+VLOOKUP($A78,'1.3.21-28.2.22'!$A$6:$DA$404,52,FALSE)-VLOOKUP($A78,'01-02.2022'!$A$6:$DA$376,52,FALSE)</f>
        <v>14000</v>
      </c>
      <c r="BA78" s="38">
        <f t="shared" si="122"/>
        <v>11033.499982689935</v>
      </c>
      <c r="BB78" s="566">
        <f>VLOOKUP($A78,'01-02.2021'!$A$6:$CZ$403,54,FALSE)+VLOOKUP($A78,'1.3.21-28.2.22'!$A$6:$DA$404,54,FALSE)-VLOOKUP($A78,'01-02.2022'!$A$6:$DA$376,54,FALSE)</f>
        <v>2446.1996448564933</v>
      </c>
      <c r="BC78" s="566">
        <f>VLOOKUP($A78,'01-02.2021'!$A$6:$CZ$403,55,FALSE)+VLOOKUP($A78,'1.3.21-28.2.22'!$A$6:$DA$404,55,FALSE)-VLOOKUP($A78,'01-02.2022'!$A$6:$DA$376,55,FALSE)</f>
        <v>0</v>
      </c>
      <c r="BD78" s="55">
        <f t="shared" si="123"/>
        <v>-2446.1996448564933</v>
      </c>
      <c r="BE78" s="566">
        <f>VLOOKUP($A78,'01-02.2021'!$A$6:$CZ$403,57,FALSE)+VLOOKUP($A78,'1.3.21-28.2.22'!$A$6:$DA$404,57,FALSE)-VLOOKUP($A78,'01-02.2022'!$A$6:$DA$376,57,FALSE)</f>
        <v>4792.4749077859688</v>
      </c>
      <c r="BF78" s="566">
        <f>VLOOKUP($A78,'01-02.2021'!$A$6:$CZ$403,58,FALSE)+VLOOKUP($A78,'1.3.21-28.2.22'!$A$6:$DA$404,58,FALSE)-VLOOKUP($A78,'01-02.2022'!$A$6:$DA$376,58,FALSE)</f>
        <v>0</v>
      </c>
      <c r="BG78" s="55">
        <f t="shared" si="124"/>
        <v>-4792.4749077859688</v>
      </c>
      <c r="BH78" s="566">
        <f>VLOOKUP($A78,'01-02.2021'!$A$6:$CZ$403,60,FALSE)+VLOOKUP($A78,'1.3.21-28.2.22'!$A$6:$DA$404,60,FALSE)-VLOOKUP($A78,'01-02.2022'!$A$6:$DA$376,60,FALSE)</f>
        <v>3359.8384965975283</v>
      </c>
      <c r="BI78" s="566">
        <f>VLOOKUP($A78,'01-02.2021'!$A$6:$CZ$403,61,FALSE)+VLOOKUP($A78,'1.3.21-28.2.22'!$A$6:$DA$404,61,FALSE)-VLOOKUP($A78,'01-02.2022'!$A$6:$DA$376,61,FALSE)</f>
        <v>0</v>
      </c>
      <c r="BJ78" s="55">
        <f t="shared" si="125"/>
        <v>-3359.8384965975283</v>
      </c>
      <c r="BK78" s="566">
        <f>VLOOKUP($A78,'01-02.2021'!$A$6:$CZ$403,63,FALSE)+VLOOKUP($A78,'1.3.21-28.2.22'!$A$6:$DA$404,63,FALSE)-VLOOKUP($A78,'01-02.2022'!$A$6:$DA$376,63,FALSE)</f>
        <v>4269.9494011530496</v>
      </c>
      <c r="BL78" s="566">
        <f>VLOOKUP($A78,'01-02.2021'!$A$6:$CZ$403,64,FALSE)+VLOOKUP($A78,'1.3.21-28.2.22'!$A$6:$DA$404,64,FALSE)-VLOOKUP($A78,'01-02.2022'!$A$6:$DA$376,64,FALSE)</f>
        <v>575</v>
      </c>
      <c r="BM78" s="55">
        <f t="shared" si="126"/>
        <v>-3694.9494011530496</v>
      </c>
      <c r="BN78" s="566">
        <f>VLOOKUP($A78,'01-02.2021'!$A$6:$CZ$403,66,FALSE)+VLOOKUP($A78,'1.3.21-28.2.22'!$A$6:$DA$404,66,FALSE)-VLOOKUP($A78,'01-02.2022'!$A$6:$DA$376,66,FALSE)</f>
        <v>1223.5485852099002</v>
      </c>
      <c r="BO78" s="566">
        <f>VLOOKUP($A78,'01-02.2021'!$A$6:$CZ$403,67,FALSE)+VLOOKUP($A78,'1.3.21-28.2.22'!$A$6:$DA$404,67,FALSE)-VLOOKUP($A78,'01-02.2022'!$A$6:$DA$376,67,FALSE)</f>
        <v>0</v>
      </c>
      <c r="BP78" s="55">
        <f t="shared" si="127"/>
        <v>-1223.5485852099002</v>
      </c>
      <c r="BQ78" s="77">
        <f t="shared" si="87"/>
        <v>21705.697703484511</v>
      </c>
      <c r="BR78" s="40">
        <f t="shared" si="88"/>
        <v>16850.34</v>
      </c>
      <c r="BS78" s="55">
        <f t="shared" si="110"/>
        <v>-4855.3577034845111</v>
      </c>
      <c r="BT78" s="566">
        <f>VLOOKUP($A78,'01-02.2021'!$A$6:$CZ$403,72,FALSE)+VLOOKUP($A78,'1.3.21-28.2.22'!$A$6:$DA$404,72,FALSE)-VLOOKUP($A78,'01-02.2022'!$A$6:$DA$376,72,FALSE)</f>
        <v>90445.439108511899</v>
      </c>
      <c r="BU78" s="566">
        <f>VLOOKUP($A78,'01-02.2021'!$A$6:$CZ$403,73,FALSE)+VLOOKUP($A78,'1.3.21-28.2.22'!$A$6:$DA$404,73,FALSE)-VLOOKUP($A78,'01-02.2022'!$A$6:$DA$376,73,FALSE)</f>
        <v>97776.54715305139</v>
      </c>
      <c r="BV78" s="70">
        <f t="shared" si="128"/>
        <v>7331.1080445394909</v>
      </c>
      <c r="BW78" s="566">
        <f>VLOOKUP($A78,'01-02.2021'!$A$6:$CZ$403,75,FALSE)+VLOOKUP($A78,'1.3.21-28.2.22'!$A$6:$DA$404,75,FALSE)-VLOOKUP($A78,'01-02.2022'!$A$6:$DA$376,75,FALSE)</f>
        <v>77358.383585199655</v>
      </c>
      <c r="BX78" s="566">
        <f>VLOOKUP($A78,'01-02.2021'!$A$6:$CZ$403,76,FALSE)+VLOOKUP($A78,'1.3.21-28.2.22'!$A$6:$DA$404,76,FALSE)-VLOOKUP($A78,'01-02.2022'!$A$6:$DA$376,76,FALSE)</f>
        <v>77296.85344136614</v>
      </c>
      <c r="BY78" s="70">
        <f t="shared" si="129"/>
        <v>-61.530143833515467</v>
      </c>
      <c r="BZ78" s="566">
        <f>VLOOKUP($A78,'01-02.2021'!$A$6:$CZ$403,78,FALSE)+VLOOKUP($A78,'1.3.21-28.2.22'!$A$6:$DA$404,78,FALSE)-VLOOKUP($A78,'01-02.2022'!$A$6:$DA$376,78,FALSE)</f>
        <v>10975.042067456941</v>
      </c>
      <c r="CA78" s="566">
        <f>VLOOKUP($A78,'01-02.2021'!$A$6:$CZ$403,79,FALSE)+VLOOKUP($A78,'1.3.21-28.2.22'!$A$6:$DA$404,79,FALSE)-VLOOKUP($A78,'01-02.2022'!$A$6:$DA$376,79,FALSE)</f>
        <v>24488.822637386304</v>
      </c>
      <c r="CB78" s="70">
        <f t="shared" si="130"/>
        <v>13513.780569929362</v>
      </c>
      <c r="CC78" s="566">
        <f>VLOOKUP($A78,'01-02.2021'!$A$6:$CZ$403,81,FALSE)+VLOOKUP($A78,'1.3.21-28.2.22'!$A$6:$DA$404,81,FALSE)-VLOOKUP($A78,'01-02.2022'!$A$6:$DA$376,81,FALSE)</f>
        <v>3870.1135293224452</v>
      </c>
      <c r="CD78" s="566">
        <f>VLOOKUP($A78,'01-02.2021'!$A$6:$CZ$403,82,FALSE)+VLOOKUP($A78,'1.3.21-28.2.22'!$A$6:$DA$404,82,FALSE)-VLOOKUP($A78,'01-02.2022'!$A$6:$DA$376,82,FALSE)</f>
        <v>4219.5704897640971</v>
      </c>
      <c r="CE78" s="70">
        <f t="shared" si="131"/>
        <v>349.45696044165197</v>
      </c>
      <c r="CF78" s="566">
        <f>VLOOKUP($A78,'01-02.2021'!$A$6:$CZ$403,84,FALSE)+VLOOKUP($A78,'1.3.21-28.2.22'!$A$6:$DA$404,84,FALSE)-VLOOKUP($A78,'01-02.2022'!$A$6:$DA$376,84,FALSE)</f>
        <v>469.33118790208857</v>
      </c>
      <c r="CG78" s="566">
        <f>VLOOKUP($A78,'01-02.2021'!$A$6:$CZ$403,85,FALSE)+VLOOKUP($A78,'1.3.21-28.2.22'!$A$6:$DA$404,85,FALSE)-VLOOKUP($A78,'01-02.2022'!$A$6:$DA$376,85,FALSE)</f>
        <v>1525.3856747119457</v>
      </c>
      <c r="CH78" s="70">
        <f t="shared" si="132"/>
        <v>1056.0544868098573</v>
      </c>
      <c r="CI78" s="566">
        <f>VLOOKUP($A78,'01-02.2021'!$A$6:$CZ$403,87,FALSE)+VLOOKUP($A78,'1.3.21-28.2.22'!$A$6:$DA$404,87,FALSE)-VLOOKUP($A78,'01-02.2022'!$A$6:$DA$376,87,FALSE)</f>
        <v>17722.671845093115</v>
      </c>
      <c r="CJ78" s="566">
        <f>VLOOKUP($A78,'01-02.2021'!$A$6:$CZ$403,88,FALSE)+VLOOKUP($A78,'1.3.21-28.2.22'!$A$6:$DA$404,88,FALSE)-VLOOKUP($A78,'01-02.2022'!$A$6:$DA$376,88,FALSE)</f>
        <v>11603.118321559223</v>
      </c>
      <c r="CK78" s="70">
        <f t="shared" si="133"/>
        <v>-6119.5535235338921</v>
      </c>
      <c r="CL78" s="566">
        <f>VLOOKUP($A78,'01-02.2021'!$A$6:$CZ$403,90,FALSE)+VLOOKUP($A78,'1.3.21-28.2.22'!$A$6:$DA$404,90,FALSE)-VLOOKUP($A78,'01-02.2022'!$A$6:$DA$376,90,FALSE)</f>
        <v>17805.604513064492</v>
      </c>
      <c r="CM78" s="566">
        <f>VLOOKUP($A78,'01-02.2021'!$A$6:$CZ$403,91,FALSE)+VLOOKUP($A78,'1.3.21-28.2.22'!$A$6:$DA$404,91,FALSE)-VLOOKUP($A78,'01-02.2022'!$A$6:$DA$376,91,FALSE)</f>
        <v>15817.560310057155</v>
      </c>
      <c r="CN78" s="52">
        <f t="shared" si="97"/>
        <v>-1988.0442030073373</v>
      </c>
      <c r="CO78" s="39">
        <f t="shared" si="89"/>
        <v>35528.276358157607</v>
      </c>
      <c r="CP78" s="40">
        <f t="shared" si="98"/>
        <v>27420.678631616378</v>
      </c>
      <c r="CQ78" s="52">
        <f t="shared" si="99"/>
        <v>-8107.5977265412293</v>
      </c>
      <c r="CR78" s="72">
        <f t="shared" si="90"/>
        <v>548428.63261442143</v>
      </c>
      <c r="CS78" s="5">
        <f t="shared" si="90"/>
        <v>768894.46345241799</v>
      </c>
      <c r="CT78" s="52">
        <f t="shared" si="100"/>
        <v>220465.83083799656</v>
      </c>
      <c r="CU78" s="77">
        <f t="shared" si="101"/>
        <v>658114.35913730564</v>
      </c>
      <c r="CV78" s="65">
        <f t="shared" si="102"/>
        <v>922673.35614290158</v>
      </c>
      <c r="CW78" s="35">
        <f t="shared" si="103"/>
        <v>264558.99700559594</v>
      </c>
      <c r="CX78" s="566">
        <f>VLOOKUP($A78,'01-02.2021'!$A$6:$CZ$403,102,FALSE)+VLOOKUP($A78,'1.3.21-28.2.22'!$A$6:$DA$404,102,FALSE)-VLOOKUP($A78,'01-02.2022'!$A$6:$DA$376,102,FALSE)</f>
        <v>20817.943213227496</v>
      </c>
      <c r="CY78" s="566">
        <f>VLOOKUP($A78,'01-02.2021'!$A$6:$CZ$403,103,FALSE)+VLOOKUP($A78,'1.3.21-28.2.22'!$A$6:$DA$404,103,FALSE)-VLOOKUP($A78,'01-02.2022'!$A$6:$DA$376,103,FALSE)</f>
        <v>-243741.05379236856</v>
      </c>
      <c r="CZ78" s="52">
        <f t="shared" si="104"/>
        <v>-264558.99700559606</v>
      </c>
      <c r="DA78" s="150">
        <f>'[2]побудинковий звіт'!DA78</f>
        <v>137124.55698260284</v>
      </c>
      <c r="DB78" s="2">
        <v>1</v>
      </c>
      <c r="DC78" s="414">
        <f>'[4]побудинковий звіт'!DC78</f>
        <v>114918.8</v>
      </c>
      <c r="DD78" s="414">
        <f>'[4]побудинковий звіт'!DD78</f>
        <v>0</v>
      </c>
      <c r="DE78" s="557">
        <f>'[4]побудинковий звіт'!DE78</f>
        <v>53260.559129242691</v>
      </c>
      <c r="DF78" s="557">
        <f>'[4]побудинковий звіт'!DF78</f>
        <v>0</v>
      </c>
      <c r="DG78" s="321">
        <f>VLOOKUP(A78,'кошти 01.03.2021'!$A$6:$D$401,4,)</f>
        <v>-104752.4867808799</v>
      </c>
      <c r="DH78" s="40">
        <f>'[3]побудинковий звіт'!DJ78</f>
        <v>702960.16573037335</v>
      </c>
      <c r="DI78" s="422">
        <f>'[3]побудинковий звіт'!CU78+'[3]побудинковий звіт'!CX78</f>
        <v>61658.240870757319</v>
      </c>
      <c r="DJ78" s="306">
        <f>'[3]побудинковий звіт'!DM78</f>
        <v>5.822074067045433</v>
      </c>
      <c r="DK78" s="306">
        <f>'[3]побудинковий звіт'!DN78</f>
        <v>7.4971048378928344</v>
      </c>
      <c r="DL78" s="306">
        <f>'[3]побудинковий звіт'!DO78</f>
        <v>4.760442269285809</v>
      </c>
      <c r="DM78" s="28">
        <f>DJ78*G78+(F78-G78)*DK78</f>
        <v>61658.240870757312</v>
      </c>
      <c r="DN78" s="28">
        <f>DL78*H78</f>
        <v>0</v>
      </c>
      <c r="DO78" s="423">
        <f t="shared" si="105"/>
        <v>61658.240870757312</v>
      </c>
      <c r="DP78" s="94">
        <f t="shared" si="106"/>
        <v>0</v>
      </c>
      <c r="DQ78" s="28">
        <f t="shared" si="107"/>
        <v>61658.240870757312</v>
      </c>
      <c r="DR78" s="318"/>
      <c r="DT78" s="8"/>
      <c r="DU78" s="5"/>
      <c r="DX78" s="5">
        <f t="shared" si="108"/>
        <v>178803.38749590976</v>
      </c>
      <c r="DY78" s="5">
        <f t="shared" si="109"/>
        <v>432727.96937532182</v>
      </c>
      <c r="DZ78" s="159">
        <f>'[3]побудинковий звіт'!EA78</f>
        <v>17295.648684509648</v>
      </c>
    </row>
    <row r="79" spans="1:130" x14ac:dyDescent="0.3">
      <c r="A79" s="325">
        <v>150000530</v>
      </c>
      <c r="B79" s="41" t="s">
        <v>528</v>
      </c>
      <c r="C79" s="42" t="s">
        <v>63</v>
      </c>
      <c r="D79" s="42"/>
      <c r="E79" s="293">
        <f t="shared" si="85"/>
        <v>174.9</v>
      </c>
      <c r="F79" s="305">
        <f>'[3]побудинковий звіт'!F79</f>
        <v>174.9</v>
      </c>
      <c r="G79" s="508">
        <f>'[3]побудинковий звіт'!G79</f>
        <v>0</v>
      </c>
      <c r="H79" s="560">
        <f>'[3]побудинковий звіт'!H79</f>
        <v>0</v>
      </c>
      <c r="I79" s="566">
        <f>VLOOKUP($A79,'01-02.2021'!$A$6:$CZ$403,9,FALSE)+VLOOKUP($A79,'1.3.21-28.2.22'!$A$6:$DA$404,9,FALSE)-VLOOKUP($A79,'01-02.2022'!$A$6:$DA$376,9,FALSE)</f>
        <v>0</v>
      </c>
      <c r="J79" s="566">
        <f>VLOOKUP($A79,'01-02.2021'!$A$6:$CZ$403,10,FALSE)+VLOOKUP($A79,'1.3.21-28.2.22'!$A$6:$DA$404,10,FALSE)-VLOOKUP($A79,'01-02.2022'!$A$6:$DA$376,10,FALSE)</f>
        <v>0</v>
      </c>
      <c r="K79" s="52">
        <f t="shared" si="94"/>
        <v>0</v>
      </c>
      <c r="L79" s="566">
        <f>VLOOKUP($A79,'01-02.2021'!$A$6:$CZ$403,12,FALSE)+VLOOKUP($A79,'1.3.21-28.2.22'!$A$6:$DA$404,12,FALSE)-VLOOKUP($A79,'01-02.2022'!$A$6:$DA$376,12,FALSE)</f>
        <v>0</v>
      </c>
      <c r="M79" s="566">
        <f>VLOOKUP($A79,'01-02.2021'!$A$6:$CZ$403,13,FALSE)+VLOOKUP($A79,'1.3.21-28.2.22'!$A$6:$DA$404,13,FALSE)-VLOOKUP($A79,'01-02.2022'!$A$6:$DA$376,13,FALSE)</f>
        <v>0</v>
      </c>
      <c r="N79" s="52">
        <f t="shared" si="95"/>
        <v>0</v>
      </c>
      <c r="O79" s="566">
        <f>VLOOKUP($A79,'01-02.2021'!$A$6:$CZ$403,15,FALSE)+VLOOKUP($A79,'1.3.21-28.2.22'!$A$6:$DA$404,15,FALSE)-VLOOKUP($A79,'01-02.2022'!$A$6:$DA$376,15,FALSE)</f>
        <v>0</v>
      </c>
      <c r="P79" s="566">
        <f>VLOOKUP($A79,'01-02.2021'!$A$6:$CZ$403,16,FALSE)+VLOOKUP($A79,'1.3.21-28.2.22'!$A$6:$DA$404,16,FALSE)-VLOOKUP($A79,'01-02.2022'!$A$6:$DA$376,16,FALSE)</f>
        <v>0</v>
      </c>
      <c r="Q79" s="70">
        <f t="shared" si="111"/>
        <v>0</v>
      </c>
      <c r="R79" s="566">
        <f>VLOOKUP($A79,'01-02.2021'!$A$6:$CZ$403,18,FALSE)+VLOOKUP($A79,'1.3.21-28.2.22'!$A$6:$DA$404,18,FALSE)-VLOOKUP($A79,'01-02.2022'!$A$6:$DA$376,18,FALSE)</f>
        <v>0</v>
      </c>
      <c r="S79" s="566">
        <f>VLOOKUP($A79,'01-02.2021'!$A$6:$CZ$403,19,FALSE)+VLOOKUP($A79,'1.3.21-28.2.22'!$A$6:$DA$404,19,FALSE)-VLOOKUP($A79,'01-02.2022'!$A$6:$DA$376,19,FALSE)</f>
        <v>0</v>
      </c>
      <c r="T79" s="70">
        <f t="shared" si="112"/>
        <v>0</v>
      </c>
      <c r="U79" s="566">
        <f>VLOOKUP($A79,'01-02.2021'!$A$6:$CZ$403,21,FALSE)+VLOOKUP($A79,'1.3.21-28.2.22'!$A$6:$DA$404,21,FALSE)-VLOOKUP($A79,'01-02.2022'!$A$6:$DA$376,21,FALSE)</f>
        <v>0</v>
      </c>
      <c r="V79" s="566">
        <f>VLOOKUP($A79,'01-02.2021'!$A$6:$CZ$403,22,FALSE)+VLOOKUP($A79,'1.3.21-28.2.22'!$A$6:$DA$404,22,FALSE)-VLOOKUP($A79,'01-02.2022'!$A$6:$DA$376,22,FALSE)</f>
        <v>0</v>
      </c>
      <c r="W79" s="70">
        <f t="shared" si="113"/>
        <v>0</v>
      </c>
      <c r="X79" s="566">
        <f>VLOOKUP($A79,'01-02.2021'!$A$6:$CZ$403,24,FALSE)+VLOOKUP($A79,'1.3.21-28.2.22'!$A$6:$DA$404,24,FALSE)-VLOOKUP($A79,'01-02.2022'!$A$6:$DA$376,24,FALSE)</f>
        <v>0</v>
      </c>
      <c r="Y79" s="566">
        <f>VLOOKUP($A79,'01-02.2021'!$A$6:$CZ$403,25,FALSE)+VLOOKUP($A79,'1.3.21-28.2.22'!$A$6:$DA$404,25,FALSE)-VLOOKUP($A79,'01-02.2022'!$A$6:$DA$376,25,FALSE)</f>
        <v>0</v>
      </c>
      <c r="Z79" s="70">
        <f t="shared" si="114"/>
        <v>0</v>
      </c>
      <c r="AA79" s="566">
        <f>VLOOKUP($A79,'01-02.2021'!$A$6:$CZ$403,27,FALSE)+VLOOKUP($A79,'1.3.21-28.2.22'!$A$6:$DA$404,27,FALSE)-VLOOKUP($A79,'01-02.2022'!$A$6:$DA$376,27,FALSE)</f>
        <v>36.183999999999997</v>
      </c>
      <c r="AB79" s="566">
        <f>VLOOKUP($A79,'01-02.2021'!$A$6:$CZ$403,28,FALSE)+VLOOKUP($A79,'1.3.21-28.2.22'!$A$6:$DA$404,28,FALSE)-VLOOKUP($A79,'01-02.2022'!$A$6:$DA$376,28,FALSE)</f>
        <v>0</v>
      </c>
      <c r="AC79" s="70">
        <f t="shared" si="115"/>
        <v>-36.183999999999997</v>
      </c>
      <c r="AD79" s="566">
        <f>VLOOKUP($A79,'01-02.2021'!$A$6:$CZ$403,30,FALSE)+VLOOKUP($A79,'1.3.21-28.2.22'!$A$6:$DA$404,30,FALSE)-VLOOKUP($A79,'01-02.2022'!$A$6:$DA$376,30,FALSE)</f>
        <v>289.68646765252618</v>
      </c>
      <c r="AE79" s="566">
        <f>VLOOKUP($A79,'01-02.2021'!$A$6:$CZ$403,31,FALSE)+VLOOKUP($A79,'1.3.21-28.2.22'!$A$6:$DA$404,31,FALSE)-VLOOKUP($A79,'01-02.2022'!$A$6:$DA$376,31,FALSE)</f>
        <v>796.15184711458721</v>
      </c>
      <c r="AF79" s="68">
        <f t="shared" si="116"/>
        <v>506.46537946206104</v>
      </c>
      <c r="AG79" s="77">
        <f t="shared" si="86"/>
        <v>325.87046765252614</v>
      </c>
      <c r="AH79" s="53">
        <f t="shared" si="86"/>
        <v>796.15184711458721</v>
      </c>
      <c r="AI79" s="52">
        <f t="shared" si="96"/>
        <v>470.28137946206107</v>
      </c>
      <c r="AJ79" s="566">
        <f>VLOOKUP($A79,'01-02.2021'!$A$6:$CZ$403,36,FALSE)+VLOOKUP($A79,'1.3.21-28.2.22'!$A$6:$DA$404,36,FALSE)-VLOOKUP($A79,'01-02.2022'!$A$6:$DA$376,36,FALSE)</f>
        <v>0</v>
      </c>
      <c r="AK79" s="566">
        <f>VLOOKUP($A79,'01-02.2021'!$A$6:$CZ$403,37,FALSE)+VLOOKUP($A79,'1.3.21-28.2.22'!$A$6:$DA$404,37,FALSE)-VLOOKUP($A79,'01-02.2022'!$A$6:$DA$376,37,FALSE)</f>
        <v>0</v>
      </c>
      <c r="AL79" s="70">
        <f t="shared" si="117"/>
        <v>0</v>
      </c>
      <c r="AM79" s="566">
        <f>VLOOKUP($A79,'01-02.2021'!$A$6:$CZ$403,39,FALSE)+VLOOKUP($A79,'1.3.21-28.2.22'!$A$6:$DA$404,39,FALSE)-VLOOKUP($A79,'01-02.2022'!$A$6:$DA$376,39,FALSE)</f>
        <v>0</v>
      </c>
      <c r="AN79" s="566">
        <f>VLOOKUP($A79,'01-02.2021'!$A$6:$CZ$403,40,FALSE)+VLOOKUP($A79,'1.3.21-28.2.22'!$A$6:$DA$404,40,FALSE)-VLOOKUP($A79,'01-02.2022'!$A$6:$DA$376,40,FALSE)</f>
        <v>0</v>
      </c>
      <c r="AO79" s="70">
        <f t="shared" si="118"/>
        <v>0</v>
      </c>
      <c r="AP79" s="566">
        <f>VLOOKUP($A79,'01-02.2021'!$A$6:$CZ$403,42,FALSE)+VLOOKUP($A79,'1.3.21-28.2.22'!$A$6:$DA$404,42,FALSE)-VLOOKUP($A79,'01-02.2022'!$A$6:$DA$376,42,FALSE)</f>
        <v>650.699906265972</v>
      </c>
      <c r="AQ79" s="566">
        <f>VLOOKUP($A79,'01-02.2021'!$A$6:$CZ$403,43,FALSE)+VLOOKUP($A79,'1.3.21-28.2.22'!$A$6:$DA$404,43,FALSE)-VLOOKUP($A79,'01-02.2022'!$A$6:$DA$376,43,FALSE)</f>
        <v>561.61674142906304</v>
      </c>
      <c r="AR79" s="70">
        <f t="shared" si="119"/>
        <v>-89.083164836908963</v>
      </c>
      <c r="AS79" s="566">
        <f>VLOOKUP($A79,'01-02.2021'!$A$6:$CZ$403,45,FALSE)+VLOOKUP($A79,'1.3.21-28.2.22'!$A$6:$DA$404,45,FALSE)-VLOOKUP($A79,'01-02.2022'!$A$6:$DA$376,45,FALSE)</f>
        <v>2645.4096760797725</v>
      </c>
      <c r="AT79" s="566">
        <f>VLOOKUP($A79,'01-02.2021'!$A$6:$CZ$403,46,FALSE)+VLOOKUP($A79,'1.3.21-28.2.22'!$A$6:$DA$404,46,FALSE)-VLOOKUP($A79,'01-02.2022'!$A$6:$DA$376,46,FALSE)</f>
        <v>2298</v>
      </c>
      <c r="AU79" s="78">
        <f t="shared" si="120"/>
        <v>-347.40967607977245</v>
      </c>
      <c r="AV79" s="566">
        <f>VLOOKUP($A79,'01-02.2021'!$A$6:$CZ$403,48,FALSE)+VLOOKUP($A79,'1.3.21-28.2.22'!$A$6:$DA$404,48,FALSE)-VLOOKUP($A79,'01-02.2022'!$A$6:$DA$376,48,FALSE)</f>
        <v>0</v>
      </c>
      <c r="AW79" s="566">
        <f>VLOOKUP($A79,'01-02.2021'!$A$6:$CZ$403,49,FALSE)+VLOOKUP($A79,'1.3.21-28.2.22'!$A$6:$DA$404,49,FALSE)-VLOOKUP($A79,'01-02.2022'!$A$6:$DA$376,49,FALSE)</f>
        <v>0</v>
      </c>
      <c r="AX79" s="55">
        <f t="shared" si="121"/>
        <v>0</v>
      </c>
      <c r="AY79" s="566">
        <f>VLOOKUP($A79,'01-02.2021'!$A$6:$CZ$403,51,FALSE)+VLOOKUP($A79,'1.3.21-28.2.22'!$A$6:$DA$404,51,FALSE)-VLOOKUP($A79,'01-02.2022'!$A$6:$DA$376,51,FALSE)</f>
        <v>0</v>
      </c>
      <c r="AZ79" s="566">
        <f>VLOOKUP($A79,'01-02.2021'!$A$6:$CZ$403,52,FALSE)+VLOOKUP($A79,'1.3.21-28.2.22'!$A$6:$DA$404,52,FALSE)-VLOOKUP($A79,'01-02.2022'!$A$6:$DA$376,52,FALSE)</f>
        <v>0</v>
      </c>
      <c r="BA79" s="38">
        <f t="shared" si="122"/>
        <v>0</v>
      </c>
      <c r="BB79" s="566">
        <f>VLOOKUP($A79,'01-02.2021'!$A$6:$CZ$403,54,FALSE)+VLOOKUP($A79,'1.3.21-28.2.22'!$A$6:$DA$404,54,FALSE)-VLOOKUP($A79,'01-02.2022'!$A$6:$DA$376,54,FALSE)</f>
        <v>0</v>
      </c>
      <c r="BC79" s="566">
        <f>VLOOKUP($A79,'01-02.2021'!$A$6:$CZ$403,55,FALSE)+VLOOKUP($A79,'1.3.21-28.2.22'!$A$6:$DA$404,55,FALSE)-VLOOKUP($A79,'01-02.2022'!$A$6:$DA$376,55,FALSE)</f>
        <v>0</v>
      </c>
      <c r="BD79" s="55">
        <f t="shared" si="123"/>
        <v>0</v>
      </c>
      <c r="BE79" s="566">
        <f>VLOOKUP($A79,'01-02.2021'!$A$6:$CZ$403,57,FALSE)+VLOOKUP($A79,'1.3.21-28.2.22'!$A$6:$DA$404,57,FALSE)-VLOOKUP($A79,'01-02.2022'!$A$6:$DA$376,57,FALSE)</f>
        <v>0</v>
      </c>
      <c r="BF79" s="566">
        <f>VLOOKUP($A79,'01-02.2021'!$A$6:$CZ$403,58,FALSE)+VLOOKUP($A79,'1.3.21-28.2.22'!$A$6:$DA$404,58,FALSE)-VLOOKUP($A79,'01-02.2022'!$A$6:$DA$376,58,FALSE)</f>
        <v>0</v>
      </c>
      <c r="BG79" s="55">
        <f t="shared" si="124"/>
        <v>0</v>
      </c>
      <c r="BH79" s="566">
        <f>VLOOKUP($A79,'01-02.2021'!$A$6:$CZ$403,60,FALSE)+VLOOKUP($A79,'1.3.21-28.2.22'!$A$6:$DA$404,60,FALSE)-VLOOKUP($A79,'01-02.2022'!$A$6:$DA$376,60,FALSE)</f>
        <v>0</v>
      </c>
      <c r="BI79" s="566">
        <f>VLOOKUP($A79,'01-02.2021'!$A$6:$CZ$403,61,FALSE)+VLOOKUP($A79,'1.3.21-28.2.22'!$A$6:$DA$404,61,FALSE)-VLOOKUP($A79,'01-02.2022'!$A$6:$DA$376,61,FALSE)</f>
        <v>0</v>
      </c>
      <c r="BJ79" s="55">
        <f t="shared" si="125"/>
        <v>0</v>
      </c>
      <c r="BK79" s="566">
        <f>VLOOKUP($A79,'01-02.2021'!$A$6:$CZ$403,63,FALSE)+VLOOKUP($A79,'1.3.21-28.2.22'!$A$6:$DA$404,63,FALSE)-VLOOKUP($A79,'01-02.2022'!$A$6:$DA$376,63,FALSE)</f>
        <v>0</v>
      </c>
      <c r="BL79" s="566">
        <f>VLOOKUP($A79,'01-02.2021'!$A$6:$CZ$403,64,FALSE)+VLOOKUP($A79,'1.3.21-28.2.22'!$A$6:$DA$404,64,FALSE)-VLOOKUP($A79,'01-02.2022'!$A$6:$DA$376,64,FALSE)</f>
        <v>0</v>
      </c>
      <c r="BM79" s="55">
        <f t="shared" si="126"/>
        <v>0</v>
      </c>
      <c r="BN79" s="566">
        <f>VLOOKUP($A79,'01-02.2021'!$A$6:$CZ$403,66,FALSE)+VLOOKUP($A79,'1.3.21-28.2.22'!$A$6:$DA$404,66,FALSE)-VLOOKUP($A79,'01-02.2022'!$A$6:$DA$376,66,FALSE)</f>
        <v>17.870527182717694</v>
      </c>
      <c r="BO79" s="566">
        <f>VLOOKUP($A79,'01-02.2021'!$A$6:$CZ$403,67,FALSE)+VLOOKUP($A79,'1.3.21-28.2.22'!$A$6:$DA$404,67,FALSE)-VLOOKUP($A79,'01-02.2022'!$A$6:$DA$376,67,FALSE)</f>
        <v>0</v>
      </c>
      <c r="BP79" s="55">
        <f t="shared" si="127"/>
        <v>-17.870527182717694</v>
      </c>
      <c r="BQ79" s="77">
        <f t="shared" si="87"/>
        <v>17.870527182717694</v>
      </c>
      <c r="BR79" s="40">
        <f t="shared" si="88"/>
        <v>0</v>
      </c>
      <c r="BS79" s="55">
        <f t="shared" si="110"/>
        <v>-17.870527182717694</v>
      </c>
      <c r="BT79" s="566">
        <f>VLOOKUP($A79,'01-02.2021'!$A$6:$CZ$403,72,FALSE)+VLOOKUP($A79,'1.3.21-28.2.22'!$A$6:$DA$404,72,FALSE)-VLOOKUP($A79,'01-02.2022'!$A$6:$DA$376,72,FALSE)</f>
        <v>0</v>
      </c>
      <c r="BU79" s="566">
        <f>VLOOKUP($A79,'01-02.2021'!$A$6:$CZ$403,73,FALSE)+VLOOKUP($A79,'1.3.21-28.2.22'!$A$6:$DA$404,73,FALSE)-VLOOKUP($A79,'01-02.2022'!$A$6:$DA$376,73,FALSE)</f>
        <v>0</v>
      </c>
      <c r="BV79" s="70">
        <f t="shared" si="128"/>
        <v>0</v>
      </c>
      <c r="BW79" s="566">
        <f>VLOOKUP($A79,'01-02.2021'!$A$6:$CZ$403,75,FALSE)+VLOOKUP($A79,'1.3.21-28.2.22'!$A$6:$DA$404,75,FALSE)-VLOOKUP($A79,'01-02.2022'!$A$6:$DA$376,75,FALSE)</f>
        <v>0</v>
      </c>
      <c r="BX79" s="566">
        <f>VLOOKUP($A79,'01-02.2021'!$A$6:$CZ$403,76,FALSE)+VLOOKUP($A79,'1.3.21-28.2.22'!$A$6:$DA$404,76,FALSE)-VLOOKUP($A79,'01-02.2022'!$A$6:$DA$376,76,FALSE)</f>
        <v>3.9197871948927991</v>
      </c>
      <c r="BY79" s="70">
        <f t="shared" si="129"/>
        <v>3.9197871948927991</v>
      </c>
      <c r="BZ79" s="566">
        <f>VLOOKUP($A79,'01-02.2021'!$A$6:$CZ$403,78,FALSE)+VLOOKUP($A79,'1.3.21-28.2.22'!$A$6:$DA$404,78,FALSE)-VLOOKUP($A79,'01-02.2022'!$A$6:$DA$376,78,FALSE)</f>
        <v>0</v>
      </c>
      <c r="CA79" s="566">
        <f>VLOOKUP($A79,'01-02.2021'!$A$6:$CZ$403,79,FALSE)+VLOOKUP($A79,'1.3.21-28.2.22'!$A$6:$DA$404,79,FALSE)-VLOOKUP($A79,'01-02.2022'!$A$6:$DA$376,79,FALSE)</f>
        <v>0</v>
      </c>
      <c r="CB79" s="70">
        <f t="shared" si="130"/>
        <v>0</v>
      </c>
      <c r="CC79" s="566">
        <f>VLOOKUP($A79,'01-02.2021'!$A$6:$CZ$403,81,FALSE)+VLOOKUP($A79,'1.3.21-28.2.22'!$A$6:$DA$404,81,FALSE)-VLOOKUP($A79,'01-02.2022'!$A$6:$DA$376,81,FALSE)</f>
        <v>0</v>
      </c>
      <c r="CD79" s="566">
        <f>VLOOKUP($A79,'01-02.2021'!$A$6:$CZ$403,82,FALSE)+VLOOKUP($A79,'1.3.21-28.2.22'!$A$6:$DA$404,82,FALSE)-VLOOKUP($A79,'01-02.2022'!$A$6:$DA$376,82,FALSE)</f>
        <v>0</v>
      </c>
      <c r="CE79" s="70">
        <f t="shared" si="131"/>
        <v>0</v>
      </c>
      <c r="CF79" s="566">
        <f>VLOOKUP($A79,'01-02.2021'!$A$6:$CZ$403,84,FALSE)+VLOOKUP($A79,'1.3.21-28.2.22'!$A$6:$DA$404,84,FALSE)-VLOOKUP($A79,'01-02.2022'!$A$6:$DA$376,84,FALSE)</f>
        <v>0</v>
      </c>
      <c r="CG79" s="566">
        <f>VLOOKUP($A79,'01-02.2021'!$A$6:$CZ$403,85,FALSE)+VLOOKUP($A79,'1.3.21-28.2.22'!$A$6:$DA$404,85,FALSE)-VLOOKUP($A79,'01-02.2022'!$A$6:$DA$376,85,FALSE)</f>
        <v>0</v>
      </c>
      <c r="CH79" s="70">
        <f t="shared" si="132"/>
        <v>0</v>
      </c>
      <c r="CI79" s="566">
        <f>VLOOKUP($A79,'01-02.2021'!$A$6:$CZ$403,87,FALSE)+VLOOKUP($A79,'1.3.21-28.2.22'!$A$6:$DA$404,87,FALSE)-VLOOKUP($A79,'01-02.2022'!$A$6:$DA$376,87,FALSE)</f>
        <v>0</v>
      </c>
      <c r="CJ79" s="566">
        <f>VLOOKUP($A79,'01-02.2021'!$A$6:$CZ$403,88,FALSE)+VLOOKUP($A79,'1.3.21-28.2.22'!$A$6:$DA$404,88,FALSE)-VLOOKUP($A79,'01-02.2022'!$A$6:$DA$376,88,FALSE)</f>
        <v>0</v>
      </c>
      <c r="CK79" s="70">
        <f t="shared" si="133"/>
        <v>0</v>
      </c>
      <c r="CL79" s="566">
        <f>VLOOKUP($A79,'01-02.2021'!$A$6:$CZ$403,90,FALSE)+VLOOKUP($A79,'1.3.21-28.2.22'!$A$6:$DA$404,90,FALSE)-VLOOKUP($A79,'01-02.2022'!$A$6:$DA$376,90,FALSE)</f>
        <v>0</v>
      </c>
      <c r="CM79" s="566">
        <f>VLOOKUP($A79,'01-02.2021'!$A$6:$CZ$403,91,FALSE)+VLOOKUP($A79,'1.3.21-28.2.22'!$A$6:$DA$404,91,FALSE)-VLOOKUP($A79,'01-02.2022'!$A$6:$DA$376,91,FALSE)</f>
        <v>0</v>
      </c>
      <c r="CN79" s="52">
        <f t="shared" si="97"/>
        <v>0</v>
      </c>
      <c r="CO79" s="39">
        <f t="shared" si="89"/>
        <v>0</v>
      </c>
      <c r="CP79" s="40">
        <f t="shared" si="98"/>
        <v>0</v>
      </c>
      <c r="CQ79" s="52">
        <f t="shared" si="99"/>
        <v>0</v>
      </c>
      <c r="CR79" s="72">
        <f t="shared" si="90"/>
        <v>3639.8505771809882</v>
      </c>
      <c r="CS79" s="5">
        <f t="shared" si="90"/>
        <v>3659.6883757385431</v>
      </c>
      <c r="CT79" s="52">
        <f t="shared" si="100"/>
        <v>19.837798557554834</v>
      </c>
      <c r="CU79" s="77">
        <f t="shared" si="101"/>
        <v>4367.8206926171861</v>
      </c>
      <c r="CV79" s="65">
        <f t="shared" si="102"/>
        <v>4391.6260508862515</v>
      </c>
      <c r="CW79" s="35">
        <f t="shared" si="103"/>
        <v>23.805358269065437</v>
      </c>
      <c r="CX79" s="566">
        <f>VLOOKUP($A79,'01-02.2021'!$A$6:$CZ$403,102,FALSE)+VLOOKUP($A79,'1.3.21-28.2.22'!$A$6:$DA$404,102,FALSE)-VLOOKUP($A79,'01-02.2022'!$A$6:$DA$376,102,FALSE)</f>
        <v>125.18638158964848</v>
      </c>
      <c r="CY79" s="566">
        <f>VLOOKUP($A79,'01-02.2021'!$A$6:$CZ$403,103,FALSE)+VLOOKUP($A79,'1.3.21-28.2.22'!$A$6:$DA$404,103,FALSE)-VLOOKUP($A79,'01-02.2022'!$A$6:$DA$376,103,FALSE)</f>
        <v>101.38102332058247</v>
      </c>
      <c r="CZ79" s="52">
        <f t="shared" si="104"/>
        <v>-23.805358269066005</v>
      </c>
      <c r="DA79" s="150">
        <f>'[2]побудинковий звіт'!DA79</f>
        <v>8394.2611471599193</v>
      </c>
      <c r="DB79" s="2">
        <v>1</v>
      </c>
      <c r="DC79" s="414">
        <f>'[4]побудинковий звіт'!DC79</f>
        <v>1947.21</v>
      </c>
      <c r="DD79" s="414">
        <f>'[4]побудинковий звіт'!DD79</f>
        <v>0</v>
      </c>
      <c r="DE79" s="557">
        <f>'[4]побудинковий звіт'!DE79</f>
        <v>1544.095435623336</v>
      </c>
      <c r="DF79" s="557">
        <f>'[4]побудинковий звіт'!DF79</f>
        <v>0</v>
      </c>
      <c r="DG79" s="321">
        <f>VLOOKUP(A79,'кошти 01.03.2021'!$A$6:$D$401,4,)</f>
        <v>10714.688984504486</v>
      </c>
      <c r="DH79" s="40">
        <f>'[3]побудинковий звіт'!DJ79</f>
        <v>4628.3273192160686</v>
      </c>
      <c r="DI79" s="422">
        <f>'[3]побудинковий звіт'!CU79+'[3]побудинковий звіт'!CX79</f>
        <v>403.11403103865177</v>
      </c>
      <c r="DJ79" s="306">
        <f>'[3]побудинковий звіт'!DM79</f>
        <v>2.3048288414903602</v>
      </c>
      <c r="DK79" s="306">
        <f t="shared" ref="DK79:DK81" si="134">DJ79</f>
        <v>2.3048288414903602</v>
      </c>
      <c r="DL79" s="306">
        <f>'[3]побудинковий звіт'!DO79</f>
        <v>2.3048288414903602</v>
      </c>
      <c r="DM79" s="28">
        <f t="shared" ref="DM79:DM81" si="135">F79*DJ79</f>
        <v>403.11456437666402</v>
      </c>
      <c r="DN79" s="28">
        <f>H79*DL79</f>
        <v>0</v>
      </c>
      <c r="DO79" s="423">
        <f t="shared" si="105"/>
        <v>403.11456437666402</v>
      </c>
      <c r="DP79" s="94">
        <f t="shared" si="106"/>
        <v>-5.3333801224653143E-4</v>
      </c>
      <c r="DQ79" s="28">
        <f t="shared" si="107"/>
        <v>403.11456437666402</v>
      </c>
      <c r="DR79" s="318"/>
      <c r="DT79" s="8"/>
      <c r="DU79" s="5"/>
      <c r="DX79" s="5">
        <f t="shared" si="108"/>
        <v>3195.9362439149877</v>
      </c>
      <c r="DY79" s="5">
        <f t="shared" si="109"/>
        <v>2757.6</v>
      </c>
      <c r="DZ79" s="159">
        <f>'[3]побудинковий звіт'!EA79</f>
        <v>326.1303497273916</v>
      </c>
    </row>
    <row r="80" spans="1:130" x14ac:dyDescent="0.3">
      <c r="A80" s="325">
        <v>150000543</v>
      </c>
      <c r="B80" s="41" t="s">
        <v>529</v>
      </c>
      <c r="C80" s="42" t="s">
        <v>64</v>
      </c>
      <c r="D80" s="42"/>
      <c r="E80" s="293">
        <f t="shared" si="85"/>
        <v>121.2</v>
      </c>
      <c r="F80" s="305">
        <f>'[3]побудинковий звіт'!F80</f>
        <v>121.2</v>
      </c>
      <c r="G80" s="508">
        <f>'[3]побудинковий звіт'!G80</f>
        <v>0</v>
      </c>
      <c r="H80" s="560">
        <f>'[3]побудинковий звіт'!H80</f>
        <v>0</v>
      </c>
      <c r="I80" s="566"/>
      <c r="J80" s="566"/>
      <c r="K80" s="52">
        <f t="shared" si="94"/>
        <v>0</v>
      </c>
      <c r="L80" s="566"/>
      <c r="M80" s="566"/>
      <c r="N80" s="52">
        <f t="shared" si="95"/>
        <v>0</v>
      </c>
      <c r="O80" s="566"/>
      <c r="P80" s="566"/>
      <c r="Q80" s="70"/>
      <c r="R80" s="566"/>
      <c r="S80" s="566"/>
      <c r="T80" s="70"/>
      <c r="U80" s="566"/>
      <c r="V80" s="566"/>
      <c r="W80" s="70"/>
      <c r="X80" s="566"/>
      <c r="Y80" s="566"/>
      <c r="Z80" s="70"/>
      <c r="AA80" s="566"/>
      <c r="AB80" s="566"/>
      <c r="AC80" s="70"/>
      <c r="AD80" s="566"/>
      <c r="AE80" s="566"/>
      <c r="AF80" s="68"/>
      <c r="AG80" s="77">
        <f t="shared" si="86"/>
        <v>0</v>
      </c>
      <c r="AH80" s="53">
        <f t="shared" si="86"/>
        <v>0</v>
      </c>
      <c r="AI80" s="52">
        <f t="shared" si="96"/>
        <v>0</v>
      </c>
      <c r="AJ80" s="566"/>
      <c r="AK80" s="566"/>
      <c r="AL80" s="70"/>
      <c r="AM80" s="566"/>
      <c r="AN80" s="566"/>
      <c r="AO80" s="70"/>
      <c r="AP80" s="566"/>
      <c r="AQ80" s="566"/>
      <c r="AR80" s="70"/>
      <c r="AS80" s="566"/>
      <c r="AT80" s="566"/>
      <c r="AU80" s="78"/>
      <c r="AV80" s="566"/>
      <c r="AW80" s="566"/>
      <c r="AX80" s="55"/>
      <c r="AY80" s="566"/>
      <c r="AZ80" s="566"/>
      <c r="BA80" s="38"/>
      <c r="BB80" s="566"/>
      <c r="BC80" s="566"/>
      <c r="BD80" s="55"/>
      <c r="BE80" s="566"/>
      <c r="BF80" s="566"/>
      <c r="BG80" s="55"/>
      <c r="BH80" s="566"/>
      <c r="BI80" s="566"/>
      <c r="BJ80" s="55"/>
      <c r="BK80" s="566"/>
      <c r="BL80" s="566"/>
      <c r="BM80" s="55"/>
      <c r="BN80" s="566"/>
      <c r="BO80" s="566"/>
      <c r="BP80" s="55"/>
      <c r="BQ80" s="77">
        <f t="shared" si="87"/>
        <v>0</v>
      </c>
      <c r="BR80" s="40">
        <f t="shared" si="88"/>
        <v>0</v>
      </c>
      <c r="BS80" s="55">
        <f t="shared" si="110"/>
        <v>0</v>
      </c>
      <c r="BT80" s="566"/>
      <c r="BU80" s="566"/>
      <c r="BV80" s="70"/>
      <c r="BW80" s="566"/>
      <c r="BX80" s="566"/>
      <c r="BY80" s="70"/>
      <c r="BZ80" s="566"/>
      <c r="CA80" s="566"/>
      <c r="CB80" s="70"/>
      <c r="CC80" s="566"/>
      <c r="CD80" s="566"/>
      <c r="CE80" s="70"/>
      <c r="CF80" s="566"/>
      <c r="CG80" s="566"/>
      <c r="CH80" s="70"/>
      <c r="CI80" s="566"/>
      <c r="CJ80" s="566"/>
      <c r="CK80" s="70"/>
      <c r="CL80" s="566"/>
      <c r="CM80" s="566"/>
      <c r="CN80" s="52">
        <f t="shared" si="97"/>
        <v>0</v>
      </c>
      <c r="CO80" s="39">
        <f t="shared" si="89"/>
        <v>0</v>
      </c>
      <c r="CP80" s="40">
        <f t="shared" si="98"/>
        <v>0</v>
      </c>
      <c r="CQ80" s="52">
        <f t="shared" si="99"/>
        <v>0</v>
      </c>
      <c r="CR80" s="72">
        <f t="shared" si="90"/>
        <v>0</v>
      </c>
      <c r="CS80" s="5">
        <f t="shared" si="90"/>
        <v>0</v>
      </c>
      <c r="CT80" s="52">
        <f t="shared" si="100"/>
        <v>0</v>
      </c>
      <c r="CU80" s="77">
        <f t="shared" si="101"/>
        <v>0</v>
      </c>
      <c r="CV80" s="65">
        <f t="shared" si="102"/>
        <v>0</v>
      </c>
      <c r="CW80" s="35">
        <f t="shared" si="103"/>
        <v>0</v>
      </c>
      <c r="CX80" s="566"/>
      <c r="CY80" s="566"/>
      <c r="CZ80" s="52">
        <f t="shared" si="104"/>
        <v>0</v>
      </c>
      <c r="DA80" s="150">
        <f>'[2]побудинковий звіт'!DA80</f>
        <v>-665.82669525539859</v>
      </c>
      <c r="DB80" s="2">
        <v>1</v>
      </c>
      <c r="DC80" s="414">
        <f>'[4]побудинковий звіт'!DC80</f>
        <v>1026.52</v>
      </c>
      <c r="DD80" s="414">
        <f>'[4]побудинковий звіт'!DD80</f>
        <v>0</v>
      </c>
      <c r="DE80" s="557">
        <f>'[4]побудинковий звіт'!DE80</f>
        <v>808.76233921473658</v>
      </c>
      <c r="DF80" s="557">
        <f>'[4]побудинковий звіт'!DF80</f>
        <v>0</v>
      </c>
      <c r="DG80" s="321">
        <f>VLOOKUP(A80,'кошти 01.03.2021'!$A$6:$D$401,4,)</f>
        <v>627.11557438821501</v>
      </c>
      <c r="DH80" s="40">
        <f>'[3]побудинковий звіт'!DJ80</f>
        <v>2482.5782569707453</v>
      </c>
      <c r="DI80" s="422">
        <f>'[3]побудинковий звіт'!CU80+'[3]побудинковий звіт'!CX80</f>
        <v>217.7574500310661</v>
      </c>
      <c r="DJ80" s="306">
        <f>'[3]побудинковий звіт'!DM80</f>
        <v>1.796680369515375</v>
      </c>
      <c r="DK80" s="306">
        <f t="shared" si="134"/>
        <v>1.796680369515375</v>
      </c>
      <c r="DL80" s="306">
        <f>'[3]побудинковий звіт'!DO80</f>
        <v>1.796680369515375</v>
      </c>
      <c r="DM80" s="28">
        <f t="shared" si="135"/>
        <v>217.75766078526345</v>
      </c>
      <c r="DN80" s="28">
        <f>H80*DL80</f>
        <v>0</v>
      </c>
      <c r="DO80" s="423">
        <f t="shared" si="105"/>
        <v>217.75766078526345</v>
      </c>
      <c r="DP80" s="94">
        <f t="shared" si="106"/>
        <v>-2.1075419735439027E-4</v>
      </c>
      <c r="DQ80" s="28">
        <f t="shared" si="107"/>
        <v>217.75766078526345</v>
      </c>
      <c r="DR80" s="318"/>
      <c r="DT80" s="8"/>
      <c r="DU80" s="5"/>
      <c r="DX80" s="5">
        <f t="shared" si="108"/>
        <v>0</v>
      </c>
      <c r="DY80" s="5">
        <f t="shared" si="109"/>
        <v>0</v>
      </c>
      <c r="DZ80" s="159">
        <f>'[3]побудинковий звіт'!EA80</f>
        <v>179.30067007161122</v>
      </c>
    </row>
    <row r="81" spans="1:130" x14ac:dyDescent="0.3">
      <c r="A81" s="325">
        <v>150000544</v>
      </c>
      <c r="B81" s="41" t="s">
        <v>530</v>
      </c>
      <c r="C81" s="42" t="s">
        <v>65</v>
      </c>
      <c r="D81" s="42"/>
      <c r="E81" s="293">
        <f t="shared" si="85"/>
        <v>136.9</v>
      </c>
      <c r="F81" s="305">
        <f>'[3]побудинковий звіт'!F81</f>
        <v>136.9</v>
      </c>
      <c r="G81" s="508">
        <f>'[3]побудинковий звіт'!G81</f>
        <v>0</v>
      </c>
      <c r="H81" s="560">
        <f>'[3]побудинковий звіт'!H81</f>
        <v>0</v>
      </c>
      <c r="I81" s="566">
        <f>VLOOKUP($A81,'01-02.2021'!$A$6:$CZ$403,9,FALSE)+VLOOKUP($A81,'1.3.21-28.2.22'!$A$6:$DA$404,9,FALSE)-VLOOKUP($A81,'01-02.2022'!$A$6:$DA$376,9,FALSE)</f>
        <v>0</v>
      </c>
      <c r="J81" s="566">
        <f>VLOOKUP($A81,'01-02.2021'!$A$6:$CZ$403,10,FALSE)+VLOOKUP($A81,'1.3.21-28.2.22'!$A$6:$DA$404,10,FALSE)-VLOOKUP($A81,'01-02.2022'!$A$6:$DA$376,10,FALSE)</f>
        <v>0</v>
      </c>
      <c r="K81" s="52">
        <f t="shared" si="94"/>
        <v>0</v>
      </c>
      <c r="L81" s="566">
        <f>VLOOKUP($A81,'01-02.2021'!$A$6:$CZ$403,12,FALSE)+VLOOKUP($A81,'1.3.21-28.2.22'!$A$6:$DA$404,12,FALSE)-VLOOKUP($A81,'01-02.2022'!$A$6:$DA$376,12,FALSE)</f>
        <v>0</v>
      </c>
      <c r="M81" s="566">
        <f>VLOOKUP($A81,'01-02.2021'!$A$6:$CZ$403,13,FALSE)+VLOOKUP($A81,'1.3.21-28.2.22'!$A$6:$DA$404,13,FALSE)-VLOOKUP($A81,'01-02.2022'!$A$6:$DA$376,13,FALSE)</f>
        <v>0</v>
      </c>
      <c r="N81" s="52">
        <f t="shared" si="95"/>
        <v>0</v>
      </c>
      <c r="O81" s="566">
        <f>VLOOKUP($A81,'01-02.2021'!$A$6:$CZ$403,15,FALSE)+VLOOKUP($A81,'1.3.21-28.2.22'!$A$6:$DA$404,15,FALSE)-VLOOKUP($A81,'01-02.2022'!$A$6:$DA$376,15,FALSE)</f>
        <v>0</v>
      </c>
      <c r="P81" s="566">
        <f>VLOOKUP($A81,'01-02.2021'!$A$6:$CZ$403,16,FALSE)+VLOOKUP($A81,'1.3.21-28.2.22'!$A$6:$DA$404,16,FALSE)-VLOOKUP($A81,'01-02.2022'!$A$6:$DA$376,16,FALSE)</f>
        <v>0</v>
      </c>
      <c r="Q81" s="70">
        <f t="shared" si="111"/>
        <v>0</v>
      </c>
      <c r="R81" s="566">
        <f>VLOOKUP($A81,'01-02.2021'!$A$6:$CZ$403,18,FALSE)+VLOOKUP($A81,'1.3.21-28.2.22'!$A$6:$DA$404,18,FALSE)-VLOOKUP($A81,'01-02.2022'!$A$6:$DA$376,18,FALSE)</f>
        <v>0</v>
      </c>
      <c r="S81" s="566">
        <f>VLOOKUP($A81,'01-02.2021'!$A$6:$CZ$403,19,FALSE)+VLOOKUP($A81,'1.3.21-28.2.22'!$A$6:$DA$404,19,FALSE)-VLOOKUP($A81,'01-02.2022'!$A$6:$DA$376,19,FALSE)</f>
        <v>0</v>
      </c>
      <c r="T81" s="70">
        <f t="shared" si="112"/>
        <v>0</v>
      </c>
      <c r="U81" s="566">
        <f>VLOOKUP($A81,'01-02.2021'!$A$6:$CZ$403,21,FALSE)+VLOOKUP($A81,'1.3.21-28.2.22'!$A$6:$DA$404,21,FALSE)-VLOOKUP($A81,'01-02.2022'!$A$6:$DA$376,21,FALSE)</f>
        <v>0</v>
      </c>
      <c r="V81" s="566">
        <f>VLOOKUP($A81,'01-02.2021'!$A$6:$CZ$403,22,FALSE)+VLOOKUP($A81,'1.3.21-28.2.22'!$A$6:$DA$404,22,FALSE)-VLOOKUP($A81,'01-02.2022'!$A$6:$DA$376,22,FALSE)</f>
        <v>0</v>
      </c>
      <c r="W81" s="70">
        <f t="shared" si="113"/>
        <v>0</v>
      </c>
      <c r="X81" s="566">
        <f>VLOOKUP($A81,'01-02.2021'!$A$6:$CZ$403,24,FALSE)+VLOOKUP($A81,'1.3.21-28.2.22'!$A$6:$DA$404,24,FALSE)-VLOOKUP($A81,'01-02.2022'!$A$6:$DA$376,24,FALSE)</f>
        <v>0</v>
      </c>
      <c r="Y81" s="566">
        <f>VLOOKUP($A81,'01-02.2021'!$A$6:$CZ$403,25,FALSE)+VLOOKUP($A81,'1.3.21-28.2.22'!$A$6:$DA$404,25,FALSE)-VLOOKUP($A81,'01-02.2022'!$A$6:$DA$376,25,FALSE)</f>
        <v>0</v>
      </c>
      <c r="Z81" s="70">
        <f t="shared" si="114"/>
        <v>0</v>
      </c>
      <c r="AA81" s="566">
        <f>VLOOKUP($A81,'01-02.2021'!$A$6:$CZ$403,27,FALSE)+VLOOKUP($A81,'1.3.21-28.2.22'!$A$6:$DA$404,27,FALSE)-VLOOKUP($A81,'01-02.2022'!$A$6:$DA$376,27,FALSE)</f>
        <v>27.380000000000003</v>
      </c>
      <c r="AB81" s="566">
        <f>VLOOKUP($A81,'01-02.2021'!$A$6:$CZ$403,28,FALSE)+VLOOKUP($A81,'1.3.21-28.2.22'!$A$6:$DA$404,28,FALSE)-VLOOKUP($A81,'01-02.2022'!$A$6:$DA$376,28,FALSE)</f>
        <v>0</v>
      </c>
      <c r="AC81" s="70">
        <f t="shared" si="115"/>
        <v>-27.380000000000003</v>
      </c>
      <c r="AD81" s="566">
        <f>VLOOKUP($A81,'01-02.2021'!$A$6:$CZ$403,30,FALSE)+VLOOKUP($A81,'1.3.21-28.2.22'!$A$6:$DA$404,30,FALSE)-VLOOKUP($A81,'01-02.2022'!$A$6:$DA$376,30,FALSE)</f>
        <v>219.22613055486934</v>
      </c>
      <c r="AE81" s="566">
        <f>VLOOKUP($A81,'01-02.2021'!$A$6:$CZ$403,31,FALSE)+VLOOKUP($A81,'1.3.21-28.2.22'!$A$6:$DA$404,31,FALSE)-VLOOKUP($A81,'01-02.2022'!$A$6:$DA$376,31,FALSE)</f>
        <v>623.17431600907366</v>
      </c>
      <c r="AF81" s="68">
        <f t="shared" si="116"/>
        <v>403.94818545420435</v>
      </c>
      <c r="AG81" s="77">
        <f t="shared" si="86"/>
        <v>246.60613055486934</v>
      </c>
      <c r="AH81" s="53">
        <f t="shared" si="86"/>
        <v>623.17431600907366</v>
      </c>
      <c r="AI81" s="52">
        <f t="shared" si="96"/>
        <v>376.56818545420435</v>
      </c>
      <c r="AJ81" s="566">
        <f>VLOOKUP($A81,'01-02.2021'!$A$6:$CZ$403,36,FALSE)+VLOOKUP($A81,'1.3.21-28.2.22'!$A$6:$DA$404,36,FALSE)-VLOOKUP($A81,'01-02.2022'!$A$6:$DA$376,36,FALSE)</f>
        <v>0</v>
      </c>
      <c r="AK81" s="566">
        <f>VLOOKUP($A81,'01-02.2021'!$A$6:$CZ$403,37,FALSE)+VLOOKUP($A81,'1.3.21-28.2.22'!$A$6:$DA$404,37,FALSE)-VLOOKUP($A81,'01-02.2022'!$A$6:$DA$376,37,FALSE)</f>
        <v>0</v>
      </c>
      <c r="AL81" s="70">
        <f t="shared" si="117"/>
        <v>0</v>
      </c>
      <c r="AM81" s="566">
        <f>VLOOKUP($A81,'01-02.2021'!$A$6:$CZ$403,39,FALSE)+VLOOKUP($A81,'1.3.21-28.2.22'!$A$6:$DA$404,39,FALSE)-VLOOKUP($A81,'01-02.2022'!$A$6:$DA$376,39,FALSE)</f>
        <v>0</v>
      </c>
      <c r="AN81" s="566">
        <f>VLOOKUP($A81,'01-02.2021'!$A$6:$CZ$403,40,FALSE)+VLOOKUP($A81,'1.3.21-28.2.22'!$A$6:$DA$404,40,FALSE)-VLOOKUP($A81,'01-02.2022'!$A$6:$DA$376,40,FALSE)</f>
        <v>0</v>
      </c>
      <c r="AO81" s="70">
        <f t="shared" si="118"/>
        <v>0</v>
      </c>
      <c r="AP81" s="566">
        <f>VLOOKUP($A81,'01-02.2021'!$A$6:$CZ$403,42,FALSE)+VLOOKUP($A81,'1.3.21-28.2.22'!$A$6:$DA$404,42,FALSE)-VLOOKUP($A81,'01-02.2022'!$A$6:$DA$376,42,FALSE)</f>
        <v>303.65995625745347</v>
      </c>
      <c r="AQ81" s="566">
        <f>VLOOKUP($A81,'01-02.2021'!$A$6:$CZ$403,43,FALSE)+VLOOKUP($A81,'1.3.21-28.2.22'!$A$6:$DA$404,43,FALSE)-VLOOKUP($A81,'01-02.2022'!$A$6:$DA$376,43,FALSE)</f>
        <v>262.08781266689607</v>
      </c>
      <c r="AR81" s="70">
        <f t="shared" si="119"/>
        <v>-41.572143590557403</v>
      </c>
      <c r="AS81" s="566">
        <f>VLOOKUP($A81,'01-02.2021'!$A$6:$CZ$403,45,FALSE)+VLOOKUP($A81,'1.3.21-28.2.22'!$A$6:$DA$404,45,FALSE)-VLOOKUP($A81,'01-02.2022'!$A$6:$DA$376,45,FALSE)</f>
        <v>1591.0640343017667</v>
      </c>
      <c r="AT81" s="566">
        <f>VLOOKUP($A81,'01-02.2021'!$A$6:$CZ$403,46,FALSE)+VLOOKUP($A81,'1.3.21-28.2.22'!$A$6:$DA$404,46,FALSE)-VLOOKUP($A81,'01-02.2022'!$A$6:$DA$376,46,FALSE)</f>
        <v>0</v>
      </c>
      <c r="AU81" s="78">
        <f t="shared" si="120"/>
        <v>-1591.0640343017667</v>
      </c>
      <c r="AV81" s="566">
        <f>VLOOKUP($A81,'01-02.2021'!$A$6:$CZ$403,48,FALSE)+VLOOKUP($A81,'1.3.21-28.2.22'!$A$6:$DA$404,48,FALSE)-VLOOKUP($A81,'01-02.2022'!$A$6:$DA$376,48,FALSE)</f>
        <v>0</v>
      </c>
      <c r="AW81" s="566">
        <f>VLOOKUP($A81,'01-02.2021'!$A$6:$CZ$403,49,FALSE)+VLOOKUP($A81,'1.3.21-28.2.22'!$A$6:$DA$404,49,FALSE)-VLOOKUP($A81,'01-02.2022'!$A$6:$DA$376,49,FALSE)</f>
        <v>0</v>
      </c>
      <c r="AX81" s="55">
        <f t="shared" si="121"/>
        <v>0</v>
      </c>
      <c r="AY81" s="566">
        <f>VLOOKUP($A81,'01-02.2021'!$A$6:$CZ$403,51,FALSE)+VLOOKUP($A81,'1.3.21-28.2.22'!$A$6:$DA$404,51,FALSE)-VLOOKUP($A81,'01-02.2022'!$A$6:$DA$376,51,FALSE)</f>
        <v>0</v>
      </c>
      <c r="AZ81" s="566">
        <f>VLOOKUP($A81,'01-02.2021'!$A$6:$CZ$403,52,FALSE)+VLOOKUP($A81,'1.3.21-28.2.22'!$A$6:$DA$404,52,FALSE)-VLOOKUP($A81,'01-02.2022'!$A$6:$DA$376,52,FALSE)</f>
        <v>0</v>
      </c>
      <c r="BA81" s="38">
        <f t="shared" si="122"/>
        <v>0</v>
      </c>
      <c r="BB81" s="566">
        <f>VLOOKUP($A81,'01-02.2021'!$A$6:$CZ$403,54,FALSE)+VLOOKUP($A81,'1.3.21-28.2.22'!$A$6:$DA$404,54,FALSE)-VLOOKUP($A81,'01-02.2022'!$A$6:$DA$376,54,FALSE)</f>
        <v>0</v>
      </c>
      <c r="BC81" s="566">
        <f>VLOOKUP($A81,'01-02.2021'!$A$6:$CZ$403,55,FALSE)+VLOOKUP($A81,'1.3.21-28.2.22'!$A$6:$DA$404,55,FALSE)-VLOOKUP($A81,'01-02.2022'!$A$6:$DA$376,55,FALSE)</f>
        <v>0</v>
      </c>
      <c r="BD81" s="55">
        <f t="shared" si="123"/>
        <v>0</v>
      </c>
      <c r="BE81" s="566">
        <f>VLOOKUP($A81,'01-02.2021'!$A$6:$CZ$403,57,FALSE)+VLOOKUP($A81,'1.3.21-28.2.22'!$A$6:$DA$404,57,FALSE)-VLOOKUP($A81,'01-02.2022'!$A$6:$DA$376,57,FALSE)</f>
        <v>0</v>
      </c>
      <c r="BF81" s="566">
        <f>VLOOKUP($A81,'01-02.2021'!$A$6:$CZ$403,58,FALSE)+VLOOKUP($A81,'1.3.21-28.2.22'!$A$6:$DA$404,58,FALSE)-VLOOKUP($A81,'01-02.2022'!$A$6:$DA$376,58,FALSE)</f>
        <v>0</v>
      </c>
      <c r="BG81" s="55">
        <f t="shared" si="124"/>
        <v>0</v>
      </c>
      <c r="BH81" s="566">
        <f>VLOOKUP($A81,'01-02.2021'!$A$6:$CZ$403,60,FALSE)+VLOOKUP($A81,'1.3.21-28.2.22'!$A$6:$DA$404,60,FALSE)-VLOOKUP($A81,'01-02.2022'!$A$6:$DA$376,60,FALSE)</f>
        <v>0</v>
      </c>
      <c r="BI81" s="566">
        <f>VLOOKUP($A81,'01-02.2021'!$A$6:$CZ$403,61,FALSE)+VLOOKUP($A81,'1.3.21-28.2.22'!$A$6:$DA$404,61,FALSE)-VLOOKUP($A81,'01-02.2022'!$A$6:$DA$376,61,FALSE)</f>
        <v>0</v>
      </c>
      <c r="BJ81" s="55">
        <f t="shared" si="125"/>
        <v>0</v>
      </c>
      <c r="BK81" s="566">
        <f>VLOOKUP($A81,'01-02.2021'!$A$6:$CZ$403,63,FALSE)+VLOOKUP($A81,'1.3.21-28.2.22'!$A$6:$DA$404,63,FALSE)-VLOOKUP($A81,'01-02.2022'!$A$6:$DA$376,63,FALSE)</f>
        <v>0</v>
      </c>
      <c r="BL81" s="566">
        <f>VLOOKUP($A81,'01-02.2021'!$A$6:$CZ$403,64,FALSE)+VLOOKUP($A81,'1.3.21-28.2.22'!$A$6:$DA$404,64,FALSE)-VLOOKUP($A81,'01-02.2022'!$A$6:$DA$376,64,FALSE)</f>
        <v>0</v>
      </c>
      <c r="BM81" s="55">
        <f t="shared" si="126"/>
        <v>0</v>
      </c>
      <c r="BN81" s="566">
        <f>VLOOKUP($A81,'01-02.2021'!$A$6:$CZ$403,66,FALSE)+VLOOKUP($A81,'1.3.21-28.2.22'!$A$6:$DA$404,66,FALSE)-VLOOKUP($A81,'01-02.2022'!$A$6:$DA$376,66,FALSE)</f>
        <v>11.053205335439426</v>
      </c>
      <c r="BO81" s="566">
        <f>VLOOKUP($A81,'01-02.2021'!$A$6:$CZ$403,67,FALSE)+VLOOKUP($A81,'1.3.21-28.2.22'!$A$6:$DA$404,67,FALSE)-VLOOKUP($A81,'01-02.2022'!$A$6:$DA$376,67,FALSE)</f>
        <v>0</v>
      </c>
      <c r="BP81" s="55">
        <f t="shared" si="127"/>
        <v>-11.053205335439426</v>
      </c>
      <c r="BQ81" s="77">
        <f t="shared" si="87"/>
        <v>11.053205335439426</v>
      </c>
      <c r="BR81" s="40">
        <f t="shared" si="88"/>
        <v>0</v>
      </c>
      <c r="BS81" s="55">
        <f t="shared" si="110"/>
        <v>-11.053205335439426</v>
      </c>
      <c r="BT81" s="566">
        <f>VLOOKUP($A81,'01-02.2021'!$A$6:$CZ$403,72,FALSE)+VLOOKUP($A81,'1.3.21-28.2.22'!$A$6:$DA$404,72,FALSE)-VLOOKUP($A81,'01-02.2022'!$A$6:$DA$376,72,FALSE)</f>
        <v>0</v>
      </c>
      <c r="BU81" s="566">
        <f>VLOOKUP($A81,'01-02.2021'!$A$6:$CZ$403,73,FALSE)+VLOOKUP($A81,'1.3.21-28.2.22'!$A$6:$DA$404,73,FALSE)-VLOOKUP($A81,'01-02.2022'!$A$6:$DA$376,73,FALSE)</f>
        <v>0</v>
      </c>
      <c r="BV81" s="70">
        <f t="shared" si="128"/>
        <v>0</v>
      </c>
      <c r="BW81" s="566">
        <f>VLOOKUP($A81,'01-02.2021'!$A$6:$CZ$403,75,FALSE)+VLOOKUP($A81,'1.3.21-28.2.22'!$A$6:$DA$404,75,FALSE)-VLOOKUP($A81,'01-02.2022'!$A$6:$DA$376,75,FALSE)</f>
        <v>0</v>
      </c>
      <c r="BX81" s="566">
        <f>VLOOKUP($A81,'01-02.2021'!$A$6:$CZ$403,76,FALSE)+VLOOKUP($A81,'1.3.21-28.2.22'!$A$6:$DA$404,76,FALSE)-VLOOKUP($A81,'01-02.2022'!$A$6:$DA$376,76,FALSE)</f>
        <v>3.0681467523203212</v>
      </c>
      <c r="BY81" s="70">
        <f t="shared" si="129"/>
        <v>3.0681467523203212</v>
      </c>
      <c r="BZ81" s="566">
        <f>VLOOKUP($A81,'01-02.2021'!$A$6:$CZ$403,78,FALSE)+VLOOKUP($A81,'1.3.21-28.2.22'!$A$6:$DA$404,78,FALSE)-VLOOKUP($A81,'01-02.2022'!$A$6:$DA$376,78,FALSE)</f>
        <v>0</v>
      </c>
      <c r="CA81" s="566">
        <f>VLOOKUP($A81,'01-02.2021'!$A$6:$CZ$403,79,FALSE)+VLOOKUP($A81,'1.3.21-28.2.22'!$A$6:$DA$404,79,FALSE)-VLOOKUP($A81,'01-02.2022'!$A$6:$DA$376,79,FALSE)</f>
        <v>0</v>
      </c>
      <c r="CB81" s="70">
        <f t="shared" si="130"/>
        <v>0</v>
      </c>
      <c r="CC81" s="566">
        <f>VLOOKUP($A81,'01-02.2021'!$A$6:$CZ$403,81,FALSE)+VLOOKUP($A81,'1.3.21-28.2.22'!$A$6:$DA$404,81,FALSE)-VLOOKUP($A81,'01-02.2022'!$A$6:$DA$376,81,FALSE)</f>
        <v>0</v>
      </c>
      <c r="CD81" s="566">
        <f>VLOOKUP($A81,'01-02.2021'!$A$6:$CZ$403,82,FALSE)+VLOOKUP($A81,'1.3.21-28.2.22'!$A$6:$DA$404,82,FALSE)-VLOOKUP($A81,'01-02.2022'!$A$6:$DA$376,82,FALSE)</f>
        <v>0</v>
      </c>
      <c r="CE81" s="70">
        <f t="shared" si="131"/>
        <v>0</v>
      </c>
      <c r="CF81" s="566">
        <f>VLOOKUP($A81,'01-02.2021'!$A$6:$CZ$403,84,FALSE)+VLOOKUP($A81,'1.3.21-28.2.22'!$A$6:$DA$404,84,FALSE)-VLOOKUP($A81,'01-02.2022'!$A$6:$DA$376,84,FALSE)</f>
        <v>0</v>
      </c>
      <c r="CG81" s="566">
        <f>VLOOKUP($A81,'01-02.2021'!$A$6:$CZ$403,85,FALSE)+VLOOKUP($A81,'1.3.21-28.2.22'!$A$6:$DA$404,85,FALSE)-VLOOKUP($A81,'01-02.2022'!$A$6:$DA$376,85,FALSE)</f>
        <v>0</v>
      </c>
      <c r="CH81" s="70">
        <f t="shared" si="132"/>
        <v>0</v>
      </c>
      <c r="CI81" s="566">
        <f>VLOOKUP($A81,'01-02.2021'!$A$6:$CZ$403,87,FALSE)+VLOOKUP($A81,'1.3.21-28.2.22'!$A$6:$DA$404,87,FALSE)-VLOOKUP($A81,'01-02.2022'!$A$6:$DA$376,87,FALSE)</f>
        <v>0</v>
      </c>
      <c r="CJ81" s="566">
        <f>VLOOKUP($A81,'01-02.2021'!$A$6:$CZ$403,88,FALSE)+VLOOKUP($A81,'1.3.21-28.2.22'!$A$6:$DA$404,88,FALSE)-VLOOKUP($A81,'01-02.2022'!$A$6:$DA$376,88,FALSE)</f>
        <v>0</v>
      </c>
      <c r="CK81" s="70">
        <f t="shared" si="133"/>
        <v>0</v>
      </c>
      <c r="CL81" s="566">
        <f>VLOOKUP($A81,'01-02.2021'!$A$6:$CZ$403,90,FALSE)+VLOOKUP($A81,'1.3.21-28.2.22'!$A$6:$DA$404,90,FALSE)-VLOOKUP($A81,'01-02.2022'!$A$6:$DA$376,90,FALSE)</f>
        <v>0</v>
      </c>
      <c r="CM81" s="566">
        <f>VLOOKUP($A81,'01-02.2021'!$A$6:$CZ$403,91,FALSE)+VLOOKUP($A81,'1.3.21-28.2.22'!$A$6:$DA$404,91,FALSE)-VLOOKUP($A81,'01-02.2022'!$A$6:$DA$376,91,FALSE)</f>
        <v>0</v>
      </c>
      <c r="CN81" s="52">
        <f t="shared" si="97"/>
        <v>0</v>
      </c>
      <c r="CO81" s="39">
        <f t="shared" si="89"/>
        <v>0</v>
      </c>
      <c r="CP81" s="40">
        <f t="shared" si="98"/>
        <v>0</v>
      </c>
      <c r="CQ81" s="52">
        <f t="shared" si="99"/>
        <v>0</v>
      </c>
      <c r="CR81" s="72">
        <f t="shared" si="90"/>
        <v>2152.3833264495292</v>
      </c>
      <c r="CS81" s="5">
        <f t="shared" si="90"/>
        <v>888.33027542829007</v>
      </c>
      <c r="CT81" s="52">
        <f t="shared" si="100"/>
        <v>-1264.0530510212393</v>
      </c>
      <c r="CU81" s="77">
        <f t="shared" si="101"/>
        <v>2582.8599917394349</v>
      </c>
      <c r="CV81" s="65">
        <f t="shared" si="102"/>
        <v>1065.9963305139481</v>
      </c>
      <c r="CW81" s="35">
        <f t="shared" si="103"/>
        <v>-1516.8636612254868</v>
      </c>
      <c r="CX81" s="566">
        <f>VLOOKUP($A81,'01-02.2021'!$A$6:$CZ$403,102,FALSE)+VLOOKUP($A81,'1.3.21-28.2.22'!$A$6:$DA$404,102,FALSE)-VLOOKUP($A81,'01-02.2022'!$A$6:$DA$376,102,FALSE)</f>
        <v>90.083844613933735</v>
      </c>
      <c r="CY81" s="566">
        <f>VLOOKUP($A81,'01-02.2021'!$A$6:$CZ$403,103,FALSE)+VLOOKUP($A81,'1.3.21-28.2.22'!$A$6:$DA$404,103,FALSE)-VLOOKUP($A81,'01-02.2022'!$A$6:$DA$376,103,FALSE)</f>
        <v>1606.9475058394194</v>
      </c>
      <c r="CZ81" s="52">
        <f t="shared" si="104"/>
        <v>1516.8636612254857</v>
      </c>
      <c r="DA81" s="150">
        <f>'[2]побудинковий звіт'!DA81</f>
        <v>5346.6060263067147</v>
      </c>
      <c r="DB81" s="2">
        <v>1</v>
      </c>
      <c r="DC81" s="414">
        <f>'[4]побудинковий звіт'!DC81</f>
        <v>3015.32</v>
      </c>
      <c r="DD81" s="414">
        <f>'[4]побудинковий звіт'!DD81</f>
        <v>0</v>
      </c>
      <c r="DE81" s="557">
        <f>'[4]побудинковий звіт'!DE81</f>
        <v>2772.5589090011017</v>
      </c>
      <c r="DF81" s="557">
        <f>'[4]побудинковий звіт'!DF81</f>
        <v>0</v>
      </c>
      <c r="DG81" s="321">
        <f>VLOOKUP(A81,'кошти 01.03.2021'!$A$6:$D$401,4,)</f>
        <v>7173.0872956675503</v>
      </c>
      <c r="DH81" s="40">
        <f>'[3]побудинковий звіт'!DJ81</f>
        <v>2767.6066000457599</v>
      </c>
      <c r="DI81" s="422">
        <f>'[3]побудинковий звіт'!CU81+'[3]побудинковий звіт'!CX81</f>
        <v>242.76096626424422</v>
      </c>
      <c r="DJ81" s="306">
        <f>'[3]побудинковий звіт'!DM81</f>
        <v>1.7732731263615662</v>
      </c>
      <c r="DK81" s="306">
        <f t="shared" si="134"/>
        <v>1.7732731263615662</v>
      </c>
      <c r="DL81" s="306">
        <f>'[3]побудинковий звіт'!DO81</f>
        <v>1.7732731263615662</v>
      </c>
      <c r="DM81" s="28">
        <f t="shared" si="135"/>
        <v>242.76109099889842</v>
      </c>
      <c r="DN81" s="28">
        <f>H81*DL81</f>
        <v>0</v>
      </c>
      <c r="DO81" s="423">
        <f t="shared" si="105"/>
        <v>242.76109099889842</v>
      </c>
      <c r="DP81" s="94">
        <f t="shared" si="106"/>
        <v>-1.2473465420725915E-4</v>
      </c>
      <c r="DQ81" s="28">
        <f t="shared" si="107"/>
        <v>242.76109099889842</v>
      </c>
      <c r="DR81" s="318"/>
      <c r="DT81" s="8"/>
      <c r="DU81" s="5"/>
      <c r="DX81" s="5">
        <f t="shared" si="108"/>
        <v>1922.5406875646472</v>
      </c>
      <c r="DY81" s="5">
        <f t="shared" si="109"/>
        <v>0</v>
      </c>
      <c r="DZ81" s="159">
        <f>'[3]побудинковий звіт'!EA81</f>
        <v>203.69434654348117</v>
      </c>
    </row>
    <row r="82" spans="1:130" x14ac:dyDescent="0.3">
      <c r="A82" s="325">
        <v>150000531</v>
      </c>
      <c r="B82" s="41" t="s">
        <v>531</v>
      </c>
      <c r="C82" s="42" t="s">
        <v>349</v>
      </c>
      <c r="D82" s="42"/>
      <c r="E82" s="293">
        <f t="shared" si="85"/>
        <v>7614.5</v>
      </c>
      <c r="F82" s="305">
        <f>'[3]побудинковий звіт'!F82</f>
        <v>7614.5</v>
      </c>
      <c r="G82" s="508">
        <f>'[3]побудинковий звіт'!G82</f>
        <v>765.25</v>
      </c>
      <c r="H82" s="560">
        <f>'[3]побудинковий звіт'!H82</f>
        <v>0</v>
      </c>
      <c r="I82" s="566">
        <f>VLOOKUP($A82,'01-02.2021'!$A$6:$CZ$403,9,FALSE)+VLOOKUP($A82,'1.3.21-28.2.22'!$A$6:$DA$404,9,FALSE)-VLOOKUP($A82,'01-02.2022'!$A$6:$DA$376,9,FALSE)</f>
        <v>18103.961396739629</v>
      </c>
      <c r="J82" s="566">
        <f>VLOOKUP($A82,'01-02.2021'!$A$6:$CZ$403,10,FALSE)+VLOOKUP($A82,'1.3.21-28.2.22'!$A$6:$DA$404,10,FALSE)-VLOOKUP($A82,'01-02.2022'!$A$6:$DA$376,10,FALSE)</f>
        <v>16366.82051436873</v>
      </c>
      <c r="K82" s="52">
        <f t="shared" si="94"/>
        <v>-1737.1408823708989</v>
      </c>
      <c r="L82" s="566">
        <f>VLOOKUP($A82,'01-02.2021'!$A$6:$CZ$403,12,FALSE)+VLOOKUP($A82,'1.3.21-28.2.22'!$A$6:$DA$404,12,FALSE)-VLOOKUP($A82,'01-02.2022'!$A$6:$DA$376,12,FALSE)</f>
        <v>3073.4327677731958</v>
      </c>
      <c r="M82" s="566">
        <f>VLOOKUP($A82,'01-02.2021'!$A$6:$CZ$403,13,FALSE)+VLOOKUP($A82,'1.3.21-28.2.22'!$A$6:$DA$404,13,FALSE)-VLOOKUP($A82,'01-02.2022'!$A$6:$DA$376,13,FALSE)</f>
        <v>2787.8703689792928</v>
      </c>
      <c r="N82" s="52">
        <f t="shared" si="95"/>
        <v>-285.56239879390296</v>
      </c>
      <c r="O82" s="566">
        <f>VLOOKUP($A82,'01-02.2021'!$A$6:$CZ$403,15,FALSE)+VLOOKUP($A82,'1.3.21-28.2.22'!$A$6:$DA$404,15,FALSE)-VLOOKUP($A82,'01-02.2022'!$A$6:$DA$376,15,FALSE)</f>
        <v>10455.1818171246</v>
      </c>
      <c r="P82" s="566">
        <f>VLOOKUP($A82,'01-02.2021'!$A$6:$CZ$403,16,FALSE)+VLOOKUP($A82,'1.3.21-28.2.22'!$A$6:$DA$404,16,FALSE)-VLOOKUP($A82,'01-02.2022'!$A$6:$DA$376,16,FALSE)</f>
        <v>10455.189999999999</v>
      </c>
      <c r="Q82" s="70">
        <f t="shared" si="111"/>
        <v>8.1828753991430858E-3</v>
      </c>
      <c r="R82" s="566">
        <f>VLOOKUP($A82,'01-02.2021'!$A$6:$CZ$403,18,FALSE)+VLOOKUP($A82,'1.3.21-28.2.22'!$A$6:$DA$404,18,FALSE)-VLOOKUP($A82,'01-02.2022'!$A$6:$DA$376,18,FALSE)</f>
        <v>2261.5829056250082</v>
      </c>
      <c r="S82" s="566">
        <f>VLOOKUP($A82,'01-02.2021'!$A$6:$CZ$403,19,FALSE)+VLOOKUP($A82,'1.3.21-28.2.22'!$A$6:$DA$404,19,FALSE)-VLOOKUP($A82,'01-02.2022'!$A$6:$DA$376,19,FALSE)</f>
        <v>2261.6</v>
      </c>
      <c r="T82" s="70">
        <f t="shared" si="112"/>
        <v>1.7094374991756922E-2</v>
      </c>
      <c r="U82" s="566">
        <f>VLOOKUP($A82,'01-02.2021'!$A$6:$CZ$403,21,FALSE)+VLOOKUP($A82,'1.3.21-28.2.22'!$A$6:$DA$404,21,FALSE)-VLOOKUP($A82,'01-02.2022'!$A$6:$DA$376,21,FALSE)</f>
        <v>2975.7075861517469</v>
      </c>
      <c r="V82" s="566">
        <f>VLOOKUP($A82,'01-02.2021'!$A$6:$CZ$403,22,FALSE)+VLOOKUP($A82,'1.3.21-28.2.22'!$A$6:$DA$404,22,FALSE)-VLOOKUP($A82,'01-02.2022'!$A$6:$DA$376,22,FALSE)</f>
        <v>1995.2469821346644</v>
      </c>
      <c r="W82" s="70">
        <f t="shared" si="113"/>
        <v>-980.46060401708246</v>
      </c>
      <c r="X82" s="566">
        <f>VLOOKUP($A82,'01-02.2021'!$A$6:$CZ$403,24,FALSE)+VLOOKUP($A82,'1.3.21-28.2.22'!$A$6:$DA$404,24,FALSE)-VLOOKUP($A82,'01-02.2022'!$A$6:$DA$376,24,FALSE)</f>
        <v>13645.870494728981</v>
      </c>
      <c r="Y82" s="566">
        <f>VLOOKUP($A82,'01-02.2021'!$A$6:$CZ$403,25,FALSE)+VLOOKUP($A82,'1.3.21-28.2.22'!$A$6:$DA$404,25,FALSE)-VLOOKUP($A82,'01-02.2022'!$A$6:$DA$376,25,FALSE)</f>
        <v>11027.590168189827</v>
      </c>
      <c r="Z82" s="70">
        <f t="shared" si="114"/>
        <v>-2618.280326539154</v>
      </c>
      <c r="AA82" s="566">
        <f>VLOOKUP($A82,'01-02.2021'!$A$6:$CZ$403,27,FALSE)+VLOOKUP($A82,'1.3.21-28.2.22'!$A$6:$DA$404,27,FALSE)-VLOOKUP($A82,'01-02.2022'!$A$6:$DA$376,27,FALSE)</f>
        <v>1523.3600000000001</v>
      </c>
      <c r="AB82" s="566">
        <f>VLOOKUP($A82,'01-02.2021'!$A$6:$CZ$403,28,FALSE)+VLOOKUP($A82,'1.3.21-28.2.22'!$A$6:$DA$404,28,FALSE)-VLOOKUP($A82,'01-02.2022'!$A$6:$DA$376,28,FALSE)</f>
        <v>0</v>
      </c>
      <c r="AC82" s="70">
        <f t="shared" si="115"/>
        <v>-1523.3600000000001</v>
      </c>
      <c r="AD82" s="566">
        <f>VLOOKUP($A82,'01-02.2021'!$A$6:$CZ$403,30,FALSE)+VLOOKUP($A82,'1.3.21-28.2.22'!$A$6:$DA$404,30,FALSE)-VLOOKUP($A82,'01-02.2022'!$A$6:$DA$376,30,FALSE)</f>
        <v>32710.638521735727</v>
      </c>
      <c r="AE82" s="566">
        <f>VLOOKUP($A82,'01-02.2021'!$A$6:$CZ$403,31,FALSE)+VLOOKUP($A82,'1.3.21-28.2.22'!$A$6:$DA$404,31,FALSE)-VLOOKUP($A82,'01-02.2022'!$A$6:$DA$376,31,FALSE)</f>
        <v>34661.510805340331</v>
      </c>
      <c r="AF82" s="68">
        <f t="shared" si="116"/>
        <v>1950.8722836046036</v>
      </c>
      <c r="AG82" s="77">
        <f t="shared" si="86"/>
        <v>84749.735489878891</v>
      </c>
      <c r="AH82" s="53">
        <f t="shared" si="86"/>
        <v>79555.828839012844</v>
      </c>
      <c r="AI82" s="52">
        <f t="shared" si="96"/>
        <v>-5193.9066508660471</v>
      </c>
      <c r="AJ82" s="566">
        <f>VLOOKUP($A82,'01-02.2021'!$A$6:$CZ$403,36,FALSE)+VLOOKUP($A82,'1.3.21-28.2.22'!$A$6:$DA$404,36,FALSE)-VLOOKUP($A82,'01-02.2022'!$A$6:$DA$376,36,FALSE)</f>
        <v>54167.217079682006</v>
      </c>
      <c r="AK82" s="566">
        <f>VLOOKUP($A82,'01-02.2021'!$A$6:$CZ$403,37,FALSE)+VLOOKUP($A82,'1.3.21-28.2.22'!$A$6:$DA$404,37,FALSE)-VLOOKUP($A82,'01-02.2022'!$A$6:$DA$376,37,FALSE)</f>
        <v>53831.715509634683</v>
      </c>
      <c r="AL82" s="70">
        <f t="shared" si="117"/>
        <v>-335.50157004732318</v>
      </c>
      <c r="AM82" s="566">
        <f>VLOOKUP($A82,'01-02.2021'!$A$6:$CZ$403,39,FALSE)+VLOOKUP($A82,'1.3.21-28.2.22'!$A$6:$DA$404,39,FALSE)-VLOOKUP($A82,'01-02.2022'!$A$6:$DA$376,39,FALSE)</f>
        <v>2892.2419436827522</v>
      </c>
      <c r="AN82" s="566">
        <f>VLOOKUP($A82,'01-02.2021'!$A$6:$CZ$403,40,FALSE)+VLOOKUP($A82,'1.3.21-28.2.22'!$A$6:$DA$404,40,FALSE)-VLOOKUP($A82,'01-02.2022'!$A$6:$DA$376,40,FALSE)</f>
        <v>2086.0381811556622</v>
      </c>
      <c r="AO82" s="70">
        <f t="shared" si="118"/>
        <v>-806.20376252709002</v>
      </c>
      <c r="AP82" s="566">
        <f>VLOOKUP($A82,'01-02.2021'!$A$6:$CZ$403,42,FALSE)+VLOOKUP($A82,'1.3.21-28.2.22'!$A$6:$DA$404,42,FALSE)-VLOOKUP($A82,'01-02.2022'!$A$6:$DA$376,42,FALSE)</f>
        <v>5075.4592688745788</v>
      </c>
      <c r="AQ82" s="566">
        <f>VLOOKUP($A82,'01-02.2021'!$A$6:$CZ$403,43,FALSE)+VLOOKUP($A82,'1.3.21-28.2.22'!$A$6:$DA$404,43,FALSE)-VLOOKUP($A82,'01-02.2022'!$A$6:$DA$376,43,FALSE)</f>
        <v>4350.0508313036107</v>
      </c>
      <c r="AR82" s="70">
        <f t="shared" si="119"/>
        <v>-725.40843757096809</v>
      </c>
      <c r="AS82" s="566">
        <f>VLOOKUP($A82,'01-02.2021'!$A$6:$CZ$403,45,FALSE)+VLOOKUP($A82,'1.3.21-28.2.22'!$A$6:$DA$404,45,FALSE)-VLOOKUP($A82,'01-02.2022'!$A$6:$DA$376,45,FALSE)</f>
        <v>96751.134355690068</v>
      </c>
      <c r="AT82" s="566">
        <f>VLOOKUP($A82,'01-02.2021'!$A$6:$CZ$403,46,FALSE)+VLOOKUP($A82,'1.3.21-28.2.22'!$A$6:$DA$404,46,FALSE)-VLOOKUP($A82,'01-02.2022'!$A$6:$DA$376,46,FALSE)</f>
        <v>187897.26369839653</v>
      </c>
      <c r="AU82" s="78">
        <f t="shared" si="120"/>
        <v>91146.129342706467</v>
      </c>
      <c r="AV82" s="566">
        <f>VLOOKUP($A82,'01-02.2021'!$A$6:$CZ$403,48,FALSE)+VLOOKUP($A82,'1.3.21-28.2.22'!$A$6:$DA$404,48,FALSE)-VLOOKUP($A82,'01-02.2022'!$A$6:$DA$376,48,FALSE)</f>
        <v>4023.5776904584336</v>
      </c>
      <c r="AW82" s="566">
        <f>VLOOKUP($A82,'01-02.2021'!$A$6:$CZ$403,49,FALSE)+VLOOKUP($A82,'1.3.21-28.2.22'!$A$6:$DA$404,49,FALSE)-VLOOKUP($A82,'01-02.2022'!$A$6:$DA$376,49,FALSE)</f>
        <v>1965</v>
      </c>
      <c r="AX82" s="55">
        <f t="shared" si="121"/>
        <v>-2058.5776904584336</v>
      </c>
      <c r="AY82" s="566">
        <f>VLOOKUP($A82,'01-02.2021'!$A$6:$CZ$403,51,FALSE)+VLOOKUP($A82,'1.3.21-28.2.22'!$A$6:$DA$404,51,FALSE)-VLOOKUP($A82,'01-02.2022'!$A$6:$DA$376,51,FALSE)</f>
        <v>4675.1541176590836</v>
      </c>
      <c r="AZ82" s="566">
        <f>VLOOKUP($A82,'01-02.2021'!$A$6:$CZ$403,52,FALSE)+VLOOKUP($A82,'1.3.21-28.2.22'!$A$6:$DA$404,52,FALSE)-VLOOKUP($A82,'01-02.2022'!$A$6:$DA$376,52,FALSE)</f>
        <v>7712</v>
      </c>
      <c r="BA82" s="38">
        <f t="shared" si="122"/>
        <v>3036.8458823409164</v>
      </c>
      <c r="BB82" s="566">
        <f>VLOOKUP($A82,'01-02.2021'!$A$6:$CZ$403,54,FALSE)+VLOOKUP($A82,'1.3.21-28.2.22'!$A$6:$DA$404,54,FALSE)-VLOOKUP($A82,'01-02.2022'!$A$6:$DA$376,54,FALSE)</f>
        <v>3195.6564887152322</v>
      </c>
      <c r="BC82" s="566">
        <f>VLOOKUP($A82,'01-02.2021'!$A$6:$CZ$403,55,FALSE)+VLOOKUP($A82,'1.3.21-28.2.22'!$A$6:$DA$404,55,FALSE)-VLOOKUP($A82,'01-02.2022'!$A$6:$DA$376,55,FALSE)</f>
        <v>6058</v>
      </c>
      <c r="BD82" s="55">
        <f t="shared" si="123"/>
        <v>2862.3435112847678</v>
      </c>
      <c r="BE82" s="566">
        <f>VLOOKUP($A82,'01-02.2021'!$A$6:$CZ$403,57,FALSE)+VLOOKUP($A82,'1.3.21-28.2.22'!$A$6:$DA$404,57,FALSE)-VLOOKUP($A82,'01-02.2022'!$A$6:$DA$376,57,FALSE)</f>
        <v>4575.5532705692412</v>
      </c>
      <c r="BF82" s="566">
        <f>VLOOKUP($A82,'01-02.2021'!$A$6:$CZ$403,58,FALSE)+VLOOKUP($A82,'1.3.21-28.2.22'!$A$6:$DA$404,58,FALSE)-VLOOKUP($A82,'01-02.2022'!$A$6:$DA$376,58,FALSE)</f>
        <v>0</v>
      </c>
      <c r="BG82" s="55">
        <f t="shared" si="124"/>
        <v>-4575.5532705692412</v>
      </c>
      <c r="BH82" s="566">
        <f>VLOOKUP($A82,'01-02.2021'!$A$6:$CZ$403,60,FALSE)+VLOOKUP($A82,'1.3.21-28.2.22'!$A$6:$DA$404,60,FALSE)-VLOOKUP($A82,'01-02.2022'!$A$6:$DA$376,60,FALSE)</f>
        <v>5653.6712127560213</v>
      </c>
      <c r="BI82" s="566">
        <f>VLOOKUP($A82,'01-02.2021'!$A$6:$CZ$403,61,FALSE)+VLOOKUP($A82,'1.3.21-28.2.22'!$A$6:$DA$404,61,FALSE)-VLOOKUP($A82,'01-02.2022'!$A$6:$DA$376,61,FALSE)</f>
        <v>1799</v>
      </c>
      <c r="BJ82" s="55">
        <f t="shared" si="125"/>
        <v>-3854.6712127560213</v>
      </c>
      <c r="BK82" s="566">
        <f>VLOOKUP($A82,'01-02.2021'!$A$6:$CZ$403,63,FALSE)+VLOOKUP($A82,'1.3.21-28.2.22'!$A$6:$DA$404,63,FALSE)-VLOOKUP($A82,'01-02.2022'!$A$6:$DA$376,63,FALSE)</f>
        <v>3800.126367105398</v>
      </c>
      <c r="BL82" s="566">
        <f>VLOOKUP($A82,'01-02.2021'!$A$6:$CZ$403,64,FALSE)+VLOOKUP($A82,'1.3.21-28.2.22'!$A$6:$DA$404,64,FALSE)-VLOOKUP($A82,'01-02.2022'!$A$6:$DA$376,64,FALSE)</f>
        <v>1385</v>
      </c>
      <c r="BM82" s="55">
        <f t="shared" si="126"/>
        <v>-2415.126367105398</v>
      </c>
      <c r="BN82" s="566">
        <f>VLOOKUP($A82,'01-02.2021'!$A$6:$CZ$403,66,FALSE)+VLOOKUP($A82,'1.3.21-28.2.22'!$A$6:$DA$404,66,FALSE)-VLOOKUP($A82,'01-02.2022'!$A$6:$DA$376,66,FALSE)</f>
        <v>746.61475554161234</v>
      </c>
      <c r="BO82" s="566">
        <f>VLOOKUP($A82,'01-02.2021'!$A$6:$CZ$403,67,FALSE)+VLOOKUP($A82,'1.3.21-28.2.22'!$A$6:$DA$404,67,FALSE)-VLOOKUP($A82,'01-02.2022'!$A$6:$DA$376,67,FALSE)</f>
        <v>0</v>
      </c>
      <c r="BP82" s="55">
        <f t="shared" si="127"/>
        <v>-746.61475554161234</v>
      </c>
      <c r="BQ82" s="77">
        <f t="shared" si="87"/>
        <v>26670.353902805022</v>
      </c>
      <c r="BR82" s="40">
        <f t="shared" si="88"/>
        <v>18919</v>
      </c>
      <c r="BS82" s="55">
        <f t="shared" si="110"/>
        <v>-7751.3539028050218</v>
      </c>
      <c r="BT82" s="566">
        <f>VLOOKUP($A82,'01-02.2021'!$A$6:$CZ$403,72,FALSE)+VLOOKUP($A82,'1.3.21-28.2.22'!$A$6:$DA$404,72,FALSE)-VLOOKUP($A82,'01-02.2022'!$A$6:$DA$376,72,FALSE)</f>
        <v>72552.880584972751</v>
      </c>
      <c r="BU82" s="566">
        <f>VLOOKUP($A82,'01-02.2021'!$A$6:$CZ$403,73,FALSE)+VLOOKUP($A82,'1.3.21-28.2.22'!$A$6:$DA$404,73,FALSE)-VLOOKUP($A82,'01-02.2022'!$A$6:$DA$376,73,FALSE)</f>
        <v>55755.535577503812</v>
      </c>
      <c r="BV82" s="70">
        <f t="shared" si="128"/>
        <v>-16797.345007468939</v>
      </c>
      <c r="BW82" s="566">
        <f>VLOOKUP($A82,'01-02.2021'!$A$6:$CZ$403,75,FALSE)+VLOOKUP($A82,'1.3.21-28.2.22'!$A$6:$DA$404,75,FALSE)-VLOOKUP($A82,'01-02.2022'!$A$6:$DA$376,75,FALSE)</f>
        <v>53421.244240832435</v>
      </c>
      <c r="BX82" s="566">
        <f>VLOOKUP($A82,'01-02.2021'!$A$6:$CZ$403,76,FALSE)+VLOOKUP($A82,'1.3.21-28.2.22'!$A$6:$DA$404,76,FALSE)-VLOOKUP($A82,'01-02.2022'!$A$6:$DA$376,76,FALSE)</f>
        <v>38992.321727354836</v>
      </c>
      <c r="BY82" s="70">
        <f t="shared" si="129"/>
        <v>-14428.922513477599</v>
      </c>
      <c r="BZ82" s="566">
        <f>VLOOKUP($A82,'01-02.2021'!$A$6:$CZ$403,78,FALSE)+VLOOKUP($A82,'1.3.21-28.2.22'!$A$6:$DA$404,78,FALSE)-VLOOKUP($A82,'01-02.2022'!$A$6:$DA$376,78,FALSE)</f>
        <v>10538.393317030303</v>
      </c>
      <c r="CA82" s="566">
        <f>VLOOKUP($A82,'01-02.2021'!$A$6:$CZ$403,79,FALSE)+VLOOKUP($A82,'1.3.21-28.2.22'!$A$6:$DA$404,79,FALSE)-VLOOKUP($A82,'01-02.2022'!$A$6:$DA$376,79,FALSE)</f>
        <v>16450.095600996057</v>
      </c>
      <c r="CB82" s="70">
        <f t="shared" si="130"/>
        <v>5911.7022839657548</v>
      </c>
      <c r="CC82" s="566">
        <f>VLOOKUP($A82,'01-02.2021'!$A$6:$CZ$403,81,FALSE)+VLOOKUP($A82,'1.3.21-28.2.22'!$A$6:$DA$404,81,FALSE)-VLOOKUP($A82,'01-02.2022'!$A$6:$DA$376,81,FALSE)</f>
        <v>2497.6132031353609</v>
      </c>
      <c r="CD82" s="566">
        <f>VLOOKUP($A82,'01-02.2021'!$A$6:$CZ$403,82,FALSE)+VLOOKUP($A82,'1.3.21-28.2.22'!$A$6:$DA$404,82,FALSE)-VLOOKUP($A82,'01-02.2022'!$A$6:$DA$376,82,FALSE)</f>
        <v>2722.3600406461414</v>
      </c>
      <c r="CE82" s="70">
        <f t="shared" si="131"/>
        <v>224.74683751078055</v>
      </c>
      <c r="CF82" s="566">
        <f>VLOOKUP($A82,'01-02.2021'!$A$6:$CZ$403,84,FALSE)+VLOOKUP($A82,'1.3.21-28.2.22'!$A$6:$DA$404,84,FALSE)-VLOOKUP($A82,'01-02.2022'!$A$6:$DA$376,84,FALSE)</f>
        <v>302.80059898823094</v>
      </c>
      <c r="CG82" s="566">
        <f>VLOOKUP($A82,'01-02.2021'!$A$6:$CZ$403,85,FALSE)+VLOOKUP($A82,'1.3.21-28.2.22'!$A$6:$DA$404,85,FALSE)-VLOOKUP($A82,'01-02.2022'!$A$6:$DA$376,85,FALSE)</f>
        <v>0</v>
      </c>
      <c r="CH82" s="70">
        <f t="shared" si="132"/>
        <v>-302.80059898823094</v>
      </c>
      <c r="CI82" s="566">
        <f>VLOOKUP($A82,'01-02.2021'!$A$6:$CZ$403,87,FALSE)+VLOOKUP($A82,'1.3.21-28.2.22'!$A$6:$DA$404,87,FALSE)-VLOOKUP($A82,'01-02.2022'!$A$6:$DA$376,87,FALSE)</f>
        <v>17622.292478251904</v>
      </c>
      <c r="CJ82" s="566">
        <f>VLOOKUP($A82,'01-02.2021'!$A$6:$CZ$403,88,FALSE)+VLOOKUP($A82,'1.3.21-28.2.22'!$A$6:$DA$404,88,FALSE)-VLOOKUP($A82,'01-02.2022'!$A$6:$DA$376,88,FALSE)</f>
        <v>15241.911875089278</v>
      </c>
      <c r="CK82" s="70">
        <f t="shared" si="133"/>
        <v>-2380.3806031626264</v>
      </c>
      <c r="CL82" s="566">
        <f>VLOOKUP($A82,'01-02.2021'!$A$6:$CZ$403,90,FALSE)+VLOOKUP($A82,'1.3.21-28.2.22'!$A$6:$DA$404,90,FALSE)-VLOOKUP($A82,'01-02.2022'!$A$6:$DA$376,90,FALSE)</f>
        <v>26433.434217377857</v>
      </c>
      <c r="CM82" s="566">
        <f>VLOOKUP($A82,'01-02.2021'!$A$6:$CZ$403,91,FALSE)+VLOOKUP($A82,'1.3.21-28.2.22'!$A$6:$DA$404,91,FALSE)-VLOOKUP($A82,'01-02.2022'!$A$6:$DA$376,91,FALSE)</f>
        <v>22865.963060442915</v>
      </c>
      <c r="CN82" s="52">
        <f t="shared" si="97"/>
        <v>-3567.471156934942</v>
      </c>
      <c r="CO82" s="39">
        <f t="shared" si="89"/>
        <v>44055.726695629761</v>
      </c>
      <c r="CP82" s="40">
        <f t="shared" si="98"/>
        <v>38107.874935532192</v>
      </c>
      <c r="CQ82" s="52">
        <f t="shared" si="99"/>
        <v>-5947.8517600975683</v>
      </c>
      <c r="CR82" s="72">
        <f t="shared" si="90"/>
        <v>453674.80068120221</v>
      </c>
      <c r="CS82" s="5">
        <f t="shared" si="90"/>
        <v>498668.08494153642</v>
      </c>
      <c r="CT82" s="52">
        <f t="shared" si="100"/>
        <v>44993.284260334214</v>
      </c>
      <c r="CU82" s="77">
        <f t="shared" si="101"/>
        <v>544409.76081744267</v>
      </c>
      <c r="CV82" s="65">
        <f t="shared" si="102"/>
        <v>598401.70192984364</v>
      </c>
      <c r="CW82" s="35">
        <f t="shared" si="103"/>
        <v>53991.941112400964</v>
      </c>
      <c r="CX82" s="566">
        <f>VLOOKUP($A82,'01-02.2021'!$A$6:$CZ$403,102,FALSE)+VLOOKUP($A82,'1.3.21-28.2.22'!$A$6:$DA$404,102,FALSE)-VLOOKUP($A82,'01-02.2022'!$A$6:$DA$376,102,FALSE)</f>
        <v>17216.828493550183</v>
      </c>
      <c r="CY82" s="566">
        <f>VLOOKUP($A82,'01-02.2021'!$A$6:$CZ$403,103,FALSE)+VLOOKUP($A82,'1.3.21-28.2.22'!$A$6:$DA$404,103,FALSE)-VLOOKUP($A82,'01-02.2022'!$A$6:$DA$376,103,FALSE)</f>
        <v>-36775.112618850821</v>
      </c>
      <c r="CZ82" s="52">
        <f t="shared" si="104"/>
        <v>-53991.941112401008</v>
      </c>
      <c r="DA82" s="150">
        <f>'[2]побудинковий звіт'!DA82</f>
        <v>-4511.8504584004913</v>
      </c>
      <c r="DB82" s="2">
        <v>1</v>
      </c>
      <c r="DC82" s="414">
        <f>'[4]побудинковий звіт'!DC82</f>
        <v>112393.58</v>
      </c>
      <c r="DD82" s="414">
        <f>'[4]побудинковий звіт'!DD82</f>
        <v>0</v>
      </c>
      <c r="DE82" s="557">
        <f>'[4]побудинковий звіт'!DE82</f>
        <v>61368.873975995208</v>
      </c>
      <c r="DF82" s="557">
        <f>'[4]побудинковий звіт'!DF82</f>
        <v>0</v>
      </c>
      <c r="DG82" s="321">
        <f>VLOOKUP(A82,'кошти 01.03.2021'!$A$6:$D$401,4,)</f>
        <v>-23747.321684851071</v>
      </c>
      <c r="DH82" s="40">
        <f>'[3]побудинковий звіт'!DJ82</f>
        <v>581597.95975039515</v>
      </c>
      <c r="DI82" s="422">
        <f>'[3]побудинковий звіт'!CU82+'[3]побудинковий звіт'!CX82</f>
        <v>51024.706024004787</v>
      </c>
      <c r="DJ82" s="306">
        <f>'[3]побудинковий звіт'!DM82</f>
        <v>5.4491718287396145</v>
      </c>
      <c r="DK82" s="306">
        <f>'[3]побудинковий звіт'!DN82</f>
        <v>6.84085517130515</v>
      </c>
      <c r="DL82" s="306">
        <f>'[3]побудинковий звіт'!DO82</f>
        <v>4.6050019566650464</v>
      </c>
      <c r="DM82" s="28">
        <f>DJ82*G82+(F82-G82)*DK82</f>
        <v>51024.706024004794</v>
      </c>
      <c r="DN82" s="28">
        <f>DL82*H82</f>
        <v>0</v>
      </c>
      <c r="DO82" s="423">
        <f t="shared" si="105"/>
        <v>51024.706024004794</v>
      </c>
      <c r="DP82" s="94">
        <f t="shared" si="106"/>
        <v>0</v>
      </c>
      <c r="DQ82" s="28">
        <f t="shared" si="107"/>
        <v>51024.706024004794</v>
      </c>
      <c r="DR82" s="318"/>
      <c r="DT82" s="8"/>
      <c r="DU82" s="5"/>
      <c r="DX82" s="5">
        <f t="shared" si="108"/>
        <v>148105.7859101941</v>
      </c>
      <c r="DY82" s="5">
        <f t="shared" si="109"/>
        <v>248179.51643807584</v>
      </c>
      <c r="DZ82" s="159">
        <f>'[3]побудинковий звіт'!EA82</f>
        <v>13758.698935355438</v>
      </c>
    </row>
    <row r="83" spans="1:130" x14ac:dyDescent="0.3">
      <c r="A83" s="325">
        <v>150000532</v>
      </c>
      <c r="B83" s="41" t="s">
        <v>532</v>
      </c>
      <c r="C83" s="42" t="s">
        <v>254</v>
      </c>
      <c r="D83" s="42"/>
      <c r="E83" s="293">
        <f t="shared" si="85"/>
        <v>2489.87</v>
      </c>
      <c r="F83" s="305">
        <f>'[3]побудинковий звіт'!F83</f>
        <v>2489.87</v>
      </c>
      <c r="G83" s="508">
        <f>'[3]побудинковий звіт'!G83</f>
        <v>0</v>
      </c>
      <c r="H83" s="560">
        <f>'[3]побудинковий звіт'!H83</f>
        <v>0</v>
      </c>
      <c r="I83" s="566">
        <f>VLOOKUP($A83,'01-02.2021'!$A$6:$CZ$403,9,FALSE)+VLOOKUP($A83,'1.3.21-28.2.22'!$A$6:$DA$404,9,FALSE)-VLOOKUP($A83,'01-02.2022'!$A$6:$DA$376,9,FALSE)</f>
        <v>7584.6807411875361</v>
      </c>
      <c r="J83" s="566">
        <f>VLOOKUP($A83,'01-02.2021'!$A$6:$CZ$403,10,FALSE)+VLOOKUP($A83,'1.3.21-28.2.22'!$A$6:$DA$404,10,FALSE)-VLOOKUP($A83,'01-02.2022'!$A$6:$DA$376,10,FALSE)</f>
        <v>6724.4215372809349</v>
      </c>
      <c r="K83" s="52">
        <f t="shared" si="94"/>
        <v>-860.25920390660121</v>
      </c>
      <c r="L83" s="566">
        <f>VLOOKUP($A83,'01-02.2021'!$A$6:$CZ$403,12,FALSE)+VLOOKUP($A83,'1.3.21-28.2.22'!$A$6:$DA$404,12,FALSE)-VLOOKUP($A83,'01-02.2022'!$A$6:$DA$376,12,FALSE)</f>
        <v>1666.8432802604216</v>
      </c>
      <c r="M83" s="566">
        <f>VLOOKUP($A83,'01-02.2021'!$A$6:$CZ$403,13,FALSE)+VLOOKUP($A83,'1.3.21-28.2.22'!$A$6:$DA$404,13,FALSE)-VLOOKUP($A83,'01-02.2022'!$A$6:$DA$376,13,FALSE)</f>
        <v>1504.8316660219937</v>
      </c>
      <c r="N83" s="52">
        <f t="shared" si="95"/>
        <v>-162.01161423842791</v>
      </c>
      <c r="O83" s="566">
        <f>VLOOKUP($A83,'01-02.2021'!$A$6:$CZ$403,15,FALSE)+VLOOKUP($A83,'1.3.21-28.2.22'!$A$6:$DA$404,15,FALSE)-VLOOKUP($A83,'01-02.2022'!$A$6:$DA$376,15,FALSE)</f>
        <v>3512.0930569556072</v>
      </c>
      <c r="P83" s="566">
        <f>VLOOKUP($A83,'01-02.2021'!$A$6:$CZ$403,16,FALSE)+VLOOKUP($A83,'1.3.21-28.2.22'!$A$6:$DA$404,16,FALSE)-VLOOKUP($A83,'01-02.2022'!$A$6:$DA$376,16,FALSE)</f>
        <v>3512.1099999999983</v>
      </c>
      <c r="Q83" s="70">
        <f t="shared" si="111"/>
        <v>1.6943044391155127E-2</v>
      </c>
      <c r="R83" s="566">
        <f>VLOOKUP($A83,'01-02.2021'!$A$6:$CZ$403,18,FALSE)+VLOOKUP($A83,'1.3.21-28.2.22'!$A$6:$DA$404,18,FALSE)-VLOOKUP($A83,'01-02.2022'!$A$6:$DA$376,18,FALSE)</f>
        <v>732.93816980109148</v>
      </c>
      <c r="S83" s="566">
        <f>VLOOKUP($A83,'01-02.2021'!$A$6:$CZ$403,19,FALSE)+VLOOKUP($A83,'1.3.21-28.2.22'!$A$6:$DA$404,19,FALSE)-VLOOKUP($A83,'01-02.2022'!$A$6:$DA$376,19,FALSE)</f>
        <v>732.96</v>
      </c>
      <c r="T83" s="70">
        <f t="shared" si="112"/>
        <v>2.1830198908560305E-2</v>
      </c>
      <c r="U83" s="566">
        <f>VLOOKUP($A83,'01-02.2021'!$A$6:$CZ$403,21,FALSE)+VLOOKUP($A83,'1.3.21-28.2.22'!$A$6:$DA$404,21,FALSE)-VLOOKUP($A83,'01-02.2022'!$A$6:$DA$376,21,FALSE)</f>
        <v>457.79129681017355</v>
      </c>
      <c r="V83" s="566">
        <f>VLOOKUP($A83,'01-02.2021'!$A$6:$CZ$403,22,FALSE)+VLOOKUP($A83,'1.3.21-28.2.22'!$A$6:$DA$404,22,FALSE)-VLOOKUP($A83,'01-02.2022'!$A$6:$DA$376,22,FALSE)</f>
        <v>298.26485456778323</v>
      </c>
      <c r="W83" s="70">
        <f t="shared" si="113"/>
        <v>-159.52644224239032</v>
      </c>
      <c r="X83" s="566">
        <f>VLOOKUP($A83,'01-02.2021'!$A$6:$CZ$403,24,FALSE)+VLOOKUP($A83,'1.3.21-28.2.22'!$A$6:$DA$404,24,FALSE)-VLOOKUP($A83,'01-02.2022'!$A$6:$DA$376,24,FALSE)</f>
        <v>4664.0663754989982</v>
      </c>
      <c r="Y83" s="566">
        <f>VLOOKUP($A83,'01-02.2021'!$A$6:$CZ$403,25,FALSE)+VLOOKUP($A83,'1.3.21-28.2.22'!$A$6:$DA$404,25,FALSE)-VLOOKUP($A83,'01-02.2022'!$A$6:$DA$376,25,FALSE)</f>
        <v>3553.0990837895592</v>
      </c>
      <c r="Z83" s="70">
        <f t="shared" si="114"/>
        <v>-1110.967291709439</v>
      </c>
      <c r="AA83" s="566">
        <f>VLOOKUP($A83,'01-02.2021'!$A$6:$CZ$403,27,FALSE)+VLOOKUP($A83,'1.3.21-28.2.22'!$A$6:$DA$404,27,FALSE)-VLOOKUP($A83,'01-02.2022'!$A$6:$DA$376,27,FALSE)</f>
        <v>498.22399999999999</v>
      </c>
      <c r="AB83" s="566">
        <f>VLOOKUP($A83,'01-02.2021'!$A$6:$CZ$403,28,FALSE)+VLOOKUP($A83,'1.3.21-28.2.22'!$A$6:$DA$404,28,FALSE)-VLOOKUP($A83,'01-02.2022'!$A$6:$DA$376,28,FALSE)</f>
        <v>0</v>
      </c>
      <c r="AC83" s="70">
        <f t="shared" si="115"/>
        <v>-498.22399999999999</v>
      </c>
      <c r="AD83" s="566">
        <f>VLOOKUP($A83,'01-02.2021'!$A$6:$CZ$403,30,FALSE)+VLOOKUP($A83,'1.3.21-28.2.22'!$A$6:$DA$404,30,FALSE)-VLOOKUP($A83,'01-02.2022'!$A$6:$DA$376,30,FALSE)</f>
        <v>10696.995985610667</v>
      </c>
      <c r="AE83" s="566">
        <f>VLOOKUP($A83,'01-02.2021'!$A$6:$CZ$403,31,FALSE)+VLOOKUP($A83,'1.3.21-28.2.22'!$A$6:$DA$404,31,FALSE)-VLOOKUP($A83,'01-02.2022'!$A$6:$DA$376,31,FALSE)</f>
        <v>11333.988562465393</v>
      </c>
      <c r="AF83" s="68">
        <f t="shared" si="116"/>
        <v>636.99257685472548</v>
      </c>
      <c r="AG83" s="77">
        <f t="shared" si="86"/>
        <v>29813.632906124498</v>
      </c>
      <c r="AH83" s="53">
        <f t="shared" si="86"/>
        <v>27659.675704125664</v>
      </c>
      <c r="AI83" s="52">
        <f t="shared" si="96"/>
        <v>-2153.9572019988336</v>
      </c>
      <c r="AJ83" s="566">
        <f>VLOOKUP($A83,'01-02.2021'!$A$6:$CZ$403,36,FALSE)+VLOOKUP($A83,'1.3.21-28.2.22'!$A$6:$DA$404,36,FALSE)-VLOOKUP($A83,'01-02.2022'!$A$6:$DA$376,36,FALSE)</f>
        <v>0</v>
      </c>
      <c r="AK83" s="566">
        <f>VLOOKUP($A83,'01-02.2021'!$A$6:$CZ$403,37,FALSE)+VLOOKUP($A83,'1.3.21-28.2.22'!$A$6:$DA$404,37,FALSE)-VLOOKUP($A83,'01-02.2022'!$A$6:$DA$376,37,FALSE)</f>
        <v>0</v>
      </c>
      <c r="AL83" s="70">
        <f t="shared" si="117"/>
        <v>0</v>
      </c>
      <c r="AM83" s="566">
        <f>VLOOKUP($A83,'01-02.2021'!$A$6:$CZ$403,39,FALSE)+VLOOKUP($A83,'1.3.21-28.2.22'!$A$6:$DA$404,39,FALSE)-VLOOKUP($A83,'01-02.2022'!$A$6:$DA$376,39,FALSE)</f>
        <v>0</v>
      </c>
      <c r="AN83" s="566">
        <f>VLOOKUP($A83,'01-02.2021'!$A$6:$CZ$403,40,FALSE)+VLOOKUP($A83,'1.3.21-28.2.22'!$A$6:$DA$404,40,FALSE)-VLOOKUP($A83,'01-02.2022'!$A$6:$DA$376,40,FALSE)</f>
        <v>0</v>
      </c>
      <c r="AO83" s="70">
        <f t="shared" si="118"/>
        <v>0</v>
      </c>
      <c r="AP83" s="566">
        <f>VLOOKUP($A83,'01-02.2021'!$A$6:$CZ$403,42,FALSE)+VLOOKUP($A83,'1.3.21-28.2.22'!$A$6:$DA$404,42,FALSE)-VLOOKUP($A83,'01-02.2022'!$A$6:$DA$376,42,FALSE)</f>
        <v>1952.0997187979158</v>
      </c>
      <c r="AQ83" s="566">
        <f>VLOOKUP($A83,'01-02.2021'!$A$6:$CZ$403,43,FALSE)+VLOOKUP($A83,'1.3.21-28.2.22'!$A$6:$DA$404,43,FALSE)-VLOOKUP($A83,'01-02.2022'!$A$6:$DA$376,43,FALSE)</f>
        <v>1681.5676172953081</v>
      </c>
      <c r="AR83" s="70">
        <f t="shared" si="119"/>
        <v>-270.5321015026077</v>
      </c>
      <c r="AS83" s="566">
        <f>VLOOKUP($A83,'01-02.2021'!$A$6:$CZ$403,45,FALSE)+VLOOKUP($A83,'1.3.21-28.2.22'!$A$6:$DA$404,45,FALSE)-VLOOKUP($A83,'01-02.2022'!$A$6:$DA$376,45,FALSE)</f>
        <v>21728.518456575286</v>
      </c>
      <c r="AT83" s="566">
        <f>VLOOKUP($A83,'01-02.2021'!$A$6:$CZ$403,46,FALSE)+VLOOKUP($A83,'1.3.21-28.2.22'!$A$6:$DA$404,46,FALSE)-VLOOKUP($A83,'01-02.2022'!$A$6:$DA$376,46,FALSE)</f>
        <v>79848.52</v>
      </c>
      <c r="AU83" s="78">
        <f t="shared" si="120"/>
        <v>58120.001543424718</v>
      </c>
      <c r="AV83" s="566">
        <f>VLOOKUP($A83,'01-02.2021'!$A$6:$CZ$403,48,FALSE)+VLOOKUP($A83,'1.3.21-28.2.22'!$A$6:$DA$404,48,FALSE)-VLOOKUP($A83,'01-02.2022'!$A$6:$DA$376,48,FALSE)</f>
        <v>2199.6666269346774</v>
      </c>
      <c r="AW83" s="566">
        <f>VLOOKUP($A83,'01-02.2021'!$A$6:$CZ$403,49,FALSE)+VLOOKUP($A83,'1.3.21-28.2.22'!$A$6:$DA$404,49,FALSE)-VLOOKUP($A83,'01-02.2022'!$A$6:$DA$376,49,FALSE)</f>
        <v>60</v>
      </c>
      <c r="AX83" s="55">
        <f t="shared" si="121"/>
        <v>-2139.6666269346774</v>
      </c>
      <c r="AY83" s="566">
        <f>VLOOKUP($A83,'01-02.2021'!$A$6:$CZ$403,51,FALSE)+VLOOKUP($A83,'1.3.21-28.2.22'!$A$6:$DA$404,51,FALSE)-VLOOKUP($A83,'01-02.2022'!$A$6:$DA$376,51,FALSE)</f>
        <v>2957.0345153457001</v>
      </c>
      <c r="AZ83" s="566">
        <f>VLOOKUP($A83,'01-02.2021'!$A$6:$CZ$403,52,FALSE)+VLOOKUP($A83,'1.3.21-28.2.22'!$A$6:$DA$404,52,FALSE)-VLOOKUP($A83,'01-02.2022'!$A$6:$DA$376,52,FALSE)</f>
        <v>13455</v>
      </c>
      <c r="BA83" s="38">
        <f t="shared" si="122"/>
        <v>10497.9654846543</v>
      </c>
      <c r="BB83" s="566">
        <f>VLOOKUP($A83,'01-02.2021'!$A$6:$CZ$403,54,FALSE)+VLOOKUP($A83,'1.3.21-28.2.22'!$A$6:$DA$404,54,FALSE)-VLOOKUP($A83,'01-02.2022'!$A$6:$DA$376,54,FALSE)</f>
        <v>485.15972704398888</v>
      </c>
      <c r="BC83" s="566">
        <f>VLOOKUP($A83,'01-02.2021'!$A$6:$CZ$403,55,FALSE)+VLOOKUP($A83,'1.3.21-28.2.22'!$A$6:$DA$404,55,FALSE)-VLOOKUP($A83,'01-02.2022'!$A$6:$DA$376,55,FALSE)</f>
        <v>0</v>
      </c>
      <c r="BD83" s="55">
        <f t="shared" si="123"/>
        <v>-485.15972704398888</v>
      </c>
      <c r="BE83" s="566">
        <f>VLOOKUP($A83,'01-02.2021'!$A$6:$CZ$403,57,FALSE)+VLOOKUP($A83,'1.3.21-28.2.22'!$A$6:$DA$404,57,FALSE)-VLOOKUP($A83,'01-02.2022'!$A$6:$DA$376,57,FALSE)</f>
        <v>1557.3868076839012</v>
      </c>
      <c r="BF83" s="566">
        <f>VLOOKUP($A83,'01-02.2021'!$A$6:$CZ$403,58,FALSE)+VLOOKUP($A83,'1.3.21-28.2.22'!$A$6:$DA$404,58,FALSE)-VLOOKUP($A83,'01-02.2022'!$A$6:$DA$376,58,FALSE)</f>
        <v>0</v>
      </c>
      <c r="BG83" s="55">
        <f t="shared" si="124"/>
        <v>-1557.3868076839012</v>
      </c>
      <c r="BH83" s="566">
        <f>VLOOKUP($A83,'01-02.2021'!$A$6:$CZ$403,60,FALSE)+VLOOKUP($A83,'1.3.21-28.2.22'!$A$6:$DA$404,60,FALSE)-VLOOKUP($A83,'01-02.2022'!$A$6:$DA$376,60,FALSE)</f>
        <v>1027.219662045015</v>
      </c>
      <c r="BI83" s="566">
        <f>VLOOKUP($A83,'01-02.2021'!$A$6:$CZ$403,61,FALSE)+VLOOKUP($A83,'1.3.21-28.2.22'!$A$6:$DA$404,61,FALSE)-VLOOKUP($A83,'01-02.2022'!$A$6:$DA$376,61,FALSE)</f>
        <v>0</v>
      </c>
      <c r="BJ83" s="55">
        <f t="shared" si="125"/>
        <v>-1027.219662045015</v>
      </c>
      <c r="BK83" s="566">
        <f>VLOOKUP($A83,'01-02.2021'!$A$6:$CZ$403,63,FALSE)+VLOOKUP($A83,'1.3.21-28.2.22'!$A$6:$DA$404,63,FALSE)-VLOOKUP($A83,'01-02.2022'!$A$6:$DA$376,63,FALSE)</f>
        <v>1263.360674454409</v>
      </c>
      <c r="BL83" s="566">
        <f>VLOOKUP($A83,'01-02.2021'!$A$6:$CZ$403,64,FALSE)+VLOOKUP($A83,'1.3.21-28.2.22'!$A$6:$DA$404,64,FALSE)-VLOOKUP($A83,'01-02.2022'!$A$6:$DA$376,64,FALSE)</f>
        <v>0</v>
      </c>
      <c r="BM83" s="55">
        <f t="shared" si="126"/>
        <v>-1263.360674454409</v>
      </c>
      <c r="BN83" s="566">
        <f>VLOOKUP($A83,'01-02.2021'!$A$6:$CZ$403,66,FALSE)+VLOOKUP($A83,'1.3.21-28.2.22'!$A$6:$DA$404,66,FALSE)-VLOOKUP($A83,'01-02.2022'!$A$6:$DA$376,66,FALSE)</f>
        <v>642.85061171666189</v>
      </c>
      <c r="BO83" s="566">
        <f>VLOOKUP($A83,'01-02.2021'!$A$6:$CZ$403,67,FALSE)+VLOOKUP($A83,'1.3.21-28.2.22'!$A$6:$DA$404,67,FALSE)-VLOOKUP($A83,'01-02.2022'!$A$6:$DA$376,67,FALSE)</f>
        <v>0</v>
      </c>
      <c r="BP83" s="55">
        <f t="shared" si="127"/>
        <v>-642.85061171666189</v>
      </c>
      <c r="BQ83" s="77">
        <f t="shared" si="87"/>
        <v>10132.678625224351</v>
      </c>
      <c r="BR83" s="40">
        <f t="shared" si="88"/>
        <v>13515</v>
      </c>
      <c r="BS83" s="55">
        <f t="shared" si="110"/>
        <v>3382.321374775649</v>
      </c>
      <c r="BT83" s="566">
        <f>VLOOKUP($A83,'01-02.2021'!$A$6:$CZ$403,72,FALSE)+VLOOKUP($A83,'1.3.21-28.2.22'!$A$6:$DA$404,72,FALSE)-VLOOKUP($A83,'01-02.2022'!$A$6:$DA$376,72,FALSE)</f>
        <v>41922.770671924882</v>
      </c>
      <c r="BU83" s="566">
        <f>VLOOKUP($A83,'01-02.2021'!$A$6:$CZ$403,73,FALSE)+VLOOKUP($A83,'1.3.21-28.2.22'!$A$6:$DA$404,73,FALSE)-VLOOKUP($A83,'01-02.2022'!$A$6:$DA$376,73,FALSE)</f>
        <v>34956.123305351008</v>
      </c>
      <c r="BV83" s="70">
        <f t="shared" si="128"/>
        <v>-6966.647366573874</v>
      </c>
      <c r="BW83" s="566">
        <f>VLOOKUP($A83,'01-02.2021'!$A$6:$CZ$403,75,FALSE)+VLOOKUP($A83,'1.3.21-28.2.22'!$A$6:$DA$404,75,FALSE)-VLOOKUP($A83,'01-02.2022'!$A$6:$DA$376,75,FALSE)</f>
        <v>18953.905737163528</v>
      </c>
      <c r="BX83" s="566">
        <f>VLOOKUP($A83,'01-02.2021'!$A$6:$CZ$403,76,FALSE)+VLOOKUP($A83,'1.3.21-28.2.22'!$A$6:$DA$404,76,FALSE)-VLOOKUP($A83,'01-02.2022'!$A$6:$DA$376,76,FALSE)</f>
        <v>17599.710324094667</v>
      </c>
      <c r="BY83" s="70">
        <f t="shared" si="129"/>
        <v>-1354.1954130688609</v>
      </c>
      <c r="BZ83" s="566">
        <f>VLOOKUP($A83,'01-02.2021'!$A$6:$CZ$403,78,FALSE)+VLOOKUP($A83,'1.3.21-28.2.22'!$A$6:$DA$404,78,FALSE)-VLOOKUP($A83,'01-02.2022'!$A$6:$DA$376,78,FALSE)</f>
        <v>11913.479245425375</v>
      </c>
      <c r="CA83" s="566">
        <f>VLOOKUP($A83,'01-02.2021'!$A$6:$CZ$403,79,FALSE)+VLOOKUP($A83,'1.3.21-28.2.22'!$A$6:$DA$404,79,FALSE)-VLOOKUP($A83,'01-02.2022'!$A$6:$DA$376,79,FALSE)</f>
        <v>9411.6772491718039</v>
      </c>
      <c r="CB83" s="70">
        <f t="shared" si="130"/>
        <v>-2501.8019962535709</v>
      </c>
      <c r="CC83" s="566">
        <f>VLOOKUP($A83,'01-02.2021'!$A$6:$CZ$403,81,FALSE)+VLOOKUP($A83,'1.3.21-28.2.22'!$A$6:$DA$404,81,FALSE)-VLOOKUP($A83,'01-02.2022'!$A$6:$DA$376,81,FALSE)</f>
        <v>1357.4911932622647</v>
      </c>
      <c r="CD83" s="566">
        <f>VLOOKUP($A83,'01-02.2021'!$A$6:$CZ$403,82,FALSE)+VLOOKUP($A83,'1.3.21-28.2.22'!$A$6:$DA$404,82,FALSE)-VLOOKUP($A83,'01-02.2022'!$A$6:$DA$376,82,FALSE)</f>
        <v>1475.9009613453668</v>
      </c>
      <c r="CE83" s="70">
        <f t="shared" si="131"/>
        <v>118.40976808310211</v>
      </c>
      <c r="CF83" s="566">
        <f>VLOOKUP($A83,'01-02.2021'!$A$6:$CZ$403,84,FALSE)+VLOOKUP($A83,'1.3.21-28.2.22'!$A$6:$DA$404,84,FALSE)-VLOOKUP($A83,'01-02.2022'!$A$6:$DA$376,84,FALSE)</f>
        <v>164.16039336097961</v>
      </c>
      <c r="CG83" s="566">
        <f>VLOOKUP($A83,'01-02.2021'!$A$6:$CZ$403,85,FALSE)+VLOOKUP($A83,'1.3.21-28.2.22'!$A$6:$DA$404,85,FALSE)-VLOOKUP($A83,'01-02.2022'!$A$6:$DA$376,85,FALSE)</f>
        <v>0</v>
      </c>
      <c r="CH83" s="70">
        <f t="shared" si="132"/>
        <v>-164.16039336097961</v>
      </c>
      <c r="CI83" s="566">
        <f>VLOOKUP($A83,'01-02.2021'!$A$6:$CZ$403,87,FALSE)+VLOOKUP($A83,'1.3.21-28.2.22'!$A$6:$DA$404,87,FALSE)-VLOOKUP($A83,'01-02.2022'!$A$6:$DA$376,87,FALSE)</f>
        <v>5037.700426460694</v>
      </c>
      <c r="CJ83" s="566">
        <f>VLOOKUP($A83,'01-02.2021'!$A$6:$CZ$403,88,FALSE)+VLOOKUP($A83,'1.3.21-28.2.22'!$A$6:$DA$404,88,FALSE)-VLOOKUP($A83,'01-02.2022'!$A$6:$DA$376,88,FALSE)</f>
        <v>3720.1296332965157</v>
      </c>
      <c r="CK83" s="70">
        <f t="shared" si="133"/>
        <v>-1317.5707931641782</v>
      </c>
      <c r="CL83" s="566">
        <f>VLOOKUP($A83,'01-02.2021'!$A$6:$CZ$403,90,FALSE)+VLOOKUP($A83,'1.3.21-28.2.22'!$A$6:$DA$404,90,FALSE)-VLOOKUP($A83,'01-02.2022'!$A$6:$DA$376,90,FALSE)</f>
        <v>0</v>
      </c>
      <c r="CM83" s="566">
        <f>VLOOKUP($A83,'01-02.2021'!$A$6:$CZ$403,91,FALSE)+VLOOKUP($A83,'1.3.21-28.2.22'!$A$6:$DA$404,91,FALSE)-VLOOKUP($A83,'01-02.2022'!$A$6:$DA$376,91,FALSE)</f>
        <v>0</v>
      </c>
      <c r="CN83" s="52">
        <f t="shared" si="97"/>
        <v>0</v>
      </c>
      <c r="CO83" s="39">
        <f t="shared" si="89"/>
        <v>5037.700426460694</v>
      </c>
      <c r="CP83" s="40">
        <f t="shared" si="98"/>
        <v>3720.1296332965157</v>
      </c>
      <c r="CQ83" s="52">
        <f t="shared" si="99"/>
        <v>-1317.5707931641782</v>
      </c>
      <c r="CR83" s="72">
        <f t="shared" si="90"/>
        <v>142976.43737431976</v>
      </c>
      <c r="CS83" s="5">
        <f t="shared" si="90"/>
        <v>189868.30479468033</v>
      </c>
      <c r="CT83" s="52">
        <f t="shared" si="100"/>
        <v>46891.867420360562</v>
      </c>
      <c r="CU83" s="77">
        <f t="shared" si="101"/>
        <v>171571.72484918372</v>
      </c>
      <c r="CV83" s="65">
        <f t="shared" si="102"/>
        <v>227841.96575361639</v>
      </c>
      <c r="CW83" s="35">
        <f t="shared" si="103"/>
        <v>56270.240904432663</v>
      </c>
      <c r="CX83" s="566">
        <f>VLOOKUP($A83,'01-02.2021'!$A$6:$CZ$403,102,FALSE)+VLOOKUP($A83,'1.3.21-28.2.22'!$A$6:$DA$404,102,FALSE)-VLOOKUP($A83,'01-02.2022'!$A$6:$DA$376,102,FALSE)</f>
        <v>3174.3312060652061</v>
      </c>
      <c r="CY83" s="566">
        <f>VLOOKUP($A83,'01-02.2021'!$A$6:$CZ$403,103,FALSE)+VLOOKUP($A83,'1.3.21-28.2.22'!$A$6:$DA$404,103,FALSE)-VLOOKUP($A83,'01-02.2022'!$A$6:$DA$376,103,FALSE)</f>
        <v>-53095.909698367446</v>
      </c>
      <c r="CZ83" s="52">
        <f t="shared" si="104"/>
        <v>-56270.240904432649</v>
      </c>
      <c r="DA83" s="150">
        <f>'[2]побудинковий звіт'!DA83</f>
        <v>8914.5005733985454</v>
      </c>
      <c r="DB83" s="2">
        <v>1</v>
      </c>
      <c r="DC83" s="414">
        <f>'[4]побудинковий звіт'!DC83</f>
        <v>34240.61</v>
      </c>
      <c r="DD83" s="414">
        <f>'[4]побудинковий звіт'!DD83</f>
        <v>0</v>
      </c>
      <c r="DE83" s="557">
        <f>'[4]побудинковий звіт'!DE83</f>
        <v>18354.614883875947</v>
      </c>
      <c r="DF83" s="557">
        <f>'[4]побудинковий звіт'!DF83</f>
        <v>0</v>
      </c>
      <c r="DG83" s="321">
        <f>VLOOKUP(A83,'кошти 01.03.2021'!$A$6:$D$401,4,)</f>
        <v>27636.967287603205</v>
      </c>
      <c r="DH83" s="40">
        <f>'[3]побудинковий звіт'!DJ83</f>
        <v>181008.23242123547</v>
      </c>
      <c r="DI83" s="422">
        <f>'[3]побудинковий звіт'!CU83+'[3]побудинковий звіт'!CX83</f>
        <v>15885.995116124051</v>
      </c>
      <c r="DJ83" s="306">
        <f>'[3]побудинковий звіт'!DM83</f>
        <v>6.3802508227835402</v>
      </c>
      <c r="DK83" s="306">
        <f>DJ83</f>
        <v>6.3802508227835402</v>
      </c>
      <c r="DL83" s="306">
        <f>'[3]побудинковий звіт'!DO83</f>
        <v>5.4732005689174654</v>
      </c>
      <c r="DM83" s="28">
        <f>F83*DJ83</f>
        <v>15885.995116124053</v>
      </c>
      <c r="DN83" s="28">
        <f>H83*DL83</f>
        <v>0</v>
      </c>
      <c r="DO83" s="423">
        <f t="shared" si="105"/>
        <v>15885.995116124053</v>
      </c>
      <c r="DP83" s="94">
        <f t="shared" si="106"/>
        <v>0</v>
      </c>
      <c r="DQ83" s="28">
        <f t="shared" si="107"/>
        <v>15885.995116124053</v>
      </c>
      <c r="DR83" s="318"/>
      <c r="DT83" s="8"/>
      <c r="DU83" s="5"/>
      <c r="DX83" s="5">
        <f t="shared" si="108"/>
        <v>38233.436498159565</v>
      </c>
      <c r="DY83" s="5">
        <f t="shared" si="109"/>
        <v>112036.224</v>
      </c>
      <c r="DZ83" s="159">
        <f>'[3]побудинковий звіт'!EA83</f>
        <v>3137.5459645137535</v>
      </c>
    </row>
    <row r="84" spans="1:130" x14ac:dyDescent="0.3">
      <c r="A84" s="325">
        <v>150000533</v>
      </c>
      <c r="B84" s="41" t="s">
        <v>533</v>
      </c>
      <c r="C84" s="42" t="s">
        <v>350</v>
      </c>
      <c r="D84" s="42"/>
      <c r="E84" s="293">
        <f t="shared" si="85"/>
        <v>11377.55</v>
      </c>
      <c r="F84" s="305">
        <f>'[3]побудинковий звіт'!F84</f>
        <v>11377.55</v>
      </c>
      <c r="G84" s="508">
        <f>'[3]побудинковий звіт'!G84</f>
        <v>1296.7</v>
      </c>
      <c r="H84" s="560">
        <f>'[3]побудинковий звіт'!H84</f>
        <v>0</v>
      </c>
      <c r="I84" s="566">
        <f>VLOOKUP($A84,'01-02.2021'!$A$6:$CZ$403,9,FALSE)+VLOOKUP($A84,'1.3.21-28.2.22'!$A$6:$DA$404,9,FALSE)-VLOOKUP($A84,'01-02.2022'!$A$6:$DA$376,9,FALSE)</f>
        <v>29473.377795328539</v>
      </c>
      <c r="J84" s="566">
        <f>VLOOKUP($A84,'01-02.2021'!$A$6:$CZ$403,10,FALSE)+VLOOKUP($A84,'1.3.21-28.2.22'!$A$6:$DA$404,10,FALSE)-VLOOKUP($A84,'01-02.2022'!$A$6:$DA$376,10,FALSE)</f>
        <v>26462.514376843264</v>
      </c>
      <c r="K84" s="52">
        <f t="shared" si="94"/>
        <v>-3010.8634184852745</v>
      </c>
      <c r="L84" s="566">
        <f>VLOOKUP($A84,'01-02.2021'!$A$6:$CZ$403,12,FALSE)+VLOOKUP($A84,'1.3.21-28.2.22'!$A$6:$DA$404,12,FALSE)-VLOOKUP($A84,'01-02.2022'!$A$6:$DA$376,12,FALSE)</f>
        <v>5179.584405812363</v>
      </c>
      <c r="M84" s="566">
        <f>VLOOKUP($A84,'01-02.2021'!$A$6:$CZ$403,13,FALSE)+VLOOKUP($A84,'1.3.21-28.2.22'!$A$6:$DA$404,13,FALSE)-VLOOKUP($A84,'01-02.2022'!$A$6:$DA$376,13,FALSE)</f>
        <v>4692.3098145256208</v>
      </c>
      <c r="N84" s="52">
        <f t="shared" si="95"/>
        <v>-487.27459128674218</v>
      </c>
      <c r="O84" s="566">
        <f>VLOOKUP($A84,'01-02.2021'!$A$6:$CZ$403,15,FALSE)+VLOOKUP($A84,'1.3.21-28.2.22'!$A$6:$DA$404,15,FALSE)-VLOOKUP($A84,'01-02.2022'!$A$6:$DA$376,15,FALSE)</f>
        <v>15830.316599865744</v>
      </c>
      <c r="P84" s="566">
        <f>VLOOKUP($A84,'01-02.2021'!$A$6:$CZ$403,16,FALSE)+VLOOKUP($A84,'1.3.21-28.2.22'!$A$6:$DA$404,16,FALSE)-VLOOKUP($A84,'01-02.2022'!$A$6:$DA$376,16,FALSE)</f>
        <v>15830.289999999992</v>
      </c>
      <c r="Q84" s="70">
        <f t="shared" si="111"/>
        <v>-2.6599865752359619E-2</v>
      </c>
      <c r="R84" s="566">
        <f>VLOOKUP($A84,'01-02.2021'!$A$6:$CZ$403,18,FALSE)+VLOOKUP($A84,'1.3.21-28.2.22'!$A$6:$DA$404,18,FALSE)-VLOOKUP($A84,'01-02.2022'!$A$6:$DA$376,18,FALSE)</f>
        <v>3435.8571288292078</v>
      </c>
      <c r="S84" s="566">
        <f>VLOOKUP($A84,'01-02.2021'!$A$6:$CZ$403,19,FALSE)+VLOOKUP($A84,'1.3.21-28.2.22'!$A$6:$DA$404,19,FALSE)-VLOOKUP($A84,'01-02.2022'!$A$6:$DA$376,19,FALSE)</f>
        <v>3435.8499999999995</v>
      </c>
      <c r="T84" s="70">
        <f t="shared" si="112"/>
        <v>-7.1288292083409033E-3</v>
      </c>
      <c r="U84" s="566">
        <f>VLOOKUP($A84,'01-02.2021'!$A$6:$CZ$403,21,FALSE)+VLOOKUP($A84,'1.3.21-28.2.22'!$A$6:$DA$404,21,FALSE)-VLOOKUP($A84,'01-02.2022'!$A$6:$DA$376,21,FALSE)</f>
        <v>4959.5476224493277</v>
      </c>
      <c r="V84" s="566">
        <f>VLOOKUP($A84,'01-02.2021'!$A$6:$CZ$403,22,FALSE)+VLOOKUP($A84,'1.3.21-28.2.22'!$A$6:$DA$404,22,FALSE)-VLOOKUP($A84,'01-02.2022'!$A$6:$DA$376,22,FALSE)</f>
        <v>3231.0678403859015</v>
      </c>
      <c r="W84" s="70">
        <f t="shared" si="113"/>
        <v>-1728.4797820634262</v>
      </c>
      <c r="X84" s="566">
        <f>VLOOKUP($A84,'01-02.2021'!$A$6:$CZ$403,24,FALSE)+VLOOKUP($A84,'1.3.21-28.2.22'!$A$6:$DA$404,24,FALSE)-VLOOKUP($A84,'01-02.2022'!$A$6:$DA$376,24,FALSE)</f>
        <v>25191.042391863859</v>
      </c>
      <c r="Y84" s="566">
        <f>VLOOKUP($A84,'01-02.2021'!$A$6:$CZ$403,25,FALSE)+VLOOKUP($A84,'1.3.21-28.2.22'!$A$6:$DA$404,25,FALSE)-VLOOKUP($A84,'01-02.2022'!$A$6:$DA$376,25,FALSE)</f>
        <v>20577.604117569434</v>
      </c>
      <c r="Z84" s="70">
        <f t="shared" si="114"/>
        <v>-4613.4382742944254</v>
      </c>
      <c r="AA84" s="566">
        <f>VLOOKUP($A84,'01-02.2021'!$A$6:$CZ$403,27,FALSE)+VLOOKUP($A84,'1.3.21-28.2.22'!$A$6:$DA$404,27,FALSE)-VLOOKUP($A84,'01-02.2022'!$A$6:$DA$376,27,FALSE)</f>
        <v>2275.79</v>
      </c>
      <c r="AB84" s="566">
        <f>VLOOKUP($A84,'01-02.2021'!$A$6:$CZ$403,28,FALSE)+VLOOKUP($A84,'1.3.21-28.2.22'!$A$6:$DA$404,28,FALSE)-VLOOKUP($A84,'01-02.2022'!$A$6:$DA$376,28,FALSE)</f>
        <v>0</v>
      </c>
      <c r="AC84" s="70">
        <f t="shared" si="115"/>
        <v>-2275.79</v>
      </c>
      <c r="AD84" s="566">
        <f>VLOOKUP($A84,'01-02.2021'!$A$6:$CZ$403,30,FALSE)+VLOOKUP($A84,'1.3.21-28.2.22'!$A$6:$DA$404,30,FALSE)-VLOOKUP($A84,'01-02.2022'!$A$6:$DA$376,30,FALSE)</f>
        <v>48872.381098838407</v>
      </c>
      <c r="AE84" s="566">
        <f>VLOOKUP($A84,'01-02.2021'!$A$6:$CZ$403,31,FALSE)+VLOOKUP($A84,'1.3.21-28.2.22'!$A$6:$DA$404,31,FALSE)-VLOOKUP($A84,'01-02.2022'!$A$6:$DA$376,31,FALSE)</f>
        <v>51791.066027093038</v>
      </c>
      <c r="AF84" s="68">
        <f t="shared" si="116"/>
        <v>2918.6849282546318</v>
      </c>
      <c r="AG84" s="77">
        <f t="shared" si="86"/>
        <v>135217.89704298743</v>
      </c>
      <c r="AH84" s="53">
        <f t="shared" si="86"/>
        <v>126020.70217641725</v>
      </c>
      <c r="AI84" s="52">
        <f t="shared" si="96"/>
        <v>-9197.1948665701784</v>
      </c>
      <c r="AJ84" s="566">
        <f>VLOOKUP($A84,'01-02.2021'!$A$6:$CZ$403,36,FALSE)+VLOOKUP($A84,'1.3.21-28.2.22'!$A$6:$DA$404,36,FALSE)-VLOOKUP($A84,'01-02.2022'!$A$6:$DA$376,36,FALSE)</f>
        <v>108931.47558372098</v>
      </c>
      <c r="AK84" s="566">
        <f>VLOOKUP($A84,'01-02.2021'!$A$6:$CZ$403,37,FALSE)+VLOOKUP($A84,'1.3.21-28.2.22'!$A$6:$DA$404,37,FALSE)-VLOOKUP($A84,'01-02.2022'!$A$6:$DA$376,37,FALSE)</f>
        <v>108241.03857504624</v>
      </c>
      <c r="AL84" s="70">
        <f t="shared" si="117"/>
        <v>-690.43700867473672</v>
      </c>
      <c r="AM84" s="566">
        <f>VLOOKUP($A84,'01-02.2021'!$A$6:$CZ$403,39,FALSE)+VLOOKUP($A84,'1.3.21-28.2.22'!$A$6:$DA$404,39,FALSE)-VLOOKUP($A84,'01-02.2022'!$A$6:$DA$376,39,FALSE)</f>
        <v>1446.1209718413761</v>
      </c>
      <c r="AN84" s="566">
        <f>VLOOKUP($A84,'01-02.2021'!$A$6:$CZ$403,40,FALSE)+VLOOKUP($A84,'1.3.21-28.2.22'!$A$6:$DA$404,40,FALSE)-VLOOKUP($A84,'01-02.2022'!$A$6:$DA$376,40,FALSE)</f>
        <v>1043.0412335713274</v>
      </c>
      <c r="AO84" s="70">
        <f t="shared" si="118"/>
        <v>-403.07973827004867</v>
      </c>
      <c r="AP84" s="566">
        <f>VLOOKUP($A84,'01-02.2021'!$A$6:$CZ$403,42,FALSE)+VLOOKUP($A84,'1.3.21-28.2.22'!$A$6:$DA$404,42,FALSE)-VLOOKUP($A84,'01-02.2022'!$A$6:$DA$376,42,FALSE)</f>
        <v>7895.1588626937928</v>
      </c>
      <c r="AQ84" s="566">
        <f>VLOOKUP($A84,'01-02.2021'!$A$6:$CZ$403,43,FALSE)+VLOOKUP($A84,'1.3.21-28.2.22'!$A$6:$DA$404,43,FALSE)-VLOOKUP($A84,'01-02.2022'!$A$6:$DA$376,43,FALSE)</f>
        <v>6766.7457375833937</v>
      </c>
      <c r="AR84" s="70">
        <f t="shared" si="119"/>
        <v>-1128.4131251103991</v>
      </c>
      <c r="AS84" s="566">
        <f>VLOOKUP($A84,'01-02.2021'!$A$6:$CZ$403,45,FALSE)+VLOOKUP($A84,'1.3.21-28.2.22'!$A$6:$DA$404,45,FALSE)-VLOOKUP($A84,'01-02.2022'!$A$6:$DA$376,45,FALSE)</f>
        <v>147085.14627448728</v>
      </c>
      <c r="AT84" s="566">
        <f>VLOOKUP($A84,'01-02.2021'!$A$6:$CZ$403,46,FALSE)+VLOOKUP($A84,'1.3.21-28.2.22'!$A$6:$DA$404,46,FALSE)-VLOOKUP($A84,'01-02.2022'!$A$6:$DA$376,46,FALSE)</f>
        <v>376422.32415669737</v>
      </c>
      <c r="AU84" s="78">
        <f t="shared" si="120"/>
        <v>229337.17788221009</v>
      </c>
      <c r="AV84" s="566">
        <f>VLOOKUP($A84,'01-02.2021'!$A$6:$CZ$403,48,FALSE)+VLOOKUP($A84,'1.3.21-28.2.22'!$A$6:$DA$404,48,FALSE)-VLOOKUP($A84,'01-02.2022'!$A$6:$DA$376,48,FALSE)</f>
        <v>5760.4412161935616</v>
      </c>
      <c r="AW84" s="566">
        <f>VLOOKUP($A84,'01-02.2021'!$A$6:$CZ$403,49,FALSE)+VLOOKUP($A84,'1.3.21-28.2.22'!$A$6:$DA$404,49,FALSE)-VLOOKUP($A84,'01-02.2022'!$A$6:$DA$376,49,FALSE)</f>
        <v>226</v>
      </c>
      <c r="AX84" s="55">
        <f t="shared" si="121"/>
        <v>-5534.4412161935616</v>
      </c>
      <c r="AY84" s="566">
        <f>VLOOKUP($A84,'01-02.2021'!$A$6:$CZ$403,51,FALSE)+VLOOKUP($A84,'1.3.21-28.2.22'!$A$6:$DA$404,51,FALSE)-VLOOKUP($A84,'01-02.2022'!$A$6:$DA$376,51,FALSE)</f>
        <v>6634.5454679170307</v>
      </c>
      <c r="AZ84" s="566">
        <f>VLOOKUP($A84,'01-02.2021'!$A$6:$CZ$403,52,FALSE)+VLOOKUP($A84,'1.3.21-28.2.22'!$A$6:$DA$404,52,FALSE)-VLOOKUP($A84,'01-02.2022'!$A$6:$DA$376,52,FALSE)</f>
        <v>0</v>
      </c>
      <c r="BA84" s="38">
        <f t="shared" si="122"/>
        <v>-6634.5454679170307</v>
      </c>
      <c r="BB84" s="566">
        <f>VLOOKUP($A84,'01-02.2021'!$A$6:$CZ$403,54,FALSE)+VLOOKUP($A84,'1.3.21-28.2.22'!$A$6:$DA$404,54,FALSE)-VLOOKUP($A84,'01-02.2022'!$A$6:$DA$376,54,FALSE)</f>
        <v>2018.7449044008315</v>
      </c>
      <c r="BC84" s="566">
        <f>VLOOKUP($A84,'01-02.2021'!$A$6:$CZ$403,55,FALSE)+VLOOKUP($A84,'1.3.21-28.2.22'!$A$6:$DA$404,55,FALSE)-VLOOKUP($A84,'01-02.2022'!$A$6:$DA$376,55,FALSE)</f>
        <v>0</v>
      </c>
      <c r="BD84" s="55">
        <f t="shared" si="123"/>
        <v>-2018.7449044008315</v>
      </c>
      <c r="BE84" s="566">
        <f>VLOOKUP($A84,'01-02.2021'!$A$6:$CZ$403,57,FALSE)+VLOOKUP($A84,'1.3.21-28.2.22'!$A$6:$DA$404,57,FALSE)-VLOOKUP($A84,'01-02.2022'!$A$6:$DA$376,57,FALSE)</f>
        <v>6395.3359896297306</v>
      </c>
      <c r="BF84" s="566">
        <f>VLOOKUP($A84,'01-02.2021'!$A$6:$CZ$403,58,FALSE)+VLOOKUP($A84,'1.3.21-28.2.22'!$A$6:$DA$404,58,FALSE)-VLOOKUP($A84,'01-02.2022'!$A$6:$DA$376,58,FALSE)</f>
        <v>0</v>
      </c>
      <c r="BG84" s="55">
        <f t="shared" si="124"/>
        <v>-6395.3359896297306</v>
      </c>
      <c r="BH84" s="566">
        <f>VLOOKUP($A84,'01-02.2021'!$A$6:$CZ$403,60,FALSE)+VLOOKUP($A84,'1.3.21-28.2.22'!$A$6:$DA$404,60,FALSE)-VLOOKUP($A84,'01-02.2022'!$A$6:$DA$376,60,FALSE)</f>
        <v>8399.5980478562196</v>
      </c>
      <c r="BI84" s="566">
        <f>VLOOKUP($A84,'01-02.2021'!$A$6:$CZ$403,61,FALSE)+VLOOKUP($A84,'1.3.21-28.2.22'!$A$6:$DA$404,61,FALSE)-VLOOKUP($A84,'01-02.2022'!$A$6:$DA$376,61,FALSE)</f>
        <v>0</v>
      </c>
      <c r="BJ84" s="55">
        <f t="shared" si="125"/>
        <v>-8399.5980478562196</v>
      </c>
      <c r="BK84" s="566">
        <f>VLOOKUP($A84,'01-02.2021'!$A$6:$CZ$403,63,FALSE)+VLOOKUP($A84,'1.3.21-28.2.22'!$A$6:$DA$404,63,FALSE)-VLOOKUP($A84,'01-02.2022'!$A$6:$DA$376,63,FALSE)</f>
        <v>7568.732833939679</v>
      </c>
      <c r="BL84" s="566">
        <f>VLOOKUP($A84,'01-02.2021'!$A$6:$CZ$403,64,FALSE)+VLOOKUP($A84,'1.3.21-28.2.22'!$A$6:$DA$404,64,FALSE)-VLOOKUP($A84,'01-02.2022'!$A$6:$DA$376,64,FALSE)</f>
        <v>0</v>
      </c>
      <c r="BM84" s="55">
        <f t="shared" si="126"/>
        <v>-7568.732833939679</v>
      </c>
      <c r="BN84" s="566">
        <f>VLOOKUP($A84,'01-02.2021'!$A$6:$CZ$403,66,FALSE)+VLOOKUP($A84,'1.3.21-28.2.22'!$A$6:$DA$404,66,FALSE)-VLOOKUP($A84,'01-02.2022'!$A$6:$DA$376,66,FALSE)</f>
        <v>1202.9656222756689</v>
      </c>
      <c r="BO84" s="566">
        <f>VLOOKUP($A84,'01-02.2021'!$A$6:$CZ$403,67,FALSE)+VLOOKUP($A84,'1.3.21-28.2.22'!$A$6:$DA$404,67,FALSE)-VLOOKUP($A84,'01-02.2022'!$A$6:$DA$376,67,FALSE)</f>
        <v>0</v>
      </c>
      <c r="BP84" s="55">
        <f t="shared" si="127"/>
        <v>-1202.9656222756689</v>
      </c>
      <c r="BQ84" s="77">
        <f t="shared" si="87"/>
        <v>37980.36408221272</v>
      </c>
      <c r="BR84" s="40">
        <f t="shared" si="88"/>
        <v>226</v>
      </c>
      <c r="BS84" s="55">
        <f t="shared" si="110"/>
        <v>-37754.36408221272</v>
      </c>
      <c r="BT84" s="566">
        <f>VLOOKUP($A84,'01-02.2021'!$A$6:$CZ$403,72,FALSE)+VLOOKUP($A84,'1.3.21-28.2.22'!$A$6:$DA$404,72,FALSE)-VLOOKUP($A84,'01-02.2022'!$A$6:$DA$376,72,FALSE)</f>
        <v>146817.68583745553</v>
      </c>
      <c r="BU84" s="566">
        <f>VLOOKUP($A84,'01-02.2021'!$A$6:$CZ$403,73,FALSE)+VLOOKUP($A84,'1.3.21-28.2.22'!$A$6:$DA$404,73,FALSE)-VLOOKUP($A84,'01-02.2022'!$A$6:$DA$376,73,FALSE)</f>
        <v>149230.95437415317</v>
      </c>
      <c r="BV84" s="70">
        <f t="shared" si="128"/>
        <v>2413.2685366976366</v>
      </c>
      <c r="BW84" s="566">
        <f>VLOOKUP($A84,'01-02.2021'!$A$6:$CZ$403,75,FALSE)+VLOOKUP($A84,'1.3.21-28.2.22'!$A$6:$DA$404,75,FALSE)-VLOOKUP($A84,'01-02.2022'!$A$6:$DA$376,75,FALSE)</f>
        <v>88995.568144664809</v>
      </c>
      <c r="BX84" s="566">
        <f>VLOOKUP($A84,'01-02.2021'!$A$6:$CZ$403,76,FALSE)+VLOOKUP($A84,'1.3.21-28.2.22'!$A$6:$DA$404,76,FALSE)-VLOOKUP($A84,'01-02.2022'!$A$6:$DA$376,76,FALSE)</f>
        <v>89808.199655418473</v>
      </c>
      <c r="BY84" s="70">
        <f t="shared" si="129"/>
        <v>812.63151075366477</v>
      </c>
      <c r="BZ84" s="566">
        <f>VLOOKUP($A84,'01-02.2021'!$A$6:$CZ$403,78,FALSE)+VLOOKUP($A84,'1.3.21-28.2.22'!$A$6:$DA$404,78,FALSE)-VLOOKUP($A84,'01-02.2022'!$A$6:$DA$376,78,FALSE)</f>
        <v>23854.184380051047</v>
      </c>
      <c r="CA84" s="566">
        <f>VLOOKUP($A84,'01-02.2021'!$A$6:$CZ$403,79,FALSE)+VLOOKUP($A84,'1.3.21-28.2.22'!$A$6:$DA$404,79,FALSE)-VLOOKUP($A84,'01-02.2022'!$A$6:$DA$376,79,FALSE)</f>
        <v>33876.950730021679</v>
      </c>
      <c r="CB84" s="70">
        <f t="shared" si="130"/>
        <v>10022.766349970632</v>
      </c>
      <c r="CC84" s="566">
        <f>VLOOKUP($A84,'01-02.2021'!$A$6:$CZ$403,81,FALSE)+VLOOKUP($A84,'1.3.21-28.2.22'!$A$6:$DA$404,81,FALSE)-VLOOKUP($A84,'01-02.2022'!$A$6:$DA$376,81,FALSE)</f>
        <v>2888.9761933030395</v>
      </c>
      <c r="CD84" s="566">
        <f>VLOOKUP($A84,'01-02.2021'!$A$6:$CZ$403,82,FALSE)+VLOOKUP($A84,'1.3.21-28.2.22'!$A$6:$DA$404,82,FALSE)-VLOOKUP($A84,'01-02.2022'!$A$6:$DA$376,82,FALSE)</f>
        <v>3145.6306881838746</v>
      </c>
      <c r="CE84" s="70">
        <f t="shared" si="131"/>
        <v>256.65449488083505</v>
      </c>
      <c r="CF84" s="566">
        <f>VLOOKUP($A84,'01-02.2021'!$A$6:$CZ$403,84,FALSE)+VLOOKUP($A84,'1.3.21-28.2.22'!$A$6:$DA$404,84,FALSE)-VLOOKUP($A84,'01-02.2022'!$A$6:$DA$376,84,FALSE)</f>
        <v>349.87982572348028</v>
      </c>
      <c r="CG84" s="566">
        <f>VLOOKUP($A84,'01-02.2021'!$A$6:$CZ$403,85,FALSE)+VLOOKUP($A84,'1.3.21-28.2.22'!$A$6:$DA$404,85,FALSE)-VLOOKUP($A84,'01-02.2022'!$A$6:$DA$376,85,FALSE)</f>
        <v>0</v>
      </c>
      <c r="CH84" s="70">
        <f t="shared" si="132"/>
        <v>-349.87982572348028</v>
      </c>
      <c r="CI84" s="566">
        <f>VLOOKUP($A84,'01-02.2021'!$A$6:$CZ$403,87,FALSE)+VLOOKUP($A84,'1.3.21-28.2.22'!$A$6:$DA$404,87,FALSE)-VLOOKUP($A84,'01-02.2022'!$A$6:$DA$376,87,FALSE)</f>
        <v>31786.58551786001</v>
      </c>
      <c r="CJ84" s="566">
        <f>VLOOKUP($A84,'01-02.2021'!$A$6:$CZ$403,88,FALSE)+VLOOKUP($A84,'1.3.21-28.2.22'!$A$6:$DA$404,88,FALSE)-VLOOKUP($A84,'01-02.2022'!$A$6:$DA$376,88,FALSE)</f>
        <v>28260.488107385121</v>
      </c>
      <c r="CK84" s="70">
        <f t="shared" si="133"/>
        <v>-3526.0974104748893</v>
      </c>
      <c r="CL84" s="566">
        <f>VLOOKUP($A84,'01-02.2021'!$A$6:$CZ$403,90,FALSE)+VLOOKUP($A84,'1.3.21-28.2.22'!$A$6:$DA$404,90,FALSE)-VLOOKUP($A84,'01-02.2022'!$A$6:$DA$376,90,FALSE)</f>
        <v>20652.55014524475</v>
      </c>
      <c r="CM84" s="566">
        <f>VLOOKUP($A84,'01-02.2021'!$A$6:$CZ$403,91,FALSE)+VLOOKUP($A84,'1.3.21-28.2.22'!$A$6:$DA$404,91,FALSE)-VLOOKUP($A84,'01-02.2022'!$A$6:$DA$376,91,FALSE)</f>
        <v>22988.030905147003</v>
      </c>
      <c r="CN84" s="52">
        <f t="shared" si="97"/>
        <v>2335.4807599022533</v>
      </c>
      <c r="CO84" s="39">
        <f t="shared" si="89"/>
        <v>52439.13566310476</v>
      </c>
      <c r="CP84" s="40">
        <f t="shared" si="98"/>
        <v>51248.519012532124</v>
      </c>
      <c r="CQ84" s="52">
        <f t="shared" si="99"/>
        <v>-1190.616650572636</v>
      </c>
      <c r="CR84" s="72">
        <f t="shared" si="90"/>
        <v>753901.59286224633</v>
      </c>
      <c r="CS84" s="5">
        <f t="shared" si="90"/>
        <v>946030.10633962497</v>
      </c>
      <c r="CT84" s="52">
        <f t="shared" si="100"/>
        <v>192128.51347737864</v>
      </c>
      <c r="CU84" s="77">
        <f t="shared" si="101"/>
        <v>904681.91143469559</v>
      </c>
      <c r="CV84" s="65">
        <f t="shared" si="102"/>
        <v>1135236.12760755</v>
      </c>
      <c r="CW84" s="35">
        <f t="shared" si="103"/>
        <v>230554.21617285442</v>
      </c>
      <c r="CX84" s="566">
        <f>VLOOKUP($A84,'01-02.2021'!$A$6:$CZ$403,102,FALSE)+VLOOKUP($A84,'1.3.21-28.2.22'!$A$6:$DA$404,102,FALSE)-VLOOKUP($A84,'01-02.2022'!$A$6:$DA$376,102,FALSE)</f>
        <v>28592.756870675246</v>
      </c>
      <c r="CY84" s="566">
        <f>VLOOKUP($A84,'01-02.2021'!$A$6:$CZ$403,103,FALSE)+VLOOKUP($A84,'1.3.21-28.2.22'!$A$6:$DA$404,103,FALSE)-VLOOKUP($A84,'01-02.2022'!$A$6:$DA$376,103,FALSE)</f>
        <v>-201961.45930217905</v>
      </c>
      <c r="CZ84" s="52">
        <f t="shared" si="104"/>
        <v>-230554.2161728543</v>
      </c>
      <c r="DA84" s="150">
        <f>'[2]побудинковий звіт'!DA84</f>
        <v>132219.11946599279</v>
      </c>
      <c r="DB84" s="2">
        <v>1</v>
      </c>
      <c r="DC84" s="414">
        <f>'[4]побудинковий звіт'!DC84</f>
        <v>165043.21</v>
      </c>
      <c r="DD84" s="414">
        <f>'[4]побудинковий звіт'!DD84</f>
        <v>0</v>
      </c>
      <c r="DE84" s="557">
        <f>'[4]побудинковий звіт'!DE84</f>
        <v>80173.384246284739</v>
      </c>
      <c r="DF84" s="557">
        <f>'[4]побудинковий звіт'!DF84</f>
        <v>0</v>
      </c>
      <c r="DG84" s="321">
        <f>VLOOKUP(A84,'кошти 01.03.2021'!$A$6:$D$401,4,)</f>
        <v>-90602.904570467363</v>
      </c>
      <c r="DH84" s="40">
        <f>'[3]побудинковий звіт'!DJ84</f>
        <v>966847.93775134429</v>
      </c>
      <c r="DI84" s="422">
        <f>'[3]побудинковий звіт'!CU84+'[3]побудинковий звіт'!CX84</f>
        <v>84869.825753715253</v>
      </c>
      <c r="DJ84" s="306">
        <f>'[3]побудинковий звіт'!DM84</f>
        <v>6.1644153124520153</v>
      </c>
      <c r="DK84" s="306">
        <f>'[3]побудинковий звіт'!DN84</f>
        <v>7.62598673902089</v>
      </c>
      <c r="DL84" s="306">
        <f>'[3]побудинковий звіт'!DO84</f>
        <v>5.2331751037908516</v>
      </c>
      <c r="DM84" s="28">
        <f>DJ84*G84+(F84-G84)*DK84</f>
        <v>84869.825753715253</v>
      </c>
      <c r="DN84" s="28">
        <f>DL84*H84</f>
        <v>0</v>
      </c>
      <c r="DO84" s="423">
        <f t="shared" si="105"/>
        <v>84869.825753715253</v>
      </c>
      <c r="DP84" s="94">
        <f t="shared" si="106"/>
        <v>0</v>
      </c>
      <c r="DQ84" s="28">
        <f t="shared" si="107"/>
        <v>84869.825753715253</v>
      </c>
      <c r="DR84" s="318"/>
      <c r="DT84" s="8"/>
      <c r="DU84" s="5"/>
      <c r="DX84" s="5">
        <f t="shared" si="108"/>
        <v>222078.61242803998</v>
      </c>
      <c r="DY84" s="5">
        <f t="shared" si="109"/>
        <v>451977.98898803681</v>
      </c>
      <c r="DZ84" s="159">
        <f>'[3]побудинковий звіт'!EA84</f>
        <v>20447.823425201663</v>
      </c>
    </row>
    <row r="85" spans="1:130" x14ac:dyDescent="0.3">
      <c r="A85" s="325">
        <v>150000534</v>
      </c>
      <c r="B85" s="41" t="s">
        <v>534</v>
      </c>
      <c r="C85" s="42" t="s">
        <v>255</v>
      </c>
      <c r="D85" s="42"/>
      <c r="E85" s="293">
        <f t="shared" si="85"/>
        <v>2481.4</v>
      </c>
      <c r="F85" s="305">
        <f>'[3]побудинковий звіт'!F85</f>
        <v>2481.4</v>
      </c>
      <c r="G85" s="508">
        <f>'[3]побудинковий звіт'!G85</f>
        <v>0</v>
      </c>
      <c r="H85" s="560">
        <f>'[3]побудинковий звіт'!H85</f>
        <v>0</v>
      </c>
      <c r="I85" s="566">
        <f>VLOOKUP($A85,'01-02.2021'!$A$6:$CZ$403,9,FALSE)+VLOOKUP($A85,'1.3.21-28.2.22'!$A$6:$DA$404,9,FALSE)-VLOOKUP($A85,'01-02.2022'!$A$6:$DA$376,9,FALSE)</f>
        <v>7585.1352399432708</v>
      </c>
      <c r="J85" s="566">
        <f>VLOOKUP($A85,'01-02.2021'!$A$6:$CZ$403,10,FALSE)+VLOOKUP($A85,'1.3.21-28.2.22'!$A$6:$DA$404,10,FALSE)-VLOOKUP($A85,'01-02.2022'!$A$6:$DA$376,10,FALSE)</f>
        <v>6723.2295787783059</v>
      </c>
      <c r="K85" s="52">
        <f t="shared" si="94"/>
        <v>-861.90566116496484</v>
      </c>
      <c r="L85" s="566">
        <f>VLOOKUP($A85,'01-02.2021'!$A$6:$CZ$403,12,FALSE)+VLOOKUP($A85,'1.3.21-28.2.22'!$A$6:$DA$404,12,FALSE)-VLOOKUP($A85,'01-02.2022'!$A$6:$DA$376,12,FALSE)</f>
        <v>1666.8432802604216</v>
      </c>
      <c r="M85" s="566">
        <f>VLOOKUP($A85,'01-02.2021'!$A$6:$CZ$403,13,FALSE)+VLOOKUP($A85,'1.3.21-28.2.22'!$A$6:$DA$404,13,FALSE)-VLOOKUP($A85,'01-02.2022'!$A$6:$DA$376,13,FALSE)</f>
        <v>1504.7879541524139</v>
      </c>
      <c r="N85" s="52">
        <f t="shared" si="95"/>
        <v>-162.05532610800765</v>
      </c>
      <c r="O85" s="566">
        <f>VLOOKUP($A85,'01-02.2021'!$A$6:$CZ$403,15,FALSE)+VLOOKUP($A85,'1.3.21-28.2.22'!$A$6:$DA$404,15,FALSE)-VLOOKUP($A85,'01-02.2022'!$A$6:$DA$376,15,FALSE)</f>
        <v>3519.7809343051667</v>
      </c>
      <c r="P85" s="566">
        <f>VLOOKUP($A85,'01-02.2021'!$A$6:$CZ$403,16,FALSE)+VLOOKUP($A85,'1.3.21-28.2.22'!$A$6:$DA$404,16,FALSE)-VLOOKUP($A85,'01-02.2022'!$A$6:$DA$376,16,FALSE)</f>
        <v>3519.76</v>
      </c>
      <c r="Q85" s="70">
        <f t="shared" si="111"/>
        <v>-2.0934305166520062E-2</v>
      </c>
      <c r="R85" s="566">
        <f>VLOOKUP($A85,'01-02.2021'!$A$6:$CZ$403,18,FALSE)+VLOOKUP($A85,'1.3.21-28.2.22'!$A$6:$DA$404,18,FALSE)-VLOOKUP($A85,'01-02.2022'!$A$6:$DA$376,18,FALSE)</f>
        <v>745.7064025886333</v>
      </c>
      <c r="S85" s="566">
        <f>VLOOKUP($A85,'01-02.2021'!$A$6:$CZ$403,19,FALSE)+VLOOKUP($A85,'1.3.21-28.2.22'!$A$6:$DA$404,19,FALSE)-VLOOKUP($A85,'01-02.2022'!$A$6:$DA$376,19,FALSE)</f>
        <v>745.68</v>
      </c>
      <c r="T85" s="70">
        <f t="shared" si="112"/>
        <v>-2.6402588633345658E-2</v>
      </c>
      <c r="U85" s="566">
        <f>VLOOKUP($A85,'01-02.2021'!$A$6:$CZ$403,21,FALSE)+VLOOKUP($A85,'1.3.21-28.2.22'!$A$6:$DA$404,21,FALSE)-VLOOKUP($A85,'01-02.2022'!$A$6:$DA$376,21,FALSE)</f>
        <v>457.79129681017355</v>
      </c>
      <c r="V85" s="566">
        <f>VLOOKUP($A85,'01-02.2021'!$A$6:$CZ$403,22,FALSE)+VLOOKUP($A85,'1.3.21-28.2.22'!$A$6:$DA$404,22,FALSE)-VLOOKUP($A85,'01-02.2022'!$A$6:$DA$376,22,FALSE)</f>
        <v>298.26485456778323</v>
      </c>
      <c r="W85" s="70">
        <f t="shared" si="113"/>
        <v>-159.52644224239032</v>
      </c>
      <c r="X85" s="566">
        <f>VLOOKUP($A85,'01-02.2021'!$A$6:$CZ$403,24,FALSE)+VLOOKUP($A85,'1.3.21-28.2.22'!$A$6:$DA$404,24,FALSE)-VLOOKUP($A85,'01-02.2022'!$A$6:$DA$376,24,FALSE)</f>
        <v>4664.0663754989982</v>
      </c>
      <c r="Y85" s="566">
        <f>VLOOKUP($A85,'01-02.2021'!$A$6:$CZ$403,25,FALSE)+VLOOKUP($A85,'1.3.21-28.2.22'!$A$6:$DA$404,25,FALSE)-VLOOKUP($A85,'01-02.2022'!$A$6:$DA$376,25,FALSE)</f>
        <v>3945.6999470580158</v>
      </c>
      <c r="Z85" s="70">
        <f t="shared" si="114"/>
        <v>-718.36642844098242</v>
      </c>
      <c r="AA85" s="566">
        <f>VLOOKUP($A85,'01-02.2021'!$A$6:$CZ$403,27,FALSE)+VLOOKUP($A85,'1.3.21-28.2.22'!$A$6:$DA$404,27,FALSE)-VLOOKUP($A85,'01-02.2022'!$A$6:$DA$376,27,FALSE)</f>
        <v>496.29600000000005</v>
      </c>
      <c r="AB85" s="566">
        <f>VLOOKUP($A85,'01-02.2021'!$A$6:$CZ$403,28,FALSE)+VLOOKUP($A85,'1.3.21-28.2.22'!$A$6:$DA$404,28,FALSE)-VLOOKUP($A85,'01-02.2022'!$A$6:$DA$376,28,FALSE)</f>
        <v>0</v>
      </c>
      <c r="AC85" s="70">
        <f t="shared" si="115"/>
        <v>-496.29600000000005</v>
      </c>
      <c r="AD85" s="566">
        <f>VLOOKUP($A85,'01-02.2021'!$A$6:$CZ$403,30,FALSE)+VLOOKUP($A85,'1.3.21-28.2.22'!$A$6:$DA$404,30,FALSE)-VLOOKUP($A85,'01-02.2022'!$A$6:$DA$376,30,FALSE)</f>
        <v>10658.460007955686</v>
      </c>
      <c r="AE85" s="566">
        <f>VLOOKUP($A85,'01-02.2021'!$A$6:$CZ$403,31,FALSE)+VLOOKUP($A85,'1.3.21-28.2.22'!$A$6:$DA$404,31,FALSE)-VLOOKUP($A85,'01-02.2022'!$A$6:$DA$376,31,FALSE)</f>
        <v>11295.573238859391</v>
      </c>
      <c r="AF85" s="68">
        <f t="shared" si="116"/>
        <v>637.1132309037057</v>
      </c>
      <c r="AG85" s="77">
        <f t="shared" si="86"/>
        <v>29794.079537362348</v>
      </c>
      <c r="AH85" s="53">
        <f t="shared" si="86"/>
        <v>28032.995573415908</v>
      </c>
      <c r="AI85" s="52">
        <f t="shared" si="96"/>
        <v>-1761.0839639464393</v>
      </c>
      <c r="AJ85" s="566">
        <f>VLOOKUP($A85,'01-02.2021'!$A$6:$CZ$403,36,FALSE)+VLOOKUP($A85,'1.3.21-28.2.22'!$A$6:$DA$404,36,FALSE)-VLOOKUP($A85,'01-02.2022'!$A$6:$DA$376,36,FALSE)</f>
        <v>0</v>
      </c>
      <c r="AK85" s="566">
        <f>VLOOKUP($A85,'01-02.2021'!$A$6:$CZ$403,37,FALSE)+VLOOKUP($A85,'1.3.21-28.2.22'!$A$6:$DA$404,37,FALSE)-VLOOKUP($A85,'01-02.2022'!$A$6:$DA$376,37,FALSE)</f>
        <v>0</v>
      </c>
      <c r="AL85" s="70">
        <f t="shared" si="117"/>
        <v>0</v>
      </c>
      <c r="AM85" s="566">
        <f>VLOOKUP($A85,'01-02.2021'!$A$6:$CZ$403,39,FALSE)+VLOOKUP($A85,'1.3.21-28.2.22'!$A$6:$DA$404,39,FALSE)-VLOOKUP($A85,'01-02.2022'!$A$6:$DA$376,39,FALSE)</f>
        <v>0</v>
      </c>
      <c r="AN85" s="566">
        <f>VLOOKUP($A85,'01-02.2021'!$A$6:$CZ$403,40,FALSE)+VLOOKUP($A85,'1.3.21-28.2.22'!$A$6:$DA$404,40,FALSE)-VLOOKUP($A85,'01-02.2022'!$A$6:$DA$376,40,FALSE)</f>
        <v>0</v>
      </c>
      <c r="AO85" s="70">
        <f t="shared" si="118"/>
        <v>0</v>
      </c>
      <c r="AP85" s="566">
        <f>VLOOKUP($A85,'01-02.2021'!$A$6:$CZ$403,42,FALSE)+VLOOKUP($A85,'1.3.21-28.2.22'!$A$6:$DA$404,42,FALSE)-VLOOKUP($A85,'01-02.2022'!$A$6:$DA$376,42,FALSE)</f>
        <v>1952.0997187979158</v>
      </c>
      <c r="AQ85" s="566">
        <f>VLOOKUP($A85,'01-02.2021'!$A$6:$CZ$403,43,FALSE)+VLOOKUP($A85,'1.3.21-28.2.22'!$A$6:$DA$404,43,FALSE)-VLOOKUP($A85,'01-02.2022'!$A$6:$DA$376,43,FALSE)</f>
        <v>1666.4048523679364</v>
      </c>
      <c r="AR85" s="70">
        <f t="shared" si="119"/>
        <v>-285.69486642997936</v>
      </c>
      <c r="AS85" s="566">
        <f>VLOOKUP($A85,'01-02.2021'!$A$6:$CZ$403,45,FALSE)+VLOOKUP($A85,'1.3.21-28.2.22'!$A$6:$DA$404,45,FALSE)-VLOOKUP($A85,'01-02.2022'!$A$6:$DA$376,45,FALSE)</f>
        <v>33380.8885755175</v>
      </c>
      <c r="AT85" s="566">
        <f>VLOOKUP($A85,'01-02.2021'!$A$6:$CZ$403,46,FALSE)+VLOOKUP($A85,'1.3.21-28.2.22'!$A$6:$DA$404,46,FALSE)-VLOOKUP($A85,'01-02.2022'!$A$6:$DA$376,46,FALSE)</f>
        <v>4023.74</v>
      </c>
      <c r="AU85" s="78">
        <f t="shared" si="120"/>
        <v>-29357.148575517502</v>
      </c>
      <c r="AV85" s="566">
        <f>VLOOKUP($A85,'01-02.2021'!$A$6:$CZ$403,48,FALSE)+VLOOKUP($A85,'1.3.21-28.2.22'!$A$6:$DA$404,48,FALSE)-VLOOKUP($A85,'01-02.2022'!$A$6:$DA$376,48,FALSE)</f>
        <v>2268.3816174186136</v>
      </c>
      <c r="AW85" s="566">
        <f>VLOOKUP($A85,'01-02.2021'!$A$6:$CZ$403,49,FALSE)+VLOOKUP($A85,'1.3.21-28.2.22'!$A$6:$DA$404,49,FALSE)-VLOOKUP($A85,'01-02.2022'!$A$6:$DA$376,49,FALSE)</f>
        <v>827</v>
      </c>
      <c r="AX85" s="55">
        <f t="shared" si="121"/>
        <v>-1441.3816174186136</v>
      </c>
      <c r="AY85" s="566">
        <f>VLOOKUP($A85,'01-02.2021'!$A$6:$CZ$403,51,FALSE)+VLOOKUP($A85,'1.3.21-28.2.22'!$A$6:$DA$404,51,FALSE)-VLOOKUP($A85,'01-02.2022'!$A$6:$DA$376,51,FALSE)</f>
        <v>2957.0345153457001</v>
      </c>
      <c r="AZ85" s="566">
        <f>VLOOKUP($A85,'01-02.2021'!$A$6:$CZ$403,52,FALSE)+VLOOKUP($A85,'1.3.21-28.2.22'!$A$6:$DA$404,52,FALSE)-VLOOKUP($A85,'01-02.2022'!$A$6:$DA$376,52,FALSE)</f>
        <v>1300</v>
      </c>
      <c r="BA85" s="38">
        <f t="shared" si="122"/>
        <v>-1657.0345153457001</v>
      </c>
      <c r="BB85" s="566">
        <f>VLOOKUP($A85,'01-02.2021'!$A$6:$CZ$403,54,FALSE)+VLOOKUP($A85,'1.3.21-28.2.22'!$A$6:$DA$404,54,FALSE)-VLOOKUP($A85,'01-02.2022'!$A$6:$DA$376,54,FALSE)</f>
        <v>1197.522326096183</v>
      </c>
      <c r="BC85" s="566">
        <f>VLOOKUP($A85,'01-02.2021'!$A$6:$CZ$403,55,FALSE)+VLOOKUP($A85,'1.3.21-28.2.22'!$A$6:$DA$404,55,FALSE)-VLOOKUP($A85,'01-02.2022'!$A$6:$DA$376,55,FALSE)</f>
        <v>0</v>
      </c>
      <c r="BD85" s="55">
        <f t="shared" si="123"/>
        <v>-1197.522326096183</v>
      </c>
      <c r="BE85" s="566">
        <f>VLOOKUP($A85,'01-02.2021'!$A$6:$CZ$403,57,FALSE)+VLOOKUP($A85,'1.3.21-28.2.22'!$A$6:$DA$404,57,FALSE)-VLOOKUP($A85,'01-02.2022'!$A$6:$DA$376,57,FALSE)</f>
        <v>1595.629844395929</v>
      </c>
      <c r="BF85" s="566">
        <f>VLOOKUP($A85,'01-02.2021'!$A$6:$CZ$403,58,FALSE)+VLOOKUP($A85,'1.3.21-28.2.22'!$A$6:$DA$404,58,FALSE)-VLOOKUP($A85,'01-02.2022'!$A$6:$DA$376,58,FALSE)</f>
        <v>0</v>
      </c>
      <c r="BG85" s="55">
        <f t="shared" si="124"/>
        <v>-1595.629844395929</v>
      </c>
      <c r="BH85" s="566">
        <f>VLOOKUP($A85,'01-02.2021'!$A$6:$CZ$403,60,FALSE)+VLOOKUP($A85,'1.3.21-28.2.22'!$A$6:$DA$404,60,FALSE)-VLOOKUP($A85,'01-02.2022'!$A$6:$DA$376,60,FALSE)</f>
        <v>1027.219662045015</v>
      </c>
      <c r="BI85" s="566">
        <f>VLOOKUP($A85,'01-02.2021'!$A$6:$CZ$403,61,FALSE)+VLOOKUP($A85,'1.3.21-28.2.22'!$A$6:$DA$404,61,FALSE)-VLOOKUP($A85,'01-02.2022'!$A$6:$DA$376,61,FALSE)</f>
        <v>0</v>
      </c>
      <c r="BJ85" s="55">
        <f t="shared" si="125"/>
        <v>-1027.219662045015</v>
      </c>
      <c r="BK85" s="566">
        <f>VLOOKUP($A85,'01-02.2021'!$A$6:$CZ$403,63,FALSE)+VLOOKUP($A85,'1.3.21-28.2.22'!$A$6:$DA$404,63,FALSE)-VLOOKUP($A85,'01-02.2022'!$A$6:$DA$376,63,FALSE)</f>
        <v>1263.360674454409</v>
      </c>
      <c r="BL85" s="566">
        <f>VLOOKUP($A85,'01-02.2021'!$A$6:$CZ$403,64,FALSE)+VLOOKUP($A85,'1.3.21-28.2.22'!$A$6:$DA$404,64,FALSE)-VLOOKUP($A85,'01-02.2022'!$A$6:$DA$376,64,FALSE)</f>
        <v>0</v>
      </c>
      <c r="BM85" s="55">
        <f t="shared" si="126"/>
        <v>-1263.360674454409</v>
      </c>
      <c r="BN85" s="566">
        <f>VLOOKUP($A85,'01-02.2021'!$A$6:$CZ$403,66,FALSE)+VLOOKUP($A85,'1.3.21-28.2.22'!$A$6:$DA$404,66,FALSE)-VLOOKUP($A85,'01-02.2022'!$A$6:$DA$376,66,FALSE)</f>
        <v>642.85061171666189</v>
      </c>
      <c r="BO85" s="566">
        <f>VLOOKUP($A85,'01-02.2021'!$A$6:$CZ$403,67,FALSE)+VLOOKUP($A85,'1.3.21-28.2.22'!$A$6:$DA$404,67,FALSE)-VLOOKUP($A85,'01-02.2022'!$A$6:$DA$376,67,FALSE)</f>
        <v>0</v>
      </c>
      <c r="BP85" s="55">
        <f t="shared" si="127"/>
        <v>-642.85061171666189</v>
      </c>
      <c r="BQ85" s="77">
        <f t="shared" si="87"/>
        <v>10951.999251472513</v>
      </c>
      <c r="BR85" s="40">
        <f t="shared" si="88"/>
        <v>2127</v>
      </c>
      <c r="BS85" s="55">
        <f t="shared" si="110"/>
        <v>-8824.9992514725127</v>
      </c>
      <c r="BT85" s="566">
        <f>VLOOKUP($A85,'01-02.2021'!$A$6:$CZ$403,72,FALSE)+VLOOKUP($A85,'1.3.21-28.2.22'!$A$6:$DA$404,72,FALSE)-VLOOKUP($A85,'01-02.2022'!$A$6:$DA$376,72,FALSE)</f>
        <v>36710.414911830783</v>
      </c>
      <c r="BU85" s="566">
        <f>VLOOKUP($A85,'01-02.2021'!$A$6:$CZ$403,73,FALSE)+VLOOKUP($A85,'1.3.21-28.2.22'!$A$6:$DA$404,73,FALSE)-VLOOKUP($A85,'01-02.2022'!$A$6:$DA$376,73,FALSE)</f>
        <v>37170.753579525634</v>
      </c>
      <c r="BV85" s="70">
        <f t="shared" si="128"/>
        <v>460.3386676948503</v>
      </c>
      <c r="BW85" s="566">
        <f>VLOOKUP($A85,'01-02.2021'!$A$6:$CZ$403,75,FALSE)+VLOOKUP($A85,'1.3.21-28.2.22'!$A$6:$DA$404,75,FALSE)-VLOOKUP($A85,'01-02.2022'!$A$6:$DA$376,75,FALSE)</f>
        <v>17519.274601979683</v>
      </c>
      <c r="BX85" s="566">
        <f>VLOOKUP($A85,'01-02.2021'!$A$6:$CZ$403,76,FALSE)+VLOOKUP($A85,'1.3.21-28.2.22'!$A$6:$DA$404,76,FALSE)-VLOOKUP($A85,'01-02.2022'!$A$6:$DA$376,76,FALSE)</f>
        <v>17883.339299986928</v>
      </c>
      <c r="BY85" s="70">
        <f t="shared" si="129"/>
        <v>364.06469800724517</v>
      </c>
      <c r="BZ85" s="566">
        <f>VLOOKUP($A85,'01-02.2021'!$A$6:$CZ$403,78,FALSE)+VLOOKUP($A85,'1.3.21-28.2.22'!$A$6:$DA$404,78,FALSE)-VLOOKUP($A85,'01-02.2022'!$A$6:$DA$376,78,FALSE)</f>
        <v>5585.0723106984915</v>
      </c>
      <c r="CA85" s="566">
        <f>VLOOKUP($A85,'01-02.2021'!$A$6:$CZ$403,79,FALSE)+VLOOKUP($A85,'1.3.21-28.2.22'!$A$6:$DA$404,79,FALSE)-VLOOKUP($A85,'01-02.2022'!$A$6:$DA$376,79,FALSE)</f>
        <v>9302.5639206854648</v>
      </c>
      <c r="CB85" s="70">
        <f t="shared" si="130"/>
        <v>3717.4916099869733</v>
      </c>
      <c r="CC85" s="566">
        <f>VLOOKUP($A85,'01-02.2021'!$A$6:$CZ$403,81,FALSE)+VLOOKUP($A85,'1.3.21-28.2.22'!$A$6:$DA$404,81,FALSE)-VLOOKUP($A85,'01-02.2022'!$A$6:$DA$376,81,FALSE)</f>
        <v>1453.029370144634</v>
      </c>
      <c r="CD85" s="566">
        <f>VLOOKUP($A85,'01-02.2021'!$A$6:$CZ$403,82,FALSE)+VLOOKUP($A85,'1.3.21-28.2.22'!$A$6:$DA$404,82,FALSE)-VLOOKUP($A85,'01-02.2022'!$A$6:$DA$376,82,FALSE)</f>
        <v>1577.1940059630172</v>
      </c>
      <c r="CE85" s="70">
        <f t="shared" si="131"/>
        <v>124.1646358183832</v>
      </c>
      <c r="CF85" s="566">
        <f>VLOOKUP($A85,'01-02.2021'!$A$6:$CZ$403,84,FALSE)+VLOOKUP($A85,'1.3.21-28.2.22'!$A$6:$DA$404,84,FALSE)-VLOOKUP($A85,'01-02.2022'!$A$6:$DA$376,84,FALSE)</f>
        <v>175.42693934520815</v>
      </c>
      <c r="CG85" s="566">
        <f>VLOOKUP($A85,'01-02.2021'!$A$6:$CZ$403,85,FALSE)+VLOOKUP($A85,'1.3.21-28.2.22'!$A$6:$DA$404,85,FALSE)-VLOOKUP($A85,'01-02.2022'!$A$6:$DA$376,85,FALSE)</f>
        <v>0</v>
      </c>
      <c r="CH85" s="70">
        <f t="shared" si="132"/>
        <v>-175.42693934520815</v>
      </c>
      <c r="CI85" s="566">
        <f>VLOOKUP($A85,'01-02.2021'!$A$6:$CZ$403,87,FALSE)+VLOOKUP($A85,'1.3.21-28.2.22'!$A$6:$DA$404,87,FALSE)-VLOOKUP($A85,'01-02.2022'!$A$6:$DA$376,87,FALSE)</f>
        <v>5972.1932082275016</v>
      </c>
      <c r="CJ85" s="566">
        <f>VLOOKUP($A85,'01-02.2021'!$A$6:$CZ$403,88,FALSE)+VLOOKUP($A85,'1.3.21-28.2.22'!$A$6:$DA$404,88,FALSE)-VLOOKUP($A85,'01-02.2022'!$A$6:$DA$376,88,FALSE)</f>
        <v>4366.4637286701773</v>
      </c>
      <c r="CK85" s="70">
        <f t="shared" si="133"/>
        <v>-1605.7294795573243</v>
      </c>
      <c r="CL85" s="566">
        <f>VLOOKUP($A85,'01-02.2021'!$A$6:$CZ$403,90,FALSE)+VLOOKUP($A85,'1.3.21-28.2.22'!$A$6:$DA$404,90,FALSE)-VLOOKUP($A85,'01-02.2022'!$A$6:$DA$376,90,FALSE)</f>
        <v>0</v>
      </c>
      <c r="CM85" s="566">
        <f>VLOOKUP($A85,'01-02.2021'!$A$6:$CZ$403,91,FALSE)+VLOOKUP($A85,'1.3.21-28.2.22'!$A$6:$DA$404,91,FALSE)-VLOOKUP($A85,'01-02.2022'!$A$6:$DA$376,91,FALSE)</f>
        <v>0</v>
      </c>
      <c r="CN85" s="52">
        <f t="shared" si="97"/>
        <v>0</v>
      </c>
      <c r="CO85" s="39">
        <f t="shared" si="89"/>
        <v>5972.1932082275016</v>
      </c>
      <c r="CP85" s="40">
        <f t="shared" si="98"/>
        <v>4366.4637286701773</v>
      </c>
      <c r="CQ85" s="52">
        <f t="shared" si="99"/>
        <v>-1605.7294795573243</v>
      </c>
      <c r="CR85" s="72">
        <f t="shared" si="90"/>
        <v>143494.47842537652</v>
      </c>
      <c r="CS85" s="5">
        <f t="shared" si="90"/>
        <v>106150.45496061505</v>
      </c>
      <c r="CT85" s="52">
        <f t="shared" si="100"/>
        <v>-37344.023464761471</v>
      </c>
      <c r="CU85" s="77">
        <f t="shared" si="101"/>
        <v>172193.37411045181</v>
      </c>
      <c r="CV85" s="65">
        <f t="shared" si="102"/>
        <v>127380.54595273806</v>
      </c>
      <c r="CW85" s="35">
        <f t="shared" si="103"/>
        <v>-44812.828157713753</v>
      </c>
      <c r="CX85" s="566">
        <f>VLOOKUP($A85,'01-02.2021'!$A$6:$CZ$403,102,FALSE)+VLOOKUP($A85,'1.3.21-28.2.22'!$A$6:$DA$404,102,FALSE)-VLOOKUP($A85,'01-02.2022'!$A$6:$DA$376,102,FALSE)</f>
        <v>5453.4300657441099</v>
      </c>
      <c r="CY85" s="566">
        <f>VLOOKUP($A85,'01-02.2021'!$A$6:$CZ$403,103,FALSE)+VLOOKUP($A85,'1.3.21-28.2.22'!$A$6:$DA$404,103,FALSE)-VLOOKUP($A85,'01-02.2022'!$A$6:$DA$376,103,FALSE)</f>
        <v>50266.258223457924</v>
      </c>
      <c r="CZ85" s="52">
        <f t="shared" si="104"/>
        <v>44812.828157713811</v>
      </c>
      <c r="DA85" s="150">
        <f>'[2]побудинковий звіт'!DA85</f>
        <v>-31589.335734736094</v>
      </c>
      <c r="DB85" s="2">
        <v>1</v>
      </c>
      <c r="DC85" s="414">
        <f>'[4]побудинковий звіт'!DC85</f>
        <v>17727.61</v>
      </c>
      <c r="DD85" s="414">
        <f>'[4]побудинковий звіт'!DD85</f>
        <v>0</v>
      </c>
      <c r="DE85" s="557">
        <f>'[4]побудинковий звіт'!DE85</f>
        <v>1623.9507402406798</v>
      </c>
      <c r="DF85" s="557">
        <f>'[4]побудинковий звіт'!DF85</f>
        <v>0</v>
      </c>
      <c r="DG85" s="321">
        <f>VLOOKUP(A85,'кошти 01.03.2021'!$A$6:$D$401,4,)</f>
        <v>19711.8173604041</v>
      </c>
      <c r="DH85" s="40">
        <f>'[3]побудинковий звіт'!DJ85</f>
        <v>183791.47154784587</v>
      </c>
      <c r="DI85" s="422">
        <f>'[3]побудинковий звіт'!CU85+'[3]побудинковий звіт'!CX85</f>
        <v>16103.659259759321</v>
      </c>
      <c r="DJ85" s="306">
        <f>'[3]побудинковий звіт'!DM85</f>
        <v>6.4897474247438218</v>
      </c>
      <c r="DK85" s="306">
        <f>DJ85</f>
        <v>6.4897474247438218</v>
      </c>
      <c r="DL85" s="306">
        <f>'[3]побудинковий звіт'!DO85</f>
        <v>5.6341950364621942</v>
      </c>
      <c r="DM85" s="28">
        <f>F85*DJ85</f>
        <v>16103.659259759321</v>
      </c>
      <c r="DN85" s="28">
        <f>H85*DL85</f>
        <v>0</v>
      </c>
      <c r="DO85" s="423">
        <f t="shared" si="105"/>
        <v>16103.659259759321</v>
      </c>
      <c r="DP85" s="94">
        <f t="shared" si="106"/>
        <v>0</v>
      </c>
      <c r="DQ85" s="28">
        <f t="shared" si="107"/>
        <v>16103.659259759321</v>
      </c>
      <c r="DR85" s="318"/>
      <c r="DT85" s="8"/>
      <c r="DU85" s="5"/>
      <c r="DX85" s="5">
        <f t="shared" si="108"/>
        <v>53199.465392388018</v>
      </c>
      <c r="DY85" s="5">
        <f t="shared" si="109"/>
        <v>7380.887999999999</v>
      </c>
      <c r="DZ85" s="159">
        <f>'[3]побудинковий звіт'!EA85</f>
        <v>5212.2341021699822</v>
      </c>
    </row>
    <row r="86" spans="1:130" x14ac:dyDescent="0.3">
      <c r="A86" s="325">
        <v>150000535</v>
      </c>
      <c r="B86" s="41" t="s">
        <v>535</v>
      </c>
      <c r="C86" s="42" t="s">
        <v>351</v>
      </c>
      <c r="D86" s="42"/>
      <c r="E86" s="293">
        <f t="shared" si="85"/>
        <v>11456.45</v>
      </c>
      <c r="F86" s="305">
        <f>'[3]побудинковий звіт'!F86</f>
        <v>11363.16</v>
      </c>
      <c r="G86" s="508">
        <f>'[3]побудинковий звіт'!G86</f>
        <v>1267.95</v>
      </c>
      <c r="H86" s="560">
        <f>'[3]побудинковий звіт'!H86</f>
        <v>93.29</v>
      </c>
      <c r="I86" s="566">
        <f>VLOOKUP($A86,'01-02.2021'!$A$6:$CZ$403,9,FALSE)+VLOOKUP($A86,'1.3.21-28.2.22'!$A$6:$DA$404,9,FALSE)-VLOOKUP($A86,'01-02.2022'!$A$6:$DA$376,9,FALSE)</f>
        <v>29590.782656398438</v>
      </c>
      <c r="J86" s="566">
        <f>VLOOKUP($A86,'01-02.2021'!$A$6:$CZ$403,10,FALSE)+VLOOKUP($A86,'1.3.21-28.2.22'!$A$6:$DA$404,10,FALSE)-VLOOKUP($A86,'01-02.2022'!$A$6:$DA$376,10,FALSE)</f>
        <v>26576.771848726665</v>
      </c>
      <c r="K86" s="52">
        <f t="shared" si="94"/>
        <v>-3014.0108076717734</v>
      </c>
      <c r="L86" s="566">
        <f>VLOOKUP($A86,'01-02.2021'!$A$6:$CZ$403,12,FALSE)+VLOOKUP($A86,'1.3.21-28.2.22'!$A$6:$DA$404,12,FALSE)-VLOOKUP($A86,'01-02.2022'!$A$6:$DA$376,12,FALSE)</f>
        <v>5179.584405812363</v>
      </c>
      <c r="M86" s="566">
        <f>VLOOKUP($A86,'01-02.2021'!$A$6:$CZ$403,13,FALSE)+VLOOKUP($A86,'1.3.21-28.2.22'!$A$6:$DA$404,13,FALSE)-VLOOKUP($A86,'01-02.2022'!$A$6:$DA$376,13,FALSE)</f>
        <v>4692.626725580074</v>
      </c>
      <c r="N86" s="52">
        <f t="shared" si="95"/>
        <v>-486.95768023228902</v>
      </c>
      <c r="O86" s="566">
        <f>VLOOKUP($A86,'01-02.2021'!$A$6:$CZ$403,15,FALSE)+VLOOKUP($A86,'1.3.21-28.2.22'!$A$6:$DA$404,15,FALSE)-VLOOKUP($A86,'01-02.2022'!$A$6:$DA$376,15,FALSE)</f>
        <v>15228.278545274114</v>
      </c>
      <c r="P86" s="566">
        <f>VLOOKUP($A86,'01-02.2021'!$A$6:$CZ$403,16,FALSE)+VLOOKUP($A86,'1.3.21-28.2.22'!$A$6:$DA$404,16,FALSE)-VLOOKUP($A86,'01-02.2022'!$A$6:$DA$376,16,FALSE)</f>
        <v>15228.279999999997</v>
      </c>
      <c r="Q86" s="70">
        <f t="shared" si="111"/>
        <v>1.4547258833772503E-3</v>
      </c>
      <c r="R86" s="566">
        <f>VLOOKUP($A86,'01-02.2021'!$A$6:$CZ$403,18,FALSE)+VLOOKUP($A86,'1.3.21-28.2.22'!$A$6:$DA$404,18,FALSE)-VLOOKUP($A86,'01-02.2022'!$A$6:$DA$376,18,FALSE)</f>
        <v>3444.8847828040671</v>
      </c>
      <c r="S86" s="566">
        <f>VLOOKUP($A86,'01-02.2021'!$A$6:$CZ$403,19,FALSE)+VLOOKUP($A86,'1.3.21-28.2.22'!$A$6:$DA$404,19,FALSE)-VLOOKUP($A86,'01-02.2022'!$A$6:$DA$376,19,FALSE)</f>
        <v>3444.8900000000003</v>
      </c>
      <c r="T86" s="70">
        <f t="shared" si="112"/>
        <v>5.2171959332554252E-3</v>
      </c>
      <c r="U86" s="566">
        <f>VLOOKUP($A86,'01-02.2021'!$A$6:$CZ$403,21,FALSE)+VLOOKUP($A86,'1.3.21-28.2.22'!$A$6:$DA$404,21,FALSE)-VLOOKUP($A86,'01-02.2022'!$A$6:$DA$376,21,FALSE)</f>
        <v>4959.5476224493277</v>
      </c>
      <c r="V86" s="566">
        <f>VLOOKUP($A86,'01-02.2021'!$A$6:$CZ$403,22,FALSE)+VLOOKUP($A86,'1.3.21-28.2.22'!$A$6:$DA$404,22,FALSE)-VLOOKUP($A86,'01-02.2022'!$A$6:$DA$376,22,FALSE)</f>
        <v>3306.0455627786559</v>
      </c>
      <c r="W86" s="70">
        <f t="shared" si="113"/>
        <v>-1653.5020596706718</v>
      </c>
      <c r="X86" s="566">
        <f>VLOOKUP($A86,'01-02.2021'!$A$6:$CZ$403,24,FALSE)+VLOOKUP($A86,'1.3.21-28.2.22'!$A$6:$DA$404,24,FALSE)-VLOOKUP($A86,'01-02.2022'!$A$6:$DA$376,24,FALSE)</f>
        <v>25191.042391863859</v>
      </c>
      <c r="Y86" s="566">
        <f>VLOOKUP($A86,'01-02.2021'!$A$6:$CZ$403,25,FALSE)+VLOOKUP($A86,'1.3.21-28.2.22'!$A$6:$DA$404,25,FALSE)-VLOOKUP($A86,'01-02.2022'!$A$6:$DA$376,25,FALSE)</f>
        <v>21054.276072307912</v>
      </c>
      <c r="Z86" s="70">
        <f t="shared" si="114"/>
        <v>-4136.7663195559471</v>
      </c>
      <c r="AA86" s="566">
        <f>VLOOKUP($A86,'01-02.2021'!$A$6:$CZ$403,27,FALSE)+VLOOKUP($A86,'1.3.21-28.2.22'!$A$6:$DA$404,27,FALSE)-VLOOKUP($A86,'01-02.2022'!$A$6:$DA$376,27,FALSE)</f>
        <v>2291.1400000000003</v>
      </c>
      <c r="AB86" s="566">
        <f>VLOOKUP($A86,'01-02.2021'!$A$6:$CZ$403,28,FALSE)+VLOOKUP($A86,'1.3.21-28.2.22'!$A$6:$DA$404,28,FALSE)-VLOOKUP($A86,'01-02.2022'!$A$6:$DA$376,28,FALSE)</f>
        <v>0</v>
      </c>
      <c r="AC86" s="70">
        <f t="shared" si="115"/>
        <v>-2291.1400000000003</v>
      </c>
      <c r="AD86" s="566">
        <f>VLOOKUP($A86,'01-02.2021'!$A$6:$CZ$403,30,FALSE)+VLOOKUP($A86,'1.3.21-28.2.22'!$A$6:$DA$404,30,FALSE)-VLOOKUP($A86,'01-02.2022'!$A$6:$DA$376,30,FALSE)</f>
        <v>49198.101486415195</v>
      </c>
      <c r="AE86" s="566">
        <f>VLOOKUP($A86,'01-02.2021'!$A$6:$CZ$403,31,FALSE)+VLOOKUP($A86,'1.3.21-28.2.22'!$A$6:$DA$404,31,FALSE)-VLOOKUP($A86,'01-02.2022'!$A$6:$DA$376,31,FALSE)</f>
        <v>52154.693241959532</v>
      </c>
      <c r="AF86" s="68">
        <f t="shared" si="116"/>
        <v>2956.5917555443375</v>
      </c>
      <c r="AG86" s="77">
        <f t="shared" si="86"/>
        <v>135083.36189101735</v>
      </c>
      <c r="AH86" s="53">
        <f t="shared" si="86"/>
        <v>126457.58345135284</v>
      </c>
      <c r="AI86" s="52">
        <f t="shared" si="96"/>
        <v>-8625.7784396645147</v>
      </c>
      <c r="AJ86" s="566">
        <f>VLOOKUP($A86,'01-02.2021'!$A$6:$CZ$403,36,FALSE)+VLOOKUP($A86,'1.3.21-28.2.22'!$A$6:$DA$404,36,FALSE)-VLOOKUP($A86,'01-02.2022'!$A$6:$DA$376,36,FALSE)</f>
        <v>131420.65393341403</v>
      </c>
      <c r="AK86" s="566">
        <f>VLOOKUP($A86,'01-02.2021'!$A$6:$CZ$403,37,FALSE)+VLOOKUP($A86,'1.3.21-28.2.22'!$A$6:$DA$404,37,FALSE)-VLOOKUP($A86,'01-02.2022'!$A$6:$DA$376,37,FALSE)</f>
        <v>130558.99180292673</v>
      </c>
      <c r="AL86" s="70">
        <f t="shared" si="117"/>
        <v>-861.66213048729696</v>
      </c>
      <c r="AM86" s="566">
        <f>VLOOKUP($A86,'01-02.2021'!$A$6:$CZ$403,39,FALSE)+VLOOKUP($A86,'1.3.21-28.2.22'!$A$6:$DA$404,39,FALSE)-VLOOKUP($A86,'01-02.2022'!$A$6:$DA$376,39,FALSE)</f>
        <v>0</v>
      </c>
      <c r="AN86" s="566">
        <f>VLOOKUP($A86,'01-02.2021'!$A$6:$CZ$403,40,FALSE)+VLOOKUP($A86,'1.3.21-28.2.22'!$A$6:$DA$404,40,FALSE)-VLOOKUP($A86,'01-02.2022'!$A$6:$DA$376,40,FALSE)</f>
        <v>0</v>
      </c>
      <c r="AO86" s="70">
        <f t="shared" si="118"/>
        <v>0</v>
      </c>
      <c r="AP86" s="566">
        <f>VLOOKUP($A86,'01-02.2021'!$A$6:$CZ$403,42,FALSE)+VLOOKUP($A86,'1.3.21-28.2.22'!$A$6:$DA$404,42,FALSE)-VLOOKUP($A86,'01-02.2022'!$A$6:$DA$376,42,FALSE)</f>
        <v>7981.9188501959188</v>
      </c>
      <c r="AQ86" s="566">
        <f>VLOOKUP($A86,'01-02.2021'!$A$6:$CZ$403,43,FALSE)+VLOOKUP($A86,'1.3.21-28.2.22'!$A$6:$DA$404,43,FALSE)-VLOOKUP($A86,'01-02.2022'!$A$6:$DA$376,43,FALSE)</f>
        <v>7068.7502081466173</v>
      </c>
      <c r="AR86" s="70">
        <f t="shared" si="119"/>
        <v>-913.16864204930152</v>
      </c>
      <c r="AS86" s="566">
        <f>VLOOKUP($A86,'01-02.2021'!$A$6:$CZ$403,45,FALSE)+VLOOKUP($A86,'1.3.21-28.2.22'!$A$6:$DA$404,45,FALSE)-VLOOKUP($A86,'01-02.2022'!$A$6:$DA$376,45,FALSE)</f>
        <v>139486.85101645676</v>
      </c>
      <c r="AT86" s="566">
        <f>VLOOKUP($A86,'01-02.2021'!$A$6:$CZ$403,46,FALSE)+VLOOKUP($A86,'1.3.21-28.2.22'!$A$6:$DA$404,46,FALSE)-VLOOKUP($A86,'01-02.2022'!$A$6:$DA$376,46,FALSE)</f>
        <v>126146.35</v>
      </c>
      <c r="AU86" s="78">
        <f t="shared" si="120"/>
        <v>-13340.50101645675</v>
      </c>
      <c r="AV86" s="566">
        <f>VLOOKUP($A86,'01-02.2021'!$A$6:$CZ$403,48,FALSE)+VLOOKUP($A86,'1.3.21-28.2.22'!$A$6:$DA$404,48,FALSE)-VLOOKUP($A86,'01-02.2022'!$A$6:$DA$376,48,FALSE)</f>
        <v>6674.7068513785543</v>
      </c>
      <c r="AW86" s="566">
        <f>VLOOKUP($A86,'01-02.2021'!$A$6:$CZ$403,49,FALSE)+VLOOKUP($A86,'1.3.21-28.2.22'!$A$6:$DA$404,49,FALSE)-VLOOKUP($A86,'01-02.2022'!$A$6:$DA$376,49,FALSE)</f>
        <v>2004</v>
      </c>
      <c r="AX86" s="55">
        <f t="shared" si="121"/>
        <v>-4670.7068513785543</v>
      </c>
      <c r="AY86" s="566">
        <f>VLOOKUP($A86,'01-02.2021'!$A$6:$CZ$403,51,FALSE)+VLOOKUP($A86,'1.3.21-28.2.22'!$A$6:$DA$404,51,FALSE)-VLOOKUP($A86,'01-02.2022'!$A$6:$DA$376,51,FALSE)</f>
        <v>7877.4635314906627</v>
      </c>
      <c r="AZ86" s="566">
        <f>VLOOKUP($A86,'01-02.2021'!$A$6:$CZ$403,52,FALSE)+VLOOKUP($A86,'1.3.21-28.2.22'!$A$6:$DA$404,52,FALSE)-VLOOKUP($A86,'01-02.2022'!$A$6:$DA$376,52,FALSE)</f>
        <v>4890.3099999999995</v>
      </c>
      <c r="BA86" s="38">
        <f t="shared" si="122"/>
        <v>-2987.1535314906632</v>
      </c>
      <c r="BB86" s="566">
        <f>VLOOKUP($A86,'01-02.2021'!$A$6:$CZ$403,54,FALSE)+VLOOKUP($A86,'1.3.21-28.2.22'!$A$6:$DA$404,54,FALSE)-VLOOKUP($A86,'01-02.2022'!$A$6:$DA$376,54,FALSE)</f>
        <v>4511.3782806815216</v>
      </c>
      <c r="BC86" s="566">
        <f>VLOOKUP($A86,'01-02.2021'!$A$6:$CZ$403,55,FALSE)+VLOOKUP($A86,'1.3.21-28.2.22'!$A$6:$DA$404,55,FALSE)-VLOOKUP($A86,'01-02.2022'!$A$6:$DA$376,55,FALSE)</f>
        <v>0</v>
      </c>
      <c r="BD86" s="55">
        <f t="shared" si="123"/>
        <v>-4511.3782806815216</v>
      </c>
      <c r="BE86" s="566">
        <f>VLOOKUP($A86,'01-02.2021'!$A$6:$CZ$403,57,FALSE)+VLOOKUP($A86,'1.3.21-28.2.22'!$A$6:$DA$404,57,FALSE)-VLOOKUP($A86,'01-02.2022'!$A$6:$DA$376,57,FALSE)</f>
        <v>7029.4917986519513</v>
      </c>
      <c r="BF86" s="566">
        <f>VLOOKUP($A86,'01-02.2021'!$A$6:$CZ$403,58,FALSE)+VLOOKUP($A86,'1.3.21-28.2.22'!$A$6:$DA$404,58,FALSE)-VLOOKUP($A86,'01-02.2022'!$A$6:$DA$376,58,FALSE)</f>
        <v>0</v>
      </c>
      <c r="BG86" s="55">
        <f t="shared" si="124"/>
        <v>-7029.4917986519513</v>
      </c>
      <c r="BH86" s="566">
        <f>VLOOKUP($A86,'01-02.2021'!$A$6:$CZ$403,60,FALSE)+VLOOKUP($A86,'1.3.21-28.2.22'!$A$6:$DA$404,60,FALSE)-VLOOKUP($A86,'01-02.2022'!$A$6:$DA$376,60,FALSE)</f>
        <v>9422.6932596704137</v>
      </c>
      <c r="BI86" s="566">
        <f>VLOOKUP($A86,'01-02.2021'!$A$6:$CZ$403,61,FALSE)+VLOOKUP($A86,'1.3.21-28.2.22'!$A$6:$DA$404,61,FALSE)-VLOOKUP($A86,'01-02.2022'!$A$6:$DA$376,61,FALSE)</f>
        <v>0</v>
      </c>
      <c r="BJ86" s="55">
        <f t="shared" si="125"/>
        <v>-9422.6932596704137</v>
      </c>
      <c r="BK86" s="566">
        <f>VLOOKUP($A86,'01-02.2021'!$A$6:$CZ$403,63,FALSE)+VLOOKUP($A86,'1.3.21-28.2.22'!$A$6:$DA$404,63,FALSE)-VLOOKUP($A86,'01-02.2022'!$A$6:$DA$376,63,FALSE)</f>
        <v>8804.5426625635282</v>
      </c>
      <c r="BL86" s="566">
        <f>VLOOKUP($A86,'01-02.2021'!$A$6:$CZ$403,64,FALSE)+VLOOKUP($A86,'1.3.21-28.2.22'!$A$6:$DA$404,64,FALSE)-VLOOKUP($A86,'01-02.2022'!$A$6:$DA$376,64,FALSE)</f>
        <v>142</v>
      </c>
      <c r="BM86" s="55">
        <f t="shared" si="126"/>
        <v>-8662.5426625635282</v>
      </c>
      <c r="BN86" s="566">
        <f>VLOOKUP($A86,'01-02.2021'!$A$6:$CZ$403,66,FALSE)+VLOOKUP($A86,'1.3.21-28.2.22'!$A$6:$DA$404,66,FALSE)-VLOOKUP($A86,'01-02.2022'!$A$6:$DA$376,66,FALSE)</f>
        <v>1223.5485852099002</v>
      </c>
      <c r="BO86" s="566">
        <f>VLOOKUP($A86,'01-02.2021'!$A$6:$CZ$403,67,FALSE)+VLOOKUP($A86,'1.3.21-28.2.22'!$A$6:$DA$404,67,FALSE)-VLOOKUP($A86,'01-02.2022'!$A$6:$DA$376,67,FALSE)</f>
        <v>0</v>
      </c>
      <c r="BP86" s="55">
        <f t="shared" si="127"/>
        <v>-1223.5485852099002</v>
      </c>
      <c r="BQ86" s="77">
        <f t="shared" si="87"/>
        <v>45543.824969646535</v>
      </c>
      <c r="BR86" s="40">
        <f t="shared" si="88"/>
        <v>7036.3099999999995</v>
      </c>
      <c r="BS86" s="55">
        <f t="shared" si="110"/>
        <v>-38507.514969646538</v>
      </c>
      <c r="BT86" s="566">
        <f>VLOOKUP($A86,'01-02.2021'!$A$6:$CZ$403,72,FALSE)+VLOOKUP($A86,'1.3.21-28.2.22'!$A$6:$DA$404,72,FALSE)-VLOOKUP($A86,'01-02.2022'!$A$6:$DA$376,72,FALSE)</f>
        <v>125499.2644955517</v>
      </c>
      <c r="BU86" s="566">
        <f>VLOOKUP($A86,'01-02.2021'!$A$6:$CZ$403,73,FALSE)+VLOOKUP($A86,'1.3.21-28.2.22'!$A$6:$DA$404,73,FALSE)-VLOOKUP($A86,'01-02.2022'!$A$6:$DA$376,73,FALSE)</f>
        <v>131485.20639840845</v>
      </c>
      <c r="BV86" s="70">
        <f t="shared" si="128"/>
        <v>5985.9419028567499</v>
      </c>
      <c r="BW86" s="566">
        <f>VLOOKUP($A86,'01-02.2021'!$A$6:$CZ$403,75,FALSE)+VLOOKUP($A86,'1.3.21-28.2.22'!$A$6:$DA$404,75,FALSE)-VLOOKUP($A86,'01-02.2022'!$A$6:$DA$376,75,FALSE)</f>
        <v>87684.916049635154</v>
      </c>
      <c r="BX86" s="566">
        <f>VLOOKUP($A86,'01-02.2021'!$A$6:$CZ$403,76,FALSE)+VLOOKUP($A86,'1.3.21-28.2.22'!$A$6:$DA$404,76,FALSE)-VLOOKUP($A86,'01-02.2022'!$A$6:$DA$376,76,FALSE)</f>
        <v>91027.832822491691</v>
      </c>
      <c r="BY86" s="70">
        <f t="shared" si="129"/>
        <v>3342.9167728565371</v>
      </c>
      <c r="BZ86" s="566">
        <f>VLOOKUP($A86,'01-02.2021'!$A$6:$CZ$403,78,FALSE)+VLOOKUP($A86,'1.3.21-28.2.22'!$A$6:$DA$404,78,FALSE)-VLOOKUP($A86,'01-02.2022'!$A$6:$DA$376,78,FALSE)</f>
        <v>25206.053476435889</v>
      </c>
      <c r="CA86" s="566">
        <f>VLOOKUP($A86,'01-02.2021'!$A$6:$CZ$403,79,FALSE)+VLOOKUP($A86,'1.3.21-28.2.22'!$A$6:$DA$404,79,FALSE)-VLOOKUP($A86,'01-02.2022'!$A$6:$DA$376,79,FALSE)</f>
        <v>29635.616997256882</v>
      </c>
      <c r="CB86" s="70">
        <f t="shared" si="130"/>
        <v>4429.5635208209933</v>
      </c>
      <c r="CC86" s="566">
        <f>VLOOKUP($A86,'01-02.2021'!$A$6:$CZ$403,81,FALSE)+VLOOKUP($A86,'1.3.21-28.2.22'!$A$6:$DA$404,81,FALSE)-VLOOKUP($A86,'01-02.2022'!$A$6:$DA$376,81,FALSE)</f>
        <v>2074.3983342865426</v>
      </c>
      <c r="CD86" s="566">
        <f>VLOOKUP($A86,'01-02.2021'!$A$6:$CZ$403,82,FALSE)+VLOOKUP($A86,'1.3.21-28.2.22'!$A$6:$DA$404,82,FALSE)-VLOOKUP($A86,'01-02.2022'!$A$6:$DA$376,82,FALSE)</f>
        <v>2255.3027743976068</v>
      </c>
      <c r="CE86" s="70">
        <f t="shared" si="131"/>
        <v>180.9044401110641</v>
      </c>
      <c r="CF86" s="566">
        <f>VLOOKUP($A86,'01-02.2021'!$A$6:$CZ$403,84,FALSE)+VLOOKUP($A86,'1.3.21-28.2.22'!$A$6:$DA$404,84,FALSE)-VLOOKUP($A86,'01-02.2022'!$A$6:$DA$376,84,FALSE)</f>
        <v>250.85110741830076</v>
      </c>
      <c r="CG86" s="566">
        <f>VLOOKUP($A86,'01-02.2021'!$A$6:$CZ$403,85,FALSE)+VLOOKUP($A86,'1.3.21-28.2.22'!$A$6:$DA$404,85,FALSE)-VLOOKUP($A86,'01-02.2022'!$A$6:$DA$376,85,FALSE)</f>
        <v>0</v>
      </c>
      <c r="CH86" s="70">
        <f t="shared" si="132"/>
        <v>-250.85110741830076</v>
      </c>
      <c r="CI86" s="566">
        <f>VLOOKUP($A86,'01-02.2021'!$A$6:$CZ$403,87,FALSE)+VLOOKUP($A86,'1.3.21-28.2.22'!$A$6:$DA$404,87,FALSE)-VLOOKUP($A86,'01-02.2022'!$A$6:$DA$376,87,FALSE)</f>
        <v>35325.824673648298</v>
      </c>
      <c r="CJ86" s="566">
        <f>VLOOKUP($A86,'01-02.2021'!$A$6:$CZ$403,88,FALSE)+VLOOKUP($A86,'1.3.21-28.2.22'!$A$6:$DA$404,88,FALSE)-VLOOKUP($A86,'01-02.2022'!$A$6:$DA$376,88,FALSE)</f>
        <v>27502.483931895335</v>
      </c>
      <c r="CK86" s="70">
        <f t="shared" si="133"/>
        <v>-7823.3407417529634</v>
      </c>
      <c r="CL86" s="566">
        <f>VLOOKUP($A86,'01-02.2021'!$A$6:$CZ$403,90,FALSE)+VLOOKUP($A86,'1.3.21-28.2.22'!$A$6:$DA$404,90,FALSE)-VLOOKUP($A86,'01-02.2022'!$A$6:$DA$376,90,FALSE)</f>
        <v>17172.986939194667</v>
      </c>
      <c r="CM86" s="566">
        <f>VLOOKUP($A86,'01-02.2021'!$A$6:$CZ$403,91,FALSE)+VLOOKUP($A86,'1.3.21-28.2.22'!$A$6:$DA$404,91,FALSE)-VLOOKUP($A86,'01-02.2022'!$A$6:$DA$376,91,FALSE)</f>
        <v>19429.403670383756</v>
      </c>
      <c r="CN86" s="52">
        <f t="shared" si="97"/>
        <v>2256.4167311890888</v>
      </c>
      <c r="CO86" s="39">
        <f t="shared" si="89"/>
        <v>52498.811612842968</v>
      </c>
      <c r="CP86" s="40">
        <f t="shared" si="98"/>
        <v>46931.887602279094</v>
      </c>
      <c r="CQ86" s="52">
        <f t="shared" si="99"/>
        <v>-5566.9240105638746</v>
      </c>
      <c r="CR86" s="72">
        <f t="shared" si="90"/>
        <v>752730.9057369011</v>
      </c>
      <c r="CS86" s="5">
        <f t="shared" si="90"/>
        <v>698603.83205725986</v>
      </c>
      <c r="CT86" s="52">
        <f t="shared" si="100"/>
        <v>-54127.073679641238</v>
      </c>
      <c r="CU86" s="77">
        <f t="shared" si="101"/>
        <v>903277.08688428125</v>
      </c>
      <c r="CV86" s="65">
        <f t="shared" si="102"/>
        <v>838324.59846871183</v>
      </c>
      <c r="CW86" s="35">
        <f t="shared" si="103"/>
        <v>-64952.488415569416</v>
      </c>
      <c r="CX86" s="566">
        <f>VLOOKUP($A86,'01-02.2021'!$A$6:$CZ$403,102,FALSE)+VLOOKUP($A86,'1.3.21-28.2.22'!$A$6:$DA$404,102,FALSE)-VLOOKUP($A86,'01-02.2022'!$A$6:$DA$376,102,FALSE)</f>
        <v>19708.921803697514</v>
      </c>
      <c r="CY86" s="566">
        <f>VLOOKUP($A86,'01-02.2021'!$A$6:$CZ$403,103,FALSE)+VLOOKUP($A86,'1.3.21-28.2.22'!$A$6:$DA$404,103,FALSE)-VLOOKUP($A86,'01-02.2022'!$A$6:$DA$376,103,FALSE)</f>
        <v>84661.410219266909</v>
      </c>
      <c r="CZ86" s="52">
        <f t="shared" si="104"/>
        <v>64952.488415569394</v>
      </c>
      <c r="DA86" s="150">
        <f>'[2]побудинковий звіт'!DA86</f>
        <v>-75288.592422076908</v>
      </c>
      <c r="DB86" s="2">
        <v>1</v>
      </c>
      <c r="DC86" s="414">
        <f>'[4]побудинковий звіт'!DC86</f>
        <v>232647.05</v>
      </c>
      <c r="DD86" s="414">
        <f>'[4]побудинковий звіт'!DD86</f>
        <v>-484.84</v>
      </c>
      <c r="DE86" s="557">
        <f>'[4]побудинковий звіт'!DE86</f>
        <v>149274.16269592429</v>
      </c>
      <c r="DF86" s="557">
        <f>'[4]побудинковий звіт'!DF86</f>
        <v>-955.07075995498121</v>
      </c>
      <c r="DG86" s="321">
        <f>VLOOKUP(A86,'кошти 01.03.2021'!$A$6:$D$401,4,)</f>
        <v>27137.961537135569</v>
      </c>
      <c r="DH86" s="40">
        <f>'[3]побудинковий звіт'!DJ86</f>
        <v>955751.04443959601</v>
      </c>
      <c r="DI86" s="422">
        <f>'[3]побудинковий звіт'!CU86+'[3]побудинковий звіт'!CX86</f>
        <v>83843.118064030728</v>
      </c>
      <c r="DJ86" s="306">
        <f>'[3]побудинковий звіт'!DM86</f>
        <v>5.9455573650150901</v>
      </c>
      <c r="DK86" s="306">
        <f>'[3]побудинковий звіт'!DN86</f>
        <v>7.5119009751263075</v>
      </c>
      <c r="DL86" s="306">
        <f>'[3]побудинковий звіт'!DO86</f>
        <v>5.0405269584626557</v>
      </c>
      <c r="DM86" s="28">
        <f>DJ86*G86+(F86-G86)*DK86</f>
        <v>83372.887304075717</v>
      </c>
      <c r="DN86" s="28">
        <f>DL86*H86</f>
        <v>470.23075995498118</v>
      </c>
      <c r="DO86" s="423">
        <f t="shared" si="105"/>
        <v>83843.118064030699</v>
      </c>
      <c r="DP86" s="94">
        <f t="shared" si="106"/>
        <v>0</v>
      </c>
      <c r="DQ86" s="28">
        <f t="shared" si="107"/>
        <v>83843.118064030699</v>
      </c>
      <c r="DR86" s="318"/>
      <c r="DT86" s="8"/>
      <c r="DU86" s="5"/>
      <c r="DX86" s="5">
        <f t="shared" si="108"/>
        <v>222036.81118332397</v>
      </c>
      <c r="DY86" s="5">
        <f t="shared" si="109"/>
        <v>159819.19200000001</v>
      </c>
      <c r="DZ86" s="159">
        <f>'[3]побудинковий звіт'!EA86</f>
        <v>21717.50274847302</v>
      </c>
    </row>
    <row r="87" spans="1:130" x14ac:dyDescent="0.3">
      <c r="A87" s="325">
        <v>150000645</v>
      </c>
      <c r="B87" s="41" t="s">
        <v>536</v>
      </c>
      <c r="C87" s="42" t="s">
        <v>66</v>
      </c>
      <c r="D87" s="42"/>
      <c r="E87" s="293">
        <f t="shared" si="85"/>
        <v>216</v>
      </c>
      <c r="F87" s="305">
        <f>'[3]побудинковий звіт'!F87</f>
        <v>216</v>
      </c>
      <c r="G87" s="508">
        <f>'[3]побудинковий звіт'!G87</f>
        <v>0</v>
      </c>
      <c r="H87" s="560">
        <f>'[3]побудинковий звіт'!H87</f>
        <v>0</v>
      </c>
      <c r="I87" s="566">
        <f>VLOOKUP($A87,'01-02.2021'!$A$6:$CZ$403,9,FALSE)+VLOOKUP($A87,'1.3.21-28.2.22'!$A$6:$DA$404,9,FALSE)-VLOOKUP($A87,'01-02.2022'!$A$6:$DA$376,9,FALSE)</f>
        <v>0</v>
      </c>
      <c r="J87" s="566">
        <f>VLOOKUP($A87,'01-02.2021'!$A$6:$CZ$403,10,FALSE)+VLOOKUP($A87,'1.3.21-28.2.22'!$A$6:$DA$404,10,FALSE)-VLOOKUP($A87,'01-02.2022'!$A$6:$DA$376,10,FALSE)</f>
        <v>0</v>
      </c>
      <c r="K87" s="52">
        <f t="shared" si="94"/>
        <v>0</v>
      </c>
      <c r="L87" s="566">
        <f>VLOOKUP($A87,'01-02.2021'!$A$6:$CZ$403,12,FALSE)+VLOOKUP($A87,'1.3.21-28.2.22'!$A$6:$DA$404,12,FALSE)-VLOOKUP($A87,'01-02.2022'!$A$6:$DA$376,12,FALSE)</f>
        <v>0</v>
      </c>
      <c r="M87" s="566">
        <f>VLOOKUP($A87,'01-02.2021'!$A$6:$CZ$403,13,FALSE)+VLOOKUP($A87,'1.3.21-28.2.22'!$A$6:$DA$404,13,FALSE)-VLOOKUP($A87,'01-02.2022'!$A$6:$DA$376,13,FALSE)</f>
        <v>0</v>
      </c>
      <c r="N87" s="52">
        <f t="shared" si="95"/>
        <v>0</v>
      </c>
      <c r="O87" s="566">
        <f>VLOOKUP($A87,'01-02.2021'!$A$6:$CZ$403,15,FALSE)+VLOOKUP($A87,'1.3.21-28.2.22'!$A$6:$DA$404,15,FALSE)-VLOOKUP($A87,'01-02.2022'!$A$6:$DA$376,15,FALSE)</f>
        <v>0</v>
      </c>
      <c r="P87" s="566">
        <f>VLOOKUP($A87,'01-02.2021'!$A$6:$CZ$403,16,FALSE)+VLOOKUP($A87,'1.3.21-28.2.22'!$A$6:$DA$404,16,FALSE)-VLOOKUP($A87,'01-02.2022'!$A$6:$DA$376,16,FALSE)</f>
        <v>0</v>
      </c>
      <c r="Q87" s="70">
        <f t="shared" si="111"/>
        <v>0</v>
      </c>
      <c r="R87" s="566">
        <f>VLOOKUP($A87,'01-02.2021'!$A$6:$CZ$403,18,FALSE)+VLOOKUP($A87,'1.3.21-28.2.22'!$A$6:$DA$404,18,FALSE)-VLOOKUP($A87,'01-02.2022'!$A$6:$DA$376,18,FALSE)</f>
        <v>0</v>
      </c>
      <c r="S87" s="566">
        <f>VLOOKUP($A87,'01-02.2021'!$A$6:$CZ$403,19,FALSE)+VLOOKUP($A87,'1.3.21-28.2.22'!$A$6:$DA$404,19,FALSE)-VLOOKUP($A87,'01-02.2022'!$A$6:$DA$376,19,FALSE)</f>
        <v>0</v>
      </c>
      <c r="T87" s="70">
        <f t="shared" si="112"/>
        <v>0</v>
      </c>
      <c r="U87" s="566">
        <f>VLOOKUP($A87,'01-02.2021'!$A$6:$CZ$403,21,FALSE)+VLOOKUP($A87,'1.3.21-28.2.22'!$A$6:$DA$404,21,FALSE)-VLOOKUP($A87,'01-02.2022'!$A$6:$DA$376,21,FALSE)</f>
        <v>0</v>
      </c>
      <c r="V87" s="566">
        <f>VLOOKUP($A87,'01-02.2021'!$A$6:$CZ$403,22,FALSE)+VLOOKUP($A87,'1.3.21-28.2.22'!$A$6:$DA$404,22,FALSE)-VLOOKUP($A87,'01-02.2022'!$A$6:$DA$376,22,FALSE)</f>
        <v>0</v>
      </c>
      <c r="W87" s="70">
        <f t="shared" si="113"/>
        <v>0</v>
      </c>
      <c r="X87" s="566">
        <f>VLOOKUP($A87,'01-02.2021'!$A$6:$CZ$403,24,FALSE)+VLOOKUP($A87,'1.3.21-28.2.22'!$A$6:$DA$404,24,FALSE)-VLOOKUP($A87,'01-02.2022'!$A$6:$DA$376,24,FALSE)</f>
        <v>0</v>
      </c>
      <c r="Y87" s="566">
        <f>VLOOKUP($A87,'01-02.2021'!$A$6:$CZ$403,25,FALSE)+VLOOKUP($A87,'1.3.21-28.2.22'!$A$6:$DA$404,25,FALSE)-VLOOKUP($A87,'01-02.2022'!$A$6:$DA$376,25,FALSE)</f>
        <v>0</v>
      </c>
      <c r="Z87" s="70">
        <f t="shared" si="114"/>
        <v>0</v>
      </c>
      <c r="AA87" s="566">
        <f>VLOOKUP($A87,'01-02.2021'!$A$6:$CZ$403,27,FALSE)+VLOOKUP($A87,'1.3.21-28.2.22'!$A$6:$DA$404,27,FALSE)-VLOOKUP($A87,'01-02.2022'!$A$6:$DA$376,27,FALSE)</f>
        <v>42.88</v>
      </c>
      <c r="AB87" s="566">
        <f>VLOOKUP($A87,'01-02.2021'!$A$6:$CZ$403,28,FALSE)+VLOOKUP($A87,'1.3.21-28.2.22'!$A$6:$DA$404,28,FALSE)-VLOOKUP($A87,'01-02.2022'!$A$6:$DA$376,28,FALSE)</f>
        <v>0</v>
      </c>
      <c r="AC87" s="70">
        <f t="shared" si="115"/>
        <v>-42.88</v>
      </c>
      <c r="AD87" s="566">
        <f>VLOOKUP($A87,'01-02.2021'!$A$6:$CZ$403,30,FALSE)+VLOOKUP($A87,'1.3.21-28.2.22'!$A$6:$DA$404,30,FALSE)-VLOOKUP($A87,'01-02.2022'!$A$6:$DA$376,30,FALSE)</f>
        <v>321.9971235553794</v>
      </c>
      <c r="AE87" s="566">
        <f>VLOOKUP($A87,'01-02.2021'!$A$6:$CZ$403,31,FALSE)+VLOOKUP($A87,'1.3.21-28.2.22'!$A$6:$DA$404,31,FALSE)-VLOOKUP($A87,'01-02.2022'!$A$6:$DA$376,31,FALSE)</f>
        <v>983.24070312607705</v>
      </c>
      <c r="AF87" s="68">
        <f t="shared" si="116"/>
        <v>661.24357957069765</v>
      </c>
      <c r="AG87" s="77">
        <f t="shared" si="86"/>
        <v>364.8771235553794</v>
      </c>
      <c r="AH87" s="53">
        <f t="shared" si="86"/>
        <v>983.24070312607705</v>
      </c>
      <c r="AI87" s="52">
        <f t="shared" si="96"/>
        <v>618.36357957069765</v>
      </c>
      <c r="AJ87" s="566">
        <f>VLOOKUP($A87,'01-02.2021'!$A$6:$CZ$403,36,FALSE)+VLOOKUP($A87,'1.3.21-28.2.22'!$A$6:$DA$404,36,FALSE)-VLOOKUP($A87,'01-02.2022'!$A$6:$DA$376,36,FALSE)</f>
        <v>0</v>
      </c>
      <c r="AK87" s="566">
        <f>VLOOKUP($A87,'01-02.2021'!$A$6:$CZ$403,37,FALSE)+VLOOKUP($A87,'1.3.21-28.2.22'!$A$6:$DA$404,37,FALSE)-VLOOKUP($A87,'01-02.2022'!$A$6:$DA$376,37,FALSE)</f>
        <v>0</v>
      </c>
      <c r="AL87" s="70">
        <f t="shared" si="117"/>
        <v>0</v>
      </c>
      <c r="AM87" s="566">
        <f>VLOOKUP($A87,'01-02.2021'!$A$6:$CZ$403,39,FALSE)+VLOOKUP($A87,'1.3.21-28.2.22'!$A$6:$DA$404,39,FALSE)-VLOOKUP($A87,'01-02.2022'!$A$6:$DA$376,39,FALSE)</f>
        <v>0</v>
      </c>
      <c r="AN87" s="566">
        <f>VLOOKUP($A87,'01-02.2021'!$A$6:$CZ$403,40,FALSE)+VLOOKUP($A87,'1.3.21-28.2.22'!$A$6:$DA$404,40,FALSE)-VLOOKUP($A87,'01-02.2022'!$A$6:$DA$376,40,FALSE)</f>
        <v>0</v>
      </c>
      <c r="AO87" s="70">
        <f t="shared" si="118"/>
        <v>0</v>
      </c>
      <c r="AP87" s="566">
        <f>VLOOKUP($A87,'01-02.2021'!$A$6:$CZ$403,42,FALSE)+VLOOKUP($A87,'1.3.21-28.2.22'!$A$6:$DA$404,42,FALSE)-VLOOKUP($A87,'01-02.2022'!$A$6:$DA$376,42,FALSE)</f>
        <v>433.79993751064791</v>
      </c>
      <c r="AQ87" s="566">
        <f>VLOOKUP($A87,'01-02.2021'!$A$6:$CZ$403,43,FALSE)+VLOOKUP($A87,'1.3.21-28.2.22'!$A$6:$DA$404,43,FALSE)-VLOOKUP($A87,'01-02.2022'!$A$6:$DA$376,43,FALSE)</f>
        <v>373.97041602492402</v>
      </c>
      <c r="AR87" s="70">
        <f t="shared" si="119"/>
        <v>-59.829521485723888</v>
      </c>
      <c r="AS87" s="566">
        <f>VLOOKUP($A87,'01-02.2021'!$A$6:$CZ$403,45,FALSE)+VLOOKUP($A87,'1.3.21-28.2.22'!$A$6:$DA$404,45,FALSE)-VLOOKUP($A87,'01-02.2022'!$A$6:$DA$376,45,FALSE)</f>
        <v>2697.634051139079</v>
      </c>
      <c r="AT87" s="566">
        <f>VLOOKUP($A87,'01-02.2021'!$A$6:$CZ$403,46,FALSE)+VLOOKUP($A87,'1.3.21-28.2.22'!$A$6:$DA$404,46,FALSE)-VLOOKUP($A87,'01-02.2022'!$A$6:$DA$376,46,FALSE)</f>
        <v>0</v>
      </c>
      <c r="AU87" s="78">
        <f t="shared" si="120"/>
        <v>-2697.634051139079</v>
      </c>
      <c r="AV87" s="566">
        <f>VLOOKUP($A87,'01-02.2021'!$A$6:$CZ$403,48,FALSE)+VLOOKUP($A87,'1.3.21-28.2.22'!$A$6:$DA$404,48,FALSE)-VLOOKUP($A87,'01-02.2022'!$A$6:$DA$376,48,FALSE)</f>
        <v>0</v>
      </c>
      <c r="AW87" s="566">
        <f>VLOOKUP($A87,'01-02.2021'!$A$6:$CZ$403,49,FALSE)+VLOOKUP($A87,'1.3.21-28.2.22'!$A$6:$DA$404,49,FALSE)-VLOOKUP($A87,'01-02.2022'!$A$6:$DA$376,49,FALSE)</f>
        <v>0</v>
      </c>
      <c r="AX87" s="55">
        <f t="shared" si="121"/>
        <v>0</v>
      </c>
      <c r="AY87" s="566">
        <f>VLOOKUP($A87,'01-02.2021'!$A$6:$CZ$403,51,FALSE)+VLOOKUP($A87,'1.3.21-28.2.22'!$A$6:$DA$404,51,FALSE)-VLOOKUP($A87,'01-02.2022'!$A$6:$DA$376,51,FALSE)</f>
        <v>0</v>
      </c>
      <c r="AZ87" s="566">
        <f>VLOOKUP($A87,'01-02.2021'!$A$6:$CZ$403,52,FALSE)+VLOOKUP($A87,'1.3.21-28.2.22'!$A$6:$DA$404,52,FALSE)-VLOOKUP($A87,'01-02.2022'!$A$6:$DA$376,52,FALSE)</f>
        <v>0</v>
      </c>
      <c r="BA87" s="38">
        <f t="shared" si="122"/>
        <v>0</v>
      </c>
      <c r="BB87" s="566">
        <f>VLOOKUP($A87,'01-02.2021'!$A$6:$CZ$403,54,FALSE)+VLOOKUP($A87,'1.3.21-28.2.22'!$A$6:$DA$404,54,FALSE)-VLOOKUP($A87,'01-02.2022'!$A$6:$DA$376,54,FALSE)</f>
        <v>0</v>
      </c>
      <c r="BC87" s="566">
        <f>VLOOKUP($A87,'01-02.2021'!$A$6:$CZ$403,55,FALSE)+VLOOKUP($A87,'1.3.21-28.2.22'!$A$6:$DA$404,55,FALSE)-VLOOKUP($A87,'01-02.2022'!$A$6:$DA$376,55,FALSE)</f>
        <v>0</v>
      </c>
      <c r="BD87" s="55">
        <f t="shared" si="123"/>
        <v>0</v>
      </c>
      <c r="BE87" s="566">
        <f>VLOOKUP($A87,'01-02.2021'!$A$6:$CZ$403,57,FALSE)+VLOOKUP($A87,'1.3.21-28.2.22'!$A$6:$DA$404,57,FALSE)-VLOOKUP($A87,'01-02.2022'!$A$6:$DA$376,57,FALSE)</f>
        <v>0</v>
      </c>
      <c r="BF87" s="566">
        <f>VLOOKUP($A87,'01-02.2021'!$A$6:$CZ$403,58,FALSE)+VLOOKUP($A87,'1.3.21-28.2.22'!$A$6:$DA$404,58,FALSE)-VLOOKUP($A87,'01-02.2022'!$A$6:$DA$376,58,FALSE)</f>
        <v>0</v>
      </c>
      <c r="BG87" s="55">
        <f t="shared" si="124"/>
        <v>0</v>
      </c>
      <c r="BH87" s="566">
        <f>VLOOKUP($A87,'01-02.2021'!$A$6:$CZ$403,60,FALSE)+VLOOKUP($A87,'1.3.21-28.2.22'!$A$6:$DA$404,60,FALSE)-VLOOKUP($A87,'01-02.2022'!$A$6:$DA$376,60,FALSE)</f>
        <v>0</v>
      </c>
      <c r="BI87" s="566">
        <f>VLOOKUP($A87,'01-02.2021'!$A$6:$CZ$403,61,FALSE)+VLOOKUP($A87,'1.3.21-28.2.22'!$A$6:$DA$404,61,FALSE)-VLOOKUP($A87,'01-02.2022'!$A$6:$DA$376,61,FALSE)</f>
        <v>0</v>
      </c>
      <c r="BJ87" s="55">
        <f t="shared" si="125"/>
        <v>0</v>
      </c>
      <c r="BK87" s="566">
        <f>VLOOKUP($A87,'01-02.2021'!$A$6:$CZ$403,63,FALSE)+VLOOKUP($A87,'1.3.21-28.2.22'!$A$6:$DA$404,63,FALSE)-VLOOKUP($A87,'01-02.2022'!$A$6:$DA$376,63,FALSE)</f>
        <v>0</v>
      </c>
      <c r="BL87" s="566">
        <f>VLOOKUP($A87,'01-02.2021'!$A$6:$CZ$403,64,FALSE)+VLOOKUP($A87,'1.3.21-28.2.22'!$A$6:$DA$404,64,FALSE)-VLOOKUP($A87,'01-02.2022'!$A$6:$DA$376,64,FALSE)</f>
        <v>0</v>
      </c>
      <c r="BM87" s="55">
        <f t="shared" si="126"/>
        <v>0</v>
      </c>
      <c r="BN87" s="566">
        <f>VLOOKUP($A87,'01-02.2021'!$A$6:$CZ$403,66,FALSE)+VLOOKUP($A87,'1.3.21-28.2.22'!$A$6:$DA$404,66,FALSE)-VLOOKUP($A87,'01-02.2022'!$A$6:$DA$376,66,FALSE)</f>
        <v>10.72</v>
      </c>
      <c r="BO87" s="566">
        <f>VLOOKUP($A87,'01-02.2021'!$A$6:$CZ$403,67,FALSE)+VLOOKUP($A87,'1.3.21-28.2.22'!$A$6:$DA$404,67,FALSE)-VLOOKUP($A87,'01-02.2022'!$A$6:$DA$376,67,FALSE)</f>
        <v>0</v>
      </c>
      <c r="BP87" s="55">
        <f t="shared" si="127"/>
        <v>-10.72</v>
      </c>
      <c r="BQ87" s="77">
        <f t="shared" si="87"/>
        <v>10.72</v>
      </c>
      <c r="BR87" s="40">
        <f t="shared" si="88"/>
        <v>0</v>
      </c>
      <c r="BS87" s="55">
        <f t="shared" si="110"/>
        <v>-10.72</v>
      </c>
      <c r="BT87" s="566">
        <f>VLOOKUP($A87,'01-02.2021'!$A$6:$CZ$403,72,FALSE)+VLOOKUP($A87,'1.3.21-28.2.22'!$A$6:$DA$404,72,FALSE)-VLOOKUP($A87,'01-02.2022'!$A$6:$DA$376,72,FALSE)</f>
        <v>0</v>
      </c>
      <c r="BU87" s="566">
        <f>VLOOKUP($A87,'01-02.2021'!$A$6:$CZ$403,73,FALSE)+VLOOKUP($A87,'1.3.21-28.2.22'!$A$6:$DA$404,73,FALSE)-VLOOKUP($A87,'01-02.2022'!$A$6:$DA$376,73,FALSE)</f>
        <v>0</v>
      </c>
      <c r="BV87" s="70">
        <f t="shared" si="128"/>
        <v>0</v>
      </c>
      <c r="BW87" s="566">
        <f>VLOOKUP($A87,'01-02.2021'!$A$6:$CZ$403,75,FALSE)+VLOOKUP($A87,'1.3.21-28.2.22'!$A$6:$DA$404,75,FALSE)-VLOOKUP($A87,'01-02.2022'!$A$6:$DA$376,75,FALSE)</f>
        <v>0</v>
      </c>
      <c r="BX87" s="566">
        <f>VLOOKUP($A87,'01-02.2021'!$A$6:$CZ$403,76,FALSE)+VLOOKUP($A87,'1.3.21-28.2.22'!$A$6:$DA$404,76,FALSE)-VLOOKUP($A87,'01-02.2022'!$A$6:$DA$376,76,FALSE)</f>
        <v>4.8409035683067163</v>
      </c>
      <c r="BY87" s="70">
        <f t="shared" si="129"/>
        <v>4.8409035683067163</v>
      </c>
      <c r="BZ87" s="566">
        <f>VLOOKUP($A87,'01-02.2021'!$A$6:$CZ$403,78,FALSE)+VLOOKUP($A87,'1.3.21-28.2.22'!$A$6:$DA$404,78,FALSE)-VLOOKUP($A87,'01-02.2022'!$A$6:$DA$376,78,FALSE)</f>
        <v>0</v>
      </c>
      <c r="CA87" s="566">
        <f>VLOOKUP($A87,'01-02.2021'!$A$6:$CZ$403,79,FALSE)+VLOOKUP($A87,'1.3.21-28.2.22'!$A$6:$DA$404,79,FALSE)-VLOOKUP($A87,'01-02.2022'!$A$6:$DA$376,79,FALSE)</f>
        <v>0</v>
      </c>
      <c r="CB87" s="70">
        <f t="shared" si="130"/>
        <v>0</v>
      </c>
      <c r="CC87" s="566">
        <f>VLOOKUP($A87,'01-02.2021'!$A$6:$CZ$403,81,FALSE)+VLOOKUP($A87,'1.3.21-28.2.22'!$A$6:$DA$404,81,FALSE)-VLOOKUP($A87,'01-02.2022'!$A$6:$DA$376,81,FALSE)</f>
        <v>0</v>
      </c>
      <c r="CD87" s="566">
        <f>VLOOKUP($A87,'01-02.2021'!$A$6:$CZ$403,82,FALSE)+VLOOKUP($A87,'1.3.21-28.2.22'!$A$6:$DA$404,82,FALSE)-VLOOKUP($A87,'01-02.2022'!$A$6:$DA$376,82,FALSE)</f>
        <v>0</v>
      </c>
      <c r="CE87" s="70">
        <f t="shared" si="131"/>
        <v>0</v>
      </c>
      <c r="CF87" s="566">
        <f>VLOOKUP($A87,'01-02.2021'!$A$6:$CZ$403,84,FALSE)+VLOOKUP($A87,'1.3.21-28.2.22'!$A$6:$DA$404,84,FALSE)-VLOOKUP($A87,'01-02.2022'!$A$6:$DA$376,84,FALSE)</f>
        <v>0</v>
      </c>
      <c r="CG87" s="566">
        <f>VLOOKUP($A87,'01-02.2021'!$A$6:$CZ$403,85,FALSE)+VLOOKUP($A87,'1.3.21-28.2.22'!$A$6:$DA$404,85,FALSE)-VLOOKUP($A87,'01-02.2022'!$A$6:$DA$376,85,FALSE)</f>
        <v>0</v>
      </c>
      <c r="CH87" s="70">
        <f t="shared" si="132"/>
        <v>0</v>
      </c>
      <c r="CI87" s="566">
        <f>VLOOKUP($A87,'01-02.2021'!$A$6:$CZ$403,87,FALSE)+VLOOKUP($A87,'1.3.21-28.2.22'!$A$6:$DA$404,87,FALSE)-VLOOKUP($A87,'01-02.2022'!$A$6:$DA$376,87,FALSE)</f>
        <v>0</v>
      </c>
      <c r="CJ87" s="566">
        <f>VLOOKUP($A87,'01-02.2021'!$A$6:$CZ$403,88,FALSE)+VLOOKUP($A87,'1.3.21-28.2.22'!$A$6:$DA$404,88,FALSE)-VLOOKUP($A87,'01-02.2022'!$A$6:$DA$376,88,FALSE)</f>
        <v>0</v>
      </c>
      <c r="CK87" s="70">
        <f t="shared" si="133"/>
        <v>0</v>
      </c>
      <c r="CL87" s="566">
        <f>VLOOKUP($A87,'01-02.2021'!$A$6:$CZ$403,90,FALSE)+VLOOKUP($A87,'1.3.21-28.2.22'!$A$6:$DA$404,90,FALSE)-VLOOKUP($A87,'01-02.2022'!$A$6:$DA$376,90,FALSE)</f>
        <v>0</v>
      </c>
      <c r="CM87" s="566">
        <f>VLOOKUP($A87,'01-02.2021'!$A$6:$CZ$403,91,FALSE)+VLOOKUP($A87,'1.3.21-28.2.22'!$A$6:$DA$404,91,FALSE)-VLOOKUP($A87,'01-02.2022'!$A$6:$DA$376,91,FALSE)</f>
        <v>0</v>
      </c>
      <c r="CN87" s="52">
        <f t="shared" si="97"/>
        <v>0</v>
      </c>
      <c r="CO87" s="39">
        <f t="shared" si="89"/>
        <v>0</v>
      </c>
      <c r="CP87" s="40">
        <f t="shared" si="98"/>
        <v>0</v>
      </c>
      <c r="CQ87" s="52">
        <f t="shared" si="99"/>
        <v>0</v>
      </c>
      <c r="CR87" s="72">
        <f t="shared" si="90"/>
        <v>3507.0311122051062</v>
      </c>
      <c r="CS87" s="5">
        <f t="shared" si="90"/>
        <v>1362.0520227193078</v>
      </c>
      <c r="CT87" s="52">
        <f t="shared" si="100"/>
        <v>-2144.9790894857983</v>
      </c>
      <c r="CU87" s="77">
        <f t="shared" si="101"/>
        <v>4208.4373346461271</v>
      </c>
      <c r="CV87" s="65">
        <f t="shared" si="102"/>
        <v>1634.4624272631693</v>
      </c>
      <c r="CW87" s="35">
        <f t="shared" si="103"/>
        <v>-2573.974907382958</v>
      </c>
      <c r="CX87" s="566">
        <f>VLOOKUP($A87,'01-02.2021'!$A$6:$CZ$403,102,FALSE)+VLOOKUP($A87,'1.3.21-28.2.22'!$A$6:$DA$404,102,FALSE)-VLOOKUP($A87,'01-02.2022'!$A$6:$DA$376,102,FALSE)</f>
        <v>119.02997196494201</v>
      </c>
      <c r="CY87" s="566">
        <f>VLOOKUP($A87,'01-02.2021'!$A$6:$CZ$403,103,FALSE)+VLOOKUP($A87,'1.3.21-28.2.22'!$A$6:$DA$404,103,FALSE)-VLOOKUP($A87,'01-02.2022'!$A$6:$DA$376,103,FALSE)</f>
        <v>2693.0048793479004</v>
      </c>
      <c r="CZ87" s="52">
        <f t="shared" si="104"/>
        <v>2573.9749073829585</v>
      </c>
      <c r="DA87" s="150">
        <f>'[2]побудинковий звіт'!DA87</f>
        <v>-2703.7935330148925</v>
      </c>
      <c r="DB87" s="2">
        <v>3</v>
      </c>
      <c r="DC87" s="414">
        <f>'[4]побудинковий звіт'!DC87</f>
        <v>927.82</v>
      </c>
      <c r="DD87" s="414">
        <f>'[4]побудинковий звіт'!DD87</f>
        <v>0</v>
      </c>
      <c r="DE87" s="557">
        <f>'[4]побудинковий звіт'!DE87</f>
        <v>533.28779892541365</v>
      </c>
      <c r="DF87" s="557">
        <f>'[4]побудинковий звіт'!DF87</f>
        <v>0</v>
      </c>
      <c r="DG87" s="321">
        <f>VLOOKUP(A87,'кошти 01.03.2021'!$A$6:$D$401,4,)</f>
        <v>131.10777217761068</v>
      </c>
      <c r="DH87" s="40">
        <f>'[3]побудинковий звіт'!DJ87</f>
        <v>4487.9636663818928</v>
      </c>
      <c r="DI87" s="422">
        <f>'[3]побудинковий звіт'!CU87+'[3]побудинковий звіт'!CX87</f>
        <v>394.53220107458634</v>
      </c>
      <c r="DJ87" s="306">
        <f>'[3]побудинковий звіт'!DM87</f>
        <v>1.8265379679378997</v>
      </c>
      <c r="DK87" s="306">
        <f t="shared" ref="DK87:DK98" si="136">DJ87</f>
        <v>1.8265379679378997</v>
      </c>
      <c r="DL87" s="306">
        <f>'[3]побудинковий звіт'!DO87</f>
        <v>1.8265379679378997</v>
      </c>
      <c r="DM87" s="28">
        <f t="shared" ref="DM87:DM98" si="137">F87*DJ87</f>
        <v>394.53220107458634</v>
      </c>
      <c r="DN87" s="28">
        <f t="shared" ref="DN87:DN94" si="138">H87*DL87</f>
        <v>0</v>
      </c>
      <c r="DO87" s="423">
        <f t="shared" si="105"/>
        <v>394.53220107458634</v>
      </c>
      <c r="DP87" s="94">
        <f t="shared" si="106"/>
        <v>0</v>
      </c>
      <c r="DQ87" s="28">
        <f t="shared" si="107"/>
        <v>394.53220107458634</v>
      </c>
      <c r="DR87" s="318"/>
      <c r="DT87" s="8"/>
      <c r="DU87" s="5"/>
      <c r="DX87" s="5">
        <f t="shared" si="108"/>
        <v>3250.0248613668946</v>
      </c>
      <c r="DY87" s="5">
        <f t="shared" si="109"/>
        <v>0</v>
      </c>
      <c r="DZ87" s="159">
        <f>'[3]побудинковий звіт'!EA87</f>
        <v>341.35079379087057</v>
      </c>
    </row>
    <row r="88" spans="1:130" x14ac:dyDescent="0.3">
      <c r="A88" s="325">
        <v>150000643</v>
      </c>
      <c r="B88" s="41" t="s">
        <v>537</v>
      </c>
      <c r="C88" s="42" t="s">
        <v>67</v>
      </c>
      <c r="D88" s="42"/>
      <c r="E88" s="293">
        <f t="shared" si="85"/>
        <v>216.8</v>
      </c>
      <c r="F88" s="305">
        <f>'[3]побудинковий звіт'!F88</f>
        <v>216.8</v>
      </c>
      <c r="G88" s="508">
        <f>'[3]побудинковий звіт'!G88</f>
        <v>0</v>
      </c>
      <c r="H88" s="560">
        <f>'[3]побудинковий звіт'!H88</f>
        <v>0</v>
      </c>
      <c r="I88" s="566">
        <f>VLOOKUP($A88,'01-02.2021'!$A$6:$CZ$403,9,FALSE)+VLOOKUP($A88,'1.3.21-28.2.22'!$A$6:$DA$404,9,FALSE)-VLOOKUP($A88,'01-02.2022'!$A$6:$DA$376,9,FALSE)</f>
        <v>0</v>
      </c>
      <c r="J88" s="566">
        <f>VLOOKUP($A88,'01-02.2021'!$A$6:$CZ$403,10,FALSE)+VLOOKUP($A88,'1.3.21-28.2.22'!$A$6:$DA$404,10,FALSE)-VLOOKUP($A88,'01-02.2022'!$A$6:$DA$376,10,FALSE)</f>
        <v>0</v>
      </c>
      <c r="K88" s="52">
        <f t="shared" si="94"/>
        <v>0</v>
      </c>
      <c r="L88" s="566">
        <f>VLOOKUP($A88,'01-02.2021'!$A$6:$CZ$403,12,FALSE)+VLOOKUP($A88,'1.3.21-28.2.22'!$A$6:$DA$404,12,FALSE)-VLOOKUP($A88,'01-02.2022'!$A$6:$DA$376,12,FALSE)</f>
        <v>0</v>
      </c>
      <c r="M88" s="566">
        <f>VLOOKUP($A88,'01-02.2021'!$A$6:$CZ$403,13,FALSE)+VLOOKUP($A88,'1.3.21-28.2.22'!$A$6:$DA$404,13,FALSE)-VLOOKUP($A88,'01-02.2022'!$A$6:$DA$376,13,FALSE)</f>
        <v>0</v>
      </c>
      <c r="N88" s="52">
        <f t="shared" si="95"/>
        <v>0</v>
      </c>
      <c r="O88" s="566">
        <f>VLOOKUP($A88,'01-02.2021'!$A$6:$CZ$403,15,FALSE)+VLOOKUP($A88,'1.3.21-28.2.22'!$A$6:$DA$404,15,FALSE)-VLOOKUP($A88,'01-02.2022'!$A$6:$DA$376,15,FALSE)</f>
        <v>0</v>
      </c>
      <c r="P88" s="566">
        <f>VLOOKUP($A88,'01-02.2021'!$A$6:$CZ$403,16,FALSE)+VLOOKUP($A88,'1.3.21-28.2.22'!$A$6:$DA$404,16,FALSE)-VLOOKUP($A88,'01-02.2022'!$A$6:$DA$376,16,FALSE)</f>
        <v>0</v>
      </c>
      <c r="Q88" s="70">
        <f t="shared" si="111"/>
        <v>0</v>
      </c>
      <c r="R88" s="566">
        <f>VLOOKUP($A88,'01-02.2021'!$A$6:$CZ$403,18,FALSE)+VLOOKUP($A88,'1.3.21-28.2.22'!$A$6:$DA$404,18,FALSE)-VLOOKUP($A88,'01-02.2022'!$A$6:$DA$376,18,FALSE)</f>
        <v>0</v>
      </c>
      <c r="S88" s="566">
        <f>VLOOKUP($A88,'01-02.2021'!$A$6:$CZ$403,19,FALSE)+VLOOKUP($A88,'1.3.21-28.2.22'!$A$6:$DA$404,19,FALSE)-VLOOKUP($A88,'01-02.2022'!$A$6:$DA$376,19,FALSE)</f>
        <v>0</v>
      </c>
      <c r="T88" s="70">
        <f t="shared" si="112"/>
        <v>0</v>
      </c>
      <c r="U88" s="566">
        <f>VLOOKUP($A88,'01-02.2021'!$A$6:$CZ$403,21,FALSE)+VLOOKUP($A88,'1.3.21-28.2.22'!$A$6:$DA$404,21,FALSE)-VLOOKUP($A88,'01-02.2022'!$A$6:$DA$376,21,FALSE)</f>
        <v>0</v>
      </c>
      <c r="V88" s="566">
        <f>VLOOKUP($A88,'01-02.2021'!$A$6:$CZ$403,22,FALSE)+VLOOKUP($A88,'1.3.21-28.2.22'!$A$6:$DA$404,22,FALSE)-VLOOKUP($A88,'01-02.2022'!$A$6:$DA$376,22,FALSE)</f>
        <v>0</v>
      </c>
      <c r="W88" s="70">
        <f t="shared" si="113"/>
        <v>0</v>
      </c>
      <c r="X88" s="566">
        <f>VLOOKUP($A88,'01-02.2021'!$A$6:$CZ$403,24,FALSE)+VLOOKUP($A88,'1.3.21-28.2.22'!$A$6:$DA$404,24,FALSE)-VLOOKUP($A88,'01-02.2022'!$A$6:$DA$376,24,FALSE)</f>
        <v>0</v>
      </c>
      <c r="Y88" s="566">
        <f>VLOOKUP($A88,'01-02.2021'!$A$6:$CZ$403,25,FALSE)+VLOOKUP($A88,'1.3.21-28.2.22'!$A$6:$DA$404,25,FALSE)-VLOOKUP($A88,'01-02.2022'!$A$6:$DA$376,25,FALSE)</f>
        <v>0</v>
      </c>
      <c r="Z88" s="70">
        <f t="shared" si="114"/>
        <v>0</v>
      </c>
      <c r="AA88" s="566">
        <f>VLOOKUP($A88,'01-02.2021'!$A$6:$CZ$403,27,FALSE)+VLOOKUP($A88,'1.3.21-28.2.22'!$A$6:$DA$404,27,FALSE)-VLOOKUP($A88,'01-02.2022'!$A$6:$DA$376,27,FALSE)</f>
        <v>43.36</v>
      </c>
      <c r="AB88" s="566">
        <f>VLOOKUP($A88,'01-02.2021'!$A$6:$CZ$403,28,FALSE)+VLOOKUP($A88,'1.3.21-28.2.22'!$A$6:$DA$404,28,FALSE)-VLOOKUP($A88,'01-02.2022'!$A$6:$DA$376,28,FALSE)</f>
        <v>0</v>
      </c>
      <c r="AC88" s="70">
        <f t="shared" si="115"/>
        <v>-43.36</v>
      </c>
      <c r="AD88" s="566">
        <f>VLOOKUP($A88,'01-02.2021'!$A$6:$CZ$403,30,FALSE)+VLOOKUP($A88,'1.3.21-28.2.22'!$A$6:$DA$404,30,FALSE)-VLOOKUP($A88,'01-02.2022'!$A$6:$DA$376,30,FALSE)</f>
        <v>325.57745440913504</v>
      </c>
      <c r="AE88" s="566">
        <f>VLOOKUP($A88,'01-02.2021'!$A$6:$CZ$403,31,FALSE)+VLOOKUP($A88,'1.3.21-28.2.22'!$A$6:$DA$404,31,FALSE)-VLOOKUP($A88,'01-02.2022'!$A$6:$DA$376,31,FALSE)</f>
        <v>986.88233535987706</v>
      </c>
      <c r="AF88" s="68">
        <f t="shared" si="116"/>
        <v>661.30488095074202</v>
      </c>
      <c r="AG88" s="77">
        <f t="shared" si="86"/>
        <v>368.93745440913506</v>
      </c>
      <c r="AH88" s="53">
        <f t="shared" si="86"/>
        <v>986.88233535987706</v>
      </c>
      <c r="AI88" s="52">
        <f t="shared" si="96"/>
        <v>617.944880950742</v>
      </c>
      <c r="AJ88" s="566">
        <f>VLOOKUP($A88,'01-02.2021'!$A$6:$CZ$403,36,FALSE)+VLOOKUP($A88,'1.3.21-28.2.22'!$A$6:$DA$404,36,FALSE)-VLOOKUP($A88,'01-02.2022'!$A$6:$DA$376,36,FALSE)</f>
        <v>0</v>
      </c>
      <c r="AK88" s="566">
        <f>VLOOKUP($A88,'01-02.2021'!$A$6:$CZ$403,37,FALSE)+VLOOKUP($A88,'1.3.21-28.2.22'!$A$6:$DA$404,37,FALSE)-VLOOKUP($A88,'01-02.2022'!$A$6:$DA$376,37,FALSE)</f>
        <v>0</v>
      </c>
      <c r="AL88" s="70">
        <f t="shared" si="117"/>
        <v>0</v>
      </c>
      <c r="AM88" s="566">
        <f>VLOOKUP($A88,'01-02.2021'!$A$6:$CZ$403,39,FALSE)+VLOOKUP($A88,'1.3.21-28.2.22'!$A$6:$DA$404,39,FALSE)-VLOOKUP($A88,'01-02.2022'!$A$6:$DA$376,39,FALSE)</f>
        <v>0</v>
      </c>
      <c r="AN88" s="566">
        <f>VLOOKUP($A88,'01-02.2021'!$A$6:$CZ$403,40,FALSE)+VLOOKUP($A88,'1.3.21-28.2.22'!$A$6:$DA$404,40,FALSE)-VLOOKUP($A88,'01-02.2022'!$A$6:$DA$376,40,FALSE)</f>
        <v>0</v>
      </c>
      <c r="AO88" s="70">
        <f t="shared" si="118"/>
        <v>0</v>
      </c>
      <c r="AP88" s="566">
        <f>VLOOKUP($A88,'01-02.2021'!$A$6:$CZ$403,42,FALSE)+VLOOKUP($A88,'1.3.21-28.2.22'!$A$6:$DA$404,42,FALSE)-VLOOKUP($A88,'01-02.2022'!$A$6:$DA$376,42,FALSE)</f>
        <v>347.03995000851819</v>
      </c>
      <c r="AQ88" s="566">
        <f>VLOOKUP($A88,'01-02.2021'!$A$6:$CZ$403,43,FALSE)+VLOOKUP($A88,'1.3.21-28.2.22'!$A$6:$DA$404,43,FALSE)-VLOOKUP($A88,'01-02.2022'!$A$6:$DA$376,43,FALSE)</f>
        <v>299.17633281993915</v>
      </c>
      <c r="AR88" s="70">
        <f t="shared" si="119"/>
        <v>-47.863617188579042</v>
      </c>
      <c r="AS88" s="566">
        <f>VLOOKUP($A88,'01-02.2021'!$A$6:$CZ$403,45,FALSE)+VLOOKUP($A88,'1.3.21-28.2.22'!$A$6:$DA$404,45,FALSE)-VLOOKUP($A88,'01-02.2022'!$A$6:$DA$376,45,FALSE)</f>
        <v>2270.3260351144413</v>
      </c>
      <c r="AT88" s="566">
        <f>VLOOKUP($A88,'01-02.2021'!$A$6:$CZ$403,46,FALSE)+VLOOKUP($A88,'1.3.21-28.2.22'!$A$6:$DA$404,46,FALSE)-VLOOKUP($A88,'01-02.2022'!$A$6:$DA$376,46,FALSE)</f>
        <v>0</v>
      </c>
      <c r="AU88" s="78">
        <f t="shared" si="120"/>
        <v>-2270.3260351144413</v>
      </c>
      <c r="AV88" s="566">
        <f>VLOOKUP($A88,'01-02.2021'!$A$6:$CZ$403,48,FALSE)+VLOOKUP($A88,'1.3.21-28.2.22'!$A$6:$DA$404,48,FALSE)-VLOOKUP($A88,'01-02.2022'!$A$6:$DA$376,48,FALSE)</f>
        <v>0</v>
      </c>
      <c r="AW88" s="566">
        <f>VLOOKUP($A88,'01-02.2021'!$A$6:$CZ$403,49,FALSE)+VLOOKUP($A88,'1.3.21-28.2.22'!$A$6:$DA$404,49,FALSE)-VLOOKUP($A88,'01-02.2022'!$A$6:$DA$376,49,FALSE)</f>
        <v>0</v>
      </c>
      <c r="AX88" s="55">
        <f t="shared" si="121"/>
        <v>0</v>
      </c>
      <c r="AY88" s="566">
        <f>VLOOKUP($A88,'01-02.2021'!$A$6:$CZ$403,51,FALSE)+VLOOKUP($A88,'1.3.21-28.2.22'!$A$6:$DA$404,51,FALSE)-VLOOKUP($A88,'01-02.2022'!$A$6:$DA$376,51,FALSE)</f>
        <v>0</v>
      </c>
      <c r="AZ88" s="566">
        <f>VLOOKUP($A88,'01-02.2021'!$A$6:$CZ$403,52,FALSE)+VLOOKUP($A88,'1.3.21-28.2.22'!$A$6:$DA$404,52,FALSE)-VLOOKUP($A88,'01-02.2022'!$A$6:$DA$376,52,FALSE)</f>
        <v>0</v>
      </c>
      <c r="BA88" s="38">
        <f t="shared" si="122"/>
        <v>0</v>
      </c>
      <c r="BB88" s="566">
        <f>VLOOKUP($A88,'01-02.2021'!$A$6:$CZ$403,54,FALSE)+VLOOKUP($A88,'1.3.21-28.2.22'!$A$6:$DA$404,54,FALSE)-VLOOKUP($A88,'01-02.2022'!$A$6:$DA$376,54,FALSE)</f>
        <v>0</v>
      </c>
      <c r="BC88" s="566">
        <f>VLOOKUP($A88,'01-02.2021'!$A$6:$CZ$403,55,FALSE)+VLOOKUP($A88,'1.3.21-28.2.22'!$A$6:$DA$404,55,FALSE)-VLOOKUP($A88,'01-02.2022'!$A$6:$DA$376,55,FALSE)</f>
        <v>0</v>
      </c>
      <c r="BD88" s="55">
        <f t="shared" si="123"/>
        <v>0</v>
      </c>
      <c r="BE88" s="566">
        <f>VLOOKUP($A88,'01-02.2021'!$A$6:$CZ$403,57,FALSE)+VLOOKUP($A88,'1.3.21-28.2.22'!$A$6:$DA$404,57,FALSE)-VLOOKUP($A88,'01-02.2022'!$A$6:$DA$376,57,FALSE)</f>
        <v>0</v>
      </c>
      <c r="BF88" s="566">
        <f>VLOOKUP($A88,'01-02.2021'!$A$6:$CZ$403,58,FALSE)+VLOOKUP($A88,'1.3.21-28.2.22'!$A$6:$DA$404,58,FALSE)-VLOOKUP($A88,'01-02.2022'!$A$6:$DA$376,58,FALSE)</f>
        <v>0</v>
      </c>
      <c r="BG88" s="55">
        <f t="shared" si="124"/>
        <v>0</v>
      </c>
      <c r="BH88" s="566">
        <f>VLOOKUP($A88,'01-02.2021'!$A$6:$CZ$403,60,FALSE)+VLOOKUP($A88,'1.3.21-28.2.22'!$A$6:$DA$404,60,FALSE)-VLOOKUP($A88,'01-02.2022'!$A$6:$DA$376,60,FALSE)</f>
        <v>0</v>
      </c>
      <c r="BI88" s="566">
        <f>VLOOKUP($A88,'01-02.2021'!$A$6:$CZ$403,61,FALSE)+VLOOKUP($A88,'1.3.21-28.2.22'!$A$6:$DA$404,61,FALSE)-VLOOKUP($A88,'01-02.2022'!$A$6:$DA$376,61,FALSE)</f>
        <v>0</v>
      </c>
      <c r="BJ88" s="55">
        <f t="shared" si="125"/>
        <v>0</v>
      </c>
      <c r="BK88" s="566">
        <f>VLOOKUP($A88,'01-02.2021'!$A$6:$CZ$403,63,FALSE)+VLOOKUP($A88,'1.3.21-28.2.22'!$A$6:$DA$404,63,FALSE)-VLOOKUP($A88,'01-02.2022'!$A$6:$DA$376,63,FALSE)</f>
        <v>0</v>
      </c>
      <c r="BL88" s="566">
        <f>VLOOKUP($A88,'01-02.2021'!$A$6:$CZ$403,64,FALSE)+VLOOKUP($A88,'1.3.21-28.2.22'!$A$6:$DA$404,64,FALSE)-VLOOKUP($A88,'01-02.2022'!$A$6:$DA$376,64,FALSE)</f>
        <v>0</v>
      </c>
      <c r="BM88" s="55">
        <f t="shared" si="126"/>
        <v>0</v>
      </c>
      <c r="BN88" s="566">
        <f>VLOOKUP($A88,'01-02.2021'!$A$6:$CZ$403,66,FALSE)+VLOOKUP($A88,'1.3.21-28.2.22'!$A$6:$DA$404,66,FALSE)-VLOOKUP($A88,'01-02.2022'!$A$6:$DA$376,66,FALSE)</f>
        <v>10.84</v>
      </c>
      <c r="BO88" s="566">
        <f>VLOOKUP($A88,'01-02.2021'!$A$6:$CZ$403,67,FALSE)+VLOOKUP($A88,'1.3.21-28.2.22'!$A$6:$DA$404,67,FALSE)-VLOOKUP($A88,'01-02.2022'!$A$6:$DA$376,67,FALSE)</f>
        <v>0</v>
      </c>
      <c r="BP88" s="55">
        <f t="shared" si="127"/>
        <v>-10.84</v>
      </c>
      <c r="BQ88" s="77">
        <f t="shared" si="87"/>
        <v>10.84</v>
      </c>
      <c r="BR88" s="40">
        <f t="shared" si="88"/>
        <v>0</v>
      </c>
      <c r="BS88" s="55">
        <f t="shared" si="110"/>
        <v>-10.84</v>
      </c>
      <c r="BT88" s="566">
        <f>VLOOKUP($A88,'01-02.2021'!$A$6:$CZ$403,72,FALSE)+VLOOKUP($A88,'1.3.21-28.2.22'!$A$6:$DA$404,72,FALSE)-VLOOKUP($A88,'01-02.2022'!$A$6:$DA$376,72,FALSE)</f>
        <v>0</v>
      </c>
      <c r="BU88" s="566">
        <f>VLOOKUP($A88,'01-02.2021'!$A$6:$CZ$403,73,FALSE)+VLOOKUP($A88,'1.3.21-28.2.22'!$A$6:$DA$404,73,FALSE)-VLOOKUP($A88,'01-02.2022'!$A$6:$DA$376,73,FALSE)</f>
        <v>0</v>
      </c>
      <c r="BV88" s="70">
        <f t="shared" si="128"/>
        <v>0</v>
      </c>
      <c r="BW88" s="566">
        <f>VLOOKUP($A88,'01-02.2021'!$A$6:$CZ$403,75,FALSE)+VLOOKUP($A88,'1.3.21-28.2.22'!$A$6:$DA$404,75,FALSE)-VLOOKUP($A88,'01-02.2022'!$A$6:$DA$376,75,FALSE)</f>
        <v>0</v>
      </c>
      <c r="BX88" s="566">
        <f>VLOOKUP($A88,'01-02.2021'!$A$6:$CZ$403,76,FALSE)+VLOOKUP($A88,'1.3.21-28.2.22'!$A$6:$DA$404,76,FALSE)-VLOOKUP($A88,'01-02.2022'!$A$6:$DA$376,76,FALSE)</f>
        <v>4.8588328407819263</v>
      </c>
      <c r="BY88" s="70">
        <f t="shared" si="129"/>
        <v>4.8588328407819263</v>
      </c>
      <c r="BZ88" s="566">
        <f>VLOOKUP($A88,'01-02.2021'!$A$6:$CZ$403,78,FALSE)+VLOOKUP($A88,'1.3.21-28.2.22'!$A$6:$DA$404,78,FALSE)-VLOOKUP($A88,'01-02.2022'!$A$6:$DA$376,78,FALSE)</f>
        <v>0</v>
      </c>
      <c r="CA88" s="566">
        <f>VLOOKUP($A88,'01-02.2021'!$A$6:$CZ$403,79,FALSE)+VLOOKUP($A88,'1.3.21-28.2.22'!$A$6:$DA$404,79,FALSE)-VLOOKUP($A88,'01-02.2022'!$A$6:$DA$376,79,FALSE)</f>
        <v>0</v>
      </c>
      <c r="CB88" s="70">
        <f t="shared" si="130"/>
        <v>0</v>
      </c>
      <c r="CC88" s="566">
        <f>VLOOKUP($A88,'01-02.2021'!$A$6:$CZ$403,81,FALSE)+VLOOKUP($A88,'1.3.21-28.2.22'!$A$6:$DA$404,81,FALSE)-VLOOKUP($A88,'01-02.2022'!$A$6:$DA$376,81,FALSE)</f>
        <v>0</v>
      </c>
      <c r="CD88" s="566">
        <f>VLOOKUP($A88,'01-02.2021'!$A$6:$CZ$403,82,FALSE)+VLOOKUP($A88,'1.3.21-28.2.22'!$A$6:$DA$404,82,FALSE)-VLOOKUP($A88,'01-02.2022'!$A$6:$DA$376,82,FALSE)</f>
        <v>0</v>
      </c>
      <c r="CE88" s="70">
        <f t="shared" si="131"/>
        <v>0</v>
      </c>
      <c r="CF88" s="566">
        <f>VLOOKUP($A88,'01-02.2021'!$A$6:$CZ$403,84,FALSE)+VLOOKUP($A88,'1.3.21-28.2.22'!$A$6:$DA$404,84,FALSE)-VLOOKUP($A88,'01-02.2022'!$A$6:$DA$376,84,FALSE)</f>
        <v>0</v>
      </c>
      <c r="CG88" s="566">
        <f>VLOOKUP($A88,'01-02.2021'!$A$6:$CZ$403,85,FALSE)+VLOOKUP($A88,'1.3.21-28.2.22'!$A$6:$DA$404,85,FALSE)-VLOOKUP($A88,'01-02.2022'!$A$6:$DA$376,85,FALSE)</f>
        <v>0</v>
      </c>
      <c r="CH88" s="70">
        <f t="shared" si="132"/>
        <v>0</v>
      </c>
      <c r="CI88" s="566">
        <f>VLOOKUP($A88,'01-02.2021'!$A$6:$CZ$403,87,FALSE)+VLOOKUP($A88,'1.3.21-28.2.22'!$A$6:$DA$404,87,FALSE)-VLOOKUP($A88,'01-02.2022'!$A$6:$DA$376,87,FALSE)</f>
        <v>0</v>
      </c>
      <c r="CJ88" s="566">
        <f>VLOOKUP($A88,'01-02.2021'!$A$6:$CZ$403,88,FALSE)+VLOOKUP($A88,'1.3.21-28.2.22'!$A$6:$DA$404,88,FALSE)-VLOOKUP($A88,'01-02.2022'!$A$6:$DA$376,88,FALSE)</f>
        <v>0</v>
      </c>
      <c r="CK88" s="70">
        <f t="shared" si="133"/>
        <v>0</v>
      </c>
      <c r="CL88" s="566">
        <f>VLOOKUP($A88,'01-02.2021'!$A$6:$CZ$403,90,FALSE)+VLOOKUP($A88,'1.3.21-28.2.22'!$A$6:$DA$404,90,FALSE)-VLOOKUP($A88,'01-02.2022'!$A$6:$DA$376,90,FALSE)</f>
        <v>0</v>
      </c>
      <c r="CM88" s="566">
        <f>VLOOKUP($A88,'01-02.2021'!$A$6:$CZ$403,91,FALSE)+VLOOKUP($A88,'1.3.21-28.2.22'!$A$6:$DA$404,91,FALSE)-VLOOKUP($A88,'01-02.2022'!$A$6:$DA$376,91,FALSE)</f>
        <v>0</v>
      </c>
      <c r="CN88" s="52">
        <f t="shared" si="97"/>
        <v>0</v>
      </c>
      <c r="CO88" s="39">
        <f t="shared" si="89"/>
        <v>0</v>
      </c>
      <c r="CP88" s="40">
        <f t="shared" si="98"/>
        <v>0</v>
      </c>
      <c r="CQ88" s="52">
        <f t="shared" si="99"/>
        <v>0</v>
      </c>
      <c r="CR88" s="72">
        <f t="shared" si="90"/>
        <v>2997.1434395320948</v>
      </c>
      <c r="CS88" s="5">
        <f t="shared" si="90"/>
        <v>1290.9175010205981</v>
      </c>
      <c r="CT88" s="52">
        <f t="shared" si="100"/>
        <v>-1706.2259385114967</v>
      </c>
      <c r="CU88" s="77">
        <f t="shared" si="101"/>
        <v>3596.5721274385137</v>
      </c>
      <c r="CV88" s="65">
        <f t="shared" si="102"/>
        <v>1549.1010012247177</v>
      </c>
      <c r="CW88" s="35">
        <f t="shared" si="103"/>
        <v>-2047.471126213796</v>
      </c>
      <c r="CX88" s="566">
        <f>VLOOKUP($A88,'01-02.2021'!$A$6:$CZ$403,102,FALSE)+VLOOKUP($A88,'1.3.21-28.2.22'!$A$6:$DA$404,102,FALSE)-VLOOKUP($A88,'01-02.2022'!$A$6:$DA$376,102,FALSE)</f>
        <v>171.70989277301319</v>
      </c>
      <c r="CY88" s="566">
        <f>VLOOKUP($A88,'01-02.2021'!$A$6:$CZ$403,103,FALSE)+VLOOKUP($A88,'1.3.21-28.2.22'!$A$6:$DA$404,103,FALSE)-VLOOKUP($A88,'01-02.2022'!$A$6:$DA$376,103,FALSE)</f>
        <v>2219.1810189868083</v>
      </c>
      <c r="CZ88" s="52">
        <f t="shared" si="104"/>
        <v>2047.4711262137951</v>
      </c>
      <c r="DA88" s="150">
        <f>'[2]побудинковий звіт'!DA88</f>
        <v>-7329.2343649282493</v>
      </c>
      <c r="DB88" s="2">
        <v>3</v>
      </c>
      <c r="DC88" s="414">
        <f>'[4]побудинковий звіт'!DC88</f>
        <v>-919.86</v>
      </c>
      <c r="DD88" s="414">
        <f>'[4]побудинковий звіт'!DD88</f>
        <v>0</v>
      </c>
      <c r="DE88" s="557">
        <f>'[4]побудинковий звіт'!DE88</f>
        <v>-1262.5434616559787</v>
      </c>
      <c r="DF88" s="557">
        <f>'[4]побудинковий звіт'!DF88</f>
        <v>0</v>
      </c>
      <c r="DG88" s="321">
        <f>VLOOKUP(A88,'кошти 01.03.2021'!$A$6:$D$401,4,)</f>
        <v>-5067.5195021713935</v>
      </c>
      <c r="DH88" s="40">
        <f>'[3]побудинковий звіт'!DJ88</f>
        <v>3903.8632192383875</v>
      </c>
      <c r="DI88" s="422">
        <f>'[3]побудинковий звіт'!CU88+'[3]побудинковий звіт'!CX88</f>
        <v>342.68346165597859</v>
      </c>
      <c r="DJ88" s="306">
        <f>'[3]побудинковий звіт'!DM88</f>
        <v>1.5806432733209343</v>
      </c>
      <c r="DK88" s="306">
        <f t="shared" si="136"/>
        <v>1.5806432733209343</v>
      </c>
      <c r="DL88" s="306">
        <f>'[3]побудинковий звіт'!DO88</f>
        <v>1.5806432733209343</v>
      </c>
      <c r="DM88" s="28">
        <f t="shared" si="137"/>
        <v>342.68346165597859</v>
      </c>
      <c r="DN88" s="28">
        <f t="shared" si="138"/>
        <v>0</v>
      </c>
      <c r="DO88" s="423">
        <f t="shared" si="105"/>
        <v>342.68346165597859</v>
      </c>
      <c r="DP88" s="94">
        <f t="shared" si="106"/>
        <v>0</v>
      </c>
      <c r="DQ88" s="28">
        <f t="shared" si="107"/>
        <v>342.68346165597859</v>
      </c>
      <c r="DR88" s="318"/>
      <c r="DT88" s="8"/>
      <c r="DU88" s="5"/>
      <c r="DX88" s="5">
        <f t="shared" si="108"/>
        <v>2737.3992421373296</v>
      </c>
      <c r="DY88" s="5">
        <f t="shared" si="109"/>
        <v>0</v>
      </c>
      <c r="DZ88" s="159">
        <f>'[3]побудинковий звіт'!EA88</f>
        <v>290.04605184978374</v>
      </c>
    </row>
    <row r="89" spans="1:130" x14ac:dyDescent="0.3">
      <c r="A89" s="325">
        <v>150000644</v>
      </c>
      <c r="B89" s="41" t="s">
        <v>538</v>
      </c>
      <c r="C89" s="42" t="s">
        <v>68</v>
      </c>
      <c r="D89" s="42"/>
      <c r="E89" s="293">
        <f t="shared" si="85"/>
        <v>214.7</v>
      </c>
      <c r="F89" s="305">
        <f>'[3]побудинковий звіт'!F89</f>
        <v>214.7</v>
      </c>
      <c r="G89" s="508">
        <f>'[3]побудинковий звіт'!G89</f>
        <v>0</v>
      </c>
      <c r="H89" s="560">
        <f>'[3]побудинковий звіт'!H89</f>
        <v>0</v>
      </c>
      <c r="I89" s="566">
        <f>VLOOKUP($A89,'01-02.2021'!$A$6:$CZ$403,9,FALSE)+VLOOKUP($A89,'1.3.21-28.2.22'!$A$6:$DA$404,9,FALSE)-VLOOKUP($A89,'01-02.2022'!$A$6:$DA$376,9,FALSE)</f>
        <v>0</v>
      </c>
      <c r="J89" s="566">
        <f>VLOOKUP($A89,'01-02.2021'!$A$6:$CZ$403,10,FALSE)+VLOOKUP($A89,'1.3.21-28.2.22'!$A$6:$DA$404,10,FALSE)-VLOOKUP($A89,'01-02.2022'!$A$6:$DA$376,10,FALSE)</f>
        <v>0</v>
      </c>
      <c r="K89" s="52">
        <f t="shared" si="94"/>
        <v>0</v>
      </c>
      <c r="L89" s="566">
        <f>VLOOKUP($A89,'01-02.2021'!$A$6:$CZ$403,12,FALSE)+VLOOKUP($A89,'1.3.21-28.2.22'!$A$6:$DA$404,12,FALSE)-VLOOKUP($A89,'01-02.2022'!$A$6:$DA$376,12,FALSE)</f>
        <v>0</v>
      </c>
      <c r="M89" s="566">
        <f>VLOOKUP($A89,'01-02.2021'!$A$6:$CZ$403,13,FALSE)+VLOOKUP($A89,'1.3.21-28.2.22'!$A$6:$DA$404,13,FALSE)-VLOOKUP($A89,'01-02.2022'!$A$6:$DA$376,13,FALSE)</f>
        <v>0</v>
      </c>
      <c r="N89" s="52">
        <f t="shared" si="95"/>
        <v>0</v>
      </c>
      <c r="O89" s="566">
        <f>VLOOKUP($A89,'01-02.2021'!$A$6:$CZ$403,15,FALSE)+VLOOKUP($A89,'1.3.21-28.2.22'!$A$6:$DA$404,15,FALSE)-VLOOKUP($A89,'01-02.2022'!$A$6:$DA$376,15,FALSE)</f>
        <v>246.95257993132495</v>
      </c>
      <c r="P89" s="566">
        <f>VLOOKUP($A89,'01-02.2021'!$A$6:$CZ$403,16,FALSE)+VLOOKUP($A89,'1.3.21-28.2.22'!$A$6:$DA$404,16,FALSE)-VLOOKUP($A89,'01-02.2022'!$A$6:$DA$376,16,FALSE)</f>
        <v>246.98333333333326</v>
      </c>
      <c r="Q89" s="70">
        <f t="shared" si="111"/>
        <v>3.0753402008315334E-2</v>
      </c>
      <c r="R89" s="566">
        <f>VLOOKUP($A89,'01-02.2021'!$A$6:$CZ$403,18,FALSE)+VLOOKUP($A89,'1.3.21-28.2.22'!$A$6:$DA$404,18,FALSE)-VLOOKUP($A89,'01-02.2022'!$A$6:$DA$376,18,FALSE)</f>
        <v>0</v>
      </c>
      <c r="S89" s="566">
        <f>VLOOKUP($A89,'01-02.2021'!$A$6:$CZ$403,19,FALSE)+VLOOKUP($A89,'1.3.21-28.2.22'!$A$6:$DA$404,19,FALSE)-VLOOKUP($A89,'01-02.2022'!$A$6:$DA$376,19,FALSE)</f>
        <v>0</v>
      </c>
      <c r="T89" s="70">
        <f t="shared" si="112"/>
        <v>0</v>
      </c>
      <c r="U89" s="566">
        <f>VLOOKUP($A89,'01-02.2021'!$A$6:$CZ$403,21,FALSE)+VLOOKUP($A89,'1.3.21-28.2.22'!$A$6:$DA$404,21,FALSE)-VLOOKUP($A89,'01-02.2022'!$A$6:$DA$376,21,FALSE)</f>
        <v>0</v>
      </c>
      <c r="V89" s="566">
        <f>VLOOKUP($A89,'01-02.2021'!$A$6:$CZ$403,22,FALSE)+VLOOKUP($A89,'1.3.21-28.2.22'!$A$6:$DA$404,22,FALSE)-VLOOKUP($A89,'01-02.2022'!$A$6:$DA$376,22,FALSE)</f>
        <v>0</v>
      </c>
      <c r="W89" s="70">
        <f t="shared" si="113"/>
        <v>0</v>
      </c>
      <c r="X89" s="566">
        <f>VLOOKUP($A89,'01-02.2021'!$A$6:$CZ$403,24,FALSE)+VLOOKUP($A89,'1.3.21-28.2.22'!$A$6:$DA$404,24,FALSE)-VLOOKUP($A89,'01-02.2022'!$A$6:$DA$376,24,FALSE)</f>
        <v>0</v>
      </c>
      <c r="Y89" s="566">
        <f>VLOOKUP($A89,'01-02.2021'!$A$6:$CZ$403,25,FALSE)+VLOOKUP($A89,'1.3.21-28.2.22'!$A$6:$DA$404,25,FALSE)-VLOOKUP($A89,'01-02.2022'!$A$6:$DA$376,25,FALSE)</f>
        <v>0</v>
      </c>
      <c r="Z89" s="70">
        <f t="shared" si="114"/>
        <v>0</v>
      </c>
      <c r="AA89" s="566">
        <f>VLOOKUP($A89,'01-02.2021'!$A$6:$CZ$403,27,FALSE)+VLOOKUP($A89,'1.3.21-28.2.22'!$A$6:$DA$404,27,FALSE)-VLOOKUP($A89,'01-02.2022'!$A$6:$DA$376,27,FALSE)</f>
        <v>42.94</v>
      </c>
      <c r="AB89" s="566">
        <f>VLOOKUP($A89,'01-02.2021'!$A$6:$CZ$403,28,FALSE)+VLOOKUP($A89,'1.3.21-28.2.22'!$A$6:$DA$404,28,FALSE)-VLOOKUP($A89,'01-02.2022'!$A$6:$DA$376,28,FALSE)</f>
        <v>0</v>
      </c>
      <c r="AC89" s="70">
        <f t="shared" si="115"/>
        <v>-42.94</v>
      </c>
      <c r="AD89" s="566">
        <f>VLOOKUP($A89,'01-02.2021'!$A$6:$CZ$403,30,FALSE)+VLOOKUP($A89,'1.3.21-28.2.22'!$A$6:$DA$404,30,FALSE)-VLOOKUP($A89,'01-02.2022'!$A$6:$DA$376,30,FALSE)</f>
        <v>386.70338509997225</v>
      </c>
      <c r="AE89" s="566">
        <f>VLOOKUP($A89,'01-02.2021'!$A$6:$CZ$403,31,FALSE)+VLOOKUP($A89,'1.3.21-28.2.22'!$A$6:$DA$404,31,FALSE)-VLOOKUP($A89,'01-02.2022'!$A$6:$DA$376,31,FALSE)</f>
        <v>977.32305074615147</v>
      </c>
      <c r="AF89" s="68">
        <f t="shared" si="116"/>
        <v>590.61966564617921</v>
      </c>
      <c r="AG89" s="77">
        <f t="shared" si="86"/>
        <v>676.59596503129717</v>
      </c>
      <c r="AH89" s="53">
        <f t="shared" si="86"/>
        <v>1224.3063840794848</v>
      </c>
      <c r="AI89" s="52">
        <f t="shared" si="96"/>
        <v>547.71041904818765</v>
      </c>
      <c r="AJ89" s="566">
        <f>VLOOKUP($A89,'01-02.2021'!$A$6:$CZ$403,36,FALSE)+VLOOKUP($A89,'1.3.21-28.2.22'!$A$6:$DA$404,36,FALSE)-VLOOKUP($A89,'01-02.2022'!$A$6:$DA$376,36,FALSE)</f>
        <v>0</v>
      </c>
      <c r="AK89" s="566">
        <f>VLOOKUP($A89,'01-02.2021'!$A$6:$CZ$403,37,FALSE)+VLOOKUP($A89,'1.3.21-28.2.22'!$A$6:$DA$404,37,FALSE)-VLOOKUP($A89,'01-02.2022'!$A$6:$DA$376,37,FALSE)</f>
        <v>0</v>
      </c>
      <c r="AL89" s="70">
        <f t="shared" si="117"/>
        <v>0</v>
      </c>
      <c r="AM89" s="566">
        <f>VLOOKUP($A89,'01-02.2021'!$A$6:$CZ$403,39,FALSE)+VLOOKUP($A89,'1.3.21-28.2.22'!$A$6:$DA$404,39,FALSE)-VLOOKUP($A89,'01-02.2022'!$A$6:$DA$376,39,FALSE)</f>
        <v>0</v>
      </c>
      <c r="AN89" s="566">
        <f>VLOOKUP($A89,'01-02.2021'!$A$6:$CZ$403,40,FALSE)+VLOOKUP($A89,'1.3.21-28.2.22'!$A$6:$DA$404,40,FALSE)-VLOOKUP($A89,'01-02.2022'!$A$6:$DA$376,40,FALSE)</f>
        <v>0</v>
      </c>
      <c r="AO89" s="70">
        <f t="shared" si="118"/>
        <v>0</v>
      </c>
      <c r="AP89" s="566">
        <f>VLOOKUP($A89,'01-02.2021'!$A$6:$CZ$403,42,FALSE)+VLOOKUP($A89,'1.3.21-28.2.22'!$A$6:$DA$404,42,FALSE)-VLOOKUP($A89,'01-02.2022'!$A$6:$DA$376,42,FALSE)</f>
        <v>347.03995000851819</v>
      </c>
      <c r="AQ89" s="566">
        <f>VLOOKUP($A89,'01-02.2021'!$A$6:$CZ$403,43,FALSE)+VLOOKUP($A89,'1.3.21-28.2.22'!$A$6:$DA$404,43,FALSE)-VLOOKUP($A89,'01-02.2022'!$A$6:$DA$376,43,FALSE)</f>
        <v>299.17633281993915</v>
      </c>
      <c r="AR89" s="70">
        <f t="shared" si="119"/>
        <v>-47.863617188579042</v>
      </c>
      <c r="AS89" s="566">
        <f>VLOOKUP($A89,'01-02.2021'!$A$6:$CZ$403,45,FALSE)+VLOOKUP($A89,'1.3.21-28.2.22'!$A$6:$DA$404,45,FALSE)-VLOOKUP($A89,'01-02.2022'!$A$6:$DA$376,45,FALSE)</f>
        <v>2257.3512213416025</v>
      </c>
      <c r="AT89" s="566">
        <f>VLOOKUP($A89,'01-02.2021'!$A$6:$CZ$403,46,FALSE)+VLOOKUP($A89,'1.3.21-28.2.22'!$A$6:$DA$404,46,FALSE)-VLOOKUP($A89,'01-02.2022'!$A$6:$DA$376,46,FALSE)</f>
        <v>992</v>
      </c>
      <c r="AU89" s="78">
        <f t="shared" si="120"/>
        <v>-1265.3512213416025</v>
      </c>
      <c r="AV89" s="566">
        <f>VLOOKUP($A89,'01-02.2021'!$A$6:$CZ$403,48,FALSE)+VLOOKUP($A89,'1.3.21-28.2.22'!$A$6:$DA$404,48,FALSE)-VLOOKUP($A89,'01-02.2022'!$A$6:$DA$376,48,FALSE)</f>
        <v>0</v>
      </c>
      <c r="AW89" s="566">
        <f>VLOOKUP($A89,'01-02.2021'!$A$6:$CZ$403,49,FALSE)+VLOOKUP($A89,'1.3.21-28.2.22'!$A$6:$DA$404,49,FALSE)-VLOOKUP($A89,'01-02.2022'!$A$6:$DA$376,49,FALSE)</f>
        <v>0</v>
      </c>
      <c r="AX89" s="55">
        <f t="shared" si="121"/>
        <v>0</v>
      </c>
      <c r="AY89" s="566">
        <f>VLOOKUP($A89,'01-02.2021'!$A$6:$CZ$403,51,FALSE)+VLOOKUP($A89,'1.3.21-28.2.22'!$A$6:$DA$404,51,FALSE)-VLOOKUP($A89,'01-02.2022'!$A$6:$DA$376,51,FALSE)</f>
        <v>0</v>
      </c>
      <c r="AZ89" s="566">
        <f>VLOOKUP($A89,'01-02.2021'!$A$6:$CZ$403,52,FALSE)+VLOOKUP($A89,'1.3.21-28.2.22'!$A$6:$DA$404,52,FALSE)-VLOOKUP($A89,'01-02.2022'!$A$6:$DA$376,52,FALSE)</f>
        <v>0</v>
      </c>
      <c r="BA89" s="38">
        <f t="shared" si="122"/>
        <v>0</v>
      </c>
      <c r="BB89" s="566">
        <f>VLOOKUP($A89,'01-02.2021'!$A$6:$CZ$403,54,FALSE)+VLOOKUP($A89,'1.3.21-28.2.22'!$A$6:$DA$404,54,FALSE)-VLOOKUP($A89,'01-02.2022'!$A$6:$DA$376,54,FALSE)</f>
        <v>84.117090116936851</v>
      </c>
      <c r="BC89" s="566">
        <f>VLOOKUP($A89,'01-02.2021'!$A$6:$CZ$403,55,FALSE)+VLOOKUP($A89,'1.3.21-28.2.22'!$A$6:$DA$404,55,FALSE)-VLOOKUP($A89,'01-02.2022'!$A$6:$DA$376,55,FALSE)</f>
        <v>0</v>
      </c>
      <c r="BD89" s="55">
        <f t="shared" si="123"/>
        <v>-84.117090116936851</v>
      </c>
      <c r="BE89" s="566">
        <f>VLOOKUP($A89,'01-02.2021'!$A$6:$CZ$403,57,FALSE)+VLOOKUP($A89,'1.3.21-28.2.22'!$A$6:$DA$404,57,FALSE)-VLOOKUP($A89,'01-02.2022'!$A$6:$DA$376,57,FALSE)</f>
        <v>0</v>
      </c>
      <c r="BF89" s="566">
        <f>VLOOKUP($A89,'01-02.2021'!$A$6:$CZ$403,58,FALSE)+VLOOKUP($A89,'1.3.21-28.2.22'!$A$6:$DA$404,58,FALSE)-VLOOKUP($A89,'01-02.2022'!$A$6:$DA$376,58,FALSE)</f>
        <v>0</v>
      </c>
      <c r="BG89" s="55">
        <f t="shared" si="124"/>
        <v>0</v>
      </c>
      <c r="BH89" s="566">
        <f>VLOOKUP($A89,'01-02.2021'!$A$6:$CZ$403,60,FALSE)+VLOOKUP($A89,'1.3.21-28.2.22'!$A$6:$DA$404,60,FALSE)-VLOOKUP($A89,'01-02.2022'!$A$6:$DA$376,60,FALSE)</f>
        <v>0</v>
      </c>
      <c r="BI89" s="566">
        <f>VLOOKUP($A89,'01-02.2021'!$A$6:$CZ$403,61,FALSE)+VLOOKUP($A89,'1.3.21-28.2.22'!$A$6:$DA$404,61,FALSE)-VLOOKUP($A89,'01-02.2022'!$A$6:$DA$376,61,FALSE)</f>
        <v>0</v>
      </c>
      <c r="BJ89" s="55">
        <f t="shared" si="125"/>
        <v>0</v>
      </c>
      <c r="BK89" s="566">
        <f>VLOOKUP($A89,'01-02.2021'!$A$6:$CZ$403,63,FALSE)+VLOOKUP($A89,'1.3.21-28.2.22'!$A$6:$DA$404,63,FALSE)-VLOOKUP($A89,'01-02.2022'!$A$6:$DA$376,63,FALSE)</f>
        <v>0</v>
      </c>
      <c r="BL89" s="566">
        <f>VLOOKUP($A89,'01-02.2021'!$A$6:$CZ$403,64,FALSE)+VLOOKUP($A89,'1.3.21-28.2.22'!$A$6:$DA$404,64,FALSE)-VLOOKUP($A89,'01-02.2022'!$A$6:$DA$376,64,FALSE)</f>
        <v>0</v>
      </c>
      <c r="BM89" s="55">
        <f t="shared" si="126"/>
        <v>0</v>
      </c>
      <c r="BN89" s="566">
        <f>VLOOKUP($A89,'01-02.2021'!$A$6:$CZ$403,66,FALSE)+VLOOKUP($A89,'1.3.21-28.2.22'!$A$6:$DA$404,66,FALSE)-VLOOKUP($A89,'01-02.2022'!$A$6:$DA$376,66,FALSE)</f>
        <v>10.734999999999999</v>
      </c>
      <c r="BO89" s="566">
        <f>VLOOKUP($A89,'01-02.2021'!$A$6:$CZ$403,67,FALSE)+VLOOKUP($A89,'1.3.21-28.2.22'!$A$6:$DA$404,67,FALSE)-VLOOKUP($A89,'01-02.2022'!$A$6:$DA$376,67,FALSE)</f>
        <v>0</v>
      </c>
      <c r="BP89" s="55">
        <f t="shared" si="127"/>
        <v>-10.734999999999999</v>
      </c>
      <c r="BQ89" s="77">
        <f t="shared" si="87"/>
        <v>94.85209011693685</v>
      </c>
      <c r="BR89" s="40">
        <f t="shared" si="88"/>
        <v>0</v>
      </c>
      <c r="BS89" s="55">
        <f t="shared" si="110"/>
        <v>-94.85209011693685</v>
      </c>
      <c r="BT89" s="566">
        <f>VLOOKUP($A89,'01-02.2021'!$A$6:$CZ$403,72,FALSE)+VLOOKUP($A89,'1.3.21-28.2.22'!$A$6:$DA$404,72,FALSE)-VLOOKUP($A89,'01-02.2022'!$A$6:$DA$376,72,FALSE)</f>
        <v>0</v>
      </c>
      <c r="BU89" s="566">
        <f>VLOOKUP($A89,'01-02.2021'!$A$6:$CZ$403,73,FALSE)+VLOOKUP($A89,'1.3.21-28.2.22'!$A$6:$DA$404,73,FALSE)-VLOOKUP($A89,'01-02.2022'!$A$6:$DA$376,73,FALSE)</f>
        <v>0</v>
      </c>
      <c r="BV89" s="70">
        <f t="shared" si="128"/>
        <v>0</v>
      </c>
      <c r="BW89" s="566">
        <f>VLOOKUP($A89,'01-02.2021'!$A$6:$CZ$403,75,FALSE)+VLOOKUP($A89,'1.3.21-28.2.22'!$A$6:$DA$404,75,FALSE)-VLOOKUP($A89,'01-02.2022'!$A$6:$DA$376,75,FALSE)</f>
        <v>0</v>
      </c>
      <c r="BX89" s="566">
        <f>VLOOKUP($A89,'01-02.2021'!$A$6:$CZ$403,76,FALSE)+VLOOKUP($A89,'1.3.21-28.2.22'!$A$6:$DA$404,76,FALSE)-VLOOKUP($A89,'01-02.2022'!$A$6:$DA$376,76,FALSE)</f>
        <v>4.8117685005344981</v>
      </c>
      <c r="BY89" s="70">
        <f t="shared" si="129"/>
        <v>4.8117685005344981</v>
      </c>
      <c r="BZ89" s="566">
        <f>VLOOKUP($A89,'01-02.2021'!$A$6:$CZ$403,78,FALSE)+VLOOKUP($A89,'1.3.21-28.2.22'!$A$6:$DA$404,78,FALSE)-VLOOKUP($A89,'01-02.2022'!$A$6:$DA$376,78,FALSE)</f>
        <v>0</v>
      </c>
      <c r="CA89" s="566">
        <f>VLOOKUP($A89,'01-02.2021'!$A$6:$CZ$403,79,FALSE)+VLOOKUP($A89,'1.3.21-28.2.22'!$A$6:$DA$404,79,FALSE)-VLOOKUP($A89,'01-02.2022'!$A$6:$DA$376,79,FALSE)</f>
        <v>0</v>
      </c>
      <c r="CB89" s="70">
        <f t="shared" si="130"/>
        <v>0</v>
      </c>
      <c r="CC89" s="566">
        <f>VLOOKUP($A89,'01-02.2021'!$A$6:$CZ$403,81,FALSE)+VLOOKUP($A89,'1.3.21-28.2.22'!$A$6:$DA$404,81,FALSE)-VLOOKUP($A89,'01-02.2022'!$A$6:$DA$376,81,FALSE)</f>
        <v>0</v>
      </c>
      <c r="CD89" s="566">
        <f>VLOOKUP($A89,'01-02.2021'!$A$6:$CZ$403,82,FALSE)+VLOOKUP($A89,'1.3.21-28.2.22'!$A$6:$DA$404,82,FALSE)-VLOOKUP($A89,'01-02.2022'!$A$6:$DA$376,82,FALSE)</f>
        <v>0</v>
      </c>
      <c r="CE89" s="70">
        <f t="shared" si="131"/>
        <v>0</v>
      </c>
      <c r="CF89" s="566">
        <f>VLOOKUP($A89,'01-02.2021'!$A$6:$CZ$403,84,FALSE)+VLOOKUP($A89,'1.3.21-28.2.22'!$A$6:$DA$404,84,FALSE)-VLOOKUP($A89,'01-02.2022'!$A$6:$DA$376,84,FALSE)</f>
        <v>0</v>
      </c>
      <c r="CG89" s="566">
        <f>VLOOKUP($A89,'01-02.2021'!$A$6:$CZ$403,85,FALSE)+VLOOKUP($A89,'1.3.21-28.2.22'!$A$6:$DA$404,85,FALSE)-VLOOKUP($A89,'01-02.2022'!$A$6:$DA$376,85,FALSE)</f>
        <v>0</v>
      </c>
      <c r="CH89" s="70">
        <f t="shared" si="132"/>
        <v>0</v>
      </c>
      <c r="CI89" s="566">
        <f>VLOOKUP($A89,'01-02.2021'!$A$6:$CZ$403,87,FALSE)+VLOOKUP($A89,'1.3.21-28.2.22'!$A$6:$DA$404,87,FALSE)-VLOOKUP($A89,'01-02.2022'!$A$6:$DA$376,87,FALSE)</f>
        <v>0</v>
      </c>
      <c r="CJ89" s="566">
        <f>VLOOKUP($A89,'01-02.2021'!$A$6:$CZ$403,88,FALSE)+VLOOKUP($A89,'1.3.21-28.2.22'!$A$6:$DA$404,88,FALSE)-VLOOKUP($A89,'01-02.2022'!$A$6:$DA$376,88,FALSE)</f>
        <v>0</v>
      </c>
      <c r="CK89" s="70">
        <f t="shared" si="133"/>
        <v>0</v>
      </c>
      <c r="CL89" s="566">
        <f>VLOOKUP($A89,'01-02.2021'!$A$6:$CZ$403,90,FALSE)+VLOOKUP($A89,'1.3.21-28.2.22'!$A$6:$DA$404,90,FALSE)-VLOOKUP($A89,'01-02.2022'!$A$6:$DA$376,90,FALSE)</f>
        <v>0</v>
      </c>
      <c r="CM89" s="566">
        <f>VLOOKUP($A89,'01-02.2021'!$A$6:$CZ$403,91,FALSE)+VLOOKUP($A89,'1.3.21-28.2.22'!$A$6:$DA$404,91,FALSE)-VLOOKUP($A89,'01-02.2022'!$A$6:$DA$376,91,FALSE)</f>
        <v>0</v>
      </c>
      <c r="CN89" s="52">
        <f t="shared" si="97"/>
        <v>0</v>
      </c>
      <c r="CO89" s="39">
        <f t="shared" si="89"/>
        <v>0</v>
      </c>
      <c r="CP89" s="40">
        <f t="shared" si="98"/>
        <v>0</v>
      </c>
      <c r="CQ89" s="52">
        <f t="shared" si="99"/>
        <v>0</v>
      </c>
      <c r="CR89" s="72">
        <f t="shared" si="90"/>
        <v>3375.8392264983545</v>
      </c>
      <c r="CS89" s="5">
        <f t="shared" si="90"/>
        <v>2520.2944853999584</v>
      </c>
      <c r="CT89" s="52">
        <f t="shared" si="100"/>
        <v>-855.54474109839612</v>
      </c>
      <c r="CU89" s="77">
        <f t="shared" si="101"/>
        <v>4051.0070717980252</v>
      </c>
      <c r="CV89" s="65">
        <f t="shared" si="102"/>
        <v>3024.3533824799501</v>
      </c>
      <c r="CW89" s="35">
        <f t="shared" si="103"/>
        <v>-1026.6536893180751</v>
      </c>
      <c r="CX89" s="566">
        <f>VLOOKUP($A89,'01-02.2021'!$A$6:$CZ$403,102,FALSE)+VLOOKUP($A89,'1.3.21-28.2.22'!$A$6:$DA$404,102,FALSE)-VLOOKUP($A89,'01-02.2022'!$A$6:$DA$376,102,FALSE)</f>
        <v>141.29859578230764</v>
      </c>
      <c r="CY89" s="566">
        <f>VLOOKUP($A89,'01-02.2021'!$A$6:$CZ$403,103,FALSE)+VLOOKUP($A89,'1.3.21-28.2.22'!$A$6:$DA$404,103,FALSE)-VLOOKUP($A89,'01-02.2022'!$A$6:$DA$376,103,FALSE)</f>
        <v>1167.9522851003826</v>
      </c>
      <c r="CZ89" s="52">
        <f t="shared" si="104"/>
        <v>1026.6536893180751</v>
      </c>
      <c r="DA89" s="150">
        <f>'[2]побудинковий звіт'!DA89</f>
        <v>-4919.7915409909911</v>
      </c>
      <c r="DB89" s="2">
        <v>3</v>
      </c>
      <c r="DC89" s="414">
        <f>'[4]побудинковий звіт'!DC89</f>
        <v>380.7</v>
      </c>
      <c r="DD89" s="414">
        <f>'[4]побудинковий звіт'!DD89</f>
        <v>0</v>
      </c>
      <c r="DE89" s="557">
        <f>'[4]побудинковий звіт'!DE89</f>
        <v>-1.0230623780671522E-3</v>
      </c>
      <c r="DF89" s="557">
        <f>'[4]побудинковий звіт'!DF89</f>
        <v>0</v>
      </c>
      <c r="DG89" s="321">
        <f>VLOOKUP(A89,'кошти 01.03.2021'!$A$6:$D$401,4,)</f>
        <v>-3663.4450124292848</v>
      </c>
      <c r="DH89" s="40">
        <f>'[3]побудинковий звіт'!DJ89</f>
        <v>4340.5326498602899</v>
      </c>
      <c r="DI89" s="422">
        <f>'[3]побудинковий звіт'!CU89+'[3]побудинковий звіт'!CX89</f>
        <v>380.701023062378</v>
      </c>
      <c r="DJ89" s="306">
        <f>'[3]побудинковий звіт'!DM89</f>
        <v>1.7731766328010157</v>
      </c>
      <c r="DK89" s="306">
        <f t="shared" si="136"/>
        <v>1.7731766328010157</v>
      </c>
      <c r="DL89" s="306">
        <f>'[3]побудинковий звіт'!DO89</f>
        <v>1.7731766328010157</v>
      </c>
      <c r="DM89" s="28">
        <f t="shared" si="137"/>
        <v>380.70102306237806</v>
      </c>
      <c r="DN89" s="28">
        <f t="shared" si="138"/>
        <v>0</v>
      </c>
      <c r="DO89" s="423">
        <f t="shared" si="105"/>
        <v>380.70102306237806</v>
      </c>
      <c r="DP89" s="94">
        <f t="shared" si="106"/>
        <v>0</v>
      </c>
      <c r="DQ89" s="28">
        <f t="shared" si="107"/>
        <v>380.70102306237806</v>
      </c>
      <c r="DR89" s="318"/>
      <c r="DT89" s="8"/>
      <c r="DU89" s="5"/>
      <c r="DX89" s="5">
        <f t="shared" si="108"/>
        <v>2822.6439737502469</v>
      </c>
      <c r="DY89" s="5">
        <f t="shared" si="109"/>
        <v>1190.3999999999999</v>
      </c>
      <c r="DZ89" s="159">
        <f>'[3]побудинковий звіт'!EA89</f>
        <v>306.59492654023262</v>
      </c>
    </row>
    <row r="90" spans="1:130" x14ac:dyDescent="0.3">
      <c r="A90" s="325">
        <v>150000566</v>
      </c>
      <c r="B90" s="41" t="s">
        <v>539</v>
      </c>
      <c r="C90" s="42" t="s">
        <v>69</v>
      </c>
      <c r="D90" s="42"/>
      <c r="E90" s="293">
        <f t="shared" si="85"/>
        <v>397.8</v>
      </c>
      <c r="F90" s="305">
        <f>'[3]побудинковий звіт'!F90</f>
        <v>397.8</v>
      </c>
      <c r="G90" s="508">
        <f>'[3]побудинковий звіт'!G90</f>
        <v>0</v>
      </c>
      <c r="H90" s="560">
        <f>'[3]побудинковий звіт'!H90</f>
        <v>0</v>
      </c>
      <c r="I90" s="566">
        <f>VLOOKUP($A90,'01-02.2021'!$A$6:$CZ$403,9,FALSE)+VLOOKUP($A90,'1.3.21-28.2.22'!$A$6:$DA$404,9,FALSE)-VLOOKUP($A90,'01-02.2022'!$A$6:$DA$376,9,FALSE)</f>
        <v>0</v>
      </c>
      <c r="J90" s="566">
        <f>VLOOKUP($A90,'01-02.2021'!$A$6:$CZ$403,10,FALSE)+VLOOKUP($A90,'1.3.21-28.2.22'!$A$6:$DA$404,10,FALSE)-VLOOKUP($A90,'01-02.2022'!$A$6:$DA$376,10,FALSE)</f>
        <v>0</v>
      </c>
      <c r="K90" s="52">
        <f t="shared" si="94"/>
        <v>0</v>
      </c>
      <c r="L90" s="566">
        <f>VLOOKUP($A90,'01-02.2021'!$A$6:$CZ$403,12,FALSE)+VLOOKUP($A90,'1.3.21-28.2.22'!$A$6:$DA$404,12,FALSE)-VLOOKUP($A90,'01-02.2022'!$A$6:$DA$376,12,FALSE)</f>
        <v>0</v>
      </c>
      <c r="M90" s="566">
        <f>VLOOKUP($A90,'01-02.2021'!$A$6:$CZ$403,13,FALSE)+VLOOKUP($A90,'1.3.21-28.2.22'!$A$6:$DA$404,13,FALSE)-VLOOKUP($A90,'01-02.2022'!$A$6:$DA$376,13,FALSE)</f>
        <v>0</v>
      </c>
      <c r="N90" s="52">
        <f t="shared" si="95"/>
        <v>0</v>
      </c>
      <c r="O90" s="566">
        <f>VLOOKUP($A90,'01-02.2021'!$A$6:$CZ$403,15,FALSE)+VLOOKUP($A90,'1.3.21-28.2.22'!$A$6:$DA$404,15,FALSE)-VLOOKUP($A90,'01-02.2022'!$A$6:$DA$376,15,FALSE)</f>
        <v>0</v>
      </c>
      <c r="P90" s="566">
        <f>VLOOKUP($A90,'01-02.2021'!$A$6:$CZ$403,16,FALSE)+VLOOKUP($A90,'1.3.21-28.2.22'!$A$6:$DA$404,16,FALSE)-VLOOKUP($A90,'01-02.2022'!$A$6:$DA$376,16,FALSE)</f>
        <v>0</v>
      </c>
      <c r="Q90" s="70">
        <f t="shared" si="111"/>
        <v>0</v>
      </c>
      <c r="R90" s="566">
        <f>VLOOKUP($A90,'01-02.2021'!$A$6:$CZ$403,18,FALSE)+VLOOKUP($A90,'1.3.21-28.2.22'!$A$6:$DA$404,18,FALSE)-VLOOKUP($A90,'01-02.2022'!$A$6:$DA$376,18,FALSE)</f>
        <v>0</v>
      </c>
      <c r="S90" s="566">
        <f>VLOOKUP($A90,'01-02.2021'!$A$6:$CZ$403,19,FALSE)+VLOOKUP($A90,'1.3.21-28.2.22'!$A$6:$DA$404,19,FALSE)-VLOOKUP($A90,'01-02.2022'!$A$6:$DA$376,19,FALSE)</f>
        <v>0</v>
      </c>
      <c r="T90" s="70">
        <f t="shared" si="112"/>
        <v>0</v>
      </c>
      <c r="U90" s="566">
        <f>VLOOKUP($A90,'01-02.2021'!$A$6:$CZ$403,21,FALSE)+VLOOKUP($A90,'1.3.21-28.2.22'!$A$6:$DA$404,21,FALSE)-VLOOKUP($A90,'01-02.2022'!$A$6:$DA$376,21,FALSE)</f>
        <v>0</v>
      </c>
      <c r="V90" s="566">
        <f>VLOOKUP($A90,'01-02.2021'!$A$6:$CZ$403,22,FALSE)+VLOOKUP($A90,'1.3.21-28.2.22'!$A$6:$DA$404,22,FALSE)-VLOOKUP($A90,'01-02.2022'!$A$6:$DA$376,22,FALSE)</f>
        <v>0</v>
      </c>
      <c r="W90" s="70">
        <f t="shared" si="113"/>
        <v>0</v>
      </c>
      <c r="X90" s="566">
        <f>VLOOKUP($A90,'01-02.2021'!$A$6:$CZ$403,24,FALSE)+VLOOKUP($A90,'1.3.21-28.2.22'!$A$6:$DA$404,24,FALSE)-VLOOKUP($A90,'01-02.2022'!$A$6:$DA$376,24,FALSE)</f>
        <v>0</v>
      </c>
      <c r="Y90" s="566">
        <f>VLOOKUP($A90,'01-02.2021'!$A$6:$CZ$403,25,FALSE)+VLOOKUP($A90,'1.3.21-28.2.22'!$A$6:$DA$404,25,FALSE)-VLOOKUP($A90,'01-02.2022'!$A$6:$DA$376,25,FALSE)</f>
        <v>0</v>
      </c>
      <c r="Z90" s="70">
        <f t="shared" si="114"/>
        <v>0</v>
      </c>
      <c r="AA90" s="566">
        <f>VLOOKUP($A90,'01-02.2021'!$A$6:$CZ$403,27,FALSE)+VLOOKUP($A90,'1.3.21-28.2.22'!$A$6:$DA$404,27,FALSE)-VLOOKUP($A90,'01-02.2022'!$A$6:$DA$376,27,FALSE)</f>
        <v>69.36</v>
      </c>
      <c r="AB90" s="566">
        <f>VLOOKUP($A90,'01-02.2021'!$A$6:$CZ$403,28,FALSE)+VLOOKUP($A90,'1.3.21-28.2.22'!$A$6:$DA$404,28,FALSE)-VLOOKUP($A90,'01-02.2022'!$A$6:$DA$376,28,FALSE)</f>
        <v>0</v>
      </c>
      <c r="AC90" s="70">
        <f t="shared" si="115"/>
        <v>-69.36</v>
      </c>
      <c r="AD90" s="566">
        <f>VLOOKUP($A90,'01-02.2021'!$A$6:$CZ$403,30,FALSE)+VLOOKUP($A90,'1.3.21-28.2.22'!$A$6:$DA$404,30,FALSE)-VLOOKUP($A90,'01-02.2022'!$A$6:$DA$376,30,FALSE)</f>
        <v>555.24688229660592</v>
      </c>
      <c r="AE90" s="566">
        <f>VLOOKUP($A90,'01-02.2021'!$A$6:$CZ$403,31,FALSE)+VLOOKUP($A90,'1.3.21-28.2.22'!$A$6:$DA$404,31,FALSE)-VLOOKUP($A90,'01-02.2022'!$A$6:$DA$376,31,FALSE)</f>
        <v>1810.8016282571916</v>
      </c>
      <c r="AF90" s="68">
        <f t="shared" si="116"/>
        <v>1255.5547459605857</v>
      </c>
      <c r="AG90" s="77">
        <f t="shared" si="86"/>
        <v>624.60688229660593</v>
      </c>
      <c r="AH90" s="53">
        <f t="shared" si="86"/>
        <v>1810.8016282571916</v>
      </c>
      <c r="AI90" s="52">
        <f t="shared" si="96"/>
        <v>1186.1947459605858</v>
      </c>
      <c r="AJ90" s="566">
        <f>VLOOKUP($A90,'01-02.2021'!$A$6:$CZ$403,36,FALSE)+VLOOKUP($A90,'1.3.21-28.2.22'!$A$6:$DA$404,36,FALSE)-VLOOKUP($A90,'01-02.2022'!$A$6:$DA$376,36,FALSE)</f>
        <v>0</v>
      </c>
      <c r="AK90" s="566">
        <f>VLOOKUP($A90,'01-02.2021'!$A$6:$CZ$403,37,FALSE)+VLOOKUP($A90,'1.3.21-28.2.22'!$A$6:$DA$404,37,FALSE)-VLOOKUP($A90,'01-02.2022'!$A$6:$DA$376,37,FALSE)</f>
        <v>0</v>
      </c>
      <c r="AL90" s="70">
        <f t="shared" si="117"/>
        <v>0</v>
      </c>
      <c r="AM90" s="566">
        <f>VLOOKUP($A90,'01-02.2021'!$A$6:$CZ$403,39,FALSE)+VLOOKUP($A90,'1.3.21-28.2.22'!$A$6:$DA$404,39,FALSE)-VLOOKUP($A90,'01-02.2022'!$A$6:$DA$376,39,FALSE)</f>
        <v>0</v>
      </c>
      <c r="AN90" s="566">
        <f>VLOOKUP($A90,'01-02.2021'!$A$6:$CZ$403,40,FALSE)+VLOOKUP($A90,'1.3.21-28.2.22'!$A$6:$DA$404,40,FALSE)-VLOOKUP($A90,'01-02.2022'!$A$6:$DA$376,40,FALSE)</f>
        <v>0</v>
      </c>
      <c r="AO90" s="70">
        <f t="shared" si="118"/>
        <v>0</v>
      </c>
      <c r="AP90" s="566">
        <f>VLOOKUP($A90,'01-02.2021'!$A$6:$CZ$403,42,FALSE)+VLOOKUP($A90,'1.3.21-28.2.22'!$A$6:$DA$404,42,FALSE)-VLOOKUP($A90,'01-02.2022'!$A$6:$DA$376,42,FALSE)</f>
        <v>607.31991251490695</v>
      </c>
      <c r="AQ90" s="566">
        <f>VLOOKUP($A90,'01-02.2021'!$A$6:$CZ$403,43,FALSE)+VLOOKUP($A90,'1.3.21-28.2.22'!$A$6:$DA$404,43,FALSE)-VLOOKUP($A90,'01-02.2022'!$A$6:$DA$376,43,FALSE)</f>
        <v>523.55858243489365</v>
      </c>
      <c r="AR90" s="70">
        <f t="shared" si="119"/>
        <v>-83.761330080013295</v>
      </c>
      <c r="AS90" s="566">
        <f>VLOOKUP($A90,'01-02.2021'!$A$6:$CZ$403,45,FALSE)+VLOOKUP($A90,'1.3.21-28.2.22'!$A$6:$DA$404,45,FALSE)-VLOOKUP($A90,'01-02.2022'!$A$6:$DA$376,45,FALSE)</f>
        <v>4930.9374615274919</v>
      </c>
      <c r="AT90" s="566">
        <f>VLOOKUP($A90,'01-02.2021'!$A$6:$CZ$403,46,FALSE)+VLOOKUP($A90,'1.3.21-28.2.22'!$A$6:$DA$404,46,FALSE)-VLOOKUP($A90,'01-02.2022'!$A$6:$DA$376,46,FALSE)</f>
        <v>0</v>
      </c>
      <c r="AU90" s="78">
        <f t="shared" si="120"/>
        <v>-4930.9374615274919</v>
      </c>
      <c r="AV90" s="566">
        <f>VLOOKUP($A90,'01-02.2021'!$A$6:$CZ$403,48,FALSE)+VLOOKUP($A90,'1.3.21-28.2.22'!$A$6:$DA$404,48,FALSE)-VLOOKUP($A90,'01-02.2022'!$A$6:$DA$376,48,FALSE)</f>
        <v>0</v>
      </c>
      <c r="AW90" s="566">
        <f>VLOOKUP($A90,'01-02.2021'!$A$6:$CZ$403,49,FALSE)+VLOOKUP($A90,'1.3.21-28.2.22'!$A$6:$DA$404,49,FALSE)-VLOOKUP($A90,'01-02.2022'!$A$6:$DA$376,49,FALSE)</f>
        <v>0</v>
      </c>
      <c r="AX90" s="55">
        <f t="shared" si="121"/>
        <v>0</v>
      </c>
      <c r="AY90" s="566">
        <f>VLOOKUP($A90,'01-02.2021'!$A$6:$CZ$403,51,FALSE)+VLOOKUP($A90,'1.3.21-28.2.22'!$A$6:$DA$404,51,FALSE)-VLOOKUP($A90,'01-02.2022'!$A$6:$DA$376,51,FALSE)</f>
        <v>0</v>
      </c>
      <c r="AZ90" s="566">
        <f>VLOOKUP($A90,'01-02.2021'!$A$6:$CZ$403,52,FALSE)+VLOOKUP($A90,'1.3.21-28.2.22'!$A$6:$DA$404,52,FALSE)-VLOOKUP($A90,'01-02.2022'!$A$6:$DA$376,52,FALSE)</f>
        <v>0</v>
      </c>
      <c r="BA90" s="38">
        <f t="shared" si="122"/>
        <v>0</v>
      </c>
      <c r="BB90" s="566">
        <f>VLOOKUP($A90,'01-02.2021'!$A$6:$CZ$403,54,FALSE)+VLOOKUP($A90,'1.3.21-28.2.22'!$A$6:$DA$404,54,FALSE)-VLOOKUP($A90,'01-02.2022'!$A$6:$DA$376,54,FALSE)</f>
        <v>0</v>
      </c>
      <c r="BC90" s="566">
        <f>VLOOKUP($A90,'01-02.2021'!$A$6:$CZ$403,55,FALSE)+VLOOKUP($A90,'1.3.21-28.2.22'!$A$6:$DA$404,55,FALSE)-VLOOKUP($A90,'01-02.2022'!$A$6:$DA$376,55,FALSE)</f>
        <v>0</v>
      </c>
      <c r="BD90" s="55">
        <f t="shared" si="123"/>
        <v>0</v>
      </c>
      <c r="BE90" s="566">
        <f>VLOOKUP($A90,'01-02.2021'!$A$6:$CZ$403,57,FALSE)+VLOOKUP($A90,'1.3.21-28.2.22'!$A$6:$DA$404,57,FALSE)-VLOOKUP($A90,'01-02.2022'!$A$6:$DA$376,57,FALSE)</f>
        <v>0</v>
      </c>
      <c r="BF90" s="566">
        <f>VLOOKUP($A90,'01-02.2021'!$A$6:$CZ$403,58,FALSE)+VLOOKUP($A90,'1.3.21-28.2.22'!$A$6:$DA$404,58,FALSE)-VLOOKUP($A90,'01-02.2022'!$A$6:$DA$376,58,FALSE)</f>
        <v>0</v>
      </c>
      <c r="BG90" s="55">
        <f t="shared" si="124"/>
        <v>0</v>
      </c>
      <c r="BH90" s="566">
        <f>VLOOKUP($A90,'01-02.2021'!$A$6:$CZ$403,60,FALSE)+VLOOKUP($A90,'1.3.21-28.2.22'!$A$6:$DA$404,60,FALSE)-VLOOKUP($A90,'01-02.2022'!$A$6:$DA$376,60,FALSE)</f>
        <v>0</v>
      </c>
      <c r="BI90" s="566">
        <f>VLOOKUP($A90,'01-02.2021'!$A$6:$CZ$403,61,FALSE)+VLOOKUP($A90,'1.3.21-28.2.22'!$A$6:$DA$404,61,FALSE)-VLOOKUP($A90,'01-02.2022'!$A$6:$DA$376,61,FALSE)</f>
        <v>0</v>
      </c>
      <c r="BJ90" s="55">
        <f t="shared" si="125"/>
        <v>0</v>
      </c>
      <c r="BK90" s="566">
        <f>VLOOKUP($A90,'01-02.2021'!$A$6:$CZ$403,63,FALSE)+VLOOKUP($A90,'1.3.21-28.2.22'!$A$6:$DA$404,63,FALSE)-VLOOKUP($A90,'01-02.2022'!$A$6:$DA$376,63,FALSE)</f>
        <v>0</v>
      </c>
      <c r="BL90" s="566">
        <f>VLOOKUP($A90,'01-02.2021'!$A$6:$CZ$403,64,FALSE)+VLOOKUP($A90,'1.3.21-28.2.22'!$A$6:$DA$404,64,FALSE)-VLOOKUP($A90,'01-02.2022'!$A$6:$DA$376,64,FALSE)</f>
        <v>0</v>
      </c>
      <c r="BM90" s="55">
        <f t="shared" si="126"/>
        <v>0</v>
      </c>
      <c r="BN90" s="566">
        <f>VLOOKUP($A90,'01-02.2021'!$A$6:$CZ$403,66,FALSE)+VLOOKUP($A90,'1.3.21-28.2.22'!$A$6:$DA$404,66,FALSE)-VLOOKUP($A90,'01-02.2022'!$A$6:$DA$376,66,FALSE)</f>
        <v>17.354360783744667</v>
      </c>
      <c r="BO90" s="566">
        <f>VLOOKUP($A90,'01-02.2021'!$A$6:$CZ$403,67,FALSE)+VLOOKUP($A90,'1.3.21-28.2.22'!$A$6:$DA$404,67,FALSE)-VLOOKUP($A90,'01-02.2022'!$A$6:$DA$376,67,FALSE)</f>
        <v>0</v>
      </c>
      <c r="BP90" s="55">
        <f t="shared" si="127"/>
        <v>-17.354360783744667</v>
      </c>
      <c r="BQ90" s="77">
        <f t="shared" si="87"/>
        <v>17.354360783744667</v>
      </c>
      <c r="BR90" s="40">
        <f t="shared" si="88"/>
        <v>0</v>
      </c>
      <c r="BS90" s="55">
        <f t="shared" si="110"/>
        <v>-17.354360783744667</v>
      </c>
      <c r="BT90" s="566">
        <f>VLOOKUP($A90,'01-02.2021'!$A$6:$CZ$403,72,FALSE)+VLOOKUP($A90,'1.3.21-28.2.22'!$A$6:$DA$404,72,FALSE)-VLOOKUP($A90,'01-02.2022'!$A$6:$DA$376,72,FALSE)</f>
        <v>0</v>
      </c>
      <c r="BU90" s="566">
        <f>VLOOKUP($A90,'01-02.2021'!$A$6:$CZ$403,73,FALSE)+VLOOKUP($A90,'1.3.21-28.2.22'!$A$6:$DA$404,73,FALSE)-VLOOKUP($A90,'01-02.2022'!$A$6:$DA$376,73,FALSE)</f>
        <v>0</v>
      </c>
      <c r="BV90" s="70">
        <f t="shared" si="128"/>
        <v>0</v>
      </c>
      <c r="BW90" s="566">
        <f>VLOOKUP($A90,'01-02.2021'!$A$6:$CZ$403,75,FALSE)+VLOOKUP($A90,'1.3.21-28.2.22'!$A$6:$DA$404,75,FALSE)-VLOOKUP($A90,'01-02.2022'!$A$6:$DA$376,75,FALSE)</f>
        <v>0</v>
      </c>
      <c r="BX90" s="566">
        <f>VLOOKUP($A90,'01-02.2021'!$A$6:$CZ$403,76,FALSE)+VLOOKUP($A90,'1.3.21-28.2.22'!$A$6:$DA$404,76,FALSE)-VLOOKUP($A90,'01-02.2022'!$A$6:$DA$376,76,FALSE)</f>
        <v>8.9153307382981986</v>
      </c>
      <c r="BY90" s="70">
        <f t="shared" si="129"/>
        <v>8.9153307382981986</v>
      </c>
      <c r="BZ90" s="566">
        <f>VLOOKUP($A90,'01-02.2021'!$A$6:$CZ$403,78,FALSE)+VLOOKUP($A90,'1.3.21-28.2.22'!$A$6:$DA$404,78,FALSE)-VLOOKUP($A90,'01-02.2022'!$A$6:$DA$376,78,FALSE)</f>
        <v>0</v>
      </c>
      <c r="CA90" s="566">
        <f>VLOOKUP($A90,'01-02.2021'!$A$6:$CZ$403,79,FALSE)+VLOOKUP($A90,'1.3.21-28.2.22'!$A$6:$DA$404,79,FALSE)-VLOOKUP($A90,'01-02.2022'!$A$6:$DA$376,79,FALSE)</f>
        <v>0</v>
      </c>
      <c r="CB90" s="70">
        <f t="shared" si="130"/>
        <v>0</v>
      </c>
      <c r="CC90" s="566">
        <f>VLOOKUP($A90,'01-02.2021'!$A$6:$CZ$403,81,FALSE)+VLOOKUP($A90,'1.3.21-28.2.22'!$A$6:$DA$404,81,FALSE)-VLOOKUP($A90,'01-02.2022'!$A$6:$DA$376,81,FALSE)</f>
        <v>0</v>
      </c>
      <c r="CD90" s="566">
        <f>VLOOKUP($A90,'01-02.2021'!$A$6:$CZ$403,82,FALSE)+VLOOKUP($A90,'1.3.21-28.2.22'!$A$6:$DA$404,82,FALSE)-VLOOKUP($A90,'01-02.2022'!$A$6:$DA$376,82,FALSE)</f>
        <v>0</v>
      </c>
      <c r="CE90" s="70">
        <f t="shared" si="131"/>
        <v>0</v>
      </c>
      <c r="CF90" s="566">
        <f>VLOOKUP($A90,'01-02.2021'!$A$6:$CZ$403,84,FALSE)+VLOOKUP($A90,'1.3.21-28.2.22'!$A$6:$DA$404,84,FALSE)-VLOOKUP($A90,'01-02.2022'!$A$6:$DA$376,84,FALSE)</f>
        <v>0</v>
      </c>
      <c r="CG90" s="566">
        <f>VLOOKUP($A90,'01-02.2021'!$A$6:$CZ$403,85,FALSE)+VLOOKUP($A90,'1.3.21-28.2.22'!$A$6:$DA$404,85,FALSE)-VLOOKUP($A90,'01-02.2022'!$A$6:$DA$376,85,FALSE)</f>
        <v>0</v>
      </c>
      <c r="CH90" s="70">
        <f t="shared" si="132"/>
        <v>0</v>
      </c>
      <c r="CI90" s="566">
        <f>VLOOKUP($A90,'01-02.2021'!$A$6:$CZ$403,87,FALSE)+VLOOKUP($A90,'1.3.21-28.2.22'!$A$6:$DA$404,87,FALSE)-VLOOKUP($A90,'01-02.2022'!$A$6:$DA$376,87,FALSE)</f>
        <v>0</v>
      </c>
      <c r="CJ90" s="566">
        <f>VLOOKUP($A90,'01-02.2021'!$A$6:$CZ$403,88,FALSE)+VLOOKUP($A90,'1.3.21-28.2.22'!$A$6:$DA$404,88,FALSE)-VLOOKUP($A90,'01-02.2022'!$A$6:$DA$376,88,FALSE)</f>
        <v>0</v>
      </c>
      <c r="CK90" s="70">
        <f t="shared" si="133"/>
        <v>0</v>
      </c>
      <c r="CL90" s="566">
        <f>VLOOKUP($A90,'01-02.2021'!$A$6:$CZ$403,90,FALSE)+VLOOKUP($A90,'1.3.21-28.2.22'!$A$6:$DA$404,90,FALSE)-VLOOKUP($A90,'01-02.2022'!$A$6:$DA$376,90,FALSE)</f>
        <v>0</v>
      </c>
      <c r="CM90" s="566">
        <f>VLOOKUP($A90,'01-02.2021'!$A$6:$CZ$403,91,FALSE)+VLOOKUP($A90,'1.3.21-28.2.22'!$A$6:$DA$404,91,FALSE)-VLOOKUP($A90,'01-02.2022'!$A$6:$DA$376,91,FALSE)</f>
        <v>0</v>
      </c>
      <c r="CN90" s="52">
        <f t="shared" si="97"/>
        <v>0</v>
      </c>
      <c r="CO90" s="39">
        <f t="shared" si="89"/>
        <v>0</v>
      </c>
      <c r="CP90" s="40">
        <f t="shared" si="98"/>
        <v>0</v>
      </c>
      <c r="CQ90" s="52">
        <f t="shared" si="99"/>
        <v>0</v>
      </c>
      <c r="CR90" s="72">
        <f t="shared" si="90"/>
        <v>6180.2186171227495</v>
      </c>
      <c r="CS90" s="5">
        <f t="shared" si="90"/>
        <v>2343.2755414303833</v>
      </c>
      <c r="CT90" s="52">
        <f t="shared" si="100"/>
        <v>-3836.9430756923662</v>
      </c>
      <c r="CU90" s="77">
        <f t="shared" si="101"/>
        <v>7416.2623405472987</v>
      </c>
      <c r="CV90" s="65">
        <f t="shared" si="102"/>
        <v>2811.9306497164598</v>
      </c>
      <c r="CW90" s="35">
        <f t="shared" si="103"/>
        <v>-4604.3316908308389</v>
      </c>
      <c r="CX90" s="566">
        <f>VLOOKUP($A90,'01-02.2021'!$A$6:$CZ$403,102,FALSE)+VLOOKUP($A90,'1.3.21-28.2.22'!$A$6:$DA$404,102,FALSE)-VLOOKUP($A90,'01-02.2022'!$A$6:$DA$376,102,FALSE)</f>
        <v>252.60491216088732</v>
      </c>
      <c r="CY90" s="566">
        <f>VLOOKUP($A90,'01-02.2021'!$A$6:$CZ$403,103,FALSE)+VLOOKUP($A90,'1.3.21-28.2.22'!$A$6:$DA$404,103,FALSE)-VLOOKUP($A90,'01-02.2022'!$A$6:$DA$376,103,FALSE)</f>
        <v>4856.9366029917255</v>
      </c>
      <c r="CZ90" s="52">
        <f t="shared" si="104"/>
        <v>4604.3316908308379</v>
      </c>
      <c r="DA90" s="150">
        <f>'[2]побудинковий звіт'!DA90</f>
        <v>-15570.68594220428</v>
      </c>
      <c r="DB90" s="2">
        <v>1</v>
      </c>
      <c r="DC90" s="414">
        <f>'[4]побудинковий звіт'!DC90</f>
        <v>113.17</v>
      </c>
      <c r="DD90" s="414">
        <f>'[4]побудинковий звіт'!DD90</f>
        <v>0</v>
      </c>
      <c r="DE90" s="557">
        <f>'[4]побудинковий звіт'!DE90</f>
        <v>-616.03036961703901</v>
      </c>
      <c r="DF90" s="557">
        <f>'[4]побудинковий звіт'!DF90</f>
        <v>0</v>
      </c>
      <c r="DG90" s="321">
        <f>VLOOKUP(A90,'кошти 01.03.2021'!$A$6:$D$401,4,)</f>
        <v>-10373.435261414634</v>
      </c>
      <c r="DH90" s="40">
        <f>'[3]побудинковий звіт'!DJ90</f>
        <v>8097.7618983829198</v>
      </c>
      <c r="DI90" s="422">
        <f>'[3]побудинковий звіт'!CU90+'[3]побудинковий звіт'!CX90</f>
        <v>729.20033090192817</v>
      </c>
      <c r="DJ90" s="306">
        <f>'[3]побудинковий звіт'!DM90</f>
        <v>1.8330828798819481</v>
      </c>
      <c r="DK90" s="306">
        <f t="shared" si="136"/>
        <v>1.8330828798819481</v>
      </c>
      <c r="DL90" s="306">
        <f>'[3]побудинковий звіт'!DO90</f>
        <v>1.8330828798819481</v>
      </c>
      <c r="DM90" s="28">
        <f t="shared" si="137"/>
        <v>729.20036961703897</v>
      </c>
      <c r="DN90" s="28">
        <f t="shared" si="138"/>
        <v>0</v>
      </c>
      <c r="DO90" s="423">
        <f t="shared" si="105"/>
        <v>729.20036961703897</v>
      </c>
      <c r="DP90" s="94">
        <f t="shared" si="106"/>
        <v>-3.8715110804332653E-5</v>
      </c>
      <c r="DQ90" s="28">
        <f t="shared" si="107"/>
        <v>729.20036961703897</v>
      </c>
      <c r="DR90" s="318"/>
      <c r="DT90" s="8"/>
      <c r="DU90" s="5"/>
      <c r="DX90" s="5">
        <f t="shared" si="108"/>
        <v>5937.9501867734834</v>
      </c>
      <c r="DY90" s="5">
        <f t="shared" si="109"/>
        <v>0</v>
      </c>
      <c r="DZ90" s="159">
        <f>'[3]побудинковий звіт'!EA90</f>
        <v>645.12372103066446</v>
      </c>
    </row>
    <row r="91" spans="1:130" x14ac:dyDescent="0.3">
      <c r="A91" s="325">
        <v>150000571</v>
      </c>
      <c r="B91" s="41" t="s">
        <v>540</v>
      </c>
      <c r="C91" s="42" t="s">
        <v>70</v>
      </c>
      <c r="D91" s="42"/>
      <c r="E91" s="293">
        <f t="shared" si="85"/>
        <v>238.6</v>
      </c>
      <c r="F91" s="305">
        <f>'[3]побудинковий звіт'!F91</f>
        <v>238.6</v>
      </c>
      <c r="G91" s="508">
        <f>'[3]побудинковий звіт'!G91</f>
        <v>0</v>
      </c>
      <c r="H91" s="560">
        <f>'[3]побудинковий звіт'!H91</f>
        <v>0</v>
      </c>
      <c r="I91" s="566"/>
      <c r="J91" s="566"/>
      <c r="K91" s="52">
        <f t="shared" si="94"/>
        <v>0</v>
      </c>
      <c r="L91" s="566"/>
      <c r="M91" s="566"/>
      <c r="N91" s="52">
        <f t="shared" si="95"/>
        <v>0</v>
      </c>
      <c r="O91" s="566"/>
      <c r="P91" s="566"/>
      <c r="Q91" s="70"/>
      <c r="R91" s="566"/>
      <c r="S91" s="566"/>
      <c r="T91" s="70"/>
      <c r="U91" s="566"/>
      <c r="V91" s="566"/>
      <c r="W91" s="70"/>
      <c r="X91" s="566"/>
      <c r="Y91" s="566"/>
      <c r="Z91" s="70"/>
      <c r="AA91" s="566"/>
      <c r="AB91" s="566"/>
      <c r="AC91" s="70"/>
      <c r="AD91" s="566"/>
      <c r="AE91" s="566"/>
      <c r="AF91" s="68"/>
      <c r="AG91" s="77">
        <f t="shared" si="86"/>
        <v>0</v>
      </c>
      <c r="AH91" s="53">
        <f t="shared" si="86"/>
        <v>0</v>
      </c>
      <c r="AI91" s="52">
        <f t="shared" si="96"/>
        <v>0</v>
      </c>
      <c r="AJ91" s="566"/>
      <c r="AK91" s="566"/>
      <c r="AL91" s="70"/>
      <c r="AM91" s="566"/>
      <c r="AN91" s="566"/>
      <c r="AO91" s="70"/>
      <c r="AP91" s="566"/>
      <c r="AQ91" s="566"/>
      <c r="AR91" s="70"/>
      <c r="AS91" s="566"/>
      <c r="AT91" s="566"/>
      <c r="AU91" s="78"/>
      <c r="AV91" s="566"/>
      <c r="AW91" s="566"/>
      <c r="AX91" s="55"/>
      <c r="AY91" s="566"/>
      <c r="AZ91" s="566"/>
      <c r="BA91" s="38"/>
      <c r="BB91" s="566"/>
      <c r="BC91" s="566"/>
      <c r="BD91" s="55"/>
      <c r="BE91" s="566"/>
      <c r="BF91" s="566"/>
      <c r="BG91" s="55"/>
      <c r="BH91" s="566"/>
      <c r="BI91" s="566"/>
      <c r="BJ91" s="55"/>
      <c r="BK91" s="566"/>
      <c r="BL91" s="566"/>
      <c r="BM91" s="55"/>
      <c r="BN91" s="566"/>
      <c r="BO91" s="566"/>
      <c r="BP91" s="55"/>
      <c r="BQ91" s="77">
        <f t="shared" si="87"/>
        <v>0</v>
      </c>
      <c r="BR91" s="40">
        <f t="shared" si="88"/>
        <v>0</v>
      </c>
      <c r="BS91" s="55">
        <f t="shared" si="110"/>
        <v>0</v>
      </c>
      <c r="BT91" s="566"/>
      <c r="BU91" s="566"/>
      <c r="BV91" s="70"/>
      <c r="BW91" s="566"/>
      <c r="BX91" s="566"/>
      <c r="BY91" s="70"/>
      <c r="BZ91" s="566"/>
      <c r="CA91" s="566"/>
      <c r="CB91" s="70"/>
      <c r="CC91" s="566"/>
      <c r="CD91" s="566"/>
      <c r="CE91" s="70"/>
      <c r="CF91" s="566"/>
      <c r="CG91" s="566"/>
      <c r="CH91" s="70"/>
      <c r="CI91" s="566"/>
      <c r="CJ91" s="566"/>
      <c r="CK91" s="70"/>
      <c r="CL91" s="566"/>
      <c r="CM91" s="566"/>
      <c r="CN91" s="52">
        <f t="shared" si="97"/>
        <v>0</v>
      </c>
      <c r="CO91" s="39">
        <f t="shared" si="89"/>
        <v>0</v>
      </c>
      <c r="CP91" s="40">
        <f t="shared" si="98"/>
        <v>0</v>
      </c>
      <c r="CQ91" s="52">
        <f t="shared" si="99"/>
        <v>0</v>
      </c>
      <c r="CR91" s="72">
        <f t="shared" si="90"/>
        <v>0</v>
      </c>
      <c r="CS91" s="5">
        <f t="shared" si="90"/>
        <v>0</v>
      </c>
      <c r="CT91" s="52">
        <f t="shared" si="100"/>
        <v>0</v>
      </c>
      <c r="CU91" s="77">
        <f t="shared" si="101"/>
        <v>0</v>
      </c>
      <c r="CV91" s="65">
        <f t="shared" si="102"/>
        <v>0</v>
      </c>
      <c r="CW91" s="35">
        <f t="shared" si="103"/>
        <v>0</v>
      </c>
      <c r="CX91" s="566"/>
      <c r="CY91" s="566"/>
      <c r="CZ91" s="52">
        <f t="shared" si="104"/>
        <v>0</v>
      </c>
      <c r="DA91" s="150">
        <f>'[2]побудинковий звіт'!DA91</f>
        <v>-10284.260793524647</v>
      </c>
      <c r="DB91" s="2">
        <v>1</v>
      </c>
      <c r="DC91" s="414">
        <f>'[4]побудинковий звіт'!DC91</f>
        <v>4502.57</v>
      </c>
      <c r="DD91" s="414">
        <f>'[4]побудинковий звіт'!DD91</f>
        <v>0</v>
      </c>
      <c r="DE91" s="557">
        <f>'[4]побудинковий звіт'!DE91</f>
        <v>4003.9581205935169</v>
      </c>
      <c r="DF91" s="557">
        <f>'[4]побудинковий звіт'!DF91</f>
        <v>0</v>
      </c>
      <c r="DG91" s="321">
        <f>VLOOKUP(A91,'кошти 01.03.2021'!$A$6:$D$401,4,)</f>
        <v>-7455.316735736762</v>
      </c>
      <c r="DH91" s="40">
        <f>'[3]побудинковий звіт'!DJ91</f>
        <v>5692.4953403158725</v>
      </c>
      <c r="DI91" s="422">
        <f>'[3]побудинковий звіт'!CU91+'[3]побудинковий звіт'!CX91</f>
        <v>498.61132025839652</v>
      </c>
      <c r="DJ91" s="306">
        <f>'[3]побудинковий звіт'!DM91</f>
        <v>2.0897396454588542</v>
      </c>
      <c r="DK91" s="306">
        <f t="shared" si="136"/>
        <v>2.0897396454588542</v>
      </c>
      <c r="DL91" s="306">
        <f>'[3]побудинковий звіт'!DO91</f>
        <v>2.0897396454588542</v>
      </c>
      <c r="DM91" s="28">
        <f t="shared" si="137"/>
        <v>498.61187940648261</v>
      </c>
      <c r="DN91" s="28">
        <f t="shared" si="138"/>
        <v>0</v>
      </c>
      <c r="DO91" s="423">
        <f t="shared" si="105"/>
        <v>498.61187940648261</v>
      </c>
      <c r="DP91" s="94">
        <f t="shared" si="106"/>
        <v>-5.5914808609713873E-4</v>
      </c>
      <c r="DQ91" s="28">
        <f t="shared" si="107"/>
        <v>498.61187940648261</v>
      </c>
      <c r="DR91" s="318"/>
      <c r="DT91" s="8"/>
      <c r="DU91" s="5"/>
      <c r="DX91" s="5">
        <f t="shared" si="108"/>
        <v>0</v>
      </c>
      <c r="DY91" s="5">
        <f t="shared" si="109"/>
        <v>0</v>
      </c>
      <c r="DZ91" s="159">
        <f>'[3]побудинковий звіт'!EA91</f>
        <v>415.42373168999512</v>
      </c>
    </row>
    <row r="92" spans="1:130" x14ac:dyDescent="0.3">
      <c r="A92" s="325">
        <v>150000567</v>
      </c>
      <c r="B92" s="41" t="s">
        <v>541</v>
      </c>
      <c r="C92" s="42" t="s">
        <v>71</v>
      </c>
      <c r="D92" s="42"/>
      <c r="E92" s="293">
        <f t="shared" si="85"/>
        <v>134</v>
      </c>
      <c r="F92" s="305">
        <f>'[3]побудинковий звіт'!F92</f>
        <v>134</v>
      </c>
      <c r="G92" s="508">
        <f>'[3]побудинковий звіт'!G92</f>
        <v>0</v>
      </c>
      <c r="H92" s="560">
        <f>'[3]побудинковий звіт'!H92</f>
        <v>0</v>
      </c>
      <c r="I92" s="566"/>
      <c r="J92" s="566"/>
      <c r="K92" s="52">
        <f t="shared" si="94"/>
        <v>0</v>
      </c>
      <c r="L92" s="566"/>
      <c r="M92" s="566"/>
      <c r="N92" s="52">
        <f t="shared" si="95"/>
        <v>0</v>
      </c>
      <c r="O92" s="566"/>
      <c r="P92" s="566"/>
      <c r="Q92" s="70"/>
      <c r="R92" s="566"/>
      <c r="S92" s="566"/>
      <c r="T92" s="70"/>
      <c r="U92" s="566"/>
      <c r="V92" s="566"/>
      <c r="W92" s="70"/>
      <c r="X92" s="566"/>
      <c r="Y92" s="566"/>
      <c r="Z92" s="70"/>
      <c r="AA92" s="566"/>
      <c r="AB92" s="566"/>
      <c r="AC92" s="70"/>
      <c r="AD92" s="566"/>
      <c r="AE92" s="566"/>
      <c r="AF92" s="68"/>
      <c r="AG92" s="77">
        <f t="shared" si="86"/>
        <v>0</v>
      </c>
      <c r="AH92" s="53">
        <f t="shared" si="86"/>
        <v>0</v>
      </c>
      <c r="AI92" s="52">
        <f t="shared" si="96"/>
        <v>0</v>
      </c>
      <c r="AJ92" s="566"/>
      <c r="AK92" s="566"/>
      <c r="AL92" s="70"/>
      <c r="AM92" s="566"/>
      <c r="AN92" s="566"/>
      <c r="AO92" s="70"/>
      <c r="AP92" s="566"/>
      <c r="AQ92" s="566"/>
      <c r="AR92" s="70"/>
      <c r="AS92" s="566"/>
      <c r="AT92" s="566"/>
      <c r="AU92" s="78"/>
      <c r="AV92" s="566"/>
      <c r="AW92" s="566"/>
      <c r="AX92" s="55"/>
      <c r="AY92" s="566"/>
      <c r="AZ92" s="566"/>
      <c r="BA92" s="38"/>
      <c r="BB92" s="566"/>
      <c r="BC92" s="566"/>
      <c r="BD92" s="55"/>
      <c r="BE92" s="566"/>
      <c r="BF92" s="566"/>
      <c r="BG92" s="55"/>
      <c r="BH92" s="566"/>
      <c r="BI92" s="566"/>
      <c r="BJ92" s="55"/>
      <c r="BK92" s="566"/>
      <c r="BL92" s="566"/>
      <c r="BM92" s="55"/>
      <c r="BN92" s="566"/>
      <c r="BO92" s="566"/>
      <c r="BP92" s="55"/>
      <c r="BQ92" s="77">
        <f t="shared" si="87"/>
        <v>0</v>
      </c>
      <c r="BR92" s="40">
        <f t="shared" si="88"/>
        <v>0</v>
      </c>
      <c r="BS92" s="55">
        <f t="shared" si="110"/>
        <v>0</v>
      </c>
      <c r="BT92" s="566"/>
      <c r="BU92" s="566"/>
      <c r="BV92" s="70"/>
      <c r="BW92" s="566"/>
      <c r="BX92" s="566"/>
      <c r="BY92" s="70"/>
      <c r="BZ92" s="566"/>
      <c r="CA92" s="566"/>
      <c r="CB92" s="70"/>
      <c r="CC92" s="566"/>
      <c r="CD92" s="566"/>
      <c r="CE92" s="70"/>
      <c r="CF92" s="566"/>
      <c r="CG92" s="566"/>
      <c r="CH92" s="70"/>
      <c r="CI92" s="566"/>
      <c r="CJ92" s="566"/>
      <c r="CK92" s="70"/>
      <c r="CL92" s="566"/>
      <c r="CM92" s="566"/>
      <c r="CN92" s="52">
        <f t="shared" si="97"/>
        <v>0</v>
      </c>
      <c r="CO92" s="39">
        <f t="shared" si="89"/>
        <v>0</v>
      </c>
      <c r="CP92" s="40">
        <f t="shared" si="98"/>
        <v>0</v>
      </c>
      <c r="CQ92" s="52">
        <f t="shared" si="99"/>
        <v>0</v>
      </c>
      <c r="CR92" s="72">
        <f t="shared" si="90"/>
        <v>0</v>
      </c>
      <c r="CS92" s="5">
        <f t="shared" si="90"/>
        <v>0</v>
      </c>
      <c r="CT92" s="52">
        <f t="shared" si="100"/>
        <v>0</v>
      </c>
      <c r="CU92" s="77">
        <f t="shared" si="101"/>
        <v>0</v>
      </c>
      <c r="CV92" s="65">
        <f t="shared" si="102"/>
        <v>0</v>
      </c>
      <c r="CW92" s="35">
        <f t="shared" si="103"/>
        <v>0</v>
      </c>
      <c r="CX92" s="566"/>
      <c r="CY92" s="566"/>
      <c r="CZ92" s="52">
        <f t="shared" si="104"/>
        <v>0</v>
      </c>
      <c r="DA92" s="150">
        <f>'[2]побудинковий звіт'!DA92</f>
        <v>-1555.5906876054348</v>
      </c>
      <c r="DB92" s="2">
        <v>1</v>
      </c>
      <c r="DC92" s="414">
        <f>'[4]побудинковий звіт'!DC92</f>
        <v>881.51</v>
      </c>
      <c r="DD92" s="414">
        <f>'[4]побудинковий звіт'!DD92</f>
        <v>0</v>
      </c>
      <c r="DE92" s="557">
        <f>'[4]побудинковий звіт'!DE92</f>
        <v>686.9433132733468</v>
      </c>
      <c r="DF92" s="557">
        <f>'[4]побудинковий звіт'!DF92</f>
        <v>0</v>
      </c>
      <c r="DG92" s="321">
        <f>VLOOKUP(A92,'кошти 01.03.2021'!$A$6:$D$401,4,)</f>
        <v>-621.33325515475337</v>
      </c>
      <c r="DH92" s="40">
        <f>'[3]побудинковий звіт'!DJ92</f>
        <v>2218.4505333518014</v>
      </c>
      <c r="DI92" s="422">
        <f>'[3]побудинковий звіт'!CU92+'[3]побудинковий звіт'!CX92</f>
        <v>194.56726736909761</v>
      </c>
      <c r="DJ92" s="306">
        <f>'[3]побудинковий звіт'!DM92</f>
        <v>1.4519901994526354</v>
      </c>
      <c r="DK92" s="306">
        <f t="shared" si="136"/>
        <v>1.4519901994526354</v>
      </c>
      <c r="DL92" s="306">
        <f>'[3]побудинковий звіт'!DO92</f>
        <v>1.4519901994526354</v>
      </c>
      <c r="DM92" s="28">
        <f t="shared" si="137"/>
        <v>194.56668672665313</v>
      </c>
      <c r="DN92" s="28">
        <f t="shared" si="138"/>
        <v>0</v>
      </c>
      <c r="DO92" s="423">
        <f t="shared" si="105"/>
        <v>194.56668672665313</v>
      </c>
      <c r="DP92" s="94">
        <f t="shared" si="106"/>
        <v>5.8064244447564306E-4</v>
      </c>
      <c r="DQ92" s="28">
        <f t="shared" si="107"/>
        <v>194.56668672665313</v>
      </c>
      <c r="DR92" s="318"/>
      <c r="DT92" s="8"/>
      <c r="DU92" s="5"/>
      <c r="DX92" s="5">
        <f t="shared" si="108"/>
        <v>0</v>
      </c>
      <c r="DY92" s="5">
        <f t="shared" si="109"/>
        <v>0</v>
      </c>
      <c r="DZ92" s="159">
        <f>'[3]побудинковий звіт'!EA92</f>
        <v>164.23033524341037</v>
      </c>
    </row>
    <row r="93" spans="1:130" x14ac:dyDescent="0.3">
      <c r="A93" s="325">
        <v>150000561</v>
      </c>
      <c r="B93" s="41" t="s">
        <v>542</v>
      </c>
      <c r="C93" s="42" t="s">
        <v>72</v>
      </c>
      <c r="D93" s="42"/>
      <c r="E93" s="293">
        <f t="shared" si="85"/>
        <v>128.1</v>
      </c>
      <c r="F93" s="305">
        <f>'[3]побудинковий звіт'!F93</f>
        <v>128.1</v>
      </c>
      <c r="G93" s="508">
        <f>'[3]побудинковий звіт'!G93</f>
        <v>0</v>
      </c>
      <c r="H93" s="560">
        <f>'[3]побудинковий звіт'!H93</f>
        <v>0</v>
      </c>
      <c r="I93" s="566">
        <f>VLOOKUP($A93,'01-02.2021'!$A$6:$CZ$403,9,FALSE)+VLOOKUP($A93,'1.3.21-28.2.22'!$A$6:$DA$404,9,FALSE)-VLOOKUP($A93,'01-02.2022'!$A$6:$DA$376,9,FALSE)</f>
        <v>0</v>
      </c>
      <c r="J93" s="566">
        <f>VLOOKUP($A93,'01-02.2021'!$A$6:$CZ$403,10,FALSE)+VLOOKUP($A93,'1.3.21-28.2.22'!$A$6:$DA$404,10,FALSE)-VLOOKUP($A93,'01-02.2022'!$A$6:$DA$376,10,FALSE)</f>
        <v>0</v>
      </c>
      <c r="K93" s="52">
        <f t="shared" si="94"/>
        <v>0</v>
      </c>
      <c r="L93" s="566">
        <f>VLOOKUP($A93,'01-02.2021'!$A$6:$CZ$403,12,FALSE)+VLOOKUP($A93,'1.3.21-28.2.22'!$A$6:$DA$404,12,FALSE)-VLOOKUP($A93,'01-02.2022'!$A$6:$DA$376,12,FALSE)</f>
        <v>0</v>
      </c>
      <c r="M93" s="566">
        <f>VLOOKUP($A93,'01-02.2021'!$A$6:$CZ$403,13,FALSE)+VLOOKUP($A93,'1.3.21-28.2.22'!$A$6:$DA$404,13,FALSE)-VLOOKUP($A93,'01-02.2022'!$A$6:$DA$376,13,FALSE)</f>
        <v>0</v>
      </c>
      <c r="N93" s="52">
        <f t="shared" si="95"/>
        <v>0</v>
      </c>
      <c r="O93" s="566">
        <f>VLOOKUP($A93,'01-02.2021'!$A$6:$CZ$403,15,FALSE)+VLOOKUP($A93,'1.3.21-28.2.22'!$A$6:$DA$404,15,FALSE)-VLOOKUP($A93,'01-02.2022'!$A$6:$DA$376,15,FALSE)</f>
        <v>0</v>
      </c>
      <c r="P93" s="566">
        <f>VLOOKUP($A93,'01-02.2021'!$A$6:$CZ$403,16,FALSE)+VLOOKUP($A93,'1.3.21-28.2.22'!$A$6:$DA$404,16,FALSE)-VLOOKUP($A93,'01-02.2022'!$A$6:$DA$376,16,FALSE)</f>
        <v>0</v>
      </c>
      <c r="Q93" s="70">
        <f t="shared" si="111"/>
        <v>0</v>
      </c>
      <c r="R93" s="566">
        <f>VLOOKUP($A93,'01-02.2021'!$A$6:$CZ$403,18,FALSE)+VLOOKUP($A93,'1.3.21-28.2.22'!$A$6:$DA$404,18,FALSE)-VLOOKUP($A93,'01-02.2022'!$A$6:$DA$376,18,FALSE)</f>
        <v>0</v>
      </c>
      <c r="S93" s="566">
        <f>VLOOKUP($A93,'01-02.2021'!$A$6:$CZ$403,19,FALSE)+VLOOKUP($A93,'1.3.21-28.2.22'!$A$6:$DA$404,19,FALSE)-VLOOKUP($A93,'01-02.2022'!$A$6:$DA$376,19,FALSE)</f>
        <v>0</v>
      </c>
      <c r="T93" s="70">
        <f t="shared" si="112"/>
        <v>0</v>
      </c>
      <c r="U93" s="566">
        <f>VLOOKUP($A93,'01-02.2021'!$A$6:$CZ$403,21,FALSE)+VLOOKUP($A93,'1.3.21-28.2.22'!$A$6:$DA$404,21,FALSE)-VLOOKUP($A93,'01-02.2022'!$A$6:$DA$376,21,FALSE)</f>
        <v>0</v>
      </c>
      <c r="V93" s="566">
        <f>VLOOKUP($A93,'01-02.2021'!$A$6:$CZ$403,22,FALSE)+VLOOKUP($A93,'1.3.21-28.2.22'!$A$6:$DA$404,22,FALSE)-VLOOKUP($A93,'01-02.2022'!$A$6:$DA$376,22,FALSE)</f>
        <v>0</v>
      </c>
      <c r="W93" s="70">
        <f t="shared" si="113"/>
        <v>0</v>
      </c>
      <c r="X93" s="566">
        <f>VLOOKUP($A93,'01-02.2021'!$A$6:$CZ$403,24,FALSE)+VLOOKUP($A93,'1.3.21-28.2.22'!$A$6:$DA$404,24,FALSE)-VLOOKUP($A93,'01-02.2022'!$A$6:$DA$376,24,FALSE)</f>
        <v>0</v>
      </c>
      <c r="Y93" s="566">
        <f>VLOOKUP($A93,'01-02.2021'!$A$6:$CZ$403,25,FALSE)+VLOOKUP($A93,'1.3.21-28.2.22'!$A$6:$DA$404,25,FALSE)-VLOOKUP($A93,'01-02.2022'!$A$6:$DA$376,25,FALSE)</f>
        <v>0</v>
      </c>
      <c r="Z93" s="70">
        <f t="shared" si="114"/>
        <v>0</v>
      </c>
      <c r="AA93" s="566">
        <f>VLOOKUP($A93,'01-02.2021'!$A$6:$CZ$403,27,FALSE)+VLOOKUP($A93,'1.3.21-28.2.22'!$A$6:$DA$404,27,FALSE)-VLOOKUP($A93,'01-02.2022'!$A$6:$DA$376,27,FALSE)</f>
        <v>25.619999999999997</v>
      </c>
      <c r="AB93" s="566">
        <f>VLOOKUP($A93,'01-02.2021'!$A$6:$CZ$403,28,FALSE)+VLOOKUP($A93,'1.3.21-28.2.22'!$A$6:$DA$404,28,FALSE)-VLOOKUP($A93,'01-02.2022'!$A$6:$DA$376,28,FALSE)</f>
        <v>0</v>
      </c>
      <c r="AC93" s="70">
        <f t="shared" si="115"/>
        <v>-25.619999999999997</v>
      </c>
      <c r="AD93" s="566">
        <f>VLOOKUP($A93,'01-02.2021'!$A$6:$CZ$403,30,FALSE)+VLOOKUP($A93,'1.3.21-28.2.22'!$A$6:$DA$404,30,FALSE)-VLOOKUP($A93,'01-02.2022'!$A$6:$DA$376,30,FALSE)</f>
        <v>205.04896038679178</v>
      </c>
      <c r="AE93" s="566">
        <f>VLOOKUP($A93,'01-02.2021'!$A$6:$CZ$403,31,FALSE)+VLOOKUP($A93,'1.3.21-28.2.22'!$A$6:$DA$404,31,FALSE)-VLOOKUP($A93,'01-02.2022'!$A$6:$DA$376,31,FALSE)</f>
        <v>583.1163614372706</v>
      </c>
      <c r="AF93" s="68">
        <f t="shared" si="116"/>
        <v>378.06740105047879</v>
      </c>
      <c r="AG93" s="77">
        <f t="shared" si="86"/>
        <v>230.66896038679178</v>
      </c>
      <c r="AH93" s="53">
        <f t="shared" si="86"/>
        <v>583.1163614372706</v>
      </c>
      <c r="AI93" s="52">
        <f t="shared" si="96"/>
        <v>352.44740105047879</v>
      </c>
      <c r="AJ93" s="566">
        <f>VLOOKUP($A93,'01-02.2021'!$A$6:$CZ$403,36,FALSE)+VLOOKUP($A93,'1.3.21-28.2.22'!$A$6:$DA$404,36,FALSE)-VLOOKUP($A93,'01-02.2022'!$A$6:$DA$376,36,FALSE)</f>
        <v>0</v>
      </c>
      <c r="AK93" s="566">
        <f>VLOOKUP($A93,'01-02.2021'!$A$6:$CZ$403,37,FALSE)+VLOOKUP($A93,'1.3.21-28.2.22'!$A$6:$DA$404,37,FALSE)-VLOOKUP($A93,'01-02.2022'!$A$6:$DA$376,37,FALSE)</f>
        <v>0</v>
      </c>
      <c r="AL93" s="70">
        <f t="shared" si="117"/>
        <v>0</v>
      </c>
      <c r="AM93" s="566">
        <f>VLOOKUP($A93,'01-02.2021'!$A$6:$CZ$403,39,FALSE)+VLOOKUP($A93,'1.3.21-28.2.22'!$A$6:$DA$404,39,FALSE)-VLOOKUP($A93,'01-02.2022'!$A$6:$DA$376,39,FALSE)</f>
        <v>0</v>
      </c>
      <c r="AN93" s="566">
        <f>VLOOKUP($A93,'01-02.2021'!$A$6:$CZ$403,40,FALSE)+VLOOKUP($A93,'1.3.21-28.2.22'!$A$6:$DA$404,40,FALSE)-VLOOKUP($A93,'01-02.2022'!$A$6:$DA$376,40,FALSE)</f>
        <v>0</v>
      </c>
      <c r="AO93" s="70">
        <f t="shared" si="118"/>
        <v>0</v>
      </c>
      <c r="AP93" s="566">
        <f>VLOOKUP($A93,'01-02.2021'!$A$6:$CZ$403,42,FALSE)+VLOOKUP($A93,'1.3.21-28.2.22'!$A$6:$DA$404,42,FALSE)-VLOOKUP($A93,'01-02.2022'!$A$6:$DA$376,42,FALSE)</f>
        <v>433.79993751064791</v>
      </c>
      <c r="AQ93" s="566">
        <f>VLOOKUP($A93,'01-02.2021'!$A$6:$CZ$403,43,FALSE)+VLOOKUP($A93,'1.3.21-28.2.22'!$A$6:$DA$404,43,FALSE)-VLOOKUP($A93,'01-02.2022'!$A$6:$DA$376,43,FALSE)</f>
        <v>373.97041602492402</v>
      </c>
      <c r="AR93" s="70">
        <f t="shared" si="119"/>
        <v>-59.829521485723888</v>
      </c>
      <c r="AS93" s="566">
        <f>VLOOKUP($A93,'01-02.2021'!$A$6:$CZ$403,45,FALSE)+VLOOKUP($A93,'1.3.21-28.2.22'!$A$6:$DA$404,45,FALSE)-VLOOKUP($A93,'01-02.2022'!$A$6:$DA$376,45,FALSE)</f>
        <v>1120.0092705375964</v>
      </c>
      <c r="AT93" s="566">
        <f>VLOOKUP($A93,'01-02.2021'!$A$6:$CZ$403,46,FALSE)+VLOOKUP($A93,'1.3.21-28.2.22'!$A$6:$DA$404,46,FALSE)-VLOOKUP($A93,'01-02.2022'!$A$6:$DA$376,46,FALSE)</f>
        <v>0</v>
      </c>
      <c r="AU93" s="78">
        <f t="shared" si="120"/>
        <v>-1120.0092705375964</v>
      </c>
      <c r="AV93" s="566">
        <f>VLOOKUP($A93,'01-02.2021'!$A$6:$CZ$403,48,FALSE)+VLOOKUP($A93,'1.3.21-28.2.22'!$A$6:$DA$404,48,FALSE)-VLOOKUP($A93,'01-02.2022'!$A$6:$DA$376,48,FALSE)</f>
        <v>0</v>
      </c>
      <c r="AW93" s="566">
        <f>VLOOKUP($A93,'01-02.2021'!$A$6:$CZ$403,49,FALSE)+VLOOKUP($A93,'1.3.21-28.2.22'!$A$6:$DA$404,49,FALSE)-VLOOKUP($A93,'01-02.2022'!$A$6:$DA$376,49,FALSE)</f>
        <v>0</v>
      </c>
      <c r="AX93" s="55">
        <f t="shared" si="121"/>
        <v>0</v>
      </c>
      <c r="AY93" s="566">
        <f>VLOOKUP($A93,'01-02.2021'!$A$6:$CZ$403,51,FALSE)+VLOOKUP($A93,'1.3.21-28.2.22'!$A$6:$DA$404,51,FALSE)-VLOOKUP($A93,'01-02.2022'!$A$6:$DA$376,51,FALSE)</f>
        <v>0</v>
      </c>
      <c r="AZ93" s="566">
        <f>VLOOKUP($A93,'01-02.2021'!$A$6:$CZ$403,52,FALSE)+VLOOKUP($A93,'1.3.21-28.2.22'!$A$6:$DA$404,52,FALSE)-VLOOKUP($A93,'01-02.2022'!$A$6:$DA$376,52,FALSE)</f>
        <v>0</v>
      </c>
      <c r="BA93" s="38">
        <f t="shared" si="122"/>
        <v>0</v>
      </c>
      <c r="BB93" s="566">
        <f>VLOOKUP($A93,'01-02.2021'!$A$6:$CZ$403,54,FALSE)+VLOOKUP($A93,'1.3.21-28.2.22'!$A$6:$DA$404,54,FALSE)-VLOOKUP($A93,'01-02.2022'!$A$6:$DA$376,54,FALSE)</f>
        <v>0</v>
      </c>
      <c r="BC93" s="566">
        <f>VLOOKUP($A93,'01-02.2021'!$A$6:$CZ$403,55,FALSE)+VLOOKUP($A93,'1.3.21-28.2.22'!$A$6:$DA$404,55,FALSE)-VLOOKUP($A93,'01-02.2022'!$A$6:$DA$376,55,FALSE)</f>
        <v>0</v>
      </c>
      <c r="BD93" s="55">
        <f t="shared" si="123"/>
        <v>0</v>
      </c>
      <c r="BE93" s="566">
        <f>VLOOKUP($A93,'01-02.2021'!$A$6:$CZ$403,57,FALSE)+VLOOKUP($A93,'1.3.21-28.2.22'!$A$6:$DA$404,57,FALSE)-VLOOKUP($A93,'01-02.2022'!$A$6:$DA$376,57,FALSE)</f>
        <v>0</v>
      </c>
      <c r="BF93" s="566">
        <f>VLOOKUP($A93,'01-02.2021'!$A$6:$CZ$403,58,FALSE)+VLOOKUP($A93,'1.3.21-28.2.22'!$A$6:$DA$404,58,FALSE)-VLOOKUP($A93,'01-02.2022'!$A$6:$DA$376,58,FALSE)</f>
        <v>0</v>
      </c>
      <c r="BG93" s="55">
        <f t="shared" si="124"/>
        <v>0</v>
      </c>
      <c r="BH93" s="566">
        <f>VLOOKUP($A93,'01-02.2021'!$A$6:$CZ$403,60,FALSE)+VLOOKUP($A93,'1.3.21-28.2.22'!$A$6:$DA$404,60,FALSE)-VLOOKUP($A93,'01-02.2022'!$A$6:$DA$376,60,FALSE)</f>
        <v>0</v>
      </c>
      <c r="BI93" s="566">
        <f>VLOOKUP($A93,'01-02.2021'!$A$6:$CZ$403,61,FALSE)+VLOOKUP($A93,'1.3.21-28.2.22'!$A$6:$DA$404,61,FALSE)-VLOOKUP($A93,'01-02.2022'!$A$6:$DA$376,61,FALSE)</f>
        <v>0</v>
      </c>
      <c r="BJ93" s="55">
        <f t="shared" si="125"/>
        <v>0</v>
      </c>
      <c r="BK93" s="566">
        <f>VLOOKUP($A93,'01-02.2021'!$A$6:$CZ$403,63,FALSE)+VLOOKUP($A93,'1.3.21-28.2.22'!$A$6:$DA$404,63,FALSE)-VLOOKUP($A93,'01-02.2022'!$A$6:$DA$376,63,FALSE)</f>
        <v>0</v>
      </c>
      <c r="BL93" s="566">
        <f>VLOOKUP($A93,'01-02.2021'!$A$6:$CZ$403,64,FALSE)+VLOOKUP($A93,'1.3.21-28.2.22'!$A$6:$DA$404,64,FALSE)-VLOOKUP($A93,'01-02.2022'!$A$6:$DA$376,64,FALSE)</f>
        <v>0</v>
      </c>
      <c r="BM93" s="55">
        <f t="shared" si="126"/>
        <v>0</v>
      </c>
      <c r="BN93" s="566">
        <f>VLOOKUP($A93,'01-02.2021'!$A$6:$CZ$403,66,FALSE)+VLOOKUP($A93,'1.3.21-28.2.22'!$A$6:$DA$404,66,FALSE)-VLOOKUP($A93,'01-02.2022'!$A$6:$DA$376,66,FALSE)</f>
        <v>8.3659726352603272</v>
      </c>
      <c r="BO93" s="566">
        <f>VLOOKUP($A93,'01-02.2021'!$A$6:$CZ$403,67,FALSE)+VLOOKUP($A93,'1.3.21-28.2.22'!$A$6:$DA$404,67,FALSE)-VLOOKUP($A93,'01-02.2022'!$A$6:$DA$376,67,FALSE)</f>
        <v>0</v>
      </c>
      <c r="BP93" s="55">
        <f t="shared" si="127"/>
        <v>-8.3659726352603272</v>
      </c>
      <c r="BQ93" s="77">
        <f t="shared" si="87"/>
        <v>8.3659726352603272</v>
      </c>
      <c r="BR93" s="40">
        <f t="shared" si="88"/>
        <v>0</v>
      </c>
      <c r="BS93" s="55">
        <f t="shared" si="110"/>
        <v>-8.3659726352603272</v>
      </c>
      <c r="BT93" s="566">
        <f>VLOOKUP($A93,'01-02.2021'!$A$6:$CZ$403,72,FALSE)+VLOOKUP($A93,'1.3.21-28.2.22'!$A$6:$DA$404,72,FALSE)-VLOOKUP($A93,'01-02.2022'!$A$6:$DA$376,72,FALSE)</f>
        <v>117.2423526955678</v>
      </c>
      <c r="BU93" s="566">
        <f>VLOOKUP($A93,'01-02.2021'!$A$6:$CZ$403,73,FALSE)+VLOOKUP($A93,'1.3.21-28.2.22'!$A$6:$DA$404,73,FALSE)-VLOOKUP($A93,'01-02.2022'!$A$6:$DA$376,73,FALSE)</f>
        <v>181.95241604548966</v>
      </c>
      <c r="BV93" s="70">
        <f t="shared" si="128"/>
        <v>64.710063349921853</v>
      </c>
      <c r="BW93" s="566">
        <f>VLOOKUP($A93,'01-02.2021'!$A$6:$CZ$403,75,FALSE)+VLOOKUP($A93,'1.3.21-28.2.22'!$A$6:$DA$404,75,FALSE)-VLOOKUP($A93,'01-02.2022'!$A$6:$DA$376,75,FALSE)</f>
        <v>0</v>
      </c>
      <c r="BX93" s="566">
        <f>VLOOKUP($A93,'01-02.2021'!$A$6:$CZ$403,76,FALSE)+VLOOKUP($A93,'1.3.21-28.2.22'!$A$6:$DA$404,76,FALSE)-VLOOKUP($A93,'01-02.2022'!$A$6:$DA$376,76,FALSE)</f>
        <v>2.8709247550930099</v>
      </c>
      <c r="BY93" s="70">
        <f t="shared" si="129"/>
        <v>2.8709247550930099</v>
      </c>
      <c r="BZ93" s="566">
        <f>VLOOKUP($A93,'01-02.2021'!$A$6:$CZ$403,78,FALSE)+VLOOKUP($A93,'1.3.21-28.2.22'!$A$6:$DA$404,78,FALSE)-VLOOKUP($A93,'01-02.2022'!$A$6:$DA$376,78,FALSE)</f>
        <v>96.422162500839733</v>
      </c>
      <c r="CA93" s="566">
        <f>VLOOKUP($A93,'01-02.2021'!$A$6:$CZ$403,79,FALSE)+VLOOKUP($A93,'1.3.21-28.2.22'!$A$6:$DA$404,79,FALSE)-VLOOKUP($A93,'01-02.2022'!$A$6:$DA$376,79,FALSE)</f>
        <v>11.095238777563921</v>
      </c>
      <c r="CB93" s="70">
        <f t="shared" si="130"/>
        <v>-85.326923723275812</v>
      </c>
      <c r="CC93" s="566">
        <f>VLOOKUP($A93,'01-02.2021'!$A$6:$CZ$403,81,FALSE)+VLOOKUP($A93,'1.3.21-28.2.22'!$A$6:$DA$404,81,FALSE)-VLOOKUP($A93,'01-02.2022'!$A$6:$DA$376,81,FALSE)</f>
        <v>0</v>
      </c>
      <c r="CD93" s="566">
        <f>VLOOKUP($A93,'01-02.2021'!$A$6:$CZ$403,82,FALSE)+VLOOKUP($A93,'1.3.21-28.2.22'!$A$6:$DA$404,82,FALSE)-VLOOKUP($A93,'01-02.2022'!$A$6:$DA$376,82,FALSE)</f>
        <v>0</v>
      </c>
      <c r="CE93" s="70">
        <f t="shared" si="131"/>
        <v>0</v>
      </c>
      <c r="CF93" s="566">
        <f>VLOOKUP($A93,'01-02.2021'!$A$6:$CZ$403,84,FALSE)+VLOOKUP($A93,'1.3.21-28.2.22'!$A$6:$DA$404,84,FALSE)-VLOOKUP($A93,'01-02.2022'!$A$6:$DA$376,84,FALSE)</f>
        <v>0</v>
      </c>
      <c r="CG93" s="566">
        <f>VLOOKUP($A93,'01-02.2021'!$A$6:$CZ$403,85,FALSE)+VLOOKUP($A93,'1.3.21-28.2.22'!$A$6:$DA$404,85,FALSE)-VLOOKUP($A93,'01-02.2022'!$A$6:$DA$376,85,FALSE)</f>
        <v>0</v>
      </c>
      <c r="CH93" s="70">
        <f t="shared" si="132"/>
        <v>0</v>
      </c>
      <c r="CI93" s="566">
        <f>VLOOKUP($A93,'01-02.2021'!$A$6:$CZ$403,87,FALSE)+VLOOKUP($A93,'1.3.21-28.2.22'!$A$6:$DA$404,87,FALSE)-VLOOKUP($A93,'01-02.2022'!$A$6:$DA$376,87,FALSE)</f>
        <v>0</v>
      </c>
      <c r="CJ93" s="566">
        <f>VLOOKUP($A93,'01-02.2021'!$A$6:$CZ$403,88,FALSE)+VLOOKUP($A93,'1.3.21-28.2.22'!$A$6:$DA$404,88,FALSE)-VLOOKUP($A93,'01-02.2022'!$A$6:$DA$376,88,FALSE)</f>
        <v>0</v>
      </c>
      <c r="CK93" s="70">
        <f t="shared" si="133"/>
        <v>0</v>
      </c>
      <c r="CL93" s="566">
        <f>VLOOKUP($A93,'01-02.2021'!$A$6:$CZ$403,90,FALSE)+VLOOKUP($A93,'1.3.21-28.2.22'!$A$6:$DA$404,90,FALSE)-VLOOKUP($A93,'01-02.2022'!$A$6:$DA$376,90,FALSE)</f>
        <v>0</v>
      </c>
      <c r="CM93" s="566">
        <f>VLOOKUP($A93,'01-02.2021'!$A$6:$CZ$403,91,FALSE)+VLOOKUP($A93,'1.3.21-28.2.22'!$A$6:$DA$404,91,FALSE)-VLOOKUP($A93,'01-02.2022'!$A$6:$DA$376,91,FALSE)</f>
        <v>0</v>
      </c>
      <c r="CN93" s="52">
        <f t="shared" si="97"/>
        <v>0</v>
      </c>
      <c r="CO93" s="39">
        <f t="shared" si="89"/>
        <v>0</v>
      </c>
      <c r="CP93" s="40">
        <f t="shared" si="98"/>
        <v>0</v>
      </c>
      <c r="CQ93" s="52">
        <f t="shared" si="99"/>
        <v>0</v>
      </c>
      <c r="CR93" s="72">
        <f t="shared" si="90"/>
        <v>2006.5086562667038</v>
      </c>
      <c r="CS93" s="5">
        <f t="shared" si="90"/>
        <v>1153.0053570403413</v>
      </c>
      <c r="CT93" s="52">
        <f t="shared" si="100"/>
        <v>-853.50329922636251</v>
      </c>
      <c r="CU93" s="77">
        <f t="shared" si="101"/>
        <v>2407.8103875200445</v>
      </c>
      <c r="CV93" s="65">
        <f t="shared" si="102"/>
        <v>1383.6064284484096</v>
      </c>
      <c r="CW93" s="35">
        <f t="shared" si="103"/>
        <v>-1024.2039590716349</v>
      </c>
      <c r="CX93" s="566">
        <f>VLOOKUP($A93,'01-02.2021'!$A$6:$CZ$403,102,FALSE)+VLOOKUP($A93,'1.3.21-28.2.22'!$A$6:$DA$404,102,FALSE)-VLOOKUP($A93,'01-02.2022'!$A$6:$DA$376,102,FALSE)</f>
        <v>68.276884125488479</v>
      </c>
      <c r="CY93" s="566">
        <f>VLOOKUP($A93,'01-02.2021'!$A$6:$CZ$403,103,FALSE)+VLOOKUP($A93,'1.3.21-28.2.22'!$A$6:$DA$404,103,FALSE)-VLOOKUP($A93,'01-02.2022'!$A$6:$DA$376,103,FALSE)</f>
        <v>1092.4808431971232</v>
      </c>
      <c r="CZ93" s="52">
        <f t="shared" si="104"/>
        <v>1024.2039590716347</v>
      </c>
      <c r="DA93" s="150">
        <f>'[2]побудинковий звіт'!DA93</f>
        <v>10046.342938376085</v>
      </c>
      <c r="DB93" s="2">
        <v>1</v>
      </c>
      <c r="DC93" s="414">
        <f>'[4]побудинковий звіт'!DC93</f>
        <v>225.04</v>
      </c>
      <c r="DD93" s="414">
        <f>'[4]побудинковий звіт'!DD93</f>
        <v>0</v>
      </c>
      <c r="DE93" s="557">
        <f>'[4]побудинковий звіт'!DE93</f>
        <v>-1.115676238222818E-2</v>
      </c>
      <c r="DF93" s="557">
        <f>'[4]побудинковий звіт'!DF93</f>
        <v>0</v>
      </c>
      <c r="DG93" s="321">
        <f>VLOOKUP(A93,'кошти 01.03.2021'!$A$6:$D$401,4,)</f>
        <v>11131.298345178137</v>
      </c>
      <c r="DH93" s="40">
        <f>'[3]побудинковий звіт'!DJ93</f>
        <v>2564.5913076139423</v>
      </c>
      <c r="DI93" s="422">
        <f>'[3]побудинковий звіт'!CU93+'[3]побудинковий звіт'!CX93</f>
        <v>225.05115676238219</v>
      </c>
      <c r="DJ93" s="306">
        <f>'[3]побудинковий звіт'!DM93</f>
        <v>1.7568396312442016</v>
      </c>
      <c r="DK93" s="306">
        <f t="shared" si="136"/>
        <v>1.7568396312442016</v>
      </c>
      <c r="DL93" s="306">
        <f>'[3]побудинковий звіт'!DO93</f>
        <v>1.7568396312442016</v>
      </c>
      <c r="DM93" s="28">
        <f t="shared" si="137"/>
        <v>225.05115676238222</v>
      </c>
      <c r="DN93" s="28">
        <f t="shared" si="138"/>
        <v>0</v>
      </c>
      <c r="DO93" s="423">
        <f t="shared" si="105"/>
        <v>225.05115676238222</v>
      </c>
      <c r="DP93" s="94">
        <f t="shared" si="106"/>
        <v>0</v>
      </c>
      <c r="DQ93" s="28">
        <f t="shared" si="107"/>
        <v>225.05115676238222</v>
      </c>
      <c r="DR93" s="318"/>
      <c r="DT93" s="8"/>
      <c r="DU93" s="5"/>
      <c r="DX93" s="5">
        <f t="shared" si="108"/>
        <v>1354.050291807428</v>
      </c>
      <c r="DY93" s="5">
        <f t="shared" si="109"/>
        <v>0</v>
      </c>
      <c r="DZ93" s="159">
        <f>'[3]побудинковий звіт'!EA93</f>
        <v>137.74619284862521</v>
      </c>
    </row>
    <row r="94" spans="1:130" x14ac:dyDescent="0.3">
      <c r="A94" s="325">
        <v>150000569</v>
      </c>
      <c r="B94" s="41" t="s">
        <v>543</v>
      </c>
      <c r="C94" s="42" t="s">
        <v>73</v>
      </c>
      <c r="D94" s="42"/>
      <c r="E94" s="293">
        <f t="shared" si="85"/>
        <v>245.6</v>
      </c>
      <c r="F94" s="305">
        <f>'[3]побудинковий звіт'!F94</f>
        <v>245.6</v>
      </c>
      <c r="G94" s="508">
        <f>'[3]побудинковий звіт'!G94</f>
        <v>0</v>
      </c>
      <c r="H94" s="560">
        <f>'[3]побудинковий звіт'!H94</f>
        <v>0</v>
      </c>
      <c r="I94" s="566">
        <f>VLOOKUP($A94,'01-02.2021'!$A$6:$CZ$403,9,FALSE)+VLOOKUP($A94,'1.3.21-28.2.22'!$A$6:$DA$404,9,FALSE)-VLOOKUP($A94,'01-02.2022'!$A$6:$DA$376,9,FALSE)</f>
        <v>0</v>
      </c>
      <c r="J94" s="566">
        <f>VLOOKUP($A94,'01-02.2021'!$A$6:$CZ$403,10,FALSE)+VLOOKUP($A94,'1.3.21-28.2.22'!$A$6:$DA$404,10,FALSE)-VLOOKUP($A94,'01-02.2022'!$A$6:$DA$376,10,FALSE)</f>
        <v>0</v>
      </c>
      <c r="K94" s="52">
        <f t="shared" si="94"/>
        <v>0</v>
      </c>
      <c r="L94" s="566">
        <f>VLOOKUP($A94,'01-02.2021'!$A$6:$CZ$403,12,FALSE)+VLOOKUP($A94,'1.3.21-28.2.22'!$A$6:$DA$404,12,FALSE)-VLOOKUP($A94,'01-02.2022'!$A$6:$DA$376,12,FALSE)</f>
        <v>0</v>
      </c>
      <c r="M94" s="566">
        <f>VLOOKUP($A94,'01-02.2021'!$A$6:$CZ$403,13,FALSE)+VLOOKUP($A94,'1.3.21-28.2.22'!$A$6:$DA$404,13,FALSE)-VLOOKUP($A94,'01-02.2022'!$A$6:$DA$376,13,FALSE)</f>
        <v>0</v>
      </c>
      <c r="N94" s="52">
        <f t="shared" si="95"/>
        <v>0</v>
      </c>
      <c r="O94" s="566">
        <f>VLOOKUP($A94,'01-02.2021'!$A$6:$CZ$403,15,FALSE)+VLOOKUP($A94,'1.3.21-28.2.22'!$A$6:$DA$404,15,FALSE)-VLOOKUP($A94,'01-02.2022'!$A$6:$DA$376,15,FALSE)</f>
        <v>0</v>
      </c>
      <c r="P94" s="566">
        <f>VLOOKUP($A94,'01-02.2021'!$A$6:$CZ$403,16,FALSE)+VLOOKUP($A94,'1.3.21-28.2.22'!$A$6:$DA$404,16,FALSE)-VLOOKUP($A94,'01-02.2022'!$A$6:$DA$376,16,FALSE)</f>
        <v>0</v>
      </c>
      <c r="Q94" s="70">
        <f t="shared" si="111"/>
        <v>0</v>
      </c>
      <c r="R94" s="566">
        <f>VLOOKUP($A94,'01-02.2021'!$A$6:$CZ$403,18,FALSE)+VLOOKUP($A94,'1.3.21-28.2.22'!$A$6:$DA$404,18,FALSE)-VLOOKUP($A94,'01-02.2022'!$A$6:$DA$376,18,FALSE)</f>
        <v>0</v>
      </c>
      <c r="S94" s="566">
        <f>VLOOKUP($A94,'01-02.2021'!$A$6:$CZ$403,19,FALSE)+VLOOKUP($A94,'1.3.21-28.2.22'!$A$6:$DA$404,19,FALSE)-VLOOKUP($A94,'01-02.2022'!$A$6:$DA$376,19,FALSE)</f>
        <v>0</v>
      </c>
      <c r="T94" s="70">
        <f t="shared" si="112"/>
        <v>0</v>
      </c>
      <c r="U94" s="566">
        <f>VLOOKUP($A94,'01-02.2021'!$A$6:$CZ$403,21,FALSE)+VLOOKUP($A94,'1.3.21-28.2.22'!$A$6:$DA$404,21,FALSE)-VLOOKUP($A94,'01-02.2022'!$A$6:$DA$376,21,FALSE)</f>
        <v>0</v>
      </c>
      <c r="V94" s="566">
        <f>VLOOKUP($A94,'01-02.2021'!$A$6:$CZ$403,22,FALSE)+VLOOKUP($A94,'1.3.21-28.2.22'!$A$6:$DA$404,22,FALSE)-VLOOKUP($A94,'01-02.2022'!$A$6:$DA$376,22,FALSE)</f>
        <v>0</v>
      </c>
      <c r="W94" s="70">
        <f t="shared" si="113"/>
        <v>0</v>
      </c>
      <c r="X94" s="566">
        <f>VLOOKUP($A94,'01-02.2021'!$A$6:$CZ$403,24,FALSE)+VLOOKUP($A94,'1.3.21-28.2.22'!$A$6:$DA$404,24,FALSE)-VLOOKUP($A94,'01-02.2022'!$A$6:$DA$376,24,FALSE)</f>
        <v>0</v>
      </c>
      <c r="Y94" s="566">
        <f>VLOOKUP($A94,'01-02.2021'!$A$6:$CZ$403,25,FALSE)+VLOOKUP($A94,'1.3.21-28.2.22'!$A$6:$DA$404,25,FALSE)-VLOOKUP($A94,'01-02.2022'!$A$6:$DA$376,25,FALSE)</f>
        <v>0</v>
      </c>
      <c r="Z94" s="70">
        <f t="shared" si="114"/>
        <v>0</v>
      </c>
      <c r="AA94" s="566">
        <f>VLOOKUP($A94,'01-02.2021'!$A$6:$CZ$403,27,FALSE)+VLOOKUP($A94,'1.3.21-28.2.22'!$A$6:$DA$404,27,FALSE)-VLOOKUP($A94,'01-02.2022'!$A$6:$DA$376,27,FALSE)</f>
        <v>47.38000000000001</v>
      </c>
      <c r="AB94" s="566">
        <f>VLOOKUP($A94,'01-02.2021'!$A$6:$CZ$403,28,FALSE)+VLOOKUP($A94,'1.3.21-28.2.22'!$A$6:$DA$404,28,FALSE)-VLOOKUP($A94,'01-02.2022'!$A$6:$DA$376,28,FALSE)</f>
        <v>0</v>
      </c>
      <c r="AC94" s="70">
        <f t="shared" si="115"/>
        <v>-47.38000000000001</v>
      </c>
      <c r="AD94" s="566">
        <f>VLOOKUP($A94,'01-02.2021'!$A$6:$CZ$403,30,FALSE)+VLOOKUP($A94,'1.3.21-28.2.22'!$A$6:$DA$404,30,FALSE)-VLOOKUP($A94,'01-02.2022'!$A$6:$DA$376,30,FALSE)</f>
        <v>379.24198334392077</v>
      </c>
      <c r="AE94" s="566">
        <f>VLOOKUP($A94,'01-02.2021'!$A$6:$CZ$403,31,FALSE)+VLOOKUP($A94,'1.3.21-28.2.22'!$A$6:$DA$404,31,FALSE)-VLOOKUP($A94,'01-02.2022'!$A$6:$DA$376,31,FALSE)</f>
        <v>1117.9810957766874</v>
      </c>
      <c r="AF94" s="68">
        <f t="shared" si="116"/>
        <v>738.73911243276666</v>
      </c>
      <c r="AG94" s="77">
        <f t="shared" si="86"/>
        <v>426.62198334392076</v>
      </c>
      <c r="AH94" s="53">
        <f t="shared" si="86"/>
        <v>1117.9810957766874</v>
      </c>
      <c r="AI94" s="52">
        <f t="shared" si="96"/>
        <v>691.35911243276666</v>
      </c>
      <c r="AJ94" s="566">
        <f>VLOOKUP($A94,'01-02.2021'!$A$6:$CZ$403,36,FALSE)+VLOOKUP($A94,'1.3.21-28.2.22'!$A$6:$DA$404,36,FALSE)-VLOOKUP($A94,'01-02.2022'!$A$6:$DA$376,36,FALSE)</f>
        <v>0</v>
      </c>
      <c r="AK94" s="566">
        <f>VLOOKUP($A94,'01-02.2021'!$A$6:$CZ$403,37,FALSE)+VLOOKUP($A94,'1.3.21-28.2.22'!$A$6:$DA$404,37,FALSE)-VLOOKUP($A94,'01-02.2022'!$A$6:$DA$376,37,FALSE)</f>
        <v>0</v>
      </c>
      <c r="AL94" s="70">
        <f t="shared" si="117"/>
        <v>0</v>
      </c>
      <c r="AM94" s="566">
        <f>VLOOKUP($A94,'01-02.2021'!$A$6:$CZ$403,39,FALSE)+VLOOKUP($A94,'1.3.21-28.2.22'!$A$6:$DA$404,39,FALSE)-VLOOKUP($A94,'01-02.2022'!$A$6:$DA$376,39,FALSE)</f>
        <v>0</v>
      </c>
      <c r="AN94" s="566">
        <f>VLOOKUP($A94,'01-02.2021'!$A$6:$CZ$403,40,FALSE)+VLOOKUP($A94,'1.3.21-28.2.22'!$A$6:$DA$404,40,FALSE)-VLOOKUP($A94,'01-02.2022'!$A$6:$DA$376,40,FALSE)</f>
        <v>0</v>
      </c>
      <c r="AO94" s="70">
        <f t="shared" si="118"/>
        <v>0</v>
      </c>
      <c r="AP94" s="566">
        <f>VLOOKUP($A94,'01-02.2021'!$A$6:$CZ$403,42,FALSE)+VLOOKUP($A94,'1.3.21-28.2.22'!$A$6:$DA$404,42,FALSE)-VLOOKUP($A94,'01-02.2022'!$A$6:$DA$376,42,FALSE)</f>
        <v>563.93991876384223</v>
      </c>
      <c r="AQ94" s="566">
        <f>VLOOKUP($A94,'01-02.2021'!$A$6:$CZ$403,43,FALSE)+VLOOKUP($A94,'1.3.21-28.2.22'!$A$6:$DA$404,43,FALSE)-VLOOKUP($A94,'01-02.2022'!$A$6:$DA$376,43,FALSE)</f>
        <v>486.16154083240122</v>
      </c>
      <c r="AR94" s="70">
        <f t="shared" si="119"/>
        <v>-77.778377931441014</v>
      </c>
      <c r="AS94" s="566">
        <f>VLOOKUP($A94,'01-02.2021'!$A$6:$CZ$403,45,FALSE)+VLOOKUP($A94,'1.3.21-28.2.22'!$A$6:$DA$404,45,FALSE)-VLOOKUP($A94,'01-02.2022'!$A$6:$DA$376,45,FALSE)</f>
        <v>3001.0097061859369</v>
      </c>
      <c r="AT94" s="566">
        <f>VLOOKUP($A94,'01-02.2021'!$A$6:$CZ$403,46,FALSE)+VLOOKUP($A94,'1.3.21-28.2.22'!$A$6:$DA$404,46,FALSE)-VLOOKUP($A94,'01-02.2022'!$A$6:$DA$376,46,FALSE)</f>
        <v>13968.28</v>
      </c>
      <c r="AU94" s="78">
        <f t="shared" si="120"/>
        <v>10967.270293814065</v>
      </c>
      <c r="AV94" s="566">
        <f>VLOOKUP($A94,'01-02.2021'!$A$6:$CZ$403,48,FALSE)+VLOOKUP($A94,'1.3.21-28.2.22'!$A$6:$DA$404,48,FALSE)-VLOOKUP($A94,'01-02.2022'!$A$6:$DA$376,48,FALSE)</f>
        <v>0</v>
      </c>
      <c r="AW94" s="566">
        <f>VLOOKUP($A94,'01-02.2021'!$A$6:$CZ$403,49,FALSE)+VLOOKUP($A94,'1.3.21-28.2.22'!$A$6:$DA$404,49,FALSE)-VLOOKUP($A94,'01-02.2022'!$A$6:$DA$376,49,FALSE)</f>
        <v>0</v>
      </c>
      <c r="AX94" s="55">
        <f t="shared" si="121"/>
        <v>0</v>
      </c>
      <c r="AY94" s="566">
        <f>VLOOKUP($A94,'01-02.2021'!$A$6:$CZ$403,51,FALSE)+VLOOKUP($A94,'1.3.21-28.2.22'!$A$6:$DA$404,51,FALSE)-VLOOKUP($A94,'01-02.2022'!$A$6:$DA$376,51,FALSE)</f>
        <v>0</v>
      </c>
      <c r="AZ94" s="566">
        <f>VLOOKUP($A94,'01-02.2021'!$A$6:$CZ$403,52,FALSE)+VLOOKUP($A94,'1.3.21-28.2.22'!$A$6:$DA$404,52,FALSE)-VLOOKUP($A94,'01-02.2022'!$A$6:$DA$376,52,FALSE)</f>
        <v>0</v>
      </c>
      <c r="BA94" s="38">
        <f t="shared" si="122"/>
        <v>0</v>
      </c>
      <c r="BB94" s="566">
        <f>VLOOKUP($A94,'01-02.2021'!$A$6:$CZ$403,54,FALSE)+VLOOKUP($A94,'1.3.21-28.2.22'!$A$6:$DA$404,54,FALSE)-VLOOKUP($A94,'01-02.2022'!$A$6:$DA$376,54,FALSE)</f>
        <v>0</v>
      </c>
      <c r="BC94" s="566">
        <f>VLOOKUP($A94,'01-02.2021'!$A$6:$CZ$403,55,FALSE)+VLOOKUP($A94,'1.3.21-28.2.22'!$A$6:$DA$404,55,FALSE)-VLOOKUP($A94,'01-02.2022'!$A$6:$DA$376,55,FALSE)</f>
        <v>0</v>
      </c>
      <c r="BD94" s="55">
        <f t="shared" si="123"/>
        <v>0</v>
      </c>
      <c r="BE94" s="566">
        <f>VLOOKUP($A94,'01-02.2021'!$A$6:$CZ$403,57,FALSE)+VLOOKUP($A94,'1.3.21-28.2.22'!$A$6:$DA$404,57,FALSE)-VLOOKUP($A94,'01-02.2022'!$A$6:$DA$376,57,FALSE)</f>
        <v>0</v>
      </c>
      <c r="BF94" s="566">
        <f>VLOOKUP($A94,'01-02.2021'!$A$6:$CZ$403,58,FALSE)+VLOOKUP($A94,'1.3.21-28.2.22'!$A$6:$DA$404,58,FALSE)-VLOOKUP($A94,'01-02.2022'!$A$6:$DA$376,58,FALSE)</f>
        <v>0</v>
      </c>
      <c r="BG94" s="55">
        <f t="shared" si="124"/>
        <v>0</v>
      </c>
      <c r="BH94" s="566">
        <f>VLOOKUP($A94,'01-02.2021'!$A$6:$CZ$403,60,FALSE)+VLOOKUP($A94,'1.3.21-28.2.22'!$A$6:$DA$404,60,FALSE)-VLOOKUP($A94,'01-02.2022'!$A$6:$DA$376,60,FALSE)</f>
        <v>0</v>
      </c>
      <c r="BI94" s="566">
        <f>VLOOKUP($A94,'01-02.2021'!$A$6:$CZ$403,61,FALSE)+VLOOKUP($A94,'1.3.21-28.2.22'!$A$6:$DA$404,61,FALSE)-VLOOKUP($A94,'01-02.2022'!$A$6:$DA$376,61,FALSE)</f>
        <v>0</v>
      </c>
      <c r="BJ94" s="55">
        <f t="shared" si="125"/>
        <v>0</v>
      </c>
      <c r="BK94" s="566">
        <f>VLOOKUP($A94,'01-02.2021'!$A$6:$CZ$403,63,FALSE)+VLOOKUP($A94,'1.3.21-28.2.22'!$A$6:$DA$404,63,FALSE)-VLOOKUP($A94,'01-02.2022'!$A$6:$DA$376,63,FALSE)</f>
        <v>0</v>
      </c>
      <c r="BL94" s="566">
        <f>VLOOKUP($A94,'01-02.2021'!$A$6:$CZ$403,64,FALSE)+VLOOKUP($A94,'1.3.21-28.2.22'!$A$6:$DA$404,64,FALSE)-VLOOKUP($A94,'01-02.2022'!$A$6:$DA$376,64,FALSE)</f>
        <v>0</v>
      </c>
      <c r="BM94" s="55">
        <f t="shared" si="126"/>
        <v>0</v>
      </c>
      <c r="BN94" s="566">
        <f>VLOOKUP($A94,'01-02.2021'!$A$6:$CZ$403,66,FALSE)+VLOOKUP($A94,'1.3.21-28.2.22'!$A$6:$DA$404,66,FALSE)-VLOOKUP($A94,'01-02.2022'!$A$6:$DA$376,66,FALSE)</f>
        <v>14.15081009352954</v>
      </c>
      <c r="BO94" s="566">
        <f>VLOOKUP($A94,'01-02.2021'!$A$6:$CZ$403,67,FALSE)+VLOOKUP($A94,'1.3.21-28.2.22'!$A$6:$DA$404,67,FALSE)-VLOOKUP($A94,'01-02.2022'!$A$6:$DA$376,67,FALSE)</f>
        <v>0</v>
      </c>
      <c r="BP94" s="55">
        <f t="shared" si="127"/>
        <v>-14.15081009352954</v>
      </c>
      <c r="BQ94" s="77">
        <f t="shared" si="87"/>
        <v>14.15081009352954</v>
      </c>
      <c r="BR94" s="40">
        <f t="shared" si="88"/>
        <v>0</v>
      </c>
      <c r="BS94" s="55">
        <f t="shared" si="110"/>
        <v>-14.15081009352954</v>
      </c>
      <c r="BT94" s="566">
        <f>VLOOKUP($A94,'01-02.2021'!$A$6:$CZ$403,72,FALSE)+VLOOKUP($A94,'1.3.21-28.2.22'!$A$6:$DA$404,72,FALSE)-VLOOKUP($A94,'01-02.2022'!$A$6:$DA$376,72,FALSE)</f>
        <v>181.44649821933109</v>
      </c>
      <c r="BU94" s="566">
        <f>VLOOKUP($A94,'01-02.2021'!$A$6:$CZ$403,73,FALSE)+VLOOKUP($A94,'1.3.21-28.2.22'!$A$6:$DA$404,73,FALSE)-VLOOKUP($A94,'01-02.2022'!$A$6:$DA$376,73,FALSE)</f>
        <v>281.52671317955003</v>
      </c>
      <c r="BV94" s="70">
        <f t="shared" si="128"/>
        <v>100.08021496021894</v>
      </c>
      <c r="BW94" s="566">
        <f>VLOOKUP($A94,'01-02.2021'!$A$6:$CZ$403,75,FALSE)+VLOOKUP($A94,'1.3.21-28.2.22'!$A$6:$DA$404,75,FALSE)-VLOOKUP($A94,'01-02.2022'!$A$6:$DA$376,75,FALSE)</f>
        <v>0</v>
      </c>
      <c r="BX94" s="566">
        <f>VLOOKUP($A94,'01-02.2021'!$A$6:$CZ$403,76,FALSE)+VLOOKUP($A94,'1.3.21-28.2.22'!$A$6:$DA$404,76,FALSE)-VLOOKUP($A94,'01-02.2022'!$A$6:$DA$376,76,FALSE)</f>
        <v>5.5042866498894876</v>
      </c>
      <c r="BY94" s="70">
        <f t="shared" si="129"/>
        <v>5.5042866498894876</v>
      </c>
      <c r="BZ94" s="566">
        <f>VLOOKUP($A94,'01-02.2021'!$A$6:$CZ$403,78,FALSE)+VLOOKUP($A94,'1.3.21-28.2.22'!$A$6:$DA$404,78,FALSE)-VLOOKUP($A94,'01-02.2022'!$A$6:$DA$376,78,FALSE)</f>
        <v>0</v>
      </c>
      <c r="CA94" s="566">
        <f>VLOOKUP($A94,'01-02.2021'!$A$6:$CZ$403,79,FALSE)+VLOOKUP($A94,'1.3.21-28.2.22'!$A$6:$DA$404,79,FALSE)-VLOOKUP($A94,'01-02.2022'!$A$6:$DA$376,79,FALSE)</f>
        <v>17.164774446050984</v>
      </c>
      <c r="CB94" s="70">
        <f t="shared" si="130"/>
        <v>17.164774446050984</v>
      </c>
      <c r="CC94" s="566">
        <f>VLOOKUP($A94,'01-02.2021'!$A$6:$CZ$403,81,FALSE)+VLOOKUP($A94,'1.3.21-28.2.22'!$A$6:$DA$404,81,FALSE)-VLOOKUP($A94,'01-02.2022'!$A$6:$DA$376,81,FALSE)</f>
        <v>0</v>
      </c>
      <c r="CD94" s="566">
        <f>VLOOKUP($A94,'01-02.2021'!$A$6:$CZ$403,82,FALSE)+VLOOKUP($A94,'1.3.21-28.2.22'!$A$6:$DA$404,82,FALSE)-VLOOKUP($A94,'01-02.2022'!$A$6:$DA$376,82,FALSE)</f>
        <v>0</v>
      </c>
      <c r="CE94" s="70">
        <f t="shared" si="131"/>
        <v>0</v>
      </c>
      <c r="CF94" s="566">
        <f>VLOOKUP($A94,'01-02.2021'!$A$6:$CZ$403,84,FALSE)+VLOOKUP($A94,'1.3.21-28.2.22'!$A$6:$DA$404,84,FALSE)-VLOOKUP($A94,'01-02.2022'!$A$6:$DA$376,84,FALSE)</f>
        <v>0</v>
      </c>
      <c r="CG94" s="566">
        <f>VLOOKUP($A94,'01-02.2021'!$A$6:$CZ$403,85,FALSE)+VLOOKUP($A94,'1.3.21-28.2.22'!$A$6:$DA$404,85,FALSE)-VLOOKUP($A94,'01-02.2022'!$A$6:$DA$376,85,FALSE)</f>
        <v>0</v>
      </c>
      <c r="CH94" s="70">
        <f t="shared" si="132"/>
        <v>0</v>
      </c>
      <c r="CI94" s="566">
        <f>VLOOKUP($A94,'01-02.2021'!$A$6:$CZ$403,87,FALSE)+VLOOKUP($A94,'1.3.21-28.2.22'!$A$6:$DA$404,87,FALSE)-VLOOKUP($A94,'01-02.2022'!$A$6:$DA$376,87,FALSE)</f>
        <v>0</v>
      </c>
      <c r="CJ94" s="566">
        <f>VLOOKUP($A94,'01-02.2021'!$A$6:$CZ$403,88,FALSE)+VLOOKUP($A94,'1.3.21-28.2.22'!$A$6:$DA$404,88,FALSE)-VLOOKUP($A94,'01-02.2022'!$A$6:$DA$376,88,FALSE)</f>
        <v>0</v>
      </c>
      <c r="CK94" s="70">
        <f t="shared" si="133"/>
        <v>0</v>
      </c>
      <c r="CL94" s="566">
        <f>VLOOKUP($A94,'01-02.2021'!$A$6:$CZ$403,90,FALSE)+VLOOKUP($A94,'1.3.21-28.2.22'!$A$6:$DA$404,90,FALSE)-VLOOKUP($A94,'01-02.2022'!$A$6:$DA$376,90,FALSE)</f>
        <v>0</v>
      </c>
      <c r="CM94" s="566">
        <f>VLOOKUP($A94,'01-02.2021'!$A$6:$CZ$403,91,FALSE)+VLOOKUP($A94,'1.3.21-28.2.22'!$A$6:$DA$404,91,FALSE)-VLOOKUP($A94,'01-02.2022'!$A$6:$DA$376,91,FALSE)</f>
        <v>0</v>
      </c>
      <c r="CN94" s="52">
        <f t="shared" si="97"/>
        <v>0</v>
      </c>
      <c r="CO94" s="39">
        <f t="shared" si="89"/>
        <v>0</v>
      </c>
      <c r="CP94" s="40">
        <f t="shared" si="98"/>
        <v>0</v>
      </c>
      <c r="CQ94" s="52">
        <f t="shared" si="99"/>
        <v>0</v>
      </c>
      <c r="CR94" s="72">
        <f t="shared" si="90"/>
        <v>4187.1689166065598</v>
      </c>
      <c r="CS94" s="5">
        <f t="shared" si="90"/>
        <v>15876.618410884581</v>
      </c>
      <c r="CT94" s="52">
        <f t="shared" si="100"/>
        <v>11689.449494278022</v>
      </c>
      <c r="CU94" s="77">
        <f t="shared" si="101"/>
        <v>5024.602699927872</v>
      </c>
      <c r="CV94" s="65">
        <f t="shared" si="102"/>
        <v>19051.942093061498</v>
      </c>
      <c r="CW94" s="35">
        <f t="shared" si="103"/>
        <v>14027.339393133625</v>
      </c>
      <c r="CX94" s="566">
        <f>VLOOKUP($A94,'01-02.2021'!$A$6:$CZ$403,102,FALSE)+VLOOKUP($A94,'1.3.21-28.2.22'!$A$6:$DA$404,102,FALSE)-VLOOKUP($A94,'01-02.2022'!$A$6:$DA$376,102,FALSE)</f>
        <v>141.05163064330924</v>
      </c>
      <c r="CY94" s="566">
        <f>VLOOKUP($A94,'01-02.2021'!$A$6:$CZ$403,103,FALSE)+VLOOKUP($A94,'1.3.21-28.2.22'!$A$6:$DA$404,103,FALSE)-VLOOKUP($A94,'01-02.2022'!$A$6:$DA$376,103,FALSE)</f>
        <v>-13886.287762490309</v>
      </c>
      <c r="CZ94" s="52">
        <f t="shared" si="104"/>
        <v>-14027.339393133618</v>
      </c>
      <c r="DA94" s="150">
        <f>'[2]побудинковий звіт'!DA94</f>
        <v>14610.167443471915</v>
      </c>
      <c r="DB94" s="2">
        <v>1</v>
      </c>
      <c r="DC94" s="414">
        <f>'[4]побудинковий звіт'!DC94</f>
        <v>1934.35</v>
      </c>
      <c r="DD94" s="414">
        <f>'[4]побудинковий звіт'!DD94</f>
        <v>0</v>
      </c>
      <c r="DE94" s="557">
        <f>'[4]побудинковий звіт'!DE94</f>
        <v>1459.2046629445599</v>
      </c>
      <c r="DF94" s="557">
        <f>'[4]побудинковий звіт'!DF94</f>
        <v>0</v>
      </c>
      <c r="DG94" s="321">
        <f>VLOOKUP(A94,'кошти 01.03.2021'!$A$6:$D$401,4,)</f>
        <v>774.75894070368849</v>
      </c>
      <c r="DH94" s="40">
        <f>'[3]побудинковий звіт'!DJ94</f>
        <v>5377.4216182055188</v>
      </c>
      <c r="DI94" s="422">
        <f>'[3]побудинковий звіт'!CU94+'[3]побудинковий звіт'!CX94</f>
        <v>475.14533705544</v>
      </c>
      <c r="DJ94" s="306">
        <f>'[3]побудинковий звіт'!DM94</f>
        <v>1.9346308512029315</v>
      </c>
      <c r="DK94" s="306">
        <f t="shared" si="136"/>
        <v>1.9346308512029315</v>
      </c>
      <c r="DL94" s="306">
        <f>'[3]побудинковий звіт'!DO94</f>
        <v>1.9346308512029315</v>
      </c>
      <c r="DM94" s="28">
        <f t="shared" si="137"/>
        <v>475.14533705544</v>
      </c>
      <c r="DN94" s="28">
        <f t="shared" si="138"/>
        <v>0</v>
      </c>
      <c r="DO94" s="423">
        <f t="shared" si="105"/>
        <v>475.14533705544</v>
      </c>
      <c r="DP94" s="94">
        <f t="shared" si="106"/>
        <v>0</v>
      </c>
      <c r="DQ94" s="28">
        <f t="shared" si="107"/>
        <v>475.14533705544</v>
      </c>
      <c r="DR94" s="318"/>
      <c r="DT94" s="8"/>
      <c r="DU94" s="5"/>
      <c r="DX94" s="5">
        <f t="shared" si="108"/>
        <v>3618.1926195353594</v>
      </c>
      <c r="DY94" s="5">
        <f t="shared" si="109"/>
        <v>16761.936000000002</v>
      </c>
      <c r="DZ94" s="159">
        <f>'[3]побудинковий звіт'!EA94</f>
        <v>375.46222401514075</v>
      </c>
    </row>
    <row r="95" spans="1:130" x14ac:dyDescent="0.3">
      <c r="A95" s="325">
        <v>150000562</v>
      </c>
      <c r="B95" s="41" t="s">
        <v>544</v>
      </c>
      <c r="C95" s="42" t="s">
        <v>74</v>
      </c>
      <c r="D95" s="42"/>
      <c r="E95" s="293">
        <f t="shared" si="85"/>
        <v>325.08</v>
      </c>
      <c r="F95" s="305">
        <f>'[3]побудинковий звіт'!F95</f>
        <v>266.68</v>
      </c>
      <c r="G95" s="508">
        <f>'[3]побудинковий звіт'!G95</f>
        <v>0</v>
      </c>
      <c r="H95" s="560">
        <f>'[3]побудинковий звіт'!H95</f>
        <v>58.4</v>
      </c>
      <c r="I95" s="566"/>
      <c r="J95" s="566"/>
      <c r="K95" s="52">
        <f t="shared" si="94"/>
        <v>0</v>
      </c>
      <c r="L95" s="566"/>
      <c r="M95" s="566"/>
      <c r="N95" s="52">
        <f t="shared" si="95"/>
        <v>0</v>
      </c>
      <c r="O95" s="566"/>
      <c r="P95" s="566"/>
      <c r="Q95" s="70"/>
      <c r="R95" s="566"/>
      <c r="S95" s="566"/>
      <c r="T95" s="70"/>
      <c r="U95" s="566"/>
      <c r="V95" s="566"/>
      <c r="W95" s="70"/>
      <c r="X95" s="566"/>
      <c r="Y95" s="566"/>
      <c r="Z95" s="70"/>
      <c r="AA95" s="566"/>
      <c r="AB95" s="566"/>
      <c r="AC95" s="70"/>
      <c r="AD95" s="566"/>
      <c r="AE95" s="566"/>
      <c r="AF95" s="68"/>
      <c r="AG95" s="77">
        <f t="shared" si="86"/>
        <v>0</v>
      </c>
      <c r="AH95" s="53">
        <f t="shared" si="86"/>
        <v>0</v>
      </c>
      <c r="AI95" s="52">
        <f t="shared" si="96"/>
        <v>0</v>
      </c>
      <c r="AJ95" s="566"/>
      <c r="AK95" s="566"/>
      <c r="AL95" s="70"/>
      <c r="AM95" s="566"/>
      <c r="AN95" s="566"/>
      <c r="AO95" s="70"/>
      <c r="AP95" s="566"/>
      <c r="AQ95" s="566"/>
      <c r="AR95" s="70"/>
      <c r="AS95" s="566"/>
      <c r="AT95" s="566"/>
      <c r="AU95" s="78"/>
      <c r="AV95" s="566"/>
      <c r="AW95" s="566"/>
      <c r="AX95" s="55"/>
      <c r="AY95" s="566"/>
      <c r="AZ95" s="566"/>
      <c r="BA95" s="38"/>
      <c r="BB95" s="566"/>
      <c r="BC95" s="566"/>
      <c r="BD95" s="55"/>
      <c r="BE95" s="566"/>
      <c r="BF95" s="566"/>
      <c r="BG95" s="55"/>
      <c r="BH95" s="566"/>
      <c r="BI95" s="566"/>
      <c r="BJ95" s="55"/>
      <c r="BK95" s="566"/>
      <c r="BL95" s="566"/>
      <c r="BM95" s="55"/>
      <c r="BN95" s="566"/>
      <c r="BO95" s="566"/>
      <c r="BP95" s="55"/>
      <c r="BQ95" s="77">
        <f t="shared" si="87"/>
        <v>0</v>
      </c>
      <c r="BR95" s="40">
        <f t="shared" si="88"/>
        <v>0</v>
      </c>
      <c r="BS95" s="55">
        <f t="shared" si="110"/>
        <v>0</v>
      </c>
      <c r="BT95" s="566"/>
      <c r="BU95" s="566"/>
      <c r="BV95" s="70"/>
      <c r="BW95" s="566"/>
      <c r="BX95" s="566"/>
      <c r="BY95" s="70"/>
      <c r="BZ95" s="566"/>
      <c r="CA95" s="566"/>
      <c r="CB95" s="70"/>
      <c r="CC95" s="566"/>
      <c r="CD95" s="566"/>
      <c r="CE95" s="70"/>
      <c r="CF95" s="566"/>
      <c r="CG95" s="566"/>
      <c r="CH95" s="70"/>
      <c r="CI95" s="566"/>
      <c r="CJ95" s="566"/>
      <c r="CK95" s="70"/>
      <c r="CL95" s="566"/>
      <c r="CM95" s="566"/>
      <c r="CN95" s="52">
        <f t="shared" si="97"/>
        <v>0</v>
      </c>
      <c r="CO95" s="39">
        <f t="shared" si="89"/>
        <v>0</v>
      </c>
      <c r="CP95" s="40">
        <f t="shared" si="98"/>
        <v>0</v>
      </c>
      <c r="CQ95" s="52">
        <f t="shared" si="99"/>
        <v>0</v>
      </c>
      <c r="CR95" s="72">
        <f t="shared" si="90"/>
        <v>0</v>
      </c>
      <c r="CS95" s="5">
        <f t="shared" si="90"/>
        <v>0</v>
      </c>
      <c r="CT95" s="52">
        <f t="shared" si="100"/>
        <v>0</v>
      </c>
      <c r="CU95" s="77">
        <f t="shared" si="101"/>
        <v>0</v>
      </c>
      <c r="CV95" s="65">
        <f t="shared" si="102"/>
        <v>0</v>
      </c>
      <c r="CW95" s="35">
        <f t="shared" si="103"/>
        <v>0</v>
      </c>
      <c r="CX95" s="566"/>
      <c r="CY95" s="566"/>
      <c r="CZ95" s="52">
        <f t="shared" si="104"/>
        <v>0</v>
      </c>
      <c r="DA95" s="150">
        <f>'[2]побудинковий звіт'!DA95</f>
        <v>-4827.5076246538865</v>
      </c>
      <c r="DB95" s="2">
        <v>1</v>
      </c>
      <c r="DC95" s="414">
        <f>'[4]побудинковий звіт'!DC95</f>
        <v>2333.96</v>
      </c>
      <c r="DD95" s="414">
        <f>'[4]побудинковий звіт'!DD95</f>
        <v>104.99</v>
      </c>
      <c r="DE95" s="557">
        <f>'[4]побудинковий звіт'!DE95</f>
        <v>1854.5252139044642</v>
      </c>
      <c r="DF95" s="557">
        <f>'[4]побудинковий звіт'!DF95</f>
        <v>21.129999999999995</v>
      </c>
      <c r="DG95" s="321">
        <f>VLOOKUP(A95,'кошти 01.03.2021'!$A$6:$D$401,4,)</f>
        <v>-3247.5326196307551</v>
      </c>
      <c r="DH95" s="40">
        <f>'[3]побудинковий звіт'!DJ95</f>
        <v>6322.5282674079835</v>
      </c>
      <c r="DI95" s="422">
        <f>'[3]побудинковий звіт'!CU95+'[3]побудинковий звіт'!CX95</f>
        <v>584.4257547020278</v>
      </c>
      <c r="DJ95" s="306">
        <f>'[3]побудинковий звіт'!DM95</f>
        <v>1.7977905583303428</v>
      </c>
      <c r="DK95" s="306">
        <f t="shared" si="136"/>
        <v>1.7977905583303428</v>
      </c>
      <c r="DL95" s="306">
        <f>'[3]побудинковий звіт'!DO95</f>
        <v>1.7977905583303428</v>
      </c>
      <c r="DM95" s="28">
        <f t="shared" si="137"/>
        <v>479.43478609553586</v>
      </c>
      <c r="DN95" s="28">
        <v>83.86</v>
      </c>
      <c r="DO95" s="423">
        <f t="shared" si="105"/>
        <v>563.29478609553587</v>
      </c>
      <c r="DP95" s="94">
        <f t="shared" si="106"/>
        <v>21.130968606491933</v>
      </c>
      <c r="DQ95" s="28">
        <f t="shared" si="107"/>
        <v>563.29478609553587</v>
      </c>
      <c r="DR95" s="318"/>
      <c r="DT95" s="8"/>
      <c r="DU95" s="5"/>
      <c r="DX95" s="5">
        <f t="shared" si="108"/>
        <v>0</v>
      </c>
      <c r="DY95" s="5">
        <f t="shared" si="109"/>
        <v>0</v>
      </c>
      <c r="DZ95" s="159">
        <f>'[3]побудинковий звіт'!EA95</f>
        <v>385.22817177342858</v>
      </c>
    </row>
    <row r="96" spans="1:130" x14ac:dyDescent="0.3">
      <c r="A96" s="325">
        <v>150000570</v>
      </c>
      <c r="B96" s="41" t="s">
        <v>545</v>
      </c>
      <c r="C96" s="42" t="s">
        <v>75</v>
      </c>
      <c r="D96" s="42"/>
      <c r="E96" s="293">
        <f t="shared" si="85"/>
        <v>282.8</v>
      </c>
      <c r="F96" s="305">
        <f>'[3]побудинковий звіт'!F96</f>
        <v>282.8</v>
      </c>
      <c r="G96" s="508">
        <f>'[3]побудинковий звіт'!G96</f>
        <v>0</v>
      </c>
      <c r="H96" s="560">
        <f>'[3]побудинковий звіт'!H96</f>
        <v>0</v>
      </c>
      <c r="I96" s="566">
        <f>VLOOKUP($A96,'01-02.2021'!$A$6:$CZ$403,9,FALSE)+VLOOKUP($A96,'1.3.21-28.2.22'!$A$6:$DA$404,9,FALSE)-VLOOKUP($A96,'01-02.2022'!$A$6:$DA$376,9,FALSE)</f>
        <v>0</v>
      </c>
      <c r="J96" s="566">
        <f>VLOOKUP($A96,'01-02.2021'!$A$6:$CZ$403,10,FALSE)+VLOOKUP($A96,'1.3.21-28.2.22'!$A$6:$DA$404,10,FALSE)-VLOOKUP($A96,'01-02.2022'!$A$6:$DA$376,10,FALSE)</f>
        <v>0</v>
      </c>
      <c r="K96" s="52">
        <f t="shared" si="94"/>
        <v>0</v>
      </c>
      <c r="L96" s="566">
        <f>VLOOKUP($A96,'01-02.2021'!$A$6:$CZ$403,12,FALSE)+VLOOKUP($A96,'1.3.21-28.2.22'!$A$6:$DA$404,12,FALSE)-VLOOKUP($A96,'01-02.2022'!$A$6:$DA$376,12,FALSE)</f>
        <v>0</v>
      </c>
      <c r="M96" s="566">
        <f>VLOOKUP($A96,'01-02.2021'!$A$6:$CZ$403,13,FALSE)+VLOOKUP($A96,'1.3.21-28.2.22'!$A$6:$DA$404,13,FALSE)-VLOOKUP($A96,'01-02.2022'!$A$6:$DA$376,13,FALSE)</f>
        <v>0</v>
      </c>
      <c r="N96" s="52">
        <f t="shared" si="95"/>
        <v>0</v>
      </c>
      <c r="O96" s="566">
        <f>VLOOKUP($A96,'01-02.2021'!$A$6:$CZ$403,15,FALSE)+VLOOKUP($A96,'1.3.21-28.2.22'!$A$6:$DA$404,15,FALSE)-VLOOKUP($A96,'01-02.2022'!$A$6:$DA$376,15,FALSE)</f>
        <v>0</v>
      </c>
      <c r="P96" s="566">
        <f>VLOOKUP($A96,'01-02.2021'!$A$6:$CZ$403,16,FALSE)+VLOOKUP($A96,'1.3.21-28.2.22'!$A$6:$DA$404,16,FALSE)-VLOOKUP($A96,'01-02.2022'!$A$6:$DA$376,16,FALSE)</f>
        <v>0</v>
      </c>
      <c r="Q96" s="70">
        <f t="shared" si="111"/>
        <v>0</v>
      </c>
      <c r="R96" s="566">
        <f>VLOOKUP($A96,'01-02.2021'!$A$6:$CZ$403,18,FALSE)+VLOOKUP($A96,'1.3.21-28.2.22'!$A$6:$DA$404,18,FALSE)-VLOOKUP($A96,'01-02.2022'!$A$6:$DA$376,18,FALSE)</f>
        <v>0</v>
      </c>
      <c r="S96" s="566">
        <f>VLOOKUP($A96,'01-02.2021'!$A$6:$CZ$403,19,FALSE)+VLOOKUP($A96,'1.3.21-28.2.22'!$A$6:$DA$404,19,FALSE)-VLOOKUP($A96,'01-02.2022'!$A$6:$DA$376,19,FALSE)</f>
        <v>0</v>
      </c>
      <c r="T96" s="70">
        <f t="shared" si="112"/>
        <v>0</v>
      </c>
      <c r="U96" s="566">
        <f>VLOOKUP($A96,'01-02.2021'!$A$6:$CZ$403,21,FALSE)+VLOOKUP($A96,'1.3.21-28.2.22'!$A$6:$DA$404,21,FALSE)-VLOOKUP($A96,'01-02.2022'!$A$6:$DA$376,21,FALSE)</f>
        <v>0</v>
      </c>
      <c r="V96" s="566">
        <f>VLOOKUP($A96,'01-02.2021'!$A$6:$CZ$403,22,FALSE)+VLOOKUP($A96,'1.3.21-28.2.22'!$A$6:$DA$404,22,FALSE)-VLOOKUP($A96,'01-02.2022'!$A$6:$DA$376,22,FALSE)</f>
        <v>0</v>
      </c>
      <c r="W96" s="70">
        <f t="shared" si="113"/>
        <v>0</v>
      </c>
      <c r="X96" s="566">
        <f>VLOOKUP($A96,'01-02.2021'!$A$6:$CZ$403,24,FALSE)+VLOOKUP($A96,'1.3.21-28.2.22'!$A$6:$DA$404,24,FALSE)-VLOOKUP($A96,'01-02.2022'!$A$6:$DA$376,24,FALSE)</f>
        <v>0</v>
      </c>
      <c r="Y96" s="566">
        <f>VLOOKUP($A96,'01-02.2021'!$A$6:$CZ$403,25,FALSE)+VLOOKUP($A96,'1.3.21-28.2.22'!$A$6:$DA$404,25,FALSE)-VLOOKUP($A96,'01-02.2022'!$A$6:$DA$376,25,FALSE)</f>
        <v>0</v>
      </c>
      <c r="Z96" s="70">
        <f t="shared" si="114"/>
        <v>0</v>
      </c>
      <c r="AA96" s="566">
        <f>VLOOKUP($A96,'01-02.2021'!$A$6:$CZ$403,27,FALSE)+VLOOKUP($A96,'1.3.21-28.2.22'!$A$6:$DA$404,27,FALSE)-VLOOKUP($A96,'01-02.2022'!$A$6:$DA$376,27,FALSE)</f>
        <v>48.5</v>
      </c>
      <c r="AB96" s="566">
        <f>VLOOKUP($A96,'01-02.2021'!$A$6:$CZ$403,28,FALSE)+VLOOKUP($A96,'1.3.21-28.2.22'!$A$6:$DA$404,28,FALSE)-VLOOKUP($A96,'01-02.2022'!$A$6:$DA$376,28,FALSE)</f>
        <v>0</v>
      </c>
      <c r="AC96" s="70">
        <f t="shared" si="115"/>
        <v>-48.5</v>
      </c>
      <c r="AD96" s="566">
        <f>VLOOKUP($A96,'01-02.2021'!$A$6:$CZ$403,30,FALSE)+VLOOKUP($A96,'1.3.21-28.2.22'!$A$6:$DA$404,30,FALSE)-VLOOKUP($A96,'01-02.2022'!$A$6:$DA$376,30,FALSE)</f>
        <v>388.29271325054958</v>
      </c>
      <c r="AE96" s="566">
        <f>VLOOKUP($A96,'01-02.2021'!$A$6:$CZ$403,31,FALSE)+VLOOKUP($A96,'1.3.21-28.2.22'!$A$6:$DA$404,31,FALSE)-VLOOKUP($A96,'01-02.2022'!$A$6:$DA$376,31,FALSE)</f>
        <v>1287.3169946484006</v>
      </c>
      <c r="AF96" s="68">
        <f t="shared" si="116"/>
        <v>899.02428139785104</v>
      </c>
      <c r="AG96" s="77">
        <f t="shared" si="86"/>
        <v>436.79271325054958</v>
      </c>
      <c r="AH96" s="53">
        <f t="shared" si="86"/>
        <v>1287.3169946484006</v>
      </c>
      <c r="AI96" s="52">
        <f t="shared" si="96"/>
        <v>850.52428139785104</v>
      </c>
      <c r="AJ96" s="566">
        <f>VLOOKUP($A96,'01-02.2021'!$A$6:$CZ$403,36,FALSE)+VLOOKUP($A96,'1.3.21-28.2.22'!$A$6:$DA$404,36,FALSE)-VLOOKUP($A96,'01-02.2022'!$A$6:$DA$376,36,FALSE)</f>
        <v>0</v>
      </c>
      <c r="AK96" s="566">
        <f>VLOOKUP($A96,'01-02.2021'!$A$6:$CZ$403,37,FALSE)+VLOOKUP($A96,'1.3.21-28.2.22'!$A$6:$DA$404,37,FALSE)-VLOOKUP($A96,'01-02.2022'!$A$6:$DA$376,37,FALSE)</f>
        <v>0</v>
      </c>
      <c r="AL96" s="70">
        <f t="shared" si="117"/>
        <v>0</v>
      </c>
      <c r="AM96" s="566">
        <f>VLOOKUP($A96,'01-02.2021'!$A$6:$CZ$403,39,FALSE)+VLOOKUP($A96,'1.3.21-28.2.22'!$A$6:$DA$404,39,FALSE)-VLOOKUP($A96,'01-02.2022'!$A$6:$DA$376,39,FALSE)</f>
        <v>0</v>
      </c>
      <c r="AN96" s="566">
        <f>VLOOKUP($A96,'01-02.2021'!$A$6:$CZ$403,40,FALSE)+VLOOKUP($A96,'1.3.21-28.2.22'!$A$6:$DA$404,40,FALSE)-VLOOKUP($A96,'01-02.2022'!$A$6:$DA$376,40,FALSE)</f>
        <v>0</v>
      </c>
      <c r="AO96" s="70">
        <f t="shared" si="118"/>
        <v>0</v>
      </c>
      <c r="AP96" s="566">
        <f>VLOOKUP($A96,'01-02.2021'!$A$6:$CZ$403,42,FALSE)+VLOOKUP($A96,'1.3.21-28.2.22'!$A$6:$DA$404,42,FALSE)-VLOOKUP($A96,'01-02.2022'!$A$6:$DA$376,42,FALSE)</f>
        <v>433.79993751064791</v>
      </c>
      <c r="AQ96" s="566">
        <f>VLOOKUP($A96,'01-02.2021'!$A$6:$CZ$403,43,FALSE)+VLOOKUP($A96,'1.3.21-28.2.22'!$A$6:$DA$404,43,FALSE)-VLOOKUP($A96,'01-02.2022'!$A$6:$DA$376,43,FALSE)</f>
        <v>373.97041602492402</v>
      </c>
      <c r="AR96" s="70">
        <f t="shared" si="119"/>
        <v>-59.829521485723888</v>
      </c>
      <c r="AS96" s="566">
        <f>VLOOKUP($A96,'01-02.2021'!$A$6:$CZ$403,45,FALSE)+VLOOKUP($A96,'1.3.21-28.2.22'!$A$6:$DA$404,45,FALSE)-VLOOKUP($A96,'01-02.2022'!$A$6:$DA$376,45,FALSE)</f>
        <v>2339.4307695534371</v>
      </c>
      <c r="AT96" s="566">
        <f>VLOOKUP($A96,'01-02.2021'!$A$6:$CZ$403,46,FALSE)+VLOOKUP($A96,'1.3.21-28.2.22'!$A$6:$DA$404,46,FALSE)-VLOOKUP($A96,'01-02.2022'!$A$6:$DA$376,46,FALSE)</f>
        <v>0</v>
      </c>
      <c r="AU96" s="78">
        <f t="shared" si="120"/>
        <v>-2339.4307695534371</v>
      </c>
      <c r="AV96" s="566">
        <f>VLOOKUP($A96,'01-02.2021'!$A$6:$CZ$403,48,FALSE)+VLOOKUP($A96,'1.3.21-28.2.22'!$A$6:$DA$404,48,FALSE)-VLOOKUP($A96,'01-02.2022'!$A$6:$DA$376,48,FALSE)</f>
        <v>0</v>
      </c>
      <c r="AW96" s="566">
        <f>VLOOKUP($A96,'01-02.2021'!$A$6:$CZ$403,49,FALSE)+VLOOKUP($A96,'1.3.21-28.2.22'!$A$6:$DA$404,49,FALSE)-VLOOKUP($A96,'01-02.2022'!$A$6:$DA$376,49,FALSE)</f>
        <v>0</v>
      </c>
      <c r="AX96" s="55">
        <f t="shared" si="121"/>
        <v>0</v>
      </c>
      <c r="AY96" s="566">
        <f>VLOOKUP($A96,'01-02.2021'!$A$6:$CZ$403,51,FALSE)+VLOOKUP($A96,'1.3.21-28.2.22'!$A$6:$DA$404,51,FALSE)-VLOOKUP($A96,'01-02.2022'!$A$6:$DA$376,51,FALSE)</f>
        <v>0</v>
      </c>
      <c r="AZ96" s="566">
        <f>VLOOKUP($A96,'01-02.2021'!$A$6:$CZ$403,52,FALSE)+VLOOKUP($A96,'1.3.21-28.2.22'!$A$6:$DA$404,52,FALSE)-VLOOKUP($A96,'01-02.2022'!$A$6:$DA$376,52,FALSE)</f>
        <v>0</v>
      </c>
      <c r="BA96" s="38">
        <f t="shared" si="122"/>
        <v>0</v>
      </c>
      <c r="BB96" s="566">
        <f>VLOOKUP($A96,'01-02.2021'!$A$6:$CZ$403,54,FALSE)+VLOOKUP($A96,'1.3.21-28.2.22'!$A$6:$DA$404,54,FALSE)-VLOOKUP($A96,'01-02.2022'!$A$6:$DA$376,54,FALSE)</f>
        <v>0</v>
      </c>
      <c r="BC96" s="566">
        <f>VLOOKUP($A96,'01-02.2021'!$A$6:$CZ$403,55,FALSE)+VLOOKUP($A96,'1.3.21-28.2.22'!$A$6:$DA$404,55,FALSE)-VLOOKUP($A96,'01-02.2022'!$A$6:$DA$376,55,FALSE)</f>
        <v>0</v>
      </c>
      <c r="BD96" s="55">
        <f t="shared" si="123"/>
        <v>0</v>
      </c>
      <c r="BE96" s="566">
        <f>VLOOKUP($A96,'01-02.2021'!$A$6:$CZ$403,57,FALSE)+VLOOKUP($A96,'1.3.21-28.2.22'!$A$6:$DA$404,57,FALSE)-VLOOKUP($A96,'01-02.2022'!$A$6:$DA$376,57,FALSE)</f>
        <v>0</v>
      </c>
      <c r="BF96" s="566">
        <f>VLOOKUP($A96,'01-02.2021'!$A$6:$CZ$403,58,FALSE)+VLOOKUP($A96,'1.3.21-28.2.22'!$A$6:$DA$404,58,FALSE)-VLOOKUP($A96,'01-02.2022'!$A$6:$DA$376,58,FALSE)</f>
        <v>0</v>
      </c>
      <c r="BG96" s="55">
        <f t="shared" si="124"/>
        <v>0</v>
      </c>
      <c r="BH96" s="566">
        <f>VLOOKUP($A96,'01-02.2021'!$A$6:$CZ$403,60,FALSE)+VLOOKUP($A96,'1.3.21-28.2.22'!$A$6:$DA$404,60,FALSE)-VLOOKUP($A96,'01-02.2022'!$A$6:$DA$376,60,FALSE)</f>
        <v>0</v>
      </c>
      <c r="BI96" s="566">
        <f>VLOOKUP($A96,'01-02.2021'!$A$6:$CZ$403,61,FALSE)+VLOOKUP($A96,'1.3.21-28.2.22'!$A$6:$DA$404,61,FALSE)-VLOOKUP($A96,'01-02.2022'!$A$6:$DA$376,61,FALSE)</f>
        <v>0</v>
      </c>
      <c r="BJ96" s="55">
        <f t="shared" si="125"/>
        <v>0</v>
      </c>
      <c r="BK96" s="566">
        <f>VLOOKUP($A96,'01-02.2021'!$A$6:$CZ$403,63,FALSE)+VLOOKUP($A96,'1.3.21-28.2.22'!$A$6:$DA$404,63,FALSE)-VLOOKUP($A96,'01-02.2022'!$A$6:$DA$376,63,FALSE)</f>
        <v>0</v>
      </c>
      <c r="BL96" s="566">
        <f>VLOOKUP($A96,'01-02.2021'!$A$6:$CZ$403,64,FALSE)+VLOOKUP($A96,'1.3.21-28.2.22'!$A$6:$DA$404,64,FALSE)-VLOOKUP($A96,'01-02.2022'!$A$6:$DA$376,64,FALSE)</f>
        <v>0</v>
      </c>
      <c r="BM96" s="55">
        <f t="shared" si="126"/>
        <v>0</v>
      </c>
      <c r="BN96" s="566">
        <f>VLOOKUP($A96,'01-02.2021'!$A$6:$CZ$403,66,FALSE)+VLOOKUP($A96,'1.3.21-28.2.22'!$A$6:$DA$404,66,FALSE)-VLOOKUP($A96,'01-02.2022'!$A$6:$DA$376,66,FALSE)</f>
        <v>16.838042793708642</v>
      </c>
      <c r="BO96" s="566">
        <f>VLOOKUP($A96,'01-02.2021'!$A$6:$CZ$403,67,FALSE)+VLOOKUP($A96,'1.3.21-28.2.22'!$A$6:$DA$404,67,FALSE)-VLOOKUP($A96,'01-02.2022'!$A$6:$DA$376,67,FALSE)</f>
        <v>0</v>
      </c>
      <c r="BP96" s="55">
        <f t="shared" si="127"/>
        <v>-16.838042793708642</v>
      </c>
      <c r="BQ96" s="77">
        <f t="shared" si="87"/>
        <v>16.838042793708642</v>
      </c>
      <c r="BR96" s="40">
        <f t="shared" si="88"/>
        <v>0</v>
      </c>
      <c r="BS96" s="55">
        <f t="shared" si="110"/>
        <v>-16.838042793708642</v>
      </c>
      <c r="BT96" s="566">
        <f>VLOOKUP($A96,'01-02.2021'!$A$6:$CZ$403,72,FALSE)+VLOOKUP($A96,'1.3.21-28.2.22'!$A$6:$DA$404,72,FALSE)-VLOOKUP($A96,'01-02.2022'!$A$6:$DA$376,72,FALSE)</f>
        <v>725.78599287732436</v>
      </c>
      <c r="BU96" s="566">
        <f>VLOOKUP($A96,'01-02.2021'!$A$6:$CZ$403,73,FALSE)+VLOOKUP($A96,'1.3.21-28.2.22'!$A$6:$DA$404,73,FALSE)-VLOOKUP($A96,'01-02.2022'!$A$6:$DA$376,73,FALSE)</f>
        <v>1126.0336683023995</v>
      </c>
      <c r="BV96" s="70">
        <f t="shared" si="128"/>
        <v>400.24767542507516</v>
      </c>
      <c r="BW96" s="566">
        <f>VLOOKUP($A96,'01-02.2021'!$A$6:$CZ$403,75,FALSE)+VLOOKUP($A96,'1.3.21-28.2.22'!$A$6:$DA$404,75,FALSE)-VLOOKUP($A96,'01-02.2022'!$A$6:$DA$376,75,FALSE)</f>
        <v>0</v>
      </c>
      <c r="BX96" s="566">
        <f>VLOOKUP($A96,'01-02.2021'!$A$6:$CZ$403,76,FALSE)+VLOOKUP($A96,'1.3.21-28.2.22'!$A$6:$DA$404,76,FALSE)-VLOOKUP($A96,'01-02.2022'!$A$6:$DA$376,76,FALSE)</f>
        <v>6.3379978199867555</v>
      </c>
      <c r="BY96" s="70">
        <f t="shared" si="129"/>
        <v>6.3379978199867555</v>
      </c>
      <c r="BZ96" s="566">
        <f>VLOOKUP($A96,'01-02.2021'!$A$6:$CZ$403,78,FALSE)+VLOOKUP($A96,'1.3.21-28.2.22'!$A$6:$DA$404,78,FALSE)-VLOOKUP($A96,'01-02.2022'!$A$6:$DA$376,78,FALSE)</f>
        <v>0</v>
      </c>
      <c r="CA96" s="566">
        <f>VLOOKUP($A96,'01-02.2021'!$A$6:$CZ$403,79,FALSE)+VLOOKUP($A96,'1.3.21-28.2.22'!$A$6:$DA$404,79,FALSE)-VLOOKUP($A96,'01-02.2022'!$A$6:$DA$376,79,FALSE)</f>
        <v>68.664368367676786</v>
      </c>
      <c r="CB96" s="70">
        <f t="shared" si="130"/>
        <v>68.664368367676786</v>
      </c>
      <c r="CC96" s="566">
        <f>VLOOKUP($A96,'01-02.2021'!$A$6:$CZ$403,81,FALSE)+VLOOKUP($A96,'1.3.21-28.2.22'!$A$6:$DA$404,81,FALSE)-VLOOKUP($A96,'01-02.2022'!$A$6:$DA$376,81,FALSE)</f>
        <v>0</v>
      </c>
      <c r="CD96" s="566">
        <f>VLOOKUP($A96,'01-02.2021'!$A$6:$CZ$403,82,FALSE)+VLOOKUP($A96,'1.3.21-28.2.22'!$A$6:$DA$404,82,FALSE)-VLOOKUP($A96,'01-02.2022'!$A$6:$DA$376,82,FALSE)</f>
        <v>0</v>
      </c>
      <c r="CE96" s="70">
        <f t="shared" si="131"/>
        <v>0</v>
      </c>
      <c r="CF96" s="566">
        <f>VLOOKUP($A96,'01-02.2021'!$A$6:$CZ$403,84,FALSE)+VLOOKUP($A96,'1.3.21-28.2.22'!$A$6:$DA$404,84,FALSE)-VLOOKUP($A96,'01-02.2022'!$A$6:$DA$376,84,FALSE)</f>
        <v>0</v>
      </c>
      <c r="CG96" s="566">
        <f>VLOOKUP($A96,'01-02.2021'!$A$6:$CZ$403,85,FALSE)+VLOOKUP($A96,'1.3.21-28.2.22'!$A$6:$DA$404,85,FALSE)-VLOOKUP($A96,'01-02.2022'!$A$6:$DA$376,85,FALSE)</f>
        <v>0</v>
      </c>
      <c r="CH96" s="70">
        <f t="shared" si="132"/>
        <v>0</v>
      </c>
      <c r="CI96" s="566">
        <f>VLOOKUP($A96,'01-02.2021'!$A$6:$CZ$403,87,FALSE)+VLOOKUP($A96,'1.3.21-28.2.22'!$A$6:$DA$404,87,FALSE)-VLOOKUP($A96,'01-02.2022'!$A$6:$DA$376,87,FALSE)</f>
        <v>0</v>
      </c>
      <c r="CJ96" s="566">
        <f>VLOOKUP($A96,'01-02.2021'!$A$6:$CZ$403,88,FALSE)+VLOOKUP($A96,'1.3.21-28.2.22'!$A$6:$DA$404,88,FALSE)-VLOOKUP($A96,'01-02.2022'!$A$6:$DA$376,88,FALSE)</f>
        <v>0</v>
      </c>
      <c r="CK96" s="70">
        <f t="shared" si="133"/>
        <v>0</v>
      </c>
      <c r="CL96" s="566">
        <f>VLOOKUP($A96,'01-02.2021'!$A$6:$CZ$403,90,FALSE)+VLOOKUP($A96,'1.3.21-28.2.22'!$A$6:$DA$404,90,FALSE)-VLOOKUP($A96,'01-02.2022'!$A$6:$DA$376,90,FALSE)</f>
        <v>0</v>
      </c>
      <c r="CM96" s="566">
        <f>VLOOKUP($A96,'01-02.2021'!$A$6:$CZ$403,91,FALSE)+VLOOKUP($A96,'1.3.21-28.2.22'!$A$6:$DA$404,91,FALSE)-VLOOKUP($A96,'01-02.2022'!$A$6:$DA$376,91,FALSE)</f>
        <v>0</v>
      </c>
      <c r="CN96" s="52">
        <f t="shared" si="97"/>
        <v>0</v>
      </c>
      <c r="CO96" s="39">
        <f t="shared" si="89"/>
        <v>0</v>
      </c>
      <c r="CP96" s="40">
        <f t="shared" si="98"/>
        <v>0</v>
      </c>
      <c r="CQ96" s="52">
        <f t="shared" si="99"/>
        <v>0</v>
      </c>
      <c r="CR96" s="72">
        <f t="shared" si="90"/>
        <v>3952.6474559856679</v>
      </c>
      <c r="CS96" s="5">
        <f t="shared" si="90"/>
        <v>2862.3234451633875</v>
      </c>
      <c r="CT96" s="52">
        <f t="shared" si="100"/>
        <v>-1090.3240108222803</v>
      </c>
      <c r="CU96" s="77">
        <f t="shared" si="101"/>
        <v>4743.1769471828011</v>
      </c>
      <c r="CV96" s="65">
        <f t="shared" si="102"/>
        <v>3434.7881341960651</v>
      </c>
      <c r="CW96" s="35">
        <f t="shared" si="103"/>
        <v>-1308.388812986736</v>
      </c>
      <c r="CX96" s="566">
        <f>VLOOKUP($A96,'01-02.2021'!$A$6:$CZ$403,102,FALSE)+VLOOKUP($A96,'1.3.21-28.2.22'!$A$6:$DA$404,102,FALSE)-VLOOKUP($A96,'01-02.2022'!$A$6:$DA$376,102,FALSE)</f>
        <v>161.13397660459128</v>
      </c>
      <c r="CY96" s="566">
        <f>VLOOKUP($A96,'01-02.2021'!$A$6:$CZ$403,103,FALSE)+VLOOKUP($A96,'1.3.21-28.2.22'!$A$6:$DA$404,103,FALSE)-VLOOKUP($A96,'01-02.2022'!$A$6:$DA$376,103,FALSE)</f>
        <v>1469.5227895913274</v>
      </c>
      <c r="CZ96" s="52">
        <f t="shared" si="104"/>
        <v>1308.3888129867362</v>
      </c>
      <c r="DA96" s="150">
        <f>'[2]побудинковий звіт'!DA96</f>
        <v>-7377.5090791715511</v>
      </c>
      <c r="DB96" s="2">
        <v>1</v>
      </c>
      <c r="DC96" s="414">
        <f>'[4]побудинковий звіт'!DC96</f>
        <v>663.78</v>
      </c>
      <c r="DD96" s="414">
        <f>'[4]побудинковий звіт'!DD96</f>
        <v>0</v>
      </c>
      <c r="DE96" s="557">
        <f>'[4]побудинковий звіт'!DE96</f>
        <v>195.16318335501853</v>
      </c>
      <c r="DF96" s="557">
        <f>'[4]побудинковий звіт'!DF96</f>
        <v>0</v>
      </c>
      <c r="DG96" s="321">
        <f>VLOOKUP(A96,'кошти 01.03.2021'!$A$6:$D$401,4,)</f>
        <v>-6207.2817710510089</v>
      </c>
      <c r="DH96" s="40">
        <f>'[3]побудинковий звіт'!DJ96</f>
        <v>5189.5914914252326</v>
      </c>
      <c r="DI96" s="422">
        <f>'[3]побудинковий звіт'!CU96+'[3]побудинковий звіт'!CX96</f>
        <v>468.61681664498144</v>
      </c>
      <c r="DJ96" s="306">
        <f>'[3]побудинковий звіт'!DM96</f>
        <v>1.6570608792255355</v>
      </c>
      <c r="DK96" s="306">
        <f t="shared" si="136"/>
        <v>1.6570608792255355</v>
      </c>
      <c r="DL96" s="306">
        <f>'[3]побудинковий звіт'!DO96</f>
        <v>1.6570608792255355</v>
      </c>
      <c r="DM96" s="28">
        <f t="shared" si="137"/>
        <v>468.61681664498144</v>
      </c>
      <c r="DN96" s="28">
        <f>H96*DL96</f>
        <v>0</v>
      </c>
      <c r="DO96" s="423">
        <f t="shared" si="105"/>
        <v>468.61681664498144</v>
      </c>
      <c r="DP96" s="94">
        <f t="shared" si="106"/>
        <v>0</v>
      </c>
      <c r="DQ96" s="28">
        <f t="shared" si="107"/>
        <v>468.61681664498144</v>
      </c>
      <c r="DR96" s="318"/>
      <c r="DT96" s="8"/>
      <c r="DU96" s="5"/>
      <c r="DX96" s="5">
        <f t="shared" si="108"/>
        <v>2827.5225748165749</v>
      </c>
      <c r="DY96" s="5">
        <f t="shared" si="109"/>
        <v>0</v>
      </c>
      <c r="DZ96" s="159">
        <f>'[3]побудинковий звіт'!EA96</f>
        <v>285.41580012371622</v>
      </c>
    </row>
    <row r="97" spans="1:130" x14ac:dyDescent="0.3">
      <c r="A97" s="325">
        <v>150000572</v>
      </c>
      <c r="B97" s="41" t="s">
        <v>546</v>
      </c>
      <c r="C97" s="42" t="s">
        <v>153</v>
      </c>
      <c r="D97" s="42"/>
      <c r="E97" s="293">
        <f t="shared" si="85"/>
        <v>171.6</v>
      </c>
      <c r="F97" s="305">
        <f>'[3]побудинковий звіт'!F97</f>
        <v>171.6</v>
      </c>
      <c r="G97" s="508">
        <f>'[3]побудинковий звіт'!G97</f>
        <v>0</v>
      </c>
      <c r="H97" s="560">
        <f>'[3]побудинковий звіт'!H97</f>
        <v>0</v>
      </c>
      <c r="I97" s="566">
        <f>VLOOKUP($A97,'01-02.2021'!$A$6:$CZ$403,9,FALSE)+VLOOKUP($A97,'1.3.21-28.2.22'!$A$6:$DA$404,9,FALSE)-VLOOKUP($A97,'01-02.2022'!$A$6:$DA$376,9,FALSE)</f>
        <v>1007.7492542266378</v>
      </c>
      <c r="J97" s="566">
        <f>VLOOKUP($A97,'01-02.2021'!$A$6:$CZ$403,10,FALSE)+VLOOKUP($A97,'1.3.21-28.2.22'!$A$6:$DA$404,10,FALSE)-VLOOKUP($A97,'01-02.2022'!$A$6:$DA$376,10,FALSE)</f>
        <v>869.6575809417501</v>
      </c>
      <c r="K97" s="52">
        <f t="shared" si="94"/>
        <v>-138.09167328488775</v>
      </c>
      <c r="L97" s="566">
        <f>VLOOKUP($A97,'01-02.2021'!$A$6:$CZ$403,12,FALSE)+VLOOKUP($A97,'1.3.21-28.2.22'!$A$6:$DA$404,12,FALSE)-VLOOKUP($A97,'01-02.2022'!$A$6:$DA$376,12,FALSE)</f>
        <v>196.97507694340359</v>
      </c>
      <c r="M97" s="566">
        <f>VLOOKUP($A97,'01-02.2021'!$A$6:$CZ$403,13,FALSE)+VLOOKUP($A97,'1.3.21-28.2.22'!$A$6:$DA$404,13,FALSE)-VLOOKUP($A97,'01-02.2022'!$A$6:$DA$376,13,FALSE)</f>
        <v>177.40026367775246</v>
      </c>
      <c r="N97" s="52">
        <f t="shared" si="95"/>
        <v>-19.57481326565113</v>
      </c>
      <c r="O97" s="566">
        <f>VLOOKUP($A97,'01-02.2021'!$A$6:$CZ$403,15,FALSE)+VLOOKUP($A97,'1.3.21-28.2.22'!$A$6:$DA$404,15,FALSE)-VLOOKUP($A97,'01-02.2022'!$A$6:$DA$376,15,FALSE)</f>
        <v>0</v>
      </c>
      <c r="P97" s="566">
        <f>VLOOKUP($A97,'01-02.2021'!$A$6:$CZ$403,16,FALSE)+VLOOKUP($A97,'1.3.21-28.2.22'!$A$6:$DA$404,16,FALSE)-VLOOKUP($A97,'01-02.2022'!$A$6:$DA$376,16,FALSE)</f>
        <v>0</v>
      </c>
      <c r="Q97" s="70">
        <f t="shared" si="111"/>
        <v>0</v>
      </c>
      <c r="R97" s="566">
        <f>VLOOKUP($A97,'01-02.2021'!$A$6:$CZ$403,18,FALSE)+VLOOKUP($A97,'1.3.21-28.2.22'!$A$6:$DA$404,18,FALSE)-VLOOKUP($A97,'01-02.2022'!$A$6:$DA$376,18,FALSE)</f>
        <v>0</v>
      </c>
      <c r="S97" s="566">
        <f>VLOOKUP($A97,'01-02.2021'!$A$6:$CZ$403,19,FALSE)+VLOOKUP($A97,'1.3.21-28.2.22'!$A$6:$DA$404,19,FALSE)-VLOOKUP($A97,'01-02.2022'!$A$6:$DA$376,19,FALSE)</f>
        <v>0</v>
      </c>
      <c r="T97" s="70">
        <f t="shared" si="112"/>
        <v>0</v>
      </c>
      <c r="U97" s="566">
        <f>VLOOKUP($A97,'01-02.2021'!$A$6:$CZ$403,21,FALSE)+VLOOKUP($A97,'1.3.21-28.2.22'!$A$6:$DA$404,21,FALSE)-VLOOKUP($A97,'01-02.2022'!$A$6:$DA$376,21,FALSE)</f>
        <v>0</v>
      </c>
      <c r="V97" s="566">
        <f>VLOOKUP($A97,'01-02.2021'!$A$6:$CZ$403,22,FALSE)+VLOOKUP($A97,'1.3.21-28.2.22'!$A$6:$DA$404,22,FALSE)-VLOOKUP($A97,'01-02.2022'!$A$6:$DA$376,22,FALSE)</f>
        <v>0</v>
      </c>
      <c r="W97" s="70">
        <f t="shared" si="113"/>
        <v>0</v>
      </c>
      <c r="X97" s="566">
        <f>VLOOKUP($A97,'01-02.2021'!$A$6:$CZ$403,24,FALSE)+VLOOKUP($A97,'1.3.21-28.2.22'!$A$6:$DA$404,24,FALSE)-VLOOKUP($A97,'01-02.2022'!$A$6:$DA$376,24,FALSE)</f>
        <v>24.982085747122952</v>
      </c>
      <c r="Y97" s="566">
        <f>VLOOKUP($A97,'01-02.2021'!$A$6:$CZ$403,25,FALSE)+VLOOKUP($A97,'1.3.21-28.2.22'!$A$6:$DA$404,25,FALSE)-VLOOKUP($A97,'01-02.2022'!$A$6:$DA$376,25,FALSE)</f>
        <v>21.737392952245632</v>
      </c>
      <c r="Z97" s="70">
        <f t="shared" si="114"/>
        <v>-3.2446927948773201</v>
      </c>
      <c r="AA97" s="566">
        <f>VLOOKUP($A97,'01-02.2021'!$A$6:$CZ$403,27,FALSE)+VLOOKUP($A97,'1.3.21-28.2.22'!$A$6:$DA$404,27,FALSE)-VLOOKUP($A97,'01-02.2022'!$A$6:$DA$376,27,FALSE)</f>
        <v>34.32</v>
      </c>
      <c r="AB97" s="566">
        <f>VLOOKUP($A97,'01-02.2021'!$A$6:$CZ$403,28,FALSE)+VLOOKUP($A97,'1.3.21-28.2.22'!$A$6:$DA$404,28,FALSE)-VLOOKUP($A97,'01-02.2022'!$A$6:$DA$376,28,FALSE)</f>
        <v>0</v>
      </c>
      <c r="AC97" s="70">
        <f t="shared" si="115"/>
        <v>-34.32</v>
      </c>
      <c r="AD97" s="566">
        <f>VLOOKUP($A97,'01-02.2021'!$A$6:$CZ$403,30,FALSE)+VLOOKUP($A97,'1.3.21-28.2.22'!$A$6:$DA$404,30,FALSE)-VLOOKUP($A97,'01-02.2022'!$A$6:$DA$376,30,FALSE)</f>
        <v>702.71744687117211</v>
      </c>
      <c r="AE97" s="566">
        <f>VLOOKUP($A97,'01-02.2021'!$A$6:$CZ$403,31,FALSE)+VLOOKUP($A97,'1.3.21-28.2.22'!$A$6:$DA$404,31,FALSE)-VLOOKUP($A97,'01-02.2022'!$A$6:$DA$376,31,FALSE)</f>
        <v>781.13011415016115</v>
      </c>
      <c r="AF97" s="68">
        <f t="shared" si="116"/>
        <v>78.412667278989034</v>
      </c>
      <c r="AG97" s="77">
        <f t="shared" si="86"/>
        <v>1966.7438637883365</v>
      </c>
      <c r="AH97" s="53">
        <f t="shared" si="86"/>
        <v>1849.9253517219095</v>
      </c>
      <c r="AI97" s="52">
        <f t="shared" si="96"/>
        <v>-116.81851206642705</v>
      </c>
      <c r="AJ97" s="566">
        <f>VLOOKUP($A97,'01-02.2021'!$A$6:$CZ$403,36,FALSE)+VLOOKUP($A97,'1.3.21-28.2.22'!$A$6:$DA$404,36,FALSE)-VLOOKUP($A97,'01-02.2022'!$A$6:$DA$376,36,FALSE)</f>
        <v>0</v>
      </c>
      <c r="AK97" s="566">
        <f>VLOOKUP($A97,'01-02.2021'!$A$6:$CZ$403,37,FALSE)+VLOOKUP($A97,'1.3.21-28.2.22'!$A$6:$DA$404,37,FALSE)-VLOOKUP($A97,'01-02.2022'!$A$6:$DA$376,37,FALSE)</f>
        <v>0</v>
      </c>
      <c r="AL97" s="70">
        <f t="shared" si="117"/>
        <v>0</v>
      </c>
      <c r="AM97" s="566">
        <f>VLOOKUP($A97,'01-02.2021'!$A$6:$CZ$403,39,FALSE)+VLOOKUP($A97,'1.3.21-28.2.22'!$A$6:$DA$404,39,FALSE)-VLOOKUP($A97,'01-02.2022'!$A$6:$DA$376,39,FALSE)</f>
        <v>0</v>
      </c>
      <c r="AN97" s="566">
        <f>VLOOKUP($A97,'01-02.2021'!$A$6:$CZ$403,40,FALSE)+VLOOKUP($A97,'1.3.21-28.2.22'!$A$6:$DA$404,40,FALSE)-VLOOKUP($A97,'01-02.2022'!$A$6:$DA$376,40,FALSE)</f>
        <v>0</v>
      </c>
      <c r="AO97" s="70">
        <f t="shared" si="118"/>
        <v>0</v>
      </c>
      <c r="AP97" s="566">
        <f>VLOOKUP($A97,'01-02.2021'!$A$6:$CZ$403,42,FALSE)+VLOOKUP($A97,'1.3.21-28.2.22'!$A$6:$DA$404,42,FALSE)-VLOOKUP($A97,'01-02.2022'!$A$6:$DA$376,42,FALSE)</f>
        <v>433.79993751064791</v>
      </c>
      <c r="AQ97" s="566">
        <f>VLOOKUP($A97,'01-02.2021'!$A$6:$CZ$403,43,FALSE)+VLOOKUP($A97,'1.3.21-28.2.22'!$A$6:$DA$404,43,FALSE)-VLOOKUP($A97,'01-02.2022'!$A$6:$DA$376,43,FALSE)</f>
        <v>373.97041602492402</v>
      </c>
      <c r="AR97" s="70">
        <f t="shared" si="119"/>
        <v>-59.829521485723888</v>
      </c>
      <c r="AS97" s="566">
        <f>VLOOKUP($A97,'01-02.2021'!$A$6:$CZ$403,45,FALSE)+VLOOKUP($A97,'1.3.21-28.2.22'!$A$6:$DA$404,45,FALSE)-VLOOKUP($A97,'01-02.2022'!$A$6:$DA$376,45,FALSE)</f>
        <v>2571.9430500166245</v>
      </c>
      <c r="AT97" s="566">
        <f>VLOOKUP($A97,'01-02.2021'!$A$6:$CZ$403,46,FALSE)+VLOOKUP($A97,'1.3.21-28.2.22'!$A$6:$DA$404,46,FALSE)-VLOOKUP($A97,'01-02.2022'!$A$6:$DA$376,46,FALSE)</f>
        <v>0</v>
      </c>
      <c r="AU97" s="78">
        <f t="shared" si="120"/>
        <v>-2571.9430500166245</v>
      </c>
      <c r="AV97" s="566">
        <f>VLOOKUP($A97,'01-02.2021'!$A$6:$CZ$403,48,FALSE)+VLOOKUP($A97,'1.3.21-28.2.22'!$A$6:$DA$404,48,FALSE)-VLOOKUP($A97,'01-02.2022'!$A$6:$DA$376,48,FALSE)</f>
        <v>321.86281795326789</v>
      </c>
      <c r="AW97" s="566">
        <f>VLOOKUP($A97,'01-02.2021'!$A$6:$CZ$403,49,FALSE)+VLOOKUP($A97,'1.3.21-28.2.22'!$A$6:$DA$404,49,FALSE)-VLOOKUP($A97,'01-02.2022'!$A$6:$DA$376,49,FALSE)</f>
        <v>0</v>
      </c>
      <c r="AX97" s="55">
        <f t="shared" si="121"/>
        <v>-321.86281795326789</v>
      </c>
      <c r="AY97" s="566">
        <f>VLOOKUP($A97,'01-02.2021'!$A$6:$CZ$403,51,FALSE)+VLOOKUP($A97,'1.3.21-28.2.22'!$A$6:$DA$404,51,FALSE)-VLOOKUP($A97,'01-02.2022'!$A$6:$DA$376,51,FALSE)</f>
        <v>370.29577566930436</v>
      </c>
      <c r="AZ97" s="566">
        <f>VLOOKUP($A97,'01-02.2021'!$A$6:$CZ$403,52,FALSE)+VLOOKUP($A97,'1.3.21-28.2.22'!$A$6:$DA$404,52,FALSE)-VLOOKUP($A97,'01-02.2022'!$A$6:$DA$376,52,FALSE)</f>
        <v>0</v>
      </c>
      <c r="BA97" s="38">
        <f t="shared" si="122"/>
        <v>-370.29577566930436</v>
      </c>
      <c r="BB97" s="566">
        <f>VLOOKUP($A97,'01-02.2021'!$A$6:$CZ$403,54,FALSE)+VLOOKUP($A97,'1.3.21-28.2.22'!$A$6:$DA$404,54,FALSE)-VLOOKUP($A97,'01-02.2022'!$A$6:$DA$376,54,FALSE)</f>
        <v>0</v>
      </c>
      <c r="BC97" s="566">
        <f>VLOOKUP($A97,'01-02.2021'!$A$6:$CZ$403,55,FALSE)+VLOOKUP($A97,'1.3.21-28.2.22'!$A$6:$DA$404,55,FALSE)-VLOOKUP($A97,'01-02.2022'!$A$6:$DA$376,55,FALSE)</f>
        <v>0</v>
      </c>
      <c r="BD97" s="55">
        <f t="shared" si="123"/>
        <v>0</v>
      </c>
      <c r="BE97" s="566">
        <f>VLOOKUP($A97,'01-02.2021'!$A$6:$CZ$403,57,FALSE)+VLOOKUP($A97,'1.3.21-28.2.22'!$A$6:$DA$404,57,FALSE)-VLOOKUP($A97,'01-02.2022'!$A$6:$DA$376,57,FALSE)</f>
        <v>0</v>
      </c>
      <c r="BF97" s="566">
        <f>VLOOKUP($A97,'01-02.2021'!$A$6:$CZ$403,58,FALSE)+VLOOKUP($A97,'1.3.21-28.2.22'!$A$6:$DA$404,58,FALSE)-VLOOKUP($A97,'01-02.2022'!$A$6:$DA$376,58,FALSE)</f>
        <v>0</v>
      </c>
      <c r="BG97" s="55">
        <f t="shared" si="124"/>
        <v>0</v>
      </c>
      <c r="BH97" s="566">
        <f>VLOOKUP($A97,'01-02.2021'!$A$6:$CZ$403,60,FALSE)+VLOOKUP($A97,'1.3.21-28.2.22'!$A$6:$DA$404,60,FALSE)-VLOOKUP($A97,'01-02.2022'!$A$6:$DA$376,60,FALSE)</f>
        <v>0</v>
      </c>
      <c r="BI97" s="566">
        <f>VLOOKUP($A97,'01-02.2021'!$A$6:$CZ$403,61,FALSE)+VLOOKUP($A97,'1.3.21-28.2.22'!$A$6:$DA$404,61,FALSE)-VLOOKUP($A97,'01-02.2022'!$A$6:$DA$376,61,FALSE)</f>
        <v>0</v>
      </c>
      <c r="BJ97" s="55">
        <f t="shared" si="125"/>
        <v>0</v>
      </c>
      <c r="BK97" s="566">
        <f>VLOOKUP($A97,'01-02.2021'!$A$6:$CZ$403,63,FALSE)+VLOOKUP($A97,'1.3.21-28.2.22'!$A$6:$DA$404,63,FALSE)-VLOOKUP($A97,'01-02.2022'!$A$6:$DA$376,63,FALSE)</f>
        <v>0</v>
      </c>
      <c r="BL97" s="566">
        <f>VLOOKUP($A97,'01-02.2021'!$A$6:$CZ$403,64,FALSE)+VLOOKUP($A97,'1.3.21-28.2.22'!$A$6:$DA$404,64,FALSE)-VLOOKUP($A97,'01-02.2022'!$A$6:$DA$376,64,FALSE)</f>
        <v>0</v>
      </c>
      <c r="BM97" s="55">
        <f t="shared" si="126"/>
        <v>0</v>
      </c>
      <c r="BN97" s="566">
        <f>VLOOKUP($A97,'01-02.2021'!$A$6:$CZ$403,66,FALSE)+VLOOKUP($A97,'1.3.21-28.2.22'!$A$6:$DA$404,66,FALSE)-VLOOKUP($A97,'01-02.2022'!$A$6:$DA$376,66,FALSE)</f>
        <v>51.975509304338708</v>
      </c>
      <c r="BO97" s="566">
        <f>VLOOKUP($A97,'01-02.2021'!$A$6:$CZ$403,67,FALSE)+VLOOKUP($A97,'1.3.21-28.2.22'!$A$6:$DA$404,67,FALSE)-VLOOKUP($A97,'01-02.2022'!$A$6:$DA$376,67,FALSE)</f>
        <v>0</v>
      </c>
      <c r="BP97" s="55">
        <f t="shared" si="127"/>
        <v>-51.975509304338708</v>
      </c>
      <c r="BQ97" s="77">
        <f t="shared" si="87"/>
        <v>744.13410292691094</v>
      </c>
      <c r="BR97" s="40">
        <f t="shared" si="88"/>
        <v>0</v>
      </c>
      <c r="BS97" s="55">
        <f t="shared" si="110"/>
        <v>-744.13410292691094</v>
      </c>
      <c r="BT97" s="566">
        <f>VLOOKUP($A97,'01-02.2021'!$A$6:$CZ$403,72,FALSE)+VLOOKUP($A97,'1.3.21-28.2.22'!$A$6:$DA$404,72,FALSE)-VLOOKUP($A97,'01-02.2022'!$A$6:$DA$376,72,FALSE)</f>
        <v>55.829691759794166</v>
      </c>
      <c r="BU97" s="566">
        <f>VLOOKUP($A97,'01-02.2021'!$A$6:$CZ$403,73,FALSE)+VLOOKUP($A97,'1.3.21-28.2.22'!$A$6:$DA$404,73,FALSE)-VLOOKUP($A97,'01-02.2022'!$A$6:$DA$376,73,FALSE)</f>
        <v>86.656986732550635</v>
      </c>
      <c r="BV97" s="70">
        <f t="shared" si="128"/>
        <v>30.827294972756469</v>
      </c>
      <c r="BW97" s="566">
        <f>VLOOKUP($A97,'01-02.2021'!$A$6:$CZ$403,75,FALSE)+VLOOKUP($A97,'1.3.21-28.2.22'!$A$6:$DA$404,75,FALSE)-VLOOKUP($A97,'01-02.2022'!$A$6:$DA$376,75,FALSE)</f>
        <v>82.832416225112652</v>
      </c>
      <c r="BX97" s="566">
        <f>VLOOKUP($A97,'01-02.2021'!$A$6:$CZ$403,76,FALSE)+VLOOKUP($A97,'1.3.21-28.2.22'!$A$6:$DA$404,76,FALSE)-VLOOKUP($A97,'01-02.2022'!$A$6:$DA$376,76,FALSE)</f>
        <v>788.46772660165971</v>
      </c>
      <c r="BY97" s="70">
        <f t="shared" si="129"/>
        <v>705.63531037654707</v>
      </c>
      <c r="BZ97" s="566">
        <f>VLOOKUP($A97,'01-02.2021'!$A$6:$CZ$403,78,FALSE)+VLOOKUP($A97,'1.3.21-28.2.22'!$A$6:$DA$404,78,FALSE)-VLOOKUP($A97,'01-02.2022'!$A$6:$DA$376,78,FALSE)</f>
        <v>45.915315476590337</v>
      </c>
      <c r="CA97" s="566">
        <f>VLOOKUP($A97,'01-02.2021'!$A$6:$CZ$403,79,FALSE)+VLOOKUP($A97,'1.3.21-28.2.22'!$A$6:$DA$404,79,FALSE)-VLOOKUP($A97,'01-02.2022'!$A$6:$DA$376,79,FALSE)</f>
        <v>5.2822322096409273</v>
      </c>
      <c r="CB97" s="70">
        <f t="shared" si="130"/>
        <v>-40.633083266949413</v>
      </c>
      <c r="CC97" s="566">
        <f>VLOOKUP($A97,'01-02.2021'!$A$6:$CZ$403,81,FALSE)+VLOOKUP($A97,'1.3.21-28.2.22'!$A$6:$DA$404,81,FALSE)-VLOOKUP($A97,'01-02.2022'!$A$6:$DA$376,81,FALSE)</f>
        <v>0</v>
      </c>
      <c r="CD97" s="566">
        <f>VLOOKUP($A97,'01-02.2021'!$A$6:$CZ$403,82,FALSE)+VLOOKUP($A97,'1.3.21-28.2.22'!$A$6:$DA$404,82,FALSE)-VLOOKUP($A97,'01-02.2022'!$A$6:$DA$376,82,FALSE)</f>
        <v>0</v>
      </c>
      <c r="CE97" s="70">
        <f t="shared" si="131"/>
        <v>0</v>
      </c>
      <c r="CF97" s="566">
        <f>VLOOKUP($A97,'01-02.2021'!$A$6:$CZ$403,84,FALSE)+VLOOKUP($A97,'1.3.21-28.2.22'!$A$6:$DA$404,84,FALSE)-VLOOKUP($A97,'01-02.2022'!$A$6:$DA$376,84,FALSE)</f>
        <v>0</v>
      </c>
      <c r="CG97" s="566">
        <f>VLOOKUP($A97,'01-02.2021'!$A$6:$CZ$403,85,FALSE)+VLOOKUP($A97,'1.3.21-28.2.22'!$A$6:$DA$404,85,FALSE)-VLOOKUP($A97,'01-02.2022'!$A$6:$DA$376,85,FALSE)</f>
        <v>0</v>
      </c>
      <c r="CH97" s="70">
        <f t="shared" si="132"/>
        <v>0</v>
      </c>
      <c r="CI97" s="566">
        <f>VLOOKUP($A97,'01-02.2021'!$A$6:$CZ$403,87,FALSE)+VLOOKUP($A97,'1.3.21-28.2.22'!$A$6:$DA$404,87,FALSE)-VLOOKUP($A97,'01-02.2022'!$A$6:$DA$376,87,FALSE)</f>
        <v>1.0918556353362078E-3</v>
      </c>
      <c r="CJ97" s="566">
        <f>VLOOKUP($A97,'01-02.2021'!$A$6:$CZ$403,88,FALSE)+VLOOKUP($A97,'1.3.21-28.2.22'!$A$6:$DA$404,88,FALSE)-VLOOKUP($A97,'01-02.2022'!$A$6:$DA$376,88,FALSE)</f>
        <v>0</v>
      </c>
      <c r="CK97" s="70">
        <f t="shared" si="133"/>
        <v>-1.0918556353362078E-3</v>
      </c>
      <c r="CL97" s="566">
        <f>VLOOKUP($A97,'01-02.2021'!$A$6:$CZ$403,90,FALSE)+VLOOKUP($A97,'1.3.21-28.2.22'!$A$6:$DA$404,90,FALSE)-VLOOKUP($A97,'01-02.2022'!$A$6:$DA$376,90,FALSE)</f>
        <v>0</v>
      </c>
      <c r="CM97" s="566">
        <f>VLOOKUP($A97,'01-02.2021'!$A$6:$CZ$403,91,FALSE)+VLOOKUP($A97,'1.3.21-28.2.22'!$A$6:$DA$404,91,FALSE)-VLOOKUP($A97,'01-02.2022'!$A$6:$DA$376,91,FALSE)</f>
        <v>0</v>
      </c>
      <c r="CN97" s="52">
        <f t="shared" si="97"/>
        <v>0</v>
      </c>
      <c r="CO97" s="39">
        <f t="shared" si="89"/>
        <v>1.0918556353362078E-3</v>
      </c>
      <c r="CP97" s="40">
        <f t="shared" si="98"/>
        <v>0</v>
      </c>
      <c r="CQ97" s="52">
        <f t="shared" si="99"/>
        <v>-1.0918556353362078E-3</v>
      </c>
      <c r="CR97" s="72">
        <f t="shared" si="90"/>
        <v>5901.1994695596522</v>
      </c>
      <c r="CS97" s="5">
        <f t="shared" si="90"/>
        <v>3104.3027132906846</v>
      </c>
      <c r="CT97" s="52">
        <f t="shared" si="100"/>
        <v>-2796.8967562689677</v>
      </c>
      <c r="CU97" s="77">
        <f t="shared" si="101"/>
        <v>7081.4393634715825</v>
      </c>
      <c r="CV97" s="65">
        <f t="shared" si="102"/>
        <v>3725.1632559488212</v>
      </c>
      <c r="CW97" s="35">
        <f t="shared" si="103"/>
        <v>-3356.2761075227613</v>
      </c>
      <c r="CX97" s="566">
        <f>VLOOKUP($A97,'01-02.2021'!$A$6:$CZ$403,102,FALSE)+VLOOKUP($A97,'1.3.21-28.2.22'!$A$6:$DA$404,102,FALSE)-VLOOKUP($A97,'01-02.2022'!$A$6:$DA$376,102,FALSE)</f>
        <v>246.99236587133231</v>
      </c>
      <c r="CY97" s="566">
        <f>VLOOKUP($A97,'01-02.2021'!$A$6:$CZ$403,103,FALSE)+VLOOKUP($A97,'1.3.21-28.2.22'!$A$6:$DA$404,103,FALSE)-VLOOKUP($A97,'01-02.2022'!$A$6:$DA$376,103,FALSE)</f>
        <v>3603.2684733940946</v>
      </c>
      <c r="CZ97" s="52">
        <f t="shared" si="104"/>
        <v>3356.2761075227622</v>
      </c>
      <c r="DA97" s="150">
        <f>'[2]побудинковий звіт'!DA97</f>
        <v>-15506.731189043738</v>
      </c>
      <c r="DB97" s="2">
        <v>1</v>
      </c>
      <c r="DC97" s="414">
        <f>'[4]побудинковий звіт'!DC97</f>
        <v>5330.07</v>
      </c>
      <c r="DD97" s="414">
        <f>'[4]побудинковий звіт'!DD97</f>
        <v>0</v>
      </c>
      <c r="DE97" s="557">
        <f>'[4]побудинковий звіт'!DE97</f>
        <v>4664.5395776750638</v>
      </c>
      <c r="DF97" s="557">
        <f>'[4]побудинковий звіт'!DF97</f>
        <v>0</v>
      </c>
      <c r="DG97" s="321">
        <f>VLOOKUP(A97,'кошти 01.03.2021'!$A$6:$D$401,4,)</f>
        <v>-11958.029189240771</v>
      </c>
      <c r="DH97" s="40">
        <f>'[3]побудинковий звіт'!DJ97</f>
        <v>7587.7323407993572</v>
      </c>
      <c r="DI97" s="422">
        <f>'[3]побудинковий звіт'!CU97+'[3]побудинковий звіт'!CX97</f>
        <v>665.53042232493578</v>
      </c>
      <c r="DJ97" s="306">
        <f>'[3]побудинковий звіт'!DM97</f>
        <v>3.8783824144809778</v>
      </c>
      <c r="DK97" s="306">
        <f t="shared" si="136"/>
        <v>3.8783824144809778</v>
      </c>
      <c r="DL97" s="306">
        <f>'[3]побудинковий звіт'!DO97</f>
        <v>3.7935640062584599</v>
      </c>
      <c r="DM97" s="28">
        <f t="shared" si="137"/>
        <v>665.53042232493578</v>
      </c>
      <c r="DN97" s="28">
        <f>H97*DL97</f>
        <v>0</v>
      </c>
      <c r="DO97" s="423">
        <f t="shared" si="105"/>
        <v>665.53042232493578</v>
      </c>
      <c r="DP97" s="94">
        <f t="shared" si="106"/>
        <v>0</v>
      </c>
      <c r="DQ97" s="28">
        <f t="shared" si="107"/>
        <v>665.53042232493578</v>
      </c>
      <c r="DR97" s="318"/>
      <c r="DT97" s="8"/>
      <c r="DU97" s="5"/>
      <c r="DX97" s="5">
        <f t="shared" si="108"/>
        <v>3979.2925835322426</v>
      </c>
      <c r="DY97" s="5">
        <f t="shared" si="109"/>
        <v>0</v>
      </c>
      <c r="DZ97" s="159">
        <f>'[3]побудинковий звіт'!EA97</f>
        <v>365.72365134599528</v>
      </c>
    </row>
    <row r="98" spans="1:130" x14ac:dyDescent="0.3">
      <c r="A98" s="325">
        <v>150000573</v>
      </c>
      <c r="B98" s="41" t="s">
        <v>547</v>
      </c>
      <c r="C98" s="42" t="s">
        <v>76</v>
      </c>
      <c r="D98" s="42"/>
      <c r="E98" s="293">
        <f t="shared" si="85"/>
        <v>151.6</v>
      </c>
      <c r="F98" s="305">
        <f>'[3]побудинковий звіт'!F98</f>
        <v>151.6</v>
      </c>
      <c r="G98" s="508">
        <f>'[3]побудинковий звіт'!G98</f>
        <v>0</v>
      </c>
      <c r="H98" s="560">
        <f>'[3]побудинковий звіт'!H98</f>
        <v>0</v>
      </c>
      <c r="I98" s="566">
        <f>VLOOKUP($A98,'01-02.2021'!$A$6:$CZ$403,9,FALSE)+VLOOKUP($A98,'1.3.21-28.2.22'!$A$6:$DA$404,9,FALSE)-VLOOKUP($A98,'01-02.2022'!$A$6:$DA$376,9,FALSE)</f>
        <v>0</v>
      </c>
      <c r="J98" s="566">
        <f>VLOOKUP($A98,'01-02.2021'!$A$6:$CZ$403,10,FALSE)+VLOOKUP($A98,'1.3.21-28.2.22'!$A$6:$DA$404,10,FALSE)-VLOOKUP($A98,'01-02.2022'!$A$6:$DA$376,10,FALSE)</f>
        <v>0</v>
      </c>
      <c r="K98" s="52">
        <f t="shared" si="94"/>
        <v>0</v>
      </c>
      <c r="L98" s="566">
        <f>VLOOKUP($A98,'01-02.2021'!$A$6:$CZ$403,12,FALSE)+VLOOKUP($A98,'1.3.21-28.2.22'!$A$6:$DA$404,12,FALSE)-VLOOKUP($A98,'01-02.2022'!$A$6:$DA$376,12,FALSE)</f>
        <v>0</v>
      </c>
      <c r="M98" s="566">
        <f>VLOOKUP($A98,'01-02.2021'!$A$6:$CZ$403,13,FALSE)+VLOOKUP($A98,'1.3.21-28.2.22'!$A$6:$DA$404,13,FALSE)-VLOOKUP($A98,'01-02.2022'!$A$6:$DA$376,13,FALSE)</f>
        <v>0</v>
      </c>
      <c r="N98" s="52">
        <f t="shared" si="95"/>
        <v>0</v>
      </c>
      <c r="O98" s="566">
        <f>VLOOKUP($A98,'01-02.2021'!$A$6:$CZ$403,15,FALSE)+VLOOKUP($A98,'1.3.21-28.2.22'!$A$6:$DA$404,15,FALSE)-VLOOKUP($A98,'01-02.2022'!$A$6:$DA$376,15,FALSE)</f>
        <v>0</v>
      </c>
      <c r="P98" s="566">
        <f>VLOOKUP($A98,'01-02.2021'!$A$6:$CZ$403,16,FALSE)+VLOOKUP($A98,'1.3.21-28.2.22'!$A$6:$DA$404,16,FALSE)-VLOOKUP($A98,'01-02.2022'!$A$6:$DA$376,16,FALSE)</f>
        <v>0</v>
      </c>
      <c r="Q98" s="70">
        <f t="shared" si="111"/>
        <v>0</v>
      </c>
      <c r="R98" s="566">
        <f>VLOOKUP($A98,'01-02.2021'!$A$6:$CZ$403,18,FALSE)+VLOOKUP($A98,'1.3.21-28.2.22'!$A$6:$DA$404,18,FALSE)-VLOOKUP($A98,'01-02.2022'!$A$6:$DA$376,18,FALSE)</f>
        <v>0</v>
      </c>
      <c r="S98" s="566">
        <f>VLOOKUP($A98,'01-02.2021'!$A$6:$CZ$403,19,FALSE)+VLOOKUP($A98,'1.3.21-28.2.22'!$A$6:$DA$404,19,FALSE)-VLOOKUP($A98,'01-02.2022'!$A$6:$DA$376,19,FALSE)</f>
        <v>0</v>
      </c>
      <c r="T98" s="70">
        <f t="shared" si="112"/>
        <v>0</v>
      </c>
      <c r="U98" s="566">
        <f>VLOOKUP($A98,'01-02.2021'!$A$6:$CZ$403,21,FALSE)+VLOOKUP($A98,'1.3.21-28.2.22'!$A$6:$DA$404,21,FALSE)-VLOOKUP($A98,'01-02.2022'!$A$6:$DA$376,21,FALSE)</f>
        <v>0</v>
      </c>
      <c r="V98" s="566">
        <f>VLOOKUP($A98,'01-02.2021'!$A$6:$CZ$403,22,FALSE)+VLOOKUP($A98,'1.3.21-28.2.22'!$A$6:$DA$404,22,FALSE)-VLOOKUP($A98,'01-02.2022'!$A$6:$DA$376,22,FALSE)</f>
        <v>0</v>
      </c>
      <c r="W98" s="70">
        <f t="shared" si="113"/>
        <v>0</v>
      </c>
      <c r="X98" s="566">
        <f>VLOOKUP($A98,'01-02.2021'!$A$6:$CZ$403,24,FALSE)+VLOOKUP($A98,'1.3.21-28.2.22'!$A$6:$DA$404,24,FALSE)-VLOOKUP($A98,'01-02.2022'!$A$6:$DA$376,24,FALSE)</f>
        <v>0</v>
      </c>
      <c r="Y98" s="566">
        <f>VLOOKUP($A98,'01-02.2021'!$A$6:$CZ$403,25,FALSE)+VLOOKUP($A98,'1.3.21-28.2.22'!$A$6:$DA$404,25,FALSE)-VLOOKUP($A98,'01-02.2022'!$A$6:$DA$376,25,FALSE)</f>
        <v>0</v>
      </c>
      <c r="Z98" s="70">
        <f t="shared" si="114"/>
        <v>0</v>
      </c>
      <c r="AA98" s="566">
        <f>VLOOKUP($A98,'01-02.2021'!$A$6:$CZ$403,27,FALSE)+VLOOKUP($A98,'1.3.21-28.2.22'!$A$6:$DA$404,27,FALSE)-VLOOKUP($A98,'01-02.2022'!$A$6:$DA$376,27,FALSE)</f>
        <v>30.32</v>
      </c>
      <c r="AB98" s="566">
        <f>VLOOKUP($A98,'01-02.2021'!$A$6:$CZ$403,28,FALSE)+VLOOKUP($A98,'1.3.21-28.2.22'!$A$6:$DA$404,28,FALSE)-VLOOKUP($A98,'01-02.2022'!$A$6:$DA$376,28,FALSE)</f>
        <v>0</v>
      </c>
      <c r="AC98" s="70">
        <f t="shared" si="115"/>
        <v>-30.32</v>
      </c>
      <c r="AD98" s="566">
        <f>VLOOKUP($A98,'01-02.2021'!$A$6:$CZ$403,30,FALSE)+VLOOKUP($A98,'1.3.21-28.2.22'!$A$6:$DA$404,30,FALSE)-VLOOKUP($A98,'01-02.2022'!$A$6:$DA$376,30,FALSE)</f>
        <v>242.74591821248896</v>
      </c>
      <c r="AE98" s="566">
        <f>VLOOKUP($A98,'01-02.2021'!$A$6:$CZ$403,31,FALSE)+VLOOKUP($A98,'1.3.21-28.2.22'!$A$6:$DA$404,31,FALSE)-VLOOKUP($A98,'01-02.2022'!$A$6:$DA$376,31,FALSE)</f>
        <v>690.08930830515396</v>
      </c>
      <c r="AF98" s="68">
        <f t="shared" si="116"/>
        <v>447.343390092665</v>
      </c>
      <c r="AG98" s="77">
        <f t="shared" si="86"/>
        <v>273.06591821248895</v>
      </c>
      <c r="AH98" s="53">
        <f t="shared" si="86"/>
        <v>690.08930830515396</v>
      </c>
      <c r="AI98" s="52">
        <f t="shared" si="96"/>
        <v>417.02339009266501</v>
      </c>
      <c r="AJ98" s="566">
        <f>VLOOKUP($A98,'01-02.2021'!$A$6:$CZ$403,36,FALSE)+VLOOKUP($A98,'1.3.21-28.2.22'!$A$6:$DA$404,36,FALSE)-VLOOKUP($A98,'01-02.2022'!$A$6:$DA$376,36,FALSE)</f>
        <v>0</v>
      </c>
      <c r="AK98" s="566">
        <f>VLOOKUP($A98,'01-02.2021'!$A$6:$CZ$403,37,FALSE)+VLOOKUP($A98,'1.3.21-28.2.22'!$A$6:$DA$404,37,FALSE)-VLOOKUP($A98,'01-02.2022'!$A$6:$DA$376,37,FALSE)</f>
        <v>0</v>
      </c>
      <c r="AL98" s="70">
        <f t="shared" si="117"/>
        <v>0</v>
      </c>
      <c r="AM98" s="566">
        <f>VLOOKUP($A98,'01-02.2021'!$A$6:$CZ$403,39,FALSE)+VLOOKUP($A98,'1.3.21-28.2.22'!$A$6:$DA$404,39,FALSE)-VLOOKUP($A98,'01-02.2022'!$A$6:$DA$376,39,FALSE)</f>
        <v>0</v>
      </c>
      <c r="AN98" s="566">
        <f>VLOOKUP($A98,'01-02.2021'!$A$6:$CZ$403,40,FALSE)+VLOOKUP($A98,'1.3.21-28.2.22'!$A$6:$DA$404,40,FALSE)-VLOOKUP($A98,'01-02.2022'!$A$6:$DA$376,40,FALSE)</f>
        <v>0</v>
      </c>
      <c r="AO98" s="70">
        <f t="shared" si="118"/>
        <v>0</v>
      </c>
      <c r="AP98" s="566">
        <f>VLOOKUP($A98,'01-02.2021'!$A$6:$CZ$403,42,FALSE)+VLOOKUP($A98,'1.3.21-28.2.22'!$A$6:$DA$404,42,FALSE)-VLOOKUP($A98,'01-02.2022'!$A$6:$DA$376,42,FALSE)</f>
        <v>260.27996250638864</v>
      </c>
      <c r="AQ98" s="566">
        <f>VLOOKUP($A98,'01-02.2021'!$A$6:$CZ$403,43,FALSE)+VLOOKUP($A98,'1.3.21-28.2.22'!$A$6:$DA$404,43,FALSE)-VLOOKUP($A98,'01-02.2022'!$A$6:$DA$376,43,FALSE)</f>
        <v>224.38224961495439</v>
      </c>
      <c r="AR98" s="70">
        <f t="shared" si="119"/>
        <v>-35.897712891434253</v>
      </c>
      <c r="AS98" s="566">
        <f>VLOOKUP($A98,'01-02.2021'!$A$6:$CZ$403,45,FALSE)+VLOOKUP($A98,'1.3.21-28.2.22'!$A$6:$DA$404,45,FALSE)-VLOOKUP($A98,'01-02.2022'!$A$6:$DA$376,45,FALSE)</f>
        <v>1308.8980984932748</v>
      </c>
      <c r="AT98" s="566">
        <f>VLOOKUP($A98,'01-02.2021'!$A$6:$CZ$403,46,FALSE)+VLOOKUP($A98,'1.3.21-28.2.22'!$A$6:$DA$404,46,FALSE)-VLOOKUP($A98,'01-02.2022'!$A$6:$DA$376,46,FALSE)</f>
        <v>0</v>
      </c>
      <c r="AU98" s="78">
        <f t="shared" si="120"/>
        <v>-1308.8980984932748</v>
      </c>
      <c r="AV98" s="566">
        <f>VLOOKUP($A98,'01-02.2021'!$A$6:$CZ$403,48,FALSE)+VLOOKUP($A98,'1.3.21-28.2.22'!$A$6:$DA$404,48,FALSE)-VLOOKUP($A98,'01-02.2022'!$A$6:$DA$376,48,FALSE)</f>
        <v>0</v>
      </c>
      <c r="AW98" s="566">
        <f>VLOOKUP($A98,'01-02.2021'!$A$6:$CZ$403,49,FALSE)+VLOOKUP($A98,'1.3.21-28.2.22'!$A$6:$DA$404,49,FALSE)-VLOOKUP($A98,'01-02.2022'!$A$6:$DA$376,49,FALSE)</f>
        <v>0</v>
      </c>
      <c r="AX98" s="55">
        <f t="shared" si="121"/>
        <v>0</v>
      </c>
      <c r="AY98" s="566">
        <f>VLOOKUP($A98,'01-02.2021'!$A$6:$CZ$403,51,FALSE)+VLOOKUP($A98,'1.3.21-28.2.22'!$A$6:$DA$404,51,FALSE)-VLOOKUP($A98,'01-02.2022'!$A$6:$DA$376,51,FALSE)</f>
        <v>0</v>
      </c>
      <c r="AZ98" s="566">
        <f>VLOOKUP($A98,'01-02.2021'!$A$6:$CZ$403,52,FALSE)+VLOOKUP($A98,'1.3.21-28.2.22'!$A$6:$DA$404,52,FALSE)-VLOOKUP($A98,'01-02.2022'!$A$6:$DA$376,52,FALSE)</f>
        <v>0</v>
      </c>
      <c r="BA98" s="38">
        <f t="shared" si="122"/>
        <v>0</v>
      </c>
      <c r="BB98" s="566">
        <f>VLOOKUP($A98,'01-02.2021'!$A$6:$CZ$403,54,FALSE)+VLOOKUP($A98,'1.3.21-28.2.22'!$A$6:$DA$404,54,FALSE)-VLOOKUP($A98,'01-02.2022'!$A$6:$DA$376,54,FALSE)</f>
        <v>0</v>
      </c>
      <c r="BC98" s="566">
        <f>VLOOKUP($A98,'01-02.2021'!$A$6:$CZ$403,55,FALSE)+VLOOKUP($A98,'1.3.21-28.2.22'!$A$6:$DA$404,55,FALSE)-VLOOKUP($A98,'01-02.2022'!$A$6:$DA$376,55,FALSE)</f>
        <v>0</v>
      </c>
      <c r="BD98" s="55">
        <f t="shared" si="123"/>
        <v>0</v>
      </c>
      <c r="BE98" s="566">
        <f>VLOOKUP($A98,'01-02.2021'!$A$6:$CZ$403,57,FALSE)+VLOOKUP($A98,'1.3.21-28.2.22'!$A$6:$DA$404,57,FALSE)-VLOOKUP($A98,'01-02.2022'!$A$6:$DA$376,57,FALSE)</f>
        <v>0</v>
      </c>
      <c r="BF98" s="566">
        <f>VLOOKUP($A98,'01-02.2021'!$A$6:$CZ$403,58,FALSE)+VLOOKUP($A98,'1.3.21-28.2.22'!$A$6:$DA$404,58,FALSE)-VLOOKUP($A98,'01-02.2022'!$A$6:$DA$376,58,FALSE)</f>
        <v>0</v>
      </c>
      <c r="BG98" s="55">
        <f t="shared" si="124"/>
        <v>0</v>
      </c>
      <c r="BH98" s="566">
        <f>VLOOKUP($A98,'01-02.2021'!$A$6:$CZ$403,60,FALSE)+VLOOKUP($A98,'1.3.21-28.2.22'!$A$6:$DA$404,60,FALSE)-VLOOKUP($A98,'01-02.2022'!$A$6:$DA$376,60,FALSE)</f>
        <v>0</v>
      </c>
      <c r="BI98" s="566">
        <f>VLOOKUP($A98,'01-02.2021'!$A$6:$CZ$403,61,FALSE)+VLOOKUP($A98,'1.3.21-28.2.22'!$A$6:$DA$404,61,FALSE)-VLOOKUP($A98,'01-02.2022'!$A$6:$DA$376,61,FALSE)</f>
        <v>0</v>
      </c>
      <c r="BJ98" s="55">
        <f t="shared" si="125"/>
        <v>0</v>
      </c>
      <c r="BK98" s="566">
        <f>VLOOKUP($A98,'01-02.2021'!$A$6:$CZ$403,63,FALSE)+VLOOKUP($A98,'1.3.21-28.2.22'!$A$6:$DA$404,63,FALSE)-VLOOKUP($A98,'01-02.2022'!$A$6:$DA$376,63,FALSE)</f>
        <v>0</v>
      </c>
      <c r="BL98" s="566">
        <f>VLOOKUP($A98,'01-02.2021'!$A$6:$CZ$403,64,FALSE)+VLOOKUP($A98,'1.3.21-28.2.22'!$A$6:$DA$404,64,FALSE)-VLOOKUP($A98,'01-02.2022'!$A$6:$DA$376,64,FALSE)</f>
        <v>0</v>
      </c>
      <c r="BM98" s="55">
        <f t="shared" si="126"/>
        <v>0</v>
      </c>
      <c r="BN98" s="566">
        <f>VLOOKUP($A98,'01-02.2021'!$A$6:$CZ$403,66,FALSE)+VLOOKUP($A98,'1.3.21-28.2.22'!$A$6:$DA$404,66,FALSE)-VLOOKUP($A98,'01-02.2022'!$A$6:$DA$376,66,FALSE)</f>
        <v>10.020720946430391</v>
      </c>
      <c r="BO98" s="566">
        <f>VLOOKUP($A98,'01-02.2021'!$A$6:$CZ$403,67,FALSE)+VLOOKUP($A98,'1.3.21-28.2.22'!$A$6:$DA$404,67,FALSE)-VLOOKUP($A98,'01-02.2022'!$A$6:$DA$376,67,FALSE)</f>
        <v>0</v>
      </c>
      <c r="BP98" s="55">
        <f t="shared" si="127"/>
        <v>-10.020720946430391</v>
      </c>
      <c r="BQ98" s="77">
        <f t="shared" si="87"/>
        <v>10.020720946430391</v>
      </c>
      <c r="BR98" s="40">
        <f t="shared" si="88"/>
        <v>0</v>
      </c>
      <c r="BS98" s="55">
        <f t="shared" si="110"/>
        <v>-10.020720946430391</v>
      </c>
      <c r="BT98" s="566">
        <f>VLOOKUP($A98,'01-02.2021'!$A$6:$CZ$403,72,FALSE)+VLOOKUP($A98,'1.3.21-28.2.22'!$A$6:$DA$404,72,FALSE)-VLOOKUP($A98,'01-02.2022'!$A$6:$DA$376,72,FALSE)</f>
        <v>321.02072761881664</v>
      </c>
      <c r="BU98" s="566">
        <f>VLOOKUP($A98,'01-02.2021'!$A$6:$CZ$403,73,FALSE)+VLOOKUP($A98,'1.3.21-28.2.22'!$A$6:$DA$404,73,FALSE)-VLOOKUP($A98,'01-02.2022'!$A$6:$DA$376,73,FALSE)</f>
        <v>498.06573049332121</v>
      </c>
      <c r="BV98" s="70">
        <f t="shared" si="128"/>
        <v>177.04500287450458</v>
      </c>
      <c r="BW98" s="566">
        <f>VLOOKUP($A98,'01-02.2021'!$A$6:$CZ$403,75,FALSE)+VLOOKUP($A98,'1.3.21-28.2.22'!$A$6:$DA$404,75,FALSE)-VLOOKUP($A98,'01-02.2022'!$A$6:$DA$376,75,FALSE)</f>
        <v>0</v>
      </c>
      <c r="BX98" s="566">
        <f>VLOOKUP($A98,'01-02.2021'!$A$6:$CZ$403,76,FALSE)+VLOOKUP($A98,'1.3.21-28.2.22'!$A$6:$DA$404,76,FALSE)-VLOOKUP($A98,'01-02.2022'!$A$6:$DA$376,76,FALSE)</f>
        <v>234.45120278762406</v>
      </c>
      <c r="BY98" s="70">
        <f t="shared" si="129"/>
        <v>234.45120278762406</v>
      </c>
      <c r="BZ98" s="566">
        <f>VLOOKUP($A98,'01-02.2021'!$A$6:$CZ$403,78,FALSE)+VLOOKUP($A98,'1.3.21-28.2.22'!$A$6:$DA$404,78,FALSE)-VLOOKUP($A98,'01-02.2022'!$A$6:$DA$376,78,FALSE)</f>
        <v>0</v>
      </c>
      <c r="CA98" s="566">
        <f>VLOOKUP($A98,'01-02.2021'!$A$6:$CZ$403,79,FALSE)+VLOOKUP($A98,'1.3.21-28.2.22'!$A$6:$DA$404,79,FALSE)-VLOOKUP($A98,'01-02.2022'!$A$6:$DA$376,79,FALSE)</f>
        <v>30.368981994693428</v>
      </c>
      <c r="CB98" s="70">
        <f t="shared" si="130"/>
        <v>30.368981994693428</v>
      </c>
      <c r="CC98" s="566">
        <f>VLOOKUP($A98,'01-02.2021'!$A$6:$CZ$403,81,FALSE)+VLOOKUP($A98,'1.3.21-28.2.22'!$A$6:$DA$404,81,FALSE)-VLOOKUP($A98,'01-02.2022'!$A$6:$DA$376,81,FALSE)</f>
        <v>0</v>
      </c>
      <c r="CD98" s="566">
        <f>VLOOKUP($A98,'01-02.2021'!$A$6:$CZ$403,82,FALSE)+VLOOKUP($A98,'1.3.21-28.2.22'!$A$6:$DA$404,82,FALSE)-VLOOKUP($A98,'01-02.2022'!$A$6:$DA$376,82,FALSE)</f>
        <v>0</v>
      </c>
      <c r="CE98" s="70">
        <f t="shared" si="131"/>
        <v>0</v>
      </c>
      <c r="CF98" s="566">
        <f>VLOOKUP($A98,'01-02.2021'!$A$6:$CZ$403,84,FALSE)+VLOOKUP($A98,'1.3.21-28.2.22'!$A$6:$DA$404,84,FALSE)-VLOOKUP($A98,'01-02.2022'!$A$6:$DA$376,84,FALSE)</f>
        <v>0</v>
      </c>
      <c r="CG98" s="566">
        <f>VLOOKUP($A98,'01-02.2021'!$A$6:$CZ$403,85,FALSE)+VLOOKUP($A98,'1.3.21-28.2.22'!$A$6:$DA$404,85,FALSE)-VLOOKUP($A98,'01-02.2022'!$A$6:$DA$376,85,FALSE)</f>
        <v>0</v>
      </c>
      <c r="CH98" s="70">
        <f t="shared" si="132"/>
        <v>0</v>
      </c>
      <c r="CI98" s="566">
        <f>VLOOKUP($A98,'01-02.2021'!$A$6:$CZ$403,87,FALSE)+VLOOKUP($A98,'1.3.21-28.2.22'!$A$6:$DA$404,87,FALSE)-VLOOKUP($A98,'01-02.2022'!$A$6:$DA$376,87,FALSE)</f>
        <v>0</v>
      </c>
      <c r="CJ98" s="566">
        <f>VLOOKUP($A98,'01-02.2021'!$A$6:$CZ$403,88,FALSE)+VLOOKUP($A98,'1.3.21-28.2.22'!$A$6:$DA$404,88,FALSE)-VLOOKUP($A98,'01-02.2022'!$A$6:$DA$376,88,FALSE)</f>
        <v>0</v>
      </c>
      <c r="CK98" s="70">
        <f t="shared" si="133"/>
        <v>0</v>
      </c>
      <c r="CL98" s="566">
        <f>VLOOKUP($A98,'01-02.2021'!$A$6:$CZ$403,90,FALSE)+VLOOKUP($A98,'1.3.21-28.2.22'!$A$6:$DA$404,90,FALSE)-VLOOKUP($A98,'01-02.2022'!$A$6:$DA$376,90,FALSE)</f>
        <v>0</v>
      </c>
      <c r="CM98" s="566">
        <f>VLOOKUP($A98,'01-02.2021'!$A$6:$CZ$403,91,FALSE)+VLOOKUP($A98,'1.3.21-28.2.22'!$A$6:$DA$404,91,FALSE)-VLOOKUP($A98,'01-02.2022'!$A$6:$DA$376,91,FALSE)</f>
        <v>0</v>
      </c>
      <c r="CN98" s="52">
        <f t="shared" si="97"/>
        <v>0</v>
      </c>
      <c r="CO98" s="39">
        <f t="shared" si="89"/>
        <v>0</v>
      </c>
      <c r="CP98" s="40">
        <f t="shared" si="98"/>
        <v>0</v>
      </c>
      <c r="CQ98" s="52">
        <f t="shared" si="99"/>
        <v>0</v>
      </c>
      <c r="CR98" s="72">
        <f t="shared" si="90"/>
        <v>2173.2854277773995</v>
      </c>
      <c r="CS98" s="5">
        <f t="shared" si="90"/>
        <v>1677.3574731957469</v>
      </c>
      <c r="CT98" s="52">
        <f t="shared" si="100"/>
        <v>-495.92795458165256</v>
      </c>
      <c r="CU98" s="77">
        <f t="shared" si="101"/>
        <v>2607.9425133328791</v>
      </c>
      <c r="CV98" s="65">
        <f t="shared" si="102"/>
        <v>2012.8289678348963</v>
      </c>
      <c r="CW98" s="35">
        <f t="shared" si="103"/>
        <v>-595.11354549798284</v>
      </c>
      <c r="CX98" s="566">
        <f>VLOOKUP($A98,'01-02.2021'!$A$6:$CZ$403,102,FALSE)+VLOOKUP($A98,'1.3.21-28.2.22'!$A$6:$DA$404,102,FALSE)-VLOOKUP($A98,'01-02.2022'!$A$6:$DA$376,102,FALSE)</f>
        <v>90.906378671767499</v>
      </c>
      <c r="CY98" s="566">
        <f>VLOOKUP($A98,'01-02.2021'!$A$6:$CZ$403,103,FALSE)+VLOOKUP($A98,'1.3.21-28.2.22'!$A$6:$DA$404,103,FALSE)-VLOOKUP($A98,'01-02.2022'!$A$6:$DA$376,103,FALSE)</f>
        <v>686.01992416975031</v>
      </c>
      <c r="CZ98" s="52">
        <f t="shared" si="104"/>
        <v>595.11354549798284</v>
      </c>
      <c r="DA98" s="150">
        <f>'[2]побудинковий звіт'!DA98</f>
        <v>-4121.7716251840175</v>
      </c>
      <c r="DB98" s="2">
        <v>1</v>
      </c>
      <c r="DC98" s="414">
        <f>'[4]побудинковий звіт'!DC98</f>
        <v>262.82</v>
      </c>
      <c r="DD98" s="414">
        <f>'[4]побудинковий звіт'!DD98</f>
        <v>0</v>
      </c>
      <c r="DE98" s="557">
        <f>'[4]побудинковий звіт'!DE98</f>
        <v>17.424099942709915</v>
      </c>
      <c r="DF98" s="557">
        <f>'[4]побудинковий звіт'!DF98</f>
        <v>0</v>
      </c>
      <c r="DG98" s="321">
        <f>VLOOKUP(A98,'кошти 01.03.2021'!$A$6:$D$401,4,)</f>
        <v>-3326.3090886437717</v>
      </c>
      <c r="DH98" s="40">
        <f>'[3]побудинковий звіт'!DJ98</f>
        <v>2795.7864933305464</v>
      </c>
      <c r="DI98" s="422">
        <f>'[3]побудинковий звіт'!CU98+'[3]побудинковий звіт'!CX98</f>
        <v>245.39590005729008</v>
      </c>
      <c r="DJ98" s="306">
        <f>'[3]побудинковий звіт'!DM98</f>
        <v>1.6187064647578502</v>
      </c>
      <c r="DK98" s="306">
        <f t="shared" si="136"/>
        <v>1.6187064647578502</v>
      </c>
      <c r="DL98" s="306">
        <f>'[3]побудинковий звіт'!DO98</f>
        <v>1.6187064647578502</v>
      </c>
      <c r="DM98" s="28">
        <f t="shared" si="137"/>
        <v>245.39590005729008</v>
      </c>
      <c r="DN98" s="28">
        <f>H98*DL98</f>
        <v>0</v>
      </c>
      <c r="DO98" s="423">
        <f t="shared" si="105"/>
        <v>245.39590005729008</v>
      </c>
      <c r="DP98" s="94">
        <f t="shared" si="106"/>
        <v>0</v>
      </c>
      <c r="DQ98" s="28">
        <f t="shared" si="107"/>
        <v>245.39590005729008</v>
      </c>
      <c r="DR98" s="318"/>
      <c r="DT98" s="8"/>
      <c r="DU98" s="5"/>
      <c r="DX98" s="5">
        <f t="shared" si="108"/>
        <v>1582.7025833276462</v>
      </c>
      <c r="DY98" s="5">
        <f t="shared" si="109"/>
        <v>0</v>
      </c>
      <c r="DZ98" s="159">
        <f>'[3]побудинковий звіт'!EA98</f>
        <v>155.96798018077047</v>
      </c>
    </row>
    <row r="99" spans="1:130" x14ac:dyDescent="0.3">
      <c r="A99" s="325">
        <v>150000658</v>
      </c>
      <c r="B99" s="41" t="s">
        <v>548</v>
      </c>
      <c r="C99" s="42" t="s">
        <v>352</v>
      </c>
      <c r="D99" s="42"/>
      <c r="E99" s="293">
        <f t="shared" si="85"/>
        <v>5047.8</v>
      </c>
      <c r="F99" s="305">
        <f>'[3]побудинковий звіт'!F99</f>
        <v>5047.8</v>
      </c>
      <c r="G99" s="508">
        <f>'[3]побудинковий звіт'!G99</f>
        <v>552.1</v>
      </c>
      <c r="H99" s="560">
        <f>'[3]побудинковий звіт'!H99</f>
        <v>0</v>
      </c>
      <c r="I99" s="566">
        <f>VLOOKUP($A99,'01-02.2021'!$A$6:$CZ$403,9,FALSE)+VLOOKUP($A99,'1.3.21-28.2.22'!$A$6:$DA$404,9,FALSE)-VLOOKUP($A99,'01-02.2022'!$A$6:$DA$376,9,FALSE)</f>
        <v>14748.289058245851</v>
      </c>
      <c r="J99" s="566">
        <f>VLOOKUP($A99,'01-02.2021'!$A$6:$CZ$403,10,FALSE)+VLOOKUP($A99,'1.3.21-28.2.22'!$A$6:$DA$404,10,FALSE)-VLOOKUP($A99,'01-02.2022'!$A$6:$DA$376,10,FALSE)</f>
        <v>14470.14494186169</v>
      </c>
      <c r="K99" s="52">
        <f t="shared" si="94"/>
        <v>-278.14411638416095</v>
      </c>
      <c r="L99" s="566">
        <f>VLOOKUP($A99,'01-02.2021'!$A$6:$CZ$403,12,FALSE)+VLOOKUP($A99,'1.3.21-28.2.22'!$A$6:$DA$404,12,FALSE)-VLOOKUP($A99,'01-02.2022'!$A$6:$DA$376,12,FALSE)</f>
        <v>2728.9793369554313</v>
      </c>
      <c r="M99" s="566">
        <f>VLOOKUP($A99,'01-02.2021'!$A$6:$CZ$403,13,FALSE)+VLOOKUP($A99,'1.3.21-28.2.22'!$A$6:$DA$404,13,FALSE)-VLOOKUP($A99,'01-02.2022'!$A$6:$DA$376,13,FALSE)</f>
        <v>2724.7731351490715</v>
      </c>
      <c r="N99" s="52">
        <f t="shared" si="95"/>
        <v>-4.2062018063597861</v>
      </c>
      <c r="O99" s="566">
        <f>VLOOKUP($A99,'01-02.2021'!$A$6:$CZ$403,15,FALSE)+VLOOKUP($A99,'1.3.21-28.2.22'!$A$6:$DA$404,15,FALSE)-VLOOKUP($A99,'01-02.2022'!$A$6:$DA$376,15,FALSE)</f>
        <v>5937.1241677041489</v>
      </c>
      <c r="P99" s="566">
        <f>VLOOKUP($A99,'01-02.2021'!$A$6:$CZ$403,16,FALSE)+VLOOKUP($A99,'1.3.21-28.2.22'!$A$6:$DA$404,16,FALSE)-VLOOKUP($A99,'01-02.2022'!$A$6:$DA$376,16,FALSE)</f>
        <v>5935.7466666666678</v>
      </c>
      <c r="Q99" s="70">
        <f t="shared" si="111"/>
        <v>-1.3775010374811245</v>
      </c>
      <c r="R99" s="566">
        <f>VLOOKUP($A99,'01-02.2021'!$A$6:$CZ$403,18,FALSE)+VLOOKUP($A99,'1.3.21-28.2.22'!$A$6:$DA$404,18,FALSE)-VLOOKUP($A99,'01-02.2022'!$A$6:$DA$376,18,FALSE)</f>
        <v>1414.9177071582251</v>
      </c>
      <c r="S99" s="566">
        <f>VLOOKUP($A99,'01-02.2021'!$A$6:$CZ$403,19,FALSE)+VLOOKUP($A99,'1.3.21-28.2.22'!$A$6:$DA$404,19,FALSE)-VLOOKUP($A99,'01-02.2022'!$A$6:$DA$376,19,FALSE)</f>
        <v>1416.3316666666669</v>
      </c>
      <c r="T99" s="70">
        <f t="shared" si="112"/>
        <v>1.4139595084418488</v>
      </c>
      <c r="U99" s="566">
        <f>VLOOKUP($A99,'01-02.2021'!$A$6:$CZ$403,21,FALSE)+VLOOKUP($A99,'1.3.21-28.2.22'!$A$6:$DA$404,21,FALSE)-VLOOKUP($A99,'01-02.2022'!$A$6:$DA$376,21,FALSE)</f>
        <v>671.36656966572173</v>
      </c>
      <c r="V99" s="566">
        <f>VLOOKUP($A99,'01-02.2021'!$A$6:$CZ$403,22,FALSE)+VLOOKUP($A99,'1.3.21-28.2.22'!$A$6:$DA$404,22,FALSE)-VLOOKUP($A99,'01-02.2022'!$A$6:$DA$376,22,FALSE)</f>
        <v>609.49562838983297</v>
      </c>
      <c r="W99" s="70">
        <f t="shared" si="113"/>
        <v>-61.870941275888754</v>
      </c>
      <c r="X99" s="566">
        <f>VLOOKUP($A99,'01-02.2021'!$A$6:$CZ$403,24,FALSE)+VLOOKUP($A99,'1.3.21-28.2.22'!$A$6:$DA$404,24,FALSE)-VLOOKUP($A99,'01-02.2022'!$A$6:$DA$376,24,FALSE)</f>
        <v>8491.9052815199429</v>
      </c>
      <c r="Y99" s="566">
        <f>VLOOKUP($A99,'01-02.2021'!$A$6:$CZ$403,25,FALSE)+VLOOKUP($A99,'1.3.21-28.2.22'!$A$6:$DA$404,25,FALSE)-VLOOKUP($A99,'01-02.2022'!$A$6:$DA$376,25,FALSE)</f>
        <v>7686.3300900010136</v>
      </c>
      <c r="Z99" s="70">
        <f t="shared" si="114"/>
        <v>-805.57519151892939</v>
      </c>
      <c r="AA99" s="566">
        <f>VLOOKUP($A99,'01-02.2021'!$A$6:$CZ$403,27,FALSE)+VLOOKUP($A99,'1.3.21-28.2.22'!$A$6:$DA$404,27,FALSE)-VLOOKUP($A99,'01-02.2022'!$A$6:$DA$376,27,FALSE)</f>
        <v>1009.56</v>
      </c>
      <c r="AB99" s="566">
        <f>VLOOKUP($A99,'01-02.2021'!$A$6:$CZ$403,28,FALSE)+VLOOKUP($A99,'1.3.21-28.2.22'!$A$6:$DA$404,28,FALSE)-VLOOKUP($A99,'01-02.2022'!$A$6:$DA$376,28,FALSE)</f>
        <v>0</v>
      </c>
      <c r="AC99" s="70">
        <f t="shared" si="115"/>
        <v>-1009.56</v>
      </c>
      <c r="AD99" s="566">
        <f>VLOOKUP($A99,'01-02.2021'!$A$6:$CZ$403,30,FALSE)+VLOOKUP($A99,'1.3.21-28.2.22'!$A$6:$DA$404,30,FALSE)-VLOOKUP($A99,'01-02.2022'!$A$6:$DA$376,30,FALSE)</f>
        <v>21681.692230033266</v>
      </c>
      <c r="AE99" s="566">
        <f>VLOOKUP($A99,'01-02.2021'!$A$6:$CZ$403,31,FALSE)+VLOOKUP($A99,'1.3.21-28.2.22'!$A$6:$DA$404,31,FALSE)-VLOOKUP($A99,'01-02.2022'!$A$6:$DA$376,31,FALSE)</f>
        <v>22977.788987221342</v>
      </c>
      <c r="AF99" s="68">
        <f t="shared" si="116"/>
        <v>1296.0967571880756</v>
      </c>
      <c r="AG99" s="77">
        <f t="shared" si="86"/>
        <v>56683.834351282581</v>
      </c>
      <c r="AH99" s="53">
        <f t="shared" si="86"/>
        <v>55820.611115956279</v>
      </c>
      <c r="AI99" s="52">
        <f t="shared" si="96"/>
        <v>-863.22323532630253</v>
      </c>
      <c r="AJ99" s="566">
        <f>VLOOKUP($A99,'01-02.2021'!$A$6:$CZ$403,36,FALSE)+VLOOKUP($A99,'1.3.21-28.2.22'!$A$6:$DA$404,36,FALSE)-VLOOKUP($A99,'01-02.2022'!$A$6:$DA$376,36,FALSE)</f>
        <v>38000.132837803321</v>
      </c>
      <c r="AK99" s="566">
        <f>VLOOKUP($A99,'01-02.2021'!$A$6:$CZ$403,37,FALSE)+VLOOKUP($A99,'1.3.21-28.2.22'!$A$6:$DA$404,37,FALSE)-VLOOKUP($A99,'01-02.2022'!$A$6:$DA$376,37,FALSE)</f>
        <v>37750.952117929199</v>
      </c>
      <c r="AL99" s="70">
        <f t="shared" si="117"/>
        <v>-249.18071987412259</v>
      </c>
      <c r="AM99" s="566">
        <f>VLOOKUP($A99,'01-02.2021'!$A$6:$CZ$403,39,FALSE)+VLOOKUP($A99,'1.3.21-28.2.22'!$A$6:$DA$404,39,FALSE)-VLOOKUP($A99,'01-02.2022'!$A$6:$DA$376,39,FALSE)</f>
        <v>0</v>
      </c>
      <c r="AN99" s="566">
        <f>VLOOKUP($A99,'01-02.2021'!$A$6:$CZ$403,40,FALSE)+VLOOKUP($A99,'1.3.21-28.2.22'!$A$6:$DA$404,40,FALSE)-VLOOKUP($A99,'01-02.2022'!$A$6:$DA$376,40,FALSE)</f>
        <v>0</v>
      </c>
      <c r="AO99" s="70">
        <f t="shared" si="118"/>
        <v>0</v>
      </c>
      <c r="AP99" s="566">
        <f>VLOOKUP($A99,'01-02.2021'!$A$6:$CZ$403,42,FALSE)+VLOOKUP($A99,'1.3.21-28.2.22'!$A$6:$DA$404,42,FALSE)-VLOOKUP($A99,'01-02.2022'!$A$6:$DA$376,42,FALSE)</f>
        <v>3513.7794938362481</v>
      </c>
      <c r="AQ99" s="566">
        <f>VLOOKUP($A99,'01-02.2021'!$A$6:$CZ$403,43,FALSE)+VLOOKUP($A99,'1.3.21-28.2.22'!$A$6:$DA$404,43,FALSE)-VLOOKUP($A99,'01-02.2022'!$A$6:$DA$376,43,FALSE)</f>
        <v>3026.8217111315548</v>
      </c>
      <c r="AR99" s="70">
        <f t="shared" si="119"/>
        <v>-486.95778270469327</v>
      </c>
      <c r="AS99" s="566">
        <f>VLOOKUP($A99,'01-02.2021'!$A$6:$CZ$403,45,FALSE)+VLOOKUP($A99,'1.3.21-28.2.22'!$A$6:$DA$404,45,FALSE)-VLOOKUP($A99,'01-02.2022'!$A$6:$DA$376,45,FALSE)</f>
        <v>70716.03881826927</v>
      </c>
      <c r="AT99" s="566">
        <f>VLOOKUP($A99,'01-02.2021'!$A$6:$CZ$403,46,FALSE)+VLOOKUP($A99,'1.3.21-28.2.22'!$A$6:$DA$404,46,FALSE)-VLOOKUP($A99,'01-02.2022'!$A$6:$DA$376,46,FALSE)</f>
        <v>20741.79726609548</v>
      </c>
      <c r="AU99" s="78">
        <f t="shared" si="120"/>
        <v>-49974.241552173786</v>
      </c>
      <c r="AV99" s="566">
        <f>VLOOKUP($A99,'01-02.2021'!$A$6:$CZ$403,48,FALSE)+VLOOKUP($A99,'1.3.21-28.2.22'!$A$6:$DA$404,48,FALSE)-VLOOKUP($A99,'01-02.2022'!$A$6:$DA$376,48,FALSE)</f>
        <v>3351.6032929624553</v>
      </c>
      <c r="AW99" s="566">
        <f>VLOOKUP($A99,'01-02.2021'!$A$6:$CZ$403,49,FALSE)+VLOOKUP($A99,'1.3.21-28.2.22'!$A$6:$DA$404,49,FALSE)-VLOOKUP($A99,'01-02.2022'!$A$6:$DA$376,49,FALSE)</f>
        <v>322</v>
      </c>
      <c r="AX99" s="55">
        <f t="shared" si="121"/>
        <v>-3029.6032929624553</v>
      </c>
      <c r="AY99" s="566">
        <f>VLOOKUP($A99,'01-02.2021'!$A$6:$CZ$403,51,FALSE)+VLOOKUP($A99,'1.3.21-28.2.22'!$A$6:$DA$404,51,FALSE)-VLOOKUP($A99,'01-02.2022'!$A$6:$DA$376,51,FALSE)</f>
        <v>3915.3527241056763</v>
      </c>
      <c r="AZ99" s="566">
        <f>VLOOKUP($A99,'01-02.2021'!$A$6:$CZ$403,52,FALSE)+VLOOKUP($A99,'1.3.21-28.2.22'!$A$6:$DA$404,52,FALSE)-VLOOKUP($A99,'01-02.2022'!$A$6:$DA$376,52,FALSE)</f>
        <v>4693</v>
      </c>
      <c r="BA99" s="38">
        <f t="shared" si="122"/>
        <v>777.64727589432368</v>
      </c>
      <c r="BB99" s="566">
        <f>VLOOKUP($A99,'01-02.2021'!$A$6:$CZ$403,54,FALSE)+VLOOKUP($A99,'1.3.21-28.2.22'!$A$6:$DA$404,54,FALSE)-VLOOKUP($A99,'01-02.2022'!$A$6:$DA$376,54,FALSE)</f>
        <v>1815.3629675517468</v>
      </c>
      <c r="BC99" s="566">
        <f>VLOOKUP($A99,'01-02.2021'!$A$6:$CZ$403,55,FALSE)+VLOOKUP($A99,'1.3.21-28.2.22'!$A$6:$DA$404,55,FALSE)-VLOOKUP($A99,'01-02.2022'!$A$6:$DA$376,55,FALSE)</f>
        <v>2853</v>
      </c>
      <c r="BD99" s="55">
        <f t="shared" si="123"/>
        <v>1037.6370324482532</v>
      </c>
      <c r="BE99" s="566">
        <f>VLOOKUP($A99,'01-02.2021'!$A$6:$CZ$403,57,FALSE)+VLOOKUP($A99,'1.3.21-28.2.22'!$A$6:$DA$404,57,FALSE)-VLOOKUP($A99,'01-02.2022'!$A$6:$DA$376,57,FALSE)</f>
        <v>3136.1822880832478</v>
      </c>
      <c r="BF99" s="566">
        <f>VLOOKUP($A99,'01-02.2021'!$A$6:$CZ$403,58,FALSE)+VLOOKUP($A99,'1.3.21-28.2.22'!$A$6:$DA$404,58,FALSE)-VLOOKUP($A99,'01-02.2022'!$A$6:$DA$376,58,FALSE)</f>
        <v>0</v>
      </c>
      <c r="BG99" s="55">
        <f t="shared" si="124"/>
        <v>-3136.1822880832478</v>
      </c>
      <c r="BH99" s="566">
        <f>VLOOKUP($A99,'01-02.2021'!$A$6:$CZ$403,60,FALSE)+VLOOKUP($A99,'1.3.21-28.2.22'!$A$6:$DA$404,60,FALSE)-VLOOKUP($A99,'01-02.2022'!$A$6:$DA$376,60,FALSE)</f>
        <v>1229.5050867709858</v>
      </c>
      <c r="BI99" s="566">
        <f>VLOOKUP($A99,'01-02.2021'!$A$6:$CZ$403,61,FALSE)+VLOOKUP($A99,'1.3.21-28.2.22'!$A$6:$DA$404,61,FALSE)-VLOOKUP($A99,'01-02.2022'!$A$6:$DA$376,61,FALSE)</f>
        <v>16</v>
      </c>
      <c r="BJ99" s="55">
        <f t="shared" si="125"/>
        <v>-1213.5050867709858</v>
      </c>
      <c r="BK99" s="566">
        <f>VLOOKUP($A99,'01-02.2021'!$A$6:$CZ$403,63,FALSE)+VLOOKUP($A99,'1.3.21-28.2.22'!$A$6:$DA$404,63,FALSE)-VLOOKUP($A99,'01-02.2022'!$A$6:$DA$376,63,FALSE)</f>
        <v>2308.5721239625009</v>
      </c>
      <c r="BL99" s="566">
        <f>VLOOKUP($A99,'01-02.2021'!$A$6:$CZ$403,64,FALSE)+VLOOKUP($A99,'1.3.21-28.2.22'!$A$6:$DA$404,64,FALSE)-VLOOKUP($A99,'01-02.2022'!$A$6:$DA$376,64,FALSE)</f>
        <v>310</v>
      </c>
      <c r="BM99" s="55">
        <f t="shared" si="126"/>
        <v>-1998.5721239625009</v>
      </c>
      <c r="BN99" s="566">
        <f>VLOOKUP($A99,'01-02.2021'!$A$6:$CZ$403,66,FALSE)+VLOOKUP($A99,'1.3.21-28.2.22'!$A$6:$DA$404,66,FALSE)-VLOOKUP($A99,'01-02.2022'!$A$6:$DA$376,66,FALSE)</f>
        <v>252.39</v>
      </c>
      <c r="BO99" s="566">
        <f>VLOOKUP($A99,'01-02.2021'!$A$6:$CZ$403,67,FALSE)+VLOOKUP($A99,'1.3.21-28.2.22'!$A$6:$DA$404,67,FALSE)-VLOOKUP($A99,'01-02.2022'!$A$6:$DA$376,67,FALSE)</f>
        <v>0</v>
      </c>
      <c r="BP99" s="55">
        <f t="shared" si="127"/>
        <v>-252.39</v>
      </c>
      <c r="BQ99" s="77">
        <f t="shared" ref="BQ99:BQ128" si="139">AV99+AY99+BB99+BE99+BH99+BK99+BN99</f>
        <v>16008.968483436613</v>
      </c>
      <c r="BR99" s="40">
        <f t="shared" ref="BR99:BR128" si="140">AW99+AZ99+BC99+BF99+BI99+BL99+BO99</f>
        <v>8194</v>
      </c>
      <c r="BS99" s="55">
        <f t="shared" si="110"/>
        <v>-7814.9684834366126</v>
      </c>
      <c r="BT99" s="566">
        <f>VLOOKUP($A99,'01-02.2021'!$A$6:$CZ$403,72,FALSE)+VLOOKUP($A99,'1.3.21-28.2.22'!$A$6:$DA$404,72,FALSE)-VLOOKUP($A99,'01-02.2022'!$A$6:$DA$376,72,FALSE)</f>
        <v>45397.474294091066</v>
      </c>
      <c r="BU99" s="566">
        <f>VLOOKUP($A99,'01-02.2021'!$A$6:$CZ$403,73,FALSE)+VLOOKUP($A99,'1.3.21-28.2.22'!$A$6:$DA$404,73,FALSE)-VLOOKUP($A99,'01-02.2022'!$A$6:$DA$376,73,FALSE)</f>
        <v>40710.882640743068</v>
      </c>
      <c r="BV99" s="70">
        <f t="shared" si="128"/>
        <v>-4686.5916533479976</v>
      </c>
      <c r="BW99" s="566">
        <f>VLOOKUP($A99,'01-02.2021'!$A$6:$CZ$403,75,FALSE)+VLOOKUP($A99,'1.3.21-28.2.22'!$A$6:$DA$404,75,FALSE)-VLOOKUP($A99,'01-02.2022'!$A$6:$DA$376,75,FALSE)</f>
        <v>40042.483053041957</v>
      </c>
      <c r="BX99" s="566">
        <f>VLOOKUP($A99,'01-02.2021'!$A$6:$CZ$403,76,FALSE)+VLOOKUP($A99,'1.3.21-28.2.22'!$A$6:$DA$404,76,FALSE)-VLOOKUP($A99,'01-02.2022'!$A$6:$DA$376,76,FALSE)</f>
        <v>35834.175332122482</v>
      </c>
      <c r="BY99" s="70">
        <f t="shared" si="129"/>
        <v>-4208.3077209194744</v>
      </c>
      <c r="BZ99" s="566">
        <f>VLOOKUP($A99,'01-02.2021'!$A$6:$CZ$403,78,FALSE)+VLOOKUP($A99,'1.3.21-28.2.22'!$A$6:$DA$404,78,FALSE)-VLOOKUP($A99,'01-02.2022'!$A$6:$DA$376,78,FALSE)</f>
        <v>6071.6902852630465</v>
      </c>
      <c r="CA99" s="566">
        <f>VLOOKUP($A99,'01-02.2021'!$A$6:$CZ$403,79,FALSE)+VLOOKUP($A99,'1.3.21-28.2.22'!$A$6:$DA$404,79,FALSE)-VLOOKUP($A99,'01-02.2022'!$A$6:$DA$376,79,FALSE)</f>
        <v>7386.7153917691003</v>
      </c>
      <c r="CB99" s="70">
        <f t="shared" si="130"/>
        <v>1315.0251065060538</v>
      </c>
      <c r="CC99" s="566">
        <f>VLOOKUP($A99,'01-02.2021'!$A$6:$CZ$403,81,FALSE)+VLOOKUP($A99,'1.3.21-28.2.22'!$A$6:$DA$404,81,FALSE)-VLOOKUP($A99,'01-02.2022'!$A$6:$DA$376,81,FALSE)</f>
        <v>1736.4479956474584</v>
      </c>
      <c r="CD99" s="566">
        <f>VLOOKUP($A99,'01-02.2021'!$A$6:$CZ$403,82,FALSE)+VLOOKUP($A99,'1.3.21-28.2.22'!$A$6:$DA$404,82,FALSE)-VLOOKUP($A99,'01-02.2022'!$A$6:$DA$376,82,FALSE)</f>
        <v>1893.3333930549934</v>
      </c>
      <c r="CE99" s="70">
        <f t="shared" si="131"/>
        <v>156.88539740753504</v>
      </c>
      <c r="CF99" s="566">
        <f>VLOOKUP($A99,'01-02.2021'!$A$6:$CZ$403,84,FALSE)+VLOOKUP($A99,'1.3.21-28.2.22'!$A$6:$DA$404,84,FALSE)-VLOOKUP($A99,'01-02.2022'!$A$6:$DA$376,84,FALSE)</f>
        <v>210.59025145160473</v>
      </c>
      <c r="CG99" s="566">
        <f>VLOOKUP($A99,'01-02.2021'!$A$6:$CZ$403,85,FALSE)+VLOOKUP($A99,'1.3.21-28.2.22'!$A$6:$DA$404,85,FALSE)-VLOOKUP($A99,'01-02.2022'!$A$6:$DA$376,85,FALSE)</f>
        <v>0</v>
      </c>
      <c r="CH99" s="70">
        <f t="shared" si="132"/>
        <v>-210.59025145160473</v>
      </c>
      <c r="CI99" s="566">
        <f>VLOOKUP($A99,'01-02.2021'!$A$6:$CZ$403,87,FALSE)+VLOOKUP($A99,'1.3.21-28.2.22'!$A$6:$DA$404,87,FALSE)-VLOOKUP($A99,'01-02.2022'!$A$6:$DA$376,87,FALSE)</f>
        <v>17160.687336824147</v>
      </c>
      <c r="CJ99" s="566">
        <f>VLOOKUP($A99,'01-02.2021'!$A$6:$CZ$403,88,FALSE)+VLOOKUP($A99,'1.3.21-28.2.22'!$A$6:$DA$404,88,FALSE)-VLOOKUP($A99,'01-02.2022'!$A$6:$DA$376,88,FALSE)</f>
        <v>15357.225477393933</v>
      </c>
      <c r="CK99" s="70">
        <f t="shared" si="133"/>
        <v>-1803.4618594302137</v>
      </c>
      <c r="CL99" s="566">
        <f>VLOOKUP($A99,'01-02.2021'!$A$6:$CZ$403,90,FALSE)+VLOOKUP($A99,'1.3.21-28.2.22'!$A$6:$DA$404,90,FALSE)-VLOOKUP($A99,'01-02.2022'!$A$6:$DA$376,90,FALSE)</f>
        <v>6964.5913261574187</v>
      </c>
      <c r="CM99" s="566">
        <f>VLOOKUP($A99,'01-02.2021'!$A$6:$CZ$403,91,FALSE)+VLOOKUP($A99,'1.3.21-28.2.22'!$A$6:$DA$404,91,FALSE)-VLOOKUP($A99,'01-02.2022'!$A$6:$DA$376,91,FALSE)</f>
        <v>7434.0404944508973</v>
      </c>
      <c r="CN99" s="52">
        <f t="shared" si="97"/>
        <v>469.44916829347858</v>
      </c>
      <c r="CO99" s="39">
        <f t="shared" si="89"/>
        <v>24125.278662981567</v>
      </c>
      <c r="CP99" s="40">
        <f t="shared" si="98"/>
        <v>22791.26597184483</v>
      </c>
      <c r="CQ99" s="52">
        <f t="shared" si="99"/>
        <v>-1334.012691136737</v>
      </c>
      <c r="CR99" s="72">
        <f t="shared" si="90"/>
        <v>302506.71852710476</v>
      </c>
      <c r="CS99" s="5">
        <f t="shared" si="90"/>
        <v>234150.55494064701</v>
      </c>
      <c r="CT99" s="52">
        <f t="shared" si="100"/>
        <v>-68356.163586457755</v>
      </c>
      <c r="CU99" s="77">
        <f t="shared" si="101"/>
        <v>363008.06223252573</v>
      </c>
      <c r="CV99" s="65">
        <f t="shared" si="102"/>
        <v>280980.66592877638</v>
      </c>
      <c r="CW99" s="35">
        <f t="shared" si="103"/>
        <v>-82027.396303749352</v>
      </c>
      <c r="CX99" s="566">
        <f>VLOOKUP($A99,'01-02.2021'!$A$6:$CZ$403,102,FALSE)+VLOOKUP($A99,'1.3.21-28.2.22'!$A$6:$DA$404,102,FALSE)-VLOOKUP($A99,'01-02.2022'!$A$6:$DA$376,102,FALSE)</f>
        <v>9100.1301916200646</v>
      </c>
      <c r="CY99" s="566">
        <f>VLOOKUP($A99,'01-02.2021'!$A$6:$CZ$403,103,FALSE)+VLOOKUP($A99,'1.3.21-28.2.22'!$A$6:$DA$404,103,FALSE)-VLOOKUP($A99,'01-02.2022'!$A$6:$DA$376,103,FALSE)</f>
        <v>91127.52649536934</v>
      </c>
      <c r="CZ99" s="52">
        <f t="shared" si="104"/>
        <v>82027.396303749279</v>
      </c>
      <c r="DA99" s="150">
        <f>'[2]побудинковий звіт'!DA99</f>
        <v>-116795.33545095874</v>
      </c>
      <c r="DB99" s="2">
        <v>3</v>
      </c>
      <c r="DC99" s="414">
        <f>'[4]побудинковий звіт'!DC99</f>
        <v>89572.24</v>
      </c>
      <c r="DD99" s="414">
        <f>'[4]побудинковий звіт'!DD99</f>
        <v>0</v>
      </c>
      <c r="DE99" s="557">
        <f>'[4]побудинковий звіт'!DE99</f>
        <v>55730.416448774013</v>
      </c>
      <c r="DF99" s="557">
        <f>'[4]побудинковий звіт'!DF99</f>
        <v>0</v>
      </c>
      <c r="DG99" s="321">
        <f>VLOOKUP(A99,'кошти 01.03.2021'!$A$6:$D$401,4,)</f>
        <v>-36941.922707557111</v>
      </c>
      <c r="DH99" s="40">
        <f>'[3]побудинковий звіт'!DJ99</f>
        <v>385509.52348607342</v>
      </c>
      <c r="DI99" s="422">
        <f>'[3]побудинковий звіт'!CU99+'[3]побудинковий звіт'!CX99</f>
        <v>33841.823551226</v>
      </c>
      <c r="DJ99" s="306">
        <f>'[3]побудинковий звіт'!DM99</f>
        <v>5.7342707965241306</v>
      </c>
      <c r="DK99" s="306">
        <f>'[3]побудинковий звіт'!DN99</f>
        <v>6.8233940530873998</v>
      </c>
      <c r="DL99" s="306">
        <f>'[3]побудинковий звіт'!DO99</f>
        <v>4.7961368545514738</v>
      </c>
      <c r="DM99" s="28">
        <f t="shared" ref="DM99:DM102" si="141">DJ99*G99+(F99-G99)*DK99</f>
        <v>33841.823551225993</v>
      </c>
      <c r="DN99" s="28">
        <f>DL99*H99</f>
        <v>0</v>
      </c>
      <c r="DO99" s="423">
        <f t="shared" si="105"/>
        <v>33841.823551225993</v>
      </c>
      <c r="DP99" s="94">
        <f t="shared" si="106"/>
        <v>0</v>
      </c>
      <c r="DQ99" s="28">
        <f t="shared" si="107"/>
        <v>33841.823551225993</v>
      </c>
      <c r="DR99" s="318"/>
      <c r="DT99" s="8"/>
      <c r="DU99" s="5"/>
      <c r="DX99" s="5">
        <f t="shared" si="108"/>
        <v>104070.00876204706</v>
      </c>
      <c r="DY99" s="5">
        <f t="shared" si="109"/>
        <v>34722.956719314578</v>
      </c>
      <c r="DZ99" s="159">
        <f>'[3]побудинковий звіт'!EA99</f>
        <v>10018.131296962954</v>
      </c>
    </row>
    <row r="100" spans="1:130" x14ac:dyDescent="0.3">
      <c r="A100" s="325">
        <v>150000659</v>
      </c>
      <c r="B100" s="41" t="s">
        <v>549</v>
      </c>
      <c r="C100" s="42" t="s">
        <v>414</v>
      </c>
      <c r="D100" s="42"/>
      <c r="E100" s="293">
        <f t="shared" si="85"/>
        <v>2605.5</v>
      </c>
      <c r="F100" s="305">
        <f>'[3]побудинковий звіт'!F100</f>
        <v>2605.5</v>
      </c>
      <c r="G100" s="508">
        <f>'[3]побудинковий звіт'!G100</f>
        <v>490.3</v>
      </c>
      <c r="H100" s="560">
        <f>'[3]побудинковий звіт'!H100</f>
        <v>0</v>
      </c>
      <c r="I100" s="566">
        <f>VLOOKUP($A100,'01-02.2021'!$A$6:$CZ$403,9,FALSE)+VLOOKUP($A100,'1.3.21-28.2.22'!$A$6:$DA$404,9,FALSE)-VLOOKUP($A100,'01-02.2022'!$A$6:$DA$376,9,FALSE)</f>
        <v>8057.7314759217725</v>
      </c>
      <c r="J100" s="566">
        <f>VLOOKUP($A100,'01-02.2021'!$A$6:$CZ$403,10,FALSE)+VLOOKUP($A100,'1.3.21-28.2.22'!$A$6:$DA$404,10,FALSE)-VLOOKUP($A100,'01-02.2022'!$A$6:$DA$376,10,FALSE)</f>
        <v>7903.5559597665579</v>
      </c>
      <c r="K100" s="52">
        <f t="shared" si="94"/>
        <v>-154.17551615521461</v>
      </c>
      <c r="L100" s="566">
        <f>VLOOKUP($A100,'01-02.2021'!$A$6:$CZ$403,12,FALSE)+VLOOKUP($A100,'1.3.21-28.2.22'!$A$6:$DA$404,12,FALSE)-VLOOKUP($A100,'01-02.2022'!$A$6:$DA$376,12,FALSE)</f>
        <v>1476.9118891405103</v>
      </c>
      <c r="M100" s="566">
        <f>VLOOKUP($A100,'01-02.2021'!$A$6:$CZ$403,13,FALSE)+VLOOKUP($A100,'1.3.21-28.2.22'!$A$6:$DA$404,13,FALSE)-VLOOKUP($A100,'01-02.2022'!$A$6:$DA$376,13,FALSE)</f>
        <v>1474.6400849722638</v>
      </c>
      <c r="N100" s="52">
        <f t="shared" si="95"/>
        <v>-2.27180416824649</v>
      </c>
      <c r="O100" s="566">
        <f>VLOOKUP($A100,'01-02.2021'!$A$6:$CZ$403,15,FALSE)+VLOOKUP($A100,'1.3.21-28.2.22'!$A$6:$DA$404,15,FALSE)-VLOOKUP($A100,'01-02.2022'!$A$6:$DA$376,15,FALSE)</f>
        <v>3150.0699486380663</v>
      </c>
      <c r="P100" s="566">
        <f>VLOOKUP($A100,'01-02.2021'!$A$6:$CZ$403,16,FALSE)+VLOOKUP($A100,'1.3.21-28.2.22'!$A$6:$DA$404,16,FALSE)-VLOOKUP($A100,'01-02.2022'!$A$6:$DA$376,16,FALSE)</f>
        <v>3150.7333333333322</v>
      </c>
      <c r="Q100" s="70">
        <f t="shared" si="111"/>
        <v>0.66338469526590416</v>
      </c>
      <c r="R100" s="566">
        <f>VLOOKUP($A100,'01-02.2021'!$A$6:$CZ$403,18,FALSE)+VLOOKUP($A100,'1.3.21-28.2.22'!$A$6:$DA$404,18,FALSE)-VLOOKUP($A100,'01-02.2022'!$A$6:$DA$376,18,FALSE)</f>
        <v>760.22637571318342</v>
      </c>
      <c r="S100" s="566">
        <f>VLOOKUP($A100,'01-02.2021'!$A$6:$CZ$403,19,FALSE)+VLOOKUP($A100,'1.3.21-28.2.22'!$A$6:$DA$404,19,FALSE)-VLOOKUP($A100,'01-02.2022'!$A$6:$DA$376,19,FALSE)</f>
        <v>760.33666666666647</v>
      </c>
      <c r="T100" s="70">
        <f t="shared" si="112"/>
        <v>0.11029095348305873</v>
      </c>
      <c r="U100" s="566">
        <f>VLOOKUP($A100,'01-02.2021'!$A$6:$CZ$403,21,FALSE)+VLOOKUP($A100,'1.3.21-28.2.22'!$A$6:$DA$404,21,FALSE)-VLOOKUP($A100,'01-02.2022'!$A$6:$DA$376,21,FALSE)</f>
        <v>228.8958585268299</v>
      </c>
      <c r="V100" s="566">
        <f>VLOOKUP($A100,'01-02.2021'!$A$6:$CZ$403,22,FALSE)+VLOOKUP($A100,'1.3.21-28.2.22'!$A$6:$DA$404,22,FALSE)-VLOOKUP($A100,'01-02.2022'!$A$6:$DA$376,22,FALSE)</f>
        <v>233.46534451765837</v>
      </c>
      <c r="W100" s="70">
        <f t="shared" si="113"/>
        <v>4.5694859908284684</v>
      </c>
      <c r="X100" s="566">
        <f>VLOOKUP($A100,'01-02.2021'!$A$6:$CZ$403,24,FALSE)+VLOOKUP($A100,'1.3.21-28.2.22'!$A$6:$DA$404,24,FALSE)-VLOOKUP($A100,'01-02.2022'!$A$6:$DA$376,24,FALSE)</f>
        <v>2864.3335978522528</v>
      </c>
      <c r="Y100" s="566">
        <f>VLOOKUP($A100,'01-02.2021'!$A$6:$CZ$403,25,FALSE)+VLOOKUP($A100,'1.3.21-28.2.22'!$A$6:$DA$404,25,FALSE)-VLOOKUP($A100,'01-02.2022'!$A$6:$DA$376,25,FALSE)</f>
        <v>3040.6462652582795</v>
      </c>
      <c r="Z100" s="70">
        <f t="shared" si="114"/>
        <v>176.31266740602678</v>
      </c>
      <c r="AA100" s="566">
        <f>VLOOKUP($A100,'01-02.2021'!$A$6:$CZ$403,27,FALSE)+VLOOKUP($A100,'1.3.21-28.2.22'!$A$6:$DA$404,27,FALSE)-VLOOKUP($A100,'01-02.2022'!$A$6:$DA$376,27,FALSE)</f>
        <v>521.22</v>
      </c>
      <c r="AB100" s="566">
        <f>VLOOKUP($A100,'01-02.2021'!$A$6:$CZ$403,28,FALSE)+VLOOKUP($A100,'1.3.21-28.2.22'!$A$6:$DA$404,28,FALSE)-VLOOKUP($A100,'01-02.2022'!$A$6:$DA$376,28,FALSE)</f>
        <v>0</v>
      </c>
      <c r="AC100" s="70">
        <f t="shared" si="115"/>
        <v>-521.22</v>
      </c>
      <c r="AD100" s="566">
        <f>VLOOKUP($A100,'01-02.2021'!$A$6:$CZ$403,30,FALSE)+VLOOKUP($A100,'1.3.21-28.2.22'!$A$6:$DA$404,30,FALSE)-VLOOKUP($A100,'01-02.2022'!$A$6:$DA$376,30,FALSE)</f>
        <v>11192.441535626287</v>
      </c>
      <c r="AE100" s="566">
        <f>VLOOKUP($A100,'01-02.2021'!$A$6:$CZ$403,31,FALSE)+VLOOKUP($A100,'1.3.21-28.2.22'!$A$6:$DA$404,31,FALSE)-VLOOKUP($A100,'01-02.2022'!$A$6:$DA$376,31,FALSE)</f>
        <v>11860.340981458303</v>
      </c>
      <c r="AF100" s="68">
        <f t="shared" si="116"/>
        <v>667.89944583201577</v>
      </c>
      <c r="AG100" s="77">
        <f t="shared" si="86"/>
        <v>28251.830681418902</v>
      </c>
      <c r="AH100" s="53">
        <f t="shared" si="86"/>
        <v>28423.718635973059</v>
      </c>
      <c r="AI100" s="52">
        <f t="shared" si="96"/>
        <v>171.88795455415675</v>
      </c>
      <c r="AJ100" s="566">
        <f>VLOOKUP($A100,'01-02.2021'!$A$6:$CZ$403,36,FALSE)+VLOOKUP($A100,'1.3.21-28.2.22'!$A$6:$DA$404,36,FALSE)-VLOOKUP($A100,'01-02.2022'!$A$6:$DA$376,36,FALSE)</f>
        <v>19000.066418901661</v>
      </c>
      <c r="AK100" s="566">
        <f>VLOOKUP($A100,'01-02.2021'!$A$6:$CZ$403,37,FALSE)+VLOOKUP($A100,'1.3.21-28.2.22'!$A$6:$DA$404,37,FALSE)-VLOOKUP($A100,'01-02.2022'!$A$6:$DA$376,37,FALSE)</f>
        <v>18875.542406939494</v>
      </c>
      <c r="AL100" s="70">
        <f t="shared" si="117"/>
        <v>-124.5240119621667</v>
      </c>
      <c r="AM100" s="566">
        <f>VLOOKUP($A100,'01-02.2021'!$A$6:$CZ$403,39,FALSE)+VLOOKUP($A100,'1.3.21-28.2.22'!$A$6:$DA$404,39,FALSE)-VLOOKUP($A100,'01-02.2022'!$A$6:$DA$376,39,FALSE)</f>
        <v>0</v>
      </c>
      <c r="AN100" s="566">
        <f>VLOOKUP($A100,'01-02.2021'!$A$6:$CZ$403,40,FALSE)+VLOOKUP($A100,'1.3.21-28.2.22'!$A$6:$DA$404,40,FALSE)-VLOOKUP($A100,'01-02.2022'!$A$6:$DA$376,40,FALSE)</f>
        <v>0</v>
      </c>
      <c r="AO100" s="70">
        <f t="shared" si="118"/>
        <v>0</v>
      </c>
      <c r="AP100" s="566">
        <f>VLOOKUP($A100,'01-02.2021'!$A$6:$CZ$403,42,FALSE)+VLOOKUP($A100,'1.3.21-28.2.22'!$A$6:$DA$404,42,FALSE)-VLOOKUP($A100,'01-02.2022'!$A$6:$DA$376,42,FALSE)</f>
        <v>1735.1997500425916</v>
      </c>
      <c r="AQ100" s="566">
        <f>VLOOKUP($A100,'01-02.2021'!$A$6:$CZ$403,43,FALSE)+VLOOKUP($A100,'1.3.21-28.2.22'!$A$6:$DA$404,43,FALSE)-VLOOKUP($A100,'01-02.2022'!$A$6:$DA$376,43,FALSE)</f>
        <v>1494.7267709291627</v>
      </c>
      <c r="AR100" s="70">
        <f t="shared" si="119"/>
        <v>-240.47297911342889</v>
      </c>
      <c r="AS100" s="566">
        <f>VLOOKUP($A100,'01-02.2021'!$A$6:$CZ$403,45,FALSE)+VLOOKUP($A100,'1.3.21-28.2.22'!$A$6:$DA$404,45,FALSE)-VLOOKUP($A100,'01-02.2022'!$A$6:$DA$376,45,FALSE)</f>
        <v>29479.56456765101</v>
      </c>
      <c r="AT100" s="566">
        <f>VLOOKUP($A100,'01-02.2021'!$A$6:$CZ$403,46,FALSE)+VLOOKUP($A100,'1.3.21-28.2.22'!$A$6:$DA$404,46,FALSE)-VLOOKUP($A100,'01-02.2022'!$A$6:$DA$376,46,FALSE)</f>
        <v>4692</v>
      </c>
      <c r="AU100" s="78">
        <f t="shared" si="120"/>
        <v>-24787.56456765101</v>
      </c>
      <c r="AV100" s="566">
        <f>VLOOKUP($A100,'01-02.2021'!$A$6:$CZ$403,48,FALSE)+VLOOKUP($A100,'1.3.21-28.2.22'!$A$6:$DA$404,48,FALSE)-VLOOKUP($A100,'01-02.2022'!$A$6:$DA$376,48,FALSE)</f>
        <v>1850.307120055224</v>
      </c>
      <c r="AW100" s="566">
        <f>VLOOKUP($A100,'01-02.2021'!$A$6:$CZ$403,49,FALSE)+VLOOKUP($A100,'1.3.21-28.2.22'!$A$6:$DA$404,49,FALSE)-VLOOKUP($A100,'01-02.2022'!$A$6:$DA$376,49,FALSE)</f>
        <v>0</v>
      </c>
      <c r="AX100" s="55">
        <f t="shared" si="121"/>
        <v>-1850.307120055224</v>
      </c>
      <c r="AY100" s="566">
        <f>VLOOKUP($A100,'01-02.2021'!$A$6:$CZ$403,51,FALSE)+VLOOKUP($A100,'1.3.21-28.2.22'!$A$6:$DA$404,51,FALSE)-VLOOKUP($A100,'01-02.2022'!$A$6:$DA$376,51,FALSE)</f>
        <v>2233.9679414444763</v>
      </c>
      <c r="AZ100" s="566">
        <f>VLOOKUP($A100,'01-02.2021'!$A$6:$CZ$403,52,FALSE)+VLOOKUP($A100,'1.3.21-28.2.22'!$A$6:$DA$404,52,FALSE)-VLOOKUP($A100,'01-02.2022'!$A$6:$DA$376,52,FALSE)</f>
        <v>2863</v>
      </c>
      <c r="BA100" s="38">
        <f t="shared" si="122"/>
        <v>629.03205855552369</v>
      </c>
      <c r="BB100" s="566">
        <f>VLOOKUP($A100,'01-02.2021'!$A$6:$CZ$403,54,FALSE)+VLOOKUP($A100,'1.3.21-28.2.22'!$A$6:$DA$404,54,FALSE)-VLOOKUP($A100,'01-02.2022'!$A$6:$DA$376,54,FALSE)</f>
        <v>1368.4113362637063</v>
      </c>
      <c r="BC100" s="566">
        <f>VLOOKUP($A100,'01-02.2021'!$A$6:$CZ$403,55,FALSE)+VLOOKUP($A100,'1.3.21-28.2.22'!$A$6:$DA$404,55,FALSE)-VLOOKUP($A100,'01-02.2022'!$A$6:$DA$376,55,FALSE)</f>
        <v>5032</v>
      </c>
      <c r="BD100" s="55">
        <f t="shared" si="123"/>
        <v>3663.5886637362937</v>
      </c>
      <c r="BE100" s="566">
        <f>VLOOKUP($A100,'01-02.2021'!$A$6:$CZ$403,57,FALSE)+VLOOKUP($A100,'1.3.21-28.2.22'!$A$6:$DA$404,57,FALSE)-VLOOKUP($A100,'01-02.2022'!$A$6:$DA$376,57,FALSE)</f>
        <v>1710.8245127749421</v>
      </c>
      <c r="BF100" s="566">
        <f>VLOOKUP($A100,'01-02.2021'!$A$6:$CZ$403,58,FALSE)+VLOOKUP($A100,'1.3.21-28.2.22'!$A$6:$DA$404,58,FALSE)-VLOOKUP($A100,'01-02.2022'!$A$6:$DA$376,58,FALSE)</f>
        <v>0</v>
      </c>
      <c r="BG100" s="55">
        <f t="shared" si="124"/>
        <v>-1710.8245127749421</v>
      </c>
      <c r="BH100" s="566">
        <f>VLOOKUP($A100,'01-02.2021'!$A$6:$CZ$403,60,FALSE)+VLOOKUP($A100,'1.3.21-28.2.22'!$A$6:$DA$404,60,FALSE)-VLOOKUP($A100,'01-02.2022'!$A$6:$DA$376,60,FALSE)</f>
        <v>434.89452455704367</v>
      </c>
      <c r="BI100" s="566">
        <f>VLOOKUP($A100,'01-02.2021'!$A$6:$CZ$403,61,FALSE)+VLOOKUP($A100,'1.3.21-28.2.22'!$A$6:$DA$404,61,FALSE)-VLOOKUP($A100,'01-02.2022'!$A$6:$DA$376,61,FALSE)</f>
        <v>0</v>
      </c>
      <c r="BJ100" s="55">
        <f t="shared" si="125"/>
        <v>-434.89452455704367</v>
      </c>
      <c r="BK100" s="566">
        <f>VLOOKUP($A100,'01-02.2021'!$A$6:$CZ$403,63,FALSE)+VLOOKUP($A100,'1.3.21-28.2.22'!$A$6:$DA$404,63,FALSE)-VLOOKUP($A100,'01-02.2022'!$A$6:$DA$376,63,FALSE)</f>
        <v>611.96109438384815</v>
      </c>
      <c r="BL100" s="566">
        <f>VLOOKUP($A100,'01-02.2021'!$A$6:$CZ$403,64,FALSE)+VLOOKUP($A100,'1.3.21-28.2.22'!$A$6:$DA$404,64,FALSE)-VLOOKUP($A100,'01-02.2022'!$A$6:$DA$376,64,FALSE)</f>
        <v>1226</v>
      </c>
      <c r="BM100" s="55">
        <f t="shared" si="126"/>
        <v>614.03890561615185</v>
      </c>
      <c r="BN100" s="566">
        <f>VLOOKUP($A100,'01-02.2021'!$A$6:$CZ$403,66,FALSE)+VLOOKUP($A100,'1.3.21-28.2.22'!$A$6:$DA$404,66,FALSE)-VLOOKUP($A100,'01-02.2022'!$A$6:$DA$376,66,FALSE)</f>
        <v>130.30500000000001</v>
      </c>
      <c r="BO100" s="566">
        <f>VLOOKUP($A100,'01-02.2021'!$A$6:$CZ$403,67,FALSE)+VLOOKUP($A100,'1.3.21-28.2.22'!$A$6:$DA$404,67,FALSE)-VLOOKUP($A100,'01-02.2022'!$A$6:$DA$376,67,FALSE)</f>
        <v>0</v>
      </c>
      <c r="BP100" s="55">
        <f t="shared" si="127"/>
        <v>-130.30500000000001</v>
      </c>
      <c r="BQ100" s="77">
        <f t="shared" si="139"/>
        <v>8340.6715294792411</v>
      </c>
      <c r="BR100" s="40">
        <f t="shared" si="140"/>
        <v>9121</v>
      </c>
      <c r="BS100" s="55">
        <f t="shared" si="110"/>
        <v>780.32847052075886</v>
      </c>
      <c r="BT100" s="566">
        <f>VLOOKUP($A100,'01-02.2021'!$A$6:$CZ$403,72,FALSE)+VLOOKUP($A100,'1.3.21-28.2.22'!$A$6:$DA$404,72,FALSE)-VLOOKUP($A100,'01-02.2022'!$A$6:$DA$376,72,FALSE)</f>
        <v>21482.763127619084</v>
      </c>
      <c r="BU100" s="566">
        <f>VLOOKUP($A100,'01-02.2021'!$A$6:$CZ$403,73,FALSE)+VLOOKUP($A100,'1.3.21-28.2.22'!$A$6:$DA$404,73,FALSE)-VLOOKUP($A100,'01-02.2022'!$A$6:$DA$376,73,FALSE)</f>
        <v>10120.085613183304</v>
      </c>
      <c r="BV100" s="70">
        <f t="shared" si="128"/>
        <v>-11362.67751443578</v>
      </c>
      <c r="BW100" s="566">
        <f>VLOOKUP($A100,'01-02.2021'!$A$6:$CZ$403,75,FALSE)+VLOOKUP($A100,'1.3.21-28.2.22'!$A$6:$DA$404,75,FALSE)-VLOOKUP($A100,'01-02.2022'!$A$6:$DA$376,75,FALSE)</f>
        <v>18194.500329502433</v>
      </c>
      <c r="BX100" s="566">
        <f>VLOOKUP($A100,'01-02.2021'!$A$6:$CZ$403,76,FALSE)+VLOOKUP($A100,'1.3.21-28.2.22'!$A$6:$DA$404,76,FALSE)-VLOOKUP($A100,'01-02.2022'!$A$6:$DA$376,76,FALSE)</f>
        <v>10161.875052951931</v>
      </c>
      <c r="BY100" s="70">
        <f t="shared" si="129"/>
        <v>-8032.6252765505014</v>
      </c>
      <c r="BZ100" s="566">
        <f>VLOOKUP($A100,'01-02.2021'!$A$6:$CZ$403,78,FALSE)+VLOOKUP($A100,'1.3.21-28.2.22'!$A$6:$DA$404,78,FALSE)-VLOOKUP($A100,'01-02.2022'!$A$6:$DA$376,78,FALSE)</f>
        <v>3119.5138497181715</v>
      </c>
      <c r="CA100" s="566">
        <f>VLOOKUP($A100,'01-02.2021'!$A$6:$CZ$403,79,FALSE)+VLOOKUP($A100,'1.3.21-28.2.22'!$A$6:$DA$404,79,FALSE)-VLOOKUP($A100,'01-02.2022'!$A$6:$DA$376,79,FALSE)</f>
        <v>4279.729608530648</v>
      </c>
      <c r="CB100" s="70">
        <f t="shared" si="130"/>
        <v>1160.2157588124765</v>
      </c>
      <c r="CC100" s="566">
        <f>VLOOKUP($A100,'01-02.2021'!$A$6:$CZ$403,81,FALSE)+VLOOKUP($A100,'1.3.21-28.2.22'!$A$6:$DA$404,81,FALSE)-VLOOKUP($A100,'01-02.2022'!$A$6:$DA$376,81,FALSE)</f>
        <v>818.3567736591167</v>
      </c>
      <c r="CD100" s="566">
        <f>VLOOKUP($A100,'01-02.2021'!$A$6:$CZ$403,82,FALSE)+VLOOKUP($A100,'1.3.21-28.2.22'!$A$6:$DA$404,82,FALSE)-VLOOKUP($A100,'01-02.2022'!$A$6:$DA$376,82,FALSE)</f>
        <v>892.37128932610483</v>
      </c>
      <c r="CE100" s="70">
        <f t="shared" si="131"/>
        <v>74.014515666988132</v>
      </c>
      <c r="CF100" s="566">
        <f>VLOOKUP($A100,'01-02.2021'!$A$6:$CZ$403,84,FALSE)+VLOOKUP($A100,'1.3.21-28.2.22'!$A$6:$DA$404,84,FALSE)-VLOOKUP($A100,'01-02.2022'!$A$6:$DA$376,84,FALSE)</f>
        <v>99.255997330797953</v>
      </c>
      <c r="CG100" s="566">
        <f>VLOOKUP($A100,'01-02.2021'!$A$6:$CZ$403,85,FALSE)+VLOOKUP($A100,'1.3.21-28.2.22'!$A$6:$DA$404,85,FALSE)-VLOOKUP($A100,'01-02.2022'!$A$6:$DA$376,85,FALSE)</f>
        <v>0</v>
      </c>
      <c r="CH100" s="70">
        <f t="shared" si="132"/>
        <v>-99.255997330797953</v>
      </c>
      <c r="CI100" s="566">
        <f>VLOOKUP($A100,'01-02.2021'!$A$6:$CZ$403,87,FALSE)+VLOOKUP($A100,'1.3.21-28.2.22'!$A$6:$DA$404,87,FALSE)-VLOOKUP($A100,'01-02.2022'!$A$6:$DA$376,87,FALSE)</f>
        <v>3039.2906712375006</v>
      </c>
      <c r="CJ100" s="566">
        <f>VLOOKUP($A100,'01-02.2021'!$A$6:$CZ$403,88,FALSE)+VLOOKUP($A100,'1.3.21-28.2.22'!$A$6:$DA$404,88,FALSE)-VLOOKUP($A100,'01-02.2022'!$A$6:$DA$376,88,FALSE)</f>
        <v>2068.1754228775721</v>
      </c>
      <c r="CK100" s="70">
        <f t="shared" si="133"/>
        <v>-971.1152483599285</v>
      </c>
      <c r="CL100" s="566">
        <f>VLOOKUP($A100,'01-02.2021'!$A$6:$CZ$403,90,FALSE)+VLOOKUP($A100,'1.3.21-28.2.22'!$A$6:$DA$404,90,FALSE)-VLOOKUP($A100,'01-02.2022'!$A$6:$DA$376,90,FALSE)</f>
        <v>4294.059459206037</v>
      </c>
      <c r="CM100" s="566">
        <f>VLOOKUP($A100,'01-02.2021'!$A$6:$CZ$403,91,FALSE)+VLOOKUP($A100,'1.3.21-28.2.22'!$A$6:$DA$404,91,FALSE)-VLOOKUP($A100,'01-02.2022'!$A$6:$DA$376,91,FALSE)</f>
        <v>3851.2125792976876</v>
      </c>
      <c r="CN100" s="52">
        <f t="shared" si="97"/>
        <v>-442.84687990834936</v>
      </c>
      <c r="CO100" s="39">
        <f t="shared" si="89"/>
        <v>7333.3501304435376</v>
      </c>
      <c r="CP100" s="40">
        <f t="shared" si="98"/>
        <v>5919.3880021752593</v>
      </c>
      <c r="CQ100" s="52">
        <f t="shared" si="99"/>
        <v>-1413.9621282682783</v>
      </c>
      <c r="CR100" s="72">
        <f t="shared" si="90"/>
        <v>137855.07315576656</v>
      </c>
      <c r="CS100" s="5">
        <f t="shared" si="90"/>
        <v>93980.437380008952</v>
      </c>
      <c r="CT100" s="52">
        <f t="shared" si="100"/>
        <v>-43874.635775757604</v>
      </c>
      <c r="CU100" s="77">
        <f t="shared" si="101"/>
        <v>165426.08778691987</v>
      </c>
      <c r="CV100" s="65">
        <f t="shared" si="102"/>
        <v>112776.52485601074</v>
      </c>
      <c r="CW100" s="35">
        <f t="shared" si="103"/>
        <v>-52649.562930909131</v>
      </c>
      <c r="CX100" s="566">
        <f>VLOOKUP($A100,'01-02.2021'!$A$6:$CZ$403,102,FALSE)+VLOOKUP($A100,'1.3.21-28.2.22'!$A$6:$DA$404,102,FALSE)-VLOOKUP($A100,'01-02.2022'!$A$6:$DA$376,102,FALSE)</f>
        <v>3062.3410084349616</v>
      </c>
      <c r="CY100" s="566">
        <f>VLOOKUP($A100,'01-02.2021'!$A$6:$CZ$403,103,FALSE)+VLOOKUP($A100,'1.3.21-28.2.22'!$A$6:$DA$404,103,FALSE)-VLOOKUP($A100,'01-02.2022'!$A$6:$DA$376,103,FALSE)</f>
        <v>55711.903939344083</v>
      </c>
      <c r="CZ100" s="52">
        <f t="shared" si="104"/>
        <v>52649.562930909124</v>
      </c>
      <c r="DA100" s="150">
        <f>'[2]побудинковий звіт'!DA100</f>
        <v>12339.759617035008</v>
      </c>
      <c r="DB100" s="2">
        <v>3</v>
      </c>
      <c r="DC100" s="414">
        <f>'[4]побудинковий звіт'!DC100</f>
        <v>39504.660000000003</v>
      </c>
      <c r="DD100" s="414">
        <f>'[4]побудинковий звіт'!DD100</f>
        <v>0</v>
      </c>
      <c r="DE100" s="557">
        <f>'[4]побудинковий звіт'!DE100</f>
        <v>24192.350013346073</v>
      </c>
      <c r="DF100" s="557">
        <f>'[4]побудинковий звіт'!DF100</f>
        <v>0</v>
      </c>
      <c r="DG100" s="321">
        <f>VLOOKUP(A100,'кошти 01.03.2021'!$A$6:$D$401,4,)</f>
        <v>61380.507321527308</v>
      </c>
      <c r="DH100" s="40">
        <f>'[3]побудинковий звіт'!DJ100</f>
        <v>174503.21946952346</v>
      </c>
      <c r="DI100" s="422">
        <f>'[3]побудинковий звіт'!CU100+'[3]побудинковий звіт'!CX100</f>
        <v>15312.309986653934</v>
      </c>
      <c r="DJ100" s="306">
        <f>'[3]побудинковий звіт'!DM100</f>
        <v>4.9300761577349173</v>
      </c>
      <c r="DK100" s="306">
        <f>'[3]побудинковий звіт'!DN100</f>
        <v>6.0963945000550783</v>
      </c>
      <c r="DL100" s="306">
        <f>'[3]побудинковий звіт'!DO100</f>
        <v>4.1099550521118413</v>
      </c>
      <c r="DM100" s="28">
        <f t="shared" si="141"/>
        <v>15312.309986653931</v>
      </c>
      <c r="DN100" s="28">
        <f>DL100*H100</f>
        <v>0</v>
      </c>
      <c r="DO100" s="423">
        <f t="shared" si="105"/>
        <v>15312.309986653931</v>
      </c>
      <c r="DP100" s="94">
        <f t="shared" si="106"/>
        <v>0</v>
      </c>
      <c r="DQ100" s="28">
        <f t="shared" si="107"/>
        <v>15312.309986653931</v>
      </c>
      <c r="DR100" s="318"/>
      <c r="DT100" s="8"/>
      <c r="DU100" s="5"/>
      <c r="DX100" s="5">
        <f t="shared" si="108"/>
        <v>45384.283316556306</v>
      </c>
      <c r="DY100" s="5">
        <f t="shared" si="109"/>
        <v>16575.599999999999</v>
      </c>
      <c r="DZ100" s="159">
        <f>'[3]побудинковий звіт'!EA100</f>
        <v>4282.8797417814312</v>
      </c>
    </row>
    <row r="101" spans="1:130" x14ac:dyDescent="0.3">
      <c r="A101" s="325">
        <v>150000660</v>
      </c>
      <c r="B101" s="41" t="s">
        <v>550</v>
      </c>
      <c r="C101" s="42" t="s">
        <v>415</v>
      </c>
      <c r="D101" s="42"/>
      <c r="E101" s="293">
        <f t="shared" si="85"/>
        <v>4661.7</v>
      </c>
      <c r="F101" s="305">
        <f>'[3]побудинковий звіт'!F101</f>
        <v>4661.7</v>
      </c>
      <c r="G101" s="508">
        <f>'[3]побудинковий звіт'!G101</f>
        <v>410</v>
      </c>
      <c r="H101" s="560">
        <f>'[3]побудинковий звіт'!H101</f>
        <v>0</v>
      </c>
      <c r="I101" s="566">
        <f>VLOOKUP($A101,'01-02.2021'!$A$6:$CZ$403,9,FALSE)+VLOOKUP($A101,'1.3.21-28.2.22'!$A$6:$DA$404,9,FALSE)-VLOOKUP($A101,'01-02.2022'!$A$6:$DA$376,9,FALSE)</f>
        <v>14601.033776261698</v>
      </c>
      <c r="J101" s="566">
        <f>VLOOKUP($A101,'01-02.2021'!$A$6:$CZ$403,10,FALSE)+VLOOKUP($A101,'1.3.21-28.2.22'!$A$6:$DA$404,10,FALSE)-VLOOKUP($A101,'01-02.2022'!$A$6:$DA$376,10,FALSE)</f>
        <v>14340.580703278183</v>
      </c>
      <c r="K101" s="52">
        <f t="shared" si="94"/>
        <v>-260.45307298351509</v>
      </c>
      <c r="L101" s="566">
        <f>VLOOKUP($A101,'01-02.2021'!$A$6:$CZ$403,12,FALSE)+VLOOKUP($A101,'1.3.21-28.2.22'!$A$6:$DA$404,12,FALSE)-VLOOKUP($A101,'01-02.2022'!$A$6:$DA$376,12,FALSE)</f>
        <v>2894.2221244260572</v>
      </c>
      <c r="M101" s="566">
        <f>VLOOKUP($A101,'01-02.2021'!$A$6:$CZ$403,13,FALSE)+VLOOKUP($A101,'1.3.21-28.2.22'!$A$6:$DA$404,13,FALSE)-VLOOKUP($A101,'01-02.2022'!$A$6:$DA$376,13,FALSE)</f>
        <v>2889.7549007703365</v>
      </c>
      <c r="N101" s="52">
        <f t="shared" si="95"/>
        <v>-4.4672236557207725</v>
      </c>
      <c r="O101" s="566">
        <f>VLOOKUP($A101,'01-02.2021'!$A$6:$CZ$403,15,FALSE)+VLOOKUP($A101,'1.3.21-28.2.22'!$A$6:$DA$404,15,FALSE)-VLOOKUP($A101,'01-02.2022'!$A$6:$DA$376,15,FALSE)</f>
        <v>5488.3249893370485</v>
      </c>
      <c r="P101" s="566">
        <f>VLOOKUP($A101,'01-02.2021'!$A$6:$CZ$403,16,FALSE)+VLOOKUP($A101,'1.3.21-28.2.22'!$A$6:$DA$404,16,FALSE)-VLOOKUP($A101,'01-02.2022'!$A$6:$DA$376,16,FALSE)</f>
        <v>5486.4333333333343</v>
      </c>
      <c r="Q101" s="70">
        <f t="shared" si="111"/>
        <v>-1.8916560037141608</v>
      </c>
      <c r="R101" s="566">
        <f>VLOOKUP($A101,'01-02.2021'!$A$6:$CZ$403,18,FALSE)+VLOOKUP($A101,'1.3.21-28.2.22'!$A$6:$DA$404,18,FALSE)-VLOOKUP($A101,'01-02.2022'!$A$6:$DA$376,18,FALSE)</f>
        <v>1385.7841929573001</v>
      </c>
      <c r="S101" s="566">
        <f>VLOOKUP($A101,'01-02.2021'!$A$6:$CZ$403,19,FALSE)+VLOOKUP($A101,'1.3.21-28.2.22'!$A$6:$DA$404,19,FALSE)-VLOOKUP($A101,'01-02.2022'!$A$6:$DA$376,19,FALSE)</f>
        <v>1384.1733333333332</v>
      </c>
      <c r="T101" s="70">
        <f t="shared" si="112"/>
        <v>-1.6108596239669168</v>
      </c>
      <c r="U101" s="566">
        <f>VLOOKUP($A101,'01-02.2021'!$A$6:$CZ$403,21,FALSE)+VLOOKUP($A101,'1.3.21-28.2.22'!$A$6:$DA$404,21,FALSE)-VLOOKUP($A101,'01-02.2022'!$A$6:$DA$376,21,FALSE)</f>
        <v>717.22196050395598</v>
      </c>
      <c r="V101" s="566">
        <f>VLOOKUP($A101,'01-02.2021'!$A$6:$CZ$403,22,FALSE)+VLOOKUP($A101,'1.3.21-28.2.22'!$A$6:$DA$404,22,FALSE)-VLOOKUP($A101,'01-02.2022'!$A$6:$DA$376,22,FALSE)</f>
        <v>648.48613259550666</v>
      </c>
      <c r="W101" s="70">
        <f t="shared" si="113"/>
        <v>-68.735827908449323</v>
      </c>
      <c r="X101" s="566">
        <f>VLOOKUP($A101,'01-02.2021'!$A$6:$CZ$403,24,FALSE)+VLOOKUP($A101,'1.3.21-28.2.22'!$A$6:$DA$404,24,FALSE)-VLOOKUP($A101,'01-02.2022'!$A$6:$DA$376,24,FALSE)</f>
        <v>5664.2781337396327</v>
      </c>
      <c r="Y101" s="566">
        <f>VLOOKUP($A101,'01-02.2021'!$A$6:$CZ$403,25,FALSE)+VLOOKUP($A101,'1.3.21-28.2.22'!$A$6:$DA$404,25,FALSE)-VLOOKUP($A101,'01-02.2022'!$A$6:$DA$376,25,FALSE)</f>
        <v>4960.3262308698122</v>
      </c>
      <c r="Z101" s="70">
        <f t="shared" si="114"/>
        <v>-703.95190286982051</v>
      </c>
      <c r="AA101" s="566">
        <f>VLOOKUP($A101,'01-02.2021'!$A$6:$CZ$403,27,FALSE)+VLOOKUP($A101,'1.3.21-28.2.22'!$A$6:$DA$404,27,FALSE)-VLOOKUP($A101,'01-02.2022'!$A$6:$DA$376,27,FALSE)</f>
        <v>932.33999999999992</v>
      </c>
      <c r="AB101" s="566">
        <f>VLOOKUP($A101,'01-02.2021'!$A$6:$CZ$403,28,FALSE)+VLOOKUP($A101,'1.3.21-28.2.22'!$A$6:$DA$404,28,FALSE)-VLOOKUP($A101,'01-02.2022'!$A$6:$DA$376,28,FALSE)</f>
        <v>0</v>
      </c>
      <c r="AC101" s="70">
        <f t="shared" si="115"/>
        <v>-932.33999999999992</v>
      </c>
      <c r="AD101" s="566">
        <f>VLOOKUP($A101,'01-02.2021'!$A$6:$CZ$403,30,FALSE)+VLOOKUP($A101,'1.3.21-28.2.22'!$A$6:$DA$404,30,FALSE)-VLOOKUP($A101,'01-02.2022'!$A$6:$DA$376,30,FALSE)</f>
        <v>20023.278515124031</v>
      </c>
      <c r="AE101" s="566">
        <f>VLOOKUP($A101,'01-02.2021'!$A$6:$CZ$403,31,FALSE)+VLOOKUP($A101,'1.3.21-28.2.22'!$A$6:$DA$404,31,FALSE)-VLOOKUP($A101,'01-02.2022'!$A$6:$DA$376,31,FALSE)</f>
        <v>21220.24623038348</v>
      </c>
      <c r="AF101" s="68">
        <f t="shared" si="116"/>
        <v>1196.9677152594486</v>
      </c>
      <c r="AG101" s="77">
        <f t="shared" si="86"/>
        <v>51706.483692349728</v>
      </c>
      <c r="AH101" s="53">
        <f t="shared" si="86"/>
        <v>50930.00086456399</v>
      </c>
      <c r="AI101" s="52">
        <f t="shared" si="96"/>
        <v>-776.48282778573775</v>
      </c>
      <c r="AJ101" s="566">
        <f>VLOOKUP($A101,'01-02.2021'!$A$6:$CZ$403,36,FALSE)+VLOOKUP($A101,'1.3.21-28.2.22'!$A$6:$DA$404,36,FALSE)-VLOOKUP($A101,'01-02.2022'!$A$6:$DA$376,36,FALSE)</f>
        <v>32729.536552909249</v>
      </c>
      <c r="AK101" s="566">
        <f>VLOOKUP($A101,'01-02.2021'!$A$6:$CZ$403,37,FALSE)+VLOOKUP($A101,'1.3.21-28.2.22'!$A$6:$DA$404,37,FALSE)-VLOOKUP($A101,'01-02.2022'!$A$6:$DA$376,37,FALSE)</f>
        <v>32514.930247436991</v>
      </c>
      <c r="AL101" s="70">
        <f t="shared" si="117"/>
        <v>-214.6063054722581</v>
      </c>
      <c r="AM101" s="566">
        <f>VLOOKUP($A101,'01-02.2021'!$A$6:$CZ$403,39,FALSE)+VLOOKUP($A101,'1.3.21-28.2.22'!$A$6:$DA$404,39,FALSE)-VLOOKUP($A101,'01-02.2022'!$A$6:$DA$376,39,FALSE)</f>
        <v>0</v>
      </c>
      <c r="AN101" s="566">
        <f>VLOOKUP($A101,'01-02.2021'!$A$6:$CZ$403,40,FALSE)+VLOOKUP($A101,'1.3.21-28.2.22'!$A$6:$DA$404,40,FALSE)-VLOOKUP($A101,'01-02.2022'!$A$6:$DA$376,40,FALSE)</f>
        <v>0</v>
      </c>
      <c r="AO101" s="70">
        <f t="shared" si="118"/>
        <v>0</v>
      </c>
      <c r="AP101" s="566">
        <f>VLOOKUP($A101,'01-02.2021'!$A$6:$CZ$403,42,FALSE)+VLOOKUP($A101,'1.3.21-28.2.22'!$A$6:$DA$404,42,FALSE)-VLOOKUP($A101,'01-02.2022'!$A$6:$DA$376,42,FALSE)</f>
        <v>3470.3995000851833</v>
      </c>
      <c r="AQ101" s="566">
        <f>VLOOKUP($A101,'01-02.2021'!$A$6:$CZ$403,43,FALSE)+VLOOKUP($A101,'1.3.21-28.2.22'!$A$6:$DA$404,43,FALSE)-VLOOKUP($A101,'01-02.2022'!$A$6:$DA$376,43,FALSE)</f>
        <v>2989.4535418583255</v>
      </c>
      <c r="AR101" s="70">
        <f t="shared" si="119"/>
        <v>-480.94595822685778</v>
      </c>
      <c r="AS101" s="566">
        <f>VLOOKUP($A101,'01-02.2021'!$A$6:$CZ$403,45,FALSE)+VLOOKUP($A101,'1.3.21-28.2.22'!$A$6:$DA$404,45,FALSE)-VLOOKUP($A101,'01-02.2022'!$A$6:$DA$376,45,FALSE)</f>
        <v>54016.063817517366</v>
      </c>
      <c r="AT101" s="566">
        <f>VLOOKUP($A101,'01-02.2021'!$A$6:$CZ$403,46,FALSE)+VLOOKUP($A101,'1.3.21-28.2.22'!$A$6:$DA$404,46,FALSE)-VLOOKUP($A101,'01-02.2022'!$A$6:$DA$376,46,FALSE)</f>
        <v>23708</v>
      </c>
      <c r="AU101" s="78">
        <f t="shared" si="120"/>
        <v>-30308.063817517366</v>
      </c>
      <c r="AV101" s="566">
        <f>VLOOKUP($A101,'01-02.2021'!$A$6:$CZ$403,48,FALSE)+VLOOKUP($A101,'1.3.21-28.2.22'!$A$6:$DA$404,48,FALSE)-VLOOKUP($A101,'01-02.2022'!$A$6:$DA$376,48,FALSE)</f>
        <v>3159.9256694896339</v>
      </c>
      <c r="AW101" s="566">
        <f>VLOOKUP($A101,'01-02.2021'!$A$6:$CZ$403,49,FALSE)+VLOOKUP($A101,'1.3.21-28.2.22'!$A$6:$DA$404,49,FALSE)-VLOOKUP($A101,'01-02.2022'!$A$6:$DA$376,49,FALSE)</f>
        <v>1110</v>
      </c>
      <c r="AX101" s="55">
        <f t="shared" si="121"/>
        <v>-2049.9256694896339</v>
      </c>
      <c r="AY101" s="566">
        <f>VLOOKUP($A101,'01-02.2021'!$A$6:$CZ$403,51,FALSE)+VLOOKUP($A101,'1.3.21-28.2.22'!$A$6:$DA$404,51,FALSE)-VLOOKUP($A101,'01-02.2022'!$A$6:$DA$376,51,FALSE)</f>
        <v>4378.7091050995832</v>
      </c>
      <c r="AZ101" s="566">
        <f>VLOOKUP($A101,'01-02.2021'!$A$6:$CZ$403,52,FALSE)+VLOOKUP($A101,'1.3.21-28.2.22'!$A$6:$DA$404,52,FALSE)-VLOOKUP($A101,'01-02.2022'!$A$6:$DA$376,52,FALSE)</f>
        <v>1079</v>
      </c>
      <c r="BA101" s="38">
        <f t="shared" si="122"/>
        <v>-3299.7091050995832</v>
      </c>
      <c r="BB101" s="566">
        <f>VLOOKUP($A101,'01-02.2021'!$A$6:$CZ$403,54,FALSE)+VLOOKUP($A101,'1.3.21-28.2.22'!$A$6:$DA$404,54,FALSE)-VLOOKUP($A101,'01-02.2022'!$A$6:$DA$376,54,FALSE)</f>
        <v>2553.4480217688329</v>
      </c>
      <c r="BC101" s="566">
        <f>VLOOKUP($A101,'01-02.2021'!$A$6:$CZ$403,55,FALSE)+VLOOKUP($A101,'1.3.21-28.2.22'!$A$6:$DA$404,55,FALSE)-VLOOKUP($A101,'01-02.2022'!$A$6:$DA$376,55,FALSE)</f>
        <v>1595</v>
      </c>
      <c r="BD101" s="55">
        <f t="shared" si="123"/>
        <v>-958.44802176883286</v>
      </c>
      <c r="BE101" s="566">
        <f>VLOOKUP($A101,'01-02.2021'!$A$6:$CZ$403,57,FALSE)+VLOOKUP($A101,'1.3.21-28.2.22'!$A$6:$DA$404,57,FALSE)-VLOOKUP($A101,'01-02.2022'!$A$6:$DA$376,57,FALSE)</f>
        <v>3127.1206656823629</v>
      </c>
      <c r="BF101" s="566">
        <f>VLOOKUP($A101,'01-02.2021'!$A$6:$CZ$403,58,FALSE)+VLOOKUP($A101,'1.3.21-28.2.22'!$A$6:$DA$404,58,FALSE)-VLOOKUP($A101,'01-02.2022'!$A$6:$DA$376,58,FALSE)</f>
        <v>1126</v>
      </c>
      <c r="BG101" s="55">
        <f t="shared" si="124"/>
        <v>-2001.1206656823629</v>
      </c>
      <c r="BH101" s="566">
        <f>VLOOKUP($A101,'01-02.2021'!$A$6:$CZ$403,60,FALSE)+VLOOKUP($A101,'1.3.21-28.2.22'!$A$6:$DA$404,60,FALSE)-VLOOKUP($A101,'01-02.2022'!$A$6:$DA$376,60,FALSE)</f>
        <v>1362.7160776340054</v>
      </c>
      <c r="BI101" s="566">
        <f>VLOOKUP($A101,'01-02.2021'!$A$6:$CZ$403,61,FALSE)+VLOOKUP($A101,'1.3.21-28.2.22'!$A$6:$DA$404,61,FALSE)-VLOOKUP($A101,'01-02.2022'!$A$6:$DA$376,61,FALSE)</f>
        <v>0</v>
      </c>
      <c r="BJ101" s="55">
        <f t="shared" si="125"/>
        <v>-1362.7160776340054</v>
      </c>
      <c r="BK101" s="566">
        <f>VLOOKUP($A101,'01-02.2021'!$A$6:$CZ$403,63,FALSE)+VLOOKUP($A101,'1.3.21-28.2.22'!$A$6:$DA$404,63,FALSE)-VLOOKUP($A101,'01-02.2022'!$A$6:$DA$376,63,FALSE)</f>
        <v>1644.6266699490827</v>
      </c>
      <c r="BL101" s="566">
        <f>VLOOKUP($A101,'01-02.2021'!$A$6:$CZ$403,64,FALSE)+VLOOKUP($A101,'1.3.21-28.2.22'!$A$6:$DA$404,64,FALSE)-VLOOKUP($A101,'01-02.2022'!$A$6:$DA$376,64,FALSE)</f>
        <v>0</v>
      </c>
      <c r="BM101" s="55">
        <f t="shared" si="126"/>
        <v>-1644.6266699490827</v>
      </c>
      <c r="BN101" s="566">
        <f>VLOOKUP($A101,'01-02.2021'!$A$6:$CZ$403,66,FALSE)+VLOOKUP($A101,'1.3.21-28.2.22'!$A$6:$DA$404,66,FALSE)-VLOOKUP($A101,'01-02.2022'!$A$6:$DA$376,66,FALSE)</f>
        <v>233.08499999999998</v>
      </c>
      <c r="BO101" s="566">
        <f>VLOOKUP($A101,'01-02.2021'!$A$6:$CZ$403,67,FALSE)+VLOOKUP($A101,'1.3.21-28.2.22'!$A$6:$DA$404,67,FALSE)-VLOOKUP($A101,'01-02.2022'!$A$6:$DA$376,67,FALSE)</f>
        <v>0</v>
      </c>
      <c r="BP101" s="55">
        <f t="shared" si="127"/>
        <v>-233.08499999999998</v>
      </c>
      <c r="BQ101" s="77">
        <f t="shared" si="139"/>
        <v>16459.631209623501</v>
      </c>
      <c r="BR101" s="40">
        <f t="shared" si="140"/>
        <v>4910</v>
      </c>
      <c r="BS101" s="55">
        <f t="shared" si="110"/>
        <v>-11549.631209623501</v>
      </c>
      <c r="BT101" s="566">
        <f>VLOOKUP($A101,'01-02.2021'!$A$6:$CZ$403,72,FALSE)+VLOOKUP($A101,'1.3.21-28.2.22'!$A$6:$DA$404,72,FALSE)-VLOOKUP($A101,'01-02.2022'!$A$6:$DA$376,72,FALSE)</f>
        <v>45108.62250968552</v>
      </c>
      <c r="BU101" s="566">
        <f>VLOOKUP($A101,'01-02.2021'!$A$6:$CZ$403,73,FALSE)+VLOOKUP($A101,'1.3.21-28.2.22'!$A$6:$DA$404,73,FALSE)-VLOOKUP($A101,'01-02.2022'!$A$6:$DA$376,73,FALSE)</f>
        <v>38783.584867325684</v>
      </c>
      <c r="BV101" s="70">
        <f t="shared" si="128"/>
        <v>-6325.0376423598354</v>
      </c>
      <c r="BW101" s="566">
        <f>VLOOKUP($A101,'01-02.2021'!$A$6:$CZ$403,75,FALSE)+VLOOKUP($A101,'1.3.21-28.2.22'!$A$6:$DA$404,75,FALSE)-VLOOKUP($A101,'01-02.2022'!$A$6:$DA$376,75,FALSE)</f>
        <v>38235.085517444459</v>
      </c>
      <c r="BX101" s="566">
        <f>VLOOKUP($A101,'01-02.2021'!$A$6:$CZ$403,76,FALSE)+VLOOKUP($A101,'1.3.21-28.2.22'!$A$6:$DA$404,76,FALSE)-VLOOKUP($A101,'01-02.2022'!$A$6:$DA$376,76,FALSE)</f>
        <v>35975.609667013094</v>
      </c>
      <c r="BY101" s="70">
        <f t="shared" si="129"/>
        <v>-2259.475850431365</v>
      </c>
      <c r="BZ101" s="566">
        <f>VLOOKUP($A101,'01-02.2021'!$A$6:$CZ$403,78,FALSE)+VLOOKUP($A101,'1.3.21-28.2.22'!$A$6:$DA$404,78,FALSE)-VLOOKUP($A101,'01-02.2022'!$A$6:$DA$376,78,FALSE)</f>
        <v>6387.7178683370485</v>
      </c>
      <c r="CA101" s="566">
        <f>VLOOKUP($A101,'01-02.2021'!$A$6:$CZ$403,79,FALSE)+VLOOKUP($A101,'1.3.21-28.2.22'!$A$6:$DA$404,79,FALSE)-VLOOKUP($A101,'01-02.2022'!$A$6:$DA$376,79,FALSE)</f>
        <v>10048.968374990953</v>
      </c>
      <c r="CB101" s="70">
        <f t="shared" si="130"/>
        <v>3661.2505066539043</v>
      </c>
      <c r="CC101" s="566">
        <f>VLOOKUP($A101,'01-02.2021'!$A$6:$CZ$403,81,FALSE)+VLOOKUP($A101,'1.3.21-28.2.22'!$A$6:$DA$404,81,FALSE)-VLOOKUP($A101,'01-02.2022'!$A$6:$DA$376,81,FALSE)</f>
        <v>1420.900078899333</v>
      </c>
      <c r="CD101" s="566">
        <f>VLOOKUP($A101,'01-02.2021'!$A$6:$CZ$403,82,FALSE)+VLOOKUP($A101,'1.3.21-28.2.22'!$A$6:$DA$404,82,FALSE)-VLOOKUP($A101,'01-02.2022'!$A$6:$DA$376,82,FALSE)</f>
        <v>1547.7110160310785</v>
      </c>
      <c r="CE101" s="70">
        <f t="shared" si="131"/>
        <v>126.8109371317455</v>
      </c>
      <c r="CF101" s="566">
        <f>VLOOKUP($A101,'01-02.2021'!$A$6:$CZ$403,84,FALSE)+VLOOKUP($A101,'1.3.21-28.2.22'!$A$6:$DA$404,84,FALSE)-VLOOKUP($A101,'01-02.2022'!$A$6:$DA$376,84,FALSE)</f>
        <v>172.14762768985634</v>
      </c>
      <c r="CG101" s="566">
        <f>VLOOKUP($A101,'01-02.2021'!$A$6:$CZ$403,85,FALSE)+VLOOKUP($A101,'1.3.21-28.2.22'!$A$6:$DA$404,85,FALSE)-VLOOKUP($A101,'01-02.2022'!$A$6:$DA$376,85,FALSE)</f>
        <v>0</v>
      </c>
      <c r="CH101" s="70">
        <f t="shared" si="132"/>
        <v>-172.14762768985634</v>
      </c>
      <c r="CI101" s="566">
        <f>VLOOKUP($A101,'01-02.2021'!$A$6:$CZ$403,87,FALSE)+VLOOKUP($A101,'1.3.21-28.2.22'!$A$6:$DA$404,87,FALSE)-VLOOKUP($A101,'01-02.2022'!$A$6:$DA$376,87,FALSE)</f>
        <v>6089.9138076624158</v>
      </c>
      <c r="CJ101" s="566">
        <f>VLOOKUP($A101,'01-02.2021'!$A$6:$CZ$403,88,FALSE)+VLOOKUP($A101,'1.3.21-28.2.22'!$A$6:$DA$404,88,FALSE)-VLOOKUP($A101,'01-02.2022'!$A$6:$DA$376,88,FALSE)</f>
        <v>5177.029012009777</v>
      </c>
      <c r="CK101" s="70">
        <f t="shared" si="133"/>
        <v>-912.88479565263879</v>
      </c>
      <c r="CL101" s="566">
        <f>VLOOKUP($A101,'01-02.2021'!$A$6:$CZ$403,90,FALSE)+VLOOKUP($A101,'1.3.21-28.2.22'!$A$6:$DA$404,90,FALSE)-VLOOKUP($A101,'01-02.2022'!$A$6:$DA$376,90,FALSE)</f>
        <v>8089.7749184120757</v>
      </c>
      <c r="CM101" s="566">
        <f>VLOOKUP($A101,'01-02.2021'!$A$6:$CZ$403,91,FALSE)+VLOOKUP($A101,'1.3.21-28.2.22'!$A$6:$DA$404,91,FALSE)-VLOOKUP($A101,'01-02.2022'!$A$6:$DA$376,91,FALSE)</f>
        <v>7370.3136638010501</v>
      </c>
      <c r="CN101" s="52">
        <f t="shared" si="97"/>
        <v>-719.46125461102565</v>
      </c>
      <c r="CO101" s="39">
        <f t="shared" si="89"/>
        <v>14179.688726074492</v>
      </c>
      <c r="CP101" s="40">
        <f t="shared" si="98"/>
        <v>12547.342675810827</v>
      </c>
      <c r="CQ101" s="52">
        <f t="shared" si="99"/>
        <v>-1632.3460502636644</v>
      </c>
      <c r="CR101" s="72">
        <f t="shared" si="90"/>
        <v>263886.27710061573</v>
      </c>
      <c r="CS101" s="5">
        <f t="shared" si="90"/>
        <v>213955.60125503092</v>
      </c>
      <c r="CT101" s="52">
        <f t="shared" si="100"/>
        <v>-49930.675845584803</v>
      </c>
      <c r="CU101" s="77">
        <f t="shared" si="101"/>
        <v>316663.53252073884</v>
      </c>
      <c r="CV101" s="65">
        <f t="shared" si="102"/>
        <v>256746.72150603711</v>
      </c>
      <c r="CW101" s="35">
        <f t="shared" si="103"/>
        <v>-59916.811014701729</v>
      </c>
      <c r="CX101" s="566">
        <f>VLOOKUP($A101,'01-02.2021'!$A$6:$CZ$403,102,FALSE)+VLOOKUP($A101,'1.3.21-28.2.22'!$A$6:$DA$404,102,FALSE)-VLOOKUP($A101,'01-02.2022'!$A$6:$DA$376,102,FALSE)</f>
        <v>5923.7280976544134</v>
      </c>
      <c r="CY101" s="566">
        <f>VLOOKUP($A101,'01-02.2021'!$A$6:$CZ$403,103,FALSE)+VLOOKUP($A101,'1.3.21-28.2.22'!$A$6:$DA$404,103,FALSE)-VLOOKUP($A101,'01-02.2022'!$A$6:$DA$376,103,FALSE)</f>
        <v>65840.539112356171</v>
      </c>
      <c r="CZ101" s="52">
        <f t="shared" si="104"/>
        <v>59916.811014701758</v>
      </c>
      <c r="DA101" s="150">
        <f>'[2]побудинковий звіт'!DA101</f>
        <v>199335.33091402287</v>
      </c>
      <c r="DB101" s="2">
        <v>3</v>
      </c>
      <c r="DC101" s="414">
        <f>'[4]побудинковий звіт'!DC101</f>
        <v>42017.22</v>
      </c>
      <c r="DD101" s="414">
        <f>'[4]побудинковий звіт'!DD101</f>
        <v>0</v>
      </c>
      <c r="DE101" s="557">
        <f>'[4]побудинковий звіт'!DE101</f>
        <v>12873.58297569694</v>
      </c>
      <c r="DF101" s="557">
        <f>'[4]побудинковий звіт'!DF101</f>
        <v>0</v>
      </c>
      <c r="DG101" s="321">
        <f>VLOOKUP(A101,'кошти 01.03.2021'!$A$6:$D$401,4,)</f>
        <v>290207.24155774026</v>
      </c>
      <c r="DH101" s="40">
        <f>'[3]побудинковий звіт'!DJ101</f>
        <v>333269.79799781542</v>
      </c>
      <c r="DI101" s="422">
        <f>'[3]побудинковий звіт'!CU101+'[3]побудинковий звіт'!CX101</f>
        <v>29143.637024303069</v>
      </c>
      <c r="DJ101" s="306">
        <f>'[3]побудинковий звіт'!DM101</f>
        <v>5.3167171664701067</v>
      </c>
      <c r="DK101" s="306">
        <f>'[3]побудинковий звіт'!DN101</f>
        <v>6.3418827730202789</v>
      </c>
      <c r="DL101" s="306">
        <f>'[3]побудинковий звіт'!DO101</f>
        <v>4.3583262556390219</v>
      </c>
      <c r="DM101" s="28">
        <f t="shared" si="141"/>
        <v>29143.637024303061</v>
      </c>
      <c r="DN101" s="28">
        <f>DL101*H101</f>
        <v>0</v>
      </c>
      <c r="DO101" s="423">
        <f t="shared" si="105"/>
        <v>29143.637024303061</v>
      </c>
      <c r="DP101" s="94">
        <f t="shared" si="106"/>
        <v>0</v>
      </c>
      <c r="DQ101" s="28">
        <f t="shared" si="107"/>
        <v>29143.637024303061</v>
      </c>
      <c r="DR101" s="318"/>
      <c r="DT101" s="8"/>
      <c r="DU101" s="5"/>
      <c r="DX101" s="5">
        <f t="shared" si="108"/>
        <v>84570.834032569037</v>
      </c>
      <c r="DY101" s="5">
        <f t="shared" si="109"/>
        <v>34341.599999999999</v>
      </c>
      <c r="DZ101" s="159">
        <f>'[3]побудинковий звіт'!EA101</f>
        <v>7772.7055230661981</v>
      </c>
    </row>
    <row r="102" spans="1:130" x14ac:dyDescent="0.3">
      <c r="A102" s="325">
        <v>150000597</v>
      </c>
      <c r="B102" s="41" t="s">
        <v>551</v>
      </c>
      <c r="C102" s="42" t="s">
        <v>353</v>
      </c>
      <c r="D102" s="42"/>
      <c r="E102" s="293">
        <f t="shared" si="85"/>
        <v>4715.25</v>
      </c>
      <c r="F102" s="305">
        <f>'[3]побудинковий звіт'!F102</f>
        <v>4715.25</v>
      </c>
      <c r="G102" s="508">
        <f>'[3]побудинковий звіт'!G102</f>
        <v>571.65</v>
      </c>
      <c r="H102" s="560">
        <f>'[3]побудинковий звіт'!H102</f>
        <v>0</v>
      </c>
      <c r="I102" s="566">
        <f>VLOOKUP($A102,'01-02.2021'!$A$6:$CZ$403,9,FALSE)+VLOOKUP($A102,'1.3.21-28.2.22'!$A$6:$DA$404,9,FALSE)-VLOOKUP($A102,'01-02.2022'!$A$6:$DA$376,9,FALSE)</f>
        <v>12157.663042035369</v>
      </c>
      <c r="J102" s="566">
        <f>VLOOKUP($A102,'01-02.2021'!$A$6:$CZ$403,10,FALSE)+VLOOKUP($A102,'1.3.21-28.2.22'!$A$6:$DA$404,10,FALSE)-VLOOKUP($A102,'01-02.2022'!$A$6:$DA$376,10,FALSE)</f>
        <v>10911.612956382744</v>
      </c>
      <c r="K102" s="52">
        <f t="shared" si="94"/>
        <v>-1246.0500856526251</v>
      </c>
      <c r="L102" s="566">
        <f>VLOOKUP($A102,'01-02.2021'!$A$6:$CZ$403,12,FALSE)+VLOOKUP($A102,'1.3.21-28.2.22'!$A$6:$DA$404,12,FALSE)-VLOOKUP($A102,'01-02.2022'!$A$6:$DA$376,12,FALSE)</f>
        <v>2120.8927265419097</v>
      </c>
      <c r="M102" s="566">
        <f>VLOOKUP($A102,'01-02.2021'!$A$6:$CZ$403,13,FALSE)+VLOOKUP($A102,'1.3.21-28.2.22'!$A$6:$DA$404,13,FALSE)-VLOOKUP($A102,'01-02.2022'!$A$6:$DA$376,13,FALSE)</f>
        <v>1921.5984632725633</v>
      </c>
      <c r="N102" s="52">
        <f t="shared" si="95"/>
        <v>-199.2942632693464</v>
      </c>
      <c r="O102" s="566">
        <f>VLOOKUP($A102,'01-02.2021'!$A$6:$CZ$403,15,FALSE)+VLOOKUP($A102,'1.3.21-28.2.22'!$A$6:$DA$404,15,FALSE)-VLOOKUP($A102,'01-02.2022'!$A$6:$DA$376,15,FALSE)</f>
        <v>6602.8456721680104</v>
      </c>
      <c r="P102" s="566">
        <f>VLOOKUP($A102,'01-02.2021'!$A$6:$CZ$403,16,FALSE)+VLOOKUP($A102,'1.3.21-28.2.22'!$A$6:$DA$404,16,FALSE)-VLOOKUP($A102,'01-02.2022'!$A$6:$DA$376,16,FALSE)</f>
        <v>6602.8700000000008</v>
      </c>
      <c r="Q102" s="70">
        <f t="shared" si="111"/>
        <v>2.4327831990376581E-2</v>
      </c>
      <c r="R102" s="566">
        <f>VLOOKUP($A102,'01-02.2021'!$A$6:$CZ$403,18,FALSE)+VLOOKUP($A102,'1.3.21-28.2.22'!$A$6:$DA$404,18,FALSE)-VLOOKUP($A102,'01-02.2022'!$A$6:$DA$376,18,FALSE)</f>
        <v>1435.0486060309752</v>
      </c>
      <c r="S102" s="566">
        <f>VLOOKUP($A102,'01-02.2021'!$A$6:$CZ$403,19,FALSE)+VLOOKUP($A102,'1.3.21-28.2.22'!$A$6:$DA$404,19,FALSE)-VLOOKUP($A102,'01-02.2022'!$A$6:$DA$376,19,FALSE)</f>
        <v>1435.0700000000002</v>
      </c>
      <c r="T102" s="70">
        <f t="shared" si="112"/>
        <v>2.1393969024984472E-2</v>
      </c>
      <c r="U102" s="566">
        <f>VLOOKUP($A102,'01-02.2021'!$A$6:$CZ$403,21,FALSE)+VLOOKUP($A102,'1.3.21-28.2.22'!$A$6:$DA$404,21,FALSE)-VLOOKUP($A102,'01-02.2022'!$A$6:$DA$376,21,FALSE)</f>
        <v>671.36656966572173</v>
      </c>
      <c r="V102" s="566">
        <f>VLOOKUP($A102,'01-02.2021'!$A$6:$CZ$403,22,FALSE)+VLOOKUP($A102,'1.3.21-28.2.22'!$A$6:$DA$404,22,FALSE)-VLOOKUP($A102,'01-02.2022'!$A$6:$DA$376,22,FALSE)</f>
        <v>437.37825016120951</v>
      </c>
      <c r="W102" s="70">
        <f t="shared" si="113"/>
        <v>-233.98831950451222</v>
      </c>
      <c r="X102" s="566">
        <f>VLOOKUP($A102,'01-02.2021'!$A$6:$CZ$403,24,FALSE)+VLOOKUP($A102,'1.3.21-28.2.22'!$A$6:$DA$404,24,FALSE)-VLOOKUP($A102,'01-02.2022'!$A$6:$DA$376,24,FALSE)</f>
        <v>8978.8656567828129</v>
      </c>
      <c r="Y102" s="566">
        <f>VLOOKUP($A102,'01-02.2021'!$A$6:$CZ$403,25,FALSE)+VLOOKUP($A102,'1.3.21-28.2.22'!$A$6:$DA$404,25,FALSE)-VLOOKUP($A102,'01-02.2022'!$A$6:$DA$376,25,FALSE)</f>
        <v>6887.0043976654788</v>
      </c>
      <c r="Z102" s="70">
        <f t="shared" si="114"/>
        <v>-2091.8612591173342</v>
      </c>
      <c r="AA102" s="566">
        <f>VLOOKUP($A102,'01-02.2021'!$A$6:$CZ$403,27,FALSE)+VLOOKUP($A102,'1.3.21-28.2.22'!$A$6:$DA$404,27,FALSE)-VLOOKUP($A102,'01-02.2022'!$A$6:$DA$376,27,FALSE)</f>
        <v>942.7600000000001</v>
      </c>
      <c r="AB102" s="566">
        <f>VLOOKUP($A102,'01-02.2021'!$A$6:$CZ$403,28,FALSE)+VLOOKUP($A102,'1.3.21-28.2.22'!$A$6:$DA$404,28,FALSE)-VLOOKUP($A102,'01-02.2022'!$A$6:$DA$376,28,FALSE)</f>
        <v>0</v>
      </c>
      <c r="AC102" s="70">
        <f t="shared" si="115"/>
        <v>-942.7600000000001</v>
      </c>
      <c r="AD102" s="566">
        <f>VLOOKUP($A102,'01-02.2021'!$A$6:$CZ$403,30,FALSE)+VLOOKUP($A102,'1.3.21-28.2.22'!$A$6:$DA$404,30,FALSE)-VLOOKUP($A102,'01-02.2022'!$A$6:$DA$376,30,FALSE)</f>
        <v>20250.693239235046</v>
      </c>
      <c r="AE102" s="566">
        <f>VLOOKUP($A102,'01-02.2021'!$A$6:$CZ$403,31,FALSE)+VLOOKUP($A102,'1.3.21-28.2.22'!$A$6:$DA$404,31,FALSE)-VLOOKUP($A102,'01-02.2022'!$A$6:$DA$376,31,FALSE)</f>
        <v>21464.007988033492</v>
      </c>
      <c r="AF102" s="68">
        <f t="shared" si="116"/>
        <v>1213.3147487984461</v>
      </c>
      <c r="AG102" s="77">
        <f t="shared" si="86"/>
        <v>53160.135512459849</v>
      </c>
      <c r="AH102" s="53">
        <f t="shared" si="86"/>
        <v>49659.542055515485</v>
      </c>
      <c r="AI102" s="52">
        <f t="shared" si="96"/>
        <v>-3500.5934569443634</v>
      </c>
      <c r="AJ102" s="566">
        <f>VLOOKUP($A102,'01-02.2021'!$A$6:$CZ$403,36,FALSE)+VLOOKUP($A102,'1.3.21-28.2.22'!$A$6:$DA$404,36,FALSE)-VLOOKUP($A102,'01-02.2022'!$A$6:$DA$376,36,FALSE)</f>
        <v>46885.420847782603</v>
      </c>
      <c r="AK102" s="566">
        <f>VLOOKUP($A102,'01-02.2021'!$A$6:$CZ$403,37,FALSE)+VLOOKUP($A102,'1.3.21-28.2.22'!$A$6:$DA$404,37,FALSE)-VLOOKUP($A102,'01-02.2022'!$A$6:$DA$376,37,FALSE)</f>
        <v>46595.697442506906</v>
      </c>
      <c r="AL102" s="70">
        <f t="shared" si="117"/>
        <v>-289.72340527569759</v>
      </c>
      <c r="AM102" s="566">
        <f>VLOOKUP($A102,'01-02.2021'!$A$6:$CZ$403,39,FALSE)+VLOOKUP($A102,'1.3.21-28.2.22'!$A$6:$DA$404,39,FALSE)-VLOOKUP($A102,'01-02.2022'!$A$6:$DA$376,39,FALSE)</f>
        <v>0</v>
      </c>
      <c r="AN102" s="566">
        <f>VLOOKUP($A102,'01-02.2021'!$A$6:$CZ$403,40,FALSE)+VLOOKUP($A102,'1.3.21-28.2.22'!$A$6:$DA$404,40,FALSE)-VLOOKUP($A102,'01-02.2022'!$A$6:$DA$376,40,FALSE)</f>
        <v>0</v>
      </c>
      <c r="AO102" s="70">
        <f t="shared" si="118"/>
        <v>0</v>
      </c>
      <c r="AP102" s="566">
        <f>VLOOKUP($A102,'01-02.2021'!$A$6:$CZ$403,42,FALSE)+VLOOKUP($A102,'1.3.21-28.2.22'!$A$6:$DA$404,42,FALSE)-VLOOKUP($A102,'01-02.2022'!$A$6:$DA$376,42,FALSE)</f>
        <v>3210.1195375787929</v>
      </c>
      <c r="AQ102" s="566">
        <f>VLOOKUP($A102,'01-02.2021'!$A$6:$CZ$403,43,FALSE)+VLOOKUP($A102,'1.3.21-28.2.22'!$A$6:$DA$404,43,FALSE)-VLOOKUP($A102,'01-02.2022'!$A$6:$DA$376,43,FALSE)</f>
        <v>2842.8669315372263</v>
      </c>
      <c r="AR102" s="70">
        <f t="shared" si="119"/>
        <v>-367.25260604156665</v>
      </c>
      <c r="AS102" s="566">
        <f>VLOOKUP($A102,'01-02.2021'!$A$6:$CZ$403,45,FALSE)+VLOOKUP($A102,'1.3.21-28.2.22'!$A$6:$DA$404,45,FALSE)-VLOOKUP($A102,'01-02.2022'!$A$6:$DA$376,45,FALSE)</f>
        <v>73858.391407184346</v>
      </c>
      <c r="AT102" s="566">
        <f>VLOOKUP($A102,'01-02.2021'!$A$6:$CZ$403,46,FALSE)+VLOOKUP($A102,'1.3.21-28.2.22'!$A$6:$DA$404,46,FALSE)-VLOOKUP($A102,'01-02.2022'!$A$6:$DA$376,46,FALSE)</f>
        <v>17892.02</v>
      </c>
      <c r="AU102" s="78">
        <f t="shared" si="120"/>
        <v>-55966.371407184342</v>
      </c>
      <c r="AV102" s="566">
        <f>VLOOKUP($A102,'01-02.2021'!$A$6:$CZ$403,48,FALSE)+VLOOKUP($A102,'1.3.21-28.2.22'!$A$6:$DA$404,48,FALSE)-VLOOKUP($A102,'01-02.2022'!$A$6:$DA$376,48,FALSE)</f>
        <v>2397.3711061964445</v>
      </c>
      <c r="AW102" s="566">
        <f>VLOOKUP($A102,'01-02.2021'!$A$6:$CZ$403,49,FALSE)+VLOOKUP($A102,'1.3.21-28.2.22'!$A$6:$DA$404,49,FALSE)-VLOOKUP($A102,'01-02.2022'!$A$6:$DA$376,49,FALSE)</f>
        <v>1280</v>
      </c>
      <c r="AX102" s="55">
        <f t="shared" si="121"/>
        <v>-1117.3711061964445</v>
      </c>
      <c r="AY102" s="566">
        <f>VLOOKUP($A102,'01-02.2021'!$A$6:$CZ$403,51,FALSE)+VLOOKUP($A102,'1.3.21-28.2.22'!$A$6:$DA$404,51,FALSE)-VLOOKUP($A102,'01-02.2022'!$A$6:$DA$376,51,FALSE)</f>
        <v>2715.5336746407338</v>
      </c>
      <c r="AZ102" s="566">
        <f>VLOOKUP($A102,'01-02.2021'!$A$6:$CZ$403,52,FALSE)+VLOOKUP($A102,'1.3.21-28.2.22'!$A$6:$DA$404,52,FALSE)-VLOOKUP($A102,'01-02.2022'!$A$6:$DA$376,52,FALSE)</f>
        <v>6.5</v>
      </c>
      <c r="BA102" s="38">
        <f t="shared" si="122"/>
        <v>-2709.0336746407338</v>
      </c>
      <c r="BB102" s="566">
        <f>VLOOKUP($A102,'01-02.2021'!$A$6:$CZ$403,54,FALSE)+VLOOKUP($A102,'1.3.21-28.2.22'!$A$6:$DA$404,54,FALSE)-VLOOKUP($A102,'01-02.2022'!$A$6:$DA$376,54,FALSE)</f>
        <v>851.59697910481941</v>
      </c>
      <c r="BC102" s="566">
        <f>VLOOKUP($A102,'01-02.2021'!$A$6:$CZ$403,55,FALSE)+VLOOKUP($A102,'1.3.21-28.2.22'!$A$6:$DA$404,55,FALSE)-VLOOKUP($A102,'01-02.2022'!$A$6:$DA$376,55,FALSE)</f>
        <v>1044</v>
      </c>
      <c r="BD102" s="55">
        <f t="shared" si="123"/>
        <v>192.40302089518059</v>
      </c>
      <c r="BE102" s="566">
        <f>VLOOKUP($A102,'01-02.2021'!$A$6:$CZ$403,57,FALSE)+VLOOKUP($A102,'1.3.21-28.2.22'!$A$6:$DA$404,57,FALSE)-VLOOKUP($A102,'01-02.2022'!$A$6:$DA$376,57,FALSE)</f>
        <v>2771.5364009000778</v>
      </c>
      <c r="BF102" s="566">
        <f>VLOOKUP($A102,'01-02.2021'!$A$6:$CZ$403,58,FALSE)+VLOOKUP($A102,'1.3.21-28.2.22'!$A$6:$DA$404,58,FALSE)-VLOOKUP($A102,'01-02.2022'!$A$6:$DA$376,58,FALSE)</f>
        <v>0</v>
      </c>
      <c r="BG102" s="55">
        <f t="shared" si="124"/>
        <v>-2771.5364009000778</v>
      </c>
      <c r="BH102" s="566">
        <f>VLOOKUP($A102,'01-02.2021'!$A$6:$CZ$403,60,FALSE)+VLOOKUP($A102,'1.3.21-28.2.22'!$A$6:$DA$404,60,FALSE)-VLOOKUP($A102,'01-02.2022'!$A$6:$DA$376,60,FALSE)</f>
        <v>1137.1593573294506</v>
      </c>
      <c r="BI102" s="566">
        <f>VLOOKUP($A102,'01-02.2021'!$A$6:$CZ$403,61,FALSE)+VLOOKUP($A102,'1.3.21-28.2.22'!$A$6:$DA$404,61,FALSE)-VLOOKUP($A102,'01-02.2022'!$A$6:$DA$376,61,FALSE)</f>
        <v>0</v>
      </c>
      <c r="BJ102" s="55">
        <f t="shared" si="125"/>
        <v>-1137.1593573294506</v>
      </c>
      <c r="BK102" s="566">
        <f>VLOOKUP($A102,'01-02.2021'!$A$6:$CZ$403,63,FALSE)+VLOOKUP($A102,'1.3.21-28.2.22'!$A$6:$DA$404,63,FALSE)-VLOOKUP($A102,'01-02.2022'!$A$6:$DA$376,63,FALSE)</f>
        <v>2249.7060480698692</v>
      </c>
      <c r="BL102" s="566">
        <f>VLOOKUP($A102,'01-02.2021'!$A$6:$CZ$403,64,FALSE)+VLOOKUP($A102,'1.3.21-28.2.22'!$A$6:$DA$404,64,FALSE)-VLOOKUP($A102,'01-02.2022'!$A$6:$DA$376,64,FALSE)</f>
        <v>0</v>
      </c>
      <c r="BM102" s="55">
        <f t="shared" si="126"/>
        <v>-2249.7060480698692</v>
      </c>
      <c r="BN102" s="566">
        <f>VLOOKUP($A102,'01-02.2021'!$A$6:$CZ$403,66,FALSE)+VLOOKUP($A102,'1.3.21-28.2.22'!$A$6:$DA$404,66,FALSE)-VLOOKUP($A102,'01-02.2022'!$A$6:$DA$376,66,FALSE)</f>
        <v>495.01568398068702</v>
      </c>
      <c r="BO102" s="566">
        <f>VLOOKUP($A102,'01-02.2021'!$A$6:$CZ$403,67,FALSE)+VLOOKUP($A102,'1.3.21-28.2.22'!$A$6:$DA$404,67,FALSE)-VLOOKUP($A102,'01-02.2022'!$A$6:$DA$376,67,FALSE)</f>
        <v>0</v>
      </c>
      <c r="BP102" s="55">
        <f t="shared" si="127"/>
        <v>-495.01568398068702</v>
      </c>
      <c r="BQ102" s="77">
        <f t="shared" si="139"/>
        <v>12617.919250222083</v>
      </c>
      <c r="BR102" s="40">
        <f t="shared" si="140"/>
        <v>2330.5</v>
      </c>
      <c r="BS102" s="55">
        <f t="shared" si="110"/>
        <v>-10287.419250222083</v>
      </c>
      <c r="BT102" s="566">
        <f>VLOOKUP($A102,'01-02.2021'!$A$6:$CZ$403,72,FALSE)+VLOOKUP($A102,'1.3.21-28.2.22'!$A$6:$DA$404,72,FALSE)-VLOOKUP($A102,'01-02.2022'!$A$6:$DA$376,72,FALSE)</f>
        <v>60105.854836675164</v>
      </c>
      <c r="BU102" s="566">
        <f>VLOOKUP($A102,'01-02.2021'!$A$6:$CZ$403,73,FALSE)+VLOOKUP($A102,'1.3.21-28.2.22'!$A$6:$DA$404,73,FALSE)-VLOOKUP($A102,'01-02.2022'!$A$6:$DA$376,73,FALSE)</f>
        <v>62607.647000731013</v>
      </c>
      <c r="BV102" s="70">
        <f t="shared" si="128"/>
        <v>2501.7921640558488</v>
      </c>
      <c r="BW102" s="566">
        <f>VLOOKUP($A102,'01-02.2021'!$A$6:$CZ$403,75,FALSE)+VLOOKUP($A102,'1.3.21-28.2.22'!$A$6:$DA$404,75,FALSE)-VLOOKUP($A102,'01-02.2022'!$A$6:$DA$376,75,FALSE)</f>
        <v>35558.361324387974</v>
      </c>
      <c r="BX102" s="566">
        <f>VLOOKUP($A102,'01-02.2021'!$A$6:$CZ$403,76,FALSE)+VLOOKUP($A102,'1.3.21-28.2.22'!$A$6:$DA$404,76,FALSE)-VLOOKUP($A102,'01-02.2022'!$A$6:$DA$376,76,FALSE)</f>
        <v>33637.51838280596</v>
      </c>
      <c r="BY102" s="70">
        <f t="shared" si="129"/>
        <v>-1920.8429415820137</v>
      </c>
      <c r="BZ102" s="566">
        <f>VLOOKUP($A102,'01-02.2021'!$A$6:$CZ$403,78,FALSE)+VLOOKUP($A102,'1.3.21-28.2.22'!$A$6:$DA$404,78,FALSE)-VLOOKUP($A102,'01-02.2022'!$A$6:$DA$376,78,FALSE)</f>
        <v>14743.014789453555</v>
      </c>
      <c r="CA102" s="566">
        <f>VLOOKUP($A102,'01-02.2021'!$A$6:$CZ$403,79,FALSE)+VLOOKUP($A102,'1.3.21-28.2.22'!$A$6:$DA$404,79,FALSE)-VLOOKUP($A102,'01-02.2022'!$A$6:$DA$376,79,FALSE)</f>
        <v>11973.123484482669</v>
      </c>
      <c r="CB102" s="70">
        <f t="shared" si="130"/>
        <v>-2769.8913049708863</v>
      </c>
      <c r="CC102" s="566">
        <f>VLOOKUP($A102,'01-02.2021'!$A$6:$CZ$403,81,FALSE)+VLOOKUP($A102,'1.3.21-28.2.22'!$A$6:$DA$404,81,FALSE)-VLOOKUP($A102,'01-02.2022'!$A$6:$DA$376,81,FALSE)</f>
        <v>1802.7212469095271</v>
      </c>
      <c r="CD102" s="566">
        <f>VLOOKUP($A102,'01-02.2021'!$A$6:$CZ$403,82,FALSE)+VLOOKUP($A102,'1.3.21-28.2.22'!$A$6:$DA$404,82,FALSE)-VLOOKUP($A102,'01-02.2022'!$A$6:$DA$376,82,FALSE)</f>
        <v>1965.1434477407056</v>
      </c>
      <c r="CE102" s="70">
        <f t="shared" si="131"/>
        <v>162.42220083117854</v>
      </c>
      <c r="CF102" s="566">
        <f>VLOOKUP($A102,'01-02.2021'!$A$6:$CZ$403,84,FALSE)+VLOOKUP($A102,'1.3.21-28.2.22'!$A$6:$DA$404,84,FALSE)-VLOOKUP($A102,'01-02.2022'!$A$6:$DA$376,84,FALSE)</f>
        <v>218.57748578048151</v>
      </c>
      <c r="CG102" s="566">
        <f>VLOOKUP($A102,'01-02.2021'!$A$6:$CZ$403,85,FALSE)+VLOOKUP($A102,'1.3.21-28.2.22'!$A$6:$DA$404,85,FALSE)-VLOOKUP($A102,'01-02.2022'!$A$6:$DA$376,85,FALSE)</f>
        <v>0</v>
      </c>
      <c r="CH102" s="70">
        <f t="shared" si="132"/>
        <v>-218.57748578048151</v>
      </c>
      <c r="CI102" s="566">
        <f>VLOOKUP($A102,'01-02.2021'!$A$6:$CZ$403,87,FALSE)+VLOOKUP($A102,'1.3.21-28.2.22'!$A$6:$DA$404,87,FALSE)-VLOOKUP($A102,'01-02.2022'!$A$6:$DA$376,87,FALSE)</f>
        <v>26321.134597490876</v>
      </c>
      <c r="CJ102" s="566">
        <f>VLOOKUP($A102,'01-02.2021'!$A$6:$CZ$403,88,FALSE)+VLOOKUP($A102,'1.3.21-28.2.22'!$A$6:$DA$404,88,FALSE)-VLOOKUP($A102,'01-02.2022'!$A$6:$DA$376,88,FALSE)</f>
        <v>19175.02136776915</v>
      </c>
      <c r="CK102" s="70">
        <f t="shared" si="133"/>
        <v>-7146.1132297217264</v>
      </c>
      <c r="CL102" s="566">
        <f>VLOOKUP($A102,'01-02.2021'!$A$6:$CZ$403,90,FALSE)+VLOOKUP($A102,'1.3.21-28.2.22'!$A$6:$DA$404,90,FALSE)-VLOOKUP($A102,'01-02.2022'!$A$6:$DA$376,90,FALSE)</f>
        <v>8121.435350308484</v>
      </c>
      <c r="CM102" s="566">
        <f>VLOOKUP($A102,'01-02.2021'!$A$6:$CZ$403,91,FALSE)+VLOOKUP($A102,'1.3.21-28.2.22'!$A$6:$DA$404,91,FALSE)-VLOOKUP($A102,'01-02.2022'!$A$6:$DA$376,91,FALSE)</f>
        <v>8858.4517984291906</v>
      </c>
      <c r="CN102" s="52">
        <f t="shared" si="97"/>
        <v>737.01644812070663</v>
      </c>
      <c r="CO102" s="39">
        <f t="shared" si="89"/>
        <v>34442.569947799362</v>
      </c>
      <c r="CP102" s="40">
        <f t="shared" si="98"/>
        <v>28033.473166198339</v>
      </c>
      <c r="CQ102" s="52">
        <f t="shared" si="99"/>
        <v>-6409.0967816010234</v>
      </c>
      <c r="CR102" s="72">
        <f t="shared" si="90"/>
        <v>336603.08618623368</v>
      </c>
      <c r="CS102" s="5">
        <f t="shared" si="90"/>
        <v>257537.53191151831</v>
      </c>
      <c r="CT102" s="52">
        <f t="shared" si="100"/>
        <v>-79065.554274715367</v>
      </c>
      <c r="CU102" s="77">
        <f t="shared" si="101"/>
        <v>403923.70342348039</v>
      </c>
      <c r="CV102" s="65">
        <f t="shared" si="102"/>
        <v>309045.03829382197</v>
      </c>
      <c r="CW102" s="35">
        <f t="shared" si="103"/>
        <v>-94878.665129658417</v>
      </c>
      <c r="CX102" s="566">
        <f>VLOOKUP($A102,'01-02.2021'!$A$6:$CZ$403,102,FALSE)+VLOOKUP($A102,'1.3.21-28.2.22'!$A$6:$DA$404,102,FALSE)-VLOOKUP($A102,'01-02.2022'!$A$6:$DA$376,102,FALSE)</f>
        <v>10122.887026408678</v>
      </c>
      <c r="CY102" s="566">
        <f>VLOOKUP($A102,'01-02.2021'!$A$6:$CZ$403,103,FALSE)+VLOOKUP($A102,'1.3.21-28.2.22'!$A$6:$DA$404,103,FALSE)-VLOOKUP($A102,'01-02.2022'!$A$6:$DA$376,103,FALSE)</f>
        <v>105001.55215606721</v>
      </c>
      <c r="CZ102" s="52">
        <f t="shared" si="104"/>
        <v>94878.665129658533</v>
      </c>
      <c r="DA102" s="150">
        <f>'[2]побудинковий звіт'!DA102</f>
        <v>-28236.480451224939</v>
      </c>
      <c r="DB102" s="2">
        <v>1</v>
      </c>
      <c r="DC102" s="414">
        <f>'[4]побудинковий звіт'!DC102</f>
        <v>75947.39</v>
      </c>
      <c r="DD102" s="414">
        <f>'[4]побудинковий звіт'!DD102</f>
        <v>0</v>
      </c>
      <c r="DE102" s="557">
        <f>'[4]побудинковий звіт'!DE102</f>
        <v>38281.185526325047</v>
      </c>
      <c r="DF102" s="557">
        <f>'[4]побудинковий звіт'!DF102</f>
        <v>0</v>
      </c>
      <c r="DG102" s="321">
        <f>VLOOKUP(A102,'кошти 01.03.2021'!$A$6:$D$401,4,)</f>
        <v>75953.962734692104</v>
      </c>
      <c r="DH102" s="40">
        <f>'[3]побудинковий звіт'!DJ102</f>
        <v>429007.58824790851</v>
      </c>
      <c r="DI102" s="422">
        <f>'[3]побудинковий звіт'!CU102+'[3]побудинковий звіт'!CX102</f>
        <v>37666.204473674945</v>
      </c>
      <c r="DJ102" s="306">
        <f>'[3]побудинковий звіт'!DM102</f>
        <v>6.6294862560427266</v>
      </c>
      <c r="DK102" s="306">
        <f>'[3]побудинковий звіт'!DN102</f>
        <v>8.175610255673357</v>
      </c>
      <c r="DL102" s="306">
        <f>'[3]побудинковий звіт'!DO102</f>
        <v>5.7403322039736526</v>
      </c>
      <c r="DM102" s="28">
        <f t="shared" si="141"/>
        <v>37666.204473674952</v>
      </c>
      <c r="DN102" s="28">
        <f>DL102*H102</f>
        <v>0</v>
      </c>
      <c r="DO102" s="423">
        <f t="shared" si="105"/>
        <v>37666.204473674952</v>
      </c>
      <c r="DP102" s="94">
        <f t="shared" si="106"/>
        <v>0</v>
      </c>
      <c r="DQ102" s="28">
        <f t="shared" si="107"/>
        <v>37666.204473674952</v>
      </c>
      <c r="DR102" s="318"/>
      <c r="DT102" s="8"/>
      <c r="DU102" s="5"/>
      <c r="DX102" s="5">
        <f t="shared" si="108"/>
        <v>103771.57278888772</v>
      </c>
      <c r="DY102" s="5">
        <f t="shared" si="109"/>
        <v>24267.024000000001</v>
      </c>
      <c r="DZ102" s="159">
        <f>'[3]побудинковий звіт'!EA102</f>
        <v>9546.6737166801577</v>
      </c>
    </row>
    <row r="103" spans="1:130" x14ac:dyDescent="0.3">
      <c r="A103" s="325">
        <v>150000598</v>
      </c>
      <c r="B103" s="41" t="s">
        <v>552</v>
      </c>
      <c r="C103" s="42" t="s">
        <v>77</v>
      </c>
      <c r="D103" s="42"/>
      <c r="E103" s="293">
        <f t="shared" si="85"/>
        <v>258.5</v>
      </c>
      <c r="F103" s="305">
        <f>'[3]побудинковий звіт'!F103</f>
        <v>258.5</v>
      </c>
      <c r="G103" s="508">
        <f>'[3]побудинковий звіт'!G103</f>
        <v>0</v>
      </c>
      <c r="H103" s="560">
        <f>'[3]побудинковий звіт'!H103</f>
        <v>0</v>
      </c>
      <c r="I103" s="566">
        <f>VLOOKUP($A103,'01-02.2021'!$A$6:$CZ$403,9,FALSE)+VLOOKUP($A103,'1.3.21-28.2.22'!$A$6:$DA$404,9,FALSE)-VLOOKUP($A103,'01-02.2022'!$A$6:$DA$376,9,FALSE)</f>
        <v>87.483952912945014</v>
      </c>
      <c r="J103" s="566">
        <f>VLOOKUP($A103,'01-02.2021'!$A$6:$CZ$403,10,FALSE)+VLOOKUP($A103,'1.3.21-28.2.22'!$A$6:$DA$404,10,FALSE)-VLOOKUP($A103,'01-02.2022'!$A$6:$DA$376,10,FALSE)</f>
        <v>55.379120334551743</v>
      </c>
      <c r="K103" s="52">
        <f t="shared" si="94"/>
        <v>-32.104832578393271</v>
      </c>
      <c r="L103" s="566">
        <f>VLOOKUP($A103,'01-02.2021'!$A$6:$CZ$403,12,FALSE)+VLOOKUP($A103,'1.3.21-28.2.22'!$A$6:$DA$404,12,FALSE)-VLOOKUP($A103,'01-02.2022'!$A$6:$DA$376,12,FALSE)</f>
        <v>0</v>
      </c>
      <c r="M103" s="566">
        <f>VLOOKUP($A103,'01-02.2021'!$A$6:$CZ$403,13,FALSE)+VLOOKUP($A103,'1.3.21-28.2.22'!$A$6:$DA$404,13,FALSE)-VLOOKUP($A103,'01-02.2022'!$A$6:$DA$376,13,FALSE)</f>
        <v>0</v>
      </c>
      <c r="N103" s="52">
        <f t="shared" si="95"/>
        <v>0</v>
      </c>
      <c r="O103" s="566">
        <f>VLOOKUP($A103,'01-02.2021'!$A$6:$CZ$403,15,FALSE)+VLOOKUP($A103,'1.3.21-28.2.22'!$A$6:$DA$404,15,FALSE)-VLOOKUP($A103,'01-02.2022'!$A$6:$DA$376,15,FALSE)</f>
        <v>0</v>
      </c>
      <c r="P103" s="566">
        <f>VLOOKUP($A103,'01-02.2021'!$A$6:$CZ$403,16,FALSE)+VLOOKUP($A103,'1.3.21-28.2.22'!$A$6:$DA$404,16,FALSE)-VLOOKUP($A103,'01-02.2022'!$A$6:$DA$376,16,FALSE)</f>
        <v>0</v>
      </c>
      <c r="Q103" s="70">
        <f t="shared" si="111"/>
        <v>0</v>
      </c>
      <c r="R103" s="566">
        <f>VLOOKUP($A103,'01-02.2021'!$A$6:$CZ$403,18,FALSE)+VLOOKUP($A103,'1.3.21-28.2.22'!$A$6:$DA$404,18,FALSE)-VLOOKUP($A103,'01-02.2022'!$A$6:$DA$376,18,FALSE)</f>
        <v>0</v>
      </c>
      <c r="S103" s="566">
        <f>VLOOKUP($A103,'01-02.2021'!$A$6:$CZ$403,19,FALSE)+VLOOKUP($A103,'1.3.21-28.2.22'!$A$6:$DA$404,19,FALSE)-VLOOKUP($A103,'01-02.2022'!$A$6:$DA$376,19,FALSE)</f>
        <v>0</v>
      </c>
      <c r="T103" s="70">
        <f t="shared" si="112"/>
        <v>0</v>
      </c>
      <c r="U103" s="566">
        <f>VLOOKUP($A103,'01-02.2021'!$A$6:$CZ$403,21,FALSE)+VLOOKUP($A103,'1.3.21-28.2.22'!$A$6:$DA$404,21,FALSE)-VLOOKUP($A103,'01-02.2022'!$A$6:$DA$376,21,FALSE)</f>
        <v>0</v>
      </c>
      <c r="V103" s="566">
        <f>VLOOKUP($A103,'01-02.2021'!$A$6:$CZ$403,22,FALSE)+VLOOKUP($A103,'1.3.21-28.2.22'!$A$6:$DA$404,22,FALSE)-VLOOKUP($A103,'01-02.2022'!$A$6:$DA$376,22,FALSE)</f>
        <v>0</v>
      </c>
      <c r="W103" s="70">
        <f t="shared" si="113"/>
        <v>0</v>
      </c>
      <c r="X103" s="566">
        <f>VLOOKUP($A103,'01-02.2021'!$A$6:$CZ$403,24,FALSE)+VLOOKUP($A103,'1.3.21-28.2.22'!$A$6:$DA$404,24,FALSE)-VLOOKUP($A103,'01-02.2022'!$A$6:$DA$376,24,FALSE)</f>
        <v>0</v>
      </c>
      <c r="Y103" s="566">
        <f>VLOOKUP($A103,'01-02.2021'!$A$6:$CZ$403,25,FALSE)+VLOOKUP($A103,'1.3.21-28.2.22'!$A$6:$DA$404,25,FALSE)-VLOOKUP($A103,'01-02.2022'!$A$6:$DA$376,25,FALSE)</f>
        <v>0</v>
      </c>
      <c r="Z103" s="70">
        <f t="shared" si="114"/>
        <v>0</v>
      </c>
      <c r="AA103" s="566">
        <f>VLOOKUP($A103,'01-02.2021'!$A$6:$CZ$403,27,FALSE)+VLOOKUP($A103,'1.3.21-28.2.22'!$A$6:$DA$404,27,FALSE)-VLOOKUP($A103,'01-02.2022'!$A$6:$DA$376,27,FALSE)</f>
        <v>51.7</v>
      </c>
      <c r="AB103" s="566">
        <f>VLOOKUP($A103,'01-02.2021'!$A$6:$CZ$403,28,FALSE)+VLOOKUP($A103,'1.3.21-28.2.22'!$A$6:$DA$404,28,FALSE)-VLOOKUP($A103,'01-02.2022'!$A$6:$DA$376,28,FALSE)</f>
        <v>0</v>
      </c>
      <c r="AC103" s="70">
        <f t="shared" si="115"/>
        <v>-51.7</v>
      </c>
      <c r="AD103" s="566">
        <f>VLOOKUP($A103,'01-02.2021'!$A$6:$CZ$403,30,FALSE)+VLOOKUP($A103,'1.3.21-28.2.22'!$A$6:$DA$404,30,FALSE)-VLOOKUP($A103,'01-02.2022'!$A$6:$DA$376,30,FALSE)</f>
        <v>413.81896862566794</v>
      </c>
      <c r="AE103" s="566">
        <f>VLOOKUP($A103,'01-02.2021'!$A$6:$CZ$403,31,FALSE)+VLOOKUP($A103,'1.3.21-28.2.22'!$A$6:$DA$404,31,FALSE)-VLOOKUP($A103,'01-02.2022'!$A$6:$DA$376,31,FALSE)</f>
        <v>1176.7024155467172</v>
      </c>
      <c r="AF103" s="68">
        <f t="shared" si="116"/>
        <v>762.88344692104931</v>
      </c>
      <c r="AG103" s="77">
        <f t="shared" si="86"/>
        <v>553.00292153861301</v>
      </c>
      <c r="AH103" s="53">
        <f t="shared" si="86"/>
        <v>1232.081535881269</v>
      </c>
      <c r="AI103" s="52">
        <f t="shared" si="96"/>
        <v>679.07861434265601</v>
      </c>
      <c r="AJ103" s="566">
        <f>VLOOKUP($A103,'01-02.2021'!$A$6:$CZ$403,36,FALSE)+VLOOKUP($A103,'1.3.21-28.2.22'!$A$6:$DA$404,36,FALSE)-VLOOKUP($A103,'01-02.2022'!$A$6:$DA$376,36,FALSE)</f>
        <v>0</v>
      </c>
      <c r="AK103" s="566">
        <f>VLOOKUP($A103,'01-02.2021'!$A$6:$CZ$403,37,FALSE)+VLOOKUP($A103,'1.3.21-28.2.22'!$A$6:$DA$404,37,FALSE)-VLOOKUP($A103,'01-02.2022'!$A$6:$DA$376,37,FALSE)</f>
        <v>0</v>
      </c>
      <c r="AL103" s="70">
        <f t="shared" si="117"/>
        <v>0</v>
      </c>
      <c r="AM103" s="566">
        <f>VLOOKUP($A103,'01-02.2021'!$A$6:$CZ$403,39,FALSE)+VLOOKUP($A103,'1.3.21-28.2.22'!$A$6:$DA$404,39,FALSE)-VLOOKUP($A103,'01-02.2022'!$A$6:$DA$376,39,FALSE)</f>
        <v>0</v>
      </c>
      <c r="AN103" s="566">
        <f>VLOOKUP($A103,'01-02.2021'!$A$6:$CZ$403,40,FALSE)+VLOOKUP($A103,'1.3.21-28.2.22'!$A$6:$DA$404,40,FALSE)-VLOOKUP($A103,'01-02.2022'!$A$6:$DA$376,40,FALSE)</f>
        <v>0</v>
      </c>
      <c r="AO103" s="70">
        <f t="shared" si="118"/>
        <v>0</v>
      </c>
      <c r="AP103" s="566">
        <f>VLOOKUP($A103,'01-02.2021'!$A$6:$CZ$403,42,FALSE)+VLOOKUP($A103,'1.3.21-28.2.22'!$A$6:$DA$404,42,FALSE)-VLOOKUP($A103,'01-02.2022'!$A$6:$DA$376,42,FALSE)</f>
        <v>520.55992501277728</v>
      </c>
      <c r="AQ103" s="566">
        <f>VLOOKUP($A103,'01-02.2021'!$A$6:$CZ$403,43,FALSE)+VLOOKUP($A103,'1.3.21-28.2.22'!$A$6:$DA$404,43,FALSE)-VLOOKUP($A103,'01-02.2022'!$A$6:$DA$376,43,FALSE)</f>
        <v>449.29339314325046</v>
      </c>
      <c r="AR103" s="70">
        <f t="shared" si="119"/>
        <v>-71.26653186952683</v>
      </c>
      <c r="AS103" s="566">
        <f>VLOOKUP($A103,'01-02.2021'!$A$6:$CZ$403,45,FALSE)+VLOOKUP($A103,'1.3.21-28.2.22'!$A$6:$DA$404,45,FALSE)-VLOOKUP($A103,'01-02.2022'!$A$6:$DA$376,45,FALSE)</f>
        <v>2281.3487054735069</v>
      </c>
      <c r="AT103" s="566">
        <f>VLOOKUP($A103,'01-02.2021'!$A$6:$CZ$403,46,FALSE)+VLOOKUP($A103,'1.3.21-28.2.22'!$A$6:$DA$404,46,FALSE)-VLOOKUP($A103,'01-02.2022'!$A$6:$DA$376,46,FALSE)</f>
        <v>4137</v>
      </c>
      <c r="AU103" s="78">
        <f t="shared" si="120"/>
        <v>1855.6512945264931</v>
      </c>
      <c r="AV103" s="566">
        <f>VLOOKUP($A103,'01-02.2021'!$A$6:$CZ$403,48,FALSE)+VLOOKUP($A103,'1.3.21-28.2.22'!$A$6:$DA$404,48,FALSE)-VLOOKUP($A103,'01-02.2022'!$A$6:$DA$376,48,FALSE)</f>
        <v>14.643333204538944</v>
      </c>
      <c r="AW103" s="566">
        <f>VLOOKUP($A103,'01-02.2021'!$A$6:$CZ$403,49,FALSE)+VLOOKUP($A103,'1.3.21-28.2.22'!$A$6:$DA$404,49,FALSE)-VLOOKUP($A103,'01-02.2022'!$A$6:$DA$376,49,FALSE)</f>
        <v>0</v>
      </c>
      <c r="AX103" s="55">
        <f t="shared" si="121"/>
        <v>-14.643333204538944</v>
      </c>
      <c r="AY103" s="566">
        <f>VLOOKUP($A103,'01-02.2021'!$A$6:$CZ$403,51,FALSE)+VLOOKUP($A103,'1.3.21-28.2.22'!$A$6:$DA$404,51,FALSE)-VLOOKUP($A103,'01-02.2022'!$A$6:$DA$376,51,FALSE)</f>
        <v>0</v>
      </c>
      <c r="AZ103" s="566">
        <f>VLOOKUP($A103,'01-02.2021'!$A$6:$CZ$403,52,FALSE)+VLOOKUP($A103,'1.3.21-28.2.22'!$A$6:$DA$404,52,FALSE)-VLOOKUP($A103,'01-02.2022'!$A$6:$DA$376,52,FALSE)</f>
        <v>0</v>
      </c>
      <c r="BA103" s="38">
        <f t="shared" si="122"/>
        <v>0</v>
      </c>
      <c r="BB103" s="566">
        <f>VLOOKUP($A103,'01-02.2021'!$A$6:$CZ$403,54,FALSE)+VLOOKUP($A103,'1.3.21-28.2.22'!$A$6:$DA$404,54,FALSE)-VLOOKUP($A103,'01-02.2022'!$A$6:$DA$376,54,FALSE)</f>
        <v>0</v>
      </c>
      <c r="BC103" s="566">
        <f>VLOOKUP($A103,'01-02.2021'!$A$6:$CZ$403,55,FALSE)+VLOOKUP($A103,'1.3.21-28.2.22'!$A$6:$DA$404,55,FALSE)-VLOOKUP($A103,'01-02.2022'!$A$6:$DA$376,55,FALSE)</f>
        <v>0</v>
      </c>
      <c r="BD103" s="55">
        <f t="shared" si="123"/>
        <v>0</v>
      </c>
      <c r="BE103" s="566">
        <f>VLOOKUP($A103,'01-02.2021'!$A$6:$CZ$403,57,FALSE)+VLOOKUP($A103,'1.3.21-28.2.22'!$A$6:$DA$404,57,FALSE)-VLOOKUP($A103,'01-02.2022'!$A$6:$DA$376,57,FALSE)</f>
        <v>0</v>
      </c>
      <c r="BF103" s="566">
        <f>VLOOKUP($A103,'01-02.2021'!$A$6:$CZ$403,58,FALSE)+VLOOKUP($A103,'1.3.21-28.2.22'!$A$6:$DA$404,58,FALSE)-VLOOKUP($A103,'01-02.2022'!$A$6:$DA$376,58,FALSE)</f>
        <v>0</v>
      </c>
      <c r="BG103" s="55">
        <f t="shared" si="124"/>
        <v>0</v>
      </c>
      <c r="BH103" s="566">
        <f>VLOOKUP($A103,'01-02.2021'!$A$6:$CZ$403,60,FALSE)+VLOOKUP($A103,'1.3.21-28.2.22'!$A$6:$DA$404,60,FALSE)-VLOOKUP($A103,'01-02.2022'!$A$6:$DA$376,60,FALSE)</f>
        <v>0</v>
      </c>
      <c r="BI103" s="566">
        <f>VLOOKUP($A103,'01-02.2021'!$A$6:$CZ$403,61,FALSE)+VLOOKUP($A103,'1.3.21-28.2.22'!$A$6:$DA$404,61,FALSE)-VLOOKUP($A103,'01-02.2022'!$A$6:$DA$376,61,FALSE)</f>
        <v>0</v>
      </c>
      <c r="BJ103" s="55">
        <f t="shared" si="125"/>
        <v>0</v>
      </c>
      <c r="BK103" s="566">
        <f>VLOOKUP($A103,'01-02.2021'!$A$6:$CZ$403,63,FALSE)+VLOOKUP($A103,'1.3.21-28.2.22'!$A$6:$DA$404,63,FALSE)-VLOOKUP($A103,'01-02.2022'!$A$6:$DA$376,63,FALSE)</f>
        <v>0</v>
      </c>
      <c r="BL103" s="566">
        <f>VLOOKUP($A103,'01-02.2021'!$A$6:$CZ$403,64,FALSE)+VLOOKUP($A103,'1.3.21-28.2.22'!$A$6:$DA$404,64,FALSE)-VLOOKUP($A103,'01-02.2022'!$A$6:$DA$376,64,FALSE)</f>
        <v>0</v>
      </c>
      <c r="BM103" s="55">
        <f t="shared" si="126"/>
        <v>0</v>
      </c>
      <c r="BN103" s="566">
        <f>VLOOKUP($A103,'01-02.2021'!$A$6:$CZ$403,66,FALSE)+VLOOKUP($A103,'1.3.21-28.2.22'!$A$6:$DA$404,66,FALSE)-VLOOKUP($A103,'01-02.2022'!$A$6:$DA$376,66,FALSE)</f>
        <v>19.935647551798763</v>
      </c>
      <c r="BO103" s="566">
        <f>VLOOKUP($A103,'01-02.2021'!$A$6:$CZ$403,67,FALSE)+VLOOKUP($A103,'1.3.21-28.2.22'!$A$6:$DA$404,67,FALSE)-VLOOKUP($A103,'01-02.2022'!$A$6:$DA$376,67,FALSE)</f>
        <v>0</v>
      </c>
      <c r="BP103" s="55">
        <f t="shared" si="127"/>
        <v>-19.935647551798763</v>
      </c>
      <c r="BQ103" s="77">
        <f t="shared" si="139"/>
        <v>34.578980756337707</v>
      </c>
      <c r="BR103" s="40">
        <f t="shared" si="140"/>
        <v>0</v>
      </c>
      <c r="BS103" s="55">
        <f t="shared" si="110"/>
        <v>-34.578980756337707</v>
      </c>
      <c r="BT103" s="566">
        <f>VLOOKUP($A103,'01-02.2021'!$A$6:$CZ$403,72,FALSE)+VLOOKUP($A103,'1.3.21-28.2.22'!$A$6:$DA$404,72,FALSE)-VLOOKUP($A103,'01-02.2022'!$A$6:$DA$376,72,FALSE)</f>
        <v>418.72268819845635</v>
      </c>
      <c r="BU103" s="566">
        <f>VLOOKUP($A103,'01-02.2021'!$A$6:$CZ$403,73,FALSE)+VLOOKUP($A103,'1.3.21-28.2.22'!$A$6:$DA$404,73,FALSE)-VLOOKUP($A103,'01-02.2022'!$A$6:$DA$376,73,FALSE)</f>
        <v>649.61705194131355</v>
      </c>
      <c r="BV103" s="70">
        <f t="shared" si="128"/>
        <v>230.89436374285719</v>
      </c>
      <c r="BW103" s="566">
        <f>VLOOKUP($A103,'01-02.2021'!$A$6:$CZ$403,75,FALSE)+VLOOKUP($A103,'1.3.21-28.2.22'!$A$6:$DA$404,75,FALSE)-VLOOKUP($A103,'01-02.2022'!$A$6:$DA$376,75,FALSE)</f>
        <v>0</v>
      </c>
      <c r="BX103" s="566">
        <f>VLOOKUP($A103,'01-02.2021'!$A$6:$CZ$403,76,FALSE)+VLOOKUP($A103,'1.3.21-28.2.22'!$A$6:$DA$404,76,FALSE)-VLOOKUP($A103,'01-02.2022'!$A$6:$DA$376,76,FALSE)</f>
        <v>5.793396168552249</v>
      </c>
      <c r="BY103" s="70">
        <f t="shared" si="129"/>
        <v>5.793396168552249</v>
      </c>
      <c r="BZ103" s="566">
        <f>VLOOKUP($A103,'01-02.2021'!$A$6:$CZ$403,78,FALSE)+VLOOKUP($A103,'1.3.21-28.2.22'!$A$6:$DA$404,78,FALSE)-VLOOKUP($A103,'01-02.2022'!$A$6:$DA$376,78,FALSE)</f>
        <v>0</v>
      </c>
      <c r="CA103" s="566">
        <f>VLOOKUP($A103,'01-02.2021'!$A$6:$CZ$403,79,FALSE)+VLOOKUP($A103,'1.3.21-28.2.22'!$A$6:$DA$404,79,FALSE)-VLOOKUP($A103,'01-02.2022'!$A$6:$DA$376,79,FALSE)</f>
        <v>123.99198026254601</v>
      </c>
      <c r="CB103" s="70">
        <f t="shared" si="130"/>
        <v>123.99198026254601</v>
      </c>
      <c r="CC103" s="566">
        <f>VLOOKUP($A103,'01-02.2021'!$A$6:$CZ$403,81,FALSE)+VLOOKUP($A103,'1.3.21-28.2.22'!$A$6:$DA$404,81,FALSE)-VLOOKUP($A103,'01-02.2022'!$A$6:$DA$376,81,FALSE)</f>
        <v>0</v>
      </c>
      <c r="CD103" s="566">
        <f>VLOOKUP($A103,'01-02.2021'!$A$6:$CZ$403,82,FALSE)+VLOOKUP($A103,'1.3.21-28.2.22'!$A$6:$DA$404,82,FALSE)-VLOOKUP($A103,'01-02.2022'!$A$6:$DA$376,82,FALSE)</f>
        <v>0</v>
      </c>
      <c r="CE103" s="70">
        <f t="shared" si="131"/>
        <v>0</v>
      </c>
      <c r="CF103" s="566">
        <f>VLOOKUP($A103,'01-02.2021'!$A$6:$CZ$403,84,FALSE)+VLOOKUP($A103,'1.3.21-28.2.22'!$A$6:$DA$404,84,FALSE)-VLOOKUP($A103,'01-02.2022'!$A$6:$DA$376,84,FALSE)</f>
        <v>0</v>
      </c>
      <c r="CG103" s="566">
        <f>VLOOKUP($A103,'01-02.2021'!$A$6:$CZ$403,85,FALSE)+VLOOKUP($A103,'1.3.21-28.2.22'!$A$6:$DA$404,85,FALSE)-VLOOKUP($A103,'01-02.2022'!$A$6:$DA$376,85,FALSE)</f>
        <v>0</v>
      </c>
      <c r="CH103" s="70">
        <f t="shared" si="132"/>
        <v>0</v>
      </c>
      <c r="CI103" s="566">
        <f>VLOOKUP($A103,'01-02.2021'!$A$6:$CZ$403,87,FALSE)+VLOOKUP($A103,'1.3.21-28.2.22'!$A$6:$DA$404,87,FALSE)-VLOOKUP($A103,'01-02.2022'!$A$6:$DA$376,87,FALSE)</f>
        <v>0</v>
      </c>
      <c r="CJ103" s="566">
        <f>VLOOKUP($A103,'01-02.2021'!$A$6:$CZ$403,88,FALSE)+VLOOKUP($A103,'1.3.21-28.2.22'!$A$6:$DA$404,88,FALSE)-VLOOKUP($A103,'01-02.2022'!$A$6:$DA$376,88,FALSE)</f>
        <v>0</v>
      </c>
      <c r="CK103" s="70">
        <f t="shared" si="133"/>
        <v>0</v>
      </c>
      <c r="CL103" s="566">
        <f>VLOOKUP($A103,'01-02.2021'!$A$6:$CZ$403,90,FALSE)+VLOOKUP($A103,'1.3.21-28.2.22'!$A$6:$DA$404,90,FALSE)-VLOOKUP($A103,'01-02.2022'!$A$6:$DA$376,90,FALSE)</f>
        <v>0</v>
      </c>
      <c r="CM103" s="566">
        <f>VLOOKUP($A103,'01-02.2021'!$A$6:$CZ$403,91,FALSE)+VLOOKUP($A103,'1.3.21-28.2.22'!$A$6:$DA$404,91,FALSE)-VLOOKUP($A103,'01-02.2022'!$A$6:$DA$376,91,FALSE)</f>
        <v>0</v>
      </c>
      <c r="CN103" s="52">
        <f t="shared" si="97"/>
        <v>0</v>
      </c>
      <c r="CO103" s="39">
        <f t="shared" si="89"/>
        <v>0</v>
      </c>
      <c r="CP103" s="40">
        <f t="shared" si="98"/>
        <v>0</v>
      </c>
      <c r="CQ103" s="52">
        <f t="shared" si="99"/>
        <v>0</v>
      </c>
      <c r="CR103" s="72">
        <f t="shared" si="90"/>
        <v>3808.213220979691</v>
      </c>
      <c r="CS103" s="5">
        <f t="shared" si="90"/>
        <v>6597.7773573969316</v>
      </c>
      <c r="CT103" s="52">
        <f t="shared" si="100"/>
        <v>2789.5641364172407</v>
      </c>
      <c r="CU103" s="77">
        <f t="shared" si="101"/>
        <v>4569.8558651756293</v>
      </c>
      <c r="CV103" s="65">
        <f t="shared" si="102"/>
        <v>7917.3328288763178</v>
      </c>
      <c r="CW103" s="35">
        <f t="shared" si="103"/>
        <v>3347.4769637006884</v>
      </c>
      <c r="CX103" s="566">
        <f>VLOOKUP($A103,'01-02.2021'!$A$6:$CZ$403,102,FALSE)+VLOOKUP($A103,'1.3.21-28.2.22'!$A$6:$DA$404,102,FALSE)-VLOOKUP($A103,'01-02.2022'!$A$6:$DA$376,102,FALSE)</f>
        <v>218.17424982437836</v>
      </c>
      <c r="CY103" s="566">
        <f>VLOOKUP($A103,'01-02.2021'!$A$6:$CZ$403,103,FALSE)+VLOOKUP($A103,'1.3.21-28.2.22'!$A$6:$DA$404,103,FALSE)-VLOOKUP($A103,'01-02.2022'!$A$6:$DA$376,103,FALSE)</f>
        <v>-3129.3027138763096</v>
      </c>
      <c r="CZ103" s="52">
        <f t="shared" si="104"/>
        <v>-3347.476963700688</v>
      </c>
      <c r="DA103" s="150">
        <f>'[2]побудинковий звіт'!DA103</f>
        <v>16040.310762526804</v>
      </c>
      <c r="DB103" s="2">
        <v>1</v>
      </c>
      <c r="DC103" s="414">
        <f>'[4]побудинковий звіт'!DC103</f>
        <v>2379.5</v>
      </c>
      <c r="DD103" s="414">
        <f>'[4]побудинковий звіт'!DD103</f>
        <v>0</v>
      </c>
      <c r="DE103" s="557">
        <f>'[4]побудинковий звіт'!DE103</f>
        <v>1944.0265646207522</v>
      </c>
      <c r="DF103" s="557">
        <f>'[4]побудинковий звіт'!DF103</f>
        <v>0</v>
      </c>
      <c r="DG103" s="321">
        <f>VLOOKUP(A103,'кошти 01.03.2021'!$A$6:$D$401,4,)</f>
        <v>16502.780413343498</v>
      </c>
      <c r="DH103" s="40">
        <f>'[3]побудинковий звіт'!DJ103</f>
        <v>4960.5669071997982</v>
      </c>
      <c r="DI103" s="422">
        <f>'[3]побудинковий звіт'!CU103+'[3]побудинковий звіт'!CX103</f>
        <v>435.47343537924775</v>
      </c>
      <c r="DJ103" s="306">
        <f>'[3]побудинковий звіт'!DM103</f>
        <v>1.684616771293028</v>
      </c>
      <c r="DK103" s="306">
        <f>DJ103</f>
        <v>1.684616771293028</v>
      </c>
      <c r="DL103" s="306">
        <f>'[3]побудинковий звіт'!DO103</f>
        <v>1.684616771293028</v>
      </c>
      <c r="DM103" s="28">
        <f>F103*DJ103</f>
        <v>435.47343537924775</v>
      </c>
      <c r="DN103" s="28">
        <f>H103*DL103</f>
        <v>0</v>
      </c>
      <c r="DO103" s="423">
        <f t="shared" si="105"/>
        <v>435.47343537924775</v>
      </c>
      <c r="DP103" s="94">
        <f t="shared" si="106"/>
        <v>0</v>
      </c>
      <c r="DQ103" s="28">
        <f t="shared" si="107"/>
        <v>435.47343537924775</v>
      </c>
      <c r="DR103" s="318"/>
      <c r="DT103" s="8"/>
      <c r="DU103" s="5"/>
      <c r="DX103" s="5">
        <f t="shared" si="108"/>
        <v>2779.1132234758138</v>
      </c>
      <c r="DY103" s="5">
        <f t="shared" si="109"/>
        <v>4964.3999999999996</v>
      </c>
      <c r="DZ103" s="159">
        <f>'[3]побудинковий звіт'!EA103</f>
        <v>273.12165088653649</v>
      </c>
    </row>
    <row r="104" spans="1:130" x14ac:dyDescent="0.3">
      <c r="A104" s="325">
        <v>150000592</v>
      </c>
      <c r="B104" s="41" t="s">
        <v>553</v>
      </c>
      <c r="C104" s="42" t="s">
        <v>354</v>
      </c>
      <c r="D104" s="42"/>
      <c r="E104" s="293">
        <f t="shared" si="85"/>
        <v>9737.7999999999993</v>
      </c>
      <c r="F104" s="305">
        <f>'[3]побудинковий звіт'!F104</f>
        <v>9698.4</v>
      </c>
      <c r="G104" s="508">
        <f>'[3]побудинковий звіт'!G104</f>
        <v>1110</v>
      </c>
      <c r="H104" s="560">
        <f>'[3]побудинковий звіт'!H104</f>
        <v>39.4</v>
      </c>
      <c r="I104" s="566">
        <f>VLOOKUP($A104,'01-02.2021'!$A$6:$CZ$403,9,FALSE)+VLOOKUP($A104,'1.3.21-28.2.22'!$A$6:$DA$404,9,FALSE)-VLOOKUP($A104,'01-02.2022'!$A$6:$DA$376,9,FALSE)</f>
        <v>23381.367307267043</v>
      </c>
      <c r="J104" s="566">
        <f>VLOOKUP($A104,'01-02.2021'!$A$6:$CZ$403,10,FALSE)+VLOOKUP($A104,'1.3.21-28.2.22'!$A$6:$DA$404,10,FALSE)-VLOOKUP($A104,'01-02.2022'!$A$6:$DA$376,10,FALSE)</f>
        <v>21129.117080145286</v>
      </c>
      <c r="K104" s="52">
        <f t="shared" si="94"/>
        <v>-2252.2502271217563</v>
      </c>
      <c r="L104" s="566">
        <f>VLOOKUP($A104,'01-02.2021'!$A$6:$CZ$403,12,FALSE)+VLOOKUP($A104,'1.3.21-28.2.22'!$A$6:$DA$404,12,FALSE)-VLOOKUP($A104,'01-02.2022'!$A$6:$DA$376,12,FALSE)</f>
        <v>4002.5921254841833</v>
      </c>
      <c r="M104" s="566">
        <f>VLOOKUP($A104,'01-02.2021'!$A$6:$CZ$403,13,FALSE)+VLOOKUP($A104,'1.3.21-28.2.22'!$A$6:$DA$404,13,FALSE)-VLOOKUP($A104,'01-02.2022'!$A$6:$DA$376,13,FALSE)</f>
        <v>3629.9460762632589</v>
      </c>
      <c r="N104" s="52">
        <f t="shared" si="95"/>
        <v>-372.6460492209244</v>
      </c>
      <c r="O104" s="566">
        <f>VLOOKUP($A104,'01-02.2021'!$A$6:$CZ$403,15,FALSE)+VLOOKUP($A104,'1.3.21-28.2.22'!$A$6:$DA$404,15,FALSE)-VLOOKUP($A104,'01-02.2022'!$A$6:$DA$376,15,FALSE)</f>
        <v>13838.555642674981</v>
      </c>
      <c r="P104" s="566">
        <f>VLOOKUP($A104,'01-02.2021'!$A$6:$CZ$403,16,FALSE)+VLOOKUP($A104,'1.3.21-28.2.22'!$A$6:$DA$404,16,FALSE)-VLOOKUP($A104,'01-02.2022'!$A$6:$DA$376,16,FALSE)</f>
        <v>13838.549999999997</v>
      </c>
      <c r="Q104" s="70">
        <f t="shared" si="111"/>
        <v>-5.6426749833917711E-3</v>
      </c>
      <c r="R104" s="566">
        <f>VLOOKUP($A104,'01-02.2021'!$A$6:$CZ$403,18,FALSE)+VLOOKUP($A104,'1.3.21-28.2.22'!$A$6:$DA$404,18,FALSE)-VLOOKUP($A104,'01-02.2022'!$A$6:$DA$376,18,FALSE)</f>
        <v>2881.1139669309837</v>
      </c>
      <c r="S104" s="566">
        <f>VLOOKUP($A104,'01-02.2021'!$A$6:$CZ$403,19,FALSE)+VLOOKUP($A104,'1.3.21-28.2.22'!$A$6:$DA$404,19,FALSE)-VLOOKUP($A104,'01-02.2022'!$A$6:$DA$376,19,FALSE)</f>
        <v>2881.09</v>
      </c>
      <c r="T104" s="70">
        <f t="shared" si="112"/>
        <v>-2.396693098353353E-2</v>
      </c>
      <c r="U104" s="566">
        <f>VLOOKUP($A104,'01-02.2021'!$A$6:$CZ$403,21,FALSE)+VLOOKUP($A104,'1.3.21-28.2.22'!$A$6:$DA$404,21,FALSE)-VLOOKUP($A104,'01-02.2022'!$A$6:$DA$376,21,FALSE)</f>
        <v>3967.680510103492</v>
      </c>
      <c r="V104" s="566">
        <f>VLOOKUP($A104,'01-02.2021'!$A$6:$CZ$403,22,FALSE)+VLOOKUP($A104,'1.3.21-28.2.22'!$A$6:$DA$404,22,FALSE)-VLOOKUP($A104,'01-02.2022'!$A$6:$DA$376,22,FALSE)</f>
        <v>2641.5554654835478</v>
      </c>
      <c r="W104" s="70">
        <f t="shared" si="113"/>
        <v>-1326.1250446199442</v>
      </c>
      <c r="X104" s="566">
        <f>VLOOKUP($A104,'01-02.2021'!$A$6:$CZ$403,24,FALSE)+VLOOKUP($A104,'1.3.21-28.2.22'!$A$6:$DA$404,24,FALSE)-VLOOKUP($A104,'01-02.2022'!$A$6:$DA$376,24,FALSE)</f>
        <v>18721.580193022579</v>
      </c>
      <c r="Y104" s="566">
        <f>VLOOKUP($A104,'01-02.2021'!$A$6:$CZ$403,25,FALSE)+VLOOKUP($A104,'1.3.21-28.2.22'!$A$6:$DA$404,25,FALSE)-VLOOKUP($A104,'01-02.2022'!$A$6:$DA$376,25,FALSE)</f>
        <v>15923.050159855266</v>
      </c>
      <c r="Z104" s="70">
        <f t="shared" si="114"/>
        <v>-2798.5300331673134</v>
      </c>
      <c r="AA104" s="566">
        <f>VLOOKUP($A104,'01-02.2021'!$A$6:$CZ$403,27,FALSE)+VLOOKUP($A104,'1.3.21-28.2.22'!$A$6:$DA$404,27,FALSE)-VLOOKUP($A104,'01-02.2022'!$A$6:$DA$376,27,FALSE)</f>
        <v>1948.3599999999997</v>
      </c>
      <c r="AB104" s="566">
        <f>VLOOKUP($A104,'01-02.2021'!$A$6:$CZ$403,28,FALSE)+VLOOKUP($A104,'1.3.21-28.2.22'!$A$6:$DA$404,28,FALSE)-VLOOKUP($A104,'01-02.2022'!$A$6:$DA$376,28,FALSE)</f>
        <v>0</v>
      </c>
      <c r="AC104" s="70">
        <f t="shared" si="115"/>
        <v>-1948.3599999999997</v>
      </c>
      <c r="AD104" s="566">
        <f>VLOOKUP($A104,'01-02.2021'!$A$6:$CZ$403,30,FALSE)+VLOOKUP($A104,'1.3.21-28.2.22'!$A$6:$DA$404,30,FALSE)-VLOOKUP($A104,'01-02.2022'!$A$6:$DA$376,30,FALSE)</f>
        <v>41829.878401672773</v>
      </c>
      <c r="AE104" s="566">
        <f>VLOOKUP($A104,'01-02.2021'!$A$6:$CZ$403,31,FALSE)+VLOOKUP($A104,'1.3.21-28.2.22'!$A$6:$DA$404,31,FALSE)-VLOOKUP($A104,'01-02.2022'!$A$6:$DA$376,31,FALSE)</f>
        <v>44330.135303493895</v>
      </c>
      <c r="AF104" s="68">
        <f t="shared" si="116"/>
        <v>2500.2569018211216</v>
      </c>
      <c r="AG104" s="77">
        <f t="shared" si="86"/>
        <v>110571.12814715604</v>
      </c>
      <c r="AH104" s="53">
        <f t="shared" si="86"/>
        <v>104373.44408524127</v>
      </c>
      <c r="AI104" s="52">
        <f t="shared" si="96"/>
        <v>-6197.6840619147697</v>
      </c>
      <c r="AJ104" s="566">
        <f>VLOOKUP($A104,'01-02.2021'!$A$6:$CZ$403,36,FALSE)+VLOOKUP($A104,'1.3.21-28.2.22'!$A$6:$DA$404,36,FALSE)-VLOOKUP($A104,'01-02.2022'!$A$6:$DA$376,36,FALSE)</f>
        <v>69293.540296118488</v>
      </c>
      <c r="AK104" s="566">
        <f>VLOOKUP($A104,'01-02.2021'!$A$6:$CZ$403,37,FALSE)+VLOOKUP($A104,'1.3.21-28.2.22'!$A$6:$DA$404,37,FALSE)-VLOOKUP($A104,'01-02.2022'!$A$6:$DA$376,37,FALSE)</f>
        <v>68839.241172746319</v>
      </c>
      <c r="AL104" s="70">
        <f t="shared" si="117"/>
        <v>-454.29912337216956</v>
      </c>
      <c r="AM104" s="566">
        <f>VLOOKUP($A104,'01-02.2021'!$A$6:$CZ$403,39,FALSE)+VLOOKUP($A104,'1.3.21-28.2.22'!$A$6:$DA$404,39,FALSE)-VLOOKUP($A104,'01-02.2022'!$A$6:$DA$376,39,FALSE)</f>
        <v>5784.4838873655044</v>
      </c>
      <c r="AN104" s="566">
        <f>VLOOKUP($A104,'01-02.2021'!$A$6:$CZ$403,40,FALSE)+VLOOKUP($A104,'1.3.21-28.2.22'!$A$6:$DA$404,40,FALSE)-VLOOKUP($A104,'01-02.2022'!$A$6:$DA$376,40,FALSE)</f>
        <v>4310.0500466045232</v>
      </c>
      <c r="AO104" s="70">
        <f t="shared" si="118"/>
        <v>-1474.4338407609812</v>
      </c>
      <c r="AP104" s="566">
        <f>VLOOKUP($A104,'01-02.2021'!$A$6:$CZ$403,42,FALSE)+VLOOKUP($A104,'1.3.21-28.2.22'!$A$6:$DA$404,42,FALSE)-VLOOKUP($A104,'01-02.2022'!$A$6:$DA$376,42,FALSE)</f>
        <v>6506.9990626597173</v>
      </c>
      <c r="AQ104" s="566">
        <f>VLOOKUP($A104,'01-02.2021'!$A$6:$CZ$403,43,FALSE)+VLOOKUP($A104,'1.3.21-28.2.22'!$A$6:$DA$404,43,FALSE)-VLOOKUP($A104,'01-02.2022'!$A$6:$DA$376,43,FALSE)</f>
        <v>5605.856643356643</v>
      </c>
      <c r="AR104" s="70">
        <f t="shared" si="119"/>
        <v>-901.14241930307435</v>
      </c>
      <c r="AS104" s="566">
        <f>VLOOKUP($A104,'01-02.2021'!$A$6:$CZ$403,45,FALSE)+VLOOKUP($A104,'1.3.21-28.2.22'!$A$6:$DA$404,45,FALSE)-VLOOKUP($A104,'01-02.2022'!$A$6:$DA$376,45,FALSE)</f>
        <v>135296.45721346594</v>
      </c>
      <c r="AT104" s="566">
        <f>VLOOKUP($A104,'01-02.2021'!$A$6:$CZ$403,46,FALSE)+VLOOKUP($A104,'1.3.21-28.2.22'!$A$6:$DA$404,46,FALSE)-VLOOKUP($A104,'01-02.2022'!$A$6:$DA$376,46,FALSE)</f>
        <v>142957.61638692234</v>
      </c>
      <c r="AU104" s="78">
        <f t="shared" si="120"/>
        <v>7661.159173456399</v>
      </c>
      <c r="AV104" s="566">
        <f>VLOOKUP($A104,'01-02.2021'!$A$6:$CZ$403,48,FALSE)+VLOOKUP($A104,'1.3.21-28.2.22'!$A$6:$DA$404,48,FALSE)-VLOOKUP($A104,'01-02.2022'!$A$6:$DA$376,48,FALSE)</f>
        <v>4718.3846280310336</v>
      </c>
      <c r="AW104" s="566">
        <f>VLOOKUP($A104,'01-02.2021'!$A$6:$CZ$403,49,FALSE)+VLOOKUP($A104,'1.3.21-28.2.22'!$A$6:$DA$404,49,FALSE)-VLOOKUP($A104,'01-02.2022'!$A$6:$DA$376,49,FALSE)</f>
        <v>1368.58</v>
      </c>
      <c r="AX104" s="55">
        <f t="shared" si="121"/>
        <v>-3349.8046280310336</v>
      </c>
      <c r="AY104" s="566">
        <f>VLOOKUP($A104,'01-02.2021'!$A$6:$CZ$403,51,FALSE)+VLOOKUP($A104,'1.3.21-28.2.22'!$A$6:$DA$404,51,FALSE)-VLOOKUP($A104,'01-02.2022'!$A$6:$DA$376,51,FALSE)</f>
        <v>5450.2865290255177</v>
      </c>
      <c r="AZ104" s="566">
        <f>VLOOKUP($A104,'01-02.2021'!$A$6:$CZ$403,52,FALSE)+VLOOKUP($A104,'1.3.21-28.2.22'!$A$6:$DA$404,52,FALSE)-VLOOKUP($A104,'01-02.2022'!$A$6:$DA$376,52,FALSE)</f>
        <v>12284</v>
      </c>
      <c r="BA104" s="38">
        <f t="shared" si="122"/>
        <v>6833.7134709744823</v>
      </c>
      <c r="BB104" s="566">
        <f>VLOOKUP($A104,'01-02.2021'!$A$6:$CZ$403,54,FALSE)+VLOOKUP($A104,'1.3.21-28.2.22'!$A$6:$DA$404,54,FALSE)-VLOOKUP($A104,'01-02.2022'!$A$6:$DA$376,54,FALSE)</f>
        <v>2981.2629533930426</v>
      </c>
      <c r="BC104" s="566">
        <f>VLOOKUP($A104,'01-02.2021'!$A$6:$CZ$403,55,FALSE)+VLOOKUP($A104,'1.3.21-28.2.22'!$A$6:$DA$404,55,FALSE)-VLOOKUP($A104,'01-02.2022'!$A$6:$DA$376,55,FALSE)</f>
        <v>323</v>
      </c>
      <c r="BD104" s="55">
        <f t="shared" si="123"/>
        <v>-2658.2629533930426</v>
      </c>
      <c r="BE104" s="566">
        <f>VLOOKUP($A104,'01-02.2021'!$A$6:$CZ$403,57,FALSE)+VLOOKUP($A104,'1.3.21-28.2.22'!$A$6:$DA$404,57,FALSE)-VLOOKUP($A104,'01-02.2022'!$A$6:$DA$376,57,FALSE)</f>
        <v>5495.1068133464469</v>
      </c>
      <c r="BF104" s="566">
        <f>VLOOKUP($A104,'01-02.2021'!$A$6:$CZ$403,58,FALSE)+VLOOKUP($A104,'1.3.21-28.2.22'!$A$6:$DA$404,58,FALSE)-VLOOKUP($A104,'01-02.2022'!$A$6:$DA$376,58,FALSE)</f>
        <v>0</v>
      </c>
      <c r="BG104" s="55">
        <f t="shared" si="124"/>
        <v>-5495.1068133464469</v>
      </c>
      <c r="BH104" s="566">
        <f>VLOOKUP($A104,'01-02.2021'!$A$6:$CZ$403,60,FALSE)+VLOOKUP($A104,'1.3.21-28.2.22'!$A$6:$DA$404,60,FALSE)-VLOOKUP($A104,'01-02.2022'!$A$6:$DA$376,60,FALSE)</f>
        <v>6992.4716392991486</v>
      </c>
      <c r="BI104" s="566">
        <f>VLOOKUP($A104,'01-02.2021'!$A$6:$CZ$403,61,FALSE)+VLOOKUP($A104,'1.3.21-28.2.22'!$A$6:$DA$404,61,FALSE)-VLOOKUP($A104,'01-02.2022'!$A$6:$DA$376,61,FALSE)</f>
        <v>2803</v>
      </c>
      <c r="BJ104" s="55">
        <f t="shared" si="125"/>
        <v>-4189.4716392991486</v>
      </c>
      <c r="BK104" s="566">
        <f>VLOOKUP($A104,'01-02.2021'!$A$6:$CZ$403,63,FALSE)+VLOOKUP($A104,'1.3.21-28.2.22'!$A$6:$DA$404,63,FALSE)-VLOOKUP($A104,'01-02.2022'!$A$6:$DA$376,63,FALSE)</f>
        <v>5682.950748621105</v>
      </c>
      <c r="BL104" s="566">
        <f>VLOOKUP($A104,'01-02.2021'!$A$6:$CZ$403,64,FALSE)+VLOOKUP($A104,'1.3.21-28.2.22'!$A$6:$DA$404,64,FALSE)-VLOOKUP($A104,'01-02.2022'!$A$6:$DA$376,64,FALSE)</f>
        <v>853</v>
      </c>
      <c r="BM104" s="55">
        <f t="shared" si="126"/>
        <v>-4829.950748621105</v>
      </c>
      <c r="BN104" s="566">
        <f>VLOOKUP($A104,'01-02.2021'!$A$6:$CZ$403,66,FALSE)+VLOOKUP($A104,'1.3.21-28.2.22'!$A$6:$DA$404,66,FALSE)-VLOOKUP($A104,'01-02.2022'!$A$6:$DA$376,66,FALSE)</f>
        <v>985.0816703757564</v>
      </c>
      <c r="BO104" s="566">
        <f>VLOOKUP($A104,'01-02.2021'!$A$6:$CZ$403,67,FALSE)+VLOOKUP($A104,'1.3.21-28.2.22'!$A$6:$DA$404,67,FALSE)-VLOOKUP($A104,'01-02.2022'!$A$6:$DA$376,67,FALSE)</f>
        <v>0</v>
      </c>
      <c r="BP104" s="55">
        <f t="shared" si="127"/>
        <v>-985.0816703757564</v>
      </c>
      <c r="BQ104" s="77">
        <f t="shared" si="139"/>
        <v>32305.544982092048</v>
      </c>
      <c r="BR104" s="40">
        <f t="shared" si="140"/>
        <v>17631.580000000002</v>
      </c>
      <c r="BS104" s="55">
        <f t="shared" si="110"/>
        <v>-14673.964982092046</v>
      </c>
      <c r="BT104" s="566">
        <f>VLOOKUP($A104,'01-02.2021'!$A$6:$CZ$403,72,FALSE)+VLOOKUP($A104,'1.3.21-28.2.22'!$A$6:$DA$404,72,FALSE)-VLOOKUP($A104,'01-02.2022'!$A$6:$DA$376,72,FALSE)</f>
        <v>112933.32267994559</v>
      </c>
      <c r="BU104" s="566">
        <f>VLOOKUP($A104,'01-02.2021'!$A$6:$CZ$403,73,FALSE)+VLOOKUP($A104,'1.3.21-28.2.22'!$A$6:$DA$404,73,FALSE)-VLOOKUP($A104,'01-02.2022'!$A$6:$DA$376,73,FALSE)</f>
        <v>126691.9670013283</v>
      </c>
      <c r="BV104" s="70">
        <f t="shared" si="128"/>
        <v>13758.644321382715</v>
      </c>
      <c r="BW104" s="566">
        <f>VLOOKUP($A104,'01-02.2021'!$A$6:$CZ$403,75,FALSE)+VLOOKUP($A104,'1.3.21-28.2.22'!$A$6:$DA$404,75,FALSE)-VLOOKUP($A104,'01-02.2022'!$A$6:$DA$376,75,FALSE)</f>
        <v>74516.178205337186</v>
      </c>
      <c r="BX104" s="566">
        <f>VLOOKUP($A104,'01-02.2021'!$A$6:$CZ$403,76,FALSE)+VLOOKUP($A104,'1.3.21-28.2.22'!$A$6:$DA$404,76,FALSE)-VLOOKUP($A104,'01-02.2022'!$A$6:$DA$376,76,FALSE)</f>
        <v>76391.077665296922</v>
      </c>
      <c r="BY104" s="70">
        <f t="shared" si="129"/>
        <v>1874.8994599597354</v>
      </c>
      <c r="BZ104" s="566">
        <f>VLOOKUP($A104,'01-02.2021'!$A$6:$CZ$403,78,FALSE)+VLOOKUP($A104,'1.3.21-28.2.22'!$A$6:$DA$404,78,FALSE)-VLOOKUP($A104,'01-02.2022'!$A$6:$DA$376,78,FALSE)</f>
        <v>27713.597875730309</v>
      </c>
      <c r="CA104" s="566">
        <f>VLOOKUP($A104,'01-02.2021'!$A$6:$CZ$403,79,FALSE)+VLOOKUP($A104,'1.3.21-28.2.22'!$A$6:$DA$404,79,FALSE)-VLOOKUP($A104,'01-02.2022'!$A$6:$DA$376,79,FALSE)</f>
        <v>28463.607153788165</v>
      </c>
      <c r="CB104" s="70">
        <f t="shared" si="130"/>
        <v>750.00927805785614</v>
      </c>
      <c r="CC104" s="566">
        <f>VLOOKUP($A104,'01-02.2021'!$A$6:$CZ$403,81,FALSE)+VLOOKUP($A104,'1.3.21-28.2.22'!$A$6:$DA$404,81,FALSE)-VLOOKUP($A104,'01-02.2022'!$A$6:$DA$376,81,FALSE)</f>
        <v>2717.6861648450094</v>
      </c>
      <c r="CD104" s="566">
        <f>VLOOKUP($A104,'01-02.2021'!$A$6:$CZ$403,82,FALSE)+VLOOKUP($A104,'1.3.21-28.2.22'!$A$6:$DA$404,82,FALSE)-VLOOKUP($A104,'01-02.2022'!$A$6:$DA$376,82,FALSE)</f>
        <v>2959.9754248500826</v>
      </c>
      <c r="CE104" s="70">
        <f t="shared" si="131"/>
        <v>242.28926000507317</v>
      </c>
      <c r="CF104" s="566">
        <f>VLOOKUP($A104,'01-02.2021'!$A$6:$CZ$403,84,FALSE)+VLOOKUP($A104,'1.3.21-28.2.22'!$A$6:$DA$404,84,FALSE)-VLOOKUP($A104,'01-02.2022'!$A$6:$DA$376,84,FALSE)</f>
        <v>329.22990282443294</v>
      </c>
      <c r="CG104" s="566">
        <f>VLOOKUP($A104,'01-02.2021'!$A$6:$CZ$403,85,FALSE)+VLOOKUP($A104,'1.3.21-28.2.22'!$A$6:$DA$404,85,FALSE)-VLOOKUP($A104,'01-02.2022'!$A$6:$DA$376,85,FALSE)</f>
        <v>0</v>
      </c>
      <c r="CH104" s="70">
        <f t="shared" si="132"/>
        <v>-329.22990282443294</v>
      </c>
      <c r="CI104" s="566">
        <f>VLOOKUP($A104,'01-02.2021'!$A$6:$CZ$403,87,FALSE)+VLOOKUP($A104,'1.3.21-28.2.22'!$A$6:$DA$404,87,FALSE)-VLOOKUP($A104,'01-02.2022'!$A$6:$DA$376,87,FALSE)</f>
        <v>23849.929983695445</v>
      </c>
      <c r="CJ104" s="566">
        <f>VLOOKUP($A104,'01-02.2021'!$A$6:$CZ$403,88,FALSE)+VLOOKUP($A104,'1.3.21-28.2.22'!$A$6:$DA$404,88,FALSE)-VLOOKUP($A104,'01-02.2022'!$A$6:$DA$376,88,FALSE)</f>
        <v>22323.390362754944</v>
      </c>
      <c r="CK104" s="70">
        <f t="shared" si="133"/>
        <v>-1526.5396209405008</v>
      </c>
      <c r="CL104" s="566">
        <f>VLOOKUP($A104,'01-02.2021'!$A$6:$CZ$403,90,FALSE)+VLOOKUP($A104,'1.3.21-28.2.22'!$A$6:$DA$404,90,FALSE)-VLOOKUP($A104,'01-02.2022'!$A$6:$DA$376,90,FALSE)</f>
        <v>35750.742141013121</v>
      </c>
      <c r="CM104" s="566">
        <f>VLOOKUP($A104,'01-02.2021'!$A$6:$CZ$403,91,FALSE)+VLOOKUP($A104,'1.3.21-28.2.22'!$A$6:$DA$404,91,FALSE)-VLOOKUP($A104,'01-02.2022'!$A$6:$DA$376,91,FALSE)</f>
        <v>33488.159361149061</v>
      </c>
      <c r="CN104" s="52">
        <f t="shared" si="97"/>
        <v>-2262.5827798640603</v>
      </c>
      <c r="CO104" s="39">
        <f t="shared" si="89"/>
        <v>59600.672124708566</v>
      </c>
      <c r="CP104" s="40">
        <f t="shared" si="98"/>
        <v>55811.549723904005</v>
      </c>
      <c r="CQ104" s="52">
        <f t="shared" si="99"/>
        <v>-3789.122400804561</v>
      </c>
      <c r="CR104" s="72">
        <f t="shared" si="90"/>
        <v>637568.84054224868</v>
      </c>
      <c r="CS104" s="5">
        <f t="shared" si="90"/>
        <v>634035.96530403872</v>
      </c>
      <c r="CT104" s="52">
        <f t="shared" si="100"/>
        <v>-3532.8752382099628</v>
      </c>
      <c r="CU104" s="77">
        <f t="shared" si="101"/>
        <v>765082.60865069844</v>
      </c>
      <c r="CV104" s="65">
        <f t="shared" si="102"/>
        <v>760843.15836484649</v>
      </c>
      <c r="CW104" s="35">
        <f t="shared" si="103"/>
        <v>-4239.4502858519554</v>
      </c>
      <c r="CX104" s="566">
        <f>VLOOKUP($A104,'01-02.2021'!$A$6:$CZ$403,102,FALSE)+VLOOKUP($A104,'1.3.21-28.2.22'!$A$6:$DA$404,102,FALSE)-VLOOKUP($A104,'01-02.2022'!$A$6:$DA$376,102,FALSE)</f>
        <v>26710.547826268801</v>
      </c>
      <c r="CY104" s="566">
        <f>VLOOKUP($A104,'01-02.2021'!$A$6:$CZ$403,103,FALSE)+VLOOKUP($A104,'1.3.21-28.2.22'!$A$6:$DA$404,103,FALSE)-VLOOKUP($A104,'01-02.2022'!$A$6:$DA$376,103,FALSE)</f>
        <v>30949.998112121226</v>
      </c>
      <c r="CZ104" s="52">
        <f t="shared" si="104"/>
        <v>4239.4502858524247</v>
      </c>
      <c r="DA104" s="150">
        <f>'[2]побудинковий звіт'!DA104</f>
        <v>-5318.0002201750249</v>
      </c>
      <c r="DB104" s="2">
        <v>1</v>
      </c>
      <c r="DC104" s="414">
        <f>'[4]побудинковий звіт'!DC104</f>
        <v>125092.52</v>
      </c>
      <c r="DD104" s="414">
        <f>'[4]побудинковий звіт'!DD104</f>
        <v>1820.72</v>
      </c>
      <c r="DE104" s="557">
        <f>'[4]побудинковий звіт'!DE104</f>
        <v>53529.219381615752</v>
      </c>
      <c r="DF104" s="557">
        <f>'[4]побудинковий звіт'!DF104</f>
        <v>1614.3640670942668</v>
      </c>
      <c r="DG104" s="321">
        <f>VLOOKUP(A104,'кошти 01.03.2021'!$A$6:$D$401,4,)</f>
        <v>41168.366071552715</v>
      </c>
      <c r="DH104" s="40">
        <f>'[3]побудинковий звіт'!DJ104</f>
        <v>819150.43038338632</v>
      </c>
      <c r="DI104" s="422">
        <f>'[3]побудинковий звіт'!CU104+'[3]побудинковий звіт'!CX104</f>
        <v>71769.656551289983</v>
      </c>
      <c r="DJ104" s="306">
        <f>'[3]побудинковий звіт'!DM104</f>
        <v>6.1471917140243795</v>
      </c>
      <c r="DK104" s="306">
        <f>'[3]побудинковий звіт'!DN104</f>
        <v>7.5380650430600795</v>
      </c>
      <c r="DL104" s="306">
        <f>'[3]побудинковий звіт'!DO104</f>
        <v>5.2374602260338383</v>
      </c>
      <c r="DM104" s="28">
        <f>DJ104*G104+(F104-G104)*DK104</f>
        <v>71563.300618384252</v>
      </c>
      <c r="DN104" s="28">
        <f>DL104*H104</f>
        <v>206.35593290573323</v>
      </c>
      <c r="DO104" s="423">
        <f t="shared" si="105"/>
        <v>71769.656551289983</v>
      </c>
      <c r="DP104" s="94">
        <f t="shared" si="106"/>
        <v>0</v>
      </c>
      <c r="DQ104" s="28">
        <f t="shared" si="107"/>
        <v>71769.656551289983</v>
      </c>
      <c r="DR104" s="318"/>
      <c r="DT104" s="8"/>
      <c r="DU104" s="5"/>
      <c r="DX104" s="5">
        <f t="shared" si="108"/>
        <v>201122.40263466959</v>
      </c>
      <c r="DY104" s="5">
        <f t="shared" si="109"/>
        <v>192707.03566430678</v>
      </c>
      <c r="DZ104" s="159">
        <f>'[3]побудинковий звіт'!EA104</f>
        <v>18848.916775345057</v>
      </c>
    </row>
    <row r="105" spans="1:130" x14ac:dyDescent="0.3">
      <c r="A105" s="325">
        <v>150000599</v>
      </c>
      <c r="B105" s="41" t="s">
        <v>554</v>
      </c>
      <c r="C105" s="42" t="s">
        <v>78</v>
      </c>
      <c r="D105" s="42"/>
      <c r="E105" s="293">
        <f t="shared" si="85"/>
        <v>250.4</v>
      </c>
      <c r="F105" s="305">
        <f>'[3]побудинковий звіт'!F105</f>
        <v>250.4</v>
      </c>
      <c r="G105" s="508">
        <f>'[3]побудинковий звіт'!G105</f>
        <v>0</v>
      </c>
      <c r="H105" s="560">
        <f>'[3]побудинковий звіт'!H105</f>
        <v>0</v>
      </c>
      <c r="I105" s="566">
        <f>VLOOKUP($A105,'01-02.2021'!$A$6:$CZ$403,9,FALSE)+VLOOKUP($A105,'1.3.21-28.2.22'!$A$6:$DA$404,9,FALSE)-VLOOKUP($A105,'01-02.2022'!$A$6:$DA$376,9,FALSE)</f>
        <v>0</v>
      </c>
      <c r="J105" s="566">
        <f>VLOOKUP($A105,'01-02.2021'!$A$6:$CZ$403,10,FALSE)+VLOOKUP($A105,'1.3.21-28.2.22'!$A$6:$DA$404,10,FALSE)-VLOOKUP($A105,'01-02.2022'!$A$6:$DA$376,10,FALSE)</f>
        <v>0</v>
      </c>
      <c r="K105" s="52">
        <f t="shared" si="94"/>
        <v>0</v>
      </c>
      <c r="L105" s="566">
        <f>VLOOKUP($A105,'01-02.2021'!$A$6:$CZ$403,12,FALSE)+VLOOKUP($A105,'1.3.21-28.2.22'!$A$6:$DA$404,12,FALSE)-VLOOKUP($A105,'01-02.2022'!$A$6:$DA$376,12,FALSE)</f>
        <v>0</v>
      </c>
      <c r="M105" s="566">
        <f>VLOOKUP($A105,'01-02.2021'!$A$6:$CZ$403,13,FALSE)+VLOOKUP($A105,'1.3.21-28.2.22'!$A$6:$DA$404,13,FALSE)-VLOOKUP($A105,'01-02.2022'!$A$6:$DA$376,13,FALSE)</f>
        <v>0</v>
      </c>
      <c r="N105" s="52">
        <f t="shared" si="95"/>
        <v>0</v>
      </c>
      <c r="O105" s="566">
        <f>VLOOKUP($A105,'01-02.2021'!$A$6:$CZ$403,15,FALSE)+VLOOKUP($A105,'1.3.21-28.2.22'!$A$6:$DA$404,15,FALSE)-VLOOKUP($A105,'01-02.2022'!$A$6:$DA$376,15,FALSE)</f>
        <v>0</v>
      </c>
      <c r="P105" s="566">
        <f>VLOOKUP($A105,'01-02.2021'!$A$6:$CZ$403,16,FALSE)+VLOOKUP($A105,'1.3.21-28.2.22'!$A$6:$DA$404,16,FALSE)-VLOOKUP($A105,'01-02.2022'!$A$6:$DA$376,16,FALSE)</f>
        <v>0</v>
      </c>
      <c r="Q105" s="70">
        <f t="shared" si="111"/>
        <v>0</v>
      </c>
      <c r="R105" s="566">
        <f>VLOOKUP($A105,'01-02.2021'!$A$6:$CZ$403,18,FALSE)+VLOOKUP($A105,'1.3.21-28.2.22'!$A$6:$DA$404,18,FALSE)-VLOOKUP($A105,'01-02.2022'!$A$6:$DA$376,18,FALSE)</f>
        <v>0</v>
      </c>
      <c r="S105" s="566">
        <f>VLOOKUP($A105,'01-02.2021'!$A$6:$CZ$403,19,FALSE)+VLOOKUP($A105,'1.3.21-28.2.22'!$A$6:$DA$404,19,FALSE)-VLOOKUP($A105,'01-02.2022'!$A$6:$DA$376,19,FALSE)</f>
        <v>0</v>
      </c>
      <c r="T105" s="70">
        <f t="shared" si="112"/>
        <v>0</v>
      </c>
      <c r="U105" s="566">
        <f>VLOOKUP($A105,'01-02.2021'!$A$6:$CZ$403,21,FALSE)+VLOOKUP($A105,'1.3.21-28.2.22'!$A$6:$DA$404,21,FALSE)-VLOOKUP($A105,'01-02.2022'!$A$6:$DA$376,21,FALSE)</f>
        <v>0</v>
      </c>
      <c r="V105" s="566">
        <f>VLOOKUP($A105,'01-02.2021'!$A$6:$CZ$403,22,FALSE)+VLOOKUP($A105,'1.3.21-28.2.22'!$A$6:$DA$404,22,FALSE)-VLOOKUP($A105,'01-02.2022'!$A$6:$DA$376,22,FALSE)</f>
        <v>0</v>
      </c>
      <c r="W105" s="70">
        <f t="shared" si="113"/>
        <v>0</v>
      </c>
      <c r="X105" s="566">
        <f>VLOOKUP($A105,'01-02.2021'!$A$6:$CZ$403,24,FALSE)+VLOOKUP($A105,'1.3.21-28.2.22'!$A$6:$DA$404,24,FALSE)-VLOOKUP($A105,'01-02.2022'!$A$6:$DA$376,24,FALSE)</f>
        <v>0</v>
      </c>
      <c r="Y105" s="566">
        <f>VLOOKUP($A105,'01-02.2021'!$A$6:$CZ$403,25,FALSE)+VLOOKUP($A105,'1.3.21-28.2.22'!$A$6:$DA$404,25,FALSE)-VLOOKUP($A105,'01-02.2022'!$A$6:$DA$376,25,FALSE)</f>
        <v>0</v>
      </c>
      <c r="Z105" s="70">
        <f t="shared" si="114"/>
        <v>0</v>
      </c>
      <c r="AA105" s="566">
        <f>VLOOKUP($A105,'01-02.2021'!$A$6:$CZ$403,27,FALSE)+VLOOKUP($A105,'1.3.21-28.2.22'!$A$6:$DA$404,27,FALSE)-VLOOKUP($A105,'01-02.2022'!$A$6:$DA$376,27,FALSE)</f>
        <v>50.08</v>
      </c>
      <c r="AB105" s="566">
        <f>VLOOKUP($A105,'01-02.2021'!$A$6:$CZ$403,28,FALSE)+VLOOKUP($A105,'1.3.21-28.2.22'!$A$6:$DA$404,28,FALSE)-VLOOKUP($A105,'01-02.2022'!$A$6:$DA$376,28,FALSE)</f>
        <v>0</v>
      </c>
      <c r="AC105" s="70">
        <f t="shared" si="115"/>
        <v>-50.08</v>
      </c>
      <c r="AD105" s="566">
        <f>VLOOKUP($A105,'01-02.2021'!$A$6:$CZ$403,30,FALSE)+VLOOKUP($A105,'1.3.21-28.2.22'!$A$6:$DA$404,30,FALSE)-VLOOKUP($A105,'01-02.2022'!$A$6:$DA$376,30,FALSE)</f>
        <v>400.85259914501262</v>
      </c>
      <c r="AE105" s="566">
        <f>VLOOKUP($A105,'01-02.2021'!$A$6:$CZ$403,31,FALSE)+VLOOKUP($A105,'1.3.21-28.2.22'!$A$6:$DA$404,31,FALSE)-VLOOKUP($A105,'01-02.2022'!$A$6:$DA$376,31,FALSE)</f>
        <v>1139.8308891794891</v>
      </c>
      <c r="AF105" s="68">
        <f t="shared" si="116"/>
        <v>738.97829003447646</v>
      </c>
      <c r="AG105" s="77">
        <f t="shared" si="86"/>
        <v>450.9325991450126</v>
      </c>
      <c r="AH105" s="53">
        <f t="shared" si="86"/>
        <v>1139.8308891794891</v>
      </c>
      <c r="AI105" s="52">
        <f t="shared" si="96"/>
        <v>688.89829003447653</v>
      </c>
      <c r="AJ105" s="566">
        <f>VLOOKUP($A105,'01-02.2021'!$A$6:$CZ$403,36,FALSE)+VLOOKUP($A105,'1.3.21-28.2.22'!$A$6:$DA$404,36,FALSE)-VLOOKUP($A105,'01-02.2022'!$A$6:$DA$376,36,FALSE)</f>
        <v>0</v>
      </c>
      <c r="AK105" s="566">
        <f>VLOOKUP($A105,'01-02.2021'!$A$6:$CZ$403,37,FALSE)+VLOOKUP($A105,'1.3.21-28.2.22'!$A$6:$DA$404,37,FALSE)-VLOOKUP($A105,'01-02.2022'!$A$6:$DA$376,37,FALSE)</f>
        <v>0</v>
      </c>
      <c r="AL105" s="70">
        <f t="shared" si="117"/>
        <v>0</v>
      </c>
      <c r="AM105" s="566">
        <f>VLOOKUP($A105,'01-02.2021'!$A$6:$CZ$403,39,FALSE)+VLOOKUP($A105,'1.3.21-28.2.22'!$A$6:$DA$404,39,FALSE)-VLOOKUP($A105,'01-02.2022'!$A$6:$DA$376,39,FALSE)</f>
        <v>0</v>
      </c>
      <c r="AN105" s="566">
        <f>VLOOKUP($A105,'01-02.2021'!$A$6:$CZ$403,40,FALSE)+VLOOKUP($A105,'1.3.21-28.2.22'!$A$6:$DA$404,40,FALSE)-VLOOKUP($A105,'01-02.2022'!$A$6:$DA$376,40,FALSE)</f>
        <v>0</v>
      </c>
      <c r="AO105" s="70">
        <f t="shared" si="118"/>
        <v>0</v>
      </c>
      <c r="AP105" s="566">
        <f>VLOOKUP($A105,'01-02.2021'!$A$6:$CZ$403,42,FALSE)+VLOOKUP($A105,'1.3.21-28.2.22'!$A$6:$DA$404,42,FALSE)-VLOOKUP($A105,'01-02.2022'!$A$6:$DA$376,42,FALSE)</f>
        <v>650.699906265972</v>
      </c>
      <c r="AQ105" s="566">
        <f>VLOOKUP($A105,'01-02.2021'!$A$6:$CZ$403,43,FALSE)+VLOOKUP($A105,'1.3.21-28.2.22'!$A$6:$DA$404,43,FALSE)-VLOOKUP($A105,'01-02.2022'!$A$6:$DA$376,43,FALSE)</f>
        <v>561.61674142906304</v>
      </c>
      <c r="AR105" s="70">
        <f t="shared" si="119"/>
        <v>-89.083164836908963</v>
      </c>
      <c r="AS105" s="566">
        <f>VLOOKUP($A105,'01-02.2021'!$A$6:$CZ$403,45,FALSE)+VLOOKUP($A105,'1.3.21-28.2.22'!$A$6:$DA$404,45,FALSE)-VLOOKUP($A105,'01-02.2022'!$A$6:$DA$376,45,FALSE)</f>
        <v>2712.2539501898377</v>
      </c>
      <c r="AT105" s="566">
        <f>VLOOKUP($A105,'01-02.2021'!$A$6:$CZ$403,46,FALSE)+VLOOKUP($A105,'1.3.21-28.2.22'!$A$6:$DA$404,46,FALSE)-VLOOKUP($A105,'01-02.2022'!$A$6:$DA$376,46,FALSE)</f>
        <v>2297</v>
      </c>
      <c r="AU105" s="78">
        <f t="shared" si="120"/>
        <v>-415.25395018983772</v>
      </c>
      <c r="AV105" s="566">
        <f>VLOOKUP($A105,'01-02.2021'!$A$6:$CZ$403,48,FALSE)+VLOOKUP($A105,'1.3.21-28.2.22'!$A$6:$DA$404,48,FALSE)-VLOOKUP($A105,'01-02.2022'!$A$6:$DA$376,48,FALSE)</f>
        <v>0</v>
      </c>
      <c r="AW105" s="566">
        <f>VLOOKUP($A105,'01-02.2021'!$A$6:$CZ$403,49,FALSE)+VLOOKUP($A105,'1.3.21-28.2.22'!$A$6:$DA$404,49,FALSE)-VLOOKUP($A105,'01-02.2022'!$A$6:$DA$376,49,FALSE)</f>
        <v>0</v>
      </c>
      <c r="AX105" s="55">
        <f t="shared" si="121"/>
        <v>0</v>
      </c>
      <c r="AY105" s="566">
        <f>VLOOKUP($A105,'01-02.2021'!$A$6:$CZ$403,51,FALSE)+VLOOKUP($A105,'1.3.21-28.2.22'!$A$6:$DA$404,51,FALSE)-VLOOKUP($A105,'01-02.2022'!$A$6:$DA$376,51,FALSE)</f>
        <v>0</v>
      </c>
      <c r="AZ105" s="566">
        <f>VLOOKUP($A105,'01-02.2021'!$A$6:$CZ$403,52,FALSE)+VLOOKUP($A105,'1.3.21-28.2.22'!$A$6:$DA$404,52,FALSE)-VLOOKUP($A105,'01-02.2022'!$A$6:$DA$376,52,FALSE)</f>
        <v>0</v>
      </c>
      <c r="BA105" s="38">
        <f t="shared" si="122"/>
        <v>0</v>
      </c>
      <c r="BB105" s="566">
        <f>VLOOKUP($A105,'01-02.2021'!$A$6:$CZ$403,54,FALSE)+VLOOKUP($A105,'1.3.21-28.2.22'!$A$6:$DA$404,54,FALSE)-VLOOKUP($A105,'01-02.2022'!$A$6:$DA$376,54,FALSE)</f>
        <v>0</v>
      </c>
      <c r="BC105" s="566">
        <f>VLOOKUP($A105,'01-02.2021'!$A$6:$CZ$403,55,FALSE)+VLOOKUP($A105,'1.3.21-28.2.22'!$A$6:$DA$404,55,FALSE)-VLOOKUP($A105,'01-02.2022'!$A$6:$DA$376,55,FALSE)</f>
        <v>0</v>
      </c>
      <c r="BD105" s="55">
        <f t="shared" si="123"/>
        <v>0</v>
      </c>
      <c r="BE105" s="566">
        <f>VLOOKUP($A105,'01-02.2021'!$A$6:$CZ$403,57,FALSE)+VLOOKUP($A105,'1.3.21-28.2.22'!$A$6:$DA$404,57,FALSE)-VLOOKUP($A105,'01-02.2022'!$A$6:$DA$376,57,FALSE)</f>
        <v>0</v>
      </c>
      <c r="BF105" s="566">
        <f>VLOOKUP($A105,'01-02.2021'!$A$6:$CZ$403,58,FALSE)+VLOOKUP($A105,'1.3.21-28.2.22'!$A$6:$DA$404,58,FALSE)-VLOOKUP($A105,'01-02.2022'!$A$6:$DA$376,58,FALSE)</f>
        <v>0</v>
      </c>
      <c r="BG105" s="55">
        <f t="shared" si="124"/>
        <v>0</v>
      </c>
      <c r="BH105" s="566">
        <f>VLOOKUP($A105,'01-02.2021'!$A$6:$CZ$403,60,FALSE)+VLOOKUP($A105,'1.3.21-28.2.22'!$A$6:$DA$404,60,FALSE)-VLOOKUP($A105,'01-02.2022'!$A$6:$DA$376,60,FALSE)</f>
        <v>0</v>
      </c>
      <c r="BI105" s="566">
        <f>VLOOKUP($A105,'01-02.2021'!$A$6:$CZ$403,61,FALSE)+VLOOKUP($A105,'1.3.21-28.2.22'!$A$6:$DA$404,61,FALSE)-VLOOKUP($A105,'01-02.2022'!$A$6:$DA$376,61,FALSE)</f>
        <v>0</v>
      </c>
      <c r="BJ105" s="55">
        <f t="shared" si="125"/>
        <v>0</v>
      </c>
      <c r="BK105" s="566">
        <f>VLOOKUP($A105,'01-02.2021'!$A$6:$CZ$403,63,FALSE)+VLOOKUP($A105,'1.3.21-28.2.22'!$A$6:$DA$404,63,FALSE)-VLOOKUP($A105,'01-02.2022'!$A$6:$DA$376,63,FALSE)</f>
        <v>0</v>
      </c>
      <c r="BL105" s="566">
        <f>VLOOKUP($A105,'01-02.2021'!$A$6:$CZ$403,64,FALSE)+VLOOKUP($A105,'1.3.21-28.2.22'!$A$6:$DA$404,64,FALSE)-VLOOKUP($A105,'01-02.2022'!$A$6:$DA$376,64,FALSE)</f>
        <v>0</v>
      </c>
      <c r="BM105" s="55">
        <f t="shared" si="126"/>
        <v>0</v>
      </c>
      <c r="BN105" s="566">
        <f>VLOOKUP($A105,'01-02.2021'!$A$6:$CZ$403,66,FALSE)+VLOOKUP($A105,'1.3.21-28.2.22'!$A$6:$DA$404,66,FALSE)-VLOOKUP($A105,'01-02.2022'!$A$6:$DA$376,66,FALSE)</f>
        <v>20.451813950771779</v>
      </c>
      <c r="BO105" s="566">
        <f>VLOOKUP($A105,'01-02.2021'!$A$6:$CZ$403,67,FALSE)+VLOOKUP($A105,'1.3.21-28.2.22'!$A$6:$DA$404,67,FALSE)-VLOOKUP($A105,'01-02.2022'!$A$6:$DA$376,67,FALSE)</f>
        <v>0</v>
      </c>
      <c r="BP105" s="55">
        <f t="shared" si="127"/>
        <v>-20.451813950771779</v>
      </c>
      <c r="BQ105" s="77">
        <f t="shared" si="139"/>
        <v>20.451813950771779</v>
      </c>
      <c r="BR105" s="40">
        <f t="shared" si="140"/>
        <v>0</v>
      </c>
      <c r="BS105" s="55">
        <f t="shared" si="110"/>
        <v>-20.451813950771779</v>
      </c>
      <c r="BT105" s="566">
        <f>VLOOKUP($A105,'01-02.2021'!$A$6:$CZ$403,72,FALSE)+VLOOKUP($A105,'1.3.21-28.2.22'!$A$6:$DA$404,72,FALSE)-VLOOKUP($A105,'01-02.2022'!$A$6:$DA$376,72,FALSE)</f>
        <v>865.36022227680962</v>
      </c>
      <c r="BU105" s="566">
        <f>VLOOKUP($A105,'01-02.2021'!$A$6:$CZ$403,73,FALSE)+VLOOKUP($A105,'1.3.21-28.2.22'!$A$6:$DA$404,73,FALSE)-VLOOKUP($A105,'01-02.2022'!$A$6:$DA$376,73,FALSE)</f>
        <v>1342.5726856161707</v>
      </c>
      <c r="BV105" s="70">
        <f t="shared" si="128"/>
        <v>477.21246333936108</v>
      </c>
      <c r="BW105" s="566">
        <f>VLOOKUP($A105,'01-02.2021'!$A$6:$CZ$403,75,FALSE)+VLOOKUP($A105,'1.3.21-28.2.22'!$A$6:$DA$404,75,FALSE)-VLOOKUP($A105,'01-02.2022'!$A$6:$DA$376,75,FALSE)</f>
        <v>0</v>
      </c>
      <c r="BX105" s="566">
        <f>VLOOKUP($A105,'01-02.2021'!$A$6:$CZ$403,76,FALSE)+VLOOKUP($A105,'1.3.21-28.2.22'!$A$6:$DA$404,76,FALSE)-VLOOKUP($A105,'01-02.2022'!$A$6:$DA$376,76,FALSE)</f>
        <v>5.6118622847407487</v>
      </c>
      <c r="BY105" s="70">
        <f t="shared" si="129"/>
        <v>5.6118622847407487</v>
      </c>
      <c r="BZ105" s="566">
        <f>VLOOKUP($A105,'01-02.2021'!$A$6:$CZ$403,78,FALSE)+VLOOKUP($A105,'1.3.21-28.2.22'!$A$6:$DA$404,78,FALSE)-VLOOKUP($A105,'01-02.2022'!$A$6:$DA$376,78,FALSE)</f>
        <v>0</v>
      </c>
      <c r="CA105" s="566">
        <f>VLOOKUP($A105,'01-02.2021'!$A$6:$CZ$403,79,FALSE)+VLOOKUP($A105,'1.3.21-28.2.22'!$A$6:$DA$404,79,FALSE)-VLOOKUP($A105,'01-02.2022'!$A$6:$DA$376,79,FALSE)</f>
        <v>250.61627556762249</v>
      </c>
      <c r="CB105" s="70">
        <f t="shared" si="130"/>
        <v>250.61627556762249</v>
      </c>
      <c r="CC105" s="566">
        <f>VLOOKUP($A105,'01-02.2021'!$A$6:$CZ$403,81,FALSE)+VLOOKUP($A105,'1.3.21-28.2.22'!$A$6:$DA$404,81,FALSE)-VLOOKUP($A105,'01-02.2022'!$A$6:$DA$376,81,FALSE)</f>
        <v>0</v>
      </c>
      <c r="CD105" s="566">
        <f>VLOOKUP($A105,'01-02.2021'!$A$6:$CZ$403,82,FALSE)+VLOOKUP($A105,'1.3.21-28.2.22'!$A$6:$DA$404,82,FALSE)-VLOOKUP($A105,'01-02.2022'!$A$6:$DA$376,82,FALSE)</f>
        <v>0</v>
      </c>
      <c r="CE105" s="70">
        <f t="shared" si="131"/>
        <v>0</v>
      </c>
      <c r="CF105" s="566">
        <f>VLOOKUP($A105,'01-02.2021'!$A$6:$CZ$403,84,FALSE)+VLOOKUP($A105,'1.3.21-28.2.22'!$A$6:$DA$404,84,FALSE)-VLOOKUP($A105,'01-02.2022'!$A$6:$DA$376,84,FALSE)</f>
        <v>0</v>
      </c>
      <c r="CG105" s="566">
        <f>VLOOKUP($A105,'01-02.2021'!$A$6:$CZ$403,85,FALSE)+VLOOKUP($A105,'1.3.21-28.2.22'!$A$6:$DA$404,85,FALSE)-VLOOKUP($A105,'01-02.2022'!$A$6:$DA$376,85,FALSE)</f>
        <v>0</v>
      </c>
      <c r="CH105" s="70">
        <f t="shared" si="132"/>
        <v>0</v>
      </c>
      <c r="CI105" s="566">
        <f>VLOOKUP($A105,'01-02.2021'!$A$6:$CZ$403,87,FALSE)+VLOOKUP($A105,'1.3.21-28.2.22'!$A$6:$DA$404,87,FALSE)-VLOOKUP($A105,'01-02.2022'!$A$6:$DA$376,87,FALSE)</f>
        <v>0</v>
      </c>
      <c r="CJ105" s="566">
        <f>VLOOKUP($A105,'01-02.2021'!$A$6:$CZ$403,88,FALSE)+VLOOKUP($A105,'1.3.21-28.2.22'!$A$6:$DA$404,88,FALSE)-VLOOKUP($A105,'01-02.2022'!$A$6:$DA$376,88,FALSE)</f>
        <v>0</v>
      </c>
      <c r="CK105" s="70">
        <f t="shared" si="133"/>
        <v>0</v>
      </c>
      <c r="CL105" s="566">
        <f>VLOOKUP($A105,'01-02.2021'!$A$6:$CZ$403,90,FALSE)+VLOOKUP($A105,'1.3.21-28.2.22'!$A$6:$DA$404,90,FALSE)-VLOOKUP($A105,'01-02.2022'!$A$6:$DA$376,90,FALSE)</f>
        <v>0</v>
      </c>
      <c r="CM105" s="566">
        <f>VLOOKUP($A105,'01-02.2021'!$A$6:$CZ$403,91,FALSE)+VLOOKUP($A105,'1.3.21-28.2.22'!$A$6:$DA$404,91,FALSE)-VLOOKUP($A105,'01-02.2022'!$A$6:$DA$376,91,FALSE)</f>
        <v>0</v>
      </c>
      <c r="CN105" s="52">
        <f t="shared" si="97"/>
        <v>0</v>
      </c>
      <c r="CO105" s="39">
        <f t="shared" si="89"/>
        <v>0</v>
      </c>
      <c r="CP105" s="40">
        <f t="shared" si="98"/>
        <v>0</v>
      </c>
      <c r="CQ105" s="52">
        <f t="shared" si="99"/>
        <v>0</v>
      </c>
      <c r="CR105" s="72">
        <f t="shared" si="90"/>
        <v>4699.6984918284033</v>
      </c>
      <c r="CS105" s="5">
        <f t="shared" si="90"/>
        <v>5597.2484540770856</v>
      </c>
      <c r="CT105" s="52">
        <f t="shared" si="100"/>
        <v>897.54996224868228</v>
      </c>
      <c r="CU105" s="77">
        <f t="shared" si="101"/>
        <v>5639.638190194084</v>
      </c>
      <c r="CV105" s="65">
        <f t="shared" si="102"/>
        <v>6716.6981448925026</v>
      </c>
      <c r="CW105" s="35">
        <f t="shared" si="103"/>
        <v>1077.0599546984186</v>
      </c>
      <c r="CX105" s="566">
        <f>VLOOKUP($A105,'01-02.2021'!$A$6:$CZ$403,102,FALSE)+VLOOKUP($A105,'1.3.21-28.2.22'!$A$6:$DA$404,102,FALSE)-VLOOKUP($A105,'01-02.2022'!$A$6:$DA$376,102,FALSE)</f>
        <v>196.68975662858648</v>
      </c>
      <c r="CY105" s="566">
        <f>VLOOKUP($A105,'01-02.2021'!$A$6:$CZ$403,103,FALSE)+VLOOKUP($A105,'1.3.21-28.2.22'!$A$6:$DA$404,103,FALSE)-VLOOKUP($A105,'01-02.2022'!$A$6:$DA$376,103,FALSE)</f>
        <v>-880.37019806983199</v>
      </c>
      <c r="CZ105" s="52">
        <f t="shared" si="104"/>
        <v>-1077.0599546984186</v>
      </c>
      <c r="DA105" s="150">
        <f>'[2]побудинковий звіт'!DA105</f>
        <v>11885.851297166473</v>
      </c>
      <c r="DB105" s="2">
        <v>1</v>
      </c>
      <c r="DC105" s="414">
        <f>'[4]побудинковий звіт'!DC105</f>
        <v>231.76</v>
      </c>
      <c r="DD105" s="414">
        <f>'[4]побудинковий звіт'!DD105</f>
        <v>0</v>
      </c>
      <c r="DE105" s="557">
        <f>'[4]побудинковий звіт'!DE105</f>
        <v>-298.34225279170539</v>
      </c>
      <c r="DF105" s="557">
        <f>'[4]побудинковий звіт'!DF105</f>
        <v>0</v>
      </c>
      <c r="DG105" s="321">
        <f>VLOOKUP(A105,'кошти 01.03.2021'!$A$6:$D$401,4,)</f>
        <v>11350.631065588368</v>
      </c>
      <c r="DH105" s="40">
        <f>'[3]побудинковий звіт'!DJ105</f>
        <v>6043.2041446522035</v>
      </c>
      <c r="DI105" s="422">
        <f>'[3]побудинковий звіт'!CU105+'[3]побудинковий звіт'!CX105</f>
        <v>530.10225279170538</v>
      </c>
      <c r="DJ105" s="306">
        <f>'[3]побудинковий звіт'!DM105</f>
        <v>2.1170217763247021</v>
      </c>
      <c r="DK105" s="306">
        <f t="shared" ref="DK105:DK107" si="142">DJ105</f>
        <v>2.1170217763247021</v>
      </c>
      <c r="DL105" s="306">
        <f>'[3]побудинковий звіт'!DO105</f>
        <v>2.1170217763247021</v>
      </c>
      <c r="DM105" s="28">
        <f t="shared" ref="DM105:DM107" si="143">F105*DJ105</f>
        <v>530.10225279170538</v>
      </c>
      <c r="DN105" s="28">
        <f>H105*DL105</f>
        <v>0</v>
      </c>
      <c r="DO105" s="423">
        <f t="shared" si="105"/>
        <v>530.10225279170538</v>
      </c>
      <c r="DP105" s="94">
        <f t="shared" si="106"/>
        <v>0</v>
      </c>
      <c r="DQ105" s="28">
        <f t="shared" si="107"/>
        <v>530.10225279170538</v>
      </c>
      <c r="DR105" s="318"/>
      <c r="DT105" s="8"/>
      <c r="DU105" s="5"/>
      <c r="DX105" s="5">
        <f t="shared" si="108"/>
        <v>3279.2469169687315</v>
      </c>
      <c r="DY105" s="5">
        <f t="shared" si="109"/>
        <v>2756.4</v>
      </c>
      <c r="DZ105" s="159">
        <f>'[3]побудинковий звіт'!EA105</f>
        <v>297.79913965983496</v>
      </c>
    </row>
    <row r="106" spans="1:130" x14ac:dyDescent="0.3">
      <c r="A106" s="325">
        <v>150000601</v>
      </c>
      <c r="B106" s="41" t="s">
        <v>555</v>
      </c>
      <c r="C106" s="42" t="s">
        <v>79</v>
      </c>
      <c r="D106" s="42"/>
      <c r="E106" s="293">
        <f t="shared" si="85"/>
        <v>232.7</v>
      </c>
      <c r="F106" s="305">
        <f>'[3]побудинковий звіт'!F106</f>
        <v>232.7</v>
      </c>
      <c r="G106" s="508">
        <f>'[3]побудинковий звіт'!G106</f>
        <v>0</v>
      </c>
      <c r="H106" s="560">
        <f>'[3]побудинковий звіт'!H106</f>
        <v>0</v>
      </c>
      <c r="I106" s="566"/>
      <c r="J106" s="566"/>
      <c r="K106" s="52">
        <f t="shared" si="94"/>
        <v>0</v>
      </c>
      <c r="L106" s="566"/>
      <c r="M106" s="566"/>
      <c r="N106" s="52">
        <f t="shared" si="95"/>
        <v>0</v>
      </c>
      <c r="O106" s="566"/>
      <c r="P106" s="566"/>
      <c r="Q106" s="70"/>
      <c r="R106" s="566"/>
      <c r="S106" s="566"/>
      <c r="T106" s="70"/>
      <c r="U106" s="566"/>
      <c r="V106" s="566"/>
      <c r="W106" s="70"/>
      <c r="X106" s="566"/>
      <c r="Y106" s="566"/>
      <c r="Z106" s="70"/>
      <c r="AA106" s="566"/>
      <c r="AB106" s="566"/>
      <c r="AC106" s="70"/>
      <c r="AD106" s="566"/>
      <c r="AE106" s="566"/>
      <c r="AF106" s="68"/>
      <c r="AG106" s="77">
        <f t="shared" si="86"/>
        <v>0</v>
      </c>
      <c r="AH106" s="53">
        <f t="shared" si="86"/>
        <v>0</v>
      </c>
      <c r="AI106" s="52">
        <f t="shared" si="96"/>
        <v>0</v>
      </c>
      <c r="AJ106" s="566"/>
      <c r="AK106" s="566"/>
      <c r="AL106" s="70"/>
      <c r="AM106" s="566"/>
      <c r="AN106" s="566"/>
      <c r="AO106" s="70"/>
      <c r="AP106" s="566"/>
      <c r="AQ106" s="566"/>
      <c r="AR106" s="70"/>
      <c r="AS106" s="566"/>
      <c r="AT106" s="566"/>
      <c r="AU106" s="78"/>
      <c r="AV106" s="566"/>
      <c r="AW106" s="566"/>
      <c r="AX106" s="55"/>
      <c r="AY106" s="566"/>
      <c r="AZ106" s="566"/>
      <c r="BA106" s="38"/>
      <c r="BB106" s="566"/>
      <c r="BC106" s="566"/>
      <c r="BD106" s="55"/>
      <c r="BE106" s="566"/>
      <c r="BF106" s="566"/>
      <c r="BG106" s="55"/>
      <c r="BH106" s="566"/>
      <c r="BI106" s="566"/>
      <c r="BJ106" s="55"/>
      <c r="BK106" s="566"/>
      <c r="BL106" s="566"/>
      <c r="BM106" s="55"/>
      <c r="BN106" s="566"/>
      <c r="BO106" s="566"/>
      <c r="BP106" s="55"/>
      <c r="BQ106" s="77">
        <f t="shared" si="139"/>
        <v>0</v>
      </c>
      <c r="BR106" s="40">
        <f t="shared" si="140"/>
        <v>0</v>
      </c>
      <c r="BS106" s="55">
        <f t="shared" si="110"/>
        <v>0</v>
      </c>
      <c r="BT106" s="566"/>
      <c r="BU106" s="566"/>
      <c r="BV106" s="70"/>
      <c r="BW106" s="566"/>
      <c r="BX106" s="566"/>
      <c r="BY106" s="70"/>
      <c r="BZ106" s="566"/>
      <c r="CA106" s="566"/>
      <c r="CB106" s="70"/>
      <c r="CC106" s="566"/>
      <c r="CD106" s="566"/>
      <c r="CE106" s="70"/>
      <c r="CF106" s="566"/>
      <c r="CG106" s="566"/>
      <c r="CH106" s="70"/>
      <c r="CI106" s="566"/>
      <c r="CJ106" s="566"/>
      <c r="CK106" s="70"/>
      <c r="CL106" s="566"/>
      <c r="CM106" s="566"/>
      <c r="CN106" s="52">
        <f t="shared" si="97"/>
        <v>0</v>
      </c>
      <c r="CO106" s="39">
        <f t="shared" si="89"/>
        <v>0</v>
      </c>
      <c r="CP106" s="40">
        <f t="shared" si="98"/>
        <v>0</v>
      </c>
      <c r="CQ106" s="52">
        <f t="shared" si="99"/>
        <v>0</v>
      </c>
      <c r="CR106" s="72">
        <f t="shared" si="90"/>
        <v>0</v>
      </c>
      <c r="CS106" s="5">
        <f t="shared" si="90"/>
        <v>0</v>
      </c>
      <c r="CT106" s="52">
        <f t="shared" si="100"/>
        <v>0</v>
      </c>
      <c r="CU106" s="77">
        <f t="shared" si="101"/>
        <v>0</v>
      </c>
      <c r="CV106" s="65">
        <f t="shared" si="102"/>
        <v>0</v>
      </c>
      <c r="CW106" s="35">
        <f t="shared" si="103"/>
        <v>0</v>
      </c>
      <c r="CX106" s="566"/>
      <c r="CY106" s="566"/>
      <c r="CZ106" s="52">
        <f t="shared" si="104"/>
        <v>0</v>
      </c>
      <c r="DA106" s="150">
        <f>'[2]побудинковий звіт'!DA106</f>
        <v>-1129.023236693834</v>
      </c>
      <c r="DB106" s="2">
        <v>1</v>
      </c>
      <c r="DC106" s="414">
        <f>'[4]побудинковий звіт'!DC106</f>
        <v>2733.22</v>
      </c>
      <c r="DD106" s="414">
        <f>'[4]побудинковий звіт'!DD106</f>
        <v>0</v>
      </c>
      <c r="DE106" s="557">
        <f>'[4]побудинковий звіт'!DE106</f>
        <v>2302.2053239135303</v>
      </c>
      <c r="DF106" s="557">
        <f>'[4]побудинковий звіт'!DF106</f>
        <v>0</v>
      </c>
      <c r="DG106" s="321">
        <f>VLOOKUP(A106,'кошти 01.03.2021'!$A$6:$D$401,4,)</f>
        <v>156.45994528127767</v>
      </c>
      <c r="DH106" s="40">
        <f>'[3]побудинковий звіт'!DJ106</f>
        <v>4912.4948795942491</v>
      </c>
      <c r="DI106" s="422">
        <f>'[3]побудинковий звіт'!CU106+'[3]побудинковий звіт'!CX106</f>
        <v>431.01467608646942</v>
      </c>
      <c r="DJ106" s="306">
        <f>'[3]побудинковий звіт'!DM106</f>
        <v>1.8522332448924348</v>
      </c>
      <c r="DK106" s="306">
        <f t="shared" si="142"/>
        <v>1.8522332448924348</v>
      </c>
      <c r="DL106" s="306">
        <f>'[3]побудинковий звіт'!DO106</f>
        <v>1.8522332448924348</v>
      </c>
      <c r="DM106" s="28">
        <f t="shared" si="143"/>
        <v>431.01467608646954</v>
      </c>
      <c r="DN106" s="28">
        <f>H106*DL106</f>
        <v>0</v>
      </c>
      <c r="DO106" s="423">
        <f t="shared" si="105"/>
        <v>431.01467608646954</v>
      </c>
      <c r="DP106" s="94">
        <f t="shared" si="106"/>
        <v>0</v>
      </c>
      <c r="DQ106" s="28">
        <f t="shared" si="107"/>
        <v>431.01467608646954</v>
      </c>
      <c r="DR106" s="318"/>
      <c r="DT106" s="8"/>
      <c r="DU106" s="5"/>
      <c r="DX106" s="5">
        <f t="shared" si="108"/>
        <v>0</v>
      </c>
      <c r="DY106" s="5">
        <f t="shared" si="109"/>
        <v>0</v>
      </c>
      <c r="DZ106" s="159">
        <f>'[3]побудинковий звіт'!EA106</f>
        <v>244.09632460295441</v>
      </c>
    </row>
    <row r="107" spans="1:130" x14ac:dyDescent="0.3">
      <c r="A107" s="325">
        <v>150000593</v>
      </c>
      <c r="B107" s="41" t="s">
        <v>556</v>
      </c>
      <c r="C107" s="42" t="s">
        <v>256</v>
      </c>
      <c r="D107" s="42"/>
      <c r="E107" s="293">
        <f t="shared" si="85"/>
        <v>1899.07</v>
      </c>
      <c r="F107" s="305">
        <f>'[3]побудинковий звіт'!F107</f>
        <v>1780.57</v>
      </c>
      <c r="G107" s="508">
        <f>'[3]побудинковий звіт'!G107</f>
        <v>0</v>
      </c>
      <c r="H107" s="560">
        <f>'[3]побудинковий звіт'!H107</f>
        <v>118.5</v>
      </c>
      <c r="I107" s="566">
        <f>VLOOKUP($A107,'01-02.2021'!$A$6:$CZ$403,9,FALSE)+VLOOKUP($A107,'1.3.21-28.2.22'!$A$6:$DA$404,9,FALSE)-VLOOKUP($A107,'01-02.2022'!$A$6:$DA$376,9,FALSE)</f>
        <v>5846.4566872956148</v>
      </c>
      <c r="J107" s="566">
        <f>VLOOKUP($A107,'01-02.2021'!$A$6:$CZ$403,10,FALSE)+VLOOKUP($A107,'1.3.21-28.2.22'!$A$6:$DA$404,10,FALSE)-VLOOKUP($A107,'01-02.2022'!$A$6:$DA$376,10,FALSE)</f>
        <v>5182.4973434311651</v>
      </c>
      <c r="K107" s="52">
        <f t="shared" si="94"/>
        <v>-663.95934386444969</v>
      </c>
      <c r="L107" s="566">
        <f>VLOOKUP($A107,'01-02.2021'!$A$6:$CZ$403,12,FALSE)+VLOOKUP($A107,'1.3.21-28.2.22'!$A$6:$DA$404,12,FALSE)-VLOOKUP($A107,'01-02.2022'!$A$6:$DA$376,12,FALSE)</f>
        <v>1137.5106809605595</v>
      </c>
      <c r="M107" s="566">
        <f>VLOOKUP($A107,'01-02.2021'!$A$6:$CZ$403,13,FALSE)+VLOOKUP($A107,'1.3.21-28.2.22'!$A$6:$DA$404,13,FALSE)-VLOOKUP($A107,'01-02.2022'!$A$6:$DA$376,13,FALSE)</f>
        <v>1028.0859922439438</v>
      </c>
      <c r="N107" s="52">
        <f t="shared" si="95"/>
        <v>-109.42468871661572</v>
      </c>
      <c r="O107" s="566">
        <f>VLOOKUP($A107,'01-02.2021'!$A$6:$CZ$403,15,FALSE)+VLOOKUP($A107,'1.3.21-28.2.22'!$A$6:$DA$404,15,FALSE)-VLOOKUP($A107,'01-02.2022'!$A$6:$DA$376,15,FALSE)</f>
        <v>2576.643406405633</v>
      </c>
      <c r="P107" s="566">
        <f>VLOOKUP($A107,'01-02.2021'!$A$6:$CZ$403,16,FALSE)+VLOOKUP($A107,'1.3.21-28.2.22'!$A$6:$DA$404,16,FALSE)-VLOOKUP($A107,'01-02.2022'!$A$6:$DA$376,16,FALSE)</f>
        <v>2576.6299999999997</v>
      </c>
      <c r="Q107" s="70">
        <f t="shared" si="111"/>
        <v>-1.340640563330453E-2</v>
      </c>
      <c r="R107" s="566">
        <f>VLOOKUP($A107,'01-02.2021'!$A$6:$CZ$403,18,FALSE)+VLOOKUP($A107,'1.3.21-28.2.22'!$A$6:$DA$404,18,FALSE)-VLOOKUP($A107,'01-02.2022'!$A$6:$DA$376,18,FALSE)</f>
        <v>0</v>
      </c>
      <c r="S107" s="566">
        <f>VLOOKUP($A107,'01-02.2021'!$A$6:$CZ$403,19,FALSE)+VLOOKUP($A107,'1.3.21-28.2.22'!$A$6:$DA$404,19,FALSE)-VLOOKUP($A107,'01-02.2022'!$A$6:$DA$376,19,FALSE)</f>
        <v>0</v>
      </c>
      <c r="T107" s="70">
        <f t="shared" si="112"/>
        <v>0</v>
      </c>
      <c r="U107" s="566">
        <f>VLOOKUP($A107,'01-02.2021'!$A$6:$CZ$403,21,FALSE)+VLOOKUP($A107,'1.3.21-28.2.22'!$A$6:$DA$404,21,FALSE)-VLOOKUP($A107,'01-02.2022'!$A$6:$DA$376,21,FALSE)</f>
        <v>0</v>
      </c>
      <c r="V107" s="566">
        <f>VLOOKUP($A107,'01-02.2021'!$A$6:$CZ$403,22,FALSE)+VLOOKUP($A107,'1.3.21-28.2.22'!$A$6:$DA$404,22,FALSE)-VLOOKUP($A107,'01-02.2022'!$A$6:$DA$376,22,FALSE)</f>
        <v>0</v>
      </c>
      <c r="W107" s="70">
        <f t="shared" si="113"/>
        <v>0</v>
      </c>
      <c r="X107" s="566">
        <f>VLOOKUP($A107,'01-02.2021'!$A$6:$CZ$403,24,FALSE)+VLOOKUP($A107,'1.3.21-28.2.22'!$A$6:$DA$404,24,FALSE)-VLOOKUP($A107,'01-02.2022'!$A$6:$DA$376,24,FALSE)</f>
        <v>2726.4204538249292</v>
      </c>
      <c r="Y107" s="566">
        <f>VLOOKUP($A107,'01-02.2021'!$A$6:$CZ$403,25,FALSE)+VLOOKUP($A107,'1.3.21-28.2.22'!$A$6:$DA$404,25,FALSE)-VLOOKUP($A107,'01-02.2022'!$A$6:$DA$376,25,FALSE)</f>
        <v>2489.6375155550559</v>
      </c>
      <c r="Z107" s="70">
        <f t="shared" si="114"/>
        <v>-236.78293826987328</v>
      </c>
      <c r="AA107" s="566">
        <f>VLOOKUP($A107,'01-02.2021'!$A$6:$CZ$403,27,FALSE)+VLOOKUP($A107,'1.3.21-28.2.22'!$A$6:$DA$404,27,FALSE)-VLOOKUP($A107,'01-02.2022'!$A$6:$DA$376,27,FALSE)</f>
        <v>379.83800000000002</v>
      </c>
      <c r="AB107" s="566">
        <f>VLOOKUP($A107,'01-02.2021'!$A$6:$CZ$403,28,FALSE)+VLOOKUP($A107,'1.3.21-28.2.22'!$A$6:$DA$404,28,FALSE)-VLOOKUP($A107,'01-02.2022'!$A$6:$DA$376,28,FALSE)</f>
        <v>0</v>
      </c>
      <c r="AC107" s="70">
        <f t="shared" si="115"/>
        <v>-379.83800000000002</v>
      </c>
      <c r="AD107" s="566">
        <f>VLOOKUP($A107,'01-02.2021'!$A$6:$CZ$403,30,FALSE)+VLOOKUP($A107,'1.3.21-28.2.22'!$A$6:$DA$404,30,FALSE)-VLOOKUP($A107,'01-02.2022'!$A$6:$DA$376,30,FALSE)</f>
        <v>8145.5021987978089</v>
      </c>
      <c r="AE107" s="566">
        <f>VLOOKUP($A107,'01-02.2021'!$A$6:$CZ$403,31,FALSE)+VLOOKUP($A107,'1.3.21-28.2.22'!$A$6:$DA$404,31,FALSE)-VLOOKUP($A107,'01-02.2022'!$A$6:$DA$376,31,FALSE)</f>
        <v>8644.643157803881</v>
      </c>
      <c r="AF107" s="68">
        <f t="shared" si="116"/>
        <v>499.14095900607208</v>
      </c>
      <c r="AG107" s="77">
        <f t="shared" si="86"/>
        <v>20812.371427284546</v>
      </c>
      <c r="AH107" s="53">
        <f t="shared" si="86"/>
        <v>19921.494009034046</v>
      </c>
      <c r="AI107" s="52">
        <f t="shared" si="96"/>
        <v>-890.87741825050034</v>
      </c>
      <c r="AJ107" s="566">
        <f>VLOOKUP($A107,'01-02.2021'!$A$6:$CZ$403,36,FALSE)+VLOOKUP($A107,'1.3.21-28.2.22'!$A$6:$DA$404,36,FALSE)-VLOOKUP($A107,'01-02.2022'!$A$6:$DA$376,36,FALSE)</f>
        <v>0</v>
      </c>
      <c r="AK107" s="566">
        <f>VLOOKUP($A107,'01-02.2021'!$A$6:$CZ$403,37,FALSE)+VLOOKUP($A107,'1.3.21-28.2.22'!$A$6:$DA$404,37,FALSE)-VLOOKUP($A107,'01-02.2022'!$A$6:$DA$376,37,FALSE)</f>
        <v>0</v>
      </c>
      <c r="AL107" s="70">
        <f t="shared" si="117"/>
        <v>0</v>
      </c>
      <c r="AM107" s="566">
        <f>VLOOKUP($A107,'01-02.2021'!$A$6:$CZ$403,39,FALSE)+VLOOKUP($A107,'1.3.21-28.2.22'!$A$6:$DA$404,39,FALSE)-VLOOKUP($A107,'01-02.2022'!$A$6:$DA$376,39,FALSE)</f>
        <v>0</v>
      </c>
      <c r="AN107" s="566">
        <f>VLOOKUP($A107,'01-02.2021'!$A$6:$CZ$403,40,FALSE)+VLOOKUP($A107,'1.3.21-28.2.22'!$A$6:$DA$404,40,FALSE)-VLOOKUP($A107,'01-02.2022'!$A$6:$DA$376,40,FALSE)</f>
        <v>0</v>
      </c>
      <c r="AO107" s="70">
        <f t="shared" si="118"/>
        <v>0</v>
      </c>
      <c r="AP107" s="566">
        <f>VLOOKUP($A107,'01-02.2021'!$A$6:$CZ$403,42,FALSE)+VLOOKUP($A107,'1.3.21-28.2.22'!$A$6:$DA$404,42,FALSE)-VLOOKUP($A107,'01-02.2022'!$A$6:$DA$376,42,FALSE)</f>
        <v>4945.3192876213852</v>
      </c>
      <c r="AQ107" s="566">
        <f>VLOOKUP($A107,'01-02.2021'!$A$6:$CZ$403,43,FALSE)+VLOOKUP($A107,'1.3.21-28.2.22'!$A$6:$DA$404,43,FALSE)-VLOOKUP($A107,'01-02.2022'!$A$6:$DA$376,43,FALSE)</f>
        <v>4268.2872348608798</v>
      </c>
      <c r="AR107" s="70">
        <f t="shared" si="119"/>
        <v>-677.03205276050539</v>
      </c>
      <c r="AS107" s="566">
        <f>VLOOKUP($A107,'01-02.2021'!$A$6:$CZ$403,45,FALSE)+VLOOKUP($A107,'1.3.21-28.2.22'!$A$6:$DA$404,45,FALSE)-VLOOKUP($A107,'01-02.2022'!$A$6:$DA$376,45,FALSE)</f>
        <v>13558.373358750696</v>
      </c>
      <c r="AT107" s="566">
        <f>VLOOKUP($A107,'01-02.2021'!$A$6:$CZ$403,46,FALSE)+VLOOKUP($A107,'1.3.21-28.2.22'!$A$6:$DA$404,46,FALSE)-VLOOKUP($A107,'01-02.2022'!$A$6:$DA$376,46,FALSE)</f>
        <v>88619.391322177791</v>
      </c>
      <c r="AU107" s="78">
        <f t="shared" si="120"/>
        <v>75061.01796342709</v>
      </c>
      <c r="AV107" s="566">
        <f>VLOOKUP($A107,'01-02.2021'!$A$6:$CZ$403,48,FALSE)+VLOOKUP($A107,'1.3.21-28.2.22'!$A$6:$DA$404,48,FALSE)-VLOOKUP($A107,'01-02.2022'!$A$6:$DA$376,48,FALSE)</f>
        <v>1663.9864561449194</v>
      </c>
      <c r="AW107" s="566">
        <f>VLOOKUP($A107,'01-02.2021'!$A$6:$CZ$403,49,FALSE)+VLOOKUP($A107,'1.3.21-28.2.22'!$A$6:$DA$404,49,FALSE)-VLOOKUP($A107,'01-02.2022'!$A$6:$DA$376,49,FALSE)</f>
        <v>2540</v>
      </c>
      <c r="AX107" s="55">
        <f t="shared" si="121"/>
        <v>876.01354385508057</v>
      </c>
      <c r="AY107" s="566">
        <f>VLOOKUP($A107,'01-02.2021'!$A$6:$CZ$403,51,FALSE)+VLOOKUP($A107,'1.3.21-28.2.22'!$A$6:$DA$404,51,FALSE)-VLOOKUP($A107,'01-02.2022'!$A$6:$DA$376,51,FALSE)</f>
        <v>2138.3721162350162</v>
      </c>
      <c r="AZ107" s="566">
        <f>VLOOKUP($A107,'01-02.2021'!$A$6:$CZ$403,52,FALSE)+VLOOKUP($A107,'1.3.21-28.2.22'!$A$6:$DA$404,52,FALSE)-VLOOKUP($A107,'01-02.2022'!$A$6:$DA$376,52,FALSE)</f>
        <v>0</v>
      </c>
      <c r="BA107" s="38">
        <f t="shared" si="122"/>
        <v>-2138.3721162350162</v>
      </c>
      <c r="BB107" s="566">
        <f>VLOOKUP($A107,'01-02.2021'!$A$6:$CZ$403,54,FALSE)+VLOOKUP($A107,'1.3.21-28.2.22'!$A$6:$DA$404,54,FALSE)-VLOOKUP($A107,'01-02.2022'!$A$6:$DA$376,54,FALSE)</f>
        <v>380.34095247031252</v>
      </c>
      <c r="BC107" s="566">
        <f>VLOOKUP($A107,'01-02.2021'!$A$6:$CZ$403,55,FALSE)+VLOOKUP($A107,'1.3.21-28.2.22'!$A$6:$DA$404,55,FALSE)-VLOOKUP($A107,'01-02.2022'!$A$6:$DA$376,55,FALSE)</f>
        <v>0</v>
      </c>
      <c r="BD107" s="55">
        <f t="shared" si="123"/>
        <v>-380.34095247031252</v>
      </c>
      <c r="BE107" s="566">
        <f>VLOOKUP($A107,'01-02.2021'!$A$6:$CZ$403,57,FALSE)+VLOOKUP($A107,'1.3.21-28.2.22'!$A$6:$DA$404,57,FALSE)-VLOOKUP($A107,'01-02.2022'!$A$6:$DA$376,57,FALSE)</f>
        <v>0</v>
      </c>
      <c r="BF107" s="566">
        <f>VLOOKUP($A107,'01-02.2021'!$A$6:$CZ$403,58,FALSE)+VLOOKUP($A107,'1.3.21-28.2.22'!$A$6:$DA$404,58,FALSE)-VLOOKUP($A107,'01-02.2022'!$A$6:$DA$376,58,FALSE)</f>
        <v>0</v>
      </c>
      <c r="BG107" s="55">
        <f t="shared" si="124"/>
        <v>0</v>
      </c>
      <c r="BH107" s="566">
        <f>VLOOKUP($A107,'01-02.2021'!$A$6:$CZ$403,60,FALSE)+VLOOKUP($A107,'1.3.21-28.2.22'!$A$6:$DA$404,60,FALSE)-VLOOKUP($A107,'01-02.2022'!$A$6:$DA$376,60,FALSE)</f>
        <v>0</v>
      </c>
      <c r="BI107" s="566">
        <f>VLOOKUP($A107,'01-02.2021'!$A$6:$CZ$403,61,FALSE)+VLOOKUP($A107,'1.3.21-28.2.22'!$A$6:$DA$404,61,FALSE)-VLOOKUP($A107,'01-02.2022'!$A$6:$DA$376,61,FALSE)</f>
        <v>0</v>
      </c>
      <c r="BJ107" s="55">
        <f t="shared" si="125"/>
        <v>0</v>
      </c>
      <c r="BK107" s="566">
        <f>VLOOKUP($A107,'01-02.2021'!$A$6:$CZ$403,63,FALSE)+VLOOKUP($A107,'1.3.21-28.2.22'!$A$6:$DA$404,63,FALSE)-VLOOKUP($A107,'01-02.2022'!$A$6:$DA$376,63,FALSE)</f>
        <v>723.90864256479404</v>
      </c>
      <c r="BL107" s="566">
        <f>VLOOKUP($A107,'01-02.2021'!$A$6:$CZ$403,64,FALSE)+VLOOKUP($A107,'1.3.21-28.2.22'!$A$6:$DA$404,64,FALSE)-VLOOKUP($A107,'01-02.2022'!$A$6:$DA$376,64,FALSE)</f>
        <v>0</v>
      </c>
      <c r="BM107" s="55">
        <f t="shared" si="126"/>
        <v>-723.90864256479404</v>
      </c>
      <c r="BN107" s="566">
        <f>VLOOKUP($A107,'01-02.2021'!$A$6:$CZ$403,66,FALSE)+VLOOKUP($A107,'1.3.21-28.2.22'!$A$6:$DA$404,66,FALSE)-VLOOKUP($A107,'01-02.2022'!$A$6:$DA$376,66,FALSE)</f>
        <v>414.6752455127392</v>
      </c>
      <c r="BO107" s="566">
        <f>VLOOKUP($A107,'01-02.2021'!$A$6:$CZ$403,67,FALSE)+VLOOKUP($A107,'1.3.21-28.2.22'!$A$6:$DA$404,67,FALSE)-VLOOKUP($A107,'01-02.2022'!$A$6:$DA$376,67,FALSE)</f>
        <v>0</v>
      </c>
      <c r="BP107" s="55">
        <f t="shared" si="127"/>
        <v>-414.6752455127392</v>
      </c>
      <c r="BQ107" s="77">
        <f t="shared" si="139"/>
        <v>5321.2834129277808</v>
      </c>
      <c r="BR107" s="40">
        <f t="shared" si="140"/>
        <v>2540</v>
      </c>
      <c r="BS107" s="55">
        <f t="shared" si="110"/>
        <v>-2781.2834129277808</v>
      </c>
      <c r="BT107" s="566">
        <f>VLOOKUP($A107,'01-02.2021'!$A$6:$CZ$403,72,FALSE)+VLOOKUP($A107,'1.3.21-28.2.22'!$A$6:$DA$404,72,FALSE)-VLOOKUP($A107,'01-02.2022'!$A$6:$DA$376,72,FALSE)</f>
        <v>14358.434472962308</v>
      </c>
      <c r="BU107" s="566">
        <f>VLOOKUP($A107,'01-02.2021'!$A$6:$CZ$403,73,FALSE)+VLOOKUP($A107,'1.3.21-28.2.22'!$A$6:$DA$404,73,FALSE)-VLOOKUP($A107,'01-02.2022'!$A$6:$DA$376,73,FALSE)</f>
        <v>18920.036566876464</v>
      </c>
      <c r="BV107" s="70">
        <f t="shared" si="128"/>
        <v>4561.6020939141563</v>
      </c>
      <c r="BW107" s="566">
        <f>VLOOKUP($A107,'01-02.2021'!$A$6:$CZ$403,75,FALSE)+VLOOKUP($A107,'1.3.21-28.2.22'!$A$6:$DA$404,75,FALSE)-VLOOKUP($A107,'01-02.2022'!$A$6:$DA$376,75,FALSE)</f>
        <v>6798.9209657301162</v>
      </c>
      <c r="BX107" s="566">
        <f>VLOOKUP($A107,'01-02.2021'!$A$6:$CZ$403,76,FALSE)+VLOOKUP($A107,'1.3.21-28.2.22'!$A$6:$DA$404,76,FALSE)-VLOOKUP($A107,'01-02.2022'!$A$6:$DA$376,76,FALSE)</f>
        <v>10461.121347989916</v>
      </c>
      <c r="BY107" s="70">
        <f t="shared" si="129"/>
        <v>3662.2003822597999</v>
      </c>
      <c r="BZ107" s="566">
        <f>VLOOKUP($A107,'01-02.2021'!$A$6:$CZ$403,78,FALSE)+VLOOKUP($A107,'1.3.21-28.2.22'!$A$6:$DA$404,78,FALSE)-VLOOKUP($A107,'01-02.2022'!$A$6:$DA$376,78,FALSE)</f>
        <v>7808.0439769575478</v>
      </c>
      <c r="CA107" s="566">
        <f>VLOOKUP($A107,'01-02.2021'!$A$6:$CZ$403,79,FALSE)+VLOOKUP($A107,'1.3.21-28.2.22'!$A$6:$DA$404,79,FALSE)-VLOOKUP($A107,'01-02.2022'!$A$6:$DA$376,79,FALSE)</f>
        <v>4190.341611622207</v>
      </c>
      <c r="CB107" s="70">
        <f t="shared" si="130"/>
        <v>-3617.7023653353408</v>
      </c>
      <c r="CC107" s="566">
        <f>VLOOKUP($A107,'01-02.2021'!$A$6:$CZ$403,81,FALSE)+VLOOKUP($A107,'1.3.21-28.2.22'!$A$6:$DA$404,81,FALSE)-VLOOKUP($A107,'01-02.2022'!$A$6:$DA$376,81,FALSE)</f>
        <v>635.63780474074167</v>
      </c>
      <c r="CD107" s="566">
        <f>VLOOKUP($A107,'01-02.2021'!$A$6:$CZ$403,82,FALSE)+VLOOKUP($A107,'1.3.21-28.2.22'!$A$6:$DA$404,82,FALSE)-VLOOKUP($A107,'01-02.2022'!$A$6:$DA$376,82,FALSE)</f>
        <v>694.74768354469404</v>
      </c>
      <c r="CE107" s="70">
        <f t="shared" si="131"/>
        <v>59.10987880395237</v>
      </c>
      <c r="CF107" s="566">
        <f>VLOOKUP($A107,'01-02.2021'!$A$6:$CZ$403,84,FALSE)+VLOOKUP($A107,'1.3.21-28.2.22'!$A$6:$DA$404,84,FALSE)-VLOOKUP($A107,'01-02.2022'!$A$6:$DA$376,84,FALSE)</f>
        <v>77.274868710271235</v>
      </c>
      <c r="CG107" s="566">
        <f>VLOOKUP($A107,'01-02.2021'!$A$6:$CZ$403,85,FALSE)+VLOOKUP($A107,'1.3.21-28.2.22'!$A$6:$DA$404,85,FALSE)-VLOOKUP($A107,'01-02.2022'!$A$6:$DA$376,85,FALSE)</f>
        <v>0</v>
      </c>
      <c r="CH107" s="70">
        <f t="shared" si="132"/>
        <v>-77.274868710271235</v>
      </c>
      <c r="CI107" s="566">
        <f>VLOOKUP($A107,'01-02.2021'!$A$6:$CZ$403,87,FALSE)+VLOOKUP($A107,'1.3.21-28.2.22'!$A$6:$DA$404,87,FALSE)-VLOOKUP($A107,'01-02.2022'!$A$6:$DA$376,87,FALSE)</f>
        <v>1857.8886281559487</v>
      </c>
      <c r="CJ107" s="566">
        <f>VLOOKUP($A107,'01-02.2021'!$A$6:$CZ$403,88,FALSE)+VLOOKUP($A107,'1.3.21-28.2.22'!$A$6:$DA$404,88,FALSE)-VLOOKUP($A107,'01-02.2022'!$A$6:$DA$376,88,FALSE)</f>
        <v>2023.9909946363678</v>
      </c>
      <c r="CK107" s="70">
        <f t="shared" si="133"/>
        <v>166.10236648041905</v>
      </c>
      <c r="CL107" s="566">
        <f>VLOOKUP($A107,'01-02.2021'!$A$6:$CZ$403,90,FALSE)+VLOOKUP($A107,'1.3.21-28.2.22'!$A$6:$DA$404,90,FALSE)-VLOOKUP($A107,'01-02.2022'!$A$6:$DA$376,90,FALSE)</f>
        <v>0</v>
      </c>
      <c r="CM107" s="566">
        <f>VLOOKUP($A107,'01-02.2021'!$A$6:$CZ$403,91,FALSE)+VLOOKUP($A107,'1.3.21-28.2.22'!$A$6:$DA$404,91,FALSE)-VLOOKUP($A107,'01-02.2022'!$A$6:$DA$376,91,FALSE)</f>
        <v>0</v>
      </c>
      <c r="CN107" s="52">
        <f t="shared" si="97"/>
        <v>0</v>
      </c>
      <c r="CO107" s="39">
        <f t="shared" si="89"/>
        <v>1857.8886281559487</v>
      </c>
      <c r="CP107" s="40">
        <f t="shared" si="98"/>
        <v>2023.9909946363678</v>
      </c>
      <c r="CQ107" s="52">
        <f t="shared" si="99"/>
        <v>166.10236648041905</v>
      </c>
      <c r="CR107" s="72">
        <f t="shared" si="90"/>
        <v>76173.548203841347</v>
      </c>
      <c r="CS107" s="5">
        <f t="shared" si="90"/>
        <v>151639.4107707424</v>
      </c>
      <c r="CT107" s="52">
        <f t="shared" si="100"/>
        <v>75465.862566901051</v>
      </c>
      <c r="CU107" s="77">
        <f t="shared" si="101"/>
        <v>91408.257844609616</v>
      </c>
      <c r="CV107" s="65">
        <f t="shared" si="102"/>
        <v>181967.29292489088</v>
      </c>
      <c r="CW107" s="35">
        <f t="shared" si="103"/>
        <v>90559.035080281261</v>
      </c>
      <c r="CX107" s="566">
        <f>VLOOKUP($A107,'01-02.2021'!$A$6:$CZ$403,102,FALSE)+VLOOKUP($A107,'1.3.21-28.2.22'!$A$6:$DA$404,102,FALSE)-VLOOKUP($A107,'01-02.2022'!$A$6:$DA$376,102,FALSE)</f>
        <v>2893.1414490697648</v>
      </c>
      <c r="CY107" s="566">
        <f>VLOOKUP($A107,'01-02.2021'!$A$6:$CZ$403,103,FALSE)+VLOOKUP($A107,'1.3.21-28.2.22'!$A$6:$DA$404,103,FALSE)-VLOOKUP($A107,'01-02.2022'!$A$6:$DA$376,103,FALSE)</f>
        <v>-87665.893631211467</v>
      </c>
      <c r="CZ107" s="52">
        <f t="shared" si="104"/>
        <v>-90559.035080281232</v>
      </c>
      <c r="DA107" s="150">
        <f>'[2]побудинковий звіт'!DA107</f>
        <v>50572.16058833323</v>
      </c>
      <c r="DB107" s="2">
        <v>1</v>
      </c>
      <c r="DC107" s="414">
        <f>'[4]побудинковий звіт'!DC107</f>
        <v>9003.5400000000009</v>
      </c>
      <c r="DD107" s="414">
        <f>'[4]побудинковий звіт'!DD107</f>
        <v>-598.20000000000005</v>
      </c>
      <c r="DE107" s="557">
        <f>'[4]побудинковий звіт'!DE107</f>
        <v>929.16796452896506</v>
      </c>
      <c r="DF107" s="557">
        <f>'[4]побудинковий звіт'!DF107</f>
        <v>-1080.4189827258283</v>
      </c>
      <c r="DG107" s="321">
        <f>VLOOKUP(A107,'кошти 01.03.2021'!$A$6:$D$401,4,)</f>
        <v>-33586.845977022625</v>
      </c>
      <c r="DH107" s="40">
        <f>'[3]побудинковий звіт'!DJ107</f>
        <v>97602.567804747407</v>
      </c>
      <c r="DI107" s="422">
        <f>'[3]побудинковий звіт'!CU107+'[3]побудинковий звіт'!CX107</f>
        <v>8556.5910181968629</v>
      </c>
      <c r="DJ107" s="306">
        <f>'[3]побудинковий звіт'!DM107</f>
        <v>4.5347119380148131</v>
      </c>
      <c r="DK107" s="306">
        <f t="shared" si="142"/>
        <v>4.5347119380148131</v>
      </c>
      <c r="DL107" s="306">
        <f>'[3]побудинковий звіт'!DO107</f>
        <v>4.0693585040154279</v>
      </c>
      <c r="DM107" s="28">
        <f t="shared" si="143"/>
        <v>8074.3720354710358</v>
      </c>
      <c r="DN107" s="28">
        <f>H107*DL107</f>
        <v>482.2189827258282</v>
      </c>
      <c r="DO107" s="423">
        <f t="shared" si="105"/>
        <v>8556.5910181968648</v>
      </c>
      <c r="DP107" s="94">
        <f t="shared" si="106"/>
        <v>0</v>
      </c>
      <c r="DQ107" s="28">
        <f t="shared" si="107"/>
        <v>8556.5910181968648</v>
      </c>
      <c r="DR107" s="318"/>
      <c r="DT107" s="8"/>
      <c r="DU107" s="5"/>
      <c r="DX107" s="5">
        <f t="shared" si="108"/>
        <v>22655.588126014172</v>
      </c>
      <c r="DY107" s="5">
        <f t="shared" si="109"/>
        <v>109391.26958661334</v>
      </c>
      <c r="DZ107" s="159">
        <f>'[3]побудинковий звіт'!EA107</f>
        <v>2034.6209477508792</v>
      </c>
    </row>
    <row r="108" spans="1:130" x14ac:dyDescent="0.3">
      <c r="A108" s="325">
        <v>150000594</v>
      </c>
      <c r="B108" s="41" t="s">
        <v>557</v>
      </c>
      <c r="C108" s="42" t="s">
        <v>355</v>
      </c>
      <c r="D108" s="42"/>
      <c r="E108" s="293">
        <f t="shared" si="85"/>
        <v>9277.65</v>
      </c>
      <c r="F108" s="305">
        <f>'[3]побудинковий звіт'!F108</f>
        <v>9162.5499999999993</v>
      </c>
      <c r="G108" s="508">
        <f>'[3]побудинковий звіт'!G108</f>
        <v>1004.05</v>
      </c>
      <c r="H108" s="560">
        <f>'[3]побудинковий звіт'!H108</f>
        <v>115.1</v>
      </c>
      <c r="I108" s="566">
        <f>VLOOKUP($A108,'01-02.2021'!$A$6:$CZ$403,9,FALSE)+VLOOKUP($A108,'1.3.21-28.2.22'!$A$6:$DA$404,9,FALSE)-VLOOKUP($A108,'01-02.2022'!$A$6:$DA$376,9,FALSE)</f>
        <v>23087.950925947731</v>
      </c>
      <c r="J108" s="566">
        <f>VLOOKUP($A108,'01-02.2021'!$A$6:$CZ$403,10,FALSE)+VLOOKUP($A108,'1.3.21-28.2.22'!$A$6:$DA$404,10,FALSE)-VLOOKUP($A108,'01-02.2022'!$A$6:$DA$376,10,FALSE)</f>
        <v>20800.570870270691</v>
      </c>
      <c r="K108" s="52">
        <f t="shared" si="94"/>
        <v>-2287.3800556770402</v>
      </c>
      <c r="L108" s="566">
        <f>VLOOKUP($A108,'01-02.2021'!$A$6:$CZ$403,12,FALSE)+VLOOKUP($A108,'1.3.21-28.2.22'!$A$6:$DA$404,12,FALSE)-VLOOKUP($A108,'01-02.2022'!$A$6:$DA$376,12,FALSE)</f>
        <v>4002.5921254841833</v>
      </c>
      <c r="M108" s="566">
        <f>VLOOKUP($A108,'01-02.2021'!$A$6:$CZ$403,13,FALSE)+VLOOKUP($A108,'1.3.21-28.2.22'!$A$6:$DA$404,13,FALSE)-VLOOKUP($A108,'01-02.2022'!$A$6:$DA$376,13,FALSE)</f>
        <v>3628.0446099365427</v>
      </c>
      <c r="N108" s="52">
        <f t="shared" si="95"/>
        <v>-374.54751554764061</v>
      </c>
      <c r="O108" s="566">
        <f>VLOOKUP($A108,'01-02.2021'!$A$6:$CZ$403,15,FALSE)+VLOOKUP($A108,'1.3.21-28.2.22'!$A$6:$DA$404,15,FALSE)-VLOOKUP($A108,'01-02.2022'!$A$6:$DA$376,15,FALSE)</f>
        <v>12887.392963125341</v>
      </c>
      <c r="P108" s="566">
        <f>VLOOKUP($A108,'01-02.2021'!$A$6:$CZ$403,16,FALSE)+VLOOKUP($A108,'1.3.21-28.2.22'!$A$6:$DA$404,16,FALSE)-VLOOKUP($A108,'01-02.2022'!$A$6:$DA$376,16,FALSE)</f>
        <v>12887.41</v>
      </c>
      <c r="Q108" s="70">
        <f t="shared" si="111"/>
        <v>1.7036874658515444E-2</v>
      </c>
      <c r="R108" s="566">
        <f>VLOOKUP($A108,'01-02.2021'!$A$6:$CZ$403,18,FALSE)+VLOOKUP($A108,'1.3.21-28.2.22'!$A$6:$DA$404,18,FALSE)-VLOOKUP($A108,'01-02.2022'!$A$6:$DA$376,18,FALSE)</f>
        <v>2746.9231871732909</v>
      </c>
      <c r="S108" s="566">
        <f>VLOOKUP($A108,'01-02.2021'!$A$6:$CZ$403,19,FALSE)+VLOOKUP($A108,'1.3.21-28.2.22'!$A$6:$DA$404,19,FALSE)-VLOOKUP($A108,'01-02.2022'!$A$6:$DA$376,19,FALSE)</f>
        <v>2746.9399999999991</v>
      </c>
      <c r="T108" s="70">
        <f t="shared" si="112"/>
        <v>1.6812826708246575E-2</v>
      </c>
      <c r="U108" s="566">
        <f>VLOOKUP($A108,'01-02.2021'!$A$6:$CZ$403,21,FALSE)+VLOOKUP($A108,'1.3.21-28.2.22'!$A$6:$DA$404,21,FALSE)-VLOOKUP($A108,'01-02.2022'!$A$6:$DA$376,21,FALSE)</f>
        <v>3967.680510103492</v>
      </c>
      <c r="V108" s="566">
        <f>VLOOKUP($A108,'01-02.2021'!$A$6:$CZ$403,22,FALSE)+VLOOKUP($A108,'1.3.21-28.2.22'!$A$6:$DA$404,22,FALSE)-VLOOKUP($A108,'01-02.2022'!$A$6:$DA$376,22,FALSE)</f>
        <v>2584.9175491565234</v>
      </c>
      <c r="W108" s="70">
        <f t="shared" si="113"/>
        <v>-1382.7629609469686</v>
      </c>
      <c r="X108" s="566">
        <f>VLOOKUP($A108,'01-02.2021'!$A$6:$CZ$403,24,FALSE)+VLOOKUP($A108,'1.3.21-28.2.22'!$A$6:$DA$404,24,FALSE)-VLOOKUP($A108,'01-02.2022'!$A$6:$DA$376,24,FALSE)</f>
        <v>18721.580193022579</v>
      </c>
      <c r="Y108" s="566">
        <f>VLOOKUP($A108,'01-02.2021'!$A$6:$CZ$403,25,FALSE)+VLOOKUP($A108,'1.3.21-28.2.22'!$A$6:$DA$404,25,FALSE)-VLOOKUP($A108,'01-02.2022'!$A$6:$DA$376,25,FALSE)</f>
        <v>15222.20346764474</v>
      </c>
      <c r="Z108" s="70">
        <f t="shared" si="114"/>
        <v>-3499.3767253778387</v>
      </c>
      <c r="AA108" s="566">
        <f>VLOOKUP($A108,'01-02.2021'!$A$6:$CZ$403,27,FALSE)+VLOOKUP($A108,'1.3.21-28.2.22'!$A$6:$DA$404,27,FALSE)-VLOOKUP($A108,'01-02.2022'!$A$6:$DA$376,27,FALSE)</f>
        <v>1855.9499999999998</v>
      </c>
      <c r="AB108" s="566">
        <f>VLOOKUP($A108,'01-02.2021'!$A$6:$CZ$403,28,FALSE)+VLOOKUP($A108,'1.3.21-28.2.22'!$A$6:$DA$404,28,FALSE)-VLOOKUP($A108,'01-02.2022'!$A$6:$DA$376,28,FALSE)</f>
        <v>0</v>
      </c>
      <c r="AC108" s="70">
        <f t="shared" si="115"/>
        <v>-1855.9499999999998</v>
      </c>
      <c r="AD108" s="566">
        <f>VLOOKUP($A108,'01-02.2021'!$A$6:$CZ$403,30,FALSE)+VLOOKUP($A108,'1.3.21-28.2.22'!$A$6:$DA$404,30,FALSE)-VLOOKUP($A108,'01-02.2022'!$A$6:$DA$376,30,FALSE)</f>
        <v>39849.82958193931</v>
      </c>
      <c r="AE108" s="566">
        <f>VLOOKUP($A108,'01-02.2021'!$A$6:$CZ$403,31,FALSE)+VLOOKUP($A108,'1.3.21-28.2.22'!$A$6:$DA$404,31,FALSE)-VLOOKUP($A108,'01-02.2022'!$A$6:$DA$376,31,FALSE)</f>
        <v>42234.343482436911</v>
      </c>
      <c r="AF108" s="68">
        <f t="shared" si="116"/>
        <v>2384.5139004976008</v>
      </c>
      <c r="AG108" s="77">
        <f t="shared" si="86"/>
        <v>107119.89948679593</v>
      </c>
      <c r="AH108" s="53">
        <f t="shared" si="86"/>
        <v>100104.42997944541</v>
      </c>
      <c r="AI108" s="52">
        <f t="shared" si="96"/>
        <v>-7015.4695073505136</v>
      </c>
      <c r="AJ108" s="566">
        <f>VLOOKUP($A108,'01-02.2021'!$A$6:$CZ$403,36,FALSE)+VLOOKUP($A108,'1.3.21-28.2.22'!$A$6:$DA$404,36,FALSE)-VLOOKUP($A108,'01-02.2022'!$A$6:$DA$376,36,FALSE)</f>
        <v>84013.841028597468</v>
      </c>
      <c r="AK108" s="566">
        <f>VLOOKUP($A108,'01-02.2021'!$A$6:$CZ$403,37,FALSE)+VLOOKUP($A108,'1.3.21-28.2.22'!$A$6:$DA$404,37,FALSE)-VLOOKUP($A108,'01-02.2022'!$A$6:$DA$376,37,FALSE)</f>
        <v>83463.089647883156</v>
      </c>
      <c r="AL108" s="70">
        <f t="shared" si="117"/>
        <v>-550.75138071431138</v>
      </c>
      <c r="AM108" s="566">
        <f>VLOOKUP($A108,'01-02.2021'!$A$6:$CZ$403,39,FALSE)+VLOOKUP($A108,'1.3.21-28.2.22'!$A$6:$DA$404,39,FALSE)-VLOOKUP($A108,'01-02.2022'!$A$6:$DA$376,39,FALSE)</f>
        <v>1050.749425</v>
      </c>
      <c r="AN108" s="566">
        <f>VLOOKUP($A108,'01-02.2021'!$A$6:$CZ$403,40,FALSE)+VLOOKUP($A108,'1.3.21-28.2.22'!$A$6:$DA$404,40,FALSE)-VLOOKUP($A108,'01-02.2022'!$A$6:$DA$376,40,FALSE)</f>
        <v>0</v>
      </c>
      <c r="AO108" s="70">
        <f t="shared" si="118"/>
        <v>-1050.749425</v>
      </c>
      <c r="AP108" s="566">
        <f>VLOOKUP($A108,'01-02.2021'!$A$6:$CZ$403,42,FALSE)+VLOOKUP($A108,'1.3.21-28.2.22'!$A$6:$DA$404,42,FALSE)-VLOOKUP($A108,'01-02.2022'!$A$6:$DA$376,42,FALSE)</f>
        <v>6290.0990939043932</v>
      </c>
      <c r="AQ108" s="566">
        <f>VLOOKUP($A108,'01-02.2021'!$A$6:$CZ$403,43,FALSE)+VLOOKUP($A108,'1.3.21-28.2.22'!$A$6:$DA$404,43,FALSE)-VLOOKUP($A108,'01-02.2022'!$A$6:$DA$376,43,FALSE)</f>
        <v>5418.9947552447557</v>
      </c>
      <c r="AR108" s="70">
        <f t="shared" si="119"/>
        <v>-871.10433865963751</v>
      </c>
      <c r="AS108" s="566">
        <f>VLOOKUP($A108,'01-02.2021'!$A$6:$CZ$403,45,FALSE)+VLOOKUP($A108,'1.3.21-28.2.22'!$A$6:$DA$404,45,FALSE)-VLOOKUP($A108,'01-02.2022'!$A$6:$DA$376,45,FALSE)</f>
        <v>126072.16922094041</v>
      </c>
      <c r="AT108" s="566">
        <f>VLOOKUP($A108,'01-02.2021'!$A$6:$CZ$403,46,FALSE)+VLOOKUP($A108,'1.3.21-28.2.22'!$A$6:$DA$404,46,FALSE)-VLOOKUP($A108,'01-02.2022'!$A$6:$DA$376,46,FALSE)</f>
        <v>79323.41</v>
      </c>
      <c r="AU108" s="78">
        <f t="shared" si="120"/>
        <v>-46748.75922094041</v>
      </c>
      <c r="AV108" s="566">
        <f>VLOOKUP($A108,'01-02.2021'!$A$6:$CZ$403,48,FALSE)+VLOOKUP($A108,'1.3.21-28.2.22'!$A$6:$DA$404,48,FALSE)-VLOOKUP($A108,'01-02.2022'!$A$6:$DA$376,48,FALSE)</f>
        <v>4466.3557525940514</v>
      </c>
      <c r="AW108" s="566">
        <f>VLOOKUP($A108,'01-02.2021'!$A$6:$CZ$403,49,FALSE)+VLOOKUP($A108,'1.3.21-28.2.22'!$A$6:$DA$404,49,FALSE)-VLOOKUP($A108,'01-02.2022'!$A$6:$DA$376,49,FALSE)</f>
        <v>1669</v>
      </c>
      <c r="AX108" s="55">
        <f t="shared" si="121"/>
        <v>-2797.3557525940514</v>
      </c>
      <c r="AY108" s="566">
        <f>VLOOKUP($A108,'01-02.2021'!$A$6:$CZ$403,51,FALSE)+VLOOKUP($A108,'1.3.21-28.2.22'!$A$6:$DA$404,51,FALSE)-VLOOKUP($A108,'01-02.2022'!$A$6:$DA$376,51,FALSE)</f>
        <v>5129.7694493849704</v>
      </c>
      <c r="AZ108" s="566">
        <f>VLOOKUP($A108,'01-02.2021'!$A$6:$CZ$403,52,FALSE)+VLOOKUP($A108,'1.3.21-28.2.22'!$A$6:$DA$404,52,FALSE)-VLOOKUP($A108,'01-02.2022'!$A$6:$DA$376,52,FALSE)</f>
        <v>3523</v>
      </c>
      <c r="BA108" s="38">
        <f t="shared" si="122"/>
        <v>-1606.7694493849704</v>
      </c>
      <c r="BB108" s="566">
        <f>VLOOKUP($A108,'01-02.2021'!$A$6:$CZ$403,54,FALSE)+VLOOKUP($A108,'1.3.21-28.2.22'!$A$6:$DA$404,54,FALSE)-VLOOKUP($A108,'01-02.2022'!$A$6:$DA$376,54,FALSE)</f>
        <v>2419.4124378760753</v>
      </c>
      <c r="BC108" s="566">
        <f>VLOOKUP($A108,'01-02.2021'!$A$6:$CZ$403,55,FALSE)+VLOOKUP($A108,'1.3.21-28.2.22'!$A$6:$DA$404,55,FALSE)-VLOOKUP($A108,'01-02.2022'!$A$6:$DA$376,55,FALSE)</f>
        <v>0</v>
      </c>
      <c r="BD108" s="55">
        <f t="shared" si="123"/>
        <v>-2419.4124378760753</v>
      </c>
      <c r="BE108" s="566">
        <f>VLOOKUP($A108,'01-02.2021'!$A$6:$CZ$403,57,FALSE)+VLOOKUP($A108,'1.3.21-28.2.22'!$A$6:$DA$404,57,FALSE)-VLOOKUP($A108,'01-02.2022'!$A$6:$DA$376,57,FALSE)</f>
        <v>5088.5873280973037</v>
      </c>
      <c r="BF108" s="566">
        <f>VLOOKUP($A108,'01-02.2021'!$A$6:$CZ$403,58,FALSE)+VLOOKUP($A108,'1.3.21-28.2.22'!$A$6:$DA$404,58,FALSE)-VLOOKUP($A108,'01-02.2022'!$A$6:$DA$376,58,FALSE)</f>
        <v>0</v>
      </c>
      <c r="BG108" s="55">
        <f t="shared" si="124"/>
        <v>-5088.5873280973037</v>
      </c>
      <c r="BH108" s="566">
        <f>VLOOKUP($A108,'01-02.2021'!$A$6:$CZ$403,60,FALSE)+VLOOKUP($A108,'1.3.21-28.2.22'!$A$6:$DA$404,60,FALSE)-VLOOKUP($A108,'01-02.2022'!$A$6:$DA$376,60,FALSE)</f>
        <v>6719.6428630648015</v>
      </c>
      <c r="BI108" s="566">
        <f>VLOOKUP($A108,'01-02.2021'!$A$6:$CZ$403,61,FALSE)+VLOOKUP($A108,'1.3.21-28.2.22'!$A$6:$DA$404,61,FALSE)-VLOOKUP($A108,'01-02.2022'!$A$6:$DA$376,61,FALSE)</f>
        <v>0</v>
      </c>
      <c r="BJ108" s="55">
        <f t="shared" si="125"/>
        <v>-6719.6428630648015</v>
      </c>
      <c r="BK108" s="566">
        <f>VLOOKUP($A108,'01-02.2021'!$A$6:$CZ$403,63,FALSE)+VLOOKUP($A108,'1.3.21-28.2.22'!$A$6:$DA$404,63,FALSE)-VLOOKUP($A108,'01-02.2022'!$A$6:$DA$376,63,FALSE)</f>
        <v>5370.4983018516768</v>
      </c>
      <c r="BL108" s="566">
        <f>VLOOKUP($A108,'01-02.2021'!$A$6:$CZ$403,64,FALSE)+VLOOKUP($A108,'1.3.21-28.2.22'!$A$6:$DA$404,64,FALSE)-VLOOKUP($A108,'01-02.2022'!$A$6:$DA$376,64,FALSE)</f>
        <v>698</v>
      </c>
      <c r="BM108" s="55">
        <f t="shared" si="126"/>
        <v>-4672.4983018516768</v>
      </c>
      <c r="BN108" s="566">
        <f>VLOOKUP($A108,'01-02.2021'!$A$6:$CZ$403,66,FALSE)+VLOOKUP($A108,'1.3.21-28.2.22'!$A$6:$DA$404,66,FALSE)-VLOOKUP($A108,'01-02.2022'!$A$6:$DA$376,66,FALSE)</f>
        <v>985.0816703757564</v>
      </c>
      <c r="BO108" s="566">
        <f>VLOOKUP($A108,'01-02.2021'!$A$6:$CZ$403,67,FALSE)+VLOOKUP($A108,'1.3.21-28.2.22'!$A$6:$DA$404,67,FALSE)-VLOOKUP($A108,'01-02.2022'!$A$6:$DA$376,67,FALSE)</f>
        <v>0</v>
      </c>
      <c r="BP108" s="55">
        <f t="shared" si="127"/>
        <v>-985.0816703757564</v>
      </c>
      <c r="BQ108" s="77">
        <f t="shared" si="139"/>
        <v>30179.347803244633</v>
      </c>
      <c r="BR108" s="40">
        <f t="shared" si="140"/>
        <v>5890</v>
      </c>
      <c r="BS108" s="55">
        <f t="shared" si="110"/>
        <v>-24289.347803244633</v>
      </c>
      <c r="BT108" s="566">
        <f>VLOOKUP($A108,'01-02.2021'!$A$6:$CZ$403,72,FALSE)+VLOOKUP($A108,'1.3.21-28.2.22'!$A$6:$DA$404,72,FALSE)-VLOOKUP($A108,'01-02.2022'!$A$6:$DA$376,72,FALSE)</f>
        <v>106563.107195901</v>
      </c>
      <c r="BU108" s="566">
        <f>VLOOKUP($A108,'01-02.2021'!$A$6:$CZ$403,73,FALSE)+VLOOKUP($A108,'1.3.21-28.2.22'!$A$6:$DA$404,73,FALSE)-VLOOKUP($A108,'01-02.2022'!$A$6:$DA$376,73,FALSE)</f>
        <v>110338.91763272659</v>
      </c>
      <c r="BV108" s="70">
        <f t="shared" si="128"/>
        <v>3775.8104368255881</v>
      </c>
      <c r="BW108" s="566">
        <f>VLOOKUP($A108,'01-02.2021'!$A$6:$CZ$403,75,FALSE)+VLOOKUP($A108,'1.3.21-28.2.22'!$A$6:$DA$404,75,FALSE)-VLOOKUP($A108,'01-02.2022'!$A$6:$DA$376,75,FALSE)</f>
        <v>64457.194881552743</v>
      </c>
      <c r="BX108" s="566">
        <f>VLOOKUP($A108,'01-02.2021'!$A$6:$CZ$403,76,FALSE)+VLOOKUP($A108,'1.3.21-28.2.22'!$A$6:$DA$404,76,FALSE)-VLOOKUP($A108,'01-02.2022'!$A$6:$DA$376,76,FALSE)</f>
        <v>67504.688086122856</v>
      </c>
      <c r="BY108" s="70">
        <f t="shared" si="129"/>
        <v>3047.4932045701134</v>
      </c>
      <c r="BZ108" s="566">
        <f>VLOOKUP($A108,'01-02.2021'!$A$6:$CZ$403,78,FALSE)+VLOOKUP($A108,'1.3.21-28.2.22'!$A$6:$DA$404,78,FALSE)-VLOOKUP($A108,'01-02.2022'!$A$6:$DA$376,78,FALSE)</f>
        <v>13652.795057904896</v>
      </c>
      <c r="CA108" s="566">
        <f>VLOOKUP($A108,'01-02.2021'!$A$6:$CZ$403,79,FALSE)+VLOOKUP($A108,'1.3.21-28.2.22'!$A$6:$DA$404,79,FALSE)-VLOOKUP($A108,'01-02.2022'!$A$6:$DA$376,79,FALSE)</f>
        <v>23025.357601871165</v>
      </c>
      <c r="CB108" s="70">
        <f t="shared" si="130"/>
        <v>9372.562543966269</v>
      </c>
      <c r="CC108" s="566">
        <f>VLOOKUP($A108,'01-02.2021'!$A$6:$CZ$403,81,FALSE)+VLOOKUP($A108,'1.3.21-28.2.22'!$A$6:$DA$404,81,FALSE)-VLOOKUP($A108,'01-02.2022'!$A$6:$DA$376,81,FALSE)</f>
        <v>2361.9426539564924</v>
      </c>
      <c r="CD108" s="566">
        <f>VLOOKUP($A108,'01-02.2021'!$A$6:$CZ$403,82,FALSE)+VLOOKUP($A108,'1.3.21-28.2.22'!$A$6:$DA$404,82,FALSE)-VLOOKUP($A108,'01-02.2022'!$A$6:$DA$376,82,FALSE)</f>
        <v>2571.1502506981778</v>
      </c>
      <c r="CE108" s="70">
        <f t="shared" si="131"/>
        <v>209.20759674168539</v>
      </c>
      <c r="CF108" s="566">
        <f>VLOOKUP($A108,'01-02.2021'!$A$6:$CZ$403,84,FALSE)+VLOOKUP($A108,'1.3.21-28.2.22'!$A$6:$DA$404,84,FALSE)-VLOOKUP($A108,'01-02.2022'!$A$6:$DA$376,84,FALSE)</f>
        <v>285.98195109246603</v>
      </c>
      <c r="CG108" s="566">
        <f>VLOOKUP($A108,'01-02.2021'!$A$6:$CZ$403,85,FALSE)+VLOOKUP($A108,'1.3.21-28.2.22'!$A$6:$DA$404,85,FALSE)-VLOOKUP($A108,'01-02.2022'!$A$6:$DA$376,85,FALSE)</f>
        <v>0</v>
      </c>
      <c r="CH108" s="70">
        <f t="shared" si="132"/>
        <v>-285.98195109246603</v>
      </c>
      <c r="CI108" s="566">
        <f>VLOOKUP($A108,'01-02.2021'!$A$6:$CZ$403,87,FALSE)+VLOOKUP($A108,'1.3.21-28.2.22'!$A$6:$DA$404,87,FALSE)-VLOOKUP($A108,'01-02.2022'!$A$6:$DA$376,87,FALSE)</f>
        <v>39934.903973041735</v>
      </c>
      <c r="CJ108" s="566">
        <f>VLOOKUP($A108,'01-02.2021'!$A$6:$CZ$403,88,FALSE)+VLOOKUP($A108,'1.3.21-28.2.22'!$A$6:$DA$404,88,FALSE)-VLOOKUP($A108,'01-02.2022'!$A$6:$DA$376,88,FALSE)</f>
        <v>32879.059049649994</v>
      </c>
      <c r="CK108" s="70">
        <f t="shared" si="133"/>
        <v>-7055.8449233917418</v>
      </c>
      <c r="CL108" s="566">
        <f>VLOOKUP($A108,'01-02.2021'!$A$6:$CZ$403,90,FALSE)+VLOOKUP($A108,'1.3.21-28.2.22'!$A$6:$DA$404,90,FALSE)-VLOOKUP($A108,'01-02.2022'!$A$6:$DA$376,90,FALSE)</f>
        <v>15511.908730208972</v>
      </c>
      <c r="CM108" s="566">
        <f>VLOOKUP($A108,'01-02.2021'!$A$6:$CZ$403,91,FALSE)+VLOOKUP($A108,'1.3.21-28.2.22'!$A$6:$DA$404,91,FALSE)-VLOOKUP($A108,'01-02.2022'!$A$6:$DA$376,91,FALSE)</f>
        <v>14510.704384862202</v>
      </c>
      <c r="CN108" s="52">
        <f t="shared" si="97"/>
        <v>-1001.2043453467704</v>
      </c>
      <c r="CO108" s="39">
        <f t="shared" si="89"/>
        <v>55446.812703250704</v>
      </c>
      <c r="CP108" s="40">
        <f t="shared" si="98"/>
        <v>47389.763434512191</v>
      </c>
      <c r="CQ108" s="52">
        <f t="shared" si="99"/>
        <v>-8057.0492687385122</v>
      </c>
      <c r="CR108" s="72">
        <f t="shared" si="90"/>
        <v>597493.94050214114</v>
      </c>
      <c r="CS108" s="5">
        <f t="shared" si="90"/>
        <v>525029.80138850433</v>
      </c>
      <c r="CT108" s="52">
        <f t="shared" si="100"/>
        <v>-72464.139113636804</v>
      </c>
      <c r="CU108" s="77">
        <f t="shared" si="101"/>
        <v>716992.72860256932</v>
      </c>
      <c r="CV108" s="65">
        <f t="shared" si="102"/>
        <v>630035.76166620513</v>
      </c>
      <c r="CW108" s="35">
        <f t="shared" si="103"/>
        <v>-86956.966936364188</v>
      </c>
      <c r="CX108" s="566">
        <f>VLOOKUP($A108,'01-02.2021'!$A$6:$CZ$403,102,FALSE)+VLOOKUP($A108,'1.3.21-28.2.22'!$A$6:$DA$404,102,FALSE)-VLOOKUP($A108,'01-02.2022'!$A$6:$DA$376,102,FALSE)</f>
        <v>25611.053853242687</v>
      </c>
      <c r="CY108" s="566">
        <f>VLOOKUP($A108,'01-02.2021'!$A$6:$CZ$403,103,FALSE)+VLOOKUP($A108,'1.3.21-28.2.22'!$A$6:$DA$404,103,FALSE)-VLOOKUP($A108,'01-02.2022'!$A$6:$DA$376,103,FALSE)</f>
        <v>112568.02078960682</v>
      </c>
      <c r="CZ108" s="52">
        <f t="shared" si="104"/>
        <v>86956.96693636413</v>
      </c>
      <c r="DA108" s="150">
        <f>'[2]побудинковий звіт'!DA108</f>
        <v>2558.66390363338</v>
      </c>
      <c r="DB108" s="2">
        <v>1</v>
      </c>
      <c r="DC108" s="414">
        <f>'[4]побудинковий звіт'!DC108</f>
        <v>82277.38</v>
      </c>
      <c r="DD108" s="414">
        <f>'[4]побудинковий звіт'!DD108</f>
        <v>4353.22</v>
      </c>
      <c r="DE108" s="557">
        <f>'[4]побудинковий звіт'!DE108</f>
        <v>15885.222821622039</v>
      </c>
      <c r="DF108" s="557">
        <f>'[4]побудинковий звіт'!DF108</f>
        <v>3753.8016237354473</v>
      </c>
      <c r="DG108" s="321">
        <f>VLOOKUP(A108,'кошти 01.03.2021'!$A$6:$D$401,4,)</f>
        <v>107844.32706510655</v>
      </c>
      <c r="DH108" s="40">
        <f>'[3]побудинковий звіт'!DJ108</f>
        <v>766408.13901265501</v>
      </c>
      <c r="DI108" s="422">
        <f>'[3]побудинковий звіт'!CU108+'[3]побудинковий звіт'!CX108</f>
        <v>66991.575554642506</v>
      </c>
      <c r="DJ108" s="306">
        <f>'[3]побудинковий звіт'!DM108</f>
        <v>6.0576674010013409</v>
      </c>
      <c r="DK108" s="306">
        <f>'[3]побудинковий звіт'!DN108</f>
        <v>7.3922848837902277</v>
      </c>
      <c r="DL108" s="306">
        <f>'[3]побудинковий звіт'!DO108</f>
        <v>5.2078051804044563</v>
      </c>
      <c r="DM108" s="28">
        <f>DJ108*G108+(F108-G108)*DK108</f>
        <v>66392.157178377965</v>
      </c>
      <c r="DN108" s="28">
        <f>DL108*H108</f>
        <v>599.41837626455288</v>
      </c>
      <c r="DO108" s="423">
        <f t="shared" si="105"/>
        <v>66991.575554642521</v>
      </c>
      <c r="DP108" s="94">
        <f t="shared" si="106"/>
        <v>0</v>
      </c>
      <c r="DQ108" s="28">
        <f t="shared" si="107"/>
        <v>66991.575554642521</v>
      </c>
      <c r="DR108" s="318"/>
      <c r="DT108" s="8"/>
      <c r="DU108" s="5"/>
      <c r="DX108" s="5">
        <f t="shared" si="108"/>
        <v>187501.82042902205</v>
      </c>
      <c r="DY108" s="5">
        <f t="shared" si="109"/>
        <v>102256.092</v>
      </c>
      <c r="DZ108" s="159">
        <f>'[3]побудинковий звіт'!EA108</f>
        <v>17227.985328333532</v>
      </c>
    </row>
    <row r="109" spans="1:130" x14ac:dyDescent="0.3">
      <c r="A109" s="325">
        <v>150000834</v>
      </c>
      <c r="B109" s="41" t="s">
        <v>558</v>
      </c>
      <c r="C109" s="42" t="s">
        <v>80</v>
      </c>
      <c r="D109" s="42"/>
      <c r="E109" s="293">
        <f t="shared" si="85"/>
        <v>198.8</v>
      </c>
      <c r="F109" s="305">
        <f>'[3]побудинковий звіт'!F109</f>
        <v>198.8</v>
      </c>
      <c r="G109" s="508">
        <f>'[3]побудинковий звіт'!G109</f>
        <v>0</v>
      </c>
      <c r="H109" s="560">
        <f>'[3]побудинковий звіт'!H109</f>
        <v>0</v>
      </c>
      <c r="I109" s="566"/>
      <c r="J109" s="566"/>
      <c r="K109" s="52">
        <f t="shared" si="94"/>
        <v>0</v>
      </c>
      <c r="L109" s="566"/>
      <c r="M109" s="566"/>
      <c r="N109" s="52">
        <f t="shared" si="95"/>
        <v>0</v>
      </c>
      <c r="O109" s="566"/>
      <c r="P109" s="566"/>
      <c r="Q109" s="70"/>
      <c r="R109" s="566"/>
      <c r="S109" s="566"/>
      <c r="T109" s="70"/>
      <c r="U109" s="566"/>
      <c r="V109" s="566"/>
      <c r="W109" s="70"/>
      <c r="X109" s="566"/>
      <c r="Y109" s="566"/>
      <c r="Z109" s="70"/>
      <c r="AA109" s="566"/>
      <c r="AB109" s="566"/>
      <c r="AC109" s="70"/>
      <c r="AD109" s="566"/>
      <c r="AE109" s="566"/>
      <c r="AF109" s="68"/>
      <c r="AG109" s="77">
        <f t="shared" si="86"/>
        <v>0</v>
      </c>
      <c r="AH109" s="53">
        <f t="shared" si="86"/>
        <v>0</v>
      </c>
      <c r="AI109" s="52">
        <f t="shared" si="96"/>
        <v>0</v>
      </c>
      <c r="AJ109" s="566"/>
      <c r="AK109" s="566"/>
      <c r="AL109" s="70"/>
      <c r="AM109" s="566"/>
      <c r="AN109" s="566"/>
      <c r="AO109" s="70"/>
      <c r="AP109" s="566"/>
      <c r="AQ109" s="566"/>
      <c r="AR109" s="70"/>
      <c r="AS109" s="566"/>
      <c r="AT109" s="566"/>
      <c r="AU109" s="78"/>
      <c r="AV109" s="566"/>
      <c r="AW109" s="566"/>
      <c r="AX109" s="55"/>
      <c r="AY109" s="566"/>
      <c r="AZ109" s="566"/>
      <c r="BA109" s="38"/>
      <c r="BB109" s="566"/>
      <c r="BC109" s="566"/>
      <c r="BD109" s="55"/>
      <c r="BE109" s="566"/>
      <c r="BF109" s="566"/>
      <c r="BG109" s="55"/>
      <c r="BH109" s="566"/>
      <c r="BI109" s="566"/>
      <c r="BJ109" s="55"/>
      <c r="BK109" s="566"/>
      <c r="BL109" s="566"/>
      <c r="BM109" s="55"/>
      <c r="BN109" s="566"/>
      <c r="BO109" s="566"/>
      <c r="BP109" s="55"/>
      <c r="BQ109" s="77">
        <f t="shared" si="139"/>
        <v>0</v>
      </c>
      <c r="BR109" s="40">
        <f t="shared" si="140"/>
        <v>0</v>
      </c>
      <c r="BS109" s="55">
        <f t="shared" si="110"/>
        <v>0</v>
      </c>
      <c r="BT109" s="566"/>
      <c r="BU109" s="566"/>
      <c r="BV109" s="70"/>
      <c r="BW109" s="566"/>
      <c r="BX109" s="566"/>
      <c r="BY109" s="70"/>
      <c r="BZ109" s="566"/>
      <c r="CA109" s="566"/>
      <c r="CB109" s="70"/>
      <c r="CC109" s="566"/>
      <c r="CD109" s="566"/>
      <c r="CE109" s="70"/>
      <c r="CF109" s="566"/>
      <c r="CG109" s="566"/>
      <c r="CH109" s="70"/>
      <c r="CI109" s="566"/>
      <c r="CJ109" s="566"/>
      <c r="CK109" s="70"/>
      <c r="CL109" s="566"/>
      <c r="CM109" s="566"/>
      <c r="CN109" s="52">
        <f t="shared" si="97"/>
        <v>0</v>
      </c>
      <c r="CO109" s="39">
        <f t="shared" si="89"/>
        <v>0</v>
      </c>
      <c r="CP109" s="40">
        <f t="shared" si="98"/>
        <v>0</v>
      </c>
      <c r="CQ109" s="52">
        <f t="shared" si="99"/>
        <v>0</v>
      </c>
      <c r="CR109" s="72">
        <f t="shared" si="90"/>
        <v>0</v>
      </c>
      <c r="CS109" s="5">
        <f t="shared" si="90"/>
        <v>0</v>
      </c>
      <c r="CT109" s="52">
        <f t="shared" si="100"/>
        <v>0</v>
      </c>
      <c r="CU109" s="77">
        <f t="shared" si="101"/>
        <v>0</v>
      </c>
      <c r="CV109" s="65">
        <f t="shared" si="102"/>
        <v>0</v>
      </c>
      <c r="CW109" s="35">
        <f t="shared" si="103"/>
        <v>0</v>
      </c>
      <c r="CX109" s="566"/>
      <c r="CY109" s="566"/>
      <c r="CZ109" s="52">
        <f t="shared" si="104"/>
        <v>0</v>
      </c>
      <c r="DA109" s="150">
        <f>'[2]побудинковий звіт'!DA109</f>
        <v>-7021.9025839317128</v>
      </c>
      <c r="DB109" s="2">
        <v>1</v>
      </c>
      <c r="DC109" s="414">
        <f>'[4]побудинковий звіт'!DC109</f>
        <v>1843.76</v>
      </c>
      <c r="DD109" s="414">
        <f>'[4]побудинковий звіт'!DD109</f>
        <v>0</v>
      </c>
      <c r="DE109" s="557">
        <f>'[4]побудинковий звіт'!DE109</f>
        <v>1493.1259535368561</v>
      </c>
      <c r="DF109" s="557">
        <f>'[4]побудинковий звіт'!DF109</f>
        <v>0</v>
      </c>
      <c r="DG109" s="321">
        <f>VLOOKUP(A109,'кошти 01.03.2021'!$A$6:$D$401,4,)</f>
        <v>-5234.7266919566491</v>
      </c>
      <c r="DH109" s="40">
        <f>'[3]побудинковий звіт'!DJ109</f>
        <v>4002.5604351266725</v>
      </c>
      <c r="DI109" s="422">
        <f>'[3]побудинковий звіт'!CU109+'[3]побудинковий звіт'!CX109</f>
        <v>350.63404646314393</v>
      </c>
      <c r="DJ109" s="306">
        <f>'[3]побудинковий звіт'!DM109</f>
        <v>1.7637527488085709</v>
      </c>
      <c r="DK109" s="306">
        <f>DJ109</f>
        <v>1.7637527488085709</v>
      </c>
      <c r="DL109" s="306">
        <f>'[3]побудинковий звіт'!DO109</f>
        <v>1.7637527488085709</v>
      </c>
      <c r="DM109" s="28">
        <f>F109*DJ109</f>
        <v>350.63404646314393</v>
      </c>
      <c r="DN109" s="28">
        <f>H109*DL109</f>
        <v>0</v>
      </c>
      <c r="DO109" s="423">
        <f t="shared" si="105"/>
        <v>350.63404646314393</v>
      </c>
      <c r="DP109" s="94">
        <f t="shared" si="106"/>
        <v>0</v>
      </c>
      <c r="DQ109" s="28">
        <f t="shared" si="107"/>
        <v>350.63404646314393</v>
      </c>
      <c r="DR109" s="318"/>
      <c r="DT109" s="8"/>
      <c r="DU109" s="5"/>
      <c r="DX109" s="5">
        <f t="shared" si="108"/>
        <v>0</v>
      </c>
      <c r="DY109" s="5">
        <f t="shared" si="109"/>
        <v>0</v>
      </c>
      <c r="DZ109" s="159">
        <f>'[3]побудинковий звіт'!EA109</f>
        <v>285.26093797578972</v>
      </c>
    </row>
    <row r="110" spans="1:130" x14ac:dyDescent="0.3">
      <c r="A110" s="325">
        <v>150000627</v>
      </c>
      <c r="B110" s="41" t="s">
        <v>559</v>
      </c>
      <c r="C110" s="42" t="s">
        <v>356</v>
      </c>
      <c r="D110" s="42"/>
      <c r="E110" s="293">
        <f t="shared" si="85"/>
        <v>3777.3500000000004</v>
      </c>
      <c r="F110" s="305">
        <f>'[3]побудинковий звіт'!F110</f>
        <v>3714.05</v>
      </c>
      <c r="G110" s="508">
        <f>'[3]побудинковий звіт'!G110</f>
        <v>340.25</v>
      </c>
      <c r="H110" s="560">
        <f>'[3]побудинковий звіт'!H110</f>
        <v>63.3</v>
      </c>
      <c r="I110" s="566">
        <f>VLOOKUP($A110,'01-02.2021'!$A$6:$CZ$403,9,FALSE)+VLOOKUP($A110,'1.3.21-28.2.22'!$A$6:$DA$404,9,FALSE)-VLOOKUP($A110,'01-02.2022'!$A$6:$DA$376,9,FALSE)</f>
        <v>9330.2959936296811</v>
      </c>
      <c r="J110" s="566">
        <f>VLOOKUP($A110,'01-02.2021'!$A$6:$CZ$403,10,FALSE)+VLOOKUP($A110,'1.3.21-28.2.22'!$A$6:$DA$404,10,FALSE)-VLOOKUP($A110,'01-02.2022'!$A$6:$DA$376,10,FALSE)</f>
        <v>8400.8224864687472</v>
      </c>
      <c r="K110" s="52">
        <f t="shared" si="94"/>
        <v>-929.47350716093388</v>
      </c>
      <c r="L110" s="566">
        <f>VLOOKUP($A110,'01-02.2021'!$A$6:$CZ$403,12,FALSE)+VLOOKUP($A110,'1.3.21-28.2.22'!$A$6:$DA$404,12,FALSE)-VLOOKUP($A110,'01-02.2022'!$A$6:$DA$376,12,FALSE)</f>
        <v>1923.7765104719811</v>
      </c>
      <c r="M110" s="566">
        <f>VLOOKUP($A110,'01-02.2021'!$A$6:$CZ$403,13,FALSE)+VLOOKUP($A110,'1.3.21-28.2.22'!$A$6:$DA$404,13,FALSE)-VLOOKUP($A110,'01-02.2022'!$A$6:$DA$376,13,FALSE)</f>
        <v>1740.1409889739818</v>
      </c>
      <c r="N110" s="52">
        <f t="shared" si="95"/>
        <v>-183.63552149799921</v>
      </c>
      <c r="O110" s="566">
        <f>VLOOKUP($A110,'01-02.2021'!$A$6:$CZ$403,15,FALSE)+VLOOKUP($A110,'1.3.21-28.2.22'!$A$6:$DA$404,15,FALSE)-VLOOKUP($A110,'01-02.2022'!$A$6:$DA$376,15,FALSE)</f>
        <v>5781.1517914378892</v>
      </c>
      <c r="P110" s="566">
        <f>VLOOKUP($A110,'01-02.2021'!$A$6:$CZ$403,16,FALSE)+VLOOKUP($A110,'1.3.21-28.2.22'!$A$6:$DA$404,16,FALSE)-VLOOKUP($A110,'01-02.2022'!$A$6:$DA$376,16,FALSE)</f>
        <v>5781.1699999999973</v>
      </c>
      <c r="Q110" s="70">
        <f t="shared" si="111"/>
        <v>1.8208562108156912E-2</v>
      </c>
      <c r="R110" s="566">
        <f>VLOOKUP($A110,'01-02.2021'!$A$6:$CZ$403,18,FALSE)+VLOOKUP($A110,'1.3.21-28.2.22'!$A$6:$DA$404,18,FALSE)-VLOOKUP($A110,'01-02.2022'!$A$6:$DA$376,18,FALSE)</f>
        <v>1058.2943277685085</v>
      </c>
      <c r="S110" s="566">
        <f>VLOOKUP($A110,'01-02.2021'!$A$6:$CZ$403,19,FALSE)+VLOOKUP($A110,'1.3.21-28.2.22'!$A$6:$DA$404,19,FALSE)-VLOOKUP($A110,'01-02.2022'!$A$6:$DA$376,19,FALSE)</f>
        <v>1058.3200000000002</v>
      </c>
      <c r="T110" s="70">
        <f t="shared" si="112"/>
        <v>2.5672231491626007E-2</v>
      </c>
      <c r="U110" s="566">
        <f>VLOOKUP($A110,'01-02.2021'!$A$6:$CZ$403,21,FALSE)+VLOOKUP($A110,'1.3.21-28.2.22'!$A$6:$DA$404,21,FALSE)-VLOOKUP($A110,'01-02.2022'!$A$6:$DA$376,21,FALSE)</f>
        <v>671.36656966572173</v>
      </c>
      <c r="V110" s="566">
        <f>VLOOKUP($A110,'01-02.2021'!$A$6:$CZ$403,22,FALSE)+VLOOKUP($A110,'1.3.21-28.2.22'!$A$6:$DA$404,22,FALSE)-VLOOKUP($A110,'01-02.2022'!$A$6:$DA$376,22,FALSE)</f>
        <v>472.63454975427715</v>
      </c>
      <c r="W110" s="70">
        <f t="shared" si="113"/>
        <v>-198.73201991144458</v>
      </c>
      <c r="X110" s="566">
        <f>VLOOKUP($A110,'01-02.2021'!$A$6:$CZ$403,24,FALSE)+VLOOKUP($A110,'1.3.21-28.2.22'!$A$6:$DA$404,24,FALSE)-VLOOKUP($A110,'01-02.2022'!$A$6:$DA$376,24,FALSE)</f>
        <v>6975.6232181962623</v>
      </c>
      <c r="Y110" s="566">
        <f>VLOOKUP($A110,'01-02.2021'!$A$6:$CZ$403,25,FALSE)+VLOOKUP($A110,'1.3.21-28.2.22'!$A$6:$DA$404,25,FALSE)-VLOOKUP($A110,'01-02.2022'!$A$6:$DA$376,25,FALSE)</f>
        <v>6577.0738905963208</v>
      </c>
      <c r="Z110" s="70">
        <f t="shared" si="114"/>
        <v>-398.54932759994153</v>
      </c>
      <c r="AA110" s="566">
        <f>VLOOKUP($A110,'01-02.2021'!$A$6:$CZ$403,27,FALSE)+VLOOKUP($A110,'1.3.21-28.2.22'!$A$6:$DA$404,27,FALSE)-VLOOKUP($A110,'01-02.2022'!$A$6:$DA$376,27,FALSE)</f>
        <v>755.45600000000013</v>
      </c>
      <c r="AB110" s="566">
        <f>VLOOKUP($A110,'01-02.2021'!$A$6:$CZ$403,28,FALSE)+VLOOKUP($A110,'1.3.21-28.2.22'!$A$6:$DA$404,28,FALSE)-VLOOKUP($A110,'01-02.2022'!$A$6:$DA$376,28,FALSE)</f>
        <v>0</v>
      </c>
      <c r="AC110" s="70">
        <f t="shared" si="115"/>
        <v>-755.45600000000013</v>
      </c>
      <c r="AD110" s="566">
        <f>VLOOKUP($A110,'01-02.2021'!$A$6:$CZ$403,30,FALSE)+VLOOKUP($A110,'1.3.21-28.2.22'!$A$6:$DA$404,30,FALSE)-VLOOKUP($A110,'01-02.2022'!$A$6:$DA$376,30,FALSE)</f>
        <v>16218.382763187985</v>
      </c>
      <c r="AE110" s="566">
        <f>VLOOKUP($A110,'01-02.2021'!$A$6:$CZ$403,31,FALSE)+VLOOKUP($A110,'1.3.21-28.2.22'!$A$6:$DA$404,31,FALSE)-VLOOKUP($A110,'01-02.2022'!$A$6:$DA$376,31,FALSE)</f>
        <v>17194.508940262527</v>
      </c>
      <c r="AF110" s="68">
        <f t="shared" si="116"/>
        <v>976.12617707454228</v>
      </c>
      <c r="AG110" s="77">
        <f t="shared" si="86"/>
        <v>42714.34717435803</v>
      </c>
      <c r="AH110" s="53">
        <f t="shared" si="86"/>
        <v>41224.670856055847</v>
      </c>
      <c r="AI110" s="52">
        <f t="shared" si="96"/>
        <v>-1489.6763183021831</v>
      </c>
      <c r="AJ110" s="566">
        <f>VLOOKUP($A110,'01-02.2021'!$A$6:$CZ$403,36,FALSE)+VLOOKUP($A110,'1.3.21-28.2.22'!$A$6:$DA$404,36,FALSE)-VLOOKUP($A110,'01-02.2022'!$A$6:$DA$376,36,FALSE)</f>
        <v>52777.88872375428</v>
      </c>
      <c r="AK110" s="566">
        <f>VLOOKUP($A110,'01-02.2021'!$A$6:$CZ$403,37,FALSE)+VLOOKUP($A110,'1.3.21-28.2.22'!$A$6:$DA$404,37,FALSE)-VLOOKUP($A110,'01-02.2022'!$A$6:$DA$376,37,FALSE)</f>
        <v>52431.85833159968</v>
      </c>
      <c r="AL110" s="70">
        <f t="shared" si="117"/>
        <v>-346.03039215460012</v>
      </c>
      <c r="AM110" s="566">
        <f>VLOOKUP($A110,'01-02.2021'!$A$6:$CZ$403,39,FALSE)+VLOOKUP($A110,'1.3.21-28.2.22'!$A$6:$DA$404,39,FALSE)-VLOOKUP($A110,'01-02.2022'!$A$6:$DA$376,39,FALSE)</f>
        <v>0</v>
      </c>
      <c r="AN110" s="566">
        <f>VLOOKUP($A110,'01-02.2021'!$A$6:$CZ$403,40,FALSE)+VLOOKUP($A110,'1.3.21-28.2.22'!$A$6:$DA$404,40,FALSE)-VLOOKUP($A110,'01-02.2022'!$A$6:$DA$376,40,FALSE)</f>
        <v>0</v>
      </c>
      <c r="AO110" s="70">
        <f t="shared" si="118"/>
        <v>0</v>
      </c>
      <c r="AP110" s="566">
        <f>VLOOKUP($A110,'01-02.2021'!$A$6:$CZ$403,42,FALSE)+VLOOKUP($A110,'1.3.21-28.2.22'!$A$6:$DA$404,42,FALSE)-VLOOKUP($A110,'01-02.2022'!$A$6:$DA$376,42,FALSE)</f>
        <v>3079.9795563256007</v>
      </c>
      <c r="AQ110" s="566">
        <f>VLOOKUP($A110,'01-02.2021'!$A$6:$CZ$403,43,FALSE)+VLOOKUP($A110,'1.3.21-28.2.22'!$A$6:$DA$404,43,FALSE)-VLOOKUP($A110,'01-02.2022'!$A$6:$DA$376,43,FALSE)</f>
        <v>2656.9410963651094</v>
      </c>
      <c r="AR110" s="70">
        <f t="shared" si="119"/>
        <v>-423.03845996049131</v>
      </c>
      <c r="AS110" s="566">
        <f>VLOOKUP($A110,'01-02.2021'!$A$6:$CZ$403,45,FALSE)+VLOOKUP($A110,'1.3.21-28.2.22'!$A$6:$DA$404,45,FALSE)-VLOOKUP($A110,'01-02.2022'!$A$6:$DA$376,45,FALSE)</f>
        <v>48011.743711336283</v>
      </c>
      <c r="AT110" s="566">
        <f>VLOOKUP($A110,'01-02.2021'!$A$6:$CZ$403,46,FALSE)+VLOOKUP($A110,'1.3.21-28.2.22'!$A$6:$DA$404,46,FALSE)-VLOOKUP($A110,'01-02.2022'!$A$6:$DA$376,46,FALSE)</f>
        <v>78374</v>
      </c>
      <c r="AU110" s="78">
        <f t="shared" si="120"/>
        <v>30362.256288663717</v>
      </c>
      <c r="AV110" s="566">
        <f>VLOOKUP($A110,'01-02.2021'!$A$6:$CZ$403,48,FALSE)+VLOOKUP($A110,'1.3.21-28.2.22'!$A$6:$DA$404,48,FALSE)-VLOOKUP($A110,'01-02.2022'!$A$6:$DA$376,48,FALSE)</f>
        <v>2110.722894961465</v>
      </c>
      <c r="AW110" s="566">
        <f>VLOOKUP($A110,'01-02.2021'!$A$6:$CZ$403,49,FALSE)+VLOOKUP($A110,'1.3.21-28.2.22'!$A$6:$DA$404,49,FALSE)-VLOOKUP($A110,'01-02.2022'!$A$6:$DA$376,49,FALSE)</f>
        <v>873</v>
      </c>
      <c r="AX110" s="55">
        <f t="shared" si="121"/>
        <v>-1237.722894961465</v>
      </c>
      <c r="AY110" s="566">
        <f>VLOOKUP($A110,'01-02.2021'!$A$6:$CZ$403,51,FALSE)+VLOOKUP($A110,'1.3.21-28.2.22'!$A$6:$DA$404,51,FALSE)-VLOOKUP($A110,'01-02.2022'!$A$6:$DA$376,51,FALSE)</f>
        <v>2702.8125257531019</v>
      </c>
      <c r="AZ110" s="566">
        <f>VLOOKUP($A110,'01-02.2021'!$A$6:$CZ$403,52,FALSE)+VLOOKUP($A110,'1.3.21-28.2.22'!$A$6:$DA$404,52,FALSE)-VLOOKUP($A110,'01-02.2022'!$A$6:$DA$376,52,FALSE)</f>
        <v>11511.5</v>
      </c>
      <c r="BA110" s="38">
        <f t="shared" si="122"/>
        <v>8808.6874742468972</v>
      </c>
      <c r="BB110" s="566">
        <f>VLOOKUP($A110,'01-02.2021'!$A$6:$CZ$403,54,FALSE)+VLOOKUP($A110,'1.3.21-28.2.22'!$A$6:$DA$404,54,FALSE)-VLOOKUP($A110,'01-02.2022'!$A$6:$DA$376,54,FALSE)</f>
        <v>1405.9566061931469</v>
      </c>
      <c r="BC110" s="566">
        <f>VLOOKUP($A110,'01-02.2021'!$A$6:$CZ$403,55,FALSE)+VLOOKUP($A110,'1.3.21-28.2.22'!$A$6:$DA$404,55,FALSE)-VLOOKUP($A110,'01-02.2022'!$A$6:$DA$376,55,FALSE)</f>
        <v>0</v>
      </c>
      <c r="BD110" s="55">
        <f t="shared" si="123"/>
        <v>-1405.9566061931469</v>
      </c>
      <c r="BE110" s="566">
        <f>VLOOKUP($A110,'01-02.2021'!$A$6:$CZ$403,57,FALSE)+VLOOKUP($A110,'1.3.21-28.2.22'!$A$6:$DA$404,57,FALSE)-VLOOKUP($A110,'01-02.2022'!$A$6:$DA$376,57,FALSE)</f>
        <v>2170.9376056809956</v>
      </c>
      <c r="BF110" s="566">
        <f>VLOOKUP($A110,'01-02.2021'!$A$6:$CZ$403,58,FALSE)+VLOOKUP($A110,'1.3.21-28.2.22'!$A$6:$DA$404,58,FALSE)-VLOOKUP($A110,'01-02.2022'!$A$6:$DA$376,58,FALSE)</f>
        <v>0</v>
      </c>
      <c r="BG110" s="55">
        <f t="shared" si="124"/>
        <v>-2170.9376056809956</v>
      </c>
      <c r="BH110" s="566">
        <f>VLOOKUP($A110,'01-02.2021'!$A$6:$CZ$403,60,FALSE)+VLOOKUP($A110,'1.3.21-28.2.22'!$A$6:$DA$404,60,FALSE)-VLOOKUP($A110,'01-02.2022'!$A$6:$DA$376,60,FALSE)</f>
        <v>1275.6779514917541</v>
      </c>
      <c r="BI110" s="566">
        <f>VLOOKUP($A110,'01-02.2021'!$A$6:$CZ$403,61,FALSE)+VLOOKUP($A110,'1.3.21-28.2.22'!$A$6:$DA$404,61,FALSE)-VLOOKUP($A110,'01-02.2022'!$A$6:$DA$376,61,FALSE)</f>
        <v>0</v>
      </c>
      <c r="BJ110" s="55">
        <f t="shared" si="125"/>
        <v>-1275.6779514917541</v>
      </c>
      <c r="BK110" s="566">
        <f>VLOOKUP($A110,'01-02.2021'!$A$6:$CZ$403,63,FALSE)+VLOOKUP($A110,'1.3.21-28.2.22'!$A$6:$DA$404,63,FALSE)-VLOOKUP($A110,'01-02.2022'!$A$6:$DA$376,63,FALSE)</f>
        <v>2118.5281684035972</v>
      </c>
      <c r="BL110" s="566">
        <f>VLOOKUP($A110,'01-02.2021'!$A$6:$CZ$403,64,FALSE)+VLOOKUP($A110,'1.3.21-28.2.22'!$A$6:$DA$404,64,FALSE)-VLOOKUP($A110,'01-02.2022'!$A$6:$DA$376,64,FALSE)</f>
        <v>0</v>
      </c>
      <c r="BM110" s="55">
        <f t="shared" si="126"/>
        <v>-2118.5281684035972</v>
      </c>
      <c r="BN110" s="566">
        <f>VLOOKUP($A110,'01-02.2021'!$A$6:$CZ$403,66,FALSE)+VLOOKUP($A110,'1.3.21-28.2.22'!$A$6:$DA$404,66,FALSE)-VLOOKUP($A110,'01-02.2022'!$A$6:$DA$376,66,FALSE)</f>
        <v>342.55708559508287</v>
      </c>
      <c r="BO110" s="566">
        <f>VLOOKUP($A110,'01-02.2021'!$A$6:$CZ$403,67,FALSE)+VLOOKUP($A110,'1.3.21-28.2.22'!$A$6:$DA$404,67,FALSE)-VLOOKUP($A110,'01-02.2022'!$A$6:$DA$376,67,FALSE)</f>
        <v>0</v>
      </c>
      <c r="BP110" s="55">
        <f t="shared" si="127"/>
        <v>-342.55708559508287</v>
      </c>
      <c r="BQ110" s="77">
        <f t="shared" si="139"/>
        <v>12127.192838079143</v>
      </c>
      <c r="BR110" s="40">
        <f t="shared" si="140"/>
        <v>12384.5</v>
      </c>
      <c r="BS110" s="55">
        <f t="shared" si="110"/>
        <v>257.30716192085674</v>
      </c>
      <c r="BT110" s="566">
        <f>VLOOKUP($A110,'01-02.2021'!$A$6:$CZ$403,72,FALSE)+VLOOKUP($A110,'1.3.21-28.2.22'!$A$6:$DA$404,72,FALSE)-VLOOKUP($A110,'01-02.2022'!$A$6:$DA$376,72,FALSE)</f>
        <v>36673.464251944468</v>
      </c>
      <c r="BU110" s="566">
        <f>VLOOKUP($A110,'01-02.2021'!$A$6:$CZ$403,73,FALSE)+VLOOKUP($A110,'1.3.21-28.2.22'!$A$6:$DA$404,73,FALSE)-VLOOKUP($A110,'01-02.2022'!$A$6:$DA$376,73,FALSE)</f>
        <v>26934.872131523058</v>
      </c>
      <c r="BV110" s="70">
        <f t="shared" si="128"/>
        <v>-9738.5921204214101</v>
      </c>
      <c r="BW110" s="566">
        <f>VLOOKUP($A110,'01-02.2021'!$A$6:$CZ$403,75,FALSE)+VLOOKUP($A110,'1.3.21-28.2.22'!$A$6:$DA$404,75,FALSE)-VLOOKUP($A110,'01-02.2022'!$A$6:$DA$376,75,FALSE)</f>
        <v>34874.028321551908</v>
      </c>
      <c r="BX110" s="566">
        <f>VLOOKUP($A110,'01-02.2021'!$A$6:$CZ$403,76,FALSE)+VLOOKUP($A110,'1.3.21-28.2.22'!$A$6:$DA$404,76,FALSE)-VLOOKUP($A110,'01-02.2022'!$A$6:$DA$376,76,FALSE)</f>
        <v>28667.828146218457</v>
      </c>
      <c r="BY110" s="70">
        <f t="shared" si="129"/>
        <v>-6206.2001753334516</v>
      </c>
      <c r="BZ110" s="566">
        <f>VLOOKUP($A110,'01-02.2021'!$A$6:$CZ$403,78,FALSE)+VLOOKUP($A110,'1.3.21-28.2.22'!$A$6:$DA$404,78,FALSE)-VLOOKUP($A110,'01-02.2022'!$A$6:$DA$376,78,FALSE)</f>
        <v>6313.5091450730415</v>
      </c>
      <c r="CA110" s="566">
        <f>VLOOKUP($A110,'01-02.2021'!$A$6:$CZ$403,79,FALSE)+VLOOKUP($A110,'1.3.21-28.2.22'!$A$6:$DA$404,79,FALSE)-VLOOKUP($A110,'01-02.2022'!$A$6:$DA$376,79,FALSE)</f>
        <v>8104.943266452271</v>
      </c>
      <c r="CB110" s="70">
        <f t="shared" si="130"/>
        <v>1791.4341213792295</v>
      </c>
      <c r="CC110" s="566">
        <f>VLOOKUP($A110,'01-02.2021'!$A$6:$CZ$403,81,FALSE)+VLOOKUP($A110,'1.3.21-28.2.22'!$A$6:$DA$404,81,FALSE)-VLOOKUP($A110,'01-02.2022'!$A$6:$DA$376,81,FALSE)</f>
        <v>1107.64025222995</v>
      </c>
      <c r="CD110" s="566">
        <f>VLOOKUP($A110,'01-02.2021'!$A$6:$CZ$403,82,FALSE)+VLOOKUP($A110,'1.3.21-28.2.22'!$A$6:$DA$404,82,FALSE)-VLOOKUP($A110,'01-02.2022'!$A$6:$DA$376,82,FALSE)</f>
        <v>1205.0077469212174</v>
      </c>
      <c r="CE110" s="70">
        <f t="shared" si="131"/>
        <v>97.367494691267439</v>
      </c>
      <c r="CF110" s="566">
        <f>VLOOKUP($A110,'01-02.2021'!$A$6:$CZ$403,84,FALSE)+VLOOKUP($A110,'1.3.21-28.2.22'!$A$6:$DA$404,84,FALSE)-VLOOKUP($A110,'01-02.2022'!$A$6:$DA$376,84,FALSE)</f>
        <v>134.02968825042004</v>
      </c>
      <c r="CG110" s="566">
        <f>VLOOKUP($A110,'01-02.2021'!$A$6:$CZ$403,85,FALSE)+VLOOKUP($A110,'1.3.21-28.2.22'!$A$6:$DA$404,85,FALSE)-VLOOKUP($A110,'01-02.2022'!$A$6:$DA$376,85,FALSE)</f>
        <v>0</v>
      </c>
      <c r="CH110" s="70">
        <f t="shared" si="132"/>
        <v>-134.02968825042004</v>
      </c>
      <c r="CI110" s="566">
        <f>VLOOKUP($A110,'01-02.2021'!$A$6:$CZ$403,87,FALSE)+VLOOKUP($A110,'1.3.21-28.2.22'!$A$6:$DA$404,87,FALSE)-VLOOKUP($A110,'01-02.2022'!$A$6:$DA$376,87,FALSE)</f>
        <v>14937.719308103106</v>
      </c>
      <c r="CJ110" s="566">
        <f>VLOOKUP($A110,'01-02.2021'!$A$6:$CZ$403,88,FALSE)+VLOOKUP($A110,'1.3.21-28.2.22'!$A$6:$DA$404,88,FALSE)-VLOOKUP($A110,'01-02.2022'!$A$6:$DA$376,88,FALSE)</f>
        <v>13152.928222881208</v>
      </c>
      <c r="CK110" s="70">
        <f t="shared" si="133"/>
        <v>-1784.7910852218974</v>
      </c>
      <c r="CL110" s="566">
        <f>VLOOKUP($A110,'01-02.2021'!$A$6:$CZ$403,90,FALSE)+VLOOKUP($A110,'1.3.21-28.2.22'!$A$6:$DA$404,90,FALSE)-VLOOKUP($A110,'01-02.2022'!$A$6:$DA$376,90,FALSE)</f>
        <v>8217.4064429986211</v>
      </c>
      <c r="CM110" s="566">
        <f>VLOOKUP($A110,'01-02.2021'!$A$6:$CZ$403,91,FALSE)+VLOOKUP($A110,'1.3.21-28.2.22'!$A$6:$DA$404,91,FALSE)-VLOOKUP($A110,'01-02.2022'!$A$6:$DA$376,91,FALSE)</f>
        <v>7650.4123154405434</v>
      </c>
      <c r="CN110" s="52">
        <f t="shared" si="97"/>
        <v>-566.99412755807771</v>
      </c>
      <c r="CO110" s="39">
        <f t="shared" si="89"/>
        <v>23155.125751101725</v>
      </c>
      <c r="CP110" s="40">
        <f t="shared" si="98"/>
        <v>20803.340538321751</v>
      </c>
      <c r="CQ110" s="52">
        <f t="shared" si="99"/>
        <v>-2351.7852127799742</v>
      </c>
      <c r="CR110" s="72">
        <f t="shared" si="90"/>
        <v>260968.94941400489</v>
      </c>
      <c r="CS110" s="5">
        <f t="shared" si="90"/>
        <v>272787.96211345738</v>
      </c>
      <c r="CT110" s="52">
        <f t="shared" si="100"/>
        <v>11819.012699452491</v>
      </c>
      <c r="CU110" s="77">
        <f t="shared" si="101"/>
        <v>313162.73929680587</v>
      </c>
      <c r="CV110" s="65">
        <f t="shared" si="102"/>
        <v>327345.55453614885</v>
      </c>
      <c r="CW110" s="35">
        <f t="shared" si="103"/>
        <v>14182.815239342977</v>
      </c>
      <c r="CX110" s="566">
        <f>VLOOKUP($A110,'01-02.2021'!$A$6:$CZ$403,102,FALSE)+VLOOKUP($A110,'1.3.21-28.2.22'!$A$6:$DA$404,102,FALSE)-VLOOKUP($A110,'01-02.2022'!$A$6:$DA$376,102,FALSE)</f>
        <v>10928.605405985232</v>
      </c>
      <c r="CY110" s="566">
        <f>VLOOKUP($A110,'01-02.2021'!$A$6:$CZ$403,103,FALSE)+VLOOKUP($A110,'1.3.21-28.2.22'!$A$6:$DA$404,103,FALSE)-VLOOKUP($A110,'01-02.2022'!$A$6:$DA$376,103,FALSE)</f>
        <v>-3254.2098333578688</v>
      </c>
      <c r="CZ110" s="52">
        <f t="shared" si="104"/>
        <v>-14182.815239343101</v>
      </c>
      <c r="DA110" s="150">
        <f>'[2]побудинковий звіт'!DA110</f>
        <v>50369.589969475215</v>
      </c>
      <c r="DB110" s="2">
        <v>1</v>
      </c>
      <c r="DC110" s="414">
        <f>'[4]побудинковий звіт'!DC110</f>
        <v>70589.97</v>
      </c>
      <c r="DD110" s="414">
        <f>'[4]побудинковий звіт'!DD110</f>
        <v>-271.22000000000003</v>
      </c>
      <c r="DE110" s="557">
        <f>'[4]побудинковий звіт'!DE110</f>
        <v>41499.63129591052</v>
      </c>
      <c r="DF110" s="557">
        <f>'[4]побудинковий звіт'!DF110</f>
        <v>-581.58083216106911</v>
      </c>
      <c r="DG110" s="321">
        <f>VLOOKUP(A110,'кошти 01.03.2021'!$A$6:$D$401,4,)</f>
        <v>123550.34226668082</v>
      </c>
      <c r="DH110" s="40">
        <f>'[3]побудинковий звіт'!DJ110</f>
        <v>335406.57694889727</v>
      </c>
      <c r="DI110" s="422">
        <f>'[3]побудинковий звіт'!CU110+'[3]побудинковий звіт'!CX110</f>
        <v>29400.699536250551</v>
      </c>
      <c r="DJ110" s="306">
        <f>'[3]побудинковий звіт'!DM110</f>
        <v>6.0277309476763064</v>
      </c>
      <c r="DK110" s="306">
        <f>'[3]побудинковий звіт'!DN110</f>
        <v>8.0145246455458583</v>
      </c>
      <c r="DL110" s="306">
        <f>'[3]побудинковий звіт'!DO110</f>
        <v>4.9030147260832395</v>
      </c>
      <c r="DM110" s="28">
        <f t="shared" ref="DM110:DM114" si="144">DJ110*G110+(F110-G110)*DK110</f>
        <v>29090.338704089481</v>
      </c>
      <c r="DN110" s="28">
        <f>DL110*H110</f>
        <v>310.36083216106903</v>
      </c>
      <c r="DO110" s="423">
        <f t="shared" si="105"/>
        <v>29400.699536250551</v>
      </c>
      <c r="DP110" s="94">
        <f t="shared" si="106"/>
        <v>0</v>
      </c>
      <c r="DQ110" s="28">
        <f t="shared" si="107"/>
        <v>29400.699536250551</v>
      </c>
      <c r="DR110" s="318"/>
      <c r="DT110" s="8"/>
      <c r="DU110" s="5"/>
      <c r="DX110" s="5">
        <f t="shared" si="108"/>
        <v>72166.723859298509</v>
      </c>
      <c r="DY110" s="5">
        <f t="shared" si="109"/>
        <v>108910.2</v>
      </c>
      <c r="DZ110" s="159">
        <f>'[3]побудинковий звіт'!EA110</f>
        <v>6675.1190825744789</v>
      </c>
    </row>
    <row r="111" spans="1:130" x14ac:dyDescent="0.3">
      <c r="A111" s="325">
        <v>150000628</v>
      </c>
      <c r="B111" s="41" t="s">
        <v>560</v>
      </c>
      <c r="C111" s="42" t="s">
        <v>357</v>
      </c>
      <c r="D111" s="42"/>
      <c r="E111" s="293">
        <f t="shared" si="85"/>
        <v>4652.96</v>
      </c>
      <c r="F111" s="305">
        <f>'[3]побудинковий звіт'!F111</f>
        <v>4509.26</v>
      </c>
      <c r="G111" s="508">
        <f>'[3]побудинковий звіт'!G111</f>
        <v>368.4</v>
      </c>
      <c r="H111" s="560">
        <f>'[3]побудинковий звіт'!H111</f>
        <v>143.69999999999999</v>
      </c>
      <c r="I111" s="566">
        <f>VLOOKUP($A111,'01-02.2021'!$A$6:$CZ$403,9,FALSE)+VLOOKUP($A111,'1.3.21-28.2.22'!$A$6:$DA$404,9,FALSE)-VLOOKUP($A111,'01-02.2022'!$A$6:$DA$376,9,FALSE)</f>
        <v>14921.581135291017</v>
      </c>
      <c r="J111" s="566">
        <f>VLOOKUP($A111,'01-02.2021'!$A$6:$CZ$403,10,FALSE)+VLOOKUP($A111,'1.3.21-28.2.22'!$A$6:$DA$404,10,FALSE)-VLOOKUP($A111,'01-02.2022'!$A$6:$DA$376,10,FALSE)</f>
        <v>13273.795012835941</v>
      </c>
      <c r="K111" s="52">
        <f t="shared" si="94"/>
        <v>-1647.7861224550761</v>
      </c>
      <c r="L111" s="566">
        <f>VLOOKUP($A111,'01-02.2021'!$A$6:$CZ$403,12,FALSE)+VLOOKUP($A111,'1.3.21-28.2.22'!$A$6:$DA$404,12,FALSE)-VLOOKUP($A111,'01-02.2022'!$A$6:$DA$376,12,FALSE)</f>
        <v>2347.9841309985804</v>
      </c>
      <c r="M111" s="566">
        <f>VLOOKUP($A111,'01-02.2021'!$A$6:$CZ$403,13,FALSE)+VLOOKUP($A111,'1.3.21-28.2.22'!$A$6:$DA$404,13,FALSE)-VLOOKUP($A111,'01-02.2022'!$A$6:$DA$376,13,FALSE)</f>
        <v>2124.3629168654024</v>
      </c>
      <c r="N111" s="52">
        <f t="shared" si="95"/>
        <v>-223.621214133178</v>
      </c>
      <c r="O111" s="566">
        <f>VLOOKUP($A111,'01-02.2021'!$A$6:$CZ$403,15,FALSE)+VLOOKUP($A111,'1.3.21-28.2.22'!$A$6:$DA$404,15,FALSE)-VLOOKUP($A111,'01-02.2022'!$A$6:$DA$376,15,FALSE)</f>
        <v>6695.9349759669858</v>
      </c>
      <c r="P111" s="566">
        <f>VLOOKUP($A111,'01-02.2021'!$A$6:$CZ$403,16,FALSE)+VLOOKUP($A111,'1.3.21-28.2.22'!$A$6:$DA$404,16,FALSE)-VLOOKUP($A111,'01-02.2022'!$A$6:$DA$376,16,FALSE)</f>
        <v>6695.9400000000023</v>
      </c>
      <c r="Q111" s="70">
        <f t="shared" si="111"/>
        <v>5.024033016525209E-3</v>
      </c>
      <c r="R111" s="566">
        <f>VLOOKUP($A111,'01-02.2021'!$A$6:$CZ$403,18,FALSE)+VLOOKUP($A111,'1.3.21-28.2.22'!$A$6:$DA$404,18,FALSE)-VLOOKUP($A111,'01-02.2022'!$A$6:$DA$376,18,FALSE)</f>
        <v>1295.3639629869836</v>
      </c>
      <c r="S111" s="566">
        <f>VLOOKUP($A111,'01-02.2021'!$A$6:$CZ$403,19,FALSE)+VLOOKUP($A111,'1.3.21-28.2.22'!$A$6:$DA$404,19,FALSE)-VLOOKUP($A111,'01-02.2022'!$A$6:$DA$376,19,FALSE)</f>
        <v>1295.3700000000001</v>
      </c>
      <c r="T111" s="70">
        <f t="shared" si="112"/>
        <v>6.0370130165665614E-3</v>
      </c>
      <c r="U111" s="566">
        <f>VLOOKUP($A111,'01-02.2021'!$A$6:$CZ$403,21,FALSE)+VLOOKUP($A111,'1.3.21-28.2.22'!$A$6:$DA$404,21,FALSE)-VLOOKUP($A111,'01-02.2022'!$A$6:$DA$376,21,FALSE)</f>
        <v>671.36656966572173</v>
      </c>
      <c r="V111" s="566">
        <f>VLOOKUP($A111,'01-02.2021'!$A$6:$CZ$403,22,FALSE)+VLOOKUP($A111,'1.3.21-28.2.22'!$A$6:$DA$404,22,FALSE)-VLOOKUP($A111,'01-02.2022'!$A$6:$DA$376,22,FALSE)</f>
        <v>454.29474368854687</v>
      </c>
      <c r="W111" s="70">
        <f t="shared" si="113"/>
        <v>-217.07182597717485</v>
      </c>
      <c r="X111" s="566">
        <f>VLOOKUP($A111,'01-02.2021'!$A$6:$CZ$403,24,FALSE)+VLOOKUP($A111,'1.3.21-28.2.22'!$A$6:$DA$404,24,FALSE)-VLOOKUP($A111,'01-02.2022'!$A$6:$DA$376,24,FALSE)</f>
        <v>5712.926112854022</v>
      </c>
      <c r="Y111" s="566">
        <f>VLOOKUP($A111,'01-02.2021'!$A$6:$CZ$403,25,FALSE)+VLOOKUP($A111,'1.3.21-28.2.22'!$A$6:$DA$404,25,FALSE)-VLOOKUP($A111,'01-02.2022'!$A$6:$DA$376,25,FALSE)</f>
        <v>6058.6181537849716</v>
      </c>
      <c r="Z111" s="70">
        <f t="shared" si="114"/>
        <v>345.69204093094959</v>
      </c>
      <c r="AA111" s="566">
        <f>VLOOKUP($A111,'01-02.2021'!$A$6:$CZ$403,27,FALSE)+VLOOKUP($A111,'1.3.21-28.2.22'!$A$6:$DA$404,27,FALSE)-VLOOKUP($A111,'01-02.2022'!$A$6:$DA$376,27,FALSE)</f>
        <v>930.30399999999986</v>
      </c>
      <c r="AB111" s="566">
        <f>VLOOKUP($A111,'01-02.2021'!$A$6:$CZ$403,28,FALSE)+VLOOKUP($A111,'1.3.21-28.2.22'!$A$6:$DA$404,28,FALSE)-VLOOKUP($A111,'01-02.2022'!$A$6:$DA$376,28,FALSE)</f>
        <v>0</v>
      </c>
      <c r="AC111" s="70">
        <f t="shared" si="115"/>
        <v>-930.30399999999986</v>
      </c>
      <c r="AD111" s="566">
        <f>VLOOKUP($A111,'01-02.2021'!$A$6:$CZ$403,30,FALSE)+VLOOKUP($A111,'1.3.21-28.2.22'!$A$6:$DA$404,30,FALSE)-VLOOKUP($A111,'01-02.2022'!$A$6:$DA$376,30,FALSE)</f>
        <v>19968.909216979246</v>
      </c>
      <c r="AE111" s="566">
        <f>VLOOKUP($A111,'01-02.2021'!$A$6:$CZ$403,31,FALSE)+VLOOKUP($A111,'1.3.21-28.2.22'!$A$6:$DA$404,31,FALSE)-VLOOKUP($A111,'01-02.2022'!$A$6:$DA$376,31,FALSE)</f>
        <v>21180.461398229214</v>
      </c>
      <c r="AF111" s="68">
        <f t="shared" si="116"/>
        <v>1211.5521812499683</v>
      </c>
      <c r="AG111" s="77">
        <f t="shared" si="86"/>
        <v>52544.370104742557</v>
      </c>
      <c r="AH111" s="53">
        <f t="shared" si="86"/>
        <v>51082.842225404078</v>
      </c>
      <c r="AI111" s="52">
        <f t="shared" si="96"/>
        <v>-1461.5278793384787</v>
      </c>
      <c r="AJ111" s="566">
        <f>VLOOKUP($A111,'01-02.2021'!$A$6:$CZ$403,36,FALSE)+VLOOKUP($A111,'1.3.21-28.2.22'!$A$6:$DA$404,36,FALSE)-VLOOKUP($A111,'01-02.2022'!$A$6:$DA$376,36,FALSE)</f>
        <v>38000.132837803321</v>
      </c>
      <c r="AK111" s="566">
        <f>VLOOKUP($A111,'01-02.2021'!$A$6:$CZ$403,37,FALSE)+VLOOKUP($A111,'1.3.21-28.2.22'!$A$6:$DA$404,37,FALSE)-VLOOKUP($A111,'01-02.2022'!$A$6:$DA$376,37,FALSE)</f>
        <v>37750.952117929199</v>
      </c>
      <c r="AL111" s="70">
        <f t="shared" si="117"/>
        <v>-249.18071987412259</v>
      </c>
      <c r="AM111" s="566">
        <f>VLOOKUP($A111,'01-02.2021'!$A$6:$CZ$403,39,FALSE)+VLOOKUP($A111,'1.3.21-28.2.22'!$A$6:$DA$404,39,FALSE)-VLOOKUP($A111,'01-02.2022'!$A$6:$DA$376,39,FALSE)</f>
        <v>0</v>
      </c>
      <c r="AN111" s="566">
        <f>VLOOKUP($A111,'01-02.2021'!$A$6:$CZ$403,40,FALSE)+VLOOKUP($A111,'1.3.21-28.2.22'!$A$6:$DA$404,40,FALSE)-VLOOKUP($A111,'01-02.2022'!$A$6:$DA$376,40,FALSE)</f>
        <v>0</v>
      </c>
      <c r="AO111" s="70">
        <f t="shared" si="118"/>
        <v>0</v>
      </c>
      <c r="AP111" s="566">
        <f>VLOOKUP($A111,'01-02.2021'!$A$6:$CZ$403,42,FALSE)+VLOOKUP($A111,'1.3.21-28.2.22'!$A$6:$DA$404,42,FALSE)-VLOOKUP($A111,'01-02.2022'!$A$6:$DA$376,42,FALSE)</f>
        <v>3036.5995625745354</v>
      </c>
      <c r="AQ111" s="566">
        <f>VLOOKUP($A111,'01-02.2021'!$A$6:$CZ$403,43,FALSE)+VLOOKUP($A111,'1.3.21-28.2.22'!$A$6:$DA$404,43,FALSE)-VLOOKUP($A111,'01-02.2022'!$A$6:$DA$376,43,FALSE)</f>
        <v>2602.5945144551524</v>
      </c>
      <c r="AR111" s="70">
        <f t="shared" si="119"/>
        <v>-434.00504811938299</v>
      </c>
      <c r="AS111" s="566">
        <f>VLOOKUP($A111,'01-02.2021'!$A$6:$CZ$403,45,FALSE)+VLOOKUP($A111,'1.3.21-28.2.22'!$A$6:$DA$404,45,FALSE)-VLOOKUP($A111,'01-02.2022'!$A$6:$DA$376,45,FALSE)</f>
        <v>54664.818560491898</v>
      </c>
      <c r="AT111" s="566">
        <f>VLOOKUP($A111,'01-02.2021'!$A$6:$CZ$403,46,FALSE)+VLOOKUP($A111,'1.3.21-28.2.22'!$A$6:$DA$404,46,FALSE)-VLOOKUP($A111,'01-02.2022'!$A$6:$DA$376,46,FALSE)</f>
        <v>22764.255109518963</v>
      </c>
      <c r="AU111" s="78">
        <f t="shared" si="120"/>
        <v>-31900.563450972935</v>
      </c>
      <c r="AV111" s="566">
        <f>VLOOKUP($A111,'01-02.2021'!$A$6:$CZ$403,48,FALSE)+VLOOKUP($A111,'1.3.21-28.2.22'!$A$6:$DA$404,48,FALSE)-VLOOKUP($A111,'01-02.2022'!$A$6:$DA$376,48,FALSE)</f>
        <v>3127.7948035488653</v>
      </c>
      <c r="AW111" s="566">
        <f>VLOOKUP($A111,'01-02.2021'!$A$6:$CZ$403,49,FALSE)+VLOOKUP($A111,'1.3.21-28.2.22'!$A$6:$DA$404,49,FALSE)-VLOOKUP($A111,'01-02.2022'!$A$6:$DA$376,49,FALSE)</f>
        <v>975.55</v>
      </c>
      <c r="AX111" s="55">
        <f t="shared" si="121"/>
        <v>-2152.2448035488651</v>
      </c>
      <c r="AY111" s="566">
        <f>VLOOKUP($A111,'01-02.2021'!$A$6:$CZ$403,51,FALSE)+VLOOKUP($A111,'1.3.21-28.2.22'!$A$6:$DA$404,51,FALSE)-VLOOKUP($A111,'01-02.2022'!$A$6:$DA$376,51,FALSE)</f>
        <v>3372.183342023397</v>
      </c>
      <c r="AZ111" s="566">
        <f>VLOOKUP($A111,'01-02.2021'!$A$6:$CZ$403,52,FALSE)+VLOOKUP($A111,'1.3.21-28.2.22'!$A$6:$DA$404,52,FALSE)-VLOOKUP($A111,'01-02.2022'!$A$6:$DA$376,52,FALSE)</f>
        <v>2980</v>
      </c>
      <c r="BA111" s="38">
        <f t="shared" si="122"/>
        <v>-392.18334202339702</v>
      </c>
      <c r="BB111" s="566">
        <f>VLOOKUP($A111,'01-02.2021'!$A$6:$CZ$403,54,FALSE)+VLOOKUP($A111,'1.3.21-28.2.22'!$A$6:$DA$404,54,FALSE)-VLOOKUP($A111,'01-02.2022'!$A$6:$DA$376,54,FALSE)</f>
        <v>1602.2041003225042</v>
      </c>
      <c r="BC111" s="566">
        <f>VLOOKUP($A111,'01-02.2021'!$A$6:$CZ$403,55,FALSE)+VLOOKUP($A111,'1.3.21-28.2.22'!$A$6:$DA$404,55,FALSE)-VLOOKUP($A111,'01-02.2022'!$A$6:$DA$376,55,FALSE)</f>
        <v>0</v>
      </c>
      <c r="BD111" s="55">
        <f t="shared" si="123"/>
        <v>-1602.2041003225042</v>
      </c>
      <c r="BE111" s="566">
        <f>VLOOKUP($A111,'01-02.2021'!$A$6:$CZ$403,57,FALSE)+VLOOKUP($A111,'1.3.21-28.2.22'!$A$6:$DA$404,57,FALSE)-VLOOKUP($A111,'01-02.2022'!$A$6:$DA$376,57,FALSE)</f>
        <v>2654.3464729326711</v>
      </c>
      <c r="BF111" s="566">
        <f>VLOOKUP($A111,'01-02.2021'!$A$6:$CZ$403,58,FALSE)+VLOOKUP($A111,'1.3.21-28.2.22'!$A$6:$DA$404,58,FALSE)-VLOOKUP($A111,'01-02.2022'!$A$6:$DA$376,58,FALSE)</f>
        <v>0</v>
      </c>
      <c r="BG111" s="55">
        <f t="shared" si="124"/>
        <v>-2654.3464729326711</v>
      </c>
      <c r="BH111" s="566">
        <f>VLOOKUP($A111,'01-02.2021'!$A$6:$CZ$403,60,FALSE)+VLOOKUP($A111,'1.3.21-28.2.22'!$A$6:$DA$404,60,FALSE)-VLOOKUP($A111,'01-02.2022'!$A$6:$DA$376,60,FALSE)</f>
        <v>1275.6779514917541</v>
      </c>
      <c r="BI111" s="566">
        <f>VLOOKUP($A111,'01-02.2021'!$A$6:$CZ$403,61,FALSE)+VLOOKUP($A111,'1.3.21-28.2.22'!$A$6:$DA$404,61,FALSE)-VLOOKUP($A111,'01-02.2022'!$A$6:$DA$376,61,FALSE)</f>
        <v>3374</v>
      </c>
      <c r="BJ111" s="55">
        <f t="shared" si="125"/>
        <v>2098.3220485082456</v>
      </c>
      <c r="BK111" s="566">
        <f>VLOOKUP($A111,'01-02.2021'!$A$6:$CZ$403,63,FALSE)+VLOOKUP($A111,'1.3.21-28.2.22'!$A$6:$DA$404,63,FALSE)-VLOOKUP($A111,'01-02.2022'!$A$6:$DA$376,63,FALSE)</f>
        <v>1584.7756193655207</v>
      </c>
      <c r="BL111" s="566">
        <f>VLOOKUP($A111,'01-02.2021'!$A$6:$CZ$403,64,FALSE)+VLOOKUP($A111,'1.3.21-28.2.22'!$A$6:$DA$404,64,FALSE)-VLOOKUP($A111,'01-02.2022'!$A$6:$DA$376,64,FALSE)</f>
        <v>411</v>
      </c>
      <c r="BM111" s="55">
        <f t="shared" si="126"/>
        <v>-1173.7756193655207</v>
      </c>
      <c r="BN111" s="566">
        <f>VLOOKUP($A111,'01-02.2021'!$A$6:$CZ$403,66,FALSE)+VLOOKUP($A111,'1.3.21-28.2.22'!$A$6:$DA$404,66,FALSE)-VLOOKUP($A111,'01-02.2022'!$A$6:$DA$376,66,FALSE)</f>
        <v>346.04974756361975</v>
      </c>
      <c r="BO111" s="566">
        <f>VLOOKUP($A111,'01-02.2021'!$A$6:$CZ$403,67,FALSE)+VLOOKUP($A111,'1.3.21-28.2.22'!$A$6:$DA$404,67,FALSE)-VLOOKUP($A111,'01-02.2022'!$A$6:$DA$376,67,FALSE)</f>
        <v>0</v>
      </c>
      <c r="BP111" s="55">
        <f t="shared" si="127"/>
        <v>-346.04974756361975</v>
      </c>
      <c r="BQ111" s="77">
        <f t="shared" si="139"/>
        <v>13963.032037248333</v>
      </c>
      <c r="BR111" s="40">
        <f t="shared" si="140"/>
        <v>7740.55</v>
      </c>
      <c r="BS111" s="55">
        <f t="shared" si="110"/>
        <v>-6222.4820372483327</v>
      </c>
      <c r="BT111" s="566">
        <f>VLOOKUP($A111,'01-02.2021'!$A$6:$CZ$403,72,FALSE)+VLOOKUP($A111,'1.3.21-28.2.22'!$A$6:$DA$404,72,FALSE)-VLOOKUP($A111,'01-02.2022'!$A$6:$DA$376,72,FALSE)</f>
        <v>47259.545458273911</v>
      </c>
      <c r="BU111" s="566">
        <f>VLOOKUP($A111,'01-02.2021'!$A$6:$CZ$403,73,FALSE)+VLOOKUP($A111,'1.3.21-28.2.22'!$A$6:$DA$404,73,FALSE)-VLOOKUP($A111,'01-02.2022'!$A$6:$DA$376,73,FALSE)</f>
        <v>47669.022534133677</v>
      </c>
      <c r="BV111" s="70">
        <f t="shared" si="128"/>
        <v>409.47707585976605</v>
      </c>
      <c r="BW111" s="566">
        <f>VLOOKUP($A111,'01-02.2021'!$A$6:$CZ$403,75,FALSE)+VLOOKUP($A111,'1.3.21-28.2.22'!$A$6:$DA$404,75,FALSE)-VLOOKUP($A111,'01-02.2022'!$A$6:$DA$376,75,FALSE)</f>
        <v>35254.485876993596</v>
      </c>
      <c r="BX111" s="566">
        <f>VLOOKUP($A111,'01-02.2021'!$A$6:$CZ$403,76,FALSE)+VLOOKUP($A111,'1.3.21-28.2.22'!$A$6:$DA$404,76,FALSE)-VLOOKUP($A111,'01-02.2022'!$A$6:$DA$376,76,FALSE)</f>
        <v>35866.625894045806</v>
      </c>
      <c r="BY111" s="70">
        <f t="shared" si="129"/>
        <v>612.14001705221017</v>
      </c>
      <c r="BZ111" s="566">
        <f>VLOOKUP($A111,'01-02.2021'!$A$6:$CZ$403,78,FALSE)+VLOOKUP($A111,'1.3.21-28.2.22'!$A$6:$DA$404,78,FALSE)-VLOOKUP($A111,'01-02.2022'!$A$6:$DA$376,78,FALSE)</f>
        <v>6300.7337581888405</v>
      </c>
      <c r="CA111" s="566">
        <f>VLOOKUP($A111,'01-02.2021'!$A$6:$CZ$403,79,FALSE)+VLOOKUP($A111,'1.3.21-28.2.22'!$A$6:$DA$404,79,FALSE)-VLOOKUP($A111,'01-02.2022'!$A$6:$DA$376,79,FALSE)</f>
        <v>12939.054588922703</v>
      </c>
      <c r="CB111" s="70">
        <f t="shared" si="130"/>
        <v>6638.3208307338627</v>
      </c>
      <c r="CC111" s="566">
        <f>VLOOKUP($A111,'01-02.2021'!$A$6:$CZ$403,81,FALSE)+VLOOKUP($A111,'1.3.21-28.2.22'!$A$6:$DA$404,81,FALSE)-VLOOKUP($A111,'01-02.2022'!$A$6:$DA$376,81,FALSE)</f>
        <v>969.84167673748993</v>
      </c>
      <c r="CD111" s="566">
        <f>VLOOKUP($A111,'01-02.2021'!$A$6:$CZ$403,82,FALSE)+VLOOKUP($A111,'1.3.21-28.2.22'!$A$6:$DA$404,82,FALSE)-VLOOKUP($A111,'01-02.2022'!$A$6:$DA$376,82,FALSE)</f>
        <v>1041.2457929428251</v>
      </c>
      <c r="CE111" s="70">
        <f t="shared" si="131"/>
        <v>71.404116205335185</v>
      </c>
      <c r="CF111" s="566">
        <f>VLOOKUP($A111,'01-02.2021'!$A$6:$CZ$403,84,FALSE)+VLOOKUP($A111,'1.3.21-28.2.22'!$A$6:$DA$404,84,FALSE)-VLOOKUP($A111,'01-02.2022'!$A$6:$DA$376,84,FALSE)</f>
        <v>115.81489776871324</v>
      </c>
      <c r="CG111" s="566">
        <f>VLOOKUP($A111,'01-02.2021'!$A$6:$CZ$403,85,FALSE)+VLOOKUP($A111,'1.3.21-28.2.22'!$A$6:$DA$404,85,FALSE)-VLOOKUP($A111,'01-02.2022'!$A$6:$DA$376,85,FALSE)</f>
        <v>0</v>
      </c>
      <c r="CH111" s="70">
        <f t="shared" si="132"/>
        <v>-115.81489776871324</v>
      </c>
      <c r="CI111" s="566">
        <f>VLOOKUP($A111,'01-02.2021'!$A$6:$CZ$403,87,FALSE)+VLOOKUP($A111,'1.3.21-28.2.22'!$A$6:$DA$404,87,FALSE)-VLOOKUP($A111,'01-02.2022'!$A$6:$DA$376,87,FALSE)</f>
        <v>9092.0457114936271</v>
      </c>
      <c r="CJ111" s="566">
        <f>VLOOKUP($A111,'01-02.2021'!$A$6:$CZ$403,88,FALSE)+VLOOKUP($A111,'1.3.21-28.2.22'!$A$6:$DA$404,88,FALSE)-VLOOKUP($A111,'01-02.2022'!$A$6:$DA$376,88,FALSE)</f>
        <v>8618.8990956544749</v>
      </c>
      <c r="CK111" s="70">
        <f t="shared" si="133"/>
        <v>-473.14661583915222</v>
      </c>
      <c r="CL111" s="566">
        <f>VLOOKUP($A111,'01-02.2021'!$A$6:$CZ$403,90,FALSE)+VLOOKUP($A111,'1.3.21-28.2.22'!$A$6:$DA$404,90,FALSE)-VLOOKUP($A111,'01-02.2022'!$A$6:$DA$376,90,FALSE)</f>
        <v>13623.290260887075</v>
      </c>
      <c r="CM111" s="566">
        <f>VLOOKUP($A111,'01-02.2021'!$A$6:$CZ$403,91,FALSE)+VLOOKUP($A111,'1.3.21-28.2.22'!$A$6:$DA$404,91,FALSE)-VLOOKUP($A111,'01-02.2022'!$A$6:$DA$376,91,FALSE)</f>
        <v>12924.507680095783</v>
      </c>
      <c r="CN111" s="52">
        <f t="shared" si="97"/>
        <v>-698.78258079129228</v>
      </c>
      <c r="CO111" s="39">
        <f t="shared" si="89"/>
        <v>22715.335972380701</v>
      </c>
      <c r="CP111" s="40">
        <f t="shared" si="98"/>
        <v>21543.406775750256</v>
      </c>
      <c r="CQ111" s="52">
        <f t="shared" si="99"/>
        <v>-1171.9291966304445</v>
      </c>
      <c r="CR111" s="72">
        <f t="shared" si="90"/>
        <v>274824.71074320393</v>
      </c>
      <c r="CS111" s="5">
        <f t="shared" si="90"/>
        <v>241000.54955310267</v>
      </c>
      <c r="CT111" s="52">
        <f t="shared" si="100"/>
        <v>-33824.161190101266</v>
      </c>
      <c r="CU111" s="77">
        <f t="shared" si="101"/>
        <v>329789.65289184469</v>
      </c>
      <c r="CV111" s="65">
        <f t="shared" si="102"/>
        <v>289200.65946372319</v>
      </c>
      <c r="CW111" s="35">
        <f t="shared" si="103"/>
        <v>-40588.993428121496</v>
      </c>
      <c r="CX111" s="566">
        <f>VLOOKUP($A111,'01-02.2021'!$A$6:$CZ$403,102,FALSE)+VLOOKUP($A111,'1.3.21-28.2.22'!$A$6:$DA$404,102,FALSE)-VLOOKUP($A111,'01-02.2022'!$A$6:$DA$376,102,FALSE)</f>
        <v>9418.9871913463303</v>
      </c>
      <c r="CY111" s="566">
        <f>VLOOKUP($A111,'01-02.2021'!$A$6:$CZ$403,103,FALSE)+VLOOKUP($A111,'1.3.21-28.2.22'!$A$6:$DA$404,103,FALSE)-VLOOKUP($A111,'01-02.2022'!$A$6:$DA$376,103,FALSE)</f>
        <v>50007.980619467809</v>
      </c>
      <c r="CZ111" s="52">
        <f t="shared" si="104"/>
        <v>40588.993428121481</v>
      </c>
      <c r="DA111" s="150">
        <f>'[2]побудинковий звіт'!DA111</f>
        <v>-8297.6275256314839</v>
      </c>
      <c r="DB111" s="2">
        <v>1</v>
      </c>
      <c r="DC111" s="414">
        <f>'[4]побудинковий звіт'!DC111</f>
        <v>49067.93</v>
      </c>
      <c r="DD111" s="414">
        <f>'[4]побудинковий звіт'!DD111</f>
        <v>643</v>
      </c>
      <c r="DE111" s="557">
        <f>'[4]побудинковий звіт'!DE111</f>
        <v>19146.353842053832</v>
      </c>
      <c r="DF111" s="557">
        <f>'[4]побудинковий звіт'!DF111</f>
        <v>-0.13024387639495671</v>
      </c>
      <c r="DG111" s="321">
        <f>VLOOKUP(A111,'кошти 01.03.2021'!$A$6:$D$401,4,)</f>
        <v>45545.416588375971</v>
      </c>
      <c r="DH111" s="40">
        <f>'[3]побудинковий звіт'!DJ111</f>
        <v>350054.0774636289</v>
      </c>
      <c r="DI111" s="422">
        <f>'[3]побудинковий звіт'!CU111+'[3]побудинковий звіт'!CX111</f>
        <v>30564.706401822557</v>
      </c>
      <c r="DJ111" s="306">
        <f>'[3]побудинковий звіт'!DM111</f>
        <v>5.4027984175394712</v>
      </c>
      <c r="DK111" s="306">
        <f>'[3]побудинковий звіт'!DN111</f>
        <v>6.7452619071701587</v>
      </c>
      <c r="DL111" s="306">
        <f>'[3]побудинковий звіт'!DO111</f>
        <v>4.4755062204342035</v>
      </c>
      <c r="DM111" s="28">
        <f t="shared" si="144"/>
        <v>29921.576157946169</v>
      </c>
      <c r="DN111" s="28">
        <f>DL111*H111</f>
        <v>643.13024387639496</v>
      </c>
      <c r="DO111" s="423">
        <f t="shared" si="105"/>
        <v>30564.706401822565</v>
      </c>
      <c r="DP111" s="94">
        <f t="shared" si="106"/>
        <v>0</v>
      </c>
      <c r="DQ111" s="28">
        <f t="shared" si="107"/>
        <v>30564.706401822565</v>
      </c>
      <c r="DR111" s="318"/>
      <c r="DT111" s="8"/>
      <c r="DU111" s="5"/>
      <c r="DX111" s="5">
        <f t="shared" si="108"/>
        <v>82353.420717288289</v>
      </c>
      <c r="DY111" s="5">
        <f t="shared" si="109"/>
        <v>36605.766131422752</v>
      </c>
      <c r="DZ111" s="159">
        <f>'[3]побудинковий звіт'!EA111</f>
        <v>7583.5082547959846</v>
      </c>
    </row>
    <row r="112" spans="1:130" x14ac:dyDescent="0.3">
      <c r="A112" s="325">
        <v>150000625</v>
      </c>
      <c r="B112" s="41" t="s">
        <v>561</v>
      </c>
      <c r="C112" s="42" t="s">
        <v>416</v>
      </c>
      <c r="D112" s="42"/>
      <c r="E112" s="293">
        <f t="shared" si="85"/>
        <v>4850.6500000000005</v>
      </c>
      <c r="F112" s="305">
        <f>'[3]побудинковий звіт'!F112</f>
        <v>4786.05</v>
      </c>
      <c r="G112" s="508">
        <f>'[3]побудинковий звіт'!G112</f>
        <v>340.9</v>
      </c>
      <c r="H112" s="560">
        <f>'[3]побудинковий звіт'!H112</f>
        <v>64.599999999999994</v>
      </c>
      <c r="I112" s="566">
        <f>VLOOKUP($A112,'01-02.2021'!$A$6:$CZ$403,9,FALSE)+VLOOKUP($A112,'1.3.21-28.2.22'!$A$6:$DA$404,9,FALSE)-VLOOKUP($A112,'01-02.2022'!$A$6:$DA$376,9,FALSE)</f>
        <v>16259.19606012588</v>
      </c>
      <c r="J112" s="566">
        <f>VLOOKUP($A112,'01-02.2021'!$A$6:$CZ$403,10,FALSE)+VLOOKUP($A112,'1.3.21-28.2.22'!$A$6:$DA$404,10,FALSE)-VLOOKUP($A112,'01-02.2022'!$A$6:$DA$376,10,FALSE)</f>
        <v>14421.477291764368</v>
      </c>
      <c r="K112" s="52">
        <f t="shared" si="94"/>
        <v>-1837.718768361512</v>
      </c>
      <c r="L112" s="566">
        <f>VLOOKUP($A112,'01-02.2021'!$A$6:$CZ$403,12,FALSE)+VLOOKUP($A112,'1.3.21-28.2.22'!$A$6:$DA$404,12,FALSE)-VLOOKUP($A112,'01-02.2022'!$A$6:$DA$376,12,FALSE)</f>
        <v>2567.1318472822518</v>
      </c>
      <c r="M112" s="566">
        <f>VLOOKUP($A112,'01-02.2021'!$A$6:$CZ$403,13,FALSE)+VLOOKUP($A112,'1.3.21-28.2.22'!$A$6:$DA$404,13,FALSE)-VLOOKUP($A112,'01-02.2022'!$A$6:$DA$376,13,FALSE)</f>
        <v>2321.6065878490899</v>
      </c>
      <c r="N112" s="52">
        <f t="shared" si="95"/>
        <v>-245.52525943316186</v>
      </c>
      <c r="O112" s="566">
        <f>VLOOKUP($A112,'01-02.2021'!$A$6:$CZ$403,15,FALSE)+VLOOKUP($A112,'1.3.21-28.2.22'!$A$6:$DA$404,15,FALSE)-VLOOKUP($A112,'01-02.2022'!$A$6:$DA$376,15,FALSE)</f>
        <v>7217.7451774388319</v>
      </c>
      <c r="P112" s="566">
        <f>VLOOKUP($A112,'01-02.2021'!$A$6:$CZ$403,16,FALSE)+VLOOKUP($A112,'1.3.21-28.2.22'!$A$6:$DA$404,16,FALSE)-VLOOKUP($A112,'01-02.2022'!$A$6:$DA$376,16,FALSE)</f>
        <v>7217.7699999999986</v>
      </c>
      <c r="Q112" s="70">
        <f t="shared" si="111"/>
        <v>2.4822561166729429E-2</v>
      </c>
      <c r="R112" s="566">
        <f>VLOOKUP($A112,'01-02.2021'!$A$6:$CZ$403,18,FALSE)+VLOOKUP($A112,'1.3.21-28.2.22'!$A$6:$DA$404,18,FALSE)-VLOOKUP($A112,'01-02.2022'!$A$6:$DA$376,18,FALSE)</f>
        <v>1386.6599559920996</v>
      </c>
      <c r="S112" s="566">
        <f>VLOOKUP($A112,'01-02.2021'!$A$6:$CZ$403,19,FALSE)+VLOOKUP($A112,'1.3.21-28.2.22'!$A$6:$DA$404,19,FALSE)-VLOOKUP($A112,'01-02.2022'!$A$6:$DA$376,19,FALSE)</f>
        <v>1386.6699999999996</v>
      </c>
      <c r="T112" s="70">
        <f t="shared" si="112"/>
        <v>1.0044007899978169E-2</v>
      </c>
      <c r="U112" s="566">
        <f>VLOOKUP($A112,'01-02.2021'!$A$6:$CZ$403,21,FALSE)+VLOOKUP($A112,'1.3.21-28.2.22'!$A$6:$DA$404,21,FALSE)-VLOOKUP($A112,'01-02.2022'!$A$6:$DA$376,21,FALSE)</f>
        <v>717.22196050395598</v>
      </c>
      <c r="V112" s="566">
        <f>VLOOKUP($A112,'01-02.2021'!$A$6:$CZ$403,22,FALSE)+VLOOKUP($A112,'1.3.21-28.2.22'!$A$6:$DA$404,22,FALSE)-VLOOKUP($A112,'01-02.2022'!$A$6:$DA$376,22,FALSE)</f>
        <v>484.19364664043809</v>
      </c>
      <c r="W112" s="70">
        <f t="shared" si="113"/>
        <v>-233.02831386351789</v>
      </c>
      <c r="X112" s="566">
        <f>VLOOKUP($A112,'01-02.2021'!$A$6:$CZ$403,24,FALSE)+VLOOKUP($A112,'1.3.21-28.2.22'!$A$6:$DA$404,24,FALSE)-VLOOKUP($A112,'01-02.2022'!$A$6:$DA$376,24,FALSE)</f>
        <v>6266.4651498873327</v>
      </c>
      <c r="Y112" s="566">
        <f>VLOOKUP($A112,'01-02.2021'!$A$6:$CZ$403,25,FALSE)+VLOOKUP($A112,'1.3.21-28.2.22'!$A$6:$DA$404,25,FALSE)-VLOOKUP($A112,'01-02.2022'!$A$6:$DA$376,25,FALSE)</f>
        <v>4719.8752954533265</v>
      </c>
      <c r="Z112" s="70">
        <f t="shared" si="114"/>
        <v>-1546.5898544340062</v>
      </c>
      <c r="AA112" s="566">
        <f>VLOOKUP($A112,'01-02.2021'!$A$6:$CZ$403,27,FALSE)+VLOOKUP($A112,'1.3.21-28.2.22'!$A$6:$DA$404,27,FALSE)-VLOOKUP($A112,'01-02.2022'!$A$6:$DA$376,27,FALSE)</f>
        <v>970.13000000000011</v>
      </c>
      <c r="AB112" s="566">
        <f>VLOOKUP($A112,'01-02.2021'!$A$6:$CZ$403,28,FALSE)+VLOOKUP($A112,'1.3.21-28.2.22'!$A$6:$DA$404,28,FALSE)-VLOOKUP($A112,'01-02.2022'!$A$6:$DA$376,28,FALSE)</f>
        <v>0</v>
      </c>
      <c r="AC112" s="70">
        <f t="shared" si="115"/>
        <v>-970.13000000000011</v>
      </c>
      <c r="AD112" s="566">
        <f>VLOOKUP($A112,'01-02.2021'!$A$6:$CZ$403,30,FALSE)+VLOOKUP($A112,'1.3.21-28.2.22'!$A$6:$DA$404,30,FALSE)-VLOOKUP($A112,'01-02.2022'!$A$6:$DA$376,30,FALSE)</f>
        <v>20828.500663361454</v>
      </c>
      <c r="AE112" s="566">
        <f>VLOOKUP($A112,'01-02.2021'!$A$6:$CZ$403,31,FALSE)+VLOOKUP($A112,'1.3.21-28.2.22'!$A$6:$DA$404,31,FALSE)-VLOOKUP($A112,'01-02.2022'!$A$6:$DA$376,31,FALSE)</f>
        <v>22080.35424360419</v>
      </c>
      <c r="AF112" s="68">
        <f t="shared" si="116"/>
        <v>1251.8535802427359</v>
      </c>
      <c r="AG112" s="77">
        <f t="shared" si="86"/>
        <v>56213.050814591807</v>
      </c>
      <c r="AH112" s="53">
        <f t="shared" si="86"/>
        <v>52631.947065311404</v>
      </c>
      <c r="AI112" s="52">
        <f t="shared" si="96"/>
        <v>-3581.1037492804026</v>
      </c>
      <c r="AJ112" s="566">
        <f>VLOOKUP($A112,'01-02.2021'!$A$6:$CZ$403,36,FALSE)+VLOOKUP($A112,'1.3.21-28.2.22'!$A$6:$DA$404,36,FALSE)-VLOOKUP($A112,'01-02.2022'!$A$6:$DA$376,36,FALSE)</f>
        <v>39062.871372958827</v>
      </c>
      <c r="AK112" s="566">
        <f>VLOOKUP($A112,'01-02.2021'!$A$6:$CZ$403,37,FALSE)+VLOOKUP($A112,'1.3.21-28.2.22'!$A$6:$DA$404,37,FALSE)-VLOOKUP($A112,'01-02.2022'!$A$6:$DA$376,37,FALSE)</f>
        <v>38806.806912262189</v>
      </c>
      <c r="AL112" s="70">
        <f t="shared" si="117"/>
        <v>-256.06446069663798</v>
      </c>
      <c r="AM112" s="566">
        <f>VLOOKUP($A112,'01-02.2021'!$A$6:$CZ$403,39,FALSE)+VLOOKUP($A112,'1.3.21-28.2.22'!$A$6:$DA$404,39,FALSE)-VLOOKUP($A112,'01-02.2022'!$A$6:$DA$376,39,FALSE)</f>
        <v>0</v>
      </c>
      <c r="AN112" s="566">
        <f>VLOOKUP($A112,'01-02.2021'!$A$6:$CZ$403,40,FALSE)+VLOOKUP($A112,'1.3.21-28.2.22'!$A$6:$DA$404,40,FALSE)-VLOOKUP($A112,'01-02.2022'!$A$6:$DA$376,40,FALSE)</f>
        <v>0</v>
      </c>
      <c r="AO112" s="70">
        <f t="shared" si="118"/>
        <v>0</v>
      </c>
      <c r="AP112" s="566">
        <f>VLOOKUP($A112,'01-02.2021'!$A$6:$CZ$403,42,FALSE)+VLOOKUP($A112,'1.3.21-28.2.22'!$A$6:$DA$404,42,FALSE)-VLOOKUP($A112,'01-02.2022'!$A$6:$DA$376,42,FALSE)</f>
        <v>3427.0195063341184</v>
      </c>
      <c r="AQ112" s="566">
        <f>VLOOKUP($A112,'01-02.2021'!$A$6:$CZ$403,43,FALSE)+VLOOKUP($A112,'1.3.21-28.2.22'!$A$6:$DA$404,43,FALSE)-VLOOKUP($A112,'01-02.2022'!$A$6:$DA$376,43,FALSE)</f>
        <v>2927.5759723794004</v>
      </c>
      <c r="AR112" s="70">
        <f t="shared" si="119"/>
        <v>-499.44353395471808</v>
      </c>
      <c r="AS112" s="566">
        <f>VLOOKUP($A112,'01-02.2021'!$A$6:$CZ$403,45,FALSE)+VLOOKUP($A112,'1.3.21-28.2.22'!$A$6:$DA$404,45,FALSE)-VLOOKUP($A112,'01-02.2022'!$A$6:$DA$376,45,FALSE)</f>
        <v>56366.823000639881</v>
      </c>
      <c r="AT112" s="566">
        <f>VLOOKUP($A112,'01-02.2021'!$A$6:$CZ$403,46,FALSE)+VLOOKUP($A112,'1.3.21-28.2.22'!$A$6:$DA$404,46,FALSE)-VLOOKUP($A112,'01-02.2022'!$A$6:$DA$376,46,FALSE)</f>
        <v>57119.221046694984</v>
      </c>
      <c r="AU112" s="78">
        <f t="shared" si="120"/>
        <v>752.3980460551029</v>
      </c>
      <c r="AV112" s="566">
        <f>VLOOKUP($A112,'01-02.2021'!$A$6:$CZ$403,48,FALSE)+VLOOKUP($A112,'1.3.21-28.2.22'!$A$6:$DA$404,48,FALSE)-VLOOKUP($A112,'01-02.2022'!$A$6:$DA$376,48,FALSE)</f>
        <v>3442.3969124688365</v>
      </c>
      <c r="AW112" s="566">
        <f>VLOOKUP($A112,'01-02.2021'!$A$6:$CZ$403,49,FALSE)+VLOOKUP($A112,'1.3.21-28.2.22'!$A$6:$DA$404,49,FALSE)-VLOOKUP($A112,'01-02.2022'!$A$6:$DA$376,49,FALSE)</f>
        <v>0</v>
      </c>
      <c r="AX112" s="55">
        <f t="shared" si="121"/>
        <v>-3442.3969124688365</v>
      </c>
      <c r="AY112" s="566">
        <f>VLOOKUP($A112,'01-02.2021'!$A$6:$CZ$403,51,FALSE)+VLOOKUP($A112,'1.3.21-28.2.22'!$A$6:$DA$404,51,FALSE)-VLOOKUP($A112,'01-02.2022'!$A$6:$DA$376,51,FALSE)</f>
        <v>3661.8014995544863</v>
      </c>
      <c r="AZ112" s="566">
        <f>VLOOKUP($A112,'01-02.2021'!$A$6:$CZ$403,52,FALSE)+VLOOKUP($A112,'1.3.21-28.2.22'!$A$6:$DA$404,52,FALSE)-VLOOKUP($A112,'01-02.2022'!$A$6:$DA$376,52,FALSE)</f>
        <v>5027</v>
      </c>
      <c r="BA112" s="38">
        <f t="shared" si="122"/>
        <v>1365.1985004455137</v>
      </c>
      <c r="BB112" s="566">
        <f>VLOOKUP($A112,'01-02.2021'!$A$6:$CZ$403,54,FALSE)+VLOOKUP($A112,'1.3.21-28.2.22'!$A$6:$DA$404,54,FALSE)-VLOOKUP($A112,'01-02.2022'!$A$6:$DA$376,54,FALSE)</f>
        <v>1679.1928108926206</v>
      </c>
      <c r="BC112" s="566">
        <f>VLOOKUP($A112,'01-02.2021'!$A$6:$CZ$403,55,FALSE)+VLOOKUP($A112,'1.3.21-28.2.22'!$A$6:$DA$404,55,FALSE)-VLOOKUP($A112,'01-02.2022'!$A$6:$DA$376,55,FALSE)</f>
        <v>0</v>
      </c>
      <c r="BD112" s="55">
        <f t="shared" si="123"/>
        <v>-1679.1928108926206</v>
      </c>
      <c r="BE112" s="566">
        <f>VLOOKUP($A112,'01-02.2021'!$A$6:$CZ$403,57,FALSE)+VLOOKUP($A112,'1.3.21-28.2.22'!$A$6:$DA$404,57,FALSE)-VLOOKUP($A112,'01-02.2022'!$A$6:$DA$376,57,FALSE)</f>
        <v>2817.5128612631293</v>
      </c>
      <c r="BF112" s="566">
        <f>VLOOKUP($A112,'01-02.2021'!$A$6:$CZ$403,58,FALSE)+VLOOKUP($A112,'1.3.21-28.2.22'!$A$6:$DA$404,58,FALSE)-VLOOKUP($A112,'01-02.2022'!$A$6:$DA$376,58,FALSE)</f>
        <v>9502</v>
      </c>
      <c r="BG112" s="55">
        <f t="shared" si="124"/>
        <v>6684.4871387368712</v>
      </c>
      <c r="BH112" s="566">
        <f>VLOOKUP($A112,'01-02.2021'!$A$6:$CZ$403,60,FALSE)+VLOOKUP($A112,'1.3.21-28.2.22'!$A$6:$DA$404,60,FALSE)-VLOOKUP($A112,'01-02.2022'!$A$6:$DA$376,60,FALSE)</f>
        <v>1362.7160776340054</v>
      </c>
      <c r="BI112" s="566">
        <f>VLOOKUP($A112,'01-02.2021'!$A$6:$CZ$403,61,FALSE)+VLOOKUP($A112,'1.3.21-28.2.22'!$A$6:$DA$404,61,FALSE)-VLOOKUP($A112,'01-02.2022'!$A$6:$DA$376,61,FALSE)</f>
        <v>0</v>
      </c>
      <c r="BJ112" s="55">
        <f t="shared" si="125"/>
        <v>-1362.7160776340054</v>
      </c>
      <c r="BK112" s="566">
        <f>VLOOKUP($A112,'01-02.2021'!$A$6:$CZ$403,63,FALSE)+VLOOKUP($A112,'1.3.21-28.2.22'!$A$6:$DA$404,63,FALSE)-VLOOKUP($A112,'01-02.2022'!$A$6:$DA$376,63,FALSE)</f>
        <v>1692.1960436041297</v>
      </c>
      <c r="BL112" s="566">
        <f>VLOOKUP($A112,'01-02.2021'!$A$6:$CZ$403,64,FALSE)+VLOOKUP($A112,'1.3.21-28.2.22'!$A$6:$DA$404,64,FALSE)-VLOOKUP($A112,'01-02.2022'!$A$6:$DA$376,64,FALSE)</f>
        <v>316</v>
      </c>
      <c r="BM112" s="55">
        <f t="shared" si="126"/>
        <v>-1376.1960436041297</v>
      </c>
      <c r="BN112" s="566">
        <f>VLOOKUP($A112,'01-02.2021'!$A$6:$CZ$403,66,FALSE)+VLOOKUP($A112,'1.3.21-28.2.22'!$A$6:$DA$404,66,FALSE)-VLOOKUP($A112,'01-02.2022'!$A$6:$DA$376,66,FALSE)</f>
        <v>283.13941271822029</v>
      </c>
      <c r="BO112" s="566">
        <f>VLOOKUP($A112,'01-02.2021'!$A$6:$CZ$403,67,FALSE)+VLOOKUP($A112,'1.3.21-28.2.22'!$A$6:$DA$404,67,FALSE)-VLOOKUP($A112,'01-02.2022'!$A$6:$DA$376,67,FALSE)</f>
        <v>0</v>
      </c>
      <c r="BP112" s="55">
        <f t="shared" si="127"/>
        <v>-283.13941271822029</v>
      </c>
      <c r="BQ112" s="77">
        <f t="shared" si="139"/>
        <v>14938.955618135429</v>
      </c>
      <c r="BR112" s="40">
        <f t="shared" si="140"/>
        <v>14845</v>
      </c>
      <c r="BS112" s="55">
        <f t="shared" si="110"/>
        <v>-93.955618135429177</v>
      </c>
      <c r="BT112" s="566">
        <f>VLOOKUP($A112,'01-02.2021'!$A$6:$CZ$403,72,FALSE)+VLOOKUP($A112,'1.3.21-28.2.22'!$A$6:$DA$404,72,FALSE)-VLOOKUP($A112,'01-02.2022'!$A$6:$DA$376,72,FALSE)</f>
        <v>61871.680704271806</v>
      </c>
      <c r="BU112" s="566">
        <f>VLOOKUP($A112,'01-02.2021'!$A$6:$CZ$403,73,FALSE)+VLOOKUP($A112,'1.3.21-28.2.22'!$A$6:$DA$404,73,FALSE)-VLOOKUP($A112,'01-02.2022'!$A$6:$DA$376,73,FALSE)</f>
        <v>56727.273058223436</v>
      </c>
      <c r="BV112" s="70">
        <f t="shared" si="128"/>
        <v>-5144.4076460483702</v>
      </c>
      <c r="BW112" s="566">
        <f>VLOOKUP($A112,'01-02.2021'!$A$6:$CZ$403,75,FALSE)+VLOOKUP($A112,'1.3.21-28.2.22'!$A$6:$DA$404,75,FALSE)-VLOOKUP($A112,'01-02.2022'!$A$6:$DA$376,75,FALSE)</f>
        <v>38633.977922249935</v>
      </c>
      <c r="BX112" s="566">
        <f>VLOOKUP($A112,'01-02.2021'!$A$6:$CZ$403,76,FALSE)+VLOOKUP($A112,'1.3.21-28.2.22'!$A$6:$DA$404,76,FALSE)-VLOOKUP($A112,'01-02.2022'!$A$6:$DA$376,76,FALSE)</f>
        <v>39230.213856738592</v>
      </c>
      <c r="BY112" s="70">
        <f t="shared" si="129"/>
        <v>596.23593448865722</v>
      </c>
      <c r="BZ112" s="566">
        <f>VLOOKUP($A112,'01-02.2021'!$A$6:$CZ$403,78,FALSE)+VLOOKUP($A112,'1.3.21-28.2.22'!$A$6:$DA$404,78,FALSE)-VLOOKUP($A112,'01-02.2022'!$A$6:$DA$376,78,FALSE)</f>
        <v>9452.4297146294193</v>
      </c>
      <c r="CA112" s="566">
        <f>VLOOKUP($A112,'01-02.2021'!$A$6:$CZ$403,79,FALSE)+VLOOKUP($A112,'1.3.21-28.2.22'!$A$6:$DA$404,79,FALSE)-VLOOKUP($A112,'01-02.2022'!$A$6:$DA$376,79,FALSE)</f>
        <v>12737.267824514347</v>
      </c>
      <c r="CB112" s="70">
        <f t="shared" si="130"/>
        <v>3284.8381098849277</v>
      </c>
      <c r="CC112" s="566">
        <f>VLOOKUP($A112,'01-02.2021'!$A$6:$CZ$403,81,FALSE)+VLOOKUP($A112,'1.3.21-28.2.22'!$A$6:$DA$404,81,FALSE)-VLOOKUP($A112,'01-02.2022'!$A$6:$DA$376,81,FALSE)</f>
        <v>729.94311541855859</v>
      </c>
      <c r="CD112" s="566">
        <f>VLOOKUP($A112,'01-02.2021'!$A$6:$CZ$403,82,FALSE)+VLOOKUP($A112,'1.3.21-28.2.22'!$A$6:$DA$404,82,FALSE)-VLOOKUP($A112,'01-02.2022'!$A$6:$DA$376,82,FALSE)</f>
        <v>767.14155981321665</v>
      </c>
      <c r="CE112" s="70">
        <f t="shared" si="131"/>
        <v>37.198444394658054</v>
      </c>
      <c r="CF112" s="566">
        <f>VLOOKUP($A112,'01-02.2021'!$A$6:$CZ$403,84,FALSE)+VLOOKUP($A112,'1.3.21-28.2.22'!$A$6:$DA$404,84,FALSE)-VLOOKUP($A112,'01-02.2022'!$A$6:$DA$376,84,FALSE)</f>
        <v>85.327039903610412</v>
      </c>
      <c r="CG112" s="566">
        <f>VLOOKUP($A112,'01-02.2021'!$A$6:$CZ$403,85,FALSE)+VLOOKUP($A112,'1.3.21-28.2.22'!$A$6:$DA$404,85,FALSE)-VLOOKUP($A112,'01-02.2022'!$A$6:$DA$376,85,FALSE)</f>
        <v>0</v>
      </c>
      <c r="CH112" s="70">
        <f t="shared" si="132"/>
        <v>-85.327039903610412</v>
      </c>
      <c r="CI112" s="566">
        <f>VLOOKUP($A112,'01-02.2021'!$A$6:$CZ$403,87,FALSE)+VLOOKUP($A112,'1.3.21-28.2.22'!$A$6:$DA$404,87,FALSE)-VLOOKUP($A112,'01-02.2022'!$A$6:$DA$376,87,FALSE)</f>
        <v>20114.363605319148</v>
      </c>
      <c r="CJ112" s="566">
        <f>VLOOKUP($A112,'01-02.2021'!$A$6:$CZ$403,88,FALSE)+VLOOKUP($A112,'1.3.21-28.2.22'!$A$6:$DA$404,88,FALSE)-VLOOKUP($A112,'01-02.2022'!$A$6:$DA$376,88,FALSE)</f>
        <v>13165.85998768525</v>
      </c>
      <c r="CK112" s="70">
        <f t="shared" si="133"/>
        <v>-6948.5036176338981</v>
      </c>
      <c r="CL112" s="566">
        <f>VLOOKUP($A112,'01-02.2021'!$A$6:$CZ$403,90,FALSE)+VLOOKUP($A112,'1.3.21-28.2.22'!$A$6:$DA$404,90,FALSE)-VLOOKUP($A112,'01-02.2022'!$A$6:$DA$376,90,FALSE)</f>
        <v>12867.782262844146</v>
      </c>
      <c r="CM112" s="566">
        <f>VLOOKUP($A112,'01-02.2021'!$A$6:$CZ$403,91,FALSE)+VLOOKUP($A112,'1.3.21-28.2.22'!$A$6:$DA$404,91,FALSE)-VLOOKUP($A112,'01-02.2022'!$A$6:$DA$376,91,FALSE)</f>
        <v>10897.269726826813</v>
      </c>
      <c r="CN112" s="52">
        <f t="shared" si="97"/>
        <v>-1970.5125360173333</v>
      </c>
      <c r="CO112" s="39">
        <f t="shared" si="89"/>
        <v>32982.145868163294</v>
      </c>
      <c r="CP112" s="40">
        <f t="shared" si="98"/>
        <v>24063.129714512062</v>
      </c>
      <c r="CQ112" s="52">
        <f t="shared" si="99"/>
        <v>-8919.0161536512314</v>
      </c>
      <c r="CR112" s="72">
        <f t="shared" si="90"/>
        <v>313764.2246772967</v>
      </c>
      <c r="CS112" s="5">
        <f t="shared" si="90"/>
        <v>299855.5770104496</v>
      </c>
      <c r="CT112" s="52">
        <f t="shared" si="100"/>
        <v>-13908.6476668471</v>
      </c>
      <c r="CU112" s="77">
        <f t="shared" si="101"/>
        <v>376517.06961275602</v>
      </c>
      <c r="CV112" s="65">
        <f t="shared" si="102"/>
        <v>359826.6924125395</v>
      </c>
      <c r="CW112" s="35">
        <f t="shared" si="103"/>
        <v>-16690.377200216521</v>
      </c>
      <c r="CX112" s="566">
        <f>VLOOKUP($A112,'01-02.2021'!$A$6:$CZ$403,102,FALSE)+VLOOKUP($A112,'1.3.21-28.2.22'!$A$6:$DA$404,102,FALSE)-VLOOKUP($A112,'01-02.2022'!$A$6:$DA$376,102,FALSE)</f>
        <v>10752.605252137786</v>
      </c>
      <c r="CY112" s="566">
        <f>VLOOKUP($A112,'01-02.2021'!$A$6:$CZ$403,103,FALSE)+VLOOKUP($A112,'1.3.21-28.2.22'!$A$6:$DA$404,103,FALSE)-VLOOKUP($A112,'01-02.2022'!$A$6:$DA$376,103,FALSE)</f>
        <v>27442.982452354241</v>
      </c>
      <c r="CZ112" s="52">
        <f t="shared" si="104"/>
        <v>16690.377200216455</v>
      </c>
      <c r="DA112" s="150">
        <f>'[2]побудинковий звіт'!DA112</f>
        <v>-5394.8625856825056</v>
      </c>
      <c r="DB112" s="2">
        <v>1</v>
      </c>
      <c r="DC112" s="414">
        <f>'[4]побудинковий звіт'!DC112</f>
        <v>41141.839999999997</v>
      </c>
      <c r="DD112" s="414">
        <f>'[4]побудинковий звіт'!DD112</f>
        <v>0.74</v>
      </c>
      <c r="DE112" s="557">
        <f>'[4]побудинковий звіт'!DE112</f>
        <v>6572.5660542011829</v>
      </c>
      <c r="DF112" s="557">
        <f>'[4]побудинковий звіт'!DF112</f>
        <v>-329.00562908962041</v>
      </c>
      <c r="DG112" s="321">
        <f>VLOOKUP(A112,'кошти 01.03.2021'!$A$6:$D$401,4,)</f>
        <v>30904.94119270796</v>
      </c>
      <c r="DH112" s="40">
        <f>'[3]побудинковий звіт'!DJ112</f>
        <v>399669.69551057462</v>
      </c>
      <c r="DI112" s="422">
        <f>'[3]побудинковий звіт'!CU112+'[3]побудинковий звіт'!CX112</f>
        <v>34899.019574888436</v>
      </c>
      <c r="DJ112" s="306">
        <f>'[3]побудинковий звіт'!DM112</f>
        <v>6.0773222204467352</v>
      </c>
      <c r="DK112" s="306">
        <f>'[3]побудинковий звіт'!DN112</f>
        <v>7.3107802438272094</v>
      </c>
      <c r="DL112" s="306">
        <f>'[3]побудинковий звіт'!DO112</f>
        <v>5.1044215029353008</v>
      </c>
      <c r="DM112" s="28">
        <f t="shared" si="144"/>
        <v>34569.273945798814</v>
      </c>
      <c r="DN112" s="28">
        <f>DL112*H112</f>
        <v>329.74562908962042</v>
      </c>
      <c r="DO112" s="423">
        <f t="shared" si="105"/>
        <v>34899.019574888436</v>
      </c>
      <c r="DP112" s="94">
        <f t="shared" si="106"/>
        <v>0</v>
      </c>
      <c r="DQ112" s="28">
        <f t="shared" si="107"/>
        <v>34899.019574888436</v>
      </c>
      <c r="DR112" s="318"/>
      <c r="DT112" s="8"/>
      <c r="DU112" s="5"/>
      <c r="DX112" s="5">
        <f t="shared" si="108"/>
        <v>85566.934342530367</v>
      </c>
      <c r="DY112" s="5">
        <f t="shared" si="109"/>
        <v>86357.06525603398</v>
      </c>
      <c r="DZ112" s="159">
        <f>'[3]побудинковий звіт'!EA112</f>
        <v>7848.0569864281224</v>
      </c>
    </row>
    <row r="113" spans="1:130" x14ac:dyDescent="0.3">
      <c r="A113" s="325">
        <v>150000629</v>
      </c>
      <c r="B113" s="41" t="s">
        <v>562</v>
      </c>
      <c r="C113" s="42" t="s">
        <v>358</v>
      </c>
      <c r="D113" s="42"/>
      <c r="E113" s="293">
        <f t="shared" si="85"/>
        <v>9553.74</v>
      </c>
      <c r="F113" s="305">
        <f>'[3]побудинковий звіт'!F113</f>
        <v>9553.74</v>
      </c>
      <c r="G113" s="508">
        <f>'[3]побудинковий звіт'!G113</f>
        <v>1060.24</v>
      </c>
      <c r="H113" s="560">
        <f>'[3]побудинковий звіт'!H113</f>
        <v>0</v>
      </c>
      <c r="I113" s="566">
        <f>VLOOKUP($A113,'01-02.2021'!$A$6:$CZ$403,9,FALSE)+VLOOKUP($A113,'1.3.21-28.2.22'!$A$6:$DA$404,9,FALSE)-VLOOKUP($A113,'01-02.2022'!$A$6:$DA$376,9,FALSE)</f>
        <v>22826.785268739786</v>
      </c>
      <c r="J113" s="566">
        <f>VLOOKUP($A113,'01-02.2021'!$A$6:$CZ$403,10,FALSE)+VLOOKUP($A113,'1.3.21-28.2.22'!$A$6:$DA$404,10,FALSE)-VLOOKUP($A113,'01-02.2022'!$A$6:$DA$376,10,FALSE)</f>
        <v>20665.986683476447</v>
      </c>
      <c r="K113" s="52">
        <f t="shared" si="94"/>
        <v>-2160.7985852633392</v>
      </c>
      <c r="L113" s="566">
        <f>VLOOKUP($A113,'01-02.2021'!$A$6:$CZ$403,12,FALSE)+VLOOKUP($A113,'1.3.21-28.2.22'!$A$6:$DA$404,12,FALSE)-VLOOKUP($A113,'01-02.2022'!$A$6:$DA$376,12,FALSE)</f>
        <v>3888.2066118527914</v>
      </c>
      <c r="M113" s="566">
        <f>VLOOKUP($A113,'01-02.2021'!$A$6:$CZ$403,13,FALSE)+VLOOKUP($A113,'1.3.21-28.2.22'!$A$6:$DA$404,13,FALSE)-VLOOKUP($A113,'01-02.2022'!$A$6:$DA$376,13,FALSE)</f>
        <v>3526.5592234976257</v>
      </c>
      <c r="N113" s="52">
        <f t="shared" si="95"/>
        <v>-361.64738835516573</v>
      </c>
      <c r="O113" s="566">
        <f>VLOOKUP($A113,'01-02.2021'!$A$6:$CZ$403,15,FALSE)+VLOOKUP($A113,'1.3.21-28.2.22'!$A$6:$DA$404,15,FALSE)-VLOOKUP($A113,'01-02.2022'!$A$6:$DA$376,15,FALSE)</f>
        <v>12455.319833225254</v>
      </c>
      <c r="P113" s="566">
        <f>VLOOKUP($A113,'01-02.2021'!$A$6:$CZ$403,16,FALSE)+VLOOKUP($A113,'1.3.21-28.2.22'!$A$6:$DA$404,16,FALSE)-VLOOKUP($A113,'01-02.2022'!$A$6:$DA$376,16,FALSE)</f>
        <v>12455.299999999997</v>
      </c>
      <c r="Q113" s="70">
        <f t="shared" si="111"/>
        <v>-1.9833225256661535E-2</v>
      </c>
      <c r="R113" s="566">
        <f>VLOOKUP($A113,'01-02.2021'!$A$6:$CZ$403,18,FALSE)+VLOOKUP($A113,'1.3.21-28.2.22'!$A$6:$DA$404,18,FALSE)-VLOOKUP($A113,'01-02.2022'!$A$6:$DA$376,18,FALSE)</f>
        <v>2710.1665496364094</v>
      </c>
      <c r="S113" s="566">
        <f>VLOOKUP($A113,'01-02.2021'!$A$6:$CZ$403,19,FALSE)+VLOOKUP($A113,'1.3.21-28.2.22'!$A$6:$DA$404,19,FALSE)-VLOOKUP($A113,'01-02.2022'!$A$6:$DA$376,19,FALSE)</f>
        <v>2710.1100000000006</v>
      </c>
      <c r="T113" s="70">
        <f t="shared" si="112"/>
        <v>-5.6549636408817605E-2</v>
      </c>
      <c r="U113" s="566">
        <f>VLOOKUP($A113,'01-02.2021'!$A$6:$CZ$403,21,FALSE)+VLOOKUP($A113,'1.3.21-28.2.22'!$A$6:$DA$404,21,FALSE)-VLOOKUP($A113,'01-02.2022'!$A$6:$DA$376,21,FALSE)</f>
        <v>3967.680510103492</v>
      </c>
      <c r="V113" s="566">
        <f>VLOOKUP($A113,'01-02.2021'!$A$6:$CZ$403,22,FALSE)+VLOOKUP($A113,'1.3.21-28.2.22'!$A$6:$DA$404,22,FALSE)-VLOOKUP($A113,'01-02.2022'!$A$6:$DA$376,22,FALSE)</f>
        <v>2601.8340426838613</v>
      </c>
      <c r="W113" s="70">
        <f t="shared" si="113"/>
        <v>-1365.8464674196307</v>
      </c>
      <c r="X113" s="566">
        <f>VLOOKUP($A113,'01-02.2021'!$A$6:$CZ$403,24,FALSE)+VLOOKUP($A113,'1.3.21-28.2.22'!$A$6:$DA$404,24,FALSE)-VLOOKUP($A113,'01-02.2022'!$A$6:$DA$376,24,FALSE)</f>
        <v>16923.421121568426</v>
      </c>
      <c r="Y113" s="566">
        <f>VLOOKUP($A113,'01-02.2021'!$A$6:$CZ$403,25,FALSE)+VLOOKUP($A113,'1.3.21-28.2.22'!$A$6:$DA$404,25,FALSE)-VLOOKUP($A113,'01-02.2022'!$A$6:$DA$376,25,FALSE)</f>
        <v>13759.949728030833</v>
      </c>
      <c r="Z113" s="70">
        <f t="shared" si="114"/>
        <v>-3163.471393537593</v>
      </c>
      <c r="AA113" s="566">
        <f>VLOOKUP($A113,'01-02.2021'!$A$6:$CZ$403,27,FALSE)+VLOOKUP($A113,'1.3.21-28.2.22'!$A$6:$DA$404,27,FALSE)-VLOOKUP($A113,'01-02.2022'!$A$6:$DA$376,27,FALSE)</f>
        <v>1909.732</v>
      </c>
      <c r="AB113" s="566">
        <f>VLOOKUP($A113,'01-02.2021'!$A$6:$CZ$403,28,FALSE)+VLOOKUP($A113,'1.3.21-28.2.22'!$A$6:$DA$404,28,FALSE)-VLOOKUP($A113,'01-02.2022'!$A$6:$DA$376,28,FALSE)</f>
        <v>0</v>
      </c>
      <c r="AC113" s="70">
        <f t="shared" si="115"/>
        <v>-1909.732</v>
      </c>
      <c r="AD113" s="566">
        <f>VLOOKUP($A113,'01-02.2021'!$A$6:$CZ$403,30,FALSE)+VLOOKUP($A113,'1.3.21-28.2.22'!$A$6:$DA$404,30,FALSE)-VLOOKUP($A113,'01-02.2022'!$A$6:$DA$376,30,FALSE)</f>
        <v>41026.885934322272</v>
      </c>
      <c r="AE113" s="566">
        <f>VLOOKUP($A113,'01-02.2021'!$A$6:$CZ$403,31,FALSE)+VLOOKUP($A113,'1.3.21-28.2.22'!$A$6:$DA$404,31,FALSE)-VLOOKUP($A113,'01-02.2022'!$A$6:$DA$376,31,FALSE)</f>
        <v>43489.009421683913</v>
      </c>
      <c r="AF113" s="68">
        <f t="shared" si="116"/>
        <v>2462.1234873616413</v>
      </c>
      <c r="AG113" s="77">
        <f t="shared" si="86"/>
        <v>105708.19782944843</v>
      </c>
      <c r="AH113" s="53">
        <f t="shared" si="86"/>
        <v>99208.749099372682</v>
      </c>
      <c r="AI113" s="52">
        <f t="shared" si="96"/>
        <v>-6499.4487300757464</v>
      </c>
      <c r="AJ113" s="566">
        <f>VLOOKUP($A113,'01-02.2021'!$A$6:$CZ$403,36,FALSE)+VLOOKUP($A113,'1.3.21-28.2.22'!$A$6:$DA$404,36,FALSE)-VLOOKUP($A113,'01-02.2022'!$A$6:$DA$376,36,FALSE)</f>
        <v>76000.265675606643</v>
      </c>
      <c r="AK113" s="566">
        <f>VLOOKUP($A113,'01-02.2021'!$A$6:$CZ$403,37,FALSE)+VLOOKUP($A113,'1.3.21-28.2.22'!$A$6:$DA$404,37,FALSE)-VLOOKUP($A113,'01-02.2022'!$A$6:$DA$376,37,FALSE)</f>
        <v>75501.981860936736</v>
      </c>
      <c r="AL113" s="70">
        <f t="shared" si="117"/>
        <v>-498.28381466990686</v>
      </c>
      <c r="AM113" s="566">
        <f>VLOOKUP($A113,'01-02.2021'!$A$6:$CZ$403,39,FALSE)+VLOOKUP($A113,'1.3.21-28.2.22'!$A$6:$DA$404,39,FALSE)-VLOOKUP($A113,'01-02.2022'!$A$6:$DA$376,39,FALSE)</f>
        <v>0</v>
      </c>
      <c r="AN113" s="566">
        <f>VLOOKUP($A113,'01-02.2021'!$A$6:$CZ$403,40,FALSE)+VLOOKUP($A113,'1.3.21-28.2.22'!$A$6:$DA$404,40,FALSE)-VLOOKUP($A113,'01-02.2022'!$A$6:$DA$376,40,FALSE)</f>
        <v>0</v>
      </c>
      <c r="AO113" s="70">
        <f t="shared" si="118"/>
        <v>0</v>
      </c>
      <c r="AP113" s="566">
        <f>VLOOKUP($A113,'01-02.2021'!$A$6:$CZ$403,42,FALSE)+VLOOKUP($A113,'1.3.21-28.2.22'!$A$6:$DA$404,42,FALSE)-VLOOKUP($A113,'01-02.2022'!$A$6:$DA$376,42,FALSE)</f>
        <v>6637.1390439129136</v>
      </c>
      <c r="AQ113" s="566">
        <f>VLOOKUP($A113,'01-02.2021'!$A$6:$CZ$403,43,FALSE)+VLOOKUP($A113,'1.3.21-28.2.22'!$A$6:$DA$404,43,FALSE)-VLOOKUP($A113,'01-02.2022'!$A$6:$DA$376,43,FALSE)</f>
        <v>5688.5280101662602</v>
      </c>
      <c r="AR113" s="70">
        <f t="shared" si="119"/>
        <v>-948.61103374665345</v>
      </c>
      <c r="AS113" s="566">
        <f>VLOOKUP($A113,'01-02.2021'!$A$6:$CZ$403,45,FALSE)+VLOOKUP($A113,'1.3.21-28.2.22'!$A$6:$DA$404,45,FALSE)-VLOOKUP($A113,'01-02.2022'!$A$6:$DA$376,45,FALSE)</f>
        <v>134993.03622710236</v>
      </c>
      <c r="AT113" s="566">
        <f>VLOOKUP($A113,'01-02.2021'!$A$6:$CZ$403,46,FALSE)+VLOOKUP($A113,'1.3.21-28.2.22'!$A$6:$DA$404,46,FALSE)-VLOOKUP($A113,'01-02.2022'!$A$6:$DA$376,46,FALSE)</f>
        <v>96813.561046694987</v>
      </c>
      <c r="AU113" s="78">
        <f t="shared" si="120"/>
        <v>-38179.475180407375</v>
      </c>
      <c r="AV113" s="566">
        <f>VLOOKUP($A113,'01-02.2021'!$A$6:$CZ$403,48,FALSE)+VLOOKUP($A113,'1.3.21-28.2.22'!$A$6:$DA$404,48,FALSE)-VLOOKUP($A113,'01-02.2022'!$A$6:$DA$376,48,FALSE)</f>
        <v>4977.3112924417928</v>
      </c>
      <c r="AW113" s="566">
        <f>VLOOKUP($A113,'01-02.2021'!$A$6:$CZ$403,49,FALSE)+VLOOKUP($A113,'1.3.21-28.2.22'!$A$6:$DA$404,49,FALSE)-VLOOKUP($A113,'01-02.2022'!$A$6:$DA$376,49,FALSE)</f>
        <v>732.14</v>
      </c>
      <c r="AX113" s="55">
        <f t="shared" si="121"/>
        <v>-4245.1712924417925</v>
      </c>
      <c r="AY113" s="566">
        <f>VLOOKUP($A113,'01-02.2021'!$A$6:$CZ$403,51,FALSE)+VLOOKUP($A113,'1.3.21-28.2.22'!$A$6:$DA$404,51,FALSE)-VLOOKUP($A113,'01-02.2022'!$A$6:$DA$376,51,FALSE)</f>
        <v>5920.5444426559452</v>
      </c>
      <c r="AZ113" s="566">
        <f>VLOOKUP($A113,'01-02.2021'!$A$6:$CZ$403,52,FALSE)+VLOOKUP($A113,'1.3.21-28.2.22'!$A$6:$DA$404,52,FALSE)-VLOOKUP($A113,'01-02.2022'!$A$6:$DA$376,52,FALSE)</f>
        <v>8339</v>
      </c>
      <c r="BA113" s="38">
        <f t="shared" si="122"/>
        <v>2418.4555573440548</v>
      </c>
      <c r="BB113" s="566">
        <f>VLOOKUP($A113,'01-02.2021'!$A$6:$CZ$403,54,FALSE)+VLOOKUP($A113,'1.3.21-28.2.22'!$A$6:$DA$404,54,FALSE)-VLOOKUP($A113,'01-02.2022'!$A$6:$DA$376,54,FALSE)</f>
        <v>4475.9596850699554</v>
      </c>
      <c r="BC113" s="566">
        <f>VLOOKUP($A113,'01-02.2021'!$A$6:$CZ$403,55,FALSE)+VLOOKUP($A113,'1.3.21-28.2.22'!$A$6:$DA$404,55,FALSE)-VLOOKUP($A113,'01-02.2022'!$A$6:$DA$376,55,FALSE)</f>
        <v>1959</v>
      </c>
      <c r="BD113" s="55">
        <f t="shared" si="123"/>
        <v>-2516.9596850699554</v>
      </c>
      <c r="BE113" s="566">
        <f>VLOOKUP($A113,'01-02.2021'!$A$6:$CZ$403,57,FALSE)+VLOOKUP($A113,'1.3.21-28.2.22'!$A$6:$DA$404,57,FALSE)-VLOOKUP($A113,'01-02.2022'!$A$6:$DA$376,57,FALSE)</f>
        <v>6070.7637721634874</v>
      </c>
      <c r="BF113" s="566">
        <f>VLOOKUP($A113,'01-02.2021'!$A$6:$CZ$403,58,FALSE)+VLOOKUP($A113,'1.3.21-28.2.22'!$A$6:$DA$404,58,FALSE)-VLOOKUP($A113,'01-02.2022'!$A$6:$DA$376,58,FALSE)</f>
        <v>0</v>
      </c>
      <c r="BG113" s="55">
        <f t="shared" si="124"/>
        <v>-6070.7637721634874</v>
      </c>
      <c r="BH113" s="566">
        <f>VLOOKUP($A113,'01-02.2021'!$A$6:$CZ$403,60,FALSE)+VLOOKUP($A113,'1.3.21-28.2.22'!$A$6:$DA$404,60,FALSE)-VLOOKUP($A113,'01-02.2022'!$A$6:$DA$376,60,FALSE)</f>
        <v>7538.1291917678391</v>
      </c>
      <c r="BI113" s="566">
        <f>VLOOKUP($A113,'01-02.2021'!$A$6:$CZ$403,61,FALSE)+VLOOKUP($A113,'1.3.21-28.2.22'!$A$6:$DA$404,61,FALSE)-VLOOKUP($A113,'01-02.2022'!$A$6:$DA$376,61,FALSE)</f>
        <v>0</v>
      </c>
      <c r="BJ113" s="55">
        <f t="shared" si="125"/>
        <v>-7538.1291917678391</v>
      </c>
      <c r="BK113" s="566">
        <f>VLOOKUP($A113,'01-02.2021'!$A$6:$CZ$403,63,FALSE)+VLOOKUP($A113,'1.3.21-28.2.22'!$A$6:$DA$404,63,FALSE)-VLOOKUP($A113,'01-02.2022'!$A$6:$DA$376,63,FALSE)</f>
        <v>4809.7644735543163</v>
      </c>
      <c r="BL113" s="566">
        <f>VLOOKUP($A113,'01-02.2021'!$A$6:$CZ$403,64,FALSE)+VLOOKUP($A113,'1.3.21-28.2.22'!$A$6:$DA$404,64,FALSE)-VLOOKUP($A113,'01-02.2022'!$A$6:$DA$376,64,FALSE)</f>
        <v>0</v>
      </c>
      <c r="BM113" s="55">
        <f t="shared" si="126"/>
        <v>-4809.7644735543163</v>
      </c>
      <c r="BN113" s="566">
        <f>VLOOKUP($A113,'01-02.2021'!$A$6:$CZ$403,66,FALSE)+VLOOKUP($A113,'1.3.21-28.2.22'!$A$6:$DA$404,66,FALSE)-VLOOKUP($A113,'01-02.2022'!$A$6:$DA$376,66,FALSE)</f>
        <v>980.07359662054</v>
      </c>
      <c r="BO113" s="566">
        <f>VLOOKUP($A113,'01-02.2021'!$A$6:$CZ$403,67,FALSE)+VLOOKUP($A113,'1.3.21-28.2.22'!$A$6:$DA$404,67,FALSE)-VLOOKUP($A113,'01-02.2022'!$A$6:$DA$376,67,FALSE)</f>
        <v>0</v>
      </c>
      <c r="BP113" s="55">
        <f t="shared" si="127"/>
        <v>-980.07359662054</v>
      </c>
      <c r="BQ113" s="77">
        <f t="shared" si="139"/>
        <v>34772.546454273877</v>
      </c>
      <c r="BR113" s="40">
        <f t="shared" si="140"/>
        <v>11030.14</v>
      </c>
      <c r="BS113" s="55">
        <f t="shared" si="110"/>
        <v>-23742.406454273878</v>
      </c>
      <c r="BT113" s="566">
        <f>VLOOKUP($A113,'01-02.2021'!$A$6:$CZ$403,72,FALSE)+VLOOKUP($A113,'1.3.21-28.2.22'!$A$6:$DA$404,72,FALSE)-VLOOKUP($A113,'01-02.2022'!$A$6:$DA$376,72,FALSE)</f>
        <v>119037.16467528889</v>
      </c>
      <c r="BU113" s="566">
        <f>VLOOKUP($A113,'01-02.2021'!$A$6:$CZ$403,73,FALSE)+VLOOKUP($A113,'1.3.21-28.2.22'!$A$6:$DA$404,73,FALSE)-VLOOKUP($A113,'01-02.2022'!$A$6:$DA$376,73,FALSE)</f>
        <v>130777.05679741633</v>
      </c>
      <c r="BV113" s="70">
        <f t="shared" si="128"/>
        <v>11739.892122127436</v>
      </c>
      <c r="BW113" s="566">
        <f>VLOOKUP($A113,'01-02.2021'!$A$6:$CZ$403,75,FALSE)+VLOOKUP($A113,'1.3.21-28.2.22'!$A$6:$DA$404,75,FALSE)-VLOOKUP($A113,'01-02.2022'!$A$6:$DA$376,75,FALSE)</f>
        <v>84545.648336414626</v>
      </c>
      <c r="BX113" s="566">
        <f>VLOOKUP($A113,'01-02.2021'!$A$6:$CZ$403,76,FALSE)+VLOOKUP($A113,'1.3.21-28.2.22'!$A$6:$DA$404,76,FALSE)-VLOOKUP($A113,'01-02.2022'!$A$6:$DA$376,76,FALSE)</f>
        <v>85882.346013431408</v>
      </c>
      <c r="BY113" s="70">
        <f t="shared" si="129"/>
        <v>1336.6976770167821</v>
      </c>
      <c r="BZ113" s="566">
        <f>VLOOKUP($A113,'01-02.2021'!$A$6:$CZ$403,78,FALSE)+VLOOKUP($A113,'1.3.21-28.2.22'!$A$6:$DA$404,78,FALSE)-VLOOKUP($A113,'01-02.2022'!$A$6:$DA$376,78,FALSE)</f>
        <v>31951.159051146562</v>
      </c>
      <c r="CA113" s="566">
        <f>VLOOKUP($A113,'01-02.2021'!$A$6:$CZ$403,79,FALSE)+VLOOKUP($A113,'1.3.21-28.2.22'!$A$6:$DA$404,79,FALSE)-VLOOKUP($A113,'01-02.2022'!$A$6:$DA$376,79,FALSE)</f>
        <v>31187.569545199622</v>
      </c>
      <c r="CB113" s="70">
        <f t="shared" si="130"/>
        <v>-763.58950594694033</v>
      </c>
      <c r="CC113" s="566">
        <f>VLOOKUP($A113,'01-02.2021'!$A$6:$CZ$403,81,FALSE)+VLOOKUP($A113,'1.3.21-28.2.22'!$A$6:$DA$404,81,FALSE)-VLOOKUP($A113,'01-02.2022'!$A$6:$DA$376,81,FALSE)</f>
        <v>1766.1348908126388</v>
      </c>
      <c r="CD113" s="566">
        <f>VLOOKUP($A113,'01-02.2021'!$A$6:$CZ$403,82,FALSE)+VLOOKUP($A113,'1.3.21-28.2.22'!$A$6:$DA$404,82,FALSE)-VLOOKUP($A113,'01-02.2022'!$A$6:$DA$376,82,FALSE)</f>
        <v>1920.7730074470953</v>
      </c>
      <c r="CE113" s="70">
        <f t="shared" si="131"/>
        <v>154.63811663445654</v>
      </c>
      <c r="CF113" s="566">
        <f>VLOOKUP($A113,'01-02.2021'!$A$6:$CZ$403,84,FALSE)+VLOOKUP($A113,'1.3.21-28.2.22'!$A$6:$DA$404,84,FALSE)-VLOOKUP($A113,'01-02.2022'!$A$6:$DA$376,84,FALSE)</f>
        <v>213.64228408133815</v>
      </c>
      <c r="CG113" s="566">
        <f>VLOOKUP($A113,'01-02.2021'!$A$6:$CZ$403,85,FALSE)+VLOOKUP($A113,'1.3.21-28.2.22'!$A$6:$DA$404,85,FALSE)-VLOOKUP($A113,'01-02.2022'!$A$6:$DA$376,85,FALSE)</f>
        <v>0</v>
      </c>
      <c r="CH113" s="70">
        <f t="shared" si="132"/>
        <v>-213.64228408133815</v>
      </c>
      <c r="CI113" s="566">
        <f>VLOOKUP($A113,'01-02.2021'!$A$6:$CZ$403,87,FALSE)+VLOOKUP($A113,'1.3.21-28.2.22'!$A$6:$DA$404,87,FALSE)-VLOOKUP($A113,'01-02.2022'!$A$6:$DA$376,87,FALSE)</f>
        <v>19533.075437347768</v>
      </c>
      <c r="CJ113" s="566">
        <f>VLOOKUP($A113,'01-02.2021'!$A$6:$CZ$403,88,FALSE)+VLOOKUP($A113,'1.3.21-28.2.22'!$A$6:$DA$404,88,FALSE)-VLOOKUP($A113,'01-02.2022'!$A$6:$DA$376,88,FALSE)</f>
        <v>17535.393812515831</v>
      </c>
      <c r="CK113" s="70">
        <f t="shared" si="133"/>
        <v>-1997.6816248319374</v>
      </c>
      <c r="CL113" s="566">
        <f>VLOOKUP($A113,'01-02.2021'!$A$6:$CZ$403,90,FALSE)+VLOOKUP($A113,'1.3.21-28.2.22'!$A$6:$DA$404,90,FALSE)-VLOOKUP($A113,'01-02.2022'!$A$6:$DA$376,90,FALSE)</f>
        <v>29296.504099668287</v>
      </c>
      <c r="CM113" s="566">
        <f>VLOOKUP($A113,'01-02.2021'!$A$6:$CZ$403,91,FALSE)+VLOOKUP($A113,'1.3.21-28.2.22'!$A$6:$DA$404,91,FALSE)-VLOOKUP($A113,'01-02.2022'!$A$6:$DA$376,91,FALSE)</f>
        <v>26306.993613209816</v>
      </c>
      <c r="CN113" s="52">
        <f t="shared" si="97"/>
        <v>-2989.5104864584719</v>
      </c>
      <c r="CO113" s="39">
        <f t="shared" si="89"/>
        <v>48829.579537016056</v>
      </c>
      <c r="CP113" s="40">
        <f t="shared" si="98"/>
        <v>43842.387425725647</v>
      </c>
      <c r="CQ113" s="52">
        <f t="shared" si="99"/>
        <v>-4987.1921112904092</v>
      </c>
      <c r="CR113" s="72">
        <f t="shared" si="90"/>
        <v>644454.51400510443</v>
      </c>
      <c r="CS113" s="5">
        <f t="shared" si="90"/>
        <v>581853.09280639084</v>
      </c>
      <c r="CT113" s="52">
        <f t="shared" si="100"/>
        <v>-62601.421198713593</v>
      </c>
      <c r="CU113" s="77">
        <f t="shared" si="101"/>
        <v>773345.41680612531</v>
      </c>
      <c r="CV113" s="65">
        <f t="shared" si="102"/>
        <v>698223.71136766893</v>
      </c>
      <c r="CW113" s="35">
        <f t="shared" si="103"/>
        <v>-75121.705438456382</v>
      </c>
      <c r="CX113" s="566">
        <f>VLOOKUP($A113,'01-02.2021'!$A$6:$CZ$403,102,FALSE)+VLOOKUP($A113,'1.3.21-28.2.22'!$A$6:$DA$404,102,FALSE)-VLOOKUP($A113,'01-02.2022'!$A$6:$DA$376,102,FALSE)</f>
        <v>21970.79735740925</v>
      </c>
      <c r="CY113" s="566">
        <f>VLOOKUP($A113,'01-02.2021'!$A$6:$CZ$403,103,FALSE)+VLOOKUP($A113,'1.3.21-28.2.22'!$A$6:$DA$404,103,FALSE)-VLOOKUP($A113,'01-02.2022'!$A$6:$DA$376,103,FALSE)</f>
        <v>97092.502795865614</v>
      </c>
      <c r="CZ113" s="52">
        <f t="shared" si="104"/>
        <v>75121.705438456367</v>
      </c>
      <c r="DA113" s="150">
        <f>'[2]побудинковий звіт'!DA113</f>
        <v>-22673.783142400935</v>
      </c>
      <c r="DB113" s="2">
        <v>1</v>
      </c>
      <c r="DC113" s="414">
        <f>'[4]побудинковий звіт'!DC113</f>
        <v>166420.82999999999</v>
      </c>
      <c r="DD113" s="414">
        <f>'[4]побудинковий звіт'!DD113</f>
        <v>0</v>
      </c>
      <c r="DE113" s="557">
        <f>'[4]побудинковий звіт'!DE113</f>
        <v>94298.521668573419</v>
      </c>
      <c r="DF113" s="557">
        <f>'[4]побудинковий звіт'!DF113</f>
        <v>0</v>
      </c>
      <c r="DG113" s="321">
        <f>VLOOKUP(A113,'кошти 01.03.2021'!$A$6:$D$401,4,)</f>
        <v>68410.350577523845</v>
      </c>
      <c r="DH113" s="40">
        <f>'[3]побудинковий звіт'!DJ113</f>
        <v>822955.46387739235</v>
      </c>
      <c r="DI113" s="422">
        <f>'[3]побудинковий звіт'!CU113+'[3]побудинковий звіт'!CX113</f>
        <v>72122.308331426568</v>
      </c>
      <c r="DJ113" s="306">
        <f>'[3]побудинковий звіт'!DM113</f>
        <v>6.3798267896686252</v>
      </c>
      <c r="DK113" s="306">
        <f>'[3]побудинковий звіт'!DN113</f>
        <v>7.6950798582384534</v>
      </c>
      <c r="DL113" s="306">
        <f>'[3]побудинковий звіт'!DO113</f>
        <v>5.3385458810754143</v>
      </c>
      <c r="DM113" s="28">
        <f t="shared" si="144"/>
        <v>72122.308331426568</v>
      </c>
      <c r="DN113" s="28">
        <f>DL113*H113</f>
        <v>0</v>
      </c>
      <c r="DO113" s="423">
        <f t="shared" si="105"/>
        <v>72122.308331426568</v>
      </c>
      <c r="DP113" s="94">
        <f t="shared" si="106"/>
        <v>0</v>
      </c>
      <c r="DQ113" s="28">
        <f t="shared" si="107"/>
        <v>72122.308331426568</v>
      </c>
      <c r="DR113" s="318"/>
      <c r="DT113" s="8"/>
      <c r="DU113" s="5"/>
      <c r="DX113" s="5">
        <f t="shared" si="108"/>
        <v>203718.69921765151</v>
      </c>
      <c r="DY113" s="5">
        <f t="shared" si="109"/>
        <v>129412.44125603398</v>
      </c>
      <c r="DZ113" s="159">
        <f>'[3]побудинковий звіт'!EA113</f>
        <v>19804.177674958508</v>
      </c>
    </row>
    <row r="114" spans="1:130" x14ac:dyDescent="0.3">
      <c r="A114" s="325">
        <v>150000626</v>
      </c>
      <c r="B114" s="41" t="s">
        <v>563</v>
      </c>
      <c r="C114" s="42" t="s">
        <v>359</v>
      </c>
      <c r="D114" s="42"/>
      <c r="E114" s="293">
        <f t="shared" si="85"/>
        <v>7507.43</v>
      </c>
      <c r="F114" s="305">
        <f>'[3]побудинковий звіт'!F114</f>
        <v>7507.43</v>
      </c>
      <c r="G114" s="508">
        <f>'[3]побудинковий звіт'!G114</f>
        <v>772.75</v>
      </c>
      <c r="H114" s="560">
        <f>'[3]побудинковий звіт'!H114</f>
        <v>0</v>
      </c>
      <c r="I114" s="566">
        <f>VLOOKUP($A114,'01-02.2021'!$A$6:$CZ$403,9,FALSE)+VLOOKUP($A114,'1.3.21-28.2.22'!$A$6:$DA$404,9,FALSE)-VLOOKUP($A114,'01-02.2022'!$A$6:$DA$376,9,FALSE)</f>
        <v>18490.766458982813</v>
      </c>
      <c r="J114" s="566">
        <f>VLOOKUP($A114,'01-02.2021'!$A$6:$CZ$403,10,FALSE)+VLOOKUP($A114,'1.3.21-28.2.22'!$A$6:$DA$404,10,FALSE)-VLOOKUP($A114,'01-02.2022'!$A$6:$DA$376,10,FALSE)</f>
        <v>16657.786836916926</v>
      </c>
      <c r="K114" s="52">
        <f t="shared" si="94"/>
        <v>-1832.9796220658864</v>
      </c>
      <c r="L114" s="566">
        <f>VLOOKUP($A114,'01-02.2021'!$A$6:$CZ$403,12,FALSE)+VLOOKUP($A114,'1.3.21-28.2.22'!$A$6:$DA$404,12,FALSE)-VLOOKUP($A114,'01-02.2022'!$A$6:$DA$376,12,FALSE)</f>
        <v>3829.332459866162</v>
      </c>
      <c r="M114" s="566">
        <f>VLOOKUP($A114,'01-02.2021'!$A$6:$CZ$403,13,FALSE)+VLOOKUP($A114,'1.3.21-28.2.22'!$A$6:$DA$404,13,FALSE)-VLOOKUP($A114,'01-02.2022'!$A$6:$DA$376,13,FALSE)</f>
        <v>3464.3777480442423</v>
      </c>
      <c r="N114" s="52">
        <f t="shared" si="95"/>
        <v>-364.95471182191977</v>
      </c>
      <c r="O114" s="566">
        <f>VLOOKUP($A114,'01-02.2021'!$A$6:$CZ$403,15,FALSE)+VLOOKUP($A114,'1.3.21-28.2.22'!$A$6:$DA$404,15,FALSE)-VLOOKUP($A114,'01-02.2022'!$A$6:$DA$376,15,FALSE)</f>
        <v>11458.022194648058</v>
      </c>
      <c r="P114" s="566">
        <f>VLOOKUP($A114,'01-02.2021'!$A$6:$CZ$403,16,FALSE)+VLOOKUP($A114,'1.3.21-28.2.22'!$A$6:$DA$404,16,FALSE)-VLOOKUP($A114,'01-02.2022'!$A$6:$DA$376,16,FALSE)</f>
        <v>11457.98</v>
      </c>
      <c r="Q114" s="70">
        <f t="shared" si="111"/>
        <v>-4.2194648058284656E-2</v>
      </c>
      <c r="R114" s="566">
        <f>VLOOKUP($A114,'01-02.2021'!$A$6:$CZ$403,18,FALSE)+VLOOKUP($A114,'1.3.21-28.2.22'!$A$6:$DA$404,18,FALSE)-VLOOKUP($A114,'01-02.2022'!$A$6:$DA$376,18,FALSE)</f>
        <v>2129.7048101524251</v>
      </c>
      <c r="S114" s="566">
        <f>VLOOKUP($A114,'01-02.2021'!$A$6:$CZ$403,19,FALSE)+VLOOKUP($A114,'1.3.21-28.2.22'!$A$6:$DA$404,19,FALSE)-VLOOKUP($A114,'01-02.2022'!$A$6:$DA$376,19,FALSE)</f>
        <v>2129.67</v>
      </c>
      <c r="T114" s="70">
        <f t="shared" si="112"/>
        <v>-3.4810152425052365E-2</v>
      </c>
      <c r="U114" s="566">
        <f>VLOOKUP($A114,'01-02.2021'!$A$6:$CZ$403,21,FALSE)+VLOOKUP($A114,'1.3.21-28.2.22'!$A$6:$DA$404,21,FALSE)-VLOOKUP($A114,'01-02.2022'!$A$6:$DA$376,21,FALSE)</f>
        <v>1983.8403222148527</v>
      </c>
      <c r="V114" s="566">
        <f>VLOOKUP($A114,'01-02.2021'!$A$6:$CZ$403,22,FALSE)+VLOOKUP($A114,'1.3.21-28.2.22'!$A$6:$DA$404,22,FALSE)-VLOOKUP($A114,'01-02.2022'!$A$6:$DA$376,22,FALSE)</f>
        <v>1309.3752681055992</v>
      </c>
      <c r="W114" s="70">
        <f t="shared" si="113"/>
        <v>-674.46505410925351</v>
      </c>
      <c r="X114" s="566">
        <f>VLOOKUP($A114,'01-02.2021'!$A$6:$CZ$403,24,FALSE)+VLOOKUP($A114,'1.3.21-28.2.22'!$A$6:$DA$404,24,FALSE)-VLOOKUP($A114,'01-02.2022'!$A$6:$DA$376,24,FALSE)</f>
        <v>15165.42136842489</v>
      </c>
      <c r="Y114" s="566">
        <f>VLOOKUP($A114,'01-02.2021'!$A$6:$CZ$403,25,FALSE)+VLOOKUP($A114,'1.3.21-28.2.22'!$A$6:$DA$404,25,FALSE)-VLOOKUP($A114,'01-02.2022'!$A$6:$DA$376,25,FALSE)</f>
        <v>12245.563366119259</v>
      </c>
      <c r="Z114" s="70">
        <f t="shared" si="114"/>
        <v>-2919.8580023056311</v>
      </c>
      <c r="AA114" s="566">
        <f>VLOOKUP($A114,'01-02.2021'!$A$6:$CZ$403,27,FALSE)+VLOOKUP($A114,'1.3.21-28.2.22'!$A$6:$DA$404,27,FALSE)-VLOOKUP($A114,'01-02.2022'!$A$6:$DA$376,27,FALSE)</f>
        <v>1501.83</v>
      </c>
      <c r="AB114" s="566">
        <f>VLOOKUP($A114,'01-02.2021'!$A$6:$CZ$403,28,FALSE)+VLOOKUP($A114,'1.3.21-28.2.22'!$A$6:$DA$404,28,FALSE)-VLOOKUP($A114,'01-02.2022'!$A$6:$DA$376,28,FALSE)</f>
        <v>0</v>
      </c>
      <c r="AC114" s="70">
        <f t="shared" si="115"/>
        <v>-1501.83</v>
      </c>
      <c r="AD114" s="566">
        <f>VLOOKUP($A114,'01-02.2021'!$A$6:$CZ$403,30,FALSE)+VLOOKUP($A114,'1.3.21-28.2.22'!$A$6:$DA$404,30,FALSE)-VLOOKUP($A114,'01-02.2022'!$A$6:$DA$376,30,FALSE)</f>
        <v>32249.665301753503</v>
      </c>
      <c r="AE114" s="566">
        <f>VLOOKUP($A114,'01-02.2021'!$A$6:$CZ$403,31,FALSE)+VLOOKUP($A114,'1.3.21-28.2.22'!$A$6:$DA$404,31,FALSE)-VLOOKUP($A114,'01-02.2022'!$A$6:$DA$376,31,FALSE)</f>
        <v>34177.260739198115</v>
      </c>
      <c r="AF114" s="68">
        <f t="shared" si="116"/>
        <v>1927.5954374446119</v>
      </c>
      <c r="AG114" s="77">
        <f t="shared" si="86"/>
        <v>86808.582916042709</v>
      </c>
      <c r="AH114" s="53">
        <f t="shared" si="86"/>
        <v>81442.013958384137</v>
      </c>
      <c r="AI114" s="52">
        <f t="shared" si="96"/>
        <v>-5366.5689576585719</v>
      </c>
      <c r="AJ114" s="566">
        <f>VLOOKUP($A114,'01-02.2021'!$A$6:$CZ$403,36,FALSE)+VLOOKUP($A114,'1.3.21-28.2.22'!$A$6:$DA$404,36,FALSE)-VLOOKUP($A114,'01-02.2022'!$A$6:$DA$376,36,FALSE)</f>
        <v>54573.211573951303</v>
      </c>
      <c r="AK114" s="566">
        <f>VLOOKUP($A114,'01-02.2021'!$A$6:$CZ$403,37,FALSE)+VLOOKUP($A114,'1.3.21-28.2.22'!$A$6:$DA$404,37,FALSE)-VLOOKUP($A114,'01-02.2022'!$A$6:$DA$376,37,FALSE)</f>
        <v>54215.315072531135</v>
      </c>
      <c r="AL114" s="70">
        <f t="shared" si="117"/>
        <v>-357.89650142016762</v>
      </c>
      <c r="AM114" s="566">
        <f>VLOOKUP($A114,'01-02.2021'!$A$6:$CZ$403,39,FALSE)+VLOOKUP($A114,'1.3.21-28.2.22'!$A$6:$DA$404,39,FALSE)-VLOOKUP($A114,'01-02.2022'!$A$6:$DA$376,39,FALSE)</f>
        <v>5784.4838873655044</v>
      </c>
      <c r="AN114" s="566">
        <f>VLOOKUP($A114,'01-02.2021'!$A$6:$CZ$403,40,FALSE)+VLOOKUP($A114,'1.3.21-28.2.22'!$A$6:$DA$404,40,FALSE)-VLOOKUP($A114,'01-02.2022'!$A$6:$DA$376,40,FALSE)</f>
        <v>2348.4598502518602</v>
      </c>
      <c r="AO114" s="70">
        <f t="shared" si="118"/>
        <v>-3436.0240371136442</v>
      </c>
      <c r="AP114" s="566">
        <f>VLOOKUP($A114,'01-02.2021'!$A$6:$CZ$403,42,FALSE)+VLOOKUP($A114,'1.3.21-28.2.22'!$A$6:$DA$404,42,FALSE)-VLOOKUP($A114,'01-02.2022'!$A$6:$DA$376,42,FALSE)</f>
        <v>6203.3391064022635</v>
      </c>
      <c r="AQ114" s="566">
        <f>VLOOKUP($A114,'01-02.2021'!$A$6:$CZ$403,43,FALSE)+VLOOKUP($A114,'1.3.21-28.2.22'!$A$6:$DA$404,43,FALSE)-VLOOKUP($A114,'01-02.2022'!$A$6:$DA$376,43,FALSE)</f>
        <v>5325.6831047101077</v>
      </c>
      <c r="AR114" s="70">
        <f t="shared" si="119"/>
        <v>-877.65600169215577</v>
      </c>
      <c r="AS114" s="566">
        <f>VLOOKUP($A114,'01-02.2021'!$A$6:$CZ$403,45,FALSE)+VLOOKUP($A114,'1.3.21-28.2.22'!$A$6:$DA$404,45,FALSE)-VLOOKUP($A114,'01-02.2022'!$A$6:$DA$376,45,FALSE)</f>
        <v>94980.364476847652</v>
      </c>
      <c r="AT114" s="566">
        <f>VLOOKUP($A114,'01-02.2021'!$A$6:$CZ$403,46,FALSE)+VLOOKUP($A114,'1.3.21-28.2.22'!$A$6:$DA$404,46,FALSE)-VLOOKUP($A114,'01-02.2022'!$A$6:$DA$376,46,FALSE)</f>
        <v>113104.40385424788</v>
      </c>
      <c r="AU114" s="78">
        <f t="shared" si="120"/>
        <v>18124.03937740023</v>
      </c>
      <c r="AV114" s="566">
        <f>VLOOKUP($A114,'01-02.2021'!$A$6:$CZ$403,48,FALSE)+VLOOKUP($A114,'1.3.21-28.2.22'!$A$6:$DA$404,48,FALSE)-VLOOKUP($A114,'01-02.2022'!$A$6:$DA$376,48,FALSE)</f>
        <v>4152.6127506104531</v>
      </c>
      <c r="AW114" s="566">
        <f>VLOOKUP($A114,'01-02.2021'!$A$6:$CZ$403,49,FALSE)+VLOOKUP($A114,'1.3.21-28.2.22'!$A$6:$DA$404,49,FALSE)-VLOOKUP($A114,'01-02.2022'!$A$6:$DA$376,49,FALSE)</f>
        <v>3650</v>
      </c>
      <c r="AX114" s="55">
        <f t="shared" si="121"/>
        <v>-502.61275061045308</v>
      </c>
      <c r="AY114" s="566">
        <f>VLOOKUP($A114,'01-02.2021'!$A$6:$CZ$403,51,FALSE)+VLOOKUP($A114,'1.3.21-28.2.22'!$A$6:$DA$404,51,FALSE)-VLOOKUP($A114,'01-02.2022'!$A$6:$DA$376,51,FALSE)</f>
        <v>5564.1006495295314</v>
      </c>
      <c r="AZ114" s="566">
        <f>VLOOKUP($A114,'01-02.2021'!$A$6:$CZ$403,52,FALSE)+VLOOKUP($A114,'1.3.21-28.2.22'!$A$6:$DA$404,52,FALSE)-VLOOKUP($A114,'01-02.2022'!$A$6:$DA$376,52,FALSE)</f>
        <v>20847</v>
      </c>
      <c r="BA114" s="38">
        <f t="shared" si="122"/>
        <v>15282.899350470469</v>
      </c>
      <c r="BB114" s="566">
        <f>VLOOKUP($A114,'01-02.2021'!$A$6:$CZ$403,54,FALSE)+VLOOKUP($A114,'1.3.21-28.2.22'!$A$6:$DA$404,54,FALSE)-VLOOKUP($A114,'01-02.2022'!$A$6:$DA$376,54,FALSE)</f>
        <v>3035.0536522722855</v>
      </c>
      <c r="BC114" s="566">
        <f>VLOOKUP($A114,'01-02.2021'!$A$6:$CZ$403,55,FALSE)+VLOOKUP($A114,'1.3.21-28.2.22'!$A$6:$DA$404,55,FALSE)-VLOOKUP($A114,'01-02.2022'!$A$6:$DA$376,55,FALSE)</f>
        <v>0</v>
      </c>
      <c r="BD114" s="55">
        <f t="shared" si="123"/>
        <v>-3035.0536522722855</v>
      </c>
      <c r="BE114" s="566">
        <f>VLOOKUP($A114,'01-02.2021'!$A$6:$CZ$403,57,FALSE)+VLOOKUP($A114,'1.3.21-28.2.22'!$A$6:$DA$404,57,FALSE)-VLOOKUP($A114,'01-02.2022'!$A$6:$DA$376,57,FALSE)</f>
        <v>4358.18603304316</v>
      </c>
      <c r="BF114" s="566">
        <f>VLOOKUP($A114,'01-02.2021'!$A$6:$CZ$403,58,FALSE)+VLOOKUP($A114,'1.3.21-28.2.22'!$A$6:$DA$404,58,FALSE)-VLOOKUP($A114,'01-02.2022'!$A$6:$DA$376,58,FALSE)</f>
        <v>2555</v>
      </c>
      <c r="BG114" s="55">
        <f t="shared" si="124"/>
        <v>-1803.18603304316</v>
      </c>
      <c r="BH114" s="566">
        <f>VLOOKUP($A114,'01-02.2021'!$A$6:$CZ$403,60,FALSE)+VLOOKUP($A114,'1.3.21-28.2.22'!$A$6:$DA$404,60,FALSE)-VLOOKUP($A114,'01-02.2022'!$A$6:$DA$376,60,FALSE)</f>
        <v>3769.1071448534476</v>
      </c>
      <c r="BI114" s="566">
        <f>VLOOKUP($A114,'01-02.2021'!$A$6:$CZ$403,61,FALSE)+VLOOKUP($A114,'1.3.21-28.2.22'!$A$6:$DA$404,61,FALSE)-VLOOKUP($A114,'01-02.2022'!$A$6:$DA$376,61,FALSE)</f>
        <v>54</v>
      </c>
      <c r="BJ114" s="55">
        <f t="shared" si="125"/>
        <v>-3715.1071448534476</v>
      </c>
      <c r="BK114" s="566">
        <f>VLOOKUP($A114,'01-02.2021'!$A$6:$CZ$403,63,FALSE)+VLOOKUP($A114,'1.3.21-28.2.22'!$A$6:$DA$404,63,FALSE)-VLOOKUP($A114,'01-02.2022'!$A$6:$DA$376,63,FALSE)</f>
        <v>5250.4881957070529</v>
      </c>
      <c r="BL114" s="566">
        <f>VLOOKUP($A114,'01-02.2021'!$A$6:$CZ$403,64,FALSE)+VLOOKUP($A114,'1.3.21-28.2.22'!$A$6:$DA$404,64,FALSE)-VLOOKUP($A114,'01-02.2022'!$A$6:$DA$376,64,FALSE)</f>
        <v>0</v>
      </c>
      <c r="BM114" s="55">
        <f t="shared" si="126"/>
        <v>-5250.4881957070529</v>
      </c>
      <c r="BN114" s="566">
        <f>VLOOKUP($A114,'01-02.2021'!$A$6:$CZ$403,66,FALSE)+VLOOKUP($A114,'1.3.21-28.2.22'!$A$6:$DA$404,66,FALSE)-VLOOKUP($A114,'01-02.2022'!$A$6:$DA$376,66,FALSE)</f>
        <v>667.71438786787076</v>
      </c>
      <c r="BO114" s="566">
        <f>VLOOKUP($A114,'01-02.2021'!$A$6:$CZ$403,67,FALSE)+VLOOKUP($A114,'1.3.21-28.2.22'!$A$6:$DA$404,67,FALSE)-VLOOKUP($A114,'01-02.2022'!$A$6:$DA$376,67,FALSE)</f>
        <v>0</v>
      </c>
      <c r="BP114" s="55">
        <f t="shared" si="127"/>
        <v>-667.71438786787076</v>
      </c>
      <c r="BQ114" s="77">
        <f t="shared" si="139"/>
        <v>26797.262813883797</v>
      </c>
      <c r="BR114" s="40">
        <f t="shared" si="140"/>
        <v>27106</v>
      </c>
      <c r="BS114" s="55">
        <f t="shared" si="110"/>
        <v>308.73718611620279</v>
      </c>
      <c r="BT114" s="566">
        <f>VLOOKUP($A114,'01-02.2021'!$A$6:$CZ$403,72,FALSE)+VLOOKUP($A114,'1.3.21-28.2.22'!$A$6:$DA$404,72,FALSE)-VLOOKUP($A114,'01-02.2022'!$A$6:$DA$376,72,FALSE)</f>
        <v>90674.466110654525</v>
      </c>
      <c r="BU114" s="566">
        <f>VLOOKUP($A114,'01-02.2021'!$A$6:$CZ$403,73,FALSE)+VLOOKUP($A114,'1.3.21-28.2.22'!$A$6:$DA$404,73,FALSE)-VLOOKUP($A114,'01-02.2022'!$A$6:$DA$376,73,FALSE)</f>
        <v>75302.228843394012</v>
      </c>
      <c r="BV114" s="70">
        <f t="shared" si="128"/>
        <v>-15372.237267260512</v>
      </c>
      <c r="BW114" s="566">
        <f>VLOOKUP($A114,'01-02.2021'!$A$6:$CZ$403,75,FALSE)+VLOOKUP($A114,'1.3.21-28.2.22'!$A$6:$DA$404,75,FALSE)-VLOOKUP($A114,'01-02.2022'!$A$6:$DA$376,75,FALSE)</f>
        <v>61579.122449152601</v>
      </c>
      <c r="BX114" s="566">
        <f>VLOOKUP($A114,'01-02.2021'!$A$6:$CZ$403,76,FALSE)+VLOOKUP($A114,'1.3.21-28.2.22'!$A$6:$DA$404,76,FALSE)-VLOOKUP($A114,'01-02.2022'!$A$6:$DA$376,76,FALSE)</f>
        <v>56213.242269960559</v>
      </c>
      <c r="BY114" s="70">
        <f t="shared" si="129"/>
        <v>-5365.8801791920414</v>
      </c>
      <c r="BZ114" s="566">
        <f>VLOOKUP($A114,'01-02.2021'!$A$6:$CZ$403,78,FALSE)+VLOOKUP($A114,'1.3.21-28.2.22'!$A$6:$DA$404,78,FALSE)-VLOOKUP($A114,'01-02.2022'!$A$6:$DA$376,78,FALSE)</f>
        <v>14001.89801513553</v>
      </c>
      <c r="CA114" s="566">
        <f>VLOOKUP($A114,'01-02.2021'!$A$6:$CZ$403,79,FALSE)+VLOOKUP($A114,'1.3.21-28.2.22'!$A$6:$DA$404,79,FALSE)-VLOOKUP($A114,'01-02.2022'!$A$6:$DA$376,79,FALSE)</f>
        <v>22958.340360159898</v>
      </c>
      <c r="CB114" s="70">
        <f t="shared" si="130"/>
        <v>8956.4423450243685</v>
      </c>
      <c r="CC114" s="566">
        <f>VLOOKUP($A114,'01-02.2021'!$A$6:$CZ$403,81,FALSE)+VLOOKUP($A114,'1.3.21-28.2.22'!$A$6:$DA$404,81,FALSE)-VLOOKUP($A114,'01-02.2022'!$A$6:$DA$376,81,FALSE)</f>
        <v>1816.8824877300062</v>
      </c>
      <c r="CD114" s="566">
        <f>VLOOKUP($A114,'01-02.2021'!$A$6:$CZ$403,82,FALSE)+VLOOKUP($A114,'1.3.21-28.2.22'!$A$6:$DA$404,82,FALSE)-VLOOKUP($A114,'01-02.2022'!$A$6:$DA$376,82,FALSE)</f>
        <v>1973.3169499000546</v>
      </c>
      <c r="CE114" s="70">
        <f t="shared" si="131"/>
        <v>156.43446217004839</v>
      </c>
      <c r="CF114" s="566">
        <f>VLOOKUP($A114,'01-02.2021'!$A$6:$CZ$403,84,FALSE)+VLOOKUP($A114,'1.3.21-28.2.22'!$A$6:$DA$404,84,FALSE)-VLOOKUP($A114,'01-02.2022'!$A$6:$DA$376,84,FALSE)</f>
        <v>219.48660188295531</v>
      </c>
      <c r="CG114" s="566">
        <f>VLOOKUP($A114,'01-02.2021'!$A$6:$CZ$403,85,FALSE)+VLOOKUP($A114,'1.3.21-28.2.22'!$A$6:$DA$404,85,FALSE)-VLOOKUP($A114,'01-02.2022'!$A$6:$DA$376,85,FALSE)</f>
        <v>0</v>
      </c>
      <c r="CH114" s="70">
        <f t="shared" si="132"/>
        <v>-219.48660188295531</v>
      </c>
      <c r="CI114" s="566">
        <f>VLOOKUP($A114,'01-02.2021'!$A$6:$CZ$403,87,FALSE)+VLOOKUP($A114,'1.3.21-28.2.22'!$A$6:$DA$404,87,FALSE)-VLOOKUP($A114,'01-02.2022'!$A$6:$DA$376,87,FALSE)</f>
        <v>13488.627087692505</v>
      </c>
      <c r="CJ114" s="566">
        <f>VLOOKUP($A114,'01-02.2021'!$A$6:$CZ$403,88,FALSE)+VLOOKUP($A114,'1.3.21-28.2.22'!$A$6:$DA$404,88,FALSE)-VLOOKUP($A114,'01-02.2022'!$A$6:$DA$376,88,FALSE)</f>
        <v>9711.0056829092591</v>
      </c>
      <c r="CK114" s="70">
        <f t="shared" si="133"/>
        <v>-3777.6214047832455</v>
      </c>
      <c r="CL114" s="566">
        <f>VLOOKUP($A114,'01-02.2021'!$A$6:$CZ$403,90,FALSE)+VLOOKUP($A114,'1.3.21-28.2.22'!$A$6:$DA$404,90,FALSE)-VLOOKUP($A114,'01-02.2022'!$A$6:$DA$376,90,FALSE)</f>
        <v>14938.398377728279</v>
      </c>
      <c r="CM114" s="566">
        <f>VLOOKUP($A114,'01-02.2021'!$A$6:$CZ$403,91,FALSE)+VLOOKUP($A114,'1.3.21-28.2.22'!$A$6:$DA$404,91,FALSE)-VLOOKUP($A114,'01-02.2022'!$A$6:$DA$376,91,FALSE)</f>
        <v>13552.852661241539</v>
      </c>
      <c r="CN114" s="52">
        <f t="shared" si="97"/>
        <v>-1385.5457164867403</v>
      </c>
      <c r="CO114" s="39">
        <f t="shared" si="89"/>
        <v>28427.025465420782</v>
      </c>
      <c r="CP114" s="40">
        <f t="shared" si="98"/>
        <v>23263.858344150798</v>
      </c>
      <c r="CQ114" s="52">
        <f t="shared" si="99"/>
        <v>-5163.1671212699839</v>
      </c>
      <c r="CR114" s="72">
        <f t="shared" si="90"/>
        <v>471866.12590446963</v>
      </c>
      <c r="CS114" s="5">
        <f t="shared" si="90"/>
        <v>463252.86260769056</v>
      </c>
      <c r="CT114" s="52">
        <f t="shared" si="100"/>
        <v>-8613.2632967790705</v>
      </c>
      <c r="CU114" s="77">
        <f t="shared" si="101"/>
        <v>566239.35108536354</v>
      </c>
      <c r="CV114" s="65">
        <f t="shared" si="102"/>
        <v>555903.43512922863</v>
      </c>
      <c r="CW114" s="35">
        <f t="shared" si="103"/>
        <v>-10335.915956134908</v>
      </c>
      <c r="CX114" s="566">
        <f>VLOOKUP($A114,'01-02.2021'!$A$6:$CZ$403,102,FALSE)+VLOOKUP($A114,'1.3.21-28.2.22'!$A$6:$DA$404,102,FALSE)-VLOOKUP($A114,'01-02.2022'!$A$6:$DA$376,102,FALSE)</f>
        <v>16143.450371169116</v>
      </c>
      <c r="CY114" s="566">
        <f>VLOOKUP($A114,'01-02.2021'!$A$6:$CZ$403,103,FALSE)+VLOOKUP($A114,'1.3.21-28.2.22'!$A$6:$DA$404,103,FALSE)-VLOOKUP($A114,'01-02.2022'!$A$6:$DA$376,103,FALSE)</f>
        <v>26479.366327304087</v>
      </c>
      <c r="CZ114" s="52">
        <f t="shared" si="104"/>
        <v>10335.915956134972</v>
      </c>
      <c r="DA114" s="150">
        <f>'[2]побудинковий звіт'!DA114</f>
        <v>64723.573395225394</v>
      </c>
      <c r="DB114" s="2">
        <v>1</v>
      </c>
      <c r="DC114" s="414">
        <f>'[4]побудинковий звіт'!DC114</f>
        <v>122679.76</v>
      </c>
      <c r="DD114" s="414">
        <f>'[4]побудинковий звіт'!DD114</f>
        <v>0</v>
      </c>
      <c r="DE114" s="557">
        <f>'[4]побудинковий звіт'!DE114</f>
        <v>70090.383187479893</v>
      </c>
      <c r="DF114" s="557">
        <f>'[4]побудинковий звіт'!DF114</f>
        <v>0</v>
      </c>
      <c r="DG114" s="321">
        <f>VLOOKUP(A114,'кошти 01.03.2021'!$A$6:$D$401,4,)</f>
        <v>133009.6862036321</v>
      </c>
      <c r="DH114" s="40">
        <f>'[3]побудинковий звіт'!DJ114</f>
        <v>601547.88573152781</v>
      </c>
      <c r="DI114" s="422">
        <f>'[3]побудинковий звіт'!CU114+'[3]побудинковий звіт'!CX114</f>
        <v>52589.376812520095</v>
      </c>
      <c r="DJ114" s="306">
        <f>'[3]побудинковий звіт'!DM114</f>
        <v>5.9239491863961771</v>
      </c>
      <c r="DK114" s="306">
        <f>'[3]побудинковий звіт'!DN114</f>
        <v>7.1290165351185877</v>
      </c>
      <c r="DL114" s="306">
        <f>'[3]побудинковий звіт'!DO114</f>
        <v>4.9645502632445</v>
      </c>
      <c r="DM114" s="28">
        <f t="shared" si="144"/>
        <v>52589.376812520095</v>
      </c>
      <c r="DN114" s="28">
        <f>DL114*H114</f>
        <v>0</v>
      </c>
      <c r="DO114" s="423">
        <f t="shared" si="105"/>
        <v>52589.376812520095</v>
      </c>
      <c r="DP114" s="94">
        <f t="shared" si="106"/>
        <v>0</v>
      </c>
      <c r="DQ114" s="28">
        <f t="shared" si="107"/>
        <v>52589.376812520095</v>
      </c>
      <c r="DR114" s="318"/>
      <c r="DT114" s="8"/>
      <c r="DU114" s="5"/>
      <c r="DX114" s="5">
        <f t="shared" si="108"/>
        <v>146133.15274887774</v>
      </c>
      <c r="DY114" s="5">
        <f t="shared" si="109"/>
        <v>168252.48462509745</v>
      </c>
      <c r="DZ114" s="159">
        <f>'[3]побудинковий звіт'!EA114</f>
        <v>13687.240764390242</v>
      </c>
    </row>
    <row r="115" spans="1:130" x14ac:dyDescent="0.3">
      <c r="A115" s="325">
        <v>150000603</v>
      </c>
      <c r="B115" s="41" t="s">
        <v>564</v>
      </c>
      <c r="C115" s="42" t="s">
        <v>154</v>
      </c>
      <c r="D115" s="42"/>
      <c r="E115" s="293">
        <f t="shared" si="85"/>
        <v>506.90000000000003</v>
      </c>
      <c r="F115" s="305">
        <f>'[3]побудинковий звіт'!F115</f>
        <v>311.60000000000002</v>
      </c>
      <c r="G115" s="508">
        <f>'[3]побудинковий звіт'!G115</f>
        <v>0</v>
      </c>
      <c r="H115" s="560">
        <f>'[3]побудинковий звіт'!H115</f>
        <v>195.3</v>
      </c>
      <c r="I115" s="566">
        <f>VLOOKUP($A115,'01-02.2021'!$A$6:$CZ$403,9,FALSE)+VLOOKUP($A115,'1.3.21-28.2.22'!$A$6:$DA$404,9,FALSE)-VLOOKUP($A115,'01-02.2022'!$A$6:$DA$376,9,FALSE)</f>
        <v>1829.5571734176515</v>
      </c>
      <c r="J115" s="566">
        <f>VLOOKUP($A115,'01-02.2021'!$A$6:$CZ$403,10,FALSE)+VLOOKUP($A115,'1.3.21-28.2.22'!$A$6:$DA$404,10,FALSE)-VLOOKUP($A115,'01-02.2022'!$A$6:$DA$376,10,FALSE)</f>
        <v>1985.9776699464846</v>
      </c>
      <c r="K115" s="52">
        <f t="shared" si="94"/>
        <v>156.42049652883316</v>
      </c>
      <c r="L115" s="566">
        <f>VLOOKUP($A115,'01-02.2021'!$A$6:$CZ$403,12,FALSE)+VLOOKUP($A115,'1.3.21-28.2.22'!$A$6:$DA$404,12,FALSE)-VLOOKUP($A115,'01-02.2022'!$A$6:$DA$376,12,FALSE)</f>
        <v>340.06861193541766</v>
      </c>
      <c r="M115" s="566">
        <f>VLOOKUP($A115,'01-02.2021'!$A$6:$CZ$403,13,FALSE)+VLOOKUP($A115,'1.3.21-28.2.22'!$A$6:$DA$404,13,FALSE)-VLOOKUP($A115,'01-02.2022'!$A$6:$DA$376,13,FALSE)</f>
        <v>374.42866258838728</v>
      </c>
      <c r="N115" s="52">
        <f t="shared" si="95"/>
        <v>34.360050652969619</v>
      </c>
      <c r="O115" s="566">
        <f>VLOOKUP($A115,'01-02.2021'!$A$6:$CZ$403,15,FALSE)+VLOOKUP($A115,'1.3.21-28.2.22'!$A$6:$DA$404,15,FALSE)-VLOOKUP($A115,'01-02.2022'!$A$6:$DA$376,15,FALSE)</f>
        <v>657.57560274103321</v>
      </c>
      <c r="P115" s="566">
        <f>VLOOKUP($A115,'01-02.2021'!$A$6:$CZ$403,16,FALSE)+VLOOKUP($A115,'1.3.21-28.2.22'!$A$6:$DA$404,16,FALSE)-VLOOKUP($A115,'01-02.2022'!$A$6:$DA$376,16,FALSE)</f>
        <v>657.6099999999999</v>
      </c>
      <c r="Q115" s="70">
        <f t="shared" si="111"/>
        <v>3.4397258966691879E-2</v>
      </c>
      <c r="R115" s="566">
        <f>VLOOKUP($A115,'01-02.2021'!$A$6:$CZ$403,18,FALSE)+VLOOKUP($A115,'1.3.21-28.2.22'!$A$6:$DA$404,18,FALSE)-VLOOKUP($A115,'01-02.2022'!$A$6:$DA$376,18,FALSE)</f>
        <v>0</v>
      </c>
      <c r="S115" s="566">
        <f>VLOOKUP($A115,'01-02.2021'!$A$6:$CZ$403,19,FALSE)+VLOOKUP($A115,'1.3.21-28.2.22'!$A$6:$DA$404,19,FALSE)-VLOOKUP($A115,'01-02.2022'!$A$6:$DA$376,19,FALSE)</f>
        <v>0</v>
      </c>
      <c r="T115" s="70">
        <f t="shared" si="112"/>
        <v>0</v>
      </c>
      <c r="U115" s="566">
        <f>VLOOKUP($A115,'01-02.2021'!$A$6:$CZ$403,21,FALSE)+VLOOKUP($A115,'1.3.21-28.2.22'!$A$6:$DA$404,21,FALSE)-VLOOKUP($A115,'01-02.2022'!$A$6:$DA$376,21,FALSE)</f>
        <v>0</v>
      </c>
      <c r="V115" s="566">
        <f>VLOOKUP($A115,'01-02.2021'!$A$6:$CZ$403,22,FALSE)+VLOOKUP($A115,'1.3.21-28.2.22'!$A$6:$DA$404,22,FALSE)-VLOOKUP($A115,'01-02.2022'!$A$6:$DA$376,22,FALSE)</f>
        <v>0</v>
      </c>
      <c r="W115" s="70">
        <f t="shared" si="113"/>
        <v>0</v>
      </c>
      <c r="X115" s="566">
        <f>VLOOKUP($A115,'01-02.2021'!$A$6:$CZ$403,24,FALSE)+VLOOKUP($A115,'1.3.21-28.2.22'!$A$6:$DA$404,24,FALSE)-VLOOKUP($A115,'01-02.2022'!$A$6:$DA$376,24,FALSE)</f>
        <v>842.88108197609245</v>
      </c>
      <c r="Y115" s="566">
        <f>VLOOKUP($A115,'01-02.2021'!$A$6:$CZ$403,25,FALSE)+VLOOKUP($A115,'1.3.21-28.2.22'!$A$6:$DA$404,25,FALSE)-VLOOKUP($A115,'01-02.2022'!$A$6:$DA$376,25,FALSE)</f>
        <v>640.58169986491953</v>
      </c>
      <c r="Z115" s="70">
        <f t="shared" si="114"/>
        <v>-202.29938211117292</v>
      </c>
      <c r="AA115" s="566">
        <f>VLOOKUP($A115,'01-02.2021'!$A$6:$CZ$403,27,FALSE)+VLOOKUP($A115,'1.3.21-28.2.22'!$A$6:$DA$404,27,FALSE)-VLOOKUP($A115,'01-02.2022'!$A$6:$DA$376,27,FALSE)</f>
        <v>101.38000000000002</v>
      </c>
      <c r="AB115" s="566">
        <f>VLOOKUP($A115,'01-02.2021'!$A$6:$CZ$403,28,FALSE)+VLOOKUP($A115,'1.3.21-28.2.22'!$A$6:$DA$404,28,FALSE)-VLOOKUP($A115,'01-02.2022'!$A$6:$DA$376,28,FALSE)</f>
        <v>0</v>
      </c>
      <c r="AC115" s="70">
        <f t="shared" si="115"/>
        <v>-101.38000000000002</v>
      </c>
      <c r="AD115" s="566">
        <f>VLOOKUP($A115,'01-02.2021'!$A$6:$CZ$403,30,FALSE)+VLOOKUP($A115,'1.3.21-28.2.22'!$A$6:$DA$404,30,FALSE)-VLOOKUP($A115,'01-02.2022'!$A$6:$DA$376,30,FALSE)</f>
        <v>2157.8997013113676</v>
      </c>
      <c r="AE115" s="566">
        <f>VLOOKUP($A115,'01-02.2021'!$A$6:$CZ$403,31,FALSE)+VLOOKUP($A115,'1.3.21-28.2.22'!$A$6:$DA$404,31,FALSE)-VLOOKUP($A115,'01-02.2022'!$A$6:$DA$376,31,FALSE)</f>
        <v>2307.4292241417056</v>
      </c>
      <c r="AF115" s="68">
        <f t="shared" si="116"/>
        <v>149.52952283033801</v>
      </c>
      <c r="AG115" s="77">
        <f t="shared" si="86"/>
        <v>5929.3621713815628</v>
      </c>
      <c r="AH115" s="53">
        <f t="shared" si="86"/>
        <v>5966.027256541498</v>
      </c>
      <c r="AI115" s="52">
        <f t="shared" si="96"/>
        <v>36.665085159935188</v>
      </c>
      <c r="AJ115" s="566">
        <f>VLOOKUP($A115,'01-02.2021'!$A$6:$CZ$403,36,FALSE)+VLOOKUP($A115,'1.3.21-28.2.22'!$A$6:$DA$404,36,FALSE)-VLOOKUP($A115,'01-02.2022'!$A$6:$DA$376,36,FALSE)</f>
        <v>0</v>
      </c>
      <c r="AK115" s="566">
        <f>VLOOKUP($A115,'01-02.2021'!$A$6:$CZ$403,37,FALSE)+VLOOKUP($A115,'1.3.21-28.2.22'!$A$6:$DA$404,37,FALSE)-VLOOKUP($A115,'01-02.2022'!$A$6:$DA$376,37,FALSE)</f>
        <v>0</v>
      </c>
      <c r="AL115" s="70">
        <f t="shared" si="117"/>
        <v>0</v>
      </c>
      <c r="AM115" s="566">
        <f>VLOOKUP($A115,'01-02.2021'!$A$6:$CZ$403,39,FALSE)+VLOOKUP($A115,'1.3.21-28.2.22'!$A$6:$DA$404,39,FALSE)-VLOOKUP($A115,'01-02.2022'!$A$6:$DA$376,39,FALSE)</f>
        <v>0</v>
      </c>
      <c r="AN115" s="566">
        <f>VLOOKUP($A115,'01-02.2021'!$A$6:$CZ$403,40,FALSE)+VLOOKUP($A115,'1.3.21-28.2.22'!$A$6:$DA$404,40,FALSE)-VLOOKUP($A115,'01-02.2022'!$A$6:$DA$376,40,FALSE)</f>
        <v>0</v>
      </c>
      <c r="AO115" s="70">
        <f t="shared" si="118"/>
        <v>0</v>
      </c>
      <c r="AP115" s="566">
        <f>VLOOKUP($A115,'01-02.2021'!$A$6:$CZ$403,42,FALSE)+VLOOKUP($A115,'1.3.21-28.2.22'!$A$6:$DA$404,42,FALSE)-VLOOKUP($A115,'01-02.2022'!$A$6:$DA$376,42,FALSE)</f>
        <v>650.699906265972</v>
      </c>
      <c r="AQ115" s="566">
        <f>VLOOKUP($A115,'01-02.2021'!$A$6:$CZ$403,43,FALSE)+VLOOKUP($A115,'1.3.21-28.2.22'!$A$6:$DA$404,43,FALSE)-VLOOKUP($A115,'01-02.2022'!$A$6:$DA$376,43,FALSE)</f>
        <v>512.51078277167687</v>
      </c>
      <c r="AR115" s="70">
        <f t="shared" si="119"/>
        <v>-138.18912349429513</v>
      </c>
      <c r="AS115" s="566">
        <f>VLOOKUP($A115,'01-02.2021'!$A$6:$CZ$403,45,FALSE)+VLOOKUP($A115,'1.3.21-28.2.22'!$A$6:$DA$404,45,FALSE)-VLOOKUP($A115,'01-02.2022'!$A$6:$DA$376,45,FALSE)</f>
        <v>6111.7617319661995</v>
      </c>
      <c r="AT115" s="566">
        <f>VLOOKUP($A115,'01-02.2021'!$A$6:$CZ$403,46,FALSE)+VLOOKUP($A115,'1.3.21-28.2.22'!$A$6:$DA$404,46,FALSE)-VLOOKUP($A115,'01-02.2022'!$A$6:$DA$376,46,FALSE)</f>
        <v>251</v>
      </c>
      <c r="AU115" s="78">
        <f t="shared" si="120"/>
        <v>-5860.7617319661995</v>
      </c>
      <c r="AV115" s="566">
        <f>VLOOKUP($A115,'01-02.2021'!$A$6:$CZ$403,48,FALSE)+VLOOKUP($A115,'1.3.21-28.2.22'!$A$6:$DA$404,48,FALSE)-VLOOKUP($A115,'01-02.2022'!$A$6:$DA$376,48,FALSE)</f>
        <v>600.49258390462444</v>
      </c>
      <c r="AW115" s="566">
        <f>VLOOKUP($A115,'01-02.2021'!$A$6:$CZ$403,49,FALSE)+VLOOKUP($A115,'1.3.21-28.2.22'!$A$6:$DA$404,49,FALSE)-VLOOKUP($A115,'01-02.2022'!$A$6:$DA$376,49,FALSE)</f>
        <v>0</v>
      </c>
      <c r="AX115" s="55">
        <f t="shared" si="121"/>
        <v>-600.49258390462444</v>
      </c>
      <c r="AY115" s="566">
        <f>VLOOKUP($A115,'01-02.2021'!$A$6:$CZ$403,51,FALSE)+VLOOKUP($A115,'1.3.21-28.2.22'!$A$6:$DA$404,51,FALSE)-VLOOKUP($A115,'01-02.2022'!$A$6:$DA$376,51,FALSE)</f>
        <v>639.0899494695916</v>
      </c>
      <c r="AZ115" s="566">
        <f>VLOOKUP($A115,'01-02.2021'!$A$6:$CZ$403,52,FALSE)+VLOOKUP($A115,'1.3.21-28.2.22'!$A$6:$DA$404,52,FALSE)-VLOOKUP($A115,'01-02.2022'!$A$6:$DA$376,52,FALSE)</f>
        <v>0</v>
      </c>
      <c r="BA115" s="38">
        <f t="shared" si="122"/>
        <v>-639.0899494695916</v>
      </c>
      <c r="BB115" s="566">
        <f>VLOOKUP($A115,'01-02.2021'!$A$6:$CZ$403,54,FALSE)+VLOOKUP($A115,'1.3.21-28.2.22'!$A$6:$DA$404,54,FALSE)-VLOOKUP($A115,'01-02.2022'!$A$6:$DA$376,54,FALSE)</f>
        <v>225.60495714587455</v>
      </c>
      <c r="BC115" s="566">
        <f>VLOOKUP($A115,'01-02.2021'!$A$6:$CZ$403,55,FALSE)+VLOOKUP($A115,'1.3.21-28.2.22'!$A$6:$DA$404,55,FALSE)-VLOOKUP($A115,'01-02.2022'!$A$6:$DA$376,55,FALSE)</f>
        <v>0</v>
      </c>
      <c r="BD115" s="55">
        <f t="shared" si="123"/>
        <v>-225.60495714587455</v>
      </c>
      <c r="BE115" s="566">
        <f>VLOOKUP($A115,'01-02.2021'!$A$6:$CZ$403,57,FALSE)+VLOOKUP($A115,'1.3.21-28.2.22'!$A$6:$DA$404,57,FALSE)-VLOOKUP($A115,'01-02.2022'!$A$6:$DA$376,57,FALSE)</f>
        <v>0</v>
      </c>
      <c r="BF115" s="566">
        <f>VLOOKUP($A115,'01-02.2021'!$A$6:$CZ$403,58,FALSE)+VLOOKUP($A115,'1.3.21-28.2.22'!$A$6:$DA$404,58,FALSE)-VLOOKUP($A115,'01-02.2022'!$A$6:$DA$376,58,FALSE)</f>
        <v>0</v>
      </c>
      <c r="BG115" s="55">
        <f t="shared" si="124"/>
        <v>0</v>
      </c>
      <c r="BH115" s="566">
        <f>VLOOKUP($A115,'01-02.2021'!$A$6:$CZ$403,60,FALSE)+VLOOKUP($A115,'1.3.21-28.2.22'!$A$6:$DA$404,60,FALSE)-VLOOKUP($A115,'01-02.2022'!$A$6:$DA$376,60,FALSE)</f>
        <v>0</v>
      </c>
      <c r="BI115" s="566">
        <f>VLOOKUP($A115,'01-02.2021'!$A$6:$CZ$403,61,FALSE)+VLOOKUP($A115,'1.3.21-28.2.22'!$A$6:$DA$404,61,FALSE)-VLOOKUP($A115,'01-02.2022'!$A$6:$DA$376,61,FALSE)</f>
        <v>0</v>
      </c>
      <c r="BJ115" s="55">
        <f t="shared" si="125"/>
        <v>0</v>
      </c>
      <c r="BK115" s="566">
        <f>VLOOKUP($A115,'01-02.2021'!$A$6:$CZ$403,63,FALSE)+VLOOKUP($A115,'1.3.21-28.2.22'!$A$6:$DA$404,63,FALSE)-VLOOKUP($A115,'01-02.2022'!$A$6:$DA$376,63,FALSE)</f>
        <v>108.99168448954464</v>
      </c>
      <c r="BL115" s="566">
        <f>VLOOKUP($A115,'01-02.2021'!$A$6:$CZ$403,64,FALSE)+VLOOKUP($A115,'1.3.21-28.2.22'!$A$6:$DA$404,64,FALSE)-VLOOKUP($A115,'01-02.2022'!$A$6:$DA$376,64,FALSE)</f>
        <v>0</v>
      </c>
      <c r="BM115" s="55">
        <f t="shared" si="126"/>
        <v>-108.99168448954464</v>
      </c>
      <c r="BN115" s="566">
        <f>VLOOKUP($A115,'01-02.2021'!$A$6:$CZ$403,66,FALSE)+VLOOKUP($A115,'1.3.21-28.2.22'!$A$6:$DA$404,66,FALSE)-VLOOKUP($A115,'01-02.2022'!$A$6:$DA$376,66,FALSE)</f>
        <v>25.345000000000006</v>
      </c>
      <c r="BO115" s="566">
        <f>VLOOKUP($A115,'01-02.2021'!$A$6:$CZ$403,67,FALSE)+VLOOKUP($A115,'1.3.21-28.2.22'!$A$6:$DA$404,67,FALSE)-VLOOKUP($A115,'01-02.2022'!$A$6:$DA$376,67,FALSE)</f>
        <v>0</v>
      </c>
      <c r="BP115" s="55">
        <f t="shared" si="127"/>
        <v>-25.345000000000006</v>
      </c>
      <c r="BQ115" s="77">
        <f t="shared" si="139"/>
        <v>1599.5241750096352</v>
      </c>
      <c r="BR115" s="40">
        <f t="shared" si="140"/>
        <v>0</v>
      </c>
      <c r="BS115" s="55">
        <f t="shared" si="110"/>
        <v>-1599.5241750096352</v>
      </c>
      <c r="BT115" s="566">
        <f>VLOOKUP($A115,'01-02.2021'!$A$6:$CZ$403,72,FALSE)+VLOOKUP($A115,'1.3.21-28.2.22'!$A$6:$DA$404,72,FALSE)-VLOOKUP($A115,'01-02.2022'!$A$6:$DA$376,72,FALSE)</f>
        <v>7235.3554672632663</v>
      </c>
      <c r="BU115" s="566">
        <f>VLOOKUP($A115,'01-02.2021'!$A$6:$CZ$403,73,FALSE)+VLOOKUP($A115,'1.3.21-28.2.22'!$A$6:$DA$404,73,FALSE)-VLOOKUP($A115,'01-02.2022'!$A$6:$DA$376,73,FALSE)</f>
        <v>8231.8279474080628</v>
      </c>
      <c r="BV115" s="70">
        <f t="shared" si="128"/>
        <v>996.47248014479646</v>
      </c>
      <c r="BW115" s="566">
        <f>VLOOKUP($A115,'01-02.2021'!$A$6:$CZ$403,75,FALSE)+VLOOKUP($A115,'1.3.21-28.2.22'!$A$6:$DA$404,75,FALSE)-VLOOKUP($A115,'01-02.2022'!$A$6:$DA$376,75,FALSE)</f>
        <v>3006.7634382904907</v>
      </c>
      <c r="BX115" s="566">
        <f>VLOOKUP($A115,'01-02.2021'!$A$6:$CZ$403,76,FALSE)+VLOOKUP($A115,'1.3.21-28.2.22'!$A$6:$DA$404,76,FALSE)-VLOOKUP($A115,'01-02.2022'!$A$6:$DA$376,76,FALSE)</f>
        <v>3222.9454148973859</v>
      </c>
      <c r="BY115" s="70">
        <f t="shared" si="129"/>
        <v>216.1819766068952</v>
      </c>
      <c r="BZ115" s="566">
        <f>VLOOKUP($A115,'01-02.2021'!$A$6:$CZ$403,78,FALSE)+VLOOKUP($A115,'1.3.21-28.2.22'!$A$6:$DA$404,78,FALSE)-VLOOKUP($A115,'01-02.2022'!$A$6:$DA$376,78,FALSE)</f>
        <v>1521.1203062527798</v>
      </c>
      <c r="CA115" s="566">
        <f>VLOOKUP($A115,'01-02.2021'!$A$6:$CZ$403,79,FALSE)+VLOOKUP($A115,'1.3.21-28.2.22'!$A$6:$DA$404,79,FALSE)-VLOOKUP($A115,'01-02.2022'!$A$6:$DA$376,79,FALSE)</f>
        <v>1830.4298257302344</v>
      </c>
      <c r="CB115" s="70">
        <f t="shared" si="130"/>
        <v>309.30951947745461</v>
      </c>
      <c r="CC115" s="566">
        <f>VLOOKUP($A115,'01-02.2021'!$A$6:$CZ$403,81,FALSE)+VLOOKUP($A115,'1.3.21-28.2.22'!$A$6:$DA$404,81,FALSE)-VLOOKUP($A115,'01-02.2022'!$A$6:$DA$376,81,FALSE)</f>
        <v>0</v>
      </c>
      <c r="CD115" s="566">
        <f>VLOOKUP($A115,'01-02.2021'!$A$6:$CZ$403,82,FALSE)+VLOOKUP($A115,'1.3.21-28.2.22'!$A$6:$DA$404,82,FALSE)-VLOOKUP($A115,'01-02.2022'!$A$6:$DA$376,82,FALSE)</f>
        <v>0</v>
      </c>
      <c r="CE115" s="70">
        <f t="shared" si="131"/>
        <v>0</v>
      </c>
      <c r="CF115" s="566">
        <f>VLOOKUP($A115,'01-02.2021'!$A$6:$CZ$403,84,FALSE)+VLOOKUP($A115,'1.3.21-28.2.22'!$A$6:$DA$404,84,FALSE)-VLOOKUP($A115,'01-02.2022'!$A$6:$DA$376,84,FALSE)</f>
        <v>0</v>
      </c>
      <c r="CG115" s="566">
        <f>VLOOKUP($A115,'01-02.2021'!$A$6:$CZ$403,85,FALSE)+VLOOKUP($A115,'1.3.21-28.2.22'!$A$6:$DA$404,85,FALSE)-VLOOKUP($A115,'01-02.2022'!$A$6:$DA$376,85,FALSE)</f>
        <v>0</v>
      </c>
      <c r="CH115" s="70">
        <f t="shared" si="132"/>
        <v>0</v>
      </c>
      <c r="CI115" s="566">
        <f>VLOOKUP($A115,'01-02.2021'!$A$6:$CZ$403,87,FALSE)+VLOOKUP($A115,'1.3.21-28.2.22'!$A$6:$DA$404,87,FALSE)-VLOOKUP($A115,'01-02.2022'!$A$6:$DA$376,87,FALSE)</f>
        <v>663.91957789413823</v>
      </c>
      <c r="CJ115" s="566">
        <f>VLOOKUP($A115,'01-02.2021'!$A$6:$CZ$403,88,FALSE)+VLOOKUP($A115,'1.3.21-28.2.22'!$A$6:$DA$404,88,FALSE)-VLOOKUP($A115,'01-02.2022'!$A$6:$DA$376,88,FALSE)</f>
        <v>523.38764641778789</v>
      </c>
      <c r="CK115" s="70">
        <f t="shared" si="133"/>
        <v>-140.53193147635034</v>
      </c>
      <c r="CL115" s="566">
        <f>VLOOKUP($A115,'01-02.2021'!$A$6:$CZ$403,90,FALSE)+VLOOKUP($A115,'1.3.21-28.2.22'!$A$6:$DA$404,90,FALSE)-VLOOKUP($A115,'01-02.2022'!$A$6:$DA$376,90,FALSE)</f>
        <v>0</v>
      </c>
      <c r="CM115" s="566">
        <f>VLOOKUP($A115,'01-02.2021'!$A$6:$CZ$403,91,FALSE)+VLOOKUP($A115,'1.3.21-28.2.22'!$A$6:$DA$404,91,FALSE)-VLOOKUP($A115,'01-02.2022'!$A$6:$DA$376,91,FALSE)</f>
        <v>0</v>
      </c>
      <c r="CN115" s="52">
        <f t="shared" si="97"/>
        <v>0</v>
      </c>
      <c r="CO115" s="39">
        <f t="shared" si="89"/>
        <v>663.91957789413823</v>
      </c>
      <c r="CP115" s="40">
        <f t="shared" si="98"/>
        <v>523.38764641778789</v>
      </c>
      <c r="CQ115" s="52">
        <f t="shared" si="99"/>
        <v>-140.53193147635034</v>
      </c>
      <c r="CR115" s="72">
        <f t="shared" si="90"/>
        <v>26718.506774324047</v>
      </c>
      <c r="CS115" s="5">
        <f t="shared" si="90"/>
        <v>20538.128873766647</v>
      </c>
      <c r="CT115" s="52">
        <f t="shared" si="100"/>
        <v>-6180.3779005573997</v>
      </c>
      <c r="CU115" s="77">
        <f t="shared" si="101"/>
        <v>32062.208129188853</v>
      </c>
      <c r="CV115" s="65">
        <f t="shared" si="102"/>
        <v>24645.754648519975</v>
      </c>
      <c r="CW115" s="35">
        <f t="shared" si="103"/>
        <v>-7416.4534806688789</v>
      </c>
      <c r="CX115" s="566">
        <f>VLOOKUP($A115,'01-02.2021'!$A$6:$CZ$403,102,FALSE)+VLOOKUP($A115,'1.3.21-28.2.22'!$A$6:$DA$404,102,FALSE)-VLOOKUP($A115,'01-02.2022'!$A$6:$DA$376,102,FALSE)</f>
        <v>1123.9212120230236</v>
      </c>
      <c r="CY115" s="566">
        <f>VLOOKUP($A115,'01-02.2021'!$A$6:$CZ$403,103,FALSE)+VLOOKUP($A115,'1.3.21-28.2.22'!$A$6:$DA$404,103,FALSE)-VLOOKUP($A115,'01-02.2022'!$A$6:$DA$376,103,FALSE)</f>
        <v>8540.3746926919084</v>
      </c>
      <c r="CZ115" s="52">
        <f t="shared" si="104"/>
        <v>7416.4534806688844</v>
      </c>
      <c r="DA115" s="150">
        <f>'[2]побудинковий звіт'!DA115</f>
        <v>-3494.9933739648804</v>
      </c>
      <c r="DB115" s="2">
        <v>2</v>
      </c>
      <c r="DC115" s="414">
        <f>'[4]побудинковий звіт'!DC115</f>
        <v>4512.38</v>
      </c>
      <c r="DD115" s="414">
        <f>'[4]побудинковий звіт'!DD115</f>
        <v>277.88</v>
      </c>
      <c r="DE115" s="557">
        <f>'[4]побудинковий звіт'!DE115</f>
        <v>2535.0783163100914</v>
      </c>
      <c r="DF115" s="557">
        <f>'[4]побудинковий звіт'!DF115</f>
        <v>-728.21803605055743</v>
      </c>
      <c r="DG115" s="321">
        <f>VLOOKUP(A115,'кошти 01.03.2021'!$A$6:$D$401,4,)</f>
        <v>4864.2100716825025</v>
      </c>
      <c r="DH115" s="40">
        <f>'[3]побудинковий звіт'!DJ115</f>
        <v>34214.150359847088</v>
      </c>
      <c r="DI115" s="422">
        <f>'[3]побудинковий звіт'!CU115+'[3]побудинковий звіт'!CX115</f>
        <v>2983.399719740466</v>
      </c>
      <c r="DJ115" s="306">
        <f>'[3]побудинковий звіт'!DM115</f>
        <v>6.3456408334079217</v>
      </c>
      <c r="DK115" s="306">
        <f t="shared" ref="DK115:DK130" si="145">DJ115</f>
        <v>6.3456408334079217</v>
      </c>
      <c r="DL115" s="306">
        <f>'[3]побудинковий звіт'!DO115</f>
        <v>5.1515516438840621</v>
      </c>
      <c r="DM115" s="28">
        <f t="shared" ref="DM115:DM130" si="146">F115*DJ115</f>
        <v>1977.3016836899085</v>
      </c>
      <c r="DN115" s="28">
        <f t="shared" ref="DN115:DN123" si="147">H115*DL115</f>
        <v>1006.0980360505574</v>
      </c>
      <c r="DO115" s="423">
        <f t="shared" si="105"/>
        <v>2983.399719740466</v>
      </c>
      <c r="DP115" s="94">
        <f t="shared" si="106"/>
        <v>0</v>
      </c>
      <c r="DQ115" s="28">
        <f t="shared" si="107"/>
        <v>2983.399719740466</v>
      </c>
      <c r="DR115" s="318"/>
      <c r="DT115" s="8"/>
      <c r="DU115" s="5"/>
      <c r="DX115" s="5">
        <f t="shared" si="108"/>
        <v>9253.5430883710014</v>
      </c>
      <c r="DY115" s="5">
        <f t="shared" si="109"/>
        <v>301.2</v>
      </c>
      <c r="DZ115" s="159">
        <f>'[3]побудинковий звіт'!EA115</f>
        <v>842.83461006573543</v>
      </c>
    </row>
    <row r="116" spans="1:130" x14ac:dyDescent="0.3">
      <c r="A116" s="325">
        <v>150001562</v>
      </c>
      <c r="B116" s="41" t="s">
        <v>565</v>
      </c>
      <c r="C116" s="42" t="s">
        <v>209</v>
      </c>
      <c r="D116" s="42"/>
      <c r="E116" s="293">
        <f t="shared" si="85"/>
        <v>2425.9</v>
      </c>
      <c r="F116" s="305">
        <f>'[3]побудинковий звіт'!F116</f>
        <v>2425.9</v>
      </c>
      <c r="G116" s="508">
        <f>'[3]побудинковий звіт'!G116</f>
        <v>0</v>
      </c>
      <c r="H116" s="560">
        <f>'[3]побудинковий звіт'!H116</f>
        <v>0</v>
      </c>
      <c r="I116" s="566">
        <f>VLOOKUP($A116,'01-02.2021'!$A$6:$CZ$403,9,FALSE)+VLOOKUP($A116,'1.3.21-28.2.22'!$A$6:$DA$404,9,FALSE)-VLOOKUP($A116,'01-02.2022'!$A$6:$DA$376,9,FALSE)</f>
        <v>8390.3470643721048</v>
      </c>
      <c r="J116" s="566">
        <f>VLOOKUP($A116,'01-02.2021'!$A$6:$CZ$403,10,FALSE)+VLOOKUP($A116,'1.3.21-28.2.22'!$A$6:$DA$404,10,FALSE)-VLOOKUP($A116,'01-02.2022'!$A$6:$DA$376,10,FALSE)</f>
        <v>9090.9090828453609</v>
      </c>
      <c r="K116" s="52">
        <f t="shared" si="94"/>
        <v>700.5620184732561</v>
      </c>
      <c r="L116" s="566">
        <f>VLOOKUP($A116,'01-02.2021'!$A$6:$CZ$403,12,FALSE)+VLOOKUP($A116,'1.3.21-28.2.22'!$A$6:$DA$404,12,FALSE)-VLOOKUP($A116,'01-02.2022'!$A$6:$DA$376,12,FALSE)</f>
        <v>915.29758209281545</v>
      </c>
      <c r="M116" s="566">
        <f>VLOOKUP($A116,'01-02.2021'!$A$6:$CZ$403,13,FALSE)+VLOOKUP($A116,'1.3.21-28.2.22'!$A$6:$DA$404,13,FALSE)-VLOOKUP($A116,'01-02.2022'!$A$6:$DA$376,13,FALSE)</f>
        <v>1007.7784483045642</v>
      </c>
      <c r="N116" s="52">
        <f t="shared" si="95"/>
        <v>92.480866211748776</v>
      </c>
      <c r="O116" s="566">
        <f>VLOOKUP($A116,'01-02.2021'!$A$6:$CZ$403,15,FALSE)+VLOOKUP($A116,'1.3.21-28.2.22'!$A$6:$DA$404,15,FALSE)-VLOOKUP($A116,'01-02.2022'!$A$6:$DA$376,15,FALSE)</f>
        <v>0</v>
      </c>
      <c r="P116" s="566">
        <f>VLOOKUP($A116,'01-02.2021'!$A$6:$CZ$403,16,FALSE)+VLOOKUP($A116,'1.3.21-28.2.22'!$A$6:$DA$404,16,FALSE)-VLOOKUP($A116,'01-02.2022'!$A$6:$DA$376,16,FALSE)</f>
        <v>0</v>
      </c>
      <c r="Q116" s="70">
        <f t="shared" si="111"/>
        <v>0</v>
      </c>
      <c r="R116" s="566">
        <f>VLOOKUP($A116,'01-02.2021'!$A$6:$CZ$403,18,FALSE)+VLOOKUP($A116,'1.3.21-28.2.22'!$A$6:$DA$404,18,FALSE)-VLOOKUP($A116,'01-02.2022'!$A$6:$DA$376,18,FALSE)</f>
        <v>0</v>
      </c>
      <c r="S116" s="566">
        <f>VLOOKUP($A116,'01-02.2021'!$A$6:$CZ$403,19,FALSE)+VLOOKUP($A116,'1.3.21-28.2.22'!$A$6:$DA$404,19,FALSE)-VLOOKUP($A116,'01-02.2022'!$A$6:$DA$376,19,FALSE)</f>
        <v>0</v>
      </c>
      <c r="T116" s="70">
        <f t="shared" si="112"/>
        <v>0</v>
      </c>
      <c r="U116" s="566">
        <f>VLOOKUP($A116,'01-02.2021'!$A$6:$CZ$403,21,FALSE)+VLOOKUP($A116,'1.3.21-28.2.22'!$A$6:$DA$404,21,FALSE)-VLOOKUP($A116,'01-02.2022'!$A$6:$DA$376,21,FALSE)</f>
        <v>0</v>
      </c>
      <c r="V116" s="566">
        <f>VLOOKUP($A116,'01-02.2021'!$A$6:$CZ$403,22,FALSE)+VLOOKUP($A116,'1.3.21-28.2.22'!$A$6:$DA$404,22,FALSE)-VLOOKUP($A116,'01-02.2022'!$A$6:$DA$376,22,FALSE)</f>
        <v>0</v>
      </c>
      <c r="W116" s="70">
        <f t="shared" si="113"/>
        <v>0</v>
      </c>
      <c r="X116" s="566">
        <f>VLOOKUP($A116,'01-02.2021'!$A$6:$CZ$403,24,FALSE)+VLOOKUP($A116,'1.3.21-28.2.22'!$A$6:$DA$404,24,FALSE)-VLOOKUP($A116,'01-02.2022'!$A$6:$DA$376,24,FALSE)</f>
        <v>2124.8655993313828</v>
      </c>
      <c r="Y116" s="566">
        <f>VLOOKUP($A116,'01-02.2021'!$A$6:$CZ$403,25,FALSE)+VLOOKUP($A116,'1.3.21-28.2.22'!$A$6:$DA$404,25,FALSE)-VLOOKUP($A116,'01-02.2022'!$A$6:$DA$376,25,FALSE)</f>
        <v>1892.2007628436661</v>
      </c>
      <c r="Z116" s="70">
        <f t="shared" si="114"/>
        <v>-232.66483648771668</v>
      </c>
      <c r="AA116" s="566">
        <f>VLOOKUP($A116,'01-02.2021'!$A$6:$CZ$403,27,FALSE)+VLOOKUP($A116,'1.3.21-28.2.22'!$A$6:$DA$404,27,FALSE)-VLOOKUP($A116,'01-02.2022'!$A$6:$DA$376,27,FALSE)</f>
        <v>487.00000000000006</v>
      </c>
      <c r="AB116" s="566">
        <f>VLOOKUP($A116,'01-02.2021'!$A$6:$CZ$403,28,FALSE)+VLOOKUP($A116,'1.3.21-28.2.22'!$A$6:$DA$404,28,FALSE)-VLOOKUP($A116,'01-02.2022'!$A$6:$DA$376,28,FALSE)</f>
        <v>0</v>
      </c>
      <c r="AC116" s="70">
        <f t="shared" si="115"/>
        <v>-487.00000000000006</v>
      </c>
      <c r="AD116" s="566">
        <f>VLOOKUP($A116,'01-02.2021'!$A$6:$CZ$403,30,FALSE)+VLOOKUP($A116,'1.3.21-28.2.22'!$A$6:$DA$404,30,FALSE)-VLOOKUP($A116,'01-02.2022'!$A$6:$DA$376,30,FALSE)</f>
        <v>9949.3545253680604</v>
      </c>
      <c r="AE116" s="566">
        <f>VLOOKUP($A116,'01-02.2021'!$A$6:$CZ$403,31,FALSE)+VLOOKUP($A116,'1.3.21-28.2.22'!$A$6:$DA$404,31,FALSE)-VLOOKUP($A116,'01-02.2022'!$A$6:$DA$376,31,FALSE)</f>
        <v>11055.435735212466</v>
      </c>
      <c r="AF116" s="68">
        <f t="shared" si="116"/>
        <v>1106.0812098444057</v>
      </c>
      <c r="AG116" s="77">
        <f t="shared" si="86"/>
        <v>21866.864771164364</v>
      </c>
      <c r="AH116" s="53">
        <f t="shared" si="86"/>
        <v>23046.324029206058</v>
      </c>
      <c r="AI116" s="52">
        <f t="shared" si="96"/>
        <v>1179.4592580416938</v>
      </c>
      <c r="AJ116" s="566">
        <f>VLOOKUP($A116,'01-02.2021'!$A$6:$CZ$403,36,FALSE)+VLOOKUP($A116,'1.3.21-28.2.22'!$A$6:$DA$404,36,FALSE)-VLOOKUP($A116,'01-02.2022'!$A$6:$DA$376,36,FALSE)</f>
        <v>0</v>
      </c>
      <c r="AK116" s="566">
        <f>VLOOKUP($A116,'01-02.2021'!$A$6:$CZ$403,37,FALSE)+VLOOKUP($A116,'1.3.21-28.2.22'!$A$6:$DA$404,37,FALSE)-VLOOKUP($A116,'01-02.2022'!$A$6:$DA$376,37,FALSE)</f>
        <v>0</v>
      </c>
      <c r="AL116" s="70">
        <f t="shared" si="117"/>
        <v>0</v>
      </c>
      <c r="AM116" s="566">
        <f>VLOOKUP($A116,'01-02.2021'!$A$6:$CZ$403,39,FALSE)+VLOOKUP($A116,'1.3.21-28.2.22'!$A$6:$DA$404,39,FALSE)-VLOOKUP($A116,'01-02.2022'!$A$6:$DA$376,39,FALSE)</f>
        <v>0</v>
      </c>
      <c r="AN116" s="566">
        <f>VLOOKUP($A116,'01-02.2021'!$A$6:$CZ$403,40,FALSE)+VLOOKUP($A116,'1.3.21-28.2.22'!$A$6:$DA$404,40,FALSE)-VLOOKUP($A116,'01-02.2022'!$A$6:$DA$376,40,FALSE)</f>
        <v>0</v>
      </c>
      <c r="AO116" s="70">
        <f t="shared" si="118"/>
        <v>0</v>
      </c>
      <c r="AP116" s="566">
        <f>VLOOKUP($A116,'01-02.2021'!$A$6:$CZ$403,42,FALSE)+VLOOKUP($A116,'1.3.21-28.2.22'!$A$6:$DA$404,42,FALSE)-VLOOKUP($A116,'01-02.2022'!$A$6:$DA$376,42,FALSE)</f>
        <v>910.97986877236031</v>
      </c>
      <c r="AQ116" s="566">
        <f>VLOOKUP($A116,'01-02.2021'!$A$6:$CZ$403,43,FALSE)+VLOOKUP($A116,'1.3.21-28.2.22'!$A$6:$DA$404,43,FALSE)-VLOOKUP($A116,'01-02.2022'!$A$6:$DA$376,43,FALSE)</f>
        <v>785.8558172347507</v>
      </c>
      <c r="AR116" s="70">
        <f t="shared" si="119"/>
        <v>-125.1240515376096</v>
      </c>
      <c r="AS116" s="566">
        <f>VLOOKUP($A116,'01-02.2021'!$A$6:$CZ$403,45,FALSE)+VLOOKUP($A116,'1.3.21-28.2.22'!$A$6:$DA$404,45,FALSE)-VLOOKUP($A116,'01-02.2022'!$A$6:$DA$376,45,FALSE)</f>
        <v>40459.083324033389</v>
      </c>
      <c r="AT116" s="566">
        <f>VLOOKUP($A116,'01-02.2021'!$A$6:$CZ$403,46,FALSE)+VLOOKUP($A116,'1.3.21-28.2.22'!$A$6:$DA$404,46,FALSE)-VLOOKUP($A116,'01-02.2022'!$A$6:$DA$376,46,FALSE)</f>
        <v>9605</v>
      </c>
      <c r="AU116" s="78">
        <f t="shared" si="120"/>
        <v>-30854.083324033389</v>
      </c>
      <c r="AV116" s="566">
        <f>VLOOKUP($A116,'01-02.2021'!$A$6:$CZ$403,48,FALSE)+VLOOKUP($A116,'1.3.21-28.2.22'!$A$6:$DA$404,48,FALSE)-VLOOKUP($A116,'01-02.2022'!$A$6:$DA$376,48,FALSE)</f>
        <v>2624.8230498499497</v>
      </c>
      <c r="AW116" s="566">
        <f>VLOOKUP($A116,'01-02.2021'!$A$6:$CZ$403,49,FALSE)+VLOOKUP($A116,'1.3.21-28.2.22'!$A$6:$DA$404,49,FALSE)-VLOOKUP($A116,'01-02.2022'!$A$6:$DA$376,49,FALSE)</f>
        <v>0</v>
      </c>
      <c r="AX116" s="55">
        <f t="shared" si="121"/>
        <v>-2624.8230498499497</v>
      </c>
      <c r="AY116" s="566">
        <f>VLOOKUP($A116,'01-02.2021'!$A$6:$CZ$403,51,FALSE)+VLOOKUP($A116,'1.3.21-28.2.22'!$A$6:$DA$404,51,FALSE)-VLOOKUP($A116,'01-02.2022'!$A$6:$DA$376,51,FALSE)</f>
        <v>1720.2148278129437</v>
      </c>
      <c r="AZ116" s="566">
        <f>VLOOKUP($A116,'01-02.2021'!$A$6:$CZ$403,52,FALSE)+VLOOKUP($A116,'1.3.21-28.2.22'!$A$6:$DA$404,52,FALSE)-VLOOKUP($A116,'01-02.2022'!$A$6:$DA$376,52,FALSE)</f>
        <v>0</v>
      </c>
      <c r="BA116" s="38">
        <f t="shared" si="122"/>
        <v>-1720.2148278129437</v>
      </c>
      <c r="BB116" s="566">
        <f>VLOOKUP($A116,'01-02.2021'!$A$6:$CZ$403,54,FALSE)+VLOOKUP($A116,'1.3.21-28.2.22'!$A$6:$DA$404,54,FALSE)-VLOOKUP($A116,'01-02.2022'!$A$6:$DA$376,54,FALSE)</f>
        <v>0</v>
      </c>
      <c r="BC116" s="566">
        <f>VLOOKUP($A116,'01-02.2021'!$A$6:$CZ$403,55,FALSE)+VLOOKUP($A116,'1.3.21-28.2.22'!$A$6:$DA$404,55,FALSE)-VLOOKUP($A116,'01-02.2022'!$A$6:$DA$376,55,FALSE)</f>
        <v>0</v>
      </c>
      <c r="BD116" s="55">
        <f t="shared" si="123"/>
        <v>0</v>
      </c>
      <c r="BE116" s="566">
        <f>VLOOKUP($A116,'01-02.2021'!$A$6:$CZ$403,57,FALSE)+VLOOKUP($A116,'1.3.21-28.2.22'!$A$6:$DA$404,57,FALSE)-VLOOKUP($A116,'01-02.2022'!$A$6:$DA$376,57,FALSE)</f>
        <v>0</v>
      </c>
      <c r="BF116" s="566">
        <f>VLOOKUP($A116,'01-02.2021'!$A$6:$CZ$403,58,FALSE)+VLOOKUP($A116,'1.3.21-28.2.22'!$A$6:$DA$404,58,FALSE)-VLOOKUP($A116,'01-02.2022'!$A$6:$DA$376,58,FALSE)</f>
        <v>0</v>
      </c>
      <c r="BG116" s="55">
        <f t="shared" si="124"/>
        <v>0</v>
      </c>
      <c r="BH116" s="566">
        <f>VLOOKUP($A116,'01-02.2021'!$A$6:$CZ$403,60,FALSE)+VLOOKUP($A116,'1.3.21-28.2.22'!$A$6:$DA$404,60,FALSE)-VLOOKUP($A116,'01-02.2022'!$A$6:$DA$376,60,FALSE)</f>
        <v>0</v>
      </c>
      <c r="BI116" s="566">
        <f>VLOOKUP($A116,'01-02.2021'!$A$6:$CZ$403,61,FALSE)+VLOOKUP($A116,'1.3.21-28.2.22'!$A$6:$DA$404,61,FALSE)-VLOOKUP($A116,'01-02.2022'!$A$6:$DA$376,61,FALSE)</f>
        <v>0</v>
      </c>
      <c r="BJ116" s="55">
        <f t="shared" si="125"/>
        <v>0</v>
      </c>
      <c r="BK116" s="566">
        <f>VLOOKUP($A116,'01-02.2021'!$A$6:$CZ$403,63,FALSE)+VLOOKUP($A116,'1.3.21-28.2.22'!$A$6:$DA$404,63,FALSE)-VLOOKUP($A116,'01-02.2022'!$A$6:$DA$376,63,FALSE)</f>
        <v>822.03366808641113</v>
      </c>
      <c r="BL116" s="566">
        <f>VLOOKUP($A116,'01-02.2021'!$A$6:$CZ$403,64,FALSE)+VLOOKUP($A116,'1.3.21-28.2.22'!$A$6:$DA$404,64,FALSE)-VLOOKUP($A116,'01-02.2022'!$A$6:$DA$376,64,FALSE)</f>
        <v>0</v>
      </c>
      <c r="BM116" s="55">
        <f t="shared" si="126"/>
        <v>-822.03366808641113</v>
      </c>
      <c r="BN116" s="566">
        <f>VLOOKUP($A116,'01-02.2021'!$A$6:$CZ$403,66,FALSE)+VLOOKUP($A116,'1.3.21-28.2.22'!$A$6:$DA$404,66,FALSE)-VLOOKUP($A116,'01-02.2022'!$A$6:$DA$376,66,FALSE)</f>
        <v>121.75000000000001</v>
      </c>
      <c r="BO116" s="566">
        <f>VLOOKUP($A116,'01-02.2021'!$A$6:$CZ$403,67,FALSE)+VLOOKUP($A116,'1.3.21-28.2.22'!$A$6:$DA$404,67,FALSE)-VLOOKUP($A116,'01-02.2022'!$A$6:$DA$376,67,FALSE)</f>
        <v>0</v>
      </c>
      <c r="BP116" s="55">
        <f t="shared" si="127"/>
        <v>-121.75000000000001</v>
      </c>
      <c r="BQ116" s="77">
        <f t="shared" si="139"/>
        <v>5288.8215457493043</v>
      </c>
      <c r="BR116" s="40">
        <f t="shared" si="140"/>
        <v>0</v>
      </c>
      <c r="BS116" s="55">
        <f t="shared" si="110"/>
        <v>-5288.8215457493043</v>
      </c>
      <c r="BT116" s="566">
        <f>VLOOKUP($A116,'01-02.2021'!$A$6:$CZ$403,72,FALSE)+VLOOKUP($A116,'1.3.21-28.2.22'!$A$6:$DA$404,72,FALSE)-VLOOKUP($A116,'01-02.2022'!$A$6:$DA$376,72,FALSE)</f>
        <v>16803.094905673628</v>
      </c>
      <c r="BU116" s="566">
        <f>VLOOKUP($A116,'01-02.2021'!$A$6:$CZ$403,73,FALSE)+VLOOKUP($A116,'1.3.21-28.2.22'!$A$6:$DA$404,73,FALSE)-VLOOKUP($A116,'01-02.2022'!$A$6:$DA$376,73,FALSE)</f>
        <v>20770.54717925877</v>
      </c>
      <c r="BV116" s="70">
        <f t="shared" si="128"/>
        <v>3967.4522735851424</v>
      </c>
      <c r="BW116" s="566">
        <f>VLOOKUP($A116,'01-02.2021'!$A$6:$CZ$403,75,FALSE)+VLOOKUP($A116,'1.3.21-28.2.22'!$A$6:$DA$404,75,FALSE)-VLOOKUP($A116,'01-02.2022'!$A$6:$DA$376,75,FALSE)</f>
        <v>8223.2891800968118</v>
      </c>
      <c r="BX116" s="566">
        <f>VLOOKUP($A116,'01-02.2021'!$A$6:$CZ$403,76,FALSE)+VLOOKUP($A116,'1.3.21-28.2.22'!$A$6:$DA$404,76,FALSE)-VLOOKUP($A116,'01-02.2022'!$A$6:$DA$376,76,FALSE)</f>
        <v>7772.807975853787</v>
      </c>
      <c r="BY116" s="70">
        <f t="shared" si="129"/>
        <v>-450.48120424302488</v>
      </c>
      <c r="BZ116" s="566">
        <f>VLOOKUP($A116,'01-02.2021'!$A$6:$CZ$403,78,FALSE)+VLOOKUP($A116,'1.3.21-28.2.22'!$A$6:$DA$404,78,FALSE)-VLOOKUP($A116,'01-02.2022'!$A$6:$DA$376,78,FALSE)</f>
        <v>7770.2329444098714</v>
      </c>
      <c r="CA116" s="566">
        <f>VLOOKUP($A116,'01-02.2021'!$A$6:$CZ$403,79,FALSE)+VLOOKUP($A116,'1.3.21-28.2.22'!$A$6:$DA$404,79,FALSE)-VLOOKUP($A116,'01-02.2022'!$A$6:$DA$376,79,FALSE)</f>
        <v>4595.4375473357923</v>
      </c>
      <c r="CB116" s="70">
        <f t="shared" si="130"/>
        <v>-3174.7953970740791</v>
      </c>
      <c r="CC116" s="566">
        <f>VLOOKUP($A116,'01-02.2021'!$A$6:$CZ$403,81,FALSE)+VLOOKUP($A116,'1.3.21-28.2.22'!$A$6:$DA$404,81,FALSE)-VLOOKUP($A116,'01-02.2022'!$A$6:$DA$376,81,FALSE)</f>
        <v>80.38948707015264</v>
      </c>
      <c r="CD116" s="566">
        <f>VLOOKUP($A116,'01-02.2021'!$A$6:$CZ$403,82,FALSE)+VLOOKUP($A116,'1.3.21-28.2.22'!$A$6:$DA$404,82,FALSE)-VLOOKUP($A116,'01-02.2022'!$A$6:$DA$376,82,FALSE)</f>
        <v>87.865148213005412</v>
      </c>
      <c r="CE116" s="70">
        <f t="shared" si="131"/>
        <v>7.4756611428527719</v>
      </c>
      <c r="CF116" s="566">
        <f>VLOOKUP($A116,'01-02.2021'!$A$6:$CZ$403,84,FALSE)+VLOOKUP($A116,'1.3.21-28.2.22'!$A$6:$DA$404,84,FALSE)-VLOOKUP($A116,'01-02.2022'!$A$6:$DA$376,84,FALSE)</f>
        <v>9.7729981015931298</v>
      </c>
      <c r="CG116" s="566">
        <f>VLOOKUP($A116,'01-02.2021'!$A$6:$CZ$403,85,FALSE)+VLOOKUP($A116,'1.3.21-28.2.22'!$A$6:$DA$404,85,FALSE)-VLOOKUP($A116,'01-02.2022'!$A$6:$DA$376,85,FALSE)</f>
        <v>0</v>
      </c>
      <c r="CH116" s="70">
        <f t="shared" si="132"/>
        <v>-9.7729981015931298</v>
      </c>
      <c r="CI116" s="566">
        <f>VLOOKUP($A116,'01-02.2021'!$A$6:$CZ$403,87,FALSE)+VLOOKUP($A116,'1.3.21-28.2.22'!$A$6:$DA$404,87,FALSE)-VLOOKUP($A116,'01-02.2022'!$A$6:$DA$376,87,FALSE)</f>
        <v>19664.513773938535</v>
      </c>
      <c r="CJ116" s="566">
        <f>VLOOKUP($A116,'01-02.2021'!$A$6:$CZ$403,88,FALSE)+VLOOKUP($A116,'1.3.21-28.2.22'!$A$6:$DA$404,88,FALSE)-VLOOKUP($A116,'01-02.2022'!$A$6:$DA$376,88,FALSE)</f>
        <v>7463.9171828895487</v>
      </c>
      <c r="CK116" s="70">
        <f t="shared" si="133"/>
        <v>-12200.596591048987</v>
      </c>
      <c r="CL116" s="566">
        <f>VLOOKUP($A116,'01-02.2021'!$A$6:$CZ$403,90,FALSE)+VLOOKUP($A116,'1.3.21-28.2.22'!$A$6:$DA$404,90,FALSE)-VLOOKUP($A116,'01-02.2022'!$A$6:$DA$376,90,FALSE)</f>
        <v>0</v>
      </c>
      <c r="CM116" s="566">
        <f>VLOOKUP($A116,'01-02.2021'!$A$6:$CZ$403,91,FALSE)+VLOOKUP($A116,'1.3.21-28.2.22'!$A$6:$DA$404,91,FALSE)-VLOOKUP($A116,'01-02.2022'!$A$6:$DA$376,91,FALSE)</f>
        <v>0</v>
      </c>
      <c r="CN116" s="52">
        <f t="shared" si="97"/>
        <v>0</v>
      </c>
      <c r="CO116" s="39">
        <f t="shared" si="89"/>
        <v>19664.513773938535</v>
      </c>
      <c r="CP116" s="40">
        <f t="shared" si="98"/>
        <v>7463.9171828895487</v>
      </c>
      <c r="CQ116" s="52">
        <f t="shared" si="99"/>
        <v>-12200.596591048987</v>
      </c>
      <c r="CR116" s="72">
        <f t="shared" si="90"/>
        <v>121077.04279901</v>
      </c>
      <c r="CS116" s="5">
        <f t="shared" si="90"/>
        <v>74127.754879991713</v>
      </c>
      <c r="CT116" s="52">
        <f t="shared" si="100"/>
        <v>-46949.287919018287</v>
      </c>
      <c r="CU116" s="77">
        <f t="shared" si="101"/>
        <v>145292.45135881199</v>
      </c>
      <c r="CV116" s="65">
        <f t="shared" si="102"/>
        <v>88953.305855990053</v>
      </c>
      <c r="CW116" s="35">
        <f t="shared" si="103"/>
        <v>-56339.145502821935</v>
      </c>
      <c r="CX116" s="566">
        <f>VLOOKUP($A116,'01-02.2021'!$A$6:$CZ$403,102,FALSE)+VLOOKUP($A116,'1.3.21-28.2.22'!$A$6:$DA$404,102,FALSE)-VLOOKUP($A116,'01-02.2022'!$A$6:$DA$376,102,FALSE)</f>
        <v>4385.7870207880032</v>
      </c>
      <c r="CY116" s="566">
        <f>VLOOKUP($A116,'01-02.2021'!$A$6:$CZ$403,103,FALSE)+VLOOKUP($A116,'1.3.21-28.2.22'!$A$6:$DA$404,103,FALSE)-VLOOKUP($A116,'01-02.2022'!$A$6:$DA$376,103,FALSE)</f>
        <v>60724.932523609954</v>
      </c>
      <c r="CZ116" s="52">
        <f t="shared" si="104"/>
        <v>56339.14550282195</v>
      </c>
      <c r="DA116" s="150">
        <f>'[2]побудинковий звіт'!DA116</f>
        <v>-105476.01174947163</v>
      </c>
      <c r="DB116" s="2">
        <v>2</v>
      </c>
      <c r="DC116" s="414">
        <f>'[4]побудинковий звіт'!DC116</f>
        <v>14330.67</v>
      </c>
      <c r="DD116" s="414">
        <f>'[4]побудинковий звіт'!DD116</f>
        <v>0</v>
      </c>
      <c r="DE116" s="557">
        <f>'[4]побудинковий звіт'!DE116</f>
        <v>1776.1822550995676</v>
      </c>
      <c r="DF116" s="557">
        <f>'[4]побудинковий звіт'!DF116</f>
        <v>0</v>
      </c>
      <c r="DG116" s="321">
        <f>VLOOKUP(A116,'кошти 01.03.2021'!$A$6:$D$401,4,)</f>
        <v>-49541.022039721793</v>
      </c>
      <c r="DH116" s="40">
        <f>'[3]побудинковий звіт'!DJ116</f>
        <v>149978.8410377221</v>
      </c>
      <c r="DI116" s="422">
        <f>'[3]побудинковий звіт'!CU116+'[3]побудинковий звіт'!CX116</f>
        <v>12554.487744900433</v>
      </c>
      <c r="DJ116" s="306">
        <f>'[3]побудинковий звіт'!DM116</f>
        <v>5.1751876602087608</v>
      </c>
      <c r="DK116" s="306">
        <f t="shared" si="145"/>
        <v>5.1751876602087608</v>
      </c>
      <c r="DL116" s="306">
        <f>'[3]побудинковий звіт'!DO116</f>
        <v>4.7652041874748914</v>
      </c>
      <c r="DM116" s="28">
        <f t="shared" si="146"/>
        <v>12554.487744900433</v>
      </c>
      <c r="DN116" s="28">
        <f t="shared" si="147"/>
        <v>0</v>
      </c>
      <c r="DO116" s="423">
        <f t="shared" si="105"/>
        <v>12554.487744900433</v>
      </c>
      <c r="DP116" s="94">
        <f t="shared" si="106"/>
        <v>0</v>
      </c>
      <c r="DQ116" s="28">
        <f t="shared" si="107"/>
        <v>12554.487744900433</v>
      </c>
      <c r="DR116" s="318"/>
      <c r="DT116" s="8"/>
      <c r="DU116" s="5"/>
      <c r="DX116" s="5">
        <f t="shared" si="108"/>
        <v>54897.485843739232</v>
      </c>
      <c r="DY116" s="5">
        <f t="shared" si="109"/>
        <v>11526</v>
      </c>
      <c r="DZ116" s="159">
        <f>'[3]побудинковий звіт'!EA116</f>
        <v>5241.403961581701</v>
      </c>
    </row>
    <row r="117" spans="1:130" x14ac:dyDescent="0.3">
      <c r="A117" s="325">
        <v>150000604</v>
      </c>
      <c r="B117" s="41" t="s">
        <v>566</v>
      </c>
      <c r="C117" s="42" t="s">
        <v>155</v>
      </c>
      <c r="D117" s="42"/>
      <c r="E117" s="293">
        <f t="shared" si="85"/>
        <v>452.1</v>
      </c>
      <c r="F117" s="305">
        <f>'[3]побудинковий звіт'!F117</f>
        <v>387.5</v>
      </c>
      <c r="G117" s="508">
        <f>'[3]побудинковий звіт'!G117</f>
        <v>0</v>
      </c>
      <c r="H117" s="560">
        <f>'[3]побудинковий звіт'!H117</f>
        <v>64.599999999999994</v>
      </c>
      <c r="I117" s="566">
        <f>VLOOKUP($A117,'01-02.2021'!$A$6:$CZ$403,9,FALSE)+VLOOKUP($A117,'1.3.21-28.2.22'!$A$6:$DA$404,9,FALSE)-VLOOKUP($A117,'01-02.2022'!$A$6:$DA$376,9,FALSE)</f>
        <v>1829.7168764748449</v>
      </c>
      <c r="J117" s="566">
        <f>VLOOKUP($A117,'01-02.2021'!$A$6:$CZ$403,10,FALSE)+VLOOKUP($A117,'1.3.21-28.2.22'!$A$6:$DA$404,10,FALSE)-VLOOKUP($A117,'01-02.2022'!$A$6:$DA$376,10,FALSE)</f>
        <v>1982.8439998268418</v>
      </c>
      <c r="K117" s="52">
        <f t="shared" si="94"/>
        <v>153.12712335199694</v>
      </c>
      <c r="L117" s="566">
        <f>VLOOKUP($A117,'01-02.2021'!$A$6:$CZ$403,12,FALSE)+VLOOKUP($A117,'1.3.21-28.2.22'!$A$6:$DA$404,12,FALSE)-VLOOKUP($A117,'01-02.2022'!$A$6:$DA$376,12,FALSE)</f>
        <v>335.47369922412724</v>
      </c>
      <c r="M117" s="566">
        <f>VLOOKUP($A117,'01-02.2021'!$A$6:$CZ$403,13,FALSE)+VLOOKUP($A117,'1.3.21-28.2.22'!$A$6:$DA$404,13,FALSE)-VLOOKUP($A117,'01-02.2022'!$A$6:$DA$376,13,FALSE)</f>
        <v>369.36636028076691</v>
      </c>
      <c r="N117" s="52">
        <f t="shared" si="95"/>
        <v>33.892661056639668</v>
      </c>
      <c r="O117" s="566">
        <f>VLOOKUP($A117,'01-02.2021'!$A$6:$CZ$403,15,FALSE)+VLOOKUP($A117,'1.3.21-28.2.22'!$A$6:$DA$404,15,FALSE)-VLOOKUP($A117,'01-02.2022'!$A$6:$DA$376,15,FALSE)</f>
        <v>592.2338545974585</v>
      </c>
      <c r="P117" s="566">
        <f>VLOOKUP($A117,'01-02.2021'!$A$6:$CZ$403,16,FALSE)+VLOOKUP($A117,'1.3.21-28.2.22'!$A$6:$DA$404,16,FALSE)-VLOOKUP($A117,'01-02.2022'!$A$6:$DA$376,16,FALSE)</f>
        <v>592.23000000000025</v>
      </c>
      <c r="Q117" s="70">
        <f t="shared" si="111"/>
        <v>-3.8545974582575582E-3</v>
      </c>
      <c r="R117" s="566">
        <f>VLOOKUP($A117,'01-02.2021'!$A$6:$CZ$403,18,FALSE)+VLOOKUP($A117,'1.3.21-28.2.22'!$A$6:$DA$404,18,FALSE)-VLOOKUP($A117,'01-02.2022'!$A$6:$DA$376,18,FALSE)</f>
        <v>0</v>
      </c>
      <c r="S117" s="566">
        <f>VLOOKUP($A117,'01-02.2021'!$A$6:$CZ$403,19,FALSE)+VLOOKUP($A117,'1.3.21-28.2.22'!$A$6:$DA$404,19,FALSE)-VLOOKUP($A117,'01-02.2022'!$A$6:$DA$376,19,FALSE)</f>
        <v>0</v>
      </c>
      <c r="T117" s="70">
        <f t="shared" si="112"/>
        <v>0</v>
      </c>
      <c r="U117" s="566">
        <f>VLOOKUP($A117,'01-02.2021'!$A$6:$CZ$403,21,FALSE)+VLOOKUP($A117,'1.3.21-28.2.22'!$A$6:$DA$404,21,FALSE)-VLOOKUP($A117,'01-02.2022'!$A$6:$DA$376,21,FALSE)</f>
        <v>0</v>
      </c>
      <c r="V117" s="566">
        <f>VLOOKUP($A117,'01-02.2021'!$A$6:$CZ$403,22,FALSE)+VLOOKUP($A117,'1.3.21-28.2.22'!$A$6:$DA$404,22,FALSE)-VLOOKUP($A117,'01-02.2022'!$A$6:$DA$376,22,FALSE)</f>
        <v>0</v>
      </c>
      <c r="W117" s="70">
        <f t="shared" si="113"/>
        <v>0</v>
      </c>
      <c r="X117" s="566">
        <f>VLOOKUP($A117,'01-02.2021'!$A$6:$CZ$403,24,FALSE)+VLOOKUP($A117,'1.3.21-28.2.22'!$A$6:$DA$404,24,FALSE)-VLOOKUP($A117,'01-02.2022'!$A$6:$DA$376,24,FALSE)</f>
        <v>841.31858019923152</v>
      </c>
      <c r="Y117" s="566">
        <f>VLOOKUP($A117,'01-02.2021'!$A$6:$CZ$403,25,FALSE)+VLOOKUP($A117,'1.3.21-28.2.22'!$A$6:$DA$404,25,FALSE)-VLOOKUP($A117,'01-02.2022'!$A$6:$DA$376,25,FALSE)</f>
        <v>793.03899207908944</v>
      </c>
      <c r="Z117" s="70">
        <f t="shared" si="114"/>
        <v>-48.27958812014208</v>
      </c>
      <c r="AA117" s="566">
        <f>VLOOKUP($A117,'01-02.2021'!$A$6:$CZ$403,27,FALSE)+VLOOKUP($A117,'1.3.21-28.2.22'!$A$6:$DA$404,27,FALSE)-VLOOKUP($A117,'01-02.2022'!$A$6:$DA$376,27,FALSE)</f>
        <v>90.419999999999987</v>
      </c>
      <c r="AB117" s="566">
        <f>VLOOKUP($A117,'01-02.2021'!$A$6:$CZ$403,28,FALSE)+VLOOKUP($A117,'1.3.21-28.2.22'!$A$6:$DA$404,28,FALSE)-VLOOKUP($A117,'01-02.2022'!$A$6:$DA$376,28,FALSE)</f>
        <v>0</v>
      </c>
      <c r="AC117" s="70">
        <f t="shared" si="115"/>
        <v>-90.419999999999987</v>
      </c>
      <c r="AD117" s="566">
        <f>VLOOKUP($A117,'01-02.2021'!$A$6:$CZ$403,30,FALSE)+VLOOKUP($A117,'1.3.21-28.2.22'!$A$6:$DA$404,30,FALSE)-VLOOKUP($A117,'01-02.2022'!$A$6:$DA$376,30,FALSE)</f>
        <v>1935.4668438432075</v>
      </c>
      <c r="AE117" s="566">
        <f>VLOOKUP($A117,'01-02.2021'!$A$6:$CZ$403,31,FALSE)+VLOOKUP($A117,'1.3.21-28.2.22'!$A$6:$DA$404,31,FALSE)-VLOOKUP($A117,'01-02.2022'!$A$6:$DA$376,31,FALSE)</f>
        <v>2057.9071872917066</v>
      </c>
      <c r="AF117" s="68">
        <f t="shared" si="116"/>
        <v>122.44034344849911</v>
      </c>
      <c r="AG117" s="77">
        <f t="shared" si="86"/>
        <v>5624.6298543388693</v>
      </c>
      <c r="AH117" s="53">
        <f t="shared" si="86"/>
        <v>5795.3865394784052</v>
      </c>
      <c r="AI117" s="52">
        <f t="shared" si="96"/>
        <v>170.75668513953588</v>
      </c>
      <c r="AJ117" s="566">
        <f>VLOOKUP($A117,'01-02.2021'!$A$6:$CZ$403,36,FALSE)+VLOOKUP($A117,'1.3.21-28.2.22'!$A$6:$DA$404,36,FALSE)-VLOOKUP($A117,'01-02.2022'!$A$6:$DA$376,36,FALSE)</f>
        <v>0</v>
      </c>
      <c r="AK117" s="566">
        <f>VLOOKUP($A117,'01-02.2021'!$A$6:$CZ$403,37,FALSE)+VLOOKUP($A117,'1.3.21-28.2.22'!$A$6:$DA$404,37,FALSE)-VLOOKUP($A117,'01-02.2022'!$A$6:$DA$376,37,FALSE)</f>
        <v>0</v>
      </c>
      <c r="AL117" s="70">
        <f t="shared" si="117"/>
        <v>0</v>
      </c>
      <c r="AM117" s="566">
        <f>VLOOKUP($A117,'01-02.2021'!$A$6:$CZ$403,39,FALSE)+VLOOKUP($A117,'1.3.21-28.2.22'!$A$6:$DA$404,39,FALSE)-VLOOKUP($A117,'01-02.2022'!$A$6:$DA$376,39,FALSE)</f>
        <v>0</v>
      </c>
      <c r="AN117" s="566">
        <f>VLOOKUP($A117,'01-02.2021'!$A$6:$CZ$403,40,FALSE)+VLOOKUP($A117,'1.3.21-28.2.22'!$A$6:$DA$404,40,FALSE)-VLOOKUP($A117,'01-02.2022'!$A$6:$DA$376,40,FALSE)</f>
        <v>0</v>
      </c>
      <c r="AO117" s="70">
        <f t="shared" si="118"/>
        <v>0</v>
      </c>
      <c r="AP117" s="566">
        <f>VLOOKUP($A117,'01-02.2021'!$A$6:$CZ$403,42,FALSE)+VLOOKUP($A117,'1.3.21-28.2.22'!$A$6:$DA$404,42,FALSE)-VLOOKUP($A117,'01-02.2022'!$A$6:$DA$376,42,FALSE)</f>
        <v>910.97986877236031</v>
      </c>
      <c r="AQ117" s="566">
        <f>VLOOKUP($A117,'01-02.2021'!$A$6:$CZ$403,43,FALSE)+VLOOKUP($A117,'1.3.21-28.2.22'!$A$6:$DA$404,43,FALSE)-VLOOKUP($A117,'01-02.2022'!$A$6:$DA$376,43,FALSE)</f>
        <v>683.90206550070184</v>
      </c>
      <c r="AR117" s="70">
        <f t="shared" si="119"/>
        <v>-227.07780327165847</v>
      </c>
      <c r="AS117" s="566">
        <f>VLOOKUP($A117,'01-02.2021'!$A$6:$CZ$403,45,FALSE)+VLOOKUP($A117,'1.3.21-28.2.22'!$A$6:$DA$404,45,FALSE)-VLOOKUP($A117,'01-02.2022'!$A$6:$DA$376,45,FALSE)</f>
        <v>4457.8241600732099</v>
      </c>
      <c r="AT117" s="566">
        <f>VLOOKUP($A117,'01-02.2021'!$A$6:$CZ$403,46,FALSE)+VLOOKUP($A117,'1.3.21-28.2.22'!$A$6:$DA$404,46,FALSE)-VLOOKUP($A117,'01-02.2022'!$A$6:$DA$376,46,FALSE)</f>
        <v>125</v>
      </c>
      <c r="AU117" s="78">
        <f t="shared" si="120"/>
        <v>-4332.8241600732099</v>
      </c>
      <c r="AV117" s="566">
        <f>VLOOKUP($A117,'01-02.2021'!$A$6:$CZ$403,48,FALSE)+VLOOKUP($A117,'1.3.21-28.2.22'!$A$6:$DA$404,48,FALSE)-VLOOKUP($A117,'01-02.2022'!$A$6:$DA$376,48,FALSE)</f>
        <v>560.96230704723359</v>
      </c>
      <c r="AW117" s="566">
        <f>VLOOKUP($A117,'01-02.2021'!$A$6:$CZ$403,49,FALSE)+VLOOKUP($A117,'1.3.21-28.2.22'!$A$6:$DA$404,49,FALSE)-VLOOKUP($A117,'01-02.2022'!$A$6:$DA$376,49,FALSE)</f>
        <v>0</v>
      </c>
      <c r="AX117" s="55">
        <f t="shared" si="121"/>
        <v>-560.96230704723359</v>
      </c>
      <c r="AY117" s="566">
        <f>VLOOKUP($A117,'01-02.2021'!$A$6:$CZ$403,51,FALSE)+VLOOKUP($A117,'1.3.21-28.2.22'!$A$6:$DA$404,51,FALSE)-VLOOKUP($A117,'01-02.2022'!$A$6:$DA$376,51,FALSE)</f>
        <v>630.92790071949423</v>
      </c>
      <c r="AZ117" s="566">
        <f>VLOOKUP($A117,'01-02.2021'!$A$6:$CZ$403,52,FALSE)+VLOOKUP($A117,'1.3.21-28.2.22'!$A$6:$DA$404,52,FALSE)-VLOOKUP($A117,'01-02.2022'!$A$6:$DA$376,52,FALSE)</f>
        <v>0</v>
      </c>
      <c r="BA117" s="38">
        <f t="shared" si="122"/>
        <v>-630.92790071949423</v>
      </c>
      <c r="BB117" s="566">
        <f>VLOOKUP($A117,'01-02.2021'!$A$6:$CZ$403,54,FALSE)+VLOOKUP($A117,'1.3.21-28.2.22'!$A$6:$DA$404,54,FALSE)-VLOOKUP($A117,'01-02.2022'!$A$6:$DA$376,54,FALSE)</f>
        <v>184.07887671989545</v>
      </c>
      <c r="BC117" s="566">
        <f>VLOOKUP($A117,'01-02.2021'!$A$6:$CZ$403,55,FALSE)+VLOOKUP($A117,'1.3.21-28.2.22'!$A$6:$DA$404,55,FALSE)-VLOOKUP($A117,'01-02.2022'!$A$6:$DA$376,55,FALSE)</f>
        <v>0</v>
      </c>
      <c r="BD117" s="55">
        <f t="shared" si="123"/>
        <v>-184.07887671989545</v>
      </c>
      <c r="BE117" s="566">
        <f>VLOOKUP($A117,'01-02.2021'!$A$6:$CZ$403,57,FALSE)+VLOOKUP($A117,'1.3.21-28.2.22'!$A$6:$DA$404,57,FALSE)-VLOOKUP($A117,'01-02.2022'!$A$6:$DA$376,57,FALSE)</f>
        <v>0</v>
      </c>
      <c r="BF117" s="566">
        <f>VLOOKUP($A117,'01-02.2021'!$A$6:$CZ$403,58,FALSE)+VLOOKUP($A117,'1.3.21-28.2.22'!$A$6:$DA$404,58,FALSE)-VLOOKUP($A117,'01-02.2022'!$A$6:$DA$376,58,FALSE)</f>
        <v>0</v>
      </c>
      <c r="BG117" s="55">
        <f t="shared" si="124"/>
        <v>0</v>
      </c>
      <c r="BH117" s="566">
        <f>VLOOKUP($A117,'01-02.2021'!$A$6:$CZ$403,60,FALSE)+VLOOKUP($A117,'1.3.21-28.2.22'!$A$6:$DA$404,60,FALSE)-VLOOKUP($A117,'01-02.2022'!$A$6:$DA$376,60,FALSE)</f>
        <v>0</v>
      </c>
      <c r="BI117" s="566">
        <f>VLOOKUP($A117,'01-02.2021'!$A$6:$CZ$403,61,FALSE)+VLOOKUP($A117,'1.3.21-28.2.22'!$A$6:$DA$404,61,FALSE)-VLOOKUP($A117,'01-02.2022'!$A$6:$DA$376,61,FALSE)</f>
        <v>0</v>
      </c>
      <c r="BJ117" s="55">
        <f t="shared" si="125"/>
        <v>0</v>
      </c>
      <c r="BK117" s="566">
        <f>VLOOKUP($A117,'01-02.2021'!$A$6:$CZ$403,63,FALSE)+VLOOKUP($A117,'1.3.21-28.2.22'!$A$6:$DA$404,63,FALSE)-VLOOKUP($A117,'01-02.2022'!$A$6:$DA$376,63,FALSE)</f>
        <v>108.2476020412267</v>
      </c>
      <c r="BL117" s="566">
        <f>VLOOKUP($A117,'01-02.2021'!$A$6:$CZ$403,64,FALSE)+VLOOKUP($A117,'1.3.21-28.2.22'!$A$6:$DA$404,64,FALSE)-VLOOKUP($A117,'01-02.2022'!$A$6:$DA$376,64,FALSE)</f>
        <v>709</v>
      </c>
      <c r="BM117" s="55">
        <f t="shared" si="126"/>
        <v>600.75239795877326</v>
      </c>
      <c r="BN117" s="566">
        <f>VLOOKUP($A117,'01-02.2021'!$A$6:$CZ$403,66,FALSE)+VLOOKUP($A117,'1.3.21-28.2.22'!$A$6:$DA$404,66,FALSE)-VLOOKUP($A117,'01-02.2022'!$A$6:$DA$376,66,FALSE)</f>
        <v>22.604999999999997</v>
      </c>
      <c r="BO117" s="566">
        <f>VLOOKUP($A117,'01-02.2021'!$A$6:$CZ$403,67,FALSE)+VLOOKUP($A117,'1.3.21-28.2.22'!$A$6:$DA$404,67,FALSE)-VLOOKUP($A117,'01-02.2022'!$A$6:$DA$376,67,FALSE)</f>
        <v>0</v>
      </c>
      <c r="BP117" s="55">
        <f t="shared" si="127"/>
        <v>-22.604999999999997</v>
      </c>
      <c r="BQ117" s="77">
        <f t="shared" si="139"/>
        <v>1506.8216865278498</v>
      </c>
      <c r="BR117" s="40">
        <f t="shared" si="140"/>
        <v>709</v>
      </c>
      <c r="BS117" s="55">
        <f t="shared" si="110"/>
        <v>-797.82168652784981</v>
      </c>
      <c r="BT117" s="566">
        <f>VLOOKUP($A117,'01-02.2021'!$A$6:$CZ$403,72,FALSE)+VLOOKUP($A117,'1.3.21-28.2.22'!$A$6:$DA$404,72,FALSE)-VLOOKUP($A117,'01-02.2022'!$A$6:$DA$376,72,FALSE)</f>
        <v>6265.9051046900049</v>
      </c>
      <c r="BU117" s="566">
        <f>VLOOKUP($A117,'01-02.2021'!$A$6:$CZ$403,73,FALSE)+VLOOKUP($A117,'1.3.21-28.2.22'!$A$6:$DA$404,73,FALSE)-VLOOKUP($A117,'01-02.2022'!$A$6:$DA$376,73,FALSE)</f>
        <v>7091.2556593947293</v>
      </c>
      <c r="BV117" s="70">
        <f t="shared" si="128"/>
        <v>825.35055470472435</v>
      </c>
      <c r="BW117" s="566">
        <f>VLOOKUP($A117,'01-02.2021'!$A$6:$CZ$403,75,FALSE)+VLOOKUP($A117,'1.3.21-28.2.22'!$A$6:$DA$404,75,FALSE)-VLOOKUP($A117,'01-02.2022'!$A$6:$DA$376,75,FALSE)</f>
        <v>3530.7898160756317</v>
      </c>
      <c r="BX117" s="566">
        <f>VLOOKUP($A117,'01-02.2021'!$A$6:$CZ$403,76,FALSE)+VLOOKUP($A117,'1.3.21-28.2.22'!$A$6:$DA$404,76,FALSE)-VLOOKUP($A117,'01-02.2022'!$A$6:$DA$376,76,FALSE)</f>
        <v>3455.5194990947793</v>
      </c>
      <c r="BY117" s="70">
        <f t="shared" si="129"/>
        <v>-75.270316980852385</v>
      </c>
      <c r="BZ117" s="566">
        <f>VLOOKUP($A117,'01-02.2021'!$A$6:$CZ$403,78,FALSE)+VLOOKUP($A117,'1.3.21-28.2.22'!$A$6:$DA$404,78,FALSE)-VLOOKUP($A117,'01-02.2022'!$A$6:$DA$376,78,FALSE)</f>
        <v>1509.7766244471325</v>
      </c>
      <c r="CA117" s="566">
        <f>VLOOKUP($A117,'01-02.2021'!$A$6:$CZ$403,79,FALSE)+VLOOKUP($A117,'1.3.21-28.2.22'!$A$6:$DA$404,79,FALSE)-VLOOKUP($A117,'01-02.2022'!$A$6:$DA$376,79,FALSE)</f>
        <v>1330.2734665156272</v>
      </c>
      <c r="CB117" s="70">
        <f t="shared" si="130"/>
        <v>-179.50315793150526</v>
      </c>
      <c r="CC117" s="566">
        <f>VLOOKUP($A117,'01-02.2021'!$A$6:$CZ$403,81,FALSE)+VLOOKUP($A117,'1.3.21-28.2.22'!$A$6:$DA$404,81,FALSE)-VLOOKUP($A117,'01-02.2022'!$A$6:$DA$376,81,FALSE)</f>
        <v>0</v>
      </c>
      <c r="CD117" s="566">
        <f>VLOOKUP($A117,'01-02.2021'!$A$6:$CZ$403,82,FALSE)+VLOOKUP($A117,'1.3.21-28.2.22'!$A$6:$DA$404,82,FALSE)-VLOOKUP($A117,'01-02.2022'!$A$6:$DA$376,82,FALSE)</f>
        <v>0</v>
      </c>
      <c r="CE117" s="70">
        <f t="shared" si="131"/>
        <v>0</v>
      </c>
      <c r="CF117" s="566">
        <f>VLOOKUP($A117,'01-02.2021'!$A$6:$CZ$403,84,FALSE)+VLOOKUP($A117,'1.3.21-28.2.22'!$A$6:$DA$404,84,FALSE)-VLOOKUP($A117,'01-02.2022'!$A$6:$DA$376,84,FALSE)</f>
        <v>0</v>
      </c>
      <c r="CG117" s="566">
        <f>VLOOKUP($A117,'01-02.2021'!$A$6:$CZ$403,85,FALSE)+VLOOKUP($A117,'1.3.21-28.2.22'!$A$6:$DA$404,85,FALSE)-VLOOKUP($A117,'01-02.2022'!$A$6:$DA$376,85,FALSE)</f>
        <v>0</v>
      </c>
      <c r="CH117" s="70">
        <f t="shared" si="132"/>
        <v>0</v>
      </c>
      <c r="CI117" s="566">
        <f>VLOOKUP($A117,'01-02.2021'!$A$6:$CZ$403,87,FALSE)+VLOOKUP($A117,'1.3.21-28.2.22'!$A$6:$DA$404,87,FALSE)-VLOOKUP($A117,'01-02.2022'!$A$6:$DA$376,87,FALSE)</f>
        <v>118.40566906008628</v>
      </c>
      <c r="CJ117" s="566">
        <f>VLOOKUP($A117,'01-02.2021'!$A$6:$CZ$403,88,FALSE)+VLOOKUP($A117,'1.3.21-28.2.22'!$A$6:$DA$404,88,FALSE)-VLOOKUP($A117,'01-02.2022'!$A$6:$DA$376,88,FALSE)</f>
        <v>319.43511507902406</v>
      </c>
      <c r="CK117" s="70">
        <f t="shared" si="133"/>
        <v>201.02944601893779</v>
      </c>
      <c r="CL117" s="566">
        <f>VLOOKUP($A117,'01-02.2021'!$A$6:$CZ$403,90,FALSE)+VLOOKUP($A117,'1.3.21-28.2.22'!$A$6:$DA$404,90,FALSE)-VLOOKUP($A117,'01-02.2022'!$A$6:$DA$376,90,FALSE)</f>
        <v>0</v>
      </c>
      <c r="CM117" s="566">
        <f>VLOOKUP($A117,'01-02.2021'!$A$6:$CZ$403,91,FALSE)+VLOOKUP($A117,'1.3.21-28.2.22'!$A$6:$DA$404,91,FALSE)-VLOOKUP($A117,'01-02.2022'!$A$6:$DA$376,91,FALSE)</f>
        <v>0</v>
      </c>
      <c r="CN117" s="52">
        <f t="shared" si="97"/>
        <v>0</v>
      </c>
      <c r="CO117" s="39">
        <f t="shared" si="89"/>
        <v>118.40566906008628</v>
      </c>
      <c r="CP117" s="40">
        <f t="shared" si="98"/>
        <v>319.43511507902406</v>
      </c>
      <c r="CQ117" s="52">
        <f t="shared" si="99"/>
        <v>201.02944601893779</v>
      </c>
      <c r="CR117" s="72">
        <f t="shared" si="90"/>
        <v>23925.13278398514</v>
      </c>
      <c r="CS117" s="5">
        <f t="shared" si="90"/>
        <v>19509.772345063266</v>
      </c>
      <c r="CT117" s="52">
        <f t="shared" si="100"/>
        <v>-4415.3604389218744</v>
      </c>
      <c r="CU117" s="77">
        <f t="shared" si="101"/>
        <v>28710.159340782167</v>
      </c>
      <c r="CV117" s="65">
        <f t="shared" si="102"/>
        <v>23411.726814075919</v>
      </c>
      <c r="CW117" s="35">
        <f t="shared" si="103"/>
        <v>-5298.4325267062486</v>
      </c>
      <c r="CX117" s="566">
        <f>VLOOKUP($A117,'01-02.2021'!$A$6:$CZ$403,102,FALSE)+VLOOKUP($A117,'1.3.21-28.2.22'!$A$6:$DA$404,102,FALSE)-VLOOKUP($A117,'01-02.2022'!$A$6:$DA$376,102,FALSE)</f>
        <v>532.07656137984486</v>
      </c>
      <c r="CY117" s="566">
        <f>VLOOKUP($A117,'01-02.2021'!$A$6:$CZ$403,103,FALSE)+VLOOKUP($A117,'1.3.21-28.2.22'!$A$6:$DA$404,103,FALSE)-VLOOKUP($A117,'01-02.2022'!$A$6:$DA$376,103,FALSE)</f>
        <v>5830.5090880861007</v>
      </c>
      <c r="CZ117" s="52">
        <f t="shared" si="104"/>
        <v>5298.4325267062559</v>
      </c>
      <c r="DA117" s="150">
        <f>'[2]побудинковий звіт'!DA117</f>
        <v>45896.161832085083</v>
      </c>
      <c r="DB117" s="2">
        <v>2</v>
      </c>
      <c r="DC117" s="414">
        <f>'[4]побудинковий звіт'!DC117</f>
        <v>13171.79</v>
      </c>
      <c r="DD117" s="414">
        <f>'[4]побудинковий звіт'!DD117</f>
        <v>7907.06</v>
      </c>
      <c r="DE117" s="557">
        <f>'[4]побудинковий звіт'!DE117</f>
        <v>10835.061910481878</v>
      </c>
      <c r="DF117" s="557">
        <f>'[4]побудинковий звіт'!DF117</f>
        <v>7587.920619391406</v>
      </c>
      <c r="DG117" s="321">
        <f>VLOOKUP(A117,'кошти 01.03.2021'!$A$6:$D$401,4,)</f>
        <v>51854.470199929325</v>
      </c>
      <c r="DH117" s="40">
        <f>'[3]побудинковий звіт'!DJ117</f>
        <v>30278.054700625959</v>
      </c>
      <c r="DI117" s="422">
        <f>'[3]побудинковий звіт'!CU117+'[3]побудинковий звіт'!CX117</f>
        <v>2655.8674701267169</v>
      </c>
      <c r="DJ117" s="306">
        <f>'[3]побудинковий звіт'!DM117</f>
        <v>6.0302660374661228</v>
      </c>
      <c r="DK117" s="306">
        <f t="shared" si="145"/>
        <v>6.0302660374661228</v>
      </c>
      <c r="DL117" s="306">
        <f>'[3]побудинковий звіт'!DO117</f>
        <v>4.940238089916317</v>
      </c>
      <c r="DM117" s="28">
        <f t="shared" si="146"/>
        <v>2336.7280895181225</v>
      </c>
      <c r="DN117" s="28">
        <f t="shared" si="147"/>
        <v>319.13938060859402</v>
      </c>
      <c r="DO117" s="423">
        <f t="shared" si="105"/>
        <v>2655.8674701267164</v>
      </c>
      <c r="DP117" s="94">
        <f t="shared" si="106"/>
        <v>0</v>
      </c>
      <c r="DQ117" s="28">
        <f t="shared" si="107"/>
        <v>2655.8674701267164</v>
      </c>
      <c r="DR117" s="318"/>
      <c r="DT117" s="8"/>
      <c r="DU117" s="5"/>
      <c r="DX117" s="5">
        <f t="shared" si="108"/>
        <v>7157.5750159212721</v>
      </c>
      <c r="DY117" s="5">
        <f t="shared" si="109"/>
        <v>1000.8</v>
      </c>
      <c r="DZ117" s="159">
        <f>'[3]побудинковий звіт'!EA117</f>
        <v>585.36028312342989</v>
      </c>
    </row>
    <row r="118" spans="1:130" x14ac:dyDescent="0.3">
      <c r="A118" s="325">
        <v>150000605</v>
      </c>
      <c r="B118" s="41" t="s">
        <v>567</v>
      </c>
      <c r="C118" s="42" t="s">
        <v>156</v>
      </c>
      <c r="D118" s="42"/>
      <c r="E118" s="293">
        <f t="shared" si="85"/>
        <v>379</v>
      </c>
      <c r="F118" s="305">
        <f>'[3]побудинковий звіт'!F118</f>
        <v>321.10000000000002</v>
      </c>
      <c r="G118" s="508">
        <f>'[3]побудинковий звіт'!G118</f>
        <v>0</v>
      </c>
      <c r="H118" s="560">
        <f>'[3]побудинковий звіт'!H118</f>
        <v>57.9</v>
      </c>
      <c r="I118" s="566">
        <f>VLOOKUP($A118,'01-02.2021'!$A$6:$CZ$403,9,FALSE)+VLOOKUP($A118,'1.3.21-28.2.22'!$A$6:$DA$404,9,FALSE)-VLOOKUP($A118,'01-02.2022'!$A$6:$DA$376,9,FALSE)</f>
        <v>1302.3102663226155</v>
      </c>
      <c r="J118" s="566">
        <f>VLOOKUP($A118,'01-02.2021'!$A$6:$CZ$403,10,FALSE)+VLOOKUP($A118,'1.3.21-28.2.22'!$A$6:$DA$404,10,FALSE)-VLOOKUP($A118,'01-02.2022'!$A$6:$DA$376,10,FALSE)</f>
        <v>1459.0286423519372</v>
      </c>
      <c r="K118" s="52">
        <f t="shared" si="94"/>
        <v>156.71837602932169</v>
      </c>
      <c r="L118" s="566">
        <f>VLOOKUP($A118,'01-02.2021'!$A$6:$CZ$403,12,FALSE)+VLOOKUP($A118,'1.3.21-28.2.22'!$A$6:$DA$404,12,FALSE)-VLOOKUP($A118,'01-02.2022'!$A$6:$DA$376,12,FALSE)</f>
        <v>397.20839578505064</v>
      </c>
      <c r="M118" s="566">
        <f>VLOOKUP($A118,'01-02.2021'!$A$6:$CZ$403,13,FALSE)+VLOOKUP($A118,'1.3.21-28.2.22'!$A$6:$DA$404,13,FALSE)-VLOOKUP($A118,'01-02.2022'!$A$6:$DA$376,13,FALSE)</f>
        <v>437.33558871407195</v>
      </c>
      <c r="N118" s="52">
        <f t="shared" si="95"/>
        <v>40.127192929021305</v>
      </c>
      <c r="O118" s="566">
        <f>VLOOKUP($A118,'01-02.2021'!$A$6:$CZ$403,15,FALSE)+VLOOKUP($A118,'1.3.21-28.2.22'!$A$6:$DA$404,15,FALSE)-VLOOKUP($A118,'01-02.2022'!$A$6:$DA$376,15,FALSE)</f>
        <v>485.99938624890012</v>
      </c>
      <c r="P118" s="566">
        <f>VLOOKUP($A118,'01-02.2021'!$A$6:$CZ$403,16,FALSE)+VLOOKUP($A118,'1.3.21-28.2.22'!$A$6:$DA$404,16,FALSE)-VLOOKUP($A118,'01-02.2022'!$A$6:$DA$376,16,FALSE)</f>
        <v>486.0100000000001</v>
      </c>
      <c r="Q118" s="70">
        <f t="shared" si="111"/>
        <v>1.0613751099981528E-2</v>
      </c>
      <c r="R118" s="566">
        <f>VLOOKUP($A118,'01-02.2021'!$A$6:$CZ$403,18,FALSE)+VLOOKUP($A118,'1.3.21-28.2.22'!$A$6:$DA$404,18,FALSE)-VLOOKUP($A118,'01-02.2022'!$A$6:$DA$376,18,FALSE)</f>
        <v>0</v>
      </c>
      <c r="S118" s="566">
        <f>VLOOKUP($A118,'01-02.2021'!$A$6:$CZ$403,19,FALSE)+VLOOKUP($A118,'1.3.21-28.2.22'!$A$6:$DA$404,19,FALSE)-VLOOKUP($A118,'01-02.2022'!$A$6:$DA$376,19,FALSE)</f>
        <v>0</v>
      </c>
      <c r="T118" s="70">
        <f t="shared" si="112"/>
        <v>0</v>
      </c>
      <c r="U118" s="566">
        <f>VLOOKUP($A118,'01-02.2021'!$A$6:$CZ$403,21,FALSE)+VLOOKUP($A118,'1.3.21-28.2.22'!$A$6:$DA$404,21,FALSE)-VLOOKUP($A118,'01-02.2022'!$A$6:$DA$376,21,FALSE)</f>
        <v>0</v>
      </c>
      <c r="V118" s="566">
        <f>VLOOKUP($A118,'01-02.2021'!$A$6:$CZ$403,22,FALSE)+VLOOKUP($A118,'1.3.21-28.2.22'!$A$6:$DA$404,22,FALSE)-VLOOKUP($A118,'01-02.2022'!$A$6:$DA$376,22,FALSE)</f>
        <v>0</v>
      </c>
      <c r="W118" s="70">
        <f t="shared" si="113"/>
        <v>0</v>
      </c>
      <c r="X118" s="566">
        <f>VLOOKUP($A118,'01-02.2021'!$A$6:$CZ$403,24,FALSE)+VLOOKUP($A118,'1.3.21-28.2.22'!$A$6:$DA$404,24,FALSE)-VLOOKUP($A118,'01-02.2022'!$A$6:$DA$376,24,FALSE)</f>
        <v>492.6805958896561</v>
      </c>
      <c r="Y118" s="566">
        <f>VLOOKUP($A118,'01-02.2021'!$A$6:$CZ$403,25,FALSE)+VLOOKUP($A118,'1.3.21-28.2.22'!$A$6:$DA$404,25,FALSE)-VLOOKUP($A118,'01-02.2022'!$A$6:$DA$376,25,FALSE)</f>
        <v>556.17649793444116</v>
      </c>
      <c r="Z118" s="70">
        <f t="shared" si="114"/>
        <v>63.495902044785055</v>
      </c>
      <c r="AA118" s="566">
        <f>VLOOKUP($A118,'01-02.2021'!$A$6:$CZ$403,27,FALSE)+VLOOKUP($A118,'1.3.21-28.2.22'!$A$6:$DA$404,27,FALSE)-VLOOKUP($A118,'01-02.2022'!$A$6:$DA$376,27,FALSE)</f>
        <v>75.800000000000011</v>
      </c>
      <c r="AB118" s="566">
        <f>VLOOKUP($A118,'01-02.2021'!$A$6:$CZ$403,28,FALSE)+VLOOKUP($A118,'1.3.21-28.2.22'!$A$6:$DA$404,28,FALSE)-VLOOKUP($A118,'01-02.2022'!$A$6:$DA$376,28,FALSE)</f>
        <v>0</v>
      </c>
      <c r="AC118" s="70">
        <f t="shared" si="115"/>
        <v>-75.800000000000011</v>
      </c>
      <c r="AD118" s="566">
        <f>VLOOKUP($A118,'01-02.2021'!$A$6:$CZ$403,30,FALSE)+VLOOKUP($A118,'1.3.21-28.2.22'!$A$6:$DA$404,30,FALSE)-VLOOKUP($A118,'01-02.2022'!$A$6:$DA$376,30,FALSE)</f>
        <v>1622.1848504670804</v>
      </c>
      <c r="AE118" s="566">
        <f>VLOOKUP($A118,'01-02.2021'!$A$6:$CZ$403,31,FALSE)+VLOOKUP($A118,'1.3.21-28.2.22'!$A$6:$DA$404,31,FALSE)-VLOOKUP($A118,'01-02.2022'!$A$6:$DA$376,31,FALSE)</f>
        <v>1725.223270762885</v>
      </c>
      <c r="AF118" s="68">
        <f t="shared" si="116"/>
        <v>103.0384202958046</v>
      </c>
      <c r="AG118" s="77">
        <f t="shared" si="86"/>
        <v>4376.1834947133029</v>
      </c>
      <c r="AH118" s="53">
        <f t="shared" si="86"/>
        <v>4663.7739997633353</v>
      </c>
      <c r="AI118" s="52">
        <f t="shared" si="96"/>
        <v>287.59050505003233</v>
      </c>
      <c r="AJ118" s="566">
        <f>VLOOKUP($A118,'01-02.2021'!$A$6:$CZ$403,36,FALSE)+VLOOKUP($A118,'1.3.21-28.2.22'!$A$6:$DA$404,36,FALSE)-VLOOKUP($A118,'01-02.2022'!$A$6:$DA$376,36,FALSE)</f>
        <v>0</v>
      </c>
      <c r="AK118" s="566">
        <f>VLOOKUP($A118,'01-02.2021'!$A$6:$CZ$403,37,FALSE)+VLOOKUP($A118,'1.3.21-28.2.22'!$A$6:$DA$404,37,FALSE)-VLOOKUP($A118,'01-02.2022'!$A$6:$DA$376,37,FALSE)</f>
        <v>0</v>
      </c>
      <c r="AL118" s="70">
        <f t="shared" si="117"/>
        <v>0</v>
      </c>
      <c r="AM118" s="566">
        <f>VLOOKUP($A118,'01-02.2021'!$A$6:$CZ$403,39,FALSE)+VLOOKUP($A118,'1.3.21-28.2.22'!$A$6:$DA$404,39,FALSE)-VLOOKUP($A118,'01-02.2022'!$A$6:$DA$376,39,FALSE)</f>
        <v>0</v>
      </c>
      <c r="AN118" s="566">
        <f>VLOOKUP($A118,'01-02.2021'!$A$6:$CZ$403,40,FALSE)+VLOOKUP($A118,'1.3.21-28.2.22'!$A$6:$DA$404,40,FALSE)-VLOOKUP($A118,'01-02.2022'!$A$6:$DA$376,40,FALSE)</f>
        <v>0</v>
      </c>
      <c r="AO118" s="70">
        <f t="shared" si="118"/>
        <v>0</v>
      </c>
      <c r="AP118" s="566">
        <f>VLOOKUP($A118,'01-02.2021'!$A$6:$CZ$403,42,FALSE)+VLOOKUP($A118,'1.3.21-28.2.22'!$A$6:$DA$404,42,FALSE)-VLOOKUP($A118,'01-02.2022'!$A$6:$DA$376,42,FALSE)</f>
        <v>1041.1198500255546</v>
      </c>
      <c r="AQ118" s="566">
        <f>VLOOKUP($A118,'01-02.2021'!$A$6:$CZ$403,43,FALSE)+VLOOKUP($A118,'1.3.21-28.2.22'!$A$6:$DA$404,43,FALSE)-VLOOKUP($A118,'01-02.2022'!$A$6:$DA$376,43,FALSE)</f>
        <v>797.34258311705298</v>
      </c>
      <c r="AR118" s="70">
        <f t="shared" si="119"/>
        <v>-243.77726690850159</v>
      </c>
      <c r="AS118" s="566">
        <f>VLOOKUP($A118,'01-02.2021'!$A$6:$CZ$403,45,FALSE)+VLOOKUP($A118,'1.3.21-28.2.22'!$A$6:$DA$404,45,FALSE)-VLOOKUP($A118,'01-02.2022'!$A$6:$DA$376,45,FALSE)</f>
        <v>4849.6149196401338</v>
      </c>
      <c r="AT118" s="566">
        <f>VLOOKUP($A118,'01-02.2021'!$A$6:$CZ$403,46,FALSE)+VLOOKUP($A118,'1.3.21-28.2.22'!$A$6:$DA$404,46,FALSE)-VLOOKUP($A118,'01-02.2022'!$A$6:$DA$376,46,FALSE)</f>
        <v>125</v>
      </c>
      <c r="AU118" s="78">
        <f t="shared" si="120"/>
        <v>-4724.6149196401338</v>
      </c>
      <c r="AV118" s="566">
        <f>VLOOKUP($A118,'01-02.2021'!$A$6:$CZ$403,48,FALSE)+VLOOKUP($A118,'1.3.21-28.2.22'!$A$6:$DA$404,48,FALSE)-VLOOKUP($A118,'01-02.2022'!$A$6:$DA$376,48,FALSE)</f>
        <v>570.24423420714993</v>
      </c>
      <c r="AW118" s="566">
        <f>VLOOKUP($A118,'01-02.2021'!$A$6:$CZ$403,49,FALSE)+VLOOKUP($A118,'1.3.21-28.2.22'!$A$6:$DA$404,49,FALSE)-VLOOKUP($A118,'01-02.2022'!$A$6:$DA$376,49,FALSE)</f>
        <v>0</v>
      </c>
      <c r="AX118" s="55">
        <f t="shared" si="121"/>
        <v>-570.24423420714993</v>
      </c>
      <c r="AY118" s="566">
        <f>VLOOKUP($A118,'01-02.2021'!$A$6:$CZ$403,51,FALSE)+VLOOKUP($A118,'1.3.21-28.2.22'!$A$6:$DA$404,51,FALSE)-VLOOKUP($A118,'01-02.2022'!$A$6:$DA$376,51,FALSE)</f>
        <v>746.75164360991278</v>
      </c>
      <c r="AZ118" s="566">
        <f>VLOOKUP($A118,'01-02.2021'!$A$6:$CZ$403,52,FALSE)+VLOOKUP($A118,'1.3.21-28.2.22'!$A$6:$DA$404,52,FALSE)-VLOOKUP($A118,'01-02.2022'!$A$6:$DA$376,52,FALSE)</f>
        <v>0</v>
      </c>
      <c r="BA118" s="38">
        <f t="shared" si="122"/>
        <v>-746.75164360991278</v>
      </c>
      <c r="BB118" s="566">
        <f>VLOOKUP($A118,'01-02.2021'!$A$6:$CZ$403,54,FALSE)+VLOOKUP($A118,'1.3.21-28.2.22'!$A$6:$DA$404,54,FALSE)-VLOOKUP($A118,'01-02.2022'!$A$6:$DA$376,54,FALSE)</f>
        <v>129.19566325670425</v>
      </c>
      <c r="BC118" s="566">
        <f>VLOOKUP($A118,'01-02.2021'!$A$6:$CZ$403,55,FALSE)+VLOOKUP($A118,'1.3.21-28.2.22'!$A$6:$DA$404,55,FALSE)-VLOOKUP($A118,'01-02.2022'!$A$6:$DA$376,55,FALSE)</f>
        <v>0</v>
      </c>
      <c r="BD118" s="55">
        <f t="shared" si="123"/>
        <v>-129.19566325670425</v>
      </c>
      <c r="BE118" s="566">
        <f>VLOOKUP($A118,'01-02.2021'!$A$6:$CZ$403,57,FALSE)+VLOOKUP($A118,'1.3.21-28.2.22'!$A$6:$DA$404,57,FALSE)-VLOOKUP($A118,'01-02.2022'!$A$6:$DA$376,57,FALSE)</f>
        <v>0</v>
      </c>
      <c r="BF118" s="566">
        <f>VLOOKUP($A118,'01-02.2021'!$A$6:$CZ$403,58,FALSE)+VLOOKUP($A118,'1.3.21-28.2.22'!$A$6:$DA$404,58,FALSE)-VLOOKUP($A118,'01-02.2022'!$A$6:$DA$376,58,FALSE)</f>
        <v>0</v>
      </c>
      <c r="BG118" s="55">
        <f t="shared" si="124"/>
        <v>0</v>
      </c>
      <c r="BH118" s="566">
        <f>VLOOKUP($A118,'01-02.2021'!$A$6:$CZ$403,60,FALSE)+VLOOKUP($A118,'1.3.21-28.2.22'!$A$6:$DA$404,60,FALSE)-VLOOKUP($A118,'01-02.2022'!$A$6:$DA$376,60,FALSE)</f>
        <v>0</v>
      </c>
      <c r="BI118" s="566">
        <f>VLOOKUP($A118,'01-02.2021'!$A$6:$CZ$403,61,FALSE)+VLOOKUP($A118,'1.3.21-28.2.22'!$A$6:$DA$404,61,FALSE)-VLOOKUP($A118,'01-02.2022'!$A$6:$DA$376,61,FALSE)</f>
        <v>0</v>
      </c>
      <c r="BJ118" s="55">
        <f t="shared" si="125"/>
        <v>0</v>
      </c>
      <c r="BK118" s="566">
        <f>VLOOKUP($A118,'01-02.2021'!$A$6:$CZ$403,63,FALSE)+VLOOKUP($A118,'1.3.21-28.2.22'!$A$6:$DA$404,63,FALSE)-VLOOKUP($A118,'01-02.2022'!$A$6:$DA$376,63,FALSE)</f>
        <v>52.121302866423825</v>
      </c>
      <c r="BL118" s="566">
        <f>VLOOKUP($A118,'01-02.2021'!$A$6:$CZ$403,64,FALSE)+VLOOKUP($A118,'1.3.21-28.2.22'!$A$6:$DA$404,64,FALSE)-VLOOKUP($A118,'01-02.2022'!$A$6:$DA$376,64,FALSE)</f>
        <v>709</v>
      </c>
      <c r="BM118" s="55">
        <f t="shared" si="126"/>
        <v>656.87869713357622</v>
      </c>
      <c r="BN118" s="566">
        <f>VLOOKUP($A118,'01-02.2021'!$A$6:$CZ$403,66,FALSE)+VLOOKUP($A118,'1.3.21-28.2.22'!$A$6:$DA$404,66,FALSE)-VLOOKUP($A118,'01-02.2022'!$A$6:$DA$376,66,FALSE)</f>
        <v>18.950000000000003</v>
      </c>
      <c r="BO118" s="566">
        <f>VLOOKUP($A118,'01-02.2021'!$A$6:$CZ$403,67,FALSE)+VLOOKUP($A118,'1.3.21-28.2.22'!$A$6:$DA$404,67,FALSE)-VLOOKUP($A118,'01-02.2022'!$A$6:$DA$376,67,FALSE)</f>
        <v>0</v>
      </c>
      <c r="BP118" s="55">
        <f t="shared" si="127"/>
        <v>-18.950000000000003</v>
      </c>
      <c r="BQ118" s="77">
        <f t="shared" si="139"/>
        <v>1517.2628439401906</v>
      </c>
      <c r="BR118" s="40">
        <f t="shared" si="140"/>
        <v>709</v>
      </c>
      <c r="BS118" s="55">
        <f t="shared" si="110"/>
        <v>-808.26284394019058</v>
      </c>
      <c r="BT118" s="566">
        <f>VLOOKUP($A118,'01-02.2021'!$A$6:$CZ$403,72,FALSE)+VLOOKUP($A118,'1.3.21-28.2.22'!$A$6:$DA$404,72,FALSE)-VLOOKUP($A118,'01-02.2022'!$A$6:$DA$376,72,FALSE)</f>
        <v>4724.0498958262378</v>
      </c>
      <c r="BU118" s="566">
        <f>VLOOKUP($A118,'01-02.2021'!$A$6:$CZ$403,73,FALSE)+VLOOKUP($A118,'1.3.21-28.2.22'!$A$6:$DA$404,73,FALSE)-VLOOKUP($A118,'01-02.2022'!$A$6:$DA$376,73,FALSE)</f>
        <v>6208.8793455988098</v>
      </c>
      <c r="BV118" s="70">
        <f t="shared" si="128"/>
        <v>1484.8294497725719</v>
      </c>
      <c r="BW118" s="566">
        <f>VLOOKUP($A118,'01-02.2021'!$A$6:$CZ$403,75,FALSE)+VLOOKUP($A118,'1.3.21-28.2.22'!$A$6:$DA$404,75,FALSE)-VLOOKUP($A118,'01-02.2022'!$A$6:$DA$376,75,FALSE)</f>
        <v>2919.9334954287197</v>
      </c>
      <c r="BX118" s="566">
        <f>VLOOKUP($A118,'01-02.2021'!$A$6:$CZ$403,76,FALSE)+VLOOKUP($A118,'1.3.21-28.2.22'!$A$6:$DA$404,76,FALSE)-VLOOKUP($A118,'01-02.2022'!$A$6:$DA$376,76,FALSE)</f>
        <v>2789.3688602866901</v>
      </c>
      <c r="BY118" s="70">
        <f t="shared" si="129"/>
        <v>-130.5646351420296</v>
      </c>
      <c r="BZ118" s="566">
        <f>VLOOKUP($A118,'01-02.2021'!$A$6:$CZ$403,78,FALSE)+VLOOKUP($A118,'1.3.21-28.2.22'!$A$6:$DA$404,78,FALSE)-VLOOKUP($A118,'01-02.2022'!$A$6:$DA$376,78,FALSE)</f>
        <v>1385.4444957095284</v>
      </c>
      <c r="CA118" s="566">
        <f>VLOOKUP($A118,'01-02.2021'!$A$6:$CZ$403,79,FALSE)+VLOOKUP($A118,'1.3.21-28.2.22'!$A$6:$DA$404,79,FALSE)-VLOOKUP($A118,'01-02.2022'!$A$6:$DA$376,79,FALSE)</f>
        <v>1058.5663929376876</v>
      </c>
      <c r="CB118" s="70">
        <f t="shared" si="130"/>
        <v>-326.87810277184076</v>
      </c>
      <c r="CC118" s="566">
        <f>VLOOKUP($A118,'01-02.2021'!$A$6:$CZ$403,81,FALSE)+VLOOKUP($A118,'1.3.21-28.2.22'!$A$6:$DA$404,81,FALSE)-VLOOKUP($A118,'01-02.2022'!$A$6:$DA$376,81,FALSE)</f>
        <v>277.75769618923169</v>
      </c>
      <c r="CD118" s="566">
        <f>VLOOKUP($A118,'01-02.2021'!$A$6:$CZ$403,82,FALSE)+VLOOKUP($A118,'1.3.21-28.2.22'!$A$6:$DA$404,82,FALSE)-VLOOKUP($A118,'01-02.2022'!$A$6:$DA$376,82,FALSE)</f>
        <v>303.58722306154687</v>
      </c>
      <c r="CE118" s="70">
        <f t="shared" si="131"/>
        <v>25.829526872315171</v>
      </c>
      <c r="CF118" s="566">
        <f>VLOOKUP($A118,'01-02.2021'!$A$6:$CZ$403,84,FALSE)+VLOOKUP($A118,'1.3.21-28.2.22'!$A$6:$DA$404,84,FALSE)-VLOOKUP($A118,'01-02.2022'!$A$6:$DA$376,84,FALSE)</f>
        <v>33.767169520454658</v>
      </c>
      <c r="CG118" s="566">
        <f>VLOOKUP($A118,'01-02.2021'!$A$6:$CZ$403,85,FALSE)+VLOOKUP($A118,'1.3.21-28.2.22'!$A$6:$DA$404,85,FALSE)-VLOOKUP($A118,'01-02.2022'!$A$6:$DA$376,85,FALSE)</f>
        <v>0</v>
      </c>
      <c r="CH118" s="70">
        <f t="shared" si="132"/>
        <v>-33.767169520454658</v>
      </c>
      <c r="CI118" s="566">
        <f>VLOOKUP($A118,'01-02.2021'!$A$6:$CZ$403,87,FALSE)+VLOOKUP($A118,'1.3.21-28.2.22'!$A$6:$DA$404,87,FALSE)-VLOOKUP($A118,'01-02.2022'!$A$6:$DA$376,87,FALSE)</f>
        <v>573.49535248068992</v>
      </c>
      <c r="CJ118" s="566">
        <f>VLOOKUP($A118,'01-02.2021'!$A$6:$CZ$403,88,FALSE)+VLOOKUP($A118,'1.3.21-28.2.22'!$A$6:$DA$404,88,FALSE)-VLOOKUP($A118,'01-02.2022'!$A$6:$DA$376,88,FALSE)</f>
        <v>362.63690298841811</v>
      </c>
      <c r="CK118" s="70">
        <f t="shared" si="133"/>
        <v>-210.8584494922718</v>
      </c>
      <c r="CL118" s="566">
        <f>VLOOKUP($A118,'01-02.2021'!$A$6:$CZ$403,90,FALSE)+VLOOKUP($A118,'1.3.21-28.2.22'!$A$6:$DA$404,90,FALSE)-VLOOKUP($A118,'01-02.2022'!$A$6:$DA$376,90,FALSE)</f>
        <v>0</v>
      </c>
      <c r="CM118" s="566">
        <f>VLOOKUP($A118,'01-02.2021'!$A$6:$CZ$403,91,FALSE)+VLOOKUP($A118,'1.3.21-28.2.22'!$A$6:$DA$404,91,FALSE)-VLOOKUP($A118,'01-02.2022'!$A$6:$DA$376,91,FALSE)</f>
        <v>0</v>
      </c>
      <c r="CN118" s="52">
        <f t="shared" si="97"/>
        <v>0</v>
      </c>
      <c r="CO118" s="39">
        <f t="shared" si="89"/>
        <v>573.49535248068992</v>
      </c>
      <c r="CP118" s="40">
        <f t="shared" si="98"/>
        <v>362.63690298841811</v>
      </c>
      <c r="CQ118" s="52">
        <f t="shared" si="99"/>
        <v>-210.8584494922718</v>
      </c>
      <c r="CR118" s="72">
        <f t="shared" si="90"/>
        <v>21698.629213474043</v>
      </c>
      <c r="CS118" s="5">
        <f t="shared" si="90"/>
        <v>17018.155307753543</v>
      </c>
      <c r="CT118" s="52">
        <f t="shared" si="100"/>
        <v>-4680.4739057205006</v>
      </c>
      <c r="CU118" s="77">
        <f t="shared" si="101"/>
        <v>26038.35505616885</v>
      </c>
      <c r="CV118" s="65">
        <f t="shared" si="102"/>
        <v>20421.786369304249</v>
      </c>
      <c r="CW118" s="35">
        <f t="shared" si="103"/>
        <v>-5616.5686868646007</v>
      </c>
      <c r="CX118" s="566">
        <f>VLOOKUP($A118,'01-02.2021'!$A$6:$CZ$403,102,FALSE)+VLOOKUP($A118,'1.3.21-28.2.22'!$A$6:$DA$404,102,FALSE)-VLOOKUP($A118,'01-02.2022'!$A$6:$DA$376,102,FALSE)</f>
        <v>908.20490099720564</v>
      </c>
      <c r="CY118" s="566">
        <f>VLOOKUP($A118,'01-02.2021'!$A$6:$CZ$403,103,FALSE)+VLOOKUP($A118,'1.3.21-28.2.22'!$A$6:$DA$404,103,FALSE)-VLOOKUP($A118,'01-02.2022'!$A$6:$DA$376,103,FALSE)</f>
        <v>6524.7735878618168</v>
      </c>
      <c r="CZ118" s="52">
        <f t="shared" si="104"/>
        <v>5616.5686868646117</v>
      </c>
      <c r="DA118" s="150">
        <f>'[2]побудинковий звіт'!DA118</f>
        <v>12063.740423995732</v>
      </c>
      <c r="DB118" s="2">
        <v>2</v>
      </c>
      <c r="DC118" s="414">
        <f>'[4]побудинковий звіт'!DC118</f>
        <v>22103.22</v>
      </c>
      <c r="DD118" s="414">
        <f>'[4]побудинковий звіт'!DD118</f>
        <v>11240.92</v>
      </c>
      <c r="DE118" s="557">
        <f>'[4]побудинковий звіт'!DE118</f>
        <v>19976.693475749082</v>
      </c>
      <c r="DF118" s="557">
        <f>'[4]побудинковий звіт'!DF118</f>
        <v>10920.392548979111</v>
      </c>
      <c r="DG118" s="321">
        <f>VLOOKUP(A118,'кошти 01.03.2021'!$A$6:$D$401,4,)</f>
        <v>18422.858506815275</v>
      </c>
      <c r="DH118" s="40">
        <f>'[3]побудинковий звіт'!DJ118</f>
        <v>27899.554141205837</v>
      </c>
      <c r="DI118" s="422">
        <f>'[3]побудинковий звіт'!CU118+'[3]побудинковий звіт'!CX118</f>
        <v>2447.0539752718078</v>
      </c>
      <c r="DJ118" s="306">
        <f>'[3]побудинковий звіт'!DM118</f>
        <v>6.6226300973245644</v>
      </c>
      <c r="DK118" s="306">
        <f t="shared" si="145"/>
        <v>6.6226300973245644</v>
      </c>
      <c r="DL118" s="306">
        <f>'[3]побудинковий звіт'!DO118</f>
        <v>5.535879983089635</v>
      </c>
      <c r="DM118" s="28">
        <f t="shared" si="146"/>
        <v>2126.5265242509176</v>
      </c>
      <c r="DN118" s="28">
        <f t="shared" si="147"/>
        <v>320.52745102088988</v>
      </c>
      <c r="DO118" s="423">
        <f t="shared" si="105"/>
        <v>2447.0539752718078</v>
      </c>
      <c r="DP118" s="94">
        <f t="shared" si="106"/>
        <v>0</v>
      </c>
      <c r="DQ118" s="28">
        <f t="shared" si="107"/>
        <v>2447.0539752718078</v>
      </c>
      <c r="DR118" s="318"/>
      <c r="DT118" s="8"/>
      <c r="DU118" s="5"/>
      <c r="DX118" s="5">
        <f t="shared" si="108"/>
        <v>7640.2533162963891</v>
      </c>
      <c r="DY118" s="5">
        <f t="shared" si="109"/>
        <v>1000.8</v>
      </c>
      <c r="DZ118" s="159">
        <f>'[3]побудинковий звіт'!EA118</f>
        <v>707.25823722693087</v>
      </c>
    </row>
    <row r="119" spans="1:130" x14ac:dyDescent="0.3">
      <c r="A119" s="325">
        <v>150000606</v>
      </c>
      <c r="B119" s="41" t="s">
        <v>568</v>
      </c>
      <c r="C119" s="42" t="s">
        <v>157</v>
      </c>
      <c r="D119" s="42"/>
      <c r="E119" s="293">
        <f t="shared" si="85"/>
        <v>766.3</v>
      </c>
      <c r="F119" s="305">
        <f>'[3]побудинковий звіт'!F119</f>
        <v>685.8</v>
      </c>
      <c r="G119" s="508">
        <f>'[3]побудинковий звіт'!G119</f>
        <v>0</v>
      </c>
      <c r="H119" s="560">
        <f>'[3]побудинковий звіт'!H119</f>
        <v>80.5</v>
      </c>
      <c r="I119" s="566">
        <f>VLOOKUP($A119,'01-02.2021'!$A$6:$CZ$403,9,FALSE)+VLOOKUP($A119,'1.3.21-28.2.22'!$A$6:$DA$404,9,FALSE)-VLOOKUP($A119,'01-02.2022'!$A$6:$DA$376,9,FALSE)</f>
        <v>2636.284910400479</v>
      </c>
      <c r="J119" s="566">
        <f>VLOOKUP($A119,'01-02.2021'!$A$6:$CZ$403,10,FALSE)+VLOOKUP($A119,'1.3.21-28.2.22'!$A$6:$DA$404,10,FALSE)-VLOOKUP($A119,'01-02.2022'!$A$6:$DA$376,10,FALSE)</f>
        <v>2938.0596174927709</v>
      </c>
      <c r="K119" s="52">
        <f t="shared" si="94"/>
        <v>301.77470709229192</v>
      </c>
      <c r="L119" s="566">
        <f>VLOOKUP($A119,'01-02.2021'!$A$6:$CZ$403,12,FALSE)+VLOOKUP($A119,'1.3.21-28.2.22'!$A$6:$DA$404,12,FALSE)-VLOOKUP($A119,'01-02.2022'!$A$6:$DA$376,12,FALSE)</f>
        <v>714.95860323631803</v>
      </c>
      <c r="M119" s="566">
        <f>VLOOKUP($A119,'01-02.2021'!$A$6:$CZ$403,13,FALSE)+VLOOKUP($A119,'1.3.21-28.2.22'!$A$6:$DA$404,13,FALSE)-VLOOKUP($A119,'01-02.2022'!$A$6:$DA$376,13,FALSE)</f>
        <v>787.19644520350028</v>
      </c>
      <c r="N119" s="52">
        <f t="shared" si="95"/>
        <v>72.237841967182248</v>
      </c>
      <c r="O119" s="566">
        <f>VLOOKUP($A119,'01-02.2021'!$A$6:$CZ$403,15,FALSE)+VLOOKUP($A119,'1.3.21-28.2.22'!$A$6:$DA$404,15,FALSE)-VLOOKUP($A119,'01-02.2022'!$A$6:$DA$376,15,FALSE)</f>
        <v>946.78332466389963</v>
      </c>
      <c r="P119" s="566">
        <f>VLOOKUP($A119,'01-02.2021'!$A$6:$CZ$403,16,FALSE)+VLOOKUP($A119,'1.3.21-28.2.22'!$A$6:$DA$404,16,FALSE)-VLOOKUP($A119,'01-02.2022'!$A$6:$DA$376,16,FALSE)</f>
        <v>946.78999999999962</v>
      </c>
      <c r="Q119" s="70">
        <f t="shared" si="111"/>
        <v>6.6753360999882716E-3</v>
      </c>
      <c r="R119" s="566">
        <f>VLOOKUP($A119,'01-02.2021'!$A$6:$CZ$403,18,FALSE)+VLOOKUP($A119,'1.3.21-28.2.22'!$A$6:$DA$404,18,FALSE)-VLOOKUP($A119,'01-02.2022'!$A$6:$DA$376,18,FALSE)</f>
        <v>0</v>
      </c>
      <c r="S119" s="566">
        <f>VLOOKUP($A119,'01-02.2021'!$A$6:$CZ$403,19,FALSE)+VLOOKUP($A119,'1.3.21-28.2.22'!$A$6:$DA$404,19,FALSE)-VLOOKUP($A119,'01-02.2022'!$A$6:$DA$376,19,FALSE)</f>
        <v>0</v>
      </c>
      <c r="T119" s="70">
        <f t="shared" si="112"/>
        <v>0</v>
      </c>
      <c r="U119" s="566">
        <f>VLOOKUP($A119,'01-02.2021'!$A$6:$CZ$403,21,FALSE)+VLOOKUP($A119,'1.3.21-28.2.22'!$A$6:$DA$404,21,FALSE)-VLOOKUP($A119,'01-02.2022'!$A$6:$DA$376,21,FALSE)</f>
        <v>0</v>
      </c>
      <c r="V119" s="566">
        <f>VLOOKUP($A119,'01-02.2021'!$A$6:$CZ$403,22,FALSE)+VLOOKUP($A119,'1.3.21-28.2.22'!$A$6:$DA$404,22,FALSE)-VLOOKUP($A119,'01-02.2022'!$A$6:$DA$376,22,FALSE)</f>
        <v>0</v>
      </c>
      <c r="W119" s="70">
        <f t="shared" si="113"/>
        <v>0</v>
      </c>
      <c r="X119" s="566">
        <f>VLOOKUP($A119,'01-02.2021'!$A$6:$CZ$403,24,FALSE)+VLOOKUP($A119,'1.3.21-28.2.22'!$A$6:$DA$404,24,FALSE)-VLOOKUP($A119,'01-02.2022'!$A$6:$DA$376,24,FALSE)</f>
        <v>968.47007898665254</v>
      </c>
      <c r="Y119" s="566">
        <f>VLOOKUP($A119,'01-02.2021'!$A$6:$CZ$403,25,FALSE)+VLOOKUP($A119,'1.3.21-28.2.22'!$A$6:$DA$404,25,FALSE)-VLOOKUP($A119,'01-02.2022'!$A$6:$DA$376,25,FALSE)</f>
        <v>803.74073871569101</v>
      </c>
      <c r="Z119" s="70">
        <f t="shared" si="114"/>
        <v>-164.72934027096153</v>
      </c>
      <c r="AA119" s="566">
        <f>VLOOKUP($A119,'01-02.2021'!$A$6:$CZ$403,27,FALSE)+VLOOKUP($A119,'1.3.21-28.2.22'!$A$6:$DA$404,27,FALSE)-VLOOKUP($A119,'01-02.2022'!$A$6:$DA$376,27,FALSE)</f>
        <v>153.15999999999997</v>
      </c>
      <c r="AB119" s="566">
        <f>VLOOKUP($A119,'01-02.2021'!$A$6:$CZ$403,28,FALSE)+VLOOKUP($A119,'1.3.21-28.2.22'!$A$6:$DA$404,28,FALSE)-VLOOKUP($A119,'01-02.2022'!$A$6:$DA$376,28,FALSE)</f>
        <v>0</v>
      </c>
      <c r="AC119" s="70">
        <f t="shared" si="115"/>
        <v>-153.15999999999997</v>
      </c>
      <c r="AD119" s="566">
        <f>VLOOKUP($A119,'01-02.2021'!$A$6:$CZ$403,30,FALSE)+VLOOKUP($A119,'1.3.21-28.2.22'!$A$6:$DA$404,30,FALSE)-VLOOKUP($A119,'01-02.2022'!$A$6:$DA$376,30,FALSE)</f>
        <v>3282.5952144464472</v>
      </c>
      <c r="AE119" s="566">
        <f>VLOOKUP($A119,'01-02.2021'!$A$6:$CZ$403,31,FALSE)+VLOOKUP($A119,'1.3.21-28.2.22'!$A$6:$DA$404,31,FALSE)-VLOOKUP($A119,'01-02.2022'!$A$6:$DA$376,31,FALSE)</f>
        <v>3487.0579953734541</v>
      </c>
      <c r="AF119" s="68">
        <f t="shared" si="116"/>
        <v>204.46278092700686</v>
      </c>
      <c r="AG119" s="77">
        <f t="shared" si="86"/>
        <v>8702.252131733796</v>
      </c>
      <c r="AH119" s="53">
        <f t="shared" si="86"/>
        <v>8962.8447967854154</v>
      </c>
      <c r="AI119" s="52">
        <f t="shared" si="96"/>
        <v>260.59266505161941</v>
      </c>
      <c r="AJ119" s="566">
        <f>VLOOKUP($A119,'01-02.2021'!$A$6:$CZ$403,36,FALSE)+VLOOKUP($A119,'1.3.21-28.2.22'!$A$6:$DA$404,36,FALSE)-VLOOKUP($A119,'01-02.2022'!$A$6:$DA$376,36,FALSE)</f>
        <v>0</v>
      </c>
      <c r="AK119" s="566">
        <f>VLOOKUP($A119,'01-02.2021'!$A$6:$CZ$403,37,FALSE)+VLOOKUP($A119,'1.3.21-28.2.22'!$A$6:$DA$404,37,FALSE)-VLOOKUP($A119,'01-02.2022'!$A$6:$DA$376,37,FALSE)</f>
        <v>0</v>
      </c>
      <c r="AL119" s="70">
        <f t="shared" si="117"/>
        <v>0</v>
      </c>
      <c r="AM119" s="566">
        <f>VLOOKUP($A119,'01-02.2021'!$A$6:$CZ$403,39,FALSE)+VLOOKUP($A119,'1.3.21-28.2.22'!$A$6:$DA$404,39,FALSE)-VLOOKUP($A119,'01-02.2022'!$A$6:$DA$376,39,FALSE)</f>
        <v>0</v>
      </c>
      <c r="AN119" s="566">
        <f>VLOOKUP($A119,'01-02.2021'!$A$6:$CZ$403,40,FALSE)+VLOOKUP($A119,'1.3.21-28.2.22'!$A$6:$DA$404,40,FALSE)-VLOOKUP($A119,'01-02.2022'!$A$6:$DA$376,40,FALSE)</f>
        <v>0</v>
      </c>
      <c r="AO119" s="70">
        <f t="shared" si="118"/>
        <v>0</v>
      </c>
      <c r="AP119" s="566">
        <f>VLOOKUP($A119,'01-02.2021'!$A$6:$CZ$403,42,FALSE)+VLOOKUP($A119,'1.3.21-28.2.22'!$A$6:$DA$404,42,FALSE)-VLOOKUP($A119,'01-02.2022'!$A$6:$DA$376,42,FALSE)</f>
        <v>1821.9597375447206</v>
      </c>
      <c r="AQ119" s="566">
        <f>VLOOKUP($A119,'01-02.2021'!$A$6:$CZ$403,43,FALSE)+VLOOKUP($A119,'1.3.21-28.2.22'!$A$6:$DA$404,43,FALSE)-VLOOKUP($A119,'01-02.2022'!$A$6:$DA$376,43,FALSE)</f>
        <v>1572.5268760013766</v>
      </c>
      <c r="AR119" s="70">
        <f t="shared" si="119"/>
        <v>-249.43286154334396</v>
      </c>
      <c r="AS119" s="566">
        <f>VLOOKUP($A119,'01-02.2021'!$A$6:$CZ$403,45,FALSE)+VLOOKUP($A119,'1.3.21-28.2.22'!$A$6:$DA$404,45,FALSE)-VLOOKUP($A119,'01-02.2022'!$A$6:$DA$376,45,FALSE)</f>
        <v>10423.233637254807</v>
      </c>
      <c r="AT119" s="566">
        <f>VLOOKUP($A119,'01-02.2021'!$A$6:$CZ$403,46,FALSE)+VLOOKUP($A119,'1.3.21-28.2.22'!$A$6:$DA$404,46,FALSE)-VLOOKUP($A119,'01-02.2022'!$A$6:$DA$376,46,FALSE)</f>
        <v>3372</v>
      </c>
      <c r="AU119" s="78">
        <f t="shared" si="120"/>
        <v>-7051.233637254807</v>
      </c>
      <c r="AV119" s="566">
        <f>VLOOKUP($A119,'01-02.2021'!$A$6:$CZ$403,48,FALSE)+VLOOKUP($A119,'1.3.21-28.2.22'!$A$6:$DA$404,48,FALSE)-VLOOKUP($A119,'01-02.2022'!$A$6:$DA$376,48,FALSE)</f>
        <v>1211.6089925641111</v>
      </c>
      <c r="AW119" s="566">
        <f>VLOOKUP($A119,'01-02.2021'!$A$6:$CZ$403,49,FALSE)+VLOOKUP($A119,'1.3.21-28.2.22'!$A$6:$DA$404,49,FALSE)-VLOOKUP($A119,'01-02.2022'!$A$6:$DA$376,49,FALSE)</f>
        <v>0</v>
      </c>
      <c r="AX119" s="55">
        <f t="shared" si="121"/>
        <v>-1211.6089925641111</v>
      </c>
      <c r="AY119" s="566">
        <f>VLOOKUP($A119,'01-02.2021'!$A$6:$CZ$403,51,FALSE)+VLOOKUP($A119,'1.3.21-28.2.22'!$A$6:$DA$404,51,FALSE)-VLOOKUP($A119,'01-02.2022'!$A$6:$DA$376,51,FALSE)</f>
        <v>1344.0345125831866</v>
      </c>
      <c r="AZ119" s="566">
        <f>VLOOKUP($A119,'01-02.2021'!$A$6:$CZ$403,52,FALSE)+VLOOKUP($A119,'1.3.21-28.2.22'!$A$6:$DA$404,52,FALSE)-VLOOKUP($A119,'01-02.2022'!$A$6:$DA$376,52,FALSE)</f>
        <v>0</v>
      </c>
      <c r="BA119" s="38">
        <f t="shared" si="122"/>
        <v>-1344.0345125831866</v>
      </c>
      <c r="BB119" s="566">
        <f>VLOOKUP($A119,'01-02.2021'!$A$6:$CZ$403,54,FALSE)+VLOOKUP($A119,'1.3.21-28.2.22'!$A$6:$DA$404,54,FALSE)-VLOOKUP($A119,'01-02.2022'!$A$6:$DA$376,54,FALSE)</f>
        <v>315.42166215852689</v>
      </c>
      <c r="BC119" s="566">
        <f>VLOOKUP($A119,'01-02.2021'!$A$6:$CZ$403,55,FALSE)+VLOOKUP($A119,'1.3.21-28.2.22'!$A$6:$DA$404,55,FALSE)-VLOOKUP($A119,'01-02.2022'!$A$6:$DA$376,55,FALSE)</f>
        <v>0</v>
      </c>
      <c r="BD119" s="55">
        <f t="shared" si="123"/>
        <v>-315.42166215852689</v>
      </c>
      <c r="BE119" s="566">
        <f>VLOOKUP($A119,'01-02.2021'!$A$6:$CZ$403,57,FALSE)+VLOOKUP($A119,'1.3.21-28.2.22'!$A$6:$DA$404,57,FALSE)-VLOOKUP($A119,'01-02.2022'!$A$6:$DA$376,57,FALSE)</f>
        <v>0</v>
      </c>
      <c r="BF119" s="566">
        <f>VLOOKUP($A119,'01-02.2021'!$A$6:$CZ$403,58,FALSE)+VLOOKUP($A119,'1.3.21-28.2.22'!$A$6:$DA$404,58,FALSE)-VLOOKUP($A119,'01-02.2022'!$A$6:$DA$376,58,FALSE)</f>
        <v>0</v>
      </c>
      <c r="BG119" s="55">
        <f t="shared" si="124"/>
        <v>0</v>
      </c>
      <c r="BH119" s="566">
        <f>VLOOKUP($A119,'01-02.2021'!$A$6:$CZ$403,60,FALSE)+VLOOKUP($A119,'1.3.21-28.2.22'!$A$6:$DA$404,60,FALSE)-VLOOKUP($A119,'01-02.2022'!$A$6:$DA$376,60,FALSE)</f>
        <v>0</v>
      </c>
      <c r="BI119" s="566">
        <f>VLOOKUP($A119,'01-02.2021'!$A$6:$CZ$403,61,FALSE)+VLOOKUP($A119,'1.3.21-28.2.22'!$A$6:$DA$404,61,FALSE)-VLOOKUP($A119,'01-02.2022'!$A$6:$DA$376,61,FALSE)</f>
        <v>0</v>
      </c>
      <c r="BJ119" s="55">
        <f t="shared" si="125"/>
        <v>0</v>
      </c>
      <c r="BK119" s="566">
        <f>VLOOKUP($A119,'01-02.2021'!$A$6:$CZ$403,63,FALSE)+VLOOKUP($A119,'1.3.21-28.2.22'!$A$6:$DA$404,63,FALSE)-VLOOKUP($A119,'01-02.2022'!$A$6:$DA$376,63,FALSE)</f>
        <v>156.53332642855568</v>
      </c>
      <c r="BL119" s="566">
        <f>VLOOKUP($A119,'01-02.2021'!$A$6:$CZ$403,64,FALSE)+VLOOKUP($A119,'1.3.21-28.2.22'!$A$6:$DA$404,64,FALSE)-VLOOKUP($A119,'01-02.2022'!$A$6:$DA$376,64,FALSE)</f>
        <v>0</v>
      </c>
      <c r="BM119" s="55">
        <f t="shared" si="126"/>
        <v>-156.53332642855568</v>
      </c>
      <c r="BN119" s="566">
        <f>VLOOKUP($A119,'01-02.2021'!$A$6:$CZ$403,66,FALSE)+VLOOKUP($A119,'1.3.21-28.2.22'!$A$6:$DA$404,66,FALSE)-VLOOKUP($A119,'01-02.2022'!$A$6:$DA$376,66,FALSE)</f>
        <v>38.289999999999992</v>
      </c>
      <c r="BO119" s="566">
        <f>VLOOKUP($A119,'01-02.2021'!$A$6:$CZ$403,67,FALSE)+VLOOKUP($A119,'1.3.21-28.2.22'!$A$6:$DA$404,67,FALSE)-VLOOKUP($A119,'01-02.2022'!$A$6:$DA$376,67,FALSE)</f>
        <v>0</v>
      </c>
      <c r="BP119" s="55">
        <f t="shared" si="127"/>
        <v>-38.289999999999992</v>
      </c>
      <c r="BQ119" s="77">
        <f t="shared" si="139"/>
        <v>3065.8884937343801</v>
      </c>
      <c r="BR119" s="40">
        <f t="shared" si="140"/>
        <v>0</v>
      </c>
      <c r="BS119" s="55">
        <f t="shared" si="110"/>
        <v>-3065.8884937343801</v>
      </c>
      <c r="BT119" s="566">
        <f>VLOOKUP($A119,'01-02.2021'!$A$6:$CZ$403,72,FALSE)+VLOOKUP($A119,'1.3.21-28.2.22'!$A$6:$DA$404,72,FALSE)-VLOOKUP($A119,'01-02.2022'!$A$6:$DA$376,72,FALSE)</f>
        <v>9226.8213141167798</v>
      </c>
      <c r="BU119" s="566">
        <f>VLOOKUP($A119,'01-02.2021'!$A$6:$CZ$403,73,FALSE)+VLOOKUP($A119,'1.3.21-28.2.22'!$A$6:$DA$404,73,FALSE)-VLOOKUP($A119,'01-02.2022'!$A$6:$DA$376,73,FALSE)</f>
        <v>10716.315026505185</v>
      </c>
      <c r="BV119" s="70">
        <f t="shared" si="128"/>
        <v>1489.4937123884047</v>
      </c>
      <c r="BW119" s="566">
        <f>VLOOKUP($A119,'01-02.2021'!$A$6:$CZ$403,75,FALSE)+VLOOKUP($A119,'1.3.21-28.2.22'!$A$6:$DA$404,75,FALSE)-VLOOKUP($A119,'01-02.2022'!$A$6:$DA$376,75,FALSE)</f>
        <v>6029.1140436208516</v>
      </c>
      <c r="BX119" s="566">
        <f>VLOOKUP($A119,'01-02.2021'!$A$6:$CZ$403,76,FALSE)+VLOOKUP($A119,'1.3.21-28.2.22'!$A$6:$DA$404,76,FALSE)-VLOOKUP($A119,'01-02.2022'!$A$6:$DA$376,76,FALSE)</f>
        <v>5628.5060861123429</v>
      </c>
      <c r="BY119" s="70">
        <f t="shared" si="129"/>
        <v>-400.60795750850866</v>
      </c>
      <c r="BZ119" s="566">
        <f>VLOOKUP($A119,'01-02.2021'!$A$6:$CZ$403,78,FALSE)+VLOOKUP($A119,'1.3.21-28.2.22'!$A$6:$DA$404,78,FALSE)-VLOOKUP($A119,'01-02.2022'!$A$6:$DA$376,78,FALSE)</f>
        <v>3425.7488386762516</v>
      </c>
      <c r="CA119" s="566">
        <f>VLOOKUP($A119,'01-02.2021'!$A$6:$CZ$403,79,FALSE)+VLOOKUP($A119,'1.3.21-28.2.22'!$A$6:$DA$404,79,FALSE)-VLOOKUP($A119,'01-02.2022'!$A$6:$DA$376,79,FALSE)</f>
        <v>2345.3005444009023</v>
      </c>
      <c r="CB119" s="70">
        <f t="shared" si="130"/>
        <v>-1080.4482942753493</v>
      </c>
      <c r="CC119" s="566">
        <f>VLOOKUP($A119,'01-02.2021'!$A$6:$CZ$403,81,FALSE)+VLOOKUP($A119,'1.3.21-28.2.22'!$A$6:$DA$404,81,FALSE)-VLOOKUP($A119,'01-02.2022'!$A$6:$DA$376,81,FALSE)</f>
        <v>0</v>
      </c>
      <c r="CD119" s="566">
        <f>VLOOKUP($A119,'01-02.2021'!$A$6:$CZ$403,82,FALSE)+VLOOKUP($A119,'1.3.21-28.2.22'!$A$6:$DA$404,82,FALSE)-VLOOKUP($A119,'01-02.2022'!$A$6:$DA$376,82,FALSE)</f>
        <v>0</v>
      </c>
      <c r="CE119" s="70">
        <f t="shared" si="131"/>
        <v>0</v>
      </c>
      <c r="CF119" s="566">
        <f>VLOOKUP($A119,'01-02.2021'!$A$6:$CZ$403,84,FALSE)+VLOOKUP($A119,'1.3.21-28.2.22'!$A$6:$DA$404,84,FALSE)-VLOOKUP($A119,'01-02.2022'!$A$6:$DA$376,84,FALSE)</f>
        <v>0</v>
      </c>
      <c r="CG119" s="566">
        <f>VLOOKUP($A119,'01-02.2021'!$A$6:$CZ$403,85,FALSE)+VLOOKUP($A119,'1.3.21-28.2.22'!$A$6:$DA$404,85,FALSE)-VLOOKUP($A119,'01-02.2022'!$A$6:$DA$376,85,FALSE)</f>
        <v>0</v>
      </c>
      <c r="CH119" s="70">
        <f t="shared" si="132"/>
        <v>0</v>
      </c>
      <c r="CI119" s="566">
        <f>VLOOKUP($A119,'01-02.2021'!$A$6:$CZ$403,87,FALSE)+VLOOKUP($A119,'1.3.21-28.2.22'!$A$6:$DA$404,87,FALSE)-VLOOKUP($A119,'01-02.2022'!$A$6:$DA$376,87,FALSE)</f>
        <v>1798.3860574420696</v>
      </c>
      <c r="CJ119" s="566">
        <f>VLOOKUP($A119,'01-02.2021'!$A$6:$CZ$403,88,FALSE)+VLOOKUP($A119,'1.3.21-28.2.22'!$A$6:$DA$404,88,FALSE)-VLOOKUP($A119,'01-02.2022'!$A$6:$DA$376,88,FALSE)</f>
        <v>959.94530529729388</v>
      </c>
      <c r="CK119" s="70">
        <f t="shared" si="133"/>
        <v>-838.44075214477573</v>
      </c>
      <c r="CL119" s="566">
        <f>VLOOKUP($A119,'01-02.2021'!$A$6:$CZ$403,90,FALSE)+VLOOKUP($A119,'1.3.21-28.2.22'!$A$6:$DA$404,90,FALSE)-VLOOKUP($A119,'01-02.2022'!$A$6:$DA$376,90,FALSE)</f>
        <v>0</v>
      </c>
      <c r="CM119" s="566">
        <f>VLOOKUP($A119,'01-02.2021'!$A$6:$CZ$403,91,FALSE)+VLOOKUP($A119,'1.3.21-28.2.22'!$A$6:$DA$404,91,FALSE)-VLOOKUP($A119,'01-02.2022'!$A$6:$DA$376,91,FALSE)</f>
        <v>0</v>
      </c>
      <c r="CN119" s="52">
        <f t="shared" si="97"/>
        <v>0</v>
      </c>
      <c r="CO119" s="39">
        <f t="shared" si="89"/>
        <v>1798.3860574420696</v>
      </c>
      <c r="CP119" s="40">
        <f t="shared" si="98"/>
        <v>959.94530529729388</v>
      </c>
      <c r="CQ119" s="52">
        <f t="shared" si="99"/>
        <v>-838.44075214477573</v>
      </c>
      <c r="CR119" s="72">
        <f t="shared" si="90"/>
        <v>44493.404254123649</v>
      </c>
      <c r="CS119" s="5">
        <f t="shared" si="90"/>
        <v>33557.438635102517</v>
      </c>
      <c r="CT119" s="52">
        <f t="shared" si="100"/>
        <v>-10935.965619021132</v>
      </c>
      <c r="CU119" s="77">
        <f t="shared" si="101"/>
        <v>53392.085104948375</v>
      </c>
      <c r="CV119" s="65">
        <f t="shared" si="102"/>
        <v>40268.92636212302</v>
      </c>
      <c r="CW119" s="35">
        <f t="shared" si="103"/>
        <v>-13123.158742825355</v>
      </c>
      <c r="CX119" s="566">
        <f>VLOOKUP($A119,'01-02.2021'!$A$6:$CZ$403,102,FALSE)+VLOOKUP($A119,'1.3.21-28.2.22'!$A$6:$DA$404,102,FALSE)-VLOOKUP($A119,'01-02.2022'!$A$6:$DA$376,102,FALSE)</f>
        <v>1517.7506957674225</v>
      </c>
      <c r="CY119" s="566">
        <f>VLOOKUP($A119,'01-02.2021'!$A$6:$CZ$403,103,FALSE)+VLOOKUP($A119,'1.3.21-28.2.22'!$A$6:$DA$404,103,FALSE)-VLOOKUP($A119,'01-02.2022'!$A$6:$DA$376,103,FALSE)</f>
        <v>14640.909438592797</v>
      </c>
      <c r="CZ119" s="52">
        <f t="shared" si="104"/>
        <v>13123.158742825373</v>
      </c>
      <c r="DA119" s="150">
        <f>'[2]побудинковий звіт'!DA119</f>
        <v>5533.1540688096266</v>
      </c>
      <c r="DB119" s="2">
        <v>2</v>
      </c>
      <c r="DC119" s="414">
        <f>'[4]побудинковий звіт'!DC119</f>
        <v>10932.23</v>
      </c>
      <c r="DD119" s="414">
        <f>'[4]побудинковий звіт'!DD119</f>
        <v>891.46</v>
      </c>
      <c r="DE119" s="557">
        <f>'[4]побудинковий звіт'!DE119</f>
        <v>6401.9891953987999</v>
      </c>
      <c r="DF119" s="557">
        <f>'[4]побудинковий звіт'!DF119</f>
        <v>445.73392312627658</v>
      </c>
      <c r="DG119" s="321">
        <f>VLOOKUP(A119,'кошти 01.03.2021'!$A$6:$D$401,4,)</f>
        <v>20326.687141900748</v>
      </c>
      <c r="DH119" s="40">
        <f>'[3]побудинковий звіт'!DJ119</f>
        <v>56801.417041632201</v>
      </c>
      <c r="DI119" s="422">
        <f>'[3]побудинковий звіт'!CU119+'[3]побудинковий звіт'!CX119</f>
        <v>4975.966881474923</v>
      </c>
      <c r="DJ119" s="306">
        <f>'[3]побудинковий звіт'!DM119</f>
        <v>6.6057754514453189</v>
      </c>
      <c r="DK119" s="306">
        <f t="shared" si="145"/>
        <v>6.6057754514453189</v>
      </c>
      <c r="DL119" s="306">
        <f>'[3]побудинковий звіт'!DO119</f>
        <v>5.5369698990524654</v>
      </c>
      <c r="DM119" s="28">
        <f t="shared" si="146"/>
        <v>4530.2408046011997</v>
      </c>
      <c r="DN119" s="28">
        <f t="shared" si="147"/>
        <v>445.72607687372346</v>
      </c>
      <c r="DO119" s="423">
        <f t="shared" si="105"/>
        <v>4975.966881474923</v>
      </c>
      <c r="DP119" s="94">
        <f t="shared" si="106"/>
        <v>0</v>
      </c>
      <c r="DQ119" s="28">
        <f t="shared" si="107"/>
        <v>4975.966881474923</v>
      </c>
      <c r="DR119" s="318"/>
      <c r="DT119" s="8"/>
      <c r="DU119" s="5"/>
      <c r="DX119" s="5">
        <f t="shared" si="108"/>
        <v>16186.946557187024</v>
      </c>
      <c r="DY119" s="5">
        <f t="shared" si="109"/>
        <v>4046.3999999999996</v>
      </c>
      <c r="DZ119" s="159">
        <f>'[3]побудинковий звіт'!EA119</f>
        <v>1560.6547468248154</v>
      </c>
    </row>
    <row r="120" spans="1:130" x14ac:dyDescent="0.3">
      <c r="A120" s="325">
        <v>150000607</v>
      </c>
      <c r="B120" s="41" t="s">
        <v>569</v>
      </c>
      <c r="C120" s="42" t="s">
        <v>158</v>
      </c>
      <c r="D120" s="42"/>
      <c r="E120" s="293">
        <f t="shared" si="85"/>
        <v>994.8</v>
      </c>
      <c r="F120" s="305">
        <f>'[3]побудинковий звіт'!F120</f>
        <v>699</v>
      </c>
      <c r="G120" s="508">
        <f>'[3]побудинковий звіт'!G120</f>
        <v>0</v>
      </c>
      <c r="H120" s="560">
        <f>'[3]побудинковий звіт'!H120</f>
        <v>295.8</v>
      </c>
      <c r="I120" s="566">
        <f>VLOOKUP($A120,'01-02.2021'!$A$6:$CZ$403,9,FALSE)+VLOOKUP($A120,'1.3.21-28.2.22'!$A$6:$DA$404,9,FALSE)-VLOOKUP($A120,'01-02.2022'!$A$6:$DA$376,9,FALSE)</f>
        <v>4017.1918084965582</v>
      </c>
      <c r="J120" s="566">
        <f>VLOOKUP($A120,'01-02.2021'!$A$6:$CZ$403,10,FALSE)+VLOOKUP($A120,'1.3.21-28.2.22'!$A$6:$DA$404,10,FALSE)-VLOOKUP($A120,'01-02.2022'!$A$6:$DA$376,10,FALSE)</f>
        <v>4337.1106566442577</v>
      </c>
      <c r="K120" s="52">
        <f t="shared" si="94"/>
        <v>319.91884814769946</v>
      </c>
      <c r="L120" s="566">
        <f>VLOOKUP($A120,'01-02.2021'!$A$6:$CZ$403,12,FALSE)+VLOOKUP($A120,'1.3.21-28.2.22'!$A$6:$DA$404,12,FALSE)-VLOOKUP($A120,'01-02.2022'!$A$6:$DA$376,12,FALSE)</f>
        <v>858.05213822833184</v>
      </c>
      <c r="M120" s="566">
        <f>VLOOKUP($A120,'01-02.2021'!$A$6:$CZ$403,13,FALSE)+VLOOKUP($A120,'1.3.21-28.2.22'!$A$6:$DA$404,13,FALSE)-VLOOKUP($A120,'01-02.2022'!$A$6:$DA$376,13,FALSE)</f>
        <v>944.74475914951847</v>
      </c>
      <c r="N120" s="52">
        <f t="shared" si="95"/>
        <v>86.692620921186631</v>
      </c>
      <c r="O120" s="566">
        <f>VLOOKUP($A120,'01-02.2021'!$A$6:$CZ$403,15,FALSE)+VLOOKUP($A120,'1.3.21-28.2.22'!$A$6:$DA$404,15,FALSE)-VLOOKUP($A120,'01-02.2022'!$A$6:$DA$376,15,FALSE)</f>
        <v>1241.4766269940999</v>
      </c>
      <c r="P120" s="566">
        <f>VLOOKUP($A120,'01-02.2021'!$A$6:$CZ$403,16,FALSE)+VLOOKUP($A120,'1.3.21-28.2.22'!$A$6:$DA$404,16,FALSE)-VLOOKUP($A120,'01-02.2022'!$A$6:$DA$376,16,FALSE)</f>
        <v>1241.4699999999998</v>
      </c>
      <c r="Q120" s="70">
        <f t="shared" si="111"/>
        <v>-6.6269941000882682E-3</v>
      </c>
      <c r="R120" s="566">
        <f>VLOOKUP($A120,'01-02.2021'!$A$6:$CZ$403,18,FALSE)+VLOOKUP($A120,'1.3.21-28.2.22'!$A$6:$DA$404,18,FALSE)-VLOOKUP($A120,'01-02.2022'!$A$6:$DA$376,18,FALSE)</f>
        <v>0</v>
      </c>
      <c r="S120" s="566">
        <f>VLOOKUP($A120,'01-02.2021'!$A$6:$CZ$403,19,FALSE)+VLOOKUP($A120,'1.3.21-28.2.22'!$A$6:$DA$404,19,FALSE)-VLOOKUP($A120,'01-02.2022'!$A$6:$DA$376,19,FALSE)</f>
        <v>0</v>
      </c>
      <c r="T120" s="70">
        <f t="shared" si="112"/>
        <v>0</v>
      </c>
      <c r="U120" s="566">
        <f>VLOOKUP($A120,'01-02.2021'!$A$6:$CZ$403,21,FALSE)+VLOOKUP($A120,'1.3.21-28.2.22'!$A$6:$DA$404,21,FALSE)-VLOOKUP($A120,'01-02.2022'!$A$6:$DA$376,21,FALSE)</f>
        <v>0</v>
      </c>
      <c r="V120" s="566">
        <f>VLOOKUP($A120,'01-02.2021'!$A$6:$CZ$403,22,FALSE)+VLOOKUP($A120,'1.3.21-28.2.22'!$A$6:$DA$404,22,FALSE)-VLOOKUP($A120,'01-02.2022'!$A$6:$DA$376,22,FALSE)</f>
        <v>0</v>
      </c>
      <c r="W120" s="70">
        <f t="shared" si="113"/>
        <v>0</v>
      </c>
      <c r="X120" s="566">
        <f>VLOOKUP($A120,'01-02.2021'!$A$6:$CZ$403,24,FALSE)+VLOOKUP($A120,'1.3.21-28.2.22'!$A$6:$DA$404,24,FALSE)-VLOOKUP($A120,'01-02.2022'!$A$6:$DA$376,24,FALSE)</f>
        <v>1458.9415087329685</v>
      </c>
      <c r="Y120" s="566">
        <f>VLOOKUP($A120,'01-02.2021'!$A$6:$CZ$403,25,FALSE)+VLOOKUP($A120,'1.3.21-28.2.22'!$A$6:$DA$404,25,FALSE)-VLOOKUP($A120,'01-02.2022'!$A$6:$DA$376,25,FALSE)</f>
        <v>1263.1662455794276</v>
      </c>
      <c r="Z120" s="70">
        <f t="shared" si="114"/>
        <v>-195.77526315354089</v>
      </c>
      <c r="AA120" s="566">
        <f>VLOOKUP($A120,'01-02.2021'!$A$6:$CZ$403,27,FALSE)+VLOOKUP($A120,'1.3.21-28.2.22'!$A$6:$DA$404,27,FALSE)-VLOOKUP($A120,'01-02.2022'!$A$6:$DA$376,27,FALSE)</f>
        <v>198.96</v>
      </c>
      <c r="AB120" s="566">
        <f>VLOOKUP($A120,'01-02.2021'!$A$6:$CZ$403,28,FALSE)+VLOOKUP($A120,'1.3.21-28.2.22'!$A$6:$DA$404,28,FALSE)-VLOOKUP($A120,'01-02.2022'!$A$6:$DA$376,28,FALSE)</f>
        <v>0</v>
      </c>
      <c r="AC120" s="70">
        <f t="shared" si="115"/>
        <v>-198.96</v>
      </c>
      <c r="AD120" s="566">
        <f>VLOOKUP($A120,'01-02.2021'!$A$6:$CZ$403,30,FALSE)+VLOOKUP($A120,'1.3.21-28.2.22'!$A$6:$DA$404,30,FALSE)-VLOOKUP($A120,'01-02.2022'!$A$6:$DA$376,30,FALSE)</f>
        <v>4243.6582864228903</v>
      </c>
      <c r="AE120" s="566">
        <f>VLOOKUP($A120,'01-02.2021'!$A$6:$CZ$403,31,FALSE)+VLOOKUP($A120,'1.3.21-28.2.22'!$A$6:$DA$404,31,FALSE)-VLOOKUP($A120,'01-02.2022'!$A$6:$DA$376,31,FALSE)</f>
        <v>4528.3696827306539</v>
      </c>
      <c r="AF120" s="68">
        <f t="shared" si="116"/>
        <v>284.71139630776361</v>
      </c>
      <c r="AG120" s="77">
        <f t="shared" si="86"/>
        <v>12018.280368874848</v>
      </c>
      <c r="AH120" s="53">
        <f t="shared" si="86"/>
        <v>12314.861344103858</v>
      </c>
      <c r="AI120" s="52">
        <f t="shared" si="96"/>
        <v>296.58097522900971</v>
      </c>
      <c r="AJ120" s="566">
        <f>VLOOKUP($A120,'01-02.2021'!$A$6:$CZ$403,36,FALSE)+VLOOKUP($A120,'1.3.21-28.2.22'!$A$6:$DA$404,36,FALSE)-VLOOKUP($A120,'01-02.2022'!$A$6:$DA$376,36,FALSE)</f>
        <v>0</v>
      </c>
      <c r="AK120" s="566">
        <f>VLOOKUP($A120,'01-02.2021'!$A$6:$CZ$403,37,FALSE)+VLOOKUP($A120,'1.3.21-28.2.22'!$A$6:$DA$404,37,FALSE)-VLOOKUP($A120,'01-02.2022'!$A$6:$DA$376,37,FALSE)</f>
        <v>0</v>
      </c>
      <c r="AL120" s="70">
        <f t="shared" si="117"/>
        <v>0</v>
      </c>
      <c r="AM120" s="566">
        <f>VLOOKUP($A120,'01-02.2021'!$A$6:$CZ$403,39,FALSE)+VLOOKUP($A120,'1.3.21-28.2.22'!$A$6:$DA$404,39,FALSE)-VLOOKUP($A120,'01-02.2022'!$A$6:$DA$376,39,FALSE)</f>
        <v>0</v>
      </c>
      <c r="AN120" s="566">
        <f>VLOOKUP($A120,'01-02.2021'!$A$6:$CZ$403,40,FALSE)+VLOOKUP($A120,'1.3.21-28.2.22'!$A$6:$DA$404,40,FALSE)-VLOOKUP($A120,'01-02.2022'!$A$6:$DA$376,40,FALSE)</f>
        <v>0</v>
      </c>
      <c r="AO120" s="70">
        <f t="shared" si="118"/>
        <v>0</v>
      </c>
      <c r="AP120" s="566">
        <f>VLOOKUP($A120,'01-02.2021'!$A$6:$CZ$403,42,FALSE)+VLOOKUP($A120,'1.3.21-28.2.22'!$A$6:$DA$404,42,FALSE)-VLOOKUP($A120,'01-02.2022'!$A$6:$DA$376,42,FALSE)</f>
        <v>1691.8197562915266</v>
      </c>
      <c r="AQ120" s="566">
        <f>VLOOKUP($A120,'01-02.2021'!$A$6:$CZ$403,43,FALSE)+VLOOKUP($A120,'1.3.21-28.2.22'!$A$6:$DA$404,43,FALSE)-VLOOKUP($A120,'01-02.2022'!$A$6:$DA$376,43,FALSE)</f>
        <v>1367.3379863764037</v>
      </c>
      <c r="AR120" s="70">
        <f t="shared" si="119"/>
        <v>-324.48176991512287</v>
      </c>
      <c r="AS120" s="566">
        <f>VLOOKUP($A120,'01-02.2021'!$A$6:$CZ$403,45,FALSE)+VLOOKUP($A120,'1.3.21-28.2.22'!$A$6:$DA$404,45,FALSE)-VLOOKUP($A120,'01-02.2022'!$A$6:$DA$376,45,FALSE)</f>
        <v>10409.683610906421</v>
      </c>
      <c r="AT120" s="566">
        <f>VLOOKUP($A120,'01-02.2021'!$A$6:$CZ$403,46,FALSE)+VLOOKUP($A120,'1.3.21-28.2.22'!$A$6:$DA$404,46,FALSE)-VLOOKUP($A120,'01-02.2022'!$A$6:$DA$376,46,FALSE)</f>
        <v>2834</v>
      </c>
      <c r="AU120" s="78">
        <f t="shared" si="120"/>
        <v>-7575.6836109064207</v>
      </c>
      <c r="AV120" s="566">
        <f>VLOOKUP($A120,'01-02.2021'!$A$6:$CZ$403,48,FALSE)+VLOOKUP($A120,'1.3.21-28.2.22'!$A$6:$DA$404,48,FALSE)-VLOOKUP($A120,'01-02.2022'!$A$6:$DA$376,48,FALSE)</f>
        <v>1279.0843428913174</v>
      </c>
      <c r="AW120" s="566">
        <f>VLOOKUP($A120,'01-02.2021'!$A$6:$CZ$403,49,FALSE)+VLOOKUP($A120,'1.3.21-28.2.22'!$A$6:$DA$404,49,FALSE)-VLOOKUP($A120,'01-02.2022'!$A$6:$DA$376,49,FALSE)</f>
        <v>0</v>
      </c>
      <c r="AX120" s="55">
        <f t="shared" si="121"/>
        <v>-1279.0843428913174</v>
      </c>
      <c r="AY120" s="566">
        <f>VLOOKUP($A120,'01-02.2021'!$A$6:$CZ$403,51,FALSE)+VLOOKUP($A120,'1.3.21-28.2.22'!$A$6:$DA$404,51,FALSE)-VLOOKUP($A120,'01-02.2022'!$A$6:$DA$376,51,FALSE)</f>
        <v>1612.8286863834742</v>
      </c>
      <c r="AZ120" s="566">
        <f>VLOOKUP($A120,'01-02.2021'!$A$6:$CZ$403,52,FALSE)+VLOOKUP($A120,'1.3.21-28.2.22'!$A$6:$DA$404,52,FALSE)-VLOOKUP($A120,'01-02.2022'!$A$6:$DA$376,52,FALSE)</f>
        <v>0</v>
      </c>
      <c r="BA120" s="38">
        <f t="shared" si="122"/>
        <v>-1612.8286863834742</v>
      </c>
      <c r="BB120" s="566">
        <f>VLOOKUP($A120,'01-02.2021'!$A$6:$CZ$403,54,FALSE)+VLOOKUP($A120,'1.3.21-28.2.22'!$A$6:$DA$404,54,FALSE)-VLOOKUP($A120,'01-02.2022'!$A$6:$DA$376,54,FALSE)</f>
        <v>509.85144475980383</v>
      </c>
      <c r="BC120" s="566">
        <f>VLOOKUP($A120,'01-02.2021'!$A$6:$CZ$403,55,FALSE)+VLOOKUP($A120,'1.3.21-28.2.22'!$A$6:$DA$404,55,FALSE)-VLOOKUP($A120,'01-02.2022'!$A$6:$DA$376,55,FALSE)</f>
        <v>0</v>
      </c>
      <c r="BD120" s="55">
        <f t="shared" si="123"/>
        <v>-509.85144475980383</v>
      </c>
      <c r="BE120" s="566">
        <f>VLOOKUP($A120,'01-02.2021'!$A$6:$CZ$403,57,FALSE)+VLOOKUP($A120,'1.3.21-28.2.22'!$A$6:$DA$404,57,FALSE)-VLOOKUP($A120,'01-02.2022'!$A$6:$DA$376,57,FALSE)</f>
        <v>0</v>
      </c>
      <c r="BF120" s="566">
        <f>VLOOKUP($A120,'01-02.2021'!$A$6:$CZ$403,58,FALSE)+VLOOKUP($A120,'1.3.21-28.2.22'!$A$6:$DA$404,58,FALSE)-VLOOKUP($A120,'01-02.2022'!$A$6:$DA$376,58,FALSE)</f>
        <v>0</v>
      </c>
      <c r="BG120" s="55">
        <f t="shared" si="124"/>
        <v>0</v>
      </c>
      <c r="BH120" s="566">
        <f>VLOOKUP($A120,'01-02.2021'!$A$6:$CZ$403,60,FALSE)+VLOOKUP($A120,'1.3.21-28.2.22'!$A$6:$DA$404,60,FALSE)-VLOOKUP($A120,'01-02.2022'!$A$6:$DA$376,60,FALSE)</f>
        <v>0</v>
      </c>
      <c r="BI120" s="566">
        <f>VLOOKUP($A120,'01-02.2021'!$A$6:$CZ$403,61,FALSE)+VLOOKUP($A120,'1.3.21-28.2.22'!$A$6:$DA$404,61,FALSE)-VLOOKUP($A120,'01-02.2022'!$A$6:$DA$376,61,FALSE)</f>
        <v>0</v>
      </c>
      <c r="BJ120" s="55">
        <f t="shared" si="125"/>
        <v>0</v>
      </c>
      <c r="BK120" s="566">
        <f>VLOOKUP($A120,'01-02.2021'!$A$6:$CZ$403,63,FALSE)+VLOOKUP($A120,'1.3.21-28.2.22'!$A$6:$DA$404,63,FALSE)-VLOOKUP($A120,'01-02.2022'!$A$6:$DA$376,63,FALSE)</f>
        <v>156.53332642855568</v>
      </c>
      <c r="BL120" s="566">
        <f>VLOOKUP($A120,'01-02.2021'!$A$6:$CZ$403,64,FALSE)+VLOOKUP($A120,'1.3.21-28.2.22'!$A$6:$DA$404,64,FALSE)-VLOOKUP($A120,'01-02.2022'!$A$6:$DA$376,64,FALSE)</f>
        <v>0</v>
      </c>
      <c r="BM120" s="55">
        <f t="shared" si="126"/>
        <v>-156.53332642855568</v>
      </c>
      <c r="BN120" s="566">
        <f>VLOOKUP($A120,'01-02.2021'!$A$6:$CZ$403,66,FALSE)+VLOOKUP($A120,'1.3.21-28.2.22'!$A$6:$DA$404,66,FALSE)-VLOOKUP($A120,'01-02.2022'!$A$6:$DA$376,66,FALSE)</f>
        <v>49.74</v>
      </c>
      <c r="BO120" s="566">
        <f>VLOOKUP($A120,'01-02.2021'!$A$6:$CZ$403,67,FALSE)+VLOOKUP($A120,'1.3.21-28.2.22'!$A$6:$DA$404,67,FALSE)-VLOOKUP($A120,'01-02.2022'!$A$6:$DA$376,67,FALSE)</f>
        <v>0</v>
      </c>
      <c r="BP120" s="55">
        <f t="shared" si="127"/>
        <v>-49.74</v>
      </c>
      <c r="BQ120" s="77">
        <f t="shared" si="139"/>
        <v>3608.0378004631502</v>
      </c>
      <c r="BR120" s="40">
        <f t="shared" si="140"/>
        <v>0</v>
      </c>
      <c r="BS120" s="55">
        <f t="shared" si="110"/>
        <v>-3608.0378004631502</v>
      </c>
      <c r="BT120" s="566">
        <f>VLOOKUP($A120,'01-02.2021'!$A$6:$CZ$403,72,FALSE)+VLOOKUP($A120,'1.3.21-28.2.22'!$A$6:$DA$404,72,FALSE)-VLOOKUP($A120,'01-02.2022'!$A$6:$DA$376,72,FALSE)</f>
        <v>13443.159039639559</v>
      </c>
      <c r="BU120" s="566">
        <f>VLOOKUP($A120,'01-02.2021'!$A$6:$CZ$403,73,FALSE)+VLOOKUP($A120,'1.3.21-28.2.22'!$A$6:$DA$404,73,FALSE)-VLOOKUP($A120,'01-02.2022'!$A$6:$DA$376,73,FALSE)</f>
        <v>15206.307639954601</v>
      </c>
      <c r="BV120" s="70">
        <f t="shared" si="128"/>
        <v>1763.1486003150421</v>
      </c>
      <c r="BW120" s="566">
        <f>VLOOKUP($A120,'01-02.2021'!$A$6:$CZ$403,75,FALSE)+VLOOKUP($A120,'1.3.21-28.2.22'!$A$6:$DA$404,75,FALSE)-VLOOKUP($A120,'01-02.2022'!$A$6:$DA$376,75,FALSE)</f>
        <v>6253.189836544334</v>
      </c>
      <c r="BX120" s="566">
        <f>VLOOKUP($A120,'01-02.2021'!$A$6:$CZ$403,76,FALSE)+VLOOKUP($A120,'1.3.21-28.2.22'!$A$6:$DA$404,76,FALSE)-VLOOKUP($A120,'01-02.2022'!$A$6:$DA$376,76,FALSE)</f>
        <v>6684.286503536192</v>
      </c>
      <c r="BY120" s="70">
        <f t="shared" si="129"/>
        <v>431.096666991858</v>
      </c>
      <c r="BZ120" s="566">
        <f>VLOOKUP($A120,'01-02.2021'!$A$6:$CZ$403,78,FALSE)+VLOOKUP($A120,'1.3.21-28.2.22'!$A$6:$DA$404,78,FALSE)-VLOOKUP($A120,'01-02.2022'!$A$6:$DA$376,78,FALSE)</f>
        <v>3710.9210216949477</v>
      </c>
      <c r="CA120" s="566">
        <f>VLOOKUP($A120,'01-02.2021'!$A$6:$CZ$403,79,FALSE)+VLOOKUP($A120,'1.3.21-28.2.22'!$A$6:$DA$404,79,FALSE)-VLOOKUP($A120,'01-02.2022'!$A$6:$DA$376,79,FALSE)</f>
        <v>3460.8514626425394</v>
      </c>
      <c r="CB120" s="70">
        <f t="shared" si="130"/>
        <v>-250.06955905240829</v>
      </c>
      <c r="CC120" s="566">
        <f>VLOOKUP($A120,'01-02.2021'!$A$6:$CZ$403,81,FALSE)+VLOOKUP($A120,'1.3.21-28.2.22'!$A$6:$DA$404,81,FALSE)-VLOOKUP($A120,'01-02.2022'!$A$6:$DA$376,81,FALSE)</f>
        <v>520.79568035480941</v>
      </c>
      <c r="CD120" s="566">
        <f>VLOOKUP($A120,'01-02.2021'!$A$6:$CZ$403,82,FALSE)+VLOOKUP($A120,'1.3.21-28.2.22'!$A$6:$DA$404,82,FALSE)-VLOOKUP($A120,'01-02.2022'!$A$6:$DA$376,82,FALSE)</f>
        <v>569.22604324040049</v>
      </c>
      <c r="CE120" s="70">
        <f t="shared" si="131"/>
        <v>48.43036288559108</v>
      </c>
      <c r="CF120" s="566">
        <f>VLOOKUP($A120,'01-02.2021'!$A$6:$CZ$403,84,FALSE)+VLOOKUP($A120,'1.3.21-28.2.22'!$A$6:$DA$404,84,FALSE)-VLOOKUP($A120,'01-02.2022'!$A$6:$DA$376,84,FALSE)</f>
        <v>63.313442850852482</v>
      </c>
      <c r="CG120" s="566">
        <f>VLOOKUP($A120,'01-02.2021'!$A$6:$CZ$403,85,FALSE)+VLOOKUP($A120,'1.3.21-28.2.22'!$A$6:$DA$404,85,FALSE)-VLOOKUP($A120,'01-02.2022'!$A$6:$DA$376,85,FALSE)</f>
        <v>0</v>
      </c>
      <c r="CH120" s="70">
        <f t="shared" si="132"/>
        <v>-63.313442850852482</v>
      </c>
      <c r="CI120" s="566">
        <f>VLOOKUP($A120,'01-02.2021'!$A$6:$CZ$403,87,FALSE)+VLOOKUP($A120,'1.3.21-28.2.22'!$A$6:$DA$404,87,FALSE)-VLOOKUP($A120,'01-02.2022'!$A$6:$DA$376,87,FALSE)</f>
        <v>924.35926131474184</v>
      </c>
      <c r="CJ120" s="566">
        <f>VLOOKUP($A120,'01-02.2021'!$A$6:$CZ$403,88,FALSE)+VLOOKUP($A120,'1.3.21-28.2.22'!$A$6:$DA$404,88,FALSE)-VLOOKUP($A120,'01-02.2022'!$A$6:$DA$376,88,FALSE)</f>
        <v>822.59370467497831</v>
      </c>
      <c r="CK120" s="70">
        <f t="shared" si="133"/>
        <v>-101.76555663976353</v>
      </c>
      <c r="CL120" s="566">
        <f>VLOOKUP($A120,'01-02.2021'!$A$6:$CZ$403,90,FALSE)+VLOOKUP($A120,'1.3.21-28.2.22'!$A$6:$DA$404,90,FALSE)-VLOOKUP($A120,'01-02.2022'!$A$6:$DA$376,90,FALSE)</f>
        <v>0</v>
      </c>
      <c r="CM120" s="566">
        <f>VLOOKUP($A120,'01-02.2021'!$A$6:$CZ$403,91,FALSE)+VLOOKUP($A120,'1.3.21-28.2.22'!$A$6:$DA$404,91,FALSE)-VLOOKUP($A120,'01-02.2022'!$A$6:$DA$376,91,FALSE)</f>
        <v>0</v>
      </c>
      <c r="CN120" s="52">
        <f t="shared" si="97"/>
        <v>0</v>
      </c>
      <c r="CO120" s="39">
        <f t="shared" si="89"/>
        <v>924.35926131474184</v>
      </c>
      <c r="CP120" s="40">
        <f t="shared" si="98"/>
        <v>822.59370467497831</v>
      </c>
      <c r="CQ120" s="52">
        <f t="shared" si="99"/>
        <v>-101.76555663976353</v>
      </c>
      <c r="CR120" s="72">
        <f t="shared" si="90"/>
        <v>52643.55981893518</v>
      </c>
      <c r="CS120" s="5">
        <f t="shared" si="90"/>
        <v>43259.464684528968</v>
      </c>
      <c r="CT120" s="52">
        <f t="shared" si="100"/>
        <v>-9384.0951344062123</v>
      </c>
      <c r="CU120" s="77">
        <f t="shared" si="101"/>
        <v>63172.271782722215</v>
      </c>
      <c r="CV120" s="65">
        <f t="shared" si="102"/>
        <v>51911.357621434763</v>
      </c>
      <c r="CW120" s="35">
        <f t="shared" si="103"/>
        <v>-11260.914161287452</v>
      </c>
      <c r="CX120" s="566">
        <f>VLOOKUP($A120,'01-02.2021'!$A$6:$CZ$403,102,FALSE)+VLOOKUP($A120,'1.3.21-28.2.22'!$A$6:$DA$404,102,FALSE)-VLOOKUP($A120,'01-02.2022'!$A$6:$DA$376,102,FALSE)</f>
        <v>2206.7656927373214</v>
      </c>
      <c r="CY120" s="566">
        <f>VLOOKUP($A120,'01-02.2021'!$A$6:$CZ$403,103,FALSE)+VLOOKUP($A120,'1.3.21-28.2.22'!$A$6:$DA$404,103,FALSE)-VLOOKUP($A120,'01-02.2022'!$A$6:$DA$376,103,FALSE)</f>
        <v>13467.679854024775</v>
      </c>
      <c r="CZ120" s="52">
        <f t="shared" si="104"/>
        <v>11260.914161287454</v>
      </c>
      <c r="DA120" s="150">
        <f>'[2]побудинковий звіт'!DA120</f>
        <v>-24367.880725784136</v>
      </c>
      <c r="DB120" s="2">
        <v>2</v>
      </c>
      <c r="DC120" s="414">
        <f>'[4]побудинковий звіт'!DC120</f>
        <v>5257.8</v>
      </c>
      <c r="DD120" s="414">
        <f>'[4]побудинковий звіт'!DD120</f>
        <v>5804.37</v>
      </c>
      <c r="DE120" s="557">
        <f>'[4]побудинковий звіт'!DE120</f>
        <v>869.1234475812962</v>
      </c>
      <c r="DF120" s="557">
        <f>'[4]побудинковий звіт'!DF120</f>
        <v>4273.9662164641932</v>
      </c>
      <c r="DG120" s="321">
        <f>VLOOKUP(A120,'кошти 01.03.2021'!$A$6:$D$401,4,)</f>
        <v>-10984.59340714863</v>
      </c>
      <c r="DH120" s="40">
        <f>'[3]побудинковий звіт'!DJ120</f>
        <v>67604.272523336724</v>
      </c>
      <c r="DI120" s="422">
        <f>'[3]побудинковий звіт'!CU120+'[3]побудинковий звіт'!CX120</f>
        <v>5919.0803359545098</v>
      </c>
      <c r="DJ120" s="306">
        <f>'[3]побудинковий звіт'!DM120</f>
        <v>6.2785072280668155</v>
      </c>
      <c r="DK120" s="306">
        <f t="shared" si="145"/>
        <v>6.2785072280668155</v>
      </c>
      <c r="DL120" s="306">
        <f>'[3]побудинковий звіт'!DO120</f>
        <v>5.1737788490054317</v>
      </c>
      <c r="DM120" s="28">
        <f t="shared" si="146"/>
        <v>4388.676552418704</v>
      </c>
      <c r="DN120" s="28">
        <f t="shared" si="147"/>
        <v>1530.4037835358067</v>
      </c>
      <c r="DO120" s="423">
        <f t="shared" si="105"/>
        <v>5919.0803359545107</v>
      </c>
      <c r="DP120" s="94">
        <f t="shared" si="106"/>
        <v>0</v>
      </c>
      <c r="DQ120" s="28">
        <f t="shared" si="107"/>
        <v>5919.0803359545107</v>
      </c>
      <c r="DR120" s="318"/>
      <c r="DT120" s="8"/>
      <c r="DU120" s="5"/>
      <c r="DX120" s="5">
        <f t="shared" si="108"/>
        <v>16821.265693643483</v>
      </c>
      <c r="DY120" s="5">
        <f t="shared" si="109"/>
        <v>3400.7999999999997</v>
      </c>
      <c r="DZ120" s="159">
        <f>'[3]побудинковий звіт'!EA120</f>
        <v>1351.4538274552631</v>
      </c>
    </row>
    <row r="121" spans="1:130" x14ac:dyDescent="0.3">
      <c r="A121" s="325">
        <v>150000608</v>
      </c>
      <c r="B121" s="41" t="s">
        <v>570</v>
      </c>
      <c r="C121" s="42" t="s">
        <v>159</v>
      </c>
      <c r="D121" s="42"/>
      <c r="E121" s="293">
        <f t="shared" si="85"/>
        <v>598.30999999999995</v>
      </c>
      <c r="F121" s="305">
        <f>'[3]побудинковий звіт'!F121</f>
        <v>468.01</v>
      </c>
      <c r="G121" s="508">
        <f>'[3]побудинковий звіт'!G121</f>
        <v>0</v>
      </c>
      <c r="H121" s="560">
        <f>'[3]побудинковий звіт'!H121</f>
        <v>130.30000000000001</v>
      </c>
      <c r="I121" s="566">
        <f>VLOOKUP($A121,'01-02.2021'!$A$6:$CZ$403,9,FALSE)+VLOOKUP($A121,'1.3.21-28.2.22'!$A$6:$DA$404,9,FALSE)-VLOOKUP($A121,'01-02.2022'!$A$6:$DA$376,9,FALSE)</f>
        <v>3030.1540296811163</v>
      </c>
      <c r="J121" s="566">
        <f>VLOOKUP($A121,'01-02.2021'!$A$6:$CZ$403,10,FALSE)+VLOOKUP($A121,'1.3.21-28.2.22'!$A$6:$DA$404,10,FALSE)-VLOOKUP($A121,'01-02.2022'!$A$6:$DA$376,10,FALSE)</f>
        <v>3252.495097395999</v>
      </c>
      <c r="K121" s="52">
        <f t="shared" si="94"/>
        <v>222.34106771488268</v>
      </c>
      <c r="L121" s="566">
        <f>VLOOKUP($A121,'01-02.2021'!$A$6:$CZ$403,12,FALSE)+VLOOKUP($A121,'1.3.21-28.2.22'!$A$6:$DA$404,12,FALSE)-VLOOKUP($A121,'01-02.2022'!$A$6:$DA$376,12,FALSE)</f>
        <v>718.15289837068519</v>
      </c>
      <c r="M121" s="566">
        <f>VLOOKUP($A121,'01-02.2021'!$A$6:$CZ$403,13,FALSE)+VLOOKUP($A121,'1.3.21-28.2.22'!$A$6:$DA$404,13,FALSE)-VLOOKUP($A121,'01-02.2022'!$A$6:$DA$376,13,FALSE)</f>
        <v>790.71639148666475</v>
      </c>
      <c r="N121" s="52">
        <f t="shared" si="95"/>
        <v>72.563493115979554</v>
      </c>
      <c r="O121" s="566">
        <f>VLOOKUP($A121,'01-02.2021'!$A$6:$CZ$403,15,FALSE)+VLOOKUP($A121,'1.3.21-28.2.22'!$A$6:$DA$404,15,FALSE)-VLOOKUP($A121,'01-02.2022'!$A$6:$DA$376,15,FALSE)</f>
        <v>756.69140743003334</v>
      </c>
      <c r="P121" s="566">
        <f>VLOOKUP($A121,'01-02.2021'!$A$6:$CZ$403,16,FALSE)+VLOOKUP($A121,'1.3.21-28.2.22'!$A$6:$DA$404,16,FALSE)-VLOOKUP($A121,'01-02.2022'!$A$6:$DA$376,16,FALSE)</f>
        <v>756.68</v>
      </c>
      <c r="Q121" s="70">
        <f t="shared" si="111"/>
        <v>-1.1407430033386845E-2</v>
      </c>
      <c r="R121" s="566">
        <f>VLOOKUP($A121,'01-02.2021'!$A$6:$CZ$403,18,FALSE)+VLOOKUP($A121,'1.3.21-28.2.22'!$A$6:$DA$404,18,FALSE)-VLOOKUP($A121,'01-02.2022'!$A$6:$DA$376,18,FALSE)</f>
        <v>0</v>
      </c>
      <c r="S121" s="566">
        <f>VLOOKUP($A121,'01-02.2021'!$A$6:$CZ$403,19,FALSE)+VLOOKUP($A121,'1.3.21-28.2.22'!$A$6:$DA$404,19,FALSE)-VLOOKUP($A121,'01-02.2022'!$A$6:$DA$376,19,FALSE)</f>
        <v>0</v>
      </c>
      <c r="T121" s="70">
        <f t="shared" si="112"/>
        <v>0</v>
      </c>
      <c r="U121" s="566">
        <f>VLOOKUP($A121,'01-02.2021'!$A$6:$CZ$403,21,FALSE)+VLOOKUP($A121,'1.3.21-28.2.22'!$A$6:$DA$404,21,FALSE)-VLOOKUP($A121,'01-02.2022'!$A$6:$DA$376,21,FALSE)</f>
        <v>0</v>
      </c>
      <c r="V121" s="566">
        <f>VLOOKUP($A121,'01-02.2021'!$A$6:$CZ$403,22,FALSE)+VLOOKUP($A121,'1.3.21-28.2.22'!$A$6:$DA$404,22,FALSE)-VLOOKUP($A121,'01-02.2022'!$A$6:$DA$376,22,FALSE)</f>
        <v>0</v>
      </c>
      <c r="W121" s="70">
        <f t="shared" si="113"/>
        <v>0</v>
      </c>
      <c r="X121" s="566">
        <f>VLOOKUP($A121,'01-02.2021'!$A$6:$CZ$403,24,FALSE)+VLOOKUP($A121,'1.3.21-28.2.22'!$A$6:$DA$404,24,FALSE)-VLOOKUP($A121,'01-02.2022'!$A$6:$DA$376,24,FALSE)</f>
        <v>1048.7219231091631</v>
      </c>
      <c r="Y121" s="566">
        <f>VLOOKUP($A121,'01-02.2021'!$A$6:$CZ$403,25,FALSE)+VLOOKUP($A121,'1.3.21-28.2.22'!$A$6:$DA$404,25,FALSE)-VLOOKUP($A121,'01-02.2022'!$A$6:$DA$376,25,FALSE)</f>
        <v>967.20132501053536</v>
      </c>
      <c r="Z121" s="70">
        <f t="shared" si="114"/>
        <v>-81.520598098627715</v>
      </c>
      <c r="AA121" s="566">
        <f>VLOOKUP($A121,'01-02.2021'!$A$6:$CZ$403,27,FALSE)+VLOOKUP($A121,'1.3.21-28.2.22'!$A$6:$DA$404,27,FALSE)-VLOOKUP($A121,'01-02.2022'!$A$6:$DA$376,27,FALSE)</f>
        <v>117.54200000000002</v>
      </c>
      <c r="AB121" s="566">
        <f>VLOOKUP($A121,'01-02.2021'!$A$6:$CZ$403,28,FALSE)+VLOOKUP($A121,'1.3.21-28.2.22'!$A$6:$DA$404,28,FALSE)-VLOOKUP($A121,'01-02.2022'!$A$6:$DA$376,28,FALSE)</f>
        <v>0</v>
      </c>
      <c r="AC121" s="70">
        <f t="shared" si="115"/>
        <v>-117.54200000000002</v>
      </c>
      <c r="AD121" s="566">
        <f>VLOOKUP($A121,'01-02.2021'!$A$6:$CZ$403,30,FALSE)+VLOOKUP($A121,'1.3.21-28.2.22'!$A$6:$DA$404,30,FALSE)-VLOOKUP($A121,'01-02.2022'!$A$6:$DA$376,30,FALSE)</f>
        <v>2538.9194254539452</v>
      </c>
      <c r="AE121" s="566">
        <f>VLOOKUP($A121,'01-02.2021'!$A$6:$CZ$403,31,FALSE)+VLOOKUP($A121,'1.3.21-28.2.22'!$A$6:$DA$404,31,FALSE)-VLOOKUP($A121,'01-02.2022'!$A$6:$DA$376,31,FALSE)</f>
        <v>2723.5312272563106</v>
      </c>
      <c r="AF121" s="68">
        <f t="shared" si="116"/>
        <v>184.61180180236533</v>
      </c>
      <c r="AG121" s="77">
        <f t="shared" si="86"/>
        <v>8210.1816840449428</v>
      </c>
      <c r="AH121" s="53">
        <f t="shared" si="86"/>
        <v>8490.6240411495091</v>
      </c>
      <c r="AI121" s="52">
        <f t="shared" si="96"/>
        <v>280.44235710456633</v>
      </c>
      <c r="AJ121" s="566">
        <f>VLOOKUP($A121,'01-02.2021'!$A$6:$CZ$403,36,FALSE)+VLOOKUP($A121,'1.3.21-28.2.22'!$A$6:$DA$404,36,FALSE)-VLOOKUP($A121,'01-02.2022'!$A$6:$DA$376,36,FALSE)</f>
        <v>0</v>
      </c>
      <c r="AK121" s="566">
        <f>VLOOKUP($A121,'01-02.2021'!$A$6:$CZ$403,37,FALSE)+VLOOKUP($A121,'1.3.21-28.2.22'!$A$6:$DA$404,37,FALSE)-VLOOKUP($A121,'01-02.2022'!$A$6:$DA$376,37,FALSE)</f>
        <v>0</v>
      </c>
      <c r="AL121" s="70">
        <f t="shared" si="117"/>
        <v>0</v>
      </c>
      <c r="AM121" s="566">
        <f>VLOOKUP($A121,'01-02.2021'!$A$6:$CZ$403,39,FALSE)+VLOOKUP($A121,'1.3.21-28.2.22'!$A$6:$DA$404,39,FALSE)-VLOOKUP($A121,'01-02.2022'!$A$6:$DA$376,39,FALSE)</f>
        <v>0</v>
      </c>
      <c r="AN121" s="566">
        <f>VLOOKUP($A121,'01-02.2021'!$A$6:$CZ$403,40,FALSE)+VLOOKUP($A121,'1.3.21-28.2.22'!$A$6:$DA$404,40,FALSE)-VLOOKUP($A121,'01-02.2022'!$A$6:$DA$376,40,FALSE)</f>
        <v>0</v>
      </c>
      <c r="AO121" s="70">
        <f t="shared" si="118"/>
        <v>0</v>
      </c>
      <c r="AP121" s="566">
        <f>VLOOKUP($A121,'01-02.2021'!$A$6:$CZ$403,42,FALSE)+VLOOKUP($A121,'1.3.21-28.2.22'!$A$6:$DA$404,42,FALSE)-VLOOKUP($A121,'01-02.2022'!$A$6:$DA$376,42,FALSE)</f>
        <v>1127.8798375276845</v>
      </c>
      <c r="AQ121" s="566">
        <f>VLOOKUP($A121,'01-02.2021'!$A$6:$CZ$403,43,FALSE)+VLOOKUP($A121,'1.3.21-28.2.22'!$A$6:$DA$404,43,FALSE)-VLOOKUP($A121,'01-02.2022'!$A$6:$DA$376,43,FALSE)</f>
        <v>892.13113502384499</v>
      </c>
      <c r="AR121" s="70">
        <f t="shared" si="119"/>
        <v>-235.74870250383947</v>
      </c>
      <c r="AS121" s="566">
        <f>VLOOKUP($A121,'01-02.2021'!$A$6:$CZ$403,45,FALSE)+VLOOKUP($A121,'1.3.21-28.2.22'!$A$6:$DA$404,45,FALSE)-VLOOKUP($A121,'01-02.2022'!$A$6:$DA$376,45,FALSE)</f>
        <v>7656.0857321569765</v>
      </c>
      <c r="AT121" s="566">
        <f>VLOOKUP($A121,'01-02.2021'!$A$6:$CZ$403,46,FALSE)+VLOOKUP($A121,'1.3.21-28.2.22'!$A$6:$DA$404,46,FALSE)-VLOOKUP($A121,'01-02.2022'!$A$6:$DA$376,46,FALSE)</f>
        <v>919</v>
      </c>
      <c r="AU121" s="78">
        <f t="shared" si="120"/>
        <v>-6737.0857321569765</v>
      </c>
      <c r="AV121" s="566">
        <f>VLOOKUP($A121,'01-02.2021'!$A$6:$CZ$403,48,FALSE)+VLOOKUP($A121,'1.3.21-28.2.22'!$A$6:$DA$404,48,FALSE)-VLOOKUP($A121,'01-02.2022'!$A$6:$DA$376,48,FALSE)</f>
        <v>973.07365339657588</v>
      </c>
      <c r="AW121" s="566">
        <f>VLOOKUP($A121,'01-02.2021'!$A$6:$CZ$403,49,FALSE)+VLOOKUP($A121,'1.3.21-28.2.22'!$A$6:$DA$404,49,FALSE)-VLOOKUP($A121,'01-02.2022'!$A$6:$DA$376,49,FALSE)</f>
        <v>0</v>
      </c>
      <c r="AX121" s="55">
        <f t="shared" si="121"/>
        <v>-973.07365339657588</v>
      </c>
      <c r="AY121" s="566">
        <f>VLOOKUP($A121,'01-02.2021'!$A$6:$CZ$403,51,FALSE)+VLOOKUP($A121,'1.3.21-28.2.22'!$A$6:$DA$404,51,FALSE)-VLOOKUP($A121,'01-02.2022'!$A$6:$DA$376,51,FALSE)</f>
        <v>1349.919052143639</v>
      </c>
      <c r="AZ121" s="566">
        <f>VLOOKUP($A121,'01-02.2021'!$A$6:$CZ$403,52,FALSE)+VLOOKUP($A121,'1.3.21-28.2.22'!$A$6:$DA$404,52,FALSE)-VLOOKUP($A121,'01-02.2022'!$A$6:$DA$376,52,FALSE)</f>
        <v>0</v>
      </c>
      <c r="BA121" s="38">
        <f t="shared" si="122"/>
        <v>-1349.919052143639</v>
      </c>
      <c r="BB121" s="566">
        <f>VLOOKUP($A121,'01-02.2021'!$A$6:$CZ$403,54,FALSE)+VLOOKUP($A121,'1.3.21-28.2.22'!$A$6:$DA$404,54,FALSE)-VLOOKUP($A121,'01-02.2022'!$A$6:$DA$376,54,FALSE)</f>
        <v>190.91982035961558</v>
      </c>
      <c r="BC121" s="566">
        <f>VLOOKUP($A121,'01-02.2021'!$A$6:$CZ$403,55,FALSE)+VLOOKUP($A121,'1.3.21-28.2.22'!$A$6:$DA$404,55,FALSE)-VLOOKUP($A121,'01-02.2022'!$A$6:$DA$376,55,FALSE)</f>
        <v>0</v>
      </c>
      <c r="BD121" s="55">
        <f t="shared" si="123"/>
        <v>-190.91982035961558</v>
      </c>
      <c r="BE121" s="566">
        <f>VLOOKUP($A121,'01-02.2021'!$A$6:$CZ$403,57,FALSE)+VLOOKUP($A121,'1.3.21-28.2.22'!$A$6:$DA$404,57,FALSE)-VLOOKUP($A121,'01-02.2022'!$A$6:$DA$376,57,FALSE)</f>
        <v>0</v>
      </c>
      <c r="BF121" s="566">
        <f>VLOOKUP($A121,'01-02.2021'!$A$6:$CZ$403,58,FALSE)+VLOOKUP($A121,'1.3.21-28.2.22'!$A$6:$DA$404,58,FALSE)-VLOOKUP($A121,'01-02.2022'!$A$6:$DA$376,58,FALSE)</f>
        <v>0</v>
      </c>
      <c r="BG121" s="55">
        <f t="shared" si="124"/>
        <v>0</v>
      </c>
      <c r="BH121" s="566">
        <f>VLOOKUP($A121,'01-02.2021'!$A$6:$CZ$403,60,FALSE)+VLOOKUP($A121,'1.3.21-28.2.22'!$A$6:$DA$404,60,FALSE)-VLOOKUP($A121,'01-02.2022'!$A$6:$DA$376,60,FALSE)</f>
        <v>0</v>
      </c>
      <c r="BI121" s="566">
        <f>VLOOKUP($A121,'01-02.2021'!$A$6:$CZ$403,61,FALSE)+VLOOKUP($A121,'1.3.21-28.2.22'!$A$6:$DA$404,61,FALSE)-VLOOKUP($A121,'01-02.2022'!$A$6:$DA$376,61,FALSE)</f>
        <v>0</v>
      </c>
      <c r="BJ121" s="55">
        <f t="shared" si="125"/>
        <v>0</v>
      </c>
      <c r="BK121" s="566">
        <f>VLOOKUP($A121,'01-02.2021'!$A$6:$CZ$403,63,FALSE)+VLOOKUP($A121,'1.3.21-28.2.22'!$A$6:$DA$404,63,FALSE)-VLOOKUP($A121,'01-02.2022'!$A$6:$DA$376,63,FALSE)</f>
        <v>104.41206486093597</v>
      </c>
      <c r="BL121" s="566">
        <f>VLOOKUP($A121,'01-02.2021'!$A$6:$CZ$403,64,FALSE)+VLOOKUP($A121,'1.3.21-28.2.22'!$A$6:$DA$404,64,FALSE)-VLOOKUP($A121,'01-02.2022'!$A$6:$DA$376,64,FALSE)</f>
        <v>0</v>
      </c>
      <c r="BM121" s="55">
        <f t="shared" si="126"/>
        <v>-104.41206486093597</v>
      </c>
      <c r="BN121" s="566">
        <f>VLOOKUP($A121,'01-02.2021'!$A$6:$CZ$403,66,FALSE)+VLOOKUP($A121,'1.3.21-28.2.22'!$A$6:$DA$404,66,FALSE)-VLOOKUP($A121,'01-02.2022'!$A$6:$DA$376,66,FALSE)</f>
        <v>29.385500000000004</v>
      </c>
      <c r="BO121" s="566">
        <f>VLOOKUP($A121,'01-02.2021'!$A$6:$CZ$403,67,FALSE)+VLOOKUP($A121,'1.3.21-28.2.22'!$A$6:$DA$404,67,FALSE)-VLOOKUP($A121,'01-02.2022'!$A$6:$DA$376,67,FALSE)</f>
        <v>0</v>
      </c>
      <c r="BP121" s="55">
        <f t="shared" si="127"/>
        <v>-29.385500000000004</v>
      </c>
      <c r="BQ121" s="77">
        <f t="shared" si="139"/>
        <v>2647.7100907607664</v>
      </c>
      <c r="BR121" s="40">
        <f t="shared" si="140"/>
        <v>0</v>
      </c>
      <c r="BS121" s="55">
        <f t="shared" si="110"/>
        <v>-2647.7100907607664</v>
      </c>
      <c r="BT121" s="566">
        <f>VLOOKUP($A121,'01-02.2021'!$A$6:$CZ$403,72,FALSE)+VLOOKUP($A121,'1.3.21-28.2.22'!$A$6:$DA$404,72,FALSE)-VLOOKUP($A121,'01-02.2022'!$A$6:$DA$376,72,FALSE)</f>
        <v>6016.567837453159</v>
      </c>
      <c r="BU121" s="566">
        <f>VLOOKUP($A121,'01-02.2021'!$A$6:$CZ$403,73,FALSE)+VLOOKUP($A121,'1.3.21-28.2.22'!$A$6:$DA$404,73,FALSE)-VLOOKUP($A121,'01-02.2022'!$A$6:$DA$376,73,FALSE)</f>
        <v>6540.4278144527989</v>
      </c>
      <c r="BV121" s="70">
        <f t="shared" si="128"/>
        <v>523.85997699963991</v>
      </c>
      <c r="BW121" s="566">
        <f>VLOOKUP($A121,'01-02.2021'!$A$6:$CZ$403,75,FALSE)+VLOOKUP($A121,'1.3.21-28.2.22'!$A$6:$DA$404,75,FALSE)-VLOOKUP($A121,'01-02.2022'!$A$6:$DA$376,75,FALSE)</f>
        <v>4399.2537221777302</v>
      </c>
      <c r="BX121" s="566">
        <f>VLOOKUP($A121,'01-02.2021'!$A$6:$CZ$403,76,FALSE)+VLOOKUP($A121,'1.3.21-28.2.22'!$A$6:$DA$404,76,FALSE)-VLOOKUP($A121,'01-02.2022'!$A$6:$DA$376,76,FALSE)</f>
        <v>4062.8517744185301</v>
      </c>
      <c r="BY121" s="70">
        <f t="shared" si="129"/>
        <v>-336.40194775920008</v>
      </c>
      <c r="BZ121" s="566">
        <f>VLOOKUP($A121,'01-02.2021'!$A$6:$CZ$403,78,FALSE)+VLOOKUP($A121,'1.3.21-28.2.22'!$A$6:$DA$404,78,FALSE)-VLOOKUP($A121,'01-02.2022'!$A$6:$DA$376,78,FALSE)</f>
        <v>2678.0209923974039</v>
      </c>
      <c r="CA121" s="566">
        <f>VLOOKUP($A121,'01-02.2021'!$A$6:$CZ$403,79,FALSE)+VLOOKUP($A121,'1.3.21-28.2.22'!$A$6:$DA$404,79,FALSE)-VLOOKUP($A121,'01-02.2022'!$A$6:$DA$376,79,FALSE)</f>
        <v>1415.4564905877278</v>
      </c>
      <c r="CB121" s="70">
        <f t="shared" si="130"/>
        <v>-1262.5645018096761</v>
      </c>
      <c r="CC121" s="566">
        <f>VLOOKUP($A121,'01-02.2021'!$A$6:$CZ$403,81,FALSE)+VLOOKUP($A121,'1.3.21-28.2.22'!$A$6:$DA$404,81,FALSE)-VLOOKUP($A121,'01-02.2022'!$A$6:$DA$376,81,FALSE)</f>
        <v>427.31953259881794</v>
      </c>
      <c r="CD121" s="566">
        <f>VLOOKUP($A121,'01-02.2021'!$A$6:$CZ$403,82,FALSE)+VLOOKUP($A121,'1.3.21-28.2.22'!$A$6:$DA$404,82,FALSE)-VLOOKUP($A121,'01-02.2022'!$A$6:$DA$376,82,FALSE)</f>
        <v>467.05726624853378</v>
      </c>
      <c r="CE121" s="70">
        <f t="shared" si="131"/>
        <v>39.737733649715835</v>
      </c>
      <c r="CF121" s="566">
        <f>VLOOKUP($A121,'01-02.2021'!$A$6:$CZ$403,84,FALSE)+VLOOKUP($A121,'1.3.21-28.2.22'!$A$6:$DA$404,84,FALSE)-VLOOKUP($A121,'01-02.2022'!$A$6:$DA$376,84,FALSE)</f>
        <v>51.949491569930245</v>
      </c>
      <c r="CG121" s="566">
        <f>VLOOKUP($A121,'01-02.2021'!$A$6:$CZ$403,85,FALSE)+VLOOKUP($A121,'1.3.21-28.2.22'!$A$6:$DA$404,85,FALSE)-VLOOKUP($A121,'01-02.2022'!$A$6:$DA$376,85,FALSE)</f>
        <v>0</v>
      </c>
      <c r="CH121" s="70">
        <f t="shared" si="132"/>
        <v>-51.949491569930245</v>
      </c>
      <c r="CI121" s="566">
        <f>VLOOKUP($A121,'01-02.2021'!$A$6:$CZ$403,87,FALSE)+VLOOKUP($A121,'1.3.21-28.2.22'!$A$6:$DA$404,87,FALSE)-VLOOKUP($A121,'01-02.2022'!$A$6:$DA$376,87,FALSE)</f>
        <v>1765.7231701487945</v>
      </c>
      <c r="CJ121" s="566">
        <f>VLOOKUP($A121,'01-02.2021'!$A$6:$CZ$403,88,FALSE)+VLOOKUP($A121,'1.3.21-28.2.22'!$A$6:$DA$404,88,FALSE)-VLOOKUP($A121,'01-02.2022'!$A$6:$DA$376,88,FALSE)</f>
        <v>2488.9609170028148</v>
      </c>
      <c r="CK121" s="70">
        <f t="shared" si="133"/>
        <v>723.23774685402032</v>
      </c>
      <c r="CL121" s="566">
        <f>VLOOKUP($A121,'01-02.2021'!$A$6:$CZ$403,90,FALSE)+VLOOKUP($A121,'1.3.21-28.2.22'!$A$6:$DA$404,90,FALSE)-VLOOKUP($A121,'01-02.2022'!$A$6:$DA$376,90,FALSE)</f>
        <v>0</v>
      </c>
      <c r="CM121" s="566">
        <f>VLOOKUP($A121,'01-02.2021'!$A$6:$CZ$403,91,FALSE)+VLOOKUP($A121,'1.3.21-28.2.22'!$A$6:$DA$404,91,FALSE)-VLOOKUP($A121,'01-02.2022'!$A$6:$DA$376,91,FALSE)</f>
        <v>0</v>
      </c>
      <c r="CN121" s="52">
        <f t="shared" si="97"/>
        <v>0</v>
      </c>
      <c r="CO121" s="39">
        <f t="shared" si="89"/>
        <v>1765.7231701487945</v>
      </c>
      <c r="CP121" s="40">
        <f t="shared" si="98"/>
        <v>2488.9609170028148</v>
      </c>
      <c r="CQ121" s="52">
        <f t="shared" si="99"/>
        <v>723.23774685402032</v>
      </c>
      <c r="CR121" s="72">
        <f t="shared" si="90"/>
        <v>34980.692090836208</v>
      </c>
      <c r="CS121" s="5">
        <f t="shared" si="90"/>
        <v>25276.509438883757</v>
      </c>
      <c r="CT121" s="52">
        <f t="shared" si="100"/>
        <v>-9704.1826519524511</v>
      </c>
      <c r="CU121" s="77">
        <f t="shared" si="101"/>
        <v>41976.830509003448</v>
      </c>
      <c r="CV121" s="65">
        <f t="shared" si="102"/>
        <v>30331.811326660507</v>
      </c>
      <c r="CW121" s="35">
        <f t="shared" si="103"/>
        <v>-11645.019182342941</v>
      </c>
      <c r="CX121" s="566">
        <f>VLOOKUP($A121,'01-02.2021'!$A$6:$CZ$403,102,FALSE)+VLOOKUP($A121,'1.3.21-28.2.22'!$A$6:$DA$404,102,FALSE)-VLOOKUP($A121,'01-02.2022'!$A$6:$DA$376,102,FALSE)</f>
        <v>771.57302878932819</v>
      </c>
      <c r="CY121" s="566">
        <f>VLOOKUP($A121,'01-02.2021'!$A$6:$CZ$403,103,FALSE)+VLOOKUP($A121,'1.3.21-28.2.22'!$A$6:$DA$404,103,FALSE)-VLOOKUP($A121,'01-02.2022'!$A$6:$DA$376,103,FALSE)</f>
        <v>12416.59221113226</v>
      </c>
      <c r="CZ121" s="52">
        <f t="shared" si="104"/>
        <v>11645.019182342932</v>
      </c>
      <c r="DA121" s="150">
        <f>'[2]побудинковий звіт'!DA121</f>
        <v>-12281.810433004573</v>
      </c>
      <c r="DB121" s="2">
        <v>2</v>
      </c>
      <c r="DC121" s="414">
        <f>'[4]побудинковий звіт'!DC121</f>
        <v>7568.34</v>
      </c>
      <c r="DD121" s="414">
        <f>'[4]побудинковий звіт'!DD121</f>
        <v>1880.23</v>
      </c>
      <c r="DE121" s="557">
        <f>'[4]побудинковий звіт'!DE121</f>
        <v>4402.445636774366</v>
      </c>
      <c r="DF121" s="557">
        <f>'[4]побудинковий звіт'!DF121</f>
        <v>1145.6993799405286</v>
      </c>
      <c r="DG121" s="321">
        <f>VLOOKUP(A121,'кошти 01.03.2021'!$A$6:$D$401,4,)</f>
        <v>-1368.1022905412945</v>
      </c>
      <c r="DH121" s="40">
        <f>'[3]побудинковий звіт'!DJ121</f>
        <v>44348.676730573396</v>
      </c>
      <c r="DI121" s="422">
        <f>'[3]побудинковий звіт'!CU121+'[3]побудинковий звіт'!CX121</f>
        <v>3900.4249832851051</v>
      </c>
      <c r="DJ121" s="306">
        <f>'[3]побудинковий звіт'!DM121</f>
        <v>6.7645870028965929</v>
      </c>
      <c r="DK121" s="306">
        <f t="shared" si="145"/>
        <v>6.7645870028965929</v>
      </c>
      <c r="DL121" s="306">
        <f>'[3]побудинковий звіт'!DO121</f>
        <v>5.6372265545623286</v>
      </c>
      <c r="DM121" s="28">
        <f t="shared" si="146"/>
        <v>3165.8943632256342</v>
      </c>
      <c r="DN121" s="28">
        <f t="shared" si="147"/>
        <v>734.53062005947152</v>
      </c>
      <c r="DO121" s="423">
        <f t="shared" si="105"/>
        <v>3900.4249832851056</v>
      </c>
      <c r="DP121" s="94">
        <f t="shared" si="106"/>
        <v>0</v>
      </c>
      <c r="DQ121" s="28">
        <f t="shared" si="107"/>
        <v>3900.4249832851056</v>
      </c>
      <c r="DR121" s="318"/>
      <c r="DT121" s="8"/>
      <c r="DU121" s="5"/>
      <c r="DX121" s="5">
        <f t="shared" si="108"/>
        <v>12364.554987501289</v>
      </c>
      <c r="DY121" s="5">
        <f t="shared" si="109"/>
        <v>1102.8</v>
      </c>
      <c r="DZ121" s="159">
        <f>'[3]побудинковий звіт'!EA121</f>
        <v>1039.8432999331446</v>
      </c>
    </row>
    <row r="122" spans="1:130" x14ac:dyDescent="0.3">
      <c r="A122" s="325">
        <v>150000609</v>
      </c>
      <c r="B122" s="41" t="s">
        <v>571</v>
      </c>
      <c r="C122" s="42" t="s">
        <v>160</v>
      </c>
      <c r="D122" s="42"/>
      <c r="E122" s="293">
        <f t="shared" si="85"/>
        <v>465.59999999999997</v>
      </c>
      <c r="F122" s="305">
        <f>'[3]побудинковий звіт'!F122</f>
        <v>349.9</v>
      </c>
      <c r="G122" s="508">
        <f>'[3]побудинковий звіт'!G122</f>
        <v>0</v>
      </c>
      <c r="H122" s="560">
        <f>'[3]побудинковий звіт'!H122</f>
        <v>115.7</v>
      </c>
      <c r="I122" s="566">
        <f>VLOOKUP($A122,'01-02.2021'!$A$6:$CZ$403,9,FALSE)+VLOOKUP($A122,'1.3.21-28.2.22'!$A$6:$DA$404,9,FALSE)-VLOOKUP($A122,'01-02.2022'!$A$6:$DA$376,9,FALSE)</f>
        <v>1903.9229793049085</v>
      </c>
      <c r="J122" s="566">
        <f>VLOOKUP($A122,'01-02.2021'!$A$6:$CZ$403,10,FALSE)+VLOOKUP($A122,'1.3.21-28.2.22'!$A$6:$DA$404,10,FALSE)-VLOOKUP($A122,'01-02.2022'!$A$6:$DA$376,10,FALSE)</f>
        <v>2048.7409846754786</v>
      </c>
      <c r="K122" s="52">
        <f t="shared" si="94"/>
        <v>144.81800537057006</v>
      </c>
      <c r="L122" s="566">
        <f>VLOOKUP($A122,'01-02.2021'!$A$6:$CZ$403,12,FALSE)+VLOOKUP($A122,'1.3.21-28.2.22'!$A$6:$DA$404,12,FALSE)-VLOOKUP($A122,'01-02.2022'!$A$6:$DA$376,12,FALSE)</f>
        <v>689.61505562333832</v>
      </c>
      <c r="M122" s="566">
        <f>VLOOKUP($A122,'01-02.2021'!$A$6:$CZ$403,13,FALSE)+VLOOKUP($A122,'1.3.21-28.2.22'!$A$6:$DA$404,13,FALSE)-VLOOKUP($A122,'01-02.2022'!$A$6:$DA$376,13,FALSE)</f>
        <v>759.2904009969069</v>
      </c>
      <c r="N122" s="52">
        <f t="shared" si="95"/>
        <v>69.675345373568575</v>
      </c>
      <c r="O122" s="566">
        <f>VLOOKUP($A122,'01-02.2021'!$A$6:$CZ$403,15,FALSE)+VLOOKUP($A122,'1.3.21-28.2.22'!$A$6:$DA$404,15,FALSE)-VLOOKUP($A122,'01-02.2022'!$A$6:$DA$376,15,FALSE)</f>
        <v>616.44119742733335</v>
      </c>
      <c r="P122" s="566">
        <f>VLOOKUP($A122,'01-02.2021'!$A$6:$CZ$403,16,FALSE)+VLOOKUP($A122,'1.3.21-28.2.22'!$A$6:$DA$404,16,FALSE)-VLOOKUP($A122,'01-02.2022'!$A$6:$DA$376,16,FALSE)</f>
        <v>616.42999999999995</v>
      </c>
      <c r="Q122" s="70">
        <f t="shared" si="111"/>
        <v>-1.1197427333399901E-2</v>
      </c>
      <c r="R122" s="566">
        <f>VLOOKUP($A122,'01-02.2021'!$A$6:$CZ$403,18,FALSE)+VLOOKUP($A122,'1.3.21-28.2.22'!$A$6:$DA$404,18,FALSE)-VLOOKUP($A122,'01-02.2022'!$A$6:$DA$376,18,FALSE)</f>
        <v>0</v>
      </c>
      <c r="S122" s="566">
        <f>VLOOKUP($A122,'01-02.2021'!$A$6:$CZ$403,19,FALSE)+VLOOKUP($A122,'1.3.21-28.2.22'!$A$6:$DA$404,19,FALSE)-VLOOKUP($A122,'01-02.2022'!$A$6:$DA$376,19,FALSE)</f>
        <v>0</v>
      </c>
      <c r="T122" s="70">
        <f t="shared" si="112"/>
        <v>0</v>
      </c>
      <c r="U122" s="566">
        <f>VLOOKUP($A122,'01-02.2021'!$A$6:$CZ$403,21,FALSE)+VLOOKUP($A122,'1.3.21-28.2.22'!$A$6:$DA$404,21,FALSE)-VLOOKUP($A122,'01-02.2022'!$A$6:$DA$376,21,FALSE)</f>
        <v>0</v>
      </c>
      <c r="V122" s="566">
        <f>VLOOKUP($A122,'01-02.2021'!$A$6:$CZ$403,22,FALSE)+VLOOKUP($A122,'1.3.21-28.2.22'!$A$6:$DA$404,22,FALSE)-VLOOKUP($A122,'01-02.2022'!$A$6:$DA$376,22,FALSE)</f>
        <v>0</v>
      </c>
      <c r="W122" s="70">
        <f t="shared" si="113"/>
        <v>0</v>
      </c>
      <c r="X122" s="566">
        <f>VLOOKUP($A122,'01-02.2021'!$A$6:$CZ$403,24,FALSE)+VLOOKUP($A122,'1.3.21-28.2.22'!$A$6:$DA$404,24,FALSE)-VLOOKUP($A122,'01-02.2022'!$A$6:$DA$376,24,FALSE)</f>
        <v>1048.7219231091631</v>
      </c>
      <c r="Y122" s="566">
        <f>VLOOKUP($A122,'01-02.2021'!$A$6:$CZ$403,25,FALSE)+VLOOKUP($A122,'1.3.21-28.2.22'!$A$6:$DA$404,25,FALSE)-VLOOKUP($A122,'01-02.2022'!$A$6:$DA$376,25,FALSE)</f>
        <v>967.20793848241544</v>
      </c>
      <c r="Z122" s="70">
        <f t="shared" si="114"/>
        <v>-81.513984626747629</v>
      </c>
      <c r="AA122" s="566">
        <f>VLOOKUP($A122,'01-02.2021'!$A$6:$CZ$403,27,FALSE)+VLOOKUP($A122,'1.3.21-28.2.22'!$A$6:$DA$404,27,FALSE)-VLOOKUP($A122,'01-02.2022'!$A$6:$DA$376,27,FALSE)</f>
        <v>92.929999999999993</v>
      </c>
      <c r="AB122" s="566">
        <f>VLOOKUP($A122,'01-02.2021'!$A$6:$CZ$403,28,FALSE)+VLOOKUP($A122,'1.3.21-28.2.22'!$A$6:$DA$404,28,FALSE)-VLOOKUP($A122,'01-02.2022'!$A$6:$DA$376,28,FALSE)</f>
        <v>0</v>
      </c>
      <c r="AC122" s="70">
        <f t="shared" si="115"/>
        <v>-92.929999999999993</v>
      </c>
      <c r="AD122" s="566">
        <f>VLOOKUP($A122,'01-02.2021'!$A$6:$CZ$403,30,FALSE)+VLOOKUP($A122,'1.3.21-28.2.22'!$A$6:$DA$404,30,FALSE)-VLOOKUP($A122,'01-02.2022'!$A$6:$DA$376,30,FALSE)</f>
        <v>1986.6849291997812</v>
      </c>
      <c r="AE122" s="566">
        <f>VLOOKUP($A122,'01-02.2021'!$A$6:$CZ$403,31,FALSE)+VLOOKUP($A122,'1.3.21-28.2.22'!$A$6:$DA$404,31,FALSE)-VLOOKUP($A122,'01-02.2022'!$A$6:$DA$376,31,FALSE)</f>
        <v>2120.3663445341599</v>
      </c>
      <c r="AF122" s="68">
        <f t="shared" si="116"/>
        <v>133.6814153343787</v>
      </c>
      <c r="AG122" s="77">
        <f t="shared" si="86"/>
        <v>6338.3160846645251</v>
      </c>
      <c r="AH122" s="53">
        <f t="shared" si="86"/>
        <v>6512.0356686889609</v>
      </c>
      <c r="AI122" s="52">
        <f t="shared" si="96"/>
        <v>173.71958402443579</v>
      </c>
      <c r="AJ122" s="566">
        <f>VLOOKUP($A122,'01-02.2021'!$A$6:$CZ$403,36,FALSE)+VLOOKUP($A122,'1.3.21-28.2.22'!$A$6:$DA$404,36,FALSE)-VLOOKUP($A122,'01-02.2022'!$A$6:$DA$376,36,FALSE)</f>
        <v>0</v>
      </c>
      <c r="AK122" s="566">
        <f>VLOOKUP($A122,'01-02.2021'!$A$6:$CZ$403,37,FALSE)+VLOOKUP($A122,'1.3.21-28.2.22'!$A$6:$DA$404,37,FALSE)-VLOOKUP($A122,'01-02.2022'!$A$6:$DA$376,37,FALSE)</f>
        <v>0</v>
      </c>
      <c r="AL122" s="70">
        <f t="shared" si="117"/>
        <v>0</v>
      </c>
      <c r="AM122" s="566">
        <f>VLOOKUP($A122,'01-02.2021'!$A$6:$CZ$403,39,FALSE)+VLOOKUP($A122,'1.3.21-28.2.22'!$A$6:$DA$404,39,FALSE)-VLOOKUP($A122,'01-02.2022'!$A$6:$DA$376,39,FALSE)</f>
        <v>0</v>
      </c>
      <c r="AN122" s="566">
        <f>VLOOKUP($A122,'01-02.2021'!$A$6:$CZ$403,40,FALSE)+VLOOKUP($A122,'1.3.21-28.2.22'!$A$6:$DA$404,40,FALSE)-VLOOKUP($A122,'01-02.2022'!$A$6:$DA$376,40,FALSE)</f>
        <v>0</v>
      </c>
      <c r="AO122" s="70">
        <f t="shared" si="118"/>
        <v>0</v>
      </c>
      <c r="AP122" s="566">
        <f>VLOOKUP($A122,'01-02.2021'!$A$6:$CZ$403,42,FALSE)+VLOOKUP($A122,'1.3.21-28.2.22'!$A$6:$DA$404,42,FALSE)-VLOOKUP($A122,'01-02.2022'!$A$6:$DA$376,42,FALSE)</f>
        <v>780.83988751916593</v>
      </c>
      <c r="AQ122" s="566">
        <f>VLOOKUP($A122,'01-02.2021'!$A$6:$CZ$403,43,FALSE)+VLOOKUP($A122,'1.3.21-28.2.22'!$A$6:$DA$404,43,FALSE)-VLOOKUP($A122,'01-02.2022'!$A$6:$DA$376,43,FALSE)</f>
        <v>673.94008971487574</v>
      </c>
      <c r="AR122" s="70">
        <f t="shared" si="119"/>
        <v>-106.89979780429019</v>
      </c>
      <c r="AS122" s="566">
        <f>VLOOKUP($A122,'01-02.2021'!$A$6:$CZ$403,45,FALSE)+VLOOKUP($A122,'1.3.21-28.2.22'!$A$6:$DA$404,45,FALSE)-VLOOKUP($A122,'01-02.2022'!$A$6:$DA$376,45,FALSE)</f>
        <v>6589.7894061246716</v>
      </c>
      <c r="AT122" s="566">
        <f>VLOOKUP($A122,'01-02.2021'!$A$6:$CZ$403,46,FALSE)+VLOOKUP($A122,'1.3.21-28.2.22'!$A$6:$DA$404,46,FALSE)-VLOOKUP($A122,'01-02.2022'!$A$6:$DA$376,46,FALSE)</f>
        <v>251</v>
      </c>
      <c r="AU122" s="78">
        <f t="shared" si="120"/>
        <v>-6338.7894061246716</v>
      </c>
      <c r="AV122" s="566">
        <f>VLOOKUP($A122,'01-02.2021'!$A$6:$CZ$403,48,FALSE)+VLOOKUP($A122,'1.3.21-28.2.22'!$A$6:$DA$404,48,FALSE)-VLOOKUP($A122,'01-02.2022'!$A$6:$DA$376,48,FALSE)</f>
        <v>687.14940233783534</v>
      </c>
      <c r="AW122" s="566">
        <f>VLOOKUP($A122,'01-02.2021'!$A$6:$CZ$403,49,FALSE)+VLOOKUP($A122,'1.3.21-28.2.22'!$A$6:$DA$404,49,FALSE)-VLOOKUP($A122,'01-02.2022'!$A$6:$DA$376,49,FALSE)</f>
        <v>0</v>
      </c>
      <c r="AX122" s="55">
        <f t="shared" si="121"/>
        <v>-687.14940233783534</v>
      </c>
      <c r="AY122" s="566">
        <f>VLOOKUP($A122,'01-02.2021'!$A$6:$CZ$403,51,FALSE)+VLOOKUP($A122,'1.3.21-28.2.22'!$A$6:$DA$404,51,FALSE)-VLOOKUP($A122,'01-02.2022'!$A$6:$DA$376,51,FALSE)</f>
        <v>1296.1731514214791</v>
      </c>
      <c r="AZ122" s="566">
        <f>VLOOKUP($A122,'01-02.2021'!$A$6:$CZ$403,52,FALSE)+VLOOKUP($A122,'1.3.21-28.2.22'!$A$6:$DA$404,52,FALSE)-VLOOKUP($A122,'01-02.2022'!$A$6:$DA$376,52,FALSE)</f>
        <v>0</v>
      </c>
      <c r="BA122" s="38">
        <f t="shared" si="122"/>
        <v>-1296.1731514214791</v>
      </c>
      <c r="BB122" s="566">
        <f>VLOOKUP($A122,'01-02.2021'!$A$6:$CZ$403,54,FALSE)+VLOOKUP($A122,'1.3.21-28.2.22'!$A$6:$DA$404,54,FALSE)-VLOOKUP($A122,'01-02.2022'!$A$6:$DA$376,54,FALSE)</f>
        <v>182.206422543466</v>
      </c>
      <c r="BC122" s="566">
        <f>VLOOKUP($A122,'01-02.2021'!$A$6:$CZ$403,55,FALSE)+VLOOKUP($A122,'1.3.21-28.2.22'!$A$6:$DA$404,55,FALSE)-VLOOKUP($A122,'01-02.2022'!$A$6:$DA$376,55,FALSE)</f>
        <v>0</v>
      </c>
      <c r="BD122" s="55">
        <f t="shared" si="123"/>
        <v>-182.206422543466</v>
      </c>
      <c r="BE122" s="566">
        <f>VLOOKUP($A122,'01-02.2021'!$A$6:$CZ$403,57,FALSE)+VLOOKUP($A122,'1.3.21-28.2.22'!$A$6:$DA$404,57,FALSE)-VLOOKUP($A122,'01-02.2022'!$A$6:$DA$376,57,FALSE)</f>
        <v>0</v>
      </c>
      <c r="BF122" s="566">
        <f>VLOOKUP($A122,'01-02.2021'!$A$6:$CZ$403,58,FALSE)+VLOOKUP($A122,'1.3.21-28.2.22'!$A$6:$DA$404,58,FALSE)-VLOOKUP($A122,'01-02.2022'!$A$6:$DA$376,58,FALSE)</f>
        <v>0</v>
      </c>
      <c r="BG122" s="55">
        <f t="shared" si="124"/>
        <v>0</v>
      </c>
      <c r="BH122" s="566">
        <f>VLOOKUP($A122,'01-02.2021'!$A$6:$CZ$403,60,FALSE)+VLOOKUP($A122,'1.3.21-28.2.22'!$A$6:$DA$404,60,FALSE)-VLOOKUP($A122,'01-02.2022'!$A$6:$DA$376,60,FALSE)</f>
        <v>0</v>
      </c>
      <c r="BI122" s="566">
        <f>VLOOKUP($A122,'01-02.2021'!$A$6:$CZ$403,61,FALSE)+VLOOKUP($A122,'1.3.21-28.2.22'!$A$6:$DA$404,61,FALSE)-VLOOKUP($A122,'01-02.2022'!$A$6:$DA$376,61,FALSE)</f>
        <v>0</v>
      </c>
      <c r="BJ122" s="55">
        <f t="shared" si="125"/>
        <v>0</v>
      </c>
      <c r="BK122" s="566">
        <f>VLOOKUP($A122,'01-02.2021'!$A$6:$CZ$403,63,FALSE)+VLOOKUP($A122,'1.3.21-28.2.22'!$A$6:$DA$404,63,FALSE)-VLOOKUP($A122,'01-02.2022'!$A$6:$DA$376,63,FALSE)</f>
        <v>104.41206486093597</v>
      </c>
      <c r="BL122" s="566">
        <f>VLOOKUP($A122,'01-02.2021'!$A$6:$CZ$403,64,FALSE)+VLOOKUP($A122,'1.3.21-28.2.22'!$A$6:$DA$404,64,FALSE)-VLOOKUP($A122,'01-02.2022'!$A$6:$DA$376,64,FALSE)</f>
        <v>0</v>
      </c>
      <c r="BM122" s="55">
        <f t="shared" si="126"/>
        <v>-104.41206486093597</v>
      </c>
      <c r="BN122" s="566">
        <f>VLOOKUP($A122,'01-02.2021'!$A$6:$CZ$403,66,FALSE)+VLOOKUP($A122,'1.3.21-28.2.22'!$A$6:$DA$404,66,FALSE)-VLOOKUP($A122,'01-02.2022'!$A$6:$DA$376,66,FALSE)</f>
        <v>23.232499999999998</v>
      </c>
      <c r="BO122" s="566">
        <f>VLOOKUP($A122,'01-02.2021'!$A$6:$CZ$403,67,FALSE)+VLOOKUP($A122,'1.3.21-28.2.22'!$A$6:$DA$404,67,FALSE)-VLOOKUP($A122,'01-02.2022'!$A$6:$DA$376,67,FALSE)</f>
        <v>2329</v>
      </c>
      <c r="BP122" s="55">
        <f t="shared" si="127"/>
        <v>2305.7674999999999</v>
      </c>
      <c r="BQ122" s="77">
        <f t="shared" si="139"/>
        <v>2293.1735411637164</v>
      </c>
      <c r="BR122" s="40">
        <f t="shared" si="140"/>
        <v>2329</v>
      </c>
      <c r="BS122" s="55">
        <f t="shared" si="110"/>
        <v>35.826458836283564</v>
      </c>
      <c r="BT122" s="566">
        <f>VLOOKUP($A122,'01-02.2021'!$A$6:$CZ$403,72,FALSE)+VLOOKUP($A122,'1.3.21-28.2.22'!$A$6:$DA$404,72,FALSE)-VLOOKUP($A122,'01-02.2022'!$A$6:$DA$376,72,FALSE)</f>
        <v>5800.2192811699715</v>
      </c>
      <c r="BU122" s="566">
        <f>VLOOKUP($A122,'01-02.2021'!$A$6:$CZ$403,73,FALSE)+VLOOKUP($A122,'1.3.21-28.2.22'!$A$6:$DA$404,73,FALSE)-VLOOKUP($A122,'01-02.2022'!$A$6:$DA$376,73,FALSE)</f>
        <v>6254.2954103405218</v>
      </c>
      <c r="BV122" s="70">
        <f t="shared" si="128"/>
        <v>454.0761291705503</v>
      </c>
      <c r="BW122" s="566">
        <f>VLOOKUP($A122,'01-02.2021'!$A$6:$CZ$403,75,FALSE)+VLOOKUP($A122,'1.3.21-28.2.22'!$A$6:$DA$404,75,FALSE)-VLOOKUP($A122,'01-02.2022'!$A$6:$DA$376,75,FALSE)</f>
        <v>1795.3688498795295</v>
      </c>
      <c r="BX122" s="566">
        <f>VLOOKUP($A122,'01-02.2021'!$A$6:$CZ$403,76,FALSE)+VLOOKUP($A122,'1.3.21-28.2.22'!$A$6:$DA$404,76,FALSE)-VLOOKUP($A122,'01-02.2022'!$A$6:$DA$376,76,FALSE)</f>
        <v>1709.9011369885704</v>
      </c>
      <c r="BY122" s="70">
        <f t="shared" si="129"/>
        <v>-85.467712890959092</v>
      </c>
      <c r="BZ122" s="566">
        <f>VLOOKUP($A122,'01-02.2021'!$A$6:$CZ$403,78,FALSE)+VLOOKUP($A122,'1.3.21-28.2.22'!$A$6:$DA$404,78,FALSE)-VLOOKUP($A122,'01-02.2022'!$A$6:$DA$376,78,FALSE)</f>
        <v>1779.7785518538683</v>
      </c>
      <c r="CA122" s="566">
        <f>VLOOKUP($A122,'01-02.2021'!$A$6:$CZ$403,79,FALSE)+VLOOKUP($A122,'1.3.21-28.2.22'!$A$6:$DA$404,79,FALSE)-VLOOKUP($A122,'01-02.2022'!$A$6:$DA$376,79,FALSE)</f>
        <v>1378.2280323013908</v>
      </c>
      <c r="CB122" s="70">
        <f t="shared" si="130"/>
        <v>-401.55051955247745</v>
      </c>
      <c r="CC122" s="566">
        <f>VLOOKUP($A122,'01-02.2021'!$A$6:$CZ$403,81,FALSE)+VLOOKUP($A122,'1.3.21-28.2.22'!$A$6:$DA$404,81,FALSE)-VLOOKUP($A122,'01-02.2022'!$A$6:$DA$376,81,FALSE)</f>
        <v>165.58631888204195</v>
      </c>
      <c r="CD122" s="566">
        <f>VLOOKUP($A122,'01-02.2021'!$A$6:$CZ$403,82,FALSE)+VLOOKUP($A122,'1.3.21-28.2.22'!$A$6:$DA$404,82,FALSE)-VLOOKUP($A122,'01-02.2022'!$A$6:$DA$376,82,FALSE)</f>
        <v>180.98469067130682</v>
      </c>
      <c r="CE122" s="70">
        <f t="shared" si="131"/>
        <v>15.398371789264871</v>
      </c>
      <c r="CF122" s="566">
        <f>VLOOKUP($A122,'01-02.2021'!$A$6:$CZ$403,84,FALSE)+VLOOKUP($A122,'1.3.21-28.2.22'!$A$6:$DA$404,84,FALSE)-VLOOKUP($A122,'01-02.2022'!$A$6:$DA$376,84,FALSE)</f>
        <v>20.130427983347975</v>
      </c>
      <c r="CG122" s="566">
        <f>VLOOKUP($A122,'01-02.2021'!$A$6:$CZ$403,85,FALSE)+VLOOKUP($A122,'1.3.21-28.2.22'!$A$6:$DA$404,85,FALSE)-VLOOKUP($A122,'01-02.2022'!$A$6:$DA$376,85,FALSE)</f>
        <v>0</v>
      </c>
      <c r="CH122" s="70">
        <f t="shared" si="132"/>
        <v>-20.130427983347975</v>
      </c>
      <c r="CI122" s="566">
        <f>VLOOKUP($A122,'01-02.2021'!$A$6:$CZ$403,87,FALSE)+VLOOKUP($A122,'1.3.21-28.2.22'!$A$6:$DA$404,87,FALSE)-VLOOKUP($A122,'01-02.2022'!$A$6:$DA$376,87,FALSE)</f>
        <v>928.71235966094844</v>
      </c>
      <c r="CJ122" s="566">
        <f>VLOOKUP($A122,'01-02.2021'!$A$6:$CZ$403,88,FALSE)+VLOOKUP($A122,'1.3.21-28.2.22'!$A$6:$DA$404,88,FALSE)-VLOOKUP($A122,'01-02.2022'!$A$6:$DA$376,88,FALSE)</f>
        <v>647.82480901847509</v>
      </c>
      <c r="CK122" s="70">
        <f t="shared" si="133"/>
        <v>-280.88755064247334</v>
      </c>
      <c r="CL122" s="566">
        <f>VLOOKUP($A122,'01-02.2021'!$A$6:$CZ$403,90,FALSE)+VLOOKUP($A122,'1.3.21-28.2.22'!$A$6:$DA$404,90,FALSE)-VLOOKUP($A122,'01-02.2022'!$A$6:$DA$376,90,FALSE)</f>
        <v>0</v>
      </c>
      <c r="CM122" s="566">
        <f>VLOOKUP($A122,'01-02.2021'!$A$6:$CZ$403,91,FALSE)+VLOOKUP($A122,'1.3.21-28.2.22'!$A$6:$DA$404,91,FALSE)-VLOOKUP($A122,'01-02.2022'!$A$6:$DA$376,91,FALSE)</f>
        <v>0</v>
      </c>
      <c r="CN122" s="52">
        <f t="shared" si="97"/>
        <v>0</v>
      </c>
      <c r="CO122" s="39">
        <f t="shared" si="89"/>
        <v>928.71235966094844</v>
      </c>
      <c r="CP122" s="40">
        <f t="shared" si="98"/>
        <v>647.82480901847509</v>
      </c>
      <c r="CQ122" s="52">
        <f t="shared" si="99"/>
        <v>-280.88755064247334</v>
      </c>
      <c r="CR122" s="72">
        <f t="shared" si="90"/>
        <v>26491.91470890179</v>
      </c>
      <c r="CS122" s="5">
        <f t="shared" si="90"/>
        <v>19937.209837724102</v>
      </c>
      <c r="CT122" s="52">
        <f t="shared" si="100"/>
        <v>-6554.7048711776879</v>
      </c>
      <c r="CU122" s="77">
        <f t="shared" si="101"/>
        <v>31790.297650682147</v>
      </c>
      <c r="CV122" s="65">
        <f t="shared" si="102"/>
        <v>23924.651805268921</v>
      </c>
      <c r="CW122" s="35">
        <f t="shared" si="103"/>
        <v>-7865.6458454132262</v>
      </c>
      <c r="CX122" s="566">
        <f>VLOOKUP($A122,'01-02.2021'!$A$6:$CZ$403,102,FALSE)+VLOOKUP($A122,'1.3.21-28.2.22'!$A$6:$DA$404,102,FALSE)-VLOOKUP($A122,'01-02.2022'!$A$6:$DA$376,102,FALSE)</f>
        <v>1110.1023135513192</v>
      </c>
      <c r="CY122" s="566">
        <f>VLOOKUP($A122,'01-02.2021'!$A$6:$CZ$403,103,FALSE)+VLOOKUP($A122,'1.3.21-28.2.22'!$A$6:$DA$404,103,FALSE)-VLOOKUP($A122,'01-02.2022'!$A$6:$DA$376,103,FALSE)</f>
        <v>8975.7481589645358</v>
      </c>
      <c r="CZ122" s="52">
        <f t="shared" si="104"/>
        <v>7865.6458454132171</v>
      </c>
      <c r="DA122" s="150">
        <f>'[2]побудинковий звіт'!DA122</f>
        <v>2352.8027021078078</v>
      </c>
      <c r="DB122" s="2">
        <v>2</v>
      </c>
      <c r="DC122" s="414">
        <f>'[4]побудинковий звіт'!DC122</f>
        <v>11028.98</v>
      </c>
      <c r="DD122" s="414">
        <f>'[4]побудинковий звіт'!DD122</f>
        <v>4099.63</v>
      </c>
      <c r="DE122" s="557">
        <f>'[4]побудинковий звіт'!DE122</f>
        <v>8732.5563872663897</v>
      </c>
      <c r="DF122" s="557">
        <f>'[4]побудинковий звіт'!DF122</f>
        <v>3415.1945239340134</v>
      </c>
      <c r="DG122" s="321">
        <f>VLOOKUP(A122,'кошти 01.03.2021'!$A$6:$D$401,4,)</f>
        <v>10400.456108312379</v>
      </c>
      <c r="DH122" s="40">
        <f>'[3]побудинковий звіт'!DJ122</f>
        <v>34030.906389105694</v>
      </c>
      <c r="DI122" s="422">
        <f>'[3]побудинковий звіт'!CU122+'[3]побудинковий звіт'!CX122</f>
        <v>2980.8590887995961</v>
      </c>
      <c r="DJ122" s="306">
        <f>'[3]побудинковий звіт'!DM122</f>
        <v>6.5630854893787074</v>
      </c>
      <c r="DK122" s="306">
        <f t="shared" si="145"/>
        <v>6.5630854893787074</v>
      </c>
      <c r="DL122" s="306">
        <f>'[3]побудинковий звіт'!DO122</f>
        <v>5.9156048061018733</v>
      </c>
      <c r="DM122" s="28">
        <f t="shared" si="146"/>
        <v>2296.4236127336094</v>
      </c>
      <c r="DN122" s="28">
        <f t="shared" si="147"/>
        <v>684.43547606598679</v>
      </c>
      <c r="DO122" s="423">
        <f t="shared" si="105"/>
        <v>2980.8590887995961</v>
      </c>
      <c r="DP122" s="94">
        <f t="shared" si="106"/>
        <v>0</v>
      </c>
      <c r="DQ122" s="28">
        <f t="shared" si="107"/>
        <v>2980.8590887995961</v>
      </c>
      <c r="DR122" s="318"/>
      <c r="DT122" s="8"/>
      <c r="DU122" s="5"/>
      <c r="DX122" s="5">
        <f t="shared" si="108"/>
        <v>10659.555536746066</v>
      </c>
      <c r="DY122" s="5">
        <f t="shared" si="109"/>
        <v>3096</v>
      </c>
      <c r="DZ122" s="159">
        <f>'[3]побудинковий звіт'!EA122</f>
        <v>909.46091433146057</v>
      </c>
    </row>
    <row r="123" spans="1:130" x14ac:dyDescent="0.3">
      <c r="A123" s="325">
        <v>150000610</v>
      </c>
      <c r="B123" s="41" t="s">
        <v>572</v>
      </c>
      <c r="C123" s="42" t="s">
        <v>161</v>
      </c>
      <c r="D123" s="42"/>
      <c r="E123" s="293">
        <f t="shared" si="85"/>
        <v>475.2</v>
      </c>
      <c r="F123" s="305">
        <f>'[3]побудинковий звіт'!F123</f>
        <v>475.2</v>
      </c>
      <c r="G123" s="508">
        <f>'[3]побудинковий звіт'!G123</f>
        <v>0</v>
      </c>
      <c r="H123" s="560">
        <f>'[3]побудинковий звіт'!H123</f>
        <v>0</v>
      </c>
      <c r="I123" s="566">
        <f>VLOOKUP($A123,'01-02.2021'!$A$6:$CZ$403,9,FALSE)+VLOOKUP($A123,'1.3.21-28.2.22'!$A$6:$DA$404,9,FALSE)-VLOOKUP($A123,'01-02.2022'!$A$6:$DA$376,9,FALSE)</f>
        <v>1637.5053518553088</v>
      </c>
      <c r="J123" s="566">
        <f>VLOOKUP($A123,'01-02.2021'!$A$6:$CZ$403,10,FALSE)+VLOOKUP($A123,'1.3.21-28.2.22'!$A$6:$DA$404,10,FALSE)-VLOOKUP($A123,'01-02.2022'!$A$6:$DA$376,10,FALSE)</f>
        <v>1859.2573076320245</v>
      </c>
      <c r="K123" s="52">
        <f t="shared" si="94"/>
        <v>221.7519557767157</v>
      </c>
      <c r="L123" s="566">
        <f>VLOOKUP($A123,'01-02.2021'!$A$6:$CZ$403,12,FALSE)+VLOOKUP($A123,'1.3.21-28.2.22'!$A$6:$DA$404,12,FALSE)-VLOOKUP($A123,'01-02.2022'!$A$6:$DA$376,12,FALSE)</f>
        <v>575.22897015739795</v>
      </c>
      <c r="M123" s="566">
        <f>VLOOKUP($A123,'01-02.2021'!$A$6:$CZ$403,13,FALSE)+VLOOKUP($A123,'1.3.21-28.2.22'!$A$6:$DA$404,13,FALSE)-VLOOKUP($A123,'01-02.2022'!$A$6:$DA$376,13,FALSE)</f>
        <v>633.34978571617694</v>
      </c>
      <c r="N123" s="52">
        <f t="shared" si="95"/>
        <v>58.120815558778986</v>
      </c>
      <c r="O123" s="566">
        <f>VLOOKUP($A123,'01-02.2021'!$A$6:$CZ$403,15,FALSE)+VLOOKUP($A123,'1.3.21-28.2.22'!$A$6:$DA$404,15,FALSE)-VLOOKUP($A123,'01-02.2022'!$A$6:$DA$376,15,FALSE)</f>
        <v>611.94340695272501</v>
      </c>
      <c r="P123" s="566">
        <f>VLOOKUP($A123,'01-02.2021'!$A$6:$CZ$403,16,FALSE)+VLOOKUP($A123,'1.3.21-28.2.22'!$A$6:$DA$404,16,FALSE)-VLOOKUP($A123,'01-02.2022'!$A$6:$DA$376,16,FALSE)</f>
        <v>611.96</v>
      </c>
      <c r="Q123" s="70">
        <f t="shared" si="111"/>
        <v>1.6593047275023309E-2</v>
      </c>
      <c r="R123" s="566">
        <f>VLOOKUP($A123,'01-02.2021'!$A$6:$CZ$403,18,FALSE)+VLOOKUP($A123,'1.3.21-28.2.22'!$A$6:$DA$404,18,FALSE)-VLOOKUP($A123,'01-02.2022'!$A$6:$DA$376,18,FALSE)</f>
        <v>0</v>
      </c>
      <c r="S123" s="566">
        <f>VLOOKUP($A123,'01-02.2021'!$A$6:$CZ$403,19,FALSE)+VLOOKUP($A123,'1.3.21-28.2.22'!$A$6:$DA$404,19,FALSE)-VLOOKUP($A123,'01-02.2022'!$A$6:$DA$376,19,FALSE)</f>
        <v>0</v>
      </c>
      <c r="T123" s="70">
        <f t="shared" si="112"/>
        <v>0</v>
      </c>
      <c r="U123" s="566">
        <f>VLOOKUP($A123,'01-02.2021'!$A$6:$CZ$403,21,FALSE)+VLOOKUP($A123,'1.3.21-28.2.22'!$A$6:$DA$404,21,FALSE)-VLOOKUP($A123,'01-02.2022'!$A$6:$DA$376,21,FALSE)</f>
        <v>0</v>
      </c>
      <c r="V123" s="566">
        <f>VLOOKUP($A123,'01-02.2021'!$A$6:$CZ$403,22,FALSE)+VLOOKUP($A123,'1.3.21-28.2.22'!$A$6:$DA$404,22,FALSE)-VLOOKUP($A123,'01-02.2022'!$A$6:$DA$376,22,FALSE)</f>
        <v>0</v>
      </c>
      <c r="W123" s="70">
        <f t="shared" si="113"/>
        <v>0</v>
      </c>
      <c r="X123" s="566">
        <f>VLOOKUP($A123,'01-02.2021'!$A$6:$CZ$403,24,FALSE)+VLOOKUP($A123,'1.3.21-28.2.22'!$A$6:$DA$404,24,FALSE)-VLOOKUP($A123,'01-02.2022'!$A$6:$DA$376,24,FALSE)</f>
        <v>684.44160484332565</v>
      </c>
      <c r="Y123" s="566">
        <f>VLOOKUP($A123,'01-02.2021'!$A$6:$CZ$403,25,FALSE)+VLOOKUP($A123,'1.3.21-28.2.22'!$A$6:$DA$404,25,FALSE)-VLOOKUP($A123,'01-02.2022'!$A$6:$DA$376,25,FALSE)</f>
        <v>753.97598489947973</v>
      </c>
      <c r="Z123" s="70">
        <f t="shared" si="114"/>
        <v>69.534380056154077</v>
      </c>
      <c r="AA123" s="566">
        <f>VLOOKUP($A123,'01-02.2021'!$A$6:$CZ$403,27,FALSE)+VLOOKUP($A123,'1.3.21-28.2.22'!$A$6:$DA$404,27,FALSE)-VLOOKUP($A123,'01-02.2022'!$A$6:$DA$376,27,FALSE)</f>
        <v>95.039999999999992</v>
      </c>
      <c r="AB123" s="566">
        <f>VLOOKUP($A123,'01-02.2021'!$A$6:$CZ$403,28,FALSE)+VLOOKUP($A123,'1.3.21-28.2.22'!$A$6:$DA$404,28,FALSE)-VLOOKUP($A123,'01-02.2022'!$A$6:$DA$376,28,FALSE)</f>
        <v>0</v>
      </c>
      <c r="AC123" s="70">
        <f t="shared" si="115"/>
        <v>-95.039999999999992</v>
      </c>
      <c r="AD123" s="566">
        <f>VLOOKUP($A123,'01-02.2021'!$A$6:$CZ$403,30,FALSE)+VLOOKUP($A123,'1.3.21-28.2.22'!$A$6:$DA$404,30,FALSE)-VLOOKUP($A123,'01-02.2022'!$A$6:$DA$376,30,FALSE)</f>
        <v>2041.100123134717</v>
      </c>
      <c r="AE123" s="566">
        <f>VLOOKUP($A123,'01-02.2021'!$A$6:$CZ$403,31,FALSE)+VLOOKUP($A123,'1.3.21-28.2.22'!$A$6:$DA$404,31,FALSE)-VLOOKUP($A123,'01-02.2022'!$A$6:$DA$376,31,FALSE)</f>
        <v>2163.1295468773692</v>
      </c>
      <c r="AF123" s="68">
        <f t="shared" si="116"/>
        <v>122.02942374265217</v>
      </c>
      <c r="AG123" s="77">
        <f t="shared" si="86"/>
        <v>5645.259456943475</v>
      </c>
      <c r="AH123" s="53">
        <f t="shared" si="86"/>
        <v>6021.6726251250511</v>
      </c>
      <c r="AI123" s="52">
        <f t="shared" si="96"/>
        <v>376.41316818157611</v>
      </c>
      <c r="AJ123" s="566">
        <f>VLOOKUP($A123,'01-02.2021'!$A$6:$CZ$403,36,FALSE)+VLOOKUP($A123,'1.3.21-28.2.22'!$A$6:$DA$404,36,FALSE)-VLOOKUP($A123,'01-02.2022'!$A$6:$DA$376,36,FALSE)</f>
        <v>0</v>
      </c>
      <c r="AK123" s="566">
        <f>VLOOKUP($A123,'01-02.2021'!$A$6:$CZ$403,37,FALSE)+VLOOKUP($A123,'1.3.21-28.2.22'!$A$6:$DA$404,37,FALSE)-VLOOKUP($A123,'01-02.2022'!$A$6:$DA$376,37,FALSE)</f>
        <v>0</v>
      </c>
      <c r="AL123" s="70">
        <f t="shared" si="117"/>
        <v>0</v>
      </c>
      <c r="AM123" s="566">
        <f>VLOOKUP($A123,'01-02.2021'!$A$6:$CZ$403,39,FALSE)+VLOOKUP($A123,'1.3.21-28.2.22'!$A$6:$DA$404,39,FALSE)-VLOOKUP($A123,'01-02.2022'!$A$6:$DA$376,39,FALSE)</f>
        <v>0</v>
      </c>
      <c r="AN123" s="566">
        <f>VLOOKUP($A123,'01-02.2021'!$A$6:$CZ$403,40,FALSE)+VLOOKUP($A123,'1.3.21-28.2.22'!$A$6:$DA$404,40,FALSE)-VLOOKUP($A123,'01-02.2022'!$A$6:$DA$376,40,FALSE)</f>
        <v>0</v>
      </c>
      <c r="AO123" s="70">
        <f t="shared" si="118"/>
        <v>0</v>
      </c>
      <c r="AP123" s="566">
        <f>VLOOKUP($A123,'01-02.2021'!$A$6:$CZ$403,42,FALSE)+VLOOKUP($A123,'1.3.21-28.2.22'!$A$6:$DA$404,42,FALSE)-VLOOKUP($A123,'01-02.2022'!$A$6:$DA$376,42,FALSE)</f>
        <v>1041.1198500255546</v>
      </c>
      <c r="AQ123" s="566">
        <f>VLOOKUP($A123,'01-02.2021'!$A$6:$CZ$403,43,FALSE)+VLOOKUP($A123,'1.3.21-28.2.22'!$A$6:$DA$404,43,FALSE)-VLOOKUP($A123,'01-02.2022'!$A$6:$DA$376,43,FALSE)</f>
        <v>854.02925641112824</v>
      </c>
      <c r="AR123" s="70">
        <f t="shared" si="119"/>
        <v>-187.09059361442633</v>
      </c>
      <c r="AS123" s="566">
        <f>VLOOKUP($A123,'01-02.2021'!$A$6:$CZ$403,45,FALSE)+VLOOKUP($A123,'1.3.21-28.2.22'!$A$6:$DA$404,45,FALSE)-VLOOKUP($A123,'01-02.2022'!$A$6:$DA$376,45,FALSE)</f>
        <v>5994.8427325858111</v>
      </c>
      <c r="AT123" s="566">
        <f>VLOOKUP($A123,'01-02.2021'!$A$6:$CZ$403,46,FALSE)+VLOOKUP($A123,'1.3.21-28.2.22'!$A$6:$DA$404,46,FALSE)-VLOOKUP($A123,'01-02.2022'!$A$6:$DA$376,46,FALSE)</f>
        <v>251</v>
      </c>
      <c r="AU123" s="78">
        <f t="shared" si="120"/>
        <v>-5743.8427325858111</v>
      </c>
      <c r="AV123" s="566">
        <f>VLOOKUP($A123,'01-02.2021'!$A$6:$CZ$403,48,FALSE)+VLOOKUP($A123,'1.3.21-28.2.22'!$A$6:$DA$404,48,FALSE)-VLOOKUP($A123,'01-02.2022'!$A$6:$DA$376,48,FALSE)</f>
        <v>957.87252660304216</v>
      </c>
      <c r="AW123" s="566">
        <f>VLOOKUP($A123,'01-02.2021'!$A$6:$CZ$403,49,FALSE)+VLOOKUP($A123,'1.3.21-28.2.22'!$A$6:$DA$404,49,FALSE)-VLOOKUP($A123,'01-02.2022'!$A$6:$DA$376,49,FALSE)</f>
        <v>0</v>
      </c>
      <c r="AX123" s="55">
        <f t="shared" si="121"/>
        <v>-957.87252660304216</v>
      </c>
      <c r="AY123" s="566">
        <f>VLOOKUP($A123,'01-02.2021'!$A$6:$CZ$403,51,FALSE)+VLOOKUP($A123,'1.3.21-28.2.22'!$A$6:$DA$404,51,FALSE)-VLOOKUP($A123,'01-02.2022'!$A$6:$DA$376,51,FALSE)</f>
        <v>1081.1248783433516</v>
      </c>
      <c r="AZ123" s="566">
        <f>VLOOKUP($A123,'01-02.2021'!$A$6:$CZ$403,52,FALSE)+VLOOKUP($A123,'1.3.21-28.2.22'!$A$6:$DA$404,52,FALSE)-VLOOKUP($A123,'01-02.2022'!$A$6:$DA$376,52,FALSE)</f>
        <v>0</v>
      </c>
      <c r="BA123" s="38">
        <f t="shared" si="122"/>
        <v>-1081.1248783433516</v>
      </c>
      <c r="BB123" s="566">
        <f>VLOOKUP($A123,'01-02.2021'!$A$6:$CZ$403,54,FALSE)+VLOOKUP($A123,'1.3.21-28.2.22'!$A$6:$DA$404,54,FALSE)-VLOOKUP($A123,'01-02.2022'!$A$6:$DA$376,54,FALSE)</f>
        <v>181.02442663900752</v>
      </c>
      <c r="BC123" s="566">
        <f>VLOOKUP($A123,'01-02.2021'!$A$6:$CZ$403,55,FALSE)+VLOOKUP($A123,'1.3.21-28.2.22'!$A$6:$DA$404,55,FALSE)-VLOOKUP($A123,'01-02.2022'!$A$6:$DA$376,55,FALSE)</f>
        <v>0</v>
      </c>
      <c r="BD123" s="55">
        <f t="shared" si="123"/>
        <v>-181.02442663900752</v>
      </c>
      <c r="BE123" s="566">
        <f>VLOOKUP($A123,'01-02.2021'!$A$6:$CZ$403,57,FALSE)+VLOOKUP($A123,'1.3.21-28.2.22'!$A$6:$DA$404,57,FALSE)-VLOOKUP($A123,'01-02.2022'!$A$6:$DA$376,57,FALSE)</f>
        <v>0</v>
      </c>
      <c r="BF123" s="566">
        <f>VLOOKUP($A123,'01-02.2021'!$A$6:$CZ$403,58,FALSE)+VLOOKUP($A123,'1.3.21-28.2.22'!$A$6:$DA$404,58,FALSE)-VLOOKUP($A123,'01-02.2022'!$A$6:$DA$376,58,FALSE)</f>
        <v>0</v>
      </c>
      <c r="BG123" s="55">
        <f t="shared" si="124"/>
        <v>0</v>
      </c>
      <c r="BH123" s="566">
        <f>VLOOKUP($A123,'01-02.2021'!$A$6:$CZ$403,60,FALSE)+VLOOKUP($A123,'1.3.21-28.2.22'!$A$6:$DA$404,60,FALSE)-VLOOKUP($A123,'01-02.2022'!$A$6:$DA$376,60,FALSE)</f>
        <v>0</v>
      </c>
      <c r="BI123" s="566">
        <f>VLOOKUP($A123,'01-02.2021'!$A$6:$CZ$403,61,FALSE)+VLOOKUP($A123,'1.3.21-28.2.22'!$A$6:$DA$404,61,FALSE)-VLOOKUP($A123,'01-02.2022'!$A$6:$DA$376,61,FALSE)</f>
        <v>0</v>
      </c>
      <c r="BJ123" s="55">
        <f t="shared" si="125"/>
        <v>0</v>
      </c>
      <c r="BK123" s="566">
        <f>VLOOKUP($A123,'01-02.2021'!$A$6:$CZ$403,63,FALSE)+VLOOKUP($A123,'1.3.21-28.2.22'!$A$6:$DA$404,63,FALSE)-VLOOKUP($A123,'01-02.2022'!$A$6:$DA$376,63,FALSE)</f>
        <v>104.41205811104427</v>
      </c>
      <c r="BL123" s="566">
        <f>VLOOKUP($A123,'01-02.2021'!$A$6:$CZ$403,64,FALSE)+VLOOKUP($A123,'1.3.21-28.2.22'!$A$6:$DA$404,64,FALSE)-VLOOKUP($A123,'01-02.2022'!$A$6:$DA$376,64,FALSE)</f>
        <v>0</v>
      </c>
      <c r="BM123" s="55">
        <f t="shared" si="126"/>
        <v>-104.41205811104427</v>
      </c>
      <c r="BN123" s="566">
        <f>VLOOKUP($A123,'01-02.2021'!$A$6:$CZ$403,66,FALSE)+VLOOKUP($A123,'1.3.21-28.2.22'!$A$6:$DA$404,66,FALSE)-VLOOKUP($A123,'01-02.2022'!$A$6:$DA$376,66,FALSE)</f>
        <v>23.759999999999998</v>
      </c>
      <c r="BO123" s="566">
        <f>VLOOKUP($A123,'01-02.2021'!$A$6:$CZ$403,67,FALSE)+VLOOKUP($A123,'1.3.21-28.2.22'!$A$6:$DA$404,67,FALSE)-VLOOKUP($A123,'01-02.2022'!$A$6:$DA$376,67,FALSE)</f>
        <v>0</v>
      </c>
      <c r="BP123" s="55">
        <f t="shared" si="127"/>
        <v>-23.759999999999998</v>
      </c>
      <c r="BQ123" s="77">
        <f t="shared" si="139"/>
        <v>2348.1938896964457</v>
      </c>
      <c r="BR123" s="40">
        <f t="shared" si="140"/>
        <v>0</v>
      </c>
      <c r="BS123" s="55">
        <f t="shared" si="110"/>
        <v>-2348.1938896964457</v>
      </c>
      <c r="BT123" s="566">
        <f>VLOOKUP($A123,'01-02.2021'!$A$6:$CZ$403,72,FALSE)+VLOOKUP($A123,'1.3.21-28.2.22'!$A$6:$DA$404,72,FALSE)-VLOOKUP($A123,'01-02.2022'!$A$6:$DA$376,72,FALSE)</f>
        <v>5465.6269374811009</v>
      </c>
      <c r="BU123" s="566">
        <f>VLOOKUP($A123,'01-02.2021'!$A$6:$CZ$403,73,FALSE)+VLOOKUP($A123,'1.3.21-28.2.22'!$A$6:$DA$404,73,FALSE)-VLOOKUP($A123,'01-02.2022'!$A$6:$DA$376,73,FALSE)</f>
        <v>5999.1430300138145</v>
      </c>
      <c r="BV123" s="70">
        <f t="shared" si="128"/>
        <v>533.51609253271363</v>
      </c>
      <c r="BW123" s="566">
        <f>VLOOKUP($A123,'01-02.2021'!$A$6:$CZ$403,75,FALSE)+VLOOKUP($A123,'1.3.21-28.2.22'!$A$6:$DA$404,75,FALSE)-VLOOKUP($A123,'01-02.2022'!$A$6:$DA$376,75,FALSE)</f>
        <v>2415.7457015843852</v>
      </c>
      <c r="BX123" s="566">
        <f>VLOOKUP($A123,'01-02.2021'!$A$6:$CZ$403,76,FALSE)+VLOOKUP($A123,'1.3.21-28.2.22'!$A$6:$DA$404,76,FALSE)-VLOOKUP($A123,'01-02.2022'!$A$6:$DA$376,76,FALSE)</f>
        <v>2367.7464546931806</v>
      </c>
      <c r="BY123" s="70">
        <f t="shared" si="129"/>
        <v>-47.999246891204621</v>
      </c>
      <c r="BZ123" s="566">
        <f>VLOOKUP($A123,'01-02.2021'!$A$6:$CZ$403,78,FALSE)+VLOOKUP($A123,'1.3.21-28.2.22'!$A$6:$DA$404,78,FALSE)-VLOOKUP($A123,'01-02.2022'!$A$6:$DA$376,78,FALSE)</f>
        <v>2307.2722392492224</v>
      </c>
      <c r="CA123" s="566">
        <f>VLOOKUP($A123,'01-02.2021'!$A$6:$CZ$403,79,FALSE)+VLOOKUP($A123,'1.3.21-28.2.22'!$A$6:$DA$404,79,FALSE)-VLOOKUP($A123,'01-02.2022'!$A$6:$DA$376,79,FALSE)</f>
        <v>1148.9998308502345</v>
      </c>
      <c r="CB123" s="70">
        <f t="shared" si="130"/>
        <v>-1158.2724083989879</v>
      </c>
      <c r="CC123" s="566">
        <f>VLOOKUP($A123,'01-02.2021'!$A$6:$CZ$403,81,FALSE)+VLOOKUP($A123,'1.3.21-28.2.22'!$A$6:$DA$404,81,FALSE)-VLOOKUP($A123,'01-02.2022'!$A$6:$DA$376,81,FALSE)</f>
        <v>0</v>
      </c>
      <c r="CD123" s="566">
        <f>VLOOKUP($A123,'01-02.2021'!$A$6:$CZ$403,82,FALSE)+VLOOKUP($A123,'1.3.21-28.2.22'!$A$6:$DA$404,82,FALSE)-VLOOKUP($A123,'01-02.2022'!$A$6:$DA$376,82,FALSE)</f>
        <v>0</v>
      </c>
      <c r="CE123" s="70">
        <f t="shared" si="131"/>
        <v>0</v>
      </c>
      <c r="CF123" s="566">
        <f>VLOOKUP($A123,'01-02.2021'!$A$6:$CZ$403,84,FALSE)+VLOOKUP($A123,'1.3.21-28.2.22'!$A$6:$DA$404,84,FALSE)-VLOOKUP($A123,'01-02.2022'!$A$6:$DA$376,84,FALSE)</f>
        <v>0</v>
      </c>
      <c r="CG123" s="566">
        <f>VLOOKUP($A123,'01-02.2021'!$A$6:$CZ$403,85,FALSE)+VLOOKUP($A123,'1.3.21-28.2.22'!$A$6:$DA$404,85,FALSE)-VLOOKUP($A123,'01-02.2022'!$A$6:$DA$376,85,FALSE)</f>
        <v>0</v>
      </c>
      <c r="CH123" s="70">
        <f t="shared" si="132"/>
        <v>0</v>
      </c>
      <c r="CI123" s="566">
        <f>VLOOKUP($A123,'01-02.2021'!$A$6:$CZ$403,87,FALSE)+VLOOKUP($A123,'1.3.21-28.2.22'!$A$6:$DA$404,87,FALSE)-VLOOKUP($A123,'01-02.2022'!$A$6:$DA$376,87,FALSE)</f>
        <v>345.99690165379326</v>
      </c>
      <c r="CJ123" s="566">
        <f>VLOOKUP($A123,'01-02.2021'!$A$6:$CZ$403,88,FALSE)+VLOOKUP($A123,'1.3.21-28.2.22'!$A$6:$DA$404,88,FALSE)-VLOOKUP($A123,'01-02.2022'!$A$6:$DA$376,88,FALSE)</f>
        <v>297.07247313090625</v>
      </c>
      <c r="CK123" s="70">
        <f t="shared" si="133"/>
        <v>-48.924428522887013</v>
      </c>
      <c r="CL123" s="566">
        <f>VLOOKUP($A123,'01-02.2021'!$A$6:$CZ$403,90,FALSE)+VLOOKUP($A123,'1.3.21-28.2.22'!$A$6:$DA$404,90,FALSE)-VLOOKUP($A123,'01-02.2022'!$A$6:$DA$376,90,FALSE)</f>
        <v>0</v>
      </c>
      <c r="CM123" s="566">
        <f>VLOOKUP($A123,'01-02.2021'!$A$6:$CZ$403,91,FALSE)+VLOOKUP($A123,'1.3.21-28.2.22'!$A$6:$DA$404,91,FALSE)-VLOOKUP($A123,'01-02.2022'!$A$6:$DA$376,91,FALSE)</f>
        <v>0</v>
      </c>
      <c r="CN123" s="52">
        <f t="shared" si="97"/>
        <v>0</v>
      </c>
      <c r="CO123" s="39">
        <f t="shared" si="89"/>
        <v>345.99690165379326</v>
      </c>
      <c r="CP123" s="40">
        <f t="shared" si="98"/>
        <v>297.07247313090625</v>
      </c>
      <c r="CQ123" s="52">
        <f t="shared" si="99"/>
        <v>-48.924428522887013</v>
      </c>
      <c r="CR123" s="72">
        <f t="shared" si="90"/>
        <v>25564.057709219789</v>
      </c>
      <c r="CS123" s="5">
        <f t="shared" si="90"/>
        <v>16939.663670224316</v>
      </c>
      <c r="CT123" s="52">
        <f t="shared" si="100"/>
        <v>-8624.3940389954732</v>
      </c>
      <c r="CU123" s="77">
        <f t="shared" si="101"/>
        <v>30676.869251063745</v>
      </c>
      <c r="CV123" s="65">
        <f t="shared" si="102"/>
        <v>20327.596404269178</v>
      </c>
      <c r="CW123" s="35">
        <f t="shared" si="103"/>
        <v>-10349.272846794567</v>
      </c>
      <c r="CX123" s="566">
        <f>VLOOKUP($A123,'01-02.2021'!$A$6:$CZ$403,102,FALSE)+VLOOKUP($A123,'1.3.21-28.2.22'!$A$6:$DA$404,102,FALSE)-VLOOKUP($A123,'01-02.2022'!$A$6:$DA$376,102,FALSE)</f>
        <v>1069.2534189958837</v>
      </c>
      <c r="CY123" s="566">
        <f>VLOOKUP($A123,'01-02.2021'!$A$6:$CZ$403,103,FALSE)+VLOOKUP($A123,'1.3.21-28.2.22'!$A$6:$DA$404,103,FALSE)-VLOOKUP($A123,'01-02.2022'!$A$6:$DA$376,103,FALSE)</f>
        <v>11418.52626579045</v>
      </c>
      <c r="CZ123" s="52">
        <f t="shared" si="104"/>
        <v>10349.272846794565</v>
      </c>
      <c r="DA123" s="150">
        <f>'[2]побудинковий звіт'!DA123</f>
        <v>-3982.3929416728724</v>
      </c>
      <c r="DB123" s="2">
        <v>2</v>
      </c>
      <c r="DC123" s="414">
        <f>'[4]побудинковий звіт'!DC123</f>
        <v>13062.16</v>
      </c>
      <c r="DD123" s="414">
        <f>'[4]побудинковий звіт'!DD123</f>
        <v>0</v>
      </c>
      <c r="DE123" s="557">
        <f>'[4]побудинковий звіт'!DE123</f>
        <v>10175.252351823248</v>
      </c>
      <c r="DF123" s="557">
        <f>'[4]побудинковий звіт'!DF123</f>
        <v>0</v>
      </c>
      <c r="DG123" s="321">
        <f>VLOOKUP(A123,'кошти 01.03.2021'!$A$6:$D$401,4,)</f>
        <v>6009.3907367726852</v>
      </c>
      <c r="DH123" s="40">
        <f>'[3]побудинковий звіт'!DJ123</f>
        <v>32888.093496100832</v>
      </c>
      <c r="DI123" s="422">
        <f>'[3]побудинковий звіт'!CU123+'[3]побудинковий звіт'!CX123</f>
        <v>2886.9076481767524</v>
      </c>
      <c r="DJ123" s="306">
        <f>'[3]побудинковий звіт'!DM123</f>
        <v>6.0751423572743111</v>
      </c>
      <c r="DK123" s="306">
        <f t="shared" si="145"/>
        <v>6.0751423572743111</v>
      </c>
      <c r="DL123" s="306">
        <f>'[3]побудинковий звіт'!DO123</f>
        <v>5.435399494773046</v>
      </c>
      <c r="DM123" s="28">
        <f t="shared" si="146"/>
        <v>2886.9076481767524</v>
      </c>
      <c r="DN123" s="28">
        <f t="shared" si="147"/>
        <v>0</v>
      </c>
      <c r="DO123" s="423">
        <f t="shared" si="105"/>
        <v>2886.9076481767524</v>
      </c>
      <c r="DP123" s="94">
        <f t="shared" si="106"/>
        <v>0</v>
      </c>
      <c r="DQ123" s="28">
        <f t="shared" si="107"/>
        <v>2886.9076481767524</v>
      </c>
      <c r="DR123" s="318"/>
      <c r="DT123" s="8"/>
      <c r="DU123" s="5"/>
      <c r="DX123" s="5">
        <f t="shared" si="108"/>
        <v>10011.643946738706</v>
      </c>
      <c r="DY123" s="5">
        <f t="shared" si="109"/>
        <v>301.2</v>
      </c>
      <c r="DZ123" s="159">
        <f>'[3]побудинковий звіт'!EA123</f>
        <v>867.84871459905889</v>
      </c>
    </row>
    <row r="124" spans="1:130" x14ac:dyDescent="0.3">
      <c r="A124" s="325">
        <v>150000611</v>
      </c>
      <c r="B124" s="41" t="s">
        <v>573</v>
      </c>
      <c r="C124" s="42" t="s">
        <v>196</v>
      </c>
      <c r="D124" s="42"/>
      <c r="E124" s="293">
        <f t="shared" si="85"/>
        <v>1108</v>
      </c>
      <c r="F124" s="305">
        <f>'[3]побудинковий звіт'!F124</f>
        <v>1053.5</v>
      </c>
      <c r="G124" s="508">
        <f>'[3]побудинковий звіт'!G124</f>
        <v>0</v>
      </c>
      <c r="H124" s="560">
        <f>'[3]побудинковий звіт'!H124</f>
        <v>54.5</v>
      </c>
      <c r="I124" s="566">
        <f>VLOOKUP($A124,'01-02.2021'!$A$6:$CZ$403,9,FALSE)+VLOOKUP($A124,'1.3.21-28.2.22'!$A$6:$DA$404,9,FALSE)-VLOOKUP($A124,'01-02.2022'!$A$6:$DA$376,9,FALSE)</f>
        <v>4301.7845718376075</v>
      </c>
      <c r="J124" s="566">
        <f>VLOOKUP($A124,'01-02.2021'!$A$6:$CZ$403,10,FALSE)+VLOOKUP($A124,'1.3.21-28.2.22'!$A$6:$DA$404,10,FALSE)-VLOOKUP($A124,'01-02.2022'!$A$6:$DA$376,10,FALSE)</f>
        <v>4706.0298229094451</v>
      </c>
      <c r="K124" s="52">
        <f t="shared" si="94"/>
        <v>404.24525107183763</v>
      </c>
      <c r="L124" s="566">
        <f>VLOOKUP($A124,'01-02.2021'!$A$6:$CZ$403,12,FALSE)+VLOOKUP($A124,'1.3.21-28.2.22'!$A$6:$DA$404,12,FALSE)-VLOOKUP($A124,'01-02.2022'!$A$6:$DA$376,12,FALSE)</f>
        <v>948.88779906903903</v>
      </c>
      <c r="M124" s="566">
        <f>VLOOKUP($A124,'01-02.2021'!$A$6:$CZ$403,13,FALSE)+VLOOKUP($A124,'1.3.21-28.2.22'!$A$6:$DA$404,13,FALSE)-VLOOKUP($A124,'01-02.2022'!$A$6:$DA$376,13,FALSE)</f>
        <v>1044.7569204823637</v>
      </c>
      <c r="N124" s="52">
        <f t="shared" si="95"/>
        <v>95.869121413324706</v>
      </c>
      <c r="O124" s="566">
        <f>VLOOKUP($A124,'01-02.2021'!$A$6:$CZ$403,15,FALSE)+VLOOKUP($A124,'1.3.21-28.2.22'!$A$6:$DA$404,15,FALSE)-VLOOKUP($A124,'01-02.2022'!$A$6:$DA$376,15,FALSE)</f>
        <v>1225.5119551482251</v>
      </c>
      <c r="P124" s="566">
        <f>VLOOKUP($A124,'01-02.2021'!$A$6:$CZ$403,16,FALSE)+VLOOKUP($A124,'1.3.21-28.2.22'!$A$6:$DA$404,16,FALSE)-VLOOKUP($A124,'01-02.2022'!$A$6:$DA$376,16,FALSE)</f>
        <v>1225.52</v>
      </c>
      <c r="Q124" s="70">
        <f t="shared" si="111"/>
        <v>8.0448517749118764E-3</v>
      </c>
      <c r="R124" s="566">
        <f>VLOOKUP($A124,'01-02.2021'!$A$6:$CZ$403,18,FALSE)+VLOOKUP($A124,'1.3.21-28.2.22'!$A$6:$DA$404,18,FALSE)-VLOOKUP($A124,'01-02.2022'!$A$6:$DA$376,18,FALSE)</f>
        <v>0</v>
      </c>
      <c r="S124" s="566">
        <f>VLOOKUP($A124,'01-02.2021'!$A$6:$CZ$403,19,FALSE)+VLOOKUP($A124,'1.3.21-28.2.22'!$A$6:$DA$404,19,FALSE)-VLOOKUP($A124,'01-02.2022'!$A$6:$DA$376,19,FALSE)</f>
        <v>0</v>
      </c>
      <c r="T124" s="70">
        <f t="shared" si="112"/>
        <v>0</v>
      </c>
      <c r="U124" s="566">
        <f>VLOOKUP($A124,'01-02.2021'!$A$6:$CZ$403,21,FALSE)+VLOOKUP($A124,'1.3.21-28.2.22'!$A$6:$DA$404,21,FALSE)-VLOOKUP($A124,'01-02.2022'!$A$6:$DA$376,21,FALSE)</f>
        <v>0</v>
      </c>
      <c r="V124" s="566">
        <f>VLOOKUP($A124,'01-02.2021'!$A$6:$CZ$403,22,FALSE)+VLOOKUP($A124,'1.3.21-28.2.22'!$A$6:$DA$404,22,FALSE)-VLOOKUP($A124,'01-02.2022'!$A$6:$DA$376,22,FALSE)</f>
        <v>0</v>
      </c>
      <c r="W124" s="70">
        <f t="shared" si="113"/>
        <v>0</v>
      </c>
      <c r="X124" s="566">
        <f>VLOOKUP($A124,'01-02.2021'!$A$6:$CZ$403,24,FALSE)+VLOOKUP($A124,'1.3.21-28.2.22'!$A$6:$DA$404,24,FALSE)-VLOOKUP($A124,'01-02.2022'!$A$6:$DA$376,24,FALSE)</f>
        <v>1837.0347986424058</v>
      </c>
      <c r="Y124" s="566">
        <f>VLOOKUP($A124,'01-02.2021'!$A$6:$CZ$403,25,FALSE)+VLOOKUP($A124,'1.3.21-28.2.22'!$A$6:$DA$404,25,FALSE)-VLOOKUP($A124,'01-02.2022'!$A$6:$DA$376,25,FALSE)</f>
        <v>1441.6577637256796</v>
      </c>
      <c r="Z124" s="70">
        <f t="shared" si="114"/>
        <v>-395.37703491672619</v>
      </c>
      <c r="AA124" s="566">
        <f>VLOOKUP($A124,'01-02.2021'!$A$6:$CZ$403,27,FALSE)+VLOOKUP($A124,'1.3.21-28.2.22'!$A$6:$DA$404,27,FALSE)-VLOOKUP($A124,'01-02.2022'!$A$6:$DA$376,27,FALSE)</f>
        <v>221.60000000000002</v>
      </c>
      <c r="AB124" s="566">
        <f>VLOOKUP($A124,'01-02.2021'!$A$6:$CZ$403,28,FALSE)+VLOOKUP($A124,'1.3.21-28.2.22'!$A$6:$DA$404,28,FALSE)-VLOOKUP($A124,'01-02.2022'!$A$6:$DA$376,28,FALSE)</f>
        <v>0</v>
      </c>
      <c r="AC124" s="70">
        <f t="shared" si="115"/>
        <v>-221.60000000000002</v>
      </c>
      <c r="AD124" s="566">
        <f>VLOOKUP($A124,'01-02.2021'!$A$6:$CZ$403,30,FALSE)+VLOOKUP($A124,'1.3.21-28.2.22'!$A$6:$DA$404,30,FALSE)-VLOOKUP($A124,'01-02.2022'!$A$6:$DA$376,30,FALSE)</f>
        <v>4759.2094153159096</v>
      </c>
      <c r="AE124" s="566">
        <f>VLOOKUP($A124,'01-02.2021'!$A$6:$CZ$403,31,FALSE)+VLOOKUP($A124,'1.3.21-28.2.22'!$A$6:$DA$404,31,FALSE)-VLOOKUP($A124,'01-02.2022'!$A$6:$DA$376,31,FALSE)</f>
        <v>5171.2430268146609</v>
      </c>
      <c r="AF124" s="68">
        <f t="shared" si="116"/>
        <v>412.03361149875127</v>
      </c>
      <c r="AG124" s="77">
        <f t="shared" si="86"/>
        <v>13294.028540013187</v>
      </c>
      <c r="AH124" s="53">
        <f t="shared" si="86"/>
        <v>13589.207533932149</v>
      </c>
      <c r="AI124" s="52">
        <f t="shared" si="96"/>
        <v>295.17899391896208</v>
      </c>
      <c r="AJ124" s="566">
        <f>VLOOKUP($A124,'01-02.2021'!$A$6:$CZ$403,36,FALSE)+VLOOKUP($A124,'1.3.21-28.2.22'!$A$6:$DA$404,36,FALSE)-VLOOKUP($A124,'01-02.2022'!$A$6:$DA$376,36,FALSE)</f>
        <v>0</v>
      </c>
      <c r="AK124" s="566">
        <f>VLOOKUP($A124,'01-02.2021'!$A$6:$CZ$403,37,FALSE)+VLOOKUP($A124,'1.3.21-28.2.22'!$A$6:$DA$404,37,FALSE)-VLOOKUP($A124,'01-02.2022'!$A$6:$DA$376,37,FALSE)</f>
        <v>0</v>
      </c>
      <c r="AL124" s="70">
        <f t="shared" si="117"/>
        <v>0</v>
      </c>
      <c r="AM124" s="566">
        <f>VLOOKUP($A124,'01-02.2021'!$A$6:$CZ$403,39,FALSE)+VLOOKUP($A124,'1.3.21-28.2.22'!$A$6:$DA$404,39,FALSE)-VLOOKUP($A124,'01-02.2022'!$A$6:$DA$376,39,FALSE)</f>
        <v>0</v>
      </c>
      <c r="AN124" s="566">
        <f>VLOOKUP($A124,'01-02.2021'!$A$6:$CZ$403,40,FALSE)+VLOOKUP($A124,'1.3.21-28.2.22'!$A$6:$DA$404,40,FALSE)-VLOOKUP($A124,'01-02.2022'!$A$6:$DA$376,40,FALSE)</f>
        <v>0</v>
      </c>
      <c r="AO124" s="70">
        <f t="shared" si="118"/>
        <v>0</v>
      </c>
      <c r="AP124" s="566">
        <f>VLOOKUP($A124,'01-02.2021'!$A$6:$CZ$403,42,FALSE)+VLOOKUP($A124,'1.3.21-28.2.22'!$A$6:$DA$404,42,FALSE)-VLOOKUP($A124,'01-02.2022'!$A$6:$DA$376,42,FALSE)</f>
        <v>3123.3595500766637</v>
      </c>
      <c r="AQ124" s="566">
        <f>VLOOKUP($A124,'01-02.2021'!$A$6:$CZ$403,43,FALSE)+VLOOKUP($A124,'1.3.21-28.2.22'!$A$6:$DA$404,43,FALSE)-VLOOKUP($A124,'01-02.2022'!$A$6:$DA$376,43,FALSE)</f>
        <v>2636.4544370055419</v>
      </c>
      <c r="AR124" s="70">
        <f t="shared" si="119"/>
        <v>-486.90511307112183</v>
      </c>
      <c r="AS124" s="566">
        <f>VLOOKUP($A124,'01-02.2021'!$A$6:$CZ$403,45,FALSE)+VLOOKUP($A124,'1.3.21-28.2.22'!$A$6:$DA$404,45,FALSE)-VLOOKUP($A124,'01-02.2022'!$A$6:$DA$376,45,FALSE)</f>
        <v>9752.2804482452411</v>
      </c>
      <c r="AT124" s="566">
        <f>VLOOKUP($A124,'01-02.2021'!$A$6:$CZ$403,46,FALSE)+VLOOKUP($A124,'1.3.21-28.2.22'!$A$6:$DA$404,46,FALSE)-VLOOKUP($A124,'01-02.2022'!$A$6:$DA$376,46,FALSE)</f>
        <v>37249.39</v>
      </c>
      <c r="AU124" s="78">
        <f t="shared" si="120"/>
        <v>27497.109551754758</v>
      </c>
      <c r="AV124" s="566">
        <f>VLOOKUP($A124,'01-02.2021'!$A$6:$CZ$403,48,FALSE)+VLOOKUP($A124,'1.3.21-28.2.22'!$A$6:$DA$404,48,FALSE)-VLOOKUP($A124,'01-02.2022'!$A$6:$DA$376,48,FALSE)</f>
        <v>1189.9058622464529</v>
      </c>
      <c r="AW124" s="566">
        <f>VLOOKUP($A124,'01-02.2021'!$A$6:$CZ$403,49,FALSE)+VLOOKUP($A124,'1.3.21-28.2.22'!$A$6:$DA$404,49,FALSE)-VLOOKUP($A124,'01-02.2022'!$A$6:$DA$376,49,FALSE)</f>
        <v>0</v>
      </c>
      <c r="AX124" s="55">
        <f t="shared" si="121"/>
        <v>-1189.9058622464529</v>
      </c>
      <c r="AY124" s="566">
        <f>VLOOKUP($A124,'01-02.2021'!$A$6:$CZ$403,51,FALSE)+VLOOKUP($A124,'1.3.21-28.2.22'!$A$6:$DA$404,51,FALSE)-VLOOKUP($A124,'01-02.2022'!$A$6:$DA$376,51,FALSE)</f>
        <v>1783.6223254885751</v>
      </c>
      <c r="AZ124" s="566">
        <f>VLOOKUP($A124,'01-02.2021'!$A$6:$CZ$403,52,FALSE)+VLOOKUP($A124,'1.3.21-28.2.22'!$A$6:$DA$404,52,FALSE)-VLOOKUP($A124,'01-02.2022'!$A$6:$DA$376,52,FALSE)</f>
        <v>0</v>
      </c>
      <c r="BA124" s="38">
        <f t="shared" si="122"/>
        <v>-1783.6223254885751</v>
      </c>
      <c r="BB124" s="566">
        <f>VLOOKUP($A124,'01-02.2021'!$A$6:$CZ$403,54,FALSE)+VLOOKUP($A124,'1.3.21-28.2.22'!$A$6:$DA$404,54,FALSE)-VLOOKUP($A124,'01-02.2022'!$A$6:$DA$376,54,FALSE)</f>
        <v>597.70974661795447</v>
      </c>
      <c r="BC124" s="566">
        <f>VLOOKUP($A124,'01-02.2021'!$A$6:$CZ$403,55,FALSE)+VLOOKUP($A124,'1.3.21-28.2.22'!$A$6:$DA$404,55,FALSE)-VLOOKUP($A124,'01-02.2022'!$A$6:$DA$376,55,FALSE)</f>
        <v>963</v>
      </c>
      <c r="BD124" s="55">
        <f t="shared" si="123"/>
        <v>365.29025338204553</v>
      </c>
      <c r="BE124" s="566">
        <f>VLOOKUP($A124,'01-02.2021'!$A$6:$CZ$403,57,FALSE)+VLOOKUP($A124,'1.3.21-28.2.22'!$A$6:$DA$404,57,FALSE)-VLOOKUP($A124,'01-02.2022'!$A$6:$DA$376,57,FALSE)</f>
        <v>0</v>
      </c>
      <c r="BF124" s="566">
        <f>VLOOKUP($A124,'01-02.2021'!$A$6:$CZ$403,58,FALSE)+VLOOKUP($A124,'1.3.21-28.2.22'!$A$6:$DA$404,58,FALSE)-VLOOKUP($A124,'01-02.2022'!$A$6:$DA$376,58,FALSE)</f>
        <v>0</v>
      </c>
      <c r="BG124" s="55">
        <f t="shared" si="124"/>
        <v>0</v>
      </c>
      <c r="BH124" s="566">
        <f>VLOOKUP($A124,'01-02.2021'!$A$6:$CZ$403,60,FALSE)+VLOOKUP($A124,'1.3.21-28.2.22'!$A$6:$DA$404,60,FALSE)-VLOOKUP($A124,'01-02.2022'!$A$6:$DA$376,60,FALSE)</f>
        <v>0</v>
      </c>
      <c r="BI124" s="566">
        <f>VLOOKUP($A124,'01-02.2021'!$A$6:$CZ$403,61,FALSE)+VLOOKUP($A124,'1.3.21-28.2.22'!$A$6:$DA$404,61,FALSE)-VLOOKUP($A124,'01-02.2022'!$A$6:$DA$376,61,FALSE)</f>
        <v>0</v>
      </c>
      <c r="BJ124" s="55">
        <f t="shared" si="125"/>
        <v>0</v>
      </c>
      <c r="BK124" s="566">
        <f>VLOOKUP($A124,'01-02.2021'!$A$6:$CZ$403,63,FALSE)+VLOOKUP($A124,'1.3.21-28.2.22'!$A$6:$DA$404,63,FALSE)-VLOOKUP($A124,'01-02.2022'!$A$6:$DA$376,63,FALSE)</f>
        <v>300.35611988536641</v>
      </c>
      <c r="BL124" s="566">
        <f>VLOOKUP($A124,'01-02.2021'!$A$6:$CZ$403,64,FALSE)+VLOOKUP($A124,'1.3.21-28.2.22'!$A$6:$DA$404,64,FALSE)-VLOOKUP($A124,'01-02.2022'!$A$6:$DA$376,64,FALSE)</f>
        <v>142</v>
      </c>
      <c r="BM124" s="55">
        <f t="shared" si="126"/>
        <v>-158.35611988536641</v>
      </c>
      <c r="BN124" s="566">
        <f>VLOOKUP($A124,'01-02.2021'!$A$6:$CZ$403,66,FALSE)+VLOOKUP($A124,'1.3.21-28.2.22'!$A$6:$DA$404,66,FALSE)-VLOOKUP($A124,'01-02.2022'!$A$6:$DA$376,66,FALSE)</f>
        <v>55.400000000000006</v>
      </c>
      <c r="BO124" s="566">
        <f>VLOOKUP($A124,'01-02.2021'!$A$6:$CZ$403,67,FALSE)+VLOOKUP($A124,'1.3.21-28.2.22'!$A$6:$DA$404,67,FALSE)-VLOOKUP($A124,'01-02.2022'!$A$6:$DA$376,67,FALSE)</f>
        <v>0</v>
      </c>
      <c r="BP124" s="55">
        <f t="shared" si="127"/>
        <v>-55.400000000000006</v>
      </c>
      <c r="BQ124" s="77">
        <f t="shared" si="139"/>
        <v>3926.9940542383488</v>
      </c>
      <c r="BR124" s="40">
        <f t="shared" si="140"/>
        <v>1105</v>
      </c>
      <c r="BS124" s="55">
        <f t="shared" si="110"/>
        <v>-2821.9940542383488</v>
      </c>
      <c r="BT124" s="566">
        <f>VLOOKUP($A124,'01-02.2021'!$A$6:$CZ$403,72,FALSE)+VLOOKUP($A124,'1.3.21-28.2.22'!$A$6:$DA$404,72,FALSE)-VLOOKUP($A124,'01-02.2022'!$A$6:$DA$376,72,FALSE)</f>
        <v>12564.479027649868</v>
      </c>
      <c r="BU124" s="566">
        <f>VLOOKUP($A124,'01-02.2021'!$A$6:$CZ$403,73,FALSE)+VLOOKUP($A124,'1.3.21-28.2.22'!$A$6:$DA$404,73,FALSE)-VLOOKUP($A124,'01-02.2022'!$A$6:$DA$376,73,FALSE)</f>
        <v>16415.794599706576</v>
      </c>
      <c r="BV124" s="70">
        <f t="shared" si="128"/>
        <v>3851.3155720567083</v>
      </c>
      <c r="BW124" s="566">
        <f>VLOOKUP($A124,'01-02.2021'!$A$6:$CZ$403,75,FALSE)+VLOOKUP($A124,'1.3.21-28.2.22'!$A$6:$DA$404,75,FALSE)-VLOOKUP($A124,'01-02.2022'!$A$6:$DA$376,75,FALSE)</f>
        <v>6272.398090091091</v>
      </c>
      <c r="BX124" s="566">
        <f>VLOOKUP($A124,'01-02.2021'!$A$6:$CZ$403,76,FALSE)+VLOOKUP($A124,'1.3.21-28.2.22'!$A$6:$DA$404,76,FALSE)-VLOOKUP($A124,'01-02.2022'!$A$6:$DA$376,76,FALSE)</f>
        <v>6118.6916217427288</v>
      </c>
      <c r="BY124" s="70">
        <f t="shared" si="129"/>
        <v>-153.70646834836225</v>
      </c>
      <c r="BZ124" s="566">
        <f>VLOOKUP($A124,'01-02.2021'!$A$6:$CZ$403,78,FALSE)+VLOOKUP($A124,'1.3.21-28.2.22'!$A$6:$DA$404,78,FALSE)-VLOOKUP($A124,'01-02.2022'!$A$6:$DA$376,78,FALSE)</f>
        <v>5685.3093979729465</v>
      </c>
      <c r="CA124" s="566">
        <f>VLOOKUP($A124,'01-02.2021'!$A$6:$CZ$403,79,FALSE)+VLOOKUP($A124,'1.3.21-28.2.22'!$A$6:$DA$404,79,FALSE)-VLOOKUP($A124,'01-02.2022'!$A$6:$DA$376,79,FALSE)</f>
        <v>2791.1380893933447</v>
      </c>
      <c r="CB124" s="70">
        <f t="shared" si="130"/>
        <v>-2894.1713085796018</v>
      </c>
      <c r="CC124" s="566">
        <f>VLOOKUP($A124,'01-02.2021'!$A$6:$CZ$403,81,FALSE)+VLOOKUP($A124,'1.3.21-28.2.22'!$A$6:$DA$404,81,FALSE)-VLOOKUP($A124,'01-02.2022'!$A$6:$DA$376,81,FALSE)</f>
        <v>235.02574292934992</v>
      </c>
      <c r="CD124" s="566">
        <f>VLOOKUP($A124,'01-02.2021'!$A$6:$CZ$403,82,FALSE)+VLOOKUP($A124,'1.3.21-28.2.22'!$A$6:$DA$404,82,FALSE)-VLOOKUP($A124,'01-02.2022'!$A$6:$DA$376,82,FALSE)</f>
        <v>256.88149643669357</v>
      </c>
      <c r="CE124" s="70">
        <f t="shared" si="131"/>
        <v>21.85575350734365</v>
      </c>
      <c r="CF124" s="566">
        <f>VLOOKUP($A124,'01-02.2021'!$A$6:$CZ$403,84,FALSE)+VLOOKUP($A124,'1.3.21-28.2.22'!$A$6:$DA$404,84,FALSE)-VLOOKUP($A124,'01-02.2022'!$A$6:$DA$376,84,FALSE)</f>
        <v>28.572220363461629</v>
      </c>
      <c r="CG124" s="566">
        <f>VLOOKUP($A124,'01-02.2021'!$A$6:$CZ$403,85,FALSE)+VLOOKUP($A124,'1.3.21-28.2.22'!$A$6:$DA$404,85,FALSE)-VLOOKUP($A124,'01-02.2022'!$A$6:$DA$376,85,FALSE)</f>
        <v>0</v>
      </c>
      <c r="CH124" s="70">
        <f t="shared" si="132"/>
        <v>-28.572220363461629</v>
      </c>
      <c r="CI124" s="566">
        <f>VLOOKUP($A124,'01-02.2021'!$A$6:$CZ$403,87,FALSE)+VLOOKUP($A124,'1.3.21-28.2.22'!$A$6:$DA$404,87,FALSE)-VLOOKUP($A124,'01-02.2022'!$A$6:$DA$376,87,FALSE)</f>
        <v>2031.0726425164662</v>
      </c>
      <c r="CJ124" s="566">
        <f>VLOOKUP($A124,'01-02.2021'!$A$6:$CZ$403,88,FALSE)+VLOOKUP($A124,'1.3.21-28.2.22'!$A$6:$DA$404,88,FALSE)-VLOOKUP($A124,'01-02.2022'!$A$6:$DA$376,88,FALSE)</f>
        <v>1647.7050585694906</v>
      </c>
      <c r="CK124" s="70">
        <f t="shared" si="133"/>
        <v>-383.36758394697563</v>
      </c>
      <c r="CL124" s="566">
        <f>VLOOKUP($A124,'01-02.2021'!$A$6:$CZ$403,90,FALSE)+VLOOKUP($A124,'1.3.21-28.2.22'!$A$6:$DA$404,90,FALSE)-VLOOKUP($A124,'01-02.2022'!$A$6:$DA$376,90,FALSE)</f>
        <v>0</v>
      </c>
      <c r="CM124" s="566">
        <f>VLOOKUP($A124,'01-02.2021'!$A$6:$CZ$403,91,FALSE)+VLOOKUP($A124,'1.3.21-28.2.22'!$A$6:$DA$404,91,FALSE)-VLOOKUP($A124,'01-02.2022'!$A$6:$DA$376,91,FALSE)</f>
        <v>0</v>
      </c>
      <c r="CN124" s="52">
        <f t="shared" si="97"/>
        <v>0</v>
      </c>
      <c r="CO124" s="39">
        <f t="shared" si="89"/>
        <v>2031.0726425164662</v>
      </c>
      <c r="CP124" s="40">
        <f t="shared" si="98"/>
        <v>1647.7050585694906</v>
      </c>
      <c r="CQ124" s="52">
        <f t="shared" si="99"/>
        <v>-383.36758394697563</v>
      </c>
      <c r="CR124" s="72">
        <f t="shared" si="90"/>
        <v>56913.519714096627</v>
      </c>
      <c r="CS124" s="5">
        <f t="shared" si="90"/>
        <v>81810.262836786525</v>
      </c>
      <c r="CT124" s="52">
        <f t="shared" si="100"/>
        <v>24896.743122689899</v>
      </c>
      <c r="CU124" s="77">
        <f t="shared" si="101"/>
        <v>68296.223656915943</v>
      </c>
      <c r="CV124" s="65">
        <f t="shared" si="102"/>
        <v>98172.315404143825</v>
      </c>
      <c r="CW124" s="35">
        <f t="shared" si="103"/>
        <v>29876.091747227882</v>
      </c>
      <c r="CX124" s="566">
        <f>VLOOKUP($A124,'01-02.2021'!$A$6:$CZ$403,102,FALSE)+VLOOKUP($A124,'1.3.21-28.2.22'!$A$6:$DA$404,102,FALSE)-VLOOKUP($A124,'01-02.2022'!$A$6:$DA$376,102,FALSE)</f>
        <v>1268.0802798381346</v>
      </c>
      <c r="CY124" s="566">
        <f>VLOOKUP($A124,'01-02.2021'!$A$6:$CZ$403,103,FALSE)+VLOOKUP($A124,'1.3.21-28.2.22'!$A$6:$DA$404,103,FALSE)-VLOOKUP($A124,'01-02.2022'!$A$6:$DA$376,103,FALSE)</f>
        <v>-28608.011467389741</v>
      </c>
      <c r="CZ124" s="52">
        <f t="shared" si="104"/>
        <v>-29876.091747227874</v>
      </c>
      <c r="DA124" s="150">
        <f>'[2]побудинковий звіт'!DA124</f>
        <v>44328.891586491809</v>
      </c>
      <c r="DB124" s="2">
        <v>2</v>
      </c>
      <c r="DC124" s="414">
        <f>'[4]побудинковий звіт'!DC124</f>
        <v>7308.52</v>
      </c>
      <c r="DD124" s="414">
        <f>'[4]побудинковий звіт'!DD124</f>
        <v>273.62</v>
      </c>
      <c r="DE124" s="557">
        <f>'[4]побудинковий звіт'!DE124</f>
        <v>1270.758812065299</v>
      </c>
      <c r="DF124" s="557">
        <f>'[4]побудинковий звіт'!DF124</f>
        <v>48.140000000000015</v>
      </c>
      <c r="DG124" s="321">
        <f>VLOOKUP(A124,'кошти 01.03.2021'!$A$6:$D$401,4,)</f>
        <v>18086.937752797672</v>
      </c>
      <c r="DH124" s="40">
        <f>'[3]побудинковий звіт'!DJ124</f>
        <v>71996.439324596126</v>
      </c>
      <c r="DI124" s="422">
        <f>'[3]побудинковий звіт'!CU124+'[3]побудинковий звіт'!CX124</f>
        <v>6311.3916860015061</v>
      </c>
      <c r="DJ124" s="306">
        <f>'[3]побудинковий звіт'!DM124</f>
        <v>5.7311449339674434</v>
      </c>
      <c r="DK124" s="306">
        <f t="shared" si="145"/>
        <v>5.7311449339674434</v>
      </c>
      <c r="DL124" s="306">
        <f>'[3]побудинковий звіт'!DO124</f>
        <v>5.0207430837945832</v>
      </c>
      <c r="DM124" s="28">
        <f t="shared" si="146"/>
        <v>6037.7611879347014</v>
      </c>
      <c r="DN124" s="28">
        <v>225.48</v>
      </c>
      <c r="DO124" s="423">
        <f t="shared" si="105"/>
        <v>6263.241187934701</v>
      </c>
      <c r="DP124" s="94">
        <f t="shared" si="106"/>
        <v>48.150498066805085</v>
      </c>
      <c r="DQ124" s="28">
        <f t="shared" si="107"/>
        <v>6263.241187934701</v>
      </c>
      <c r="DR124" s="318"/>
      <c r="DT124" s="8"/>
      <c r="DU124" s="5"/>
      <c r="DX124" s="5">
        <f t="shared" si="108"/>
        <v>16415.129402980307</v>
      </c>
      <c r="DY124" s="5">
        <f t="shared" si="109"/>
        <v>46025.267999999996</v>
      </c>
      <c r="DZ124" s="159">
        <f>'[3]побудинковий звіт'!EA124</f>
        <v>1449.1499348821571</v>
      </c>
    </row>
    <row r="125" spans="1:130" x14ac:dyDescent="0.3">
      <c r="A125" s="325">
        <v>150000623</v>
      </c>
      <c r="B125" s="41" t="s">
        <v>574</v>
      </c>
      <c r="C125" s="42" t="s">
        <v>210</v>
      </c>
      <c r="D125" s="42"/>
      <c r="E125" s="293">
        <f t="shared" si="85"/>
        <v>1472.6</v>
      </c>
      <c r="F125" s="305">
        <f>'[3]побудинковий звіт'!F125</f>
        <v>1379.8</v>
      </c>
      <c r="G125" s="508">
        <f>'[3]побудинковий звіт'!G125</f>
        <v>0</v>
      </c>
      <c r="H125" s="560">
        <f>'[3]побудинковий звіт'!H125</f>
        <v>92.8</v>
      </c>
      <c r="I125" s="566">
        <f>VLOOKUP($A125,'01-02.2021'!$A$6:$CZ$403,9,FALSE)+VLOOKUP($A125,'1.3.21-28.2.22'!$A$6:$DA$404,9,FALSE)-VLOOKUP($A125,'01-02.2022'!$A$6:$DA$376,9,FALSE)</f>
        <v>5035.8412831797696</v>
      </c>
      <c r="J125" s="566">
        <f>VLOOKUP($A125,'01-02.2021'!$A$6:$CZ$403,10,FALSE)+VLOOKUP($A125,'1.3.21-28.2.22'!$A$6:$DA$404,10,FALSE)-VLOOKUP($A125,'01-02.2022'!$A$6:$DA$376,10,FALSE)</f>
        <v>5520.6255065988244</v>
      </c>
      <c r="K125" s="52">
        <f t="shared" si="94"/>
        <v>484.7842234190548</v>
      </c>
      <c r="L125" s="566">
        <f>VLOOKUP($A125,'01-02.2021'!$A$6:$CZ$403,12,FALSE)+VLOOKUP($A125,'1.3.21-28.2.22'!$A$6:$DA$404,12,FALSE)-VLOOKUP($A125,'01-02.2022'!$A$6:$DA$376,12,FALSE)</f>
        <v>908.90897455923005</v>
      </c>
      <c r="M125" s="566">
        <f>VLOOKUP($A125,'01-02.2021'!$A$6:$CZ$403,13,FALSE)+VLOOKUP($A125,'1.3.21-28.2.22'!$A$6:$DA$404,13,FALSE)-VLOOKUP($A125,'01-02.2022'!$A$6:$DA$376,13,FALSE)</f>
        <v>1000.7385557382353</v>
      </c>
      <c r="N125" s="52">
        <f t="shared" si="95"/>
        <v>91.829581179005231</v>
      </c>
      <c r="O125" s="566">
        <f>VLOOKUP($A125,'01-02.2021'!$A$6:$CZ$403,15,FALSE)+VLOOKUP($A125,'1.3.21-28.2.22'!$A$6:$DA$404,15,FALSE)-VLOOKUP($A125,'01-02.2022'!$A$6:$DA$376,15,FALSE)</f>
        <v>1951.9472700995084</v>
      </c>
      <c r="P125" s="566">
        <f>VLOOKUP($A125,'01-02.2021'!$A$6:$CZ$403,16,FALSE)+VLOOKUP($A125,'1.3.21-28.2.22'!$A$6:$DA$404,16,FALSE)-VLOOKUP($A125,'01-02.2022'!$A$6:$DA$376,16,FALSE)</f>
        <v>1951.9500000000003</v>
      </c>
      <c r="Q125" s="70">
        <f t="shared" si="111"/>
        <v>2.7299004918859282E-3</v>
      </c>
      <c r="R125" s="566">
        <f>VLOOKUP($A125,'01-02.2021'!$A$6:$CZ$403,18,FALSE)+VLOOKUP($A125,'1.3.21-28.2.22'!$A$6:$DA$404,18,FALSE)-VLOOKUP($A125,'01-02.2022'!$A$6:$DA$376,18,FALSE)</f>
        <v>0</v>
      </c>
      <c r="S125" s="566">
        <f>VLOOKUP($A125,'01-02.2021'!$A$6:$CZ$403,19,FALSE)+VLOOKUP($A125,'1.3.21-28.2.22'!$A$6:$DA$404,19,FALSE)-VLOOKUP($A125,'01-02.2022'!$A$6:$DA$376,19,FALSE)</f>
        <v>0</v>
      </c>
      <c r="T125" s="70">
        <f t="shared" si="112"/>
        <v>0</v>
      </c>
      <c r="U125" s="566">
        <f>VLOOKUP($A125,'01-02.2021'!$A$6:$CZ$403,21,FALSE)+VLOOKUP($A125,'1.3.21-28.2.22'!$A$6:$DA$404,21,FALSE)-VLOOKUP($A125,'01-02.2022'!$A$6:$DA$376,21,FALSE)</f>
        <v>0</v>
      </c>
      <c r="V125" s="566">
        <f>VLOOKUP($A125,'01-02.2021'!$A$6:$CZ$403,22,FALSE)+VLOOKUP($A125,'1.3.21-28.2.22'!$A$6:$DA$404,22,FALSE)-VLOOKUP($A125,'01-02.2022'!$A$6:$DA$376,22,FALSE)</f>
        <v>0</v>
      </c>
      <c r="W125" s="70">
        <f t="shared" si="113"/>
        <v>0</v>
      </c>
      <c r="X125" s="566">
        <f>VLOOKUP($A125,'01-02.2021'!$A$6:$CZ$403,24,FALSE)+VLOOKUP($A125,'1.3.21-28.2.22'!$A$6:$DA$404,24,FALSE)-VLOOKUP($A125,'01-02.2022'!$A$6:$DA$376,24,FALSE)</f>
        <v>2537.0368591686129</v>
      </c>
      <c r="Y125" s="566">
        <f>VLOOKUP($A125,'01-02.2021'!$A$6:$CZ$403,25,FALSE)+VLOOKUP($A125,'1.3.21-28.2.22'!$A$6:$DA$404,25,FALSE)-VLOOKUP($A125,'01-02.2022'!$A$6:$DA$376,25,FALSE)</f>
        <v>1959.8893616300195</v>
      </c>
      <c r="Z125" s="70">
        <f t="shared" si="114"/>
        <v>-577.14749753859337</v>
      </c>
      <c r="AA125" s="566">
        <f>VLOOKUP($A125,'01-02.2021'!$A$6:$CZ$403,27,FALSE)+VLOOKUP($A125,'1.3.21-28.2.22'!$A$6:$DA$404,27,FALSE)-VLOOKUP($A125,'01-02.2022'!$A$6:$DA$376,27,FALSE)</f>
        <v>294.24</v>
      </c>
      <c r="AB125" s="566">
        <f>VLOOKUP($A125,'01-02.2021'!$A$6:$CZ$403,28,FALSE)+VLOOKUP($A125,'1.3.21-28.2.22'!$A$6:$DA$404,28,FALSE)-VLOOKUP($A125,'01-02.2022'!$A$6:$DA$376,28,FALSE)</f>
        <v>0</v>
      </c>
      <c r="AC125" s="70">
        <f t="shared" si="115"/>
        <v>-294.24</v>
      </c>
      <c r="AD125" s="566">
        <f>VLOOKUP($A125,'01-02.2021'!$A$6:$CZ$403,30,FALSE)+VLOOKUP($A125,'1.3.21-28.2.22'!$A$6:$DA$404,30,FALSE)-VLOOKUP($A125,'01-02.2022'!$A$6:$DA$376,30,FALSE)</f>
        <v>6317.5310633867966</v>
      </c>
      <c r="AE125" s="566">
        <f>VLOOKUP($A125,'01-02.2021'!$A$6:$CZ$403,31,FALSE)+VLOOKUP($A125,'1.3.21-28.2.22'!$A$6:$DA$404,31,FALSE)-VLOOKUP($A125,'01-02.2022'!$A$6:$DA$376,31,FALSE)</f>
        <v>6794.6320194513492</v>
      </c>
      <c r="AF125" s="68">
        <f t="shared" si="116"/>
        <v>477.10095606455252</v>
      </c>
      <c r="AG125" s="77">
        <f t="shared" si="86"/>
        <v>17045.505450393917</v>
      </c>
      <c r="AH125" s="53">
        <f t="shared" si="86"/>
        <v>17227.835443418429</v>
      </c>
      <c r="AI125" s="52">
        <f t="shared" si="96"/>
        <v>182.32999302451208</v>
      </c>
      <c r="AJ125" s="566">
        <f>VLOOKUP($A125,'01-02.2021'!$A$6:$CZ$403,36,FALSE)+VLOOKUP($A125,'1.3.21-28.2.22'!$A$6:$DA$404,36,FALSE)-VLOOKUP($A125,'01-02.2022'!$A$6:$DA$376,36,FALSE)</f>
        <v>0</v>
      </c>
      <c r="AK125" s="566">
        <f>VLOOKUP($A125,'01-02.2021'!$A$6:$CZ$403,37,FALSE)+VLOOKUP($A125,'1.3.21-28.2.22'!$A$6:$DA$404,37,FALSE)-VLOOKUP($A125,'01-02.2022'!$A$6:$DA$376,37,FALSE)</f>
        <v>0</v>
      </c>
      <c r="AL125" s="70">
        <f t="shared" si="117"/>
        <v>0</v>
      </c>
      <c r="AM125" s="566">
        <f>VLOOKUP($A125,'01-02.2021'!$A$6:$CZ$403,39,FALSE)+VLOOKUP($A125,'1.3.21-28.2.22'!$A$6:$DA$404,39,FALSE)-VLOOKUP($A125,'01-02.2022'!$A$6:$DA$376,39,FALSE)</f>
        <v>0</v>
      </c>
      <c r="AN125" s="566">
        <f>VLOOKUP($A125,'01-02.2021'!$A$6:$CZ$403,40,FALSE)+VLOOKUP($A125,'1.3.21-28.2.22'!$A$6:$DA$404,40,FALSE)-VLOOKUP($A125,'01-02.2022'!$A$6:$DA$376,40,FALSE)</f>
        <v>0</v>
      </c>
      <c r="AO125" s="70">
        <f t="shared" si="118"/>
        <v>0</v>
      </c>
      <c r="AP125" s="566">
        <f>VLOOKUP($A125,'01-02.2021'!$A$6:$CZ$403,42,FALSE)+VLOOKUP($A125,'1.3.21-28.2.22'!$A$6:$DA$404,42,FALSE)-VLOOKUP($A125,'01-02.2022'!$A$6:$DA$376,42,FALSE)</f>
        <v>3904.1994375958316</v>
      </c>
      <c r="AQ125" s="566">
        <f>VLOOKUP($A125,'01-02.2021'!$A$6:$CZ$403,43,FALSE)+VLOOKUP($A125,'1.3.21-28.2.22'!$A$6:$DA$404,43,FALSE)-VLOOKUP($A125,'01-02.2022'!$A$6:$DA$376,43,FALSE)</f>
        <v>3309.6011858504053</v>
      </c>
      <c r="AR125" s="70">
        <f t="shared" si="119"/>
        <v>-594.5982517454263</v>
      </c>
      <c r="AS125" s="566">
        <f>VLOOKUP($A125,'01-02.2021'!$A$6:$CZ$403,45,FALSE)+VLOOKUP($A125,'1.3.21-28.2.22'!$A$6:$DA$404,45,FALSE)-VLOOKUP($A125,'01-02.2022'!$A$6:$DA$376,45,FALSE)</f>
        <v>14487.030393140099</v>
      </c>
      <c r="AT125" s="566">
        <f>VLOOKUP($A125,'01-02.2021'!$A$6:$CZ$403,46,FALSE)+VLOOKUP($A125,'1.3.21-28.2.22'!$A$6:$DA$404,46,FALSE)-VLOOKUP($A125,'01-02.2022'!$A$6:$DA$376,46,FALSE)</f>
        <v>2141.3599999999997</v>
      </c>
      <c r="AU125" s="78">
        <f t="shared" si="120"/>
        <v>-12345.670393140099</v>
      </c>
      <c r="AV125" s="566">
        <f>VLOOKUP($A125,'01-02.2021'!$A$6:$CZ$403,48,FALSE)+VLOOKUP($A125,'1.3.21-28.2.22'!$A$6:$DA$404,48,FALSE)-VLOOKUP($A125,'01-02.2022'!$A$6:$DA$376,48,FALSE)</f>
        <v>1390.0662243052514</v>
      </c>
      <c r="AW125" s="566">
        <f>VLOOKUP($A125,'01-02.2021'!$A$6:$CZ$403,49,FALSE)+VLOOKUP($A125,'1.3.21-28.2.22'!$A$6:$DA$404,49,FALSE)-VLOOKUP($A125,'01-02.2022'!$A$6:$DA$376,49,FALSE)</f>
        <v>1467</v>
      </c>
      <c r="AX125" s="55">
        <f t="shared" si="121"/>
        <v>76.933775694748647</v>
      </c>
      <c r="AY125" s="566">
        <f>VLOOKUP($A125,'01-02.2021'!$A$6:$CZ$403,51,FALSE)+VLOOKUP($A125,'1.3.21-28.2.22'!$A$6:$DA$404,51,FALSE)-VLOOKUP($A125,'01-02.2022'!$A$6:$DA$376,51,FALSE)</f>
        <v>1708.4456143658276</v>
      </c>
      <c r="AZ125" s="566">
        <f>VLOOKUP($A125,'01-02.2021'!$A$6:$CZ$403,52,FALSE)+VLOOKUP($A125,'1.3.21-28.2.22'!$A$6:$DA$404,52,FALSE)-VLOOKUP($A125,'01-02.2022'!$A$6:$DA$376,52,FALSE)</f>
        <v>0</v>
      </c>
      <c r="BA125" s="38">
        <f t="shared" si="122"/>
        <v>-1708.4456143658276</v>
      </c>
      <c r="BB125" s="566">
        <f>VLOOKUP($A125,'01-02.2021'!$A$6:$CZ$403,54,FALSE)+VLOOKUP($A125,'1.3.21-28.2.22'!$A$6:$DA$404,54,FALSE)-VLOOKUP($A125,'01-02.2022'!$A$6:$DA$376,54,FALSE)</f>
        <v>833.66628173666152</v>
      </c>
      <c r="BC125" s="566">
        <f>VLOOKUP($A125,'01-02.2021'!$A$6:$CZ$403,55,FALSE)+VLOOKUP($A125,'1.3.21-28.2.22'!$A$6:$DA$404,55,FALSE)-VLOOKUP($A125,'01-02.2022'!$A$6:$DA$376,55,FALSE)</f>
        <v>0</v>
      </c>
      <c r="BD125" s="55">
        <f t="shared" si="123"/>
        <v>-833.66628173666152</v>
      </c>
      <c r="BE125" s="566">
        <f>VLOOKUP($A125,'01-02.2021'!$A$6:$CZ$403,57,FALSE)+VLOOKUP($A125,'1.3.21-28.2.22'!$A$6:$DA$404,57,FALSE)-VLOOKUP($A125,'01-02.2022'!$A$6:$DA$376,57,FALSE)</f>
        <v>0</v>
      </c>
      <c r="BF125" s="566">
        <f>VLOOKUP($A125,'01-02.2021'!$A$6:$CZ$403,58,FALSE)+VLOOKUP($A125,'1.3.21-28.2.22'!$A$6:$DA$404,58,FALSE)-VLOOKUP($A125,'01-02.2022'!$A$6:$DA$376,58,FALSE)</f>
        <v>0</v>
      </c>
      <c r="BG125" s="55">
        <f t="shared" si="124"/>
        <v>0</v>
      </c>
      <c r="BH125" s="566">
        <f>VLOOKUP($A125,'01-02.2021'!$A$6:$CZ$403,60,FALSE)+VLOOKUP($A125,'1.3.21-28.2.22'!$A$6:$DA$404,60,FALSE)-VLOOKUP($A125,'01-02.2022'!$A$6:$DA$376,60,FALSE)</f>
        <v>0</v>
      </c>
      <c r="BI125" s="566">
        <f>VLOOKUP($A125,'01-02.2021'!$A$6:$CZ$403,61,FALSE)+VLOOKUP($A125,'1.3.21-28.2.22'!$A$6:$DA$404,61,FALSE)-VLOOKUP($A125,'01-02.2022'!$A$6:$DA$376,61,FALSE)</f>
        <v>0</v>
      </c>
      <c r="BJ125" s="55">
        <f t="shared" si="125"/>
        <v>0</v>
      </c>
      <c r="BK125" s="566">
        <f>VLOOKUP($A125,'01-02.2021'!$A$6:$CZ$403,63,FALSE)+VLOOKUP($A125,'1.3.21-28.2.22'!$A$6:$DA$404,63,FALSE)-VLOOKUP($A125,'01-02.2022'!$A$6:$DA$376,63,FALSE)</f>
        <v>637.41299766984798</v>
      </c>
      <c r="BL125" s="566">
        <f>VLOOKUP($A125,'01-02.2021'!$A$6:$CZ$403,64,FALSE)+VLOOKUP($A125,'1.3.21-28.2.22'!$A$6:$DA$404,64,FALSE)-VLOOKUP($A125,'01-02.2022'!$A$6:$DA$376,64,FALSE)</f>
        <v>622</v>
      </c>
      <c r="BM125" s="55">
        <f t="shared" si="126"/>
        <v>-15.412997669847982</v>
      </c>
      <c r="BN125" s="566">
        <f>VLOOKUP($A125,'01-02.2021'!$A$6:$CZ$403,66,FALSE)+VLOOKUP($A125,'1.3.21-28.2.22'!$A$6:$DA$404,66,FALSE)-VLOOKUP($A125,'01-02.2022'!$A$6:$DA$376,66,FALSE)</f>
        <v>73.56</v>
      </c>
      <c r="BO125" s="566">
        <f>VLOOKUP($A125,'01-02.2021'!$A$6:$CZ$403,67,FALSE)+VLOOKUP($A125,'1.3.21-28.2.22'!$A$6:$DA$404,67,FALSE)-VLOOKUP($A125,'01-02.2022'!$A$6:$DA$376,67,FALSE)</f>
        <v>0</v>
      </c>
      <c r="BP125" s="55">
        <f t="shared" si="127"/>
        <v>-73.56</v>
      </c>
      <c r="BQ125" s="77">
        <f t="shared" si="139"/>
        <v>4643.1511180775888</v>
      </c>
      <c r="BR125" s="40">
        <f t="shared" si="140"/>
        <v>2089</v>
      </c>
      <c r="BS125" s="55">
        <f t="shared" si="110"/>
        <v>-2554.1511180775888</v>
      </c>
      <c r="BT125" s="566">
        <f>VLOOKUP($A125,'01-02.2021'!$A$6:$CZ$403,72,FALSE)+VLOOKUP($A125,'1.3.21-28.2.22'!$A$6:$DA$404,72,FALSE)-VLOOKUP($A125,'01-02.2022'!$A$6:$DA$376,72,FALSE)</f>
        <v>15619.300048293509</v>
      </c>
      <c r="BU125" s="566">
        <f>VLOOKUP($A125,'01-02.2021'!$A$6:$CZ$403,73,FALSE)+VLOOKUP($A125,'1.3.21-28.2.22'!$A$6:$DA$404,73,FALSE)-VLOOKUP($A125,'01-02.2022'!$A$6:$DA$376,73,FALSE)</f>
        <v>21546.837137946724</v>
      </c>
      <c r="BV125" s="70">
        <f t="shared" si="128"/>
        <v>5927.5370896532149</v>
      </c>
      <c r="BW125" s="566">
        <f>VLOOKUP($A125,'01-02.2021'!$A$6:$CZ$403,75,FALSE)+VLOOKUP($A125,'1.3.21-28.2.22'!$A$6:$DA$404,75,FALSE)-VLOOKUP($A125,'01-02.2022'!$A$6:$DA$376,75,FALSE)</f>
        <v>7432.7167416475559</v>
      </c>
      <c r="BX125" s="566">
        <f>VLOOKUP($A125,'01-02.2021'!$A$6:$CZ$403,76,FALSE)+VLOOKUP($A125,'1.3.21-28.2.22'!$A$6:$DA$404,76,FALSE)-VLOOKUP($A125,'01-02.2022'!$A$6:$DA$376,76,FALSE)</f>
        <v>6883.9986710262501</v>
      </c>
      <c r="BY125" s="70">
        <f t="shared" si="129"/>
        <v>-548.71807062130574</v>
      </c>
      <c r="BZ125" s="566">
        <f>VLOOKUP($A125,'01-02.2021'!$A$6:$CZ$403,78,FALSE)+VLOOKUP($A125,'1.3.21-28.2.22'!$A$6:$DA$404,78,FALSE)-VLOOKUP($A125,'01-02.2022'!$A$6:$DA$376,78,FALSE)</f>
        <v>8049.2852024390386</v>
      </c>
      <c r="CA125" s="566">
        <f>VLOOKUP($A125,'01-02.2021'!$A$6:$CZ$403,79,FALSE)+VLOOKUP($A125,'1.3.21-28.2.22'!$A$6:$DA$404,79,FALSE)-VLOOKUP($A125,'01-02.2022'!$A$6:$DA$376,79,FALSE)</f>
        <v>4478.3675170430342</v>
      </c>
      <c r="CB125" s="70">
        <f t="shared" si="130"/>
        <v>-3570.9176853960043</v>
      </c>
      <c r="CC125" s="566">
        <f>VLOOKUP($A125,'01-02.2021'!$A$6:$CZ$403,81,FALSE)+VLOOKUP($A125,'1.3.21-28.2.22'!$A$6:$DA$404,81,FALSE)-VLOOKUP($A125,'01-02.2022'!$A$6:$DA$376,81,FALSE)</f>
        <v>333.84338484282659</v>
      </c>
      <c r="CD125" s="566">
        <f>VLOOKUP($A125,'01-02.2021'!$A$6:$CZ$403,82,FALSE)+VLOOKUP($A125,'1.3.21-28.2.22'!$A$6:$DA$404,82,FALSE)-VLOOKUP($A125,'01-02.2022'!$A$6:$DA$376,82,FALSE)</f>
        <v>364.88848925666701</v>
      </c>
      <c r="CE125" s="70">
        <f t="shared" si="131"/>
        <v>31.04510441384042</v>
      </c>
      <c r="CF125" s="566">
        <f>VLOOKUP($A125,'01-02.2021'!$A$6:$CZ$403,84,FALSE)+VLOOKUP($A125,'1.3.21-28.2.22'!$A$6:$DA$404,84,FALSE)-VLOOKUP($A125,'01-02.2022'!$A$6:$DA$376,84,FALSE)</f>
        <v>40.585540289008001</v>
      </c>
      <c r="CG125" s="566">
        <f>VLOOKUP($A125,'01-02.2021'!$A$6:$CZ$403,85,FALSE)+VLOOKUP($A125,'1.3.21-28.2.22'!$A$6:$DA$404,85,FALSE)-VLOOKUP($A125,'01-02.2022'!$A$6:$DA$376,85,FALSE)</f>
        <v>0</v>
      </c>
      <c r="CH125" s="70">
        <f t="shared" si="132"/>
        <v>-40.585540289008001</v>
      </c>
      <c r="CI125" s="566">
        <f>VLOOKUP($A125,'01-02.2021'!$A$6:$CZ$403,87,FALSE)+VLOOKUP($A125,'1.3.21-28.2.22'!$A$6:$DA$404,87,FALSE)-VLOOKUP($A125,'01-02.2022'!$A$6:$DA$376,87,FALSE)</f>
        <v>2936.8061292446555</v>
      </c>
      <c r="CJ125" s="566">
        <f>VLOOKUP($A125,'01-02.2021'!$A$6:$CZ$403,88,FALSE)+VLOOKUP($A125,'1.3.21-28.2.22'!$A$6:$DA$404,88,FALSE)-VLOOKUP($A125,'01-02.2022'!$A$6:$DA$376,88,FALSE)</f>
        <v>1978.48871214157</v>
      </c>
      <c r="CK125" s="70">
        <f t="shared" si="133"/>
        <v>-958.31741710308552</v>
      </c>
      <c r="CL125" s="566">
        <f>VLOOKUP($A125,'01-02.2021'!$A$6:$CZ$403,90,FALSE)+VLOOKUP($A125,'1.3.21-28.2.22'!$A$6:$DA$404,90,FALSE)-VLOOKUP($A125,'01-02.2022'!$A$6:$DA$376,90,FALSE)</f>
        <v>0</v>
      </c>
      <c r="CM125" s="566">
        <f>VLOOKUP($A125,'01-02.2021'!$A$6:$CZ$403,91,FALSE)+VLOOKUP($A125,'1.3.21-28.2.22'!$A$6:$DA$404,91,FALSE)-VLOOKUP($A125,'01-02.2022'!$A$6:$DA$376,91,FALSE)</f>
        <v>0</v>
      </c>
      <c r="CN125" s="52">
        <f t="shared" si="97"/>
        <v>0</v>
      </c>
      <c r="CO125" s="39">
        <f t="shared" si="89"/>
        <v>2936.8061292446555</v>
      </c>
      <c r="CP125" s="40">
        <f t="shared" si="98"/>
        <v>1978.48871214157</v>
      </c>
      <c r="CQ125" s="52">
        <f t="shared" si="99"/>
        <v>-958.31741710308552</v>
      </c>
      <c r="CR125" s="72">
        <f t="shared" si="90"/>
        <v>74492.423445964014</v>
      </c>
      <c r="CS125" s="5">
        <f t="shared" si="90"/>
        <v>60020.377156683084</v>
      </c>
      <c r="CT125" s="52">
        <f t="shared" si="100"/>
        <v>-14472.04628928093</v>
      </c>
      <c r="CU125" s="77">
        <f t="shared" si="101"/>
        <v>89390.908135156817</v>
      </c>
      <c r="CV125" s="65">
        <f t="shared" si="102"/>
        <v>72024.452588019703</v>
      </c>
      <c r="CW125" s="35">
        <f t="shared" si="103"/>
        <v>-17366.455547137113</v>
      </c>
      <c r="CX125" s="566">
        <f>VLOOKUP($A125,'01-02.2021'!$A$6:$CZ$403,102,FALSE)+VLOOKUP($A125,'1.3.21-28.2.22'!$A$6:$DA$404,102,FALSE)-VLOOKUP($A125,'01-02.2022'!$A$6:$DA$376,102,FALSE)</f>
        <v>2539.2781037478185</v>
      </c>
      <c r="CY125" s="566">
        <f>VLOOKUP($A125,'01-02.2021'!$A$6:$CZ$403,103,FALSE)+VLOOKUP($A125,'1.3.21-28.2.22'!$A$6:$DA$404,103,FALSE)-VLOOKUP($A125,'01-02.2022'!$A$6:$DA$376,103,FALSE)</f>
        <v>19905.733650884955</v>
      </c>
      <c r="CZ125" s="52">
        <f t="shared" si="104"/>
        <v>17366.455547137135</v>
      </c>
      <c r="DA125" s="150">
        <f>'[2]побудинковий звіт'!DA125</f>
        <v>-23466.278570987961</v>
      </c>
      <c r="DB125" s="2">
        <v>2</v>
      </c>
      <c r="DC125" s="414">
        <f>'[4]побудинковий звіт'!DC125</f>
        <v>19994.259999999998</v>
      </c>
      <c r="DD125" s="414">
        <f>'[4]побудинковий звіт'!DD125</f>
        <v>623.67999999999995</v>
      </c>
      <c r="DE125" s="557">
        <f>'[4]побудинковий звіт'!DE125</f>
        <v>12125.494418827002</v>
      </c>
      <c r="DF125" s="557">
        <f>'[4]побудинковий звіт'!DF125</f>
        <v>154.58673428542522</v>
      </c>
      <c r="DG125" s="321">
        <f>VLOOKUP(A125,'кошти 01.03.2021'!$A$6:$D$401,4,)</f>
        <v>-2942.9479973060334</v>
      </c>
      <c r="DH125" s="40">
        <f>'[3]побудинковий звіт'!DJ125</f>
        <v>95131.14419045439</v>
      </c>
      <c r="DI125" s="422">
        <f>'[3]побудинковий звіт'!CU125+'[3]побудинковий звіт'!CX125</f>
        <v>8337.8588468875714</v>
      </c>
      <c r="DJ125" s="306">
        <f>'[3]побудинковий звіт'!DM125</f>
        <v>5.7028305415081881</v>
      </c>
      <c r="DK125" s="306">
        <f t="shared" si="145"/>
        <v>5.7028305415081881</v>
      </c>
      <c r="DL125" s="306">
        <f>'[3]побудинковий звіт'!DO125</f>
        <v>5.0548843288208483</v>
      </c>
      <c r="DM125" s="28">
        <f t="shared" si="146"/>
        <v>7868.7655811729974</v>
      </c>
      <c r="DN125" s="28">
        <f t="shared" ref="DN125:DN130" si="148">H125*DL125</f>
        <v>469.09326571457473</v>
      </c>
      <c r="DO125" s="423">
        <f t="shared" si="105"/>
        <v>8337.8588468875714</v>
      </c>
      <c r="DP125" s="94">
        <f t="shared" si="106"/>
        <v>0</v>
      </c>
      <c r="DQ125" s="28">
        <f t="shared" si="107"/>
        <v>8337.8588468875714</v>
      </c>
      <c r="DR125" s="318"/>
      <c r="DT125" s="8"/>
      <c r="DU125" s="5"/>
      <c r="DX125" s="5">
        <f t="shared" si="108"/>
        <v>22956.217813461226</v>
      </c>
      <c r="DY125" s="5">
        <f t="shared" si="109"/>
        <v>5076.4319999999998</v>
      </c>
      <c r="DZ125" s="159">
        <f>'[3]побудинковий звіт'!EA125</f>
        <v>2239.0392999927399</v>
      </c>
    </row>
    <row r="126" spans="1:130" x14ac:dyDescent="0.3">
      <c r="A126" s="325">
        <v>150000612</v>
      </c>
      <c r="B126" s="41" t="s">
        <v>575</v>
      </c>
      <c r="C126" s="42" t="s">
        <v>162</v>
      </c>
      <c r="D126" s="42"/>
      <c r="E126" s="293">
        <f t="shared" si="85"/>
        <v>498.78</v>
      </c>
      <c r="F126" s="305">
        <f>'[3]побудинковий звіт'!F126</f>
        <v>498.78</v>
      </c>
      <c r="G126" s="508">
        <f>'[3]побудинковий звіт'!G126</f>
        <v>0</v>
      </c>
      <c r="H126" s="560">
        <f>'[3]побудинковий звіт'!H126</f>
        <v>0</v>
      </c>
      <c r="I126" s="566">
        <f>VLOOKUP($A126,'01-02.2021'!$A$6:$CZ$403,9,FALSE)+VLOOKUP($A126,'1.3.21-28.2.22'!$A$6:$DA$404,9,FALSE)-VLOOKUP($A126,'01-02.2022'!$A$6:$DA$376,9,FALSE)</f>
        <v>1632.7912188886903</v>
      </c>
      <c r="J126" s="566">
        <f>VLOOKUP($A126,'01-02.2021'!$A$6:$CZ$403,10,FALSE)+VLOOKUP($A126,'1.3.21-28.2.22'!$A$6:$DA$404,10,FALSE)-VLOOKUP($A126,'01-02.2022'!$A$6:$DA$376,10,FALSE)</f>
        <v>1767.6272583807622</v>
      </c>
      <c r="K126" s="52">
        <f t="shared" si="94"/>
        <v>134.8360394920719</v>
      </c>
      <c r="L126" s="566">
        <f>VLOOKUP($A126,'01-02.2021'!$A$6:$CZ$403,12,FALSE)+VLOOKUP($A126,'1.3.21-28.2.22'!$A$6:$DA$404,12,FALSE)-VLOOKUP($A126,'01-02.2022'!$A$6:$DA$376,12,FALSE)</f>
        <v>670.38442850688079</v>
      </c>
      <c r="M126" s="566">
        <f>VLOOKUP($A126,'01-02.2021'!$A$6:$CZ$403,13,FALSE)+VLOOKUP($A126,'1.3.21-28.2.22'!$A$6:$DA$404,13,FALSE)-VLOOKUP($A126,'01-02.2022'!$A$6:$DA$376,13,FALSE)</f>
        <v>738.11577815175121</v>
      </c>
      <c r="N126" s="52">
        <f t="shared" si="95"/>
        <v>67.73134964487042</v>
      </c>
      <c r="O126" s="566">
        <f>VLOOKUP($A126,'01-02.2021'!$A$6:$CZ$403,15,FALSE)+VLOOKUP($A126,'1.3.21-28.2.22'!$A$6:$DA$404,15,FALSE)-VLOOKUP($A126,'01-02.2022'!$A$6:$DA$376,15,FALSE)</f>
        <v>624.36361102479168</v>
      </c>
      <c r="P126" s="566">
        <f>VLOOKUP($A126,'01-02.2021'!$A$6:$CZ$403,16,FALSE)+VLOOKUP($A126,'1.3.21-28.2.22'!$A$6:$DA$404,16,FALSE)-VLOOKUP($A126,'01-02.2022'!$A$6:$DA$376,16,FALSE)</f>
        <v>624.36999999999989</v>
      </c>
      <c r="Q126" s="70">
        <f t="shared" si="111"/>
        <v>6.3889752082104678E-3</v>
      </c>
      <c r="R126" s="566">
        <f>VLOOKUP($A126,'01-02.2021'!$A$6:$CZ$403,18,FALSE)+VLOOKUP($A126,'1.3.21-28.2.22'!$A$6:$DA$404,18,FALSE)-VLOOKUP($A126,'01-02.2022'!$A$6:$DA$376,18,FALSE)</f>
        <v>0</v>
      </c>
      <c r="S126" s="566">
        <f>VLOOKUP($A126,'01-02.2021'!$A$6:$CZ$403,19,FALSE)+VLOOKUP($A126,'1.3.21-28.2.22'!$A$6:$DA$404,19,FALSE)-VLOOKUP($A126,'01-02.2022'!$A$6:$DA$376,19,FALSE)</f>
        <v>0</v>
      </c>
      <c r="T126" s="70">
        <f t="shared" si="112"/>
        <v>0</v>
      </c>
      <c r="U126" s="566">
        <f>VLOOKUP($A126,'01-02.2021'!$A$6:$CZ$403,21,FALSE)+VLOOKUP($A126,'1.3.21-28.2.22'!$A$6:$DA$404,21,FALSE)-VLOOKUP($A126,'01-02.2022'!$A$6:$DA$376,21,FALSE)</f>
        <v>0</v>
      </c>
      <c r="V126" s="566">
        <f>VLOOKUP($A126,'01-02.2021'!$A$6:$CZ$403,22,FALSE)+VLOOKUP($A126,'1.3.21-28.2.22'!$A$6:$DA$404,22,FALSE)-VLOOKUP($A126,'01-02.2022'!$A$6:$DA$376,22,FALSE)</f>
        <v>0</v>
      </c>
      <c r="W126" s="70">
        <f t="shared" si="113"/>
        <v>0</v>
      </c>
      <c r="X126" s="566">
        <f>VLOOKUP($A126,'01-02.2021'!$A$6:$CZ$403,24,FALSE)+VLOOKUP($A126,'1.3.21-28.2.22'!$A$6:$DA$404,24,FALSE)-VLOOKUP($A126,'01-02.2022'!$A$6:$DA$376,24,FALSE)</f>
        <v>1048.7219231091631</v>
      </c>
      <c r="Y126" s="566">
        <f>VLOOKUP($A126,'01-02.2021'!$A$6:$CZ$403,25,FALSE)+VLOOKUP($A126,'1.3.21-28.2.22'!$A$6:$DA$404,25,FALSE)-VLOOKUP($A126,'01-02.2022'!$A$6:$DA$376,25,FALSE)</f>
        <v>808.57887621044017</v>
      </c>
      <c r="Z126" s="70">
        <f t="shared" si="114"/>
        <v>-240.1430468987229</v>
      </c>
      <c r="AA126" s="566">
        <f>VLOOKUP($A126,'01-02.2021'!$A$6:$CZ$403,27,FALSE)+VLOOKUP($A126,'1.3.21-28.2.22'!$A$6:$DA$404,27,FALSE)-VLOOKUP($A126,'01-02.2022'!$A$6:$DA$376,27,FALSE)</f>
        <v>99.756</v>
      </c>
      <c r="AB126" s="566">
        <f>VLOOKUP($A126,'01-02.2021'!$A$6:$CZ$403,28,FALSE)+VLOOKUP($A126,'1.3.21-28.2.22'!$A$6:$DA$404,28,FALSE)-VLOOKUP($A126,'01-02.2022'!$A$6:$DA$376,28,FALSE)</f>
        <v>0</v>
      </c>
      <c r="AC126" s="70">
        <f t="shared" si="115"/>
        <v>-99.756</v>
      </c>
      <c r="AD126" s="566">
        <f>VLOOKUP($A126,'01-02.2021'!$A$6:$CZ$403,30,FALSE)+VLOOKUP($A126,'1.3.21-28.2.22'!$A$6:$DA$404,30,FALSE)-VLOOKUP($A126,'01-02.2022'!$A$6:$DA$376,30,FALSE)</f>
        <v>2142.4261695748373</v>
      </c>
      <c r="AE126" s="566">
        <f>VLOOKUP($A126,'01-02.2021'!$A$6:$CZ$403,31,FALSE)+VLOOKUP($A126,'1.3.21-28.2.22'!$A$6:$DA$404,31,FALSE)-VLOOKUP($A126,'01-02.2022'!$A$6:$DA$376,31,FALSE)</f>
        <v>2270.4666569686324</v>
      </c>
      <c r="AF126" s="68">
        <f t="shared" si="116"/>
        <v>128.04048739379505</v>
      </c>
      <c r="AG126" s="77">
        <f t="shared" si="86"/>
        <v>6218.4433511043626</v>
      </c>
      <c r="AH126" s="53">
        <f t="shared" si="86"/>
        <v>6209.1585697115861</v>
      </c>
      <c r="AI126" s="52">
        <f t="shared" si="96"/>
        <v>-9.2847813927764946</v>
      </c>
      <c r="AJ126" s="566">
        <f>VLOOKUP($A126,'01-02.2021'!$A$6:$CZ$403,36,FALSE)+VLOOKUP($A126,'1.3.21-28.2.22'!$A$6:$DA$404,36,FALSE)-VLOOKUP($A126,'01-02.2022'!$A$6:$DA$376,36,FALSE)</f>
        <v>0</v>
      </c>
      <c r="AK126" s="566">
        <f>VLOOKUP($A126,'01-02.2021'!$A$6:$CZ$403,37,FALSE)+VLOOKUP($A126,'1.3.21-28.2.22'!$A$6:$DA$404,37,FALSE)-VLOOKUP($A126,'01-02.2022'!$A$6:$DA$376,37,FALSE)</f>
        <v>0</v>
      </c>
      <c r="AL126" s="70">
        <f t="shared" si="117"/>
        <v>0</v>
      </c>
      <c r="AM126" s="566">
        <f>VLOOKUP($A126,'01-02.2021'!$A$6:$CZ$403,39,FALSE)+VLOOKUP($A126,'1.3.21-28.2.22'!$A$6:$DA$404,39,FALSE)-VLOOKUP($A126,'01-02.2022'!$A$6:$DA$376,39,FALSE)</f>
        <v>0</v>
      </c>
      <c r="AN126" s="566">
        <f>VLOOKUP($A126,'01-02.2021'!$A$6:$CZ$403,40,FALSE)+VLOOKUP($A126,'1.3.21-28.2.22'!$A$6:$DA$404,40,FALSE)-VLOOKUP($A126,'01-02.2022'!$A$6:$DA$376,40,FALSE)</f>
        <v>0</v>
      </c>
      <c r="AO126" s="70">
        <f t="shared" si="118"/>
        <v>0</v>
      </c>
      <c r="AP126" s="566">
        <f>VLOOKUP($A126,'01-02.2021'!$A$6:$CZ$403,42,FALSE)+VLOOKUP($A126,'1.3.21-28.2.22'!$A$6:$DA$404,42,FALSE)-VLOOKUP($A126,'01-02.2022'!$A$6:$DA$376,42,FALSE)</f>
        <v>1041.1198500255546</v>
      </c>
      <c r="AQ126" s="566">
        <f>VLOOKUP($A126,'01-02.2021'!$A$6:$CZ$403,43,FALSE)+VLOOKUP($A126,'1.3.21-28.2.22'!$A$6:$DA$404,43,FALSE)-VLOOKUP($A126,'01-02.2022'!$A$6:$DA$376,43,FALSE)</f>
        <v>854.02925641112824</v>
      </c>
      <c r="AR126" s="70">
        <f t="shared" si="119"/>
        <v>-187.09059361442633</v>
      </c>
      <c r="AS126" s="566">
        <f>VLOOKUP($A126,'01-02.2021'!$A$6:$CZ$403,45,FALSE)+VLOOKUP($A126,'1.3.21-28.2.22'!$A$6:$DA$404,45,FALSE)-VLOOKUP($A126,'01-02.2022'!$A$6:$DA$376,45,FALSE)</f>
        <v>8054.907127514889</v>
      </c>
      <c r="AT126" s="566">
        <f>VLOOKUP($A126,'01-02.2021'!$A$6:$CZ$403,46,FALSE)+VLOOKUP($A126,'1.3.21-28.2.22'!$A$6:$DA$404,46,FALSE)-VLOOKUP($A126,'01-02.2022'!$A$6:$DA$376,46,FALSE)</f>
        <v>251</v>
      </c>
      <c r="AU126" s="78">
        <f t="shared" si="120"/>
        <v>-7803.907127514889</v>
      </c>
      <c r="AV126" s="566">
        <f>VLOOKUP($A126,'01-02.2021'!$A$6:$CZ$403,48,FALSE)+VLOOKUP($A126,'1.3.21-28.2.22'!$A$6:$DA$404,48,FALSE)-VLOOKUP($A126,'01-02.2022'!$A$6:$DA$376,48,FALSE)</f>
        <v>615.60966157953578</v>
      </c>
      <c r="AW126" s="566">
        <f>VLOOKUP($A126,'01-02.2021'!$A$6:$CZ$403,49,FALSE)+VLOOKUP($A126,'1.3.21-28.2.22'!$A$6:$DA$404,49,FALSE)-VLOOKUP($A126,'01-02.2022'!$A$6:$DA$376,49,FALSE)</f>
        <v>0</v>
      </c>
      <c r="AX126" s="55">
        <f t="shared" si="121"/>
        <v>-615.60966157953578</v>
      </c>
      <c r="AY126" s="566">
        <f>VLOOKUP($A126,'01-02.2021'!$A$6:$CZ$403,51,FALSE)+VLOOKUP($A126,'1.3.21-28.2.22'!$A$6:$DA$404,51,FALSE)-VLOOKUP($A126,'01-02.2022'!$A$6:$DA$376,51,FALSE)</f>
        <v>1260.3564048266767</v>
      </c>
      <c r="AZ126" s="566">
        <f>VLOOKUP($A126,'01-02.2021'!$A$6:$CZ$403,52,FALSE)+VLOOKUP($A126,'1.3.21-28.2.22'!$A$6:$DA$404,52,FALSE)-VLOOKUP($A126,'01-02.2022'!$A$6:$DA$376,52,FALSE)</f>
        <v>0</v>
      </c>
      <c r="BA126" s="38">
        <f t="shared" si="122"/>
        <v>-1260.3564048266767</v>
      </c>
      <c r="BB126" s="566">
        <f>VLOOKUP($A126,'01-02.2021'!$A$6:$CZ$403,54,FALSE)+VLOOKUP($A126,'1.3.21-28.2.22'!$A$6:$DA$404,54,FALSE)-VLOOKUP($A126,'01-02.2022'!$A$6:$DA$376,54,FALSE)</f>
        <v>127.05366776514285</v>
      </c>
      <c r="BC126" s="566">
        <f>VLOOKUP($A126,'01-02.2021'!$A$6:$CZ$403,55,FALSE)+VLOOKUP($A126,'1.3.21-28.2.22'!$A$6:$DA$404,55,FALSE)-VLOOKUP($A126,'01-02.2022'!$A$6:$DA$376,55,FALSE)</f>
        <v>0</v>
      </c>
      <c r="BD126" s="55">
        <f t="shared" si="123"/>
        <v>-127.05366776514285</v>
      </c>
      <c r="BE126" s="566">
        <f>VLOOKUP($A126,'01-02.2021'!$A$6:$CZ$403,57,FALSE)+VLOOKUP($A126,'1.3.21-28.2.22'!$A$6:$DA$404,57,FALSE)-VLOOKUP($A126,'01-02.2022'!$A$6:$DA$376,57,FALSE)</f>
        <v>0</v>
      </c>
      <c r="BF126" s="566">
        <f>VLOOKUP($A126,'01-02.2021'!$A$6:$CZ$403,58,FALSE)+VLOOKUP($A126,'1.3.21-28.2.22'!$A$6:$DA$404,58,FALSE)-VLOOKUP($A126,'01-02.2022'!$A$6:$DA$376,58,FALSE)</f>
        <v>0</v>
      </c>
      <c r="BG126" s="55">
        <f t="shared" si="124"/>
        <v>0</v>
      </c>
      <c r="BH126" s="566">
        <f>VLOOKUP($A126,'01-02.2021'!$A$6:$CZ$403,60,FALSE)+VLOOKUP($A126,'1.3.21-28.2.22'!$A$6:$DA$404,60,FALSE)-VLOOKUP($A126,'01-02.2022'!$A$6:$DA$376,60,FALSE)</f>
        <v>0</v>
      </c>
      <c r="BI126" s="566">
        <f>VLOOKUP($A126,'01-02.2021'!$A$6:$CZ$403,61,FALSE)+VLOOKUP($A126,'1.3.21-28.2.22'!$A$6:$DA$404,61,FALSE)-VLOOKUP($A126,'01-02.2022'!$A$6:$DA$376,61,FALSE)</f>
        <v>0</v>
      </c>
      <c r="BJ126" s="55">
        <f t="shared" si="125"/>
        <v>0</v>
      </c>
      <c r="BK126" s="566">
        <f>VLOOKUP($A126,'01-02.2021'!$A$6:$CZ$403,63,FALSE)+VLOOKUP($A126,'1.3.21-28.2.22'!$A$6:$DA$404,63,FALSE)-VLOOKUP($A126,'01-02.2022'!$A$6:$DA$376,63,FALSE)</f>
        <v>104.41206486093597</v>
      </c>
      <c r="BL126" s="566">
        <f>VLOOKUP($A126,'01-02.2021'!$A$6:$CZ$403,64,FALSE)+VLOOKUP($A126,'1.3.21-28.2.22'!$A$6:$DA$404,64,FALSE)-VLOOKUP($A126,'01-02.2022'!$A$6:$DA$376,64,FALSE)</f>
        <v>0</v>
      </c>
      <c r="BM126" s="55">
        <f t="shared" si="126"/>
        <v>-104.41206486093597</v>
      </c>
      <c r="BN126" s="566">
        <f>VLOOKUP($A126,'01-02.2021'!$A$6:$CZ$403,66,FALSE)+VLOOKUP($A126,'1.3.21-28.2.22'!$A$6:$DA$404,66,FALSE)-VLOOKUP($A126,'01-02.2022'!$A$6:$DA$376,66,FALSE)</f>
        <v>24.939</v>
      </c>
      <c r="BO126" s="566">
        <f>VLOOKUP($A126,'01-02.2021'!$A$6:$CZ$403,67,FALSE)+VLOOKUP($A126,'1.3.21-28.2.22'!$A$6:$DA$404,67,FALSE)-VLOOKUP($A126,'01-02.2022'!$A$6:$DA$376,67,FALSE)</f>
        <v>0</v>
      </c>
      <c r="BP126" s="55">
        <f t="shared" si="127"/>
        <v>-24.939</v>
      </c>
      <c r="BQ126" s="77">
        <f t="shared" si="139"/>
        <v>2132.3707990322914</v>
      </c>
      <c r="BR126" s="40">
        <f t="shared" si="140"/>
        <v>0</v>
      </c>
      <c r="BS126" s="55">
        <f t="shared" si="110"/>
        <v>-2132.3707990322914</v>
      </c>
      <c r="BT126" s="566">
        <f>VLOOKUP($A126,'01-02.2021'!$A$6:$CZ$403,72,FALSE)+VLOOKUP($A126,'1.3.21-28.2.22'!$A$6:$DA$404,72,FALSE)-VLOOKUP($A126,'01-02.2022'!$A$6:$DA$376,72,FALSE)</f>
        <v>5698.0527661642036</v>
      </c>
      <c r="BU126" s="566">
        <f>VLOOKUP($A126,'01-02.2021'!$A$6:$CZ$403,73,FALSE)+VLOOKUP($A126,'1.3.21-28.2.22'!$A$6:$DA$404,73,FALSE)-VLOOKUP($A126,'01-02.2022'!$A$6:$DA$376,73,FALSE)</f>
        <v>7181.720284886479</v>
      </c>
      <c r="BV126" s="70">
        <f t="shared" si="128"/>
        <v>1483.6675187222754</v>
      </c>
      <c r="BW126" s="566">
        <f>VLOOKUP($A126,'01-02.2021'!$A$6:$CZ$403,75,FALSE)+VLOOKUP($A126,'1.3.21-28.2.22'!$A$6:$DA$404,75,FALSE)-VLOOKUP($A126,'01-02.2022'!$A$6:$DA$376,75,FALSE)</f>
        <v>2458.4800660627293</v>
      </c>
      <c r="BX126" s="566">
        <f>VLOOKUP($A126,'01-02.2021'!$A$6:$CZ$403,76,FALSE)+VLOOKUP($A126,'1.3.21-28.2.22'!$A$6:$DA$404,76,FALSE)-VLOOKUP($A126,'01-02.2022'!$A$6:$DA$376,76,FALSE)</f>
        <v>2439.1360410195357</v>
      </c>
      <c r="BY126" s="70">
        <f t="shared" si="129"/>
        <v>-19.344025043193597</v>
      </c>
      <c r="BZ126" s="566">
        <f>VLOOKUP($A126,'01-02.2021'!$A$6:$CZ$403,78,FALSE)+VLOOKUP($A126,'1.3.21-28.2.22'!$A$6:$DA$404,78,FALSE)-VLOOKUP($A126,'01-02.2022'!$A$6:$DA$376,78,FALSE)</f>
        <v>2116.8865358884623</v>
      </c>
      <c r="CA126" s="566">
        <f>VLOOKUP($A126,'01-02.2021'!$A$6:$CZ$403,79,FALSE)+VLOOKUP($A126,'1.3.21-28.2.22'!$A$6:$DA$404,79,FALSE)-VLOOKUP($A126,'01-02.2022'!$A$6:$DA$376,79,FALSE)</f>
        <v>1599.38051939978</v>
      </c>
      <c r="CB126" s="70">
        <f t="shared" si="130"/>
        <v>-517.50601648868223</v>
      </c>
      <c r="CC126" s="566">
        <f>VLOOKUP($A126,'01-02.2021'!$A$6:$CZ$403,81,FALSE)+VLOOKUP($A126,'1.3.21-28.2.22'!$A$6:$DA$404,81,FALSE)-VLOOKUP($A126,'01-02.2022'!$A$6:$DA$376,81,FALSE)</f>
        <v>339.18487900031175</v>
      </c>
      <c r="CD126" s="566">
        <f>VLOOKUP($A126,'01-02.2021'!$A$6:$CZ$403,82,FALSE)+VLOOKUP($A126,'1.3.21-28.2.22'!$A$6:$DA$404,82,FALSE)-VLOOKUP($A126,'01-02.2022'!$A$6:$DA$376,82,FALSE)</f>
        <v>370.72670508477364</v>
      </c>
      <c r="CE126" s="70">
        <f t="shared" si="131"/>
        <v>31.541826084461889</v>
      </c>
      <c r="CF126" s="566">
        <f>VLOOKUP($A126,'01-02.2021'!$A$6:$CZ$403,84,FALSE)+VLOOKUP($A126,'1.3.21-28.2.22'!$A$6:$DA$404,84,FALSE)-VLOOKUP($A126,'01-02.2022'!$A$6:$DA$376,84,FALSE)</f>
        <v>41.234908933632134</v>
      </c>
      <c r="CG126" s="566">
        <f>VLOOKUP($A126,'01-02.2021'!$A$6:$CZ$403,85,FALSE)+VLOOKUP($A126,'1.3.21-28.2.22'!$A$6:$DA$404,85,FALSE)-VLOOKUP($A126,'01-02.2022'!$A$6:$DA$376,85,FALSE)</f>
        <v>0</v>
      </c>
      <c r="CH126" s="70">
        <f t="shared" si="132"/>
        <v>-41.234908933632134</v>
      </c>
      <c r="CI126" s="566">
        <f>VLOOKUP($A126,'01-02.2021'!$A$6:$CZ$403,87,FALSE)+VLOOKUP($A126,'1.3.21-28.2.22'!$A$6:$DA$404,87,FALSE)-VLOOKUP($A126,'01-02.2022'!$A$6:$DA$376,87,FALSE)</f>
        <v>972.15823977396576</v>
      </c>
      <c r="CJ126" s="566">
        <f>VLOOKUP($A126,'01-02.2021'!$A$6:$CZ$403,88,FALSE)+VLOOKUP($A126,'1.3.21-28.2.22'!$A$6:$DA$404,88,FALSE)-VLOOKUP($A126,'01-02.2022'!$A$6:$DA$376,88,FALSE)</f>
        <v>281.29134468805688</v>
      </c>
      <c r="CK126" s="70">
        <f t="shared" si="133"/>
        <v>-690.86689508590894</v>
      </c>
      <c r="CL126" s="566">
        <f>VLOOKUP($A126,'01-02.2021'!$A$6:$CZ$403,90,FALSE)+VLOOKUP($A126,'1.3.21-28.2.22'!$A$6:$DA$404,90,FALSE)-VLOOKUP($A126,'01-02.2022'!$A$6:$DA$376,90,FALSE)</f>
        <v>0</v>
      </c>
      <c r="CM126" s="566">
        <f>VLOOKUP($A126,'01-02.2021'!$A$6:$CZ$403,91,FALSE)+VLOOKUP($A126,'1.3.21-28.2.22'!$A$6:$DA$404,91,FALSE)-VLOOKUP($A126,'01-02.2022'!$A$6:$DA$376,91,FALSE)</f>
        <v>0</v>
      </c>
      <c r="CN126" s="52">
        <f t="shared" si="97"/>
        <v>0</v>
      </c>
      <c r="CO126" s="39">
        <f t="shared" si="89"/>
        <v>972.15823977396576</v>
      </c>
      <c r="CP126" s="40">
        <f t="shared" si="98"/>
        <v>281.29134468805688</v>
      </c>
      <c r="CQ126" s="52">
        <f t="shared" si="99"/>
        <v>-690.86689508590894</v>
      </c>
      <c r="CR126" s="72">
        <f t="shared" si="90"/>
        <v>29072.838523500403</v>
      </c>
      <c r="CS126" s="5">
        <f t="shared" si="90"/>
        <v>19186.442721201336</v>
      </c>
      <c r="CT126" s="52">
        <f t="shared" si="100"/>
        <v>-9886.3958022990664</v>
      </c>
      <c r="CU126" s="77">
        <f t="shared" si="101"/>
        <v>34887.406228200482</v>
      </c>
      <c r="CV126" s="65">
        <f t="shared" si="102"/>
        <v>23023.731265441602</v>
      </c>
      <c r="CW126" s="35">
        <f t="shared" si="103"/>
        <v>-11863.67496275888</v>
      </c>
      <c r="CX126" s="566">
        <f>VLOOKUP($A126,'01-02.2021'!$A$6:$CZ$403,102,FALSE)+VLOOKUP($A126,'1.3.21-28.2.22'!$A$6:$DA$404,102,FALSE)-VLOOKUP($A126,'01-02.2022'!$A$6:$DA$376,102,FALSE)</f>
        <v>644.57809842623351</v>
      </c>
      <c r="CY126" s="566">
        <f>VLOOKUP($A126,'01-02.2021'!$A$6:$CZ$403,103,FALSE)+VLOOKUP($A126,'1.3.21-28.2.22'!$A$6:$DA$404,103,FALSE)-VLOOKUP($A126,'01-02.2022'!$A$6:$DA$376,103,FALSE)</f>
        <v>12508.2530611851</v>
      </c>
      <c r="CZ126" s="52">
        <f t="shared" si="104"/>
        <v>11863.674962758867</v>
      </c>
      <c r="DA126" s="150">
        <f>'[2]побудинковий звіт'!DA126</f>
        <v>-14084.167035258015</v>
      </c>
      <c r="DB126" s="2">
        <v>2</v>
      </c>
      <c r="DC126" s="414">
        <f>'[4]побудинковий звіт'!DC126</f>
        <v>3232.69</v>
      </c>
      <c r="DD126" s="414">
        <f>'[4]побудинковий звіт'!DD126</f>
        <v>0</v>
      </c>
      <c r="DE126" s="557">
        <f>'[4]побудинковий звіт'!DE126</f>
        <v>1.0954792247048317E-2</v>
      </c>
      <c r="DF126" s="557">
        <f>'[4]побудинковий звіт'!DF126</f>
        <v>0</v>
      </c>
      <c r="DG126" s="321">
        <f>VLOOKUP(A126,'кошти 01.03.2021'!$A$6:$D$401,4,)</f>
        <v>-412.05534297478607</v>
      </c>
      <c r="DH126" s="40">
        <f>'[3]побудинковий звіт'!DJ126</f>
        <v>36817.332441490769</v>
      </c>
      <c r="DI126" s="422">
        <f>'[3]побудинковий звіт'!CU126+'[3]побудинковий звіт'!CX126</f>
        <v>3232.679045207753</v>
      </c>
      <c r="DJ126" s="306">
        <f>'[3]побудинковий звіт'!DM126</f>
        <v>6.4811721504626352</v>
      </c>
      <c r="DK126" s="306">
        <f t="shared" si="145"/>
        <v>6.4811721504626352</v>
      </c>
      <c r="DL126" s="306">
        <f>'[3]побудинковий звіт'!DO126</f>
        <v>5.8829514606088829</v>
      </c>
      <c r="DM126" s="28">
        <f t="shared" si="146"/>
        <v>3232.679045207753</v>
      </c>
      <c r="DN126" s="28">
        <f t="shared" si="148"/>
        <v>0</v>
      </c>
      <c r="DO126" s="423">
        <f t="shared" si="105"/>
        <v>3232.679045207753</v>
      </c>
      <c r="DP126" s="94">
        <f t="shared" si="106"/>
        <v>0</v>
      </c>
      <c r="DQ126" s="28">
        <f t="shared" si="107"/>
        <v>3232.679045207753</v>
      </c>
      <c r="DR126" s="318"/>
      <c r="DT126" s="8"/>
      <c r="DU126" s="5"/>
      <c r="DX126" s="5">
        <f t="shared" si="108"/>
        <v>12224.733511856615</v>
      </c>
      <c r="DY126" s="5">
        <f t="shared" si="109"/>
        <v>301.2</v>
      </c>
      <c r="DZ126" s="159">
        <f>'[3]побудинковий звіт'!EA126</f>
        <v>1162.8175737956292</v>
      </c>
    </row>
    <row r="127" spans="1:130" x14ac:dyDescent="0.3">
      <c r="A127" s="325">
        <v>150000613</v>
      </c>
      <c r="B127" s="41" t="s">
        <v>576</v>
      </c>
      <c r="C127" s="42" t="s">
        <v>211</v>
      </c>
      <c r="D127" s="42"/>
      <c r="E127" s="293">
        <f t="shared" si="85"/>
        <v>1482.22</v>
      </c>
      <c r="F127" s="305">
        <f>'[3]побудинковий звіт'!F127</f>
        <v>1269.7</v>
      </c>
      <c r="G127" s="508">
        <f>'[3]побудинковий звіт'!G127</f>
        <v>0</v>
      </c>
      <c r="H127" s="560">
        <f>'[3]побудинковий звіт'!H127</f>
        <v>212.52</v>
      </c>
      <c r="I127" s="566">
        <f>VLOOKUP($A127,'01-02.2021'!$A$6:$CZ$403,9,FALSE)+VLOOKUP($A127,'1.3.21-28.2.22'!$A$6:$DA$404,9,FALSE)-VLOOKUP($A127,'01-02.2022'!$A$6:$DA$376,9,FALSE)</f>
        <v>4831.8393125988323</v>
      </c>
      <c r="J127" s="566">
        <f>VLOOKUP($A127,'01-02.2021'!$A$6:$CZ$403,10,FALSE)+VLOOKUP($A127,'1.3.21-28.2.22'!$A$6:$DA$404,10,FALSE)-VLOOKUP($A127,'01-02.2022'!$A$6:$DA$376,10,FALSE)</f>
        <v>5302.9848498613756</v>
      </c>
      <c r="K127" s="52">
        <f t="shared" si="94"/>
        <v>471.14553726254326</v>
      </c>
      <c r="L127" s="566">
        <f>VLOOKUP($A127,'01-02.2021'!$A$6:$CZ$403,12,FALSE)+VLOOKUP($A127,'1.3.21-28.2.22'!$A$6:$DA$404,12,FALSE)-VLOOKUP($A127,'01-02.2022'!$A$6:$DA$376,12,FALSE)</f>
        <v>904.4195702717268</v>
      </c>
      <c r="M127" s="566">
        <f>VLOOKUP($A127,'01-02.2021'!$A$6:$CZ$403,13,FALSE)+VLOOKUP($A127,'1.3.21-28.2.22'!$A$6:$DA$404,13,FALSE)-VLOOKUP($A127,'01-02.2022'!$A$6:$DA$376,13,FALSE)</f>
        <v>1002.6581911689909</v>
      </c>
      <c r="N127" s="52">
        <f t="shared" si="95"/>
        <v>98.238620897264127</v>
      </c>
      <c r="O127" s="566">
        <f>VLOOKUP($A127,'01-02.2021'!$A$6:$CZ$403,15,FALSE)+VLOOKUP($A127,'1.3.21-28.2.22'!$A$6:$DA$404,15,FALSE)-VLOOKUP($A127,'01-02.2022'!$A$6:$DA$376,15,FALSE)</f>
        <v>1983.5222925126664</v>
      </c>
      <c r="P127" s="566">
        <f>VLOOKUP($A127,'01-02.2021'!$A$6:$CZ$403,16,FALSE)+VLOOKUP($A127,'1.3.21-28.2.22'!$A$6:$DA$404,16,FALSE)-VLOOKUP($A127,'01-02.2022'!$A$6:$DA$376,16,FALSE)</f>
        <v>1983.5399999999995</v>
      </c>
      <c r="Q127" s="70">
        <f t="shared" si="111"/>
        <v>1.7707487333154859E-2</v>
      </c>
      <c r="R127" s="566">
        <f>VLOOKUP($A127,'01-02.2021'!$A$6:$CZ$403,18,FALSE)+VLOOKUP($A127,'1.3.21-28.2.22'!$A$6:$DA$404,18,FALSE)-VLOOKUP($A127,'01-02.2022'!$A$6:$DA$376,18,FALSE)</f>
        <v>0</v>
      </c>
      <c r="S127" s="566">
        <f>VLOOKUP($A127,'01-02.2021'!$A$6:$CZ$403,19,FALSE)+VLOOKUP($A127,'1.3.21-28.2.22'!$A$6:$DA$404,19,FALSE)-VLOOKUP($A127,'01-02.2022'!$A$6:$DA$376,19,FALSE)</f>
        <v>0</v>
      </c>
      <c r="T127" s="70">
        <f t="shared" si="112"/>
        <v>0</v>
      </c>
      <c r="U127" s="566">
        <f>VLOOKUP($A127,'01-02.2021'!$A$6:$CZ$403,21,FALSE)+VLOOKUP($A127,'1.3.21-28.2.22'!$A$6:$DA$404,21,FALSE)-VLOOKUP($A127,'01-02.2022'!$A$6:$DA$376,21,FALSE)</f>
        <v>0</v>
      </c>
      <c r="V127" s="566">
        <f>VLOOKUP($A127,'01-02.2021'!$A$6:$CZ$403,22,FALSE)+VLOOKUP($A127,'1.3.21-28.2.22'!$A$6:$DA$404,22,FALSE)-VLOOKUP($A127,'01-02.2022'!$A$6:$DA$376,22,FALSE)</f>
        <v>0</v>
      </c>
      <c r="W127" s="70">
        <f t="shared" si="113"/>
        <v>0</v>
      </c>
      <c r="X127" s="566">
        <f>VLOOKUP($A127,'01-02.2021'!$A$6:$CZ$403,24,FALSE)+VLOOKUP($A127,'1.3.21-28.2.22'!$A$6:$DA$404,24,FALSE)-VLOOKUP($A127,'01-02.2022'!$A$6:$DA$376,24,FALSE)</f>
        <v>2597.4731372326269</v>
      </c>
      <c r="Y127" s="566">
        <f>VLOOKUP($A127,'01-02.2021'!$A$6:$CZ$403,25,FALSE)+VLOOKUP($A127,'1.3.21-28.2.22'!$A$6:$DA$404,25,FALSE)-VLOOKUP($A127,'01-02.2022'!$A$6:$DA$376,25,FALSE)</f>
        <v>2035.8765159373752</v>
      </c>
      <c r="Z127" s="70">
        <f t="shared" si="114"/>
        <v>-561.59662129525168</v>
      </c>
      <c r="AA127" s="566">
        <f>VLOOKUP($A127,'01-02.2021'!$A$6:$CZ$403,27,FALSE)+VLOOKUP($A127,'1.3.21-28.2.22'!$A$6:$DA$404,27,FALSE)-VLOOKUP($A127,'01-02.2022'!$A$6:$DA$376,27,FALSE)</f>
        <v>296.43600000000004</v>
      </c>
      <c r="AB127" s="566">
        <f>VLOOKUP($A127,'01-02.2021'!$A$6:$CZ$403,28,FALSE)+VLOOKUP($A127,'1.3.21-28.2.22'!$A$6:$DA$404,28,FALSE)-VLOOKUP($A127,'01-02.2022'!$A$6:$DA$376,28,FALSE)</f>
        <v>0</v>
      </c>
      <c r="AC127" s="70">
        <f t="shared" si="115"/>
        <v>-296.43600000000004</v>
      </c>
      <c r="AD127" s="566">
        <f>VLOOKUP($A127,'01-02.2021'!$A$6:$CZ$403,30,FALSE)+VLOOKUP($A127,'1.3.21-28.2.22'!$A$6:$DA$404,30,FALSE)-VLOOKUP($A127,'01-02.2022'!$A$6:$DA$376,30,FALSE)</f>
        <v>6345.4349238273544</v>
      </c>
      <c r="AE127" s="566">
        <f>VLOOKUP($A127,'01-02.2021'!$A$6:$CZ$403,31,FALSE)+VLOOKUP($A127,'1.3.21-28.2.22'!$A$6:$DA$404,31,FALSE)-VLOOKUP($A127,'01-02.2022'!$A$6:$DA$376,31,FALSE)</f>
        <v>6748.4829194497943</v>
      </c>
      <c r="AF127" s="68">
        <f t="shared" si="116"/>
        <v>403.04799562243988</v>
      </c>
      <c r="AG127" s="77">
        <f t="shared" si="86"/>
        <v>16959.125236443208</v>
      </c>
      <c r="AH127" s="53">
        <f t="shared" si="86"/>
        <v>17073.542476417537</v>
      </c>
      <c r="AI127" s="52">
        <f t="shared" si="96"/>
        <v>114.41723997432928</v>
      </c>
      <c r="AJ127" s="566">
        <f>VLOOKUP($A127,'01-02.2021'!$A$6:$CZ$403,36,FALSE)+VLOOKUP($A127,'1.3.21-28.2.22'!$A$6:$DA$404,36,FALSE)-VLOOKUP($A127,'01-02.2022'!$A$6:$DA$376,36,FALSE)</f>
        <v>0</v>
      </c>
      <c r="AK127" s="566">
        <f>VLOOKUP($A127,'01-02.2021'!$A$6:$CZ$403,37,FALSE)+VLOOKUP($A127,'1.3.21-28.2.22'!$A$6:$DA$404,37,FALSE)-VLOOKUP($A127,'01-02.2022'!$A$6:$DA$376,37,FALSE)</f>
        <v>0</v>
      </c>
      <c r="AL127" s="70">
        <f t="shared" si="117"/>
        <v>0</v>
      </c>
      <c r="AM127" s="566">
        <f>VLOOKUP($A127,'01-02.2021'!$A$6:$CZ$403,39,FALSE)+VLOOKUP($A127,'1.3.21-28.2.22'!$A$6:$DA$404,39,FALSE)-VLOOKUP($A127,'01-02.2022'!$A$6:$DA$376,39,FALSE)</f>
        <v>0</v>
      </c>
      <c r="AN127" s="566">
        <f>VLOOKUP($A127,'01-02.2021'!$A$6:$CZ$403,40,FALSE)+VLOOKUP($A127,'1.3.21-28.2.22'!$A$6:$DA$404,40,FALSE)-VLOOKUP($A127,'01-02.2022'!$A$6:$DA$376,40,FALSE)</f>
        <v>0</v>
      </c>
      <c r="AO127" s="70">
        <f t="shared" si="118"/>
        <v>0</v>
      </c>
      <c r="AP127" s="566">
        <f>VLOOKUP($A127,'01-02.2021'!$A$6:$CZ$403,42,FALSE)+VLOOKUP($A127,'1.3.21-28.2.22'!$A$6:$DA$404,42,FALSE)-VLOOKUP($A127,'01-02.2022'!$A$6:$DA$376,42,FALSE)</f>
        <v>3643.9194750894412</v>
      </c>
      <c r="AQ127" s="566">
        <f>VLOOKUP($A127,'01-02.2021'!$A$6:$CZ$403,43,FALSE)+VLOOKUP($A127,'1.3.21-28.2.22'!$A$6:$DA$404,43,FALSE)-VLOOKUP($A127,'01-02.2022'!$A$6:$DA$376,43,FALSE)</f>
        <v>3018.243681279585</v>
      </c>
      <c r="AR127" s="70">
        <f t="shared" si="119"/>
        <v>-625.67579380985626</v>
      </c>
      <c r="AS127" s="566">
        <f>VLOOKUP($A127,'01-02.2021'!$A$6:$CZ$403,45,FALSE)+VLOOKUP($A127,'1.3.21-28.2.22'!$A$6:$DA$404,45,FALSE)-VLOOKUP($A127,'01-02.2022'!$A$6:$DA$376,45,FALSE)</f>
        <v>12592.717408478833</v>
      </c>
      <c r="AT127" s="566">
        <f>VLOOKUP($A127,'01-02.2021'!$A$6:$CZ$403,46,FALSE)+VLOOKUP($A127,'1.3.21-28.2.22'!$A$6:$DA$404,46,FALSE)-VLOOKUP($A127,'01-02.2022'!$A$6:$DA$376,46,FALSE)</f>
        <v>44408.77</v>
      </c>
      <c r="AU127" s="78">
        <f t="shared" si="120"/>
        <v>31816.052591521162</v>
      </c>
      <c r="AV127" s="566">
        <f>VLOOKUP($A127,'01-02.2021'!$A$6:$CZ$403,48,FALSE)+VLOOKUP($A127,'1.3.21-28.2.22'!$A$6:$DA$404,48,FALSE)-VLOOKUP($A127,'01-02.2022'!$A$6:$DA$376,48,FALSE)</f>
        <v>1364.1034062947792</v>
      </c>
      <c r="AW127" s="566">
        <f>VLOOKUP($A127,'01-02.2021'!$A$6:$CZ$403,49,FALSE)+VLOOKUP($A127,'1.3.21-28.2.22'!$A$6:$DA$404,49,FALSE)-VLOOKUP($A127,'01-02.2022'!$A$6:$DA$376,49,FALSE)</f>
        <v>0</v>
      </c>
      <c r="AX127" s="55">
        <f t="shared" si="121"/>
        <v>-1364.1034062947792</v>
      </c>
      <c r="AY127" s="566">
        <f>VLOOKUP($A127,'01-02.2021'!$A$6:$CZ$403,51,FALSE)+VLOOKUP($A127,'1.3.21-28.2.22'!$A$6:$DA$404,51,FALSE)-VLOOKUP($A127,'01-02.2022'!$A$6:$DA$376,51,FALSE)</f>
        <v>1700.1139588370038</v>
      </c>
      <c r="AZ127" s="566">
        <f>VLOOKUP($A127,'01-02.2021'!$A$6:$CZ$403,52,FALSE)+VLOOKUP($A127,'1.3.21-28.2.22'!$A$6:$DA$404,52,FALSE)-VLOOKUP($A127,'01-02.2022'!$A$6:$DA$376,52,FALSE)</f>
        <v>1132</v>
      </c>
      <c r="BA127" s="38">
        <f t="shared" si="122"/>
        <v>-568.11395883700379</v>
      </c>
      <c r="BB127" s="566">
        <f>VLOOKUP($A127,'01-02.2021'!$A$6:$CZ$403,54,FALSE)+VLOOKUP($A127,'1.3.21-28.2.22'!$A$6:$DA$404,54,FALSE)-VLOOKUP($A127,'01-02.2022'!$A$6:$DA$376,54,FALSE)</f>
        <v>836.26356037480525</v>
      </c>
      <c r="BC127" s="566">
        <f>VLOOKUP($A127,'01-02.2021'!$A$6:$CZ$403,55,FALSE)+VLOOKUP($A127,'1.3.21-28.2.22'!$A$6:$DA$404,55,FALSE)-VLOOKUP($A127,'01-02.2022'!$A$6:$DA$376,55,FALSE)</f>
        <v>1579</v>
      </c>
      <c r="BD127" s="55">
        <f t="shared" si="123"/>
        <v>742.73643962519475</v>
      </c>
      <c r="BE127" s="566">
        <f>VLOOKUP($A127,'01-02.2021'!$A$6:$CZ$403,57,FALSE)+VLOOKUP($A127,'1.3.21-28.2.22'!$A$6:$DA$404,57,FALSE)-VLOOKUP($A127,'01-02.2022'!$A$6:$DA$376,57,FALSE)</f>
        <v>0</v>
      </c>
      <c r="BF127" s="566">
        <f>VLOOKUP($A127,'01-02.2021'!$A$6:$CZ$403,58,FALSE)+VLOOKUP($A127,'1.3.21-28.2.22'!$A$6:$DA$404,58,FALSE)-VLOOKUP($A127,'01-02.2022'!$A$6:$DA$376,58,FALSE)</f>
        <v>0</v>
      </c>
      <c r="BG127" s="55">
        <f t="shared" si="124"/>
        <v>0</v>
      </c>
      <c r="BH127" s="566">
        <f>VLOOKUP($A127,'01-02.2021'!$A$6:$CZ$403,60,FALSE)+VLOOKUP($A127,'1.3.21-28.2.22'!$A$6:$DA$404,60,FALSE)-VLOOKUP($A127,'01-02.2022'!$A$6:$DA$376,60,FALSE)</f>
        <v>0</v>
      </c>
      <c r="BI127" s="566">
        <f>VLOOKUP($A127,'01-02.2021'!$A$6:$CZ$403,61,FALSE)+VLOOKUP($A127,'1.3.21-28.2.22'!$A$6:$DA$404,61,FALSE)-VLOOKUP($A127,'01-02.2022'!$A$6:$DA$376,61,FALSE)</f>
        <v>0</v>
      </c>
      <c r="BJ127" s="55">
        <f t="shared" si="125"/>
        <v>0</v>
      </c>
      <c r="BK127" s="566">
        <f>VLOOKUP($A127,'01-02.2021'!$A$6:$CZ$403,63,FALSE)+VLOOKUP($A127,'1.3.21-28.2.22'!$A$6:$DA$404,63,FALSE)-VLOOKUP($A127,'01-02.2022'!$A$6:$DA$376,63,FALSE)</f>
        <v>629.82645734878145</v>
      </c>
      <c r="BL127" s="566">
        <f>VLOOKUP($A127,'01-02.2021'!$A$6:$CZ$403,64,FALSE)+VLOOKUP($A127,'1.3.21-28.2.22'!$A$6:$DA$404,64,FALSE)-VLOOKUP($A127,'01-02.2022'!$A$6:$DA$376,64,FALSE)</f>
        <v>0</v>
      </c>
      <c r="BM127" s="55">
        <f t="shared" si="126"/>
        <v>-629.82645734878145</v>
      </c>
      <c r="BN127" s="566">
        <f>VLOOKUP($A127,'01-02.2021'!$A$6:$CZ$403,66,FALSE)+VLOOKUP($A127,'1.3.21-28.2.22'!$A$6:$DA$404,66,FALSE)-VLOOKUP($A127,'01-02.2022'!$A$6:$DA$376,66,FALSE)</f>
        <v>74.109000000000009</v>
      </c>
      <c r="BO127" s="566">
        <f>VLOOKUP($A127,'01-02.2021'!$A$6:$CZ$403,67,FALSE)+VLOOKUP($A127,'1.3.21-28.2.22'!$A$6:$DA$404,67,FALSE)-VLOOKUP($A127,'01-02.2022'!$A$6:$DA$376,67,FALSE)</f>
        <v>0</v>
      </c>
      <c r="BP127" s="55">
        <f t="shared" si="127"/>
        <v>-74.109000000000009</v>
      </c>
      <c r="BQ127" s="77">
        <f t="shared" si="139"/>
        <v>4604.4163828553701</v>
      </c>
      <c r="BR127" s="40">
        <f t="shared" si="140"/>
        <v>2711</v>
      </c>
      <c r="BS127" s="55">
        <f t="shared" si="110"/>
        <v>-1893.4163828553701</v>
      </c>
      <c r="BT127" s="566">
        <f>VLOOKUP($A127,'01-02.2021'!$A$6:$CZ$403,72,FALSE)+VLOOKUP($A127,'1.3.21-28.2.22'!$A$6:$DA$404,72,FALSE)-VLOOKUP($A127,'01-02.2022'!$A$6:$DA$376,72,FALSE)</f>
        <v>21112.854975206646</v>
      </c>
      <c r="BU127" s="566">
        <f>VLOOKUP($A127,'01-02.2021'!$A$6:$CZ$403,73,FALSE)+VLOOKUP($A127,'1.3.21-28.2.22'!$A$6:$DA$404,73,FALSE)-VLOOKUP($A127,'01-02.2022'!$A$6:$DA$376,73,FALSE)</f>
        <v>24403.656200368514</v>
      </c>
      <c r="BV127" s="70">
        <f t="shared" si="128"/>
        <v>3290.8012251618675</v>
      </c>
      <c r="BW127" s="566">
        <f>VLOOKUP($A127,'01-02.2021'!$A$6:$CZ$403,75,FALSE)+VLOOKUP($A127,'1.3.21-28.2.22'!$A$6:$DA$404,75,FALSE)-VLOOKUP($A127,'01-02.2022'!$A$6:$DA$376,75,FALSE)</f>
        <v>7962.9023750239585</v>
      </c>
      <c r="BX127" s="566">
        <f>VLOOKUP($A127,'01-02.2021'!$A$6:$CZ$403,76,FALSE)+VLOOKUP($A127,'1.3.21-28.2.22'!$A$6:$DA$404,76,FALSE)-VLOOKUP($A127,'01-02.2022'!$A$6:$DA$376,76,FALSE)</f>
        <v>7333.3667988247425</v>
      </c>
      <c r="BY127" s="70">
        <f t="shared" si="129"/>
        <v>-629.53557619921594</v>
      </c>
      <c r="BZ127" s="566">
        <f>VLOOKUP($A127,'01-02.2021'!$A$6:$CZ$403,78,FALSE)+VLOOKUP($A127,'1.3.21-28.2.22'!$A$6:$DA$404,78,FALSE)-VLOOKUP($A127,'01-02.2022'!$A$6:$DA$376,78,FALSE)</f>
        <v>5935.0098616750556</v>
      </c>
      <c r="CA127" s="566">
        <f>VLOOKUP($A127,'01-02.2021'!$A$6:$CZ$403,79,FALSE)+VLOOKUP($A127,'1.3.21-28.2.22'!$A$6:$DA$404,79,FALSE)-VLOOKUP($A127,'01-02.2022'!$A$6:$DA$376,79,FALSE)</f>
        <v>4069.3779633513436</v>
      </c>
      <c r="CB127" s="70">
        <f t="shared" si="130"/>
        <v>-1865.631898323712</v>
      </c>
      <c r="CC127" s="566">
        <f>VLOOKUP($A127,'01-02.2021'!$A$6:$CZ$403,81,FALSE)+VLOOKUP($A127,'1.3.21-28.2.22'!$A$6:$DA$404,81,FALSE)-VLOOKUP($A127,'01-02.2022'!$A$6:$DA$376,81,FALSE)</f>
        <v>301.79441989791519</v>
      </c>
      <c r="CD127" s="566">
        <f>VLOOKUP($A127,'01-02.2021'!$A$6:$CZ$403,82,FALSE)+VLOOKUP($A127,'1.3.21-28.2.22'!$A$6:$DA$404,82,FALSE)-VLOOKUP($A127,'01-02.2022'!$A$6:$DA$376,82,FALSE)</f>
        <v>329.85919428802686</v>
      </c>
      <c r="CE127" s="70">
        <f t="shared" si="131"/>
        <v>28.064774390111666</v>
      </c>
      <c r="CF127" s="566">
        <f>VLOOKUP($A127,'01-02.2021'!$A$6:$CZ$403,84,FALSE)+VLOOKUP($A127,'1.3.21-28.2.22'!$A$6:$DA$404,84,FALSE)-VLOOKUP($A127,'01-02.2022'!$A$6:$DA$376,84,FALSE)</f>
        <v>36.689328421263234</v>
      </c>
      <c r="CG127" s="566">
        <f>VLOOKUP($A127,'01-02.2021'!$A$6:$CZ$403,85,FALSE)+VLOOKUP($A127,'1.3.21-28.2.22'!$A$6:$DA$404,85,FALSE)-VLOOKUP($A127,'01-02.2022'!$A$6:$DA$376,85,FALSE)</f>
        <v>0</v>
      </c>
      <c r="CH127" s="70">
        <f t="shared" si="132"/>
        <v>-36.689328421263234</v>
      </c>
      <c r="CI127" s="566">
        <f>VLOOKUP($A127,'01-02.2021'!$A$6:$CZ$403,87,FALSE)+VLOOKUP($A127,'1.3.21-28.2.22'!$A$6:$DA$404,87,FALSE)-VLOOKUP($A127,'01-02.2022'!$A$6:$DA$376,87,FALSE)</f>
        <v>2601.3566568769838</v>
      </c>
      <c r="CJ127" s="566">
        <f>VLOOKUP($A127,'01-02.2021'!$A$6:$CZ$403,88,FALSE)+VLOOKUP($A127,'1.3.21-28.2.22'!$A$6:$DA$404,88,FALSE)-VLOOKUP($A127,'01-02.2022'!$A$6:$DA$376,88,FALSE)</f>
        <v>1968.6604663662447</v>
      </c>
      <c r="CK127" s="70">
        <f t="shared" si="133"/>
        <v>-632.69619051073914</v>
      </c>
      <c r="CL127" s="566">
        <f>VLOOKUP($A127,'01-02.2021'!$A$6:$CZ$403,90,FALSE)+VLOOKUP($A127,'1.3.21-28.2.22'!$A$6:$DA$404,90,FALSE)-VLOOKUP($A127,'01-02.2022'!$A$6:$DA$376,90,FALSE)</f>
        <v>0</v>
      </c>
      <c r="CM127" s="566">
        <f>VLOOKUP($A127,'01-02.2021'!$A$6:$CZ$403,91,FALSE)+VLOOKUP($A127,'1.3.21-28.2.22'!$A$6:$DA$404,91,FALSE)-VLOOKUP($A127,'01-02.2022'!$A$6:$DA$376,91,FALSE)</f>
        <v>0</v>
      </c>
      <c r="CN127" s="52">
        <f t="shared" si="97"/>
        <v>0</v>
      </c>
      <c r="CO127" s="39">
        <f t="shared" si="89"/>
        <v>2601.3566568769838</v>
      </c>
      <c r="CP127" s="40">
        <f t="shared" si="98"/>
        <v>1968.6604663662447</v>
      </c>
      <c r="CQ127" s="52">
        <f t="shared" si="99"/>
        <v>-632.69619051073914</v>
      </c>
      <c r="CR127" s="72">
        <f t="shared" si="90"/>
        <v>75750.786119968674</v>
      </c>
      <c r="CS127" s="5">
        <f t="shared" si="90"/>
        <v>105316.476780896</v>
      </c>
      <c r="CT127" s="52">
        <f t="shared" si="100"/>
        <v>29565.690660927328</v>
      </c>
      <c r="CU127" s="77">
        <f t="shared" si="101"/>
        <v>90900.943343962412</v>
      </c>
      <c r="CV127" s="65">
        <f t="shared" si="102"/>
        <v>126379.7721370752</v>
      </c>
      <c r="CW127" s="35">
        <f t="shared" si="103"/>
        <v>35478.828793112785</v>
      </c>
      <c r="CX127" s="566">
        <f>VLOOKUP($A127,'01-02.2021'!$A$6:$CZ$403,102,FALSE)+VLOOKUP($A127,'1.3.21-28.2.22'!$A$6:$DA$404,102,FALSE)-VLOOKUP($A127,'01-02.2022'!$A$6:$DA$376,102,FALSE)</f>
        <v>3172.3916260393307</v>
      </c>
      <c r="CY127" s="566">
        <f>VLOOKUP($A127,'01-02.2021'!$A$6:$CZ$403,103,FALSE)+VLOOKUP($A127,'1.3.21-28.2.22'!$A$6:$DA$404,103,FALSE)-VLOOKUP($A127,'01-02.2022'!$A$6:$DA$376,103,FALSE)</f>
        <v>-32306.437167073469</v>
      </c>
      <c r="CZ127" s="52">
        <f t="shared" si="104"/>
        <v>-35478.8287931128</v>
      </c>
      <c r="DA127" s="150">
        <f>'[2]побудинковий звіт'!DA127</f>
        <v>53527.248769338752</v>
      </c>
      <c r="DB127" s="2">
        <v>2</v>
      </c>
      <c r="DC127" s="414">
        <f>'[4]побудинковий звіт'!DC127</f>
        <v>12661.57</v>
      </c>
      <c r="DD127" s="414">
        <f>'[4]побудинковий звіт'!DD127</f>
        <v>1284.5</v>
      </c>
      <c r="DE127" s="557">
        <f>'[4]побудинковий звіт'!DE127</f>
        <v>5213.0386939512882</v>
      </c>
      <c r="DF127" s="557">
        <f>'[4]побудинковий звіт'!DF127</f>
        <v>199.88654166592664</v>
      </c>
      <c r="DG127" s="321">
        <f>VLOOKUP(A127,'кошти 01.03.2021'!$A$6:$D$401,4,)</f>
        <v>73808.620153440424</v>
      </c>
      <c r="DH127" s="40">
        <f>'[3]побудинковий звіт'!DJ127</f>
        <v>97353.279945107133</v>
      </c>
      <c r="DI127" s="422">
        <f>'[3]побудинковий звіт'!CU127+'[3]побудинковий звіт'!CX127</f>
        <v>8533.1447643827851</v>
      </c>
      <c r="DJ127" s="306">
        <f>'[3]побудинковий звіт'!DM127</f>
        <v>5.866371037291259</v>
      </c>
      <c r="DK127" s="306">
        <f t="shared" si="145"/>
        <v>5.866371037291259</v>
      </c>
      <c r="DL127" s="306">
        <f>'[3]побудинковий звіт'!DO127</f>
        <v>5.1035829961136523</v>
      </c>
      <c r="DM127" s="28">
        <f t="shared" si="146"/>
        <v>7448.5313060487115</v>
      </c>
      <c r="DN127" s="28">
        <f t="shared" si="148"/>
        <v>1084.6134583340734</v>
      </c>
      <c r="DO127" s="423">
        <f t="shared" si="105"/>
        <v>8533.1447643827851</v>
      </c>
      <c r="DP127" s="94">
        <f t="shared" si="106"/>
        <v>0</v>
      </c>
      <c r="DQ127" s="28">
        <f t="shared" si="107"/>
        <v>8533.1447643827851</v>
      </c>
      <c r="DR127" s="318"/>
      <c r="DT127" s="8"/>
      <c r="DU127" s="5"/>
      <c r="DX127" s="5">
        <f t="shared" si="108"/>
        <v>20636.560549601043</v>
      </c>
      <c r="DY127" s="5">
        <f t="shared" si="109"/>
        <v>56543.723999999995</v>
      </c>
      <c r="DZ127" s="159">
        <f>'[3]побудинковий звіт'!EA127</f>
        <v>1848.358493851051</v>
      </c>
    </row>
    <row r="128" spans="1:130" x14ac:dyDescent="0.3">
      <c r="A128" s="325">
        <v>150000614</v>
      </c>
      <c r="B128" s="41" t="s">
        <v>577</v>
      </c>
      <c r="C128" s="42" t="s">
        <v>163</v>
      </c>
      <c r="D128" s="42"/>
      <c r="E128" s="293">
        <f t="shared" si="85"/>
        <v>626.29999999999995</v>
      </c>
      <c r="F128" s="305">
        <f>'[3]побудинковий звіт'!F128</f>
        <v>626.29999999999995</v>
      </c>
      <c r="G128" s="508">
        <f>'[3]побудинковий звіт'!G128</f>
        <v>0</v>
      </c>
      <c r="H128" s="560">
        <f>'[3]побудинковий звіт'!H128</f>
        <v>0</v>
      </c>
      <c r="I128" s="566">
        <f>VLOOKUP($A128,'01-02.2021'!$A$6:$CZ$403,9,FALSE)+VLOOKUP($A128,'1.3.21-28.2.22'!$A$6:$DA$404,9,FALSE)-VLOOKUP($A128,'01-02.2022'!$A$6:$DA$376,9,FALSE)</f>
        <v>2007.0537466927215</v>
      </c>
      <c r="J128" s="566">
        <f>VLOOKUP($A128,'01-02.2021'!$A$6:$CZ$403,10,FALSE)+VLOOKUP($A128,'1.3.21-28.2.22'!$A$6:$DA$404,10,FALSE)-VLOOKUP($A128,'01-02.2022'!$A$6:$DA$376,10,FALSE)</f>
        <v>2252.5699867148073</v>
      </c>
      <c r="K128" s="52">
        <f t="shared" si="94"/>
        <v>245.51624002208587</v>
      </c>
      <c r="L128" s="566">
        <f>VLOOKUP($A128,'01-02.2021'!$A$6:$CZ$403,12,FALSE)+VLOOKUP($A128,'1.3.21-28.2.22'!$A$6:$DA$404,12,FALSE)-VLOOKUP($A128,'01-02.2022'!$A$6:$DA$376,12,FALSE)</f>
        <v>532.61851727246915</v>
      </c>
      <c r="M128" s="566">
        <f>VLOOKUP($A128,'01-02.2021'!$A$6:$CZ$403,13,FALSE)+VLOOKUP($A128,'1.3.21-28.2.22'!$A$6:$DA$404,13,FALSE)-VLOOKUP($A128,'01-02.2022'!$A$6:$DA$376,13,FALSE)</f>
        <v>586.42841709866616</v>
      </c>
      <c r="N128" s="52">
        <f t="shared" si="95"/>
        <v>53.809899826197011</v>
      </c>
      <c r="O128" s="566">
        <f>VLOOKUP($A128,'01-02.2021'!$A$6:$CZ$403,15,FALSE)+VLOOKUP($A128,'1.3.21-28.2.22'!$A$6:$DA$404,15,FALSE)-VLOOKUP($A128,'01-02.2022'!$A$6:$DA$376,15,FALSE)</f>
        <v>774.74864746749199</v>
      </c>
      <c r="P128" s="566">
        <f>VLOOKUP($A128,'01-02.2021'!$A$6:$CZ$403,16,FALSE)+VLOOKUP($A128,'1.3.21-28.2.22'!$A$6:$DA$404,16,FALSE)-VLOOKUP($A128,'01-02.2022'!$A$6:$DA$376,16,FALSE)</f>
        <v>774.76000000000033</v>
      </c>
      <c r="Q128" s="70">
        <f t="shared" si="111"/>
        <v>1.1352532508340119E-2</v>
      </c>
      <c r="R128" s="566">
        <f>VLOOKUP($A128,'01-02.2021'!$A$6:$CZ$403,18,FALSE)+VLOOKUP($A128,'1.3.21-28.2.22'!$A$6:$DA$404,18,FALSE)-VLOOKUP($A128,'01-02.2022'!$A$6:$DA$376,18,FALSE)</f>
        <v>0</v>
      </c>
      <c r="S128" s="566">
        <f>VLOOKUP($A128,'01-02.2021'!$A$6:$CZ$403,19,FALSE)+VLOOKUP($A128,'1.3.21-28.2.22'!$A$6:$DA$404,19,FALSE)-VLOOKUP($A128,'01-02.2022'!$A$6:$DA$376,19,FALSE)</f>
        <v>0</v>
      </c>
      <c r="T128" s="70">
        <f t="shared" si="112"/>
        <v>0</v>
      </c>
      <c r="U128" s="566">
        <f>VLOOKUP($A128,'01-02.2021'!$A$6:$CZ$403,21,FALSE)+VLOOKUP($A128,'1.3.21-28.2.22'!$A$6:$DA$404,21,FALSE)-VLOOKUP($A128,'01-02.2022'!$A$6:$DA$376,21,FALSE)</f>
        <v>0</v>
      </c>
      <c r="V128" s="566">
        <f>VLOOKUP($A128,'01-02.2021'!$A$6:$CZ$403,22,FALSE)+VLOOKUP($A128,'1.3.21-28.2.22'!$A$6:$DA$404,22,FALSE)-VLOOKUP($A128,'01-02.2022'!$A$6:$DA$376,22,FALSE)</f>
        <v>0</v>
      </c>
      <c r="W128" s="70">
        <f t="shared" si="113"/>
        <v>0</v>
      </c>
      <c r="X128" s="566">
        <f>VLOOKUP($A128,'01-02.2021'!$A$6:$CZ$403,24,FALSE)+VLOOKUP($A128,'1.3.21-28.2.22'!$A$6:$DA$404,24,FALSE)-VLOOKUP($A128,'01-02.2022'!$A$6:$DA$376,24,FALSE)</f>
        <v>1024.7842747684574</v>
      </c>
      <c r="Y128" s="566">
        <f>VLOOKUP($A128,'01-02.2021'!$A$6:$CZ$403,25,FALSE)+VLOOKUP($A128,'1.3.21-28.2.22'!$A$6:$DA$404,25,FALSE)-VLOOKUP($A128,'01-02.2022'!$A$6:$DA$376,25,FALSE)</f>
        <v>1572.5902311295915</v>
      </c>
      <c r="Z128" s="70">
        <f t="shared" si="114"/>
        <v>547.80595636113412</v>
      </c>
      <c r="AA128" s="566">
        <f>VLOOKUP($A128,'01-02.2021'!$A$6:$CZ$403,27,FALSE)+VLOOKUP($A128,'1.3.21-28.2.22'!$A$6:$DA$404,27,FALSE)-VLOOKUP($A128,'01-02.2022'!$A$6:$DA$376,27,FALSE)</f>
        <v>125.26</v>
      </c>
      <c r="AB128" s="566">
        <f>VLOOKUP($A128,'01-02.2021'!$A$6:$CZ$403,28,FALSE)+VLOOKUP($A128,'1.3.21-28.2.22'!$A$6:$DA$404,28,FALSE)-VLOOKUP($A128,'01-02.2022'!$A$6:$DA$376,28,FALSE)</f>
        <v>0</v>
      </c>
      <c r="AC128" s="70">
        <f t="shared" si="115"/>
        <v>-125.26</v>
      </c>
      <c r="AD128" s="566">
        <f>VLOOKUP($A128,'01-02.2021'!$A$6:$CZ$403,30,FALSE)+VLOOKUP($A128,'1.3.21-28.2.22'!$A$6:$DA$404,30,FALSE)-VLOOKUP($A128,'01-02.2022'!$A$6:$DA$376,30,FALSE)</f>
        <v>2690.1406419684672</v>
      </c>
      <c r="AE128" s="566">
        <f>VLOOKUP($A128,'01-02.2021'!$A$6:$CZ$403,31,FALSE)+VLOOKUP($A128,'1.3.21-28.2.22'!$A$6:$DA$404,31,FALSE)-VLOOKUP($A128,'01-02.2022'!$A$6:$DA$376,31,FALSE)</f>
        <v>2850.9428350363974</v>
      </c>
      <c r="AF128" s="68">
        <f t="shared" si="116"/>
        <v>160.80219306793015</v>
      </c>
      <c r="AG128" s="77">
        <f t="shared" si="86"/>
        <v>7154.6058281696078</v>
      </c>
      <c r="AH128" s="53">
        <f t="shared" si="86"/>
        <v>8037.2914699794619</v>
      </c>
      <c r="AI128" s="52">
        <f t="shared" si="96"/>
        <v>882.68564180985413</v>
      </c>
      <c r="AJ128" s="566">
        <f>VLOOKUP($A128,'01-02.2021'!$A$6:$CZ$403,36,FALSE)+VLOOKUP($A128,'1.3.21-28.2.22'!$A$6:$DA$404,36,FALSE)-VLOOKUP($A128,'01-02.2022'!$A$6:$DA$376,36,FALSE)</f>
        <v>0</v>
      </c>
      <c r="AK128" s="566">
        <f>VLOOKUP($A128,'01-02.2021'!$A$6:$CZ$403,37,FALSE)+VLOOKUP($A128,'1.3.21-28.2.22'!$A$6:$DA$404,37,FALSE)-VLOOKUP($A128,'01-02.2022'!$A$6:$DA$376,37,FALSE)</f>
        <v>0</v>
      </c>
      <c r="AL128" s="70">
        <f t="shared" si="117"/>
        <v>0</v>
      </c>
      <c r="AM128" s="566">
        <f>VLOOKUP($A128,'01-02.2021'!$A$6:$CZ$403,39,FALSE)+VLOOKUP($A128,'1.3.21-28.2.22'!$A$6:$DA$404,39,FALSE)-VLOOKUP($A128,'01-02.2022'!$A$6:$DA$376,39,FALSE)</f>
        <v>0</v>
      </c>
      <c r="AN128" s="566">
        <f>VLOOKUP($A128,'01-02.2021'!$A$6:$CZ$403,40,FALSE)+VLOOKUP($A128,'1.3.21-28.2.22'!$A$6:$DA$404,40,FALSE)-VLOOKUP($A128,'01-02.2022'!$A$6:$DA$376,40,FALSE)</f>
        <v>0</v>
      </c>
      <c r="AO128" s="70">
        <f t="shared" si="118"/>
        <v>0</v>
      </c>
      <c r="AP128" s="566">
        <f>VLOOKUP($A128,'01-02.2021'!$A$6:$CZ$403,42,FALSE)+VLOOKUP($A128,'1.3.21-28.2.22'!$A$6:$DA$404,42,FALSE)-VLOOKUP($A128,'01-02.2022'!$A$6:$DA$376,42,FALSE)</f>
        <v>1561.6797750383319</v>
      </c>
      <c r="AQ128" s="566">
        <f>VLOOKUP($A128,'01-02.2021'!$A$6:$CZ$403,43,FALSE)+VLOOKUP($A128,'1.3.21-28.2.22'!$A$6:$DA$404,43,FALSE)-VLOOKUP($A128,'01-02.2022'!$A$6:$DA$376,43,FALSE)</f>
        <v>1346.2934976897263</v>
      </c>
      <c r="AR128" s="70">
        <f t="shared" si="119"/>
        <v>-215.38627734860552</v>
      </c>
      <c r="AS128" s="566">
        <f>VLOOKUP($A128,'01-02.2021'!$A$6:$CZ$403,45,FALSE)+VLOOKUP($A128,'1.3.21-28.2.22'!$A$6:$DA$404,45,FALSE)-VLOOKUP($A128,'01-02.2022'!$A$6:$DA$376,45,FALSE)</f>
        <v>7993.0959956891156</v>
      </c>
      <c r="AT128" s="566">
        <f>VLOOKUP($A128,'01-02.2021'!$A$6:$CZ$403,46,FALSE)+VLOOKUP($A128,'1.3.21-28.2.22'!$A$6:$DA$404,46,FALSE)-VLOOKUP($A128,'01-02.2022'!$A$6:$DA$376,46,FALSE)</f>
        <v>8470.99</v>
      </c>
      <c r="AU128" s="78">
        <f t="shared" si="120"/>
        <v>477.89400431088416</v>
      </c>
      <c r="AV128" s="566">
        <f>VLOOKUP($A128,'01-02.2021'!$A$6:$CZ$403,48,FALSE)+VLOOKUP($A128,'1.3.21-28.2.22'!$A$6:$DA$404,48,FALSE)-VLOOKUP($A128,'01-02.2022'!$A$6:$DA$376,48,FALSE)</f>
        <v>876.35452411858614</v>
      </c>
      <c r="AW128" s="566">
        <f>VLOOKUP($A128,'01-02.2021'!$A$6:$CZ$403,49,FALSE)+VLOOKUP($A128,'1.3.21-28.2.22'!$A$6:$DA$404,49,FALSE)-VLOOKUP($A128,'01-02.2022'!$A$6:$DA$376,49,FALSE)</f>
        <v>99</v>
      </c>
      <c r="AX128" s="55">
        <f t="shared" si="121"/>
        <v>-777.35452411858614</v>
      </c>
      <c r="AY128" s="566">
        <f>VLOOKUP($A128,'01-02.2021'!$A$6:$CZ$403,51,FALSE)+VLOOKUP($A128,'1.3.21-28.2.22'!$A$6:$DA$404,51,FALSE)-VLOOKUP($A128,'01-02.2022'!$A$6:$DA$376,51,FALSE)</f>
        <v>1001.2235420625874</v>
      </c>
      <c r="AZ128" s="566">
        <f>VLOOKUP($A128,'01-02.2021'!$A$6:$CZ$403,52,FALSE)+VLOOKUP($A128,'1.3.21-28.2.22'!$A$6:$DA$404,52,FALSE)-VLOOKUP($A128,'01-02.2022'!$A$6:$DA$376,52,FALSE)</f>
        <v>0</v>
      </c>
      <c r="BA128" s="38">
        <f t="shared" si="122"/>
        <v>-1001.2235420625874</v>
      </c>
      <c r="BB128" s="566">
        <f>VLOOKUP($A128,'01-02.2021'!$A$6:$CZ$403,54,FALSE)+VLOOKUP($A128,'1.3.21-28.2.22'!$A$6:$DA$404,54,FALSE)-VLOOKUP($A128,'01-02.2022'!$A$6:$DA$376,54,FALSE)</f>
        <v>230.43108969104296</v>
      </c>
      <c r="BC128" s="566">
        <f>VLOOKUP($A128,'01-02.2021'!$A$6:$CZ$403,55,FALSE)+VLOOKUP($A128,'1.3.21-28.2.22'!$A$6:$DA$404,55,FALSE)-VLOOKUP($A128,'01-02.2022'!$A$6:$DA$376,55,FALSE)</f>
        <v>0</v>
      </c>
      <c r="BD128" s="55">
        <f t="shared" si="123"/>
        <v>-230.43108969104296</v>
      </c>
      <c r="BE128" s="566">
        <f>VLOOKUP($A128,'01-02.2021'!$A$6:$CZ$403,57,FALSE)+VLOOKUP($A128,'1.3.21-28.2.22'!$A$6:$DA$404,57,FALSE)-VLOOKUP($A128,'01-02.2022'!$A$6:$DA$376,57,FALSE)</f>
        <v>0</v>
      </c>
      <c r="BF128" s="566">
        <f>VLOOKUP($A128,'01-02.2021'!$A$6:$CZ$403,58,FALSE)+VLOOKUP($A128,'1.3.21-28.2.22'!$A$6:$DA$404,58,FALSE)-VLOOKUP($A128,'01-02.2022'!$A$6:$DA$376,58,FALSE)</f>
        <v>0</v>
      </c>
      <c r="BG128" s="55">
        <f t="shared" si="124"/>
        <v>0</v>
      </c>
      <c r="BH128" s="566">
        <f>VLOOKUP($A128,'01-02.2021'!$A$6:$CZ$403,60,FALSE)+VLOOKUP($A128,'1.3.21-28.2.22'!$A$6:$DA$404,60,FALSE)-VLOOKUP($A128,'01-02.2022'!$A$6:$DA$376,60,FALSE)</f>
        <v>0</v>
      </c>
      <c r="BI128" s="566">
        <f>VLOOKUP($A128,'01-02.2021'!$A$6:$CZ$403,61,FALSE)+VLOOKUP($A128,'1.3.21-28.2.22'!$A$6:$DA$404,61,FALSE)-VLOOKUP($A128,'01-02.2022'!$A$6:$DA$376,61,FALSE)</f>
        <v>0</v>
      </c>
      <c r="BJ128" s="55">
        <f t="shared" si="125"/>
        <v>0</v>
      </c>
      <c r="BK128" s="566">
        <f>VLOOKUP($A128,'01-02.2021'!$A$6:$CZ$403,63,FALSE)+VLOOKUP($A128,'1.3.21-28.2.22'!$A$6:$DA$404,63,FALSE)-VLOOKUP($A128,'01-02.2022'!$A$6:$DA$376,63,FALSE)</f>
        <v>357.50239963587518</v>
      </c>
      <c r="BL128" s="566">
        <f>VLOOKUP($A128,'01-02.2021'!$A$6:$CZ$403,64,FALSE)+VLOOKUP($A128,'1.3.21-28.2.22'!$A$6:$DA$404,64,FALSE)-VLOOKUP($A128,'01-02.2022'!$A$6:$DA$376,64,FALSE)</f>
        <v>0</v>
      </c>
      <c r="BM128" s="55">
        <f t="shared" si="126"/>
        <v>-357.50239963587518</v>
      </c>
      <c r="BN128" s="566">
        <f>VLOOKUP($A128,'01-02.2021'!$A$6:$CZ$403,66,FALSE)+VLOOKUP($A128,'1.3.21-28.2.22'!$A$6:$DA$404,66,FALSE)-VLOOKUP($A128,'01-02.2022'!$A$6:$DA$376,66,FALSE)</f>
        <v>31.315000000000001</v>
      </c>
      <c r="BO128" s="566">
        <f>VLOOKUP($A128,'01-02.2021'!$A$6:$CZ$403,67,FALSE)+VLOOKUP($A128,'1.3.21-28.2.22'!$A$6:$DA$404,67,FALSE)-VLOOKUP($A128,'01-02.2022'!$A$6:$DA$376,67,FALSE)</f>
        <v>0</v>
      </c>
      <c r="BP128" s="55">
        <f t="shared" si="127"/>
        <v>-31.315000000000001</v>
      </c>
      <c r="BQ128" s="77">
        <f t="shared" si="139"/>
        <v>2496.8265555080916</v>
      </c>
      <c r="BR128" s="40">
        <f t="shared" si="140"/>
        <v>99</v>
      </c>
      <c r="BS128" s="55">
        <f t="shared" si="110"/>
        <v>-2397.8265555080916</v>
      </c>
      <c r="BT128" s="566">
        <f>VLOOKUP($A128,'01-02.2021'!$A$6:$CZ$403,72,FALSE)+VLOOKUP($A128,'1.3.21-28.2.22'!$A$6:$DA$404,72,FALSE)-VLOOKUP($A128,'01-02.2022'!$A$6:$DA$376,72,FALSE)</f>
        <v>5743.027543688585</v>
      </c>
      <c r="BU128" s="566">
        <f>VLOOKUP($A128,'01-02.2021'!$A$6:$CZ$403,73,FALSE)+VLOOKUP($A128,'1.3.21-28.2.22'!$A$6:$DA$404,73,FALSE)-VLOOKUP($A128,'01-02.2022'!$A$6:$DA$376,73,FALSE)</f>
        <v>6429.433275673342</v>
      </c>
      <c r="BV128" s="70">
        <f t="shared" si="128"/>
        <v>686.40573198475704</v>
      </c>
      <c r="BW128" s="566">
        <f>VLOOKUP($A128,'01-02.2021'!$A$6:$CZ$403,75,FALSE)+VLOOKUP($A128,'1.3.21-28.2.22'!$A$6:$DA$404,75,FALSE)-VLOOKUP($A128,'01-02.2022'!$A$6:$DA$376,75,FALSE)</f>
        <v>4255.6455086482592</v>
      </c>
      <c r="BX128" s="566">
        <f>VLOOKUP($A128,'01-02.2021'!$A$6:$CZ$403,76,FALSE)+VLOOKUP($A128,'1.3.21-28.2.22'!$A$6:$DA$404,76,FALSE)-VLOOKUP($A128,'01-02.2022'!$A$6:$DA$376,76,FALSE)</f>
        <v>4254.883769917963</v>
      </c>
      <c r="BY128" s="70">
        <f t="shared" si="129"/>
        <v>-0.76173873029620154</v>
      </c>
      <c r="BZ128" s="566">
        <f>VLOOKUP($A128,'01-02.2021'!$A$6:$CZ$403,78,FALSE)+VLOOKUP($A128,'1.3.21-28.2.22'!$A$6:$DA$404,78,FALSE)-VLOOKUP($A128,'01-02.2022'!$A$6:$DA$376,78,FALSE)</f>
        <v>1909.3274755411385</v>
      </c>
      <c r="CA128" s="566">
        <f>VLOOKUP($A128,'01-02.2021'!$A$6:$CZ$403,79,FALSE)+VLOOKUP($A128,'1.3.21-28.2.22'!$A$6:$DA$404,79,FALSE)-VLOOKUP($A128,'01-02.2022'!$A$6:$DA$376,79,FALSE)</f>
        <v>1194.9059857457023</v>
      </c>
      <c r="CB128" s="70">
        <f t="shared" si="130"/>
        <v>-714.42148979543617</v>
      </c>
      <c r="CC128" s="566">
        <f>VLOOKUP($A128,'01-02.2021'!$A$6:$CZ$403,81,FALSE)+VLOOKUP($A128,'1.3.21-28.2.22'!$A$6:$DA$404,81,FALSE)-VLOOKUP($A128,'01-02.2022'!$A$6:$DA$376,81,FALSE)</f>
        <v>0</v>
      </c>
      <c r="CD128" s="566">
        <f>VLOOKUP($A128,'01-02.2021'!$A$6:$CZ$403,82,FALSE)+VLOOKUP($A128,'1.3.21-28.2.22'!$A$6:$DA$404,82,FALSE)-VLOOKUP($A128,'01-02.2022'!$A$6:$DA$376,82,FALSE)</f>
        <v>0</v>
      </c>
      <c r="CE128" s="70">
        <f t="shared" si="131"/>
        <v>0</v>
      </c>
      <c r="CF128" s="566">
        <f>VLOOKUP($A128,'01-02.2021'!$A$6:$CZ$403,84,FALSE)+VLOOKUP($A128,'1.3.21-28.2.22'!$A$6:$DA$404,84,FALSE)-VLOOKUP($A128,'01-02.2022'!$A$6:$DA$376,84,FALSE)</f>
        <v>0</v>
      </c>
      <c r="CG128" s="566">
        <f>VLOOKUP($A128,'01-02.2021'!$A$6:$CZ$403,85,FALSE)+VLOOKUP($A128,'1.3.21-28.2.22'!$A$6:$DA$404,85,FALSE)-VLOOKUP($A128,'01-02.2022'!$A$6:$DA$376,85,FALSE)</f>
        <v>0</v>
      </c>
      <c r="CH128" s="70">
        <f t="shared" si="132"/>
        <v>0</v>
      </c>
      <c r="CI128" s="566">
        <f>VLOOKUP($A128,'01-02.2021'!$A$6:$CZ$403,87,FALSE)+VLOOKUP($A128,'1.3.21-28.2.22'!$A$6:$DA$404,87,FALSE)-VLOOKUP($A128,'01-02.2022'!$A$6:$DA$376,87,FALSE)</f>
        <v>1293.8917265021564</v>
      </c>
      <c r="CJ128" s="566">
        <f>VLOOKUP($A128,'01-02.2021'!$A$6:$CZ$403,88,FALSE)+VLOOKUP($A128,'1.3.21-28.2.22'!$A$6:$DA$404,88,FALSE)-VLOOKUP($A128,'01-02.2022'!$A$6:$DA$376,88,FALSE)</f>
        <v>1449.749819555843</v>
      </c>
      <c r="CK128" s="70">
        <f t="shared" si="133"/>
        <v>155.85809305368662</v>
      </c>
      <c r="CL128" s="566">
        <f>VLOOKUP($A128,'01-02.2021'!$A$6:$CZ$403,90,FALSE)+VLOOKUP($A128,'1.3.21-28.2.22'!$A$6:$DA$404,90,FALSE)-VLOOKUP($A128,'01-02.2022'!$A$6:$DA$376,90,FALSE)</f>
        <v>0</v>
      </c>
      <c r="CM128" s="566">
        <f>VLOOKUP($A128,'01-02.2021'!$A$6:$CZ$403,91,FALSE)+VLOOKUP($A128,'1.3.21-28.2.22'!$A$6:$DA$404,91,FALSE)-VLOOKUP($A128,'01-02.2022'!$A$6:$DA$376,91,FALSE)</f>
        <v>0</v>
      </c>
      <c r="CN128" s="52">
        <f t="shared" si="97"/>
        <v>0</v>
      </c>
      <c r="CO128" s="39">
        <f t="shared" si="89"/>
        <v>1293.8917265021564</v>
      </c>
      <c r="CP128" s="40">
        <f t="shared" si="98"/>
        <v>1449.749819555843</v>
      </c>
      <c r="CQ128" s="52">
        <f t="shared" si="99"/>
        <v>155.85809305368662</v>
      </c>
      <c r="CR128" s="72">
        <f t="shared" si="90"/>
        <v>32408.100408785289</v>
      </c>
      <c r="CS128" s="5">
        <f t="shared" si="90"/>
        <v>31282.547818562041</v>
      </c>
      <c r="CT128" s="52">
        <f t="shared" si="100"/>
        <v>-1125.5525902232475</v>
      </c>
      <c r="CU128" s="77">
        <f t="shared" si="101"/>
        <v>38889.720490542342</v>
      </c>
      <c r="CV128" s="65">
        <f t="shared" si="102"/>
        <v>37539.057382274448</v>
      </c>
      <c r="CW128" s="35">
        <f t="shared" si="103"/>
        <v>-1350.6631082678941</v>
      </c>
      <c r="CX128" s="566">
        <f>VLOOKUP($A128,'01-02.2021'!$A$6:$CZ$403,102,FALSE)+VLOOKUP($A128,'1.3.21-28.2.22'!$A$6:$DA$404,102,FALSE)-VLOOKUP($A128,'01-02.2022'!$A$6:$DA$376,102,FALSE)</f>
        <v>1355.0920632258419</v>
      </c>
      <c r="CY128" s="566">
        <f>VLOOKUP($A128,'01-02.2021'!$A$6:$CZ$403,103,FALSE)+VLOOKUP($A128,'1.3.21-28.2.22'!$A$6:$DA$404,103,FALSE)-VLOOKUP($A128,'01-02.2022'!$A$6:$DA$376,103,FALSE)</f>
        <v>2705.7551714937358</v>
      </c>
      <c r="CZ128" s="52">
        <f t="shared" si="104"/>
        <v>1350.6631082678939</v>
      </c>
      <c r="DA128" s="150">
        <f>'[2]побудинковий звіт'!DA128</f>
        <v>-13319.324995686631</v>
      </c>
      <c r="DB128" s="2">
        <v>2</v>
      </c>
      <c r="DC128" s="414">
        <f>'[4]побудинковий звіт'!DC128</f>
        <v>4111.55</v>
      </c>
      <c r="DD128" s="414">
        <f>'[4]побудинковий звіт'!DD128</f>
        <v>0</v>
      </c>
      <c r="DE128" s="557">
        <f>'[4]побудинковий звіт'!DE128</f>
        <v>449.50858115368783</v>
      </c>
      <c r="DF128" s="557">
        <f>'[4]побудинковий звіт'!DF128</f>
        <v>0</v>
      </c>
      <c r="DG128" s="321">
        <f>VLOOKUP(A128,'кошти 01.03.2021'!$A$6:$D$401,4,)</f>
        <v>-10663.093274395149</v>
      </c>
      <c r="DH128" s="40">
        <f>'[3]побудинковий звіт'!DJ128</f>
        <v>41703.492154898857</v>
      </c>
      <c r="DI128" s="422">
        <f>'[3]побудинковий звіт'!CU128+'[3]побудинковий звіт'!CX128</f>
        <v>3662.0414188463128</v>
      </c>
      <c r="DJ128" s="306">
        <f>'[3]побудинковий звіт'!DM128</f>
        <v>5.8471042932241941</v>
      </c>
      <c r="DK128" s="306">
        <f t="shared" si="145"/>
        <v>5.8471042932241941</v>
      </c>
      <c r="DL128" s="306">
        <f>'[3]побудинковий звіт'!DO128</f>
        <v>5.1320407658629588</v>
      </c>
      <c r="DM128" s="28">
        <f t="shared" si="146"/>
        <v>3662.0414188463124</v>
      </c>
      <c r="DN128" s="28">
        <f t="shared" si="148"/>
        <v>0</v>
      </c>
      <c r="DO128" s="423">
        <f t="shared" si="105"/>
        <v>3662.0414188463124</v>
      </c>
      <c r="DP128" s="94">
        <f t="shared" si="106"/>
        <v>0</v>
      </c>
      <c r="DQ128" s="28">
        <f t="shared" si="107"/>
        <v>3662.0414188463124</v>
      </c>
      <c r="DR128" s="318"/>
      <c r="DT128" s="8"/>
      <c r="DU128" s="5"/>
      <c r="DX128" s="5">
        <f t="shared" si="108"/>
        <v>12587.907061436648</v>
      </c>
      <c r="DY128" s="5">
        <f t="shared" si="109"/>
        <v>10283.987999999999</v>
      </c>
      <c r="DZ128" s="159">
        <f>'[3]побудинковий звіт'!EA128</f>
        <v>1132.6399778163088</v>
      </c>
    </row>
    <row r="129" spans="1:130" x14ac:dyDescent="0.3">
      <c r="A129" s="325">
        <v>150000615</v>
      </c>
      <c r="B129" s="41" t="s">
        <v>578</v>
      </c>
      <c r="C129" s="42" t="s">
        <v>257</v>
      </c>
      <c r="D129" s="42"/>
      <c r="E129" s="293">
        <f t="shared" ref="E129:E184" si="149">F129+H129</f>
        <v>2636.9100000000003</v>
      </c>
      <c r="F129" s="305">
        <f>'[3]побудинковий звіт'!F129</f>
        <v>2504.61</v>
      </c>
      <c r="G129" s="508">
        <f>'[3]побудинковий звіт'!G129</f>
        <v>0</v>
      </c>
      <c r="H129" s="560">
        <f>'[3]побудинковий звіт'!H129</f>
        <v>132.30000000000001</v>
      </c>
      <c r="I129" s="566">
        <f>VLOOKUP($A129,'01-02.2021'!$A$6:$CZ$403,9,FALSE)+VLOOKUP($A129,'1.3.21-28.2.22'!$A$6:$DA$404,9,FALSE)-VLOOKUP($A129,'01-02.2022'!$A$6:$DA$376,9,FALSE)</f>
        <v>8633.3735274692135</v>
      </c>
      <c r="J129" s="566">
        <f>VLOOKUP($A129,'01-02.2021'!$A$6:$CZ$403,10,FALSE)+VLOOKUP($A129,'1.3.21-28.2.22'!$A$6:$DA$404,10,FALSE)-VLOOKUP($A129,'01-02.2022'!$A$6:$DA$376,10,FALSE)</f>
        <v>9501.8788606914277</v>
      </c>
      <c r="K129" s="52">
        <f t="shared" si="94"/>
        <v>868.50533322221418</v>
      </c>
      <c r="L129" s="566">
        <f>VLOOKUP($A129,'01-02.2021'!$A$6:$CZ$403,12,FALSE)+VLOOKUP($A129,'1.3.21-28.2.22'!$A$6:$DA$404,12,FALSE)-VLOOKUP($A129,'01-02.2022'!$A$6:$DA$376,12,FALSE)</f>
        <v>1677.9188608518759</v>
      </c>
      <c r="M129" s="566">
        <f>VLOOKUP($A129,'01-02.2021'!$A$6:$CZ$403,13,FALSE)+VLOOKUP($A129,'1.3.21-28.2.22'!$A$6:$DA$404,13,FALSE)-VLOOKUP($A129,'01-02.2022'!$A$6:$DA$376,13,FALSE)</f>
        <v>1847.4487438136168</v>
      </c>
      <c r="N129" s="52">
        <f t="shared" si="95"/>
        <v>169.5298829617409</v>
      </c>
      <c r="O129" s="566">
        <f>VLOOKUP($A129,'01-02.2021'!$A$6:$CZ$403,15,FALSE)+VLOOKUP($A129,'1.3.21-28.2.22'!$A$6:$DA$404,15,FALSE)-VLOOKUP($A129,'01-02.2022'!$A$6:$DA$376,15,FALSE)</f>
        <v>3376.1315218730006</v>
      </c>
      <c r="P129" s="566">
        <f>VLOOKUP($A129,'01-02.2021'!$A$6:$CZ$403,16,FALSE)+VLOOKUP($A129,'1.3.21-28.2.22'!$A$6:$DA$404,16,FALSE)-VLOOKUP($A129,'01-02.2022'!$A$6:$DA$376,16,FALSE)</f>
        <v>3376.1400000000003</v>
      </c>
      <c r="Q129" s="70">
        <f t="shared" si="111"/>
        <v>8.4781269997620257E-3</v>
      </c>
      <c r="R129" s="566">
        <f>VLOOKUP($A129,'01-02.2021'!$A$6:$CZ$403,18,FALSE)+VLOOKUP($A129,'1.3.21-28.2.22'!$A$6:$DA$404,18,FALSE)-VLOOKUP($A129,'01-02.2022'!$A$6:$DA$376,18,FALSE)</f>
        <v>0</v>
      </c>
      <c r="S129" s="566">
        <f>VLOOKUP($A129,'01-02.2021'!$A$6:$CZ$403,19,FALSE)+VLOOKUP($A129,'1.3.21-28.2.22'!$A$6:$DA$404,19,FALSE)-VLOOKUP($A129,'01-02.2022'!$A$6:$DA$376,19,FALSE)</f>
        <v>0</v>
      </c>
      <c r="T129" s="70">
        <f t="shared" si="112"/>
        <v>0</v>
      </c>
      <c r="U129" s="566">
        <f>VLOOKUP($A129,'01-02.2021'!$A$6:$CZ$403,21,FALSE)+VLOOKUP($A129,'1.3.21-28.2.22'!$A$6:$DA$404,21,FALSE)-VLOOKUP($A129,'01-02.2022'!$A$6:$DA$376,21,FALSE)</f>
        <v>0</v>
      </c>
      <c r="V129" s="566">
        <f>VLOOKUP($A129,'01-02.2021'!$A$6:$CZ$403,22,FALSE)+VLOOKUP($A129,'1.3.21-28.2.22'!$A$6:$DA$404,22,FALSE)-VLOOKUP($A129,'01-02.2022'!$A$6:$DA$376,22,FALSE)</f>
        <v>0</v>
      </c>
      <c r="W129" s="70">
        <f t="shared" si="113"/>
        <v>0</v>
      </c>
      <c r="X129" s="566">
        <f>VLOOKUP($A129,'01-02.2021'!$A$6:$CZ$403,24,FALSE)+VLOOKUP($A129,'1.3.21-28.2.22'!$A$6:$DA$404,24,FALSE)-VLOOKUP($A129,'01-02.2022'!$A$6:$DA$376,24,FALSE)</f>
        <v>4353.3673887059331</v>
      </c>
      <c r="Y129" s="566">
        <f>VLOOKUP($A129,'01-02.2021'!$A$6:$CZ$403,25,FALSE)+VLOOKUP($A129,'1.3.21-28.2.22'!$A$6:$DA$404,25,FALSE)-VLOOKUP($A129,'01-02.2022'!$A$6:$DA$376,25,FALSE)</f>
        <v>3500.5669617861631</v>
      </c>
      <c r="Z129" s="70">
        <f t="shared" si="114"/>
        <v>-852.80042691976996</v>
      </c>
      <c r="AA129" s="566">
        <f>VLOOKUP($A129,'01-02.2021'!$A$6:$CZ$403,27,FALSE)+VLOOKUP($A129,'1.3.21-28.2.22'!$A$6:$DA$404,27,FALSE)-VLOOKUP($A129,'01-02.2022'!$A$6:$DA$376,27,FALSE)</f>
        <v>527.42200000000003</v>
      </c>
      <c r="AB129" s="566">
        <f>VLOOKUP($A129,'01-02.2021'!$A$6:$CZ$403,28,FALSE)+VLOOKUP($A129,'1.3.21-28.2.22'!$A$6:$DA$404,28,FALSE)-VLOOKUP($A129,'01-02.2022'!$A$6:$DA$376,28,FALSE)</f>
        <v>0</v>
      </c>
      <c r="AC129" s="70">
        <f t="shared" si="115"/>
        <v>-527.42200000000003</v>
      </c>
      <c r="AD129" s="566">
        <f>VLOOKUP($A129,'01-02.2021'!$A$6:$CZ$403,30,FALSE)+VLOOKUP($A129,'1.3.21-28.2.22'!$A$6:$DA$404,30,FALSE)-VLOOKUP($A129,'01-02.2022'!$A$6:$DA$376,30,FALSE)</f>
        <v>11313.521903429439</v>
      </c>
      <c r="AE129" s="566">
        <f>VLOOKUP($A129,'01-02.2021'!$A$6:$CZ$403,31,FALSE)+VLOOKUP($A129,'1.3.21-28.2.22'!$A$6:$DA$404,31,FALSE)-VLOOKUP($A129,'01-02.2022'!$A$6:$DA$376,31,FALSE)</f>
        <v>12003.320567037888</v>
      </c>
      <c r="AF129" s="68">
        <f t="shared" si="116"/>
        <v>689.79866360844971</v>
      </c>
      <c r="AG129" s="77">
        <f t="shared" ref="AG129:AH184" si="150">I129+L129+O129+R129+U129+X129+AA129+AD129</f>
        <v>29881.735202329462</v>
      </c>
      <c r="AH129" s="53">
        <f t="shared" si="150"/>
        <v>30229.355133329096</v>
      </c>
      <c r="AI129" s="52">
        <f t="shared" si="96"/>
        <v>347.61993099963365</v>
      </c>
      <c r="AJ129" s="566">
        <f>VLOOKUP($A129,'01-02.2021'!$A$6:$CZ$403,36,FALSE)+VLOOKUP($A129,'1.3.21-28.2.22'!$A$6:$DA$404,36,FALSE)-VLOOKUP($A129,'01-02.2022'!$A$6:$DA$376,36,FALSE)</f>
        <v>0</v>
      </c>
      <c r="AK129" s="566">
        <f>VLOOKUP($A129,'01-02.2021'!$A$6:$CZ$403,37,FALSE)+VLOOKUP($A129,'1.3.21-28.2.22'!$A$6:$DA$404,37,FALSE)-VLOOKUP($A129,'01-02.2022'!$A$6:$DA$376,37,FALSE)</f>
        <v>0</v>
      </c>
      <c r="AL129" s="70">
        <f t="shared" si="117"/>
        <v>0</v>
      </c>
      <c r="AM129" s="566">
        <f>VLOOKUP($A129,'01-02.2021'!$A$6:$CZ$403,39,FALSE)+VLOOKUP($A129,'1.3.21-28.2.22'!$A$6:$DA$404,39,FALSE)-VLOOKUP($A129,'01-02.2022'!$A$6:$DA$376,39,FALSE)</f>
        <v>0</v>
      </c>
      <c r="AN129" s="566">
        <f>VLOOKUP($A129,'01-02.2021'!$A$6:$CZ$403,40,FALSE)+VLOOKUP($A129,'1.3.21-28.2.22'!$A$6:$DA$404,40,FALSE)-VLOOKUP($A129,'01-02.2022'!$A$6:$DA$376,40,FALSE)</f>
        <v>0</v>
      </c>
      <c r="AO129" s="70">
        <f t="shared" si="118"/>
        <v>0</v>
      </c>
      <c r="AP129" s="566">
        <f>VLOOKUP($A129,'01-02.2021'!$A$6:$CZ$403,42,FALSE)+VLOOKUP($A129,'1.3.21-28.2.22'!$A$6:$DA$404,42,FALSE)-VLOOKUP($A129,'01-02.2022'!$A$6:$DA$376,42,FALSE)</f>
        <v>7678.2588939384641</v>
      </c>
      <c r="AQ129" s="566">
        <f>VLOOKUP($A129,'01-02.2021'!$A$6:$CZ$403,43,FALSE)+VLOOKUP($A129,'1.3.21-28.2.22'!$A$6:$DA$404,43,FALSE)-VLOOKUP($A129,'01-02.2022'!$A$6:$DA$376,43,FALSE)</f>
        <v>5865.1867018259773</v>
      </c>
      <c r="AR129" s="70">
        <f t="shared" si="119"/>
        <v>-1813.0721921124868</v>
      </c>
      <c r="AS129" s="566">
        <f>VLOOKUP($A129,'01-02.2021'!$A$6:$CZ$403,45,FALSE)+VLOOKUP($A129,'1.3.21-28.2.22'!$A$6:$DA$404,45,FALSE)-VLOOKUP($A129,'01-02.2022'!$A$6:$DA$376,45,FALSE)</f>
        <v>17849.052645984902</v>
      </c>
      <c r="AT129" s="566">
        <f>VLOOKUP($A129,'01-02.2021'!$A$6:$CZ$403,46,FALSE)+VLOOKUP($A129,'1.3.21-28.2.22'!$A$6:$DA$404,46,FALSE)-VLOOKUP($A129,'01-02.2022'!$A$6:$DA$376,46,FALSE)</f>
        <v>10984.49</v>
      </c>
      <c r="AU129" s="78">
        <f t="shared" si="120"/>
        <v>-6864.5626459849027</v>
      </c>
      <c r="AV129" s="566">
        <f>VLOOKUP($A129,'01-02.2021'!$A$6:$CZ$403,48,FALSE)+VLOOKUP($A129,'1.3.21-28.2.22'!$A$6:$DA$404,48,FALSE)-VLOOKUP($A129,'01-02.2022'!$A$6:$DA$376,48,FALSE)</f>
        <v>2289.0629291716791</v>
      </c>
      <c r="AW129" s="566">
        <f>VLOOKUP($A129,'01-02.2021'!$A$6:$CZ$403,49,FALSE)+VLOOKUP($A129,'1.3.21-28.2.22'!$A$6:$DA$404,49,FALSE)-VLOOKUP($A129,'01-02.2022'!$A$6:$DA$376,49,FALSE)</f>
        <v>0</v>
      </c>
      <c r="AX129" s="55">
        <f t="shared" si="121"/>
        <v>-2289.0629291716791</v>
      </c>
      <c r="AY129" s="566">
        <f>VLOOKUP($A129,'01-02.2021'!$A$6:$CZ$403,51,FALSE)+VLOOKUP($A129,'1.3.21-28.2.22'!$A$6:$DA$404,51,FALSE)-VLOOKUP($A129,'01-02.2022'!$A$6:$DA$376,51,FALSE)</f>
        <v>3153.9182195624944</v>
      </c>
      <c r="AZ129" s="566">
        <f>VLOOKUP($A129,'01-02.2021'!$A$6:$CZ$403,52,FALSE)+VLOOKUP($A129,'1.3.21-28.2.22'!$A$6:$DA$404,52,FALSE)-VLOOKUP($A129,'01-02.2022'!$A$6:$DA$376,52,FALSE)</f>
        <v>1730</v>
      </c>
      <c r="BA129" s="38">
        <f t="shared" si="122"/>
        <v>-1423.9182195624944</v>
      </c>
      <c r="BB129" s="566">
        <f>VLOOKUP($A129,'01-02.2021'!$A$6:$CZ$403,54,FALSE)+VLOOKUP($A129,'1.3.21-28.2.22'!$A$6:$DA$404,54,FALSE)-VLOOKUP($A129,'01-02.2022'!$A$6:$DA$376,54,FALSE)</f>
        <v>1513.8912677283938</v>
      </c>
      <c r="BC129" s="566">
        <f>VLOOKUP($A129,'01-02.2021'!$A$6:$CZ$403,55,FALSE)+VLOOKUP($A129,'1.3.21-28.2.22'!$A$6:$DA$404,55,FALSE)-VLOOKUP($A129,'01-02.2022'!$A$6:$DA$376,55,FALSE)</f>
        <v>1892</v>
      </c>
      <c r="BD129" s="55">
        <f t="shared" si="123"/>
        <v>378.10873227160619</v>
      </c>
      <c r="BE129" s="566">
        <f>VLOOKUP($A129,'01-02.2021'!$A$6:$CZ$403,57,FALSE)+VLOOKUP($A129,'1.3.21-28.2.22'!$A$6:$DA$404,57,FALSE)-VLOOKUP($A129,'01-02.2022'!$A$6:$DA$376,57,FALSE)</f>
        <v>0</v>
      </c>
      <c r="BF129" s="566">
        <f>VLOOKUP($A129,'01-02.2021'!$A$6:$CZ$403,58,FALSE)+VLOOKUP($A129,'1.3.21-28.2.22'!$A$6:$DA$404,58,FALSE)-VLOOKUP($A129,'01-02.2022'!$A$6:$DA$376,58,FALSE)</f>
        <v>0</v>
      </c>
      <c r="BG129" s="55">
        <f t="shared" si="124"/>
        <v>0</v>
      </c>
      <c r="BH129" s="566">
        <f>VLOOKUP($A129,'01-02.2021'!$A$6:$CZ$403,60,FALSE)+VLOOKUP($A129,'1.3.21-28.2.22'!$A$6:$DA$404,60,FALSE)-VLOOKUP($A129,'01-02.2022'!$A$6:$DA$376,60,FALSE)</f>
        <v>0</v>
      </c>
      <c r="BI129" s="566">
        <f>VLOOKUP($A129,'01-02.2021'!$A$6:$CZ$403,61,FALSE)+VLOOKUP($A129,'1.3.21-28.2.22'!$A$6:$DA$404,61,FALSE)-VLOOKUP($A129,'01-02.2022'!$A$6:$DA$376,61,FALSE)</f>
        <v>0</v>
      </c>
      <c r="BJ129" s="55">
        <f t="shared" si="125"/>
        <v>0</v>
      </c>
      <c r="BK129" s="566">
        <f>VLOOKUP($A129,'01-02.2021'!$A$6:$CZ$403,63,FALSE)+VLOOKUP($A129,'1.3.21-28.2.22'!$A$6:$DA$404,63,FALSE)-VLOOKUP($A129,'01-02.2022'!$A$6:$DA$376,63,FALSE)</f>
        <v>1251.2245634401859</v>
      </c>
      <c r="BL129" s="566">
        <f>VLOOKUP($A129,'01-02.2021'!$A$6:$CZ$403,64,FALSE)+VLOOKUP($A129,'1.3.21-28.2.22'!$A$6:$DA$404,64,FALSE)-VLOOKUP($A129,'01-02.2022'!$A$6:$DA$376,64,FALSE)</f>
        <v>0</v>
      </c>
      <c r="BM129" s="55">
        <f t="shared" si="126"/>
        <v>-1251.2245634401859</v>
      </c>
      <c r="BN129" s="566">
        <f>VLOOKUP($A129,'01-02.2021'!$A$6:$CZ$403,66,FALSE)+VLOOKUP($A129,'1.3.21-28.2.22'!$A$6:$DA$404,66,FALSE)-VLOOKUP($A129,'01-02.2022'!$A$6:$DA$376,66,FALSE)</f>
        <v>131.85550000000001</v>
      </c>
      <c r="BO129" s="566">
        <f>VLOOKUP($A129,'01-02.2021'!$A$6:$CZ$403,67,FALSE)+VLOOKUP($A129,'1.3.21-28.2.22'!$A$6:$DA$404,67,FALSE)-VLOOKUP($A129,'01-02.2022'!$A$6:$DA$376,67,FALSE)</f>
        <v>0</v>
      </c>
      <c r="BP129" s="55">
        <f t="shared" si="127"/>
        <v>-131.85550000000001</v>
      </c>
      <c r="BQ129" s="77">
        <f t="shared" ref="BQ129:BQ156" si="151">AV129+AY129+BB129+BE129+BH129+BK129+BN129</f>
        <v>8339.9524799027531</v>
      </c>
      <c r="BR129" s="40">
        <f t="shared" ref="BR129:BR156" si="152">AW129+AZ129+BC129+BF129+BI129+BL129+BO129</f>
        <v>3622</v>
      </c>
      <c r="BS129" s="55">
        <f t="shared" si="110"/>
        <v>-4717.9524799027531</v>
      </c>
      <c r="BT129" s="566">
        <f>VLOOKUP($A129,'01-02.2021'!$A$6:$CZ$403,72,FALSE)+VLOOKUP($A129,'1.3.21-28.2.22'!$A$6:$DA$404,72,FALSE)-VLOOKUP($A129,'01-02.2022'!$A$6:$DA$376,72,FALSE)</f>
        <v>51702.64321294456</v>
      </c>
      <c r="BU129" s="566">
        <f>VLOOKUP($A129,'01-02.2021'!$A$6:$CZ$403,73,FALSE)+VLOOKUP($A129,'1.3.21-28.2.22'!$A$6:$DA$404,73,FALSE)-VLOOKUP($A129,'01-02.2022'!$A$6:$DA$376,73,FALSE)</f>
        <v>53813.951720408964</v>
      </c>
      <c r="BV129" s="70">
        <f t="shared" si="128"/>
        <v>2111.3085074644041</v>
      </c>
      <c r="BW129" s="566">
        <f>VLOOKUP($A129,'01-02.2021'!$A$6:$CZ$403,75,FALSE)+VLOOKUP($A129,'1.3.21-28.2.22'!$A$6:$DA$404,75,FALSE)-VLOOKUP($A129,'01-02.2022'!$A$6:$DA$376,75,FALSE)</f>
        <v>10675.176126133709</v>
      </c>
      <c r="BX129" s="566">
        <f>VLOOKUP($A129,'01-02.2021'!$A$6:$CZ$403,76,FALSE)+VLOOKUP($A129,'1.3.21-28.2.22'!$A$6:$DA$404,76,FALSE)-VLOOKUP($A129,'01-02.2022'!$A$6:$DA$376,76,FALSE)</f>
        <v>9309.4754968994057</v>
      </c>
      <c r="BY129" s="70">
        <f t="shared" si="129"/>
        <v>-1365.7006292343031</v>
      </c>
      <c r="BZ129" s="566">
        <f>VLOOKUP($A129,'01-02.2021'!$A$6:$CZ$403,78,FALSE)+VLOOKUP($A129,'1.3.21-28.2.22'!$A$6:$DA$404,78,FALSE)-VLOOKUP($A129,'01-02.2022'!$A$6:$DA$376,78,FALSE)</f>
        <v>16419.428975152565</v>
      </c>
      <c r="CA129" s="566">
        <f>VLOOKUP($A129,'01-02.2021'!$A$6:$CZ$403,79,FALSE)+VLOOKUP($A129,'1.3.21-28.2.22'!$A$6:$DA$404,79,FALSE)-VLOOKUP($A129,'01-02.2022'!$A$6:$DA$376,79,FALSE)</f>
        <v>10956.984568942007</v>
      </c>
      <c r="CB129" s="70">
        <f t="shared" si="130"/>
        <v>-5462.4444062105576</v>
      </c>
      <c r="CC129" s="566">
        <f>VLOOKUP($A129,'01-02.2021'!$A$6:$CZ$403,81,FALSE)+VLOOKUP($A129,'1.3.21-28.2.22'!$A$6:$DA$404,81,FALSE)-VLOOKUP($A129,'01-02.2022'!$A$6:$DA$376,81,FALSE)</f>
        <v>697.06498755182179</v>
      </c>
      <c r="CD129" s="566">
        <f>VLOOKUP($A129,'01-02.2021'!$A$6:$CZ$403,82,FALSE)+VLOOKUP($A129,'1.3.21-28.2.22'!$A$6:$DA$404,82,FALSE)-VLOOKUP($A129,'01-02.2022'!$A$6:$DA$376,82,FALSE)</f>
        <v>761.88716556792076</v>
      </c>
      <c r="CE129" s="70">
        <f t="shared" si="131"/>
        <v>64.822178016098974</v>
      </c>
      <c r="CF129" s="566">
        <f>VLOOKUP($A129,'01-02.2021'!$A$6:$CZ$403,84,FALSE)+VLOOKUP($A129,'1.3.21-28.2.22'!$A$6:$DA$404,84,FALSE)-VLOOKUP($A129,'01-02.2022'!$A$6:$DA$376,84,FALSE)</f>
        <v>84.742608123448733</v>
      </c>
      <c r="CG129" s="566">
        <f>VLOOKUP($A129,'01-02.2021'!$A$6:$CZ$403,85,FALSE)+VLOOKUP($A129,'1.3.21-28.2.22'!$A$6:$DA$404,85,FALSE)-VLOOKUP($A129,'01-02.2022'!$A$6:$DA$376,85,FALSE)</f>
        <v>0</v>
      </c>
      <c r="CH129" s="70">
        <f t="shared" si="132"/>
        <v>-84.742608123448733</v>
      </c>
      <c r="CI129" s="566">
        <f>VLOOKUP($A129,'01-02.2021'!$A$6:$CZ$403,87,FALSE)+VLOOKUP($A129,'1.3.21-28.2.22'!$A$6:$DA$404,87,FALSE)-VLOOKUP($A129,'01-02.2022'!$A$6:$DA$376,87,FALSE)</f>
        <v>2746.5092275908637</v>
      </c>
      <c r="CJ129" s="566">
        <f>VLOOKUP($A129,'01-02.2021'!$A$6:$CZ$403,88,FALSE)+VLOOKUP($A129,'1.3.21-28.2.22'!$A$6:$DA$404,88,FALSE)-VLOOKUP($A129,'01-02.2022'!$A$6:$DA$376,88,FALSE)</f>
        <v>2634.6297937375548</v>
      </c>
      <c r="CK129" s="70">
        <f t="shared" si="133"/>
        <v>-111.87943385330891</v>
      </c>
      <c r="CL129" s="566">
        <f>VLOOKUP($A129,'01-02.2021'!$A$6:$CZ$403,90,FALSE)+VLOOKUP($A129,'1.3.21-28.2.22'!$A$6:$DA$404,90,FALSE)-VLOOKUP($A129,'01-02.2022'!$A$6:$DA$376,90,FALSE)</f>
        <v>0</v>
      </c>
      <c r="CM129" s="566">
        <f>VLOOKUP($A129,'01-02.2021'!$A$6:$CZ$403,91,FALSE)+VLOOKUP($A129,'1.3.21-28.2.22'!$A$6:$DA$404,91,FALSE)-VLOOKUP($A129,'01-02.2022'!$A$6:$DA$376,91,FALSE)</f>
        <v>0</v>
      </c>
      <c r="CN129" s="52">
        <f t="shared" si="97"/>
        <v>0</v>
      </c>
      <c r="CO129" s="39">
        <f t="shared" ref="CO129:CO184" si="153">CI129+CL129</f>
        <v>2746.5092275908637</v>
      </c>
      <c r="CP129" s="40">
        <f t="shared" si="98"/>
        <v>2634.6297937375548</v>
      </c>
      <c r="CQ129" s="52">
        <f t="shared" si="99"/>
        <v>-111.87943385330891</v>
      </c>
      <c r="CR129" s="72">
        <f t="shared" ref="CR129:CS184" si="154">AG129+AJ129+AM129+AP129+AS129+BQ129+BT129+BW129+BZ129+CC129+CF129+CO129</f>
        <v>146074.56435965258</v>
      </c>
      <c r="CS129" s="5">
        <f t="shared" si="154"/>
        <v>128177.96058071093</v>
      </c>
      <c r="CT129" s="52">
        <f t="shared" si="100"/>
        <v>-17896.603778941644</v>
      </c>
      <c r="CU129" s="77">
        <f t="shared" si="101"/>
        <v>175289.47723158309</v>
      </c>
      <c r="CV129" s="65">
        <f t="shared" si="102"/>
        <v>153813.55269685312</v>
      </c>
      <c r="CW129" s="35">
        <f t="shared" si="103"/>
        <v>-21475.924534729973</v>
      </c>
      <c r="CX129" s="566">
        <f>VLOOKUP($A129,'01-02.2021'!$A$6:$CZ$403,102,FALSE)+VLOOKUP($A129,'1.3.21-28.2.22'!$A$6:$DA$404,102,FALSE)-VLOOKUP($A129,'01-02.2022'!$A$6:$DA$376,102,FALSE)</f>
        <v>3239.0140862771696</v>
      </c>
      <c r="CY129" s="566">
        <f>VLOOKUP($A129,'01-02.2021'!$A$6:$CZ$403,103,FALSE)+VLOOKUP($A129,'1.3.21-28.2.22'!$A$6:$DA$404,103,FALSE)-VLOOKUP($A129,'01-02.2022'!$A$6:$DA$376,103,FALSE)</f>
        <v>24714.93862100711</v>
      </c>
      <c r="CZ129" s="52">
        <f t="shared" si="104"/>
        <v>21475.92453472994</v>
      </c>
      <c r="DA129" s="150">
        <f>'[2]побудинковий звіт'!DA129</f>
        <v>-7242.4160493973031</v>
      </c>
      <c r="DB129" s="2">
        <v>2</v>
      </c>
      <c r="DC129" s="414">
        <f>'[4]побудинковий звіт'!DC129</f>
        <v>35349.919999999998</v>
      </c>
      <c r="DD129" s="414">
        <f>'[4]побудинковий звіт'!DD129</f>
        <v>224.32000000000002</v>
      </c>
      <c r="DE129" s="557">
        <f>'[4]побудинковий звіт'!DE129</f>
        <v>19859.862032611669</v>
      </c>
      <c r="DF129" s="557">
        <f>'[4]побудинковий звіт'!DF129</f>
        <v>-526.98953154615367</v>
      </c>
      <c r="DG129" s="321">
        <f>VLOOKUP(A129,'кошти 01.03.2021'!$A$6:$D$401,4,)</f>
        <v>16451.145252504233</v>
      </c>
      <c r="DH129" s="40">
        <f>'[3]побудинковий звіт'!DJ129</f>
        <v>184981.60272344155</v>
      </c>
      <c r="DI129" s="422">
        <f>'[3]побудинковий звіт'!CU129+'[3]побудинковий звіт'!CX129</f>
        <v>16241.367498934484</v>
      </c>
      <c r="DJ129" s="306">
        <f>'[3]побудинковий звіт'!DM129</f>
        <v>6.184618749980368</v>
      </c>
      <c r="DK129" s="306">
        <f t="shared" si="145"/>
        <v>6.184618749980368</v>
      </c>
      <c r="DL129" s="306">
        <f>'[3]побудинковий звіт'!DO129</f>
        <v>5.6788324379905797</v>
      </c>
      <c r="DM129" s="28">
        <f t="shared" si="146"/>
        <v>15490.057967388329</v>
      </c>
      <c r="DN129" s="28">
        <f t="shared" si="148"/>
        <v>751.30953154615372</v>
      </c>
      <c r="DO129" s="423">
        <f t="shared" si="105"/>
        <v>16241.367498934484</v>
      </c>
      <c r="DP129" s="94">
        <f t="shared" si="106"/>
        <v>0</v>
      </c>
      <c r="DQ129" s="28">
        <f t="shared" si="107"/>
        <v>16241.367498934484</v>
      </c>
      <c r="DR129" s="318"/>
      <c r="DT129" s="8"/>
      <c r="DU129" s="5"/>
      <c r="DX129" s="5">
        <f t="shared" si="108"/>
        <v>31426.806151065186</v>
      </c>
      <c r="DY129" s="5">
        <f t="shared" si="109"/>
        <v>17527.788</v>
      </c>
      <c r="DZ129" s="159">
        <f>'[3]побудинковий звіт'!EA129</f>
        <v>2698.5073142634265</v>
      </c>
    </row>
    <row r="130" spans="1:130" x14ac:dyDescent="0.3">
      <c r="A130" s="325">
        <v>150000616</v>
      </c>
      <c r="B130" s="41" t="s">
        <v>579</v>
      </c>
      <c r="C130" s="42" t="s">
        <v>258</v>
      </c>
      <c r="D130" s="42"/>
      <c r="E130" s="293">
        <f t="shared" si="149"/>
        <v>1804.3</v>
      </c>
      <c r="F130" s="305">
        <f>'[3]побудинковий звіт'!F130</f>
        <v>1804.3</v>
      </c>
      <c r="G130" s="508">
        <f>'[3]побудинковий звіт'!G130</f>
        <v>0</v>
      </c>
      <c r="H130" s="560">
        <f>'[3]побудинковий звіт'!H130</f>
        <v>0</v>
      </c>
      <c r="I130" s="566">
        <f>VLOOKUP($A130,'01-02.2021'!$A$6:$CZ$403,9,FALSE)+VLOOKUP($A130,'1.3.21-28.2.22'!$A$6:$DA$404,9,FALSE)-VLOOKUP($A130,'01-02.2022'!$A$6:$DA$376,9,FALSE)</f>
        <v>5820.0361836935699</v>
      </c>
      <c r="J130" s="566">
        <f>VLOOKUP($A130,'01-02.2021'!$A$6:$CZ$403,10,FALSE)+VLOOKUP($A130,'1.3.21-28.2.22'!$A$6:$DA$404,10,FALSE)-VLOOKUP($A130,'01-02.2022'!$A$6:$DA$376,10,FALSE)</f>
        <v>6412.9920882061997</v>
      </c>
      <c r="K130" s="52">
        <f t="shared" ref="K130:K185" si="155">J130-I130</f>
        <v>592.95590451262979</v>
      </c>
      <c r="L130" s="566">
        <f>VLOOKUP($A130,'01-02.2021'!$A$6:$CZ$403,12,FALSE)+VLOOKUP($A130,'1.3.21-28.2.22'!$A$6:$DA$404,12,FALSE)-VLOOKUP($A130,'01-02.2022'!$A$6:$DA$376,12,FALSE)</f>
        <v>1133.1913209601216</v>
      </c>
      <c r="M130" s="566">
        <f>VLOOKUP($A130,'01-02.2021'!$A$6:$CZ$403,13,FALSE)+VLOOKUP($A130,'1.3.21-28.2.22'!$A$6:$DA$404,13,FALSE)-VLOOKUP($A130,'01-02.2022'!$A$6:$DA$376,13,FALSE)</f>
        <v>1247.6842470214362</v>
      </c>
      <c r="N130" s="52">
        <f t="shared" ref="N130:N185" si="156">M130-L130</f>
        <v>114.49292606131462</v>
      </c>
      <c r="O130" s="566">
        <f>VLOOKUP($A130,'01-02.2021'!$A$6:$CZ$403,15,FALSE)+VLOOKUP($A130,'1.3.21-28.2.22'!$A$6:$DA$404,15,FALSE)-VLOOKUP($A130,'01-02.2022'!$A$6:$DA$376,15,FALSE)</f>
        <v>2260.0717150017167</v>
      </c>
      <c r="P130" s="566">
        <f>VLOOKUP($A130,'01-02.2021'!$A$6:$CZ$403,16,FALSE)+VLOOKUP($A130,'1.3.21-28.2.22'!$A$6:$DA$404,16,FALSE)-VLOOKUP($A130,'01-02.2022'!$A$6:$DA$376,16,FALSE)</f>
        <v>2260.0699999999997</v>
      </c>
      <c r="Q130" s="70">
        <f t="shared" si="111"/>
        <v>-1.7150017170024512E-3</v>
      </c>
      <c r="R130" s="566">
        <f>VLOOKUP($A130,'01-02.2021'!$A$6:$CZ$403,18,FALSE)+VLOOKUP($A130,'1.3.21-28.2.22'!$A$6:$DA$404,18,FALSE)-VLOOKUP($A130,'01-02.2022'!$A$6:$DA$376,18,FALSE)</f>
        <v>0</v>
      </c>
      <c r="S130" s="566">
        <f>VLOOKUP($A130,'01-02.2021'!$A$6:$CZ$403,19,FALSE)+VLOOKUP($A130,'1.3.21-28.2.22'!$A$6:$DA$404,19,FALSE)-VLOOKUP($A130,'01-02.2022'!$A$6:$DA$376,19,FALSE)</f>
        <v>0</v>
      </c>
      <c r="T130" s="70">
        <f t="shared" si="112"/>
        <v>0</v>
      </c>
      <c r="U130" s="566">
        <f>VLOOKUP($A130,'01-02.2021'!$A$6:$CZ$403,21,FALSE)+VLOOKUP($A130,'1.3.21-28.2.22'!$A$6:$DA$404,21,FALSE)-VLOOKUP($A130,'01-02.2022'!$A$6:$DA$376,21,FALSE)</f>
        <v>0</v>
      </c>
      <c r="V130" s="566">
        <f>VLOOKUP($A130,'01-02.2021'!$A$6:$CZ$403,22,FALSE)+VLOOKUP($A130,'1.3.21-28.2.22'!$A$6:$DA$404,22,FALSE)-VLOOKUP($A130,'01-02.2022'!$A$6:$DA$376,22,FALSE)</f>
        <v>0</v>
      </c>
      <c r="W130" s="70">
        <f t="shared" si="113"/>
        <v>0</v>
      </c>
      <c r="X130" s="566">
        <f>VLOOKUP($A130,'01-02.2021'!$A$6:$CZ$403,24,FALSE)+VLOOKUP($A130,'1.3.21-28.2.22'!$A$6:$DA$404,24,FALSE)-VLOOKUP($A130,'01-02.2022'!$A$6:$DA$376,24,FALSE)</f>
        <v>2862.7235706535193</v>
      </c>
      <c r="Y130" s="566">
        <f>VLOOKUP($A130,'01-02.2021'!$A$6:$CZ$403,25,FALSE)+VLOOKUP($A130,'1.3.21-28.2.22'!$A$6:$DA$404,25,FALSE)-VLOOKUP($A130,'01-02.2022'!$A$6:$DA$376,25,FALSE)</f>
        <v>2374.8304124788574</v>
      </c>
      <c r="Z130" s="70">
        <f t="shared" si="114"/>
        <v>-487.89315817466195</v>
      </c>
      <c r="AA130" s="566">
        <f>VLOOKUP($A130,'01-02.2021'!$A$6:$CZ$403,27,FALSE)+VLOOKUP($A130,'1.3.21-28.2.22'!$A$6:$DA$404,27,FALSE)-VLOOKUP($A130,'01-02.2022'!$A$6:$DA$376,27,FALSE)</f>
        <v>378.56000000000006</v>
      </c>
      <c r="AB130" s="566">
        <f>VLOOKUP($A130,'01-02.2021'!$A$6:$CZ$403,28,FALSE)+VLOOKUP($A130,'1.3.21-28.2.22'!$A$6:$DA$404,28,FALSE)-VLOOKUP($A130,'01-02.2022'!$A$6:$DA$376,28,FALSE)</f>
        <v>0</v>
      </c>
      <c r="AC130" s="70">
        <f t="shared" si="115"/>
        <v>-378.56000000000006</v>
      </c>
      <c r="AD130" s="566">
        <f>VLOOKUP($A130,'01-02.2021'!$A$6:$CZ$403,30,FALSE)+VLOOKUP($A130,'1.3.21-28.2.22'!$A$6:$DA$404,30,FALSE)-VLOOKUP($A130,'01-02.2022'!$A$6:$DA$376,30,FALSE)</f>
        <v>7900.566957274692</v>
      </c>
      <c r="AE130" s="566">
        <f>VLOOKUP($A130,'01-02.2021'!$A$6:$CZ$403,31,FALSE)+VLOOKUP($A130,'1.3.21-28.2.22'!$A$6:$DA$404,31,FALSE)-VLOOKUP($A130,'01-02.2022'!$A$6:$DA$376,31,FALSE)</f>
        <v>8340.6558564317311</v>
      </c>
      <c r="AF130" s="68">
        <f t="shared" si="116"/>
        <v>440.08889915703912</v>
      </c>
      <c r="AG130" s="77">
        <f t="shared" si="150"/>
        <v>20355.149747583619</v>
      </c>
      <c r="AH130" s="53">
        <f t="shared" si="150"/>
        <v>20636.232604138226</v>
      </c>
      <c r="AI130" s="52">
        <f t="shared" ref="AI130:AI185" si="157">AH130-AG130</f>
        <v>281.08285655460713</v>
      </c>
      <c r="AJ130" s="566">
        <f>VLOOKUP($A130,'01-02.2021'!$A$6:$CZ$403,36,FALSE)+VLOOKUP($A130,'1.3.21-28.2.22'!$A$6:$DA$404,36,FALSE)-VLOOKUP($A130,'01-02.2022'!$A$6:$DA$376,36,FALSE)</f>
        <v>0</v>
      </c>
      <c r="AK130" s="566">
        <f>VLOOKUP($A130,'01-02.2021'!$A$6:$CZ$403,37,FALSE)+VLOOKUP($A130,'1.3.21-28.2.22'!$A$6:$DA$404,37,FALSE)-VLOOKUP($A130,'01-02.2022'!$A$6:$DA$376,37,FALSE)</f>
        <v>0</v>
      </c>
      <c r="AL130" s="70">
        <f t="shared" si="117"/>
        <v>0</v>
      </c>
      <c r="AM130" s="566">
        <f>VLOOKUP($A130,'01-02.2021'!$A$6:$CZ$403,39,FALSE)+VLOOKUP($A130,'1.3.21-28.2.22'!$A$6:$DA$404,39,FALSE)-VLOOKUP($A130,'01-02.2022'!$A$6:$DA$376,39,FALSE)</f>
        <v>0</v>
      </c>
      <c r="AN130" s="566">
        <f>VLOOKUP($A130,'01-02.2021'!$A$6:$CZ$403,40,FALSE)+VLOOKUP($A130,'1.3.21-28.2.22'!$A$6:$DA$404,40,FALSE)-VLOOKUP($A130,'01-02.2022'!$A$6:$DA$376,40,FALSE)</f>
        <v>0</v>
      </c>
      <c r="AO130" s="70">
        <f t="shared" si="118"/>
        <v>0</v>
      </c>
      <c r="AP130" s="566">
        <f>VLOOKUP($A130,'01-02.2021'!$A$6:$CZ$403,42,FALSE)+VLOOKUP($A130,'1.3.21-28.2.22'!$A$6:$DA$404,42,FALSE)-VLOOKUP($A130,'01-02.2022'!$A$6:$DA$376,42,FALSE)</f>
        <v>4815.1793063681926</v>
      </c>
      <c r="AQ130" s="566">
        <f>VLOOKUP($A130,'01-02.2021'!$A$6:$CZ$403,43,FALSE)+VLOOKUP($A130,'1.3.21-28.2.22'!$A$6:$DA$404,43,FALSE)-VLOOKUP($A130,'01-02.2022'!$A$6:$DA$376,43,FALSE)</f>
        <v>3699.732976540161</v>
      </c>
      <c r="AR130" s="70">
        <f t="shared" si="119"/>
        <v>-1115.4463298280316</v>
      </c>
      <c r="AS130" s="566">
        <f>VLOOKUP($A130,'01-02.2021'!$A$6:$CZ$403,45,FALSE)+VLOOKUP($A130,'1.3.21-28.2.22'!$A$6:$DA$404,45,FALSE)-VLOOKUP($A130,'01-02.2022'!$A$6:$DA$376,45,FALSE)</f>
        <v>15659.798976326916</v>
      </c>
      <c r="AT130" s="566">
        <f>VLOOKUP($A130,'01-02.2021'!$A$6:$CZ$403,46,FALSE)+VLOOKUP($A130,'1.3.21-28.2.22'!$A$6:$DA$404,46,FALSE)-VLOOKUP($A130,'01-02.2022'!$A$6:$DA$376,46,FALSE)</f>
        <v>14408.070219037923</v>
      </c>
      <c r="AU130" s="78">
        <f t="shared" si="120"/>
        <v>-1251.7287572889927</v>
      </c>
      <c r="AV130" s="566">
        <f>VLOOKUP($A130,'01-02.2021'!$A$6:$CZ$403,48,FALSE)+VLOOKUP($A130,'1.3.21-28.2.22'!$A$6:$DA$404,48,FALSE)-VLOOKUP($A130,'01-02.2022'!$A$6:$DA$376,48,FALSE)</f>
        <v>1584.1137835435466</v>
      </c>
      <c r="AW130" s="566">
        <f>VLOOKUP($A130,'01-02.2021'!$A$6:$CZ$403,49,FALSE)+VLOOKUP($A130,'1.3.21-28.2.22'!$A$6:$DA$404,49,FALSE)-VLOOKUP($A130,'01-02.2022'!$A$6:$DA$376,49,FALSE)</f>
        <v>4960</v>
      </c>
      <c r="AX130" s="55">
        <f t="shared" si="121"/>
        <v>3375.8862164564534</v>
      </c>
      <c r="AY130" s="566">
        <f>VLOOKUP($A130,'01-02.2021'!$A$6:$CZ$403,51,FALSE)+VLOOKUP($A130,'1.3.21-28.2.22'!$A$6:$DA$404,51,FALSE)-VLOOKUP($A130,'01-02.2022'!$A$6:$DA$376,51,FALSE)</f>
        <v>2130.2100674849212</v>
      </c>
      <c r="AZ130" s="566">
        <f>VLOOKUP($A130,'01-02.2021'!$A$6:$CZ$403,52,FALSE)+VLOOKUP($A130,'1.3.21-28.2.22'!$A$6:$DA$404,52,FALSE)-VLOOKUP($A130,'01-02.2022'!$A$6:$DA$376,52,FALSE)</f>
        <v>0</v>
      </c>
      <c r="BA130" s="38">
        <f t="shared" si="122"/>
        <v>-2130.2100674849212</v>
      </c>
      <c r="BB130" s="566">
        <f>VLOOKUP($A130,'01-02.2021'!$A$6:$CZ$403,54,FALSE)+VLOOKUP($A130,'1.3.21-28.2.22'!$A$6:$DA$404,54,FALSE)-VLOOKUP($A130,'01-02.2022'!$A$6:$DA$376,54,FALSE)</f>
        <v>1123.8834136460555</v>
      </c>
      <c r="BC130" s="566">
        <f>VLOOKUP($A130,'01-02.2021'!$A$6:$CZ$403,55,FALSE)+VLOOKUP($A130,'1.3.21-28.2.22'!$A$6:$DA$404,55,FALSE)-VLOOKUP($A130,'01-02.2022'!$A$6:$DA$376,55,FALSE)</f>
        <v>0</v>
      </c>
      <c r="BD130" s="55">
        <f t="shared" si="123"/>
        <v>-1123.8834136460555</v>
      </c>
      <c r="BE130" s="566">
        <f>VLOOKUP($A130,'01-02.2021'!$A$6:$CZ$403,57,FALSE)+VLOOKUP($A130,'1.3.21-28.2.22'!$A$6:$DA$404,57,FALSE)-VLOOKUP($A130,'01-02.2022'!$A$6:$DA$376,57,FALSE)</f>
        <v>0</v>
      </c>
      <c r="BF130" s="566">
        <f>VLOOKUP($A130,'01-02.2021'!$A$6:$CZ$403,58,FALSE)+VLOOKUP($A130,'1.3.21-28.2.22'!$A$6:$DA$404,58,FALSE)-VLOOKUP($A130,'01-02.2022'!$A$6:$DA$376,58,FALSE)</f>
        <v>0</v>
      </c>
      <c r="BG130" s="55">
        <f t="shared" si="124"/>
        <v>0</v>
      </c>
      <c r="BH130" s="566">
        <f>VLOOKUP($A130,'01-02.2021'!$A$6:$CZ$403,60,FALSE)+VLOOKUP($A130,'1.3.21-28.2.22'!$A$6:$DA$404,60,FALSE)-VLOOKUP($A130,'01-02.2022'!$A$6:$DA$376,60,FALSE)</f>
        <v>0</v>
      </c>
      <c r="BI130" s="566">
        <f>VLOOKUP($A130,'01-02.2021'!$A$6:$CZ$403,61,FALSE)+VLOOKUP($A130,'1.3.21-28.2.22'!$A$6:$DA$404,61,FALSE)-VLOOKUP($A130,'01-02.2022'!$A$6:$DA$376,61,FALSE)</f>
        <v>0</v>
      </c>
      <c r="BJ130" s="55">
        <f t="shared" si="125"/>
        <v>0</v>
      </c>
      <c r="BK130" s="566">
        <f>VLOOKUP($A130,'01-02.2021'!$A$6:$CZ$403,63,FALSE)+VLOOKUP($A130,'1.3.21-28.2.22'!$A$6:$DA$404,63,FALSE)-VLOOKUP($A130,'01-02.2022'!$A$6:$DA$376,63,FALSE)</f>
        <v>715.91796307608774</v>
      </c>
      <c r="BL130" s="566">
        <f>VLOOKUP($A130,'01-02.2021'!$A$6:$CZ$403,64,FALSE)+VLOOKUP($A130,'1.3.21-28.2.22'!$A$6:$DA$404,64,FALSE)-VLOOKUP($A130,'01-02.2022'!$A$6:$DA$376,64,FALSE)</f>
        <v>704</v>
      </c>
      <c r="BM130" s="55">
        <f t="shared" si="126"/>
        <v>-11.917963076087744</v>
      </c>
      <c r="BN130" s="566">
        <f>VLOOKUP($A130,'01-02.2021'!$A$6:$CZ$403,66,FALSE)+VLOOKUP($A130,'1.3.21-28.2.22'!$A$6:$DA$404,66,FALSE)-VLOOKUP($A130,'01-02.2022'!$A$6:$DA$376,66,FALSE)</f>
        <v>94.640000000000015</v>
      </c>
      <c r="BO130" s="566">
        <f>VLOOKUP($A130,'01-02.2021'!$A$6:$CZ$403,67,FALSE)+VLOOKUP($A130,'1.3.21-28.2.22'!$A$6:$DA$404,67,FALSE)-VLOOKUP($A130,'01-02.2022'!$A$6:$DA$376,67,FALSE)</f>
        <v>0</v>
      </c>
      <c r="BP130" s="55">
        <f t="shared" si="127"/>
        <v>-94.640000000000015</v>
      </c>
      <c r="BQ130" s="77">
        <f t="shared" si="151"/>
        <v>5648.7652277506122</v>
      </c>
      <c r="BR130" s="40">
        <f t="shared" si="152"/>
        <v>5664</v>
      </c>
      <c r="BS130" s="55">
        <f t="shared" si="110"/>
        <v>15.234772249387788</v>
      </c>
      <c r="BT130" s="566">
        <f>VLOOKUP($A130,'01-02.2021'!$A$6:$CZ$403,72,FALSE)+VLOOKUP($A130,'1.3.21-28.2.22'!$A$6:$DA$404,72,FALSE)-VLOOKUP($A130,'01-02.2022'!$A$6:$DA$376,72,FALSE)</f>
        <v>17751.642116174989</v>
      </c>
      <c r="BU130" s="566">
        <f>VLOOKUP($A130,'01-02.2021'!$A$6:$CZ$403,73,FALSE)+VLOOKUP($A130,'1.3.21-28.2.22'!$A$6:$DA$404,73,FALSE)-VLOOKUP($A130,'01-02.2022'!$A$6:$DA$376,73,FALSE)</f>
        <v>22118.668180358261</v>
      </c>
      <c r="BV130" s="70">
        <f t="shared" si="128"/>
        <v>4367.026064183272</v>
      </c>
      <c r="BW130" s="566">
        <f>VLOOKUP($A130,'01-02.2021'!$A$6:$CZ$403,75,FALSE)+VLOOKUP($A130,'1.3.21-28.2.22'!$A$6:$DA$404,75,FALSE)-VLOOKUP($A130,'01-02.2022'!$A$6:$DA$376,75,FALSE)</f>
        <v>6877.2599328016622</v>
      </c>
      <c r="BX130" s="566">
        <f>VLOOKUP($A130,'01-02.2021'!$A$6:$CZ$403,76,FALSE)+VLOOKUP($A130,'1.3.21-28.2.22'!$A$6:$DA$404,76,FALSE)-VLOOKUP($A130,'01-02.2022'!$A$6:$DA$376,76,FALSE)</f>
        <v>6634.7369385784059</v>
      </c>
      <c r="BY130" s="70">
        <f t="shared" si="129"/>
        <v>-242.52299422325632</v>
      </c>
      <c r="BZ130" s="566">
        <f>VLOOKUP($A130,'01-02.2021'!$A$6:$CZ$403,78,FALSE)+VLOOKUP($A130,'1.3.21-28.2.22'!$A$6:$DA$404,78,FALSE)-VLOOKUP($A130,'01-02.2022'!$A$6:$DA$376,78,FALSE)</f>
        <v>6428.7716654100659</v>
      </c>
      <c r="CA130" s="566">
        <f>VLOOKUP($A130,'01-02.2021'!$A$6:$CZ$403,79,FALSE)+VLOOKUP($A130,'1.3.21-28.2.22'!$A$6:$DA$404,79,FALSE)-VLOOKUP($A130,'01-02.2022'!$A$6:$DA$376,79,FALSE)</f>
        <v>5221.8254244604695</v>
      </c>
      <c r="CB130" s="70">
        <f t="shared" si="130"/>
        <v>-1206.9462409495964</v>
      </c>
      <c r="CC130" s="566">
        <f>VLOOKUP($A130,'01-02.2021'!$A$6:$CZ$403,81,FALSE)+VLOOKUP($A130,'1.3.21-28.2.22'!$A$6:$DA$404,81,FALSE)-VLOOKUP($A130,'01-02.2022'!$A$6:$DA$376,81,FALSE)</f>
        <v>560.85688653594866</v>
      </c>
      <c r="CD130" s="566">
        <f>VLOOKUP($A130,'01-02.2021'!$A$6:$CZ$403,82,FALSE)+VLOOKUP($A130,'1.3.21-28.2.22'!$A$6:$DA$404,82,FALSE)-VLOOKUP($A130,'01-02.2022'!$A$6:$DA$376,82,FALSE)</f>
        <v>613.01266195120047</v>
      </c>
      <c r="CE130" s="70">
        <f t="shared" si="131"/>
        <v>52.15577541525181</v>
      </c>
      <c r="CF130" s="566">
        <f>VLOOKUP($A130,'01-02.2021'!$A$6:$CZ$403,84,FALSE)+VLOOKUP($A130,'1.3.21-28.2.22'!$A$6:$DA$404,84,FALSE)-VLOOKUP($A130,'01-02.2022'!$A$6:$DA$376,84,FALSE)</f>
        <v>68.183707685533435</v>
      </c>
      <c r="CG130" s="566">
        <f>VLOOKUP($A130,'01-02.2021'!$A$6:$CZ$403,85,FALSE)+VLOOKUP($A130,'1.3.21-28.2.22'!$A$6:$DA$404,85,FALSE)-VLOOKUP($A130,'01-02.2022'!$A$6:$DA$376,85,FALSE)</f>
        <v>0</v>
      </c>
      <c r="CH130" s="70">
        <f t="shared" si="132"/>
        <v>-68.183707685533435</v>
      </c>
      <c r="CI130" s="566">
        <f>VLOOKUP($A130,'01-02.2021'!$A$6:$CZ$403,87,FALSE)+VLOOKUP($A130,'1.3.21-28.2.22'!$A$6:$DA$404,87,FALSE)-VLOOKUP($A130,'01-02.2022'!$A$6:$DA$376,87,FALSE)</f>
        <v>3003.359261314743</v>
      </c>
      <c r="CJ130" s="566">
        <f>VLOOKUP($A130,'01-02.2021'!$A$6:$CZ$403,88,FALSE)+VLOOKUP($A130,'1.3.21-28.2.22'!$A$6:$DA$404,88,FALSE)-VLOOKUP($A130,'01-02.2022'!$A$6:$DA$376,88,FALSE)</f>
        <v>716.85288040658293</v>
      </c>
      <c r="CK130" s="70">
        <f t="shared" si="133"/>
        <v>-2286.5063809081603</v>
      </c>
      <c r="CL130" s="566">
        <f>VLOOKUP($A130,'01-02.2021'!$A$6:$CZ$403,90,FALSE)+VLOOKUP($A130,'1.3.21-28.2.22'!$A$6:$DA$404,90,FALSE)-VLOOKUP($A130,'01-02.2022'!$A$6:$DA$376,90,FALSE)</f>
        <v>0</v>
      </c>
      <c r="CM130" s="566">
        <f>VLOOKUP($A130,'01-02.2021'!$A$6:$CZ$403,91,FALSE)+VLOOKUP($A130,'1.3.21-28.2.22'!$A$6:$DA$404,91,FALSE)-VLOOKUP($A130,'01-02.2022'!$A$6:$DA$376,91,FALSE)</f>
        <v>0</v>
      </c>
      <c r="CN130" s="52">
        <f t="shared" ref="CN130:CN185" si="158">CM130-CL130</f>
        <v>0</v>
      </c>
      <c r="CO130" s="39">
        <f t="shared" si="153"/>
        <v>3003.359261314743</v>
      </c>
      <c r="CP130" s="40">
        <f t="shared" ref="CP130:CP185" si="159">CJ130+CM130</f>
        <v>716.85288040658293</v>
      </c>
      <c r="CQ130" s="52">
        <f t="shared" ref="CQ130:CQ185" si="160">CP130-CO130</f>
        <v>-2286.5063809081603</v>
      </c>
      <c r="CR130" s="72">
        <f t="shared" si="154"/>
        <v>81168.966827952288</v>
      </c>
      <c r="CS130" s="5">
        <f t="shared" si="154"/>
        <v>79713.131885471244</v>
      </c>
      <c r="CT130" s="52">
        <f t="shared" ref="CT130:CT185" si="161">CS130-CR130</f>
        <v>-1455.834942481044</v>
      </c>
      <c r="CU130" s="77">
        <f t="shared" ref="CU130:CU185" si="162">CR130*1.2</f>
        <v>97402.760193542737</v>
      </c>
      <c r="CV130" s="65">
        <f t="shared" ref="CV130:CV185" si="163">CS130*1.2</f>
        <v>95655.75826256549</v>
      </c>
      <c r="CW130" s="35">
        <f t="shared" ref="CW130:CW185" si="164">CV130-CU130</f>
        <v>-1747.001930977247</v>
      </c>
      <c r="CX130" s="566">
        <f>VLOOKUP($A130,'01-02.2021'!$A$6:$CZ$403,102,FALSE)+VLOOKUP($A130,'1.3.21-28.2.22'!$A$6:$DA$404,102,FALSE)-VLOOKUP($A130,'01-02.2022'!$A$6:$DA$376,102,FALSE)</f>
        <v>3118.5589627177678</v>
      </c>
      <c r="CY130" s="566">
        <f>VLOOKUP($A130,'01-02.2021'!$A$6:$CZ$403,103,FALSE)+VLOOKUP($A130,'1.3.21-28.2.22'!$A$6:$DA$404,103,FALSE)-VLOOKUP($A130,'01-02.2022'!$A$6:$DA$376,103,FALSE)</f>
        <v>4865.5608936950302</v>
      </c>
      <c r="CZ130" s="52">
        <f t="shared" ref="CZ130:CZ185" si="165">CY130-CX130</f>
        <v>1747.0019309772624</v>
      </c>
      <c r="DA130" s="150">
        <f>'[2]побудинковий звіт'!DA130</f>
        <v>33213.53060561524</v>
      </c>
      <c r="DB130" s="2">
        <v>2</v>
      </c>
      <c r="DC130" s="414">
        <f>'[4]побудинковий звіт'!DC130</f>
        <v>20018.36</v>
      </c>
      <c r="DD130" s="414">
        <f>'[4]побудинковий звіт'!DD130</f>
        <v>673.07</v>
      </c>
      <c r="DE130" s="557">
        <f>'[4]побудинковий звіт'!DE130</f>
        <v>11060.235289943272</v>
      </c>
      <c r="DF130" s="557">
        <f>'[4]побудинковий звіт'!DF130</f>
        <v>673.07</v>
      </c>
      <c r="DG130" s="321">
        <f>VLOOKUP(A130,'кошти 01.03.2021'!$A$6:$D$401,4,)</f>
        <v>42267.230640725604</v>
      </c>
      <c r="DH130" s="40">
        <f>'[3]побудинковий звіт'!DJ130</f>
        <v>103256.93604268518</v>
      </c>
      <c r="DI130" s="422">
        <f>'[3]побудинковий звіт'!CU130+'[3]побудинковий звіт'!CX130</f>
        <v>8958.1247100567289</v>
      </c>
      <c r="DJ130" s="306">
        <f>'[3]побудинковий звіт'!DM130</f>
        <v>4.9648754143195308</v>
      </c>
      <c r="DK130" s="306">
        <f t="shared" si="145"/>
        <v>4.9648754143195308</v>
      </c>
      <c r="DL130" s="306">
        <f>'[3]побудинковий звіт'!DO130</f>
        <v>4.5022507776612253</v>
      </c>
      <c r="DM130" s="28">
        <f t="shared" si="146"/>
        <v>8958.1247100567289</v>
      </c>
      <c r="DN130" s="28">
        <f t="shared" si="148"/>
        <v>0</v>
      </c>
      <c r="DO130" s="423">
        <f t="shared" si="105"/>
        <v>8958.1247100567289</v>
      </c>
      <c r="DP130" s="94">
        <f t="shared" si="106"/>
        <v>0</v>
      </c>
      <c r="DQ130" s="28">
        <f t="shared" si="107"/>
        <v>8958.1247100567289</v>
      </c>
      <c r="DR130" s="318"/>
      <c r="DT130" s="8"/>
      <c r="DU130" s="5"/>
      <c r="DX130" s="5">
        <f t="shared" si="108"/>
        <v>25570.277044893031</v>
      </c>
      <c r="DY130" s="5">
        <f t="shared" si="109"/>
        <v>24086.484262845508</v>
      </c>
      <c r="DZ130" s="159">
        <f>'[3]побудинковий звіт'!EA130</f>
        <v>2443.6136716170181</v>
      </c>
    </row>
    <row r="131" spans="1:130" x14ac:dyDescent="0.3">
      <c r="A131" s="325">
        <v>150000618</v>
      </c>
      <c r="B131" s="41" t="s">
        <v>580</v>
      </c>
      <c r="C131" s="42" t="s">
        <v>417</v>
      </c>
      <c r="D131" s="42"/>
      <c r="E131" s="293">
        <f t="shared" si="149"/>
        <v>2744.2</v>
      </c>
      <c r="F131" s="305">
        <f>'[3]побудинковий звіт'!F131</f>
        <v>2744.2</v>
      </c>
      <c r="G131" s="508">
        <f>'[3]побудинковий звіт'!G131</f>
        <v>271.5</v>
      </c>
      <c r="H131" s="560">
        <f>'[3]побудинковий звіт'!H131</f>
        <v>0</v>
      </c>
      <c r="I131" s="566">
        <f>VLOOKUP($A131,'01-02.2021'!$A$6:$CZ$403,9,FALSE)+VLOOKUP($A131,'1.3.21-28.2.22'!$A$6:$DA$404,9,FALSE)-VLOOKUP($A131,'01-02.2022'!$A$6:$DA$376,9,FALSE)</f>
        <v>7774.0559865418018</v>
      </c>
      <c r="J131" s="566">
        <f>VLOOKUP($A131,'01-02.2021'!$A$6:$CZ$403,10,FALSE)+VLOOKUP($A131,'1.3.21-28.2.22'!$A$6:$DA$404,10,FALSE)-VLOOKUP($A131,'01-02.2022'!$A$6:$DA$376,10,FALSE)</f>
        <v>8629.1415342073815</v>
      </c>
      <c r="K131" s="52">
        <f t="shared" si="155"/>
        <v>855.08554766557972</v>
      </c>
      <c r="L131" s="566">
        <f>VLOOKUP($A131,'01-02.2021'!$A$6:$CZ$403,12,FALSE)+VLOOKUP($A131,'1.3.21-28.2.22'!$A$6:$DA$404,12,FALSE)-VLOOKUP($A131,'01-02.2022'!$A$6:$DA$376,12,FALSE)</f>
        <v>1239.3956068453247</v>
      </c>
      <c r="M131" s="566">
        <f>VLOOKUP($A131,'01-02.2021'!$A$6:$CZ$403,13,FALSE)+VLOOKUP($A131,'1.3.21-28.2.22'!$A$6:$DA$404,13,FALSE)-VLOOKUP($A131,'01-02.2022'!$A$6:$DA$376,13,FALSE)</f>
        <v>1364.6073794771289</v>
      </c>
      <c r="N131" s="52">
        <f t="shared" si="156"/>
        <v>125.21177263180425</v>
      </c>
      <c r="O131" s="566">
        <f>VLOOKUP($A131,'01-02.2021'!$A$6:$CZ$403,15,FALSE)+VLOOKUP($A131,'1.3.21-28.2.22'!$A$6:$DA$404,15,FALSE)-VLOOKUP($A131,'01-02.2022'!$A$6:$DA$376,15,FALSE)</f>
        <v>3741.3226478957076</v>
      </c>
      <c r="P131" s="566">
        <f>VLOOKUP($A131,'01-02.2021'!$A$6:$CZ$403,16,FALSE)+VLOOKUP($A131,'1.3.21-28.2.22'!$A$6:$DA$404,16,FALSE)-VLOOKUP($A131,'01-02.2022'!$A$6:$DA$376,16,FALSE)</f>
        <v>3741.3399999999992</v>
      </c>
      <c r="Q131" s="70">
        <f t="shared" si="111"/>
        <v>1.7352104291603609E-2</v>
      </c>
      <c r="R131" s="566">
        <f>VLOOKUP($A131,'01-02.2021'!$A$6:$CZ$403,18,FALSE)+VLOOKUP($A131,'1.3.21-28.2.22'!$A$6:$DA$404,18,FALSE)-VLOOKUP($A131,'01-02.2022'!$A$6:$DA$376,18,FALSE)</f>
        <v>769.99780564565003</v>
      </c>
      <c r="S131" s="566">
        <f>VLOOKUP($A131,'01-02.2021'!$A$6:$CZ$403,19,FALSE)+VLOOKUP($A131,'1.3.21-28.2.22'!$A$6:$DA$404,19,FALSE)-VLOOKUP($A131,'01-02.2022'!$A$6:$DA$376,19,FALSE)</f>
        <v>770</v>
      </c>
      <c r="T131" s="70">
        <f t="shared" si="112"/>
        <v>2.1943543499673979E-3</v>
      </c>
      <c r="U131" s="566">
        <f>VLOOKUP($A131,'01-02.2021'!$A$6:$CZ$403,21,FALSE)+VLOOKUP($A131,'1.3.21-28.2.22'!$A$6:$DA$404,21,FALSE)-VLOOKUP($A131,'01-02.2022'!$A$6:$DA$376,21,FALSE)</f>
        <v>358.69606955861605</v>
      </c>
      <c r="V131" s="566">
        <f>VLOOKUP($A131,'01-02.2021'!$A$6:$CZ$403,22,FALSE)+VLOOKUP($A131,'1.3.21-28.2.22'!$A$6:$DA$404,22,FALSE)-VLOOKUP($A131,'01-02.2022'!$A$6:$DA$376,22,FALSE)</f>
        <v>1226.1805155394818</v>
      </c>
      <c r="W131" s="70">
        <f t="shared" si="113"/>
        <v>867.48444598086576</v>
      </c>
      <c r="X131" s="566">
        <f>VLOOKUP($A131,'01-02.2021'!$A$6:$CZ$403,24,FALSE)+VLOOKUP($A131,'1.3.21-28.2.22'!$A$6:$DA$404,24,FALSE)-VLOOKUP($A131,'01-02.2022'!$A$6:$DA$376,24,FALSE)</f>
        <v>3211.1238172958956</v>
      </c>
      <c r="Y131" s="566">
        <f>VLOOKUP($A131,'01-02.2021'!$A$6:$CZ$403,25,FALSE)+VLOOKUP($A131,'1.3.21-28.2.22'!$A$6:$DA$404,25,FALSE)-VLOOKUP($A131,'01-02.2022'!$A$6:$DA$376,25,FALSE)</f>
        <v>2417.1267411251151</v>
      </c>
      <c r="Z131" s="70">
        <f t="shared" si="114"/>
        <v>-793.99707617078047</v>
      </c>
      <c r="AA131" s="566">
        <f>VLOOKUP($A131,'01-02.2021'!$A$6:$CZ$403,27,FALSE)+VLOOKUP($A131,'1.3.21-28.2.22'!$A$6:$DA$404,27,FALSE)-VLOOKUP($A131,'01-02.2022'!$A$6:$DA$376,27,FALSE)</f>
        <v>548.83999999999992</v>
      </c>
      <c r="AB131" s="566">
        <f>VLOOKUP($A131,'01-02.2021'!$A$6:$CZ$403,28,FALSE)+VLOOKUP($A131,'1.3.21-28.2.22'!$A$6:$DA$404,28,FALSE)-VLOOKUP($A131,'01-02.2022'!$A$6:$DA$376,28,FALSE)</f>
        <v>0</v>
      </c>
      <c r="AC131" s="70">
        <f t="shared" si="115"/>
        <v>-548.83999999999992</v>
      </c>
      <c r="AD131" s="566">
        <f>VLOOKUP($A131,'01-02.2021'!$A$6:$CZ$403,30,FALSE)+VLOOKUP($A131,'1.3.21-28.2.22'!$A$6:$DA$404,30,FALSE)-VLOOKUP($A131,'01-02.2022'!$A$6:$DA$376,30,FALSE)</f>
        <v>11787.147241003331</v>
      </c>
      <c r="AE131" s="566">
        <f>VLOOKUP($A131,'01-02.2021'!$A$6:$CZ$403,31,FALSE)+VLOOKUP($A131,'1.3.21-28.2.22'!$A$6:$DA$404,31,FALSE)-VLOOKUP($A131,'01-02.2022'!$A$6:$DA$376,31,FALSE)</f>
        <v>12491.708969993426</v>
      </c>
      <c r="AF131" s="68">
        <f t="shared" si="116"/>
        <v>704.56172899009471</v>
      </c>
      <c r="AG131" s="77">
        <f t="shared" si="150"/>
        <v>29430.579174786326</v>
      </c>
      <c r="AH131" s="53">
        <f t="shared" si="150"/>
        <v>30640.105140342534</v>
      </c>
      <c r="AI131" s="52">
        <f t="shared" si="157"/>
        <v>1209.5259655562077</v>
      </c>
      <c r="AJ131" s="566">
        <f>VLOOKUP($A131,'01-02.2021'!$A$6:$CZ$403,36,FALSE)+VLOOKUP($A131,'1.3.21-28.2.22'!$A$6:$DA$404,36,FALSE)-VLOOKUP($A131,'01-02.2022'!$A$6:$DA$376,36,FALSE)</f>
        <v>15597.868276454627</v>
      </c>
      <c r="AK131" s="566">
        <f>VLOOKUP($A131,'01-02.2021'!$A$6:$CZ$403,37,FALSE)+VLOOKUP($A131,'1.3.21-28.2.22'!$A$6:$DA$404,37,FALSE)-VLOOKUP($A131,'01-02.2022'!$A$6:$DA$376,37,FALSE)</f>
        <v>15498.186760320579</v>
      </c>
      <c r="AL131" s="70">
        <f t="shared" si="117"/>
        <v>-99.681516134047342</v>
      </c>
      <c r="AM131" s="566">
        <f>VLOOKUP($A131,'01-02.2021'!$A$6:$CZ$403,39,FALSE)+VLOOKUP($A131,'1.3.21-28.2.22'!$A$6:$DA$404,39,FALSE)-VLOOKUP($A131,'01-02.2022'!$A$6:$DA$376,39,FALSE)</f>
        <v>0</v>
      </c>
      <c r="AN131" s="566">
        <f>VLOOKUP($A131,'01-02.2021'!$A$6:$CZ$403,40,FALSE)+VLOOKUP($A131,'1.3.21-28.2.22'!$A$6:$DA$404,40,FALSE)-VLOOKUP($A131,'01-02.2022'!$A$6:$DA$376,40,FALSE)</f>
        <v>0</v>
      </c>
      <c r="AO131" s="70">
        <f t="shared" si="118"/>
        <v>0</v>
      </c>
      <c r="AP131" s="566">
        <f>VLOOKUP($A131,'01-02.2021'!$A$6:$CZ$403,42,FALSE)+VLOOKUP($A131,'1.3.21-28.2.22'!$A$6:$DA$404,42,FALSE)-VLOOKUP($A131,'01-02.2022'!$A$6:$DA$376,42,FALSE)</f>
        <v>1735.1997500425916</v>
      </c>
      <c r="AQ131" s="566">
        <f>VLOOKUP($A131,'01-02.2021'!$A$6:$CZ$403,43,FALSE)+VLOOKUP($A131,'1.3.21-28.2.22'!$A$6:$DA$404,43,FALSE)-VLOOKUP($A131,'01-02.2022'!$A$6:$DA$376,43,FALSE)</f>
        <v>1494.8951048951049</v>
      </c>
      <c r="AR131" s="70">
        <f t="shared" si="119"/>
        <v>-240.30464514748678</v>
      </c>
      <c r="AS131" s="566">
        <f>VLOOKUP($A131,'01-02.2021'!$A$6:$CZ$403,45,FALSE)+VLOOKUP($A131,'1.3.21-28.2.22'!$A$6:$DA$404,45,FALSE)-VLOOKUP($A131,'01-02.2022'!$A$6:$DA$376,45,FALSE)</f>
        <v>31157.364373540611</v>
      </c>
      <c r="AT131" s="566">
        <f>VLOOKUP($A131,'01-02.2021'!$A$6:$CZ$403,46,FALSE)+VLOOKUP($A131,'1.3.21-28.2.22'!$A$6:$DA$404,46,FALSE)-VLOOKUP($A131,'01-02.2022'!$A$6:$DA$376,46,FALSE)</f>
        <v>7602</v>
      </c>
      <c r="AU131" s="78">
        <f t="shared" si="120"/>
        <v>-23555.364373540611</v>
      </c>
      <c r="AV131" s="566">
        <f>VLOOKUP($A131,'01-02.2021'!$A$6:$CZ$403,48,FALSE)+VLOOKUP($A131,'1.3.21-28.2.22'!$A$6:$DA$404,48,FALSE)-VLOOKUP($A131,'01-02.2022'!$A$6:$DA$376,48,FALSE)</f>
        <v>1595.9051631839443</v>
      </c>
      <c r="AW131" s="566">
        <f>VLOOKUP($A131,'01-02.2021'!$A$6:$CZ$403,49,FALSE)+VLOOKUP($A131,'1.3.21-28.2.22'!$A$6:$DA$404,49,FALSE)-VLOOKUP($A131,'01-02.2022'!$A$6:$DA$376,49,FALSE)</f>
        <v>644</v>
      </c>
      <c r="AX131" s="55">
        <f t="shared" si="121"/>
        <v>-951.9051631839443</v>
      </c>
      <c r="AY131" s="566">
        <f>VLOOKUP($A131,'01-02.2021'!$A$6:$CZ$403,51,FALSE)+VLOOKUP($A131,'1.3.21-28.2.22'!$A$6:$DA$404,51,FALSE)-VLOOKUP($A131,'01-02.2022'!$A$6:$DA$376,51,FALSE)</f>
        <v>1879.0068968138926</v>
      </c>
      <c r="AZ131" s="566">
        <f>VLOOKUP($A131,'01-02.2021'!$A$6:$CZ$403,52,FALSE)+VLOOKUP($A131,'1.3.21-28.2.22'!$A$6:$DA$404,52,FALSE)-VLOOKUP($A131,'01-02.2022'!$A$6:$DA$376,52,FALSE)</f>
        <v>0</v>
      </c>
      <c r="BA131" s="38">
        <f t="shared" si="122"/>
        <v>-1879.0068968138926</v>
      </c>
      <c r="BB131" s="566">
        <f>VLOOKUP($A131,'01-02.2021'!$A$6:$CZ$403,54,FALSE)+VLOOKUP($A131,'1.3.21-28.2.22'!$A$6:$DA$404,54,FALSE)-VLOOKUP($A131,'01-02.2022'!$A$6:$DA$376,54,FALSE)</f>
        <v>1181.6305000839011</v>
      </c>
      <c r="BC131" s="566">
        <f>VLOOKUP($A131,'01-02.2021'!$A$6:$CZ$403,55,FALSE)+VLOOKUP($A131,'1.3.21-28.2.22'!$A$6:$DA$404,55,FALSE)-VLOOKUP($A131,'01-02.2022'!$A$6:$DA$376,55,FALSE)</f>
        <v>0</v>
      </c>
      <c r="BD131" s="55">
        <f t="shared" si="123"/>
        <v>-1181.6305000839011</v>
      </c>
      <c r="BE131" s="566">
        <f>VLOOKUP($A131,'01-02.2021'!$A$6:$CZ$403,57,FALSE)+VLOOKUP($A131,'1.3.21-28.2.22'!$A$6:$DA$404,57,FALSE)-VLOOKUP($A131,'01-02.2022'!$A$6:$DA$376,57,FALSE)</f>
        <v>1460.8790537101129</v>
      </c>
      <c r="BF131" s="566">
        <f>VLOOKUP($A131,'01-02.2021'!$A$6:$CZ$403,58,FALSE)+VLOOKUP($A131,'1.3.21-28.2.22'!$A$6:$DA$404,58,FALSE)-VLOOKUP($A131,'01-02.2022'!$A$6:$DA$376,58,FALSE)</f>
        <v>0</v>
      </c>
      <c r="BG131" s="55">
        <f t="shared" si="124"/>
        <v>-1460.8790537101129</v>
      </c>
      <c r="BH131" s="566">
        <f>VLOOKUP($A131,'01-02.2021'!$A$6:$CZ$403,60,FALSE)+VLOOKUP($A131,'1.3.21-28.2.22'!$A$6:$DA$404,60,FALSE)-VLOOKUP($A131,'01-02.2022'!$A$6:$DA$376,60,FALSE)</f>
        <v>681.31570860163993</v>
      </c>
      <c r="BI131" s="566">
        <f>VLOOKUP($A131,'01-02.2021'!$A$6:$CZ$403,61,FALSE)+VLOOKUP($A131,'1.3.21-28.2.22'!$A$6:$DA$404,61,FALSE)-VLOOKUP($A131,'01-02.2022'!$A$6:$DA$376,61,FALSE)</f>
        <v>0</v>
      </c>
      <c r="BJ131" s="55">
        <f t="shared" si="125"/>
        <v>-681.31570860163993</v>
      </c>
      <c r="BK131" s="566">
        <f>VLOOKUP($A131,'01-02.2021'!$A$6:$CZ$403,63,FALSE)+VLOOKUP($A131,'1.3.21-28.2.22'!$A$6:$DA$404,63,FALSE)-VLOOKUP($A131,'01-02.2022'!$A$6:$DA$376,63,FALSE)</f>
        <v>864.68259149138794</v>
      </c>
      <c r="BL131" s="566">
        <f>VLOOKUP($A131,'01-02.2021'!$A$6:$CZ$403,64,FALSE)+VLOOKUP($A131,'1.3.21-28.2.22'!$A$6:$DA$404,64,FALSE)-VLOOKUP($A131,'01-02.2022'!$A$6:$DA$376,64,FALSE)</f>
        <v>142</v>
      </c>
      <c r="BM131" s="55">
        <f t="shared" si="126"/>
        <v>-722.68259149138794</v>
      </c>
      <c r="BN131" s="566">
        <f>VLOOKUP($A131,'01-02.2021'!$A$6:$CZ$403,66,FALSE)+VLOOKUP($A131,'1.3.21-28.2.22'!$A$6:$DA$404,66,FALSE)-VLOOKUP($A131,'01-02.2022'!$A$6:$DA$376,66,FALSE)</f>
        <v>137.20999999999998</v>
      </c>
      <c r="BO131" s="566">
        <f>VLOOKUP($A131,'01-02.2021'!$A$6:$CZ$403,67,FALSE)+VLOOKUP($A131,'1.3.21-28.2.22'!$A$6:$DA$404,67,FALSE)-VLOOKUP($A131,'01-02.2022'!$A$6:$DA$376,67,FALSE)</f>
        <v>0</v>
      </c>
      <c r="BP131" s="55">
        <f t="shared" si="127"/>
        <v>-137.20999999999998</v>
      </c>
      <c r="BQ131" s="77">
        <f t="shared" si="151"/>
        <v>7800.629913884879</v>
      </c>
      <c r="BR131" s="40">
        <f t="shared" si="152"/>
        <v>786</v>
      </c>
      <c r="BS131" s="55">
        <f t="shared" ref="BS131:BS186" si="166">BR131-BQ131</f>
        <v>-7014.629913884879</v>
      </c>
      <c r="BT131" s="566">
        <f>VLOOKUP($A131,'01-02.2021'!$A$6:$CZ$403,72,FALSE)+VLOOKUP($A131,'1.3.21-28.2.22'!$A$6:$DA$404,72,FALSE)-VLOOKUP($A131,'01-02.2022'!$A$6:$DA$376,72,FALSE)</f>
        <v>31818.573371553153</v>
      </c>
      <c r="BU131" s="566">
        <f>VLOOKUP($A131,'01-02.2021'!$A$6:$CZ$403,73,FALSE)+VLOOKUP($A131,'1.3.21-28.2.22'!$A$6:$DA$404,73,FALSE)-VLOOKUP($A131,'01-02.2022'!$A$6:$DA$376,73,FALSE)</f>
        <v>30822.915491620854</v>
      </c>
      <c r="BV131" s="70">
        <f t="shared" si="128"/>
        <v>-995.65787993229969</v>
      </c>
      <c r="BW131" s="566">
        <f>VLOOKUP($A131,'01-02.2021'!$A$6:$CZ$403,75,FALSE)+VLOOKUP($A131,'1.3.21-28.2.22'!$A$6:$DA$404,75,FALSE)-VLOOKUP($A131,'01-02.2022'!$A$6:$DA$376,75,FALSE)</f>
        <v>25591.82435914993</v>
      </c>
      <c r="BX131" s="566">
        <f>VLOOKUP($A131,'01-02.2021'!$A$6:$CZ$403,76,FALSE)+VLOOKUP($A131,'1.3.21-28.2.22'!$A$6:$DA$404,76,FALSE)-VLOOKUP($A131,'01-02.2022'!$A$6:$DA$376,76,FALSE)</f>
        <v>23674.025818802438</v>
      </c>
      <c r="BY131" s="70">
        <f t="shared" si="129"/>
        <v>-1917.7985403474922</v>
      </c>
      <c r="BZ131" s="566">
        <f>VLOOKUP($A131,'01-02.2021'!$A$6:$CZ$403,78,FALSE)+VLOOKUP($A131,'1.3.21-28.2.22'!$A$6:$DA$404,78,FALSE)-VLOOKUP($A131,'01-02.2022'!$A$6:$DA$376,78,FALSE)</f>
        <v>4529.6412923938624</v>
      </c>
      <c r="CA131" s="566">
        <f>VLOOKUP($A131,'01-02.2021'!$A$6:$CZ$403,79,FALSE)+VLOOKUP($A131,'1.3.21-28.2.22'!$A$6:$DA$404,79,FALSE)-VLOOKUP($A131,'01-02.2022'!$A$6:$DA$376,79,FALSE)</f>
        <v>6712.6913884476808</v>
      </c>
      <c r="CB131" s="70">
        <f t="shared" si="130"/>
        <v>2183.0500960538184</v>
      </c>
      <c r="CC131" s="566">
        <f>VLOOKUP($A131,'01-02.2021'!$A$6:$CZ$403,81,FALSE)+VLOOKUP($A131,'1.3.21-28.2.22'!$A$6:$DA$404,81,FALSE)-VLOOKUP($A131,'01-02.2022'!$A$6:$DA$376,81,FALSE)</f>
        <v>583.32646975840441</v>
      </c>
      <c r="CD131" s="566">
        <f>VLOOKUP($A131,'01-02.2021'!$A$6:$CZ$403,82,FALSE)+VLOOKUP($A131,'1.3.21-28.2.22'!$A$6:$DA$404,82,FALSE)-VLOOKUP($A131,'01-02.2022'!$A$6:$DA$376,82,FALSE)</f>
        <v>630.52730943552058</v>
      </c>
      <c r="CE131" s="70">
        <f t="shared" si="131"/>
        <v>47.200839677116164</v>
      </c>
      <c r="CF131" s="566">
        <f>VLOOKUP($A131,'01-02.2021'!$A$6:$CZ$403,84,FALSE)+VLOOKUP($A131,'1.3.21-28.2.22'!$A$6:$DA$404,84,FALSE)-VLOOKUP($A131,'01-02.2022'!$A$6:$DA$376,84,FALSE)</f>
        <v>70.131813619405833</v>
      </c>
      <c r="CG131" s="566">
        <f>VLOOKUP($A131,'01-02.2021'!$A$6:$CZ$403,85,FALSE)+VLOOKUP($A131,'1.3.21-28.2.22'!$A$6:$DA$404,85,FALSE)-VLOOKUP($A131,'01-02.2022'!$A$6:$DA$376,85,FALSE)</f>
        <v>0</v>
      </c>
      <c r="CH131" s="70">
        <f t="shared" si="132"/>
        <v>-70.131813619405833</v>
      </c>
      <c r="CI131" s="566">
        <f>VLOOKUP($A131,'01-02.2021'!$A$6:$CZ$403,87,FALSE)+VLOOKUP($A131,'1.3.21-28.2.22'!$A$6:$DA$404,87,FALSE)-VLOOKUP($A131,'01-02.2022'!$A$6:$DA$376,87,FALSE)</f>
        <v>7794.0220474363805</v>
      </c>
      <c r="CJ131" s="566">
        <f>VLOOKUP($A131,'01-02.2021'!$A$6:$CZ$403,88,FALSE)+VLOOKUP($A131,'1.3.21-28.2.22'!$A$6:$DA$404,88,FALSE)-VLOOKUP($A131,'01-02.2022'!$A$6:$DA$376,88,FALSE)</f>
        <v>5939.0804210997157</v>
      </c>
      <c r="CK131" s="70">
        <f t="shared" si="133"/>
        <v>-1854.9416263366647</v>
      </c>
      <c r="CL131" s="566">
        <f>VLOOKUP($A131,'01-02.2021'!$A$6:$CZ$403,90,FALSE)+VLOOKUP($A131,'1.3.21-28.2.22'!$A$6:$DA$404,90,FALSE)-VLOOKUP($A131,'01-02.2022'!$A$6:$DA$376,90,FALSE)</f>
        <v>4620.1797942804342</v>
      </c>
      <c r="CM131" s="566">
        <f>VLOOKUP($A131,'01-02.2021'!$A$6:$CZ$403,91,FALSE)+VLOOKUP($A131,'1.3.21-28.2.22'!$A$6:$DA$404,91,FALSE)-VLOOKUP($A131,'01-02.2022'!$A$6:$DA$376,91,FALSE)</f>
        <v>4348.1181207877353</v>
      </c>
      <c r="CN131" s="52">
        <f t="shared" si="158"/>
        <v>-272.0616734926989</v>
      </c>
      <c r="CO131" s="39">
        <f t="shared" si="153"/>
        <v>12414.201841716815</v>
      </c>
      <c r="CP131" s="40">
        <f t="shared" si="159"/>
        <v>10287.19854188745</v>
      </c>
      <c r="CQ131" s="52">
        <f t="shared" si="160"/>
        <v>-2127.0032998293646</v>
      </c>
      <c r="CR131" s="72">
        <f t="shared" si="154"/>
        <v>160729.34063690063</v>
      </c>
      <c r="CS131" s="5">
        <f t="shared" si="154"/>
        <v>128148.54555575216</v>
      </c>
      <c r="CT131" s="52">
        <f t="shared" si="161"/>
        <v>-32580.795081148462</v>
      </c>
      <c r="CU131" s="77">
        <f t="shared" si="162"/>
        <v>192875.20876428075</v>
      </c>
      <c r="CV131" s="65">
        <f t="shared" si="163"/>
        <v>153778.25466690259</v>
      </c>
      <c r="CW131" s="35">
        <f t="shared" si="164"/>
        <v>-39096.954097378155</v>
      </c>
      <c r="CX131" s="566">
        <f>VLOOKUP($A131,'01-02.2021'!$A$6:$CZ$403,102,FALSE)+VLOOKUP($A131,'1.3.21-28.2.22'!$A$6:$DA$404,102,FALSE)-VLOOKUP($A131,'01-02.2022'!$A$6:$DA$376,102,FALSE)</f>
        <v>5469.5384016755315</v>
      </c>
      <c r="CY131" s="566">
        <f>VLOOKUP($A131,'01-02.2021'!$A$6:$CZ$403,103,FALSE)+VLOOKUP($A131,'1.3.21-28.2.22'!$A$6:$DA$404,103,FALSE)-VLOOKUP($A131,'01-02.2022'!$A$6:$DA$376,103,FALSE)</f>
        <v>44566.492499053711</v>
      </c>
      <c r="CZ131" s="52">
        <f t="shared" si="165"/>
        <v>39096.954097378177</v>
      </c>
      <c r="DA131" s="150">
        <f>'[2]побудинковий звіт'!DA131</f>
        <v>-9085.4024416805114</v>
      </c>
      <c r="DB131" s="2">
        <v>2</v>
      </c>
      <c r="DC131" s="414">
        <f>'[4]побудинковий звіт'!DC131</f>
        <v>23598.14</v>
      </c>
      <c r="DD131" s="414">
        <f>'[4]побудинковий звіт'!DD131</f>
        <v>0</v>
      </c>
      <c r="DE131" s="557">
        <f>'[4]побудинковий звіт'!DE131</f>
        <v>5571.7559891775454</v>
      </c>
      <c r="DF131" s="557">
        <f>'[4]побудинковий звіт'!DF131</f>
        <v>0</v>
      </c>
      <c r="DG131" s="321">
        <f>VLOOKUP(A131,'кошти 01.03.2021'!$A$6:$D$401,4,)</f>
        <v>33473.414820235994</v>
      </c>
      <c r="DH131" s="40">
        <f>'[3]побудинковий звіт'!DJ131</f>
        <v>205428.81536126073</v>
      </c>
      <c r="DI131" s="422">
        <f>'[3]побудинковий звіт'!CU131+'[3]побудинковий звіт'!CX131</f>
        <v>18026.384010822458</v>
      </c>
      <c r="DJ131" s="306">
        <f>'[3]побудинковий звіт'!DM131</f>
        <v>5.7372100487444637</v>
      </c>
      <c r="DK131" s="306">
        <f>'[3]побудинковий звіт'!DN131</f>
        <v>6.6602222196741758</v>
      </c>
      <c r="DL131" s="306">
        <f>'[3]побудинковий звіт'!DO131</f>
        <v>4.6225127097030141</v>
      </c>
      <c r="DM131" s="28">
        <f t="shared" ref="DM131:DM132" si="167">DJ131*G131+(F131-G131)*DK131</f>
        <v>18026.384010822454</v>
      </c>
      <c r="DN131" s="28">
        <f>DL131*H131</f>
        <v>0</v>
      </c>
      <c r="DO131" s="423">
        <f t="shared" si="105"/>
        <v>18026.384010822454</v>
      </c>
      <c r="DP131" s="94">
        <f t="shared" si="106"/>
        <v>0</v>
      </c>
      <c r="DQ131" s="28">
        <f t="shared" si="107"/>
        <v>18026.384010822454</v>
      </c>
      <c r="DR131" s="318"/>
      <c r="DT131" s="8"/>
      <c r="DU131" s="5"/>
      <c r="DX131" s="5">
        <f t="shared" si="108"/>
        <v>46749.593144910592</v>
      </c>
      <c r="DY131" s="5">
        <f t="shared" si="109"/>
        <v>10065.6</v>
      </c>
      <c r="DZ131" s="159">
        <f>'[3]побудинковий звіт'!EA131</f>
        <v>4314.3054349230706</v>
      </c>
    </row>
    <row r="132" spans="1:130" x14ac:dyDescent="0.3">
      <c r="A132" s="325">
        <v>150000619</v>
      </c>
      <c r="B132" s="41" t="s">
        <v>581</v>
      </c>
      <c r="C132" s="42" t="s">
        <v>360</v>
      </c>
      <c r="D132" s="42"/>
      <c r="E132" s="293">
        <f t="shared" si="149"/>
        <v>4254.1000000000004</v>
      </c>
      <c r="F132" s="305">
        <f>'[3]побудинковий звіт'!F132</f>
        <v>4254.1000000000004</v>
      </c>
      <c r="G132" s="508">
        <f>'[3]побудинковий звіт'!G132</f>
        <v>465</v>
      </c>
      <c r="H132" s="560">
        <f>'[3]побудинковий звіт'!H132</f>
        <v>0</v>
      </c>
      <c r="I132" s="566">
        <f>VLOOKUP($A132,'01-02.2021'!$A$6:$CZ$403,9,FALSE)+VLOOKUP($A132,'1.3.21-28.2.22'!$A$6:$DA$404,9,FALSE)-VLOOKUP($A132,'01-02.2022'!$A$6:$DA$376,9,FALSE)</f>
        <v>14919.486291545389</v>
      </c>
      <c r="J132" s="566">
        <f>VLOOKUP($A132,'01-02.2021'!$A$6:$CZ$403,10,FALSE)+VLOOKUP($A132,'1.3.21-28.2.22'!$A$6:$DA$404,10,FALSE)-VLOOKUP($A132,'01-02.2022'!$A$6:$DA$376,10,FALSE)</f>
        <v>16423.382294438838</v>
      </c>
      <c r="K132" s="52">
        <f t="shared" si="155"/>
        <v>1503.8960028934489</v>
      </c>
      <c r="L132" s="566">
        <f>VLOOKUP($A132,'01-02.2021'!$A$6:$CZ$403,12,FALSE)+VLOOKUP($A132,'1.3.21-28.2.22'!$A$6:$DA$404,12,FALSE)-VLOOKUP($A132,'01-02.2022'!$A$6:$DA$376,12,FALSE)</f>
        <v>2330.4338328489953</v>
      </c>
      <c r="M132" s="566">
        <f>VLOOKUP($A132,'01-02.2021'!$A$6:$CZ$403,13,FALSE)+VLOOKUP($A132,'1.3.21-28.2.22'!$A$6:$DA$404,13,FALSE)-VLOOKUP($A132,'01-02.2022'!$A$6:$DA$376,13,FALSE)</f>
        <v>2565.8604372614759</v>
      </c>
      <c r="N132" s="52">
        <f t="shared" si="156"/>
        <v>235.42660441248063</v>
      </c>
      <c r="O132" s="566">
        <f>VLOOKUP($A132,'01-02.2021'!$A$6:$CZ$403,15,FALSE)+VLOOKUP($A132,'1.3.21-28.2.22'!$A$6:$DA$404,15,FALSE)-VLOOKUP($A132,'01-02.2022'!$A$6:$DA$376,15,FALSE)</f>
        <v>5697.3506324856016</v>
      </c>
      <c r="P132" s="566">
        <f>VLOOKUP($A132,'01-02.2021'!$A$6:$CZ$403,16,FALSE)+VLOOKUP($A132,'1.3.21-28.2.22'!$A$6:$DA$404,16,FALSE)-VLOOKUP($A132,'01-02.2022'!$A$6:$DA$376,16,FALSE)</f>
        <v>5697.3300000000017</v>
      </c>
      <c r="Q132" s="70">
        <f t="shared" si="111"/>
        <v>-2.063248559989006E-2</v>
      </c>
      <c r="R132" s="566">
        <f>VLOOKUP($A132,'01-02.2021'!$A$6:$CZ$403,18,FALSE)+VLOOKUP($A132,'1.3.21-28.2.22'!$A$6:$DA$404,18,FALSE)-VLOOKUP($A132,'01-02.2022'!$A$6:$DA$376,18,FALSE)</f>
        <v>1272.581031708592</v>
      </c>
      <c r="S132" s="566">
        <f>VLOOKUP($A132,'01-02.2021'!$A$6:$CZ$403,19,FALSE)+VLOOKUP($A132,'1.3.21-28.2.22'!$A$6:$DA$404,19,FALSE)-VLOOKUP($A132,'01-02.2022'!$A$6:$DA$376,19,FALSE)</f>
        <v>1272.5800000000004</v>
      </c>
      <c r="T132" s="70">
        <f t="shared" si="112"/>
        <v>-1.0317085916540236E-3</v>
      </c>
      <c r="U132" s="566">
        <f>VLOOKUP($A132,'01-02.2021'!$A$6:$CZ$403,21,FALSE)+VLOOKUP($A132,'1.3.21-28.2.22'!$A$6:$DA$404,21,FALSE)-VLOOKUP($A132,'01-02.2022'!$A$6:$DA$376,21,FALSE)</f>
        <v>671.36656966572173</v>
      </c>
      <c r="V132" s="566">
        <f>VLOOKUP($A132,'01-02.2021'!$A$6:$CZ$403,22,FALSE)+VLOOKUP($A132,'1.3.21-28.2.22'!$A$6:$DA$404,22,FALSE)-VLOOKUP($A132,'01-02.2022'!$A$6:$DA$376,22,FALSE)</f>
        <v>2260.7353048842042</v>
      </c>
      <c r="W132" s="70">
        <f t="shared" si="113"/>
        <v>1589.3687352184825</v>
      </c>
      <c r="X132" s="566">
        <f>VLOOKUP($A132,'01-02.2021'!$A$6:$CZ$403,24,FALSE)+VLOOKUP($A132,'1.3.21-28.2.22'!$A$6:$DA$404,24,FALSE)-VLOOKUP($A132,'01-02.2022'!$A$6:$DA$376,24,FALSE)</f>
        <v>5917.951966978917</v>
      </c>
      <c r="Y132" s="566">
        <f>VLOOKUP($A132,'01-02.2021'!$A$6:$CZ$403,25,FALSE)+VLOOKUP($A132,'1.3.21-28.2.22'!$A$6:$DA$404,25,FALSE)-VLOOKUP($A132,'01-02.2022'!$A$6:$DA$376,25,FALSE)</f>
        <v>4142.3924124366222</v>
      </c>
      <c r="Z132" s="70">
        <f t="shared" si="114"/>
        <v>-1775.5595545422948</v>
      </c>
      <c r="AA132" s="566">
        <f>VLOOKUP($A132,'01-02.2021'!$A$6:$CZ$403,27,FALSE)+VLOOKUP($A132,'1.3.21-28.2.22'!$A$6:$DA$404,27,FALSE)-VLOOKUP($A132,'01-02.2022'!$A$6:$DA$376,27,FALSE)</f>
        <v>850.84</v>
      </c>
      <c r="AB132" s="566">
        <f>VLOOKUP($A132,'01-02.2021'!$A$6:$CZ$403,28,FALSE)+VLOOKUP($A132,'1.3.21-28.2.22'!$A$6:$DA$404,28,FALSE)-VLOOKUP($A132,'01-02.2022'!$A$6:$DA$376,28,FALSE)</f>
        <v>0</v>
      </c>
      <c r="AC132" s="70">
        <f t="shared" si="115"/>
        <v>-850.84</v>
      </c>
      <c r="AD132" s="566">
        <f>VLOOKUP($A132,'01-02.2021'!$A$6:$CZ$403,30,FALSE)+VLOOKUP($A132,'1.3.21-28.2.22'!$A$6:$DA$404,30,FALSE)-VLOOKUP($A132,'01-02.2022'!$A$6:$DA$376,30,FALSE)</f>
        <v>18272.788244706986</v>
      </c>
      <c r="AE132" s="566">
        <f>VLOOKUP($A132,'01-02.2021'!$A$6:$CZ$403,31,FALSE)+VLOOKUP($A132,'1.3.21-28.2.22'!$A$6:$DA$404,31,FALSE)-VLOOKUP($A132,'01-02.2022'!$A$6:$DA$376,31,FALSE)</f>
        <v>19365.068703377834</v>
      </c>
      <c r="AF132" s="68">
        <f t="shared" si="116"/>
        <v>1092.280458670848</v>
      </c>
      <c r="AG132" s="77">
        <f t="shared" si="150"/>
        <v>49932.798569940205</v>
      </c>
      <c r="AH132" s="53">
        <f t="shared" si="150"/>
        <v>51727.34915239898</v>
      </c>
      <c r="AI132" s="52">
        <f t="shared" si="157"/>
        <v>1794.5505824587744</v>
      </c>
      <c r="AJ132" s="566">
        <f>VLOOKUP($A132,'01-02.2021'!$A$6:$CZ$403,36,FALSE)+VLOOKUP($A132,'1.3.21-28.2.22'!$A$6:$DA$404,36,FALSE)-VLOOKUP($A132,'01-02.2022'!$A$6:$DA$376,36,FALSE)</f>
        <v>33749.17271780486</v>
      </c>
      <c r="AK132" s="566">
        <f>VLOOKUP($A132,'01-02.2021'!$A$6:$CZ$403,37,FALSE)+VLOOKUP($A132,'1.3.21-28.2.22'!$A$6:$DA$404,37,FALSE)-VLOOKUP($A132,'01-02.2022'!$A$6:$DA$376,37,FALSE)</f>
        <v>33527.931028446576</v>
      </c>
      <c r="AL132" s="70">
        <f t="shared" si="117"/>
        <v>-221.24168935828493</v>
      </c>
      <c r="AM132" s="566">
        <f>VLOOKUP($A132,'01-02.2021'!$A$6:$CZ$403,39,FALSE)+VLOOKUP($A132,'1.3.21-28.2.22'!$A$6:$DA$404,39,FALSE)-VLOOKUP($A132,'01-02.2022'!$A$6:$DA$376,39,FALSE)</f>
        <v>1050.749425</v>
      </c>
      <c r="AN132" s="566">
        <f>VLOOKUP($A132,'01-02.2021'!$A$6:$CZ$403,40,FALSE)+VLOOKUP($A132,'1.3.21-28.2.22'!$A$6:$DA$404,40,FALSE)-VLOOKUP($A132,'01-02.2022'!$A$6:$DA$376,40,FALSE)</f>
        <v>0</v>
      </c>
      <c r="AO132" s="70">
        <f t="shared" si="118"/>
        <v>-1050.749425</v>
      </c>
      <c r="AP132" s="566">
        <f>VLOOKUP($A132,'01-02.2021'!$A$6:$CZ$403,42,FALSE)+VLOOKUP($A132,'1.3.21-28.2.22'!$A$6:$DA$404,42,FALSE)-VLOOKUP($A132,'01-02.2022'!$A$6:$DA$376,42,FALSE)</f>
        <v>3123.3595500766637</v>
      </c>
      <c r="AQ132" s="566">
        <f>VLOOKUP($A132,'01-02.2021'!$A$6:$CZ$403,43,FALSE)+VLOOKUP($A132,'1.3.21-28.2.22'!$A$6:$DA$404,43,FALSE)-VLOOKUP($A132,'01-02.2022'!$A$6:$DA$376,43,FALSE)</f>
        <v>2743.3352601156071</v>
      </c>
      <c r="AR132" s="70">
        <f t="shared" si="119"/>
        <v>-380.02428996105664</v>
      </c>
      <c r="AS132" s="566">
        <f>VLOOKUP($A132,'01-02.2021'!$A$6:$CZ$403,45,FALSE)+VLOOKUP($A132,'1.3.21-28.2.22'!$A$6:$DA$404,45,FALSE)-VLOOKUP($A132,'01-02.2022'!$A$6:$DA$376,45,FALSE)</f>
        <v>50649.110949139489</v>
      </c>
      <c r="AT132" s="566">
        <f>VLOOKUP($A132,'01-02.2021'!$A$6:$CZ$403,46,FALSE)+VLOOKUP($A132,'1.3.21-28.2.22'!$A$6:$DA$404,46,FALSE)-VLOOKUP($A132,'01-02.2022'!$A$6:$DA$376,46,FALSE)</f>
        <v>22487.02</v>
      </c>
      <c r="AU132" s="78">
        <f t="shared" si="120"/>
        <v>-28162.090949139489</v>
      </c>
      <c r="AV132" s="566">
        <f>VLOOKUP($A132,'01-02.2021'!$A$6:$CZ$403,48,FALSE)+VLOOKUP($A132,'1.3.21-28.2.22'!$A$6:$DA$404,48,FALSE)-VLOOKUP($A132,'01-02.2022'!$A$6:$DA$376,48,FALSE)</f>
        <v>3170.848841001352</v>
      </c>
      <c r="AW132" s="566">
        <f>VLOOKUP($A132,'01-02.2021'!$A$6:$CZ$403,49,FALSE)+VLOOKUP($A132,'1.3.21-28.2.22'!$A$6:$DA$404,49,FALSE)-VLOOKUP($A132,'01-02.2022'!$A$6:$DA$376,49,FALSE)</f>
        <v>1490.8600000000001</v>
      </c>
      <c r="AX132" s="55">
        <f t="shared" si="121"/>
        <v>-1679.9888410013518</v>
      </c>
      <c r="AY132" s="566">
        <f>VLOOKUP($A132,'01-02.2021'!$A$6:$CZ$403,51,FALSE)+VLOOKUP($A132,'1.3.21-28.2.22'!$A$6:$DA$404,51,FALSE)-VLOOKUP($A132,'01-02.2022'!$A$6:$DA$376,51,FALSE)</f>
        <v>3537.0727406509673</v>
      </c>
      <c r="AZ132" s="566">
        <f>VLOOKUP($A132,'01-02.2021'!$A$6:$CZ$403,52,FALSE)+VLOOKUP($A132,'1.3.21-28.2.22'!$A$6:$DA$404,52,FALSE)-VLOOKUP($A132,'01-02.2022'!$A$6:$DA$376,52,FALSE)</f>
        <v>0</v>
      </c>
      <c r="BA132" s="38">
        <f t="shared" si="122"/>
        <v>-3537.0727406509673</v>
      </c>
      <c r="BB132" s="566">
        <f>VLOOKUP($A132,'01-02.2021'!$A$6:$CZ$403,54,FALSE)+VLOOKUP($A132,'1.3.21-28.2.22'!$A$6:$DA$404,54,FALSE)-VLOOKUP($A132,'01-02.2022'!$A$6:$DA$376,54,FALSE)</f>
        <v>1864.6006725502236</v>
      </c>
      <c r="BC132" s="566">
        <f>VLOOKUP($A132,'01-02.2021'!$A$6:$CZ$403,55,FALSE)+VLOOKUP($A132,'1.3.21-28.2.22'!$A$6:$DA$404,55,FALSE)-VLOOKUP($A132,'01-02.2022'!$A$6:$DA$376,55,FALSE)</f>
        <v>0</v>
      </c>
      <c r="BD132" s="55">
        <f t="shared" si="123"/>
        <v>-1864.6006725502236</v>
      </c>
      <c r="BE132" s="566">
        <f>VLOOKUP($A132,'01-02.2021'!$A$6:$CZ$403,57,FALSE)+VLOOKUP($A132,'1.3.21-28.2.22'!$A$6:$DA$404,57,FALSE)-VLOOKUP($A132,'01-02.2022'!$A$6:$DA$376,57,FALSE)</f>
        <v>2612.8772558747619</v>
      </c>
      <c r="BF132" s="566">
        <f>VLOOKUP($A132,'01-02.2021'!$A$6:$CZ$403,58,FALSE)+VLOOKUP($A132,'1.3.21-28.2.22'!$A$6:$DA$404,58,FALSE)-VLOOKUP($A132,'01-02.2022'!$A$6:$DA$376,58,FALSE)</f>
        <v>245</v>
      </c>
      <c r="BG132" s="55">
        <f t="shared" si="124"/>
        <v>-2367.8772558747619</v>
      </c>
      <c r="BH132" s="566">
        <f>VLOOKUP($A132,'01-02.2021'!$A$6:$CZ$403,60,FALSE)+VLOOKUP($A132,'1.3.21-28.2.22'!$A$6:$DA$404,60,FALSE)-VLOOKUP($A132,'01-02.2022'!$A$6:$DA$376,60,FALSE)</f>
        <v>1275.6779514917541</v>
      </c>
      <c r="BI132" s="566">
        <f>VLOOKUP($A132,'01-02.2021'!$A$6:$CZ$403,61,FALSE)+VLOOKUP($A132,'1.3.21-28.2.22'!$A$6:$DA$404,61,FALSE)-VLOOKUP($A132,'01-02.2022'!$A$6:$DA$376,61,FALSE)</f>
        <v>0</v>
      </c>
      <c r="BJ132" s="55">
        <f t="shared" si="125"/>
        <v>-1275.6779514917541</v>
      </c>
      <c r="BK132" s="566">
        <f>VLOOKUP($A132,'01-02.2021'!$A$6:$CZ$403,63,FALSE)+VLOOKUP($A132,'1.3.21-28.2.22'!$A$6:$DA$404,63,FALSE)-VLOOKUP($A132,'01-02.2022'!$A$6:$DA$376,63,FALSE)</f>
        <v>1948.601407536366</v>
      </c>
      <c r="BL132" s="566">
        <f>VLOOKUP($A132,'01-02.2021'!$A$6:$CZ$403,64,FALSE)+VLOOKUP($A132,'1.3.21-28.2.22'!$A$6:$DA$404,64,FALSE)-VLOOKUP($A132,'01-02.2022'!$A$6:$DA$376,64,FALSE)</f>
        <v>0</v>
      </c>
      <c r="BM132" s="55">
        <f t="shared" si="126"/>
        <v>-1948.601407536366</v>
      </c>
      <c r="BN132" s="566">
        <f>VLOOKUP($A132,'01-02.2021'!$A$6:$CZ$403,66,FALSE)+VLOOKUP($A132,'1.3.21-28.2.22'!$A$6:$DA$404,66,FALSE)-VLOOKUP($A132,'01-02.2022'!$A$6:$DA$376,66,FALSE)</f>
        <v>212.71</v>
      </c>
      <c r="BO132" s="566">
        <f>VLOOKUP($A132,'01-02.2021'!$A$6:$CZ$403,67,FALSE)+VLOOKUP($A132,'1.3.21-28.2.22'!$A$6:$DA$404,67,FALSE)-VLOOKUP($A132,'01-02.2022'!$A$6:$DA$376,67,FALSE)</f>
        <v>0</v>
      </c>
      <c r="BP132" s="55">
        <f t="shared" si="127"/>
        <v>-212.71</v>
      </c>
      <c r="BQ132" s="77">
        <f t="shared" si="151"/>
        <v>14622.388869105424</v>
      </c>
      <c r="BR132" s="40">
        <f t="shared" si="152"/>
        <v>1735.8600000000001</v>
      </c>
      <c r="BS132" s="55">
        <f t="shared" si="166"/>
        <v>-12886.528869105423</v>
      </c>
      <c r="BT132" s="566">
        <f>VLOOKUP($A132,'01-02.2021'!$A$6:$CZ$403,72,FALSE)+VLOOKUP($A132,'1.3.21-28.2.22'!$A$6:$DA$404,72,FALSE)-VLOOKUP($A132,'01-02.2022'!$A$6:$DA$376,72,FALSE)</f>
        <v>41397.397061448297</v>
      </c>
      <c r="BU132" s="566">
        <f>VLOOKUP($A132,'01-02.2021'!$A$6:$CZ$403,73,FALSE)+VLOOKUP($A132,'1.3.21-28.2.22'!$A$6:$DA$404,73,FALSE)-VLOOKUP($A132,'01-02.2022'!$A$6:$DA$376,73,FALSE)</f>
        <v>39136.888035995202</v>
      </c>
      <c r="BV132" s="70">
        <f t="shared" si="128"/>
        <v>-2260.5090254530951</v>
      </c>
      <c r="BW132" s="566">
        <f>VLOOKUP($A132,'01-02.2021'!$A$6:$CZ$403,75,FALSE)+VLOOKUP($A132,'1.3.21-28.2.22'!$A$6:$DA$404,75,FALSE)-VLOOKUP($A132,'01-02.2022'!$A$6:$DA$376,75,FALSE)</f>
        <v>32380.271881158133</v>
      </c>
      <c r="BX132" s="566">
        <f>VLOOKUP($A132,'01-02.2021'!$A$6:$CZ$403,76,FALSE)+VLOOKUP($A132,'1.3.21-28.2.22'!$A$6:$DA$404,76,FALSE)-VLOOKUP($A132,'01-02.2022'!$A$6:$DA$376,76,FALSE)</f>
        <v>30013.375263506226</v>
      </c>
      <c r="BY132" s="70">
        <f t="shared" si="129"/>
        <v>-2366.8966176519061</v>
      </c>
      <c r="BZ132" s="566">
        <f>VLOOKUP($A132,'01-02.2021'!$A$6:$CZ$403,78,FALSE)+VLOOKUP($A132,'1.3.21-28.2.22'!$A$6:$DA$404,78,FALSE)-VLOOKUP($A132,'01-02.2022'!$A$6:$DA$376,78,FALSE)</f>
        <v>8125.2127058423303</v>
      </c>
      <c r="CA132" s="566">
        <f>VLOOKUP($A132,'01-02.2021'!$A$6:$CZ$403,79,FALSE)+VLOOKUP($A132,'1.3.21-28.2.22'!$A$6:$DA$404,79,FALSE)-VLOOKUP($A132,'01-02.2022'!$A$6:$DA$376,79,FALSE)</f>
        <v>8674.9074888184641</v>
      </c>
      <c r="CB132" s="70">
        <f t="shared" si="130"/>
        <v>549.69478297613387</v>
      </c>
      <c r="CC132" s="566">
        <f>VLOOKUP($A132,'01-02.2021'!$A$6:$CZ$403,81,FALSE)+VLOOKUP($A132,'1.3.21-28.2.22'!$A$6:$DA$404,81,FALSE)-VLOOKUP($A132,'01-02.2022'!$A$6:$DA$376,81,FALSE)</f>
        <v>754.25428279793164</v>
      </c>
      <c r="CD132" s="566">
        <f>VLOOKUP($A132,'01-02.2021'!$A$6:$CZ$403,82,FALSE)+VLOOKUP($A132,'1.3.21-28.2.22'!$A$6:$DA$404,82,FALSE)-VLOOKUP($A132,'01-02.2022'!$A$6:$DA$376,82,FALSE)</f>
        <v>817.35021593493411</v>
      </c>
      <c r="CE132" s="70">
        <f t="shared" si="131"/>
        <v>63.095933137002476</v>
      </c>
      <c r="CF132" s="566">
        <f>VLOOKUP($A132,'01-02.2021'!$A$6:$CZ$403,84,FALSE)+VLOOKUP($A132,'1.3.21-28.2.22'!$A$6:$DA$404,84,FALSE)-VLOOKUP($A132,'01-02.2022'!$A$6:$DA$376,84,FALSE)</f>
        <v>90.911610247377922</v>
      </c>
      <c r="CG132" s="566">
        <f>VLOOKUP($A132,'01-02.2021'!$A$6:$CZ$403,85,FALSE)+VLOOKUP($A132,'1.3.21-28.2.22'!$A$6:$DA$404,85,FALSE)-VLOOKUP($A132,'01-02.2022'!$A$6:$DA$376,85,FALSE)</f>
        <v>0</v>
      </c>
      <c r="CH132" s="70">
        <f t="shared" si="132"/>
        <v>-90.911610247377922</v>
      </c>
      <c r="CI132" s="566">
        <f>VLOOKUP($A132,'01-02.2021'!$A$6:$CZ$403,87,FALSE)+VLOOKUP($A132,'1.3.21-28.2.22'!$A$6:$DA$404,87,FALSE)-VLOOKUP($A132,'01-02.2022'!$A$6:$DA$376,87,FALSE)</f>
        <v>15111.902334646735</v>
      </c>
      <c r="CJ132" s="566">
        <f>VLOOKUP($A132,'01-02.2021'!$A$6:$CZ$403,88,FALSE)+VLOOKUP($A132,'1.3.21-28.2.22'!$A$6:$DA$404,88,FALSE)-VLOOKUP($A132,'01-02.2022'!$A$6:$DA$376,88,FALSE)</f>
        <v>12630.781396992503</v>
      </c>
      <c r="CK132" s="70">
        <f t="shared" si="133"/>
        <v>-2481.120937654232</v>
      </c>
      <c r="CL132" s="566">
        <f>VLOOKUP($A132,'01-02.2021'!$A$6:$CZ$403,90,FALSE)+VLOOKUP($A132,'1.3.21-28.2.22'!$A$6:$DA$404,90,FALSE)-VLOOKUP($A132,'01-02.2022'!$A$6:$DA$376,90,FALSE)</f>
        <v>7203.9354982632776</v>
      </c>
      <c r="CM132" s="566">
        <f>VLOOKUP($A132,'01-02.2021'!$A$6:$CZ$403,91,FALSE)+VLOOKUP($A132,'1.3.21-28.2.22'!$A$6:$DA$404,91,FALSE)-VLOOKUP($A132,'01-02.2022'!$A$6:$DA$376,91,FALSE)</f>
        <v>7236.9513588793388</v>
      </c>
      <c r="CN132" s="52">
        <f t="shared" si="158"/>
        <v>33.015860616061218</v>
      </c>
      <c r="CO132" s="39">
        <f t="shared" si="153"/>
        <v>22315.837832910012</v>
      </c>
      <c r="CP132" s="40">
        <f t="shared" si="159"/>
        <v>19867.732755871843</v>
      </c>
      <c r="CQ132" s="52">
        <f t="shared" si="160"/>
        <v>-2448.1050770381698</v>
      </c>
      <c r="CR132" s="72">
        <f t="shared" si="154"/>
        <v>258191.46545547072</v>
      </c>
      <c r="CS132" s="5">
        <f t="shared" si="154"/>
        <v>210731.74920108783</v>
      </c>
      <c r="CT132" s="52">
        <f t="shared" si="161"/>
        <v>-47459.716254382889</v>
      </c>
      <c r="CU132" s="77">
        <f t="shared" si="162"/>
        <v>309829.75854656484</v>
      </c>
      <c r="CV132" s="65">
        <f t="shared" si="163"/>
        <v>252878.0990413054</v>
      </c>
      <c r="CW132" s="35">
        <f t="shared" si="164"/>
        <v>-56951.659505259449</v>
      </c>
      <c r="CX132" s="566">
        <f>VLOOKUP($A132,'01-02.2021'!$A$6:$CZ$403,102,FALSE)+VLOOKUP($A132,'1.3.21-28.2.22'!$A$6:$DA$404,102,FALSE)-VLOOKUP($A132,'01-02.2022'!$A$6:$DA$376,102,FALSE)</f>
        <v>8851.33973434168</v>
      </c>
      <c r="CY132" s="566">
        <f>VLOOKUP($A132,'01-02.2021'!$A$6:$CZ$403,103,FALSE)+VLOOKUP($A132,'1.3.21-28.2.22'!$A$6:$DA$404,103,FALSE)-VLOOKUP($A132,'01-02.2022'!$A$6:$DA$376,103,FALSE)</f>
        <v>65802.999239601108</v>
      </c>
      <c r="CZ132" s="52">
        <f t="shared" si="165"/>
        <v>56951.659505259428</v>
      </c>
      <c r="DA132" s="150">
        <f>'[2]побудинковий звіт'!DA132</f>
        <v>73351.937902356454</v>
      </c>
      <c r="DB132" s="2">
        <v>2</v>
      </c>
      <c r="DC132" s="414">
        <f>'[4]побудинковий звіт'!DC132</f>
        <v>33997.46</v>
      </c>
      <c r="DD132" s="414">
        <f>'[4]побудинковий звіт'!DD132</f>
        <v>0</v>
      </c>
      <c r="DE132" s="557">
        <f>'[4]побудинковий звіт'!DE132</f>
        <v>5291.9574236521039</v>
      </c>
      <c r="DF132" s="557">
        <f>'[4]побудинковий звіт'!DF132</f>
        <v>0</v>
      </c>
      <c r="DG132" s="321">
        <f>VLOOKUP(A132,'кошти 01.03.2021'!$A$6:$D$401,4,)</f>
        <v>137616.59003604011</v>
      </c>
      <c r="DH132" s="40">
        <f>'[3]побудинковий звіт'!DJ132</f>
        <v>328824.27262881718</v>
      </c>
      <c r="DI132" s="422">
        <f>'[3]побудинковий звіт'!CU132+'[3]побудинковий звіт'!CX132</f>
        <v>28705.502576347892</v>
      </c>
      <c r="DJ132" s="306">
        <f>'[3]побудинковий звіт'!DM132</f>
        <v>5.7142649342403882</v>
      </c>
      <c r="DK132" s="306">
        <f>'[3]побудинковий звіт'!DN132</f>
        <v>6.8745531608894224</v>
      </c>
      <c r="DL132" s="306">
        <f>'[3]побудинковий звіт'!DO132</f>
        <v>4.8120846614703217</v>
      </c>
      <c r="DM132" s="28">
        <f t="shared" si="167"/>
        <v>28705.502576347895</v>
      </c>
      <c r="DN132" s="28">
        <f>DL132*H132</f>
        <v>0</v>
      </c>
      <c r="DO132" s="423">
        <f t="shared" si="105"/>
        <v>28705.502576347895</v>
      </c>
      <c r="DP132" s="94">
        <f t="shared" si="106"/>
        <v>0</v>
      </c>
      <c r="DQ132" s="28">
        <f t="shared" si="107"/>
        <v>28705.502576347895</v>
      </c>
      <c r="DR132" s="318"/>
      <c r="DT132" s="8"/>
      <c r="DU132" s="5"/>
      <c r="DX132" s="5">
        <f t="shared" si="108"/>
        <v>78325.799781893889</v>
      </c>
      <c r="DY132" s="5">
        <f t="shared" si="109"/>
        <v>29067.456000000002</v>
      </c>
      <c r="DZ132" s="159">
        <f>'[3]побудинковий звіт'!EA132</f>
        <v>7332.0000247482631</v>
      </c>
    </row>
    <row r="133" spans="1:130" x14ac:dyDescent="0.3">
      <c r="A133" s="325">
        <v>150000621</v>
      </c>
      <c r="B133" s="41" t="s">
        <v>582</v>
      </c>
      <c r="C133" s="42" t="s">
        <v>81</v>
      </c>
      <c r="D133" s="42"/>
      <c r="E133" s="293">
        <f t="shared" si="149"/>
        <v>130.1</v>
      </c>
      <c r="F133" s="305">
        <f>'[3]побудинковий звіт'!F133</f>
        <v>130.1</v>
      </c>
      <c r="G133" s="508">
        <f>'[3]побудинковий звіт'!G133</f>
        <v>0</v>
      </c>
      <c r="H133" s="560">
        <f>'[3]побудинковий звіт'!H133</f>
        <v>0</v>
      </c>
      <c r="I133" s="566">
        <f>VLOOKUP($A133,'01-02.2021'!$A$6:$CZ$403,9,FALSE)+VLOOKUP($A133,'1.3.21-28.2.22'!$A$6:$DA$404,9,FALSE)-VLOOKUP($A133,'01-02.2022'!$A$6:$DA$376,9,FALSE)</f>
        <v>0</v>
      </c>
      <c r="J133" s="566">
        <f>VLOOKUP($A133,'01-02.2021'!$A$6:$CZ$403,10,FALSE)+VLOOKUP($A133,'1.3.21-28.2.22'!$A$6:$DA$404,10,FALSE)-VLOOKUP($A133,'01-02.2022'!$A$6:$DA$376,10,FALSE)</f>
        <v>0</v>
      </c>
      <c r="K133" s="52">
        <f t="shared" si="155"/>
        <v>0</v>
      </c>
      <c r="L133" s="566">
        <f>VLOOKUP($A133,'01-02.2021'!$A$6:$CZ$403,12,FALSE)+VLOOKUP($A133,'1.3.21-28.2.22'!$A$6:$DA$404,12,FALSE)-VLOOKUP($A133,'01-02.2022'!$A$6:$DA$376,12,FALSE)</f>
        <v>0</v>
      </c>
      <c r="M133" s="566">
        <f>VLOOKUP($A133,'01-02.2021'!$A$6:$CZ$403,13,FALSE)+VLOOKUP($A133,'1.3.21-28.2.22'!$A$6:$DA$404,13,FALSE)-VLOOKUP($A133,'01-02.2022'!$A$6:$DA$376,13,FALSE)</f>
        <v>0</v>
      </c>
      <c r="N133" s="52">
        <f t="shared" si="156"/>
        <v>0</v>
      </c>
      <c r="O133" s="566">
        <f>VLOOKUP($A133,'01-02.2021'!$A$6:$CZ$403,15,FALSE)+VLOOKUP($A133,'1.3.21-28.2.22'!$A$6:$DA$404,15,FALSE)-VLOOKUP($A133,'01-02.2022'!$A$6:$DA$376,15,FALSE)</f>
        <v>0</v>
      </c>
      <c r="P133" s="566">
        <f>VLOOKUP($A133,'01-02.2021'!$A$6:$CZ$403,16,FALSE)+VLOOKUP($A133,'1.3.21-28.2.22'!$A$6:$DA$404,16,FALSE)-VLOOKUP($A133,'01-02.2022'!$A$6:$DA$376,16,FALSE)</f>
        <v>0</v>
      </c>
      <c r="Q133" s="70">
        <f t="shared" si="111"/>
        <v>0</v>
      </c>
      <c r="R133" s="566">
        <f>VLOOKUP($A133,'01-02.2021'!$A$6:$CZ$403,18,FALSE)+VLOOKUP($A133,'1.3.21-28.2.22'!$A$6:$DA$404,18,FALSE)-VLOOKUP($A133,'01-02.2022'!$A$6:$DA$376,18,FALSE)</f>
        <v>0</v>
      </c>
      <c r="S133" s="566">
        <f>VLOOKUP($A133,'01-02.2021'!$A$6:$CZ$403,19,FALSE)+VLOOKUP($A133,'1.3.21-28.2.22'!$A$6:$DA$404,19,FALSE)-VLOOKUP($A133,'01-02.2022'!$A$6:$DA$376,19,FALSE)</f>
        <v>0</v>
      </c>
      <c r="T133" s="70">
        <f t="shared" si="112"/>
        <v>0</v>
      </c>
      <c r="U133" s="566">
        <f>VLOOKUP($A133,'01-02.2021'!$A$6:$CZ$403,21,FALSE)+VLOOKUP($A133,'1.3.21-28.2.22'!$A$6:$DA$404,21,FALSE)-VLOOKUP($A133,'01-02.2022'!$A$6:$DA$376,21,FALSE)</f>
        <v>0</v>
      </c>
      <c r="V133" s="566">
        <f>VLOOKUP($A133,'01-02.2021'!$A$6:$CZ$403,22,FALSE)+VLOOKUP($A133,'1.3.21-28.2.22'!$A$6:$DA$404,22,FALSE)-VLOOKUP($A133,'01-02.2022'!$A$6:$DA$376,22,FALSE)</f>
        <v>0</v>
      </c>
      <c r="W133" s="70">
        <f t="shared" si="113"/>
        <v>0</v>
      </c>
      <c r="X133" s="566">
        <f>VLOOKUP($A133,'01-02.2021'!$A$6:$CZ$403,24,FALSE)+VLOOKUP($A133,'1.3.21-28.2.22'!$A$6:$DA$404,24,FALSE)-VLOOKUP($A133,'01-02.2022'!$A$6:$DA$376,24,FALSE)</f>
        <v>0</v>
      </c>
      <c r="Y133" s="566">
        <f>VLOOKUP($A133,'01-02.2021'!$A$6:$CZ$403,25,FALSE)+VLOOKUP($A133,'1.3.21-28.2.22'!$A$6:$DA$404,25,FALSE)-VLOOKUP($A133,'01-02.2022'!$A$6:$DA$376,25,FALSE)</f>
        <v>0</v>
      </c>
      <c r="Z133" s="70">
        <f t="shared" si="114"/>
        <v>0</v>
      </c>
      <c r="AA133" s="566">
        <f>VLOOKUP($A133,'01-02.2021'!$A$6:$CZ$403,27,FALSE)+VLOOKUP($A133,'1.3.21-28.2.22'!$A$6:$DA$404,27,FALSE)-VLOOKUP($A133,'01-02.2022'!$A$6:$DA$376,27,FALSE)</f>
        <v>26.019999999999996</v>
      </c>
      <c r="AB133" s="566">
        <f>VLOOKUP($A133,'01-02.2021'!$A$6:$CZ$403,28,FALSE)+VLOOKUP($A133,'1.3.21-28.2.22'!$A$6:$DA$404,28,FALSE)-VLOOKUP($A133,'01-02.2022'!$A$6:$DA$376,28,FALSE)</f>
        <v>0</v>
      </c>
      <c r="AC133" s="70">
        <f t="shared" si="115"/>
        <v>-26.019999999999996</v>
      </c>
      <c r="AD133" s="566">
        <f>VLOOKUP($A133,'01-02.2021'!$A$6:$CZ$403,30,FALSE)+VLOOKUP($A133,'1.3.21-28.2.22'!$A$6:$DA$404,30,FALSE)-VLOOKUP($A133,'01-02.2022'!$A$6:$DA$376,30,FALSE)</f>
        <v>208.26622879171288</v>
      </c>
      <c r="AE133" s="566">
        <f>VLOOKUP($A133,'01-02.2021'!$A$6:$CZ$403,31,FALSE)+VLOOKUP($A133,'1.3.21-28.2.22'!$A$6:$DA$404,31,FALSE)-VLOOKUP($A133,'01-02.2022'!$A$6:$DA$376,31,FALSE)</f>
        <v>592.22044202177119</v>
      </c>
      <c r="AF133" s="68">
        <f t="shared" si="116"/>
        <v>383.95421323005831</v>
      </c>
      <c r="AG133" s="77">
        <f t="shared" si="150"/>
        <v>234.28622879171286</v>
      </c>
      <c r="AH133" s="53">
        <f t="shared" si="150"/>
        <v>592.22044202177119</v>
      </c>
      <c r="AI133" s="52">
        <f t="shared" si="157"/>
        <v>357.93421323005833</v>
      </c>
      <c r="AJ133" s="566">
        <f>VLOOKUP($A133,'01-02.2021'!$A$6:$CZ$403,36,FALSE)+VLOOKUP($A133,'1.3.21-28.2.22'!$A$6:$DA$404,36,FALSE)-VLOOKUP($A133,'01-02.2022'!$A$6:$DA$376,36,FALSE)</f>
        <v>0</v>
      </c>
      <c r="AK133" s="566">
        <f>VLOOKUP($A133,'01-02.2021'!$A$6:$CZ$403,37,FALSE)+VLOOKUP($A133,'1.3.21-28.2.22'!$A$6:$DA$404,37,FALSE)-VLOOKUP($A133,'01-02.2022'!$A$6:$DA$376,37,FALSE)</f>
        <v>0</v>
      </c>
      <c r="AL133" s="70">
        <f t="shared" si="117"/>
        <v>0</v>
      </c>
      <c r="AM133" s="566">
        <f>VLOOKUP($A133,'01-02.2021'!$A$6:$CZ$403,39,FALSE)+VLOOKUP($A133,'1.3.21-28.2.22'!$A$6:$DA$404,39,FALSE)-VLOOKUP($A133,'01-02.2022'!$A$6:$DA$376,39,FALSE)</f>
        <v>0</v>
      </c>
      <c r="AN133" s="566">
        <f>VLOOKUP($A133,'01-02.2021'!$A$6:$CZ$403,40,FALSE)+VLOOKUP($A133,'1.3.21-28.2.22'!$A$6:$DA$404,40,FALSE)-VLOOKUP($A133,'01-02.2022'!$A$6:$DA$376,40,FALSE)</f>
        <v>0</v>
      </c>
      <c r="AO133" s="70">
        <f t="shared" si="118"/>
        <v>0</v>
      </c>
      <c r="AP133" s="566">
        <f>VLOOKUP($A133,'01-02.2021'!$A$6:$CZ$403,42,FALSE)+VLOOKUP($A133,'1.3.21-28.2.22'!$A$6:$DA$404,42,FALSE)-VLOOKUP($A133,'01-02.2022'!$A$6:$DA$376,42,FALSE)</f>
        <v>260.27996250638864</v>
      </c>
      <c r="AQ133" s="566">
        <f>VLOOKUP($A133,'01-02.2021'!$A$6:$CZ$403,43,FALSE)+VLOOKUP($A133,'1.3.21-28.2.22'!$A$6:$DA$404,43,FALSE)-VLOOKUP($A133,'01-02.2022'!$A$6:$DA$376,43,FALSE)</f>
        <v>224.38224961495439</v>
      </c>
      <c r="AR133" s="70">
        <f t="shared" si="119"/>
        <v>-35.897712891434253</v>
      </c>
      <c r="AS133" s="566">
        <f>VLOOKUP($A133,'01-02.2021'!$A$6:$CZ$403,45,FALSE)+VLOOKUP($A133,'1.3.21-28.2.22'!$A$6:$DA$404,45,FALSE)-VLOOKUP($A133,'01-02.2022'!$A$6:$DA$376,45,FALSE)</f>
        <v>1420.8214102078491</v>
      </c>
      <c r="AT133" s="566">
        <f>VLOOKUP($A133,'01-02.2021'!$A$6:$CZ$403,46,FALSE)+VLOOKUP($A133,'1.3.21-28.2.22'!$A$6:$DA$404,46,FALSE)-VLOOKUP($A133,'01-02.2022'!$A$6:$DA$376,46,FALSE)</f>
        <v>0</v>
      </c>
      <c r="AU133" s="78">
        <f t="shared" si="120"/>
        <v>-1420.8214102078491</v>
      </c>
      <c r="AV133" s="566">
        <f>VLOOKUP($A133,'01-02.2021'!$A$6:$CZ$403,48,FALSE)+VLOOKUP($A133,'1.3.21-28.2.22'!$A$6:$DA$404,48,FALSE)-VLOOKUP($A133,'01-02.2022'!$A$6:$DA$376,48,FALSE)</f>
        <v>0</v>
      </c>
      <c r="AW133" s="566">
        <f>VLOOKUP($A133,'01-02.2021'!$A$6:$CZ$403,49,FALSE)+VLOOKUP($A133,'1.3.21-28.2.22'!$A$6:$DA$404,49,FALSE)-VLOOKUP($A133,'01-02.2022'!$A$6:$DA$376,49,FALSE)</f>
        <v>0</v>
      </c>
      <c r="AX133" s="55">
        <f t="shared" si="121"/>
        <v>0</v>
      </c>
      <c r="AY133" s="566">
        <f>VLOOKUP($A133,'01-02.2021'!$A$6:$CZ$403,51,FALSE)+VLOOKUP($A133,'1.3.21-28.2.22'!$A$6:$DA$404,51,FALSE)-VLOOKUP($A133,'01-02.2022'!$A$6:$DA$376,51,FALSE)</f>
        <v>0</v>
      </c>
      <c r="AZ133" s="566">
        <f>VLOOKUP($A133,'01-02.2021'!$A$6:$CZ$403,52,FALSE)+VLOOKUP($A133,'1.3.21-28.2.22'!$A$6:$DA$404,52,FALSE)-VLOOKUP($A133,'01-02.2022'!$A$6:$DA$376,52,FALSE)</f>
        <v>0</v>
      </c>
      <c r="BA133" s="38">
        <f t="shared" si="122"/>
        <v>0</v>
      </c>
      <c r="BB133" s="566">
        <f>VLOOKUP($A133,'01-02.2021'!$A$6:$CZ$403,54,FALSE)+VLOOKUP($A133,'1.3.21-28.2.22'!$A$6:$DA$404,54,FALSE)-VLOOKUP($A133,'01-02.2022'!$A$6:$DA$376,54,FALSE)</f>
        <v>0</v>
      </c>
      <c r="BC133" s="566">
        <f>VLOOKUP($A133,'01-02.2021'!$A$6:$CZ$403,55,FALSE)+VLOOKUP($A133,'1.3.21-28.2.22'!$A$6:$DA$404,55,FALSE)-VLOOKUP($A133,'01-02.2022'!$A$6:$DA$376,55,FALSE)</f>
        <v>0</v>
      </c>
      <c r="BD133" s="55">
        <f t="shared" si="123"/>
        <v>0</v>
      </c>
      <c r="BE133" s="566">
        <f>VLOOKUP($A133,'01-02.2021'!$A$6:$CZ$403,57,FALSE)+VLOOKUP($A133,'1.3.21-28.2.22'!$A$6:$DA$404,57,FALSE)-VLOOKUP($A133,'01-02.2022'!$A$6:$DA$376,57,FALSE)</f>
        <v>0</v>
      </c>
      <c r="BF133" s="566">
        <f>VLOOKUP($A133,'01-02.2021'!$A$6:$CZ$403,58,FALSE)+VLOOKUP($A133,'1.3.21-28.2.22'!$A$6:$DA$404,58,FALSE)-VLOOKUP($A133,'01-02.2022'!$A$6:$DA$376,58,FALSE)</f>
        <v>0</v>
      </c>
      <c r="BG133" s="55">
        <f t="shared" si="124"/>
        <v>0</v>
      </c>
      <c r="BH133" s="566">
        <f>VLOOKUP($A133,'01-02.2021'!$A$6:$CZ$403,60,FALSE)+VLOOKUP($A133,'1.3.21-28.2.22'!$A$6:$DA$404,60,FALSE)-VLOOKUP($A133,'01-02.2022'!$A$6:$DA$376,60,FALSE)</f>
        <v>0</v>
      </c>
      <c r="BI133" s="566">
        <f>VLOOKUP($A133,'01-02.2021'!$A$6:$CZ$403,61,FALSE)+VLOOKUP($A133,'1.3.21-28.2.22'!$A$6:$DA$404,61,FALSE)-VLOOKUP($A133,'01-02.2022'!$A$6:$DA$376,61,FALSE)</f>
        <v>0</v>
      </c>
      <c r="BJ133" s="55">
        <f t="shared" si="125"/>
        <v>0</v>
      </c>
      <c r="BK133" s="566">
        <f>VLOOKUP($A133,'01-02.2021'!$A$6:$CZ$403,63,FALSE)+VLOOKUP($A133,'1.3.21-28.2.22'!$A$6:$DA$404,63,FALSE)-VLOOKUP($A133,'01-02.2022'!$A$6:$DA$376,63,FALSE)</f>
        <v>0</v>
      </c>
      <c r="BL133" s="566">
        <f>VLOOKUP($A133,'01-02.2021'!$A$6:$CZ$403,64,FALSE)+VLOOKUP($A133,'1.3.21-28.2.22'!$A$6:$DA$404,64,FALSE)-VLOOKUP($A133,'01-02.2022'!$A$6:$DA$376,64,FALSE)</f>
        <v>0</v>
      </c>
      <c r="BM133" s="55">
        <f t="shared" si="126"/>
        <v>0</v>
      </c>
      <c r="BN133" s="566">
        <f>VLOOKUP($A133,'01-02.2021'!$A$6:$CZ$403,66,FALSE)+VLOOKUP($A133,'1.3.21-28.2.22'!$A$6:$DA$404,66,FALSE)-VLOOKUP($A133,'01-02.2022'!$A$6:$DA$376,66,FALSE)</f>
        <v>6.504999999999999</v>
      </c>
      <c r="BO133" s="566">
        <f>VLOOKUP($A133,'01-02.2021'!$A$6:$CZ$403,67,FALSE)+VLOOKUP($A133,'1.3.21-28.2.22'!$A$6:$DA$404,67,FALSE)-VLOOKUP($A133,'01-02.2022'!$A$6:$DA$376,67,FALSE)</f>
        <v>0</v>
      </c>
      <c r="BP133" s="55">
        <f t="shared" si="127"/>
        <v>-6.504999999999999</v>
      </c>
      <c r="BQ133" s="77">
        <f t="shared" si="151"/>
        <v>6.504999999999999</v>
      </c>
      <c r="BR133" s="40">
        <f t="shared" si="152"/>
        <v>0</v>
      </c>
      <c r="BS133" s="55">
        <f t="shared" si="166"/>
        <v>-6.504999999999999</v>
      </c>
      <c r="BT133" s="566">
        <f>VLOOKUP($A133,'01-02.2021'!$A$6:$CZ$403,72,FALSE)+VLOOKUP($A133,'1.3.21-28.2.22'!$A$6:$DA$404,72,FALSE)-VLOOKUP($A133,'01-02.2022'!$A$6:$DA$376,72,FALSE)</f>
        <v>111.65938351958833</v>
      </c>
      <c r="BU133" s="566">
        <f>VLOOKUP($A133,'01-02.2021'!$A$6:$CZ$403,73,FALSE)+VLOOKUP($A133,'1.3.21-28.2.22'!$A$6:$DA$404,73,FALSE)-VLOOKUP($A133,'01-02.2022'!$A$6:$DA$376,73,FALSE)</f>
        <v>173.20043558022763</v>
      </c>
      <c r="BV133" s="70">
        <f t="shared" si="128"/>
        <v>61.541052060639302</v>
      </c>
      <c r="BW133" s="566">
        <f>VLOOKUP($A133,'01-02.2021'!$A$6:$CZ$403,75,FALSE)+VLOOKUP($A133,'1.3.21-28.2.22'!$A$6:$DA$404,75,FALSE)-VLOOKUP($A133,'01-02.2022'!$A$6:$DA$376,75,FALSE)</f>
        <v>0</v>
      </c>
      <c r="BX133" s="566">
        <f>VLOOKUP($A133,'01-02.2021'!$A$6:$CZ$403,76,FALSE)+VLOOKUP($A133,'1.3.21-28.2.22'!$A$6:$DA$404,76,FALSE)-VLOOKUP($A133,'01-02.2022'!$A$6:$DA$376,76,FALSE)</f>
        <v>2.9157479362810346</v>
      </c>
      <c r="BY133" s="70">
        <f t="shared" si="129"/>
        <v>2.9157479362810346</v>
      </c>
      <c r="BZ133" s="566">
        <f>VLOOKUP($A133,'01-02.2021'!$A$6:$CZ$403,78,FALSE)+VLOOKUP($A133,'1.3.21-28.2.22'!$A$6:$DA$404,78,FALSE)-VLOOKUP($A133,'01-02.2022'!$A$6:$DA$376,78,FALSE)</f>
        <v>0</v>
      </c>
      <c r="CA133" s="566">
        <f>VLOOKUP($A133,'01-02.2021'!$A$6:$CZ$403,79,FALSE)+VLOOKUP($A133,'1.3.21-28.2.22'!$A$6:$DA$404,79,FALSE)-VLOOKUP($A133,'01-02.2022'!$A$6:$DA$376,79,FALSE)</f>
        <v>10.56087692417772</v>
      </c>
      <c r="CB133" s="70">
        <f t="shared" si="130"/>
        <v>10.56087692417772</v>
      </c>
      <c r="CC133" s="566">
        <f>VLOOKUP($A133,'01-02.2021'!$A$6:$CZ$403,81,FALSE)+VLOOKUP($A133,'1.3.21-28.2.22'!$A$6:$DA$404,81,FALSE)-VLOOKUP($A133,'01-02.2022'!$A$6:$DA$376,81,FALSE)</f>
        <v>0</v>
      </c>
      <c r="CD133" s="566">
        <f>VLOOKUP($A133,'01-02.2021'!$A$6:$CZ$403,82,FALSE)+VLOOKUP($A133,'1.3.21-28.2.22'!$A$6:$DA$404,82,FALSE)-VLOOKUP($A133,'01-02.2022'!$A$6:$DA$376,82,FALSE)</f>
        <v>0</v>
      </c>
      <c r="CE133" s="70">
        <f t="shared" si="131"/>
        <v>0</v>
      </c>
      <c r="CF133" s="566">
        <f>VLOOKUP($A133,'01-02.2021'!$A$6:$CZ$403,84,FALSE)+VLOOKUP($A133,'1.3.21-28.2.22'!$A$6:$DA$404,84,FALSE)-VLOOKUP($A133,'01-02.2022'!$A$6:$DA$376,84,FALSE)</f>
        <v>0</v>
      </c>
      <c r="CG133" s="566">
        <f>VLOOKUP($A133,'01-02.2021'!$A$6:$CZ$403,85,FALSE)+VLOOKUP($A133,'1.3.21-28.2.22'!$A$6:$DA$404,85,FALSE)-VLOOKUP($A133,'01-02.2022'!$A$6:$DA$376,85,FALSE)</f>
        <v>0</v>
      </c>
      <c r="CH133" s="70">
        <f t="shared" si="132"/>
        <v>0</v>
      </c>
      <c r="CI133" s="566">
        <f>VLOOKUP($A133,'01-02.2021'!$A$6:$CZ$403,87,FALSE)+VLOOKUP($A133,'1.3.21-28.2.22'!$A$6:$DA$404,87,FALSE)-VLOOKUP($A133,'01-02.2022'!$A$6:$DA$376,87,FALSE)</f>
        <v>0</v>
      </c>
      <c r="CJ133" s="566">
        <f>VLOOKUP($A133,'01-02.2021'!$A$6:$CZ$403,88,FALSE)+VLOOKUP($A133,'1.3.21-28.2.22'!$A$6:$DA$404,88,FALSE)-VLOOKUP($A133,'01-02.2022'!$A$6:$DA$376,88,FALSE)</f>
        <v>0</v>
      </c>
      <c r="CK133" s="70">
        <f t="shared" si="133"/>
        <v>0</v>
      </c>
      <c r="CL133" s="566">
        <f>VLOOKUP($A133,'01-02.2021'!$A$6:$CZ$403,90,FALSE)+VLOOKUP($A133,'1.3.21-28.2.22'!$A$6:$DA$404,90,FALSE)-VLOOKUP($A133,'01-02.2022'!$A$6:$DA$376,90,FALSE)</f>
        <v>0</v>
      </c>
      <c r="CM133" s="566">
        <f>VLOOKUP($A133,'01-02.2021'!$A$6:$CZ$403,91,FALSE)+VLOOKUP($A133,'1.3.21-28.2.22'!$A$6:$DA$404,91,FALSE)-VLOOKUP($A133,'01-02.2022'!$A$6:$DA$376,91,FALSE)</f>
        <v>0</v>
      </c>
      <c r="CN133" s="52">
        <f t="shared" si="158"/>
        <v>0</v>
      </c>
      <c r="CO133" s="39">
        <f t="shared" si="153"/>
        <v>0</v>
      </c>
      <c r="CP133" s="40">
        <f t="shared" si="159"/>
        <v>0</v>
      </c>
      <c r="CQ133" s="52">
        <f t="shared" si="160"/>
        <v>0</v>
      </c>
      <c r="CR133" s="72">
        <f t="shared" si="154"/>
        <v>2033.5519850255391</v>
      </c>
      <c r="CS133" s="5">
        <f t="shared" si="154"/>
        <v>1003.279752077412</v>
      </c>
      <c r="CT133" s="52">
        <f t="shared" si="161"/>
        <v>-1030.2722329481271</v>
      </c>
      <c r="CU133" s="77">
        <f t="shared" si="162"/>
        <v>2440.2623820306467</v>
      </c>
      <c r="CV133" s="65">
        <f t="shared" si="163"/>
        <v>1203.9357024928943</v>
      </c>
      <c r="CW133" s="35">
        <f t="shared" si="164"/>
        <v>-1236.3266795377524</v>
      </c>
      <c r="CX133" s="566">
        <f>VLOOKUP($A133,'01-02.2021'!$A$6:$CZ$403,102,FALSE)+VLOOKUP($A133,'1.3.21-28.2.22'!$A$6:$DA$404,102,FALSE)-VLOOKUP($A133,'01-02.2022'!$A$6:$DA$376,102,FALSE)</f>
        <v>85.211116126739981</v>
      </c>
      <c r="CY133" s="566">
        <f>VLOOKUP($A133,'01-02.2021'!$A$6:$CZ$403,103,FALSE)+VLOOKUP($A133,'1.3.21-28.2.22'!$A$6:$DA$404,103,FALSE)-VLOOKUP($A133,'01-02.2022'!$A$6:$DA$376,103,FALSE)</f>
        <v>1321.5377956644925</v>
      </c>
      <c r="CZ133" s="52">
        <f t="shared" si="165"/>
        <v>1236.3266795377524</v>
      </c>
      <c r="DA133" s="150">
        <f>'[2]побудинковий звіт'!DA133</f>
        <v>-5528.8960699694162</v>
      </c>
      <c r="DB133" s="2">
        <v>2</v>
      </c>
      <c r="DC133" s="414">
        <f>'[4]побудинковий звіт'!DC133</f>
        <v>259.41000000000003</v>
      </c>
      <c r="DD133" s="414">
        <f>'[4]побудинковий звіт'!DD133</f>
        <v>0</v>
      </c>
      <c r="DE133" s="557">
        <f>'[4]побудинковий звіт'!DE133</f>
        <v>30.586540334841516</v>
      </c>
      <c r="DF133" s="557">
        <f>'[4]побудинковий звіт'!DF133</f>
        <v>0</v>
      </c>
      <c r="DG133" s="321">
        <f>VLOOKUP(A133,'кошти 01.03.2021'!$A$6:$D$401,4,)</f>
        <v>-4224.5946173619877</v>
      </c>
      <c r="DH133" s="40">
        <f>'[3]побудинковий звіт'!DJ133</f>
        <v>2612.2967622548495</v>
      </c>
      <c r="DI133" s="422">
        <f>'[3]побудинковий звіт'!CU133+'[3]побудинковий звіт'!CX133</f>
        <v>228.82345966515845</v>
      </c>
      <c r="DJ133" s="306">
        <f>'[3]побудинковий звіт'!DM133</f>
        <v>1.7588275147206651</v>
      </c>
      <c r="DK133" s="306">
        <f t="shared" ref="DK133:DK147" si="168">DJ133</f>
        <v>1.7588275147206651</v>
      </c>
      <c r="DL133" s="306">
        <f>'[3]побудинковий звіт'!DO133</f>
        <v>1.7588275147206651</v>
      </c>
      <c r="DM133" s="28">
        <f t="shared" ref="DM133:DM147" si="169">F133*DJ133</f>
        <v>228.82345966515851</v>
      </c>
      <c r="DN133" s="28">
        <f t="shared" ref="DN133:DN147" si="170">H133*DL133</f>
        <v>0</v>
      </c>
      <c r="DO133" s="423">
        <f t="shared" si="105"/>
        <v>228.82345966515851</v>
      </c>
      <c r="DP133" s="94">
        <f t="shared" si="106"/>
        <v>0</v>
      </c>
      <c r="DQ133" s="28">
        <f t="shared" si="107"/>
        <v>228.82345966515851</v>
      </c>
      <c r="DR133" s="318"/>
      <c r="DT133" s="8"/>
      <c r="DU133" s="5"/>
      <c r="DX133" s="5">
        <f t="shared" si="108"/>
        <v>1712.7916922494189</v>
      </c>
      <c r="DY133" s="5">
        <f t="shared" si="109"/>
        <v>0</v>
      </c>
      <c r="DZ133" s="159">
        <f>'[3]побудинковий звіт'!EA133</f>
        <v>175.69026178315784</v>
      </c>
    </row>
    <row r="134" spans="1:130" x14ac:dyDescent="0.3">
      <c r="A134" s="325">
        <v>150000622</v>
      </c>
      <c r="B134" s="41" t="s">
        <v>583</v>
      </c>
      <c r="C134" s="42" t="s">
        <v>82</v>
      </c>
      <c r="D134" s="42"/>
      <c r="E134" s="293">
        <f t="shared" si="149"/>
        <v>132.69999999999999</v>
      </c>
      <c r="F134" s="305">
        <f>'[3]побудинковий звіт'!F134</f>
        <v>132.69999999999999</v>
      </c>
      <c r="G134" s="508">
        <f>'[3]побудинковий звіт'!G134</f>
        <v>0</v>
      </c>
      <c r="H134" s="560">
        <f>'[3]побудинковий звіт'!H134</f>
        <v>0</v>
      </c>
      <c r="I134" s="566"/>
      <c r="J134" s="566"/>
      <c r="K134" s="52">
        <f t="shared" si="155"/>
        <v>0</v>
      </c>
      <c r="L134" s="566"/>
      <c r="M134" s="566"/>
      <c r="N134" s="52">
        <f t="shared" si="156"/>
        <v>0</v>
      </c>
      <c r="O134" s="566"/>
      <c r="P134" s="566"/>
      <c r="Q134" s="70"/>
      <c r="R134" s="566"/>
      <c r="S134" s="566"/>
      <c r="T134" s="70"/>
      <c r="U134" s="566"/>
      <c r="V134" s="566"/>
      <c r="W134" s="70"/>
      <c r="X134" s="566"/>
      <c r="Y134" s="566"/>
      <c r="Z134" s="70"/>
      <c r="AA134" s="566"/>
      <c r="AB134" s="566"/>
      <c r="AC134" s="70"/>
      <c r="AD134" s="566"/>
      <c r="AE134" s="566"/>
      <c r="AF134" s="68"/>
      <c r="AG134" s="77">
        <f t="shared" si="150"/>
        <v>0</v>
      </c>
      <c r="AH134" s="53">
        <f t="shared" si="150"/>
        <v>0</v>
      </c>
      <c r="AI134" s="52">
        <f t="shared" si="157"/>
        <v>0</v>
      </c>
      <c r="AJ134" s="566"/>
      <c r="AK134" s="566"/>
      <c r="AL134" s="70"/>
      <c r="AM134" s="566"/>
      <c r="AN134" s="566"/>
      <c r="AO134" s="70"/>
      <c r="AP134" s="566"/>
      <c r="AQ134" s="566"/>
      <c r="AR134" s="70"/>
      <c r="AS134" s="566"/>
      <c r="AT134" s="566"/>
      <c r="AU134" s="78"/>
      <c r="AV134" s="566"/>
      <c r="AW134" s="566"/>
      <c r="AX134" s="55"/>
      <c r="AY134" s="566"/>
      <c r="AZ134" s="566"/>
      <c r="BA134" s="38"/>
      <c r="BB134" s="566"/>
      <c r="BC134" s="566"/>
      <c r="BD134" s="55"/>
      <c r="BE134" s="566"/>
      <c r="BF134" s="566"/>
      <c r="BG134" s="55"/>
      <c r="BH134" s="566"/>
      <c r="BI134" s="566"/>
      <c r="BJ134" s="55"/>
      <c r="BK134" s="566"/>
      <c r="BL134" s="566"/>
      <c r="BM134" s="55"/>
      <c r="BN134" s="566"/>
      <c r="BO134" s="566"/>
      <c r="BP134" s="55"/>
      <c r="BQ134" s="77">
        <f t="shared" si="151"/>
        <v>0</v>
      </c>
      <c r="BR134" s="40">
        <f t="shared" si="152"/>
        <v>0</v>
      </c>
      <c r="BS134" s="55">
        <f t="shared" si="166"/>
        <v>0</v>
      </c>
      <c r="BT134" s="566"/>
      <c r="BU134" s="566"/>
      <c r="BV134" s="70"/>
      <c r="BW134" s="566"/>
      <c r="BX134" s="566"/>
      <c r="BY134" s="70"/>
      <c r="BZ134" s="566"/>
      <c r="CA134" s="566"/>
      <c r="CB134" s="70"/>
      <c r="CC134" s="566"/>
      <c r="CD134" s="566"/>
      <c r="CE134" s="70"/>
      <c r="CF134" s="566"/>
      <c r="CG134" s="566"/>
      <c r="CH134" s="70"/>
      <c r="CI134" s="566"/>
      <c r="CJ134" s="566"/>
      <c r="CK134" s="70"/>
      <c r="CL134" s="566"/>
      <c r="CM134" s="566"/>
      <c r="CN134" s="52">
        <f t="shared" si="158"/>
        <v>0</v>
      </c>
      <c r="CO134" s="39">
        <f t="shared" si="153"/>
        <v>0</v>
      </c>
      <c r="CP134" s="40">
        <f t="shared" si="159"/>
        <v>0</v>
      </c>
      <c r="CQ134" s="52">
        <f t="shared" si="160"/>
        <v>0</v>
      </c>
      <c r="CR134" s="72">
        <f t="shared" si="154"/>
        <v>0</v>
      </c>
      <c r="CS134" s="5">
        <f t="shared" si="154"/>
        <v>0</v>
      </c>
      <c r="CT134" s="52">
        <f t="shared" si="161"/>
        <v>0</v>
      </c>
      <c r="CU134" s="77">
        <f t="shared" si="162"/>
        <v>0</v>
      </c>
      <c r="CV134" s="65">
        <f t="shared" si="163"/>
        <v>0</v>
      </c>
      <c r="CW134" s="35">
        <f t="shared" si="164"/>
        <v>0</v>
      </c>
      <c r="CX134" s="566"/>
      <c r="CY134" s="566"/>
      <c r="CZ134" s="52">
        <f t="shared" si="165"/>
        <v>0</v>
      </c>
      <c r="DA134" s="150">
        <f>'[2]побудинковий звіт'!DA134</f>
        <v>-5002.1114580439098</v>
      </c>
      <c r="DB134" s="2">
        <v>2</v>
      </c>
      <c r="DC134" s="414">
        <f>'[4]побудинковий звіт'!DC134</f>
        <v>2038.26</v>
      </c>
      <c r="DD134" s="414">
        <f>'[4]побудинковий звіт'!DD134</f>
        <v>0</v>
      </c>
      <c r="DE134" s="557">
        <f>'[4]побудинковий звіт'!DE134</f>
        <v>1797.5083144876608</v>
      </c>
      <c r="DF134" s="557">
        <f>'[4]побудинковий звіт'!DF134</f>
        <v>0</v>
      </c>
      <c r="DG134" s="321">
        <f>VLOOKUP(A134,'кошти 01.03.2021'!$A$6:$D$401,4,)</f>
        <v>-4115.4040233134519</v>
      </c>
      <c r="DH134" s="40">
        <f>'[3]побудинковий звіт'!DJ134</f>
        <v>2742.4153682299902</v>
      </c>
      <c r="DI134" s="422">
        <f>'[3]побудинковий звіт'!CU134+'[3]побудинковий звіт'!CX134</f>
        <v>240.75168551233926</v>
      </c>
      <c r="DJ134" s="306">
        <f>'[3]побудинковий звіт'!DM134</f>
        <v>1.8142553542753523</v>
      </c>
      <c r="DK134" s="306">
        <f t="shared" si="168"/>
        <v>1.8142553542753523</v>
      </c>
      <c r="DL134" s="306">
        <f>'[3]побудинковий звіт'!DO134</f>
        <v>1.8142553542753523</v>
      </c>
      <c r="DM134" s="28">
        <f t="shared" si="169"/>
        <v>240.75168551233924</v>
      </c>
      <c r="DN134" s="28">
        <f t="shared" si="170"/>
        <v>0</v>
      </c>
      <c r="DO134" s="423">
        <f t="shared" si="105"/>
        <v>240.75168551233924</v>
      </c>
      <c r="DP134" s="94">
        <f t="shared" si="106"/>
        <v>0</v>
      </c>
      <c r="DQ134" s="28">
        <f t="shared" si="107"/>
        <v>240.75168551233924</v>
      </c>
      <c r="DR134" s="318"/>
      <c r="DT134" s="8"/>
      <c r="DU134" s="5"/>
      <c r="DX134" s="5">
        <f t="shared" si="108"/>
        <v>0</v>
      </c>
      <c r="DY134" s="5">
        <f t="shared" si="109"/>
        <v>0</v>
      </c>
      <c r="DZ134" s="159">
        <f>'[3]побудинковий звіт'!EA134</f>
        <v>163.79126942930242</v>
      </c>
    </row>
    <row r="135" spans="1:130" x14ac:dyDescent="0.3">
      <c r="A135" s="325">
        <v>150000587</v>
      </c>
      <c r="B135" s="41" t="s">
        <v>584</v>
      </c>
      <c r="C135" s="42" t="s">
        <v>83</v>
      </c>
      <c r="D135" s="42"/>
      <c r="E135" s="293">
        <f t="shared" si="149"/>
        <v>121</v>
      </c>
      <c r="F135" s="305">
        <f>'[3]побудинковий звіт'!F135</f>
        <v>121</v>
      </c>
      <c r="G135" s="508">
        <f>'[3]побудинковий звіт'!G135</f>
        <v>0</v>
      </c>
      <c r="H135" s="560">
        <f>'[3]побудинковий звіт'!H135</f>
        <v>0</v>
      </c>
      <c r="I135" s="566"/>
      <c r="J135" s="566"/>
      <c r="K135" s="52">
        <f t="shared" si="155"/>
        <v>0</v>
      </c>
      <c r="L135" s="566"/>
      <c r="M135" s="566"/>
      <c r="N135" s="52">
        <f t="shared" si="156"/>
        <v>0</v>
      </c>
      <c r="O135" s="566"/>
      <c r="P135" s="566"/>
      <c r="Q135" s="70"/>
      <c r="R135" s="566"/>
      <c r="S135" s="566"/>
      <c r="T135" s="70"/>
      <c r="U135" s="566"/>
      <c r="V135" s="566"/>
      <c r="W135" s="70"/>
      <c r="X135" s="566"/>
      <c r="Y135" s="566"/>
      <c r="Z135" s="70"/>
      <c r="AA135" s="566"/>
      <c r="AB135" s="566"/>
      <c r="AC135" s="70"/>
      <c r="AD135" s="566"/>
      <c r="AE135" s="566"/>
      <c r="AF135" s="68"/>
      <c r="AG135" s="77">
        <f t="shared" si="150"/>
        <v>0</v>
      </c>
      <c r="AH135" s="53">
        <f t="shared" si="150"/>
        <v>0</v>
      </c>
      <c r="AI135" s="52">
        <f t="shared" si="157"/>
        <v>0</v>
      </c>
      <c r="AJ135" s="566"/>
      <c r="AK135" s="566"/>
      <c r="AL135" s="70"/>
      <c r="AM135" s="566"/>
      <c r="AN135" s="566"/>
      <c r="AO135" s="70"/>
      <c r="AP135" s="566"/>
      <c r="AQ135" s="566"/>
      <c r="AR135" s="70"/>
      <c r="AS135" s="566"/>
      <c r="AT135" s="566"/>
      <c r="AU135" s="78"/>
      <c r="AV135" s="566"/>
      <c r="AW135" s="566"/>
      <c r="AX135" s="55"/>
      <c r="AY135" s="566"/>
      <c r="AZ135" s="566"/>
      <c r="BA135" s="38"/>
      <c r="BB135" s="566"/>
      <c r="BC135" s="566"/>
      <c r="BD135" s="55"/>
      <c r="BE135" s="566"/>
      <c r="BF135" s="566"/>
      <c r="BG135" s="55"/>
      <c r="BH135" s="566"/>
      <c r="BI135" s="566"/>
      <c r="BJ135" s="55"/>
      <c r="BK135" s="566"/>
      <c r="BL135" s="566"/>
      <c r="BM135" s="55"/>
      <c r="BN135" s="566"/>
      <c r="BO135" s="566"/>
      <c r="BP135" s="55"/>
      <c r="BQ135" s="77">
        <f t="shared" si="151"/>
        <v>0</v>
      </c>
      <c r="BR135" s="40">
        <f t="shared" si="152"/>
        <v>0</v>
      </c>
      <c r="BS135" s="55">
        <f t="shared" si="166"/>
        <v>0</v>
      </c>
      <c r="BT135" s="566"/>
      <c r="BU135" s="566"/>
      <c r="BV135" s="70"/>
      <c r="BW135" s="566"/>
      <c r="BX135" s="566"/>
      <c r="BY135" s="70"/>
      <c r="BZ135" s="566"/>
      <c r="CA135" s="566"/>
      <c r="CB135" s="70"/>
      <c r="CC135" s="566"/>
      <c r="CD135" s="566"/>
      <c r="CE135" s="70"/>
      <c r="CF135" s="566"/>
      <c r="CG135" s="566"/>
      <c r="CH135" s="70"/>
      <c r="CI135" s="566"/>
      <c r="CJ135" s="566"/>
      <c r="CK135" s="70"/>
      <c r="CL135" s="566"/>
      <c r="CM135" s="566"/>
      <c r="CN135" s="52">
        <f t="shared" si="158"/>
        <v>0</v>
      </c>
      <c r="CO135" s="39">
        <f t="shared" si="153"/>
        <v>0</v>
      </c>
      <c r="CP135" s="40">
        <f t="shared" si="159"/>
        <v>0</v>
      </c>
      <c r="CQ135" s="52">
        <f t="shared" si="160"/>
        <v>0</v>
      </c>
      <c r="CR135" s="72">
        <f t="shared" si="154"/>
        <v>0</v>
      </c>
      <c r="CS135" s="5">
        <f t="shared" si="154"/>
        <v>0</v>
      </c>
      <c r="CT135" s="52">
        <f t="shared" si="161"/>
        <v>0</v>
      </c>
      <c r="CU135" s="77">
        <f t="shared" si="162"/>
        <v>0</v>
      </c>
      <c r="CV135" s="65">
        <f t="shared" si="163"/>
        <v>0</v>
      </c>
      <c r="CW135" s="35">
        <f t="shared" si="164"/>
        <v>0</v>
      </c>
      <c r="CX135" s="566"/>
      <c r="CY135" s="566"/>
      <c r="CZ135" s="52">
        <f t="shared" si="165"/>
        <v>0</v>
      </c>
      <c r="DA135" s="150">
        <f>'[2]побудинковий звіт'!DA135</f>
        <v>-4675.9521001685152</v>
      </c>
      <c r="DB135" s="2">
        <v>3</v>
      </c>
      <c r="DC135" s="414">
        <f>'[4]побудинковий звіт'!DC135</f>
        <v>1544.01</v>
      </c>
      <c r="DD135" s="414">
        <f>'[4]побудинковий звіт'!DD135</f>
        <v>0</v>
      </c>
      <c r="DE135" s="557">
        <f>'[4]побудинковий звіт'!DE135</f>
        <v>1342.0909072817633</v>
      </c>
      <c r="DF135" s="557">
        <f>'[4]побудинковий звіт'!DF135</f>
        <v>0</v>
      </c>
      <c r="DG135" s="321">
        <f>VLOOKUP(A135,'кошти 01.03.2021'!$A$6:$D$401,4,)</f>
        <v>-3667.5691949163597</v>
      </c>
      <c r="DH135" s="40">
        <f>'[3]побудинковий звіт'!DJ135</f>
        <v>2302.6189530317274</v>
      </c>
      <c r="DI135" s="422">
        <f>'[3]побудинковий звіт'!CU135+'[3]побудинковий звіт'!CX135</f>
        <v>201.91909271823667</v>
      </c>
      <c r="DJ135" s="306">
        <f>'[3]побудинковий звіт'!DM135</f>
        <v>1.6687528323821212</v>
      </c>
      <c r="DK135" s="306">
        <f t="shared" si="168"/>
        <v>1.6687528323821212</v>
      </c>
      <c r="DL135" s="306">
        <f>'[3]побудинковий звіт'!DO135</f>
        <v>1.6687528323821212</v>
      </c>
      <c r="DM135" s="28">
        <f t="shared" si="169"/>
        <v>201.91909271823667</v>
      </c>
      <c r="DN135" s="28">
        <f t="shared" si="170"/>
        <v>0</v>
      </c>
      <c r="DO135" s="423">
        <f t="shared" si="105"/>
        <v>201.91909271823667</v>
      </c>
      <c r="DP135" s="94">
        <f t="shared" si="106"/>
        <v>0</v>
      </c>
      <c r="DQ135" s="28">
        <f t="shared" si="107"/>
        <v>201.91909271823667</v>
      </c>
      <c r="DR135" s="318"/>
      <c r="DT135" s="8"/>
      <c r="DU135" s="5"/>
      <c r="DX135" s="5">
        <f t="shared" si="108"/>
        <v>0</v>
      </c>
      <c r="DY135" s="5">
        <f t="shared" si="109"/>
        <v>0</v>
      </c>
      <c r="DZ135" s="159">
        <f>'[3]побудинковий звіт'!EA135</f>
        <v>168.43276570235642</v>
      </c>
    </row>
    <row r="136" spans="1:130" x14ac:dyDescent="0.3">
      <c r="A136" s="325">
        <v>150000590</v>
      </c>
      <c r="B136" s="41" t="s">
        <v>585</v>
      </c>
      <c r="C136" s="42" t="s">
        <v>164</v>
      </c>
      <c r="D136" s="42"/>
      <c r="E136" s="293">
        <f t="shared" si="149"/>
        <v>373.5</v>
      </c>
      <c r="F136" s="305">
        <f>'[3]побудинковий звіт'!F136</f>
        <v>373.5</v>
      </c>
      <c r="G136" s="508">
        <f>'[3]побудинковий звіт'!G136</f>
        <v>0</v>
      </c>
      <c r="H136" s="560">
        <f>'[3]побудинковий звіт'!H136</f>
        <v>0</v>
      </c>
      <c r="I136" s="566">
        <f>VLOOKUP($A136,'01-02.2021'!$A$6:$CZ$403,9,FALSE)+VLOOKUP($A136,'1.3.21-28.2.22'!$A$6:$DA$404,9,FALSE)-VLOOKUP($A136,'01-02.2022'!$A$6:$DA$376,9,FALSE)</f>
        <v>1956.5874225201769</v>
      </c>
      <c r="J136" s="566">
        <f>VLOOKUP($A136,'01-02.2021'!$A$6:$CZ$403,10,FALSE)+VLOOKUP($A136,'1.3.21-28.2.22'!$A$6:$DA$404,10,FALSE)-VLOOKUP($A136,'01-02.2022'!$A$6:$DA$376,10,FALSE)</f>
        <v>1880.4290439893302</v>
      </c>
      <c r="K136" s="52">
        <f t="shared" si="155"/>
        <v>-76.158378530846676</v>
      </c>
      <c r="L136" s="566">
        <f>VLOOKUP($A136,'01-02.2021'!$A$6:$CZ$403,12,FALSE)+VLOOKUP($A136,'1.3.21-28.2.22'!$A$6:$DA$404,12,FALSE)-VLOOKUP($A136,'01-02.2022'!$A$6:$DA$376,12,FALSE)</f>
        <v>407.9169524184756</v>
      </c>
      <c r="M136" s="566">
        <f>VLOOKUP($A136,'01-02.2021'!$A$6:$CZ$403,13,FALSE)+VLOOKUP($A136,'1.3.21-28.2.22'!$A$6:$DA$404,13,FALSE)-VLOOKUP($A136,'01-02.2022'!$A$6:$DA$376,13,FALSE)</f>
        <v>407.29312972892114</v>
      </c>
      <c r="N136" s="52">
        <f t="shared" si="156"/>
        <v>-0.62382268955445852</v>
      </c>
      <c r="O136" s="566">
        <f>VLOOKUP($A136,'01-02.2021'!$A$6:$CZ$403,15,FALSE)+VLOOKUP($A136,'1.3.21-28.2.22'!$A$6:$DA$404,15,FALSE)-VLOOKUP($A136,'01-02.2022'!$A$6:$DA$376,15,FALSE)</f>
        <v>0</v>
      </c>
      <c r="P136" s="566">
        <f>VLOOKUP($A136,'01-02.2021'!$A$6:$CZ$403,16,FALSE)+VLOOKUP($A136,'1.3.21-28.2.22'!$A$6:$DA$404,16,FALSE)-VLOOKUP($A136,'01-02.2022'!$A$6:$DA$376,16,FALSE)</f>
        <v>0</v>
      </c>
      <c r="Q136" s="70">
        <f t="shared" si="111"/>
        <v>0</v>
      </c>
      <c r="R136" s="566">
        <f>VLOOKUP($A136,'01-02.2021'!$A$6:$CZ$403,18,FALSE)+VLOOKUP($A136,'1.3.21-28.2.22'!$A$6:$DA$404,18,FALSE)-VLOOKUP($A136,'01-02.2022'!$A$6:$DA$376,18,FALSE)</f>
        <v>0</v>
      </c>
      <c r="S136" s="566">
        <f>VLOOKUP($A136,'01-02.2021'!$A$6:$CZ$403,19,FALSE)+VLOOKUP($A136,'1.3.21-28.2.22'!$A$6:$DA$404,19,FALSE)-VLOOKUP($A136,'01-02.2022'!$A$6:$DA$376,19,FALSE)</f>
        <v>0</v>
      </c>
      <c r="T136" s="70">
        <f t="shared" si="112"/>
        <v>0</v>
      </c>
      <c r="U136" s="566">
        <f>VLOOKUP($A136,'01-02.2021'!$A$6:$CZ$403,21,FALSE)+VLOOKUP($A136,'1.3.21-28.2.22'!$A$6:$DA$404,21,FALSE)-VLOOKUP($A136,'01-02.2022'!$A$6:$DA$376,21,FALSE)</f>
        <v>0</v>
      </c>
      <c r="V136" s="566">
        <f>VLOOKUP($A136,'01-02.2021'!$A$6:$CZ$403,22,FALSE)+VLOOKUP($A136,'1.3.21-28.2.22'!$A$6:$DA$404,22,FALSE)-VLOOKUP($A136,'01-02.2022'!$A$6:$DA$376,22,FALSE)</f>
        <v>0</v>
      </c>
      <c r="W136" s="70">
        <f t="shared" si="113"/>
        <v>0</v>
      </c>
      <c r="X136" s="566">
        <f>VLOOKUP($A136,'01-02.2021'!$A$6:$CZ$403,24,FALSE)+VLOOKUP($A136,'1.3.21-28.2.22'!$A$6:$DA$404,24,FALSE)-VLOOKUP($A136,'01-02.2022'!$A$6:$DA$376,24,FALSE)</f>
        <v>586.82011386523436</v>
      </c>
      <c r="Y136" s="566">
        <f>VLOOKUP($A136,'01-02.2021'!$A$6:$CZ$403,25,FALSE)+VLOOKUP($A136,'1.3.21-28.2.22'!$A$6:$DA$404,25,FALSE)-VLOOKUP($A136,'01-02.2022'!$A$6:$DA$376,25,FALSE)</f>
        <v>508.78680619872745</v>
      </c>
      <c r="Z136" s="70">
        <f t="shared" si="114"/>
        <v>-78.033307666506914</v>
      </c>
      <c r="AA136" s="566">
        <f>VLOOKUP($A136,'01-02.2021'!$A$6:$CZ$403,27,FALSE)+VLOOKUP($A136,'1.3.21-28.2.22'!$A$6:$DA$404,27,FALSE)-VLOOKUP($A136,'01-02.2022'!$A$6:$DA$376,27,FALSE)</f>
        <v>74.740000000000009</v>
      </c>
      <c r="AB136" s="566">
        <f>VLOOKUP($A136,'01-02.2021'!$A$6:$CZ$403,28,FALSE)+VLOOKUP($A136,'1.3.21-28.2.22'!$A$6:$DA$404,28,FALSE)-VLOOKUP($A136,'01-02.2022'!$A$6:$DA$376,28,FALSE)</f>
        <v>0</v>
      </c>
      <c r="AC136" s="70">
        <f t="shared" si="115"/>
        <v>-74.740000000000009</v>
      </c>
      <c r="AD136" s="566">
        <f>VLOOKUP($A136,'01-02.2021'!$A$6:$CZ$403,30,FALSE)+VLOOKUP($A136,'1.3.21-28.2.22'!$A$6:$DA$404,30,FALSE)-VLOOKUP($A136,'01-02.2022'!$A$6:$DA$376,30,FALSE)</f>
        <v>1529.8616674025209</v>
      </c>
      <c r="AE136" s="566">
        <f>VLOOKUP($A136,'01-02.2021'!$A$6:$CZ$403,31,FALSE)+VLOOKUP($A136,'1.3.21-28.2.22'!$A$6:$DA$404,31,FALSE)-VLOOKUP($A136,'01-02.2022'!$A$6:$DA$376,31,FALSE)</f>
        <v>1700.187049155508</v>
      </c>
      <c r="AF136" s="68">
        <f t="shared" si="116"/>
        <v>170.32538175298714</v>
      </c>
      <c r="AG136" s="77">
        <f t="shared" si="150"/>
        <v>4555.9261562064075</v>
      </c>
      <c r="AH136" s="53">
        <f t="shared" si="150"/>
        <v>4496.6960290724865</v>
      </c>
      <c r="AI136" s="52">
        <f t="shared" si="157"/>
        <v>-59.230127133921087</v>
      </c>
      <c r="AJ136" s="566">
        <f>VLOOKUP($A136,'01-02.2021'!$A$6:$CZ$403,36,FALSE)+VLOOKUP($A136,'1.3.21-28.2.22'!$A$6:$DA$404,36,FALSE)-VLOOKUP($A136,'01-02.2022'!$A$6:$DA$376,36,FALSE)</f>
        <v>0</v>
      </c>
      <c r="AK136" s="566">
        <f>VLOOKUP($A136,'01-02.2021'!$A$6:$CZ$403,37,FALSE)+VLOOKUP($A136,'1.3.21-28.2.22'!$A$6:$DA$404,37,FALSE)-VLOOKUP($A136,'01-02.2022'!$A$6:$DA$376,37,FALSE)</f>
        <v>0</v>
      </c>
      <c r="AL136" s="70">
        <f t="shared" si="117"/>
        <v>0</v>
      </c>
      <c r="AM136" s="566">
        <f>VLOOKUP($A136,'01-02.2021'!$A$6:$CZ$403,39,FALSE)+VLOOKUP($A136,'1.3.21-28.2.22'!$A$6:$DA$404,39,FALSE)-VLOOKUP($A136,'01-02.2022'!$A$6:$DA$376,39,FALSE)</f>
        <v>0</v>
      </c>
      <c r="AN136" s="566">
        <f>VLOOKUP($A136,'01-02.2021'!$A$6:$CZ$403,40,FALSE)+VLOOKUP($A136,'1.3.21-28.2.22'!$A$6:$DA$404,40,FALSE)-VLOOKUP($A136,'01-02.2022'!$A$6:$DA$376,40,FALSE)</f>
        <v>0</v>
      </c>
      <c r="AO136" s="70">
        <f t="shared" si="118"/>
        <v>0</v>
      </c>
      <c r="AP136" s="566">
        <f>VLOOKUP($A136,'01-02.2021'!$A$6:$CZ$403,42,FALSE)+VLOOKUP($A136,'1.3.21-28.2.22'!$A$6:$DA$404,42,FALSE)-VLOOKUP($A136,'01-02.2022'!$A$6:$DA$376,42,FALSE)</f>
        <v>1388.1598000340728</v>
      </c>
      <c r="AQ136" s="566">
        <f>VLOOKUP($A136,'01-02.2021'!$A$6:$CZ$403,43,FALSE)+VLOOKUP($A136,'1.3.21-28.2.22'!$A$6:$DA$404,43,FALSE)-VLOOKUP($A136,'01-02.2022'!$A$6:$DA$376,43,FALSE)</f>
        <v>1196.7053312797566</v>
      </c>
      <c r="AR136" s="70">
        <f t="shared" si="119"/>
        <v>-191.45446875431617</v>
      </c>
      <c r="AS136" s="566">
        <f>VLOOKUP($A136,'01-02.2021'!$A$6:$CZ$403,45,FALSE)+VLOOKUP($A136,'1.3.21-28.2.22'!$A$6:$DA$404,45,FALSE)-VLOOKUP($A136,'01-02.2022'!$A$6:$DA$376,45,FALSE)</f>
        <v>3718.7432891410053</v>
      </c>
      <c r="AT136" s="566">
        <f>VLOOKUP($A136,'01-02.2021'!$A$6:$CZ$403,46,FALSE)+VLOOKUP($A136,'1.3.21-28.2.22'!$A$6:$DA$404,46,FALSE)-VLOOKUP($A136,'01-02.2022'!$A$6:$DA$376,46,FALSE)</f>
        <v>1687</v>
      </c>
      <c r="AU136" s="78">
        <f t="shared" si="120"/>
        <v>-2031.7432891410053</v>
      </c>
      <c r="AV136" s="566">
        <f>VLOOKUP($A136,'01-02.2021'!$A$6:$CZ$403,48,FALSE)+VLOOKUP($A136,'1.3.21-28.2.22'!$A$6:$DA$404,48,FALSE)-VLOOKUP($A136,'01-02.2022'!$A$6:$DA$376,48,FALSE)</f>
        <v>595.68913825982827</v>
      </c>
      <c r="AW136" s="566">
        <f>VLOOKUP($A136,'01-02.2021'!$A$6:$CZ$403,49,FALSE)+VLOOKUP($A136,'1.3.21-28.2.22'!$A$6:$DA$404,49,FALSE)-VLOOKUP($A136,'01-02.2022'!$A$6:$DA$376,49,FALSE)</f>
        <v>0</v>
      </c>
      <c r="AX136" s="55">
        <f t="shared" si="121"/>
        <v>-595.68913825982827</v>
      </c>
      <c r="AY136" s="566">
        <f>VLOOKUP($A136,'01-02.2021'!$A$6:$CZ$403,51,FALSE)+VLOOKUP($A136,'1.3.21-28.2.22'!$A$6:$DA$404,51,FALSE)-VLOOKUP($A136,'01-02.2022'!$A$6:$DA$376,51,FALSE)</f>
        <v>767.02240528185325</v>
      </c>
      <c r="AZ136" s="566">
        <f>VLOOKUP($A136,'01-02.2021'!$A$6:$CZ$403,52,FALSE)+VLOOKUP($A136,'1.3.21-28.2.22'!$A$6:$DA$404,52,FALSE)-VLOOKUP($A136,'01-02.2022'!$A$6:$DA$376,52,FALSE)</f>
        <v>0</v>
      </c>
      <c r="BA136" s="38">
        <f t="shared" si="122"/>
        <v>-767.02240528185325</v>
      </c>
      <c r="BB136" s="566">
        <f>VLOOKUP($A136,'01-02.2021'!$A$6:$CZ$403,54,FALSE)+VLOOKUP($A136,'1.3.21-28.2.22'!$A$6:$DA$404,54,FALSE)-VLOOKUP($A136,'01-02.2022'!$A$6:$DA$376,54,FALSE)</f>
        <v>0</v>
      </c>
      <c r="BC136" s="566">
        <f>VLOOKUP($A136,'01-02.2021'!$A$6:$CZ$403,55,FALSE)+VLOOKUP($A136,'1.3.21-28.2.22'!$A$6:$DA$404,55,FALSE)-VLOOKUP($A136,'01-02.2022'!$A$6:$DA$376,55,FALSE)</f>
        <v>0</v>
      </c>
      <c r="BD136" s="55">
        <f t="shared" si="123"/>
        <v>0</v>
      </c>
      <c r="BE136" s="566">
        <f>VLOOKUP($A136,'01-02.2021'!$A$6:$CZ$403,57,FALSE)+VLOOKUP($A136,'1.3.21-28.2.22'!$A$6:$DA$404,57,FALSE)-VLOOKUP($A136,'01-02.2022'!$A$6:$DA$376,57,FALSE)</f>
        <v>0</v>
      </c>
      <c r="BF136" s="566">
        <f>VLOOKUP($A136,'01-02.2021'!$A$6:$CZ$403,58,FALSE)+VLOOKUP($A136,'1.3.21-28.2.22'!$A$6:$DA$404,58,FALSE)-VLOOKUP($A136,'01-02.2022'!$A$6:$DA$376,58,FALSE)</f>
        <v>0</v>
      </c>
      <c r="BG136" s="55">
        <f t="shared" si="124"/>
        <v>0</v>
      </c>
      <c r="BH136" s="566">
        <f>VLOOKUP($A136,'01-02.2021'!$A$6:$CZ$403,60,FALSE)+VLOOKUP($A136,'1.3.21-28.2.22'!$A$6:$DA$404,60,FALSE)-VLOOKUP($A136,'01-02.2022'!$A$6:$DA$376,60,FALSE)</f>
        <v>0</v>
      </c>
      <c r="BI136" s="566">
        <f>VLOOKUP($A136,'01-02.2021'!$A$6:$CZ$403,61,FALSE)+VLOOKUP($A136,'1.3.21-28.2.22'!$A$6:$DA$404,61,FALSE)-VLOOKUP($A136,'01-02.2022'!$A$6:$DA$376,61,FALSE)</f>
        <v>0</v>
      </c>
      <c r="BJ136" s="55">
        <f t="shared" si="125"/>
        <v>0</v>
      </c>
      <c r="BK136" s="566">
        <f>VLOOKUP($A136,'01-02.2021'!$A$6:$CZ$403,63,FALSE)+VLOOKUP($A136,'1.3.21-28.2.22'!$A$6:$DA$404,63,FALSE)-VLOOKUP($A136,'01-02.2022'!$A$6:$DA$376,63,FALSE)</f>
        <v>141.88925005803267</v>
      </c>
      <c r="BL136" s="566">
        <f>VLOOKUP($A136,'01-02.2021'!$A$6:$CZ$403,64,FALSE)+VLOOKUP($A136,'1.3.21-28.2.22'!$A$6:$DA$404,64,FALSE)-VLOOKUP($A136,'01-02.2022'!$A$6:$DA$376,64,FALSE)</f>
        <v>0</v>
      </c>
      <c r="BM136" s="55">
        <f t="shared" si="126"/>
        <v>-141.88925005803267</v>
      </c>
      <c r="BN136" s="566">
        <f>VLOOKUP($A136,'01-02.2021'!$A$6:$CZ$403,66,FALSE)+VLOOKUP($A136,'1.3.21-28.2.22'!$A$6:$DA$404,66,FALSE)-VLOOKUP($A136,'01-02.2022'!$A$6:$DA$376,66,FALSE)</f>
        <v>18.685000000000002</v>
      </c>
      <c r="BO136" s="566">
        <f>VLOOKUP($A136,'01-02.2021'!$A$6:$CZ$403,67,FALSE)+VLOOKUP($A136,'1.3.21-28.2.22'!$A$6:$DA$404,67,FALSE)-VLOOKUP($A136,'01-02.2022'!$A$6:$DA$376,67,FALSE)</f>
        <v>0</v>
      </c>
      <c r="BP136" s="55">
        <f t="shared" si="127"/>
        <v>-18.685000000000002</v>
      </c>
      <c r="BQ136" s="77">
        <f t="shared" si="151"/>
        <v>1523.2857935997142</v>
      </c>
      <c r="BR136" s="40">
        <f t="shared" si="152"/>
        <v>0</v>
      </c>
      <c r="BS136" s="55">
        <f t="shared" si="166"/>
        <v>-1523.2857935997142</v>
      </c>
      <c r="BT136" s="566">
        <f>VLOOKUP($A136,'01-02.2021'!$A$6:$CZ$403,72,FALSE)+VLOOKUP($A136,'1.3.21-28.2.22'!$A$6:$DA$404,72,FALSE)-VLOOKUP($A136,'01-02.2022'!$A$6:$DA$376,72,FALSE)</f>
        <v>195.40392115927961</v>
      </c>
      <c r="BU136" s="566">
        <f>VLOOKUP($A136,'01-02.2021'!$A$6:$CZ$403,73,FALSE)+VLOOKUP($A136,'1.3.21-28.2.22'!$A$6:$DA$404,73,FALSE)-VLOOKUP($A136,'01-02.2022'!$A$6:$DA$376,73,FALSE)</f>
        <v>303.19600404632183</v>
      </c>
      <c r="BV136" s="70">
        <f t="shared" si="128"/>
        <v>107.79208288704223</v>
      </c>
      <c r="BW136" s="566">
        <f>VLOOKUP($A136,'01-02.2021'!$A$6:$CZ$403,75,FALSE)+VLOOKUP($A136,'1.3.21-28.2.22'!$A$6:$DA$404,75,FALSE)-VLOOKUP($A136,'01-02.2022'!$A$6:$DA$376,75,FALSE)</f>
        <v>229.60667123765518</v>
      </c>
      <c r="BX136" s="566">
        <f>VLOOKUP($A136,'01-02.2021'!$A$6:$CZ$403,76,FALSE)+VLOOKUP($A136,'1.3.21-28.2.22'!$A$6:$DA$404,76,FALSE)-VLOOKUP($A136,'01-02.2022'!$A$6:$DA$376,76,FALSE)</f>
        <v>973.28540066750679</v>
      </c>
      <c r="BY136" s="70">
        <f t="shared" si="129"/>
        <v>743.67872942985161</v>
      </c>
      <c r="BZ136" s="566">
        <f>VLOOKUP($A136,'01-02.2021'!$A$6:$CZ$403,78,FALSE)+VLOOKUP($A136,'1.3.21-28.2.22'!$A$6:$DA$404,78,FALSE)-VLOOKUP($A136,'01-02.2022'!$A$6:$DA$376,78,FALSE)</f>
        <v>160.70360416806608</v>
      </c>
      <c r="CA136" s="566">
        <f>VLOOKUP($A136,'01-02.2021'!$A$6:$CZ$403,79,FALSE)+VLOOKUP($A136,'1.3.21-28.2.22'!$A$6:$DA$404,79,FALSE)-VLOOKUP($A136,'01-02.2022'!$A$6:$DA$376,79,FALSE)</f>
        <v>18.486439758283353</v>
      </c>
      <c r="CB136" s="70">
        <f t="shared" si="130"/>
        <v>-142.21716440978273</v>
      </c>
      <c r="CC136" s="566">
        <f>VLOOKUP($A136,'01-02.2021'!$A$6:$CZ$403,81,FALSE)+VLOOKUP($A136,'1.3.21-28.2.22'!$A$6:$DA$404,81,FALSE)-VLOOKUP($A136,'01-02.2022'!$A$6:$DA$376,81,FALSE)</f>
        <v>276.42232264986046</v>
      </c>
      <c r="CD136" s="566">
        <f>VLOOKUP($A136,'01-02.2021'!$A$6:$CZ$403,82,FALSE)+VLOOKUP($A136,'1.3.21-28.2.22'!$A$6:$DA$404,82,FALSE)-VLOOKUP($A136,'01-02.2022'!$A$6:$DA$376,82,FALSE)</f>
        <v>302.12766910452018</v>
      </c>
      <c r="CE136" s="70">
        <f t="shared" si="131"/>
        <v>25.705346454659718</v>
      </c>
      <c r="CF136" s="566">
        <f>VLOOKUP($A136,'01-02.2021'!$A$6:$CZ$403,84,FALSE)+VLOOKUP($A136,'1.3.21-28.2.22'!$A$6:$DA$404,84,FALSE)-VLOOKUP($A136,'01-02.2022'!$A$6:$DA$376,84,FALSE)</f>
        <v>33.604827359298632</v>
      </c>
      <c r="CG136" s="566">
        <f>VLOOKUP($A136,'01-02.2021'!$A$6:$CZ$403,85,FALSE)+VLOOKUP($A136,'1.3.21-28.2.22'!$A$6:$DA$404,85,FALSE)-VLOOKUP($A136,'01-02.2022'!$A$6:$DA$376,85,FALSE)</f>
        <v>0</v>
      </c>
      <c r="CH136" s="70">
        <f t="shared" si="132"/>
        <v>-33.604827359298632</v>
      </c>
      <c r="CI136" s="566">
        <f>VLOOKUP($A136,'01-02.2021'!$A$6:$CZ$403,87,FALSE)+VLOOKUP($A136,'1.3.21-28.2.22'!$A$6:$DA$404,87,FALSE)-VLOOKUP($A136,'01-02.2022'!$A$6:$DA$376,87,FALSE)</f>
        <v>88.768556353362101</v>
      </c>
      <c r="CJ136" s="566">
        <f>VLOOKUP($A136,'01-02.2021'!$A$6:$CZ$403,88,FALSE)+VLOOKUP($A136,'1.3.21-28.2.22'!$A$6:$DA$404,88,FALSE)-VLOOKUP($A136,'01-02.2022'!$A$6:$DA$376,88,FALSE)</f>
        <v>105.5611751041896</v>
      </c>
      <c r="CK136" s="70">
        <f t="shared" si="133"/>
        <v>16.792618750827501</v>
      </c>
      <c r="CL136" s="566">
        <f>VLOOKUP($A136,'01-02.2021'!$A$6:$CZ$403,90,FALSE)+VLOOKUP($A136,'1.3.21-28.2.22'!$A$6:$DA$404,90,FALSE)-VLOOKUP($A136,'01-02.2022'!$A$6:$DA$376,90,FALSE)</f>
        <v>0</v>
      </c>
      <c r="CM136" s="566">
        <f>VLOOKUP($A136,'01-02.2021'!$A$6:$CZ$403,91,FALSE)+VLOOKUP($A136,'1.3.21-28.2.22'!$A$6:$DA$404,91,FALSE)-VLOOKUP($A136,'01-02.2022'!$A$6:$DA$376,91,FALSE)</f>
        <v>0</v>
      </c>
      <c r="CN136" s="52">
        <f t="shared" si="158"/>
        <v>0</v>
      </c>
      <c r="CO136" s="39">
        <f t="shared" si="153"/>
        <v>88.768556353362101</v>
      </c>
      <c r="CP136" s="40">
        <f t="shared" si="159"/>
        <v>105.5611751041896</v>
      </c>
      <c r="CQ136" s="52">
        <f t="shared" si="160"/>
        <v>16.792618750827501</v>
      </c>
      <c r="CR136" s="72">
        <f t="shared" si="154"/>
        <v>12170.624941908722</v>
      </c>
      <c r="CS136" s="5">
        <f t="shared" si="154"/>
        <v>9083.0580490330649</v>
      </c>
      <c r="CT136" s="52">
        <f t="shared" si="161"/>
        <v>-3087.5668928756568</v>
      </c>
      <c r="CU136" s="77">
        <f t="shared" si="162"/>
        <v>14604.749930290465</v>
      </c>
      <c r="CV136" s="65">
        <f t="shared" si="163"/>
        <v>10899.669658839677</v>
      </c>
      <c r="CW136" s="35">
        <f t="shared" si="164"/>
        <v>-3705.0802714507881</v>
      </c>
      <c r="CX136" s="566">
        <f>VLOOKUP($A136,'01-02.2021'!$A$6:$CZ$403,102,FALSE)+VLOOKUP($A136,'1.3.21-28.2.22'!$A$6:$DA$404,102,FALSE)-VLOOKUP($A136,'01-02.2022'!$A$6:$DA$376,102,FALSE)</f>
        <v>509.08939984870887</v>
      </c>
      <c r="CY136" s="566">
        <f>VLOOKUP($A136,'01-02.2021'!$A$6:$CZ$403,103,FALSE)+VLOOKUP($A136,'1.3.21-28.2.22'!$A$6:$DA$404,103,FALSE)-VLOOKUP($A136,'01-02.2022'!$A$6:$DA$376,103,FALSE)</f>
        <v>4214.1696712994981</v>
      </c>
      <c r="CZ136" s="52">
        <f t="shared" si="165"/>
        <v>3705.080271450789</v>
      </c>
      <c r="DA136" s="150">
        <f>'[2]побудинковий звіт'!DA136</f>
        <v>-4325.2123192177769</v>
      </c>
      <c r="DB136" s="2">
        <v>3</v>
      </c>
      <c r="DC136" s="414">
        <f>'[4]побудинковий звіт'!DC136</f>
        <v>1710.79</v>
      </c>
      <c r="DD136" s="414">
        <f>'[4]побудинковий звіт'!DD136</f>
        <v>0</v>
      </c>
      <c r="DE136" s="557">
        <f>'[4]побудинковий звіт'!DE136</f>
        <v>336.56969316961977</v>
      </c>
      <c r="DF136" s="557">
        <f>'[4]побудинковий звіт'!DF136</f>
        <v>0</v>
      </c>
      <c r="DG136" s="321">
        <f>VLOOKUP(A136,'кошти 01.03.2021'!$A$6:$D$401,4,)</f>
        <v>2037.4460975192474</v>
      </c>
      <c r="DH136" s="40">
        <f>'[3]побудинковий звіт'!DJ136</f>
        <v>15656.590981813724</v>
      </c>
      <c r="DI136" s="422">
        <f>'[3]побудинковий звіт'!CU136+'[3]побудинковий звіт'!CX136</f>
        <v>1374.22030683038</v>
      </c>
      <c r="DJ136" s="306">
        <f>'[3]побудинковий звіт'!DM136</f>
        <v>3.6793047036957969</v>
      </c>
      <c r="DK136" s="306">
        <f t="shared" si="168"/>
        <v>3.6793047036957969</v>
      </c>
      <c r="DL136" s="306">
        <f>'[3]побудинковий звіт'!DO136</f>
        <v>3.5831688454069908</v>
      </c>
      <c r="DM136" s="28">
        <f t="shared" si="169"/>
        <v>1374.2203068303802</v>
      </c>
      <c r="DN136" s="28">
        <f t="shared" si="170"/>
        <v>0</v>
      </c>
      <c r="DO136" s="423">
        <f t="shared" ref="DO136:DO199" si="171">DM136+DN136</f>
        <v>1374.2203068303802</v>
      </c>
      <c r="DP136" s="94">
        <f t="shared" ref="DP136:DP199" si="172">DI136-DO136</f>
        <v>0</v>
      </c>
      <c r="DQ136" s="28">
        <f t="shared" ref="DQ136:DQ199" si="173">DM136+DN136</f>
        <v>1374.2203068303802</v>
      </c>
      <c r="DR136" s="318"/>
      <c r="DT136" s="8"/>
      <c r="DU136" s="5"/>
      <c r="DX136" s="5">
        <f t="shared" ref="DX136:DX199" si="174">(AS136+BQ136)*1.2</f>
        <v>6290.4348992888636</v>
      </c>
      <c r="DY136" s="5">
        <f t="shared" ref="DY136:DY199" si="175">(AT136+BR136)*1.2</f>
        <v>2024.3999999999999</v>
      </c>
      <c r="DZ136" s="159">
        <f>'[3]побудинковий звіт'!EA136</f>
        <v>578.08243605339692</v>
      </c>
    </row>
    <row r="137" spans="1:130" x14ac:dyDescent="0.3">
      <c r="A137" s="325">
        <v>150000578</v>
      </c>
      <c r="B137" s="41" t="s">
        <v>586</v>
      </c>
      <c r="C137" s="42" t="s">
        <v>84</v>
      </c>
      <c r="D137" s="42"/>
      <c r="E137" s="293">
        <f t="shared" si="149"/>
        <v>173.75</v>
      </c>
      <c r="F137" s="305">
        <f>'[3]побудинковий звіт'!F137</f>
        <v>173.75</v>
      </c>
      <c r="G137" s="508">
        <f>'[3]побудинковий звіт'!G137</f>
        <v>0</v>
      </c>
      <c r="H137" s="560">
        <f>'[3]побудинковий звіт'!H137</f>
        <v>0</v>
      </c>
      <c r="I137" s="566">
        <f>VLOOKUP($A137,'01-02.2021'!$A$6:$CZ$403,9,FALSE)+VLOOKUP($A137,'1.3.21-28.2.22'!$A$6:$DA$404,9,FALSE)-VLOOKUP($A137,'01-02.2022'!$A$6:$DA$376,9,FALSE)</f>
        <v>0</v>
      </c>
      <c r="J137" s="566">
        <f>VLOOKUP($A137,'01-02.2021'!$A$6:$CZ$403,10,FALSE)+VLOOKUP($A137,'1.3.21-28.2.22'!$A$6:$DA$404,10,FALSE)-VLOOKUP($A137,'01-02.2022'!$A$6:$DA$376,10,FALSE)</f>
        <v>0</v>
      </c>
      <c r="K137" s="52">
        <f t="shared" si="155"/>
        <v>0</v>
      </c>
      <c r="L137" s="566">
        <f>VLOOKUP($A137,'01-02.2021'!$A$6:$CZ$403,12,FALSE)+VLOOKUP($A137,'1.3.21-28.2.22'!$A$6:$DA$404,12,FALSE)-VLOOKUP($A137,'01-02.2022'!$A$6:$DA$376,12,FALSE)</f>
        <v>0</v>
      </c>
      <c r="M137" s="566">
        <f>VLOOKUP($A137,'01-02.2021'!$A$6:$CZ$403,13,FALSE)+VLOOKUP($A137,'1.3.21-28.2.22'!$A$6:$DA$404,13,FALSE)-VLOOKUP($A137,'01-02.2022'!$A$6:$DA$376,13,FALSE)</f>
        <v>0</v>
      </c>
      <c r="N137" s="52">
        <f t="shared" si="156"/>
        <v>0</v>
      </c>
      <c r="O137" s="566">
        <f>VLOOKUP($A137,'01-02.2021'!$A$6:$CZ$403,15,FALSE)+VLOOKUP($A137,'1.3.21-28.2.22'!$A$6:$DA$404,15,FALSE)-VLOOKUP($A137,'01-02.2022'!$A$6:$DA$376,15,FALSE)</f>
        <v>0</v>
      </c>
      <c r="P137" s="566">
        <f>VLOOKUP($A137,'01-02.2021'!$A$6:$CZ$403,16,FALSE)+VLOOKUP($A137,'1.3.21-28.2.22'!$A$6:$DA$404,16,FALSE)-VLOOKUP($A137,'01-02.2022'!$A$6:$DA$376,16,FALSE)</f>
        <v>0</v>
      </c>
      <c r="Q137" s="70">
        <f t="shared" si="111"/>
        <v>0</v>
      </c>
      <c r="R137" s="566">
        <f>VLOOKUP($A137,'01-02.2021'!$A$6:$CZ$403,18,FALSE)+VLOOKUP($A137,'1.3.21-28.2.22'!$A$6:$DA$404,18,FALSE)-VLOOKUP($A137,'01-02.2022'!$A$6:$DA$376,18,FALSE)</f>
        <v>0</v>
      </c>
      <c r="S137" s="566">
        <f>VLOOKUP($A137,'01-02.2021'!$A$6:$CZ$403,19,FALSE)+VLOOKUP($A137,'1.3.21-28.2.22'!$A$6:$DA$404,19,FALSE)-VLOOKUP($A137,'01-02.2022'!$A$6:$DA$376,19,FALSE)</f>
        <v>0</v>
      </c>
      <c r="T137" s="70">
        <f t="shared" si="112"/>
        <v>0</v>
      </c>
      <c r="U137" s="566">
        <f>VLOOKUP($A137,'01-02.2021'!$A$6:$CZ$403,21,FALSE)+VLOOKUP($A137,'1.3.21-28.2.22'!$A$6:$DA$404,21,FALSE)-VLOOKUP($A137,'01-02.2022'!$A$6:$DA$376,21,FALSE)</f>
        <v>0</v>
      </c>
      <c r="V137" s="566">
        <f>VLOOKUP($A137,'01-02.2021'!$A$6:$CZ$403,22,FALSE)+VLOOKUP($A137,'1.3.21-28.2.22'!$A$6:$DA$404,22,FALSE)-VLOOKUP($A137,'01-02.2022'!$A$6:$DA$376,22,FALSE)</f>
        <v>0</v>
      </c>
      <c r="W137" s="70">
        <f t="shared" si="113"/>
        <v>0</v>
      </c>
      <c r="X137" s="566">
        <f>VLOOKUP($A137,'01-02.2021'!$A$6:$CZ$403,24,FALSE)+VLOOKUP($A137,'1.3.21-28.2.22'!$A$6:$DA$404,24,FALSE)-VLOOKUP($A137,'01-02.2022'!$A$6:$DA$376,24,FALSE)</f>
        <v>0</v>
      </c>
      <c r="Y137" s="566">
        <f>VLOOKUP($A137,'01-02.2021'!$A$6:$CZ$403,25,FALSE)+VLOOKUP($A137,'1.3.21-28.2.22'!$A$6:$DA$404,25,FALSE)-VLOOKUP($A137,'01-02.2022'!$A$6:$DA$376,25,FALSE)</f>
        <v>0</v>
      </c>
      <c r="Z137" s="70">
        <f t="shared" si="114"/>
        <v>0</v>
      </c>
      <c r="AA137" s="566">
        <f>VLOOKUP($A137,'01-02.2021'!$A$6:$CZ$403,27,FALSE)+VLOOKUP($A137,'1.3.21-28.2.22'!$A$6:$DA$404,27,FALSE)-VLOOKUP($A137,'01-02.2022'!$A$6:$DA$376,27,FALSE)</f>
        <v>34.75</v>
      </c>
      <c r="AB137" s="566">
        <f>VLOOKUP($A137,'01-02.2021'!$A$6:$CZ$403,28,FALSE)+VLOOKUP($A137,'1.3.21-28.2.22'!$A$6:$DA$404,28,FALSE)-VLOOKUP($A137,'01-02.2022'!$A$6:$DA$376,28,FALSE)</f>
        <v>0</v>
      </c>
      <c r="AC137" s="70">
        <f t="shared" si="115"/>
        <v>-34.75</v>
      </c>
      <c r="AD137" s="566">
        <f>VLOOKUP($A137,'01-02.2021'!$A$6:$CZ$403,30,FALSE)+VLOOKUP($A137,'1.3.21-28.2.22'!$A$6:$DA$404,30,FALSE)-VLOOKUP($A137,'01-02.2022'!$A$6:$DA$376,30,FALSE)</f>
        <v>260.99770219897118</v>
      </c>
      <c r="AE137" s="566">
        <f>VLOOKUP($A137,'01-02.2021'!$A$6:$CZ$403,31,FALSE)+VLOOKUP($A137,'1.3.21-28.2.22'!$A$6:$DA$404,31,FALSE)-VLOOKUP($A137,'01-02.2022'!$A$6:$DA$376,31,FALSE)</f>
        <v>790.91700077849941</v>
      </c>
      <c r="AF137" s="68">
        <f t="shared" si="116"/>
        <v>529.91929857952823</v>
      </c>
      <c r="AG137" s="77">
        <f t="shared" si="150"/>
        <v>295.74770219897118</v>
      </c>
      <c r="AH137" s="53">
        <f t="shared" si="150"/>
        <v>790.91700077849941</v>
      </c>
      <c r="AI137" s="52">
        <f t="shared" si="157"/>
        <v>495.16929857952823</v>
      </c>
      <c r="AJ137" s="566">
        <f>VLOOKUP($A137,'01-02.2021'!$A$6:$CZ$403,36,FALSE)+VLOOKUP($A137,'1.3.21-28.2.22'!$A$6:$DA$404,36,FALSE)-VLOOKUP($A137,'01-02.2022'!$A$6:$DA$376,36,FALSE)</f>
        <v>0</v>
      </c>
      <c r="AK137" s="566">
        <f>VLOOKUP($A137,'01-02.2021'!$A$6:$CZ$403,37,FALSE)+VLOOKUP($A137,'1.3.21-28.2.22'!$A$6:$DA$404,37,FALSE)-VLOOKUP($A137,'01-02.2022'!$A$6:$DA$376,37,FALSE)</f>
        <v>0</v>
      </c>
      <c r="AL137" s="70">
        <f t="shared" si="117"/>
        <v>0</v>
      </c>
      <c r="AM137" s="566">
        <f>VLOOKUP($A137,'01-02.2021'!$A$6:$CZ$403,39,FALSE)+VLOOKUP($A137,'1.3.21-28.2.22'!$A$6:$DA$404,39,FALSE)-VLOOKUP($A137,'01-02.2022'!$A$6:$DA$376,39,FALSE)</f>
        <v>0</v>
      </c>
      <c r="AN137" s="566">
        <f>VLOOKUP($A137,'01-02.2021'!$A$6:$CZ$403,40,FALSE)+VLOOKUP($A137,'1.3.21-28.2.22'!$A$6:$DA$404,40,FALSE)-VLOOKUP($A137,'01-02.2022'!$A$6:$DA$376,40,FALSE)</f>
        <v>0</v>
      </c>
      <c r="AO137" s="70">
        <f t="shared" si="118"/>
        <v>0</v>
      </c>
      <c r="AP137" s="566">
        <f>VLOOKUP($A137,'01-02.2021'!$A$6:$CZ$403,42,FALSE)+VLOOKUP($A137,'1.3.21-28.2.22'!$A$6:$DA$404,42,FALSE)-VLOOKUP($A137,'01-02.2022'!$A$6:$DA$376,42,FALSE)</f>
        <v>173.51997500425909</v>
      </c>
      <c r="AQ137" s="566">
        <f>VLOOKUP($A137,'01-02.2021'!$A$6:$CZ$403,43,FALSE)+VLOOKUP($A137,'1.3.21-28.2.22'!$A$6:$DA$404,43,FALSE)-VLOOKUP($A137,'01-02.2022'!$A$6:$DA$376,43,FALSE)</f>
        <v>149.58816640996957</v>
      </c>
      <c r="AR137" s="70">
        <f t="shared" si="119"/>
        <v>-23.931808594289521</v>
      </c>
      <c r="AS137" s="566">
        <f>VLOOKUP($A137,'01-02.2021'!$A$6:$CZ$403,45,FALSE)+VLOOKUP($A137,'1.3.21-28.2.22'!$A$6:$DA$404,45,FALSE)-VLOOKUP($A137,'01-02.2022'!$A$6:$DA$376,45,FALSE)</f>
        <v>1978.5684366378759</v>
      </c>
      <c r="AT137" s="566">
        <f>VLOOKUP($A137,'01-02.2021'!$A$6:$CZ$403,46,FALSE)+VLOOKUP($A137,'1.3.21-28.2.22'!$A$6:$DA$404,46,FALSE)-VLOOKUP($A137,'01-02.2022'!$A$6:$DA$376,46,FALSE)</f>
        <v>0</v>
      </c>
      <c r="AU137" s="78">
        <f t="shared" si="120"/>
        <v>-1978.5684366378759</v>
      </c>
      <c r="AV137" s="566">
        <f>VLOOKUP($A137,'01-02.2021'!$A$6:$CZ$403,48,FALSE)+VLOOKUP($A137,'1.3.21-28.2.22'!$A$6:$DA$404,48,FALSE)-VLOOKUP($A137,'01-02.2022'!$A$6:$DA$376,48,FALSE)</f>
        <v>0</v>
      </c>
      <c r="AW137" s="566">
        <f>VLOOKUP($A137,'01-02.2021'!$A$6:$CZ$403,49,FALSE)+VLOOKUP($A137,'1.3.21-28.2.22'!$A$6:$DA$404,49,FALSE)-VLOOKUP($A137,'01-02.2022'!$A$6:$DA$376,49,FALSE)</f>
        <v>0</v>
      </c>
      <c r="AX137" s="55">
        <f t="shared" si="121"/>
        <v>0</v>
      </c>
      <c r="AY137" s="566">
        <f>VLOOKUP($A137,'01-02.2021'!$A$6:$CZ$403,51,FALSE)+VLOOKUP($A137,'1.3.21-28.2.22'!$A$6:$DA$404,51,FALSE)-VLOOKUP($A137,'01-02.2022'!$A$6:$DA$376,51,FALSE)</f>
        <v>0</v>
      </c>
      <c r="AZ137" s="566">
        <f>VLOOKUP($A137,'01-02.2021'!$A$6:$CZ$403,52,FALSE)+VLOOKUP($A137,'1.3.21-28.2.22'!$A$6:$DA$404,52,FALSE)-VLOOKUP($A137,'01-02.2022'!$A$6:$DA$376,52,FALSE)</f>
        <v>0</v>
      </c>
      <c r="BA137" s="38">
        <f t="shared" si="122"/>
        <v>0</v>
      </c>
      <c r="BB137" s="566">
        <f>VLOOKUP($A137,'01-02.2021'!$A$6:$CZ$403,54,FALSE)+VLOOKUP($A137,'1.3.21-28.2.22'!$A$6:$DA$404,54,FALSE)-VLOOKUP($A137,'01-02.2022'!$A$6:$DA$376,54,FALSE)</f>
        <v>0</v>
      </c>
      <c r="BC137" s="566">
        <f>VLOOKUP($A137,'01-02.2021'!$A$6:$CZ$403,55,FALSE)+VLOOKUP($A137,'1.3.21-28.2.22'!$A$6:$DA$404,55,FALSE)-VLOOKUP($A137,'01-02.2022'!$A$6:$DA$376,55,FALSE)</f>
        <v>0</v>
      </c>
      <c r="BD137" s="55">
        <f t="shared" si="123"/>
        <v>0</v>
      </c>
      <c r="BE137" s="566">
        <f>VLOOKUP($A137,'01-02.2021'!$A$6:$CZ$403,57,FALSE)+VLOOKUP($A137,'1.3.21-28.2.22'!$A$6:$DA$404,57,FALSE)-VLOOKUP($A137,'01-02.2022'!$A$6:$DA$376,57,FALSE)</f>
        <v>0</v>
      </c>
      <c r="BF137" s="566">
        <f>VLOOKUP($A137,'01-02.2021'!$A$6:$CZ$403,58,FALSE)+VLOOKUP($A137,'1.3.21-28.2.22'!$A$6:$DA$404,58,FALSE)-VLOOKUP($A137,'01-02.2022'!$A$6:$DA$376,58,FALSE)</f>
        <v>0</v>
      </c>
      <c r="BG137" s="55">
        <f t="shared" si="124"/>
        <v>0</v>
      </c>
      <c r="BH137" s="566">
        <f>VLOOKUP($A137,'01-02.2021'!$A$6:$CZ$403,60,FALSE)+VLOOKUP($A137,'1.3.21-28.2.22'!$A$6:$DA$404,60,FALSE)-VLOOKUP($A137,'01-02.2022'!$A$6:$DA$376,60,FALSE)</f>
        <v>0</v>
      </c>
      <c r="BI137" s="566">
        <f>VLOOKUP($A137,'01-02.2021'!$A$6:$CZ$403,61,FALSE)+VLOOKUP($A137,'1.3.21-28.2.22'!$A$6:$DA$404,61,FALSE)-VLOOKUP($A137,'01-02.2022'!$A$6:$DA$376,61,FALSE)</f>
        <v>0</v>
      </c>
      <c r="BJ137" s="55">
        <f t="shared" si="125"/>
        <v>0</v>
      </c>
      <c r="BK137" s="566">
        <f>VLOOKUP($A137,'01-02.2021'!$A$6:$CZ$403,63,FALSE)+VLOOKUP($A137,'1.3.21-28.2.22'!$A$6:$DA$404,63,FALSE)-VLOOKUP($A137,'01-02.2022'!$A$6:$DA$376,63,FALSE)</f>
        <v>0</v>
      </c>
      <c r="BL137" s="566">
        <f>VLOOKUP($A137,'01-02.2021'!$A$6:$CZ$403,64,FALSE)+VLOOKUP($A137,'1.3.21-28.2.22'!$A$6:$DA$404,64,FALSE)-VLOOKUP($A137,'01-02.2022'!$A$6:$DA$376,64,FALSE)</f>
        <v>0</v>
      </c>
      <c r="BM137" s="55">
        <f t="shared" si="126"/>
        <v>0</v>
      </c>
      <c r="BN137" s="566">
        <f>VLOOKUP($A137,'01-02.2021'!$A$6:$CZ$403,66,FALSE)+VLOOKUP($A137,'1.3.21-28.2.22'!$A$6:$DA$404,66,FALSE)-VLOOKUP($A137,'01-02.2022'!$A$6:$DA$376,66,FALSE)</f>
        <v>8.6875</v>
      </c>
      <c r="BO137" s="566">
        <f>VLOOKUP($A137,'01-02.2021'!$A$6:$CZ$403,67,FALSE)+VLOOKUP($A137,'1.3.21-28.2.22'!$A$6:$DA$404,67,FALSE)-VLOOKUP($A137,'01-02.2022'!$A$6:$DA$376,67,FALSE)</f>
        <v>0</v>
      </c>
      <c r="BP137" s="55">
        <f t="shared" si="127"/>
        <v>-8.6875</v>
      </c>
      <c r="BQ137" s="77">
        <f t="shared" si="151"/>
        <v>8.6875</v>
      </c>
      <c r="BR137" s="40">
        <f t="shared" si="152"/>
        <v>0</v>
      </c>
      <c r="BS137" s="55">
        <f t="shared" si="166"/>
        <v>-8.6875</v>
      </c>
      <c r="BT137" s="566">
        <f>VLOOKUP($A137,'01-02.2021'!$A$6:$CZ$403,72,FALSE)+VLOOKUP($A137,'1.3.21-28.2.22'!$A$6:$DA$404,72,FALSE)-VLOOKUP($A137,'01-02.2022'!$A$6:$DA$376,72,FALSE)</f>
        <v>55.829691759794166</v>
      </c>
      <c r="BU137" s="566">
        <f>VLOOKUP($A137,'01-02.2021'!$A$6:$CZ$403,73,FALSE)+VLOOKUP($A137,'1.3.21-28.2.22'!$A$6:$DA$404,73,FALSE)-VLOOKUP($A137,'01-02.2022'!$A$6:$DA$376,73,FALSE)</f>
        <v>86.656986732550635</v>
      </c>
      <c r="BV137" s="70">
        <f t="shared" si="128"/>
        <v>30.827294972756469</v>
      </c>
      <c r="BW137" s="566">
        <f>VLOOKUP($A137,'01-02.2021'!$A$6:$CZ$403,75,FALSE)+VLOOKUP($A137,'1.3.21-28.2.22'!$A$6:$DA$404,75,FALSE)-VLOOKUP($A137,'01-02.2022'!$A$6:$DA$376,75,FALSE)</f>
        <v>0</v>
      </c>
      <c r="BX137" s="566">
        <f>VLOOKUP($A137,'01-02.2021'!$A$6:$CZ$403,76,FALSE)+VLOOKUP($A137,'1.3.21-28.2.22'!$A$6:$DA$404,76,FALSE)-VLOOKUP($A137,'01-02.2022'!$A$6:$DA$376,76,FALSE)</f>
        <v>3.8940138657096841</v>
      </c>
      <c r="BY137" s="70">
        <f t="shared" si="129"/>
        <v>3.8940138657096841</v>
      </c>
      <c r="BZ137" s="566">
        <f>VLOOKUP($A137,'01-02.2021'!$A$6:$CZ$403,78,FALSE)+VLOOKUP($A137,'1.3.21-28.2.22'!$A$6:$DA$404,78,FALSE)-VLOOKUP($A137,'01-02.2022'!$A$6:$DA$376,78,FALSE)</f>
        <v>0</v>
      </c>
      <c r="CA137" s="566">
        <f>VLOOKUP($A137,'01-02.2021'!$A$6:$CZ$403,79,FALSE)+VLOOKUP($A137,'1.3.21-28.2.22'!$A$6:$DA$404,79,FALSE)-VLOOKUP($A137,'01-02.2022'!$A$6:$DA$376,79,FALSE)</f>
        <v>5.2822322096409309</v>
      </c>
      <c r="CB137" s="70">
        <f t="shared" si="130"/>
        <v>5.2822322096409309</v>
      </c>
      <c r="CC137" s="566">
        <f>VLOOKUP($A137,'01-02.2021'!$A$6:$CZ$403,81,FALSE)+VLOOKUP($A137,'1.3.21-28.2.22'!$A$6:$DA$404,81,FALSE)-VLOOKUP($A137,'01-02.2022'!$A$6:$DA$376,81,FALSE)</f>
        <v>0</v>
      </c>
      <c r="CD137" s="566">
        <f>VLOOKUP($A137,'01-02.2021'!$A$6:$CZ$403,82,FALSE)+VLOOKUP($A137,'1.3.21-28.2.22'!$A$6:$DA$404,82,FALSE)-VLOOKUP($A137,'01-02.2022'!$A$6:$DA$376,82,FALSE)</f>
        <v>0</v>
      </c>
      <c r="CE137" s="70">
        <f t="shared" si="131"/>
        <v>0</v>
      </c>
      <c r="CF137" s="566">
        <f>VLOOKUP($A137,'01-02.2021'!$A$6:$CZ$403,84,FALSE)+VLOOKUP($A137,'1.3.21-28.2.22'!$A$6:$DA$404,84,FALSE)-VLOOKUP($A137,'01-02.2022'!$A$6:$DA$376,84,FALSE)</f>
        <v>0</v>
      </c>
      <c r="CG137" s="566">
        <f>VLOOKUP($A137,'01-02.2021'!$A$6:$CZ$403,85,FALSE)+VLOOKUP($A137,'1.3.21-28.2.22'!$A$6:$DA$404,85,FALSE)-VLOOKUP($A137,'01-02.2022'!$A$6:$DA$376,85,FALSE)</f>
        <v>0</v>
      </c>
      <c r="CH137" s="70">
        <f t="shared" si="132"/>
        <v>0</v>
      </c>
      <c r="CI137" s="566">
        <f>VLOOKUP($A137,'01-02.2021'!$A$6:$CZ$403,87,FALSE)+VLOOKUP($A137,'1.3.21-28.2.22'!$A$6:$DA$404,87,FALSE)-VLOOKUP($A137,'01-02.2022'!$A$6:$DA$376,87,FALSE)</f>
        <v>0</v>
      </c>
      <c r="CJ137" s="566">
        <f>VLOOKUP($A137,'01-02.2021'!$A$6:$CZ$403,88,FALSE)+VLOOKUP($A137,'1.3.21-28.2.22'!$A$6:$DA$404,88,FALSE)-VLOOKUP($A137,'01-02.2022'!$A$6:$DA$376,88,FALSE)</f>
        <v>0</v>
      </c>
      <c r="CK137" s="70">
        <f t="shared" si="133"/>
        <v>0</v>
      </c>
      <c r="CL137" s="566">
        <f>VLOOKUP($A137,'01-02.2021'!$A$6:$CZ$403,90,FALSE)+VLOOKUP($A137,'1.3.21-28.2.22'!$A$6:$DA$404,90,FALSE)-VLOOKUP($A137,'01-02.2022'!$A$6:$DA$376,90,FALSE)</f>
        <v>0</v>
      </c>
      <c r="CM137" s="566">
        <f>VLOOKUP($A137,'01-02.2021'!$A$6:$CZ$403,91,FALSE)+VLOOKUP($A137,'1.3.21-28.2.22'!$A$6:$DA$404,91,FALSE)-VLOOKUP($A137,'01-02.2022'!$A$6:$DA$376,91,FALSE)</f>
        <v>0</v>
      </c>
      <c r="CN137" s="52">
        <f t="shared" si="158"/>
        <v>0</v>
      </c>
      <c r="CO137" s="39">
        <f t="shared" si="153"/>
        <v>0</v>
      </c>
      <c r="CP137" s="40">
        <f t="shared" si="159"/>
        <v>0</v>
      </c>
      <c r="CQ137" s="52">
        <f t="shared" si="160"/>
        <v>0</v>
      </c>
      <c r="CR137" s="72">
        <f t="shared" si="154"/>
        <v>2512.3533056009005</v>
      </c>
      <c r="CS137" s="5">
        <f t="shared" si="154"/>
        <v>1036.3383999963701</v>
      </c>
      <c r="CT137" s="52">
        <f t="shared" si="161"/>
        <v>-1476.0149056045304</v>
      </c>
      <c r="CU137" s="77">
        <f t="shared" si="162"/>
        <v>3014.8239667210805</v>
      </c>
      <c r="CV137" s="65">
        <f t="shared" si="163"/>
        <v>1243.606079995644</v>
      </c>
      <c r="CW137" s="35">
        <f t="shared" si="164"/>
        <v>-1771.2178867254365</v>
      </c>
      <c r="CX137" s="566">
        <f>VLOOKUP($A137,'01-02.2021'!$A$6:$CZ$403,102,FALSE)+VLOOKUP($A137,'1.3.21-28.2.22'!$A$6:$DA$404,102,FALSE)-VLOOKUP($A137,'01-02.2022'!$A$6:$DA$376,102,FALSE)</f>
        <v>85.540181361785912</v>
      </c>
      <c r="CY137" s="566">
        <f>VLOOKUP($A137,'01-02.2021'!$A$6:$CZ$403,103,FALSE)+VLOOKUP($A137,'1.3.21-28.2.22'!$A$6:$DA$404,103,FALSE)-VLOOKUP($A137,'01-02.2022'!$A$6:$DA$376,103,FALSE)</f>
        <v>1856.7580680872225</v>
      </c>
      <c r="CZ137" s="52">
        <f t="shared" si="165"/>
        <v>1771.2178867254365</v>
      </c>
      <c r="DA137" s="150">
        <f>'[2]побудинковий звіт'!DA137</f>
        <v>-3604.7715484406949</v>
      </c>
      <c r="DB137" s="2">
        <v>3</v>
      </c>
      <c r="DC137" s="414">
        <f>'[4]побудинковий звіт'!DC137</f>
        <v>281.60000000000002</v>
      </c>
      <c r="DD137" s="414">
        <f>'[4]побудинковий звіт'!DD137</f>
        <v>0</v>
      </c>
      <c r="DE137" s="557">
        <f>'[4]побудинковий звіт'!DE137</f>
        <v>8.1120620906744989E-3</v>
      </c>
      <c r="DF137" s="557">
        <f>'[4]побудинковий звіт'!DF137</f>
        <v>0</v>
      </c>
      <c r="DG137" s="321">
        <f>VLOOKUP(A137,'кошти 01.03.2021'!$A$6:$D$401,4,)</f>
        <v>-1684.3521244889673</v>
      </c>
      <c r="DH137" s="40">
        <f>'[3]побудинковий звіт'!DJ137</f>
        <v>3210.2214904141933</v>
      </c>
      <c r="DI137" s="422">
        <f>'[3]побудинковий звіт'!CU137+'[3]побудинковий звіт'!CX137</f>
        <v>281.59188793790935</v>
      </c>
      <c r="DJ137" s="306">
        <f>'[3]побудинковий звіт'!DM137</f>
        <v>1.6206727363332911</v>
      </c>
      <c r="DK137" s="306">
        <f t="shared" si="168"/>
        <v>1.6206727363332911</v>
      </c>
      <c r="DL137" s="306">
        <f>'[3]побудинковий звіт'!DO137</f>
        <v>1.6206727363332911</v>
      </c>
      <c r="DM137" s="28">
        <f t="shared" si="169"/>
        <v>281.59188793790935</v>
      </c>
      <c r="DN137" s="28">
        <f t="shared" si="170"/>
        <v>0</v>
      </c>
      <c r="DO137" s="423">
        <f t="shared" si="171"/>
        <v>281.59188793790935</v>
      </c>
      <c r="DP137" s="94">
        <f t="shared" si="172"/>
        <v>0</v>
      </c>
      <c r="DQ137" s="28">
        <f t="shared" si="173"/>
        <v>281.59188793790935</v>
      </c>
      <c r="DR137" s="318"/>
      <c r="DT137" s="8"/>
      <c r="DU137" s="5"/>
      <c r="DX137" s="5">
        <f t="shared" si="174"/>
        <v>2384.707123965451</v>
      </c>
      <c r="DY137" s="5">
        <f t="shared" si="175"/>
        <v>0</v>
      </c>
      <c r="DZ137" s="159">
        <f>'[3]побудинковий звіт'!EA137</f>
        <v>248.91927430636855</v>
      </c>
    </row>
    <row r="138" spans="1:130" x14ac:dyDescent="0.3">
      <c r="A138" s="325">
        <v>150000580</v>
      </c>
      <c r="B138" s="41" t="s">
        <v>587</v>
      </c>
      <c r="C138" s="42" t="s">
        <v>85</v>
      </c>
      <c r="D138" s="42"/>
      <c r="E138" s="293">
        <f t="shared" si="149"/>
        <v>188.4</v>
      </c>
      <c r="F138" s="305">
        <f>'[3]побудинковий звіт'!F138</f>
        <v>188.4</v>
      </c>
      <c r="G138" s="508">
        <f>'[3]побудинковий звіт'!G138</f>
        <v>0</v>
      </c>
      <c r="H138" s="560">
        <f>'[3]побудинковий звіт'!H138</f>
        <v>0</v>
      </c>
      <c r="I138" s="566">
        <f>VLOOKUP($A138,'01-02.2021'!$A$6:$CZ$403,9,FALSE)+VLOOKUP($A138,'1.3.21-28.2.22'!$A$6:$DA$404,9,FALSE)-VLOOKUP($A138,'01-02.2022'!$A$6:$DA$376,9,FALSE)</f>
        <v>0</v>
      </c>
      <c r="J138" s="566">
        <f>VLOOKUP($A138,'01-02.2021'!$A$6:$CZ$403,10,FALSE)+VLOOKUP($A138,'1.3.21-28.2.22'!$A$6:$DA$404,10,FALSE)-VLOOKUP($A138,'01-02.2022'!$A$6:$DA$376,10,FALSE)</f>
        <v>0</v>
      </c>
      <c r="K138" s="52">
        <f t="shared" si="155"/>
        <v>0</v>
      </c>
      <c r="L138" s="566">
        <f>VLOOKUP($A138,'01-02.2021'!$A$6:$CZ$403,12,FALSE)+VLOOKUP($A138,'1.3.21-28.2.22'!$A$6:$DA$404,12,FALSE)-VLOOKUP($A138,'01-02.2022'!$A$6:$DA$376,12,FALSE)</f>
        <v>0</v>
      </c>
      <c r="M138" s="566">
        <f>VLOOKUP($A138,'01-02.2021'!$A$6:$CZ$403,13,FALSE)+VLOOKUP($A138,'1.3.21-28.2.22'!$A$6:$DA$404,13,FALSE)-VLOOKUP($A138,'01-02.2022'!$A$6:$DA$376,13,FALSE)</f>
        <v>0</v>
      </c>
      <c r="N138" s="52">
        <f t="shared" si="156"/>
        <v>0</v>
      </c>
      <c r="O138" s="566">
        <f>VLOOKUP($A138,'01-02.2021'!$A$6:$CZ$403,15,FALSE)+VLOOKUP($A138,'1.3.21-28.2.22'!$A$6:$DA$404,15,FALSE)-VLOOKUP($A138,'01-02.2022'!$A$6:$DA$376,15,FALSE)</f>
        <v>0</v>
      </c>
      <c r="P138" s="566">
        <f>VLOOKUP($A138,'01-02.2021'!$A$6:$CZ$403,16,FALSE)+VLOOKUP($A138,'1.3.21-28.2.22'!$A$6:$DA$404,16,FALSE)-VLOOKUP($A138,'01-02.2022'!$A$6:$DA$376,16,FALSE)</f>
        <v>0</v>
      </c>
      <c r="Q138" s="70">
        <f t="shared" ref="Q138:Q201" si="176">P138-O138</f>
        <v>0</v>
      </c>
      <c r="R138" s="566">
        <f>VLOOKUP($A138,'01-02.2021'!$A$6:$CZ$403,18,FALSE)+VLOOKUP($A138,'1.3.21-28.2.22'!$A$6:$DA$404,18,FALSE)-VLOOKUP($A138,'01-02.2022'!$A$6:$DA$376,18,FALSE)</f>
        <v>0</v>
      </c>
      <c r="S138" s="566">
        <f>VLOOKUP($A138,'01-02.2021'!$A$6:$CZ$403,19,FALSE)+VLOOKUP($A138,'1.3.21-28.2.22'!$A$6:$DA$404,19,FALSE)-VLOOKUP($A138,'01-02.2022'!$A$6:$DA$376,19,FALSE)</f>
        <v>0</v>
      </c>
      <c r="T138" s="70">
        <f t="shared" ref="T138:T201" si="177">S138-R138</f>
        <v>0</v>
      </c>
      <c r="U138" s="566">
        <f>VLOOKUP($A138,'01-02.2021'!$A$6:$CZ$403,21,FALSE)+VLOOKUP($A138,'1.3.21-28.2.22'!$A$6:$DA$404,21,FALSE)-VLOOKUP($A138,'01-02.2022'!$A$6:$DA$376,21,FALSE)</f>
        <v>0</v>
      </c>
      <c r="V138" s="566">
        <f>VLOOKUP($A138,'01-02.2021'!$A$6:$CZ$403,22,FALSE)+VLOOKUP($A138,'1.3.21-28.2.22'!$A$6:$DA$404,22,FALSE)-VLOOKUP($A138,'01-02.2022'!$A$6:$DA$376,22,FALSE)</f>
        <v>0</v>
      </c>
      <c r="W138" s="70">
        <f t="shared" ref="W138:W201" si="178">V138-U138</f>
        <v>0</v>
      </c>
      <c r="X138" s="566">
        <f>VLOOKUP($A138,'01-02.2021'!$A$6:$CZ$403,24,FALSE)+VLOOKUP($A138,'1.3.21-28.2.22'!$A$6:$DA$404,24,FALSE)-VLOOKUP($A138,'01-02.2022'!$A$6:$DA$376,24,FALSE)</f>
        <v>0</v>
      </c>
      <c r="Y138" s="566">
        <f>VLOOKUP($A138,'01-02.2021'!$A$6:$CZ$403,25,FALSE)+VLOOKUP($A138,'1.3.21-28.2.22'!$A$6:$DA$404,25,FALSE)-VLOOKUP($A138,'01-02.2022'!$A$6:$DA$376,25,FALSE)</f>
        <v>0</v>
      </c>
      <c r="Z138" s="70">
        <f t="shared" ref="Z138:Z201" si="179">Y138-X138</f>
        <v>0</v>
      </c>
      <c r="AA138" s="566">
        <f>VLOOKUP($A138,'01-02.2021'!$A$6:$CZ$403,27,FALSE)+VLOOKUP($A138,'1.3.21-28.2.22'!$A$6:$DA$404,27,FALSE)-VLOOKUP($A138,'01-02.2022'!$A$6:$DA$376,27,FALSE)</f>
        <v>37.68</v>
      </c>
      <c r="AB138" s="566">
        <f>VLOOKUP($A138,'01-02.2021'!$A$6:$CZ$403,28,FALSE)+VLOOKUP($A138,'1.3.21-28.2.22'!$A$6:$DA$404,28,FALSE)-VLOOKUP($A138,'01-02.2022'!$A$6:$DA$376,28,FALSE)</f>
        <v>0</v>
      </c>
      <c r="AC138" s="70">
        <f t="shared" ref="AC138:AC201" si="180">AB138-AA138</f>
        <v>-37.68</v>
      </c>
      <c r="AD138" s="566">
        <f>VLOOKUP($A138,'01-02.2021'!$A$6:$CZ$403,30,FALSE)+VLOOKUP($A138,'1.3.21-28.2.22'!$A$6:$DA$404,30,FALSE)-VLOOKUP($A138,'01-02.2022'!$A$6:$DA$376,30,FALSE)</f>
        <v>282.96299879806816</v>
      </c>
      <c r="AE138" s="566">
        <f>VLOOKUP($A138,'01-02.2021'!$A$6:$CZ$403,31,FALSE)+VLOOKUP($A138,'1.3.21-28.2.22'!$A$6:$DA$404,31,FALSE)-VLOOKUP($A138,'01-02.2022'!$A$6:$DA$376,31,FALSE)</f>
        <v>857.60439105996704</v>
      </c>
      <c r="AF138" s="68">
        <f t="shared" ref="AF138:AF201" si="181">AE138-AD138</f>
        <v>574.64139226189889</v>
      </c>
      <c r="AG138" s="77">
        <f t="shared" si="150"/>
        <v>320.64299879806816</v>
      </c>
      <c r="AH138" s="53">
        <f t="shared" si="150"/>
        <v>857.60439105996704</v>
      </c>
      <c r="AI138" s="52">
        <f t="shared" si="157"/>
        <v>536.96139226189894</v>
      </c>
      <c r="AJ138" s="566">
        <f>VLOOKUP($A138,'01-02.2021'!$A$6:$CZ$403,36,FALSE)+VLOOKUP($A138,'1.3.21-28.2.22'!$A$6:$DA$404,36,FALSE)-VLOOKUP($A138,'01-02.2022'!$A$6:$DA$376,36,FALSE)</f>
        <v>0</v>
      </c>
      <c r="AK138" s="566">
        <f>VLOOKUP($A138,'01-02.2021'!$A$6:$CZ$403,37,FALSE)+VLOOKUP($A138,'1.3.21-28.2.22'!$A$6:$DA$404,37,FALSE)-VLOOKUP($A138,'01-02.2022'!$A$6:$DA$376,37,FALSE)</f>
        <v>0</v>
      </c>
      <c r="AL138" s="70">
        <f t="shared" ref="AL138:AL201" si="182">AK138-AJ138</f>
        <v>0</v>
      </c>
      <c r="AM138" s="566">
        <f>VLOOKUP($A138,'01-02.2021'!$A$6:$CZ$403,39,FALSE)+VLOOKUP($A138,'1.3.21-28.2.22'!$A$6:$DA$404,39,FALSE)-VLOOKUP($A138,'01-02.2022'!$A$6:$DA$376,39,FALSE)</f>
        <v>0</v>
      </c>
      <c r="AN138" s="566">
        <f>VLOOKUP($A138,'01-02.2021'!$A$6:$CZ$403,40,FALSE)+VLOOKUP($A138,'1.3.21-28.2.22'!$A$6:$DA$404,40,FALSE)-VLOOKUP($A138,'01-02.2022'!$A$6:$DA$376,40,FALSE)</f>
        <v>0</v>
      </c>
      <c r="AO138" s="70">
        <f t="shared" ref="AO138:AO201" si="183">AN138-AM138</f>
        <v>0</v>
      </c>
      <c r="AP138" s="566">
        <f>VLOOKUP($A138,'01-02.2021'!$A$6:$CZ$403,42,FALSE)+VLOOKUP($A138,'1.3.21-28.2.22'!$A$6:$DA$404,42,FALSE)-VLOOKUP($A138,'01-02.2022'!$A$6:$DA$376,42,FALSE)</f>
        <v>130.13998125319432</v>
      </c>
      <c r="AQ138" s="566">
        <f>VLOOKUP($A138,'01-02.2021'!$A$6:$CZ$403,43,FALSE)+VLOOKUP($A138,'1.3.21-28.2.22'!$A$6:$DA$404,43,FALSE)-VLOOKUP($A138,'01-02.2022'!$A$6:$DA$376,43,FALSE)</f>
        <v>112.19112480747719</v>
      </c>
      <c r="AR138" s="70">
        <f t="shared" ref="AR138:AR201" si="184">AQ138-AP138</f>
        <v>-17.948856445717126</v>
      </c>
      <c r="AS138" s="566">
        <f>VLOOKUP($A138,'01-02.2021'!$A$6:$CZ$403,45,FALSE)+VLOOKUP($A138,'1.3.21-28.2.22'!$A$6:$DA$404,45,FALSE)-VLOOKUP($A138,'01-02.2022'!$A$6:$DA$376,45,FALSE)</f>
        <v>1636.8483150999605</v>
      </c>
      <c r="AT138" s="566">
        <f>VLOOKUP($A138,'01-02.2021'!$A$6:$CZ$403,46,FALSE)+VLOOKUP($A138,'1.3.21-28.2.22'!$A$6:$DA$404,46,FALSE)-VLOOKUP($A138,'01-02.2022'!$A$6:$DA$376,46,FALSE)</f>
        <v>0</v>
      </c>
      <c r="AU138" s="78">
        <f t="shared" ref="AU138:AU201" si="185">AT138-AS138</f>
        <v>-1636.8483150999605</v>
      </c>
      <c r="AV138" s="566">
        <f>VLOOKUP($A138,'01-02.2021'!$A$6:$CZ$403,48,FALSE)+VLOOKUP($A138,'1.3.21-28.2.22'!$A$6:$DA$404,48,FALSE)-VLOOKUP($A138,'01-02.2022'!$A$6:$DA$376,48,FALSE)</f>
        <v>0</v>
      </c>
      <c r="AW138" s="566">
        <f>VLOOKUP($A138,'01-02.2021'!$A$6:$CZ$403,49,FALSE)+VLOOKUP($A138,'1.3.21-28.2.22'!$A$6:$DA$404,49,FALSE)-VLOOKUP($A138,'01-02.2022'!$A$6:$DA$376,49,FALSE)</f>
        <v>0</v>
      </c>
      <c r="AX138" s="55">
        <f t="shared" ref="AX138:AX201" si="186">AW138-AV138</f>
        <v>0</v>
      </c>
      <c r="AY138" s="566">
        <f>VLOOKUP($A138,'01-02.2021'!$A$6:$CZ$403,51,FALSE)+VLOOKUP($A138,'1.3.21-28.2.22'!$A$6:$DA$404,51,FALSE)-VLOOKUP($A138,'01-02.2022'!$A$6:$DA$376,51,FALSE)</f>
        <v>0</v>
      </c>
      <c r="AZ138" s="566">
        <f>VLOOKUP($A138,'01-02.2021'!$A$6:$CZ$403,52,FALSE)+VLOOKUP($A138,'1.3.21-28.2.22'!$A$6:$DA$404,52,FALSE)-VLOOKUP($A138,'01-02.2022'!$A$6:$DA$376,52,FALSE)</f>
        <v>0</v>
      </c>
      <c r="BA138" s="38">
        <f t="shared" ref="BA138:BA201" si="187">AZ138-AY138</f>
        <v>0</v>
      </c>
      <c r="BB138" s="566">
        <f>VLOOKUP($A138,'01-02.2021'!$A$6:$CZ$403,54,FALSE)+VLOOKUP($A138,'1.3.21-28.2.22'!$A$6:$DA$404,54,FALSE)-VLOOKUP($A138,'01-02.2022'!$A$6:$DA$376,54,FALSE)</f>
        <v>0</v>
      </c>
      <c r="BC138" s="566">
        <f>VLOOKUP($A138,'01-02.2021'!$A$6:$CZ$403,55,FALSE)+VLOOKUP($A138,'1.3.21-28.2.22'!$A$6:$DA$404,55,FALSE)-VLOOKUP($A138,'01-02.2022'!$A$6:$DA$376,55,FALSE)</f>
        <v>0</v>
      </c>
      <c r="BD138" s="55">
        <f t="shared" ref="BD138:BD201" si="188">BC138-BB138</f>
        <v>0</v>
      </c>
      <c r="BE138" s="566">
        <f>VLOOKUP($A138,'01-02.2021'!$A$6:$CZ$403,57,FALSE)+VLOOKUP($A138,'1.3.21-28.2.22'!$A$6:$DA$404,57,FALSE)-VLOOKUP($A138,'01-02.2022'!$A$6:$DA$376,57,FALSE)</f>
        <v>0</v>
      </c>
      <c r="BF138" s="566">
        <f>VLOOKUP($A138,'01-02.2021'!$A$6:$CZ$403,58,FALSE)+VLOOKUP($A138,'1.3.21-28.2.22'!$A$6:$DA$404,58,FALSE)-VLOOKUP($A138,'01-02.2022'!$A$6:$DA$376,58,FALSE)</f>
        <v>0</v>
      </c>
      <c r="BG138" s="55">
        <f t="shared" ref="BG138:BG201" si="189">BF138-BE138</f>
        <v>0</v>
      </c>
      <c r="BH138" s="566">
        <f>VLOOKUP($A138,'01-02.2021'!$A$6:$CZ$403,60,FALSE)+VLOOKUP($A138,'1.3.21-28.2.22'!$A$6:$DA$404,60,FALSE)-VLOOKUP($A138,'01-02.2022'!$A$6:$DA$376,60,FALSE)</f>
        <v>0</v>
      </c>
      <c r="BI138" s="566">
        <f>VLOOKUP($A138,'01-02.2021'!$A$6:$CZ$403,61,FALSE)+VLOOKUP($A138,'1.3.21-28.2.22'!$A$6:$DA$404,61,FALSE)-VLOOKUP($A138,'01-02.2022'!$A$6:$DA$376,61,FALSE)</f>
        <v>0</v>
      </c>
      <c r="BJ138" s="55">
        <f t="shared" ref="BJ138:BJ201" si="190">BI138-BH138</f>
        <v>0</v>
      </c>
      <c r="BK138" s="566">
        <f>VLOOKUP($A138,'01-02.2021'!$A$6:$CZ$403,63,FALSE)+VLOOKUP($A138,'1.3.21-28.2.22'!$A$6:$DA$404,63,FALSE)-VLOOKUP($A138,'01-02.2022'!$A$6:$DA$376,63,FALSE)</f>
        <v>0</v>
      </c>
      <c r="BL138" s="566">
        <f>VLOOKUP($A138,'01-02.2021'!$A$6:$CZ$403,64,FALSE)+VLOOKUP($A138,'1.3.21-28.2.22'!$A$6:$DA$404,64,FALSE)-VLOOKUP($A138,'01-02.2022'!$A$6:$DA$376,64,FALSE)</f>
        <v>0</v>
      </c>
      <c r="BM138" s="55">
        <f t="shared" ref="BM138:BM201" si="191">BL138-BK138</f>
        <v>0</v>
      </c>
      <c r="BN138" s="566">
        <f>VLOOKUP($A138,'01-02.2021'!$A$6:$CZ$403,66,FALSE)+VLOOKUP($A138,'1.3.21-28.2.22'!$A$6:$DA$404,66,FALSE)-VLOOKUP($A138,'01-02.2022'!$A$6:$DA$376,66,FALSE)</f>
        <v>9.42</v>
      </c>
      <c r="BO138" s="566">
        <f>VLOOKUP($A138,'01-02.2021'!$A$6:$CZ$403,67,FALSE)+VLOOKUP($A138,'1.3.21-28.2.22'!$A$6:$DA$404,67,FALSE)-VLOOKUP($A138,'01-02.2022'!$A$6:$DA$376,67,FALSE)</f>
        <v>0</v>
      </c>
      <c r="BP138" s="55">
        <f t="shared" ref="BP138:BP201" si="192">BO138-BN138</f>
        <v>-9.42</v>
      </c>
      <c r="BQ138" s="77">
        <f t="shared" si="151"/>
        <v>9.42</v>
      </c>
      <c r="BR138" s="40">
        <f t="shared" si="152"/>
        <v>0</v>
      </c>
      <c r="BS138" s="55">
        <f t="shared" si="166"/>
        <v>-9.42</v>
      </c>
      <c r="BT138" s="566">
        <f>VLOOKUP($A138,'01-02.2021'!$A$6:$CZ$403,72,FALSE)+VLOOKUP($A138,'1.3.21-28.2.22'!$A$6:$DA$404,72,FALSE)-VLOOKUP($A138,'01-02.2022'!$A$6:$DA$376,72,FALSE)</f>
        <v>111.65938351958833</v>
      </c>
      <c r="BU138" s="566">
        <f>VLOOKUP($A138,'01-02.2021'!$A$6:$CZ$403,73,FALSE)+VLOOKUP($A138,'1.3.21-28.2.22'!$A$6:$DA$404,73,FALSE)-VLOOKUP($A138,'01-02.2022'!$A$6:$DA$376,73,FALSE)</f>
        <v>173.20043558022763</v>
      </c>
      <c r="BV138" s="70">
        <f t="shared" ref="BV138:BV201" si="193">BU138-BT138</f>
        <v>61.541052060639302</v>
      </c>
      <c r="BW138" s="566">
        <f>VLOOKUP($A138,'01-02.2021'!$A$6:$CZ$403,75,FALSE)+VLOOKUP($A138,'1.3.21-28.2.22'!$A$6:$DA$404,75,FALSE)-VLOOKUP($A138,'01-02.2022'!$A$6:$DA$376,75,FALSE)</f>
        <v>0</v>
      </c>
      <c r="BX138" s="566">
        <f>VLOOKUP($A138,'01-02.2021'!$A$6:$CZ$403,76,FALSE)+VLOOKUP($A138,'1.3.21-28.2.22'!$A$6:$DA$404,76,FALSE)-VLOOKUP($A138,'01-02.2022'!$A$6:$DA$376,76,FALSE)</f>
        <v>4.2223436679119679</v>
      </c>
      <c r="BY138" s="70">
        <f t="shared" ref="BY138:BY201" si="194">BX138-BW138</f>
        <v>4.2223436679119679</v>
      </c>
      <c r="BZ138" s="566">
        <f>VLOOKUP($A138,'01-02.2021'!$A$6:$CZ$403,78,FALSE)+VLOOKUP($A138,'1.3.21-28.2.22'!$A$6:$DA$404,78,FALSE)-VLOOKUP($A138,'01-02.2022'!$A$6:$DA$376,78,FALSE)</f>
        <v>0</v>
      </c>
      <c r="CA138" s="566">
        <f>VLOOKUP($A138,'01-02.2021'!$A$6:$CZ$403,79,FALSE)+VLOOKUP($A138,'1.3.21-28.2.22'!$A$6:$DA$404,79,FALSE)-VLOOKUP($A138,'01-02.2022'!$A$6:$DA$376,79,FALSE)</f>
        <v>10.56087692417772</v>
      </c>
      <c r="CB138" s="70">
        <f t="shared" ref="CB138:CB201" si="195">CA138-BZ138</f>
        <v>10.56087692417772</v>
      </c>
      <c r="CC138" s="566">
        <f>VLOOKUP($A138,'01-02.2021'!$A$6:$CZ$403,81,FALSE)+VLOOKUP($A138,'1.3.21-28.2.22'!$A$6:$DA$404,81,FALSE)-VLOOKUP($A138,'01-02.2022'!$A$6:$DA$376,81,FALSE)</f>
        <v>0</v>
      </c>
      <c r="CD138" s="566">
        <f>VLOOKUP($A138,'01-02.2021'!$A$6:$CZ$403,82,FALSE)+VLOOKUP($A138,'1.3.21-28.2.22'!$A$6:$DA$404,82,FALSE)-VLOOKUP($A138,'01-02.2022'!$A$6:$DA$376,82,FALSE)</f>
        <v>0</v>
      </c>
      <c r="CE138" s="70">
        <f t="shared" ref="CE138:CE201" si="196">CD138-CC138</f>
        <v>0</v>
      </c>
      <c r="CF138" s="566">
        <f>VLOOKUP($A138,'01-02.2021'!$A$6:$CZ$403,84,FALSE)+VLOOKUP($A138,'1.3.21-28.2.22'!$A$6:$DA$404,84,FALSE)-VLOOKUP($A138,'01-02.2022'!$A$6:$DA$376,84,FALSE)</f>
        <v>0</v>
      </c>
      <c r="CG138" s="566">
        <f>VLOOKUP($A138,'01-02.2021'!$A$6:$CZ$403,85,FALSE)+VLOOKUP($A138,'1.3.21-28.2.22'!$A$6:$DA$404,85,FALSE)-VLOOKUP($A138,'01-02.2022'!$A$6:$DA$376,85,FALSE)</f>
        <v>0</v>
      </c>
      <c r="CH138" s="70">
        <f t="shared" ref="CH138:CH201" si="197">CG138-CF138</f>
        <v>0</v>
      </c>
      <c r="CI138" s="566">
        <f>VLOOKUP($A138,'01-02.2021'!$A$6:$CZ$403,87,FALSE)+VLOOKUP($A138,'1.3.21-28.2.22'!$A$6:$DA$404,87,FALSE)-VLOOKUP($A138,'01-02.2022'!$A$6:$DA$376,87,FALSE)</f>
        <v>0</v>
      </c>
      <c r="CJ138" s="566">
        <f>VLOOKUP($A138,'01-02.2021'!$A$6:$CZ$403,88,FALSE)+VLOOKUP($A138,'1.3.21-28.2.22'!$A$6:$DA$404,88,FALSE)-VLOOKUP($A138,'01-02.2022'!$A$6:$DA$376,88,FALSE)</f>
        <v>0</v>
      </c>
      <c r="CK138" s="70">
        <f t="shared" ref="CK138:CK201" si="198">CJ138-CI138</f>
        <v>0</v>
      </c>
      <c r="CL138" s="566">
        <f>VLOOKUP($A138,'01-02.2021'!$A$6:$CZ$403,90,FALSE)+VLOOKUP($A138,'1.3.21-28.2.22'!$A$6:$DA$404,90,FALSE)-VLOOKUP($A138,'01-02.2022'!$A$6:$DA$376,90,FALSE)</f>
        <v>0</v>
      </c>
      <c r="CM138" s="566">
        <f>VLOOKUP($A138,'01-02.2021'!$A$6:$CZ$403,91,FALSE)+VLOOKUP($A138,'1.3.21-28.2.22'!$A$6:$DA$404,91,FALSE)-VLOOKUP($A138,'01-02.2022'!$A$6:$DA$376,91,FALSE)</f>
        <v>0</v>
      </c>
      <c r="CN138" s="52">
        <f t="shared" si="158"/>
        <v>0</v>
      </c>
      <c r="CO138" s="39">
        <f t="shared" si="153"/>
        <v>0</v>
      </c>
      <c r="CP138" s="40">
        <f t="shared" si="159"/>
        <v>0</v>
      </c>
      <c r="CQ138" s="52">
        <f t="shared" si="160"/>
        <v>0</v>
      </c>
      <c r="CR138" s="72">
        <f t="shared" si="154"/>
        <v>2208.7106786708109</v>
      </c>
      <c r="CS138" s="5">
        <f t="shared" si="154"/>
        <v>1157.7791720397615</v>
      </c>
      <c r="CT138" s="52">
        <f t="shared" si="161"/>
        <v>-1050.9315066310494</v>
      </c>
      <c r="CU138" s="77">
        <f t="shared" si="162"/>
        <v>2650.4528144049732</v>
      </c>
      <c r="CV138" s="65">
        <f t="shared" si="163"/>
        <v>1389.3350064477138</v>
      </c>
      <c r="CW138" s="35">
        <f t="shared" si="164"/>
        <v>-1261.1178079572594</v>
      </c>
      <c r="CX138" s="566">
        <f>VLOOKUP($A138,'01-02.2021'!$A$6:$CZ$403,102,FALSE)+VLOOKUP($A138,'1.3.21-28.2.22'!$A$6:$DA$404,102,FALSE)-VLOOKUP($A138,'01-02.2022'!$A$6:$DA$376,102,FALSE)</f>
        <v>92.368675618083742</v>
      </c>
      <c r="CY138" s="566">
        <f>VLOOKUP($A138,'01-02.2021'!$A$6:$CZ$403,103,FALSE)+VLOOKUP($A138,'1.3.21-28.2.22'!$A$6:$DA$404,103,FALSE)-VLOOKUP($A138,'01-02.2022'!$A$6:$DA$376,103,FALSE)</f>
        <v>1353.4864835753428</v>
      </c>
      <c r="CZ138" s="52">
        <f t="shared" si="165"/>
        <v>1261.1178079572592</v>
      </c>
      <c r="DA138" s="150">
        <f>'[2]побудинковий звіт'!DA138</f>
        <v>-4971.7690640857727</v>
      </c>
      <c r="DB138" s="2">
        <v>3</v>
      </c>
      <c r="DC138" s="414">
        <f>'[4]побудинковий звіт'!DC138</f>
        <v>249.5</v>
      </c>
      <c r="DD138" s="414">
        <f>'[4]побудинковий звіт'!DD138</f>
        <v>0</v>
      </c>
      <c r="DE138" s="557">
        <f>'[4]побудинковий звіт'!DE138</f>
        <v>5.1034074098765814E-4</v>
      </c>
      <c r="DF138" s="557">
        <f>'[4]побудинковий звіт'!DF138</f>
        <v>0</v>
      </c>
      <c r="DG138" s="321">
        <f>VLOOKUP(A138,'кошти 01.03.2021'!$A$6:$D$401,4,)</f>
        <v>-3613.3600054064455</v>
      </c>
      <c r="DH138" s="40">
        <f>'[3]побудинковий звіт'!DJ138</f>
        <v>2841.8451640790486</v>
      </c>
      <c r="DI138" s="422">
        <f>'[3]побудинковий звіт'!CU138+'[3]побудинковий звіт'!CX138</f>
        <v>249.49948965925907</v>
      </c>
      <c r="DJ138" s="306">
        <f>'[3]побудинковий звіт'!DM138</f>
        <v>1.324307269953604</v>
      </c>
      <c r="DK138" s="306">
        <f t="shared" si="168"/>
        <v>1.324307269953604</v>
      </c>
      <c r="DL138" s="306">
        <f>'[3]побудинковий звіт'!DO138</f>
        <v>1.324307269953604</v>
      </c>
      <c r="DM138" s="28">
        <f t="shared" si="169"/>
        <v>249.49948965925901</v>
      </c>
      <c r="DN138" s="28">
        <f t="shared" si="170"/>
        <v>0</v>
      </c>
      <c r="DO138" s="423">
        <f t="shared" si="171"/>
        <v>249.49948965925901</v>
      </c>
      <c r="DP138" s="94">
        <f t="shared" si="172"/>
        <v>0</v>
      </c>
      <c r="DQ138" s="28">
        <f t="shared" si="173"/>
        <v>249.49948965925901</v>
      </c>
      <c r="DR138" s="318"/>
      <c r="DT138" s="8"/>
      <c r="DU138" s="5"/>
      <c r="DX138" s="5">
        <f t="shared" si="174"/>
        <v>1975.5219781199526</v>
      </c>
      <c r="DY138" s="5">
        <f t="shared" si="175"/>
        <v>0</v>
      </c>
      <c r="DZ138" s="159">
        <f>'[3]побудинковий звіт'!EA138</f>
        <v>210.06726300617294</v>
      </c>
    </row>
    <row r="139" spans="1:130" x14ac:dyDescent="0.3">
      <c r="A139" s="325">
        <v>150001054</v>
      </c>
      <c r="B139" s="41" t="s">
        <v>588</v>
      </c>
      <c r="C139" s="42" t="s">
        <v>86</v>
      </c>
      <c r="D139" s="42"/>
      <c r="E139" s="293">
        <f t="shared" si="149"/>
        <v>195.6</v>
      </c>
      <c r="F139" s="305">
        <f>'[3]побудинковий звіт'!F139</f>
        <v>195.6</v>
      </c>
      <c r="G139" s="508">
        <f>'[3]побудинковий звіт'!G139</f>
        <v>0</v>
      </c>
      <c r="H139" s="560">
        <f>'[3]побудинковий звіт'!H139</f>
        <v>0</v>
      </c>
      <c r="I139" s="566">
        <f>VLOOKUP($A139,'01-02.2021'!$A$6:$CZ$403,9,FALSE)+VLOOKUP($A139,'1.3.21-28.2.22'!$A$6:$DA$404,9,FALSE)-VLOOKUP($A139,'01-02.2022'!$A$6:$DA$376,9,FALSE)</f>
        <v>0</v>
      </c>
      <c r="J139" s="566">
        <f>VLOOKUP($A139,'01-02.2021'!$A$6:$CZ$403,10,FALSE)+VLOOKUP($A139,'1.3.21-28.2.22'!$A$6:$DA$404,10,FALSE)-VLOOKUP($A139,'01-02.2022'!$A$6:$DA$376,10,FALSE)</f>
        <v>0</v>
      </c>
      <c r="K139" s="52">
        <f t="shared" si="155"/>
        <v>0</v>
      </c>
      <c r="L139" s="566">
        <f>VLOOKUP($A139,'01-02.2021'!$A$6:$CZ$403,12,FALSE)+VLOOKUP($A139,'1.3.21-28.2.22'!$A$6:$DA$404,12,FALSE)-VLOOKUP($A139,'01-02.2022'!$A$6:$DA$376,12,FALSE)</f>
        <v>0</v>
      </c>
      <c r="M139" s="566">
        <f>VLOOKUP($A139,'01-02.2021'!$A$6:$CZ$403,13,FALSE)+VLOOKUP($A139,'1.3.21-28.2.22'!$A$6:$DA$404,13,FALSE)-VLOOKUP($A139,'01-02.2022'!$A$6:$DA$376,13,FALSE)</f>
        <v>0</v>
      </c>
      <c r="N139" s="52">
        <f t="shared" si="156"/>
        <v>0</v>
      </c>
      <c r="O139" s="566">
        <f>VLOOKUP($A139,'01-02.2021'!$A$6:$CZ$403,15,FALSE)+VLOOKUP($A139,'1.3.21-28.2.22'!$A$6:$DA$404,15,FALSE)-VLOOKUP($A139,'01-02.2022'!$A$6:$DA$376,15,FALSE)</f>
        <v>0</v>
      </c>
      <c r="P139" s="566">
        <f>VLOOKUP($A139,'01-02.2021'!$A$6:$CZ$403,16,FALSE)+VLOOKUP($A139,'1.3.21-28.2.22'!$A$6:$DA$404,16,FALSE)-VLOOKUP($A139,'01-02.2022'!$A$6:$DA$376,16,FALSE)</f>
        <v>0</v>
      </c>
      <c r="Q139" s="70">
        <f t="shared" si="176"/>
        <v>0</v>
      </c>
      <c r="R139" s="566">
        <f>VLOOKUP($A139,'01-02.2021'!$A$6:$CZ$403,18,FALSE)+VLOOKUP($A139,'1.3.21-28.2.22'!$A$6:$DA$404,18,FALSE)-VLOOKUP($A139,'01-02.2022'!$A$6:$DA$376,18,FALSE)</f>
        <v>0</v>
      </c>
      <c r="S139" s="566">
        <f>VLOOKUP($A139,'01-02.2021'!$A$6:$CZ$403,19,FALSE)+VLOOKUP($A139,'1.3.21-28.2.22'!$A$6:$DA$404,19,FALSE)-VLOOKUP($A139,'01-02.2022'!$A$6:$DA$376,19,FALSE)</f>
        <v>0</v>
      </c>
      <c r="T139" s="70">
        <f t="shared" si="177"/>
        <v>0</v>
      </c>
      <c r="U139" s="566">
        <f>VLOOKUP($A139,'01-02.2021'!$A$6:$CZ$403,21,FALSE)+VLOOKUP($A139,'1.3.21-28.2.22'!$A$6:$DA$404,21,FALSE)-VLOOKUP($A139,'01-02.2022'!$A$6:$DA$376,21,FALSE)</f>
        <v>0</v>
      </c>
      <c r="V139" s="566">
        <f>VLOOKUP($A139,'01-02.2021'!$A$6:$CZ$403,22,FALSE)+VLOOKUP($A139,'1.3.21-28.2.22'!$A$6:$DA$404,22,FALSE)-VLOOKUP($A139,'01-02.2022'!$A$6:$DA$376,22,FALSE)</f>
        <v>0</v>
      </c>
      <c r="W139" s="70">
        <f t="shared" si="178"/>
        <v>0</v>
      </c>
      <c r="X139" s="566">
        <f>VLOOKUP($A139,'01-02.2021'!$A$6:$CZ$403,24,FALSE)+VLOOKUP($A139,'1.3.21-28.2.22'!$A$6:$DA$404,24,FALSE)-VLOOKUP($A139,'01-02.2022'!$A$6:$DA$376,24,FALSE)</f>
        <v>0</v>
      </c>
      <c r="Y139" s="566">
        <f>VLOOKUP($A139,'01-02.2021'!$A$6:$CZ$403,25,FALSE)+VLOOKUP($A139,'1.3.21-28.2.22'!$A$6:$DA$404,25,FALSE)-VLOOKUP($A139,'01-02.2022'!$A$6:$DA$376,25,FALSE)</f>
        <v>0</v>
      </c>
      <c r="Z139" s="70">
        <f t="shared" si="179"/>
        <v>0</v>
      </c>
      <c r="AA139" s="566">
        <f>VLOOKUP($A139,'01-02.2021'!$A$6:$CZ$403,27,FALSE)+VLOOKUP($A139,'1.3.21-28.2.22'!$A$6:$DA$404,27,FALSE)-VLOOKUP($A139,'01-02.2022'!$A$6:$DA$376,27,FALSE)</f>
        <v>39.120000000000005</v>
      </c>
      <c r="AB139" s="566">
        <f>VLOOKUP($A139,'01-02.2021'!$A$6:$CZ$403,28,FALSE)+VLOOKUP($A139,'1.3.21-28.2.22'!$A$6:$DA$404,28,FALSE)-VLOOKUP($A139,'01-02.2022'!$A$6:$DA$376,28,FALSE)</f>
        <v>0</v>
      </c>
      <c r="AC139" s="70">
        <f t="shared" si="180"/>
        <v>-39.120000000000005</v>
      </c>
      <c r="AD139" s="566">
        <f>VLOOKUP($A139,'01-02.2021'!$A$6:$CZ$403,30,FALSE)+VLOOKUP($A139,'1.3.21-28.2.22'!$A$6:$DA$404,30,FALSE)-VLOOKUP($A139,'01-02.2022'!$A$6:$DA$376,30,FALSE)</f>
        <v>293.80993729146019</v>
      </c>
      <c r="AE139" s="566">
        <f>VLOOKUP($A139,'01-02.2021'!$A$6:$CZ$403,31,FALSE)+VLOOKUP($A139,'1.3.21-28.2.22'!$A$6:$DA$404,31,FALSE)-VLOOKUP($A139,'01-02.2022'!$A$6:$DA$376,31,FALSE)</f>
        <v>890.37908116416963</v>
      </c>
      <c r="AF139" s="68">
        <f t="shared" si="181"/>
        <v>596.56914387270945</v>
      </c>
      <c r="AG139" s="77">
        <f t="shared" si="150"/>
        <v>332.92993729146019</v>
      </c>
      <c r="AH139" s="53">
        <f t="shared" si="150"/>
        <v>890.37908116416963</v>
      </c>
      <c r="AI139" s="52">
        <f t="shared" si="157"/>
        <v>557.44914387270944</v>
      </c>
      <c r="AJ139" s="566">
        <f>VLOOKUP($A139,'01-02.2021'!$A$6:$CZ$403,36,FALSE)+VLOOKUP($A139,'1.3.21-28.2.22'!$A$6:$DA$404,36,FALSE)-VLOOKUP($A139,'01-02.2022'!$A$6:$DA$376,36,FALSE)</f>
        <v>0</v>
      </c>
      <c r="AK139" s="566">
        <f>VLOOKUP($A139,'01-02.2021'!$A$6:$CZ$403,37,FALSE)+VLOOKUP($A139,'1.3.21-28.2.22'!$A$6:$DA$404,37,FALSE)-VLOOKUP($A139,'01-02.2022'!$A$6:$DA$376,37,FALSE)</f>
        <v>0</v>
      </c>
      <c r="AL139" s="70">
        <f t="shared" si="182"/>
        <v>0</v>
      </c>
      <c r="AM139" s="566">
        <f>VLOOKUP($A139,'01-02.2021'!$A$6:$CZ$403,39,FALSE)+VLOOKUP($A139,'1.3.21-28.2.22'!$A$6:$DA$404,39,FALSE)-VLOOKUP($A139,'01-02.2022'!$A$6:$DA$376,39,FALSE)</f>
        <v>0</v>
      </c>
      <c r="AN139" s="566">
        <f>VLOOKUP($A139,'01-02.2021'!$A$6:$CZ$403,40,FALSE)+VLOOKUP($A139,'1.3.21-28.2.22'!$A$6:$DA$404,40,FALSE)-VLOOKUP($A139,'01-02.2022'!$A$6:$DA$376,40,FALSE)</f>
        <v>0</v>
      </c>
      <c r="AO139" s="70">
        <f t="shared" si="183"/>
        <v>0</v>
      </c>
      <c r="AP139" s="566">
        <f>VLOOKUP($A139,'01-02.2021'!$A$6:$CZ$403,42,FALSE)+VLOOKUP($A139,'1.3.21-28.2.22'!$A$6:$DA$404,42,FALSE)-VLOOKUP($A139,'01-02.2022'!$A$6:$DA$376,42,FALSE)</f>
        <v>260.27996250638864</v>
      </c>
      <c r="AQ139" s="566">
        <f>VLOOKUP($A139,'01-02.2021'!$A$6:$CZ$403,43,FALSE)+VLOOKUP($A139,'1.3.21-28.2.22'!$A$6:$DA$404,43,FALSE)-VLOOKUP($A139,'01-02.2022'!$A$6:$DA$376,43,FALSE)</f>
        <v>227.53577317965235</v>
      </c>
      <c r="AR139" s="70">
        <f t="shared" si="184"/>
        <v>-32.74418932673629</v>
      </c>
      <c r="AS139" s="566">
        <f>VLOOKUP($A139,'01-02.2021'!$A$6:$CZ$403,45,FALSE)+VLOOKUP($A139,'1.3.21-28.2.22'!$A$6:$DA$404,45,FALSE)-VLOOKUP($A139,'01-02.2022'!$A$6:$DA$376,45,FALSE)</f>
        <v>1788.1952085636353</v>
      </c>
      <c r="AT139" s="566">
        <f>VLOOKUP($A139,'01-02.2021'!$A$6:$CZ$403,46,FALSE)+VLOOKUP($A139,'1.3.21-28.2.22'!$A$6:$DA$404,46,FALSE)-VLOOKUP($A139,'01-02.2022'!$A$6:$DA$376,46,FALSE)</f>
        <v>0</v>
      </c>
      <c r="AU139" s="78">
        <f t="shared" si="185"/>
        <v>-1788.1952085636353</v>
      </c>
      <c r="AV139" s="566">
        <f>VLOOKUP($A139,'01-02.2021'!$A$6:$CZ$403,48,FALSE)+VLOOKUP($A139,'1.3.21-28.2.22'!$A$6:$DA$404,48,FALSE)-VLOOKUP($A139,'01-02.2022'!$A$6:$DA$376,48,FALSE)</f>
        <v>0</v>
      </c>
      <c r="AW139" s="566">
        <f>VLOOKUP($A139,'01-02.2021'!$A$6:$CZ$403,49,FALSE)+VLOOKUP($A139,'1.3.21-28.2.22'!$A$6:$DA$404,49,FALSE)-VLOOKUP($A139,'01-02.2022'!$A$6:$DA$376,49,FALSE)</f>
        <v>0</v>
      </c>
      <c r="AX139" s="55">
        <f t="shared" si="186"/>
        <v>0</v>
      </c>
      <c r="AY139" s="566">
        <f>VLOOKUP($A139,'01-02.2021'!$A$6:$CZ$403,51,FALSE)+VLOOKUP($A139,'1.3.21-28.2.22'!$A$6:$DA$404,51,FALSE)-VLOOKUP($A139,'01-02.2022'!$A$6:$DA$376,51,FALSE)</f>
        <v>0</v>
      </c>
      <c r="AZ139" s="566">
        <f>VLOOKUP($A139,'01-02.2021'!$A$6:$CZ$403,52,FALSE)+VLOOKUP($A139,'1.3.21-28.2.22'!$A$6:$DA$404,52,FALSE)-VLOOKUP($A139,'01-02.2022'!$A$6:$DA$376,52,FALSE)</f>
        <v>0</v>
      </c>
      <c r="BA139" s="38">
        <f t="shared" si="187"/>
        <v>0</v>
      </c>
      <c r="BB139" s="566">
        <f>VLOOKUP($A139,'01-02.2021'!$A$6:$CZ$403,54,FALSE)+VLOOKUP($A139,'1.3.21-28.2.22'!$A$6:$DA$404,54,FALSE)-VLOOKUP($A139,'01-02.2022'!$A$6:$DA$376,54,FALSE)</f>
        <v>0</v>
      </c>
      <c r="BC139" s="566">
        <f>VLOOKUP($A139,'01-02.2021'!$A$6:$CZ$403,55,FALSE)+VLOOKUP($A139,'1.3.21-28.2.22'!$A$6:$DA$404,55,FALSE)-VLOOKUP($A139,'01-02.2022'!$A$6:$DA$376,55,FALSE)</f>
        <v>0</v>
      </c>
      <c r="BD139" s="55">
        <f t="shared" si="188"/>
        <v>0</v>
      </c>
      <c r="BE139" s="566">
        <f>VLOOKUP($A139,'01-02.2021'!$A$6:$CZ$403,57,FALSE)+VLOOKUP($A139,'1.3.21-28.2.22'!$A$6:$DA$404,57,FALSE)-VLOOKUP($A139,'01-02.2022'!$A$6:$DA$376,57,FALSE)</f>
        <v>0</v>
      </c>
      <c r="BF139" s="566">
        <f>VLOOKUP($A139,'01-02.2021'!$A$6:$CZ$403,58,FALSE)+VLOOKUP($A139,'1.3.21-28.2.22'!$A$6:$DA$404,58,FALSE)-VLOOKUP($A139,'01-02.2022'!$A$6:$DA$376,58,FALSE)</f>
        <v>0</v>
      </c>
      <c r="BG139" s="55">
        <f t="shared" si="189"/>
        <v>0</v>
      </c>
      <c r="BH139" s="566">
        <f>VLOOKUP($A139,'01-02.2021'!$A$6:$CZ$403,60,FALSE)+VLOOKUP($A139,'1.3.21-28.2.22'!$A$6:$DA$404,60,FALSE)-VLOOKUP($A139,'01-02.2022'!$A$6:$DA$376,60,FALSE)</f>
        <v>0</v>
      </c>
      <c r="BI139" s="566">
        <f>VLOOKUP($A139,'01-02.2021'!$A$6:$CZ$403,61,FALSE)+VLOOKUP($A139,'1.3.21-28.2.22'!$A$6:$DA$404,61,FALSE)-VLOOKUP($A139,'01-02.2022'!$A$6:$DA$376,61,FALSE)</f>
        <v>0</v>
      </c>
      <c r="BJ139" s="55">
        <f t="shared" si="190"/>
        <v>0</v>
      </c>
      <c r="BK139" s="566">
        <f>VLOOKUP($A139,'01-02.2021'!$A$6:$CZ$403,63,FALSE)+VLOOKUP($A139,'1.3.21-28.2.22'!$A$6:$DA$404,63,FALSE)-VLOOKUP($A139,'01-02.2022'!$A$6:$DA$376,63,FALSE)</f>
        <v>0</v>
      </c>
      <c r="BL139" s="566">
        <f>VLOOKUP($A139,'01-02.2021'!$A$6:$CZ$403,64,FALSE)+VLOOKUP($A139,'1.3.21-28.2.22'!$A$6:$DA$404,64,FALSE)-VLOOKUP($A139,'01-02.2022'!$A$6:$DA$376,64,FALSE)</f>
        <v>0</v>
      </c>
      <c r="BM139" s="55">
        <f t="shared" si="191"/>
        <v>0</v>
      </c>
      <c r="BN139" s="566">
        <f>VLOOKUP($A139,'01-02.2021'!$A$6:$CZ$403,66,FALSE)+VLOOKUP($A139,'1.3.21-28.2.22'!$A$6:$DA$404,66,FALSE)-VLOOKUP($A139,'01-02.2022'!$A$6:$DA$376,66,FALSE)</f>
        <v>9.7800000000000011</v>
      </c>
      <c r="BO139" s="566">
        <f>VLOOKUP($A139,'01-02.2021'!$A$6:$CZ$403,67,FALSE)+VLOOKUP($A139,'1.3.21-28.2.22'!$A$6:$DA$404,67,FALSE)-VLOOKUP($A139,'01-02.2022'!$A$6:$DA$376,67,FALSE)</f>
        <v>0</v>
      </c>
      <c r="BP139" s="55">
        <f t="shared" si="192"/>
        <v>-9.7800000000000011</v>
      </c>
      <c r="BQ139" s="77">
        <f t="shared" si="151"/>
        <v>9.7800000000000011</v>
      </c>
      <c r="BR139" s="40">
        <f t="shared" si="152"/>
        <v>0</v>
      </c>
      <c r="BS139" s="55">
        <f t="shared" si="166"/>
        <v>-9.7800000000000011</v>
      </c>
      <c r="BT139" s="566">
        <f>VLOOKUP($A139,'01-02.2021'!$A$6:$CZ$403,72,FALSE)+VLOOKUP($A139,'1.3.21-28.2.22'!$A$6:$DA$404,72,FALSE)-VLOOKUP($A139,'01-02.2022'!$A$6:$DA$376,72,FALSE)</f>
        <v>125.61680645953695</v>
      </c>
      <c r="BU139" s="566">
        <f>VLOOKUP($A139,'01-02.2021'!$A$6:$CZ$403,73,FALSE)+VLOOKUP($A139,'1.3.21-28.2.22'!$A$6:$DA$404,73,FALSE)-VLOOKUP($A139,'01-02.2022'!$A$6:$DA$376,73,FALSE)</f>
        <v>194.86972644699941</v>
      </c>
      <c r="BV139" s="70">
        <f t="shared" si="193"/>
        <v>69.252919987462462</v>
      </c>
      <c r="BW139" s="566">
        <f>VLOOKUP($A139,'01-02.2021'!$A$6:$CZ$403,75,FALSE)+VLOOKUP($A139,'1.3.21-28.2.22'!$A$6:$DA$404,75,FALSE)-VLOOKUP($A139,'01-02.2022'!$A$6:$DA$376,75,FALSE)</f>
        <v>0</v>
      </c>
      <c r="BX139" s="566">
        <f>VLOOKUP($A139,'01-02.2021'!$A$6:$CZ$403,76,FALSE)+VLOOKUP($A139,'1.3.21-28.2.22'!$A$6:$DA$404,76,FALSE)-VLOOKUP($A139,'01-02.2022'!$A$6:$DA$376,76,FALSE)</f>
        <v>4.3837071201888591</v>
      </c>
      <c r="BY139" s="70">
        <f t="shared" si="194"/>
        <v>4.3837071201888591</v>
      </c>
      <c r="BZ139" s="566">
        <f>VLOOKUP($A139,'01-02.2021'!$A$6:$CZ$403,78,FALSE)+VLOOKUP($A139,'1.3.21-28.2.22'!$A$6:$DA$404,78,FALSE)-VLOOKUP($A139,'01-02.2022'!$A$6:$DA$376,78,FALSE)</f>
        <v>0</v>
      </c>
      <c r="CA139" s="566">
        <f>VLOOKUP($A139,'01-02.2021'!$A$6:$CZ$403,79,FALSE)+VLOOKUP($A139,'1.3.21-28.2.22'!$A$6:$DA$404,79,FALSE)-VLOOKUP($A139,'01-02.2022'!$A$6:$DA$376,79,FALSE)</f>
        <v>11.88254223641006</v>
      </c>
      <c r="CB139" s="70">
        <f t="shared" si="195"/>
        <v>11.88254223641006</v>
      </c>
      <c r="CC139" s="566">
        <f>VLOOKUP($A139,'01-02.2021'!$A$6:$CZ$403,81,FALSE)+VLOOKUP($A139,'1.3.21-28.2.22'!$A$6:$DA$404,81,FALSE)-VLOOKUP($A139,'01-02.2022'!$A$6:$DA$376,81,FALSE)</f>
        <v>0</v>
      </c>
      <c r="CD139" s="566">
        <f>VLOOKUP($A139,'01-02.2021'!$A$6:$CZ$403,82,FALSE)+VLOOKUP($A139,'1.3.21-28.2.22'!$A$6:$DA$404,82,FALSE)-VLOOKUP($A139,'01-02.2022'!$A$6:$DA$376,82,FALSE)</f>
        <v>0</v>
      </c>
      <c r="CE139" s="70">
        <f t="shared" si="196"/>
        <v>0</v>
      </c>
      <c r="CF139" s="566">
        <f>VLOOKUP($A139,'01-02.2021'!$A$6:$CZ$403,84,FALSE)+VLOOKUP($A139,'1.3.21-28.2.22'!$A$6:$DA$404,84,FALSE)-VLOOKUP($A139,'01-02.2022'!$A$6:$DA$376,84,FALSE)</f>
        <v>0</v>
      </c>
      <c r="CG139" s="566">
        <f>VLOOKUP($A139,'01-02.2021'!$A$6:$CZ$403,85,FALSE)+VLOOKUP($A139,'1.3.21-28.2.22'!$A$6:$DA$404,85,FALSE)-VLOOKUP($A139,'01-02.2022'!$A$6:$DA$376,85,FALSE)</f>
        <v>0</v>
      </c>
      <c r="CH139" s="70">
        <f t="shared" si="197"/>
        <v>0</v>
      </c>
      <c r="CI139" s="566">
        <f>VLOOKUP($A139,'01-02.2021'!$A$6:$CZ$403,87,FALSE)+VLOOKUP($A139,'1.3.21-28.2.22'!$A$6:$DA$404,87,FALSE)-VLOOKUP($A139,'01-02.2022'!$A$6:$DA$376,87,FALSE)</f>
        <v>0</v>
      </c>
      <c r="CJ139" s="566">
        <f>VLOOKUP($A139,'01-02.2021'!$A$6:$CZ$403,88,FALSE)+VLOOKUP($A139,'1.3.21-28.2.22'!$A$6:$DA$404,88,FALSE)-VLOOKUP($A139,'01-02.2022'!$A$6:$DA$376,88,FALSE)</f>
        <v>0</v>
      </c>
      <c r="CK139" s="70">
        <f t="shared" si="198"/>
        <v>0</v>
      </c>
      <c r="CL139" s="566">
        <f>VLOOKUP($A139,'01-02.2021'!$A$6:$CZ$403,90,FALSE)+VLOOKUP($A139,'1.3.21-28.2.22'!$A$6:$DA$404,90,FALSE)-VLOOKUP($A139,'01-02.2022'!$A$6:$DA$376,90,FALSE)</f>
        <v>0</v>
      </c>
      <c r="CM139" s="566">
        <f>VLOOKUP($A139,'01-02.2021'!$A$6:$CZ$403,91,FALSE)+VLOOKUP($A139,'1.3.21-28.2.22'!$A$6:$DA$404,91,FALSE)-VLOOKUP($A139,'01-02.2022'!$A$6:$DA$376,91,FALSE)</f>
        <v>0</v>
      </c>
      <c r="CN139" s="52">
        <f t="shared" si="158"/>
        <v>0</v>
      </c>
      <c r="CO139" s="39">
        <f t="shared" si="153"/>
        <v>0</v>
      </c>
      <c r="CP139" s="40">
        <f t="shared" si="159"/>
        <v>0</v>
      </c>
      <c r="CQ139" s="52">
        <f t="shared" si="160"/>
        <v>0</v>
      </c>
      <c r="CR139" s="72">
        <f t="shared" si="154"/>
        <v>2516.801914821021</v>
      </c>
      <c r="CS139" s="5">
        <f t="shared" si="154"/>
        <v>1329.0508301474204</v>
      </c>
      <c r="CT139" s="52">
        <f t="shared" si="161"/>
        <v>-1187.7510846736006</v>
      </c>
      <c r="CU139" s="77">
        <f t="shared" si="162"/>
        <v>3020.1622977852253</v>
      </c>
      <c r="CV139" s="65">
        <f t="shared" si="163"/>
        <v>1594.8609961769043</v>
      </c>
      <c r="CW139" s="35">
        <f t="shared" si="164"/>
        <v>-1425.301301608321</v>
      </c>
      <c r="CX139" s="566">
        <f>VLOOKUP($A139,'01-02.2021'!$A$6:$CZ$403,102,FALSE)+VLOOKUP($A139,'1.3.21-28.2.22'!$A$6:$DA$404,102,FALSE)-VLOOKUP($A139,'01-02.2022'!$A$6:$DA$376,102,FALSE)</f>
        <v>105.36976253356723</v>
      </c>
      <c r="CY139" s="566">
        <f>VLOOKUP($A139,'01-02.2021'!$A$6:$CZ$403,103,FALSE)+VLOOKUP($A139,'1.3.21-28.2.22'!$A$6:$DA$404,103,FALSE)-VLOOKUP($A139,'01-02.2022'!$A$6:$DA$376,103,FALSE)</f>
        <v>1530.6710641418881</v>
      </c>
      <c r="CZ139" s="52">
        <f t="shared" si="165"/>
        <v>1425.301301608321</v>
      </c>
      <c r="DA139" s="150">
        <f>'[2]побудинковий звіт'!DA139</f>
        <v>-2605.9754854312214</v>
      </c>
      <c r="DB139" s="2">
        <v>3</v>
      </c>
      <c r="DC139" s="414">
        <f>'[4]побудинковий звіт'!DC139</f>
        <v>356.65</v>
      </c>
      <c r="DD139" s="414">
        <f>'[4]побудинковий звіт'!DD139</f>
        <v>0</v>
      </c>
      <c r="DE139" s="557">
        <f>'[4]побудинковий звіт'!DE139</f>
        <v>72.967353754836154</v>
      </c>
      <c r="DF139" s="557">
        <f>'[4]побудинковий звіт'!DF139</f>
        <v>0</v>
      </c>
      <c r="DG139" s="321">
        <f>VLOOKUP(A139,'кошти 01.03.2021'!$A$6:$D$401,4,)</f>
        <v>-1076.6557035955402</v>
      </c>
      <c r="DH139" s="40">
        <f>'[3]побудинковий звіт'!DJ139</f>
        <v>3235.3425989170682</v>
      </c>
      <c r="DI139" s="422">
        <f>'[3]побудинковий звіт'!CU139+'[3]побудинковий звіт'!CX139</f>
        <v>283.68264624516382</v>
      </c>
      <c r="DJ139" s="306">
        <f>'[3]побудинковий звіт'!DM139</f>
        <v>1.4503202773270134</v>
      </c>
      <c r="DK139" s="306">
        <f t="shared" si="168"/>
        <v>1.4503202773270134</v>
      </c>
      <c r="DL139" s="306">
        <f>'[3]побудинковий звіт'!DO139</f>
        <v>1.4503202773270134</v>
      </c>
      <c r="DM139" s="28">
        <f t="shared" si="169"/>
        <v>283.68264624516382</v>
      </c>
      <c r="DN139" s="28">
        <f t="shared" si="170"/>
        <v>0</v>
      </c>
      <c r="DO139" s="423">
        <f t="shared" si="171"/>
        <v>283.68264624516382</v>
      </c>
      <c r="DP139" s="94">
        <f t="shared" si="172"/>
        <v>0</v>
      </c>
      <c r="DQ139" s="28">
        <f t="shared" si="173"/>
        <v>283.68264624516382</v>
      </c>
      <c r="DR139" s="318"/>
      <c r="DT139" s="8"/>
      <c r="DU139" s="5"/>
      <c r="DX139" s="5">
        <f t="shared" si="174"/>
        <v>2157.5702502763625</v>
      </c>
      <c r="DY139" s="5">
        <f t="shared" si="175"/>
        <v>0</v>
      </c>
      <c r="DZ139" s="159">
        <f>'[3]побудинковий звіт'!EA139</f>
        <v>226.8187183467677</v>
      </c>
    </row>
    <row r="140" spans="1:130" x14ac:dyDescent="0.3">
      <c r="A140" s="325">
        <v>150000634</v>
      </c>
      <c r="B140" s="41" t="s">
        <v>589</v>
      </c>
      <c r="C140" s="42" t="s">
        <v>87</v>
      </c>
      <c r="D140" s="42"/>
      <c r="E140" s="293">
        <f t="shared" si="149"/>
        <v>196.35</v>
      </c>
      <c r="F140" s="305">
        <f>'[3]побудинковий звіт'!F140</f>
        <v>196.35</v>
      </c>
      <c r="G140" s="508">
        <f>'[3]побудинковий звіт'!G140</f>
        <v>0</v>
      </c>
      <c r="H140" s="560">
        <f>'[3]побудинковий звіт'!H140</f>
        <v>0</v>
      </c>
      <c r="I140" s="566">
        <f>VLOOKUP($A140,'01-02.2021'!$A$6:$CZ$403,9,FALSE)+VLOOKUP($A140,'1.3.21-28.2.22'!$A$6:$DA$404,9,FALSE)-VLOOKUP($A140,'01-02.2022'!$A$6:$DA$376,9,FALSE)</f>
        <v>0</v>
      </c>
      <c r="J140" s="566">
        <f>VLOOKUP($A140,'01-02.2021'!$A$6:$CZ$403,10,FALSE)+VLOOKUP($A140,'1.3.21-28.2.22'!$A$6:$DA$404,10,FALSE)-VLOOKUP($A140,'01-02.2022'!$A$6:$DA$376,10,FALSE)</f>
        <v>0</v>
      </c>
      <c r="K140" s="52">
        <f t="shared" si="155"/>
        <v>0</v>
      </c>
      <c r="L140" s="566">
        <f>VLOOKUP($A140,'01-02.2021'!$A$6:$CZ$403,12,FALSE)+VLOOKUP($A140,'1.3.21-28.2.22'!$A$6:$DA$404,12,FALSE)-VLOOKUP($A140,'01-02.2022'!$A$6:$DA$376,12,FALSE)</f>
        <v>0</v>
      </c>
      <c r="M140" s="566">
        <f>VLOOKUP($A140,'01-02.2021'!$A$6:$CZ$403,13,FALSE)+VLOOKUP($A140,'1.3.21-28.2.22'!$A$6:$DA$404,13,FALSE)-VLOOKUP($A140,'01-02.2022'!$A$6:$DA$376,13,FALSE)</f>
        <v>0</v>
      </c>
      <c r="N140" s="52">
        <f t="shared" si="156"/>
        <v>0</v>
      </c>
      <c r="O140" s="566">
        <f>VLOOKUP($A140,'01-02.2021'!$A$6:$CZ$403,15,FALSE)+VLOOKUP($A140,'1.3.21-28.2.22'!$A$6:$DA$404,15,FALSE)-VLOOKUP($A140,'01-02.2022'!$A$6:$DA$376,15,FALSE)</f>
        <v>0</v>
      </c>
      <c r="P140" s="566">
        <f>VLOOKUP($A140,'01-02.2021'!$A$6:$CZ$403,16,FALSE)+VLOOKUP($A140,'1.3.21-28.2.22'!$A$6:$DA$404,16,FALSE)-VLOOKUP($A140,'01-02.2022'!$A$6:$DA$376,16,FALSE)</f>
        <v>0</v>
      </c>
      <c r="Q140" s="70">
        <f t="shared" si="176"/>
        <v>0</v>
      </c>
      <c r="R140" s="566">
        <f>VLOOKUP($A140,'01-02.2021'!$A$6:$CZ$403,18,FALSE)+VLOOKUP($A140,'1.3.21-28.2.22'!$A$6:$DA$404,18,FALSE)-VLOOKUP($A140,'01-02.2022'!$A$6:$DA$376,18,FALSE)</f>
        <v>0</v>
      </c>
      <c r="S140" s="566">
        <f>VLOOKUP($A140,'01-02.2021'!$A$6:$CZ$403,19,FALSE)+VLOOKUP($A140,'1.3.21-28.2.22'!$A$6:$DA$404,19,FALSE)-VLOOKUP($A140,'01-02.2022'!$A$6:$DA$376,19,FALSE)</f>
        <v>0</v>
      </c>
      <c r="T140" s="70">
        <f t="shared" si="177"/>
        <v>0</v>
      </c>
      <c r="U140" s="566">
        <f>VLOOKUP($A140,'01-02.2021'!$A$6:$CZ$403,21,FALSE)+VLOOKUP($A140,'1.3.21-28.2.22'!$A$6:$DA$404,21,FALSE)-VLOOKUP($A140,'01-02.2022'!$A$6:$DA$376,21,FALSE)</f>
        <v>0</v>
      </c>
      <c r="V140" s="566">
        <f>VLOOKUP($A140,'01-02.2021'!$A$6:$CZ$403,22,FALSE)+VLOOKUP($A140,'1.3.21-28.2.22'!$A$6:$DA$404,22,FALSE)-VLOOKUP($A140,'01-02.2022'!$A$6:$DA$376,22,FALSE)</f>
        <v>0</v>
      </c>
      <c r="W140" s="70">
        <f t="shared" si="178"/>
        <v>0</v>
      </c>
      <c r="X140" s="566">
        <f>VLOOKUP($A140,'01-02.2021'!$A$6:$CZ$403,24,FALSE)+VLOOKUP($A140,'1.3.21-28.2.22'!$A$6:$DA$404,24,FALSE)-VLOOKUP($A140,'01-02.2022'!$A$6:$DA$376,24,FALSE)</f>
        <v>0</v>
      </c>
      <c r="Y140" s="566">
        <f>VLOOKUP($A140,'01-02.2021'!$A$6:$CZ$403,25,FALSE)+VLOOKUP($A140,'1.3.21-28.2.22'!$A$6:$DA$404,25,FALSE)-VLOOKUP($A140,'01-02.2022'!$A$6:$DA$376,25,FALSE)</f>
        <v>0</v>
      </c>
      <c r="Z140" s="70">
        <f t="shared" si="179"/>
        <v>0</v>
      </c>
      <c r="AA140" s="566">
        <f>VLOOKUP($A140,'01-02.2021'!$A$6:$CZ$403,27,FALSE)+VLOOKUP($A140,'1.3.21-28.2.22'!$A$6:$DA$404,27,FALSE)-VLOOKUP($A140,'01-02.2022'!$A$6:$DA$376,27,FALSE)</f>
        <v>39.270000000000003</v>
      </c>
      <c r="AB140" s="566">
        <f>VLOOKUP($A140,'01-02.2021'!$A$6:$CZ$403,28,FALSE)+VLOOKUP($A140,'1.3.21-28.2.22'!$A$6:$DA$404,28,FALSE)-VLOOKUP($A140,'01-02.2022'!$A$6:$DA$376,28,FALSE)</f>
        <v>0</v>
      </c>
      <c r="AC140" s="70">
        <f t="shared" si="180"/>
        <v>-39.270000000000003</v>
      </c>
      <c r="AD140" s="566">
        <f>VLOOKUP($A140,'01-02.2021'!$A$6:$CZ$403,30,FALSE)+VLOOKUP($A140,'1.3.21-28.2.22'!$A$6:$DA$404,30,FALSE)-VLOOKUP($A140,'01-02.2022'!$A$6:$DA$376,30,FALSE)</f>
        <v>294.94203392477436</v>
      </c>
      <c r="AE140" s="566">
        <f>VLOOKUP($A140,'01-02.2021'!$A$6:$CZ$403,31,FALSE)+VLOOKUP($A140,'1.3.21-28.2.22'!$A$6:$DA$404,31,FALSE)-VLOOKUP($A140,'01-02.2022'!$A$6:$DA$376,31,FALSE)</f>
        <v>893.7931113833572</v>
      </c>
      <c r="AF140" s="68">
        <f t="shared" si="181"/>
        <v>598.85107745858284</v>
      </c>
      <c r="AG140" s="77">
        <f t="shared" si="150"/>
        <v>334.21203392477435</v>
      </c>
      <c r="AH140" s="53">
        <f t="shared" si="150"/>
        <v>893.7931113833572</v>
      </c>
      <c r="AI140" s="52">
        <f t="shared" si="157"/>
        <v>559.58107745858285</v>
      </c>
      <c r="AJ140" s="566">
        <f>VLOOKUP($A140,'01-02.2021'!$A$6:$CZ$403,36,FALSE)+VLOOKUP($A140,'1.3.21-28.2.22'!$A$6:$DA$404,36,FALSE)-VLOOKUP($A140,'01-02.2022'!$A$6:$DA$376,36,FALSE)</f>
        <v>0</v>
      </c>
      <c r="AK140" s="566">
        <f>VLOOKUP($A140,'01-02.2021'!$A$6:$CZ$403,37,FALSE)+VLOOKUP($A140,'1.3.21-28.2.22'!$A$6:$DA$404,37,FALSE)-VLOOKUP($A140,'01-02.2022'!$A$6:$DA$376,37,FALSE)</f>
        <v>0</v>
      </c>
      <c r="AL140" s="70">
        <f t="shared" si="182"/>
        <v>0</v>
      </c>
      <c r="AM140" s="566">
        <f>VLOOKUP($A140,'01-02.2021'!$A$6:$CZ$403,39,FALSE)+VLOOKUP($A140,'1.3.21-28.2.22'!$A$6:$DA$404,39,FALSE)-VLOOKUP($A140,'01-02.2022'!$A$6:$DA$376,39,FALSE)</f>
        <v>0</v>
      </c>
      <c r="AN140" s="566">
        <f>VLOOKUP($A140,'01-02.2021'!$A$6:$CZ$403,40,FALSE)+VLOOKUP($A140,'1.3.21-28.2.22'!$A$6:$DA$404,40,FALSE)-VLOOKUP($A140,'01-02.2022'!$A$6:$DA$376,40,FALSE)</f>
        <v>0</v>
      </c>
      <c r="AO140" s="70">
        <f t="shared" si="183"/>
        <v>0</v>
      </c>
      <c r="AP140" s="566">
        <f>VLOOKUP($A140,'01-02.2021'!$A$6:$CZ$403,42,FALSE)+VLOOKUP($A140,'1.3.21-28.2.22'!$A$6:$DA$404,42,FALSE)-VLOOKUP($A140,'01-02.2022'!$A$6:$DA$376,42,FALSE)</f>
        <v>347.03995000851819</v>
      </c>
      <c r="AQ140" s="566">
        <f>VLOOKUP($A140,'01-02.2021'!$A$6:$CZ$403,43,FALSE)+VLOOKUP($A140,'1.3.21-28.2.22'!$A$6:$DA$404,43,FALSE)-VLOOKUP($A140,'01-02.2022'!$A$6:$DA$376,43,FALSE)</f>
        <v>299.17633281993915</v>
      </c>
      <c r="AR140" s="70">
        <f t="shared" si="184"/>
        <v>-47.863617188579042</v>
      </c>
      <c r="AS140" s="566">
        <f>VLOOKUP($A140,'01-02.2021'!$A$6:$CZ$403,45,FALSE)+VLOOKUP($A140,'1.3.21-28.2.22'!$A$6:$DA$404,45,FALSE)-VLOOKUP($A140,'01-02.2022'!$A$6:$DA$376,45,FALSE)</f>
        <v>2244.7670473131934</v>
      </c>
      <c r="AT140" s="566">
        <f>VLOOKUP($A140,'01-02.2021'!$A$6:$CZ$403,46,FALSE)+VLOOKUP($A140,'1.3.21-28.2.22'!$A$6:$DA$404,46,FALSE)-VLOOKUP($A140,'01-02.2022'!$A$6:$DA$376,46,FALSE)</f>
        <v>707</v>
      </c>
      <c r="AU140" s="78">
        <f t="shared" si="185"/>
        <v>-1537.7670473131934</v>
      </c>
      <c r="AV140" s="566">
        <f>VLOOKUP($A140,'01-02.2021'!$A$6:$CZ$403,48,FALSE)+VLOOKUP($A140,'1.3.21-28.2.22'!$A$6:$DA$404,48,FALSE)-VLOOKUP($A140,'01-02.2022'!$A$6:$DA$376,48,FALSE)</f>
        <v>0</v>
      </c>
      <c r="AW140" s="566">
        <f>VLOOKUP($A140,'01-02.2021'!$A$6:$CZ$403,49,FALSE)+VLOOKUP($A140,'1.3.21-28.2.22'!$A$6:$DA$404,49,FALSE)-VLOOKUP($A140,'01-02.2022'!$A$6:$DA$376,49,FALSE)</f>
        <v>0</v>
      </c>
      <c r="AX140" s="55">
        <f t="shared" si="186"/>
        <v>0</v>
      </c>
      <c r="AY140" s="566">
        <f>VLOOKUP($A140,'01-02.2021'!$A$6:$CZ$403,51,FALSE)+VLOOKUP($A140,'1.3.21-28.2.22'!$A$6:$DA$404,51,FALSE)-VLOOKUP($A140,'01-02.2022'!$A$6:$DA$376,51,FALSE)</f>
        <v>0</v>
      </c>
      <c r="AZ140" s="566">
        <f>VLOOKUP($A140,'01-02.2021'!$A$6:$CZ$403,52,FALSE)+VLOOKUP($A140,'1.3.21-28.2.22'!$A$6:$DA$404,52,FALSE)-VLOOKUP($A140,'01-02.2022'!$A$6:$DA$376,52,FALSE)</f>
        <v>0</v>
      </c>
      <c r="BA140" s="38">
        <f t="shared" si="187"/>
        <v>0</v>
      </c>
      <c r="BB140" s="566">
        <f>VLOOKUP($A140,'01-02.2021'!$A$6:$CZ$403,54,FALSE)+VLOOKUP($A140,'1.3.21-28.2.22'!$A$6:$DA$404,54,FALSE)-VLOOKUP($A140,'01-02.2022'!$A$6:$DA$376,54,FALSE)</f>
        <v>0</v>
      </c>
      <c r="BC140" s="566">
        <f>VLOOKUP($A140,'01-02.2021'!$A$6:$CZ$403,55,FALSE)+VLOOKUP($A140,'1.3.21-28.2.22'!$A$6:$DA$404,55,FALSE)-VLOOKUP($A140,'01-02.2022'!$A$6:$DA$376,55,FALSE)</f>
        <v>0</v>
      </c>
      <c r="BD140" s="55">
        <f t="shared" si="188"/>
        <v>0</v>
      </c>
      <c r="BE140" s="566">
        <f>VLOOKUP($A140,'01-02.2021'!$A$6:$CZ$403,57,FALSE)+VLOOKUP($A140,'1.3.21-28.2.22'!$A$6:$DA$404,57,FALSE)-VLOOKUP($A140,'01-02.2022'!$A$6:$DA$376,57,FALSE)</f>
        <v>0</v>
      </c>
      <c r="BF140" s="566">
        <f>VLOOKUP($A140,'01-02.2021'!$A$6:$CZ$403,58,FALSE)+VLOOKUP($A140,'1.3.21-28.2.22'!$A$6:$DA$404,58,FALSE)-VLOOKUP($A140,'01-02.2022'!$A$6:$DA$376,58,FALSE)</f>
        <v>0</v>
      </c>
      <c r="BG140" s="55">
        <f t="shared" si="189"/>
        <v>0</v>
      </c>
      <c r="BH140" s="566">
        <f>VLOOKUP($A140,'01-02.2021'!$A$6:$CZ$403,60,FALSE)+VLOOKUP($A140,'1.3.21-28.2.22'!$A$6:$DA$404,60,FALSE)-VLOOKUP($A140,'01-02.2022'!$A$6:$DA$376,60,FALSE)</f>
        <v>0</v>
      </c>
      <c r="BI140" s="566">
        <f>VLOOKUP($A140,'01-02.2021'!$A$6:$CZ$403,61,FALSE)+VLOOKUP($A140,'1.3.21-28.2.22'!$A$6:$DA$404,61,FALSE)-VLOOKUP($A140,'01-02.2022'!$A$6:$DA$376,61,FALSE)</f>
        <v>0</v>
      </c>
      <c r="BJ140" s="55">
        <f t="shared" si="190"/>
        <v>0</v>
      </c>
      <c r="BK140" s="566">
        <f>VLOOKUP($A140,'01-02.2021'!$A$6:$CZ$403,63,FALSE)+VLOOKUP($A140,'1.3.21-28.2.22'!$A$6:$DA$404,63,FALSE)-VLOOKUP($A140,'01-02.2022'!$A$6:$DA$376,63,FALSE)</f>
        <v>0</v>
      </c>
      <c r="BL140" s="566">
        <f>VLOOKUP($A140,'01-02.2021'!$A$6:$CZ$403,64,FALSE)+VLOOKUP($A140,'1.3.21-28.2.22'!$A$6:$DA$404,64,FALSE)-VLOOKUP($A140,'01-02.2022'!$A$6:$DA$376,64,FALSE)</f>
        <v>0</v>
      </c>
      <c r="BM140" s="55">
        <f t="shared" si="191"/>
        <v>0</v>
      </c>
      <c r="BN140" s="566">
        <f>VLOOKUP($A140,'01-02.2021'!$A$6:$CZ$403,66,FALSE)+VLOOKUP($A140,'1.3.21-28.2.22'!$A$6:$DA$404,66,FALSE)-VLOOKUP($A140,'01-02.2022'!$A$6:$DA$376,66,FALSE)</f>
        <v>9.8175000000000008</v>
      </c>
      <c r="BO140" s="566">
        <f>VLOOKUP($A140,'01-02.2021'!$A$6:$CZ$403,67,FALSE)+VLOOKUP($A140,'1.3.21-28.2.22'!$A$6:$DA$404,67,FALSE)-VLOOKUP($A140,'01-02.2022'!$A$6:$DA$376,67,FALSE)</f>
        <v>0</v>
      </c>
      <c r="BP140" s="55">
        <f t="shared" si="192"/>
        <v>-9.8175000000000008</v>
      </c>
      <c r="BQ140" s="77">
        <f t="shared" si="151"/>
        <v>9.8175000000000008</v>
      </c>
      <c r="BR140" s="40">
        <f t="shared" si="152"/>
        <v>0</v>
      </c>
      <c r="BS140" s="55">
        <f t="shared" si="166"/>
        <v>-9.8175000000000008</v>
      </c>
      <c r="BT140" s="566">
        <f>VLOOKUP($A140,'01-02.2021'!$A$6:$CZ$403,72,FALSE)+VLOOKUP($A140,'1.3.21-28.2.22'!$A$6:$DA$404,72,FALSE)-VLOOKUP($A140,'01-02.2022'!$A$6:$DA$376,72,FALSE)</f>
        <v>139.57422939948549</v>
      </c>
      <c r="BU140" s="566">
        <f>VLOOKUP($A140,'01-02.2021'!$A$6:$CZ$403,73,FALSE)+VLOOKUP($A140,'1.3.21-28.2.22'!$A$6:$DA$404,73,FALSE)-VLOOKUP($A140,'01-02.2022'!$A$6:$DA$376,73,FALSE)</f>
        <v>216.58323372889066</v>
      </c>
      <c r="BV140" s="70">
        <f t="shared" si="193"/>
        <v>77.009004329405172</v>
      </c>
      <c r="BW140" s="566">
        <f>VLOOKUP($A140,'01-02.2021'!$A$6:$CZ$403,75,FALSE)+VLOOKUP($A140,'1.3.21-28.2.22'!$A$6:$DA$404,75,FALSE)-VLOOKUP($A140,'01-02.2022'!$A$6:$DA$376,75,FALSE)</f>
        <v>0</v>
      </c>
      <c r="BX140" s="566">
        <f>VLOOKUP($A140,'01-02.2021'!$A$6:$CZ$403,76,FALSE)+VLOOKUP($A140,'1.3.21-28.2.22'!$A$6:$DA$404,76,FALSE)-VLOOKUP($A140,'01-02.2022'!$A$6:$DA$376,76,FALSE)</f>
        <v>4.4005158131343682</v>
      </c>
      <c r="BY140" s="70">
        <f t="shared" si="194"/>
        <v>4.4005158131343682</v>
      </c>
      <c r="BZ140" s="566">
        <f>VLOOKUP($A140,'01-02.2021'!$A$6:$CZ$403,78,FALSE)+VLOOKUP($A140,'1.3.21-28.2.22'!$A$6:$DA$404,78,FALSE)-VLOOKUP($A140,'01-02.2022'!$A$6:$DA$376,78,FALSE)</f>
        <v>0</v>
      </c>
      <c r="CA140" s="566">
        <f>VLOOKUP($A140,'01-02.2021'!$A$6:$CZ$403,79,FALSE)+VLOOKUP($A140,'1.3.21-28.2.22'!$A$6:$DA$404,79,FALSE)-VLOOKUP($A140,'01-02.2022'!$A$6:$DA$376,79,FALSE)</f>
        <v>13.207795043746557</v>
      </c>
      <c r="CB140" s="70">
        <f t="shared" si="195"/>
        <v>13.207795043746557</v>
      </c>
      <c r="CC140" s="566">
        <f>VLOOKUP($A140,'01-02.2021'!$A$6:$CZ$403,81,FALSE)+VLOOKUP($A140,'1.3.21-28.2.22'!$A$6:$DA$404,81,FALSE)-VLOOKUP($A140,'01-02.2022'!$A$6:$DA$376,81,FALSE)</f>
        <v>0</v>
      </c>
      <c r="CD140" s="566">
        <f>VLOOKUP($A140,'01-02.2021'!$A$6:$CZ$403,82,FALSE)+VLOOKUP($A140,'1.3.21-28.2.22'!$A$6:$DA$404,82,FALSE)-VLOOKUP($A140,'01-02.2022'!$A$6:$DA$376,82,FALSE)</f>
        <v>0</v>
      </c>
      <c r="CE140" s="70">
        <f t="shared" si="196"/>
        <v>0</v>
      </c>
      <c r="CF140" s="566">
        <f>VLOOKUP($A140,'01-02.2021'!$A$6:$CZ$403,84,FALSE)+VLOOKUP($A140,'1.3.21-28.2.22'!$A$6:$DA$404,84,FALSE)-VLOOKUP($A140,'01-02.2022'!$A$6:$DA$376,84,FALSE)</f>
        <v>0</v>
      </c>
      <c r="CG140" s="566">
        <f>VLOOKUP($A140,'01-02.2021'!$A$6:$CZ$403,85,FALSE)+VLOOKUP($A140,'1.3.21-28.2.22'!$A$6:$DA$404,85,FALSE)-VLOOKUP($A140,'01-02.2022'!$A$6:$DA$376,85,FALSE)</f>
        <v>0</v>
      </c>
      <c r="CH140" s="70">
        <f t="shared" si="197"/>
        <v>0</v>
      </c>
      <c r="CI140" s="566">
        <f>VLOOKUP($A140,'01-02.2021'!$A$6:$CZ$403,87,FALSE)+VLOOKUP($A140,'1.3.21-28.2.22'!$A$6:$DA$404,87,FALSE)-VLOOKUP($A140,'01-02.2022'!$A$6:$DA$376,87,FALSE)</f>
        <v>0</v>
      </c>
      <c r="CJ140" s="566">
        <f>VLOOKUP($A140,'01-02.2021'!$A$6:$CZ$403,88,FALSE)+VLOOKUP($A140,'1.3.21-28.2.22'!$A$6:$DA$404,88,FALSE)-VLOOKUP($A140,'01-02.2022'!$A$6:$DA$376,88,FALSE)</f>
        <v>0</v>
      </c>
      <c r="CK140" s="70">
        <f t="shared" si="198"/>
        <v>0</v>
      </c>
      <c r="CL140" s="566">
        <f>VLOOKUP($A140,'01-02.2021'!$A$6:$CZ$403,90,FALSE)+VLOOKUP($A140,'1.3.21-28.2.22'!$A$6:$DA$404,90,FALSE)-VLOOKUP($A140,'01-02.2022'!$A$6:$DA$376,90,FALSE)</f>
        <v>0</v>
      </c>
      <c r="CM140" s="566">
        <f>VLOOKUP($A140,'01-02.2021'!$A$6:$CZ$403,91,FALSE)+VLOOKUP($A140,'1.3.21-28.2.22'!$A$6:$DA$404,91,FALSE)-VLOOKUP($A140,'01-02.2022'!$A$6:$DA$376,91,FALSE)</f>
        <v>0</v>
      </c>
      <c r="CN140" s="52">
        <f t="shared" si="158"/>
        <v>0</v>
      </c>
      <c r="CO140" s="39">
        <f t="shared" si="153"/>
        <v>0</v>
      </c>
      <c r="CP140" s="40">
        <f t="shared" si="159"/>
        <v>0</v>
      </c>
      <c r="CQ140" s="52">
        <f t="shared" si="160"/>
        <v>0</v>
      </c>
      <c r="CR140" s="72">
        <f t="shared" si="154"/>
        <v>3075.4107606459715</v>
      </c>
      <c r="CS140" s="5">
        <f t="shared" si="154"/>
        <v>2134.1609887890681</v>
      </c>
      <c r="CT140" s="52">
        <f t="shared" si="161"/>
        <v>-941.24977185690341</v>
      </c>
      <c r="CU140" s="77">
        <f t="shared" si="162"/>
        <v>3690.4929127751657</v>
      </c>
      <c r="CV140" s="65">
        <f t="shared" si="163"/>
        <v>2560.9931865468816</v>
      </c>
      <c r="CW140" s="35">
        <f t="shared" si="164"/>
        <v>-1129.4997262282841</v>
      </c>
      <c r="CX140" s="566">
        <f>VLOOKUP($A140,'01-02.2021'!$A$6:$CZ$403,102,FALSE)+VLOOKUP($A140,'1.3.21-28.2.22'!$A$6:$DA$404,102,FALSE)-VLOOKUP($A140,'01-02.2022'!$A$6:$DA$376,102,FALSE)</f>
        <v>128.65225028680211</v>
      </c>
      <c r="CY140" s="566">
        <f>VLOOKUP($A140,'01-02.2021'!$A$6:$CZ$403,103,FALSE)+VLOOKUP($A140,'1.3.21-28.2.22'!$A$6:$DA$404,103,FALSE)-VLOOKUP($A140,'01-02.2022'!$A$6:$DA$376,103,FALSE)</f>
        <v>1258.1519765150861</v>
      </c>
      <c r="CZ140" s="52">
        <f t="shared" si="165"/>
        <v>1129.4997262282839</v>
      </c>
      <c r="DA140" s="150">
        <f>'[2]побудинковий звіт'!DA140</f>
        <v>-7901.5522048802331</v>
      </c>
      <c r="DB140" s="2">
        <v>3</v>
      </c>
      <c r="DC140" s="414">
        <f>'[4]побудинковий звіт'!DC140</f>
        <v>547.36</v>
      </c>
      <c r="DD140" s="414">
        <f>'[4]побудинковий звіт'!DD140</f>
        <v>0</v>
      </c>
      <c r="DE140" s="557">
        <f>'[4]побудинковий звіт'!DE140</f>
        <v>200.15854129876249</v>
      </c>
      <c r="DF140" s="557">
        <f>'[4]побудинковий звіт'!DF140</f>
        <v>0</v>
      </c>
      <c r="DG140" s="321">
        <f>VLOOKUP(A140,'кошти 01.03.2021'!$A$6:$D$401,4,)</f>
        <v>-6649.8253720382572</v>
      </c>
      <c r="DH140" s="40">
        <f>'[3]побудинковий звіт'!DJ140</f>
        <v>3956.0395851209237</v>
      </c>
      <c r="DI140" s="422">
        <f>'[3]побудинковий звіт'!CU140+'[3]побудинковий звіт'!CX140</f>
        <v>347.20145870123753</v>
      </c>
      <c r="DJ140" s="306">
        <f>'[3]побудинковий звіт'!DM140</f>
        <v>1.7682783738285588</v>
      </c>
      <c r="DK140" s="306">
        <f t="shared" si="168"/>
        <v>1.7682783738285588</v>
      </c>
      <c r="DL140" s="306">
        <f>'[3]побудинковий звіт'!DO140</f>
        <v>1.7682783738285588</v>
      </c>
      <c r="DM140" s="28">
        <f t="shared" si="169"/>
        <v>347.20145870123753</v>
      </c>
      <c r="DN140" s="28">
        <f t="shared" si="170"/>
        <v>0</v>
      </c>
      <c r="DO140" s="423">
        <f t="shared" si="171"/>
        <v>347.20145870123753</v>
      </c>
      <c r="DP140" s="94">
        <f t="shared" si="172"/>
        <v>0</v>
      </c>
      <c r="DQ140" s="28">
        <f t="shared" si="173"/>
        <v>347.20145870123753</v>
      </c>
      <c r="DR140" s="318"/>
      <c r="DT140" s="8"/>
      <c r="DU140" s="5"/>
      <c r="DX140" s="5">
        <f t="shared" si="174"/>
        <v>2705.5014567758321</v>
      </c>
      <c r="DY140" s="5">
        <f t="shared" si="175"/>
        <v>848.4</v>
      </c>
      <c r="DZ140" s="159">
        <f>'[3]побудинковий звіт'!EA140</f>
        <v>276.92541397028828</v>
      </c>
    </row>
    <row r="141" spans="1:130" x14ac:dyDescent="0.3">
      <c r="A141" s="325">
        <v>150000636</v>
      </c>
      <c r="B141" s="41" t="s">
        <v>590</v>
      </c>
      <c r="C141" s="42" t="s">
        <v>259</v>
      </c>
      <c r="D141" s="42"/>
      <c r="E141" s="293">
        <f t="shared" si="149"/>
        <v>3175.8</v>
      </c>
      <c r="F141" s="305">
        <f>'[3]побудинковий звіт'!F141</f>
        <v>3175.8</v>
      </c>
      <c r="G141" s="508">
        <f>'[3]побудинковий звіт'!G141</f>
        <v>0</v>
      </c>
      <c r="H141" s="560">
        <f>'[3]побудинковий звіт'!H141</f>
        <v>0</v>
      </c>
      <c r="I141" s="566">
        <f>VLOOKUP($A141,'01-02.2021'!$A$6:$CZ$403,9,FALSE)+VLOOKUP($A141,'1.3.21-28.2.22'!$A$6:$DA$404,9,FALSE)-VLOOKUP($A141,'01-02.2022'!$A$6:$DA$376,9,FALSE)</f>
        <v>10388.551115608763</v>
      </c>
      <c r="J141" s="566">
        <f>VLOOKUP($A141,'01-02.2021'!$A$6:$CZ$403,10,FALSE)+VLOOKUP($A141,'1.3.21-28.2.22'!$A$6:$DA$404,10,FALSE)-VLOOKUP($A141,'01-02.2022'!$A$6:$DA$376,10,FALSE)</f>
        <v>10309.882328478012</v>
      </c>
      <c r="K141" s="52">
        <f t="shared" si="155"/>
        <v>-78.668787130751298</v>
      </c>
      <c r="L141" s="566">
        <f>VLOOKUP($A141,'01-02.2021'!$A$6:$CZ$403,12,FALSE)+VLOOKUP($A141,'1.3.21-28.2.22'!$A$6:$DA$404,12,FALSE)-VLOOKUP($A141,'01-02.2022'!$A$6:$DA$376,12,FALSE)</f>
        <v>2169.8261284854993</v>
      </c>
      <c r="M141" s="566">
        <f>VLOOKUP($A141,'01-02.2021'!$A$6:$CZ$403,13,FALSE)+VLOOKUP($A141,'1.3.21-28.2.22'!$A$6:$DA$404,13,FALSE)-VLOOKUP($A141,'01-02.2022'!$A$6:$DA$376,13,FALSE)</f>
        <v>2166.5234953545341</v>
      </c>
      <c r="N141" s="52">
        <f t="shared" si="156"/>
        <v>-3.3026331309652051</v>
      </c>
      <c r="O141" s="566">
        <f>VLOOKUP($A141,'01-02.2021'!$A$6:$CZ$403,15,FALSE)+VLOOKUP($A141,'1.3.21-28.2.22'!$A$6:$DA$404,15,FALSE)-VLOOKUP($A141,'01-02.2022'!$A$6:$DA$376,15,FALSE)</f>
        <v>4298.8979778528419</v>
      </c>
      <c r="P141" s="566">
        <f>VLOOKUP($A141,'01-02.2021'!$A$6:$CZ$403,16,FALSE)+VLOOKUP($A141,'1.3.21-28.2.22'!$A$6:$DA$404,16,FALSE)-VLOOKUP($A141,'01-02.2022'!$A$6:$DA$376,16,FALSE)</f>
        <v>4298.9100000000008</v>
      </c>
      <c r="Q141" s="70">
        <f t="shared" si="176"/>
        <v>1.2022147158859298E-2</v>
      </c>
      <c r="R141" s="566">
        <f>VLOOKUP($A141,'01-02.2021'!$A$6:$CZ$403,18,FALSE)+VLOOKUP($A141,'1.3.21-28.2.22'!$A$6:$DA$404,18,FALSE)-VLOOKUP($A141,'01-02.2022'!$A$6:$DA$376,18,FALSE)</f>
        <v>0</v>
      </c>
      <c r="S141" s="566">
        <f>VLOOKUP($A141,'01-02.2021'!$A$6:$CZ$403,19,FALSE)+VLOOKUP($A141,'1.3.21-28.2.22'!$A$6:$DA$404,19,FALSE)-VLOOKUP($A141,'01-02.2022'!$A$6:$DA$376,19,FALSE)</f>
        <v>0</v>
      </c>
      <c r="T141" s="70">
        <f t="shared" si="177"/>
        <v>0</v>
      </c>
      <c r="U141" s="566">
        <f>VLOOKUP($A141,'01-02.2021'!$A$6:$CZ$403,21,FALSE)+VLOOKUP($A141,'1.3.21-28.2.22'!$A$6:$DA$404,21,FALSE)-VLOOKUP($A141,'01-02.2022'!$A$6:$DA$376,21,FALSE)</f>
        <v>610.46629745812027</v>
      </c>
      <c r="V141" s="566">
        <f>VLOOKUP($A141,'01-02.2021'!$A$6:$CZ$403,22,FALSE)+VLOOKUP($A141,'1.3.21-28.2.22'!$A$6:$DA$404,22,FALSE)-VLOOKUP($A141,'01-02.2022'!$A$6:$DA$376,22,FALSE)</f>
        <v>518.78454313363841</v>
      </c>
      <c r="W141" s="70">
        <f t="shared" si="178"/>
        <v>-91.681754324481858</v>
      </c>
      <c r="X141" s="566">
        <f>VLOOKUP($A141,'01-02.2021'!$A$6:$CZ$403,24,FALSE)+VLOOKUP($A141,'1.3.21-28.2.22'!$A$6:$DA$404,24,FALSE)-VLOOKUP($A141,'01-02.2022'!$A$6:$DA$376,24,FALSE)</f>
        <v>5954.7848530468018</v>
      </c>
      <c r="Y141" s="566">
        <f>VLOOKUP($A141,'01-02.2021'!$A$6:$CZ$403,25,FALSE)+VLOOKUP($A141,'1.3.21-28.2.22'!$A$6:$DA$404,25,FALSE)-VLOOKUP($A141,'01-02.2022'!$A$6:$DA$376,25,FALSE)</f>
        <v>5121.03787269433</v>
      </c>
      <c r="Z141" s="70">
        <f t="shared" si="179"/>
        <v>-833.74698035247184</v>
      </c>
      <c r="AA141" s="566">
        <f>VLOOKUP($A141,'01-02.2021'!$A$6:$CZ$403,27,FALSE)+VLOOKUP($A141,'1.3.21-28.2.22'!$A$6:$DA$404,27,FALSE)-VLOOKUP($A141,'01-02.2022'!$A$6:$DA$376,27,FALSE)</f>
        <v>635.154</v>
      </c>
      <c r="AB141" s="566">
        <f>VLOOKUP($A141,'01-02.2021'!$A$6:$CZ$403,28,FALSE)+VLOOKUP($A141,'1.3.21-28.2.22'!$A$6:$DA$404,28,FALSE)-VLOOKUP($A141,'01-02.2022'!$A$6:$DA$376,28,FALSE)</f>
        <v>0</v>
      </c>
      <c r="AC141" s="70">
        <f t="shared" si="180"/>
        <v>-635.154</v>
      </c>
      <c r="AD141" s="566">
        <f>VLOOKUP($A141,'01-02.2021'!$A$6:$CZ$403,30,FALSE)+VLOOKUP($A141,'1.3.21-28.2.22'!$A$6:$DA$404,30,FALSE)-VLOOKUP($A141,'01-02.2022'!$A$6:$DA$376,30,FALSE)</f>
        <v>13640.914318694488</v>
      </c>
      <c r="AE141" s="566">
        <f>VLOOKUP($A141,'01-02.2021'!$A$6:$CZ$403,31,FALSE)+VLOOKUP($A141,'1.3.21-28.2.22'!$A$6:$DA$404,31,FALSE)-VLOOKUP($A141,'01-02.2022'!$A$6:$DA$376,31,FALSE)</f>
        <v>14456.299331294002</v>
      </c>
      <c r="AF141" s="68">
        <f t="shared" si="181"/>
        <v>815.38501259951408</v>
      </c>
      <c r="AG141" s="77">
        <f t="shared" si="150"/>
        <v>37698.594691146514</v>
      </c>
      <c r="AH141" s="53">
        <f t="shared" si="150"/>
        <v>36871.437570954513</v>
      </c>
      <c r="AI141" s="52">
        <f t="shared" si="157"/>
        <v>-827.15712019200146</v>
      </c>
      <c r="AJ141" s="566">
        <f>VLOOKUP($A141,'01-02.2021'!$A$6:$CZ$403,36,FALSE)+VLOOKUP($A141,'1.3.21-28.2.22'!$A$6:$DA$404,36,FALSE)-VLOOKUP($A141,'01-02.2022'!$A$6:$DA$376,36,FALSE)</f>
        <v>0</v>
      </c>
      <c r="AK141" s="566">
        <f>VLOOKUP($A141,'01-02.2021'!$A$6:$CZ$403,37,FALSE)+VLOOKUP($A141,'1.3.21-28.2.22'!$A$6:$DA$404,37,FALSE)-VLOOKUP($A141,'01-02.2022'!$A$6:$DA$376,37,FALSE)</f>
        <v>0</v>
      </c>
      <c r="AL141" s="70">
        <f t="shared" si="182"/>
        <v>0</v>
      </c>
      <c r="AM141" s="566">
        <f>VLOOKUP($A141,'01-02.2021'!$A$6:$CZ$403,39,FALSE)+VLOOKUP($A141,'1.3.21-28.2.22'!$A$6:$DA$404,39,FALSE)-VLOOKUP($A141,'01-02.2022'!$A$6:$DA$376,39,FALSE)</f>
        <v>0</v>
      </c>
      <c r="AN141" s="566">
        <f>VLOOKUP($A141,'01-02.2021'!$A$6:$CZ$403,40,FALSE)+VLOOKUP($A141,'1.3.21-28.2.22'!$A$6:$DA$404,40,FALSE)-VLOOKUP($A141,'01-02.2022'!$A$6:$DA$376,40,FALSE)</f>
        <v>0</v>
      </c>
      <c r="AO141" s="70">
        <f t="shared" si="183"/>
        <v>0</v>
      </c>
      <c r="AP141" s="566">
        <f>VLOOKUP($A141,'01-02.2021'!$A$6:$CZ$403,42,FALSE)+VLOOKUP($A141,'1.3.21-28.2.22'!$A$6:$DA$404,42,FALSE)-VLOOKUP($A141,'01-02.2022'!$A$6:$DA$376,42,FALSE)</f>
        <v>9109.7986877236053</v>
      </c>
      <c r="AQ141" s="566">
        <f>VLOOKUP($A141,'01-02.2021'!$A$6:$CZ$403,43,FALSE)+VLOOKUP($A141,'1.3.21-28.2.22'!$A$6:$DA$404,43,FALSE)-VLOOKUP($A141,'01-02.2022'!$A$6:$DA$376,43,FALSE)</f>
        <v>7966.6162462208031</v>
      </c>
      <c r="AR141" s="70">
        <f t="shared" si="184"/>
        <v>-1143.1824415028022</v>
      </c>
      <c r="AS141" s="566">
        <f>VLOOKUP($A141,'01-02.2021'!$A$6:$CZ$403,45,FALSE)+VLOOKUP($A141,'1.3.21-28.2.22'!$A$6:$DA$404,45,FALSE)-VLOOKUP($A141,'01-02.2022'!$A$6:$DA$376,45,FALSE)</f>
        <v>33239.804850299435</v>
      </c>
      <c r="AT141" s="566">
        <f>VLOOKUP($A141,'01-02.2021'!$A$6:$CZ$403,46,FALSE)+VLOOKUP($A141,'1.3.21-28.2.22'!$A$6:$DA$404,46,FALSE)-VLOOKUP($A141,'01-02.2022'!$A$6:$DA$376,46,FALSE)</f>
        <v>6268</v>
      </c>
      <c r="AU141" s="78">
        <f t="shared" si="185"/>
        <v>-26971.804850299435</v>
      </c>
      <c r="AV141" s="566">
        <f>VLOOKUP($A141,'01-02.2021'!$A$6:$CZ$403,48,FALSE)+VLOOKUP($A141,'1.3.21-28.2.22'!$A$6:$DA$404,48,FALSE)-VLOOKUP($A141,'01-02.2022'!$A$6:$DA$376,48,FALSE)</f>
        <v>2753.8210101464465</v>
      </c>
      <c r="AW141" s="566">
        <f>VLOOKUP($A141,'01-02.2021'!$A$6:$CZ$403,49,FALSE)+VLOOKUP($A141,'1.3.21-28.2.22'!$A$6:$DA$404,49,FALSE)-VLOOKUP($A141,'01-02.2022'!$A$6:$DA$376,49,FALSE)</f>
        <v>1241</v>
      </c>
      <c r="AX141" s="55">
        <f t="shared" si="186"/>
        <v>-1512.8210101464465</v>
      </c>
      <c r="AY141" s="566">
        <f>VLOOKUP($A141,'01-02.2021'!$A$6:$CZ$403,51,FALSE)+VLOOKUP($A141,'1.3.21-28.2.22'!$A$6:$DA$404,51,FALSE)-VLOOKUP($A141,'01-02.2022'!$A$6:$DA$376,51,FALSE)</f>
        <v>4078.7414925181456</v>
      </c>
      <c r="AZ141" s="566">
        <f>VLOOKUP($A141,'01-02.2021'!$A$6:$CZ$403,52,FALSE)+VLOOKUP($A141,'1.3.21-28.2.22'!$A$6:$DA$404,52,FALSE)-VLOOKUP($A141,'01-02.2022'!$A$6:$DA$376,52,FALSE)</f>
        <v>4065</v>
      </c>
      <c r="BA141" s="38">
        <f t="shared" si="187"/>
        <v>-13.741492518145606</v>
      </c>
      <c r="BB141" s="566">
        <f>VLOOKUP($A141,'01-02.2021'!$A$6:$CZ$403,54,FALSE)+VLOOKUP($A141,'1.3.21-28.2.22'!$A$6:$DA$404,54,FALSE)-VLOOKUP($A141,'01-02.2022'!$A$6:$DA$376,54,FALSE)</f>
        <v>1544.7431202359212</v>
      </c>
      <c r="BC141" s="566">
        <f>VLOOKUP($A141,'01-02.2021'!$A$6:$CZ$403,55,FALSE)+VLOOKUP($A141,'1.3.21-28.2.22'!$A$6:$DA$404,55,FALSE)-VLOOKUP($A141,'01-02.2022'!$A$6:$DA$376,55,FALSE)</f>
        <v>624</v>
      </c>
      <c r="BD141" s="55">
        <f t="shared" si="188"/>
        <v>-920.7431202359212</v>
      </c>
      <c r="BE141" s="566">
        <f>VLOOKUP($A141,'01-02.2021'!$A$6:$CZ$403,57,FALSE)+VLOOKUP($A141,'1.3.21-28.2.22'!$A$6:$DA$404,57,FALSE)-VLOOKUP($A141,'01-02.2022'!$A$6:$DA$376,57,FALSE)</f>
        <v>0</v>
      </c>
      <c r="BF141" s="566">
        <f>VLOOKUP($A141,'01-02.2021'!$A$6:$CZ$403,58,FALSE)+VLOOKUP($A141,'1.3.21-28.2.22'!$A$6:$DA$404,58,FALSE)-VLOOKUP($A141,'01-02.2022'!$A$6:$DA$376,58,FALSE)</f>
        <v>0</v>
      </c>
      <c r="BG141" s="55">
        <f t="shared" si="189"/>
        <v>0</v>
      </c>
      <c r="BH141" s="566">
        <f>VLOOKUP($A141,'01-02.2021'!$A$6:$CZ$403,60,FALSE)+VLOOKUP($A141,'1.3.21-28.2.22'!$A$6:$DA$404,60,FALSE)-VLOOKUP($A141,'01-02.2022'!$A$6:$DA$376,60,FALSE)</f>
        <v>1369.6262160600197</v>
      </c>
      <c r="BI141" s="566">
        <f>VLOOKUP($A141,'01-02.2021'!$A$6:$CZ$403,61,FALSE)+VLOOKUP($A141,'1.3.21-28.2.22'!$A$6:$DA$404,61,FALSE)-VLOOKUP($A141,'01-02.2022'!$A$6:$DA$376,61,FALSE)</f>
        <v>0</v>
      </c>
      <c r="BJ141" s="55">
        <f t="shared" si="190"/>
        <v>-1369.6262160600197</v>
      </c>
      <c r="BK141" s="566">
        <f>VLOOKUP($A141,'01-02.2021'!$A$6:$CZ$403,63,FALSE)+VLOOKUP($A141,'1.3.21-28.2.22'!$A$6:$DA$404,63,FALSE)-VLOOKUP($A141,'01-02.2022'!$A$6:$DA$376,63,FALSE)</f>
        <v>2118.8531110569861</v>
      </c>
      <c r="BL141" s="566">
        <f>VLOOKUP($A141,'01-02.2021'!$A$6:$CZ$403,64,FALSE)+VLOOKUP($A141,'1.3.21-28.2.22'!$A$6:$DA$404,64,FALSE)-VLOOKUP($A141,'01-02.2022'!$A$6:$DA$376,64,FALSE)</f>
        <v>0</v>
      </c>
      <c r="BM141" s="55">
        <f t="shared" si="191"/>
        <v>-2118.8531110569861</v>
      </c>
      <c r="BN141" s="566">
        <f>VLOOKUP($A141,'01-02.2021'!$A$6:$CZ$403,66,FALSE)+VLOOKUP($A141,'1.3.21-28.2.22'!$A$6:$DA$404,66,FALSE)-VLOOKUP($A141,'01-02.2022'!$A$6:$DA$376,66,FALSE)</f>
        <v>158.7885</v>
      </c>
      <c r="BO141" s="566">
        <f>VLOOKUP($A141,'01-02.2021'!$A$6:$CZ$403,67,FALSE)+VLOOKUP($A141,'1.3.21-28.2.22'!$A$6:$DA$404,67,FALSE)-VLOOKUP($A141,'01-02.2022'!$A$6:$DA$376,67,FALSE)</f>
        <v>0</v>
      </c>
      <c r="BP141" s="55">
        <f t="shared" si="192"/>
        <v>-158.7885</v>
      </c>
      <c r="BQ141" s="77">
        <f t="shared" si="151"/>
        <v>12024.573450017519</v>
      </c>
      <c r="BR141" s="40">
        <f t="shared" si="152"/>
        <v>5930</v>
      </c>
      <c r="BS141" s="55">
        <f t="shared" si="166"/>
        <v>-6094.5734500175186</v>
      </c>
      <c r="BT141" s="566">
        <f>VLOOKUP($A141,'01-02.2021'!$A$6:$CZ$403,72,FALSE)+VLOOKUP($A141,'1.3.21-28.2.22'!$A$6:$DA$404,72,FALSE)-VLOOKUP($A141,'01-02.2022'!$A$6:$DA$376,72,FALSE)</f>
        <v>29316.946279803124</v>
      </c>
      <c r="BU141" s="566">
        <f>VLOOKUP($A141,'01-02.2021'!$A$6:$CZ$403,73,FALSE)+VLOOKUP($A141,'1.3.21-28.2.22'!$A$6:$DA$404,73,FALSE)-VLOOKUP($A141,'01-02.2022'!$A$6:$DA$376,73,FALSE)</f>
        <v>34650.663418881908</v>
      </c>
      <c r="BV141" s="70">
        <f t="shared" si="193"/>
        <v>5333.7171390787844</v>
      </c>
      <c r="BW141" s="566">
        <f>VLOOKUP($A141,'01-02.2021'!$A$6:$CZ$403,75,FALSE)+VLOOKUP($A141,'1.3.21-28.2.22'!$A$6:$DA$404,75,FALSE)-VLOOKUP($A141,'01-02.2022'!$A$6:$DA$376,75,FALSE)</f>
        <v>15470.015619094058</v>
      </c>
      <c r="BX141" s="566">
        <f>VLOOKUP($A141,'01-02.2021'!$A$6:$CZ$403,76,FALSE)+VLOOKUP($A141,'1.3.21-28.2.22'!$A$6:$DA$404,76,FALSE)-VLOOKUP($A141,'01-02.2022'!$A$6:$DA$376,76,FALSE)</f>
        <v>17889.397451891113</v>
      </c>
      <c r="BY141" s="70">
        <f t="shared" si="194"/>
        <v>2419.3818327970548</v>
      </c>
      <c r="BZ141" s="566">
        <f>VLOOKUP($A141,'01-02.2021'!$A$6:$CZ$403,78,FALSE)+VLOOKUP($A141,'1.3.21-28.2.22'!$A$6:$DA$404,78,FALSE)-VLOOKUP($A141,'01-02.2022'!$A$6:$DA$376,78,FALSE)</f>
        <v>7002.536388213889</v>
      </c>
      <c r="CA141" s="566">
        <f>VLOOKUP($A141,'01-02.2021'!$A$6:$CZ$403,79,FALSE)+VLOOKUP($A141,'1.3.21-28.2.22'!$A$6:$DA$404,79,FALSE)-VLOOKUP($A141,'01-02.2022'!$A$6:$DA$376,79,FALSE)</f>
        <v>5838.3956614814324</v>
      </c>
      <c r="CB141" s="70">
        <f t="shared" si="195"/>
        <v>-1164.1407267324566</v>
      </c>
      <c r="CC141" s="566">
        <f>VLOOKUP($A141,'01-02.2021'!$A$6:$CZ$403,81,FALSE)+VLOOKUP($A141,'1.3.21-28.2.22'!$A$6:$DA$404,81,FALSE)-VLOOKUP($A141,'01-02.2022'!$A$6:$DA$376,81,FALSE)</f>
        <v>1684.1731078550911</v>
      </c>
      <c r="CD141" s="566">
        <f>VLOOKUP($A141,'01-02.2021'!$A$6:$CZ$403,82,FALSE)+VLOOKUP($A141,'1.3.21-28.2.22'!$A$6:$DA$404,82,FALSE)-VLOOKUP($A141,'01-02.2022'!$A$6:$DA$376,82,FALSE)</f>
        <v>1840.7894506020334</v>
      </c>
      <c r="CE141" s="70">
        <f t="shared" si="196"/>
        <v>156.61634274694234</v>
      </c>
      <c r="CF141" s="566">
        <f>VLOOKUP($A141,'01-02.2021'!$A$6:$CZ$403,84,FALSE)+VLOOKUP($A141,'1.3.21-28.2.22'!$A$6:$DA$404,84,FALSE)-VLOOKUP($A141,'01-02.2022'!$A$6:$DA$376,84,FALSE)</f>
        <v>204.74593364998759</v>
      </c>
      <c r="CG141" s="566">
        <f>VLOOKUP($A141,'01-02.2021'!$A$6:$CZ$403,85,FALSE)+VLOOKUP($A141,'1.3.21-28.2.22'!$A$6:$DA$404,85,FALSE)-VLOOKUP($A141,'01-02.2022'!$A$6:$DA$376,85,FALSE)</f>
        <v>554.44574346276681</v>
      </c>
      <c r="CH141" s="70">
        <f t="shared" si="197"/>
        <v>349.69980981277922</v>
      </c>
      <c r="CI141" s="566">
        <f>VLOOKUP($A141,'01-02.2021'!$A$6:$CZ$403,87,FALSE)+VLOOKUP($A141,'1.3.21-28.2.22'!$A$6:$DA$404,87,FALSE)-VLOOKUP($A141,'01-02.2022'!$A$6:$DA$376,87,FALSE)</f>
        <v>5773.5612032246581</v>
      </c>
      <c r="CJ141" s="566">
        <f>VLOOKUP($A141,'01-02.2021'!$A$6:$CZ$403,88,FALSE)+VLOOKUP($A141,'1.3.21-28.2.22'!$A$6:$DA$404,88,FALSE)-VLOOKUP($A141,'01-02.2022'!$A$6:$DA$376,88,FALSE)</f>
        <v>5278.5638658420803</v>
      </c>
      <c r="CK141" s="70">
        <f t="shared" si="198"/>
        <v>-494.99733738257783</v>
      </c>
      <c r="CL141" s="566">
        <f>VLOOKUP($A141,'01-02.2021'!$A$6:$CZ$403,90,FALSE)+VLOOKUP($A141,'1.3.21-28.2.22'!$A$6:$DA$404,90,FALSE)-VLOOKUP($A141,'01-02.2022'!$A$6:$DA$376,90,FALSE)</f>
        <v>0</v>
      </c>
      <c r="CM141" s="566">
        <f>VLOOKUP($A141,'01-02.2021'!$A$6:$CZ$403,91,FALSE)+VLOOKUP($A141,'1.3.21-28.2.22'!$A$6:$DA$404,91,FALSE)-VLOOKUP($A141,'01-02.2022'!$A$6:$DA$376,91,FALSE)</f>
        <v>0</v>
      </c>
      <c r="CN141" s="52">
        <f t="shared" si="158"/>
        <v>0</v>
      </c>
      <c r="CO141" s="39">
        <f t="shared" si="153"/>
        <v>5773.5612032246581</v>
      </c>
      <c r="CP141" s="40">
        <f t="shared" si="159"/>
        <v>5278.5638658420803</v>
      </c>
      <c r="CQ141" s="52">
        <f t="shared" si="160"/>
        <v>-494.99733738257783</v>
      </c>
      <c r="CR141" s="72">
        <f t="shared" si="154"/>
        <v>151524.75021102786</v>
      </c>
      <c r="CS141" s="5">
        <f t="shared" si="154"/>
        <v>123088.30940933665</v>
      </c>
      <c r="CT141" s="52">
        <f t="shared" si="161"/>
        <v>-28436.440801691206</v>
      </c>
      <c r="CU141" s="77">
        <f t="shared" si="162"/>
        <v>181829.70025323343</v>
      </c>
      <c r="CV141" s="65">
        <f t="shared" si="163"/>
        <v>147705.97129120398</v>
      </c>
      <c r="CW141" s="35">
        <f t="shared" si="164"/>
        <v>-34123.728962029447</v>
      </c>
      <c r="CX141" s="566">
        <f>VLOOKUP($A141,'01-02.2021'!$A$6:$CZ$403,102,FALSE)+VLOOKUP($A141,'1.3.21-28.2.22'!$A$6:$DA$404,102,FALSE)-VLOOKUP($A141,'01-02.2022'!$A$6:$DA$376,102,FALSE)</f>
        <v>5748.3065445964112</v>
      </c>
      <c r="CY141" s="566">
        <f>VLOOKUP($A141,'01-02.2021'!$A$6:$CZ$403,103,FALSE)+VLOOKUP($A141,'1.3.21-28.2.22'!$A$6:$DA$404,103,FALSE)-VLOOKUP($A141,'01-02.2022'!$A$6:$DA$376,103,FALSE)</f>
        <v>39872.035506625893</v>
      </c>
      <c r="CZ141" s="52">
        <f t="shared" si="165"/>
        <v>34123.728962029483</v>
      </c>
      <c r="DA141" s="150">
        <f>'[2]побудинковий звіт'!DA141</f>
        <v>-87257.599441255094</v>
      </c>
      <c r="DB141" s="2">
        <v>3</v>
      </c>
      <c r="DC141" s="414">
        <f>'[4]побудинковий звіт'!DC141</f>
        <v>31388.959999999999</v>
      </c>
      <c r="DD141" s="414">
        <f>'[4]побудинковий звіт'!DD141</f>
        <v>0</v>
      </c>
      <c r="DE141" s="557">
        <f>'[4]побудинковий звіт'!DE141</f>
        <v>14337.996040276696</v>
      </c>
      <c r="DF141" s="557">
        <f>'[4]побудинковий звіт'!DF141</f>
        <v>0</v>
      </c>
      <c r="DG141" s="321">
        <f>VLOOKUP(A141,'кошти 01.03.2021'!$A$6:$D$401,4,)</f>
        <v>-49938.255764458045</v>
      </c>
      <c r="DH141" s="40">
        <f>'[3]побудинковий звіт'!DJ141</f>
        <v>194292.46856253786</v>
      </c>
      <c r="DI141" s="422">
        <f>'[3]побудинковий звіт'!CU141+'[3]побудинковий звіт'!CX141</f>
        <v>17050.963959723304</v>
      </c>
      <c r="DJ141" s="306">
        <f>'[3]побудинковий звіт'!DM141</f>
        <v>5.3690295231826006</v>
      </c>
      <c r="DK141" s="306">
        <f t="shared" si="168"/>
        <v>5.3690295231826006</v>
      </c>
      <c r="DL141" s="306">
        <f>'[3]побудинковий звіт'!DO141</f>
        <v>4.7920728764902458</v>
      </c>
      <c r="DM141" s="28">
        <f t="shared" si="169"/>
        <v>17050.963959723304</v>
      </c>
      <c r="DN141" s="28">
        <f t="shared" si="170"/>
        <v>0</v>
      </c>
      <c r="DO141" s="423">
        <f t="shared" si="171"/>
        <v>17050.963959723304</v>
      </c>
      <c r="DP141" s="94">
        <f t="shared" si="172"/>
        <v>0</v>
      </c>
      <c r="DQ141" s="28">
        <f t="shared" si="173"/>
        <v>17050.963959723304</v>
      </c>
      <c r="DR141" s="318"/>
      <c r="DT141" s="8"/>
      <c r="DU141" s="5"/>
      <c r="DX141" s="5">
        <f t="shared" si="174"/>
        <v>54317.253960380338</v>
      </c>
      <c r="DY141" s="5">
        <f t="shared" si="175"/>
        <v>14637.6</v>
      </c>
      <c r="DZ141" s="159">
        <f>'[3]побудинковий звіт'!EA141</f>
        <v>4888.4739711767679</v>
      </c>
    </row>
    <row r="142" spans="1:130" x14ac:dyDescent="0.3">
      <c r="A142" s="325">
        <v>150000637</v>
      </c>
      <c r="B142" s="41" t="s">
        <v>591</v>
      </c>
      <c r="C142" s="42" t="s">
        <v>88</v>
      </c>
      <c r="D142" s="42"/>
      <c r="E142" s="293">
        <f t="shared" si="149"/>
        <v>164.45</v>
      </c>
      <c r="F142" s="305">
        <f>'[3]побудинковий звіт'!F142</f>
        <v>164.45</v>
      </c>
      <c r="G142" s="508">
        <f>'[3]побудинковий звіт'!G142</f>
        <v>0</v>
      </c>
      <c r="H142" s="560">
        <f>'[3]побудинковий звіт'!H142</f>
        <v>0</v>
      </c>
      <c r="I142" s="566"/>
      <c r="J142" s="566"/>
      <c r="K142" s="52">
        <f t="shared" si="155"/>
        <v>0</v>
      </c>
      <c r="L142" s="566"/>
      <c r="M142" s="566"/>
      <c r="N142" s="52">
        <f t="shared" si="156"/>
        <v>0</v>
      </c>
      <c r="O142" s="566"/>
      <c r="P142" s="566"/>
      <c r="Q142" s="70"/>
      <c r="R142" s="566"/>
      <c r="S142" s="566"/>
      <c r="T142" s="70"/>
      <c r="U142" s="566"/>
      <c r="V142" s="566"/>
      <c r="W142" s="70"/>
      <c r="X142" s="566"/>
      <c r="Y142" s="566"/>
      <c r="Z142" s="70"/>
      <c r="AA142" s="566"/>
      <c r="AB142" s="566"/>
      <c r="AC142" s="70"/>
      <c r="AD142" s="566"/>
      <c r="AE142" s="566"/>
      <c r="AF142" s="68"/>
      <c r="AG142" s="77">
        <f t="shared" si="150"/>
        <v>0</v>
      </c>
      <c r="AH142" s="53">
        <f t="shared" si="150"/>
        <v>0</v>
      </c>
      <c r="AI142" s="52">
        <f t="shared" si="157"/>
        <v>0</v>
      </c>
      <c r="AJ142" s="566"/>
      <c r="AK142" s="566"/>
      <c r="AL142" s="70"/>
      <c r="AM142" s="566"/>
      <c r="AN142" s="566"/>
      <c r="AO142" s="70"/>
      <c r="AP142" s="566"/>
      <c r="AQ142" s="566"/>
      <c r="AR142" s="70"/>
      <c r="AS142" s="566"/>
      <c r="AT142" s="566"/>
      <c r="AU142" s="78"/>
      <c r="AV142" s="566"/>
      <c r="AW142" s="566"/>
      <c r="AX142" s="55"/>
      <c r="AY142" s="566"/>
      <c r="AZ142" s="566"/>
      <c r="BA142" s="38"/>
      <c r="BB142" s="566"/>
      <c r="BC142" s="566"/>
      <c r="BD142" s="55"/>
      <c r="BE142" s="566"/>
      <c r="BF142" s="566"/>
      <c r="BG142" s="55"/>
      <c r="BH142" s="566"/>
      <c r="BI142" s="566"/>
      <c r="BJ142" s="55"/>
      <c r="BK142" s="566"/>
      <c r="BL142" s="566"/>
      <c r="BM142" s="55"/>
      <c r="BN142" s="566"/>
      <c r="BO142" s="566"/>
      <c r="BP142" s="55"/>
      <c r="BQ142" s="77">
        <f t="shared" si="151"/>
        <v>0</v>
      </c>
      <c r="BR142" s="40">
        <f t="shared" si="152"/>
        <v>0</v>
      </c>
      <c r="BS142" s="55">
        <f t="shared" si="166"/>
        <v>0</v>
      </c>
      <c r="BT142" s="566"/>
      <c r="BU142" s="566"/>
      <c r="BV142" s="70"/>
      <c r="BW142" s="566"/>
      <c r="BX142" s="566"/>
      <c r="BY142" s="70"/>
      <c r="BZ142" s="566"/>
      <c r="CA142" s="566"/>
      <c r="CB142" s="70"/>
      <c r="CC142" s="566"/>
      <c r="CD142" s="566"/>
      <c r="CE142" s="70"/>
      <c r="CF142" s="566"/>
      <c r="CG142" s="566"/>
      <c r="CH142" s="70"/>
      <c r="CI142" s="566"/>
      <c r="CJ142" s="566"/>
      <c r="CK142" s="70"/>
      <c r="CL142" s="566"/>
      <c r="CM142" s="566"/>
      <c r="CN142" s="52">
        <f t="shared" si="158"/>
        <v>0</v>
      </c>
      <c r="CO142" s="39">
        <f t="shared" si="153"/>
        <v>0</v>
      </c>
      <c r="CP142" s="40">
        <f t="shared" si="159"/>
        <v>0</v>
      </c>
      <c r="CQ142" s="52">
        <f t="shared" si="160"/>
        <v>0</v>
      </c>
      <c r="CR142" s="72">
        <f t="shared" si="154"/>
        <v>0</v>
      </c>
      <c r="CS142" s="5">
        <f t="shared" si="154"/>
        <v>0</v>
      </c>
      <c r="CT142" s="52">
        <f t="shared" si="161"/>
        <v>0</v>
      </c>
      <c r="CU142" s="77">
        <f t="shared" si="162"/>
        <v>0</v>
      </c>
      <c r="CV142" s="65">
        <f t="shared" si="163"/>
        <v>0</v>
      </c>
      <c r="CW142" s="35">
        <f t="shared" si="164"/>
        <v>0</v>
      </c>
      <c r="CX142" s="566"/>
      <c r="CY142" s="566"/>
      <c r="CZ142" s="52">
        <f t="shared" si="165"/>
        <v>0</v>
      </c>
      <c r="DA142" s="150">
        <f>'[2]побудинковий звіт'!DA142</f>
        <v>-7085.2758377840419</v>
      </c>
      <c r="DB142" s="2">
        <v>3</v>
      </c>
      <c r="DC142" s="414">
        <f>'[4]побудинковий звіт'!DC142</f>
        <v>2736.31</v>
      </c>
      <c r="DD142" s="414">
        <f>'[4]побудинковий звіт'!DD142</f>
        <v>0</v>
      </c>
      <c r="DE142" s="557">
        <f>'[4]побудинковий звіт'!DE142</f>
        <v>2449.6544986496779</v>
      </c>
      <c r="DF142" s="557">
        <f>'[4]побудинковий звіт'!DF142</f>
        <v>0</v>
      </c>
      <c r="DG142" s="321">
        <f>VLOOKUP(A142,'кошти 01.03.2021'!$A$6:$D$401,4,)</f>
        <v>-5568.6765853521429</v>
      </c>
      <c r="DH142" s="40">
        <f>'[3]побудинковий звіт'!DJ142</f>
        <v>3268.2382076395052</v>
      </c>
      <c r="DI142" s="422">
        <f>'[3]побудинковий звіт'!CU142+'[3]побудинковий звіт'!CX142</f>
        <v>286.65550135032208</v>
      </c>
      <c r="DJ142" s="306">
        <f>'[3]побудинковий звіт'!DM142</f>
        <v>1.7431164569797635</v>
      </c>
      <c r="DK142" s="306">
        <f t="shared" si="168"/>
        <v>1.7431164569797635</v>
      </c>
      <c r="DL142" s="306">
        <f>'[3]побудинковий звіт'!DO142</f>
        <v>1.7431164569797635</v>
      </c>
      <c r="DM142" s="28">
        <f t="shared" si="169"/>
        <v>286.65550135032208</v>
      </c>
      <c r="DN142" s="28">
        <f t="shared" si="170"/>
        <v>0</v>
      </c>
      <c r="DO142" s="423">
        <f t="shared" si="171"/>
        <v>286.65550135032208</v>
      </c>
      <c r="DP142" s="94">
        <f t="shared" si="172"/>
        <v>0</v>
      </c>
      <c r="DQ142" s="28">
        <f t="shared" si="173"/>
        <v>286.65550135032208</v>
      </c>
      <c r="DR142" s="318"/>
      <c r="DT142" s="8"/>
      <c r="DU142" s="5"/>
      <c r="DX142" s="5">
        <f t="shared" si="174"/>
        <v>0</v>
      </c>
      <c r="DY142" s="5">
        <f t="shared" si="175"/>
        <v>0</v>
      </c>
      <c r="DZ142" s="159">
        <f>'[3]побудинковий звіт'!EA142</f>
        <v>243.97464337060057</v>
      </c>
    </row>
    <row r="143" spans="1:130" x14ac:dyDescent="0.3">
      <c r="A143" s="325">
        <v>150000555</v>
      </c>
      <c r="B143" s="41" t="s">
        <v>592</v>
      </c>
      <c r="C143" s="42" t="s">
        <v>89</v>
      </c>
      <c r="D143" s="42"/>
      <c r="E143" s="293">
        <f t="shared" si="149"/>
        <v>175.5</v>
      </c>
      <c r="F143" s="305">
        <f>'[3]побудинковий звіт'!F143</f>
        <v>175.5</v>
      </c>
      <c r="G143" s="508">
        <f>'[3]побудинковий звіт'!G143</f>
        <v>0</v>
      </c>
      <c r="H143" s="560">
        <f>'[3]побудинковий звіт'!H143</f>
        <v>0</v>
      </c>
      <c r="I143" s="566">
        <f>VLOOKUP($A143,'01-02.2021'!$A$6:$CZ$403,9,FALSE)+VLOOKUP($A143,'1.3.21-28.2.22'!$A$6:$DA$404,9,FALSE)-VLOOKUP($A143,'01-02.2022'!$A$6:$DA$376,9,FALSE)</f>
        <v>0</v>
      </c>
      <c r="J143" s="566">
        <f>VLOOKUP($A143,'01-02.2021'!$A$6:$CZ$403,10,FALSE)+VLOOKUP($A143,'1.3.21-28.2.22'!$A$6:$DA$404,10,FALSE)-VLOOKUP($A143,'01-02.2022'!$A$6:$DA$376,10,FALSE)</f>
        <v>0</v>
      </c>
      <c r="K143" s="52">
        <f t="shared" si="155"/>
        <v>0</v>
      </c>
      <c r="L143" s="566">
        <f>VLOOKUP($A143,'01-02.2021'!$A$6:$CZ$403,12,FALSE)+VLOOKUP($A143,'1.3.21-28.2.22'!$A$6:$DA$404,12,FALSE)-VLOOKUP($A143,'01-02.2022'!$A$6:$DA$376,12,FALSE)</f>
        <v>0</v>
      </c>
      <c r="M143" s="566">
        <f>VLOOKUP($A143,'01-02.2021'!$A$6:$CZ$403,13,FALSE)+VLOOKUP($A143,'1.3.21-28.2.22'!$A$6:$DA$404,13,FALSE)-VLOOKUP($A143,'01-02.2022'!$A$6:$DA$376,13,FALSE)</f>
        <v>0</v>
      </c>
      <c r="N143" s="52">
        <f t="shared" si="156"/>
        <v>0</v>
      </c>
      <c r="O143" s="566">
        <f>VLOOKUP($A143,'01-02.2021'!$A$6:$CZ$403,15,FALSE)+VLOOKUP($A143,'1.3.21-28.2.22'!$A$6:$DA$404,15,FALSE)-VLOOKUP($A143,'01-02.2022'!$A$6:$DA$376,15,FALSE)</f>
        <v>0</v>
      </c>
      <c r="P143" s="566">
        <f>VLOOKUP($A143,'01-02.2021'!$A$6:$CZ$403,16,FALSE)+VLOOKUP($A143,'1.3.21-28.2.22'!$A$6:$DA$404,16,FALSE)-VLOOKUP($A143,'01-02.2022'!$A$6:$DA$376,16,FALSE)</f>
        <v>0</v>
      </c>
      <c r="Q143" s="70">
        <f t="shared" si="176"/>
        <v>0</v>
      </c>
      <c r="R143" s="566">
        <f>VLOOKUP($A143,'01-02.2021'!$A$6:$CZ$403,18,FALSE)+VLOOKUP($A143,'1.3.21-28.2.22'!$A$6:$DA$404,18,FALSE)-VLOOKUP($A143,'01-02.2022'!$A$6:$DA$376,18,FALSE)</f>
        <v>0</v>
      </c>
      <c r="S143" s="566">
        <f>VLOOKUP($A143,'01-02.2021'!$A$6:$CZ$403,19,FALSE)+VLOOKUP($A143,'1.3.21-28.2.22'!$A$6:$DA$404,19,FALSE)-VLOOKUP($A143,'01-02.2022'!$A$6:$DA$376,19,FALSE)</f>
        <v>0</v>
      </c>
      <c r="T143" s="70">
        <f t="shared" si="177"/>
        <v>0</v>
      </c>
      <c r="U143" s="566">
        <f>VLOOKUP($A143,'01-02.2021'!$A$6:$CZ$403,21,FALSE)+VLOOKUP($A143,'1.3.21-28.2.22'!$A$6:$DA$404,21,FALSE)-VLOOKUP($A143,'01-02.2022'!$A$6:$DA$376,21,FALSE)</f>
        <v>0</v>
      </c>
      <c r="V143" s="566">
        <f>VLOOKUP($A143,'01-02.2021'!$A$6:$CZ$403,22,FALSE)+VLOOKUP($A143,'1.3.21-28.2.22'!$A$6:$DA$404,22,FALSE)-VLOOKUP($A143,'01-02.2022'!$A$6:$DA$376,22,FALSE)</f>
        <v>0</v>
      </c>
      <c r="W143" s="70">
        <f t="shared" si="178"/>
        <v>0</v>
      </c>
      <c r="X143" s="566">
        <f>VLOOKUP($A143,'01-02.2021'!$A$6:$CZ$403,24,FALSE)+VLOOKUP($A143,'1.3.21-28.2.22'!$A$6:$DA$404,24,FALSE)-VLOOKUP($A143,'01-02.2022'!$A$6:$DA$376,24,FALSE)</f>
        <v>0</v>
      </c>
      <c r="Y143" s="566">
        <f>VLOOKUP($A143,'01-02.2021'!$A$6:$CZ$403,25,FALSE)+VLOOKUP($A143,'1.3.21-28.2.22'!$A$6:$DA$404,25,FALSE)-VLOOKUP($A143,'01-02.2022'!$A$6:$DA$376,25,FALSE)</f>
        <v>0</v>
      </c>
      <c r="Z143" s="70">
        <f t="shared" si="179"/>
        <v>0</v>
      </c>
      <c r="AA143" s="566">
        <f>VLOOKUP($A143,'01-02.2021'!$A$6:$CZ$403,27,FALSE)+VLOOKUP($A143,'1.3.21-28.2.22'!$A$6:$DA$404,27,FALSE)-VLOOKUP($A143,'01-02.2022'!$A$6:$DA$376,27,FALSE)</f>
        <v>35.1</v>
      </c>
      <c r="AB143" s="566">
        <f>VLOOKUP($A143,'01-02.2021'!$A$6:$CZ$403,28,FALSE)+VLOOKUP($A143,'1.3.21-28.2.22'!$A$6:$DA$404,28,FALSE)-VLOOKUP($A143,'01-02.2022'!$A$6:$DA$376,28,FALSE)</f>
        <v>0</v>
      </c>
      <c r="AC143" s="70">
        <f t="shared" si="180"/>
        <v>-35.1</v>
      </c>
      <c r="AD143" s="566">
        <f>VLOOKUP($A143,'01-02.2021'!$A$6:$CZ$403,30,FALSE)+VLOOKUP($A143,'1.3.21-28.2.22'!$A$6:$DA$404,30,FALSE)-VLOOKUP($A143,'01-02.2022'!$A$6:$DA$376,30,FALSE)</f>
        <v>263.53331507791279</v>
      </c>
      <c r="AE143" s="566">
        <f>VLOOKUP($A143,'01-02.2021'!$A$6:$CZ$403,31,FALSE)+VLOOKUP($A143,'1.3.21-28.2.22'!$A$6:$DA$404,31,FALSE)-VLOOKUP($A143,'01-02.2022'!$A$6:$DA$376,31,FALSE)</f>
        <v>798.88307128993733</v>
      </c>
      <c r="AF143" s="68">
        <f t="shared" si="181"/>
        <v>535.34975621202454</v>
      </c>
      <c r="AG143" s="77">
        <f t="shared" si="150"/>
        <v>298.63331507791281</v>
      </c>
      <c r="AH143" s="53">
        <f t="shared" si="150"/>
        <v>798.88307128993733</v>
      </c>
      <c r="AI143" s="52">
        <f t="shared" si="157"/>
        <v>500.24975621202452</v>
      </c>
      <c r="AJ143" s="566">
        <f>VLOOKUP($A143,'01-02.2021'!$A$6:$CZ$403,36,FALSE)+VLOOKUP($A143,'1.3.21-28.2.22'!$A$6:$DA$404,36,FALSE)-VLOOKUP($A143,'01-02.2022'!$A$6:$DA$376,36,FALSE)</f>
        <v>0</v>
      </c>
      <c r="AK143" s="566">
        <f>VLOOKUP($A143,'01-02.2021'!$A$6:$CZ$403,37,FALSE)+VLOOKUP($A143,'1.3.21-28.2.22'!$A$6:$DA$404,37,FALSE)-VLOOKUP($A143,'01-02.2022'!$A$6:$DA$376,37,FALSE)</f>
        <v>0</v>
      </c>
      <c r="AL143" s="70">
        <f t="shared" si="182"/>
        <v>0</v>
      </c>
      <c r="AM143" s="566">
        <f>VLOOKUP($A143,'01-02.2021'!$A$6:$CZ$403,39,FALSE)+VLOOKUP($A143,'1.3.21-28.2.22'!$A$6:$DA$404,39,FALSE)-VLOOKUP($A143,'01-02.2022'!$A$6:$DA$376,39,FALSE)</f>
        <v>0</v>
      </c>
      <c r="AN143" s="566">
        <f>VLOOKUP($A143,'01-02.2021'!$A$6:$CZ$403,40,FALSE)+VLOOKUP($A143,'1.3.21-28.2.22'!$A$6:$DA$404,40,FALSE)-VLOOKUP($A143,'01-02.2022'!$A$6:$DA$376,40,FALSE)</f>
        <v>0</v>
      </c>
      <c r="AO143" s="70">
        <f t="shared" si="183"/>
        <v>0</v>
      </c>
      <c r="AP143" s="566">
        <f>VLOOKUP($A143,'01-02.2021'!$A$6:$CZ$403,42,FALSE)+VLOOKUP($A143,'1.3.21-28.2.22'!$A$6:$DA$404,42,FALSE)-VLOOKUP($A143,'01-02.2022'!$A$6:$DA$376,42,FALSE)</f>
        <v>260.27996250638864</v>
      </c>
      <c r="AQ143" s="566">
        <f>VLOOKUP($A143,'01-02.2021'!$A$6:$CZ$403,43,FALSE)+VLOOKUP($A143,'1.3.21-28.2.22'!$A$6:$DA$404,43,FALSE)-VLOOKUP($A143,'01-02.2022'!$A$6:$DA$376,43,FALSE)</f>
        <v>224.38224961495439</v>
      </c>
      <c r="AR143" s="70">
        <f t="shared" si="184"/>
        <v>-35.897712891434253</v>
      </c>
      <c r="AS143" s="566">
        <f>VLOOKUP($A143,'01-02.2021'!$A$6:$CZ$403,45,FALSE)+VLOOKUP($A143,'1.3.21-28.2.22'!$A$6:$DA$404,45,FALSE)-VLOOKUP($A143,'01-02.2022'!$A$6:$DA$376,45,FALSE)</f>
        <v>2171.4339853778656</v>
      </c>
      <c r="AT143" s="566">
        <f>VLOOKUP($A143,'01-02.2021'!$A$6:$CZ$403,46,FALSE)+VLOOKUP($A143,'1.3.21-28.2.22'!$A$6:$DA$404,46,FALSE)-VLOOKUP($A143,'01-02.2022'!$A$6:$DA$376,46,FALSE)</f>
        <v>0</v>
      </c>
      <c r="AU143" s="78">
        <f t="shared" si="185"/>
        <v>-2171.4339853778656</v>
      </c>
      <c r="AV143" s="566">
        <f>VLOOKUP($A143,'01-02.2021'!$A$6:$CZ$403,48,FALSE)+VLOOKUP($A143,'1.3.21-28.2.22'!$A$6:$DA$404,48,FALSE)-VLOOKUP($A143,'01-02.2022'!$A$6:$DA$376,48,FALSE)</f>
        <v>0</v>
      </c>
      <c r="AW143" s="566">
        <f>VLOOKUP($A143,'01-02.2021'!$A$6:$CZ$403,49,FALSE)+VLOOKUP($A143,'1.3.21-28.2.22'!$A$6:$DA$404,49,FALSE)-VLOOKUP($A143,'01-02.2022'!$A$6:$DA$376,49,FALSE)</f>
        <v>0</v>
      </c>
      <c r="AX143" s="55">
        <f t="shared" si="186"/>
        <v>0</v>
      </c>
      <c r="AY143" s="566">
        <f>VLOOKUP($A143,'01-02.2021'!$A$6:$CZ$403,51,FALSE)+VLOOKUP($A143,'1.3.21-28.2.22'!$A$6:$DA$404,51,FALSE)-VLOOKUP($A143,'01-02.2022'!$A$6:$DA$376,51,FALSE)</f>
        <v>0</v>
      </c>
      <c r="AZ143" s="566">
        <f>VLOOKUP($A143,'01-02.2021'!$A$6:$CZ$403,52,FALSE)+VLOOKUP($A143,'1.3.21-28.2.22'!$A$6:$DA$404,52,FALSE)-VLOOKUP($A143,'01-02.2022'!$A$6:$DA$376,52,FALSE)</f>
        <v>0</v>
      </c>
      <c r="BA143" s="38">
        <f t="shared" si="187"/>
        <v>0</v>
      </c>
      <c r="BB143" s="566">
        <f>VLOOKUP($A143,'01-02.2021'!$A$6:$CZ$403,54,FALSE)+VLOOKUP($A143,'1.3.21-28.2.22'!$A$6:$DA$404,54,FALSE)-VLOOKUP($A143,'01-02.2022'!$A$6:$DA$376,54,FALSE)</f>
        <v>0</v>
      </c>
      <c r="BC143" s="566">
        <f>VLOOKUP($A143,'01-02.2021'!$A$6:$CZ$403,55,FALSE)+VLOOKUP($A143,'1.3.21-28.2.22'!$A$6:$DA$404,55,FALSE)-VLOOKUP($A143,'01-02.2022'!$A$6:$DA$376,55,FALSE)</f>
        <v>0</v>
      </c>
      <c r="BD143" s="55">
        <f t="shared" si="188"/>
        <v>0</v>
      </c>
      <c r="BE143" s="566">
        <f>VLOOKUP($A143,'01-02.2021'!$A$6:$CZ$403,57,FALSE)+VLOOKUP($A143,'1.3.21-28.2.22'!$A$6:$DA$404,57,FALSE)-VLOOKUP($A143,'01-02.2022'!$A$6:$DA$376,57,FALSE)</f>
        <v>0</v>
      </c>
      <c r="BF143" s="566">
        <f>VLOOKUP($A143,'01-02.2021'!$A$6:$CZ$403,58,FALSE)+VLOOKUP($A143,'1.3.21-28.2.22'!$A$6:$DA$404,58,FALSE)-VLOOKUP($A143,'01-02.2022'!$A$6:$DA$376,58,FALSE)</f>
        <v>0</v>
      </c>
      <c r="BG143" s="55">
        <f t="shared" si="189"/>
        <v>0</v>
      </c>
      <c r="BH143" s="566">
        <f>VLOOKUP($A143,'01-02.2021'!$A$6:$CZ$403,60,FALSE)+VLOOKUP($A143,'1.3.21-28.2.22'!$A$6:$DA$404,60,FALSE)-VLOOKUP($A143,'01-02.2022'!$A$6:$DA$376,60,FALSE)</f>
        <v>0</v>
      </c>
      <c r="BI143" s="566">
        <f>VLOOKUP($A143,'01-02.2021'!$A$6:$CZ$403,61,FALSE)+VLOOKUP($A143,'1.3.21-28.2.22'!$A$6:$DA$404,61,FALSE)-VLOOKUP($A143,'01-02.2022'!$A$6:$DA$376,61,FALSE)</f>
        <v>0</v>
      </c>
      <c r="BJ143" s="55">
        <f t="shared" si="190"/>
        <v>0</v>
      </c>
      <c r="BK143" s="566">
        <f>VLOOKUP($A143,'01-02.2021'!$A$6:$CZ$403,63,FALSE)+VLOOKUP($A143,'1.3.21-28.2.22'!$A$6:$DA$404,63,FALSE)-VLOOKUP($A143,'01-02.2022'!$A$6:$DA$376,63,FALSE)</f>
        <v>0</v>
      </c>
      <c r="BL143" s="566">
        <f>VLOOKUP($A143,'01-02.2021'!$A$6:$CZ$403,64,FALSE)+VLOOKUP($A143,'1.3.21-28.2.22'!$A$6:$DA$404,64,FALSE)-VLOOKUP($A143,'01-02.2022'!$A$6:$DA$376,64,FALSE)</f>
        <v>0</v>
      </c>
      <c r="BM143" s="55">
        <f t="shared" si="191"/>
        <v>0</v>
      </c>
      <c r="BN143" s="566">
        <f>VLOOKUP($A143,'01-02.2021'!$A$6:$CZ$403,66,FALSE)+VLOOKUP($A143,'1.3.21-28.2.22'!$A$6:$DA$404,66,FALSE)-VLOOKUP($A143,'01-02.2022'!$A$6:$DA$376,66,FALSE)</f>
        <v>8.7750000000000004</v>
      </c>
      <c r="BO143" s="566">
        <f>VLOOKUP($A143,'01-02.2021'!$A$6:$CZ$403,67,FALSE)+VLOOKUP($A143,'1.3.21-28.2.22'!$A$6:$DA$404,67,FALSE)-VLOOKUP($A143,'01-02.2022'!$A$6:$DA$376,67,FALSE)</f>
        <v>0</v>
      </c>
      <c r="BP143" s="55">
        <f t="shared" si="192"/>
        <v>-8.7750000000000004</v>
      </c>
      <c r="BQ143" s="77">
        <f t="shared" si="151"/>
        <v>8.7750000000000004</v>
      </c>
      <c r="BR143" s="40">
        <f t="shared" si="152"/>
        <v>0</v>
      </c>
      <c r="BS143" s="55">
        <f t="shared" si="166"/>
        <v>-8.7750000000000004</v>
      </c>
      <c r="BT143" s="566">
        <f>VLOOKUP($A143,'01-02.2021'!$A$6:$CZ$403,72,FALSE)+VLOOKUP($A143,'1.3.21-28.2.22'!$A$6:$DA$404,72,FALSE)-VLOOKUP($A143,'01-02.2022'!$A$6:$DA$376,72,FALSE)</f>
        <v>0</v>
      </c>
      <c r="BU143" s="566">
        <f>VLOOKUP($A143,'01-02.2021'!$A$6:$CZ$403,73,FALSE)+VLOOKUP($A143,'1.3.21-28.2.22'!$A$6:$DA$404,73,FALSE)-VLOOKUP($A143,'01-02.2022'!$A$6:$DA$376,73,FALSE)</f>
        <v>0</v>
      </c>
      <c r="BV143" s="70">
        <f t="shared" si="193"/>
        <v>0</v>
      </c>
      <c r="BW143" s="566">
        <f>VLOOKUP($A143,'01-02.2021'!$A$6:$CZ$403,75,FALSE)+VLOOKUP($A143,'1.3.21-28.2.22'!$A$6:$DA$404,75,FALSE)-VLOOKUP($A143,'01-02.2022'!$A$6:$DA$376,75,FALSE)</f>
        <v>0</v>
      </c>
      <c r="BX143" s="566">
        <f>VLOOKUP($A143,'01-02.2021'!$A$6:$CZ$403,76,FALSE)+VLOOKUP($A143,'1.3.21-28.2.22'!$A$6:$DA$404,76,FALSE)-VLOOKUP($A143,'01-02.2022'!$A$6:$DA$376,76,FALSE)</f>
        <v>3.9332341492492069</v>
      </c>
      <c r="BY143" s="70">
        <f t="shared" si="194"/>
        <v>3.9332341492492069</v>
      </c>
      <c r="BZ143" s="566">
        <f>VLOOKUP($A143,'01-02.2021'!$A$6:$CZ$403,78,FALSE)+VLOOKUP($A143,'1.3.21-28.2.22'!$A$6:$DA$404,78,FALSE)-VLOOKUP($A143,'01-02.2022'!$A$6:$DA$376,78,FALSE)</f>
        <v>0</v>
      </c>
      <c r="CA143" s="566">
        <f>VLOOKUP($A143,'01-02.2021'!$A$6:$CZ$403,79,FALSE)+VLOOKUP($A143,'1.3.21-28.2.22'!$A$6:$DA$404,79,FALSE)-VLOOKUP($A143,'01-02.2022'!$A$6:$DA$376,79,FALSE)</f>
        <v>0</v>
      </c>
      <c r="CB143" s="70">
        <f t="shared" si="195"/>
        <v>0</v>
      </c>
      <c r="CC143" s="566">
        <f>VLOOKUP($A143,'01-02.2021'!$A$6:$CZ$403,81,FALSE)+VLOOKUP($A143,'1.3.21-28.2.22'!$A$6:$DA$404,81,FALSE)-VLOOKUP($A143,'01-02.2022'!$A$6:$DA$376,81,FALSE)</f>
        <v>0</v>
      </c>
      <c r="CD143" s="566">
        <f>VLOOKUP($A143,'01-02.2021'!$A$6:$CZ$403,82,FALSE)+VLOOKUP($A143,'1.3.21-28.2.22'!$A$6:$DA$404,82,FALSE)-VLOOKUP($A143,'01-02.2022'!$A$6:$DA$376,82,FALSE)</f>
        <v>0</v>
      </c>
      <c r="CE143" s="70">
        <f t="shared" si="196"/>
        <v>0</v>
      </c>
      <c r="CF143" s="566">
        <f>VLOOKUP($A143,'01-02.2021'!$A$6:$CZ$403,84,FALSE)+VLOOKUP($A143,'1.3.21-28.2.22'!$A$6:$DA$404,84,FALSE)-VLOOKUP($A143,'01-02.2022'!$A$6:$DA$376,84,FALSE)</f>
        <v>0</v>
      </c>
      <c r="CG143" s="566">
        <f>VLOOKUP($A143,'01-02.2021'!$A$6:$CZ$403,85,FALSE)+VLOOKUP($A143,'1.3.21-28.2.22'!$A$6:$DA$404,85,FALSE)-VLOOKUP($A143,'01-02.2022'!$A$6:$DA$376,85,FALSE)</f>
        <v>0</v>
      </c>
      <c r="CH143" s="70">
        <f t="shared" si="197"/>
        <v>0</v>
      </c>
      <c r="CI143" s="566">
        <f>VLOOKUP($A143,'01-02.2021'!$A$6:$CZ$403,87,FALSE)+VLOOKUP($A143,'1.3.21-28.2.22'!$A$6:$DA$404,87,FALSE)-VLOOKUP($A143,'01-02.2022'!$A$6:$DA$376,87,FALSE)</f>
        <v>0</v>
      </c>
      <c r="CJ143" s="566">
        <f>VLOOKUP($A143,'01-02.2021'!$A$6:$CZ$403,88,FALSE)+VLOOKUP($A143,'1.3.21-28.2.22'!$A$6:$DA$404,88,FALSE)-VLOOKUP($A143,'01-02.2022'!$A$6:$DA$376,88,FALSE)</f>
        <v>0</v>
      </c>
      <c r="CK143" s="70">
        <f t="shared" si="198"/>
        <v>0</v>
      </c>
      <c r="CL143" s="566">
        <f>VLOOKUP($A143,'01-02.2021'!$A$6:$CZ$403,90,FALSE)+VLOOKUP($A143,'1.3.21-28.2.22'!$A$6:$DA$404,90,FALSE)-VLOOKUP($A143,'01-02.2022'!$A$6:$DA$376,90,FALSE)</f>
        <v>0</v>
      </c>
      <c r="CM143" s="566">
        <f>VLOOKUP($A143,'01-02.2021'!$A$6:$CZ$403,91,FALSE)+VLOOKUP($A143,'1.3.21-28.2.22'!$A$6:$DA$404,91,FALSE)-VLOOKUP($A143,'01-02.2022'!$A$6:$DA$376,91,FALSE)</f>
        <v>0</v>
      </c>
      <c r="CN143" s="52">
        <f t="shared" si="158"/>
        <v>0</v>
      </c>
      <c r="CO143" s="39">
        <f t="shared" si="153"/>
        <v>0</v>
      </c>
      <c r="CP143" s="40">
        <f t="shared" si="159"/>
        <v>0</v>
      </c>
      <c r="CQ143" s="52">
        <f t="shared" si="160"/>
        <v>0</v>
      </c>
      <c r="CR143" s="72">
        <f t="shared" si="154"/>
        <v>2739.122262962167</v>
      </c>
      <c r="CS143" s="5">
        <f t="shared" si="154"/>
        <v>1027.198555054141</v>
      </c>
      <c r="CT143" s="52">
        <f t="shared" si="161"/>
        <v>-1711.923707908026</v>
      </c>
      <c r="CU143" s="77">
        <f t="shared" si="162"/>
        <v>3286.9467155546004</v>
      </c>
      <c r="CV143" s="65">
        <f t="shared" si="163"/>
        <v>1232.6382660649692</v>
      </c>
      <c r="CW143" s="35">
        <f t="shared" si="164"/>
        <v>-2054.3084494896311</v>
      </c>
      <c r="CX143" s="566">
        <f>VLOOKUP($A143,'01-02.2021'!$A$6:$CZ$403,102,FALSE)+VLOOKUP($A143,'1.3.21-28.2.22'!$A$6:$DA$404,102,FALSE)-VLOOKUP($A143,'01-02.2022'!$A$6:$DA$376,102,FALSE)</f>
        <v>63.478515362067178</v>
      </c>
      <c r="CY143" s="566">
        <f>VLOOKUP($A143,'01-02.2021'!$A$6:$CZ$403,103,FALSE)+VLOOKUP($A143,'1.3.21-28.2.22'!$A$6:$DA$404,103,FALSE)-VLOOKUP($A143,'01-02.2022'!$A$6:$DA$376,103,FALSE)</f>
        <v>2117.7869648516967</v>
      </c>
      <c r="CZ143" s="52">
        <f t="shared" si="165"/>
        <v>2054.3084494896293</v>
      </c>
      <c r="DA143" s="150">
        <f>'[2]побудинковий звіт'!DA143</f>
        <v>-8170.2548946355782</v>
      </c>
      <c r="DB143" s="2">
        <v>3</v>
      </c>
      <c r="DC143" s="414">
        <f>'[4]побудинковий звіт'!DC143</f>
        <v>783.29</v>
      </c>
      <c r="DD143" s="414">
        <f>'[4]побудинковий звіт'!DD143</f>
        <v>0</v>
      </c>
      <c r="DE143" s="557">
        <f>'[4]побудинковий звіт'!DE143</f>
        <v>486.18917885003771</v>
      </c>
      <c r="DF143" s="557">
        <f>'[4]побудинковий звіт'!DF143</f>
        <v>0</v>
      </c>
      <c r="DG143" s="321">
        <f>VLOOKUP(A143,'кошти 01.03.2021'!$A$6:$D$401,4,)</f>
        <v>-5940.8328940163801</v>
      </c>
      <c r="DH143" s="40">
        <f>'[3]побудинковий звіт'!DJ143</f>
        <v>3434.4957601497167</v>
      </c>
      <c r="DI143" s="422">
        <f>'[3]побудинковий звіт'!CU143+'[3]побудинковий звіт'!CX143</f>
        <v>297.10082114996226</v>
      </c>
      <c r="DJ143" s="306">
        <f>'[3]побудинковий звіт'!DM143</f>
        <v>1.6928821717946567</v>
      </c>
      <c r="DK143" s="306">
        <f t="shared" si="168"/>
        <v>1.6928821717946567</v>
      </c>
      <c r="DL143" s="306">
        <f>'[3]побудинковий звіт'!DO143</f>
        <v>1.6928821717946567</v>
      </c>
      <c r="DM143" s="28">
        <f t="shared" si="169"/>
        <v>297.10082114996226</v>
      </c>
      <c r="DN143" s="28">
        <f t="shared" si="170"/>
        <v>0</v>
      </c>
      <c r="DO143" s="423">
        <f t="shared" si="171"/>
        <v>297.10082114996226</v>
      </c>
      <c r="DP143" s="94">
        <f t="shared" si="172"/>
        <v>0</v>
      </c>
      <c r="DQ143" s="28">
        <f t="shared" si="173"/>
        <v>297.10082114996226</v>
      </c>
      <c r="DR143" s="318"/>
      <c r="DT143" s="8"/>
      <c r="DU143" s="5"/>
      <c r="DX143" s="5">
        <f t="shared" si="174"/>
        <v>2616.2507824534387</v>
      </c>
      <c r="DY143" s="5">
        <f t="shared" si="175"/>
        <v>0</v>
      </c>
      <c r="DZ143" s="159">
        <f>'[3]побудинковий звіт'!EA143</f>
        <v>268.69029186315277</v>
      </c>
    </row>
    <row r="144" spans="1:130" x14ac:dyDescent="0.3">
      <c r="A144" s="325">
        <v>150000556</v>
      </c>
      <c r="B144" s="41" t="s">
        <v>593</v>
      </c>
      <c r="C144" s="42" t="s">
        <v>90</v>
      </c>
      <c r="D144" s="42"/>
      <c r="E144" s="293">
        <f t="shared" si="149"/>
        <v>181.9</v>
      </c>
      <c r="F144" s="305">
        <f>'[3]побудинковий звіт'!F144</f>
        <v>181.9</v>
      </c>
      <c r="G144" s="508">
        <f>'[3]побудинковий звіт'!G144</f>
        <v>0</v>
      </c>
      <c r="H144" s="560">
        <f>'[3]побудинковий звіт'!H144</f>
        <v>0</v>
      </c>
      <c r="I144" s="566">
        <f>VLOOKUP($A144,'01-02.2021'!$A$6:$CZ$403,9,FALSE)+VLOOKUP($A144,'1.3.21-28.2.22'!$A$6:$DA$404,9,FALSE)-VLOOKUP($A144,'01-02.2022'!$A$6:$DA$376,9,FALSE)</f>
        <v>0</v>
      </c>
      <c r="J144" s="566">
        <f>VLOOKUP($A144,'01-02.2021'!$A$6:$CZ$403,10,FALSE)+VLOOKUP($A144,'1.3.21-28.2.22'!$A$6:$DA$404,10,FALSE)-VLOOKUP($A144,'01-02.2022'!$A$6:$DA$376,10,FALSE)</f>
        <v>0</v>
      </c>
      <c r="K144" s="52">
        <f t="shared" si="155"/>
        <v>0</v>
      </c>
      <c r="L144" s="566">
        <f>VLOOKUP($A144,'01-02.2021'!$A$6:$CZ$403,12,FALSE)+VLOOKUP($A144,'1.3.21-28.2.22'!$A$6:$DA$404,12,FALSE)-VLOOKUP($A144,'01-02.2022'!$A$6:$DA$376,12,FALSE)</f>
        <v>0</v>
      </c>
      <c r="M144" s="566">
        <f>VLOOKUP($A144,'01-02.2021'!$A$6:$CZ$403,13,FALSE)+VLOOKUP($A144,'1.3.21-28.2.22'!$A$6:$DA$404,13,FALSE)-VLOOKUP($A144,'01-02.2022'!$A$6:$DA$376,13,FALSE)</f>
        <v>0</v>
      </c>
      <c r="N144" s="52">
        <f t="shared" si="156"/>
        <v>0</v>
      </c>
      <c r="O144" s="566">
        <f>VLOOKUP($A144,'01-02.2021'!$A$6:$CZ$403,15,FALSE)+VLOOKUP($A144,'1.3.21-28.2.22'!$A$6:$DA$404,15,FALSE)-VLOOKUP($A144,'01-02.2022'!$A$6:$DA$376,15,FALSE)</f>
        <v>0</v>
      </c>
      <c r="P144" s="566">
        <f>VLOOKUP($A144,'01-02.2021'!$A$6:$CZ$403,16,FALSE)+VLOOKUP($A144,'1.3.21-28.2.22'!$A$6:$DA$404,16,FALSE)-VLOOKUP($A144,'01-02.2022'!$A$6:$DA$376,16,FALSE)</f>
        <v>0</v>
      </c>
      <c r="Q144" s="70">
        <f t="shared" si="176"/>
        <v>0</v>
      </c>
      <c r="R144" s="566">
        <f>VLOOKUP($A144,'01-02.2021'!$A$6:$CZ$403,18,FALSE)+VLOOKUP($A144,'1.3.21-28.2.22'!$A$6:$DA$404,18,FALSE)-VLOOKUP($A144,'01-02.2022'!$A$6:$DA$376,18,FALSE)</f>
        <v>0</v>
      </c>
      <c r="S144" s="566">
        <f>VLOOKUP($A144,'01-02.2021'!$A$6:$CZ$403,19,FALSE)+VLOOKUP($A144,'1.3.21-28.2.22'!$A$6:$DA$404,19,FALSE)-VLOOKUP($A144,'01-02.2022'!$A$6:$DA$376,19,FALSE)</f>
        <v>0</v>
      </c>
      <c r="T144" s="70">
        <f t="shared" si="177"/>
        <v>0</v>
      </c>
      <c r="U144" s="566">
        <f>VLOOKUP($A144,'01-02.2021'!$A$6:$CZ$403,21,FALSE)+VLOOKUP($A144,'1.3.21-28.2.22'!$A$6:$DA$404,21,FALSE)-VLOOKUP($A144,'01-02.2022'!$A$6:$DA$376,21,FALSE)</f>
        <v>0</v>
      </c>
      <c r="V144" s="566">
        <f>VLOOKUP($A144,'01-02.2021'!$A$6:$CZ$403,22,FALSE)+VLOOKUP($A144,'1.3.21-28.2.22'!$A$6:$DA$404,22,FALSE)-VLOOKUP($A144,'01-02.2022'!$A$6:$DA$376,22,FALSE)</f>
        <v>0</v>
      </c>
      <c r="W144" s="70">
        <f t="shared" si="178"/>
        <v>0</v>
      </c>
      <c r="X144" s="566">
        <f>VLOOKUP($A144,'01-02.2021'!$A$6:$CZ$403,24,FALSE)+VLOOKUP($A144,'1.3.21-28.2.22'!$A$6:$DA$404,24,FALSE)-VLOOKUP($A144,'01-02.2022'!$A$6:$DA$376,24,FALSE)</f>
        <v>0</v>
      </c>
      <c r="Y144" s="566">
        <f>VLOOKUP($A144,'01-02.2021'!$A$6:$CZ$403,25,FALSE)+VLOOKUP($A144,'1.3.21-28.2.22'!$A$6:$DA$404,25,FALSE)-VLOOKUP($A144,'01-02.2022'!$A$6:$DA$376,25,FALSE)</f>
        <v>0</v>
      </c>
      <c r="Z144" s="70">
        <f t="shared" si="179"/>
        <v>0</v>
      </c>
      <c r="AA144" s="566">
        <f>VLOOKUP($A144,'01-02.2021'!$A$6:$CZ$403,27,FALSE)+VLOOKUP($A144,'1.3.21-28.2.22'!$A$6:$DA$404,27,FALSE)-VLOOKUP($A144,'01-02.2022'!$A$6:$DA$376,27,FALSE)</f>
        <v>36.380000000000003</v>
      </c>
      <c r="AB144" s="566">
        <f>VLOOKUP($A144,'01-02.2021'!$A$6:$CZ$403,28,FALSE)+VLOOKUP($A144,'1.3.21-28.2.22'!$A$6:$DA$404,28,FALSE)-VLOOKUP($A144,'01-02.2022'!$A$6:$DA$376,28,FALSE)</f>
        <v>0</v>
      </c>
      <c r="AC144" s="70">
        <f t="shared" si="180"/>
        <v>-36.380000000000003</v>
      </c>
      <c r="AD144" s="566">
        <f>VLOOKUP($A144,'01-02.2021'!$A$6:$CZ$403,30,FALSE)+VLOOKUP($A144,'1.3.21-28.2.22'!$A$6:$DA$404,30,FALSE)-VLOOKUP($A144,'01-02.2022'!$A$6:$DA$376,30,FALSE)</f>
        <v>273.15149464267802</v>
      </c>
      <c r="AE144" s="566">
        <f>VLOOKUP($A144,'01-02.2021'!$A$6:$CZ$403,31,FALSE)+VLOOKUP($A144,'1.3.21-28.2.22'!$A$6:$DA$404,31,FALSE)-VLOOKUP($A144,'01-02.2022'!$A$6:$DA$376,31,FALSE)</f>
        <v>828.01612916033957</v>
      </c>
      <c r="AF144" s="68">
        <f t="shared" si="181"/>
        <v>554.86463451766156</v>
      </c>
      <c r="AG144" s="77">
        <f t="shared" si="150"/>
        <v>309.53149464267801</v>
      </c>
      <c r="AH144" s="53">
        <f t="shared" si="150"/>
        <v>828.01612916033957</v>
      </c>
      <c r="AI144" s="52">
        <f t="shared" si="157"/>
        <v>518.48463451766156</v>
      </c>
      <c r="AJ144" s="566">
        <f>VLOOKUP($A144,'01-02.2021'!$A$6:$CZ$403,36,FALSE)+VLOOKUP($A144,'1.3.21-28.2.22'!$A$6:$DA$404,36,FALSE)-VLOOKUP($A144,'01-02.2022'!$A$6:$DA$376,36,FALSE)</f>
        <v>0</v>
      </c>
      <c r="AK144" s="566">
        <f>VLOOKUP($A144,'01-02.2021'!$A$6:$CZ$403,37,FALSE)+VLOOKUP($A144,'1.3.21-28.2.22'!$A$6:$DA$404,37,FALSE)-VLOOKUP($A144,'01-02.2022'!$A$6:$DA$376,37,FALSE)</f>
        <v>0</v>
      </c>
      <c r="AL144" s="70">
        <f t="shared" si="182"/>
        <v>0</v>
      </c>
      <c r="AM144" s="566">
        <f>VLOOKUP($A144,'01-02.2021'!$A$6:$CZ$403,39,FALSE)+VLOOKUP($A144,'1.3.21-28.2.22'!$A$6:$DA$404,39,FALSE)-VLOOKUP($A144,'01-02.2022'!$A$6:$DA$376,39,FALSE)</f>
        <v>0</v>
      </c>
      <c r="AN144" s="566">
        <f>VLOOKUP($A144,'01-02.2021'!$A$6:$CZ$403,40,FALSE)+VLOOKUP($A144,'1.3.21-28.2.22'!$A$6:$DA$404,40,FALSE)-VLOOKUP($A144,'01-02.2022'!$A$6:$DA$376,40,FALSE)</f>
        <v>0</v>
      </c>
      <c r="AO144" s="70">
        <f t="shared" si="183"/>
        <v>0</v>
      </c>
      <c r="AP144" s="566">
        <f>VLOOKUP($A144,'01-02.2021'!$A$6:$CZ$403,42,FALSE)+VLOOKUP($A144,'1.3.21-28.2.22'!$A$6:$DA$404,42,FALSE)-VLOOKUP($A144,'01-02.2022'!$A$6:$DA$376,42,FALSE)</f>
        <v>303.65995625745347</v>
      </c>
      <c r="AQ144" s="566">
        <f>VLOOKUP($A144,'01-02.2021'!$A$6:$CZ$403,43,FALSE)+VLOOKUP($A144,'1.3.21-28.2.22'!$A$6:$DA$404,43,FALSE)-VLOOKUP($A144,'01-02.2022'!$A$6:$DA$376,43,FALSE)</f>
        <v>261.77929121744683</v>
      </c>
      <c r="AR144" s="70">
        <f t="shared" si="184"/>
        <v>-41.880665040006647</v>
      </c>
      <c r="AS144" s="566">
        <f>VLOOKUP($A144,'01-02.2021'!$A$6:$CZ$403,45,FALSE)+VLOOKUP($A144,'1.3.21-28.2.22'!$A$6:$DA$404,45,FALSE)-VLOOKUP($A144,'01-02.2022'!$A$6:$DA$376,45,FALSE)</f>
        <v>2028.5021121795471</v>
      </c>
      <c r="AT144" s="566">
        <f>VLOOKUP($A144,'01-02.2021'!$A$6:$CZ$403,46,FALSE)+VLOOKUP($A144,'1.3.21-28.2.22'!$A$6:$DA$404,46,FALSE)-VLOOKUP($A144,'01-02.2022'!$A$6:$DA$376,46,FALSE)</f>
        <v>0</v>
      </c>
      <c r="AU144" s="78">
        <f t="shared" si="185"/>
        <v>-2028.5021121795471</v>
      </c>
      <c r="AV144" s="566">
        <f>VLOOKUP($A144,'01-02.2021'!$A$6:$CZ$403,48,FALSE)+VLOOKUP($A144,'1.3.21-28.2.22'!$A$6:$DA$404,48,FALSE)-VLOOKUP($A144,'01-02.2022'!$A$6:$DA$376,48,FALSE)</f>
        <v>0</v>
      </c>
      <c r="AW144" s="566">
        <f>VLOOKUP($A144,'01-02.2021'!$A$6:$CZ$403,49,FALSE)+VLOOKUP($A144,'1.3.21-28.2.22'!$A$6:$DA$404,49,FALSE)-VLOOKUP($A144,'01-02.2022'!$A$6:$DA$376,49,FALSE)</f>
        <v>0</v>
      </c>
      <c r="AX144" s="55">
        <f t="shared" si="186"/>
        <v>0</v>
      </c>
      <c r="AY144" s="566">
        <f>VLOOKUP($A144,'01-02.2021'!$A$6:$CZ$403,51,FALSE)+VLOOKUP($A144,'1.3.21-28.2.22'!$A$6:$DA$404,51,FALSE)-VLOOKUP($A144,'01-02.2022'!$A$6:$DA$376,51,FALSE)</f>
        <v>0</v>
      </c>
      <c r="AZ144" s="566">
        <f>VLOOKUP($A144,'01-02.2021'!$A$6:$CZ$403,52,FALSE)+VLOOKUP($A144,'1.3.21-28.2.22'!$A$6:$DA$404,52,FALSE)-VLOOKUP($A144,'01-02.2022'!$A$6:$DA$376,52,FALSE)</f>
        <v>0</v>
      </c>
      <c r="BA144" s="38">
        <f t="shared" si="187"/>
        <v>0</v>
      </c>
      <c r="BB144" s="566">
        <f>VLOOKUP($A144,'01-02.2021'!$A$6:$CZ$403,54,FALSE)+VLOOKUP($A144,'1.3.21-28.2.22'!$A$6:$DA$404,54,FALSE)-VLOOKUP($A144,'01-02.2022'!$A$6:$DA$376,54,FALSE)</f>
        <v>0</v>
      </c>
      <c r="BC144" s="566">
        <f>VLOOKUP($A144,'01-02.2021'!$A$6:$CZ$403,55,FALSE)+VLOOKUP($A144,'1.3.21-28.2.22'!$A$6:$DA$404,55,FALSE)-VLOOKUP($A144,'01-02.2022'!$A$6:$DA$376,55,FALSE)</f>
        <v>0</v>
      </c>
      <c r="BD144" s="55">
        <f t="shared" si="188"/>
        <v>0</v>
      </c>
      <c r="BE144" s="566">
        <f>VLOOKUP($A144,'01-02.2021'!$A$6:$CZ$403,57,FALSE)+VLOOKUP($A144,'1.3.21-28.2.22'!$A$6:$DA$404,57,FALSE)-VLOOKUP($A144,'01-02.2022'!$A$6:$DA$376,57,FALSE)</f>
        <v>0</v>
      </c>
      <c r="BF144" s="566">
        <f>VLOOKUP($A144,'01-02.2021'!$A$6:$CZ$403,58,FALSE)+VLOOKUP($A144,'1.3.21-28.2.22'!$A$6:$DA$404,58,FALSE)-VLOOKUP($A144,'01-02.2022'!$A$6:$DA$376,58,FALSE)</f>
        <v>0</v>
      </c>
      <c r="BG144" s="55">
        <f t="shared" si="189"/>
        <v>0</v>
      </c>
      <c r="BH144" s="566">
        <f>VLOOKUP($A144,'01-02.2021'!$A$6:$CZ$403,60,FALSE)+VLOOKUP($A144,'1.3.21-28.2.22'!$A$6:$DA$404,60,FALSE)-VLOOKUP($A144,'01-02.2022'!$A$6:$DA$376,60,FALSE)</f>
        <v>0</v>
      </c>
      <c r="BI144" s="566">
        <f>VLOOKUP($A144,'01-02.2021'!$A$6:$CZ$403,61,FALSE)+VLOOKUP($A144,'1.3.21-28.2.22'!$A$6:$DA$404,61,FALSE)-VLOOKUP($A144,'01-02.2022'!$A$6:$DA$376,61,FALSE)</f>
        <v>0</v>
      </c>
      <c r="BJ144" s="55">
        <f t="shared" si="190"/>
        <v>0</v>
      </c>
      <c r="BK144" s="566">
        <f>VLOOKUP($A144,'01-02.2021'!$A$6:$CZ$403,63,FALSE)+VLOOKUP($A144,'1.3.21-28.2.22'!$A$6:$DA$404,63,FALSE)-VLOOKUP($A144,'01-02.2022'!$A$6:$DA$376,63,FALSE)</f>
        <v>0</v>
      </c>
      <c r="BL144" s="566">
        <f>VLOOKUP($A144,'01-02.2021'!$A$6:$CZ$403,64,FALSE)+VLOOKUP($A144,'1.3.21-28.2.22'!$A$6:$DA$404,64,FALSE)-VLOOKUP($A144,'01-02.2022'!$A$6:$DA$376,64,FALSE)</f>
        <v>0</v>
      </c>
      <c r="BM144" s="55">
        <f t="shared" si="191"/>
        <v>0</v>
      </c>
      <c r="BN144" s="566">
        <f>VLOOKUP($A144,'01-02.2021'!$A$6:$CZ$403,66,FALSE)+VLOOKUP($A144,'1.3.21-28.2.22'!$A$6:$DA$404,66,FALSE)-VLOOKUP($A144,'01-02.2022'!$A$6:$DA$376,66,FALSE)</f>
        <v>9.0950000000000006</v>
      </c>
      <c r="BO144" s="566">
        <f>VLOOKUP($A144,'01-02.2021'!$A$6:$CZ$403,67,FALSE)+VLOOKUP($A144,'1.3.21-28.2.22'!$A$6:$DA$404,67,FALSE)-VLOOKUP($A144,'01-02.2022'!$A$6:$DA$376,67,FALSE)</f>
        <v>0</v>
      </c>
      <c r="BP144" s="55">
        <f t="shared" si="192"/>
        <v>-9.0950000000000006</v>
      </c>
      <c r="BQ144" s="77">
        <f t="shared" si="151"/>
        <v>9.0950000000000006</v>
      </c>
      <c r="BR144" s="40">
        <f t="shared" si="152"/>
        <v>0</v>
      </c>
      <c r="BS144" s="55">
        <f t="shared" si="166"/>
        <v>-9.0950000000000006</v>
      </c>
      <c r="BT144" s="566">
        <f>VLOOKUP($A144,'01-02.2021'!$A$6:$CZ$403,72,FALSE)+VLOOKUP($A144,'1.3.21-28.2.22'!$A$6:$DA$404,72,FALSE)-VLOOKUP($A144,'01-02.2022'!$A$6:$DA$376,72,FALSE)</f>
        <v>0</v>
      </c>
      <c r="BU144" s="566">
        <f>VLOOKUP($A144,'01-02.2021'!$A$6:$CZ$403,73,FALSE)+VLOOKUP($A144,'1.3.21-28.2.22'!$A$6:$DA$404,73,FALSE)-VLOOKUP($A144,'01-02.2022'!$A$6:$DA$376,73,FALSE)</f>
        <v>0</v>
      </c>
      <c r="BV144" s="70">
        <f t="shared" si="193"/>
        <v>0</v>
      </c>
      <c r="BW144" s="566">
        <f>VLOOKUP($A144,'01-02.2021'!$A$6:$CZ$403,75,FALSE)+VLOOKUP($A144,'1.3.21-28.2.22'!$A$6:$DA$404,75,FALSE)-VLOOKUP($A144,'01-02.2022'!$A$6:$DA$376,75,FALSE)</f>
        <v>0</v>
      </c>
      <c r="BX144" s="566">
        <f>VLOOKUP($A144,'01-02.2021'!$A$6:$CZ$403,76,FALSE)+VLOOKUP($A144,'1.3.21-28.2.22'!$A$6:$DA$404,76,FALSE)-VLOOKUP($A144,'01-02.2022'!$A$6:$DA$376,76,FALSE)</f>
        <v>4.0766683290508867</v>
      </c>
      <c r="BY144" s="70">
        <f t="shared" si="194"/>
        <v>4.0766683290508867</v>
      </c>
      <c r="BZ144" s="566">
        <f>VLOOKUP($A144,'01-02.2021'!$A$6:$CZ$403,78,FALSE)+VLOOKUP($A144,'1.3.21-28.2.22'!$A$6:$DA$404,78,FALSE)-VLOOKUP($A144,'01-02.2022'!$A$6:$DA$376,78,FALSE)</f>
        <v>0</v>
      </c>
      <c r="CA144" s="566">
        <f>VLOOKUP($A144,'01-02.2021'!$A$6:$CZ$403,79,FALSE)+VLOOKUP($A144,'1.3.21-28.2.22'!$A$6:$DA$404,79,FALSE)-VLOOKUP($A144,'01-02.2022'!$A$6:$DA$376,79,FALSE)</f>
        <v>0</v>
      </c>
      <c r="CB144" s="70">
        <f t="shared" si="195"/>
        <v>0</v>
      </c>
      <c r="CC144" s="566">
        <f>VLOOKUP($A144,'01-02.2021'!$A$6:$CZ$403,81,FALSE)+VLOOKUP($A144,'1.3.21-28.2.22'!$A$6:$DA$404,81,FALSE)-VLOOKUP($A144,'01-02.2022'!$A$6:$DA$376,81,FALSE)</f>
        <v>0</v>
      </c>
      <c r="CD144" s="566">
        <f>VLOOKUP($A144,'01-02.2021'!$A$6:$CZ$403,82,FALSE)+VLOOKUP($A144,'1.3.21-28.2.22'!$A$6:$DA$404,82,FALSE)-VLOOKUP($A144,'01-02.2022'!$A$6:$DA$376,82,FALSE)</f>
        <v>0</v>
      </c>
      <c r="CE144" s="70">
        <f t="shared" si="196"/>
        <v>0</v>
      </c>
      <c r="CF144" s="566">
        <f>VLOOKUP($A144,'01-02.2021'!$A$6:$CZ$403,84,FALSE)+VLOOKUP($A144,'1.3.21-28.2.22'!$A$6:$DA$404,84,FALSE)-VLOOKUP($A144,'01-02.2022'!$A$6:$DA$376,84,FALSE)</f>
        <v>0</v>
      </c>
      <c r="CG144" s="566">
        <f>VLOOKUP($A144,'01-02.2021'!$A$6:$CZ$403,85,FALSE)+VLOOKUP($A144,'1.3.21-28.2.22'!$A$6:$DA$404,85,FALSE)-VLOOKUP($A144,'01-02.2022'!$A$6:$DA$376,85,FALSE)</f>
        <v>0</v>
      </c>
      <c r="CH144" s="70">
        <f t="shared" si="197"/>
        <v>0</v>
      </c>
      <c r="CI144" s="566">
        <f>VLOOKUP($A144,'01-02.2021'!$A$6:$CZ$403,87,FALSE)+VLOOKUP($A144,'1.3.21-28.2.22'!$A$6:$DA$404,87,FALSE)-VLOOKUP($A144,'01-02.2022'!$A$6:$DA$376,87,FALSE)</f>
        <v>0</v>
      </c>
      <c r="CJ144" s="566">
        <f>VLOOKUP($A144,'01-02.2021'!$A$6:$CZ$403,88,FALSE)+VLOOKUP($A144,'1.3.21-28.2.22'!$A$6:$DA$404,88,FALSE)-VLOOKUP($A144,'01-02.2022'!$A$6:$DA$376,88,FALSE)</f>
        <v>0</v>
      </c>
      <c r="CK144" s="70">
        <f t="shared" si="198"/>
        <v>0</v>
      </c>
      <c r="CL144" s="566">
        <f>VLOOKUP($A144,'01-02.2021'!$A$6:$CZ$403,90,FALSE)+VLOOKUP($A144,'1.3.21-28.2.22'!$A$6:$DA$404,90,FALSE)-VLOOKUP($A144,'01-02.2022'!$A$6:$DA$376,90,FALSE)</f>
        <v>0</v>
      </c>
      <c r="CM144" s="566">
        <f>VLOOKUP($A144,'01-02.2021'!$A$6:$CZ$403,91,FALSE)+VLOOKUP($A144,'1.3.21-28.2.22'!$A$6:$DA$404,91,FALSE)-VLOOKUP($A144,'01-02.2022'!$A$6:$DA$376,91,FALSE)</f>
        <v>0</v>
      </c>
      <c r="CN144" s="52">
        <f t="shared" si="158"/>
        <v>0</v>
      </c>
      <c r="CO144" s="39">
        <f t="shared" si="153"/>
        <v>0</v>
      </c>
      <c r="CP144" s="40">
        <f t="shared" si="159"/>
        <v>0</v>
      </c>
      <c r="CQ144" s="52">
        <f t="shared" si="160"/>
        <v>0</v>
      </c>
      <c r="CR144" s="72">
        <f t="shared" si="154"/>
        <v>2650.7885630796786</v>
      </c>
      <c r="CS144" s="5">
        <f t="shared" si="154"/>
        <v>1093.8720887068371</v>
      </c>
      <c r="CT144" s="52">
        <f t="shared" si="161"/>
        <v>-1556.9164743728415</v>
      </c>
      <c r="CU144" s="77">
        <f t="shared" si="162"/>
        <v>3180.9462756956141</v>
      </c>
      <c r="CV144" s="65">
        <f t="shared" si="163"/>
        <v>1312.6465064482045</v>
      </c>
      <c r="CW144" s="35">
        <f t="shared" si="164"/>
        <v>-1868.2997692474096</v>
      </c>
      <c r="CX144" s="566">
        <f>VLOOKUP($A144,'01-02.2021'!$A$6:$CZ$403,102,FALSE)+VLOOKUP($A144,'1.3.21-28.2.22'!$A$6:$DA$404,102,FALSE)-VLOOKUP($A144,'01-02.2022'!$A$6:$DA$376,102,FALSE)</f>
        <v>111.51650245658817</v>
      </c>
      <c r="CY144" s="566">
        <f>VLOOKUP($A144,'01-02.2021'!$A$6:$CZ$403,103,FALSE)+VLOOKUP($A144,'1.3.21-28.2.22'!$A$6:$DA$404,103,FALSE)-VLOOKUP($A144,'01-02.2022'!$A$6:$DA$376,103,FALSE)</f>
        <v>1979.8162717039966</v>
      </c>
      <c r="CZ144" s="52">
        <f t="shared" si="165"/>
        <v>1868.2997692474084</v>
      </c>
      <c r="DA144" s="150">
        <f>'[2]побудинковий звіт'!DA144</f>
        <v>-7304.3821198804217</v>
      </c>
      <c r="DB144" s="2">
        <v>3</v>
      </c>
      <c r="DC144" s="414">
        <f>'[4]побудинковий звіт'!DC144</f>
        <v>295.93</v>
      </c>
      <c r="DD144" s="414">
        <f>'[4]побудинковий звіт'!DD144</f>
        <v>0</v>
      </c>
      <c r="DE144" s="557">
        <f>'[4]побудинковий звіт'!DE144</f>
        <v>-3.1413098487291791E-3</v>
      </c>
      <c r="DF144" s="557">
        <f>'[4]побудинковий звіт'!DF144</f>
        <v>0</v>
      </c>
      <c r="DG144" s="321">
        <f>VLOOKUP(A144,'кошти 01.03.2021'!$A$6:$D$401,4,)</f>
        <v>-5256.4924057574717</v>
      </c>
      <c r="DH144" s="40">
        <f>'[3]побудинковий звіт'!DJ144</f>
        <v>3394.1856492957172</v>
      </c>
      <c r="DI144" s="422">
        <f>'[3]побудинковий звіт'!CU144+'[3]побудинковий звіт'!CX144</f>
        <v>295.93314130984874</v>
      </c>
      <c r="DJ144" s="306">
        <f>'[3]побудинковий звіт'!DM144</f>
        <v>1.6269001721267109</v>
      </c>
      <c r="DK144" s="306">
        <f t="shared" si="168"/>
        <v>1.6269001721267109</v>
      </c>
      <c r="DL144" s="306">
        <f>'[3]побудинковий звіт'!DO144</f>
        <v>1.6269001721267109</v>
      </c>
      <c r="DM144" s="28">
        <f t="shared" si="169"/>
        <v>295.93314130984874</v>
      </c>
      <c r="DN144" s="28">
        <f t="shared" si="170"/>
        <v>0</v>
      </c>
      <c r="DO144" s="423">
        <f t="shared" si="171"/>
        <v>295.93314130984874</v>
      </c>
      <c r="DP144" s="94">
        <f t="shared" si="172"/>
        <v>0</v>
      </c>
      <c r="DQ144" s="28">
        <f t="shared" si="173"/>
        <v>295.93314130984874</v>
      </c>
      <c r="DR144" s="318"/>
      <c r="DT144" s="8"/>
      <c r="DU144" s="5"/>
      <c r="DX144" s="5">
        <f t="shared" si="174"/>
        <v>2445.1165346154567</v>
      </c>
      <c r="DY144" s="5">
        <f t="shared" si="175"/>
        <v>0</v>
      </c>
      <c r="DZ144" s="159">
        <f>'[3]побудинковий звіт'!EA144</f>
        <v>255.56964231320882</v>
      </c>
    </row>
    <row r="145" spans="1:130" x14ac:dyDescent="0.3">
      <c r="A145" s="325">
        <v>150000557</v>
      </c>
      <c r="B145" s="41" t="s">
        <v>594</v>
      </c>
      <c r="C145" s="42" t="s">
        <v>91</v>
      </c>
      <c r="D145" s="42"/>
      <c r="E145" s="293">
        <f t="shared" si="149"/>
        <v>110.2</v>
      </c>
      <c r="F145" s="305">
        <f>'[3]побудинковий звіт'!F145</f>
        <v>110.2</v>
      </c>
      <c r="G145" s="508">
        <f>'[3]побудинковий звіт'!G145</f>
        <v>0</v>
      </c>
      <c r="H145" s="560">
        <f>'[3]побудинковий звіт'!H145</f>
        <v>0</v>
      </c>
      <c r="I145" s="566">
        <f>VLOOKUP($A145,'01-02.2021'!$A$6:$CZ$403,9,FALSE)+VLOOKUP($A145,'1.3.21-28.2.22'!$A$6:$DA$404,9,FALSE)-VLOOKUP($A145,'01-02.2022'!$A$6:$DA$376,9,FALSE)</f>
        <v>0</v>
      </c>
      <c r="J145" s="566">
        <f>VLOOKUP($A145,'01-02.2021'!$A$6:$CZ$403,10,FALSE)+VLOOKUP($A145,'1.3.21-28.2.22'!$A$6:$DA$404,10,FALSE)-VLOOKUP($A145,'01-02.2022'!$A$6:$DA$376,10,FALSE)</f>
        <v>0</v>
      </c>
      <c r="K145" s="52">
        <f t="shared" si="155"/>
        <v>0</v>
      </c>
      <c r="L145" s="566">
        <f>VLOOKUP($A145,'01-02.2021'!$A$6:$CZ$403,12,FALSE)+VLOOKUP($A145,'1.3.21-28.2.22'!$A$6:$DA$404,12,FALSE)-VLOOKUP($A145,'01-02.2022'!$A$6:$DA$376,12,FALSE)</f>
        <v>0</v>
      </c>
      <c r="M145" s="566">
        <f>VLOOKUP($A145,'01-02.2021'!$A$6:$CZ$403,13,FALSE)+VLOOKUP($A145,'1.3.21-28.2.22'!$A$6:$DA$404,13,FALSE)-VLOOKUP($A145,'01-02.2022'!$A$6:$DA$376,13,FALSE)</f>
        <v>0</v>
      </c>
      <c r="N145" s="52">
        <f t="shared" si="156"/>
        <v>0</v>
      </c>
      <c r="O145" s="566">
        <f>VLOOKUP($A145,'01-02.2021'!$A$6:$CZ$403,15,FALSE)+VLOOKUP($A145,'1.3.21-28.2.22'!$A$6:$DA$404,15,FALSE)-VLOOKUP($A145,'01-02.2022'!$A$6:$DA$376,15,FALSE)</f>
        <v>0</v>
      </c>
      <c r="P145" s="566">
        <f>VLOOKUP($A145,'01-02.2021'!$A$6:$CZ$403,16,FALSE)+VLOOKUP($A145,'1.3.21-28.2.22'!$A$6:$DA$404,16,FALSE)-VLOOKUP($A145,'01-02.2022'!$A$6:$DA$376,16,FALSE)</f>
        <v>0</v>
      </c>
      <c r="Q145" s="70">
        <f t="shared" si="176"/>
        <v>0</v>
      </c>
      <c r="R145" s="566">
        <f>VLOOKUP($A145,'01-02.2021'!$A$6:$CZ$403,18,FALSE)+VLOOKUP($A145,'1.3.21-28.2.22'!$A$6:$DA$404,18,FALSE)-VLOOKUP($A145,'01-02.2022'!$A$6:$DA$376,18,FALSE)</f>
        <v>0</v>
      </c>
      <c r="S145" s="566">
        <f>VLOOKUP($A145,'01-02.2021'!$A$6:$CZ$403,19,FALSE)+VLOOKUP($A145,'1.3.21-28.2.22'!$A$6:$DA$404,19,FALSE)-VLOOKUP($A145,'01-02.2022'!$A$6:$DA$376,19,FALSE)</f>
        <v>0</v>
      </c>
      <c r="T145" s="70">
        <f t="shared" si="177"/>
        <v>0</v>
      </c>
      <c r="U145" s="566">
        <f>VLOOKUP($A145,'01-02.2021'!$A$6:$CZ$403,21,FALSE)+VLOOKUP($A145,'1.3.21-28.2.22'!$A$6:$DA$404,21,FALSE)-VLOOKUP($A145,'01-02.2022'!$A$6:$DA$376,21,FALSE)</f>
        <v>0</v>
      </c>
      <c r="V145" s="566">
        <f>VLOOKUP($A145,'01-02.2021'!$A$6:$CZ$403,22,FALSE)+VLOOKUP($A145,'1.3.21-28.2.22'!$A$6:$DA$404,22,FALSE)-VLOOKUP($A145,'01-02.2022'!$A$6:$DA$376,22,FALSE)</f>
        <v>0</v>
      </c>
      <c r="W145" s="70">
        <f t="shared" si="178"/>
        <v>0</v>
      </c>
      <c r="X145" s="566">
        <f>VLOOKUP($A145,'01-02.2021'!$A$6:$CZ$403,24,FALSE)+VLOOKUP($A145,'1.3.21-28.2.22'!$A$6:$DA$404,24,FALSE)-VLOOKUP($A145,'01-02.2022'!$A$6:$DA$376,24,FALSE)</f>
        <v>0</v>
      </c>
      <c r="Y145" s="566">
        <f>VLOOKUP($A145,'01-02.2021'!$A$6:$CZ$403,25,FALSE)+VLOOKUP($A145,'1.3.21-28.2.22'!$A$6:$DA$404,25,FALSE)-VLOOKUP($A145,'01-02.2022'!$A$6:$DA$376,25,FALSE)</f>
        <v>0</v>
      </c>
      <c r="Z145" s="70">
        <f t="shared" si="179"/>
        <v>0</v>
      </c>
      <c r="AA145" s="566">
        <f>VLOOKUP($A145,'01-02.2021'!$A$6:$CZ$403,27,FALSE)+VLOOKUP($A145,'1.3.21-28.2.22'!$A$6:$DA$404,27,FALSE)-VLOOKUP($A145,'01-02.2022'!$A$6:$DA$376,27,FALSE)</f>
        <v>22.04</v>
      </c>
      <c r="AB145" s="566">
        <f>VLOOKUP($A145,'01-02.2021'!$A$6:$CZ$403,28,FALSE)+VLOOKUP($A145,'1.3.21-28.2.22'!$A$6:$DA$404,28,FALSE)-VLOOKUP($A145,'01-02.2022'!$A$6:$DA$376,28,FALSE)</f>
        <v>0</v>
      </c>
      <c r="AC145" s="70">
        <f t="shared" si="180"/>
        <v>-22.04</v>
      </c>
      <c r="AD145" s="566">
        <f>VLOOKUP($A145,'01-02.2021'!$A$6:$CZ$403,30,FALSE)+VLOOKUP($A145,'1.3.21-28.2.22'!$A$6:$DA$404,30,FALSE)-VLOOKUP($A145,'01-02.2022'!$A$6:$DA$376,30,FALSE)</f>
        <v>165.4739753448842</v>
      </c>
      <c r="AE145" s="566">
        <f>VLOOKUP($A145,'01-02.2021'!$A$6:$CZ$403,31,FALSE)+VLOOKUP($A145,'1.3.21-28.2.22'!$A$6:$DA$404,31,FALSE)-VLOOKUP($A145,'01-02.2022'!$A$6:$DA$376,31,FALSE)</f>
        <v>501.63484020598918</v>
      </c>
      <c r="AF145" s="68">
        <f t="shared" si="181"/>
        <v>336.16086486110498</v>
      </c>
      <c r="AG145" s="77">
        <f t="shared" si="150"/>
        <v>187.51397534488419</v>
      </c>
      <c r="AH145" s="53">
        <f t="shared" si="150"/>
        <v>501.63484020598918</v>
      </c>
      <c r="AI145" s="52">
        <f t="shared" si="157"/>
        <v>314.12086486110502</v>
      </c>
      <c r="AJ145" s="566">
        <f>VLOOKUP($A145,'01-02.2021'!$A$6:$CZ$403,36,FALSE)+VLOOKUP($A145,'1.3.21-28.2.22'!$A$6:$DA$404,36,FALSE)-VLOOKUP($A145,'01-02.2022'!$A$6:$DA$376,36,FALSE)</f>
        <v>0</v>
      </c>
      <c r="AK145" s="566">
        <f>VLOOKUP($A145,'01-02.2021'!$A$6:$CZ$403,37,FALSE)+VLOOKUP($A145,'1.3.21-28.2.22'!$A$6:$DA$404,37,FALSE)-VLOOKUP($A145,'01-02.2022'!$A$6:$DA$376,37,FALSE)</f>
        <v>0</v>
      </c>
      <c r="AL145" s="70">
        <f t="shared" si="182"/>
        <v>0</v>
      </c>
      <c r="AM145" s="566">
        <f>VLOOKUP($A145,'01-02.2021'!$A$6:$CZ$403,39,FALSE)+VLOOKUP($A145,'1.3.21-28.2.22'!$A$6:$DA$404,39,FALSE)-VLOOKUP($A145,'01-02.2022'!$A$6:$DA$376,39,FALSE)</f>
        <v>0</v>
      </c>
      <c r="AN145" s="566">
        <f>VLOOKUP($A145,'01-02.2021'!$A$6:$CZ$403,40,FALSE)+VLOOKUP($A145,'1.3.21-28.2.22'!$A$6:$DA$404,40,FALSE)-VLOOKUP($A145,'01-02.2022'!$A$6:$DA$376,40,FALSE)</f>
        <v>0</v>
      </c>
      <c r="AO145" s="70">
        <f t="shared" si="183"/>
        <v>0</v>
      </c>
      <c r="AP145" s="566">
        <f>VLOOKUP($A145,'01-02.2021'!$A$6:$CZ$403,42,FALSE)+VLOOKUP($A145,'1.3.21-28.2.22'!$A$6:$DA$404,42,FALSE)-VLOOKUP($A145,'01-02.2022'!$A$6:$DA$376,42,FALSE)</f>
        <v>130.13998125319432</v>
      </c>
      <c r="AQ145" s="566">
        <f>VLOOKUP($A145,'01-02.2021'!$A$6:$CZ$403,43,FALSE)+VLOOKUP($A145,'1.3.21-28.2.22'!$A$6:$DA$404,43,FALSE)-VLOOKUP($A145,'01-02.2022'!$A$6:$DA$376,43,FALSE)</f>
        <v>112.19112480747719</v>
      </c>
      <c r="AR145" s="70">
        <f t="shared" si="184"/>
        <v>-17.948856445717126</v>
      </c>
      <c r="AS145" s="566">
        <f>VLOOKUP($A145,'01-02.2021'!$A$6:$CZ$403,45,FALSE)+VLOOKUP($A145,'1.3.21-28.2.22'!$A$6:$DA$404,45,FALSE)-VLOOKUP($A145,'01-02.2022'!$A$6:$DA$376,45,FALSE)</f>
        <v>1327.2302048699271</v>
      </c>
      <c r="AT145" s="566">
        <f>VLOOKUP($A145,'01-02.2021'!$A$6:$CZ$403,46,FALSE)+VLOOKUP($A145,'1.3.21-28.2.22'!$A$6:$DA$404,46,FALSE)-VLOOKUP($A145,'01-02.2022'!$A$6:$DA$376,46,FALSE)</f>
        <v>0</v>
      </c>
      <c r="AU145" s="78">
        <f t="shared" si="185"/>
        <v>-1327.2302048699271</v>
      </c>
      <c r="AV145" s="566">
        <f>VLOOKUP($A145,'01-02.2021'!$A$6:$CZ$403,48,FALSE)+VLOOKUP($A145,'1.3.21-28.2.22'!$A$6:$DA$404,48,FALSE)-VLOOKUP($A145,'01-02.2022'!$A$6:$DA$376,48,FALSE)</f>
        <v>0</v>
      </c>
      <c r="AW145" s="566">
        <f>VLOOKUP($A145,'01-02.2021'!$A$6:$CZ$403,49,FALSE)+VLOOKUP($A145,'1.3.21-28.2.22'!$A$6:$DA$404,49,FALSE)-VLOOKUP($A145,'01-02.2022'!$A$6:$DA$376,49,FALSE)</f>
        <v>0</v>
      </c>
      <c r="AX145" s="55">
        <f t="shared" si="186"/>
        <v>0</v>
      </c>
      <c r="AY145" s="566">
        <f>VLOOKUP($A145,'01-02.2021'!$A$6:$CZ$403,51,FALSE)+VLOOKUP($A145,'1.3.21-28.2.22'!$A$6:$DA$404,51,FALSE)-VLOOKUP($A145,'01-02.2022'!$A$6:$DA$376,51,FALSE)</f>
        <v>0</v>
      </c>
      <c r="AZ145" s="566">
        <f>VLOOKUP($A145,'01-02.2021'!$A$6:$CZ$403,52,FALSE)+VLOOKUP($A145,'1.3.21-28.2.22'!$A$6:$DA$404,52,FALSE)-VLOOKUP($A145,'01-02.2022'!$A$6:$DA$376,52,FALSE)</f>
        <v>0</v>
      </c>
      <c r="BA145" s="38">
        <f t="shared" si="187"/>
        <v>0</v>
      </c>
      <c r="BB145" s="566">
        <f>VLOOKUP($A145,'01-02.2021'!$A$6:$CZ$403,54,FALSE)+VLOOKUP($A145,'1.3.21-28.2.22'!$A$6:$DA$404,54,FALSE)-VLOOKUP($A145,'01-02.2022'!$A$6:$DA$376,54,FALSE)</f>
        <v>0</v>
      </c>
      <c r="BC145" s="566">
        <f>VLOOKUP($A145,'01-02.2021'!$A$6:$CZ$403,55,FALSE)+VLOOKUP($A145,'1.3.21-28.2.22'!$A$6:$DA$404,55,FALSE)-VLOOKUP($A145,'01-02.2022'!$A$6:$DA$376,55,FALSE)</f>
        <v>0</v>
      </c>
      <c r="BD145" s="55">
        <f t="shared" si="188"/>
        <v>0</v>
      </c>
      <c r="BE145" s="566">
        <f>VLOOKUP($A145,'01-02.2021'!$A$6:$CZ$403,57,FALSE)+VLOOKUP($A145,'1.3.21-28.2.22'!$A$6:$DA$404,57,FALSE)-VLOOKUP($A145,'01-02.2022'!$A$6:$DA$376,57,FALSE)</f>
        <v>0</v>
      </c>
      <c r="BF145" s="566">
        <f>VLOOKUP($A145,'01-02.2021'!$A$6:$CZ$403,58,FALSE)+VLOOKUP($A145,'1.3.21-28.2.22'!$A$6:$DA$404,58,FALSE)-VLOOKUP($A145,'01-02.2022'!$A$6:$DA$376,58,FALSE)</f>
        <v>0</v>
      </c>
      <c r="BG145" s="55">
        <f t="shared" si="189"/>
        <v>0</v>
      </c>
      <c r="BH145" s="566">
        <f>VLOOKUP($A145,'01-02.2021'!$A$6:$CZ$403,60,FALSE)+VLOOKUP($A145,'1.3.21-28.2.22'!$A$6:$DA$404,60,FALSE)-VLOOKUP($A145,'01-02.2022'!$A$6:$DA$376,60,FALSE)</f>
        <v>0</v>
      </c>
      <c r="BI145" s="566">
        <f>VLOOKUP($A145,'01-02.2021'!$A$6:$CZ$403,61,FALSE)+VLOOKUP($A145,'1.3.21-28.2.22'!$A$6:$DA$404,61,FALSE)-VLOOKUP($A145,'01-02.2022'!$A$6:$DA$376,61,FALSE)</f>
        <v>0</v>
      </c>
      <c r="BJ145" s="55">
        <f t="shared" si="190"/>
        <v>0</v>
      </c>
      <c r="BK145" s="566">
        <f>VLOOKUP($A145,'01-02.2021'!$A$6:$CZ$403,63,FALSE)+VLOOKUP($A145,'1.3.21-28.2.22'!$A$6:$DA$404,63,FALSE)-VLOOKUP($A145,'01-02.2022'!$A$6:$DA$376,63,FALSE)</f>
        <v>0</v>
      </c>
      <c r="BL145" s="566">
        <f>VLOOKUP($A145,'01-02.2021'!$A$6:$CZ$403,64,FALSE)+VLOOKUP($A145,'1.3.21-28.2.22'!$A$6:$DA$404,64,FALSE)-VLOOKUP($A145,'01-02.2022'!$A$6:$DA$376,64,FALSE)</f>
        <v>0</v>
      </c>
      <c r="BM145" s="55">
        <f t="shared" si="191"/>
        <v>0</v>
      </c>
      <c r="BN145" s="566">
        <f>VLOOKUP($A145,'01-02.2021'!$A$6:$CZ$403,66,FALSE)+VLOOKUP($A145,'1.3.21-28.2.22'!$A$6:$DA$404,66,FALSE)-VLOOKUP($A145,'01-02.2022'!$A$6:$DA$376,66,FALSE)</f>
        <v>5.51</v>
      </c>
      <c r="BO145" s="566">
        <f>VLOOKUP($A145,'01-02.2021'!$A$6:$CZ$403,67,FALSE)+VLOOKUP($A145,'1.3.21-28.2.22'!$A$6:$DA$404,67,FALSE)-VLOOKUP($A145,'01-02.2022'!$A$6:$DA$376,67,FALSE)</f>
        <v>0</v>
      </c>
      <c r="BP145" s="55">
        <f t="shared" si="192"/>
        <v>-5.51</v>
      </c>
      <c r="BQ145" s="77">
        <f t="shared" si="151"/>
        <v>5.51</v>
      </c>
      <c r="BR145" s="40">
        <f t="shared" si="152"/>
        <v>0</v>
      </c>
      <c r="BS145" s="55">
        <f t="shared" si="166"/>
        <v>-5.51</v>
      </c>
      <c r="BT145" s="566">
        <f>VLOOKUP($A145,'01-02.2021'!$A$6:$CZ$403,72,FALSE)+VLOOKUP($A145,'1.3.21-28.2.22'!$A$6:$DA$404,72,FALSE)-VLOOKUP($A145,'01-02.2022'!$A$6:$DA$376,72,FALSE)</f>
        <v>0</v>
      </c>
      <c r="BU145" s="566">
        <f>VLOOKUP($A145,'01-02.2021'!$A$6:$CZ$403,73,FALSE)+VLOOKUP($A145,'1.3.21-28.2.22'!$A$6:$DA$404,73,FALSE)-VLOOKUP($A145,'01-02.2022'!$A$6:$DA$376,73,FALSE)</f>
        <v>0</v>
      </c>
      <c r="BV145" s="70">
        <f t="shared" si="193"/>
        <v>0</v>
      </c>
      <c r="BW145" s="566">
        <f>VLOOKUP($A145,'01-02.2021'!$A$6:$CZ$403,75,FALSE)+VLOOKUP($A145,'1.3.21-28.2.22'!$A$6:$DA$404,75,FALSE)-VLOOKUP($A145,'01-02.2022'!$A$6:$DA$376,75,FALSE)</f>
        <v>0</v>
      </c>
      <c r="BX145" s="566">
        <f>VLOOKUP($A145,'01-02.2021'!$A$6:$CZ$403,76,FALSE)+VLOOKUP($A145,'1.3.21-28.2.22'!$A$6:$DA$404,76,FALSE)-VLOOKUP($A145,'01-02.2022'!$A$6:$DA$376,76,FALSE)</f>
        <v>2.4697572834601855</v>
      </c>
      <c r="BY145" s="70">
        <f t="shared" si="194"/>
        <v>2.4697572834601855</v>
      </c>
      <c r="BZ145" s="566">
        <f>VLOOKUP($A145,'01-02.2021'!$A$6:$CZ$403,78,FALSE)+VLOOKUP($A145,'1.3.21-28.2.22'!$A$6:$DA$404,78,FALSE)-VLOOKUP($A145,'01-02.2022'!$A$6:$DA$376,78,FALSE)</f>
        <v>0</v>
      </c>
      <c r="CA145" s="566">
        <f>VLOOKUP($A145,'01-02.2021'!$A$6:$CZ$403,79,FALSE)+VLOOKUP($A145,'1.3.21-28.2.22'!$A$6:$DA$404,79,FALSE)-VLOOKUP($A145,'01-02.2022'!$A$6:$DA$376,79,FALSE)</f>
        <v>0</v>
      </c>
      <c r="CB145" s="70">
        <f t="shared" si="195"/>
        <v>0</v>
      </c>
      <c r="CC145" s="566">
        <f>VLOOKUP($A145,'01-02.2021'!$A$6:$CZ$403,81,FALSE)+VLOOKUP($A145,'1.3.21-28.2.22'!$A$6:$DA$404,81,FALSE)-VLOOKUP($A145,'01-02.2022'!$A$6:$DA$376,81,FALSE)</f>
        <v>0</v>
      </c>
      <c r="CD145" s="566">
        <f>VLOOKUP($A145,'01-02.2021'!$A$6:$CZ$403,82,FALSE)+VLOOKUP($A145,'1.3.21-28.2.22'!$A$6:$DA$404,82,FALSE)-VLOOKUP($A145,'01-02.2022'!$A$6:$DA$376,82,FALSE)</f>
        <v>0</v>
      </c>
      <c r="CE145" s="70">
        <f t="shared" si="196"/>
        <v>0</v>
      </c>
      <c r="CF145" s="566">
        <f>VLOOKUP($A145,'01-02.2021'!$A$6:$CZ$403,84,FALSE)+VLOOKUP($A145,'1.3.21-28.2.22'!$A$6:$DA$404,84,FALSE)-VLOOKUP($A145,'01-02.2022'!$A$6:$DA$376,84,FALSE)</f>
        <v>0</v>
      </c>
      <c r="CG145" s="566">
        <f>VLOOKUP($A145,'01-02.2021'!$A$6:$CZ$403,85,FALSE)+VLOOKUP($A145,'1.3.21-28.2.22'!$A$6:$DA$404,85,FALSE)-VLOOKUP($A145,'01-02.2022'!$A$6:$DA$376,85,FALSE)</f>
        <v>0</v>
      </c>
      <c r="CH145" s="70">
        <f t="shared" si="197"/>
        <v>0</v>
      </c>
      <c r="CI145" s="566">
        <f>VLOOKUP($A145,'01-02.2021'!$A$6:$CZ$403,87,FALSE)+VLOOKUP($A145,'1.3.21-28.2.22'!$A$6:$DA$404,87,FALSE)-VLOOKUP($A145,'01-02.2022'!$A$6:$DA$376,87,FALSE)</f>
        <v>0</v>
      </c>
      <c r="CJ145" s="566">
        <f>VLOOKUP($A145,'01-02.2021'!$A$6:$CZ$403,88,FALSE)+VLOOKUP($A145,'1.3.21-28.2.22'!$A$6:$DA$404,88,FALSE)-VLOOKUP($A145,'01-02.2022'!$A$6:$DA$376,88,FALSE)</f>
        <v>0</v>
      </c>
      <c r="CK145" s="70">
        <f t="shared" si="198"/>
        <v>0</v>
      </c>
      <c r="CL145" s="566">
        <f>VLOOKUP($A145,'01-02.2021'!$A$6:$CZ$403,90,FALSE)+VLOOKUP($A145,'1.3.21-28.2.22'!$A$6:$DA$404,90,FALSE)-VLOOKUP($A145,'01-02.2022'!$A$6:$DA$376,90,FALSE)</f>
        <v>0</v>
      </c>
      <c r="CM145" s="566">
        <f>VLOOKUP($A145,'01-02.2021'!$A$6:$CZ$403,91,FALSE)+VLOOKUP($A145,'1.3.21-28.2.22'!$A$6:$DA$404,91,FALSE)-VLOOKUP($A145,'01-02.2022'!$A$6:$DA$376,91,FALSE)</f>
        <v>0</v>
      </c>
      <c r="CN145" s="52">
        <f t="shared" si="158"/>
        <v>0</v>
      </c>
      <c r="CO145" s="39">
        <f t="shared" si="153"/>
        <v>0</v>
      </c>
      <c r="CP145" s="40">
        <f t="shared" si="159"/>
        <v>0</v>
      </c>
      <c r="CQ145" s="52">
        <f t="shared" si="160"/>
        <v>0</v>
      </c>
      <c r="CR145" s="72">
        <f t="shared" si="154"/>
        <v>1650.3941614680054</v>
      </c>
      <c r="CS145" s="5">
        <f t="shared" si="154"/>
        <v>616.29572229692667</v>
      </c>
      <c r="CT145" s="52">
        <f t="shared" si="161"/>
        <v>-1034.0984391710788</v>
      </c>
      <c r="CU145" s="77">
        <f t="shared" si="162"/>
        <v>1980.4729937616064</v>
      </c>
      <c r="CV145" s="65">
        <f t="shared" si="163"/>
        <v>739.55486675631198</v>
      </c>
      <c r="CW145" s="35">
        <f t="shared" si="164"/>
        <v>-1240.9181270052945</v>
      </c>
      <c r="CX145" s="566">
        <f>VLOOKUP($A145,'01-02.2021'!$A$6:$CZ$403,102,FALSE)+VLOOKUP($A145,'1.3.21-28.2.22'!$A$6:$DA$404,102,FALSE)-VLOOKUP($A145,'01-02.2022'!$A$6:$DA$376,102,FALSE)</f>
        <v>63.004781299502802</v>
      </c>
      <c r="CY145" s="566">
        <f>VLOOKUP($A145,'01-02.2021'!$A$6:$CZ$403,103,FALSE)+VLOOKUP($A145,'1.3.21-28.2.22'!$A$6:$DA$404,103,FALSE)-VLOOKUP($A145,'01-02.2022'!$A$6:$DA$376,103,FALSE)</f>
        <v>1303.9229083047981</v>
      </c>
      <c r="CZ145" s="52">
        <f t="shared" si="165"/>
        <v>1240.9181270052952</v>
      </c>
      <c r="DA145" s="150">
        <f>'[2]побудинковий звіт'!DA145</f>
        <v>-4873.5666568355718</v>
      </c>
      <c r="DB145" s="2">
        <v>3</v>
      </c>
      <c r="DC145" s="414">
        <f>'[4]побудинковий звіт'!DC145</f>
        <v>180.91</v>
      </c>
      <c r="DD145" s="414">
        <f>'[4]побудинковий звіт'!DD145</f>
        <v>0</v>
      </c>
      <c r="DE145" s="557">
        <f>'[4]побудинковий звіт'!DE145</f>
        <v>-3.042212570043489</v>
      </c>
      <c r="DF145" s="557">
        <f>'[4]побудинковий звіт'!DF145</f>
        <v>0</v>
      </c>
      <c r="DG145" s="321">
        <f>VLOOKUP(A145,'кошти 01.03.2021'!$A$6:$D$401,4,)</f>
        <v>-3519.1137367552947</v>
      </c>
      <c r="DH145" s="40">
        <f>'[3]побудинковий звіт'!DJ145</f>
        <v>2107.9608956004668</v>
      </c>
      <c r="DI145" s="422">
        <f>'[3]побудинковий звіт'!CU145+'[3]побудинковий звіт'!CX145</f>
        <v>183.95221257004349</v>
      </c>
      <c r="DJ145" s="306">
        <f>'[3]побудинковий звіт'!DM145</f>
        <v>1.6692578273143692</v>
      </c>
      <c r="DK145" s="306">
        <f t="shared" si="168"/>
        <v>1.6692578273143692</v>
      </c>
      <c r="DL145" s="306">
        <f>'[3]побудинковий звіт'!DO145</f>
        <v>1.6692578273143692</v>
      </c>
      <c r="DM145" s="28">
        <f t="shared" si="169"/>
        <v>183.95221257004349</v>
      </c>
      <c r="DN145" s="28">
        <f t="shared" si="170"/>
        <v>0</v>
      </c>
      <c r="DO145" s="423">
        <f t="shared" si="171"/>
        <v>183.95221257004349</v>
      </c>
      <c r="DP145" s="94">
        <f t="shared" si="172"/>
        <v>0</v>
      </c>
      <c r="DQ145" s="28">
        <f t="shared" si="173"/>
        <v>183.95221257004349</v>
      </c>
      <c r="DR145" s="318"/>
      <c r="DT145" s="8"/>
      <c r="DU145" s="5"/>
      <c r="DX145" s="5">
        <f t="shared" si="174"/>
        <v>1599.2882458439124</v>
      </c>
      <c r="DY145" s="5">
        <f t="shared" si="175"/>
        <v>0</v>
      </c>
      <c r="DZ145" s="159">
        <f>'[3]побудинковий звіт'!EA145</f>
        <v>166.14004179781435</v>
      </c>
    </row>
    <row r="146" spans="1:130" x14ac:dyDescent="0.3">
      <c r="A146" s="325">
        <v>150000552</v>
      </c>
      <c r="B146" s="41" t="s">
        <v>595</v>
      </c>
      <c r="C146" s="42" t="s">
        <v>92</v>
      </c>
      <c r="D146" s="42"/>
      <c r="E146" s="293">
        <f t="shared" si="149"/>
        <v>100.2</v>
      </c>
      <c r="F146" s="305">
        <f>'[3]побудинковий звіт'!F146</f>
        <v>100.2</v>
      </c>
      <c r="G146" s="508">
        <f>'[3]побудинковий звіт'!G146</f>
        <v>0</v>
      </c>
      <c r="H146" s="560">
        <f>'[3]побудинковий звіт'!H146</f>
        <v>0</v>
      </c>
      <c r="I146" s="566">
        <f>VLOOKUP($A146,'01-02.2021'!$A$6:$CZ$403,9,FALSE)+VLOOKUP($A146,'1.3.21-28.2.22'!$A$6:$DA$404,9,FALSE)-VLOOKUP($A146,'01-02.2022'!$A$6:$DA$376,9,FALSE)</f>
        <v>0</v>
      </c>
      <c r="J146" s="566">
        <f>VLOOKUP($A146,'01-02.2021'!$A$6:$CZ$403,10,FALSE)+VLOOKUP($A146,'1.3.21-28.2.22'!$A$6:$DA$404,10,FALSE)-VLOOKUP($A146,'01-02.2022'!$A$6:$DA$376,10,FALSE)</f>
        <v>0</v>
      </c>
      <c r="K146" s="52">
        <f t="shared" si="155"/>
        <v>0</v>
      </c>
      <c r="L146" s="566">
        <f>VLOOKUP($A146,'01-02.2021'!$A$6:$CZ$403,12,FALSE)+VLOOKUP($A146,'1.3.21-28.2.22'!$A$6:$DA$404,12,FALSE)-VLOOKUP($A146,'01-02.2022'!$A$6:$DA$376,12,FALSE)</f>
        <v>0</v>
      </c>
      <c r="M146" s="566">
        <f>VLOOKUP($A146,'01-02.2021'!$A$6:$CZ$403,13,FALSE)+VLOOKUP($A146,'1.3.21-28.2.22'!$A$6:$DA$404,13,FALSE)-VLOOKUP($A146,'01-02.2022'!$A$6:$DA$376,13,FALSE)</f>
        <v>0</v>
      </c>
      <c r="N146" s="52">
        <f t="shared" si="156"/>
        <v>0</v>
      </c>
      <c r="O146" s="566">
        <f>VLOOKUP($A146,'01-02.2021'!$A$6:$CZ$403,15,FALSE)+VLOOKUP($A146,'1.3.21-28.2.22'!$A$6:$DA$404,15,FALSE)-VLOOKUP($A146,'01-02.2022'!$A$6:$DA$376,15,FALSE)</f>
        <v>0</v>
      </c>
      <c r="P146" s="566">
        <f>VLOOKUP($A146,'01-02.2021'!$A$6:$CZ$403,16,FALSE)+VLOOKUP($A146,'1.3.21-28.2.22'!$A$6:$DA$404,16,FALSE)-VLOOKUP($A146,'01-02.2022'!$A$6:$DA$376,16,FALSE)</f>
        <v>0</v>
      </c>
      <c r="Q146" s="70">
        <f t="shared" si="176"/>
        <v>0</v>
      </c>
      <c r="R146" s="566">
        <f>VLOOKUP($A146,'01-02.2021'!$A$6:$CZ$403,18,FALSE)+VLOOKUP($A146,'1.3.21-28.2.22'!$A$6:$DA$404,18,FALSE)-VLOOKUP($A146,'01-02.2022'!$A$6:$DA$376,18,FALSE)</f>
        <v>0</v>
      </c>
      <c r="S146" s="566">
        <f>VLOOKUP($A146,'01-02.2021'!$A$6:$CZ$403,19,FALSE)+VLOOKUP($A146,'1.3.21-28.2.22'!$A$6:$DA$404,19,FALSE)-VLOOKUP($A146,'01-02.2022'!$A$6:$DA$376,19,FALSE)</f>
        <v>0</v>
      </c>
      <c r="T146" s="70">
        <f t="shared" si="177"/>
        <v>0</v>
      </c>
      <c r="U146" s="566">
        <f>VLOOKUP($A146,'01-02.2021'!$A$6:$CZ$403,21,FALSE)+VLOOKUP($A146,'1.3.21-28.2.22'!$A$6:$DA$404,21,FALSE)-VLOOKUP($A146,'01-02.2022'!$A$6:$DA$376,21,FALSE)</f>
        <v>0</v>
      </c>
      <c r="V146" s="566">
        <f>VLOOKUP($A146,'01-02.2021'!$A$6:$CZ$403,22,FALSE)+VLOOKUP($A146,'1.3.21-28.2.22'!$A$6:$DA$404,22,FALSE)-VLOOKUP($A146,'01-02.2022'!$A$6:$DA$376,22,FALSE)</f>
        <v>0</v>
      </c>
      <c r="W146" s="70">
        <f t="shared" si="178"/>
        <v>0</v>
      </c>
      <c r="X146" s="566">
        <f>VLOOKUP($A146,'01-02.2021'!$A$6:$CZ$403,24,FALSE)+VLOOKUP($A146,'1.3.21-28.2.22'!$A$6:$DA$404,24,FALSE)-VLOOKUP($A146,'01-02.2022'!$A$6:$DA$376,24,FALSE)</f>
        <v>0</v>
      </c>
      <c r="Y146" s="566">
        <f>VLOOKUP($A146,'01-02.2021'!$A$6:$CZ$403,25,FALSE)+VLOOKUP($A146,'1.3.21-28.2.22'!$A$6:$DA$404,25,FALSE)-VLOOKUP($A146,'01-02.2022'!$A$6:$DA$376,25,FALSE)</f>
        <v>0</v>
      </c>
      <c r="Z146" s="70">
        <f t="shared" si="179"/>
        <v>0</v>
      </c>
      <c r="AA146" s="566">
        <f>VLOOKUP($A146,'01-02.2021'!$A$6:$CZ$403,27,FALSE)+VLOOKUP($A146,'1.3.21-28.2.22'!$A$6:$DA$404,27,FALSE)-VLOOKUP($A146,'01-02.2022'!$A$6:$DA$376,27,FALSE)</f>
        <v>20.04</v>
      </c>
      <c r="AB146" s="566">
        <f>VLOOKUP($A146,'01-02.2021'!$A$6:$CZ$403,28,FALSE)+VLOOKUP($A146,'1.3.21-28.2.22'!$A$6:$DA$404,28,FALSE)-VLOOKUP($A146,'01-02.2022'!$A$6:$DA$376,28,FALSE)</f>
        <v>0</v>
      </c>
      <c r="AC146" s="70">
        <f t="shared" si="180"/>
        <v>-20.04</v>
      </c>
      <c r="AD146" s="566">
        <f>VLOOKUP($A146,'01-02.2021'!$A$6:$CZ$403,30,FALSE)+VLOOKUP($A146,'1.3.21-28.2.22'!$A$6:$DA$404,30,FALSE)-VLOOKUP($A146,'01-02.2022'!$A$6:$DA$376,30,FALSE)</f>
        <v>150.48529949948571</v>
      </c>
      <c r="AE146" s="566">
        <f>VLOOKUP($A146,'01-02.2021'!$A$6:$CZ$403,31,FALSE)+VLOOKUP($A146,'1.3.21-28.2.22'!$A$6:$DA$404,31,FALSE)-VLOOKUP($A146,'01-02.2022'!$A$6:$DA$376,31,FALSE)</f>
        <v>456.1144372834857</v>
      </c>
      <c r="AF146" s="68">
        <f t="shared" si="181"/>
        <v>305.62913778400002</v>
      </c>
      <c r="AG146" s="77">
        <f t="shared" si="150"/>
        <v>170.5252994994857</v>
      </c>
      <c r="AH146" s="53">
        <f t="shared" si="150"/>
        <v>456.1144372834857</v>
      </c>
      <c r="AI146" s="52">
        <f t="shared" si="157"/>
        <v>285.589137784</v>
      </c>
      <c r="AJ146" s="566">
        <f>VLOOKUP($A146,'01-02.2021'!$A$6:$CZ$403,36,FALSE)+VLOOKUP($A146,'1.3.21-28.2.22'!$A$6:$DA$404,36,FALSE)-VLOOKUP($A146,'01-02.2022'!$A$6:$DA$376,36,FALSE)</f>
        <v>0</v>
      </c>
      <c r="AK146" s="566">
        <f>VLOOKUP($A146,'01-02.2021'!$A$6:$CZ$403,37,FALSE)+VLOOKUP($A146,'1.3.21-28.2.22'!$A$6:$DA$404,37,FALSE)-VLOOKUP($A146,'01-02.2022'!$A$6:$DA$376,37,FALSE)</f>
        <v>0</v>
      </c>
      <c r="AL146" s="70">
        <f t="shared" si="182"/>
        <v>0</v>
      </c>
      <c r="AM146" s="566">
        <f>VLOOKUP($A146,'01-02.2021'!$A$6:$CZ$403,39,FALSE)+VLOOKUP($A146,'1.3.21-28.2.22'!$A$6:$DA$404,39,FALSE)-VLOOKUP($A146,'01-02.2022'!$A$6:$DA$376,39,FALSE)</f>
        <v>0</v>
      </c>
      <c r="AN146" s="566">
        <f>VLOOKUP($A146,'01-02.2021'!$A$6:$CZ$403,40,FALSE)+VLOOKUP($A146,'1.3.21-28.2.22'!$A$6:$DA$404,40,FALSE)-VLOOKUP($A146,'01-02.2022'!$A$6:$DA$376,40,FALSE)</f>
        <v>0</v>
      </c>
      <c r="AO146" s="70">
        <f t="shared" si="183"/>
        <v>0</v>
      </c>
      <c r="AP146" s="566">
        <f>VLOOKUP($A146,'01-02.2021'!$A$6:$CZ$403,42,FALSE)+VLOOKUP($A146,'1.3.21-28.2.22'!$A$6:$DA$404,42,FALSE)-VLOOKUP($A146,'01-02.2022'!$A$6:$DA$376,42,FALSE)</f>
        <v>173.51997500425909</v>
      </c>
      <c r="AQ146" s="566">
        <f>VLOOKUP($A146,'01-02.2021'!$A$6:$CZ$403,43,FALSE)+VLOOKUP($A146,'1.3.21-28.2.22'!$A$6:$DA$404,43,FALSE)-VLOOKUP($A146,'01-02.2022'!$A$6:$DA$376,43,FALSE)</f>
        <v>149.58816640996957</v>
      </c>
      <c r="AR146" s="70">
        <f t="shared" si="184"/>
        <v>-23.931808594289521</v>
      </c>
      <c r="AS146" s="566">
        <f>VLOOKUP($A146,'01-02.2021'!$A$6:$CZ$403,45,FALSE)+VLOOKUP($A146,'1.3.21-28.2.22'!$A$6:$DA$404,45,FALSE)-VLOOKUP($A146,'01-02.2022'!$A$6:$DA$376,45,FALSE)</f>
        <v>1255.3562770763738</v>
      </c>
      <c r="AT146" s="566">
        <f>VLOOKUP($A146,'01-02.2021'!$A$6:$CZ$403,46,FALSE)+VLOOKUP($A146,'1.3.21-28.2.22'!$A$6:$DA$404,46,FALSE)-VLOOKUP($A146,'01-02.2022'!$A$6:$DA$376,46,FALSE)</f>
        <v>0</v>
      </c>
      <c r="AU146" s="78">
        <f t="shared" si="185"/>
        <v>-1255.3562770763738</v>
      </c>
      <c r="AV146" s="566">
        <f>VLOOKUP($A146,'01-02.2021'!$A$6:$CZ$403,48,FALSE)+VLOOKUP($A146,'1.3.21-28.2.22'!$A$6:$DA$404,48,FALSE)-VLOOKUP($A146,'01-02.2022'!$A$6:$DA$376,48,FALSE)</f>
        <v>0</v>
      </c>
      <c r="AW146" s="566">
        <f>VLOOKUP($A146,'01-02.2021'!$A$6:$CZ$403,49,FALSE)+VLOOKUP($A146,'1.3.21-28.2.22'!$A$6:$DA$404,49,FALSE)-VLOOKUP($A146,'01-02.2022'!$A$6:$DA$376,49,FALSE)</f>
        <v>0</v>
      </c>
      <c r="AX146" s="55">
        <f t="shared" si="186"/>
        <v>0</v>
      </c>
      <c r="AY146" s="566">
        <f>VLOOKUP($A146,'01-02.2021'!$A$6:$CZ$403,51,FALSE)+VLOOKUP($A146,'1.3.21-28.2.22'!$A$6:$DA$404,51,FALSE)-VLOOKUP($A146,'01-02.2022'!$A$6:$DA$376,51,FALSE)</f>
        <v>0</v>
      </c>
      <c r="AZ146" s="566">
        <f>VLOOKUP($A146,'01-02.2021'!$A$6:$CZ$403,52,FALSE)+VLOOKUP($A146,'1.3.21-28.2.22'!$A$6:$DA$404,52,FALSE)-VLOOKUP($A146,'01-02.2022'!$A$6:$DA$376,52,FALSE)</f>
        <v>0</v>
      </c>
      <c r="BA146" s="38">
        <f t="shared" si="187"/>
        <v>0</v>
      </c>
      <c r="BB146" s="566">
        <f>VLOOKUP($A146,'01-02.2021'!$A$6:$CZ$403,54,FALSE)+VLOOKUP($A146,'1.3.21-28.2.22'!$A$6:$DA$404,54,FALSE)-VLOOKUP($A146,'01-02.2022'!$A$6:$DA$376,54,FALSE)</f>
        <v>0</v>
      </c>
      <c r="BC146" s="566">
        <f>VLOOKUP($A146,'01-02.2021'!$A$6:$CZ$403,55,FALSE)+VLOOKUP($A146,'1.3.21-28.2.22'!$A$6:$DA$404,55,FALSE)-VLOOKUP($A146,'01-02.2022'!$A$6:$DA$376,55,FALSE)</f>
        <v>0</v>
      </c>
      <c r="BD146" s="55">
        <f t="shared" si="188"/>
        <v>0</v>
      </c>
      <c r="BE146" s="566">
        <f>VLOOKUP($A146,'01-02.2021'!$A$6:$CZ$403,57,FALSE)+VLOOKUP($A146,'1.3.21-28.2.22'!$A$6:$DA$404,57,FALSE)-VLOOKUP($A146,'01-02.2022'!$A$6:$DA$376,57,FALSE)</f>
        <v>0</v>
      </c>
      <c r="BF146" s="566">
        <f>VLOOKUP($A146,'01-02.2021'!$A$6:$CZ$403,58,FALSE)+VLOOKUP($A146,'1.3.21-28.2.22'!$A$6:$DA$404,58,FALSE)-VLOOKUP($A146,'01-02.2022'!$A$6:$DA$376,58,FALSE)</f>
        <v>0</v>
      </c>
      <c r="BG146" s="55">
        <f t="shared" si="189"/>
        <v>0</v>
      </c>
      <c r="BH146" s="566">
        <f>VLOOKUP($A146,'01-02.2021'!$A$6:$CZ$403,60,FALSE)+VLOOKUP($A146,'1.3.21-28.2.22'!$A$6:$DA$404,60,FALSE)-VLOOKUP($A146,'01-02.2022'!$A$6:$DA$376,60,FALSE)</f>
        <v>0</v>
      </c>
      <c r="BI146" s="566">
        <f>VLOOKUP($A146,'01-02.2021'!$A$6:$CZ$403,61,FALSE)+VLOOKUP($A146,'1.3.21-28.2.22'!$A$6:$DA$404,61,FALSE)-VLOOKUP($A146,'01-02.2022'!$A$6:$DA$376,61,FALSE)</f>
        <v>0</v>
      </c>
      <c r="BJ146" s="55">
        <f t="shared" si="190"/>
        <v>0</v>
      </c>
      <c r="BK146" s="566">
        <f>VLOOKUP($A146,'01-02.2021'!$A$6:$CZ$403,63,FALSE)+VLOOKUP($A146,'1.3.21-28.2.22'!$A$6:$DA$404,63,FALSE)-VLOOKUP($A146,'01-02.2022'!$A$6:$DA$376,63,FALSE)</f>
        <v>0</v>
      </c>
      <c r="BL146" s="566">
        <f>VLOOKUP($A146,'01-02.2021'!$A$6:$CZ$403,64,FALSE)+VLOOKUP($A146,'1.3.21-28.2.22'!$A$6:$DA$404,64,FALSE)-VLOOKUP($A146,'01-02.2022'!$A$6:$DA$376,64,FALSE)</f>
        <v>0</v>
      </c>
      <c r="BM146" s="55">
        <f t="shared" si="191"/>
        <v>0</v>
      </c>
      <c r="BN146" s="566">
        <f>VLOOKUP($A146,'01-02.2021'!$A$6:$CZ$403,66,FALSE)+VLOOKUP($A146,'1.3.21-28.2.22'!$A$6:$DA$404,66,FALSE)-VLOOKUP($A146,'01-02.2022'!$A$6:$DA$376,66,FALSE)</f>
        <v>5.01</v>
      </c>
      <c r="BO146" s="566">
        <f>VLOOKUP($A146,'01-02.2021'!$A$6:$CZ$403,67,FALSE)+VLOOKUP($A146,'1.3.21-28.2.22'!$A$6:$DA$404,67,FALSE)-VLOOKUP($A146,'01-02.2022'!$A$6:$DA$376,67,FALSE)</f>
        <v>0</v>
      </c>
      <c r="BP146" s="55">
        <f t="shared" si="192"/>
        <v>-5.01</v>
      </c>
      <c r="BQ146" s="77">
        <f t="shared" si="151"/>
        <v>5.01</v>
      </c>
      <c r="BR146" s="40">
        <f t="shared" si="152"/>
        <v>0</v>
      </c>
      <c r="BS146" s="55">
        <f t="shared" si="166"/>
        <v>-5.01</v>
      </c>
      <c r="BT146" s="566">
        <f>VLOOKUP($A146,'01-02.2021'!$A$6:$CZ$403,72,FALSE)+VLOOKUP($A146,'1.3.21-28.2.22'!$A$6:$DA$404,72,FALSE)-VLOOKUP($A146,'01-02.2022'!$A$6:$DA$376,72,FALSE)</f>
        <v>0</v>
      </c>
      <c r="BU146" s="566">
        <f>VLOOKUP($A146,'01-02.2021'!$A$6:$CZ$403,73,FALSE)+VLOOKUP($A146,'1.3.21-28.2.22'!$A$6:$DA$404,73,FALSE)-VLOOKUP($A146,'01-02.2022'!$A$6:$DA$376,73,FALSE)</f>
        <v>0</v>
      </c>
      <c r="BV146" s="70">
        <f t="shared" si="193"/>
        <v>0</v>
      </c>
      <c r="BW146" s="566">
        <f>VLOOKUP($A146,'01-02.2021'!$A$6:$CZ$403,75,FALSE)+VLOOKUP($A146,'1.3.21-28.2.22'!$A$6:$DA$404,75,FALSE)-VLOOKUP($A146,'01-02.2022'!$A$6:$DA$376,75,FALSE)</f>
        <v>0</v>
      </c>
      <c r="BX146" s="566">
        <f>VLOOKUP($A146,'01-02.2021'!$A$6:$CZ$403,76,FALSE)+VLOOKUP($A146,'1.3.21-28.2.22'!$A$6:$DA$404,76,FALSE)-VLOOKUP($A146,'01-02.2022'!$A$6:$DA$376,76,FALSE)</f>
        <v>2.2456413775200597</v>
      </c>
      <c r="BY146" s="70">
        <f t="shared" si="194"/>
        <v>2.2456413775200597</v>
      </c>
      <c r="BZ146" s="566">
        <f>VLOOKUP($A146,'01-02.2021'!$A$6:$CZ$403,78,FALSE)+VLOOKUP($A146,'1.3.21-28.2.22'!$A$6:$DA$404,78,FALSE)-VLOOKUP($A146,'01-02.2022'!$A$6:$DA$376,78,FALSE)</f>
        <v>0</v>
      </c>
      <c r="CA146" s="566">
        <f>VLOOKUP($A146,'01-02.2021'!$A$6:$CZ$403,79,FALSE)+VLOOKUP($A146,'1.3.21-28.2.22'!$A$6:$DA$404,79,FALSE)-VLOOKUP($A146,'01-02.2022'!$A$6:$DA$376,79,FALSE)</f>
        <v>0</v>
      </c>
      <c r="CB146" s="70">
        <f t="shared" si="195"/>
        <v>0</v>
      </c>
      <c r="CC146" s="566">
        <f>VLOOKUP($A146,'01-02.2021'!$A$6:$CZ$403,81,FALSE)+VLOOKUP($A146,'1.3.21-28.2.22'!$A$6:$DA$404,81,FALSE)-VLOOKUP($A146,'01-02.2022'!$A$6:$DA$376,81,FALSE)</f>
        <v>0</v>
      </c>
      <c r="CD146" s="566">
        <f>VLOOKUP($A146,'01-02.2021'!$A$6:$CZ$403,82,FALSE)+VLOOKUP($A146,'1.3.21-28.2.22'!$A$6:$DA$404,82,FALSE)-VLOOKUP($A146,'01-02.2022'!$A$6:$DA$376,82,FALSE)</f>
        <v>0</v>
      </c>
      <c r="CE146" s="70">
        <f t="shared" si="196"/>
        <v>0</v>
      </c>
      <c r="CF146" s="566">
        <f>VLOOKUP($A146,'01-02.2021'!$A$6:$CZ$403,84,FALSE)+VLOOKUP($A146,'1.3.21-28.2.22'!$A$6:$DA$404,84,FALSE)-VLOOKUP($A146,'01-02.2022'!$A$6:$DA$376,84,FALSE)</f>
        <v>0</v>
      </c>
      <c r="CG146" s="566">
        <f>VLOOKUP($A146,'01-02.2021'!$A$6:$CZ$403,85,FALSE)+VLOOKUP($A146,'1.3.21-28.2.22'!$A$6:$DA$404,85,FALSE)-VLOOKUP($A146,'01-02.2022'!$A$6:$DA$376,85,FALSE)</f>
        <v>0</v>
      </c>
      <c r="CH146" s="70">
        <f t="shared" si="197"/>
        <v>0</v>
      </c>
      <c r="CI146" s="566">
        <f>VLOOKUP($A146,'01-02.2021'!$A$6:$CZ$403,87,FALSE)+VLOOKUP($A146,'1.3.21-28.2.22'!$A$6:$DA$404,87,FALSE)-VLOOKUP($A146,'01-02.2022'!$A$6:$DA$376,87,FALSE)</f>
        <v>0</v>
      </c>
      <c r="CJ146" s="566">
        <f>VLOOKUP($A146,'01-02.2021'!$A$6:$CZ$403,88,FALSE)+VLOOKUP($A146,'1.3.21-28.2.22'!$A$6:$DA$404,88,FALSE)-VLOOKUP($A146,'01-02.2022'!$A$6:$DA$376,88,FALSE)</f>
        <v>0</v>
      </c>
      <c r="CK146" s="70">
        <f t="shared" si="198"/>
        <v>0</v>
      </c>
      <c r="CL146" s="566">
        <f>VLOOKUP($A146,'01-02.2021'!$A$6:$CZ$403,90,FALSE)+VLOOKUP($A146,'1.3.21-28.2.22'!$A$6:$DA$404,90,FALSE)-VLOOKUP($A146,'01-02.2022'!$A$6:$DA$376,90,FALSE)</f>
        <v>0</v>
      </c>
      <c r="CM146" s="566">
        <f>VLOOKUP($A146,'01-02.2021'!$A$6:$CZ$403,91,FALSE)+VLOOKUP($A146,'1.3.21-28.2.22'!$A$6:$DA$404,91,FALSE)-VLOOKUP($A146,'01-02.2022'!$A$6:$DA$376,91,FALSE)</f>
        <v>0</v>
      </c>
      <c r="CN146" s="52">
        <f t="shared" si="158"/>
        <v>0</v>
      </c>
      <c r="CO146" s="39">
        <f t="shared" si="153"/>
        <v>0</v>
      </c>
      <c r="CP146" s="40">
        <f t="shared" si="159"/>
        <v>0</v>
      </c>
      <c r="CQ146" s="52">
        <f t="shared" si="160"/>
        <v>0</v>
      </c>
      <c r="CR146" s="72">
        <f t="shared" si="154"/>
        <v>1604.4115515801186</v>
      </c>
      <c r="CS146" s="5">
        <f t="shared" si="154"/>
        <v>607.94824507097542</v>
      </c>
      <c r="CT146" s="52">
        <f t="shared" si="161"/>
        <v>-996.46330650914319</v>
      </c>
      <c r="CU146" s="77">
        <f t="shared" si="162"/>
        <v>1925.2938618961423</v>
      </c>
      <c r="CV146" s="65">
        <f t="shared" si="163"/>
        <v>729.53789408517048</v>
      </c>
      <c r="CW146" s="35">
        <f t="shared" si="164"/>
        <v>-1195.7559678109719</v>
      </c>
      <c r="CX146" s="566">
        <f>VLOOKUP($A146,'01-02.2021'!$A$6:$CZ$403,102,FALSE)+VLOOKUP($A146,'1.3.21-28.2.22'!$A$6:$DA$404,102,FALSE)-VLOOKUP($A146,'01-02.2022'!$A$6:$DA$376,102,FALSE)</f>
        <v>67.092841099556168</v>
      </c>
      <c r="CY146" s="566">
        <f>VLOOKUP($A146,'01-02.2021'!$A$6:$CZ$403,103,FALSE)+VLOOKUP($A146,'1.3.21-28.2.22'!$A$6:$DA$404,103,FALSE)-VLOOKUP($A146,'01-02.2022'!$A$6:$DA$376,103,FALSE)</f>
        <v>1262.8488089105279</v>
      </c>
      <c r="CZ146" s="52">
        <f t="shared" si="165"/>
        <v>1195.7559678109717</v>
      </c>
      <c r="DA146" s="150">
        <f>'[2]побудинковий звіт'!DA146</f>
        <v>-4687.7240768091751</v>
      </c>
      <c r="DB146" s="2">
        <v>3</v>
      </c>
      <c r="DC146" s="414">
        <f>'[4]побудинковий звіт'!DC146</f>
        <v>625.30999999999995</v>
      </c>
      <c r="DD146" s="414">
        <f>'[4]побудинковий звіт'!DD146</f>
        <v>0</v>
      </c>
      <c r="DE146" s="557">
        <f>'[4]побудинковий звіт'!DE146</f>
        <v>444.05220490696155</v>
      </c>
      <c r="DF146" s="557">
        <f>'[4]побудинковий звіт'!DF146</f>
        <v>0</v>
      </c>
      <c r="DG146" s="321">
        <f>VLOOKUP(A146,'кошти 01.03.2021'!$A$6:$D$401,4,)</f>
        <v>-3376.8379427719678</v>
      </c>
      <c r="DH146" s="40">
        <f>'[3]побудинковий звіт'!DJ146</f>
        <v>2064.4198018879229</v>
      </c>
      <c r="DI146" s="422">
        <f>'[3]побудинковий звіт'!CU146+'[3]побудинковий звіт'!CX146</f>
        <v>181.25779509303837</v>
      </c>
      <c r="DJ146" s="306">
        <f>'[3]побудинковий звіт'!DM146</f>
        <v>1.8089600308686467</v>
      </c>
      <c r="DK146" s="306">
        <f t="shared" si="168"/>
        <v>1.8089600308686467</v>
      </c>
      <c r="DL146" s="306">
        <f>'[3]побудинковий звіт'!DO146</f>
        <v>1.8089600308686467</v>
      </c>
      <c r="DM146" s="28">
        <f t="shared" si="169"/>
        <v>181.2577950930384</v>
      </c>
      <c r="DN146" s="28">
        <f t="shared" si="170"/>
        <v>0</v>
      </c>
      <c r="DO146" s="423">
        <f t="shared" si="171"/>
        <v>181.2577950930384</v>
      </c>
      <c r="DP146" s="94">
        <f t="shared" si="172"/>
        <v>0</v>
      </c>
      <c r="DQ146" s="28">
        <f t="shared" si="173"/>
        <v>181.2577950930384</v>
      </c>
      <c r="DR146" s="318"/>
      <c r="DT146" s="8"/>
      <c r="DU146" s="5"/>
      <c r="DX146" s="5">
        <f t="shared" si="174"/>
        <v>1512.4395324916484</v>
      </c>
      <c r="DY146" s="5">
        <f t="shared" si="175"/>
        <v>0</v>
      </c>
      <c r="DZ146" s="159">
        <f>'[3]побудинковий звіт'!EA146</f>
        <v>157.89652040362785</v>
      </c>
    </row>
    <row r="147" spans="1:130" x14ac:dyDescent="0.3">
      <c r="A147" s="325">
        <v>150000553</v>
      </c>
      <c r="B147" s="41" t="s">
        <v>596</v>
      </c>
      <c r="C147" s="42" t="s">
        <v>260</v>
      </c>
      <c r="D147" s="42"/>
      <c r="E147" s="293">
        <f t="shared" si="149"/>
        <v>3380.05</v>
      </c>
      <c r="F147" s="305">
        <f>'[3]побудинковий звіт'!F147</f>
        <v>3077.05</v>
      </c>
      <c r="G147" s="508">
        <f>'[3]побудинковий звіт'!G147</f>
        <v>0</v>
      </c>
      <c r="H147" s="560">
        <f>'[3]побудинковий звіт'!H147</f>
        <v>303</v>
      </c>
      <c r="I147" s="566">
        <f>VLOOKUP($A147,'01-02.2021'!$A$6:$CZ$403,9,FALSE)+VLOOKUP($A147,'1.3.21-28.2.22'!$A$6:$DA$404,9,FALSE)-VLOOKUP($A147,'01-02.2022'!$A$6:$DA$376,9,FALSE)</f>
        <v>10703.912326422993</v>
      </c>
      <c r="J147" s="566">
        <f>VLOOKUP($A147,'01-02.2021'!$A$6:$CZ$403,10,FALSE)+VLOOKUP($A147,'1.3.21-28.2.22'!$A$6:$DA$404,10,FALSE)-VLOOKUP($A147,'01-02.2022'!$A$6:$DA$376,10,FALSE)</f>
        <v>10519.941896107419</v>
      </c>
      <c r="K147" s="52">
        <f t="shared" si="155"/>
        <v>-183.97043031557405</v>
      </c>
      <c r="L147" s="566">
        <f>VLOOKUP($A147,'01-02.2021'!$A$6:$CZ$403,12,FALSE)+VLOOKUP($A147,'1.3.21-28.2.22'!$A$6:$DA$404,12,FALSE)-VLOOKUP($A147,'01-02.2022'!$A$6:$DA$376,12,FALSE)</f>
        <v>2217.488804008241</v>
      </c>
      <c r="M147" s="566">
        <f>VLOOKUP($A147,'01-02.2021'!$A$6:$CZ$403,13,FALSE)+VLOOKUP($A147,'1.3.21-28.2.22'!$A$6:$DA$404,13,FALSE)-VLOOKUP($A147,'01-02.2022'!$A$6:$DA$376,13,FALSE)</f>
        <v>2214.103190395394</v>
      </c>
      <c r="N147" s="52">
        <f t="shared" si="156"/>
        <v>-3.3856136128470098</v>
      </c>
      <c r="O147" s="566">
        <f>VLOOKUP($A147,'01-02.2021'!$A$6:$CZ$403,15,FALSE)+VLOOKUP($A147,'1.3.21-28.2.22'!$A$6:$DA$404,15,FALSE)-VLOOKUP($A147,'01-02.2022'!$A$6:$DA$376,15,FALSE)</f>
        <v>4113.3412655557004</v>
      </c>
      <c r="P147" s="566">
        <f>VLOOKUP($A147,'01-02.2021'!$A$6:$CZ$403,16,FALSE)+VLOOKUP($A147,'1.3.21-28.2.22'!$A$6:$DA$404,16,FALSE)-VLOOKUP($A147,'01-02.2022'!$A$6:$DA$376,16,FALSE)</f>
        <v>4111.92</v>
      </c>
      <c r="Q147" s="70">
        <f t="shared" si="176"/>
        <v>-1.4212655557003018</v>
      </c>
      <c r="R147" s="566">
        <f>VLOOKUP($A147,'01-02.2021'!$A$6:$CZ$403,18,FALSE)+VLOOKUP($A147,'1.3.21-28.2.22'!$A$6:$DA$404,18,FALSE)-VLOOKUP($A147,'01-02.2022'!$A$6:$DA$376,18,FALSE)</f>
        <v>0</v>
      </c>
      <c r="S147" s="566">
        <f>VLOOKUP($A147,'01-02.2021'!$A$6:$CZ$403,19,FALSE)+VLOOKUP($A147,'1.3.21-28.2.22'!$A$6:$DA$404,19,FALSE)-VLOOKUP($A147,'01-02.2022'!$A$6:$DA$376,19,FALSE)</f>
        <v>0</v>
      </c>
      <c r="T147" s="70">
        <f t="shared" si="177"/>
        <v>0</v>
      </c>
      <c r="U147" s="566">
        <f>VLOOKUP($A147,'01-02.2021'!$A$6:$CZ$403,21,FALSE)+VLOOKUP($A147,'1.3.21-28.2.22'!$A$6:$DA$404,21,FALSE)-VLOOKUP($A147,'01-02.2022'!$A$6:$DA$376,21,FALSE)</f>
        <v>0</v>
      </c>
      <c r="V147" s="566">
        <f>VLOOKUP($A147,'01-02.2021'!$A$6:$CZ$403,22,FALSE)+VLOOKUP($A147,'1.3.21-28.2.22'!$A$6:$DA$404,22,FALSE)-VLOOKUP($A147,'01-02.2022'!$A$6:$DA$376,22,FALSE)</f>
        <v>0</v>
      </c>
      <c r="W147" s="70">
        <f t="shared" si="178"/>
        <v>0</v>
      </c>
      <c r="X147" s="566">
        <f>VLOOKUP($A147,'01-02.2021'!$A$6:$CZ$403,24,FALSE)+VLOOKUP($A147,'1.3.21-28.2.22'!$A$6:$DA$404,24,FALSE)-VLOOKUP($A147,'01-02.2022'!$A$6:$DA$376,24,FALSE)</f>
        <v>6525.6346428183706</v>
      </c>
      <c r="Y147" s="566">
        <f>VLOOKUP($A147,'01-02.2021'!$A$6:$CZ$403,25,FALSE)+VLOOKUP($A147,'1.3.21-28.2.22'!$A$6:$DA$404,25,FALSE)-VLOOKUP($A147,'01-02.2022'!$A$6:$DA$376,25,FALSE)</f>
        <v>5729.965666589087</v>
      </c>
      <c r="Z147" s="70">
        <f t="shared" si="179"/>
        <v>-795.66897622928354</v>
      </c>
      <c r="AA147" s="566">
        <f>VLOOKUP($A147,'01-02.2021'!$A$6:$CZ$403,27,FALSE)+VLOOKUP($A147,'1.3.21-28.2.22'!$A$6:$DA$404,27,FALSE)-VLOOKUP($A147,'01-02.2022'!$A$6:$DA$376,27,FALSE)</f>
        <v>695.45999999999992</v>
      </c>
      <c r="AB147" s="566">
        <f>VLOOKUP($A147,'01-02.2021'!$A$6:$CZ$403,28,FALSE)+VLOOKUP($A147,'1.3.21-28.2.22'!$A$6:$DA$404,28,FALSE)-VLOOKUP($A147,'01-02.2022'!$A$6:$DA$376,28,FALSE)</f>
        <v>0</v>
      </c>
      <c r="AC147" s="70">
        <f t="shared" si="180"/>
        <v>-695.45999999999992</v>
      </c>
      <c r="AD147" s="566">
        <f>VLOOKUP($A147,'01-02.2021'!$A$6:$CZ$403,30,FALSE)+VLOOKUP($A147,'1.3.21-28.2.22'!$A$6:$DA$404,30,FALSE)-VLOOKUP($A147,'01-02.2022'!$A$6:$DA$376,30,FALSE)</f>
        <v>14653.76485527116</v>
      </c>
      <c r="AE147" s="566">
        <f>VLOOKUP($A147,'01-02.2021'!$A$6:$CZ$403,31,FALSE)+VLOOKUP($A147,'1.3.21-28.2.22'!$A$6:$DA$404,31,FALSE)-VLOOKUP($A147,'01-02.2022'!$A$6:$DA$376,31,FALSE)</f>
        <v>14888.08430388468</v>
      </c>
      <c r="AF147" s="68">
        <f t="shared" si="181"/>
        <v>234.31944861351985</v>
      </c>
      <c r="AG147" s="77">
        <f t="shared" si="150"/>
        <v>38909.601894076462</v>
      </c>
      <c r="AH147" s="53">
        <f t="shared" si="150"/>
        <v>37464.015056976583</v>
      </c>
      <c r="AI147" s="52">
        <f t="shared" si="157"/>
        <v>-1445.5868370998796</v>
      </c>
      <c r="AJ147" s="566">
        <f>VLOOKUP($A147,'01-02.2021'!$A$6:$CZ$403,36,FALSE)+VLOOKUP($A147,'1.3.21-28.2.22'!$A$6:$DA$404,36,FALSE)-VLOOKUP($A147,'01-02.2022'!$A$6:$DA$376,36,FALSE)</f>
        <v>0</v>
      </c>
      <c r="AK147" s="566">
        <f>VLOOKUP($A147,'01-02.2021'!$A$6:$CZ$403,37,FALSE)+VLOOKUP($A147,'1.3.21-28.2.22'!$A$6:$DA$404,37,FALSE)-VLOOKUP($A147,'01-02.2022'!$A$6:$DA$376,37,FALSE)</f>
        <v>0</v>
      </c>
      <c r="AL147" s="70">
        <f t="shared" si="182"/>
        <v>0</v>
      </c>
      <c r="AM147" s="566">
        <f>VLOOKUP($A147,'01-02.2021'!$A$6:$CZ$403,39,FALSE)+VLOOKUP($A147,'1.3.21-28.2.22'!$A$6:$DA$404,39,FALSE)-VLOOKUP($A147,'01-02.2022'!$A$6:$DA$376,39,FALSE)</f>
        <v>0</v>
      </c>
      <c r="AN147" s="566">
        <f>VLOOKUP($A147,'01-02.2021'!$A$6:$CZ$403,40,FALSE)+VLOOKUP($A147,'1.3.21-28.2.22'!$A$6:$DA$404,40,FALSE)-VLOOKUP($A147,'01-02.2022'!$A$6:$DA$376,40,FALSE)</f>
        <v>0</v>
      </c>
      <c r="AO147" s="70">
        <f t="shared" si="183"/>
        <v>0</v>
      </c>
      <c r="AP147" s="566">
        <f>VLOOKUP($A147,'01-02.2021'!$A$6:$CZ$403,42,FALSE)+VLOOKUP($A147,'1.3.21-28.2.22'!$A$6:$DA$404,42,FALSE)-VLOOKUP($A147,'01-02.2022'!$A$6:$DA$376,42,FALSE)</f>
        <v>8849.5187252172163</v>
      </c>
      <c r="AQ147" s="566">
        <f>VLOOKUP($A147,'01-02.2021'!$A$6:$CZ$403,43,FALSE)+VLOOKUP($A147,'1.3.21-28.2.22'!$A$6:$DA$404,43,FALSE)-VLOOKUP($A147,'01-02.2022'!$A$6:$DA$376,43,FALSE)</f>
        <v>7739.3668915344469</v>
      </c>
      <c r="AR147" s="70">
        <f t="shared" si="184"/>
        <v>-1110.1518336827694</v>
      </c>
      <c r="AS147" s="566">
        <f>VLOOKUP($A147,'01-02.2021'!$A$6:$CZ$403,45,FALSE)+VLOOKUP($A147,'1.3.21-28.2.22'!$A$6:$DA$404,45,FALSE)-VLOOKUP($A147,'01-02.2022'!$A$6:$DA$376,45,FALSE)</f>
        <v>34082.090993700978</v>
      </c>
      <c r="AT147" s="566">
        <f>VLOOKUP($A147,'01-02.2021'!$A$6:$CZ$403,46,FALSE)+VLOOKUP($A147,'1.3.21-28.2.22'!$A$6:$DA$404,46,FALSE)-VLOOKUP($A147,'01-02.2022'!$A$6:$DA$376,46,FALSE)</f>
        <v>33192.873698396543</v>
      </c>
      <c r="AU147" s="78">
        <f t="shared" si="185"/>
        <v>-889.21729530443554</v>
      </c>
      <c r="AV147" s="566">
        <f>VLOOKUP($A147,'01-02.2021'!$A$6:$CZ$403,48,FALSE)+VLOOKUP($A147,'1.3.21-28.2.22'!$A$6:$DA$404,48,FALSE)-VLOOKUP($A147,'01-02.2022'!$A$6:$DA$376,48,FALSE)</f>
        <v>2921.6724843768839</v>
      </c>
      <c r="AW147" s="566">
        <f>VLOOKUP($A147,'01-02.2021'!$A$6:$CZ$403,49,FALSE)+VLOOKUP($A147,'1.3.21-28.2.22'!$A$6:$DA$404,49,FALSE)-VLOOKUP($A147,'01-02.2022'!$A$6:$DA$376,49,FALSE)</f>
        <v>0</v>
      </c>
      <c r="AX147" s="55">
        <f t="shared" si="186"/>
        <v>-2921.6724843768839</v>
      </c>
      <c r="AY147" s="566">
        <f>VLOOKUP($A147,'01-02.2021'!$A$6:$CZ$403,51,FALSE)+VLOOKUP($A147,'1.3.21-28.2.22'!$A$6:$DA$404,51,FALSE)-VLOOKUP($A147,'01-02.2022'!$A$6:$DA$376,51,FALSE)</f>
        <v>4168.304139835107</v>
      </c>
      <c r="AZ147" s="566">
        <f>VLOOKUP($A147,'01-02.2021'!$A$6:$CZ$403,52,FALSE)+VLOOKUP($A147,'1.3.21-28.2.22'!$A$6:$DA$404,52,FALSE)-VLOOKUP($A147,'01-02.2022'!$A$6:$DA$376,52,FALSE)</f>
        <v>0</v>
      </c>
      <c r="BA147" s="38">
        <f t="shared" si="187"/>
        <v>-4168.304139835107</v>
      </c>
      <c r="BB147" s="566">
        <f>VLOOKUP($A147,'01-02.2021'!$A$6:$CZ$403,54,FALSE)+VLOOKUP($A147,'1.3.21-28.2.22'!$A$6:$DA$404,54,FALSE)-VLOOKUP($A147,'01-02.2022'!$A$6:$DA$376,54,FALSE)</f>
        <v>1522.7394859532626</v>
      </c>
      <c r="BC147" s="566">
        <f>VLOOKUP($A147,'01-02.2021'!$A$6:$CZ$403,55,FALSE)+VLOOKUP($A147,'1.3.21-28.2.22'!$A$6:$DA$404,55,FALSE)-VLOOKUP($A147,'01-02.2022'!$A$6:$DA$376,55,FALSE)</f>
        <v>5118</v>
      </c>
      <c r="BD147" s="55">
        <f t="shared" si="188"/>
        <v>3595.2605140467376</v>
      </c>
      <c r="BE147" s="566">
        <f>VLOOKUP($A147,'01-02.2021'!$A$6:$CZ$403,57,FALSE)+VLOOKUP($A147,'1.3.21-28.2.22'!$A$6:$DA$404,57,FALSE)-VLOOKUP($A147,'01-02.2022'!$A$6:$DA$376,57,FALSE)</f>
        <v>0</v>
      </c>
      <c r="BF147" s="566">
        <f>VLOOKUP($A147,'01-02.2021'!$A$6:$CZ$403,58,FALSE)+VLOOKUP($A147,'1.3.21-28.2.22'!$A$6:$DA$404,58,FALSE)-VLOOKUP($A147,'01-02.2022'!$A$6:$DA$376,58,FALSE)</f>
        <v>0</v>
      </c>
      <c r="BG147" s="55">
        <f t="shared" si="189"/>
        <v>0</v>
      </c>
      <c r="BH147" s="566">
        <f>VLOOKUP($A147,'01-02.2021'!$A$6:$CZ$403,60,FALSE)+VLOOKUP($A147,'1.3.21-28.2.22'!$A$6:$DA$404,60,FALSE)-VLOOKUP($A147,'01-02.2022'!$A$6:$DA$376,60,FALSE)</f>
        <v>0</v>
      </c>
      <c r="BI147" s="566">
        <f>VLOOKUP($A147,'01-02.2021'!$A$6:$CZ$403,61,FALSE)+VLOOKUP($A147,'1.3.21-28.2.22'!$A$6:$DA$404,61,FALSE)-VLOOKUP($A147,'01-02.2022'!$A$6:$DA$376,61,FALSE)</f>
        <v>0</v>
      </c>
      <c r="BJ147" s="55">
        <f t="shared" si="190"/>
        <v>0</v>
      </c>
      <c r="BK147" s="566">
        <f>VLOOKUP($A147,'01-02.2021'!$A$6:$CZ$403,63,FALSE)+VLOOKUP($A147,'1.3.21-28.2.22'!$A$6:$DA$404,63,FALSE)-VLOOKUP($A147,'01-02.2022'!$A$6:$DA$376,63,FALSE)</f>
        <v>2469.3213903719038</v>
      </c>
      <c r="BL147" s="566">
        <f>VLOOKUP($A147,'01-02.2021'!$A$6:$CZ$403,64,FALSE)+VLOOKUP($A147,'1.3.21-28.2.22'!$A$6:$DA$404,64,FALSE)-VLOOKUP($A147,'01-02.2022'!$A$6:$DA$376,64,FALSE)</f>
        <v>727</v>
      </c>
      <c r="BM147" s="55">
        <f t="shared" si="191"/>
        <v>-1742.3213903719038</v>
      </c>
      <c r="BN147" s="566">
        <f>VLOOKUP($A147,'01-02.2021'!$A$6:$CZ$403,66,FALSE)+VLOOKUP($A147,'1.3.21-28.2.22'!$A$6:$DA$404,66,FALSE)-VLOOKUP($A147,'01-02.2022'!$A$6:$DA$376,66,FALSE)</f>
        <v>173.86499999999998</v>
      </c>
      <c r="BO147" s="566">
        <f>VLOOKUP($A147,'01-02.2021'!$A$6:$CZ$403,67,FALSE)+VLOOKUP($A147,'1.3.21-28.2.22'!$A$6:$DA$404,67,FALSE)-VLOOKUP($A147,'01-02.2022'!$A$6:$DA$376,67,FALSE)</f>
        <v>0</v>
      </c>
      <c r="BP147" s="55">
        <f t="shared" si="192"/>
        <v>-173.86499999999998</v>
      </c>
      <c r="BQ147" s="77">
        <f t="shared" si="151"/>
        <v>11255.902500537159</v>
      </c>
      <c r="BR147" s="40">
        <f t="shared" si="152"/>
        <v>5845</v>
      </c>
      <c r="BS147" s="55">
        <f t="shared" si="166"/>
        <v>-5410.9025005371586</v>
      </c>
      <c r="BT147" s="566">
        <f>VLOOKUP($A147,'01-02.2021'!$A$6:$CZ$403,72,FALSE)+VLOOKUP($A147,'1.3.21-28.2.22'!$A$6:$DA$404,72,FALSE)-VLOOKUP($A147,'01-02.2022'!$A$6:$DA$376,72,FALSE)</f>
        <v>20260.28057319548</v>
      </c>
      <c r="BU147" s="566">
        <f>VLOOKUP($A147,'01-02.2021'!$A$6:$CZ$403,73,FALSE)+VLOOKUP($A147,'1.3.21-28.2.22'!$A$6:$DA$404,73,FALSE)-VLOOKUP($A147,'01-02.2022'!$A$6:$DA$376,73,FALSE)</f>
        <v>26599.308183346657</v>
      </c>
      <c r="BV147" s="70">
        <f t="shared" si="193"/>
        <v>6339.0276101511772</v>
      </c>
      <c r="BW147" s="566">
        <f>VLOOKUP($A147,'01-02.2021'!$A$6:$CZ$403,75,FALSE)+VLOOKUP($A147,'1.3.21-28.2.22'!$A$6:$DA$404,75,FALSE)-VLOOKUP($A147,'01-02.2022'!$A$6:$DA$376,75,FALSE)</f>
        <v>14621.239071878692</v>
      </c>
      <c r="BX147" s="566">
        <f>VLOOKUP($A147,'01-02.2021'!$A$6:$CZ$403,76,FALSE)+VLOOKUP($A147,'1.3.21-28.2.22'!$A$6:$DA$404,76,FALSE)-VLOOKUP($A147,'01-02.2022'!$A$6:$DA$376,76,FALSE)</f>
        <v>17032.212174086148</v>
      </c>
      <c r="BY147" s="70">
        <f t="shared" si="194"/>
        <v>2410.9731022074557</v>
      </c>
      <c r="BZ147" s="566">
        <f>VLOOKUP($A147,'01-02.2021'!$A$6:$CZ$403,78,FALSE)+VLOOKUP($A147,'1.3.21-28.2.22'!$A$6:$DA$404,78,FALSE)-VLOOKUP($A147,'01-02.2022'!$A$6:$DA$376,78,FALSE)</f>
        <v>6159.7471863149513</v>
      </c>
      <c r="CA147" s="566">
        <f>VLOOKUP($A147,'01-02.2021'!$A$6:$CZ$403,79,FALSE)+VLOOKUP($A147,'1.3.21-28.2.22'!$A$6:$DA$404,79,FALSE)-VLOOKUP($A147,'01-02.2022'!$A$6:$DA$376,79,FALSE)</f>
        <v>5910.1487816000845</v>
      </c>
      <c r="CB147" s="70">
        <f t="shared" si="195"/>
        <v>-249.59840471486677</v>
      </c>
      <c r="CC147" s="566">
        <f>VLOOKUP($A147,'01-02.2021'!$A$6:$CZ$403,81,FALSE)+VLOOKUP($A147,'1.3.21-28.2.22'!$A$6:$DA$404,81,FALSE)-VLOOKUP($A147,'01-02.2022'!$A$6:$DA$376,81,FALSE)</f>
        <v>1553.0394262888296</v>
      </c>
      <c r="CD147" s="566">
        <f>VLOOKUP($A147,'01-02.2021'!$A$6:$CZ$403,82,FALSE)+VLOOKUP($A147,'1.3.21-28.2.22'!$A$6:$DA$404,82,FALSE)-VLOOKUP($A147,'01-02.2022'!$A$6:$DA$376,82,FALSE)</f>
        <v>1697.4612520220148</v>
      </c>
      <c r="CE147" s="70">
        <f t="shared" si="196"/>
        <v>144.42182573318519</v>
      </c>
      <c r="CF147" s="566">
        <f>VLOOKUP($A147,'01-02.2021'!$A$6:$CZ$403,84,FALSE)+VLOOKUP($A147,'1.3.21-28.2.22'!$A$6:$DA$404,84,FALSE)-VLOOKUP($A147,'01-02.2022'!$A$6:$DA$376,84,FALSE)</f>
        <v>188.80393342446519</v>
      </c>
      <c r="CG147" s="566">
        <f>VLOOKUP($A147,'01-02.2021'!$A$6:$CZ$403,85,FALSE)+VLOOKUP($A147,'1.3.21-28.2.22'!$A$6:$DA$404,85,FALSE)-VLOOKUP($A147,'01-02.2022'!$A$6:$DA$376,85,FALSE)</f>
        <v>3337.186374614555</v>
      </c>
      <c r="CH147" s="70">
        <f t="shared" si="197"/>
        <v>3148.3824411900896</v>
      </c>
      <c r="CI147" s="566">
        <f>VLOOKUP($A147,'01-02.2021'!$A$6:$CZ$403,87,FALSE)+VLOOKUP($A147,'1.3.21-28.2.22'!$A$6:$DA$404,87,FALSE)-VLOOKUP($A147,'01-02.2022'!$A$6:$DA$376,87,FALSE)</f>
        <v>4519.9396159728467</v>
      </c>
      <c r="CJ147" s="566">
        <f>VLOOKUP($A147,'01-02.2021'!$A$6:$CZ$403,88,FALSE)+VLOOKUP($A147,'1.3.21-28.2.22'!$A$6:$DA$404,88,FALSE)-VLOOKUP($A147,'01-02.2022'!$A$6:$DA$376,88,FALSE)</f>
        <v>4313.9067721985284</v>
      </c>
      <c r="CK147" s="70">
        <f t="shared" si="198"/>
        <v>-206.03284377431828</v>
      </c>
      <c r="CL147" s="566">
        <f>VLOOKUP($A147,'01-02.2021'!$A$6:$CZ$403,90,FALSE)+VLOOKUP($A147,'1.3.21-28.2.22'!$A$6:$DA$404,90,FALSE)-VLOOKUP($A147,'01-02.2022'!$A$6:$DA$376,90,FALSE)</f>
        <v>0</v>
      </c>
      <c r="CM147" s="566">
        <f>VLOOKUP($A147,'01-02.2021'!$A$6:$CZ$403,91,FALSE)+VLOOKUP($A147,'1.3.21-28.2.22'!$A$6:$DA$404,91,FALSE)-VLOOKUP($A147,'01-02.2022'!$A$6:$DA$376,91,FALSE)</f>
        <v>0</v>
      </c>
      <c r="CN147" s="52">
        <f t="shared" si="158"/>
        <v>0</v>
      </c>
      <c r="CO147" s="39">
        <f t="shared" si="153"/>
        <v>4519.9396159728467</v>
      </c>
      <c r="CP147" s="40">
        <f t="shared" si="159"/>
        <v>4313.9067721985284</v>
      </c>
      <c r="CQ147" s="52">
        <f t="shared" si="160"/>
        <v>-206.03284377431828</v>
      </c>
      <c r="CR147" s="72">
        <f t="shared" si="154"/>
        <v>140400.1639206071</v>
      </c>
      <c r="CS147" s="5">
        <f t="shared" si="154"/>
        <v>143131.47918477558</v>
      </c>
      <c r="CT147" s="52">
        <f t="shared" si="161"/>
        <v>2731.3152641684865</v>
      </c>
      <c r="CU147" s="77">
        <f t="shared" si="162"/>
        <v>168480.1967047285</v>
      </c>
      <c r="CV147" s="65">
        <f t="shared" si="163"/>
        <v>171757.77502173069</v>
      </c>
      <c r="CW147" s="35">
        <f t="shared" si="164"/>
        <v>3277.5783170021896</v>
      </c>
      <c r="CX147" s="566">
        <f>VLOOKUP($A147,'01-02.2021'!$A$6:$CZ$403,102,FALSE)+VLOOKUP($A147,'1.3.21-28.2.22'!$A$6:$DA$404,102,FALSE)-VLOOKUP($A147,'01-02.2022'!$A$6:$DA$376,102,FALSE)</f>
        <v>5367.9300473457743</v>
      </c>
      <c r="CY147" s="566">
        <f>VLOOKUP($A147,'01-02.2021'!$A$6:$CZ$403,103,FALSE)+VLOOKUP($A147,'1.3.21-28.2.22'!$A$6:$DA$404,103,FALSE)-VLOOKUP($A147,'01-02.2022'!$A$6:$DA$376,103,FALSE)</f>
        <v>2090.3517303436111</v>
      </c>
      <c r="CZ147" s="52">
        <f t="shared" si="165"/>
        <v>-3277.5783170021632</v>
      </c>
      <c r="DA147" s="150">
        <f>'[2]побудинковий звіт'!DA147</f>
        <v>25082.911615364857</v>
      </c>
      <c r="DB147" s="2">
        <v>3</v>
      </c>
      <c r="DC147" s="414">
        <f>'[4]побудинковий звіт'!DC147</f>
        <v>22672.03</v>
      </c>
      <c r="DD147" s="414">
        <f>'[4]побудинковий звіт'!DD147</f>
        <v>1107.78</v>
      </c>
      <c r="DE147" s="557">
        <f>'[4]побудинковий звіт'!DE147</f>
        <v>8301.0042665795718</v>
      </c>
      <c r="DF147" s="557">
        <f>'[4]побудинковий звіт'!DF147</f>
        <v>-134.04344657403794</v>
      </c>
      <c r="DG147" s="321">
        <f>VLOOKUP(A147,'кошти 01.03.2021'!$A$6:$D$401,4,)</f>
        <v>28693.120025369946</v>
      </c>
      <c r="DH147" s="40">
        <f>'[3]побудинковий звіт'!DJ147</f>
        <v>179156.90329232847</v>
      </c>
      <c r="DI147" s="422">
        <f>'[3]побудинковий звіт'!CU147+'[3]побудинковий звіт'!CX147</f>
        <v>15612.849179994464</v>
      </c>
      <c r="DJ147" s="306">
        <f>'[3]побудинковий звіт'!DM147</f>
        <v>4.6703907097448614</v>
      </c>
      <c r="DK147" s="306">
        <f t="shared" si="168"/>
        <v>4.6703907097448614</v>
      </c>
      <c r="DL147" s="306">
        <f>'[3]побудинковий звіт'!DO147</f>
        <v>4.098427216415967</v>
      </c>
      <c r="DM147" s="28">
        <f t="shared" si="169"/>
        <v>14371.025733420427</v>
      </c>
      <c r="DN147" s="28">
        <f t="shared" si="170"/>
        <v>1241.8234465740379</v>
      </c>
      <c r="DO147" s="423">
        <f t="shared" si="171"/>
        <v>15612.849179994464</v>
      </c>
      <c r="DP147" s="94">
        <f t="shared" si="172"/>
        <v>0</v>
      </c>
      <c r="DQ147" s="28">
        <f t="shared" si="173"/>
        <v>15612.849179994464</v>
      </c>
      <c r="DR147" s="318"/>
      <c r="DT147" s="8"/>
      <c r="DU147" s="5"/>
      <c r="DX147" s="5">
        <f t="shared" si="174"/>
        <v>54405.592193085766</v>
      </c>
      <c r="DY147" s="5">
        <f t="shared" si="175"/>
        <v>46845.448438075851</v>
      </c>
      <c r="DZ147" s="159">
        <f>'[3]побудинковий звіт'!EA147</f>
        <v>5032.2469303490852</v>
      </c>
    </row>
    <row r="148" spans="1:130" x14ac:dyDescent="0.3">
      <c r="A148" s="325">
        <v>150000493</v>
      </c>
      <c r="B148" s="41" t="s">
        <v>597</v>
      </c>
      <c r="C148" s="42" t="s">
        <v>418</v>
      </c>
      <c r="D148" s="43"/>
      <c r="E148" s="293">
        <f t="shared" si="149"/>
        <v>7111.44</v>
      </c>
      <c r="F148" s="305">
        <f>'[3]побудинковий звіт'!F148</f>
        <v>7111.44</v>
      </c>
      <c r="G148" s="508">
        <f>'[3]побудинковий звіт'!G148</f>
        <v>625.84</v>
      </c>
      <c r="H148" s="560">
        <f>'[3]побудинковий звіт'!H148</f>
        <v>0</v>
      </c>
      <c r="I148" s="566">
        <f>VLOOKUP($A148,'01-02.2021'!$A$6:$CZ$403,9,FALSE)+VLOOKUP($A148,'1.3.21-28.2.22'!$A$6:$DA$404,9,FALSE)-VLOOKUP($A148,'01-02.2022'!$A$6:$DA$376,9,FALSE)</f>
        <v>24113.733922431747</v>
      </c>
      <c r="J148" s="566">
        <f>VLOOKUP($A148,'01-02.2021'!$A$6:$CZ$403,10,FALSE)+VLOOKUP($A148,'1.3.21-28.2.22'!$A$6:$DA$404,10,FALSE)-VLOOKUP($A148,'01-02.2022'!$A$6:$DA$376,10,FALSE)</f>
        <v>21394.717136279371</v>
      </c>
      <c r="K148" s="52">
        <f t="shared" si="155"/>
        <v>-2719.0167861523769</v>
      </c>
      <c r="L148" s="566">
        <f>VLOOKUP($A148,'01-02.2021'!$A$6:$CZ$403,12,FALSE)+VLOOKUP($A148,'1.3.21-28.2.22'!$A$6:$DA$404,12,FALSE)-VLOOKUP($A148,'01-02.2022'!$A$6:$DA$376,12,FALSE)</f>
        <v>3802.9232397928054</v>
      </c>
      <c r="M148" s="566">
        <f>VLOOKUP($A148,'01-02.2021'!$A$6:$CZ$403,13,FALSE)+VLOOKUP($A148,'1.3.21-28.2.22'!$A$6:$DA$404,13,FALSE)-VLOOKUP($A148,'01-02.2022'!$A$6:$DA$376,13,FALSE)</f>
        <v>3438.7389530450905</v>
      </c>
      <c r="N148" s="52">
        <f t="shared" si="156"/>
        <v>-364.18428674771485</v>
      </c>
      <c r="O148" s="566">
        <f>VLOOKUP($A148,'01-02.2021'!$A$6:$CZ$403,15,FALSE)+VLOOKUP($A148,'1.3.21-28.2.22'!$A$6:$DA$404,15,FALSE)-VLOOKUP($A148,'01-02.2022'!$A$6:$DA$376,15,FALSE)</f>
        <v>9850.1646580446923</v>
      </c>
      <c r="P148" s="566">
        <f>VLOOKUP($A148,'01-02.2021'!$A$6:$CZ$403,16,FALSE)+VLOOKUP($A148,'1.3.21-28.2.22'!$A$6:$DA$404,16,FALSE)-VLOOKUP($A148,'01-02.2022'!$A$6:$DA$376,16,FALSE)</f>
        <v>9850.5250000000015</v>
      </c>
      <c r="Q148" s="70">
        <f t="shared" si="176"/>
        <v>0.36034195530919533</v>
      </c>
      <c r="R148" s="566">
        <f>VLOOKUP($A148,'01-02.2021'!$A$6:$CZ$403,18,FALSE)+VLOOKUP($A148,'1.3.21-28.2.22'!$A$6:$DA$404,18,FALSE)-VLOOKUP($A148,'01-02.2022'!$A$6:$DA$376,18,FALSE)</f>
        <v>2018.2835913987001</v>
      </c>
      <c r="S148" s="566">
        <f>VLOOKUP($A148,'01-02.2021'!$A$6:$CZ$403,19,FALSE)+VLOOKUP($A148,'1.3.21-28.2.22'!$A$6:$DA$404,19,FALSE)-VLOOKUP($A148,'01-02.2022'!$A$6:$DA$376,19,FALSE)</f>
        <v>2020.8033333333337</v>
      </c>
      <c r="T148" s="70">
        <f t="shared" si="177"/>
        <v>2.5197419346336574</v>
      </c>
      <c r="U148" s="566">
        <f>VLOOKUP($A148,'01-02.2021'!$A$6:$CZ$403,21,FALSE)+VLOOKUP($A148,'1.3.21-28.2.22'!$A$6:$DA$404,21,FALSE)-VLOOKUP($A148,'01-02.2022'!$A$6:$DA$376,21,FALSE)</f>
        <v>1075.9180300625719</v>
      </c>
      <c r="V148" s="566">
        <f>VLOOKUP($A148,'01-02.2021'!$A$6:$CZ$403,22,FALSE)+VLOOKUP($A148,'1.3.21-28.2.22'!$A$6:$DA$404,22,FALSE)-VLOOKUP($A148,'01-02.2022'!$A$6:$DA$376,22,FALSE)</f>
        <v>700.93858128792783</v>
      </c>
      <c r="W148" s="70">
        <f t="shared" si="178"/>
        <v>-374.97944877464408</v>
      </c>
      <c r="X148" s="566">
        <f>VLOOKUP($A148,'01-02.2021'!$A$6:$CZ$403,24,FALSE)+VLOOKUP($A148,'1.3.21-28.2.22'!$A$6:$DA$404,24,FALSE)-VLOOKUP($A148,'01-02.2022'!$A$6:$DA$376,24,FALSE)</f>
        <v>9207.8823813072977</v>
      </c>
      <c r="Y148" s="566">
        <f>VLOOKUP($A148,'01-02.2021'!$A$6:$CZ$403,25,FALSE)+VLOOKUP($A148,'1.3.21-28.2.22'!$A$6:$DA$404,25,FALSE)-VLOOKUP($A148,'01-02.2022'!$A$6:$DA$376,25,FALSE)</f>
        <v>7945.426582127031</v>
      </c>
      <c r="Z148" s="70">
        <f t="shared" si="179"/>
        <v>-1262.4557991802667</v>
      </c>
      <c r="AA148" s="566">
        <f>VLOOKUP($A148,'01-02.2021'!$A$6:$CZ$403,27,FALSE)+VLOOKUP($A148,'1.3.21-28.2.22'!$A$6:$DA$404,27,FALSE)-VLOOKUP($A148,'01-02.2022'!$A$6:$DA$376,27,FALSE)</f>
        <v>1422.288</v>
      </c>
      <c r="AB148" s="566">
        <f>VLOOKUP($A148,'01-02.2021'!$A$6:$CZ$403,28,FALSE)+VLOOKUP($A148,'1.3.21-28.2.22'!$A$6:$DA$404,28,FALSE)-VLOOKUP($A148,'01-02.2022'!$A$6:$DA$376,28,FALSE)</f>
        <v>0</v>
      </c>
      <c r="AC148" s="70">
        <f t="shared" si="180"/>
        <v>-1422.288</v>
      </c>
      <c r="AD148" s="566">
        <f>VLOOKUP($A148,'01-02.2021'!$A$6:$CZ$403,30,FALSE)+VLOOKUP($A148,'1.3.21-28.2.22'!$A$6:$DA$404,30,FALSE)-VLOOKUP($A148,'01-02.2022'!$A$6:$DA$376,30,FALSE)</f>
        <v>30545.665877908468</v>
      </c>
      <c r="AE148" s="566">
        <f>VLOOKUP($A148,'01-02.2021'!$A$6:$CZ$403,31,FALSE)+VLOOKUP($A148,'1.3.21-28.2.22'!$A$6:$DA$404,31,FALSE)-VLOOKUP($A148,'01-02.2022'!$A$6:$DA$376,31,FALSE)</f>
        <v>32371.561415920856</v>
      </c>
      <c r="AF148" s="68">
        <f t="shared" si="181"/>
        <v>1825.895538012388</v>
      </c>
      <c r="AG148" s="77">
        <f t="shared" si="150"/>
        <v>82036.859700946283</v>
      </c>
      <c r="AH148" s="53">
        <f t="shared" si="150"/>
        <v>77722.711001993608</v>
      </c>
      <c r="AI148" s="52">
        <f t="shared" si="157"/>
        <v>-4314.1486989526747</v>
      </c>
      <c r="AJ148" s="566">
        <f>VLOOKUP($A148,'01-02.2021'!$A$6:$CZ$403,36,FALSE)+VLOOKUP($A148,'1.3.21-28.2.22'!$A$6:$DA$404,36,FALSE)-VLOOKUP($A148,'01-02.2022'!$A$6:$DA$376,36,FALSE)</f>
        <v>58594.257059438205</v>
      </c>
      <c r="AK148" s="566">
        <f>VLOOKUP($A148,'01-02.2021'!$A$6:$CZ$403,37,FALSE)+VLOOKUP($A148,'1.3.21-28.2.22'!$A$6:$DA$404,37,FALSE)-VLOOKUP($A148,'01-02.2022'!$A$6:$DA$376,37,FALSE)</f>
        <v>57669.795302633771</v>
      </c>
      <c r="AL148" s="70">
        <f t="shared" si="182"/>
        <v>-924.46175680443412</v>
      </c>
      <c r="AM148" s="566">
        <f>VLOOKUP($A148,'01-02.2021'!$A$6:$CZ$403,39,FALSE)+VLOOKUP($A148,'1.3.21-28.2.22'!$A$6:$DA$404,39,FALSE)-VLOOKUP($A148,'01-02.2022'!$A$6:$DA$376,39,FALSE)</f>
        <v>0</v>
      </c>
      <c r="AN148" s="566">
        <f>VLOOKUP($A148,'01-02.2021'!$A$6:$CZ$403,40,FALSE)+VLOOKUP($A148,'1.3.21-28.2.22'!$A$6:$DA$404,40,FALSE)-VLOOKUP($A148,'01-02.2022'!$A$6:$DA$376,40,FALSE)</f>
        <v>0</v>
      </c>
      <c r="AO148" s="70">
        <f t="shared" si="183"/>
        <v>0</v>
      </c>
      <c r="AP148" s="566">
        <f>VLOOKUP($A148,'01-02.2021'!$A$6:$CZ$403,42,FALSE)+VLOOKUP($A148,'1.3.21-28.2.22'!$A$6:$DA$404,42,FALSE)-VLOOKUP($A148,'01-02.2022'!$A$6:$DA$376,42,FALSE)</f>
        <v>5205.599250127776</v>
      </c>
      <c r="AQ148" s="566">
        <f>VLOOKUP($A148,'01-02.2021'!$A$6:$CZ$403,43,FALSE)+VLOOKUP($A148,'1.3.21-28.2.22'!$A$6:$DA$404,43,FALSE)-VLOOKUP($A148,'01-02.2022'!$A$6:$DA$376,43,FALSE)</f>
        <v>4484.1803127874882</v>
      </c>
      <c r="AR148" s="70">
        <f t="shared" si="184"/>
        <v>-721.41893734028781</v>
      </c>
      <c r="AS148" s="566">
        <f>VLOOKUP($A148,'01-02.2021'!$A$6:$CZ$403,45,FALSE)+VLOOKUP($A148,'1.3.21-28.2.22'!$A$6:$DA$404,45,FALSE)-VLOOKUP($A148,'01-02.2022'!$A$6:$DA$376,45,FALSE)</f>
        <v>82569.949646849418</v>
      </c>
      <c r="AT148" s="566">
        <f>VLOOKUP($A148,'01-02.2021'!$A$6:$CZ$403,46,FALSE)+VLOOKUP($A148,'1.3.21-28.2.22'!$A$6:$DA$404,46,FALSE)-VLOOKUP($A148,'01-02.2022'!$A$6:$DA$376,46,FALSE)</f>
        <v>215682.16</v>
      </c>
      <c r="AU148" s="78">
        <f t="shared" si="185"/>
        <v>133112.21035315059</v>
      </c>
      <c r="AV148" s="566">
        <f>VLOOKUP($A148,'01-02.2021'!$A$6:$CZ$403,48,FALSE)+VLOOKUP($A148,'1.3.21-28.2.22'!$A$6:$DA$404,48,FALSE)-VLOOKUP($A148,'01-02.2022'!$A$6:$DA$376,48,FALSE)</f>
        <v>5041.8953150319376</v>
      </c>
      <c r="AW148" s="566">
        <f>VLOOKUP($A148,'01-02.2021'!$A$6:$CZ$403,49,FALSE)+VLOOKUP($A148,'1.3.21-28.2.22'!$A$6:$DA$404,49,FALSE)-VLOOKUP($A148,'01-02.2022'!$A$6:$DA$376,49,FALSE)</f>
        <v>1484</v>
      </c>
      <c r="AX148" s="55">
        <f t="shared" si="186"/>
        <v>-3557.8953150319376</v>
      </c>
      <c r="AY148" s="566">
        <f>VLOOKUP($A148,'01-02.2021'!$A$6:$CZ$403,51,FALSE)+VLOOKUP($A148,'1.3.21-28.2.22'!$A$6:$DA$404,51,FALSE)-VLOOKUP($A148,'01-02.2022'!$A$6:$DA$376,51,FALSE)</f>
        <v>5389.0376451721058</v>
      </c>
      <c r="AZ148" s="566">
        <f>VLOOKUP($A148,'01-02.2021'!$A$6:$CZ$403,52,FALSE)+VLOOKUP($A148,'1.3.21-28.2.22'!$A$6:$DA$404,52,FALSE)-VLOOKUP($A148,'01-02.2022'!$A$6:$DA$376,52,FALSE)</f>
        <v>3159.2</v>
      </c>
      <c r="BA148" s="38">
        <f t="shared" si="187"/>
        <v>-2229.837645172106</v>
      </c>
      <c r="BB148" s="566">
        <f>VLOOKUP($A148,'01-02.2021'!$A$6:$CZ$403,54,FALSE)+VLOOKUP($A148,'1.3.21-28.2.22'!$A$6:$DA$404,54,FALSE)-VLOOKUP($A148,'01-02.2022'!$A$6:$DA$376,54,FALSE)</f>
        <v>2493.4555847173924</v>
      </c>
      <c r="BC148" s="566">
        <f>VLOOKUP($A148,'01-02.2021'!$A$6:$CZ$403,55,FALSE)+VLOOKUP($A148,'1.3.21-28.2.22'!$A$6:$DA$404,55,FALSE)-VLOOKUP($A148,'01-02.2022'!$A$6:$DA$376,55,FALSE)</f>
        <v>0</v>
      </c>
      <c r="BD148" s="55">
        <f t="shared" si="188"/>
        <v>-2493.4555847173924</v>
      </c>
      <c r="BE148" s="566">
        <f>VLOOKUP($A148,'01-02.2021'!$A$6:$CZ$403,57,FALSE)+VLOOKUP($A148,'1.3.21-28.2.22'!$A$6:$DA$404,57,FALSE)-VLOOKUP($A148,'01-02.2022'!$A$6:$DA$376,57,FALSE)</f>
        <v>4326.5633674187557</v>
      </c>
      <c r="BF148" s="566">
        <f>VLOOKUP($A148,'01-02.2021'!$A$6:$CZ$403,58,FALSE)+VLOOKUP($A148,'1.3.21-28.2.22'!$A$6:$DA$404,58,FALSE)-VLOOKUP($A148,'01-02.2022'!$A$6:$DA$376,58,FALSE)</f>
        <v>0</v>
      </c>
      <c r="BG148" s="55">
        <f t="shared" si="189"/>
        <v>-4326.5633674187557</v>
      </c>
      <c r="BH148" s="566">
        <f>VLOOKUP($A148,'01-02.2021'!$A$6:$CZ$403,60,FALSE)+VLOOKUP($A148,'1.3.21-28.2.22'!$A$6:$DA$404,60,FALSE)-VLOOKUP($A148,'01-02.2022'!$A$6:$DA$376,60,FALSE)</f>
        <v>2044.0317862356446</v>
      </c>
      <c r="BI148" s="566">
        <f>VLOOKUP($A148,'01-02.2021'!$A$6:$CZ$403,61,FALSE)+VLOOKUP($A148,'1.3.21-28.2.22'!$A$6:$DA$404,61,FALSE)-VLOOKUP($A148,'01-02.2022'!$A$6:$DA$376,61,FALSE)</f>
        <v>0</v>
      </c>
      <c r="BJ148" s="55">
        <f t="shared" si="190"/>
        <v>-2044.0317862356446</v>
      </c>
      <c r="BK148" s="566">
        <f>VLOOKUP($A148,'01-02.2021'!$A$6:$CZ$403,63,FALSE)+VLOOKUP($A148,'1.3.21-28.2.22'!$A$6:$DA$404,63,FALSE)-VLOOKUP($A148,'01-02.2022'!$A$6:$DA$376,63,FALSE)</f>
        <v>2984.3775683416029</v>
      </c>
      <c r="BL148" s="566">
        <f>VLOOKUP($A148,'01-02.2021'!$A$6:$CZ$403,64,FALSE)+VLOOKUP($A148,'1.3.21-28.2.22'!$A$6:$DA$404,64,FALSE)-VLOOKUP($A148,'01-02.2022'!$A$6:$DA$376,64,FALSE)</f>
        <v>805</v>
      </c>
      <c r="BM148" s="55">
        <f t="shared" si="191"/>
        <v>-2179.3775683416029</v>
      </c>
      <c r="BN148" s="566">
        <f>VLOOKUP($A148,'01-02.2021'!$A$6:$CZ$403,66,FALSE)+VLOOKUP($A148,'1.3.21-28.2.22'!$A$6:$DA$404,66,FALSE)-VLOOKUP($A148,'01-02.2022'!$A$6:$DA$376,66,FALSE)</f>
        <v>419.33227397356779</v>
      </c>
      <c r="BO148" s="566">
        <f>VLOOKUP($A148,'01-02.2021'!$A$6:$CZ$403,67,FALSE)+VLOOKUP($A148,'1.3.21-28.2.22'!$A$6:$DA$404,67,FALSE)-VLOOKUP($A148,'01-02.2022'!$A$6:$DA$376,67,FALSE)</f>
        <v>0</v>
      </c>
      <c r="BP148" s="55">
        <f t="shared" si="192"/>
        <v>-419.33227397356779</v>
      </c>
      <c r="BQ148" s="77">
        <f t="shared" si="151"/>
        <v>22698.693540891007</v>
      </c>
      <c r="BR148" s="40">
        <f t="shared" si="152"/>
        <v>5448.2</v>
      </c>
      <c r="BS148" s="55">
        <f t="shared" si="166"/>
        <v>-17250.493540891006</v>
      </c>
      <c r="BT148" s="566">
        <f>VLOOKUP($A148,'01-02.2021'!$A$6:$CZ$403,72,FALSE)+VLOOKUP($A148,'1.3.21-28.2.22'!$A$6:$DA$404,72,FALSE)-VLOOKUP($A148,'01-02.2022'!$A$6:$DA$376,72,FALSE)</f>
        <v>82298.017546751827</v>
      </c>
      <c r="BU148" s="566">
        <f>VLOOKUP($A148,'01-02.2021'!$A$6:$CZ$403,73,FALSE)+VLOOKUP($A148,'1.3.21-28.2.22'!$A$6:$DA$404,73,FALSE)-VLOOKUP($A148,'01-02.2022'!$A$6:$DA$376,73,FALSE)</f>
        <v>72411.131822920084</v>
      </c>
      <c r="BV148" s="70">
        <f t="shared" si="193"/>
        <v>-9886.8857238317432</v>
      </c>
      <c r="BW148" s="566">
        <f>VLOOKUP($A148,'01-02.2021'!$A$6:$CZ$403,75,FALSE)+VLOOKUP($A148,'1.3.21-28.2.22'!$A$6:$DA$404,75,FALSE)-VLOOKUP($A148,'01-02.2022'!$A$6:$DA$376,75,FALSE)</f>
        <v>64575.745699042629</v>
      </c>
      <c r="BX148" s="566">
        <f>VLOOKUP($A148,'01-02.2021'!$A$6:$CZ$403,76,FALSE)+VLOOKUP($A148,'1.3.21-28.2.22'!$A$6:$DA$404,76,FALSE)-VLOOKUP($A148,'01-02.2022'!$A$6:$DA$376,76,FALSE)</f>
        <v>52393.645687403841</v>
      </c>
      <c r="BY148" s="70">
        <f t="shared" si="194"/>
        <v>-12182.100011638788</v>
      </c>
      <c r="BZ148" s="566">
        <f>VLOOKUP($A148,'01-02.2021'!$A$6:$CZ$403,78,FALSE)+VLOOKUP($A148,'1.3.21-28.2.22'!$A$6:$DA$404,78,FALSE)-VLOOKUP($A148,'01-02.2022'!$A$6:$DA$376,78,FALSE)</f>
        <v>16530.348824339686</v>
      </c>
      <c r="CA148" s="566">
        <f>VLOOKUP($A148,'01-02.2021'!$A$6:$CZ$403,79,FALSE)+VLOOKUP($A148,'1.3.21-28.2.22'!$A$6:$DA$404,79,FALSE)-VLOOKUP($A148,'01-02.2022'!$A$6:$DA$376,79,FALSE)</f>
        <v>18148.568905064218</v>
      </c>
      <c r="CB148" s="70">
        <f t="shared" si="195"/>
        <v>1618.2200807245317</v>
      </c>
      <c r="CC148" s="566">
        <f>VLOOKUP($A148,'01-02.2021'!$A$6:$CZ$403,81,FALSE)+VLOOKUP($A148,'1.3.21-28.2.22'!$A$6:$DA$404,81,FALSE)-VLOOKUP($A148,'01-02.2022'!$A$6:$DA$376,81,FALSE)</f>
        <v>1633.9995346800288</v>
      </c>
      <c r="CD148" s="566">
        <f>VLOOKUP($A148,'01-02.2021'!$A$6:$CZ$403,82,FALSE)+VLOOKUP($A148,'1.3.21-28.2.22'!$A$6:$DA$404,82,FALSE)-VLOOKUP($A148,'01-02.2022'!$A$6:$DA$376,82,FALSE)</f>
        <v>1766.6441095850791</v>
      </c>
      <c r="CE148" s="70">
        <f t="shared" si="196"/>
        <v>132.64457490505038</v>
      </c>
      <c r="CF148" s="566">
        <f>VLOOKUP($A148,'01-02.2021'!$A$6:$CZ$403,84,FALSE)+VLOOKUP($A148,'1.3.21-28.2.22'!$A$6:$DA$404,84,FALSE)-VLOOKUP($A148,'01-02.2022'!$A$6:$DA$376,84,FALSE)</f>
        <v>196.49895186326111</v>
      </c>
      <c r="CG148" s="566">
        <f>VLOOKUP($A148,'01-02.2021'!$A$6:$CZ$403,85,FALSE)+VLOOKUP($A148,'1.3.21-28.2.22'!$A$6:$DA$404,85,FALSE)-VLOOKUP($A148,'01-02.2022'!$A$6:$DA$376,85,FALSE)</f>
        <v>0</v>
      </c>
      <c r="CH148" s="70">
        <f t="shared" si="197"/>
        <v>-196.49895186326111</v>
      </c>
      <c r="CI148" s="566">
        <f>VLOOKUP($A148,'01-02.2021'!$A$6:$CZ$403,87,FALSE)+VLOOKUP($A148,'1.3.21-28.2.22'!$A$6:$DA$404,87,FALSE)-VLOOKUP($A148,'01-02.2022'!$A$6:$DA$376,87,FALSE)</f>
        <v>21691.445542874237</v>
      </c>
      <c r="CJ148" s="566">
        <f>VLOOKUP($A148,'01-02.2021'!$A$6:$CZ$403,88,FALSE)+VLOOKUP($A148,'1.3.21-28.2.22'!$A$6:$DA$404,88,FALSE)-VLOOKUP($A148,'01-02.2022'!$A$6:$DA$376,88,FALSE)</f>
        <v>17088.333229546075</v>
      </c>
      <c r="CK148" s="70">
        <f t="shared" si="198"/>
        <v>-4603.1123133281617</v>
      </c>
      <c r="CL148" s="566">
        <f>VLOOKUP($A148,'01-02.2021'!$A$6:$CZ$403,90,FALSE)+VLOOKUP($A148,'1.3.21-28.2.22'!$A$6:$DA$404,90,FALSE)-VLOOKUP($A148,'01-02.2022'!$A$6:$DA$376,90,FALSE)</f>
        <v>17048.951939304832</v>
      </c>
      <c r="CM148" s="566">
        <f>VLOOKUP($A148,'01-02.2021'!$A$6:$CZ$403,91,FALSE)+VLOOKUP($A148,'1.3.21-28.2.22'!$A$6:$DA$404,91,FALSE)-VLOOKUP($A148,'01-02.2022'!$A$6:$DA$376,91,FALSE)</f>
        <v>15057.746565300266</v>
      </c>
      <c r="CN148" s="52">
        <f t="shared" si="158"/>
        <v>-1991.2053740045667</v>
      </c>
      <c r="CO148" s="39">
        <f t="shared" si="153"/>
        <v>38740.397482179069</v>
      </c>
      <c r="CP148" s="40">
        <f t="shared" si="159"/>
        <v>32146.079794846341</v>
      </c>
      <c r="CQ148" s="52">
        <f t="shared" si="160"/>
        <v>-6594.3176873327284</v>
      </c>
      <c r="CR148" s="72">
        <f t="shared" si="154"/>
        <v>455080.36723710917</v>
      </c>
      <c r="CS148" s="5">
        <f t="shared" si="154"/>
        <v>537873.11693723442</v>
      </c>
      <c r="CT148" s="52">
        <f t="shared" si="161"/>
        <v>82792.749700125249</v>
      </c>
      <c r="CU148" s="77">
        <f t="shared" si="162"/>
        <v>546096.440684531</v>
      </c>
      <c r="CV148" s="65">
        <f t="shared" si="163"/>
        <v>645447.74032468128</v>
      </c>
      <c r="CW148" s="35">
        <f t="shared" si="164"/>
        <v>99351.299640150275</v>
      </c>
      <c r="CX148" s="566">
        <f>VLOOKUP($A148,'01-02.2021'!$A$6:$CZ$403,102,FALSE)+VLOOKUP($A148,'1.3.21-28.2.22'!$A$6:$DA$404,102,FALSE)-VLOOKUP($A148,'01-02.2022'!$A$6:$DA$376,102,FALSE)</f>
        <v>19064.571438454062</v>
      </c>
      <c r="CY148" s="566">
        <f>VLOOKUP($A148,'01-02.2021'!$A$6:$CZ$403,103,FALSE)+VLOOKUP($A148,'1.3.21-28.2.22'!$A$6:$DA$404,103,FALSE)-VLOOKUP($A148,'01-02.2022'!$A$6:$DA$376,103,FALSE)</f>
        <v>-80286.728201696358</v>
      </c>
      <c r="CZ148" s="52">
        <f t="shared" si="165"/>
        <v>-99351.299640150421</v>
      </c>
      <c r="DA148" s="150">
        <f>'[2]побудинковий звіт'!DA148</f>
        <v>24769.639698006078</v>
      </c>
      <c r="DB148" s="2">
        <v>1</v>
      </c>
      <c r="DC148" s="414">
        <f>'[4]побудинковий звіт'!DC148</f>
        <v>119485.43</v>
      </c>
      <c r="DD148" s="414">
        <f>'[4]побудинковий звіт'!DD148</f>
        <v>0</v>
      </c>
      <c r="DE148" s="557">
        <f>'[4]побудинковий звіт'!DE148</f>
        <v>68254.17374302457</v>
      </c>
      <c r="DF148" s="557">
        <f>'[4]побудинковий звіт'!DF148</f>
        <v>0</v>
      </c>
      <c r="DG148" s="321">
        <f>VLOOKUP(A148,'кошти 01.03.2021'!$A$6:$D$401,4,)</f>
        <v>-31149.46578682472</v>
      </c>
      <c r="DH148" s="40">
        <f>'[3]побудинковий звіт'!DJ148</f>
        <v>584707.0248510919</v>
      </c>
      <c r="DI148" s="422">
        <f>'[3]побудинковий звіт'!CU148+'[3]побудинковий звіт'!CX148</f>
        <v>51231.256256975415</v>
      </c>
      <c r="DJ148" s="306">
        <f>'[3]побудинковий звіт'!DM148</f>
        <v>6.0491207709564545</v>
      </c>
      <c r="DK148" s="306">
        <f>'[3]побудинковий звіт'!DN148</f>
        <v>7.3155104406192235</v>
      </c>
      <c r="DL148" s="306">
        <f>'[3]побудинковий звіт'!DO148</f>
        <v>4.9652115560307077</v>
      </c>
      <c r="DM148" s="28">
        <f t="shared" ref="DM148:DM149" si="199">DJ148*G148+(F148-G148)*DK148</f>
        <v>51231.256256975423</v>
      </c>
      <c r="DN148" s="28">
        <f>DL148*H148</f>
        <v>0</v>
      </c>
      <c r="DO148" s="423">
        <f t="shared" si="171"/>
        <v>51231.256256975423</v>
      </c>
      <c r="DP148" s="94">
        <f t="shared" si="172"/>
        <v>0</v>
      </c>
      <c r="DQ148" s="28">
        <f t="shared" si="173"/>
        <v>51231.256256975423</v>
      </c>
      <c r="DR148" s="318"/>
      <c r="DT148" s="8"/>
      <c r="DU148" s="5"/>
      <c r="DX148" s="5">
        <f t="shared" si="174"/>
        <v>126322.3718252885</v>
      </c>
      <c r="DY148" s="5">
        <f t="shared" si="175"/>
        <v>265356.43200000003</v>
      </c>
      <c r="DZ148" s="159">
        <f>'[3]побудинковий звіт'!EA148</f>
        <v>11483.28727715378</v>
      </c>
    </row>
    <row r="149" spans="1:130" x14ac:dyDescent="0.3">
      <c r="A149" s="325">
        <v>150000494</v>
      </c>
      <c r="B149" s="41" t="s">
        <v>598</v>
      </c>
      <c r="C149" s="42" t="s">
        <v>419</v>
      </c>
      <c r="D149" s="42"/>
      <c r="E149" s="293">
        <f t="shared" si="149"/>
        <v>9469.1</v>
      </c>
      <c r="F149" s="305">
        <f>'[3]побудинковий звіт'!F149</f>
        <v>9469.1</v>
      </c>
      <c r="G149" s="508">
        <f>'[3]побудинковий звіт'!G149</f>
        <v>988.9</v>
      </c>
      <c r="H149" s="560">
        <f>'[3]побудинковий звіт'!H149</f>
        <v>0</v>
      </c>
      <c r="I149" s="566">
        <f>VLOOKUP($A149,'01-02.2021'!$A$6:$CZ$403,9,FALSE)+VLOOKUP($A149,'1.3.21-28.2.22'!$A$6:$DA$404,9,FALSE)-VLOOKUP($A149,'01-02.2022'!$A$6:$DA$376,9,FALSE)</f>
        <v>27219.628642888689</v>
      </c>
      <c r="J149" s="566">
        <f>VLOOKUP($A149,'01-02.2021'!$A$6:$CZ$403,10,FALSE)+VLOOKUP($A149,'1.3.21-28.2.22'!$A$6:$DA$404,10,FALSE)-VLOOKUP($A149,'01-02.2022'!$A$6:$DA$376,10,FALSE)</f>
        <v>24386.272993749728</v>
      </c>
      <c r="K149" s="52">
        <f t="shared" si="155"/>
        <v>-2833.3556491389609</v>
      </c>
      <c r="L149" s="566">
        <f>VLOOKUP($A149,'01-02.2021'!$A$6:$CZ$403,12,FALSE)+VLOOKUP($A149,'1.3.21-28.2.22'!$A$6:$DA$404,12,FALSE)-VLOOKUP($A149,'01-02.2022'!$A$6:$DA$376,12,FALSE)</f>
        <v>4193.951810255382</v>
      </c>
      <c r="M149" s="566">
        <f>VLOOKUP($A149,'01-02.2021'!$A$6:$CZ$403,13,FALSE)+VLOOKUP($A149,'1.3.21-28.2.22'!$A$6:$DA$404,13,FALSE)-VLOOKUP($A149,'01-02.2022'!$A$6:$DA$376,13,FALSE)</f>
        <v>3800.5035317722868</v>
      </c>
      <c r="N149" s="52">
        <f t="shared" si="156"/>
        <v>-393.44827848309524</v>
      </c>
      <c r="O149" s="566">
        <f>VLOOKUP($A149,'01-02.2021'!$A$6:$CZ$403,15,FALSE)+VLOOKUP($A149,'1.3.21-28.2.22'!$A$6:$DA$404,15,FALSE)-VLOOKUP($A149,'01-02.2022'!$A$6:$DA$376,15,FALSE)</f>
        <v>13499.293370326499</v>
      </c>
      <c r="P149" s="566">
        <f>VLOOKUP($A149,'01-02.2021'!$A$6:$CZ$403,16,FALSE)+VLOOKUP($A149,'1.3.21-28.2.22'!$A$6:$DA$404,16,FALSE)-VLOOKUP($A149,'01-02.2022'!$A$6:$DA$376,16,FALSE)</f>
        <v>13500.876666666671</v>
      </c>
      <c r="Q149" s="70">
        <f t="shared" si="176"/>
        <v>1.5832963401717279</v>
      </c>
      <c r="R149" s="566">
        <f>VLOOKUP($A149,'01-02.2021'!$A$6:$CZ$403,18,FALSE)+VLOOKUP($A149,'1.3.21-28.2.22'!$A$6:$DA$404,18,FALSE)-VLOOKUP($A149,'01-02.2022'!$A$6:$DA$376,18,FALSE)</f>
        <v>2756.2686307861422</v>
      </c>
      <c r="S149" s="566">
        <f>VLOOKUP($A149,'01-02.2021'!$A$6:$CZ$403,19,FALSE)+VLOOKUP($A149,'1.3.21-28.2.22'!$A$6:$DA$404,19,FALSE)-VLOOKUP($A149,'01-02.2022'!$A$6:$DA$376,19,FALSE)</f>
        <v>2757.4483333333337</v>
      </c>
      <c r="T149" s="70">
        <f t="shared" si="177"/>
        <v>1.1797025471914822</v>
      </c>
      <c r="U149" s="566">
        <f>VLOOKUP($A149,'01-02.2021'!$A$6:$CZ$403,21,FALSE)+VLOOKUP($A149,'1.3.21-28.2.22'!$A$6:$DA$404,21,FALSE)-VLOOKUP($A149,'01-02.2022'!$A$6:$DA$376,21,FALSE)</f>
        <v>1075.9180300625719</v>
      </c>
      <c r="V149" s="566">
        <f>VLOOKUP($A149,'01-02.2021'!$A$6:$CZ$403,22,FALSE)+VLOOKUP($A149,'1.3.21-28.2.22'!$A$6:$DA$404,22,FALSE)-VLOOKUP($A149,'01-02.2022'!$A$6:$DA$376,22,FALSE)</f>
        <v>700.93858128792783</v>
      </c>
      <c r="W149" s="70">
        <f t="shared" si="178"/>
        <v>-374.97944877464408</v>
      </c>
      <c r="X149" s="566">
        <f>VLOOKUP($A149,'01-02.2021'!$A$6:$CZ$403,24,FALSE)+VLOOKUP($A149,'1.3.21-28.2.22'!$A$6:$DA$404,24,FALSE)-VLOOKUP($A149,'01-02.2022'!$A$6:$DA$376,24,FALSE)</f>
        <v>9604.9675307323323</v>
      </c>
      <c r="Y149" s="566">
        <f>VLOOKUP($A149,'01-02.2021'!$A$6:$CZ$403,25,FALSE)+VLOOKUP($A149,'1.3.21-28.2.22'!$A$6:$DA$404,25,FALSE)-VLOOKUP($A149,'01-02.2022'!$A$6:$DA$376,25,FALSE)</f>
        <v>8013.784232583168</v>
      </c>
      <c r="Z149" s="70">
        <f t="shared" si="179"/>
        <v>-1591.1832981491643</v>
      </c>
      <c r="AA149" s="566">
        <f>VLOOKUP($A149,'01-02.2021'!$A$6:$CZ$403,27,FALSE)+VLOOKUP($A149,'1.3.21-28.2.22'!$A$6:$DA$404,27,FALSE)-VLOOKUP($A149,'01-02.2022'!$A$6:$DA$376,27,FALSE)</f>
        <v>1892.98</v>
      </c>
      <c r="AB149" s="566">
        <f>VLOOKUP($A149,'01-02.2021'!$A$6:$CZ$403,28,FALSE)+VLOOKUP($A149,'1.3.21-28.2.22'!$A$6:$DA$404,28,FALSE)-VLOOKUP($A149,'01-02.2022'!$A$6:$DA$376,28,FALSE)</f>
        <v>0</v>
      </c>
      <c r="AC149" s="70">
        <f t="shared" si="180"/>
        <v>-1892.98</v>
      </c>
      <c r="AD149" s="566">
        <f>VLOOKUP($A149,'01-02.2021'!$A$6:$CZ$403,30,FALSE)+VLOOKUP($A149,'1.3.21-28.2.22'!$A$6:$DA$404,30,FALSE)-VLOOKUP($A149,'01-02.2022'!$A$6:$DA$376,30,FALSE)</f>
        <v>40664.93530490002</v>
      </c>
      <c r="AE149" s="566">
        <f>VLOOKUP($A149,'01-02.2021'!$A$6:$CZ$403,31,FALSE)+VLOOKUP($A149,'1.3.21-28.2.22'!$A$6:$DA$404,31,FALSE)-VLOOKUP($A149,'01-02.2022'!$A$6:$DA$376,31,FALSE)</f>
        <v>43103.724731347844</v>
      </c>
      <c r="AF149" s="68">
        <f t="shared" si="181"/>
        <v>2438.7894264478236</v>
      </c>
      <c r="AG149" s="77">
        <f t="shared" si="150"/>
        <v>100907.94331995165</v>
      </c>
      <c r="AH149" s="53">
        <f t="shared" si="150"/>
        <v>96263.549070740963</v>
      </c>
      <c r="AI149" s="52">
        <f t="shared" si="157"/>
        <v>-4644.3942492106871</v>
      </c>
      <c r="AJ149" s="566">
        <f>VLOOKUP($A149,'01-02.2021'!$A$6:$CZ$403,36,FALSE)+VLOOKUP($A149,'1.3.21-28.2.22'!$A$6:$DA$404,36,FALSE)-VLOOKUP($A149,'01-02.2022'!$A$6:$DA$376,36,FALSE)</f>
        <v>43392.862831559214</v>
      </c>
      <c r="AK149" s="566">
        <f>VLOOKUP($A149,'01-02.2021'!$A$6:$CZ$403,37,FALSE)+VLOOKUP($A149,'1.3.21-28.2.22'!$A$6:$DA$404,37,FALSE)-VLOOKUP($A149,'01-02.2022'!$A$6:$DA$376,37,FALSE)</f>
        <v>42472.830030646357</v>
      </c>
      <c r="AL149" s="70">
        <f t="shared" si="182"/>
        <v>-920.03280091285706</v>
      </c>
      <c r="AM149" s="566">
        <f>VLOOKUP($A149,'01-02.2021'!$A$6:$CZ$403,39,FALSE)+VLOOKUP($A149,'1.3.21-28.2.22'!$A$6:$DA$404,39,FALSE)-VLOOKUP($A149,'01-02.2022'!$A$6:$DA$376,39,FALSE)</f>
        <v>525.37471249999999</v>
      </c>
      <c r="AN149" s="566">
        <f>VLOOKUP($A149,'01-02.2021'!$A$6:$CZ$403,40,FALSE)+VLOOKUP($A149,'1.3.21-28.2.22'!$A$6:$DA$404,40,FALSE)-VLOOKUP($A149,'01-02.2022'!$A$6:$DA$376,40,FALSE)</f>
        <v>0</v>
      </c>
      <c r="AO149" s="70">
        <f t="shared" si="183"/>
        <v>-525.37471249999999</v>
      </c>
      <c r="AP149" s="566">
        <f>VLOOKUP($A149,'01-02.2021'!$A$6:$CZ$403,42,FALSE)+VLOOKUP($A149,'1.3.21-28.2.22'!$A$6:$DA$404,42,FALSE)-VLOOKUP($A149,'01-02.2022'!$A$6:$DA$376,42,FALSE)</f>
        <v>5422.4992188830984</v>
      </c>
      <c r="AQ149" s="566">
        <f>VLOOKUP($A149,'01-02.2021'!$A$6:$CZ$403,43,FALSE)+VLOOKUP($A149,'1.3.21-28.2.22'!$A$6:$DA$404,43,FALSE)-VLOOKUP($A149,'01-02.2022'!$A$6:$DA$376,43,FALSE)</f>
        <v>4671.0211591536336</v>
      </c>
      <c r="AR149" s="70">
        <f t="shared" si="184"/>
        <v>-751.4780597294648</v>
      </c>
      <c r="AS149" s="566">
        <f>VLOOKUP($A149,'01-02.2021'!$A$6:$CZ$403,45,FALSE)+VLOOKUP($A149,'1.3.21-28.2.22'!$A$6:$DA$404,45,FALSE)-VLOOKUP($A149,'01-02.2022'!$A$6:$DA$376,45,FALSE)</f>
        <v>103110.92201556619</v>
      </c>
      <c r="AT149" s="566">
        <f>VLOOKUP($A149,'01-02.2021'!$A$6:$CZ$403,46,FALSE)+VLOOKUP($A149,'1.3.21-28.2.22'!$A$6:$DA$404,46,FALSE)-VLOOKUP($A149,'01-02.2022'!$A$6:$DA$376,46,FALSE)</f>
        <v>33268.449999999997</v>
      </c>
      <c r="AU149" s="78">
        <f t="shared" si="185"/>
        <v>-69842.472015566193</v>
      </c>
      <c r="AV149" s="566">
        <f>VLOOKUP($A149,'01-02.2021'!$A$6:$CZ$403,48,FALSE)+VLOOKUP($A149,'1.3.21-28.2.22'!$A$6:$DA$404,48,FALSE)-VLOOKUP($A149,'01-02.2022'!$A$6:$DA$376,48,FALSE)</f>
        <v>5673.6263381769722</v>
      </c>
      <c r="AW149" s="566">
        <f>VLOOKUP($A149,'01-02.2021'!$A$6:$CZ$403,49,FALSE)+VLOOKUP($A149,'1.3.21-28.2.22'!$A$6:$DA$404,49,FALSE)-VLOOKUP($A149,'01-02.2022'!$A$6:$DA$376,49,FALSE)</f>
        <v>726</v>
      </c>
      <c r="AX149" s="55">
        <f t="shared" si="186"/>
        <v>-4947.6263381769722</v>
      </c>
      <c r="AY149" s="566">
        <f>VLOOKUP($A149,'01-02.2021'!$A$6:$CZ$403,51,FALSE)+VLOOKUP($A149,'1.3.21-28.2.22'!$A$6:$DA$404,51,FALSE)-VLOOKUP($A149,'01-02.2022'!$A$6:$DA$376,51,FALSE)</f>
        <v>6347.8943259755588</v>
      </c>
      <c r="AZ149" s="566">
        <f>VLOOKUP($A149,'01-02.2021'!$A$6:$CZ$403,52,FALSE)+VLOOKUP($A149,'1.3.21-28.2.22'!$A$6:$DA$404,52,FALSE)-VLOOKUP($A149,'01-02.2022'!$A$6:$DA$376,52,FALSE)</f>
        <v>1958.5</v>
      </c>
      <c r="BA149" s="38">
        <f t="shared" si="187"/>
        <v>-4389.3943259755588</v>
      </c>
      <c r="BB149" s="566">
        <f>VLOOKUP($A149,'01-02.2021'!$A$6:$CZ$403,54,FALSE)+VLOOKUP($A149,'1.3.21-28.2.22'!$A$6:$DA$404,54,FALSE)-VLOOKUP($A149,'01-02.2022'!$A$6:$DA$376,54,FALSE)</f>
        <v>4286.1293821382205</v>
      </c>
      <c r="BC149" s="566">
        <f>VLOOKUP($A149,'01-02.2021'!$A$6:$CZ$403,55,FALSE)+VLOOKUP($A149,'1.3.21-28.2.22'!$A$6:$DA$404,55,FALSE)-VLOOKUP($A149,'01-02.2022'!$A$6:$DA$376,55,FALSE)</f>
        <v>0</v>
      </c>
      <c r="BD149" s="55">
        <f t="shared" si="188"/>
        <v>-4286.1293821382205</v>
      </c>
      <c r="BE149" s="566">
        <f>VLOOKUP($A149,'01-02.2021'!$A$6:$CZ$403,57,FALSE)+VLOOKUP($A149,'1.3.21-28.2.22'!$A$6:$DA$404,57,FALSE)-VLOOKUP($A149,'01-02.2022'!$A$6:$DA$376,57,FALSE)</f>
        <v>5602.585101332721</v>
      </c>
      <c r="BF149" s="566">
        <f>VLOOKUP($A149,'01-02.2021'!$A$6:$CZ$403,58,FALSE)+VLOOKUP($A149,'1.3.21-28.2.22'!$A$6:$DA$404,58,FALSE)-VLOOKUP($A149,'01-02.2022'!$A$6:$DA$376,58,FALSE)</f>
        <v>354</v>
      </c>
      <c r="BG149" s="55">
        <f t="shared" si="189"/>
        <v>-5248.585101332721</v>
      </c>
      <c r="BH149" s="566">
        <f>VLOOKUP($A149,'01-02.2021'!$A$6:$CZ$403,60,FALSE)+VLOOKUP($A149,'1.3.21-28.2.22'!$A$6:$DA$404,60,FALSE)-VLOOKUP($A149,'01-02.2022'!$A$6:$DA$376,60,FALSE)</f>
        <v>2044.0317862356446</v>
      </c>
      <c r="BI149" s="566">
        <f>VLOOKUP($A149,'01-02.2021'!$A$6:$CZ$403,61,FALSE)+VLOOKUP($A149,'1.3.21-28.2.22'!$A$6:$DA$404,61,FALSE)-VLOOKUP($A149,'01-02.2022'!$A$6:$DA$376,61,FALSE)</f>
        <v>0</v>
      </c>
      <c r="BJ149" s="55">
        <f t="shared" si="190"/>
        <v>-2044.0317862356446</v>
      </c>
      <c r="BK149" s="566">
        <f>VLOOKUP($A149,'01-02.2021'!$A$6:$CZ$403,63,FALSE)+VLOOKUP($A149,'1.3.21-28.2.22'!$A$6:$DA$404,63,FALSE)-VLOOKUP($A149,'01-02.2022'!$A$6:$DA$376,63,FALSE)</f>
        <v>3092.3092909706147</v>
      </c>
      <c r="BL149" s="566">
        <f>VLOOKUP($A149,'01-02.2021'!$A$6:$CZ$403,64,FALSE)+VLOOKUP($A149,'1.3.21-28.2.22'!$A$6:$DA$404,64,FALSE)-VLOOKUP($A149,'01-02.2022'!$A$6:$DA$376,64,FALSE)</f>
        <v>1193</v>
      </c>
      <c r="BM149" s="55">
        <f t="shared" si="191"/>
        <v>-1899.3092909706147</v>
      </c>
      <c r="BN149" s="566">
        <f>VLOOKUP($A149,'01-02.2021'!$A$6:$CZ$403,66,FALSE)+VLOOKUP($A149,'1.3.21-28.2.22'!$A$6:$DA$404,66,FALSE)-VLOOKUP($A149,'01-02.2022'!$A$6:$DA$376,66,FALSE)</f>
        <v>429.91620581130354</v>
      </c>
      <c r="BO149" s="566">
        <f>VLOOKUP($A149,'01-02.2021'!$A$6:$CZ$403,67,FALSE)+VLOOKUP($A149,'1.3.21-28.2.22'!$A$6:$DA$404,67,FALSE)-VLOOKUP($A149,'01-02.2022'!$A$6:$DA$376,67,FALSE)</f>
        <v>0</v>
      </c>
      <c r="BP149" s="55">
        <f t="shared" si="192"/>
        <v>-429.91620581130354</v>
      </c>
      <c r="BQ149" s="77">
        <f t="shared" si="151"/>
        <v>27476.492430641036</v>
      </c>
      <c r="BR149" s="40">
        <f t="shared" si="152"/>
        <v>4231.5</v>
      </c>
      <c r="BS149" s="55">
        <f t="shared" si="166"/>
        <v>-23244.992430641036</v>
      </c>
      <c r="BT149" s="566">
        <f>VLOOKUP($A149,'01-02.2021'!$A$6:$CZ$403,72,FALSE)+VLOOKUP($A149,'1.3.21-28.2.22'!$A$6:$DA$404,72,FALSE)-VLOOKUP($A149,'01-02.2022'!$A$6:$DA$376,72,FALSE)</f>
        <v>85907.416331315093</v>
      </c>
      <c r="BU149" s="566">
        <f>VLOOKUP($A149,'01-02.2021'!$A$6:$CZ$403,73,FALSE)+VLOOKUP($A149,'1.3.21-28.2.22'!$A$6:$DA$404,73,FALSE)-VLOOKUP($A149,'01-02.2022'!$A$6:$DA$376,73,FALSE)</f>
        <v>78596.460531056364</v>
      </c>
      <c r="BV149" s="70">
        <f t="shared" si="193"/>
        <v>-7310.9558002587291</v>
      </c>
      <c r="BW149" s="566">
        <f>VLOOKUP($A149,'01-02.2021'!$A$6:$CZ$403,75,FALSE)+VLOOKUP($A149,'1.3.21-28.2.22'!$A$6:$DA$404,75,FALSE)-VLOOKUP($A149,'01-02.2022'!$A$6:$DA$376,75,FALSE)</f>
        <v>68500.093792003376</v>
      </c>
      <c r="BX149" s="566">
        <f>VLOOKUP($A149,'01-02.2021'!$A$6:$CZ$403,76,FALSE)+VLOOKUP($A149,'1.3.21-28.2.22'!$A$6:$DA$404,76,FALSE)-VLOOKUP($A149,'01-02.2022'!$A$6:$DA$376,76,FALSE)</f>
        <v>63314.071016744601</v>
      </c>
      <c r="BY149" s="70">
        <f t="shared" si="194"/>
        <v>-5186.0227752587743</v>
      </c>
      <c r="BZ149" s="566">
        <f>VLOOKUP($A149,'01-02.2021'!$A$6:$CZ$403,78,FALSE)+VLOOKUP($A149,'1.3.21-28.2.22'!$A$6:$DA$404,78,FALSE)-VLOOKUP($A149,'01-02.2022'!$A$6:$DA$376,78,FALSE)</f>
        <v>19347.456405772544</v>
      </c>
      <c r="CA149" s="566">
        <f>VLOOKUP($A149,'01-02.2021'!$A$6:$CZ$403,79,FALSE)+VLOOKUP($A149,'1.3.21-28.2.22'!$A$6:$DA$404,79,FALSE)-VLOOKUP($A149,'01-02.2022'!$A$6:$DA$376,79,FALSE)</f>
        <v>17984.188926706556</v>
      </c>
      <c r="CB149" s="70">
        <f t="shared" si="195"/>
        <v>-1363.2674790659876</v>
      </c>
      <c r="CC149" s="566">
        <f>VLOOKUP($A149,'01-02.2021'!$A$6:$CZ$403,81,FALSE)+VLOOKUP($A149,'1.3.21-28.2.22'!$A$6:$DA$404,81,FALSE)-VLOOKUP($A149,'01-02.2022'!$A$6:$DA$376,81,FALSE)</f>
        <v>1179.1849765572733</v>
      </c>
      <c r="CD149" s="566">
        <f>VLOOKUP($A149,'01-02.2021'!$A$6:$CZ$403,82,FALSE)+VLOOKUP($A149,'1.3.21-28.2.22'!$A$6:$DA$404,82,FALSE)-VLOOKUP($A149,'01-02.2022'!$A$6:$DA$376,82,FALSE)</f>
        <v>1275.0663368584974</v>
      </c>
      <c r="CE149" s="70">
        <f t="shared" si="196"/>
        <v>95.881360301224049</v>
      </c>
      <c r="CF149" s="566">
        <f>VLOOKUP($A149,'01-02.2021'!$A$6:$CZ$403,84,FALSE)+VLOOKUP($A149,'1.3.21-28.2.22'!$A$6:$DA$404,84,FALSE)-VLOOKUP($A149,'01-02.2022'!$A$6:$DA$376,84,FALSE)</f>
        <v>141.8221119859096</v>
      </c>
      <c r="CG149" s="566">
        <f>VLOOKUP($A149,'01-02.2021'!$A$6:$CZ$403,85,FALSE)+VLOOKUP($A149,'1.3.21-28.2.22'!$A$6:$DA$404,85,FALSE)-VLOOKUP($A149,'01-02.2022'!$A$6:$DA$376,85,FALSE)</f>
        <v>0</v>
      </c>
      <c r="CH149" s="70">
        <f t="shared" si="197"/>
        <v>-141.8221119859096</v>
      </c>
      <c r="CI149" s="566">
        <f>VLOOKUP($A149,'01-02.2021'!$A$6:$CZ$403,87,FALSE)+VLOOKUP($A149,'1.3.21-28.2.22'!$A$6:$DA$404,87,FALSE)-VLOOKUP($A149,'01-02.2022'!$A$6:$DA$376,87,FALSE)</f>
        <v>24067.915614676822</v>
      </c>
      <c r="CJ149" s="566">
        <f>VLOOKUP($A149,'01-02.2021'!$A$6:$CZ$403,88,FALSE)+VLOOKUP($A149,'1.3.21-28.2.22'!$A$6:$DA$404,88,FALSE)-VLOOKUP($A149,'01-02.2022'!$A$6:$DA$376,88,FALSE)</f>
        <v>18604.3318282976</v>
      </c>
      <c r="CK149" s="70">
        <f t="shared" si="198"/>
        <v>-5463.5837863792221</v>
      </c>
      <c r="CL149" s="566">
        <f>VLOOKUP($A149,'01-02.2021'!$A$6:$CZ$403,90,FALSE)+VLOOKUP($A149,'1.3.21-28.2.22'!$A$6:$DA$404,90,FALSE)-VLOOKUP($A149,'01-02.2022'!$A$6:$DA$376,90,FALSE)</f>
        <v>20649.742553210443</v>
      </c>
      <c r="CM149" s="566">
        <f>VLOOKUP($A149,'01-02.2021'!$A$6:$CZ$403,91,FALSE)+VLOOKUP($A149,'1.3.21-28.2.22'!$A$6:$DA$404,91,FALSE)-VLOOKUP($A149,'01-02.2022'!$A$6:$DA$376,91,FALSE)</f>
        <v>19286.393520104597</v>
      </c>
      <c r="CN149" s="52">
        <f t="shared" si="158"/>
        <v>-1363.3490331058456</v>
      </c>
      <c r="CO149" s="39">
        <f t="shared" si="153"/>
        <v>44717.658167887261</v>
      </c>
      <c r="CP149" s="40">
        <f t="shared" si="159"/>
        <v>37890.725348402193</v>
      </c>
      <c r="CQ149" s="52">
        <f t="shared" si="160"/>
        <v>-6826.9328194850677</v>
      </c>
      <c r="CR149" s="72">
        <f t="shared" si="154"/>
        <v>500629.72631462256</v>
      </c>
      <c r="CS149" s="5">
        <f t="shared" si="154"/>
        <v>379967.86242030922</v>
      </c>
      <c r="CT149" s="52">
        <f t="shared" si="161"/>
        <v>-120661.86389431334</v>
      </c>
      <c r="CU149" s="77">
        <f t="shared" si="162"/>
        <v>600755.67157754709</v>
      </c>
      <c r="CV149" s="65">
        <f t="shared" si="163"/>
        <v>455961.43490437104</v>
      </c>
      <c r="CW149" s="35">
        <f t="shared" si="164"/>
        <v>-144794.23667317606</v>
      </c>
      <c r="CX149" s="566">
        <f>VLOOKUP($A149,'01-02.2021'!$A$6:$CZ$403,102,FALSE)+VLOOKUP($A149,'1.3.21-28.2.22'!$A$6:$DA$404,102,FALSE)-VLOOKUP($A149,'01-02.2022'!$A$6:$DA$376,102,FALSE)</f>
        <v>11272.922675210724</v>
      </c>
      <c r="CY149" s="566">
        <f>VLOOKUP($A149,'01-02.2021'!$A$6:$CZ$403,103,FALSE)+VLOOKUP($A149,'1.3.21-28.2.22'!$A$6:$DA$404,103,FALSE)-VLOOKUP($A149,'01-02.2022'!$A$6:$DA$376,103,FALSE)</f>
        <v>156067.15934838692</v>
      </c>
      <c r="CZ149" s="52">
        <f t="shared" si="165"/>
        <v>144794.2366731762</v>
      </c>
      <c r="DA149" s="150">
        <f>'[2]побудинковий звіт'!DA149</f>
        <v>-210656.93569251028</v>
      </c>
      <c r="DB149" s="2">
        <v>1</v>
      </c>
      <c r="DC149" s="414">
        <f>'[4]побудинковий звіт'!DC149</f>
        <v>103415.61</v>
      </c>
      <c r="DD149" s="414">
        <f>'[4]побудинковий звіт'!DD149</f>
        <v>0</v>
      </c>
      <c r="DE149" s="557">
        <f>'[4]побудинковий звіт'!DE149</f>
        <v>48220.458177675493</v>
      </c>
      <c r="DF149" s="557">
        <f>'[4]побудинковий звіт'!DF149</f>
        <v>0</v>
      </c>
      <c r="DG149" s="321">
        <f>VLOOKUP(A149,'кошти 01.03.2021'!$A$6:$D$401,4,)</f>
        <v>-74663.038128383167</v>
      </c>
      <c r="DH149" s="40">
        <f>'[3]побудинковий звіт'!DJ149</f>
        <v>631826.53670210287</v>
      </c>
      <c r="DI149" s="422">
        <f>'[3]побудинковий звіт'!CU149+'[3]побудинковий звіт'!CX149</f>
        <v>55195.151822324529</v>
      </c>
      <c r="DJ149" s="306">
        <f>'[3]побудинковий звіт'!DM149</f>
        <v>5.1194379001858374</v>
      </c>
      <c r="DK149" s="306">
        <f>'[3]побудинковий звіт'!DN149</f>
        <v>5.9117166673935442</v>
      </c>
      <c r="DL149" s="306">
        <f>'[3]побудинковий звіт'!DO149</f>
        <v>4.2805997984186082</v>
      </c>
      <c r="DM149" s="28">
        <f t="shared" si="199"/>
        <v>55195.151822324508</v>
      </c>
      <c r="DN149" s="28">
        <f>DL149*H149</f>
        <v>0</v>
      </c>
      <c r="DO149" s="423">
        <f t="shared" si="171"/>
        <v>55195.151822324508</v>
      </c>
      <c r="DP149" s="94">
        <f t="shared" si="172"/>
        <v>0</v>
      </c>
      <c r="DQ149" s="28">
        <f t="shared" si="173"/>
        <v>55195.151822324508</v>
      </c>
      <c r="DR149" s="318"/>
      <c r="DT149" s="8"/>
      <c r="DU149" s="5"/>
      <c r="DX149" s="5">
        <f t="shared" si="174"/>
        <v>156704.89733544868</v>
      </c>
      <c r="DY149" s="5">
        <f t="shared" si="175"/>
        <v>44999.939999999995</v>
      </c>
      <c r="DZ149" s="159">
        <f>'[3]побудинковий звіт'!EA149</f>
        <v>14328.336806889509</v>
      </c>
    </row>
    <row r="150" spans="1:130" x14ac:dyDescent="0.3">
      <c r="A150" s="325">
        <v>150000688</v>
      </c>
      <c r="B150" s="41" t="s">
        <v>599</v>
      </c>
      <c r="C150" s="42" t="s">
        <v>93</v>
      </c>
      <c r="D150" s="42"/>
      <c r="E150" s="293">
        <f t="shared" si="149"/>
        <v>241.1</v>
      </c>
      <c r="F150" s="305">
        <f>'[3]побудинковий звіт'!F150</f>
        <v>241.1</v>
      </c>
      <c r="G150" s="508">
        <f>'[3]побудинковий звіт'!G150</f>
        <v>0</v>
      </c>
      <c r="H150" s="560">
        <f>'[3]побудинковий звіт'!H150</f>
        <v>0</v>
      </c>
      <c r="I150" s="566">
        <f>VLOOKUP($A150,'01-02.2021'!$A$6:$CZ$403,9,FALSE)+VLOOKUP($A150,'1.3.21-28.2.22'!$A$6:$DA$404,9,FALSE)-VLOOKUP($A150,'01-02.2022'!$A$6:$DA$376,9,FALSE)</f>
        <v>0</v>
      </c>
      <c r="J150" s="566">
        <f>VLOOKUP($A150,'01-02.2021'!$A$6:$CZ$403,10,FALSE)+VLOOKUP($A150,'1.3.21-28.2.22'!$A$6:$DA$404,10,FALSE)-VLOOKUP($A150,'01-02.2022'!$A$6:$DA$376,10,FALSE)</f>
        <v>0</v>
      </c>
      <c r="K150" s="52">
        <f t="shared" si="155"/>
        <v>0</v>
      </c>
      <c r="L150" s="566">
        <f>VLOOKUP($A150,'01-02.2021'!$A$6:$CZ$403,12,FALSE)+VLOOKUP($A150,'1.3.21-28.2.22'!$A$6:$DA$404,12,FALSE)-VLOOKUP($A150,'01-02.2022'!$A$6:$DA$376,12,FALSE)</f>
        <v>0</v>
      </c>
      <c r="M150" s="566">
        <f>VLOOKUP($A150,'01-02.2021'!$A$6:$CZ$403,13,FALSE)+VLOOKUP($A150,'1.3.21-28.2.22'!$A$6:$DA$404,13,FALSE)-VLOOKUP($A150,'01-02.2022'!$A$6:$DA$376,13,FALSE)</f>
        <v>0</v>
      </c>
      <c r="N150" s="52">
        <f t="shared" si="156"/>
        <v>0</v>
      </c>
      <c r="O150" s="566">
        <f>VLOOKUP($A150,'01-02.2021'!$A$6:$CZ$403,15,FALSE)+VLOOKUP($A150,'1.3.21-28.2.22'!$A$6:$DA$404,15,FALSE)-VLOOKUP($A150,'01-02.2022'!$A$6:$DA$376,15,FALSE)</f>
        <v>0</v>
      </c>
      <c r="P150" s="566">
        <f>VLOOKUP($A150,'01-02.2021'!$A$6:$CZ$403,16,FALSE)+VLOOKUP($A150,'1.3.21-28.2.22'!$A$6:$DA$404,16,FALSE)-VLOOKUP($A150,'01-02.2022'!$A$6:$DA$376,16,FALSE)</f>
        <v>0</v>
      </c>
      <c r="Q150" s="70">
        <f t="shared" si="176"/>
        <v>0</v>
      </c>
      <c r="R150" s="566">
        <f>VLOOKUP($A150,'01-02.2021'!$A$6:$CZ$403,18,FALSE)+VLOOKUP($A150,'1.3.21-28.2.22'!$A$6:$DA$404,18,FALSE)-VLOOKUP($A150,'01-02.2022'!$A$6:$DA$376,18,FALSE)</f>
        <v>0</v>
      </c>
      <c r="S150" s="566">
        <f>VLOOKUP($A150,'01-02.2021'!$A$6:$CZ$403,19,FALSE)+VLOOKUP($A150,'1.3.21-28.2.22'!$A$6:$DA$404,19,FALSE)-VLOOKUP($A150,'01-02.2022'!$A$6:$DA$376,19,FALSE)</f>
        <v>0</v>
      </c>
      <c r="T150" s="70">
        <f t="shared" si="177"/>
        <v>0</v>
      </c>
      <c r="U150" s="566">
        <f>VLOOKUP($A150,'01-02.2021'!$A$6:$CZ$403,21,FALSE)+VLOOKUP($A150,'1.3.21-28.2.22'!$A$6:$DA$404,21,FALSE)-VLOOKUP($A150,'01-02.2022'!$A$6:$DA$376,21,FALSE)</f>
        <v>0</v>
      </c>
      <c r="V150" s="566">
        <f>VLOOKUP($A150,'01-02.2021'!$A$6:$CZ$403,22,FALSE)+VLOOKUP($A150,'1.3.21-28.2.22'!$A$6:$DA$404,22,FALSE)-VLOOKUP($A150,'01-02.2022'!$A$6:$DA$376,22,FALSE)</f>
        <v>0</v>
      </c>
      <c r="W150" s="70">
        <f t="shared" si="178"/>
        <v>0</v>
      </c>
      <c r="X150" s="566">
        <f>VLOOKUP($A150,'01-02.2021'!$A$6:$CZ$403,24,FALSE)+VLOOKUP($A150,'1.3.21-28.2.22'!$A$6:$DA$404,24,FALSE)-VLOOKUP($A150,'01-02.2022'!$A$6:$DA$376,24,FALSE)</f>
        <v>0</v>
      </c>
      <c r="Y150" s="566">
        <f>VLOOKUP($A150,'01-02.2021'!$A$6:$CZ$403,25,FALSE)+VLOOKUP($A150,'1.3.21-28.2.22'!$A$6:$DA$404,25,FALSE)-VLOOKUP($A150,'01-02.2022'!$A$6:$DA$376,25,FALSE)</f>
        <v>0</v>
      </c>
      <c r="Z150" s="70">
        <f t="shared" si="179"/>
        <v>0</v>
      </c>
      <c r="AA150" s="566">
        <f>VLOOKUP($A150,'01-02.2021'!$A$6:$CZ$403,27,FALSE)+VLOOKUP($A150,'1.3.21-28.2.22'!$A$6:$DA$404,27,FALSE)-VLOOKUP($A150,'01-02.2022'!$A$6:$DA$376,27,FALSE)</f>
        <v>48.22</v>
      </c>
      <c r="AB150" s="566">
        <f>VLOOKUP($A150,'01-02.2021'!$A$6:$CZ$403,28,FALSE)+VLOOKUP($A150,'1.3.21-28.2.22'!$A$6:$DA$404,28,FALSE)-VLOOKUP($A150,'01-02.2022'!$A$6:$DA$376,28,FALSE)</f>
        <v>0</v>
      </c>
      <c r="AC150" s="70">
        <f t="shared" si="180"/>
        <v>-48.22</v>
      </c>
      <c r="AD150" s="566">
        <f>VLOOKUP($A150,'01-02.2021'!$A$6:$CZ$403,30,FALSE)+VLOOKUP($A150,'1.3.21-28.2.22'!$A$6:$DA$404,30,FALSE)-VLOOKUP($A150,'01-02.2022'!$A$6:$DA$376,30,FALSE)</f>
        <v>362.0666826506922</v>
      </c>
      <c r="AE150" s="566">
        <f>VLOOKUP($A150,'01-02.2021'!$A$6:$CZ$403,31,FALSE)+VLOOKUP($A150,'1.3.21-28.2.22'!$A$6:$DA$404,31,FALSE)-VLOOKUP($A150,'01-02.2022'!$A$6:$DA$376,31,FALSE)</f>
        <v>1097.4969144615607</v>
      </c>
      <c r="AF150" s="68">
        <f t="shared" si="181"/>
        <v>735.43023181086846</v>
      </c>
      <c r="AG150" s="77">
        <f t="shared" si="150"/>
        <v>410.28668265069223</v>
      </c>
      <c r="AH150" s="53">
        <f t="shared" si="150"/>
        <v>1097.4969144615607</v>
      </c>
      <c r="AI150" s="52">
        <f t="shared" si="157"/>
        <v>687.21023181086844</v>
      </c>
      <c r="AJ150" s="566">
        <f>VLOOKUP($A150,'01-02.2021'!$A$6:$CZ$403,36,FALSE)+VLOOKUP($A150,'1.3.21-28.2.22'!$A$6:$DA$404,36,FALSE)-VLOOKUP($A150,'01-02.2022'!$A$6:$DA$376,36,FALSE)</f>
        <v>0</v>
      </c>
      <c r="AK150" s="566">
        <f>VLOOKUP($A150,'01-02.2021'!$A$6:$CZ$403,37,FALSE)+VLOOKUP($A150,'1.3.21-28.2.22'!$A$6:$DA$404,37,FALSE)-VLOOKUP($A150,'01-02.2022'!$A$6:$DA$376,37,FALSE)</f>
        <v>0</v>
      </c>
      <c r="AL150" s="70">
        <f t="shared" si="182"/>
        <v>0</v>
      </c>
      <c r="AM150" s="566">
        <f>VLOOKUP($A150,'01-02.2021'!$A$6:$CZ$403,39,FALSE)+VLOOKUP($A150,'1.3.21-28.2.22'!$A$6:$DA$404,39,FALSE)-VLOOKUP($A150,'01-02.2022'!$A$6:$DA$376,39,FALSE)</f>
        <v>0</v>
      </c>
      <c r="AN150" s="566">
        <f>VLOOKUP($A150,'01-02.2021'!$A$6:$CZ$403,40,FALSE)+VLOOKUP($A150,'1.3.21-28.2.22'!$A$6:$DA$404,40,FALSE)-VLOOKUP($A150,'01-02.2022'!$A$6:$DA$376,40,FALSE)</f>
        <v>0</v>
      </c>
      <c r="AO150" s="70">
        <f t="shared" si="183"/>
        <v>0</v>
      </c>
      <c r="AP150" s="566">
        <f>VLOOKUP($A150,'01-02.2021'!$A$6:$CZ$403,42,FALSE)+VLOOKUP($A150,'1.3.21-28.2.22'!$A$6:$DA$404,42,FALSE)-VLOOKUP($A150,'01-02.2022'!$A$6:$DA$376,42,FALSE)</f>
        <v>347.03995000851819</v>
      </c>
      <c r="AQ150" s="566">
        <f>VLOOKUP($A150,'01-02.2021'!$A$6:$CZ$403,43,FALSE)+VLOOKUP($A150,'1.3.21-28.2.22'!$A$6:$DA$404,43,FALSE)-VLOOKUP($A150,'01-02.2022'!$A$6:$DA$376,43,FALSE)</f>
        <v>299.17633281993915</v>
      </c>
      <c r="AR150" s="70">
        <f t="shared" si="184"/>
        <v>-47.863617188579042</v>
      </c>
      <c r="AS150" s="566">
        <f>VLOOKUP($A150,'01-02.2021'!$A$6:$CZ$403,45,FALSE)+VLOOKUP($A150,'1.3.21-28.2.22'!$A$6:$DA$404,45,FALSE)-VLOOKUP($A150,'01-02.2022'!$A$6:$DA$376,45,FALSE)</f>
        <v>2726.3094621504888</v>
      </c>
      <c r="AT150" s="566">
        <f>VLOOKUP($A150,'01-02.2021'!$A$6:$CZ$403,46,FALSE)+VLOOKUP($A150,'1.3.21-28.2.22'!$A$6:$DA$404,46,FALSE)-VLOOKUP($A150,'01-02.2022'!$A$6:$DA$376,46,FALSE)</f>
        <v>0</v>
      </c>
      <c r="AU150" s="78">
        <f t="shared" si="185"/>
        <v>-2726.3094621504888</v>
      </c>
      <c r="AV150" s="566">
        <f>VLOOKUP($A150,'01-02.2021'!$A$6:$CZ$403,48,FALSE)+VLOOKUP($A150,'1.3.21-28.2.22'!$A$6:$DA$404,48,FALSE)-VLOOKUP($A150,'01-02.2022'!$A$6:$DA$376,48,FALSE)</f>
        <v>0</v>
      </c>
      <c r="AW150" s="566">
        <f>VLOOKUP($A150,'01-02.2021'!$A$6:$CZ$403,49,FALSE)+VLOOKUP($A150,'1.3.21-28.2.22'!$A$6:$DA$404,49,FALSE)-VLOOKUP($A150,'01-02.2022'!$A$6:$DA$376,49,FALSE)</f>
        <v>0</v>
      </c>
      <c r="AX150" s="55">
        <f t="shared" si="186"/>
        <v>0</v>
      </c>
      <c r="AY150" s="566">
        <f>VLOOKUP($A150,'01-02.2021'!$A$6:$CZ$403,51,FALSE)+VLOOKUP($A150,'1.3.21-28.2.22'!$A$6:$DA$404,51,FALSE)-VLOOKUP($A150,'01-02.2022'!$A$6:$DA$376,51,FALSE)</f>
        <v>0</v>
      </c>
      <c r="AZ150" s="566">
        <f>VLOOKUP($A150,'01-02.2021'!$A$6:$CZ$403,52,FALSE)+VLOOKUP($A150,'1.3.21-28.2.22'!$A$6:$DA$404,52,FALSE)-VLOOKUP($A150,'01-02.2022'!$A$6:$DA$376,52,FALSE)</f>
        <v>0</v>
      </c>
      <c r="BA150" s="38">
        <f t="shared" si="187"/>
        <v>0</v>
      </c>
      <c r="BB150" s="566">
        <f>VLOOKUP($A150,'01-02.2021'!$A$6:$CZ$403,54,FALSE)+VLOOKUP($A150,'1.3.21-28.2.22'!$A$6:$DA$404,54,FALSE)-VLOOKUP($A150,'01-02.2022'!$A$6:$DA$376,54,FALSE)</f>
        <v>0</v>
      </c>
      <c r="BC150" s="566">
        <f>VLOOKUP($A150,'01-02.2021'!$A$6:$CZ$403,55,FALSE)+VLOOKUP($A150,'1.3.21-28.2.22'!$A$6:$DA$404,55,FALSE)-VLOOKUP($A150,'01-02.2022'!$A$6:$DA$376,55,FALSE)</f>
        <v>0</v>
      </c>
      <c r="BD150" s="55">
        <f t="shared" si="188"/>
        <v>0</v>
      </c>
      <c r="BE150" s="566">
        <f>VLOOKUP($A150,'01-02.2021'!$A$6:$CZ$403,57,FALSE)+VLOOKUP($A150,'1.3.21-28.2.22'!$A$6:$DA$404,57,FALSE)-VLOOKUP($A150,'01-02.2022'!$A$6:$DA$376,57,FALSE)</f>
        <v>0</v>
      </c>
      <c r="BF150" s="566">
        <f>VLOOKUP($A150,'01-02.2021'!$A$6:$CZ$403,58,FALSE)+VLOOKUP($A150,'1.3.21-28.2.22'!$A$6:$DA$404,58,FALSE)-VLOOKUP($A150,'01-02.2022'!$A$6:$DA$376,58,FALSE)</f>
        <v>0</v>
      </c>
      <c r="BG150" s="55">
        <f t="shared" si="189"/>
        <v>0</v>
      </c>
      <c r="BH150" s="566">
        <f>VLOOKUP($A150,'01-02.2021'!$A$6:$CZ$403,60,FALSE)+VLOOKUP($A150,'1.3.21-28.2.22'!$A$6:$DA$404,60,FALSE)-VLOOKUP($A150,'01-02.2022'!$A$6:$DA$376,60,FALSE)</f>
        <v>0</v>
      </c>
      <c r="BI150" s="566">
        <f>VLOOKUP($A150,'01-02.2021'!$A$6:$CZ$403,61,FALSE)+VLOOKUP($A150,'1.3.21-28.2.22'!$A$6:$DA$404,61,FALSE)-VLOOKUP($A150,'01-02.2022'!$A$6:$DA$376,61,FALSE)</f>
        <v>0</v>
      </c>
      <c r="BJ150" s="55">
        <f t="shared" si="190"/>
        <v>0</v>
      </c>
      <c r="BK150" s="566">
        <f>VLOOKUP($A150,'01-02.2021'!$A$6:$CZ$403,63,FALSE)+VLOOKUP($A150,'1.3.21-28.2.22'!$A$6:$DA$404,63,FALSE)-VLOOKUP($A150,'01-02.2022'!$A$6:$DA$376,63,FALSE)</f>
        <v>0</v>
      </c>
      <c r="BL150" s="566">
        <f>VLOOKUP($A150,'01-02.2021'!$A$6:$CZ$403,64,FALSE)+VLOOKUP($A150,'1.3.21-28.2.22'!$A$6:$DA$404,64,FALSE)-VLOOKUP($A150,'01-02.2022'!$A$6:$DA$376,64,FALSE)</f>
        <v>0</v>
      </c>
      <c r="BM150" s="55">
        <f t="shared" si="191"/>
        <v>0</v>
      </c>
      <c r="BN150" s="566">
        <f>VLOOKUP($A150,'01-02.2021'!$A$6:$CZ$403,66,FALSE)+VLOOKUP($A150,'1.3.21-28.2.22'!$A$6:$DA$404,66,FALSE)-VLOOKUP($A150,'01-02.2022'!$A$6:$DA$376,66,FALSE)</f>
        <v>12.055</v>
      </c>
      <c r="BO150" s="566">
        <f>VLOOKUP($A150,'01-02.2021'!$A$6:$CZ$403,67,FALSE)+VLOOKUP($A150,'1.3.21-28.2.22'!$A$6:$DA$404,67,FALSE)-VLOOKUP($A150,'01-02.2022'!$A$6:$DA$376,67,FALSE)</f>
        <v>0</v>
      </c>
      <c r="BP150" s="55">
        <f t="shared" si="192"/>
        <v>-12.055</v>
      </c>
      <c r="BQ150" s="77">
        <f t="shared" si="151"/>
        <v>12.055</v>
      </c>
      <c r="BR150" s="40">
        <f t="shared" si="152"/>
        <v>0</v>
      </c>
      <c r="BS150" s="55">
        <f t="shared" si="166"/>
        <v>-12.055</v>
      </c>
      <c r="BT150" s="566">
        <f>VLOOKUP($A150,'01-02.2021'!$A$6:$CZ$403,72,FALSE)+VLOOKUP($A150,'1.3.21-28.2.22'!$A$6:$DA$404,72,FALSE)-VLOOKUP($A150,'01-02.2022'!$A$6:$DA$376,72,FALSE)</f>
        <v>111.65938351958833</v>
      </c>
      <c r="BU150" s="566">
        <f>VLOOKUP($A150,'01-02.2021'!$A$6:$CZ$403,73,FALSE)+VLOOKUP($A150,'1.3.21-28.2.22'!$A$6:$DA$404,73,FALSE)-VLOOKUP($A150,'01-02.2022'!$A$6:$DA$376,73,FALSE)</f>
        <v>173.20043558022763</v>
      </c>
      <c r="BV150" s="70">
        <f t="shared" si="193"/>
        <v>61.541052060639302</v>
      </c>
      <c r="BW150" s="566">
        <f>VLOOKUP($A150,'01-02.2021'!$A$6:$CZ$403,75,FALSE)+VLOOKUP($A150,'1.3.21-28.2.22'!$A$6:$DA$404,75,FALSE)-VLOOKUP($A150,'01-02.2022'!$A$6:$DA$376,75,FALSE)</f>
        <v>0</v>
      </c>
      <c r="BX150" s="566">
        <f>VLOOKUP($A150,'01-02.2021'!$A$6:$CZ$403,76,FALSE)+VLOOKUP($A150,'1.3.21-28.2.22'!$A$6:$DA$404,76,FALSE)-VLOOKUP($A150,'01-02.2022'!$A$6:$DA$376,76,FALSE)</f>
        <v>5.403434492216431</v>
      </c>
      <c r="BY150" s="70">
        <f t="shared" si="194"/>
        <v>5.403434492216431</v>
      </c>
      <c r="BZ150" s="566">
        <f>VLOOKUP($A150,'01-02.2021'!$A$6:$CZ$403,78,FALSE)+VLOOKUP($A150,'1.3.21-28.2.22'!$A$6:$DA$404,78,FALSE)-VLOOKUP($A150,'01-02.2022'!$A$6:$DA$376,78,FALSE)</f>
        <v>0</v>
      </c>
      <c r="CA150" s="566">
        <f>VLOOKUP($A150,'01-02.2021'!$A$6:$CZ$403,79,FALSE)+VLOOKUP($A150,'1.3.21-28.2.22'!$A$6:$DA$404,79,FALSE)-VLOOKUP($A150,'01-02.2022'!$A$6:$DA$376,79,FALSE)</f>
        <v>10.560876924177713</v>
      </c>
      <c r="CB150" s="70">
        <f t="shared" si="195"/>
        <v>10.560876924177713</v>
      </c>
      <c r="CC150" s="566">
        <f>VLOOKUP($A150,'01-02.2021'!$A$6:$CZ$403,81,FALSE)+VLOOKUP($A150,'1.3.21-28.2.22'!$A$6:$DA$404,81,FALSE)-VLOOKUP($A150,'01-02.2022'!$A$6:$DA$376,81,FALSE)</f>
        <v>0</v>
      </c>
      <c r="CD150" s="566">
        <f>VLOOKUP($A150,'01-02.2021'!$A$6:$CZ$403,82,FALSE)+VLOOKUP($A150,'1.3.21-28.2.22'!$A$6:$DA$404,82,FALSE)-VLOOKUP($A150,'01-02.2022'!$A$6:$DA$376,82,FALSE)</f>
        <v>0</v>
      </c>
      <c r="CE150" s="70">
        <f t="shared" si="196"/>
        <v>0</v>
      </c>
      <c r="CF150" s="566">
        <f>VLOOKUP($A150,'01-02.2021'!$A$6:$CZ$403,84,FALSE)+VLOOKUP($A150,'1.3.21-28.2.22'!$A$6:$DA$404,84,FALSE)-VLOOKUP($A150,'01-02.2022'!$A$6:$DA$376,84,FALSE)</f>
        <v>0</v>
      </c>
      <c r="CG150" s="566">
        <f>VLOOKUP($A150,'01-02.2021'!$A$6:$CZ$403,85,FALSE)+VLOOKUP($A150,'1.3.21-28.2.22'!$A$6:$DA$404,85,FALSE)-VLOOKUP($A150,'01-02.2022'!$A$6:$DA$376,85,FALSE)</f>
        <v>0</v>
      </c>
      <c r="CH150" s="70">
        <f t="shared" si="197"/>
        <v>0</v>
      </c>
      <c r="CI150" s="566">
        <f>VLOOKUP($A150,'01-02.2021'!$A$6:$CZ$403,87,FALSE)+VLOOKUP($A150,'1.3.21-28.2.22'!$A$6:$DA$404,87,FALSE)-VLOOKUP($A150,'01-02.2022'!$A$6:$DA$376,87,FALSE)</f>
        <v>0</v>
      </c>
      <c r="CJ150" s="566">
        <f>VLOOKUP($A150,'01-02.2021'!$A$6:$CZ$403,88,FALSE)+VLOOKUP($A150,'1.3.21-28.2.22'!$A$6:$DA$404,88,FALSE)-VLOOKUP($A150,'01-02.2022'!$A$6:$DA$376,88,FALSE)</f>
        <v>0</v>
      </c>
      <c r="CK150" s="70">
        <f t="shared" si="198"/>
        <v>0</v>
      </c>
      <c r="CL150" s="566">
        <f>VLOOKUP($A150,'01-02.2021'!$A$6:$CZ$403,90,FALSE)+VLOOKUP($A150,'1.3.21-28.2.22'!$A$6:$DA$404,90,FALSE)-VLOOKUP($A150,'01-02.2022'!$A$6:$DA$376,90,FALSE)</f>
        <v>0</v>
      </c>
      <c r="CM150" s="566">
        <f>VLOOKUP($A150,'01-02.2021'!$A$6:$CZ$403,91,FALSE)+VLOOKUP($A150,'1.3.21-28.2.22'!$A$6:$DA$404,91,FALSE)-VLOOKUP($A150,'01-02.2022'!$A$6:$DA$376,91,FALSE)</f>
        <v>0</v>
      </c>
      <c r="CN150" s="52">
        <f t="shared" si="158"/>
        <v>0</v>
      </c>
      <c r="CO150" s="39">
        <f t="shared" si="153"/>
        <v>0</v>
      </c>
      <c r="CP150" s="40">
        <f t="shared" si="159"/>
        <v>0</v>
      </c>
      <c r="CQ150" s="52">
        <f t="shared" si="160"/>
        <v>0</v>
      </c>
      <c r="CR150" s="72">
        <f t="shared" si="154"/>
        <v>3607.3504783292869</v>
      </c>
      <c r="CS150" s="5">
        <f t="shared" si="154"/>
        <v>1585.8379942781214</v>
      </c>
      <c r="CT150" s="52">
        <f t="shared" si="161"/>
        <v>-2021.5124840511655</v>
      </c>
      <c r="CU150" s="77">
        <f t="shared" si="162"/>
        <v>4328.8205739951445</v>
      </c>
      <c r="CV150" s="65">
        <f t="shared" si="163"/>
        <v>1903.0055931337456</v>
      </c>
      <c r="CW150" s="35">
        <f t="shared" si="164"/>
        <v>-2425.8149808613989</v>
      </c>
      <c r="CX150" s="566">
        <f>VLOOKUP($A150,'01-02.2021'!$A$6:$CZ$403,102,FALSE)+VLOOKUP($A150,'1.3.21-28.2.22'!$A$6:$DA$404,102,FALSE)-VLOOKUP($A150,'01-02.2022'!$A$6:$DA$376,102,FALSE)</f>
        <v>122.76200635008442</v>
      </c>
      <c r="CY150" s="566">
        <f>VLOOKUP($A150,'01-02.2021'!$A$6:$CZ$403,103,FALSE)+VLOOKUP($A150,'1.3.21-28.2.22'!$A$6:$DA$404,103,FALSE)-VLOOKUP($A150,'01-02.2022'!$A$6:$DA$376,103,FALSE)</f>
        <v>2548.5769872114843</v>
      </c>
      <c r="CZ150" s="52">
        <f t="shared" si="165"/>
        <v>2425.8149808613998</v>
      </c>
      <c r="DA150" s="150">
        <f>'[2]побудинковий звіт'!DA150</f>
        <v>-9894.1860918920993</v>
      </c>
      <c r="DB150" s="2">
        <v>3</v>
      </c>
      <c r="DC150" s="414">
        <f>'[4]побудинковий звіт'!DC150</f>
        <v>402.76</v>
      </c>
      <c r="DD150" s="414">
        <f>'[4]побудинковий звіт'!DD150</f>
        <v>0</v>
      </c>
      <c r="DE150" s="557">
        <f>'[4]побудинковий звіт'!DE150</f>
        <v>-1.7956140625698822</v>
      </c>
      <c r="DF150" s="557">
        <f>'[4]побудинковий звіт'!DF150</f>
        <v>0</v>
      </c>
      <c r="DG150" s="321">
        <f>VLOOKUP(A150,'кошти 01.03.2021'!$A$6:$D$401,4,)</f>
        <v>-7280.784204331685</v>
      </c>
      <c r="DH150" s="40">
        <f>'[3]побудинковий звіт'!DJ150</f>
        <v>4610.466950484275</v>
      </c>
      <c r="DI150" s="422">
        <f>'[3]побудинковий звіт'!CU150+'[3]побудинковий звіт'!CX150</f>
        <v>404.55561406256976</v>
      </c>
      <c r="DJ150" s="306">
        <f>'[3]побудинковий звіт'!DM150</f>
        <v>1.6779577522296552</v>
      </c>
      <c r="DK150" s="306">
        <f t="shared" ref="DK150:DK153" si="200">DJ150</f>
        <v>1.6779577522296552</v>
      </c>
      <c r="DL150" s="306">
        <f>'[3]побудинковий звіт'!DO150</f>
        <v>1.6779577522296552</v>
      </c>
      <c r="DM150" s="28">
        <f t="shared" ref="DM150:DM153" si="201">F150*DJ150</f>
        <v>404.55561406256987</v>
      </c>
      <c r="DN150" s="28">
        <f>H150*DL150</f>
        <v>0</v>
      </c>
      <c r="DO150" s="423">
        <f t="shared" si="171"/>
        <v>404.55561406256987</v>
      </c>
      <c r="DP150" s="94">
        <f t="shared" si="172"/>
        <v>0</v>
      </c>
      <c r="DQ150" s="28">
        <f t="shared" si="173"/>
        <v>404.55561406256987</v>
      </c>
      <c r="DR150" s="318"/>
      <c r="DT150" s="8"/>
      <c r="DU150" s="5"/>
      <c r="DX150" s="5">
        <f t="shared" si="174"/>
        <v>3286.0373545805865</v>
      </c>
      <c r="DY150" s="5">
        <f t="shared" si="175"/>
        <v>0</v>
      </c>
      <c r="DZ150" s="159">
        <f>'[3]побудинковий звіт'!EA150</f>
        <v>341.55464534845242</v>
      </c>
    </row>
    <row r="151" spans="1:130" x14ac:dyDescent="0.3">
      <c r="A151" s="325">
        <v>150000689</v>
      </c>
      <c r="B151" s="41" t="s">
        <v>600</v>
      </c>
      <c r="C151" s="42" t="s">
        <v>94</v>
      </c>
      <c r="D151" s="42"/>
      <c r="E151" s="293">
        <f t="shared" si="149"/>
        <v>188.9</v>
      </c>
      <c r="F151" s="305">
        <f>'[3]побудинковий звіт'!F151</f>
        <v>188.9</v>
      </c>
      <c r="G151" s="508">
        <f>'[3]побудинковий звіт'!G151</f>
        <v>0</v>
      </c>
      <c r="H151" s="560">
        <f>'[3]побудинковий звіт'!H151</f>
        <v>0</v>
      </c>
      <c r="I151" s="566">
        <f>VLOOKUP($A151,'01-02.2021'!$A$6:$CZ$403,9,FALSE)+VLOOKUP($A151,'1.3.21-28.2.22'!$A$6:$DA$404,9,FALSE)-VLOOKUP($A151,'01-02.2022'!$A$6:$DA$376,9,FALSE)</f>
        <v>0</v>
      </c>
      <c r="J151" s="566">
        <f>VLOOKUP($A151,'01-02.2021'!$A$6:$CZ$403,10,FALSE)+VLOOKUP($A151,'1.3.21-28.2.22'!$A$6:$DA$404,10,FALSE)-VLOOKUP($A151,'01-02.2022'!$A$6:$DA$376,10,FALSE)</f>
        <v>0</v>
      </c>
      <c r="K151" s="52">
        <f t="shared" si="155"/>
        <v>0</v>
      </c>
      <c r="L151" s="566">
        <f>VLOOKUP($A151,'01-02.2021'!$A$6:$CZ$403,12,FALSE)+VLOOKUP($A151,'1.3.21-28.2.22'!$A$6:$DA$404,12,FALSE)-VLOOKUP($A151,'01-02.2022'!$A$6:$DA$376,12,FALSE)</f>
        <v>0</v>
      </c>
      <c r="M151" s="566">
        <f>VLOOKUP($A151,'01-02.2021'!$A$6:$CZ$403,13,FALSE)+VLOOKUP($A151,'1.3.21-28.2.22'!$A$6:$DA$404,13,FALSE)-VLOOKUP($A151,'01-02.2022'!$A$6:$DA$376,13,FALSE)</f>
        <v>0</v>
      </c>
      <c r="N151" s="52">
        <f t="shared" si="156"/>
        <v>0</v>
      </c>
      <c r="O151" s="566">
        <f>VLOOKUP($A151,'01-02.2021'!$A$6:$CZ$403,15,FALSE)+VLOOKUP($A151,'1.3.21-28.2.22'!$A$6:$DA$404,15,FALSE)-VLOOKUP($A151,'01-02.2022'!$A$6:$DA$376,15,FALSE)</f>
        <v>0</v>
      </c>
      <c r="P151" s="566">
        <f>VLOOKUP($A151,'01-02.2021'!$A$6:$CZ$403,16,FALSE)+VLOOKUP($A151,'1.3.21-28.2.22'!$A$6:$DA$404,16,FALSE)-VLOOKUP($A151,'01-02.2022'!$A$6:$DA$376,16,FALSE)</f>
        <v>0</v>
      </c>
      <c r="Q151" s="70">
        <f t="shared" si="176"/>
        <v>0</v>
      </c>
      <c r="R151" s="566">
        <f>VLOOKUP($A151,'01-02.2021'!$A$6:$CZ$403,18,FALSE)+VLOOKUP($A151,'1.3.21-28.2.22'!$A$6:$DA$404,18,FALSE)-VLOOKUP($A151,'01-02.2022'!$A$6:$DA$376,18,FALSE)</f>
        <v>0</v>
      </c>
      <c r="S151" s="566">
        <f>VLOOKUP($A151,'01-02.2021'!$A$6:$CZ$403,19,FALSE)+VLOOKUP($A151,'1.3.21-28.2.22'!$A$6:$DA$404,19,FALSE)-VLOOKUP($A151,'01-02.2022'!$A$6:$DA$376,19,FALSE)</f>
        <v>0</v>
      </c>
      <c r="T151" s="70">
        <f t="shared" si="177"/>
        <v>0</v>
      </c>
      <c r="U151" s="566">
        <f>VLOOKUP($A151,'01-02.2021'!$A$6:$CZ$403,21,FALSE)+VLOOKUP($A151,'1.3.21-28.2.22'!$A$6:$DA$404,21,FALSE)-VLOOKUP($A151,'01-02.2022'!$A$6:$DA$376,21,FALSE)</f>
        <v>0</v>
      </c>
      <c r="V151" s="566">
        <f>VLOOKUP($A151,'01-02.2021'!$A$6:$CZ$403,22,FALSE)+VLOOKUP($A151,'1.3.21-28.2.22'!$A$6:$DA$404,22,FALSE)-VLOOKUP($A151,'01-02.2022'!$A$6:$DA$376,22,FALSE)</f>
        <v>0</v>
      </c>
      <c r="W151" s="70">
        <f t="shared" si="178"/>
        <v>0</v>
      </c>
      <c r="X151" s="566">
        <f>VLOOKUP($A151,'01-02.2021'!$A$6:$CZ$403,24,FALSE)+VLOOKUP($A151,'1.3.21-28.2.22'!$A$6:$DA$404,24,FALSE)-VLOOKUP($A151,'01-02.2022'!$A$6:$DA$376,24,FALSE)</f>
        <v>0</v>
      </c>
      <c r="Y151" s="566">
        <f>VLOOKUP($A151,'01-02.2021'!$A$6:$CZ$403,25,FALSE)+VLOOKUP($A151,'1.3.21-28.2.22'!$A$6:$DA$404,25,FALSE)-VLOOKUP($A151,'01-02.2022'!$A$6:$DA$376,25,FALSE)</f>
        <v>0</v>
      </c>
      <c r="Z151" s="70">
        <f t="shared" si="179"/>
        <v>0</v>
      </c>
      <c r="AA151" s="566">
        <f>VLOOKUP($A151,'01-02.2021'!$A$6:$CZ$403,27,FALSE)+VLOOKUP($A151,'1.3.21-28.2.22'!$A$6:$DA$404,27,FALSE)-VLOOKUP($A151,'01-02.2022'!$A$6:$DA$376,27,FALSE)</f>
        <v>37.14</v>
      </c>
      <c r="AB151" s="566">
        <f>VLOOKUP($A151,'01-02.2021'!$A$6:$CZ$403,28,FALSE)+VLOOKUP($A151,'1.3.21-28.2.22'!$A$6:$DA$404,28,FALSE)-VLOOKUP($A151,'01-02.2022'!$A$6:$DA$376,28,FALSE)</f>
        <v>0</v>
      </c>
      <c r="AC151" s="70">
        <f t="shared" si="180"/>
        <v>-37.14</v>
      </c>
      <c r="AD151" s="566">
        <f>VLOOKUP($A151,'01-02.2021'!$A$6:$CZ$403,30,FALSE)+VLOOKUP($A151,'1.3.21-28.2.22'!$A$6:$DA$404,30,FALSE)-VLOOKUP($A151,'01-02.2022'!$A$6:$DA$376,30,FALSE)</f>
        <v>278.90864010456187</v>
      </c>
      <c r="AE151" s="566">
        <f>VLOOKUP($A151,'01-02.2021'!$A$6:$CZ$403,31,FALSE)+VLOOKUP($A151,'1.3.21-28.2.22'!$A$6:$DA$404,31,FALSE)-VLOOKUP($A151,'01-02.2022'!$A$6:$DA$376,31,FALSE)</f>
        <v>859.88041120609228</v>
      </c>
      <c r="AF151" s="68">
        <f t="shared" si="181"/>
        <v>580.97177110153041</v>
      </c>
      <c r="AG151" s="77">
        <f t="shared" si="150"/>
        <v>316.04864010456185</v>
      </c>
      <c r="AH151" s="53">
        <f t="shared" si="150"/>
        <v>859.88041120609228</v>
      </c>
      <c r="AI151" s="52">
        <f t="shared" si="157"/>
        <v>543.83177110153042</v>
      </c>
      <c r="AJ151" s="566">
        <f>VLOOKUP($A151,'01-02.2021'!$A$6:$CZ$403,36,FALSE)+VLOOKUP($A151,'1.3.21-28.2.22'!$A$6:$DA$404,36,FALSE)-VLOOKUP($A151,'01-02.2022'!$A$6:$DA$376,36,FALSE)</f>
        <v>0</v>
      </c>
      <c r="AK151" s="566">
        <f>VLOOKUP($A151,'01-02.2021'!$A$6:$CZ$403,37,FALSE)+VLOOKUP($A151,'1.3.21-28.2.22'!$A$6:$DA$404,37,FALSE)-VLOOKUP($A151,'01-02.2022'!$A$6:$DA$376,37,FALSE)</f>
        <v>0</v>
      </c>
      <c r="AL151" s="70">
        <f t="shared" si="182"/>
        <v>0</v>
      </c>
      <c r="AM151" s="566">
        <f>VLOOKUP($A151,'01-02.2021'!$A$6:$CZ$403,39,FALSE)+VLOOKUP($A151,'1.3.21-28.2.22'!$A$6:$DA$404,39,FALSE)-VLOOKUP($A151,'01-02.2022'!$A$6:$DA$376,39,FALSE)</f>
        <v>0</v>
      </c>
      <c r="AN151" s="566">
        <f>VLOOKUP($A151,'01-02.2021'!$A$6:$CZ$403,40,FALSE)+VLOOKUP($A151,'1.3.21-28.2.22'!$A$6:$DA$404,40,FALSE)-VLOOKUP($A151,'01-02.2022'!$A$6:$DA$376,40,FALSE)</f>
        <v>0</v>
      </c>
      <c r="AO151" s="70">
        <f t="shared" si="183"/>
        <v>0</v>
      </c>
      <c r="AP151" s="566">
        <f>VLOOKUP($A151,'01-02.2021'!$A$6:$CZ$403,42,FALSE)+VLOOKUP($A151,'1.3.21-28.2.22'!$A$6:$DA$404,42,FALSE)-VLOOKUP($A151,'01-02.2022'!$A$6:$DA$376,42,FALSE)</f>
        <v>347.03995000851819</v>
      </c>
      <c r="AQ151" s="566">
        <f>VLOOKUP($A151,'01-02.2021'!$A$6:$CZ$403,43,FALSE)+VLOOKUP($A151,'1.3.21-28.2.22'!$A$6:$DA$404,43,FALSE)-VLOOKUP($A151,'01-02.2022'!$A$6:$DA$376,43,FALSE)</f>
        <v>299.17633281993915</v>
      </c>
      <c r="AR151" s="70">
        <f t="shared" si="184"/>
        <v>-47.863617188579042</v>
      </c>
      <c r="AS151" s="566">
        <f>VLOOKUP($A151,'01-02.2021'!$A$6:$CZ$403,45,FALSE)+VLOOKUP($A151,'1.3.21-28.2.22'!$A$6:$DA$404,45,FALSE)-VLOOKUP($A151,'01-02.2022'!$A$6:$DA$376,45,FALSE)</f>
        <v>1765.3244624061356</v>
      </c>
      <c r="AT151" s="566">
        <f>VLOOKUP($A151,'01-02.2021'!$A$6:$CZ$403,46,FALSE)+VLOOKUP($A151,'1.3.21-28.2.22'!$A$6:$DA$404,46,FALSE)-VLOOKUP($A151,'01-02.2022'!$A$6:$DA$376,46,FALSE)</f>
        <v>0</v>
      </c>
      <c r="AU151" s="78">
        <f t="shared" si="185"/>
        <v>-1765.3244624061356</v>
      </c>
      <c r="AV151" s="566">
        <f>VLOOKUP($A151,'01-02.2021'!$A$6:$CZ$403,48,FALSE)+VLOOKUP($A151,'1.3.21-28.2.22'!$A$6:$DA$404,48,FALSE)-VLOOKUP($A151,'01-02.2022'!$A$6:$DA$376,48,FALSE)</f>
        <v>0</v>
      </c>
      <c r="AW151" s="566">
        <f>VLOOKUP($A151,'01-02.2021'!$A$6:$CZ$403,49,FALSE)+VLOOKUP($A151,'1.3.21-28.2.22'!$A$6:$DA$404,49,FALSE)-VLOOKUP($A151,'01-02.2022'!$A$6:$DA$376,49,FALSE)</f>
        <v>0</v>
      </c>
      <c r="AX151" s="55">
        <f t="shared" si="186"/>
        <v>0</v>
      </c>
      <c r="AY151" s="566">
        <f>VLOOKUP($A151,'01-02.2021'!$A$6:$CZ$403,51,FALSE)+VLOOKUP($A151,'1.3.21-28.2.22'!$A$6:$DA$404,51,FALSE)-VLOOKUP($A151,'01-02.2022'!$A$6:$DA$376,51,FALSE)</f>
        <v>0</v>
      </c>
      <c r="AZ151" s="566">
        <f>VLOOKUP($A151,'01-02.2021'!$A$6:$CZ$403,52,FALSE)+VLOOKUP($A151,'1.3.21-28.2.22'!$A$6:$DA$404,52,FALSE)-VLOOKUP($A151,'01-02.2022'!$A$6:$DA$376,52,FALSE)</f>
        <v>0</v>
      </c>
      <c r="BA151" s="38">
        <f t="shared" si="187"/>
        <v>0</v>
      </c>
      <c r="BB151" s="566">
        <f>VLOOKUP($A151,'01-02.2021'!$A$6:$CZ$403,54,FALSE)+VLOOKUP($A151,'1.3.21-28.2.22'!$A$6:$DA$404,54,FALSE)-VLOOKUP($A151,'01-02.2022'!$A$6:$DA$376,54,FALSE)</f>
        <v>0</v>
      </c>
      <c r="BC151" s="566">
        <f>VLOOKUP($A151,'01-02.2021'!$A$6:$CZ$403,55,FALSE)+VLOOKUP($A151,'1.3.21-28.2.22'!$A$6:$DA$404,55,FALSE)-VLOOKUP($A151,'01-02.2022'!$A$6:$DA$376,55,FALSE)</f>
        <v>0</v>
      </c>
      <c r="BD151" s="55">
        <f t="shared" si="188"/>
        <v>0</v>
      </c>
      <c r="BE151" s="566">
        <f>VLOOKUP($A151,'01-02.2021'!$A$6:$CZ$403,57,FALSE)+VLOOKUP($A151,'1.3.21-28.2.22'!$A$6:$DA$404,57,FALSE)-VLOOKUP($A151,'01-02.2022'!$A$6:$DA$376,57,FALSE)</f>
        <v>0</v>
      </c>
      <c r="BF151" s="566">
        <f>VLOOKUP($A151,'01-02.2021'!$A$6:$CZ$403,58,FALSE)+VLOOKUP($A151,'1.3.21-28.2.22'!$A$6:$DA$404,58,FALSE)-VLOOKUP($A151,'01-02.2022'!$A$6:$DA$376,58,FALSE)</f>
        <v>0</v>
      </c>
      <c r="BG151" s="55">
        <f t="shared" si="189"/>
        <v>0</v>
      </c>
      <c r="BH151" s="566">
        <f>VLOOKUP($A151,'01-02.2021'!$A$6:$CZ$403,60,FALSE)+VLOOKUP($A151,'1.3.21-28.2.22'!$A$6:$DA$404,60,FALSE)-VLOOKUP($A151,'01-02.2022'!$A$6:$DA$376,60,FALSE)</f>
        <v>0</v>
      </c>
      <c r="BI151" s="566">
        <f>VLOOKUP($A151,'01-02.2021'!$A$6:$CZ$403,61,FALSE)+VLOOKUP($A151,'1.3.21-28.2.22'!$A$6:$DA$404,61,FALSE)-VLOOKUP($A151,'01-02.2022'!$A$6:$DA$376,61,FALSE)</f>
        <v>0</v>
      </c>
      <c r="BJ151" s="55">
        <f t="shared" si="190"/>
        <v>0</v>
      </c>
      <c r="BK151" s="566">
        <f>VLOOKUP($A151,'01-02.2021'!$A$6:$CZ$403,63,FALSE)+VLOOKUP($A151,'1.3.21-28.2.22'!$A$6:$DA$404,63,FALSE)-VLOOKUP($A151,'01-02.2022'!$A$6:$DA$376,63,FALSE)</f>
        <v>0</v>
      </c>
      <c r="BL151" s="566">
        <f>VLOOKUP($A151,'01-02.2021'!$A$6:$CZ$403,64,FALSE)+VLOOKUP($A151,'1.3.21-28.2.22'!$A$6:$DA$404,64,FALSE)-VLOOKUP($A151,'01-02.2022'!$A$6:$DA$376,64,FALSE)</f>
        <v>0</v>
      </c>
      <c r="BM151" s="55">
        <f t="shared" si="191"/>
        <v>0</v>
      </c>
      <c r="BN151" s="566">
        <f>VLOOKUP($A151,'01-02.2021'!$A$6:$CZ$403,66,FALSE)+VLOOKUP($A151,'1.3.21-28.2.22'!$A$6:$DA$404,66,FALSE)-VLOOKUP($A151,'01-02.2022'!$A$6:$DA$376,66,FALSE)</f>
        <v>9.2850000000000001</v>
      </c>
      <c r="BO151" s="566">
        <f>VLOOKUP($A151,'01-02.2021'!$A$6:$CZ$403,67,FALSE)+VLOOKUP($A151,'1.3.21-28.2.22'!$A$6:$DA$404,67,FALSE)-VLOOKUP($A151,'01-02.2022'!$A$6:$DA$376,67,FALSE)</f>
        <v>0</v>
      </c>
      <c r="BP151" s="55">
        <f t="shared" si="192"/>
        <v>-9.2850000000000001</v>
      </c>
      <c r="BQ151" s="77">
        <f t="shared" si="151"/>
        <v>9.2850000000000001</v>
      </c>
      <c r="BR151" s="40">
        <f t="shared" si="152"/>
        <v>0</v>
      </c>
      <c r="BS151" s="55">
        <f t="shared" si="166"/>
        <v>-9.2850000000000001</v>
      </c>
      <c r="BT151" s="566">
        <f>VLOOKUP($A151,'01-02.2021'!$A$6:$CZ$403,72,FALSE)+VLOOKUP($A151,'1.3.21-28.2.22'!$A$6:$DA$404,72,FALSE)-VLOOKUP($A151,'01-02.2022'!$A$6:$DA$376,72,FALSE)</f>
        <v>55.829691759794166</v>
      </c>
      <c r="BU151" s="566">
        <f>VLOOKUP($A151,'01-02.2021'!$A$6:$CZ$403,73,FALSE)+VLOOKUP($A151,'1.3.21-28.2.22'!$A$6:$DA$404,73,FALSE)-VLOOKUP($A151,'01-02.2022'!$A$6:$DA$376,73,FALSE)</f>
        <v>86.656986732550635</v>
      </c>
      <c r="BV151" s="70">
        <f t="shared" si="193"/>
        <v>30.827294972756469</v>
      </c>
      <c r="BW151" s="566">
        <f>VLOOKUP($A151,'01-02.2021'!$A$6:$CZ$403,75,FALSE)+VLOOKUP($A151,'1.3.21-28.2.22'!$A$6:$DA$404,75,FALSE)-VLOOKUP($A151,'01-02.2022'!$A$6:$DA$376,75,FALSE)</f>
        <v>0</v>
      </c>
      <c r="BX151" s="566">
        <f>VLOOKUP($A151,'01-02.2021'!$A$6:$CZ$403,76,FALSE)+VLOOKUP($A151,'1.3.21-28.2.22'!$A$6:$DA$404,76,FALSE)-VLOOKUP($A151,'01-02.2022'!$A$6:$DA$376,76,FALSE)</f>
        <v>4.2335494632089752</v>
      </c>
      <c r="BY151" s="70">
        <f t="shared" si="194"/>
        <v>4.2335494632089752</v>
      </c>
      <c r="BZ151" s="566">
        <f>VLOOKUP($A151,'01-02.2021'!$A$6:$CZ$403,78,FALSE)+VLOOKUP($A151,'1.3.21-28.2.22'!$A$6:$DA$404,78,FALSE)-VLOOKUP($A151,'01-02.2022'!$A$6:$DA$376,78,FALSE)</f>
        <v>0</v>
      </c>
      <c r="CA151" s="566">
        <f>VLOOKUP($A151,'01-02.2021'!$A$6:$CZ$403,79,FALSE)+VLOOKUP($A151,'1.3.21-28.2.22'!$A$6:$DA$404,79,FALSE)-VLOOKUP($A151,'01-02.2022'!$A$6:$DA$376,79,FALSE)</f>
        <v>5.2822322096409273</v>
      </c>
      <c r="CB151" s="70">
        <f t="shared" si="195"/>
        <v>5.2822322096409273</v>
      </c>
      <c r="CC151" s="566">
        <f>VLOOKUP($A151,'01-02.2021'!$A$6:$CZ$403,81,FALSE)+VLOOKUP($A151,'1.3.21-28.2.22'!$A$6:$DA$404,81,FALSE)-VLOOKUP($A151,'01-02.2022'!$A$6:$DA$376,81,FALSE)</f>
        <v>0</v>
      </c>
      <c r="CD151" s="566">
        <f>VLOOKUP($A151,'01-02.2021'!$A$6:$CZ$403,82,FALSE)+VLOOKUP($A151,'1.3.21-28.2.22'!$A$6:$DA$404,82,FALSE)-VLOOKUP($A151,'01-02.2022'!$A$6:$DA$376,82,FALSE)</f>
        <v>0</v>
      </c>
      <c r="CE151" s="70">
        <f t="shared" si="196"/>
        <v>0</v>
      </c>
      <c r="CF151" s="566">
        <f>VLOOKUP($A151,'01-02.2021'!$A$6:$CZ$403,84,FALSE)+VLOOKUP($A151,'1.3.21-28.2.22'!$A$6:$DA$404,84,FALSE)-VLOOKUP($A151,'01-02.2022'!$A$6:$DA$376,84,FALSE)</f>
        <v>0</v>
      </c>
      <c r="CG151" s="566">
        <f>VLOOKUP($A151,'01-02.2021'!$A$6:$CZ$403,85,FALSE)+VLOOKUP($A151,'1.3.21-28.2.22'!$A$6:$DA$404,85,FALSE)-VLOOKUP($A151,'01-02.2022'!$A$6:$DA$376,85,FALSE)</f>
        <v>0</v>
      </c>
      <c r="CH151" s="70">
        <f t="shared" si="197"/>
        <v>0</v>
      </c>
      <c r="CI151" s="566">
        <f>VLOOKUP($A151,'01-02.2021'!$A$6:$CZ$403,87,FALSE)+VLOOKUP($A151,'1.3.21-28.2.22'!$A$6:$DA$404,87,FALSE)-VLOOKUP($A151,'01-02.2022'!$A$6:$DA$376,87,FALSE)</f>
        <v>0</v>
      </c>
      <c r="CJ151" s="566">
        <f>VLOOKUP($A151,'01-02.2021'!$A$6:$CZ$403,88,FALSE)+VLOOKUP($A151,'1.3.21-28.2.22'!$A$6:$DA$404,88,FALSE)-VLOOKUP($A151,'01-02.2022'!$A$6:$DA$376,88,FALSE)</f>
        <v>0</v>
      </c>
      <c r="CK151" s="70">
        <f t="shared" si="198"/>
        <v>0</v>
      </c>
      <c r="CL151" s="566">
        <f>VLOOKUP($A151,'01-02.2021'!$A$6:$CZ$403,90,FALSE)+VLOOKUP($A151,'1.3.21-28.2.22'!$A$6:$DA$404,90,FALSE)-VLOOKUP($A151,'01-02.2022'!$A$6:$DA$376,90,FALSE)</f>
        <v>0</v>
      </c>
      <c r="CM151" s="566">
        <f>VLOOKUP($A151,'01-02.2021'!$A$6:$CZ$403,91,FALSE)+VLOOKUP($A151,'1.3.21-28.2.22'!$A$6:$DA$404,91,FALSE)-VLOOKUP($A151,'01-02.2022'!$A$6:$DA$376,91,FALSE)</f>
        <v>0</v>
      </c>
      <c r="CN151" s="52">
        <f t="shared" si="158"/>
        <v>0</v>
      </c>
      <c r="CO151" s="39">
        <f t="shared" si="153"/>
        <v>0</v>
      </c>
      <c r="CP151" s="40">
        <f t="shared" si="159"/>
        <v>0</v>
      </c>
      <c r="CQ151" s="52">
        <f t="shared" si="160"/>
        <v>0</v>
      </c>
      <c r="CR151" s="72">
        <f t="shared" si="154"/>
        <v>2493.5277442790098</v>
      </c>
      <c r="CS151" s="5">
        <f t="shared" si="154"/>
        <v>1255.2295124314319</v>
      </c>
      <c r="CT151" s="52">
        <f t="shared" si="161"/>
        <v>-1238.2982318475779</v>
      </c>
      <c r="CU151" s="77">
        <f t="shared" si="162"/>
        <v>2992.2332931348114</v>
      </c>
      <c r="CV151" s="65">
        <f t="shared" si="163"/>
        <v>1506.2754149177183</v>
      </c>
      <c r="CW151" s="35">
        <f t="shared" si="164"/>
        <v>-1485.9578782170931</v>
      </c>
      <c r="CX151" s="566">
        <f>VLOOKUP($A151,'01-02.2021'!$A$6:$CZ$403,102,FALSE)+VLOOKUP($A151,'1.3.21-28.2.22'!$A$6:$DA$404,102,FALSE)-VLOOKUP($A151,'01-02.2022'!$A$6:$DA$376,102,FALSE)</f>
        <v>103.96032540642939</v>
      </c>
      <c r="CY151" s="566">
        <f>VLOOKUP($A151,'01-02.2021'!$A$6:$CZ$403,103,FALSE)+VLOOKUP($A151,'1.3.21-28.2.22'!$A$6:$DA$404,103,FALSE)-VLOOKUP($A151,'01-02.2022'!$A$6:$DA$376,103,FALSE)</f>
        <v>1589.9182036235229</v>
      </c>
      <c r="CZ151" s="52">
        <f t="shared" si="165"/>
        <v>1485.9578782170936</v>
      </c>
      <c r="DA151" s="150">
        <f>'[2]побудинковий звіт'!DA151</f>
        <v>-5448.9944347291803</v>
      </c>
      <c r="DB151" s="2">
        <v>3</v>
      </c>
      <c r="DC151" s="414">
        <f>'[4]побудинковий звіт'!DC151</f>
        <v>353.22</v>
      </c>
      <c r="DD151" s="414">
        <f>'[4]побудинковий звіт'!DD151</f>
        <v>0</v>
      </c>
      <c r="DE151" s="557">
        <f>'[4]побудинковий звіт'!DE151</f>
        <v>69.851172110467189</v>
      </c>
      <c r="DF151" s="557">
        <f>'[4]побудинковий звіт'!DF151</f>
        <v>0</v>
      </c>
      <c r="DG151" s="321">
        <f>VLOOKUP(A151,'кошти 01.03.2021'!$A$6:$D$401,4,)</f>
        <v>-3805.1108268462444</v>
      </c>
      <c r="DH151" s="40">
        <f>'[3]побудинковий звіт'!DJ151</f>
        <v>3216.2725778169238</v>
      </c>
      <c r="DI151" s="422">
        <f>'[3]побудинковий звіт'!CU151+'[3]побудинковий звіт'!CX151</f>
        <v>283.36882788953284</v>
      </c>
      <c r="DJ151" s="306">
        <f>'[3]побудинковий звіт'!DM151</f>
        <v>1.5000996711992209</v>
      </c>
      <c r="DK151" s="306">
        <f t="shared" si="200"/>
        <v>1.5000996711992209</v>
      </c>
      <c r="DL151" s="306">
        <f>'[3]побудинковий звіт'!DO151</f>
        <v>1.5000996711992209</v>
      </c>
      <c r="DM151" s="28">
        <f t="shared" si="201"/>
        <v>283.36882788953284</v>
      </c>
      <c r="DN151" s="28">
        <f>H151*DL151</f>
        <v>0</v>
      </c>
      <c r="DO151" s="423">
        <f t="shared" si="171"/>
        <v>283.36882788953284</v>
      </c>
      <c r="DP151" s="94">
        <f t="shared" si="172"/>
        <v>0</v>
      </c>
      <c r="DQ151" s="28">
        <f t="shared" si="173"/>
        <v>283.36882788953284</v>
      </c>
      <c r="DR151" s="318"/>
      <c r="DT151" s="8"/>
      <c r="DU151" s="5"/>
      <c r="DX151" s="5">
        <f t="shared" si="174"/>
        <v>2129.5313548873628</v>
      </c>
      <c r="DY151" s="5">
        <f t="shared" si="175"/>
        <v>0</v>
      </c>
      <c r="DZ151" s="159">
        <f>'[3]побудинковий звіт'!EA151</f>
        <v>229.00588304553386</v>
      </c>
    </row>
    <row r="152" spans="1:130" x14ac:dyDescent="0.3">
      <c r="A152" s="325">
        <v>150000693</v>
      </c>
      <c r="B152" s="41" t="s">
        <v>601</v>
      </c>
      <c r="C152" s="42" t="s">
        <v>95</v>
      </c>
      <c r="D152" s="42"/>
      <c r="E152" s="293">
        <f t="shared" si="149"/>
        <v>165.8</v>
      </c>
      <c r="F152" s="305">
        <f>'[3]побудинковий звіт'!F152</f>
        <v>165.8</v>
      </c>
      <c r="G152" s="508">
        <f>'[3]побудинковий звіт'!G152</f>
        <v>0</v>
      </c>
      <c r="H152" s="560">
        <f>'[3]побудинковий звіт'!H152</f>
        <v>0</v>
      </c>
      <c r="I152" s="566"/>
      <c r="J152" s="566"/>
      <c r="K152" s="52">
        <f t="shared" si="155"/>
        <v>0</v>
      </c>
      <c r="L152" s="566"/>
      <c r="M152" s="566"/>
      <c r="N152" s="52">
        <f t="shared" si="156"/>
        <v>0</v>
      </c>
      <c r="O152" s="566"/>
      <c r="P152" s="566"/>
      <c r="Q152" s="70"/>
      <c r="R152" s="566"/>
      <c r="S152" s="566"/>
      <c r="T152" s="70"/>
      <c r="U152" s="566"/>
      <c r="V152" s="566"/>
      <c r="W152" s="70"/>
      <c r="X152" s="566"/>
      <c r="Y152" s="566"/>
      <c r="Z152" s="70"/>
      <c r="AA152" s="566"/>
      <c r="AB152" s="566"/>
      <c r="AC152" s="70"/>
      <c r="AD152" s="566"/>
      <c r="AE152" s="566"/>
      <c r="AF152" s="68"/>
      <c r="AG152" s="77">
        <f t="shared" si="150"/>
        <v>0</v>
      </c>
      <c r="AH152" s="53">
        <f t="shared" si="150"/>
        <v>0</v>
      </c>
      <c r="AI152" s="52">
        <f t="shared" si="157"/>
        <v>0</v>
      </c>
      <c r="AJ152" s="566"/>
      <c r="AK152" s="566"/>
      <c r="AL152" s="70"/>
      <c r="AM152" s="566"/>
      <c r="AN152" s="566"/>
      <c r="AO152" s="70"/>
      <c r="AP152" s="566"/>
      <c r="AQ152" s="566"/>
      <c r="AR152" s="70"/>
      <c r="AS152" s="566"/>
      <c r="AT152" s="566"/>
      <c r="AU152" s="78"/>
      <c r="AV152" s="566"/>
      <c r="AW152" s="566"/>
      <c r="AX152" s="55"/>
      <c r="AY152" s="566"/>
      <c r="AZ152" s="566"/>
      <c r="BA152" s="38"/>
      <c r="BB152" s="566"/>
      <c r="BC152" s="566"/>
      <c r="BD152" s="55"/>
      <c r="BE152" s="566"/>
      <c r="BF152" s="566"/>
      <c r="BG152" s="55"/>
      <c r="BH152" s="566"/>
      <c r="BI152" s="566"/>
      <c r="BJ152" s="55"/>
      <c r="BK152" s="566"/>
      <c r="BL152" s="566"/>
      <c r="BM152" s="55"/>
      <c r="BN152" s="566"/>
      <c r="BO152" s="566"/>
      <c r="BP152" s="55"/>
      <c r="BQ152" s="77">
        <f t="shared" si="151"/>
        <v>0</v>
      </c>
      <c r="BR152" s="40">
        <f t="shared" si="152"/>
        <v>0</v>
      </c>
      <c r="BS152" s="55">
        <f t="shared" si="166"/>
        <v>0</v>
      </c>
      <c r="BT152" s="566"/>
      <c r="BU152" s="566"/>
      <c r="BV152" s="70"/>
      <c r="BW152" s="566"/>
      <c r="BX152" s="566"/>
      <c r="BY152" s="70"/>
      <c r="BZ152" s="566"/>
      <c r="CA152" s="566"/>
      <c r="CB152" s="70"/>
      <c r="CC152" s="566"/>
      <c r="CD152" s="566"/>
      <c r="CE152" s="70"/>
      <c r="CF152" s="566"/>
      <c r="CG152" s="566"/>
      <c r="CH152" s="70"/>
      <c r="CI152" s="566"/>
      <c r="CJ152" s="566"/>
      <c r="CK152" s="70"/>
      <c r="CL152" s="566"/>
      <c r="CM152" s="566"/>
      <c r="CN152" s="52">
        <f t="shared" si="158"/>
        <v>0</v>
      </c>
      <c r="CO152" s="39">
        <f t="shared" si="153"/>
        <v>0</v>
      </c>
      <c r="CP152" s="40">
        <f t="shared" si="159"/>
        <v>0</v>
      </c>
      <c r="CQ152" s="52">
        <f t="shared" si="160"/>
        <v>0</v>
      </c>
      <c r="CR152" s="72">
        <f t="shared" si="154"/>
        <v>0</v>
      </c>
      <c r="CS152" s="5">
        <f t="shared" si="154"/>
        <v>0</v>
      </c>
      <c r="CT152" s="52">
        <f t="shared" si="161"/>
        <v>0</v>
      </c>
      <c r="CU152" s="77">
        <f t="shared" si="162"/>
        <v>0</v>
      </c>
      <c r="CV152" s="65">
        <f t="shared" si="163"/>
        <v>0</v>
      </c>
      <c r="CW152" s="35">
        <f t="shared" si="164"/>
        <v>0</v>
      </c>
      <c r="CX152" s="566"/>
      <c r="CY152" s="566"/>
      <c r="CZ152" s="52">
        <f t="shared" si="165"/>
        <v>0</v>
      </c>
      <c r="DA152" s="150">
        <f>'[2]побудинковий звіт'!DA152</f>
        <v>-4679.9027846768458</v>
      </c>
      <c r="DB152" s="2">
        <v>3</v>
      </c>
      <c r="DC152" s="414">
        <f>'[4]побудинковий звіт'!DC152</f>
        <v>2401.81</v>
      </c>
      <c r="DD152" s="414">
        <f>'[4]побудинковий звіт'!DD152</f>
        <v>0</v>
      </c>
      <c r="DE152" s="557">
        <f>'[4]побудинковий звіт'!DE152</f>
        <v>2160.0028350876864</v>
      </c>
      <c r="DF152" s="557">
        <f>'[4]побудинковий звіт'!DF152</f>
        <v>0</v>
      </c>
      <c r="DG152" s="321">
        <f>VLOOKUP(A152,'кошти 01.03.2021'!$A$6:$D$401,4,)</f>
        <v>-3497.6776933598803</v>
      </c>
      <c r="DH152" s="40">
        <f>'[3]побудинковий звіт'!DJ152</f>
        <v>2755.6539358145865</v>
      </c>
      <c r="DI152" s="422">
        <f>'[3]побудинковий звіт'!CU152+'[3]побудинковий звіт'!CX152</f>
        <v>241.80716491231357</v>
      </c>
      <c r="DJ152" s="306">
        <f>'[3]побудинковий звіт'!DM152</f>
        <v>1.4584268088800576</v>
      </c>
      <c r="DK152" s="306">
        <f t="shared" si="200"/>
        <v>1.4584268088800576</v>
      </c>
      <c r="DL152" s="306">
        <f>'[3]побудинковий звіт'!DO152</f>
        <v>1.4584268088800576</v>
      </c>
      <c r="DM152" s="28">
        <f t="shared" si="201"/>
        <v>241.80716491231357</v>
      </c>
      <c r="DN152" s="28">
        <f>H152*DL152</f>
        <v>0</v>
      </c>
      <c r="DO152" s="423">
        <f t="shared" si="171"/>
        <v>241.80716491231357</v>
      </c>
      <c r="DP152" s="94">
        <f t="shared" si="172"/>
        <v>0</v>
      </c>
      <c r="DQ152" s="28">
        <f t="shared" si="173"/>
        <v>241.80716491231357</v>
      </c>
      <c r="DR152" s="318"/>
      <c r="DT152" s="8"/>
      <c r="DU152" s="5"/>
      <c r="DX152" s="5">
        <f t="shared" si="174"/>
        <v>0</v>
      </c>
      <c r="DY152" s="5">
        <f t="shared" si="175"/>
        <v>0</v>
      </c>
      <c r="DZ152" s="159">
        <f>'[3]побудинковий звіт'!EA152</f>
        <v>207.3801157135311</v>
      </c>
    </row>
    <row r="153" spans="1:130" x14ac:dyDescent="0.3">
      <c r="A153" s="325">
        <v>150000690</v>
      </c>
      <c r="B153" s="41" t="s">
        <v>602</v>
      </c>
      <c r="C153" s="42" t="s">
        <v>96</v>
      </c>
      <c r="D153" s="42"/>
      <c r="E153" s="293">
        <f t="shared" si="149"/>
        <v>142.1</v>
      </c>
      <c r="F153" s="305">
        <f>'[3]побудинковий звіт'!F153</f>
        <v>142.1</v>
      </c>
      <c r="G153" s="508">
        <f>'[3]побудинковий звіт'!G153</f>
        <v>0</v>
      </c>
      <c r="H153" s="560">
        <f>'[3]побудинковий звіт'!H153</f>
        <v>0</v>
      </c>
      <c r="I153" s="566">
        <f>VLOOKUP($A153,'01-02.2021'!$A$6:$CZ$403,9,FALSE)+VLOOKUP($A153,'1.3.21-28.2.22'!$A$6:$DA$404,9,FALSE)-VLOOKUP($A153,'01-02.2022'!$A$6:$DA$376,9,FALSE)</f>
        <v>0</v>
      </c>
      <c r="J153" s="566">
        <f>VLOOKUP($A153,'01-02.2021'!$A$6:$CZ$403,10,FALSE)+VLOOKUP($A153,'1.3.21-28.2.22'!$A$6:$DA$404,10,FALSE)-VLOOKUP($A153,'01-02.2022'!$A$6:$DA$376,10,FALSE)</f>
        <v>0</v>
      </c>
      <c r="K153" s="52">
        <f t="shared" si="155"/>
        <v>0</v>
      </c>
      <c r="L153" s="566">
        <f>VLOOKUP($A153,'01-02.2021'!$A$6:$CZ$403,12,FALSE)+VLOOKUP($A153,'1.3.21-28.2.22'!$A$6:$DA$404,12,FALSE)-VLOOKUP($A153,'01-02.2022'!$A$6:$DA$376,12,FALSE)</f>
        <v>0</v>
      </c>
      <c r="M153" s="566">
        <f>VLOOKUP($A153,'01-02.2021'!$A$6:$CZ$403,13,FALSE)+VLOOKUP($A153,'1.3.21-28.2.22'!$A$6:$DA$404,13,FALSE)-VLOOKUP($A153,'01-02.2022'!$A$6:$DA$376,13,FALSE)</f>
        <v>0</v>
      </c>
      <c r="N153" s="52">
        <f t="shared" si="156"/>
        <v>0</v>
      </c>
      <c r="O153" s="566">
        <f>VLOOKUP($A153,'01-02.2021'!$A$6:$CZ$403,15,FALSE)+VLOOKUP($A153,'1.3.21-28.2.22'!$A$6:$DA$404,15,FALSE)-VLOOKUP($A153,'01-02.2022'!$A$6:$DA$376,15,FALSE)</f>
        <v>0</v>
      </c>
      <c r="P153" s="566">
        <f>VLOOKUP($A153,'01-02.2021'!$A$6:$CZ$403,16,FALSE)+VLOOKUP($A153,'1.3.21-28.2.22'!$A$6:$DA$404,16,FALSE)-VLOOKUP($A153,'01-02.2022'!$A$6:$DA$376,16,FALSE)</f>
        <v>0</v>
      </c>
      <c r="Q153" s="70">
        <f t="shared" si="176"/>
        <v>0</v>
      </c>
      <c r="R153" s="566">
        <f>VLOOKUP($A153,'01-02.2021'!$A$6:$CZ$403,18,FALSE)+VLOOKUP($A153,'1.3.21-28.2.22'!$A$6:$DA$404,18,FALSE)-VLOOKUP($A153,'01-02.2022'!$A$6:$DA$376,18,FALSE)</f>
        <v>0</v>
      </c>
      <c r="S153" s="566">
        <f>VLOOKUP($A153,'01-02.2021'!$A$6:$CZ$403,19,FALSE)+VLOOKUP($A153,'1.3.21-28.2.22'!$A$6:$DA$404,19,FALSE)-VLOOKUP($A153,'01-02.2022'!$A$6:$DA$376,19,FALSE)</f>
        <v>0</v>
      </c>
      <c r="T153" s="70">
        <f t="shared" si="177"/>
        <v>0</v>
      </c>
      <c r="U153" s="566">
        <f>VLOOKUP($A153,'01-02.2021'!$A$6:$CZ$403,21,FALSE)+VLOOKUP($A153,'1.3.21-28.2.22'!$A$6:$DA$404,21,FALSE)-VLOOKUP($A153,'01-02.2022'!$A$6:$DA$376,21,FALSE)</f>
        <v>0</v>
      </c>
      <c r="V153" s="566">
        <f>VLOOKUP($A153,'01-02.2021'!$A$6:$CZ$403,22,FALSE)+VLOOKUP($A153,'1.3.21-28.2.22'!$A$6:$DA$404,22,FALSE)-VLOOKUP($A153,'01-02.2022'!$A$6:$DA$376,22,FALSE)</f>
        <v>0</v>
      </c>
      <c r="W153" s="70">
        <f t="shared" si="178"/>
        <v>0</v>
      </c>
      <c r="X153" s="566">
        <f>VLOOKUP($A153,'01-02.2021'!$A$6:$CZ$403,24,FALSE)+VLOOKUP($A153,'1.3.21-28.2.22'!$A$6:$DA$404,24,FALSE)-VLOOKUP($A153,'01-02.2022'!$A$6:$DA$376,24,FALSE)</f>
        <v>0</v>
      </c>
      <c r="Y153" s="566">
        <f>VLOOKUP($A153,'01-02.2021'!$A$6:$CZ$403,25,FALSE)+VLOOKUP($A153,'1.3.21-28.2.22'!$A$6:$DA$404,25,FALSE)-VLOOKUP($A153,'01-02.2022'!$A$6:$DA$376,25,FALSE)</f>
        <v>0</v>
      </c>
      <c r="Z153" s="70">
        <f t="shared" si="179"/>
        <v>0</v>
      </c>
      <c r="AA153" s="566">
        <f>VLOOKUP($A153,'01-02.2021'!$A$6:$CZ$403,27,FALSE)+VLOOKUP($A153,'1.3.21-28.2.22'!$A$6:$DA$404,27,FALSE)-VLOOKUP($A153,'01-02.2022'!$A$6:$DA$376,27,FALSE)</f>
        <v>28.42</v>
      </c>
      <c r="AB153" s="566">
        <f>VLOOKUP($A153,'01-02.2021'!$A$6:$CZ$403,28,FALSE)+VLOOKUP($A153,'1.3.21-28.2.22'!$A$6:$DA$404,28,FALSE)-VLOOKUP($A153,'01-02.2022'!$A$6:$DA$376,28,FALSE)</f>
        <v>0</v>
      </c>
      <c r="AC153" s="70">
        <f t="shared" si="180"/>
        <v>-28.42</v>
      </c>
      <c r="AD153" s="566">
        <f>VLOOKUP($A153,'01-02.2021'!$A$6:$CZ$403,30,FALSE)+VLOOKUP($A153,'1.3.21-28.2.22'!$A$6:$DA$404,30,FALSE)-VLOOKUP($A153,'01-02.2022'!$A$6:$DA$376,30,FALSE)</f>
        <v>213.37154857808429</v>
      </c>
      <c r="AE153" s="566">
        <f>VLOOKUP($A153,'01-02.2021'!$A$6:$CZ$403,31,FALSE)+VLOOKUP($A153,'1.3.21-28.2.22'!$A$6:$DA$404,31,FALSE)-VLOOKUP($A153,'01-02.2022'!$A$6:$DA$376,31,FALSE)</f>
        <v>646.84492552877555</v>
      </c>
      <c r="AF153" s="68">
        <f t="shared" si="181"/>
        <v>433.47337695069126</v>
      </c>
      <c r="AG153" s="77">
        <f t="shared" si="150"/>
        <v>241.7915485780843</v>
      </c>
      <c r="AH153" s="53">
        <f t="shared" si="150"/>
        <v>646.84492552877555</v>
      </c>
      <c r="AI153" s="52">
        <f t="shared" si="157"/>
        <v>405.05337695069124</v>
      </c>
      <c r="AJ153" s="566">
        <f>VLOOKUP($A153,'01-02.2021'!$A$6:$CZ$403,36,FALSE)+VLOOKUP($A153,'1.3.21-28.2.22'!$A$6:$DA$404,36,FALSE)-VLOOKUP($A153,'01-02.2022'!$A$6:$DA$376,36,FALSE)</f>
        <v>0</v>
      </c>
      <c r="AK153" s="566">
        <f>VLOOKUP($A153,'01-02.2021'!$A$6:$CZ$403,37,FALSE)+VLOOKUP($A153,'1.3.21-28.2.22'!$A$6:$DA$404,37,FALSE)-VLOOKUP($A153,'01-02.2022'!$A$6:$DA$376,37,FALSE)</f>
        <v>0</v>
      </c>
      <c r="AL153" s="70">
        <f t="shared" si="182"/>
        <v>0</v>
      </c>
      <c r="AM153" s="566">
        <f>VLOOKUP($A153,'01-02.2021'!$A$6:$CZ$403,39,FALSE)+VLOOKUP($A153,'1.3.21-28.2.22'!$A$6:$DA$404,39,FALSE)-VLOOKUP($A153,'01-02.2022'!$A$6:$DA$376,39,FALSE)</f>
        <v>0</v>
      </c>
      <c r="AN153" s="566">
        <f>VLOOKUP($A153,'01-02.2021'!$A$6:$CZ$403,40,FALSE)+VLOOKUP($A153,'1.3.21-28.2.22'!$A$6:$DA$404,40,FALSE)-VLOOKUP($A153,'01-02.2022'!$A$6:$DA$376,40,FALSE)</f>
        <v>0</v>
      </c>
      <c r="AO153" s="70">
        <f t="shared" si="183"/>
        <v>0</v>
      </c>
      <c r="AP153" s="566">
        <f>VLOOKUP($A153,'01-02.2021'!$A$6:$CZ$403,42,FALSE)+VLOOKUP($A153,'1.3.21-28.2.22'!$A$6:$DA$404,42,FALSE)-VLOOKUP($A153,'01-02.2022'!$A$6:$DA$376,42,FALSE)</f>
        <v>347.03995000851819</v>
      </c>
      <c r="AQ153" s="566">
        <f>VLOOKUP($A153,'01-02.2021'!$A$6:$CZ$403,43,FALSE)+VLOOKUP($A153,'1.3.21-28.2.22'!$A$6:$DA$404,43,FALSE)-VLOOKUP($A153,'01-02.2022'!$A$6:$DA$376,43,FALSE)</f>
        <v>299.17633281993915</v>
      </c>
      <c r="AR153" s="70">
        <f t="shared" si="184"/>
        <v>-47.863617188579042</v>
      </c>
      <c r="AS153" s="566">
        <f>VLOOKUP($A153,'01-02.2021'!$A$6:$CZ$403,45,FALSE)+VLOOKUP($A153,'1.3.21-28.2.22'!$A$6:$DA$404,45,FALSE)-VLOOKUP($A153,'01-02.2022'!$A$6:$DA$376,45,FALSE)</f>
        <v>1414.0429063845984</v>
      </c>
      <c r="AT153" s="566">
        <f>VLOOKUP($A153,'01-02.2021'!$A$6:$CZ$403,46,FALSE)+VLOOKUP($A153,'1.3.21-28.2.22'!$A$6:$DA$404,46,FALSE)-VLOOKUP($A153,'01-02.2022'!$A$6:$DA$376,46,FALSE)</f>
        <v>355</v>
      </c>
      <c r="AU153" s="78">
        <f t="shared" si="185"/>
        <v>-1059.0429063845984</v>
      </c>
      <c r="AV153" s="566">
        <f>VLOOKUP($A153,'01-02.2021'!$A$6:$CZ$403,48,FALSE)+VLOOKUP($A153,'1.3.21-28.2.22'!$A$6:$DA$404,48,FALSE)-VLOOKUP($A153,'01-02.2022'!$A$6:$DA$376,48,FALSE)</f>
        <v>0</v>
      </c>
      <c r="AW153" s="566">
        <f>VLOOKUP($A153,'01-02.2021'!$A$6:$CZ$403,49,FALSE)+VLOOKUP($A153,'1.3.21-28.2.22'!$A$6:$DA$404,49,FALSE)-VLOOKUP($A153,'01-02.2022'!$A$6:$DA$376,49,FALSE)</f>
        <v>0</v>
      </c>
      <c r="AX153" s="55">
        <f t="shared" si="186"/>
        <v>0</v>
      </c>
      <c r="AY153" s="566">
        <f>VLOOKUP($A153,'01-02.2021'!$A$6:$CZ$403,51,FALSE)+VLOOKUP($A153,'1.3.21-28.2.22'!$A$6:$DA$404,51,FALSE)-VLOOKUP($A153,'01-02.2022'!$A$6:$DA$376,51,FALSE)</f>
        <v>0</v>
      </c>
      <c r="AZ153" s="566">
        <f>VLOOKUP($A153,'01-02.2021'!$A$6:$CZ$403,52,FALSE)+VLOOKUP($A153,'1.3.21-28.2.22'!$A$6:$DA$404,52,FALSE)-VLOOKUP($A153,'01-02.2022'!$A$6:$DA$376,52,FALSE)</f>
        <v>0</v>
      </c>
      <c r="BA153" s="38">
        <f t="shared" si="187"/>
        <v>0</v>
      </c>
      <c r="BB153" s="566">
        <f>VLOOKUP($A153,'01-02.2021'!$A$6:$CZ$403,54,FALSE)+VLOOKUP($A153,'1.3.21-28.2.22'!$A$6:$DA$404,54,FALSE)-VLOOKUP($A153,'01-02.2022'!$A$6:$DA$376,54,FALSE)</f>
        <v>0</v>
      </c>
      <c r="BC153" s="566">
        <f>VLOOKUP($A153,'01-02.2021'!$A$6:$CZ$403,55,FALSE)+VLOOKUP($A153,'1.3.21-28.2.22'!$A$6:$DA$404,55,FALSE)-VLOOKUP($A153,'01-02.2022'!$A$6:$DA$376,55,FALSE)</f>
        <v>0</v>
      </c>
      <c r="BD153" s="55">
        <f t="shared" si="188"/>
        <v>0</v>
      </c>
      <c r="BE153" s="566">
        <f>VLOOKUP($A153,'01-02.2021'!$A$6:$CZ$403,57,FALSE)+VLOOKUP($A153,'1.3.21-28.2.22'!$A$6:$DA$404,57,FALSE)-VLOOKUP($A153,'01-02.2022'!$A$6:$DA$376,57,FALSE)</f>
        <v>0</v>
      </c>
      <c r="BF153" s="566">
        <f>VLOOKUP($A153,'01-02.2021'!$A$6:$CZ$403,58,FALSE)+VLOOKUP($A153,'1.3.21-28.2.22'!$A$6:$DA$404,58,FALSE)-VLOOKUP($A153,'01-02.2022'!$A$6:$DA$376,58,FALSE)</f>
        <v>0</v>
      </c>
      <c r="BG153" s="55">
        <f t="shared" si="189"/>
        <v>0</v>
      </c>
      <c r="BH153" s="566">
        <f>VLOOKUP($A153,'01-02.2021'!$A$6:$CZ$403,60,FALSE)+VLOOKUP($A153,'1.3.21-28.2.22'!$A$6:$DA$404,60,FALSE)-VLOOKUP($A153,'01-02.2022'!$A$6:$DA$376,60,FALSE)</f>
        <v>0</v>
      </c>
      <c r="BI153" s="566">
        <f>VLOOKUP($A153,'01-02.2021'!$A$6:$CZ$403,61,FALSE)+VLOOKUP($A153,'1.3.21-28.2.22'!$A$6:$DA$404,61,FALSE)-VLOOKUP($A153,'01-02.2022'!$A$6:$DA$376,61,FALSE)</f>
        <v>0</v>
      </c>
      <c r="BJ153" s="55">
        <f t="shared" si="190"/>
        <v>0</v>
      </c>
      <c r="BK153" s="566">
        <f>VLOOKUP($A153,'01-02.2021'!$A$6:$CZ$403,63,FALSE)+VLOOKUP($A153,'1.3.21-28.2.22'!$A$6:$DA$404,63,FALSE)-VLOOKUP($A153,'01-02.2022'!$A$6:$DA$376,63,FALSE)</f>
        <v>0</v>
      </c>
      <c r="BL153" s="566">
        <f>VLOOKUP($A153,'01-02.2021'!$A$6:$CZ$403,64,FALSE)+VLOOKUP($A153,'1.3.21-28.2.22'!$A$6:$DA$404,64,FALSE)-VLOOKUP($A153,'01-02.2022'!$A$6:$DA$376,64,FALSE)</f>
        <v>0</v>
      </c>
      <c r="BM153" s="55">
        <f t="shared" si="191"/>
        <v>0</v>
      </c>
      <c r="BN153" s="566">
        <f>VLOOKUP($A153,'01-02.2021'!$A$6:$CZ$403,66,FALSE)+VLOOKUP($A153,'1.3.21-28.2.22'!$A$6:$DA$404,66,FALSE)-VLOOKUP($A153,'01-02.2022'!$A$6:$DA$376,66,FALSE)</f>
        <v>7.1050000000000004</v>
      </c>
      <c r="BO153" s="566">
        <f>VLOOKUP($A153,'01-02.2021'!$A$6:$CZ$403,67,FALSE)+VLOOKUP($A153,'1.3.21-28.2.22'!$A$6:$DA$404,67,FALSE)-VLOOKUP($A153,'01-02.2022'!$A$6:$DA$376,67,FALSE)</f>
        <v>0</v>
      </c>
      <c r="BP153" s="55">
        <f t="shared" si="192"/>
        <v>-7.1050000000000004</v>
      </c>
      <c r="BQ153" s="77">
        <f t="shared" si="151"/>
        <v>7.1050000000000004</v>
      </c>
      <c r="BR153" s="40">
        <f t="shared" si="152"/>
        <v>0</v>
      </c>
      <c r="BS153" s="55">
        <f t="shared" si="166"/>
        <v>-7.1050000000000004</v>
      </c>
      <c r="BT153" s="566">
        <f>VLOOKUP($A153,'01-02.2021'!$A$6:$CZ$403,72,FALSE)+VLOOKUP($A153,'1.3.21-28.2.22'!$A$6:$DA$404,72,FALSE)-VLOOKUP($A153,'01-02.2022'!$A$6:$DA$376,72,FALSE)</f>
        <v>0</v>
      </c>
      <c r="BU153" s="566">
        <f>VLOOKUP($A153,'01-02.2021'!$A$6:$CZ$403,73,FALSE)+VLOOKUP($A153,'1.3.21-28.2.22'!$A$6:$DA$404,73,FALSE)-VLOOKUP($A153,'01-02.2022'!$A$6:$DA$376,73,FALSE)</f>
        <v>0</v>
      </c>
      <c r="BV153" s="70">
        <f t="shared" si="193"/>
        <v>0</v>
      </c>
      <c r="BW153" s="566">
        <f>VLOOKUP($A153,'01-02.2021'!$A$6:$CZ$403,75,FALSE)+VLOOKUP($A153,'1.3.21-28.2.22'!$A$6:$DA$404,75,FALSE)-VLOOKUP($A153,'01-02.2022'!$A$6:$DA$376,75,FALSE)</f>
        <v>0</v>
      </c>
      <c r="BX153" s="566">
        <f>VLOOKUP($A153,'01-02.2021'!$A$6:$CZ$403,76,FALSE)+VLOOKUP($A153,'1.3.21-28.2.22'!$A$6:$DA$404,76,FALSE)-VLOOKUP($A153,'01-02.2022'!$A$6:$DA$376,76,FALSE)</f>
        <v>3.1846870234091864</v>
      </c>
      <c r="BY153" s="70">
        <f t="shared" si="194"/>
        <v>3.1846870234091864</v>
      </c>
      <c r="BZ153" s="566">
        <f>VLOOKUP($A153,'01-02.2021'!$A$6:$CZ$403,78,FALSE)+VLOOKUP($A153,'1.3.21-28.2.22'!$A$6:$DA$404,78,FALSE)-VLOOKUP($A153,'01-02.2022'!$A$6:$DA$376,78,FALSE)</f>
        <v>0</v>
      </c>
      <c r="CA153" s="566">
        <f>VLOOKUP($A153,'01-02.2021'!$A$6:$CZ$403,79,FALSE)+VLOOKUP($A153,'1.3.21-28.2.22'!$A$6:$DA$404,79,FALSE)-VLOOKUP($A153,'01-02.2022'!$A$6:$DA$376,79,FALSE)</f>
        <v>0</v>
      </c>
      <c r="CB153" s="70">
        <f t="shared" si="195"/>
        <v>0</v>
      </c>
      <c r="CC153" s="566">
        <f>VLOOKUP($A153,'01-02.2021'!$A$6:$CZ$403,81,FALSE)+VLOOKUP($A153,'1.3.21-28.2.22'!$A$6:$DA$404,81,FALSE)-VLOOKUP($A153,'01-02.2022'!$A$6:$DA$376,81,FALSE)</f>
        <v>0</v>
      </c>
      <c r="CD153" s="566">
        <f>VLOOKUP($A153,'01-02.2021'!$A$6:$CZ$403,82,FALSE)+VLOOKUP($A153,'1.3.21-28.2.22'!$A$6:$DA$404,82,FALSE)-VLOOKUP($A153,'01-02.2022'!$A$6:$DA$376,82,FALSE)</f>
        <v>0</v>
      </c>
      <c r="CE153" s="70">
        <f t="shared" si="196"/>
        <v>0</v>
      </c>
      <c r="CF153" s="566">
        <f>VLOOKUP($A153,'01-02.2021'!$A$6:$CZ$403,84,FALSE)+VLOOKUP($A153,'1.3.21-28.2.22'!$A$6:$DA$404,84,FALSE)-VLOOKUP($A153,'01-02.2022'!$A$6:$DA$376,84,FALSE)</f>
        <v>0</v>
      </c>
      <c r="CG153" s="566">
        <f>VLOOKUP($A153,'01-02.2021'!$A$6:$CZ$403,85,FALSE)+VLOOKUP($A153,'1.3.21-28.2.22'!$A$6:$DA$404,85,FALSE)-VLOOKUP($A153,'01-02.2022'!$A$6:$DA$376,85,FALSE)</f>
        <v>0</v>
      </c>
      <c r="CH153" s="70">
        <f t="shared" si="197"/>
        <v>0</v>
      </c>
      <c r="CI153" s="566">
        <f>VLOOKUP($A153,'01-02.2021'!$A$6:$CZ$403,87,FALSE)+VLOOKUP($A153,'1.3.21-28.2.22'!$A$6:$DA$404,87,FALSE)-VLOOKUP($A153,'01-02.2022'!$A$6:$DA$376,87,FALSE)</f>
        <v>0</v>
      </c>
      <c r="CJ153" s="566">
        <f>VLOOKUP($A153,'01-02.2021'!$A$6:$CZ$403,88,FALSE)+VLOOKUP($A153,'1.3.21-28.2.22'!$A$6:$DA$404,88,FALSE)-VLOOKUP($A153,'01-02.2022'!$A$6:$DA$376,88,FALSE)</f>
        <v>0</v>
      </c>
      <c r="CK153" s="70">
        <f t="shared" si="198"/>
        <v>0</v>
      </c>
      <c r="CL153" s="566">
        <f>VLOOKUP($A153,'01-02.2021'!$A$6:$CZ$403,90,FALSE)+VLOOKUP($A153,'1.3.21-28.2.22'!$A$6:$DA$404,90,FALSE)-VLOOKUP($A153,'01-02.2022'!$A$6:$DA$376,90,FALSE)</f>
        <v>0</v>
      </c>
      <c r="CM153" s="566">
        <f>VLOOKUP($A153,'01-02.2021'!$A$6:$CZ$403,91,FALSE)+VLOOKUP($A153,'1.3.21-28.2.22'!$A$6:$DA$404,91,FALSE)-VLOOKUP($A153,'01-02.2022'!$A$6:$DA$376,91,FALSE)</f>
        <v>0</v>
      </c>
      <c r="CN153" s="52">
        <f t="shared" si="158"/>
        <v>0</v>
      </c>
      <c r="CO153" s="39">
        <f t="shared" si="153"/>
        <v>0</v>
      </c>
      <c r="CP153" s="40">
        <f t="shared" si="159"/>
        <v>0</v>
      </c>
      <c r="CQ153" s="52">
        <f t="shared" si="160"/>
        <v>0</v>
      </c>
      <c r="CR153" s="72">
        <f t="shared" si="154"/>
        <v>2009.9794049712009</v>
      </c>
      <c r="CS153" s="5">
        <f t="shared" si="154"/>
        <v>1304.2059453721238</v>
      </c>
      <c r="CT153" s="52">
        <f t="shared" si="161"/>
        <v>-705.77345959907711</v>
      </c>
      <c r="CU153" s="77">
        <f t="shared" si="162"/>
        <v>2411.9752859654409</v>
      </c>
      <c r="CV153" s="65">
        <f t="shared" si="163"/>
        <v>1565.0471344465484</v>
      </c>
      <c r="CW153" s="35">
        <f t="shared" si="164"/>
        <v>-846.92815151889249</v>
      </c>
      <c r="CX153" s="566">
        <f>VLOOKUP($A153,'01-02.2021'!$A$6:$CZ$403,102,FALSE)+VLOOKUP($A153,'1.3.21-28.2.22'!$A$6:$DA$404,102,FALSE)-VLOOKUP($A153,'01-02.2022'!$A$6:$DA$376,102,FALSE)</f>
        <v>44.627701199868561</v>
      </c>
      <c r="CY153" s="566">
        <f>VLOOKUP($A153,'01-02.2021'!$A$6:$CZ$403,103,FALSE)+VLOOKUP($A153,'1.3.21-28.2.22'!$A$6:$DA$404,103,FALSE)-VLOOKUP($A153,'01-02.2022'!$A$6:$DA$376,103,FALSE)</f>
        <v>891.555852718761</v>
      </c>
      <c r="CZ153" s="52">
        <f t="shared" si="165"/>
        <v>846.92815151889249</v>
      </c>
      <c r="DA153" s="150">
        <f>'[2]побудинковий звіт'!DA153</f>
        <v>-4576.9047531913711</v>
      </c>
      <c r="DB153" s="2">
        <v>3</v>
      </c>
      <c r="DC153" s="414">
        <f>'[4]побудинковий звіт'!DC153</f>
        <v>426.46</v>
      </c>
      <c r="DD153" s="414">
        <f>'[4]побудинковий звіт'!DD153</f>
        <v>0</v>
      </c>
      <c r="DE153" s="557">
        <f>'[4]побудинковий звіт'!DE153</f>
        <v>203.13984986047623</v>
      </c>
      <c r="DF153" s="557">
        <f>'[4]побудинковий звіт'!DF153</f>
        <v>0</v>
      </c>
      <c r="DG153" s="321">
        <f>VLOOKUP(A153,'кошти 01.03.2021'!$A$6:$D$401,4,)</f>
        <v>-3571.1652726671809</v>
      </c>
      <c r="DH153" s="40">
        <f>'[3]побудинковий звіт'!DJ153</f>
        <v>2544.6025921342543</v>
      </c>
      <c r="DI153" s="422">
        <f>'[3]побудинковий звіт'!CU153+'[3]побудинковий звіт'!CX153</f>
        <v>223.32015013952378</v>
      </c>
      <c r="DJ153" s="306">
        <f>'[3]побудинковий звіт'!DM153</f>
        <v>1.5715703739586471</v>
      </c>
      <c r="DK153" s="306">
        <f t="shared" si="200"/>
        <v>1.5715703739586471</v>
      </c>
      <c r="DL153" s="306">
        <f>'[3]побудинковий звіт'!DO153</f>
        <v>1.5715703739586471</v>
      </c>
      <c r="DM153" s="28">
        <f t="shared" si="201"/>
        <v>223.32015013952375</v>
      </c>
      <c r="DN153" s="28">
        <f>H153*DL153</f>
        <v>0</v>
      </c>
      <c r="DO153" s="423">
        <f t="shared" si="171"/>
        <v>223.32015013952375</v>
      </c>
      <c r="DP153" s="94">
        <f t="shared" si="172"/>
        <v>0</v>
      </c>
      <c r="DQ153" s="28">
        <f t="shared" si="173"/>
        <v>223.32015013952375</v>
      </c>
      <c r="DR153" s="318"/>
      <c r="DT153" s="8"/>
      <c r="DU153" s="5"/>
      <c r="DX153" s="5">
        <f t="shared" si="174"/>
        <v>1705.377487661518</v>
      </c>
      <c r="DY153" s="5">
        <f t="shared" si="175"/>
        <v>426</v>
      </c>
      <c r="DZ153" s="159">
        <f>'[3]побудинковий звіт'!EA153</f>
        <v>185.43944442377779</v>
      </c>
    </row>
    <row r="154" spans="1:130" x14ac:dyDescent="0.3">
      <c r="A154" s="325">
        <v>150000648</v>
      </c>
      <c r="B154" s="41" t="s">
        <v>603</v>
      </c>
      <c r="C154" s="42" t="s">
        <v>362</v>
      </c>
      <c r="D154" s="42"/>
      <c r="E154" s="293">
        <f t="shared" si="149"/>
        <v>3815</v>
      </c>
      <c r="F154" s="305">
        <f>'[3]побудинковий звіт'!F154</f>
        <v>3815</v>
      </c>
      <c r="G154" s="508">
        <f>'[3]побудинковий звіт'!G154</f>
        <v>314.8</v>
      </c>
      <c r="H154" s="560">
        <f>'[3]побудинковий звіт'!H154</f>
        <v>0</v>
      </c>
      <c r="I154" s="566">
        <f>VLOOKUP($A154,'01-02.2021'!$A$6:$CZ$403,9,FALSE)+VLOOKUP($A154,'1.3.21-28.2.22'!$A$6:$DA$404,9,FALSE)-VLOOKUP($A154,'01-02.2022'!$A$6:$DA$376,9,FALSE)</f>
        <v>8038.3048039938958</v>
      </c>
      <c r="J154" s="566">
        <f>VLOOKUP($A154,'01-02.2021'!$A$6:$CZ$403,10,FALSE)+VLOOKUP($A154,'1.3.21-28.2.22'!$A$6:$DA$404,10,FALSE)-VLOOKUP($A154,'01-02.2022'!$A$6:$DA$376,10,FALSE)</f>
        <v>7944.0293680511204</v>
      </c>
      <c r="K154" s="52">
        <f t="shared" si="155"/>
        <v>-94.275435942775403</v>
      </c>
      <c r="L154" s="566">
        <f>VLOOKUP($A154,'01-02.2021'!$A$6:$CZ$403,12,FALSE)+VLOOKUP($A154,'1.3.21-28.2.22'!$A$6:$DA$404,12,FALSE)-VLOOKUP($A154,'01-02.2022'!$A$6:$DA$376,12,FALSE)</f>
        <v>1349.1860561743631</v>
      </c>
      <c r="M154" s="566">
        <f>VLOOKUP($A154,'01-02.2021'!$A$6:$CZ$403,13,FALSE)+VLOOKUP($A154,'1.3.21-28.2.22'!$A$6:$DA$404,13,FALSE)-VLOOKUP($A154,'01-02.2022'!$A$6:$DA$376,13,FALSE)</f>
        <v>1347.093133338994</v>
      </c>
      <c r="N154" s="52">
        <f t="shared" si="156"/>
        <v>-2.0929228353691087</v>
      </c>
      <c r="O154" s="566">
        <f>VLOOKUP($A154,'01-02.2021'!$A$6:$CZ$403,15,FALSE)+VLOOKUP($A154,'1.3.21-28.2.22'!$A$6:$DA$404,15,FALSE)-VLOOKUP($A154,'01-02.2022'!$A$6:$DA$376,15,FALSE)</f>
        <v>4510.3460341798072</v>
      </c>
      <c r="P154" s="566">
        <f>VLOOKUP($A154,'01-02.2021'!$A$6:$CZ$403,16,FALSE)+VLOOKUP($A154,'1.3.21-28.2.22'!$A$6:$DA$404,16,FALSE)-VLOOKUP($A154,'01-02.2022'!$A$6:$DA$376,16,FALSE)</f>
        <v>4511.2283333333335</v>
      </c>
      <c r="Q154" s="70">
        <f t="shared" si="176"/>
        <v>0.88229915352621902</v>
      </c>
      <c r="R154" s="566">
        <f>VLOOKUP($A154,'01-02.2021'!$A$6:$CZ$403,18,FALSE)+VLOOKUP($A154,'1.3.21-28.2.22'!$A$6:$DA$404,18,FALSE)-VLOOKUP($A154,'01-02.2022'!$A$6:$DA$376,18,FALSE)</f>
        <v>1070.5371577188412</v>
      </c>
      <c r="S154" s="566">
        <f>VLOOKUP($A154,'01-02.2021'!$A$6:$CZ$403,19,FALSE)+VLOOKUP($A154,'1.3.21-28.2.22'!$A$6:$DA$404,19,FALSE)-VLOOKUP($A154,'01-02.2022'!$A$6:$DA$376,19,FALSE)</f>
        <v>1070.4183333333333</v>
      </c>
      <c r="T154" s="70">
        <f t="shared" si="177"/>
        <v>-0.11882438550787811</v>
      </c>
      <c r="U154" s="566">
        <f>VLOOKUP($A154,'01-02.2021'!$A$6:$CZ$403,21,FALSE)+VLOOKUP($A154,'1.3.21-28.2.22'!$A$6:$DA$404,21,FALSE)-VLOOKUP($A154,'01-02.2022'!$A$6:$DA$376,21,FALSE)</f>
        <v>335.82127994245559</v>
      </c>
      <c r="V154" s="566">
        <f>VLOOKUP($A154,'01-02.2021'!$A$6:$CZ$403,22,FALSE)+VLOOKUP($A154,'1.3.21-28.2.22'!$A$6:$DA$404,22,FALSE)-VLOOKUP($A154,'01-02.2022'!$A$6:$DA$376,22,FALSE)</f>
        <v>285.41230639051912</v>
      </c>
      <c r="W154" s="70">
        <f t="shared" si="178"/>
        <v>-50.408973551936469</v>
      </c>
      <c r="X154" s="566">
        <f>VLOOKUP($A154,'01-02.2021'!$A$6:$CZ$403,24,FALSE)+VLOOKUP($A154,'1.3.21-28.2.22'!$A$6:$DA$404,24,FALSE)-VLOOKUP($A154,'01-02.2022'!$A$6:$DA$376,24,FALSE)</f>
        <v>3398.667479824011</v>
      </c>
      <c r="Y154" s="566">
        <f>VLOOKUP($A154,'01-02.2021'!$A$6:$CZ$403,25,FALSE)+VLOOKUP($A154,'1.3.21-28.2.22'!$A$6:$DA$404,25,FALSE)-VLOOKUP($A154,'01-02.2022'!$A$6:$DA$376,25,FALSE)</f>
        <v>2836.6239093254917</v>
      </c>
      <c r="Z154" s="70">
        <f t="shared" si="179"/>
        <v>-562.04357049851933</v>
      </c>
      <c r="AA154" s="566">
        <f>VLOOKUP($A154,'01-02.2021'!$A$6:$CZ$403,27,FALSE)+VLOOKUP($A154,'1.3.21-28.2.22'!$A$6:$DA$404,27,FALSE)-VLOOKUP($A154,'01-02.2022'!$A$6:$DA$376,27,FALSE)</f>
        <v>763</v>
      </c>
      <c r="AB154" s="566">
        <f>VLOOKUP($A154,'01-02.2021'!$A$6:$CZ$403,28,FALSE)+VLOOKUP($A154,'1.3.21-28.2.22'!$A$6:$DA$404,28,FALSE)-VLOOKUP($A154,'01-02.2022'!$A$6:$DA$376,28,FALSE)</f>
        <v>0</v>
      </c>
      <c r="AC154" s="70">
        <f t="shared" si="180"/>
        <v>-763</v>
      </c>
      <c r="AD154" s="566">
        <f>VLOOKUP($A154,'01-02.2021'!$A$6:$CZ$403,30,FALSE)+VLOOKUP($A154,'1.3.21-28.2.22'!$A$6:$DA$404,30,FALSE)-VLOOKUP($A154,'01-02.2022'!$A$6:$DA$376,30,FALSE)</f>
        <v>16386.523000767862</v>
      </c>
      <c r="AE154" s="566">
        <f>VLOOKUP($A154,'01-02.2021'!$A$6:$CZ$403,31,FALSE)+VLOOKUP($A154,'1.3.21-28.2.22'!$A$6:$DA$404,31,FALSE)-VLOOKUP($A154,'01-02.2022'!$A$6:$DA$376,31,FALSE)</f>
        <v>17366.033714935103</v>
      </c>
      <c r="AF154" s="68">
        <f t="shared" si="181"/>
        <v>979.51071416724153</v>
      </c>
      <c r="AG154" s="77">
        <f t="shared" si="150"/>
        <v>35852.385812601235</v>
      </c>
      <c r="AH154" s="53">
        <f t="shared" si="150"/>
        <v>35360.839098707896</v>
      </c>
      <c r="AI154" s="52">
        <f t="shared" si="157"/>
        <v>-491.54671389333816</v>
      </c>
      <c r="AJ154" s="566">
        <f>VLOOKUP($A154,'01-02.2021'!$A$6:$CZ$403,36,FALSE)+VLOOKUP($A154,'1.3.21-28.2.22'!$A$6:$DA$404,36,FALSE)-VLOOKUP($A154,'01-02.2022'!$A$6:$DA$376,36,FALSE)</f>
        <v>13722.318742401529</v>
      </c>
      <c r="AK154" s="566">
        <f>VLOOKUP($A154,'01-02.2021'!$A$6:$CZ$403,37,FALSE)+VLOOKUP($A154,'1.3.21-28.2.22'!$A$6:$DA$404,37,FALSE)-VLOOKUP($A154,'01-02.2022'!$A$6:$DA$376,37,FALSE)</f>
        <v>13632.352325867283</v>
      </c>
      <c r="AL154" s="70">
        <f t="shared" si="182"/>
        <v>-89.966416534245582</v>
      </c>
      <c r="AM154" s="566">
        <f>VLOOKUP($A154,'01-02.2021'!$A$6:$CZ$403,39,FALSE)+VLOOKUP($A154,'1.3.21-28.2.22'!$A$6:$DA$404,39,FALSE)-VLOOKUP($A154,'01-02.2022'!$A$6:$DA$376,39,FALSE)</f>
        <v>0</v>
      </c>
      <c r="AN154" s="566">
        <f>VLOOKUP($A154,'01-02.2021'!$A$6:$CZ$403,40,FALSE)+VLOOKUP($A154,'1.3.21-28.2.22'!$A$6:$DA$404,40,FALSE)-VLOOKUP($A154,'01-02.2022'!$A$6:$DA$376,40,FALSE)</f>
        <v>0</v>
      </c>
      <c r="AO154" s="70">
        <f t="shared" si="183"/>
        <v>0</v>
      </c>
      <c r="AP154" s="566">
        <f>VLOOKUP($A154,'01-02.2021'!$A$6:$CZ$403,42,FALSE)+VLOOKUP($A154,'1.3.21-28.2.22'!$A$6:$DA$404,42,FALSE)-VLOOKUP($A154,'01-02.2022'!$A$6:$DA$376,42,FALSE)</f>
        <v>1952.0997187979158</v>
      </c>
      <c r="AQ154" s="566">
        <f>VLOOKUP($A154,'01-02.2021'!$A$6:$CZ$403,43,FALSE)+VLOOKUP($A154,'1.3.21-28.2.22'!$A$6:$DA$404,43,FALSE)-VLOOKUP($A154,'01-02.2022'!$A$6:$DA$376,43,FALSE)</f>
        <v>1714.5845375722542</v>
      </c>
      <c r="AR154" s="70">
        <f t="shared" si="184"/>
        <v>-237.51518122566154</v>
      </c>
      <c r="AS154" s="566">
        <f>VLOOKUP($A154,'01-02.2021'!$A$6:$CZ$403,45,FALSE)+VLOOKUP($A154,'1.3.21-28.2.22'!$A$6:$DA$404,45,FALSE)-VLOOKUP($A154,'01-02.2022'!$A$6:$DA$376,45,FALSE)</f>
        <v>37031.137767537308</v>
      </c>
      <c r="AT154" s="566">
        <f>VLOOKUP($A154,'01-02.2021'!$A$6:$CZ$403,46,FALSE)+VLOOKUP($A154,'1.3.21-28.2.22'!$A$6:$DA$404,46,FALSE)-VLOOKUP($A154,'01-02.2022'!$A$6:$DA$376,46,FALSE)</f>
        <v>26840</v>
      </c>
      <c r="AU154" s="78">
        <f t="shared" si="185"/>
        <v>-10191.137767537308</v>
      </c>
      <c r="AV154" s="566">
        <f>VLOOKUP($A154,'01-02.2021'!$A$6:$CZ$403,48,FALSE)+VLOOKUP($A154,'1.3.21-28.2.22'!$A$6:$DA$404,48,FALSE)-VLOOKUP($A154,'01-02.2022'!$A$6:$DA$376,48,FALSE)</f>
        <v>1919.3714325975257</v>
      </c>
      <c r="AW154" s="566">
        <f>VLOOKUP($A154,'01-02.2021'!$A$6:$CZ$403,49,FALSE)+VLOOKUP($A154,'1.3.21-28.2.22'!$A$6:$DA$404,49,FALSE)-VLOOKUP($A154,'01-02.2022'!$A$6:$DA$376,49,FALSE)</f>
        <v>0</v>
      </c>
      <c r="AX154" s="55">
        <f t="shared" si="186"/>
        <v>-1919.3714325975257</v>
      </c>
      <c r="AY154" s="566">
        <f>VLOOKUP($A154,'01-02.2021'!$A$6:$CZ$403,51,FALSE)+VLOOKUP($A154,'1.3.21-28.2.22'!$A$6:$DA$404,51,FALSE)-VLOOKUP($A154,'01-02.2022'!$A$6:$DA$376,51,FALSE)</f>
        <v>2043.269682284526</v>
      </c>
      <c r="AZ154" s="566">
        <f>VLOOKUP($A154,'01-02.2021'!$A$6:$CZ$403,52,FALSE)+VLOOKUP($A154,'1.3.21-28.2.22'!$A$6:$DA$404,52,FALSE)-VLOOKUP($A154,'01-02.2022'!$A$6:$DA$376,52,FALSE)</f>
        <v>0</v>
      </c>
      <c r="BA154" s="38">
        <f t="shared" si="187"/>
        <v>-2043.269682284526</v>
      </c>
      <c r="BB154" s="566">
        <f>VLOOKUP($A154,'01-02.2021'!$A$6:$CZ$403,54,FALSE)+VLOOKUP($A154,'1.3.21-28.2.22'!$A$6:$DA$404,54,FALSE)-VLOOKUP($A154,'01-02.2022'!$A$6:$DA$376,54,FALSE)</f>
        <v>2018.3191256131281</v>
      </c>
      <c r="BC154" s="566">
        <f>VLOOKUP($A154,'01-02.2021'!$A$6:$CZ$403,55,FALSE)+VLOOKUP($A154,'1.3.21-28.2.22'!$A$6:$DA$404,55,FALSE)-VLOOKUP($A154,'01-02.2022'!$A$6:$DA$376,55,FALSE)</f>
        <v>0</v>
      </c>
      <c r="BD154" s="55">
        <f t="shared" si="188"/>
        <v>-2018.3191256131281</v>
      </c>
      <c r="BE154" s="566">
        <f>VLOOKUP($A154,'01-02.2021'!$A$6:$CZ$403,57,FALSE)+VLOOKUP($A154,'1.3.21-28.2.22'!$A$6:$DA$404,57,FALSE)-VLOOKUP($A154,'01-02.2022'!$A$6:$DA$376,57,FALSE)</f>
        <v>2458.9577301965755</v>
      </c>
      <c r="BF154" s="566">
        <f>VLOOKUP($A154,'01-02.2021'!$A$6:$CZ$403,58,FALSE)+VLOOKUP($A154,'1.3.21-28.2.22'!$A$6:$DA$404,58,FALSE)-VLOOKUP($A154,'01-02.2022'!$A$6:$DA$376,58,FALSE)</f>
        <v>0</v>
      </c>
      <c r="BG154" s="55">
        <f t="shared" si="189"/>
        <v>-2458.9577301965755</v>
      </c>
      <c r="BH154" s="566">
        <f>VLOOKUP($A154,'01-02.2021'!$A$6:$CZ$403,60,FALSE)+VLOOKUP($A154,'1.3.21-28.2.22'!$A$6:$DA$404,60,FALSE)-VLOOKUP($A154,'01-02.2022'!$A$6:$DA$376,60,FALSE)</f>
        <v>637.89187291640781</v>
      </c>
      <c r="BI154" s="566">
        <f>VLOOKUP($A154,'01-02.2021'!$A$6:$CZ$403,61,FALSE)+VLOOKUP($A154,'1.3.21-28.2.22'!$A$6:$DA$404,61,FALSE)-VLOOKUP($A154,'01-02.2022'!$A$6:$DA$376,61,FALSE)</f>
        <v>0</v>
      </c>
      <c r="BJ154" s="55">
        <f t="shared" si="190"/>
        <v>-637.89187291640781</v>
      </c>
      <c r="BK154" s="566">
        <f>VLOOKUP($A154,'01-02.2021'!$A$6:$CZ$403,63,FALSE)+VLOOKUP($A154,'1.3.21-28.2.22'!$A$6:$DA$404,63,FALSE)-VLOOKUP($A154,'01-02.2022'!$A$6:$DA$376,63,FALSE)</f>
        <v>547.25586171411589</v>
      </c>
      <c r="BL154" s="566">
        <f>VLOOKUP($A154,'01-02.2021'!$A$6:$CZ$403,64,FALSE)+VLOOKUP($A154,'1.3.21-28.2.22'!$A$6:$DA$404,64,FALSE)-VLOOKUP($A154,'01-02.2022'!$A$6:$DA$376,64,FALSE)</f>
        <v>0</v>
      </c>
      <c r="BM154" s="55">
        <f t="shared" si="191"/>
        <v>-547.25586171411589</v>
      </c>
      <c r="BN154" s="566">
        <f>VLOOKUP($A154,'01-02.2021'!$A$6:$CZ$403,66,FALSE)+VLOOKUP($A154,'1.3.21-28.2.22'!$A$6:$DA$404,66,FALSE)-VLOOKUP($A154,'01-02.2022'!$A$6:$DA$376,66,FALSE)</f>
        <v>190.75</v>
      </c>
      <c r="BO154" s="566">
        <f>VLOOKUP($A154,'01-02.2021'!$A$6:$CZ$403,67,FALSE)+VLOOKUP($A154,'1.3.21-28.2.22'!$A$6:$DA$404,67,FALSE)-VLOOKUP($A154,'01-02.2022'!$A$6:$DA$376,67,FALSE)</f>
        <v>0</v>
      </c>
      <c r="BP154" s="55">
        <f t="shared" si="192"/>
        <v>-190.75</v>
      </c>
      <c r="BQ154" s="77">
        <f t="shared" si="151"/>
        <v>9815.8157053222803</v>
      </c>
      <c r="BR154" s="40">
        <f t="shared" si="152"/>
        <v>0</v>
      </c>
      <c r="BS154" s="55">
        <f t="shared" si="166"/>
        <v>-9815.8157053222803</v>
      </c>
      <c r="BT154" s="566">
        <f>VLOOKUP($A154,'01-02.2021'!$A$6:$CZ$403,72,FALSE)+VLOOKUP($A154,'1.3.21-28.2.22'!$A$6:$DA$404,72,FALSE)-VLOOKUP($A154,'01-02.2022'!$A$6:$DA$376,72,FALSE)</f>
        <v>25271.322422893463</v>
      </c>
      <c r="BU154" s="566">
        <f>VLOOKUP($A154,'01-02.2021'!$A$6:$CZ$403,73,FALSE)+VLOOKUP($A154,'1.3.21-28.2.22'!$A$6:$DA$404,73,FALSE)-VLOOKUP($A154,'01-02.2022'!$A$6:$DA$376,73,FALSE)</f>
        <v>25586.968902922388</v>
      </c>
      <c r="BV154" s="70">
        <f t="shared" si="193"/>
        <v>315.646480028925</v>
      </c>
      <c r="BW154" s="566">
        <f>VLOOKUP($A154,'01-02.2021'!$A$6:$CZ$403,75,FALSE)+VLOOKUP($A154,'1.3.21-28.2.22'!$A$6:$DA$404,75,FALSE)-VLOOKUP($A154,'01-02.2022'!$A$6:$DA$376,75,FALSE)</f>
        <v>26503.997384710347</v>
      </c>
      <c r="BX154" s="566">
        <f>VLOOKUP($A154,'01-02.2021'!$A$6:$CZ$403,76,FALSE)+VLOOKUP($A154,'1.3.21-28.2.22'!$A$6:$DA$404,76,FALSE)-VLOOKUP($A154,'01-02.2022'!$A$6:$DA$376,76,FALSE)</f>
        <v>28061.509034289105</v>
      </c>
      <c r="BY154" s="70">
        <f t="shared" si="194"/>
        <v>1557.5116495787588</v>
      </c>
      <c r="BZ154" s="566">
        <f>VLOOKUP($A154,'01-02.2021'!$A$6:$CZ$403,78,FALSE)+VLOOKUP($A154,'1.3.21-28.2.22'!$A$6:$DA$404,78,FALSE)-VLOOKUP($A154,'01-02.2022'!$A$6:$DA$376,78,FALSE)</f>
        <v>2768.3608267236614</v>
      </c>
      <c r="CA154" s="566">
        <f>VLOOKUP($A154,'01-02.2021'!$A$6:$CZ$403,79,FALSE)+VLOOKUP($A154,'1.3.21-28.2.22'!$A$6:$DA$404,79,FALSE)-VLOOKUP($A154,'01-02.2022'!$A$6:$DA$376,79,FALSE)</f>
        <v>4468.1672497262571</v>
      </c>
      <c r="CB154" s="70">
        <f t="shared" si="195"/>
        <v>1699.8064230025957</v>
      </c>
      <c r="CC154" s="566">
        <f>VLOOKUP($A154,'01-02.2021'!$A$6:$CZ$403,81,FALSE)+VLOOKUP($A154,'1.3.21-28.2.22'!$A$6:$DA$404,81,FALSE)-VLOOKUP($A154,'01-02.2022'!$A$6:$DA$376,81,FALSE)</f>
        <v>1230.1711587909879</v>
      </c>
      <c r="CD154" s="566">
        <f>VLOOKUP($A154,'01-02.2021'!$A$6:$CZ$403,82,FALSE)+VLOOKUP($A154,'1.3.21-28.2.22'!$A$6:$DA$404,82,FALSE)-VLOOKUP($A154,'01-02.2022'!$A$6:$DA$376,82,FALSE)</f>
        <v>1338.4109785934545</v>
      </c>
      <c r="CE154" s="70">
        <f t="shared" si="196"/>
        <v>108.23981980246663</v>
      </c>
      <c r="CF154" s="566">
        <f>VLOOKUP($A154,'01-02.2021'!$A$6:$CZ$403,84,FALSE)+VLOOKUP($A154,'1.3.21-28.2.22'!$A$6:$DA$404,84,FALSE)-VLOOKUP($A154,'01-02.2022'!$A$6:$DA$376,84,FALSE)</f>
        <v>148.86776178008139</v>
      </c>
      <c r="CG154" s="566">
        <f>VLOOKUP($A154,'01-02.2021'!$A$6:$CZ$403,85,FALSE)+VLOOKUP($A154,'1.3.21-28.2.22'!$A$6:$DA$404,85,FALSE)-VLOOKUP($A154,'01-02.2022'!$A$6:$DA$376,85,FALSE)</f>
        <v>0</v>
      </c>
      <c r="CH154" s="70">
        <f t="shared" si="197"/>
        <v>-148.86776178008139</v>
      </c>
      <c r="CI154" s="566">
        <f>VLOOKUP($A154,'01-02.2021'!$A$6:$CZ$403,87,FALSE)+VLOOKUP($A154,'1.3.21-28.2.22'!$A$6:$DA$404,87,FALSE)-VLOOKUP($A154,'01-02.2022'!$A$6:$DA$376,87,FALSE)</f>
        <v>3633.3885944320696</v>
      </c>
      <c r="CJ154" s="566">
        <f>VLOOKUP($A154,'01-02.2021'!$A$6:$CZ$403,88,FALSE)+VLOOKUP($A154,'1.3.21-28.2.22'!$A$6:$DA$404,88,FALSE)-VLOOKUP($A154,'01-02.2022'!$A$6:$DA$376,88,FALSE)</f>
        <v>2547.7791463768813</v>
      </c>
      <c r="CK154" s="70">
        <f t="shared" si="198"/>
        <v>-1085.6094480551883</v>
      </c>
      <c r="CL154" s="566">
        <f>VLOOKUP($A154,'01-02.2021'!$A$6:$CZ$403,90,FALSE)+VLOOKUP($A154,'1.3.21-28.2.22'!$A$6:$DA$404,90,FALSE)-VLOOKUP($A154,'01-02.2022'!$A$6:$DA$376,90,FALSE)</f>
        <v>3489.9958813118969</v>
      </c>
      <c r="CM154" s="566">
        <f>VLOOKUP($A154,'01-02.2021'!$A$6:$CZ$403,91,FALSE)+VLOOKUP($A154,'1.3.21-28.2.22'!$A$6:$DA$404,91,FALSE)-VLOOKUP($A154,'01-02.2022'!$A$6:$DA$376,91,FALSE)</f>
        <v>2426.4710203897635</v>
      </c>
      <c r="CN154" s="52">
        <f t="shared" si="158"/>
        <v>-1063.5248609221335</v>
      </c>
      <c r="CO154" s="39">
        <f t="shared" si="153"/>
        <v>7123.3844757439665</v>
      </c>
      <c r="CP154" s="40">
        <f t="shared" si="159"/>
        <v>4974.2501667666447</v>
      </c>
      <c r="CQ154" s="52">
        <f t="shared" si="160"/>
        <v>-2149.1343089773218</v>
      </c>
      <c r="CR154" s="72">
        <f t="shared" si="154"/>
        <v>161419.86177730278</v>
      </c>
      <c r="CS154" s="5">
        <f t="shared" si="154"/>
        <v>141977.08229444528</v>
      </c>
      <c r="CT154" s="52">
        <f t="shared" si="161"/>
        <v>-19442.779482857499</v>
      </c>
      <c r="CU154" s="77">
        <f t="shared" si="162"/>
        <v>193703.83413276332</v>
      </c>
      <c r="CV154" s="65">
        <f t="shared" si="163"/>
        <v>170372.49875333434</v>
      </c>
      <c r="CW154" s="35">
        <f t="shared" si="164"/>
        <v>-23331.335379428987</v>
      </c>
      <c r="CX154" s="566">
        <f>VLOOKUP($A154,'01-02.2021'!$A$6:$CZ$403,102,FALSE)+VLOOKUP($A154,'1.3.21-28.2.22'!$A$6:$DA$404,102,FALSE)-VLOOKUP($A154,'01-02.2022'!$A$6:$DA$376,102,FALSE)</f>
        <v>5510.1106966514562</v>
      </c>
      <c r="CY154" s="566">
        <f>VLOOKUP($A154,'01-02.2021'!$A$6:$CZ$403,103,FALSE)+VLOOKUP($A154,'1.3.21-28.2.22'!$A$6:$DA$404,103,FALSE)-VLOOKUP($A154,'01-02.2022'!$A$6:$DA$376,103,FALSE)</f>
        <v>28841.446076080458</v>
      </c>
      <c r="CZ154" s="52">
        <f t="shared" si="165"/>
        <v>23331.335379429001</v>
      </c>
      <c r="DA154" s="150">
        <f>'[2]побудинковий звіт'!DA154</f>
        <v>-68034.955957129787</v>
      </c>
      <c r="DB154" s="2">
        <v>3</v>
      </c>
      <c r="DC154" s="414">
        <f>'[4]побудинковий звіт'!DC154</f>
        <v>23548.47</v>
      </c>
      <c r="DD154" s="414">
        <f>'[4]побудинковий звіт'!DD154</f>
        <v>0</v>
      </c>
      <c r="DE154" s="557">
        <f>'[4]побудинковий звіт'!DE154</f>
        <v>5510.518653482246</v>
      </c>
      <c r="DF154" s="557">
        <f>'[4]побудинковий звіт'!DF154</f>
        <v>0</v>
      </c>
      <c r="DG154" s="321">
        <f>VLOOKUP(A154,'кошти 01.03.2021'!$A$6:$D$401,4,)</f>
        <v>-42742.166767869217</v>
      </c>
      <c r="DH154" s="40">
        <f>'[3]побудинковий звіт'!DJ154</f>
        <v>206004.71376075083</v>
      </c>
      <c r="DI154" s="422">
        <f>'[3]побудинковий звіт'!CU154+'[3]побудинковий звіт'!CX154</f>
        <v>18037.951346517759</v>
      </c>
      <c r="DJ154" s="306">
        <f>'[3]побудинковий звіт'!DM154</f>
        <v>4.2390227110725087</v>
      </c>
      <c r="DK154" s="306">
        <f>'[3]побудинковий звіт'!DN154</f>
        <v>4.7721578758562746</v>
      </c>
      <c r="DL154" s="306">
        <f>'[3]побудинковий звіт'!DO154</f>
        <v>3.4077530996326342</v>
      </c>
      <c r="DM154" s="28">
        <f>DJ154*G154+(F154-G154)*DK154</f>
        <v>18037.951346517755</v>
      </c>
      <c r="DN154" s="28">
        <f>DL154*H154</f>
        <v>0</v>
      </c>
      <c r="DO154" s="423">
        <f t="shared" si="171"/>
        <v>18037.951346517755</v>
      </c>
      <c r="DP154" s="94">
        <f t="shared" si="172"/>
        <v>0</v>
      </c>
      <c r="DQ154" s="28">
        <f t="shared" si="173"/>
        <v>18037.951346517755</v>
      </c>
      <c r="DR154" s="318"/>
      <c r="DT154" s="8"/>
      <c r="DU154" s="5"/>
      <c r="DX154" s="5">
        <f t="shared" si="174"/>
        <v>56216.344167431504</v>
      </c>
      <c r="DY154" s="5">
        <f t="shared" si="175"/>
        <v>32208</v>
      </c>
      <c r="DZ154" s="159">
        <f>'[3]побудинковий звіт'!EA154</f>
        <v>5208.8865751873964</v>
      </c>
    </row>
    <row r="155" spans="1:130" x14ac:dyDescent="0.3">
      <c r="A155" s="325">
        <v>150000647</v>
      </c>
      <c r="B155" s="41" t="s">
        <v>604</v>
      </c>
      <c r="C155" s="42" t="s">
        <v>97</v>
      </c>
      <c r="D155" s="42"/>
      <c r="E155" s="293">
        <f t="shared" si="149"/>
        <v>278.14999999999998</v>
      </c>
      <c r="F155" s="305">
        <f>'[3]побудинковий звіт'!F155</f>
        <v>278.14999999999998</v>
      </c>
      <c r="G155" s="508">
        <f>'[3]побудинковий звіт'!G155</f>
        <v>0</v>
      </c>
      <c r="H155" s="560">
        <f>'[3]побудинковий звіт'!H155</f>
        <v>0</v>
      </c>
      <c r="I155" s="566">
        <f>VLOOKUP($A155,'01-02.2021'!$A$6:$CZ$403,9,FALSE)+VLOOKUP($A155,'1.3.21-28.2.22'!$A$6:$DA$404,9,FALSE)-VLOOKUP($A155,'01-02.2022'!$A$6:$DA$376,9,FALSE)</f>
        <v>0</v>
      </c>
      <c r="J155" s="566">
        <f>VLOOKUP($A155,'01-02.2021'!$A$6:$CZ$403,10,FALSE)+VLOOKUP($A155,'1.3.21-28.2.22'!$A$6:$DA$404,10,FALSE)-VLOOKUP($A155,'01-02.2022'!$A$6:$DA$376,10,FALSE)</f>
        <v>0</v>
      </c>
      <c r="K155" s="52">
        <f t="shared" si="155"/>
        <v>0</v>
      </c>
      <c r="L155" s="566">
        <f>VLOOKUP($A155,'01-02.2021'!$A$6:$CZ$403,12,FALSE)+VLOOKUP($A155,'1.3.21-28.2.22'!$A$6:$DA$404,12,FALSE)-VLOOKUP($A155,'01-02.2022'!$A$6:$DA$376,12,FALSE)</f>
        <v>0</v>
      </c>
      <c r="M155" s="566">
        <f>VLOOKUP($A155,'01-02.2021'!$A$6:$CZ$403,13,FALSE)+VLOOKUP($A155,'1.3.21-28.2.22'!$A$6:$DA$404,13,FALSE)-VLOOKUP($A155,'01-02.2022'!$A$6:$DA$376,13,FALSE)</f>
        <v>0</v>
      </c>
      <c r="N155" s="52">
        <f t="shared" si="156"/>
        <v>0</v>
      </c>
      <c r="O155" s="566">
        <f>VLOOKUP($A155,'01-02.2021'!$A$6:$CZ$403,15,FALSE)+VLOOKUP($A155,'1.3.21-28.2.22'!$A$6:$DA$404,15,FALSE)-VLOOKUP($A155,'01-02.2022'!$A$6:$DA$376,15,FALSE)</f>
        <v>0</v>
      </c>
      <c r="P155" s="566">
        <f>VLOOKUP($A155,'01-02.2021'!$A$6:$CZ$403,16,FALSE)+VLOOKUP($A155,'1.3.21-28.2.22'!$A$6:$DA$404,16,FALSE)-VLOOKUP($A155,'01-02.2022'!$A$6:$DA$376,16,FALSE)</f>
        <v>0</v>
      </c>
      <c r="Q155" s="70">
        <f t="shared" si="176"/>
        <v>0</v>
      </c>
      <c r="R155" s="566">
        <f>VLOOKUP($A155,'01-02.2021'!$A$6:$CZ$403,18,FALSE)+VLOOKUP($A155,'1.3.21-28.2.22'!$A$6:$DA$404,18,FALSE)-VLOOKUP($A155,'01-02.2022'!$A$6:$DA$376,18,FALSE)</f>
        <v>0</v>
      </c>
      <c r="S155" s="566">
        <f>VLOOKUP($A155,'01-02.2021'!$A$6:$CZ$403,19,FALSE)+VLOOKUP($A155,'1.3.21-28.2.22'!$A$6:$DA$404,19,FALSE)-VLOOKUP($A155,'01-02.2022'!$A$6:$DA$376,19,FALSE)</f>
        <v>0</v>
      </c>
      <c r="T155" s="70">
        <f t="shared" si="177"/>
        <v>0</v>
      </c>
      <c r="U155" s="566">
        <f>VLOOKUP($A155,'01-02.2021'!$A$6:$CZ$403,21,FALSE)+VLOOKUP($A155,'1.3.21-28.2.22'!$A$6:$DA$404,21,FALSE)-VLOOKUP($A155,'01-02.2022'!$A$6:$DA$376,21,FALSE)</f>
        <v>0</v>
      </c>
      <c r="V155" s="566">
        <f>VLOOKUP($A155,'01-02.2021'!$A$6:$CZ$403,22,FALSE)+VLOOKUP($A155,'1.3.21-28.2.22'!$A$6:$DA$404,22,FALSE)-VLOOKUP($A155,'01-02.2022'!$A$6:$DA$376,22,FALSE)</f>
        <v>0</v>
      </c>
      <c r="W155" s="70">
        <f t="shared" si="178"/>
        <v>0</v>
      </c>
      <c r="X155" s="566">
        <f>VLOOKUP($A155,'01-02.2021'!$A$6:$CZ$403,24,FALSE)+VLOOKUP($A155,'1.3.21-28.2.22'!$A$6:$DA$404,24,FALSE)-VLOOKUP($A155,'01-02.2022'!$A$6:$DA$376,24,FALSE)</f>
        <v>0</v>
      </c>
      <c r="Y155" s="566">
        <f>VLOOKUP($A155,'01-02.2021'!$A$6:$CZ$403,25,FALSE)+VLOOKUP($A155,'1.3.21-28.2.22'!$A$6:$DA$404,25,FALSE)-VLOOKUP($A155,'01-02.2022'!$A$6:$DA$376,25,FALSE)</f>
        <v>0</v>
      </c>
      <c r="Z155" s="70">
        <f t="shared" si="179"/>
        <v>0</v>
      </c>
      <c r="AA155" s="566">
        <f>VLOOKUP($A155,'01-02.2021'!$A$6:$CZ$403,27,FALSE)+VLOOKUP($A155,'1.3.21-28.2.22'!$A$6:$DA$404,27,FALSE)-VLOOKUP($A155,'01-02.2022'!$A$6:$DA$376,27,FALSE)</f>
        <v>55.629999999999995</v>
      </c>
      <c r="AB155" s="566">
        <f>VLOOKUP($A155,'01-02.2021'!$A$6:$CZ$403,28,FALSE)+VLOOKUP($A155,'1.3.21-28.2.22'!$A$6:$DA$404,28,FALSE)-VLOOKUP($A155,'01-02.2022'!$A$6:$DA$376,28,FALSE)</f>
        <v>0</v>
      </c>
      <c r="AC155" s="70">
        <f t="shared" si="180"/>
        <v>-55.629999999999995</v>
      </c>
      <c r="AD155" s="566">
        <f>VLOOKUP($A155,'01-02.2021'!$A$6:$CZ$403,30,FALSE)+VLOOKUP($A155,'1.3.21-28.2.22'!$A$6:$DA$404,30,FALSE)-VLOOKUP($A155,'01-02.2022'!$A$6:$DA$376,30,FALSE)</f>
        <v>417.69560772646673</v>
      </c>
      <c r="AE155" s="566">
        <f>VLOOKUP($A155,'01-02.2021'!$A$6:$CZ$403,31,FALSE)+VLOOKUP($A155,'1.3.21-28.2.22'!$A$6:$DA$404,31,FALSE)-VLOOKUP($A155,'01-02.2022'!$A$6:$DA$376,31,FALSE)</f>
        <v>1266.1500072894364</v>
      </c>
      <c r="AF155" s="68">
        <f t="shared" si="181"/>
        <v>848.45439956296968</v>
      </c>
      <c r="AG155" s="77">
        <f t="shared" si="150"/>
        <v>473.32560772646673</v>
      </c>
      <c r="AH155" s="53">
        <f t="shared" si="150"/>
        <v>1266.1500072894364</v>
      </c>
      <c r="AI155" s="52">
        <f t="shared" si="157"/>
        <v>792.82439956296969</v>
      </c>
      <c r="AJ155" s="566">
        <f>VLOOKUP($A155,'01-02.2021'!$A$6:$CZ$403,36,FALSE)+VLOOKUP($A155,'1.3.21-28.2.22'!$A$6:$DA$404,36,FALSE)-VLOOKUP($A155,'01-02.2022'!$A$6:$DA$376,36,FALSE)</f>
        <v>0</v>
      </c>
      <c r="AK155" s="566">
        <f>VLOOKUP($A155,'01-02.2021'!$A$6:$CZ$403,37,FALSE)+VLOOKUP($A155,'1.3.21-28.2.22'!$A$6:$DA$404,37,FALSE)-VLOOKUP($A155,'01-02.2022'!$A$6:$DA$376,37,FALSE)</f>
        <v>0</v>
      </c>
      <c r="AL155" s="70">
        <f t="shared" si="182"/>
        <v>0</v>
      </c>
      <c r="AM155" s="566">
        <f>VLOOKUP($A155,'01-02.2021'!$A$6:$CZ$403,39,FALSE)+VLOOKUP($A155,'1.3.21-28.2.22'!$A$6:$DA$404,39,FALSE)-VLOOKUP($A155,'01-02.2022'!$A$6:$DA$376,39,FALSE)</f>
        <v>0</v>
      </c>
      <c r="AN155" s="566">
        <f>VLOOKUP($A155,'01-02.2021'!$A$6:$CZ$403,40,FALSE)+VLOOKUP($A155,'1.3.21-28.2.22'!$A$6:$DA$404,40,FALSE)-VLOOKUP($A155,'01-02.2022'!$A$6:$DA$376,40,FALSE)</f>
        <v>0</v>
      </c>
      <c r="AO155" s="70">
        <f t="shared" si="183"/>
        <v>0</v>
      </c>
      <c r="AP155" s="566">
        <f>VLOOKUP($A155,'01-02.2021'!$A$6:$CZ$403,42,FALSE)+VLOOKUP($A155,'1.3.21-28.2.22'!$A$6:$DA$404,42,FALSE)-VLOOKUP($A155,'01-02.2022'!$A$6:$DA$376,42,FALSE)</f>
        <v>303.65995625745347</v>
      </c>
      <c r="AQ155" s="566">
        <f>VLOOKUP($A155,'01-02.2021'!$A$6:$CZ$403,43,FALSE)+VLOOKUP($A155,'1.3.21-28.2.22'!$A$6:$DA$404,43,FALSE)-VLOOKUP($A155,'01-02.2022'!$A$6:$DA$376,43,FALSE)</f>
        <v>261.77929121744683</v>
      </c>
      <c r="AR155" s="70">
        <f t="shared" si="184"/>
        <v>-41.880665040006647</v>
      </c>
      <c r="AS155" s="566">
        <f>VLOOKUP($A155,'01-02.2021'!$A$6:$CZ$403,45,FALSE)+VLOOKUP($A155,'1.3.21-28.2.22'!$A$6:$DA$404,45,FALSE)-VLOOKUP($A155,'01-02.2022'!$A$6:$DA$376,45,FALSE)</f>
        <v>3067.6854605717654</v>
      </c>
      <c r="AT155" s="566">
        <f>VLOOKUP($A155,'01-02.2021'!$A$6:$CZ$403,46,FALSE)+VLOOKUP($A155,'1.3.21-28.2.22'!$A$6:$DA$404,46,FALSE)-VLOOKUP($A155,'01-02.2022'!$A$6:$DA$376,46,FALSE)</f>
        <v>1550</v>
      </c>
      <c r="AU155" s="78">
        <f t="shared" si="185"/>
        <v>-1517.6854605717654</v>
      </c>
      <c r="AV155" s="566">
        <f>VLOOKUP($A155,'01-02.2021'!$A$6:$CZ$403,48,FALSE)+VLOOKUP($A155,'1.3.21-28.2.22'!$A$6:$DA$404,48,FALSE)-VLOOKUP($A155,'01-02.2022'!$A$6:$DA$376,48,FALSE)</f>
        <v>0</v>
      </c>
      <c r="AW155" s="566">
        <f>VLOOKUP($A155,'01-02.2021'!$A$6:$CZ$403,49,FALSE)+VLOOKUP($A155,'1.3.21-28.2.22'!$A$6:$DA$404,49,FALSE)-VLOOKUP($A155,'01-02.2022'!$A$6:$DA$376,49,FALSE)</f>
        <v>0</v>
      </c>
      <c r="AX155" s="55">
        <f t="shared" si="186"/>
        <v>0</v>
      </c>
      <c r="AY155" s="566">
        <f>VLOOKUP($A155,'01-02.2021'!$A$6:$CZ$403,51,FALSE)+VLOOKUP($A155,'1.3.21-28.2.22'!$A$6:$DA$404,51,FALSE)-VLOOKUP($A155,'01-02.2022'!$A$6:$DA$376,51,FALSE)</f>
        <v>0</v>
      </c>
      <c r="AZ155" s="566">
        <f>VLOOKUP($A155,'01-02.2021'!$A$6:$CZ$403,52,FALSE)+VLOOKUP($A155,'1.3.21-28.2.22'!$A$6:$DA$404,52,FALSE)-VLOOKUP($A155,'01-02.2022'!$A$6:$DA$376,52,FALSE)</f>
        <v>0</v>
      </c>
      <c r="BA155" s="38">
        <f t="shared" si="187"/>
        <v>0</v>
      </c>
      <c r="BB155" s="566">
        <f>VLOOKUP($A155,'01-02.2021'!$A$6:$CZ$403,54,FALSE)+VLOOKUP($A155,'1.3.21-28.2.22'!$A$6:$DA$404,54,FALSE)-VLOOKUP($A155,'01-02.2022'!$A$6:$DA$376,54,FALSE)</f>
        <v>0</v>
      </c>
      <c r="BC155" s="566">
        <f>VLOOKUP($A155,'01-02.2021'!$A$6:$CZ$403,55,FALSE)+VLOOKUP($A155,'1.3.21-28.2.22'!$A$6:$DA$404,55,FALSE)-VLOOKUP($A155,'01-02.2022'!$A$6:$DA$376,55,FALSE)</f>
        <v>0</v>
      </c>
      <c r="BD155" s="55">
        <f t="shared" si="188"/>
        <v>0</v>
      </c>
      <c r="BE155" s="566">
        <f>VLOOKUP($A155,'01-02.2021'!$A$6:$CZ$403,57,FALSE)+VLOOKUP($A155,'1.3.21-28.2.22'!$A$6:$DA$404,57,FALSE)-VLOOKUP($A155,'01-02.2022'!$A$6:$DA$376,57,FALSE)</f>
        <v>0</v>
      </c>
      <c r="BF155" s="566">
        <f>VLOOKUP($A155,'01-02.2021'!$A$6:$CZ$403,58,FALSE)+VLOOKUP($A155,'1.3.21-28.2.22'!$A$6:$DA$404,58,FALSE)-VLOOKUP($A155,'01-02.2022'!$A$6:$DA$376,58,FALSE)</f>
        <v>0</v>
      </c>
      <c r="BG155" s="55">
        <f t="shared" si="189"/>
        <v>0</v>
      </c>
      <c r="BH155" s="566">
        <f>VLOOKUP($A155,'01-02.2021'!$A$6:$CZ$403,60,FALSE)+VLOOKUP($A155,'1.3.21-28.2.22'!$A$6:$DA$404,60,FALSE)-VLOOKUP($A155,'01-02.2022'!$A$6:$DA$376,60,FALSE)</f>
        <v>0</v>
      </c>
      <c r="BI155" s="566">
        <f>VLOOKUP($A155,'01-02.2021'!$A$6:$CZ$403,61,FALSE)+VLOOKUP($A155,'1.3.21-28.2.22'!$A$6:$DA$404,61,FALSE)-VLOOKUP($A155,'01-02.2022'!$A$6:$DA$376,61,FALSE)</f>
        <v>0</v>
      </c>
      <c r="BJ155" s="55">
        <f t="shared" si="190"/>
        <v>0</v>
      </c>
      <c r="BK155" s="566">
        <f>VLOOKUP($A155,'01-02.2021'!$A$6:$CZ$403,63,FALSE)+VLOOKUP($A155,'1.3.21-28.2.22'!$A$6:$DA$404,63,FALSE)-VLOOKUP($A155,'01-02.2022'!$A$6:$DA$376,63,FALSE)</f>
        <v>0</v>
      </c>
      <c r="BL155" s="566">
        <f>VLOOKUP($A155,'01-02.2021'!$A$6:$CZ$403,64,FALSE)+VLOOKUP($A155,'1.3.21-28.2.22'!$A$6:$DA$404,64,FALSE)-VLOOKUP($A155,'01-02.2022'!$A$6:$DA$376,64,FALSE)</f>
        <v>0</v>
      </c>
      <c r="BM155" s="55">
        <f t="shared" si="191"/>
        <v>0</v>
      </c>
      <c r="BN155" s="566">
        <f>VLOOKUP($A155,'01-02.2021'!$A$6:$CZ$403,66,FALSE)+VLOOKUP($A155,'1.3.21-28.2.22'!$A$6:$DA$404,66,FALSE)-VLOOKUP($A155,'01-02.2022'!$A$6:$DA$376,66,FALSE)</f>
        <v>13.907499999999999</v>
      </c>
      <c r="BO155" s="566">
        <f>VLOOKUP($A155,'01-02.2021'!$A$6:$CZ$403,67,FALSE)+VLOOKUP($A155,'1.3.21-28.2.22'!$A$6:$DA$404,67,FALSE)-VLOOKUP($A155,'01-02.2022'!$A$6:$DA$376,67,FALSE)</f>
        <v>0</v>
      </c>
      <c r="BP155" s="55">
        <f t="shared" si="192"/>
        <v>-13.907499999999999</v>
      </c>
      <c r="BQ155" s="77">
        <f t="shared" si="151"/>
        <v>13.907499999999999</v>
      </c>
      <c r="BR155" s="40">
        <f t="shared" si="152"/>
        <v>0</v>
      </c>
      <c r="BS155" s="55">
        <f t="shared" si="166"/>
        <v>-13.907499999999999</v>
      </c>
      <c r="BT155" s="566">
        <f>VLOOKUP($A155,'01-02.2021'!$A$6:$CZ$403,72,FALSE)+VLOOKUP($A155,'1.3.21-28.2.22'!$A$6:$DA$404,72,FALSE)-VLOOKUP($A155,'01-02.2022'!$A$6:$DA$376,72,FALSE)</f>
        <v>195.40392115927961</v>
      </c>
      <c r="BU155" s="566">
        <f>VLOOKUP($A155,'01-02.2021'!$A$6:$CZ$403,73,FALSE)+VLOOKUP($A155,'1.3.21-28.2.22'!$A$6:$DA$404,73,FALSE)-VLOOKUP($A155,'01-02.2022'!$A$6:$DA$376,73,FALSE)</f>
        <v>303.19600404632183</v>
      </c>
      <c r="BV155" s="70">
        <f t="shared" si="193"/>
        <v>107.79208288704223</v>
      </c>
      <c r="BW155" s="566">
        <f>VLOOKUP($A155,'01-02.2021'!$A$6:$CZ$403,75,FALSE)+VLOOKUP($A155,'1.3.21-28.2.22'!$A$6:$DA$404,75,FALSE)-VLOOKUP($A155,'01-02.2022'!$A$6:$DA$376,75,FALSE)</f>
        <v>0</v>
      </c>
      <c r="BX155" s="566">
        <f>VLOOKUP($A155,'01-02.2021'!$A$6:$CZ$403,76,FALSE)+VLOOKUP($A155,'1.3.21-28.2.22'!$A$6:$DA$404,76,FALSE)-VLOOKUP($A155,'01-02.2022'!$A$6:$DA$376,76,FALSE)</f>
        <v>6.2337839237245962</v>
      </c>
      <c r="BY155" s="70">
        <f t="shared" si="194"/>
        <v>6.2337839237245962</v>
      </c>
      <c r="BZ155" s="566">
        <f>VLOOKUP($A155,'01-02.2021'!$A$6:$CZ$403,78,FALSE)+VLOOKUP($A155,'1.3.21-28.2.22'!$A$6:$DA$404,78,FALSE)-VLOOKUP($A155,'01-02.2022'!$A$6:$DA$376,78,FALSE)</f>
        <v>0</v>
      </c>
      <c r="CA155" s="566">
        <f>VLOOKUP($A155,'01-02.2021'!$A$6:$CZ$403,79,FALSE)+VLOOKUP($A155,'1.3.21-28.2.22'!$A$6:$DA$404,79,FALSE)-VLOOKUP($A155,'01-02.2022'!$A$6:$DA$376,79,FALSE)</f>
        <v>18.486439758283353</v>
      </c>
      <c r="CB155" s="70">
        <f t="shared" si="195"/>
        <v>18.486439758283353</v>
      </c>
      <c r="CC155" s="566">
        <f>VLOOKUP($A155,'01-02.2021'!$A$6:$CZ$403,81,FALSE)+VLOOKUP($A155,'1.3.21-28.2.22'!$A$6:$DA$404,81,FALSE)-VLOOKUP($A155,'01-02.2022'!$A$6:$DA$376,81,FALSE)</f>
        <v>0</v>
      </c>
      <c r="CD155" s="566">
        <f>VLOOKUP($A155,'01-02.2021'!$A$6:$CZ$403,82,FALSE)+VLOOKUP($A155,'1.3.21-28.2.22'!$A$6:$DA$404,82,FALSE)-VLOOKUP($A155,'01-02.2022'!$A$6:$DA$376,82,FALSE)</f>
        <v>0</v>
      </c>
      <c r="CE155" s="70">
        <f t="shared" si="196"/>
        <v>0</v>
      </c>
      <c r="CF155" s="566">
        <f>VLOOKUP($A155,'01-02.2021'!$A$6:$CZ$403,84,FALSE)+VLOOKUP($A155,'1.3.21-28.2.22'!$A$6:$DA$404,84,FALSE)-VLOOKUP($A155,'01-02.2022'!$A$6:$DA$376,84,FALSE)</f>
        <v>0</v>
      </c>
      <c r="CG155" s="566">
        <f>VLOOKUP($A155,'01-02.2021'!$A$6:$CZ$403,85,FALSE)+VLOOKUP($A155,'1.3.21-28.2.22'!$A$6:$DA$404,85,FALSE)-VLOOKUP($A155,'01-02.2022'!$A$6:$DA$376,85,FALSE)</f>
        <v>0</v>
      </c>
      <c r="CH155" s="70">
        <f t="shared" si="197"/>
        <v>0</v>
      </c>
      <c r="CI155" s="566">
        <f>VLOOKUP($A155,'01-02.2021'!$A$6:$CZ$403,87,FALSE)+VLOOKUP($A155,'1.3.21-28.2.22'!$A$6:$DA$404,87,FALSE)-VLOOKUP($A155,'01-02.2022'!$A$6:$DA$376,87,FALSE)</f>
        <v>0</v>
      </c>
      <c r="CJ155" s="566">
        <f>VLOOKUP($A155,'01-02.2021'!$A$6:$CZ$403,88,FALSE)+VLOOKUP($A155,'1.3.21-28.2.22'!$A$6:$DA$404,88,FALSE)-VLOOKUP($A155,'01-02.2022'!$A$6:$DA$376,88,FALSE)</f>
        <v>0</v>
      </c>
      <c r="CK155" s="70">
        <f t="shared" si="198"/>
        <v>0</v>
      </c>
      <c r="CL155" s="566">
        <f>VLOOKUP($A155,'01-02.2021'!$A$6:$CZ$403,90,FALSE)+VLOOKUP($A155,'1.3.21-28.2.22'!$A$6:$DA$404,90,FALSE)-VLOOKUP($A155,'01-02.2022'!$A$6:$DA$376,90,FALSE)</f>
        <v>0</v>
      </c>
      <c r="CM155" s="566">
        <f>VLOOKUP($A155,'01-02.2021'!$A$6:$CZ$403,91,FALSE)+VLOOKUP($A155,'1.3.21-28.2.22'!$A$6:$DA$404,91,FALSE)-VLOOKUP($A155,'01-02.2022'!$A$6:$DA$376,91,FALSE)</f>
        <v>0</v>
      </c>
      <c r="CN155" s="52">
        <f t="shared" si="158"/>
        <v>0</v>
      </c>
      <c r="CO155" s="39">
        <f t="shared" si="153"/>
        <v>0</v>
      </c>
      <c r="CP155" s="40">
        <f t="shared" si="159"/>
        <v>0</v>
      </c>
      <c r="CQ155" s="52">
        <f t="shared" si="160"/>
        <v>0</v>
      </c>
      <c r="CR155" s="72">
        <f t="shared" si="154"/>
        <v>4053.9824457149648</v>
      </c>
      <c r="CS155" s="5">
        <f t="shared" si="154"/>
        <v>3405.8455262352131</v>
      </c>
      <c r="CT155" s="52">
        <f t="shared" si="161"/>
        <v>-648.13691947975167</v>
      </c>
      <c r="CU155" s="77">
        <f t="shared" si="162"/>
        <v>4864.7789348579572</v>
      </c>
      <c r="CV155" s="65">
        <f t="shared" si="163"/>
        <v>4087.0146314822555</v>
      </c>
      <c r="CW155" s="35">
        <f t="shared" si="164"/>
        <v>-777.76430337570173</v>
      </c>
      <c r="CX155" s="566">
        <f>VLOOKUP($A155,'01-02.2021'!$A$6:$CZ$403,102,FALSE)+VLOOKUP($A155,'1.3.21-28.2.22'!$A$6:$DA$404,102,FALSE)-VLOOKUP($A155,'01-02.2022'!$A$6:$DA$376,102,FALSE)</f>
        <v>143.26871355522792</v>
      </c>
      <c r="CY155" s="566">
        <f>VLOOKUP($A155,'01-02.2021'!$A$6:$CZ$403,103,FALSE)+VLOOKUP($A155,'1.3.21-28.2.22'!$A$6:$DA$404,103,FALSE)-VLOOKUP($A155,'01-02.2022'!$A$6:$DA$376,103,FALSE)</f>
        <v>921.03301693093124</v>
      </c>
      <c r="CZ155" s="52">
        <f t="shared" si="165"/>
        <v>777.76430337570332</v>
      </c>
      <c r="DA155" s="150">
        <f>'[2]побудинковий звіт'!DA155</f>
        <v>-1795.6017176697853</v>
      </c>
      <c r="DB155" s="2">
        <v>3</v>
      </c>
      <c r="DC155" s="414">
        <f>'[4]побудинковий звіт'!DC155</f>
        <v>1278.8</v>
      </c>
      <c r="DD155" s="414">
        <f>'[4]побудинковий звіт'!DD155</f>
        <v>0</v>
      </c>
      <c r="DE155" s="557">
        <f>'[4]побудинковий звіт'!DE155</f>
        <v>844.63292427719671</v>
      </c>
      <c r="DF155" s="557">
        <f>'[4]побудинковий звіт'!DF155</f>
        <v>0</v>
      </c>
      <c r="DG155" s="321">
        <f>VLOOKUP(A155,'кошти 01.03.2021'!$A$6:$D$401,4,)</f>
        <v>-945.52962701563558</v>
      </c>
      <c r="DH155" s="40">
        <f>'[3]побудинковий звіт'!DJ155</f>
        <v>5085.9744758578472</v>
      </c>
      <c r="DI155" s="422">
        <f>'[3]побудинковий звіт'!CU155+'[3]побудинковий звіт'!CX155</f>
        <v>434.1670757228033</v>
      </c>
      <c r="DJ155" s="306">
        <f>'[3]побудинковий звіт'!DM155</f>
        <v>1.5609098533985379</v>
      </c>
      <c r="DK155" s="306">
        <f t="shared" ref="DK155:DK158" si="202">DJ155</f>
        <v>1.5609098533985379</v>
      </c>
      <c r="DL155" s="306">
        <f>'[3]побудинковий звіт'!DO155</f>
        <v>1.5609098533985379</v>
      </c>
      <c r="DM155" s="28">
        <f t="shared" ref="DM155:DM158" si="203">F155*DJ155</f>
        <v>434.1670757228033</v>
      </c>
      <c r="DN155" s="28">
        <f>H155*DL155</f>
        <v>0</v>
      </c>
      <c r="DO155" s="423">
        <f t="shared" si="171"/>
        <v>434.1670757228033</v>
      </c>
      <c r="DP155" s="94">
        <f t="shared" si="172"/>
        <v>0</v>
      </c>
      <c r="DQ155" s="28">
        <f t="shared" si="173"/>
        <v>434.1670757228033</v>
      </c>
      <c r="DR155" s="318"/>
      <c r="DT155" s="8"/>
      <c r="DU155" s="5"/>
      <c r="DX155" s="5">
        <f t="shared" si="174"/>
        <v>3697.9115526861178</v>
      </c>
      <c r="DY155" s="5">
        <f t="shared" si="175"/>
        <v>1860</v>
      </c>
      <c r="DZ155" s="159">
        <f>'[3]побудинковий звіт'!EA155</f>
        <v>361.10738096284905</v>
      </c>
    </row>
    <row r="156" spans="1:130" x14ac:dyDescent="0.3">
      <c r="A156" s="325">
        <v>150000686</v>
      </c>
      <c r="B156" s="41" t="s">
        <v>605</v>
      </c>
      <c r="C156" s="42" t="s">
        <v>98</v>
      </c>
      <c r="D156" s="42"/>
      <c r="E156" s="293">
        <f t="shared" si="149"/>
        <v>214.9</v>
      </c>
      <c r="F156" s="305">
        <f>'[3]побудинковий звіт'!F156</f>
        <v>214.9</v>
      </c>
      <c r="G156" s="508">
        <f>'[3]побудинковий звіт'!G156</f>
        <v>0</v>
      </c>
      <c r="H156" s="560">
        <f>'[3]побудинковий звіт'!H156</f>
        <v>0</v>
      </c>
      <c r="I156" s="566">
        <f>VLOOKUP($A156,'01-02.2021'!$A$6:$CZ$403,9,FALSE)+VLOOKUP($A156,'1.3.21-28.2.22'!$A$6:$DA$404,9,FALSE)-VLOOKUP($A156,'01-02.2022'!$A$6:$DA$376,9,FALSE)</f>
        <v>0</v>
      </c>
      <c r="J156" s="566">
        <f>VLOOKUP($A156,'01-02.2021'!$A$6:$CZ$403,10,FALSE)+VLOOKUP($A156,'1.3.21-28.2.22'!$A$6:$DA$404,10,FALSE)-VLOOKUP($A156,'01-02.2022'!$A$6:$DA$376,10,FALSE)</f>
        <v>0</v>
      </c>
      <c r="K156" s="52">
        <f t="shared" si="155"/>
        <v>0</v>
      </c>
      <c r="L156" s="566">
        <f>VLOOKUP($A156,'01-02.2021'!$A$6:$CZ$403,12,FALSE)+VLOOKUP($A156,'1.3.21-28.2.22'!$A$6:$DA$404,12,FALSE)-VLOOKUP($A156,'01-02.2022'!$A$6:$DA$376,12,FALSE)</f>
        <v>0</v>
      </c>
      <c r="M156" s="566">
        <f>VLOOKUP($A156,'01-02.2021'!$A$6:$CZ$403,13,FALSE)+VLOOKUP($A156,'1.3.21-28.2.22'!$A$6:$DA$404,13,FALSE)-VLOOKUP($A156,'01-02.2022'!$A$6:$DA$376,13,FALSE)</f>
        <v>0</v>
      </c>
      <c r="N156" s="52">
        <f t="shared" si="156"/>
        <v>0</v>
      </c>
      <c r="O156" s="566">
        <f>VLOOKUP($A156,'01-02.2021'!$A$6:$CZ$403,15,FALSE)+VLOOKUP($A156,'1.3.21-28.2.22'!$A$6:$DA$404,15,FALSE)-VLOOKUP($A156,'01-02.2022'!$A$6:$DA$376,15,FALSE)</f>
        <v>0</v>
      </c>
      <c r="P156" s="566">
        <f>VLOOKUP($A156,'01-02.2021'!$A$6:$CZ$403,16,FALSE)+VLOOKUP($A156,'1.3.21-28.2.22'!$A$6:$DA$404,16,FALSE)-VLOOKUP($A156,'01-02.2022'!$A$6:$DA$376,16,FALSE)</f>
        <v>0</v>
      </c>
      <c r="Q156" s="70">
        <f t="shared" si="176"/>
        <v>0</v>
      </c>
      <c r="R156" s="566">
        <f>VLOOKUP($A156,'01-02.2021'!$A$6:$CZ$403,18,FALSE)+VLOOKUP($A156,'1.3.21-28.2.22'!$A$6:$DA$404,18,FALSE)-VLOOKUP($A156,'01-02.2022'!$A$6:$DA$376,18,FALSE)</f>
        <v>0</v>
      </c>
      <c r="S156" s="566">
        <f>VLOOKUP($A156,'01-02.2021'!$A$6:$CZ$403,19,FALSE)+VLOOKUP($A156,'1.3.21-28.2.22'!$A$6:$DA$404,19,FALSE)-VLOOKUP($A156,'01-02.2022'!$A$6:$DA$376,19,FALSE)</f>
        <v>0</v>
      </c>
      <c r="T156" s="70">
        <f t="shared" si="177"/>
        <v>0</v>
      </c>
      <c r="U156" s="566">
        <f>VLOOKUP($A156,'01-02.2021'!$A$6:$CZ$403,21,FALSE)+VLOOKUP($A156,'1.3.21-28.2.22'!$A$6:$DA$404,21,FALSE)-VLOOKUP($A156,'01-02.2022'!$A$6:$DA$376,21,FALSE)</f>
        <v>0</v>
      </c>
      <c r="V156" s="566">
        <f>VLOOKUP($A156,'01-02.2021'!$A$6:$CZ$403,22,FALSE)+VLOOKUP($A156,'1.3.21-28.2.22'!$A$6:$DA$404,22,FALSE)-VLOOKUP($A156,'01-02.2022'!$A$6:$DA$376,22,FALSE)</f>
        <v>0</v>
      </c>
      <c r="W156" s="70">
        <f t="shared" si="178"/>
        <v>0</v>
      </c>
      <c r="X156" s="566">
        <f>VLOOKUP($A156,'01-02.2021'!$A$6:$CZ$403,24,FALSE)+VLOOKUP($A156,'1.3.21-28.2.22'!$A$6:$DA$404,24,FALSE)-VLOOKUP($A156,'01-02.2022'!$A$6:$DA$376,24,FALSE)</f>
        <v>0</v>
      </c>
      <c r="Y156" s="566">
        <f>VLOOKUP($A156,'01-02.2021'!$A$6:$CZ$403,25,FALSE)+VLOOKUP($A156,'1.3.21-28.2.22'!$A$6:$DA$404,25,FALSE)-VLOOKUP($A156,'01-02.2022'!$A$6:$DA$376,25,FALSE)</f>
        <v>0</v>
      </c>
      <c r="Z156" s="70">
        <f t="shared" si="179"/>
        <v>0</v>
      </c>
      <c r="AA156" s="566">
        <f>VLOOKUP($A156,'01-02.2021'!$A$6:$CZ$403,27,FALSE)+VLOOKUP($A156,'1.3.21-28.2.22'!$A$6:$DA$404,27,FALSE)-VLOOKUP($A156,'01-02.2022'!$A$6:$DA$376,27,FALSE)</f>
        <v>42.980000000000004</v>
      </c>
      <c r="AB156" s="566">
        <f>VLOOKUP($A156,'01-02.2021'!$A$6:$CZ$403,28,FALSE)+VLOOKUP($A156,'1.3.21-28.2.22'!$A$6:$DA$404,28,FALSE)-VLOOKUP($A156,'01-02.2022'!$A$6:$DA$376,28,FALSE)</f>
        <v>0</v>
      </c>
      <c r="AC156" s="70">
        <f t="shared" si="180"/>
        <v>-42.980000000000004</v>
      </c>
      <c r="AD156" s="566">
        <f>VLOOKUP($A156,'01-02.2021'!$A$6:$CZ$403,30,FALSE)+VLOOKUP($A156,'1.3.21-28.2.22'!$A$6:$DA$404,30,FALSE)-VLOOKUP($A156,'01-02.2022'!$A$6:$DA$376,30,FALSE)</f>
        <v>322.75185464425556</v>
      </c>
      <c r="AE156" s="566">
        <f>VLOOKUP($A156,'01-02.2021'!$A$6:$CZ$403,31,FALSE)+VLOOKUP($A156,'1.3.21-28.2.22'!$A$6:$DA$404,31,FALSE)-VLOOKUP($A156,'01-02.2022'!$A$6:$DA$376,31,FALSE)</f>
        <v>978.23345880460158</v>
      </c>
      <c r="AF156" s="68">
        <f t="shared" si="181"/>
        <v>655.48160416034602</v>
      </c>
      <c r="AG156" s="77">
        <f t="shared" si="150"/>
        <v>365.73185464425558</v>
      </c>
      <c r="AH156" s="53">
        <f t="shared" si="150"/>
        <v>978.23345880460158</v>
      </c>
      <c r="AI156" s="52">
        <f t="shared" si="157"/>
        <v>612.50160416034601</v>
      </c>
      <c r="AJ156" s="566">
        <f>VLOOKUP($A156,'01-02.2021'!$A$6:$CZ$403,36,FALSE)+VLOOKUP($A156,'1.3.21-28.2.22'!$A$6:$DA$404,36,FALSE)-VLOOKUP($A156,'01-02.2022'!$A$6:$DA$376,36,FALSE)</f>
        <v>0</v>
      </c>
      <c r="AK156" s="566">
        <f>VLOOKUP($A156,'01-02.2021'!$A$6:$CZ$403,37,FALSE)+VLOOKUP($A156,'1.3.21-28.2.22'!$A$6:$DA$404,37,FALSE)-VLOOKUP($A156,'01-02.2022'!$A$6:$DA$376,37,FALSE)</f>
        <v>0</v>
      </c>
      <c r="AL156" s="70">
        <f t="shared" si="182"/>
        <v>0</v>
      </c>
      <c r="AM156" s="566">
        <f>VLOOKUP($A156,'01-02.2021'!$A$6:$CZ$403,39,FALSE)+VLOOKUP($A156,'1.3.21-28.2.22'!$A$6:$DA$404,39,FALSE)-VLOOKUP($A156,'01-02.2022'!$A$6:$DA$376,39,FALSE)</f>
        <v>0</v>
      </c>
      <c r="AN156" s="566">
        <f>VLOOKUP($A156,'01-02.2021'!$A$6:$CZ$403,40,FALSE)+VLOOKUP($A156,'1.3.21-28.2.22'!$A$6:$DA$404,40,FALSE)-VLOOKUP($A156,'01-02.2022'!$A$6:$DA$376,40,FALSE)</f>
        <v>0</v>
      </c>
      <c r="AO156" s="70">
        <f t="shared" si="183"/>
        <v>0</v>
      </c>
      <c r="AP156" s="566">
        <f>VLOOKUP($A156,'01-02.2021'!$A$6:$CZ$403,42,FALSE)+VLOOKUP($A156,'1.3.21-28.2.22'!$A$6:$DA$404,42,FALSE)-VLOOKUP($A156,'01-02.2022'!$A$6:$DA$376,42,FALSE)</f>
        <v>260.27996250638864</v>
      </c>
      <c r="AQ156" s="566">
        <f>VLOOKUP($A156,'01-02.2021'!$A$6:$CZ$403,43,FALSE)+VLOOKUP($A156,'1.3.21-28.2.22'!$A$6:$DA$404,43,FALSE)-VLOOKUP($A156,'01-02.2022'!$A$6:$DA$376,43,FALSE)</f>
        <v>227.67898242630088</v>
      </c>
      <c r="AR156" s="70">
        <f t="shared" si="184"/>
        <v>-32.600980080087766</v>
      </c>
      <c r="AS156" s="566">
        <f>VLOOKUP($A156,'01-02.2021'!$A$6:$CZ$403,45,FALSE)+VLOOKUP($A156,'1.3.21-28.2.22'!$A$6:$DA$404,45,FALSE)-VLOOKUP($A156,'01-02.2022'!$A$6:$DA$376,45,FALSE)</f>
        <v>1750.8882550578642</v>
      </c>
      <c r="AT156" s="566">
        <f>VLOOKUP($A156,'01-02.2021'!$A$6:$CZ$403,46,FALSE)+VLOOKUP($A156,'1.3.21-28.2.22'!$A$6:$DA$404,46,FALSE)-VLOOKUP($A156,'01-02.2022'!$A$6:$DA$376,46,FALSE)</f>
        <v>0</v>
      </c>
      <c r="AU156" s="78">
        <f t="shared" si="185"/>
        <v>-1750.8882550578642</v>
      </c>
      <c r="AV156" s="566">
        <f>VLOOKUP($A156,'01-02.2021'!$A$6:$CZ$403,48,FALSE)+VLOOKUP($A156,'1.3.21-28.2.22'!$A$6:$DA$404,48,FALSE)-VLOOKUP($A156,'01-02.2022'!$A$6:$DA$376,48,FALSE)</f>
        <v>0</v>
      </c>
      <c r="AW156" s="566">
        <f>VLOOKUP($A156,'01-02.2021'!$A$6:$CZ$403,49,FALSE)+VLOOKUP($A156,'1.3.21-28.2.22'!$A$6:$DA$404,49,FALSE)-VLOOKUP($A156,'01-02.2022'!$A$6:$DA$376,49,FALSE)</f>
        <v>0</v>
      </c>
      <c r="AX156" s="55">
        <f t="shared" si="186"/>
        <v>0</v>
      </c>
      <c r="AY156" s="566">
        <f>VLOOKUP($A156,'01-02.2021'!$A$6:$CZ$403,51,FALSE)+VLOOKUP($A156,'1.3.21-28.2.22'!$A$6:$DA$404,51,FALSE)-VLOOKUP($A156,'01-02.2022'!$A$6:$DA$376,51,FALSE)</f>
        <v>0</v>
      </c>
      <c r="AZ156" s="566">
        <f>VLOOKUP($A156,'01-02.2021'!$A$6:$CZ$403,52,FALSE)+VLOOKUP($A156,'1.3.21-28.2.22'!$A$6:$DA$404,52,FALSE)-VLOOKUP($A156,'01-02.2022'!$A$6:$DA$376,52,FALSE)</f>
        <v>0</v>
      </c>
      <c r="BA156" s="38">
        <f t="shared" si="187"/>
        <v>0</v>
      </c>
      <c r="BB156" s="566">
        <f>VLOOKUP($A156,'01-02.2021'!$A$6:$CZ$403,54,FALSE)+VLOOKUP($A156,'1.3.21-28.2.22'!$A$6:$DA$404,54,FALSE)-VLOOKUP($A156,'01-02.2022'!$A$6:$DA$376,54,FALSE)</f>
        <v>0</v>
      </c>
      <c r="BC156" s="566">
        <f>VLOOKUP($A156,'01-02.2021'!$A$6:$CZ$403,55,FALSE)+VLOOKUP($A156,'1.3.21-28.2.22'!$A$6:$DA$404,55,FALSE)-VLOOKUP($A156,'01-02.2022'!$A$6:$DA$376,55,FALSE)</f>
        <v>0</v>
      </c>
      <c r="BD156" s="55">
        <f t="shared" si="188"/>
        <v>0</v>
      </c>
      <c r="BE156" s="566">
        <f>VLOOKUP($A156,'01-02.2021'!$A$6:$CZ$403,57,FALSE)+VLOOKUP($A156,'1.3.21-28.2.22'!$A$6:$DA$404,57,FALSE)-VLOOKUP($A156,'01-02.2022'!$A$6:$DA$376,57,FALSE)</f>
        <v>0</v>
      </c>
      <c r="BF156" s="566">
        <f>VLOOKUP($A156,'01-02.2021'!$A$6:$CZ$403,58,FALSE)+VLOOKUP($A156,'1.3.21-28.2.22'!$A$6:$DA$404,58,FALSE)-VLOOKUP($A156,'01-02.2022'!$A$6:$DA$376,58,FALSE)</f>
        <v>0</v>
      </c>
      <c r="BG156" s="55">
        <f t="shared" si="189"/>
        <v>0</v>
      </c>
      <c r="BH156" s="566">
        <f>VLOOKUP($A156,'01-02.2021'!$A$6:$CZ$403,60,FALSE)+VLOOKUP($A156,'1.3.21-28.2.22'!$A$6:$DA$404,60,FALSE)-VLOOKUP($A156,'01-02.2022'!$A$6:$DA$376,60,FALSE)</f>
        <v>0</v>
      </c>
      <c r="BI156" s="566">
        <f>VLOOKUP($A156,'01-02.2021'!$A$6:$CZ$403,61,FALSE)+VLOOKUP($A156,'1.3.21-28.2.22'!$A$6:$DA$404,61,FALSE)-VLOOKUP($A156,'01-02.2022'!$A$6:$DA$376,61,FALSE)</f>
        <v>0</v>
      </c>
      <c r="BJ156" s="55">
        <f t="shared" si="190"/>
        <v>0</v>
      </c>
      <c r="BK156" s="566">
        <f>VLOOKUP($A156,'01-02.2021'!$A$6:$CZ$403,63,FALSE)+VLOOKUP($A156,'1.3.21-28.2.22'!$A$6:$DA$404,63,FALSE)-VLOOKUP($A156,'01-02.2022'!$A$6:$DA$376,63,FALSE)</f>
        <v>0</v>
      </c>
      <c r="BL156" s="566">
        <f>VLOOKUP($A156,'01-02.2021'!$A$6:$CZ$403,64,FALSE)+VLOOKUP($A156,'1.3.21-28.2.22'!$A$6:$DA$404,64,FALSE)-VLOOKUP($A156,'01-02.2022'!$A$6:$DA$376,64,FALSE)</f>
        <v>0</v>
      </c>
      <c r="BM156" s="55">
        <f t="shared" si="191"/>
        <v>0</v>
      </c>
      <c r="BN156" s="566">
        <f>VLOOKUP($A156,'01-02.2021'!$A$6:$CZ$403,66,FALSE)+VLOOKUP($A156,'1.3.21-28.2.22'!$A$6:$DA$404,66,FALSE)-VLOOKUP($A156,'01-02.2022'!$A$6:$DA$376,66,FALSE)</f>
        <v>10.745000000000001</v>
      </c>
      <c r="BO156" s="566">
        <f>VLOOKUP($A156,'01-02.2021'!$A$6:$CZ$403,67,FALSE)+VLOOKUP($A156,'1.3.21-28.2.22'!$A$6:$DA$404,67,FALSE)-VLOOKUP($A156,'01-02.2022'!$A$6:$DA$376,67,FALSE)</f>
        <v>0</v>
      </c>
      <c r="BP156" s="55">
        <f t="shared" si="192"/>
        <v>-10.745000000000001</v>
      </c>
      <c r="BQ156" s="77">
        <f t="shared" si="151"/>
        <v>10.745000000000001</v>
      </c>
      <c r="BR156" s="40">
        <f t="shared" si="152"/>
        <v>0</v>
      </c>
      <c r="BS156" s="55">
        <f t="shared" si="166"/>
        <v>-10.745000000000001</v>
      </c>
      <c r="BT156" s="566">
        <f>VLOOKUP($A156,'01-02.2021'!$A$6:$CZ$403,72,FALSE)+VLOOKUP($A156,'1.3.21-28.2.22'!$A$6:$DA$404,72,FALSE)-VLOOKUP($A156,'01-02.2022'!$A$6:$DA$376,72,FALSE)</f>
        <v>0</v>
      </c>
      <c r="BU156" s="566">
        <f>VLOOKUP($A156,'01-02.2021'!$A$6:$CZ$403,73,FALSE)+VLOOKUP($A156,'1.3.21-28.2.22'!$A$6:$DA$404,73,FALSE)-VLOOKUP($A156,'01-02.2022'!$A$6:$DA$376,73,FALSE)</f>
        <v>0</v>
      </c>
      <c r="BV156" s="70">
        <f t="shared" si="193"/>
        <v>0</v>
      </c>
      <c r="BW156" s="566">
        <f>VLOOKUP($A156,'01-02.2021'!$A$6:$CZ$403,75,FALSE)+VLOOKUP($A156,'1.3.21-28.2.22'!$A$6:$DA$404,75,FALSE)-VLOOKUP($A156,'01-02.2022'!$A$6:$DA$376,75,FALSE)</f>
        <v>0</v>
      </c>
      <c r="BX156" s="566">
        <f>VLOOKUP($A156,'01-02.2021'!$A$6:$CZ$403,76,FALSE)+VLOOKUP($A156,'1.3.21-28.2.22'!$A$6:$DA$404,76,FALSE)-VLOOKUP($A156,'01-02.2022'!$A$6:$DA$376,76,FALSE)</f>
        <v>4.8162508186533017</v>
      </c>
      <c r="BY156" s="70">
        <f t="shared" si="194"/>
        <v>4.8162508186533017</v>
      </c>
      <c r="BZ156" s="566">
        <f>VLOOKUP($A156,'01-02.2021'!$A$6:$CZ$403,78,FALSE)+VLOOKUP($A156,'1.3.21-28.2.22'!$A$6:$DA$404,78,FALSE)-VLOOKUP($A156,'01-02.2022'!$A$6:$DA$376,78,FALSE)</f>
        <v>0</v>
      </c>
      <c r="CA156" s="566">
        <f>VLOOKUP($A156,'01-02.2021'!$A$6:$CZ$403,79,FALSE)+VLOOKUP($A156,'1.3.21-28.2.22'!$A$6:$DA$404,79,FALSE)-VLOOKUP($A156,'01-02.2022'!$A$6:$DA$376,79,FALSE)</f>
        <v>0</v>
      </c>
      <c r="CB156" s="70">
        <f t="shared" si="195"/>
        <v>0</v>
      </c>
      <c r="CC156" s="566">
        <f>VLOOKUP($A156,'01-02.2021'!$A$6:$CZ$403,81,FALSE)+VLOOKUP($A156,'1.3.21-28.2.22'!$A$6:$DA$404,81,FALSE)-VLOOKUP($A156,'01-02.2022'!$A$6:$DA$376,81,FALSE)</f>
        <v>0</v>
      </c>
      <c r="CD156" s="566">
        <f>VLOOKUP($A156,'01-02.2021'!$A$6:$CZ$403,82,FALSE)+VLOOKUP($A156,'1.3.21-28.2.22'!$A$6:$DA$404,82,FALSE)-VLOOKUP($A156,'01-02.2022'!$A$6:$DA$376,82,FALSE)</f>
        <v>0</v>
      </c>
      <c r="CE156" s="70">
        <f t="shared" si="196"/>
        <v>0</v>
      </c>
      <c r="CF156" s="566">
        <f>VLOOKUP($A156,'01-02.2021'!$A$6:$CZ$403,84,FALSE)+VLOOKUP($A156,'1.3.21-28.2.22'!$A$6:$DA$404,84,FALSE)-VLOOKUP($A156,'01-02.2022'!$A$6:$DA$376,84,FALSE)</f>
        <v>0</v>
      </c>
      <c r="CG156" s="566">
        <f>VLOOKUP($A156,'01-02.2021'!$A$6:$CZ$403,85,FALSE)+VLOOKUP($A156,'1.3.21-28.2.22'!$A$6:$DA$404,85,FALSE)-VLOOKUP($A156,'01-02.2022'!$A$6:$DA$376,85,FALSE)</f>
        <v>0</v>
      </c>
      <c r="CH156" s="70">
        <f t="shared" si="197"/>
        <v>0</v>
      </c>
      <c r="CI156" s="566">
        <f>VLOOKUP($A156,'01-02.2021'!$A$6:$CZ$403,87,FALSE)+VLOOKUP($A156,'1.3.21-28.2.22'!$A$6:$DA$404,87,FALSE)-VLOOKUP($A156,'01-02.2022'!$A$6:$DA$376,87,FALSE)</f>
        <v>0</v>
      </c>
      <c r="CJ156" s="566">
        <f>VLOOKUP($A156,'01-02.2021'!$A$6:$CZ$403,88,FALSE)+VLOOKUP($A156,'1.3.21-28.2.22'!$A$6:$DA$404,88,FALSE)-VLOOKUP($A156,'01-02.2022'!$A$6:$DA$376,88,FALSE)</f>
        <v>0</v>
      </c>
      <c r="CK156" s="70">
        <f t="shared" si="198"/>
        <v>0</v>
      </c>
      <c r="CL156" s="566">
        <f>VLOOKUP($A156,'01-02.2021'!$A$6:$CZ$403,90,FALSE)+VLOOKUP($A156,'1.3.21-28.2.22'!$A$6:$DA$404,90,FALSE)-VLOOKUP($A156,'01-02.2022'!$A$6:$DA$376,90,FALSE)</f>
        <v>0</v>
      </c>
      <c r="CM156" s="566">
        <f>VLOOKUP($A156,'01-02.2021'!$A$6:$CZ$403,91,FALSE)+VLOOKUP($A156,'1.3.21-28.2.22'!$A$6:$DA$404,91,FALSE)-VLOOKUP($A156,'01-02.2022'!$A$6:$DA$376,91,FALSE)</f>
        <v>0</v>
      </c>
      <c r="CN156" s="52">
        <f t="shared" si="158"/>
        <v>0</v>
      </c>
      <c r="CO156" s="39">
        <f t="shared" si="153"/>
        <v>0</v>
      </c>
      <c r="CP156" s="40">
        <f t="shared" si="159"/>
        <v>0</v>
      </c>
      <c r="CQ156" s="52">
        <f t="shared" si="160"/>
        <v>0</v>
      </c>
      <c r="CR156" s="72">
        <f t="shared" si="154"/>
        <v>2387.6450722085083</v>
      </c>
      <c r="CS156" s="5">
        <f t="shared" si="154"/>
        <v>1210.7286920495558</v>
      </c>
      <c r="CT156" s="52">
        <f t="shared" si="161"/>
        <v>-1176.9163801589525</v>
      </c>
      <c r="CU156" s="77">
        <f t="shared" si="162"/>
        <v>2865.17408665021</v>
      </c>
      <c r="CV156" s="65">
        <f t="shared" si="163"/>
        <v>1452.8744304594668</v>
      </c>
      <c r="CW156" s="35">
        <f t="shared" si="164"/>
        <v>-1412.2996561907432</v>
      </c>
      <c r="CX156" s="566">
        <f>VLOOKUP($A156,'01-02.2021'!$A$6:$CZ$403,102,FALSE)+VLOOKUP($A156,'1.3.21-28.2.22'!$A$6:$DA$404,102,FALSE)-VLOOKUP($A156,'01-02.2022'!$A$6:$DA$376,102,FALSE)</f>
        <v>94.476779275491651</v>
      </c>
      <c r="CY156" s="566">
        <f>VLOOKUP($A156,'01-02.2021'!$A$6:$CZ$403,103,FALSE)+VLOOKUP($A156,'1.3.21-28.2.22'!$A$6:$DA$404,103,FALSE)-VLOOKUP($A156,'01-02.2022'!$A$6:$DA$376,103,FALSE)</f>
        <v>1506.7764354662347</v>
      </c>
      <c r="CZ156" s="52">
        <f t="shared" si="165"/>
        <v>1412.299656190743</v>
      </c>
      <c r="DA156" s="150">
        <f>'[2]побудинковий звіт'!DA156</f>
        <v>-3468.7622144670941</v>
      </c>
      <c r="DB156" s="2">
        <v>3</v>
      </c>
      <c r="DC156" s="414">
        <f>'[4]побудинковий звіт'!DC156</f>
        <v>251.23</v>
      </c>
      <c r="DD156" s="414">
        <f>'[4]побудинковий звіт'!DD156</f>
        <v>0</v>
      </c>
      <c r="DE156" s="557">
        <f>'[4]побудинковий звіт'!DE156</f>
        <v>-1.649944336006115E-2</v>
      </c>
      <c r="DF156" s="557">
        <f>'[4]побудинковий звіт'!DF156</f>
        <v>0</v>
      </c>
      <c r="DG156" s="321">
        <f>VLOOKUP(A156,'кошти 01.03.2021'!$A$6:$D$401,4,)</f>
        <v>-1942.0623758268928</v>
      </c>
      <c r="DH156" s="40">
        <f>'[3]побудинковий звіт'!DJ156</f>
        <v>2980.0316410858645</v>
      </c>
      <c r="DI156" s="422">
        <f>'[3]побудинковий звіт'!CU156+'[3]побудинковий звіт'!CX156</f>
        <v>251.24649944336008</v>
      </c>
      <c r="DJ156" s="306">
        <f>'[3]побудинковий звіт'!DM156</f>
        <v>1.1691321519002329</v>
      </c>
      <c r="DK156" s="306">
        <f t="shared" si="202"/>
        <v>1.1691321519002329</v>
      </c>
      <c r="DL156" s="306">
        <f>'[3]побудинковий звіт'!DO156</f>
        <v>1.1691321519002329</v>
      </c>
      <c r="DM156" s="28">
        <f t="shared" si="203"/>
        <v>251.24649944336005</v>
      </c>
      <c r="DN156" s="28">
        <f>H156*DL156</f>
        <v>0</v>
      </c>
      <c r="DO156" s="423">
        <f t="shared" si="171"/>
        <v>251.24649944336005</v>
      </c>
      <c r="DP156" s="94">
        <f t="shared" si="172"/>
        <v>0</v>
      </c>
      <c r="DQ156" s="28">
        <f t="shared" si="173"/>
        <v>251.24649944336005</v>
      </c>
      <c r="DR156" s="318"/>
      <c r="DT156" s="8"/>
      <c r="DU156" s="5"/>
      <c r="DX156" s="5">
        <f t="shared" si="174"/>
        <v>2113.9599060694368</v>
      </c>
      <c r="DY156" s="5">
        <f t="shared" si="175"/>
        <v>0</v>
      </c>
      <c r="DZ156" s="159">
        <f>'[3]побудинковий звіт'!EA156</f>
        <v>217.9095682066808</v>
      </c>
    </row>
    <row r="157" spans="1:130" x14ac:dyDescent="0.3">
      <c r="A157" s="325">
        <v>150000796</v>
      </c>
      <c r="B157" s="41" t="s">
        <v>606</v>
      </c>
      <c r="C157" s="42" t="s">
        <v>99</v>
      </c>
      <c r="D157" s="42"/>
      <c r="E157" s="293">
        <f t="shared" si="149"/>
        <v>181.38</v>
      </c>
      <c r="F157" s="305">
        <f>'[3]побудинковий звіт'!F157</f>
        <v>181.38</v>
      </c>
      <c r="G157" s="508">
        <f>'[3]побудинковий звіт'!G157</f>
        <v>0</v>
      </c>
      <c r="H157" s="560">
        <f>'[3]побудинковий звіт'!H157</f>
        <v>0</v>
      </c>
      <c r="I157" s="566">
        <f>VLOOKUP($A157,'01-02.2021'!$A$6:$CZ$403,9,FALSE)+VLOOKUP($A157,'1.3.21-28.2.22'!$A$6:$DA$404,9,FALSE)-VLOOKUP($A157,'01-02.2022'!$A$6:$DA$376,9,FALSE)</f>
        <v>0</v>
      </c>
      <c r="J157" s="566">
        <f>VLOOKUP($A157,'01-02.2021'!$A$6:$CZ$403,10,FALSE)+VLOOKUP($A157,'1.3.21-28.2.22'!$A$6:$DA$404,10,FALSE)-VLOOKUP($A157,'01-02.2022'!$A$6:$DA$376,10,FALSE)</f>
        <v>0</v>
      </c>
      <c r="K157" s="52">
        <f t="shared" si="155"/>
        <v>0</v>
      </c>
      <c r="L157" s="566">
        <f>VLOOKUP($A157,'01-02.2021'!$A$6:$CZ$403,12,FALSE)+VLOOKUP($A157,'1.3.21-28.2.22'!$A$6:$DA$404,12,FALSE)-VLOOKUP($A157,'01-02.2022'!$A$6:$DA$376,12,FALSE)</f>
        <v>0</v>
      </c>
      <c r="M157" s="566">
        <f>VLOOKUP($A157,'01-02.2021'!$A$6:$CZ$403,13,FALSE)+VLOOKUP($A157,'1.3.21-28.2.22'!$A$6:$DA$404,13,FALSE)-VLOOKUP($A157,'01-02.2022'!$A$6:$DA$376,13,FALSE)</f>
        <v>0</v>
      </c>
      <c r="N157" s="52">
        <f t="shared" si="156"/>
        <v>0</v>
      </c>
      <c r="O157" s="566">
        <f>VLOOKUP($A157,'01-02.2021'!$A$6:$CZ$403,15,FALSE)+VLOOKUP($A157,'1.3.21-28.2.22'!$A$6:$DA$404,15,FALSE)-VLOOKUP($A157,'01-02.2022'!$A$6:$DA$376,15,FALSE)</f>
        <v>154.53481175809168</v>
      </c>
      <c r="P157" s="566">
        <f>VLOOKUP($A157,'01-02.2021'!$A$6:$CZ$403,16,FALSE)+VLOOKUP($A157,'1.3.21-28.2.22'!$A$6:$DA$404,16,FALSE)-VLOOKUP($A157,'01-02.2022'!$A$6:$DA$376,16,FALSE)</f>
        <v>154.4466666666666</v>
      </c>
      <c r="Q157" s="70">
        <f t="shared" si="176"/>
        <v>-8.8145091425076316E-2</v>
      </c>
      <c r="R157" s="566">
        <f>VLOOKUP($A157,'01-02.2021'!$A$6:$CZ$403,18,FALSE)+VLOOKUP($A157,'1.3.21-28.2.22'!$A$6:$DA$404,18,FALSE)-VLOOKUP($A157,'01-02.2022'!$A$6:$DA$376,18,FALSE)</f>
        <v>0</v>
      </c>
      <c r="S157" s="566">
        <f>VLOOKUP($A157,'01-02.2021'!$A$6:$CZ$403,19,FALSE)+VLOOKUP($A157,'1.3.21-28.2.22'!$A$6:$DA$404,19,FALSE)-VLOOKUP($A157,'01-02.2022'!$A$6:$DA$376,19,FALSE)</f>
        <v>0</v>
      </c>
      <c r="T157" s="70">
        <f t="shared" si="177"/>
        <v>0</v>
      </c>
      <c r="U157" s="566">
        <f>VLOOKUP($A157,'01-02.2021'!$A$6:$CZ$403,21,FALSE)+VLOOKUP($A157,'1.3.21-28.2.22'!$A$6:$DA$404,21,FALSE)-VLOOKUP($A157,'01-02.2022'!$A$6:$DA$376,21,FALSE)</f>
        <v>0</v>
      </c>
      <c r="V157" s="566">
        <f>VLOOKUP($A157,'01-02.2021'!$A$6:$CZ$403,22,FALSE)+VLOOKUP($A157,'1.3.21-28.2.22'!$A$6:$DA$404,22,FALSE)-VLOOKUP($A157,'01-02.2022'!$A$6:$DA$376,22,FALSE)</f>
        <v>0</v>
      </c>
      <c r="W157" s="70">
        <f t="shared" si="178"/>
        <v>0</v>
      </c>
      <c r="X157" s="566">
        <f>VLOOKUP($A157,'01-02.2021'!$A$6:$CZ$403,24,FALSE)+VLOOKUP($A157,'1.3.21-28.2.22'!$A$6:$DA$404,24,FALSE)-VLOOKUP($A157,'01-02.2022'!$A$6:$DA$376,24,FALSE)</f>
        <v>0</v>
      </c>
      <c r="Y157" s="566">
        <f>VLOOKUP($A157,'01-02.2021'!$A$6:$CZ$403,25,FALSE)+VLOOKUP($A157,'1.3.21-28.2.22'!$A$6:$DA$404,25,FALSE)-VLOOKUP($A157,'01-02.2022'!$A$6:$DA$376,25,FALSE)</f>
        <v>0</v>
      </c>
      <c r="Z157" s="70">
        <f t="shared" si="179"/>
        <v>0</v>
      </c>
      <c r="AA157" s="566">
        <f>VLOOKUP($A157,'01-02.2021'!$A$6:$CZ$403,27,FALSE)+VLOOKUP($A157,'1.3.21-28.2.22'!$A$6:$DA$404,27,FALSE)-VLOOKUP($A157,'01-02.2022'!$A$6:$DA$376,27,FALSE)</f>
        <v>36.195999999999998</v>
      </c>
      <c r="AB157" s="566">
        <f>VLOOKUP($A157,'01-02.2021'!$A$6:$CZ$403,28,FALSE)+VLOOKUP($A157,'1.3.21-28.2.22'!$A$6:$DA$404,28,FALSE)-VLOOKUP($A157,'01-02.2022'!$A$6:$DA$376,28,FALSE)</f>
        <v>0</v>
      </c>
      <c r="AC157" s="70">
        <f t="shared" si="180"/>
        <v>-36.195999999999998</v>
      </c>
      <c r="AD157" s="566">
        <f>VLOOKUP($A157,'01-02.2021'!$A$6:$CZ$403,30,FALSE)+VLOOKUP($A157,'1.3.21-28.2.22'!$A$6:$DA$404,30,FALSE)-VLOOKUP($A157,'01-02.2022'!$A$6:$DA$376,30,FALSE)</f>
        <v>325.98322354195875</v>
      </c>
      <c r="AE157" s="566">
        <f>VLOOKUP($A157,'01-02.2021'!$A$6:$CZ$403,31,FALSE)+VLOOKUP($A157,'1.3.21-28.2.22'!$A$6:$DA$404,31,FALSE)-VLOOKUP($A157,'01-02.2022'!$A$6:$DA$376,31,FALSE)</f>
        <v>824.7126837459748</v>
      </c>
      <c r="AF157" s="68">
        <f t="shared" si="181"/>
        <v>498.72946020401605</v>
      </c>
      <c r="AG157" s="77">
        <f t="shared" si="150"/>
        <v>516.71403530005045</v>
      </c>
      <c r="AH157" s="53">
        <f t="shared" si="150"/>
        <v>979.1593504126414</v>
      </c>
      <c r="AI157" s="52">
        <f t="shared" si="157"/>
        <v>462.44531511259095</v>
      </c>
      <c r="AJ157" s="566">
        <f>VLOOKUP($A157,'01-02.2021'!$A$6:$CZ$403,36,FALSE)+VLOOKUP($A157,'1.3.21-28.2.22'!$A$6:$DA$404,36,FALSE)-VLOOKUP($A157,'01-02.2022'!$A$6:$DA$376,36,FALSE)</f>
        <v>0</v>
      </c>
      <c r="AK157" s="566">
        <f>VLOOKUP($A157,'01-02.2021'!$A$6:$CZ$403,37,FALSE)+VLOOKUP($A157,'1.3.21-28.2.22'!$A$6:$DA$404,37,FALSE)-VLOOKUP($A157,'01-02.2022'!$A$6:$DA$376,37,FALSE)</f>
        <v>0</v>
      </c>
      <c r="AL157" s="70">
        <f t="shared" si="182"/>
        <v>0</v>
      </c>
      <c r="AM157" s="566">
        <f>VLOOKUP($A157,'01-02.2021'!$A$6:$CZ$403,39,FALSE)+VLOOKUP($A157,'1.3.21-28.2.22'!$A$6:$DA$404,39,FALSE)-VLOOKUP($A157,'01-02.2022'!$A$6:$DA$376,39,FALSE)</f>
        <v>0</v>
      </c>
      <c r="AN157" s="566">
        <f>VLOOKUP($A157,'01-02.2021'!$A$6:$CZ$403,40,FALSE)+VLOOKUP($A157,'1.3.21-28.2.22'!$A$6:$DA$404,40,FALSE)-VLOOKUP($A157,'01-02.2022'!$A$6:$DA$376,40,FALSE)</f>
        <v>0</v>
      </c>
      <c r="AO157" s="70">
        <f t="shared" si="183"/>
        <v>0</v>
      </c>
      <c r="AP157" s="566">
        <f>VLOOKUP($A157,'01-02.2021'!$A$6:$CZ$403,42,FALSE)+VLOOKUP($A157,'1.3.21-28.2.22'!$A$6:$DA$404,42,FALSE)-VLOOKUP($A157,'01-02.2022'!$A$6:$DA$376,42,FALSE)</f>
        <v>65.069990626597161</v>
      </c>
      <c r="AQ157" s="566">
        <f>VLOOKUP($A157,'01-02.2021'!$A$6:$CZ$403,43,FALSE)+VLOOKUP($A157,'1.3.21-28.2.22'!$A$6:$DA$404,43,FALSE)-VLOOKUP($A157,'01-02.2022'!$A$6:$DA$376,43,FALSE)</f>
        <v>55.546828412264546</v>
      </c>
      <c r="AR157" s="70">
        <f t="shared" si="184"/>
        <v>-9.5231622143326149</v>
      </c>
      <c r="AS157" s="566">
        <f>VLOOKUP($A157,'01-02.2021'!$A$6:$CZ$403,45,FALSE)+VLOOKUP($A157,'1.3.21-28.2.22'!$A$6:$DA$404,45,FALSE)-VLOOKUP($A157,'01-02.2022'!$A$6:$DA$376,45,FALSE)</f>
        <v>1706.732197937677</v>
      </c>
      <c r="AT157" s="566">
        <f>VLOOKUP($A157,'01-02.2021'!$A$6:$CZ$403,46,FALSE)+VLOOKUP($A157,'1.3.21-28.2.22'!$A$6:$DA$404,46,FALSE)-VLOOKUP($A157,'01-02.2022'!$A$6:$DA$376,46,FALSE)</f>
        <v>880</v>
      </c>
      <c r="AU157" s="78">
        <f t="shared" si="185"/>
        <v>-826.73219793767703</v>
      </c>
      <c r="AV157" s="566">
        <f>VLOOKUP($A157,'01-02.2021'!$A$6:$CZ$403,48,FALSE)+VLOOKUP($A157,'1.3.21-28.2.22'!$A$6:$DA$404,48,FALSE)-VLOOKUP($A157,'01-02.2022'!$A$6:$DA$376,48,FALSE)</f>
        <v>0</v>
      </c>
      <c r="AW157" s="566">
        <f>VLOOKUP($A157,'01-02.2021'!$A$6:$CZ$403,49,FALSE)+VLOOKUP($A157,'1.3.21-28.2.22'!$A$6:$DA$404,49,FALSE)-VLOOKUP($A157,'01-02.2022'!$A$6:$DA$376,49,FALSE)</f>
        <v>0</v>
      </c>
      <c r="AX157" s="55">
        <f t="shared" si="186"/>
        <v>0</v>
      </c>
      <c r="AY157" s="566">
        <f>VLOOKUP($A157,'01-02.2021'!$A$6:$CZ$403,51,FALSE)+VLOOKUP($A157,'1.3.21-28.2.22'!$A$6:$DA$404,51,FALSE)-VLOOKUP($A157,'01-02.2022'!$A$6:$DA$376,51,FALSE)</f>
        <v>0</v>
      </c>
      <c r="AZ157" s="566">
        <f>VLOOKUP($A157,'01-02.2021'!$A$6:$CZ$403,52,FALSE)+VLOOKUP($A157,'1.3.21-28.2.22'!$A$6:$DA$404,52,FALSE)-VLOOKUP($A157,'01-02.2022'!$A$6:$DA$376,52,FALSE)</f>
        <v>0</v>
      </c>
      <c r="BA157" s="38">
        <f t="shared" si="187"/>
        <v>0</v>
      </c>
      <c r="BB157" s="566">
        <f>VLOOKUP($A157,'01-02.2021'!$A$6:$CZ$403,54,FALSE)+VLOOKUP($A157,'1.3.21-28.2.22'!$A$6:$DA$404,54,FALSE)-VLOOKUP($A157,'01-02.2022'!$A$6:$DA$376,54,FALSE)</f>
        <v>53.024587524177207</v>
      </c>
      <c r="BC157" s="566">
        <f>VLOOKUP($A157,'01-02.2021'!$A$6:$CZ$403,55,FALSE)+VLOOKUP($A157,'1.3.21-28.2.22'!$A$6:$DA$404,55,FALSE)-VLOOKUP($A157,'01-02.2022'!$A$6:$DA$376,55,FALSE)</f>
        <v>0</v>
      </c>
      <c r="BD157" s="55">
        <f t="shared" si="188"/>
        <v>-53.024587524177207</v>
      </c>
      <c r="BE157" s="566">
        <f>VLOOKUP($A157,'01-02.2021'!$A$6:$CZ$403,57,FALSE)+VLOOKUP($A157,'1.3.21-28.2.22'!$A$6:$DA$404,57,FALSE)-VLOOKUP($A157,'01-02.2022'!$A$6:$DA$376,57,FALSE)</f>
        <v>0</v>
      </c>
      <c r="BF157" s="566">
        <f>VLOOKUP($A157,'01-02.2021'!$A$6:$CZ$403,58,FALSE)+VLOOKUP($A157,'1.3.21-28.2.22'!$A$6:$DA$404,58,FALSE)-VLOOKUP($A157,'01-02.2022'!$A$6:$DA$376,58,FALSE)</f>
        <v>0</v>
      </c>
      <c r="BG157" s="55">
        <f t="shared" si="189"/>
        <v>0</v>
      </c>
      <c r="BH157" s="566">
        <f>VLOOKUP($A157,'01-02.2021'!$A$6:$CZ$403,60,FALSE)+VLOOKUP($A157,'1.3.21-28.2.22'!$A$6:$DA$404,60,FALSE)-VLOOKUP($A157,'01-02.2022'!$A$6:$DA$376,60,FALSE)</f>
        <v>0</v>
      </c>
      <c r="BI157" s="566">
        <f>VLOOKUP($A157,'01-02.2021'!$A$6:$CZ$403,61,FALSE)+VLOOKUP($A157,'1.3.21-28.2.22'!$A$6:$DA$404,61,FALSE)-VLOOKUP($A157,'01-02.2022'!$A$6:$DA$376,61,FALSE)</f>
        <v>0</v>
      </c>
      <c r="BJ157" s="55">
        <f t="shared" si="190"/>
        <v>0</v>
      </c>
      <c r="BK157" s="566">
        <f>VLOOKUP($A157,'01-02.2021'!$A$6:$CZ$403,63,FALSE)+VLOOKUP($A157,'1.3.21-28.2.22'!$A$6:$DA$404,63,FALSE)-VLOOKUP($A157,'01-02.2022'!$A$6:$DA$376,63,FALSE)</f>
        <v>0</v>
      </c>
      <c r="BL157" s="566">
        <f>VLOOKUP($A157,'01-02.2021'!$A$6:$CZ$403,64,FALSE)+VLOOKUP($A157,'1.3.21-28.2.22'!$A$6:$DA$404,64,FALSE)-VLOOKUP($A157,'01-02.2022'!$A$6:$DA$376,64,FALSE)</f>
        <v>0</v>
      </c>
      <c r="BM157" s="55">
        <f t="shared" si="191"/>
        <v>0</v>
      </c>
      <c r="BN157" s="566">
        <f>VLOOKUP($A157,'01-02.2021'!$A$6:$CZ$403,66,FALSE)+VLOOKUP($A157,'1.3.21-28.2.22'!$A$6:$DA$404,66,FALSE)-VLOOKUP($A157,'01-02.2022'!$A$6:$DA$376,66,FALSE)</f>
        <v>9.0489999999999995</v>
      </c>
      <c r="BO157" s="566">
        <f>VLOOKUP($A157,'01-02.2021'!$A$6:$CZ$403,67,FALSE)+VLOOKUP($A157,'1.3.21-28.2.22'!$A$6:$DA$404,67,FALSE)-VLOOKUP($A157,'01-02.2022'!$A$6:$DA$376,67,FALSE)</f>
        <v>0</v>
      </c>
      <c r="BP157" s="55">
        <f t="shared" si="192"/>
        <v>-9.0489999999999995</v>
      </c>
      <c r="BQ157" s="77">
        <f t="shared" ref="BQ157:BQ167" si="204">AV157+AY157+BB157+BE157+BH157+BK157+BN157</f>
        <v>62.073587524177206</v>
      </c>
      <c r="BR157" s="40">
        <f t="shared" ref="BR157:BR168" si="205">AW157+AZ157+BC157+BF157+BI157+BL157+BO157</f>
        <v>0</v>
      </c>
      <c r="BS157" s="55">
        <f t="shared" si="166"/>
        <v>-62.073587524177206</v>
      </c>
      <c r="BT157" s="566">
        <f>VLOOKUP($A157,'01-02.2021'!$A$6:$CZ$403,72,FALSE)+VLOOKUP($A157,'1.3.21-28.2.22'!$A$6:$DA$404,72,FALSE)-VLOOKUP($A157,'01-02.2022'!$A$6:$DA$376,72,FALSE)</f>
        <v>0</v>
      </c>
      <c r="BU157" s="566">
        <f>VLOOKUP($A157,'01-02.2021'!$A$6:$CZ$403,73,FALSE)+VLOOKUP($A157,'1.3.21-28.2.22'!$A$6:$DA$404,73,FALSE)-VLOOKUP($A157,'01-02.2022'!$A$6:$DA$376,73,FALSE)</f>
        <v>0</v>
      </c>
      <c r="BV157" s="70">
        <f t="shared" si="193"/>
        <v>0</v>
      </c>
      <c r="BW157" s="566">
        <f>VLOOKUP($A157,'01-02.2021'!$A$6:$CZ$403,75,FALSE)+VLOOKUP($A157,'1.3.21-28.2.22'!$A$6:$DA$404,75,FALSE)-VLOOKUP($A157,'01-02.2022'!$A$6:$DA$376,75,FALSE)</f>
        <v>0</v>
      </c>
      <c r="BX157" s="566">
        <f>VLOOKUP($A157,'01-02.2021'!$A$6:$CZ$403,76,FALSE)+VLOOKUP($A157,'1.3.21-28.2.22'!$A$6:$DA$404,76,FALSE)-VLOOKUP($A157,'01-02.2022'!$A$6:$DA$376,76,FALSE)</f>
        <v>4.0612907054012446</v>
      </c>
      <c r="BY157" s="70">
        <f t="shared" si="194"/>
        <v>4.0612907054012446</v>
      </c>
      <c r="BZ157" s="566">
        <f>VLOOKUP($A157,'01-02.2021'!$A$6:$CZ$403,78,FALSE)+VLOOKUP($A157,'1.3.21-28.2.22'!$A$6:$DA$404,78,FALSE)-VLOOKUP($A157,'01-02.2022'!$A$6:$DA$376,78,FALSE)</f>
        <v>0</v>
      </c>
      <c r="CA157" s="566">
        <f>VLOOKUP($A157,'01-02.2021'!$A$6:$CZ$403,79,FALSE)+VLOOKUP($A157,'1.3.21-28.2.22'!$A$6:$DA$404,79,FALSE)-VLOOKUP($A157,'01-02.2022'!$A$6:$DA$376,79,FALSE)</f>
        <v>0</v>
      </c>
      <c r="CB157" s="70">
        <f t="shared" si="195"/>
        <v>0</v>
      </c>
      <c r="CC157" s="566">
        <f>VLOOKUP($A157,'01-02.2021'!$A$6:$CZ$403,81,FALSE)+VLOOKUP($A157,'1.3.21-28.2.22'!$A$6:$DA$404,81,FALSE)-VLOOKUP($A157,'01-02.2022'!$A$6:$DA$376,81,FALSE)</f>
        <v>0</v>
      </c>
      <c r="CD157" s="566">
        <f>VLOOKUP($A157,'01-02.2021'!$A$6:$CZ$403,82,FALSE)+VLOOKUP($A157,'1.3.21-28.2.22'!$A$6:$DA$404,82,FALSE)-VLOOKUP($A157,'01-02.2022'!$A$6:$DA$376,82,FALSE)</f>
        <v>0</v>
      </c>
      <c r="CE157" s="70">
        <f t="shared" si="196"/>
        <v>0</v>
      </c>
      <c r="CF157" s="566">
        <f>VLOOKUP($A157,'01-02.2021'!$A$6:$CZ$403,84,FALSE)+VLOOKUP($A157,'1.3.21-28.2.22'!$A$6:$DA$404,84,FALSE)-VLOOKUP($A157,'01-02.2022'!$A$6:$DA$376,84,FALSE)</f>
        <v>0</v>
      </c>
      <c r="CG157" s="566">
        <f>VLOOKUP($A157,'01-02.2021'!$A$6:$CZ$403,85,FALSE)+VLOOKUP($A157,'1.3.21-28.2.22'!$A$6:$DA$404,85,FALSE)-VLOOKUP($A157,'01-02.2022'!$A$6:$DA$376,85,FALSE)</f>
        <v>0</v>
      </c>
      <c r="CH157" s="70">
        <f t="shared" si="197"/>
        <v>0</v>
      </c>
      <c r="CI157" s="566">
        <f>VLOOKUP($A157,'01-02.2021'!$A$6:$CZ$403,87,FALSE)+VLOOKUP($A157,'1.3.21-28.2.22'!$A$6:$DA$404,87,FALSE)-VLOOKUP($A157,'01-02.2022'!$A$6:$DA$376,87,FALSE)</f>
        <v>0</v>
      </c>
      <c r="CJ157" s="566">
        <f>VLOOKUP($A157,'01-02.2021'!$A$6:$CZ$403,88,FALSE)+VLOOKUP($A157,'1.3.21-28.2.22'!$A$6:$DA$404,88,FALSE)-VLOOKUP($A157,'01-02.2022'!$A$6:$DA$376,88,FALSE)</f>
        <v>0</v>
      </c>
      <c r="CK157" s="70">
        <f t="shared" si="198"/>
        <v>0</v>
      </c>
      <c r="CL157" s="566">
        <f>VLOOKUP($A157,'01-02.2021'!$A$6:$CZ$403,90,FALSE)+VLOOKUP($A157,'1.3.21-28.2.22'!$A$6:$DA$404,90,FALSE)-VLOOKUP($A157,'01-02.2022'!$A$6:$DA$376,90,FALSE)</f>
        <v>0</v>
      </c>
      <c r="CM157" s="566">
        <f>VLOOKUP($A157,'01-02.2021'!$A$6:$CZ$403,91,FALSE)+VLOOKUP($A157,'1.3.21-28.2.22'!$A$6:$DA$404,91,FALSE)-VLOOKUP($A157,'01-02.2022'!$A$6:$DA$376,91,FALSE)</f>
        <v>0</v>
      </c>
      <c r="CN157" s="52">
        <f t="shared" si="158"/>
        <v>0</v>
      </c>
      <c r="CO157" s="39">
        <f t="shared" si="153"/>
        <v>0</v>
      </c>
      <c r="CP157" s="40">
        <f t="shared" si="159"/>
        <v>0</v>
      </c>
      <c r="CQ157" s="52">
        <f t="shared" si="160"/>
        <v>0</v>
      </c>
      <c r="CR157" s="72">
        <f t="shared" si="154"/>
        <v>2350.5898113885019</v>
      </c>
      <c r="CS157" s="5">
        <f t="shared" si="154"/>
        <v>1918.7674695303072</v>
      </c>
      <c r="CT157" s="52">
        <f t="shared" si="161"/>
        <v>-431.8223418581947</v>
      </c>
      <c r="CU157" s="77">
        <f t="shared" si="162"/>
        <v>2820.7077736662022</v>
      </c>
      <c r="CV157" s="65">
        <f t="shared" si="163"/>
        <v>2302.5209634363687</v>
      </c>
      <c r="CW157" s="35">
        <f t="shared" si="164"/>
        <v>-518.18681022983355</v>
      </c>
      <c r="CX157" s="566">
        <f>VLOOKUP($A157,'01-02.2021'!$A$6:$CZ$403,102,FALSE)+VLOOKUP($A157,'1.3.21-28.2.22'!$A$6:$DA$404,102,FALSE)-VLOOKUP($A157,'01-02.2022'!$A$6:$DA$376,102,FALSE)</f>
        <v>89.909103682948725</v>
      </c>
      <c r="CY157" s="566">
        <f>VLOOKUP($A157,'01-02.2021'!$A$6:$CZ$403,103,FALSE)+VLOOKUP($A157,'1.3.21-28.2.22'!$A$6:$DA$404,103,FALSE)-VLOOKUP($A157,'01-02.2022'!$A$6:$DA$376,103,FALSE)</f>
        <v>608.09591391278252</v>
      </c>
      <c r="CZ157" s="52">
        <f t="shared" si="165"/>
        <v>518.18681022983378</v>
      </c>
      <c r="DA157" s="150">
        <f>'[2]побудинковий звіт'!DA157</f>
        <v>-2024.1660367646873</v>
      </c>
      <c r="DB157" s="2">
        <v>3</v>
      </c>
      <c r="DC157" s="414">
        <f>'[4]побудинковий звіт'!DC157</f>
        <v>282.62</v>
      </c>
      <c r="DD157" s="414">
        <f>'[4]побудинковий звіт'!DD157</f>
        <v>0</v>
      </c>
      <c r="DE157" s="557">
        <f>'[4]побудинковий звіт'!DE157</f>
        <v>21.402180291115656</v>
      </c>
      <c r="DF157" s="557">
        <f>'[4]побудинковий звіт'!DF157</f>
        <v>0</v>
      </c>
      <c r="DG157" s="321">
        <f>VLOOKUP(A157,'кошти 01.03.2021'!$A$6:$D$401,4,)</f>
        <v>-1346.226270155654</v>
      </c>
      <c r="DH157" s="40">
        <f>'[3]побудинковий звіт'!DJ157</f>
        <v>2998.6459660300316</v>
      </c>
      <c r="DI157" s="422">
        <f>'[3]побудинковий звіт'!CU157+'[3]побудинковий звіт'!CX157</f>
        <v>261.21781970888435</v>
      </c>
      <c r="DJ157" s="306">
        <f>'[3]побудинковий звіт'!DM157</f>
        <v>1.440168815243601</v>
      </c>
      <c r="DK157" s="306">
        <f t="shared" si="202"/>
        <v>1.440168815243601</v>
      </c>
      <c r="DL157" s="306">
        <f>'[3]побудинковий звіт'!DO157</f>
        <v>1.440168815243601</v>
      </c>
      <c r="DM157" s="28">
        <f t="shared" si="203"/>
        <v>261.21781970888435</v>
      </c>
      <c r="DN157" s="28">
        <f>H157*DL157</f>
        <v>0</v>
      </c>
      <c r="DO157" s="423">
        <f t="shared" si="171"/>
        <v>261.21781970888435</v>
      </c>
      <c r="DP157" s="94">
        <f t="shared" si="172"/>
        <v>0</v>
      </c>
      <c r="DQ157" s="28">
        <f t="shared" si="173"/>
        <v>261.21781970888435</v>
      </c>
      <c r="DR157" s="318"/>
      <c r="DT157" s="8"/>
      <c r="DU157" s="5"/>
      <c r="DX157" s="5">
        <f t="shared" si="174"/>
        <v>2122.5669425542251</v>
      </c>
      <c r="DY157" s="5">
        <f t="shared" si="175"/>
        <v>1056</v>
      </c>
      <c r="DZ157" s="159">
        <f>'[3]побудинковий звіт'!EA157</f>
        <v>232.13326935367442</v>
      </c>
    </row>
    <row r="158" spans="1:130" x14ac:dyDescent="0.3">
      <c r="A158" s="325">
        <v>150001008</v>
      </c>
      <c r="B158" s="41" t="s">
        <v>607</v>
      </c>
      <c r="C158" s="42" t="s">
        <v>212</v>
      </c>
      <c r="D158" s="42"/>
      <c r="E158" s="293">
        <f t="shared" si="149"/>
        <v>1485.6</v>
      </c>
      <c r="F158" s="305">
        <f>'[3]побудинковий звіт'!F158</f>
        <v>1440.1</v>
      </c>
      <c r="G158" s="508">
        <f>'[3]побудинковий звіт'!G158</f>
        <v>0</v>
      </c>
      <c r="H158" s="560">
        <f>'[3]побудинковий звіт'!H158</f>
        <v>45.5</v>
      </c>
      <c r="I158" s="566">
        <f>VLOOKUP($A158,'01-02.2021'!$A$6:$CZ$403,9,FALSE)+VLOOKUP($A158,'1.3.21-28.2.22'!$A$6:$DA$404,9,FALSE)-VLOOKUP($A158,'01-02.2022'!$A$6:$DA$376,9,FALSE)</f>
        <v>4895.9705736644983</v>
      </c>
      <c r="J158" s="566">
        <f>VLOOKUP($A158,'01-02.2021'!$A$6:$CZ$403,10,FALSE)+VLOOKUP($A158,'1.3.21-28.2.22'!$A$6:$DA$404,10,FALSE)-VLOOKUP($A158,'01-02.2022'!$A$6:$DA$376,10,FALSE)</f>
        <v>5378.6251391380274</v>
      </c>
      <c r="K158" s="52">
        <f t="shared" si="155"/>
        <v>482.65456547352915</v>
      </c>
      <c r="L158" s="566">
        <f>VLOOKUP($A158,'01-02.2021'!$A$6:$CZ$403,12,FALSE)+VLOOKUP($A158,'1.3.21-28.2.22'!$A$6:$DA$404,12,FALSE)-VLOOKUP($A158,'01-02.2022'!$A$6:$DA$376,12,FALSE)</f>
        <v>885.35883585127067</v>
      </c>
      <c r="M158" s="566">
        <f>VLOOKUP($A158,'01-02.2021'!$A$6:$CZ$403,13,FALSE)+VLOOKUP($A158,'1.3.21-28.2.22'!$A$6:$DA$404,13,FALSE)-VLOOKUP($A158,'01-02.2022'!$A$6:$DA$376,13,FALSE)</f>
        <v>974.81010179035036</v>
      </c>
      <c r="N158" s="52">
        <f t="shared" si="156"/>
        <v>89.45126593907969</v>
      </c>
      <c r="O158" s="566">
        <f>VLOOKUP($A158,'01-02.2021'!$A$6:$CZ$403,15,FALSE)+VLOOKUP($A158,'1.3.21-28.2.22'!$A$6:$DA$404,15,FALSE)-VLOOKUP($A158,'01-02.2022'!$A$6:$DA$376,15,FALSE)</f>
        <v>1956.5837386293326</v>
      </c>
      <c r="P158" s="566">
        <f>VLOOKUP($A158,'01-02.2021'!$A$6:$CZ$403,16,FALSE)+VLOOKUP($A158,'1.3.21-28.2.22'!$A$6:$DA$404,16,FALSE)-VLOOKUP($A158,'01-02.2022'!$A$6:$DA$376,16,FALSE)</f>
        <v>1956.5899999999995</v>
      </c>
      <c r="Q158" s="70">
        <f t="shared" si="176"/>
        <v>6.2613706668344093E-3</v>
      </c>
      <c r="R158" s="566">
        <f>VLOOKUP($A158,'01-02.2021'!$A$6:$CZ$403,18,FALSE)+VLOOKUP($A158,'1.3.21-28.2.22'!$A$6:$DA$404,18,FALSE)-VLOOKUP($A158,'01-02.2022'!$A$6:$DA$376,18,FALSE)</f>
        <v>0</v>
      </c>
      <c r="S158" s="566">
        <f>VLOOKUP($A158,'01-02.2021'!$A$6:$CZ$403,19,FALSE)+VLOOKUP($A158,'1.3.21-28.2.22'!$A$6:$DA$404,19,FALSE)-VLOOKUP($A158,'01-02.2022'!$A$6:$DA$376,19,FALSE)</f>
        <v>0</v>
      </c>
      <c r="T158" s="70">
        <f t="shared" si="177"/>
        <v>0</v>
      </c>
      <c r="U158" s="566">
        <f>VLOOKUP($A158,'01-02.2021'!$A$6:$CZ$403,21,FALSE)+VLOOKUP($A158,'1.3.21-28.2.22'!$A$6:$DA$404,21,FALSE)-VLOOKUP($A158,'01-02.2022'!$A$6:$DA$376,21,FALSE)</f>
        <v>0</v>
      </c>
      <c r="V158" s="566">
        <f>VLOOKUP($A158,'01-02.2021'!$A$6:$CZ$403,22,FALSE)+VLOOKUP($A158,'1.3.21-28.2.22'!$A$6:$DA$404,22,FALSE)-VLOOKUP($A158,'01-02.2022'!$A$6:$DA$376,22,FALSE)</f>
        <v>0</v>
      </c>
      <c r="W158" s="70">
        <f t="shared" si="178"/>
        <v>0</v>
      </c>
      <c r="X158" s="566">
        <f>VLOOKUP($A158,'01-02.2021'!$A$6:$CZ$403,24,FALSE)+VLOOKUP($A158,'1.3.21-28.2.22'!$A$6:$DA$404,24,FALSE)-VLOOKUP($A158,'01-02.2022'!$A$6:$DA$376,24,FALSE)</f>
        <v>2611.3472324080158</v>
      </c>
      <c r="Y158" s="566">
        <f>VLOOKUP($A158,'01-02.2021'!$A$6:$CZ$403,25,FALSE)+VLOOKUP($A158,'1.3.21-28.2.22'!$A$6:$DA$404,25,FALSE)-VLOOKUP($A158,'01-02.2022'!$A$6:$DA$376,25,FALSE)</f>
        <v>2951.4780049180026</v>
      </c>
      <c r="Z158" s="70">
        <f t="shared" si="179"/>
        <v>340.13077250998685</v>
      </c>
      <c r="AA158" s="566">
        <f>VLOOKUP($A158,'01-02.2021'!$A$6:$CZ$403,27,FALSE)+VLOOKUP($A158,'1.3.21-28.2.22'!$A$6:$DA$404,27,FALSE)-VLOOKUP($A158,'01-02.2022'!$A$6:$DA$376,27,FALSE)</f>
        <v>297.12</v>
      </c>
      <c r="AB158" s="566">
        <f>VLOOKUP($A158,'01-02.2021'!$A$6:$CZ$403,28,FALSE)+VLOOKUP($A158,'1.3.21-28.2.22'!$A$6:$DA$404,28,FALSE)-VLOOKUP($A158,'01-02.2022'!$A$6:$DA$376,28,FALSE)</f>
        <v>0</v>
      </c>
      <c r="AC158" s="70">
        <f t="shared" si="180"/>
        <v>-297.12</v>
      </c>
      <c r="AD158" s="566">
        <f>VLOOKUP($A158,'01-02.2021'!$A$6:$CZ$403,30,FALSE)+VLOOKUP($A158,'1.3.21-28.2.22'!$A$6:$DA$404,30,FALSE)-VLOOKUP($A158,'01-02.2022'!$A$6:$DA$376,30,FALSE)</f>
        <v>6376.5364143611996</v>
      </c>
      <c r="AE158" s="566">
        <f>VLOOKUP($A158,'01-02.2021'!$A$6:$CZ$403,31,FALSE)+VLOOKUP($A158,'1.3.21-28.2.22'!$A$6:$DA$404,31,FALSE)-VLOOKUP($A158,'01-02.2022'!$A$6:$DA$376,31,FALSE)</f>
        <v>6762.5110581671288</v>
      </c>
      <c r="AF158" s="68">
        <f t="shared" si="181"/>
        <v>385.97464380592919</v>
      </c>
      <c r="AG158" s="77">
        <f t="shared" si="150"/>
        <v>17022.916794914319</v>
      </c>
      <c r="AH158" s="53">
        <f t="shared" si="150"/>
        <v>18024.014304013508</v>
      </c>
      <c r="AI158" s="52">
        <f t="shared" si="157"/>
        <v>1001.0975090991888</v>
      </c>
      <c r="AJ158" s="566">
        <f>VLOOKUP($A158,'01-02.2021'!$A$6:$CZ$403,36,FALSE)+VLOOKUP($A158,'1.3.21-28.2.22'!$A$6:$DA$404,36,FALSE)-VLOOKUP($A158,'01-02.2022'!$A$6:$DA$376,36,FALSE)</f>
        <v>0</v>
      </c>
      <c r="AK158" s="566">
        <f>VLOOKUP($A158,'01-02.2021'!$A$6:$CZ$403,37,FALSE)+VLOOKUP($A158,'1.3.21-28.2.22'!$A$6:$DA$404,37,FALSE)-VLOOKUP($A158,'01-02.2022'!$A$6:$DA$376,37,FALSE)</f>
        <v>0</v>
      </c>
      <c r="AL158" s="70">
        <f t="shared" si="182"/>
        <v>0</v>
      </c>
      <c r="AM158" s="566">
        <f>VLOOKUP($A158,'01-02.2021'!$A$6:$CZ$403,39,FALSE)+VLOOKUP($A158,'1.3.21-28.2.22'!$A$6:$DA$404,39,FALSE)-VLOOKUP($A158,'01-02.2022'!$A$6:$DA$376,39,FALSE)</f>
        <v>0</v>
      </c>
      <c r="AN158" s="566">
        <f>VLOOKUP($A158,'01-02.2021'!$A$6:$CZ$403,40,FALSE)+VLOOKUP($A158,'1.3.21-28.2.22'!$A$6:$DA$404,40,FALSE)-VLOOKUP($A158,'01-02.2022'!$A$6:$DA$376,40,FALSE)</f>
        <v>0</v>
      </c>
      <c r="AO158" s="70">
        <f t="shared" si="183"/>
        <v>0</v>
      </c>
      <c r="AP158" s="566">
        <f>VLOOKUP($A158,'01-02.2021'!$A$6:$CZ$403,42,FALSE)+VLOOKUP($A158,'1.3.21-28.2.22'!$A$6:$DA$404,42,FALSE)-VLOOKUP($A158,'01-02.2022'!$A$6:$DA$376,42,FALSE)</f>
        <v>4034.3394188490242</v>
      </c>
      <c r="AQ158" s="566">
        <f>VLOOKUP($A158,'01-02.2021'!$A$6:$CZ$403,43,FALSE)+VLOOKUP($A158,'1.3.21-28.2.22'!$A$6:$DA$404,43,FALSE)-VLOOKUP($A158,'01-02.2022'!$A$6:$DA$376,43,FALSE)</f>
        <v>3524.2116718254383</v>
      </c>
      <c r="AR158" s="70">
        <f t="shared" si="184"/>
        <v>-510.12774702358593</v>
      </c>
      <c r="AS158" s="566">
        <f>VLOOKUP($A158,'01-02.2021'!$A$6:$CZ$403,45,FALSE)+VLOOKUP($A158,'1.3.21-28.2.22'!$A$6:$DA$404,45,FALSE)-VLOOKUP($A158,'01-02.2022'!$A$6:$DA$376,45,FALSE)</f>
        <v>11993.921498551681</v>
      </c>
      <c r="AT158" s="566">
        <f>VLOOKUP($A158,'01-02.2021'!$A$6:$CZ$403,46,FALSE)+VLOOKUP($A158,'1.3.21-28.2.22'!$A$6:$DA$404,46,FALSE)-VLOOKUP($A158,'01-02.2022'!$A$6:$DA$376,46,FALSE)</f>
        <v>4319.4659644259009</v>
      </c>
      <c r="AU158" s="78">
        <f t="shared" si="185"/>
        <v>-7674.4555341257801</v>
      </c>
      <c r="AV158" s="566">
        <f>VLOOKUP($A158,'01-02.2021'!$A$6:$CZ$403,48,FALSE)+VLOOKUP($A158,'1.3.21-28.2.22'!$A$6:$DA$404,48,FALSE)-VLOOKUP($A158,'01-02.2022'!$A$6:$DA$376,48,FALSE)</f>
        <v>1333.8546363538187</v>
      </c>
      <c r="AW158" s="566">
        <f>VLOOKUP($A158,'01-02.2021'!$A$6:$CZ$403,49,FALSE)+VLOOKUP($A158,'1.3.21-28.2.22'!$A$6:$DA$404,49,FALSE)-VLOOKUP($A158,'01-02.2022'!$A$6:$DA$376,49,FALSE)</f>
        <v>1817</v>
      </c>
      <c r="AX158" s="55">
        <f t="shared" si="186"/>
        <v>483.14536364618129</v>
      </c>
      <c r="AY158" s="566">
        <f>VLOOKUP($A158,'01-02.2021'!$A$6:$CZ$403,51,FALSE)+VLOOKUP($A158,'1.3.21-28.2.22'!$A$6:$DA$404,51,FALSE)-VLOOKUP($A158,'01-02.2022'!$A$6:$DA$376,51,FALSE)</f>
        <v>1664.1912663100763</v>
      </c>
      <c r="AZ158" s="566">
        <f>VLOOKUP($A158,'01-02.2021'!$A$6:$CZ$403,52,FALSE)+VLOOKUP($A158,'1.3.21-28.2.22'!$A$6:$DA$404,52,FALSE)-VLOOKUP($A158,'01-02.2022'!$A$6:$DA$376,52,FALSE)</f>
        <v>0</v>
      </c>
      <c r="BA158" s="38">
        <f t="shared" si="187"/>
        <v>-1664.1912663100763</v>
      </c>
      <c r="BB158" s="566">
        <f>VLOOKUP($A158,'01-02.2021'!$A$6:$CZ$403,54,FALSE)+VLOOKUP($A158,'1.3.21-28.2.22'!$A$6:$DA$404,54,FALSE)-VLOOKUP($A158,'01-02.2022'!$A$6:$DA$376,54,FALSE)</f>
        <v>963.33408443286794</v>
      </c>
      <c r="BC158" s="566">
        <f>VLOOKUP($A158,'01-02.2021'!$A$6:$CZ$403,55,FALSE)+VLOOKUP($A158,'1.3.21-28.2.22'!$A$6:$DA$404,55,FALSE)-VLOOKUP($A158,'01-02.2022'!$A$6:$DA$376,55,FALSE)</f>
        <v>0</v>
      </c>
      <c r="BD158" s="55">
        <f t="shared" si="188"/>
        <v>-963.33408443286794</v>
      </c>
      <c r="BE158" s="566">
        <f>VLOOKUP($A158,'01-02.2021'!$A$6:$CZ$403,57,FALSE)+VLOOKUP($A158,'1.3.21-28.2.22'!$A$6:$DA$404,57,FALSE)-VLOOKUP($A158,'01-02.2022'!$A$6:$DA$376,57,FALSE)</f>
        <v>0</v>
      </c>
      <c r="BF158" s="566">
        <f>VLOOKUP($A158,'01-02.2021'!$A$6:$CZ$403,58,FALSE)+VLOOKUP($A158,'1.3.21-28.2.22'!$A$6:$DA$404,58,FALSE)-VLOOKUP($A158,'01-02.2022'!$A$6:$DA$376,58,FALSE)</f>
        <v>0</v>
      </c>
      <c r="BG158" s="55">
        <f t="shared" si="189"/>
        <v>0</v>
      </c>
      <c r="BH158" s="566">
        <f>VLOOKUP($A158,'01-02.2021'!$A$6:$CZ$403,60,FALSE)+VLOOKUP($A158,'1.3.21-28.2.22'!$A$6:$DA$404,60,FALSE)-VLOOKUP($A158,'01-02.2022'!$A$6:$DA$376,60,FALSE)</f>
        <v>0</v>
      </c>
      <c r="BI158" s="566">
        <f>VLOOKUP($A158,'01-02.2021'!$A$6:$CZ$403,61,FALSE)+VLOOKUP($A158,'1.3.21-28.2.22'!$A$6:$DA$404,61,FALSE)-VLOOKUP($A158,'01-02.2022'!$A$6:$DA$376,61,FALSE)</f>
        <v>0</v>
      </c>
      <c r="BJ158" s="55">
        <f t="shared" si="190"/>
        <v>0</v>
      </c>
      <c r="BK158" s="566">
        <f>VLOOKUP($A158,'01-02.2021'!$A$6:$CZ$403,63,FALSE)+VLOOKUP($A158,'1.3.21-28.2.22'!$A$6:$DA$404,63,FALSE)-VLOOKUP($A158,'01-02.2022'!$A$6:$DA$376,63,FALSE)</f>
        <v>599.35100941255132</v>
      </c>
      <c r="BL158" s="566">
        <f>VLOOKUP($A158,'01-02.2021'!$A$6:$CZ$403,64,FALSE)+VLOOKUP($A158,'1.3.21-28.2.22'!$A$6:$DA$404,64,FALSE)-VLOOKUP($A158,'01-02.2022'!$A$6:$DA$376,64,FALSE)</f>
        <v>174</v>
      </c>
      <c r="BM158" s="55">
        <f t="shared" si="191"/>
        <v>-425.35100941255132</v>
      </c>
      <c r="BN158" s="566">
        <f>VLOOKUP($A158,'01-02.2021'!$A$6:$CZ$403,66,FALSE)+VLOOKUP($A158,'1.3.21-28.2.22'!$A$6:$DA$404,66,FALSE)-VLOOKUP($A158,'01-02.2022'!$A$6:$DA$376,66,FALSE)</f>
        <v>74.28</v>
      </c>
      <c r="BO158" s="566">
        <f>VLOOKUP($A158,'01-02.2021'!$A$6:$CZ$403,67,FALSE)+VLOOKUP($A158,'1.3.21-28.2.22'!$A$6:$DA$404,67,FALSE)-VLOOKUP($A158,'01-02.2022'!$A$6:$DA$376,67,FALSE)</f>
        <v>0</v>
      </c>
      <c r="BP158" s="55">
        <f t="shared" si="192"/>
        <v>-74.28</v>
      </c>
      <c r="BQ158" s="77">
        <f t="shared" si="204"/>
        <v>4635.0109965093143</v>
      </c>
      <c r="BR158" s="40">
        <f t="shared" si="205"/>
        <v>1991</v>
      </c>
      <c r="BS158" s="55">
        <f t="shared" si="166"/>
        <v>-2644.0109965093143</v>
      </c>
      <c r="BT158" s="566">
        <f>VLOOKUP($A158,'01-02.2021'!$A$6:$CZ$403,72,FALSE)+VLOOKUP($A158,'1.3.21-28.2.22'!$A$6:$DA$404,72,FALSE)-VLOOKUP($A158,'01-02.2022'!$A$6:$DA$376,72,FALSE)</f>
        <v>23811.623674969756</v>
      </c>
      <c r="BU158" s="566">
        <f>VLOOKUP($A158,'01-02.2021'!$A$6:$CZ$403,73,FALSE)+VLOOKUP($A158,'1.3.21-28.2.22'!$A$6:$DA$404,73,FALSE)-VLOOKUP($A158,'01-02.2022'!$A$6:$DA$376,73,FALSE)</f>
        <v>27495.382574880961</v>
      </c>
      <c r="BV158" s="70">
        <f t="shared" si="193"/>
        <v>3683.7588999112049</v>
      </c>
      <c r="BW158" s="566">
        <f>VLOOKUP($A158,'01-02.2021'!$A$6:$CZ$403,75,FALSE)+VLOOKUP($A158,'1.3.21-28.2.22'!$A$6:$DA$404,75,FALSE)-VLOOKUP($A158,'01-02.2022'!$A$6:$DA$376,75,FALSE)</f>
        <v>8044.3150977321748</v>
      </c>
      <c r="BX158" s="566">
        <f>VLOOKUP($A158,'01-02.2021'!$A$6:$CZ$403,76,FALSE)+VLOOKUP($A158,'1.3.21-28.2.22'!$A$6:$DA$404,76,FALSE)-VLOOKUP($A158,'01-02.2022'!$A$6:$DA$376,76,FALSE)</f>
        <v>7354.502623606536</v>
      </c>
      <c r="BY158" s="70">
        <f t="shared" si="194"/>
        <v>-689.8124741256388</v>
      </c>
      <c r="BZ158" s="566">
        <f>VLOOKUP($A158,'01-02.2021'!$A$6:$CZ$403,78,FALSE)+VLOOKUP($A158,'1.3.21-28.2.22'!$A$6:$DA$404,78,FALSE)-VLOOKUP($A158,'01-02.2022'!$A$6:$DA$376,78,FALSE)</f>
        <v>6137.5157356261143</v>
      </c>
      <c r="CA158" s="566">
        <f>VLOOKUP($A158,'01-02.2021'!$A$6:$CZ$403,79,FALSE)+VLOOKUP($A158,'1.3.21-28.2.22'!$A$6:$DA$404,79,FALSE)-VLOOKUP($A158,'01-02.2022'!$A$6:$DA$376,79,FALSE)</f>
        <v>5108.4618354943268</v>
      </c>
      <c r="CB158" s="70">
        <f t="shared" si="195"/>
        <v>-1029.0539001317875</v>
      </c>
      <c r="CC158" s="566">
        <f>VLOOKUP($A158,'01-02.2021'!$A$6:$CZ$403,81,FALSE)+VLOOKUP($A158,'1.3.21-28.2.22'!$A$6:$DA$404,81,FALSE)-VLOOKUP($A158,'01-02.2022'!$A$6:$DA$376,81,FALSE)</f>
        <v>536.82016282726511</v>
      </c>
      <c r="CD158" s="566">
        <f>VLOOKUP($A158,'01-02.2021'!$A$6:$CZ$403,82,FALSE)+VLOOKUP($A158,'1.3.21-28.2.22'!$A$6:$DA$404,82,FALSE)-VLOOKUP($A158,'01-02.2022'!$A$6:$DA$376,82,FALSE)</f>
        <v>586.74069072472059</v>
      </c>
      <c r="CE158" s="70">
        <f t="shared" si="196"/>
        <v>49.920527897455486</v>
      </c>
      <c r="CF158" s="566">
        <f>VLOOKUP($A158,'01-02.2021'!$A$6:$CZ$403,84,FALSE)+VLOOKUP($A158,'1.3.21-28.2.22'!$A$6:$DA$404,84,FALSE)-VLOOKUP($A158,'01-02.2022'!$A$6:$DA$376,84,FALSE)</f>
        <v>65.261548784724866</v>
      </c>
      <c r="CG158" s="566">
        <f>VLOOKUP($A158,'01-02.2021'!$A$6:$CZ$403,85,FALSE)+VLOOKUP($A158,'1.3.21-28.2.22'!$A$6:$DA$404,85,FALSE)-VLOOKUP($A158,'01-02.2022'!$A$6:$DA$376,85,FALSE)</f>
        <v>0</v>
      </c>
      <c r="CH158" s="70">
        <f t="shared" si="197"/>
        <v>-65.261548784724866</v>
      </c>
      <c r="CI158" s="566">
        <f>VLOOKUP($A158,'01-02.2021'!$A$6:$CZ$403,87,FALSE)+VLOOKUP($A158,'1.3.21-28.2.22'!$A$6:$DA$404,87,FALSE)-VLOOKUP($A158,'01-02.2022'!$A$6:$DA$376,87,FALSE)</f>
        <v>1674.0644027425014</v>
      </c>
      <c r="CJ158" s="566">
        <f>VLOOKUP($A158,'01-02.2021'!$A$6:$CZ$403,88,FALSE)+VLOOKUP($A158,'1.3.21-28.2.22'!$A$6:$DA$404,88,FALSE)-VLOOKUP($A158,'01-02.2022'!$A$6:$DA$376,88,FALSE)</f>
        <v>1525.0939975156671</v>
      </c>
      <c r="CK158" s="70">
        <f t="shared" si="198"/>
        <v>-148.97040522683437</v>
      </c>
      <c r="CL158" s="566">
        <f>VLOOKUP($A158,'01-02.2021'!$A$6:$CZ$403,90,FALSE)+VLOOKUP($A158,'1.3.21-28.2.22'!$A$6:$DA$404,90,FALSE)-VLOOKUP($A158,'01-02.2022'!$A$6:$DA$376,90,FALSE)</f>
        <v>0</v>
      </c>
      <c r="CM158" s="566">
        <f>VLOOKUP($A158,'01-02.2021'!$A$6:$CZ$403,91,FALSE)+VLOOKUP($A158,'1.3.21-28.2.22'!$A$6:$DA$404,91,FALSE)-VLOOKUP($A158,'01-02.2022'!$A$6:$DA$376,91,FALSE)</f>
        <v>0</v>
      </c>
      <c r="CN158" s="52">
        <f t="shared" si="158"/>
        <v>0</v>
      </c>
      <c r="CO158" s="39">
        <f t="shared" si="153"/>
        <v>1674.0644027425014</v>
      </c>
      <c r="CP158" s="40">
        <f t="shared" si="159"/>
        <v>1525.0939975156671</v>
      </c>
      <c r="CQ158" s="52">
        <f t="shared" si="160"/>
        <v>-148.97040522683437</v>
      </c>
      <c r="CR158" s="72">
        <f t="shared" si="154"/>
        <v>77955.78933150688</v>
      </c>
      <c r="CS158" s="5">
        <f t="shared" si="154"/>
        <v>69928.873662487065</v>
      </c>
      <c r="CT158" s="52">
        <f t="shared" si="161"/>
        <v>-8026.9156690198142</v>
      </c>
      <c r="CU158" s="77">
        <f t="shared" si="162"/>
        <v>93546.947197808258</v>
      </c>
      <c r="CV158" s="65">
        <f t="shared" si="163"/>
        <v>83914.64839498447</v>
      </c>
      <c r="CW158" s="35">
        <f t="shared" si="164"/>
        <v>-9632.2988028237887</v>
      </c>
      <c r="CX158" s="566">
        <f>VLOOKUP($A158,'01-02.2021'!$A$6:$CZ$403,102,FALSE)+VLOOKUP($A158,'1.3.21-28.2.22'!$A$6:$DA$404,102,FALSE)-VLOOKUP($A158,'01-02.2022'!$A$6:$DA$376,102,FALSE)</f>
        <v>2654.4059604741701</v>
      </c>
      <c r="CY158" s="566">
        <f>VLOOKUP($A158,'01-02.2021'!$A$6:$CZ$403,103,FALSE)+VLOOKUP($A158,'1.3.21-28.2.22'!$A$6:$DA$404,103,FALSE)-VLOOKUP($A158,'01-02.2022'!$A$6:$DA$376,103,FALSE)</f>
        <v>12286.704763297948</v>
      </c>
      <c r="CZ158" s="52">
        <f t="shared" si="165"/>
        <v>9632.2988028237778</v>
      </c>
      <c r="DA158" s="150">
        <f>'[2]побудинковий звіт'!DA158</f>
        <v>30982.997214403171</v>
      </c>
      <c r="DB158" s="2">
        <v>2</v>
      </c>
      <c r="DC158" s="414">
        <f>'[4]побудинковий звіт'!DC158</f>
        <v>18106.560000000001</v>
      </c>
      <c r="DD158" s="414">
        <f>'[4]побудинковий звіт'!DD158</f>
        <v>9353.4699999999993</v>
      </c>
      <c r="DE158" s="557">
        <f>'[4]побудинковий звіт'!DE158</f>
        <v>9607.6597350641077</v>
      </c>
      <c r="DF158" s="557">
        <f>'[4]побудинковий звіт'!DF158</f>
        <v>9115.5540103663097</v>
      </c>
      <c r="DG158" s="321">
        <f>VLOOKUP(A158,'кошти 01.03.2021'!$A$6:$D$401,4,)</f>
        <v>41715.890903134263</v>
      </c>
      <c r="DH158" s="40">
        <f>'[3]побудинковий звіт'!DJ158</f>
        <v>99606.695220964553</v>
      </c>
      <c r="DI158" s="422">
        <f>'[3]побудинковий звіт'!CU158+'[3]побудинковий звіт'!CX158</f>
        <v>8736.8162545695832</v>
      </c>
      <c r="DJ158" s="306">
        <f>'[3]побудинковий звіт'!DM158</f>
        <v>5.9016042392444232</v>
      </c>
      <c r="DK158" s="306">
        <f t="shared" si="202"/>
        <v>5.9016042392444232</v>
      </c>
      <c r="DL158" s="306">
        <f>'[3]побудинковий звіт'!DO158</f>
        <v>5.2289228490920916</v>
      </c>
      <c r="DM158" s="28">
        <f t="shared" si="203"/>
        <v>8498.9002649358936</v>
      </c>
      <c r="DN158" s="28">
        <f>H158*DL158</f>
        <v>237.91598963369017</v>
      </c>
      <c r="DO158" s="423">
        <f t="shared" si="171"/>
        <v>8736.8162545695832</v>
      </c>
      <c r="DP158" s="94">
        <f t="shared" si="172"/>
        <v>0</v>
      </c>
      <c r="DQ158" s="28">
        <f t="shared" si="173"/>
        <v>8736.8162545695832</v>
      </c>
      <c r="DR158" s="318"/>
      <c r="DT158" s="8"/>
      <c r="DU158" s="5"/>
      <c r="DX158" s="5">
        <f t="shared" si="174"/>
        <v>19954.718994073195</v>
      </c>
      <c r="DY158" s="5">
        <f t="shared" si="175"/>
        <v>7572.5591573110805</v>
      </c>
      <c r="DZ158" s="159">
        <f>'[3]побудинковий звіт'!EA158</f>
        <v>1818.4967064121822</v>
      </c>
    </row>
    <row r="159" spans="1:130" x14ac:dyDescent="0.3">
      <c r="A159" s="325">
        <v>150001033</v>
      </c>
      <c r="B159" s="41" t="s">
        <v>608</v>
      </c>
      <c r="C159" s="42" t="s">
        <v>363</v>
      </c>
      <c r="D159" s="42"/>
      <c r="E159" s="293">
        <f t="shared" si="149"/>
        <v>4024.2</v>
      </c>
      <c r="F159" s="305">
        <f>'[3]побудинковий звіт'!F159</f>
        <v>4024.2</v>
      </c>
      <c r="G159" s="508">
        <f>'[3]побудинковий звіт'!G159</f>
        <v>446.8</v>
      </c>
      <c r="H159" s="560">
        <f>'[3]побудинковий звіт'!H159</f>
        <v>0</v>
      </c>
      <c r="I159" s="566">
        <f>VLOOKUP($A159,'01-02.2021'!$A$6:$CZ$403,9,FALSE)+VLOOKUP($A159,'1.3.21-28.2.22'!$A$6:$DA$404,9,FALSE)-VLOOKUP($A159,'01-02.2022'!$A$6:$DA$376,9,FALSE)</f>
        <v>10776.968481395283</v>
      </c>
      <c r="J159" s="566">
        <f>VLOOKUP($A159,'01-02.2021'!$A$6:$CZ$403,10,FALSE)+VLOOKUP($A159,'1.3.21-28.2.22'!$A$6:$DA$404,10,FALSE)-VLOOKUP($A159,'01-02.2022'!$A$6:$DA$376,10,FALSE)</f>
        <v>9697.9861160810524</v>
      </c>
      <c r="K159" s="52">
        <f t="shared" si="155"/>
        <v>-1078.9823653142303</v>
      </c>
      <c r="L159" s="566">
        <f>VLOOKUP($A159,'01-02.2021'!$A$6:$CZ$403,12,FALSE)+VLOOKUP($A159,'1.3.21-28.2.22'!$A$6:$DA$404,12,FALSE)-VLOOKUP($A159,'01-02.2022'!$A$6:$DA$376,12,FALSE)</f>
        <v>1892.0150299213901</v>
      </c>
      <c r="M159" s="566">
        <f>VLOOKUP($A159,'01-02.2021'!$A$6:$CZ$403,13,FALSE)+VLOOKUP($A159,'1.3.21-28.2.22'!$A$6:$DA$404,13,FALSE)-VLOOKUP($A159,'01-02.2022'!$A$6:$DA$376,13,FALSE)</f>
        <v>1713.4631343963083</v>
      </c>
      <c r="N159" s="52">
        <f t="shared" si="156"/>
        <v>-178.55189552508182</v>
      </c>
      <c r="O159" s="566">
        <f>VLOOKUP($A159,'01-02.2021'!$A$6:$CZ$403,15,FALSE)+VLOOKUP($A159,'1.3.21-28.2.22'!$A$6:$DA$404,15,FALSE)-VLOOKUP($A159,'01-02.2022'!$A$6:$DA$376,15,FALSE)</f>
        <v>5453.8176183861506</v>
      </c>
      <c r="P159" s="566">
        <f>VLOOKUP($A159,'01-02.2021'!$A$6:$CZ$403,16,FALSE)+VLOOKUP($A159,'1.3.21-28.2.22'!$A$6:$DA$404,16,FALSE)-VLOOKUP($A159,'01-02.2022'!$A$6:$DA$376,16,FALSE)</f>
        <v>5453.8</v>
      </c>
      <c r="Q159" s="70">
        <f t="shared" si="176"/>
        <v>-1.7618386150388687E-2</v>
      </c>
      <c r="R159" s="566">
        <f>VLOOKUP($A159,'01-02.2021'!$A$6:$CZ$403,18,FALSE)+VLOOKUP($A159,'1.3.21-28.2.22'!$A$6:$DA$404,18,FALSE)-VLOOKUP($A159,'01-02.2022'!$A$6:$DA$376,18,FALSE)</f>
        <v>1094.7053422394415</v>
      </c>
      <c r="S159" s="566">
        <f>VLOOKUP($A159,'01-02.2021'!$A$6:$CZ$403,19,FALSE)+VLOOKUP($A159,'1.3.21-28.2.22'!$A$6:$DA$404,19,FALSE)-VLOOKUP($A159,'01-02.2022'!$A$6:$DA$376,19,FALSE)</f>
        <v>1094.74</v>
      </c>
      <c r="T159" s="70">
        <f t="shared" si="177"/>
        <v>3.4657760558502559E-2</v>
      </c>
      <c r="U159" s="566">
        <f>VLOOKUP($A159,'01-02.2021'!$A$6:$CZ$403,21,FALSE)+VLOOKUP($A159,'1.3.21-28.2.22'!$A$6:$DA$404,21,FALSE)-VLOOKUP($A159,'01-02.2022'!$A$6:$DA$376,21,FALSE)</f>
        <v>671.36656966572173</v>
      </c>
      <c r="V159" s="566">
        <f>VLOOKUP($A159,'01-02.2021'!$A$6:$CZ$403,22,FALSE)+VLOOKUP($A159,'1.3.21-28.2.22'!$A$6:$DA$404,22,FALSE)-VLOOKUP($A159,'01-02.2022'!$A$6:$DA$376,22,FALSE)</f>
        <v>454.29474368854693</v>
      </c>
      <c r="W159" s="70">
        <f t="shared" si="178"/>
        <v>-217.0718259771748</v>
      </c>
      <c r="X159" s="566">
        <f>VLOOKUP($A159,'01-02.2021'!$A$6:$CZ$403,24,FALSE)+VLOOKUP($A159,'1.3.21-28.2.22'!$A$6:$DA$404,24,FALSE)-VLOOKUP($A159,'01-02.2022'!$A$6:$DA$376,24,FALSE)</f>
        <v>7712.3376899328559</v>
      </c>
      <c r="Y159" s="566">
        <f>VLOOKUP($A159,'01-02.2021'!$A$6:$CZ$403,25,FALSE)+VLOOKUP($A159,'1.3.21-28.2.22'!$A$6:$DA$404,25,FALSE)-VLOOKUP($A159,'01-02.2022'!$A$6:$DA$376,25,FALSE)</f>
        <v>6430.0506782026996</v>
      </c>
      <c r="Z159" s="70">
        <f t="shared" si="179"/>
        <v>-1282.2870117301563</v>
      </c>
      <c r="AA159" s="566">
        <f>VLOOKUP($A159,'01-02.2021'!$A$6:$CZ$403,27,FALSE)+VLOOKUP($A159,'1.3.21-28.2.22'!$A$6:$DA$404,27,FALSE)-VLOOKUP($A159,'01-02.2022'!$A$6:$DA$376,27,FALSE)</f>
        <v>804.83999999999992</v>
      </c>
      <c r="AB159" s="566">
        <f>VLOOKUP($A159,'01-02.2021'!$A$6:$CZ$403,28,FALSE)+VLOOKUP($A159,'1.3.21-28.2.22'!$A$6:$DA$404,28,FALSE)-VLOOKUP($A159,'01-02.2022'!$A$6:$DA$376,28,FALSE)</f>
        <v>0</v>
      </c>
      <c r="AC159" s="70">
        <f t="shared" si="180"/>
        <v>-804.83999999999992</v>
      </c>
      <c r="AD159" s="566">
        <f>VLOOKUP($A159,'01-02.2021'!$A$6:$CZ$403,30,FALSE)+VLOOKUP($A159,'1.3.21-28.2.22'!$A$6:$DA$404,30,FALSE)-VLOOKUP($A159,'01-02.2022'!$A$6:$DA$376,30,FALSE)</f>
        <v>17285.072872522967</v>
      </c>
      <c r="AE159" s="566">
        <f>VLOOKUP($A159,'01-02.2021'!$A$6:$CZ$403,31,FALSE)+VLOOKUP($A159,'1.3.21-28.2.22'!$A$6:$DA$404,31,FALSE)-VLOOKUP($A159,'01-02.2022'!$A$6:$DA$376,31,FALSE)</f>
        <v>18318.320544073882</v>
      </c>
      <c r="AF159" s="68">
        <f t="shared" si="181"/>
        <v>1033.2476715509147</v>
      </c>
      <c r="AG159" s="77">
        <f t="shared" si="150"/>
        <v>45691.12360406381</v>
      </c>
      <c r="AH159" s="53">
        <f t="shared" si="150"/>
        <v>43162.655216442494</v>
      </c>
      <c r="AI159" s="52">
        <f t="shared" si="157"/>
        <v>-2528.4683876213167</v>
      </c>
      <c r="AJ159" s="566">
        <f>VLOOKUP($A159,'01-02.2021'!$A$6:$CZ$403,36,FALSE)+VLOOKUP($A159,'1.3.21-28.2.22'!$A$6:$DA$404,36,FALSE)-VLOOKUP($A159,'01-02.2022'!$A$6:$DA$376,36,FALSE)</f>
        <v>38000.132837803321</v>
      </c>
      <c r="AK159" s="566">
        <f>VLOOKUP($A159,'01-02.2021'!$A$6:$CZ$403,37,FALSE)+VLOOKUP($A159,'1.3.21-28.2.22'!$A$6:$DA$404,37,FALSE)-VLOOKUP($A159,'01-02.2022'!$A$6:$DA$376,37,FALSE)</f>
        <v>37750.952117929199</v>
      </c>
      <c r="AL159" s="70">
        <f t="shared" si="182"/>
        <v>-249.18071987412259</v>
      </c>
      <c r="AM159" s="566">
        <f>VLOOKUP($A159,'01-02.2021'!$A$6:$CZ$403,39,FALSE)+VLOOKUP($A159,'1.3.21-28.2.22'!$A$6:$DA$404,39,FALSE)-VLOOKUP($A159,'01-02.2022'!$A$6:$DA$376,39,FALSE)</f>
        <v>0</v>
      </c>
      <c r="AN159" s="566">
        <f>VLOOKUP($A159,'01-02.2021'!$A$6:$CZ$403,40,FALSE)+VLOOKUP($A159,'1.3.21-28.2.22'!$A$6:$DA$404,40,FALSE)-VLOOKUP($A159,'01-02.2022'!$A$6:$DA$376,40,FALSE)</f>
        <v>0</v>
      </c>
      <c r="AO159" s="70">
        <f t="shared" si="183"/>
        <v>0</v>
      </c>
      <c r="AP159" s="566">
        <f>VLOOKUP($A159,'01-02.2021'!$A$6:$CZ$403,42,FALSE)+VLOOKUP($A159,'1.3.21-28.2.22'!$A$6:$DA$404,42,FALSE)-VLOOKUP($A159,'01-02.2022'!$A$6:$DA$376,42,FALSE)</f>
        <v>3036.5995625745354</v>
      </c>
      <c r="AQ159" s="566">
        <f>VLOOKUP($A159,'01-02.2021'!$A$6:$CZ$403,43,FALSE)+VLOOKUP($A159,'1.3.21-28.2.22'!$A$6:$DA$404,43,FALSE)-VLOOKUP($A159,'01-02.2022'!$A$6:$DA$376,43,FALSE)</f>
        <v>2602.594514455152</v>
      </c>
      <c r="AR159" s="70">
        <f t="shared" si="184"/>
        <v>-434.00504811938345</v>
      </c>
      <c r="AS159" s="566">
        <f>VLOOKUP($A159,'01-02.2021'!$A$6:$CZ$403,45,FALSE)+VLOOKUP($A159,'1.3.21-28.2.22'!$A$6:$DA$404,45,FALSE)-VLOOKUP($A159,'01-02.2022'!$A$6:$DA$376,45,FALSE)</f>
        <v>54709.2152795359</v>
      </c>
      <c r="AT159" s="566">
        <f>VLOOKUP($A159,'01-02.2021'!$A$6:$CZ$403,46,FALSE)+VLOOKUP($A159,'1.3.21-28.2.22'!$A$6:$DA$404,46,FALSE)-VLOOKUP($A159,'01-02.2022'!$A$6:$DA$376,46,FALSE)</f>
        <v>41618.875171496933</v>
      </c>
      <c r="AU159" s="78">
        <f t="shared" si="185"/>
        <v>-13090.340108038967</v>
      </c>
      <c r="AV159" s="566">
        <f>VLOOKUP($A159,'01-02.2021'!$A$6:$CZ$403,48,FALSE)+VLOOKUP($A159,'1.3.21-28.2.22'!$A$6:$DA$404,48,FALSE)-VLOOKUP($A159,'01-02.2022'!$A$6:$DA$376,48,FALSE)</f>
        <v>2475.6996037006402</v>
      </c>
      <c r="AW159" s="566">
        <f>VLOOKUP($A159,'01-02.2021'!$A$6:$CZ$403,49,FALSE)+VLOOKUP($A159,'1.3.21-28.2.22'!$A$6:$DA$404,49,FALSE)-VLOOKUP($A159,'01-02.2022'!$A$6:$DA$376,49,FALSE)</f>
        <v>505.58000000000004</v>
      </c>
      <c r="AX159" s="55">
        <f t="shared" si="186"/>
        <v>-1970.1196037006403</v>
      </c>
      <c r="AY159" s="566">
        <f>VLOOKUP($A159,'01-02.2021'!$A$6:$CZ$403,51,FALSE)+VLOOKUP($A159,'1.3.21-28.2.22'!$A$6:$DA$404,51,FALSE)-VLOOKUP($A159,'01-02.2022'!$A$6:$DA$376,51,FALSE)</f>
        <v>2882.4976627039414</v>
      </c>
      <c r="AZ159" s="566">
        <f>VLOOKUP($A159,'01-02.2021'!$A$6:$CZ$403,52,FALSE)+VLOOKUP($A159,'1.3.21-28.2.22'!$A$6:$DA$404,52,FALSE)-VLOOKUP($A159,'01-02.2022'!$A$6:$DA$376,52,FALSE)</f>
        <v>0</v>
      </c>
      <c r="BA159" s="38">
        <f t="shared" si="187"/>
        <v>-2882.4976627039414</v>
      </c>
      <c r="BB159" s="566">
        <f>VLOOKUP($A159,'01-02.2021'!$A$6:$CZ$403,54,FALSE)+VLOOKUP($A159,'1.3.21-28.2.22'!$A$6:$DA$404,54,FALSE)-VLOOKUP($A159,'01-02.2022'!$A$6:$DA$376,54,FALSE)</f>
        <v>1585.0715235367336</v>
      </c>
      <c r="BC159" s="566">
        <f>VLOOKUP($A159,'01-02.2021'!$A$6:$CZ$403,55,FALSE)+VLOOKUP($A159,'1.3.21-28.2.22'!$A$6:$DA$404,55,FALSE)-VLOOKUP($A159,'01-02.2022'!$A$6:$DA$376,55,FALSE)</f>
        <v>916.05</v>
      </c>
      <c r="BD159" s="55">
        <f t="shared" si="188"/>
        <v>-669.02152353673364</v>
      </c>
      <c r="BE159" s="566">
        <f>VLOOKUP($A159,'01-02.2021'!$A$6:$CZ$403,57,FALSE)+VLOOKUP($A159,'1.3.21-28.2.22'!$A$6:$DA$404,57,FALSE)-VLOOKUP($A159,'01-02.2022'!$A$6:$DA$376,57,FALSE)</f>
        <v>2238.91272518295</v>
      </c>
      <c r="BF159" s="566">
        <f>VLOOKUP($A159,'01-02.2021'!$A$6:$CZ$403,58,FALSE)+VLOOKUP($A159,'1.3.21-28.2.22'!$A$6:$DA$404,58,FALSE)-VLOOKUP($A159,'01-02.2022'!$A$6:$DA$376,58,FALSE)</f>
        <v>0</v>
      </c>
      <c r="BG159" s="55">
        <f t="shared" si="189"/>
        <v>-2238.91272518295</v>
      </c>
      <c r="BH159" s="566">
        <f>VLOOKUP($A159,'01-02.2021'!$A$6:$CZ$403,60,FALSE)+VLOOKUP($A159,'1.3.21-28.2.22'!$A$6:$DA$404,60,FALSE)-VLOOKUP($A159,'01-02.2022'!$A$6:$DA$376,60,FALSE)</f>
        <v>1275.6779514917541</v>
      </c>
      <c r="BI159" s="566">
        <f>VLOOKUP($A159,'01-02.2021'!$A$6:$CZ$403,61,FALSE)+VLOOKUP($A159,'1.3.21-28.2.22'!$A$6:$DA$404,61,FALSE)-VLOOKUP($A159,'01-02.2022'!$A$6:$DA$376,61,FALSE)</f>
        <v>0</v>
      </c>
      <c r="BJ159" s="55">
        <f t="shared" si="190"/>
        <v>-1275.6779514917541</v>
      </c>
      <c r="BK159" s="566">
        <f>VLOOKUP($A159,'01-02.2021'!$A$6:$CZ$403,63,FALSE)+VLOOKUP($A159,'1.3.21-28.2.22'!$A$6:$DA$404,63,FALSE)-VLOOKUP($A159,'01-02.2022'!$A$6:$DA$376,63,FALSE)</f>
        <v>2135.0313691581978</v>
      </c>
      <c r="BL159" s="566">
        <f>VLOOKUP($A159,'01-02.2021'!$A$6:$CZ$403,64,FALSE)+VLOOKUP($A159,'1.3.21-28.2.22'!$A$6:$DA$404,64,FALSE)-VLOOKUP($A159,'01-02.2022'!$A$6:$DA$376,64,FALSE)</f>
        <v>0</v>
      </c>
      <c r="BM159" s="55">
        <f t="shared" si="191"/>
        <v>-2135.0313691581978</v>
      </c>
      <c r="BN159" s="566">
        <f>VLOOKUP($A159,'01-02.2021'!$A$6:$CZ$403,66,FALSE)+VLOOKUP($A159,'1.3.21-28.2.22'!$A$6:$DA$404,66,FALSE)-VLOOKUP($A159,'01-02.2022'!$A$6:$DA$376,66,FALSE)</f>
        <v>346.04974756361975</v>
      </c>
      <c r="BO159" s="566">
        <f>VLOOKUP($A159,'01-02.2021'!$A$6:$CZ$403,67,FALSE)+VLOOKUP($A159,'1.3.21-28.2.22'!$A$6:$DA$404,67,FALSE)-VLOOKUP($A159,'01-02.2022'!$A$6:$DA$376,67,FALSE)</f>
        <v>4002.46</v>
      </c>
      <c r="BP159" s="55">
        <f t="shared" si="192"/>
        <v>3656.4102524363802</v>
      </c>
      <c r="BQ159" s="77">
        <f t="shared" si="204"/>
        <v>12938.940583337837</v>
      </c>
      <c r="BR159" s="40">
        <f t="shared" si="205"/>
        <v>5424.09</v>
      </c>
      <c r="BS159" s="55">
        <f t="shared" si="166"/>
        <v>-7514.8505833378367</v>
      </c>
      <c r="BT159" s="566">
        <f>VLOOKUP($A159,'01-02.2021'!$A$6:$CZ$403,72,FALSE)+VLOOKUP($A159,'1.3.21-28.2.22'!$A$6:$DA$404,72,FALSE)-VLOOKUP($A159,'01-02.2022'!$A$6:$DA$376,72,FALSE)</f>
        <v>44600.286904926383</v>
      </c>
      <c r="BU159" s="566">
        <f>VLOOKUP($A159,'01-02.2021'!$A$6:$CZ$403,73,FALSE)+VLOOKUP($A159,'1.3.21-28.2.22'!$A$6:$DA$404,73,FALSE)-VLOOKUP($A159,'01-02.2022'!$A$6:$DA$376,73,FALSE)</f>
        <v>41738.638121585835</v>
      </c>
      <c r="BV159" s="70">
        <f t="shared" si="193"/>
        <v>-2861.6487833405481</v>
      </c>
      <c r="BW159" s="566">
        <f>VLOOKUP($A159,'01-02.2021'!$A$6:$CZ$403,75,FALSE)+VLOOKUP($A159,'1.3.21-28.2.22'!$A$6:$DA$404,75,FALSE)-VLOOKUP($A159,'01-02.2022'!$A$6:$DA$376,75,FALSE)</f>
        <v>41477.432502060758</v>
      </c>
      <c r="BX159" s="566">
        <f>VLOOKUP($A159,'01-02.2021'!$A$6:$CZ$403,76,FALSE)+VLOOKUP($A159,'1.3.21-28.2.22'!$A$6:$DA$404,76,FALSE)-VLOOKUP($A159,'01-02.2022'!$A$6:$DA$376,76,FALSE)</f>
        <v>41928.332479129152</v>
      </c>
      <c r="BY159" s="70">
        <f t="shared" si="194"/>
        <v>450.89997706839495</v>
      </c>
      <c r="BZ159" s="566">
        <f>VLOOKUP($A159,'01-02.2021'!$A$6:$CZ$403,78,FALSE)+VLOOKUP($A159,'1.3.21-28.2.22'!$A$6:$DA$404,78,FALSE)-VLOOKUP($A159,'01-02.2022'!$A$6:$DA$376,78,FALSE)</f>
        <v>6206.5013640391289</v>
      </c>
      <c r="CA159" s="566">
        <f>VLOOKUP($A159,'01-02.2021'!$A$6:$CZ$403,79,FALSE)+VLOOKUP($A159,'1.3.21-28.2.22'!$A$6:$DA$404,79,FALSE)-VLOOKUP($A159,'01-02.2022'!$A$6:$DA$376,79,FALSE)</f>
        <v>10677.670577098181</v>
      </c>
      <c r="CB159" s="70">
        <f t="shared" si="195"/>
        <v>4471.1692130590518</v>
      </c>
      <c r="CC159" s="566">
        <f>VLOOKUP($A159,'01-02.2021'!$A$6:$CZ$403,81,FALSE)+VLOOKUP($A159,'1.3.21-28.2.22'!$A$6:$DA$404,81,FALSE)-VLOOKUP($A159,'01-02.2022'!$A$6:$DA$376,81,FALSE)</f>
        <v>1028.0890117820434</v>
      </c>
      <c r="CD159" s="566">
        <f>VLOOKUP($A159,'01-02.2021'!$A$6:$CZ$403,82,FALSE)+VLOOKUP($A159,'1.3.21-28.2.22'!$A$6:$DA$404,82,FALSE)-VLOOKUP($A159,'01-02.2022'!$A$6:$DA$376,82,FALSE)</f>
        <v>1118.8940634566434</v>
      </c>
      <c r="CE159" s="70">
        <f t="shared" si="196"/>
        <v>90.805051674600008</v>
      </c>
      <c r="CF159" s="566">
        <f>VLOOKUP($A159,'01-02.2021'!$A$6:$CZ$403,84,FALSE)+VLOOKUP($A159,'1.3.21-28.2.22'!$A$6:$DA$404,84,FALSE)-VLOOKUP($A159,'01-02.2022'!$A$6:$DA$376,84,FALSE)</f>
        <v>124.45150074221415</v>
      </c>
      <c r="CG159" s="566">
        <f>VLOOKUP($A159,'01-02.2021'!$A$6:$CZ$403,85,FALSE)+VLOOKUP($A159,'1.3.21-28.2.22'!$A$6:$DA$404,85,FALSE)-VLOOKUP($A159,'01-02.2022'!$A$6:$DA$376,85,FALSE)</f>
        <v>0</v>
      </c>
      <c r="CH159" s="70">
        <f t="shared" si="197"/>
        <v>-124.45150074221415</v>
      </c>
      <c r="CI159" s="566">
        <f>VLOOKUP($A159,'01-02.2021'!$A$6:$CZ$403,87,FALSE)+VLOOKUP($A159,'1.3.21-28.2.22'!$A$6:$DA$404,87,FALSE)-VLOOKUP($A159,'01-02.2022'!$A$6:$DA$376,87,FALSE)</f>
        <v>7488.8091601431061</v>
      </c>
      <c r="CJ159" s="566">
        <f>VLOOKUP($A159,'01-02.2021'!$A$6:$CZ$403,88,FALSE)+VLOOKUP($A159,'1.3.21-28.2.22'!$A$6:$DA$404,88,FALSE)-VLOOKUP($A159,'01-02.2022'!$A$6:$DA$376,88,FALSE)</f>
        <v>5902.6220393777394</v>
      </c>
      <c r="CK159" s="70">
        <f t="shared" si="198"/>
        <v>-1586.1871207653667</v>
      </c>
      <c r="CL159" s="566">
        <f>VLOOKUP($A159,'01-02.2021'!$A$6:$CZ$403,90,FALSE)+VLOOKUP($A159,'1.3.21-28.2.22'!$A$6:$DA$404,90,FALSE)-VLOOKUP($A159,'01-02.2022'!$A$6:$DA$376,90,FALSE)</f>
        <v>9548.1416570973324</v>
      </c>
      <c r="CM159" s="566">
        <f>VLOOKUP($A159,'01-02.2021'!$A$6:$CZ$403,91,FALSE)+VLOOKUP($A159,'1.3.21-28.2.22'!$A$6:$DA$404,91,FALSE)-VLOOKUP($A159,'01-02.2022'!$A$6:$DA$376,91,FALSE)</f>
        <v>8411.4479342154773</v>
      </c>
      <c r="CN159" s="52">
        <f t="shared" si="158"/>
        <v>-1136.6937228818551</v>
      </c>
      <c r="CO159" s="39">
        <f t="shared" si="153"/>
        <v>17036.950817240438</v>
      </c>
      <c r="CP159" s="40">
        <f t="shared" si="159"/>
        <v>14314.069973593218</v>
      </c>
      <c r="CQ159" s="52">
        <f t="shared" si="160"/>
        <v>-2722.8808436472209</v>
      </c>
      <c r="CR159" s="72">
        <f t="shared" si="154"/>
        <v>264849.72396810638</v>
      </c>
      <c r="CS159" s="5">
        <f t="shared" si="154"/>
        <v>240336.77223518683</v>
      </c>
      <c r="CT159" s="52">
        <f t="shared" si="161"/>
        <v>-24512.951732919551</v>
      </c>
      <c r="CU159" s="77">
        <f t="shared" si="162"/>
        <v>317819.66876172763</v>
      </c>
      <c r="CV159" s="65">
        <f t="shared" si="163"/>
        <v>288404.12668222416</v>
      </c>
      <c r="CW159" s="35">
        <f t="shared" si="164"/>
        <v>-29415.542079503473</v>
      </c>
      <c r="CX159" s="566">
        <f>VLOOKUP($A159,'01-02.2021'!$A$6:$CZ$403,102,FALSE)+VLOOKUP($A159,'1.3.21-28.2.22'!$A$6:$DA$404,102,FALSE)-VLOOKUP($A159,'01-02.2022'!$A$6:$DA$376,102,FALSE)</f>
        <v>11080.580327418165</v>
      </c>
      <c r="CY159" s="566">
        <f>VLOOKUP($A159,'01-02.2021'!$A$6:$CZ$403,103,FALSE)+VLOOKUP($A159,'1.3.21-28.2.22'!$A$6:$DA$404,103,FALSE)-VLOOKUP($A159,'01-02.2022'!$A$6:$DA$376,103,FALSE)</f>
        <v>40496.122406921611</v>
      </c>
      <c r="CZ159" s="52">
        <f t="shared" si="165"/>
        <v>29415.542079503444</v>
      </c>
      <c r="DA159" s="150">
        <f>'[2]побудинковий звіт'!DA159</f>
        <v>-56354.780498106978</v>
      </c>
      <c r="DB159" s="2">
        <v>1</v>
      </c>
      <c r="DC159" s="414">
        <f>'[4]побудинковий звіт'!DC159</f>
        <v>40597.089999999997</v>
      </c>
      <c r="DD159" s="414">
        <f>'[4]побудинковий звіт'!DD159</f>
        <v>0</v>
      </c>
      <c r="DE159" s="557">
        <f>'[4]побудинковий звіт'!DE159</f>
        <v>10703.224896647902</v>
      </c>
      <c r="DF159" s="557">
        <f>'[4]побудинковий звіт'!DF159</f>
        <v>0</v>
      </c>
      <c r="DG159" s="321">
        <f>VLOOKUP(A159,'кошти 01.03.2021'!$A$6:$D$401,4,)</f>
        <v>-20603.139474673837</v>
      </c>
      <c r="DH159" s="40">
        <f>'[3]побудинковий звіт'!DJ159</f>
        <v>340657.14619269402</v>
      </c>
      <c r="DI159" s="422">
        <f>'[3]побудинковий звіт'!CU159+'[3]побудинковий звіт'!CX159</f>
        <v>29893.865103352098</v>
      </c>
      <c r="DJ159" s="306">
        <f>'[3]побудинковий звіт'!DM159</f>
        <v>6.1951520626011511</v>
      </c>
      <c r="DK159" s="306">
        <f>'[3]побудинковий звіт'!DN159</f>
        <v>7.5825658751556722</v>
      </c>
      <c r="DL159" s="306">
        <f>'[3]побудинковий звіт'!DO159</f>
        <v>4.9562478843693736</v>
      </c>
      <c r="DM159" s="28">
        <f>DJ159*G159+(F159-G159)*DK159</f>
        <v>29893.865103352095</v>
      </c>
      <c r="DN159" s="28">
        <f>DL159*H159</f>
        <v>0</v>
      </c>
      <c r="DO159" s="423">
        <f t="shared" si="171"/>
        <v>29893.865103352095</v>
      </c>
      <c r="DP159" s="94">
        <f t="shared" si="172"/>
        <v>0</v>
      </c>
      <c r="DQ159" s="28">
        <f t="shared" si="173"/>
        <v>29893.865103352095</v>
      </c>
      <c r="DR159" s="318"/>
      <c r="DT159" s="8"/>
      <c r="DU159" s="5"/>
      <c r="DX159" s="5">
        <f t="shared" si="174"/>
        <v>81177.787035448491</v>
      </c>
      <c r="DY159" s="5">
        <f t="shared" si="175"/>
        <v>56451.558205796326</v>
      </c>
      <c r="DZ159" s="159">
        <f>'[3]побудинковий звіт'!EA159</f>
        <v>8045.1025009494442</v>
      </c>
    </row>
    <row r="160" spans="1:130" x14ac:dyDescent="0.3">
      <c r="A160" s="325">
        <v>150001009</v>
      </c>
      <c r="B160" s="41" t="s">
        <v>609</v>
      </c>
      <c r="C160" s="42" t="s">
        <v>213</v>
      </c>
      <c r="D160" s="42"/>
      <c r="E160" s="293">
        <f t="shared" si="149"/>
        <v>1485</v>
      </c>
      <c r="F160" s="305">
        <f>'[3]побудинковий звіт'!F160</f>
        <v>1399.9</v>
      </c>
      <c r="G160" s="508">
        <f>'[3]побудинковий звіт'!G160</f>
        <v>0</v>
      </c>
      <c r="H160" s="560">
        <f>'[3]побудинковий звіт'!H160</f>
        <v>85.1</v>
      </c>
      <c r="I160" s="566">
        <f>VLOOKUP($A160,'01-02.2021'!$A$6:$CZ$403,9,FALSE)+VLOOKUP($A160,'1.3.21-28.2.22'!$A$6:$DA$404,9,FALSE)-VLOOKUP($A160,'01-02.2022'!$A$6:$DA$376,9,FALSE)</f>
        <v>4837.3210403000749</v>
      </c>
      <c r="J160" s="566">
        <f>VLOOKUP($A160,'01-02.2021'!$A$6:$CZ$403,10,FALSE)+VLOOKUP($A160,'1.3.21-28.2.22'!$A$6:$DA$404,10,FALSE)-VLOOKUP($A160,'01-02.2022'!$A$6:$DA$376,10,FALSE)</f>
        <v>5315.131449122081</v>
      </c>
      <c r="K160" s="52">
        <f t="shared" si="155"/>
        <v>477.81040882200614</v>
      </c>
      <c r="L160" s="566">
        <f>VLOOKUP($A160,'01-02.2021'!$A$6:$CZ$403,12,FALSE)+VLOOKUP($A160,'1.3.21-28.2.22'!$A$6:$DA$404,12,FALSE)-VLOOKUP($A160,'01-02.2022'!$A$6:$DA$376,12,FALSE)</f>
        <v>885.35883585127067</v>
      </c>
      <c r="M160" s="566">
        <f>VLOOKUP($A160,'01-02.2021'!$A$6:$CZ$403,13,FALSE)+VLOOKUP($A160,'1.3.21-28.2.22'!$A$6:$DA$404,13,FALSE)-VLOOKUP($A160,'01-02.2022'!$A$6:$DA$376,13,FALSE)</f>
        <v>974.81010179035036</v>
      </c>
      <c r="N160" s="52">
        <f t="shared" si="156"/>
        <v>89.45126593907969</v>
      </c>
      <c r="O160" s="566">
        <f>VLOOKUP($A160,'01-02.2021'!$A$6:$CZ$403,15,FALSE)+VLOOKUP($A160,'1.3.21-28.2.22'!$A$6:$DA$404,15,FALSE)-VLOOKUP($A160,'01-02.2022'!$A$6:$DA$376,15,FALSE)</f>
        <v>1956.5837386293326</v>
      </c>
      <c r="P160" s="566">
        <f>VLOOKUP($A160,'01-02.2021'!$A$6:$CZ$403,16,FALSE)+VLOOKUP($A160,'1.3.21-28.2.22'!$A$6:$DA$404,16,FALSE)-VLOOKUP($A160,'01-02.2022'!$A$6:$DA$376,16,FALSE)</f>
        <v>1956.5899999999995</v>
      </c>
      <c r="Q160" s="70">
        <f t="shared" si="176"/>
        <v>6.2613706668344093E-3</v>
      </c>
      <c r="R160" s="566">
        <f>VLOOKUP($A160,'01-02.2021'!$A$6:$CZ$403,18,FALSE)+VLOOKUP($A160,'1.3.21-28.2.22'!$A$6:$DA$404,18,FALSE)-VLOOKUP($A160,'01-02.2022'!$A$6:$DA$376,18,FALSE)</f>
        <v>0</v>
      </c>
      <c r="S160" s="566">
        <f>VLOOKUP($A160,'01-02.2021'!$A$6:$CZ$403,19,FALSE)+VLOOKUP($A160,'1.3.21-28.2.22'!$A$6:$DA$404,19,FALSE)-VLOOKUP($A160,'01-02.2022'!$A$6:$DA$376,19,FALSE)</f>
        <v>0</v>
      </c>
      <c r="T160" s="70">
        <f t="shared" si="177"/>
        <v>0</v>
      </c>
      <c r="U160" s="566">
        <f>VLOOKUP($A160,'01-02.2021'!$A$6:$CZ$403,21,FALSE)+VLOOKUP($A160,'1.3.21-28.2.22'!$A$6:$DA$404,21,FALSE)-VLOOKUP($A160,'01-02.2022'!$A$6:$DA$376,21,FALSE)</f>
        <v>0</v>
      </c>
      <c r="V160" s="566">
        <f>VLOOKUP($A160,'01-02.2021'!$A$6:$CZ$403,22,FALSE)+VLOOKUP($A160,'1.3.21-28.2.22'!$A$6:$DA$404,22,FALSE)-VLOOKUP($A160,'01-02.2022'!$A$6:$DA$376,22,FALSE)</f>
        <v>0</v>
      </c>
      <c r="W160" s="70">
        <f t="shared" si="178"/>
        <v>0</v>
      </c>
      <c r="X160" s="566">
        <f>VLOOKUP($A160,'01-02.2021'!$A$6:$CZ$403,24,FALSE)+VLOOKUP($A160,'1.3.21-28.2.22'!$A$6:$DA$404,24,FALSE)-VLOOKUP($A160,'01-02.2022'!$A$6:$DA$376,24,FALSE)</f>
        <v>2611.3472324080158</v>
      </c>
      <c r="Y160" s="566">
        <f>VLOOKUP($A160,'01-02.2021'!$A$6:$CZ$403,25,FALSE)+VLOOKUP($A160,'1.3.21-28.2.22'!$A$6:$DA$404,25,FALSE)-VLOOKUP($A160,'01-02.2022'!$A$6:$DA$376,25,FALSE)</f>
        <v>1972.4620676727582</v>
      </c>
      <c r="Z160" s="70">
        <f t="shared" si="179"/>
        <v>-638.8851647352576</v>
      </c>
      <c r="AA160" s="566">
        <f>VLOOKUP($A160,'01-02.2021'!$A$6:$CZ$403,27,FALSE)+VLOOKUP($A160,'1.3.21-28.2.22'!$A$6:$DA$404,27,FALSE)-VLOOKUP($A160,'01-02.2022'!$A$6:$DA$376,27,FALSE)</f>
        <v>296.93999999999994</v>
      </c>
      <c r="AB160" s="566">
        <f>VLOOKUP($A160,'01-02.2021'!$A$6:$CZ$403,28,FALSE)+VLOOKUP($A160,'1.3.21-28.2.22'!$A$6:$DA$404,28,FALSE)-VLOOKUP($A160,'01-02.2022'!$A$6:$DA$376,28,FALSE)</f>
        <v>0</v>
      </c>
      <c r="AC160" s="70">
        <f t="shared" si="180"/>
        <v>-296.93999999999994</v>
      </c>
      <c r="AD160" s="566">
        <f>VLOOKUP($A160,'01-02.2021'!$A$6:$CZ$403,30,FALSE)+VLOOKUP($A160,'1.3.21-28.2.22'!$A$6:$DA$404,30,FALSE)-VLOOKUP($A160,'01-02.2022'!$A$6:$DA$376,30,FALSE)</f>
        <v>6369.5272687367724</v>
      </c>
      <c r="AE160" s="566">
        <f>VLOOKUP($A160,'01-02.2021'!$A$6:$CZ$403,31,FALSE)+VLOOKUP($A160,'1.3.21-28.2.22'!$A$6:$DA$404,31,FALSE)-VLOOKUP($A160,'01-02.2022'!$A$6:$DA$376,31,FALSE)</f>
        <v>6761.652602916568</v>
      </c>
      <c r="AF160" s="68">
        <f t="shared" si="181"/>
        <v>392.12533417979557</v>
      </c>
      <c r="AG160" s="77">
        <f t="shared" si="150"/>
        <v>16957.078115925469</v>
      </c>
      <c r="AH160" s="53">
        <f t="shared" si="150"/>
        <v>16980.646221501756</v>
      </c>
      <c r="AI160" s="52">
        <f t="shared" si="157"/>
        <v>23.568105576287053</v>
      </c>
      <c r="AJ160" s="566">
        <f>VLOOKUP($A160,'01-02.2021'!$A$6:$CZ$403,36,FALSE)+VLOOKUP($A160,'1.3.21-28.2.22'!$A$6:$DA$404,36,FALSE)-VLOOKUP($A160,'01-02.2022'!$A$6:$DA$376,36,FALSE)</f>
        <v>0</v>
      </c>
      <c r="AK160" s="566">
        <f>VLOOKUP($A160,'01-02.2021'!$A$6:$CZ$403,37,FALSE)+VLOOKUP($A160,'1.3.21-28.2.22'!$A$6:$DA$404,37,FALSE)-VLOOKUP($A160,'01-02.2022'!$A$6:$DA$376,37,FALSE)</f>
        <v>0</v>
      </c>
      <c r="AL160" s="70">
        <f t="shared" si="182"/>
        <v>0</v>
      </c>
      <c r="AM160" s="566">
        <f>VLOOKUP($A160,'01-02.2021'!$A$6:$CZ$403,39,FALSE)+VLOOKUP($A160,'1.3.21-28.2.22'!$A$6:$DA$404,39,FALSE)-VLOOKUP($A160,'01-02.2022'!$A$6:$DA$376,39,FALSE)</f>
        <v>0</v>
      </c>
      <c r="AN160" s="566">
        <f>VLOOKUP($A160,'01-02.2021'!$A$6:$CZ$403,40,FALSE)+VLOOKUP($A160,'1.3.21-28.2.22'!$A$6:$DA$404,40,FALSE)-VLOOKUP($A160,'01-02.2022'!$A$6:$DA$376,40,FALSE)</f>
        <v>0</v>
      </c>
      <c r="AO160" s="70">
        <f t="shared" si="183"/>
        <v>0</v>
      </c>
      <c r="AP160" s="566">
        <f>VLOOKUP($A160,'01-02.2021'!$A$6:$CZ$403,42,FALSE)+VLOOKUP($A160,'1.3.21-28.2.22'!$A$6:$DA$404,42,FALSE)-VLOOKUP($A160,'01-02.2022'!$A$6:$DA$376,42,FALSE)</f>
        <v>3904.1994375958316</v>
      </c>
      <c r="AQ160" s="566">
        <f>VLOOKUP($A160,'01-02.2021'!$A$6:$CZ$403,43,FALSE)+VLOOKUP($A160,'1.3.21-28.2.22'!$A$6:$DA$404,43,FALSE)-VLOOKUP($A160,'01-02.2022'!$A$6:$DA$376,43,FALSE)</f>
        <v>3410.5274243471986</v>
      </c>
      <c r="AR160" s="70">
        <f t="shared" si="184"/>
        <v>-493.67201324863299</v>
      </c>
      <c r="AS160" s="566">
        <f>VLOOKUP($A160,'01-02.2021'!$A$6:$CZ$403,45,FALSE)+VLOOKUP($A160,'1.3.21-28.2.22'!$A$6:$DA$404,45,FALSE)-VLOOKUP($A160,'01-02.2022'!$A$6:$DA$376,45,FALSE)</f>
        <v>14465.691924158822</v>
      </c>
      <c r="AT160" s="566">
        <f>VLOOKUP($A160,'01-02.2021'!$A$6:$CZ$403,46,FALSE)+VLOOKUP($A160,'1.3.21-28.2.22'!$A$6:$DA$404,46,FALSE)-VLOOKUP($A160,'01-02.2022'!$A$6:$DA$376,46,FALSE)</f>
        <v>4290.1900000000005</v>
      </c>
      <c r="AU160" s="78">
        <f t="shared" si="185"/>
        <v>-10175.501924158822</v>
      </c>
      <c r="AV160" s="566">
        <f>VLOOKUP($A160,'01-02.2021'!$A$6:$CZ$403,48,FALSE)+VLOOKUP($A160,'1.3.21-28.2.22'!$A$6:$DA$404,48,FALSE)-VLOOKUP($A160,'01-02.2022'!$A$6:$DA$376,48,FALSE)</f>
        <v>1328.9760761186949</v>
      </c>
      <c r="AW160" s="566">
        <f>VLOOKUP($A160,'01-02.2021'!$A$6:$CZ$403,49,FALSE)+VLOOKUP($A160,'1.3.21-28.2.22'!$A$6:$DA$404,49,FALSE)-VLOOKUP($A160,'01-02.2022'!$A$6:$DA$376,49,FALSE)</f>
        <v>0</v>
      </c>
      <c r="AX160" s="55">
        <f t="shared" si="186"/>
        <v>-1328.9760761186949</v>
      </c>
      <c r="AY160" s="566">
        <f>VLOOKUP($A160,'01-02.2021'!$A$6:$CZ$403,51,FALSE)+VLOOKUP($A160,'1.3.21-28.2.22'!$A$6:$DA$404,51,FALSE)-VLOOKUP($A160,'01-02.2022'!$A$6:$DA$376,51,FALSE)</f>
        <v>1664.1912663100763</v>
      </c>
      <c r="AZ160" s="566">
        <f>VLOOKUP($A160,'01-02.2021'!$A$6:$CZ$403,52,FALSE)+VLOOKUP($A160,'1.3.21-28.2.22'!$A$6:$DA$404,52,FALSE)-VLOOKUP($A160,'01-02.2022'!$A$6:$DA$376,52,FALSE)</f>
        <v>2510</v>
      </c>
      <c r="BA160" s="38">
        <f t="shared" si="187"/>
        <v>845.80873368992366</v>
      </c>
      <c r="BB160" s="566">
        <f>VLOOKUP($A160,'01-02.2021'!$A$6:$CZ$403,54,FALSE)+VLOOKUP($A160,'1.3.21-28.2.22'!$A$6:$DA$404,54,FALSE)-VLOOKUP($A160,'01-02.2022'!$A$6:$DA$376,54,FALSE)</f>
        <v>919.57265757589471</v>
      </c>
      <c r="BC160" s="566">
        <f>VLOOKUP($A160,'01-02.2021'!$A$6:$CZ$403,55,FALSE)+VLOOKUP($A160,'1.3.21-28.2.22'!$A$6:$DA$404,55,FALSE)-VLOOKUP($A160,'01-02.2022'!$A$6:$DA$376,55,FALSE)</f>
        <v>0</v>
      </c>
      <c r="BD160" s="55">
        <f t="shared" si="188"/>
        <v>-919.57265757589471</v>
      </c>
      <c r="BE160" s="566">
        <f>VLOOKUP($A160,'01-02.2021'!$A$6:$CZ$403,57,FALSE)+VLOOKUP($A160,'1.3.21-28.2.22'!$A$6:$DA$404,57,FALSE)-VLOOKUP($A160,'01-02.2022'!$A$6:$DA$376,57,FALSE)</f>
        <v>0</v>
      </c>
      <c r="BF160" s="566">
        <f>VLOOKUP($A160,'01-02.2021'!$A$6:$CZ$403,58,FALSE)+VLOOKUP($A160,'1.3.21-28.2.22'!$A$6:$DA$404,58,FALSE)-VLOOKUP($A160,'01-02.2022'!$A$6:$DA$376,58,FALSE)</f>
        <v>0</v>
      </c>
      <c r="BG160" s="55">
        <f t="shared" si="189"/>
        <v>0</v>
      </c>
      <c r="BH160" s="566">
        <f>VLOOKUP($A160,'01-02.2021'!$A$6:$CZ$403,60,FALSE)+VLOOKUP($A160,'1.3.21-28.2.22'!$A$6:$DA$404,60,FALSE)-VLOOKUP($A160,'01-02.2022'!$A$6:$DA$376,60,FALSE)</f>
        <v>0</v>
      </c>
      <c r="BI160" s="566">
        <f>VLOOKUP($A160,'01-02.2021'!$A$6:$CZ$403,61,FALSE)+VLOOKUP($A160,'1.3.21-28.2.22'!$A$6:$DA$404,61,FALSE)-VLOOKUP($A160,'01-02.2022'!$A$6:$DA$376,61,FALSE)</f>
        <v>0</v>
      </c>
      <c r="BJ160" s="55">
        <f t="shared" si="190"/>
        <v>0</v>
      </c>
      <c r="BK160" s="566">
        <f>VLOOKUP($A160,'01-02.2021'!$A$6:$CZ$403,63,FALSE)+VLOOKUP($A160,'1.3.21-28.2.22'!$A$6:$DA$404,63,FALSE)-VLOOKUP($A160,'01-02.2022'!$A$6:$DA$376,63,FALSE)</f>
        <v>599.35100941255132</v>
      </c>
      <c r="BL160" s="566">
        <f>VLOOKUP($A160,'01-02.2021'!$A$6:$CZ$403,64,FALSE)+VLOOKUP($A160,'1.3.21-28.2.22'!$A$6:$DA$404,64,FALSE)-VLOOKUP($A160,'01-02.2022'!$A$6:$DA$376,64,FALSE)</f>
        <v>0</v>
      </c>
      <c r="BM160" s="55">
        <f t="shared" si="191"/>
        <v>-599.35100941255132</v>
      </c>
      <c r="BN160" s="566">
        <f>VLOOKUP($A160,'01-02.2021'!$A$6:$CZ$403,66,FALSE)+VLOOKUP($A160,'1.3.21-28.2.22'!$A$6:$DA$404,66,FALSE)-VLOOKUP($A160,'01-02.2022'!$A$6:$DA$376,66,FALSE)</f>
        <v>74.234999999999985</v>
      </c>
      <c r="BO160" s="566">
        <f>VLOOKUP($A160,'01-02.2021'!$A$6:$CZ$403,67,FALSE)+VLOOKUP($A160,'1.3.21-28.2.22'!$A$6:$DA$404,67,FALSE)-VLOOKUP($A160,'01-02.2022'!$A$6:$DA$376,67,FALSE)</f>
        <v>0</v>
      </c>
      <c r="BP160" s="55">
        <f t="shared" si="192"/>
        <v>-74.234999999999985</v>
      </c>
      <c r="BQ160" s="77">
        <f t="shared" si="204"/>
        <v>4586.3260094172165</v>
      </c>
      <c r="BR160" s="40">
        <f t="shared" si="205"/>
        <v>2510</v>
      </c>
      <c r="BS160" s="55">
        <f t="shared" si="166"/>
        <v>-2076.3260094172165</v>
      </c>
      <c r="BT160" s="566">
        <f>VLOOKUP($A160,'01-02.2021'!$A$6:$CZ$403,72,FALSE)+VLOOKUP($A160,'1.3.21-28.2.22'!$A$6:$DA$404,72,FALSE)-VLOOKUP($A160,'01-02.2022'!$A$6:$DA$376,72,FALSE)</f>
        <v>9243.9409816700463</v>
      </c>
      <c r="BU160" s="566">
        <f>VLOOKUP($A160,'01-02.2021'!$A$6:$CZ$403,73,FALSE)+VLOOKUP($A160,'1.3.21-28.2.22'!$A$6:$DA$404,73,FALSE)-VLOOKUP($A160,'01-02.2022'!$A$6:$DA$376,73,FALSE)</f>
        <v>14119.993913757084</v>
      </c>
      <c r="BV160" s="70">
        <f t="shared" si="193"/>
        <v>4876.0529320870373</v>
      </c>
      <c r="BW160" s="566">
        <f>VLOOKUP($A160,'01-02.2021'!$A$6:$CZ$403,75,FALSE)+VLOOKUP($A160,'1.3.21-28.2.22'!$A$6:$DA$404,75,FALSE)-VLOOKUP($A160,'01-02.2022'!$A$6:$DA$376,75,FALSE)</f>
        <v>6782.2353353265826</v>
      </c>
      <c r="BX160" s="566">
        <f>VLOOKUP($A160,'01-02.2021'!$A$6:$CZ$403,76,FALSE)+VLOOKUP($A160,'1.3.21-28.2.22'!$A$6:$DA$404,76,FALSE)-VLOOKUP($A160,'01-02.2022'!$A$6:$DA$376,76,FALSE)</f>
        <v>6341.7724406826064</v>
      </c>
      <c r="BY160" s="70">
        <f t="shared" si="194"/>
        <v>-440.46289464397614</v>
      </c>
      <c r="BZ160" s="566">
        <f>VLOOKUP($A160,'01-02.2021'!$A$6:$CZ$403,78,FALSE)+VLOOKUP($A160,'1.3.21-28.2.22'!$A$6:$DA$404,78,FALSE)-VLOOKUP($A160,'01-02.2022'!$A$6:$DA$376,78,FALSE)</f>
        <v>5915.2244848802065</v>
      </c>
      <c r="CA160" s="566">
        <f>VLOOKUP($A160,'01-02.2021'!$A$6:$CZ$403,79,FALSE)+VLOOKUP($A160,'1.3.21-28.2.22'!$A$6:$DA$404,79,FALSE)-VLOOKUP($A160,'01-02.2022'!$A$6:$DA$376,79,FALSE)</f>
        <v>3239.7853889977109</v>
      </c>
      <c r="CB160" s="70">
        <f t="shared" si="195"/>
        <v>-2675.4390958824956</v>
      </c>
      <c r="CC160" s="566">
        <f>VLOOKUP($A160,'01-02.2021'!$A$6:$CZ$403,81,FALSE)+VLOOKUP($A160,'1.3.21-28.2.22'!$A$6:$DA$404,81,FALSE)-VLOOKUP($A160,'01-02.2022'!$A$6:$DA$376,81,FALSE)</f>
        <v>560.85688653594866</v>
      </c>
      <c r="CD160" s="566">
        <f>VLOOKUP($A160,'01-02.2021'!$A$6:$CZ$403,82,FALSE)+VLOOKUP($A160,'1.3.21-28.2.22'!$A$6:$DA$404,82,FALSE)-VLOOKUP($A160,'01-02.2022'!$A$6:$DA$376,82,FALSE)</f>
        <v>613.01266195120047</v>
      </c>
      <c r="CE160" s="70">
        <f t="shared" si="196"/>
        <v>52.15577541525181</v>
      </c>
      <c r="CF160" s="566">
        <f>VLOOKUP($A160,'01-02.2021'!$A$6:$CZ$403,84,FALSE)+VLOOKUP($A160,'1.3.21-28.2.22'!$A$6:$DA$404,84,FALSE)-VLOOKUP($A160,'01-02.2022'!$A$6:$DA$376,84,FALSE)</f>
        <v>68.183707685533435</v>
      </c>
      <c r="CG160" s="566">
        <f>VLOOKUP($A160,'01-02.2021'!$A$6:$CZ$403,85,FALSE)+VLOOKUP($A160,'1.3.21-28.2.22'!$A$6:$DA$404,85,FALSE)-VLOOKUP($A160,'01-02.2022'!$A$6:$DA$376,85,FALSE)</f>
        <v>0</v>
      </c>
      <c r="CH160" s="70">
        <f t="shared" si="197"/>
        <v>-68.183707685533435</v>
      </c>
      <c r="CI160" s="566">
        <f>VLOOKUP($A160,'01-02.2021'!$A$6:$CZ$403,87,FALSE)+VLOOKUP($A160,'1.3.21-28.2.22'!$A$6:$DA$404,87,FALSE)-VLOOKUP($A160,'01-02.2022'!$A$6:$DA$376,87,FALSE)</f>
        <v>2851.063347477846</v>
      </c>
      <c r="CJ160" s="566">
        <f>VLOOKUP($A160,'01-02.2021'!$A$6:$CZ$403,88,FALSE)+VLOOKUP($A160,'1.3.21-28.2.22'!$A$6:$DA$404,88,FALSE)-VLOOKUP($A160,'01-02.2022'!$A$6:$DA$376,88,FALSE)</f>
        <v>2364.0507609298884</v>
      </c>
      <c r="CK160" s="70">
        <f t="shared" si="198"/>
        <v>-487.01258654795765</v>
      </c>
      <c r="CL160" s="566">
        <f>VLOOKUP($A160,'01-02.2021'!$A$6:$CZ$403,90,FALSE)+VLOOKUP($A160,'1.3.21-28.2.22'!$A$6:$DA$404,90,FALSE)-VLOOKUP($A160,'01-02.2022'!$A$6:$DA$376,90,FALSE)</f>
        <v>0</v>
      </c>
      <c r="CM160" s="566">
        <f>VLOOKUP($A160,'01-02.2021'!$A$6:$CZ$403,91,FALSE)+VLOOKUP($A160,'1.3.21-28.2.22'!$A$6:$DA$404,91,FALSE)-VLOOKUP($A160,'01-02.2022'!$A$6:$DA$376,91,FALSE)</f>
        <v>0</v>
      </c>
      <c r="CN160" s="52">
        <f t="shared" si="158"/>
        <v>0</v>
      </c>
      <c r="CO160" s="39">
        <f t="shared" si="153"/>
        <v>2851.063347477846</v>
      </c>
      <c r="CP160" s="40">
        <f t="shared" si="159"/>
        <v>2364.0507609298884</v>
      </c>
      <c r="CQ160" s="52">
        <f t="shared" si="160"/>
        <v>-487.01258654795765</v>
      </c>
      <c r="CR160" s="72">
        <f t="shared" si="154"/>
        <v>65334.800230673492</v>
      </c>
      <c r="CS160" s="5">
        <f t="shared" si="154"/>
        <v>53869.97881216745</v>
      </c>
      <c r="CT160" s="52">
        <f t="shared" si="161"/>
        <v>-11464.821418506042</v>
      </c>
      <c r="CU160" s="77">
        <f t="shared" si="162"/>
        <v>78401.760276808185</v>
      </c>
      <c r="CV160" s="65">
        <f t="shared" si="163"/>
        <v>64643.974574600936</v>
      </c>
      <c r="CW160" s="35">
        <f t="shared" si="164"/>
        <v>-13757.785702207249</v>
      </c>
      <c r="CX160" s="566">
        <f>VLOOKUP($A160,'01-02.2021'!$A$6:$CZ$403,102,FALSE)+VLOOKUP($A160,'1.3.21-28.2.22'!$A$6:$DA$404,102,FALSE)-VLOOKUP($A160,'01-02.2022'!$A$6:$DA$376,102,FALSE)</f>
        <v>2733.1599856481862</v>
      </c>
      <c r="CY160" s="566">
        <f>VLOOKUP($A160,'01-02.2021'!$A$6:$CZ$403,103,FALSE)+VLOOKUP($A160,'1.3.21-28.2.22'!$A$6:$DA$404,103,FALSE)-VLOOKUP($A160,'01-02.2022'!$A$6:$DA$376,103,FALSE)</f>
        <v>16490.945687855456</v>
      </c>
      <c r="CZ160" s="52">
        <f t="shared" si="165"/>
        <v>13757.785702207269</v>
      </c>
      <c r="DA160" s="150">
        <f>'[2]побудинковий звіт'!DA160</f>
        <v>-7304.382338355369</v>
      </c>
      <c r="DB160" s="2">
        <v>2</v>
      </c>
      <c r="DC160" s="414">
        <f>'[4]побудинковий звіт'!DC160</f>
        <v>10673.72</v>
      </c>
      <c r="DD160" s="414">
        <f>'[4]побудинковий звіт'!DD160</f>
        <v>-498.96000000000004</v>
      </c>
      <c r="DE160" s="557">
        <f>'[4]побудинковий звіт'!DE160</f>
        <v>3673.1547220002694</v>
      </c>
      <c r="DF160" s="557">
        <f>'[4]побудинковий звіт'!DF160</f>
        <v>-874.22178050293485</v>
      </c>
      <c r="DG160" s="321">
        <f>VLOOKUP(A160,'кошти 01.03.2021'!$A$6:$D$401,4,)</f>
        <v>7736.5031760481897</v>
      </c>
      <c r="DH160" s="40">
        <f>'[3]побудинковий звіт'!DJ160</f>
        <v>84042.123015481222</v>
      </c>
      <c r="DI160" s="422">
        <f>'[3]побудинковий звіт'!CU160+'[3]побудинковий звіт'!CX160</f>
        <v>7375.8270585026639</v>
      </c>
      <c r="DJ160" s="306">
        <f>'[3]побудинковий звіт'!DM160</f>
        <v>5.0007609672117503</v>
      </c>
      <c r="DK160" s="306">
        <f t="shared" ref="DK160:DK168" si="206">DJ160</f>
        <v>5.0007609672117503</v>
      </c>
      <c r="DL160" s="306">
        <f>'[3]побудинковий звіт'!DO160</f>
        <v>4.4096566451578711</v>
      </c>
      <c r="DM160" s="28">
        <f t="shared" ref="DM160:DM168" si="207">F160*DJ160</f>
        <v>7000.5652779997299</v>
      </c>
      <c r="DN160" s="28">
        <f t="shared" ref="DN160:DN168" si="208">H160*DL160</f>
        <v>375.26178050293481</v>
      </c>
      <c r="DO160" s="423">
        <f t="shared" si="171"/>
        <v>7375.8270585026648</v>
      </c>
      <c r="DP160" s="94">
        <f t="shared" si="172"/>
        <v>0</v>
      </c>
      <c r="DQ160" s="28">
        <f t="shared" si="173"/>
        <v>7375.8270585026648</v>
      </c>
      <c r="DR160" s="318"/>
      <c r="DT160" s="8"/>
      <c r="DU160" s="5"/>
      <c r="DX160" s="5">
        <f t="shared" si="174"/>
        <v>22862.421520291249</v>
      </c>
      <c r="DY160" s="5">
        <f t="shared" si="175"/>
        <v>8160.2280000000001</v>
      </c>
      <c r="DZ160" s="159">
        <f>'[3]побудинковий звіт'!EA160</f>
        <v>2189.8871322868326</v>
      </c>
    </row>
    <row r="161" spans="1:130" x14ac:dyDescent="0.3">
      <c r="A161" s="325">
        <v>150001010</v>
      </c>
      <c r="B161" s="41" t="s">
        <v>610</v>
      </c>
      <c r="C161" s="42" t="s">
        <v>165</v>
      </c>
      <c r="D161" s="42"/>
      <c r="E161" s="293">
        <f t="shared" si="149"/>
        <v>744.59999999999991</v>
      </c>
      <c r="F161" s="305">
        <f>'[3]побудинковий звіт'!F161</f>
        <v>539.29999999999995</v>
      </c>
      <c r="G161" s="508">
        <f>'[3]побудинковий звіт'!G161</f>
        <v>0</v>
      </c>
      <c r="H161" s="560">
        <f>'[3]побудинковий звіт'!H161</f>
        <v>205.3</v>
      </c>
      <c r="I161" s="566">
        <f>VLOOKUP($A161,'01-02.2021'!$A$6:$CZ$403,9,FALSE)+VLOOKUP($A161,'1.3.21-28.2.22'!$A$6:$DA$404,9,FALSE)-VLOOKUP($A161,'01-02.2022'!$A$6:$DA$376,9,FALSE)</f>
        <v>3023.2649741205191</v>
      </c>
      <c r="J161" s="566">
        <f>VLOOKUP($A161,'01-02.2021'!$A$6:$CZ$403,10,FALSE)+VLOOKUP($A161,'1.3.21-28.2.22'!$A$6:$DA$404,10,FALSE)-VLOOKUP($A161,'01-02.2022'!$A$6:$DA$376,10,FALSE)</f>
        <v>3277.6643499510146</v>
      </c>
      <c r="K161" s="52">
        <f t="shared" si="155"/>
        <v>254.3993758304955</v>
      </c>
      <c r="L161" s="566">
        <f>VLOOKUP($A161,'01-02.2021'!$A$6:$CZ$403,12,FALSE)+VLOOKUP($A161,'1.3.21-28.2.22'!$A$6:$DA$404,12,FALSE)-VLOOKUP($A161,'01-02.2022'!$A$6:$DA$376,12,FALSE)</f>
        <v>675.54231115954497</v>
      </c>
      <c r="M161" s="566">
        <f>VLOOKUP($A161,'01-02.2021'!$A$6:$CZ$403,13,FALSE)+VLOOKUP($A161,'1.3.21-28.2.22'!$A$6:$DA$404,13,FALSE)-VLOOKUP($A161,'01-02.2022'!$A$6:$DA$376,13,FALSE)</f>
        <v>743.79502286915431</v>
      </c>
      <c r="N161" s="52">
        <f t="shared" si="156"/>
        <v>68.252711709609343</v>
      </c>
      <c r="O161" s="566">
        <f>VLOOKUP($A161,'01-02.2021'!$A$6:$CZ$403,15,FALSE)+VLOOKUP($A161,'1.3.21-28.2.22'!$A$6:$DA$404,15,FALSE)-VLOOKUP($A161,'01-02.2022'!$A$6:$DA$376,15,FALSE)</f>
        <v>930.39855612462532</v>
      </c>
      <c r="P161" s="566">
        <f>VLOOKUP($A161,'01-02.2021'!$A$6:$CZ$403,16,FALSE)+VLOOKUP($A161,'1.3.21-28.2.22'!$A$6:$DA$404,16,FALSE)-VLOOKUP($A161,'01-02.2022'!$A$6:$DA$376,16,FALSE)</f>
        <v>930.4100000000002</v>
      </c>
      <c r="Q161" s="70">
        <f t="shared" si="176"/>
        <v>1.1443875374880008E-2</v>
      </c>
      <c r="R161" s="566">
        <f>VLOOKUP($A161,'01-02.2021'!$A$6:$CZ$403,18,FALSE)+VLOOKUP($A161,'1.3.21-28.2.22'!$A$6:$DA$404,18,FALSE)-VLOOKUP($A161,'01-02.2022'!$A$6:$DA$376,18,FALSE)</f>
        <v>0</v>
      </c>
      <c r="S161" s="566">
        <f>VLOOKUP($A161,'01-02.2021'!$A$6:$CZ$403,19,FALSE)+VLOOKUP($A161,'1.3.21-28.2.22'!$A$6:$DA$404,19,FALSE)-VLOOKUP($A161,'01-02.2022'!$A$6:$DA$376,19,FALSE)</f>
        <v>0</v>
      </c>
      <c r="T161" s="70">
        <f t="shared" si="177"/>
        <v>0</v>
      </c>
      <c r="U161" s="566">
        <f>VLOOKUP($A161,'01-02.2021'!$A$6:$CZ$403,21,FALSE)+VLOOKUP($A161,'1.3.21-28.2.22'!$A$6:$DA$404,21,FALSE)-VLOOKUP($A161,'01-02.2022'!$A$6:$DA$376,21,FALSE)</f>
        <v>0</v>
      </c>
      <c r="V161" s="566">
        <f>VLOOKUP($A161,'01-02.2021'!$A$6:$CZ$403,22,FALSE)+VLOOKUP($A161,'1.3.21-28.2.22'!$A$6:$DA$404,22,FALSE)-VLOOKUP($A161,'01-02.2022'!$A$6:$DA$376,22,FALSE)</f>
        <v>0</v>
      </c>
      <c r="W161" s="70">
        <f t="shared" si="178"/>
        <v>0</v>
      </c>
      <c r="X161" s="566">
        <f>VLOOKUP($A161,'01-02.2021'!$A$6:$CZ$403,24,FALSE)+VLOOKUP($A161,'1.3.21-28.2.22'!$A$6:$DA$404,24,FALSE)-VLOOKUP($A161,'01-02.2022'!$A$6:$DA$376,24,FALSE)</f>
        <v>1749.5023987642367</v>
      </c>
      <c r="Y161" s="566">
        <f>VLOOKUP($A161,'01-02.2021'!$A$6:$CZ$403,25,FALSE)+VLOOKUP($A161,'1.3.21-28.2.22'!$A$6:$DA$404,25,FALSE)-VLOOKUP($A161,'01-02.2022'!$A$6:$DA$376,25,FALSE)</f>
        <v>1420.9856087354335</v>
      </c>
      <c r="Z161" s="70">
        <f t="shared" si="179"/>
        <v>-328.51679002880314</v>
      </c>
      <c r="AA161" s="566">
        <f>VLOOKUP($A161,'01-02.2021'!$A$6:$CZ$403,27,FALSE)+VLOOKUP($A161,'1.3.21-28.2.22'!$A$6:$DA$404,27,FALSE)-VLOOKUP($A161,'01-02.2022'!$A$6:$DA$376,27,FALSE)</f>
        <v>153.35999999999999</v>
      </c>
      <c r="AB161" s="566">
        <f>VLOOKUP($A161,'01-02.2021'!$A$6:$CZ$403,28,FALSE)+VLOOKUP($A161,'1.3.21-28.2.22'!$A$6:$DA$404,28,FALSE)-VLOOKUP($A161,'01-02.2022'!$A$6:$DA$376,28,FALSE)</f>
        <v>0</v>
      </c>
      <c r="AC161" s="70">
        <f t="shared" si="180"/>
        <v>-153.35999999999999</v>
      </c>
      <c r="AD161" s="566">
        <f>VLOOKUP($A161,'01-02.2021'!$A$6:$CZ$403,30,FALSE)+VLOOKUP($A161,'1.3.21-28.2.22'!$A$6:$DA$404,30,FALSE)-VLOOKUP($A161,'01-02.2022'!$A$6:$DA$376,30,FALSE)</f>
        <v>3215.7006601923326</v>
      </c>
      <c r="AE161" s="566">
        <f>VLOOKUP($A161,'01-02.2021'!$A$6:$CZ$403,31,FALSE)+VLOOKUP($A161,'1.3.21-28.2.22'!$A$6:$DA$404,31,FALSE)-VLOOKUP($A161,'01-02.2022'!$A$6:$DA$376,31,FALSE)</f>
        <v>3389.4492016096142</v>
      </c>
      <c r="AF161" s="68">
        <f t="shared" si="181"/>
        <v>173.74854141728156</v>
      </c>
      <c r="AG161" s="77">
        <f t="shared" si="150"/>
        <v>9747.7689003612577</v>
      </c>
      <c r="AH161" s="53">
        <f t="shared" si="150"/>
        <v>9762.3041831652172</v>
      </c>
      <c r="AI161" s="52">
        <f t="shared" si="157"/>
        <v>14.53528280395949</v>
      </c>
      <c r="AJ161" s="566">
        <f>VLOOKUP($A161,'01-02.2021'!$A$6:$CZ$403,36,FALSE)+VLOOKUP($A161,'1.3.21-28.2.22'!$A$6:$DA$404,36,FALSE)-VLOOKUP($A161,'01-02.2022'!$A$6:$DA$376,36,FALSE)</f>
        <v>0</v>
      </c>
      <c r="AK161" s="566">
        <f>VLOOKUP($A161,'01-02.2021'!$A$6:$CZ$403,37,FALSE)+VLOOKUP($A161,'1.3.21-28.2.22'!$A$6:$DA$404,37,FALSE)-VLOOKUP($A161,'01-02.2022'!$A$6:$DA$376,37,FALSE)</f>
        <v>0</v>
      </c>
      <c r="AL161" s="70">
        <f t="shared" si="182"/>
        <v>0</v>
      </c>
      <c r="AM161" s="566">
        <f>VLOOKUP($A161,'01-02.2021'!$A$6:$CZ$403,39,FALSE)+VLOOKUP($A161,'1.3.21-28.2.22'!$A$6:$DA$404,39,FALSE)-VLOOKUP($A161,'01-02.2022'!$A$6:$DA$376,39,FALSE)</f>
        <v>0</v>
      </c>
      <c r="AN161" s="566">
        <f>VLOOKUP($A161,'01-02.2021'!$A$6:$CZ$403,40,FALSE)+VLOOKUP($A161,'1.3.21-28.2.22'!$A$6:$DA$404,40,FALSE)-VLOOKUP($A161,'01-02.2022'!$A$6:$DA$376,40,FALSE)</f>
        <v>0</v>
      </c>
      <c r="AO161" s="70">
        <f t="shared" si="183"/>
        <v>0</v>
      </c>
      <c r="AP161" s="566">
        <f>VLOOKUP($A161,'01-02.2021'!$A$6:$CZ$403,42,FALSE)+VLOOKUP($A161,'1.3.21-28.2.22'!$A$6:$DA$404,42,FALSE)-VLOOKUP($A161,'01-02.2022'!$A$6:$DA$376,42,FALSE)</f>
        <v>1431.5397937851376</v>
      </c>
      <c r="AQ161" s="566">
        <f>VLOOKUP($A161,'01-02.2021'!$A$6:$CZ$403,43,FALSE)+VLOOKUP($A161,'1.3.21-28.2.22'!$A$6:$DA$404,43,FALSE)-VLOOKUP($A161,'01-02.2022'!$A$6:$DA$376,43,FALSE)</f>
        <v>1235.5568311439388</v>
      </c>
      <c r="AR161" s="70">
        <f t="shared" si="184"/>
        <v>-195.98296264119881</v>
      </c>
      <c r="AS161" s="566">
        <f>VLOOKUP($A161,'01-02.2021'!$A$6:$CZ$403,45,FALSE)+VLOOKUP($A161,'1.3.21-28.2.22'!$A$6:$DA$404,45,FALSE)-VLOOKUP($A161,'01-02.2022'!$A$6:$DA$376,45,FALSE)</f>
        <v>7787.0570257061745</v>
      </c>
      <c r="AT161" s="566">
        <f>VLOOKUP($A161,'01-02.2021'!$A$6:$CZ$403,46,FALSE)+VLOOKUP($A161,'1.3.21-28.2.22'!$A$6:$DA$404,46,FALSE)-VLOOKUP($A161,'01-02.2022'!$A$6:$DA$376,46,FALSE)</f>
        <v>213</v>
      </c>
      <c r="AU161" s="78">
        <f t="shared" si="185"/>
        <v>-7574.0570257061745</v>
      </c>
      <c r="AV161" s="566">
        <f>VLOOKUP($A161,'01-02.2021'!$A$6:$CZ$403,48,FALSE)+VLOOKUP($A161,'1.3.21-28.2.22'!$A$6:$DA$404,48,FALSE)-VLOOKUP($A161,'01-02.2022'!$A$6:$DA$376,48,FALSE)</f>
        <v>913.06263208949872</v>
      </c>
      <c r="AW161" s="566">
        <f>VLOOKUP($A161,'01-02.2021'!$A$6:$CZ$403,49,FALSE)+VLOOKUP($A161,'1.3.21-28.2.22'!$A$6:$DA$404,49,FALSE)-VLOOKUP($A161,'01-02.2022'!$A$6:$DA$376,49,FALSE)</f>
        <v>0</v>
      </c>
      <c r="AX161" s="55">
        <f t="shared" si="186"/>
        <v>-913.06263208949872</v>
      </c>
      <c r="AY161" s="566">
        <f>VLOOKUP($A161,'01-02.2021'!$A$6:$CZ$403,51,FALSE)+VLOOKUP($A161,'1.3.21-28.2.22'!$A$6:$DA$404,51,FALSE)-VLOOKUP($A161,'01-02.2022'!$A$6:$DA$376,51,FALSE)</f>
        <v>1270.0175642718114</v>
      </c>
      <c r="AZ161" s="566">
        <f>VLOOKUP($A161,'01-02.2021'!$A$6:$CZ$403,52,FALSE)+VLOOKUP($A161,'1.3.21-28.2.22'!$A$6:$DA$404,52,FALSE)-VLOOKUP($A161,'01-02.2022'!$A$6:$DA$376,52,FALSE)</f>
        <v>0</v>
      </c>
      <c r="BA161" s="38">
        <f t="shared" si="187"/>
        <v>-1270.0175642718114</v>
      </c>
      <c r="BB161" s="566">
        <f>VLOOKUP($A161,'01-02.2021'!$A$6:$CZ$403,54,FALSE)+VLOOKUP($A161,'1.3.21-28.2.22'!$A$6:$DA$404,54,FALSE)-VLOOKUP($A161,'01-02.2022'!$A$6:$DA$376,54,FALSE)</f>
        <v>376.54355622520285</v>
      </c>
      <c r="BC161" s="566">
        <f>VLOOKUP($A161,'01-02.2021'!$A$6:$CZ$403,55,FALSE)+VLOOKUP($A161,'1.3.21-28.2.22'!$A$6:$DA$404,55,FALSE)-VLOOKUP($A161,'01-02.2022'!$A$6:$DA$376,55,FALSE)</f>
        <v>0</v>
      </c>
      <c r="BD161" s="55">
        <f t="shared" si="188"/>
        <v>-376.54355622520285</v>
      </c>
      <c r="BE161" s="566">
        <f>VLOOKUP($A161,'01-02.2021'!$A$6:$CZ$403,57,FALSE)+VLOOKUP($A161,'1.3.21-28.2.22'!$A$6:$DA$404,57,FALSE)-VLOOKUP($A161,'01-02.2022'!$A$6:$DA$376,57,FALSE)</f>
        <v>0</v>
      </c>
      <c r="BF161" s="566">
        <f>VLOOKUP($A161,'01-02.2021'!$A$6:$CZ$403,58,FALSE)+VLOOKUP($A161,'1.3.21-28.2.22'!$A$6:$DA$404,58,FALSE)-VLOOKUP($A161,'01-02.2022'!$A$6:$DA$376,58,FALSE)</f>
        <v>0</v>
      </c>
      <c r="BG161" s="55">
        <f t="shared" si="189"/>
        <v>0</v>
      </c>
      <c r="BH161" s="566">
        <f>VLOOKUP($A161,'01-02.2021'!$A$6:$CZ$403,60,FALSE)+VLOOKUP($A161,'1.3.21-28.2.22'!$A$6:$DA$404,60,FALSE)-VLOOKUP($A161,'01-02.2022'!$A$6:$DA$376,60,FALSE)</f>
        <v>0</v>
      </c>
      <c r="BI161" s="566">
        <f>VLOOKUP($A161,'01-02.2021'!$A$6:$CZ$403,61,FALSE)+VLOOKUP($A161,'1.3.21-28.2.22'!$A$6:$DA$404,61,FALSE)-VLOOKUP($A161,'01-02.2022'!$A$6:$DA$376,61,FALSE)</f>
        <v>0</v>
      </c>
      <c r="BJ161" s="55">
        <f t="shared" si="190"/>
        <v>0</v>
      </c>
      <c r="BK161" s="566">
        <f>VLOOKUP($A161,'01-02.2021'!$A$6:$CZ$403,63,FALSE)+VLOOKUP($A161,'1.3.21-28.2.22'!$A$6:$DA$404,63,FALSE)-VLOOKUP($A161,'01-02.2022'!$A$6:$DA$376,63,FALSE)</f>
        <v>457.74789559228554</v>
      </c>
      <c r="BL161" s="566">
        <f>VLOOKUP($A161,'01-02.2021'!$A$6:$CZ$403,64,FALSE)+VLOOKUP($A161,'1.3.21-28.2.22'!$A$6:$DA$404,64,FALSE)-VLOOKUP($A161,'01-02.2022'!$A$6:$DA$376,64,FALSE)</f>
        <v>0</v>
      </c>
      <c r="BM161" s="55">
        <f t="shared" si="191"/>
        <v>-457.74789559228554</v>
      </c>
      <c r="BN161" s="566">
        <f>VLOOKUP($A161,'01-02.2021'!$A$6:$CZ$403,66,FALSE)+VLOOKUP($A161,'1.3.21-28.2.22'!$A$6:$DA$404,66,FALSE)-VLOOKUP($A161,'01-02.2022'!$A$6:$DA$376,66,FALSE)</f>
        <v>38.339999999999996</v>
      </c>
      <c r="BO161" s="566">
        <f>VLOOKUP($A161,'01-02.2021'!$A$6:$CZ$403,67,FALSE)+VLOOKUP($A161,'1.3.21-28.2.22'!$A$6:$DA$404,67,FALSE)-VLOOKUP($A161,'01-02.2022'!$A$6:$DA$376,67,FALSE)</f>
        <v>0</v>
      </c>
      <c r="BP161" s="55">
        <f t="shared" si="192"/>
        <v>-38.339999999999996</v>
      </c>
      <c r="BQ161" s="77">
        <f t="shared" si="204"/>
        <v>3055.7116481787989</v>
      </c>
      <c r="BR161" s="40">
        <f t="shared" si="205"/>
        <v>0</v>
      </c>
      <c r="BS161" s="55">
        <f t="shared" si="166"/>
        <v>-3055.7116481787989</v>
      </c>
      <c r="BT161" s="566">
        <f>VLOOKUP($A161,'01-02.2021'!$A$6:$CZ$403,72,FALSE)+VLOOKUP($A161,'1.3.21-28.2.22'!$A$6:$DA$404,72,FALSE)-VLOOKUP($A161,'01-02.2022'!$A$6:$DA$376,72,FALSE)</f>
        <v>7374.1094995353851</v>
      </c>
      <c r="BU161" s="566">
        <f>VLOOKUP($A161,'01-02.2021'!$A$6:$CZ$403,73,FALSE)+VLOOKUP($A161,'1.3.21-28.2.22'!$A$6:$DA$404,73,FALSE)-VLOOKUP($A161,'01-02.2022'!$A$6:$DA$376,73,FALSE)</f>
        <v>10068.956086600698</v>
      </c>
      <c r="BV161" s="70">
        <f t="shared" si="193"/>
        <v>2694.8465870653126</v>
      </c>
      <c r="BW161" s="566">
        <f>VLOOKUP($A161,'01-02.2021'!$A$6:$CZ$403,75,FALSE)+VLOOKUP($A161,'1.3.21-28.2.22'!$A$6:$DA$404,75,FALSE)-VLOOKUP($A161,'01-02.2022'!$A$6:$DA$376,75,FALSE)</f>
        <v>4183.4523052180375</v>
      </c>
      <c r="BX161" s="566">
        <f>VLOOKUP($A161,'01-02.2021'!$A$6:$CZ$403,76,FALSE)+VLOOKUP($A161,'1.3.21-28.2.22'!$A$6:$DA$404,76,FALSE)-VLOOKUP($A161,'01-02.2022'!$A$6:$DA$376,76,FALSE)</f>
        <v>4042.5372846901719</v>
      </c>
      <c r="BY161" s="70">
        <f t="shared" si="194"/>
        <v>-140.91502052786564</v>
      </c>
      <c r="BZ161" s="566">
        <f>VLOOKUP($A161,'01-02.2021'!$A$6:$CZ$403,78,FALSE)+VLOOKUP($A161,'1.3.21-28.2.22'!$A$6:$DA$404,78,FALSE)-VLOOKUP($A161,'01-02.2022'!$A$6:$DA$376,78,FALSE)</f>
        <v>4445.3709614187001</v>
      </c>
      <c r="CA161" s="566">
        <f>VLOOKUP($A161,'01-02.2021'!$A$6:$CZ$403,79,FALSE)+VLOOKUP($A161,'1.3.21-28.2.22'!$A$6:$DA$404,79,FALSE)-VLOOKUP($A161,'01-02.2022'!$A$6:$DA$376,79,FALSE)</f>
        <v>2298.726338151138</v>
      </c>
      <c r="CB161" s="70">
        <f t="shared" si="195"/>
        <v>-2146.6446232675621</v>
      </c>
      <c r="CC161" s="566">
        <f>VLOOKUP($A161,'01-02.2021'!$A$6:$CZ$403,81,FALSE)+VLOOKUP($A161,'1.3.21-28.2.22'!$A$6:$DA$404,81,FALSE)-VLOOKUP($A161,'01-02.2022'!$A$6:$DA$376,81,FALSE)</f>
        <v>280.42844326797433</v>
      </c>
      <c r="CD161" s="566">
        <f>VLOOKUP($A161,'01-02.2021'!$A$6:$CZ$403,82,FALSE)+VLOOKUP($A161,'1.3.21-28.2.22'!$A$6:$DA$404,82,FALSE)-VLOOKUP($A161,'01-02.2022'!$A$6:$DA$376,82,FALSE)</f>
        <v>306.50633097560024</v>
      </c>
      <c r="CE161" s="70">
        <f t="shared" si="196"/>
        <v>26.077887707625905</v>
      </c>
      <c r="CF161" s="566">
        <f>VLOOKUP($A161,'01-02.2021'!$A$6:$CZ$403,84,FALSE)+VLOOKUP($A161,'1.3.21-28.2.22'!$A$6:$DA$404,84,FALSE)-VLOOKUP($A161,'01-02.2022'!$A$6:$DA$376,84,FALSE)</f>
        <v>34.091853842766717</v>
      </c>
      <c r="CG161" s="566">
        <f>VLOOKUP($A161,'01-02.2021'!$A$6:$CZ$403,85,FALSE)+VLOOKUP($A161,'1.3.21-28.2.22'!$A$6:$DA$404,85,FALSE)-VLOOKUP($A161,'01-02.2022'!$A$6:$DA$376,85,FALSE)</f>
        <v>2238.8068015269751</v>
      </c>
      <c r="CH161" s="70">
        <f t="shared" si="197"/>
        <v>2204.7149476842083</v>
      </c>
      <c r="CI161" s="566">
        <f>VLOOKUP($A161,'01-02.2021'!$A$6:$CZ$403,87,FALSE)+VLOOKUP($A161,'1.3.21-28.2.22'!$A$6:$DA$404,87,FALSE)-VLOOKUP($A161,'01-02.2022'!$A$6:$DA$376,87,FALSE)</f>
        <v>911.83503590129374</v>
      </c>
      <c r="CJ161" s="566">
        <f>VLOOKUP($A161,'01-02.2021'!$A$6:$CZ$403,88,FALSE)+VLOOKUP($A161,'1.3.21-28.2.22'!$A$6:$DA$404,88,FALSE)-VLOOKUP($A161,'01-02.2022'!$A$6:$DA$376,88,FALSE)</f>
        <v>847.96813672022267</v>
      </c>
      <c r="CK161" s="70">
        <f t="shared" si="198"/>
        <v>-63.866899181071062</v>
      </c>
      <c r="CL161" s="566">
        <f>VLOOKUP($A161,'01-02.2021'!$A$6:$CZ$403,90,FALSE)+VLOOKUP($A161,'1.3.21-28.2.22'!$A$6:$DA$404,90,FALSE)-VLOOKUP($A161,'01-02.2022'!$A$6:$DA$376,90,FALSE)</f>
        <v>0</v>
      </c>
      <c r="CM161" s="566">
        <f>VLOOKUP($A161,'01-02.2021'!$A$6:$CZ$403,91,FALSE)+VLOOKUP($A161,'1.3.21-28.2.22'!$A$6:$DA$404,91,FALSE)-VLOOKUP($A161,'01-02.2022'!$A$6:$DA$376,91,FALSE)</f>
        <v>0</v>
      </c>
      <c r="CN161" s="52">
        <f t="shared" si="158"/>
        <v>0</v>
      </c>
      <c r="CO161" s="39">
        <f t="shared" si="153"/>
        <v>911.83503590129374</v>
      </c>
      <c r="CP161" s="40">
        <f t="shared" si="159"/>
        <v>847.96813672022267</v>
      </c>
      <c r="CQ161" s="52">
        <f t="shared" si="160"/>
        <v>-63.866899181071062</v>
      </c>
      <c r="CR161" s="72">
        <f t="shared" si="154"/>
        <v>39251.365467215532</v>
      </c>
      <c r="CS161" s="5">
        <f t="shared" si="154"/>
        <v>31014.361992973958</v>
      </c>
      <c r="CT161" s="52">
        <f t="shared" si="161"/>
        <v>-8237.0034742415737</v>
      </c>
      <c r="CU161" s="77">
        <f t="shared" si="162"/>
        <v>47101.638560658634</v>
      </c>
      <c r="CV161" s="65">
        <f t="shared" si="163"/>
        <v>37217.234391568745</v>
      </c>
      <c r="CW161" s="35">
        <f t="shared" si="164"/>
        <v>-9884.4041690898885</v>
      </c>
      <c r="CX161" s="566">
        <f>VLOOKUP($A161,'01-02.2021'!$A$6:$CZ$403,102,FALSE)+VLOOKUP($A161,'1.3.21-28.2.22'!$A$6:$DA$404,102,FALSE)-VLOOKUP($A161,'01-02.2022'!$A$6:$DA$376,102,FALSE)</f>
        <v>893.31195799527734</v>
      </c>
      <c r="CY161" s="566">
        <f>VLOOKUP($A161,'01-02.2021'!$A$6:$CZ$403,103,FALSE)+VLOOKUP($A161,'1.3.21-28.2.22'!$A$6:$DA$404,103,FALSE)-VLOOKUP($A161,'01-02.2022'!$A$6:$DA$376,103,FALSE)</f>
        <v>10777.716127085154</v>
      </c>
      <c r="CZ161" s="52">
        <f t="shared" si="165"/>
        <v>9884.4041690898757</v>
      </c>
      <c r="DA161" s="150">
        <f>'[2]побудинковий звіт'!DA161</f>
        <v>15803.043765225222</v>
      </c>
      <c r="DB161" s="2">
        <v>2</v>
      </c>
      <c r="DC161" s="414">
        <f>'[4]побудинковий звіт'!DC161</f>
        <v>3144.07</v>
      </c>
      <c r="DD161" s="414">
        <f>'[4]побудинковий звіт'!DD161</f>
        <v>1784.8700000000001</v>
      </c>
      <c r="DE161" s="557">
        <f>'[4]побудинковий звіт'!DE161</f>
        <v>-110.00983188226701</v>
      </c>
      <c r="DF161" s="557">
        <f>'[4]побудинковий звіт'!DF161</f>
        <v>737.15848991705866</v>
      </c>
      <c r="DG161" s="321">
        <f>VLOOKUP(A161,'кошти 01.03.2021'!$A$6:$D$401,4,)</f>
        <v>27044.818358661116</v>
      </c>
      <c r="DH161" s="40">
        <f>'[3]побудинковий звіт'!DJ161</f>
        <v>49419.628326677361</v>
      </c>
      <c r="DI161" s="422">
        <f>'[3]побудинковий звіт'!CU161+'[3]побудинковий звіт'!CX161</f>
        <v>4301.7913419652086</v>
      </c>
      <c r="DJ161" s="306">
        <f>'[3]побудинковий звіт'!DM161</f>
        <v>6.0338954791067447</v>
      </c>
      <c r="DK161" s="306">
        <f t="shared" si="206"/>
        <v>6.0338954791067447</v>
      </c>
      <c r="DL161" s="306">
        <f>'[3]побудинковий звіт'!DO161</f>
        <v>5.1033195815048291</v>
      </c>
      <c r="DM161" s="28">
        <f t="shared" si="207"/>
        <v>3254.0798318822672</v>
      </c>
      <c r="DN161" s="28">
        <f t="shared" si="208"/>
        <v>1047.7115100829415</v>
      </c>
      <c r="DO161" s="423">
        <f t="shared" si="171"/>
        <v>4301.7913419652086</v>
      </c>
      <c r="DP161" s="94">
        <f t="shared" si="172"/>
        <v>0</v>
      </c>
      <c r="DQ161" s="28">
        <f t="shared" si="173"/>
        <v>4301.7913419652086</v>
      </c>
      <c r="DR161" s="318"/>
      <c r="DT161" s="8"/>
      <c r="DU161" s="5"/>
      <c r="DX161" s="5">
        <f t="shared" si="174"/>
        <v>13011.322408661968</v>
      </c>
      <c r="DY161" s="5">
        <f t="shared" si="175"/>
        <v>255.6</v>
      </c>
      <c r="DZ161" s="159">
        <f>'[3]побудинковий звіт'!EA161</f>
        <v>1122.0986847490594</v>
      </c>
    </row>
    <row r="162" spans="1:130" x14ac:dyDescent="0.3">
      <c r="A162" s="325">
        <v>150001011</v>
      </c>
      <c r="B162" s="41" t="s">
        <v>611</v>
      </c>
      <c r="C162" s="42" t="s">
        <v>166</v>
      </c>
      <c r="D162" s="42"/>
      <c r="E162" s="293">
        <f t="shared" si="149"/>
        <v>422.9</v>
      </c>
      <c r="F162" s="305">
        <f>'[3]побудинковий звіт'!F162</f>
        <v>422.9</v>
      </c>
      <c r="G162" s="508">
        <f>'[3]побудинковий звіт'!G162</f>
        <v>0</v>
      </c>
      <c r="H162" s="560">
        <f>'[3]побудинковий звіт'!H162</f>
        <v>0</v>
      </c>
      <c r="I162" s="566">
        <f>VLOOKUP($A162,'01-02.2021'!$A$6:$CZ$403,9,FALSE)+VLOOKUP($A162,'1.3.21-28.2.22'!$A$6:$DA$404,9,FALSE)-VLOOKUP($A162,'01-02.2022'!$A$6:$DA$376,9,FALSE)</f>
        <v>1973.9919635696424</v>
      </c>
      <c r="J162" s="566">
        <f>VLOOKUP($A162,'01-02.2021'!$A$6:$CZ$403,10,FALSE)+VLOOKUP($A162,'1.3.21-28.2.22'!$A$6:$DA$404,10,FALSE)-VLOOKUP($A162,'01-02.2022'!$A$6:$DA$376,10,FALSE)</f>
        <v>2136.2798200015059</v>
      </c>
      <c r="K162" s="52">
        <f t="shared" si="155"/>
        <v>162.28785643186347</v>
      </c>
      <c r="L162" s="566">
        <f>VLOOKUP($A162,'01-02.2021'!$A$6:$CZ$403,12,FALSE)+VLOOKUP($A162,'1.3.21-28.2.22'!$A$6:$DA$404,12,FALSE)-VLOOKUP($A162,'01-02.2022'!$A$6:$DA$376,12,FALSE)</f>
        <v>325.99630497996179</v>
      </c>
      <c r="M162" s="566">
        <f>VLOOKUP($A162,'01-02.2021'!$A$6:$CZ$403,13,FALSE)+VLOOKUP($A162,'1.3.21-28.2.22'!$A$6:$DA$404,13,FALSE)-VLOOKUP($A162,'01-02.2022'!$A$6:$DA$376,13,FALSE)</f>
        <v>358.9332844606347</v>
      </c>
      <c r="N162" s="52">
        <f t="shared" si="156"/>
        <v>32.936979480672903</v>
      </c>
      <c r="O162" s="566">
        <f>VLOOKUP($A162,'01-02.2021'!$A$6:$CZ$403,15,FALSE)+VLOOKUP($A162,'1.3.21-28.2.22'!$A$6:$DA$404,15,FALSE)-VLOOKUP($A162,'01-02.2022'!$A$6:$DA$376,15,FALSE)</f>
        <v>520.97119447552495</v>
      </c>
      <c r="P162" s="566">
        <f>VLOOKUP($A162,'01-02.2021'!$A$6:$CZ$403,16,FALSE)+VLOOKUP($A162,'1.3.21-28.2.22'!$A$6:$DA$404,16,FALSE)-VLOOKUP($A162,'01-02.2022'!$A$6:$DA$376,16,FALSE)</f>
        <v>520.97</v>
      </c>
      <c r="Q162" s="70">
        <f t="shared" si="176"/>
        <v>-1.1944755249260197E-3</v>
      </c>
      <c r="R162" s="566">
        <f>VLOOKUP($A162,'01-02.2021'!$A$6:$CZ$403,18,FALSE)+VLOOKUP($A162,'1.3.21-28.2.22'!$A$6:$DA$404,18,FALSE)-VLOOKUP($A162,'01-02.2022'!$A$6:$DA$376,18,FALSE)</f>
        <v>0</v>
      </c>
      <c r="S162" s="566">
        <f>VLOOKUP($A162,'01-02.2021'!$A$6:$CZ$403,19,FALSE)+VLOOKUP($A162,'1.3.21-28.2.22'!$A$6:$DA$404,19,FALSE)-VLOOKUP($A162,'01-02.2022'!$A$6:$DA$376,19,FALSE)</f>
        <v>0</v>
      </c>
      <c r="T162" s="70">
        <f t="shared" si="177"/>
        <v>0</v>
      </c>
      <c r="U162" s="566">
        <f>VLOOKUP($A162,'01-02.2021'!$A$6:$CZ$403,21,FALSE)+VLOOKUP($A162,'1.3.21-28.2.22'!$A$6:$DA$404,21,FALSE)-VLOOKUP($A162,'01-02.2022'!$A$6:$DA$376,21,FALSE)</f>
        <v>0</v>
      </c>
      <c r="V162" s="566">
        <f>VLOOKUP($A162,'01-02.2021'!$A$6:$CZ$403,22,FALSE)+VLOOKUP($A162,'1.3.21-28.2.22'!$A$6:$DA$404,22,FALSE)-VLOOKUP($A162,'01-02.2022'!$A$6:$DA$376,22,FALSE)</f>
        <v>0</v>
      </c>
      <c r="W162" s="70">
        <f t="shared" si="178"/>
        <v>0</v>
      </c>
      <c r="X162" s="566">
        <f>VLOOKUP($A162,'01-02.2021'!$A$6:$CZ$403,24,FALSE)+VLOOKUP($A162,'1.3.21-28.2.22'!$A$6:$DA$404,24,FALSE)-VLOOKUP($A162,'01-02.2022'!$A$6:$DA$376,24,FALSE)</f>
        <v>838.29978130558118</v>
      </c>
      <c r="Y162" s="566">
        <f>VLOOKUP($A162,'01-02.2021'!$A$6:$CZ$403,25,FALSE)+VLOOKUP($A162,'1.3.21-28.2.22'!$A$6:$DA$404,25,FALSE)-VLOOKUP($A162,'01-02.2022'!$A$6:$DA$376,25,FALSE)</f>
        <v>1345.4644163933958</v>
      </c>
      <c r="Z162" s="70">
        <f t="shared" si="179"/>
        <v>507.16463508781464</v>
      </c>
      <c r="AA162" s="566">
        <f>VLOOKUP($A162,'01-02.2021'!$A$6:$CZ$403,27,FALSE)+VLOOKUP($A162,'1.3.21-28.2.22'!$A$6:$DA$404,27,FALSE)-VLOOKUP($A162,'01-02.2022'!$A$6:$DA$376,27,FALSE)</f>
        <v>84.580000000000013</v>
      </c>
      <c r="AB162" s="566">
        <f>VLOOKUP($A162,'01-02.2021'!$A$6:$CZ$403,28,FALSE)+VLOOKUP($A162,'1.3.21-28.2.22'!$A$6:$DA$404,28,FALSE)-VLOOKUP($A162,'01-02.2022'!$A$6:$DA$376,28,FALSE)</f>
        <v>0</v>
      </c>
      <c r="AC162" s="70">
        <f t="shared" si="180"/>
        <v>-84.580000000000013</v>
      </c>
      <c r="AD162" s="566">
        <f>VLOOKUP($A162,'01-02.2021'!$A$6:$CZ$403,30,FALSE)+VLOOKUP($A162,'1.3.21-28.2.22'!$A$6:$DA$404,30,FALSE)-VLOOKUP($A162,'01-02.2022'!$A$6:$DA$376,30,FALSE)</f>
        <v>1816.4626551959414</v>
      </c>
      <c r="AE162" s="566">
        <f>VLOOKUP($A162,'01-02.2021'!$A$6:$CZ$403,31,FALSE)+VLOOKUP($A162,'1.3.21-28.2.22'!$A$6:$DA$404,31,FALSE)-VLOOKUP($A162,'01-02.2022'!$A$6:$DA$376,31,FALSE)</f>
        <v>1925.0578395926755</v>
      </c>
      <c r="AF162" s="68">
        <f t="shared" si="181"/>
        <v>108.59518439673411</v>
      </c>
      <c r="AG162" s="77">
        <f t="shared" si="150"/>
        <v>5560.3018995266521</v>
      </c>
      <c r="AH162" s="53">
        <f t="shared" si="150"/>
        <v>6286.7053604482116</v>
      </c>
      <c r="AI162" s="52">
        <f t="shared" si="157"/>
        <v>726.4034609215596</v>
      </c>
      <c r="AJ162" s="566">
        <f>VLOOKUP($A162,'01-02.2021'!$A$6:$CZ$403,36,FALSE)+VLOOKUP($A162,'1.3.21-28.2.22'!$A$6:$DA$404,36,FALSE)-VLOOKUP($A162,'01-02.2022'!$A$6:$DA$376,36,FALSE)</f>
        <v>0</v>
      </c>
      <c r="AK162" s="566">
        <f>VLOOKUP($A162,'01-02.2021'!$A$6:$CZ$403,37,FALSE)+VLOOKUP($A162,'1.3.21-28.2.22'!$A$6:$DA$404,37,FALSE)-VLOOKUP($A162,'01-02.2022'!$A$6:$DA$376,37,FALSE)</f>
        <v>0</v>
      </c>
      <c r="AL162" s="70">
        <f t="shared" si="182"/>
        <v>0</v>
      </c>
      <c r="AM162" s="566">
        <f>VLOOKUP($A162,'01-02.2021'!$A$6:$CZ$403,39,FALSE)+VLOOKUP($A162,'1.3.21-28.2.22'!$A$6:$DA$404,39,FALSE)-VLOOKUP($A162,'01-02.2022'!$A$6:$DA$376,39,FALSE)</f>
        <v>0</v>
      </c>
      <c r="AN162" s="566">
        <f>VLOOKUP($A162,'01-02.2021'!$A$6:$CZ$403,40,FALSE)+VLOOKUP($A162,'1.3.21-28.2.22'!$A$6:$DA$404,40,FALSE)-VLOOKUP($A162,'01-02.2022'!$A$6:$DA$376,40,FALSE)</f>
        <v>0</v>
      </c>
      <c r="AO162" s="70">
        <f t="shared" si="183"/>
        <v>0</v>
      </c>
      <c r="AP162" s="566">
        <f>VLOOKUP($A162,'01-02.2021'!$A$6:$CZ$403,42,FALSE)+VLOOKUP($A162,'1.3.21-28.2.22'!$A$6:$DA$404,42,FALSE)-VLOOKUP($A162,'01-02.2022'!$A$6:$DA$376,42,FALSE)</f>
        <v>1041.1198500255546</v>
      </c>
      <c r="AQ162" s="566">
        <f>VLOOKUP($A162,'01-02.2021'!$A$6:$CZ$403,43,FALSE)+VLOOKUP($A162,'1.3.21-28.2.22'!$A$6:$DA$404,43,FALSE)-VLOOKUP($A162,'01-02.2022'!$A$6:$DA$376,43,FALSE)</f>
        <v>898.58678628650102</v>
      </c>
      <c r="AR162" s="70">
        <f t="shared" si="184"/>
        <v>-142.53306373905355</v>
      </c>
      <c r="AS162" s="566">
        <f>VLOOKUP($A162,'01-02.2021'!$A$6:$CZ$403,45,FALSE)+VLOOKUP($A162,'1.3.21-28.2.22'!$A$6:$DA$404,45,FALSE)-VLOOKUP($A162,'01-02.2022'!$A$6:$DA$376,45,FALSE)</f>
        <v>5046.2623460629202</v>
      </c>
      <c r="AT162" s="566">
        <f>VLOOKUP($A162,'01-02.2021'!$A$6:$CZ$403,46,FALSE)+VLOOKUP($A162,'1.3.21-28.2.22'!$A$6:$DA$404,46,FALSE)-VLOOKUP($A162,'01-02.2022'!$A$6:$DA$376,46,FALSE)</f>
        <v>6052</v>
      </c>
      <c r="AU162" s="78">
        <f t="shared" si="185"/>
        <v>1005.7376539370798</v>
      </c>
      <c r="AV162" s="566">
        <f>VLOOKUP($A162,'01-02.2021'!$A$6:$CZ$403,48,FALSE)+VLOOKUP($A162,'1.3.21-28.2.22'!$A$6:$DA$404,48,FALSE)-VLOOKUP($A162,'01-02.2022'!$A$6:$DA$376,48,FALSE)</f>
        <v>560.73099073114327</v>
      </c>
      <c r="AW162" s="566">
        <f>VLOOKUP($A162,'01-02.2021'!$A$6:$CZ$403,49,FALSE)+VLOOKUP($A162,'1.3.21-28.2.22'!$A$6:$DA$404,49,FALSE)-VLOOKUP($A162,'01-02.2022'!$A$6:$DA$376,49,FALSE)</f>
        <v>0</v>
      </c>
      <c r="AX162" s="55">
        <f t="shared" si="186"/>
        <v>-560.73099073114327</v>
      </c>
      <c r="AY162" s="566">
        <f>VLOOKUP($A162,'01-02.2021'!$A$6:$CZ$403,51,FALSE)+VLOOKUP($A162,'1.3.21-28.2.22'!$A$6:$DA$404,51,FALSE)-VLOOKUP($A162,'01-02.2022'!$A$6:$DA$376,51,FALSE)</f>
        <v>612.82885389613625</v>
      </c>
      <c r="AZ162" s="566">
        <f>VLOOKUP($A162,'01-02.2021'!$A$6:$CZ$403,52,FALSE)+VLOOKUP($A162,'1.3.21-28.2.22'!$A$6:$DA$404,52,FALSE)-VLOOKUP($A162,'01-02.2022'!$A$6:$DA$376,52,FALSE)</f>
        <v>0</v>
      </c>
      <c r="BA162" s="38">
        <f t="shared" si="187"/>
        <v>-612.82885389613625</v>
      </c>
      <c r="BB162" s="566">
        <f>VLOOKUP($A162,'01-02.2021'!$A$6:$CZ$403,54,FALSE)+VLOOKUP($A162,'1.3.21-28.2.22'!$A$6:$DA$404,54,FALSE)-VLOOKUP($A162,'01-02.2022'!$A$6:$DA$376,54,FALSE)</f>
        <v>214.40677050215271</v>
      </c>
      <c r="BC162" s="566">
        <f>VLOOKUP($A162,'01-02.2021'!$A$6:$CZ$403,55,FALSE)+VLOOKUP($A162,'1.3.21-28.2.22'!$A$6:$DA$404,55,FALSE)-VLOOKUP($A162,'01-02.2022'!$A$6:$DA$376,55,FALSE)</f>
        <v>0</v>
      </c>
      <c r="BD162" s="55">
        <f t="shared" si="188"/>
        <v>-214.40677050215271</v>
      </c>
      <c r="BE162" s="566">
        <f>VLOOKUP($A162,'01-02.2021'!$A$6:$CZ$403,57,FALSE)+VLOOKUP($A162,'1.3.21-28.2.22'!$A$6:$DA$404,57,FALSE)-VLOOKUP($A162,'01-02.2022'!$A$6:$DA$376,57,FALSE)</f>
        <v>0</v>
      </c>
      <c r="BF162" s="566">
        <f>VLOOKUP($A162,'01-02.2021'!$A$6:$CZ$403,58,FALSE)+VLOOKUP($A162,'1.3.21-28.2.22'!$A$6:$DA$404,58,FALSE)-VLOOKUP($A162,'01-02.2022'!$A$6:$DA$376,58,FALSE)</f>
        <v>0</v>
      </c>
      <c r="BG162" s="55">
        <f t="shared" si="189"/>
        <v>0</v>
      </c>
      <c r="BH162" s="566">
        <f>VLOOKUP($A162,'01-02.2021'!$A$6:$CZ$403,60,FALSE)+VLOOKUP($A162,'1.3.21-28.2.22'!$A$6:$DA$404,60,FALSE)-VLOOKUP($A162,'01-02.2022'!$A$6:$DA$376,60,FALSE)</f>
        <v>0</v>
      </c>
      <c r="BI162" s="566">
        <f>VLOOKUP($A162,'01-02.2021'!$A$6:$CZ$403,61,FALSE)+VLOOKUP($A162,'1.3.21-28.2.22'!$A$6:$DA$404,61,FALSE)-VLOOKUP($A162,'01-02.2022'!$A$6:$DA$376,61,FALSE)</f>
        <v>0</v>
      </c>
      <c r="BJ162" s="55">
        <f t="shared" si="190"/>
        <v>0</v>
      </c>
      <c r="BK162" s="566">
        <f>VLOOKUP($A162,'01-02.2021'!$A$6:$CZ$403,63,FALSE)+VLOOKUP($A162,'1.3.21-28.2.22'!$A$6:$DA$404,63,FALSE)-VLOOKUP($A162,'01-02.2022'!$A$6:$DA$376,63,FALSE)</f>
        <v>106.82372126509718</v>
      </c>
      <c r="BL162" s="566">
        <f>VLOOKUP($A162,'01-02.2021'!$A$6:$CZ$403,64,FALSE)+VLOOKUP($A162,'1.3.21-28.2.22'!$A$6:$DA$404,64,FALSE)-VLOOKUP($A162,'01-02.2022'!$A$6:$DA$376,64,FALSE)</f>
        <v>0</v>
      </c>
      <c r="BM162" s="55">
        <f t="shared" si="191"/>
        <v>-106.82372126509718</v>
      </c>
      <c r="BN162" s="566">
        <f>VLOOKUP($A162,'01-02.2021'!$A$6:$CZ$403,66,FALSE)+VLOOKUP($A162,'1.3.21-28.2.22'!$A$6:$DA$404,66,FALSE)-VLOOKUP($A162,'01-02.2022'!$A$6:$DA$376,66,FALSE)</f>
        <v>21.145000000000003</v>
      </c>
      <c r="BO162" s="566">
        <f>VLOOKUP($A162,'01-02.2021'!$A$6:$CZ$403,67,FALSE)+VLOOKUP($A162,'1.3.21-28.2.22'!$A$6:$DA$404,67,FALSE)-VLOOKUP($A162,'01-02.2022'!$A$6:$DA$376,67,FALSE)</f>
        <v>0</v>
      </c>
      <c r="BP162" s="55">
        <f t="shared" si="192"/>
        <v>-21.145000000000003</v>
      </c>
      <c r="BQ162" s="77">
        <f t="shared" si="204"/>
        <v>1515.9353363945295</v>
      </c>
      <c r="BR162" s="40">
        <f t="shared" si="205"/>
        <v>0</v>
      </c>
      <c r="BS162" s="55">
        <f t="shared" si="166"/>
        <v>-1515.9353363945295</v>
      </c>
      <c r="BT162" s="566">
        <f>VLOOKUP($A162,'01-02.2021'!$A$6:$CZ$403,72,FALSE)+VLOOKUP($A162,'1.3.21-28.2.22'!$A$6:$DA$404,72,FALSE)-VLOOKUP($A162,'01-02.2022'!$A$6:$DA$376,72,FALSE)</f>
        <v>5160.7385001627672</v>
      </c>
      <c r="BU162" s="566">
        <f>VLOOKUP($A162,'01-02.2021'!$A$6:$CZ$403,73,FALSE)+VLOOKUP($A162,'1.3.21-28.2.22'!$A$6:$DA$404,73,FALSE)-VLOOKUP($A162,'01-02.2022'!$A$6:$DA$376,73,FALSE)</f>
        <v>5556.6585141317846</v>
      </c>
      <c r="BV162" s="70">
        <f t="shared" si="193"/>
        <v>395.92001396901742</v>
      </c>
      <c r="BW162" s="566">
        <f>VLOOKUP($A162,'01-02.2021'!$A$6:$CZ$403,75,FALSE)+VLOOKUP($A162,'1.3.21-28.2.22'!$A$6:$DA$404,75,FALSE)-VLOOKUP($A162,'01-02.2022'!$A$6:$DA$376,75,FALSE)</f>
        <v>2738.0973438719766</v>
      </c>
      <c r="BX162" s="566">
        <f>VLOOKUP($A162,'01-02.2021'!$A$6:$CZ$403,76,FALSE)+VLOOKUP($A162,'1.3.21-28.2.22'!$A$6:$DA$404,76,FALSE)-VLOOKUP($A162,'01-02.2022'!$A$6:$DA$376,76,FALSE)</f>
        <v>2346.6698715724333</v>
      </c>
      <c r="BY162" s="70">
        <f t="shared" si="194"/>
        <v>-391.4274722995433</v>
      </c>
      <c r="BZ162" s="566">
        <f>VLOOKUP($A162,'01-02.2021'!$A$6:$CZ$403,78,FALSE)+VLOOKUP($A162,'1.3.21-28.2.22'!$A$6:$DA$404,78,FALSE)-VLOOKUP($A162,'01-02.2022'!$A$6:$DA$376,78,FALSE)</f>
        <v>1131.6992830540225</v>
      </c>
      <c r="CA162" s="566">
        <f>VLOOKUP($A162,'01-02.2021'!$A$6:$CZ$403,79,FALSE)+VLOOKUP($A162,'1.3.21-28.2.22'!$A$6:$DA$404,79,FALSE)-VLOOKUP($A162,'01-02.2022'!$A$6:$DA$376,79,FALSE)</f>
        <v>1133.7756532340841</v>
      </c>
      <c r="CB162" s="70">
        <f t="shared" si="195"/>
        <v>2.0763701800615308</v>
      </c>
      <c r="CC162" s="566">
        <f>VLOOKUP($A162,'01-02.2021'!$A$6:$CZ$403,81,FALSE)+VLOOKUP($A162,'1.3.21-28.2.22'!$A$6:$DA$404,81,FALSE)-VLOOKUP($A162,'01-02.2022'!$A$6:$DA$376,81,FALSE)</f>
        <v>0</v>
      </c>
      <c r="CD162" s="566">
        <f>VLOOKUP($A162,'01-02.2021'!$A$6:$CZ$403,82,FALSE)+VLOOKUP($A162,'1.3.21-28.2.22'!$A$6:$DA$404,82,FALSE)-VLOOKUP($A162,'01-02.2022'!$A$6:$DA$376,82,FALSE)</f>
        <v>0</v>
      </c>
      <c r="CE162" s="70">
        <f t="shared" si="196"/>
        <v>0</v>
      </c>
      <c r="CF162" s="566">
        <f>VLOOKUP($A162,'01-02.2021'!$A$6:$CZ$403,84,FALSE)+VLOOKUP($A162,'1.3.21-28.2.22'!$A$6:$DA$404,84,FALSE)-VLOOKUP($A162,'01-02.2022'!$A$6:$DA$376,84,FALSE)</f>
        <v>0</v>
      </c>
      <c r="CG162" s="566">
        <f>VLOOKUP($A162,'01-02.2021'!$A$6:$CZ$403,85,FALSE)+VLOOKUP($A162,'1.3.21-28.2.22'!$A$6:$DA$404,85,FALSE)-VLOOKUP($A162,'01-02.2022'!$A$6:$DA$376,85,FALSE)</f>
        <v>0</v>
      </c>
      <c r="CH162" s="70">
        <f t="shared" si="197"/>
        <v>0</v>
      </c>
      <c r="CI162" s="566">
        <f>VLOOKUP($A162,'01-02.2021'!$A$6:$CZ$403,87,FALSE)+VLOOKUP($A162,'1.3.21-28.2.22'!$A$6:$DA$404,87,FALSE)-VLOOKUP($A162,'01-02.2022'!$A$6:$DA$376,87,FALSE)</f>
        <v>942.89225413448287</v>
      </c>
      <c r="CJ162" s="566">
        <f>VLOOKUP($A162,'01-02.2021'!$A$6:$CZ$403,88,FALSE)+VLOOKUP($A162,'1.3.21-28.2.22'!$A$6:$DA$404,88,FALSE)-VLOOKUP($A162,'01-02.2022'!$A$6:$DA$376,88,FALSE)</f>
        <v>581.52094962642695</v>
      </c>
      <c r="CK162" s="70">
        <f t="shared" si="198"/>
        <v>-361.37130450805591</v>
      </c>
      <c r="CL162" s="566">
        <f>VLOOKUP($A162,'01-02.2021'!$A$6:$CZ$403,90,FALSE)+VLOOKUP($A162,'1.3.21-28.2.22'!$A$6:$DA$404,90,FALSE)-VLOOKUP($A162,'01-02.2022'!$A$6:$DA$376,90,FALSE)</f>
        <v>0</v>
      </c>
      <c r="CM162" s="566">
        <f>VLOOKUP($A162,'01-02.2021'!$A$6:$CZ$403,91,FALSE)+VLOOKUP($A162,'1.3.21-28.2.22'!$A$6:$DA$404,91,FALSE)-VLOOKUP($A162,'01-02.2022'!$A$6:$DA$376,91,FALSE)</f>
        <v>0</v>
      </c>
      <c r="CN162" s="52">
        <f t="shared" si="158"/>
        <v>0</v>
      </c>
      <c r="CO162" s="39">
        <f t="shared" si="153"/>
        <v>942.89225413448287</v>
      </c>
      <c r="CP162" s="40">
        <f t="shared" si="159"/>
        <v>581.52094962642695</v>
      </c>
      <c r="CQ162" s="52">
        <f t="shared" si="160"/>
        <v>-361.37130450805591</v>
      </c>
      <c r="CR162" s="72">
        <f t="shared" si="154"/>
        <v>23137.046813232908</v>
      </c>
      <c r="CS162" s="5">
        <f t="shared" si="154"/>
        <v>22855.917135299438</v>
      </c>
      <c r="CT162" s="52">
        <f t="shared" si="161"/>
        <v>-281.12967793346979</v>
      </c>
      <c r="CU162" s="77">
        <f t="shared" si="162"/>
        <v>27764.456175879488</v>
      </c>
      <c r="CV162" s="65">
        <f t="shared" si="163"/>
        <v>27427.100562359326</v>
      </c>
      <c r="CW162" s="35">
        <f t="shared" si="164"/>
        <v>-337.35561352016157</v>
      </c>
      <c r="CX162" s="566">
        <f>VLOOKUP($A162,'01-02.2021'!$A$6:$CZ$403,102,FALSE)+VLOOKUP($A162,'1.3.21-28.2.22'!$A$6:$DA$404,102,FALSE)-VLOOKUP($A162,'01-02.2022'!$A$6:$DA$376,102,FALSE)</f>
        <v>514.51010258141184</v>
      </c>
      <c r="CY162" s="566">
        <f>VLOOKUP($A162,'01-02.2021'!$A$6:$CZ$403,103,FALSE)+VLOOKUP($A162,'1.3.21-28.2.22'!$A$6:$DA$404,103,FALSE)-VLOOKUP($A162,'01-02.2022'!$A$6:$DA$376,103,FALSE)</f>
        <v>851.86571610156443</v>
      </c>
      <c r="CZ162" s="52">
        <f t="shared" si="165"/>
        <v>337.35561352015259</v>
      </c>
      <c r="DA162" s="150">
        <f>'[2]побудинковий звіт'!DA162</f>
        <v>8207.9189637788477</v>
      </c>
      <c r="DB162" s="2">
        <v>2</v>
      </c>
      <c r="DC162" s="414">
        <f>'[4]побудинковий звіт'!DC162</f>
        <v>7997.71</v>
      </c>
      <c r="DD162" s="414">
        <f>'[4]побудинковий звіт'!DD162</f>
        <v>0</v>
      </c>
      <c r="DE162" s="557">
        <f>'[4]побудинковий звіт'!DE162</f>
        <v>5429.2171635118739</v>
      </c>
      <c r="DF162" s="557">
        <f>'[4]побудинковий звіт'!DF162</f>
        <v>0</v>
      </c>
      <c r="DG162" s="321">
        <f>VLOOKUP(A162,'кошти 01.03.2021'!$A$6:$D$401,4,)</f>
        <v>9803.3134772439189</v>
      </c>
      <c r="DH162" s="40">
        <f>'[3]побудинковий звіт'!DJ162</f>
        <v>29281.204788291456</v>
      </c>
      <c r="DI162" s="422">
        <f>'[3]побудинковий звіт'!CU162+'[3]побудинковий звіт'!CX162</f>
        <v>2568.4928364881252</v>
      </c>
      <c r="DJ162" s="306">
        <f>'[3]побудинковий звіт'!DM162</f>
        <v>6.0735229049139887</v>
      </c>
      <c r="DK162" s="306">
        <f t="shared" si="206"/>
        <v>6.0735229049139887</v>
      </c>
      <c r="DL162" s="306">
        <f>'[3]побудинковий звіт'!DO162</f>
        <v>5.2974938384425112</v>
      </c>
      <c r="DM162" s="28">
        <f t="shared" si="207"/>
        <v>2568.4928364881257</v>
      </c>
      <c r="DN162" s="28">
        <f t="shared" si="208"/>
        <v>0</v>
      </c>
      <c r="DO162" s="423">
        <f t="shared" si="171"/>
        <v>2568.4928364881257</v>
      </c>
      <c r="DP162" s="94">
        <f t="shared" si="172"/>
        <v>0</v>
      </c>
      <c r="DQ162" s="28">
        <f t="shared" si="173"/>
        <v>2568.4928364881257</v>
      </c>
      <c r="DR162" s="318"/>
      <c r="DT162" s="8"/>
      <c r="DU162" s="5"/>
      <c r="DX162" s="5">
        <f t="shared" si="174"/>
        <v>7874.6372189489393</v>
      </c>
      <c r="DY162" s="5">
        <f t="shared" si="175"/>
        <v>7262.4</v>
      </c>
      <c r="DZ162" s="159">
        <f>'[3]побудинковий звіт'!EA162</f>
        <v>722.12691346719714</v>
      </c>
    </row>
    <row r="163" spans="1:130" x14ac:dyDescent="0.3">
      <c r="A163" s="391">
        <v>150001013</v>
      </c>
      <c r="B163" s="41" t="s">
        <v>612</v>
      </c>
      <c r="C163" s="42" t="s">
        <v>261</v>
      </c>
      <c r="D163" s="42"/>
      <c r="E163" s="293">
        <f t="shared" si="149"/>
        <v>3476.23</v>
      </c>
      <c r="F163" s="305">
        <f>'[3]побудинковий звіт'!F163</f>
        <v>2612.75</v>
      </c>
      <c r="G163" s="508">
        <f>'[3]побудинковий звіт'!G163</f>
        <v>0</v>
      </c>
      <c r="H163" s="560">
        <f>'[3]побудинковий звіт'!H163</f>
        <v>863.48</v>
      </c>
      <c r="I163" s="566">
        <f>VLOOKUP($A163,'01-02.2021'!$A$6:$CZ$403,9,FALSE)+VLOOKUP($A163,'1.3.21-28.2.22'!$A$6:$DA$404,9,FALSE)-VLOOKUP($A163,'01-02.2022'!$A$6:$DA$376,9,FALSE)</f>
        <v>10538.087993749357</v>
      </c>
      <c r="J163" s="566">
        <f>VLOOKUP($A163,'01-02.2021'!$A$6:$CZ$403,10,FALSE)+VLOOKUP($A163,'1.3.21-28.2.22'!$A$6:$DA$404,10,FALSE)-VLOOKUP($A163,'01-02.2022'!$A$6:$DA$376,10,FALSE)</f>
        <v>11620.572295025602</v>
      </c>
      <c r="K163" s="52">
        <f t="shared" si="155"/>
        <v>1082.4843012762449</v>
      </c>
      <c r="L163" s="566">
        <f>VLOOKUP($A163,'01-02.2021'!$A$6:$CZ$403,12,FALSE)+VLOOKUP($A163,'1.3.21-28.2.22'!$A$6:$DA$404,12,FALSE)-VLOOKUP($A163,'01-02.2022'!$A$6:$DA$376,12,FALSE)</f>
        <v>2218.0513364412768</v>
      </c>
      <c r="M163" s="566">
        <f>VLOOKUP($A163,'01-02.2021'!$A$6:$CZ$403,13,FALSE)+VLOOKUP($A163,'1.3.21-28.2.22'!$A$6:$DA$404,13,FALSE)-VLOOKUP($A163,'01-02.2022'!$A$6:$DA$376,13,FALSE)</f>
        <v>2442.1509382981772</v>
      </c>
      <c r="N163" s="52">
        <f t="shared" si="156"/>
        <v>224.09960185690034</v>
      </c>
      <c r="O163" s="566">
        <f>VLOOKUP($A163,'01-02.2021'!$A$6:$CZ$403,15,FALSE)+VLOOKUP($A163,'1.3.21-28.2.22'!$A$6:$DA$404,15,FALSE)-VLOOKUP($A163,'01-02.2022'!$A$6:$DA$376,15,FALSE)</f>
        <v>4512.8770787863596</v>
      </c>
      <c r="P163" s="566">
        <f>VLOOKUP($A163,'01-02.2021'!$A$6:$CZ$403,16,FALSE)+VLOOKUP($A163,'1.3.21-28.2.22'!$A$6:$DA$404,16,FALSE)-VLOOKUP($A163,'01-02.2022'!$A$6:$DA$376,16,FALSE)</f>
        <v>4512.8200000000015</v>
      </c>
      <c r="Q163" s="70">
        <f t="shared" si="176"/>
        <v>-5.707878635803354E-2</v>
      </c>
      <c r="R163" s="566">
        <f>VLOOKUP($A163,'01-02.2021'!$A$6:$CZ$403,18,FALSE)+VLOOKUP($A163,'1.3.21-28.2.22'!$A$6:$DA$404,18,FALSE)-VLOOKUP($A163,'01-02.2022'!$A$6:$DA$376,18,FALSE)</f>
        <v>0</v>
      </c>
      <c r="S163" s="566">
        <f>VLOOKUP($A163,'01-02.2021'!$A$6:$CZ$403,19,FALSE)+VLOOKUP($A163,'1.3.21-28.2.22'!$A$6:$DA$404,19,FALSE)-VLOOKUP($A163,'01-02.2022'!$A$6:$DA$376,19,FALSE)</f>
        <v>0</v>
      </c>
      <c r="T163" s="70">
        <f t="shared" si="177"/>
        <v>0</v>
      </c>
      <c r="U163" s="566">
        <f>VLOOKUP($A163,'01-02.2021'!$A$6:$CZ$403,21,FALSE)+VLOOKUP($A163,'1.3.21-28.2.22'!$A$6:$DA$404,21,FALSE)-VLOOKUP($A163,'01-02.2022'!$A$6:$DA$376,21,FALSE)</f>
        <v>0</v>
      </c>
      <c r="V163" s="566">
        <f>VLOOKUP($A163,'01-02.2021'!$A$6:$CZ$403,22,FALSE)+VLOOKUP($A163,'1.3.21-28.2.22'!$A$6:$DA$404,22,FALSE)-VLOOKUP($A163,'01-02.2022'!$A$6:$DA$376,22,FALSE)</f>
        <v>0</v>
      </c>
      <c r="W163" s="70">
        <f t="shared" si="178"/>
        <v>0</v>
      </c>
      <c r="X163" s="566">
        <f>VLOOKUP($A163,'01-02.2021'!$A$6:$CZ$403,24,FALSE)+VLOOKUP($A163,'1.3.21-28.2.22'!$A$6:$DA$404,24,FALSE)-VLOOKUP($A163,'01-02.2022'!$A$6:$DA$376,24,FALSE)</f>
        <v>6497.2009637557476</v>
      </c>
      <c r="Y163" s="566">
        <f>VLOOKUP($A163,'01-02.2021'!$A$6:$CZ$403,25,FALSE)+VLOOKUP($A163,'1.3.21-28.2.22'!$A$6:$DA$404,25,FALSE)-VLOOKUP($A163,'01-02.2022'!$A$6:$DA$376,25,FALSE)</f>
        <v>5855.2339556739407</v>
      </c>
      <c r="Z163" s="70">
        <f t="shared" si="179"/>
        <v>-641.96700808180685</v>
      </c>
      <c r="AA163" s="566">
        <f>VLOOKUP($A163,'01-02.2021'!$A$6:$CZ$403,27,FALSE)+VLOOKUP($A163,'1.3.21-28.2.22'!$A$6:$DA$404,27,FALSE)-VLOOKUP($A163,'01-02.2022'!$A$6:$DA$376,27,FALSE)</f>
        <v>693.10199999999986</v>
      </c>
      <c r="AB163" s="566">
        <f>VLOOKUP($A163,'01-02.2021'!$A$6:$CZ$403,28,FALSE)+VLOOKUP($A163,'1.3.21-28.2.22'!$A$6:$DA$404,28,FALSE)-VLOOKUP($A163,'01-02.2022'!$A$6:$DA$376,28,FALSE)</f>
        <v>0</v>
      </c>
      <c r="AC163" s="70">
        <f t="shared" si="180"/>
        <v>-693.10199999999986</v>
      </c>
      <c r="AD163" s="566">
        <f>VLOOKUP($A163,'01-02.2021'!$A$6:$CZ$403,30,FALSE)+VLOOKUP($A163,'1.3.21-28.2.22'!$A$6:$DA$404,30,FALSE)-VLOOKUP($A163,'01-02.2022'!$A$6:$DA$376,30,FALSE)</f>
        <v>14827.481447838831</v>
      </c>
      <c r="AE163" s="566">
        <f>VLOOKUP($A163,'01-02.2021'!$A$6:$CZ$403,31,FALSE)+VLOOKUP($A163,'1.3.21-28.2.22'!$A$6:$DA$404,31,FALSE)-VLOOKUP($A163,'01-02.2022'!$A$6:$DA$376,31,FALSE)</f>
        <v>15823.939025129455</v>
      </c>
      <c r="AF163" s="68">
        <f t="shared" si="181"/>
        <v>996.45757729062461</v>
      </c>
      <c r="AG163" s="77">
        <f t="shared" si="150"/>
        <v>39286.800820571567</v>
      </c>
      <c r="AH163" s="53">
        <f t="shared" si="150"/>
        <v>40254.716214127176</v>
      </c>
      <c r="AI163" s="52">
        <f t="shared" si="157"/>
        <v>967.91539355560963</v>
      </c>
      <c r="AJ163" s="566">
        <f>VLOOKUP($A163,'01-02.2021'!$A$6:$CZ$403,36,FALSE)+VLOOKUP($A163,'1.3.21-28.2.22'!$A$6:$DA$404,36,FALSE)-VLOOKUP($A163,'01-02.2022'!$A$6:$DA$376,36,FALSE)</f>
        <v>0</v>
      </c>
      <c r="AK163" s="566">
        <f>VLOOKUP($A163,'01-02.2021'!$A$6:$CZ$403,37,FALSE)+VLOOKUP($A163,'1.3.21-28.2.22'!$A$6:$DA$404,37,FALSE)-VLOOKUP($A163,'01-02.2022'!$A$6:$DA$376,37,FALSE)</f>
        <v>0</v>
      </c>
      <c r="AL163" s="70">
        <f t="shared" si="182"/>
        <v>0</v>
      </c>
      <c r="AM163" s="566">
        <f>VLOOKUP($A163,'01-02.2021'!$A$6:$CZ$403,39,FALSE)+VLOOKUP($A163,'1.3.21-28.2.22'!$A$6:$DA$404,39,FALSE)-VLOOKUP($A163,'01-02.2022'!$A$6:$DA$376,39,FALSE)</f>
        <v>0</v>
      </c>
      <c r="AN163" s="566">
        <f>VLOOKUP($A163,'01-02.2021'!$A$6:$CZ$403,40,FALSE)+VLOOKUP($A163,'1.3.21-28.2.22'!$A$6:$DA$404,40,FALSE)-VLOOKUP($A163,'01-02.2022'!$A$6:$DA$376,40,FALSE)</f>
        <v>0</v>
      </c>
      <c r="AO163" s="70">
        <f t="shared" si="183"/>
        <v>0</v>
      </c>
      <c r="AP163" s="566">
        <f>VLOOKUP($A163,'01-02.2021'!$A$6:$CZ$403,42,FALSE)+VLOOKUP($A163,'1.3.21-28.2.22'!$A$6:$DA$404,42,FALSE)-VLOOKUP($A163,'01-02.2022'!$A$6:$DA$376,42,FALSE)</f>
        <v>8459.0987814576329</v>
      </c>
      <c r="AQ163" s="566">
        <f>VLOOKUP($A163,'01-02.2021'!$A$6:$CZ$403,43,FALSE)+VLOOKUP($A163,'1.3.21-28.2.22'!$A$6:$DA$404,43,FALSE)-VLOOKUP($A163,'01-02.2022'!$A$6:$DA$376,43,FALSE)</f>
        <v>7292.423112486018</v>
      </c>
      <c r="AR163" s="70">
        <f t="shared" si="184"/>
        <v>-1166.6756689716149</v>
      </c>
      <c r="AS163" s="566">
        <f>VLOOKUP($A163,'01-02.2021'!$A$6:$CZ$403,45,FALSE)+VLOOKUP($A163,'1.3.21-28.2.22'!$A$6:$DA$404,45,FALSE)-VLOOKUP($A163,'01-02.2022'!$A$6:$DA$376,45,FALSE)</f>
        <v>26533.913224716212</v>
      </c>
      <c r="AT163" s="566">
        <f>VLOOKUP($A163,'01-02.2021'!$A$6:$CZ$403,46,FALSE)+VLOOKUP($A163,'1.3.21-28.2.22'!$A$6:$DA$404,46,FALSE)-VLOOKUP($A163,'01-02.2022'!$A$6:$DA$376,46,FALSE)</f>
        <v>13959</v>
      </c>
      <c r="AU163" s="78">
        <f t="shared" si="185"/>
        <v>-12574.913224716212</v>
      </c>
      <c r="AV163" s="566">
        <f>VLOOKUP($A163,'01-02.2021'!$A$6:$CZ$403,48,FALSE)+VLOOKUP($A163,'1.3.21-28.2.22'!$A$6:$DA$404,48,FALSE)-VLOOKUP($A163,'01-02.2022'!$A$6:$DA$376,48,FALSE)</f>
        <v>2909.6966643572378</v>
      </c>
      <c r="AW163" s="566">
        <f>VLOOKUP($A163,'01-02.2021'!$A$6:$CZ$403,49,FALSE)+VLOOKUP($A163,'1.3.21-28.2.22'!$A$6:$DA$404,49,FALSE)-VLOOKUP($A163,'01-02.2022'!$A$6:$DA$376,49,FALSE)</f>
        <v>2253.1800000000003</v>
      </c>
      <c r="AX163" s="55">
        <f t="shared" si="186"/>
        <v>-656.51666435723746</v>
      </c>
      <c r="AY163" s="566">
        <f>VLOOKUP($A163,'01-02.2021'!$A$6:$CZ$403,51,FALSE)+VLOOKUP($A163,'1.3.21-28.2.22'!$A$6:$DA$404,51,FALSE)-VLOOKUP($A163,'01-02.2022'!$A$6:$DA$376,51,FALSE)</f>
        <v>4169.3580910405672</v>
      </c>
      <c r="AZ163" s="566">
        <f>VLOOKUP($A163,'01-02.2021'!$A$6:$CZ$403,52,FALSE)+VLOOKUP($A163,'1.3.21-28.2.22'!$A$6:$DA$404,52,FALSE)-VLOOKUP($A163,'01-02.2022'!$A$6:$DA$376,52,FALSE)</f>
        <v>33</v>
      </c>
      <c r="BA163" s="38">
        <f t="shared" si="187"/>
        <v>-4136.3580910405672</v>
      </c>
      <c r="BB163" s="566">
        <f>VLOOKUP($A163,'01-02.2021'!$A$6:$CZ$403,54,FALSE)+VLOOKUP($A163,'1.3.21-28.2.22'!$A$6:$DA$404,54,FALSE)-VLOOKUP($A163,'01-02.2022'!$A$6:$DA$376,54,FALSE)</f>
        <v>2171.9161397250177</v>
      </c>
      <c r="BC163" s="566">
        <f>VLOOKUP($A163,'01-02.2021'!$A$6:$CZ$403,55,FALSE)+VLOOKUP($A163,'1.3.21-28.2.22'!$A$6:$DA$404,55,FALSE)-VLOOKUP($A163,'01-02.2022'!$A$6:$DA$376,55,FALSE)</f>
        <v>2086</v>
      </c>
      <c r="BD163" s="55">
        <f t="shared" si="188"/>
        <v>-85.916139725017729</v>
      </c>
      <c r="BE163" s="566">
        <f>VLOOKUP($A163,'01-02.2021'!$A$6:$CZ$403,57,FALSE)+VLOOKUP($A163,'1.3.21-28.2.22'!$A$6:$DA$404,57,FALSE)-VLOOKUP($A163,'01-02.2022'!$A$6:$DA$376,57,FALSE)</f>
        <v>0</v>
      </c>
      <c r="BF163" s="566">
        <f>VLOOKUP($A163,'01-02.2021'!$A$6:$CZ$403,58,FALSE)+VLOOKUP($A163,'1.3.21-28.2.22'!$A$6:$DA$404,58,FALSE)-VLOOKUP($A163,'01-02.2022'!$A$6:$DA$376,58,FALSE)</f>
        <v>0</v>
      </c>
      <c r="BG163" s="55">
        <f t="shared" si="189"/>
        <v>0</v>
      </c>
      <c r="BH163" s="566">
        <f>VLOOKUP($A163,'01-02.2021'!$A$6:$CZ$403,60,FALSE)+VLOOKUP($A163,'1.3.21-28.2.22'!$A$6:$DA$404,60,FALSE)-VLOOKUP($A163,'01-02.2022'!$A$6:$DA$376,60,FALSE)</f>
        <v>0</v>
      </c>
      <c r="BI163" s="566">
        <f>VLOOKUP($A163,'01-02.2021'!$A$6:$CZ$403,61,FALSE)+VLOOKUP($A163,'1.3.21-28.2.22'!$A$6:$DA$404,61,FALSE)-VLOOKUP($A163,'01-02.2022'!$A$6:$DA$376,61,FALSE)</f>
        <v>0</v>
      </c>
      <c r="BJ163" s="55">
        <f t="shared" si="190"/>
        <v>0</v>
      </c>
      <c r="BK163" s="566">
        <f>VLOOKUP($A163,'01-02.2021'!$A$6:$CZ$403,63,FALSE)+VLOOKUP($A163,'1.3.21-28.2.22'!$A$6:$DA$404,63,FALSE)-VLOOKUP($A163,'01-02.2022'!$A$6:$DA$376,63,FALSE)</f>
        <v>2020.7500040167351</v>
      </c>
      <c r="BL163" s="566">
        <f>VLOOKUP($A163,'01-02.2021'!$A$6:$CZ$403,64,FALSE)+VLOOKUP($A163,'1.3.21-28.2.22'!$A$6:$DA$404,64,FALSE)-VLOOKUP($A163,'01-02.2022'!$A$6:$DA$376,64,FALSE)</f>
        <v>403</v>
      </c>
      <c r="BM163" s="55">
        <f t="shared" si="191"/>
        <v>-1617.7500040167351</v>
      </c>
      <c r="BN163" s="566">
        <f>VLOOKUP($A163,'01-02.2021'!$A$6:$CZ$403,66,FALSE)+VLOOKUP($A163,'1.3.21-28.2.22'!$A$6:$DA$404,66,FALSE)-VLOOKUP($A163,'01-02.2022'!$A$6:$DA$376,66,FALSE)</f>
        <v>173.27549999999997</v>
      </c>
      <c r="BO163" s="566">
        <f>VLOOKUP($A163,'01-02.2021'!$A$6:$CZ$403,67,FALSE)+VLOOKUP($A163,'1.3.21-28.2.22'!$A$6:$DA$404,67,FALSE)-VLOOKUP($A163,'01-02.2022'!$A$6:$DA$376,67,FALSE)</f>
        <v>0</v>
      </c>
      <c r="BP163" s="55">
        <f t="shared" si="192"/>
        <v>-173.27549999999997</v>
      </c>
      <c r="BQ163" s="77">
        <f t="shared" si="204"/>
        <v>11444.996399139556</v>
      </c>
      <c r="BR163" s="40">
        <f t="shared" si="205"/>
        <v>4775.18</v>
      </c>
      <c r="BS163" s="55">
        <f t="shared" si="166"/>
        <v>-6669.8163991395559</v>
      </c>
      <c r="BT163" s="566">
        <f>VLOOKUP($A163,'01-02.2021'!$A$6:$CZ$403,72,FALSE)+VLOOKUP($A163,'1.3.21-28.2.22'!$A$6:$DA$404,72,FALSE)-VLOOKUP($A163,'01-02.2022'!$A$6:$DA$376,72,FALSE)</f>
        <v>23913.040514492568</v>
      </c>
      <c r="BU163" s="566">
        <f>VLOOKUP($A163,'01-02.2021'!$A$6:$CZ$403,73,FALSE)+VLOOKUP($A163,'1.3.21-28.2.22'!$A$6:$DA$404,73,FALSE)-VLOOKUP($A163,'01-02.2022'!$A$6:$DA$376,73,FALSE)</f>
        <v>28093.139498653338</v>
      </c>
      <c r="BV163" s="70">
        <f t="shared" si="193"/>
        <v>4180.0989841607698</v>
      </c>
      <c r="BW163" s="566">
        <f>VLOOKUP($A163,'01-02.2021'!$A$6:$CZ$403,75,FALSE)+VLOOKUP($A163,'1.3.21-28.2.22'!$A$6:$DA$404,75,FALSE)-VLOOKUP($A163,'01-02.2022'!$A$6:$DA$376,75,FALSE)</f>
        <v>17409.483053513191</v>
      </c>
      <c r="BX163" s="566">
        <f>VLOOKUP($A163,'01-02.2021'!$A$6:$CZ$403,76,FALSE)+VLOOKUP($A163,'1.3.21-28.2.22'!$A$6:$DA$404,76,FALSE)-VLOOKUP($A163,'01-02.2022'!$A$6:$DA$376,76,FALSE)</f>
        <v>14563.902497267238</v>
      </c>
      <c r="BY163" s="70">
        <f t="shared" si="194"/>
        <v>-2845.5805562459536</v>
      </c>
      <c r="BZ163" s="566">
        <f>VLOOKUP($A163,'01-02.2021'!$A$6:$CZ$403,78,FALSE)+VLOOKUP($A163,'1.3.21-28.2.22'!$A$6:$DA$404,78,FALSE)-VLOOKUP($A163,'01-02.2022'!$A$6:$DA$376,78,FALSE)</f>
        <v>13096.875276428058</v>
      </c>
      <c r="CA163" s="566">
        <f>VLOOKUP($A163,'01-02.2021'!$A$6:$CZ$403,79,FALSE)+VLOOKUP($A163,'1.3.21-28.2.22'!$A$6:$DA$404,79,FALSE)-VLOOKUP($A163,'01-02.2022'!$A$6:$DA$376,79,FALSE)</f>
        <v>7887.3483129657798</v>
      </c>
      <c r="CB163" s="70">
        <f t="shared" si="195"/>
        <v>-5209.5269634622782</v>
      </c>
      <c r="CC163" s="566">
        <f>VLOOKUP($A163,'01-02.2021'!$A$6:$CZ$403,81,FALSE)+VLOOKUP($A163,'1.3.21-28.2.22'!$A$6:$DA$404,81,FALSE)-VLOOKUP($A163,'01-02.2022'!$A$6:$DA$376,81,FALSE)</f>
        <v>798.55337654404093</v>
      </c>
      <c r="CD163" s="566">
        <f>VLOOKUP($A163,'01-02.2021'!$A$6:$CZ$403,82,FALSE)+VLOOKUP($A163,'1.3.21-28.2.22'!$A$6:$DA$404,82,FALSE)-VLOOKUP($A163,'01-02.2022'!$A$6:$DA$376,82,FALSE)</f>
        <v>872.81326630194735</v>
      </c>
      <c r="CE163" s="70">
        <f t="shared" si="196"/>
        <v>74.259889757906421</v>
      </c>
      <c r="CF163" s="566">
        <f>VLOOKUP($A163,'01-02.2021'!$A$6:$CZ$403,84,FALSE)+VLOOKUP($A163,'1.3.21-28.2.22'!$A$6:$DA$404,84,FALSE)-VLOOKUP($A163,'01-02.2022'!$A$6:$DA$376,84,FALSE)</f>
        <v>97.080612371307154</v>
      </c>
      <c r="CG163" s="566">
        <f>VLOOKUP($A163,'01-02.2021'!$A$6:$CZ$403,85,FALSE)+VLOOKUP($A163,'1.3.21-28.2.22'!$A$6:$DA$404,85,FALSE)-VLOOKUP($A163,'01-02.2022'!$A$6:$DA$376,85,FALSE)</f>
        <v>0</v>
      </c>
      <c r="CH163" s="70">
        <f t="shared" si="197"/>
        <v>-97.080612371307154</v>
      </c>
      <c r="CI163" s="566">
        <f>VLOOKUP($A163,'01-02.2021'!$A$6:$CZ$403,87,FALSE)+VLOOKUP($A163,'1.3.21-28.2.22'!$A$6:$DA$404,87,FALSE)-VLOOKUP($A163,'01-02.2022'!$A$6:$DA$376,87,FALSE)</f>
        <v>4704.5060955207782</v>
      </c>
      <c r="CJ163" s="566">
        <f>VLOOKUP($A163,'01-02.2021'!$A$6:$CZ$403,88,FALSE)+VLOOKUP($A163,'1.3.21-28.2.22'!$A$6:$DA$404,88,FALSE)-VLOOKUP($A163,'01-02.2022'!$A$6:$DA$376,88,FALSE)</f>
        <v>4003.7752739243597</v>
      </c>
      <c r="CK163" s="70">
        <f t="shared" si="198"/>
        <v>-700.73082159641854</v>
      </c>
      <c r="CL163" s="566">
        <f>VLOOKUP($A163,'01-02.2021'!$A$6:$CZ$403,90,FALSE)+VLOOKUP($A163,'1.3.21-28.2.22'!$A$6:$DA$404,90,FALSE)-VLOOKUP($A163,'01-02.2022'!$A$6:$DA$376,90,FALSE)</f>
        <v>0</v>
      </c>
      <c r="CM163" s="566">
        <f>VLOOKUP($A163,'01-02.2021'!$A$6:$CZ$403,91,FALSE)+VLOOKUP($A163,'1.3.21-28.2.22'!$A$6:$DA$404,91,FALSE)-VLOOKUP($A163,'01-02.2022'!$A$6:$DA$376,91,FALSE)</f>
        <v>0</v>
      </c>
      <c r="CN163" s="52">
        <f t="shared" si="158"/>
        <v>0</v>
      </c>
      <c r="CO163" s="39">
        <f t="shared" si="153"/>
        <v>4704.5060955207782</v>
      </c>
      <c r="CP163" s="40">
        <f t="shared" si="159"/>
        <v>4003.7752739243597</v>
      </c>
      <c r="CQ163" s="52">
        <f t="shared" si="160"/>
        <v>-700.73082159641854</v>
      </c>
      <c r="CR163" s="72">
        <f t="shared" si="154"/>
        <v>145744.3481547549</v>
      </c>
      <c r="CS163" s="5">
        <f t="shared" si="154"/>
        <v>121702.29817572585</v>
      </c>
      <c r="CT163" s="52">
        <f t="shared" si="161"/>
        <v>-24042.049979029049</v>
      </c>
      <c r="CU163" s="77">
        <f t="shared" si="162"/>
        <v>174893.21778570587</v>
      </c>
      <c r="CV163" s="65">
        <f t="shared" si="163"/>
        <v>146042.75781087103</v>
      </c>
      <c r="CW163" s="35">
        <f t="shared" si="164"/>
        <v>-28850.459974834841</v>
      </c>
      <c r="CX163" s="566">
        <f>VLOOKUP($A163,'01-02.2021'!$A$6:$CZ$403,102,FALSE)+VLOOKUP($A163,'1.3.21-28.2.22'!$A$6:$DA$404,102,FALSE)-VLOOKUP($A163,'01-02.2022'!$A$6:$DA$376,102,FALSE)</f>
        <v>5537.469459816366</v>
      </c>
      <c r="CY163" s="566">
        <f>VLOOKUP($A163,'01-02.2021'!$A$6:$CZ$403,103,FALSE)+VLOOKUP($A163,'1.3.21-28.2.22'!$A$6:$DA$404,103,FALSE)-VLOOKUP($A163,'01-02.2022'!$A$6:$DA$376,103,FALSE)</f>
        <v>34387.929434651232</v>
      </c>
      <c r="CZ163" s="52">
        <f t="shared" si="165"/>
        <v>28850.459974834866</v>
      </c>
      <c r="DA163" s="150">
        <f>'[2]побудинковий звіт'!DA163</f>
        <v>-63027.427017938826</v>
      </c>
      <c r="DB163" s="2">
        <v>2</v>
      </c>
      <c r="DC163" s="414">
        <f>'[4]побудинковий звіт'!DC163</f>
        <v>36464.910000000003</v>
      </c>
      <c r="DD163" s="414">
        <f>'[4]побудинковий звіт'!DD163</f>
        <v>48535.5</v>
      </c>
      <c r="DE163" s="557">
        <f>'[4]побудинковий звіт'!DE163</f>
        <v>23645.313028321412</v>
      </c>
      <c r="DF163" s="557">
        <f>'[4]побудинковий звіт'!DF163</f>
        <v>44992.391211211587</v>
      </c>
      <c r="DG163" s="321">
        <f>VLOOKUP(A163,'кошти 01.03.2021'!$A$6:$D$401,4,)</f>
        <v>-35076.761527814087</v>
      </c>
      <c r="DH163" s="40">
        <f>'[3]побудинковий звіт'!DJ163</f>
        <v>186703.81669116064</v>
      </c>
      <c r="DI163" s="422">
        <f>'[3]побудинковий звіт'!CU163+'[3]побудинковий звіт'!CX163</f>
        <v>16362.705760467006</v>
      </c>
      <c r="DJ163" s="306">
        <f>'[3]побудинковий звіт'!DM163</f>
        <v>4.9065532376532737</v>
      </c>
      <c r="DK163" s="306">
        <f t="shared" si="206"/>
        <v>4.9065532376532737</v>
      </c>
      <c r="DL163" s="306">
        <f>'[3]побудинковий звіт'!DO163</f>
        <v>4.1032899300370742</v>
      </c>
      <c r="DM163" s="28">
        <f t="shared" si="207"/>
        <v>12819.596971678591</v>
      </c>
      <c r="DN163" s="28">
        <f t="shared" si="208"/>
        <v>3543.1087887884128</v>
      </c>
      <c r="DO163" s="423">
        <f t="shared" si="171"/>
        <v>16362.705760467004</v>
      </c>
      <c r="DP163" s="94">
        <f t="shared" si="172"/>
        <v>0</v>
      </c>
      <c r="DQ163" s="28">
        <f t="shared" si="173"/>
        <v>16362.705760467004</v>
      </c>
      <c r="DR163" s="318"/>
      <c r="DT163" s="8"/>
      <c r="DU163" s="5"/>
      <c r="DX163" s="5">
        <f t="shared" si="174"/>
        <v>45574.691548626921</v>
      </c>
      <c r="DY163" s="5">
        <f t="shared" si="175"/>
        <v>22481.016</v>
      </c>
      <c r="DZ163" s="159">
        <f>'[3]побудинковий звіт'!EA163</f>
        <v>4103.917116837235</v>
      </c>
    </row>
    <row r="164" spans="1:130" x14ac:dyDescent="0.3">
      <c r="A164" s="325">
        <v>150001014</v>
      </c>
      <c r="B164" s="41" t="s">
        <v>613</v>
      </c>
      <c r="C164" s="42" t="s">
        <v>167</v>
      </c>
      <c r="D164" s="42"/>
      <c r="E164" s="293">
        <f t="shared" si="149"/>
        <v>339.3</v>
      </c>
      <c r="F164" s="305">
        <f>'[3]побудинковий звіт'!F164</f>
        <v>339.3</v>
      </c>
      <c r="G164" s="508">
        <f>'[3]побудинковий звіт'!G164</f>
        <v>0</v>
      </c>
      <c r="H164" s="560">
        <f>'[3]побудинковий звіт'!H164</f>
        <v>0</v>
      </c>
      <c r="I164" s="566">
        <f>VLOOKUP($A164,'01-02.2021'!$A$6:$CZ$403,9,FALSE)+VLOOKUP($A164,'1.3.21-28.2.22'!$A$6:$DA$404,9,FALSE)-VLOOKUP($A164,'01-02.2022'!$A$6:$DA$376,9,FALSE)</f>
        <v>1074.3475065381833</v>
      </c>
      <c r="J164" s="566">
        <f>VLOOKUP($A164,'01-02.2021'!$A$6:$CZ$403,10,FALSE)+VLOOKUP($A164,'1.3.21-28.2.22'!$A$6:$DA$404,10,FALSE)-VLOOKUP($A164,'01-02.2022'!$A$6:$DA$376,10,FALSE)</f>
        <v>1204.2411858672481</v>
      </c>
      <c r="K164" s="52">
        <f t="shared" si="155"/>
        <v>129.89367932906475</v>
      </c>
      <c r="L164" s="566">
        <f>VLOOKUP($A164,'01-02.2021'!$A$6:$CZ$403,12,FALSE)+VLOOKUP($A164,'1.3.21-28.2.22'!$A$6:$DA$404,12,FALSE)-VLOOKUP($A164,'01-02.2022'!$A$6:$DA$376,12,FALSE)</f>
        <v>273.34548790949395</v>
      </c>
      <c r="M164" s="566">
        <f>VLOOKUP($A164,'01-02.2021'!$A$6:$CZ$403,13,FALSE)+VLOOKUP($A164,'1.3.21-28.2.22'!$A$6:$DA$404,13,FALSE)-VLOOKUP($A164,'01-02.2022'!$A$6:$DA$376,13,FALSE)</f>
        <v>300.96189761320943</v>
      </c>
      <c r="N164" s="52">
        <f t="shared" si="156"/>
        <v>27.616409703715476</v>
      </c>
      <c r="O164" s="566">
        <f>VLOOKUP($A164,'01-02.2021'!$A$6:$CZ$403,15,FALSE)+VLOOKUP($A164,'1.3.21-28.2.22'!$A$6:$DA$404,15,FALSE)-VLOOKUP($A164,'01-02.2022'!$A$6:$DA$376,15,FALSE)</f>
        <v>422.71989664240004</v>
      </c>
      <c r="P164" s="566">
        <f>VLOOKUP($A164,'01-02.2021'!$A$6:$CZ$403,16,FALSE)+VLOOKUP($A164,'1.3.21-28.2.22'!$A$6:$DA$404,16,FALSE)-VLOOKUP($A164,'01-02.2022'!$A$6:$DA$376,16,FALSE)</f>
        <v>422.71000000000004</v>
      </c>
      <c r="Q164" s="70">
        <f t="shared" si="176"/>
        <v>-9.8966424000082043E-3</v>
      </c>
      <c r="R164" s="566">
        <f>VLOOKUP($A164,'01-02.2021'!$A$6:$CZ$403,18,FALSE)+VLOOKUP($A164,'1.3.21-28.2.22'!$A$6:$DA$404,18,FALSE)-VLOOKUP($A164,'01-02.2022'!$A$6:$DA$376,18,FALSE)</f>
        <v>0</v>
      </c>
      <c r="S164" s="566">
        <f>VLOOKUP($A164,'01-02.2021'!$A$6:$CZ$403,19,FALSE)+VLOOKUP($A164,'1.3.21-28.2.22'!$A$6:$DA$404,19,FALSE)-VLOOKUP($A164,'01-02.2022'!$A$6:$DA$376,19,FALSE)</f>
        <v>0</v>
      </c>
      <c r="T164" s="70">
        <f t="shared" si="177"/>
        <v>0</v>
      </c>
      <c r="U164" s="566">
        <f>VLOOKUP($A164,'01-02.2021'!$A$6:$CZ$403,21,FALSE)+VLOOKUP($A164,'1.3.21-28.2.22'!$A$6:$DA$404,21,FALSE)-VLOOKUP($A164,'01-02.2022'!$A$6:$DA$376,21,FALSE)</f>
        <v>0</v>
      </c>
      <c r="V164" s="566">
        <f>VLOOKUP($A164,'01-02.2021'!$A$6:$CZ$403,22,FALSE)+VLOOKUP($A164,'1.3.21-28.2.22'!$A$6:$DA$404,22,FALSE)-VLOOKUP($A164,'01-02.2022'!$A$6:$DA$376,22,FALSE)</f>
        <v>0</v>
      </c>
      <c r="W164" s="70">
        <f t="shared" si="178"/>
        <v>0</v>
      </c>
      <c r="X164" s="566">
        <f>VLOOKUP($A164,'01-02.2021'!$A$6:$CZ$403,24,FALSE)+VLOOKUP($A164,'1.3.21-28.2.22'!$A$6:$DA$404,24,FALSE)-VLOOKUP($A164,'01-02.2022'!$A$6:$DA$376,24,FALSE)</f>
        <v>554.88937340487405</v>
      </c>
      <c r="Y164" s="566">
        <f>VLOOKUP($A164,'01-02.2021'!$A$6:$CZ$403,25,FALSE)+VLOOKUP($A164,'1.3.21-28.2.22'!$A$6:$DA$404,25,FALSE)-VLOOKUP($A164,'01-02.2022'!$A$6:$DA$376,25,FALSE)</f>
        <v>1143.5431090563113</v>
      </c>
      <c r="Z164" s="70">
        <f t="shared" si="179"/>
        <v>588.65373565143727</v>
      </c>
      <c r="AA164" s="566">
        <f>VLOOKUP($A164,'01-02.2021'!$A$6:$CZ$403,27,FALSE)+VLOOKUP($A164,'1.3.21-28.2.22'!$A$6:$DA$404,27,FALSE)-VLOOKUP($A164,'01-02.2022'!$A$6:$DA$376,27,FALSE)</f>
        <v>67.86</v>
      </c>
      <c r="AB164" s="566">
        <f>VLOOKUP($A164,'01-02.2021'!$A$6:$CZ$403,28,FALSE)+VLOOKUP($A164,'1.3.21-28.2.22'!$A$6:$DA$404,28,FALSE)-VLOOKUP($A164,'01-02.2022'!$A$6:$DA$376,28,FALSE)</f>
        <v>0</v>
      </c>
      <c r="AC164" s="70">
        <f t="shared" si="180"/>
        <v>-67.86</v>
      </c>
      <c r="AD164" s="566">
        <f>VLOOKUP($A164,'01-02.2021'!$A$6:$CZ$403,30,FALSE)+VLOOKUP($A164,'1.3.21-28.2.22'!$A$6:$DA$404,30,FALSE)-VLOOKUP($A164,'01-02.2022'!$A$6:$DA$376,30,FALSE)</f>
        <v>1457.4420279196838</v>
      </c>
      <c r="AE164" s="566">
        <f>VLOOKUP($A164,'01-02.2021'!$A$6:$CZ$403,31,FALSE)+VLOOKUP($A164,'1.3.21-28.2.22'!$A$6:$DA$404,31,FALSE)-VLOOKUP($A164,'01-02.2022'!$A$6:$DA$376,31,FALSE)</f>
        <v>1544.5072711605458</v>
      </c>
      <c r="AF164" s="68">
        <f t="shared" si="181"/>
        <v>87.065243240861946</v>
      </c>
      <c r="AG164" s="77">
        <f t="shared" si="150"/>
        <v>3850.6042924146354</v>
      </c>
      <c r="AH164" s="53">
        <f t="shared" si="150"/>
        <v>4615.9634636973151</v>
      </c>
      <c r="AI164" s="52">
        <f t="shared" si="157"/>
        <v>765.35917128267965</v>
      </c>
      <c r="AJ164" s="566">
        <f>VLOOKUP($A164,'01-02.2021'!$A$6:$CZ$403,36,FALSE)+VLOOKUP($A164,'1.3.21-28.2.22'!$A$6:$DA$404,36,FALSE)-VLOOKUP($A164,'01-02.2022'!$A$6:$DA$376,36,FALSE)</f>
        <v>0</v>
      </c>
      <c r="AK164" s="566">
        <f>VLOOKUP($A164,'01-02.2021'!$A$6:$CZ$403,37,FALSE)+VLOOKUP($A164,'1.3.21-28.2.22'!$A$6:$DA$404,37,FALSE)-VLOOKUP($A164,'01-02.2022'!$A$6:$DA$376,37,FALSE)</f>
        <v>0</v>
      </c>
      <c r="AL164" s="70">
        <f t="shared" si="182"/>
        <v>0</v>
      </c>
      <c r="AM164" s="566">
        <f>VLOOKUP($A164,'01-02.2021'!$A$6:$CZ$403,39,FALSE)+VLOOKUP($A164,'1.3.21-28.2.22'!$A$6:$DA$404,39,FALSE)-VLOOKUP($A164,'01-02.2022'!$A$6:$DA$376,39,FALSE)</f>
        <v>0</v>
      </c>
      <c r="AN164" s="566">
        <f>VLOOKUP($A164,'01-02.2021'!$A$6:$CZ$403,40,FALSE)+VLOOKUP($A164,'1.3.21-28.2.22'!$A$6:$DA$404,40,FALSE)-VLOOKUP($A164,'01-02.2022'!$A$6:$DA$376,40,FALSE)</f>
        <v>0</v>
      </c>
      <c r="AO164" s="70">
        <f t="shared" si="183"/>
        <v>0</v>
      </c>
      <c r="AP164" s="566">
        <f>VLOOKUP($A164,'01-02.2021'!$A$6:$CZ$403,42,FALSE)+VLOOKUP($A164,'1.3.21-28.2.22'!$A$6:$DA$404,42,FALSE)-VLOOKUP($A164,'01-02.2022'!$A$6:$DA$376,42,FALSE)</f>
        <v>520.55992501277728</v>
      </c>
      <c r="AQ164" s="566">
        <f>VLOOKUP($A164,'01-02.2021'!$A$6:$CZ$403,43,FALSE)+VLOOKUP($A164,'1.3.21-28.2.22'!$A$6:$DA$404,43,FALSE)-VLOOKUP($A164,'01-02.2022'!$A$6:$DA$376,43,FALSE)</f>
        <v>448.76449922990878</v>
      </c>
      <c r="AR164" s="70">
        <f t="shared" si="184"/>
        <v>-71.795425782868506</v>
      </c>
      <c r="AS164" s="566">
        <f>VLOOKUP($A164,'01-02.2021'!$A$6:$CZ$403,45,FALSE)+VLOOKUP($A164,'1.3.21-28.2.22'!$A$6:$DA$404,45,FALSE)-VLOOKUP($A164,'01-02.2022'!$A$6:$DA$376,45,FALSE)</f>
        <v>4287.5664390121856</v>
      </c>
      <c r="AT164" s="566">
        <f>VLOOKUP($A164,'01-02.2021'!$A$6:$CZ$403,46,FALSE)+VLOOKUP($A164,'1.3.21-28.2.22'!$A$6:$DA$404,46,FALSE)-VLOOKUP($A164,'01-02.2022'!$A$6:$DA$376,46,FALSE)</f>
        <v>125</v>
      </c>
      <c r="AU164" s="78">
        <f t="shared" si="185"/>
        <v>-4162.5664390121856</v>
      </c>
      <c r="AV164" s="566">
        <f>VLOOKUP($A164,'01-02.2021'!$A$6:$CZ$403,48,FALSE)+VLOOKUP($A164,'1.3.21-28.2.22'!$A$6:$DA$404,48,FALSE)-VLOOKUP($A164,'01-02.2022'!$A$6:$DA$376,48,FALSE)</f>
        <v>446.35951125924817</v>
      </c>
      <c r="AW164" s="566">
        <f>VLOOKUP($A164,'01-02.2021'!$A$6:$CZ$403,49,FALSE)+VLOOKUP($A164,'1.3.21-28.2.22'!$A$6:$DA$404,49,FALSE)-VLOOKUP($A164,'01-02.2022'!$A$6:$DA$376,49,FALSE)</f>
        <v>0</v>
      </c>
      <c r="AX164" s="55">
        <f t="shared" si="186"/>
        <v>-446.35951125924817</v>
      </c>
      <c r="AY164" s="566">
        <f>VLOOKUP($A164,'01-02.2021'!$A$6:$CZ$403,51,FALSE)+VLOOKUP($A164,'1.3.21-28.2.22'!$A$6:$DA$404,51,FALSE)-VLOOKUP($A164,'01-02.2022'!$A$6:$DA$376,51,FALSE)</f>
        <v>513.60460962570164</v>
      </c>
      <c r="AZ164" s="566">
        <f>VLOOKUP($A164,'01-02.2021'!$A$6:$CZ$403,52,FALSE)+VLOOKUP($A164,'1.3.21-28.2.22'!$A$6:$DA$404,52,FALSE)-VLOOKUP($A164,'01-02.2022'!$A$6:$DA$376,52,FALSE)</f>
        <v>0</v>
      </c>
      <c r="BA164" s="38">
        <f t="shared" si="187"/>
        <v>-513.60460962570164</v>
      </c>
      <c r="BB164" s="566">
        <f>VLOOKUP($A164,'01-02.2021'!$A$6:$CZ$403,54,FALSE)+VLOOKUP($A164,'1.3.21-28.2.22'!$A$6:$DA$404,54,FALSE)-VLOOKUP($A164,'01-02.2022'!$A$6:$DA$376,54,FALSE)</f>
        <v>143.08496604246628</v>
      </c>
      <c r="BC164" s="566">
        <f>VLOOKUP($A164,'01-02.2021'!$A$6:$CZ$403,55,FALSE)+VLOOKUP($A164,'1.3.21-28.2.22'!$A$6:$DA$404,55,FALSE)-VLOOKUP($A164,'01-02.2022'!$A$6:$DA$376,55,FALSE)</f>
        <v>0</v>
      </c>
      <c r="BD164" s="55">
        <f t="shared" si="188"/>
        <v>-143.08496604246628</v>
      </c>
      <c r="BE164" s="566">
        <f>VLOOKUP($A164,'01-02.2021'!$A$6:$CZ$403,57,FALSE)+VLOOKUP($A164,'1.3.21-28.2.22'!$A$6:$DA$404,57,FALSE)-VLOOKUP($A164,'01-02.2022'!$A$6:$DA$376,57,FALSE)</f>
        <v>0</v>
      </c>
      <c r="BF164" s="566">
        <f>VLOOKUP($A164,'01-02.2021'!$A$6:$CZ$403,58,FALSE)+VLOOKUP($A164,'1.3.21-28.2.22'!$A$6:$DA$404,58,FALSE)-VLOOKUP($A164,'01-02.2022'!$A$6:$DA$376,58,FALSE)</f>
        <v>0</v>
      </c>
      <c r="BG164" s="55">
        <f t="shared" si="189"/>
        <v>0</v>
      </c>
      <c r="BH164" s="566">
        <f>VLOOKUP($A164,'01-02.2021'!$A$6:$CZ$403,60,FALSE)+VLOOKUP($A164,'1.3.21-28.2.22'!$A$6:$DA$404,60,FALSE)-VLOOKUP($A164,'01-02.2022'!$A$6:$DA$376,60,FALSE)</f>
        <v>0</v>
      </c>
      <c r="BI164" s="566">
        <f>VLOOKUP($A164,'01-02.2021'!$A$6:$CZ$403,61,FALSE)+VLOOKUP($A164,'1.3.21-28.2.22'!$A$6:$DA$404,61,FALSE)-VLOOKUP($A164,'01-02.2022'!$A$6:$DA$376,61,FALSE)</f>
        <v>0</v>
      </c>
      <c r="BJ164" s="55">
        <f t="shared" si="190"/>
        <v>0</v>
      </c>
      <c r="BK164" s="566">
        <f>VLOOKUP($A164,'01-02.2021'!$A$6:$CZ$403,63,FALSE)+VLOOKUP($A164,'1.3.21-28.2.22'!$A$6:$DA$404,63,FALSE)-VLOOKUP($A164,'01-02.2022'!$A$6:$DA$376,63,FALSE)</f>
        <v>88.599976462779694</v>
      </c>
      <c r="BL164" s="566">
        <f>VLOOKUP($A164,'01-02.2021'!$A$6:$CZ$403,64,FALSE)+VLOOKUP($A164,'1.3.21-28.2.22'!$A$6:$DA$404,64,FALSE)-VLOOKUP($A164,'01-02.2022'!$A$6:$DA$376,64,FALSE)</f>
        <v>0</v>
      </c>
      <c r="BM164" s="55">
        <f t="shared" si="191"/>
        <v>-88.599976462779694</v>
      </c>
      <c r="BN164" s="566">
        <f>VLOOKUP($A164,'01-02.2021'!$A$6:$CZ$403,66,FALSE)+VLOOKUP($A164,'1.3.21-28.2.22'!$A$6:$DA$404,66,FALSE)-VLOOKUP($A164,'01-02.2022'!$A$6:$DA$376,66,FALSE)</f>
        <v>16.965</v>
      </c>
      <c r="BO164" s="566">
        <f>VLOOKUP($A164,'01-02.2021'!$A$6:$CZ$403,67,FALSE)+VLOOKUP($A164,'1.3.21-28.2.22'!$A$6:$DA$404,67,FALSE)-VLOOKUP($A164,'01-02.2022'!$A$6:$DA$376,67,FALSE)</f>
        <v>0</v>
      </c>
      <c r="BP164" s="55">
        <f t="shared" si="192"/>
        <v>-16.965</v>
      </c>
      <c r="BQ164" s="77">
        <f t="shared" si="204"/>
        <v>1208.6140633901957</v>
      </c>
      <c r="BR164" s="40">
        <f t="shared" si="205"/>
        <v>0</v>
      </c>
      <c r="BS164" s="55">
        <f t="shared" si="166"/>
        <v>-1208.6140633901957</v>
      </c>
      <c r="BT164" s="566">
        <f>VLOOKUP($A164,'01-02.2021'!$A$6:$CZ$403,72,FALSE)+VLOOKUP($A164,'1.3.21-28.2.22'!$A$6:$DA$404,72,FALSE)-VLOOKUP($A164,'01-02.2022'!$A$6:$DA$376,72,FALSE)</f>
        <v>2339.3034975250725</v>
      </c>
      <c r="BU164" s="566">
        <f>VLOOKUP($A164,'01-02.2021'!$A$6:$CZ$403,73,FALSE)+VLOOKUP($A164,'1.3.21-28.2.22'!$A$6:$DA$404,73,FALSE)-VLOOKUP($A164,'01-02.2022'!$A$6:$DA$376,73,FALSE)</f>
        <v>2929.0581459499949</v>
      </c>
      <c r="BV164" s="70">
        <f t="shared" si="193"/>
        <v>589.75464842492238</v>
      </c>
      <c r="BW164" s="566">
        <f>VLOOKUP($A164,'01-02.2021'!$A$6:$CZ$403,75,FALSE)+VLOOKUP($A164,'1.3.21-28.2.22'!$A$6:$DA$404,75,FALSE)-VLOOKUP($A164,'01-02.2022'!$A$6:$DA$376,75,FALSE)</f>
        <v>2204.4577888337521</v>
      </c>
      <c r="BX164" s="566">
        <f>VLOOKUP($A164,'01-02.2021'!$A$6:$CZ$403,76,FALSE)+VLOOKUP($A164,'1.3.21-28.2.22'!$A$6:$DA$404,76,FALSE)-VLOOKUP($A164,'01-02.2022'!$A$6:$DA$376,76,FALSE)</f>
        <v>1980.4918528599412</v>
      </c>
      <c r="BY164" s="70">
        <f t="shared" si="194"/>
        <v>-223.96593597381093</v>
      </c>
      <c r="BZ164" s="566">
        <f>VLOOKUP($A164,'01-02.2021'!$A$6:$CZ$403,78,FALSE)+VLOOKUP($A164,'1.3.21-28.2.22'!$A$6:$DA$404,78,FALSE)-VLOOKUP($A164,'01-02.2022'!$A$6:$DA$376,78,FALSE)</f>
        <v>1646.8352629259716</v>
      </c>
      <c r="CA164" s="566">
        <f>VLOOKUP($A164,'01-02.2021'!$A$6:$CZ$403,79,FALSE)+VLOOKUP($A164,'1.3.21-28.2.22'!$A$6:$DA$404,79,FALSE)-VLOOKUP($A164,'01-02.2022'!$A$6:$DA$376,79,FALSE)</f>
        <v>504.3296185361645</v>
      </c>
      <c r="CB164" s="70">
        <f t="shared" si="195"/>
        <v>-1142.505644389807</v>
      </c>
      <c r="CC164" s="566">
        <f>VLOOKUP($A164,'01-02.2021'!$A$6:$CZ$403,81,FALSE)+VLOOKUP($A164,'1.3.21-28.2.22'!$A$6:$DA$404,81,FALSE)-VLOOKUP($A164,'01-02.2022'!$A$6:$DA$376,81,FALSE)</f>
        <v>0</v>
      </c>
      <c r="CD164" s="566">
        <f>VLOOKUP($A164,'01-02.2021'!$A$6:$CZ$403,82,FALSE)+VLOOKUP($A164,'1.3.21-28.2.22'!$A$6:$DA$404,82,FALSE)-VLOOKUP($A164,'01-02.2022'!$A$6:$DA$376,82,FALSE)</f>
        <v>0</v>
      </c>
      <c r="CE164" s="70">
        <f t="shared" si="196"/>
        <v>0</v>
      </c>
      <c r="CF164" s="566">
        <f>VLOOKUP($A164,'01-02.2021'!$A$6:$CZ$403,84,FALSE)+VLOOKUP($A164,'1.3.21-28.2.22'!$A$6:$DA$404,84,FALSE)-VLOOKUP($A164,'01-02.2022'!$A$6:$DA$376,84,FALSE)</f>
        <v>0</v>
      </c>
      <c r="CG164" s="566">
        <f>VLOOKUP($A164,'01-02.2021'!$A$6:$CZ$403,85,FALSE)+VLOOKUP($A164,'1.3.21-28.2.22'!$A$6:$DA$404,85,FALSE)-VLOOKUP($A164,'01-02.2022'!$A$6:$DA$376,85,FALSE)</f>
        <v>0</v>
      </c>
      <c r="CH164" s="70">
        <f t="shared" si="197"/>
        <v>0</v>
      </c>
      <c r="CI164" s="566">
        <f>VLOOKUP($A164,'01-02.2021'!$A$6:$CZ$403,87,FALSE)+VLOOKUP($A164,'1.3.21-28.2.22'!$A$6:$DA$404,87,FALSE)-VLOOKUP($A164,'01-02.2022'!$A$6:$DA$376,87,FALSE)</f>
        <v>73.218556353362089</v>
      </c>
      <c r="CJ164" s="566">
        <f>VLOOKUP($A164,'01-02.2021'!$A$6:$CZ$403,88,FALSE)+VLOOKUP($A164,'1.3.21-28.2.22'!$A$6:$DA$404,88,FALSE)-VLOOKUP($A164,'01-02.2022'!$A$6:$DA$376,88,FALSE)</f>
        <v>1085.4695192920178</v>
      </c>
      <c r="CK164" s="70">
        <f t="shared" si="198"/>
        <v>1012.2509629386557</v>
      </c>
      <c r="CL164" s="566">
        <f>VLOOKUP($A164,'01-02.2021'!$A$6:$CZ$403,90,FALSE)+VLOOKUP($A164,'1.3.21-28.2.22'!$A$6:$DA$404,90,FALSE)-VLOOKUP($A164,'01-02.2022'!$A$6:$DA$376,90,FALSE)</f>
        <v>0</v>
      </c>
      <c r="CM164" s="566">
        <f>VLOOKUP($A164,'01-02.2021'!$A$6:$CZ$403,91,FALSE)+VLOOKUP($A164,'1.3.21-28.2.22'!$A$6:$DA$404,91,FALSE)-VLOOKUP($A164,'01-02.2022'!$A$6:$DA$376,91,FALSE)</f>
        <v>0</v>
      </c>
      <c r="CN164" s="52">
        <f t="shared" si="158"/>
        <v>0</v>
      </c>
      <c r="CO164" s="39">
        <f t="shared" si="153"/>
        <v>73.218556353362089</v>
      </c>
      <c r="CP164" s="40">
        <f t="shared" si="159"/>
        <v>1085.4695192920178</v>
      </c>
      <c r="CQ164" s="52">
        <f t="shared" si="160"/>
        <v>1012.2509629386557</v>
      </c>
      <c r="CR164" s="72">
        <f t="shared" si="154"/>
        <v>16131.159825467952</v>
      </c>
      <c r="CS164" s="5">
        <f t="shared" si="154"/>
        <v>11689.077099565342</v>
      </c>
      <c r="CT164" s="52">
        <f t="shared" si="161"/>
        <v>-4442.08272590261</v>
      </c>
      <c r="CU164" s="77">
        <f t="shared" si="162"/>
        <v>19357.391790561542</v>
      </c>
      <c r="CV164" s="65">
        <f t="shared" si="163"/>
        <v>14026.89251947841</v>
      </c>
      <c r="CW164" s="35">
        <f t="shared" si="164"/>
        <v>-5330.499271083132</v>
      </c>
      <c r="CX164" s="566">
        <f>VLOOKUP($A164,'01-02.2021'!$A$6:$CZ$403,102,FALSE)+VLOOKUP($A164,'1.3.21-28.2.22'!$A$6:$DA$404,102,FALSE)-VLOOKUP($A164,'01-02.2022'!$A$6:$DA$376,102,FALSE)</f>
        <v>674.58241022815309</v>
      </c>
      <c r="CY164" s="566">
        <f>VLOOKUP($A164,'01-02.2021'!$A$6:$CZ$403,103,FALSE)+VLOOKUP($A164,'1.3.21-28.2.22'!$A$6:$DA$404,103,FALSE)-VLOOKUP($A164,'01-02.2022'!$A$6:$DA$376,103,FALSE)</f>
        <v>6005.0816813112888</v>
      </c>
      <c r="CZ164" s="52">
        <f t="shared" si="165"/>
        <v>5330.4992710831357</v>
      </c>
      <c r="DA164" s="150">
        <f>'[2]побудинковий звіт'!DA164</f>
        <v>-8997.1472020103993</v>
      </c>
      <c r="DB164" s="2">
        <v>2</v>
      </c>
      <c r="DC164" s="414">
        <f>'[4]побудинковий звіт'!DC164</f>
        <v>1700.42</v>
      </c>
      <c r="DD164" s="414">
        <f>'[4]побудинковий звіт'!DD164</f>
        <v>0</v>
      </c>
      <c r="DE164" s="557">
        <f>'[4]побудинковий звіт'!DE164</f>
        <v>-121.91740159432402</v>
      </c>
      <c r="DF164" s="557">
        <f>'[4]побудинковий звіт'!DF164</f>
        <v>0</v>
      </c>
      <c r="DG164" s="321">
        <f>VLOOKUP(A164,'кошти 01.03.2021'!$A$6:$D$401,4,)</f>
        <v>-3180.9951159883376</v>
      </c>
      <c r="DH164" s="40">
        <f>'[3]побудинковий звіт'!DJ164</f>
        <v>20755.849963271838</v>
      </c>
      <c r="DI164" s="422">
        <f>'[3]побудинковий звіт'!CU164+'[3]побудинковий звіт'!CX164</f>
        <v>1822.3374015943241</v>
      </c>
      <c r="DJ164" s="306">
        <f>'[3]побудинковий звіт'!DM164</f>
        <v>5.3708735679172532</v>
      </c>
      <c r="DK164" s="306">
        <f t="shared" si="206"/>
        <v>5.3708735679172532</v>
      </c>
      <c r="DL164" s="306">
        <f>'[3]побудинковий звіт'!DO164</f>
        <v>4.6106554953044894</v>
      </c>
      <c r="DM164" s="28">
        <f t="shared" si="207"/>
        <v>1822.3374015943241</v>
      </c>
      <c r="DN164" s="28">
        <f t="shared" si="208"/>
        <v>0</v>
      </c>
      <c r="DO164" s="423">
        <f t="shared" si="171"/>
        <v>1822.3374015943241</v>
      </c>
      <c r="DP164" s="94">
        <f t="shared" si="172"/>
        <v>0</v>
      </c>
      <c r="DQ164" s="28">
        <f t="shared" si="173"/>
        <v>1822.3374015943241</v>
      </c>
      <c r="DR164" s="318"/>
      <c r="DT164" s="8"/>
      <c r="DU164" s="5"/>
      <c r="DX164" s="5">
        <f t="shared" si="174"/>
        <v>6595.4166028828577</v>
      </c>
      <c r="DY164" s="5">
        <f t="shared" si="175"/>
        <v>150</v>
      </c>
      <c r="DZ164" s="159">
        <f>'[3]побудинковий звіт'!EA164</f>
        <v>547.37533299559436</v>
      </c>
    </row>
    <row r="165" spans="1:130" x14ac:dyDescent="0.3">
      <c r="A165" s="325">
        <v>150001015</v>
      </c>
      <c r="B165" s="41" t="s">
        <v>614</v>
      </c>
      <c r="C165" s="42" t="s">
        <v>100</v>
      </c>
      <c r="D165" s="42"/>
      <c r="E165" s="293">
        <f t="shared" si="149"/>
        <v>346.4</v>
      </c>
      <c r="F165" s="305">
        <f>'[3]побудинковий звіт'!F165</f>
        <v>213.3</v>
      </c>
      <c r="G165" s="508">
        <f>'[3]побудинковий звіт'!G165</f>
        <v>0</v>
      </c>
      <c r="H165" s="560">
        <f>'[3]побудинковий звіт'!H165</f>
        <v>133.1</v>
      </c>
      <c r="I165" s="566">
        <f>VLOOKUP($A165,'01-02.2021'!$A$6:$CZ$403,9,FALSE)+VLOOKUP($A165,'1.3.21-28.2.22'!$A$6:$DA$404,9,FALSE)-VLOOKUP($A165,'01-02.2022'!$A$6:$DA$376,9,FALSE)</f>
        <v>0</v>
      </c>
      <c r="J165" s="566">
        <f>VLOOKUP($A165,'01-02.2021'!$A$6:$CZ$403,10,FALSE)+VLOOKUP($A165,'1.3.21-28.2.22'!$A$6:$DA$404,10,FALSE)-VLOOKUP($A165,'01-02.2022'!$A$6:$DA$376,10,FALSE)</f>
        <v>0</v>
      </c>
      <c r="K165" s="52">
        <f t="shared" si="155"/>
        <v>0</v>
      </c>
      <c r="L165" s="566">
        <f>VLOOKUP($A165,'01-02.2021'!$A$6:$CZ$403,12,FALSE)+VLOOKUP($A165,'1.3.21-28.2.22'!$A$6:$DA$404,12,FALSE)-VLOOKUP($A165,'01-02.2022'!$A$6:$DA$376,12,FALSE)</f>
        <v>0</v>
      </c>
      <c r="M165" s="566">
        <f>VLOOKUP($A165,'01-02.2021'!$A$6:$CZ$403,13,FALSE)+VLOOKUP($A165,'1.3.21-28.2.22'!$A$6:$DA$404,13,FALSE)-VLOOKUP($A165,'01-02.2022'!$A$6:$DA$376,13,FALSE)</f>
        <v>0</v>
      </c>
      <c r="N165" s="52">
        <f t="shared" si="156"/>
        <v>0</v>
      </c>
      <c r="O165" s="566">
        <f>VLOOKUP($A165,'01-02.2021'!$A$6:$CZ$403,15,FALSE)+VLOOKUP($A165,'1.3.21-28.2.22'!$A$6:$DA$404,15,FALSE)-VLOOKUP($A165,'01-02.2022'!$A$6:$DA$376,15,FALSE)</f>
        <v>466.74482169391672</v>
      </c>
      <c r="P165" s="566">
        <f>VLOOKUP($A165,'01-02.2021'!$A$6:$CZ$403,16,FALSE)+VLOOKUP($A165,'1.3.21-28.2.22'!$A$6:$DA$404,16,FALSE)-VLOOKUP($A165,'01-02.2022'!$A$6:$DA$376,16,FALSE)</f>
        <v>466.76</v>
      </c>
      <c r="Q165" s="70">
        <f t="shared" si="176"/>
        <v>1.5178306083271309E-2</v>
      </c>
      <c r="R165" s="566">
        <f>VLOOKUP($A165,'01-02.2021'!$A$6:$CZ$403,18,FALSE)+VLOOKUP($A165,'1.3.21-28.2.22'!$A$6:$DA$404,18,FALSE)-VLOOKUP($A165,'01-02.2022'!$A$6:$DA$376,18,FALSE)</f>
        <v>0</v>
      </c>
      <c r="S165" s="566">
        <f>VLOOKUP($A165,'01-02.2021'!$A$6:$CZ$403,19,FALSE)+VLOOKUP($A165,'1.3.21-28.2.22'!$A$6:$DA$404,19,FALSE)-VLOOKUP($A165,'01-02.2022'!$A$6:$DA$376,19,FALSE)</f>
        <v>0</v>
      </c>
      <c r="T165" s="70">
        <f t="shared" si="177"/>
        <v>0</v>
      </c>
      <c r="U165" s="566">
        <f>VLOOKUP($A165,'01-02.2021'!$A$6:$CZ$403,21,FALSE)+VLOOKUP($A165,'1.3.21-28.2.22'!$A$6:$DA$404,21,FALSE)-VLOOKUP($A165,'01-02.2022'!$A$6:$DA$376,21,FALSE)</f>
        <v>0</v>
      </c>
      <c r="V165" s="566">
        <f>VLOOKUP($A165,'01-02.2021'!$A$6:$CZ$403,22,FALSE)+VLOOKUP($A165,'1.3.21-28.2.22'!$A$6:$DA$404,22,FALSE)-VLOOKUP($A165,'01-02.2022'!$A$6:$DA$376,22,FALSE)</f>
        <v>0</v>
      </c>
      <c r="W165" s="70">
        <f t="shared" si="178"/>
        <v>0</v>
      </c>
      <c r="X165" s="566">
        <f>VLOOKUP($A165,'01-02.2021'!$A$6:$CZ$403,24,FALSE)+VLOOKUP($A165,'1.3.21-28.2.22'!$A$6:$DA$404,24,FALSE)-VLOOKUP($A165,'01-02.2022'!$A$6:$DA$376,24,FALSE)</f>
        <v>0</v>
      </c>
      <c r="Y165" s="566">
        <f>VLOOKUP($A165,'01-02.2021'!$A$6:$CZ$403,25,FALSE)+VLOOKUP($A165,'1.3.21-28.2.22'!$A$6:$DA$404,25,FALSE)-VLOOKUP($A165,'01-02.2022'!$A$6:$DA$376,25,FALSE)</f>
        <v>0</v>
      </c>
      <c r="Z165" s="70">
        <f t="shared" si="179"/>
        <v>0</v>
      </c>
      <c r="AA165" s="566">
        <f>VLOOKUP($A165,'01-02.2021'!$A$6:$CZ$403,27,FALSE)+VLOOKUP($A165,'1.3.21-28.2.22'!$A$6:$DA$404,27,FALSE)-VLOOKUP($A165,'01-02.2022'!$A$6:$DA$376,27,FALSE)</f>
        <v>79.599999999999994</v>
      </c>
      <c r="AB165" s="566">
        <f>VLOOKUP($A165,'01-02.2021'!$A$6:$CZ$403,28,FALSE)+VLOOKUP($A165,'1.3.21-28.2.22'!$A$6:$DA$404,28,FALSE)-VLOOKUP($A165,'01-02.2022'!$A$6:$DA$376,28,FALSE)</f>
        <v>0</v>
      </c>
      <c r="AC165" s="70">
        <f t="shared" si="180"/>
        <v>-79.599999999999994</v>
      </c>
      <c r="AD165" s="566">
        <f>VLOOKUP($A165,'01-02.2021'!$A$6:$CZ$403,30,FALSE)+VLOOKUP($A165,'1.3.21-28.2.22'!$A$6:$DA$404,30,FALSE)-VLOOKUP($A165,'01-02.2022'!$A$6:$DA$376,30,FALSE)</f>
        <v>698.55285351618681</v>
      </c>
      <c r="AE165" s="566">
        <f>VLOOKUP($A165,'01-02.2021'!$A$6:$CZ$403,31,FALSE)+VLOOKUP($A165,'1.3.21-28.2.22'!$A$6:$DA$404,31,FALSE)-VLOOKUP($A165,'01-02.2022'!$A$6:$DA$376,31,FALSE)</f>
        <v>1813.7320262213609</v>
      </c>
      <c r="AF165" s="68">
        <f t="shared" si="181"/>
        <v>1115.1791727051741</v>
      </c>
      <c r="AG165" s="77">
        <f t="shared" si="150"/>
        <v>1244.8976752101034</v>
      </c>
      <c r="AH165" s="53">
        <f t="shared" si="150"/>
        <v>2280.4920262213609</v>
      </c>
      <c r="AI165" s="52">
        <f t="shared" si="157"/>
        <v>1035.5943510112575</v>
      </c>
      <c r="AJ165" s="566">
        <f>VLOOKUP($A165,'01-02.2021'!$A$6:$CZ$403,36,FALSE)+VLOOKUP($A165,'1.3.21-28.2.22'!$A$6:$DA$404,36,FALSE)-VLOOKUP($A165,'01-02.2022'!$A$6:$DA$376,36,FALSE)</f>
        <v>0</v>
      </c>
      <c r="AK165" s="566">
        <f>VLOOKUP($A165,'01-02.2021'!$A$6:$CZ$403,37,FALSE)+VLOOKUP($A165,'1.3.21-28.2.22'!$A$6:$DA$404,37,FALSE)-VLOOKUP($A165,'01-02.2022'!$A$6:$DA$376,37,FALSE)</f>
        <v>0</v>
      </c>
      <c r="AL165" s="70">
        <f t="shared" si="182"/>
        <v>0</v>
      </c>
      <c r="AM165" s="566">
        <f>VLOOKUP($A165,'01-02.2021'!$A$6:$CZ$403,39,FALSE)+VLOOKUP($A165,'1.3.21-28.2.22'!$A$6:$DA$404,39,FALSE)-VLOOKUP($A165,'01-02.2022'!$A$6:$DA$376,39,FALSE)</f>
        <v>0</v>
      </c>
      <c r="AN165" s="566">
        <f>VLOOKUP($A165,'01-02.2021'!$A$6:$CZ$403,40,FALSE)+VLOOKUP($A165,'1.3.21-28.2.22'!$A$6:$DA$404,40,FALSE)-VLOOKUP($A165,'01-02.2022'!$A$6:$DA$376,40,FALSE)</f>
        <v>0</v>
      </c>
      <c r="AO165" s="70">
        <f t="shared" si="183"/>
        <v>0</v>
      </c>
      <c r="AP165" s="566">
        <f>VLOOKUP($A165,'01-02.2021'!$A$6:$CZ$403,42,FALSE)+VLOOKUP($A165,'1.3.21-28.2.22'!$A$6:$DA$404,42,FALSE)-VLOOKUP($A165,'01-02.2022'!$A$6:$DA$376,42,FALSE)</f>
        <v>130.13998125319432</v>
      </c>
      <c r="AQ165" s="566">
        <f>VLOOKUP($A165,'01-02.2021'!$A$6:$CZ$403,43,FALSE)+VLOOKUP($A165,'1.3.21-28.2.22'!$A$6:$DA$404,43,FALSE)-VLOOKUP($A165,'01-02.2022'!$A$6:$DA$376,43,FALSE)</f>
        <v>112.26511674782152</v>
      </c>
      <c r="AR165" s="70">
        <f t="shared" si="184"/>
        <v>-17.874864505372798</v>
      </c>
      <c r="AS165" s="566">
        <f>VLOOKUP($A165,'01-02.2021'!$A$6:$CZ$403,45,FALSE)+VLOOKUP($A165,'1.3.21-28.2.22'!$A$6:$DA$404,45,FALSE)-VLOOKUP($A165,'01-02.2022'!$A$6:$DA$376,45,FALSE)</f>
        <v>2353.7523289447608</v>
      </c>
      <c r="AT165" s="566">
        <f>VLOOKUP($A165,'01-02.2021'!$A$6:$CZ$403,46,FALSE)+VLOOKUP($A165,'1.3.21-28.2.22'!$A$6:$DA$404,46,FALSE)-VLOOKUP($A165,'01-02.2022'!$A$6:$DA$376,46,FALSE)</f>
        <v>687</v>
      </c>
      <c r="AU165" s="78">
        <f t="shared" si="185"/>
        <v>-1666.7523289447608</v>
      </c>
      <c r="AV165" s="566">
        <f>VLOOKUP($A165,'01-02.2021'!$A$6:$CZ$403,48,FALSE)+VLOOKUP($A165,'1.3.21-28.2.22'!$A$6:$DA$404,48,FALSE)-VLOOKUP($A165,'01-02.2022'!$A$6:$DA$376,48,FALSE)</f>
        <v>0</v>
      </c>
      <c r="AW165" s="566">
        <f>VLOOKUP($A165,'01-02.2021'!$A$6:$CZ$403,49,FALSE)+VLOOKUP($A165,'1.3.21-28.2.22'!$A$6:$DA$404,49,FALSE)-VLOOKUP($A165,'01-02.2022'!$A$6:$DA$376,49,FALSE)</f>
        <v>0</v>
      </c>
      <c r="AX165" s="55">
        <f t="shared" si="186"/>
        <v>0</v>
      </c>
      <c r="AY165" s="566">
        <f>VLOOKUP($A165,'01-02.2021'!$A$6:$CZ$403,51,FALSE)+VLOOKUP($A165,'1.3.21-28.2.22'!$A$6:$DA$404,51,FALSE)-VLOOKUP($A165,'01-02.2022'!$A$6:$DA$376,51,FALSE)</f>
        <v>0</v>
      </c>
      <c r="AZ165" s="566">
        <f>VLOOKUP($A165,'01-02.2021'!$A$6:$CZ$403,52,FALSE)+VLOOKUP($A165,'1.3.21-28.2.22'!$A$6:$DA$404,52,FALSE)-VLOOKUP($A165,'01-02.2022'!$A$6:$DA$376,52,FALSE)</f>
        <v>0</v>
      </c>
      <c r="BA165" s="38">
        <f t="shared" si="187"/>
        <v>0</v>
      </c>
      <c r="BB165" s="566">
        <f>VLOOKUP($A165,'01-02.2021'!$A$6:$CZ$403,54,FALSE)+VLOOKUP($A165,'1.3.21-28.2.22'!$A$6:$DA$404,54,FALSE)-VLOOKUP($A165,'01-02.2022'!$A$6:$DA$376,54,FALSE)</f>
        <v>183.5764441654089</v>
      </c>
      <c r="BC165" s="566">
        <f>VLOOKUP($A165,'01-02.2021'!$A$6:$CZ$403,55,FALSE)+VLOOKUP($A165,'1.3.21-28.2.22'!$A$6:$DA$404,55,FALSE)-VLOOKUP($A165,'01-02.2022'!$A$6:$DA$376,55,FALSE)</f>
        <v>0</v>
      </c>
      <c r="BD165" s="55">
        <f t="shared" si="188"/>
        <v>-183.5764441654089</v>
      </c>
      <c r="BE165" s="566">
        <f>VLOOKUP($A165,'01-02.2021'!$A$6:$CZ$403,57,FALSE)+VLOOKUP($A165,'1.3.21-28.2.22'!$A$6:$DA$404,57,FALSE)-VLOOKUP($A165,'01-02.2022'!$A$6:$DA$376,57,FALSE)</f>
        <v>0</v>
      </c>
      <c r="BF165" s="566">
        <f>VLOOKUP($A165,'01-02.2021'!$A$6:$CZ$403,58,FALSE)+VLOOKUP($A165,'1.3.21-28.2.22'!$A$6:$DA$404,58,FALSE)-VLOOKUP($A165,'01-02.2022'!$A$6:$DA$376,58,FALSE)</f>
        <v>0</v>
      </c>
      <c r="BG165" s="55">
        <f t="shared" si="189"/>
        <v>0</v>
      </c>
      <c r="BH165" s="566">
        <f>VLOOKUP($A165,'01-02.2021'!$A$6:$CZ$403,60,FALSE)+VLOOKUP($A165,'1.3.21-28.2.22'!$A$6:$DA$404,60,FALSE)-VLOOKUP($A165,'01-02.2022'!$A$6:$DA$376,60,FALSE)</f>
        <v>0</v>
      </c>
      <c r="BI165" s="566">
        <f>VLOOKUP($A165,'01-02.2021'!$A$6:$CZ$403,61,FALSE)+VLOOKUP($A165,'1.3.21-28.2.22'!$A$6:$DA$404,61,FALSE)-VLOOKUP($A165,'01-02.2022'!$A$6:$DA$376,61,FALSE)</f>
        <v>0</v>
      </c>
      <c r="BJ165" s="55">
        <f t="shared" si="190"/>
        <v>0</v>
      </c>
      <c r="BK165" s="566">
        <f>VLOOKUP($A165,'01-02.2021'!$A$6:$CZ$403,63,FALSE)+VLOOKUP($A165,'1.3.21-28.2.22'!$A$6:$DA$404,63,FALSE)-VLOOKUP($A165,'01-02.2022'!$A$6:$DA$376,63,FALSE)</f>
        <v>0</v>
      </c>
      <c r="BL165" s="566">
        <f>VLOOKUP($A165,'01-02.2021'!$A$6:$CZ$403,64,FALSE)+VLOOKUP($A165,'1.3.21-28.2.22'!$A$6:$DA$404,64,FALSE)-VLOOKUP($A165,'01-02.2022'!$A$6:$DA$376,64,FALSE)</f>
        <v>0</v>
      </c>
      <c r="BM165" s="55">
        <f t="shared" si="191"/>
        <v>0</v>
      </c>
      <c r="BN165" s="566">
        <f>VLOOKUP($A165,'01-02.2021'!$A$6:$CZ$403,66,FALSE)+VLOOKUP($A165,'1.3.21-28.2.22'!$A$6:$DA$404,66,FALSE)-VLOOKUP($A165,'01-02.2022'!$A$6:$DA$376,66,FALSE)</f>
        <v>19.899999999999999</v>
      </c>
      <c r="BO165" s="566">
        <f>VLOOKUP($A165,'01-02.2021'!$A$6:$CZ$403,67,FALSE)+VLOOKUP($A165,'1.3.21-28.2.22'!$A$6:$DA$404,67,FALSE)-VLOOKUP($A165,'01-02.2022'!$A$6:$DA$376,67,FALSE)</f>
        <v>0</v>
      </c>
      <c r="BP165" s="55">
        <f t="shared" si="192"/>
        <v>-19.899999999999999</v>
      </c>
      <c r="BQ165" s="77">
        <f t="shared" si="204"/>
        <v>203.47644416540891</v>
      </c>
      <c r="BR165" s="40">
        <f t="shared" si="205"/>
        <v>0</v>
      </c>
      <c r="BS165" s="55">
        <f t="shared" si="166"/>
        <v>-203.47644416540891</v>
      </c>
      <c r="BT165" s="566">
        <f>VLOOKUP($A165,'01-02.2021'!$A$6:$CZ$403,72,FALSE)+VLOOKUP($A165,'1.3.21-28.2.22'!$A$6:$DA$404,72,FALSE)-VLOOKUP($A165,'01-02.2022'!$A$6:$DA$376,72,FALSE)</f>
        <v>195.40392115927961</v>
      </c>
      <c r="BU165" s="566">
        <f>VLOOKUP($A165,'01-02.2021'!$A$6:$CZ$403,73,FALSE)+VLOOKUP($A165,'1.3.21-28.2.22'!$A$6:$DA$404,73,FALSE)-VLOOKUP($A165,'01-02.2022'!$A$6:$DA$376,73,FALSE)</f>
        <v>303.19600404632183</v>
      </c>
      <c r="BV165" s="70">
        <f t="shared" si="193"/>
        <v>107.79208288704223</v>
      </c>
      <c r="BW165" s="566">
        <f>VLOOKUP($A165,'01-02.2021'!$A$6:$CZ$403,75,FALSE)+VLOOKUP($A165,'1.3.21-28.2.22'!$A$6:$DA$404,75,FALSE)-VLOOKUP($A165,'01-02.2022'!$A$6:$DA$376,75,FALSE)</f>
        <v>0</v>
      </c>
      <c r="BX165" s="566">
        <f>VLOOKUP($A165,'01-02.2021'!$A$6:$CZ$403,76,FALSE)+VLOOKUP($A165,'1.3.21-28.2.22'!$A$6:$DA$404,76,FALSE)-VLOOKUP($A165,'01-02.2022'!$A$6:$DA$376,76,FALSE)</f>
        <v>8.7054449065769948</v>
      </c>
      <c r="BY165" s="70">
        <f t="shared" si="194"/>
        <v>8.7054449065769948</v>
      </c>
      <c r="BZ165" s="566">
        <f>VLOOKUP($A165,'01-02.2021'!$A$6:$CZ$403,78,FALSE)+VLOOKUP($A165,'1.3.21-28.2.22'!$A$6:$DA$404,78,FALSE)-VLOOKUP($A165,'01-02.2022'!$A$6:$DA$376,78,FALSE)</f>
        <v>0</v>
      </c>
      <c r="CA165" s="566">
        <f>VLOOKUP($A165,'01-02.2021'!$A$6:$CZ$403,79,FALSE)+VLOOKUP($A165,'1.3.21-28.2.22'!$A$6:$DA$404,79,FALSE)-VLOOKUP($A165,'01-02.2022'!$A$6:$DA$376,79,FALSE)</f>
        <v>18.486439758283353</v>
      </c>
      <c r="CB165" s="70">
        <f t="shared" si="195"/>
        <v>18.486439758283353</v>
      </c>
      <c r="CC165" s="566">
        <f>VLOOKUP($A165,'01-02.2021'!$A$6:$CZ$403,81,FALSE)+VLOOKUP($A165,'1.3.21-28.2.22'!$A$6:$DA$404,81,FALSE)-VLOOKUP($A165,'01-02.2022'!$A$6:$DA$376,81,FALSE)</f>
        <v>0</v>
      </c>
      <c r="CD165" s="566">
        <f>VLOOKUP($A165,'01-02.2021'!$A$6:$CZ$403,82,FALSE)+VLOOKUP($A165,'1.3.21-28.2.22'!$A$6:$DA$404,82,FALSE)-VLOOKUP($A165,'01-02.2022'!$A$6:$DA$376,82,FALSE)</f>
        <v>0</v>
      </c>
      <c r="CE165" s="70">
        <f t="shared" si="196"/>
        <v>0</v>
      </c>
      <c r="CF165" s="566">
        <f>VLOOKUP($A165,'01-02.2021'!$A$6:$CZ$403,84,FALSE)+VLOOKUP($A165,'1.3.21-28.2.22'!$A$6:$DA$404,84,FALSE)-VLOOKUP($A165,'01-02.2022'!$A$6:$DA$376,84,FALSE)</f>
        <v>0</v>
      </c>
      <c r="CG165" s="566">
        <f>VLOOKUP($A165,'01-02.2021'!$A$6:$CZ$403,85,FALSE)+VLOOKUP($A165,'1.3.21-28.2.22'!$A$6:$DA$404,85,FALSE)-VLOOKUP($A165,'01-02.2022'!$A$6:$DA$376,85,FALSE)</f>
        <v>0</v>
      </c>
      <c r="CH165" s="70">
        <f t="shared" si="197"/>
        <v>0</v>
      </c>
      <c r="CI165" s="566">
        <f>VLOOKUP($A165,'01-02.2021'!$A$6:$CZ$403,87,FALSE)+VLOOKUP($A165,'1.3.21-28.2.22'!$A$6:$DA$404,87,FALSE)-VLOOKUP($A165,'01-02.2022'!$A$6:$DA$376,87,FALSE)</f>
        <v>0</v>
      </c>
      <c r="CJ165" s="566">
        <f>VLOOKUP($A165,'01-02.2021'!$A$6:$CZ$403,88,FALSE)+VLOOKUP($A165,'1.3.21-28.2.22'!$A$6:$DA$404,88,FALSE)-VLOOKUP($A165,'01-02.2022'!$A$6:$DA$376,88,FALSE)</f>
        <v>0</v>
      </c>
      <c r="CK165" s="70">
        <f t="shared" si="198"/>
        <v>0</v>
      </c>
      <c r="CL165" s="566">
        <f>VLOOKUP($A165,'01-02.2021'!$A$6:$CZ$403,90,FALSE)+VLOOKUP($A165,'1.3.21-28.2.22'!$A$6:$DA$404,90,FALSE)-VLOOKUP($A165,'01-02.2022'!$A$6:$DA$376,90,FALSE)</f>
        <v>0</v>
      </c>
      <c r="CM165" s="566">
        <f>VLOOKUP($A165,'01-02.2021'!$A$6:$CZ$403,91,FALSE)+VLOOKUP($A165,'1.3.21-28.2.22'!$A$6:$DA$404,91,FALSE)-VLOOKUP($A165,'01-02.2022'!$A$6:$DA$376,91,FALSE)</f>
        <v>0</v>
      </c>
      <c r="CN165" s="52">
        <f t="shared" si="158"/>
        <v>0</v>
      </c>
      <c r="CO165" s="39">
        <f t="shared" si="153"/>
        <v>0</v>
      </c>
      <c r="CP165" s="40">
        <f t="shared" si="159"/>
        <v>0</v>
      </c>
      <c r="CQ165" s="52">
        <f t="shared" si="160"/>
        <v>0</v>
      </c>
      <c r="CR165" s="72">
        <f t="shared" si="154"/>
        <v>4127.6703507327475</v>
      </c>
      <c r="CS165" s="5">
        <f t="shared" si="154"/>
        <v>3410.1450316803648</v>
      </c>
      <c r="CT165" s="52">
        <f t="shared" si="161"/>
        <v>-717.52531905238266</v>
      </c>
      <c r="CU165" s="77">
        <f t="shared" si="162"/>
        <v>4953.2044208792968</v>
      </c>
      <c r="CV165" s="65">
        <f t="shared" si="163"/>
        <v>4092.1740380164374</v>
      </c>
      <c r="CW165" s="35">
        <f t="shared" si="164"/>
        <v>-861.03038286285937</v>
      </c>
      <c r="CX165" s="566">
        <f>VLOOKUP($A165,'01-02.2021'!$A$6:$CZ$403,102,FALSE)+VLOOKUP($A165,'1.3.21-28.2.22'!$A$6:$DA$404,102,FALSE)-VLOOKUP($A165,'01-02.2022'!$A$6:$DA$376,102,FALSE)</f>
        <v>881.40244790890983</v>
      </c>
      <c r="CY165" s="566">
        <f>VLOOKUP($A165,'01-02.2021'!$A$6:$CZ$403,103,FALSE)+VLOOKUP($A165,'1.3.21-28.2.22'!$A$6:$DA$404,103,FALSE)-VLOOKUP($A165,'01-02.2022'!$A$6:$DA$376,103,FALSE)</f>
        <v>1742.4328307717678</v>
      </c>
      <c r="CZ165" s="52">
        <f t="shared" si="165"/>
        <v>861.030382862858</v>
      </c>
      <c r="DA165" s="150">
        <f>'[2]побудинковий звіт'!DA165</f>
        <v>-2684.1559456387122</v>
      </c>
      <c r="DB165" s="2">
        <v>2</v>
      </c>
      <c r="DC165" s="414">
        <f>'[4]побудинковий звіт'!DC165</f>
        <v>311.91000000000003</v>
      </c>
      <c r="DD165" s="414">
        <f>'[4]побудинковий звіт'!DD165</f>
        <v>5471.52</v>
      </c>
      <c r="DE165" s="557">
        <f>'[4]побудинковий звіт'!DE165</f>
        <v>41.019257974564312</v>
      </c>
      <c r="DF165" s="557">
        <f>'[4]побудинковий звіт'!DF165</f>
        <v>5302.4831609770963</v>
      </c>
      <c r="DG165" s="321">
        <f>VLOOKUP(A165,'кошти 01.03.2021'!$A$6:$D$401,4,)</f>
        <v>-1637.9748740311613</v>
      </c>
      <c r="DH165" s="40">
        <f>'[3]побудинковий звіт'!DJ165</f>
        <v>5168.4997489243815</v>
      </c>
      <c r="DI165" s="422">
        <f>'[3]побудинковий звіт'!CU165+'[3]побудинковий звіт'!CX165</f>
        <v>439.92758104834002</v>
      </c>
      <c r="DJ165" s="306">
        <f>'[3]побудинковий звіт'!DM165</f>
        <v>1.2699987905552541</v>
      </c>
      <c r="DK165" s="306">
        <f t="shared" si="206"/>
        <v>1.2699987905552541</v>
      </c>
      <c r="DL165" s="306">
        <f>'[3]побудинковий звіт'!DO165</f>
        <v>1.2699987905552541</v>
      </c>
      <c r="DM165" s="28">
        <f t="shared" si="207"/>
        <v>270.89074202543571</v>
      </c>
      <c r="DN165" s="28">
        <f t="shared" si="208"/>
        <v>169.0368390229043</v>
      </c>
      <c r="DO165" s="423">
        <f t="shared" si="171"/>
        <v>439.92758104834002</v>
      </c>
      <c r="DP165" s="94">
        <f t="shared" si="172"/>
        <v>0</v>
      </c>
      <c r="DQ165" s="28">
        <f t="shared" si="173"/>
        <v>439.92758104834002</v>
      </c>
      <c r="DR165" s="318"/>
      <c r="DT165" s="8"/>
      <c r="DU165" s="5"/>
      <c r="DX165" s="5">
        <f t="shared" si="174"/>
        <v>3068.6745277322034</v>
      </c>
      <c r="DY165" s="5">
        <f t="shared" si="175"/>
        <v>824.4</v>
      </c>
      <c r="DZ165" s="159">
        <f>'[3]побудинковий звіт'!EA165</f>
        <v>334.80710852568433</v>
      </c>
    </row>
    <row r="166" spans="1:130" x14ac:dyDescent="0.3">
      <c r="A166" s="325">
        <v>150001016</v>
      </c>
      <c r="B166" s="41" t="s">
        <v>615</v>
      </c>
      <c r="C166" s="42" t="s">
        <v>262</v>
      </c>
      <c r="D166" s="42"/>
      <c r="E166" s="293">
        <f t="shared" si="149"/>
        <v>3298.2799999999997</v>
      </c>
      <c r="F166" s="305">
        <f>'[3]побудинковий звіт'!F166</f>
        <v>2162.08</v>
      </c>
      <c r="G166" s="508">
        <f>'[3]побудинковий звіт'!G166</f>
        <v>0</v>
      </c>
      <c r="H166" s="560">
        <f>'[3]побудинковий звіт'!H166</f>
        <v>1136.2</v>
      </c>
      <c r="I166" s="566">
        <f>VLOOKUP($A166,'01-02.2021'!$A$6:$CZ$403,9,FALSE)+VLOOKUP($A166,'1.3.21-28.2.22'!$A$6:$DA$404,9,FALSE)-VLOOKUP($A166,'01-02.2022'!$A$6:$DA$376,9,FALSE)</f>
        <v>5614.1597160077663</v>
      </c>
      <c r="J166" s="566">
        <f>VLOOKUP($A166,'01-02.2021'!$A$6:$CZ$403,10,FALSE)+VLOOKUP($A166,'1.3.21-28.2.22'!$A$6:$DA$404,10,FALSE)-VLOOKUP($A166,'01-02.2022'!$A$6:$DA$376,10,FALSE)</f>
        <v>6321.6383745933399</v>
      </c>
      <c r="K166" s="52">
        <f t="shared" si="155"/>
        <v>707.47865858557361</v>
      </c>
      <c r="L166" s="566">
        <f>VLOOKUP($A166,'01-02.2021'!$A$6:$CZ$403,12,FALSE)+VLOOKUP($A166,'1.3.21-28.2.22'!$A$6:$DA$404,12,FALSE)-VLOOKUP($A166,'01-02.2022'!$A$6:$DA$376,12,FALSE)</f>
        <v>1168.1817180049302</v>
      </c>
      <c r="M166" s="566">
        <f>VLOOKUP($A166,'01-02.2021'!$A$6:$CZ$403,13,FALSE)+VLOOKUP($A166,'1.3.21-28.2.22'!$A$6:$DA$404,13,FALSE)-VLOOKUP($A166,'01-02.2022'!$A$6:$DA$376,13,FALSE)</f>
        <v>1286.2050752236917</v>
      </c>
      <c r="N166" s="52">
        <f t="shared" si="156"/>
        <v>118.02335721876148</v>
      </c>
      <c r="O166" s="566">
        <f>VLOOKUP($A166,'01-02.2021'!$A$6:$CZ$403,15,FALSE)+VLOOKUP($A166,'1.3.21-28.2.22'!$A$6:$DA$404,15,FALSE)-VLOOKUP($A166,'01-02.2022'!$A$6:$DA$376,15,FALSE)</f>
        <v>3717.451342511557</v>
      </c>
      <c r="P166" s="566">
        <f>VLOOKUP($A166,'01-02.2021'!$A$6:$CZ$403,16,FALSE)+VLOOKUP($A166,'1.3.21-28.2.22'!$A$6:$DA$404,16,FALSE)-VLOOKUP($A166,'01-02.2022'!$A$6:$DA$376,16,FALSE)</f>
        <v>3717.4499999999994</v>
      </c>
      <c r="Q166" s="70">
        <f t="shared" si="176"/>
        <v>-1.3425115575955715E-3</v>
      </c>
      <c r="R166" s="566">
        <f>VLOOKUP($A166,'01-02.2021'!$A$6:$CZ$403,18,FALSE)+VLOOKUP($A166,'1.3.21-28.2.22'!$A$6:$DA$404,18,FALSE)-VLOOKUP($A166,'01-02.2022'!$A$6:$DA$376,18,FALSE)</f>
        <v>1097.8048588628164</v>
      </c>
      <c r="S166" s="566">
        <f>VLOOKUP($A166,'01-02.2021'!$A$6:$CZ$403,19,FALSE)+VLOOKUP($A166,'1.3.21-28.2.22'!$A$6:$DA$404,19,FALSE)-VLOOKUP($A166,'01-02.2022'!$A$6:$DA$376,19,FALSE)</f>
        <v>1097.8</v>
      </c>
      <c r="T166" s="70">
        <f t="shared" si="177"/>
        <v>-4.8588628164907277E-3</v>
      </c>
      <c r="U166" s="566">
        <f>VLOOKUP($A166,'01-02.2021'!$A$6:$CZ$403,21,FALSE)+VLOOKUP($A166,'1.3.21-28.2.22'!$A$6:$DA$404,21,FALSE)-VLOOKUP($A166,'01-02.2022'!$A$6:$DA$376,21,FALSE)</f>
        <v>0</v>
      </c>
      <c r="V166" s="566">
        <f>VLOOKUP($A166,'01-02.2021'!$A$6:$CZ$403,22,FALSE)+VLOOKUP($A166,'1.3.21-28.2.22'!$A$6:$DA$404,22,FALSE)-VLOOKUP($A166,'01-02.2022'!$A$6:$DA$376,22,FALSE)</f>
        <v>0</v>
      </c>
      <c r="W166" s="70">
        <f t="shared" si="178"/>
        <v>0</v>
      </c>
      <c r="X166" s="566">
        <f>VLOOKUP($A166,'01-02.2021'!$A$6:$CZ$403,24,FALSE)+VLOOKUP($A166,'1.3.21-28.2.22'!$A$6:$DA$404,24,FALSE)-VLOOKUP($A166,'01-02.2022'!$A$6:$DA$376,24,FALSE)</f>
        <v>4673.5726235234661</v>
      </c>
      <c r="Y166" s="566">
        <f>VLOOKUP($A166,'01-02.2021'!$A$6:$CZ$403,25,FALSE)+VLOOKUP($A166,'1.3.21-28.2.22'!$A$6:$DA$404,25,FALSE)-VLOOKUP($A166,'01-02.2022'!$A$6:$DA$376,25,FALSE)</f>
        <v>3688.6790962241021</v>
      </c>
      <c r="Z166" s="70">
        <f t="shared" si="179"/>
        <v>-984.893527299364</v>
      </c>
      <c r="AA166" s="566">
        <f>VLOOKUP($A166,'01-02.2021'!$A$6:$CZ$403,27,FALSE)+VLOOKUP($A166,'1.3.21-28.2.22'!$A$6:$DA$404,27,FALSE)-VLOOKUP($A166,'01-02.2022'!$A$6:$DA$376,27,FALSE)</f>
        <v>643.58600000000001</v>
      </c>
      <c r="AB166" s="566">
        <f>VLOOKUP($A166,'01-02.2021'!$A$6:$CZ$403,28,FALSE)+VLOOKUP($A166,'1.3.21-28.2.22'!$A$6:$DA$404,28,FALSE)-VLOOKUP($A166,'01-02.2022'!$A$6:$DA$376,28,FALSE)</f>
        <v>0</v>
      </c>
      <c r="AC166" s="70">
        <f t="shared" si="180"/>
        <v>-643.58600000000001</v>
      </c>
      <c r="AD166" s="566">
        <f>VLOOKUP($A166,'01-02.2021'!$A$6:$CZ$403,30,FALSE)+VLOOKUP($A166,'1.3.21-28.2.22'!$A$6:$DA$404,30,FALSE)-VLOOKUP($A166,'01-02.2022'!$A$6:$DA$376,30,FALSE)</f>
        <v>13918.704673527249</v>
      </c>
      <c r="AE166" s="566">
        <f>VLOOKUP($A166,'01-02.2021'!$A$6:$CZ$403,31,FALSE)+VLOOKUP($A166,'1.3.21-28.2.22'!$A$6:$DA$404,31,FALSE)-VLOOKUP($A166,'01-02.2022'!$A$6:$DA$376,31,FALSE)</f>
        <v>14369.46025849197</v>
      </c>
      <c r="AF166" s="68">
        <f t="shared" si="181"/>
        <v>450.75558496472149</v>
      </c>
      <c r="AG166" s="77">
        <f t="shared" si="150"/>
        <v>30833.460932437785</v>
      </c>
      <c r="AH166" s="53">
        <f t="shared" si="150"/>
        <v>30481.232804533101</v>
      </c>
      <c r="AI166" s="52">
        <f t="shared" si="157"/>
        <v>-352.22812790468379</v>
      </c>
      <c r="AJ166" s="566">
        <f>VLOOKUP($A166,'01-02.2021'!$A$6:$CZ$403,36,FALSE)+VLOOKUP($A166,'1.3.21-28.2.22'!$A$6:$DA$404,36,FALSE)-VLOOKUP($A166,'01-02.2022'!$A$6:$DA$376,36,FALSE)</f>
        <v>0</v>
      </c>
      <c r="AK166" s="566">
        <f>VLOOKUP($A166,'01-02.2021'!$A$6:$CZ$403,37,FALSE)+VLOOKUP($A166,'1.3.21-28.2.22'!$A$6:$DA$404,37,FALSE)-VLOOKUP($A166,'01-02.2022'!$A$6:$DA$376,37,FALSE)</f>
        <v>0</v>
      </c>
      <c r="AL166" s="70">
        <f t="shared" si="182"/>
        <v>0</v>
      </c>
      <c r="AM166" s="566">
        <f>VLOOKUP($A166,'01-02.2021'!$A$6:$CZ$403,39,FALSE)+VLOOKUP($A166,'1.3.21-28.2.22'!$A$6:$DA$404,39,FALSE)-VLOOKUP($A166,'01-02.2022'!$A$6:$DA$376,39,FALSE)</f>
        <v>0</v>
      </c>
      <c r="AN166" s="566">
        <f>VLOOKUP($A166,'01-02.2021'!$A$6:$CZ$403,40,FALSE)+VLOOKUP($A166,'1.3.21-28.2.22'!$A$6:$DA$404,40,FALSE)-VLOOKUP($A166,'01-02.2022'!$A$6:$DA$376,40,FALSE)</f>
        <v>0</v>
      </c>
      <c r="AO166" s="70">
        <f t="shared" si="183"/>
        <v>0</v>
      </c>
      <c r="AP166" s="566">
        <f>VLOOKUP($A166,'01-02.2021'!$A$6:$CZ$403,42,FALSE)+VLOOKUP($A166,'1.3.21-28.2.22'!$A$6:$DA$404,42,FALSE)-VLOOKUP($A166,'01-02.2022'!$A$6:$DA$376,42,FALSE)</f>
        <v>1561.6797750383319</v>
      </c>
      <c r="AQ166" s="566">
        <f>VLOOKUP($A166,'01-02.2021'!$A$6:$CZ$403,43,FALSE)+VLOOKUP($A166,'1.3.21-28.2.22'!$A$6:$DA$404,43,FALSE)-VLOOKUP($A166,'01-02.2022'!$A$6:$DA$376,43,FALSE)</f>
        <v>837.25615439949433</v>
      </c>
      <c r="AR166" s="70">
        <f t="shared" si="184"/>
        <v>-724.42362063883752</v>
      </c>
      <c r="AS166" s="566">
        <f>VLOOKUP($A166,'01-02.2021'!$A$6:$CZ$403,45,FALSE)+VLOOKUP($A166,'1.3.21-28.2.22'!$A$6:$DA$404,45,FALSE)-VLOOKUP($A166,'01-02.2022'!$A$6:$DA$376,45,FALSE)</f>
        <v>34024.336103528069</v>
      </c>
      <c r="AT166" s="566">
        <f>VLOOKUP($A166,'01-02.2021'!$A$6:$CZ$403,46,FALSE)+VLOOKUP($A166,'1.3.21-28.2.22'!$A$6:$DA$404,46,FALSE)-VLOOKUP($A166,'01-02.2022'!$A$6:$DA$376,46,FALSE)</f>
        <v>76422.06</v>
      </c>
      <c r="AU166" s="78">
        <f t="shared" si="185"/>
        <v>42397.723896471929</v>
      </c>
      <c r="AV166" s="566">
        <f>VLOOKUP($A166,'01-02.2021'!$A$6:$CZ$403,48,FALSE)+VLOOKUP($A166,'1.3.21-28.2.22'!$A$6:$DA$404,48,FALSE)-VLOOKUP($A166,'01-02.2022'!$A$6:$DA$376,48,FALSE)</f>
        <v>1762.9749384682132</v>
      </c>
      <c r="AW166" s="566">
        <f>VLOOKUP($A166,'01-02.2021'!$A$6:$CZ$403,49,FALSE)+VLOOKUP($A166,'1.3.21-28.2.22'!$A$6:$DA$404,49,FALSE)-VLOOKUP($A166,'01-02.2022'!$A$6:$DA$376,49,FALSE)</f>
        <v>856</v>
      </c>
      <c r="AX166" s="55">
        <f t="shared" si="186"/>
        <v>-906.97493846821317</v>
      </c>
      <c r="AY166" s="566">
        <f>VLOOKUP($A166,'01-02.2021'!$A$6:$CZ$403,51,FALSE)+VLOOKUP($A166,'1.3.21-28.2.22'!$A$6:$DA$404,51,FALSE)-VLOOKUP($A166,'01-02.2022'!$A$6:$DA$376,51,FALSE)</f>
        <v>2195.8950743501982</v>
      </c>
      <c r="AZ166" s="566">
        <f>VLOOKUP($A166,'01-02.2021'!$A$6:$CZ$403,52,FALSE)+VLOOKUP($A166,'1.3.21-28.2.22'!$A$6:$DA$404,52,FALSE)-VLOOKUP($A166,'01-02.2022'!$A$6:$DA$376,52,FALSE)</f>
        <v>0</v>
      </c>
      <c r="BA166" s="38">
        <f t="shared" si="187"/>
        <v>-2195.8950743501982</v>
      </c>
      <c r="BB166" s="566">
        <f>VLOOKUP($A166,'01-02.2021'!$A$6:$CZ$403,54,FALSE)+VLOOKUP($A166,'1.3.21-28.2.22'!$A$6:$DA$404,54,FALSE)-VLOOKUP($A166,'01-02.2022'!$A$6:$DA$376,54,FALSE)</f>
        <v>1950.0236957717525</v>
      </c>
      <c r="BC166" s="566">
        <f>VLOOKUP($A166,'01-02.2021'!$A$6:$CZ$403,55,FALSE)+VLOOKUP($A166,'1.3.21-28.2.22'!$A$6:$DA$404,55,FALSE)-VLOOKUP($A166,'01-02.2022'!$A$6:$DA$376,55,FALSE)</f>
        <v>525</v>
      </c>
      <c r="BD166" s="55">
        <f t="shared" si="188"/>
        <v>-1425.0236957717525</v>
      </c>
      <c r="BE166" s="566">
        <f>VLOOKUP($A166,'01-02.2021'!$A$6:$CZ$403,57,FALSE)+VLOOKUP($A166,'1.3.21-28.2.22'!$A$6:$DA$404,57,FALSE)-VLOOKUP($A166,'01-02.2022'!$A$6:$DA$376,57,FALSE)</f>
        <v>2957.3601021088739</v>
      </c>
      <c r="BF166" s="566">
        <f>VLOOKUP($A166,'01-02.2021'!$A$6:$CZ$403,58,FALSE)+VLOOKUP($A166,'1.3.21-28.2.22'!$A$6:$DA$404,58,FALSE)-VLOOKUP($A166,'01-02.2022'!$A$6:$DA$376,58,FALSE)</f>
        <v>0</v>
      </c>
      <c r="BG166" s="55">
        <f t="shared" si="189"/>
        <v>-2957.3601021088739</v>
      </c>
      <c r="BH166" s="566">
        <f>VLOOKUP($A166,'01-02.2021'!$A$6:$CZ$403,60,FALSE)+VLOOKUP($A166,'1.3.21-28.2.22'!$A$6:$DA$404,60,FALSE)-VLOOKUP($A166,'01-02.2022'!$A$6:$DA$376,60,FALSE)</f>
        <v>0</v>
      </c>
      <c r="BI166" s="566">
        <f>VLOOKUP($A166,'01-02.2021'!$A$6:$CZ$403,61,FALSE)+VLOOKUP($A166,'1.3.21-28.2.22'!$A$6:$DA$404,61,FALSE)-VLOOKUP($A166,'01-02.2022'!$A$6:$DA$376,61,FALSE)</f>
        <v>0</v>
      </c>
      <c r="BJ166" s="55">
        <f t="shared" si="190"/>
        <v>0</v>
      </c>
      <c r="BK166" s="566">
        <f>VLOOKUP($A166,'01-02.2021'!$A$6:$CZ$403,63,FALSE)+VLOOKUP($A166,'1.3.21-28.2.22'!$A$6:$DA$404,63,FALSE)-VLOOKUP($A166,'01-02.2022'!$A$6:$DA$376,63,FALSE)</f>
        <v>1346.4021512547006</v>
      </c>
      <c r="BL166" s="566">
        <f>VLOOKUP($A166,'01-02.2021'!$A$6:$CZ$403,64,FALSE)+VLOOKUP($A166,'1.3.21-28.2.22'!$A$6:$DA$404,64,FALSE)-VLOOKUP($A166,'01-02.2022'!$A$6:$DA$376,64,FALSE)</f>
        <v>0</v>
      </c>
      <c r="BM166" s="55">
        <f t="shared" si="191"/>
        <v>-1346.4021512547006</v>
      </c>
      <c r="BN166" s="566">
        <f>VLOOKUP($A166,'01-02.2021'!$A$6:$CZ$403,66,FALSE)+VLOOKUP($A166,'1.3.21-28.2.22'!$A$6:$DA$404,66,FALSE)-VLOOKUP($A166,'01-02.2022'!$A$6:$DA$376,66,FALSE)</f>
        <v>160.8965</v>
      </c>
      <c r="BO166" s="566">
        <f>VLOOKUP($A166,'01-02.2021'!$A$6:$CZ$403,67,FALSE)+VLOOKUP($A166,'1.3.21-28.2.22'!$A$6:$DA$404,67,FALSE)-VLOOKUP($A166,'01-02.2022'!$A$6:$DA$376,67,FALSE)</f>
        <v>0</v>
      </c>
      <c r="BP166" s="55">
        <f t="shared" si="192"/>
        <v>-160.8965</v>
      </c>
      <c r="BQ166" s="77">
        <f t="shared" si="204"/>
        <v>10373.552461953739</v>
      </c>
      <c r="BR166" s="40">
        <f t="shared" si="205"/>
        <v>1381</v>
      </c>
      <c r="BS166" s="55">
        <f t="shared" si="166"/>
        <v>-8992.5524619537391</v>
      </c>
      <c r="BT166" s="566">
        <f>VLOOKUP($A166,'01-02.2021'!$A$6:$CZ$403,72,FALSE)+VLOOKUP($A166,'1.3.21-28.2.22'!$A$6:$DA$404,72,FALSE)-VLOOKUP($A166,'01-02.2022'!$A$6:$DA$376,72,FALSE)</f>
        <v>31668.286036096397</v>
      </c>
      <c r="BU166" s="566">
        <f>VLOOKUP($A166,'01-02.2021'!$A$6:$CZ$403,73,FALSE)+VLOOKUP($A166,'1.3.21-28.2.22'!$A$6:$DA$404,73,FALSE)-VLOOKUP($A166,'01-02.2022'!$A$6:$DA$376,73,FALSE)</f>
        <v>35536.374290969026</v>
      </c>
      <c r="BV166" s="70">
        <f t="shared" si="193"/>
        <v>3868.0882548726295</v>
      </c>
      <c r="BW166" s="566">
        <f>VLOOKUP($A166,'01-02.2021'!$A$6:$CZ$403,75,FALSE)+VLOOKUP($A166,'1.3.21-28.2.22'!$A$6:$DA$404,75,FALSE)-VLOOKUP($A166,'01-02.2022'!$A$6:$DA$376,75,FALSE)</f>
        <v>13042.997689307669</v>
      </c>
      <c r="BX166" s="566">
        <f>VLOOKUP($A166,'01-02.2021'!$A$6:$CZ$403,76,FALSE)+VLOOKUP($A166,'1.3.21-28.2.22'!$A$6:$DA$404,76,FALSE)-VLOOKUP($A166,'01-02.2022'!$A$6:$DA$376,76,FALSE)</f>
        <v>11054.628234813928</v>
      </c>
      <c r="BY166" s="70">
        <f t="shared" si="194"/>
        <v>-1988.3694544937407</v>
      </c>
      <c r="BZ166" s="566">
        <f>VLOOKUP($A166,'01-02.2021'!$A$6:$CZ$403,78,FALSE)+VLOOKUP($A166,'1.3.21-28.2.22'!$A$6:$DA$404,78,FALSE)-VLOOKUP($A166,'01-02.2022'!$A$6:$DA$376,78,FALSE)</f>
        <v>14398.221141834587</v>
      </c>
      <c r="CA166" s="566">
        <f>VLOOKUP($A166,'01-02.2021'!$A$6:$CZ$403,79,FALSE)+VLOOKUP($A166,'1.3.21-28.2.22'!$A$6:$DA$404,79,FALSE)-VLOOKUP($A166,'01-02.2022'!$A$6:$DA$376,79,FALSE)</f>
        <v>9641.6985707001859</v>
      </c>
      <c r="CB166" s="70">
        <f t="shared" si="195"/>
        <v>-4756.522571134401</v>
      </c>
      <c r="CC166" s="566">
        <f>VLOOKUP($A166,'01-02.2021'!$A$6:$CZ$403,81,FALSE)+VLOOKUP($A166,'1.3.21-28.2.22'!$A$6:$DA$404,81,FALSE)-VLOOKUP($A166,'01-02.2022'!$A$6:$DA$376,81,FALSE)</f>
        <v>0</v>
      </c>
      <c r="CD166" s="566">
        <f>VLOOKUP($A166,'01-02.2021'!$A$6:$CZ$403,82,FALSE)+VLOOKUP($A166,'1.3.21-28.2.22'!$A$6:$DA$404,82,FALSE)-VLOOKUP($A166,'01-02.2022'!$A$6:$DA$376,82,FALSE)</f>
        <v>0</v>
      </c>
      <c r="CE166" s="70">
        <f t="shared" si="196"/>
        <v>0</v>
      </c>
      <c r="CF166" s="566">
        <f>VLOOKUP($A166,'01-02.2021'!$A$6:$CZ$403,84,FALSE)+VLOOKUP($A166,'1.3.21-28.2.22'!$A$6:$DA$404,84,FALSE)-VLOOKUP($A166,'01-02.2022'!$A$6:$DA$376,84,FALSE)</f>
        <v>0</v>
      </c>
      <c r="CG166" s="566">
        <f>VLOOKUP($A166,'01-02.2021'!$A$6:$CZ$403,85,FALSE)+VLOOKUP($A166,'1.3.21-28.2.22'!$A$6:$DA$404,85,FALSE)-VLOOKUP($A166,'01-02.2022'!$A$6:$DA$376,85,FALSE)</f>
        <v>0</v>
      </c>
      <c r="CH166" s="70">
        <f t="shared" si="197"/>
        <v>0</v>
      </c>
      <c r="CI166" s="566">
        <f>VLOOKUP($A166,'01-02.2021'!$A$6:$CZ$403,87,FALSE)+VLOOKUP($A166,'1.3.21-28.2.22'!$A$6:$DA$404,87,FALSE)-VLOOKUP($A166,'01-02.2022'!$A$6:$DA$376,87,FALSE)</f>
        <v>3708.0272563118974</v>
      </c>
      <c r="CJ166" s="566">
        <f>VLOOKUP($A166,'01-02.2021'!$A$6:$CZ$403,88,FALSE)+VLOOKUP($A166,'1.3.21-28.2.22'!$A$6:$DA$404,88,FALSE)-VLOOKUP($A166,'01-02.2022'!$A$6:$DA$376,88,FALSE)</f>
        <v>2644.9836294899874</v>
      </c>
      <c r="CK166" s="70">
        <f t="shared" si="198"/>
        <v>-1063.04362682191</v>
      </c>
      <c r="CL166" s="566">
        <f>VLOOKUP($A166,'01-02.2021'!$A$6:$CZ$403,90,FALSE)+VLOOKUP($A166,'1.3.21-28.2.22'!$A$6:$DA$404,90,FALSE)-VLOOKUP($A166,'01-02.2022'!$A$6:$DA$376,90,FALSE)</f>
        <v>0</v>
      </c>
      <c r="CM166" s="566">
        <f>VLOOKUP($A166,'01-02.2021'!$A$6:$CZ$403,91,FALSE)+VLOOKUP($A166,'1.3.21-28.2.22'!$A$6:$DA$404,91,FALSE)-VLOOKUP($A166,'01-02.2022'!$A$6:$DA$376,91,FALSE)</f>
        <v>0</v>
      </c>
      <c r="CN166" s="52">
        <f t="shared" si="158"/>
        <v>0</v>
      </c>
      <c r="CO166" s="39">
        <f t="shared" si="153"/>
        <v>3708.0272563118974</v>
      </c>
      <c r="CP166" s="40">
        <f t="shared" si="159"/>
        <v>2644.9836294899874</v>
      </c>
      <c r="CQ166" s="52">
        <f t="shared" si="160"/>
        <v>-1063.04362682191</v>
      </c>
      <c r="CR166" s="72">
        <f t="shared" si="154"/>
        <v>139610.56139650851</v>
      </c>
      <c r="CS166" s="5">
        <f t="shared" si="154"/>
        <v>167999.23368490572</v>
      </c>
      <c r="CT166" s="52">
        <f t="shared" si="161"/>
        <v>28388.672288397211</v>
      </c>
      <c r="CU166" s="77">
        <f t="shared" si="162"/>
        <v>167532.67367581019</v>
      </c>
      <c r="CV166" s="65">
        <f t="shared" si="163"/>
        <v>201599.08042188684</v>
      </c>
      <c r="CW166" s="35">
        <f t="shared" si="164"/>
        <v>34066.406746076653</v>
      </c>
      <c r="CX166" s="566">
        <f>VLOOKUP($A166,'01-02.2021'!$A$6:$CZ$403,102,FALSE)+VLOOKUP($A166,'1.3.21-28.2.22'!$A$6:$DA$404,102,FALSE)-VLOOKUP($A166,'01-02.2022'!$A$6:$DA$376,102,FALSE)</f>
        <v>5291.6040621844022</v>
      </c>
      <c r="CY166" s="566">
        <f>VLOOKUP($A166,'01-02.2021'!$A$6:$CZ$403,103,FALSE)+VLOOKUP($A166,'1.3.21-28.2.22'!$A$6:$DA$404,103,FALSE)-VLOOKUP($A166,'01-02.2022'!$A$6:$DA$376,103,FALSE)</f>
        <v>-28774.802683892289</v>
      </c>
      <c r="CZ166" s="52">
        <f t="shared" si="165"/>
        <v>-34066.406746076689</v>
      </c>
      <c r="DA166" s="150">
        <f>'[2]побудинковий звіт'!DA166</f>
        <v>51009.174769531222</v>
      </c>
      <c r="DB166" s="2">
        <v>2</v>
      </c>
      <c r="DC166" s="414">
        <f>'[4]побудинковий звіт'!DC166</f>
        <v>43737.03</v>
      </c>
      <c r="DD166" s="414">
        <f>'[4]побудинковий звіт'!DD166</f>
        <v>11544.6</v>
      </c>
      <c r="DE166" s="557">
        <f>'[4]побудинковий звіт'!DE166</f>
        <v>32881.526240125429</v>
      </c>
      <c r="DF166" s="557">
        <f>'[4]побудинковий звіт'!DF166</f>
        <v>6668.7214196406849</v>
      </c>
      <c r="DG166" s="321">
        <f>VLOOKUP(A166,'кошти 01.03.2021'!$A$6:$D$401,4,)</f>
        <v>12571.336806649542</v>
      </c>
      <c r="DH166" s="40">
        <f>'[3]побудинковий звіт'!DJ166</f>
        <v>179114.24187859453</v>
      </c>
      <c r="DI166" s="422">
        <f>'[3]побудинковий звіт'!CU166+'[3]побудинковий звіт'!CX166</f>
        <v>15731.382340233888</v>
      </c>
      <c r="DJ166" s="306">
        <f>'[3]побудинковий звіт'!DM166</f>
        <v>5.0208612816706939</v>
      </c>
      <c r="DK166" s="306">
        <f t="shared" si="206"/>
        <v>5.0208612816706939</v>
      </c>
      <c r="DL166" s="306">
        <f>'[3]побудинковий звіт'!DO166</f>
        <v>4.2913911110361864</v>
      </c>
      <c r="DM166" s="28">
        <f t="shared" si="207"/>
        <v>10855.503759874573</v>
      </c>
      <c r="DN166" s="28">
        <f t="shared" si="208"/>
        <v>4875.8785803593155</v>
      </c>
      <c r="DO166" s="423">
        <f t="shared" si="171"/>
        <v>15731.382340233889</v>
      </c>
      <c r="DP166" s="94">
        <f t="shared" si="172"/>
        <v>0</v>
      </c>
      <c r="DQ166" s="28">
        <f t="shared" si="173"/>
        <v>15731.382340233889</v>
      </c>
      <c r="DR166" s="318"/>
      <c r="DT166" s="8"/>
      <c r="DU166" s="5"/>
      <c r="DX166" s="5">
        <f t="shared" si="174"/>
        <v>53277.466278578169</v>
      </c>
      <c r="DY166" s="5">
        <f t="shared" si="175"/>
        <v>93363.671999999991</v>
      </c>
      <c r="DZ166" s="159">
        <f>'[3]побудинковий звіт'!EA166</f>
        <v>4728.4733422940899</v>
      </c>
    </row>
    <row r="167" spans="1:130" x14ac:dyDescent="0.3">
      <c r="A167" s="325">
        <v>150001007</v>
      </c>
      <c r="B167" s="41" t="s">
        <v>616</v>
      </c>
      <c r="C167" s="42" t="s">
        <v>214</v>
      </c>
      <c r="D167" s="42"/>
      <c r="E167" s="293">
        <f t="shared" si="149"/>
        <v>2046.1999999999998</v>
      </c>
      <c r="F167" s="305">
        <f>'[3]побудинковий звіт'!F167</f>
        <v>2000.1</v>
      </c>
      <c r="G167" s="508">
        <f>'[3]побудинковий звіт'!G167</f>
        <v>0</v>
      </c>
      <c r="H167" s="560">
        <f>'[3]побудинковий звіт'!H167</f>
        <v>46.1</v>
      </c>
      <c r="I167" s="566">
        <f>VLOOKUP($A167,'01-02.2021'!$A$6:$CZ$403,9,FALSE)+VLOOKUP($A167,'1.3.21-28.2.22'!$A$6:$DA$404,9,FALSE)-VLOOKUP($A167,'01-02.2022'!$A$6:$DA$376,9,FALSE)</f>
        <v>7475.6762640759825</v>
      </c>
      <c r="J167" s="566">
        <f>VLOOKUP($A167,'01-02.2021'!$A$6:$CZ$403,10,FALSE)+VLOOKUP($A167,'1.3.21-28.2.22'!$A$6:$DA$404,10,FALSE)-VLOOKUP($A167,'01-02.2022'!$A$6:$DA$376,10,FALSE)</f>
        <v>8195.9724474400264</v>
      </c>
      <c r="K167" s="52">
        <f t="shared" si="155"/>
        <v>720.29618336404383</v>
      </c>
      <c r="L167" s="566">
        <f>VLOOKUP($A167,'01-02.2021'!$A$6:$CZ$403,12,FALSE)+VLOOKUP($A167,'1.3.21-28.2.22'!$A$6:$DA$404,12,FALSE)-VLOOKUP($A167,'01-02.2022'!$A$6:$DA$376,12,FALSE)</f>
        <v>1410.8563204611171</v>
      </c>
      <c r="M167" s="566">
        <f>VLOOKUP($A167,'01-02.2021'!$A$6:$CZ$403,13,FALSE)+VLOOKUP($A167,'1.3.21-28.2.22'!$A$6:$DA$404,13,FALSE)-VLOOKUP($A167,'01-02.2022'!$A$6:$DA$376,13,FALSE)</f>
        <v>1553.3999757373749</v>
      </c>
      <c r="N167" s="52">
        <f t="shared" si="156"/>
        <v>142.54365527625782</v>
      </c>
      <c r="O167" s="566">
        <f>VLOOKUP($A167,'01-02.2021'!$A$6:$CZ$403,15,FALSE)+VLOOKUP($A167,'1.3.21-28.2.22'!$A$6:$DA$404,15,FALSE)-VLOOKUP($A167,'01-02.2022'!$A$6:$DA$376,15,FALSE)</f>
        <v>2613.6180326867411</v>
      </c>
      <c r="P167" s="566">
        <f>VLOOKUP($A167,'01-02.2021'!$A$6:$CZ$403,16,FALSE)+VLOOKUP($A167,'1.3.21-28.2.22'!$A$6:$DA$404,16,FALSE)-VLOOKUP($A167,'01-02.2022'!$A$6:$DA$376,16,FALSE)</f>
        <v>2613.5999999999995</v>
      </c>
      <c r="Q167" s="70">
        <f t="shared" si="176"/>
        <v>-1.8032686741662474E-2</v>
      </c>
      <c r="R167" s="566">
        <f>VLOOKUP($A167,'01-02.2021'!$A$6:$CZ$403,18,FALSE)+VLOOKUP($A167,'1.3.21-28.2.22'!$A$6:$DA$404,18,FALSE)-VLOOKUP($A167,'01-02.2022'!$A$6:$DA$376,18,FALSE)</f>
        <v>0</v>
      </c>
      <c r="S167" s="566">
        <f>VLOOKUP($A167,'01-02.2021'!$A$6:$CZ$403,19,FALSE)+VLOOKUP($A167,'1.3.21-28.2.22'!$A$6:$DA$404,19,FALSE)-VLOOKUP($A167,'01-02.2022'!$A$6:$DA$376,19,FALSE)</f>
        <v>0</v>
      </c>
      <c r="T167" s="70">
        <f t="shared" si="177"/>
        <v>0</v>
      </c>
      <c r="U167" s="566">
        <f>VLOOKUP($A167,'01-02.2021'!$A$6:$CZ$403,21,FALSE)+VLOOKUP($A167,'1.3.21-28.2.22'!$A$6:$DA$404,21,FALSE)-VLOOKUP($A167,'01-02.2022'!$A$6:$DA$376,21,FALSE)</f>
        <v>0</v>
      </c>
      <c r="V167" s="566">
        <f>VLOOKUP($A167,'01-02.2021'!$A$6:$CZ$403,22,FALSE)+VLOOKUP($A167,'1.3.21-28.2.22'!$A$6:$DA$404,22,FALSE)-VLOOKUP($A167,'01-02.2022'!$A$6:$DA$376,22,FALSE)</f>
        <v>0</v>
      </c>
      <c r="W167" s="70">
        <f t="shared" si="178"/>
        <v>0</v>
      </c>
      <c r="X167" s="566">
        <f>VLOOKUP($A167,'01-02.2021'!$A$6:$CZ$403,24,FALSE)+VLOOKUP($A167,'1.3.21-28.2.22'!$A$6:$DA$404,24,FALSE)-VLOOKUP($A167,'01-02.2022'!$A$6:$DA$376,24,FALSE)</f>
        <v>3529.4070434150472</v>
      </c>
      <c r="Y167" s="566">
        <f>VLOOKUP($A167,'01-02.2021'!$A$6:$CZ$403,25,FALSE)+VLOOKUP($A167,'1.3.21-28.2.22'!$A$6:$DA$404,25,FALSE)-VLOOKUP($A167,'01-02.2022'!$A$6:$DA$376,25,FALSE)</f>
        <v>3025.5413529796342</v>
      </c>
      <c r="Z167" s="70">
        <f t="shared" si="179"/>
        <v>-503.86569043541294</v>
      </c>
      <c r="AA167" s="566">
        <f>VLOOKUP($A167,'01-02.2021'!$A$6:$CZ$403,27,FALSE)+VLOOKUP($A167,'1.3.21-28.2.22'!$A$6:$DA$404,27,FALSE)-VLOOKUP($A167,'01-02.2022'!$A$6:$DA$376,27,FALSE)</f>
        <v>409.24</v>
      </c>
      <c r="AB167" s="566">
        <f>VLOOKUP($A167,'01-02.2021'!$A$6:$CZ$403,28,FALSE)+VLOOKUP($A167,'1.3.21-28.2.22'!$A$6:$DA$404,28,FALSE)-VLOOKUP($A167,'01-02.2022'!$A$6:$DA$376,28,FALSE)</f>
        <v>0</v>
      </c>
      <c r="AC167" s="70">
        <f t="shared" si="180"/>
        <v>-409.24</v>
      </c>
      <c r="AD167" s="566">
        <f>VLOOKUP($A167,'01-02.2021'!$A$6:$CZ$403,30,FALSE)+VLOOKUP($A167,'1.3.21-28.2.22'!$A$6:$DA$404,30,FALSE)-VLOOKUP($A167,'01-02.2022'!$A$6:$DA$376,30,FALSE)</f>
        <v>8784.4699613501925</v>
      </c>
      <c r="AE167" s="566">
        <f>VLOOKUP($A167,'01-02.2021'!$A$6:$CZ$403,31,FALSE)+VLOOKUP($A167,'1.3.21-28.2.22'!$A$6:$DA$404,31,FALSE)-VLOOKUP($A167,'01-02.2022'!$A$6:$DA$376,31,FALSE)</f>
        <v>9314.3848460026784</v>
      </c>
      <c r="AF167" s="68">
        <f t="shared" si="181"/>
        <v>529.91488465248585</v>
      </c>
      <c r="AG167" s="77">
        <f t="shared" si="150"/>
        <v>24223.267621989078</v>
      </c>
      <c r="AH167" s="53">
        <f t="shared" si="150"/>
        <v>24702.898622159715</v>
      </c>
      <c r="AI167" s="52">
        <f t="shared" si="157"/>
        <v>479.63100017063698</v>
      </c>
      <c r="AJ167" s="566">
        <f>VLOOKUP($A167,'01-02.2021'!$A$6:$CZ$403,36,FALSE)+VLOOKUP($A167,'1.3.21-28.2.22'!$A$6:$DA$404,36,FALSE)-VLOOKUP($A167,'01-02.2022'!$A$6:$DA$376,36,FALSE)</f>
        <v>0</v>
      </c>
      <c r="AK167" s="566">
        <f>VLOOKUP($A167,'01-02.2021'!$A$6:$CZ$403,37,FALSE)+VLOOKUP($A167,'1.3.21-28.2.22'!$A$6:$DA$404,37,FALSE)-VLOOKUP($A167,'01-02.2022'!$A$6:$DA$376,37,FALSE)</f>
        <v>0</v>
      </c>
      <c r="AL167" s="70">
        <f t="shared" si="182"/>
        <v>0</v>
      </c>
      <c r="AM167" s="566">
        <f>VLOOKUP($A167,'01-02.2021'!$A$6:$CZ$403,39,FALSE)+VLOOKUP($A167,'1.3.21-28.2.22'!$A$6:$DA$404,39,FALSE)-VLOOKUP($A167,'01-02.2022'!$A$6:$DA$376,39,FALSE)</f>
        <v>0</v>
      </c>
      <c r="AN167" s="566">
        <f>VLOOKUP($A167,'01-02.2021'!$A$6:$CZ$403,40,FALSE)+VLOOKUP($A167,'1.3.21-28.2.22'!$A$6:$DA$404,40,FALSE)-VLOOKUP($A167,'01-02.2022'!$A$6:$DA$376,40,FALSE)</f>
        <v>0</v>
      </c>
      <c r="AO167" s="70">
        <f t="shared" si="183"/>
        <v>0</v>
      </c>
      <c r="AP167" s="566">
        <f>VLOOKUP($A167,'01-02.2021'!$A$6:$CZ$403,42,FALSE)+VLOOKUP($A167,'1.3.21-28.2.22'!$A$6:$DA$404,42,FALSE)-VLOOKUP($A167,'01-02.2022'!$A$6:$DA$376,42,FALSE)</f>
        <v>6116.5791189001338</v>
      </c>
      <c r="AQ167" s="566">
        <f>VLOOKUP($A167,'01-02.2021'!$A$6:$CZ$403,43,FALSE)+VLOOKUP($A167,'1.3.21-28.2.22'!$A$6:$DA$404,43,FALSE)-VLOOKUP($A167,'01-02.2022'!$A$6:$DA$376,43,FALSE)</f>
        <v>4894.1268110114179</v>
      </c>
      <c r="AR167" s="70">
        <f t="shared" si="184"/>
        <v>-1222.4523078887159</v>
      </c>
      <c r="AS167" s="566">
        <f>VLOOKUP($A167,'01-02.2021'!$A$6:$CZ$403,45,FALSE)+VLOOKUP($A167,'1.3.21-28.2.22'!$A$6:$DA$404,45,FALSE)-VLOOKUP($A167,'01-02.2022'!$A$6:$DA$376,45,FALSE)</f>
        <v>20224.766816017189</v>
      </c>
      <c r="AT167" s="566">
        <f>VLOOKUP($A167,'01-02.2021'!$A$6:$CZ$403,46,FALSE)+VLOOKUP($A167,'1.3.21-28.2.22'!$A$6:$DA$404,46,FALSE)-VLOOKUP($A167,'01-02.2022'!$A$6:$DA$376,46,FALSE)</f>
        <v>9944</v>
      </c>
      <c r="AU167" s="78">
        <f t="shared" si="185"/>
        <v>-10280.766816017189</v>
      </c>
      <c r="AV167" s="566">
        <f>VLOOKUP($A167,'01-02.2021'!$A$6:$CZ$403,48,FALSE)+VLOOKUP($A167,'1.3.21-28.2.22'!$A$6:$DA$404,48,FALSE)-VLOOKUP($A167,'01-02.2022'!$A$6:$DA$376,48,FALSE)</f>
        <v>1958.628928176737</v>
      </c>
      <c r="AW167" s="566">
        <f>VLOOKUP($A167,'01-02.2021'!$A$6:$CZ$403,49,FALSE)+VLOOKUP($A167,'1.3.21-28.2.22'!$A$6:$DA$404,49,FALSE)-VLOOKUP($A167,'01-02.2022'!$A$6:$DA$376,49,FALSE)</f>
        <v>0</v>
      </c>
      <c r="AX167" s="55">
        <f t="shared" si="186"/>
        <v>-1958.628928176737</v>
      </c>
      <c r="AY167" s="566">
        <f>VLOOKUP($A167,'01-02.2021'!$A$6:$CZ$403,51,FALSE)+VLOOKUP($A167,'1.3.21-28.2.22'!$A$6:$DA$404,51,FALSE)-VLOOKUP($A167,'01-02.2022'!$A$6:$DA$376,51,FALSE)</f>
        <v>2652.2524301626345</v>
      </c>
      <c r="AZ167" s="566">
        <f>VLOOKUP($A167,'01-02.2021'!$A$6:$CZ$403,52,FALSE)+VLOOKUP($A167,'1.3.21-28.2.22'!$A$6:$DA$404,52,FALSE)-VLOOKUP($A167,'01-02.2022'!$A$6:$DA$376,52,FALSE)</f>
        <v>0</v>
      </c>
      <c r="BA167" s="38">
        <f t="shared" si="187"/>
        <v>-2652.2524301626345</v>
      </c>
      <c r="BB167" s="566">
        <f>VLOOKUP($A167,'01-02.2021'!$A$6:$CZ$403,54,FALSE)+VLOOKUP($A167,'1.3.21-28.2.22'!$A$6:$DA$404,54,FALSE)-VLOOKUP($A167,'01-02.2022'!$A$6:$DA$376,54,FALSE)</f>
        <v>1133.5493172686713</v>
      </c>
      <c r="BC167" s="566">
        <f>VLOOKUP($A167,'01-02.2021'!$A$6:$CZ$403,55,FALSE)+VLOOKUP($A167,'1.3.21-28.2.22'!$A$6:$DA$404,55,FALSE)-VLOOKUP($A167,'01-02.2022'!$A$6:$DA$376,55,FALSE)</f>
        <v>0</v>
      </c>
      <c r="BD167" s="55">
        <f t="shared" si="188"/>
        <v>-1133.5493172686713</v>
      </c>
      <c r="BE167" s="566">
        <f>VLOOKUP($A167,'01-02.2021'!$A$6:$CZ$403,57,FALSE)+VLOOKUP($A167,'1.3.21-28.2.22'!$A$6:$DA$404,57,FALSE)-VLOOKUP($A167,'01-02.2022'!$A$6:$DA$376,57,FALSE)</f>
        <v>0</v>
      </c>
      <c r="BF167" s="566">
        <f>VLOOKUP($A167,'01-02.2021'!$A$6:$CZ$403,58,FALSE)+VLOOKUP($A167,'1.3.21-28.2.22'!$A$6:$DA$404,58,FALSE)-VLOOKUP($A167,'01-02.2022'!$A$6:$DA$376,58,FALSE)</f>
        <v>0</v>
      </c>
      <c r="BG167" s="55">
        <f t="shared" si="189"/>
        <v>0</v>
      </c>
      <c r="BH167" s="566">
        <f>VLOOKUP($A167,'01-02.2021'!$A$6:$CZ$403,60,FALSE)+VLOOKUP($A167,'1.3.21-28.2.22'!$A$6:$DA$404,60,FALSE)-VLOOKUP($A167,'01-02.2022'!$A$6:$DA$376,60,FALSE)</f>
        <v>0</v>
      </c>
      <c r="BI167" s="566">
        <f>VLOOKUP($A167,'01-02.2021'!$A$6:$CZ$403,61,FALSE)+VLOOKUP($A167,'1.3.21-28.2.22'!$A$6:$DA$404,61,FALSE)-VLOOKUP($A167,'01-02.2022'!$A$6:$DA$376,61,FALSE)</f>
        <v>0</v>
      </c>
      <c r="BJ167" s="55">
        <f t="shared" si="190"/>
        <v>0</v>
      </c>
      <c r="BK167" s="566">
        <f>VLOOKUP($A167,'01-02.2021'!$A$6:$CZ$403,63,FALSE)+VLOOKUP($A167,'1.3.21-28.2.22'!$A$6:$DA$404,63,FALSE)-VLOOKUP($A167,'01-02.2022'!$A$6:$DA$376,63,FALSE)</f>
        <v>884.92530349936885</v>
      </c>
      <c r="BL167" s="566">
        <f>VLOOKUP($A167,'01-02.2021'!$A$6:$CZ$403,64,FALSE)+VLOOKUP($A167,'1.3.21-28.2.22'!$A$6:$DA$404,64,FALSE)-VLOOKUP($A167,'01-02.2022'!$A$6:$DA$376,64,FALSE)</f>
        <v>1454</v>
      </c>
      <c r="BM167" s="55">
        <f t="shared" si="191"/>
        <v>569.07469650063115</v>
      </c>
      <c r="BN167" s="566">
        <f>VLOOKUP($A167,'01-02.2021'!$A$6:$CZ$403,66,FALSE)+VLOOKUP($A167,'1.3.21-28.2.22'!$A$6:$DA$404,66,FALSE)-VLOOKUP($A167,'01-02.2022'!$A$6:$DA$376,66,FALSE)</f>
        <v>102.31</v>
      </c>
      <c r="BO167" s="566">
        <f>VLOOKUP($A167,'01-02.2021'!$A$6:$CZ$403,67,FALSE)+VLOOKUP($A167,'1.3.21-28.2.22'!$A$6:$DA$404,67,FALSE)-VLOOKUP($A167,'01-02.2022'!$A$6:$DA$376,67,FALSE)</f>
        <v>0</v>
      </c>
      <c r="BP167" s="55">
        <f t="shared" si="192"/>
        <v>-102.31</v>
      </c>
      <c r="BQ167" s="77">
        <f t="shared" si="204"/>
        <v>6731.6659791074117</v>
      </c>
      <c r="BR167" s="40">
        <f t="shared" si="205"/>
        <v>1454</v>
      </c>
      <c r="BS167" s="55">
        <f t="shared" si="166"/>
        <v>-5277.6659791074117</v>
      </c>
      <c r="BT167" s="566">
        <f>VLOOKUP($A167,'01-02.2021'!$A$6:$CZ$403,72,FALSE)+VLOOKUP($A167,'1.3.21-28.2.22'!$A$6:$DA$404,72,FALSE)-VLOOKUP($A167,'01-02.2022'!$A$6:$DA$376,72,FALSE)</f>
        <v>11161.960920832218</v>
      </c>
      <c r="BU167" s="566">
        <f>VLOOKUP($A167,'01-02.2021'!$A$6:$CZ$403,73,FALSE)+VLOOKUP($A167,'1.3.21-28.2.22'!$A$6:$DA$404,73,FALSE)-VLOOKUP($A167,'01-02.2022'!$A$6:$DA$376,73,FALSE)</f>
        <v>16105.515765901991</v>
      </c>
      <c r="BV167" s="70">
        <f t="shared" si="193"/>
        <v>4943.5548450697734</v>
      </c>
      <c r="BW167" s="566">
        <f>VLOOKUP($A167,'01-02.2021'!$A$6:$CZ$403,75,FALSE)+VLOOKUP($A167,'1.3.21-28.2.22'!$A$6:$DA$404,75,FALSE)-VLOOKUP($A167,'01-02.2022'!$A$6:$DA$376,75,FALSE)</f>
        <v>9330.6378443010126</v>
      </c>
      <c r="BX167" s="566">
        <f>VLOOKUP($A167,'01-02.2021'!$A$6:$CZ$403,76,FALSE)+VLOOKUP($A167,'1.3.21-28.2.22'!$A$6:$DA$404,76,FALSE)-VLOOKUP($A167,'01-02.2022'!$A$6:$DA$376,76,FALSE)</f>
        <v>8933.5380025003669</v>
      </c>
      <c r="BY167" s="70">
        <f t="shared" si="194"/>
        <v>-397.09984180064566</v>
      </c>
      <c r="BZ167" s="566">
        <f>VLOOKUP($A167,'01-02.2021'!$A$6:$CZ$403,78,FALSE)+VLOOKUP($A167,'1.3.21-28.2.22'!$A$6:$DA$404,78,FALSE)-VLOOKUP($A167,'01-02.2022'!$A$6:$DA$376,78,FALSE)</f>
        <v>6724.934639322255</v>
      </c>
      <c r="CA167" s="566">
        <f>VLOOKUP($A167,'01-02.2021'!$A$6:$CZ$403,79,FALSE)+VLOOKUP($A167,'1.3.21-28.2.22'!$A$6:$DA$404,79,FALSE)-VLOOKUP($A167,'01-02.2022'!$A$6:$DA$376,79,FALSE)</f>
        <v>3395.546867006412</v>
      </c>
      <c r="CB167" s="70">
        <f t="shared" si="195"/>
        <v>-3329.387772315843</v>
      </c>
      <c r="CC167" s="566">
        <f>VLOOKUP($A167,'01-02.2021'!$A$6:$CZ$403,81,FALSE)+VLOOKUP($A167,'1.3.21-28.2.22'!$A$6:$DA$404,81,FALSE)-VLOOKUP($A167,'01-02.2022'!$A$6:$DA$376,81,FALSE)</f>
        <v>1823.0519559497075</v>
      </c>
      <c r="CD167" s="566">
        <f>VLOOKUP($A167,'01-02.2021'!$A$6:$CZ$403,82,FALSE)+VLOOKUP($A167,'1.3.21-28.2.22'!$A$6:$DA$404,82,FALSE)-VLOOKUP($A167,'01-02.2022'!$A$6:$DA$376,82,FALSE)</f>
        <v>1992.5830621328066</v>
      </c>
      <c r="CE167" s="70">
        <f t="shared" si="196"/>
        <v>169.53110618309915</v>
      </c>
      <c r="CF167" s="566">
        <f>VLOOKUP($A167,'01-02.2021'!$A$6:$CZ$403,84,FALSE)+VLOOKUP($A167,'1.3.21-28.2.22'!$A$6:$DA$404,84,FALSE)-VLOOKUP($A167,'01-02.2022'!$A$6:$DA$376,84,FALSE)</f>
        <v>221.62951841021484</v>
      </c>
      <c r="CG167" s="566">
        <f>VLOOKUP($A167,'01-02.2021'!$A$6:$CZ$403,85,FALSE)+VLOOKUP($A167,'1.3.21-28.2.22'!$A$6:$DA$404,85,FALSE)-VLOOKUP($A167,'01-02.2022'!$A$6:$DA$376,85,FALSE)</f>
        <v>0</v>
      </c>
      <c r="CH167" s="70">
        <f t="shared" si="197"/>
        <v>-221.62951841021484</v>
      </c>
      <c r="CI167" s="566">
        <f>VLOOKUP($A167,'01-02.2021'!$A$6:$CZ$403,87,FALSE)+VLOOKUP($A167,'1.3.21-28.2.22'!$A$6:$DA$404,87,FALSE)-VLOOKUP($A167,'01-02.2022'!$A$6:$DA$376,87,FALSE)</f>
        <v>3489.9344745450871</v>
      </c>
      <c r="CJ167" s="566">
        <f>VLOOKUP($A167,'01-02.2021'!$A$6:$CZ$403,88,FALSE)+VLOOKUP($A167,'1.3.21-28.2.22'!$A$6:$DA$404,88,FALSE)-VLOOKUP($A167,'01-02.2022'!$A$6:$DA$376,88,FALSE)</f>
        <v>2813.9559017039705</v>
      </c>
      <c r="CK167" s="70">
        <f t="shared" si="198"/>
        <v>-675.9785728411166</v>
      </c>
      <c r="CL167" s="566">
        <f>VLOOKUP($A167,'01-02.2021'!$A$6:$CZ$403,90,FALSE)+VLOOKUP($A167,'1.3.21-28.2.22'!$A$6:$DA$404,90,FALSE)-VLOOKUP($A167,'01-02.2022'!$A$6:$DA$376,90,FALSE)</f>
        <v>0</v>
      </c>
      <c r="CM167" s="566">
        <f>VLOOKUP($A167,'01-02.2021'!$A$6:$CZ$403,91,FALSE)+VLOOKUP($A167,'1.3.21-28.2.22'!$A$6:$DA$404,91,FALSE)-VLOOKUP($A167,'01-02.2022'!$A$6:$DA$376,91,FALSE)</f>
        <v>0</v>
      </c>
      <c r="CN167" s="52">
        <f t="shared" si="158"/>
        <v>0</v>
      </c>
      <c r="CO167" s="39">
        <f t="shared" si="153"/>
        <v>3489.9344745450871</v>
      </c>
      <c r="CP167" s="40">
        <f t="shared" si="159"/>
        <v>2813.9559017039705</v>
      </c>
      <c r="CQ167" s="52">
        <f t="shared" si="160"/>
        <v>-675.9785728411166</v>
      </c>
      <c r="CR167" s="72">
        <f t="shared" si="154"/>
        <v>90048.428889374307</v>
      </c>
      <c r="CS167" s="5">
        <f t="shared" si="154"/>
        <v>74236.165032416684</v>
      </c>
      <c r="CT167" s="52">
        <f t="shared" si="161"/>
        <v>-15812.263856957623</v>
      </c>
      <c r="CU167" s="77">
        <f t="shared" si="162"/>
        <v>108058.11466724916</v>
      </c>
      <c r="CV167" s="65">
        <f t="shared" si="163"/>
        <v>89083.398038900021</v>
      </c>
      <c r="CW167" s="35">
        <f t="shared" si="164"/>
        <v>-18974.716628349139</v>
      </c>
      <c r="CX167" s="566">
        <f>VLOOKUP($A167,'01-02.2021'!$A$6:$CZ$403,102,FALSE)+VLOOKUP($A167,'1.3.21-28.2.22'!$A$6:$DA$404,102,FALSE)-VLOOKUP($A167,'01-02.2022'!$A$6:$DA$376,102,FALSE)</f>
        <v>3064.0582948810243</v>
      </c>
      <c r="CY167" s="566">
        <f>VLOOKUP($A167,'01-02.2021'!$A$6:$CZ$403,103,FALSE)+VLOOKUP($A167,'1.3.21-28.2.22'!$A$6:$DA$404,103,FALSE)-VLOOKUP($A167,'01-02.2022'!$A$6:$DA$376,103,FALSE)</f>
        <v>22038.774923230154</v>
      </c>
      <c r="CZ167" s="52">
        <f t="shared" si="165"/>
        <v>18974.716628349131</v>
      </c>
      <c r="DA167" s="150">
        <f>'[2]побудинковий звіт'!DA167</f>
        <v>29835.532150821738</v>
      </c>
      <c r="DB167" s="2">
        <v>2</v>
      </c>
      <c r="DC167" s="414">
        <f>'[4]побудинковий звіт'!DC167</f>
        <v>12819.97</v>
      </c>
      <c r="DD167" s="414">
        <f>'[4]побудинковий звіт'!DD167</f>
        <v>-11.04</v>
      </c>
      <c r="DE167" s="557">
        <f>'[4]побудинковий звіт'!DE167</f>
        <v>2921.9176152527561</v>
      </c>
      <c r="DF167" s="557">
        <f>'[4]побудинковий звіт'!DF167</f>
        <v>-213.19127863036988</v>
      </c>
      <c r="DG167" s="321">
        <f>VLOOKUP(A167,'кошти 01.03.2021'!$A$6:$D$401,4,)</f>
        <v>33851.023199727519</v>
      </c>
      <c r="DH167" s="40">
        <f>'[3]побудинковий звіт'!DJ167</f>
        <v>115095.64657252096</v>
      </c>
      <c r="DI167" s="422">
        <f>'[3]побудинковий звіт'!CU167+'[3]побудинковий звіт'!CX167</f>
        <v>10100.203663377613</v>
      </c>
      <c r="DJ167" s="306">
        <f>'[3]побудинковий звіт'!DM167</f>
        <v>4.94877875343595</v>
      </c>
      <c r="DK167" s="306">
        <f t="shared" si="206"/>
        <v>4.94877875343595</v>
      </c>
      <c r="DL167" s="306">
        <f>'[3]побудинковий звіт'!DO167</f>
        <v>4.385060273977655</v>
      </c>
      <c r="DM167" s="28">
        <f t="shared" si="207"/>
        <v>9898.0523847472432</v>
      </c>
      <c r="DN167" s="28">
        <f t="shared" si="208"/>
        <v>202.15127863036989</v>
      </c>
      <c r="DO167" s="423">
        <f t="shared" si="171"/>
        <v>10100.203663377613</v>
      </c>
      <c r="DP167" s="94">
        <f t="shared" si="172"/>
        <v>0</v>
      </c>
      <c r="DQ167" s="28">
        <f t="shared" si="173"/>
        <v>10100.203663377613</v>
      </c>
      <c r="DR167" s="318"/>
      <c r="DT167" s="8"/>
      <c r="DU167" s="5"/>
      <c r="DX167" s="5">
        <f t="shared" si="174"/>
        <v>32347.719354149522</v>
      </c>
      <c r="DY167" s="5">
        <f t="shared" si="175"/>
        <v>13677.6</v>
      </c>
      <c r="DZ167" s="159">
        <f>'[3]побудинковий звіт'!EA167</f>
        <v>3109.1633397558526</v>
      </c>
    </row>
    <row r="168" spans="1:130" ht="15.6" customHeight="1" x14ac:dyDescent="0.3">
      <c r="A168" s="325">
        <v>150001018</v>
      </c>
      <c r="B168" s="41" t="s">
        <v>852</v>
      </c>
      <c r="C168" s="43" t="s">
        <v>430</v>
      </c>
      <c r="D168" s="42"/>
      <c r="E168" s="293">
        <f t="shared" si="149"/>
        <v>2816.07</v>
      </c>
      <c r="F168" s="305">
        <f>'[3]побудинковий звіт'!F168</f>
        <v>2338.0700000000002</v>
      </c>
      <c r="G168" s="508">
        <f>'[3]побудинковий звіт'!G168</f>
        <v>0</v>
      </c>
      <c r="H168" s="560">
        <f>'[3]побудинковий звіт'!H168</f>
        <v>478</v>
      </c>
      <c r="I168" s="566">
        <f>VLOOKUP($A168,'01-02.2021'!$A$6:$CZ$403,9,FALSE)+VLOOKUP($A168,'1.3.21-28.2.22'!$A$6:$DA$404,9,FALSE)-VLOOKUP($A168,'01-02.2022'!$A$6:$DA$376,9,FALSE)</f>
        <v>6005.1429664426378</v>
      </c>
      <c r="J168" s="566">
        <f>VLOOKUP($A168,'01-02.2021'!$A$6:$CZ$403,10,FALSE)+VLOOKUP($A168,'1.3.21-28.2.22'!$A$6:$DA$404,10,FALSE)-VLOOKUP($A168,'01-02.2022'!$A$6:$DA$376,10,FALSE)</f>
        <v>6704.3129259880752</v>
      </c>
      <c r="K168" s="52">
        <f t="shared" si="155"/>
        <v>699.16995954543745</v>
      </c>
      <c r="L168" s="566">
        <f>VLOOKUP($A168,'01-02.2021'!$A$6:$CZ$403,12,FALSE)+VLOOKUP($A168,'1.3.21-28.2.22'!$A$6:$DA$404,12,FALSE)-VLOOKUP($A168,'01-02.2022'!$A$6:$DA$376,12,FALSE)</f>
        <v>1248.8022406633841</v>
      </c>
      <c r="M168" s="566">
        <f>VLOOKUP($A168,'01-02.2021'!$A$6:$CZ$403,13,FALSE)+VLOOKUP($A168,'1.3.21-28.2.22'!$A$6:$DA$404,13,FALSE)-VLOOKUP($A168,'01-02.2022'!$A$6:$DA$376,13,FALSE)</f>
        <v>1374.9855101510923</v>
      </c>
      <c r="N168" s="52">
        <f t="shared" si="156"/>
        <v>126.18326948770823</v>
      </c>
      <c r="O168" s="566">
        <f>VLOOKUP($A168,'01-02.2021'!$A$6:$CZ$403,15,FALSE)+VLOOKUP($A168,'1.3.21-28.2.22'!$A$6:$DA$404,15,FALSE)-VLOOKUP($A168,'01-02.2022'!$A$6:$DA$376,15,FALSE)</f>
        <v>3300.7900000000004</v>
      </c>
      <c r="P168" s="566">
        <f>VLOOKUP($A168,'01-02.2021'!$A$6:$CZ$403,16,FALSE)+VLOOKUP($A168,'1.3.21-28.2.22'!$A$6:$DA$404,16,FALSE)-VLOOKUP($A168,'01-02.2022'!$A$6:$DA$376,16,FALSE)</f>
        <v>3300.7900000000004</v>
      </c>
      <c r="Q168" s="70">
        <f t="shared" si="176"/>
        <v>0</v>
      </c>
      <c r="R168" s="566">
        <f>VLOOKUP($A168,'01-02.2021'!$A$6:$CZ$403,18,FALSE)+VLOOKUP($A168,'1.3.21-28.2.22'!$A$6:$DA$404,18,FALSE)-VLOOKUP($A168,'01-02.2022'!$A$6:$DA$376,18,FALSE)</f>
        <v>975.26999999999975</v>
      </c>
      <c r="S168" s="566">
        <f>VLOOKUP($A168,'01-02.2021'!$A$6:$CZ$403,19,FALSE)+VLOOKUP($A168,'1.3.21-28.2.22'!$A$6:$DA$404,19,FALSE)-VLOOKUP($A168,'01-02.2022'!$A$6:$DA$376,19,FALSE)</f>
        <v>975.26999999999975</v>
      </c>
      <c r="T168" s="70">
        <f t="shared" si="177"/>
        <v>0</v>
      </c>
      <c r="U168" s="566">
        <f>VLOOKUP($A168,'01-02.2021'!$A$6:$CZ$403,21,FALSE)+VLOOKUP($A168,'1.3.21-28.2.22'!$A$6:$DA$404,21,FALSE)-VLOOKUP($A168,'01-02.2022'!$A$6:$DA$376,21,FALSE)</f>
        <v>0</v>
      </c>
      <c r="V168" s="566">
        <f>VLOOKUP($A168,'01-02.2021'!$A$6:$CZ$403,22,FALSE)+VLOOKUP($A168,'1.3.21-28.2.22'!$A$6:$DA$404,22,FALSE)-VLOOKUP($A168,'01-02.2022'!$A$6:$DA$376,22,FALSE)</f>
        <v>0</v>
      </c>
      <c r="W168" s="70">
        <f t="shared" si="178"/>
        <v>0</v>
      </c>
      <c r="X168" s="566">
        <f>VLOOKUP($A168,'01-02.2021'!$A$6:$CZ$403,24,FALSE)+VLOOKUP($A168,'1.3.21-28.2.22'!$A$6:$DA$404,24,FALSE)-VLOOKUP($A168,'01-02.2022'!$A$6:$DA$376,24,FALSE)</f>
        <v>4586.0226251963641</v>
      </c>
      <c r="Y168" s="566">
        <f>VLOOKUP($A168,'01-02.2021'!$A$6:$CZ$403,25,FALSE)+VLOOKUP($A168,'1.3.21-28.2.22'!$A$6:$DA$404,25,FALSE)-VLOOKUP($A168,'01-02.2022'!$A$6:$DA$376,25,FALSE)</f>
        <v>5186.4745056176143</v>
      </c>
      <c r="Z168" s="70">
        <f t="shared" si="179"/>
        <v>600.45188042125028</v>
      </c>
      <c r="AA168" s="566">
        <f>VLOOKUP($A168,'01-02.2021'!$A$6:$CZ$403,27,FALSE)+VLOOKUP($A168,'1.3.21-28.2.22'!$A$6:$DA$404,27,FALSE)-VLOOKUP($A168,'01-02.2022'!$A$6:$DA$376,27,FALSE)</f>
        <v>549.94999999999993</v>
      </c>
      <c r="AB168" s="566">
        <f>VLOOKUP($A168,'01-02.2021'!$A$6:$CZ$403,28,FALSE)+VLOOKUP($A168,'1.3.21-28.2.22'!$A$6:$DA$404,28,FALSE)-VLOOKUP($A168,'01-02.2022'!$A$6:$DA$376,28,FALSE)</f>
        <v>0</v>
      </c>
      <c r="AC168" s="70">
        <f t="shared" si="180"/>
        <v>-549.94999999999993</v>
      </c>
      <c r="AD168" s="566">
        <f>VLOOKUP($A168,'01-02.2021'!$A$6:$CZ$403,30,FALSE)+VLOOKUP($A168,'1.3.21-28.2.22'!$A$6:$DA$404,30,FALSE)-VLOOKUP($A168,'01-02.2022'!$A$6:$DA$376,30,FALSE)</f>
        <v>11935.440528330751</v>
      </c>
      <c r="AE168" s="566">
        <f>VLOOKUP($A168,'01-02.2021'!$A$6:$CZ$403,31,FALSE)+VLOOKUP($A168,'1.3.21-28.2.22'!$A$6:$DA$404,31,FALSE)-VLOOKUP($A168,'01-02.2022'!$A$6:$DA$376,31,FALSE)</f>
        <v>12818.864105797462</v>
      </c>
      <c r="AF168" s="68">
        <f t="shared" si="181"/>
        <v>883.42357746671041</v>
      </c>
      <c r="AG168" s="77">
        <f t="shared" si="150"/>
        <v>28601.418360633143</v>
      </c>
      <c r="AH168" s="53">
        <f t="shared" si="150"/>
        <v>30360.69704755424</v>
      </c>
      <c r="AI168" s="52">
        <f t="shared" si="157"/>
        <v>1759.2786869210977</v>
      </c>
      <c r="AJ168" s="566">
        <f>VLOOKUP($A168,'01-02.2021'!$A$6:$CZ$403,36,FALSE)+VLOOKUP($A168,'1.3.21-28.2.22'!$A$6:$DA$404,36,FALSE)-VLOOKUP($A168,'01-02.2022'!$A$6:$DA$376,36,FALSE)</f>
        <v>0</v>
      </c>
      <c r="AK168" s="566">
        <f>VLOOKUP($A168,'01-02.2021'!$A$6:$CZ$403,37,FALSE)+VLOOKUP($A168,'1.3.21-28.2.22'!$A$6:$DA$404,37,FALSE)-VLOOKUP($A168,'01-02.2022'!$A$6:$DA$376,37,FALSE)</f>
        <v>0</v>
      </c>
      <c r="AL168" s="70">
        <f t="shared" si="182"/>
        <v>0</v>
      </c>
      <c r="AM168" s="566">
        <f>VLOOKUP($A168,'01-02.2021'!$A$6:$CZ$403,39,FALSE)+VLOOKUP($A168,'1.3.21-28.2.22'!$A$6:$DA$404,39,FALSE)-VLOOKUP($A168,'01-02.2022'!$A$6:$DA$376,39,FALSE)</f>
        <v>0</v>
      </c>
      <c r="AN168" s="566">
        <f>VLOOKUP($A168,'01-02.2021'!$A$6:$CZ$403,40,FALSE)+VLOOKUP($A168,'1.3.21-28.2.22'!$A$6:$DA$404,40,FALSE)-VLOOKUP($A168,'01-02.2022'!$A$6:$DA$376,40,FALSE)</f>
        <v>0</v>
      </c>
      <c r="AO168" s="70">
        <f t="shared" si="183"/>
        <v>0</v>
      </c>
      <c r="AP168" s="566">
        <f>VLOOKUP($A168,'01-02.2021'!$A$6:$CZ$403,42,FALSE)+VLOOKUP($A168,'1.3.21-28.2.22'!$A$6:$DA$404,42,FALSE)-VLOOKUP($A168,'01-02.2022'!$A$6:$DA$376,42,FALSE)</f>
        <v>1431.5397937851376</v>
      </c>
      <c r="AQ168" s="566">
        <f>VLOOKUP($A168,'01-02.2021'!$A$6:$CZ$403,43,FALSE)+VLOOKUP($A168,'1.3.21-28.2.22'!$A$6:$DA$404,43,FALSE)-VLOOKUP($A168,'01-02.2022'!$A$6:$DA$376,43,FALSE)</f>
        <v>1233.1495860165594</v>
      </c>
      <c r="AR168" s="70">
        <f t="shared" si="184"/>
        <v>-198.39020776857819</v>
      </c>
      <c r="AS168" s="566">
        <f>VLOOKUP($A168,'01-02.2021'!$A$6:$CZ$403,45,FALSE)+VLOOKUP($A168,'1.3.21-28.2.22'!$A$6:$DA$404,45,FALSE)-VLOOKUP($A168,'01-02.2022'!$A$6:$DA$376,45,FALSE)</f>
        <v>27595.288596656141</v>
      </c>
      <c r="AT168" s="566">
        <f>VLOOKUP($A168,'01-02.2021'!$A$6:$CZ$403,46,FALSE)+VLOOKUP($A168,'1.3.21-28.2.22'!$A$6:$DA$404,46,FALSE)-VLOOKUP($A168,'01-02.2022'!$A$6:$DA$376,46,FALSE)</f>
        <v>475.29951040803013</v>
      </c>
      <c r="AU168" s="78">
        <f t="shared" si="185"/>
        <v>-27119.989086248112</v>
      </c>
      <c r="AV168" s="566">
        <f>VLOOKUP($A168,'01-02.2021'!$A$6:$CZ$403,48,FALSE)+VLOOKUP($A168,'1.3.21-28.2.22'!$A$6:$DA$404,48,FALSE)-VLOOKUP($A168,'01-02.2022'!$A$6:$DA$376,48,FALSE)</f>
        <v>1733.1215515514173</v>
      </c>
      <c r="AW168" s="566">
        <f>VLOOKUP($A168,'01-02.2021'!$A$6:$CZ$403,49,FALSE)+VLOOKUP($A168,'1.3.21-28.2.22'!$A$6:$DA$404,49,FALSE)-VLOOKUP($A168,'01-02.2022'!$A$6:$DA$376,49,FALSE)</f>
        <v>2403</v>
      </c>
      <c r="AX168" s="55">
        <f t="shared" si="186"/>
        <v>669.87844844858273</v>
      </c>
      <c r="AY168" s="566">
        <f>VLOOKUP($A168,'01-02.2021'!$A$6:$CZ$403,51,FALSE)+VLOOKUP($A168,'1.3.21-28.2.22'!$A$6:$DA$404,51,FALSE)-VLOOKUP($A168,'01-02.2022'!$A$6:$DA$376,51,FALSE)</f>
        <v>2347.5524202022425</v>
      </c>
      <c r="AZ168" s="566">
        <f>VLOOKUP($A168,'01-02.2021'!$A$6:$CZ$403,52,FALSE)+VLOOKUP($A168,'1.3.21-28.2.22'!$A$6:$DA$404,52,FALSE)-VLOOKUP($A168,'01-02.2022'!$A$6:$DA$376,52,FALSE)</f>
        <v>1643</v>
      </c>
      <c r="BA168" s="38">
        <f t="shared" si="187"/>
        <v>-704.5524202022425</v>
      </c>
      <c r="BB168" s="566">
        <f>VLOOKUP($A168,'01-02.2021'!$A$6:$CZ$403,54,FALSE)+VLOOKUP($A168,'1.3.21-28.2.22'!$A$6:$DA$404,54,FALSE)-VLOOKUP($A168,'01-02.2022'!$A$6:$DA$376,54,FALSE)</f>
        <v>1732.9101951027631</v>
      </c>
      <c r="BC168" s="566">
        <f>VLOOKUP($A168,'01-02.2021'!$A$6:$CZ$403,55,FALSE)+VLOOKUP($A168,'1.3.21-28.2.22'!$A$6:$DA$404,55,FALSE)-VLOOKUP($A168,'01-02.2022'!$A$6:$DA$376,55,FALSE)</f>
        <v>245</v>
      </c>
      <c r="BD168" s="55">
        <f t="shared" si="188"/>
        <v>-1487.9101951027631</v>
      </c>
      <c r="BE168" s="566">
        <f>VLOOKUP($A168,'01-02.2021'!$A$6:$CZ$403,57,FALSE)+VLOOKUP($A168,'1.3.21-28.2.22'!$A$6:$DA$404,57,FALSE)-VLOOKUP($A168,'01-02.2022'!$A$6:$DA$376,57,FALSE)</f>
        <v>2645.5412957875487</v>
      </c>
      <c r="BF168" s="566">
        <f>VLOOKUP($A168,'01-02.2021'!$A$6:$CZ$403,58,FALSE)+VLOOKUP($A168,'1.3.21-28.2.22'!$A$6:$DA$404,58,FALSE)-VLOOKUP($A168,'01-02.2022'!$A$6:$DA$376,58,FALSE)</f>
        <v>0</v>
      </c>
      <c r="BG168" s="55">
        <f t="shared" si="189"/>
        <v>-2645.5412957875487</v>
      </c>
      <c r="BH168" s="566">
        <f>VLOOKUP($A168,'01-02.2021'!$A$6:$CZ$403,60,FALSE)+VLOOKUP($A168,'1.3.21-28.2.22'!$A$6:$DA$404,60,FALSE)-VLOOKUP($A168,'01-02.2022'!$A$6:$DA$376,60,FALSE)</f>
        <v>0</v>
      </c>
      <c r="BI168" s="566">
        <f>VLOOKUP($A168,'01-02.2021'!$A$6:$CZ$403,61,FALSE)+VLOOKUP($A168,'1.3.21-28.2.22'!$A$6:$DA$404,61,FALSE)-VLOOKUP($A168,'01-02.2022'!$A$6:$DA$376,61,FALSE)</f>
        <v>0</v>
      </c>
      <c r="BJ168" s="55">
        <f t="shared" si="190"/>
        <v>0</v>
      </c>
      <c r="BK168" s="566">
        <f>VLOOKUP($A168,'01-02.2021'!$A$6:$CZ$403,63,FALSE)+VLOOKUP($A168,'1.3.21-28.2.22'!$A$6:$DA$404,63,FALSE)-VLOOKUP($A168,'01-02.2022'!$A$6:$DA$376,63,FALSE)</f>
        <v>1303.4939775617784</v>
      </c>
      <c r="BL168" s="566">
        <f>VLOOKUP($A168,'01-02.2021'!$A$6:$CZ$403,64,FALSE)+VLOOKUP($A168,'1.3.21-28.2.22'!$A$6:$DA$404,64,FALSE)-VLOOKUP($A168,'01-02.2022'!$A$6:$DA$376,64,FALSE)</f>
        <v>0</v>
      </c>
      <c r="BM168" s="55">
        <f t="shared" si="191"/>
        <v>-1303.4939775617784</v>
      </c>
      <c r="BN168" s="566">
        <f>VLOOKUP($A168,'01-02.2021'!$A$6:$CZ$403,66,FALSE)+VLOOKUP($A168,'1.3.21-28.2.22'!$A$6:$DA$404,66,FALSE)-VLOOKUP($A168,'01-02.2022'!$A$6:$DA$376,66,FALSE)</f>
        <v>137.5</v>
      </c>
      <c r="BO168" s="566">
        <f>VLOOKUP($A168,'01-02.2021'!$A$6:$CZ$403,67,FALSE)+VLOOKUP($A168,'1.3.21-28.2.22'!$A$6:$DA$404,67,FALSE)-VLOOKUP($A168,'01-02.2022'!$A$6:$DA$376,67,FALSE)</f>
        <v>0</v>
      </c>
      <c r="BP168" s="55">
        <f t="shared" si="192"/>
        <v>-137.5</v>
      </c>
      <c r="BQ168" s="77">
        <f t="shared" ref="BQ168:BQ228" si="209">AV168+AY168+BB168+BE168+BH168+BK168+BN168</f>
        <v>9900.1194402057499</v>
      </c>
      <c r="BR168" s="40">
        <f t="shared" si="205"/>
        <v>4291</v>
      </c>
      <c r="BS168" s="55">
        <f t="shared" si="166"/>
        <v>-5609.1194402057499</v>
      </c>
      <c r="BT168" s="566">
        <f>VLOOKUP($A168,'01-02.2021'!$A$6:$CZ$403,72,FALSE)+VLOOKUP($A168,'1.3.21-28.2.22'!$A$6:$DA$404,72,FALSE)-VLOOKUP($A168,'01-02.2022'!$A$6:$DA$376,72,FALSE)</f>
        <v>28095.997538364732</v>
      </c>
      <c r="BU168" s="566">
        <f>VLOOKUP($A168,'01-02.2021'!$A$6:$CZ$403,73,FALSE)+VLOOKUP($A168,'1.3.21-28.2.22'!$A$6:$DA$404,73,FALSE)-VLOOKUP($A168,'01-02.2022'!$A$6:$DA$376,73,FALSE)</f>
        <v>35453.650968137517</v>
      </c>
      <c r="BV168" s="70">
        <f t="shared" si="193"/>
        <v>7357.6534297727849</v>
      </c>
      <c r="BW168" s="566">
        <f>VLOOKUP($A168,'01-02.2021'!$A$6:$CZ$403,75,FALSE)+VLOOKUP($A168,'1.3.21-28.2.22'!$A$6:$DA$404,75,FALSE)-VLOOKUP($A168,'01-02.2022'!$A$6:$DA$376,75,FALSE)</f>
        <v>17700.507604763199</v>
      </c>
      <c r="BX168" s="566">
        <f>VLOOKUP($A168,'01-02.2021'!$A$6:$CZ$403,76,FALSE)+VLOOKUP($A168,'1.3.21-28.2.22'!$A$6:$DA$404,76,FALSE)-VLOOKUP($A168,'01-02.2022'!$A$6:$DA$376,76,FALSE)</f>
        <v>15969.740275754732</v>
      </c>
      <c r="BY168" s="70">
        <f t="shared" si="194"/>
        <v>-1730.7673290084676</v>
      </c>
      <c r="BZ168" s="566">
        <f>VLOOKUP($A168,'01-02.2021'!$A$6:$CZ$403,78,FALSE)+VLOOKUP($A168,'1.3.21-28.2.22'!$A$6:$DA$404,78,FALSE)-VLOOKUP($A168,'01-02.2022'!$A$6:$DA$376,78,FALSE)</f>
        <v>12817.245845771758</v>
      </c>
      <c r="CA168" s="566">
        <f>VLOOKUP($A168,'01-02.2021'!$A$6:$CZ$403,79,FALSE)+VLOOKUP($A168,'1.3.21-28.2.22'!$A$6:$DA$404,79,FALSE)-VLOOKUP($A168,'01-02.2022'!$A$6:$DA$376,79,FALSE)</f>
        <v>9021.8782426450816</v>
      </c>
      <c r="CB168" s="70">
        <f t="shared" si="195"/>
        <v>-3795.3676031266768</v>
      </c>
      <c r="CC168" s="566">
        <f>VLOOKUP($A168,'01-02.2021'!$A$6:$CZ$403,81,FALSE)+VLOOKUP($A168,'1.3.21-28.2.22'!$A$6:$DA$404,81,FALSE)-VLOOKUP($A168,'01-02.2022'!$A$6:$DA$376,81,FALSE)</f>
        <v>1559.7115144856855</v>
      </c>
      <c r="CD168" s="566">
        <f>VLOOKUP($A168,'01-02.2021'!$A$6:$CZ$403,82,FALSE)+VLOOKUP($A168,'1.3.21-28.2.22'!$A$6:$DA$404,82,FALSE)-VLOOKUP($A168,'01-02.2022'!$A$6:$DA$376,82,FALSE)</f>
        <v>1704.7590218071482</v>
      </c>
      <c r="CE168" s="70">
        <f t="shared" si="196"/>
        <v>145.04750732146272</v>
      </c>
      <c r="CF168" s="566">
        <f>VLOOKUP($A168,'01-02.2021'!$A$6:$CZ$403,84,FALSE)+VLOOKUP($A168,'1.3.21-28.2.22'!$A$6:$DA$404,84,FALSE)-VLOOKUP($A168,'01-02.2022'!$A$6:$DA$376,84,FALSE)</f>
        <v>189.60369023024541</v>
      </c>
      <c r="CG168" s="566">
        <f>VLOOKUP($A168,'01-02.2021'!$A$6:$CZ$403,85,FALSE)+VLOOKUP($A168,'1.3.21-28.2.22'!$A$6:$DA$404,85,FALSE)-VLOOKUP($A168,'01-02.2022'!$A$6:$DA$376,85,FALSE)</f>
        <v>0</v>
      </c>
      <c r="CH168" s="70">
        <f t="shared" si="197"/>
        <v>-189.60369023024541</v>
      </c>
      <c r="CI168" s="566">
        <f>VLOOKUP($A168,'01-02.2021'!$A$6:$CZ$403,87,FALSE)+VLOOKUP($A168,'1.3.21-28.2.22'!$A$6:$DA$404,87,FALSE)-VLOOKUP($A168,'01-02.2022'!$A$6:$DA$376,87,FALSE)</f>
        <v>649.92524695422458</v>
      </c>
      <c r="CJ168" s="566">
        <f>VLOOKUP($A168,'01-02.2021'!$A$6:$CZ$403,88,FALSE)+VLOOKUP($A168,'1.3.21-28.2.22'!$A$6:$DA$404,88,FALSE)-VLOOKUP($A168,'01-02.2022'!$A$6:$DA$376,88,FALSE)</f>
        <v>665.57484237983613</v>
      </c>
      <c r="CK168" s="70">
        <f t="shared" si="198"/>
        <v>15.649595425611551</v>
      </c>
      <c r="CL168" s="566">
        <f>VLOOKUP($A168,'01-02.2021'!$A$6:$CZ$403,90,FALSE)+VLOOKUP($A168,'1.3.21-28.2.22'!$A$6:$DA$404,90,FALSE)-VLOOKUP($A168,'01-02.2022'!$A$6:$DA$376,90,FALSE)</f>
        <v>0</v>
      </c>
      <c r="CM168" s="566">
        <f>VLOOKUP($A168,'01-02.2021'!$A$6:$CZ$403,91,FALSE)+VLOOKUP($A168,'1.3.21-28.2.22'!$A$6:$DA$404,91,FALSE)-VLOOKUP($A168,'01-02.2022'!$A$6:$DA$376,91,FALSE)</f>
        <v>0</v>
      </c>
      <c r="CN168" s="52">
        <f t="shared" si="158"/>
        <v>0</v>
      </c>
      <c r="CO168" s="39">
        <f t="shared" si="153"/>
        <v>649.92524695422458</v>
      </c>
      <c r="CP168" s="40">
        <f t="shared" si="159"/>
        <v>665.57484237983613</v>
      </c>
      <c r="CQ168" s="52">
        <f t="shared" si="160"/>
        <v>15.649595425611551</v>
      </c>
      <c r="CR168" s="72">
        <f t="shared" si="154"/>
        <v>128541.35763185</v>
      </c>
      <c r="CS168" s="5">
        <f t="shared" si="154"/>
        <v>99175.749494703123</v>
      </c>
      <c r="CT168" s="52">
        <f t="shared" si="161"/>
        <v>-29365.608137146875</v>
      </c>
      <c r="CU168" s="77">
        <f t="shared" si="162"/>
        <v>154249.62915821999</v>
      </c>
      <c r="CV168" s="65">
        <f t="shared" si="163"/>
        <v>119010.89939364375</v>
      </c>
      <c r="CW168" s="35">
        <f t="shared" si="164"/>
        <v>-35238.729764576245</v>
      </c>
      <c r="CX168" s="566">
        <f>VLOOKUP($A168,'01-02.2021'!$A$6:$CZ$403,102,FALSE)+VLOOKUP($A168,'1.3.21-28.2.22'!$A$6:$DA$404,102,FALSE)-VLOOKUP($A168,'01-02.2022'!$A$6:$DA$376,102,FALSE)</f>
        <v>6865.0784043348767</v>
      </c>
      <c r="CY168" s="566">
        <f>VLOOKUP($A168,'01-02.2021'!$A$6:$CZ$403,103,FALSE)+VLOOKUP($A168,'1.3.21-28.2.22'!$A$6:$DA$404,103,FALSE)-VLOOKUP($A168,'01-02.2022'!$A$6:$DA$376,103,FALSE)</f>
        <v>42103.808168911135</v>
      </c>
      <c r="CZ168" s="52">
        <f t="shared" si="165"/>
        <v>35238.729764576259</v>
      </c>
      <c r="DA168" s="150">
        <f>'[2]побудинковий звіт'!DA168</f>
        <v>145311.51184811577</v>
      </c>
      <c r="DB168" s="2">
        <v>2</v>
      </c>
      <c r="DC168" s="414">
        <f>'[4]побудинковий звіт'!DC168</f>
        <v>17002.64</v>
      </c>
      <c r="DD168" s="414">
        <f>'[4]побудинковий звіт'!DD168</f>
        <v>9591.5299999999988</v>
      </c>
      <c r="DE168" s="557">
        <f>'[4]побудинковий звіт'!DE168</f>
        <v>4421.9529439999988</v>
      </c>
      <c r="DF168" s="557">
        <f>'[4]побудинковий звіт'!DF168</f>
        <v>7463.3783999999987</v>
      </c>
      <c r="DG168" s="321">
        <f>VLOOKUP(A168,'кошти 01.03.2021'!$A$6:$D$401,4,)</f>
        <v>190198.86412082153</v>
      </c>
      <c r="DH168" s="40">
        <f>'[3]побудинковий звіт'!DJ168</f>
        <v>167187.2434746084</v>
      </c>
      <c r="DI168" s="422">
        <f>'[3]побудинковий звіт'!CU168+'[3]побудинковий звіт'!CX168</f>
        <v>14708.911532078404</v>
      </c>
      <c r="DJ168" s="306">
        <f>'[3]побудинковий звіт'!DM168</f>
        <v>5.3807999999999998</v>
      </c>
      <c r="DK168" s="306">
        <f t="shared" si="206"/>
        <v>5.3807999999999998</v>
      </c>
      <c r="DL168" s="306">
        <f>'[3]побудинковий звіт'!DO168</f>
        <v>4.4522000000000004</v>
      </c>
      <c r="DM168" s="28">
        <f t="shared" si="207"/>
        <v>12580.687056000001</v>
      </c>
      <c r="DN168" s="28">
        <f t="shared" si="208"/>
        <v>2128.1516000000001</v>
      </c>
      <c r="DO168" s="423">
        <f t="shared" si="171"/>
        <v>14708.838656</v>
      </c>
      <c r="DP168" s="94">
        <f t="shared" si="172"/>
        <v>7.2876078404078726E-2</v>
      </c>
      <c r="DQ168" s="28">
        <f t="shared" si="173"/>
        <v>14708.838656</v>
      </c>
      <c r="DR168" s="318"/>
      <c r="DT168" s="8"/>
      <c r="DU168" s="5"/>
      <c r="DX168" s="5">
        <f t="shared" si="174"/>
        <v>44994.489644234265</v>
      </c>
      <c r="DY168" s="5">
        <f t="shared" si="175"/>
        <v>5719.5594124896361</v>
      </c>
      <c r="DZ168" s="159">
        <f>'[3]побудинковий звіт'!EA168</f>
        <v>4319.1674313191816</v>
      </c>
    </row>
    <row r="169" spans="1:130" x14ac:dyDescent="0.3">
      <c r="A169" s="325">
        <v>150001019</v>
      </c>
      <c r="B169" s="41" t="s">
        <v>617</v>
      </c>
      <c r="C169" s="42" t="s">
        <v>420</v>
      </c>
      <c r="D169" s="42"/>
      <c r="E169" s="293">
        <f t="shared" si="149"/>
        <v>6921.8</v>
      </c>
      <c r="F169" s="305">
        <f>'[3]побудинковий звіт'!F169</f>
        <v>6921.8</v>
      </c>
      <c r="G169" s="508">
        <f>'[3]побудинковий звіт'!G169</f>
        <v>646.79999999999995</v>
      </c>
      <c r="H169" s="560">
        <f>'[3]побудинковий звіт'!H169</f>
        <v>0</v>
      </c>
      <c r="I169" s="566">
        <f>VLOOKUP($A169,'01-02.2021'!$A$6:$CZ$403,9,FALSE)+VLOOKUP($A169,'1.3.21-28.2.22'!$A$6:$DA$404,9,FALSE)-VLOOKUP($A169,'01-02.2022'!$A$6:$DA$376,9,FALSE)</f>
        <v>23991.228695288937</v>
      </c>
      <c r="J169" s="566">
        <f>VLOOKUP($A169,'01-02.2021'!$A$6:$CZ$403,10,FALSE)+VLOOKUP($A169,'1.3.21-28.2.22'!$A$6:$DA$404,10,FALSE)-VLOOKUP($A169,'01-02.2022'!$A$6:$DA$376,10,FALSE)</f>
        <v>21258.714318315917</v>
      </c>
      <c r="K169" s="52">
        <f t="shared" si="155"/>
        <v>-2732.5143769730203</v>
      </c>
      <c r="L169" s="566">
        <f>VLOOKUP($A169,'01-02.2021'!$A$6:$CZ$403,12,FALSE)+VLOOKUP($A169,'1.3.21-28.2.22'!$A$6:$DA$404,12,FALSE)-VLOOKUP($A169,'01-02.2022'!$A$6:$DA$376,12,FALSE)</f>
        <v>3805.2333231266316</v>
      </c>
      <c r="M169" s="566">
        <f>VLOOKUP($A169,'01-02.2021'!$A$6:$CZ$403,13,FALSE)+VLOOKUP($A169,'1.3.21-28.2.22'!$A$6:$DA$404,13,FALSE)-VLOOKUP($A169,'01-02.2022'!$A$6:$DA$376,13,FALSE)</f>
        <v>3439.9468050894775</v>
      </c>
      <c r="N169" s="52">
        <f t="shared" si="156"/>
        <v>-365.28651803715411</v>
      </c>
      <c r="O169" s="566">
        <f>VLOOKUP($A169,'01-02.2021'!$A$6:$CZ$403,15,FALSE)+VLOOKUP($A169,'1.3.21-28.2.22'!$A$6:$DA$404,15,FALSE)-VLOOKUP($A169,'01-02.2022'!$A$6:$DA$376,15,FALSE)</f>
        <v>9534.4647434621293</v>
      </c>
      <c r="P169" s="566">
        <f>VLOOKUP($A169,'01-02.2021'!$A$6:$CZ$403,16,FALSE)+VLOOKUP($A169,'1.3.21-28.2.22'!$A$6:$DA$404,16,FALSE)-VLOOKUP($A169,'01-02.2022'!$A$6:$DA$376,16,FALSE)</f>
        <v>9534.4900000000016</v>
      </c>
      <c r="Q169" s="70">
        <f t="shared" si="176"/>
        <v>2.5256537872337503E-2</v>
      </c>
      <c r="R169" s="566">
        <f>VLOOKUP($A169,'01-02.2021'!$A$6:$CZ$403,18,FALSE)+VLOOKUP($A169,'1.3.21-28.2.22'!$A$6:$DA$404,18,FALSE)-VLOOKUP($A169,'01-02.2022'!$A$6:$DA$376,18,FALSE)</f>
        <v>2003.2049230622426</v>
      </c>
      <c r="S169" s="566">
        <f>VLOOKUP($A169,'01-02.2021'!$A$6:$CZ$403,19,FALSE)+VLOOKUP($A169,'1.3.21-28.2.22'!$A$6:$DA$404,19,FALSE)-VLOOKUP($A169,'01-02.2022'!$A$6:$DA$376,19,FALSE)</f>
        <v>2003.1700000000008</v>
      </c>
      <c r="T169" s="70">
        <f t="shared" si="177"/>
        <v>-3.4923062241887237E-2</v>
      </c>
      <c r="U169" s="566">
        <f>VLOOKUP($A169,'01-02.2021'!$A$6:$CZ$403,21,FALSE)+VLOOKUP($A169,'1.3.21-28.2.22'!$A$6:$DA$404,21,FALSE)-VLOOKUP($A169,'01-02.2022'!$A$6:$DA$376,21,FALSE)</f>
        <v>1075.9180300625719</v>
      </c>
      <c r="V169" s="566">
        <f>VLOOKUP($A169,'01-02.2021'!$A$6:$CZ$403,22,FALSE)+VLOOKUP($A169,'1.3.21-28.2.22'!$A$6:$DA$404,22,FALSE)-VLOOKUP($A169,'01-02.2022'!$A$6:$DA$376,22,FALSE)</f>
        <v>700.93858128792795</v>
      </c>
      <c r="W169" s="70">
        <f t="shared" si="178"/>
        <v>-374.97944877464397</v>
      </c>
      <c r="X169" s="566">
        <f>VLOOKUP($A169,'01-02.2021'!$A$6:$CZ$403,24,FALSE)+VLOOKUP($A169,'1.3.21-28.2.22'!$A$6:$DA$404,24,FALSE)-VLOOKUP($A169,'01-02.2022'!$A$6:$DA$376,24,FALSE)</f>
        <v>9688.0140748519243</v>
      </c>
      <c r="Y169" s="566">
        <f>VLOOKUP($A169,'01-02.2021'!$A$6:$CZ$403,25,FALSE)+VLOOKUP($A169,'1.3.21-28.2.22'!$A$6:$DA$404,25,FALSE)-VLOOKUP($A169,'01-02.2022'!$A$6:$DA$376,25,FALSE)</f>
        <v>7504.7109460018874</v>
      </c>
      <c r="Z169" s="70">
        <f t="shared" si="179"/>
        <v>-2183.303128850037</v>
      </c>
      <c r="AA169" s="566">
        <f>VLOOKUP($A169,'01-02.2021'!$A$6:$CZ$403,27,FALSE)+VLOOKUP($A169,'1.3.21-28.2.22'!$A$6:$DA$404,27,FALSE)-VLOOKUP($A169,'01-02.2022'!$A$6:$DA$376,27,FALSE)</f>
        <v>1384.4</v>
      </c>
      <c r="AB169" s="566">
        <f>VLOOKUP($A169,'01-02.2021'!$A$6:$CZ$403,28,FALSE)+VLOOKUP($A169,'1.3.21-28.2.22'!$A$6:$DA$404,28,FALSE)-VLOOKUP($A169,'01-02.2022'!$A$6:$DA$376,28,FALSE)</f>
        <v>0</v>
      </c>
      <c r="AC169" s="70">
        <f t="shared" si="180"/>
        <v>-1384.4</v>
      </c>
      <c r="AD169" s="566">
        <f>VLOOKUP($A169,'01-02.2021'!$A$6:$CZ$403,30,FALSE)+VLOOKUP($A169,'1.3.21-28.2.22'!$A$6:$DA$404,30,FALSE)-VLOOKUP($A169,'01-02.2022'!$A$6:$DA$376,30,FALSE)</f>
        <v>29731.413012574463</v>
      </c>
      <c r="AE169" s="566">
        <f>VLOOKUP($A169,'01-02.2021'!$A$6:$CZ$403,31,FALSE)+VLOOKUP($A169,'1.3.21-28.2.22'!$A$6:$DA$404,31,FALSE)-VLOOKUP($A169,'01-02.2022'!$A$6:$DA$376,31,FALSE)</f>
        <v>31508.312494898513</v>
      </c>
      <c r="AF169" s="68">
        <f t="shared" si="181"/>
        <v>1776.89948232405</v>
      </c>
      <c r="AG169" s="77">
        <f t="shared" si="150"/>
        <v>81213.876802428902</v>
      </c>
      <c r="AH169" s="53">
        <f t="shared" si="150"/>
        <v>75950.283145593712</v>
      </c>
      <c r="AI169" s="52">
        <f t="shared" si="157"/>
        <v>-5263.5936568351899</v>
      </c>
      <c r="AJ169" s="566">
        <f>VLOOKUP($A169,'01-02.2021'!$A$6:$CZ$403,36,FALSE)+VLOOKUP($A169,'1.3.21-28.2.22'!$A$6:$DA$404,36,FALSE)-VLOOKUP($A169,'01-02.2022'!$A$6:$DA$376,36,FALSE)</f>
        <v>49094.354829363852</v>
      </c>
      <c r="AK169" s="566">
        <f>VLOOKUP($A169,'01-02.2021'!$A$6:$CZ$403,37,FALSE)+VLOOKUP($A169,'1.3.21-28.2.22'!$A$6:$DA$404,37,FALSE)-VLOOKUP($A169,'01-02.2022'!$A$6:$DA$376,37,FALSE)</f>
        <v>48772.434183694641</v>
      </c>
      <c r="AL169" s="70">
        <f t="shared" si="182"/>
        <v>-321.92064566921181</v>
      </c>
      <c r="AM169" s="566">
        <f>VLOOKUP($A169,'01-02.2021'!$A$6:$CZ$403,39,FALSE)+VLOOKUP($A169,'1.3.21-28.2.22'!$A$6:$DA$404,39,FALSE)-VLOOKUP($A169,'01-02.2022'!$A$6:$DA$376,39,FALSE)</f>
        <v>0</v>
      </c>
      <c r="AN169" s="566">
        <f>VLOOKUP($A169,'01-02.2021'!$A$6:$CZ$403,40,FALSE)+VLOOKUP($A169,'1.3.21-28.2.22'!$A$6:$DA$404,40,FALSE)-VLOOKUP($A169,'01-02.2022'!$A$6:$DA$376,40,FALSE)</f>
        <v>0</v>
      </c>
      <c r="AO169" s="70">
        <f t="shared" si="183"/>
        <v>0</v>
      </c>
      <c r="AP169" s="566">
        <f>VLOOKUP($A169,'01-02.2021'!$A$6:$CZ$403,42,FALSE)+VLOOKUP($A169,'1.3.21-28.2.22'!$A$6:$DA$404,42,FALSE)-VLOOKUP($A169,'01-02.2022'!$A$6:$DA$376,42,FALSE)</f>
        <v>5118.8392626256446</v>
      </c>
      <c r="AQ169" s="566">
        <f>VLOOKUP($A169,'01-02.2021'!$A$6:$CZ$403,43,FALSE)+VLOOKUP($A169,'1.3.21-28.2.22'!$A$6:$DA$404,43,FALSE)-VLOOKUP($A169,'01-02.2022'!$A$6:$DA$376,43,FALSE)</f>
        <v>4278.2974665696784</v>
      </c>
      <c r="AR169" s="70">
        <f t="shared" si="184"/>
        <v>-840.54179605596619</v>
      </c>
      <c r="AS169" s="566">
        <f>VLOOKUP($A169,'01-02.2021'!$A$6:$CZ$403,45,FALSE)+VLOOKUP($A169,'1.3.21-28.2.22'!$A$6:$DA$404,45,FALSE)-VLOOKUP($A169,'01-02.2022'!$A$6:$DA$376,45,FALSE)</f>
        <v>81256.97170148947</v>
      </c>
      <c r="AT169" s="566">
        <f>VLOOKUP($A169,'01-02.2021'!$A$6:$CZ$403,46,FALSE)+VLOOKUP($A169,'1.3.21-28.2.22'!$A$6:$DA$404,46,FALSE)-VLOOKUP($A169,'01-02.2022'!$A$6:$DA$376,46,FALSE)</f>
        <v>199171.02</v>
      </c>
      <c r="AU169" s="78">
        <f t="shared" si="185"/>
        <v>117914.04829851052</v>
      </c>
      <c r="AV169" s="566">
        <f>VLOOKUP($A169,'01-02.2021'!$A$6:$CZ$403,48,FALSE)+VLOOKUP($A169,'1.3.21-28.2.22'!$A$6:$DA$404,48,FALSE)-VLOOKUP($A169,'01-02.2022'!$A$6:$DA$376,48,FALSE)</f>
        <v>5034.2277753240951</v>
      </c>
      <c r="AW169" s="566">
        <f>VLOOKUP($A169,'01-02.2021'!$A$6:$CZ$403,49,FALSE)+VLOOKUP($A169,'1.3.21-28.2.22'!$A$6:$DA$404,49,FALSE)-VLOOKUP($A169,'01-02.2022'!$A$6:$DA$376,49,FALSE)</f>
        <v>2045</v>
      </c>
      <c r="AX169" s="55">
        <f t="shared" si="186"/>
        <v>-2989.2277753240951</v>
      </c>
      <c r="AY169" s="566">
        <f>VLOOKUP($A169,'01-02.2021'!$A$6:$CZ$403,51,FALSE)+VLOOKUP($A169,'1.3.21-28.2.22'!$A$6:$DA$404,51,FALSE)-VLOOKUP($A169,'01-02.2022'!$A$6:$DA$376,51,FALSE)</f>
        <v>5370.0153603535045</v>
      </c>
      <c r="AZ169" s="566">
        <f>VLOOKUP($A169,'01-02.2021'!$A$6:$CZ$403,52,FALSE)+VLOOKUP($A169,'1.3.21-28.2.22'!$A$6:$DA$404,52,FALSE)-VLOOKUP($A169,'01-02.2022'!$A$6:$DA$376,52,FALSE)</f>
        <v>0</v>
      </c>
      <c r="BA169" s="38">
        <f t="shared" si="187"/>
        <v>-5370.0153603535045</v>
      </c>
      <c r="BB169" s="566">
        <f>VLOOKUP($A169,'01-02.2021'!$A$6:$CZ$403,54,FALSE)+VLOOKUP($A169,'1.3.21-28.2.22'!$A$6:$DA$404,54,FALSE)-VLOOKUP($A169,'01-02.2022'!$A$6:$DA$376,54,FALSE)</f>
        <v>2742.7274765895313</v>
      </c>
      <c r="BC169" s="566">
        <f>VLOOKUP($A169,'01-02.2021'!$A$6:$CZ$403,55,FALSE)+VLOOKUP($A169,'1.3.21-28.2.22'!$A$6:$DA$404,55,FALSE)-VLOOKUP($A169,'01-02.2022'!$A$6:$DA$376,55,FALSE)</f>
        <v>0</v>
      </c>
      <c r="BD169" s="55">
        <f t="shared" si="188"/>
        <v>-2742.7274765895313</v>
      </c>
      <c r="BE169" s="566">
        <f>VLOOKUP($A169,'01-02.2021'!$A$6:$CZ$403,57,FALSE)+VLOOKUP($A169,'1.3.21-28.2.22'!$A$6:$DA$404,57,FALSE)-VLOOKUP($A169,'01-02.2022'!$A$6:$DA$376,57,FALSE)</f>
        <v>4125.6086211661823</v>
      </c>
      <c r="BF169" s="566">
        <f>VLOOKUP($A169,'01-02.2021'!$A$6:$CZ$403,58,FALSE)+VLOOKUP($A169,'1.3.21-28.2.22'!$A$6:$DA$404,58,FALSE)-VLOOKUP($A169,'01-02.2022'!$A$6:$DA$376,58,FALSE)</f>
        <v>0</v>
      </c>
      <c r="BG169" s="55">
        <f t="shared" si="189"/>
        <v>-4125.6086211661823</v>
      </c>
      <c r="BH169" s="566">
        <f>VLOOKUP($A169,'01-02.2021'!$A$6:$CZ$403,60,FALSE)+VLOOKUP($A169,'1.3.21-28.2.22'!$A$6:$DA$404,60,FALSE)-VLOOKUP($A169,'01-02.2022'!$A$6:$DA$376,60,FALSE)</f>
        <v>2044.0317862356446</v>
      </c>
      <c r="BI169" s="566">
        <f>VLOOKUP($A169,'01-02.2021'!$A$6:$CZ$403,61,FALSE)+VLOOKUP($A169,'1.3.21-28.2.22'!$A$6:$DA$404,61,FALSE)-VLOOKUP($A169,'01-02.2022'!$A$6:$DA$376,61,FALSE)</f>
        <v>0</v>
      </c>
      <c r="BJ169" s="55">
        <f t="shared" si="190"/>
        <v>-2044.0317862356446</v>
      </c>
      <c r="BK169" s="566">
        <f>VLOOKUP($A169,'01-02.2021'!$A$6:$CZ$403,63,FALSE)+VLOOKUP($A169,'1.3.21-28.2.22'!$A$6:$DA$404,63,FALSE)-VLOOKUP($A169,'01-02.2022'!$A$6:$DA$376,63,FALSE)</f>
        <v>2984.3774093195889</v>
      </c>
      <c r="BL169" s="566">
        <f>VLOOKUP($A169,'01-02.2021'!$A$6:$CZ$403,64,FALSE)+VLOOKUP($A169,'1.3.21-28.2.22'!$A$6:$DA$404,64,FALSE)-VLOOKUP($A169,'01-02.2022'!$A$6:$DA$376,64,FALSE)</f>
        <v>0</v>
      </c>
      <c r="BM169" s="55">
        <f t="shared" si="191"/>
        <v>-2984.3774093195889</v>
      </c>
      <c r="BN169" s="566">
        <f>VLOOKUP($A169,'01-02.2021'!$A$6:$CZ$403,66,FALSE)+VLOOKUP($A169,'1.3.21-28.2.22'!$A$6:$DA$404,66,FALSE)-VLOOKUP($A169,'01-02.2022'!$A$6:$DA$376,66,FALSE)</f>
        <v>622.09789041264105</v>
      </c>
      <c r="BO169" s="566">
        <f>VLOOKUP($A169,'01-02.2021'!$A$6:$CZ$403,67,FALSE)+VLOOKUP($A169,'1.3.21-28.2.22'!$A$6:$DA$404,67,FALSE)-VLOOKUP($A169,'01-02.2022'!$A$6:$DA$376,67,FALSE)</f>
        <v>0</v>
      </c>
      <c r="BP169" s="55">
        <f t="shared" si="192"/>
        <v>-622.09789041264105</v>
      </c>
      <c r="BQ169" s="77">
        <f t="shared" si="209"/>
        <v>22923.086319401191</v>
      </c>
      <c r="BR169" s="40">
        <f t="shared" ref="BR169:BR197" si="210">AW169+AZ169+BC169+BF169+BI169+BL169+BO169</f>
        <v>2045</v>
      </c>
      <c r="BS169" s="55">
        <f t="shared" si="166"/>
        <v>-20878.086319401191</v>
      </c>
      <c r="BT169" s="566">
        <f>VLOOKUP($A169,'01-02.2021'!$A$6:$CZ$403,72,FALSE)+VLOOKUP($A169,'1.3.21-28.2.22'!$A$6:$DA$404,72,FALSE)-VLOOKUP($A169,'01-02.2022'!$A$6:$DA$376,72,FALSE)</f>
        <v>77295.733413043796</v>
      </c>
      <c r="BU169" s="566">
        <f>VLOOKUP($A169,'01-02.2021'!$A$6:$CZ$403,73,FALSE)+VLOOKUP($A169,'1.3.21-28.2.22'!$A$6:$DA$404,73,FALSE)-VLOOKUP($A169,'01-02.2022'!$A$6:$DA$376,73,FALSE)</f>
        <v>79164.901760331966</v>
      </c>
      <c r="BV169" s="70">
        <f t="shared" si="193"/>
        <v>1869.1683472881705</v>
      </c>
      <c r="BW169" s="566">
        <f>VLOOKUP($A169,'01-02.2021'!$A$6:$CZ$403,75,FALSE)+VLOOKUP($A169,'1.3.21-28.2.22'!$A$6:$DA$404,75,FALSE)-VLOOKUP($A169,'01-02.2022'!$A$6:$DA$376,75,FALSE)</f>
        <v>59271.665405891545</v>
      </c>
      <c r="BX169" s="566">
        <f>VLOOKUP($A169,'01-02.2021'!$A$6:$CZ$403,76,FALSE)+VLOOKUP($A169,'1.3.21-28.2.22'!$A$6:$DA$404,76,FALSE)-VLOOKUP($A169,'01-02.2022'!$A$6:$DA$376,76,FALSE)</f>
        <v>50349.668515441423</v>
      </c>
      <c r="BY169" s="70">
        <f t="shared" si="194"/>
        <v>-8921.996890450122</v>
      </c>
      <c r="BZ169" s="566">
        <f>VLOOKUP($A169,'01-02.2021'!$A$6:$CZ$403,78,FALSE)+VLOOKUP($A169,'1.3.21-28.2.22'!$A$6:$DA$404,78,FALSE)-VLOOKUP($A169,'01-02.2022'!$A$6:$DA$376,78,FALSE)</f>
        <v>17391.786312902623</v>
      </c>
      <c r="CA169" s="566">
        <f>VLOOKUP($A169,'01-02.2021'!$A$6:$CZ$403,79,FALSE)+VLOOKUP($A169,'1.3.21-28.2.22'!$A$6:$DA$404,79,FALSE)-VLOOKUP($A169,'01-02.2022'!$A$6:$DA$376,79,FALSE)</f>
        <v>11621.791114607844</v>
      </c>
      <c r="CB169" s="70">
        <f t="shared" si="195"/>
        <v>-5769.9951982947787</v>
      </c>
      <c r="CC169" s="566">
        <f>VLOOKUP($A169,'01-02.2021'!$A$6:$CZ$403,81,FALSE)+VLOOKUP($A169,'1.3.21-28.2.22'!$A$6:$DA$404,81,FALSE)-VLOOKUP($A169,'01-02.2022'!$A$6:$DA$376,81,FALSE)</f>
        <v>1449.6650043147979</v>
      </c>
      <c r="CD169" s="566">
        <f>VLOOKUP($A169,'01-02.2021'!$A$6:$CZ$403,82,FALSE)+VLOOKUP($A169,'1.3.21-28.2.22'!$A$6:$DA$404,82,FALSE)-VLOOKUP($A169,'01-02.2022'!$A$6:$DA$376,82,FALSE)</f>
        <v>1561.7227340185341</v>
      </c>
      <c r="CE169" s="70">
        <f t="shared" si="196"/>
        <v>112.05772970373619</v>
      </c>
      <c r="CF169" s="566">
        <f>VLOOKUP($A169,'01-02.2021'!$A$6:$CZ$403,84,FALSE)+VLOOKUP($A169,'1.3.21-28.2.22'!$A$6:$DA$404,84,FALSE)-VLOOKUP($A169,'01-02.2022'!$A$6:$DA$376,84,FALSE)</f>
        <v>173.70611243695424</v>
      </c>
      <c r="CG169" s="566">
        <f>VLOOKUP($A169,'01-02.2021'!$A$6:$CZ$403,85,FALSE)+VLOOKUP($A169,'1.3.21-28.2.22'!$A$6:$DA$404,85,FALSE)-VLOOKUP($A169,'01-02.2022'!$A$6:$DA$376,85,FALSE)</f>
        <v>0</v>
      </c>
      <c r="CH169" s="70">
        <f t="shared" si="197"/>
        <v>-173.70611243695424</v>
      </c>
      <c r="CI169" s="566">
        <f>VLOOKUP($A169,'01-02.2021'!$A$6:$CZ$403,87,FALSE)+VLOOKUP($A169,'1.3.21-28.2.22'!$A$6:$DA$404,87,FALSE)-VLOOKUP($A169,'01-02.2022'!$A$6:$DA$376,87,FALSE)</f>
        <v>12913.754411452166</v>
      </c>
      <c r="CJ169" s="566">
        <f>VLOOKUP($A169,'01-02.2021'!$A$6:$CZ$403,88,FALSE)+VLOOKUP($A169,'1.3.21-28.2.22'!$A$6:$DA$404,88,FALSE)-VLOOKUP($A169,'01-02.2022'!$A$6:$DA$376,88,FALSE)</f>
        <v>12092.655979449934</v>
      </c>
      <c r="CK169" s="70">
        <f t="shared" si="198"/>
        <v>-821.09843200223258</v>
      </c>
      <c r="CL169" s="566">
        <f>VLOOKUP($A169,'01-02.2021'!$A$6:$CZ$403,90,FALSE)+VLOOKUP($A169,'1.3.21-28.2.22'!$A$6:$DA$404,90,FALSE)-VLOOKUP($A169,'01-02.2022'!$A$6:$DA$376,90,FALSE)</f>
        <v>19237.458157648201</v>
      </c>
      <c r="CM169" s="566">
        <f>VLOOKUP($A169,'01-02.2021'!$A$6:$CZ$403,91,FALSE)+VLOOKUP($A169,'1.3.21-28.2.22'!$A$6:$DA$404,91,FALSE)-VLOOKUP($A169,'01-02.2022'!$A$6:$DA$376,91,FALSE)</f>
        <v>18138.982459247483</v>
      </c>
      <c r="CN169" s="52">
        <f t="shared" si="158"/>
        <v>-1098.4756984007181</v>
      </c>
      <c r="CO169" s="39">
        <f t="shared" si="153"/>
        <v>32151.212569100368</v>
      </c>
      <c r="CP169" s="40">
        <f t="shared" si="159"/>
        <v>30231.638438697417</v>
      </c>
      <c r="CQ169" s="52">
        <f t="shared" si="160"/>
        <v>-1919.5741304029507</v>
      </c>
      <c r="CR169" s="72">
        <f t="shared" si="154"/>
        <v>427340.89773299918</v>
      </c>
      <c r="CS169" s="5">
        <f t="shared" si="154"/>
        <v>503146.75735895522</v>
      </c>
      <c r="CT169" s="52">
        <f t="shared" si="161"/>
        <v>75805.859625956044</v>
      </c>
      <c r="CU169" s="77">
        <f t="shared" si="162"/>
        <v>512809.07727959898</v>
      </c>
      <c r="CV169" s="65">
        <f t="shared" si="163"/>
        <v>603776.10883074626</v>
      </c>
      <c r="CW169" s="35">
        <f t="shared" si="164"/>
        <v>90967.031551147287</v>
      </c>
      <c r="CX169" s="566">
        <f>VLOOKUP($A169,'01-02.2021'!$A$6:$CZ$403,102,FALSE)+VLOOKUP($A169,'1.3.21-28.2.22'!$A$6:$DA$404,102,FALSE)-VLOOKUP($A169,'01-02.2022'!$A$6:$DA$376,102,FALSE)</f>
        <v>17939.913526998898</v>
      </c>
      <c r="CY169" s="566">
        <f>VLOOKUP($A169,'01-02.2021'!$A$6:$CZ$403,103,FALSE)+VLOOKUP($A169,'1.3.21-28.2.22'!$A$6:$DA$404,103,FALSE)-VLOOKUP($A169,'01-02.2022'!$A$6:$DA$376,103,FALSE)</f>
        <v>-73027.118024148396</v>
      </c>
      <c r="CZ169" s="52">
        <f t="shared" si="165"/>
        <v>-90967.031551147287</v>
      </c>
      <c r="DA169" s="150">
        <f>'[2]побудинковий звіт'!DA169</f>
        <v>-17929.901188258067</v>
      </c>
      <c r="DB169" s="2">
        <v>1</v>
      </c>
      <c r="DC169" s="414">
        <f>'[4]побудинковий звіт'!DC169</f>
        <v>100585.61</v>
      </c>
      <c r="DD169" s="414">
        <f>'[4]побудинковий звіт'!DD169</f>
        <v>0</v>
      </c>
      <c r="DE169" s="557">
        <f>'[4]побудинковий звіт'!DE169</f>
        <v>52675.847171003283</v>
      </c>
      <c r="DF169" s="557">
        <f>'[4]побудинковий звіт'!DF169</f>
        <v>0</v>
      </c>
      <c r="DG169" s="321">
        <f>VLOOKUP(A169,'кошти 01.03.2021'!$A$6:$D$401,4,)</f>
        <v>-98544.119719615977</v>
      </c>
      <c r="DH169" s="40">
        <f>'[3]побудинковий звіт'!DJ169</f>
        <v>548132.83470158104</v>
      </c>
      <c r="DI169" s="422">
        <f>'[3]побудинковий звіт'!CU169+'[3]побудинковий звіт'!CX169</f>
        <v>47909.762828996718</v>
      </c>
      <c r="DJ169" s="306">
        <f>'[3]побудинковий звіт'!DM169</f>
        <v>5.8561150322212265</v>
      </c>
      <c r="DK169" s="306">
        <f>'[3]побудинковий звіт'!DN169</f>
        <v>7.0313988248854233</v>
      </c>
      <c r="DL169" s="306">
        <f>'[3]побудинковий звіт'!DO169</f>
        <v>4.8367636983827786</v>
      </c>
      <c r="DM169" s="28">
        <f>DJ169*G169+(F169-G169)*DK169</f>
        <v>47909.762828996718</v>
      </c>
      <c r="DN169" s="28">
        <f>DL169*H169</f>
        <v>0</v>
      </c>
      <c r="DO169" s="423">
        <f t="shared" si="171"/>
        <v>47909.762828996718</v>
      </c>
      <c r="DP169" s="94">
        <f t="shared" si="172"/>
        <v>0</v>
      </c>
      <c r="DQ169" s="28">
        <f t="shared" si="173"/>
        <v>47909.762828996718</v>
      </c>
      <c r="DR169" s="318"/>
      <c r="DT169" s="8"/>
      <c r="DU169" s="5"/>
      <c r="DX169" s="5">
        <f t="shared" si="174"/>
        <v>125016.06962506879</v>
      </c>
      <c r="DY169" s="5">
        <f t="shared" si="175"/>
        <v>241459.22399999999</v>
      </c>
      <c r="DZ169" s="159">
        <f>'[3]побудинковий звіт'!EA169</f>
        <v>11351.918379752553</v>
      </c>
    </row>
    <row r="170" spans="1:130" x14ac:dyDescent="0.3">
      <c r="A170" s="325">
        <v>150001020</v>
      </c>
      <c r="B170" s="41" t="s">
        <v>618</v>
      </c>
      <c r="C170" s="42" t="s">
        <v>101</v>
      </c>
      <c r="D170" s="42"/>
      <c r="E170" s="293">
        <f t="shared" si="149"/>
        <v>320.5</v>
      </c>
      <c r="F170" s="305">
        <f>'[3]побудинковий звіт'!F170</f>
        <v>320.5</v>
      </c>
      <c r="G170" s="508">
        <f>'[3]побудинковий звіт'!G170</f>
        <v>0</v>
      </c>
      <c r="H170" s="560">
        <f>'[3]побудинковий звіт'!H170</f>
        <v>0</v>
      </c>
      <c r="I170" s="566">
        <f>VLOOKUP($A170,'01-02.2021'!$A$6:$CZ$403,9,FALSE)+VLOOKUP($A170,'1.3.21-28.2.22'!$A$6:$DA$404,9,FALSE)-VLOOKUP($A170,'01-02.2022'!$A$6:$DA$376,9,FALSE)</f>
        <v>0</v>
      </c>
      <c r="J170" s="566">
        <f>VLOOKUP($A170,'01-02.2021'!$A$6:$CZ$403,10,FALSE)+VLOOKUP($A170,'1.3.21-28.2.22'!$A$6:$DA$404,10,FALSE)-VLOOKUP($A170,'01-02.2022'!$A$6:$DA$376,10,FALSE)</f>
        <v>0</v>
      </c>
      <c r="K170" s="52">
        <f t="shared" si="155"/>
        <v>0</v>
      </c>
      <c r="L170" s="566">
        <f>VLOOKUP($A170,'01-02.2021'!$A$6:$CZ$403,12,FALSE)+VLOOKUP($A170,'1.3.21-28.2.22'!$A$6:$DA$404,12,FALSE)-VLOOKUP($A170,'01-02.2022'!$A$6:$DA$376,12,FALSE)</f>
        <v>0</v>
      </c>
      <c r="M170" s="566">
        <f>VLOOKUP($A170,'01-02.2021'!$A$6:$CZ$403,13,FALSE)+VLOOKUP($A170,'1.3.21-28.2.22'!$A$6:$DA$404,13,FALSE)-VLOOKUP($A170,'01-02.2022'!$A$6:$DA$376,13,FALSE)</f>
        <v>0</v>
      </c>
      <c r="N170" s="52">
        <f t="shared" si="156"/>
        <v>0</v>
      </c>
      <c r="O170" s="566">
        <f>VLOOKUP($A170,'01-02.2021'!$A$6:$CZ$403,15,FALSE)+VLOOKUP($A170,'1.3.21-28.2.22'!$A$6:$DA$404,15,FALSE)-VLOOKUP($A170,'01-02.2022'!$A$6:$DA$376,15,FALSE)</f>
        <v>0</v>
      </c>
      <c r="P170" s="566">
        <f>VLOOKUP($A170,'01-02.2021'!$A$6:$CZ$403,16,FALSE)+VLOOKUP($A170,'1.3.21-28.2.22'!$A$6:$DA$404,16,FALSE)-VLOOKUP($A170,'01-02.2022'!$A$6:$DA$376,16,FALSE)</f>
        <v>0</v>
      </c>
      <c r="Q170" s="70">
        <f t="shared" si="176"/>
        <v>0</v>
      </c>
      <c r="R170" s="566">
        <f>VLOOKUP($A170,'01-02.2021'!$A$6:$CZ$403,18,FALSE)+VLOOKUP($A170,'1.3.21-28.2.22'!$A$6:$DA$404,18,FALSE)-VLOOKUP($A170,'01-02.2022'!$A$6:$DA$376,18,FALSE)</f>
        <v>0</v>
      </c>
      <c r="S170" s="566">
        <f>VLOOKUP($A170,'01-02.2021'!$A$6:$CZ$403,19,FALSE)+VLOOKUP($A170,'1.3.21-28.2.22'!$A$6:$DA$404,19,FALSE)-VLOOKUP($A170,'01-02.2022'!$A$6:$DA$376,19,FALSE)</f>
        <v>0</v>
      </c>
      <c r="T170" s="70">
        <f t="shared" si="177"/>
        <v>0</v>
      </c>
      <c r="U170" s="566">
        <f>VLOOKUP($A170,'01-02.2021'!$A$6:$CZ$403,21,FALSE)+VLOOKUP($A170,'1.3.21-28.2.22'!$A$6:$DA$404,21,FALSE)-VLOOKUP($A170,'01-02.2022'!$A$6:$DA$376,21,FALSE)</f>
        <v>0</v>
      </c>
      <c r="V170" s="566">
        <f>VLOOKUP($A170,'01-02.2021'!$A$6:$CZ$403,22,FALSE)+VLOOKUP($A170,'1.3.21-28.2.22'!$A$6:$DA$404,22,FALSE)-VLOOKUP($A170,'01-02.2022'!$A$6:$DA$376,22,FALSE)</f>
        <v>0</v>
      </c>
      <c r="W170" s="70">
        <f t="shared" si="178"/>
        <v>0</v>
      </c>
      <c r="X170" s="566">
        <f>VLOOKUP($A170,'01-02.2021'!$A$6:$CZ$403,24,FALSE)+VLOOKUP($A170,'1.3.21-28.2.22'!$A$6:$DA$404,24,FALSE)-VLOOKUP($A170,'01-02.2022'!$A$6:$DA$376,24,FALSE)</f>
        <v>0</v>
      </c>
      <c r="Y170" s="566">
        <f>VLOOKUP($A170,'01-02.2021'!$A$6:$CZ$403,25,FALSE)+VLOOKUP($A170,'1.3.21-28.2.22'!$A$6:$DA$404,25,FALSE)-VLOOKUP($A170,'01-02.2022'!$A$6:$DA$376,25,FALSE)</f>
        <v>0</v>
      </c>
      <c r="Z170" s="70">
        <f t="shared" si="179"/>
        <v>0</v>
      </c>
      <c r="AA170" s="566">
        <f>VLOOKUP($A170,'01-02.2021'!$A$6:$CZ$403,27,FALSE)+VLOOKUP($A170,'1.3.21-28.2.22'!$A$6:$DA$404,27,FALSE)-VLOOKUP($A170,'01-02.2022'!$A$6:$DA$376,27,FALSE)</f>
        <v>64.099999999999994</v>
      </c>
      <c r="AB170" s="566">
        <f>VLOOKUP($A170,'01-02.2021'!$A$6:$CZ$403,28,FALSE)+VLOOKUP($A170,'1.3.21-28.2.22'!$A$6:$DA$404,28,FALSE)-VLOOKUP($A170,'01-02.2022'!$A$6:$DA$376,28,FALSE)</f>
        <v>0</v>
      </c>
      <c r="AC170" s="70">
        <f t="shared" si="180"/>
        <v>-64.099999999999994</v>
      </c>
      <c r="AD170" s="566">
        <f>VLOOKUP($A170,'01-02.2021'!$A$6:$CZ$403,30,FALSE)+VLOOKUP($A170,'1.3.21-28.2.22'!$A$6:$DA$404,30,FALSE)-VLOOKUP($A170,'01-02.2022'!$A$6:$DA$376,30,FALSE)</f>
        <v>513.13050544971952</v>
      </c>
      <c r="AE170" s="566">
        <f>VLOOKUP($A170,'01-02.2021'!$A$6:$CZ$403,31,FALSE)+VLOOKUP($A170,'1.3.21-28.2.22'!$A$6:$DA$404,31,FALSE)-VLOOKUP($A170,'01-02.2022'!$A$6:$DA$376,31,FALSE)</f>
        <v>1458.9289136662392</v>
      </c>
      <c r="AF170" s="68">
        <f t="shared" si="181"/>
        <v>945.79840821651965</v>
      </c>
      <c r="AG170" s="77">
        <f t="shared" si="150"/>
        <v>577.23050544971954</v>
      </c>
      <c r="AH170" s="53">
        <f t="shared" si="150"/>
        <v>1458.9289136662392</v>
      </c>
      <c r="AI170" s="52">
        <f t="shared" si="157"/>
        <v>881.69840821651962</v>
      </c>
      <c r="AJ170" s="566">
        <f>VLOOKUP($A170,'01-02.2021'!$A$6:$CZ$403,36,FALSE)+VLOOKUP($A170,'1.3.21-28.2.22'!$A$6:$DA$404,36,FALSE)-VLOOKUP($A170,'01-02.2022'!$A$6:$DA$376,36,FALSE)</f>
        <v>0</v>
      </c>
      <c r="AK170" s="566">
        <f>VLOOKUP($A170,'01-02.2021'!$A$6:$CZ$403,37,FALSE)+VLOOKUP($A170,'1.3.21-28.2.22'!$A$6:$DA$404,37,FALSE)-VLOOKUP($A170,'01-02.2022'!$A$6:$DA$376,37,FALSE)</f>
        <v>0</v>
      </c>
      <c r="AL170" s="70">
        <f t="shared" si="182"/>
        <v>0</v>
      </c>
      <c r="AM170" s="566">
        <f>VLOOKUP($A170,'01-02.2021'!$A$6:$CZ$403,39,FALSE)+VLOOKUP($A170,'1.3.21-28.2.22'!$A$6:$DA$404,39,FALSE)-VLOOKUP($A170,'01-02.2022'!$A$6:$DA$376,39,FALSE)</f>
        <v>0</v>
      </c>
      <c r="AN170" s="566">
        <f>VLOOKUP($A170,'01-02.2021'!$A$6:$CZ$403,40,FALSE)+VLOOKUP($A170,'1.3.21-28.2.22'!$A$6:$DA$404,40,FALSE)-VLOOKUP($A170,'01-02.2022'!$A$6:$DA$376,40,FALSE)</f>
        <v>0</v>
      </c>
      <c r="AO170" s="70">
        <f t="shared" si="183"/>
        <v>0</v>
      </c>
      <c r="AP170" s="566">
        <f>VLOOKUP($A170,'01-02.2021'!$A$6:$CZ$403,42,FALSE)+VLOOKUP($A170,'1.3.21-28.2.22'!$A$6:$DA$404,42,FALSE)-VLOOKUP($A170,'01-02.2022'!$A$6:$DA$376,42,FALSE)</f>
        <v>520.55992501277728</v>
      </c>
      <c r="AQ170" s="566">
        <f>VLOOKUP($A170,'01-02.2021'!$A$6:$CZ$403,43,FALSE)+VLOOKUP($A170,'1.3.21-28.2.22'!$A$6:$DA$404,43,FALSE)-VLOOKUP($A170,'01-02.2022'!$A$6:$DA$376,43,FALSE)</f>
        <v>448.76449922990878</v>
      </c>
      <c r="AR170" s="70">
        <f t="shared" si="184"/>
        <v>-71.795425782868506</v>
      </c>
      <c r="AS170" s="566">
        <f>VLOOKUP($A170,'01-02.2021'!$A$6:$CZ$403,45,FALSE)+VLOOKUP($A170,'1.3.21-28.2.22'!$A$6:$DA$404,45,FALSE)-VLOOKUP($A170,'01-02.2022'!$A$6:$DA$376,45,FALSE)</f>
        <v>2931.9222907482927</v>
      </c>
      <c r="AT170" s="566">
        <f>VLOOKUP($A170,'01-02.2021'!$A$6:$CZ$403,46,FALSE)+VLOOKUP($A170,'1.3.21-28.2.22'!$A$6:$DA$404,46,FALSE)-VLOOKUP($A170,'01-02.2022'!$A$6:$DA$376,46,FALSE)</f>
        <v>0</v>
      </c>
      <c r="AU170" s="78">
        <f t="shared" si="185"/>
        <v>-2931.9222907482927</v>
      </c>
      <c r="AV170" s="566">
        <f>VLOOKUP($A170,'01-02.2021'!$A$6:$CZ$403,48,FALSE)+VLOOKUP($A170,'1.3.21-28.2.22'!$A$6:$DA$404,48,FALSE)-VLOOKUP($A170,'01-02.2022'!$A$6:$DA$376,48,FALSE)</f>
        <v>0</v>
      </c>
      <c r="AW170" s="566">
        <f>VLOOKUP($A170,'01-02.2021'!$A$6:$CZ$403,49,FALSE)+VLOOKUP($A170,'1.3.21-28.2.22'!$A$6:$DA$404,49,FALSE)-VLOOKUP($A170,'01-02.2022'!$A$6:$DA$376,49,FALSE)</f>
        <v>0</v>
      </c>
      <c r="AX170" s="55">
        <f t="shared" si="186"/>
        <v>0</v>
      </c>
      <c r="AY170" s="566">
        <f>VLOOKUP($A170,'01-02.2021'!$A$6:$CZ$403,51,FALSE)+VLOOKUP($A170,'1.3.21-28.2.22'!$A$6:$DA$404,51,FALSE)-VLOOKUP($A170,'01-02.2022'!$A$6:$DA$376,51,FALSE)</f>
        <v>0</v>
      </c>
      <c r="AZ170" s="566">
        <f>VLOOKUP($A170,'01-02.2021'!$A$6:$CZ$403,52,FALSE)+VLOOKUP($A170,'1.3.21-28.2.22'!$A$6:$DA$404,52,FALSE)-VLOOKUP($A170,'01-02.2022'!$A$6:$DA$376,52,FALSE)</f>
        <v>0</v>
      </c>
      <c r="BA170" s="38">
        <f t="shared" si="187"/>
        <v>0</v>
      </c>
      <c r="BB170" s="566">
        <f>VLOOKUP($A170,'01-02.2021'!$A$6:$CZ$403,54,FALSE)+VLOOKUP($A170,'1.3.21-28.2.22'!$A$6:$DA$404,54,FALSE)-VLOOKUP($A170,'01-02.2022'!$A$6:$DA$376,54,FALSE)</f>
        <v>0</v>
      </c>
      <c r="BC170" s="566">
        <f>VLOOKUP($A170,'01-02.2021'!$A$6:$CZ$403,55,FALSE)+VLOOKUP($A170,'1.3.21-28.2.22'!$A$6:$DA$404,55,FALSE)-VLOOKUP($A170,'01-02.2022'!$A$6:$DA$376,55,FALSE)</f>
        <v>0</v>
      </c>
      <c r="BD170" s="55">
        <f t="shared" si="188"/>
        <v>0</v>
      </c>
      <c r="BE170" s="566">
        <f>VLOOKUP($A170,'01-02.2021'!$A$6:$CZ$403,57,FALSE)+VLOOKUP($A170,'1.3.21-28.2.22'!$A$6:$DA$404,57,FALSE)-VLOOKUP($A170,'01-02.2022'!$A$6:$DA$376,57,FALSE)</f>
        <v>0</v>
      </c>
      <c r="BF170" s="566">
        <f>VLOOKUP($A170,'01-02.2021'!$A$6:$CZ$403,58,FALSE)+VLOOKUP($A170,'1.3.21-28.2.22'!$A$6:$DA$404,58,FALSE)-VLOOKUP($A170,'01-02.2022'!$A$6:$DA$376,58,FALSE)</f>
        <v>0</v>
      </c>
      <c r="BG170" s="55">
        <f t="shared" si="189"/>
        <v>0</v>
      </c>
      <c r="BH170" s="566">
        <f>VLOOKUP($A170,'01-02.2021'!$A$6:$CZ$403,60,FALSE)+VLOOKUP($A170,'1.3.21-28.2.22'!$A$6:$DA$404,60,FALSE)-VLOOKUP($A170,'01-02.2022'!$A$6:$DA$376,60,FALSE)</f>
        <v>0</v>
      </c>
      <c r="BI170" s="566">
        <f>VLOOKUP($A170,'01-02.2021'!$A$6:$CZ$403,61,FALSE)+VLOOKUP($A170,'1.3.21-28.2.22'!$A$6:$DA$404,61,FALSE)-VLOOKUP($A170,'01-02.2022'!$A$6:$DA$376,61,FALSE)</f>
        <v>0</v>
      </c>
      <c r="BJ170" s="55">
        <f t="shared" si="190"/>
        <v>0</v>
      </c>
      <c r="BK170" s="566">
        <f>VLOOKUP($A170,'01-02.2021'!$A$6:$CZ$403,63,FALSE)+VLOOKUP($A170,'1.3.21-28.2.22'!$A$6:$DA$404,63,FALSE)-VLOOKUP($A170,'01-02.2022'!$A$6:$DA$376,63,FALSE)</f>
        <v>0</v>
      </c>
      <c r="BL170" s="566">
        <f>VLOOKUP($A170,'01-02.2021'!$A$6:$CZ$403,64,FALSE)+VLOOKUP($A170,'1.3.21-28.2.22'!$A$6:$DA$404,64,FALSE)-VLOOKUP($A170,'01-02.2022'!$A$6:$DA$376,64,FALSE)</f>
        <v>0</v>
      </c>
      <c r="BM170" s="55">
        <f t="shared" si="191"/>
        <v>0</v>
      </c>
      <c r="BN170" s="566">
        <f>VLOOKUP($A170,'01-02.2021'!$A$6:$CZ$403,66,FALSE)+VLOOKUP($A170,'1.3.21-28.2.22'!$A$6:$DA$404,66,FALSE)-VLOOKUP($A170,'01-02.2022'!$A$6:$DA$376,66,FALSE)</f>
        <v>16.024999999999999</v>
      </c>
      <c r="BO170" s="566">
        <f>VLOOKUP($A170,'01-02.2021'!$A$6:$CZ$403,67,FALSE)+VLOOKUP($A170,'1.3.21-28.2.22'!$A$6:$DA$404,67,FALSE)-VLOOKUP($A170,'01-02.2022'!$A$6:$DA$376,67,FALSE)</f>
        <v>0</v>
      </c>
      <c r="BP170" s="55">
        <f t="shared" si="192"/>
        <v>-16.024999999999999</v>
      </c>
      <c r="BQ170" s="77">
        <f t="shared" si="209"/>
        <v>16.024999999999999</v>
      </c>
      <c r="BR170" s="40">
        <f t="shared" si="210"/>
        <v>0</v>
      </c>
      <c r="BS170" s="55">
        <f t="shared" si="166"/>
        <v>-16.024999999999999</v>
      </c>
      <c r="BT170" s="566">
        <f>VLOOKUP($A170,'01-02.2021'!$A$6:$CZ$403,72,FALSE)+VLOOKUP($A170,'1.3.21-28.2.22'!$A$6:$DA$404,72,FALSE)-VLOOKUP($A170,'01-02.2022'!$A$6:$DA$376,72,FALSE)</f>
        <v>474.55237995825036</v>
      </c>
      <c r="BU170" s="566">
        <f>VLOOKUP($A170,'01-02.2021'!$A$6:$CZ$403,73,FALSE)+VLOOKUP($A170,'1.3.21-28.2.22'!$A$6:$DA$404,73,FALSE)-VLOOKUP($A170,'01-02.2022'!$A$6:$DA$376,73,FALSE)</f>
        <v>736.27403867386408</v>
      </c>
      <c r="BV170" s="70">
        <f t="shared" si="193"/>
        <v>261.72165871561373</v>
      </c>
      <c r="BW170" s="566">
        <f>VLOOKUP($A170,'01-02.2021'!$A$6:$CZ$403,75,FALSE)+VLOOKUP($A170,'1.3.21-28.2.22'!$A$6:$DA$404,75,FALSE)-VLOOKUP($A170,'01-02.2022'!$A$6:$DA$376,75,FALSE)</f>
        <v>0</v>
      </c>
      <c r="BX170" s="566">
        <f>VLOOKUP($A170,'01-02.2021'!$A$6:$CZ$403,76,FALSE)+VLOOKUP($A170,'1.3.21-28.2.22'!$A$6:$DA$404,76,FALSE)-VLOOKUP($A170,'01-02.2022'!$A$6:$DA$376,76,FALSE)</f>
        <v>7.182914785381028</v>
      </c>
      <c r="BY170" s="70">
        <f t="shared" si="194"/>
        <v>7.182914785381028</v>
      </c>
      <c r="BZ170" s="566">
        <f>VLOOKUP($A170,'01-02.2021'!$A$6:$CZ$403,78,FALSE)+VLOOKUP($A170,'1.3.21-28.2.22'!$A$6:$DA$404,78,FALSE)-VLOOKUP($A170,'01-02.2022'!$A$6:$DA$376,78,FALSE)</f>
        <v>0</v>
      </c>
      <c r="CA170" s="566">
        <f>VLOOKUP($A170,'01-02.2021'!$A$6:$CZ$403,79,FALSE)+VLOOKUP($A170,'1.3.21-28.2.22'!$A$6:$DA$404,79,FALSE)-VLOOKUP($A170,'01-02.2022'!$A$6:$DA$376,79,FALSE)</f>
        <v>44.894854855568155</v>
      </c>
      <c r="CB170" s="70">
        <f t="shared" si="195"/>
        <v>44.894854855568155</v>
      </c>
      <c r="CC170" s="566">
        <f>VLOOKUP($A170,'01-02.2021'!$A$6:$CZ$403,81,FALSE)+VLOOKUP($A170,'1.3.21-28.2.22'!$A$6:$DA$404,81,FALSE)-VLOOKUP($A170,'01-02.2022'!$A$6:$DA$376,81,FALSE)</f>
        <v>0</v>
      </c>
      <c r="CD170" s="566">
        <f>VLOOKUP($A170,'01-02.2021'!$A$6:$CZ$403,82,FALSE)+VLOOKUP($A170,'1.3.21-28.2.22'!$A$6:$DA$404,82,FALSE)-VLOOKUP($A170,'01-02.2022'!$A$6:$DA$376,82,FALSE)</f>
        <v>0</v>
      </c>
      <c r="CE170" s="70">
        <f t="shared" si="196"/>
        <v>0</v>
      </c>
      <c r="CF170" s="566">
        <f>VLOOKUP($A170,'01-02.2021'!$A$6:$CZ$403,84,FALSE)+VLOOKUP($A170,'1.3.21-28.2.22'!$A$6:$DA$404,84,FALSE)-VLOOKUP($A170,'01-02.2022'!$A$6:$DA$376,84,FALSE)</f>
        <v>0</v>
      </c>
      <c r="CG170" s="566">
        <f>VLOOKUP($A170,'01-02.2021'!$A$6:$CZ$403,85,FALSE)+VLOOKUP($A170,'1.3.21-28.2.22'!$A$6:$DA$404,85,FALSE)-VLOOKUP($A170,'01-02.2022'!$A$6:$DA$376,85,FALSE)</f>
        <v>0</v>
      </c>
      <c r="CH170" s="70">
        <f t="shared" si="197"/>
        <v>0</v>
      </c>
      <c r="CI170" s="566">
        <f>VLOOKUP($A170,'01-02.2021'!$A$6:$CZ$403,87,FALSE)+VLOOKUP($A170,'1.3.21-28.2.22'!$A$6:$DA$404,87,FALSE)-VLOOKUP($A170,'01-02.2022'!$A$6:$DA$376,87,FALSE)</f>
        <v>0</v>
      </c>
      <c r="CJ170" s="566">
        <f>VLOOKUP($A170,'01-02.2021'!$A$6:$CZ$403,88,FALSE)+VLOOKUP($A170,'1.3.21-28.2.22'!$A$6:$DA$404,88,FALSE)-VLOOKUP($A170,'01-02.2022'!$A$6:$DA$376,88,FALSE)</f>
        <v>0</v>
      </c>
      <c r="CK170" s="70">
        <f t="shared" si="198"/>
        <v>0</v>
      </c>
      <c r="CL170" s="566">
        <f>VLOOKUP($A170,'01-02.2021'!$A$6:$CZ$403,90,FALSE)+VLOOKUP($A170,'1.3.21-28.2.22'!$A$6:$DA$404,90,FALSE)-VLOOKUP($A170,'01-02.2022'!$A$6:$DA$376,90,FALSE)</f>
        <v>0</v>
      </c>
      <c r="CM170" s="566">
        <f>VLOOKUP($A170,'01-02.2021'!$A$6:$CZ$403,91,FALSE)+VLOOKUP($A170,'1.3.21-28.2.22'!$A$6:$DA$404,91,FALSE)-VLOOKUP($A170,'01-02.2022'!$A$6:$DA$376,91,FALSE)</f>
        <v>0</v>
      </c>
      <c r="CN170" s="52">
        <f t="shared" si="158"/>
        <v>0</v>
      </c>
      <c r="CO170" s="39">
        <f t="shared" si="153"/>
        <v>0</v>
      </c>
      <c r="CP170" s="40">
        <f t="shared" si="159"/>
        <v>0</v>
      </c>
      <c r="CQ170" s="52">
        <f t="shared" si="160"/>
        <v>0</v>
      </c>
      <c r="CR170" s="72">
        <f t="shared" si="154"/>
        <v>4520.2901011690401</v>
      </c>
      <c r="CS170" s="5">
        <f t="shared" si="154"/>
        <v>2696.0452212109612</v>
      </c>
      <c r="CT170" s="52">
        <f t="shared" si="161"/>
        <v>-1824.2448799580789</v>
      </c>
      <c r="CU170" s="77">
        <f t="shared" si="162"/>
        <v>5424.3481214028479</v>
      </c>
      <c r="CV170" s="65">
        <f t="shared" si="163"/>
        <v>3235.2542654531535</v>
      </c>
      <c r="CW170" s="35">
        <f t="shared" si="164"/>
        <v>-2189.0938559496944</v>
      </c>
      <c r="CX170" s="566">
        <f>VLOOKUP($A170,'01-02.2021'!$A$6:$CZ$403,102,FALSE)+VLOOKUP($A170,'1.3.21-28.2.22'!$A$6:$DA$404,102,FALSE)-VLOOKUP($A170,'01-02.2022'!$A$6:$DA$376,102,FALSE)</f>
        <v>153.81263482743981</v>
      </c>
      <c r="CY170" s="566">
        <f>VLOOKUP($A170,'01-02.2021'!$A$6:$CZ$403,103,FALSE)+VLOOKUP($A170,'1.3.21-28.2.22'!$A$6:$DA$404,103,FALSE)-VLOOKUP($A170,'01-02.2022'!$A$6:$DA$376,103,FALSE)</f>
        <v>2342.9064907771335</v>
      </c>
      <c r="CZ170" s="52">
        <f t="shared" si="165"/>
        <v>2189.0938559496935</v>
      </c>
      <c r="DA170" s="150">
        <f>'[2]побудинковий звіт'!DA170</f>
        <v>-10365.018769260296</v>
      </c>
      <c r="DB170" s="2">
        <v>2</v>
      </c>
      <c r="DC170" s="414">
        <f>'[4]побудинковий звіт'!DC170</f>
        <v>684.27</v>
      </c>
      <c r="DD170" s="414">
        <f>'[4]побудинковий звіт'!DD170</f>
        <v>0</v>
      </c>
      <c r="DE170" s="557">
        <f>'[4]побудинковий звіт'!DE170</f>
        <v>177.26218132578612</v>
      </c>
      <c r="DF170" s="557">
        <f>'[4]побудинковий звіт'!DF170</f>
        <v>0</v>
      </c>
      <c r="DG170" s="321">
        <f>VLOOKUP(A170,'кошти 01.03.2021'!$A$6:$D$401,4,)</f>
        <v>-8146.0069850088221</v>
      </c>
      <c r="DH170" s="40">
        <f>'[3]побудинковий звіт'!DJ170</f>
        <v>5777.5905394379097</v>
      </c>
      <c r="DI170" s="422">
        <f>'[3]побудинковий звіт'!CU170+'[3]побудинковий звіт'!CX170</f>
        <v>507.00781867421387</v>
      </c>
      <c r="DJ170" s="306">
        <f>'[3]побудинковий звіт'!DM170</f>
        <v>1.581927671370402</v>
      </c>
      <c r="DK170" s="306">
        <f>DJ170</f>
        <v>1.581927671370402</v>
      </c>
      <c r="DL170" s="306">
        <f>'[3]побудинковий звіт'!DO170</f>
        <v>1.581927671370402</v>
      </c>
      <c r="DM170" s="28">
        <f>F170*DJ170</f>
        <v>507.00781867421387</v>
      </c>
      <c r="DN170" s="28">
        <f>H170*DL170</f>
        <v>0</v>
      </c>
      <c r="DO170" s="423">
        <f t="shared" si="171"/>
        <v>507.00781867421387</v>
      </c>
      <c r="DP170" s="94">
        <f t="shared" si="172"/>
        <v>0</v>
      </c>
      <c r="DQ170" s="28">
        <f t="shared" si="173"/>
        <v>507.00781867421387</v>
      </c>
      <c r="DR170" s="318"/>
      <c r="DT170" s="8"/>
      <c r="DU170" s="5"/>
      <c r="DX170" s="5">
        <f t="shared" si="174"/>
        <v>3537.5367488979514</v>
      </c>
      <c r="DY170" s="5">
        <f t="shared" si="175"/>
        <v>0</v>
      </c>
      <c r="DZ170" s="159">
        <f>'[3]побудинковий звіт'!EA170</f>
        <v>361.34219715197537</v>
      </c>
    </row>
    <row r="171" spans="1:130" x14ac:dyDescent="0.3">
      <c r="A171" s="325">
        <v>150001021</v>
      </c>
      <c r="B171" s="41" t="s">
        <v>619</v>
      </c>
      <c r="C171" s="42" t="s">
        <v>364</v>
      </c>
      <c r="D171" s="42"/>
      <c r="E171" s="293">
        <f t="shared" si="149"/>
        <v>11582.12</v>
      </c>
      <c r="F171" s="305">
        <f>'[3]побудинковий звіт'!F171</f>
        <v>11582.12</v>
      </c>
      <c r="G171" s="508">
        <f>'[3]побудинковий звіт'!G171</f>
        <v>1227.6300000000001</v>
      </c>
      <c r="H171" s="560">
        <f>'[3]побудинковий звіт'!H171</f>
        <v>0</v>
      </c>
      <c r="I171" s="566">
        <f>VLOOKUP($A171,'01-02.2021'!$A$6:$CZ$403,9,FALSE)+VLOOKUP($A171,'1.3.21-28.2.22'!$A$6:$DA$404,9,FALSE)-VLOOKUP($A171,'01-02.2022'!$A$6:$DA$376,9,FALSE)</f>
        <v>27987.261842845022</v>
      </c>
      <c r="J171" s="566">
        <f>VLOOKUP($A171,'01-02.2021'!$A$6:$CZ$403,10,FALSE)+VLOOKUP($A171,'1.3.21-28.2.22'!$A$6:$DA$404,10,FALSE)-VLOOKUP($A171,'01-02.2022'!$A$6:$DA$376,10,FALSE)</f>
        <v>25237.27916346346</v>
      </c>
      <c r="K171" s="52">
        <f t="shared" si="155"/>
        <v>-2749.9826793815628</v>
      </c>
      <c r="L171" s="566">
        <f>VLOOKUP($A171,'01-02.2021'!$A$6:$CZ$403,12,FALSE)+VLOOKUP($A171,'1.3.21-28.2.22'!$A$6:$DA$404,12,FALSE)-VLOOKUP($A171,'01-02.2022'!$A$6:$DA$376,12,FALSE)</f>
        <v>8127.0222823271197</v>
      </c>
      <c r="M171" s="566">
        <f>VLOOKUP($A171,'01-02.2021'!$A$6:$CZ$403,13,FALSE)+VLOOKUP($A171,'1.3.21-28.2.22'!$A$6:$DA$404,13,FALSE)-VLOOKUP($A171,'01-02.2022'!$A$6:$DA$376,13,FALSE)</f>
        <v>7334.0789940760378</v>
      </c>
      <c r="N171" s="52">
        <f t="shared" si="156"/>
        <v>-792.94328825108187</v>
      </c>
      <c r="O171" s="566">
        <f>VLOOKUP($A171,'01-02.2021'!$A$6:$CZ$403,15,FALSE)+VLOOKUP($A171,'1.3.21-28.2.22'!$A$6:$DA$404,15,FALSE)-VLOOKUP($A171,'01-02.2022'!$A$6:$DA$376,15,FALSE)</f>
        <v>15934.707334019897</v>
      </c>
      <c r="P171" s="566">
        <f>VLOOKUP($A171,'01-02.2021'!$A$6:$CZ$403,16,FALSE)+VLOOKUP($A171,'1.3.21-28.2.22'!$A$6:$DA$404,16,FALSE)-VLOOKUP($A171,'01-02.2022'!$A$6:$DA$376,16,FALSE)</f>
        <v>15934.67</v>
      </c>
      <c r="Q171" s="70">
        <f t="shared" si="176"/>
        <v>-3.733401989666163E-2</v>
      </c>
      <c r="R171" s="566">
        <f>VLOOKUP($A171,'01-02.2021'!$A$6:$CZ$403,18,FALSE)+VLOOKUP($A171,'1.3.21-28.2.22'!$A$6:$DA$404,18,FALSE)-VLOOKUP($A171,'01-02.2022'!$A$6:$DA$376,18,FALSE)</f>
        <v>3470.1796690456254</v>
      </c>
      <c r="S171" s="566">
        <f>VLOOKUP($A171,'01-02.2021'!$A$6:$CZ$403,19,FALSE)+VLOOKUP($A171,'1.3.21-28.2.22'!$A$6:$DA$404,19,FALSE)-VLOOKUP($A171,'01-02.2022'!$A$6:$DA$376,19,FALSE)</f>
        <v>3470.190000000001</v>
      </c>
      <c r="T171" s="70">
        <f t="shared" si="177"/>
        <v>1.0330954375604051E-2</v>
      </c>
      <c r="U171" s="566">
        <f>VLOOKUP($A171,'01-02.2021'!$A$6:$CZ$403,21,FALSE)+VLOOKUP($A171,'1.3.21-28.2.22'!$A$6:$DA$404,21,FALSE)-VLOOKUP($A171,'01-02.2022'!$A$6:$DA$376,21,FALSE)</f>
        <v>2975.7075861517469</v>
      </c>
      <c r="V171" s="566">
        <f>VLOOKUP($A171,'01-02.2021'!$A$6:$CZ$403,22,FALSE)+VLOOKUP($A171,'1.3.21-28.2.22'!$A$6:$DA$404,22,FALSE)-VLOOKUP($A171,'01-02.2022'!$A$6:$DA$376,22,FALSE)</f>
        <v>1955.5255593349771</v>
      </c>
      <c r="W171" s="70">
        <f t="shared" si="178"/>
        <v>-1020.1820268167698</v>
      </c>
      <c r="X171" s="566">
        <f>VLOOKUP($A171,'01-02.2021'!$A$6:$CZ$403,24,FALSE)+VLOOKUP($A171,'1.3.21-28.2.22'!$A$6:$DA$404,24,FALSE)-VLOOKUP($A171,'01-02.2022'!$A$6:$DA$376,24,FALSE)</f>
        <v>19705.363559816356</v>
      </c>
      <c r="Y171" s="566">
        <f>VLOOKUP($A171,'01-02.2021'!$A$6:$CZ$403,25,FALSE)+VLOOKUP($A171,'1.3.21-28.2.22'!$A$6:$DA$404,25,FALSE)-VLOOKUP($A171,'01-02.2022'!$A$6:$DA$376,25,FALSE)</f>
        <v>21044.82563728427</v>
      </c>
      <c r="Z171" s="70">
        <f t="shared" si="179"/>
        <v>1339.4620774679133</v>
      </c>
      <c r="AA171" s="566">
        <f>VLOOKUP($A171,'01-02.2021'!$A$6:$CZ$403,27,FALSE)+VLOOKUP($A171,'1.3.21-28.2.22'!$A$6:$DA$404,27,FALSE)-VLOOKUP($A171,'01-02.2022'!$A$6:$DA$376,27,FALSE)</f>
        <v>2316.672</v>
      </c>
      <c r="AB171" s="566">
        <f>VLOOKUP($A171,'01-02.2021'!$A$6:$CZ$403,28,FALSE)+VLOOKUP($A171,'1.3.21-28.2.22'!$A$6:$DA$404,28,FALSE)-VLOOKUP($A171,'01-02.2022'!$A$6:$DA$376,28,FALSE)</f>
        <v>0</v>
      </c>
      <c r="AC171" s="70">
        <f t="shared" si="180"/>
        <v>-2316.672</v>
      </c>
      <c r="AD171" s="566">
        <f>VLOOKUP($A171,'01-02.2021'!$A$6:$CZ$403,30,FALSE)+VLOOKUP($A171,'1.3.21-28.2.22'!$A$6:$DA$404,30,FALSE)-VLOOKUP($A171,'01-02.2022'!$A$6:$DA$376,30,FALSE)</f>
        <v>49750.787109827696</v>
      </c>
      <c r="AE171" s="566">
        <f>VLOOKUP($A171,'01-02.2021'!$A$6:$CZ$403,31,FALSE)+VLOOKUP($A171,'1.3.21-28.2.22'!$A$6:$DA$404,31,FALSE)-VLOOKUP($A171,'01-02.2022'!$A$6:$DA$376,31,FALSE)</f>
        <v>52722.042813563094</v>
      </c>
      <c r="AF171" s="68">
        <f t="shared" si="181"/>
        <v>2971.2557037353981</v>
      </c>
      <c r="AG171" s="77">
        <f t="shared" si="150"/>
        <v>130267.70138403347</v>
      </c>
      <c r="AH171" s="53">
        <f t="shared" si="150"/>
        <v>127698.61216772185</v>
      </c>
      <c r="AI171" s="52">
        <f t="shared" si="157"/>
        <v>-2569.0892163116223</v>
      </c>
      <c r="AJ171" s="566">
        <f>VLOOKUP($A171,'01-02.2021'!$A$6:$CZ$403,36,FALSE)+VLOOKUP($A171,'1.3.21-28.2.22'!$A$6:$DA$404,36,FALSE)-VLOOKUP($A171,'01-02.2022'!$A$6:$DA$376,36,FALSE)</f>
        <v>113813.72994103484</v>
      </c>
      <c r="AK171" s="566">
        <f>VLOOKUP($A171,'01-02.2021'!$A$6:$CZ$403,37,FALSE)+VLOOKUP($A171,'1.3.21-28.2.22'!$A$6:$DA$404,37,FALSE)-VLOOKUP($A171,'01-02.2022'!$A$6:$DA$376,37,FALSE)</f>
        <v>113067.44689631183</v>
      </c>
      <c r="AL171" s="70">
        <f t="shared" si="182"/>
        <v>-746.28304472300806</v>
      </c>
      <c r="AM171" s="566">
        <f>VLOOKUP($A171,'01-02.2021'!$A$6:$CZ$403,39,FALSE)+VLOOKUP($A171,'1.3.21-28.2.22'!$A$6:$DA$404,39,FALSE)-VLOOKUP($A171,'01-02.2022'!$A$6:$DA$376,39,FALSE)</f>
        <v>5784.4838873655044</v>
      </c>
      <c r="AN171" s="566">
        <f>VLOOKUP($A171,'01-02.2021'!$A$6:$CZ$403,40,FALSE)+VLOOKUP($A171,'1.3.21-28.2.22'!$A$6:$DA$404,40,FALSE)-VLOOKUP($A171,'01-02.2022'!$A$6:$DA$376,40,FALSE)</f>
        <v>1043.0412335713274</v>
      </c>
      <c r="AO171" s="70">
        <f t="shared" si="183"/>
        <v>-4741.4426537941772</v>
      </c>
      <c r="AP171" s="566">
        <f>VLOOKUP($A171,'01-02.2021'!$A$6:$CZ$403,42,FALSE)+VLOOKUP($A171,'1.3.21-28.2.22'!$A$6:$DA$404,42,FALSE)-VLOOKUP($A171,'01-02.2022'!$A$6:$DA$376,42,FALSE)</f>
        <v>9283.3186627278628</v>
      </c>
      <c r="AQ171" s="566">
        <f>VLOOKUP($A171,'01-02.2021'!$A$6:$CZ$403,43,FALSE)+VLOOKUP($A171,'1.3.21-28.2.22'!$A$6:$DA$404,43,FALSE)-VLOOKUP($A171,'01-02.2022'!$A$6:$DA$376,43,FALSE)</f>
        <v>7497.2482916682002</v>
      </c>
      <c r="AR171" s="70">
        <f t="shared" si="184"/>
        <v>-1786.0703710596626</v>
      </c>
      <c r="AS171" s="566">
        <f>VLOOKUP($A171,'01-02.2021'!$A$6:$CZ$403,45,FALSE)+VLOOKUP($A171,'1.3.21-28.2.22'!$A$6:$DA$404,45,FALSE)-VLOOKUP($A171,'01-02.2022'!$A$6:$DA$376,45,FALSE)</f>
        <v>157956.28790374618</v>
      </c>
      <c r="AT171" s="566">
        <f>VLOOKUP($A171,'01-02.2021'!$A$6:$CZ$403,46,FALSE)+VLOOKUP($A171,'1.3.21-28.2.22'!$A$6:$DA$404,46,FALSE)-VLOOKUP($A171,'01-02.2022'!$A$6:$DA$376,46,FALSE)</f>
        <v>233750.84</v>
      </c>
      <c r="AU171" s="78">
        <f t="shared" si="185"/>
        <v>75794.552096253814</v>
      </c>
      <c r="AV171" s="566">
        <f>VLOOKUP($A171,'01-02.2021'!$A$6:$CZ$403,48,FALSE)+VLOOKUP($A171,'1.3.21-28.2.22'!$A$6:$DA$404,48,FALSE)-VLOOKUP($A171,'01-02.2022'!$A$6:$DA$376,48,FALSE)</f>
        <v>5446.7574235912707</v>
      </c>
      <c r="AW171" s="566">
        <f>VLOOKUP($A171,'01-02.2021'!$A$6:$CZ$403,49,FALSE)+VLOOKUP($A171,'1.3.21-28.2.22'!$A$6:$DA$404,49,FALSE)-VLOOKUP($A171,'01-02.2022'!$A$6:$DA$376,49,FALSE)</f>
        <v>4245</v>
      </c>
      <c r="AX171" s="55">
        <f t="shared" si="186"/>
        <v>-1201.7574235912707</v>
      </c>
      <c r="AY171" s="566">
        <f>VLOOKUP($A171,'01-02.2021'!$A$6:$CZ$403,51,FALSE)+VLOOKUP($A171,'1.3.21-28.2.22'!$A$6:$DA$404,51,FALSE)-VLOOKUP($A171,'01-02.2022'!$A$6:$DA$376,51,FALSE)</f>
        <v>9788.5143728914591</v>
      </c>
      <c r="AZ171" s="566">
        <f>VLOOKUP($A171,'01-02.2021'!$A$6:$CZ$403,52,FALSE)+VLOOKUP($A171,'1.3.21-28.2.22'!$A$6:$DA$404,52,FALSE)-VLOOKUP($A171,'01-02.2022'!$A$6:$DA$376,52,FALSE)</f>
        <v>36228.050000000003</v>
      </c>
      <c r="BA171" s="38">
        <f t="shared" si="187"/>
        <v>26439.535627108544</v>
      </c>
      <c r="BB171" s="566">
        <f>VLOOKUP($A171,'01-02.2021'!$A$6:$CZ$403,54,FALSE)+VLOOKUP($A171,'1.3.21-28.2.22'!$A$6:$DA$404,54,FALSE)-VLOOKUP($A171,'01-02.2022'!$A$6:$DA$376,54,FALSE)</f>
        <v>2711.8253075737189</v>
      </c>
      <c r="BC171" s="566">
        <f>VLOOKUP($A171,'01-02.2021'!$A$6:$CZ$403,55,FALSE)+VLOOKUP($A171,'1.3.21-28.2.22'!$A$6:$DA$404,55,FALSE)-VLOOKUP($A171,'01-02.2022'!$A$6:$DA$376,55,FALSE)</f>
        <v>5486.41</v>
      </c>
      <c r="BD171" s="55">
        <f t="shared" si="188"/>
        <v>2774.584692426281</v>
      </c>
      <c r="BE171" s="566">
        <f>VLOOKUP($A171,'01-02.2021'!$A$6:$CZ$403,57,FALSE)+VLOOKUP($A171,'1.3.21-28.2.22'!$A$6:$DA$404,57,FALSE)-VLOOKUP($A171,'01-02.2022'!$A$6:$DA$376,57,FALSE)</f>
        <v>5815.4686017218846</v>
      </c>
      <c r="BF171" s="566">
        <f>VLOOKUP($A171,'01-02.2021'!$A$6:$CZ$403,58,FALSE)+VLOOKUP($A171,'1.3.21-28.2.22'!$A$6:$DA$404,58,FALSE)-VLOOKUP($A171,'01-02.2022'!$A$6:$DA$376,58,FALSE)</f>
        <v>5506.04</v>
      </c>
      <c r="BG171" s="55">
        <f t="shared" si="189"/>
        <v>-309.42860172188466</v>
      </c>
      <c r="BH171" s="566">
        <f>VLOOKUP($A171,'01-02.2021'!$A$6:$CZ$403,60,FALSE)+VLOOKUP($A171,'1.3.21-28.2.22'!$A$6:$DA$404,60,FALSE)-VLOOKUP($A171,'01-02.2022'!$A$6:$DA$376,60,FALSE)</f>
        <v>5039.793681388951</v>
      </c>
      <c r="BI171" s="566">
        <f>VLOOKUP($A171,'01-02.2021'!$A$6:$CZ$403,61,FALSE)+VLOOKUP($A171,'1.3.21-28.2.22'!$A$6:$DA$404,61,FALSE)-VLOOKUP($A171,'01-02.2022'!$A$6:$DA$376,61,FALSE)</f>
        <v>2215</v>
      </c>
      <c r="BJ171" s="55">
        <f t="shared" si="190"/>
        <v>-2824.793681388951</v>
      </c>
      <c r="BK171" s="566">
        <f>VLOOKUP($A171,'01-02.2021'!$A$6:$CZ$403,63,FALSE)+VLOOKUP($A171,'1.3.21-28.2.22'!$A$6:$DA$404,63,FALSE)-VLOOKUP($A171,'01-02.2022'!$A$6:$DA$376,63,FALSE)</f>
        <v>5066.5129405985426</v>
      </c>
      <c r="BL171" s="566">
        <f>VLOOKUP($A171,'01-02.2021'!$A$6:$CZ$403,64,FALSE)+VLOOKUP($A171,'1.3.21-28.2.22'!$A$6:$DA$404,64,FALSE)-VLOOKUP($A171,'01-02.2022'!$A$6:$DA$376,64,FALSE)</f>
        <v>1000</v>
      </c>
      <c r="BM171" s="55">
        <f t="shared" si="191"/>
        <v>-4066.5129405985426</v>
      </c>
      <c r="BN171" s="566">
        <f>VLOOKUP($A171,'01-02.2021'!$A$6:$CZ$403,66,FALSE)+VLOOKUP($A171,'1.3.21-28.2.22'!$A$6:$DA$404,66,FALSE)-VLOOKUP($A171,'01-02.2022'!$A$6:$DA$376,66,FALSE)</f>
        <v>985.71689375107098</v>
      </c>
      <c r="BO171" s="566">
        <f>VLOOKUP($A171,'01-02.2021'!$A$6:$CZ$403,67,FALSE)+VLOOKUP($A171,'1.3.21-28.2.22'!$A$6:$DA$404,67,FALSE)-VLOOKUP($A171,'01-02.2022'!$A$6:$DA$376,67,FALSE)</f>
        <v>0</v>
      </c>
      <c r="BP171" s="55">
        <f t="shared" si="192"/>
        <v>-985.71689375107098</v>
      </c>
      <c r="BQ171" s="77">
        <f t="shared" si="209"/>
        <v>34854.589221516901</v>
      </c>
      <c r="BR171" s="40">
        <f t="shared" si="210"/>
        <v>54680.500000000007</v>
      </c>
      <c r="BS171" s="55">
        <f t="shared" si="166"/>
        <v>19825.910778483107</v>
      </c>
      <c r="BT171" s="566">
        <f>VLOOKUP($A171,'01-02.2021'!$A$6:$CZ$403,72,FALSE)+VLOOKUP($A171,'1.3.21-28.2.22'!$A$6:$DA$404,72,FALSE)-VLOOKUP($A171,'01-02.2022'!$A$6:$DA$376,72,FALSE)</f>
        <v>124102.69027877558</v>
      </c>
      <c r="BU171" s="566">
        <f>VLOOKUP($A171,'01-02.2021'!$A$6:$CZ$403,73,FALSE)+VLOOKUP($A171,'1.3.21-28.2.22'!$A$6:$DA$404,73,FALSE)-VLOOKUP($A171,'01-02.2022'!$A$6:$DA$376,73,FALSE)</f>
        <v>128352.61745386323</v>
      </c>
      <c r="BV171" s="70">
        <f t="shared" si="193"/>
        <v>4249.9271750876505</v>
      </c>
      <c r="BW171" s="566">
        <f>VLOOKUP($A171,'01-02.2021'!$A$6:$CZ$403,75,FALSE)+VLOOKUP($A171,'1.3.21-28.2.22'!$A$6:$DA$404,75,FALSE)-VLOOKUP($A171,'01-02.2022'!$A$6:$DA$376,75,FALSE)</f>
        <v>78895.051260838372</v>
      </c>
      <c r="BX171" s="566">
        <f>VLOOKUP($A171,'01-02.2021'!$A$6:$CZ$403,76,FALSE)+VLOOKUP($A171,'1.3.21-28.2.22'!$A$6:$DA$404,76,FALSE)-VLOOKUP($A171,'01-02.2022'!$A$6:$DA$376,76,FALSE)</f>
        <v>79518.091168316343</v>
      </c>
      <c r="BY171" s="70">
        <f t="shared" si="194"/>
        <v>623.0399074779707</v>
      </c>
      <c r="BZ171" s="566">
        <f>VLOOKUP($A171,'01-02.2021'!$A$6:$CZ$403,78,FALSE)+VLOOKUP($A171,'1.3.21-28.2.22'!$A$6:$DA$404,78,FALSE)-VLOOKUP($A171,'01-02.2022'!$A$6:$DA$376,78,FALSE)</f>
        <v>19079.753005991108</v>
      </c>
      <c r="CA171" s="566">
        <f>VLOOKUP($A171,'01-02.2021'!$A$6:$CZ$403,79,FALSE)+VLOOKUP($A171,'1.3.21-28.2.22'!$A$6:$DA$404,79,FALSE)-VLOOKUP($A171,'01-02.2022'!$A$6:$DA$376,79,FALSE)</f>
        <v>28996.772352737222</v>
      </c>
      <c r="CB171" s="70">
        <f t="shared" si="195"/>
        <v>9917.019346746114</v>
      </c>
      <c r="CC171" s="566">
        <f>VLOOKUP($A171,'01-02.2021'!$A$6:$CZ$403,81,FALSE)+VLOOKUP($A171,'1.3.21-28.2.22'!$A$6:$DA$404,81,FALSE)-VLOOKUP($A171,'01-02.2022'!$A$6:$DA$376,81,FALSE)</f>
        <v>1585.3030784394284</v>
      </c>
      <c r="CD171" s="566">
        <f>VLOOKUP($A171,'01-02.2021'!$A$6:$CZ$403,82,FALSE)+VLOOKUP($A171,'1.3.21-28.2.22'!$A$6:$DA$404,82,FALSE)-VLOOKUP($A171,'01-02.2022'!$A$6:$DA$376,82,FALSE)</f>
        <v>1707.6781297212017</v>
      </c>
      <c r="CE171" s="70">
        <f t="shared" si="196"/>
        <v>122.37505128177327</v>
      </c>
      <c r="CF171" s="566">
        <f>VLOOKUP($A171,'01-02.2021'!$A$6:$CZ$403,84,FALSE)+VLOOKUP($A171,'1.3.21-28.2.22'!$A$6:$DA$404,84,FALSE)-VLOOKUP($A171,'01-02.2022'!$A$6:$DA$376,84,FALSE)</f>
        <v>189.94032855255745</v>
      </c>
      <c r="CG171" s="566">
        <f>VLOOKUP($A171,'01-02.2021'!$A$6:$CZ$403,85,FALSE)+VLOOKUP($A171,'1.3.21-28.2.22'!$A$6:$DA$404,85,FALSE)-VLOOKUP($A171,'01-02.2022'!$A$6:$DA$376,85,FALSE)</f>
        <v>550.31919974422317</v>
      </c>
      <c r="CH171" s="70">
        <f t="shared" si="197"/>
        <v>360.37887119166572</v>
      </c>
      <c r="CI171" s="566">
        <f>VLOOKUP($A171,'01-02.2021'!$A$6:$CZ$403,87,FALSE)+VLOOKUP($A171,'1.3.21-28.2.22'!$A$6:$DA$404,87,FALSE)-VLOOKUP($A171,'01-02.2022'!$A$6:$DA$376,87,FALSE)</f>
        <v>8050.7508866452627</v>
      </c>
      <c r="CJ171" s="566">
        <f>VLOOKUP($A171,'01-02.2021'!$A$6:$CZ$403,88,FALSE)+VLOOKUP($A171,'1.3.21-28.2.22'!$A$6:$DA$404,88,FALSE)-VLOOKUP($A171,'01-02.2022'!$A$6:$DA$376,88,FALSE)</f>
        <v>9451.4621323199499</v>
      </c>
      <c r="CK171" s="70">
        <f t="shared" si="198"/>
        <v>1400.7112456746872</v>
      </c>
      <c r="CL171" s="566">
        <f>VLOOKUP($A171,'01-02.2021'!$A$6:$CZ$403,90,FALSE)+VLOOKUP($A171,'1.3.21-28.2.22'!$A$6:$DA$404,90,FALSE)-VLOOKUP($A171,'01-02.2022'!$A$6:$DA$376,90,FALSE)</f>
        <v>31337.291103802767</v>
      </c>
      <c r="CM171" s="566">
        <f>VLOOKUP($A171,'01-02.2021'!$A$6:$CZ$403,91,FALSE)+VLOOKUP($A171,'1.3.21-28.2.22'!$A$6:$DA$404,91,FALSE)-VLOOKUP($A171,'01-02.2022'!$A$6:$DA$376,91,FALSE)</f>
        <v>25890.306759157564</v>
      </c>
      <c r="CN171" s="52">
        <f t="shared" si="158"/>
        <v>-5446.9843446452032</v>
      </c>
      <c r="CO171" s="39">
        <f t="shared" si="153"/>
        <v>39388.04199044803</v>
      </c>
      <c r="CP171" s="40">
        <f t="shared" si="159"/>
        <v>35341.768891477514</v>
      </c>
      <c r="CQ171" s="52">
        <f t="shared" si="160"/>
        <v>-4046.273098970516</v>
      </c>
      <c r="CR171" s="72">
        <f t="shared" si="154"/>
        <v>715200.89094346983</v>
      </c>
      <c r="CS171" s="5">
        <f t="shared" si="154"/>
        <v>812204.93578513304</v>
      </c>
      <c r="CT171" s="52">
        <f t="shared" si="161"/>
        <v>97004.044841663213</v>
      </c>
      <c r="CU171" s="77">
        <f t="shared" si="162"/>
        <v>858241.06913216377</v>
      </c>
      <c r="CV171" s="65">
        <f t="shared" si="163"/>
        <v>974645.92294215958</v>
      </c>
      <c r="CW171" s="35">
        <f t="shared" si="164"/>
        <v>116404.85380999581</v>
      </c>
      <c r="CX171" s="566">
        <f>VLOOKUP($A171,'01-02.2021'!$A$6:$CZ$403,102,FALSE)+VLOOKUP($A171,'1.3.21-28.2.22'!$A$6:$DA$404,102,FALSE)-VLOOKUP($A171,'01-02.2022'!$A$6:$DA$376,102,FALSE)</f>
        <v>24587.441843088971</v>
      </c>
      <c r="CY171" s="566">
        <f>VLOOKUP($A171,'01-02.2021'!$A$6:$CZ$403,103,FALSE)+VLOOKUP($A171,'1.3.21-28.2.22'!$A$6:$DA$404,103,FALSE)-VLOOKUP($A171,'01-02.2022'!$A$6:$DA$376,103,FALSE)</f>
        <v>-91817.41196690686</v>
      </c>
      <c r="CZ171" s="52">
        <f t="shared" si="165"/>
        <v>-116404.85380999584</v>
      </c>
      <c r="DA171" s="150">
        <f>'[2]побудинковий звіт'!DA171</f>
        <v>105113.06168814987</v>
      </c>
      <c r="DB171" s="2">
        <v>1</v>
      </c>
      <c r="DC171" s="414">
        <f>'[4]побудинковий звіт'!DC171</f>
        <v>135851.34</v>
      </c>
      <c r="DD171" s="414">
        <f>'[4]побудинковий звіт'!DD171</f>
        <v>0</v>
      </c>
      <c r="DE171" s="557">
        <f>'[4]побудинковий звіт'!DE171</f>
        <v>56601.645920036492</v>
      </c>
      <c r="DF171" s="557">
        <f>'[4]побудинковий звіт'!DF171</f>
        <v>0</v>
      </c>
      <c r="DG171" s="321">
        <f>VLOOKUP(A171,'кошти 01.03.2021'!$A$6:$D$401,4,)</f>
        <v>28584.536989117427</v>
      </c>
      <c r="DH171" s="40">
        <f>'[3]побудинковий звіт'!DJ171</f>
        <v>909619.72069847933</v>
      </c>
      <c r="DI171" s="422">
        <f>'[3]побудинковий звіт'!CU171+'[3]побудинковий звіт'!CX171</f>
        <v>79249.694079963519</v>
      </c>
      <c r="DJ171" s="306">
        <f>'[3]побудинковий звіт'!DM171</f>
        <v>5.454300738822873</v>
      </c>
      <c r="DK171" s="306">
        <f>'[3]побудинковий звіт'!DN171</f>
        <v>7.0069922192172074</v>
      </c>
      <c r="DL171" s="306">
        <f>'[3]побудинковий звіт'!DO171</f>
        <v>4.676506445336793</v>
      </c>
      <c r="DM171" s="28">
        <f>DJ171*G171+(F171-G171)*DK171</f>
        <v>79249.694079963505</v>
      </c>
      <c r="DN171" s="28">
        <f>DL171*H171</f>
        <v>0</v>
      </c>
      <c r="DO171" s="423">
        <f t="shared" si="171"/>
        <v>79249.694079963505</v>
      </c>
      <c r="DP171" s="94">
        <f t="shared" si="172"/>
        <v>0</v>
      </c>
      <c r="DQ171" s="28">
        <f t="shared" si="173"/>
        <v>79249.694079963505</v>
      </c>
      <c r="DR171" s="318"/>
      <c r="DT171" s="8"/>
      <c r="DU171" s="5"/>
      <c r="DX171" s="5">
        <f t="shared" si="174"/>
        <v>231373.05255031571</v>
      </c>
      <c r="DY171" s="5">
        <f t="shared" si="175"/>
        <v>346117.60800000001</v>
      </c>
      <c r="DZ171" s="159">
        <f>'[3]побудинковий звіт'!EA171</f>
        <v>21878.21674853357</v>
      </c>
    </row>
    <row r="172" spans="1:130" ht="18.75" customHeight="1" x14ac:dyDescent="0.3">
      <c r="A172" s="325">
        <v>150001035</v>
      </c>
      <c r="B172" s="41" t="s">
        <v>620</v>
      </c>
      <c r="C172" s="42" t="s">
        <v>263</v>
      </c>
      <c r="D172" s="42"/>
      <c r="E172" s="293">
        <f t="shared" si="149"/>
        <v>2850.7000000000003</v>
      </c>
      <c r="F172" s="305">
        <f>'[3]побудинковий звіт'!F172</f>
        <v>2771.3</v>
      </c>
      <c r="G172" s="508">
        <f>'[3]побудинковий звіт'!G172</f>
        <v>0</v>
      </c>
      <c r="H172" s="560">
        <f>'[3]побудинковий звіт'!H172</f>
        <v>79.400000000000006</v>
      </c>
      <c r="I172" s="566">
        <f>VLOOKUP($A172,'01-02.2021'!$A$6:$CZ$403,9,FALSE)+VLOOKUP($A172,'1.3.21-28.2.22'!$A$6:$DA$404,9,FALSE)-VLOOKUP($A172,'01-02.2022'!$A$6:$DA$376,9,FALSE)</f>
        <v>9958.6087750017396</v>
      </c>
      <c r="J172" s="566">
        <f>VLOOKUP($A172,'01-02.2021'!$A$6:$CZ$403,10,FALSE)+VLOOKUP($A172,'1.3.21-28.2.22'!$A$6:$DA$404,10,FALSE)-VLOOKUP($A172,'01-02.2022'!$A$6:$DA$376,10,FALSE)</f>
        <v>8764.311169379911</v>
      </c>
      <c r="K172" s="52">
        <f t="shared" si="155"/>
        <v>-1194.2976056218286</v>
      </c>
      <c r="L172" s="566">
        <f>VLOOKUP($A172,'01-02.2021'!$A$6:$CZ$403,12,FALSE)+VLOOKUP($A172,'1.3.21-28.2.22'!$A$6:$DA$404,12,FALSE)-VLOOKUP($A172,'01-02.2022'!$A$6:$DA$376,12,FALSE)</f>
        <v>1951.094741982643</v>
      </c>
      <c r="M172" s="566">
        <f>VLOOKUP($A172,'01-02.2021'!$A$6:$CZ$403,13,FALSE)+VLOOKUP($A172,'1.3.21-28.2.22'!$A$6:$DA$404,13,FALSE)-VLOOKUP($A172,'01-02.2022'!$A$6:$DA$376,13,FALSE)</f>
        <v>1761.7469574325273</v>
      </c>
      <c r="N172" s="52">
        <f t="shared" si="156"/>
        <v>-189.34778455011565</v>
      </c>
      <c r="O172" s="566">
        <f>VLOOKUP($A172,'01-02.2021'!$A$6:$CZ$403,15,FALSE)+VLOOKUP($A172,'1.3.21-28.2.22'!$A$6:$DA$404,15,FALSE)-VLOOKUP($A172,'01-02.2022'!$A$6:$DA$376,15,FALSE)</f>
        <v>4054.8275615081238</v>
      </c>
      <c r="P172" s="566">
        <f>VLOOKUP($A172,'01-02.2021'!$A$6:$CZ$403,16,FALSE)+VLOOKUP($A172,'1.3.21-28.2.22'!$A$6:$DA$404,16,FALSE)-VLOOKUP($A172,'01-02.2022'!$A$6:$DA$376,16,FALSE)</f>
        <v>4054.84</v>
      </c>
      <c r="Q172" s="70">
        <f t="shared" si="176"/>
        <v>1.2438491876309854E-2</v>
      </c>
      <c r="R172" s="566">
        <f>VLOOKUP($A172,'01-02.2021'!$A$6:$CZ$403,18,FALSE)+VLOOKUP($A172,'1.3.21-28.2.22'!$A$6:$DA$404,18,FALSE)-VLOOKUP($A172,'01-02.2022'!$A$6:$DA$376,18,FALSE)</f>
        <v>856.44543183652502</v>
      </c>
      <c r="S172" s="566">
        <f>VLOOKUP($A172,'01-02.2021'!$A$6:$CZ$403,19,FALSE)+VLOOKUP($A172,'1.3.21-28.2.22'!$A$6:$DA$404,19,FALSE)-VLOOKUP($A172,'01-02.2022'!$A$6:$DA$376,19,FALSE)</f>
        <v>856.42000000000007</v>
      </c>
      <c r="T172" s="70">
        <f t="shared" si="177"/>
        <v>-2.5431836524944629E-2</v>
      </c>
      <c r="U172" s="566">
        <f>VLOOKUP($A172,'01-02.2021'!$A$6:$CZ$403,21,FALSE)+VLOOKUP($A172,'1.3.21-28.2.22'!$A$6:$DA$404,21,FALSE)-VLOOKUP($A172,'01-02.2022'!$A$6:$DA$376,21,FALSE)</f>
        <v>610.46629745812027</v>
      </c>
      <c r="V172" s="566">
        <f>VLOOKUP($A172,'01-02.2021'!$A$6:$CZ$403,22,FALSE)+VLOOKUP($A172,'1.3.21-28.2.22'!$A$6:$DA$404,22,FALSE)-VLOOKUP($A172,'01-02.2022'!$A$6:$DA$376,22,FALSE)</f>
        <v>397.66421087491199</v>
      </c>
      <c r="W172" s="70">
        <f t="shared" si="178"/>
        <v>-212.80208658320828</v>
      </c>
      <c r="X172" s="566">
        <f>VLOOKUP($A172,'01-02.2021'!$A$6:$CZ$403,24,FALSE)+VLOOKUP($A172,'1.3.21-28.2.22'!$A$6:$DA$404,24,FALSE)-VLOOKUP($A172,'01-02.2022'!$A$6:$DA$376,24,FALSE)</f>
        <v>6238.418543029984</v>
      </c>
      <c r="Y172" s="566">
        <f>VLOOKUP($A172,'01-02.2021'!$A$6:$CZ$403,25,FALSE)+VLOOKUP($A172,'1.3.21-28.2.22'!$A$6:$DA$404,25,FALSE)-VLOOKUP($A172,'01-02.2022'!$A$6:$DA$376,25,FALSE)</f>
        <v>5305.4408269510859</v>
      </c>
      <c r="Z172" s="70">
        <f t="shared" si="179"/>
        <v>-932.97771607889808</v>
      </c>
      <c r="AA172" s="566">
        <f>VLOOKUP($A172,'01-02.2021'!$A$6:$CZ$403,27,FALSE)+VLOOKUP($A172,'1.3.21-28.2.22'!$A$6:$DA$404,27,FALSE)-VLOOKUP($A172,'01-02.2022'!$A$6:$DA$376,27,FALSE)</f>
        <v>570.1400000000001</v>
      </c>
      <c r="AB172" s="566">
        <f>VLOOKUP($A172,'01-02.2021'!$A$6:$CZ$403,28,FALSE)+VLOOKUP($A172,'1.3.21-28.2.22'!$A$6:$DA$404,28,FALSE)-VLOOKUP($A172,'01-02.2022'!$A$6:$DA$376,28,FALSE)</f>
        <v>0</v>
      </c>
      <c r="AC172" s="70">
        <f t="shared" si="180"/>
        <v>-570.1400000000001</v>
      </c>
      <c r="AD172" s="566">
        <f>VLOOKUP($A172,'01-02.2021'!$A$6:$CZ$403,30,FALSE)+VLOOKUP($A172,'1.3.21-28.2.22'!$A$6:$DA$404,30,FALSE)-VLOOKUP($A172,'01-02.2022'!$A$6:$DA$376,30,FALSE)</f>
        <v>12236.680991346846</v>
      </c>
      <c r="AE172" s="566">
        <f>VLOOKUP($A172,'01-02.2021'!$A$6:$CZ$403,31,FALSE)+VLOOKUP($A172,'1.3.21-28.2.22'!$A$6:$DA$404,31,FALSE)-VLOOKUP($A172,'01-02.2022'!$A$6:$DA$376,31,FALSE)</f>
        <v>12976.501261118094</v>
      </c>
      <c r="AF172" s="68">
        <f t="shared" si="181"/>
        <v>739.82026977124769</v>
      </c>
      <c r="AG172" s="77">
        <f t="shared" si="150"/>
        <v>36476.682342163978</v>
      </c>
      <c r="AH172" s="53">
        <f t="shared" si="150"/>
        <v>34116.92442575653</v>
      </c>
      <c r="AI172" s="52">
        <f t="shared" si="157"/>
        <v>-2359.7579164074486</v>
      </c>
      <c r="AJ172" s="566">
        <f>VLOOKUP($A172,'01-02.2021'!$A$6:$CZ$403,36,FALSE)+VLOOKUP($A172,'1.3.21-28.2.22'!$A$6:$DA$404,36,FALSE)-VLOOKUP($A172,'01-02.2022'!$A$6:$DA$376,36,FALSE)</f>
        <v>0</v>
      </c>
      <c r="AK172" s="566">
        <f>VLOOKUP($A172,'01-02.2021'!$A$6:$CZ$403,37,FALSE)+VLOOKUP($A172,'1.3.21-28.2.22'!$A$6:$DA$404,37,FALSE)-VLOOKUP($A172,'01-02.2022'!$A$6:$DA$376,37,FALSE)</f>
        <v>0</v>
      </c>
      <c r="AL172" s="70">
        <f t="shared" si="182"/>
        <v>0</v>
      </c>
      <c r="AM172" s="566">
        <f>VLOOKUP($A172,'01-02.2021'!$A$6:$CZ$403,39,FALSE)+VLOOKUP($A172,'1.3.21-28.2.22'!$A$6:$DA$404,39,FALSE)-VLOOKUP($A172,'01-02.2022'!$A$6:$DA$376,39,FALSE)</f>
        <v>0</v>
      </c>
      <c r="AN172" s="566">
        <f>VLOOKUP($A172,'01-02.2021'!$A$6:$CZ$403,40,FALSE)+VLOOKUP($A172,'1.3.21-28.2.22'!$A$6:$DA$404,40,FALSE)-VLOOKUP($A172,'01-02.2022'!$A$6:$DA$376,40,FALSE)</f>
        <v>0</v>
      </c>
      <c r="AO172" s="70">
        <f t="shared" si="183"/>
        <v>0</v>
      </c>
      <c r="AP172" s="566">
        <f>VLOOKUP($A172,'01-02.2021'!$A$6:$CZ$403,42,FALSE)+VLOOKUP($A172,'1.3.21-28.2.22'!$A$6:$DA$404,42,FALSE)-VLOOKUP($A172,'01-02.2022'!$A$6:$DA$376,42,FALSE)</f>
        <v>2559.4196313128223</v>
      </c>
      <c r="AQ172" s="566">
        <f>VLOOKUP($A172,'01-02.2021'!$A$6:$CZ$403,43,FALSE)+VLOOKUP($A172,'1.3.21-28.2.22'!$A$6:$DA$404,43,FALSE)-VLOOKUP($A172,'01-02.2022'!$A$6:$DA$376,43,FALSE)</f>
        <v>2017.0261901442364</v>
      </c>
      <c r="AR172" s="70">
        <f t="shared" si="184"/>
        <v>-542.39344116858592</v>
      </c>
      <c r="AS172" s="566">
        <f>VLOOKUP($A172,'01-02.2021'!$A$6:$CZ$403,45,FALSE)+VLOOKUP($A172,'1.3.21-28.2.22'!$A$6:$DA$404,45,FALSE)-VLOOKUP($A172,'01-02.2022'!$A$6:$DA$376,45,FALSE)</f>
        <v>36307.956015843272</v>
      </c>
      <c r="AT172" s="566">
        <f>VLOOKUP($A172,'01-02.2021'!$A$6:$CZ$403,46,FALSE)+VLOOKUP($A172,'1.3.21-28.2.22'!$A$6:$DA$404,46,FALSE)-VLOOKUP($A172,'01-02.2022'!$A$6:$DA$376,46,FALSE)</f>
        <v>4398</v>
      </c>
      <c r="AU172" s="78">
        <f t="shared" si="185"/>
        <v>-31909.956015843272</v>
      </c>
      <c r="AV172" s="566">
        <f>VLOOKUP($A172,'01-02.2021'!$A$6:$CZ$403,48,FALSE)+VLOOKUP($A172,'1.3.21-28.2.22'!$A$6:$DA$404,48,FALSE)-VLOOKUP($A172,'01-02.2022'!$A$6:$DA$376,48,FALSE)</f>
        <v>2790.5713995758601</v>
      </c>
      <c r="AW172" s="566">
        <f>VLOOKUP($A172,'01-02.2021'!$A$6:$CZ$403,49,FALSE)+VLOOKUP($A172,'1.3.21-28.2.22'!$A$6:$DA$404,49,FALSE)-VLOOKUP($A172,'01-02.2022'!$A$6:$DA$376,49,FALSE)</f>
        <v>0</v>
      </c>
      <c r="AX172" s="55">
        <f t="shared" si="186"/>
        <v>-2790.5713995758601</v>
      </c>
      <c r="AY172" s="566">
        <f>VLOOKUP($A172,'01-02.2021'!$A$6:$CZ$403,51,FALSE)+VLOOKUP($A172,'1.3.21-28.2.22'!$A$6:$DA$404,51,FALSE)-VLOOKUP($A172,'01-02.2022'!$A$6:$DA$376,51,FALSE)</f>
        <v>3667.6923016407127</v>
      </c>
      <c r="AZ172" s="566">
        <f>VLOOKUP($A172,'01-02.2021'!$A$6:$CZ$403,52,FALSE)+VLOOKUP($A172,'1.3.21-28.2.22'!$A$6:$DA$404,52,FALSE)-VLOOKUP($A172,'01-02.2022'!$A$6:$DA$376,52,FALSE)</f>
        <v>6.5</v>
      </c>
      <c r="BA172" s="38">
        <f t="shared" si="187"/>
        <v>-3661.1923016407127</v>
      </c>
      <c r="BB172" s="566">
        <f>VLOOKUP($A172,'01-02.2021'!$A$6:$CZ$403,54,FALSE)+VLOOKUP($A172,'1.3.21-28.2.22'!$A$6:$DA$404,54,FALSE)-VLOOKUP($A172,'01-02.2022'!$A$6:$DA$376,54,FALSE)</f>
        <v>1513.1947931653467</v>
      </c>
      <c r="BC172" s="566">
        <f>VLOOKUP($A172,'01-02.2021'!$A$6:$CZ$403,55,FALSE)+VLOOKUP($A172,'1.3.21-28.2.22'!$A$6:$DA$404,55,FALSE)-VLOOKUP($A172,'01-02.2022'!$A$6:$DA$376,55,FALSE)</f>
        <v>836</v>
      </c>
      <c r="BD172" s="55">
        <f t="shared" si="188"/>
        <v>-677.19479316534671</v>
      </c>
      <c r="BE172" s="566">
        <f>VLOOKUP($A172,'01-02.2021'!$A$6:$CZ$403,57,FALSE)+VLOOKUP($A172,'1.3.21-28.2.22'!$A$6:$DA$404,57,FALSE)-VLOOKUP($A172,'01-02.2022'!$A$6:$DA$376,57,FALSE)</f>
        <v>1883.6740325550145</v>
      </c>
      <c r="BF172" s="566">
        <f>VLOOKUP($A172,'01-02.2021'!$A$6:$CZ$403,58,FALSE)+VLOOKUP($A172,'1.3.21-28.2.22'!$A$6:$DA$404,58,FALSE)-VLOOKUP($A172,'01-02.2022'!$A$6:$DA$376,58,FALSE)</f>
        <v>0</v>
      </c>
      <c r="BG172" s="55">
        <f t="shared" si="189"/>
        <v>-1883.6740325550145</v>
      </c>
      <c r="BH172" s="566">
        <f>VLOOKUP($A172,'01-02.2021'!$A$6:$CZ$403,60,FALSE)+VLOOKUP($A172,'1.3.21-28.2.22'!$A$6:$DA$404,60,FALSE)-VLOOKUP($A172,'01-02.2022'!$A$6:$DA$376,60,FALSE)</f>
        <v>1369.6262160600197</v>
      </c>
      <c r="BI172" s="566">
        <f>VLOOKUP($A172,'01-02.2021'!$A$6:$CZ$403,61,FALSE)+VLOOKUP($A172,'1.3.21-28.2.22'!$A$6:$DA$404,61,FALSE)-VLOOKUP($A172,'01-02.2022'!$A$6:$DA$376,61,FALSE)</f>
        <v>0</v>
      </c>
      <c r="BJ172" s="55">
        <f t="shared" si="190"/>
        <v>-1369.6262160600197</v>
      </c>
      <c r="BK172" s="566">
        <f>VLOOKUP($A172,'01-02.2021'!$A$6:$CZ$403,63,FALSE)+VLOOKUP($A172,'1.3.21-28.2.22'!$A$6:$DA$404,63,FALSE)-VLOOKUP($A172,'01-02.2022'!$A$6:$DA$376,63,FALSE)</f>
        <v>1878.0217557583553</v>
      </c>
      <c r="BL172" s="566">
        <f>VLOOKUP($A172,'01-02.2021'!$A$6:$CZ$403,64,FALSE)+VLOOKUP($A172,'1.3.21-28.2.22'!$A$6:$DA$404,64,FALSE)-VLOOKUP($A172,'01-02.2022'!$A$6:$DA$376,64,FALSE)</f>
        <v>0</v>
      </c>
      <c r="BM172" s="55">
        <f t="shared" si="191"/>
        <v>-1878.0217557583553</v>
      </c>
      <c r="BN172" s="566">
        <f>VLOOKUP($A172,'01-02.2021'!$A$6:$CZ$403,66,FALSE)+VLOOKUP($A172,'1.3.21-28.2.22'!$A$6:$DA$404,66,FALSE)-VLOOKUP($A172,'01-02.2022'!$A$6:$DA$376,66,FALSE)</f>
        <v>1223.5485852099002</v>
      </c>
      <c r="BO172" s="566">
        <f>VLOOKUP($A172,'01-02.2021'!$A$6:$CZ$403,67,FALSE)+VLOOKUP($A172,'1.3.21-28.2.22'!$A$6:$DA$404,67,FALSE)-VLOOKUP($A172,'01-02.2022'!$A$6:$DA$376,67,FALSE)</f>
        <v>0</v>
      </c>
      <c r="BP172" s="55">
        <f t="shared" si="192"/>
        <v>-1223.5485852099002</v>
      </c>
      <c r="BQ172" s="77">
        <f t="shared" si="209"/>
        <v>14326.329083965209</v>
      </c>
      <c r="BR172" s="40">
        <f t="shared" si="210"/>
        <v>842.5</v>
      </c>
      <c r="BS172" s="55">
        <f t="shared" si="166"/>
        <v>-13483.829083965209</v>
      </c>
      <c r="BT172" s="566">
        <f>VLOOKUP($A172,'01-02.2021'!$A$6:$CZ$403,72,FALSE)+VLOOKUP($A172,'1.3.21-28.2.22'!$A$6:$DA$404,72,FALSE)-VLOOKUP($A172,'01-02.2022'!$A$6:$DA$376,72,FALSE)</f>
        <v>30754.188101748474</v>
      </c>
      <c r="BU172" s="566">
        <f>VLOOKUP($A172,'01-02.2021'!$A$6:$CZ$403,73,FALSE)+VLOOKUP($A172,'1.3.21-28.2.22'!$A$6:$DA$404,73,FALSE)-VLOOKUP($A172,'01-02.2022'!$A$6:$DA$376,73,FALSE)</f>
        <v>38405.381859657995</v>
      </c>
      <c r="BV172" s="70">
        <f t="shared" si="193"/>
        <v>7651.1937579095211</v>
      </c>
      <c r="BW172" s="566">
        <f>VLOOKUP($A172,'01-02.2021'!$A$6:$CZ$403,75,FALSE)+VLOOKUP($A172,'1.3.21-28.2.22'!$A$6:$DA$404,75,FALSE)-VLOOKUP($A172,'01-02.2022'!$A$6:$DA$376,75,FALSE)</f>
        <v>15108.746867523891</v>
      </c>
      <c r="BX172" s="566">
        <f>VLOOKUP($A172,'01-02.2021'!$A$6:$CZ$403,76,FALSE)+VLOOKUP($A172,'1.3.21-28.2.22'!$A$6:$DA$404,76,FALSE)-VLOOKUP($A172,'01-02.2022'!$A$6:$DA$376,76,FALSE)</f>
        <v>14188.433593030895</v>
      </c>
      <c r="BY172" s="70">
        <f t="shared" si="194"/>
        <v>-920.31327449299533</v>
      </c>
      <c r="BZ172" s="566">
        <f>VLOOKUP($A172,'01-02.2021'!$A$6:$CZ$403,78,FALSE)+VLOOKUP($A172,'1.3.21-28.2.22'!$A$6:$DA$404,78,FALSE)-VLOOKUP($A172,'01-02.2022'!$A$6:$DA$376,78,FALSE)</f>
        <v>15036.757249037379</v>
      </c>
      <c r="CA172" s="566">
        <f>VLOOKUP($A172,'01-02.2021'!$A$6:$CZ$403,79,FALSE)+VLOOKUP($A172,'1.3.21-28.2.22'!$A$6:$DA$404,79,FALSE)-VLOOKUP($A172,'01-02.2022'!$A$6:$DA$376,79,FALSE)</f>
        <v>4810.7164852052701</v>
      </c>
      <c r="CB172" s="70">
        <f t="shared" si="195"/>
        <v>-10226.040763832108</v>
      </c>
      <c r="CC172" s="566">
        <f>VLOOKUP($A172,'01-02.2021'!$A$6:$CZ$403,81,FALSE)+VLOOKUP($A172,'1.3.21-28.2.22'!$A$6:$DA$404,81,FALSE)-VLOOKUP($A172,'01-02.2022'!$A$6:$DA$376,81,FALSE)</f>
        <v>1516.9843407258036</v>
      </c>
      <c r="CD172" s="566">
        <f>VLOOKUP($A172,'01-02.2021'!$A$6:$CZ$403,82,FALSE)+VLOOKUP($A172,'1.3.21-28.2.22'!$A$6:$DA$404,82,FALSE)-VLOOKUP($A172,'01-02.2022'!$A$6:$DA$376,82,FALSE)</f>
        <v>1658.0532951822947</v>
      </c>
      <c r="CE172" s="70">
        <f t="shared" si="196"/>
        <v>141.06895445649116</v>
      </c>
      <c r="CF172" s="566">
        <f>VLOOKUP($A172,'01-02.2021'!$A$6:$CZ$403,84,FALSE)+VLOOKUP($A172,'1.3.21-28.2.22'!$A$6:$DA$404,84,FALSE)-VLOOKUP($A172,'01-02.2022'!$A$6:$DA$376,84,FALSE)</f>
        <v>184.42069507325238</v>
      </c>
      <c r="CG172" s="566">
        <f>VLOOKUP($A172,'01-02.2021'!$A$6:$CZ$403,85,FALSE)+VLOOKUP($A172,'1.3.21-28.2.22'!$A$6:$DA$404,85,FALSE)-VLOOKUP($A172,'01-02.2022'!$A$6:$DA$376,85,FALSE)</f>
        <v>1824.7191009648782</v>
      </c>
      <c r="CH172" s="70">
        <f t="shared" si="197"/>
        <v>1640.2984058916259</v>
      </c>
      <c r="CI172" s="566">
        <f>VLOOKUP($A172,'01-02.2021'!$A$6:$CZ$403,87,FALSE)+VLOOKUP($A172,'1.3.21-28.2.22'!$A$6:$DA$404,87,FALSE)-VLOOKUP($A172,'01-02.2022'!$A$6:$DA$376,87,FALSE)</f>
        <v>6046.4251457825894</v>
      </c>
      <c r="CJ172" s="566">
        <f>VLOOKUP($A172,'01-02.2021'!$A$6:$CZ$403,88,FALSE)+VLOOKUP($A172,'1.3.21-28.2.22'!$A$6:$DA$404,88,FALSE)-VLOOKUP($A172,'01-02.2022'!$A$6:$DA$376,88,FALSE)</f>
        <v>5084.3657793581706</v>
      </c>
      <c r="CK172" s="70">
        <f t="shared" si="198"/>
        <v>-962.05936642441884</v>
      </c>
      <c r="CL172" s="566">
        <f>VLOOKUP($A172,'01-02.2021'!$A$6:$CZ$403,90,FALSE)+VLOOKUP($A172,'1.3.21-28.2.22'!$A$6:$DA$404,90,FALSE)-VLOOKUP($A172,'01-02.2022'!$A$6:$DA$376,90,FALSE)</f>
        <v>0</v>
      </c>
      <c r="CM172" s="566">
        <f>VLOOKUP($A172,'01-02.2021'!$A$6:$CZ$403,91,FALSE)+VLOOKUP($A172,'1.3.21-28.2.22'!$A$6:$DA$404,91,FALSE)-VLOOKUP($A172,'01-02.2022'!$A$6:$DA$376,91,FALSE)</f>
        <v>0</v>
      </c>
      <c r="CN172" s="52">
        <f t="shared" si="158"/>
        <v>0</v>
      </c>
      <c r="CO172" s="39">
        <f t="shared" si="153"/>
        <v>6046.4251457825894</v>
      </c>
      <c r="CP172" s="40">
        <f t="shared" si="159"/>
        <v>5084.3657793581706</v>
      </c>
      <c r="CQ172" s="52">
        <f t="shared" si="160"/>
        <v>-962.05936642441884</v>
      </c>
      <c r="CR172" s="72">
        <f t="shared" si="154"/>
        <v>158317.9094731767</v>
      </c>
      <c r="CS172" s="5">
        <f t="shared" si="154"/>
        <v>107346.12072930028</v>
      </c>
      <c r="CT172" s="52">
        <f t="shared" si="161"/>
        <v>-50971.788743876416</v>
      </c>
      <c r="CU172" s="77">
        <f t="shared" si="162"/>
        <v>189981.49136781204</v>
      </c>
      <c r="CV172" s="65">
        <f t="shared" si="163"/>
        <v>128815.34487516033</v>
      </c>
      <c r="CW172" s="35">
        <f t="shared" si="164"/>
        <v>-61166.146492651707</v>
      </c>
      <c r="CX172" s="566">
        <f>VLOOKUP($A172,'01-02.2021'!$A$6:$CZ$403,102,FALSE)+VLOOKUP($A172,'1.3.21-28.2.22'!$A$6:$DA$404,102,FALSE)-VLOOKUP($A172,'01-02.2022'!$A$6:$DA$376,102,FALSE)</f>
        <v>6003.9408956577545</v>
      </c>
      <c r="CY172" s="566">
        <f>VLOOKUP($A172,'01-02.2021'!$A$6:$CZ$403,103,FALSE)+VLOOKUP($A172,'1.3.21-28.2.22'!$A$6:$DA$404,103,FALSE)-VLOOKUP($A172,'01-02.2022'!$A$6:$DA$376,103,FALSE)</f>
        <v>67170.087388309417</v>
      </c>
      <c r="CZ172" s="52">
        <f t="shared" si="165"/>
        <v>61166.146492651664</v>
      </c>
      <c r="DA172" s="150">
        <f>'[2]побудинковий звіт'!DA172</f>
        <v>-47566.241515051326</v>
      </c>
      <c r="DB172" s="2">
        <v>1</v>
      </c>
      <c r="DC172" s="414">
        <f>'[4]побудинковий звіт'!DC172</f>
        <v>29220.799999999999</v>
      </c>
      <c r="DD172" s="414">
        <f>'[4]побудинковий звіт'!DD172</f>
        <v>446.62</v>
      </c>
      <c r="DE172" s="557">
        <f>'[4]побудинковий звіт'!DE172</f>
        <v>11842.745497209904</v>
      </c>
      <c r="DF172" s="557">
        <f>'[4]побудинковий звіт'!DF172</f>
        <v>6.9159150802420299E-3</v>
      </c>
      <c r="DG172" s="321">
        <f>VLOOKUP(A172,'кошти 01.03.2021'!$A$6:$D$401,4,)</f>
        <v>14550.521968934008</v>
      </c>
      <c r="DH172" s="40">
        <f>'[3]побудинковий звіт'!DJ172</f>
        <v>203046.36174872098</v>
      </c>
      <c r="DI172" s="422">
        <f>'[3]побудинковий звіт'!CU172+'[3]побудинковий звіт'!CX172</f>
        <v>17824.667586875017</v>
      </c>
      <c r="DJ172" s="306">
        <f>'[3]побудинковий звіт'!DM172</f>
        <v>6.2707229469166439</v>
      </c>
      <c r="DK172" s="306">
        <f>DJ172</f>
        <v>6.2707229469166439</v>
      </c>
      <c r="DL172" s="306">
        <f>'[3]побудинковий звіт'!DO172</f>
        <v>5.6248499255027671</v>
      </c>
      <c r="DM172" s="28">
        <f>F172*DJ172</f>
        <v>17378.054502790095</v>
      </c>
      <c r="DN172" s="28">
        <f>H172*DL172</f>
        <v>446.61308408491976</v>
      </c>
      <c r="DO172" s="423">
        <f t="shared" si="171"/>
        <v>17824.667586875014</v>
      </c>
      <c r="DP172" s="94">
        <f t="shared" si="172"/>
        <v>0</v>
      </c>
      <c r="DQ172" s="28">
        <f t="shared" si="173"/>
        <v>17824.667586875014</v>
      </c>
      <c r="DR172" s="318"/>
      <c r="DT172" s="8"/>
      <c r="DU172" s="5"/>
      <c r="DX172" s="5">
        <f t="shared" si="174"/>
        <v>60761.142119770178</v>
      </c>
      <c r="DY172" s="5">
        <f t="shared" si="175"/>
        <v>6288.5999999999995</v>
      </c>
      <c r="DZ172" s="159">
        <f>'[3]побудинковий звіт'!EA172</f>
        <v>4778.8894579895459</v>
      </c>
    </row>
    <row r="173" spans="1:130" x14ac:dyDescent="0.3">
      <c r="A173" s="325">
        <v>150001022</v>
      </c>
      <c r="B173" s="41" t="s">
        <v>621</v>
      </c>
      <c r="C173" s="42" t="s">
        <v>365</v>
      </c>
      <c r="D173" s="42"/>
      <c r="E173" s="293">
        <f t="shared" si="149"/>
        <v>3771.47</v>
      </c>
      <c r="F173" s="305">
        <f>'[3]побудинковий звіт'!F173</f>
        <v>3771.47</v>
      </c>
      <c r="G173" s="508">
        <f>'[3]побудинковий звіт'!G173</f>
        <v>405</v>
      </c>
      <c r="H173" s="560">
        <f>'[3]побудинковий звіт'!H173</f>
        <v>0</v>
      </c>
      <c r="I173" s="566">
        <f>VLOOKUP($A173,'01-02.2021'!$A$6:$CZ$403,9,FALSE)+VLOOKUP($A173,'1.3.21-28.2.22'!$A$6:$DA$404,9,FALSE)-VLOOKUP($A173,'01-02.2022'!$A$6:$DA$376,9,FALSE)</f>
        <v>9337.0584200905305</v>
      </c>
      <c r="J173" s="566">
        <f>VLOOKUP($A173,'01-02.2021'!$A$6:$CZ$403,10,FALSE)+VLOOKUP($A173,'1.3.21-28.2.22'!$A$6:$DA$404,10,FALSE)-VLOOKUP($A173,'01-02.2022'!$A$6:$DA$376,10,FALSE)</f>
        <v>8403.9505227784975</v>
      </c>
      <c r="K173" s="52">
        <f t="shared" si="155"/>
        <v>-933.10789731203295</v>
      </c>
      <c r="L173" s="566">
        <f>VLOOKUP($A173,'01-02.2021'!$A$6:$CZ$403,12,FALSE)+VLOOKUP($A173,'1.3.21-28.2.22'!$A$6:$DA$404,12,FALSE)-VLOOKUP($A173,'01-02.2022'!$A$6:$DA$376,12,FALSE)</f>
        <v>2181.6713170416519</v>
      </c>
      <c r="M173" s="566">
        <f>VLOOKUP($A173,'01-02.2021'!$A$6:$CZ$403,13,FALSE)+VLOOKUP($A173,'1.3.21-28.2.22'!$A$6:$DA$404,13,FALSE)-VLOOKUP($A173,'01-02.2022'!$A$6:$DA$376,13,FALSE)</f>
        <v>1971.2801870362896</v>
      </c>
      <c r="N173" s="52">
        <f t="shared" si="156"/>
        <v>-210.39113000536236</v>
      </c>
      <c r="O173" s="566">
        <f>VLOOKUP($A173,'01-02.2021'!$A$6:$CZ$403,15,FALSE)+VLOOKUP($A173,'1.3.21-28.2.22'!$A$6:$DA$404,15,FALSE)-VLOOKUP($A173,'01-02.2022'!$A$6:$DA$376,15,FALSE)</f>
        <v>4918.2240312029408</v>
      </c>
      <c r="P173" s="566">
        <f>VLOOKUP($A173,'01-02.2021'!$A$6:$CZ$403,16,FALSE)+VLOOKUP($A173,'1.3.21-28.2.22'!$A$6:$DA$404,16,FALSE)-VLOOKUP($A173,'01-02.2022'!$A$6:$DA$376,16,FALSE)</f>
        <v>4918.2199999999993</v>
      </c>
      <c r="Q173" s="70">
        <f t="shared" si="176"/>
        <v>-4.0312029414053541E-3</v>
      </c>
      <c r="R173" s="566">
        <f>VLOOKUP($A173,'01-02.2021'!$A$6:$CZ$403,18,FALSE)+VLOOKUP($A173,'1.3.21-28.2.22'!$A$6:$DA$404,18,FALSE)-VLOOKUP($A173,'01-02.2022'!$A$6:$DA$376,18,FALSE)</f>
        <v>1048.0984613774499</v>
      </c>
      <c r="S173" s="566">
        <f>VLOOKUP($A173,'01-02.2021'!$A$6:$CZ$403,19,FALSE)+VLOOKUP($A173,'1.3.21-28.2.22'!$A$6:$DA$404,19,FALSE)-VLOOKUP($A173,'01-02.2022'!$A$6:$DA$376,19,FALSE)</f>
        <v>1048.1099999999999</v>
      </c>
      <c r="T173" s="70">
        <f t="shared" si="177"/>
        <v>1.1538622550006039E-2</v>
      </c>
      <c r="U173" s="566">
        <f>VLOOKUP($A173,'01-02.2021'!$A$6:$CZ$403,21,FALSE)+VLOOKUP($A173,'1.3.21-28.2.22'!$A$6:$DA$404,21,FALSE)-VLOOKUP($A173,'01-02.2022'!$A$6:$DA$376,21,FALSE)</f>
        <v>625.61683884233764</v>
      </c>
      <c r="V173" s="566">
        <f>VLOOKUP($A173,'01-02.2021'!$A$6:$CZ$403,22,FALSE)+VLOOKUP($A173,'1.3.21-28.2.22'!$A$6:$DA$404,22,FALSE)-VLOOKUP($A173,'01-02.2022'!$A$6:$DA$376,22,FALSE)</f>
        <v>435.78021717518351</v>
      </c>
      <c r="W173" s="70">
        <f t="shared" si="178"/>
        <v>-189.83662166715413</v>
      </c>
      <c r="X173" s="566">
        <f>VLOOKUP($A173,'01-02.2021'!$A$6:$CZ$403,24,FALSE)+VLOOKUP($A173,'1.3.21-28.2.22'!$A$6:$DA$404,24,FALSE)-VLOOKUP($A173,'01-02.2022'!$A$6:$DA$376,24,FALSE)</f>
        <v>5840.7178454557279</v>
      </c>
      <c r="Y173" s="566">
        <f>VLOOKUP($A173,'01-02.2021'!$A$6:$CZ$403,25,FALSE)+VLOOKUP($A173,'1.3.21-28.2.22'!$A$6:$DA$404,25,FALSE)-VLOOKUP($A173,'01-02.2022'!$A$6:$DA$376,25,FALSE)</f>
        <v>6356.2135772374359</v>
      </c>
      <c r="Z173" s="70">
        <f t="shared" si="179"/>
        <v>515.49573178170795</v>
      </c>
      <c r="AA173" s="566">
        <f>VLOOKUP($A173,'01-02.2021'!$A$6:$CZ$403,27,FALSE)+VLOOKUP($A173,'1.3.21-28.2.22'!$A$6:$DA$404,27,FALSE)-VLOOKUP($A173,'01-02.2022'!$A$6:$DA$376,27,FALSE)</f>
        <v>754.2940000000001</v>
      </c>
      <c r="AB173" s="566">
        <f>VLOOKUP($A173,'01-02.2021'!$A$6:$CZ$403,28,FALSE)+VLOOKUP($A173,'1.3.21-28.2.22'!$A$6:$DA$404,28,FALSE)-VLOOKUP($A173,'01-02.2022'!$A$6:$DA$376,28,FALSE)</f>
        <v>0</v>
      </c>
      <c r="AC173" s="70">
        <f t="shared" si="180"/>
        <v>-754.2940000000001</v>
      </c>
      <c r="AD173" s="566">
        <f>VLOOKUP($A173,'01-02.2021'!$A$6:$CZ$403,30,FALSE)+VLOOKUP($A173,'1.3.21-28.2.22'!$A$6:$DA$404,30,FALSE)-VLOOKUP($A173,'01-02.2022'!$A$6:$DA$376,30,FALSE)</f>
        <v>16199.587793571663</v>
      </c>
      <c r="AE173" s="566">
        <f>VLOOKUP($A173,'01-02.2021'!$A$6:$CZ$403,31,FALSE)+VLOOKUP($A173,'1.3.21-28.2.22'!$A$6:$DA$404,31,FALSE)-VLOOKUP($A173,'01-02.2022'!$A$6:$DA$376,31,FALSE)</f>
        <v>17167.883401013452</v>
      </c>
      <c r="AF173" s="68">
        <f t="shared" si="181"/>
        <v>968.29560744178889</v>
      </c>
      <c r="AG173" s="77">
        <f t="shared" si="150"/>
        <v>40905.268707582305</v>
      </c>
      <c r="AH173" s="53">
        <f t="shared" si="150"/>
        <v>40301.437905240862</v>
      </c>
      <c r="AI173" s="52">
        <f t="shared" si="157"/>
        <v>-603.8308023414429</v>
      </c>
      <c r="AJ173" s="566">
        <f>VLOOKUP($A173,'01-02.2021'!$A$6:$CZ$403,36,FALSE)+VLOOKUP($A173,'1.3.21-28.2.22'!$A$6:$DA$404,36,FALSE)-VLOOKUP($A173,'01-02.2022'!$A$6:$DA$376,36,FALSE)</f>
        <v>33749.17271780486</v>
      </c>
      <c r="AK173" s="566">
        <f>VLOOKUP($A173,'01-02.2021'!$A$6:$CZ$403,37,FALSE)+VLOOKUP($A173,'1.3.21-28.2.22'!$A$6:$DA$404,37,FALSE)-VLOOKUP($A173,'01-02.2022'!$A$6:$DA$376,37,FALSE)</f>
        <v>33367.652541070362</v>
      </c>
      <c r="AL173" s="70">
        <f t="shared" si="182"/>
        <v>-381.52017673449882</v>
      </c>
      <c r="AM173" s="566">
        <f>VLOOKUP($A173,'01-02.2021'!$A$6:$CZ$403,39,FALSE)+VLOOKUP($A173,'1.3.21-28.2.22'!$A$6:$DA$404,39,FALSE)-VLOOKUP($A173,'01-02.2022'!$A$6:$DA$376,39,FALSE)</f>
        <v>2892.2419436827522</v>
      </c>
      <c r="AN173" s="566">
        <f>VLOOKUP($A173,'01-02.2021'!$A$6:$CZ$403,40,FALSE)+VLOOKUP($A173,'1.3.21-28.2.22'!$A$6:$DA$404,40,FALSE)-VLOOKUP($A173,'01-02.2022'!$A$6:$DA$376,40,FALSE)</f>
        <v>1174.2875547980805</v>
      </c>
      <c r="AO173" s="70">
        <f t="shared" si="183"/>
        <v>-1717.9543888846717</v>
      </c>
      <c r="AP173" s="566">
        <f>VLOOKUP($A173,'01-02.2021'!$A$6:$CZ$403,42,FALSE)+VLOOKUP($A173,'1.3.21-28.2.22'!$A$6:$DA$404,42,FALSE)-VLOOKUP($A173,'01-02.2022'!$A$6:$DA$376,42,FALSE)</f>
        <v>3123.3595500766637</v>
      </c>
      <c r="AQ173" s="566">
        <f>VLOOKUP($A173,'01-02.2021'!$A$6:$CZ$403,43,FALSE)+VLOOKUP($A173,'1.3.21-28.2.22'!$A$6:$DA$404,43,FALSE)-VLOOKUP($A173,'01-02.2022'!$A$6:$DA$376,43,FALSE)</f>
        <v>2676.9543577252998</v>
      </c>
      <c r="AR173" s="70">
        <f t="shared" si="184"/>
        <v>-446.40519235136389</v>
      </c>
      <c r="AS173" s="566">
        <f>VLOOKUP($A173,'01-02.2021'!$A$6:$CZ$403,45,FALSE)+VLOOKUP($A173,'1.3.21-28.2.22'!$A$6:$DA$404,45,FALSE)-VLOOKUP($A173,'01-02.2022'!$A$6:$DA$376,45,FALSE)</f>
        <v>50850.96240659766</v>
      </c>
      <c r="AT173" s="566">
        <f>VLOOKUP($A173,'01-02.2021'!$A$6:$CZ$403,46,FALSE)+VLOOKUP($A173,'1.3.21-28.2.22'!$A$6:$DA$404,46,FALSE)-VLOOKUP($A173,'01-02.2022'!$A$6:$DA$376,46,FALSE)</f>
        <v>17102.95</v>
      </c>
      <c r="AU173" s="78">
        <f t="shared" si="185"/>
        <v>-33748.012406597656</v>
      </c>
      <c r="AV173" s="566">
        <f>VLOOKUP($A173,'01-02.2021'!$A$6:$CZ$403,48,FALSE)+VLOOKUP($A173,'1.3.21-28.2.22'!$A$6:$DA$404,48,FALSE)-VLOOKUP($A173,'01-02.2022'!$A$6:$DA$376,48,FALSE)</f>
        <v>2113.1471227533698</v>
      </c>
      <c r="AW173" s="566">
        <f>VLOOKUP($A173,'01-02.2021'!$A$6:$CZ$403,49,FALSE)+VLOOKUP($A173,'1.3.21-28.2.22'!$A$6:$DA$404,49,FALSE)-VLOOKUP($A173,'01-02.2022'!$A$6:$DA$376,49,FALSE)</f>
        <v>889</v>
      </c>
      <c r="AX173" s="55">
        <f t="shared" si="186"/>
        <v>-1224.1471227533698</v>
      </c>
      <c r="AY173" s="566">
        <f>VLOOKUP($A173,'01-02.2021'!$A$6:$CZ$403,51,FALSE)+VLOOKUP($A173,'1.3.21-28.2.22'!$A$6:$DA$404,51,FALSE)-VLOOKUP($A173,'01-02.2022'!$A$6:$DA$376,51,FALSE)</f>
        <v>3050.5599581599495</v>
      </c>
      <c r="AZ173" s="566">
        <f>VLOOKUP($A173,'01-02.2021'!$A$6:$CZ$403,52,FALSE)+VLOOKUP($A173,'1.3.21-28.2.22'!$A$6:$DA$404,52,FALSE)-VLOOKUP($A173,'01-02.2022'!$A$6:$DA$376,52,FALSE)</f>
        <v>6350</v>
      </c>
      <c r="BA173" s="38">
        <f t="shared" si="187"/>
        <v>3299.4400418400505</v>
      </c>
      <c r="BB173" s="566">
        <f>VLOOKUP($A173,'01-02.2021'!$A$6:$CZ$403,54,FALSE)+VLOOKUP($A173,'1.3.21-28.2.22'!$A$6:$DA$404,54,FALSE)-VLOOKUP($A173,'01-02.2022'!$A$6:$DA$376,54,FALSE)</f>
        <v>1125.5580761059389</v>
      </c>
      <c r="BC173" s="566">
        <f>VLOOKUP($A173,'01-02.2021'!$A$6:$CZ$403,55,FALSE)+VLOOKUP($A173,'1.3.21-28.2.22'!$A$6:$DA$404,55,FALSE)-VLOOKUP($A173,'01-02.2022'!$A$6:$DA$376,55,FALSE)</f>
        <v>5607</v>
      </c>
      <c r="BD173" s="55">
        <f t="shared" si="188"/>
        <v>4481.4419238940609</v>
      </c>
      <c r="BE173" s="566">
        <f>VLOOKUP($A173,'01-02.2021'!$A$6:$CZ$403,57,FALSE)+VLOOKUP($A173,'1.3.21-28.2.22'!$A$6:$DA$404,57,FALSE)-VLOOKUP($A173,'01-02.2022'!$A$6:$DA$376,57,FALSE)</f>
        <v>2146.2635873822751</v>
      </c>
      <c r="BF173" s="566">
        <f>VLOOKUP($A173,'01-02.2021'!$A$6:$CZ$403,58,FALSE)+VLOOKUP($A173,'1.3.21-28.2.22'!$A$6:$DA$404,58,FALSE)-VLOOKUP($A173,'01-02.2022'!$A$6:$DA$376,58,FALSE)</f>
        <v>0</v>
      </c>
      <c r="BG173" s="55">
        <f t="shared" si="189"/>
        <v>-2146.2635873822751</v>
      </c>
      <c r="BH173" s="566">
        <f>VLOOKUP($A173,'01-02.2021'!$A$6:$CZ$403,60,FALSE)+VLOOKUP($A173,'1.3.21-28.2.22'!$A$6:$DA$404,60,FALSE)-VLOOKUP($A173,'01-02.2022'!$A$6:$DA$376,60,FALSE)</f>
        <v>1188.7456283229903</v>
      </c>
      <c r="BI173" s="566">
        <f>VLOOKUP($A173,'01-02.2021'!$A$6:$CZ$403,61,FALSE)+VLOOKUP($A173,'1.3.21-28.2.22'!$A$6:$DA$404,61,FALSE)-VLOOKUP($A173,'01-02.2022'!$A$6:$DA$376,61,FALSE)</f>
        <v>0</v>
      </c>
      <c r="BJ173" s="55">
        <f t="shared" si="190"/>
        <v>-1188.7456283229903</v>
      </c>
      <c r="BK173" s="566">
        <f>VLOOKUP($A173,'01-02.2021'!$A$6:$CZ$403,63,FALSE)+VLOOKUP($A173,'1.3.21-28.2.22'!$A$6:$DA$404,63,FALSE)-VLOOKUP($A173,'01-02.2022'!$A$6:$DA$376,63,FALSE)</f>
        <v>1677.8040385231541</v>
      </c>
      <c r="BL173" s="566">
        <f>VLOOKUP($A173,'01-02.2021'!$A$6:$CZ$403,64,FALSE)+VLOOKUP($A173,'1.3.21-28.2.22'!$A$6:$DA$404,64,FALSE)-VLOOKUP($A173,'01-02.2022'!$A$6:$DA$376,64,FALSE)</f>
        <v>166</v>
      </c>
      <c r="BM173" s="55">
        <f t="shared" si="191"/>
        <v>-1511.8040385231541</v>
      </c>
      <c r="BN173" s="566">
        <f>VLOOKUP($A173,'01-02.2021'!$A$6:$CZ$403,66,FALSE)+VLOOKUP($A173,'1.3.21-28.2.22'!$A$6:$DA$404,66,FALSE)-VLOOKUP($A173,'01-02.2022'!$A$6:$DA$376,66,FALSE)</f>
        <v>342.55708559508287</v>
      </c>
      <c r="BO173" s="566">
        <f>VLOOKUP($A173,'01-02.2021'!$A$6:$CZ$403,67,FALSE)+VLOOKUP($A173,'1.3.21-28.2.22'!$A$6:$DA$404,67,FALSE)-VLOOKUP($A173,'01-02.2022'!$A$6:$DA$376,67,FALSE)</f>
        <v>0</v>
      </c>
      <c r="BP173" s="55">
        <f t="shared" si="192"/>
        <v>-342.55708559508287</v>
      </c>
      <c r="BQ173" s="77">
        <f t="shared" si="209"/>
        <v>11644.635496842762</v>
      </c>
      <c r="BR173" s="40">
        <f t="shared" si="210"/>
        <v>13012</v>
      </c>
      <c r="BS173" s="55">
        <f t="shared" si="166"/>
        <v>1367.3645031572378</v>
      </c>
      <c r="BT173" s="566">
        <f>VLOOKUP($A173,'01-02.2021'!$A$6:$CZ$403,72,FALSE)+VLOOKUP($A173,'1.3.21-28.2.22'!$A$6:$DA$404,72,FALSE)-VLOOKUP($A173,'01-02.2022'!$A$6:$DA$376,72,FALSE)</f>
        <v>45394.985083971442</v>
      </c>
      <c r="BU173" s="566">
        <f>VLOOKUP($A173,'01-02.2021'!$A$6:$CZ$403,73,FALSE)+VLOOKUP($A173,'1.3.21-28.2.22'!$A$6:$DA$404,73,FALSE)-VLOOKUP($A173,'01-02.2022'!$A$6:$DA$376,73,FALSE)</f>
        <v>44610.00820099355</v>
      </c>
      <c r="BV173" s="70">
        <f t="shared" si="193"/>
        <v>-784.97688297789136</v>
      </c>
      <c r="BW173" s="566">
        <f>VLOOKUP($A173,'01-02.2021'!$A$6:$CZ$403,75,FALSE)+VLOOKUP($A173,'1.3.21-28.2.22'!$A$6:$DA$404,75,FALSE)-VLOOKUP($A173,'01-02.2022'!$A$6:$DA$376,75,FALSE)</f>
        <v>26032.198746403948</v>
      </c>
      <c r="BX173" s="566">
        <f>VLOOKUP($A173,'01-02.2021'!$A$6:$CZ$403,76,FALSE)+VLOOKUP($A173,'1.3.21-28.2.22'!$A$6:$DA$404,76,FALSE)-VLOOKUP($A173,'01-02.2022'!$A$6:$DA$376,76,FALSE)</f>
        <v>28127.647798582628</v>
      </c>
      <c r="BY173" s="70">
        <f t="shared" si="194"/>
        <v>2095.4490521786793</v>
      </c>
      <c r="BZ173" s="566">
        <f>VLOOKUP($A173,'01-02.2021'!$A$6:$CZ$403,78,FALSE)+VLOOKUP($A173,'1.3.21-28.2.22'!$A$6:$DA$404,78,FALSE)-VLOOKUP($A173,'01-02.2022'!$A$6:$DA$376,78,FALSE)</f>
        <v>9487.0569091108246</v>
      </c>
      <c r="CA173" s="566">
        <f>VLOOKUP($A173,'01-02.2021'!$A$6:$CZ$403,79,FALSE)+VLOOKUP($A173,'1.3.21-28.2.22'!$A$6:$DA$404,79,FALSE)-VLOOKUP($A173,'01-02.2022'!$A$6:$DA$376,79,FALSE)</f>
        <v>11224.098703665364</v>
      </c>
      <c r="CB173" s="70">
        <f t="shared" si="195"/>
        <v>1737.0417945545396</v>
      </c>
      <c r="CC173" s="566">
        <f>VLOOKUP($A173,'01-02.2021'!$A$6:$CZ$403,81,FALSE)+VLOOKUP($A173,'1.3.21-28.2.22'!$A$6:$DA$404,81,FALSE)-VLOOKUP($A173,'01-02.2022'!$A$6:$DA$376,81,FALSE)</f>
        <v>860.3677964476359</v>
      </c>
      <c r="CD173" s="566">
        <f>VLOOKUP($A173,'01-02.2021'!$A$6:$CZ$403,82,FALSE)+VLOOKUP($A173,'1.3.21-28.2.22'!$A$6:$DA$404,82,FALSE)-VLOOKUP($A173,'01-02.2022'!$A$6:$DA$376,82,FALSE)</f>
        <v>934.11453249706756</v>
      </c>
      <c r="CE173" s="70">
        <f t="shared" si="196"/>
        <v>73.746736049431661</v>
      </c>
      <c r="CF173" s="566">
        <f>VLOOKUP($A173,'01-02.2021'!$A$6:$CZ$403,84,FALSE)+VLOOKUP($A173,'1.3.21-28.2.22'!$A$6:$DA$404,84,FALSE)-VLOOKUP($A173,'01-02.2022'!$A$6:$DA$376,84,FALSE)</f>
        <v>103.89898313986049</v>
      </c>
      <c r="CG173" s="566">
        <f>VLOOKUP($A173,'01-02.2021'!$A$6:$CZ$403,85,FALSE)+VLOOKUP($A173,'1.3.21-28.2.22'!$A$6:$DA$404,85,FALSE)-VLOOKUP($A173,'01-02.2022'!$A$6:$DA$376,85,FALSE)</f>
        <v>0</v>
      </c>
      <c r="CH173" s="70">
        <f t="shared" si="197"/>
        <v>-103.89898313986049</v>
      </c>
      <c r="CI173" s="566">
        <f>VLOOKUP($A173,'01-02.2021'!$A$6:$CZ$403,87,FALSE)+VLOOKUP($A173,'1.3.21-28.2.22'!$A$6:$DA$404,87,FALSE)-VLOOKUP($A173,'01-02.2022'!$A$6:$DA$376,87,FALSE)</f>
        <v>8442.2132463062117</v>
      </c>
      <c r="CJ173" s="566">
        <f>VLOOKUP($A173,'01-02.2021'!$A$6:$CZ$403,88,FALSE)+VLOOKUP($A173,'1.3.21-28.2.22'!$A$6:$DA$404,88,FALSE)-VLOOKUP($A173,'01-02.2022'!$A$6:$DA$376,88,FALSE)</f>
        <v>8808.9947325560679</v>
      </c>
      <c r="CK173" s="70">
        <f t="shared" si="198"/>
        <v>366.78148624985624</v>
      </c>
      <c r="CL173" s="566">
        <f>VLOOKUP($A173,'01-02.2021'!$A$6:$CZ$403,90,FALSE)+VLOOKUP($A173,'1.3.21-28.2.22'!$A$6:$DA$404,90,FALSE)-VLOOKUP($A173,'01-02.2022'!$A$6:$DA$376,90,FALSE)</f>
        <v>10140.389750440694</v>
      </c>
      <c r="CM173" s="566">
        <f>VLOOKUP($A173,'01-02.2021'!$A$6:$CZ$403,91,FALSE)+VLOOKUP($A173,'1.3.21-28.2.22'!$A$6:$DA$404,91,FALSE)-VLOOKUP($A173,'01-02.2022'!$A$6:$DA$376,91,FALSE)</f>
        <v>8553.9657483150659</v>
      </c>
      <c r="CN173" s="52">
        <f t="shared" si="158"/>
        <v>-1586.4240021256282</v>
      </c>
      <c r="CO173" s="39">
        <f t="shared" si="153"/>
        <v>18582.602996746908</v>
      </c>
      <c r="CP173" s="40">
        <f t="shared" si="159"/>
        <v>17362.960480871134</v>
      </c>
      <c r="CQ173" s="52">
        <f t="shared" si="160"/>
        <v>-1219.6425158757738</v>
      </c>
      <c r="CR173" s="72">
        <f t="shared" si="154"/>
        <v>243626.75133840763</v>
      </c>
      <c r="CS173" s="5">
        <f t="shared" si="154"/>
        <v>209894.11207544437</v>
      </c>
      <c r="CT173" s="52">
        <f t="shared" si="161"/>
        <v>-33732.639262963261</v>
      </c>
      <c r="CU173" s="77">
        <f t="shared" si="162"/>
        <v>292352.10160608916</v>
      </c>
      <c r="CV173" s="65">
        <f t="shared" si="163"/>
        <v>251872.93449053323</v>
      </c>
      <c r="CW173" s="35">
        <f t="shared" si="164"/>
        <v>-40479.167115555931</v>
      </c>
      <c r="CX173" s="566">
        <f>VLOOKUP($A173,'01-02.2021'!$A$6:$CZ$403,102,FALSE)+VLOOKUP($A173,'1.3.21-28.2.22'!$A$6:$DA$404,102,FALSE)-VLOOKUP($A173,'01-02.2022'!$A$6:$DA$376,102,FALSE)</f>
        <v>8339.4584764366737</v>
      </c>
      <c r="CY173" s="566">
        <f>VLOOKUP($A173,'01-02.2021'!$A$6:$CZ$403,103,FALSE)+VLOOKUP($A173,'1.3.21-28.2.22'!$A$6:$DA$404,103,FALSE)-VLOOKUP($A173,'01-02.2022'!$A$6:$DA$376,103,FALSE)</f>
        <v>48818.625591992619</v>
      </c>
      <c r="CZ173" s="52">
        <f t="shared" si="165"/>
        <v>40479.167115555945</v>
      </c>
      <c r="DA173" s="150">
        <f>'[2]побудинковий звіт'!DA173</f>
        <v>-14078.849695418874</v>
      </c>
      <c r="DB173" s="2">
        <v>1</v>
      </c>
      <c r="DC173" s="414">
        <f>'[4]побудинковий звіт'!DC173</f>
        <v>31130.240000000002</v>
      </c>
      <c r="DD173" s="414">
        <f>'[4]побудинковий звіт'!DD173</f>
        <v>0</v>
      </c>
      <c r="DE173" s="557">
        <f>'[4]побудинковий звіт'!DE173</f>
        <v>3995.520997124826</v>
      </c>
      <c r="DF173" s="557">
        <f>'[4]побудинковий звіт'!DF173</f>
        <v>0</v>
      </c>
      <c r="DG173" s="321">
        <f>VLOOKUP(A173,'кошти 01.03.2021'!$A$6:$D$401,4,)</f>
        <v>32775.840304507699</v>
      </c>
      <c r="DH173" s="40">
        <f>'[3]побудинковий звіт'!DJ173</f>
        <v>310500.93420903606</v>
      </c>
      <c r="DI173" s="422">
        <f>'[3]побудинковий звіт'!CU173+'[3]побудинковий звіт'!CX173</f>
        <v>27134.719002875176</v>
      </c>
      <c r="DJ173" s="306">
        <f>'[3]побудинковий звіт'!DM173</f>
        <v>5.8725312662303164</v>
      </c>
      <c r="DK173" s="306">
        <f>'[3]побудинковий звіт'!DN173</f>
        <v>7.3537990358006748</v>
      </c>
      <c r="DL173" s="306">
        <f>'[3]побудинковий звіт'!DO173</f>
        <v>5.1404164974221018</v>
      </c>
      <c r="DM173" s="28">
        <f t="shared" ref="DM173:DM178" si="211">DJ173*G173+(F173-G173)*DK173</f>
        <v>27134.719002875176</v>
      </c>
      <c r="DN173" s="28">
        <f t="shared" ref="DN173:DN178" si="212">DL173*H173</f>
        <v>0</v>
      </c>
      <c r="DO173" s="423">
        <f t="shared" si="171"/>
        <v>27134.719002875176</v>
      </c>
      <c r="DP173" s="94">
        <f t="shared" si="172"/>
        <v>0</v>
      </c>
      <c r="DQ173" s="28">
        <f t="shared" si="173"/>
        <v>27134.719002875176</v>
      </c>
      <c r="DR173" s="318"/>
      <c r="DT173" s="8"/>
      <c r="DU173" s="5"/>
      <c r="DX173" s="5">
        <f t="shared" si="174"/>
        <v>74994.717484128501</v>
      </c>
      <c r="DY173" s="5">
        <f t="shared" si="175"/>
        <v>36137.94</v>
      </c>
      <c r="DZ173" s="159">
        <f>'[3]побудинковий звіт'!EA173</f>
        <v>7374.2114379210552</v>
      </c>
    </row>
    <row r="174" spans="1:130" x14ac:dyDescent="0.3">
      <c r="A174" s="325">
        <v>150001023</v>
      </c>
      <c r="B174" s="41" t="s">
        <v>622</v>
      </c>
      <c r="C174" s="42" t="s">
        <v>366</v>
      </c>
      <c r="D174" s="42"/>
      <c r="E174" s="293">
        <f t="shared" si="149"/>
        <v>3767.85</v>
      </c>
      <c r="F174" s="305">
        <f>'[3]побудинковий звіт'!F174</f>
        <v>3767.85</v>
      </c>
      <c r="G174" s="508">
        <f>'[3]побудинковий звіт'!G174</f>
        <v>406.43</v>
      </c>
      <c r="H174" s="560">
        <f>'[3]побудинковий звіт'!H174</f>
        <v>0</v>
      </c>
      <c r="I174" s="566">
        <f>VLOOKUP($A174,'01-02.2021'!$A$6:$CZ$403,9,FALSE)+VLOOKUP($A174,'1.3.21-28.2.22'!$A$6:$DA$404,9,FALSE)-VLOOKUP($A174,'01-02.2022'!$A$6:$DA$376,9,FALSE)</f>
        <v>9336.4979754026772</v>
      </c>
      <c r="J174" s="566">
        <f>VLOOKUP($A174,'01-02.2021'!$A$6:$CZ$403,10,FALSE)+VLOOKUP($A174,'1.3.21-28.2.22'!$A$6:$DA$404,10,FALSE)-VLOOKUP($A174,'01-02.2022'!$A$6:$DA$376,10,FALSE)</f>
        <v>8402.878701399648</v>
      </c>
      <c r="K174" s="52">
        <f t="shared" si="155"/>
        <v>-933.6192740030292</v>
      </c>
      <c r="L174" s="566">
        <f>VLOOKUP($A174,'01-02.2021'!$A$6:$CZ$403,12,FALSE)+VLOOKUP($A174,'1.3.21-28.2.22'!$A$6:$DA$404,12,FALSE)-VLOOKUP($A174,'01-02.2022'!$A$6:$DA$376,12,FALSE)</f>
        <v>2181.6713170416519</v>
      </c>
      <c r="M174" s="566">
        <f>VLOOKUP($A174,'01-02.2021'!$A$6:$CZ$403,13,FALSE)+VLOOKUP($A174,'1.3.21-28.2.22'!$A$6:$DA$404,13,FALSE)-VLOOKUP($A174,'01-02.2022'!$A$6:$DA$376,13,FALSE)</f>
        <v>1971.2583311014996</v>
      </c>
      <c r="N174" s="52">
        <f t="shared" si="156"/>
        <v>-210.41298594015234</v>
      </c>
      <c r="O174" s="566">
        <f>VLOOKUP($A174,'01-02.2021'!$A$6:$CZ$403,15,FALSE)+VLOOKUP($A174,'1.3.21-28.2.22'!$A$6:$DA$404,15,FALSE)-VLOOKUP($A174,'01-02.2022'!$A$6:$DA$376,15,FALSE)</f>
        <v>4390.9723705473416</v>
      </c>
      <c r="P174" s="566">
        <f>VLOOKUP($A174,'01-02.2021'!$A$6:$CZ$403,16,FALSE)+VLOOKUP($A174,'1.3.21-28.2.22'!$A$6:$DA$404,16,FALSE)-VLOOKUP($A174,'01-02.2022'!$A$6:$DA$376,16,FALSE)</f>
        <v>4390.96</v>
      </c>
      <c r="Q174" s="70">
        <f t="shared" si="176"/>
        <v>-1.2370547341561178E-2</v>
      </c>
      <c r="R174" s="566">
        <f>VLOOKUP($A174,'01-02.2021'!$A$6:$CZ$403,18,FALSE)+VLOOKUP($A174,'1.3.21-28.2.22'!$A$6:$DA$404,18,FALSE)-VLOOKUP($A174,'01-02.2022'!$A$6:$DA$376,18,FALSE)</f>
        <v>1079.4417192988417</v>
      </c>
      <c r="S174" s="566">
        <f>VLOOKUP($A174,'01-02.2021'!$A$6:$CZ$403,19,FALSE)+VLOOKUP($A174,'1.3.21-28.2.22'!$A$6:$DA$404,19,FALSE)-VLOOKUP($A174,'01-02.2022'!$A$6:$DA$376,19,FALSE)</f>
        <v>1079.4100000000001</v>
      </c>
      <c r="T174" s="70">
        <f t="shared" si="177"/>
        <v>-3.1719298841608179E-2</v>
      </c>
      <c r="U174" s="566">
        <f>VLOOKUP($A174,'01-02.2021'!$A$6:$CZ$403,21,FALSE)+VLOOKUP($A174,'1.3.21-28.2.22'!$A$6:$DA$404,21,FALSE)-VLOOKUP($A174,'01-02.2022'!$A$6:$DA$376,21,FALSE)</f>
        <v>625.61683884233764</v>
      </c>
      <c r="V174" s="566">
        <f>VLOOKUP($A174,'01-02.2021'!$A$6:$CZ$403,22,FALSE)+VLOOKUP($A174,'1.3.21-28.2.22'!$A$6:$DA$404,22,FALSE)-VLOOKUP($A174,'01-02.2022'!$A$6:$DA$376,22,FALSE)</f>
        <v>424.55403285616075</v>
      </c>
      <c r="W174" s="70">
        <f t="shared" si="178"/>
        <v>-201.0628059861769</v>
      </c>
      <c r="X174" s="566">
        <f>VLOOKUP($A174,'01-02.2021'!$A$6:$CZ$403,24,FALSE)+VLOOKUP($A174,'1.3.21-28.2.22'!$A$6:$DA$404,24,FALSE)-VLOOKUP($A174,'01-02.2022'!$A$6:$DA$376,24,FALSE)</f>
        <v>6340.2975395201574</v>
      </c>
      <c r="Y174" s="566">
        <f>VLOOKUP($A174,'01-02.2021'!$A$6:$CZ$403,25,FALSE)+VLOOKUP($A174,'1.3.21-28.2.22'!$A$6:$DA$404,25,FALSE)-VLOOKUP($A174,'01-02.2022'!$A$6:$DA$376,25,FALSE)</f>
        <v>6814.4756919835072</v>
      </c>
      <c r="Z174" s="70">
        <f t="shared" si="179"/>
        <v>474.17815246334976</v>
      </c>
      <c r="AA174" s="566">
        <f>VLOOKUP($A174,'01-02.2021'!$A$6:$CZ$403,27,FALSE)+VLOOKUP($A174,'1.3.21-28.2.22'!$A$6:$DA$404,27,FALSE)-VLOOKUP($A174,'01-02.2022'!$A$6:$DA$376,27,FALSE)</f>
        <v>753.56999999999994</v>
      </c>
      <c r="AB174" s="566">
        <f>VLOOKUP($A174,'01-02.2021'!$A$6:$CZ$403,28,FALSE)+VLOOKUP($A174,'1.3.21-28.2.22'!$A$6:$DA$404,28,FALSE)-VLOOKUP($A174,'01-02.2022'!$A$6:$DA$376,28,FALSE)</f>
        <v>0</v>
      </c>
      <c r="AC174" s="70">
        <f t="shared" si="180"/>
        <v>-753.56999999999994</v>
      </c>
      <c r="AD174" s="566">
        <f>VLOOKUP($A174,'01-02.2021'!$A$6:$CZ$403,30,FALSE)+VLOOKUP($A174,'1.3.21-28.2.22'!$A$6:$DA$404,30,FALSE)-VLOOKUP($A174,'01-02.2022'!$A$6:$DA$376,30,FALSE)</f>
        <v>16184.002931163241</v>
      </c>
      <c r="AE174" s="566">
        <f>VLOOKUP($A174,'01-02.2021'!$A$6:$CZ$403,31,FALSE)+VLOOKUP($A174,'1.3.21-28.2.22'!$A$6:$DA$404,31,FALSE)-VLOOKUP($A174,'01-02.2022'!$A$6:$DA$376,31,FALSE)</f>
        <v>17151.405015155502</v>
      </c>
      <c r="AF174" s="68">
        <f t="shared" si="181"/>
        <v>967.4020839922614</v>
      </c>
      <c r="AG174" s="77">
        <f t="shared" si="150"/>
        <v>40892.070691816247</v>
      </c>
      <c r="AH174" s="53">
        <f t="shared" si="150"/>
        <v>40234.941772496313</v>
      </c>
      <c r="AI174" s="52">
        <f t="shared" si="157"/>
        <v>-657.12891931993363</v>
      </c>
      <c r="AJ174" s="566">
        <f>VLOOKUP($A174,'01-02.2021'!$A$6:$CZ$403,36,FALSE)+VLOOKUP($A174,'1.3.21-28.2.22'!$A$6:$DA$404,36,FALSE)-VLOOKUP($A174,'01-02.2022'!$A$6:$DA$376,36,FALSE)</f>
        <v>27286.604411975652</v>
      </c>
      <c r="AK174" s="566">
        <f>VLOOKUP($A174,'01-02.2021'!$A$6:$CZ$403,37,FALSE)+VLOOKUP($A174,'1.3.21-28.2.22'!$A$6:$DA$404,37,FALSE)-VLOOKUP($A174,'01-02.2022'!$A$6:$DA$376,37,FALSE)</f>
        <v>27107.657536265568</v>
      </c>
      <c r="AL174" s="70">
        <f t="shared" si="182"/>
        <v>-178.94687571008399</v>
      </c>
      <c r="AM174" s="566">
        <f>VLOOKUP($A174,'01-02.2021'!$A$6:$CZ$403,39,FALSE)+VLOOKUP($A174,'1.3.21-28.2.22'!$A$6:$DA$404,39,FALSE)-VLOOKUP($A174,'01-02.2022'!$A$6:$DA$376,39,FALSE)</f>
        <v>1050.749425</v>
      </c>
      <c r="AN174" s="566">
        <f>VLOOKUP($A174,'01-02.2021'!$A$6:$CZ$403,40,FALSE)+VLOOKUP($A174,'1.3.21-28.2.22'!$A$6:$DA$404,40,FALSE)-VLOOKUP($A174,'01-02.2022'!$A$6:$DA$376,40,FALSE)</f>
        <v>0</v>
      </c>
      <c r="AO174" s="70">
        <f t="shared" si="183"/>
        <v>-1050.749425</v>
      </c>
      <c r="AP174" s="566">
        <f>VLOOKUP($A174,'01-02.2021'!$A$6:$CZ$403,42,FALSE)+VLOOKUP($A174,'1.3.21-28.2.22'!$A$6:$DA$404,42,FALSE)-VLOOKUP($A174,'01-02.2022'!$A$6:$DA$376,42,FALSE)</f>
        <v>3123.3595500766637</v>
      </c>
      <c r="AQ174" s="566">
        <f>VLOOKUP($A174,'01-02.2021'!$A$6:$CZ$403,43,FALSE)+VLOOKUP($A174,'1.3.21-28.2.22'!$A$6:$DA$404,43,FALSE)-VLOOKUP($A174,'01-02.2022'!$A$6:$DA$376,43,FALSE)</f>
        <v>2666.2477637886982</v>
      </c>
      <c r="AR174" s="70">
        <f t="shared" si="184"/>
        <v>-457.11178628796551</v>
      </c>
      <c r="AS174" s="566">
        <f>VLOOKUP($A174,'01-02.2021'!$A$6:$CZ$403,45,FALSE)+VLOOKUP($A174,'1.3.21-28.2.22'!$A$6:$DA$404,45,FALSE)-VLOOKUP($A174,'01-02.2022'!$A$6:$DA$376,45,FALSE)</f>
        <v>48017.580241305703</v>
      </c>
      <c r="AT174" s="566">
        <f>VLOOKUP($A174,'01-02.2021'!$A$6:$CZ$403,46,FALSE)+VLOOKUP($A174,'1.3.21-28.2.22'!$A$6:$DA$404,46,FALSE)-VLOOKUP($A174,'01-02.2022'!$A$6:$DA$376,46,FALSE)</f>
        <v>139266.94493344263</v>
      </c>
      <c r="AU174" s="78">
        <f t="shared" si="185"/>
        <v>91249.364692136936</v>
      </c>
      <c r="AV174" s="566">
        <f>VLOOKUP($A174,'01-02.2021'!$A$6:$CZ$403,48,FALSE)+VLOOKUP($A174,'1.3.21-28.2.22'!$A$6:$DA$404,48,FALSE)-VLOOKUP($A174,'01-02.2022'!$A$6:$DA$376,48,FALSE)</f>
        <v>2113.1471227533698</v>
      </c>
      <c r="AW174" s="566">
        <f>VLOOKUP($A174,'01-02.2021'!$A$6:$CZ$403,49,FALSE)+VLOOKUP($A174,'1.3.21-28.2.22'!$A$6:$DA$404,49,FALSE)-VLOOKUP($A174,'01-02.2022'!$A$6:$DA$376,49,FALSE)</f>
        <v>259</v>
      </c>
      <c r="AX174" s="55">
        <f t="shared" si="186"/>
        <v>-1854.1471227533698</v>
      </c>
      <c r="AY174" s="566">
        <f>VLOOKUP($A174,'01-02.2021'!$A$6:$CZ$403,51,FALSE)+VLOOKUP($A174,'1.3.21-28.2.22'!$A$6:$DA$404,51,FALSE)-VLOOKUP($A174,'01-02.2022'!$A$6:$DA$376,51,FALSE)</f>
        <v>3050.5599581599495</v>
      </c>
      <c r="AZ174" s="566">
        <f>VLOOKUP($A174,'01-02.2021'!$A$6:$CZ$403,52,FALSE)+VLOOKUP($A174,'1.3.21-28.2.22'!$A$6:$DA$404,52,FALSE)-VLOOKUP($A174,'01-02.2022'!$A$6:$DA$376,52,FALSE)</f>
        <v>4061</v>
      </c>
      <c r="BA174" s="38">
        <f t="shared" si="187"/>
        <v>1010.4400418400505</v>
      </c>
      <c r="BB174" s="566">
        <f>VLOOKUP($A174,'01-02.2021'!$A$6:$CZ$403,54,FALSE)+VLOOKUP($A174,'1.3.21-28.2.22'!$A$6:$DA$404,54,FALSE)-VLOOKUP($A174,'01-02.2022'!$A$6:$DA$376,54,FALSE)</f>
        <v>1886.8047621158794</v>
      </c>
      <c r="BC174" s="566">
        <f>VLOOKUP($A174,'01-02.2021'!$A$6:$CZ$403,55,FALSE)+VLOOKUP($A174,'1.3.21-28.2.22'!$A$6:$DA$404,55,FALSE)-VLOOKUP($A174,'01-02.2022'!$A$6:$DA$376,55,FALSE)</f>
        <v>0</v>
      </c>
      <c r="BD174" s="55">
        <f t="shared" si="188"/>
        <v>-1886.8047621158794</v>
      </c>
      <c r="BE174" s="566">
        <f>VLOOKUP($A174,'01-02.2021'!$A$6:$CZ$403,57,FALSE)+VLOOKUP($A174,'1.3.21-28.2.22'!$A$6:$DA$404,57,FALSE)-VLOOKUP($A174,'01-02.2022'!$A$6:$DA$376,57,FALSE)</f>
        <v>2448.7920823591321</v>
      </c>
      <c r="BF174" s="566">
        <f>VLOOKUP($A174,'01-02.2021'!$A$6:$CZ$403,58,FALSE)+VLOOKUP($A174,'1.3.21-28.2.22'!$A$6:$DA$404,58,FALSE)-VLOOKUP($A174,'01-02.2022'!$A$6:$DA$376,58,FALSE)</f>
        <v>1048</v>
      </c>
      <c r="BG174" s="55">
        <f t="shared" si="189"/>
        <v>-1400.7920823591321</v>
      </c>
      <c r="BH174" s="566">
        <f>VLOOKUP($A174,'01-02.2021'!$A$6:$CZ$403,60,FALSE)+VLOOKUP($A174,'1.3.21-28.2.22'!$A$6:$DA$404,60,FALSE)-VLOOKUP($A174,'01-02.2022'!$A$6:$DA$376,60,FALSE)</f>
        <v>1188.7456283229903</v>
      </c>
      <c r="BI174" s="566">
        <f>VLOOKUP($A174,'01-02.2021'!$A$6:$CZ$403,61,FALSE)+VLOOKUP($A174,'1.3.21-28.2.22'!$A$6:$DA$404,61,FALSE)-VLOOKUP($A174,'01-02.2022'!$A$6:$DA$376,61,FALSE)</f>
        <v>0</v>
      </c>
      <c r="BJ174" s="55">
        <f t="shared" si="190"/>
        <v>-1188.7456283229903</v>
      </c>
      <c r="BK174" s="566">
        <f>VLOOKUP($A174,'01-02.2021'!$A$6:$CZ$403,63,FALSE)+VLOOKUP($A174,'1.3.21-28.2.22'!$A$6:$DA$404,63,FALSE)-VLOOKUP($A174,'01-02.2022'!$A$6:$DA$376,63,FALSE)</f>
        <v>1830.9174096398774</v>
      </c>
      <c r="BL174" s="566">
        <f>VLOOKUP($A174,'01-02.2021'!$A$6:$CZ$403,64,FALSE)+VLOOKUP($A174,'1.3.21-28.2.22'!$A$6:$DA$404,64,FALSE)-VLOOKUP($A174,'01-02.2022'!$A$6:$DA$376,64,FALSE)</f>
        <v>0</v>
      </c>
      <c r="BM174" s="55">
        <f t="shared" si="191"/>
        <v>-1830.9174096398774</v>
      </c>
      <c r="BN174" s="566">
        <f>VLOOKUP($A174,'01-02.2021'!$A$6:$CZ$403,66,FALSE)+VLOOKUP($A174,'1.3.21-28.2.22'!$A$6:$DA$404,66,FALSE)-VLOOKUP($A174,'01-02.2022'!$A$6:$DA$376,66,FALSE)</f>
        <v>331.97315375734695</v>
      </c>
      <c r="BO174" s="566">
        <f>VLOOKUP($A174,'01-02.2021'!$A$6:$CZ$403,67,FALSE)+VLOOKUP($A174,'1.3.21-28.2.22'!$A$6:$DA$404,67,FALSE)-VLOOKUP($A174,'01-02.2022'!$A$6:$DA$376,67,FALSE)</f>
        <v>0</v>
      </c>
      <c r="BP174" s="55">
        <f t="shared" si="192"/>
        <v>-331.97315375734695</v>
      </c>
      <c r="BQ174" s="77">
        <f t="shared" si="209"/>
        <v>12850.940117108545</v>
      </c>
      <c r="BR174" s="40">
        <f t="shared" si="210"/>
        <v>5368</v>
      </c>
      <c r="BS174" s="55">
        <f t="shared" si="166"/>
        <v>-7482.9401171085447</v>
      </c>
      <c r="BT174" s="566">
        <f>VLOOKUP($A174,'01-02.2021'!$A$6:$CZ$403,72,FALSE)+VLOOKUP($A174,'1.3.21-28.2.22'!$A$6:$DA$404,72,FALSE)-VLOOKUP($A174,'01-02.2022'!$A$6:$DA$376,72,FALSE)</f>
        <v>42518.949478537645</v>
      </c>
      <c r="BU174" s="566">
        <f>VLOOKUP($A174,'01-02.2021'!$A$6:$CZ$403,73,FALSE)+VLOOKUP($A174,'1.3.21-28.2.22'!$A$6:$DA$404,73,FALSE)-VLOOKUP($A174,'01-02.2022'!$A$6:$DA$376,73,FALSE)</f>
        <v>45872.569123317262</v>
      </c>
      <c r="BV174" s="70">
        <f t="shared" si="193"/>
        <v>3353.6196447796174</v>
      </c>
      <c r="BW174" s="566">
        <f>VLOOKUP($A174,'01-02.2021'!$A$6:$CZ$403,75,FALSE)+VLOOKUP($A174,'1.3.21-28.2.22'!$A$6:$DA$404,75,FALSE)-VLOOKUP($A174,'01-02.2022'!$A$6:$DA$376,75,FALSE)</f>
        <v>31908.192420524927</v>
      </c>
      <c r="BX174" s="566">
        <f>VLOOKUP($A174,'01-02.2021'!$A$6:$CZ$403,76,FALSE)+VLOOKUP($A174,'1.3.21-28.2.22'!$A$6:$DA$404,76,FALSE)-VLOOKUP($A174,'01-02.2022'!$A$6:$DA$376,76,FALSE)</f>
        <v>32962.26371339216</v>
      </c>
      <c r="BY174" s="70">
        <f t="shared" si="194"/>
        <v>1054.0712928672328</v>
      </c>
      <c r="BZ174" s="566">
        <f>VLOOKUP($A174,'01-02.2021'!$A$6:$CZ$403,78,FALSE)+VLOOKUP($A174,'1.3.21-28.2.22'!$A$6:$DA$404,78,FALSE)-VLOOKUP($A174,'01-02.2022'!$A$6:$DA$376,78,FALSE)</f>
        <v>7571.2999836569452</v>
      </c>
      <c r="CA174" s="566">
        <f>VLOOKUP($A174,'01-02.2021'!$A$6:$CZ$403,79,FALSE)+VLOOKUP($A174,'1.3.21-28.2.22'!$A$6:$DA$404,79,FALSE)-VLOOKUP($A174,'01-02.2022'!$A$6:$DA$376,79,FALSE)</f>
        <v>10469.143270156421</v>
      </c>
      <c r="CB174" s="70">
        <f t="shared" si="195"/>
        <v>2897.8432864994757</v>
      </c>
      <c r="CC174" s="566">
        <f>VLOOKUP($A174,'01-02.2021'!$A$6:$CZ$403,81,FALSE)+VLOOKUP($A174,'1.3.21-28.2.22'!$A$6:$DA$404,81,FALSE)-VLOOKUP($A174,'01-02.2022'!$A$6:$DA$376,81,FALSE)</f>
        <v>860.3677964476359</v>
      </c>
      <c r="CD174" s="566">
        <f>VLOOKUP($A174,'01-02.2021'!$A$6:$CZ$403,82,FALSE)+VLOOKUP($A174,'1.3.21-28.2.22'!$A$6:$DA$404,82,FALSE)-VLOOKUP($A174,'01-02.2022'!$A$6:$DA$376,82,FALSE)</f>
        <v>934.11453249706756</v>
      </c>
      <c r="CE174" s="70">
        <f t="shared" si="196"/>
        <v>73.746736049431661</v>
      </c>
      <c r="CF174" s="566">
        <f>VLOOKUP($A174,'01-02.2021'!$A$6:$CZ$403,84,FALSE)+VLOOKUP($A174,'1.3.21-28.2.22'!$A$6:$DA$404,84,FALSE)-VLOOKUP($A174,'01-02.2022'!$A$6:$DA$376,84,FALSE)</f>
        <v>103.89898313986049</v>
      </c>
      <c r="CG174" s="566">
        <f>VLOOKUP($A174,'01-02.2021'!$A$6:$CZ$403,85,FALSE)+VLOOKUP($A174,'1.3.21-28.2.22'!$A$6:$DA$404,85,FALSE)-VLOOKUP($A174,'01-02.2022'!$A$6:$DA$376,85,FALSE)</f>
        <v>0</v>
      </c>
      <c r="CH174" s="70">
        <f t="shared" si="197"/>
        <v>-103.89898313986049</v>
      </c>
      <c r="CI174" s="566">
        <f>VLOOKUP($A174,'01-02.2021'!$A$6:$CZ$403,87,FALSE)+VLOOKUP($A174,'1.3.21-28.2.22'!$A$6:$DA$404,87,FALSE)-VLOOKUP($A174,'01-02.2022'!$A$6:$DA$376,87,FALSE)</f>
        <v>7340.1313087511235</v>
      </c>
      <c r="CJ174" s="566">
        <f>VLOOKUP($A174,'01-02.2021'!$A$6:$CZ$403,88,FALSE)+VLOOKUP($A174,'1.3.21-28.2.22'!$A$6:$DA$404,88,FALSE)-VLOOKUP($A174,'01-02.2022'!$A$6:$DA$376,88,FALSE)</f>
        <v>3493.0274538018957</v>
      </c>
      <c r="CK174" s="70">
        <f t="shared" si="198"/>
        <v>-3847.1038549492278</v>
      </c>
      <c r="CL174" s="566">
        <f>VLOOKUP($A174,'01-02.2021'!$A$6:$CZ$403,90,FALSE)+VLOOKUP($A174,'1.3.21-28.2.22'!$A$6:$DA$404,90,FALSE)-VLOOKUP($A174,'01-02.2022'!$A$6:$DA$376,90,FALSE)</f>
        <v>8987.7964369070723</v>
      </c>
      <c r="CM174" s="566">
        <f>VLOOKUP($A174,'01-02.2021'!$A$6:$CZ$403,91,FALSE)+VLOOKUP($A174,'1.3.21-28.2.22'!$A$6:$DA$404,91,FALSE)-VLOOKUP($A174,'01-02.2022'!$A$6:$DA$376,91,FALSE)</f>
        <v>8460.3536022262488</v>
      </c>
      <c r="CN174" s="52">
        <f t="shared" si="158"/>
        <v>-527.44283468082358</v>
      </c>
      <c r="CO174" s="39">
        <f t="shared" si="153"/>
        <v>16327.927745658195</v>
      </c>
      <c r="CP174" s="40">
        <f t="shared" si="159"/>
        <v>11953.381056028145</v>
      </c>
      <c r="CQ174" s="52">
        <f t="shared" si="160"/>
        <v>-4374.5466896300495</v>
      </c>
      <c r="CR174" s="72">
        <f t="shared" si="154"/>
        <v>232511.940845248</v>
      </c>
      <c r="CS174" s="5">
        <f t="shared" si="154"/>
        <v>316835.26370138419</v>
      </c>
      <c r="CT174" s="52">
        <f t="shared" si="161"/>
        <v>84323.32285613619</v>
      </c>
      <c r="CU174" s="77">
        <f t="shared" si="162"/>
        <v>279014.32901429757</v>
      </c>
      <c r="CV174" s="65">
        <f t="shared" si="163"/>
        <v>380202.31644166104</v>
      </c>
      <c r="CW174" s="35">
        <f t="shared" si="164"/>
        <v>101187.98742736346</v>
      </c>
      <c r="CX174" s="566">
        <f>VLOOKUP($A174,'01-02.2021'!$A$6:$CZ$403,102,FALSE)+VLOOKUP($A174,'1.3.21-28.2.22'!$A$6:$DA$404,102,FALSE)-VLOOKUP($A174,'01-02.2022'!$A$6:$DA$376,102,FALSE)</f>
        <v>7974.4119157573314</v>
      </c>
      <c r="CY174" s="566">
        <f>VLOOKUP($A174,'01-02.2021'!$A$6:$CZ$403,103,FALSE)+VLOOKUP($A174,'1.3.21-28.2.22'!$A$6:$DA$404,103,FALSE)-VLOOKUP($A174,'01-02.2022'!$A$6:$DA$376,103,FALSE)</f>
        <v>-93213.575511606119</v>
      </c>
      <c r="CZ174" s="52">
        <f t="shared" si="165"/>
        <v>-101187.98742736345</v>
      </c>
      <c r="DA174" s="150">
        <f>'[2]побудинковий звіт'!DA174</f>
        <v>44612.994573111049</v>
      </c>
      <c r="DB174" s="2">
        <v>1</v>
      </c>
      <c r="DC174" s="414">
        <f>'[4]побудинковий звіт'!DC174</f>
        <v>57487.77</v>
      </c>
      <c r="DD174" s="414">
        <f>'[4]побудинковий звіт'!DD174</f>
        <v>0</v>
      </c>
      <c r="DE174" s="557">
        <f>'[4]побудинковий звіт'!DE174</f>
        <v>31650.488518284255</v>
      </c>
      <c r="DF174" s="557">
        <f>'[4]побудинковий звіт'!DF174</f>
        <v>0</v>
      </c>
      <c r="DG174" s="321">
        <f>VLOOKUP(A174,'кошти 01.03.2021'!$A$6:$D$401,4,)</f>
        <v>28061.034794624895</v>
      </c>
      <c r="DH174" s="40">
        <f>'[3]побудинковий звіт'!DJ174</f>
        <v>296058.2455371485</v>
      </c>
      <c r="DI174" s="422">
        <f>'[3]побудинковий звіт'!CU174+'[3]побудинковий звіт'!CX174</f>
        <v>25837.281481715741</v>
      </c>
      <c r="DJ174" s="306">
        <f>'[3]побудинковий звіт'!DM174</f>
        <v>5.8139382288998096</v>
      </c>
      <c r="DK174" s="306">
        <f>'[3]побудинковий звіт'!DN174</f>
        <v>6.9834541852383785</v>
      </c>
      <c r="DL174" s="306">
        <f>'[3]побудинковий звіт'!DO174</f>
        <v>4.8096127611270356</v>
      </c>
      <c r="DM174" s="28">
        <f t="shared" si="211"/>
        <v>25837.281481715741</v>
      </c>
      <c r="DN174" s="28">
        <f t="shared" si="212"/>
        <v>0</v>
      </c>
      <c r="DO174" s="423">
        <f t="shared" si="171"/>
        <v>25837.281481715741</v>
      </c>
      <c r="DP174" s="94">
        <f t="shared" si="172"/>
        <v>0</v>
      </c>
      <c r="DQ174" s="28">
        <f t="shared" si="173"/>
        <v>25837.281481715741</v>
      </c>
      <c r="DR174" s="318"/>
      <c r="DT174" s="8"/>
      <c r="DU174" s="5"/>
      <c r="DX174" s="5">
        <f t="shared" si="174"/>
        <v>73042.224430097092</v>
      </c>
      <c r="DY174" s="5">
        <f t="shared" si="175"/>
        <v>173561.93392013115</v>
      </c>
      <c r="DZ174" s="159">
        <f>'[3]побудинковий звіт'!EA174</f>
        <v>6843.8834191063006</v>
      </c>
    </row>
    <row r="175" spans="1:130" x14ac:dyDescent="0.3">
      <c r="A175" s="325">
        <v>150001024</v>
      </c>
      <c r="B175" s="41" t="s">
        <v>623</v>
      </c>
      <c r="C175" s="42" t="s">
        <v>367</v>
      </c>
      <c r="D175" s="42"/>
      <c r="E175" s="293">
        <f t="shared" si="149"/>
        <v>4293.3200000000006</v>
      </c>
      <c r="F175" s="305">
        <f>'[3]побудинковий звіт'!F175</f>
        <v>4227.22</v>
      </c>
      <c r="G175" s="508">
        <f>'[3]побудинковий звіт'!G175</f>
        <v>344.66</v>
      </c>
      <c r="H175" s="560">
        <f>'[3]побудинковий звіт'!H175</f>
        <v>66.099999999999994</v>
      </c>
      <c r="I175" s="566">
        <f>VLOOKUP($A175,'01-02.2021'!$A$6:$CZ$403,9,FALSE)+VLOOKUP($A175,'1.3.21-28.2.22'!$A$6:$DA$404,9,FALSE)-VLOOKUP($A175,'01-02.2022'!$A$6:$DA$376,9,FALSE)</f>
        <v>14853.451120290072</v>
      </c>
      <c r="J175" s="566">
        <f>VLOOKUP($A175,'01-02.2021'!$A$6:$CZ$403,10,FALSE)+VLOOKUP($A175,'1.3.21-28.2.22'!$A$6:$DA$404,10,FALSE)-VLOOKUP($A175,'01-02.2022'!$A$6:$DA$376,10,FALSE)</f>
        <v>13143.823347478778</v>
      </c>
      <c r="K175" s="52">
        <f t="shared" si="155"/>
        <v>-1709.6277728112946</v>
      </c>
      <c r="L175" s="566">
        <f>VLOOKUP($A175,'01-02.2021'!$A$6:$CZ$403,12,FALSE)+VLOOKUP($A175,'1.3.21-28.2.22'!$A$6:$DA$404,12,FALSE)-VLOOKUP($A175,'01-02.2022'!$A$6:$DA$376,12,FALSE)</f>
        <v>2372.8295304507392</v>
      </c>
      <c r="M175" s="566">
        <f>VLOOKUP($A175,'01-02.2021'!$A$6:$CZ$403,13,FALSE)+VLOOKUP($A175,'1.3.21-28.2.22'!$A$6:$DA$404,13,FALSE)-VLOOKUP($A175,'01-02.2022'!$A$6:$DA$376,13,FALSE)</f>
        <v>2145.1272136881121</v>
      </c>
      <c r="N175" s="52">
        <f t="shared" si="156"/>
        <v>-227.70231676262711</v>
      </c>
      <c r="O175" s="566">
        <f>VLOOKUP($A175,'01-02.2021'!$A$6:$CZ$403,15,FALSE)+VLOOKUP($A175,'1.3.21-28.2.22'!$A$6:$DA$404,15,FALSE)-VLOOKUP($A175,'01-02.2022'!$A$6:$DA$376,15,FALSE)</f>
        <v>5557.6225107005903</v>
      </c>
      <c r="P175" s="566">
        <f>VLOOKUP($A175,'01-02.2021'!$A$6:$CZ$403,16,FALSE)+VLOOKUP($A175,'1.3.21-28.2.22'!$A$6:$DA$404,16,FALSE)-VLOOKUP($A175,'01-02.2022'!$A$6:$DA$376,16,FALSE)</f>
        <v>5557.6299999999992</v>
      </c>
      <c r="Q175" s="70">
        <f t="shared" si="176"/>
        <v>7.4892994089168496E-3</v>
      </c>
      <c r="R175" s="566">
        <f>VLOOKUP($A175,'01-02.2021'!$A$6:$CZ$403,18,FALSE)+VLOOKUP($A175,'1.3.21-28.2.22'!$A$6:$DA$404,18,FALSE)-VLOOKUP($A175,'01-02.2022'!$A$6:$DA$376,18,FALSE)</f>
        <v>1283.9122816284835</v>
      </c>
      <c r="S175" s="566">
        <f>VLOOKUP($A175,'01-02.2021'!$A$6:$CZ$403,19,FALSE)+VLOOKUP($A175,'1.3.21-28.2.22'!$A$6:$DA$404,19,FALSE)-VLOOKUP($A175,'01-02.2022'!$A$6:$DA$376,19,FALSE)</f>
        <v>1283.94</v>
      </c>
      <c r="T175" s="70">
        <f t="shared" si="177"/>
        <v>2.7718371516584739E-2</v>
      </c>
      <c r="U175" s="566">
        <f>VLOOKUP($A175,'01-02.2021'!$A$6:$CZ$403,21,FALSE)+VLOOKUP($A175,'1.3.21-28.2.22'!$A$6:$DA$404,21,FALSE)-VLOOKUP($A175,'01-02.2022'!$A$6:$DA$376,21,FALSE)</f>
        <v>671.36656966572173</v>
      </c>
      <c r="V175" s="566">
        <f>VLOOKUP($A175,'01-02.2021'!$A$6:$CZ$403,22,FALSE)+VLOOKUP($A175,'1.3.21-28.2.22'!$A$6:$DA$404,22,FALSE)-VLOOKUP($A175,'01-02.2022'!$A$6:$DA$376,22,FALSE)</f>
        <v>454.29474368854687</v>
      </c>
      <c r="W175" s="70">
        <f t="shared" si="178"/>
        <v>-217.07182597717485</v>
      </c>
      <c r="X175" s="566">
        <f>VLOOKUP($A175,'01-02.2021'!$A$6:$CZ$403,24,FALSE)+VLOOKUP($A175,'1.3.21-28.2.22'!$A$6:$DA$404,24,FALSE)-VLOOKUP($A175,'01-02.2022'!$A$6:$DA$376,24,FALSE)</f>
        <v>5877.8958725242901</v>
      </c>
      <c r="Y175" s="566">
        <f>VLOOKUP($A175,'01-02.2021'!$A$6:$CZ$403,25,FALSE)+VLOOKUP($A175,'1.3.21-28.2.22'!$A$6:$DA$404,25,FALSE)-VLOOKUP($A175,'01-02.2022'!$A$6:$DA$376,25,FALSE)</f>
        <v>5682.5347063283934</v>
      </c>
      <c r="Z175" s="70">
        <f t="shared" si="179"/>
        <v>-195.36116619589666</v>
      </c>
      <c r="AA175" s="566">
        <f>VLOOKUP($A175,'01-02.2021'!$A$6:$CZ$403,27,FALSE)+VLOOKUP($A175,'1.3.21-28.2.22'!$A$6:$DA$404,27,FALSE)-VLOOKUP($A175,'01-02.2022'!$A$6:$DA$376,27,FALSE)</f>
        <v>858.42000000000019</v>
      </c>
      <c r="AB175" s="566">
        <f>VLOOKUP($A175,'01-02.2021'!$A$6:$CZ$403,28,FALSE)+VLOOKUP($A175,'1.3.21-28.2.22'!$A$6:$DA$404,28,FALSE)-VLOOKUP($A175,'01-02.2022'!$A$6:$DA$376,28,FALSE)</f>
        <v>0</v>
      </c>
      <c r="AC175" s="70">
        <f t="shared" si="180"/>
        <v>-858.42000000000019</v>
      </c>
      <c r="AD175" s="566">
        <f>VLOOKUP($A175,'01-02.2021'!$A$6:$CZ$403,30,FALSE)+VLOOKUP($A175,'1.3.21-28.2.22'!$A$6:$DA$404,30,FALSE)-VLOOKUP($A175,'01-02.2022'!$A$6:$DA$376,30,FALSE)</f>
        <v>18432.243893071623</v>
      </c>
      <c r="AE175" s="566">
        <f>VLOOKUP($A175,'01-02.2021'!$A$6:$CZ$403,31,FALSE)+VLOOKUP($A175,'1.3.21-28.2.22'!$A$6:$DA$404,31,FALSE)-VLOOKUP($A175,'01-02.2022'!$A$6:$DA$376,31,FALSE)</f>
        <v>19543.365627524297</v>
      </c>
      <c r="AF175" s="68">
        <f t="shared" si="181"/>
        <v>1111.121734452674</v>
      </c>
      <c r="AG175" s="77">
        <f t="shared" si="150"/>
        <v>49907.741778331518</v>
      </c>
      <c r="AH175" s="53">
        <f t="shared" si="150"/>
        <v>47810.715638708127</v>
      </c>
      <c r="AI175" s="52">
        <f t="shared" si="157"/>
        <v>-2097.0261396233909</v>
      </c>
      <c r="AJ175" s="566">
        <f>VLOOKUP($A175,'01-02.2021'!$A$6:$CZ$403,36,FALSE)+VLOOKUP($A175,'1.3.21-28.2.22'!$A$6:$DA$404,36,FALSE)-VLOOKUP($A175,'01-02.2022'!$A$6:$DA$376,36,FALSE)</f>
        <v>38000.184112803319</v>
      </c>
      <c r="AK175" s="566">
        <f>VLOOKUP($A175,'01-02.2021'!$A$6:$CZ$403,37,FALSE)+VLOOKUP($A175,'1.3.21-28.2.22'!$A$6:$DA$404,37,FALSE)-VLOOKUP($A175,'01-02.2022'!$A$6:$DA$376,37,FALSE)</f>
        <v>37750.952117929199</v>
      </c>
      <c r="AL175" s="70">
        <f t="shared" si="182"/>
        <v>-249.23199487412057</v>
      </c>
      <c r="AM175" s="566">
        <f>VLOOKUP($A175,'01-02.2021'!$A$6:$CZ$403,39,FALSE)+VLOOKUP($A175,'1.3.21-28.2.22'!$A$6:$DA$404,39,FALSE)-VLOOKUP($A175,'01-02.2022'!$A$6:$DA$376,39,FALSE)</f>
        <v>0</v>
      </c>
      <c r="AN175" s="566">
        <f>VLOOKUP($A175,'01-02.2021'!$A$6:$CZ$403,40,FALSE)+VLOOKUP($A175,'1.3.21-28.2.22'!$A$6:$DA$404,40,FALSE)-VLOOKUP($A175,'01-02.2022'!$A$6:$DA$376,40,FALSE)</f>
        <v>0</v>
      </c>
      <c r="AO175" s="70">
        <f t="shared" si="183"/>
        <v>0</v>
      </c>
      <c r="AP175" s="566">
        <f>VLOOKUP($A175,'01-02.2021'!$A$6:$CZ$403,42,FALSE)+VLOOKUP($A175,'1.3.21-28.2.22'!$A$6:$DA$404,42,FALSE)-VLOOKUP($A175,'01-02.2022'!$A$6:$DA$376,42,FALSE)</f>
        <v>3036.5995625745354</v>
      </c>
      <c r="AQ175" s="566">
        <f>VLOOKUP($A175,'01-02.2021'!$A$6:$CZ$403,43,FALSE)+VLOOKUP($A175,'1.3.21-28.2.22'!$A$6:$DA$404,43,FALSE)-VLOOKUP($A175,'01-02.2022'!$A$6:$DA$376,43,FALSE)</f>
        <v>2667.1315028901736</v>
      </c>
      <c r="AR175" s="70">
        <f t="shared" si="184"/>
        <v>-369.46805968436183</v>
      </c>
      <c r="AS175" s="566">
        <f>VLOOKUP($A175,'01-02.2021'!$A$6:$CZ$403,45,FALSE)+VLOOKUP($A175,'1.3.21-28.2.22'!$A$6:$DA$404,45,FALSE)-VLOOKUP($A175,'01-02.2022'!$A$6:$DA$376,45,FALSE)</f>
        <v>52628.183978724512</v>
      </c>
      <c r="AT175" s="566">
        <f>VLOOKUP($A175,'01-02.2021'!$A$6:$CZ$403,46,FALSE)+VLOOKUP($A175,'1.3.21-28.2.22'!$A$6:$DA$404,46,FALSE)-VLOOKUP($A175,'01-02.2022'!$A$6:$DA$376,46,FALSE)</f>
        <v>53903.130000000005</v>
      </c>
      <c r="AU175" s="78">
        <f t="shared" si="185"/>
        <v>1274.946021275493</v>
      </c>
      <c r="AV175" s="566">
        <f>VLOOKUP($A175,'01-02.2021'!$A$6:$CZ$403,48,FALSE)+VLOOKUP($A175,'1.3.21-28.2.22'!$A$6:$DA$404,48,FALSE)-VLOOKUP($A175,'01-02.2022'!$A$6:$DA$376,48,FALSE)</f>
        <v>3167.6299806021939</v>
      </c>
      <c r="AW175" s="566">
        <f>VLOOKUP($A175,'01-02.2021'!$A$6:$CZ$403,49,FALSE)+VLOOKUP($A175,'1.3.21-28.2.22'!$A$6:$DA$404,49,FALSE)-VLOOKUP($A175,'01-02.2022'!$A$6:$DA$376,49,FALSE)</f>
        <v>9547</v>
      </c>
      <c r="AX175" s="55">
        <f t="shared" si="186"/>
        <v>6379.3700193978057</v>
      </c>
      <c r="AY175" s="566">
        <f>VLOOKUP($A175,'01-02.2021'!$A$6:$CZ$403,51,FALSE)+VLOOKUP($A175,'1.3.21-28.2.22'!$A$6:$DA$404,51,FALSE)-VLOOKUP($A175,'01-02.2022'!$A$6:$DA$376,51,FALSE)</f>
        <v>3408.9275794985315</v>
      </c>
      <c r="AZ175" s="566">
        <f>VLOOKUP($A175,'01-02.2021'!$A$6:$CZ$403,52,FALSE)+VLOOKUP($A175,'1.3.21-28.2.22'!$A$6:$DA$404,52,FALSE)-VLOOKUP($A175,'01-02.2022'!$A$6:$DA$376,52,FALSE)</f>
        <v>5303</v>
      </c>
      <c r="BA175" s="38">
        <f t="shared" si="187"/>
        <v>1894.0724205014685</v>
      </c>
      <c r="BB175" s="566">
        <f>VLOOKUP($A175,'01-02.2021'!$A$6:$CZ$403,54,FALSE)+VLOOKUP($A175,'1.3.21-28.2.22'!$A$6:$DA$404,54,FALSE)-VLOOKUP($A175,'01-02.2022'!$A$6:$DA$376,54,FALSE)</f>
        <v>1624.9939165916023</v>
      </c>
      <c r="BC175" s="566">
        <f>VLOOKUP($A175,'01-02.2021'!$A$6:$CZ$403,55,FALSE)+VLOOKUP($A175,'1.3.21-28.2.22'!$A$6:$DA$404,55,FALSE)-VLOOKUP($A175,'01-02.2022'!$A$6:$DA$376,55,FALSE)</f>
        <v>2242</v>
      </c>
      <c r="BD175" s="55">
        <f t="shared" si="188"/>
        <v>617.00608340839767</v>
      </c>
      <c r="BE175" s="566">
        <f>VLOOKUP($A175,'01-02.2021'!$A$6:$CZ$403,57,FALSE)+VLOOKUP($A175,'1.3.21-28.2.22'!$A$6:$DA$404,57,FALSE)-VLOOKUP($A175,'01-02.2022'!$A$6:$DA$376,57,FALSE)</f>
        <v>2968.7974171732512</v>
      </c>
      <c r="BF175" s="566">
        <f>VLOOKUP($A175,'01-02.2021'!$A$6:$CZ$403,58,FALSE)+VLOOKUP($A175,'1.3.21-28.2.22'!$A$6:$DA$404,58,FALSE)-VLOOKUP($A175,'01-02.2022'!$A$6:$DA$376,58,FALSE)</f>
        <v>0</v>
      </c>
      <c r="BG175" s="55">
        <f t="shared" si="189"/>
        <v>-2968.7974171732512</v>
      </c>
      <c r="BH175" s="566">
        <f>VLOOKUP($A175,'01-02.2021'!$A$6:$CZ$403,60,FALSE)+VLOOKUP($A175,'1.3.21-28.2.22'!$A$6:$DA$404,60,FALSE)-VLOOKUP($A175,'01-02.2022'!$A$6:$DA$376,60,FALSE)</f>
        <v>1275.6779514917541</v>
      </c>
      <c r="BI175" s="566">
        <f>VLOOKUP($A175,'01-02.2021'!$A$6:$CZ$403,61,FALSE)+VLOOKUP($A175,'1.3.21-28.2.22'!$A$6:$DA$404,61,FALSE)-VLOOKUP($A175,'01-02.2022'!$A$6:$DA$376,61,FALSE)</f>
        <v>2859</v>
      </c>
      <c r="BJ175" s="55">
        <f t="shared" si="190"/>
        <v>1583.3220485082459</v>
      </c>
      <c r="BK175" s="566">
        <f>VLOOKUP($A175,'01-02.2021'!$A$6:$CZ$403,63,FALSE)+VLOOKUP($A175,'1.3.21-28.2.22'!$A$6:$DA$404,63,FALSE)-VLOOKUP($A175,'01-02.2022'!$A$6:$DA$376,63,FALSE)</f>
        <v>1632.6016127936646</v>
      </c>
      <c r="BL175" s="566">
        <f>VLOOKUP($A175,'01-02.2021'!$A$6:$CZ$403,64,FALSE)+VLOOKUP($A175,'1.3.21-28.2.22'!$A$6:$DA$404,64,FALSE)-VLOOKUP($A175,'01-02.2022'!$A$6:$DA$376,64,FALSE)</f>
        <v>639</v>
      </c>
      <c r="BM175" s="55">
        <f t="shared" si="191"/>
        <v>-993.60161279366457</v>
      </c>
      <c r="BN175" s="566">
        <f>VLOOKUP($A175,'01-02.2021'!$A$6:$CZ$403,66,FALSE)+VLOOKUP($A175,'1.3.21-28.2.22'!$A$6:$DA$404,66,FALSE)-VLOOKUP($A175,'01-02.2022'!$A$6:$DA$376,66,FALSE)</f>
        <v>335.465815725884</v>
      </c>
      <c r="BO175" s="566">
        <f>VLOOKUP($A175,'01-02.2021'!$A$6:$CZ$403,67,FALSE)+VLOOKUP($A175,'1.3.21-28.2.22'!$A$6:$DA$404,67,FALSE)-VLOOKUP($A175,'01-02.2022'!$A$6:$DA$376,67,FALSE)</f>
        <v>0</v>
      </c>
      <c r="BP175" s="55">
        <f t="shared" si="192"/>
        <v>-335.465815725884</v>
      </c>
      <c r="BQ175" s="77">
        <f t="shared" si="209"/>
        <v>14414.094273876881</v>
      </c>
      <c r="BR175" s="40">
        <f t="shared" si="210"/>
        <v>20590</v>
      </c>
      <c r="BS175" s="55">
        <f t="shared" si="166"/>
        <v>6175.9057261231192</v>
      </c>
      <c r="BT175" s="566">
        <f>VLOOKUP($A175,'01-02.2021'!$A$6:$CZ$403,72,FALSE)+VLOOKUP($A175,'1.3.21-28.2.22'!$A$6:$DA$404,72,FALSE)-VLOOKUP($A175,'01-02.2022'!$A$6:$DA$376,72,FALSE)</f>
        <v>49889.1997572072</v>
      </c>
      <c r="BU175" s="566">
        <f>VLOOKUP($A175,'01-02.2021'!$A$6:$CZ$403,73,FALSE)+VLOOKUP($A175,'1.3.21-28.2.22'!$A$6:$DA$404,73,FALSE)-VLOOKUP($A175,'01-02.2022'!$A$6:$DA$376,73,FALSE)</f>
        <v>50578.020589761501</v>
      </c>
      <c r="BV175" s="70">
        <f t="shared" si="193"/>
        <v>688.82083255430189</v>
      </c>
      <c r="BW175" s="566">
        <f>VLOOKUP($A175,'01-02.2021'!$A$6:$CZ$403,75,FALSE)+VLOOKUP($A175,'1.3.21-28.2.22'!$A$6:$DA$404,75,FALSE)-VLOOKUP($A175,'01-02.2022'!$A$6:$DA$376,75,FALSE)</f>
        <v>35553.621173133426</v>
      </c>
      <c r="BX175" s="566">
        <f>VLOOKUP($A175,'01-02.2021'!$A$6:$CZ$403,76,FALSE)+VLOOKUP($A175,'1.3.21-28.2.22'!$A$6:$DA$404,76,FALSE)-VLOOKUP($A175,'01-02.2022'!$A$6:$DA$376,76,FALSE)</f>
        <v>36834.509734172949</v>
      </c>
      <c r="BY175" s="70">
        <f t="shared" si="194"/>
        <v>1280.8885610395228</v>
      </c>
      <c r="BZ175" s="566">
        <f>VLOOKUP($A175,'01-02.2021'!$A$6:$CZ$403,78,FALSE)+VLOOKUP($A175,'1.3.21-28.2.22'!$A$6:$DA$404,78,FALSE)-VLOOKUP($A175,'01-02.2022'!$A$6:$DA$376,78,FALSE)</f>
        <v>9443.3745971710086</v>
      </c>
      <c r="CA175" s="566">
        <f>VLOOKUP($A175,'01-02.2021'!$A$6:$CZ$403,79,FALSE)+VLOOKUP($A175,'1.3.21-28.2.22'!$A$6:$DA$404,79,FALSE)-VLOOKUP($A175,'01-02.2022'!$A$6:$DA$376,79,FALSE)</f>
        <v>10997.013728420183</v>
      </c>
      <c r="CB175" s="70">
        <f t="shared" si="195"/>
        <v>1553.6391312491742</v>
      </c>
      <c r="CC175" s="566">
        <f>VLOOKUP($A175,'01-02.2021'!$A$6:$CZ$403,81,FALSE)+VLOOKUP($A175,'1.3.21-28.2.22'!$A$6:$DA$404,81,FALSE)-VLOOKUP($A175,'01-02.2022'!$A$6:$DA$376,81,FALSE)</f>
        <v>656.73386602322671</v>
      </c>
      <c r="CD175" s="566">
        <f>VLOOKUP($A175,'01-02.2021'!$A$6:$CZ$403,82,FALSE)+VLOOKUP($A175,'1.3.21-28.2.22'!$A$6:$DA$404,82,FALSE)-VLOOKUP($A175,'01-02.2022'!$A$6:$DA$376,82,FALSE)</f>
        <v>700.58589937280078</v>
      </c>
      <c r="CE175" s="70">
        <f t="shared" si="196"/>
        <v>43.852033349574072</v>
      </c>
      <c r="CF175" s="566">
        <f>VLOOKUP($A175,'01-02.2021'!$A$6:$CZ$403,84,FALSE)+VLOOKUP($A175,'1.3.21-28.2.22'!$A$6:$DA$404,84,FALSE)-VLOOKUP($A175,'01-02.2022'!$A$6:$DA$376,84,FALSE)</f>
        <v>77.924237354895354</v>
      </c>
      <c r="CG175" s="566">
        <f>VLOOKUP($A175,'01-02.2021'!$A$6:$CZ$403,85,FALSE)+VLOOKUP($A175,'1.3.21-28.2.22'!$A$6:$DA$404,85,FALSE)-VLOOKUP($A175,'01-02.2022'!$A$6:$DA$376,85,FALSE)</f>
        <v>0</v>
      </c>
      <c r="CH175" s="70">
        <f t="shared" si="197"/>
        <v>-77.924237354895354</v>
      </c>
      <c r="CI175" s="566">
        <f>VLOOKUP($A175,'01-02.2021'!$A$6:$CZ$403,87,FALSE)+VLOOKUP($A175,'1.3.21-28.2.22'!$A$6:$DA$404,87,FALSE)-VLOOKUP($A175,'01-02.2022'!$A$6:$DA$376,87,FALSE)</f>
        <v>15097.501279382075</v>
      </c>
      <c r="CJ175" s="566">
        <f>VLOOKUP($A175,'01-02.2021'!$A$6:$CZ$403,88,FALSE)+VLOOKUP($A175,'1.3.21-28.2.22'!$A$6:$DA$404,88,FALSE)-VLOOKUP($A175,'01-02.2022'!$A$6:$DA$376,88,FALSE)</f>
        <v>7887.2546202728572</v>
      </c>
      <c r="CK175" s="70">
        <f t="shared" si="198"/>
        <v>-7210.2466591092179</v>
      </c>
      <c r="CL175" s="566">
        <f>VLOOKUP($A175,'01-02.2021'!$A$6:$CZ$403,90,FALSE)+VLOOKUP($A175,'1.3.21-28.2.22'!$A$6:$DA$404,90,FALSE)-VLOOKUP($A175,'01-02.2022'!$A$6:$DA$376,90,FALSE)</f>
        <v>11159.95174434914</v>
      </c>
      <c r="CM175" s="566">
        <f>VLOOKUP($A175,'01-02.2021'!$A$6:$CZ$403,91,FALSE)+VLOOKUP($A175,'1.3.21-28.2.22'!$A$6:$DA$404,91,FALSE)-VLOOKUP($A175,'01-02.2022'!$A$6:$DA$376,91,FALSE)</f>
        <v>10218.490268107362</v>
      </c>
      <c r="CN175" s="52">
        <f t="shared" si="158"/>
        <v>-941.46147624177866</v>
      </c>
      <c r="CO175" s="39">
        <f t="shared" si="153"/>
        <v>26257.453023731214</v>
      </c>
      <c r="CP175" s="40">
        <f t="shared" si="159"/>
        <v>18105.744888380221</v>
      </c>
      <c r="CQ175" s="52">
        <f t="shared" si="160"/>
        <v>-8151.708135350993</v>
      </c>
      <c r="CR175" s="72">
        <f t="shared" si="154"/>
        <v>279865.11036093172</v>
      </c>
      <c r="CS175" s="5">
        <f t="shared" si="154"/>
        <v>279937.80409963516</v>
      </c>
      <c r="CT175" s="52">
        <f t="shared" si="161"/>
        <v>72.69373870344134</v>
      </c>
      <c r="CU175" s="77">
        <f t="shared" si="162"/>
        <v>335838.13243311807</v>
      </c>
      <c r="CV175" s="65">
        <f t="shared" si="163"/>
        <v>335925.36491956218</v>
      </c>
      <c r="CW175" s="35">
        <f t="shared" si="164"/>
        <v>87.232486444117967</v>
      </c>
      <c r="CX175" s="566">
        <f>VLOOKUP($A175,'01-02.2021'!$A$6:$CZ$403,102,FALSE)+VLOOKUP($A175,'1.3.21-28.2.22'!$A$6:$DA$404,102,FALSE)-VLOOKUP($A175,'01-02.2022'!$A$6:$DA$376,102,FALSE)</f>
        <v>9591.6236222118987</v>
      </c>
      <c r="CY175" s="566">
        <f>VLOOKUP($A175,'01-02.2021'!$A$6:$CZ$403,103,FALSE)+VLOOKUP($A175,'1.3.21-28.2.22'!$A$6:$DA$404,103,FALSE)-VLOOKUP($A175,'01-02.2022'!$A$6:$DA$376,103,FALSE)</f>
        <v>9504.3911357677607</v>
      </c>
      <c r="CZ175" s="52">
        <f t="shared" si="165"/>
        <v>-87.232486444137976</v>
      </c>
      <c r="DA175" s="150">
        <f>'[2]побудинковий звіт'!DA175</f>
        <v>-26565.077178611093</v>
      </c>
      <c r="DB175" s="2">
        <v>1</v>
      </c>
      <c r="DC175" s="414">
        <f>'[4]побудинковий звіт'!DC175</f>
        <v>37379.839999999997</v>
      </c>
      <c r="DD175" s="414">
        <f>'[4]побудинковий звіт'!DD175</f>
        <v>782.97</v>
      </c>
      <c r="DE175" s="557">
        <f>'[4]побудинковий звіт'!DE175</f>
        <v>6587.5350518722589</v>
      </c>
      <c r="DF175" s="557">
        <f>'[4]побудинковий звіт'!DF175</f>
        <v>449.56807411682024</v>
      </c>
      <c r="DG175" s="321">
        <f>VLOOKUP(A175,'кошти 01.03.2021'!$A$6:$D$401,4,)</f>
        <v>-37986.214050849987</v>
      </c>
      <c r="DH175" s="40">
        <f>'[3]побудинковий звіт'!DJ175</f>
        <v>356476.22144787677</v>
      </c>
      <c r="DI175" s="422">
        <f>'[3]побудинковий звіт'!CU175+'[3]побудинковий звіт'!CX175</f>
        <v>31125.706874010917</v>
      </c>
      <c r="DJ175" s="306">
        <f>'[3]побудинковий звіт'!DM175</f>
        <v>6.0411627952491722</v>
      </c>
      <c r="DK175" s="306">
        <f>'[3]побудинковий звіт'!DN175</f>
        <v>7.3946462589418207</v>
      </c>
      <c r="DL175" s="306">
        <f>'[3]побудинковий звіт'!DO175</f>
        <v>5.0439020557213281</v>
      </c>
      <c r="DM175" s="28">
        <f t="shared" si="211"/>
        <v>30792.304948127738</v>
      </c>
      <c r="DN175" s="28">
        <f t="shared" si="212"/>
        <v>333.40192588317979</v>
      </c>
      <c r="DO175" s="423">
        <f t="shared" si="171"/>
        <v>31125.706874010917</v>
      </c>
      <c r="DP175" s="94">
        <f t="shared" si="172"/>
        <v>0</v>
      </c>
      <c r="DQ175" s="28">
        <f t="shared" si="173"/>
        <v>31125.706874010917</v>
      </c>
      <c r="DR175" s="318"/>
      <c r="DT175" s="8"/>
      <c r="DU175" s="5"/>
      <c r="DX175" s="5">
        <f t="shared" si="174"/>
        <v>80450.733903121669</v>
      </c>
      <c r="DY175" s="5">
        <f t="shared" si="175"/>
        <v>89391.756000000008</v>
      </c>
      <c r="DZ175" s="159">
        <f>'[3]побудинковий звіт'!EA175</f>
        <v>7294.4490897410324</v>
      </c>
    </row>
    <row r="176" spans="1:130" x14ac:dyDescent="0.3">
      <c r="A176" s="325">
        <v>150001025</v>
      </c>
      <c r="B176" s="41" t="s">
        <v>624</v>
      </c>
      <c r="C176" s="42" t="s">
        <v>421</v>
      </c>
      <c r="D176" s="42"/>
      <c r="E176" s="293">
        <f t="shared" si="149"/>
        <v>5265.4</v>
      </c>
      <c r="F176" s="305">
        <f>'[3]побудинковий звіт'!F176</f>
        <v>5062.2</v>
      </c>
      <c r="G176" s="508">
        <f>'[3]побудинковий звіт'!G176</f>
        <v>311.8</v>
      </c>
      <c r="H176" s="560">
        <f>'[3]побудинковий звіт'!H176</f>
        <v>203.2</v>
      </c>
      <c r="I176" s="566">
        <f>VLOOKUP($A176,'01-02.2021'!$A$6:$CZ$403,9,FALSE)+VLOOKUP($A176,'1.3.21-28.2.22'!$A$6:$DA$404,9,FALSE)-VLOOKUP($A176,'01-02.2022'!$A$6:$DA$376,9,FALSE)</f>
        <v>17583.611003874812</v>
      </c>
      <c r="J176" s="566">
        <f>VLOOKUP($A176,'01-02.2021'!$A$6:$CZ$403,10,FALSE)+VLOOKUP($A176,'1.3.21-28.2.22'!$A$6:$DA$404,10,FALSE)-VLOOKUP($A176,'01-02.2022'!$A$6:$DA$376,10,FALSE)</f>
        <v>15571.382359396082</v>
      </c>
      <c r="K176" s="52">
        <f t="shared" si="155"/>
        <v>-2012.2286444787296</v>
      </c>
      <c r="L176" s="566">
        <f>VLOOKUP($A176,'01-02.2021'!$A$6:$CZ$403,12,FALSE)+VLOOKUP($A176,'1.3.21-28.2.22'!$A$6:$DA$404,12,FALSE)-VLOOKUP($A176,'01-02.2022'!$A$6:$DA$376,12,FALSE)</f>
        <v>3000.8174506988271</v>
      </c>
      <c r="M176" s="566">
        <f>VLOOKUP($A176,'01-02.2021'!$A$6:$CZ$403,13,FALSE)+VLOOKUP($A176,'1.3.21-28.2.22'!$A$6:$DA$404,13,FALSE)-VLOOKUP($A176,'01-02.2022'!$A$6:$DA$376,13,FALSE)</f>
        <v>2711.7712422652439</v>
      </c>
      <c r="N176" s="52">
        <f t="shared" si="156"/>
        <v>-289.04620843358316</v>
      </c>
      <c r="O176" s="566">
        <f>VLOOKUP($A176,'01-02.2021'!$A$6:$CZ$403,15,FALSE)+VLOOKUP($A176,'1.3.21-28.2.22'!$A$6:$DA$404,15,FALSE)-VLOOKUP($A176,'01-02.2022'!$A$6:$DA$376,15,FALSE)</f>
        <v>7111.954697639183</v>
      </c>
      <c r="P176" s="566">
        <f>VLOOKUP($A176,'01-02.2021'!$A$6:$CZ$403,16,FALSE)+VLOOKUP($A176,'1.3.21-28.2.22'!$A$6:$DA$404,16,FALSE)-VLOOKUP($A176,'01-02.2022'!$A$6:$DA$376,16,FALSE)</f>
        <v>7111.93</v>
      </c>
      <c r="Q176" s="70">
        <f t="shared" si="176"/>
        <v>-2.4697639182704734E-2</v>
      </c>
      <c r="R176" s="566">
        <f>VLOOKUP($A176,'01-02.2021'!$A$6:$CZ$403,18,FALSE)+VLOOKUP($A176,'1.3.21-28.2.22'!$A$6:$DA$404,18,FALSE)-VLOOKUP($A176,'01-02.2022'!$A$6:$DA$376,18,FALSE)</f>
        <v>1457.3853127227085</v>
      </c>
      <c r="S176" s="566">
        <f>VLOOKUP($A176,'01-02.2021'!$A$6:$CZ$403,19,FALSE)+VLOOKUP($A176,'1.3.21-28.2.22'!$A$6:$DA$404,19,FALSE)-VLOOKUP($A176,'01-02.2022'!$A$6:$DA$376,19,FALSE)</f>
        <v>1457.38</v>
      </c>
      <c r="T176" s="70">
        <f t="shared" si="177"/>
        <v>-5.3127227083678008E-3</v>
      </c>
      <c r="U176" s="566">
        <f>VLOOKUP($A176,'01-02.2021'!$A$6:$CZ$403,21,FALSE)+VLOOKUP($A176,'1.3.21-28.2.22'!$A$6:$DA$404,21,FALSE)-VLOOKUP($A176,'01-02.2022'!$A$6:$DA$376,21,FALSE)</f>
        <v>717.22196050395598</v>
      </c>
      <c r="V176" s="566">
        <f>VLOOKUP($A176,'01-02.2021'!$A$6:$CZ$403,22,FALSE)+VLOOKUP($A176,'1.3.21-28.2.22'!$A$6:$DA$404,22,FALSE)-VLOOKUP($A176,'01-02.2022'!$A$6:$DA$376,22,FALSE)</f>
        <v>484.19364664043809</v>
      </c>
      <c r="W176" s="70">
        <f t="shared" si="178"/>
        <v>-233.02831386351789</v>
      </c>
      <c r="X176" s="566">
        <f>VLOOKUP($A176,'01-02.2021'!$A$6:$CZ$403,24,FALSE)+VLOOKUP($A176,'1.3.21-28.2.22'!$A$6:$DA$404,24,FALSE)-VLOOKUP($A176,'01-02.2022'!$A$6:$DA$376,24,FALSE)</f>
        <v>6180.4754236064709</v>
      </c>
      <c r="Y176" s="566">
        <f>VLOOKUP($A176,'01-02.2021'!$A$6:$CZ$403,25,FALSE)+VLOOKUP($A176,'1.3.21-28.2.22'!$A$6:$DA$404,25,FALSE)-VLOOKUP($A176,'01-02.2022'!$A$6:$DA$376,25,FALSE)</f>
        <v>5159.4315122894895</v>
      </c>
      <c r="Z176" s="70">
        <f t="shared" si="179"/>
        <v>-1021.0439113169814</v>
      </c>
      <c r="AA176" s="566">
        <f>VLOOKUP($A176,'01-02.2021'!$A$6:$CZ$403,27,FALSE)+VLOOKUP($A176,'1.3.21-28.2.22'!$A$6:$DA$404,27,FALSE)-VLOOKUP($A176,'01-02.2022'!$A$6:$DA$376,27,FALSE)</f>
        <v>1053.08</v>
      </c>
      <c r="AB176" s="566">
        <f>VLOOKUP($A176,'01-02.2021'!$A$6:$CZ$403,28,FALSE)+VLOOKUP($A176,'1.3.21-28.2.22'!$A$6:$DA$404,28,FALSE)-VLOOKUP($A176,'01-02.2022'!$A$6:$DA$376,28,FALSE)</f>
        <v>0</v>
      </c>
      <c r="AC176" s="70">
        <f t="shared" si="180"/>
        <v>-1053.08</v>
      </c>
      <c r="AD176" s="566">
        <f>VLOOKUP($A176,'01-02.2021'!$A$6:$CZ$403,30,FALSE)+VLOOKUP($A176,'1.3.21-28.2.22'!$A$6:$DA$404,30,FALSE)-VLOOKUP($A176,'01-02.2022'!$A$6:$DA$376,30,FALSE)</f>
        <v>22596.192069808185</v>
      </c>
      <c r="AE176" s="566">
        <f>VLOOKUP($A176,'01-02.2021'!$A$6:$CZ$403,31,FALSE)+VLOOKUP($A176,'1.3.21-28.2.22'!$A$6:$DA$404,31,FALSE)-VLOOKUP($A176,'01-02.2022'!$A$6:$DA$376,31,FALSE)</f>
        <v>23968.312954815028</v>
      </c>
      <c r="AF176" s="68">
        <f t="shared" si="181"/>
        <v>1372.1208850068433</v>
      </c>
      <c r="AG176" s="77">
        <f t="shared" si="150"/>
        <v>59700.737918854138</v>
      </c>
      <c r="AH176" s="53">
        <f t="shared" si="150"/>
        <v>56464.401715406275</v>
      </c>
      <c r="AI176" s="52">
        <f t="shared" si="157"/>
        <v>-3236.3362034478632</v>
      </c>
      <c r="AJ176" s="566">
        <f>VLOOKUP($A176,'01-02.2021'!$A$6:$CZ$403,36,FALSE)+VLOOKUP($A176,'1.3.21-28.2.22'!$A$6:$DA$404,36,FALSE)-VLOOKUP($A176,'01-02.2022'!$A$6:$DA$376,36,FALSE)</f>
        <v>36762.091560458815</v>
      </c>
      <c r="AK176" s="566">
        <f>VLOOKUP($A176,'01-02.2021'!$A$6:$CZ$403,37,FALSE)+VLOOKUP($A176,'1.3.21-28.2.22'!$A$6:$DA$404,37,FALSE)-VLOOKUP($A176,'01-02.2022'!$A$6:$DA$376,37,FALSE)</f>
        <v>36528.690171836533</v>
      </c>
      <c r="AL176" s="70">
        <f t="shared" si="182"/>
        <v>-233.40138862228196</v>
      </c>
      <c r="AM176" s="566">
        <f>VLOOKUP($A176,'01-02.2021'!$A$6:$CZ$403,39,FALSE)+VLOOKUP($A176,'1.3.21-28.2.22'!$A$6:$DA$404,39,FALSE)-VLOOKUP($A176,'01-02.2022'!$A$6:$DA$376,39,FALSE)</f>
        <v>0</v>
      </c>
      <c r="AN176" s="566">
        <f>VLOOKUP($A176,'01-02.2021'!$A$6:$CZ$403,40,FALSE)+VLOOKUP($A176,'1.3.21-28.2.22'!$A$6:$DA$404,40,FALSE)-VLOOKUP($A176,'01-02.2022'!$A$6:$DA$376,40,FALSE)</f>
        <v>0</v>
      </c>
      <c r="AO176" s="70">
        <f t="shared" si="183"/>
        <v>0</v>
      </c>
      <c r="AP176" s="566">
        <f>VLOOKUP($A176,'01-02.2021'!$A$6:$CZ$403,42,FALSE)+VLOOKUP($A176,'1.3.21-28.2.22'!$A$6:$DA$404,42,FALSE)-VLOOKUP($A176,'01-02.2022'!$A$6:$DA$376,42,FALSE)</f>
        <v>3340.2595188319883</v>
      </c>
      <c r="AQ176" s="566">
        <f>VLOOKUP($A176,'01-02.2021'!$A$6:$CZ$403,43,FALSE)+VLOOKUP($A176,'1.3.21-28.2.22'!$A$6:$DA$404,43,FALSE)-VLOOKUP($A176,'01-02.2022'!$A$6:$DA$376,43,FALSE)</f>
        <v>2877.6730769230771</v>
      </c>
      <c r="AR176" s="70">
        <f t="shared" si="184"/>
        <v>-462.58644190891118</v>
      </c>
      <c r="AS176" s="566">
        <f>VLOOKUP($A176,'01-02.2021'!$A$6:$CZ$403,45,FALSE)+VLOOKUP($A176,'1.3.21-28.2.22'!$A$6:$DA$404,45,FALSE)-VLOOKUP($A176,'01-02.2022'!$A$6:$DA$376,45,FALSE)</f>
        <v>61786.807620691594</v>
      </c>
      <c r="AT176" s="566">
        <f>VLOOKUP($A176,'01-02.2021'!$A$6:$CZ$403,46,FALSE)+VLOOKUP($A176,'1.3.21-28.2.22'!$A$6:$DA$404,46,FALSE)-VLOOKUP($A176,'01-02.2022'!$A$6:$DA$376,46,FALSE)</f>
        <v>29469.129999999997</v>
      </c>
      <c r="AU176" s="78">
        <f t="shared" si="185"/>
        <v>-32317.677620691597</v>
      </c>
      <c r="AV176" s="566">
        <f>VLOOKUP($A176,'01-02.2021'!$A$6:$CZ$403,48,FALSE)+VLOOKUP($A176,'1.3.21-28.2.22'!$A$6:$DA$404,48,FALSE)-VLOOKUP($A176,'01-02.2022'!$A$6:$DA$376,48,FALSE)</f>
        <v>3905.6516294017852</v>
      </c>
      <c r="AW176" s="566">
        <f>VLOOKUP($A176,'01-02.2021'!$A$6:$CZ$403,49,FALSE)+VLOOKUP($A176,'1.3.21-28.2.22'!$A$6:$DA$404,49,FALSE)-VLOOKUP($A176,'01-02.2022'!$A$6:$DA$376,49,FALSE)</f>
        <v>1836.25</v>
      </c>
      <c r="AX176" s="55">
        <f t="shared" si="186"/>
        <v>-2069.4016294017852</v>
      </c>
      <c r="AY176" s="566">
        <f>VLOOKUP($A176,'01-02.2021'!$A$6:$CZ$403,51,FALSE)+VLOOKUP($A176,'1.3.21-28.2.22'!$A$6:$DA$404,51,FALSE)-VLOOKUP($A176,'01-02.2022'!$A$6:$DA$376,51,FALSE)</f>
        <v>4164.2876500065713</v>
      </c>
      <c r="AZ176" s="566">
        <f>VLOOKUP($A176,'01-02.2021'!$A$6:$CZ$403,52,FALSE)+VLOOKUP($A176,'1.3.21-28.2.22'!$A$6:$DA$404,52,FALSE)-VLOOKUP($A176,'01-02.2022'!$A$6:$DA$376,52,FALSE)</f>
        <v>2520</v>
      </c>
      <c r="BA176" s="38">
        <f t="shared" si="187"/>
        <v>-1644.2876500065713</v>
      </c>
      <c r="BB176" s="566">
        <f>VLOOKUP($A176,'01-02.2021'!$A$6:$CZ$403,54,FALSE)+VLOOKUP($A176,'1.3.21-28.2.22'!$A$6:$DA$404,54,FALSE)-VLOOKUP($A176,'01-02.2022'!$A$6:$DA$376,54,FALSE)</f>
        <v>2004.541042544726</v>
      </c>
      <c r="BC176" s="566">
        <f>VLOOKUP($A176,'01-02.2021'!$A$6:$CZ$403,55,FALSE)+VLOOKUP($A176,'1.3.21-28.2.22'!$A$6:$DA$404,55,FALSE)-VLOOKUP($A176,'01-02.2022'!$A$6:$DA$376,55,FALSE)</f>
        <v>0</v>
      </c>
      <c r="BD176" s="55">
        <f t="shared" si="188"/>
        <v>-2004.541042544726</v>
      </c>
      <c r="BE176" s="566">
        <f>VLOOKUP($A176,'01-02.2021'!$A$6:$CZ$403,57,FALSE)+VLOOKUP($A176,'1.3.21-28.2.22'!$A$6:$DA$404,57,FALSE)-VLOOKUP($A176,'01-02.2022'!$A$6:$DA$376,57,FALSE)</f>
        <v>3282.3800927466991</v>
      </c>
      <c r="BF176" s="566">
        <f>VLOOKUP($A176,'01-02.2021'!$A$6:$CZ$403,58,FALSE)+VLOOKUP($A176,'1.3.21-28.2.22'!$A$6:$DA$404,58,FALSE)-VLOOKUP($A176,'01-02.2022'!$A$6:$DA$376,58,FALSE)</f>
        <v>440</v>
      </c>
      <c r="BG176" s="55">
        <f t="shared" si="189"/>
        <v>-2842.3800927466991</v>
      </c>
      <c r="BH176" s="566">
        <f>VLOOKUP($A176,'01-02.2021'!$A$6:$CZ$403,60,FALSE)+VLOOKUP($A176,'1.3.21-28.2.22'!$A$6:$DA$404,60,FALSE)-VLOOKUP($A176,'01-02.2022'!$A$6:$DA$376,60,FALSE)</f>
        <v>1362.7160776340054</v>
      </c>
      <c r="BI176" s="566">
        <f>VLOOKUP($A176,'01-02.2021'!$A$6:$CZ$403,61,FALSE)+VLOOKUP($A176,'1.3.21-28.2.22'!$A$6:$DA$404,61,FALSE)-VLOOKUP($A176,'01-02.2022'!$A$6:$DA$376,61,FALSE)</f>
        <v>0</v>
      </c>
      <c r="BJ176" s="55">
        <f t="shared" si="190"/>
        <v>-1362.7160776340054</v>
      </c>
      <c r="BK176" s="566">
        <f>VLOOKUP($A176,'01-02.2021'!$A$6:$CZ$403,63,FALSE)+VLOOKUP($A176,'1.3.21-28.2.22'!$A$6:$DA$404,63,FALSE)-VLOOKUP($A176,'01-02.2022'!$A$6:$DA$376,63,FALSE)</f>
        <v>1761.8171599016166</v>
      </c>
      <c r="BL176" s="566">
        <f>VLOOKUP($A176,'01-02.2021'!$A$6:$CZ$403,64,FALSE)+VLOOKUP($A176,'1.3.21-28.2.22'!$A$6:$DA$404,64,FALSE)-VLOOKUP($A176,'01-02.2022'!$A$6:$DA$376,64,FALSE)</f>
        <v>0</v>
      </c>
      <c r="BM176" s="55">
        <f t="shared" si="191"/>
        <v>-1761.8171599016166</v>
      </c>
      <c r="BN176" s="566">
        <f>VLOOKUP($A176,'01-02.2021'!$A$6:$CZ$403,66,FALSE)+VLOOKUP($A176,'1.3.21-28.2.22'!$A$6:$DA$404,66,FALSE)-VLOOKUP($A176,'01-02.2022'!$A$6:$DA$376,66,FALSE)</f>
        <v>425.13655251275026</v>
      </c>
      <c r="BO176" s="566">
        <f>VLOOKUP($A176,'01-02.2021'!$A$6:$CZ$403,67,FALSE)+VLOOKUP($A176,'1.3.21-28.2.22'!$A$6:$DA$404,67,FALSE)-VLOOKUP($A176,'01-02.2022'!$A$6:$DA$376,67,FALSE)</f>
        <v>0</v>
      </c>
      <c r="BP176" s="55">
        <f t="shared" si="192"/>
        <v>-425.13655251275026</v>
      </c>
      <c r="BQ176" s="77">
        <f t="shared" si="209"/>
        <v>16906.530204748156</v>
      </c>
      <c r="BR176" s="40">
        <f t="shared" si="210"/>
        <v>4796.25</v>
      </c>
      <c r="BS176" s="55">
        <f t="shared" si="166"/>
        <v>-12110.280204748156</v>
      </c>
      <c r="BT176" s="566">
        <f>VLOOKUP($A176,'01-02.2021'!$A$6:$CZ$403,72,FALSE)+VLOOKUP($A176,'1.3.21-28.2.22'!$A$6:$DA$404,72,FALSE)-VLOOKUP($A176,'01-02.2022'!$A$6:$DA$376,72,FALSE)</f>
        <v>64402.344576822346</v>
      </c>
      <c r="BU176" s="566">
        <f>VLOOKUP($A176,'01-02.2021'!$A$6:$CZ$403,73,FALSE)+VLOOKUP($A176,'1.3.21-28.2.22'!$A$6:$DA$404,73,FALSE)-VLOOKUP($A176,'01-02.2022'!$A$6:$DA$376,73,FALSE)</f>
        <v>66839.865354555441</v>
      </c>
      <c r="BV176" s="70">
        <f t="shared" si="193"/>
        <v>2437.5207777330943</v>
      </c>
      <c r="BW176" s="566">
        <f>VLOOKUP($A176,'01-02.2021'!$A$6:$CZ$403,75,FALSE)+VLOOKUP($A176,'1.3.21-28.2.22'!$A$6:$DA$404,75,FALSE)-VLOOKUP($A176,'01-02.2022'!$A$6:$DA$376,75,FALSE)</f>
        <v>39024.063283707277</v>
      </c>
      <c r="BX176" s="566">
        <f>VLOOKUP($A176,'01-02.2021'!$A$6:$CZ$403,76,FALSE)+VLOOKUP($A176,'1.3.21-28.2.22'!$A$6:$DA$404,76,FALSE)-VLOOKUP($A176,'01-02.2022'!$A$6:$DA$376,76,FALSE)</f>
        <v>40116.992702843694</v>
      </c>
      <c r="BY176" s="70">
        <f t="shared" si="194"/>
        <v>1092.929419136417</v>
      </c>
      <c r="BZ176" s="566">
        <f>VLOOKUP($A176,'01-02.2021'!$A$6:$CZ$403,78,FALSE)+VLOOKUP($A176,'1.3.21-28.2.22'!$A$6:$DA$404,78,FALSE)-VLOOKUP($A176,'01-02.2022'!$A$6:$DA$376,78,FALSE)</f>
        <v>9207.9722463575727</v>
      </c>
      <c r="CA176" s="566">
        <f>VLOOKUP($A176,'01-02.2021'!$A$6:$CZ$403,79,FALSE)+VLOOKUP($A176,'1.3.21-28.2.22'!$A$6:$DA$404,79,FALSE)-VLOOKUP($A176,'01-02.2022'!$A$6:$DA$376,79,FALSE)</f>
        <v>14094.523415814023</v>
      </c>
      <c r="CB176" s="70">
        <f t="shared" si="195"/>
        <v>4886.5511694564502</v>
      </c>
      <c r="CC176" s="566">
        <f>VLOOKUP($A176,'01-02.2021'!$A$6:$CZ$403,81,FALSE)+VLOOKUP($A176,'1.3.21-28.2.22'!$A$6:$DA$404,81,FALSE)-VLOOKUP($A176,'01-02.2022'!$A$6:$DA$376,81,FALSE)</f>
        <v>541.21522174852271</v>
      </c>
      <c r="CD176" s="566">
        <f>VLOOKUP($A176,'01-02.2021'!$A$6:$CZ$403,82,FALSE)+VLOOKUP($A176,'1.3.21-28.2.22'!$A$6:$DA$404,82,FALSE)-VLOOKUP($A176,'01-02.2022'!$A$6:$DA$376,82,FALSE)</f>
        <v>583.82158281066722</v>
      </c>
      <c r="CE176" s="70">
        <f t="shared" si="196"/>
        <v>42.606361062144515</v>
      </c>
      <c r="CF176" s="566">
        <f>VLOOKUP($A176,'01-02.2021'!$A$6:$CZ$403,84,FALSE)+VLOOKUP($A176,'1.3.21-28.2.22'!$A$6:$DA$404,84,FALSE)-VLOOKUP($A176,'01-02.2022'!$A$6:$DA$376,84,FALSE)</f>
        <v>64.936864462412842</v>
      </c>
      <c r="CG176" s="566">
        <f>VLOOKUP($A176,'01-02.2021'!$A$6:$CZ$403,85,FALSE)+VLOOKUP($A176,'1.3.21-28.2.22'!$A$6:$DA$404,85,FALSE)-VLOOKUP($A176,'01-02.2022'!$A$6:$DA$376,85,FALSE)</f>
        <v>665.33489215532018</v>
      </c>
      <c r="CH176" s="70">
        <f t="shared" si="197"/>
        <v>600.39802769290736</v>
      </c>
      <c r="CI176" s="566">
        <f>VLOOKUP($A176,'01-02.2021'!$A$6:$CZ$403,87,FALSE)+VLOOKUP($A176,'1.3.21-28.2.22'!$A$6:$DA$404,87,FALSE)-VLOOKUP($A176,'01-02.2022'!$A$6:$DA$376,87,FALSE)</f>
        <v>12608.313178858454</v>
      </c>
      <c r="CJ176" s="566">
        <f>VLOOKUP($A176,'01-02.2021'!$A$6:$CZ$403,88,FALSE)+VLOOKUP($A176,'1.3.21-28.2.22'!$A$6:$DA$404,88,FALSE)-VLOOKUP($A176,'01-02.2022'!$A$6:$DA$376,88,FALSE)</f>
        <v>11750.380851096494</v>
      </c>
      <c r="CK176" s="70">
        <f t="shared" si="198"/>
        <v>-857.93232776196055</v>
      </c>
      <c r="CL176" s="566">
        <f>VLOOKUP($A176,'01-02.2021'!$A$6:$CZ$403,90,FALSE)+VLOOKUP($A176,'1.3.21-28.2.22'!$A$6:$DA$404,90,FALSE)-VLOOKUP($A176,'01-02.2022'!$A$6:$DA$376,90,FALSE)</f>
        <v>10807.858043522245</v>
      </c>
      <c r="CM176" s="566">
        <f>VLOOKUP($A176,'01-02.2021'!$A$6:$CZ$403,91,FALSE)+VLOOKUP($A176,'1.3.21-28.2.22'!$A$6:$DA$404,91,FALSE)-VLOOKUP($A176,'01-02.2022'!$A$6:$DA$376,91,FALSE)</f>
        <v>9899.3985336428268</v>
      </c>
      <c r="CN176" s="52">
        <f t="shared" si="158"/>
        <v>-908.45950987941796</v>
      </c>
      <c r="CO176" s="39">
        <f t="shared" si="153"/>
        <v>23416.171222380697</v>
      </c>
      <c r="CP176" s="40">
        <f t="shared" si="159"/>
        <v>21649.779384739319</v>
      </c>
      <c r="CQ176" s="52">
        <f t="shared" si="160"/>
        <v>-1766.3918376413785</v>
      </c>
      <c r="CR176" s="72">
        <f t="shared" si="154"/>
        <v>315153.13023906352</v>
      </c>
      <c r="CS176" s="5">
        <f t="shared" si="154"/>
        <v>274086.46229708428</v>
      </c>
      <c r="CT176" s="52">
        <f t="shared" si="161"/>
        <v>-41066.667941979249</v>
      </c>
      <c r="CU176" s="77">
        <f t="shared" si="162"/>
        <v>378183.75628687622</v>
      </c>
      <c r="CV176" s="65">
        <f t="shared" si="163"/>
        <v>328903.75475650112</v>
      </c>
      <c r="CW176" s="35">
        <f t="shared" si="164"/>
        <v>-49280.001530375099</v>
      </c>
      <c r="CX176" s="566">
        <f>VLOOKUP($A176,'01-02.2021'!$A$6:$CZ$403,102,FALSE)+VLOOKUP($A176,'1.3.21-28.2.22'!$A$6:$DA$404,102,FALSE)-VLOOKUP($A176,'01-02.2022'!$A$6:$DA$376,102,FALSE)</f>
        <v>13179.94554191976</v>
      </c>
      <c r="CY176" s="566">
        <f>VLOOKUP($A176,'01-02.2021'!$A$6:$CZ$403,103,FALSE)+VLOOKUP($A176,'1.3.21-28.2.22'!$A$6:$DA$404,103,FALSE)-VLOOKUP($A176,'01-02.2022'!$A$6:$DA$376,103,FALSE)</f>
        <v>62459.947072294817</v>
      </c>
      <c r="CZ176" s="52">
        <f t="shared" si="165"/>
        <v>49280.001530375055</v>
      </c>
      <c r="DA176" s="150">
        <f>'[2]побудинковий звіт'!DA176</f>
        <v>-46703.651782117508</v>
      </c>
      <c r="DB176" s="2">
        <v>1</v>
      </c>
      <c r="DC176" s="414">
        <f>'[4]побудинковий звіт'!DC176</f>
        <v>37605.93</v>
      </c>
      <c r="DD176" s="414">
        <f>'[4]побудинковий звіт'!DD176</f>
        <v>2589.5500000000002</v>
      </c>
      <c r="DE176" s="557">
        <f>'[4]побудинковий звіт'!DE176</f>
        <v>2991.6562870319103</v>
      </c>
      <c r="DF176" s="557">
        <f>'[4]побудинковий звіт'!DF176</f>
        <v>1604.6058217996497</v>
      </c>
      <c r="DG176" s="321">
        <f>VLOOKUP(A176,'кошти 01.03.2021'!$A$6:$D$401,4,)</f>
        <v>-15323.768944114796</v>
      </c>
      <c r="DH176" s="40">
        <f>'[3]побудинковий звіт'!DJ176</f>
        <v>405488.23477433569</v>
      </c>
      <c r="DI176" s="422">
        <f>'[3]побудинковий звіт'!CU176+'[3]побудинковий звіт'!CX176</f>
        <v>35599.217891168446</v>
      </c>
      <c r="DJ176" s="306">
        <f>'[3]побудинковий звіт'!DM176</f>
        <v>5.7690279049624094</v>
      </c>
      <c r="DK176" s="306">
        <f>'[3]побудинковий звіт'!DN176</f>
        <v>6.9079426600288008</v>
      </c>
      <c r="DL176" s="306">
        <f>'[3]побудинковий звіт'!DO176</f>
        <v>4.8471662313009372</v>
      </c>
      <c r="DM176" s="28">
        <f t="shared" si="211"/>
        <v>34614.27371296809</v>
      </c>
      <c r="DN176" s="28">
        <f t="shared" si="212"/>
        <v>984.94417820035039</v>
      </c>
      <c r="DO176" s="423">
        <f t="shared" si="171"/>
        <v>35599.217891168439</v>
      </c>
      <c r="DP176" s="94">
        <f t="shared" si="172"/>
        <v>0</v>
      </c>
      <c r="DQ176" s="28">
        <f t="shared" si="173"/>
        <v>35599.217891168439</v>
      </c>
      <c r="DR176" s="318"/>
      <c r="DT176" s="8"/>
      <c r="DU176" s="5"/>
      <c r="DX176" s="5">
        <f t="shared" si="174"/>
        <v>94432.005390527702</v>
      </c>
      <c r="DY176" s="5">
        <f t="shared" si="175"/>
        <v>41118.455999999998</v>
      </c>
      <c r="DZ176" s="159">
        <f>'[3]побудинковий звіт'!EA176</f>
        <v>8575.1134676306065</v>
      </c>
    </row>
    <row r="177" spans="1:130" x14ac:dyDescent="0.3">
      <c r="A177" s="325">
        <v>150001026</v>
      </c>
      <c r="B177" s="41" t="s">
        <v>625</v>
      </c>
      <c r="C177" s="42" t="s">
        <v>335</v>
      </c>
      <c r="D177" s="42"/>
      <c r="E177" s="293">
        <f t="shared" si="149"/>
        <v>7052.84</v>
      </c>
      <c r="F177" s="305">
        <f>'[3]побудинковий звіт'!F177</f>
        <v>7052.84</v>
      </c>
      <c r="G177" s="508">
        <f>'[3]побудинковий звіт'!G177</f>
        <v>879.7</v>
      </c>
      <c r="H177" s="560">
        <f>'[3]побудинковий звіт'!H177</f>
        <v>0</v>
      </c>
      <c r="I177" s="566">
        <f>VLOOKUP($A177,'01-02.2021'!$A$6:$CZ$403,9,FALSE)+VLOOKUP($A177,'1.3.21-28.2.22'!$A$6:$DA$404,9,FALSE)-VLOOKUP($A177,'01-02.2022'!$A$6:$DA$376,9,FALSE)</f>
        <v>10931.150471123638</v>
      </c>
      <c r="J177" s="566">
        <f>VLOOKUP($A177,'01-02.2021'!$A$6:$CZ$403,10,FALSE)+VLOOKUP($A177,'1.3.21-28.2.22'!$A$6:$DA$404,10,FALSE)-VLOOKUP($A177,'01-02.2022'!$A$6:$DA$376,10,FALSE)</f>
        <v>10290.071069010517</v>
      </c>
      <c r="K177" s="52">
        <f t="shared" si="155"/>
        <v>-641.07940211312052</v>
      </c>
      <c r="L177" s="566">
        <f>VLOOKUP($A177,'01-02.2021'!$A$6:$CZ$403,12,FALSE)+VLOOKUP($A177,'1.3.21-28.2.22'!$A$6:$DA$404,12,FALSE)-VLOOKUP($A177,'01-02.2022'!$A$6:$DA$376,12,FALSE)</f>
        <v>3752.7272972940459</v>
      </c>
      <c r="M177" s="566">
        <f>VLOOKUP($A177,'01-02.2021'!$A$6:$CZ$403,13,FALSE)+VLOOKUP($A177,'1.3.21-28.2.22'!$A$6:$DA$404,13,FALSE)-VLOOKUP($A177,'01-02.2022'!$A$6:$DA$376,13,FALSE)</f>
        <v>3394.8324017002715</v>
      </c>
      <c r="N177" s="52">
        <f t="shared" si="156"/>
        <v>-357.89489559377444</v>
      </c>
      <c r="O177" s="566">
        <f>VLOOKUP($A177,'01-02.2021'!$A$6:$CZ$403,15,FALSE)+VLOOKUP($A177,'1.3.21-28.2.22'!$A$6:$DA$404,15,FALSE)-VLOOKUP($A177,'01-02.2022'!$A$6:$DA$376,15,FALSE)</f>
        <v>9259.5818471159164</v>
      </c>
      <c r="P177" s="566">
        <f>VLOOKUP($A177,'01-02.2021'!$A$6:$CZ$403,16,FALSE)+VLOOKUP($A177,'1.3.21-28.2.22'!$A$6:$DA$404,16,FALSE)-VLOOKUP($A177,'01-02.2022'!$A$6:$DA$376,16,FALSE)</f>
        <v>9259.61</v>
      </c>
      <c r="Q177" s="70">
        <f t="shared" si="176"/>
        <v>2.815288408419292E-2</v>
      </c>
      <c r="R177" s="566">
        <f>VLOOKUP($A177,'01-02.2021'!$A$6:$CZ$403,18,FALSE)+VLOOKUP($A177,'1.3.21-28.2.22'!$A$6:$DA$404,18,FALSE)-VLOOKUP($A177,'01-02.2022'!$A$6:$DA$376,18,FALSE)</f>
        <v>2098.0155959311746</v>
      </c>
      <c r="S177" s="566">
        <f>VLOOKUP($A177,'01-02.2021'!$A$6:$CZ$403,19,FALSE)+VLOOKUP($A177,'1.3.21-28.2.22'!$A$6:$DA$404,19,FALSE)-VLOOKUP($A177,'01-02.2022'!$A$6:$DA$376,19,FALSE)</f>
        <v>2098.0099999999998</v>
      </c>
      <c r="T177" s="70">
        <f t="shared" si="177"/>
        <v>-5.5959311748665641E-3</v>
      </c>
      <c r="U177" s="566">
        <f>VLOOKUP($A177,'01-02.2021'!$A$6:$CZ$403,21,FALSE)+VLOOKUP($A177,'1.3.21-28.2.22'!$A$6:$DA$404,21,FALSE)-VLOOKUP($A177,'01-02.2022'!$A$6:$DA$376,21,FALSE)</f>
        <v>1937.9847970504063</v>
      </c>
      <c r="V177" s="566">
        <f>VLOOKUP($A177,'01-02.2021'!$A$6:$CZ$403,22,FALSE)+VLOOKUP($A177,'1.3.21-28.2.22'!$A$6:$DA$404,22,FALSE)-VLOOKUP($A177,'01-02.2022'!$A$6:$DA$376,22,FALSE)</f>
        <v>1279.4763651537075</v>
      </c>
      <c r="W177" s="70">
        <f t="shared" si="178"/>
        <v>-658.50843189669877</v>
      </c>
      <c r="X177" s="566">
        <f>VLOOKUP($A177,'01-02.2021'!$A$6:$CZ$403,24,FALSE)+VLOOKUP($A177,'1.3.21-28.2.22'!$A$6:$DA$404,24,FALSE)-VLOOKUP($A177,'01-02.2022'!$A$6:$DA$376,24,FALSE)</f>
        <v>15835.52663695338</v>
      </c>
      <c r="Y177" s="566">
        <f>VLOOKUP($A177,'01-02.2021'!$A$6:$CZ$403,25,FALSE)+VLOOKUP($A177,'1.3.21-28.2.22'!$A$6:$DA$404,25,FALSE)-VLOOKUP($A177,'01-02.2022'!$A$6:$DA$376,25,FALSE)</f>
        <v>12553.803167097389</v>
      </c>
      <c r="Z177" s="70">
        <f t="shared" si="179"/>
        <v>-3281.7234698559914</v>
      </c>
      <c r="AA177" s="566">
        <f>VLOOKUP($A177,'01-02.2021'!$A$6:$CZ$403,27,FALSE)+VLOOKUP($A177,'1.3.21-28.2.22'!$A$6:$DA$404,27,FALSE)-VLOOKUP($A177,'01-02.2022'!$A$6:$DA$376,27,FALSE)</f>
        <v>1410.288</v>
      </c>
      <c r="AB177" s="566">
        <f>VLOOKUP($A177,'01-02.2021'!$A$6:$CZ$403,28,FALSE)+VLOOKUP($A177,'1.3.21-28.2.22'!$A$6:$DA$404,28,FALSE)-VLOOKUP($A177,'01-02.2022'!$A$6:$DA$376,28,FALSE)</f>
        <v>0</v>
      </c>
      <c r="AC177" s="70">
        <f t="shared" si="180"/>
        <v>-1410.288</v>
      </c>
      <c r="AD177" s="566">
        <f>VLOOKUP($A177,'01-02.2021'!$A$6:$CZ$403,30,FALSE)+VLOOKUP($A177,'1.3.21-28.2.22'!$A$6:$DA$404,30,FALSE)-VLOOKUP($A177,'01-02.2022'!$A$6:$DA$376,30,FALSE)</f>
        <v>30291.409434912643</v>
      </c>
      <c r="AE177" s="566">
        <f>VLOOKUP($A177,'01-02.2021'!$A$6:$CZ$403,31,FALSE)+VLOOKUP($A177,'1.3.21-28.2.22'!$A$6:$DA$404,31,FALSE)-VLOOKUP($A177,'01-02.2022'!$A$6:$DA$376,31,FALSE)</f>
        <v>32104.811854795</v>
      </c>
      <c r="AF177" s="68">
        <f t="shared" si="181"/>
        <v>1813.4024198823572</v>
      </c>
      <c r="AG177" s="77">
        <f t="shared" si="150"/>
        <v>75516.684080381208</v>
      </c>
      <c r="AH177" s="53">
        <f t="shared" si="150"/>
        <v>70980.614857756882</v>
      </c>
      <c r="AI177" s="52">
        <f t="shared" si="157"/>
        <v>-4536.0692226243264</v>
      </c>
      <c r="AJ177" s="566">
        <f>VLOOKUP($A177,'01-02.2021'!$A$6:$CZ$403,36,FALSE)+VLOOKUP($A177,'1.3.21-28.2.22'!$A$6:$DA$404,36,FALSE)-VLOOKUP($A177,'01-02.2022'!$A$6:$DA$376,36,FALSE)</f>
        <v>57445.547752827668</v>
      </c>
      <c r="AK177" s="566">
        <f>VLOOKUP($A177,'01-02.2021'!$A$6:$CZ$403,37,FALSE)+VLOOKUP($A177,'1.3.21-28.2.22'!$A$6:$DA$404,37,FALSE)-VLOOKUP($A177,'01-02.2022'!$A$6:$DA$376,37,FALSE)</f>
        <v>57068.90795808415</v>
      </c>
      <c r="AL177" s="70">
        <f t="shared" si="182"/>
        <v>-376.639794743518</v>
      </c>
      <c r="AM177" s="566">
        <f>VLOOKUP($A177,'01-02.2021'!$A$6:$CZ$403,39,FALSE)+VLOOKUP($A177,'1.3.21-28.2.22'!$A$6:$DA$404,39,FALSE)-VLOOKUP($A177,'01-02.2022'!$A$6:$DA$376,39,FALSE)</f>
        <v>5784.4838873655044</v>
      </c>
      <c r="AN177" s="566">
        <f>VLOOKUP($A177,'01-02.2021'!$A$6:$CZ$403,40,FALSE)+VLOOKUP($A177,'1.3.21-28.2.22'!$A$6:$DA$404,40,FALSE)-VLOOKUP($A177,'01-02.2022'!$A$6:$DA$376,40,FALSE)</f>
        <v>2348.4598502518602</v>
      </c>
      <c r="AO177" s="70">
        <f t="shared" si="183"/>
        <v>-3436.0240371136442</v>
      </c>
      <c r="AP177" s="566">
        <f>VLOOKUP($A177,'01-02.2021'!$A$6:$CZ$403,42,FALSE)+VLOOKUP($A177,'1.3.21-28.2.22'!$A$6:$DA$404,42,FALSE)-VLOOKUP($A177,'01-02.2022'!$A$6:$DA$376,42,FALSE)</f>
        <v>5552.639200136291</v>
      </c>
      <c r="AQ177" s="566">
        <f>VLOOKUP($A177,'01-02.2021'!$A$6:$CZ$403,43,FALSE)+VLOOKUP($A177,'1.3.21-28.2.22'!$A$6:$DA$404,43,FALSE)-VLOOKUP($A177,'01-02.2022'!$A$6:$DA$376,43,FALSE)</f>
        <v>4789.9783145737183</v>
      </c>
      <c r="AR177" s="70">
        <f t="shared" si="184"/>
        <v>-762.66088556257273</v>
      </c>
      <c r="AS177" s="566">
        <f>VLOOKUP($A177,'01-02.2021'!$A$6:$CZ$403,45,FALSE)+VLOOKUP($A177,'1.3.21-28.2.22'!$A$6:$DA$404,45,FALSE)-VLOOKUP($A177,'01-02.2022'!$A$6:$DA$376,45,FALSE)</f>
        <v>103005.75471414241</v>
      </c>
      <c r="AT177" s="566">
        <f>VLOOKUP($A177,'01-02.2021'!$A$6:$CZ$403,46,FALSE)+VLOOKUP($A177,'1.3.21-28.2.22'!$A$6:$DA$404,46,FALSE)-VLOOKUP($A177,'01-02.2022'!$A$6:$DA$376,46,FALSE)</f>
        <v>44607</v>
      </c>
      <c r="AU177" s="78">
        <f t="shared" si="185"/>
        <v>-58398.754714142415</v>
      </c>
      <c r="AV177" s="566">
        <f>VLOOKUP($A177,'01-02.2021'!$A$6:$CZ$403,48,FALSE)+VLOOKUP($A177,'1.3.21-28.2.22'!$A$6:$DA$404,48,FALSE)-VLOOKUP($A177,'01-02.2022'!$A$6:$DA$376,48,FALSE)</f>
        <v>2191.2538463177134</v>
      </c>
      <c r="AW177" s="566">
        <f>VLOOKUP($A177,'01-02.2021'!$A$6:$CZ$403,49,FALSE)+VLOOKUP($A177,'1.3.21-28.2.22'!$A$6:$DA$404,49,FALSE)-VLOOKUP($A177,'01-02.2022'!$A$6:$DA$376,49,FALSE)</f>
        <v>409</v>
      </c>
      <c r="AX177" s="55">
        <f t="shared" si="186"/>
        <v>-1782.2538463177134</v>
      </c>
      <c r="AY177" s="566">
        <f>VLOOKUP($A177,'01-02.2021'!$A$6:$CZ$403,51,FALSE)+VLOOKUP($A177,'1.3.21-28.2.22'!$A$6:$DA$404,51,FALSE)-VLOOKUP($A177,'01-02.2022'!$A$6:$DA$376,51,FALSE)</f>
        <v>4707.6814924811479</v>
      </c>
      <c r="AZ177" s="566">
        <f>VLOOKUP($A177,'01-02.2021'!$A$6:$CZ$403,52,FALSE)+VLOOKUP($A177,'1.3.21-28.2.22'!$A$6:$DA$404,52,FALSE)-VLOOKUP($A177,'01-02.2022'!$A$6:$DA$376,52,FALSE)</f>
        <v>1131</v>
      </c>
      <c r="BA177" s="38">
        <f t="shared" si="187"/>
        <v>-3576.6814924811479</v>
      </c>
      <c r="BB177" s="566">
        <f>VLOOKUP($A177,'01-02.2021'!$A$6:$CZ$403,54,FALSE)+VLOOKUP($A177,'1.3.21-28.2.22'!$A$6:$DA$404,54,FALSE)-VLOOKUP($A177,'01-02.2022'!$A$6:$DA$376,54,FALSE)</f>
        <v>1565.765391759689</v>
      </c>
      <c r="BC177" s="566">
        <f>VLOOKUP($A177,'01-02.2021'!$A$6:$CZ$403,55,FALSE)+VLOOKUP($A177,'1.3.21-28.2.22'!$A$6:$DA$404,55,FALSE)-VLOOKUP($A177,'01-02.2022'!$A$6:$DA$376,55,FALSE)</f>
        <v>0</v>
      </c>
      <c r="BD177" s="55">
        <f t="shared" si="188"/>
        <v>-1565.765391759689</v>
      </c>
      <c r="BE177" s="566">
        <f>VLOOKUP($A177,'01-02.2021'!$A$6:$CZ$403,57,FALSE)+VLOOKUP($A177,'1.3.21-28.2.22'!$A$6:$DA$404,57,FALSE)-VLOOKUP($A177,'01-02.2022'!$A$6:$DA$376,57,FALSE)</f>
        <v>3997.7592382707544</v>
      </c>
      <c r="BF177" s="566">
        <f>VLOOKUP($A177,'01-02.2021'!$A$6:$CZ$403,58,FALSE)+VLOOKUP($A177,'1.3.21-28.2.22'!$A$6:$DA$404,58,FALSE)-VLOOKUP($A177,'01-02.2022'!$A$6:$DA$376,58,FALSE)</f>
        <v>0</v>
      </c>
      <c r="BG177" s="55">
        <f t="shared" si="189"/>
        <v>-3997.7592382707544</v>
      </c>
      <c r="BH177" s="566">
        <f>VLOOKUP($A177,'01-02.2021'!$A$6:$CZ$403,60,FALSE)+VLOOKUP($A177,'1.3.21-28.2.22'!$A$6:$DA$404,60,FALSE)-VLOOKUP($A177,'01-02.2022'!$A$6:$DA$376,60,FALSE)</f>
        <v>3415.5269963829628</v>
      </c>
      <c r="BI177" s="566">
        <f>VLOOKUP($A177,'01-02.2021'!$A$6:$CZ$403,61,FALSE)+VLOOKUP($A177,'1.3.21-28.2.22'!$A$6:$DA$404,61,FALSE)-VLOOKUP($A177,'01-02.2022'!$A$6:$DA$376,61,FALSE)</f>
        <v>0</v>
      </c>
      <c r="BJ177" s="55">
        <f t="shared" si="190"/>
        <v>-3415.5269963829628</v>
      </c>
      <c r="BK177" s="566">
        <f>VLOOKUP($A177,'01-02.2021'!$A$6:$CZ$403,63,FALSE)+VLOOKUP($A177,'1.3.21-28.2.22'!$A$6:$DA$404,63,FALSE)-VLOOKUP($A177,'01-02.2022'!$A$6:$DA$376,63,FALSE)</f>
        <v>3849.7429675671306</v>
      </c>
      <c r="BL177" s="566">
        <f>VLOOKUP($A177,'01-02.2021'!$A$6:$CZ$403,64,FALSE)+VLOOKUP($A177,'1.3.21-28.2.22'!$A$6:$DA$404,64,FALSE)-VLOOKUP($A177,'01-02.2022'!$A$6:$DA$376,64,FALSE)</f>
        <v>0</v>
      </c>
      <c r="BM177" s="55">
        <f t="shared" si="191"/>
        <v>-3849.7429675671306</v>
      </c>
      <c r="BN177" s="566">
        <f>VLOOKUP($A177,'01-02.2021'!$A$6:$CZ$403,66,FALSE)+VLOOKUP($A177,'1.3.21-28.2.22'!$A$6:$DA$404,66,FALSE)-VLOOKUP($A177,'01-02.2022'!$A$6:$DA$376,66,FALSE)</f>
        <v>980.07359662054</v>
      </c>
      <c r="BO177" s="566">
        <f>VLOOKUP($A177,'01-02.2021'!$A$6:$CZ$403,67,FALSE)+VLOOKUP($A177,'1.3.21-28.2.22'!$A$6:$DA$404,67,FALSE)-VLOOKUP($A177,'01-02.2022'!$A$6:$DA$376,67,FALSE)</f>
        <v>0</v>
      </c>
      <c r="BP177" s="55">
        <f t="shared" si="192"/>
        <v>-980.07359662054</v>
      </c>
      <c r="BQ177" s="77">
        <f t="shared" si="209"/>
        <v>20707.803529399938</v>
      </c>
      <c r="BR177" s="40">
        <f t="shared" si="210"/>
        <v>1540</v>
      </c>
      <c r="BS177" s="55">
        <f t="shared" si="166"/>
        <v>-19167.803529399938</v>
      </c>
      <c r="BT177" s="566">
        <f>VLOOKUP($A177,'01-02.2021'!$A$6:$CZ$403,72,FALSE)+VLOOKUP($A177,'1.3.21-28.2.22'!$A$6:$DA$404,72,FALSE)-VLOOKUP($A177,'01-02.2022'!$A$6:$DA$376,72,FALSE)</f>
        <v>86704.018640107533</v>
      </c>
      <c r="BU177" s="566">
        <f>VLOOKUP($A177,'01-02.2021'!$A$6:$CZ$403,73,FALSE)+VLOOKUP($A177,'1.3.21-28.2.22'!$A$6:$DA$404,73,FALSE)-VLOOKUP($A177,'01-02.2022'!$A$6:$DA$376,73,FALSE)</f>
        <v>83242.239142022619</v>
      </c>
      <c r="BV177" s="70">
        <f t="shared" si="193"/>
        <v>-3461.7794980849139</v>
      </c>
      <c r="BW177" s="566">
        <f>VLOOKUP($A177,'01-02.2021'!$A$6:$CZ$403,75,FALSE)+VLOOKUP($A177,'1.3.21-28.2.22'!$A$6:$DA$404,75,FALSE)-VLOOKUP($A177,'01-02.2022'!$A$6:$DA$376,75,FALSE)</f>
        <v>53112.526441909729</v>
      </c>
      <c r="BX177" s="566">
        <f>VLOOKUP($A177,'01-02.2021'!$A$6:$CZ$403,76,FALSE)+VLOOKUP($A177,'1.3.21-28.2.22'!$A$6:$DA$404,76,FALSE)-VLOOKUP($A177,'01-02.2022'!$A$6:$DA$376,76,FALSE)</f>
        <v>57661.371265832757</v>
      </c>
      <c r="BY177" s="70">
        <f t="shared" si="194"/>
        <v>4548.8448239230274</v>
      </c>
      <c r="BZ177" s="566">
        <f>VLOOKUP($A177,'01-02.2021'!$A$6:$CZ$403,78,FALSE)+VLOOKUP($A177,'1.3.21-28.2.22'!$A$6:$DA$404,78,FALSE)-VLOOKUP($A177,'01-02.2022'!$A$6:$DA$376,78,FALSE)</f>
        <v>11623.352866273899</v>
      </c>
      <c r="CA177" s="566">
        <f>VLOOKUP($A177,'01-02.2021'!$A$6:$CZ$403,79,FALSE)+VLOOKUP($A177,'1.3.21-28.2.22'!$A$6:$DA$404,79,FALSE)-VLOOKUP($A177,'01-02.2022'!$A$6:$DA$376,79,FALSE)</f>
        <v>18941.555318450621</v>
      </c>
      <c r="CB177" s="70">
        <f t="shared" si="195"/>
        <v>7318.2024521767216</v>
      </c>
      <c r="CC177" s="566">
        <f>VLOOKUP($A177,'01-02.2021'!$A$6:$CZ$403,81,FALSE)+VLOOKUP($A177,'1.3.21-28.2.22'!$A$6:$DA$404,81,FALSE)-VLOOKUP($A177,'01-02.2022'!$A$6:$DA$376,81,FALSE)</f>
        <v>2716.3507913056378</v>
      </c>
      <c r="CD177" s="566">
        <f>VLOOKUP($A177,'01-02.2021'!$A$6:$CZ$403,82,FALSE)+VLOOKUP($A177,'1.3.21-28.2.22'!$A$6:$DA$404,82,FALSE)-VLOOKUP($A177,'01-02.2022'!$A$6:$DA$376,82,FALSE)</f>
        <v>2958.5158708930558</v>
      </c>
      <c r="CE177" s="70">
        <f t="shared" si="196"/>
        <v>242.16507958741795</v>
      </c>
      <c r="CF177" s="566">
        <f>VLOOKUP($A177,'01-02.2021'!$A$6:$CZ$403,84,FALSE)+VLOOKUP($A177,'1.3.21-28.2.22'!$A$6:$DA$404,84,FALSE)-VLOOKUP($A177,'01-02.2022'!$A$6:$DA$376,84,FALSE)</f>
        <v>329.06756066327694</v>
      </c>
      <c r="CG177" s="566">
        <f>VLOOKUP($A177,'01-02.2021'!$A$6:$CZ$403,85,FALSE)+VLOOKUP($A177,'1.3.21-28.2.22'!$A$6:$DA$404,85,FALSE)-VLOOKUP($A177,'01-02.2022'!$A$6:$DA$376,85,FALSE)</f>
        <v>0</v>
      </c>
      <c r="CH177" s="70">
        <f t="shared" si="197"/>
        <v>-329.06756066327694</v>
      </c>
      <c r="CI177" s="566">
        <f>VLOOKUP($A177,'01-02.2021'!$A$6:$CZ$403,87,FALSE)+VLOOKUP($A177,'1.3.21-28.2.22'!$A$6:$DA$404,87,FALSE)-VLOOKUP($A177,'01-02.2022'!$A$6:$DA$376,87,FALSE)</f>
        <v>27532.309316812767</v>
      </c>
      <c r="CJ177" s="566">
        <f>VLOOKUP($A177,'01-02.2021'!$A$6:$CZ$403,88,FALSE)+VLOOKUP($A177,'1.3.21-28.2.22'!$A$6:$DA$404,88,FALSE)-VLOOKUP($A177,'01-02.2022'!$A$6:$DA$376,88,FALSE)</f>
        <v>22990.250806418502</v>
      </c>
      <c r="CK177" s="70">
        <f t="shared" si="198"/>
        <v>-4542.0585103942649</v>
      </c>
      <c r="CL177" s="566">
        <f>VLOOKUP($A177,'01-02.2021'!$A$6:$CZ$403,90,FALSE)+VLOOKUP($A177,'1.3.21-28.2.22'!$A$6:$DA$404,90,FALSE)-VLOOKUP($A177,'01-02.2022'!$A$6:$DA$376,90,FALSE)</f>
        <v>25663.854443880016</v>
      </c>
      <c r="CM177" s="566">
        <f>VLOOKUP($A177,'01-02.2021'!$A$6:$CZ$403,91,FALSE)+VLOOKUP($A177,'1.3.21-28.2.22'!$A$6:$DA$404,91,FALSE)-VLOOKUP($A177,'01-02.2022'!$A$6:$DA$376,91,FALSE)</f>
        <v>24277.451449012569</v>
      </c>
      <c r="CN177" s="52">
        <f t="shared" si="158"/>
        <v>-1386.402994867447</v>
      </c>
      <c r="CO177" s="39">
        <f t="shared" si="153"/>
        <v>53196.163760692783</v>
      </c>
      <c r="CP177" s="40">
        <f t="shared" si="159"/>
        <v>47267.702255431068</v>
      </c>
      <c r="CQ177" s="52">
        <f t="shared" si="160"/>
        <v>-5928.4615052617155</v>
      </c>
      <c r="CR177" s="72">
        <f t="shared" si="154"/>
        <v>475694.39322520583</v>
      </c>
      <c r="CS177" s="5">
        <f t="shared" si="154"/>
        <v>391406.34483329672</v>
      </c>
      <c r="CT177" s="52">
        <f t="shared" si="161"/>
        <v>-84288.048391909106</v>
      </c>
      <c r="CU177" s="77">
        <f t="shared" si="162"/>
        <v>570833.27187024697</v>
      </c>
      <c r="CV177" s="65">
        <f t="shared" si="163"/>
        <v>469687.61379995605</v>
      </c>
      <c r="CW177" s="35">
        <f t="shared" si="164"/>
        <v>-101145.65807029093</v>
      </c>
      <c r="CX177" s="566">
        <f>VLOOKUP($A177,'01-02.2021'!$A$6:$CZ$403,102,FALSE)+VLOOKUP($A177,'1.3.21-28.2.22'!$A$6:$DA$404,102,FALSE)-VLOOKUP($A177,'01-02.2022'!$A$6:$DA$376,102,FALSE)</f>
        <v>16268.570157159213</v>
      </c>
      <c r="CY177" s="566">
        <f>VLOOKUP($A177,'01-02.2021'!$A$6:$CZ$403,103,FALSE)+VLOOKUP($A177,'1.3.21-28.2.22'!$A$6:$DA$404,103,FALSE)-VLOOKUP($A177,'01-02.2022'!$A$6:$DA$376,103,FALSE)</f>
        <v>117414.22822745019</v>
      </c>
      <c r="CZ177" s="52">
        <f t="shared" si="165"/>
        <v>101145.65807029099</v>
      </c>
      <c r="DA177" s="150">
        <f>'[2]побудинковий звіт'!DA177</f>
        <v>37205.629206862388</v>
      </c>
      <c r="DB177" s="2">
        <v>1</v>
      </c>
      <c r="DC177" s="414">
        <f>'[4]побудинковий звіт'!DC177</f>
        <v>57981.26</v>
      </c>
      <c r="DD177" s="414">
        <f>'[4]побудинковий звіт'!DD177</f>
        <v>0</v>
      </c>
      <c r="DE177" s="557">
        <f>'[4]побудинковий звіт'!DE177</f>
        <v>4942.6425485616564</v>
      </c>
      <c r="DF177" s="557">
        <f>'[4]побудинковий звіт'!DF177</f>
        <v>0</v>
      </c>
      <c r="DG177" s="321">
        <f>VLOOKUP(A177,'кошти 01.03.2021'!$A$6:$D$401,4,)</f>
        <v>156532.5569905887</v>
      </c>
      <c r="DH177" s="40">
        <f>'[3]побудинковий звіт'!DJ177</f>
        <v>606533.38136226276</v>
      </c>
      <c r="DI177" s="422">
        <f>'[3]побудинковий звіт'!CU177+'[3]побудинковий звіт'!CX177</f>
        <v>53038.617451438338</v>
      </c>
      <c r="DJ177" s="306">
        <f>'[3]побудинковий звіт'!DM177</f>
        <v>6.1519542693028075</v>
      </c>
      <c r="DK177" s="306">
        <f>'[3]побудинковий звіт'!DN177</f>
        <v>7.7151568376438355</v>
      </c>
      <c r="DL177" s="306">
        <f>'[3]побудинковий звіт'!DO177</f>
        <v>5.4054494663395838</v>
      </c>
      <c r="DM177" s="28">
        <f t="shared" si="211"/>
        <v>53038.617451438346</v>
      </c>
      <c r="DN177" s="28">
        <f t="shared" si="212"/>
        <v>0</v>
      </c>
      <c r="DO177" s="423">
        <f t="shared" si="171"/>
        <v>53038.617451438346</v>
      </c>
      <c r="DP177" s="94">
        <f t="shared" si="172"/>
        <v>0</v>
      </c>
      <c r="DQ177" s="28">
        <f t="shared" si="173"/>
        <v>53038.617451438346</v>
      </c>
      <c r="DR177" s="318"/>
      <c r="DT177" s="8"/>
      <c r="DU177" s="5"/>
      <c r="DX177" s="5">
        <f t="shared" si="174"/>
        <v>148456.26989225083</v>
      </c>
      <c r="DY177" s="5">
        <f t="shared" si="175"/>
        <v>55376.4</v>
      </c>
      <c r="DZ177" s="159">
        <f>'[3]побудинковий звіт'!EA177</f>
        <v>14598.577562504601</v>
      </c>
    </row>
    <row r="178" spans="1:130" x14ac:dyDescent="0.3">
      <c r="A178" s="325">
        <v>150001027</v>
      </c>
      <c r="B178" s="41" t="s">
        <v>626</v>
      </c>
      <c r="C178" s="42" t="s">
        <v>368</v>
      </c>
      <c r="D178" s="42"/>
      <c r="E178" s="293">
        <f t="shared" si="149"/>
        <v>10381.549999999999</v>
      </c>
      <c r="F178" s="305">
        <f>'[3]побудинковий звіт'!F178</f>
        <v>10260.299999999999</v>
      </c>
      <c r="G178" s="508">
        <f>'[3]побудинковий звіт'!G178</f>
        <v>1160.45</v>
      </c>
      <c r="H178" s="560">
        <f>'[3]побудинковий звіт'!H178</f>
        <v>121.25</v>
      </c>
      <c r="I178" s="566">
        <f>VLOOKUP($A178,'01-02.2021'!$A$6:$CZ$403,9,FALSE)+VLOOKUP($A178,'1.3.21-28.2.22'!$A$6:$DA$404,9,FALSE)-VLOOKUP($A178,'01-02.2022'!$A$6:$DA$376,9,FALSE)</f>
        <v>25229.147627520251</v>
      </c>
      <c r="J178" s="566">
        <f>VLOOKUP($A178,'01-02.2021'!$A$6:$CZ$403,10,FALSE)+VLOOKUP($A178,'1.3.21-28.2.22'!$A$6:$DA$404,10,FALSE)-VLOOKUP($A178,'01-02.2022'!$A$6:$DA$376,10,FALSE)</f>
        <v>22763.042156706262</v>
      </c>
      <c r="K178" s="52">
        <f t="shared" si="155"/>
        <v>-2466.1054708139891</v>
      </c>
      <c r="L178" s="566">
        <f>VLOOKUP($A178,'01-02.2021'!$A$6:$CZ$403,12,FALSE)+VLOOKUP($A178,'1.3.21-28.2.22'!$A$6:$DA$404,12,FALSE)-VLOOKUP($A178,'01-02.2022'!$A$6:$DA$376,12,FALSE)</f>
        <v>4288.609605954337</v>
      </c>
      <c r="M178" s="566">
        <f>VLOOKUP($A178,'01-02.2021'!$A$6:$CZ$403,13,FALSE)+VLOOKUP($A178,'1.3.21-28.2.22'!$A$6:$DA$404,13,FALSE)-VLOOKUP($A178,'01-02.2022'!$A$6:$DA$376,13,FALSE)</f>
        <v>3889.1268037520222</v>
      </c>
      <c r="N178" s="52">
        <f t="shared" si="156"/>
        <v>-399.48280220231482</v>
      </c>
      <c r="O178" s="566">
        <f>VLOOKUP($A178,'01-02.2021'!$A$6:$CZ$403,15,FALSE)+VLOOKUP($A178,'1.3.21-28.2.22'!$A$6:$DA$404,15,FALSE)-VLOOKUP($A178,'01-02.2022'!$A$6:$DA$376,15,FALSE)</f>
        <v>14235.552946155565</v>
      </c>
      <c r="P178" s="566">
        <f>VLOOKUP($A178,'01-02.2021'!$A$6:$CZ$403,16,FALSE)+VLOOKUP($A178,'1.3.21-28.2.22'!$A$6:$DA$404,16,FALSE)-VLOOKUP($A178,'01-02.2022'!$A$6:$DA$376,16,FALSE)</f>
        <v>14235.579999999996</v>
      </c>
      <c r="Q178" s="70">
        <f t="shared" si="176"/>
        <v>2.7053844431065954E-2</v>
      </c>
      <c r="R178" s="566">
        <f>VLOOKUP($A178,'01-02.2021'!$A$6:$CZ$403,18,FALSE)+VLOOKUP($A178,'1.3.21-28.2.22'!$A$6:$DA$404,18,FALSE)-VLOOKUP($A178,'01-02.2022'!$A$6:$DA$376,18,FALSE)</f>
        <v>3181.6393381920911</v>
      </c>
      <c r="S178" s="566">
        <f>VLOOKUP($A178,'01-02.2021'!$A$6:$CZ$403,19,FALSE)+VLOOKUP($A178,'1.3.21-28.2.22'!$A$6:$DA$404,19,FALSE)-VLOOKUP($A178,'01-02.2022'!$A$6:$DA$376,19,FALSE)</f>
        <v>3181.6299999999987</v>
      </c>
      <c r="T178" s="70">
        <f t="shared" si="177"/>
        <v>-9.338192092400277E-3</v>
      </c>
      <c r="U178" s="566">
        <f>VLOOKUP($A178,'01-02.2021'!$A$6:$CZ$403,21,FALSE)+VLOOKUP($A178,'1.3.21-28.2.22'!$A$6:$DA$404,21,FALSE)-VLOOKUP($A178,'01-02.2022'!$A$6:$DA$376,21,FALSE)</f>
        <v>3967.680510103492</v>
      </c>
      <c r="V178" s="566">
        <f>VLOOKUP($A178,'01-02.2021'!$A$6:$CZ$403,22,FALSE)+VLOOKUP($A178,'1.3.21-28.2.22'!$A$6:$DA$404,22,FALSE)-VLOOKUP($A178,'01-02.2022'!$A$6:$DA$376,22,FALSE)</f>
        <v>2601.8340426838608</v>
      </c>
      <c r="W178" s="70">
        <f t="shared" si="178"/>
        <v>-1365.8464674196312</v>
      </c>
      <c r="X178" s="566">
        <f>VLOOKUP($A178,'01-02.2021'!$A$6:$CZ$403,24,FALSE)+VLOOKUP($A178,'1.3.21-28.2.22'!$A$6:$DA$404,24,FALSE)-VLOOKUP($A178,'01-02.2022'!$A$6:$DA$376,24,FALSE)</f>
        <v>21445.208226199698</v>
      </c>
      <c r="Y178" s="566">
        <f>VLOOKUP($A178,'01-02.2021'!$A$6:$CZ$403,25,FALSE)+VLOOKUP($A178,'1.3.21-28.2.22'!$A$6:$DA$404,25,FALSE)-VLOOKUP($A178,'01-02.2022'!$A$6:$DA$376,25,FALSE)</f>
        <v>17603.131915438717</v>
      </c>
      <c r="Z178" s="70">
        <f t="shared" si="179"/>
        <v>-3842.0763107609819</v>
      </c>
      <c r="AA178" s="566">
        <f>VLOOKUP($A178,'01-02.2021'!$A$6:$CZ$403,27,FALSE)+VLOOKUP($A178,'1.3.21-28.2.22'!$A$6:$DA$404,27,FALSE)-VLOOKUP($A178,'01-02.2022'!$A$6:$DA$376,27,FALSE)</f>
        <v>2076.87</v>
      </c>
      <c r="AB178" s="566">
        <f>VLOOKUP($A178,'01-02.2021'!$A$6:$CZ$403,28,FALSE)+VLOOKUP($A178,'1.3.21-28.2.22'!$A$6:$DA$404,28,FALSE)-VLOOKUP($A178,'01-02.2022'!$A$6:$DA$376,28,FALSE)</f>
        <v>0</v>
      </c>
      <c r="AC178" s="70">
        <f t="shared" si="180"/>
        <v>-2076.87</v>
      </c>
      <c r="AD178" s="566">
        <f>VLOOKUP($A178,'01-02.2021'!$A$6:$CZ$403,30,FALSE)+VLOOKUP($A178,'1.3.21-28.2.22'!$A$6:$DA$404,30,FALSE)-VLOOKUP($A178,'01-02.2022'!$A$6:$DA$376,30,FALSE)</f>
        <v>44584.710575091791</v>
      </c>
      <c r="AE178" s="566">
        <f>VLOOKUP($A178,'01-02.2021'!$A$6:$CZ$403,31,FALSE)+VLOOKUP($A178,'1.3.21-28.2.22'!$A$6:$DA$404,31,FALSE)-VLOOKUP($A178,'01-02.2022'!$A$6:$DA$376,31,FALSE)</f>
        <v>47261.65831259649</v>
      </c>
      <c r="AF178" s="68">
        <f t="shared" si="181"/>
        <v>2676.947737504699</v>
      </c>
      <c r="AG178" s="77">
        <f t="shared" si="150"/>
        <v>119009.41882921723</v>
      </c>
      <c r="AH178" s="53">
        <f t="shared" si="150"/>
        <v>111536.00323117734</v>
      </c>
      <c r="AI178" s="52">
        <f t="shared" si="157"/>
        <v>-7473.4155980398937</v>
      </c>
      <c r="AJ178" s="566">
        <f>VLOOKUP($A178,'01-02.2021'!$A$6:$CZ$403,36,FALSE)+VLOOKUP($A178,'1.3.21-28.2.22'!$A$6:$DA$404,36,FALSE)-VLOOKUP($A178,'01-02.2022'!$A$6:$DA$376,36,FALSE)</f>
        <v>83130.703113899304</v>
      </c>
      <c r="AK178" s="566">
        <f>VLOOKUP($A178,'01-02.2021'!$A$6:$CZ$403,37,FALSE)+VLOOKUP($A178,'1.3.21-28.2.22'!$A$6:$DA$404,37,FALSE)-VLOOKUP($A178,'01-02.2022'!$A$6:$DA$376,37,FALSE)</f>
        <v>82585.764046552329</v>
      </c>
      <c r="AL178" s="70">
        <f t="shared" si="182"/>
        <v>-544.93906734697521</v>
      </c>
      <c r="AM178" s="566">
        <f>VLOOKUP($A178,'01-02.2021'!$A$6:$CZ$403,39,FALSE)+VLOOKUP($A178,'1.3.21-28.2.22'!$A$6:$DA$404,39,FALSE)-VLOOKUP($A178,'01-02.2022'!$A$6:$DA$376,39,FALSE)</f>
        <v>1050.749425</v>
      </c>
      <c r="AN178" s="566">
        <f>VLOOKUP($A178,'01-02.2021'!$A$6:$CZ$403,40,FALSE)+VLOOKUP($A178,'1.3.21-28.2.22'!$A$6:$DA$404,40,FALSE)-VLOOKUP($A178,'01-02.2022'!$A$6:$DA$376,40,FALSE)</f>
        <v>0</v>
      </c>
      <c r="AO178" s="70">
        <f t="shared" si="183"/>
        <v>-1050.749425</v>
      </c>
      <c r="AP178" s="566">
        <f>VLOOKUP($A178,'01-02.2021'!$A$6:$CZ$403,42,FALSE)+VLOOKUP($A178,'1.3.21-28.2.22'!$A$6:$DA$404,42,FALSE)-VLOOKUP($A178,'01-02.2022'!$A$6:$DA$376,42,FALSE)</f>
        <v>6940.7990001703665</v>
      </c>
      <c r="AQ178" s="566">
        <f>VLOOKUP($A178,'01-02.2021'!$A$6:$CZ$403,43,FALSE)+VLOOKUP($A178,'1.3.21-28.2.22'!$A$6:$DA$404,43,FALSE)-VLOOKUP($A178,'01-02.2022'!$A$6:$DA$376,43,FALSE)</f>
        <v>5817.094846831551</v>
      </c>
      <c r="AR178" s="70">
        <f t="shared" si="184"/>
        <v>-1123.7041533388156</v>
      </c>
      <c r="AS178" s="566">
        <f>VLOOKUP($A178,'01-02.2021'!$A$6:$CZ$403,45,FALSE)+VLOOKUP($A178,'1.3.21-28.2.22'!$A$6:$DA$404,45,FALSE)-VLOOKUP($A178,'01-02.2022'!$A$6:$DA$376,45,FALSE)</f>
        <v>143093.22533648901</v>
      </c>
      <c r="AT178" s="566">
        <f>VLOOKUP($A178,'01-02.2021'!$A$6:$CZ$403,46,FALSE)+VLOOKUP($A178,'1.3.21-28.2.22'!$A$6:$DA$404,46,FALSE)-VLOOKUP($A178,'01-02.2022'!$A$6:$DA$376,46,FALSE)</f>
        <v>193116.91</v>
      </c>
      <c r="AU178" s="78">
        <f t="shared" si="185"/>
        <v>50023.684663510998</v>
      </c>
      <c r="AV178" s="566">
        <f>VLOOKUP($A178,'01-02.2021'!$A$6:$CZ$403,48,FALSE)+VLOOKUP($A178,'1.3.21-28.2.22'!$A$6:$DA$404,48,FALSE)-VLOOKUP($A178,'01-02.2022'!$A$6:$DA$376,48,FALSE)</f>
        <v>5112.7856275382255</v>
      </c>
      <c r="AW178" s="566">
        <f>VLOOKUP($A178,'01-02.2021'!$A$6:$CZ$403,49,FALSE)+VLOOKUP($A178,'1.3.21-28.2.22'!$A$6:$DA$404,49,FALSE)-VLOOKUP($A178,'01-02.2022'!$A$6:$DA$376,49,FALSE)</f>
        <v>3454</v>
      </c>
      <c r="AX178" s="55">
        <f t="shared" si="186"/>
        <v>-1658.7856275382255</v>
      </c>
      <c r="AY178" s="566">
        <f>VLOOKUP($A178,'01-02.2021'!$A$6:$CZ$403,51,FALSE)+VLOOKUP($A178,'1.3.21-28.2.22'!$A$6:$DA$404,51,FALSE)-VLOOKUP($A178,'01-02.2022'!$A$6:$DA$376,51,FALSE)</f>
        <v>5833.0337597886419</v>
      </c>
      <c r="AZ178" s="566">
        <f>VLOOKUP($A178,'01-02.2021'!$A$6:$CZ$403,52,FALSE)+VLOOKUP($A178,'1.3.21-28.2.22'!$A$6:$DA$404,52,FALSE)-VLOOKUP($A178,'01-02.2022'!$A$6:$DA$376,52,FALSE)</f>
        <v>21692.14</v>
      </c>
      <c r="BA178" s="38">
        <f t="shared" si="187"/>
        <v>15859.106240211357</v>
      </c>
      <c r="BB178" s="566">
        <f>VLOOKUP($A178,'01-02.2021'!$A$6:$CZ$403,54,FALSE)+VLOOKUP($A178,'1.3.21-28.2.22'!$A$6:$DA$404,54,FALSE)-VLOOKUP($A178,'01-02.2022'!$A$6:$DA$376,54,FALSE)</f>
        <v>3146.1618232706728</v>
      </c>
      <c r="BC178" s="566">
        <f>VLOOKUP($A178,'01-02.2021'!$A$6:$CZ$403,55,FALSE)+VLOOKUP($A178,'1.3.21-28.2.22'!$A$6:$DA$404,55,FALSE)-VLOOKUP($A178,'01-02.2022'!$A$6:$DA$376,55,FALSE)</f>
        <v>3644.52</v>
      </c>
      <c r="BD178" s="55">
        <f t="shared" si="188"/>
        <v>498.35817672932717</v>
      </c>
      <c r="BE178" s="566">
        <f>VLOOKUP($A178,'01-02.2021'!$A$6:$CZ$403,57,FALSE)+VLOOKUP($A178,'1.3.21-28.2.22'!$A$6:$DA$404,57,FALSE)-VLOOKUP($A178,'01-02.2022'!$A$6:$DA$376,57,FALSE)</f>
        <v>6972.9432151153014</v>
      </c>
      <c r="BF178" s="566">
        <f>VLOOKUP($A178,'01-02.2021'!$A$6:$CZ$403,58,FALSE)+VLOOKUP($A178,'1.3.21-28.2.22'!$A$6:$DA$404,58,FALSE)-VLOOKUP($A178,'01-02.2022'!$A$6:$DA$376,58,FALSE)</f>
        <v>0</v>
      </c>
      <c r="BG178" s="55">
        <f t="shared" si="189"/>
        <v>-6972.9432151153014</v>
      </c>
      <c r="BH178" s="566">
        <f>VLOOKUP($A178,'01-02.2021'!$A$6:$CZ$403,60,FALSE)+VLOOKUP($A178,'1.3.21-28.2.22'!$A$6:$DA$404,60,FALSE)-VLOOKUP($A178,'01-02.2022'!$A$6:$DA$376,60,FALSE)</f>
        <v>6992.4716392991486</v>
      </c>
      <c r="BI178" s="566">
        <f>VLOOKUP($A178,'01-02.2021'!$A$6:$CZ$403,61,FALSE)+VLOOKUP($A178,'1.3.21-28.2.22'!$A$6:$DA$404,61,FALSE)-VLOOKUP($A178,'01-02.2022'!$A$6:$DA$376,61,FALSE)</f>
        <v>459</v>
      </c>
      <c r="BJ178" s="55">
        <f t="shared" si="190"/>
        <v>-6533.4716392991486</v>
      </c>
      <c r="BK178" s="566">
        <f>VLOOKUP($A178,'01-02.2021'!$A$6:$CZ$403,63,FALSE)+VLOOKUP($A178,'1.3.21-28.2.22'!$A$6:$DA$404,63,FALSE)-VLOOKUP($A178,'01-02.2022'!$A$6:$DA$376,63,FALSE)</f>
        <v>6204.9450569210294</v>
      </c>
      <c r="BL178" s="566">
        <f>VLOOKUP($A178,'01-02.2021'!$A$6:$CZ$403,64,FALSE)+VLOOKUP($A178,'1.3.21-28.2.22'!$A$6:$DA$404,64,FALSE)-VLOOKUP($A178,'01-02.2022'!$A$6:$DA$376,64,FALSE)</f>
        <v>1024</v>
      </c>
      <c r="BM178" s="55">
        <f t="shared" si="191"/>
        <v>-5180.9450569210294</v>
      </c>
      <c r="BN178" s="566">
        <f>VLOOKUP($A178,'01-02.2021'!$A$6:$CZ$403,66,FALSE)+VLOOKUP($A178,'1.3.21-28.2.22'!$A$6:$DA$404,66,FALSE)-VLOOKUP($A178,'01-02.2022'!$A$6:$DA$376,66,FALSE)</f>
        <v>667.71438786787076</v>
      </c>
      <c r="BO178" s="566">
        <f>VLOOKUP($A178,'01-02.2021'!$A$6:$CZ$403,67,FALSE)+VLOOKUP($A178,'1.3.21-28.2.22'!$A$6:$DA$404,67,FALSE)-VLOOKUP($A178,'01-02.2022'!$A$6:$DA$376,67,FALSE)</f>
        <v>0</v>
      </c>
      <c r="BP178" s="55">
        <f t="shared" si="192"/>
        <v>-667.71438786787076</v>
      </c>
      <c r="BQ178" s="77">
        <f t="shared" si="209"/>
        <v>34930.055509800892</v>
      </c>
      <c r="BR178" s="40">
        <f t="shared" si="210"/>
        <v>30273.66</v>
      </c>
      <c r="BS178" s="55">
        <f t="shared" si="166"/>
        <v>-4656.3955098008919</v>
      </c>
      <c r="BT178" s="566">
        <f>VLOOKUP($A178,'01-02.2021'!$A$6:$CZ$403,72,FALSE)+VLOOKUP($A178,'1.3.21-28.2.22'!$A$6:$DA$404,72,FALSE)-VLOOKUP($A178,'01-02.2022'!$A$6:$DA$376,72,FALSE)</f>
        <v>102437.87129408844</v>
      </c>
      <c r="BU178" s="566">
        <f>VLOOKUP($A178,'01-02.2021'!$A$6:$CZ$403,73,FALSE)+VLOOKUP($A178,'1.3.21-28.2.22'!$A$6:$DA$404,73,FALSE)-VLOOKUP($A178,'01-02.2022'!$A$6:$DA$376,73,FALSE)</f>
        <v>104957.99745526354</v>
      </c>
      <c r="BV178" s="70">
        <f t="shared" si="193"/>
        <v>2520.1261611750961</v>
      </c>
      <c r="BW178" s="566">
        <f>VLOOKUP($A178,'01-02.2021'!$A$6:$CZ$403,75,FALSE)+VLOOKUP($A178,'1.3.21-28.2.22'!$A$6:$DA$404,75,FALSE)-VLOOKUP($A178,'01-02.2022'!$A$6:$DA$376,75,FALSE)</f>
        <v>73337.074007063668</v>
      </c>
      <c r="BX178" s="566">
        <f>VLOOKUP($A178,'01-02.2021'!$A$6:$CZ$403,76,FALSE)+VLOOKUP($A178,'1.3.21-28.2.22'!$A$6:$DA$404,76,FALSE)-VLOOKUP($A178,'01-02.2022'!$A$6:$DA$376,76,FALSE)</f>
        <v>77103.042384366156</v>
      </c>
      <c r="BY178" s="70">
        <f t="shared" si="194"/>
        <v>3765.9683773024881</v>
      </c>
      <c r="BZ178" s="566">
        <f>VLOOKUP($A178,'01-02.2021'!$A$6:$CZ$403,78,FALSE)+VLOOKUP($A178,'1.3.21-28.2.22'!$A$6:$DA$404,78,FALSE)-VLOOKUP($A178,'01-02.2022'!$A$6:$DA$376,78,FALSE)</f>
        <v>18973.275563951109</v>
      </c>
      <c r="CA178" s="566">
        <f>VLOOKUP($A178,'01-02.2021'!$A$6:$CZ$403,79,FALSE)+VLOOKUP($A178,'1.3.21-28.2.22'!$A$6:$DA$404,79,FALSE)-VLOOKUP($A178,'01-02.2022'!$A$6:$DA$376,79,FALSE)</f>
        <v>23300.163761509659</v>
      </c>
      <c r="CB178" s="70">
        <f t="shared" si="195"/>
        <v>4326.88819755855</v>
      </c>
      <c r="CC178" s="566">
        <f>VLOOKUP($A178,'01-02.2021'!$A$6:$CZ$403,81,FALSE)+VLOOKUP($A178,'1.3.21-28.2.22'!$A$6:$DA$404,81,FALSE)-VLOOKUP($A178,'01-02.2022'!$A$6:$DA$376,81,FALSE)</f>
        <v>1996.0503041687552</v>
      </c>
      <c r="CD178" s="566">
        <f>VLOOKUP($A178,'01-02.2021'!$A$6:$CZ$403,82,FALSE)+VLOOKUP($A178,'1.3.21-28.2.22'!$A$6:$DA$404,82,FALSE)-VLOOKUP($A178,'01-02.2022'!$A$6:$DA$376,82,FALSE)</f>
        <v>2171.2324664728712</v>
      </c>
      <c r="CE178" s="70">
        <f t="shared" si="196"/>
        <v>175.18216230411599</v>
      </c>
      <c r="CF178" s="566">
        <f>VLOOKUP($A178,'01-02.2021'!$A$6:$CZ$403,84,FALSE)+VLOOKUP($A178,'1.3.21-28.2.22'!$A$6:$DA$404,84,FALSE)-VLOOKUP($A178,'01-02.2022'!$A$6:$DA$376,84,FALSE)</f>
        <v>241.50019893571323</v>
      </c>
      <c r="CG178" s="566">
        <f>VLOOKUP($A178,'01-02.2021'!$A$6:$CZ$403,85,FALSE)+VLOOKUP($A178,'1.3.21-28.2.22'!$A$6:$DA$404,85,FALSE)-VLOOKUP($A178,'01-02.2022'!$A$6:$DA$376,85,FALSE)</f>
        <v>0</v>
      </c>
      <c r="CH178" s="70">
        <f t="shared" si="197"/>
        <v>-241.50019893571323</v>
      </c>
      <c r="CI178" s="566">
        <f>VLOOKUP($A178,'01-02.2021'!$A$6:$CZ$403,87,FALSE)+VLOOKUP($A178,'1.3.21-28.2.22'!$A$6:$DA$404,87,FALSE)-VLOOKUP($A178,'01-02.2022'!$A$6:$DA$376,87,FALSE)</f>
        <v>34027.808194100362</v>
      </c>
      <c r="CJ178" s="566">
        <f>VLOOKUP($A178,'01-02.2021'!$A$6:$CZ$403,88,FALSE)+VLOOKUP($A178,'1.3.21-28.2.22'!$A$6:$DA$404,88,FALSE)-VLOOKUP($A178,'01-02.2022'!$A$6:$DA$376,88,FALSE)</f>
        <v>22120.369950890643</v>
      </c>
      <c r="CK178" s="70">
        <f t="shared" si="198"/>
        <v>-11907.438243209719</v>
      </c>
      <c r="CL178" s="566">
        <f>VLOOKUP($A178,'01-02.2021'!$A$6:$CZ$403,90,FALSE)+VLOOKUP($A178,'1.3.21-28.2.22'!$A$6:$DA$404,90,FALSE)-VLOOKUP($A178,'01-02.2022'!$A$6:$DA$376,90,FALSE)</f>
        <v>19507.516795920012</v>
      </c>
      <c r="CM178" s="566">
        <f>VLOOKUP($A178,'01-02.2021'!$A$6:$CZ$403,91,FALSE)+VLOOKUP($A178,'1.3.21-28.2.22'!$A$6:$DA$404,91,FALSE)-VLOOKUP($A178,'01-02.2022'!$A$6:$DA$376,91,FALSE)</f>
        <v>16830.076644204702</v>
      </c>
      <c r="CN178" s="52">
        <f t="shared" si="158"/>
        <v>-2677.4401517153092</v>
      </c>
      <c r="CO178" s="39">
        <f t="shared" si="153"/>
        <v>53535.324990020374</v>
      </c>
      <c r="CP178" s="40">
        <f t="shared" si="159"/>
        <v>38950.446595095345</v>
      </c>
      <c r="CQ178" s="52">
        <f t="shared" si="160"/>
        <v>-14584.878394925028</v>
      </c>
      <c r="CR178" s="72">
        <f t="shared" si="154"/>
        <v>638676.04757280485</v>
      </c>
      <c r="CS178" s="5">
        <f t="shared" si="154"/>
        <v>669812.31478726887</v>
      </c>
      <c r="CT178" s="52">
        <f t="shared" si="161"/>
        <v>31136.267214464024</v>
      </c>
      <c r="CU178" s="77">
        <f t="shared" si="162"/>
        <v>766411.25708736584</v>
      </c>
      <c r="CV178" s="65">
        <f t="shared" si="163"/>
        <v>803774.77774472267</v>
      </c>
      <c r="CW178" s="35">
        <f t="shared" si="164"/>
        <v>37363.520657356828</v>
      </c>
      <c r="CX178" s="566">
        <f>VLOOKUP($A178,'01-02.2021'!$A$6:$CZ$403,102,FALSE)+VLOOKUP($A178,'1.3.21-28.2.22'!$A$6:$DA$404,102,FALSE)-VLOOKUP($A178,'01-02.2022'!$A$6:$DA$376,102,FALSE)</f>
        <v>26786.960532158257</v>
      </c>
      <c r="CY178" s="566">
        <f>VLOOKUP($A178,'01-02.2021'!$A$6:$CZ$403,103,FALSE)+VLOOKUP($A178,'1.3.21-28.2.22'!$A$6:$DA$404,103,FALSE)-VLOOKUP($A178,'01-02.2022'!$A$6:$DA$376,103,FALSE)</f>
        <v>-10576.560125198535</v>
      </c>
      <c r="CZ178" s="52">
        <f t="shared" si="165"/>
        <v>-37363.520657356792</v>
      </c>
      <c r="DA178" s="150">
        <f>'[2]побудинковий звіт'!DA178</f>
        <v>54285.961578224167</v>
      </c>
      <c r="DB178" s="2">
        <v>1</v>
      </c>
      <c r="DC178" s="414">
        <f>'[4]побудинковий звіт'!DC178</f>
        <v>163984.1</v>
      </c>
      <c r="DD178" s="414">
        <f>'[4]побудинковий звіт'!DD178</f>
        <v>5080.32</v>
      </c>
      <c r="DE178" s="557">
        <f>'[4]побудинковий звіт'!DE178</f>
        <v>92856.108866461087</v>
      </c>
      <c r="DF178" s="557">
        <f>'[4]побудинковий звіт'!DF178</f>
        <v>4473.4303329296363</v>
      </c>
      <c r="DG178" s="321">
        <f>VLOOKUP(A178,'кошти 01.03.2021'!$A$6:$D$401,4,)</f>
        <v>30548.109331266693</v>
      </c>
      <c r="DH178" s="40">
        <f>'[3]побудинковий звіт'!DJ178</f>
        <v>819824.15214556083</v>
      </c>
      <c r="DI178" s="422">
        <f>'[3]побудинковий звіт'!CU178+'[3]побудинковий звіт'!CX178</f>
        <v>71734.880800609288</v>
      </c>
      <c r="DJ178" s="306">
        <f>'[3]побудинковий звіт'!DM178</f>
        <v>5.8523338005686236</v>
      </c>
      <c r="DK178" s="306">
        <f>'[3]побудинковий звіт'!DN178</f>
        <v>7.0700781193831848</v>
      </c>
      <c r="DL178" s="306">
        <f>'[3]побудинковий звіт'!DO178</f>
        <v>5.005275604704031</v>
      </c>
      <c r="DM178" s="28">
        <f t="shared" si="211"/>
        <v>71127.991133538919</v>
      </c>
      <c r="DN178" s="28">
        <f t="shared" si="212"/>
        <v>606.88966707036377</v>
      </c>
      <c r="DO178" s="423">
        <f t="shared" si="171"/>
        <v>71734.880800609288</v>
      </c>
      <c r="DP178" s="94">
        <f t="shared" si="172"/>
        <v>0</v>
      </c>
      <c r="DQ178" s="28">
        <f t="shared" si="173"/>
        <v>71734.880800609288</v>
      </c>
      <c r="DR178" s="318"/>
      <c r="DT178" s="8"/>
      <c r="DU178" s="5"/>
      <c r="DX178" s="5">
        <f t="shared" si="174"/>
        <v>213627.93701554785</v>
      </c>
      <c r="DY178" s="5">
        <f t="shared" si="175"/>
        <v>268068.68400000001</v>
      </c>
      <c r="DZ178" s="159">
        <f>'[3]побудинковий звіт'!EA178</f>
        <v>20166.984206476882</v>
      </c>
    </row>
    <row r="179" spans="1:130" x14ac:dyDescent="0.3">
      <c r="A179" s="325">
        <v>150001028</v>
      </c>
      <c r="B179" s="41" t="s">
        <v>627</v>
      </c>
      <c r="C179" s="42" t="s">
        <v>102</v>
      </c>
      <c r="D179" s="42"/>
      <c r="E179" s="293">
        <f t="shared" si="149"/>
        <v>110.7</v>
      </c>
      <c r="F179" s="305">
        <f>'[3]побудинковий звіт'!F179</f>
        <v>110.7</v>
      </c>
      <c r="G179" s="508">
        <f>'[3]побудинковий звіт'!G179</f>
        <v>0</v>
      </c>
      <c r="H179" s="560">
        <f>'[3]побудинковий звіт'!H179</f>
        <v>0</v>
      </c>
      <c r="I179" s="566">
        <f>VLOOKUP($A179,'01-02.2021'!$A$6:$CZ$403,9,FALSE)+VLOOKUP($A179,'1.3.21-28.2.22'!$A$6:$DA$404,9,FALSE)-VLOOKUP($A179,'01-02.2022'!$A$6:$DA$376,9,FALSE)</f>
        <v>0</v>
      </c>
      <c r="J179" s="566">
        <f>VLOOKUP($A179,'01-02.2021'!$A$6:$CZ$403,10,FALSE)+VLOOKUP($A179,'1.3.21-28.2.22'!$A$6:$DA$404,10,FALSE)-VLOOKUP($A179,'01-02.2022'!$A$6:$DA$376,10,FALSE)</f>
        <v>0</v>
      </c>
      <c r="K179" s="52">
        <f t="shared" si="155"/>
        <v>0</v>
      </c>
      <c r="L179" s="566">
        <f>VLOOKUP($A179,'01-02.2021'!$A$6:$CZ$403,12,FALSE)+VLOOKUP($A179,'1.3.21-28.2.22'!$A$6:$DA$404,12,FALSE)-VLOOKUP($A179,'01-02.2022'!$A$6:$DA$376,12,FALSE)</f>
        <v>0</v>
      </c>
      <c r="M179" s="566">
        <f>VLOOKUP($A179,'01-02.2021'!$A$6:$CZ$403,13,FALSE)+VLOOKUP($A179,'1.3.21-28.2.22'!$A$6:$DA$404,13,FALSE)-VLOOKUP($A179,'01-02.2022'!$A$6:$DA$376,13,FALSE)</f>
        <v>0</v>
      </c>
      <c r="N179" s="52">
        <f t="shared" si="156"/>
        <v>0</v>
      </c>
      <c r="O179" s="566">
        <f>VLOOKUP($A179,'01-02.2021'!$A$6:$CZ$403,15,FALSE)+VLOOKUP($A179,'1.3.21-28.2.22'!$A$6:$DA$404,15,FALSE)-VLOOKUP($A179,'01-02.2022'!$A$6:$DA$376,15,FALSE)</f>
        <v>0</v>
      </c>
      <c r="P179" s="566">
        <f>VLOOKUP($A179,'01-02.2021'!$A$6:$CZ$403,16,FALSE)+VLOOKUP($A179,'1.3.21-28.2.22'!$A$6:$DA$404,16,FALSE)-VLOOKUP($A179,'01-02.2022'!$A$6:$DA$376,16,FALSE)</f>
        <v>0</v>
      </c>
      <c r="Q179" s="70">
        <f t="shared" si="176"/>
        <v>0</v>
      </c>
      <c r="R179" s="566">
        <f>VLOOKUP($A179,'01-02.2021'!$A$6:$CZ$403,18,FALSE)+VLOOKUP($A179,'1.3.21-28.2.22'!$A$6:$DA$404,18,FALSE)-VLOOKUP($A179,'01-02.2022'!$A$6:$DA$376,18,FALSE)</f>
        <v>0</v>
      </c>
      <c r="S179" s="566">
        <f>VLOOKUP($A179,'01-02.2021'!$A$6:$CZ$403,19,FALSE)+VLOOKUP($A179,'1.3.21-28.2.22'!$A$6:$DA$404,19,FALSE)-VLOOKUP($A179,'01-02.2022'!$A$6:$DA$376,19,FALSE)</f>
        <v>0</v>
      </c>
      <c r="T179" s="70">
        <f t="shared" si="177"/>
        <v>0</v>
      </c>
      <c r="U179" s="566">
        <f>VLOOKUP($A179,'01-02.2021'!$A$6:$CZ$403,21,FALSE)+VLOOKUP($A179,'1.3.21-28.2.22'!$A$6:$DA$404,21,FALSE)-VLOOKUP($A179,'01-02.2022'!$A$6:$DA$376,21,FALSE)</f>
        <v>0</v>
      </c>
      <c r="V179" s="566">
        <f>VLOOKUP($A179,'01-02.2021'!$A$6:$CZ$403,22,FALSE)+VLOOKUP($A179,'1.3.21-28.2.22'!$A$6:$DA$404,22,FALSE)-VLOOKUP($A179,'01-02.2022'!$A$6:$DA$376,22,FALSE)</f>
        <v>0</v>
      </c>
      <c r="W179" s="70">
        <f t="shared" si="178"/>
        <v>0</v>
      </c>
      <c r="X179" s="566">
        <f>VLOOKUP($A179,'01-02.2021'!$A$6:$CZ$403,24,FALSE)+VLOOKUP($A179,'1.3.21-28.2.22'!$A$6:$DA$404,24,FALSE)-VLOOKUP($A179,'01-02.2022'!$A$6:$DA$376,24,FALSE)</f>
        <v>0</v>
      </c>
      <c r="Y179" s="566">
        <f>VLOOKUP($A179,'01-02.2021'!$A$6:$CZ$403,25,FALSE)+VLOOKUP($A179,'1.3.21-28.2.22'!$A$6:$DA$404,25,FALSE)-VLOOKUP($A179,'01-02.2022'!$A$6:$DA$376,25,FALSE)</f>
        <v>0</v>
      </c>
      <c r="Z179" s="70">
        <f t="shared" si="179"/>
        <v>0</v>
      </c>
      <c r="AA179" s="566">
        <f>VLOOKUP($A179,'01-02.2021'!$A$6:$CZ$403,27,FALSE)+VLOOKUP($A179,'1.3.21-28.2.22'!$A$6:$DA$404,27,FALSE)-VLOOKUP($A179,'01-02.2022'!$A$6:$DA$376,27,FALSE)</f>
        <v>22.14</v>
      </c>
      <c r="AB179" s="566">
        <f>VLOOKUP($A179,'01-02.2021'!$A$6:$CZ$403,28,FALSE)+VLOOKUP($A179,'1.3.21-28.2.22'!$A$6:$DA$404,28,FALSE)-VLOOKUP($A179,'01-02.2022'!$A$6:$DA$376,28,FALSE)</f>
        <v>0</v>
      </c>
      <c r="AC179" s="70">
        <f t="shared" si="180"/>
        <v>-22.14</v>
      </c>
      <c r="AD179" s="566">
        <f>VLOOKUP($A179,'01-02.2021'!$A$6:$CZ$403,30,FALSE)+VLOOKUP($A179,'1.3.21-28.2.22'!$A$6:$DA$404,30,FALSE)-VLOOKUP($A179,'01-02.2022'!$A$6:$DA$376,30,FALSE)</f>
        <v>177.20704956895395</v>
      </c>
      <c r="AE179" s="566">
        <f>VLOOKUP($A179,'01-02.2021'!$A$6:$CZ$403,31,FALSE)+VLOOKUP($A179,'1.3.21-28.2.22'!$A$6:$DA$404,31,FALSE)-VLOOKUP($A179,'01-02.2022'!$A$6:$DA$376,31,FALSE)</f>
        <v>503.91086035211436</v>
      </c>
      <c r="AF179" s="68">
        <f t="shared" si="181"/>
        <v>326.70381078316041</v>
      </c>
      <c r="AG179" s="77">
        <f t="shared" si="150"/>
        <v>199.34704956895393</v>
      </c>
      <c r="AH179" s="53">
        <f t="shared" si="150"/>
        <v>503.91086035211436</v>
      </c>
      <c r="AI179" s="52">
        <f t="shared" si="157"/>
        <v>304.56381078316042</v>
      </c>
      <c r="AJ179" s="566">
        <f>VLOOKUP($A179,'01-02.2021'!$A$6:$CZ$403,36,FALSE)+VLOOKUP($A179,'1.3.21-28.2.22'!$A$6:$DA$404,36,FALSE)-VLOOKUP($A179,'01-02.2022'!$A$6:$DA$376,36,FALSE)</f>
        <v>0</v>
      </c>
      <c r="AK179" s="566">
        <f>VLOOKUP($A179,'01-02.2021'!$A$6:$CZ$403,37,FALSE)+VLOOKUP($A179,'1.3.21-28.2.22'!$A$6:$DA$404,37,FALSE)-VLOOKUP($A179,'01-02.2022'!$A$6:$DA$376,37,FALSE)</f>
        <v>0</v>
      </c>
      <c r="AL179" s="70">
        <f t="shared" si="182"/>
        <v>0</v>
      </c>
      <c r="AM179" s="566">
        <f>VLOOKUP($A179,'01-02.2021'!$A$6:$CZ$403,39,FALSE)+VLOOKUP($A179,'1.3.21-28.2.22'!$A$6:$DA$404,39,FALSE)-VLOOKUP($A179,'01-02.2022'!$A$6:$DA$376,39,FALSE)</f>
        <v>0</v>
      </c>
      <c r="AN179" s="566">
        <f>VLOOKUP($A179,'01-02.2021'!$A$6:$CZ$403,40,FALSE)+VLOOKUP($A179,'1.3.21-28.2.22'!$A$6:$DA$404,40,FALSE)-VLOOKUP($A179,'01-02.2022'!$A$6:$DA$376,40,FALSE)</f>
        <v>0</v>
      </c>
      <c r="AO179" s="70">
        <f t="shared" si="183"/>
        <v>0</v>
      </c>
      <c r="AP179" s="566">
        <f>VLOOKUP($A179,'01-02.2021'!$A$6:$CZ$403,42,FALSE)+VLOOKUP($A179,'1.3.21-28.2.22'!$A$6:$DA$404,42,FALSE)-VLOOKUP($A179,'01-02.2022'!$A$6:$DA$376,42,FALSE)</f>
        <v>216.89996875532395</v>
      </c>
      <c r="AQ179" s="566">
        <f>VLOOKUP($A179,'01-02.2021'!$A$6:$CZ$403,43,FALSE)+VLOOKUP($A179,'1.3.21-28.2.22'!$A$6:$DA$404,43,FALSE)-VLOOKUP($A179,'01-02.2022'!$A$6:$DA$376,43,FALSE)</f>
        <v>186.98520801246201</v>
      </c>
      <c r="AR179" s="70">
        <f t="shared" si="184"/>
        <v>-29.914760742861944</v>
      </c>
      <c r="AS179" s="566">
        <f>VLOOKUP($A179,'01-02.2021'!$A$6:$CZ$403,45,FALSE)+VLOOKUP($A179,'1.3.21-28.2.22'!$A$6:$DA$404,45,FALSE)-VLOOKUP($A179,'01-02.2022'!$A$6:$DA$376,45,FALSE)</f>
        <v>1760.4573381745629</v>
      </c>
      <c r="AT179" s="566">
        <f>VLOOKUP($A179,'01-02.2021'!$A$6:$CZ$403,46,FALSE)+VLOOKUP($A179,'1.3.21-28.2.22'!$A$6:$DA$404,46,FALSE)-VLOOKUP($A179,'01-02.2022'!$A$6:$DA$376,46,FALSE)</f>
        <v>2298</v>
      </c>
      <c r="AU179" s="78">
        <f t="shared" si="185"/>
        <v>537.54266182543711</v>
      </c>
      <c r="AV179" s="566">
        <f>VLOOKUP($A179,'01-02.2021'!$A$6:$CZ$403,48,FALSE)+VLOOKUP($A179,'1.3.21-28.2.22'!$A$6:$DA$404,48,FALSE)-VLOOKUP($A179,'01-02.2022'!$A$6:$DA$376,48,FALSE)</f>
        <v>0</v>
      </c>
      <c r="AW179" s="566">
        <f>VLOOKUP($A179,'01-02.2021'!$A$6:$CZ$403,49,FALSE)+VLOOKUP($A179,'1.3.21-28.2.22'!$A$6:$DA$404,49,FALSE)-VLOOKUP($A179,'01-02.2022'!$A$6:$DA$376,49,FALSE)</f>
        <v>0</v>
      </c>
      <c r="AX179" s="55">
        <f t="shared" si="186"/>
        <v>0</v>
      </c>
      <c r="AY179" s="566">
        <f>VLOOKUP($A179,'01-02.2021'!$A$6:$CZ$403,51,FALSE)+VLOOKUP($A179,'1.3.21-28.2.22'!$A$6:$DA$404,51,FALSE)-VLOOKUP($A179,'01-02.2022'!$A$6:$DA$376,51,FALSE)</f>
        <v>0</v>
      </c>
      <c r="AZ179" s="566">
        <f>VLOOKUP($A179,'01-02.2021'!$A$6:$CZ$403,52,FALSE)+VLOOKUP($A179,'1.3.21-28.2.22'!$A$6:$DA$404,52,FALSE)-VLOOKUP($A179,'01-02.2022'!$A$6:$DA$376,52,FALSE)</f>
        <v>0</v>
      </c>
      <c r="BA179" s="38">
        <f t="shared" si="187"/>
        <v>0</v>
      </c>
      <c r="BB179" s="566">
        <f>VLOOKUP($A179,'01-02.2021'!$A$6:$CZ$403,54,FALSE)+VLOOKUP($A179,'1.3.21-28.2.22'!$A$6:$DA$404,54,FALSE)-VLOOKUP($A179,'01-02.2022'!$A$6:$DA$376,54,FALSE)</f>
        <v>0</v>
      </c>
      <c r="BC179" s="566">
        <f>VLOOKUP($A179,'01-02.2021'!$A$6:$CZ$403,55,FALSE)+VLOOKUP($A179,'1.3.21-28.2.22'!$A$6:$DA$404,55,FALSE)-VLOOKUP($A179,'01-02.2022'!$A$6:$DA$376,55,FALSE)</f>
        <v>0</v>
      </c>
      <c r="BD179" s="55">
        <f t="shared" si="188"/>
        <v>0</v>
      </c>
      <c r="BE179" s="566">
        <f>VLOOKUP($A179,'01-02.2021'!$A$6:$CZ$403,57,FALSE)+VLOOKUP($A179,'1.3.21-28.2.22'!$A$6:$DA$404,57,FALSE)-VLOOKUP($A179,'01-02.2022'!$A$6:$DA$376,57,FALSE)</f>
        <v>0</v>
      </c>
      <c r="BF179" s="566">
        <f>VLOOKUP($A179,'01-02.2021'!$A$6:$CZ$403,58,FALSE)+VLOOKUP($A179,'1.3.21-28.2.22'!$A$6:$DA$404,58,FALSE)-VLOOKUP($A179,'01-02.2022'!$A$6:$DA$376,58,FALSE)</f>
        <v>0</v>
      </c>
      <c r="BG179" s="55">
        <f t="shared" si="189"/>
        <v>0</v>
      </c>
      <c r="BH179" s="566">
        <f>VLOOKUP($A179,'01-02.2021'!$A$6:$CZ$403,60,FALSE)+VLOOKUP($A179,'1.3.21-28.2.22'!$A$6:$DA$404,60,FALSE)-VLOOKUP($A179,'01-02.2022'!$A$6:$DA$376,60,FALSE)</f>
        <v>0</v>
      </c>
      <c r="BI179" s="566">
        <f>VLOOKUP($A179,'01-02.2021'!$A$6:$CZ$403,61,FALSE)+VLOOKUP($A179,'1.3.21-28.2.22'!$A$6:$DA$404,61,FALSE)-VLOOKUP($A179,'01-02.2022'!$A$6:$DA$376,61,FALSE)</f>
        <v>0</v>
      </c>
      <c r="BJ179" s="55">
        <f t="shared" si="190"/>
        <v>0</v>
      </c>
      <c r="BK179" s="566">
        <f>VLOOKUP($A179,'01-02.2021'!$A$6:$CZ$403,63,FALSE)+VLOOKUP($A179,'1.3.21-28.2.22'!$A$6:$DA$404,63,FALSE)-VLOOKUP($A179,'01-02.2022'!$A$6:$DA$376,63,FALSE)</f>
        <v>0</v>
      </c>
      <c r="BL179" s="566">
        <f>VLOOKUP($A179,'01-02.2021'!$A$6:$CZ$403,64,FALSE)+VLOOKUP($A179,'1.3.21-28.2.22'!$A$6:$DA$404,64,FALSE)-VLOOKUP($A179,'01-02.2022'!$A$6:$DA$376,64,FALSE)</f>
        <v>0</v>
      </c>
      <c r="BM179" s="55">
        <f t="shared" si="191"/>
        <v>0</v>
      </c>
      <c r="BN179" s="566">
        <f>VLOOKUP($A179,'01-02.2021'!$A$6:$CZ$403,66,FALSE)+VLOOKUP($A179,'1.3.21-28.2.22'!$A$6:$DA$404,66,FALSE)-VLOOKUP($A179,'01-02.2022'!$A$6:$DA$376,66,FALSE)</f>
        <v>12.085841315511455</v>
      </c>
      <c r="BO179" s="566">
        <f>VLOOKUP($A179,'01-02.2021'!$A$6:$CZ$403,67,FALSE)+VLOOKUP($A179,'1.3.21-28.2.22'!$A$6:$DA$404,67,FALSE)-VLOOKUP($A179,'01-02.2022'!$A$6:$DA$376,67,FALSE)</f>
        <v>0</v>
      </c>
      <c r="BP179" s="55">
        <f t="shared" si="192"/>
        <v>-12.085841315511455</v>
      </c>
      <c r="BQ179" s="77">
        <f t="shared" si="209"/>
        <v>12.085841315511455</v>
      </c>
      <c r="BR179" s="40">
        <f t="shared" si="210"/>
        <v>0</v>
      </c>
      <c r="BS179" s="55">
        <f t="shared" si="166"/>
        <v>-12.085841315511455</v>
      </c>
      <c r="BT179" s="566">
        <f>VLOOKUP($A179,'01-02.2021'!$A$6:$CZ$403,72,FALSE)+VLOOKUP($A179,'1.3.21-28.2.22'!$A$6:$DA$404,72,FALSE)-VLOOKUP($A179,'01-02.2022'!$A$6:$DA$376,72,FALSE)</f>
        <v>125.61680645953695</v>
      </c>
      <c r="BU179" s="566">
        <f>VLOOKUP($A179,'01-02.2021'!$A$6:$CZ$403,73,FALSE)+VLOOKUP($A179,'1.3.21-28.2.22'!$A$6:$DA$404,73,FALSE)-VLOOKUP($A179,'01-02.2022'!$A$6:$DA$376,73,FALSE)</f>
        <v>194.86972644699941</v>
      </c>
      <c r="BV179" s="70">
        <f t="shared" si="193"/>
        <v>69.252919987462462</v>
      </c>
      <c r="BW179" s="566">
        <f>VLOOKUP($A179,'01-02.2021'!$A$6:$CZ$403,75,FALSE)+VLOOKUP($A179,'1.3.21-28.2.22'!$A$6:$DA$404,75,FALSE)-VLOOKUP($A179,'01-02.2022'!$A$6:$DA$376,75,FALSE)</f>
        <v>0</v>
      </c>
      <c r="BX179" s="566">
        <f>VLOOKUP($A179,'01-02.2021'!$A$6:$CZ$403,76,FALSE)+VLOOKUP($A179,'1.3.21-28.2.22'!$A$6:$DA$404,76,FALSE)-VLOOKUP($A179,'01-02.2022'!$A$6:$DA$376,76,FALSE)</f>
        <v>2.4809630787571915</v>
      </c>
      <c r="BY179" s="70">
        <f t="shared" si="194"/>
        <v>2.4809630787571915</v>
      </c>
      <c r="BZ179" s="566">
        <f>VLOOKUP($A179,'01-02.2021'!$A$6:$CZ$403,78,FALSE)+VLOOKUP($A179,'1.3.21-28.2.22'!$A$6:$DA$404,78,FALSE)-VLOOKUP($A179,'01-02.2022'!$A$6:$DA$376,78,FALSE)</f>
        <v>0</v>
      </c>
      <c r="CA179" s="566">
        <f>VLOOKUP($A179,'01-02.2021'!$A$6:$CZ$403,79,FALSE)+VLOOKUP($A179,'1.3.21-28.2.22'!$A$6:$DA$404,79,FALSE)-VLOOKUP($A179,'01-02.2022'!$A$6:$DA$376,79,FALSE)</f>
        <v>11.88254223641006</v>
      </c>
      <c r="CB179" s="70">
        <f t="shared" si="195"/>
        <v>11.88254223641006</v>
      </c>
      <c r="CC179" s="566">
        <f>VLOOKUP($A179,'01-02.2021'!$A$6:$CZ$403,81,FALSE)+VLOOKUP($A179,'1.3.21-28.2.22'!$A$6:$DA$404,81,FALSE)-VLOOKUP($A179,'01-02.2022'!$A$6:$DA$376,81,FALSE)</f>
        <v>0</v>
      </c>
      <c r="CD179" s="566">
        <f>VLOOKUP($A179,'01-02.2021'!$A$6:$CZ$403,82,FALSE)+VLOOKUP($A179,'1.3.21-28.2.22'!$A$6:$DA$404,82,FALSE)-VLOOKUP($A179,'01-02.2022'!$A$6:$DA$376,82,FALSE)</f>
        <v>0</v>
      </c>
      <c r="CE179" s="70">
        <f t="shared" si="196"/>
        <v>0</v>
      </c>
      <c r="CF179" s="566">
        <f>VLOOKUP($A179,'01-02.2021'!$A$6:$CZ$403,84,FALSE)+VLOOKUP($A179,'1.3.21-28.2.22'!$A$6:$DA$404,84,FALSE)-VLOOKUP($A179,'01-02.2022'!$A$6:$DA$376,84,FALSE)</f>
        <v>0</v>
      </c>
      <c r="CG179" s="566">
        <f>VLOOKUP($A179,'01-02.2021'!$A$6:$CZ$403,85,FALSE)+VLOOKUP($A179,'1.3.21-28.2.22'!$A$6:$DA$404,85,FALSE)-VLOOKUP($A179,'01-02.2022'!$A$6:$DA$376,85,FALSE)</f>
        <v>0</v>
      </c>
      <c r="CH179" s="70">
        <f t="shared" si="197"/>
        <v>0</v>
      </c>
      <c r="CI179" s="566">
        <f>VLOOKUP($A179,'01-02.2021'!$A$6:$CZ$403,87,FALSE)+VLOOKUP($A179,'1.3.21-28.2.22'!$A$6:$DA$404,87,FALSE)-VLOOKUP($A179,'01-02.2022'!$A$6:$DA$376,87,FALSE)</f>
        <v>0</v>
      </c>
      <c r="CJ179" s="566">
        <f>VLOOKUP($A179,'01-02.2021'!$A$6:$CZ$403,88,FALSE)+VLOOKUP($A179,'1.3.21-28.2.22'!$A$6:$DA$404,88,FALSE)-VLOOKUP($A179,'01-02.2022'!$A$6:$DA$376,88,FALSE)</f>
        <v>0</v>
      </c>
      <c r="CK179" s="70">
        <f t="shared" si="198"/>
        <v>0</v>
      </c>
      <c r="CL179" s="566">
        <f>VLOOKUP($A179,'01-02.2021'!$A$6:$CZ$403,90,FALSE)+VLOOKUP($A179,'1.3.21-28.2.22'!$A$6:$DA$404,90,FALSE)-VLOOKUP($A179,'01-02.2022'!$A$6:$DA$376,90,FALSE)</f>
        <v>0</v>
      </c>
      <c r="CM179" s="566">
        <f>VLOOKUP($A179,'01-02.2021'!$A$6:$CZ$403,91,FALSE)+VLOOKUP($A179,'1.3.21-28.2.22'!$A$6:$DA$404,91,FALSE)-VLOOKUP($A179,'01-02.2022'!$A$6:$DA$376,91,FALSE)</f>
        <v>0</v>
      </c>
      <c r="CN179" s="52">
        <f t="shared" si="158"/>
        <v>0</v>
      </c>
      <c r="CO179" s="39">
        <f t="shared" si="153"/>
        <v>0</v>
      </c>
      <c r="CP179" s="40">
        <f t="shared" si="159"/>
        <v>0</v>
      </c>
      <c r="CQ179" s="52">
        <f t="shared" si="160"/>
        <v>0</v>
      </c>
      <c r="CR179" s="72">
        <f t="shared" si="154"/>
        <v>2314.407004273889</v>
      </c>
      <c r="CS179" s="5">
        <f t="shared" si="154"/>
        <v>3198.1293001267431</v>
      </c>
      <c r="CT179" s="52">
        <f t="shared" si="161"/>
        <v>883.72229585285413</v>
      </c>
      <c r="CU179" s="77">
        <f t="shared" si="162"/>
        <v>2777.2884051286669</v>
      </c>
      <c r="CV179" s="65">
        <f t="shared" si="163"/>
        <v>3837.7551601520918</v>
      </c>
      <c r="CW179" s="35">
        <f t="shared" si="164"/>
        <v>1060.4667550234249</v>
      </c>
      <c r="CX179" s="566">
        <f>VLOOKUP($A179,'01-02.2021'!$A$6:$CZ$403,102,FALSE)+VLOOKUP($A179,'1.3.21-28.2.22'!$A$6:$DA$404,102,FALSE)-VLOOKUP($A179,'01-02.2022'!$A$6:$DA$376,102,FALSE)</f>
        <v>60.57842646784259</v>
      </c>
      <c r="CY179" s="566">
        <f>VLOOKUP($A179,'01-02.2021'!$A$6:$CZ$403,103,FALSE)+VLOOKUP($A179,'1.3.21-28.2.22'!$A$6:$DA$404,103,FALSE)-VLOOKUP($A179,'01-02.2022'!$A$6:$DA$376,103,FALSE)</f>
        <v>-999.88832855558121</v>
      </c>
      <c r="CZ179" s="52">
        <f t="shared" si="165"/>
        <v>-1060.4667550234237</v>
      </c>
      <c r="DA179" s="150">
        <f>'[2]побудинковий звіт'!DA179</f>
        <v>-1696.9412165159301</v>
      </c>
      <c r="DB179" s="2">
        <v>1</v>
      </c>
      <c r="DC179" s="414">
        <f>'[4]побудинковий звіт'!DC179</f>
        <v>257.83999999999997</v>
      </c>
      <c r="DD179" s="414">
        <f>'[4]побудинковий звіт'!DD179</f>
        <v>0</v>
      </c>
      <c r="DE179" s="557">
        <f>'[4]побудинковий звіт'!DE179</f>
        <v>-1.1778336175098048E-2</v>
      </c>
      <c r="DF179" s="557">
        <f>'[4]побудинковий звіт'!DF179</f>
        <v>0</v>
      </c>
      <c r="DG179" s="321">
        <f>VLOOKUP(A179,'кошти 01.03.2021'!$A$6:$D$401,4,)</f>
        <v>-1388.8728023424346</v>
      </c>
      <c r="DH179" s="40">
        <f>'[3]побудинковий звіт'!DJ179</f>
        <v>2938.9102922996481</v>
      </c>
      <c r="DI179" s="422">
        <f>'[3]побудинковий звіт'!CU179+'[3]побудинковий звіт'!CX179</f>
        <v>257.85177833617513</v>
      </c>
      <c r="DJ179" s="306">
        <f>'[3]побудинковий звіт'!DM179</f>
        <v>2.3292843571470194</v>
      </c>
      <c r="DK179" s="306">
        <f t="shared" ref="DK179:DK180" si="213">DJ179</f>
        <v>2.3292843571470194</v>
      </c>
      <c r="DL179" s="306">
        <f>'[3]побудинковий звіт'!DO179</f>
        <v>2.3292843571470194</v>
      </c>
      <c r="DM179" s="28">
        <f t="shared" ref="DM179:DM180" si="214">F179*DJ179</f>
        <v>257.85177833617507</v>
      </c>
      <c r="DN179" s="28">
        <f>H179*DL179</f>
        <v>0</v>
      </c>
      <c r="DO179" s="423">
        <f t="shared" si="171"/>
        <v>257.85177833617507</v>
      </c>
      <c r="DP179" s="94">
        <f t="shared" si="172"/>
        <v>0</v>
      </c>
      <c r="DQ179" s="28">
        <f t="shared" si="173"/>
        <v>257.85177833617507</v>
      </c>
      <c r="DR179" s="318"/>
      <c r="DT179" s="8"/>
      <c r="DU179" s="5"/>
      <c r="DX179" s="5">
        <f t="shared" si="174"/>
        <v>2127.0518153880894</v>
      </c>
      <c r="DY179" s="5">
        <f t="shared" si="175"/>
        <v>2757.6</v>
      </c>
      <c r="DZ179" s="159">
        <f>'[3]побудинковий звіт'!EA179</f>
        <v>211.35918291671692</v>
      </c>
    </row>
    <row r="180" spans="1:130" x14ac:dyDescent="0.3">
      <c r="A180" s="325">
        <v>150001036</v>
      </c>
      <c r="B180" s="41" t="s">
        <v>628</v>
      </c>
      <c r="C180" s="42" t="s">
        <v>103</v>
      </c>
      <c r="D180" s="42"/>
      <c r="E180" s="293">
        <f t="shared" si="149"/>
        <v>211.4</v>
      </c>
      <c r="F180" s="305">
        <f>'[3]побудинковий звіт'!F180</f>
        <v>211.4</v>
      </c>
      <c r="G180" s="508">
        <f>'[3]побудинковий звіт'!G180</f>
        <v>0</v>
      </c>
      <c r="H180" s="560">
        <f>'[3]побудинковий звіт'!H180</f>
        <v>0</v>
      </c>
      <c r="I180" s="566">
        <f>VLOOKUP($A180,'01-02.2021'!$A$6:$CZ$403,9,FALSE)+VLOOKUP($A180,'1.3.21-28.2.22'!$A$6:$DA$404,9,FALSE)-VLOOKUP($A180,'01-02.2022'!$A$6:$DA$376,9,FALSE)</f>
        <v>0</v>
      </c>
      <c r="J180" s="566">
        <f>VLOOKUP($A180,'01-02.2021'!$A$6:$CZ$403,10,FALSE)+VLOOKUP($A180,'1.3.21-28.2.22'!$A$6:$DA$404,10,FALSE)-VLOOKUP($A180,'01-02.2022'!$A$6:$DA$376,10,FALSE)</f>
        <v>0</v>
      </c>
      <c r="K180" s="52">
        <f t="shared" si="155"/>
        <v>0</v>
      </c>
      <c r="L180" s="566">
        <f>VLOOKUP($A180,'01-02.2021'!$A$6:$CZ$403,12,FALSE)+VLOOKUP($A180,'1.3.21-28.2.22'!$A$6:$DA$404,12,FALSE)-VLOOKUP($A180,'01-02.2022'!$A$6:$DA$376,12,FALSE)</f>
        <v>0</v>
      </c>
      <c r="M180" s="566">
        <f>VLOOKUP($A180,'01-02.2021'!$A$6:$CZ$403,13,FALSE)+VLOOKUP($A180,'1.3.21-28.2.22'!$A$6:$DA$404,13,FALSE)-VLOOKUP($A180,'01-02.2022'!$A$6:$DA$376,13,FALSE)</f>
        <v>0</v>
      </c>
      <c r="N180" s="52">
        <f t="shared" si="156"/>
        <v>0</v>
      </c>
      <c r="O180" s="566">
        <f>VLOOKUP($A180,'01-02.2021'!$A$6:$CZ$403,15,FALSE)+VLOOKUP($A180,'1.3.21-28.2.22'!$A$6:$DA$404,15,FALSE)-VLOOKUP($A180,'01-02.2022'!$A$6:$DA$376,15,FALSE)</f>
        <v>0</v>
      </c>
      <c r="P180" s="566">
        <f>VLOOKUP($A180,'01-02.2021'!$A$6:$CZ$403,16,FALSE)+VLOOKUP($A180,'1.3.21-28.2.22'!$A$6:$DA$404,16,FALSE)-VLOOKUP($A180,'01-02.2022'!$A$6:$DA$376,16,FALSE)</f>
        <v>0</v>
      </c>
      <c r="Q180" s="70">
        <f t="shared" si="176"/>
        <v>0</v>
      </c>
      <c r="R180" s="566">
        <f>VLOOKUP($A180,'01-02.2021'!$A$6:$CZ$403,18,FALSE)+VLOOKUP($A180,'1.3.21-28.2.22'!$A$6:$DA$404,18,FALSE)-VLOOKUP($A180,'01-02.2022'!$A$6:$DA$376,18,FALSE)</f>
        <v>0</v>
      </c>
      <c r="S180" s="566">
        <f>VLOOKUP($A180,'01-02.2021'!$A$6:$CZ$403,19,FALSE)+VLOOKUP($A180,'1.3.21-28.2.22'!$A$6:$DA$404,19,FALSE)-VLOOKUP($A180,'01-02.2022'!$A$6:$DA$376,19,FALSE)</f>
        <v>0</v>
      </c>
      <c r="T180" s="70">
        <f t="shared" si="177"/>
        <v>0</v>
      </c>
      <c r="U180" s="566">
        <f>VLOOKUP($A180,'01-02.2021'!$A$6:$CZ$403,21,FALSE)+VLOOKUP($A180,'1.3.21-28.2.22'!$A$6:$DA$404,21,FALSE)-VLOOKUP($A180,'01-02.2022'!$A$6:$DA$376,21,FALSE)</f>
        <v>0</v>
      </c>
      <c r="V180" s="566">
        <f>VLOOKUP($A180,'01-02.2021'!$A$6:$CZ$403,22,FALSE)+VLOOKUP($A180,'1.3.21-28.2.22'!$A$6:$DA$404,22,FALSE)-VLOOKUP($A180,'01-02.2022'!$A$6:$DA$376,22,FALSE)</f>
        <v>0</v>
      </c>
      <c r="W180" s="70">
        <f t="shared" si="178"/>
        <v>0</v>
      </c>
      <c r="X180" s="566">
        <f>VLOOKUP($A180,'01-02.2021'!$A$6:$CZ$403,24,FALSE)+VLOOKUP($A180,'1.3.21-28.2.22'!$A$6:$DA$404,24,FALSE)-VLOOKUP($A180,'01-02.2022'!$A$6:$DA$376,24,FALSE)</f>
        <v>0</v>
      </c>
      <c r="Y180" s="566">
        <f>VLOOKUP($A180,'01-02.2021'!$A$6:$CZ$403,25,FALSE)+VLOOKUP($A180,'1.3.21-28.2.22'!$A$6:$DA$404,25,FALSE)-VLOOKUP($A180,'01-02.2022'!$A$6:$DA$376,25,FALSE)</f>
        <v>0</v>
      </c>
      <c r="Z180" s="70">
        <f t="shared" si="179"/>
        <v>0</v>
      </c>
      <c r="AA180" s="566">
        <f>VLOOKUP($A180,'01-02.2021'!$A$6:$CZ$403,27,FALSE)+VLOOKUP($A180,'1.3.21-28.2.22'!$A$6:$DA$404,27,FALSE)-VLOOKUP($A180,'01-02.2022'!$A$6:$DA$376,27,FALSE)</f>
        <v>42.28</v>
      </c>
      <c r="AB180" s="566">
        <f>VLOOKUP($A180,'01-02.2021'!$A$6:$CZ$403,28,FALSE)+VLOOKUP($A180,'1.3.21-28.2.22'!$A$6:$DA$404,28,FALSE)-VLOOKUP($A180,'01-02.2022'!$A$6:$DA$376,28,FALSE)</f>
        <v>0</v>
      </c>
      <c r="AC180" s="70">
        <f t="shared" si="180"/>
        <v>-42.28</v>
      </c>
      <c r="AD180" s="566">
        <f>VLOOKUP($A180,'01-02.2021'!$A$6:$CZ$403,30,FALSE)+VLOOKUP($A180,'1.3.21-28.2.22'!$A$6:$DA$404,30,FALSE)-VLOOKUP($A180,'01-02.2022'!$A$6:$DA$376,30,FALSE)</f>
        <v>338.43370304542771</v>
      </c>
      <c r="AE180" s="566">
        <f>VLOOKUP($A180,'01-02.2021'!$A$6:$CZ$403,31,FALSE)+VLOOKUP($A180,'1.3.21-28.2.22'!$A$6:$DA$404,31,FALSE)-VLOOKUP($A180,'01-02.2022'!$A$6:$DA$376,31,FALSE)</f>
        <v>962.30131778172529</v>
      </c>
      <c r="AF180" s="68">
        <f t="shared" si="181"/>
        <v>623.86761473629758</v>
      </c>
      <c r="AG180" s="77">
        <f t="shared" si="150"/>
        <v>380.71370304542768</v>
      </c>
      <c r="AH180" s="53">
        <f t="shared" si="150"/>
        <v>962.30131778172529</v>
      </c>
      <c r="AI180" s="52">
        <f t="shared" si="157"/>
        <v>581.58761473629761</v>
      </c>
      <c r="AJ180" s="566">
        <f>VLOOKUP($A180,'01-02.2021'!$A$6:$CZ$403,36,FALSE)+VLOOKUP($A180,'1.3.21-28.2.22'!$A$6:$DA$404,36,FALSE)-VLOOKUP($A180,'01-02.2022'!$A$6:$DA$376,36,FALSE)</f>
        <v>0</v>
      </c>
      <c r="AK180" s="566">
        <f>VLOOKUP($A180,'01-02.2021'!$A$6:$CZ$403,37,FALSE)+VLOOKUP($A180,'1.3.21-28.2.22'!$A$6:$DA$404,37,FALSE)-VLOOKUP($A180,'01-02.2022'!$A$6:$DA$376,37,FALSE)</f>
        <v>0</v>
      </c>
      <c r="AL180" s="70">
        <f t="shared" si="182"/>
        <v>0</v>
      </c>
      <c r="AM180" s="566">
        <f>VLOOKUP($A180,'01-02.2021'!$A$6:$CZ$403,39,FALSE)+VLOOKUP($A180,'1.3.21-28.2.22'!$A$6:$DA$404,39,FALSE)-VLOOKUP($A180,'01-02.2022'!$A$6:$DA$376,39,FALSE)</f>
        <v>0</v>
      </c>
      <c r="AN180" s="566">
        <f>VLOOKUP($A180,'01-02.2021'!$A$6:$CZ$403,40,FALSE)+VLOOKUP($A180,'1.3.21-28.2.22'!$A$6:$DA$404,40,FALSE)-VLOOKUP($A180,'01-02.2022'!$A$6:$DA$376,40,FALSE)</f>
        <v>0</v>
      </c>
      <c r="AO180" s="70">
        <f t="shared" si="183"/>
        <v>0</v>
      </c>
      <c r="AP180" s="566">
        <f>VLOOKUP($A180,'01-02.2021'!$A$6:$CZ$403,42,FALSE)+VLOOKUP($A180,'1.3.21-28.2.22'!$A$6:$DA$404,42,FALSE)-VLOOKUP($A180,'01-02.2022'!$A$6:$DA$376,42,FALSE)</f>
        <v>216.89996875532395</v>
      </c>
      <c r="AQ180" s="566">
        <f>VLOOKUP($A180,'01-02.2021'!$A$6:$CZ$403,43,FALSE)+VLOOKUP($A180,'1.3.21-28.2.22'!$A$6:$DA$404,43,FALSE)-VLOOKUP($A180,'01-02.2022'!$A$6:$DA$376,43,FALSE)</f>
        <v>186.98520801246201</v>
      </c>
      <c r="AR180" s="70">
        <f t="shared" si="184"/>
        <v>-29.914760742861944</v>
      </c>
      <c r="AS180" s="566">
        <f>VLOOKUP($A180,'01-02.2021'!$A$6:$CZ$403,45,FALSE)+VLOOKUP($A180,'1.3.21-28.2.22'!$A$6:$DA$404,45,FALSE)-VLOOKUP($A180,'01-02.2022'!$A$6:$DA$376,45,FALSE)</f>
        <v>2336.7023472109331</v>
      </c>
      <c r="AT180" s="566">
        <f>VLOOKUP($A180,'01-02.2021'!$A$6:$CZ$403,46,FALSE)+VLOOKUP($A180,'1.3.21-28.2.22'!$A$6:$DA$404,46,FALSE)-VLOOKUP($A180,'01-02.2022'!$A$6:$DA$376,46,FALSE)</f>
        <v>0</v>
      </c>
      <c r="AU180" s="78">
        <f t="shared" si="185"/>
        <v>-2336.7023472109331</v>
      </c>
      <c r="AV180" s="566">
        <f>VLOOKUP($A180,'01-02.2021'!$A$6:$CZ$403,48,FALSE)+VLOOKUP($A180,'1.3.21-28.2.22'!$A$6:$DA$404,48,FALSE)-VLOOKUP($A180,'01-02.2022'!$A$6:$DA$376,48,FALSE)</f>
        <v>0</v>
      </c>
      <c r="AW180" s="566">
        <f>VLOOKUP($A180,'01-02.2021'!$A$6:$CZ$403,49,FALSE)+VLOOKUP($A180,'1.3.21-28.2.22'!$A$6:$DA$404,49,FALSE)-VLOOKUP($A180,'01-02.2022'!$A$6:$DA$376,49,FALSE)</f>
        <v>0</v>
      </c>
      <c r="AX180" s="55">
        <f t="shared" si="186"/>
        <v>0</v>
      </c>
      <c r="AY180" s="566">
        <f>VLOOKUP($A180,'01-02.2021'!$A$6:$CZ$403,51,FALSE)+VLOOKUP($A180,'1.3.21-28.2.22'!$A$6:$DA$404,51,FALSE)-VLOOKUP($A180,'01-02.2022'!$A$6:$DA$376,51,FALSE)</f>
        <v>0</v>
      </c>
      <c r="AZ180" s="566">
        <f>VLOOKUP($A180,'01-02.2021'!$A$6:$CZ$403,52,FALSE)+VLOOKUP($A180,'1.3.21-28.2.22'!$A$6:$DA$404,52,FALSE)-VLOOKUP($A180,'01-02.2022'!$A$6:$DA$376,52,FALSE)</f>
        <v>0</v>
      </c>
      <c r="BA180" s="38">
        <f t="shared" si="187"/>
        <v>0</v>
      </c>
      <c r="BB180" s="566">
        <f>VLOOKUP($A180,'01-02.2021'!$A$6:$CZ$403,54,FALSE)+VLOOKUP($A180,'1.3.21-28.2.22'!$A$6:$DA$404,54,FALSE)-VLOOKUP($A180,'01-02.2022'!$A$6:$DA$376,54,FALSE)</f>
        <v>0</v>
      </c>
      <c r="BC180" s="566">
        <f>VLOOKUP($A180,'01-02.2021'!$A$6:$CZ$403,55,FALSE)+VLOOKUP($A180,'1.3.21-28.2.22'!$A$6:$DA$404,55,FALSE)-VLOOKUP($A180,'01-02.2022'!$A$6:$DA$376,55,FALSE)</f>
        <v>0</v>
      </c>
      <c r="BD180" s="55">
        <f t="shared" si="188"/>
        <v>0</v>
      </c>
      <c r="BE180" s="566">
        <f>VLOOKUP($A180,'01-02.2021'!$A$6:$CZ$403,57,FALSE)+VLOOKUP($A180,'1.3.21-28.2.22'!$A$6:$DA$404,57,FALSE)-VLOOKUP($A180,'01-02.2022'!$A$6:$DA$376,57,FALSE)</f>
        <v>0</v>
      </c>
      <c r="BF180" s="566">
        <f>VLOOKUP($A180,'01-02.2021'!$A$6:$CZ$403,58,FALSE)+VLOOKUP($A180,'1.3.21-28.2.22'!$A$6:$DA$404,58,FALSE)-VLOOKUP($A180,'01-02.2022'!$A$6:$DA$376,58,FALSE)</f>
        <v>0</v>
      </c>
      <c r="BG180" s="55">
        <f t="shared" si="189"/>
        <v>0</v>
      </c>
      <c r="BH180" s="566">
        <f>VLOOKUP($A180,'01-02.2021'!$A$6:$CZ$403,60,FALSE)+VLOOKUP($A180,'1.3.21-28.2.22'!$A$6:$DA$404,60,FALSE)-VLOOKUP($A180,'01-02.2022'!$A$6:$DA$376,60,FALSE)</f>
        <v>0</v>
      </c>
      <c r="BI180" s="566">
        <f>VLOOKUP($A180,'01-02.2021'!$A$6:$CZ$403,61,FALSE)+VLOOKUP($A180,'1.3.21-28.2.22'!$A$6:$DA$404,61,FALSE)-VLOOKUP($A180,'01-02.2022'!$A$6:$DA$376,61,FALSE)</f>
        <v>0</v>
      </c>
      <c r="BJ180" s="55">
        <f t="shared" si="190"/>
        <v>0</v>
      </c>
      <c r="BK180" s="566">
        <f>VLOOKUP($A180,'01-02.2021'!$A$6:$CZ$403,63,FALSE)+VLOOKUP($A180,'1.3.21-28.2.22'!$A$6:$DA$404,63,FALSE)-VLOOKUP($A180,'01-02.2022'!$A$6:$DA$376,63,FALSE)</f>
        <v>0</v>
      </c>
      <c r="BL180" s="566">
        <f>VLOOKUP($A180,'01-02.2021'!$A$6:$CZ$403,64,FALSE)+VLOOKUP($A180,'1.3.21-28.2.22'!$A$6:$DA$404,64,FALSE)-VLOOKUP($A180,'01-02.2022'!$A$6:$DA$376,64,FALSE)</f>
        <v>0</v>
      </c>
      <c r="BM180" s="55">
        <f t="shared" si="191"/>
        <v>0</v>
      </c>
      <c r="BN180" s="566">
        <f>VLOOKUP($A180,'01-02.2021'!$A$6:$CZ$403,66,FALSE)+VLOOKUP($A180,'1.3.21-28.2.22'!$A$6:$DA$404,66,FALSE)-VLOOKUP($A180,'01-02.2022'!$A$6:$DA$376,66,FALSE)</f>
        <v>12.602007714484493</v>
      </c>
      <c r="BO180" s="566">
        <f>VLOOKUP($A180,'01-02.2021'!$A$6:$CZ$403,67,FALSE)+VLOOKUP($A180,'1.3.21-28.2.22'!$A$6:$DA$404,67,FALSE)-VLOOKUP($A180,'01-02.2022'!$A$6:$DA$376,67,FALSE)</f>
        <v>0</v>
      </c>
      <c r="BP180" s="55">
        <f t="shared" si="192"/>
        <v>-12.602007714484493</v>
      </c>
      <c r="BQ180" s="77">
        <f t="shared" si="209"/>
        <v>12.602007714484493</v>
      </c>
      <c r="BR180" s="40">
        <f t="shared" si="210"/>
        <v>0</v>
      </c>
      <c r="BS180" s="55">
        <f t="shared" si="166"/>
        <v>-12.602007714484493</v>
      </c>
      <c r="BT180" s="566">
        <f>VLOOKUP($A180,'01-02.2021'!$A$6:$CZ$403,72,FALSE)+VLOOKUP($A180,'1.3.21-28.2.22'!$A$6:$DA$404,72,FALSE)-VLOOKUP($A180,'01-02.2022'!$A$6:$DA$376,72,FALSE)</f>
        <v>558.29691759794196</v>
      </c>
      <c r="BU180" s="566">
        <f>VLOOKUP($A180,'01-02.2021'!$A$6:$CZ$403,73,FALSE)+VLOOKUP($A180,'1.3.21-28.2.22'!$A$6:$DA$404,73,FALSE)-VLOOKUP($A180,'01-02.2022'!$A$6:$DA$376,73,FALSE)</f>
        <v>866.15606925508473</v>
      </c>
      <c r="BV180" s="70">
        <f t="shared" si="193"/>
        <v>307.85915165714277</v>
      </c>
      <c r="BW180" s="566">
        <f>VLOOKUP($A180,'01-02.2021'!$A$6:$CZ$403,75,FALSE)+VLOOKUP($A180,'1.3.21-28.2.22'!$A$6:$DA$404,75,FALSE)-VLOOKUP($A180,'01-02.2022'!$A$6:$DA$376,75,FALSE)</f>
        <v>0</v>
      </c>
      <c r="BX180" s="566">
        <f>VLOOKUP($A180,'01-02.2021'!$A$6:$CZ$403,76,FALSE)+VLOOKUP($A180,'1.3.21-28.2.22'!$A$6:$DA$404,76,FALSE)-VLOOKUP($A180,'01-02.2022'!$A$6:$DA$376,76,FALSE)</f>
        <v>4.7378102515742579</v>
      </c>
      <c r="BY180" s="70">
        <f t="shared" si="194"/>
        <v>4.7378102515742579</v>
      </c>
      <c r="BZ180" s="566">
        <f>VLOOKUP($A180,'01-02.2021'!$A$6:$CZ$403,78,FALSE)+VLOOKUP($A180,'1.3.21-28.2.22'!$A$6:$DA$404,78,FALSE)-VLOOKUP($A180,'01-02.2022'!$A$6:$DA$376,78,FALSE)</f>
        <v>0</v>
      </c>
      <c r="CA180" s="566">
        <f>VLOOKUP($A180,'01-02.2021'!$A$6:$CZ$403,79,FALSE)+VLOOKUP($A180,'1.3.21-28.2.22'!$A$6:$DA$404,79,FALSE)-VLOOKUP($A180,'01-02.2022'!$A$6:$DA$376,79,FALSE)</f>
        <v>52.816830194569661</v>
      </c>
      <c r="CB180" s="70">
        <f t="shared" si="195"/>
        <v>52.816830194569661</v>
      </c>
      <c r="CC180" s="566">
        <f>VLOOKUP($A180,'01-02.2021'!$A$6:$CZ$403,81,FALSE)+VLOOKUP($A180,'1.3.21-28.2.22'!$A$6:$DA$404,81,FALSE)-VLOOKUP($A180,'01-02.2022'!$A$6:$DA$376,81,FALSE)</f>
        <v>0</v>
      </c>
      <c r="CD180" s="566">
        <f>VLOOKUP($A180,'01-02.2021'!$A$6:$CZ$403,82,FALSE)+VLOOKUP($A180,'1.3.21-28.2.22'!$A$6:$DA$404,82,FALSE)-VLOOKUP($A180,'01-02.2022'!$A$6:$DA$376,82,FALSE)</f>
        <v>0</v>
      </c>
      <c r="CE180" s="70">
        <f t="shared" si="196"/>
        <v>0</v>
      </c>
      <c r="CF180" s="566">
        <f>VLOOKUP($A180,'01-02.2021'!$A$6:$CZ$403,84,FALSE)+VLOOKUP($A180,'1.3.21-28.2.22'!$A$6:$DA$404,84,FALSE)-VLOOKUP($A180,'01-02.2022'!$A$6:$DA$376,84,FALSE)</f>
        <v>0</v>
      </c>
      <c r="CG180" s="566">
        <f>VLOOKUP($A180,'01-02.2021'!$A$6:$CZ$403,85,FALSE)+VLOOKUP($A180,'1.3.21-28.2.22'!$A$6:$DA$404,85,FALSE)-VLOOKUP($A180,'01-02.2022'!$A$6:$DA$376,85,FALSE)</f>
        <v>0</v>
      </c>
      <c r="CH180" s="70">
        <f t="shared" si="197"/>
        <v>0</v>
      </c>
      <c r="CI180" s="566">
        <f>VLOOKUP($A180,'01-02.2021'!$A$6:$CZ$403,87,FALSE)+VLOOKUP($A180,'1.3.21-28.2.22'!$A$6:$DA$404,87,FALSE)-VLOOKUP($A180,'01-02.2022'!$A$6:$DA$376,87,FALSE)</f>
        <v>0</v>
      </c>
      <c r="CJ180" s="566">
        <f>VLOOKUP($A180,'01-02.2021'!$A$6:$CZ$403,88,FALSE)+VLOOKUP($A180,'1.3.21-28.2.22'!$A$6:$DA$404,88,FALSE)-VLOOKUP($A180,'01-02.2022'!$A$6:$DA$376,88,FALSE)</f>
        <v>0</v>
      </c>
      <c r="CK180" s="70">
        <f t="shared" si="198"/>
        <v>0</v>
      </c>
      <c r="CL180" s="566">
        <f>VLOOKUP($A180,'01-02.2021'!$A$6:$CZ$403,90,FALSE)+VLOOKUP($A180,'1.3.21-28.2.22'!$A$6:$DA$404,90,FALSE)-VLOOKUP($A180,'01-02.2022'!$A$6:$DA$376,90,FALSE)</f>
        <v>0</v>
      </c>
      <c r="CM180" s="566">
        <f>VLOOKUP($A180,'01-02.2021'!$A$6:$CZ$403,91,FALSE)+VLOOKUP($A180,'1.3.21-28.2.22'!$A$6:$DA$404,91,FALSE)-VLOOKUP($A180,'01-02.2022'!$A$6:$DA$376,91,FALSE)</f>
        <v>0</v>
      </c>
      <c r="CN180" s="52">
        <f t="shared" si="158"/>
        <v>0</v>
      </c>
      <c r="CO180" s="39">
        <f t="shared" si="153"/>
        <v>0</v>
      </c>
      <c r="CP180" s="40">
        <f t="shared" si="159"/>
        <v>0</v>
      </c>
      <c r="CQ180" s="52">
        <f t="shared" si="160"/>
        <v>0</v>
      </c>
      <c r="CR180" s="72">
        <f t="shared" si="154"/>
        <v>3505.214944324111</v>
      </c>
      <c r="CS180" s="5">
        <f t="shared" si="154"/>
        <v>2072.9972354954161</v>
      </c>
      <c r="CT180" s="52">
        <f t="shared" si="161"/>
        <v>-1432.2177088286949</v>
      </c>
      <c r="CU180" s="77">
        <f t="shared" si="162"/>
        <v>4206.2579331889328</v>
      </c>
      <c r="CV180" s="65">
        <f t="shared" si="163"/>
        <v>2487.5966825944993</v>
      </c>
      <c r="CW180" s="35">
        <f t="shared" si="164"/>
        <v>-1718.6612505944336</v>
      </c>
      <c r="CX180" s="566">
        <f>VLOOKUP($A180,'01-02.2021'!$A$6:$CZ$403,102,FALSE)+VLOOKUP($A180,'1.3.21-28.2.22'!$A$6:$DA$404,102,FALSE)-VLOOKUP($A180,'01-02.2022'!$A$6:$DA$376,102,FALSE)</f>
        <v>146.90614836428631</v>
      </c>
      <c r="CY180" s="566">
        <f>VLOOKUP($A180,'01-02.2021'!$A$6:$CZ$403,103,FALSE)+VLOOKUP($A180,'1.3.21-28.2.22'!$A$6:$DA$404,103,FALSE)-VLOOKUP($A180,'01-02.2022'!$A$6:$DA$376,103,FALSE)</f>
        <v>1865.5673989587199</v>
      </c>
      <c r="CZ180" s="52">
        <f t="shared" si="165"/>
        <v>1718.6612505944336</v>
      </c>
      <c r="DA180" s="150">
        <f>'[2]побудинковий звіт'!DA180</f>
        <v>-8303.4017705669994</v>
      </c>
      <c r="DB180" s="2">
        <v>1</v>
      </c>
      <c r="DC180" s="414">
        <f>'[4]побудинковий звіт'!DC180</f>
        <v>394.26</v>
      </c>
      <c r="DD180" s="414">
        <f>'[4]побудинковий звіт'!DD180</f>
        <v>0</v>
      </c>
      <c r="DE180" s="557">
        <f>'[4]побудинковий звіт'!DE180</f>
        <v>-9.452688160024536E-3</v>
      </c>
      <c r="DF180" s="557">
        <f>'[4]побудинковий звіт'!DF180</f>
        <v>0</v>
      </c>
      <c r="DG180" s="321">
        <f>VLOOKUP(A180,'кошти 01.03.2021'!$A$6:$D$401,4,)</f>
        <v>-6758.0372950720193</v>
      </c>
      <c r="DH180" s="40">
        <f>'[3]побудинковий звіт'!DJ180</f>
        <v>4502.0805950424019</v>
      </c>
      <c r="DI180" s="422">
        <f>'[3]побудинковий звіт'!CU180+'[3]побудинковий звіт'!CX180</f>
        <v>394.26945268816002</v>
      </c>
      <c r="DJ180" s="306">
        <f>'[3]побудинковий звіт'!DM180</f>
        <v>1.8650399843337748</v>
      </c>
      <c r="DK180" s="306">
        <f t="shared" si="213"/>
        <v>1.8650399843337748</v>
      </c>
      <c r="DL180" s="306">
        <f>'[3]побудинковий звіт'!DO180</f>
        <v>1.8650399843337748</v>
      </c>
      <c r="DM180" s="28">
        <f t="shared" si="214"/>
        <v>394.26945268816002</v>
      </c>
      <c r="DN180" s="28">
        <f>H180*DL180</f>
        <v>0</v>
      </c>
      <c r="DO180" s="423">
        <f t="shared" si="171"/>
        <v>394.26945268816002</v>
      </c>
      <c r="DP180" s="94">
        <f t="shared" si="172"/>
        <v>0</v>
      </c>
      <c r="DQ180" s="28">
        <f t="shared" si="173"/>
        <v>394.26945268816002</v>
      </c>
      <c r="DR180" s="318"/>
      <c r="DT180" s="8"/>
      <c r="DU180" s="5"/>
      <c r="DX180" s="5">
        <f t="shared" si="174"/>
        <v>2819.1652259105008</v>
      </c>
      <c r="DY180" s="5">
        <f t="shared" si="175"/>
        <v>0</v>
      </c>
      <c r="DZ180" s="159">
        <f>'[3]побудинковий звіт'!EA180</f>
        <v>265.26964048468335</v>
      </c>
    </row>
    <row r="181" spans="1:130" x14ac:dyDescent="0.3">
      <c r="A181" s="325">
        <v>150001029</v>
      </c>
      <c r="B181" s="41" t="s">
        <v>629</v>
      </c>
      <c r="C181" s="42" t="s">
        <v>369</v>
      </c>
      <c r="D181" s="42"/>
      <c r="E181" s="293">
        <f t="shared" si="149"/>
        <v>7425.1</v>
      </c>
      <c r="F181" s="305">
        <f>'[3]побудинковий звіт'!F181</f>
        <v>7425.1</v>
      </c>
      <c r="G181" s="508">
        <f>'[3]побудинковий звіт'!G181</f>
        <v>926.05</v>
      </c>
      <c r="H181" s="560">
        <f>'[3]побудинковий звіт'!H181</f>
        <v>0</v>
      </c>
      <c r="I181" s="566">
        <f>VLOOKUP($A181,'01-02.2021'!$A$6:$CZ$403,9,FALSE)+VLOOKUP($A181,'1.3.21-28.2.22'!$A$6:$DA$404,9,FALSE)-VLOOKUP($A181,'01-02.2022'!$A$6:$DA$376,9,FALSE)</f>
        <v>19421.039437774973</v>
      </c>
      <c r="J181" s="566">
        <f>VLOOKUP($A181,'01-02.2021'!$A$6:$CZ$403,10,FALSE)+VLOOKUP($A181,'1.3.21-28.2.22'!$A$6:$DA$404,10,FALSE)-VLOOKUP($A181,'01-02.2022'!$A$6:$DA$376,10,FALSE)</f>
        <v>17434.747252758702</v>
      </c>
      <c r="K181" s="52">
        <f t="shared" si="155"/>
        <v>-1986.2921850162711</v>
      </c>
      <c r="L181" s="566">
        <f>VLOOKUP($A181,'01-02.2021'!$A$6:$CZ$403,12,FALSE)+VLOOKUP($A181,'1.3.21-28.2.22'!$A$6:$DA$404,12,FALSE)-VLOOKUP($A181,'01-02.2022'!$A$6:$DA$376,12,FALSE)</f>
        <v>3426.1729347609339</v>
      </c>
      <c r="M181" s="566">
        <f>VLOOKUP($A181,'01-02.2021'!$A$6:$CZ$403,13,FALSE)+VLOOKUP($A181,'1.3.21-28.2.22'!$A$6:$DA$404,13,FALSE)-VLOOKUP($A181,'01-02.2022'!$A$6:$DA$376,13,FALSE)</f>
        <v>3103.4854755900733</v>
      </c>
      <c r="N181" s="52">
        <f t="shared" si="156"/>
        <v>-322.68745917086062</v>
      </c>
      <c r="O181" s="566">
        <f>VLOOKUP($A181,'01-02.2021'!$A$6:$CZ$403,15,FALSE)+VLOOKUP($A181,'1.3.21-28.2.22'!$A$6:$DA$404,15,FALSE)-VLOOKUP($A181,'01-02.2022'!$A$6:$DA$376,15,FALSE)</f>
        <v>11524.273960638859</v>
      </c>
      <c r="P181" s="566">
        <f>VLOOKUP($A181,'01-02.2021'!$A$6:$CZ$403,16,FALSE)+VLOOKUP($A181,'1.3.21-28.2.22'!$A$6:$DA$404,16,FALSE)-VLOOKUP($A181,'01-02.2022'!$A$6:$DA$376,16,FALSE)</f>
        <v>11524.27</v>
      </c>
      <c r="Q181" s="70">
        <f t="shared" si="176"/>
        <v>-3.9606388581887586E-3</v>
      </c>
      <c r="R181" s="566">
        <f>VLOOKUP($A181,'01-02.2021'!$A$6:$CZ$403,18,FALSE)+VLOOKUP($A181,'1.3.21-28.2.22'!$A$6:$DA$404,18,FALSE)-VLOOKUP($A181,'01-02.2022'!$A$6:$DA$376,18,FALSE)</f>
        <v>2147.4132244807915</v>
      </c>
      <c r="S181" s="566">
        <f>VLOOKUP($A181,'01-02.2021'!$A$6:$CZ$403,19,FALSE)+VLOOKUP($A181,'1.3.21-28.2.22'!$A$6:$DA$404,19,FALSE)-VLOOKUP($A181,'01-02.2022'!$A$6:$DA$376,19,FALSE)</f>
        <v>2147.44</v>
      </c>
      <c r="T181" s="70">
        <f t="shared" si="177"/>
        <v>2.6775519208513288E-2</v>
      </c>
      <c r="U181" s="566">
        <f>VLOOKUP($A181,'01-02.2021'!$A$6:$CZ$403,21,FALSE)+VLOOKUP($A181,'1.3.21-28.2.22'!$A$6:$DA$404,21,FALSE)-VLOOKUP($A181,'01-02.2022'!$A$6:$DA$376,21,FALSE)</f>
        <v>2975.7075861517469</v>
      </c>
      <c r="V181" s="566">
        <f>VLOOKUP($A181,'01-02.2021'!$A$6:$CZ$403,22,FALSE)+VLOOKUP($A181,'1.3.21-28.2.22'!$A$6:$DA$404,22,FALSE)-VLOOKUP($A181,'01-02.2022'!$A$6:$DA$376,22,FALSE)</f>
        <v>1938.6090658076396</v>
      </c>
      <c r="W181" s="70">
        <f t="shared" si="178"/>
        <v>-1037.0985203441073</v>
      </c>
      <c r="X181" s="566">
        <f>VLOOKUP($A181,'01-02.2021'!$A$6:$CZ$403,24,FALSE)+VLOOKUP($A181,'1.3.21-28.2.22'!$A$6:$DA$404,24,FALSE)-VLOOKUP($A181,'01-02.2022'!$A$6:$DA$376,24,FALSE)</f>
        <v>13518.246974706284</v>
      </c>
      <c r="Y181" s="566">
        <f>VLOOKUP($A181,'01-02.2021'!$A$6:$CZ$403,25,FALSE)+VLOOKUP($A181,'1.3.21-28.2.22'!$A$6:$DA$404,25,FALSE)-VLOOKUP($A181,'01-02.2022'!$A$6:$DA$376,25,FALSE)</f>
        <v>10812.219156018757</v>
      </c>
      <c r="Z181" s="70">
        <f t="shared" si="179"/>
        <v>-2706.0278186875275</v>
      </c>
      <c r="AA181" s="566">
        <f>VLOOKUP($A181,'01-02.2021'!$A$6:$CZ$403,27,FALSE)+VLOOKUP($A181,'1.3.21-28.2.22'!$A$6:$DA$404,27,FALSE)-VLOOKUP($A181,'01-02.2022'!$A$6:$DA$376,27,FALSE)</f>
        <v>1485.4699999999998</v>
      </c>
      <c r="AB181" s="566">
        <f>VLOOKUP($A181,'01-02.2021'!$A$6:$CZ$403,28,FALSE)+VLOOKUP($A181,'1.3.21-28.2.22'!$A$6:$DA$404,28,FALSE)-VLOOKUP($A181,'01-02.2022'!$A$6:$DA$376,28,FALSE)</f>
        <v>0</v>
      </c>
      <c r="AC181" s="70">
        <f t="shared" si="180"/>
        <v>-1485.4699999999998</v>
      </c>
      <c r="AD181" s="566">
        <f>VLOOKUP($A181,'01-02.2021'!$A$6:$CZ$403,30,FALSE)+VLOOKUP($A181,'1.3.21-28.2.22'!$A$6:$DA$404,30,FALSE)-VLOOKUP($A181,'01-02.2022'!$A$6:$DA$376,30,FALSE)</f>
        <v>31896.983137823481</v>
      </c>
      <c r="AE181" s="566">
        <f>VLOOKUP($A181,'01-02.2021'!$A$6:$CZ$403,31,FALSE)+VLOOKUP($A181,'1.3.21-28.2.22'!$A$6:$DA$404,31,FALSE)-VLOOKUP($A181,'01-02.2022'!$A$6:$DA$376,31,FALSE)</f>
        <v>33800.173710392715</v>
      </c>
      <c r="AF181" s="68">
        <f t="shared" si="181"/>
        <v>1903.1905725692341</v>
      </c>
      <c r="AG181" s="77">
        <f t="shared" si="150"/>
        <v>86395.307256337066</v>
      </c>
      <c r="AH181" s="53">
        <f t="shared" si="150"/>
        <v>80760.944660567882</v>
      </c>
      <c r="AI181" s="52">
        <f t="shared" si="157"/>
        <v>-5634.3625957691838</v>
      </c>
      <c r="AJ181" s="566">
        <f>VLOOKUP($A181,'01-02.2021'!$A$6:$CZ$403,36,FALSE)+VLOOKUP($A181,'1.3.21-28.2.22'!$A$6:$DA$404,36,FALSE)-VLOOKUP($A181,'01-02.2022'!$A$6:$DA$376,36,FALSE)</f>
        <v>65013.93725782229</v>
      </c>
      <c r="AK181" s="566">
        <f>VLOOKUP($A181,'01-02.2021'!$A$6:$CZ$403,37,FALSE)+VLOOKUP($A181,'1.3.21-28.2.22'!$A$6:$DA$404,37,FALSE)-VLOOKUP($A181,'01-02.2022'!$A$6:$DA$376,37,FALSE)</f>
        <v>64587.679936893466</v>
      </c>
      <c r="AL181" s="70">
        <f t="shared" si="182"/>
        <v>-426.2573209288239</v>
      </c>
      <c r="AM181" s="566">
        <f>VLOOKUP($A181,'01-02.2021'!$A$6:$CZ$403,39,FALSE)+VLOOKUP($A181,'1.3.21-28.2.22'!$A$6:$DA$404,39,FALSE)-VLOOKUP($A181,'01-02.2022'!$A$6:$DA$376,39,FALSE)</f>
        <v>525.37471249999999</v>
      </c>
      <c r="AN181" s="566">
        <f>VLOOKUP($A181,'01-02.2021'!$A$6:$CZ$403,40,FALSE)+VLOOKUP($A181,'1.3.21-28.2.22'!$A$6:$DA$404,40,FALSE)-VLOOKUP($A181,'01-02.2022'!$A$6:$DA$376,40,FALSE)</f>
        <v>262.42166909619834</v>
      </c>
      <c r="AO181" s="70">
        <f t="shared" si="183"/>
        <v>-262.95304340380164</v>
      </c>
      <c r="AP181" s="566">
        <f>VLOOKUP($A181,'01-02.2021'!$A$6:$CZ$403,42,FALSE)+VLOOKUP($A181,'1.3.21-28.2.22'!$A$6:$DA$404,42,FALSE)-VLOOKUP($A181,'01-02.2022'!$A$6:$DA$376,42,FALSE)</f>
        <v>5205.599250127776</v>
      </c>
      <c r="AQ181" s="566">
        <f>VLOOKUP($A181,'01-02.2021'!$A$6:$CZ$403,43,FALSE)+VLOOKUP($A181,'1.3.21-28.2.22'!$A$6:$DA$404,43,FALSE)-VLOOKUP($A181,'01-02.2022'!$A$6:$DA$376,43,FALSE)</f>
        <v>4610.054483573881</v>
      </c>
      <c r="AR181" s="70">
        <f t="shared" si="184"/>
        <v>-595.54476655389499</v>
      </c>
      <c r="AS181" s="566">
        <f>VLOOKUP($A181,'01-02.2021'!$A$6:$CZ$403,45,FALSE)+VLOOKUP($A181,'1.3.21-28.2.22'!$A$6:$DA$404,45,FALSE)-VLOOKUP($A181,'01-02.2022'!$A$6:$DA$376,45,FALSE)</f>
        <v>98662.01556123278</v>
      </c>
      <c r="AT181" s="566">
        <f>VLOOKUP($A181,'01-02.2021'!$A$6:$CZ$403,46,FALSE)+VLOOKUP($A181,'1.3.21-28.2.22'!$A$6:$DA$404,46,FALSE)-VLOOKUP($A181,'01-02.2022'!$A$6:$DA$376,46,FALSE)</f>
        <v>102619.54000000001</v>
      </c>
      <c r="AU181" s="78">
        <f t="shared" si="185"/>
        <v>3957.5244387672283</v>
      </c>
      <c r="AV181" s="566">
        <f>VLOOKUP($A181,'01-02.2021'!$A$6:$CZ$403,48,FALSE)+VLOOKUP($A181,'1.3.21-28.2.22'!$A$6:$DA$404,48,FALSE)-VLOOKUP($A181,'01-02.2022'!$A$6:$DA$376,48,FALSE)</f>
        <v>4404.3303682873548</v>
      </c>
      <c r="AW181" s="566">
        <f>VLOOKUP($A181,'01-02.2021'!$A$6:$CZ$403,49,FALSE)+VLOOKUP($A181,'1.3.21-28.2.22'!$A$6:$DA$404,49,FALSE)-VLOOKUP($A181,'01-02.2022'!$A$6:$DA$376,49,FALSE)</f>
        <v>2040.2</v>
      </c>
      <c r="AX181" s="55">
        <f t="shared" si="186"/>
        <v>-2364.1303682873549</v>
      </c>
      <c r="AY181" s="566">
        <f>VLOOKUP($A181,'01-02.2021'!$A$6:$CZ$403,51,FALSE)+VLOOKUP($A181,'1.3.21-28.2.22'!$A$6:$DA$404,51,FALSE)-VLOOKUP($A181,'01-02.2022'!$A$6:$DA$376,51,FALSE)</f>
        <v>5201.8432314979027</v>
      </c>
      <c r="AZ181" s="566">
        <f>VLOOKUP($A181,'01-02.2021'!$A$6:$CZ$403,52,FALSE)+VLOOKUP($A181,'1.3.21-28.2.22'!$A$6:$DA$404,52,FALSE)-VLOOKUP($A181,'01-02.2022'!$A$6:$DA$376,52,FALSE)</f>
        <v>9914.36</v>
      </c>
      <c r="BA181" s="38">
        <f t="shared" si="187"/>
        <v>4712.5167685020979</v>
      </c>
      <c r="BB181" s="566">
        <f>VLOOKUP($A181,'01-02.2021'!$A$6:$CZ$403,54,FALSE)+VLOOKUP($A181,'1.3.21-28.2.22'!$A$6:$DA$404,54,FALSE)-VLOOKUP($A181,'01-02.2022'!$A$6:$DA$376,54,FALSE)</f>
        <v>2983.4397066171468</v>
      </c>
      <c r="BC181" s="566">
        <f>VLOOKUP($A181,'01-02.2021'!$A$6:$CZ$403,55,FALSE)+VLOOKUP($A181,'1.3.21-28.2.22'!$A$6:$DA$404,55,FALSE)-VLOOKUP($A181,'01-02.2022'!$A$6:$DA$376,55,FALSE)</f>
        <v>0</v>
      </c>
      <c r="BD181" s="55">
        <f t="shared" si="188"/>
        <v>-2983.4397066171468</v>
      </c>
      <c r="BE181" s="566">
        <f>VLOOKUP($A181,'01-02.2021'!$A$6:$CZ$403,57,FALSE)+VLOOKUP($A181,'1.3.21-28.2.22'!$A$6:$DA$404,57,FALSE)-VLOOKUP($A181,'01-02.2022'!$A$6:$DA$376,57,FALSE)</f>
        <v>4435.9110458718815</v>
      </c>
      <c r="BF181" s="566">
        <f>VLOOKUP($A181,'01-02.2021'!$A$6:$CZ$403,58,FALSE)+VLOOKUP($A181,'1.3.21-28.2.22'!$A$6:$DA$404,58,FALSE)-VLOOKUP($A181,'01-02.2022'!$A$6:$DA$376,58,FALSE)</f>
        <v>0</v>
      </c>
      <c r="BG181" s="55">
        <f t="shared" si="189"/>
        <v>-4435.9110458718815</v>
      </c>
      <c r="BH181" s="566">
        <f>VLOOKUP($A181,'01-02.2021'!$A$6:$CZ$403,60,FALSE)+VLOOKUP($A181,'1.3.21-28.2.22'!$A$6:$DA$404,60,FALSE)-VLOOKUP($A181,'01-02.2022'!$A$6:$DA$376,60,FALSE)</f>
        <v>5653.6712127560213</v>
      </c>
      <c r="BI181" s="566">
        <f>VLOOKUP($A181,'01-02.2021'!$A$6:$CZ$403,61,FALSE)+VLOOKUP($A181,'1.3.21-28.2.22'!$A$6:$DA$404,61,FALSE)-VLOOKUP($A181,'01-02.2022'!$A$6:$DA$376,61,FALSE)</f>
        <v>0</v>
      </c>
      <c r="BJ181" s="55">
        <f t="shared" si="190"/>
        <v>-5653.6712127560213</v>
      </c>
      <c r="BK181" s="566">
        <f>VLOOKUP($A181,'01-02.2021'!$A$6:$CZ$403,63,FALSE)+VLOOKUP($A181,'1.3.21-28.2.22'!$A$6:$DA$404,63,FALSE)-VLOOKUP($A181,'01-02.2022'!$A$6:$DA$376,63,FALSE)</f>
        <v>3667.9517519176134</v>
      </c>
      <c r="BL181" s="566">
        <f>VLOOKUP($A181,'01-02.2021'!$A$6:$CZ$403,64,FALSE)+VLOOKUP($A181,'1.3.21-28.2.22'!$A$6:$DA$404,64,FALSE)-VLOOKUP($A181,'01-02.2022'!$A$6:$DA$376,64,FALSE)</f>
        <v>0</v>
      </c>
      <c r="BM181" s="55">
        <f t="shared" si="191"/>
        <v>-3667.9517519176134</v>
      </c>
      <c r="BN181" s="566">
        <f>VLOOKUP($A181,'01-02.2021'!$A$6:$CZ$403,66,FALSE)+VLOOKUP($A181,'1.3.21-28.2.22'!$A$6:$DA$404,66,FALSE)-VLOOKUP($A181,'01-02.2022'!$A$6:$DA$376,66,FALSE)</f>
        <v>751.79243607555532</v>
      </c>
      <c r="BO181" s="566">
        <f>VLOOKUP($A181,'01-02.2021'!$A$6:$CZ$403,67,FALSE)+VLOOKUP($A181,'1.3.21-28.2.22'!$A$6:$DA$404,67,FALSE)-VLOOKUP($A181,'01-02.2022'!$A$6:$DA$376,67,FALSE)</f>
        <v>0</v>
      </c>
      <c r="BP181" s="55">
        <f t="shared" si="192"/>
        <v>-751.79243607555532</v>
      </c>
      <c r="BQ181" s="77">
        <f t="shared" si="209"/>
        <v>27098.939753023478</v>
      </c>
      <c r="BR181" s="40">
        <f t="shared" si="210"/>
        <v>11954.560000000001</v>
      </c>
      <c r="BS181" s="55">
        <f t="shared" si="166"/>
        <v>-15144.379753023477</v>
      </c>
      <c r="BT181" s="566">
        <f>VLOOKUP($A181,'01-02.2021'!$A$6:$CZ$403,72,FALSE)+VLOOKUP($A181,'1.3.21-28.2.22'!$A$6:$DA$404,72,FALSE)-VLOOKUP($A181,'01-02.2022'!$A$6:$DA$376,72,FALSE)</f>
        <v>94709.666187567898</v>
      </c>
      <c r="BU181" s="566">
        <f>VLOOKUP($A181,'01-02.2021'!$A$6:$CZ$403,73,FALSE)+VLOOKUP($A181,'1.3.21-28.2.22'!$A$6:$DA$404,73,FALSE)-VLOOKUP($A181,'01-02.2022'!$A$6:$DA$376,73,FALSE)</f>
        <v>105141.12178251687</v>
      </c>
      <c r="BV181" s="70">
        <f t="shared" si="193"/>
        <v>10431.455594948973</v>
      </c>
      <c r="BW181" s="566">
        <f>VLOOKUP($A181,'01-02.2021'!$A$6:$CZ$403,75,FALSE)+VLOOKUP($A181,'1.3.21-28.2.22'!$A$6:$DA$404,75,FALSE)-VLOOKUP($A181,'01-02.2022'!$A$6:$DA$376,75,FALSE)</f>
        <v>42013.38704098075</v>
      </c>
      <c r="BX181" s="566">
        <f>VLOOKUP($A181,'01-02.2021'!$A$6:$CZ$403,76,FALSE)+VLOOKUP($A181,'1.3.21-28.2.22'!$A$6:$DA$404,76,FALSE)-VLOOKUP($A181,'01-02.2022'!$A$6:$DA$376,76,FALSE)</f>
        <v>46690.801667086067</v>
      </c>
      <c r="BY181" s="70">
        <f t="shared" si="194"/>
        <v>4677.4146261053174</v>
      </c>
      <c r="BZ181" s="566">
        <f>VLOOKUP($A181,'01-02.2021'!$A$6:$CZ$403,78,FALSE)+VLOOKUP($A181,'1.3.21-28.2.22'!$A$6:$DA$404,78,FALSE)-VLOOKUP($A181,'01-02.2022'!$A$6:$DA$376,78,FALSE)</f>
        <v>29654.624544667353</v>
      </c>
      <c r="CA181" s="566">
        <f>VLOOKUP($A181,'01-02.2021'!$A$6:$CZ$403,79,FALSE)+VLOOKUP($A181,'1.3.21-28.2.22'!$A$6:$DA$404,79,FALSE)-VLOOKUP($A181,'01-02.2022'!$A$6:$DA$376,79,FALSE)</f>
        <v>25329.715626627112</v>
      </c>
      <c r="CB181" s="70">
        <f t="shared" si="195"/>
        <v>-4324.9089180402407</v>
      </c>
      <c r="CC181" s="566">
        <f>VLOOKUP($A181,'01-02.2021'!$A$6:$CZ$403,81,FALSE)+VLOOKUP($A181,'1.3.21-28.2.22'!$A$6:$DA$404,81,FALSE)-VLOOKUP($A181,'01-02.2022'!$A$6:$DA$376,81,FALSE)</f>
        <v>2011.290078138456</v>
      </c>
      <c r="CD181" s="566">
        <f>VLOOKUP($A181,'01-02.2021'!$A$6:$CZ$403,82,FALSE)+VLOOKUP($A181,'1.3.21-28.2.22'!$A$6:$DA$404,82,FALSE)-VLOOKUP($A181,'01-02.2022'!$A$6:$DA$376,82,FALSE)</f>
        <v>2190.498578705623</v>
      </c>
      <c r="CE181" s="70">
        <f t="shared" si="196"/>
        <v>179.20850056716699</v>
      </c>
      <c r="CF181" s="566">
        <f>VLOOKUP($A181,'01-02.2021'!$A$6:$CZ$403,84,FALSE)+VLOOKUP($A181,'1.3.21-28.2.22'!$A$6:$DA$404,84,FALSE)-VLOOKUP($A181,'01-02.2022'!$A$6:$DA$376,84,FALSE)</f>
        <v>243.64311546297282</v>
      </c>
      <c r="CG181" s="566">
        <f>VLOOKUP($A181,'01-02.2021'!$A$6:$CZ$403,85,FALSE)+VLOOKUP($A181,'1.3.21-28.2.22'!$A$6:$DA$404,85,FALSE)-VLOOKUP($A181,'01-02.2022'!$A$6:$DA$376,85,FALSE)</f>
        <v>0</v>
      </c>
      <c r="CH181" s="70">
        <f t="shared" si="197"/>
        <v>-243.64311546297282</v>
      </c>
      <c r="CI181" s="566">
        <f>VLOOKUP($A181,'01-02.2021'!$A$6:$CZ$403,87,FALSE)+VLOOKUP($A181,'1.3.21-28.2.22'!$A$6:$DA$404,87,FALSE)-VLOOKUP($A181,'01-02.2022'!$A$6:$DA$376,87,FALSE)</f>
        <v>27605.756218466562</v>
      </c>
      <c r="CJ181" s="566">
        <f>VLOOKUP($A181,'01-02.2021'!$A$6:$CZ$403,88,FALSE)+VLOOKUP($A181,'1.3.21-28.2.22'!$A$6:$DA$404,88,FALSE)-VLOOKUP($A181,'01-02.2022'!$A$6:$DA$376,88,FALSE)</f>
        <v>23890.061018543052</v>
      </c>
      <c r="CK181" s="70">
        <f t="shared" si="198"/>
        <v>-3715.6951999235098</v>
      </c>
      <c r="CL181" s="566">
        <f>VLOOKUP($A181,'01-02.2021'!$A$6:$CZ$403,90,FALSE)+VLOOKUP($A181,'1.3.21-28.2.22'!$A$6:$DA$404,90,FALSE)-VLOOKUP($A181,'01-02.2022'!$A$6:$DA$376,90,FALSE)</f>
        <v>11035.71137141639</v>
      </c>
      <c r="CM181" s="566">
        <f>VLOOKUP($A181,'01-02.2021'!$A$6:$CZ$403,91,FALSE)+VLOOKUP($A181,'1.3.21-28.2.22'!$A$6:$DA$404,91,FALSE)-VLOOKUP($A181,'01-02.2022'!$A$6:$DA$376,91,FALSE)</f>
        <v>10845.210935904714</v>
      </c>
      <c r="CN181" s="52">
        <f t="shared" si="158"/>
        <v>-190.50043551167619</v>
      </c>
      <c r="CO181" s="39">
        <f t="shared" si="153"/>
        <v>38641.467589882952</v>
      </c>
      <c r="CP181" s="40">
        <f t="shared" si="159"/>
        <v>34735.271954447766</v>
      </c>
      <c r="CQ181" s="52">
        <f t="shared" si="160"/>
        <v>-3906.195635435186</v>
      </c>
      <c r="CR181" s="72">
        <f t="shared" si="154"/>
        <v>490175.25234774384</v>
      </c>
      <c r="CS181" s="5">
        <f t="shared" si="154"/>
        <v>478882.61035951495</v>
      </c>
      <c r="CT181" s="52">
        <f t="shared" si="161"/>
        <v>-11292.64198822889</v>
      </c>
      <c r="CU181" s="77">
        <f t="shared" si="162"/>
        <v>588210.30281729263</v>
      </c>
      <c r="CV181" s="65">
        <f t="shared" si="163"/>
        <v>574659.13243141794</v>
      </c>
      <c r="CW181" s="35">
        <f t="shared" si="164"/>
        <v>-13551.170385874691</v>
      </c>
      <c r="CX181" s="566">
        <f>VLOOKUP($A181,'01-02.2021'!$A$6:$CZ$403,102,FALSE)+VLOOKUP($A181,'1.3.21-28.2.22'!$A$6:$DA$404,102,FALSE)-VLOOKUP($A181,'01-02.2022'!$A$6:$DA$376,102,FALSE)</f>
        <v>20513.682867755768</v>
      </c>
      <c r="CY181" s="566">
        <f>VLOOKUP($A181,'01-02.2021'!$A$6:$CZ$403,103,FALSE)+VLOOKUP($A181,'1.3.21-28.2.22'!$A$6:$DA$404,103,FALSE)-VLOOKUP($A181,'01-02.2022'!$A$6:$DA$376,103,FALSE)</f>
        <v>34064.853253630507</v>
      </c>
      <c r="CZ181" s="52">
        <f t="shared" si="165"/>
        <v>13551.170385874739</v>
      </c>
      <c r="DA181" s="150">
        <f>'[2]побудинковий звіт'!DA181</f>
        <v>-23894.716925053886</v>
      </c>
      <c r="DB181" s="2">
        <v>1</v>
      </c>
      <c r="DC181" s="414">
        <f>'[4]побудинковий звіт'!DC181</f>
        <v>76636.22</v>
      </c>
      <c r="DD181" s="414">
        <f>'[4]побудинковий звіт'!DD181</f>
        <v>0</v>
      </c>
      <c r="DE181" s="557">
        <f>'[4]побудинковий звіт'!DE181</f>
        <v>21342.03975503199</v>
      </c>
      <c r="DF181" s="557">
        <f>'[4]побудинковий звіт'!DF181</f>
        <v>0</v>
      </c>
      <c r="DG181" s="321">
        <f>VLOOKUP(A181,'кошти 01.03.2021'!$A$6:$D$401,4,)</f>
        <v>17838.760630588476</v>
      </c>
      <c r="DH181" s="40">
        <f>'[3]побудинковий звіт'!DJ181</f>
        <v>630324.90725455829</v>
      </c>
      <c r="DI181" s="422">
        <f>'[3]побудинковий звіт'!CU181+'[3]побудинковий звіт'!CX181</f>
        <v>55294.180244968011</v>
      </c>
      <c r="DJ181" s="306">
        <f>'[3]побудинковий звіт'!DM181</f>
        <v>6.3200055743525345</v>
      </c>
      <c r="DK181" s="306">
        <f>'[3]побудинковий звіт'!DN181</f>
        <v>7.6075024938781581</v>
      </c>
      <c r="DL181" s="306">
        <f>'[3]побудинковий звіт'!DO181</f>
        <v>5.7199924102816881</v>
      </c>
      <c r="DM181" s="28">
        <f t="shared" ref="DM181:DM182" si="215">DJ181*G181+(F181-G181)*DK181</f>
        <v>55294.180244968011</v>
      </c>
      <c r="DN181" s="28">
        <f>DL181*H181</f>
        <v>0</v>
      </c>
      <c r="DO181" s="423">
        <f t="shared" si="171"/>
        <v>55294.180244968011</v>
      </c>
      <c r="DP181" s="94">
        <f t="shared" si="172"/>
        <v>0</v>
      </c>
      <c r="DQ181" s="28">
        <f t="shared" si="173"/>
        <v>55294.180244968011</v>
      </c>
      <c r="DR181" s="318"/>
      <c r="DT181" s="8"/>
      <c r="DU181" s="5"/>
      <c r="DX181" s="5">
        <f t="shared" si="174"/>
        <v>150913.14637710751</v>
      </c>
      <c r="DY181" s="5">
        <f t="shared" si="175"/>
        <v>137488.92000000001</v>
      </c>
      <c r="DZ181" s="159">
        <f>'[3]побудинковий звіт'!EA181</f>
        <v>14188.027500055161</v>
      </c>
    </row>
    <row r="182" spans="1:130" x14ac:dyDescent="0.3">
      <c r="A182" s="325">
        <v>150001030</v>
      </c>
      <c r="B182" s="41" t="s">
        <v>630</v>
      </c>
      <c r="C182" s="42" t="s">
        <v>336</v>
      </c>
      <c r="D182" s="42"/>
      <c r="E182" s="293">
        <f t="shared" si="149"/>
        <v>6125.75</v>
      </c>
      <c r="F182" s="305">
        <f>'[3]побудинковий звіт'!F182</f>
        <v>6125.75</v>
      </c>
      <c r="G182" s="508">
        <f>'[3]побудинковий звіт'!G182</f>
        <v>715.15</v>
      </c>
      <c r="H182" s="560">
        <f>'[3]побудинковий звіт'!H182</f>
        <v>0</v>
      </c>
      <c r="I182" s="566">
        <f>VLOOKUP($A182,'01-02.2021'!$A$6:$CZ$403,9,FALSE)+VLOOKUP($A182,'1.3.21-28.2.22'!$A$6:$DA$404,9,FALSE)-VLOOKUP($A182,'01-02.2022'!$A$6:$DA$376,9,FALSE)</f>
        <v>9475.5485796588491</v>
      </c>
      <c r="J182" s="566">
        <f>VLOOKUP($A182,'01-02.2021'!$A$6:$CZ$403,10,FALSE)+VLOOKUP($A182,'1.3.21-28.2.22'!$A$6:$DA$404,10,FALSE)-VLOOKUP($A182,'01-02.2022'!$A$6:$DA$376,10,FALSE)</f>
        <v>8862.6733365866239</v>
      </c>
      <c r="K182" s="52">
        <f t="shared" si="155"/>
        <v>-612.8752430722252</v>
      </c>
      <c r="L182" s="566">
        <f>VLOOKUP($A182,'01-02.2021'!$A$6:$CZ$403,12,FALSE)+VLOOKUP($A182,'1.3.21-28.2.22'!$A$6:$DA$404,12,FALSE)-VLOOKUP($A182,'01-02.2022'!$A$6:$DA$376,12,FALSE)</f>
        <v>2738.1752049630809</v>
      </c>
      <c r="M182" s="566">
        <f>VLOOKUP($A182,'01-02.2021'!$A$6:$CZ$403,13,FALSE)+VLOOKUP($A182,'1.3.21-28.2.22'!$A$6:$DA$404,13,FALSE)-VLOOKUP($A182,'01-02.2022'!$A$6:$DA$376,13,FALSE)</f>
        <v>2481.09731018804</v>
      </c>
      <c r="N182" s="52">
        <f t="shared" si="156"/>
        <v>-257.07789477504093</v>
      </c>
      <c r="O182" s="566">
        <f>VLOOKUP($A182,'01-02.2021'!$A$6:$CZ$403,15,FALSE)+VLOOKUP($A182,'1.3.21-28.2.22'!$A$6:$DA$404,15,FALSE)-VLOOKUP($A182,'01-02.2022'!$A$6:$DA$376,15,FALSE)</f>
        <v>8721.037960521182</v>
      </c>
      <c r="P182" s="566">
        <f>VLOOKUP($A182,'01-02.2021'!$A$6:$CZ$403,16,FALSE)+VLOOKUP($A182,'1.3.21-28.2.22'!$A$6:$DA$404,16,FALSE)-VLOOKUP($A182,'01-02.2022'!$A$6:$DA$376,16,FALSE)</f>
        <v>8721.0399999999991</v>
      </c>
      <c r="Q182" s="70">
        <f t="shared" si="176"/>
        <v>2.0394788170960965E-3</v>
      </c>
      <c r="R182" s="566">
        <f>VLOOKUP($A182,'01-02.2021'!$A$6:$CZ$403,18,FALSE)+VLOOKUP($A182,'1.3.21-28.2.22'!$A$6:$DA$404,18,FALSE)-VLOOKUP($A182,'01-02.2022'!$A$6:$DA$376,18,FALSE)</f>
        <v>1776.8262214516335</v>
      </c>
      <c r="S182" s="566">
        <f>VLOOKUP($A182,'01-02.2021'!$A$6:$CZ$403,19,FALSE)+VLOOKUP($A182,'1.3.21-28.2.22'!$A$6:$DA$404,19,FALSE)-VLOOKUP($A182,'01-02.2022'!$A$6:$DA$376,19,FALSE)</f>
        <v>1776.8599999999997</v>
      </c>
      <c r="T182" s="70">
        <f t="shared" si="177"/>
        <v>3.377854836617189E-2</v>
      </c>
      <c r="U182" s="566">
        <f>VLOOKUP($A182,'01-02.2021'!$A$6:$CZ$403,21,FALSE)+VLOOKUP($A182,'1.3.21-28.2.22'!$A$6:$DA$404,21,FALSE)-VLOOKUP($A182,'01-02.2022'!$A$6:$DA$376,21,FALSE)</f>
        <v>938.45738323650767</v>
      </c>
      <c r="V182" s="566">
        <f>VLOOKUP($A182,'01-02.2021'!$A$6:$CZ$403,22,FALSE)+VLOOKUP($A182,'1.3.21-28.2.22'!$A$6:$DA$404,22,FALSE)-VLOOKUP($A182,'01-02.2022'!$A$6:$DA$376,22,FALSE)</f>
        <v>611.40006455175956</v>
      </c>
      <c r="W182" s="70">
        <f t="shared" si="178"/>
        <v>-327.05731868474811</v>
      </c>
      <c r="X182" s="566">
        <f>VLOOKUP($A182,'01-02.2021'!$A$6:$CZ$403,24,FALSE)+VLOOKUP($A182,'1.3.21-28.2.22'!$A$6:$DA$404,24,FALSE)-VLOOKUP($A182,'01-02.2022'!$A$6:$DA$376,24,FALSE)</f>
        <v>11124.655946189692</v>
      </c>
      <c r="Y182" s="566">
        <f>VLOOKUP($A182,'01-02.2021'!$A$6:$CZ$403,25,FALSE)+VLOOKUP($A182,'1.3.21-28.2.22'!$A$6:$DA$404,25,FALSE)-VLOOKUP($A182,'01-02.2022'!$A$6:$DA$376,25,FALSE)</f>
        <v>8527.0633990247352</v>
      </c>
      <c r="Z182" s="70">
        <f t="shared" si="179"/>
        <v>-2597.5925471649571</v>
      </c>
      <c r="AA182" s="566">
        <f>VLOOKUP($A182,'01-02.2021'!$A$6:$CZ$403,27,FALSE)+VLOOKUP($A182,'1.3.21-28.2.22'!$A$6:$DA$404,27,FALSE)-VLOOKUP($A182,'01-02.2022'!$A$6:$DA$376,27,FALSE)</f>
        <v>1225.27</v>
      </c>
      <c r="AB182" s="566">
        <f>VLOOKUP($A182,'01-02.2021'!$A$6:$CZ$403,28,FALSE)+VLOOKUP($A182,'1.3.21-28.2.22'!$A$6:$DA$404,28,FALSE)-VLOOKUP($A182,'01-02.2022'!$A$6:$DA$376,28,FALSE)</f>
        <v>0</v>
      </c>
      <c r="AC182" s="70">
        <f t="shared" si="180"/>
        <v>-1225.27</v>
      </c>
      <c r="AD182" s="566">
        <f>VLOOKUP($A182,'01-02.2021'!$A$6:$CZ$403,30,FALSE)+VLOOKUP($A182,'1.3.21-28.2.22'!$A$6:$DA$404,30,FALSE)-VLOOKUP($A182,'01-02.2022'!$A$6:$DA$376,30,FALSE)</f>
        <v>26312.918685553272</v>
      </c>
      <c r="AE182" s="566">
        <f>VLOOKUP($A182,'01-02.2021'!$A$6:$CZ$403,31,FALSE)+VLOOKUP($A182,'1.3.21-28.2.22'!$A$6:$DA$404,31,FALSE)-VLOOKUP($A182,'01-02.2022'!$A$6:$DA$376,31,FALSE)</f>
        <v>27884.426724137022</v>
      </c>
      <c r="AF182" s="68">
        <f t="shared" si="181"/>
        <v>1571.50803858375</v>
      </c>
      <c r="AG182" s="77">
        <f t="shared" si="150"/>
        <v>62312.889981574219</v>
      </c>
      <c r="AH182" s="53">
        <f t="shared" si="150"/>
        <v>58864.560834488177</v>
      </c>
      <c r="AI182" s="52">
        <f t="shared" si="157"/>
        <v>-3448.3291470860422</v>
      </c>
      <c r="AJ182" s="566">
        <f>VLOOKUP($A182,'01-02.2021'!$A$6:$CZ$403,36,FALSE)+VLOOKUP($A182,'1.3.21-28.2.22'!$A$6:$DA$404,36,FALSE)-VLOOKUP($A182,'01-02.2022'!$A$6:$DA$376,36,FALSE)</f>
        <v>68051.267938317411</v>
      </c>
      <c r="AK182" s="566">
        <f>VLOOKUP($A182,'01-02.2021'!$A$6:$CZ$403,37,FALSE)+VLOOKUP($A182,'1.3.21-28.2.22'!$A$6:$DA$404,37,FALSE)-VLOOKUP($A182,'01-02.2022'!$A$6:$DA$376,37,FALSE)</f>
        <v>67605.100023103878</v>
      </c>
      <c r="AL182" s="70">
        <f t="shared" si="182"/>
        <v>-446.16791521353298</v>
      </c>
      <c r="AM182" s="566">
        <f>VLOOKUP($A182,'01-02.2021'!$A$6:$CZ$403,39,FALSE)+VLOOKUP($A182,'1.3.21-28.2.22'!$A$6:$DA$404,39,FALSE)-VLOOKUP($A182,'01-02.2022'!$A$6:$DA$376,39,FALSE)</f>
        <v>525.37471249999999</v>
      </c>
      <c r="AN182" s="566">
        <f>VLOOKUP($A182,'01-02.2021'!$A$6:$CZ$403,40,FALSE)+VLOOKUP($A182,'1.3.21-28.2.22'!$A$6:$DA$404,40,FALSE)-VLOOKUP($A182,'01-02.2022'!$A$6:$DA$376,40,FALSE)</f>
        <v>0</v>
      </c>
      <c r="AO182" s="70">
        <f t="shared" si="183"/>
        <v>-525.37471249999999</v>
      </c>
      <c r="AP182" s="566">
        <f>VLOOKUP($A182,'01-02.2021'!$A$6:$CZ$403,42,FALSE)+VLOOKUP($A182,'1.3.21-28.2.22'!$A$6:$DA$404,42,FALSE)-VLOOKUP($A182,'01-02.2022'!$A$6:$DA$376,42,FALSE)</f>
        <v>4424.7593626086082</v>
      </c>
      <c r="AQ182" s="566">
        <f>VLOOKUP($A182,'01-02.2021'!$A$6:$CZ$403,43,FALSE)+VLOOKUP($A182,'1.3.21-28.2.22'!$A$6:$DA$404,43,FALSE)-VLOOKUP($A182,'01-02.2022'!$A$6:$DA$376,43,FALSE)</f>
        <v>3811.5532658693651</v>
      </c>
      <c r="AR182" s="70">
        <f t="shared" si="184"/>
        <v>-613.20609673924309</v>
      </c>
      <c r="AS182" s="566">
        <f>VLOOKUP($A182,'01-02.2021'!$A$6:$CZ$403,45,FALSE)+VLOOKUP($A182,'1.3.21-28.2.22'!$A$6:$DA$404,45,FALSE)-VLOOKUP($A182,'01-02.2022'!$A$6:$DA$376,45,FALSE)</f>
        <v>87393.863077896181</v>
      </c>
      <c r="AT182" s="566">
        <f>VLOOKUP($A182,'01-02.2021'!$A$6:$CZ$403,46,FALSE)+VLOOKUP($A182,'1.3.21-28.2.22'!$A$6:$DA$404,46,FALSE)-VLOOKUP($A182,'01-02.2022'!$A$6:$DA$376,46,FALSE)</f>
        <v>68453.51621940051</v>
      </c>
      <c r="AU182" s="78">
        <f t="shared" si="185"/>
        <v>-18940.346858495672</v>
      </c>
      <c r="AV182" s="566">
        <f>VLOOKUP($A182,'01-02.2021'!$A$6:$CZ$403,48,FALSE)+VLOOKUP($A182,'1.3.21-28.2.22'!$A$6:$DA$404,48,FALSE)-VLOOKUP($A182,'01-02.2022'!$A$6:$DA$376,48,FALSE)</f>
        <v>2007.9551088978415</v>
      </c>
      <c r="AW182" s="566">
        <f>VLOOKUP($A182,'01-02.2021'!$A$6:$CZ$403,49,FALSE)+VLOOKUP($A182,'1.3.21-28.2.22'!$A$6:$DA$404,49,FALSE)-VLOOKUP($A182,'01-02.2022'!$A$6:$DA$376,49,FALSE)</f>
        <v>1646.02</v>
      </c>
      <c r="AX182" s="55">
        <f t="shared" si="186"/>
        <v>-361.93510889784147</v>
      </c>
      <c r="AY182" s="566">
        <f>VLOOKUP($A182,'01-02.2021'!$A$6:$CZ$403,51,FALSE)+VLOOKUP($A182,'1.3.21-28.2.22'!$A$6:$DA$404,51,FALSE)-VLOOKUP($A182,'01-02.2022'!$A$6:$DA$376,51,FALSE)</f>
        <v>3434.6494515247882</v>
      </c>
      <c r="AZ182" s="566">
        <f>VLOOKUP($A182,'01-02.2021'!$A$6:$CZ$403,52,FALSE)+VLOOKUP($A182,'1.3.21-28.2.22'!$A$6:$DA$404,52,FALSE)-VLOOKUP($A182,'01-02.2022'!$A$6:$DA$376,52,FALSE)</f>
        <v>1515.33</v>
      </c>
      <c r="BA182" s="38">
        <f t="shared" si="187"/>
        <v>-1919.3194515247883</v>
      </c>
      <c r="BB182" s="566">
        <f>VLOOKUP($A182,'01-02.2021'!$A$6:$CZ$403,54,FALSE)+VLOOKUP($A182,'1.3.21-28.2.22'!$A$6:$DA$404,54,FALSE)-VLOOKUP($A182,'01-02.2022'!$A$6:$DA$376,54,FALSE)</f>
        <v>1414.462504936409</v>
      </c>
      <c r="BC182" s="566">
        <f>VLOOKUP($A182,'01-02.2021'!$A$6:$CZ$403,55,FALSE)+VLOOKUP($A182,'1.3.21-28.2.22'!$A$6:$DA$404,55,FALSE)-VLOOKUP($A182,'01-02.2022'!$A$6:$DA$376,55,FALSE)</f>
        <v>0</v>
      </c>
      <c r="BD182" s="55">
        <f t="shared" si="188"/>
        <v>-1414.462504936409</v>
      </c>
      <c r="BE182" s="566">
        <f>VLOOKUP($A182,'01-02.2021'!$A$6:$CZ$403,57,FALSE)+VLOOKUP($A182,'1.3.21-28.2.22'!$A$6:$DA$404,57,FALSE)-VLOOKUP($A182,'01-02.2022'!$A$6:$DA$376,57,FALSE)</f>
        <v>3341.6295654175742</v>
      </c>
      <c r="BF182" s="566">
        <f>VLOOKUP($A182,'01-02.2021'!$A$6:$CZ$403,58,FALSE)+VLOOKUP($A182,'1.3.21-28.2.22'!$A$6:$DA$404,58,FALSE)-VLOOKUP($A182,'01-02.2022'!$A$6:$DA$376,58,FALSE)</f>
        <v>0</v>
      </c>
      <c r="BG182" s="55">
        <f t="shared" si="189"/>
        <v>-3341.6295654175742</v>
      </c>
      <c r="BH182" s="566">
        <f>VLOOKUP($A182,'01-02.2021'!$A$6:$CZ$403,60,FALSE)+VLOOKUP($A182,'1.3.21-28.2.22'!$A$6:$DA$404,60,FALSE)-VLOOKUP($A182,'01-02.2022'!$A$6:$DA$376,60,FALSE)</f>
        <v>1654.0282213699832</v>
      </c>
      <c r="BI182" s="566">
        <f>VLOOKUP($A182,'01-02.2021'!$A$6:$CZ$403,61,FALSE)+VLOOKUP($A182,'1.3.21-28.2.22'!$A$6:$DA$404,61,FALSE)-VLOOKUP($A182,'01-02.2022'!$A$6:$DA$376,61,FALSE)</f>
        <v>0</v>
      </c>
      <c r="BJ182" s="55">
        <f t="shared" si="190"/>
        <v>-1654.0282213699832</v>
      </c>
      <c r="BK182" s="566">
        <f>VLOOKUP($A182,'01-02.2021'!$A$6:$CZ$403,63,FALSE)+VLOOKUP($A182,'1.3.21-28.2.22'!$A$6:$DA$404,63,FALSE)-VLOOKUP($A182,'01-02.2022'!$A$6:$DA$376,63,FALSE)</f>
        <v>2206.4285856158967</v>
      </c>
      <c r="BL182" s="566">
        <f>VLOOKUP($A182,'01-02.2021'!$A$6:$CZ$403,64,FALSE)+VLOOKUP($A182,'1.3.21-28.2.22'!$A$6:$DA$404,64,FALSE)-VLOOKUP($A182,'01-02.2022'!$A$6:$DA$376,64,FALSE)</f>
        <v>1006</v>
      </c>
      <c r="BM182" s="55">
        <f t="shared" si="191"/>
        <v>-1200.4285856158967</v>
      </c>
      <c r="BN182" s="566">
        <f>VLOOKUP($A182,'01-02.2021'!$A$6:$CZ$403,66,FALSE)+VLOOKUP($A182,'1.3.21-28.2.22'!$A$6:$DA$404,66,FALSE)-VLOOKUP($A182,'01-02.2022'!$A$6:$DA$376,66,FALSE)</f>
        <v>969.62106658166658</v>
      </c>
      <c r="BO182" s="566">
        <f>VLOOKUP($A182,'01-02.2021'!$A$6:$CZ$403,67,FALSE)+VLOOKUP($A182,'1.3.21-28.2.22'!$A$6:$DA$404,67,FALSE)-VLOOKUP($A182,'01-02.2022'!$A$6:$DA$376,67,FALSE)</f>
        <v>0</v>
      </c>
      <c r="BP182" s="55">
        <f t="shared" si="192"/>
        <v>-969.62106658166658</v>
      </c>
      <c r="BQ182" s="77">
        <f t="shared" si="209"/>
        <v>15028.774504344159</v>
      </c>
      <c r="BR182" s="40">
        <f t="shared" si="210"/>
        <v>4167.3500000000004</v>
      </c>
      <c r="BS182" s="55">
        <f t="shared" si="166"/>
        <v>-10861.424504344159</v>
      </c>
      <c r="BT182" s="566">
        <f>VLOOKUP($A182,'01-02.2021'!$A$6:$CZ$403,72,FALSE)+VLOOKUP($A182,'1.3.21-28.2.22'!$A$6:$DA$404,72,FALSE)-VLOOKUP($A182,'01-02.2022'!$A$6:$DA$376,72,FALSE)</f>
        <v>72454.578648044509</v>
      </c>
      <c r="BU182" s="566">
        <f>VLOOKUP($A182,'01-02.2021'!$A$6:$CZ$403,73,FALSE)+VLOOKUP($A182,'1.3.21-28.2.22'!$A$6:$DA$404,73,FALSE)-VLOOKUP($A182,'01-02.2022'!$A$6:$DA$376,73,FALSE)</f>
        <v>80019.840471819727</v>
      </c>
      <c r="BV182" s="70">
        <f t="shared" si="193"/>
        <v>7565.2618237752176</v>
      </c>
      <c r="BW182" s="566">
        <f>VLOOKUP($A182,'01-02.2021'!$A$6:$CZ$403,75,FALSE)+VLOOKUP($A182,'1.3.21-28.2.22'!$A$6:$DA$404,75,FALSE)-VLOOKUP($A182,'01-02.2022'!$A$6:$DA$376,75,FALSE)</f>
        <v>37991.451123413113</v>
      </c>
      <c r="BX182" s="566">
        <f>VLOOKUP($A182,'01-02.2021'!$A$6:$CZ$403,76,FALSE)+VLOOKUP($A182,'1.3.21-28.2.22'!$A$6:$DA$404,76,FALSE)-VLOOKUP($A182,'01-02.2022'!$A$6:$DA$376,76,FALSE)</f>
        <v>43132.437768350748</v>
      </c>
      <c r="BY182" s="70">
        <f t="shared" si="194"/>
        <v>5140.986644937635</v>
      </c>
      <c r="BZ182" s="566">
        <f>VLOOKUP($A182,'01-02.2021'!$A$6:$CZ$403,78,FALSE)+VLOOKUP($A182,'1.3.21-28.2.22'!$A$6:$DA$404,78,FALSE)-VLOOKUP($A182,'01-02.2022'!$A$6:$DA$376,78,FALSE)</f>
        <v>13103.988466931811</v>
      </c>
      <c r="CA182" s="566">
        <f>VLOOKUP($A182,'01-02.2021'!$A$6:$CZ$403,79,FALSE)+VLOOKUP($A182,'1.3.21-28.2.22'!$A$6:$DA$404,79,FALSE)-VLOOKUP($A182,'01-02.2022'!$A$6:$DA$376,79,FALSE)</f>
        <v>16475.849896355048</v>
      </c>
      <c r="CB182" s="70">
        <f t="shared" si="195"/>
        <v>3371.8614294232375</v>
      </c>
      <c r="CC182" s="566">
        <f>VLOOKUP($A182,'01-02.2021'!$A$6:$CZ$403,81,FALSE)+VLOOKUP($A182,'1.3.21-28.2.22'!$A$6:$DA$404,81,FALSE)-VLOOKUP($A182,'01-02.2022'!$A$6:$DA$376,81,FALSE)</f>
        <v>2250.5890163937943</v>
      </c>
      <c r="CD182" s="566">
        <f>VLOOKUP($A182,'01-02.2021'!$A$6:$CZ$403,82,FALSE)+VLOOKUP($A182,'1.3.21-28.2.22'!$A$6:$DA$404,82,FALSE)-VLOOKUP($A182,'01-02.2022'!$A$6:$DA$376,82,FALSE)</f>
        <v>2452.0506478048019</v>
      </c>
      <c r="CE182" s="70">
        <f t="shared" si="196"/>
        <v>201.4616314110076</v>
      </c>
      <c r="CF182" s="566">
        <f>VLOOKUP($A182,'01-02.2021'!$A$6:$CZ$403,84,FALSE)+VLOOKUP($A182,'1.3.21-28.2.22'!$A$6:$DA$404,84,FALSE)-VLOOKUP($A182,'01-02.2022'!$A$6:$DA$376,84,FALSE)</f>
        <v>272.73483074213374</v>
      </c>
      <c r="CG182" s="566">
        <f>VLOOKUP($A182,'01-02.2021'!$A$6:$CZ$403,85,FALSE)+VLOOKUP($A182,'1.3.21-28.2.22'!$A$6:$DA$404,85,FALSE)-VLOOKUP($A182,'01-02.2022'!$A$6:$DA$376,85,FALSE)</f>
        <v>0</v>
      </c>
      <c r="CH182" s="70">
        <f t="shared" si="197"/>
        <v>-272.73483074213374</v>
      </c>
      <c r="CI182" s="566">
        <f>VLOOKUP($A182,'01-02.2021'!$A$6:$CZ$403,87,FALSE)+VLOOKUP($A182,'1.3.21-28.2.22'!$A$6:$DA$404,87,FALSE)-VLOOKUP($A182,'01-02.2022'!$A$6:$DA$376,87,FALSE)</f>
        <v>13195.246171678198</v>
      </c>
      <c r="CJ182" s="566">
        <f>VLOOKUP($A182,'01-02.2021'!$A$6:$CZ$403,88,FALSE)+VLOOKUP($A182,'1.3.21-28.2.22'!$A$6:$DA$404,88,FALSE)-VLOOKUP($A182,'01-02.2022'!$A$6:$DA$376,88,FALSE)</f>
        <v>8379.1721148489323</v>
      </c>
      <c r="CK182" s="70">
        <f t="shared" si="198"/>
        <v>-4816.0740568292658</v>
      </c>
      <c r="CL182" s="566">
        <f>VLOOKUP($A182,'01-02.2021'!$A$6:$CZ$403,90,FALSE)+VLOOKUP($A182,'1.3.21-28.2.22'!$A$6:$DA$404,90,FALSE)-VLOOKUP($A182,'01-02.2022'!$A$6:$DA$376,90,FALSE)</f>
        <v>11022.006510776897</v>
      </c>
      <c r="CM182" s="566">
        <f>VLOOKUP($A182,'01-02.2021'!$A$6:$CZ$403,91,FALSE)+VLOOKUP($A182,'1.3.21-28.2.22'!$A$6:$DA$404,91,FALSE)-VLOOKUP($A182,'01-02.2022'!$A$6:$DA$376,91,FALSE)</f>
        <v>10655.057373432857</v>
      </c>
      <c r="CN182" s="52">
        <f t="shared" si="158"/>
        <v>-366.94913734403963</v>
      </c>
      <c r="CO182" s="39">
        <f t="shared" si="153"/>
        <v>24217.252682455095</v>
      </c>
      <c r="CP182" s="40">
        <f t="shared" si="159"/>
        <v>19034.229488281788</v>
      </c>
      <c r="CQ182" s="52">
        <f t="shared" si="160"/>
        <v>-5183.0231941733073</v>
      </c>
      <c r="CR182" s="72">
        <f t="shared" si="154"/>
        <v>388027.52434522106</v>
      </c>
      <c r="CS182" s="5">
        <f t="shared" si="154"/>
        <v>364016.48861547408</v>
      </c>
      <c r="CT182" s="52">
        <f t="shared" si="161"/>
        <v>-24011.035729746975</v>
      </c>
      <c r="CU182" s="77">
        <f t="shared" si="162"/>
        <v>465633.02921426523</v>
      </c>
      <c r="CV182" s="65">
        <f t="shared" si="163"/>
        <v>436819.7863385689</v>
      </c>
      <c r="CW182" s="35">
        <f t="shared" si="164"/>
        <v>-28813.242875696335</v>
      </c>
      <c r="CX182" s="566">
        <f>VLOOKUP($A182,'01-02.2021'!$A$6:$CZ$403,102,FALSE)+VLOOKUP($A182,'1.3.21-28.2.22'!$A$6:$DA$404,102,FALSE)-VLOOKUP($A182,'01-02.2022'!$A$6:$DA$376,102,FALSE)</f>
        <v>13279.65643115009</v>
      </c>
      <c r="CY182" s="566">
        <f>VLOOKUP($A182,'01-02.2021'!$A$6:$CZ$403,103,FALSE)+VLOOKUP($A182,'1.3.21-28.2.22'!$A$6:$DA$404,103,FALSE)-VLOOKUP($A182,'01-02.2022'!$A$6:$DA$376,103,FALSE)</f>
        <v>42092.899306846404</v>
      </c>
      <c r="CZ182" s="52">
        <f t="shared" si="165"/>
        <v>28813.242875696313</v>
      </c>
      <c r="DA182" s="150">
        <f>'[2]побудинковий звіт'!DA182</f>
        <v>21789.967408811153</v>
      </c>
      <c r="DB182" s="2">
        <v>1</v>
      </c>
      <c r="DC182" s="414">
        <f>'[4]побудинковий звіт'!DC182</f>
        <v>59705.83</v>
      </c>
      <c r="DD182" s="414">
        <f>'[4]побудинковий звіт'!DD182</f>
        <v>0</v>
      </c>
      <c r="DE182" s="557">
        <f>'[4]побудинковий звіт'!DE182</f>
        <v>16477.556614421657</v>
      </c>
      <c r="DF182" s="557">
        <f>'[4]побудинковий звіт'!DF182</f>
        <v>0</v>
      </c>
      <c r="DG182" s="321">
        <f>VLOOKUP(A182,'кошти 01.03.2021'!$A$6:$D$401,4,)</f>
        <v>-7949.6191798370055</v>
      </c>
      <c r="DH182" s="40">
        <f>'[3]побудинковий звіт'!DJ182</f>
        <v>494587.55945425446</v>
      </c>
      <c r="DI182" s="422">
        <f>'[3]побудинковий звіт'!CU182+'[3]побудинковий звіт'!CX182</f>
        <v>43228.273385578337</v>
      </c>
      <c r="DJ182" s="306">
        <f>'[3]побудинковий звіт'!DM182</f>
        <v>5.6436686827549165</v>
      </c>
      <c r="DK182" s="306">
        <f>'[3]побудинковий звіт'!DN182</f>
        <v>7.2435965931885855</v>
      </c>
      <c r="DL182" s="306">
        <f>'[3]побудинковий звіт'!DO182</f>
        <v>5.0131020224758327</v>
      </c>
      <c r="DM182" s="28">
        <f t="shared" si="215"/>
        <v>43228.273385578344</v>
      </c>
      <c r="DN182" s="28">
        <f>DL182*H182</f>
        <v>0</v>
      </c>
      <c r="DO182" s="423">
        <f t="shared" si="171"/>
        <v>43228.273385578344</v>
      </c>
      <c r="DP182" s="94">
        <f t="shared" si="172"/>
        <v>0</v>
      </c>
      <c r="DQ182" s="28">
        <f t="shared" si="173"/>
        <v>43228.273385578344</v>
      </c>
      <c r="DR182" s="318"/>
      <c r="DT182" s="8"/>
      <c r="DU182" s="5"/>
      <c r="DX182" s="5">
        <f t="shared" si="174"/>
        <v>122907.16509868839</v>
      </c>
      <c r="DY182" s="5">
        <f t="shared" si="175"/>
        <v>87145.039463280613</v>
      </c>
      <c r="DZ182" s="159">
        <f>'[3]побудинковий звіт'!EA182</f>
        <v>11962.258347976847</v>
      </c>
    </row>
    <row r="183" spans="1:130" x14ac:dyDescent="0.3">
      <c r="A183" s="325">
        <v>150001031</v>
      </c>
      <c r="B183" s="41" t="s">
        <v>631</v>
      </c>
      <c r="C183" s="42" t="s">
        <v>104</v>
      </c>
      <c r="D183" s="42"/>
      <c r="E183" s="293">
        <f t="shared" si="149"/>
        <v>159.9</v>
      </c>
      <c r="F183" s="305">
        <f>'[3]побудинковий звіт'!F183</f>
        <v>159.9</v>
      </c>
      <c r="G183" s="508">
        <f>'[3]побудинковий звіт'!G183</f>
        <v>0</v>
      </c>
      <c r="H183" s="560">
        <f>'[3]побудинковий звіт'!H183</f>
        <v>0</v>
      </c>
      <c r="I183" s="566">
        <f>VLOOKUP($A183,'01-02.2021'!$A$6:$CZ$403,9,FALSE)+VLOOKUP($A183,'1.3.21-28.2.22'!$A$6:$DA$404,9,FALSE)-VLOOKUP($A183,'01-02.2022'!$A$6:$DA$376,9,FALSE)</f>
        <v>0</v>
      </c>
      <c r="J183" s="566">
        <f>VLOOKUP($A183,'01-02.2021'!$A$6:$CZ$403,10,FALSE)+VLOOKUP($A183,'1.3.21-28.2.22'!$A$6:$DA$404,10,FALSE)-VLOOKUP($A183,'01-02.2022'!$A$6:$DA$376,10,FALSE)</f>
        <v>0</v>
      </c>
      <c r="K183" s="52">
        <f t="shared" si="155"/>
        <v>0</v>
      </c>
      <c r="L183" s="566">
        <f>VLOOKUP($A183,'01-02.2021'!$A$6:$CZ$403,12,FALSE)+VLOOKUP($A183,'1.3.21-28.2.22'!$A$6:$DA$404,12,FALSE)-VLOOKUP($A183,'01-02.2022'!$A$6:$DA$376,12,FALSE)</f>
        <v>0</v>
      </c>
      <c r="M183" s="566">
        <f>VLOOKUP($A183,'01-02.2021'!$A$6:$CZ$403,13,FALSE)+VLOOKUP($A183,'1.3.21-28.2.22'!$A$6:$DA$404,13,FALSE)-VLOOKUP($A183,'01-02.2022'!$A$6:$DA$376,13,FALSE)</f>
        <v>0</v>
      </c>
      <c r="N183" s="52">
        <f t="shared" si="156"/>
        <v>0</v>
      </c>
      <c r="O183" s="566">
        <f>VLOOKUP($A183,'01-02.2021'!$A$6:$CZ$403,15,FALSE)+VLOOKUP($A183,'1.3.21-28.2.22'!$A$6:$DA$404,15,FALSE)-VLOOKUP($A183,'01-02.2022'!$A$6:$DA$376,15,FALSE)</f>
        <v>0</v>
      </c>
      <c r="P183" s="566">
        <f>VLOOKUP($A183,'01-02.2021'!$A$6:$CZ$403,16,FALSE)+VLOOKUP($A183,'1.3.21-28.2.22'!$A$6:$DA$404,16,FALSE)-VLOOKUP($A183,'01-02.2022'!$A$6:$DA$376,16,FALSE)</f>
        <v>0</v>
      </c>
      <c r="Q183" s="70">
        <f t="shared" si="176"/>
        <v>0</v>
      </c>
      <c r="R183" s="566">
        <f>VLOOKUP($A183,'01-02.2021'!$A$6:$CZ$403,18,FALSE)+VLOOKUP($A183,'1.3.21-28.2.22'!$A$6:$DA$404,18,FALSE)-VLOOKUP($A183,'01-02.2022'!$A$6:$DA$376,18,FALSE)</f>
        <v>0</v>
      </c>
      <c r="S183" s="566">
        <f>VLOOKUP($A183,'01-02.2021'!$A$6:$CZ$403,19,FALSE)+VLOOKUP($A183,'1.3.21-28.2.22'!$A$6:$DA$404,19,FALSE)-VLOOKUP($A183,'01-02.2022'!$A$6:$DA$376,19,FALSE)</f>
        <v>0</v>
      </c>
      <c r="T183" s="70">
        <f t="shared" si="177"/>
        <v>0</v>
      </c>
      <c r="U183" s="566">
        <f>VLOOKUP($A183,'01-02.2021'!$A$6:$CZ$403,21,FALSE)+VLOOKUP($A183,'1.3.21-28.2.22'!$A$6:$DA$404,21,FALSE)-VLOOKUP($A183,'01-02.2022'!$A$6:$DA$376,21,FALSE)</f>
        <v>0</v>
      </c>
      <c r="V183" s="566">
        <f>VLOOKUP($A183,'01-02.2021'!$A$6:$CZ$403,22,FALSE)+VLOOKUP($A183,'1.3.21-28.2.22'!$A$6:$DA$404,22,FALSE)-VLOOKUP($A183,'01-02.2022'!$A$6:$DA$376,22,FALSE)</f>
        <v>0</v>
      </c>
      <c r="W183" s="70">
        <f t="shared" si="178"/>
        <v>0</v>
      </c>
      <c r="X183" s="566">
        <f>VLOOKUP($A183,'01-02.2021'!$A$6:$CZ$403,24,FALSE)+VLOOKUP($A183,'1.3.21-28.2.22'!$A$6:$DA$404,24,FALSE)-VLOOKUP($A183,'01-02.2022'!$A$6:$DA$376,24,FALSE)</f>
        <v>0</v>
      </c>
      <c r="Y183" s="566">
        <f>VLOOKUP($A183,'01-02.2021'!$A$6:$CZ$403,25,FALSE)+VLOOKUP($A183,'1.3.21-28.2.22'!$A$6:$DA$404,25,FALSE)-VLOOKUP($A183,'01-02.2022'!$A$6:$DA$376,25,FALSE)</f>
        <v>0</v>
      </c>
      <c r="Z183" s="70">
        <f t="shared" si="179"/>
        <v>0</v>
      </c>
      <c r="AA183" s="566">
        <f>VLOOKUP($A183,'01-02.2021'!$A$6:$CZ$403,27,FALSE)+VLOOKUP($A183,'1.3.21-28.2.22'!$A$6:$DA$404,27,FALSE)-VLOOKUP($A183,'01-02.2022'!$A$6:$DA$376,27,FALSE)</f>
        <v>31.980000000000004</v>
      </c>
      <c r="AB183" s="566">
        <f>VLOOKUP($A183,'01-02.2021'!$A$6:$CZ$403,28,FALSE)+VLOOKUP($A183,'1.3.21-28.2.22'!$A$6:$DA$404,28,FALSE)-VLOOKUP($A183,'01-02.2022'!$A$6:$DA$376,28,FALSE)</f>
        <v>0</v>
      </c>
      <c r="AC183" s="70">
        <f t="shared" si="180"/>
        <v>-31.980000000000004</v>
      </c>
      <c r="AD183" s="566">
        <f>VLOOKUP($A183,'01-02.2021'!$A$6:$CZ$403,30,FALSE)+VLOOKUP($A183,'1.3.21-28.2.22'!$A$6:$DA$404,30,FALSE)-VLOOKUP($A183,'01-02.2022'!$A$6:$DA$376,30,FALSE)</f>
        <v>256.01282534721122</v>
      </c>
      <c r="AE183" s="566">
        <f>VLOOKUP($A183,'01-02.2021'!$A$6:$CZ$403,31,FALSE)+VLOOKUP($A183,'1.3.21-28.2.22'!$A$6:$DA$404,31,FALSE)-VLOOKUP($A183,'01-02.2022'!$A$6:$DA$376,31,FALSE)</f>
        <v>727.8712427308318</v>
      </c>
      <c r="AF183" s="68">
        <f t="shared" si="181"/>
        <v>471.85841738362058</v>
      </c>
      <c r="AG183" s="77">
        <f t="shared" si="150"/>
        <v>287.99282534721124</v>
      </c>
      <c r="AH183" s="53">
        <f t="shared" si="150"/>
        <v>727.8712427308318</v>
      </c>
      <c r="AI183" s="52">
        <f t="shared" si="157"/>
        <v>439.87841738362056</v>
      </c>
      <c r="AJ183" s="566">
        <f>VLOOKUP($A183,'01-02.2021'!$A$6:$CZ$403,36,FALSE)+VLOOKUP($A183,'1.3.21-28.2.22'!$A$6:$DA$404,36,FALSE)-VLOOKUP($A183,'01-02.2022'!$A$6:$DA$376,36,FALSE)</f>
        <v>0</v>
      </c>
      <c r="AK183" s="566">
        <f>VLOOKUP($A183,'01-02.2021'!$A$6:$CZ$403,37,FALSE)+VLOOKUP($A183,'1.3.21-28.2.22'!$A$6:$DA$404,37,FALSE)-VLOOKUP($A183,'01-02.2022'!$A$6:$DA$376,37,FALSE)</f>
        <v>0</v>
      </c>
      <c r="AL183" s="70">
        <f t="shared" si="182"/>
        <v>0</v>
      </c>
      <c r="AM183" s="566">
        <f>VLOOKUP($A183,'01-02.2021'!$A$6:$CZ$403,39,FALSE)+VLOOKUP($A183,'1.3.21-28.2.22'!$A$6:$DA$404,39,FALSE)-VLOOKUP($A183,'01-02.2022'!$A$6:$DA$376,39,FALSE)</f>
        <v>0</v>
      </c>
      <c r="AN183" s="566">
        <f>VLOOKUP($A183,'01-02.2021'!$A$6:$CZ$403,40,FALSE)+VLOOKUP($A183,'1.3.21-28.2.22'!$A$6:$DA$404,40,FALSE)-VLOOKUP($A183,'01-02.2022'!$A$6:$DA$376,40,FALSE)</f>
        <v>0</v>
      </c>
      <c r="AO183" s="70">
        <f t="shared" si="183"/>
        <v>0</v>
      </c>
      <c r="AP183" s="566">
        <f>VLOOKUP($A183,'01-02.2021'!$A$6:$CZ$403,42,FALSE)+VLOOKUP($A183,'1.3.21-28.2.22'!$A$6:$DA$404,42,FALSE)-VLOOKUP($A183,'01-02.2022'!$A$6:$DA$376,42,FALSE)</f>
        <v>216.89996875532395</v>
      </c>
      <c r="AQ183" s="566">
        <f>VLOOKUP($A183,'01-02.2021'!$A$6:$CZ$403,43,FALSE)+VLOOKUP($A183,'1.3.21-28.2.22'!$A$6:$DA$404,43,FALSE)-VLOOKUP($A183,'01-02.2022'!$A$6:$DA$376,43,FALSE)</f>
        <v>186.98520801246201</v>
      </c>
      <c r="AR183" s="70">
        <f t="shared" si="184"/>
        <v>-29.914760742861944</v>
      </c>
      <c r="AS183" s="566">
        <f>VLOOKUP($A183,'01-02.2021'!$A$6:$CZ$403,45,FALSE)+VLOOKUP($A183,'1.3.21-28.2.22'!$A$6:$DA$404,45,FALSE)-VLOOKUP($A183,'01-02.2022'!$A$6:$DA$376,45,FALSE)</f>
        <v>1926.0120670098227</v>
      </c>
      <c r="AT183" s="566">
        <f>VLOOKUP($A183,'01-02.2021'!$A$6:$CZ$403,46,FALSE)+VLOOKUP($A183,'1.3.21-28.2.22'!$A$6:$DA$404,46,FALSE)-VLOOKUP($A183,'01-02.2022'!$A$6:$DA$376,46,FALSE)</f>
        <v>2069</v>
      </c>
      <c r="AU183" s="78">
        <f t="shared" si="185"/>
        <v>142.98793299017734</v>
      </c>
      <c r="AV183" s="566">
        <f>VLOOKUP($A183,'01-02.2021'!$A$6:$CZ$403,48,FALSE)+VLOOKUP($A183,'1.3.21-28.2.22'!$A$6:$DA$404,48,FALSE)-VLOOKUP($A183,'01-02.2022'!$A$6:$DA$376,48,FALSE)</f>
        <v>0</v>
      </c>
      <c r="AW183" s="566">
        <f>VLOOKUP($A183,'01-02.2021'!$A$6:$CZ$403,49,FALSE)+VLOOKUP($A183,'1.3.21-28.2.22'!$A$6:$DA$404,49,FALSE)-VLOOKUP($A183,'01-02.2022'!$A$6:$DA$376,49,FALSE)</f>
        <v>0</v>
      </c>
      <c r="AX183" s="55">
        <f t="shared" si="186"/>
        <v>0</v>
      </c>
      <c r="AY183" s="566">
        <f>VLOOKUP($A183,'01-02.2021'!$A$6:$CZ$403,51,FALSE)+VLOOKUP($A183,'1.3.21-28.2.22'!$A$6:$DA$404,51,FALSE)-VLOOKUP($A183,'01-02.2022'!$A$6:$DA$376,51,FALSE)</f>
        <v>0</v>
      </c>
      <c r="AZ183" s="566">
        <f>VLOOKUP($A183,'01-02.2021'!$A$6:$CZ$403,52,FALSE)+VLOOKUP($A183,'1.3.21-28.2.22'!$A$6:$DA$404,52,FALSE)-VLOOKUP($A183,'01-02.2022'!$A$6:$DA$376,52,FALSE)</f>
        <v>0</v>
      </c>
      <c r="BA183" s="38">
        <f t="shared" si="187"/>
        <v>0</v>
      </c>
      <c r="BB183" s="566">
        <f>VLOOKUP($A183,'01-02.2021'!$A$6:$CZ$403,54,FALSE)+VLOOKUP($A183,'1.3.21-28.2.22'!$A$6:$DA$404,54,FALSE)-VLOOKUP($A183,'01-02.2022'!$A$6:$DA$376,54,FALSE)</f>
        <v>0</v>
      </c>
      <c r="BC183" s="566">
        <f>VLOOKUP($A183,'01-02.2021'!$A$6:$CZ$403,55,FALSE)+VLOOKUP($A183,'1.3.21-28.2.22'!$A$6:$DA$404,55,FALSE)-VLOOKUP($A183,'01-02.2022'!$A$6:$DA$376,55,FALSE)</f>
        <v>0</v>
      </c>
      <c r="BD183" s="55">
        <f t="shared" si="188"/>
        <v>0</v>
      </c>
      <c r="BE183" s="566">
        <f>VLOOKUP($A183,'01-02.2021'!$A$6:$CZ$403,57,FALSE)+VLOOKUP($A183,'1.3.21-28.2.22'!$A$6:$DA$404,57,FALSE)-VLOOKUP($A183,'01-02.2022'!$A$6:$DA$376,57,FALSE)</f>
        <v>0</v>
      </c>
      <c r="BF183" s="566">
        <f>VLOOKUP($A183,'01-02.2021'!$A$6:$CZ$403,58,FALSE)+VLOOKUP($A183,'1.3.21-28.2.22'!$A$6:$DA$404,58,FALSE)-VLOOKUP($A183,'01-02.2022'!$A$6:$DA$376,58,FALSE)</f>
        <v>0</v>
      </c>
      <c r="BG183" s="55">
        <f t="shared" si="189"/>
        <v>0</v>
      </c>
      <c r="BH183" s="566">
        <f>VLOOKUP($A183,'01-02.2021'!$A$6:$CZ$403,60,FALSE)+VLOOKUP($A183,'1.3.21-28.2.22'!$A$6:$DA$404,60,FALSE)-VLOOKUP($A183,'01-02.2022'!$A$6:$DA$376,60,FALSE)</f>
        <v>0</v>
      </c>
      <c r="BI183" s="566">
        <f>VLOOKUP($A183,'01-02.2021'!$A$6:$CZ$403,61,FALSE)+VLOOKUP($A183,'1.3.21-28.2.22'!$A$6:$DA$404,61,FALSE)-VLOOKUP($A183,'01-02.2022'!$A$6:$DA$376,61,FALSE)</f>
        <v>0</v>
      </c>
      <c r="BJ183" s="55">
        <f t="shared" si="190"/>
        <v>0</v>
      </c>
      <c r="BK183" s="566">
        <f>VLOOKUP($A183,'01-02.2021'!$A$6:$CZ$403,63,FALSE)+VLOOKUP($A183,'1.3.21-28.2.22'!$A$6:$DA$404,63,FALSE)-VLOOKUP($A183,'01-02.2022'!$A$6:$DA$376,63,FALSE)</f>
        <v>0</v>
      </c>
      <c r="BL183" s="566">
        <f>VLOOKUP($A183,'01-02.2021'!$A$6:$CZ$403,64,FALSE)+VLOOKUP($A183,'1.3.21-28.2.22'!$A$6:$DA$404,64,FALSE)-VLOOKUP($A183,'01-02.2022'!$A$6:$DA$376,64,FALSE)</f>
        <v>0</v>
      </c>
      <c r="BM183" s="55">
        <f t="shared" si="191"/>
        <v>0</v>
      </c>
      <c r="BN183" s="566">
        <f>VLOOKUP($A183,'01-02.2021'!$A$6:$CZ$403,66,FALSE)+VLOOKUP($A183,'1.3.21-28.2.22'!$A$6:$DA$404,66,FALSE)-VLOOKUP($A183,'01-02.2022'!$A$6:$DA$376,66,FALSE)</f>
        <v>12.602007714484493</v>
      </c>
      <c r="BO183" s="566">
        <f>VLOOKUP($A183,'01-02.2021'!$A$6:$CZ$403,67,FALSE)+VLOOKUP($A183,'1.3.21-28.2.22'!$A$6:$DA$404,67,FALSE)-VLOOKUP($A183,'01-02.2022'!$A$6:$DA$376,67,FALSE)</f>
        <v>0</v>
      </c>
      <c r="BP183" s="55">
        <f t="shared" si="192"/>
        <v>-12.602007714484493</v>
      </c>
      <c r="BQ183" s="77">
        <f t="shared" si="209"/>
        <v>12.602007714484493</v>
      </c>
      <c r="BR183" s="40">
        <f t="shared" si="210"/>
        <v>0</v>
      </c>
      <c r="BS183" s="55">
        <f t="shared" si="166"/>
        <v>-12.602007714484493</v>
      </c>
      <c r="BT183" s="566">
        <f>VLOOKUP($A183,'01-02.2021'!$A$6:$CZ$403,72,FALSE)+VLOOKUP($A183,'1.3.21-28.2.22'!$A$6:$DA$404,72,FALSE)-VLOOKUP($A183,'01-02.2022'!$A$6:$DA$376,72,FALSE)</f>
        <v>642.04145523763327</v>
      </c>
      <c r="BU183" s="566">
        <f>VLOOKUP($A183,'01-02.2021'!$A$6:$CZ$403,73,FALSE)+VLOOKUP($A183,'1.3.21-28.2.22'!$A$6:$DA$404,73,FALSE)-VLOOKUP($A183,'01-02.2022'!$A$6:$DA$376,73,FALSE)</f>
        <v>996.15163772117899</v>
      </c>
      <c r="BV183" s="70">
        <f t="shared" si="193"/>
        <v>354.11018248354571</v>
      </c>
      <c r="BW183" s="566">
        <f>VLOOKUP($A183,'01-02.2021'!$A$6:$CZ$403,75,FALSE)+VLOOKUP($A183,'1.3.21-28.2.22'!$A$6:$DA$404,75,FALSE)-VLOOKUP($A183,'01-02.2022'!$A$6:$DA$376,75,FALSE)</f>
        <v>0</v>
      </c>
      <c r="BX183" s="566">
        <f>VLOOKUP($A183,'01-02.2021'!$A$6:$CZ$403,76,FALSE)+VLOOKUP($A183,'1.3.21-28.2.22'!$A$6:$DA$404,76,FALSE)-VLOOKUP($A183,'01-02.2022'!$A$6:$DA$376,76,FALSE)</f>
        <v>3.5836133359826108</v>
      </c>
      <c r="BY183" s="70">
        <f t="shared" si="194"/>
        <v>3.5836133359826108</v>
      </c>
      <c r="BZ183" s="566">
        <f>VLOOKUP($A183,'01-02.2021'!$A$6:$CZ$403,78,FALSE)+VLOOKUP($A183,'1.3.21-28.2.22'!$A$6:$DA$404,78,FALSE)-VLOOKUP($A183,'01-02.2022'!$A$6:$DA$376,78,FALSE)</f>
        <v>0</v>
      </c>
      <c r="CA183" s="566">
        <f>VLOOKUP($A183,'01-02.2021'!$A$6:$CZ$403,79,FALSE)+VLOOKUP($A183,'1.3.21-28.2.22'!$A$6:$DA$404,79,FALSE)-VLOOKUP($A183,'01-02.2022'!$A$6:$DA$376,79,FALSE)</f>
        <v>60.742393028675338</v>
      </c>
      <c r="CB183" s="70">
        <f t="shared" si="195"/>
        <v>60.742393028675338</v>
      </c>
      <c r="CC183" s="566">
        <f>VLOOKUP($A183,'01-02.2021'!$A$6:$CZ$403,81,FALSE)+VLOOKUP($A183,'1.3.21-28.2.22'!$A$6:$DA$404,81,FALSE)-VLOOKUP($A183,'01-02.2022'!$A$6:$DA$376,81,FALSE)</f>
        <v>0</v>
      </c>
      <c r="CD183" s="566">
        <f>VLOOKUP($A183,'01-02.2021'!$A$6:$CZ$403,82,FALSE)+VLOOKUP($A183,'1.3.21-28.2.22'!$A$6:$DA$404,82,FALSE)-VLOOKUP($A183,'01-02.2022'!$A$6:$DA$376,82,FALSE)</f>
        <v>0</v>
      </c>
      <c r="CE183" s="70">
        <f t="shared" si="196"/>
        <v>0</v>
      </c>
      <c r="CF183" s="566">
        <f>VLOOKUP($A183,'01-02.2021'!$A$6:$CZ$403,84,FALSE)+VLOOKUP($A183,'1.3.21-28.2.22'!$A$6:$DA$404,84,FALSE)-VLOOKUP($A183,'01-02.2022'!$A$6:$DA$376,84,FALSE)</f>
        <v>0</v>
      </c>
      <c r="CG183" s="566">
        <f>VLOOKUP($A183,'01-02.2021'!$A$6:$CZ$403,85,FALSE)+VLOOKUP($A183,'1.3.21-28.2.22'!$A$6:$DA$404,85,FALSE)-VLOOKUP($A183,'01-02.2022'!$A$6:$DA$376,85,FALSE)</f>
        <v>0</v>
      </c>
      <c r="CH183" s="70">
        <f t="shared" si="197"/>
        <v>0</v>
      </c>
      <c r="CI183" s="566">
        <f>VLOOKUP($A183,'01-02.2021'!$A$6:$CZ$403,87,FALSE)+VLOOKUP($A183,'1.3.21-28.2.22'!$A$6:$DA$404,87,FALSE)-VLOOKUP($A183,'01-02.2022'!$A$6:$DA$376,87,FALSE)</f>
        <v>0</v>
      </c>
      <c r="CJ183" s="566">
        <f>VLOOKUP($A183,'01-02.2021'!$A$6:$CZ$403,88,FALSE)+VLOOKUP($A183,'1.3.21-28.2.22'!$A$6:$DA$404,88,FALSE)-VLOOKUP($A183,'01-02.2022'!$A$6:$DA$376,88,FALSE)</f>
        <v>0</v>
      </c>
      <c r="CK183" s="70">
        <f t="shared" si="198"/>
        <v>0</v>
      </c>
      <c r="CL183" s="566">
        <f>VLOOKUP($A183,'01-02.2021'!$A$6:$CZ$403,90,FALSE)+VLOOKUP($A183,'1.3.21-28.2.22'!$A$6:$DA$404,90,FALSE)-VLOOKUP($A183,'01-02.2022'!$A$6:$DA$376,90,FALSE)</f>
        <v>0</v>
      </c>
      <c r="CM183" s="566">
        <f>VLOOKUP($A183,'01-02.2021'!$A$6:$CZ$403,91,FALSE)+VLOOKUP($A183,'1.3.21-28.2.22'!$A$6:$DA$404,91,FALSE)-VLOOKUP($A183,'01-02.2022'!$A$6:$DA$376,91,FALSE)</f>
        <v>0</v>
      </c>
      <c r="CN183" s="52">
        <f t="shared" si="158"/>
        <v>0</v>
      </c>
      <c r="CO183" s="39">
        <f t="shared" si="153"/>
        <v>0</v>
      </c>
      <c r="CP183" s="40">
        <f t="shared" si="159"/>
        <v>0</v>
      </c>
      <c r="CQ183" s="52">
        <f t="shared" si="160"/>
        <v>0</v>
      </c>
      <c r="CR183" s="72">
        <f t="shared" si="154"/>
        <v>3085.5483240644758</v>
      </c>
      <c r="CS183" s="5">
        <f t="shared" si="154"/>
        <v>4044.3340948291311</v>
      </c>
      <c r="CT183" s="52">
        <f t="shared" si="161"/>
        <v>958.78577076465535</v>
      </c>
      <c r="CU183" s="77">
        <f t="shared" si="162"/>
        <v>3702.6579888773708</v>
      </c>
      <c r="CV183" s="65">
        <f t="shared" si="163"/>
        <v>4853.2009137949572</v>
      </c>
      <c r="CW183" s="35">
        <f t="shared" si="164"/>
        <v>1150.5429249175863</v>
      </c>
      <c r="CX183" s="566">
        <f>VLOOKUP($A183,'01-02.2021'!$A$6:$CZ$403,102,FALSE)+VLOOKUP($A183,'1.3.21-28.2.22'!$A$6:$DA$404,102,FALSE)-VLOOKUP($A183,'01-02.2022'!$A$6:$DA$376,102,FALSE)</f>
        <v>176.78485950437698</v>
      </c>
      <c r="CY183" s="566">
        <f>VLOOKUP($A183,'01-02.2021'!$A$6:$CZ$403,103,FALSE)+VLOOKUP($A183,'1.3.21-28.2.22'!$A$6:$DA$404,103,FALSE)-VLOOKUP($A183,'01-02.2022'!$A$6:$DA$376,103,FALSE)</f>
        <v>-973.75806541321003</v>
      </c>
      <c r="CZ183" s="52">
        <f t="shared" si="165"/>
        <v>-1150.542924917587</v>
      </c>
      <c r="DA183" s="150">
        <f>'[2]побудинковий звіт'!DA183</f>
        <v>-3229.6700122391526</v>
      </c>
      <c r="DB183" s="2">
        <v>1</v>
      </c>
      <c r="DC183" s="414">
        <f>'[4]побудинковий звіт'!DC183</f>
        <v>283.49</v>
      </c>
      <c r="DD183" s="414">
        <f>'[4]побудинковий звіт'!DD183</f>
        <v>0</v>
      </c>
      <c r="DE183" s="557">
        <f>'[4]побудинковий звіт'!DE183</f>
        <v>-69.101593809244036</v>
      </c>
      <c r="DF183" s="557">
        <f>'[4]побудинковий звіт'!DF183</f>
        <v>0</v>
      </c>
      <c r="DG183" s="321">
        <f>VLOOKUP(A183,'кошти 01.03.2021'!$A$6:$D$401,4,)</f>
        <v>-3633.6648920607349</v>
      </c>
      <c r="DH183" s="40">
        <f>'[3]побудинковий звіт'!DJ183</f>
        <v>4018.0581092659531</v>
      </c>
      <c r="DI183" s="422">
        <f>'[3]побудинковий звіт'!CU183+'[3]побудинковий звіт'!CX183</f>
        <v>352.59159380924399</v>
      </c>
      <c r="DJ183" s="306">
        <f>'[3]побудинковий звіт'!DM183</f>
        <v>2.2050756335787618</v>
      </c>
      <c r="DK183" s="306">
        <f t="shared" ref="DK183:DK184" si="216">DJ183</f>
        <v>2.2050756335787618</v>
      </c>
      <c r="DL183" s="306">
        <f>'[3]побудинковий звіт'!DO183</f>
        <v>2.2050756335787618</v>
      </c>
      <c r="DM183" s="28">
        <f t="shared" ref="DM183:DM184" si="217">F183*DJ183</f>
        <v>352.59159380924405</v>
      </c>
      <c r="DN183" s="28">
        <f>H183*DL183</f>
        <v>0</v>
      </c>
      <c r="DO183" s="423">
        <f t="shared" si="171"/>
        <v>352.59159380924405</v>
      </c>
      <c r="DP183" s="94">
        <f t="shared" si="172"/>
        <v>0</v>
      </c>
      <c r="DQ183" s="28">
        <f t="shared" si="173"/>
        <v>352.59159380924405</v>
      </c>
      <c r="DR183" s="318"/>
      <c r="DT183" s="8"/>
      <c r="DU183" s="5"/>
      <c r="DX183" s="5">
        <f t="shared" si="174"/>
        <v>2326.3368896691686</v>
      </c>
      <c r="DY183" s="5">
        <f t="shared" si="175"/>
        <v>2482.7999999999997</v>
      </c>
      <c r="DZ183" s="159">
        <f>'[3]побудинковий звіт'!EA183</f>
        <v>203.6685331992536</v>
      </c>
    </row>
    <row r="184" spans="1:130" x14ac:dyDescent="0.3">
      <c r="A184" s="325">
        <v>150001037</v>
      </c>
      <c r="B184" s="41" t="s">
        <v>632</v>
      </c>
      <c r="C184" s="42" t="s">
        <v>105</v>
      </c>
      <c r="D184" s="42"/>
      <c r="E184" s="293">
        <f t="shared" si="149"/>
        <v>161.4</v>
      </c>
      <c r="F184" s="305">
        <f>'[3]побудинковий звіт'!F184</f>
        <v>161.4</v>
      </c>
      <c r="G184" s="508">
        <f>'[3]побудинковий звіт'!G184</f>
        <v>0</v>
      </c>
      <c r="H184" s="560">
        <f>'[3]побудинковий звіт'!H184</f>
        <v>0</v>
      </c>
      <c r="I184" s="566">
        <f>VLOOKUP($A184,'01-02.2021'!$A$6:$CZ$403,9,FALSE)+VLOOKUP($A184,'1.3.21-28.2.22'!$A$6:$DA$404,9,FALSE)-VLOOKUP($A184,'01-02.2022'!$A$6:$DA$376,9,FALSE)</f>
        <v>0</v>
      </c>
      <c r="J184" s="566">
        <f>VLOOKUP($A184,'01-02.2021'!$A$6:$CZ$403,10,FALSE)+VLOOKUP($A184,'1.3.21-28.2.22'!$A$6:$DA$404,10,FALSE)-VLOOKUP($A184,'01-02.2022'!$A$6:$DA$376,10,FALSE)</f>
        <v>0</v>
      </c>
      <c r="K184" s="52">
        <f t="shared" si="155"/>
        <v>0</v>
      </c>
      <c r="L184" s="566">
        <f>VLOOKUP($A184,'01-02.2021'!$A$6:$CZ$403,12,FALSE)+VLOOKUP($A184,'1.3.21-28.2.22'!$A$6:$DA$404,12,FALSE)-VLOOKUP($A184,'01-02.2022'!$A$6:$DA$376,12,FALSE)</f>
        <v>0</v>
      </c>
      <c r="M184" s="566">
        <f>VLOOKUP($A184,'01-02.2021'!$A$6:$CZ$403,13,FALSE)+VLOOKUP($A184,'1.3.21-28.2.22'!$A$6:$DA$404,13,FALSE)-VLOOKUP($A184,'01-02.2022'!$A$6:$DA$376,13,FALSE)</f>
        <v>0</v>
      </c>
      <c r="N184" s="52">
        <f t="shared" si="156"/>
        <v>0</v>
      </c>
      <c r="O184" s="566">
        <f>VLOOKUP($A184,'01-02.2021'!$A$6:$CZ$403,15,FALSE)+VLOOKUP($A184,'1.3.21-28.2.22'!$A$6:$DA$404,15,FALSE)-VLOOKUP($A184,'01-02.2022'!$A$6:$DA$376,15,FALSE)</f>
        <v>0</v>
      </c>
      <c r="P184" s="566">
        <f>VLOOKUP($A184,'01-02.2021'!$A$6:$CZ$403,16,FALSE)+VLOOKUP($A184,'1.3.21-28.2.22'!$A$6:$DA$404,16,FALSE)-VLOOKUP($A184,'01-02.2022'!$A$6:$DA$376,16,FALSE)</f>
        <v>0</v>
      </c>
      <c r="Q184" s="70">
        <f t="shared" si="176"/>
        <v>0</v>
      </c>
      <c r="R184" s="566">
        <f>VLOOKUP($A184,'01-02.2021'!$A$6:$CZ$403,18,FALSE)+VLOOKUP($A184,'1.3.21-28.2.22'!$A$6:$DA$404,18,FALSE)-VLOOKUP($A184,'01-02.2022'!$A$6:$DA$376,18,FALSE)</f>
        <v>0</v>
      </c>
      <c r="S184" s="566">
        <f>VLOOKUP($A184,'01-02.2021'!$A$6:$CZ$403,19,FALSE)+VLOOKUP($A184,'1.3.21-28.2.22'!$A$6:$DA$404,19,FALSE)-VLOOKUP($A184,'01-02.2022'!$A$6:$DA$376,19,FALSE)</f>
        <v>0</v>
      </c>
      <c r="T184" s="70">
        <f t="shared" si="177"/>
        <v>0</v>
      </c>
      <c r="U184" s="566">
        <f>VLOOKUP($A184,'01-02.2021'!$A$6:$CZ$403,21,FALSE)+VLOOKUP($A184,'1.3.21-28.2.22'!$A$6:$DA$404,21,FALSE)-VLOOKUP($A184,'01-02.2022'!$A$6:$DA$376,21,FALSE)</f>
        <v>0</v>
      </c>
      <c r="V184" s="566">
        <f>VLOOKUP($A184,'01-02.2021'!$A$6:$CZ$403,22,FALSE)+VLOOKUP($A184,'1.3.21-28.2.22'!$A$6:$DA$404,22,FALSE)-VLOOKUP($A184,'01-02.2022'!$A$6:$DA$376,22,FALSE)</f>
        <v>0</v>
      </c>
      <c r="W184" s="70">
        <f t="shared" si="178"/>
        <v>0</v>
      </c>
      <c r="X184" s="566">
        <f>VLOOKUP($A184,'01-02.2021'!$A$6:$CZ$403,24,FALSE)+VLOOKUP($A184,'1.3.21-28.2.22'!$A$6:$DA$404,24,FALSE)-VLOOKUP($A184,'01-02.2022'!$A$6:$DA$376,24,FALSE)</f>
        <v>0</v>
      </c>
      <c r="Y184" s="566">
        <f>VLOOKUP($A184,'01-02.2021'!$A$6:$CZ$403,25,FALSE)+VLOOKUP($A184,'1.3.21-28.2.22'!$A$6:$DA$404,25,FALSE)-VLOOKUP($A184,'01-02.2022'!$A$6:$DA$376,25,FALSE)</f>
        <v>0</v>
      </c>
      <c r="Z184" s="70">
        <f t="shared" si="179"/>
        <v>0</v>
      </c>
      <c r="AA184" s="566">
        <f>VLOOKUP($A184,'01-02.2021'!$A$6:$CZ$403,27,FALSE)+VLOOKUP($A184,'1.3.21-28.2.22'!$A$6:$DA$404,27,FALSE)-VLOOKUP($A184,'01-02.2022'!$A$6:$DA$376,27,FALSE)</f>
        <v>32.28</v>
      </c>
      <c r="AB184" s="566">
        <f>VLOOKUP($A184,'01-02.2021'!$A$6:$CZ$403,28,FALSE)+VLOOKUP($A184,'1.3.21-28.2.22'!$A$6:$DA$404,28,FALSE)-VLOOKUP($A184,'01-02.2022'!$A$6:$DA$376,28,FALSE)</f>
        <v>0</v>
      </c>
      <c r="AC184" s="70">
        <f t="shared" si="180"/>
        <v>-32.28</v>
      </c>
      <c r="AD184" s="566">
        <f>VLOOKUP($A184,'01-02.2021'!$A$6:$CZ$403,30,FALSE)+VLOOKUP($A184,'1.3.21-28.2.22'!$A$6:$DA$404,30,FALSE)-VLOOKUP($A184,'01-02.2022'!$A$6:$DA$376,30,FALSE)</f>
        <v>258.42577665090187</v>
      </c>
      <c r="AE184" s="566">
        <f>VLOOKUP($A184,'01-02.2021'!$A$6:$CZ$403,31,FALSE)+VLOOKUP($A184,'1.3.21-28.2.22'!$A$6:$DA$404,31,FALSE)-VLOOKUP($A184,'01-02.2022'!$A$6:$DA$376,31,FALSE)</f>
        <v>734.6993031692075</v>
      </c>
      <c r="AF184" s="68">
        <f t="shared" si="181"/>
        <v>476.27352651830563</v>
      </c>
      <c r="AG184" s="77">
        <f t="shared" si="150"/>
        <v>290.70577665090184</v>
      </c>
      <c r="AH184" s="53">
        <f t="shared" si="150"/>
        <v>734.6993031692075</v>
      </c>
      <c r="AI184" s="52">
        <f t="shared" si="157"/>
        <v>443.99352651830566</v>
      </c>
      <c r="AJ184" s="566">
        <f>VLOOKUP($A184,'01-02.2021'!$A$6:$CZ$403,36,FALSE)+VLOOKUP($A184,'1.3.21-28.2.22'!$A$6:$DA$404,36,FALSE)-VLOOKUP($A184,'01-02.2022'!$A$6:$DA$376,36,FALSE)</f>
        <v>0</v>
      </c>
      <c r="AK184" s="566">
        <f>VLOOKUP($A184,'01-02.2021'!$A$6:$CZ$403,37,FALSE)+VLOOKUP($A184,'1.3.21-28.2.22'!$A$6:$DA$404,37,FALSE)-VLOOKUP($A184,'01-02.2022'!$A$6:$DA$376,37,FALSE)</f>
        <v>0</v>
      </c>
      <c r="AL184" s="70">
        <f t="shared" si="182"/>
        <v>0</v>
      </c>
      <c r="AM184" s="566">
        <f>VLOOKUP($A184,'01-02.2021'!$A$6:$CZ$403,39,FALSE)+VLOOKUP($A184,'1.3.21-28.2.22'!$A$6:$DA$404,39,FALSE)-VLOOKUP($A184,'01-02.2022'!$A$6:$DA$376,39,FALSE)</f>
        <v>0</v>
      </c>
      <c r="AN184" s="566">
        <f>VLOOKUP($A184,'01-02.2021'!$A$6:$CZ$403,40,FALSE)+VLOOKUP($A184,'1.3.21-28.2.22'!$A$6:$DA$404,40,FALSE)-VLOOKUP($A184,'01-02.2022'!$A$6:$DA$376,40,FALSE)</f>
        <v>0</v>
      </c>
      <c r="AO184" s="70">
        <f t="shared" si="183"/>
        <v>0</v>
      </c>
      <c r="AP184" s="566">
        <f>VLOOKUP($A184,'01-02.2021'!$A$6:$CZ$403,42,FALSE)+VLOOKUP($A184,'1.3.21-28.2.22'!$A$6:$DA$404,42,FALSE)-VLOOKUP($A184,'01-02.2022'!$A$6:$DA$376,42,FALSE)</f>
        <v>303.65995625745347</v>
      </c>
      <c r="AQ184" s="566">
        <f>VLOOKUP($A184,'01-02.2021'!$A$6:$CZ$403,43,FALSE)+VLOOKUP($A184,'1.3.21-28.2.22'!$A$6:$DA$404,43,FALSE)-VLOOKUP($A184,'01-02.2022'!$A$6:$DA$376,43,FALSE)</f>
        <v>261.77929121744683</v>
      </c>
      <c r="AR184" s="70">
        <f t="shared" si="184"/>
        <v>-41.880665040006647</v>
      </c>
      <c r="AS184" s="566">
        <f>VLOOKUP($A184,'01-02.2021'!$A$6:$CZ$403,45,FALSE)+VLOOKUP($A184,'1.3.21-28.2.22'!$A$6:$DA$404,45,FALSE)-VLOOKUP($A184,'01-02.2022'!$A$6:$DA$376,45,FALSE)</f>
        <v>1779.5214303938901</v>
      </c>
      <c r="AT184" s="566">
        <f>VLOOKUP($A184,'01-02.2021'!$A$6:$CZ$403,46,FALSE)+VLOOKUP($A184,'1.3.21-28.2.22'!$A$6:$DA$404,46,FALSE)-VLOOKUP($A184,'01-02.2022'!$A$6:$DA$376,46,FALSE)</f>
        <v>0</v>
      </c>
      <c r="AU184" s="78">
        <f t="shared" si="185"/>
        <v>-1779.5214303938901</v>
      </c>
      <c r="AV184" s="566">
        <f>VLOOKUP($A184,'01-02.2021'!$A$6:$CZ$403,48,FALSE)+VLOOKUP($A184,'1.3.21-28.2.22'!$A$6:$DA$404,48,FALSE)-VLOOKUP($A184,'01-02.2022'!$A$6:$DA$376,48,FALSE)</f>
        <v>0</v>
      </c>
      <c r="AW184" s="566">
        <f>VLOOKUP($A184,'01-02.2021'!$A$6:$CZ$403,49,FALSE)+VLOOKUP($A184,'1.3.21-28.2.22'!$A$6:$DA$404,49,FALSE)-VLOOKUP($A184,'01-02.2022'!$A$6:$DA$376,49,FALSE)</f>
        <v>0</v>
      </c>
      <c r="AX184" s="55">
        <f t="shared" si="186"/>
        <v>0</v>
      </c>
      <c r="AY184" s="566">
        <f>VLOOKUP($A184,'01-02.2021'!$A$6:$CZ$403,51,FALSE)+VLOOKUP($A184,'1.3.21-28.2.22'!$A$6:$DA$404,51,FALSE)-VLOOKUP($A184,'01-02.2022'!$A$6:$DA$376,51,FALSE)</f>
        <v>0</v>
      </c>
      <c r="AZ184" s="566">
        <f>VLOOKUP($A184,'01-02.2021'!$A$6:$CZ$403,52,FALSE)+VLOOKUP($A184,'1.3.21-28.2.22'!$A$6:$DA$404,52,FALSE)-VLOOKUP($A184,'01-02.2022'!$A$6:$DA$376,52,FALSE)</f>
        <v>0</v>
      </c>
      <c r="BA184" s="38">
        <f t="shared" si="187"/>
        <v>0</v>
      </c>
      <c r="BB184" s="566">
        <f>VLOOKUP($A184,'01-02.2021'!$A$6:$CZ$403,54,FALSE)+VLOOKUP($A184,'1.3.21-28.2.22'!$A$6:$DA$404,54,FALSE)-VLOOKUP($A184,'01-02.2022'!$A$6:$DA$376,54,FALSE)</f>
        <v>0</v>
      </c>
      <c r="BC184" s="566">
        <f>VLOOKUP($A184,'01-02.2021'!$A$6:$CZ$403,55,FALSE)+VLOOKUP($A184,'1.3.21-28.2.22'!$A$6:$DA$404,55,FALSE)-VLOOKUP($A184,'01-02.2022'!$A$6:$DA$376,55,FALSE)</f>
        <v>0</v>
      </c>
      <c r="BD184" s="55">
        <f t="shared" si="188"/>
        <v>0</v>
      </c>
      <c r="BE184" s="566">
        <f>VLOOKUP($A184,'01-02.2021'!$A$6:$CZ$403,57,FALSE)+VLOOKUP($A184,'1.3.21-28.2.22'!$A$6:$DA$404,57,FALSE)-VLOOKUP($A184,'01-02.2022'!$A$6:$DA$376,57,FALSE)</f>
        <v>0</v>
      </c>
      <c r="BF184" s="566">
        <f>VLOOKUP($A184,'01-02.2021'!$A$6:$CZ$403,58,FALSE)+VLOOKUP($A184,'1.3.21-28.2.22'!$A$6:$DA$404,58,FALSE)-VLOOKUP($A184,'01-02.2022'!$A$6:$DA$376,58,FALSE)</f>
        <v>0</v>
      </c>
      <c r="BG184" s="55">
        <f t="shared" si="189"/>
        <v>0</v>
      </c>
      <c r="BH184" s="566">
        <f>VLOOKUP($A184,'01-02.2021'!$A$6:$CZ$403,60,FALSE)+VLOOKUP($A184,'1.3.21-28.2.22'!$A$6:$DA$404,60,FALSE)-VLOOKUP($A184,'01-02.2022'!$A$6:$DA$376,60,FALSE)</f>
        <v>0</v>
      </c>
      <c r="BI184" s="566">
        <f>VLOOKUP($A184,'01-02.2021'!$A$6:$CZ$403,61,FALSE)+VLOOKUP($A184,'1.3.21-28.2.22'!$A$6:$DA$404,61,FALSE)-VLOOKUP($A184,'01-02.2022'!$A$6:$DA$376,61,FALSE)</f>
        <v>0</v>
      </c>
      <c r="BJ184" s="55">
        <f t="shared" si="190"/>
        <v>0</v>
      </c>
      <c r="BK184" s="566">
        <f>VLOOKUP($A184,'01-02.2021'!$A$6:$CZ$403,63,FALSE)+VLOOKUP($A184,'1.3.21-28.2.22'!$A$6:$DA$404,63,FALSE)-VLOOKUP($A184,'01-02.2022'!$A$6:$DA$376,63,FALSE)</f>
        <v>0</v>
      </c>
      <c r="BL184" s="566">
        <f>VLOOKUP($A184,'01-02.2021'!$A$6:$CZ$403,64,FALSE)+VLOOKUP($A184,'1.3.21-28.2.22'!$A$6:$DA$404,64,FALSE)-VLOOKUP($A184,'01-02.2022'!$A$6:$DA$376,64,FALSE)</f>
        <v>0</v>
      </c>
      <c r="BM184" s="55">
        <f t="shared" si="191"/>
        <v>0</v>
      </c>
      <c r="BN184" s="566">
        <f>VLOOKUP($A184,'01-02.2021'!$A$6:$CZ$403,66,FALSE)+VLOOKUP($A184,'1.3.21-28.2.22'!$A$6:$DA$404,66,FALSE)-VLOOKUP($A184,'01-02.2022'!$A$6:$DA$376,66,FALSE)</f>
        <v>14.15081009352954</v>
      </c>
      <c r="BO184" s="566">
        <f>VLOOKUP($A184,'01-02.2021'!$A$6:$CZ$403,67,FALSE)+VLOOKUP($A184,'1.3.21-28.2.22'!$A$6:$DA$404,67,FALSE)-VLOOKUP($A184,'01-02.2022'!$A$6:$DA$376,67,FALSE)</f>
        <v>0</v>
      </c>
      <c r="BP184" s="55">
        <f t="shared" si="192"/>
        <v>-14.15081009352954</v>
      </c>
      <c r="BQ184" s="77">
        <f t="shared" si="209"/>
        <v>14.15081009352954</v>
      </c>
      <c r="BR184" s="40">
        <f t="shared" si="210"/>
        <v>0</v>
      </c>
      <c r="BS184" s="55">
        <f t="shared" si="166"/>
        <v>-14.15081009352954</v>
      </c>
      <c r="BT184" s="566">
        <f>VLOOKUP($A184,'01-02.2021'!$A$6:$CZ$403,72,FALSE)+VLOOKUP($A184,'1.3.21-28.2.22'!$A$6:$DA$404,72,FALSE)-VLOOKUP($A184,'01-02.2022'!$A$6:$DA$376,72,FALSE)</f>
        <v>558.29691759794196</v>
      </c>
      <c r="BU184" s="566">
        <f>VLOOKUP($A184,'01-02.2021'!$A$6:$CZ$403,73,FALSE)+VLOOKUP($A184,'1.3.21-28.2.22'!$A$6:$DA$404,73,FALSE)-VLOOKUP($A184,'01-02.2022'!$A$6:$DA$376,73,FALSE)</f>
        <v>866.15606925508473</v>
      </c>
      <c r="BV184" s="70">
        <f t="shared" si="193"/>
        <v>307.85915165714277</v>
      </c>
      <c r="BW184" s="566">
        <f>VLOOKUP($A184,'01-02.2021'!$A$6:$CZ$403,75,FALSE)+VLOOKUP($A184,'1.3.21-28.2.22'!$A$6:$DA$404,75,FALSE)-VLOOKUP($A184,'01-02.2022'!$A$6:$DA$376,75,FALSE)</f>
        <v>0</v>
      </c>
      <c r="BX184" s="566">
        <f>VLOOKUP($A184,'01-02.2021'!$A$6:$CZ$403,76,FALSE)+VLOOKUP($A184,'1.3.21-28.2.22'!$A$6:$DA$404,76,FALSE)-VLOOKUP($A184,'01-02.2022'!$A$6:$DA$376,76,FALSE)</f>
        <v>3.617230721873629</v>
      </c>
      <c r="BY184" s="70">
        <f t="shared" si="194"/>
        <v>3.617230721873629</v>
      </c>
      <c r="BZ184" s="566">
        <f>VLOOKUP($A184,'01-02.2021'!$A$6:$CZ$403,78,FALSE)+VLOOKUP($A184,'1.3.21-28.2.22'!$A$6:$DA$404,78,FALSE)-VLOOKUP($A184,'01-02.2022'!$A$6:$DA$376,78,FALSE)</f>
        <v>0</v>
      </c>
      <c r="CA184" s="566">
        <f>VLOOKUP($A184,'01-02.2021'!$A$6:$CZ$403,79,FALSE)+VLOOKUP($A184,'1.3.21-28.2.22'!$A$6:$DA$404,79,FALSE)-VLOOKUP($A184,'01-02.2022'!$A$6:$DA$376,79,FALSE)</f>
        <v>52.816830194569661</v>
      </c>
      <c r="CB184" s="70">
        <f t="shared" si="195"/>
        <v>52.816830194569661</v>
      </c>
      <c r="CC184" s="566">
        <f>VLOOKUP($A184,'01-02.2021'!$A$6:$CZ$403,81,FALSE)+VLOOKUP($A184,'1.3.21-28.2.22'!$A$6:$DA$404,81,FALSE)-VLOOKUP($A184,'01-02.2022'!$A$6:$DA$376,81,FALSE)</f>
        <v>0</v>
      </c>
      <c r="CD184" s="566">
        <f>VLOOKUP($A184,'01-02.2021'!$A$6:$CZ$403,82,FALSE)+VLOOKUP($A184,'1.3.21-28.2.22'!$A$6:$DA$404,82,FALSE)-VLOOKUP($A184,'01-02.2022'!$A$6:$DA$376,82,FALSE)</f>
        <v>0</v>
      </c>
      <c r="CE184" s="70">
        <f t="shared" si="196"/>
        <v>0</v>
      </c>
      <c r="CF184" s="566">
        <f>VLOOKUP($A184,'01-02.2021'!$A$6:$CZ$403,84,FALSE)+VLOOKUP($A184,'1.3.21-28.2.22'!$A$6:$DA$404,84,FALSE)-VLOOKUP($A184,'01-02.2022'!$A$6:$DA$376,84,FALSE)</f>
        <v>0</v>
      </c>
      <c r="CG184" s="566">
        <f>VLOOKUP($A184,'01-02.2021'!$A$6:$CZ$403,85,FALSE)+VLOOKUP($A184,'1.3.21-28.2.22'!$A$6:$DA$404,85,FALSE)-VLOOKUP($A184,'01-02.2022'!$A$6:$DA$376,85,FALSE)</f>
        <v>0</v>
      </c>
      <c r="CH184" s="70">
        <f t="shared" si="197"/>
        <v>0</v>
      </c>
      <c r="CI184" s="566">
        <f>VLOOKUP($A184,'01-02.2021'!$A$6:$CZ$403,87,FALSE)+VLOOKUP($A184,'1.3.21-28.2.22'!$A$6:$DA$404,87,FALSE)-VLOOKUP($A184,'01-02.2022'!$A$6:$DA$376,87,FALSE)</f>
        <v>0</v>
      </c>
      <c r="CJ184" s="566">
        <f>VLOOKUP($A184,'01-02.2021'!$A$6:$CZ$403,88,FALSE)+VLOOKUP($A184,'1.3.21-28.2.22'!$A$6:$DA$404,88,FALSE)-VLOOKUP($A184,'01-02.2022'!$A$6:$DA$376,88,FALSE)</f>
        <v>0</v>
      </c>
      <c r="CK184" s="70">
        <f t="shared" si="198"/>
        <v>0</v>
      </c>
      <c r="CL184" s="566">
        <f>VLOOKUP($A184,'01-02.2021'!$A$6:$CZ$403,90,FALSE)+VLOOKUP($A184,'1.3.21-28.2.22'!$A$6:$DA$404,90,FALSE)-VLOOKUP($A184,'01-02.2022'!$A$6:$DA$376,90,FALSE)</f>
        <v>0</v>
      </c>
      <c r="CM184" s="566">
        <f>VLOOKUP($A184,'01-02.2021'!$A$6:$CZ$403,91,FALSE)+VLOOKUP($A184,'1.3.21-28.2.22'!$A$6:$DA$404,91,FALSE)-VLOOKUP($A184,'01-02.2022'!$A$6:$DA$376,91,FALSE)</f>
        <v>0</v>
      </c>
      <c r="CN184" s="52">
        <f t="shared" si="158"/>
        <v>0</v>
      </c>
      <c r="CO184" s="39">
        <f t="shared" si="153"/>
        <v>0</v>
      </c>
      <c r="CP184" s="40">
        <f t="shared" si="159"/>
        <v>0</v>
      </c>
      <c r="CQ184" s="52">
        <f t="shared" si="160"/>
        <v>0</v>
      </c>
      <c r="CR184" s="72">
        <f t="shared" si="154"/>
        <v>2946.3348909937167</v>
      </c>
      <c r="CS184" s="5">
        <f t="shared" si="154"/>
        <v>1919.0687245581826</v>
      </c>
      <c r="CT184" s="52">
        <f t="shared" si="161"/>
        <v>-1027.2661664355342</v>
      </c>
      <c r="CU184" s="77">
        <f t="shared" si="162"/>
        <v>3535.6018691924601</v>
      </c>
      <c r="CV184" s="65">
        <f t="shared" si="163"/>
        <v>2302.8824694698192</v>
      </c>
      <c r="CW184" s="35">
        <f t="shared" si="164"/>
        <v>-1232.7193997226409</v>
      </c>
      <c r="CX184" s="566">
        <f>VLOOKUP($A184,'01-02.2021'!$A$6:$CZ$403,102,FALSE)+VLOOKUP($A184,'1.3.21-28.2.22'!$A$6:$DA$404,102,FALSE)-VLOOKUP($A184,'01-02.2022'!$A$6:$DA$376,102,FALSE)</f>
        <v>157.47849205744333</v>
      </c>
      <c r="CY184" s="566">
        <f>VLOOKUP($A184,'01-02.2021'!$A$6:$CZ$403,103,FALSE)+VLOOKUP($A184,'1.3.21-28.2.22'!$A$6:$DA$404,103,FALSE)-VLOOKUP($A184,'01-02.2022'!$A$6:$DA$376,103,FALSE)</f>
        <v>1390.1978917800852</v>
      </c>
      <c r="CZ184" s="52">
        <f t="shared" si="165"/>
        <v>1232.7193997226418</v>
      </c>
      <c r="DA184" s="150">
        <f>'[2]побудинковий звіт'!DA184</f>
        <v>-4829.5850056727995</v>
      </c>
      <c r="DB184" s="2">
        <v>1</v>
      </c>
      <c r="DC184" s="414">
        <f>'[4]побудинковий звіт'!DC184</f>
        <v>335.71</v>
      </c>
      <c r="DD184" s="414">
        <f>'[4]побудинковий звіт'!DD184</f>
        <v>0</v>
      </c>
      <c r="DE184" s="557">
        <f>'[4]побудинковий звіт'!DE184</f>
        <v>3.0399675624721567E-3</v>
      </c>
      <c r="DF184" s="557">
        <f>'[4]побудинковий звіт'!DF184</f>
        <v>0</v>
      </c>
      <c r="DG184" s="321">
        <f>VLOOKUP(A184,'кошти 01.03.2021'!$A$6:$D$401,4,)</f>
        <v>-3816.9972164555052</v>
      </c>
      <c r="DH184" s="40">
        <f>'[3]побудинковий звіт'!DJ184</f>
        <v>3825.2932630975497</v>
      </c>
      <c r="DI184" s="422">
        <f>'[3]побудинковий звіт'!CU184+'[3]побудинковий звіт'!CX184</f>
        <v>335.70696003243745</v>
      </c>
      <c r="DJ184" s="306">
        <f>'[3]побудинковий звіт'!DM184</f>
        <v>2.0799687734351764</v>
      </c>
      <c r="DK184" s="306">
        <f t="shared" si="216"/>
        <v>2.0799687734351764</v>
      </c>
      <c r="DL184" s="306">
        <f>'[3]побудинковий звіт'!DO184</f>
        <v>2.0799687734351764</v>
      </c>
      <c r="DM184" s="28">
        <f t="shared" si="217"/>
        <v>335.70696003243751</v>
      </c>
      <c r="DN184" s="28">
        <f>H184*DL184</f>
        <v>0</v>
      </c>
      <c r="DO184" s="423">
        <f t="shared" si="171"/>
        <v>335.70696003243751</v>
      </c>
      <c r="DP184" s="94">
        <f t="shared" si="172"/>
        <v>0</v>
      </c>
      <c r="DQ184" s="28">
        <f t="shared" si="173"/>
        <v>335.70696003243751</v>
      </c>
      <c r="DR184" s="318"/>
      <c r="DT184" s="8"/>
      <c r="DU184" s="5"/>
      <c r="DX184" s="5">
        <f t="shared" si="174"/>
        <v>2152.4066885849033</v>
      </c>
      <c r="DY184" s="5">
        <f t="shared" si="175"/>
        <v>0</v>
      </c>
      <c r="DZ184" s="159">
        <f>'[3]побудинковий звіт'!EA184</f>
        <v>193.94149335927588</v>
      </c>
    </row>
    <row r="185" spans="1:130" x14ac:dyDescent="0.3">
      <c r="A185" s="325">
        <v>150001032</v>
      </c>
      <c r="B185" s="41" t="s">
        <v>633</v>
      </c>
      <c r="C185" s="42" t="s">
        <v>370</v>
      </c>
      <c r="D185" s="42"/>
      <c r="E185" s="293">
        <f t="shared" ref="E185:E243" si="218">F185+H185</f>
        <v>6020</v>
      </c>
      <c r="F185" s="305">
        <f>'[3]побудинковий звіт'!F185</f>
        <v>6020</v>
      </c>
      <c r="G185" s="508">
        <f>'[3]побудинковий звіт'!G185</f>
        <v>735.55</v>
      </c>
      <c r="H185" s="560">
        <f>'[3]побудинковий звіт'!H185</f>
        <v>0</v>
      </c>
      <c r="I185" s="566">
        <f>VLOOKUP($A185,'01-02.2021'!$A$6:$CZ$403,9,FALSE)+VLOOKUP($A185,'1.3.21-28.2.22'!$A$6:$DA$404,9,FALSE)-VLOOKUP($A185,'01-02.2022'!$A$6:$DA$376,9,FALSE)</f>
        <v>13474.093600455606</v>
      </c>
      <c r="J185" s="566">
        <f>VLOOKUP($A185,'01-02.2021'!$A$6:$CZ$403,10,FALSE)+VLOOKUP($A185,'1.3.21-28.2.22'!$A$6:$DA$404,10,FALSE)-VLOOKUP($A185,'01-02.2022'!$A$6:$DA$376,10,FALSE)</f>
        <v>12297.696390737519</v>
      </c>
      <c r="K185" s="52">
        <f t="shared" si="155"/>
        <v>-1176.3972097180867</v>
      </c>
      <c r="L185" s="566">
        <f>VLOOKUP($A185,'01-02.2021'!$A$6:$CZ$403,12,FALSE)+VLOOKUP($A185,'1.3.21-28.2.22'!$A$6:$DA$404,12,FALSE)-VLOOKUP($A185,'01-02.2022'!$A$6:$DA$376,12,FALSE)</f>
        <v>1810.5518920024169</v>
      </c>
      <c r="M185" s="566">
        <f>VLOOKUP($A185,'01-02.2021'!$A$6:$CZ$403,13,FALSE)+VLOOKUP($A185,'1.3.21-28.2.22'!$A$6:$DA$404,13,FALSE)-VLOOKUP($A185,'01-02.2022'!$A$6:$DA$376,13,FALSE)</f>
        <v>1648.568399594413</v>
      </c>
      <c r="N185" s="52">
        <f t="shared" si="156"/>
        <v>-161.98349240800394</v>
      </c>
      <c r="O185" s="566">
        <f>VLOOKUP($A185,'01-02.2021'!$A$6:$CZ$403,15,FALSE)+VLOOKUP($A185,'1.3.21-28.2.22'!$A$6:$DA$404,15,FALSE)-VLOOKUP($A185,'01-02.2022'!$A$6:$DA$376,15,FALSE)</f>
        <v>8159.4506294622361</v>
      </c>
      <c r="P185" s="566">
        <f>VLOOKUP($A185,'01-02.2021'!$A$6:$CZ$403,16,FALSE)+VLOOKUP($A185,'1.3.21-28.2.22'!$A$6:$DA$404,16,FALSE)-VLOOKUP($A185,'01-02.2022'!$A$6:$DA$376,16,FALSE)</f>
        <v>8159.4400000000014</v>
      </c>
      <c r="Q185" s="70">
        <f t="shared" si="176"/>
        <v>-1.062946223464678E-2</v>
      </c>
      <c r="R185" s="566">
        <f>VLOOKUP($A185,'01-02.2021'!$A$6:$CZ$403,18,FALSE)+VLOOKUP($A185,'1.3.21-28.2.22'!$A$6:$DA$404,18,FALSE)-VLOOKUP($A185,'01-02.2022'!$A$6:$DA$376,18,FALSE)</f>
        <v>1712.4949530470508</v>
      </c>
      <c r="S185" s="566">
        <f>VLOOKUP($A185,'01-02.2021'!$A$6:$CZ$403,19,FALSE)+VLOOKUP($A185,'1.3.21-28.2.22'!$A$6:$DA$404,19,FALSE)-VLOOKUP($A185,'01-02.2022'!$A$6:$DA$376,19,FALSE)</f>
        <v>1712.5100000000002</v>
      </c>
      <c r="T185" s="70">
        <f t="shared" si="177"/>
        <v>1.5046952949433035E-2</v>
      </c>
      <c r="U185" s="566">
        <f>VLOOKUP($A185,'01-02.2021'!$A$6:$CZ$403,21,FALSE)+VLOOKUP($A185,'1.3.21-28.2.22'!$A$6:$DA$404,21,FALSE)-VLOOKUP($A185,'01-02.2022'!$A$6:$DA$376,21,FALSE)</f>
        <v>1487.8536501172364</v>
      </c>
      <c r="V185" s="566">
        <f>VLOOKUP($A185,'01-02.2021'!$A$6:$CZ$403,22,FALSE)+VLOOKUP($A185,'1.3.21-28.2.22'!$A$6:$DA$404,22,FALSE)-VLOOKUP($A185,'01-02.2022'!$A$6:$DA$376,22,FALSE)</f>
        <v>986.22102643115738</v>
      </c>
      <c r="W185" s="70">
        <f t="shared" si="178"/>
        <v>-501.632623686079</v>
      </c>
      <c r="X185" s="566">
        <f>VLOOKUP($A185,'01-02.2021'!$A$6:$CZ$403,24,FALSE)+VLOOKUP($A185,'1.3.21-28.2.22'!$A$6:$DA$404,24,FALSE)-VLOOKUP($A185,'01-02.2022'!$A$6:$DA$376,24,FALSE)</f>
        <v>13351.939504641556</v>
      </c>
      <c r="Y185" s="566">
        <f>VLOOKUP($A185,'01-02.2021'!$A$6:$CZ$403,25,FALSE)+VLOOKUP($A185,'1.3.21-28.2.22'!$A$6:$DA$404,25,FALSE)-VLOOKUP($A185,'01-02.2022'!$A$6:$DA$376,25,FALSE)</f>
        <v>11100.815366904913</v>
      </c>
      <c r="Z185" s="70">
        <f t="shared" si="179"/>
        <v>-2251.1241377366423</v>
      </c>
      <c r="AA185" s="566">
        <f>VLOOKUP($A185,'01-02.2021'!$A$6:$CZ$403,27,FALSE)+VLOOKUP($A185,'1.3.21-28.2.22'!$A$6:$DA$404,27,FALSE)-VLOOKUP($A185,'01-02.2022'!$A$6:$DA$376,27,FALSE)</f>
        <v>1204.21</v>
      </c>
      <c r="AB185" s="566">
        <f>VLOOKUP($A185,'01-02.2021'!$A$6:$CZ$403,28,FALSE)+VLOOKUP($A185,'1.3.21-28.2.22'!$A$6:$DA$404,28,FALSE)-VLOOKUP($A185,'01-02.2022'!$A$6:$DA$376,28,FALSE)</f>
        <v>0</v>
      </c>
      <c r="AC185" s="70">
        <f t="shared" si="180"/>
        <v>-1204.21</v>
      </c>
      <c r="AD185" s="566">
        <f>VLOOKUP($A185,'01-02.2021'!$A$6:$CZ$403,30,FALSE)+VLOOKUP($A185,'1.3.21-28.2.22'!$A$6:$DA$404,30,FALSE)-VLOOKUP($A185,'01-02.2022'!$A$6:$DA$376,30,FALSE)</f>
        <v>25859.530524600228</v>
      </c>
      <c r="AE185" s="566">
        <f>VLOOKUP($A185,'01-02.2021'!$A$6:$CZ$403,31,FALSE)+VLOOKUP($A185,'1.3.21-28.2.22'!$A$6:$DA$404,31,FALSE)-VLOOKUP($A185,'01-02.2022'!$A$6:$DA$376,31,FALSE)</f>
        <v>27403.282559347139</v>
      </c>
      <c r="AF185" s="68">
        <f t="shared" si="181"/>
        <v>1543.7520347469108</v>
      </c>
      <c r="AG185" s="77">
        <f t="shared" ref="AG185:AH243" si="219">I185+L185+O185+R185+U185+X185+AA185+AD185</f>
        <v>67060.124754326331</v>
      </c>
      <c r="AH185" s="53">
        <f t="shared" si="219"/>
        <v>63308.533743015141</v>
      </c>
      <c r="AI185" s="52">
        <f t="shared" si="157"/>
        <v>-3751.5910113111895</v>
      </c>
      <c r="AJ185" s="566">
        <f>VLOOKUP($A185,'01-02.2021'!$A$6:$CZ$403,36,FALSE)+VLOOKUP($A185,'1.3.21-28.2.22'!$A$6:$DA$404,36,FALSE)-VLOOKUP($A185,'01-02.2022'!$A$6:$DA$376,36,FALSE)</f>
        <v>70590.247903409734</v>
      </c>
      <c r="AK185" s="566">
        <f>VLOOKUP($A185,'01-02.2021'!$A$6:$CZ$403,37,FALSE)+VLOOKUP($A185,'1.3.21-28.2.22'!$A$6:$DA$404,37,FALSE)-VLOOKUP($A185,'01-02.2022'!$A$6:$DA$376,37,FALSE)</f>
        <v>70153.917627887437</v>
      </c>
      <c r="AL185" s="70">
        <f t="shared" si="182"/>
        <v>-436.3302755222976</v>
      </c>
      <c r="AM185" s="566">
        <f>VLOOKUP($A185,'01-02.2021'!$A$6:$CZ$403,39,FALSE)+VLOOKUP($A185,'1.3.21-28.2.22'!$A$6:$DA$404,39,FALSE)-VLOOKUP($A185,'01-02.2022'!$A$6:$DA$376,39,FALSE)</f>
        <v>0</v>
      </c>
      <c r="AN185" s="566">
        <f>VLOOKUP($A185,'01-02.2021'!$A$6:$CZ$403,40,FALSE)+VLOOKUP($A185,'1.3.21-28.2.22'!$A$6:$DA$404,40,FALSE)-VLOOKUP($A185,'01-02.2022'!$A$6:$DA$376,40,FALSE)</f>
        <v>0</v>
      </c>
      <c r="AO185" s="70">
        <f t="shared" si="183"/>
        <v>0</v>
      </c>
      <c r="AP185" s="566">
        <f>VLOOKUP($A185,'01-02.2021'!$A$6:$CZ$403,42,FALSE)+VLOOKUP($A185,'1.3.21-28.2.22'!$A$6:$DA$404,42,FALSE)-VLOOKUP($A185,'01-02.2022'!$A$6:$DA$376,42,FALSE)</f>
        <v>4641.6593313639314</v>
      </c>
      <c r="AQ185" s="566">
        <f>VLOOKUP($A185,'01-02.2021'!$A$6:$CZ$403,43,FALSE)+VLOOKUP($A185,'1.3.21-28.2.22'!$A$6:$DA$404,43,FALSE)-VLOOKUP($A185,'01-02.2022'!$A$6:$DA$376,43,FALSE)</f>
        <v>4076.9010115606934</v>
      </c>
      <c r="AR185" s="70">
        <f t="shared" si="184"/>
        <v>-564.75831980323801</v>
      </c>
      <c r="AS185" s="566">
        <f>VLOOKUP($A185,'01-02.2021'!$A$6:$CZ$403,45,FALSE)+VLOOKUP($A185,'1.3.21-28.2.22'!$A$6:$DA$404,45,FALSE)-VLOOKUP($A185,'01-02.2022'!$A$6:$DA$376,45,FALSE)</f>
        <v>81597.665309218806</v>
      </c>
      <c r="AT185" s="566">
        <f>VLOOKUP($A185,'01-02.2021'!$A$6:$CZ$403,46,FALSE)+VLOOKUP($A185,'1.3.21-28.2.22'!$A$6:$DA$404,46,FALSE)-VLOOKUP($A185,'01-02.2022'!$A$6:$DA$376,46,FALSE)</f>
        <v>95655.08</v>
      </c>
      <c r="AU185" s="78">
        <f t="shared" si="185"/>
        <v>14057.414690781196</v>
      </c>
      <c r="AV185" s="566">
        <f>VLOOKUP($A185,'01-02.2021'!$A$6:$CZ$403,48,FALSE)+VLOOKUP($A185,'1.3.21-28.2.22'!$A$6:$DA$404,48,FALSE)-VLOOKUP($A185,'01-02.2022'!$A$6:$DA$376,48,FALSE)</f>
        <v>2574.2831972070639</v>
      </c>
      <c r="AW185" s="566">
        <f>VLOOKUP($A185,'01-02.2021'!$A$6:$CZ$403,49,FALSE)+VLOOKUP($A185,'1.3.21-28.2.22'!$A$6:$DA$404,49,FALSE)-VLOOKUP($A185,'01-02.2022'!$A$6:$DA$376,49,FALSE)</f>
        <v>2595</v>
      </c>
      <c r="AX185" s="55">
        <f t="shared" si="186"/>
        <v>20.716802792936051</v>
      </c>
      <c r="AY185" s="566">
        <f>VLOOKUP($A185,'01-02.2021'!$A$6:$CZ$403,51,FALSE)+VLOOKUP($A185,'1.3.21-28.2.22'!$A$6:$DA$404,51,FALSE)-VLOOKUP($A185,'01-02.2022'!$A$6:$DA$376,51,FALSE)</f>
        <v>2789.9959095930758</v>
      </c>
      <c r="AZ185" s="566">
        <f>VLOOKUP($A185,'01-02.2021'!$A$6:$CZ$403,52,FALSE)+VLOOKUP($A185,'1.3.21-28.2.22'!$A$6:$DA$404,52,FALSE)-VLOOKUP($A185,'01-02.2022'!$A$6:$DA$376,52,FALSE)</f>
        <v>4887</v>
      </c>
      <c r="BA185" s="38">
        <f t="shared" si="187"/>
        <v>2097.0040904069242</v>
      </c>
      <c r="BB185" s="566">
        <f>VLOOKUP($A185,'01-02.2021'!$A$6:$CZ$403,54,FALSE)+VLOOKUP($A185,'1.3.21-28.2.22'!$A$6:$DA$404,54,FALSE)-VLOOKUP($A185,'01-02.2022'!$A$6:$DA$376,54,FALSE)</f>
        <v>2288.9512106626894</v>
      </c>
      <c r="BC185" s="566">
        <f>VLOOKUP($A185,'01-02.2021'!$A$6:$CZ$403,55,FALSE)+VLOOKUP($A185,'1.3.21-28.2.22'!$A$6:$DA$404,55,FALSE)-VLOOKUP($A185,'01-02.2022'!$A$6:$DA$376,55,FALSE)</f>
        <v>996</v>
      </c>
      <c r="BD185" s="55">
        <f t="shared" si="188"/>
        <v>-1292.9512106626894</v>
      </c>
      <c r="BE185" s="566">
        <f>VLOOKUP($A185,'01-02.2021'!$A$6:$CZ$403,57,FALSE)+VLOOKUP($A185,'1.3.21-28.2.22'!$A$6:$DA$404,57,FALSE)-VLOOKUP($A185,'01-02.2022'!$A$6:$DA$376,57,FALSE)</f>
        <v>3471.2112984189198</v>
      </c>
      <c r="BF185" s="566">
        <f>VLOOKUP($A185,'01-02.2021'!$A$6:$CZ$403,58,FALSE)+VLOOKUP($A185,'1.3.21-28.2.22'!$A$6:$DA$404,58,FALSE)-VLOOKUP($A185,'01-02.2022'!$A$6:$DA$376,58,FALSE)</f>
        <v>996</v>
      </c>
      <c r="BG185" s="55">
        <f t="shared" si="189"/>
        <v>-2475.2112984189198</v>
      </c>
      <c r="BH185" s="566">
        <f>VLOOKUP($A185,'01-02.2021'!$A$6:$CZ$403,60,FALSE)+VLOOKUP($A185,'1.3.21-28.2.22'!$A$6:$DA$404,60,FALSE)-VLOOKUP($A185,'01-02.2022'!$A$6:$DA$376,60,FALSE)</f>
        <v>2826.7825576164178</v>
      </c>
      <c r="BI185" s="566">
        <f>VLOOKUP($A185,'01-02.2021'!$A$6:$CZ$403,61,FALSE)+VLOOKUP($A185,'1.3.21-28.2.22'!$A$6:$DA$404,61,FALSE)-VLOOKUP($A185,'01-02.2022'!$A$6:$DA$376,61,FALSE)</f>
        <v>0</v>
      </c>
      <c r="BJ185" s="55">
        <f t="shared" si="190"/>
        <v>-2826.7825576164178</v>
      </c>
      <c r="BK185" s="566">
        <f>VLOOKUP($A185,'01-02.2021'!$A$6:$CZ$403,63,FALSE)+VLOOKUP($A185,'1.3.21-28.2.22'!$A$6:$DA$404,63,FALSE)-VLOOKUP($A185,'01-02.2022'!$A$6:$DA$376,63,FALSE)</f>
        <v>3689.9985378370175</v>
      </c>
      <c r="BL185" s="566">
        <f>VLOOKUP($A185,'01-02.2021'!$A$6:$CZ$403,64,FALSE)+VLOOKUP($A185,'1.3.21-28.2.22'!$A$6:$DA$404,64,FALSE)-VLOOKUP($A185,'01-02.2022'!$A$6:$DA$376,64,FALSE)</f>
        <v>657</v>
      </c>
      <c r="BM185" s="55">
        <f t="shared" si="191"/>
        <v>-3032.9985378370175</v>
      </c>
      <c r="BN185" s="566">
        <f>VLOOKUP($A185,'01-02.2021'!$A$6:$CZ$403,66,FALSE)+VLOOKUP($A185,'1.3.21-28.2.22'!$A$6:$DA$404,66,FALSE)-VLOOKUP($A185,'01-02.2022'!$A$6:$DA$376,66,FALSE)</f>
        <v>969.62106658166658</v>
      </c>
      <c r="BO185" s="566">
        <f>VLOOKUP($A185,'01-02.2021'!$A$6:$CZ$403,67,FALSE)+VLOOKUP($A185,'1.3.21-28.2.22'!$A$6:$DA$404,67,FALSE)-VLOOKUP($A185,'01-02.2022'!$A$6:$DA$376,67,FALSE)</f>
        <v>5601.82</v>
      </c>
      <c r="BP185" s="55">
        <f t="shared" si="192"/>
        <v>4632.1989334183327</v>
      </c>
      <c r="BQ185" s="77">
        <f t="shared" si="209"/>
        <v>18610.843777916849</v>
      </c>
      <c r="BR185" s="40">
        <f t="shared" si="210"/>
        <v>15732.82</v>
      </c>
      <c r="BS185" s="55">
        <f t="shared" si="166"/>
        <v>-2878.0237779168492</v>
      </c>
      <c r="BT185" s="566">
        <f>VLOOKUP($A185,'01-02.2021'!$A$6:$CZ$403,72,FALSE)+VLOOKUP($A185,'1.3.21-28.2.22'!$A$6:$DA$404,72,FALSE)-VLOOKUP($A185,'01-02.2022'!$A$6:$DA$376,72,FALSE)</f>
        <v>73970.037546632666</v>
      </c>
      <c r="BU185" s="566">
        <f>VLOOKUP($A185,'01-02.2021'!$A$6:$CZ$403,73,FALSE)+VLOOKUP($A185,'1.3.21-28.2.22'!$A$6:$DA$404,73,FALSE)-VLOOKUP($A185,'01-02.2022'!$A$6:$DA$376,73,FALSE)</f>
        <v>76977.498846875809</v>
      </c>
      <c r="BV185" s="70">
        <f t="shared" si="193"/>
        <v>3007.4613002431433</v>
      </c>
      <c r="BW185" s="566">
        <f>VLOOKUP($A185,'01-02.2021'!$A$6:$CZ$403,75,FALSE)+VLOOKUP($A185,'1.3.21-28.2.22'!$A$6:$DA$404,75,FALSE)-VLOOKUP($A185,'01-02.2022'!$A$6:$DA$376,75,FALSE)</f>
        <v>55088.056054459739</v>
      </c>
      <c r="BX185" s="566">
        <f>VLOOKUP($A185,'01-02.2021'!$A$6:$CZ$403,76,FALSE)+VLOOKUP($A185,'1.3.21-28.2.22'!$A$6:$DA$404,76,FALSE)-VLOOKUP($A185,'01-02.2022'!$A$6:$DA$376,76,FALSE)</f>
        <v>51591.659646856853</v>
      </c>
      <c r="BY185" s="70">
        <f t="shared" si="194"/>
        <v>-3496.396407602886</v>
      </c>
      <c r="BZ185" s="566">
        <f>VLOOKUP($A185,'01-02.2021'!$A$6:$CZ$403,78,FALSE)+VLOOKUP($A185,'1.3.21-28.2.22'!$A$6:$DA$404,78,FALSE)-VLOOKUP($A185,'01-02.2022'!$A$6:$DA$376,78,FALSE)</f>
        <v>12145.272605929154</v>
      </c>
      <c r="CA185" s="566">
        <f>VLOOKUP($A185,'01-02.2021'!$A$6:$CZ$403,79,FALSE)+VLOOKUP($A185,'1.3.21-28.2.22'!$A$6:$DA$404,79,FALSE)-VLOOKUP($A185,'01-02.2022'!$A$6:$DA$376,79,FALSE)</f>
        <v>19625.537743533852</v>
      </c>
      <c r="CB185" s="70">
        <f t="shared" si="195"/>
        <v>7480.2651376046979</v>
      </c>
      <c r="CC185" s="566">
        <f>VLOOKUP($A185,'01-02.2021'!$A$6:$CZ$403,81,FALSE)+VLOOKUP($A185,'1.3.21-28.2.22'!$A$6:$DA$404,81,FALSE)-VLOOKUP($A185,'01-02.2022'!$A$6:$DA$376,81,FALSE)</f>
        <v>2459.9556693250893</v>
      </c>
      <c r="CD185" s="566">
        <f>VLOOKUP($A185,'01-02.2021'!$A$6:$CZ$403,82,FALSE)+VLOOKUP($A185,'1.3.21-28.2.22'!$A$6:$DA$404,82,FALSE)-VLOOKUP($A185,'01-02.2022'!$A$6:$DA$376,82,FALSE)</f>
        <v>2681.2006190579887</v>
      </c>
      <c r="CE185" s="70">
        <f t="shared" si="196"/>
        <v>221.24494973289939</v>
      </c>
      <c r="CF185" s="566">
        <f>VLOOKUP($A185,'01-02.2021'!$A$6:$CZ$403,84,FALSE)+VLOOKUP($A185,'1.3.21-28.2.22'!$A$6:$DA$404,84,FALSE)-VLOOKUP($A185,'01-02.2022'!$A$6:$DA$376,84,FALSE)</f>
        <v>298.2225500436308</v>
      </c>
      <c r="CG185" s="566">
        <f>VLOOKUP($A185,'01-02.2021'!$A$6:$CZ$403,85,FALSE)+VLOOKUP($A185,'1.3.21-28.2.22'!$A$6:$DA$404,85,FALSE)-VLOOKUP($A185,'01-02.2022'!$A$6:$DA$376,85,FALSE)</f>
        <v>0</v>
      </c>
      <c r="CH185" s="70">
        <f t="shared" si="197"/>
        <v>-298.2225500436308</v>
      </c>
      <c r="CI185" s="566">
        <f>VLOOKUP($A185,'01-02.2021'!$A$6:$CZ$403,87,FALSE)+VLOOKUP($A185,'1.3.21-28.2.22'!$A$6:$DA$404,87,FALSE)-VLOOKUP($A185,'01-02.2022'!$A$6:$DA$376,87,FALSE)</f>
        <v>27773.994846622525</v>
      </c>
      <c r="CJ185" s="566">
        <f>VLOOKUP($A185,'01-02.2021'!$A$6:$CZ$403,88,FALSE)+VLOOKUP($A185,'1.3.21-28.2.22'!$A$6:$DA$404,88,FALSE)-VLOOKUP($A185,'01-02.2022'!$A$6:$DA$376,88,FALSE)</f>
        <v>22666.016694775673</v>
      </c>
      <c r="CK185" s="70">
        <f t="shared" si="198"/>
        <v>-5107.9781518468517</v>
      </c>
      <c r="CL185" s="566">
        <f>VLOOKUP($A185,'01-02.2021'!$A$6:$CZ$403,90,FALSE)+VLOOKUP($A185,'1.3.21-28.2.22'!$A$6:$DA$404,90,FALSE)-VLOOKUP($A185,'01-02.2022'!$A$6:$DA$376,90,FALSE)</f>
        <v>12588.155016978624</v>
      </c>
      <c r="CM185" s="566">
        <f>VLOOKUP($A185,'01-02.2021'!$A$6:$CZ$403,91,FALSE)+VLOOKUP($A185,'1.3.21-28.2.22'!$A$6:$DA$404,91,FALSE)-VLOOKUP($A185,'01-02.2022'!$A$6:$DA$376,91,FALSE)</f>
        <v>12012.794246792088</v>
      </c>
      <c r="CN185" s="52">
        <f t="shared" si="158"/>
        <v>-575.36077018653668</v>
      </c>
      <c r="CO185" s="39">
        <f t="shared" ref="CO185:CO243" si="220">CI185+CL185</f>
        <v>40362.149863601153</v>
      </c>
      <c r="CP185" s="40">
        <f t="shared" si="159"/>
        <v>34678.810941567761</v>
      </c>
      <c r="CQ185" s="52">
        <f t="shared" si="160"/>
        <v>-5683.338922033392</v>
      </c>
      <c r="CR185" s="72">
        <f t="shared" ref="CR185:CS243" si="221">AG185+AJ185+AM185+AP185+AS185+BQ185+BT185+BW185+BZ185+CC185+CF185+CO185</f>
        <v>426824.23536622705</v>
      </c>
      <c r="CS185" s="5">
        <f t="shared" si="221"/>
        <v>434481.96018035553</v>
      </c>
      <c r="CT185" s="52">
        <f t="shared" si="161"/>
        <v>7657.7248141284799</v>
      </c>
      <c r="CU185" s="77">
        <f t="shared" si="162"/>
        <v>512189.08243947243</v>
      </c>
      <c r="CV185" s="65">
        <f t="shared" si="163"/>
        <v>521378.35221642663</v>
      </c>
      <c r="CW185" s="35">
        <f t="shared" si="164"/>
        <v>9189.2697769541992</v>
      </c>
      <c r="CX185" s="566">
        <f>VLOOKUP($A185,'01-02.2021'!$A$6:$CZ$403,102,FALSE)+VLOOKUP($A185,'1.3.21-28.2.22'!$A$6:$DA$404,102,FALSE)-VLOOKUP($A185,'01-02.2022'!$A$6:$DA$376,102,FALSE)</f>
        <v>17871.615257839683</v>
      </c>
      <c r="CY185" s="566">
        <f>VLOOKUP($A185,'01-02.2021'!$A$6:$CZ$403,103,FALSE)+VLOOKUP($A185,'1.3.21-28.2.22'!$A$6:$DA$404,103,FALSE)-VLOOKUP($A185,'01-02.2022'!$A$6:$DA$376,103,FALSE)</f>
        <v>8682.3454808855458</v>
      </c>
      <c r="CZ185" s="52">
        <f t="shared" si="165"/>
        <v>-9189.2697769541373</v>
      </c>
      <c r="DA185" s="150">
        <f>'[2]побудинковий звіт'!DA185</f>
        <v>-43744.112336913502</v>
      </c>
      <c r="DB185" s="2">
        <v>1</v>
      </c>
      <c r="DC185" s="414">
        <f>'[4]побудинковий звіт'!DC185</f>
        <v>58885.07</v>
      </c>
      <c r="DD185" s="414">
        <f>'[4]побудинковий звіт'!DD185</f>
        <v>0</v>
      </c>
      <c r="DE185" s="557">
        <f>'[4]побудинковий звіт'!DE185</f>
        <v>10785.788304604197</v>
      </c>
      <c r="DF185" s="557">
        <f>'[4]побудинковий звіт'!DF185</f>
        <v>0</v>
      </c>
      <c r="DG185" s="321">
        <f>VLOOKUP(A185,'кошти 01.03.2021'!$A$6:$D$401,4,)</f>
        <v>-44506.518749677707</v>
      </c>
      <c r="DH185" s="40">
        <f>'[3]побудинковий звіт'!DJ185</f>
        <v>548632.47226775973</v>
      </c>
      <c r="DI185" s="422">
        <f>'[3]побудинковий звіт'!CU185+'[3]побудинковий звіт'!CX185</f>
        <v>48099.28169539581</v>
      </c>
      <c r="DJ185" s="306">
        <f>'[3]побудинковий звіт'!DM185</f>
        <v>6.321812078880054</v>
      </c>
      <c r="DK185" s="306">
        <f>'[3]побудинковий звіт'!DN185</f>
        <v>8.2220993330953238</v>
      </c>
      <c r="DL185" s="306">
        <f>'[3]побудинковий звіт'!DO185</f>
        <v>5.2760407988167168</v>
      </c>
      <c r="DM185" s="28">
        <f>DJ185*G185+(F185-G185)*DK185</f>
        <v>48099.281695395803</v>
      </c>
      <c r="DN185" s="28">
        <f>DL185*H185</f>
        <v>0</v>
      </c>
      <c r="DO185" s="423">
        <f t="shared" si="171"/>
        <v>48099.281695395803</v>
      </c>
      <c r="DP185" s="94">
        <f t="shared" si="172"/>
        <v>0</v>
      </c>
      <c r="DQ185" s="28">
        <f t="shared" si="173"/>
        <v>48099.281695395803</v>
      </c>
      <c r="DR185" s="318"/>
      <c r="DT185" s="8"/>
      <c r="DU185" s="5"/>
      <c r="DX185" s="5">
        <f t="shared" si="174"/>
        <v>120250.21090456277</v>
      </c>
      <c r="DY185" s="5">
        <f t="shared" si="175"/>
        <v>133665.47999999998</v>
      </c>
      <c r="DZ185" s="159">
        <f>'[3]побудинковий звіт'!EA185</f>
        <v>11439.467871336225</v>
      </c>
    </row>
    <row r="186" spans="1:130" x14ac:dyDescent="0.3">
      <c r="A186" s="325">
        <v>150000537</v>
      </c>
      <c r="B186" s="41" t="s">
        <v>634</v>
      </c>
      <c r="C186" s="42" t="s">
        <v>106</v>
      </c>
      <c r="D186" s="42"/>
      <c r="E186" s="293">
        <f t="shared" si="218"/>
        <v>108.3</v>
      </c>
      <c r="F186" s="305">
        <f>'[3]побудинковий звіт'!F186</f>
        <v>108.3</v>
      </c>
      <c r="G186" s="508">
        <f>'[3]побудинковий звіт'!G186</f>
        <v>0</v>
      </c>
      <c r="H186" s="560">
        <f>'[3]побудинковий звіт'!H186</f>
        <v>0</v>
      </c>
      <c r="I186" s="566">
        <f>VLOOKUP($A186,'01-02.2021'!$A$6:$CZ$403,9,FALSE)+VLOOKUP($A186,'1.3.21-28.2.22'!$A$6:$DA$404,9,FALSE)-VLOOKUP($A186,'01-02.2022'!$A$6:$DA$376,9,FALSE)</f>
        <v>0</v>
      </c>
      <c r="J186" s="566">
        <f>VLOOKUP($A186,'01-02.2021'!$A$6:$CZ$403,10,FALSE)+VLOOKUP($A186,'1.3.21-28.2.22'!$A$6:$DA$404,10,FALSE)-VLOOKUP($A186,'01-02.2022'!$A$6:$DA$376,10,FALSE)</f>
        <v>0</v>
      </c>
      <c r="K186" s="52">
        <f t="shared" ref="K186:K244" si="222">J186-I186</f>
        <v>0</v>
      </c>
      <c r="L186" s="566">
        <f>VLOOKUP($A186,'01-02.2021'!$A$6:$CZ$403,12,FALSE)+VLOOKUP($A186,'1.3.21-28.2.22'!$A$6:$DA$404,12,FALSE)-VLOOKUP($A186,'01-02.2022'!$A$6:$DA$376,12,FALSE)</f>
        <v>0</v>
      </c>
      <c r="M186" s="566">
        <f>VLOOKUP($A186,'01-02.2021'!$A$6:$CZ$403,13,FALSE)+VLOOKUP($A186,'1.3.21-28.2.22'!$A$6:$DA$404,13,FALSE)-VLOOKUP($A186,'01-02.2022'!$A$6:$DA$376,13,FALSE)</f>
        <v>0</v>
      </c>
      <c r="N186" s="52">
        <f t="shared" ref="N186:N244" si="223">M186-L186</f>
        <v>0</v>
      </c>
      <c r="O186" s="566">
        <f>VLOOKUP($A186,'01-02.2021'!$A$6:$CZ$403,15,FALSE)+VLOOKUP($A186,'1.3.21-28.2.22'!$A$6:$DA$404,15,FALSE)-VLOOKUP($A186,'01-02.2022'!$A$6:$DA$376,15,FALSE)</f>
        <v>0</v>
      </c>
      <c r="P186" s="566">
        <f>VLOOKUP($A186,'01-02.2021'!$A$6:$CZ$403,16,FALSE)+VLOOKUP($A186,'1.3.21-28.2.22'!$A$6:$DA$404,16,FALSE)-VLOOKUP($A186,'01-02.2022'!$A$6:$DA$376,16,FALSE)</f>
        <v>0</v>
      </c>
      <c r="Q186" s="70">
        <f t="shared" si="176"/>
        <v>0</v>
      </c>
      <c r="R186" s="566">
        <f>VLOOKUP($A186,'01-02.2021'!$A$6:$CZ$403,18,FALSE)+VLOOKUP($A186,'1.3.21-28.2.22'!$A$6:$DA$404,18,FALSE)-VLOOKUP($A186,'01-02.2022'!$A$6:$DA$376,18,FALSE)</f>
        <v>0</v>
      </c>
      <c r="S186" s="566">
        <f>VLOOKUP($A186,'01-02.2021'!$A$6:$CZ$403,19,FALSE)+VLOOKUP($A186,'1.3.21-28.2.22'!$A$6:$DA$404,19,FALSE)-VLOOKUP($A186,'01-02.2022'!$A$6:$DA$376,19,FALSE)</f>
        <v>0</v>
      </c>
      <c r="T186" s="70">
        <f t="shared" si="177"/>
        <v>0</v>
      </c>
      <c r="U186" s="566">
        <f>VLOOKUP($A186,'01-02.2021'!$A$6:$CZ$403,21,FALSE)+VLOOKUP($A186,'1.3.21-28.2.22'!$A$6:$DA$404,21,FALSE)-VLOOKUP($A186,'01-02.2022'!$A$6:$DA$376,21,FALSE)</f>
        <v>0</v>
      </c>
      <c r="V186" s="566">
        <f>VLOOKUP($A186,'01-02.2021'!$A$6:$CZ$403,22,FALSE)+VLOOKUP($A186,'1.3.21-28.2.22'!$A$6:$DA$404,22,FALSE)-VLOOKUP($A186,'01-02.2022'!$A$6:$DA$376,22,FALSE)</f>
        <v>0</v>
      </c>
      <c r="W186" s="70">
        <f t="shared" si="178"/>
        <v>0</v>
      </c>
      <c r="X186" s="566">
        <f>VLOOKUP($A186,'01-02.2021'!$A$6:$CZ$403,24,FALSE)+VLOOKUP($A186,'1.3.21-28.2.22'!$A$6:$DA$404,24,FALSE)-VLOOKUP($A186,'01-02.2022'!$A$6:$DA$376,24,FALSE)</f>
        <v>0</v>
      </c>
      <c r="Y186" s="566">
        <f>VLOOKUP($A186,'01-02.2021'!$A$6:$CZ$403,25,FALSE)+VLOOKUP($A186,'1.3.21-28.2.22'!$A$6:$DA$404,25,FALSE)-VLOOKUP($A186,'01-02.2022'!$A$6:$DA$376,25,FALSE)</f>
        <v>0</v>
      </c>
      <c r="Z186" s="70">
        <f t="shared" si="179"/>
        <v>0</v>
      </c>
      <c r="AA186" s="566">
        <f>VLOOKUP($A186,'01-02.2021'!$A$6:$CZ$403,27,FALSE)+VLOOKUP($A186,'1.3.21-28.2.22'!$A$6:$DA$404,27,FALSE)-VLOOKUP($A186,'01-02.2022'!$A$6:$DA$376,27,FALSE)</f>
        <v>21.659999999999997</v>
      </c>
      <c r="AB186" s="566">
        <f>VLOOKUP($A186,'01-02.2021'!$A$6:$CZ$403,28,FALSE)+VLOOKUP($A186,'1.3.21-28.2.22'!$A$6:$DA$404,28,FALSE)-VLOOKUP($A186,'01-02.2022'!$A$6:$DA$376,28,FALSE)</f>
        <v>0</v>
      </c>
      <c r="AC186" s="70">
        <f t="shared" si="180"/>
        <v>-21.659999999999997</v>
      </c>
      <c r="AD186" s="566">
        <f>VLOOKUP($A186,'01-02.2021'!$A$6:$CZ$403,30,FALSE)+VLOOKUP($A186,'1.3.21-28.2.22'!$A$6:$DA$404,30,FALSE)-VLOOKUP($A186,'01-02.2022'!$A$6:$DA$376,30,FALSE)</f>
        <v>0</v>
      </c>
      <c r="AE186" s="566">
        <f>VLOOKUP($A186,'01-02.2021'!$A$6:$CZ$403,31,FALSE)+VLOOKUP($A186,'1.3.21-28.2.22'!$A$6:$DA$404,31,FALSE)-VLOOKUP($A186,'01-02.2022'!$A$6:$DA$376,31,FALSE)</f>
        <v>0</v>
      </c>
      <c r="AF186" s="68">
        <f t="shared" si="181"/>
        <v>0</v>
      </c>
      <c r="AG186" s="77">
        <f t="shared" si="219"/>
        <v>21.659999999999997</v>
      </c>
      <c r="AH186" s="53">
        <f t="shared" si="219"/>
        <v>0</v>
      </c>
      <c r="AI186" s="52">
        <f t="shared" ref="AI186:AI244" si="224">AH186-AG186</f>
        <v>-21.659999999999997</v>
      </c>
      <c r="AJ186" s="566">
        <f>VLOOKUP($A186,'01-02.2021'!$A$6:$CZ$403,36,FALSE)+VLOOKUP($A186,'1.3.21-28.2.22'!$A$6:$DA$404,36,FALSE)-VLOOKUP($A186,'01-02.2022'!$A$6:$DA$376,36,FALSE)</f>
        <v>0</v>
      </c>
      <c r="AK186" s="566">
        <f>VLOOKUP($A186,'01-02.2021'!$A$6:$CZ$403,37,FALSE)+VLOOKUP($A186,'1.3.21-28.2.22'!$A$6:$DA$404,37,FALSE)-VLOOKUP($A186,'01-02.2022'!$A$6:$DA$376,37,FALSE)</f>
        <v>0</v>
      </c>
      <c r="AL186" s="70">
        <f t="shared" si="182"/>
        <v>0</v>
      </c>
      <c r="AM186" s="566">
        <f>VLOOKUP($A186,'01-02.2021'!$A$6:$CZ$403,39,FALSE)+VLOOKUP($A186,'1.3.21-28.2.22'!$A$6:$DA$404,39,FALSE)-VLOOKUP($A186,'01-02.2022'!$A$6:$DA$376,39,FALSE)</f>
        <v>0</v>
      </c>
      <c r="AN186" s="566">
        <f>VLOOKUP($A186,'01-02.2021'!$A$6:$CZ$403,40,FALSE)+VLOOKUP($A186,'1.3.21-28.2.22'!$A$6:$DA$404,40,FALSE)-VLOOKUP($A186,'01-02.2022'!$A$6:$DA$376,40,FALSE)</f>
        <v>0</v>
      </c>
      <c r="AO186" s="70">
        <f t="shared" si="183"/>
        <v>0</v>
      </c>
      <c r="AP186" s="566">
        <f>VLOOKUP($A186,'01-02.2021'!$A$6:$CZ$403,42,FALSE)+VLOOKUP($A186,'1.3.21-28.2.22'!$A$6:$DA$404,42,FALSE)-VLOOKUP($A186,'01-02.2022'!$A$6:$DA$376,42,FALSE)</f>
        <v>390.41994375958296</v>
      </c>
      <c r="AQ186" s="566">
        <f>VLOOKUP($A186,'01-02.2021'!$A$6:$CZ$403,43,FALSE)+VLOOKUP($A186,'1.3.21-28.2.22'!$A$6:$DA$404,43,FALSE)-VLOOKUP($A186,'01-02.2022'!$A$6:$DA$376,43,FALSE)</f>
        <v>336.57337442243158</v>
      </c>
      <c r="AR186" s="70">
        <f t="shared" si="184"/>
        <v>-53.846569337151379</v>
      </c>
      <c r="AS186" s="566">
        <f>VLOOKUP($A186,'01-02.2021'!$A$6:$CZ$403,45,FALSE)+VLOOKUP($A186,'1.3.21-28.2.22'!$A$6:$DA$404,45,FALSE)-VLOOKUP($A186,'01-02.2022'!$A$6:$DA$376,45,FALSE)</f>
        <v>113.52267446971163</v>
      </c>
      <c r="AT186" s="566">
        <f>VLOOKUP($A186,'01-02.2021'!$A$6:$CZ$403,46,FALSE)+VLOOKUP($A186,'1.3.21-28.2.22'!$A$6:$DA$404,46,FALSE)-VLOOKUP($A186,'01-02.2022'!$A$6:$DA$376,46,FALSE)</f>
        <v>0</v>
      </c>
      <c r="AU186" s="78">
        <f t="shared" si="185"/>
        <v>-113.52267446971163</v>
      </c>
      <c r="AV186" s="566">
        <f>VLOOKUP($A186,'01-02.2021'!$A$6:$CZ$403,48,FALSE)+VLOOKUP($A186,'1.3.21-28.2.22'!$A$6:$DA$404,48,FALSE)-VLOOKUP($A186,'01-02.2022'!$A$6:$DA$376,48,FALSE)</f>
        <v>0</v>
      </c>
      <c r="AW186" s="566">
        <f>VLOOKUP($A186,'01-02.2021'!$A$6:$CZ$403,49,FALSE)+VLOOKUP($A186,'1.3.21-28.2.22'!$A$6:$DA$404,49,FALSE)-VLOOKUP($A186,'01-02.2022'!$A$6:$DA$376,49,FALSE)</f>
        <v>0</v>
      </c>
      <c r="AX186" s="55">
        <f t="shared" si="186"/>
        <v>0</v>
      </c>
      <c r="AY186" s="566">
        <f>VLOOKUP($A186,'01-02.2021'!$A$6:$CZ$403,51,FALSE)+VLOOKUP($A186,'1.3.21-28.2.22'!$A$6:$DA$404,51,FALSE)-VLOOKUP($A186,'01-02.2022'!$A$6:$DA$376,51,FALSE)</f>
        <v>0</v>
      </c>
      <c r="AZ186" s="566">
        <f>VLOOKUP($A186,'01-02.2021'!$A$6:$CZ$403,52,FALSE)+VLOOKUP($A186,'1.3.21-28.2.22'!$A$6:$DA$404,52,FALSE)-VLOOKUP($A186,'01-02.2022'!$A$6:$DA$376,52,FALSE)</f>
        <v>0</v>
      </c>
      <c r="BA186" s="38">
        <f t="shared" si="187"/>
        <v>0</v>
      </c>
      <c r="BB186" s="566">
        <f>VLOOKUP($A186,'01-02.2021'!$A$6:$CZ$403,54,FALSE)+VLOOKUP($A186,'1.3.21-28.2.22'!$A$6:$DA$404,54,FALSE)-VLOOKUP($A186,'01-02.2022'!$A$6:$DA$376,54,FALSE)</f>
        <v>0</v>
      </c>
      <c r="BC186" s="566">
        <f>VLOOKUP($A186,'01-02.2021'!$A$6:$CZ$403,55,FALSE)+VLOOKUP($A186,'1.3.21-28.2.22'!$A$6:$DA$404,55,FALSE)-VLOOKUP($A186,'01-02.2022'!$A$6:$DA$376,55,FALSE)</f>
        <v>0</v>
      </c>
      <c r="BD186" s="55">
        <f t="shared" si="188"/>
        <v>0</v>
      </c>
      <c r="BE186" s="566">
        <f>VLOOKUP($A186,'01-02.2021'!$A$6:$CZ$403,57,FALSE)+VLOOKUP($A186,'1.3.21-28.2.22'!$A$6:$DA$404,57,FALSE)-VLOOKUP($A186,'01-02.2022'!$A$6:$DA$376,57,FALSE)</f>
        <v>0</v>
      </c>
      <c r="BF186" s="566">
        <f>VLOOKUP($A186,'01-02.2021'!$A$6:$CZ$403,58,FALSE)+VLOOKUP($A186,'1.3.21-28.2.22'!$A$6:$DA$404,58,FALSE)-VLOOKUP($A186,'01-02.2022'!$A$6:$DA$376,58,FALSE)</f>
        <v>0</v>
      </c>
      <c r="BG186" s="55">
        <f t="shared" si="189"/>
        <v>0</v>
      </c>
      <c r="BH186" s="566">
        <f>VLOOKUP($A186,'01-02.2021'!$A$6:$CZ$403,60,FALSE)+VLOOKUP($A186,'1.3.21-28.2.22'!$A$6:$DA$404,60,FALSE)-VLOOKUP($A186,'01-02.2022'!$A$6:$DA$376,60,FALSE)</f>
        <v>0</v>
      </c>
      <c r="BI186" s="566">
        <f>VLOOKUP($A186,'01-02.2021'!$A$6:$CZ$403,61,FALSE)+VLOOKUP($A186,'1.3.21-28.2.22'!$A$6:$DA$404,61,FALSE)-VLOOKUP($A186,'01-02.2022'!$A$6:$DA$376,61,FALSE)</f>
        <v>0</v>
      </c>
      <c r="BJ186" s="55">
        <f t="shared" si="190"/>
        <v>0</v>
      </c>
      <c r="BK186" s="566">
        <f>VLOOKUP($A186,'01-02.2021'!$A$6:$CZ$403,63,FALSE)+VLOOKUP($A186,'1.3.21-28.2.22'!$A$6:$DA$404,63,FALSE)-VLOOKUP($A186,'01-02.2022'!$A$6:$DA$376,63,FALSE)</f>
        <v>0</v>
      </c>
      <c r="BL186" s="566">
        <f>VLOOKUP($A186,'01-02.2021'!$A$6:$CZ$403,64,FALSE)+VLOOKUP($A186,'1.3.21-28.2.22'!$A$6:$DA$404,64,FALSE)-VLOOKUP($A186,'01-02.2022'!$A$6:$DA$376,64,FALSE)</f>
        <v>0</v>
      </c>
      <c r="BM186" s="55">
        <f t="shared" si="191"/>
        <v>0</v>
      </c>
      <c r="BN186" s="566">
        <f>VLOOKUP($A186,'01-02.2021'!$A$6:$CZ$403,66,FALSE)+VLOOKUP($A186,'1.3.21-28.2.22'!$A$6:$DA$404,66,FALSE)-VLOOKUP($A186,'01-02.2022'!$A$6:$DA$376,66,FALSE)</f>
        <v>5.4149999999999991</v>
      </c>
      <c r="BO186" s="566">
        <f>VLOOKUP($A186,'01-02.2021'!$A$6:$CZ$403,67,FALSE)+VLOOKUP($A186,'1.3.21-28.2.22'!$A$6:$DA$404,67,FALSE)-VLOOKUP($A186,'01-02.2022'!$A$6:$DA$376,67,FALSE)</f>
        <v>0</v>
      </c>
      <c r="BP186" s="55">
        <f t="shared" si="192"/>
        <v>-5.4149999999999991</v>
      </c>
      <c r="BQ186" s="77">
        <f t="shared" si="209"/>
        <v>5.4149999999999991</v>
      </c>
      <c r="BR186" s="40">
        <f t="shared" si="210"/>
        <v>0</v>
      </c>
      <c r="BS186" s="55">
        <f t="shared" si="166"/>
        <v>-5.4149999999999991</v>
      </c>
      <c r="BT186" s="566">
        <f>VLOOKUP($A186,'01-02.2021'!$A$6:$CZ$403,72,FALSE)+VLOOKUP($A186,'1.3.21-28.2.22'!$A$6:$DA$404,72,FALSE)-VLOOKUP($A186,'01-02.2022'!$A$6:$DA$376,72,FALSE)</f>
        <v>0</v>
      </c>
      <c r="BU186" s="566">
        <f>VLOOKUP($A186,'01-02.2021'!$A$6:$CZ$403,73,FALSE)+VLOOKUP($A186,'1.3.21-28.2.22'!$A$6:$DA$404,73,FALSE)-VLOOKUP($A186,'01-02.2022'!$A$6:$DA$376,73,FALSE)</f>
        <v>0</v>
      </c>
      <c r="BV186" s="70">
        <f t="shared" si="193"/>
        <v>0</v>
      </c>
      <c r="BW186" s="566">
        <f>VLOOKUP($A186,'01-02.2021'!$A$6:$CZ$403,75,FALSE)+VLOOKUP($A186,'1.3.21-28.2.22'!$A$6:$DA$404,75,FALSE)-VLOOKUP($A186,'01-02.2022'!$A$6:$DA$376,75,FALSE)</f>
        <v>0</v>
      </c>
      <c r="BX186" s="566">
        <f>VLOOKUP($A186,'01-02.2021'!$A$6:$CZ$403,76,FALSE)+VLOOKUP($A186,'1.3.21-28.2.22'!$A$6:$DA$404,76,FALSE)-VLOOKUP($A186,'01-02.2022'!$A$6:$DA$376,76,FALSE)</f>
        <v>2.4271752613315609</v>
      </c>
      <c r="BY186" s="70">
        <f t="shared" si="194"/>
        <v>2.4271752613315609</v>
      </c>
      <c r="BZ186" s="566">
        <f>VLOOKUP($A186,'01-02.2021'!$A$6:$CZ$403,78,FALSE)+VLOOKUP($A186,'1.3.21-28.2.22'!$A$6:$DA$404,78,FALSE)-VLOOKUP($A186,'01-02.2022'!$A$6:$DA$376,78,FALSE)</f>
        <v>0</v>
      </c>
      <c r="CA186" s="566">
        <f>VLOOKUP($A186,'01-02.2021'!$A$6:$CZ$403,79,FALSE)+VLOOKUP($A186,'1.3.21-28.2.22'!$A$6:$DA$404,79,FALSE)-VLOOKUP($A186,'01-02.2022'!$A$6:$DA$376,79,FALSE)</f>
        <v>0</v>
      </c>
      <c r="CB186" s="70">
        <f t="shared" si="195"/>
        <v>0</v>
      </c>
      <c r="CC186" s="566">
        <f>VLOOKUP($A186,'01-02.2021'!$A$6:$CZ$403,81,FALSE)+VLOOKUP($A186,'1.3.21-28.2.22'!$A$6:$DA$404,81,FALSE)-VLOOKUP($A186,'01-02.2022'!$A$6:$DA$376,81,FALSE)</f>
        <v>0</v>
      </c>
      <c r="CD186" s="566">
        <f>VLOOKUP($A186,'01-02.2021'!$A$6:$CZ$403,82,FALSE)+VLOOKUP($A186,'1.3.21-28.2.22'!$A$6:$DA$404,82,FALSE)-VLOOKUP($A186,'01-02.2022'!$A$6:$DA$376,82,FALSE)</f>
        <v>0</v>
      </c>
      <c r="CE186" s="70">
        <f t="shared" si="196"/>
        <v>0</v>
      </c>
      <c r="CF186" s="566">
        <f>VLOOKUP($A186,'01-02.2021'!$A$6:$CZ$403,84,FALSE)+VLOOKUP($A186,'1.3.21-28.2.22'!$A$6:$DA$404,84,FALSE)-VLOOKUP($A186,'01-02.2022'!$A$6:$DA$376,84,FALSE)</f>
        <v>0</v>
      </c>
      <c r="CG186" s="566">
        <f>VLOOKUP($A186,'01-02.2021'!$A$6:$CZ$403,85,FALSE)+VLOOKUP($A186,'1.3.21-28.2.22'!$A$6:$DA$404,85,FALSE)-VLOOKUP($A186,'01-02.2022'!$A$6:$DA$376,85,FALSE)</f>
        <v>0</v>
      </c>
      <c r="CH186" s="70">
        <f t="shared" si="197"/>
        <v>0</v>
      </c>
      <c r="CI186" s="566">
        <f>VLOOKUP($A186,'01-02.2021'!$A$6:$CZ$403,87,FALSE)+VLOOKUP($A186,'1.3.21-28.2.22'!$A$6:$DA$404,87,FALSE)-VLOOKUP($A186,'01-02.2022'!$A$6:$DA$376,87,FALSE)</f>
        <v>0</v>
      </c>
      <c r="CJ186" s="566">
        <f>VLOOKUP($A186,'01-02.2021'!$A$6:$CZ$403,88,FALSE)+VLOOKUP($A186,'1.3.21-28.2.22'!$A$6:$DA$404,88,FALSE)-VLOOKUP($A186,'01-02.2022'!$A$6:$DA$376,88,FALSE)</f>
        <v>0</v>
      </c>
      <c r="CK186" s="70">
        <f t="shared" si="198"/>
        <v>0</v>
      </c>
      <c r="CL186" s="566">
        <f>VLOOKUP($A186,'01-02.2021'!$A$6:$CZ$403,90,FALSE)+VLOOKUP($A186,'1.3.21-28.2.22'!$A$6:$DA$404,90,FALSE)-VLOOKUP($A186,'01-02.2022'!$A$6:$DA$376,90,FALSE)</f>
        <v>0</v>
      </c>
      <c r="CM186" s="566">
        <f>VLOOKUP($A186,'01-02.2021'!$A$6:$CZ$403,91,FALSE)+VLOOKUP($A186,'1.3.21-28.2.22'!$A$6:$DA$404,91,FALSE)-VLOOKUP($A186,'01-02.2022'!$A$6:$DA$376,91,FALSE)</f>
        <v>0</v>
      </c>
      <c r="CN186" s="52">
        <f t="shared" ref="CN186:CN244" si="225">CM186-CL186</f>
        <v>0</v>
      </c>
      <c r="CO186" s="39">
        <f t="shared" si="220"/>
        <v>0</v>
      </c>
      <c r="CP186" s="40">
        <f t="shared" ref="CP186:CP244" si="226">CJ186+CM186</f>
        <v>0</v>
      </c>
      <c r="CQ186" s="52">
        <f t="shared" ref="CQ186:CQ244" si="227">CP186-CO186</f>
        <v>0</v>
      </c>
      <c r="CR186" s="72">
        <f t="shared" si="221"/>
        <v>531.01761822929461</v>
      </c>
      <c r="CS186" s="5">
        <f t="shared" si="221"/>
        <v>339.00054968376315</v>
      </c>
      <c r="CT186" s="52">
        <f t="shared" ref="CT186:CT244" si="228">CS186-CR186</f>
        <v>-192.01706854553146</v>
      </c>
      <c r="CU186" s="77">
        <f t="shared" ref="CU186:CU244" si="229">CR186*1.2</f>
        <v>637.22114187515353</v>
      </c>
      <c r="CV186" s="65">
        <f t="shared" ref="CV186:CV244" si="230">CS186*1.2</f>
        <v>406.80065962051577</v>
      </c>
      <c r="CW186" s="35">
        <f t="shared" ref="CW186:CW244" si="231">CV186-CU186</f>
        <v>-230.42048225463776</v>
      </c>
      <c r="CX186" s="566">
        <f>VLOOKUP($A186,'01-02.2021'!$A$6:$CZ$403,102,FALSE)+VLOOKUP($A186,'1.3.21-28.2.22'!$A$6:$DA$404,102,FALSE)-VLOOKUP($A186,'01-02.2022'!$A$6:$DA$376,102,FALSE)</f>
        <v>11.84089600709793</v>
      </c>
      <c r="CY186" s="566">
        <f>VLOOKUP($A186,'01-02.2021'!$A$6:$CZ$403,103,FALSE)+VLOOKUP($A186,'1.3.21-28.2.22'!$A$6:$DA$404,103,FALSE)-VLOOKUP($A186,'01-02.2022'!$A$6:$DA$376,103,FALSE)</f>
        <v>242.26137826173564</v>
      </c>
      <c r="CZ186" s="52">
        <f t="shared" ref="CZ186:CZ244" si="232">CY186-CX186</f>
        <v>230.4204822546377</v>
      </c>
      <c r="DA186" s="150">
        <f>'[2]побудинковий звіт'!DA186</f>
        <v>-97.664553005474005</v>
      </c>
      <c r="DB186" s="2">
        <v>2</v>
      </c>
      <c r="DC186" s="414">
        <f>'[4]побудинковий звіт'!DC186</f>
        <v>93.42</v>
      </c>
      <c r="DD186" s="414">
        <f>'[4]побудинковий звіт'!DD186</f>
        <v>0</v>
      </c>
      <c r="DE186" s="557">
        <f>'[4]побудинковий звіт'!DE186</f>
        <v>34.558606069785768</v>
      </c>
      <c r="DF186" s="557">
        <f>'[4]побудинковий звіт'!DF186</f>
        <v>0</v>
      </c>
      <c r="DG186" s="321">
        <f>VLOOKUP(A186,'кошти 01.03.2021'!$A$6:$D$401,4,)</f>
        <v>160.35861518244744</v>
      </c>
      <c r="DH186" s="40">
        <f>'[3]побудинковий звіт'!DJ186</f>
        <v>671.62807191255592</v>
      </c>
      <c r="DI186" s="422">
        <f>'[3]побудинковий звіт'!CU186+'[3]побудинковий звіт'!CX186</f>
        <v>58.861393930214234</v>
      </c>
      <c r="DJ186" s="306">
        <f>'[3]побудинковий звіт'!DM186</f>
        <v>0.543503175717583</v>
      </c>
      <c r="DK186" s="306">
        <f t="shared" ref="DK186:DK205" si="233">DJ186</f>
        <v>0.543503175717583</v>
      </c>
      <c r="DL186" s="306">
        <f>'[3]побудинковий звіт'!DO186</f>
        <v>0.543503175717583</v>
      </c>
      <c r="DM186" s="28">
        <f t="shared" ref="DM186:DM205" si="234">F186*DJ186</f>
        <v>58.861393930214234</v>
      </c>
      <c r="DN186" s="28">
        <f t="shared" ref="DN186:DN205" si="235">H186*DL186</f>
        <v>0</v>
      </c>
      <c r="DO186" s="423">
        <f t="shared" si="171"/>
        <v>58.861393930214234</v>
      </c>
      <c r="DP186" s="94">
        <f t="shared" si="172"/>
        <v>0</v>
      </c>
      <c r="DQ186" s="28">
        <f t="shared" si="173"/>
        <v>58.861393930214234</v>
      </c>
      <c r="DR186" s="318"/>
      <c r="DT186" s="8"/>
      <c r="DU186" s="5"/>
      <c r="DX186" s="5">
        <f t="shared" si="174"/>
        <v>142.72520936365393</v>
      </c>
      <c r="DY186" s="5">
        <f t="shared" si="175"/>
        <v>0</v>
      </c>
      <c r="DZ186" s="159">
        <f>'[3]побудинковий звіт'!EA186</f>
        <v>16.245599999999996</v>
      </c>
    </row>
    <row r="187" spans="1:130" x14ac:dyDescent="0.3">
      <c r="A187" s="325">
        <v>150000545</v>
      </c>
      <c r="B187" s="41" t="s">
        <v>635</v>
      </c>
      <c r="C187" s="42" t="s">
        <v>107</v>
      </c>
      <c r="D187" s="42"/>
      <c r="E187" s="293">
        <f t="shared" si="218"/>
        <v>95</v>
      </c>
      <c r="F187" s="305">
        <f>'[3]побудинковий звіт'!F187</f>
        <v>95</v>
      </c>
      <c r="G187" s="508">
        <f>'[3]побудинковий звіт'!G187</f>
        <v>0</v>
      </c>
      <c r="H187" s="560">
        <f>'[3]побудинковий звіт'!H187</f>
        <v>0</v>
      </c>
      <c r="I187" s="566">
        <f>VLOOKUP($A187,'01-02.2021'!$A$6:$CZ$403,9,FALSE)+VLOOKUP($A187,'1.3.21-28.2.22'!$A$6:$DA$404,9,FALSE)-VLOOKUP($A187,'01-02.2022'!$A$6:$DA$376,9,FALSE)</f>
        <v>0</v>
      </c>
      <c r="J187" s="566">
        <f>VLOOKUP($A187,'01-02.2021'!$A$6:$CZ$403,10,FALSE)+VLOOKUP($A187,'1.3.21-28.2.22'!$A$6:$DA$404,10,FALSE)-VLOOKUP($A187,'01-02.2022'!$A$6:$DA$376,10,FALSE)</f>
        <v>0</v>
      </c>
      <c r="K187" s="52">
        <f t="shared" si="222"/>
        <v>0</v>
      </c>
      <c r="L187" s="566">
        <f>VLOOKUP($A187,'01-02.2021'!$A$6:$CZ$403,12,FALSE)+VLOOKUP($A187,'1.3.21-28.2.22'!$A$6:$DA$404,12,FALSE)-VLOOKUP($A187,'01-02.2022'!$A$6:$DA$376,12,FALSE)</f>
        <v>0</v>
      </c>
      <c r="M187" s="566">
        <f>VLOOKUP($A187,'01-02.2021'!$A$6:$CZ$403,13,FALSE)+VLOOKUP($A187,'1.3.21-28.2.22'!$A$6:$DA$404,13,FALSE)-VLOOKUP($A187,'01-02.2022'!$A$6:$DA$376,13,FALSE)</f>
        <v>0</v>
      </c>
      <c r="N187" s="52">
        <f t="shared" si="223"/>
        <v>0</v>
      </c>
      <c r="O187" s="566">
        <f>VLOOKUP($A187,'01-02.2021'!$A$6:$CZ$403,15,FALSE)+VLOOKUP($A187,'1.3.21-28.2.22'!$A$6:$DA$404,15,FALSE)-VLOOKUP($A187,'01-02.2022'!$A$6:$DA$376,15,FALSE)</f>
        <v>0</v>
      </c>
      <c r="P187" s="566">
        <f>VLOOKUP($A187,'01-02.2021'!$A$6:$CZ$403,16,FALSE)+VLOOKUP($A187,'1.3.21-28.2.22'!$A$6:$DA$404,16,FALSE)-VLOOKUP($A187,'01-02.2022'!$A$6:$DA$376,16,FALSE)</f>
        <v>0</v>
      </c>
      <c r="Q187" s="70">
        <f t="shared" si="176"/>
        <v>0</v>
      </c>
      <c r="R187" s="566">
        <f>VLOOKUP($A187,'01-02.2021'!$A$6:$CZ$403,18,FALSE)+VLOOKUP($A187,'1.3.21-28.2.22'!$A$6:$DA$404,18,FALSE)-VLOOKUP($A187,'01-02.2022'!$A$6:$DA$376,18,FALSE)</f>
        <v>0</v>
      </c>
      <c r="S187" s="566">
        <f>VLOOKUP($A187,'01-02.2021'!$A$6:$CZ$403,19,FALSE)+VLOOKUP($A187,'1.3.21-28.2.22'!$A$6:$DA$404,19,FALSE)-VLOOKUP($A187,'01-02.2022'!$A$6:$DA$376,19,FALSE)</f>
        <v>0</v>
      </c>
      <c r="T187" s="70">
        <f t="shared" si="177"/>
        <v>0</v>
      </c>
      <c r="U187" s="566">
        <f>VLOOKUP($A187,'01-02.2021'!$A$6:$CZ$403,21,FALSE)+VLOOKUP($A187,'1.3.21-28.2.22'!$A$6:$DA$404,21,FALSE)-VLOOKUP($A187,'01-02.2022'!$A$6:$DA$376,21,FALSE)</f>
        <v>0</v>
      </c>
      <c r="V187" s="566">
        <f>VLOOKUP($A187,'01-02.2021'!$A$6:$CZ$403,22,FALSE)+VLOOKUP($A187,'1.3.21-28.2.22'!$A$6:$DA$404,22,FALSE)-VLOOKUP($A187,'01-02.2022'!$A$6:$DA$376,22,FALSE)</f>
        <v>0</v>
      </c>
      <c r="W187" s="70">
        <f t="shared" si="178"/>
        <v>0</v>
      </c>
      <c r="X187" s="566">
        <f>VLOOKUP($A187,'01-02.2021'!$A$6:$CZ$403,24,FALSE)+VLOOKUP($A187,'1.3.21-28.2.22'!$A$6:$DA$404,24,FALSE)-VLOOKUP($A187,'01-02.2022'!$A$6:$DA$376,24,FALSE)</f>
        <v>0</v>
      </c>
      <c r="Y187" s="566">
        <f>VLOOKUP($A187,'01-02.2021'!$A$6:$CZ$403,25,FALSE)+VLOOKUP($A187,'1.3.21-28.2.22'!$A$6:$DA$404,25,FALSE)-VLOOKUP($A187,'01-02.2022'!$A$6:$DA$376,25,FALSE)</f>
        <v>0</v>
      </c>
      <c r="Z187" s="70">
        <f t="shared" si="179"/>
        <v>0</v>
      </c>
      <c r="AA187" s="566">
        <f>VLOOKUP($A187,'01-02.2021'!$A$6:$CZ$403,27,FALSE)+VLOOKUP($A187,'1.3.21-28.2.22'!$A$6:$DA$404,27,FALSE)-VLOOKUP($A187,'01-02.2022'!$A$6:$DA$376,27,FALSE)</f>
        <v>19</v>
      </c>
      <c r="AB187" s="566">
        <f>VLOOKUP($A187,'01-02.2021'!$A$6:$CZ$403,28,FALSE)+VLOOKUP($A187,'1.3.21-28.2.22'!$A$6:$DA$404,28,FALSE)-VLOOKUP($A187,'01-02.2022'!$A$6:$DA$376,28,FALSE)</f>
        <v>0</v>
      </c>
      <c r="AC187" s="70">
        <f t="shared" si="180"/>
        <v>-19</v>
      </c>
      <c r="AD187" s="566">
        <f>VLOOKUP($A187,'01-02.2021'!$A$6:$CZ$403,30,FALSE)+VLOOKUP($A187,'1.3.21-28.2.22'!$A$6:$DA$404,30,FALSE)-VLOOKUP($A187,'01-02.2022'!$A$6:$DA$376,30,FALSE)</f>
        <v>152.07862770887385</v>
      </c>
      <c r="AE187" s="566">
        <f>VLOOKUP($A187,'01-02.2021'!$A$6:$CZ$403,31,FALSE)+VLOOKUP($A187,'1.3.21-28.2.22'!$A$6:$DA$404,31,FALSE)-VLOOKUP($A187,'01-02.2022'!$A$6:$DA$376,31,FALSE)</f>
        <v>432.44382776378376</v>
      </c>
      <c r="AF187" s="68">
        <f t="shared" si="181"/>
        <v>280.36520005490991</v>
      </c>
      <c r="AG187" s="77">
        <f t="shared" si="219"/>
        <v>171.07862770887385</v>
      </c>
      <c r="AH187" s="53">
        <f t="shared" si="219"/>
        <v>432.44382776378376</v>
      </c>
      <c r="AI187" s="52">
        <f t="shared" si="224"/>
        <v>261.36520005490991</v>
      </c>
      <c r="AJ187" s="566">
        <f>VLOOKUP($A187,'01-02.2021'!$A$6:$CZ$403,36,FALSE)+VLOOKUP($A187,'1.3.21-28.2.22'!$A$6:$DA$404,36,FALSE)-VLOOKUP($A187,'01-02.2022'!$A$6:$DA$376,36,FALSE)</f>
        <v>0</v>
      </c>
      <c r="AK187" s="566">
        <f>VLOOKUP($A187,'01-02.2021'!$A$6:$CZ$403,37,FALSE)+VLOOKUP($A187,'1.3.21-28.2.22'!$A$6:$DA$404,37,FALSE)-VLOOKUP($A187,'01-02.2022'!$A$6:$DA$376,37,FALSE)</f>
        <v>0</v>
      </c>
      <c r="AL187" s="70">
        <f t="shared" si="182"/>
        <v>0</v>
      </c>
      <c r="AM187" s="566">
        <f>VLOOKUP($A187,'01-02.2021'!$A$6:$CZ$403,39,FALSE)+VLOOKUP($A187,'1.3.21-28.2.22'!$A$6:$DA$404,39,FALSE)-VLOOKUP($A187,'01-02.2022'!$A$6:$DA$376,39,FALSE)</f>
        <v>0</v>
      </c>
      <c r="AN187" s="566">
        <f>VLOOKUP($A187,'01-02.2021'!$A$6:$CZ$403,40,FALSE)+VLOOKUP($A187,'1.3.21-28.2.22'!$A$6:$DA$404,40,FALSE)-VLOOKUP($A187,'01-02.2022'!$A$6:$DA$376,40,FALSE)</f>
        <v>0</v>
      </c>
      <c r="AO187" s="70">
        <f t="shared" si="183"/>
        <v>0</v>
      </c>
      <c r="AP187" s="566">
        <f>VLOOKUP($A187,'01-02.2021'!$A$6:$CZ$403,42,FALSE)+VLOOKUP($A187,'1.3.21-28.2.22'!$A$6:$DA$404,42,FALSE)-VLOOKUP($A187,'01-02.2022'!$A$6:$DA$376,42,FALSE)</f>
        <v>390.41994375958296</v>
      </c>
      <c r="AQ187" s="566">
        <f>VLOOKUP($A187,'01-02.2021'!$A$6:$CZ$403,43,FALSE)+VLOOKUP($A187,'1.3.21-28.2.22'!$A$6:$DA$404,43,FALSE)-VLOOKUP($A187,'01-02.2022'!$A$6:$DA$376,43,FALSE)</f>
        <v>336.57337442243158</v>
      </c>
      <c r="AR187" s="70">
        <f t="shared" si="184"/>
        <v>-53.846569337151379</v>
      </c>
      <c r="AS187" s="566">
        <f>VLOOKUP($A187,'01-02.2021'!$A$6:$CZ$403,45,FALSE)+VLOOKUP($A187,'1.3.21-28.2.22'!$A$6:$DA$404,45,FALSE)-VLOOKUP($A187,'01-02.2022'!$A$6:$DA$376,45,FALSE)</f>
        <v>938.25804168556681</v>
      </c>
      <c r="AT187" s="566">
        <f>VLOOKUP($A187,'01-02.2021'!$A$6:$CZ$403,46,FALSE)+VLOOKUP($A187,'1.3.21-28.2.22'!$A$6:$DA$404,46,FALSE)-VLOOKUP($A187,'01-02.2022'!$A$6:$DA$376,46,FALSE)</f>
        <v>0</v>
      </c>
      <c r="AU187" s="78">
        <f t="shared" si="185"/>
        <v>-938.25804168556681</v>
      </c>
      <c r="AV187" s="566">
        <f>VLOOKUP($A187,'01-02.2021'!$A$6:$CZ$403,48,FALSE)+VLOOKUP($A187,'1.3.21-28.2.22'!$A$6:$DA$404,48,FALSE)-VLOOKUP($A187,'01-02.2022'!$A$6:$DA$376,48,FALSE)</f>
        <v>0</v>
      </c>
      <c r="AW187" s="566">
        <f>VLOOKUP($A187,'01-02.2021'!$A$6:$CZ$403,49,FALSE)+VLOOKUP($A187,'1.3.21-28.2.22'!$A$6:$DA$404,49,FALSE)-VLOOKUP($A187,'01-02.2022'!$A$6:$DA$376,49,FALSE)</f>
        <v>0</v>
      </c>
      <c r="AX187" s="55">
        <f t="shared" si="186"/>
        <v>0</v>
      </c>
      <c r="AY187" s="566">
        <f>VLOOKUP($A187,'01-02.2021'!$A$6:$CZ$403,51,FALSE)+VLOOKUP($A187,'1.3.21-28.2.22'!$A$6:$DA$404,51,FALSE)-VLOOKUP($A187,'01-02.2022'!$A$6:$DA$376,51,FALSE)</f>
        <v>0</v>
      </c>
      <c r="AZ187" s="566">
        <f>VLOOKUP($A187,'01-02.2021'!$A$6:$CZ$403,52,FALSE)+VLOOKUP($A187,'1.3.21-28.2.22'!$A$6:$DA$404,52,FALSE)-VLOOKUP($A187,'01-02.2022'!$A$6:$DA$376,52,FALSE)</f>
        <v>0</v>
      </c>
      <c r="BA187" s="38">
        <f t="shared" si="187"/>
        <v>0</v>
      </c>
      <c r="BB187" s="566">
        <f>VLOOKUP($A187,'01-02.2021'!$A$6:$CZ$403,54,FALSE)+VLOOKUP($A187,'1.3.21-28.2.22'!$A$6:$DA$404,54,FALSE)-VLOOKUP($A187,'01-02.2022'!$A$6:$DA$376,54,FALSE)</f>
        <v>0</v>
      </c>
      <c r="BC187" s="566">
        <f>VLOOKUP($A187,'01-02.2021'!$A$6:$CZ$403,55,FALSE)+VLOOKUP($A187,'1.3.21-28.2.22'!$A$6:$DA$404,55,FALSE)-VLOOKUP($A187,'01-02.2022'!$A$6:$DA$376,55,FALSE)</f>
        <v>0</v>
      </c>
      <c r="BD187" s="55">
        <f t="shared" si="188"/>
        <v>0</v>
      </c>
      <c r="BE187" s="566">
        <f>VLOOKUP($A187,'01-02.2021'!$A$6:$CZ$403,57,FALSE)+VLOOKUP($A187,'1.3.21-28.2.22'!$A$6:$DA$404,57,FALSE)-VLOOKUP($A187,'01-02.2022'!$A$6:$DA$376,57,FALSE)</f>
        <v>0</v>
      </c>
      <c r="BF187" s="566">
        <f>VLOOKUP($A187,'01-02.2021'!$A$6:$CZ$403,58,FALSE)+VLOOKUP($A187,'1.3.21-28.2.22'!$A$6:$DA$404,58,FALSE)-VLOOKUP($A187,'01-02.2022'!$A$6:$DA$376,58,FALSE)</f>
        <v>0</v>
      </c>
      <c r="BG187" s="55">
        <f t="shared" si="189"/>
        <v>0</v>
      </c>
      <c r="BH187" s="566">
        <f>VLOOKUP($A187,'01-02.2021'!$A$6:$CZ$403,60,FALSE)+VLOOKUP($A187,'1.3.21-28.2.22'!$A$6:$DA$404,60,FALSE)-VLOOKUP($A187,'01-02.2022'!$A$6:$DA$376,60,FALSE)</f>
        <v>0</v>
      </c>
      <c r="BI187" s="566">
        <f>VLOOKUP($A187,'01-02.2021'!$A$6:$CZ$403,61,FALSE)+VLOOKUP($A187,'1.3.21-28.2.22'!$A$6:$DA$404,61,FALSE)-VLOOKUP($A187,'01-02.2022'!$A$6:$DA$376,61,FALSE)</f>
        <v>0</v>
      </c>
      <c r="BJ187" s="55">
        <f t="shared" si="190"/>
        <v>0</v>
      </c>
      <c r="BK187" s="566">
        <f>VLOOKUP($A187,'01-02.2021'!$A$6:$CZ$403,63,FALSE)+VLOOKUP($A187,'1.3.21-28.2.22'!$A$6:$DA$404,63,FALSE)-VLOOKUP($A187,'01-02.2022'!$A$6:$DA$376,63,FALSE)</f>
        <v>0</v>
      </c>
      <c r="BL187" s="566">
        <f>VLOOKUP($A187,'01-02.2021'!$A$6:$CZ$403,64,FALSE)+VLOOKUP($A187,'1.3.21-28.2.22'!$A$6:$DA$404,64,FALSE)-VLOOKUP($A187,'01-02.2022'!$A$6:$DA$376,64,FALSE)</f>
        <v>0</v>
      </c>
      <c r="BM187" s="55">
        <f t="shared" si="191"/>
        <v>0</v>
      </c>
      <c r="BN187" s="566">
        <f>VLOOKUP($A187,'01-02.2021'!$A$6:$CZ$403,66,FALSE)+VLOOKUP($A187,'1.3.21-28.2.22'!$A$6:$DA$404,66,FALSE)-VLOOKUP($A187,'01-02.2022'!$A$6:$DA$376,66,FALSE)</f>
        <v>4.75</v>
      </c>
      <c r="BO187" s="566">
        <f>VLOOKUP($A187,'01-02.2021'!$A$6:$CZ$403,67,FALSE)+VLOOKUP($A187,'1.3.21-28.2.22'!$A$6:$DA$404,67,FALSE)-VLOOKUP($A187,'01-02.2022'!$A$6:$DA$376,67,FALSE)</f>
        <v>0</v>
      </c>
      <c r="BP187" s="55">
        <f t="shared" si="192"/>
        <v>-4.75</v>
      </c>
      <c r="BQ187" s="77">
        <f t="shared" si="209"/>
        <v>4.75</v>
      </c>
      <c r="BR187" s="40">
        <f t="shared" si="210"/>
        <v>0</v>
      </c>
      <c r="BS187" s="55">
        <f t="shared" ref="BS187:BS245" si="236">BR187-BQ187</f>
        <v>-4.75</v>
      </c>
      <c r="BT187" s="566">
        <f>VLOOKUP($A187,'01-02.2021'!$A$6:$CZ$403,72,FALSE)+VLOOKUP($A187,'1.3.21-28.2.22'!$A$6:$DA$404,72,FALSE)-VLOOKUP($A187,'01-02.2022'!$A$6:$DA$376,72,FALSE)</f>
        <v>0</v>
      </c>
      <c r="BU187" s="566">
        <f>VLOOKUP($A187,'01-02.2021'!$A$6:$CZ$403,73,FALSE)+VLOOKUP($A187,'1.3.21-28.2.22'!$A$6:$DA$404,73,FALSE)-VLOOKUP($A187,'01-02.2022'!$A$6:$DA$376,73,FALSE)</f>
        <v>0</v>
      </c>
      <c r="BV187" s="70">
        <f t="shared" si="193"/>
        <v>0</v>
      </c>
      <c r="BW187" s="566">
        <f>VLOOKUP($A187,'01-02.2021'!$A$6:$CZ$403,75,FALSE)+VLOOKUP($A187,'1.3.21-28.2.22'!$A$6:$DA$404,75,FALSE)-VLOOKUP($A187,'01-02.2022'!$A$6:$DA$376,75,FALSE)</f>
        <v>0</v>
      </c>
      <c r="BX187" s="566">
        <f>VLOOKUP($A187,'01-02.2021'!$A$6:$CZ$403,76,FALSE)+VLOOKUP($A187,'1.3.21-28.2.22'!$A$6:$DA$404,76,FALSE)-VLOOKUP($A187,'01-02.2022'!$A$6:$DA$376,76,FALSE)</f>
        <v>2.1291011064311944</v>
      </c>
      <c r="BY187" s="70">
        <f t="shared" si="194"/>
        <v>2.1291011064311944</v>
      </c>
      <c r="BZ187" s="566">
        <f>VLOOKUP($A187,'01-02.2021'!$A$6:$CZ$403,78,FALSE)+VLOOKUP($A187,'1.3.21-28.2.22'!$A$6:$DA$404,78,FALSE)-VLOOKUP($A187,'01-02.2022'!$A$6:$DA$376,78,FALSE)</f>
        <v>0</v>
      </c>
      <c r="CA187" s="566">
        <f>VLOOKUP($A187,'01-02.2021'!$A$6:$CZ$403,79,FALSE)+VLOOKUP($A187,'1.3.21-28.2.22'!$A$6:$DA$404,79,FALSE)-VLOOKUP($A187,'01-02.2022'!$A$6:$DA$376,79,FALSE)</f>
        <v>0</v>
      </c>
      <c r="CB187" s="70">
        <f t="shared" si="195"/>
        <v>0</v>
      </c>
      <c r="CC187" s="566">
        <f>VLOOKUP($A187,'01-02.2021'!$A$6:$CZ$403,81,FALSE)+VLOOKUP($A187,'1.3.21-28.2.22'!$A$6:$DA$404,81,FALSE)-VLOOKUP($A187,'01-02.2022'!$A$6:$DA$376,81,FALSE)</f>
        <v>0</v>
      </c>
      <c r="CD187" s="566">
        <f>VLOOKUP($A187,'01-02.2021'!$A$6:$CZ$403,82,FALSE)+VLOOKUP($A187,'1.3.21-28.2.22'!$A$6:$DA$404,82,FALSE)-VLOOKUP($A187,'01-02.2022'!$A$6:$DA$376,82,FALSE)</f>
        <v>0</v>
      </c>
      <c r="CE187" s="70">
        <f t="shared" si="196"/>
        <v>0</v>
      </c>
      <c r="CF187" s="566">
        <f>VLOOKUP($A187,'01-02.2021'!$A$6:$CZ$403,84,FALSE)+VLOOKUP($A187,'1.3.21-28.2.22'!$A$6:$DA$404,84,FALSE)-VLOOKUP($A187,'01-02.2022'!$A$6:$DA$376,84,FALSE)</f>
        <v>0</v>
      </c>
      <c r="CG187" s="566">
        <f>VLOOKUP($A187,'01-02.2021'!$A$6:$CZ$403,85,FALSE)+VLOOKUP($A187,'1.3.21-28.2.22'!$A$6:$DA$404,85,FALSE)-VLOOKUP($A187,'01-02.2022'!$A$6:$DA$376,85,FALSE)</f>
        <v>0</v>
      </c>
      <c r="CH187" s="70">
        <f t="shared" si="197"/>
        <v>0</v>
      </c>
      <c r="CI187" s="566">
        <f>VLOOKUP($A187,'01-02.2021'!$A$6:$CZ$403,87,FALSE)+VLOOKUP($A187,'1.3.21-28.2.22'!$A$6:$DA$404,87,FALSE)-VLOOKUP($A187,'01-02.2022'!$A$6:$DA$376,87,FALSE)</f>
        <v>0</v>
      </c>
      <c r="CJ187" s="566">
        <f>VLOOKUP($A187,'01-02.2021'!$A$6:$CZ$403,88,FALSE)+VLOOKUP($A187,'1.3.21-28.2.22'!$A$6:$DA$404,88,FALSE)-VLOOKUP($A187,'01-02.2022'!$A$6:$DA$376,88,FALSE)</f>
        <v>0</v>
      </c>
      <c r="CK187" s="70">
        <f t="shared" si="198"/>
        <v>0</v>
      </c>
      <c r="CL187" s="566">
        <f>VLOOKUP($A187,'01-02.2021'!$A$6:$CZ$403,90,FALSE)+VLOOKUP($A187,'1.3.21-28.2.22'!$A$6:$DA$404,90,FALSE)-VLOOKUP($A187,'01-02.2022'!$A$6:$DA$376,90,FALSE)</f>
        <v>0</v>
      </c>
      <c r="CM187" s="566">
        <f>VLOOKUP($A187,'01-02.2021'!$A$6:$CZ$403,91,FALSE)+VLOOKUP($A187,'1.3.21-28.2.22'!$A$6:$DA$404,91,FALSE)-VLOOKUP($A187,'01-02.2022'!$A$6:$DA$376,91,FALSE)</f>
        <v>0</v>
      </c>
      <c r="CN187" s="52">
        <f t="shared" si="225"/>
        <v>0</v>
      </c>
      <c r="CO187" s="39">
        <f t="shared" si="220"/>
        <v>0</v>
      </c>
      <c r="CP187" s="40">
        <f t="shared" si="226"/>
        <v>0</v>
      </c>
      <c r="CQ187" s="52">
        <f t="shared" si="227"/>
        <v>0</v>
      </c>
      <c r="CR187" s="72">
        <f t="shared" si="221"/>
        <v>1504.5066131540236</v>
      </c>
      <c r="CS187" s="5">
        <f t="shared" si="221"/>
        <v>771.14630329264662</v>
      </c>
      <c r="CT187" s="52">
        <f t="shared" si="228"/>
        <v>-733.360309861377</v>
      </c>
      <c r="CU187" s="77">
        <f t="shared" si="229"/>
        <v>1805.4079357848284</v>
      </c>
      <c r="CV187" s="65">
        <f t="shared" si="230"/>
        <v>925.37556395117588</v>
      </c>
      <c r="CW187" s="35">
        <f t="shared" si="231"/>
        <v>-880.03237183365252</v>
      </c>
      <c r="CX187" s="566">
        <f>VLOOKUP($A187,'01-02.2021'!$A$6:$CZ$403,102,FALSE)+VLOOKUP($A187,'1.3.21-28.2.22'!$A$6:$DA$404,102,FALSE)-VLOOKUP($A187,'01-02.2022'!$A$6:$DA$376,102,FALSE)</f>
        <v>33.550922151056795</v>
      </c>
      <c r="CY187" s="566">
        <f>VLOOKUP($A187,'01-02.2021'!$A$6:$CZ$403,103,FALSE)+VLOOKUP($A187,'1.3.21-28.2.22'!$A$6:$DA$404,103,FALSE)-VLOOKUP($A187,'01-02.2022'!$A$6:$DA$376,103,FALSE)</f>
        <v>913.58329398470914</v>
      </c>
      <c r="CZ187" s="52">
        <f t="shared" si="232"/>
        <v>880.03237183365241</v>
      </c>
      <c r="DA187" s="150">
        <f>'[2]побудинковий звіт'!DA187</f>
        <v>-3171.3524434880428</v>
      </c>
      <c r="DB187" s="2">
        <v>2</v>
      </c>
      <c r="DC187" s="414">
        <f>'[4]побудинковий звіт'!DC187</f>
        <v>355.1</v>
      </c>
      <c r="DD187" s="414">
        <f>'[4]побудинковий звіт'!DD187</f>
        <v>0</v>
      </c>
      <c r="DE187" s="557">
        <f>'[4]побудинковий звіт'!DE187</f>
        <v>188.33813859238137</v>
      </c>
      <c r="DF187" s="557">
        <f>'[4]побудинковий звіт'!DF187</f>
        <v>0</v>
      </c>
      <c r="DG187" s="321">
        <f>VLOOKUP(A187,'кошти 01.03.2021'!$A$6:$D$401,4,)</f>
        <v>-2178.4862080550515</v>
      </c>
      <c r="DH187" s="40">
        <f>'[3]побудинковий звіт'!DJ187</f>
        <v>1902.8579815663998</v>
      </c>
      <c r="DI187" s="422">
        <f>'[3]побудинковий звіт'!CU187+'[3]побудинковий звіт'!CX187</f>
        <v>166.76186140761865</v>
      </c>
      <c r="DJ187" s="306">
        <f>'[3]побудинковий звіт'!DM187</f>
        <v>1.7553880148170384</v>
      </c>
      <c r="DK187" s="306">
        <f t="shared" si="233"/>
        <v>1.7553880148170384</v>
      </c>
      <c r="DL187" s="306">
        <f>'[3]побудинковий звіт'!DO187</f>
        <v>1.7553880148170384</v>
      </c>
      <c r="DM187" s="28">
        <f t="shared" si="234"/>
        <v>166.76186140761865</v>
      </c>
      <c r="DN187" s="28">
        <f t="shared" si="235"/>
        <v>0</v>
      </c>
      <c r="DO187" s="423">
        <f t="shared" si="171"/>
        <v>166.76186140761865</v>
      </c>
      <c r="DP187" s="94">
        <f t="shared" si="172"/>
        <v>0</v>
      </c>
      <c r="DQ187" s="28">
        <f t="shared" si="173"/>
        <v>166.76186140761865</v>
      </c>
      <c r="DR187" s="318"/>
      <c r="DT187" s="8"/>
      <c r="DU187" s="5"/>
      <c r="DX187" s="5">
        <f t="shared" si="174"/>
        <v>1131.6096500226802</v>
      </c>
      <c r="DY187" s="5">
        <f t="shared" si="175"/>
        <v>0</v>
      </c>
      <c r="DZ187" s="159">
        <f>'[3]побудинковий звіт'!EA187</f>
        <v>124.14606747740439</v>
      </c>
    </row>
    <row r="188" spans="1:130" x14ac:dyDescent="0.3">
      <c r="A188" s="325">
        <v>150000546</v>
      </c>
      <c r="B188" s="41" t="s">
        <v>636</v>
      </c>
      <c r="C188" s="42" t="s">
        <v>108</v>
      </c>
      <c r="D188" s="42"/>
      <c r="E188" s="293">
        <f t="shared" si="218"/>
        <v>131.30000000000001</v>
      </c>
      <c r="F188" s="305">
        <f>'[3]побудинковий звіт'!F188</f>
        <v>131.30000000000001</v>
      </c>
      <c r="G188" s="508">
        <f>'[3]побудинковий звіт'!G188</f>
        <v>0</v>
      </c>
      <c r="H188" s="560">
        <f>'[3]побудинковий звіт'!H188</f>
        <v>0</v>
      </c>
      <c r="I188" s="566">
        <f>VLOOKUP($A188,'01-02.2021'!$A$6:$CZ$403,9,FALSE)+VLOOKUP($A188,'1.3.21-28.2.22'!$A$6:$DA$404,9,FALSE)-VLOOKUP($A188,'01-02.2022'!$A$6:$DA$376,9,FALSE)</f>
        <v>0</v>
      </c>
      <c r="J188" s="566">
        <f>VLOOKUP($A188,'01-02.2021'!$A$6:$CZ$403,10,FALSE)+VLOOKUP($A188,'1.3.21-28.2.22'!$A$6:$DA$404,10,FALSE)-VLOOKUP($A188,'01-02.2022'!$A$6:$DA$376,10,FALSE)</f>
        <v>0</v>
      </c>
      <c r="K188" s="52">
        <f t="shared" si="222"/>
        <v>0</v>
      </c>
      <c r="L188" s="566">
        <f>VLOOKUP($A188,'01-02.2021'!$A$6:$CZ$403,12,FALSE)+VLOOKUP($A188,'1.3.21-28.2.22'!$A$6:$DA$404,12,FALSE)-VLOOKUP($A188,'01-02.2022'!$A$6:$DA$376,12,FALSE)</f>
        <v>0</v>
      </c>
      <c r="M188" s="566">
        <f>VLOOKUP($A188,'01-02.2021'!$A$6:$CZ$403,13,FALSE)+VLOOKUP($A188,'1.3.21-28.2.22'!$A$6:$DA$404,13,FALSE)-VLOOKUP($A188,'01-02.2022'!$A$6:$DA$376,13,FALSE)</f>
        <v>0</v>
      </c>
      <c r="N188" s="52">
        <f t="shared" si="223"/>
        <v>0</v>
      </c>
      <c r="O188" s="566">
        <f>VLOOKUP($A188,'01-02.2021'!$A$6:$CZ$403,15,FALSE)+VLOOKUP($A188,'1.3.21-28.2.22'!$A$6:$DA$404,15,FALSE)-VLOOKUP($A188,'01-02.2022'!$A$6:$DA$376,15,FALSE)</f>
        <v>0</v>
      </c>
      <c r="P188" s="566">
        <f>VLOOKUP($A188,'01-02.2021'!$A$6:$CZ$403,16,FALSE)+VLOOKUP($A188,'1.3.21-28.2.22'!$A$6:$DA$404,16,FALSE)-VLOOKUP($A188,'01-02.2022'!$A$6:$DA$376,16,FALSE)</f>
        <v>0</v>
      </c>
      <c r="Q188" s="70">
        <f t="shared" si="176"/>
        <v>0</v>
      </c>
      <c r="R188" s="566">
        <f>VLOOKUP($A188,'01-02.2021'!$A$6:$CZ$403,18,FALSE)+VLOOKUP($A188,'1.3.21-28.2.22'!$A$6:$DA$404,18,FALSE)-VLOOKUP($A188,'01-02.2022'!$A$6:$DA$376,18,FALSE)</f>
        <v>0</v>
      </c>
      <c r="S188" s="566">
        <f>VLOOKUP($A188,'01-02.2021'!$A$6:$CZ$403,19,FALSE)+VLOOKUP($A188,'1.3.21-28.2.22'!$A$6:$DA$404,19,FALSE)-VLOOKUP($A188,'01-02.2022'!$A$6:$DA$376,19,FALSE)</f>
        <v>0</v>
      </c>
      <c r="T188" s="70">
        <f t="shared" si="177"/>
        <v>0</v>
      </c>
      <c r="U188" s="566">
        <f>VLOOKUP($A188,'01-02.2021'!$A$6:$CZ$403,21,FALSE)+VLOOKUP($A188,'1.3.21-28.2.22'!$A$6:$DA$404,21,FALSE)-VLOOKUP($A188,'01-02.2022'!$A$6:$DA$376,21,FALSE)</f>
        <v>0</v>
      </c>
      <c r="V188" s="566">
        <f>VLOOKUP($A188,'01-02.2021'!$A$6:$CZ$403,22,FALSE)+VLOOKUP($A188,'1.3.21-28.2.22'!$A$6:$DA$404,22,FALSE)-VLOOKUP($A188,'01-02.2022'!$A$6:$DA$376,22,FALSE)</f>
        <v>0</v>
      </c>
      <c r="W188" s="70">
        <f t="shared" si="178"/>
        <v>0</v>
      </c>
      <c r="X188" s="566">
        <f>VLOOKUP($A188,'01-02.2021'!$A$6:$CZ$403,24,FALSE)+VLOOKUP($A188,'1.3.21-28.2.22'!$A$6:$DA$404,24,FALSE)-VLOOKUP($A188,'01-02.2022'!$A$6:$DA$376,24,FALSE)</f>
        <v>0</v>
      </c>
      <c r="Y188" s="566">
        <f>VLOOKUP($A188,'01-02.2021'!$A$6:$CZ$403,25,FALSE)+VLOOKUP($A188,'1.3.21-28.2.22'!$A$6:$DA$404,25,FALSE)-VLOOKUP($A188,'01-02.2022'!$A$6:$DA$376,25,FALSE)</f>
        <v>0</v>
      </c>
      <c r="Z188" s="70">
        <f t="shared" si="179"/>
        <v>0</v>
      </c>
      <c r="AA188" s="566">
        <f>VLOOKUP($A188,'01-02.2021'!$A$6:$CZ$403,27,FALSE)+VLOOKUP($A188,'1.3.21-28.2.22'!$A$6:$DA$404,27,FALSE)-VLOOKUP($A188,'01-02.2022'!$A$6:$DA$376,27,FALSE)</f>
        <v>26.230000000000004</v>
      </c>
      <c r="AB188" s="566">
        <f>VLOOKUP($A188,'01-02.2021'!$A$6:$CZ$403,28,FALSE)+VLOOKUP($A188,'1.3.21-28.2.22'!$A$6:$DA$404,28,FALSE)-VLOOKUP($A188,'01-02.2022'!$A$6:$DA$376,28,FALSE)</f>
        <v>0</v>
      </c>
      <c r="AC188" s="70">
        <f t="shared" si="180"/>
        <v>-26.230000000000004</v>
      </c>
      <c r="AD188" s="566">
        <f>VLOOKUP($A188,'01-02.2021'!$A$6:$CZ$403,30,FALSE)+VLOOKUP($A188,'1.3.21-28.2.22'!$A$6:$DA$404,30,FALSE)-VLOOKUP($A188,'01-02.2022'!$A$6:$DA$376,30,FALSE)</f>
        <v>209.97648389072134</v>
      </c>
      <c r="AE188" s="566">
        <f>VLOOKUP($A188,'01-02.2021'!$A$6:$CZ$403,31,FALSE)+VLOOKUP($A188,'1.3.21-28.2.22'!$A$6:$DA$404,31,FALSE)-VLOOKUP($A188,'01-02.2022'!$A$6:$DA$376,31,FALSE)</f>
        <v>597.33174619907368</v>
      </c>
      <c r="AF188" s="68">
        <f t="shared" si="181"/>
        <v>387.35526230835234</v>
      </c>
      <c r="AG188" s="77">
        <f t="shared" si="219"/>
        <v>236.20648389072136</v>
      </c>
      <c r="AH188" s="53">
        <f t="shared" si="219"/>
        <v>597.33174619907368</v>
      </c>
      <c r="AI188" s="52">
        <f t="shared" si="224"/>
        <v>361.12526230835232</v>
      </c>
      <c r="AJ188" s="566">
        <f>VLOOKUP($A188,'01-02.2021'!$A$6:$CZ$403,36,FALSE)+VLOOKUP($A188,'1.3.21-28.2.22'!$A$6:$DA$404,36,FALSE)-VLOOKUP($A188,'01-02.2022'!$A$6:$DA$376,36,FALSE)</f>
        <v>0</v>
      </c>
      <c r="AK188" s="566">
        <f>VLOOKUP($A188,'01-02.2021'!$A$6:$CZ$403,37,FALSE)+VLOOKUP($A188,'1.3.21-28.2.22'!$A$6:$DA$404,37,FALSE)-VLOOKUP($A188,'01-02.2022'!$A$6:$DA$376,37,FALSE)</f>
        <v>0</v>
      </c>
      <c r="AL188" s="70">
        <f t="shared" si="182"/>
        <v>0</v>
      </c>
      <c r="AM188" s="566">
        <f>VLOOKUP($A188,'01-02.2021'!$A$6:$CZ$403,39,FALSE)+VLOOKUP($A188,'1.3.21-28.2.22'!$A$6:$DA$404,39,FALSE)-VLOOKUP($A188,'01-02.2022'!$A$6:$DA$376,39,FALSE)</f>
        <v>0</v>
      </c>
      <c r="AN188" s="566">
        <f>VLOOKUP($A188,'01-02.2021'!$A$6:$CZ$403,40,FALSE)+VLOOKUP($A188,'1.3.21-28.2.22'!$A$6:$DA$404,40,FALSE)-VLOOKUP($A188,'01-02.2022'!$A$6:$DA$376,40,FALSE)</f>
        <v>0</v>
      </c>
      <c r="AO188" s="70">
        <f t="shared" si="183"/>
        <v>0</v>
      </c>
      <c r="AP188" s="566">
        <f>VLOOKUP($A188,'01-02.2021'!$A$6:$CZ$403,42,FALSE)+VLOOKUP($A188,'1.3.21-28.2.22'!$A$6:$DA$404,42,FALSE)-VLOOKUP($A188,'01-02.2022'!$A$6:$DA$376,42,FALSE)</f>
        <v>390.41994375958296</v>
      </c>
      <c r="AQ188" s="566">
        <f>VLOOKUP($A188,'01-02.2021'!$A$6:$CZ$403,43,FALSE)+VLOOKUP($A188,'1.3.21-28.2.22'!$A$6:$DA$404,43,FALSE)-VLOOKUP($A188,'01-02.2022'!$A$6:$DA$376,43,FALSE)</f>
        <v>336.57337442243158</v>
      </c>
      <c r="AR188" s="70">
        <f t="shared" si="184"/>
        <v>-53.846569337151379</v>
      </c>
      <c r="AS188" s="566">
        <f>VLOOKUP($A188,'01-02.2021'!$A$6:$CZ$403,45,FALSE)+VLOOKUP($A188,'1.3.21-28.2.22'!$A$6:$DA$404,45,FALSE)-VLOOKUP($A188,'01-02.2022'!$A$6:$DA$376,45,FALSE)</f>
        <v>1280.0536383689835</v>
      </c>
      <c r="AT188" s="566">
        <f>VLOOKUP($A188,'01-02.2021'!$A$6:$CZ$403,46,FALSE)+VLOOKUP($A188,'1.3.21-28.2.22'!$A$6:$DA$404,46,FALSE)-VLOOKUP($A188,'01-02.2022'!$A$6:$DA$376,46,FALSE)</f>
        <v>0</v>
      </c>
      <c r="AU188" s="78">
        <f t="shared" si="185"/>
        <v>-1280.0536383689835</v>
      </c>
      <c r="AV188" s="566">
        <f>VLOOKUP($A188,'01-02.2021'!$A$6:$CZ$403,48,FALSE)+VLOOKUP($A188,'1.3.21-28.2.22'!$A$6:$DA$404,48,FALSE)-VLOOKUP($A188,'01-02.2022'!$A$6:$DA$376,48,FALSE)</f>
        <v>0</v>
      </c>
      <c r="AW188" s="566">
        <f>VLOOKUP($A188,'01-02.2021'!$A$6:$CZ$403,49,FALSE)+VLOOKUP($A188,'1.3.21-28.2.22'!$A$6:$DA$404,49,FALSE)-VLOOKUP($A188,'01-02.2022'!$A$6:$DA$376,49,FALSE)</f>
        <v>0</v>
      </c>
      <c r="AX188" s="55">
        <f t="shared" si="186"/>
        <v>0</v>
      </c>
      <c r="AY188" s="566">
        <f>VLOOKUP($A188,'01-02.2021'!$A$6:$CZ$403,51,FALSE)+VLOOKUP($A188,'1.3.21-28.2.22'!$A$6:$DA$404,51,FALSE)-VLOOKUP($A188,'01-02.2022'!$A$6:$DA$376,51,FALSE)</f>
        <v>0</v>
      </c>
      <c r="AZ188" s="566">
        <f>VLOOKUP($A188,'01-02.2021'!$A$6:$CZ$403,52,FALSE)+VLOOKUP($A188,'1.3.21-28.2.22'!$A$6:$DA$404,52,FALSE)-VLOOKUP($A188,'01-02.2022'!$A$6:$DA$376,52,FALSE)</f>
        <v>0</v>
      </c>
      <c r="BA188" s="38">
        <f t="shared" si="187"/>
        <v>0</v>
      </c>
      <c r="BB188" s="566">
        <f>VLOOKUP($A188,'01-02.2021'!$A$6:$CZ$403,54,FALSE)+VLOOKUP($A188,'1.3.21-28.2.22'!$A$6:$DA$404,54,FALSE)-VLOOKUP($A188,'01-02.2022'!$A$6:$DA$376,54,FALSE)</f>
        <v>0</v>
      </c>
      <c r="BC188" s="566">
        <f>VLOOKUP($A188,'01-02.2021'!$A$6:$CZ$403,55,FALSE)+VLOOKUP($A188,'1.3.21-28.2.22'!$A$6:$DA$404,55,FALSE)-VLOOKUP($A188,'01-02.2022'!$A$6:$DA$376,55,FALSE)</f>
        <v>0</v>
      </c>
      <c r="BD188" s="55">
        <f t="shared" si="188"/>
        <v>0</v>
      </c>
      <c r="BE188" s="566">
        <f>VLOOKUP($A188,'01-02.2021'!$A$6:$CZ$403,57,FALSE)+VLOOKUP($A188,'1.3.21-28.2.22'!$A$6:$DA$404,57,FALSE)-VLOOKUP($A188,'01-02.2022'!$A$6:$DA$376,57,FALSE)</f>
        <v>0</v>
      </c>
      <c r="BF188" s="566">
        <f>VLOOKUP($A188,'01-02.2021'!$A$6:$CZ$403,58,FALSE)+VLOOKUP($A188,'1.3.21-28.2.22'!$A$6:$DA$404,58,FALSE)-VLOOKUP($A188,'01-02.2022'!$A$6:$DA$376,58,FALSE)</f>
        <v>0</v>
      </c>
      <c r="BG188" s="55">
        <f t="shared" si="189"/>
        <v>0</v>
      </c>
      <c r="BH188" s="566">
        <f>VLOOKUP($A188,'01-02.2021'!$A$6:$CZ$403,60,FALSE)+VLOOKUP($A188,'1.3.21-28.2.22'!$A$6:$DA$404,60,FALSE)-VLOOKUP($A188,'01-02.2022'!$A$6:$DA$376,60,FALSE)</f>
        <v>0</v>
      </c>
      <c r="BI188" s="566">
        <f>VLOOKUP($A188,'01-02.2021'!$A$6:$CZ$403,61,FALSE)+VLOOKUP($A188,'1.3.21-28.2.22'!$A$6:$DA$404,61,FALSE)-VLOOKUP($A188,'01-02.2022'!$A$6:$DA$376,61,FALSE)</f>
        <v>0</v>
      </c>
      <c r="BJ188" s="55">
        <f t="shared" si="190"/>
        <v>0</v>
      </c>
      <c r="BK188" s="566">
        <f>VLOOKUP($A188,'01-02.2021'!$A$6:$CZ$403,63,FALSE)+VLOOKUP($A188,'1.3.21-28.2.22'!$A$6:$DA$404,63,FALSE)-VLOOKUP($A188,'01-02.2022'!$A$6:$DA$376,63,FALSE)</f>
        <v>0</v>
      </c>
      <c r="BL188" s="566">
        <f>VLOOKUP($A188,'01-02.2021'!$A$6:$CZ$403,64,FALSE)+VLOOKUP($A188,'1.3.21-28.2.22'!$A$6:$DA$404,64,FALSE)-VLOOKUP($A188,'01-02.2022'!$A$6:$DA$376,64,FALSE)</f>
        <v>0</v>
      </c>
      <c r="BM188" s="55">
        <f t="shared" si="191"/>
        <v>0</v>
      </c>
      <c r="BN188" s="566">
        <f>VLOOKUP($A188,'01-02.2021'!$A$6:$CZ$403,66,FALSE)+VLOOKUP($A188,'1.3.21-28.2.22'!$A$6:$DA$404,66,FALSE)-VLOOKUP($A188,'01-02.2022'!$A$6:$DA$376,66,FALSE)</f>
        <v>6.557500000000001</v>
      </c>
      <c r="BO188" s="566">
        <f>VLOOKUP($A188,'01-02.2021'!$A$6:$CZ$403,67,FALSE)+VLOOKUP($A188,'1.3.21-28.2.22'!$A$6:$DA$404,67,FALSE)-VLOOKUP($A188,'01-02.2022'!$A$6:$DA$376,67,FALSE)</f>
        <v>0</v>
      </c>
      <c r="BP188" s="55">
        <f t="shared" si="192"/>
        <v>-6.557500000000001</v>
      </c>
      <c r="BQ188" s="77">
        <f t="shared" si="209"/>
        <v>6.557500000000001</v>
      </c>
      <c r="BR188" s="40">
        <f t="shared" si="210"/>
        <v>0</v>
      </c>
      <c r="BS188" s="55">
        <f t="shared" si="236"/>
        <v>-6.557500000000001</v>
      </c>
      <c r="BT188" s="566">
        <f>VLOOKUP($A188,'01-02.2021'!$A$6:$CZ$403,72,FALSE)+VLOOKUP($A188,'1.3.21-28.2.22'!$A$6:$DA$404,72,FALSE)-VLOOKUP($A188,'01-02.2022'!$A$6:$DA$376,72,FALSE)</f>
        <v>0</v>
      </c>
      <c r="BU188" s="566">
        <f>VLOOKUP($A188,'01-02.2021'!$A$6:$CZ$403,73,FALSE)+VLOOKUP($A188,'1.3.21-28.2.22'!$A$6:$DA$404,73,FALSE)-VLOOKUP($A188,'01-02.2022'!$A$6:$DA$376,73,FALSE)</f>
        <v>0</v>
      </c>
      <c r="BV188" s="70">
        <f t="shared" si="193"/>
        <v>0</v>
      </c>
      <c r="BW188" s="566">
        <f>VLOOKUP($A188,'01-02.2021'!$A$6:$CZ$403,75,FALSE)+VLOOKUP($A188,'1.3.21-28.2.22'!$A$6:$DA$404,75,FALSE)-VLOOKUP($A188,'01-02.2022'!$A$6:$DA$376,75,FALSE)</f>
        <v>0</v>
      </c>
      <c r="BX188" s="566">
        <f>VLOOKUP($A188,'01-02.2021'!$A$6:$CZ$403,76,FALSE)+VLOOKUP($A188,'1.3.21-28.2.22'!$A$6:$DA$404,76,FALSE)-VLOOKUP($A188,'01-02.2022'!$A$6:$DA$376,76,FALSE)</f>
        <v>2.9412454962910672</v>
      </c>
      <c r="BY188" s="70">
        <f t="shared" si="194"/>
        <v>2.9412454962910672</v>
      </c>
      <c r="BZ188" s="566">
        <f>VLOOKUP($A188,'01-02.2021'!$A$6:$CZ$403,78,FALSE)+VLOOKUP($A188,'1.3.21-28.2.22'!$A$6:$DA$404,78,FALSE)-VLOOKUP($A188,'01-02.2022'!$A$6:$DA$376,78,FALSE)</f>
        <v>0</v>
      </c>
      <c r="CA188" s="566">
        <f>VLOOKUP($A188,'01-02.2021'!$A$6:$CZ$403,79,FALSE)+VLOOKUP($A188,'1.3.21-28.2.22'!$A$6:$DA$404,79,FALSE)-VLOOKUP($A188,'01-02.2022'!$A$6:$DA$376,79,FALSE)</f>
        <v>0</v>
      </c>
      <c r="CB188" s="70">
        <f t="shared" si="195"/>
        <v>0</v>
      </c>
      <c r="CC188" s="566">
        <f>VLOOKUP($A188,'01-02.2021'!$A$6:$CZ$403,81,FALSE)+VLOOKUP($A188,'1.3.21-28.2.22'!$A$6:$DA$404,81,FALSE)-VLOOKUP($A188,'01-02.2022'!$A$6:$DA$376,81,FALSE)</f>
        <v>0</v>
      </c>
      <c r="CD188" s="566">
        <f>VLOOKUP($A188,'01-02.2021'!$A$6:$CZ$403,82,FALSE)+VLOOKUP($A188,'1.3.21-28.2.22'!$A$6:$DA$404,82,FALSE)-VLOOKUP($A188,'01-02.2022'!$A$6:$DA$376,82,FALSE)</f>
        <v>0</v>
      </c>
      <c r="CE188" s="70">
        <f t="shared" si="196"/>
        <v>0</v>
      </c>
      <c r="CF188" s="566">
        <f>VLOOKUP($A188,'01-02.2021'!$A$6:$CZ$403,84,FALSE)+VLOOKUP($A188,'1.3.21-28.2.22'!$A$6:$DA$404,84,FALSE)-VLOOKUP($A188,'01-02.2022'!$A$6:$DA$376,84,FALSE)</f>
        <v>0</v>
      </c>
      <c r="CG188" s="566">
        <f>VLOOKUP($A188,'01-02.2021'!$A$6:$CZ$403,85,FALSE)+VLOOKUP($A188,'1.3.21-28.2.22'!$A$6:$DA$404,85,FALSE)-VLOOKUP($A188,'01-02.2022'!$A$6:$DA$376,85,FALSE)</f>
        <v>0</v>
      </c>
      <c r="CH188" s="70">
        <f t="shared" si="197"/>
        <v>0</v>
      </c>
      <c r="CI188" s="566">
        <f>VLOOKUP($A188,'01-02.2021'!$A$6:$CZ$403,87,FALSE)+VLOOKUP($A188,'1.3.21-28.2.22'!$A$6:$DA$404,87,FALSE)-VLOOKUP($A188,'01-02.2022'!$A$6:$DA$376,87,FALSE)</f>
        <v>0</v>
      </c>
      <c r="CJ188" s="566">
        <f>VLOOKUP($A188,'01-02.2021'!$A$6:$CZ$403,88,FALSE)+VLOOKUP($A188,'1.3.21-28.2.22'!$A$6:$DA$404,88,FALSE)-VLOOKUP($A188,'01-02.2022'!$A$6:$DA$376,88,FALSE)</f>
        <v>0</v>
      </c>
      <c r="CK188" s="70">
        <f t="shared" si="198"/>
        <v>0</v>
      </c>
      <c r="CL188" s="566">
        <f>VLOOKUP($A188,'01-02.2021'!$A$6:$CZ$403,90,FALSE)+VLOOKUP($A188,'1.3.21-28.2.22'!$A$6:$DA$404,90,FALSE)-VLOOKUP($A188,'01-02.2022'!$A$6:$DA$376,90,FALSE)</f>
        <v>0</v>
      </c>
      <c r="CM188" s="566">
        <f>VLOOKUP($A188,'01-02.2021'!$A$6:$CZ$403,91,FALSE)+VLOOKUP($A188,'1.3.21-28.2.22'!$A$6:$DA$404,91,FALSE)-VLOOKUP($A188,'01-02.2022'!$A$6:$DA$376,91,FALSE)</f>
        <v>0</v>
      </c>
      <c r="CN188" s="52">
        <f t="shared" si="225"/>
        <v>0</v>
      </c>
      <c r="CO188" s="39">
        <f t="shared" si="220"/>
        <v>0</v>
      </c>
      <c r="CP188" s="40">
        <f t="shared" si="226"/>
        <v>0</v>
      </c>
      <c r="CQ188" s="52">
        <f t="shared" si="227"/>
        <v>0</v>
      </c>
      <c r="CR188" s="72">
        <f t="shared" si="221"/>
        <v>1913.2375660192877</v>
      </c>
      <c r="CS188" s="5">
        <f t="shared" si="221"/>
        <v>936.84636611779638</v>
      </c>
      <c r="CT188" s="52">
        <f t="shared" si="228"/>
        <v>-976.39119990149129</v>
      </c>
      <c r="CU188" s="77">
        <f t="shared" si="229"/>
        <v>2295.8850792231451</v>
      </c>
      <c r="CV188" s="65">
        <f t="shared" si="230"/>
        <v>1124.2156393413557</v>
      </c>
      <c r="CW188" s="35">
        <f t="shared" si="231"/>
        <v>-1171.6694398817895</v>
      </c>
      <c r="CX188" s="566">
        <f>VLOOKUP($A188,'01-02.2021'!$A$6:$CZ$403,102,FALSE)+VLOOKUP($A188,'1.3.21-28.2.22'!$A$6:$DA$404,102,FALSE)-VLOOKUP($A188,'01-02.2022'!$A$6:$DA$376,102,FALSE)</f>
        <v>42.466163834662638</v>
      </c>
      <c r="CY188" s="566">
        <f>VLOOKUP($A188,'01-02.2021'!$A$6:$CZ$403,103,FALSE)+VLOOKUP($A188,'1.3.21-28.2.22'!$A$6:$DA$404,103,FALSE)-VLOOKUP($A188,'01-02.2022'!$A$6:$DA$376,103,FALSE)</f>
        <v>1214.1356037164521</v>
      </c>
      <c r="CZ188" s="52">
        <f t="shared" si="232"/>
        <v>1171.6694398817895</v>
      </c>
      <c r="DA188" s="150">
        <f>'[2]побудинковий звіт'!DA188</f>
        <v>-3946.0634224317314</v>
      </c>
      <c r="DB188" s="2">
        <v>2</v>
      </c>
      <c r="DC188" s="414">
        <f>'[4]побудинковий звіт'!DC188</f>
        <v>983.2</v>
      </c>
      <c r="DD188" s="414">
        <f>'[4]побудинковий звіт'!DD188</f>
        <v>0</v>
      </c>
      <c r="DE188" s="557">
        <f>'[4]побудинковий звіт'!DE188</f>
        <v>770.59154495663552</v>
      </c>
      <c r="DF188" s="557">
        <f>'[4]побудинковий звіт'!DF188</f>
        <v>0</v>
      </c>
      <c r="DG188" s="321">
        <f>VLOOKUP(A188,'кошти 01.03.2021'!$A$6:$D$401,4,)</f>
        <v>-2624.6522749018204</v>
      </c>
      <c r="DH188" s="40">
        <f>'[3]побудинковий звіт'!DJ188</f>
        <v>2422.2981769786793</v>
      </c>
      <c r="DI188" s="422">
        <f>'[3]побудинковий звіт'!CU188+'[3]побудинковий звіт'!CX188</f>
        <v>212.6084550433645</v>
      </c>
      <c r="DJ188" s="306">
        <f>'[3]побудинковий звіт'!DM188</f>
        <v>1.6192570833462641</v>
      </c>
      <c r="DK188" s="306">
        <f t="shared" si="233"/>
        <v>1.6192570833462641</v>
      </c>
      <c r="DL188" s="306">
        <f>'[3]побудинковий звіт'!DO188</f>
        <v>1.6192570833462641</v>
      </c>
      <c r="DM188" s="28">
        <f t="shared" si="234"/>
        <v>212.6084550433645</v>
      </c>
      <c r="DN188" s="28">
        <f t="shared" si="235"/>
        <v>0</v>
      </c>
      <c r="DO188" s="423">
        <f t="shared" si="171"/>
        <v>212.6084550433645</v>
      </c>
      <c r="DP188" s="94">
        <f t="shared" si="172"/>
        <v>0</v>
      </c>
      <c r="DQ188" s="28">
        <f t="shared" si="173"/>
        <v>212.6084550433645</v>
      </c>
      <c r="DR188" s="318"/>
      <c r="DT188" s="8"/>
      <c r="DU188" s="5"/>
      <c r="DX188" s="5">
        <f t="shared" si="174"/>
        <v>1543.9333660427799</v>
      </c>
      <c r="DY188" s="5">
        <f t="shared" si="175"/>
        <v>0</v>
      </c>
      <c r="DZ188" s="159">
        <f>'[3]побудинковий звіт'!EA188</f>
        <v>169.99266111315026</v>
      </c>
    </row>
    <row r="189" spans="1:130" x14ac:dyDescent="0.3">
      <c r="A189" s="325">
        <v>150000502</v>
      </c>
      <c r="B189" s="41" t="s">
        <v>637</v>
      </c>
      <c r="C189" s="42" t="s">
        <v>109</v>
      </c>
      <c r="D189" s="42"/>
      <c r="E189" s="293">
        <f t="shared" si="218"/>
        <v>137.30000000000001</v>
      </c>
      <c r="F189" s="305">
        <f>'[3]побудинковий звіт'!F189</f>
        <v>137.30000000000001</v>
      </c>
      <c r="G189" s="508">
        <f>'[3]побудинковий звіт'!G189</f>
        <v>0</v>
      </c>
      <c r="H189" s="560">
        <f>'[3]побудинковий звіт'!H189</f>
        <v>0</v>
      </c>
      <c r="I189" s="566">
        <f>VLOOKUP($A189,'01-02.2021'!$A$6:$CZ$403,9,FALSE)+VLOOKUP($A189,'1.3.21-28.2.22'!$A$6:$DA$404,9,FALSE)-VLOOKUP($A189,'01-02.2022'!$A$6:$DA$376,9,FALSE)</f>
        <v>0</v>
      </c>
      <c r="J189" s="566">
        <f>VLOOKUP($A189,'01-02.2021'!$A$6:$CZ$403,10,FALSE)+VLOOKUP($A189,'1.3.21-28.2.22'!$A$6:$DA$404,10,FALSE)-VLOOKUP($A189,'01-02.2022'!$A$6:$DA$376,10,FALSE)</f>
        <v>0</v>
      </c>
      <c r="K189" s="52">
        <f t="shared" si="222"/>
        <v>0</v>
      </c>
      <c r="L189" s="566">
        <f>VLOOKUP($A189,'01-02.2021'!$A$6:$CZ$403,12,FALSE)+VLOOKUP($A189,'1.3.21-28.2.22'!$A$6:$DA$404,12,FALSE)-VLOOKUP($A189,'01-02.2022'!$A$6:$DA$376,12,FALSE)</f>
        <v>0</v>
      </c>
      <c r="M189" s="566">
        <f>VLOOKUP($A189,'01-02.2021'!$A$6:$CZ$403,13,FALSE)+VLOOKUP($A189,'1.3.21-28.2.22'!$A$6:$DA$404,13,FALSE)-VLOOKUP($A189,'01-02.2022'!$A$6:$DA$376,13,FALSE)</f>
        <v>0</v>
      </c>
      <c r="N189" s="52">
        <f t="shared" si="223"/>
        <v>0</v>
      </c>
      <c r="O189" s="566">
        <f>VLOOKUP($A189,'01-02.2021'!$A$6:$CZ$403,15,FALSE)+VLOOKUP($A189,'1.3.21-28.2.22'!$A$6:$DA$404,15,FALSE)-VLOOKUP($A189,'01-02.2022'!$A$6:$DA$376,15,FALSE)</f>
        <v>0</v>
      </c>
      <c r="P189" s="566">
        <f>VLOOKUP($A189,'01-02.2021'!$A$6:$CZ$403,16,FALSE)+VLOOKUP($A189,'1.3.21-28.2.22'!$A$6:$DA$404,16,FALSE)-VLOOKUP($A189,'01-02.2022'!$A$6:$DA$376,16,FALSE)</f>
        <v>0</v>
      </c>
      <c r="Q189" s="70">
        <f t="shared" si="176"/>
        <v>0</v>
      </c>
      <c r="R189" s="566">
        <f>VLOOKUP($A189,'01-02.2021'!$A$6:$CZ$403,18,FALSE)+VLOOKUP($A189,'1.3.21-28.2.22'!$A$6:$DA$404,18,FALSE)-VLOOKUP($A189,'01-02.2022'!$A$6:$DA$376,18,FALSE)</f>
        <v>0</v>
      </c>
      <c r="S189" s="566">
        <f>VLOOKUP($A189,'01-02.2021'!$A$6:$CZ$403,19,FALSE)+VLOOKUP($A189,'1.3.21-28.2.22'!$A$6:$DA$404,19,FALSE)-VLOOKUP($A189,'01-02.2022'!$A$6:$DA$376,19,FALSE)</f>
        <v>0</v>
      </c>
      <c r="T189" s="70">
        <f t="shared" si="177"/>
        <v>0</v>
      </c>
      <c r="U189" s="566">
        <f>VLOOKUP($A189,'01-02.2021'!$A$6:$CZ$403,21,FALSE)+VLOOKUP($A189,'1.3.21-28.2.22'!$A$6:$DA$404,21,FALSE)-VLOOKUP($A189,'01-02.2022'!$A$6:$DA$376,21,FALSE)</f>
        <v>0</v>
      </c>
      <c r="V189" s="566">
        <f>VLOOKUP($A189,'01-02.2021'!$A$6:$CZ$403,22,FALSE)+VLOOKUP($A189,'1.3.21-28.2.22'!$A$6:$DA$404,22,FALSE)-VLOOKUP($A189,'01-02.2022'!$A$6:$DA$376,22,FALSE)</f>
        <v>0</v>
      </c>
      <c r="W189" s="70">
        <f t="shared" si="178"/>
        <v>0</v>
      </c>
      <c r="X189" s="566">
        <f>VLOOKUP($A189,'01-02.2021'!$A$6:$CZ$403,24,FALSE)+VLOOKUP($A189,'1.3.21-28.2.22'!$A$6:$DA$404,24,FALSE)-VLOOKUP($A189,'01-02.2022'!$A$6:$DA$376,24,FALSE)</f>
        <v>0</v>
      </c>
      <c r="Y189" s="566">
        <f>VLOOKUP($A189,'01-02.2021'!$A$6:$CZ$403,25,FALSE)+VLOOKUP($A189,'1.3.21-28.2.22'!$A$6:$DA$404,25,FALSE)-VLOOKUP($A189,'01-02.2022'!$A$6:$DA$376,25,FALSE)</f>
        <v>0</v>
      </c>
      <c r="Z189" s="70">
        <f t="shared" si="179"/>
        <v>0</v>
      </c>
      <c r="AA189" s="566">
        <f>VLOOKUP($A189,'01-02.2021'!$A$6:$CZ$403,27,FALSE)+VLOOKUP($A189,'1.3.21-28.2.22'!$A$6:$DA$404,27,FALSE)-VLOOKUP($A189,'01-02.2022'!$A$6:$DA$376,27,FALSE)</f>
        <v>27.460000000000004</v>
      </c>
      <c r="AB189" s="566">
        <f>VLOOKUP($A189,'01-02.2021'!$A$6:$CZ$403,28,FALSE)+VLOOKUP($A189,'1.3.21-28.2.22'!$A$6:$DA$404,28,FALSE)-VLOOKUP($A189,'01-02.2022'!$A$6:$DA$376,28,FALSE)</f>
        <v>0</v>
      </c>
      <c r="AC189" s="70">
        <f t="shared" si="180"/>
        <v>-27.460000000000004</v>
      </c>
      <c r="AD189" s="566">
        <f>VLOOKUP($A189,'01-02.2021'!$A$6:$CZ$403,30,FALSE)+VLOOKUP($A189,'1.3.21-28.2.22'!$A$6:$DA$404,30,FALSE)-VLOOKUP($A189,'01-02.2022'!$A$6:$DA$376,30,FALSE)</f>
        <v>206.21088687057301</v>
      </c>
      <c r="AE189" s="566">
        <f>VLOOKUP($A189,'01-02.2021'!$A$6:$CZ$403,31,FALSE)+VLOOKUP($A189,'1.3.21-28.2.22'!$A$6:$DA$404,31,FALSE)-VLOOKUP($A189,'01-02.2022'!$A$6:$DA$376,31,FALSE)</f>
        <v>624.9951321259739</v>
      </c>
      <c r="AF189" s="68">
        <f t="shared" si="181"/>
        <v>418.78424525540089</v>
      </c>
      <c r="AG189" s="77">
        <f t="shared" si="219"/>
        <v>233.67088687057301</v>
      </c>
      <c r="AH189" s="53">
        <f t="shared" si="219"/>
        <v>624.9951321259739</v>
      </c>
      <c r="AI189" s="52">
        <f t="shared" si="224"/>
        <v>391.32424525540091</v>
      </c>
      <c r="AJ189" s="566">
        <f>VLOOKUP($A189,'01-02.2021'!$A$6:$CZ$403,36,FALSE)+VLOOKUP($A189,'1.3.21-28.2.22'!$A$6:$DA$404,36,FALSE)-VLOOKUP($A189,'01-02.2022'!$A$6:$DA$376,36,FALSE)</f>
        <v>0</v>
      </c>
      <c r="AK189" s="566">
        <f>VLOOKUP($A189,'01-02.2021'!$A$6:$CZ$403,37,FALSE)+VLOOKUP($A189,'1.3.21-28.2.22'!$A$6:$DA$404,37,FALSE)-VLOOKUP($A189,'01-02.2022'!$A$6:$DA$376,37,FALSE)</f>
        <v>0</v>
      </c>
      <c r="AL189" s="70">
        <f t="shared" si="182"/>
        <v>0</v>
      </c>
      <c r="AM189" s="566">
        <f>VLOOKUP($A189,'01-02.2021'!$A$6:$CZ$403,39,FALSE)+VLOOKUP($A189,'1.3.21-28.2.22'!$A$6:$DA$404,39,FALSE)-VLOOKUP($A189,'01-02.2022'!$A$6:$DA$376,39,FALSE)</f>
        <v>0</v>
      </c>
      <c r="AN189" s="566">
        <f>VLOOKUP($A189,'01-02.2021'!$A$6:$CZ$403,40,FALSE)+VLOOKUP($A189,'1.3.21-28.2.22'!$A$6:$DA$404,40,FALSE)-VLOOKUP($A189,'01-02.2022'!$A$6:$DA$376,40,FALSE)</f>
        <v>0</v>
      </c>
      <c r="AO189" s="70">
        <f t="shared" si="183"/>
        <v>0</v>
      </c>
      <c r="AP189" s="566">
        <f>VLOOKUP($A189,'01-02.2021'!$A$6:$CZ$403,42,FALSE)+VLOOKUP($A189,'1.3.21-28.2.22'!$A$6:$DA$404,42,FALSE)-VLOOKUP($A189,'01-02.2022'!$A$6:$DA$376,42,FALSE)</f>
        <v>260.27996250638864</v>
      </c>
      <c r="AQ189" s="566">
        <f>VLOOKUP($A189,'01-02.2021'!$A$6:$CZ$403,43,FALSE)+VLOOKUP($A189,'1.3.21-28.2.22'!$A$6:$DA$404,43,FALSE)-VLOOKUP($A189,'01-02.2022'!$A$6:$DA$376,43,FALSE)</f>
        <v>224.38224961495439</v>
      </c>
      <c r="AR189" s="70">
        <f t="shared" si="184"/>
        <v>-35.897712891434253</v>
      </c>
      <c r="AS189" s="566">
        <f>VLOOKUP($A189,'01-02.2021'!$A$6:$CZ$403,45,FALSE)+VLOOKUP($A189,'1.3.21-28.2.22'!$A$6:$DA$404,45,FALSE)-VLOOKUP($A189,'01-02.2022'!$A$6:$DA$376,45,FALSE)</f>
        <v>1559.8374663030675</v>
      </c>
      <c r="AT189" s="566">
        <f>VLOOKUP($A189,'01-02.2021'!$A$6:$CZ$403,46,FALSE)+VLOOKUP($A189,'1.3.21-28.2.22'!$A$6:$DA$404,46,FALSE)-VLOOKUP($A189,'01-02.2022'!$A$6:$DA$376,46,FALSE)</f>
        <v>0</v>
      </c>
      <c r="AU189" s="78">
        <f t="shared" si="185"/>
        <v>-1559.8374663030675</v>
      </c>
      <c r="AV189" s="566">
        <f>VLOOKUP($A189,'01-02.2021'!$A$6:$CZ$403,48,FALSE)+VLOOKUP($A189,'1.3.21-28.2.22'!$A$6:$DA$404,48,FALSE)-VLOOKUP($A189,'01-02.2022'!$A$6:$DA$376,48,FALSE)</f>
        <v>0</v>
      </c>
      <c r="AW189" s="566">
        <f>VLOOKUP($A189,'01-02.2021'!$A$6:$CZ$403,49,FALSE)+VLOOKUP($A189,'1.3.21-28.2.22'!$A$6:$DA$404,49,FALSE)-VLOOKUP($A189,'01-02.2022'!$A$6:$DA$376,49,FALSE)</f>
        <v>0</v>
      </c>
      <c r="AX189" s="55">
        <f t="shared" si="186"/>
        <v>0</v>
      </c>
      <c r="AY189" s="566">
        <f>VLOOKUP($A189,'01-02.2021'!$A$6:$CZ$403,51,FALSE)+VLOOKUP($A189,'1.3.21-28.2.22'!$A$6:$DA$404,51,FALSE)-VLOOKUP($A189,'01-02.2022'!$A$6:$DA$376,51,FALSE)</f>
        <v>0</v>
      </c>
      <c r="AZ189" s="566">
        <f>VLOOKUP($A189,'01-02.2021'!$A$6:$CZ$403,52,FALSE)+VLOOKUP($A189,'1.3.21-28.2.22'!$A$6:$DA$404,52,FALSE)-VLOOKUP($A189,'01-02.2022'!$A$6:$DA$376,52,FALSE)</f>
        <v>0</v>
      </c>
      <c r="BA189" s="38">
        <f t="shared" si="187"/>
        <v>0</v>
      </c>
      <c r="BB189" s="566">
        <f>VLOOKUP($A189,'01-02.2021'!$A$6:$CZ$403,54,FALSE)+VLOOKUP($A189,'1.3.21-28.2.22'!$A$6:$DA$404,54,FALSE)-VLOOKUP($A189,'01-02.2022'!$A$6:$DA$376,54,FALSE)</f>
        <v>0</v>
      </c>
      <c r="BC189" s="566">
        <f>VLOOKUP($A189,'01-02.2021'!$A$6:$CZ$403,55,FALSE)+VLOOKUP($A189,'1.3.21-28.2.22'!$A$6:$DA$404,55,FALSE)-VLOOKUP($A189,'01-02.2022'!$A$6:$DA$376,55,FALSE)</f>
        <v>0</v>
      </c>
      <c r="BD189" s="55">
        <f t="shared" si="188"/>
        <v>0</v>
      </c>
      <c r="BE189" s="566">
        <f>VLOOKUP($A189,'01-02.2021'!$A$6:$CZ$403,57,FALSE)+VLOOKUP($A189,'1.3.21-28.2.22'!$A$6:$DA$404,57,FALSE)-VLOOKUP($A189,'01-02.2022'!$A$6:$DA$376,57,FALSE)</f>
        <v>0</v>
      </c>
      <c r="BF189" s="566">
        <f>VLOOKUP($A189,'01-02.2021'!$A$6:$CZ$403,58,FALSE)+VLOOKUP($A189,'1.3.21-28.2.22'!$A$6:$DA$404,58,FALSE)-VLOOKUP($A189,'01-02.2022'!$A$6:$DA$376,58,FALSE)</f>
        <v>0</v>
      </c>
      <c r="BG189" s="55">
        <f t="shared" si="189"/>
        <v>0</v>
      </c>
      <c r="BH189" s="566">
        <f>VLOOKUP($A189,'01-02.2021'!$A$6:$CZ$403,60,FALSE)+VLOOKUP($A189,'1.3.21-28.2.22'!$A$6:$DA$404,60,FALSE)-VLOOKUP($A189,'01-02.2022'!$A$6:$DA$376,60,FALSE)</f>
        <v>0</v>
      </c>
      <c r="BI189" s="566">
        <f>VLOOKUP($A189,'01-02.2021'!$A$6:$CZ$403,61,FALSE)+VLOOKUP($A189,'1.3.21-28.2.22'!$A$6:$DA$404,61,FALSE)-VLOOKUP($A189,'01-02.2022'!$A$6:$DA$376,61,FALSE)</f>
        <v>0</v>
      </c>
      <c r="BJ189" s="55">
        <f t="shared" si="190"/>
        <v>0</v>
      </c>
      <c r="BK189" s="566">
        <f>VLOOKUP($A189,'01-02.2021'!$A$6:$CZ$403,63,FALSE)+VLOOKUP($A189,'1.3.21-28.2.22'!$A$6:$DA$404,63,FALSE)-VLOOKUP($A189,'01-02.2022'!$A$6:$DA$376,63,FALSE)</f>
        <v>0</v>
      </c>
      <c r="BL189" s="566">
        <f>VLOOKUP($A189,'01-02.2021'!$A$6:$CZ$403,64,FALSE)+VLOOKUP($A189,'1.3.21-28.2.22'!$A$6:$DA$404,64,FALSE)-VLOOKUP($A189,'01-02.2022'!$A$6:$DA$376,64,FALSE)</f>
        <v>0</v>
      </c>
      <c r="BM189" s="55">
        <f t="shared" si="191"/>
        <v>0</v>
      </c>
      <c r="BN189" s="566">
        <f>VLOOKUP($A189,'01-02.2021'!$A$6:$CZ$403,66,FALSE)+VLOOKUP($A189,'1.3.21-28.2.22'!$A$6:$DA$404,66,FALSE)-VLOOKUP($A189,'01-02.2022'!$A$6:$DA$376,66,FALSE)</f>
        <v>6.8650000000000011</v>
      </c>
      <c r="BO189" s="566">
        <f>VLOOKUP($A189,'01-02.2021'!$A$6:$CZ$403,67,FALSE)+VLOOKUP($A189,'1.3.21-28.2.22'!$A$6:$DA$404,67,FALSE)-VLOOKUP($A189,'01-02.2022'!$A$6:$DA$376,67,FALSE)</f>
        <v>0</v>
      </c>
      <c r="BP189" s="55">
        <f t="shared" si="192"/>
        <v>-6.8650000000000011</v>
      </c>
      <c r="BQ189" s="77">
        <f t="shared" si="209"/>
        <v>6.8650000000000011</v>
      </c>
      <c r="BR189" s="40">
        <f t="shared" si="210"/>
        <v>0</v>
      </c>
      <c r="BS189" s="55">
        <f t="shared" si="236"/>
        <v>-6.8650000000000011</v>
      </c>
      <c r="BT189" s="566">
        <f>VLOOKUP($A189,'01-02.2021'!$A$6:$CZ$403,72,FALSE)+VLOOKUP($A189,'1.3.21-28.2.22'!$A$6:$DA$404,72,FALSE)-VLOOKUP($A189,'01-02.2022'!$A$6:$DA$376,72,FALSE)</f>
        <v>0</v>
      </c>
      <c r="BU189" s="566">
        <f>VLOOKUP($A189,'01-02.2021'!$A$6:$CZ$403,73,FALSE)+VLOOKUP($A189,'1.3.21-28.2.22'!$A$6:$DA$404,73,FALSE)-VLOOKUP($A189,'01-02.2022'!$A$6:$DA$376,73,FALSE)</f>
        <v>0</v>
      </c>
      <c r="BV189" s="70">
        <f t="shared" si="193"/>
        <v>0</v>
      </c>
      <c r="BW189" s="566">
        <f>VLOOKUP($A189,'01-02.2021'!$A$6:$CZ$403,75,FALSE)+VLOOKUP($A189,'1.3.21-28.2.22'!$A$6:$DA$404,75,FALSE)-VLOOKUP($A189,'01-02.2022'!$A$6:$DA$376,75,FALSE)</f>
        <v>0</v>
      </c>
      <c r="BX189" s="566">
        <f>VLOOKUP($A189,'01-02.2021'!$A$6:$CZ$403,76,FALSE)+VLOOKUP($A189,'1.3.21-28.2.22'!$A$6:$DA$404,76,FALSE)-VLOOKUP($A189,'01-02.2022'!$A$6:$DA$376,76,FALSE)</f>
        <v>3.0771113885579267</v>
      </c>
      <c r="BY189" s="70">
        <f t="shared" si="194"/>
        <v>3.0771113885579267</v>
      </c>
      <c r="BZ189" s="566">
        <f>VLOOKUP($A189,'01-02.2021'!$A$6:$CZ$403,78,FALSE)+VLOOKUP($A189,'1.3.21-28.2.22'!$A$6:$DA$404,78,FALSE)-VLOOKUP($A189,'01-02.2022'!$A$6:$DA$376,78,FALSE)</f>
        <v>0</v>
      </c>
      <c r="CA189" s="566">
        <f>VLOOKUP($A189,'01-02.2021'!$A$6:$CZ$403,79,FALSE)+VLOOKUP($A189,'1.3.21-28.2.22'!$A$6:$DA$404,79,FALSE)-VLOOKUP($A189,'01-02.2022'!$A$6:$DA$376,79,FALSE)</f>
        <v>0</v>
      </c>
      <c r="CB189" s="70">
        <f t="shared" si="195"/>
        <v>0</v>
      </c>
      <c r="CC189" s="566">
        <f>VLOOKUP($A189,'01-02.2021'!$A$6:$CZ$403,81,FALSE)+VLOOKUP($A189,'1.3.21-28.2.22'!$A$6:$DA$404,81,FALSE)-VLOOKUP($A189,'01-02.2022'!$A$6:$DA$376,81,FALSE)</f>
        <v>0</v>
      </c>
      <c r="CD189" s="566">
        <f>VLOOKUP($A189,'01-02.2021'!$A$6:$CZ$403,82,FALSE)+VLOOKUP($A189,'1.3.21-28.2.22'!$A$6:$DA$404,82,FALSE)-VLOOKUP($A189,'01-02.2022'!$A$6:$DA$376,82,FALSE)</f>
        <v>0</v>
      </c>
      <c r="CE189" s="70">
        <f t="shared" si="196"/>
        <v>0</v>
      </c>
      <c r="CF189" s="566">
        <f>VLOOKUP($A189,'01-02.2021'!$A$6:$CZ$403,84,FALSE)+VLOOKUP($A189,'1.3.21-28.2.22'!$A$6:$DA$404,84,FALSE)-VLOOKUP($A189,'01-02.2022'!$A$6:$DA$376,84,FALSE)</f>
        <v>0</v>
      </c>
      <c r="CG189" s="566">
        <f>VLOOKUP($A189,'01-02.2021'!$A$6:$CZ$403,85,FALSE)+VLOOKUP($A189,'1.3.21-28.2.22'!$A$6:$DA$404,85,FALSE)-VLOOKUP($A189,'01-02.2022'!$A$6:$DA$376,85,FALSE)</f>
        <v>0</v>
      </c>
      <c r="CH189" s="70">
        <f t="shared" si="197"/>
        <v>0</v>
      </c>
      <c r="CI189" s="566">
        <f>VLOOKUP($A189,'01-02.2021'!$A$6:$CZ$403,87,FALSE)+VLOOKUP($A189,'1.3.21-28.2.22'!$A$6:$DA$404,87,FALSE)-VLOOKUP($A189,'01-02.2022'!$A$6:$DA$376,87,FALSE)</f>
        <v>0</v>
      </c>
      <c r="CJ189" s="566">
        <f>VLOOKUP($A189,'01-02.2021'!$A$6:$CZ$403,88,FALSE)+VLOOKUP($A189,'1.3.21-28.2.22'!$A$6:$DA$404,88,FALSE)-VLOOKUP($A189,'01-02.2022'!$A$6:$DA$376,88,FALSE)</f>
        <v>0</v>
      </c>
      <c r="CK189" s="70">
        <f t="shared" si="198"/>
        <v>0</v>
      </c>
      <c r="CL189" s="566">
        <f>VLOOKUP($A189,'01-02.2021'!$A$6:$CZ$403,90,FALSE)+VLOOKUP($A189,'1.3.21-28.2.22'!$A$6:$DA$404,90,FALSE)-VLOOKUP($A189,'01-02.2022'!$A$6:$DA$376,90,FALSE)</f>
        <v>0</v>
      </c>
      <c r="CM189" s="566">
        <f>VLOOKUP($A189,'01-02.2021'!$A$6:$CZ$403,91,FALSE)+VLOOKUP($A189,'1.3.21-28.2.22'!$A$6:$DA$404,91,FALSE)-VLOOKUP($A189,'01-02.2022'!$A$6:$DA$376,91,FALSE)</f>
        <v>0</v>
      </c>
      <c r="CN189" s="52">
        <f t="shared" si="225"/>
        <v>0</v>
      </c>
      <c r="CO189" s="39">
        <f t="shared" si="220"/>
        <v>0</v>
      </c>
      <c r="CP189" s="40">
        <f t="shared" si="226"/>
        <v>0</v>
      </c>
      <c r="CQ189" s="52">
        <f t="shared" si="227"/>
        <v>0</v>
      </c>
      <c r="CR189" s="72">
        <f t="shared" si="221"/>
        <v>2060.6533156800288</v>
      </c>
      <c r="CS189" s="5">
        <f t="shared" si="221"/>
        <v>852.4544931294862</v>
      </c>
      <c r="CT189" s="52">
        <f t="shared" si="228"/>
        <v>-1208.1988225505424</v>
      </c>
      <c r="CU189" s="77">
        <f t="shared" si="229"/>
        <v>2472.7839788160345</v>
      </c>
      <c r="CV189" s="65">
        <f t="shared" si="230"/>
        <v>1022.9453917553834</v>
      </c>
      <c r="CW189" s="35">
        <f t="shared" si="231"/>
        <v>-1449.8385870606512</v>
      </c>
      <c r="CX189" s="566">
        <f>VLOOKUP($A189,'01-02.2021'!$A$6:$CZ$403,102,FALSE)+VLOOKUP($A189,'1.3.21-28.2.22'!$A$6:$DA$404,102,FALSE)-VLOOKUP($A189,'01-02.2022'!$A$6:$DA$376,102,FALSE)</f>
        <v>86.30187697717804</v>
      </c>
      <c r="CY189" s="566">
        <f>VLOOKUP($A189,'01-02.2021'!$A$6:$CZ$403,103,FALSE)+VLOOKUP($A189,'1.3.21-28.2.22'!$A$6:$DA$404,103,FALSE)-VLOOKUP($A189,'01-02.2022'!$A$6:$DA$376,103,FALSE)</f>
        <v>1536.1404640378294</v>
      </c>
      <c r="CZ189" s="52">
        <f t="shared" si="232"/>
        <v>1449.8385870606512</v>
      </c>
      <c r="DA189" s="150">
        <f>'[2]побудинковий звіт'!DA189</f>
        <v>-5056.9429672461993</v>
      </c>
      <c r="DB189" s="2">
        <v>3</v>
      </c>
      <c r="DC189" s="414">
        <f>'[4]побудинковий звіт'!DC189</f>
        <v>210.04</v>
      </c>
      <c r="DD189" s="414">
        <f>'[4]побудинковий звіт'!DD189</f>
        <v>0</v>
      </c>
      <c r="DE189" s="557">
        <f>'[4]побудинковий звіт'!DE189</f>
        <v>-22.071145301227091</v>
      </c>
      <c r="DF189" s="557">
        <f>'[4]побудинковий звіт'!DF189</f>
        <v>0</v>
      </c>
      <c r="DG189" s="321">
        <f>VLOOKUP(A189,'кошти 01.03.2021'!$A$6:$D$401,4,)</f>
        <v>-3994.5389234463905</v>
      </c>
      <c r="DH189" s="40">
        <f>'[3]побудинковий звіт'!DJ189</f>
        <v>2648.2296935022177</v>
      </c>
      <c r="DI189" s="422">
        <f>'[3]побудинковий звіт'!CU189+'[3]побудинковий звіт'!CX189</f>
        <v>232.11114530122708</v>
      </c>
      <c r="DJ189" s="306">
        <f>'[3]побудинковий звіт'!DM189</f>
        <v>1.690540024043897</v>
      </c>
      <c r="DK189" s="306">
        <f t="shared" si="233"/>
        <v>1.690540024043897</v>
      </c>
      <c r="DL189" s="306">
        <f>'[3]побудинковий звіт'!DO189</f>
        <v>1.690540024043897</v>
      </c>
      <c r="DM189" s="28">
        <f t="shared" si="234"/>
        <v>232.11114530122708</v>
      </c>
      <c r="DN189" s="28">
        <f t="shared" si="235"/>
        <v>0</v>
      </c>
      <c r="DO189" s="423">
        <f t="shared" si="171"/>
        <v>232.11114530122708</v>
      </c>
      <c r="DP189" s="94">
        <f t="shared" si="172"/>
        <v>0</v>
      </c>
      <c r="DQ189" s="28">
        <f t="shared" si="173"/>
        <v>232.11114530122708</v>
      </c>
      <c r="DR189" s="318"/>
      <c r="DT189" s="8"/>
      <c r="DU189" s="5"/>
      <c r="DX189" s="5">
        <f t="shared" si="174"/>
        <v>1880.0429595636808</v>
      </c>
      <c r="DY189" s="5">
        <f t="shared" si="175"/>
        <v>0</v>
      </c>
      <c r="DZ189" s="159">
        <f>'[3]побудинковий звіт'!EA189</f>
        <v>198.0393685680462</v>
      </c>
    </row>
    <row r="190" spans="1:130" x14ac:dyDescent="0.3">
      <c r="A190" s="325">
        <v>150000503</v>
      </c>
      <c r="B190" s="41" t="s">
        <v>638</v>
      </c>
      <c r="C190" s="42" t="s">
        <v>110</v>
      </c>
      <c r="D190" s="42"/>
      <c r="E190" s="293">
        <f t="shared" si="218"/>
        <v>211.6</v>
      </c>
      <c r="F190" s="305">
        <f>'[3]побудинковий звіт'!F190</f>
        <v>211.6</v>
      </c>
      <c r="G190" s="508">
        <f>'[3]побудинковий звіт'!G190</f>
        <v>0</v>
      </c>
      <c r="H190" s="560">
        <f>'[3]побудинковий звіт'!H190</f>
        <v>0</v>
      </c>
      <c r="I190" s="566">
        <f>VLOOKUP($A190,'01-02.2021'!$A$6:$CZ$403,9,FALSE)+VLOOKUP($A190,'1.3.21-28.2.22'!$A$6:$DA$404,9,FALSE)-VLOOKUP($A190,'01-02.2022'!$A$6:$DA$376,9,FALSE)</f>
        <v>0.28154555591445796</v>
      </c>
      <c r="J190" s="566">
        <f>VLOOKUP($A190,'01-02.2021'!$A$6:$CZ$403,10,FALSE)+VLOOKUP($A190,'1.3.21-28.2.22'!$A$6:$DA$404,10,FALSE)-VLOOKUP($A190,'01-02.2022'!$A$6:$DA$376,10,FALSE)</f>
        <v>0.14454615135518362</v>
      </c>
      <c r="K190" s="52">
        <f t="shared" si="222"/>
        <v>-0.13699940455927434</v>
      </c>
      <c r="L190" s="566">
        <f>VLOOKUP($A190,'01-02.2021'!$A$6:$CZ$403,12,FALSE)+VLOOKUP($A190,'1.3.21-28.2.22'!$A$6:$DA$404,12,FALSE)-VLOOKUP($A190,'01-02.2022'!$A$6:$DA$376,12,FALSE)</f>
        <v>0</v>
      </c>
      <c r="M190" s="566">
        <f>VLOOKUP($A190,'01-02.2021'!$A$6:$CZ$403,13,FALSE)+VLOOKUP($A190,'1.3.21-28.2.22'!$A$6:$DA$404,13,FALSE)-VLOOKUP($A190,'01-02.2022'!$A$6:$DA$376,13,FALSE)</f>
        <v>0</v>
      </c>
      <c r="N190" s="52">
        <f t="shared" si="223"/>
        <v>0</v>
      </c>
      <c r="O190" s="566">
        <f>VLOOKUP($A190,'01-02.2021'!$A$6:$CZ$403,15,FALSE)+VLOOKUP($A190,'1.3.21-28.2.22'!$A$6:$DA$404,15,FALSE)-VLOOKUP($A190,'01-02.2022'!$A$6:$DA$376,15,FALSE)</f>
        <v>0</v>
      </c>
      <c r="P190" s="566">
        <f>VLOOKUP($A190,'01-02.2021'!$A$6:$CZ$403,16,FALSE)+VLOOKUP($A190,'1.3.21-28.2.22'!$A$6:$DA$404,16,FALSE)-VLOOKUP($A190,'01-02.2022'!$A$6:$DA$376,16,FALSE)</f>
        <v>0</v>
      </c>
      <c r="Q190" s="70">
        <f t="shared" si="176"/>
        <v>0</v>
      </c>
      <c r="R190" s="566">
        <f>VLOOKUP($A190,'01-02.2021'!$A$6:$CZ$403,18,FALSE)+VLOOKUP($A190,'1.3.21-28.2.22'!$A$6:$DA$404,18,FALSE)-VLOOKUP($A190,'01-02.2022'!$A$6:$DA$376,18,FALSE)</f>
        <v>0</v>
      </c>
      <c r="S190" s="566">
        <f>VLOOKUP($A190,'01-02.2021'!$A$6:$CZ$403,19,FALSE)+VLOOKUP($A190,'1.3.21-28.2.22'!$A$6:$DA$404,19,FALSE)-VLOOKUP($A190,'01-02.2022'!$A$6:$DA$376,19,FALSE)</f>
        <v>0</v>
      </c>
      <c r="T190" s="70">
        <f t="shared" si="177"/>
        <v>0</v>
      </c>
      <c r="U190" s="566">
        <f>VLOOKUP($A190,'01-02.2021'!$A$6:$CZ$403,21,FALSE)+VLOOKUP($A190,'1.3.21-28.2.22'!$A$6:$DA$404,21,FALSE)-VLOOKUP($A190,'01-02.2022'!$A$6:$DA$376,21,FALSE)</f>
        <v>0</v>
      </c>
      <c r="V190" s="566">
        <f>VLOOKUP($A190,'01-02.2021'!$A$6:$CZ$403,22,FALSE)+VLOOKUP($A190,'1.3.21-28.2.22'!$A$6:$DA$404,22,FALSE)-VLOOKUP($A190,'01-02.2022'!$A$6:$DA$376,22,FALSE)</f>
        <v>0</v>
      </c>
      <c r="W190" s="70">
        <f t="shared" si="178"/>
        <v>0</v>
      </c>
      <c r="X190" s="566">
        <f>VLOOKUP($A190,'01-02.2021'!$A$6:$CZ$403,24,FALSE)+VLOOKUP($A190,'1.3.21-28.2.22'!$A$6:$DA$404,24,FALSE)-VLOOKUP($A190,'01-02.2022'!$A$6:$DA$376,24,FALSE)</f>
        <v>0</v>
      </c>
      <c r="Y190" s="566">
        <f>VLOOKUP($A190,'01-02.2021'!$A$6:$CZ$403,25,FALSE)+VLOOKUP($A190,'1.3.21-28.2.22'!$A$6:$DA$404,25,FALSE)-VLOOKUP($A190,'01-02.2022'!$A$6:$DA$376,25,FALSE)</f>
        <v>0</v>
      </c>
      <c r="Z190" s="70">
        <f t="shared" si="179"/>
        <v>0</v>
      </c>
      <c r="AA190" s="566">
        <f>VLOOKUP($A190,'01-02.2021'!$A$6:$CZ$403,27,FALSE)+VLOOKUP($A190,'1.3.21-28.2.22'!$A$6:$DA$404,27,FALSE)-VLOOKUP($A190,'01-02.2022'!$A$6:$DA$376,27,FALSE)</f>
        <v>43.040000000000006</v>
      </c>
      <c r="AB190" s="566">
        <f>VLOOKUP($A190,'01-02.2021'!$A$6:$CZ$403,28,FALSE)+VLOOKUP($A190,'1.3.21-28.2.22'!$A$6:$DA$404,28,FALSE)-VLOOKUP($A190,'01-02.2022'!$A$6:$DA$376,28,FALSE)</f>
        <v>0</v>
      </c>
      <c r="AC190" s="70">
        <f t="shared" si="180"/>
        <v>-43.040000000000006</v>
      </c>
      <c r="AD190" s="566">
        <f>VLOOKUP($A190,'01-02.2021'!$A$6:$CZ$403,30,FALSE)+VLOOKUP($A190,'1.3.21-28.2.22'!$A$6:$DA$404,30,FALSE)-VLOOKUP($A190,'01-02.2022'!$A$6:$DA$376,30,FALSE)</f>
        <v>344.56770220120262</v>
      </c>
      <c r="AE190" s="566">
        <f>VLOOKUP($A190,'01-02.2021'!$A$6:$CZ$403,31,FALSE)+VLOOKUP($A190,'1.3.21-28.2.22'!$A$6:$DA$404,31,FALSE)-VLOOKUP($A190,'01-02.2022'!$A$6:$DA$376,31,FALSE)</f>
        <v>963.21172584017518</v>
      </c>
      <c r="AF190" s="68">
        <f t="shared" si="181"/>
        <v>618.64402363897261</v>
      </c>
      <c r="AG190" s="77">
        <f t="shared" si="219"/>
        <v>387.88924775711706</v>
      </c>
      <c r="AH190" s="53">
        <f t="shared" si="219"/>
        <v>963.35627199153032</v>
      </c>
      <c r="AI190" s="52">
        <f t="shared" si="224"/>
        <v>575.4670242344132</v>
      </c>
      <c r="AJ190" s="566">
        <f>VLOOKUP($A190,'01-02.2021'!$A$6:$CZ$403,36,FALSE)+VLOOKUP($A190,'1.3.21-28.2.22'!$A$6:$DA$404,36,FALSE)-VLOOKUP($A190,'01-02.2022'!$A$6:$DA$376,36,FALSE)</f>
        <v>0</v>
      </c>
      <c r="AK190" s="566">
        <f>VLOOKUP($A190,'01-02.2021'!$A$6:$CZ$403,37,FALSE)+VLOOKUP($A190,'1.3.21-28.2.22'!$A$6:$DA$404,37,FALSE)-VLOOKUP($A190,'01-02.2022'!$A$6:$DA$376,37,FALSE)</f>
        <v>0</v>
      </c>
      <c r="AL190" s="70">
        <f t="shared" si="182"/>
        <v>0</v>
      </c>
      <c r="AM190" s="566">
        <f>VLOOKUP($A190,'01-02.2021'!$A$6:$CZ$403,39,FALSE)+VLOOKUP($A190,'1.3.21-28.2.22'!$A$6:$DA$404,39,FALSE)-VLOOKUP($A190,'01-02.2022'!$A$6:$DA$376,39,FALSE)</f>
        <v>0</v>
      </c>
      <c r="AN190" s="566">
        <f>VLOOKUP($A190,'01-02.2021'!$A$6:$CZ$403,40,FALSE)+VLOOKUP($A190,'1.3.21-28.2.22'!$A$6:$DA$404,40,FALSE)-VLOOKUP($A190,'01-02.2022'!$A$6:$DA$376,40,FALSE)</f>
        <v>0</v>
      </c>
      <c r="AO190" s="70">
        <f t="shared" si="183"/>
        <v>0</v>
      </c>
      <c r="AP190" s="566">
        <f>VLOOKUP($A190,'01-02.2021'!$A$6:$CZ$403,42,FALSE)+VLOOKUP($A190,'1.3.21-28.2.22'!$A$6:$DA$404,42,FALSE)-VLOOKUP($A190,'01-02.2022'!$A$6:$DA$376,42,FALSE)</f>
        <v>347.03995000851819</v>
      </c>
      <c r="AQ190" s="566">
        <f>VLOOKUP($A190,'01-02.2021'!$A$6:$CZ$403,43,FALSE)+VLOOKUP($A190,'1.3.21-28.2.22'!$A$6:$DA$404,43,FALSE)-VLOOKUP($A190,'01-02.2022'!$A$6:$DA$376,43,FALSE)</f>
        <v>299.17633281993915</v>
      </c>
      <c r="AR190" s="70">
        <f t="shared" si="184"/>
        <v>-47.863617188579042</v>
      </c>
      <c r="AS190" s="566">
        <f>VLOOKUP($A190,'01-02.2021'!$A$6:$CZ$403,45,FALSE)+VLOOKUP($A190,'1.3.21-28.2.22'!$A$6:$DA$404,45,FALSE)-VLOOKUP($A190,'01-02.2022'!$A$6:$DA$376,45,FALSE)</f>
        <v>2257.4004694662581</v>
      </c>
      <c r="AT190" s="566">
        <f>VLOOKUP($A190,'01-02.2021'!$A$6:$CZ$403,46,FALSE)+VLOOKUP($A190,'1.3.21-28.2.22'!$A$6:$DA$404,46,FALSE)-VLOOKUP($A190,'01-02.2022'!$A$6:$DA$376,46,FALSE)</f>
        <v>3102</v>
      </c>
      <c r="AU190" s="78">
        <f t="shared" si="185"/>
        <v>844.59953053374193</v>
      </c>
      <c r="AV190" s="566">
        <f>VLOOKUP($A190,'01-02.2021'!$A$6:$CZ$403,48,FALSE)+VLOOKUP($A190,'1.3.21-28.2.22'!$A$6:$DA$404,48,FALSE)-VLOOKUP($A190,'01-02.2022'!$A$6:$DA$376,48,FALSE)</f>
        <v>2.8626804658538649E-2</v>
      </c>
      <c r="AW190" s="566">
        <f>VLOOKUP($A190,'01-02.2021'!$A$6:$CZ$403,49,FALSE)+VLOOKUP($A190,'1.3.21-28.2.22'!$A$6:$DA$404,49,FALSE)-VLOOKUP($A190,'01-02.2022'!$A$6:$DA$376,49,FALSE)</f>
        <v>0</v>
      </c>
      <c r="AX190" s="55">
        <f t="shared" si="186"/>
        <v>-2.8626804658538649E-2</v>
      </c>
      <c r="AY190" s="566">
        <f>VLOOKUP($A190,'01-02.2021'!$A$6:$CZ$403,51,FALSE)+VLOOKUP($A190,'1.3.21-28.2.22'!$A$6:$DA$404,51,FALSE)-VLOOKUP($A190,'01-02.2022'!$A$6:$DA$376,51,FALSE)</f>
        <v>0</v>
      </c>
      <c r="AZ190" s="566">
        <f>VLOOKUP($A190,'01-02.2021'!$A$6:$CZ$403,52,FALSE)+VLOOKUP($A190,'1.3.21-28.2.22'!$A$6:$DA$404,52,FALSE)-VLOOKUP($A190,'01-02.2022'!$A$6:$DA$376,52,FALSE)</f>
        <v>0</v>
      </c>
      <c r="BA190" s="38">
        <f t="shared" si="187"/>
        <v>0</v>
      </c>
      <c r="BB190" s="566">
        <f>VLOOKUP($A190,'01-02.2021'!$A$6:$CZ$403,54,FALSE)+VLOOKUP($A190,'1.3.21-28.2.22'!$A$6:$DA$404,54,FALSE)-VLOOKUP($A190,'01-02.2022'!$A$6:$DA$376,54,FALSE)</f>
        <v>0</v>
      </c>
      <c r="BC190" s="566">
        <f>VLOOKUP($A190,'01-02.2021'!$A$6:$CZ$403,55,FALSE)+VLOOKUP($A190,'1.3.21-28.2.22'!$A$6:$DA$404,55,FALSE)-VLOOKUP($A190,'01-02.2022'!$A$6:$DA$376,55,FALSE)</f>
        <v>0</v>
      </c>
      <c r="BD190" s="55">
        <f t="shared" si="188"/>
        <v>0</v>
      </c>
      <c r="BE190" s="566">
        <f>VLOOKUP($A190,'01-02.2021'!$A$6:$CZ$403,57,FALSE)+VLOOKUP($A190,'1.3.21-28.2.22'!$A$6:$DA$404,57,FALSE)-VLOOKUP($A190,'01-02.2022'!$A$6:$DA$376,57,FALSE)</f>
        <v>0</v>
      </c>
      <c r="BF190" s="566">
        <f>VLOOKUP($A190,'01-02.2021'!$A$6:$CZ$403,58,FALSE)+VLOOKUP($A190,'1.3.21-28.2.22'!$A$6:$DA$404,58,FALSE)-VLOOKUP($A190,'01-02.2022'!$A$6:$DA$376,58,FALSE)</f>
        <v>0</v>
      </c>
      <c r="BG190" s="55">
        <f t="shared" si="189"/>
        <v>0</v>
      </c>
      <c r="BH190" s="566">
        <f>VLOOKUP($A190,'01-02.2021'!$A$6:$CZ$403,60,FALSE)+VLOOKUP($A190,'1.3.21-28.2.22'!$A$6:$DA$404,60,FALSE)-VLOOKUP($A190,'01-02.2022'!$A$6:$DA$376,60,FALSE)</f>
        <v>0</v>
      </c>
      <c r="BI190" s="566">
        <f>VLOOKUP($A190,'01-02.2021'!$A$6:$CZ$403,61,FALSE)+VLOOKUP($A190,'1.3.21-28.2.22'!$A$6:$DA$404,61,FALSE)-VLOOKUP($A190,'01-02.2022'!$A$6:$DA$376,61,FALSE)</f>
        <v>0</v>
      </c>
      <c r="BJ190" s="55">
        <f t="shared" si="190"/>
        <v>0</v>
      </c>
      <c r="BK190" s="566">
        <f>VLOOKUP($A190,'01-02.2021'!$A$6:$CZ$403,63,FALSE)+VLOOKUP($A190,'1.3.21-28.2.22'!$A$6:$DA$404,63,FALSE)-VLOOKUP($A190,'01-02.2022'!$A$6:$DA$376,63,FALSE)</f>
        <v>35.729764697423903</v>
      </c>
      <c r="BL190" s="566">
        <f>VLOOKUP($A190,'01-02.2021'!$A$6:$CZ$403,64,FALSE)+VLOOKUP($A190,'1.3.21-28.2.22'!$A$6:$DA$404,64,FALSE)-VLOOKUP($A190,'01-02.2022'!$A$6:$DA$376,64,FALSE)</f>
        <v>0</v>
      </c>
      <c r="BM190" s="55">
        <f t="shared" si="191"/>
        <v>-35.729764697423903</v>
      </c>
      <c r="BN190" s="566">
        <f>VLOOKUP($A190,'01-02.2021'!$A$6:$CZ$403,66,FALSE)+VLOOKUP($A190,'1.3.21-28.2.22'!$A$6:$DA$404,66,FALSE)-VLOOKUP($A190,'01-02.2022'!$A$6:$DA$376,66,FALSE)</f>
        <v>10.760000000000002</v>
      </c>
      <c r="BO190" s="566">
        <f>VLOOKUP($A190,'01-02.2021'!$A$6:$CZ$403,67,FALSE)+VLOOKUP($A190,'1.3.21-28.2.22'!$A$6:$DA$404,67,FALSE)-VLOOKUP($A190,'01-02.2022'!$A$6:$DA$376,67,FALSE)</f>
        <v>0</v>
      </c>
      <c r="BP190" s="55">
        <f t="shared" si="192"/>
        <v>-10.760000000000002</v>
      </c>
      <c r="BQ190" s="77">
        <f t="shared" si="209"/>
        <v>46.518391502082437</v>
      </c>
      <c r="BR190" s="40">
        <f t="shared" si="210"/>
        <v>0</v>
      </c>
      <c r="BS190" s="55">
        <f t="shared" si="236"/>
        <v>-46.518391502082437</v>
      </c>
      <c r="BT190" s="566">
        <f>VLOOKUP($A190,'01-02.2021'!$A$6:$CZ$403,72,FALSE)+VLOOKUP($A190,'1.3.21-28.2.22'!$A$6:$DA$404,72,FALSE)-VLOOKUP($A190,'01-02.2022'!$A$6:$DA$376,72,FALSE)</f>
        <v>0</v>
      </c>
      <c r="BU190" s="566">
        <f>VLOOKUP($A190,'01-02.2021'!$A$6:$CZ$403,73,FALSE)+VLOOKUP($A190,'1.3.21-28.2.22'!$A$6:$DA$404,73,FALSE)-VLOOKUP($A190,'01-02.2022'!$A$6:$DA$376,73,FALSE)</f>
        <v>0</v>
      </c>
      <c r="BV190" s="70">
        <f t="shared" si="193"/>
        <v>0</v>
      </c>
      <c r="BW190" s="566">
        <f>VLOOKUP($A190,'01-02.2021'!$A$6:$CZ$403,75,FALSE)+VLOOKUP($A190,'1.3.21-28.2.22'!$A$6:$DA$404,75,FALSE)-VLOOKUP($A190,'01-02.2022'!$A$6:$DA$376,75,FALSE)</f>
        <v>0</v>
      </c>
      <c r="BX190" s="566">
        <f>VLOOKUP($A190,'01-02.2021'!$A$6:$CZ$403,76,FALSE)+VLOOKUP($A190,'1.3.21-28.2.22'!$A$6:$DA$404,76,FALSE)-VLOOKUP($A190,'01-02.2022'!$A$6:$DA$376,76,FALSE)</f>
        <v>4.7422925696930589</v>
      </c>
      <c r="BY190" s="70">
        <f t="shared" si="194"/>
        <v>4.7422925696930589</v>
      </c>
      <c r="BZ190" s="566">
        <f>VLOOKUP($A190,'01-02.2021'!$A$6:$CZ$403,78,FALSE)+VLOOKUP($A190,'1.3.21-28.2.22'!$A$6:$DA$404,78,FALSE)-VLOOKUP($A190,'01-02.2022'!$A$6:$DA$376,78,FALSE)</f>
        <v>0</v>
      </c>
      <c r="CA190" s="566">
        <f>VLOOKUP($A190,'01-02.2021'!$A$6:$CZ$403,79,FALSE)+VLOOKUP($A190,'1.3.21-28.2.22'!$A$6:$DA$404,79,FALSE)-VLOOKUP($A190,'01-02.2022'!$A$6:$DA$376,79,FALSE)</f>
        <v>0</v>
      </c>
      <c r="CB190" s="70">
        <f t="shared" si="195"/>
        <v>0</v>
      </c>
      <c r="CC190" s="566">
        <f>VLOOKUP($A190,'01-02.2021'!$A$6:$CZ$403,81,FALSE)+VLOOKUP($A190,'1.3.21-28.2.22'!$A$6:$DA$404,81,FALSE)-VLOOKUP($A190,'01-02.2022'!$A$6:$DA$376,81,FALSE)</f>
        <v>0</v>
      </c>
      <c r="CD190" s="566">
        <f>VLOOKUP($A190,'01-02.2021'!$A$6:$CZ$403,82,FALSE)+VLOOKUP($A190,'1.3.21-28.2.22'!$A$6:$DA$404,82,FALSE)-VLOOKUP($A190,'01-02.2022'!$A$6:$DA$376,82,FALSE)</f>
        <v>0</v>
      </c>
      <c r="CE190" s="70">
        <f t="shared" si="196"/>
        <v>0</v>
      </c>
      <c r="CF190" s="566">
        <f>VLOOKUP($A190,'01-02.2021'!$A$6:$CZ$403,84,FALSE)+VLOOKUP($A190,'1.3.21-28.2.22'!$A$6:$DA$404,84,FALSE)-VLOOKUP($A190,'01-02.2022'!$A$6:$DA$376,84,FALSE)</f>
        <v>0</v>
      </c>
      <c r="CG190" s="566">
        <f>VLOOKUP($A190,'01-02.2021'!$A$6:$CZ$403,85,FALSE)+VLOOKUP($A190,'1.3.21-28.2.22'!$A$6:$DA$404,85,FALSE)-VLOOKUP($A190,'01-02.2022'!$A$6:$DA$376,85,FALSE)</f>
        <v>0</v>
      </c>
      <c r="CH190" s="70">
        <f t="shared" si="197"/>
        <v>0</v>
      </c>
      <c r="CI190" s="566">
        <f>VLOOKUP($A190,'01-02.2021'!$A$6:$CZ$403,87,FALSE)+VLOOKUP($A190,'1.3.21-28.2.22'!$A$6:$DA$404,87,FALSE)-VLOOKUP($A190,'01-02.2022'!$A$6:$DA$376,87,FALSE)</f>
        <v>0</v>
      </c>
      <c r="CJ190" s="566">
        <f>VLOOKUP($A190,'01-02.2021'!$A$6:$CZ$403,88,FALSE)+VLOOKUP($A190,'1.3.21-28.2.22'!$A$6:$DA$404,88,FALSE)-VLOOKUP($A190,'01-02.2022'!$A$6:$DA$376,88,FALSE)</f>
        <v>0</v>
      </c>
      <c r="CK190" s="70">
        <f t="shared" si="198"/>
        <v>0</v>
      </c>
      <c r="CL190" s="566">
        <f>VLOOKUP($A190,'01-02.2021'!$A$6:$CZ$403,90,FALSE)+VLOOKUP($A190,'1.3.21-28.2.22'!$A$6:$DA$404,90,FALSE)-VLOOKUP($A190,'01-02.2022'!$A$6:$DA$376,90,FALSE)</f>
        <v>0</v>
      </c>
      <c r="CM190" s="566">
        <f>VLOOKUP($A190,'01-02.2021'!$A$6:$CZ$403,91,FALSE)+VLOOKUP($A190,'1.3.21-28.2.22'!$A$6:$DA$404,91,FALSE)-VLOOKUP($A190,'01-02.2022'!$A$6:$DA$376,91,FALSE)</f>
        <v>0</v>
      </c>
      <c r="CN190" s="52">
        <f t="shared" si="225"/>
        <v>0</v>
      </c>
      <c r="CO190" s="39">
        <f t="shared" si="220"/>
        <v>0</v>
      </c>
      <c r="CP190" s="40">
        <f t="shared" si="226"/>
        <v>0</v>
      </c>
      <c r="CQ190" s="52">
        <f t="shared" si="227"/>
        <v>0</v>
      </c>
      <c r="CR190" s="72">
        <f t="shared" si="221"/>
        <v>3038.8480587339759</v>
      </c>
      <c r="CS190" s="5">
        <f t="shared" si="221"/>
        <v>4369.2748973811622</v>
      </c>
      <c r="CT190" s="52">
        <f t="shared" si="228"/>
        <v>1330.4268386471863</v>
      </c>
      <c r="CU190" s="77">
        <f t="shared" si="229"/>
        <v>3646.6176704807708</v>
      </c>
      <c r="CV190" s="65">
        <f t="shared" si="230"/>
        <v>5243.1298768573943</v>
      </c>
      <c r="CW190" s="35">
        <f t="shared" si="231"/>
        <v>1596.5122063766235</v>
      </c>
      <c r="CX190" s="566">
        <f>VLOOKUP($A190,'01-02.2021'!$A$6:$CZ$403,102,FALSE)+VLOOKUP($A190,'1.3.21-28.2.22'!$A$6:$DA$404,102,FALSE)-VLOOKUP($A190,'01-02.2022'!$A$6:$DA$376,102,FALSE)</f>
        <v>127.50768306515651</v>
      </c>
      <c r="CY190" s="566">
        <f>VLOOKUP($A190,'01-02.2021'!$A$6:$CZ$403,103,FALSE)+VLOOKUP($A190,'1.3.21-28.2.22'!$A$6:$DA$404,103,FALSE)-VLOOKUP($A190,'01-02.2022'!$A$6:$DA$376,103,FALSE)</f>
        <v>-1469.0045233114665</v>
      </c>
      <c r="CZ190" s="52">
        <f t="shared" si="232"/>
        <v>-1596.512206376623</v>
      </c>
      <c r="DA190" s="150">
        <f>'[2]побудинковий звіт'!DA190</f>
        <v>-2012.7808439325563</v>
      </c>
      <c r="DB190" s="2">
        <v>3</v>
      </c>
      <c r="DC190" s="414">
        <f>'[4]побудинковий звіт'!DC190</f>
        <v>339.65</v>
      </c>
      <c r="DD190" s="414">
        <f>'[4]побудинковий звіт'!DD190</f>
        <v>0</v>
      </c>
      <c r="DE190" s="557">
        <f>'[4]побудинковий звіт'!DE190</f>
        <v>-1.3800329044565842</v>
      </c>
      <c r="DF190" s="557">
        <f>'[4]побудинковий звіт'!DF190</f>
        <v>0</v>
      </c>
      <c r="DG190" s="321">
        <f>VLOOKUP(A190,'кошти 01.03.2021'!$A$6:$D$401,4,)</f>
        <v>-3394.0442235651412</v>
      </c>
      <c r="DH190" s="40">
        <f>'[3]побудинковий звіт'!DJ190</f>
        <v>3899.4074954509997</v>
      </c>
      <c r="DI190" s="422">
        <f>'[3]побудинковий звіт'!CU190+'[3]побудинковий звіт'!CX190</f>
        <v>341.03003290445656</v>
      </c>
      <c r="DJ190" s="306">
        <f>'[3]побудинковий звіт'!DM190</f>
        <v>1.611673123366997</v>
      </c>
      <c r="DK190" s="306">
        <f t="shared" si="233"/>
        <v>1.611673123366997</v>
      </c>
      <c r="DL190" s="306">
        <f>'[3]побудинковий звіт'!DO190</f>
        <v>1.611673123366997</v>
      </c>
      <c r="DM190" s="28">
        <f t="shared" si="234"/>
        <v>341.03003290445656</v>
      </c>
      <c r="DN190" s="28">
        <f t="shared" si="235"/>
        <v>0</v>
      </c>
      <c r="DO190" s="423">
        <f t="shared" si="171"/>
        <v>341.03003290445656</v>
      </c>
      <c r="DP190" s="94">
        <f t="shared" si="172"/>
        <v>0</v>
      </c>
      <c r="DQ190" s="28">
        <f t="shared" si="173"/>
        <v>341.03003290445656</v>
      </c>
      <c r="DR190" s="318"/>
      <c r="DT190" s="8"/>
      <c r="DU190" s="5"/>
      <c r="DX190" s="5">
        <f t="shared" si="174"/>
        <v>2764.7026331620086</v>
      </c>
      <c r="DY190" s="5">
        <f t="shared" si="175"/>
        <v>3722.3999999999996</v>
      </c>
      <c r="DZ190" s="159">
        <f>'[3]побудинковий звіт'!EA190</f>
        <v>294.80181405014508</v>
      </c>
    </row>
    <row r="191" spans="1:130" x14ac:dyDescent="0.3">
      <c r="A191" s="325">
        <v>150000504</v>
      </c>
      <c r="B191" s="41" t="s">
        <v>639</v>
      </c>
      <c r="C191" s="42" t="s">
        <v>111</v>
      </c>
      <c r="D191" s="42"/>
      <c r="E191" s="293">
        <f t="shared" si="218"/>
        <v>180.6</v>
      </c>
      <c r="F191" s="305">
        <f>'[3]побудинковий звіт'!F191</f>
        <v>180.6</v>
      </c>
      <c r="G191" s="508">
        <f>'[3]побудинковий звіт'!G191</f>
        <v>0</v>
      </c>
      <c r="H191" s="560">
        <f>'[3]побудинковий звіт'!H191</f>
        <v>0</v>
      </c>
      <c r="I191" s="566">
        <f>VLOOKUP($A191,'01-02.2021'!$A$6:$CZ$403,9,FALSE)+VLOOKUP($A191,'1.3.21-28.2.22'!$A$6:$DA$404,9,FALSE)-VLOOKUP($A191,'01-02.2022'!$A$6:$DA$376,9,FALSE)</f>
        <v>0</v>
      </c>
      <c r="J191" s="566">
        <f>VLOOKUP($A191,'01-02.2021'!$A$6:$CZ$403,10,FALSE)+VLOOKUP($A191,'1.3.21-28.2.22'!$A$6:$DA$404,10,FALSE)-VLOOKUP($A191,'01-02.2022'!$A$6:$DA$376,10,FALSE)</f>
        <v>0</v>
      </c>
      <c r="K191" s="52">
        <f t="shared" si="222"/>
        <v>0</v>
      </c>
      <c r="L191" s="566">
        <f>VLOOKUP($A191,'01-02.2021'!$A$6:$CZ$403,12,FALSE)+VLOOKUP($A191,'1.3.21-28.2.22'!$A$6:$DA$404,12,FALSE)-VLOOKUP($A191,'01-02.2022'!$A$6:$DA$376,12,FALSE)</f>
        <v>0</v>
      </c>
      <c r="M191" s="566">
        <f>VLOOKUP($A191,'01-02.2021'!$A$6:$CZ$403,13,FALSE)+VLOOKUP($A191,'1.3.21-28.2.22'!$A$6:$DA$404,13,FALSE)-VLOOKUP($A191,'01-02.2022'!$A$6:$DA$376,13,FALSE)</f>
        <v>0</v>
      </c>
      <c r="N191" s="52">
        <f t="shared" si="223"/>
        <v>0</v>
      </c>
      <c r="O191" s="566">
        <f>VLOOKUP($A191,'01-02.2021'!$A$6:$CZ$403,15,FALSE)+VLOOKUP($A191,'1.3.21-28.2.22'!$A$6:$DA$404,15,FALSE)-VLOOKUP($A191,'01-02.2022'!$A$6:$DA$376,15,FALSE)</f>
        <v>0</v>
      </c>
      <c r="P191" s="566">
        <f>VLOOKUP($A191,'01-02.2021'!$A$6:$CZ$403,16,FALSE)+VLOOKUP($A191,'1.3.21-28.2.22'!$A$6:$DA$404,16,FALSE)-VLOOKUP($A191,'01-02.2022'!$A$6:$DA$376,16,FALSE)</f>
        <v>0</v>
      </c>
      <c r="Q191" s="70">
        <f t="shared" si="176"/>
        <v>0</v>
      </c>
      <c r="R191" s="566">
        <f>VLOOKUP($A191,'01-02.2021'!$A$6:$CZ$403,18,FALSE)+VLOOKUP($A191,'1.3.21-28.2.22'!$A$6:$DA$404,18,FALSE)-VLOOKUP($A191,'01-02.2022'!$A$6:$DA$376,18,FALSE)</f>
        <v>0</v>
      </c>
      <c r="S191" s="566">
        <f>VLOOKUP($A191,'01-02.2021'!$A$6:$CZ$403,19,FALSE)+VLOOKUP($A191,'1.3.21-28.2.22'!$A$6:$DA$404,19,FALSE)-VLOOKUP($A191,'01-02.2022'!$A$6:$DA$376,19,FALSE)</f>
        <v>0</v>
      </c>
      <c r="T191" s="70">
        <f t="shared" si="177"/>
        <v>0</v>
      </c>
      <c r="U191" s="566">
        <f>VLOOKUP($A191,'01-02.2021'!$A$6:$CZ$403,21,FALSE)+VLOOKUP($A191,'1.3.21-28.2.22'!$A$6:$DA$404,21,FALSE)-VLOOKUP($A191,'01-02.2022'!$A$6:$DA$376,21,FALSE)</f>
        <v>0</v>
      </c>
      <c r="V191" s="566">
        <f>VLOOKUP($A191,'01-02.2021'!$A$6:$CZ$403,22,FALSE)+VLOOKUP($A191,'1.3.21-28.2.22'!$A$6:$DA$404,22,FALSE)-VLOOKUP($A191,'01-02.2022'!$A$6:$DA$376,22,FALSE)</f>
        <v>0</v>
      </c>
      <c r="W191" s="70">
        <f t="shared" si="178"/>
        <v>0</v>
      </c>
      <c r="X191" s="566">
        <f>VLOOKUP($A191,'01-02.2021'!$A$6:$CZ$403,24,FALSE)+VLOOKUP($A191,'1.3.21-28.2.22'!$A$6:$DA$404,24,FALSE)-VLOOKUP($A191,'01-02.2022'!$A$6:$DA$376,24,FALSE)</f>
        <v>0</v>
      </c>
      <c r="Y191" s="566">
        <f>VLOOKUP($A191,'01-02.2021'!$A$6:$CZ$403,25,FALSE)+VLOOKUP($A191,'1.3.21-28.2.22'!$A$6:$DA$404,25,FALSE)-VLOOKUP($A191,'01-02.2022'!$A$6:$DA$376,25,FALSE)</f>
        <v>0</v>
      </c>
      <c r="Z191" s="70">
        <f t="shared" si="179"/>
        <v>0</v>
      </c>
      <c r="AA191" s="566">
        <f>VLOOKUP($A191,'01-02.2021'!$A$6:$CZ$403,27,FALSE)+VLOOKUP($A191,'1.3.21-28.2.22'!$A$6:$DA$404,27,FALSE)-VLOOKUP($A191,'01-02.2022'!$A$6:$DA$376,27,FALSE)</f>
        <v>36.120000000000005</v>
      </c>
      <c r="AB191" s="566">
        <f>VLOOKUP($A191,'01-02.2021'!$A$6:$CZ$403,28,FALSE)+VLOOKUP($A191,'1.3.21-28.2.22'!$A$6:$DA$404,28,FALSE)-VLOOKUP($A191,'01-02.2022'!$A$6:$DA$376,28,FALSE)</f>
        <v>0</v>
      </c>
      <c r="AC191" s="70">
        <f t="shared" si="180"/>
        <v>-36.120000000000005</v>
      </c>
      <c r="AD191" s="566">
        <f>VLOOKUP($A191,'01-02.2021'!$A$6:$CZ$403,30,FALSE)+VLOOKUP($A191,'1.3.21-28.2.22'!$A$6:$DA$404,30,FALSE)-VLOOKUP($A191,'01-02.2022'!$A$6:$DA$376,30,FALSE)</f>
        <v>271.27395055729983</v>
      </c>
      <c r="AE191" s="566">
        <f>VLOOKUP($A191,'01-02.2021'!$A$6:$CZ$403,31,FALSE)+VLOOKUP($A191,'1.3.21-28.2.22'!$A$6:$DA$404,31,FALSE)-VLOOKUP($A191,'01-02.2022'!$A$6:$DA$376,31,FALSE)</f>
        <v>822.09847678041422</v>
      </c>
      <c r="AF191" s="68">
        <f t="shared" si="181"/>
        <v>550.82452622311439</v>
      </c>
      <c r="AG191" s="77">
        <f t="shared" si="219"/>
        <v>307.39395055729983</v>
      </c>
      <c r="AH191" s="53">
        <f t="shared" si="219"/>
        <v>822.09847678041422</v>
      </c>
      <c r="AI191" s="52">
        <f t="shared" si="224"/>
        <v>514.70452622311439</v>
      </c>
      <c r="AJ191" s="566">
        <f>VLOOKUP($A191,'01-02.2021'!$A$6:$CZ$403,36,FALSE)+VLOOKUP($A191,'1.3.21-28.2.22'!$A$6:$DA$404,36,FALSE)-VLOOKUP($A191,'01-02.2022'!$A$6:$DA$376,36,FALSE)</f>
        <v>0</v>
      </c>
      <c r="AK191" s="566">
        <f>VLOOKUP($A191,'01-02.2021'!$A$6:$CZ$403,37,FALSE)+VLOOKUP($A191,'1.3.21-28.2.22'!$A$6:$DA$404,37,FALSE)-VLOOKUP($A191,'01-02.2022'!$A$6:$DA$376,37,FALSE)</f>
        <v>0</v>
      </c>
      <c r="AL191" s="70">
        <f t="shared" si="182"/>
        <v>0</v>
      </c>
      <c r="AM191" s="566">
        <f>VLOOKUP($A191,'01-02.2021'!$A$6:$CZ$403,39,FALSE)+VLOOKUP($A191,'1.3.21-28.2.22'!$A$6:$DA$404,39,FALSE)-VLOOKUP($A191,'01-02.2022'!$A$6:$DA$376,39,FALSE)</f>
        <v>0</v>
      </c>
      <c r="AN191" s="566">
        <f>VLOOKUP($A191,'01-02.2021'!$A$6:$CZ$403,40,FALSE)+VLOOKUP($A191,'1.3.21-28.2.22'!$A$6:$DA$404,40,FALSE)-VLOOKUP($A191,'01-02.2022'!$A$6:$DA$376,40,FALSE)</f>
        <v>0</v>
      </c>
      <c r="AO191" s="70">
        <f t="shared" si="183"/>
        <v>0</v>
      </c>
      <c r="AP191" s="566">
        <f>VLOOKUP($A191,'01-02.2021'!$A$6:$CZ$403,42,FALSE)+VLOOKUP($A191,'1.3.21-28.2.22'!$A$6:$DA$404,42,FALSE)-VLOOKUP($A191,'01-02.2022'!$A$6:$DA$376,42,FALSE)</f>
        <v>216.89996875532395</v>
      </c>
      <c r="AQ191" s="566">
        <f>VLOOKUP($A191,'01-02.2021'!$A$6:$CZ$403,43,FALSE)+VLOOKUP($A191,'1.3.21-28.2.22'!$A$6:$DA$404,43,FALSE)-VLOOKUP($A191,'01-02.2022'!$A$6:$DA$376,43,FALSE)</f>
        <v>186.98520801246201</v>
      </c>
      <c r="AR191" s="70">
        <f t="shared" si="184"/>
        <v>-29.914760742861944</v>
      </c>
      <c r="AS191" s="566">
        <f>VLOOKUP($A191,'01-02.2021'!$A$6:$CZ$403,45,FALSE)+VLOOKUP($A191,'1.3.21-28.2.22'!$A$6:$DA$404,45,FALSE)-VLOOKUP($A191,'01-02.2022'!$A$6:$DA$376,45,FALSE)</f>
        <v>2103.4623831916178</v>
      </c>
      <c r="AT191" s="566">
        <f>VLOOKUP($A191,'01-02.2021'!$A$6:$CZ$403,46,FALSE)+VLOOKUP($A191,'1.3.21-28.2.22'!$A$6:$DA$404,46,FALSE)-VLOOKUP($A191,'01-02.2022'!$A$6:$DA$376,46,FALSE)</f>
        <v>0</v>
      </c>
      <c r="AU191" s="78">
        <f t="shared" si="185"/>
        <v>-2103.4623831916178</v>
      </c>
      <c r="AV191" s="566">
        <f>VLOOKUP($A191,'01-02.2021'!$A$6:$CZ$403,48,FALSE)+VLOOKUP($A191,'1.3.21-28.2.22'!$A$6:$DA$404,48,FALSE)-VLOOKUP($A191,'01-02.2022'!$A$6:$DA$376,48,FALSE)</f>
        <v>0</v>
      </c>
      <c r="AW191" s="566">
        <f>VLOOKUP($A191,'01-02.2021'!$A$6:$CZ$403,49,FALSE)+VLOOKUP($A191,'1.3.21-28.2.22'!$A$6:$DA$404,49,FALSE)-VLOOKUP($A191,'01-02.2022'!$A$6:$DA$376,49,FALSE)</f>
        <v>0</v>
      </c>
      <c r="AX191" s="55">
        <f t="shared" si="186"/>
        <v>0</v>
      </c>
      <c r="AY191" s="566">
        <f>VLOOKUP($A191,'01-02.2021'!$A$6:$CZ$403,51,FALSE)+VLOOKUP($A191,'1.3.21-28.2.22'!$A$6:$DA$404,51,FALSE)-VLOOKUP($A191,'01-02.2022'!$A$6:$DA$376,51,FALSE)</f>
        <v>0</v>
      </c>
      <c r="AZ191" s="566">
        <f>VLOOKUP($A191,'01-02.2021'!$A$6:$CZ$403,52,FALSE)+VLOOKUP($A191,'1.3.21-28.2.22'!$A$6:$DA$404,52,FALSE)-VLOOKUP($A191,'01-02.2022'!$A$6:$DA$376,52,FALSE)</f>
        <v>0</v>
      </c>
      <c r="BA191" s="38">
        <f t="shared" si="187"/>
        <v>0</v>
      </c>
      <c r="BB191" s="566">
        <f>VLOOKUP($A191,'01-02.2021'!$A$6:$CZ$403,54,FALSE)+VLOOKUP($A191,'1.3.21-28.2.22'!$A$6:$DA$404,54,FALSE)-VLOOKUP($A191,'01-02.2022'!$A$6:$DA$376,54,FALSE)</f>
        <v>0</v>
      </c>
      <c r="BC191" s="566">
        <f>VLOOKUP($A191,'01-02.2021'!$A$6:$CZ$403,55,FALSE)+VLOOKUP($A191,'1.3.21-28.2.22'!$A$6:$DA$404,55,FALSE)-VLOOKUP($A191,'01-02.2022'!$A$6:$DA$376,55,FALSE)</f>
        <v>0</v>
      </c>
      <c r="BD191" s="55">
        <f t="shared" si="188"/>
        <v>0</v>
      </c>
      <c r="BE191" s="566">
        <f>VLOOKUP($A191,'01-02.2021'!$A$6:$CZ$403,57,FALSE)+VLOOKUP($A191,'1.3.21-28.2.22'!$A$6:$DA$404,57,FALSE)-VLOOKUP($A191,'01-02.2022'!$A$6:$DA$376,57,FALSE)</f>
        <v>0</v>
      </c>
      <c r="BF191" s="566">
        <f>VLOOKUP($A191,'01-02.2021'!$A$6:$CZ$403,58,FALSE)+VLOOKUP($A191,'1.3.21-28.2.22'!$A$6:$DA$404,58,FALSE)-VLOOKUP($A191,'01-02.2022'!$A$6:$DA$376,58,FALSE)</f>
        <v>0</v>
      </c>
      <c r="BG191" s="55">
        <f t="shared" si="189"/>
        <v>0</v>
      </c>
      <c r="BH191" s="566">
        <f>VLOOKUP($A191,'01-02.2021'!$A$6:$CZ$403,60,FALSE)+VLOOKUP($A191,'1.3.21-28.2.22'!$A$6:$DA$404,60,FALSE)-VLOOKUP($A191,'01-02.2022'!$A$6:$DA$376,60,FALSE)</f>
        <v>0</v>
      </c>
      <c r="BI191" s="566">
        <f>VLOOKUP($A191,'01-02.2021'!$A$6:$CZ$403,61,FALSE)+VLOOKUP($A191,'1.3.21-28.2.22'!$A$6:$DA$404,61,FALSE)-VLOOKUP($A191,'01-02.2022'!$A$6:$DA$376,61,FALSE)</f>
        <v>0</v>
      </c>
      <c r="BJ191" s="55">
        <f t="shared" si="190"/>
        <v>0</v>
      </c>
      <c r="BK191" s="566">
        <f>VLOOKUP($A191,'01-02.2021'!$A$6:$CZ$403,63,FALSE)+VLOOKUP($A191,'1.3.21-28.2.22'!$A$6:$DA$404,63,FALSE)-VLOOKUP($A191,'01-02.2022'!$A$6:$DA$376,63,FALSE)</f>
        <v>0</v>
      </c>
      <c r="BL191" s="566">
        <f>VLOOKUP($A191,'01-02.2021'!$A$6:$CZ$403,64,FALSE)+VLOOKUP($A191,'1.3.21-28.2.22'!$A$6:$DA$404,64,FALSE)-VLOOKUP($A191,'01-02.2022'!$A$6:$DA$376,64,FALSE)</f>
        <v>0</v>
      </c>
      <c r="BM191" s="55">
        <f t="shared" si="191"/>
        <v>0</v>
      </c>
      <c r="BN191" s="566">
        <f>VLOOKUP($A191,'01-02.2021'!$A$6:$CZ$403,66,FALSE)+VLOOKUP($A191,'1.3.21-28.2.22'!$A$6:$DA$404,66,FALSE)-VLOOKUP($A191,'01-02.2022'!$A$6:$DA$376,66,FALSE)</f>
        <v>9.0300000000000011</v>
      </c>
      <c r="BO191" s="566">
        <f>VLOOKUP($A191,'01-02.2021'!$A$6:$CZ$403,67,FALSE)+VLOOKUP($A191,'1.3.21-28.2.22'!$A$6:$DA$404,67,FALSE)-VLOOKUP($A191,'01-02.2022'!$A$6:$DA$376,67,FALSE)</f>
        <v>0</v>
      </c>
      <c r="BP191" s="55">
        <f t="shared" si="192"/>
        <v>-9.0300000000000011</v>
      </c>
      <c r="BQ191" s="77">
        <f t="shared" si="209"/>
        <v>9.0300000000000011</v>
      </c>
      <c r="BR191" s="40">
        <f t="shared" si="210"/>
        <v>0</v>
      </c>
      <c r="BS191" s="55">
        <f t="shared" si="236"/>
        <v>-9.0300000000000011</v>
      </c>
      <c r="BT191" s="566">
        <f>VLOOKUP($A191,'01-02.2021'!$A$6:$CZ$403,72,FALSE)+VLOOKUP($A191,'1.3.21-28.2.22'!$A$6:$DA$404,72,FALSE)-VLOOKUP($A191,'01-02.2022'!$A$6:$DA$376,72,FALSE)</f>
        <v>0</v>
      </c>
      <c r="BU191" s="566">
        <f>VLOOKUP($A191,'01-02.2021'!$A$6:$CZ$403,73,FALSE)+VLOOKUP($A191,'1.3.21-28.2.22'!$A$6:$DA$404,73,FALSE)-VLOOKUP($A191,'01-02.2022'!$A$6:$DA$376,73,FALSE)</f>
        <v>0</v>
      </c>
      <c r="BV191" s="70">
        <f t="shared" si="193"/>
        <v>0</v>
      </c>
      <c r="BW191" s="566">
        <f>VLOOKUP($A191,'01-02.2021'!$A$6:$CZ$403,75,FALSE)+VLOOKUP($A191,'1.3.21-28.2.22'!$A$6:$DA$404,75,FALSE)-VLOOKUP($A191,'01-02.2022'!$A$6:$DA$376,75,FALSE)</f>
        <v>0</v>
      </c>
      <c r="BX191" s="566">
        <f>VLOOKUP($A191,'01-02.2021'!$A$6:$CZ$403,76,FALSE)+VLOOKUP($A191,'1.3.21-28.2.22'!$A$6:$DA$404,76,FALSE)-VLOOKUP($A191,'01-02.2022'!$A$6:$DA$376,76,FALSE)</f>
        <v>4.0475332612786694</v>
      </c>
      <c r="BY191" s="70">
        <f t="shared" si="194"/>
        <v>4.0475332612786694</v>
      </c>
      <c r="BZ191" s="566">
        <f>VLOOKUP($A191,'01-02.2021'!$A$6:$CZ$403,78,FALSE)+VLOOKUP($A191,'1.3.21-28.2.22'!$A$6:$DA$404,78,FALSE)-VLOOKUP($A191,'01-02.2022'!$A$6:$DA$376,78,FALSE)</f>
        <v>0</v>
      </c>
      <c r="CA191" s="566">
        <f>VLOOKUP($A191,'01-02.2021'!$A$6:$CZ$403,79,FALSE)+VLOOKUP($A191,'1.3.21-28.2.22'!$A$6:$DA$404,79,FALSE)-VLOOKUP($A191,'01-02.2022'!$A$6:$DA$376,79,FALSE)</f>
        <v>0</v>
      </c>
      <c r="CB191" s="70">
        <f t="shared" si="195"/>
        <v>0</v>
      </c>
      <c r="CC191" s="566">
        <f>VLOOKUP($A191,'01-02.2021'!$A$6:$CZ$403,81,FALSE)+VLOOKUP($A191,'1.3.21-28.2.22'!$A$6:$DA$404,81,FALSE)-VLOOKUP($A191,'01-02.2022'!$A$6:$DA$376,81,FALSE)</f>
        <v>0</v>
      </c>
      <c r="CD191" s="566">
        <f>VLOOKUP($A191,'01-02.2021'!$A$6:$CZ$403,82,FALSE)+VLOOKUP($A191,'1.3.21-28.2.22'!$A$6:$DA$404,82,FALSE)-VLOOKUP($A191,'01-02.2022'!$A$6:$DA$376,82,FALSE)</f>
        <v>0</v>
      </c>
      <c r="CE191" s="70">
        <f t="shared" si="196"/>
        <v>0</v>
      </c>
      <c r="CF191" s="566">
        <f>VLOOKUP($A191,'01-02.2021'!$A$6:$CZ$403,84,FALSE)+VLOOKUP($A191,'1.3.21-28.2.22'!$A$6:$DA$404,84,FALSE)-VLOOKUP($A191,'01-02.2022'!$A$6:$DA$376,84,FALSE)</f>
        <v>0</v>
      </c>
      <c r="CG191" s="566">
        <f>VLOOKUP($A191,'01-02.2021'!$A$6:$CZ$403,85,FALSE)+VLOOKUP($A191,'1.3.21-28.2.22'!$A$6:$DA$404,85,FALSE)-VLOOKUP($A191,'01-02.2022'!$A$6:$DA$376,85,FALSE)</f>
        <v>0</v>
      </c>
      <c r="CH191" s="70">
        <f t="shared" si="197"/>
        <v>0</v>
      </c>
      <c r="CI191" s="566">
        <f>VLOOKUP($A191,'01-02.2021'!$A$6:$CZ$403,87,FALSE)+VLOOKUP($A191,'1.3.21-28.2.22'!$A$6:$DA$404,87,FALSE)-VLOOKUP($A191,'01-02.2022'!$A$6:$DA$376,87,FALSE)</f>
        <v>0</v>
      </c>
      <c r="CJ191" s="566">
        <f>VLOOKUP($A191,'01-02.2021'!$A$6:$CZ$403,88,FALSE)+VLOOKUP($A191,'1.3.21-28.2.22'!$A$6:$DA$404,88,FALSE)-VLOOKUP($A191,'01-02.2022'!$A$6:$DA$376,88,FALSE)</f>
        <v>0</v>
      </c>
      <c r="CK191" s="70">
        <f t="shared" si="198"/>
        <v>0</v>
      </c>
      <c r="CL191" s="566">
        <f>VLOOKUP($A191,'01-02.2021'!$A$6:$CZ$403,90,FALSE)+VLOOKUP($A191,'1.3.21-28.2.22'!$A$6:$DA$404,90,FALSE)-VLOOKUP($A191,'01-02.2022'!$A$6:$DA$376,90,FALSE)</f>
        <v>0</v>
      </c>
      <c r="CM191" s="566">
        <f>VLOOKUP($A191,'01-02.2021'!$A$6:$CZ$403,91,FALSE)+VLOOKUP($A191,'1.3.21-28.2.22'!$A$6:$DA$404,91,FALSE)-VLOOKUP($A191,'01-02.2022'!$A$6:$DA$376,91,FALSE)</f>
        <v>0</v>
      </c>
      <c r="CN191" s="52">
        <f t="shared" si="225"/>
        <v>0</v>
      </c>
      <c r="CO191" s="39">
        <f t="shared" si="220"/>
        <v>0</v>
      </c>
      <c r="CP191" s="40">
        <f t="shared" si="226"/>
        <v>0</v>
      </c>
      <c r="CQ191" s="52">
        <f t="shared" si="227"/>
        <v>0</v>
      </c>
      <c r="CR191" s="72">
        <f t="shared" si="221"/>
        <v>2636.786302504242</v>
      </c>
      <c r="CS191" s="5">
        <f t="shared" si="221"/>
        <v>1013.1312180541549</v>
      </c>
      <c r="CT191" s="52">
        <f t="shared" si="228"/>
        <v>-1623.6550844500871</v>
      </c>
      <c r="CU191" s="77">
        <f t="shared" si="229"/>
        <v>3164.1435630050905</v>
      </c>
      <c r="CV191" s="65">
        <f t="shared" si="230"/>
        <v>1215.7574616649858</v>
      </c>
      <c r="CW191" s="35">
        <f t="shared" si="231"/>
        <v>-1948.3861013401047</v>
      </c>
      <c r="CX191" s="566">
        <f>VLOOKUP($A191,'01-02.2021'!$A$6:$CZ$403,102,FALSE)+VLOOKUP($A191,'1.3.21-28.2.22'!$A$6:$DA$404,102,FALSE)-VLOOKUP($A191,'01-02.2022'!$A$6:$DA$376,102,FALSE)</f>
        <v>110.41803313715673</v>
      </c>
      <c r="CY191" s="566">
        <f>VLOOKUP($A191,'01-02.2021'!$A$6:$CZ$403,103,FALSE)+VLOOKUP($A191,'1.3.21-28.2.22'!$A$6:$DA$404,103,FALSE)-VLOOKUP($A191,'01-02.2022'!$A$6:$DA$376,103,FALSE)</f>
        <v>2058.8041344772605</v>
      </c>
      <c r="CZ191" s="52">
        <f t="shared" si="232"/>
        <v>1948.3861013401038</v>
      </c>
      <c r="DA191" s="150">
        <f>'[2]побудинковий звіт'!DA191</f>
        <v>-7325.0476824384841</v>
      </c>
      <c r="DB191" s="2">
        <v>3</v>
      </c>
      <c r="DC191" s="414">
        <f>'[4]побудинковий звіт'!DC191</f>
        <v>297.08</v>
      </c>
      <c r="DD191" s="414">
        <f>'[4]побудинковий звіт'!DD191</f>
        <v>0</v>
      </c>
      <c r="DE191" s="557">
        <f>'[4]побудинковий звіт'!DE191</f>
        <v>5.6592156093984158E-3</v>
      </c>
      <c r="DF191" s="557">
        <f>'[4]побудинковий звіт'!DF191</f>
        <v>0</v>
      </c>
      <c r="DG191" s="321">
        <f>VLOOKUP(A191,'кошти 01.03.2021'!$A$6:$D$401,4,)</f>
        <v>-5185.4790515529476</v>
      </c>
      <c r="DH191" s="40">
        <f>'[3]побудинковий звіт'!DJ191</f>
        <v>3388.9602532799627</v>
      </c>
      <c r="DI191" s="422">
        <f>'[3]побудинковий звіт'!CU191+'[3]побудинковий звіт'!CX191</f>
        <v>297.07434078439064</v>
      </c>
      <c r="DJ191" s="306">
        <f>'[3]побудинковий звіт'!DM191</f>
        <v>1.644929904675474</v>
      </c>
      <c r="DK191" s="306">
        <f t="shared" si="233"/>
        <v>1.644929904675474</v>
      </c>
      <c r="DL191" s="306">
        <f>'[3]побудинковий звіт'!DO191</f>
        <v>1.644929904675474</v>
      </c>
      <c r="DM191" s="28">
        <f t="shared" si="234"/>
        <v>297.07434078439059</v>
      </c>
      <c r="DN191" s="28">
        <f t="shared" si="235"/>
        <v>0</v>
      </c>
      <c r="DO191" s="423">
        <f t="shared" si="171"/>
        <v>297.07434078439059</v>
      </c>
      <c r="DP191" s="94">
        <f t="shared" si="172"/>
        <v>0</v>
      </c>
      <c r="DQ191" s="28">
        <f t="shared" si="173"/>
        <v>297.07434078439059</v>
      </c>
      <c r="DR191" s="318"/>
      <c r="DT191" s="8"/>
      <c r="DU191" s="5"/>
      <c r="DX191" s="5">
        <f t="shared" si="174"/>
        <v>2534.9908598299417</v>
      </c>
      <c r="DY191" s="5">
        <f t="shared" si="175"/>
        <v>0</v>
      </c>
      <c r="DZ191" s="159">
        <f>'[3]побудинковий звіт'!EA191</f>
        <v>266.15318408316182</v>
      </c>
    </row>
    <row r="192" spans="1:130" x14ac:dyDescent="0.3">
      <c r="A192" s="325">
        <v>150000506</v>
      </c>
      <c r="B192" s="41" t="s">
        <v>640</v>
      </c>
      <c r="C192" s="42" t="s">
        <v>112</v>
      </c>
      <c r="D192" s="42"/>
      <c r="E192" s="293">
        <f t="shared" si="218"/>
        <v>102.4</v>
      </c>
      <c r="F192" s="305">
        <f>'[3]побудинковий звіт'!F192</f>
        <v>102.4</v>
      </c>
      <c r="G192" s="508">
        <f>'[3]побудинковий звіт'!G192</f>
        <v>0</v>
      </c>
      <c r="H192" s="560">
        <f>'[3]побудинковий звіт'!H192</f>
        <v>0</v>
      </c>
      <c r="I192" s="566">
        <f>VLOOKUP($A192,'01-02.2021'!$A$6:$CZ$403,9,FALSE)+VLOOKUP($A192,'1.3.21-28.2.22'!$A$6:$DA$404,9,FALSE)-VLOOKUP($A192,'01-02.2022'!$A$6:$DA$376,9,FALSE)</f>
        <v>0</v>
      </c>
      <c r="J192" s="566">
        <f>VLOOKUP($A192,'01-02.2021'!$A$6:$CZ$403,10,FALSE)+VLOOKUP($A192,'1.3.21-28.2.22'!$A$6:$DA$404,10,FALSE)-VLOOKUP($A192,'01-02.2022'!$A$6:$DA$376,10,FALSE)</f>
        <v>0</v>
      </c>
      <c r="K192" s="52">
        <f t="shared" si="222"/>
        <v>0</v>
      </c>
      <c r="L192" s="566">
        <f>VLOOKUP($A192,'01-02.2021'!$A$6:$CZ$403,12,FALSE)+VLOOKUP($A192,'1.3.21-28.2.22'!$A$6:$DA$404,12,FALSE)-VLOOKUP($A192,'01-02.2022'!$A$6:$DA$376,12,FALSE)</f>
        <v>0</v>
      </c>
      <c r="M192" s="566">
        <f>VLOOKUP($A192,'01-02.2021'!$A$6:$CZ$403,13,FALSE)+VLOOKUP($A192,'1.3.21-28.2.22'!$A$6:$DA$404,13,FALSE)-VLOOKUP($A192,'01-02.2022'!$A$6:$DA$376,13,FALSE)</f>
        <v>0</v>
      </c>
      <c r="N192" s="52">
        <f t="shared" si="223"/>
        <v>0</v>
      </c>
      <c r="O192" s="566">
        <f>VLOOKUP($A192,'01-02.2021'!$A$6:$CZ$403,15,FALSE)+VLOOKUP($A192,'1.3.21-28.2.22'!$A$6:$DA$404,15,FALSE)-VLOOKUP($A192,'01-02.2022'!$A$6:$DA$376,15,FALSE)</f>
        <v>0</v>
      </c>
      <c r="P192" s="566">
        <f>VLOOKUP($A192,'01-02.2021'!$A$6:$CZ$403,16,FALSE)+VLOOKUP($A192,'1.3.21-28.2.22'!$A$6:$DA$404,16,FALSE)-VLOOKUP($A192,'01-02.2022'!$A$6:$DA$376,16,FALSE)</f>
        <v>0</v>
      </c>
      <c r="Q192" s="70">
        <f t="shared" si="176"/>
        <v>0</v>
      </c>
      <c r="R192" s="566">
        <f>VLOOKUP($A192,'01-02.2021'!$A$6:$CZ$403,18,FALSE)+VLOOKUP($A192,'1.3.21-28.2.22'!$A$6:$DA$404,18,FALSE)-VLOOKUP($A192,'01-02.2022'!$A$6:$DA$376,18,FALSE)</f>
        <v>0</v>
      </c>
      <c r="S192" s="566">
        <f>VLOOKUP($A192,'01-02.2021'!$A$6:$CZ$403,19,FALSE)+VLOOKUP($A192,'1.3.21-28.2.22'!$A$6:$DA$404,19,FALSE)-VLOOKUP($A192,'01-02.2022'!$A$6:$DA$376,19,FALSE)</f>
        <v>0</v>
      </c>
      <c r="T192" s="70">
        <f t="shared" si="177"/>
        <v>0</v>
      </c>
      <c r="U192" s="566">
        <f>VLOOKUP($A192,'01-02.2021'!$A$6:$CZ$403,21,FALSE)+VLOOKUP($A192,'1.3.21-28.2.22'!$A$6:$DA$404,21,FALSE)-VLOOKUP($A192,'01-02.2022'!$A$6:$DA$376,21,FALSE)</f>
        <v>0</v>
      </c>
      <c r="V192" s="566">
        <f>VLOOKUP($A192,'01-02.2021'!$A$6:$CZ$403,22,FALSE)+VLOOKUP($A192,'1.3.21-28.2.22'!$A$6:$DA$404,22,FALSE)-VLOOKUP($A192,'01-02.2022'!$A$6:$DA$376,22,FALSE)</f>
        <v>0</v>
      </c>
      <c r="W192" s="70">
        <f t="shared" si="178"/>
        <v>0</v>
      </c>
      <c r="X192" s="566">
        <f>VLOOKUP($A192,'01-02.2021'!$A$6:$CZ$403,24,FALSE)+VLOOKUP($A192,'1.3.21-28.2.22'!$A$6:$DA$404,24,FALSE)-VLOOKUP($A192,'01-02.2022'!$A$6:$DA$376,24,FALSE)</f>
        <v>0</v>
      </c>
      <c r="Y192" s="566">
        <f>VLOOKUP($A192,'01-02.2021'!$A$6:$CZ$403,25,FALSE)+VLOOKUP($A192,'1.3.21-28.2.22'!$A$6:$DA$404,25,FALSE)-VLOOKUP($A192,'01-02.2022'!$A$6:$DA$376,25,FALSE)</f>
        <v>0</v>
      </c>
      <c r="Z192" s="70">
        <f t="shared" si="179"/>
        <v>0</v>
      </c>
      <c r="AA192" s="566">
        <f>VLOOKUP($A192,'01-02.2021'!$A$6:$CZ$403,27,FALSE)+VLOOKUP($A192,'1.3.21-28.2.22'!$A$6:$DA$404,27,FALSE)-VLOOKUP($A192,'01-02.2022'!$A$6:$DA$376,27,FALSE)</f>
        <v>20.48</v>
      </c>
      <c r="AB192" s="566">
        <f>VLOOKUP($A192,'01-02.2021'!$A$6:$CZ$403,28,FALSE)+VLOOKUP($A192,'1.3.21-28.2.22'!$A$6:$DA$404,28,FALSE)-VLOOKUP($A192,'01-02.2022'!$A$6:$DA$376,28,FALSE)</f>
        <v>0</v>
      </c>
      <c r="AC192" s="70">
        <f t="shared" si="180"/>
        <v>-20.48</v>
      </c>
      <c r="AD192" s="566">
        <f>VLOOKUP($A192,'01-02.2021'!$A$6:$CZ$403,30,FALSE)+VLOOKUP($A192,'1.3.21-28.2.22'!$A$6:$DA$404,30,FALSE)-VLOOKUP($A192,'01-02.2022'!$A$6:$DA$376,30,FALSE)</f>
        <v>153.78492710411589</v>
      </c>
      <c r="AE192" s="566">
        <f>VLOOKUP($A192,'01-02.2021'!$A$6:$CZ$403,31,FALSE)+VLOOKUP($A192,'1.3.21-28.2.22'!$A$6:$DA$404,31,FALSE)-VLOOKUP($A192,'01-02.2022'!$A$6:$DA$376,31,FALSE)</f>
        <v>466.12892592643652</v>
      </c>
      <c r="AF192" s="68">
        <f t="shared" si="181"/>
        <v>312.3439988223206</v>
      </c>
      <c r="AG192" s="77">
        <f t="shared" si="219"/>
        <v>174.26492710411588</v>
      </c>
      <c r="AH192" s="53">
        <f t="shared" si="219"/>
        <v>466.12892592643652</v>
      </c>
      <c r="AI192" s="52">
        <f t="shared" si="224"/>
        <v>291.86399882232064</v>
      </c>
      <c r="AJ192" s="566">
        <f>VLOOKUP($A192,'01-02.2021'!$A$6:$CZ$403,36,FALSE)+VLOOKUP($A192,'1.3.21-28.2.22'!$A$6:$DA$404,36,FALSE)-VLOOKUP($A192,'01-02.2022'!$A$6:$DA$376,36,FALSE)</f>
        <v>0</v>
      </c>
      <c r="AK192" s="566">
        <f>VLOOKUP($A192,'01-02.2021'!$A$6:$CZ$403,37,FALSE)+VLOOKUP($A192,'1.3.21-28.2.22'!$A$6:$DA$404,37,FALSE)-VLOOKUP($A192,'01-02.2022'!$A$6:$DA$376,37,FALSE)</f>
        <v>0</v>
      </c>
      <c r="AL192" s="70">
        <f t="shared" si="182"/>
        <v>0</v>
      </c>
      <c r="AM192" s="566">
        <f>VLOOKUP($A192,'01-02.2021'!$A$6:$CZ$403,39,FALSE)+VLOOKUP($A192,'1.3.21-28.2.22'!$A$6:$DA$404,39,FALSE)-VLOOKUP($A192,'01-02.2022'!$A$6:$DA$376,39,FALSE)</f>
        <v>0</v>
      </c>
      <c r="AN192" s="566">
        <f>VLOOKUP($A192,'01-02.2021'!$A$6:$CZ$403,40,FALSE)+VLOOKUP($A192,'1.3.21-28.2.22'!$A$6:$DA$404,40,FALSE)-VLOOKUP($A192,'01-02.2022'!$A$6:$DA$376,40,FALSE)</f>
        <v>0</v>
      </c>
      <c r="AO192" s="70">
        <f t="shared" si="183"/>
        <v>0</v>
      </c>
      <c r="AP192" s="566">
        <f>VLOOKUP($A192,'01-02.2021'!$A$6:$CZ$403,42,FALSE)+VLOOKUP($A192,'1.3.21-28.2.22'!$A$6:$DA$404,42,FALSE)-VLOOKUP($A192,'01-02.2022'!$A$6:$DA$376,42,FALSE)</f>
        <v>303.65995625745347</v>
      </c>
      <c r="AQ192" s="566">
        <f>VLOOKUP($A192,'01-02.2021'!$A$6:$CZ$403,43,FALSE)+VLOOKUP($A192,'1.3.21-28.2.22'!$A$6:$DA$404,43,FALSE)-VLOOKUP($A192,'01-02.2022'!$A$6:$DA$376,43,FALSE)</f>
        <v>261.77929121744683</v>
      </c>
      <c r="AR192" s="70">
        <f t="shared" si="184"/>
        <v>-41.880665040006647</v>
      </c>
      <c r="AS192" s="566">
        <f>VLOOKUP($A192,'01-02.2021'!$A$6:$CZ$403,45,FALSE)+VLOOKUP($A192,'1.3.21-28.2.22'!$A$6:$DA$404,45,FALSE)-VLOOKUP($A192,'01-02.2022'!$A$6:$DA$376,45,FALSE)</f>
        <v>1386.9475011732591</v>
      </c>
      <c r="AT192" s="566">
        <f>VLOOKUP($A192,'01-02.2021'!$A$6:$CZ$403,46,FALSE)+VLOOKUP($A192,'1.3.21-28.2.22'!$A$6:$DA$404,46,FALSE)-VLOOKUP($A192,'01-02.2022'!$A$6:$DA$376,46,FALSE)</f>
        <v>0</v>
      </c>
      <c r="AU192" s="78">
        <f t="shared" si="185"/>
        <v>-1386.9475011732591</v>
      </c>
      <c r="AV192" s="566">
        <f>VLOOKUP($A192,'01-02.2021'!$A$6:$CZ$403,48,FALSE)+VLOOKUP($A192,'1.3.21-28.2.22'!$A$6:$DA$404,48,FALSE)-VLOOKUP($A192,'01-02.2022'!$A$6:$DA$376,48,FALSE)</f>
        <v>0</v>
      </c>
      <c r="AW192" s="566">
        <f>VLOOKUP($A192,'01-02.2021'!$A$6:$CZ$403,49,FALSE)+VLOOKUP($A192,'1.3.21-28.2.22'!$A$6:$DA$404,49,FALSE)-VLOOKUP($A192,'01-02.2022'!$A$6:$DA$376,49,FALSE)</f>
        <v>0</v>
      </c>
      <c r="AX192" s="55">
        <f t="shared" si="186"/>
        <v>0</v>
      </c>
      <c r="AY192" s="566">
        <f>VLOOKUP($A192,'01-02.2021'!$A$6:$CZ$403,51,FALSE)+VLOOKUP($A192,'1.3.21-28.2.22'!$A$6:$DA$404,51,FALSE)-VLOOKUP($A192,'01-02.2022'!$A$6:$DA$376,51,FALSE)</f>
        <v>0</v>
      </c>
      <c r="AZ192" s="566">
        <f>VLOOKUP($A192,'01-02.2021'!$A$6:$CZ$403,52,FALSE)+VLOOKUP($A192,'1.3.21-28.2.22'!$A$6:$DA$404,52,FALSE)-VLOOKUP($A192,'01-02.2022'!$A$6:$DA$376,52,FALSE)</f>
        <v>0</v>
      </c>
      <c r="BA192" s="38">
        <f t="shared" si="187"/>
        <v>0</v>
      </c>
      <c r="BB192" s="566">
        <f>VLOOKUP($A192,'01-02.2021'!$A$6:$CZ$403,54,FALSE)+VLOOKUP($A192,'1.3.21-28.2.22'!$A$6:$DA$404,54,FALSE)-VLOOKUP($A192,'01-02.2022'!$A$6:$DA$376,54,FALSE)</f>
        <v>0</v>
      </c>
      <c r="BC192" s="566">
        <f>VLOOKUP($A192,'01-02.2021'!$A$6:$CZ$403,55,FALSE)+VLOOKUP($A192,'1.3.21-28.2.22'!$A$6:$DA$404,55,FALSE)-VLOOKUP($A192,'01-02.2022'!$A$6:$DA$376,55,FALSE)</f>
        <v>0</v>
      </c>
      <c r="BD192" s="55">
        <f t="shared" si="188"/>
        <v>0</v>
      </c>
      <c r="BE192" s="566">
        <f>VLOOKUP($A192,'01-02.2021'!$A$6:$CZ$403,57,FALSE)+VLOOKUP($A192,'1.3.21-28.2.22'!$A$6:$DA$404,57,FALSE)-VLOOKUP($A192,'01-02.2022'!$A$6:$DA$376,57,FALSE)</f>
        <v>0</v>
      </c>
      <c r="BF192" s="566">
        <f>VLOOKUP($A192,'01-02.2021'!$A$6:$CZ$403,58,FALSE)+VLOOKUP($A192,'1.3.21-28.2.22'!$A$6:$DA$404,58,FALSE)-VLOOKUP($A192,'01-02.2022'!$A$6:$DA$376,58,FALSE)</f>
        <v>0</v>
      </c>
      <c r="BG192" s="55">
        <f t="shared" si="189"/>
        <v>0</v>
      </c>
      <c r="BH192" s="566">
        <f>VLOOKUP($A192,'01-02.2021'!$A$6:$CZ$403,60,FALSE)+VLOOKUP($A192,'1.3.21-28.2.22'!$A$6:$DA$404,60,FALSE)-VLOOKUP($A192,'01-02.2022'!$A$6:$DA$376,60,FALSE)</f>
        <v>0</v>
      </c>
      <c r="BI192" s="566">
        <f>VLOOKUP($A192,'01-02.2021'!$A$6:$CZ$403,61,FALSE)+VLOOKUP($A192,'1.3.21-28.2.22'!$A$6:$DA$404,61,FALSE)-VLOOKUP($A192,'01-02.2022'!$A$6:$DA$376,61,FALSE)</f>
        <v>0</v>
      </c>
      <c r="BJ192" s="55">
        <f t="shared" si="190"/>
        <v>0</v>
      </c>
      <c r="BK192" s="566">
        <f>VLOOKUP($A192,'01-02.2021'!$A$6:$CZ$403,63,FALSE)+VLOOKUP($A192,'1.3.21-28.2.22'!$A$6:$DA$404,63,FALSE)-VLOOKUP($A192,'01-02.2022'!$A$6:$DA$376,63,FALSE)</f>
        <v>0</v>
      </c>
      <c r="BL192" s="566">
        <f>VLOOKUP($A192,'01-02.2021'!$A$6:$CZ$403,64,FALSE)+VLOOKUP($A192,'1.3.21-28.2.22'!$A$6:$DA$404,64,FALSE)-VLOOKUP($A192,'01-02.2022'!$A$6:$DA$376,64,FALSE)</f>
        <v>0</v>
      </c>
      <c r="BM192" s="55">
        <f t="shared" si="191"/>
        <v>0</v>
      </c>
      <c r="BN192" s="566">
        <f>VLOOKUP($A192,'01-02.2021'!$A$6:$CZ$403,66,FALSE)+VLOOKUP($A192,'1.3.21-28.2.22'!$A$6:$DA$404,66,FALSE)-VLOOKUP($A192,'01-02.2022'!$A$6:$DA$376,66,FALSE)</f>
        <v>5.12</v>
      </c>
      <c r="BO192" s="566">
        <f>VLOOKUP($A192,'01-02.2021'!$A$6:$CZ$403,67,FALSE)+VLOOKUP($A192,'1.3.21-28.2.22'!$A$6:$DA$404,67,FALSE)-VLOOKUP($A192,'01-02.2022'!$A$6:$DA$376,67,FALSE)</f>
        <v>0</v>
      </c>
      <c r="BP192" s="55">
        <f t="shared" si="192"/>
        <v>-5.12</v>
      </c>
      <c r="BQ192" s="77">
        <f t="shared" si="209"/>
        <v>5.12</v>
      </c>
      <c r="BR192" s="40">
        <f t="shared" si="210"/>
        <v>0</v>
      </c>
      <c r="BS192" s="55">
        <f t="shared" si="236"/>
        <v>-5.12</v>
      </c>
      <c r="BT192" s="566">
        <f>VLOOKUP($A192,'01-02.2021'!$A$6:$CZ$403,72,FALSE)+VLOOKUP($A192,'1.3.21-28.2.22'!$A$6:$DA$404,72,FALSE)-VLOOKUP($A192,'01-02.2022'!$A$6:$DA$376,72,FALSE)</f>
        <v>0</v>
      </c>
      <c r="BU192" s="566">
        <f>VLOOKUP($A192,'01-02.2021'!$A$6:$CZ$403,73,FALSE)+VLOOKUP($A192,'1.3.21-28.2.22'!$A$6:$DA$404,73,FALSE)-VLOOKUP($A192,'01-02.2022'!$A$6:$DA$376,73,FALSE)</f>
        <v>0</v>
      </c>
      <c r="BV192" s="70">
        <f t="shared" si="193"/>
        <v>0</v>
      </c>
      <c r="BW192" s="566">
        <f>VLOOKUP($A192,'01-02.2021'!$A$6:$CZ$403,75,FALSE)+VLOOKUP($A192,'1.3.21-28.2.22'!$A$6:$DA$404,75,FALSE)-VLOOKUP($A192,'01-02.2022'!$A$6:$DA$376,75,FALSE)</f>
        <v>0</v>
      </c>
      <c r="BX192" s="566">
        <f>VLOOKUP($A192,'01-02.2021'!$A$6:$CZ$403,76,FALSE)+VLOOKUP($A192,'1.3.21-28.2.22'!$A$6:$DA$404,76,FALSE)-VLOOKUP($A192,'01-02.2022'!$A$6:$DA$376,76,FALSE)</f>
        <v>2.2949468768268875</v>
      </c>
      <c r="BY192" s="70">
        <f t="shared" si="194"/>
        <v>2.2949468768268875</v>
      </c>
      <c r="BZ192" s="566">
        <f>VLOOKUP($A192,'01-02.2021'!$A$6:$CZ$403,78,FALSE)+VLOOKUP($A192,'1.3.21-28.2.22'!$A$6:$DA$404,78,FALSE)-VLOOKUP($A192,'01-02.2022'!$A$6:$DA$376,78,FALSE)</f>
        <v>0</v>
      </c>
      <c r="CA192" s="566">
        <f>VLOOKUP($A192,'01-02.2021'!$A$6:$CZ$403,79,FALSE)+VLOOKUP($A192,'1.3.21-28.2.22'!$A$6:$DA$404,79,FALSE)-VLOOKUP($A192,'01-02.2022'!$A$6:$DA$376,79,FALSE)</f>
        <v>0</v>
      </c>
      <c r="CB192" s="70">
        <f t="shared" si="195"/>
        <v>0</v>
      </c>
      <c r="CC192" s="566">
        <f>VLOOKUP($A192,'01-02.2021'!$A$6:$CZ$403,81,FALSE)+VLOOKUP($A192,'1.3.21-28.2.22'!$A$6:$DA$404,81,FALSE)-VLOOKUP($A192,'01-02.2022'!$A$6:$DA$376,81,FALSE)</f>
        <v>0</v>
      </c>
      <c r="CD192" s="566">
        <f>VLOOKUP($A192,'01-02.2021'!$A$6:$CZ$403,82,FALSE)+VLOOKUP($A192,'1.3.21-28.2.22'!$A$6:$DA$404,82,FALSE)-VLOOKUP($A192,'01-02.2022'!$A$6:$DA$376,82,FALSE)</f>
        <v>0</v>
      </c>
      <c r="CE192" s="70">
        <f t="shared" si="196"/>
        <v>0</v>
      </c>
      <c r="CF192" s="566">
        <f>VLOOKUP($A192,'01-02.2021'!$A$6:$CZ$403,84,FALSE)+VLOOKUP($A192,'1.3.21-28.2.22'!$A$6:$DA$404,84,FALSE)-VLOOKUP($A192,'01-02.2022'!$A$6:$DA$376,84,FALSE)</f>
        <v>0</v>
      </c>
      <c r="CG192" s="566">
        <f>VLOOKUP($A192,'01-02.2021'!$A$6:$CZ$403,85,FALSE)+VLOOKUP($A192,'1.3.21-28.2.22'!$A$6:$DA$404,85,FALSE)-VLOOKUP($A192,'01-02.2022'!$A$6:$DA$376,85,FALSE)</f>
        <v>0</v>
      </c>
      <c r="CH192" s="70">
        <f t="shared" si="197"/>
        <v>0</v>
      </c>
      <c r="CI192" s="566">
        <f>VLOOKUP($A192,'01-02.2021'!$A$6:$CZ$403,87,FALSE)+VLOOKUP($A192,'1.3.21-28.2.22'!$A$6:$DA$404,87,FALSE)-VLOOKUP($A192,'01-02.2022'!$A$6:$DA$376,87,FALSE)</f>
        <v>0</v>
      </c>
      <c r="CJ192" s="566">
        <f>VLOOKUP($A192,'01-02.2021'!$A$6:$CZ$403,88,FALSE)+VLOOKUP($A192,'1.3.21-28.2.22'!$A$6:$DA$404,88,FALSE)-VLOOKUP($A192,'01-02.2022'!$A$6:$DA$376,88,FALSE)</f>
        <v>0</v>
      </c>
      <c r="CK192" s="70">
        <f t="shared" si="198"/>
        <v>0</v>
      </c>
      <c r="CL192" s="566">
        <f>VLOOKUP($A192,'01-02.2021'!$A$6:$CZ$403,90,FALSE)+VLOOKUP($A192,'1.3.21-28.2.22'!$A$6:$DA$404,90,FALSE)-VLOOKUP($A192,'01-02.2022'!$A$6:$DA$376,90,FALSE)</f>
        <v>0</v>
      </c>
      <c r="CM192" s="566">
        <f>VLOOKUP($A192,'01-02.2021'!$A$6:$CZ$403,91,FALSE)+VLOOKUP($A192,'1.3.21-28.2.22'!$A$6:$DA$404,91,FALSE)-VLOOKUP($A192,'01-02.2022'!$A$6:$DA$376,91,FALSE)</f>
        <v>0</v>
      </c>
      <c r="CN192" s="52">
        <f t="shared" si="225"/>
        <v>0</v>
      </c>
      <c r="CO192" s="39">
        <f t="shared" si="220"/>
        <v>0</v>
      </c>
      <c r="CP192" s="40">
        <f t="shared" si="226"/>
        <v>0</v>
      </c>
      <c r="CQ192" s="52">
        <f t="shared" si="227"/>
        <v>0</v>
      </c>
      <c r="CR192" s="72">
        <f t="shared" si="221"/>
        <v>1869.9923845348283</v>
      </c>
      <c r="CS192" s="5">
        <f t="shared" si="221"/>
        <v>730.20316402071023</v>
      </c>
      <c r="CT192" s="52">
        <f t="shared" si="228"/>
        <v>-1139.7892205141179</v>
      </c>
      <c r="CU192" s="77">
        <f t="shared" si="229"/>
        <v>2243.9908614417936</v>
      </c>
      <c r="CV192" s="65">
        <f t="shared" si="230"/>
        <v>876.24379682485221</v>
      </c>
      <c r="CW192" s="35">
        <f t="shared" si="231"/>
        <v>-1367.7470646169413</v>
      </c>
      <c r="CX192" s="566">
        <f>VLOOKUP($A192,'01-02.2021'!$A$6:$CZ$403,102,FALSE)+VLOOKUP($A192,'1.3.21-28.2.22'!$A$6:$DA$404,102,FALSE)-VLOOKUP($A192,'01-02.2022'!$A$6:$DA$376,102,FALSE)</f>
        <v>78.392347933546048</v>
      </c>
      <c r="CY192" s="566">
        <f>VLOOKUP($A192,'01-02.2021'!$A$6:$CZ$403,103,FALSE)+VLOOKUP($A192,'1.3.21-28.2.22'!$A$6:$DA$404,103,FALSE)-VLOOKUP($A192,'01-02.2022'!$A$6:$DA$376,103,FALSE)</f>
        <v>1446.1394125504885</v>
      </c>
      <c r="CZ192" s="52">
        <f t="shared" si="232"/>
        <v>1367.7470646169425</v>
      </c>
      <c r="DA192" s="150">
        <f>'[2]побудинковий звіт'!DA192</f>
        <v>-5211.3601763122724</v>
      </c>
      <c r="DB192" s="2">
        <v>3</v>
      </c>
      <c r="DC192" s="414">
        <f>'[4]побудинковий звіт'!DC192</f>
        <v>210.24</v>
      </c>
      <c r="DD192" s="414">
        <f>'[4]побудинковий звіт'!DD192</f>
        <v>0</v>
      </c>
      <c r="DE192" s="557">
        <f>'[4]побудинковий звіт'!DE192</f>
        <v>5.6998947087549823E-3</v>
      </c>
      <c r="DF192" s="557">
        <f>'[4]побудинковий звіт'!DF192</f>
        <v>0</v>
      </c>
      <c r="DG192" s="321">
        <f>VLOOKUP(A192,'кошти 01.03.2021'!$A$6:$D$401,4,)</f>
        <v>-3719.4670164739464</v>
      </c>
      <c r="DH192" s="40">
        <f>'[3]побудинковий звіт'!DJ192</f>
        <v>2401.3204686447393</v>
      </c>
      <c r="DI192" s="422">
        <f>'[3]побудинковий звіт'!CU192+'[3]побудинковий звіт'!CX192</f>
        <v>210.23430010529123</v>
      </c>
      <c r="DJ192" s="306">
        <f>'[3]побудинковий звіт'!DM192</f>
        <v>2.0530693369657347</v>
      </c>
      <c r="DK192" s="306">
        <f t="shared" si="233"/>
        <v>2.0530693369657347</v>
      </c>
      <c r="DL192" s="306">
        <f>'[3]побудинковий звіт'!DO192</f>
        <v>2.0530693369657347</v>
      </c>
      <c r="DM192" s="28">
        <f t="shared" si="234"/>
        <v>210.23430010529125</v>
      </c>
      <c r="DN192" s="28">
        <f t="shared" si="235"/>
        <v>0</v>
      </c>
      <c r="DO192" s="423">
        <f t="shared" si="171"/>
        <v>210.23430010529125</v>
      </c>
      <c r="DP192" s="94">
        <f t="shared" si="172"/>
        <v>0</v>
      </c>
      <c r="DQ192" s="28">
        <f t="shared" si="173"/>
        <v>210.23430010529125</v>
      </c>
      <c r="DR192" s="318"/>
      <c r="DT192" s="8"/>
      <c r="DU192" s="5"/>
      <c r="DX192" s="5">
        <f t="shared" si="174"/>
        <v>1670.4810014079108</v>
      </c>
      <c r="DY192" s="5">
        <f t="shared" si="175"/>
        <v>0</v>
      </c>
      <c r="DZ192" s="159">
        <f>'[3]побудинковий звіт'!EA192</f>
        <v>171.96101674778689</v>
      </c>
    </row>
    <row r="193" spans="1:130" x14ac:dyDescent="0.3">
      <c r="A193" s="325">
        <v>150000505</v>
      </c>
      <c r="B193" s="41" t="s">
        <v>641</v>
      </c>
      <c r="C193" s="42" t="s">
        <v>113</v>
      </c>
      <c r="D193" s="42"/>
      <c r="E193" s="293">
        <f t="shared" si="218"/>
        <v>180.22</v>
      </c>
      <c r="F193" s="305">
        <f>'[3]побудинковий звіт'!F193</f>
        <v>180.22</v>
      </c>
      <c r="G193" s="508">
        <f>'[3]побудинковий звіт'!G193</f>
        <v>0</v>
      </c>
      <c r="H193" s="560">
        <f>'[3]побудинковий звіт'!H193</f>
        <v>0</v>
      </c>
      <c r="I193" s="566">
        <f>VLOOKUP($A193,'01-02.2021'!$A$6:$CZ$403,9,FALSE)+VLOOKUP($A193,'1.3.21-28.2.22'!$A$6:$DA$404,9,FALSE)-VLOOKUP($A193,'01-02.2022'!$A$6:$DA$376,9,FALSE)</f>
        <v>0</v>
      </c>
      <c r="J193" s="566">
        <f>VLOOKUP($A193,'01-02.2021'!$A$6:$CZ$403,10,FALSE)+VLOOKUP($A193,'1.3.21-28.2.22'!$A$6:$DA$404,10,FALSE)-VLOOKUP($A193,'01-02.2022'!$A$6:$DA$376,10,FALSE)</f>
        <v>0</v>
      </c>
      <c r="K193" s="52">
        <f t="shared" si="222"/>
        <v>0</v>
      </c>
      <c r="L193" s="566">
        <f>VLOOKUP($A193,'01-02.2021'!$A$6:$CZ$403,12,FALSE)+VLOOKUP($A193,'1.3.21-28.2.22'!$A$6:$DA$404,12,FALSE)-VLOOKUP($A193,'01-02.2022'!$A$6:$DA$376,12,FALSE)</f>
        <v>0</v>
      </c>
      <c r="M193" s="566">
        <f>VLOOKUP($A193,'01-02.2021'!$A$6:$CZ$403,13,FALSE)+VLOOKUP($A193,'1.3.21-28.2.22'!$A$6:$DA$404,13,FALSE)-VLOOKUP($A193,'01-02.2022'!$A$6:$DA$376,13,FALSE)</f>
        <v>0</v>
      </c>
      <c r="N193" s="52">
        <f t="shared" si="223"/>
        <v>0</v>
      </c>
      <c r="O193" s="566">
        <f>VLOOKUP($A193,'01-02.2021'!$A$6:$CZ$403,15,FALSE)+VLOOKUP($A193,'1.3.21-28.2.22'!$A$6:$DA$404,15,FALSE)-VLOOKUP($A193,'01-02.2022'!$A$6:$DA$376,15,FALSE)</f>
        <v>0</v>
      </c>
      <c r="P193" s="566">
        <f>VLOOKUP($A193,'01-02.2021'!$A$6:$CZ$403,16,FALSE)+VLOOKUP($A193,'1.3.21-28.2.22'!$A$6:$DA$404,16,FALSE)-VLOOKUP($A193,'01-02.2022'!$A$6:$DA$376,16,FALSE)</f>
        <v>0</v>
      </c>
      <c r="Q193" s="70">
        <f t="shared" si="176"/>
        <v>0</v>
      </c>
      <c r="R193" s="566">
        <f>VLOOKUP($A193,'01-02.2021'!$A$6:$CZ$403,18,FALSE)+VLOOKUP($A193,'1.3.21-28.2.22'!$A$6:$DA$404,18,FALSE)-VLOOKUP($A193,'01-02.2022'!$A$6:$DA$376,18,FALSE)</f>
        <v>0</v>
      </c>
      <c r="S193" s="566">
        <f>VLOOKUP($A193,'01-02.2021'!$A$6:$CZ$403,19,FALSE)+VLOOKUP($A193,'1.3.21-28.2.22'!$A$6:$DA$404,19,FALSE)-VLOOKUP($A193,'01-02.2022'!$A$6:$DA$376,19,FALSE)</f>
        <v>0</v>
      </c>
      <c r="T193" s="70">
        <f t="shared" si="177"/>
        <v>0</v>
      </c>
      <c r="U193" s="566">
        <f>VLOOKUP($A193,'01-02.2021'!$A$6:$CZ$403,21,FALSE)+VLOOKUP($A193,'1.3.21-28.2.22'!$A$6:$DA$404,21,FALSE)-VLOOKUP($A193,'01-02.2022'!$A$6:$DA$376,21,FALSE)</f>
        <v>0</v>
      </c>
      <c r="V193" s="566">
        <f>VLOOKUP($A193,'01-02.2021'!$A$6:$CZ$403,22,FALSE)+VLOOKUP($A193,'1.3.21-28.2.22'!$A$6:$DA$404,22,FALSE)-VLOOKUP($A193,'01-02.2022'!$A$6:$DA$376,22,FALSE)</f>
        <v>0</v>
      </c>
      <c r="W193" s="70">
        <f t="shared" si="178"/>
        <v>0</v>
      </c>
      <c r="X193" s="566">
        <f>VLOOKUP($A193,'01-02.2021'!$A$6:$CZ$403,24,FALSE)+VLOOKUP($A193,'1.3.21-28.2.22'!$A$6:$DA$404,24,FALSE)-VLOOKUP($A193,'01-02.2022'!$A$6:$DA$376,24,FALSE)</f>
        <v>0</v>
      </c>
      <c r="Y193" s="566">
        <f>VLOOKUP($A193,'01-02.2021'!$A$6:$CZ$403,25,FALSE)+VLOOKUP($A193,'1.3.21-28.2.22'!$A$6:$DA$404,25,FALSE)-VLOOKUP($A193,'01-02.2022'!$A$6:$DA$376,25,FALSE)</f>
        <v>0</v>
      </c>
      <c r="Z193" s="70">
        <f t="shared" si="179"/>
        <v>0</v>
      </c>
      <c r="AA193" s="566">
        <f>VLOOKUP($A193,'01-02.2021'!$A$6:$CZ$403,27,FALSE)+VLOOKUP($A193,'1.3.21-28.2.22'!$A$6:$DA$404,27,FALSE)-VLOOKUP($A193,'01-02.2022'!$A$6:$DA$376,27,FALSE)</f>
        <v>36.043999999999997</v>
      </c>
      <c r="AB193" s="566">
        <f>VLOOKUP($A193,'01-02.2021'!$A$6:$CZ$403,28,FALSE)+VLOOKUP($A193,'1.3.21-28.2.22'!$A$6:$DA$404,28,FALSE)-VLOOKUP($A193,'01-02.2022'!$A$6:$DA$376,28,FALSE)</f>
        <v>0</v>
      </c>
      <c r="AC193" s="70">
        <f t="shared" si="180"/>
        <v>-36.043999999999997</v>
      </c>
      <c r="AD193" s="566">
        <f>VLOOKUP($A193,'01-02.2021'!$A$6:$CZ$403,30,FALSE)+VLOOKUP($A193,'1.3.21-28.2.22'!$A$6:$DA$404,30,FALSE)-VLOOKUP($A193,'01-02.2022'!$A$6:$DA$376,30,FALSE)</f>
        <v>270.70883060432402</v>
      </c>
      <c r="AE193" s="566">
        <f>VLOOKUP($A193,'01-02.2021'!$A$6:$CZ$403,31,FALSE)+VLOOKUP($A193,'1.3.21-28.2.22'!$A$6:$DA$404,31,FALSE)-VLOOKUP($A193,'01-02.2022'!$A$6:$DA$376,31,FALSE)</f>
        <v>820.36870146935917</v>
      </c>
      <c r="AF193" s="68">
        <f t="shared" si="181"/>
        <v>549.65987086503515</v>
      </c>
      <c r="AG193" s="77">
        <f t="shared" si="219"/>
        <v>306.752830604324</v>
      </c>
      <c r="AH193" s="53">
        <f t="shared" si="219"/>
        <v>820.36870146935917</v>
      </c>
      <c r="AI193" s="52">
        <f t="shared" si="224"/>
        <v>513.61587086503516</v>
      </c>
      <c r="AJ193" s="566">
        <f>VLOOKUP($A193,'01-02.2021'!$A$6:$CZ$403,36,FALSE)+VLOOKUP($A193,'1.3.21-28.2.22'!$A$6:$DA$404,36,FALSE)-VLOOKUP($A193,'01-02.2022'!$A$6:$DA$376,36,FALSE)</f>
        <v>0</v>
      </c>
      <c r="AK193" s="566">
        <f>VLOOKUP($A193,'01-02.2021'!$A$6:$CZ$403,37,FALSE)+VLOOKUP($A193,'1.3.21-28.2.22'!$A$6:$DA$404,37,FALSE)-VLOOKUP($A193,'01-02.2022'!$A$6:$DA$376,37,FALSE)</f>
        <v>0</v>
      </c>
      <c r="AL193" s="70">
        <f t="shared" si="182"/>
        <v>0</v>
      </c>
      <c r="AM193" s="566">
        <f>VLOOKUP($A193,'01-02.2021'!$A$6:$CZ$403,39,FALSE)+VLOOKUP($A193,'1.3.21-28.2.22'!$A$6:$DA$404,39,FALSE)-VLOOKUP($A193,'01-02.2022'!$A$6:$DA$376,39,FALSE)</f>
        <v>0</v>
      </c>
      <c r="AN193" s="566">
        <f>VLOOKUP($A193,'01-02.2021'!$A$6:$CZ$403,40,FALSE)+VLOOKUP($A193,'1.3.21-28.2.22'!$A$6:$DA$404,40,FALSE)-VLOOKUP($A193,'01-02.2022'!$A$6:$DA$376,40,FALSE)</f>
        <v>0</v>
      </c>
      <c r="AO193" s="70">
        <f t="shared" si="183"/>
        <v>0</v>
      </c>
      <c r="AP193" s="566">
        <f>VLOOKUP($A193,'01-02.2021'!$A$6:$CZ$403,42,FALSE)+VLOOKUP($A193,'1.3.21-28.2.22'!$A$6:$DA$404,42,FALSE)-VLOOKUP($A193,'01-02.2022'!$A$6:$DA$376,42,FALSE)</f>
        <v>390.41994375958296</v>
      </c>
      <c r="AQ193" s="566">
        <f>VLOOKUP($A193,'01-02.2021'!$A$6:$CZ$403,43,FALSE)+VLOOKUP($A193,'1.3.21-28.2.22'!$A$6:$DA$404,43,FALSE)-VLOOKUP($A193,'01-02.2022'!$A$6:$DA$376,43,FALSE)</f>
        <v>336.57337442243158</v>
      </c>
      <c r="AR193" s="70">
        <f t="shared" si="184"/>
        <v>-53.846569337151379</v>
      </c>
      <c r="AS193" s="566">
        <f>VLOOKUP($A193,'01-02.2021'!$A$6:$CZ$403,45,FALSE)+VLOOKUP($A193,'1.3.21-28.2.22'!$A$6:$DA$404,45,FALSE)-VLOOKUP($A193,'01-02.2022'!$A$6:$DA$376,45,FALSE)</f>
        <v>2143.6692106407827</v>
      </c>
      <c r="AT193" s="566">
        <f>VLOOKUP($A193,'01-02.2021'!$A$6:$CZ$403,46,FALSE)+VLOOKUP($A193,'1.3.21-28.2.22'!$A$6:$DA$404,46,FALSE)-VLOOKUP($A193,'01-02.2022'!$A$6:$DA$376,46,FALSE)</f>
        <v>0</v>
      </c>
      <c r="AU193" s="78">
        <f t="shared" si="185"/>
        <v>-2143.6692106407827</v>
      </c>
      <c r="AV193" s="566">
        <f>VLOOKUP($A193,'01-02.2021'!$A$6:$CZ$403,48,FALSE)+VLOOKUP($A193,'1.3.21-28.2.22'!$A$6:$DA$404,48,FALSE)-VLOOKUP($A193,'01-02.2022'!$A$6:$DA$376,48,FALSE)</f>
        <v>0</v>
      </c>
      <c r="AW193" s="566">
        <f>VLOOKUP($A193,'01-02.2021'!$A$6:$CZ$403,49,FALSE)+VLOOKUP($A193,'1.3.21-28.2.22'!$A$6:$DA$404,49,FALSE)-VLOOKUP($A193,'01-02.2022'!$A$6:$DA$376,49,FALSE)</f>
        <v>0</v>
      </c>
      <c r="AX193" s="55">
        <f t="shared" si="186"/>
        <v>0</v>
      </c>
      <c r="AY193" s="566">
        <f>VLOOKUP($A193,'01-02.2021'!$A$6:$CZ$403,51,FALSE)+VLOOKUP($A193,'1.3.21-28.2.22'!$A$6:$DA$404,51,FALSE)-VLOOKUP($A193,'01-02.2022'!$A$6:$DA$376,51,FALSE)</f>
        <v>0</v>
      </c>
      <c r="AZ193" s="566">
        <f>VLOOKUP($A193,'01-02.2021'!$A$6:$CZ$403,52,FALSE)+VLOOKUP($A193,'1.3.21-28.2.22'!$A$6:$DA$404,52,FALSE)-VLOOKUP($A193,'01-02.2022'!$A$6:$DA$376,52,FALSE)</f>
        <v>0</v>
      </c>
      <c r="BA193" s="38">
        <f t="shared" si="187"/>
        <v>0</v>
      </c>
      <c r="BB193" s="566">
        <f>VLOOKUP($A193,'01-02.2021'!$A$6:$CZ$403,54,FALSE)+VLOOKUP($A193,'1.3.21-28.2.22'!$A$6:$DA$404,54,FALSE)-VLOOKUP($A193,'01-02.2022'!$A$6:$DA$376,54,FALSE)</f>
        <v>0</v>
      </c>
      <c r="BC193" s="566">
        <f>VLOOKUP($A193,'01-02.2021'!$A$6:$CZ$403,55,FALSE)+VLOOKUP($A193,'1.3.21-28.2.22'!$A$6:$DA$404,55,FALSE)-VLOOKUP($A193,'01-02.2022'!$A$6:$DA$376,55,FALSE)</f>
        <v>0</v>
      </c>
      <c r="BD193" s="55">
        <f t="shared" si="188"/>
        <v>0</v>
      </c>
      <c r="BE193" s="566">
        <f>VLOOKUP($A193,'01-02.2021'!$A$6:$CZ$403,57,FALSE)+VLOOKUP($A193,'1.3.21-28.2.22'!$A$6:$DA$404,57,FALSE)-VLOOKUP($A193,'01-02.2022'!$A$6:$DA$376,57,FALSE)</f>
        <v>0</v>
      </c>
      <c r="BF193" s="566">
        <f>VLOOKUP($A193,'01-02.2021'!$A$6:$CZ$403,58,FALSE)+VLOOKUP($A193,'1.3.21-28.2.22'!$A$6:$DA$404,58,FALSE)-VLOOKUP($A193,'01-02.2022'!$A$6:$DA$376,58,FALSE)</f>
        <v>0</v>
      </c>
      <c r="BG193" s="55">
        <f t="shared" si="189"/>
        <v>0</v>
      </c>
      <c r="BH193" s="566">
        <f>VLOOKUP($A193,'01-02.2021'!$A$6:$CZ$403,60,FALSE)+VLOOKUP($A193,'1.3.21-28.2.22'!$A$6:$DA$404,60,FALSE)-VLOOKUP($A193,'01-02.2022'!$A$6:$DA$376,60,FALSE)</f>
        <v>0</v>
      </c>
      <c r="BI193" s="566">
        <f>VLOOKUP($A193,'01-02.2021'!$A$6:$CZ$403,61,FALSE)+VLOOKUP($A193,'1.3.21-28.2.22'!$A$6:$DA$404,61,FALSE)-VLOOKUP($A193,'01-02.2022'!$A$6:$DA$376,61,FALSE)</f>
        <v>0</v>
      </c>
      <c r="BJ193" s="55">
        <f t="shared" si="190"/>
        <v>0</v>
      </c>
      <c r="BK193" s="566">
        <f>VLOOKUP($A193,'01-02.2021'!$A$6:$CZ$403,63,FALSE)+VLOOKUP($A193,'1.3.21-28.2.22'!$A$6:$DA$404,63,FALSE)-VLOOKUP($A193,'01-02.2022'!$A$6:$DA$376,63,FALSE)</f>
        <v>0</v>
      </c>
      <c r="BL193" s="566">
        <f>VLOOKUP($A193,'01-02.2021'!$A$6:$CZ$403,64,FALSE)+VLOOKUP($A193,'1.3.21-28.2.22'!$A$6:$DA$404,64,FALSE)-VLOOKUP($A193,'01-02.2022'!$A$6:$DA$376,64,FALSE)</f>
        <v>0</v>
      </c>
      <c r="BM193" s="55">
        <f t="shared" si="191"/>
        <v>0</v>
      </c>
      <c r="BN193" s="566">
        <f>VLOOKUP($A193,'01-02.2021'!$A$6:$CZ$403,66,FALSE)+VLOOKUP($A193,'1.3.21-28.2.22'!$A$6:$DA$404,66,FALSE)-VLOOKUP($A193,'01-02.2022'!$A$6:$DA$376,66,FALSE)</f>
        <v>9.0109999999999992</v>
      </c>
      <c r="BO193" s="566">
        <f>VLOOKUP($A193,'01-02.2021'!$A$6:$CZ$403,67,FALSE)+VLOOKUP($A193,'1.3.21-28.2.22'!$A$6:$DA$404,67,FALSE)-VLOOKUP($A193,'01-02.2022'!$A$6:$DA$376,67,FALSE)</f>
        <v>0</v>
      </c>
      <c r="BP193" s="55">
        <f t="shared" si="192"/>
        <v>-9.0109999999999992</v>
      </c>
      <c r="BQ193" s="77">
        <f t="shared" si="209"/>
        <v>9.0109999999999992</v>
      </c>
      <c r="BR193" s="40">
        <f t="shared" si="210"/>
        <v>0</v>
      </c>
      <c r="BS193" s="55">
        <f t="shared" si="236"/>
        <v>-9.0109999999999992</v>
      </c>
      <c r="BT193" s="566">
        <f>VLOOKUP($A193,'01-02.2021'!$A$6:$CZ$403,72,FALSE)+VLOOKUP($A193,'1.3.21-28.2.22'!$A$6:$DA$404,72,FALSE)-VLOOKUP($A193,'01-02.2022'!$A$6:$DA$376,72,FALSE)</f>
        <v>0</v>
      </c>
      <c r="BU193" s="566">
        <f>VLOOKUP($A193,'01-02.2021'!$A$6:$CZ$403,73,FALSE)+VLOOKUP($A193,'1.3.21-28.2.22'!$A$6:$DA$404,73,FALSE)-VLOOKUP($A193,'01-02.2022'!$A$6:$DA$376,73,FALSE)</f>
        <v>0</v>
      </c>
      <c r="BV193" s="70">
        <f t="shared" si="193"/>
        <v>0</v>
      </c>
      <c r="BW193" s="566">
        <f>VLOOKUP($A193,'01-02.2021'!$A$6:$CZ$403,75,FALSE)+VLOOKUP($A193,'1.3.21-28.2.22'!$A$6:$DA$404,75,FALSE)-VLOOKUP($A193,'01-02.2022'!$A$6:$DA$376,75,FALSE)</f>
        <v>0</v>
      </c>
      <c r="BX193" s="566">
        <f>VLOOKUP($A193,'01-02.2021'!$A$6:$CZ$403,76,FALSE)+VLOOKUP($A193,'1.3.21-28.2.22'!$A$6:$DA$404,76,FALSE)-VLOOKUP($A193,'01-02.2022'!$A$6:$DA$376,76,FALSE)</f>
        <v>4.0390168568529461</v>
      </c>
      <c r="BY193" s="70">
        <f t="shared" si="194"/>
        <v>4.0390168568529461</v>
      </c>
      <c r="BZ193" s="566">
        <f>VLOOKUP($A193,'01-02.2021'!$A$6:$CZ$403,78,FALSE)+VLOOKUP($A193,'1.3.21-28.2.22'!$A$6:$DA$404,78,FALSE)-VLOOKUP($A193,'01-02.2022'!$A$6:$DA$376,78,FALSE)</f>
        <v>0</v>
      </c>
      <c r="CA193" s="566">
        <f>VLOOKUP($A193,'01-02.2021'!$A$6:$CZ$403,79,FALSE)+VLOOKUP($A193,'1.3.21-28.2.22'!$A$6:$DA$404,79,FALSE)-VLOOKUP($A193,'01-02.2022'!$A$6:$DA$376,79,FALSE)</f>
        <v>0</v>
      </c>
      <c r="CB193" s="70">
        <f t="shared" si="195"/>
        <v>0</v>
      </c>
      <c r="CC193" s="566">
        <f>VLOOKUP($A193,'01-02.2021'!$A$6:$CZ$403,81,FALSE)+VLOOKUP($A193,'1.3.21-28.2.22'!$A$6:$DA$404,81,FALSE)-VLOOKUP($A193,'01-02.2022'!$A$6:$DA$376,81,FALSE)</f>
        <v>0</v>
      </c>
      <c r="CD193" s="566">
        <f>VLOOKUP($A193,'01-02.2021'!$A$6:$CZ$403,82,FALSE)+VLOOKUP($A193,'1.3.21-28.2.22'!$A$6:$DA$404,82,FALSE)-VLOOKUP($A193,'01-02.2022'!$A$6:$DA$376,82,FALSE)</f>
        <v>0</v>
      </c>
      <c r="CE193" s="70">
        <f t="shared" si="196"/>
        <v>0</v>
      </c>
      <c r="CF193" s="566">
        <f>VLOOKUP($A193,'01-02.2021'!$A$6:$CZ$403,84,FALSE)+VLOOKUP($A193,'1.3.21-28.2.22'!$A$6:$DA$404,84,FALSE)-VLOOKUP($A193,'01-02.2022'!$A$6:$DA$376,84,FALSE)</f>
        <v>0</v>
      </c>
      <c r="CG193" s="566">
        <f>VLOOKUP($A193,'01-02.2021'!$A$6:$CZ$403,85,FALSE)+VLOOKUP($A193,'1.3.21-28.2.22'!$A$6:$DA$404,85,FALSE)-VLOOKUP($A193,'01-02.2022'!$A$6:$DA$376,85,FALSE)</f>
        <v>0</v>
      </c>
      <c r="CH193" s="70">
        <f t="shared" si="197"/>
        <v>0</v>
      </c>
      <c r="CI193" s="566">
        <f>VLOOKUP($A193,'01-02.2021'!$A$6:$CZ$403,87,FALSE)+VLOOKUP($A193,'1.3.21-28.2.22'!$A$6:$DA$404,87,FALSE)-VLOOKUP($A193,'01-02.2022'!$A$6:$DA$376,87,FALSE)</f>
        <v>0</v>
      </c>
      <c r="CJ193" s="566">
        <f>VLOOKUP($A193,'01-02.2021'!$A$6:$CZ$403,88,FALSE)+VLOOKUP($A193,'1.3.21-28.2.22'!$A$6:$DA$404,88,FALSE)-VLOOKUP($A193,'01-02.2022'!$A$6:$DA$376,88,FALSE)</f>
        <v>0</v>
      </c>
      <c r="CK193" s="70">
        <f t="shared" si="198"/>
        <v>0</v>
      </c>
      <c r="CL193" s="566">
        <f>VLOOKUP($A193,'01-02.2021'!$A$6:$CZ$403,90,FALSE)+VLOOKUP($A193,'1.3.21-28.2.22'!$A$6:$DA$404,90,FALSE)-VLOOKUP($A193,'01-02.2022'!$A$6:$DA$376,90,FALSE)</f>
        <v>0</v>
      </c>
      <c r="CM193" s="566">
        <f>VLOOKUP($A193,'01-02.2021'!$A$6:$CZ$403,91,FALSE)+VLOOKUP($A193,'1.3.21-28.2.22'!$A$6:$DA$404,91,FALSE)-VLOOKUP($A193,'01-02.2022'!$A$6:$DA$376,91,FALSE)</f>
        <v>0</v>
      </c>
      <c r="CN193" s="52">
        <f t="shared" si="225"/>
        <v>0</v>
      </c>
      <c r="CO193" s="39">
        <f t="shared" si="220"/>
        <v>0</v>
      </c>
      <c r="CP193" s="40">
        <f t="shared" si="226"/>
        <v>0</v>
      </c>
      <c r="CQ193" s="52">
        <f t="shared" si="227"/>
        <v>0</v>
      </c>
      <c r="CR193" s="72">
        <f t="shared" si="221"/>
        <v>2849.8529850046893</v>
      </c>
      <c r="CS193" s="5">
        <f t="shared" si="221"/>
        <v>1160.9810927486437</v>
      </c>
      <c r="CT193" s="52">
        <f t="shared" si="228"/>
        <v>-1688.8718922560456</v>
      </c>
      <c r="CU193" s="77">
        <f t="shared" si="229"/>
        <v>3419.823582005627</v>
      </c>
      <c r="CV193" s="65">
        <f t="shared" si="230"/>
        <v>1393.1773112983724</v>
      </c>
      <c r="CW193" s="35">
        <f t="shared" si="231"/>
        <v>-2026.6462707072546</v>
      </c>
      <c r="CX193" s="566">
        <f>VLOOKUP($A193,'01-02.2021'!$A$6:$CZ$403,102,FALSE)+VLOOKUP($A193,'1.3.21-28.2.22'!$A$6:$DA$404,102,FALSE)-VLOOKUP($A193,'01-02.2022'!$A$6:$DA$376,102,FALSE)</f>
        <v>119.3258013873305</v>
      </c>
      <c r="CY193" s="566">
        <f>VLOOKUP($A193,'01-02.2021'!$A$6:$CZ$403,103,FALSE)+VLOOKUP($A193,'1.3.21-28.2.22'!$A$6:$DA$404,103,FALSE)-VLOOKUP($A193,'01-02.2022'!$A$6:$DA$376,103,FALSE)</f>
        <v>2145.9720720945866</v>
      </c>
      <c r="CZ193" s="52">
        <f t="shared" si="232"/>
        <v>2026.646270707256</v>
      </c>
      <c r="DA193" s="150">
        <f>'[2]побудинковий звіт'!DA193</f>
        <v>-6893.1853614560714</v>
      </c>
      <c r="DB193" s="2">
        <v>3</v>
      </c>
      <c r="DC193" s="414">
        <f>'[4]побудинковий звіт'!DC193</f>
        <v>363.22</v>
      </c>
      <c r="DD193" s="414">
        <f>'[4]побудинковий звіт'!DD193</f>
        <v>0</v>
      </c>
      <c r="DE193" s="557">
        <f>'[4]побудинковий звіт'!DE193</f>
        <v>42.062873625145926</v>
      </c>
      <c r="DF193" s="557">
        <f>'[4]побудинковий звіт'!DF193</f>
        <v>0</v>
      </c>
      <c r="DG193" s="321">
        <f>VLOOKUP(A193,'кошти 01.03.2021'!$A$6:$D$401,4,)</f>
        <v>-4664.9888064511279</v>
      </c>
      <c r="DH193" s="40">
        <f>'[3]побудинковий звіт'!DJ193</f>
        <v>3663.1710257661102</v>
      </c>
      <c r="DI193" s="422">
        <f>'[3]побудинковий звіт'!CU193+'[3]побудинковий звіт'!CX193</f>
        <v>321.1571263748541</v>
      </c>
      <c r="DJ193" s="306">
        <f>'[3]побудинковий звіт'!DM193</f>
        <v>1.7820282231431257</v>
      </c>
      <c r="DK193" s="306">
        <f t="shared" si="233"/>
        <v>1.7820282231431257</v>
      </c>
      <c r="DL193" s="306">
        <f>'[3]побудинковий звіт'!DO193</f>
        <v>1.7820282231431257</v>
      </c>
      <c r="DM193" s="28">
        <f t="shared" si="234"/>
        <v>321.1571263748541</v>
      </c>
      <c r="DN193" s="28">
        <f t="shared" si="235"/>
        <v>0</v>
      </c>
      <c r="DO193" s="423">
        <f t="shared" si="171"/>
        <v>321.1571263748541</v>
      </c>
      <c r="DP193" s="94">
        <f t="shared" si="172"/>
        <v>0</v>
      </c>
      <c r="DQ193" s="28">
        <f t="shared" si="173"/>
        <v>321.1571263748541</v>
      </c>
      <c r="DR193" s="318"/>
      <c r="DT193" s="8"/>
      <c r="DU193" s="5"/>
      <c r="DX193" s="5">
        <f t="shared" si="174"/>
        <v>2583.2162527689393</v>
      </c>
      <c r="DY193" s="5">
        <f t="shared" si="175"/>
        <v>0</v>
      </c>
      <c r="DZ193" s="159">
        <f>'[3]побудинковий звіт'!EA193</f>
        <v>270.70823180135073</v>
      </c>
    </row>
    <row r="194" spans="1:130" x14ac:dyDescent="0.3">
      <c r="A194" s="325">
        <v>150000507</v>
      </c>
      <c r="B194" s="41" t="s">
        <v>642</v>
      </c>
      <c r="C194" s="42" t="s">
        <v>114</v>
      </c>
      <c r="D194" s="42"/>
      <c r="E194" s="293">
        <f t="shared" si="218"/>
        <v>329.7</v>
      </c>
      <c r="F194" s="305">
        <f>'[3]побудинковий звіт'!F194</f>
        <v>278.3</v>
      </c>
      <c r="G194" s="508">
        <f>'[3]побудинковий звіт'!G194</f>
        <v>0</v>
      </c>
      <c r="H194" s="560">
        <f>'[3]побудинковий звіт'!H194</f>
        <v>51.4</v>
      </c>
      <c r="I194" s="566">
        <f>VLOOKUP($A194,'01-02.2021'!$A$6:$CZ$403,9,FALSE)+VLOOKUP($A194,'1.3.21-28.2.22'!$A$6:$DA$404,9,FALSE)-VLOOKUP($A194,'01-02.2022'!$A$6:$DA$376,9,FALSE)</f>
        <v>0</v>
      </c>
      <c r="J194" s="566">
        <f>VLOOKUP($A194,'01-02.2021'!$A$6:$CZ$403,10,FALSE)+VLOOKUP($A194,'1.3.21-28.2.22'!$A$6:$DA$404,10,FALSE)-VLOOKUP($A194,'01-02.2022'!$A$6:$DA$376,10,FALSE)</f>
        <v>0</v>
      </c>
      <c r="K194" s="52">
        <f t="shared" si="222"/>
        <v>0</v>
      </c>
      <c r="L194" s="566">
        <f>VLOOKUP($A194,'01-02.2021'!$A$6:$CZ$403,12,FALSE)+VLOOKUP($A194,'1.3.21-28.2.22'!$A$6:$DA$404,12,FALSE)-VLOOKUP($A194,'01-02.2022'!$A$6:$DA$376,12,FALSE)</f>
        <v>0</v>
      </c>
      <c r="M194" s="566">
        <f>VLOOKUP($A194,'01-02.2021'!$A$6:$CZ$403,13,FALSE)+VLOOKUP($A194,'1.3.21-28.2.22'!$A$6:$DA$404,13,FALSE)-VLOOKUP($A194,'01-02.2022'!$A$6:$DA$376,13,FALSE)</f>
        <v>0</v>
      </c>
      <c r="N194" s="52">
        <f t="shared" si="223"/>
        <v>0</v>
      </c>
      <c r="O194" s="566">
        <f>VLOOKUP($A194,'01-02.2021'!$A$6:$CZ$403,15,FALSE)+VLOOKUP($A194,'1.3.21-28.2.22'!$A$6:$DA$404,15,FALSE)-VLOOKUP($A194,'01-02.2022'!$A$6:$DA$376,15,FALSE)</f>
        <v>0</v>
      </c>
      <c r="P194" s="566">
        <f>VLOOKUP($A194,'01-02.2021'!$A$6:$CZ$403,16,FALSE)+VLOOKUP($A194,'1.3.21-28.2.22'!$A$6:$DA$404,16,FALSE)-VLOOKUP($A194,'01-02.2022'!$A$6:$DA$376,16,FALSE)</f>
        <v>0</v>
      </c>
      <c r="Q194" s="70">
        <f t="shared" si="176"/>
        <v>0</v>
      </c>
      <c r="R194" s="566">
        <f>VLOOKUP($A194,'01-02.2021'!$A$6:$CZ$403,18,FALSE)+VLOOKUP($A194,'1.3.21-28.2.22'!$A$6:$DA$404,18,FALSE)-VLOOKUP($A194,'01-02.2022'!$A$6:$DA$376,18,FALSE)</f>
        <v>0</v>
      </c>
      <c r="S194" s="566">
        <f>VLOOKUP($A194,'01-02.2021'!$A$6:$CZ$403,19,FALSE)+VLOOKUP($A194,'1.3.21-28.2.22'!$A$6:$DA$404,19,FALSE)-VLOOKUP($A194,'01-02.2022'!$A$6:$DA$376,19,FALSE)</f>
        <v>0</v>
      </c>
      <c r="T194" s="70">
        <f t="shared" si="177"/>
        <v>0</v>
      </c>
      <c r="U194" s="566">
        <f>VLOOKUP($A194,'01-02.2021'!$A$6:$CZ$403,21,FALSE)+VLOOKUP($A194,'1.3.21-28.2.22'!$A$6:$DA$404,21,FALSE)-VLOOKUP($A194,'01-02.2022'!$A$6:$DA$376,21,FALSE)</f>
        <v>0</v>
      </c>
      <c r="V194" s="566">
        <f>VLOOKUP($A194,'01-02.2021'!$A$6:$CZ$403,22,FALSE)+VLOOKUP($A194,'1.3.21-28.2.22'!$A$6:$DA$404,22,FALSE)-VLOOKUP($A194,'01-02.2022'!$A$6:$DA$376,22,FALSE)</f>
        <v>0</v>
      </c>
      <c r="W194" s="70">
        <f t="shared" si="178"/>
        <v>0</v>
      </c>
      <c r="X194" s="566">
        <f>VLOOKUP($A194,'01-02.2021'!$A$6:$CZ$403,24,FALSE)+VLOOKUP($A194,'1.3.21-28.2.22'!$A$6:$DA$404,24,FALSE)-VLOOKUP($A194,'01-02.2022'!$A$6:$DA$376,24,FALSE)</f>
        <v>0</v>
      </c>
      <c r="Y194" s="566">
        <f>VLOOKUP($A194,'01-02.2021'!$A$6:$CZ$403,25,FALSE)+VLOOKUP($A194,'1.3.21-28.2.22'!$A$6:$DA$404,25,FALSE)-VLOOKUP($A194,'01-02.2022'!$A$6:$DA$376,25,FALSE)</f>
        <v>0</v>
      </c>
      <c r="Z194" s="70">
        <f t="shared" si="179"/>
        <v>0</v>
      </c>
      <c r="AA194" s="566">
        <f>VLOOKUP($A194,'01-02.2021'!$A$6:$CZ$403,27,FALSE)+VLOOKUP($A194,'1.3.21-28.2.22'!$A$6:$DA$404,27,FALSE)-VLOOKUP($A194,'01-02.2022'!$A$6:$DA$376,27,FALSE)</f>
        <v>64.11999999999999</v>
      </c>
      <c r="AB194" s="566">
        <f>VLOOKUP($A194,'01-02.2021'!$A$6:$CZ$403,28,FALSE)+VLOOKUP($A194,'1.3.21-28.2.22'!$A$6:$DA$404,28,FALSE)-VLOOKUP($A194,'01-02.2022'!$A$6:$DA$376,28,FALSE)</f>
        <v>0</v>
      </c>
      <c r="AC194" s="70">
        <f t="shared" si="180"/>
        <v>-64.11999999999999</v>
      </c>
      <c r="AD194" s="566">
        <f>VLOOKUP($A194,'01-02.2021'!$A$6:$CZ$403,30,FALSE)+VLOOKUP($A194,'1.3.21-28.2.22'!$A$6:$DA$404,30,FALSE)-VLOOKUP($A194,'01-02.2022'!$A$6:$DA$376,30,FALSE)</f>
        <v>481.53919612137906</v>
      </c>
      <c r="AE194" s="566">
        <f>VLOOKUP($A194,'01-02.2021'!$A$6:$CZ$403,31,FALSE)+VLOOKUP($A194,'1.3.21-28.2.22'!$A$6:$DA$404,31,FALSE)-VLOOKUP($A194,'01-02.2022'!$A$6:$DA$376,31,FALSE)</f>
        <v>1500.8076843549422</v>
      </c>
      <c r="AF194" s="68">
        <f t="shared" si="181"/>
        <v>1019.2684882335632</v>
      </c>
      <c r="AG194" s="77">
        <f t="shared" si="219"/>
        <v>545.65919612137907</v>
      </c>
      <c r="AH194" s="53">
        <f t="shared" si="219"/>
        <v>1500.8076843549422</v>
      </c>
      <c r="AI194" s="52">
        <f t="shared" si="224"/>
        <v>955.14848823356317</v>
      </c>
      <c r="AJ194" s="566">
        <f>VLOOKUP($A194,'01-02.2021'!$A$6:$CZ$403,36,FALSE)+VLOOKUP($A194,'1.3.21-28.2.22'!$A$6:$DA$404,36,FALSE)-VLOOKUP($A194,'01-02.2022'!$A$6:$DA$376,36,FALSE)</f>
        <v>0</v>
      </c>
      <c r="AK194" s="566">
        <f>VLOOKUP($A194,'01-02.2021'!$A$6:$CZ$403,37,FALSE)+VLOOKUP($A194,'1.3.21-28.2.22'!$A$6:$DA$404,37,FALSE)-VLOOKUP($A194,'01-02.2022'!$A$6:$DA$376,37,FALSE)</f>
        <v>0</v>
      </c>
      <c r="AL194" s="70">
        <f t="shared" si="182"/>
        <v>0</v>
      </c>
      <c r="AM194" s="566">
        <f>VLOOKUP($A194,'01-02.2021'!$A$6:$CZ$403,39,FALSE)+VLOOKUP($A194,'1.3.21-28.2.22'!$A$6:$DA$404,39,FALSE)-VLOOKUP($A194,'01-02.2022'!$A$6:$DA$376,39,FALSE)</f>
        <v>0</v>
      </c>
      <c r="AN194" s="566">
        <f>VLOOKUP($A194,'01-02.2021'!$A$6:$CZ$403,40,FALSE)+VLOOKUP($A194,'1.3.21-28.2.22'!$A$6:$DA$404,40,FALSE)-VLOOKUP($A194,'01-02.2022'!$A$6:$DA$376,40,FALSE)</f>
        <v>0</v>
      </c>
      <c r="AO194" s="70">
        <f t="shared" si="183"/>
        <v>0</v>
      </c>
      <c r="AP194" s="566">
        <f>VLOOKUP($A194,'01-02.2021'!$A$6:$CZ$403,42,FALSE)+VLOOKUP($A194,'1.3.21-28.2.22'!$A$6:$DA$404,42,FALSE)-VLOOKUP($A194,'01-02.2022'!$A$6:$DA$376,42,FALSE)</f>
        <v>347.03995000851819</v>
      </c>
      <c r="AQ194" s="566">
        <f>VLOOKUP($A194,'01-02.2021'!$A$6:$CZ$403,43,FALSE)+VLOOKUP($A194,'1.3.21-28.2.22'!$A$6:$DA$404,43,FALSE)-VLOOKUP($A194,'01-02.2022'!$A$6:$DA$376,43,FALSE)</f>
        <v>299.17633281993915</v>
      </c>
      <c r="AR194" s="70">
        <f t="shared" si="184"/>
        <v>-47.863617188579042</v>
      </c>
      <c r="AS194" s="566">
        <f>VLOOKUP($A194,'01-02.2021'!$A$6:$CZ$403,45,FALSE)+VLOOKUP($A194,'1.3.21-28.2.22'!$A$6:$DA$404,45,FALSE)-VLOOKUP($A194,'01-02.2022'!$A$6:$DA$376,45,FALSE)</f>
        <v>3203.7388007933664</v>
      </c>
      <c r="AT194" s="566">
        <f>VLOOKUP($A194,'01-02.2021'!$A$6:$CZ$403,46,FALSE)+VLOOKUP($A194,'1.3.21-28.2.22'!$A$6:$DA$404,46,FALSE)-VLOOKUP($A194,'01-02.2022'!$A$6:$DA$376,46,FALSE)</f>
        <v>0</v>
      </c>
      <c r="AU194" s="78">
        <f t="shared" si="185"/>
        <v>-3203.7388007933664</v>
      </c>
      <c r="AV194" s="566">
        <f>VLOOKUP($A194,'01-02.2021'!$A$6:$CZ$403,48,FALSE)+VLOOKUP($A194,'1.3.21-28.2.22'!$A$6:$DA$404,48,FALSE)-VLOOKUP($A194,'01-02.2022'!$A$6:$DA$376,48,FALSE)</f>
        <v>0</v>
      </c>
      <c r="AW194" s="566">
        <f>VLOOKUP($A194,'01-02.2021'!$A$6:$CZ$403,49,FALSE)+VLOOKUP($A194,'1.3.21-28.2.22'!$A$6:$DA$404,49,FALSE)-VLOOKUP($A194,'01-02.2022'!$A$6:$DA$376,49,FALSE)</f>
        <v>0</v>
      </c>
      <c r="AX194" s="55">
        <f t="shared" si="186"/>
        <v>0</v>
      </c>
      <c r="AY194" s="566">
        <f>VLOOKUP($A194,'01-02.2021'!$A$6:$CZ$403,51,FALSE)+VLOOKUP($A194,'1.3.21-28.2.22'!$A$6:$DA$404,51,FALSE)-VLOOKUP($A194,'01-02.2022'!$A$6:$DA$376,51,FALSE)</f>
        <v>0</v>
      </c>
      <c r="AZ194" s="566">
        <f>VLOOKUP($A194,'01-02.2021'!$A$6:$CZ$403,52,FALSE)+VLOOKUP($A194,'1.3.21-28.2.22'!$A$6:$DA$404,52,FALSE)-VLOOKUP($A194,'01-02.2022'!$A$6:$DA$376,52,FALSE)</f>
        <v>0</v>
      </c>
      <c r="BA194" s="38">
        <f t="shared" si="187"/>
        <v>0</v>
      </c>
      <c r="BB194" s="566">
        <f>VLOOKUP($A194,'01-02.2021'!$A$6:$CZ$403,54,FALSE)+VLOOKUP($A194,'1.3.21-28.2.22'!$A$6:$DA$404,54,FALSE)-VLOOKUP($A194,'01-02.2022'!$A$6:$DA$376,54,FALSE)</f>
        <v>0</v>
      </c>
      <c r="BC194" s="566">
        <f>VLOOKUP($A194,'01-02.2021'!$A$6:$CZ$403,55,FALSE)+VLOOKUP($A194,'1.3.21-28.2.22'!$A$6:$DA$404,55,FALSE)-VLOOKUP($A194,'01-02.2022'!$A$6:$DA$376,55,FALSE)</f>
        <v>0</v>
      </c>
      <c r="BD194" s="55">
        <f t="shared" si="188"/>
        <v>0</v>
      </c>
      <c r="BE194" s="566">
        <f>VLOOKUP($A194,'01-02.2021'!$A$6:$CZ$403,57,FALSE)+VLOOKUP($A194,'1.3.21-28.2.22'!$A$6:$DA$404,57,FALSE)-VLOOKUP($A194,'01-02.2022'!$A$6:$DA$376,57,FALSE)</f>
        <v>0</v>
      </c>
      <c r="BF194" s="566">
        <f>VLOOKUP($A194,'01-02.2021'!$A$6:$CZ$403,58,FALSE)+VLOOKUP($A194,'1.3.21-28.2.22'!$A$6:$DA$404,58,FALSE)-VLOOKUP($A194,'01-02.2022'!$A$6:$DA$376,58,FALSE)</f>
        <v>0</v>
      </c>
      <c r="BG194" s="55">
        <f t="shared" si="189"/>
        <v>0</v>
      </c>
      <c r="BH194" s="566">
        <f>VLOOKUP($A194,'01-02.2021'!$A$6:$CZ$403,60,FALSE)+VLOOKUP($A194,'1.3.21-28.2.22'!$A$6:$DA$404,60,FALSE)-VLOOKUP($A194,'01-02.2022'!$A$6:$DA$376,60,FALSE)</f>
        <v>0</v>
      </c>
      <c r="BI194" s="566">
        <f>VLOOKUP($A194,'01-02.2021'!$A$6:$CZ$403,61,FALSE)+VLOOKUP($A194,'1.3.21-28.2.22'!$A$6:$DA$404,61,FALSE)-VLOOKUP($A194,'01-02.2022'!$A$6:$DA$376,61,FALSE)</f>
        <v>0</v>
      </c>
      <c r="BJ194" s="55">
        <f t="shared" si="190"/>
        <v>0</v>
      </c>
      <c r="BK194" s="566">
        <f>VLOOKUP($A194,'01-02.2021'!$A$6:$CZ$403,63,FALSE)+VLOOKUP($A194,'1.3.21-28.2.22'!$A$6:$DA$404,63,FALSE)-VLOOKUP($A194,'01-02.2022'!$A$6:$DA$376,63,FALSE)</f>
        <v>0</v>
      </c>
      <c r="BL194" s="566">
        <f>VLOOKUP($A194,'01-02.2021'!$A$6:$CZ$403,64,FALSE)+VLOOKUP($A194,'1.3.21-28.2.22'!$A$6:$DA$404,64,FALSE)-VLOOKUP($A194,'01-02.2022'!$A$6:$DA$376,64,FALSE)</f>
        <v>0</v>
      </c>
      <c r="BM194" s="55">
        <f t="shared" si="191"/>
        <v>0</v>
      </c>
      <c r="BN194" s="566">
        <f>VLOOKUP($A194,'01-02.2021'!$A$6:$CZ$403,66,FALSE)+VLOOKUP($A194,'1.3.21-28.2.22'!$A$6:$DA$404,66,FALSE)-VLOOKUP($A194,'01-02.2022'!$A$6:$DA$376,66,FALSE)</f>
        <v>16.029999999999998</v>
      </c>
      <c r="BO194" s="566">
        <f>VLOOKUP($A194,'01-02.2021'!$A$6:$CZ$403,67,FALSE)+VLOOKUP($A194,'1.3.21-28.2.22'!$A$6:$DA$404,67,FALSE)-VLOOKUP($A194,'01-02.2022'!$A$6:$DA$376,67,FALSE)</f>
        <v>0</v>
      </c>
      <c r="BP194" s="55">
        <f t="shared" si="192"/>
        <v>-16.029999999999998</v>
      </c>
      <c r="BQ194" s="77">
        <f t="shared" si="209"/>
        <v>16.029999999999998</v>
      </c>
      <c r="BR194" s="40">
        <f t="shared" si="210"/>
        <v>0</v>
      </c>
      <c r="BS194" s="55">
        <f t="shared" si="236"/>
        <v>-16.029999999999998</v>
      </c>
      <c r="BT194" s="566">
        <f>VLOOKUP($A194,'01-02.2021'!$A$6:$CZ$403,72,FALSE)+VLOOKUP($A194,'1.3.21-28.2.22'!$A$6:$DA$404,72,FALSE)-VLOOKUP($A194,'01-02.2022'!$A$6:$DA$376,72,FALSE)</f>
        <v>0</v>
      </c>
      <c r="BU194" s="566">
        <f>VLOOKUP($A194,'01-02.2021'!$A$6:$CZ$403,73,FALSE)+VLOOKUP($A194,'1.3.21-28.2.22'!$A$6:$DA$404,73,FALSE)-VLOOKUP($A194,'01-02.2022'!$A$6:$DA$376,73,FALSE)</f>
        <v>0</v>
      </c>
      <c r="BV194" s="70">
        <f t="shared" si="193"/>
        <v>0</v>
      </c>
      <c r="BW194" s="566">
        <f>VLOOKUP($A194,'01-02.2021'!$A$6:$CZ$403,75,FALSE)+VLOOKUP($A194,'1.3.21-28.2.22'!$A$6:$DA$404,75,FALSE)-VLOOKUP($A194,'01-02.2022'!$A$6:$DA$376,75,FALSE)</f>
        <v>0</v>
      </c>
      <c r="BX194" s="566">
        <f>VLOOKUP($A194,'01-02.2021'!$A$6:$CZ$403,76,FALSE)+VLOOKUP($A194,'1.3.21-28.2.22'!$A$6:$DA$404,76,FALSE)-VLOOKUP($A194,'01-02.2022'!$A$6:$DA$376,76,FALSE)</f>
        <v>7.3891014188459447</v>
      </c>
      <c r="BY194" s="70">
        <f t="shared" si="194"/>
        <v>7.3891014188459447</v>
      </c>
      <c r="BZ194" s="566">
        <f>VLOOKUP($A194,'01-02.2021'!$A$6:$CZ$403,78,FALSE)+VLOOKUP($A194,'1.3.21-28.2.22'!$A$6:$DA$404,78,FALSE)-VLOOKUP($A194,'01-02.2022'!$A$6:$DA$376,78,FALSE)</f>
        <v>0</v>
      </c>
      <c r="CA194" s="566">
        <f>VLOOKUP($A194,'01-02.2021'!$A$6:$CZ$403,79,FALSE)+VLOOKUP($A194,'1.3.21-28.2.22'!$A$6:$DA$404,79,FALSE)-VLOOKUP($A194,'01-02.2022'!$A$6:$DA$376,79,FALSE)</f>
        <v>0</v>
      </c>
      <c r="CB194" s="70">
        <f t="shared" si="195"/>
        <v>0</v>
      </c>
      <c r="CC194" s="566">
        <f>VLOOKUP($A194,'01-02.2021'!$A$6:$CZ$403,81,FALSE)+VLOOKUP($A194,'1.3.21-28.2.22'!$A$6:$DA$404,81,FALSE)-VLOOKUP($A194,'01-02.2022'!$A$6:$DA$376,81,FALSE)</f>
        <v>0</v>
      </c>
      <c r="CD194" s="566">
        <f>VLOOKUP($A194,'01-02.2021'!$A$6:$CZ$403,82,FALSE)+VLOOKUP($A194,'1.3.21-28.2.22'!$A$6:$DA$404,82,FALSE)-VLOOKUP($A194,'01-02.2022'!$A$6:$DA$376,82,FALSE)</f>
        <v>0</v>
      </c>
      <c r="CE194" s="70">
        <f t="shared" si="196"/>
        <v>0</v>
      </c>
      <c r="CF194" s="566">
        <f>VLOOKUP($A194,'01-02.2021'!$A$6:$CZ$403,84,FALSE)+VLOOKUP($A194,'1.3.21-28.2.22'!$A$6:$DA$404,84,FALSE)-VLOOKUP($A194,'01-02.2022'!$A$6:$DA$376,84,FALSE)</f>
        <v>0</v>
      </c>
      <c r="CG194" s="566">
        <f>VLOOKUP($A194,'01-02.2021'!$A$6:$CZ$403,85,FALSE)+VLOOKUP($A194,'1.3.21-28.2.22'!$A$6:$DA$404,85,FALSE)-VLOOKUP($A194,'01-02.2022'!$A$6:$DA$376,85,FALSE)</f>
        <v>0</v>
      </c>
      <c r="CH194" s="70">
        <f t="shared" si="197"/>
        <v>0</v>
      </c>
      <c r="CI194" s="566">
        <f>VLOOKUP($A194,'01-02.2021'!$A$6:$CZ$403,87,FALSE)+VLOOKUP($A194,'1.3.21-28.2.22'!$A$6:$DA$404,87,FALSE)-VLOOKUP($A194,'01-02.2022'!$A$6:$DA$376,87,FALSE)</f>
        <v>0</v>
      </c>
      <c r="CJ194" s="566">
        <f>VLOOKUP($A194,'01-02.2021'!$A$6:$CZ$403,88,FALSE)+VLOOKUP($A194,'1.3.21-28.2.22'!$A$6:$DA$404,88,FALSE)-VLOOKUP($A194,'01-02.2022'!$A$6:$DA$376,88,FALSE)</f>
        <v>0</v>
      </c>
      <c r="CK194" s="70">
        <f t="shared" si="198"/>
        <v>0</v>
      </c>
      <c r="CL194" s="566">
        <f>VLOOKUP($A194,'01-02.2021'!$A$6:$CZ$403,90,FALSE)+VLOOKUP($A194,'1.3.21-28.2.22'!$A$6:$DA$404,90,FALSE)-VLOOKUP($A194,'01-02.2022'!$A$6:$DA$376,90,FALSE)</f>
        <v>0</v>
      </c>
      <c r="CM194" s="566">
        <f>VLOOKUP($A194,'01-02.2021'!$A$6:$CZ$403,91,FALSE)+VLOOKUP($A194,'1.3.21-28.2.22'!$A$6:$DA$404,91,FALSE)-VLOOKUP($A194,'01-02.2022'!$A$6:$DA$376,91,FALSE)</f>
        <v>0</v>
      </c>
      <c r="CN194" s="52">
        <f t="shared" si="225"/>
        <v>0</v>
      </c>
      <c r="CO194" s="39">
        <f t="shared" si="220"/>
        <v>0</v>
      </c>
      <c r="CP194" s="40">
        <f t="shared" si="226"/>
        <v>0</v>
      </c>
      <c r="CQ194" s="52">
        <f t="shared" si="227"/>
        <v>0</v>
      </c>
      <c r="CR194" s="72">
        <f t="shared" si="221"/>
        <v>4112.4679469232633</v>
      </c>
      <c r="CS194" s="5">
        <f t="shared" si="221"/>
        <v>1807.3731185937274</v>
      </c>
      <c r="CT194" s="52">
        <f t="shared" si="228"/>
        <v>-2305.0948283295356</v>
      </c>
      <c r="CU194" s="77">
        <f t="shared" si="229"/>
        <v>4934.9615363079156</v>
      </c>
      <c r="CV194" s="65">
        <f t="shared" si="230"/>
        <v>2168.8477423124727</v>
      </c>
      <c r="CW194" s="35">
        <f t="shared" si="231"/>
        <v>-2766.1137939954428</v>
      </c>
      <c r="CX194" s="566">
        <f>VLOOKUP($A194,'01-02.2021'!$A$6:$CZ$403,102,FALSE)+VLOOKUP($A194,'1.3.21-28.2.22'!$A$6:$DA$404,102,FALSE)-VLOOKUP($A194,'01-02.2022'!$A$6:$DA$376,102,FALSE)</f>
        <v>171.12193852860491</v>
      </c>
      <c r="CY194" s="566">
        <f>VLOOKUP($A194,'01-02.2021'!$A$6:$CZ$403,103,FALSE)+VLOOKUP($A194,'1.3.21-28.2.22'!$A$6:$DA$404,103,FALSE)-VLOOKUP($A194,'01-02.2022'!$A$6:$DA$376,103,FALSE)</f>
        <v>2937.2357325240491</v>
      </c>
      <c r="CZ194" s="52">
        <f t="shared" si="232"/>
        <v>2766.1137939954442</v>
      </c>
      <c r="DA194" s="150">
        <f>'[2]побудинковий звіт'!DA194</f>
        <v>-10807.506478918163</v>
      </c>
      <c r="DB194" s="2">
        <v>3</v>
      </c>
      <c r="DC194" s="414">
        <f>'[4]побудинковий звіт'!DC194</f>
        <v>1083.56</v>
      </c>
      <c r="DD194" s="414">
        <f>'[4]побудинковий звіт'!DD194</f>
        <v>-64.22</v>
      </c>
      <c r="DE194" s="557">
        <f>'[4]побудинковий звіт'!DE194</f>
        <v>687.56842223933086</v>
      </c>
      <c r="DF194" s="557">
        <f>'[4]побудинковий звіт'!DF194</f>
        <v>-137.35678439417313</v>
      </c>
      <c r="DG194" s="321">
        <f>VLOOKUP(A194,'кошти 01.03.2021'!$A$6:$D$401,4,)</f>
        <v>-7698.6111689848703</v>
      </c>
      <c r="DH194" s="40">
        <f>'[3]побудинковий звіт'!DJ194</f>
        <v>5312.8229413541931</v>
      </c>
      <c r="DI194" s="422">
        <f>'[3]побудинковий звіт'!CU194+'[3]побудинковий звіт'!CX194</f>
        <v>469.12836215484214</v>
      </c>
      <c r="DJ194" s="306">
        <f>'[3]побудинковий звіт'!DM194</f>
        <v>1.4228946380189329</v>
      </c>
      <c r="DK194" s="306">
        <f t="shared" si="233"/>
        <v>1.4228946380189329</v>
      </c>
      <c r="DL194" s="306">
        <f>'[3]побудинковий звіт'!DO194</f>
        <v>1.4228946380189329</v>
      </c>
      <c r="DM194" s="28">
        <f t="shared" si="234"/>
        <v>395.99157776066903</v>
      </c>
      <c r="DN194" s="28">
        <f t="shared" si="235"/>
        <v>73.136784394173148</v>
      </c>
      <c r="DO194" s="423">
        <f t="shared" si="171"/>
        <v>469.12836215484219</v>
      </c>
      <c r="DP194" s="94">
        <f t="shared" si="172"/>
        <v>0</v>
      </c>
      <c r="DQ194" s="28">
        <f t="shared" si="173"/>
        <v>469.12836215484219</v>
      </c>
      <c r="DR194" s="318"/>
      <c r="DT194" s="8"/>
      <c r="DU194" s="5"/>
      <c r="DX194" s="5">
        <f t="shared" si="174"/>
        <v>3863.7225609520397</v>
      </c>
      <c r="DY194" s="5">
        <f t="shared" si="175"/>
        <v>0</v>
      </c>
      <c r="DZ194" s="159">
        <f>'[3]побудинковий звіт'!EA194</f>
        <v>419.80550126458786</v>
      </c>
    </row>
    <row r="195" spans="1:130" x14ac:dyDescent="0.3">
      <c r="A195" s="325">
        <v>150000508</v>
      </c>
      <c r="B195" s="41" t="s">
        <v>643</v>
      </c>
      <c r="C195" s="42" t="s">
        <v>115</v>
      </c>
      <c r="D195" s="42"/>
      <c r="E195" s="293">
        <f t="shared" si="218"/>
        <v>151.80000000000001</v>
      </c>
      <c r="F195" s="305">
        <f>'[3]побудинковий звіт'!F195</f>
        <v>151.80000000000001</v>
      </c>
      <c r="G195" s="508">
        <f>'[3]побудинковий звіт'!G195</f>
        <v>0</v>
      </c>
      <c r="H195" s="560">
        <f>'[3]побудинковий звіт'!H195</f>
        <v>0</v>
      </c>
      <c r="I195" s="566">
        <f>VLOOKUP($A195,'01-02.2021'!$A$6:$CZ$403,9,FALSE)+VLOOKUP($A195,'1.3.21-28.2.22'!$A$6:$DA$404,9,FALSE)-VLOOKUP($A195,'01-02.2022'!$A$6:$DA$376,9,FALSE)</f>
        <v>0</v>
      </c>
      <c r="J195" s="566">
        <f>VLOOKUP($A195,'01-02.2021'!$A$6:$CZ$403,10,FALSE)+VLOOKUP($A195,'1.3.21-28.2.22'!$A$6:$DA$404,10,FALSE)-VLOOKUP($A195,'01-02.2022'!$A$6:$DA$376,10,FALSE)</f>
        <v>0</v>
      </c>
      <c r="K195" s="52">
        <f t="shared" si="222"/>
        <v>0</v>
      </c>
      <c r="L195" s="566">
        <f>VLOOKUP($A195,'01-02.2021'!$A$6:$CZ$403,12,FALSE)+VLOOKUP($A195,'1.3.21-28.2.22'!$A$6:$DA$404,12,FALSE)-VLOOKUP($A195,'01-02.2022'!$A$6:$DA$376,12,FALSE)</f>
        <v>0</v>
      </c>
      <c r="M195" s="566">
        <f>VLOOKUP($A195,'01-02.2021'!$A$6:$CZ$403,13,FALSE)+VLOOKUP($A195,'1.3.21-28.2.22'!$A$6:$DA$404,13,FALSE)-VLOOKUP($A195,'01-02.2022'!$A$6:$DA$376,13,FALSE)</f>
        <v>0</v>
      </c>
      <c r="N195" s="52">
        <f t="shared" si="223"/>
        <v>0</v>
      </c>
      <c r="O195" s="566">
        <f>VLOOKUP($A195,'01-02.2021'!$A$6:$CZ$403,15,FALSE)+VLOOKUP($A195,'1.3.21-28.2.22'!$A$6:$DA$404,15,FALSE)-VLOOKUP($A195,'01-02.2022'!$A$6:$DA$376,15,FALSE)</f>
        <v>0</v>
      </c>
      <c r="P195" s="566">
        <f>VLOOKUP($A195,'01-02.2021'!$A$6:$CZ$403,16,FALSE)+VLOOKUP($A195,'1.3.21-28.2.22'!$A$6:$DA$404,16,FALSE)-VLOOKUP($A195,'01-02.2022'!$A$6:$DA$376,16,FALSE)</f>
        <v>0</v>
      </c>
      <c r="Q195" s="70">
        <f t="shared" si="176"/>
        <v>0</v>
      </c>
      <c r="R195" s="566">
        <f>VLOOKUP($A195,'01-02.2021'!$A$6:$CZ$403,18,FALSE)+VLOOKUP($A195,'1.3.21-28.2.22'!$A$6:$DA$404,18,FALSE)-VLOOKUP($A195,'01-02.2022'!$A$6:$DA$376,18,FALSE)</f>
        <v>0</v>
      </c>
      <c r="S195" s="566">
        <f>VLOOKUP($A195,'01-02.2021'!$A$6:$CZ$403,19,FALSE)+VLOOKUP($A195,'1.3.21-28.2.22'!$A$6:$DA$404,19,FALSE)-VLOOKUP($A195,'01-02.2022'!$A$6:$DA$376,19,FALSE)</f>
        <v>0</v>
      </c>
      <c r="T195" s="70">
        <f t="shared" si="177"/>
        <v>0</v>
      </c>
      <c r="U195" s="566">
        <f>VLOOKUP($A195,'01-02.2021'!$A$6:$CZ$403,21,FALSE)+VLOOKUP($A195,'1.3.21-28.2.22'!$A$6:$DA$404,21,FALSE)-VLOOKUP($A195,'01-02.2022'!$A$6:$DA$376,21,FALSE)</f>
        <v>0</v>
      </c>
      <c r="V195" s="566">
        <f>VLOOKUP($A195,'01-02.2021'!$A$6:$CZ$403,22,FALSE)+VLOOKUP($A195,'1.3.21-28.2.22'!$A$6:$DA$404,22,FALSE)-VLOOKUP($A195,'01-02.2022'!$A$6:$DA$376,22,FALSE)</f>
        <v>0</v>
      </c>
      <c r="W195" s="70">
        <f t="shared" si="178"/>
        <v>0</v>
      </c>
      <c r="X195" s="566">
        <f>VLOOKUP($A195,'01-02.2021'!$A$6:$CZ$403,24,FALSE)+VLOOKUP($A195,'1.3.21-28.2.22'!$A$6:$DA$404,24,FALSE)-VLOOKUP($A195,'01-02.2022'!$A$6:$DA$376,24,FALSE)</f>
        <v>0</v>
      </c>
      <c r="Y195" s="566">
        <f>VLOOKUP($A195,'01-02.2021'!$A$6:$CZ$403,25,FALSE)+VLOOKUP($A195,'1.3.21-28.2.22'!$A$6:$DA$404,25,FALSE)-VLOOKUP($A195,'01-02.2022'!$A$6:$DA$376,25,FALSE)</f>
        <v>0</v>
      </c>
      <c r="Z195" s="70">
        <f t="shared" si="179"/>
        <v>0</v>
      </c>
      <c r="AA195" s="566">
        <f>VLOOKUP($A195,'01-02.2021'!$A$6:$CZ$403,27,FALSE)+VLOOKUP($A195,'1.3.21-28.2.22'!$A$6:$DA$404,27,FALSE)-VLOOKUP($A195,'01-02.2022'!$A$6:$DA$376,27,FALSE)</f>
        <v>30.360000000000003</v>
      </c>
      <c r="AB195" s="566">
        <f>VLOOKUP($A195,'01-02.2021'!$A$6:$CZ$403,28,FALSE)+VLOOKUP($A195,'1.3.21-28.2.22'!$A$6:$DA$404,28,FALSE)-VLOOKUP($A195,'01-02.2022'!$A$6:$DA$376,28,FALSE)</f>
        <v>0</v>
      </c>
      <c r="AC195" s="70">
        <f t="shared" si="180"/>
        <v>-30.360000000000003</v>
      </c>
      <c r="AD195" s="566">
        <f>VLOOKUP($A195,'01-02.2021'!$A$6:$CZ$403,30,FALSE)+VLOOKUP($A195,'1.3.21-28.2.22'!$A$6:$DA$404,30,FALSE)-VLOOKUP($A195,'01-02.2022'!$A$6:$DA$376,30,FALSE)</f>
        <v>227.9921425158571</v>
      </c>
      <c r="AE195" s="566">
        <f>VLOOKUP($A195,'01-02.2021'!$A$6:$CZ$403,31,FALSE)+VLOOKUP($A195,'1.3.21-28.2.22'!$A$6:$DA$404,31,FALSE)-VLOOKUP($A195,'01-02.2022'!$A$6:$DA$376,31,FALSE)</f>
        <v>690.99971636360408</v>
      </c>
      <c r="AF195" s="68">
        <f t="shared" si="181"/>
        <v>463.00757384774698</v>
      </c>
      <c r="AG195" s="77">
        <f t="shared" si="219"/>
        <v>258.35214251585711</v>
      </c>
      <c r="AH195" s="53">
        <f t="shared" si="219"/>
        <v>690.99971636360408</v>
      </c>
      <c r="AI195" s="52">
        <f t="shared" si="224"/>
        <v>432.64757384774697</v>
      </c>
      <c r="AJ195" s="566">
        <f>VLOOKUP($A195,'01-02.2021'!$A$6:$CZ$403,36,FALSE)+VLOOKUP($A195,'1.3.21-28.2.22'!$A$6:$DA$404,36,FALSE)-VLOOKUP($A195,'01-02.2022'!$A$6:$DA$376,36,FALSE)</f>
        <v>0</v>
      </c>
      <c r="AK195" s="566">
        <f>VLOOKUP($A195,'01-02.2021'!$A$6:$CZ$403,37,FALSE)+VLOOKUP($A195,'1.3.21-28.2.22'!$A$6:$DA$404,37,FALSE)-VLOOKUP($A195,'01-02.2022'!$A$6:$DA$376,37,FALSE)</f>
        <v>0</v>
      </c>
      <c r="AL195" s="70">
        <f t="shared" si="182"/>
        <v>0</v>
      </c>
      <c r="AM195" s="566">
        <f>VLOOKUP($A195,'01-02.2021'!$A$6:$CZ$403,39,FALSE)+VLOOKUP($A195,'1.3.21-28.2.22'!$A$6:$DA$404,39,FALSE)-VLOOKUP($A195,'01-02.2022'!$A$6:$DA$376,39,FALSE)</f>
        <v>0</v>
      </c>
      <c r="AN195" s="566">
        <f>VLOOKUP($A195,'01-02.2021'!$A$6:$CZ$403,40,FALSE)+VLOOKUP($A195,'1.3.21-28.2.22'!$A$6:$DA$404,40,FALSE)-VLOOKUP($A195,'01-02.2022'!$A$6:$DA$376,40,FALSE)</f>
        <v>0</v>
      </c>
      <c r="AO195" s="70">
        <f t="shared" si="183"/>
        <v>0</v>
      </c>
      <c r="AP195" s="566">
        <f>VLOOKUP($A195,'01-02.2021'!$A$6:$CZ$403,42,FALSE)+VLOOKUP($A195,'1.3.21-28.2.22'!$A$6:$DA$404,42,FALSE)-VLOOKUP($A195,'01-02.2022'!$A$6:$DA$376,42,FALSE)</f>
        <v>173.51997500425909</v>
      </c>
      <c r="AQ195" s="566">
        <f>VLOOKUP($A195,'01-02.2021'!$A$6:$CZ$403,43,FALSE)+VLOOKUP($A195,'1.3.21-28.2.22'!$A$6:$DA$404,43,FALSE)-VLOOKUP($A195,'01-02.2022'!$A$6:$DA$376,43,FALSE)</f>
        <v>149.58816640996957</v>
      </c>
      <c r="AR195" s="70">
        <f t="shared" si="184"/>
        <v>-23.931808594289521</v>
      </c>
      <c r="AS195" s="566">
        <f>VLOOKUP($A195,'01-02.2021'!$A$6:$CZ$403,45,FALSE)+VLOOKUP($A195,'1.3.21-28.2.22'!$A$6:$DA$404,45,FALSE)-VLOOKUP($A195,'01-02.2022'!$A$6:$DA$376,45,FALSE)</f>
        <v>1331.2721331884586</v>
      </c>
      <c r="AT195" s="566">
        <f>VLOOKUP($A195,'01-02.2021'!$A$6:$CZ$403,46,FALSE)+VLOOKUP($A195,'1.3.21-28.2.22'!$A$6:$DA$404,46,FALSE)-VLOOKUP($A195,'01-02.2022'!$A$6:$DA$376,46,FALSE)</f>
        <v>0</v>
      </c>
      <c r="AU195" s="78">
        <f t="shared" si="185"/>
        <v>-1331.2721331884586</v>
      </c>
      <c r="AV195" s="566">
        <f>VLOOKUP($A195,'01-02.2021'!$A$6:$CZ$403,48,FALSE)+VLOOKUP($A195,'1.3.21-28.2.22'!$A$6:$DA$404,48,FALSE)-VLOOKUP($A195,'01-02.2022'!$A$6:$DA$376,48,FALSE)</f>
        <v>0</v>
      </c>
      <c r="AW195" s="566">
        <f>VLOOKUP($A195,'01-02.2021'!$A$6:$CZ$403,49,FALSE)+VLOOKUP($A195,'1.3.21-28.2.22'!$A$6:$DA$404,49,FALSE)-VLOOKUP($A195,'01-02.2022'!$A$6:$DA$376,49,FALSE)</f>
        <v>0</v>
      </c>
      <c r="AX195" s="55">
        <f t="shared" si="186"/>
        <v>0</v>
      </c>
      <c r="AY195" s="566">
        <f>VLOOKUP($A195,'01-02.2021'!$A$6:$CZ$403,51,FALSE)+VLOOKUP($A195,'1.3.21-28.2.22'!$A$6:$DA$404,51,FALSE)-VLOOKUP($A195,'01-02.2022'!$A$6:$DA$376,51,FALSE)</f>
        <v>0</v>
      </c>
      <c r="AZ195" s="566">
        <f>VLOOKUP($A195,'01-02.2021'!$A$6:$CZ$403,52,FALSE)+VLOOKUP($A195,'1.3.21-28.2.22'!$A$6:$DA$404,52,FALSE)-VLOOKUP($A195,'01-02.2022'!$A$6:$DA$376,52,FALSE)</f>
        <v>0</v>
      </c>
      <c r="BA195" s="38">
        <f t="shared" si="187"/>
        <v>0</v>
      </c>
      <c r="BB195" s="566">
        <f>VLOOKUP($A195,'01-02.2021'!$A$6:$CZ$403,54,FALSE)+VLOOKUP($A195,'1.3.21-28.2.22'!$A$6:$DA$404,54,FALSE)-VLOOKUP($A195,'01-02.2022'!$A$6:$DA$376,54,FALSE)</f>
        <v>0</v>
      </c>
      <c r="BC195" s="566">
        <f>VLOOKUP($A195,'01-02.2021'!$A$6:$CZ$403,55,FALSE)+VLOOKUP($A195,'1.3.21-28.2.22'!$A$6:$DA$404,55,FALSE)-VLOOKUP($A195,'01-02.2022'!$A$6:$DA$376,55,FALSE)</f>
        <v>0</v>
      </c>
      <c r="BD195" s="55">
        <f t="shared" si="188"/>
        <v>0</v>
      </c>
      <c r="BE195" s="566">
        <f>VLOOKUP($A195,'01-02.2021'!$A$6:$CZ$403,57,FALSE)+VLOOKUP($A195,'1.3.21-28.2.22'!$A$6:$DA$404,57,FALSE)-VLOOKUP($A195,'01-02.2022'!$A$6:$DA$376,57,FALSE)</f>
        <v>0</v>
      </c>
      <c r="BF195" s="566">
        <f>VLOOKUP($A195,'01-02.2021'!$A$6:$CZ$403,58,FALSE)+VLOOKUP($A195,'1.3.21-28.2.22'!$A$6:$DA$404,58,FALSE)-VLOOKUP($A195,'01-02.2022'!$A$6:$DA$376,58,FALSE)</f>
        <v>0</v>
      </c>
      <c r="BG195" s="55">
        <f t="shared" si="189"/>
        <v>0</v>
      </c>
      <c r="BH195" s="566">
        <f>VLOOKUP($A195,'01-02.2021'!$A$6:$CZ$403,60,FALSE)+VLOOKUP($A195,'1.3.21-28.2.22'!$A$6:$DA$404,60,FALSE)-VLOOKUP($A195,'01-02.2022'!$A$6:$DA$376,60,FALSE)</f>
        <v>0</v>
      </c>
      <c r="BI195" s="566">
        <f>VLOOKUP($A195,'01-02.2021'!$A$6:$CZ$403,61,FALSE)+VLOOKUP($A195,'1.3.21-28.2.22'!$A$6:$DA$404,61,FALSE)-VLOOKUP($A195,'01-02.2022'!$A$6:$DA$376,61,FALSE)</f>
        <v>0</v>
      </c>
      <c r="BJ195" s="55">
        <f t="shared" si="190"/>
        <v>0</v>
      </c>
      <c r="BK195" s="566">
        <f>VLOOKUP($A195,'01-02.2021'!$A$6:$CZ$403,63,FALSE)+VLOOKUP($A195,'1.3.21-28.2.22'!$A$6:$DA$404,63,FALSE)-VLOOKUP($A195,'01-02.2022'!$A$6:$DA$376,63,FALSE)</f>
        <v>0</v>
      </c>
      <c r="BL195" s="566">
        <f>VLOOKUP($A195,'01-02.2021'!$A$6:$CZ$403,64,FALSE)+VLOOKUP($A195,'1.3.21-28.2.22'!$A$6:$DA$404,64,FALSE)-VLOOKUP($A195,'01-02.2022'!$A$6:$DA$376,64,FALSE)</f>
        <v>0</v>
      </c>
      <c r="BM195" s="55">
        <f t="shared" si="191"/>
        <v>0</v>
      </c>
      <c r="BN195" s="566">
        <f>VLOOKUP($A195,'01-02.2021'!$A$6:$CZ$403,66,FALSE)+VLOOKUP($A195,'1.3.21-28.2.22'!$A$6:$DA$404,66,FALSE)-VLOOKUP($A195,'01-02.2022'!$A$6:$DA$376,66,FALSE)</f>
        <v>7.5900000000000007</v>
      </c>
      <c r="BO195" s="566">
        <f>VLOOKUP($A195,'01-02.2021'!$A$6:$CZ$403,67,FALSE)+VLOOKUP($A195,'1.3.21-28.2.22'!$A$6:$DA$404,67,FALSE)-VLOOKUP($A195,'01-02.2022'!$A$6:$DA$376,67,FALSE)</f>
        <v>0</v>
      </c>
      <c r="BP195" s="55">
        <f t="shared" si="192"/>
        <v>-7.5900000000000007</v>
      </c>
      <c r="BQ195" s="77">
        <f t="shared" si="209"/>
        <v>7.5900000000000007</v>
      </c>
      <c r="BR195" s="40">
        <f t="shared" si="210"/>
        <v>0</v>
      </c>
      <c r="BS195" s="55">
        <f t="shared" si="236"/>
        <v>-7.5900000000000007</v>
      </c>
      <c r="BT195" s="566">
        <f>VLOOKUP($A195,'01-02.2021'!$A$6:$CZ$403,72,FALSE)+VLOOKUP($A195,'1.3.21-28.2.22'!$A$6:$DA$404,72,FALSE)-VLOOKUP($A195,'01-02.2022'!$A$6:$DA$376,72,FALSE)</f>
        <v>0</v>
      </c>
      <c r="BU195" s="566">
        <f>VLOOKUP($A195,'01-02.2021'!$A$6:$CZ$403,73,FALSE)+VLOOKUP($A195,'1.3.21-28.2.22'!$A$6:$DA$404,73,FALSE)-VLOOKUP($A195,'01-02.2022'!$A$6:$DA$376,73,FALSE)</f>
        <v>0</v>
      </c>
      <c r="BV195" s="70">
        <f t="shared" si="193"/>
        <v>0</v>
      </c>
      <c r="BW195" s="566">
        <f>VLOOKUP($A195,'01-02.2021'!$A$6:$CZ$403,75,FALSE)+VLOOKUP($A195,'1.3.21-28.2.22'!$A$6:$DA$404,75,FALSE)-VLOOKUP($A195,'01-02.2022'!$A$6:$DA$376,75,FALSE)</f>
        <v>0</v>
      </c>
      <c r="BX195" s="566">
        <f>VLOOKUP($A195,'01-02.2021'!$A$6:$CZ$403,76,FALSE)+VLOOKUP($A195,'1.3.21-28.2.22'!$A$6:$DA$404,76,FALSE)-VLOOKUP($A195,'01-02.2022'!$A$6:$DA$376,76,FALSE)</f>
        <v>3.4020794521711082</v>
      </c>
      <c r="BY195" s="70">
        <f t="shared" si="194"/>
        <v>3.4020794521711082</v>
      </c>
      <c r="BZ195" s="566">
        <f>VLOOKUP($A195,'01-02.2021'!$A$6:$CZ$403,78,FALSE)+VLOOKUP($A195,'1.3.21-28.2.22'!$A$6:$DA$404,78,FALSE)-VLOOKUP($A195,'01-02.2022'!$A$6:$DA$376,78,FALSE)</f>
        <v>0</v>
      </c>
      <c r="CA195" s="566">
        <f>VLOOKUP($A195,'01-02.2021'!$A$6:$CZ$403,79,FALSE)+VLOOKUP($A195,'1.3.21-28.2.22'!$A$6:$DA$404,79,FALSE)-VLOOKUP($A195,'01-02.2022'!$A$6:$DA$376,79,FALSE)</f>
        <v>0</v>
      </c>
      <c r="CB195" s="70">
        <f t="shared" si="195"/>
        <v>0</v>
      </c>
      <c r="CC195" s="566">
        <f>VLOOKUP($A195,'01-02.2021'!$A$6:$CZ$403,81,FALSE)+VLOOKUP($A195,'1.3.21-28.2.22'!$A$6:$DA$404,81,FALSE)-VLOOKUP($A195,'01-02.2022'!$A$6:$DA$376,81,FALSE)</f>
        <v>0</v>
      </c>
      <c r="CD195" s="566">
        <f>VLOOKUP($A195,'01-02.2021'!$A$6:$CZ$403,82,FALSE)+VLOOKUP($A195,'1.3.21-28.2.22'!$A$6:$DA$404,82,FALSE)-VLOOKUP($A195,'01-02.2022'!$A$6:$DA$376,82,FALSE)</f>
        <v>0</v>
      </c>
      <c r="CE195" s="70">
        <f t="shared" si="196"/>
        <v>0</v>
      </c>
      <c r="CF195" s="566">
        <f>VLOOKUP($A195,'01-02.2021'!$A$6:$CZ$403,84,FALSE)+VLOOKUP($A195,'1.3.21-28.2.22'!$A$6:$DA$404,84,FALSE)-VLOOKUP($A195,'01-02.2022'!$A$6:$DA$376,84,FALSE)</f>
        <v>0</v>
      </c>
      <c r="CG195" s="566">
        <f>VLOOKUP($A195,'01-02.2021'!$A$6:$CZ$403,85,FALSE)+VLOOKUP($A195,'1.3.21-28.2.22'!$A$6:$DA$404,85,FALSE)-VLOOKUP($A195,'01-02.2022'!$A$6:$DA$376,85,FALSE)</f>
        <v>0</v>
      </c>
      <c r="CH195" s="70">
        <f t="shared" si="197"/>
        <v>0</v>
      </c>
      <c r="CI195" s="566">
        <f>VLOOKUP($A195,'01-02.2021'!$A$6:$CZ$403,87,FALSE)+VLOOKUP($A195,'1.3.21-28.2.22'!$A$6:$DA$404,87,FALSE)-VLOOKUP($A195,'01-02.2022'!$A$6:$DA$376,87,FALSE)</f>
        <v>0</v>
      </c>
      <c r="CJ195" s="566">
        <f>VLOOKUP($A195,'01-02.2021'!$A$6:$CZ$403,88,FALSE)+VLOOKUP($A195,'1.3.21-28.2.22'!$A$6:$DA$404,88,FALSE)-VLOOKUP($A195,'01-02.2022'!$A$6:$DA$376,88,FALSE)</f>
        <v>0</v>
      </c>
      <c r="CK195" s="70">
        <f t="shared" si="198"/>
        <v>0</v>
      </c>
      <c r="CL195" s="566">
        <f>VLOOKUP($A195,'01-02.2021'!$A$6:$CZ$403,90,FALSE)+VLOOKUP($A195,'1.3.21-28.2.22'!$A$6:$DA$404,90,FALSE)-VLOOKUP($A195,'01-02.2022'!$A$6:$DA$376,90,FALSE)</f>
        <v>0</v>
      </c>
      <c r="CM195" s="566">
        <f>VLOOKUP($A195,'01-02.2021'!$A$6:$CZ$403,91,FALSE)+VLOOKUP($A195,'1.3.21-28.2.22'!$A$6:$DA$404,91,FALSE)-VLOOKUP($A195,'01-02.2022'!$A$6:$DA$376,91,FALSE)</f>
        <v>0</v>
      </c>
      <c r="CN195" s="52">
        <f t="shared" si="225"/>
        <v>0</v>
      </c>
      <c r="CO195" s="39">
        <f t="shared" si="220"/>
        <v>0</v>
      </c>
      <c r="CP195" s="40">
        <f t="shared" si="226"/>
        <v>0</v>
      </c>
      <c r="CQ195" s="52">
        <f t="shared" si="227"/>
        <v>0</v>
      </c>
      <c r="CR195" s="72">
        <f t="shared" si="221"/>
        <v>1770.7342507085748</v>
      </c>
      <c r="CS195" s="5">
        <f t="shared" si="221"/>
        <v>843.98996222574488</v>
      </c>
      <c r="CT195" s="52">
        <f t="shared" si="228"/>
        <v>-926.74428848282992</v>
      </c>
      <c r="CU195" s="77">
        <f t="shared" si="229"/>
        <v>2124.8811008502898</v>
      </c>
      <c r="CV195" s="65">
        <f t="shared" si="230"/>
        <v>1012.7879546708938</v>
      </c>
      <c r="CW195" s="35">
        <f t="shared" si="231"/>
        <v>-1112.0931461793962</v>
      </c>
      <c r="CX195" s="566">
        <f>VLOOKUP($A195,'01-02.2021'!$A$6:$CZ$403,102,FALSE)+VLOOKUP($A195,'1.3.21-28.2.22'!$A$6:$DA$404,102,FALSE)-VLOOKUP($A195,'01-02.2022'!$A$6:$DA$376,102,FALSE)</f>
        <v>74.113460238591614</v>
      </c>
      <c r="CY195" s="566">
        <f>VLOOKUP($A195,'01-02.2021'!$A$6:$CZ$403,103,FALSE)+VLOOKUP($A195,'1.3.21-28.2.22'!$A$6:$DA$404,103,FALSE)-VLOOKUP($A195,'01-02.2022'!$A$6:$DA$376,103,FALSE)</f>
        <v>1186.2066064179876</v>
      </c>
      <c r="CZ195" s="52">
        <f t="shared" si="232"/>
        <v>1112.0931461793959</v>
      </c>
      <c r="DA195" s="150">
        <f>'[2]побудинковий звіт'!DA195</f>
        <v>-4312.2325125117186</v>
      </c>
      <c r="DB195" s="2">
        <v>3</v>
      </c>
      <c r="DC195" s="414">
        <f>'[4]побудинковий звіт'!DC195</f>
        <v>199.71</v>
      </c>
      <c r="DD195" s="414">
        <f>'[4]побудинковий звіт'!DD195</f>
        <v>0</v>
      </c>
      <c r="DE195" s="557">
        <f>'[4]побудинковий звіт'!DE195</f>
        <v>9.0709272308231448E-3</v>
      </c>
      <c r="DF195" s="557">
        <f>'[4]побудинковий звіт'!DF195</f>
        <v>0</v>
      </c>
      <c r="DG195" s="321">
        <f>VLOOKUP(A195,'кошти 01.03.2021'!$A$6:$D$401,4,)</f>
        <v>-3059.7155190436883</v>
      </c>
      <c r="DH195" s="40">
        <f>'[3]побудинковий звіт'!DJ195</f>
        <v>2276.7991288902031</v>
      </c>
      <c r="DI195" s="422">
        <f>'[3]побудинковий звіт'!CU195+'[3]побудинковий звіт'!CX195</f>
        <v>199.70092907276918</v>
      </c>
      <c r="DJ195" s="306">
        <f>'[3]побудинковий звіт'!DM195</f>
        <v>1.3155528924424846</v>
      </c>
      <c r="DK195" s="306">
        <f t="shared" si="233"/>
        <v>1.3155528924424846</v>
      </c>
      <c r="DL195" s="306">
        <f>'[3]побудинковий звіт'!DO195</f>
        <v>1.3155528924424846</v>
      </c>
      <c r="DM195" s="28">
        <f t="shared" si="234"/>
        <v>199.70092907276918</v>
      </c>
      <c r="DN195" s="28">
        <f t="shared" si="235"/>
        <v>0</v>
      </c>
      <c r="DO195" s="423">
        <f t="shared" si="171"/>
        <v>199.70092907276918</v>
      </c>
      <c r="DP195" s="94">
        <f t="shared" si="172"/>
        <v>0</v>
      </c>
      <c r="DQ195" s="28">
        <f t="shared" si="173"/>
        <v>199.70092907276918</v>
      </c>
      <c r="DR195" s="318"/>
      <c r="DT195" s="8"/>
      <c r="DU195" s="5"/>
      <c r="DX195" s="5">
        <f t="shared" si="174"/>
        <v>1606.6345598261503</v>
      </c>
      <c r="DY195" s="5">
        <f t="shared" si="175"/>
        <v>0</v>
      </c>
      <c r="DZ195" s="159">
        <f>'[3]побудинковий звіт'!EA195</f>
        <v>175.88982184726771</v>
      </c>
    </row>
    <row r="196" spans="1:130" x14ac:dyDescent="0.3">
      <c r="A196" s="325">
        <v>150000501</v>
      </c>
      <c r="B196" s="41" t="s">
        <v>644</v>
      </c>
      <c r="C196" s="42" t="s">
        <v>264</v>
      </c>
      <c r="D196" s="42"/>
      <c r="E196" s="293">
        <f t="shared" si="218"/>
        <v>4529.63</v>
      </c>
      <c r="F196" s="305">
        <f>'[3]побудинковий звіт'!F196</f>
        <v>4489.03</v>
      </c>
      <c r="G196" s="508">
        <f>'[3]побудинковий звіт'!G196</f>
        <v>0</v>
      </c>
      <c r="H196" s="560">
        <f>'[3]побудинковий звіт'!H196</f>
        <v>40.6</v>
      </c>
      <c r="I196" s="566">
        <f>VLOOKUP($A196,'01-02.2021'!$A$6:$CZ$403,9,FALSE)+VLOOKUP($A196,'1.3.21-28.2.22'!$A$6:$DA$404,9,FALSE)-VLOOKUP($A196,'01-02.2022'!$A$6:$DA$376,9,FALSE)</f>
        <v>15718.82626325986</v>
      </c>
      <c r="J196" s="566">
        <f>VLOOKUP($A196,'01-02.2021'!$A$6:$CZ$403,10,FALSE)+VLOOKUP($A196,'1.3.21-28.2.22'!$A$6:$DA$404,10,FALSE)-VLOOKUP($A196,'01-02.2022'!$A$6:$DA$376,10,FALSE)</f>
        <v>17262.304408140939</v>
      </c>
      <c r="K196" s="52">
        <f t="shared" si="222"/>
        <v>1543.4781448810791</v>
      </c>
      <c r="L196" s="566">
        <f>VLOOKUP($A196,'01-02.2021'!$A$6:$CZ$403,12,FALSE)+VLOOKUP($A196,'1.3.21-28.2.22'!$A$6:$DA$404,12,FALSE)-VLOOKUP($A196,'01-02.2022'!$A$6:$DA$376,12,FALSE)</f>
        <v>3354.4368182095541</v>
      </c>
      <c r="M196" s="566">
        <f>VLOOKUP($A196,'01-02.2021'!$A$6:$CZ$403,13,FALSE)+VLOOKUP($A196,'1.3.21-28.2.22'!$A$6:$DA$404,13,FALSE)-VLOOKUP($A196,'01-02.2022'!$A$6:$DA$376,13,FALSE)</f>
        <v>3693.3551316027779</v>
      </c>
      <c r="N196" s="52">
        <f t="shared" si="223"/>
        <v>338.9183133932238</v>
      </c>
      <c r="O196" s="566">
        <f>VLOOKUP($A196,'01-02.2021'!$A$6:$CZ$403,15,FALSE)+VLOOKUP($A196,'1.3.21-28.2.22'!$A$6:$DA$404,15,FALSE)-VLOOKUP($A196,'01-02.2022'!$A$6:$DA$376,15,FALSE)</f>
        <v>5478.1001460780681</v>
      </c>
      <c r="P196" s="566">
        <f>VLOOKUP($A196,'01-02.2021'!$A$6:$CZ$403,16,FALSE)+VLOOKUP($A196,'1.3.21-28.2.22'!$A$6:$DA$404,16,FALSE)-VLOOKUP($A196,'01-02.2022'!$A$6:$DA$376,16,FALSE)</f>
        <v>5480.0083333333323</v>
      </c>
      <c r="Q196" s="70">
        <f t="shared" si="176"/>
        <v>1.908187255264238</v>
      </c>
      <c r="R196" s="566">
        <f>VLOOKUP($A196,'01-02.2021'!$A$6:$CZ$403,18,FALSE)+VLOOKUP($A196,'1.3.21-28.2.22'!$A$6:$DA$404,18,FALSE)-VLOOKUP($A196,'01-02.2022'!$A$6:$DA$376,18,FALSE)</f>
        <v>0</v>
      </c>
      <c r="S196" s="566">
        <f>VLOOKUP($A196,'01-02.2021'!$A$6:$CZ$403,19,FALSE)+VLOOKUP($A196,'1.3.21-28.2.22'!$A$6:$DA$404,19,FALSE)-VLOOKUP($A196,'01-02.2022'!$A$6:$DA$376,19,FALSE)</f>
        <v>0</v>
      </c>
      <c r="T196" s="70">
        <f t="shared" si="177"/>
        <v>0</v>
      </c>
      <c r="U196" s="566">
        <f>VLOOKUP($A196,'01-02.2021'!$A$6:$CZ$403,21,FALSE)+VLOOKUP($A196,'1.3.21-28.2.22'!$A$6:$DA$404,21,FALSE)-VLOOKUP($A196,'01-02.2022'!$A$6:$DA$376,21,FALSE)</f>
        <v>0</v>
      </c>
      <c r="V196" s="566">
        <f>VLOOKUP($A196,'01-02.2021'!$A$6:$CZ$403,22,FALSE)+VLOOKUP($A196,'1.3.21-28.2.22'!$A$6:$DA$404,22,FALSE)-VLOOKUP($A196,'01-02.2022'!$A$6:$DA$376,22,FALSE)</f>
        <v>0</v>
      </c>
      <c r="W196" s="70">
        <f t="shared" si="178"/>
        <v>0</v>
      </c>
      <c r="X196" s="566">
        <f>VLOOKUP($A196,'01-02.2021'!$A$6:$CZ$403,24,FALSE)+VLOOKUP($A196,'1.3.21-28.2.22'!$A$6:$DA$404,24,FALSE)-VLOOKUP($A196,'01-02.2022'!$A$6:$DA$376,24,FALSE)</f>
        <v>11289.579664240286</v>
      </c>
      <c r="Y196" s="566">
        <f>VLOOKUP($A196,'01-02.2021'!$A$6:$CZ$403,25,FALSE)+VLOOKUP($A196,'1.3.21-28.2.22'!$A$6:$DA$404,25,FALSE)-VLOOKUP($A196,'01-02.2022'!$A$6:$DA$376,25,FALSE)</f>
        <v>9232.4154215662111</v>
      </c>
      <c r="Z196" s="70">
        <f t="shared" si="179"/>
        <v>-2057.1642426740746</v>
      </c>
      <c r="AA196" s="566">
        <f>VLOOKUP($A196,'01-02.2021'!$A$6:$CZ$403,27,FALSE)+VLOOKUP($A196,'1.3.21-28.2.22'!$A$6:$DA$404,27,FALSE)-VLOOKUP($A196,'01-02.2022'!$A$6:$DA$376,27,FALSE)</f>
        <v>908.47399999999993</v>
      </c>
      <c r="AB196" s="566">
        <f>VLOOKUP($A196,'01-02.2021'!$A$6:$CZ$403,28,FALSE)+VLOOKUP($A196,'1.3.21-28.2.22'!$A$6:$DA$404,28,FALSE)-VLOOKUP($A196,'01-02.2022'!$A$6:$DA$376,28,FALSE)</f>
        <v>0</v>
      </c>
      <c r="AC196" s="70">
        <f t="shared" si="180"/>
        <v>-908.47399999999993</v>
      </c>
      <c r="AD196" s="566">
        <f>VLOOKUP($A196,'01-02.2021'!$A$6:$CZ$403,30,FALSE)+VLOOKUP($A196,'1.3.21-28.2.22'!$A$6:$DA$404,30,FALSE)-VLOOKUP($A196,'01-02.2022'!$A$6:$DA$376,30,FALSE)</f>
        <v>19473.668460149318</v>
      </c>
      <c r="AE196" s="566">
        <f>VLOOKUP($A196,'01-02.2021'!$A$6:$CZ$403,31,FALSE)+VLOOKUP($A196,'1.3.21-28.2.22'!$A$6:$DA$404,31,FALSE)-VLOOKUP($A196,'01-02.2022'!$A$6:$DA$376,31,FALSE)</f>
        <v>20619.058268985977</v>
      </c>
      <c r="AF196" s="68">
        <f t="shared" si="181"/>
        <v>1145.3898088366586</v>
      </c>
      <c r="AG196" s="77">
        <f t="shared" si="219"/>
        <v>56223.085351937087</v>
      </c>
      <c r="AH196" s="53">
        <f t="shared" si="219"/>
        <v>56287.141563629237</v>
      </c>
      <c r="AI196" s="52">
        <f t="shared" si="224"/>
        <v>64.0562116921501</v>
      </c>
      <c r="AJ196" s="566">
        <f>VLOOKUP($A196,'01-02.2021'!$A$6:$CZ$403,36,FALSE)+VLOOKUP($A196,'1.3.21-28.2.22'!$A$6:$DA$404,36,FALSE)-VLOOKUP($A196,'01-02.2022'!$A$6:$DA$376,36,FALSE)</f>
        <v>0</v>
      </c>
      <c r="AK196" s="566">
        <f>VLOOKUP($A196,'01-02.2021'!$A$6:$CZ$403,37,FALSE)+VLOOKUP($A196,'1.3.21-28.2.22'!$A$6:$DA$404,37,FALSE)-VLOOKUP($A196,'01-02.2022'!$A$6:$DA$376,37,FALSE)</f>
        <v>0</v>
      </c>
      <c r="AL196" s="70">
        <f t="shared" si="182"/>
        <v>0</v>
      </c>
      <c r="AM196" s="566">
        <f>VLOOKUP($A196,'01-02.2021'!$A$6:$CZ$403,39,FALSE)+VLOOKUP($A196,'1.3.21-28.2.22'!$A$6:$DA$404,39,FALSE)-VLOOKUP($A196,'01-02.2022'!$A$6:$DA$376,39,FALSE)</f>
        <v>0</v>
      </c>
      <c r="AN196" s="566">
        <f>VLOOKUP($A196,'01-02.2021'!$A$6:$CZ$403,40,FALSE)+VLOOKUP($A196,'1.3.21-28.2.22'!$A$6:$DA$404,40,FALSE)-VLOOKUP($A196,'01-02.2022'!$A$6:$DA$376,40,FALSE)</f>
        <v>0</v>
      </c>
      <c r="AO196" s="70">
        <f t="shared" si="183"/>
        <v>0</v>
      </c>
      <c r="AP196" s="566">
        <f>VLOOKUP($A196,'01-02.2021'!$A$6:$CZ$403,42,FALSE)+VLOOKUP($A196,'1.3.21-28.2.22'!$A$6:$DA$404,42,FALSE)-VLOOKUP($A196,'01-02.2022'!$A$6:$DA$376,42,FALSE)</f>
        <v>12883.858144066238</v>
      </c>
      <c r="AQ196" s="566">
        <f>VLOOKUP($A196,'01-02.2021'!$A$6:$CZ$403,43,FALSE)+VLOOKUP($A196,'1.3.21-28.2.22'!$A$6:$DA$404,43,FALSE)-VLOOKUP($A196,'01-02.2022'!$A$6:$DA$376,43,FALSE)</f>
        <v>10247.601372108809</v>
      </c>
      <c r="AR196" s="70">
        <f t="shared" si="184"/>
        <v>-2636.256771957429</v>
      </c>
      <c r="AS196" s="566">
        <f>VLOOKUP($A196,'01-02.2021'!$A$6:$CZ$403,45,FALSE)+VLOOKUP($A196,'1.3.21-28.2.22'!$A$6:$DA$404,45,FALSE)-VLOOKUP($A196,'01-02.2022'!$A$6:$DA$376,45,FALSE)</f>
        <v>47539.264853855915</v>
      </c>
      <c r="AT196" s="566">
        <f>VLOOKUP($A196,'01-02.2021'!$A$6:$CZ$403,46,FALSE)+VLOOKUP($A196,'1.3.21-28.2.22'!$A$6:$DA$404,46,FALSE)-VLOOKUP($A196,'01-02.2022'!$A$6:$DA$376,46,FALSE)</f>
        <v>142020.59</v>
      </c>
      <c r="AU196" s="78">
        <f t="shared" si="185"/>
        <v>94481.325146144081</v>
      </c>
      <c r="AV196" s="566">
        <f>VLOOKUP($A196,'01-02.2021'!$A$6:$CZ$403,48,FALSE)+VLOOKUP($A196,'1.3.21-28.2.22'!$A$6:$DA$404,48,FALSE)-VLOOKUP($A196,'01-02.2022'!$A$6:$DA$376,48,FALSE)</f>
        <v>4288.481395659177</v>
      </c>
      <c r="AW196" s="566">
        <f>VLOOKUP($A196,'01-02.2021'!$A$6:$CZ$403,49,FALSE)+VLOOKUP($A196,'1.3.21-28.2.22'!$A$6:$DA$404,49,FALSE)-VLOOKUP($A196,'01-02.2022'!$A$6:$DA$376,49,FALSE)</f>
        <v>0</v>
      </c>
      <c r="AX196" s="55">
        <f t="shared" si="186"/>
        <v>-4288.481395659177</v>
      </c>
      <c r="AY196" s="566">
        <f>VLOOKUP($A196,'01-02.2021'!$A$6:$CZ$403,51,FALSE)+VLOOKUP($A196,'1.3.21-28.2.22'!$A$6:$DA$404,51,FALSE)-VLOOKUP($A196,'01-02.2022'!$A$6:$DA$376,51,FALSE)</f>
        <v>6305.4526980859446</v>
      </c>
      <c r="AZ196" s="566">
        <f>VLOOKUP($A196,'01-02.2021'!$A$6:$CZ$403,52,FALSE)+VLOOKUP($A196,'1.3.21-28.2.22'!$A$6:$DA$404,52,FALSE)-VLOOKUP($A196,'01-02.2022'!$A$6:$DA$376,52,FALSE)</f>
        <v>1024</v>
      </c>
      <c r="BA196" s="38">
        <f t="shared" si="187"/>
        <v>-5281.4526980859446</v>
      </c>
      <c r="BB196" s="566">
        <f>VLOOKUP($A196,'01-02.2021'!$A$6:$CZ$403,54,FALSE)+VLOOKUP($A196,'1.3.21-28.2.22'!$A$6:$DA$404,54,FALSE)-VLOOKUP($A196,'01-02.2022'!$A$6:$DA$376,54,FALSE)</f>
        <v>2928.7697398892142</v>
      </c>
      <c r="BC196" s="566">
        <f>VLOOKUP($A196,'01-02.2021'!$A$6:$CZ$403,55,FALSE)+VLOOKUP($A196,'1.3.21-28.2.22'!$A$6:$DA$404,55,FALSE)-VLOOKUP($A196,'01-02.2022'!$A$6:$DA$376,55,FALSE)</f>
        <v>434</v>
      </c>
      <c r="BD196" s="55">
        <f t="shared" si="188"/>
        <v>-2494.7697398892142</v>
      </c>
      <c r="BE196" s="566">
        <f>VLOOKUP($A196,'01-02.2021'!$A$6:$CZ$403,57,FALSE)+VLOOKUP($A196,'1.3.21-28.2.22'!$A$6:$DA$404,57,FALSE)-VLOOKUP($A196,'01-02.2022'!$A$6:$DA$376,57,FALSE)</f>
        <v>0</v>
      </c>
      <c r="BF196" s="566">
        <f>VLOOKUP($A196,'01-02.2021'!$A$6:$CZ$403,58,FALSE)+VLOOKUP($A196,'1.3.21-28.2.22'!$A$6:$DA$404,58,FALSE)-VLOOKUP($A196,'01-02.2022'!$A$6:$DA$376,58,FALSE)</f>
        <v>0</v>
      </c>
      <c r="BG196" s="55">
        <f t="shared" si="189"/>
        <v>0</v>
      </c>
      <c r="BH196" s="566">
        <f>VLOOKUP($A196,'01-02.2021'!$A$6:$CZ$403,60,FALSE)+VLOOKUP($A196,'1.3.21-28.2.22'!$A$6:$DA$404,60,FALSE)-VLOOKUP($A196,'01-02.2022'!$A$6:$DA$376,60,FALSE)</f>
        <v>0</v>
      </c>
      <c r="BI196" s="566">
        <f>VLOOKUP($A196,'01-02.2021'!$A$6:$CZ$403,61,FALSE)+VLOOKUP($A196,'1.3.21-28.2.22'!$A$6:$DA$404,61,FALSE)-VLOOKUP($A196,'01-02.2022'!$A$6:$DA$376,61,FALSE)</f>
        <v>0</v>
      </c>
      <c r="BJ196" s="55">
        <f t="shared" si="190"/>
        <v>0</v>
      </c>
      <c r="BK196" s="566">
        <f>VLOOKUP($A196,'01-02.2021'!$A$6:$CZ$403,63,FALSE)+VLOOKUP($A196,'1.3.21-28.2.22'!$A$6:$DA$404,63,FALSE)-VLOOKUP($A196,'01-02.2022'!$A$6:$DA$376,63,FALSE)</f>
        <v>4006.8780403058086</v>
      </c>
      <c r="BL196" s="566">
        <f>VLOOKUP($A196,'01-02.2021'!$A$6:$CZ$403,64,FALSE)+VLOOKUP($A196,'1.3.21-28.2.22'!$A$6:$DA$404,64,FALSE)-VLOOKUP($A196,'01-02.2022'!$A$6:$DA$376,64,FALSE)</f>
        <v>0</v>
      </c>
      <c r="BM196" s="55">
        <f t="shared" si="191"/>
        <v>-4006.8780403058086</v>
      </c>
      <c r="BN196" s="566">
        <f>VLOOKUP($A196,'01-02.2021'!$A$6:$CZ$403,66,FALSE)+VLOOKUP($A196,'1.3.21-28.2.22'!$A$6:$DA$404,66,FALSE)-VLOOKUP($A196,'01-02.2022'!$A$6:$DA$376,66,FALSE)</f>
        <v>227.11849999999998</v>
      </c>
      <c r="BO196" s="566">
        <f>VLOOKUP($A196,'01-02.2021'!$A$6:$CZ$403,67,FALSE)+VLOOKUP($A196,'1.3.21-28.2.22'!$A$6:$DA$404,67,FALSE)-VLOOKUP($A196,'01-02.2022'!$A$6:$DA$376,67,FALSE)</f>
        <v>0</v>
      </c>
      <c r="BP196" s="55">
        <f t="shared" si="192"/>
        <v>-227.11849999999998</v>
      </c>
      <c r="BQ196" s="77">
        <f t="shared" si="209"/>
        <v>17756.700373940144</v>
      </c>
      <c r="BR196" s="40">
        <f t="shared" si="210"/>
        <v>1458</v>
      </c>
      <c r="BS196" s="55">
        <f t="shared" si="236"/>
        <v>-16298.700373940144</v>
      </c>
      <c r="BT196" s="566">
        <f>VLOOKUP($A196,'01-02.2021'!$A$6:$CZ$403,72,FALSE)+VLOOKUP($A196,'1.3.21-28.2.22'!$A$6:$DA$404,72,FALSE)-VLOOKUP($A196,'01-02.2022'!$A$6:$DA$376,72,FALSE)</f>
        <v>31019.959037724158</v>
      </c>
      <c r="BU196" s="566">
        <f>VLOOKUP($A196,'01-02.2021'!$A$6:$CZ$403,73,FALSE)+VLOOKUP($A196,'1.3.21-28.2.22'!$A$6:$DA$404,73,FALSE)-VLOOKUP($A196,'01-02.2022'!$A$6:$DA$376,73,FALSE)</f>
        <v>43673.260305045071</v>
      </c>
      <c r="BV196" s="70">
        <f t="shared" si="193"/>
        <v>12653.301267320912</v>
      </c>
      <c r="BW196" s="566">
        <f>VLOOKUP($A196,'01-02.2021'!$A$6:$CZ$403,75,FALSE)+VLOOKUP($A196,'1.3.21-28.2.22'!$A$6:$DA$404,75,FALSE)-VLOOKUP($A196,'01-02.2022'!$A$6:$DA$376,75,FALSE)</f>
        <v>21354.948997388623</v>
      </c>
      <c r="BX196" s="566">
        <f>VLOOKUP($A196,'01-02.2021'!$A$6:$CZ$403,76,FALSE)+VLOOKUP($A196,'1.3.21-28.2.22'!$A$6:$DA$404,76,FALSE)-VLOOKUP($A196,'01-02.2022'!$A$6:$DA$376,76,FALSE)</f>
        <v>20813.527726503318</v>
      </c>
      <c r="BY196" s="70">
        <f t="shared" si="194"/>
        <v>-541.42127088530469</v>
      </c>
      <c r="BZ196" s="566">
        <f>VLOOKUP($A196,'01-02.2021'!$A$6:$CZ$403,78,FALSE)+VLOOKUP($A196,'1.3.21-28.2.22'!$A$6:$DA$404,78,FALSE)-VLOOKUP($A196,'01-02.2022'!$A$6:$DA$376,78,FALSE)</f>
        <v>16774.277315363925</v>
      </c>
      <c r="CA196" s="566">
        <f>VLOOKUP($A196,'01-02.2021'!$A$6:$CZ$403,79,FALSE)+VLOOKUP($A196,'1.3.21-28.2.22'!$A$6:$DA$404,79,FALSE)-VLOOKUP($A196,'01-02.2022'!$A$6:$DA$376,79,FALSE)</f>
        <v>10731.550492427739</v>
      </c>
      <c r="CB196" s="70">
        <f t="shared" si="195"/>
        <v>-6042.7268229361853</v>
      </c>
      <c r="CC196" s="566">
        <f>VLOOKUP($A196,'01-02.2021'!$A$6:$CZ$403,81,FALSE)+VLOOKUP($A196,'1.3.21-28.2.22'!$A$6:$DA$404,81,FALSE)-VLOOKUP($A196,'01-02.2022'!$A$6:$DA$376,81,FALSE)</f>
        <v>2409.5480144415847</v>
      </c>
      <c r="CD196" s="566">
        <f>VLOOKUP($A196,'01-02.2021'!$A$6:$CZ$403,82,FALSE)+VLOOKUP($A196,'1.3.21-28.2.22'!$A$6:$DA$404,82,FALSE)-VLOOKUP($A196,'01-02.2022'!$A$6:$DA$376,82,FALSE)</f>
        <v>2633.6191600589195</v>
      </c>
      <c r="CE196" s="70">
        <f t="shared" si="196"/>
        <v>224.07114561733488</v>
      </c>
      <c r="CF196" s="566">
        <f>VLOOKUP($A196,'01-02.2021'!$A$6:$CZ$403,84,FALSE)+VLOOKUP($A196,'1.3.21-28.2.22'!$A$6:$DA$404,84,FALSE)-VLOOKUP($A196,'01-02.2022'!$A$6:$DA$376,84,FALSE)</f>
        <v>292.93019558994411</v>
      </c>
      <c r="CG196" s="566">
        <f>VLOOKUP($A196,'01-02.2021'!$A$6:$CZ$403,85,FALSE)+VLOOKUP($A196,'1.3.21-28.2.22'!$A$6:$DA$404,85,FALSE)-VLOOKUP($A196,'01-02.2022'!$A$6:$DA$376,85,FALSE)</f>
        <v>0</v>
      </c>
      <c r="CH196" s="70">
        <f t="shared" si="197"/>
        <v>-292.93019558994411</v>
      </c>
      <c r="CI196" s="566">
        <f>VLOOKUP($A196,'01-02.2021'!$A$6:$CZ$403,87,FALSE)+VLOOKUP($A196,'1.3.21-28.2.22'!$A$6:$DA$404,87,FALSE)-VLOOKUP($A196,'01-02.2022'!$A$6:$DA$376,87,FALSE)</f>
        <v>8296.5539849914676</v>
      </c>
      <c r="CJ196" s="566">
        <f>VLOOKUP($A196,'01-02.2021'!$A$6:$CZ$403,88,FALSE)+VLOOKUP($A196,'1.3.21-28.2.22'!$A$6:$DA$404,88,FALSE)-VLOOKUP($A196,'01-02.2022'!$A$6:$DA$376,88,FALSE)</f>
        <v>6989.6828667004938</v>
      </c>
      <c r="CK196" s="70">
        <f t="shared" si="198"/>
        <v>-1306.8711182909738</v>
      </c>
      <c r="CL196" s="566">
        <f>VLOOKUP($A196,'01-02.2021'!$A$6:$CZ$403,90,FALSE)+VLOOKUP($A196,'1.3.21-28.2.22'!$A$6:$DA$404,90,FALSE)-VLOOKUP($A196,'01-02.2022'!$A$6:$DA$376,90,FALSE)</f>
        <v>0</v>
      </c>
      <c r="CM196" s="566">
        <f>VLOOKUP($A196,'01-02.2021'!$A$6:$CZ$403,91,FALSE)+VLOOKUP($A196,'1.3.21-28.2.22'!$A$6:$DA$404,91,FALSE)-VLOOKUP($A196,'01-02.2022'!$A$6:$DA$376,91,FALSE)</f>
        <v>0</v>
      </c>
      <c r="CN196" s="52">
        <f t="shared" si="225"/>
        <v>0</v>
      </c>
      <c r="CO196" s="39">
        <f t="shared" si="220"/>
        <v>8296.5539849914676</v>
      </c>
      <c r="CP196" s="40">
        <f t="shared" si="226"/>
        <v>6989.6828667004938</v>
      </c>
      <c r="CQ196" s="52">
        <f t="shared" si="227"/>
        <v>-1306.8711182909738</v>
      </c>
      <c r="CR196" s="72">
        <f t="shared" si="221"/>
        <v>214551.12626929913</v>
      </c>
      <c r="CS196" s="5">
        <f t="shared" si="221"/>
        <v>294854.97348647355</v>
      </c>
      <c r="CT196" s="52">
        <f t="shared" si="228"/>
        <v>80303.847217174422</v>
      </c>
      <c r="CU196" s="77">
        <f t="shared" si="229"/>
        <v>257461.35152315896</v>
      </c>
      <c r="CV196" s="65">
        <f t="shared" si="230"/>
        <v>353825.96818376827</v>
      </c>
      <c r="CW196" s="35">
        <f t="shared" si="231"/>
        <v>96364.616660609317</v>
      </c>
      <c r="CX196" s="566">
        <f>VLOOKUP($A196,'01-02.2021'!$A$6:$CZ$403,102,FALSE)+VLOOKUP($A196,'1.3.21-28.2.22'!$A$6:$DA$404,102,FALSE)-VLOOKUP($A196,'01-02.2022'!$A$6:$DA$376,102,FALSE)</f>
        <v>11525.635635848234</v>
      </c>
      <c r="CY196" s="566">
        <f>VLOOKUP($A196,'01-02.2021'!$A$6:$CZ$403,103,FALSE)+VLOOKUP($A196,'1.3.21-28.2.22'!$A$6:$DA$404,103,FALSE)-VLOOKUP($A196,'01-02.2022'!$A$6:$DA$376,103,FALSE)</f>
        <v>-84838.981024761146</v>
      </c>
      <c r="CZ196" s="52">
        <f t="shared" si="232"/>
        <v>-96364.616660609376</v>
      </c>
      <c r="DA196" s="150">
        <f>'[2]побудинковий звіт'!DA196</f>
        <v>99269.793771241981</v>
      </c>
      <c r="DB196" s="2">
        <v>2</v>
      </c>
      <c r="DC196" s="414">
        <f>'[4]побудинковий звіт'!DC196</f>
        <v>53021.4</v>
      </c>
      <c r="DD196" s="414">
        <f>'[4]побудинковий звіт'!DD196</f>
        <v>1093.5</v>
      </c>
      <c r="DE196" s="557">
        <f>'[4]побудинковий звіт'!DE196</f>
        <v>29450.947038489507</v>
      </c>
      <c r="DF196" s="557">
        <f>'[4]побудинковий звіт'!DF196</f>
        <v>904.02191294960426</v>
      </c>
      <c r="DG196" s="321">
        <f>VLOOKUP(A196,'кошти 01.03.2021'!$A$6:$D$401,4,)</f>
        <v>6800.6871683873942</v>
      </c>
      <c r="DH196" s="40">
        <f>'[3]побудинковий звіт'!DJ196</f>
        <v>275290.93074640067</v>
      </c>
      <c r="DI196" s="422">
        <f>'[3]побудинковий звіт'!CU196+'[3]побудинковий звіт'!CX196</f>
        <v>23759.931048560891</v>
      </c>
      <c r="DJ196" s="306">
        <f>'[3]побудинковий звіт'!DM196</f>
        <v>5.2506784230692372</v>
      </c>
      <c r="DK196" s="306">
        <f t="shared" si="233"/>
        <v>5.2506784230692372</v>
      </c>
      <c r="DL196" s="306">
        <f>'[3]побудинковий звіт'!DO196</f>
        <v>4.6669479569063004</v>
      </c>
      <c r="DM196" s="28">
        <f t="shared" si="234"/>
        <v>23570.452961510495</v>
      </c>
      <c r="DN196" s="28">
        <f t="shared" si="235"/>
        <v>189.4780870503958</v>
      </c>
      <c r="DO196" s="423">
        <f t="shared" si="171"/>
        <v>23759.931048560891</v>
      </c>
      <c r="DP196" s="94">
        <f t="shared" si="172"/>
        <v>0</v>
      </c>
      <c r="DQ196" s="28">
        <f t="shared" si="173"/>
        <v>23759.931048560891</v>
      </c>
      <c r="DR196" s="318"/>
      <c r="DT196" s="8"/>
      <c r="DU196" s="5"/>
      <c r="DX196" s="5">
        <f t="shared" si="174"/>
        <v>78355.158273355264</v>
      </c>
      <c r="DY196" s="5">
        <f t="shared" si="175"/>
        <v>172174.30799999999</v>
      </c>
      <c r="DZ196" s="159">
        <f>'[3]побудинковий звіт'!EA196</f>
        <v>7530.8245841520475</v>
      </c>
    </row>
    <row r="197" spans="1:130" x14ac:dyDescent="0.3">
      <c r="A197" s="325">
        <v>150000778</v>
      </c>
      <c r="B197" s="41" t="s">
        <v>645</v>
      </c>
      <c r="C197" s="42" t="s">
        <v>215</v>
      </c>
      <c r="D197" s="42"/>
      <c r="E197" s="293">
        <f t="shared" si="218"/>
        <v>2055.6</v>
      </c>
      <c r="F197" s="305">
        <f>'[3]побудинковий звіт'!F197</f>
        <v>2055.6</v>
      </c>
      <c r="G197" s="508">
        <f>'[3]побудинковий звіт'!G197</f>
        <v>0</v>
      </c>
      <c r="H197" s="560">
        <f>'[3]побудинковий звіт'!H197</f>
        <v>0</v>
      </c>
      <c r="I197" s="566">
        <f>VLOOKUP($A197,'01-02.2021'!$A$6:$CZ$403,9,FALSE)+VLOOKUP($A197,'1.3.21-28.2.22'!$A$6:$DA$404,9,FALSE)-VLOOKUP($A197,'01-02.2022'!$A$6:$DA$376,9,FALSE)</f>
        <v>6875.6425926807033</v>
      </c>
      <c r="J197" s="566">
        <f>VLOOKUP($A197,'01-02.2021'!$A$6:$CZ$403,10,FALSE)+VLOOKUP($A197,'1.3.21-28.2.22'!$A$6:$DA$404,10,FALSE)-VLOOKUP($A197,'01-02.2022'!$A$6:$DA$376,10,FALSE)</f>
        <v>6781.2725787444651</v>
      </c>
      <c r="K197" s="52">
        <f t="shared" si="222"/>
        <v>-94.370013936238138</v>
      </c>
      <c r="L197" s="566">
        <f>VLOOKUP($A197,'01-02.2021'!$A$6:$CZ$403,12,FALSE)+VLOOKUP($A197,'1.3.21-28.2.22'!$A$6:$DA$404,12,FALSE)-VLOOKUP($A197,'01-02.2022'!$A$6:$DA$376,12,FALSE)</f>
        <v>1314.862491050472</v>
      </c>
      <c r="M197" s="566">
        <f>VLOOKUP($A197,'01-02.2021'!$A$6:$CZ$403,13,FALSE)+VLOOKUP($A197,'1.3.21-28.2.22'!$A$6:$DA$404,13,FALSE)-VLOOKUP($A197,'01-02.2022'!$A$6:$DA$376,13,FALSE)</f>
        <v>1312.8539541407199</v>
      </c>
      <c r="N197" s="52">
        <f t="shared" si="223"/>
        <v>-2.0085369097521379</v>
      </c>
      <c r="O197" s="566">
        <f>VLOOKUP($A197,'01-02.2021'!$A$6:$CZ$403,15,FALSE)+VLOOKUP($A197,'1.3.21-28.2.22'!$A$6:$DA$404,15,FALSE)-VLOOKUP($A197,'01-02.2022'!$A$6:$DA$376,15,FALSE)</f>
        <v>2736.4502338056</v>
      </c>
      <c r="P197" s="566">
        <f>VLOOKUP($A197,'01-02.2021'!$A$6:$CZ$403,16,FALSE)+VLOOKUP($A197,'1.3.21-28.2.22'!$A$6:$DA$404,16,FALSE)-VLOOKUP($A197,'01-02.2022'!$A$6:$DA$376,16,FALSE)</f>
        <v>2737.1566666666668</v>
      </c>
      <c r="Q197" s="70">
        <f t="shared" si="176"/>
        <v>0.70643286106678715</v>
      </c>
      <c r="R197" s="566">
        <f>VLOOKUP($A197,'01-02.2021'!$A$6:$CZ$403,18,FALSE)+VLOOKUP($A197,'1.3.21-28.2.22'!$A$6:$DA$404,18,FALSE)-VLOOKUP($A197,'01-02.2022'!$A$6:$DA$376,18,FALSE)</f>
        <v>611.94016007155847</v>
      </c>
      <c r="S197" s="566">
        <f>VLOOKUP($A197,'01-02.2021'!$A$6:$CZ$403,19,FALSE)+VLOOKUP($A197,'1.3.21-28.2.22'!$A$6:$DA$404,19,FALSE)-VLOOKUP($A197,'01-02.2022'!$A$6:$DA$376,19,FALSE)</f>
        <v>612.02166666666665</v>
      </c>
      <c r="T197" s="70">
        <f t="shared" si="177"/>
        <v>8.1506595108180591E-2</v>
      </c>
      <c r="U197" s="566">
        <f>VLOOKUP($A197,'01-02.2021'!$A$6:$CZ$403,21,FALSE)+VLOOKUP($A197,'1.3.21-28.2.22'!$A$6:$DA$404,21,FALSE)-VLOOKUP($A197,'01-02.2022'!$A$6:$DA$376,21,FALSE)</f>
        <v>0</v>
      </c>
      <c r="V197" s="566">
        <f>VLOOKUP($A197,'01-02.2021'!$A$6:$CZ$403,22,FALSE)+VLOOKUP($A197,'1.3.21-28.2.22'!$A$6:$DA$404,22,FALSE)-VLOOKUP($A197,'01-02.2022'!$A$6:$DA$376,22,FALSE)</f>
        <v>0</v>
      </c>
      <c r="W197" s="70">
        <f t="shared" si="178"/>
        <v>0</v>
      </c>
      <c r="X197" s="566">
        <f>VLOOKUP($A197,'01-02.2021'!$A$6:$CZ$403,24,FALSE)+VLOOKUP($A197,'1.3.21-28.2.22'!$A$6:$DA$404,24,FALSE)-VLOOKUP($A197,'01-02.2022'!$A$6:$DA$376,24,FALSE)</f>
        <v>4349.7882881773439</v>
      </c>
      <c r="Y197" s="566">
        <f>VLOOKUP($A197,'01-02.2021'!$A$6:$CZ$403,25,FALSE)+VLOOKUP($A197,'1.3.21-28.2.22'!$A$6:$DA$404,25,FALSE)-VLOOKUP($A197,'01-02.2022'!$A$6:$DA$376,25,FALSE)</f>
        <v>3752.9901360371723</v>
      </c>
      <c r="Z197" s="70">
        <f t="shared" si="179"/>
        <v>-596.79815214017162</v>
      </c>
      <c r="AA197" s="566">
        <f>VLOOKUP($A197,'01-02.2021'!$A$6:$CZ$403,27,FALSE)+VLOOKUP($A197,'1.3.21-28.2.22'!$A$6:$DA$404,27,FALSE)-VLOOKUP($A197,'01-02.2022'!$A$6:$DA$376,27,FALSE)</f>
        <v>417.30000000000007</v>
      </c>
      <c r="AB197" s="566">
        <f>VLOOKUP($A197,'01-02.2021'!$A$6:$CZ$403,28,FALSE)+VLOOKUP($A197,'1.3.21-28.2.22'!$A$6:$DA$404,28,FALSE)-VLOOKUP($A197,'01-02.2022'!$A$6:$DA$376,28,FALSE)</f>
        <v>0</v>
      </c>
      <c r="AC197" s="70">
        <f t="shared" si="180"/>
        <v>-417.30000000000007</v>
      </c>
      <c r="AD197" s="566">
        <f>VLOOKUP($A197,'01-02.2021'!$A$6:$CZ$403,30,FALSE)+VLOOKUP($A197,'1.3.21-28.2.22'!$A$6:$DA$404,30,FALSE)-VLOOKUP($A197,'01-02.2022'!$A$6:$DA$376,30,FALSE)</f>
        <v>8882.2029222956462</v>
      </c>
      <c r="AE197" s="566">
        <f>VLOOKUP($A197,'01-02.2021'!$A$6:$CZ$403,31,FALSE)+VLOOKUP($A197,'1.3.21-28.2.22'!$A$6:$DA$404,31,FALSE)-VLOOKUP($A197,'01-02.2022'!$A$6:$DA$376,31,FALSE)</f>
        <v>9357.174024749831</v>
      </c>
      <c r="AF197" s="68">
        <f t="shared" si="181"/>
        <v>474.9711024541848</v>
      </c>
      <c r="AG197" s="77">
        <f t="shared" si="219"/>
        <v>25188.186688081325</v>
      </c>
      <c r="AH197" s="53">
        <f t="shared" si="219"/>
        <v>24553.469027005522</v>
      </c>
      <c r="AI197" s="52">
        <f t="shared" si="224"/>
        <v>-634.71766107580333</v>
      </c>
      <c r="AJ197" s="566">
        <f>VLOOKUP($A197,'01-02.2021'!$A$6:$CZ$403,36,FALSE)+VLOOKUP($A197,'1.3.21-28.2.22'!$A$6:$DA$404,36,FALSE)-VLOOKUP($A197,'01-02.2022'!$A$6:$DA$376,36,FALSE)</f>
        <v>0</v>
      </c>
      <c r="AK197" s="566">
        <f>VLOOKUP($A197,'01-02.2021'!$A$6:$CZ$403,37,FALSE)+VLOOKUP($A197,'1.3.21-28.2.22'!$A$6:$DA$404,37,FALSE)-VLOOKUP($A197,'01-02.2022'!$A$6:$DA$376,37,FALSE)</f>
        <v>0</v>
      </c>
      <c r="AL197" s="70">
        <f t="shared" si="182"/>
        <v>0</v>
      </c>
      <c r="AM197" s="566">
        <f>VLOOKUP($A197,'01-02.2021'!$A$6:$CZ$403,39,FALSE)+VLOOKUP($A197,'1.3.21-28.2.22'!$A$6:$DA$404,39,FALSE)-VLOOKUP($A197,'01-02.2022'!$A$6:$DA$376,39,FALSE)</f>
        <v>0</v>
      </c>
      <c r="AN197" s="566">
        <f>VLOOKUP($A197,'01-02.2021'!$A$6:$CZ$403,40,FALSE)+VLOOKUP($A197,'1.3.21-28.2.22'!$A$6:$DA$404,40,FALSE)-VLOOKUP($A197,'01-02.2022'!$A$6:$DA$376,40,FALSE)</f>
        <v>0</v>
      </c>
      <c r="AO197" s="70">
        <f t="shared" si="183"/>
        <v>0</v>
      </c>
      <c r="AP197" s="566">
        <f>VLOOKUP($A197,'01-02.2021'!$A$6:$CZ$403,42,FALSE)+VLOOKUP($A197,'1.3.21-28.2.22'!$A$6:$DA$404,42,FALSE)-VLOOKUP($A197,'01-02.2022'!$A$6:$DA$376,42,FALSE)</f>
        <v>2082.2397000511091</v>
      </c>
      <c r="AQ197" s="566">
        <f>VLOOKUP($A197,'01-02.2021'!$A$6:$CZ$403,43,FALSE)+VLOOKUP($A197,'1.3.21-28.2.22'!$A$6:$DA$404,43,FALSE)-VLOOKUP($A197,'01-02.2022'!$A$6:$DA$376,43,FALSE)</f>
        <v>1784.6362384835329</v>
      </c>
      <c r="AR197" s="70">
        <f t="shared" si="184"/>
        <v>-297.60346156757623</v>
      </c>
      <c r="AS197" s="566">
        <f>VLOOKUP($A197,'01-02.2021'!$A$6:$CZ$403,45,FALSE)+VLOOKUP($A197,'1.3.21-28.2.22'!$A$6:$DA$404,45,FALSE)-VLOOKUP($A197,'01-02.2022'!$A$6:$DA$376,45,FALSE)</f>
        <v>19824.299001411207</v>
      </c>
      <c r="AT197" s="566">
        <f>VLOOKUP($A197,'01-02.2021'!$A$6:$CZ$403,46,FALSE)+VLOOKUP($A197,'1.3.21-28.2.22'!$A$6:$DA$404,46,FALSE)-VLOOKUP($A197,'01-02.2022'!$A$6:$DA$376,46,FALSE)</f>
        <v>16873.98</v>
      </c>
      <c r="AU197" s="78">
        <f t="shared" si="185"/>
        <v>-2950.3190014112079</v>
      </c>
      <c r="AV197" s="566">
        <f>VLOOKUP($A197,'01-02.2021'!$A$6:$CZ$403,48,FALSE)+VLOOKUP($A197,'1.3.21-28.2.22'!$A$6:$DA$404,48,FALSE)-VLOOKUP($A197,'01-02.2022'!$A$6:$DA$376,48,FALSE)</f>
        <v>1777.7828362127586</v>
      </c>
      <c r="AW197" s="566">
        <f>VLOOKUP($A197,'01-02.2021'!$A$6:$CZ$403,49,FALSE)+VLOOKUP($A197,'1.3.21-28.2.22'!$A$6:$DA$404,49,FALSE)-VLOOKUP($A197,'01-02.2022'!$A$6:$DA$376,49,FALSE)</f>
        <v>0</v>
      </c>
      <c r="AX197" s="55">
        <f t="shared" si="186"/>
        <v>-1777.7828362127586</v>
      </c>
      <c r="AY197" s="566">
        <f>VLOOKUP($A197,'01-02.2021'!$A$6:$CZ$403,51,FALSE)+VLOOKUP($A197,'1.3.21-28.2.22'!$A$6:$DA$404,51,FALSE)-VLOOKUP($A197,'01-02.2022'!$A$6:$DA$376,51,FALSE)</f>
        <v>2471.7973456951204</v>
      </c>
      <c r="AZ197" s="566">
        <f>VLOOKUP($A197,'01-02.2021'!$A$6:$CZ$403,52,FALSE)+VLOOKUP($A197,'1.3.21-28.2.22'!$A$6:$DA$404,52,FALSE)-VLOOKUP($A197,'01-02.2022'!$A$6:$DA$376,52,FALSE)</f>
        <v>1408</v>
      </c>
      <c r="BA197" s="38">
        <f t="shared" si="187"/>
        <v>-1063.7973456951204</v>
      </c>
      <c r="BB197" s="566">
        <f>VLOOKUP($A197,'01-02.2021'!$A$6:$CZ$403,54,FALSE)+VLOOKUP($A197,'1.3.21-28.2.22'!$A$6:$DA$404,54,FALSE)-VLOOKUP($A197,'01-02.2022'!$A$6:$DA$376,54,FALSE)</f>
        <v>1035.3547310713941</v>
      </c>
      <c r="BC197" s="566">
        <f>VLOOKUP($A197,'01-02.2021'!$A$6:$CZ$403,55,FALSE)+VLOOKUP($A197,'1.3.21-28.2.22'!$A$6:$DA$404,55,FALSE)-VLOOKUP($A197,'01-02.2022'!$A$6:$DA$376,55,FALSE)</f>
        <v>0</v>
      </c>
      <c r="BD197" s="55">
        <f t="shared" si="188"/>
        <v>-1035.3547310713941</v>
      </c>
      <c r="BE197" s="566">
        <f>VLOOKUP($A197,'01-02.2021'!$A$6:$CZ$403,57,FALSE)+VLOOKUP($A197,'1.3.21-28.2.22'!$A$6:$DA$404,57,FALSE)-VLOOKUP($A197,'01-02.2022'!$A$6:$DA$376,57,FALSE)</f>
        <v>1403.5201504562237</v>
      </c>
      <c r="BF197" s="566">
        <f>VLOOKUP($A197,'01-02.2021'!$A$6:$CZ$403,58,FALSE)+VLOOKUP($A197,'1.3.21-28.2.22'!$A$6:$DA$404,58,FALSE)-VLOOKUP($A197,'01-02.2022'!$A$6:$DA$376,58,FALSE)</f>
        <v>0</v>
      </c>
      <c r="BG197" s="55">
        <f t="shared" si="189"/>
        <v>-1403.5201504562237</v>
      </c>
      <c r="BH197" s="566">
        <f>VLOOKUP($A197,'01-02.2021'!$A$6:$CZ$403,60,FALSE)+VLOOKUP($A197,'1.3.21-28.2.22'!$A$6:$DA$404,60,FALSE)-VLOOKUP($A197,'01-02.2022'!$A$6:$DA$376,60,FALSE)</f>
        <v>0</v>
      </c>
      <c r="BI197" s="566">
        <f>VLOOKUP($A197,'01-02.2021'!$A$6:$CZ$403,61,FALSE)+VLOOKUP($A197,'1.3.21-28.2.22'!$A$6:$DA$404,61,FALSE)-VLOOKUP($A197,'01-02.2022'!$A$6:$DA$376,61,FALSE)</f>
        <v>0</v>
      </c>
      <c r="BJ197" s="55">
        <f t="shared" si="190"/>
        <v>0</v>
      </c>
      <c r="BK197" s="566">
        <f>VLOOKUP($A197,'01-02.2021'!$A$6:$CZ$403,63,FALSE)+VLOOKUP($A197,'1.3.21-28.2.22'!$A$6:$DA$404,63,FALSE)-VLOOKUP($A197,'01-02.2022'!$A$6:$DA$376,63,FALSE)</f>
        <v>1609.7824724804775</v>
      </c>
      <c r="BL197" s="566">
        <f>VLOOKUP($A197,'01-02.2021'!$A$6:$CZ$403,64,FALSE)+VLOOKUP($A197,'1.3.21-28.2.22'!$A$6:$DA$404,64,FALSE)-VLOOKUP($A197,'01-02.2022'!$A$6:$DA$376,64,FALSE)</f>
        <v>94</v>
      </c>
      <c r="BM197" s="55">
        <f t="shared" si="191"/>
        <v>-1515.7824724804775</v>
      </c>
      <c r="BN197" s="566">
        <f>VLOOKUP($A197,'01-02.2021'!$A$6:$CZ$403,66,FALSE)+VLOOKUP($A197,'1.3.21-28.2.22'!$A$6:$DA$404,66,FALSE)-VLOOKUP($A197,'01-02.2022'!$A$6:$DA$376,66,FALSE)</f>
        <v>104.32500000000002</v>
      </c>
      <c r="BO197" s="566">
        <f>VLOOKUP($A197,'01-02.2021'!$A$6:$CZ$403,67,FALSE)+VLOOKUP($A197,'1.3.21-28.2.22'!$A$6:$DA$404,67,FALSE)-VLOOKUP($A197,'01-02.2022'!$A$6:$DA$376,67,FALSE)</f>
        <v>0</v>
      </c>
      <c r="BP197" s="55">
        <f t="shared" si="192"/>
        <v>-104.32500000000002</v>
      </c>
      <c r="BQ197" s="77">
        <f t="shared" si="209"/>
        <v>8402.5625359159749</v>
      </c>
      <c r="BR197" s="40">
        <f t="shared" si="210"/>
        <v>1502</v>
      </c>
      <c r="BS197" s="55">
        <f t="shared" si="236"/>
        <v>-6900.5625359159749</v>
      </c>
      <c r="BT197" s="566">
        <f>VLOOKUP($A197,'01-02.2021'!$A$6:$CZ$403,72,FALSE)+VLOOKUP($A197,'1.3.21-28.2.22'!$A$6:$DA$404,72,FALSE)-VLOOKUP($A197,'01-02.2022'!$A$6:$DA$376,72,FALSE)</f>
        <v>22460.354734298409</v>
      </c>
      <c r="BU197" s="566">
        <f>VLOOKUP($A197,'01-02.2021'!$A$6:$CZ$403,73,FALSE)+VLOOKUP($A197,'1.3.21-28.2.22'!$A$6:$DA$404,73,FALSE)-VLOOKUP($A197,'01-02.2022'!$A$6:$DA$376,73,FALSE)</f>
        <v>27277.641399491007</v>
      </c>
      <c r="BV197" s="70">
        <f t="shared" si="193"/>
        <v>4817.2866651925979</v>
      </c>
      <c r="BW197" s="566">
        <f>VLOOKUP($A197,'01-02.2021'!$A$6:$CZ$403,75,FALSE)+VLOOKUP($A197,'1.3.21-28.2.22'!$A$6:$DA$404,75,FALSE)-VLOOKUP($A197,'01-02.2022'!$A$6:$DA$376,75,FALSE)</f>
        <v>9184.3526465990944</v>
      </c>
      <c r="BX197" s="566">
        <f>VLOOKUP($A197,'01-02.2021'!$A$6:$CZ$403,76,FALSE)+VLOOKUP($A197,'1.3.21-28.2.22'!$A$6:$DA$404,76,FALSE)-VLOOKUP($A197,'01-02.2022'!$A$6:$DA$376,76,FALSE)</f>
        <v>9883.4814869048478</v>
      </c>
      <c r="BY197" s="70">
        <f t="shared" si="194"/>
        <v>699.12884030575333</v>
      </c>
      <c r="BZ197" s="566">
        <f>VLOOKUP($A197,'01-02.2021'!$A$6:$CZ$403,78,FALSE)+VLOOKUP($A197,'1.3.21-28.2.22'!$A$6:$DA$404,78,FALSE)-VLOOKUP($A197,'01-02.2022'!$A$6:$DA$376,78,FALSE)</f>
        <v>5706.1540863416521</v>
      </c>
      <c r="CA197" s="566">
        <f>VLOOKUP($A197,'01-02.2021'!$A$6:$CZ$403,79,FALSE)+VLOOKUP($A197,'1.3.21-28.2.22'!$A$6:$DA$404,79,FALSE)-VLOOKUP($A197,'01-02.2022'!$A$6:$DA$376,79,FALSE)</f>
        <v>4887.5437794569225</v>
      </c>
      <c r="CB197" s="70">
        <f t="shared" si="195"/>
        <v>-818.61030688472965</v>
      </c>
      <c r="CC197" s="566">
        <f>VLOOKUP($A197,'01-02.2021'!$A$6:$CZ$403,81,FALSE)+VLOOKUP($A197,'1.3.21-28.2.22'!$A$6:$DA$404,81,FALSE)-VLOOKUP($A197,'01-02.2022'!$A$6:$DA$376,81,FALSE)</f>
        <v>1395.5454710553777</v>
      </c>
      <c r="CD197" s="566">
        <f>VLOOKUP($A197,'01-02.2021'!$A$6:$CZ$403,82,FALSE)+VLOOKUP($A197,'1.3.21-28.2.22'!$A$6:$DA$404,82,FALSE)-VLOOKUP($A197,'01-02.2022'!$A$6:$DA$376,82,FALSE)</f>
        <v>1525.3214583302893</v>
      </c>
      <c r="CE197" s="70">
        <f t="shared" si="196"/>
        <v>129.77598727491159</v>
      </c>
      <c r="CF197" s="566">
        <f>VLOOKUP($A197,'01-02.2021'!$A$6:$CZ$403,84,FALSE)+VLOOKUP($A197,'1.3.21-28.2.22'!$A$6:$DA$404,84,FALSE)-VLOOKUP($A197,'01-02.2022'!$A$6:$DA$376,84,FALSE)</f>
        <v>169.65729893772289</v>
      </c>
      <c r="CG197" s="566">
        <f>VLOOKUP($A197,'01-02.2021'!$A$6:$CZ$403,85,FALSE)+VLOOKUP($A197,'1.3.21-28.2.22'!$A$6:$DA$404,85,FALSE)-VLOOKUP($A197,'01-02.2022'!$A$6:$DA$376,85,FALSE)</f>
        <v>0</v>
      </c>
      <c r="CH197" s="70">
        <f t="shared" si="197"/>
        <v>-169.65729893772289</v>
      </c>
      <c r="CI197" s="566">
        <f>VLOOKUP($A197,'01-02.2021'!$A$6:$CZ$403,87,FALSE)+VLOOKUP($A197,'1.3.21-28.2.22'!$A$6:$DA$404,87,FALSE)-VLOOKUP($A197,'01-02.2022'!$A$6:$DA$376,87,FALSE)</f>
        <v>4056.2292993934511</v>
      </c>
      <c r="CJ197" s="566">
        <f>VLOOKUP($A197,'01-02.2021'!$A$6:$CZ$403,88,FALSE)+VLOOKUP($A197,'1.3.21-28.2.22'!$A$6:$DA$404,88,FALSE)-VLOOKUP($A197,'01-02.2022'!$A$6:$DA$376,88,FALSE)</f>
        <v>5044.064772007222</v>
      </c>
      <c r="CK197" s="70">
        <f t="shared" si="198"/>
        <v>987.83547261377089</v>
      </c>
      <c r="CL197" s="566">
        <f>VLOOKUP($A197,'01-02.2021'!$A$6:$CZ$403,90,FALSE)+VLOOKUP($A197,'1.3.21-28.2.22'!$A$6:$DA$404,90,FALSE)-VLOOKUP($A197,'01-02.2022'!$A$6:$DA$376,90,FALSE)</f>
        <v>0</v>
      </c>
      <c r="CM197" s="566">
        <f>VLOOKUP($A197,'01-02.2021'!$A$6:$CZ$403,91,FALSE)+VLOOKUP($A197,'1.3.21-28.2.22'!$A$6:$DA$404,91,FALSE)-VLOOKUP($A197,'01-02.2022'!$A$6:$DA$376,91,FALSE)</f>
        <v>0</v>
      </c>
      <c r="CN197" s="52">
        <f t="shared" si="225"/>
        <v>0</v>
      </c>
      <c r="CO197" s="39">
        <f t="shared" si="220"/>
        <v>4056.2292993934511</v>
      </c>
      <c r="CP197" s="40">
        <f t="shared" si="226"/>
        <v>5044.064772007222</v>
      </c>
      <c r="CQ197" s="52">
        <f t="shared" si="227"/>
        <v>987.83547261377089</v>
      </c>
      <c r="CR197" s="72">
        <f t="shared" si="221"/>
        <v>98469.58146208532</v>
      </c>
      <c r="CS197" s="5">
        <f t="shared" si="221"/>
        <v>93332.138161679337</v>
      </c>
      <c r="CT197" s="52">
        <f t="shared" si="228"/>
        <v>-5137.4433004059829</v>
      </c>
      <c r="CU197" s="77">
        <f t="shared" si="229"/>
        <v>118163.49775450237</v>
      </c>
      <c r="CV197" s="65">
        <f t="shared" si="230"/>
        <v>111998.5657940152</v>
      </c>
      <c r="CW197" s="35">
        <f t="shared" si="231"/>
        <v>-6164.9319604871707</v>
      </c>
      <c r="CX197" s="566">
        <f>VLOOKUP($A197,'01-02.2021'!$A$6:$CZ$403,102,FALSE)+VLOOKUP($A197,'1.3.21-28.2.22'!$A$6:$DA$404,102,FALSE)-VLOOKUP($A197,'01-02.2022'!$A$6:$DA$376,102,FALSE)</f>
        <v>3369.8874717299973</v>
      </c>
      <c r="CY197" s="566">
        <f>VLOOKUP($A197,'01-02.2021'!$A$6:$CZ$403,103,FALSE)+VLOOKUP($A197,'1.3.21-28.2.22'!$A$6:$DA$404,103,FALSE)-VLOOKUP($A197,'01-02.2022'!$A$6:$DA$376,103,FALSE)</f>
        <v>9534.8194322171694</v>
      </c>
      <c r="CZ197" s="52">
        <f t="shared" si="232"/>
        <v>6164.9319604871725</v>
      </c>
      <c r="DA197" s="150">
        <f>'[2]побудинковий звіт'!DA197</f>
        <v>-50223.651857599165</v>
      </c>
      <c r="DB197" s="2">
        <v>3</v>
      </c>
      <c r="DC197" s="414">
        <f>'[4]побудинковий звіт'!DC197</f>
        <v>43264.57</v>
      </c>
      <c r="DD197" s="414">
        <f>'[4]побудинковий звіт'!DD197</f>
        <v>0</v>
      </c>
      <c r="DE197" s="557">
        <f>'[4]побудинковий звіт'!DE197</f>
        <v>32294.219964934109</v>
      </c>
      <c r="DF197" s="557">
        <f>'[4]побудинковий звіт'!DF197</f>
        <v>0</v>
      </c>
      <c r="DG197" s="321">
        <f>VLOOKUP(A197,'кошти 01.03.2021'!$A$6:$D$401,4,)</f>
        <v>-35415.983059792452</v>
      </c>
      <c r="DH197" s="40">
        <f>'[3]побудинковий звіт'!DJ197</f>
        <v>125512.80960245596</v>
      </c>
      <c r="DI197" s="422">
        <f>'[3]побудинковий звіт'!CU197+'[3]побудинковий звіт'!CX197</f>
        <v>10970.350035065891</v>
      </c>
      <c r="DJ197" s="306">
        <f>'[3]побудинковий звіт'!DM197</f>
        <v>5.3368116535638697</v>
      </c>
      <c r="DK197" s="306">
        <f t="shared" si="233"/>
        <v>5.3368116535638697</v>
      </c>
      <c r="DL197" s="306">
        <f>'[3]побудинковий звіт'!DO197</f>
        <v>4.8009832408318216</v>
      </c>
      <c r="DM197" s="28">
        <f t="shared" si="234"/>
        <v>10970.350035065891</v>
      </c>
      <c r="DN197" s="28">
        <f t="shared" si="235"/>
        <v>0</v>
      </c>
      <c r="DO197" s="423">
        <f t="shared" si="171"/>
        <v>10970.350035065891</v>
      </c>
      <c r="DP197" s="94">
        <f t="shared" si="172"/>
        <v>0</v>
      </c>
      <c r="DQ197" s="28">
        <f t="shared" si="173"/>
        <v>10970.350035065891</v>
      </c>
      <c r="DR197" s="318"/>
      <c r="DT197" s="8"/>
      <c r="DU197" s="5"/>
      <c r="DX197" s="5">
        <f t="shared" si="174"/>
        <v>33872.233844792616</v>
      </c>
      <c r="DY197" s="5">
        <f t="shared" si="175"/>
        <v>22051.175999999999</v>
      </c>
      <c r="DZ197" s="159">
        <f>'[3]побудинковий звіт'!EA197</f>
        <v>3176.0174745248851</v>
      </c>
    </row>
    <row r="198" spans="1:130" x14ac:dyDescent="0.3">
      <c r="A198" s="325">
        <v>150001071</v>
      </c>
      <c r="B198" s="41" t="s">
        <v>646</v>
      </c>
      <c r="C198" s="42" t="s">
        <v>168</v>
      </c>
      <c r="D198" s="42"/>
      <c r="E198" s="293">
        <f t="shared" si="218"/>
        <v>373.83</v>
      </c>
      <c r="F198" s="305">
        <f>'[3]побудинковий звіт'!F198</f>
        <v>373.83</v>
      </c>
      <c r="G198" s="508">
        <f>'[3]побудинковий звіт'!G198</f>
        <v>0</v>
      </c>
      <c r="H198" s="560">
        <f>'[3]побудинковий звіт'!H198</f>
        <v>0</v>
      </c>
      <c r="I198" s="566">
        <f>VLOOKUP($A198,'01-02.2021'!$A$6:$CZ$403,9,FALSE)+VLOOKUP($A198,'1.3.21-28.2.22'!$A$6:$DA$404,9,FALSE)-VLOOKUP($A198,'01-02.2022'!$A$6:$DA$376,9,FALSE)</f>
        <v>1688.030868751619</v>
      </c>
      <c r="J198" s="566">
        <f>VLOOKUP($A198,'01-02.2021'!$A$6:$CZ$403,10,FALSE)+VLOOKUP($A198,'1.3.21-28.2.22'!$A$6:$DA$404,10,FALSE)-VLOOKUP($A198,'01-02.2022'!$A$6:$DA$376,10,FALSE)</f>
        <v>1652.2746725224088</v>
      </c>
      <c r="K198" s="52">
        <f t="shared" si="222"/>
        <v>-35.756196229210218</v>
      </c>
      <c r="L198" s="566">
        <f>VLOOKUP($A198,'01-02.2021'!$A$6:$CZ$403,12,FALSE)+VLOOKUP($A198,'1.3.21-28.2.22'!$A$6:$DA$404,12,FALSE)-VLOOKUP($A198,'01-02.2022'!$A$6:$DA$376,12,FALSE)</f>
        <v>280.29691379338999</v>
      </c>
      <c r="M198" s="566">
        <f>VLOOKUP($A198,'01-02.2021'!$A$6:$CZ$403,13,FALSE)+VLOOKUP($A198,'1.3.21-28.2.22'!$A$6:$DA$404,13,FALSE)-VLOOKUP($A198,'01-02.2022'!$A$6:$DA$376,13,FALSE)</f>
        <v>279.87294112501229</v>
      </c>
      <c r="N198" s="52">
        <f t="shared" si="223"/>
        <v>-0.42397266837770076</v>
      </c>
      <c r="O198" s="566">
        <f>VLOOKUP($A198,'01-02.2021'!$A$6:$CZ$403,15,FALSE)+VLOOKUP($A198,'1.3.21-28.2.22'!$A$6:$DA$404,15,FALSE)-VLOOKUP($A198,'01-02.2022'!$A$6:$DA$376,15,FALSE)</f>
        <v>608.50591033210844</v>
      </c>
      <c r="P198" s="566">
        <f>VLOOKUP($A198,'01-02.2021'!$A$6:$CZ$403,16,FALSE)+VLOOKUP($A198,'1.3.21-28.2.22'!$A$6:$DA$404,16,FALSE)-VLOOKUP($A198,'01-02.2022'!$A$6:$DA$376,16,FALSE)</f>
        <v>608.64333333333332</v>
      </c>
      <c r="Q198" s="70">
        <f t="shared" si="176"/>
        <v>0.1374230012248745</v>
      </c>
      <c r="R198" s="566">
        <f>VLOOKUP($A198,'01-02.2021'!$A$6:$CZ$403,18,FALSE)+VLOOKUP($A198,'1.3.21-28.2.22'!$A$6:$DA$404,18,FALSE)-VLOOKUP($A198,'01-02.2022'!$A$6:$DA$376,18,FALSE)</f>
        <v>0</v>
      </c>
      <c r="S198" s="566">
        <f>VLOOKUP($A198,'01-02.2021'!$A$6:$CZ$403,19,FALSE)+VLOOKUP($A198,'1.3.21-28.2.22'!$A$6:$DA$404,19,FALSE)-VLOOKUP($A198,'01-02.2022'!$A$6:$DA$376,19,FALSE)</f>
        <v>0</v>
      </c>
      <c r="T198" s="70">
        <f t="shared" si="177"/>
        <v>0</v>
      </c>
      <c r="U198" s="566">
        <f>VLOOKUP($A198,'01-02.2021'!$A$6:$CZ$403,21,FALSE)+VLOOKUP($A198,'1.3.21-28.2.22'!$A$6:$DA$404,21,FALSE)-VLOOKUP($A198,'01-02.2022'!$A$6:$DA$376,21,FALSE)</f>
        <v>0</v>
      </c>
      <c r="V198" s="566">
        <f>VLOOKUP($A198,'01-02.2021'!$A$6:$CZ$403,22,FALSE)+VLOOKUP($A198,'1.3.21-28.2.22'!$A$6:$DA$404,22,FALSE)-VLOOKUP($A198,'01-02.2022'!$A$6:$DA$376,22,FALSE)</f>
        <v>0</v>
      </c>
      <c r="W198" s="70">
        <f t="shared" si="178"/>
        <v>0</v>
      </c>
      <c r="X198" s="566">
        <f>VLOOKUP($A198,'01-02.2021'!$A$6:$CZ$403,24,FALSE)+VLOOKUP($A198,'1.3.21-28.2.22'!$A$6:$DA$404,24,FALSE)-VLOOKUP($A198,'01-02.2022'!$A$6:$DA$376,24,FALSE)</f>
        <v>1085.0566354500772</v>
      </c>
      <c r="Y198" s="566">
        <f>VLOOKUP($A198,'01-02.2021'!$A$6:$CZ$403,25,FALSE)+VLOOKUP($A198,'1.3.21-28.2.22'!$A$6:$DA$404,25,FALSE)-VLOOKUP($A198,'01-02.2022'!$A$6:$DA$376,25,FALSE)</f>
        <v>1251.7133277143475</v>
      </c>
      <c r="Z198" s="70">
        <f t="shared" si="179"/>
        <v>166.6566922642703</v>
      </c>
      <c r="AA198" s="566">
        <f>VLOOKUP($A198,'01-02.2021'!$A$6:$CZ$403,27,FALSE)+VLOOKUP($A198,'1.3.21-28.2.22'!$A$6:$DA$404,27,FALSE)-VLOOKUP($A198,'01-02.2022'!$A$6:$DA$376,27,FALSE)</f>
        <v>74.765999999999991</v>
      </c>
      <c r="AB198" s="566">
        <f>VLOOKUP($A198,'01-02.2021'!$A$6:$CZ$403,28,FALSE)+VLOOKUP($A198,'1.3.21-28.2.22'!$A$6:$DA$404,28,FALSE)-VLOOKUP($A198,'01-02.2022'!$A$6:$DA$376,28,FALSE)</f>
        <v>0</v>
      </c>
      <c r="AC198" s="70">
        <f t="shared" si="180"/>
        <v>-74.765999999999991</v>
      </c>
      <c r="AD198" s="566">
        <f>VLOOKUP($A198,'01-02.2021'!$A$6:$CZ$403,30,FALSE)+VLOOKUP($A198,'1.3.21-28.2.22'!$A$6:$DA$404,30,FALSE)-VLOOKUP($A198,'01-02.2022'!$A$6:$DA$376,30,FALSE)</f>
        <v>1605.7573576765371</v>
      </c>
      <c r="AE198" s="566">
        <f>VLOOKUP($A198,'01-02.2021'!$A$6:$CZ$403,31,FALSE)+VLOOKUP($A198,'1.3.21-28.2.22'!$A$6:$DA$404,31,FALSE)-VLOOKUP($A198,'01-02.2022'!$A$6:$DA$376,31,FALSE)</f>
        <v>1701.6892224519504</v>
      </c>
      <c r="AF198" s="68">
        <f t="shared" si="181"/>
        <v>95.93186477541326</v>
      </c>
      <c r="AG198" s="77">
        <f t="shared" si="219"/>
        <v>5342.4136860037324</v>
      </c>
      <c r="AH198" s="53">
        <f t="shared" si="219"/>
        <v>5494.1934971470528</v>
      </c>
      <c r="AI198" s="52">
        <f t="shared" si="224"/>
        <v>151.77981114332033</v>
      </c>
      <c r="AJ198" s="566">
        <f>VLOOKUP($A198,'01-02.2021'!$A$6:$CZ$403,36,FALSE)+VLOOKUP($A198,'1.3.21-28.2.22'!$A$6:$DA$404,36,FALSE)-VLOOKUP($A198,'01-02.2022'!$A$6:$DA$376,36,FALSE)</f>
        <v>0</v>
      </c>
      <c r="AK198" s="566">
        <f>VLOOKUP($A198,'01-02.2021'!$A$6:$CZ$403,37,FALSE)+VLOOKUP($A198,'1.3.21-28.2.22'!$A$6:$DA$404,37,FALSE)-VLOOKUP($A198,'01-02.2022'!$A$6:$DA$376,37,FALSE)</f>
        <v>0</v>
      </c>
      <c r="AL198" s="70">
        <f t="shared" si="182"/>
        <v>0</v>
      </c>
      <c r="AM198" s="566">
        <f>VLOOKUP($A198,'01-02.2021'!$A$6:$CZ$403,39,FALSE)+VLOOKUP($A198,'1.3.21-28.2.22'!$A$6:$DA$404,39,FALSE)-VLOOKUP($A198,'01-02.2022'!$A$6:$DA$376,39,FALSE)</f>
        <v>0</v>
      </c>
      <c r="AN198" s="566">
        <f>VLOOKUP($A198,'01-02.2021'!$A$6:$CZ$403,40,FALSE)+VLOOKUP($A198,'1.3.21-28.2.22'!$A$6:$DA$404,40,FALSE)-VLOOKUP($A198,'01-02.2022'!$A$6:$DA$376,40,FALSE)</f>
        <v>0</v>
      </c>
      <c r="AO198" s="70">
        <f t="shared" si="183"/>
        <v>0</v>
      </c>
      <c r="AP198" s="566">
        <f>VLOOKUP($A198,'01-02.2021'!$A$6:$CZ$403,42,FALSE)+VLOOKUP($A198,'1.3.21-28.2.22'!$A$6:$DA$404,42,FALSE)-VLOOKUP($A198,'01-02.2022'!$A$6:$DA$376,42,FALSE)</f>
        <v>86.759987502129547</v>
      </c>
      <c r="AQ198" s="566">
        <f>VLOOKUP($A198,'01-02.2021'!$A$6:$CZ$403,43,FALSE)+VLOOKUP($A198,'1.3.21-28.2.22'!$A$6:$DA$404,43,FALSE)-VLOOKUP($A198,'01-02.2022'!$A$6:$DA$376,43,FALSE)</f>
        <v>37.791115529383532</v>
      </c>
      <c r="AR198" s="70">
        <f t="shared" si="184"/>
        <v>-48.968871972746015</v>
      </c>
      <c r="AS198" s="566">
        <f>VLOOKUP($A198,'01-02.2021'!$A$6:$CZ$403,45,FALSE)+VLOOKUP($A198,'1.3.21-28.2.22'!$A$6:$DA$404,45,FALSE)-VLOOKUP($A198,'01-02.2022'!$A$6:$DA$376,45,FALSE)</f>
        <v>3948.8072731699158</v>
      </c>
      <c r="AT198" s="566">
        <f>VLOOKUP($A198,'01-02.2021'!$A$6:$CZ$403,46,FALSE)+VLOOKUP($A198,'1.3.21-28.2.22'!$A$6:$DA$404,46,FALSE)-VLOOKUP($A198,'01-02.2022'!$A$6:$DA$376,46,FALSE)</f>
        <v>2642.23</v>
      </c>
      <c r="AU198" s="78">
        <f t="shared" si="185"/>
        <v>-1306.5772731699158</v>
      </c>
      <c r="AV198" s="566">
        <f>VLOOKUP($A198,'01-02.2021'!$A$6:$CZ$403,48,FALSE)+VLOOKUP($A198,'1.3.21-28.2.22'!$A$6:$DA$404,48,FALSE)-VLOOKUP($A198,'01-02.2022'!$A$6:$DA$376,48,FALSE)</f>
        <v>460.75740001298834</v>
      </c>
      <c r="AW198" s="566">
        <f>VLOOKUP($A198,'01-02.2021'!$A$6:$CZ$403,49,FALSE)+VLOOKUP($A198,'1.3.21-28.2.22'!$A$6:$DA$404,49,FALSE)-VLOOKUP($A198,'01-02.2022'!$A$6:$DA$376,49,FALSE)</f>
        <v>0</v>
      </c>
      <c r="AX198" s="55">
        <f t="shared" si="186"/>
        <v>-460.75740001298834</v>
      </c>
      <c r="AY198" s="566">
        <f>VLOOKUP($A198,'01-02.2021'!$A$6:$CZ$403,51,FALSE)+VLOOKUP($A198,'1.3.21-28.2.22'!$A$6:$DA$404,51,FALSE)-VLOOKUP($A198,'01-02.2022'!$A$6:$DA$376,51,FALSE)</f>
        <v>526.87308535891771</v>
      </c>
      <c r="AZ198" s="566">
        <f>VLOOKUP($A198,'01-02.2021'!$A$6:$CZ$403,52,FALSE)+VLOOKUP($A198,'1.3.21-28.2.22'!$A$6:$DA$404,52,FALSE)-VLOOKUP($A198,'01-02.2022'!$A$6:$DA$376,52,FALSE)</f>
        <v>0</v>
      </c>
      <c r="BA198" s="38">
        <f t="shared" si="187"/>
        <v>-526.87308535891771</v>
      </c>
      <c r="BB198" s="566">
        <f>VLOOKUP($A198,'01-02.2021'!$A$6:$CZ$403,54,FALSE)+VLOOKUP($A198,'1.3.21-28.2.22'!$A$6:$DA$404,54,FALSE)-VLOOKUP($A198,'01-02.2022'!$A$6:$DA$376,54,FALSE)</f>
        <v>178.94436356612073</v>
      </c>
      <c r="BC198" s="566">
        <f>VLOOKUP($A198,'01-02.2021'!$A$6:$CZ$403,55,FALSE)+VLOOKUP($A198,'1.3.21-28.2.22'!$A$6:$DA$404,55,FALSE)-VLOOKUP($A198,'01-02.2022'!$A$6:$DA$376,55,FALSE)</f>
        <v>0</v>
      </c>
      <c r="BD198" s="55">
        <f t="shared" si="188"/>
        <v>-178.94436356612073</v>
      </c>
      <c r="BE198" s="566">
        <f>VLOOKUP($A198,'01-02.2021'!$A$6:$CZ$403,57,FALSE)+VLOOKUP($A198,'1.3.21-28.2.22'!$A$6:$DA$404,57,FALSE)-VLOOKUP($A198,'01-02.2022'!$A$6:$DA$376,57,FALSE)</f>
        <v>0</v>
      </c>
      <c r="BF198" s="566">
        <f>VLOOKUP($A198,'01-02.2021'!$A$6:$CZ$403,58,FALSE)+VLOOKUP($A198,'1.3.21-28.2.22'!$A$6:$DA$404,58,FALSE)-VLOOKUP($A198,'01-02.2022'!$A$6:$DA$376,58,FALSE)</f>
        <v>0</v>
      </c>
      <c r="BG198" s="55">
        <f t="shared" si="189"/>
        <v>0</v>
      </c>
      <c r="BH198" s="566">
        <f>VLOOKUP($A198,'01-02.2021'!$A$6:$CZ$403,60,FALSE)+VLOOKUP($A198,'1.3.21-28.2.22'!$A$6:$DA$404,60,FALSE)-VLOOKUP($A198,'01-02.2022'!$A$6:$DA$376,60,FALSE)</f>
        <v>0</v>
      </c>
      <c r="BI198" s="566">
        <f>VLOOKUP($A198,'01-02.2021'!$A$6:$CZ$403,61,FALSE)+VLOOKUP($A198,'1.3.21-28.2.22'!$A$6:$DA$404,61,FALSE)-VLOOKUP($A198,'01-02.2022'!$A$6:$DA$376,61,FALSE)</f>
        <v>0</v>
      </c>
      <c r="BJ198" s="55">
        <f t="shared" si="190"/>
        <v>0</v>
      </c>
      <c r="BK198" s="566">
        <f>VLOOKUP($A198,'01-02.2021'!$A$6:$CZ$403,63,FALSE)+VLOOKUP($A198,'1.3.21-28.2.22'!$A$6:$DA$404,63,FALSE)-VLOOKUP($A198,'01-02.2022'!$A$6:$DA$376,63,FALSE)</f>
        <v>266.0344714983612</v>
      </c>
      <c r="BL198" s="566">
        <f>VLOOKUP($A198,'01-02.2021'!$A$6:$CZ$403,64,FALSE)+VLOOKUP($A198,'1.3.21-28.2.22'!$A$6:$DA$404,64,FALSE)-VLOOKUP($A198,'01-02.2022'!$A$6:$DA$376,64,FALSE)</f>
        <v>709</v>
      </c>
      <c r="BM198" s="55">
        <f t="shared" si="191"/>
        <v>442.9655285016388</v>
      </c>
      <c r="BN198" s="566">
        <f>VLOOKUP($A198,'01-02.2021'!$A$6:$CZ$403,66,FALSE)+VLOOKUP($A198,'1.3.21-28.2.22'!$A$6:$DA$404,66,FALSE)-VLOOKUP($A198,'01-02.2022'!$A$6:$DA$376,66,FALSE)</f>
        <v>95.291254889834676</v>
      </c>
      <c r="BO198" s="566">
        <f>VLOOKUP($A198,'01-02.2021'!$A$6:$CZ$403,67,FALSE)+VLOOKUP($A198,'1.3.21-28.2.22'!$A$6:$DA$404,67,FALSE)-VLOOKUP($A198,'01-02.2022'!$A$6:$DA$376,67,FALSE)</f>
        <v>0</v>
      </c>
      <c r="BP198" s="55">
        <f t="shared" si="192"/>
        <v>-95.291254889834676</v>
      </c>
      <c r="BQ198" s="77">
        <f t="shared" si="209"/>
        <v>1527.9005753262225</v>
      </c>
      <c r="BR198" s="40">
        <f t="shared" ref="BR198:BR229" si="237">AW198+AZ198+BC198+BF198+BI198+BL198+BO198</f>
        <v>709</v>
      </c>
      <c r="BS198" s="55">
        <f t="shared" si="236"/>
        <v>-818.90057532622245</v>
      </c>
      <c r="BT198" s="566">
        <f>VLOOKUP($A198,'01-02.2021'!$A$6:$CZ$403,72,FALSE)+VLOOKUP($A198,'1.3.21-28.2.22'!$A$6:$DA$404,72,FALSE)-VLOOKUP($A198,'01-02.2022'!$A$6:$DA$376,72,FALSE)</f>
        <v>0</v>
      </c>
      <c r="BU198" s="566">
        <f>VLOOKUP($A198,'01-02.2021'!$A$6:$CZ$403,73,FALSE)+VLOOKUP($A198,'1.3.21-28.2.22'!$A$6:$DA$404,73,FALSE)-VLOOKUP($A198,'01-02.2022'!$A$6:$DA$376,73,FALSE)</f>
        <v>0</v>
      </c>
      <c r="BV198" s="70">
        <f t="shared" si="193"/>
        <v>0</v>
      </c>
      <c r="BW198" s="566">
        <f>VLOOKUP($A198,'01-02.2021'!$A$6:$CZ$403,75,FALSE)+VLOOKUP($A198,'1.3.21-28.2.22'!$A$6:$DA$404,75,FALSE)-VLOOKUP($A198,'01-02.2022'!$A$6:$DA$376,75,FALSE)</f>
        <v>120.71309437684096</v>
      </c>
      <c r="BX198" s="566">
        <f>VLOOKUP($A198,'01-02.2021'!$A$6:$CZ$403,76,FALSE)+VLOOKUP($A198,'1.3.21-28.2.22'!$A$6:$DA$404,76,FALSE)-VLOOKUP($A198,'01-02.2022'!$A$6:$DA$376,76,FALSE)</f>
        <v>731.13627805784074</v>
      </c>
      <c r="BY198" s="70">
        <f t="shared" si="194"/>
        <v>610.42318368099973</v>
      </c>
      <c r="BZ198" s="566">
        <f>VLOOKUP($A198,'01-02.2021'!$A$6:$CZ$403,78,FALSE)+VLOOKUP($A198,'1.3.21-28.2.22'!$A$6:$DA$404,78,FALSE)-VLOOKUP($A198,'01-02.2022'!$A$6:$DA$376,78,FALSE)</f>
        <v>0</v>
      </c>
      <c r="CA198" s="566">
        <f>VLOOKUP($A198,'01-02.2021'!$A$6:$CZ$403,79,FALSE)+VLOOKUP($A198,'1.3.21-28.2.22'!$A$6:$DA$404,79,FALSE)-VLOOKUP($A198,'01-02.2022'!$A$6:$DA$376,79,FALSE)</f>
        <v>0</v>
      </c>
      <c r="CB198" s="70">
        <f t="shared" si="195"/>
        <v>0</v>
      </c>
      <c r="CC198" s="566">
        <f>VLOOKUP($A198,'01-02.2021'!$A$6:$CZ$403,81,FALSE)+VLOOKUP($A198,'1.3.21-28.2.22'!$A$6:$DA$404,81,FALSE)-VLOOKUP($A198,'01-02.2022'!$A$6:$DA$376,81,FALSE)</f>
        <v>80.122412362278368</v>
      </c>
      <c r="CD198" s="566">
        <f>VLOOKUP($A198,'01-02.2021'!$A$6:$CZ$403,82,FALSE)+VLOOKUP($A198,'1.3.21-28.2.22'!$A$6:$DA$404,82,FALSE)-VLOOKUP($A198,'01-02.2022'!$A$6:$DA$376,82,FALSE)</f>
        <v>87.573237421600098</v>
      </c>
      <c r="CE198" s="70">
        <f t="shared" si="196"/>
        <v>7.4508250593217298</v>
      </c>
      <c r="CF198" s="566">
        <f>VLOOKUP($A198,'01-02.2021'!$A$6:$CZ$403,84,FALSE)+VLOOKUP($A198,'1.3.21-28.2.22'!$A$6:$DA$404,84,FALSE)-VLOOKUP($A198,'01-02.2022'!$A$6:$DA$376,84,FALSE)</f>
        <v>9.7405296693619192</v>
      </c>
      <c r="CG198" s="566">
        <f>VLOOKUP($A198,'01-02.2021'!$A$6:$CZ$403,85,FALSE)+VLOOKUP($A198,'1.3.21-28.2.22'!$A$6:$DA$404,85,FALSE)-VLOOKUP($A198,'01-02.2022'!$A$6:$DA$376,85,FALSE)</f>
        <v>0</v>
      </c>
      <c r="CH198" s="70">
        <f t="shared" si="197"/>
        <v>-9.7405296693619192</v>
      </c>
      <c r="CI198" s="566">
        <f>VLOOKUP($A198,'01-02.2021'!$A$6:$CZ$403,87,FALSE)+VLOOKUP($A198,'1.3.21-28.2.22'!$A$6:$DA$404,87,FALSE)-VLOOKUP($A198,'01-02.2022'!$A$6:$DA$376,87,FALSE)</f>
        <v>1142.7303883819834</v>
      </c>
      <c r="CJ198" s="566">
        <f>VLOOKUP($A198,'01-02.2021'!$A$6:$CZ$403,88,FALSE)+VLOOKUP($A198,'1.3.21-28.2.22'!$A$6:$DA$404,88,FALSE)-VLOOKUP($A198,'01-02.2022'!$A$6:$DA$376,88,FALSE)</f>
        <v>1423.5449010449972</v>
      </c>
      <c r="CK198" s="70">
        <f t="shared" si="198"/>
        <v>280.81451266301383</v>
      </c>
      <c r="CL198" s="566">
        <f>VLOOKUP($A198,'01-02.2021'!$A$6:$CZ$403,90,FALSE)+VLOOKUP($A198,'1.3.21-28.2.22'!$A$6:$DA$404,90,FALSE)-VLOOKUP($A198,'01-02.2022'!$A$6:$DA$376,90,FALSE)</f>
        <v>0</v>
      </c>
      <c r="CM198" s="566">
        <f>VLOOKUP($A198,'01-02.2021'!$A$6:$CZ$403,91,FALSE)+VLOOKUP($A198,'1.3.21-28.2.22'!$A$6:$DA$404,91,FALSE)-VLOOKUP($A198,'01-02.2022'!$A$6:$DA$376,91,FALSE)</f>
        <v>0</v>
      </c>
      <c r="CN198" s="52">
        <f t="shared" si="225"/>
        <v>0</v>
      </c>
      <c r="CO198" s="39">
        <f t="shared" si="220"/>
        <v>1142.7303883819834</v>
      </c>
      <c r="CP198" s="40">
        <f t="shared" si="226"/>
        <v>1423.5449010449972</v>
      </c>
      <c r="CQ198" s="52">
        <f t="shared" si="227"/>
        <v>280.81451266301383</v>
      </c>
      <c r="CR198" s="72">
        <f t="shared" si="221"/>
        <v>12259.187946792465</v>
      </c>
      <c r="CS198" s="5">
        <f t="shared" si="221"/>
        <v>11125.469029200875</v>
      </c>
      <c r="CT198" s="52">
        <f t="shared" si="228"/>
        <v>-1133.7189175915901</v>
      </c>
      <c r="CU198" s="77">
        <f t="shared" si="229"/>
        <v>14711.025536150957</v>
      </c>
      <c r="CV198" s="65">
        <f t="shared" si="230"/>
        <v>13350.56283504105</v>
      </c>
      <c r="CW198" s="35">
        <f t="shared" si="231"/>
        <v>-1360.4627011099074</v>
      </c>
      <c r="CX198" s="566">
        <f>VLOOKUP($A198,'01-02.2021'!$A$6:$CZ$403,102,FALSE)+VLOOKUP($A198,'1.3.21-28.2.22'!$A$6:$DA$404,102,FALSE)-VLOOKUP($A198,'01-02.2022'!$A$6:$DA$376,102,FALSE)</f>
        <v>417.15733037504896</v>
      </c>
      <c r="CY198" s="566">
        <f>VLOOKUP($A198,'01-02.2021'!$A$6:$CZ$403,103,FALSE)+VLOOKUP($A198,'1.3.21-28.2.22'!$A$6:$DA$404,103,FALSE)-VLOOKUP($A198,'01-02.2022'!$A$6:$DA$376,103,FALSE)</f>
        <v>1777.6200314849611</v>
      </c>
      <c r="CZ198" s="52">
        <f t="shared" si="232"/>
        <v>1360.4627011099121</v>
      </c>
      <c r="DA198" s="150">
        <f>'[2]побудинковий звіт'!DA198</f>
        <v>13289.708589057907</v>
      </c>
      <c r="DB198" s="2">
        <v>3</v>
      </c>
      <c r="DC198" s="414">
        <f>'[4]побудинковий звіт'!DC198</f>
        <v>3084.62</v>
      </c>
      <c r="DD198" s="414">
        <f>'[4]побудинковий звіт'!DD198</f>
        <v>0</v>
      </c>
      <c r="DE198" s="557">
        <f>'[4]побудинковий звіт'!DE198</f>
        <v>1709.6429374578281</v>
      </c>
      <c r="DF198" s="557">
        <f>'[4]побудинковий звіт'!DF198</f>
        <v>0</v>
      </c>
      <c r="DG198" s="321">
        <f>VLOOKUP(A198,'кошти 01.03.2021'!$A$6:$D$401,4,)</f>
        <v>15655.684897509063</v>
      </c>
      <c r="DH198" s="40">
        <f>'[3]побудинковий звіт'!DJ198</f>
        <v>15668.816408476028</v>
      </c>
      <c r="DI198" s="422">
        <f>'[3]побудинковий звіт'!CU198+'[3]побудинковий звіт'!CX198</f>
        <v>1374.9770625421718</v>
      </c>
      <c r="DJ198" s="306">
        <f>'[3]побудинковий звіт'!DM198</f>
        <v>3.6780811131855971</v>
      </c>
      <c r="DK198" s="306">
        <f t="shared" si="233"/>
        <v>3.6780811131855971</v>
      </c>
      <c r="DL198" s="306">
        <f>'[3]побудинковий звіт'!DO198</f>
        <v>3.6218949365235571</v>
      </c>
      <c r="DM198" s="28">
        <f t="shared" si="234"/>
        <v>1374.9770625421718</v>
      </c>
      <c r="DN198" s="28">
        <f t="shared" si="235"/>
        <v>0</v>
      </c>
      <c r="DO198" s="423">
        <f t="shared" si="171"/>
        <v>1374.9770625421718</v>
      </c>
      <c r="DP198" s="94">
        <f t="shared" si="172"/>
        <v>0</v>
      </c>
      <c r="DQ198" s="28">
        <f t="shared" si="173"/>
        <v>1374.9770625421718</v>
      </c>
      <c r="DR198" s="318"/>
      <c r="DT198" s="8"/>
      <c r="DU198" s="5"/>
      <c r="DX198" s="5">
        <f t="shared" si="174"/>
        <v>6572.0494181953663</v>
      </c>
      <c r="DY198" s="5">
        <f t="shared" si="175"/>
        <v>4021.4759999999997</v>
      </c>
      <c r="DZ198" s="159">
        <f>'[3]побудинковий звіт'!EA198</f>
        <v>626.55033398984756</v>
      </c>
    </row>
    <row r="199" spans="1:130" x14ac:dyDescent="0.3">
      <c r="A199" s="325">
        <v>150000768</v>
      </c>
      <c r="B199" s="41" t="s">
        <v>647</v>
      </c>
      <c r="C199" s="42" t="s">
        <v>117</v>
      </c>
      <c r="D199" s="42"/>
      <c r="E199" s="293">
        <f t="shared" si="218"/>
        <v>119.3</v>
      </c>
      <c r="F199" s="305">
        <f>'[3]побудинковий звіт'!F199</f>
        <v>119.3</v>
      </c>
      <c r="G199" s="508">
        <f>'[3]побудинковий звіт'!G199</f>
        <v>0</v>
      </c>
      <c r="H199" s="560">
        <f>'[3]побудинковий звіт'!H199</f>
        <v>0</v>
      </c>
      <c r="I199" s="566">
        <f>VLOOKUP($A199,'01-02.2021'!$A$6:$CZ$403,9,FALSE)+VLOOKUP($A199,'1.3.21-28.2.22'!$A$6:$DA$404,9,FALSE)-VLOOKUP($A199,'01-02.2022'!$A$6:$DA$376,9,FALSE)</f>
        <v>0</v>
      </c>
      <c r="J199" s="566">
        <f>VLOOKUP($A199,'01-02.2021'!$A$6:$CZ$403,10,FALSE)+VLOOKUP($A199,'1.3.21-28.2.22'!$A$6:$DA$404,10,FALSE)-VLOOKUP($A199,'01-02.2022'!$A$6:$DA$376,10,FALSE)</f>
        <v>0</v>
      </c>
      <c r="K199" s="52">
        <f t="shared" si="222"/>
        <v>0</v>
      </c>
      <c r="L199" s="566">
        <f>VLOOKUP($A199,'01-02.2021'!$A$6:$CZ$403,12,FALSE)+VLOOKUP($A199,'1.3.21-28.2.22'!$A$6:$DA$404,12,FALSE)-VLOOKUP($A199,'01-02.2022'!$A$6:$DA$376,12,FALSE)</f>
        <v>0</v>
      </c>
      <c r="M199" s="566">
        <f>VLOOKUP($A199,'01-02.2021'!$A$6:$CZ$403,13,FALSE)+VLOOKUP($A199,'1.3.21-28.2.22'!$A$6:$DA$404,13,FALSE)-VLOOKUP($A199,'01-02.2022'!$A$6:$DA$376,13,FALSE)</f>
        <v>0</v>
      </c>
      <c r="N199" s="52">
        <f t="shared" si="223"/>
        <v>0</v>
      </c>
      <c r="O199" s="566">
        <f>VLOOKUP($A199,'01-02.2021'!$A$6:$CZ$403,15,FALSE)+VLOOKUP($A199,'1.3.21-28.2.22'!$A$6:$DA$404,15,FALSE)-VLOOKUP($A199,'01-02.2022'!$A$6:$DA$376,15,FALSE)</f>
        <v>0</v>
      </c>
      <c r="P199" s="566">
        <f>VLOOKUP($A199,'01-02.2021'!$A$6:$CZ$403,16,FALSE)+VLOOKUP($A199,'1.3.21-28.2.22'!$A$6:$DA$404,16,FALSE)-VLOOKUP($A199,'01-02.2022'!$A$6:$DA$376,16,FALSE)</f>
        <v>0</v>
      </c>
      <c r="Q199" s="70">
        <f t="shared" si="176"/>
        <v>0</v>
      </c>
      <c r="R199" s="566">
        <f>VLOOKUP($A199,'01-02.2021'!$A$6:$CZ$403,18,FALSE)+VLOOKUP($A199,'1.3.21-28.2.22'!$A$6:$DA$404,18,FALSE)-VLOOKUP($A199,'01-02.2022'!$A$6:$DA$376,18,FALSE)</f>
        <v>0</v>
      </c>
      <c r="S199" s="566">
        <f>VLOOKUP($A199,'01-02.2021'!$A$6:$CZ$403,19,FALSE)+VLOOKUP($A199,'1.3.21-28.2.22'!$A$6:$DA$404,19,FALSE)-VLOOKUP($A199,'01-02.2022'!$A$6:$DA$376,19,FALSE)</f>
        <v>0</v>
      </c>
      <c r="T199" s="70">
        <f t="shared" si="177"/>
        <v>0</v>
      </c>
      <c r="U199" s="566">
        <f>VLOOKUP($A199,'01-02.2021'!$A$6:$CZ$403,21,FALSE)+VLOOKUP($A199,'1.3.21-28.2.22'!$A$6:$DA$404,21,FALSE)-VLOOKUP($A199,'01-02.2022'!$A$6:$DA$376,21,FALSE)</f>
        <v>0</v>
      </c>
      <c r="V199" s="566">
        <f>VLOOKUP($A199,'01-02.2021'!$A$6:$CZ$403,22,FALSE)+VLOOKUP($A199,'1.3.21-28.2.22'!$A$6:$DA$404,22,FALSE)-VLOOKUP($A199,'01-02.2022'!$A$6:$DA$376,22,FALSE)</f>
        <v>0</v>
      </c>
      <c r="W199" s="70">
        <f t="shared" si="178"/>
        <v>0</v>
      </c>
      <c r="X199" s="566">
        <f>VLOOKUP($A199,'01-02.2021'!$A$6:$CZ$403,24,FALSE)+VLOOKUP($A199,'1.3.21-28.2.22'!$A$6:$DA$404,24,FALSE)-VLOOKUP($A199,'01-02.2022'!$A$6:$DA$376,24,FALSE)</f>
        <v>0</v>
      </c>
      <c r="Y199" s="566">
        <f>VLOOKUP($A199,'01-02.2021'!$A$6:$CZ$403,25,FALSE)+VLOOKUP($A199,'1.3.21-28.2.22'!$A$6:$DA$404,25,FALSE)-VLOOKUP($A199,'01-02.2022'!$A$6:$DA$376,25,FALSE)</f>
        <v>0</v>
      </c>
      <c r="Z199" s="70">
        <f t="shared" si="179"/>
        <v>0</v>
      </c>
      <c r="AA199" s="566">
        <f>VLOOKUP($A199,'01-02.2021'!$A$6:$CZ$403,27,FALSE)+VLOOKUP($A199,'1.3.21-28.2.22'!$A$6:$DA$404,27,FALSE)-VLOOKUP($A199,'01-02.2022'!$A$6:$DA$376,27,FALSE)</f>
        <v>23.597999999999999</v>
      </c>
      <c r="AB199" s="566">
        <f>VLOOKUP($A199,'01-02.2021'!$A$6:$CZ$403,28,FALSE)+VLOOKUP($A199,'1.3.21-28.2.22'!$A$6:$DA$404,28,FALSE)-VLOOKUP($A199,'01-02.2022'!$A$6:$DA$376,28,FALSE)</f>
        <v>0</v>
      </c>
      <c r="AC199" s="70">
        <f t="shared" si="180"/>
        <v>-23.597999999999999</v>
      </c>
      <c r="AD199" s="566">
        <f>VLOOKUP($A199,'01-02.2021'!$A$6:$CZ$403,30,FALSE)+VLOOKUP($A199,'1.3.21-28.2.22'!$A$6:$DA$404,30,FALSE)-VLOOKUP($A199,'01-02.2022'!$A$6:$DA$376,30,FALSE)</f>
        <v>177.16488031301509</v>
      </c>
      <c r="AE199" s="566">
        <f>VLOOKUP($A199,'01-02.2021'!$A$6:$CZ$403,31,FALSE)+VLOOKUP($A199,'1.3.21-28.2.22'!$A$6:$DA$404,31,FALSE)-VLOOKUP($A199,'01-02.2022'!$A$6:$DA$376,31,FALSE)</f>
        <v>543.05840686546742</v>
      </c>
      <c r="AF199" s="68">
        <f t="shared" si="181"/>
        <v>365.89352655245233</v>
      </c>
      <c r="AG199" s="77">
        <f t="shared" si="219"/>
        <v>200.7628803130151</v>
      </c>
      <c r="AH199" s="53">
        <f t="shared" si="219"/>
        <v>543.05840686546742</v>
      </c>
      <c r="AI199" s="52">
        <f t="shared" si="224"/>
        <v>342.29552655245232</v>
      </c>
      <c r="AJ199" s="566">
        <f>VLOOKUP($A199,'01-02.2021'!$A$6:$CZ$403,36,FALSE)+VLOOKUP($A199,'1.3.21-28.2.22'!$A$6:$DA$404,36,FALSE)-VLOOKUP($A199,'01-02.2022'!$A$6:$DA$376,36,FALSE)</f>
        <v>0</v>
      </c>
      <c r="AK199" s="566">
        <f>VLOOKUP($A199,'01-02.2021'!$A$6:$CZ$403,37,FALSE)+VLOOKUP($A199,'1.3.21-28.2.22'!$A$6:$DA$404,37,FALSE)-VLOOKUP($A199,'01-02.2022'!$A$6:$DA$376,37,FALSE)</f>
        <v>0</v>
      </c>
      <c r="AL199" s="70">
        <f t="shared" si="182"/>
        <v>0</v>
      </c>
      <c r="AM199" s="566">
        <f>VLOOKUP($A199,'01-02.2021'!$A$6:$CZ$403,39,FALSE)+VLOOKUP($A199,'1.3.21-28.2.22'!$A$6:$DA$404,39,FALSE)-VLOOKUP($A199,'01-02.2022'!$A$6:$DA$376,39,FALSE)</f>
        <v>0</v>
      </c>
      <c r="AN199" s="566">
        <f>VLOOKUP($A199,'01-02.2021'!$A$6:$CZ$403,40,FALSE)+VLOOKUP($A199,'1.3.21-28.2.22'!$A$6:$DA$404,40,FALSE)-VLOOKUP($A199,'01-02.2022'!$A$6:$DA$376,40,FALSE)</f>
        <v>0</v>
      </c>
      <c r="AO199" s="70">
        <f t="shared" si="183"/>
        <v>0</v>
      </c>
      <c r="AP199" s="566">
        <f>VLOOKUP($A199,'01-02.2021'!$A$6:$CZ$403,42,FALSE)+VLOOKUP($A199,'1.3.21-28.2.22'!$A$6:$DA$404,42,FALSE)-VLOOKUP($A199,'01-02.2022'!$A$6:$DA$376,42,FALSE)</f>
        <v>173.51997500425909</v>
      </c>
      <c r="AQ199" s="566">
        <f>VLOOKUP($A199,'01-02.2021'!$A$6:$CZ$403,43,FALSE)+VLOOKUP($A199,'1.3.21-28.2.22'!$A$6:$DA$404,43,FALSE)-VLOOKUP($A199,'01-02.2022'!$A$6:$DA$376,43,FALSE)</f>
        <v>149.58816640996957</v>
      </c>
      <c r="AR199" s="70">
        <f t="shared" si="184"/>
        <v>-23.931808594289521</v>
      </c>
      <c r="AS199" s="566">
        <f>VLOOKUP($A199,'01-02.2021'!$A$6:$CZ$403,45,FALSE)+VLOOKUP($A199,'1.3.21-28.2.22'!$A$6:$DA$404,45,FALSE)-VLOOKUP($A199,'01-02.2022'!$A$6:$DA$376,45,FALSE)</f>
        <v>1680.0292647920121</v>
      </c>
      <c r="AT199" s="566">
        <f>VLOOKUP($A199,'01-02.2021'!$A$6:$CZ$403,46,FALSE)+VLOOKUP($A199,'1.3.21-28.2.22'!$A$6:$DA$404,46,FALSE)-VLOOKUP($A199,'01-02.2022'!$A$6:$DA$376,46,FALSE)</f>
        <v>6432</v>
      </c>
      <c r="AU199" s="78">
        <f t="shared" si="185"/>
        <v>4751.9707352079877</v>
      </c>
      <c r="AV199" s="566">
        <f>VLOOKUP($A199,'01-02.2021'!$A$6:$CZ$403,48,FALSE)+VLOOKUP($A199,'1.3.21-28.2.22'!$A$6:$DA$404,48,FALSE)-VLOOKUP($A199,'01-02.2022'!$A$6:$DA$376,48,FALSE)</f>
        <v>0</v>
      </c>
      <c r="AW199" s="566">
        <f>VLOOKUP($A199,'01-02.2021'!$A$6:$CZ$403,49,FALSE)+VLOOKUP($A199,'1.3.21-28.2.22'!$A$6:$DA$404,49,FALSE)-VLOOKUP($A199,'01-02.2022'!$A$6:$DA$376,49,FALSE)</f>
        <v>0</v>
      </c>
      <c r="AX199" s="55">
        <f t="shared" si="186"/>
        <v>0</v>
      </c>
      <c r="AY199" s="566">
        <f>VLOOKUP($A199,'01-02.2021'!$A$6:$CZ$403,51,FALSE)+VLOOKUP($A199,'1.3.21-28.2.22'!$A$6:$DA$404,51,FALSE)-VLOOKUP($A199,'01-02.2022'!$A$6:$DA$376,51,FALSE)</f>
        <v>0</v>
      </c>
      <c r="AZ199" s="566">
        <f>VLOOKUP($A199,'01-02.2021'!$A$6:$CZ$403,52,FALSE)+VLOOKUP($A199,'1.3.21-28.2.22'!$A$6:$DA$404,52,FALSE)-VLOOKUP($A199,'01-02.2022'!$A$6:$DA$376,52,FALSE)</f>
        <v>0</v>
      </c>
      <c r="BA199" s="38">
        <f t="shared" si="187"/>
        <v>0</v>
      </c>
      <c r="BB199" s="566">
        <f>VLOOKUP($A199,'01-02.2021'!$A$6:$CZ$403,54,FALSE)+VLOOKUP($A199,'1.3.21-28.2.22'!$A$6:$DA$404,54,FALSE)-VLOOKUP($A199,'01-02.2022'!$A$6:$DA$376,54,FALSE)</f>
        <v>0</v>
      </c>
      <c r="BC199" s="566">
        <f>VLOOKUP($A199,'01-02.2021'!$A$6:$CZ$403,55,FALSE)+VLOOKUP($A199,'1.3.21-28.2.22'!$A$6:$DA$404,55,FALSE)-VLOOKUP($A199,'01-02.2022'!$A$6:$DA$376,55,FALSE)</f>
        <v>0</v>
      </c>
      <c r="BD199" s="55">
        <f t="shared" si="188"/>
        <v>0</v>
      </c>
      <c r="BE199" s="566">
        <f>VLOOKUP($A199,'01-02.2021'!$A$6:$CZ$403,57,FALSE)+VLOOKUP($A199,'1.3.21-28.2.22'!$A$6:$DA$404,57,FALSE)-VLOOKUP($A199,'01-02.2022'!$A$6:$DA$376,57,FALSE)</f>
        <v>0</v>
      </c>
      <c r="BF199" s="566">
        <f>VLOOKUP($A199,'01-02.2021'!$A$6:$CZ$403,58,FALSE)+VLOOKUP($A199,'1.3.21-28.2.22'!$A$6:$DA$404,58,FALSE)-VLOOKUP($A199,'01-02.2022'!$A$6:$DA$376,58,FALSE)</f>
        <v>0</v>
      </c>
      <c r="BG199" s="55">
        <f t="shared" si="189"/>
        <v>0</v>
      </c>
      <c r="BH199" s="566">
        <f>VLOOKUP($A199,'01-02.2021'!$A$6:$CZ$403,60,FALSE)+VLOOKUP($A199,'1.3.21-28.2.22'!$A$6:$DA$404,60,FALSE)-VLOOKUP($A199,'01-02.2022'!$A$6:$DA$376,60,FALSE)</f>
        <v>0</v>
      </c>
      <c r="BI199" s="566">
        <f>VLOOKUP($A199,'01-02.2021'!$A$6:$CZ$403,61,FALSE)+VLOOKUP($A199,'1.3.21-28.2.22'!$A$6:$DA$404,61,FALSE)-VLOOKUP($A199,'01-02.2022'!$A$6:$DA$376,61,FALSE)</f>
        <v>0</v>
      </c>
      <c r="BJ199" s="55">
        <f t="shared" si="190"/>
        <v>0</v>
      </c>
      <c r="BK199" s="566">
        <f>VLOOKUP($A199,'01-02.2021'!$A$6:$CZ$403,63,FALSE)+VLOOKUP($A199,'1.3.21-28.2.22'!$A$6:$DA$404,63,FALSE)-VLOOKUP($A199,'01-02.2022'!$A$6:$DA$376,63,FALSE)</f>
        <v>0</v>
      </c>
      <c r="BL199" s="566">
        <f>VLOOKUP($A199,'01-02.2021'!$A$6:$CZ$403,64,FALSE)+VLOOKUP($A199,'1.3.21-28.2.22'!$A$6:$DA$404,64,FALSE)-VLOOKUP($A199,'01-02.2022'!$A$6:$DA$376,64,FALSE)</f>
        <v>0</v>
      </c>
      <c r="BM199" s="55">
        <f t="shared" si="191"/>
        <v>0</v>
      </c>
      <c r="BN199" s="566">
        <f>VLOOKUP($A199,'01-02.2021'!$A$6:$CZ$403,66,FALSE)+VLOOKUP($A199,'1.3.21-28.2.22'!$A$6:$DA$404,66,FALSE)-VLOOKUP($A199,'01-02.2022'!$A$6:$DA$376,66,FALSE)</f>
        <v>5.8994999999999997</v>
      </c>
      <c r="BO199" s="566">
        <f>VLOOKUP($A199,'01-02.2021'!$A$6:$CZ$403,67,FALSE)+VLOOKUP($A199,'1.3.21-28.2.22'!$A$6:$DA$404,67,FALSE)-VLOOKUP($A199,'01-02.2022'!$A$6:$DA$376,67,FALSE)</f>
        <v>0</v>
      </c>
      <c r="BP199" s="55">
        <f t="shared" si="192"/>
        <v>-5.8994999999999997</v>
      </c>
      <c r="BQ199" s="77">
        <f t="shared" si="209"/>
        <v>5.8994999999999997</v>
      </c>
      <c r="BR199" s="40">
        <f t="shared" si="237"/>
        <v>0</v>
      </c>
      <c r="BS199" s="55">
        <f t="shared" si="236"/>
        <v>-5.8994999999999997</v>
      </c>
      <c r="BT199" s="566">
        <f>VLOOKUP($A199,'01-02.2021'!$A$6:$CZ$403,72,FALSE)+VLOOKUP($A199,'1.3.21-28.2.22'!$A$6:$DA$404,72,FALSE)-VLOOKUP($A199,'01-02.2022'!$A$6:$DA$376,72,FALSE)</f>
        <v>0</v>
      </c>
      <c r="BU199" s="566">
        <f>VLOOKUP($A199,'01-02.2021'!$A$6:$CZ$403,73,FALSE)+VLOOKUP($A199,'1.3.21-28.2.22'!$A$6:$DA$404,73,FALSE)-VLOOKUP($A199,'01-02.2022'!$A$6:$DA$376,73,FALSE)</f>
        <v>0</v>
      </c>
      <c r="BV199" s="70">
        <f t="shared" si="193"/>
        <v>0</v>
      </c>
      <c r="BW199" s="566">
        <f>VLOOKUP($A199,'01-02.2021'!$A$6:$CZ$403,75,FALSE)+VLOOKUP($A199,'1.3.21-28.2.22'!$A$6:$DA$404,75,FALSE)-VLOOKUP($A199,'01-02.2022'!$A$6:$DA$376,75,FALSE)</f>
        <v>0</v>
      </c>
      <c r="BX199" s="566">
        <f>VLOOKUP($A199,'01-02.2021'!$A$6:$CZ$403,76,FALSE)+VLOOKUP($A199,'1.3.21-28.2.22'!$A$6:$DA$404,76,FALSE)-VLOOKUP($A199,'01-02.2022'!$A$6:$DA$376,76,FALSE)</f>
        <v>2.6737027578657</v>
      </c>
      <c r="BY199" s="70">
        <f t="shared" si="194"/>
        <v>2.6737027578657</v>
      </c>
      <c r="BZ199" s="566">
        <f>VLOOKUP($A199,'01-02.2021'!$A$6:$CZ$403,78,FALSE)+VLOOKUP($A199,'1.3.21-28.2.22'!$A$6:$DA$404,78,FALSE)-VLOOKUP($A199,'01-02.2022'!$A$6:$DA$376,78,FALSE)</f>
        <v>0</v>
      </c>
      <c r="CA199" s="566">
        <f>VLOOKUP($A199,'01-02.2021'!$A$6:$CZ$403,79,FALSE)+VLOOKUP($A199,'1.3.21-28.2.22'!$A$6:$DA$404,79,FALSE)-VLOOKUP($A199,'01-02.2022'!$A$6:$DA$376,79,FALSE)</f>
        <v>0</v>
      </c>
      <c r="CB199" s="70">
        <f t="shared" si="195"/>
        <v>0</v>
      </c>
      <c r="CC199" s="566">
        <f>VLOOKUP($A199,'01-02.2021'!$A$6:$CZ$403,81,FALSE)+VLOOKUP($A199,'1.3.21-28.2.22'!$A$6:$DA$404,81,FALSE)-VLOOKUP($A199,'01-02.2022'!$A$6:$DA$376,81,FALSE)</f>
        <v>0</v>
      </c>
      <c r="CD199" s="566">
        <f>VLOOKUP($A199,'01-02.2021'!$A$6:$CZ$403,82,FALSE)+VLOOKUP($A199,'1.3.21-28.2.22'!$A$6:$DA$404,82,FALSE)-VLOOKUP($A199,'01-02.2022'!$A$6:$DA$376,82,FALSE)</f>
        <v>0</v>
      </c>
      <c r="CE199" s="70">
        <f t="shared" si="196"/>
        <v>0</v>
      </c>
      <c r="CF199" s="566">
        <f>VLOOKUP($A199,'01-02.2021'!$A$6:$CZ$403,84,FALSE)+VLOOKUP($A199,'1.3.21-28.2.22'!$A$6:$DA$404,84,FALSE)-VLOOKUP($A199,'01-02.2022'!$A$6:$DA$376,84,FALSE)</f>
        <v>0</v>
      </c>
      <c r="CG199" s="566">
        <f>VLOOKUP($A199,'01-02.2021'!$A$6:$CZ$403,85,FALSE)+VLOOKUP($A199,'1.3.21-28.2.22'!$A$6:$DA$404,85,FALSE)-VLOOKUP($A199,'01-02.2022'!$A$6:$DA$376,85,FALSE)</f>
        <v>0</v>
      </c>
      <c r="CH199" s="70">
        <f t="shared" si="197"/>
        <v>0</v>
      </c>
      <c r="CI199" s="566">
        <f>VLOOKUP($A199,'01-02.2021'!$A$6:$CZ$403,87,FALSE)+VLOOKUP($A199,'1.3.21-28.2.22'!$A$6:$DA$404,87,FALSE)-VLOOKUP($A199,'01-02.2022'!$A$6:$DA$376,87,FALSE)</f>
        <v>0</v>
      </c>
      <c r="CJ199" s="566">
        <f>VLOOKUP($A199,'01-02.2021'!$A$6:$CZ$403,88,FALSE)+VLOOKUP($A199,'1.3.21-28.2.22'!$A$6:$DA$404,88,FALSE)-VLOOKUP($A199,'01-02.2022'!$A$6:$DA$376,88,FALSE)</f>
        <v>0</v>
      </c>
      <c r="CK199" s="70">
        <f t="shared" si="198"/>
        <v>0</v>
      </c>
      <c r="CL199" s="566">
        <f>VLOOKUP($A199,'01-02.2021'!$A$6:$CZ$403,90,FALSE)+VLOOKUP($A199,'1.3.21-28.2.22'!$A$6:$DA$404,90,FALSE)-VLOOKUP($A199,'01-02.2022'!$A$6:$DA$376,90,FALSE)</f>
        <v>0</v>
      </c>
      <c r="CM199" s="566">
        <f>VLOOKUP($A199,'01-02.2021'!$A$6:$CZ$403,91,FALSE)+VLOOKUP($A199,'1.3.21-28.2.22'!$A$6:$DA$404,91,FALSE)-VLOOKUP($A199,'01-02.2022'!$A$6:$DA$376,91,FALSE)</f>
        <v>0</v>
      </c>
      <c r="CN199" s="52">
        <f t="shared" si="225"/>
        <v>0</v>
      </c>
      <c r="CO199" s="39">
        <f t="shared" si="220"/>
        <v>0</v>
      </c>
      <c r="CP199" s="40">
        <f t="shared" si="226"/>
        <v>0</v>
      </c>
      <c r="CQ199" s="52">
        <f t="shared" si="227"/>
        <v>0</v>
      </c>
      <c r="CR199" s="72">
        <f t="shared" si="221"/>
        <v>2060.2116201092863</v>
      </c>
      <c r="CS199" s="5">
        <f t="shared" si="221"/>
        <v>7127.3202760333024</v>
      </c>
      <c r="CT199" s="52">
        <f t="shared" si="228"/>
        <v>5067.1086559240157</v>
      </c>
      <c r="CU199" s="77">
        <f t="shared" si="229"/>
        <v>2472.2539441311433</v>
      </c>
      <c r="CV199" s="65">
        <f t="shared" si="230"/>
        <v>8552.7843312399618</v>
      </c>
      <c r="CW199" s="35">
        <f t="shared" si="231"/>
        <v>6080.5303871088181</v>
      </c>
      <c r="CX199" s="566">
        <f>VLOOKUP($A199,'01-02.2021'!$A$6:$CZ$403,102,FALSE)+VLOOKUP($A199,'1.3.21-28.2.22'!$A$6:$DA$404,102,FALSE)-VLOOKUP($A199,'01-02.2022'!$A$6:$DA$376,102,FALSE)</f>
        <v>69.845265154291823</v>
      </c>
      <c r="CY199" s="566">
        <f>VLOOKUP($A199,'01-02.2021'!$A$6:$CZ$403,103,FALSE)+VLOOKUP($A199,'1.3.21-28.2.22'!$A$6:$DA$404,103,FALSE)-VLOOKUP($A199,'01-02.2022'!$A$6:$DA$376,103,FALSE)</f>
        <v>-6010.6851219545242</v>
      </c>
      <c r="CZ199" s="52">
        <f t="shared" si="232"/>
        <v>-6080.5303871088163</v>
      </c>
      <c r="DA199" s="150">
        <f>'[2]побудинковий звіт'!DA199</f>
        <v>4046.455984367416</v>
      </c>
      <c r="DB199" s="2">
        <v>3</v>
      </c>
      <c r="DC199" s="414">
        <f>'[4]побудинковий звіт'!DC199</f>
        <v>264.18</v>
      </c>
      <c r="DD199" s="414">
        <f>'[4]побудинковий звіт'!DD199</f>
        <v>0</v>
      </c>
      <c r="DE199" s="557">
        <f>'[4]побудинковий звіт'!DE199</f>
        <v>32.106163512732564</v>
      </c>
      <c r="DF199" s="557">
        <f>'[4]побудинковий звіт'!DF199</f>
        <v>0</v>
      </c>
      <c r="DG199" s="321">
        <f>VLOOKUP(A199,'кошти 01.03.2021'!$A$6:$D$401,4,)</f>
        <v>-1882.1088478101194</v>
      </c>
      <c r="DH199" s="40">
        <f>'[3]побудинковий звіт'!DJ199</f>
        <v>2637.8828854662174</v>
      </c>
      <c r="DI199" s="422">
        <f>'[3]побудинковий звіт'!CU199+'[3]побудинковий звіт'!CX199</f>
        <v>232.07383648726744</v>
      </c>
      <c r="DJ199" s="306">
        <f>'[3]побудинковий звіт'!DM199</f>
        <v>1.945296198552116</v>
      </c>
      <c r="DK199" s="306">
        <f t="shared" si="233"/>
        <v>1.945296198552116</v>
      </c>
      <c r="DL199" s="306">
        <f>'[3]побудинковий звіт'!DO199</f>
        <v>1.945296198552116</v>
      </c>
      <c r="DM199" s="28">
        <f t="shared" si="234"/>
        <v>232.07383648726744</v>
      </c>
      <c r="DN199" s="28">
        <f t="shared" si="235"/>
        <v>0</v>
      </c>
      <c r="DO199" s="423">
        <f t="shared" si="171"/>
        <v>232.07383648726744</v>
      </c>
      <c r="DP199" s="94">
        <f t="shared" si="172"/>
        <v>0</v>
      </c>
      <c r="DQ199" s="28">
        <f t="shared" si="173"/>
        <v>232.07383648726744</v>
      </c>
      <c r="DR199" s="318"/>
      <c r="DT199" s="8"/>
      <c r="DU199" s="5"/>
      <c r="DX199" s="5">
        <f t="shared" si="174"/>
        <v>2023.1145177504145</v>
      </c>
      <c r="DY199" s="5">
        <f t="shared" si="175"/>
        <v>7718.4</v>
      </c>
      <c r="DZ199" s="159">
        <f>'[3]побудинковий звіт'!EA199</f>
        <v>209.70382102120823</v>
      </c>
    </row>
    <row r="200" spans="1:130" x14ac:dyDescent="0.3">
      <c r="A200" s="325">
        <v>150000763</v>
      </c>
      <c r="B200" s="41" t="s">
        <v>648</v>
      </c>
      <c r="C200" s="42" t="s">
        <v>118</v>
      </c>
      <c r="D200" s="42"/>
      <c r="E200" s="293">
        <f t="shared" si="218"/>
        <v>182.8</v>
      </c>
      <c r="F200" s="305">
        <f>'[3]побудинковий звіт'!F200</f>
        <v>182.8</v>
      </c>
      <c r="G200" s="508">
        <f>'[3]побудинковий звіт'!G200</f>
        <v>0</v>
      </c>
      <c r="H200" s="560">
        <f>'[3]побудинковий звіт'!H200</f>
        <v>0</v>
      </c>
      <c r="I200" s="566">
        <f>VLOOKUP($A200,'01-02.2021'!$A$6:$CZ$403,9,FALSE)+VLOOKUP($A200,'1.3.21-28.2.22'!$A$6:$DA$404,9,FALSE)-VLOOKUP($A200,'01-02.2022'!$A$6:$DA$376,9,FALSE)</f>
        <v>0</v>
      </c>
      <c r="J200" s="566">
        <f>VLOOKUP($A200,'01-02.2021'!$A$6:$CZ$403,10,FALSE)+VLOOKUP($A200,'1.3.21-28.2.22'!$A$6:$DA$404,10,FALSE)-VLOOKUP($A200,'01-02.2022'!$A$6:$DA$376,10,FALSE)</f>
        <v>0</v>
      </c>
      <c r="K200" s="52">
        <f t="shared" si="222"/>
        <v>0</v>
      </c>
      <c r="L200" s="566">
        <f>VLOOKUP($A200,'01-02.2021'!$A$6:$CZ$403,12,FALSE)+VLOOKUP($A200,'1.3.21-28.2.22'!$A$6:$DA$404,12,FALSE)-VLOOKUP($A200,'01-02.2022'!$A$6:$DA$376,12,FALSE)</f>
        <v>0</v>
      </c>
      <c r="M200" s="566">
        <f>VLOOKUP($A200,'01-02.2021'!$A$6:$CZ$403,13,FALSE)+VLOOKUP($A200,'1.3.21-28.2.22'!$A$6:$DA$404,13,FALSE)-VLOOKUP($A200,'01-02.2022'!$A$6:$DA$376,13,FALSE)</f>
        <v>0</v>
      </c>
      <c r="N200" s="52">
        <f t="shared" si="223"/>
        <v>0</v>
      </c>
      <c r="O200" s="566">
        <f>VLOOKUP($A200,'01-02.2021'!$A$6:$CZ$403,15,FALSE)+VLOOKUP($A200,'1.3.21-28.2.22'!$A$6:$DA$404,15,FALSE)-VLOOKUP($A200,'01-02.2022'!$A$6:$DA$376,15,FALSE)</f>
        <v>0</v>
      </c>
      <c r="P200" s="566">
        <f>VLOOKUP($A200,'01-02.2021'!$A$6:$CZ$403,16,FALSE)+VLOOKUP($A200,'1.3.21-28.2.22'!$A$6:$DA$404,16,FALSE)-VLOOKUP($A200,'01-02.2022'!$A$6:$DA$376,16,FALSE)</f>
        <v>0</v>
      </c>
      <c r="Q200" s="70">
        <f t="shared" si="176"/>
        <v>0</v>
      </c>
      <c r="R200" s="566">
        <f>VLOOKUP($A200,'01-02.2021'!$A$6:$CZ$403,18,FALSE)+VLOOKUP($A200,'1.3.21-28.2.22'!$A$6:$DA$404,18,FALSE)-VLOOKUP($A200,'01-02.2022'!$A$6:$DA$376,18,FALSE)</f>
        <v>0</v>
      </c>
      <c r="S200" s="566">
        <f>VLOOKUP($A200,'01-02.2021'!$A$6:$CZ$403,19,FALSE)+VLOOKUP($A200,'1.3.21-28.2.22'!$A$6:$DA$404,19,FALSE)-VLOOKUP($A200,'01-02.2022'!$A$6:$DA$376,19,FALSE)</f>
        <v>0</v>
      </c>
      <c r="T200" s="70">
        <f t="shared" si="177"/>
        <v>0</v>
      </c>
      <c r="U200" s="566">
        <f>VLOOKUP($A200,'01-02.2021'!$A$6:$CZ$403,21,FALSE)+VLOOKUP($A200,'1.3.21-28.2.22'!$A$6:$DA$404,21,FALSE)-VLOOKUP($A200,'01-02.2022'!$A$6:$DA$376,21,FALSE)</f>
        <v>0</v>
      </c>
      <c r="V200" s="566">
        <f>VLOOKUP($A200,'01-02.2021'!$A$6:$CZ$403,22,FALSE)+VLOOKUP($A200,'1.3.21-28.2.22'!$A$6:$DA$404,22,FALSE)-VLOOKUP($A200,'01-02.2022'!$A$6:$DA$376,22,FALSE)</f>
        <v>0</v>
      </c>
      <c r="W200" s="70">
        <f t="shared" si="178"/>
        <v>0</v>
      </c>
      <c r="X200" s="566">
        <f>VLOOKUP($A200,'01-02.2021'!$A$6:$CZ$403,24,FALSE)+VLOOKUP($A200,'1.3.21-28.2.22'!$A$6:$DA$404,24,FALSE)-VLOOKUP($A200,'01-02.2022'!$A$6:$DA$376,24,FALSE)</f>
        <v>0</v>
      </c>
      <c r="Y200" s="566">
        <f>VLOOKUP($A200,'01-02.2021'!$A$6:$CZ$403,25,FALSE)+VLOOKUP($A200,'1.3.21-28.2.22'!$A$6:$DA$404,25,FALSE)-VLOOKUP($A200,'01-02.2022'!$A$6:$DA$376,25,FALSE)</f>
        <v>0</v>
      </c>
      <c r="Z200" s="70">
        <f t="shared" si="179"/>
        <v>0</v>
      </c>
      <c r="AA200" s="566">
        <f>VLOOKUP($A200,'01-02.2021'!$A$6:$CZ$403,27,FALSE)+VLOOKUP($A200,'1.3.21-28.2.22'!$A$6:$DA$404,27,FALSE)-VLOOKUP($A200,'01-02.2022'!$A$6:$DA$376,27,FALSE)</f>
        <v>36.56</v>
      </c>
      <c r="AB200" s="566">
        <f>VLOOKUP($A200,'01-02.2021'!$A$6:$CZ$403,28,FALSE)+VLOOKUP($A200,'1.3.21-28.2.22'!$A$6:$DA$404,28,FALSE)-VLOOKUP($A200,'01-02.2022'!$A$6:$DA$376,28,FALSE)</f>
        <v>0</v>
      </c>
      <c r="AC200" s="70">
        <f t="shared" si="180"/>
        <v>-36.56</v>
      </c>
      <c r="AD200" s="566">
        <f>VLOOKUP($A200,'01-02.2021'!$A$6:$CZ$403,30,FALSE)+VLOOKUP($A200,'1.3.21-28.2.22'!$A$6:$DA$404,30,FALSE)-VLOOKUP($A200,'01-02.2022'!$A$6:$DA$376,30,FALSE)</f>
        <v>274.57357816193007</v>
      </c>
      <c r="AE200" s="566">
        <f>VLOOKUP($A200,'01-02.2021'!$A$6:$CZ$403,31,FALSE)+VLOOKUP($A200,'1.3.21-28.2.22'!$A$6:$DA$404,31,FALSE)-VLOOKUP($A200,'01-02.2022'!$A$6:$DA$376,31,FALSE)</f>
        <v>832.11296542336504</v>
      </c>
      <c r="AF200" s="68">
        <f t="shared" si="181"/>
        <v>557.53938726143497</v>
      </c>
      <c r="AG200" s="77">
        <f t="shared" si="219"/>
        <v>311.13357816193007</v>
      </c>
      <c r="AH200" s="53">
        <f t="shared" si="219"/>
        <v>832.11296542336504</v>
      </c>
      <c r="AI200" s="52">
        <f t="shared" si="224"/>
        <v>520.97938726143502</v>
      </c>
      <c r="AJ200" s="566">
        <f>VLOOKUP($A200,'01-02.2021'!$A$6:$CZ$403,36,FALSE)+VLOOKUP($A200,'1.3.21-28.2.22'!$A$6:$DA$404,36,FALSE)-VLOOKUP($A200,'01-02.2022'!$A$6:$DA$376,36,FALSE)</f>
        <v>0</v>
      </c>
      <c r="AK200" s="566">
        <f>VLOOKUP($A200,'01-02.2021'!$A$6:$CZ$403,37,FALSE)+VLOOKUP($A200,'1.3.21-28.2.22'!$A$6:$DA$404,37,FALSE)-VLOOKUP($A200,'01-02.2022'!$A$6:$DA$376,37,FALSE)</f>
        <v>0</v>
      </c>
      <c r="AL200" s="70">
        <f t="shared" si="182"/>
        <v>0</v>
      </c>
      <c r="AM200" s="566">
        <f>VLOOKUP($A200,'01-02.2021'!$A$6:$CZ$403,39,FALSE)+VLOOKUP($A200,'1.3.21-28.2.22'!$A$6:$DA$404,39,FALSE)-VLOOKUP($A200,'01-02.2022'!$A$6:$DA$376,39,FALSE)</f>
        <v>0</v>
      </c>
      <c r="AN200" s="566">
        <f>VLOOKUP($A200,'01-02.2021'!$A$6:$CZ$403,40,FALSE)+VLOOKUP($A200,'1.3.21-28.2.22'!$A$6:$DA$404,40,FALSE)-VLOOKUP($A200,'01-02.2022'!$A$6:$DA$376,40,FALSE)</f>
        <v>0</v>
      </c>
      <c r="AO200" s="70">
        <f t="shared" si="183"/>
        <v>0</v>
      </c>
      <c r="AP200" s="566">
        <f>VLOOKUP($A200,'01-02.2021'!$A$6:$CZ$403,42,FALSE)+VLOOKUP($A200,'1.3.21-28.2.22'!$A$6:$DA$404,42,FALSE)-VLOOKUP($A200,'01-02.2022'!$A$6:$DA$376,42,FALSE)</f>
        <v>216.89996875532395</v>
      </c>
      <c r="AQ200" s="566">
        <f>VLOOKUP($A200,'01-02.2021'!$A$6:$CZ$403,43,FALSE)+VLOOKUP($A200,'1.3.21-28.2.22'!$A$6:$DA$404,43,FALSE)-VLOOKUP($A200,'01-02.2022'!$A$6:$DA$376,43,FALSE)</f>
        <v>186.98520801246201</v>
      </c>
      <c r="AR200" s="70">
        <f t="shared" si="184"/>
        <v>-29.914760742861944</v>
      </c>
      <c r="AS200" s="566">
        <f>VLOOKUP($A200,'01-02.2021'!$A$6:$CZ$403,45,FALSE)+VLOOKUP($A200,'1.3.21-28.2.22'!$A$6:$DA$404,45,FALSE)-VLOOKUP($A200,'01-02.2022'!$A$6:$DA$376,45,FALSE)</f>
        <v>1939.180598998209</v>
      </c>
      <c r="AT200" s="566">
        <f>VLOOKUP($A200,'01-02.2021'!$A$6:$CZ$403,46,FALSE)+VLOOKUP($A200,'1.3.21-28.2.22'!$A$6:$DA$404,46,FALSE)-VLOOKUP($A200,'01-02.2022'!$A$6:$DA$376,46,FALSE)</f>
        <v>0</v>
      </c>
      <c r="AU200" s="78">
        <f t="shared" si="185"/>
        <v>-1939.180598998209</v>
      </c>
      <c r="AV200" s="566">
        <f>VLOOKUP($A200,'01-02.2021'!$A$6:$CZ$403,48,FALSE)+VLOOKUP($A200,'1.3.21-28.2.22'!$A$6:$DA$404,48,FALSE)-VLOOKUP($A200,'01-02.2022'!$A$6:$DA$376,48,FALSE)</f>
        <v>0</v>
      </c>
      <c r="AW200" s="566">
        <f>VLOOKUP($A200,'01-02.2021'!$A$6:$CZ$403,49,FALSE)+VLOOKUP($A200,'1.3.21-28.2.22'!$A$6:$DA$404,49,FALSE)-VLOOKUP($A200,'01-02.2022'!$A$6:$DA$376,49,FALSE)</f>
        <v>0</v>
      </c>
      <c r="AX200" s="55">
        <f t="shared" si="186"/>
        <v>0</v>
      </c>
      <c r="AY200" s="566">
        <f>VLOOKUP($A200,'01-02.2021'!$A$6:$CZ$403,51,FALSE)+VLOOKUP($A200,'1.3.21-28.2.22'!$A$6:$DA$404,51,FALSE)-VLOOKUP($A200,'01-02.2022'!$A$6:$DA$376,51,FALSE)</f>
        <v>0</v>
      </c>
      <c r="AZ200" s="566">
        <f>VLOOKUP($A200,'01-02.2021'!$A$6:$CZ$403,52,FALSE)+VLOOKUP($A200,'1.3.21-28.2.22'!$A$6:$DA$404,52,FALSE)-VLOOKUP($A200,'01-02.2022'!$A$6:$DA$376,52,FALSE)</f>
        <v>0</v>
      </c>
      <c r="BA200" s="38">
        <f t="shared" si="187"/>
        <v>0</v>
      </c>
      <c r="BB200" s="566">
        <f>VLOOKUP($A200,'01-02.2021'!$A$6:$CZ$403,54,FALSE)+VLOOKUP($A200,'1.3.21-28.2.22'!$A$6:$DA$404,54,FALSE)-VLOOKUP($A200,'01-02.2022'!$A$6:$DA$376,54,FALSE)</f>
        <v>0</v>
      </c>
      <c r="BC200" s="566">
        <f>VLOOKUP($A200,'01-02.2021'!$A$6:$CZ$403,55,FALSE)+VLOOKUP($A200,'1.3.21-28.2.22'!$A$6:$DA$404,55,FALSE)-VLOOKUP($A200,'01-02.2022'!$A$6:$DA$376,55,FALSE)</f>
        <v>0</v>
      </c>
      <c r="BD200" s="55">
        <f t="shared" si="188"/>
        <v>0</v>
      </c>
      <c r="BE200" s="566">
        <f>VLOOKUP($A200,'01-02.2021'!$A$6:$CZ$403,57,FALSE)+VLOOKUP($A200,'1.3.21-28.2.22'!$A$6:$DA$404,57,FALSE)-VLOOKUP($A200,'01-02.2022'!$A$6:$DA$376,57,FALSE)</f>
        <v>0</v>
      </c>
      <c r="BF200" s="566">
        <f>VLOOKUP($A200,'01-02.2021'!$A$6:$CZ$403,58,FALSE)+VLOOKUP($A200,'1.3.21-28.2.22'!$A$6:$DA$404,58,FALSE)-VLOOKUP($A200,'01-02.2022'!$A$6:$DA$376,58,FALSE)</f>
        <v>0</v>
      </c>
      <c r="BG200" s="55">
        <f t="shared" si="189"/>
        <v>0</v>
      </c>
      <c r="BH200" s="566">
        <f>VLOOKUP($A200,'01-02.2021'!$A$6:$CZ$403,60,FALSE)+VLOOKUP($A200,'1.3.21-28.2.22'!$A$6:$DA$404,60,FALSE)-VLOOKUP($A200,'01-02.2022'!$A$6:$DA$376,60,FALSE)</f>
        <v>0</v>
      </c>
      <c r="BI200" s="566">
        <f>VLOOKUP($A200,'01-02.2021'!$A$6:$CZ$403,61,FALSE)+VLOOKUP($A200,'1.3.21-28.2.22'!$A$6:$DA$404,61,FALSE)-VLOOKUP($A200,'01-02.2022'!$A$6:$DA$376,61,FALSE)</f>
        <v>0</v>
      </c>
      <c r="BJ200" s="55">
        <f t="shared" si="190"/>
        <v>0</v>
      </c>
      <c r="BK200" s="566">
        <f>VLOOKUP($A200,'01-02.2021'!$A$6:$CZ$403,63,FALSE)+VLOOKUP($A200,'1.3.21-28.2.22'!$A$6:$DA$404,63,FALSE)-VLOOKUP($A200,'01-02.2022'!$A$6:$DA$376,63,FALSE)</f>
        <v>0</v>
      </c>
      <c r="BL200" s="566">
        <f>VLOOKUP($A200,'01-02.2021'!$A$6:$CZ$403,64,FALSE)+VLOOKUP($A200,'1.3.21-28.2.22'!$A$6:$DA$404,64,FALSE)-VLOOKUP($A200,'01-02.2022'!$A$6:$DA$376,64,FALSE)</f>
        <v>0</v>
      </c>
      <c r="BM200" s="55">
        <f t="shared" si="191"/>
        <v>0</v>
      </c>
      <c r="BN200" s="566">
        <f>VLOOKUP($A200,'01-02.2021'!$A$6:$CZ$403,66,FALSE)+VLOOKUP($A200,'1.3.21-28.2.22'!$A$6:$DA$404,66,FALSE)-VLOOKUP($A200,'01-02.2022'!$A$6:$DA$376,66,FALSE)</f>
        <v>9.14</v>
      </c>
      <c r="BO200" s="566">
        <f>VLOOKUP($A200,'01-02.2021'!$A$6:$CZ$403,67,FALSE)+VLOOKUP($A200,'1.3.21-28.2.22'!$A$6:$DA$404,67,FALSE)-VLOOKUP($A200,'01-02.2022'!$A$6:$DA$376,67,FALSE)</f>
        <v>0</v>
      </c>
      <c r="BP200" s="55">
        <f t="shared" si="192"/>
        <v>-9.14</v>
      </c>
      <c r="BQ200" s="77">
        <f t="shared" si="209"/>
        <v>9.14</v>
      </c>
      <c r="BR200" s="40">
        <f t="shared" si="237"/>
        <v>0</v>
      </c>
      <c r="BS200" s="55">
        <f t="shared" si="236"/>
        <v>-9.14</v>
      </c>
      <c r="BT200" s="566">
        <f>VLOOKUP($A200,'01-02.2021'!$A$6:$CZ$403,72,FALSE)+VLOOKUP($A200,'1.3.21-28.2.22'!$A$6:$DA$404,72,FALSE)-VLOOKUP($A200,'01-02.2022'!$A$6:$DA$376,72,FALSE)</f>
        <v>139.57422939948549</v>
      </c>
      <c r="BU200" s="566">
        <f>VLOOKUP($A200,'01-02.2021'!$A$6:$CZ$403,73,FALSE)+VLOOKUP($A200,'1.3.21-28.2.22'!$A$6:$DA$404,73,FALSE)-VLOOKUP($A200,'01-02.2022'!$A$6:$DA$376,73,FALSE)</f>
        <v>216.58323372889066</v>
      </c>
      <c r="BV200" s="70">
        <f t="shared" si="193"/>
        <v>77.009004329405172</v>
      </c>
      <c r="BW200" s="566">
        <f>VLOOKUP($A200,'01-02.2021'!$A$6:$CZ$403,75,FALSE)+VLOOKUP($A200,'1.3.21-28.2.22'!$A$6:$DA$404,75,FALSE)-VLOOKUP($A200,'01-02.2022'!$A$6:$DA$376,75,FALSE)</f>
        <v>0</v>
      </c>
      <c r="BX200" s="566">
        <f>VLOOKUP($A200,'01-02.2021'!$A$6:$CZ$403,76,FALSE)+VLOOKUP($A200,'1.3.21-28.2.22'!$A$6:$DA$404,76,FALSE)-VLOOKUP($A200,'01-02.2022'!$A$6:$DA$376,76,FALSE)</f>
        <v>4.0968387605854986</v>
      </c>
      <c r="BY200" s="70">
        <f t="shared" si="194"/>
        <v>4.0968387605854986</v>
      </c>
      <c r="BZ200" s="566">
        <f>VLOOKUP($A200,'01-02.2021'!$A$6:$CZ$403,78,FALSE)+VLOOKUP($A200,'1.3.21-28.2.22'!$A$6:$DA$404,78,FALSE)-VLOOKUP($A200,'01-02.2022'!$A$6:$DA$376,78,FALSE)</f>
        <v>0</v>
      </c>
      <c r="CA200" s="566">
        <f>VLOOKUP($A200,'01-02.2021'!$A$6:$CZ$403,79,FALSE)+VLOOKUP($A200,'1.3.21-28.2.22'!$A$6:$DA$404,79,FALSE)-VLOOKUP($A200,'01-02.2022'!$A$6:$DA$376,79,FALSE)</f>
        <v>13.207795043746557</v>
      </c>
      <c r="CB200" s="70">
        <f t="shared" si="195"/>
        <v>13.207795043746557</v>
      </c>
      <c r="CC200" s="566">
        <f>VLOOKUP($A200,'01-02.2021'!$A$6:$CZ$403,81,FALSE)+VLOOKUP($A200,'1.3.21-28.2.22'!$A$6:$DA$404,81,FALSE)-VLOOKUP($A200,'01-02.2022'!$A$6:$DA$376,81,FALSE)</f>
        <v>0</v>
      </c>
      <c r="CD200" s="566">
        <f>VLOOKUP($A200,'01-02.2021'!$A$6:$CZ$403,82,FALSE)+VLOOKUP($A200,'1.3.21-28.2.22'!$A$6:$DA$404,82,FALSE)-VLOOKUP($A200,'01-02.2022'!$A$6:$DA$376,82,FALSE)</f>
        <v>0</v>
      </c>
      <c r="CE200" s="70">
        <f t="shared" si="196"/>
        <v>0</v>
      </c>
      <c r="CF200" s="566">
        <f>VLOOKUP($A200,'01-02.2021'!$A$6:$CZ$403,84,FALSE)+VLOOKUP($A200,'1.3.21-28.2.22'!$A$6:$DA$404,84,FALSE)-VLOOKUP($A200,'01-02.2022'!$A$6:$DA$376,84,FALSE)</f>
        <v>0</v>
      </c>
      <c r="CG200" s="566">
        <f>VLOOKUP($A200,'01-02.2021'!$A$6:$CZ$403,85,FALSE)+VLOOKUP($A200,'1.3.21-28.2.22'!$A$6:$DA$404,85,FALSE)-VLOOKUP($A200,'01-02.2022'!$A$6:$DA$376,85,FALSE)</f>
        <v>0</v>
      </c>
      <c r="CH200" s="70">
        <f t="shared" si="197"/>
        <v>0</v>
      </c>
      <c r="CI200" s="566">
        <f>VLOOKUP($A200,'01-02.2021'!$A$6:$CZ$403,87,FALSE)+VLOOKUP($A200,'1.3.21-28.2.22'!$A$6:$DA$404,87,FALSE)-VLOOKUP($A200,'01-02.2022'!$A$6:$DA$376,87,FALSE)</f>
        <v>0</v>
      </c>
      <c r="CJ200" s="566">
        <f>VLOOKUP($A200,'01-02.2021'!$A$6:$CZ$403,88,FALSE)+VLOOKUP($A200,'1.3.21-28.2.22'!$A$6:$DA$404,88,FALSE)-VLOOKUP($A200,'01-02.2022'!$A$6:$DA$376,88,FALSE)</f>
        <v>0</v>
      </c>
      <c r="CK200" s="70">
        <f t="shared" si="198"/>
        <v>0</v>
      </c>
      <c r="CL200" s="566">
        <f>VLOOKUP($A200,'01-02.2021'!$A$6:$CZ$403,90,FALSE)+VLOOKUP($A200,'1.3.21-28.2.22'!$A$6:$DA$404,90,FALSE)-VLOOKUP($A200,'01-02.2022'!$A$6:$DA$376,90,FALSE)</f>
        <v>0</v>
      </c>
      <c r="CM200" s="566">
        <f>VLOOKUP($A200,'01-02.2021'!$A$6:$CZ$403,91,FALSE)+VLOOKUP($A200,'1.3.21-28.2.22'!$A$6:$DA$404,91,FALSE)-VLOOKUP($A200,'01-02.2022'!$A$6:$DA$376,91,FALSE)</f>
        <v>0</v>
      </c>
      <c r="CN200" s="52">
        <f t="shared" si="225"/>
        <v>0</v>
      </c>
      <c r="CO200" s="39">
        <f t="shared" si="220"/>
        <v>0</v>
      </c>
      <c r="CP200" s="40">
        <f t="shared" si="226"/>
        <v>0</v>
      </c>
      <c r="CQ200" s="52">
        <f t="shared" si="227"/>
        <v>0</v>
      </c>
      <c r="CR200" s="72">
        <f t="shared" si="221"/>
        <v>2615.9283753149484</v>
      </c>
      <c r="CS200" s="5">
        <f t="shared" si="221"/>
        <v>1252.9860409690498</v>
      </c>
      <c r="CT200" s="52">
        <f t="shared" si="228"/>
        <v>-1362.9423343458986</v>
      </c>
      <c r="CU200" s="77">
        <f t="shared" si="229"/>
        <v>3139.1140503779379</v>
      </c>
      <c r="CV200" s="65">
        <f t="shared" si="230"/>
        <v>1503.5832491628596</v>
      </c>
      <c r="CW200" s="35">
        <f t="shared" si="231"/>
        <v>-1635.5308012150783</v>
      </c>
      <c r="CX200" s="566">
        <f>VLOOKUP($A200,'01-02.2021'!$A$6:$CZ$403,102,FALSE)+VLOOKUP($A200,'1.3.21-28.2.22'!$A$6:$DA$404,102,FALSE)-VLOOKUP($A200,'01-02.2022'!$A$6:$DA$376,102,FALSE)</f>
        <v>109.37966554697221</v>
      </c>
      <c r="CY200" s="566">
        <f>VLOOKUP($A200,'01-02.2021'!$A$6:$CZ$403,103,FALSE)+VLOOKUP($A200,'1.3.21-28.2.22'!$A$6:$DA$404,103,FALSE)-VLOOKUP($A200,'01-02.2022'!$A$6:$DA$376,103,FALSE)</f>
        <v>1744.9104667620511</v>
      </c>
      <c r="CZ200" s="52">
        <f t="shared" si="232"/>
        <v>1635.530801215079</v>
      </c>
      <c r="DA200" s="150">
        <f>'[2]побудинковий звіт'!DA200</f>
        <v>-3747.0210667606834</v>
      </c>
      <c r="DB200" s="2">
        <v>3</v>
      </c>
      <c r="DC200" s="414">
        <f>'[4]побудинковий звіт'!DC200</f>
        <v>208.49</v>
      </c>
      <c r="DD200" s="414">
        <f>'[4]побудинковий звіт'!DD200</f>
        <v>0</v>
      </c>
      <c r="DE200" s="557">
        <f>'[4]побудинковий звіт'!DE200</f>
        <v>-87.109934044781198</v>
      </c>
      <c r="DF200" s="557">
        <f>'[4]побудинковий звіт'!DF200</f>
        <v>0</v>
      </c>
      <c r="DG200" s="321">
        <f>VLOOKUP(A200,'кошти 01.03.2021'!$A$6:$D$401,4,)</f>
        <v>-2013.6333930734572</v>
      </c>
      <c r="DH200" s="40">
        <f>'[3]побудинковий звіт'!DJ200</f>
        <v>3366.265215622007</v>
      </c>
      <c r="DI200" s="422">
        <f>'[3]побудинковий звіт'!CU200+'[3]побудинковий звіт'!CX200</f>
        <v>295.59993404478121</v>
      </c>
      <c r="DJ200" s="306">
        <f>'[3]побудинковий звіт'!DM200</f>
        <v>1.6170674728926762</v>
      </c>
      <c r="DK200" s="306">
        <f t="shared" si="233"/>
        <v>1.6170674728926762</v>
      </c>
      <c r="DL200" s="306">
        <f>'[3]побудинковий звіт'!DO200</f>
        <v>1.6170674728926762</v>
      </c>
      <c r="DM200" s="28">
        <f t="shared" si="234"/>
        <v>295.59993404478121</v>
      </c>
      <c r="DN200" s="28">
        <f t="shared" si="235"/>
        <v>0</v>
      </c>
      <c r="DO200" s="423">
        <f t="shared" ref="DO200:DO263" si="238">DM200+DN200</f>
        <v>295.59993404478121</v>
      </c>
      <c r="DP200" s="94">
        <f t="shared" ref="DP200:DP263" si="239">DI200-DO200</f>
        <v>0</v>
      </c>
      <c r="DQ200" s="28">
        <f t="shared" ref="DQ200:DQ263" si="240">DM200+DN200</f>
        <v>295.59993404478121</v>
      </c>
      <c r="DR200" s="318"/>
      <c r="DT200" s="8"/>
      <c r="DU200" s="5"/>
      <c r="DX200" s="5">
        <f t="shared" ref="DX200:DX263" si="241">(AS200+BQ200)*1.2</f>
        <v>2337.9847187978507</v>
      </c>
      <c r="DY200" s="5">
        <f t="shared" ref="DY200:DY263" si="242">(AT200+BR200)*1.2</f>
        <v>0</v>
      </c>
      <c r="DZ200" s="159">
        <f>'[3]побудинковий звіт'!EA200</f>
        <v>240.78772772934531</v>
      </c>
    </row>
    <row r="201" spans="1:130" x14ac:dyDescent="0.3">
      <c r="A201" s="325">
        <v>150000764</v>
      </c>
      <c r="B201" s="41" t="s">
        <v>649</v>
      </c>
      <c r="C201" s="42" t="s">
        <v>119</v>
      </c>
      <c r="D201" s="42"/>
      <c r="E201" s="293">
        <f t="shared" si="218"/>
        <v>229</v>
      </c>
      <c r="F201" s="305">
        <f>'[3]побудинковий звіт'!F201</f>
        <v>229</v>
      </c>
      <c r="G201" s="508">
        <f>'[3]побудинковий звіт'!G201</f>
        <v>0</v>
      </c>
      <c r="H201" s="560">
        <f>'[3]побудинковий звіт'!H201</f>
        <v>0</v>
      </c>
      <c r="I201" s="566">
        <f>VLOOKUP($A201,'01-02.2021'!$A$6:$CZ$403,9,FALSE)+VLOOKUP($A201,'1.3.21-28.2.22'!$A$6:$DA$404,9,FALSE)-VLOOKUP($A201,'01-02.2022'!$A$6:$DA$376,9,FALSE)</f>
        <v>0</v>
      </c>
      <c r="J201" s="566">
        <f>VLOOKUP($A201,'01-02.2021'!$A$6:$CZ$403,10,FALSE)+VLOOKUP($A201,'1.3.21-28.2.22'!$A$6:$DA$404,10,FALSE)-VLOOKUP($A201,'01-02.2022'!$A$6:$DA$376,10,FALSE)</f>
        <v>0</v>
      </c>
      <c r="K201" s="52">
        <f t="shared" si="222"/>
        <v>0</v>
      </c>
      <c r="L201" s="566">
        <f>VLOOKUP($A201,'01-02.2021'!$A$6:$CZ$403,12,FALSE)+VLOOKUP($A201,'1.3.21-28.2.22'!$A$6:$DA$404,12,FALSE)-VLOOKUP($A201,'01-02.2022'!$A$6:$DA$376,12,FALSE)</f>
        <v>0</v>
      </c>
      <c r="M201" s="566">
        <f>VLOOKUP($A201,'01-02.2021'!$A$6:$CZ$403,13,FALSE)+VLOOKUP($A201,'1.3.21-28.2.22'!$A$6:$DA$404,13,FALSE)-VLOOKUP($A201,'01-02.2022'!$A$6:$DA$376,13,FALSE)</f>
        <v>0</v>
      </c>
      <c r="N201" s="52">
        <f t="shared" si="223"/>
        <v>0</v>
      </c>
      <c r="O201" s="566">
        <f>VLOOKUP($A201,'01-02.2021'!$A$6:$CZ$403,15,FALSE)+VLOOKUP($A201,'1.3.21-28.2.22'!$A$6:$DA$404,15,FALSE)-VLOOKUP($A201,'01-02.2022'!$A$6:$DA$376,15,FALSE)</f>
        <v>0</v>
      </c>
      <c r="P201" s="566">
        <f>VLOOKUP($A201,'01-02.2021'!$A$6:$CZ$403,16,FALSE)+VLOOKUP($A201,'1.3.21-28.2.22'!$A$6:$DA$404,16,FALSE)-VLOOKUP($A201,'01-02.2022'!$A$6:$DA$376,16,FALSE)</f>
        <v>0</v>
      </c>
      <c r="Q201" s="70">
        <f t="shared" si="176"/>
        <v>0</v>
      </c>
      <c r="R201" s="566">
        <f>VLOOKUP($A201,'01-02.2021'!$A$6:$CZ$403,18,FALSE)+VLOOKUP($A201,'1.3.21-28.2.22'!$A$6:$DA$404,18,FALSE)-VLOOKUP($A201,'01-02.2022'!$A$6:$DA$376,18,FALSE)</f>
        <v>0</v>
      </c>
      <c r="S201" s="566">
        <f>VLOOKUP($A201,'01-02.2021'!$A$6:$CZ$403,19,FALSE)+VLOOKUP($A201,'1.3.21-28.2.22'!$A$6:$DA$404,19,FALSE)-VLOOKUP($A201,'01-02.2022'!$A$6:$DA$376,19,FALSE)</f>
        <v>0</v>
      </c>
      <c r="T201" s="70">
        <f t="shared" si="177"/>
        <v>0</v>
      </c>
      <c r="U201" s="566">
        <f>VLOOKUP($A201,'01-02.2021'!$A$6:$CZ$403,21,FALSE)+VLOOKUP($A201,'1.3.21-28.2.22'!$A$6:$DA$404,21,FALSE)-VLOOKUP($A201,'01-02.2022'!$A$6:$DA$376,21,FALSE)</f>
        <v>0</v>
      </c>
      <c r="V201" s="566">
        <f>VLOOKUP($A201,'01-02.2021'!$A$6:$CZ$403,22,FALSE)+VLOOKUP($A201,'1.3.21-28.2.22'!$A$6:$DA$404,22,FALSE)-VLOOKUP($A201,'01-02.2022'!$A$6:$DA$376,22,FALSE)</f>
        <v>0</v>
      </c>
      <c r="W201" s="70">
        <f t="shared" si="178"/>
        <v>0</v>
      </c>
      <c r="X201" s="566">
        <f>VLOOKUP($A201,'01-02.2021'!$A$6:$CZ$403,24,FALSE)+VLOOKUP($A201,'1.3.21-28.2.22'!$A$6:$DA$404,24,FALSE)-VLOOKUP($A201,'01-02.2022'!$A$6:$DA$376,24,FALSE)</f>
        <v>0</v>
      </c>
      <c r="Y201" s="566">
        <f>VLOOKUP($A201,'01-02.2021'!$A$6:$CZ$403,25,FALSE)+VLOOKUP($A201,'1.3.21-28.2.22'!$A$6:$DA$404,25,FALSE)-VLOOKUP($A201,'01-02.2022'!$A$6:$DA$376,25,FALSE)</f>
        <v>0</v>
      </c>
      <c r="Z201" s="70">
        <f t="shared" si="179"/>
        <v>0</v>
      </c>
      <c r="AA201" s="566">
        <f>VLOOKUP($A201,'01-02.2021'!$A$6:$CZ$403,27,FALSE)+VLOOKUP($A201,'1.3.21-28.2.22'!$A$6:$DA$404,27,FALSE)-VLOOKUP($A201,'01-02.2022'!$A$6:$DA$376,27,FALSE)</f>
        <v>45.8</v>
      </c>
      <c r="AB201" s="566">
        <f>VLOOKUP($A201,'01-02.2021'!$A$6:$CZ$403,28,FALSE)+VLOOKUP($A201,'1.3.21-28.2.22'!$A$6:$DA$404,28,FALSE)-VLOOKUP($A201,'01-02.2022'!$A$6:$DA$376,28,FALSE)</f>
        <v>0</v>
      </c>
      <c r="AC201" s="70">
        <f t="shared" si="180"/>
        <v>-45.8</v>
      </c>
      <c r="AD201" s="566">
        <f>VLOOKUP($A201,'01-02.2021'!$A$6:$CZ$403,30,FALSE)+VLOOKUP($A201,'1.3.21-28.2.22'!$A$6:$DA$404,30,FALSE)-VLOOKUP($A201,'01-02.2022'!$A$6:$DA$376,30,FALSE)</f>
        <v>343.97170379128875</v>
      </c>
      <c r="AE201" s="566">
        <f>VLOOKUP($A201,'01-02.2021'!$A$6:$CZ$403,31,FALSE)+VLOOKUP($A201,'1.3.21-28.2.22'!$A$6:$DA$404,31,FALSE)-VLOOKUP($A201,'01-02.2022'!$A$6:$DA$376,31,FALSE)</f>
        <v>1042.4172269253315</v>
      </c>
      <c r="AF201" s="68">
        <f t="shared" si="181"/>
        <v>698.44552313404279</v>
      </c>
      <c r="AG201" s="77">
        <f t="shared" si="219"/>
        <v>389.77170379128876</v>
      </c>
      <c r="AH201" s="53">
        <f t="shared" si="219"/>
        <v>1042.4172269253315</v>
      </c>
      <c r="AI201" s="52">
        <f t="shared" si="224"/>
        <v>652.64552313404283</v>
      </c>
      <c r="AJ201" s="566">
        <f>VLOOKUP($A201,'01-02.2021'!$A$6:$CZ$403,36,FALSE)+VLOOKUP($A201,'1.3.21-28.2.22'!$A$6:$DA$404,36,FALSE)-VLOOKUP($A201,'01-02.2022'!$A$6:$DA$376,36,FALSE)</f>
        <v>0</v>
      </c>
      <c r="AK201" s="566">
        <f>VLOOKUP($A201,'01-02.2021'!$A$6:$CZ$403,37,FALSE)+VLOOKUP($A201,'1.3.21-28.2.22'!$A$6:$DA$404,37,FALSE)-VLOOKUP($A201,'01-02.2022'!$A$6:$DA$376,37,FALSE)</f>
        <v>0</v>
      </c>
      <c r="AL201" s="70">
        <f t="shared" si="182"/>
        <v>0</v>
      </c>
      <c r="AM201" s="566">
        <f>VLOOKUP($A201,'01-02.2021'!$A$6:$CZ$403,39,FALSE)+VLOOKUP($A201,'1.3.21-28.2.22'!$A$6:$DA$404,39,FALSE)-VLOOKUP($A201,'01-02.2022'!$A$6:$DA$376,39,FALSE)</f>
        <v>0</v>
      </c>
      <c r="AN201" s="566">
        <f>VLOOKUP($A201,'01-02.2021'!$A$6:$CZ$403,40,FALSE)+VLOOKUP($A201,'1.3.21-28.2.22'!$A$6:$DA$404,40,FALSE)-VLOOKUP($A201,'01-02.2022'!$A$6:$DA$376,40,FALSE)</f>
        <v>0</v>
      </c>
      <c r="AO201" s="70">
        <f t="shared" si="183"/>
        <v>0</v>
      </c>
      <c r="AP201" s="566">
        <f>VLOOKUP($A201,'01-02.2021'!$A$6:$CZ$403,42,FALSE)+VLOOKUP($A201,'1.3.21-28.2.22'!$A$6:$DA$404,42,FALSE)-VLOOKUP($A201,'01-02.2022'!$A$6:$DA$376,42,FALSE)</f>
        <v>130.13998125319432</v>
      </c>
      <c r="AQ201" s="566">
        <f>VLOOKUP($A201,'01-02.2021'!$A$6:$CZ$403,43,FALSE)+VLOOKUP($A201,'1.3.21-28.2.22'!$A$6:$DA$404,43,FALSE)-VLOOKUP($A201,'01-02.2022'!$A$6:$DA$376,43,FALSE)</f>
        <v>112.19112480747719</v>
      </c>
      <c r="AR201" s="70">
        <f t="shared" si="184"/>
        <v>-17.948856445717126</v>
      </c>
      <c r="AS201" s="566">
        <f>VLOOKUP($A201,'01-02.2021'!$A$6:$CZ$403,45,FALSE)+VLOOKUP($A201,'1.3.21-28.2.22'!$A$6:$DA$404,45,FALSE)-VLOOKUP($A201,'01-02.2022'!$A$6:$DA$376,45,FALSE)</f>
        <v>2470.1804860064904</v>
      </c>
      <c r="AT201" s="566">
        <f>VLOOKUP($A201,'01-02.2021'!$A$6:$CZ$403,46,FALSE)+VLOOKUP($A201,'1.3.21-28.2.22'!$A$6:$DA$404,46,FALSE)-VLOOKUP($A201,'01-02.2022'!$A$6:$DA$376,46,FALSE)</f>
        <v>0</v>
      </c>
      <c r="AU201" s="78">
        <f t="shared" si="185"/>
        <v>-2470.1804860064904</v>
      </c>
      <c r="AV201" s="566">
        <f>VLOOKUP($A201,'01-02.2021'!$A$6:$CZ$403,48,FALSE)+VLOOKUP($A201,'1.3.21-28.2.22'!$A$6:$DA$404,48,FALSE)-VLOOKUP($A201,'01-02.2022'!$A$6:$DA$376,48,FALSE)</f>
        <v>0</v>
      </c>
      <c r="AW201" s="566">
        <f>VLOOKUP($A201,'01-02.2021'!$A$6:$CZ$403,49,FALSE)+VLOOKUP($A201,'1.3.21-28.2.22'!$A$6:$DA$404,49,FALSE)-VLOOKUP($A201,'01-02.2022'!$A$6:$DA$376,49,FALSE)</f>
        <v>0</v>
      </c>
      <c r="AX201" s="55">
        <f t="shared" si="186"/>
        <v>0</v>
      </c>
      <c r="AY201" s="566">
        <f>VLOOKUP($A201,'01-02.2021'!$A$6:$CZ$403,51,FALSE)+VLOOKUP($A201,'1.3.21-28.2.22'!$A$6:$DA$404,51,FALSE)-VLOOKUP($A201,'01-02.2022'!$A$6:$DA$376,51,FALSE)</f>
        <v>0</v>
      </c>
      <c r="AZ201" s="566">
        <f>VLOOKUP($A201,'01-02.2021'!$A$6:$CZ$403,52,FALSE)+VLOOKUP($A201,'1.3.21-28.2.22'!$A$6:$DA$404,52,FALSE)-VLOOKUP($A201,'01-02.2022'!$A$6:$DA$376,52,FALSE)</f>
        <v>0</v>
      </c>
      <c r="BA201" s="38">
        <f t="shared" si="187"/>
        <v>0</v>
      </c>
      <c r="BB201" s="566">
        <f>VLOOKUP($A201,'01-02.2021'!$A$6:$CZ$403,54,FALSE)+VLOOKUP($A201,'1.3.21-28.2.22'!$A$6:$DA$404,54,FALSE)-VLOOKUP($A201,'01-02.2022'!$A$6:$DA$376,54,FALSE)</f>
        <v>0</v>
      </c>
      <c r="BC201" s="566">
        <f>VLOOKUP($A201,'01-02.2021'!$A$6:$CZ$403,55,FALSE)+VLOOKUP($A201,'1.3.21-28.2.22'!$A$6:$DA$404,55,FALSE)-VLOOKUP($A201,'01-02.2022'!$A$6:$DA$376,55,FALSE)</f>
        <v>0</v>
      </c>
      <c r="BD201" s="55">
        <f t="shared" si="188"/>
        <v>0</v>
      </c>
      <c r="BE201" s="566">
        <f>VLOOKUP($A201,'01-02.2021'!$A$6:$CZ$403,57,FALSE)+VLOOKUP($A201,'1.3.21-28.2.22'!$A$6:$DA$404,57,FALSE)-VLOOKUP($A201,'01-02.2022'!$A$6:$DA$376,57,FALSE)</f>
        <v>0</v>
      </c>
      <c r="BF201" s="566">
        <f>VLOOKUP($A201,'01-02.2021'!$A$6:$CZ$403,58,FALSE)+VLOOKUP($A201,'1.3.21-28.2.22'!$A$6:$DA$404,58,FALSE)-VLOOKUP($A201,'01-02.2022'!$A$6:$DA$376,58,FALSE)</f>
        <v>0</v>
      </c>
      <c r="BG201" s="55">
        <f t="shared" si="189"/>
        <v>0</v>
      </c>
      <c r="BH201" s="566">
        <f>VLOOKUP($A201,'01-02.2021'!$A$6:$CZ$403,60,FALSE)+VLOOKUP($A201,'1.3.21-28.2.22'!$A$6:$DA$404,60,FALSE)-VLOOKUP($A201,'01-02.2022'!$A$6:$DA$376,60,FALSE)</f>
        <v>0</v>
      </c>
      <c r="BI201" s="566">
        <f>VLOOKUP($A201,'01-02.2021'!$A$6:$CZ$403,61,FALSE)+VLOOKUP($A201,'1.3.21-28.2.22'!$A$6:$DA$404,61,FALSE)-VLOOKUP($A201,'01-02.2022'!$A$6:$DA$376,61,FALSE)</f>
        <v>0</v>
      </c>
      <c r="BJ201" s="55">
        <f t="shared" si="190"/>
        <v>0</v>
      </c>
      <c r="BK201" s="566">
        <f>VLOOKUP($A201,'01-02.2021'!$A$6:$CZ$403,63,FALSE)+VLOOKUP($A201,'1.3.21-28.2.22'!$A$6:$DA$404,63,FALSE)-VLOOKUP($A201,'01-02.2022'!$A$6:$DA$376,63,FALSE)</f>
        <v>0</v>
      </c>
      <c r="BL201" s="566">
        <f>VLOOKUP($A201,'01-02.2021'!$A$6:$CZ$403,64,FALSE)+VLOOKUP($A201,'1.3.21-28.2.22'!$A$6:$DA$404,64,FALSE)-VLOOKUP($A201,'01-02.2022'!$A$6:$DA$376,64,FALSE)</f>
        <v>0</v>
      </c>
      <c r="BM201" s="55">
        <f t="shared" si="191"/>
        <v>0</v>
      </c>
      <c r="BN201" s="566">
        <f>VLOOKUP($A201,'01-02.2021'!$A$6:$CZ$403,66,FALSE)+VLOOKUP($A201,'1.3.21-28.2.22'!$A$6:$DA$404,66,FALSE)-VLOOKUP($A201,'01-02.2022'!$A$6:$DA$376,66,FALSE)</f>
        <v>11.45</v>
      </c>
      <c r="BO201" s="566">
        <f>VLOOKUP($A201,'01-02.2021'!$A$6:$CZ$403,67,FALSE)+VLOOKUP($A201,'1.3.21-28.2.22'!$A$6:$DA$404,67,FALSE)-VLOOKUP($A201,'01-02.2022'!$A$6:$DA$376,67,FALSE)</f>
        <v>0</v>
      </c>
      <c r="BP201" s="55">
        <f t="shared" si="192"/>
        <v>-11.45</v>
      </c>
      <c r="BQ201" s="77">
        <f t="shared" si="209"/>
        <v>11.45</v>
      </c>
      <c r="BR201" s="40">
        <f t="shared" si="237"/>
        <v>0</v>
      </c>
      <c r="BS201" s="55">
        <f t="shared" si="236"/>
        <v>-11.45</v>
      </c>
      <c r="BT201" s="566">
        <f>VLOOKUP($A201,'01-02.2021'!$A$6:$CZ$403,72,FALSE)+VLOOKUP($A201,'1.3.21-28.2.22'!$A$6:$DA$404,72,FALSE)-VLOOKUP($A201,'01-02.2022'!$A$6:$DA$376,72,FALSE)</f>
        <v>69.787114699742745</v>
      </c>
      <c r="BU201" s="566">
        <f>VLOOKUP($A201,'01-02.2021'!$A$6:$CZ$403,73,FALSE)+VLOOKUP($A201,'1.3.21-28.2.22'!$A$6:$DA$404,73,FALSE)-VLOOKUP($A201,'01-02.2022'!$A$6:$DA$376,73,FALSE)</f>
        <v>108.3262775993224</v>
      </c>
      <c r="BV201" s="70">
        <f t="shared" si="193"/>
        <v>38.539162899579651</v>
      </c>
      <c r="BW201" s="566">
        <f>VLOOKUP($A201,'01-02.2021'!$A$6:$CZ$403,75,FALSE)+VLOOKUP($A201,'1.3.21-28.2.22'!$A$6:$DA$404,75,FALSE)-VLOOKUP($A201,'01-02.2022'!$A$6:$DA$376,75,FALSE)</f>
        <v>0</v>
      </c>
      <c r="BX201" s="566">
        <f>VLOOKUP($A201,'01-02.2021'!$A$6:$CZ$403,76,FALSE)+VLOOKUP($A201,'1.3.21-28.2.22'!$A$6:$DA$404,76,FALSE)-VLOOKUP($A201,'01-02.2022'!$A$6:$DA$376,76,FALSE)</f>
        <v>5.1322542460288787</v>
      </c>
      <c r="BY201" s="70">
        <f t="shared" si="194"/>
        <v>5.1322542460288787</v>
      </c>
      <c r="BZ201" s="566">
        <f>VLOOKUP($A201,'01-02.2021'!$A$6:$CZ$403,78,FALSE)+VLOOKUP($A201,'1.3.21-28.2.22'!$A$6:$DA$404,78,FALSE)-VLOOKUP($A201,'01-02.2022'!$A$6:$DA$376,78,FALSE)</f>
        <v>0</v>
      </c>
      <c r="CA201" s="566">
        <f>VLOOKUP($A201,'01-02.2021'!$A$6:$CZ$403,79,FALSE)+VLOOKUP($A201,'1.3.21-28.2.22'!$A$6:$DA$404,79,FALSE)-VLOOKUP($A201,'01-02.2022'!$A$6:$DA$376,79,FALSE)</f>
        <v>6.6038975218732787</v>
      </c>
      <c r="CB201" s="70">
        <f t="shared" si="195"/>
        <v>6.6038975218732787</v>
      </c>
      <c r="CC201" s="566">
        <f>VLOOKUP($A201,'01-02.2021'!$A$6:$CZ$403,81,FALSE)+VLOOKUP($A201,'1.3.21-28.2.22'!$A$6:$DA$404,81,FALSE)-VLOOKUP($A201,'01-02.2022'!$A$6:$DA$376,81,FALSE)</f>
        <v>0</v>
      </c>
      <c r="CD201" s="566">
        <f>VLOOKUP($A201,'01-02.2021'!$A$6:$CZ$403,82,FALSE)+VLOOKUP($A201,'1.3.21-28.2.22'!$A$6:$DA$404,82,FALSE)-VLOOKUP($A201,'01-02.2022'!$A$6:$DA$376,82,FALSE)</f>
        <v>0</v>
      </c>
      <c r="CE201" s="70">
        <f t="shared" si="196"/>
        <v>0</v>
      </c>
      <c r="CF201" s="566">
        <f>VLOOKUP($A201,'01-02.2021'!$A$6:$CZ$403,84,FALSE)+VLOOKUP($A201,'1.3.21-28.2.22'!$A$6:$DA$404,84,FALSE)-VLOOKUP($A201,'01-02.2022'!$A$6:$DA$376,84,FALSE)</f>
        <v>0</v>
      </c>
      <c r="CG201" s="566">
        <f>VLOOKUP($A201,'01-02.2021'!$A$6:$CZ$403,85,FALSE)+VLOOKUP($A201,'1.3.21-28.2.22'!$A$6:$DA$404,85,FALSE)-VLOOKUP($A201,'01-02.2022'!$A$6:$DA$376,85,FALSE)</f>
        <v>0</v>
      </c>
      <c r="CH201" s="70">
        <f t="shared" si="197"/>
        <v>0</v>
      </c>
      <c r="CI201" s="566">
        <f>VLOOKUP($A201,'01-02.2021'!$A$6:$CZ$403,87,FALSE)+VLOOKUP($A201,'1.3.21-28.2.22'!$A$6:$DA$404,87,FALSE)-VLOOKUP($A201,'01-02.2022'!$A$6:$DA$376,87,FALSE)</f>
        <v>0</v>
      </c>
      <c r="CJ201" s="566">
        <f>VLOOKUP($A201,'01-02.2021'!$A$6:$CZ$403,88,FALSE)+VLOOKUP($A201,'1.3.21-28.2.22'!$A$6:$DA$404,88,FALSE)-VLOOKUP($A201,'01-02.2022'!$A$6:$DA$376,88,FALSE)</f>
        <v>0</v>
      </c>
      <c r="CK201" s="70">
        <f t="shared" si="198"/>
        <v>0</v>
      </c>
      <c r="CL201" s="566">
        <f>VLOOKUP($A201,'01-02.2021'!$A$6:$CZ$403,90,FALSE)+VLOOKUP($A201,'1.3.21-28.2.22'!$A$6:$DA$404,90,FALSE)-VLOOKUP($A201,'01-02.2022'!$A$6:$DA$376,90,FALSE)</f>
        <v>0</v>
      </c>
      <c r="CM201" s="566">
        <f>VLOOKUP($A201,'01-02.2021'!$A$6:$CZ$403,91,FALSE)+VLOOKUP($A201,'1.3.21-28.2.22'!$A$6:$DA$404,91,FALSE)-VLOOKUP($A201,'01-02.2022'!$A$6:$DA$376,91,FALSE)</f>
        <v>0</v>
      </c>
      <c r="CN201" s="52">
        <f t="shared" si="225"/>
        <v>0</v>
      </c>
      <c r="CO201" s="39">
        <f t="shared" si="220"/>
        <v>0</v>
      </c>
      <c r="CP201" s="40">
        <f t="shared" si="226"/>
        <v>0</v>
      </c>
      <c r="CQ201" s="52">
        <f t="shared" si="227"/>
        <v>0</v>
      </c>
      <c r="CR201" s="72">
        <f t="shared" si="221"/>
        <v>3071.3292857507158</v>
      </c>
      <c r="CS201" s="5">
        <f t="shared" si="221"/>
        <v>1274.6707811000333</v>
      </c>
      <c r="CT201" s="52">
        <f t="shared" si="228"/>
        <v>-1796.6585046506825</v>
      </c>
      <c r="CU201" s="77">
        <f t="shared" si="229"/>
        <v>3685.5951429008587</v>
      </c>
      <c r="CV201" s="65">
        <f t="shared" si="230"/>
        <v>1529.6049373200399</v>
      </c>
      <c r="CW201" s="35">
        <f t="shared" si="231"/>
        <v>-2155.9902055808188</v>
      </c>
      <c r="CX201" s="566">
        <f>VLOOKUP($A201,'01-02.2021'!$A$6:$CZ$403,102,FALSE)+VLOOKUP($A201,'1.3.21-28.2.22'!$A$6:$DA$404,102,FALSE)-VLOOKUP($A201,'01-02.2022'!$A$6:$DA$376,102,FALSE)</f>
        <v>128.62706468638748</v>
      </c>
      <c r="CY201" s="566">
        <f>VLOOKUP($A201,'01-02.2021'!$A$6:$CZ$403,103,FALSE)+VLOOKUP($A201,'1.3.21-28.2.22'!$A$6:$DA$404,103,FALSE)-VLOOKUP($A201,'01-02.2022'!$A$6:$DA$376,103,FALSE)</f>
        <v>2284.617270267207</v>
      </c>
      <c r="CZ201" s="52">
        <f t="shared" si="232"/>
        <v>2155.9902055808197</v>
      </c>
      <c r="DA201" s="150">
        <f>'[2]побудинковий звіт'!DA201</f>
        <v>-5511.1109314480109</v>
      </c>
      <c r="DB201" s="2">
        <v>3</v>
      </c>
      <c r="DC201" s="414">
        <f>'[4]побудинковий звіт'!DC201</f>
        <v>319.27999999999997</v>
      </c>
      <c r="DD201" s="414">
        <f>'[4]побудинковий звіт'!DD201</f>
        <v>0</v>
      </c>
      <c r="DE201" s="557">
        <f>'[4]побудинковий звіт'!DE201</f>
        <v>-26.68794438939841</v>
      </c>
      <c r="DF201" s="557">
        <f>'[4]побудинковий звіт'!DF201</f>
        <v>0</v>
      </c>
      <c r="DG201" s="321">
        <f>VLOOKUP(A201,'кошти 01.03.2021'!$A$6:$D$401,4,)</f>
        <v>-3174.5727862298495</v>
      </c>
      <c r="DH201" s="40">
        <f>'[3]побудинковий звіт'!DJ201</f>
        <v>3947.1595589858607</v>
      </c>
      <c r="DI201" s="422">
        <f>'[3]побудинковий звіт'!CU201+'[3]побудинковий звіт'!CX201</f>
        <v>345.96794438939838</v>
      </c>
      <c r="DJ201" s="306">
        <f>'[3]побудинковий звіт'!DM201</f>
        <v>1.5107770497353641</v>
      </c>
      <c r="DK201" s="306">
        <f t="shared" si="233"/>
        <v>1.5107770497353641</v>
      </c>
      <c r="DL201" s="306">
        <f>'[3]побудинковий звіт'!DO201</f>
        <v>1.5107770497353641</v>
      </c>
      <c r="DM201" s="28">
        <f t="shared" si="234"/>
        <v>345.96794438939838</v>
      </c>
      <c r="DN201" s="28">
        <f t="shared" si="235"/>
        <v>0</v>
      </c>
      <c r="DO201" s="423">
        <f t="shared" si="238"/>
        <v>345.96794438939838</v>
      </c>
      <c r="DP201" s="94">
        <f t="shared" si="239"/>
        <v>0</v>
      </c>
      <c r="DQ201" s="28">
        <f t="shared" si="240"/>
        <v>345.96794438939838</v>
      </c>
      <c r="DR201" s="318"/>
      <c r="DT201" s="8"/>
      <c r="DU201" s="5"/>
      <c r="DX201" s="5">
        <f t="shared" si="241"/>
        <v>2977.9565832077883</v>
      </c>
      <c r="DY201" s="5">
        <f t="shared" si="242"/>
        <v>0</v>
      </c>
      <c r="DZ201" s="159">
        <f>'[3]побудинковий звіт'!EA201</f>
        <v>311.36093182281195</v>
      </c>
    </row>
    <row r="202" spans="1:130" x14ac:dyDescent="0.3">
      <c r="A202" s="325">
        <v>150000770</v>
      </c>
      <c r="B202" s="41" t="s">
        <v>650</v>
      </c>
      <c r="C202" s="42" t="s">
        <v>120</v>
      </c>
      <c r="D202" s="42"/>
      <c r="E202" s="293">
        <f t="shared" si="218"/>
        <v>144.5</v>
      </c>
      <c r="F202" s="305">
        <f>'[3]побудинковий звіт'!F202</f>
        <v>144.5</v>
      </c>
      <c r="G202" s="508">
        <f>'[3]побудинковий звіт'!G202</f>
        <v>0</v>
      </c>
      <c r="H202" s="560">
        <f>'[3]побудинковий звіт'!H202</f>
        <v>0</v>
      </c>
      <c r="I202" s="566">
        <f>VLOOKUP($A202,'01-02.2021'!$A$6:$CZ$403,9,FALSE)+VLOOKUP($A202,'1.3.21-28.2.22'!$A$6:$DA$404,9,FALSE)-VLOOKUP($A202,'01-02.2022'!$A$6:$DA$376,9,FALSE)</f>
        <v>0</v>
      </c>
      <c r="J202" s="566">
        <f>VLOOKUP($A202,'01-02.2021'!$A$6:$CZ$403,10,FALSE)+VLOOKUP($A202,'1.3.21-28.2.22'!$A$6:$DA$404,10,FALSE)-VLOOKUP($A202,'01-02.2022'!$A$6:$DA$376,10,FALSE)</f>
        <v>0</v>
      </c>
      <c r="K202" s="52">
        <f t="shared" si="222"/>
        <v>0</v>
      </c>
      <c r="L202" s="566">
        <f>VLOOKUP($A202,'01-02.2021'!$A$6:$CZ$403,12,FALSE)+VLOOKUP($A202,'1.3.21-28.2.22'!$A$6:$DA$404,12,FALSE)-VLOOKUP($A202,'01-02.2022'!$A$6:$DA$376,12,FALSE)</f>
        <v>0</v>
      </c>
      <c r="M202" s="566">
        <f>VLOOKUP($A202,'01-02.2021'!$A$6:$CZ$403,13,FALSE)+VLOOKUP($A202,'1.3.21-28.2.22'!$A$6:$DA$404,13,FALSE)-VLOOKUP($A202,'01-02.2022'!$A$6:$DA$376,13,FALSE)</f>
        <v>0</v>
      </c>
      <c r="N202" s="52">
        <f t="shared" si="223"/>
        <v>0</v>
      </c>
      <c r="O202" s="566">
        <f>VLOOKUP($A202,'01-02.2021'!$A$6:$CZ$403,15,FALSE)+VLOOKUP($A202,'1.3.21-28.2.22'!$A$6:$DA$404,15,FALSE)-VLOOKUP($A202,'01-02.2022'!$A$6:$DA$376,15,FALSE)</f>
        <v>0</v>
      </c>
      <c r="P202" s="566">
        <f>VLOOKUP($A202,'01-02.2021'!$A$6:$CZ$403,16,FALSE)+VLOOKUP($A202,'1.3.21-28.2.22'!$A$6:$DA$404,16,FALSE)-VLOOKUP($A202,'01-02.2022'!$A$6:$DA$376,16,FALSE)</f>
        <v>0</v>
      </c>
      <c r="Q202" s="70">
        <f t="shared" ref="Q202:Q265" si="243">P202-O202</f>
        <v>0</v>
      </c>
      <c r="R202" s="566">
        <f>VLOOKUP($A202,'01-02.2021'!$A$6:$CZ$403,18,FALSE)+VLOOKUP($A202,'1.3.21-28.2.22'!$A$6:$DA$404,18,FALSE)-VLOOKUP($A202,'01-02.2022'!$A$6:$DA$376,18,FALSE)</f>
        <v>0</v>
      </c>
      <c r="S202" s="566">
        <f>VLOOKUP($A202,'01-02.2021'!$A$6:$CZ$403,19,FALSE)+VLOOKUP($A202,'1.3.21-28.2.22'!$A$6:$DA$404,19,FALSE)-VLOOKUP($A202,'01-02.2022'!$A$6:$DA$376,19,FALSE)</f>
        <v>0</v>
      </c>
      <c r="T202" s="70">
        <f t="shared" ref="T202:T265" si="244">S202-R202</f>
        <v>0</v>
      </c>
      <c r="U202" s="566">
        <f>VLOOKUP($A202,'01-02.2021'!$A$6:$CZ$403,21,FALSE)+VLOOKUP($A202,'1.3.21-28.2.22'!$A$6:$DA$404,21,FALSE)-VLOOKUP($A202,'01-02.2022'!$A$6:$DA$376,21,FALSE)</f>
        <v>0</v>
      </c>
      <c r="V202" s="566">
        <f>VLOOKUP($A202,'01-02.2021'!$A$6:$CZ$403,22,FALSE)+VLOOKUP($A202,'1.3.21-28.2.22'!$A$6:$DA$404,22,FALSE)-VLOOKUP($A202,'01-02.2022'!$A$6:$DA$376,22,FALSE)</f>
        <v>0</v>
      </c>
      <c r="W202" s="70">
        <f t="shared" ref="W202:W265" si="245">V202-U202</f>
        <v>0</v>
      </c>
      <c r="X202" s="566">
        <f>VLOOKUP($A202,'01-02.2021'!$A$6:$CZ$403,24,FALSE)+VLOOKUP($A202,'1.3.21-28.2.22'!$A$6:$DA$404,24,FALSE)-VLOOKUP($A202,'01-02.2022'!$A$6:$DA$376,24,FALSE)</f>
        <v>0</v>
      </c>
      <c r="Y202" s="566">
        <f>VLOOKUP($A202,'01-02.2021'!$A$6:$CZ$403,25,FALSE)+VLOOKUP($A202,'1.3.21-28.2.22'!$A$6:$DA$404,25,FALSE)-VLOOKUP($A202,'01-02.2022'!$A$6:$DA$376,25,FALSE)</f>
        <v>0</v>
      </c>
      <c r="Z202" s="70">
        <f t="shared" ref="Z202:Z265" si="246">Y202-X202</f>
        <v>0</v>
      </c>
      <c r="AA202" s="566">
        <f>VLOOKUP($A202,'01-02.2021'!$A$6:$CZ$403,27,FALSE)+VLOOKUP($A202,'1.3.21-28.2.22'!$A$6:$DA$404,27,FALSE)-VLOOKUP($A202,'01-02.2022'!$A$6:$DA$376,27,FALSE)</f>
        <v>28.9</v>
      </c>
      <c r="AB202" s="566">
        <f>VLOOKUP($A202,'01-02.2021'!$A$6:$CZ$403,28,FALSE)+VLOOKUP($A202,'1.3.21-28.2.22'!$A$6:$DA$404,28,FALSE)-VLOOKUP($A202,'01-02.2022'!$A$6:$DA$376,28,FALSE)</f>
        <v>0</v>
      </c>
      <c r="AC202" s="70">
        <f t="shared" ref="AC202:AC265" si="247">AB202-AA202</f>
        <v>-28.9</v>
      </c>
      <c r="AD202" s="566">
        <f>VLOOKUP($A202,'01-02.2021'!$A$6:$CZ$403,30,FALSE)+VLOOKUP($A202,'1.3.21-28.2.22'!$A$6:$DA$404,30,FALSE)-VLOOKUP($A202,'01-02.2022'!$A$6:$DA$376,30,FALSE)</f>
        <v>217.05782536396487</v>
      </c>
      <c r="AE202" s="566">
        <f>VLOOKUP($A202,'01-02.2021'!$A$6:$CZ$403,31,FALSE)+VLOOKUP($A202,'1.3.21-28.2.22'!$A$6:$DA$404,31,FALSE)-VLOOKUP($A202,'01-02.2022'!$A$6:$DA$376,31,FALSE)</f>
        <v>657.76982223017637</v>
      </c>
      <c r="AF202" s="68">
        <f t="shared" ref="AF202:AF265" si="248">AE202-AD202</f>
        <v>440.71199686621151</v>
      </c>
      <c r="AG202" s="77">
        <f t="shared" si="219"/>
        <v>245.95782536396487</v>
      </c>
      <c r="AH202" s="53">
        <f t="shared" si="219"/>
        <v>657.76982223017637</v>
      </c>
      <c r="AI202" s="52">
        <f t="shared" si="224"/>
        <v>411.81199686621153</v>
      </c>
      <c r="AJ202" s="566">
        <f>VLOOKUP($A202,'01-02.2021'!$A$6:$CZ$403,36,FALSE)+VLOOKUP($A202,'1.3.21-28.2.22'!$A$6:$DA$404,36,FALSE)-VLOOKUP($A202,'01-02.2022'!$A$6:$DA$376,36,FALSE)</f>
        <v>0</v>
      </c>
      <c r="AK202" s="566">
        <f>VLOOKUP($A202,'01-02.2021'!$A$6:$CZ$403,37,FALSE)+VLOOKUP($A202,'1.3.21-28.2.22'!$A$6:$DA$404,37,FALSE)-VLOOKUP($A202,'01-02.2022'!$A$6:$DA$376,37,FALSE)</f>
        <v>0</v>
      </c>
      <c r="AL202" s="70">
        <f t="shared" ref="AL202:AL265" si="249">AK202-AJ202</f>
        <v>0</v>
      </c>
      <c r="AM202" s="566">
        <f>VLOOKUP($A202,'01-02.2021'!$A$6:$CZ$403,39,FALSE)+VLOOKUP($A202,'1.3.21-28.2.22'!$A$6:$DA$404,39,FALSE)-VLOOKUP($A202,'01-02.2022'!$A$6:$DA$376,39,FALSE)</f>
        <v>0</v>
      </c>
      <c r="AN202" s="566">
        <f>VLOOKUP($A202,'01-02.2021'!$A$6:$CZ$403,40,FALSE)+VLOOKUP($A202,'1.3.21-28.2.22'!$A$6:$DA$404,40,FALSE)-VLOOKUP($A202,'01-02.2022'!$A$6:$DA$376,40,FALSE)</f>
        <v>0</v>
      </c>
      <c r="AO202" s="70">
        <f t="shared" ref="AO202:AO265" si="250">AN202-AM202</f>
        <v>0</v>
      </c>
      <c r="AP202" s="566">
        <f>VLOOKUP($A202,'01-02.2021'!$A$6:$CZ$403,42,FALSE)+VLOOKUP($A202,'1.3.21-28.2.22'!$A$6:$DA$404,42,FALSE)-VLOOKUP($A202,'01-02.2022'!$A$6:$DA$376,42,FALSE)</f>
        <v>216.89996875532395</v>
      </c>
      <c r="AQ202" s="566">
        <f>VLOOKUP($A202,'01-02.2021'!$A$6:$CZ$403,43,FALSE)+VLOOKUP($A202,'1.3.21-28.2.22'!$A$6:$DA$404,43,FALSE)-VLOOKUP($A202,'01-02.2022'!$A$6:$DA$376,43,FALSE)</f>
        <v>186.98520801246201</v>
      </c>
      <c r="AR202" s="70">
        <f t="shared" ref="AR202:AR265" si="251">AQ202-AP202</f>
        <v>-29.914760742861944</v>
      </c>
      <c r="AS202" s="566">
        <f>VLOOKUP($A202,'01-02.2021'!$A$6:$CZ$403,45,FALSE)+VLOOKUP($A202,'1.3.21-28.2.22'!$A$6:$DA$404,45,FALSE)-VLOOKUP($A202,'01-02.2022'!$A$6:$DA$376,45,FALSE)</f>
        <v>1870.5659144605706</v>
      </c>
      <c r="AT202" s="566">
        <f>VLOOKUP($A202,'01-02.2021'!$A$6:$CZ$403,46,FALSE)+VLOOKUP($A202,'1.3.21-28.2.22'!$A$6:$DA$404,46,FALSE)-VLOOKUP($A202,'01-02.2022'!$A$6:$DA$376,46,FALSE)</f>
        <v>0</v>
      </c>
      <c r="AU202" s="78">
        <f t="shared" ref="AU202:AU265" si="252">AT202-AS202</f>
        <v>-1870.5659144605706</v>
      </c>
      <c r="AV202" s="566">
        <f>VLOOKUP($A202,'01-02.2021'!$A$6:$CZ$403,48,FALSE)+VLOOKUP($A202,'1.3.21-28.2.22'!$A$6:$DA$404,48,FALSE)-VLOOKUP($A202,'01-02.2022'!$A$6:$DA$376,48,FALSE)</f>
        <v>0</v>
      </c>
      <c r="AW202" s="566">
        <f>VLOOKUP($A202,'01-02.2021'!$A$6:$CZ$403,49,FALSE)+VLOOKUP($A202,'1.3.21-28.2.22'!$A$6:$DA$404,49,FALSE)-VLOOKUP($A202,'01-02.2022'!$A$6:$DA$376,49,FALSE)</f>
        <v>0</v>
      </c>
      <c r="AX202" s="55">
        <f t="shared" ref="AX202:AX265" si="253">AW202-AV202</f>
        <v>0</v>
      </c>
      <c r="AY202" s="566">
        <f>VLOOKUP($A202,'01-02.2021'!$A$6:$CZ$403,51,FALSE)+VLOOKUP($A202,'1.3.21-28.2.22'!$A$6:$DA$404,51,FALSE)-VLOOKUP($A202,'01-02.2022'!$A$6:$DA$376,51,FALSE)</f>
        <v>0</v>
      </c>
      <c r="AZ202" s="566">
        <f>VLOOKUP($A202,'01-02.2021'!$A$6:$CZ$403,52,FALSE)+VLOOKUP($A202,'1.3.21-28.2.22'!$A$6:$DA$404,52,FALSE)-VLOOKUP($A202,'01-02.2022'!$A$6:$DA$376,52,FALSE)</f>
        <v>0</v>
      </c>
      <c r="BA202" s="38">
        <f t="shared" ref="BA202:BA265" si="254">AZ202-AY202</f>
        <v>0</v>
      </c>
      <c r="BB202" s="566">
        <f>VLOOKUP($A202,'01-02.2021'!$A$6:$CZ$403,54,FALSE)+VLOOKUP($A202,'1.3.21-28.2.22'!$A$6:$DA$404,54,FALSE)-VLOOKUP($A202,'01-02.2022'!$A$6:$DA$376,54,FALSE)</f>
        <v>0</v>
      </c>
      <c r="BC202" s="566">
        <f>VLOOKUP($A202,'01-02.2021'!$A$6:$CZ$403,55,FALSE)+VLOOKUP($A202,'1.3.21-28.2.22'!$A$6:$DA$404,55,FALSE)-VLOOKUP($A202,'01-02.2022'!$A$6:$DA$376,55,FALSE)</f>
        <v>0</v>
      </c>
      <c r="BD202" s="55">
        <f t="shared" ref="BD202:BD265" si="255">BC202-BB202</f>
        <v>0</v>
      </c>
      <c r="BE202" s="566">
        <f>VLOOKUP($A202,'01-02.2021'!$A$6:$CZ$403,57,FALSE)+VLOOKUP($A202,'1.3.21-28.2.22'!$A$6:$DA$404,57,FALSE)-VLOOKUP($A202,'01-02.2022'!$A$6:$DA$376,57,FALSE)</f>
        <v>0</v>
      </c>
      <c r="BF202" s="566">
        <f>VLOOKUP($A202,'01-02.2021'!$A$6:$CZ$403,58,FALSE)+VLOOKUP($A202,'1.3.21-28.2.22'!$A$6:$DA$404,58,FALSE)-VLOOKUP($A202,'01-02.2022'!$A$6:$DA$376,58,FALSE)</f>
        <v>0</v>
      </c>
      <c r="BG202" s="55">
        <f t="shared" ref="BG202:BG265" si="256">BF202-BE202</f>
        <v>0</v>
      </c>
      <c r="BH202" s="566">
        <f>VLOOKUP($A202,'01-02.2021'!$A$6:$CZ$403,60,FALSE)+VLOOKUP($A202,'1.3.21-28.2.22'!$A$6:$DA$404,60,FALSE)-VLOOKUP($A202,'01-02.2022'!$A$6:$DA$376,60,FALSE)</f>
        <v>0</v>
      </c>
      <c r="BI202" s="566">
        <f>VLOOKUP($A202,'01-02.2021'!$A$6:$CZ$403,61,FALSE)+VLOOKUP($A202,'1.3.21-28.2.22'!$A$6:$DA$404,61,FALSE)-VLOOKUP($A202,'01-02.2022'!$A$6:$DA$376,61,FALSE)</f>
        <v>0</v>
      </c>
      <c r="BJ202" s="55">
        <f t="shared" ref="BJ202:BJ265" si="257">BI202-BH202</f>
        <v>0</v>
      </c>
      <c r="BK202" s="566">
        <f>VLOOKUP($A202,'01-02.2021'!$A$6:$CZ$403,63,FALSE)+VLOOKUP($A202,'1.3.21-28.2.22'!$A$6:$DA$404,63,FALSE)-VLOOKUP($A202,'01-02.2022'!$A$6:$DA$376,63,FALSE)</f>
        <v>0</v>
      </c>
      <c r="BL202" s="566">
        <f>VLOOKUP($A202,'01-02.2021'!$A$6:$CZ$403,64,FALSE)+VLOOKUP($A202,'1.3.21-28.2.22'!$A$6:$DA$404,64,FALSE)-VLOOKUP($A202,'01-02.2022'!$A$6:$DA$376,64,FALSE)</f>
        <v>0</v>
      </c>
      <c r="BM202" s="55">
        <f t="shared" ref="BM202:BM265" si="258">BL202-BK202</f>
        <v>0</v>
      </c>
      <c r="BN202" s="566">
        <f>VLOOKUP($A202,'01-02.2021'!$A$6:$CZ$403,66,FALSE)+VLOOKUP($A202,'1.3.21-28.2.22'!$A$6:$DA$404,66,FALSE)-VLOOKUP($A202,'01-02.2022'!$A$6:$DA$376,66,FALSE)</f>
        <v>7.2249999999999996</v>
      </c>
      <c r="BO202" s="566">
        <f>VLOOKUP($A202,'01-02.2021'!$A$6:$CZ$403,67,FALSE)+VLOOKUP($A202,'1.3.21-28.2.22'!$A$6:$DA$404,67,FALSE)-VLOOKUP($A202,'01-02.2022'!$A$6:$DA$376,67,FALSE)</f>
        <v>0</v>
      </c>
      <c r="BP202" s="55">
        <f t="shared" ref="BP202:BP265" si="259">BO202-BN202</f>
        <v>-7.2249999999999996</v>
      </c>
      <c r="BQ202" s="77">
        <f t="shared" si="209"/>
        <v>7.2249999999999996</v>
      </c>
      <c r="BR202" s="40">
        <f t="shared" si="237"/>
        <v>0</v>
      </c>
      <c r="BS202" s="55">
        <f t="shared" si="236"/>
        <v>-7.2249999999999996</v>
      </c>
      <c r="BT202" s="566">
        <f>VLOOKUP($A202,'01-02.2021'!$A$6:$CZ$403,72,FALSE)+VLOOKUP($A202,'1.3.21-28.2.22'!$A$6:$DA$404,72,FALSE)-VLOOKUP($A202,'01-02.2022'!$A$6:$DA$376,72,FALSE)</f>
        <v>0</v>
      </c>
      <c r="BU202" s="566">
        <f>VLOOKUP($A202,'01-02.2021'!$A$6:$CZ$403,73,FALSE)+VLOOKUP($A202,'1.3.21-28.2.22'!$A$6:$DA$404,73,FALSE)-VLOOKUP($A202,'01-02.2022'!$A$6:$DA$376,73,FALSE)</f>
        <v>0</v>
      </c>
      <c r="BV202" s="70">
        <f t="shared" ref="BV202:BV265" si="260">BU202-BT202</f>
        <v>0</v>
      </c>
      <c r="BW202" s="566">
        <f>VLOOKUP($A202,'01-02.2021'!$A$6:$CZ$403,75,FALSE)+VLOOKUP($A202,'1.3.21-28.2.22'!$A$6:$DA$404,75,FALSE)-VLOOKUP($A202,'01-02.2022'!$A$6:$DA$376,75,FALSE)</f>
        <v>0</v>
      </c>
      <c r="BX202" s="566">
        <f>VLOOKUP($A202,'01-02.2021'!$A$6:$CZ$403,76,FALSE)+VLOOKUP($A202,'1.3.21-28.2.22'!$A$6:$DA$404,76,FALSE)-VLOOKUP($A202,'01-02.2022'!$A$6:$DA$376,76,FALSE)</f>
        <v>3.238474840834817</v>
      </c>
      <c r="BY202" s="70">
        <f t="shared" ref="BY202:BY265" si="261">BX202-BW202</f>
        <v>3.238474840834817</v>
      </c>
      <c r="BZ202" s="566">
        <f>VLOOKUP($A202,'01-02.2021'!$A$6:$CZ$403,78,FALSE)+VLOOKUP($A202,'1.3.21-28.2.22'!$A$6:$DA$404,78,FALSE)-VLOOKUP($A202,'01-02.2022'!$A$6:$DA$376,78,FALSE)</f>
        <v>0</v>
      </c>
      <c r="CA202" s="566">
        <f>VLOOKUP($A202,'01-02.2021'!$A$6:$CZ$403,79,FALSE)+VLOOKUP($A202,'1.3.21-28.2.22'!$A$6:$DA$404,79,FALSE)-VLOOKUP($A202,'01-02.2022'!$A$6:$DA$376,79,FALSE)</f>
        <v>0</v>
      </c>
      <c r="CB202" s="70">
        <f t="shared" ref="CB202:CB265" si="262">CA202-BZ202</f>
        <v>0</v>
      </c>
      <c r="CC202" s="566">
        <f>VLOOKUP($A202,'01-02.2021'!$A$6:$CZ$403,81,FALSE)+VLOOKUP($A202,'1.3.21-28.2.22'!$A$6:$DA$404,81,FALSE)-VLOOKUP($A202,'01-02.2022'!$A$6:$DA$376,81,FALSE)</f>
        <v>0</v>
      </c>
      <c r="CD202" s="566">
        <f>VLOOKUP($A202,'01-02.2021'!$A$6:$CZ$403,82,FALSE)+VLOOKUP($A202,'1.3.21-28.2.22'!$A$6:$DA$404,82,FALSE)-VLOOKUP($A202,'01-02.2022'!$A$6:$DA$376,82,FALSE)</f>
        <v>0</v>
      </c>
      <c r="CE202" s="70">
        <f t="shared" ref="CE202:CE265" si="263">CD202-CC202</f>
        <v>0</v>
      </c>
      <c r="CF202" s="566">
        <f>VLOOKUP($A202,'01-02.2021'!$A$6:$CZ$403,84,FALSE)+VLOOKUP($A202,'1.3.21-28.2.22'!$A$6:$DA$404,84,FALSE)-VLOOKUP($A202,'01-02.2022'!$A$6:$DA$376,84,FALSE)</f>
        <v>0</v>
      </c>
      <c r="CG202" s="566">
        <f>VLOOKUP($A202,'01-02.2021'!$A$6:$CZ$403,85,FALSE)+VLOOKUP($A202,'1.3.21-28.2.22'!$A$6:$DA$404,85,FALSE)-VLOOKUP($A202,'01-02.2022'!$A$6:$DA$376,85,FALSE)</f>
        <v>0</v>
      </c>
      <c r="CH202" s="70">
        <f t="shared" ref="CH202:CH265" si="264">CG202-CF202</f>
        <v>0</v>
      </c>
      <c r="CI202" s="566">
        <f>VLOOKUP($A202,'01-02.2021'!$A$6:$CZ$403,87,FALSE)+VLOOKUP($A202,'1.3.21-28.2.22'!$A$6:$DA$404,87,FALSE)-VLOOKUP($A202,'01-02.2022'!$A$6:$DA$376,87,FALSE)</f>
        <v>0</v>
      </c>
      <c r="CJ202" s="566">
        <f>VLOOKUP($A202,'01-02.2021'!$A$6:$CZ$403,88,FALSE)+VLOOKUP($A202,'1.3.21-28.2.22'!$A$6:$DA$404,88,FALSE)-VLOOKUP($A202,'01-02.2022'!$A$6:$DA$376,88,FALSE)</f>
        <v>0</v>
      </c>
      <c r="CK202" s="70">
        <f t="shared" ref="CK202:CK265" si="265">CJ202-CI202</f>
        <v>0</v>
      </c>
      <c r="CL202" s="566">
        <f>VLOOKUP($A202,'01-02.2021'!$A$6:$CZ$403,90,FALSE)+VLOOKUP($A202,'1.3.21-28.2.22'!$A$6:$DA$404,90,FALSE)-VLOOKUP($A202,'01-02.2022'!$A$6:$DA$376,90,FALSE)</f>
        <v>0</v>
      </c>
      <c r="CM202" s="566">
        <f>VLOOKUP($A202,'01-02.2021'!$A$6:$CZ$403,91,FALSE)+VLOOKUP($A202,'1.3.21-28.2.22'!$A$6:$DA$404,91,FALSE)-VLOOKUP($A202,'01-02.2022'!$A$6:$DA$376,91,FALSE)</f>
        <v>0</v>
      </c>
      <c r="CN202" s="52">
        <f t="shared" si="225"/>
        <v>0</v>
      </c>
      <c r="CO202" s="39">
        <f t="shared" si="220"/>
        <v>0</v>
      </c>
      <c r="CP202" s="40">
        <f t="shared" si="226"/>
        <v>0</v>
      </c>
      <c r="CQ202" s="52">
        <f t="shared" si="227"/>
        <v>0</v>
      </c>
      <c r="CR202" s="72">
        <f t="shared" si="221"/>
        <v>2340.6487085798594</v>
      </c>
      <c r="CS202" s="5">
        <f t="shared" si="221"/>
        <v>847.99350508347322</v>
      </c>
      <c r="CT202" s="52">
        <f t="shared" si="228"/>
        <v>-1492.6552034963861</v>
      </c>
      <c r="CU202" s="77">
        <f t="shared" si="229"/>
        <v>2808.7784502958311</v>
      </c>
      <c r="CV202" s="65">
        <f t="shared" si="230"/>
        <v>1017.5922061001678</v>
      </c>
      <c r="CW202" s="35">
        <f t="shared" si="231"/>
        <v>-1791.1862441956632</v>
      </c>
      <c r="CX202" s="566">
        <f>VLOOKUP($A202,'01-02.2021'!$A$6:$CZ$403,102,FALSE)+VLOOKUP($A202,'1.3.21-28.2.22'!$A$6:$DA$404,102,FALSE)-VLOOKUP($A202,'01-02.2022'!$A$6:$DA$376,102,FALSE)</f>
        <v>79.664502387108229</v>
      </c>
      <c r="CY202" s="566">
        <f>VLOOKUP($A202,'01-02.2021'!$A$6:$CZ$403,103,FALSE)+VLOOKUP($A202,'1.3.21-28.2.22'!$A$6:$DA$404,103,FALSE)-VLOOKUP($A202,'01-02.2022'!$A$6:$DA$376,103,FALSE)</f>
        <v>1870.8507465827706</v>
      </c>
      <c r="CZ202" s="52">
        <f t="shared" si="232"/>
        <v>1791.1862441956623</v>
      </c>
      <c r="DA202" s="150">
        <f>'[2]побудинковий звіт'!DA202</f>
        <v>-7030.5314297276018</v>
      </c>
      <c r="DB202" s="2">
        <v>3</v>
      </c>
      <c r="DC202" s="414">
        <f>'[4]побудинковий звіт'!DC202</f>
        <v>262.44</v>
      </c>
      <c r="DD202" s="414">
        <f>'[4]побудинковий звіт'!DD202</f>
        <v>0</v>
      </c>
      <c r="DE202" s="557">
        <f>'[4]побудинковий звіт'!DE202</f>
        <v>-2.0593078708600387E-2</v>
      </c>
      <c r="DF202" s="557">
        <f>'[4]побудинковий звіт'!DF202</f>
        <v>0</v>
      </c>
      <c r="DG202" s="321">
        <f>VLOOKUP(A202,'кошти 01.03.2021'!$A$6:$D$401,4,)</f>
        <v>-5069.1262983583183</v>
      </c>
      <c r="DH202" s="40">
        <f>'[3]побудинковий звіт'!DJ202</f>
        <v>2991.3517086158658</v>
      </c>
      <c r="DI202" s="422">
        <f>'[3]побудинковий звіт'!CU202+'[3]побудинковий звіт'!CX202</f>
        <v>262.4605930787086</v>
      </c>
      <c r="DJ202" s="306">
        <f>'[3]побудинковий звіт'!DM202</f>
        <v>1.8163362842817203</v>
      </c>
      <c r="DK202" s="306">
        <f t="shared" si="233"/>
        <v>1.8163362842817203</v>
      </c>
      <c r="DL202" s="306">
        <f>'[3]побудинковий звіт'!DO202</f>
        <v>1.8163362842817203</v>
      </c>
      <c r="DM202" s="28">
        <f t="shared" si="234"/>
        <v>262.4605930787086</v>
      </c>
      <c r="DN202" s="28">
        <f t="shared" si="235"/>
        <v>0</v>
      </c>
      <c r="DO202" s="423">
        <f t="shared" si="238"/>
        <v>262.4605930787086</v>
      </c>
      <c r="DP202" s="94">
        <f t="shared" si="239"/>
        <v>0</v>
      </c>
      <c r="DQ202" s="28">
        <f t="shared" si="240"/>
        <v>262.4605930787086</v>
      </c>
      <c r="DR202" s="318"/>
      <c r="DT202" s="8"/>
      <c r="DU202" s="5"/>
      <c r="DX202" s="5">
        <f t="shared" si="241"/>
        <v>2253.3490973526846</v>
      </c>
      <c r="DY202" s="5">
        <f t="shared" si="242"/>
        <v>0</v>
      </c>
      <c r="DZ202" s="159">
        <f>'[3]побудинковий звіт'!EA202</f>
        <v>234.90642402983474</v>
      </c>
    </row>
    <row r="203" spans="1:130" x14ac:dyDescent="0.3">
      <c r="A203" s="325">
        <v>150000777</v>
      </c>
      <c r="B203" s="41" t="s">
        <v>651</v>
      </c>
      <c r="C203" s="42" t="s">
        <v>169</v>
      </c>
      <c r="D203" s="42"/>
      <c r="E203" s="293">
        <f t="shared" si="218"/>
        <v>393</v>
      </c>
      <c r="F203" s="305">
        <f>'[3]побудинковий звіт'!F203</f>
        <v>393</v>
      </c>
      <c r="G203" s="508">
        <f>'[3]побудинковий звіт'!G203</f>
        <v>0</v>
      </c>
      <c r="H203" s="560">
        <f>'[3]побудинковий звіт'!H203</f>
        <v>0</v>
      </c>
      <c r="I203" s="566">
        <f>VLOOKUP($A203,'01-02.2021'!$A$6:$CZ$403,9,FALSE)+VLOOKUP($A203,'1.3.21-28.2.22'!$A$6:$DA$404,9,FALSE)-VLOOKUP($A203,'01-02.2022'!$A$6:$DA$376,9,FALSE)</f>
        <v>1399.1386067568794</v>
      </c>
      <c r="J203" s="566">
        <f>VLOOKUP($A203,'01-02.2021'!$A$6:$CZ$403,10,FALSE)+VLOOKUP($A203,'1.3.21-28.2.22'!$A$6:$DA$404,10,FALSE)-VLOOKUP($A203,'01-02.2022'!$A$6:$DA$376,10,FALSE)</f>
        <v>1365.6612324663492</v>
      </c>
      <c r="K203" s="52">
        <f t="shared" si="222"/>
        <v>-33.477374290530179</v>
      </c>
      <c r="L203" s="566">
        <f>VLOOKUP($A203,'01-02.2021'!$A$6:$CZ$403,12,FALSE)+VLOOKUP($A203,'1.3.21-28.2.22'!$A$6:$DA$404,12,FALSE)-VLOOKUP($A203,'01-02.2022'!$A$6:$DA$376,12,FALSE)</f>
        <v>221.08774808439836</v>
      </c>
      <c r="M203" s="566">
        <f>VLOOKUP($A203,'01-02.2021'!$A$6:$CZ$403,13,FALSE)+VLOOKUP($A203,'1.3.21-28.2.22'!$A$6:$DA$404,13,FALSE)-VLOOKUP($A203,'01-02.2022'!$A$6:$DA$376,13,FALSE)</f>
        <v>220.75342332203337</v>
      </c>
      <c r="N203" s="52">
        <f t="shared" si="223"/>
        <v>-0.33432476236498587</v>
      </c>
      <c r="O203" s="566">
        <f>VLOOKUP($A203,'01-02.2021'!$A$6:$CZ$403,15,FALSE)+VLOOKUP($A203,'1.3.21-28.2.22'!$A$6:$DA$404,15,FALSE)-VLOOKUP($A203,'01-02.2022'!$A$6:$DA$376,15,FALSE)</f>
        <v>528.44833370237507</v>
      </c>
      <c r="P203" s="566">
        <f>VLOOKUP($A203,'01-02.2021'!$A$6:$CZ$403,16,FALSE)+VLOOKUP($A203,'1.3.21-28.2.22'!$A$6:$DA$404,16,FALSE)-VLOOKUP($A203,'01-02.2022'!$A$6:$DA$376,16,FALSE)</f>
        <v>528.53000000000009</v>
      </c>
      <c r="Q203" s="70">
        <f t="shared" si="243"/>
        <v>8.1666297625019979E-2</v>
      </c>
      <c r="R203" s="566">
        <f>VLOOKUP($A203,'01-02.2021'!$A$6:$CZ$403,18,FALSE)+VLOOKUP($A203,'1.3.21-28.2.22'!$A$6:$DA$404,18,FALSE)-VLOOKUP($A203,'01-02.2022'!$A$6:$DA$376,18,FALSE)</f>
        <v>107.90599720301668</v>
      </c>
      <c r="S203" s="566">
        <f>VLOOKUP($A203,'01-02.2021'!$A$6:$CZ$403,19,FALSE)+VLOOKUP($A203,'1.3.21-28.2.22'!$A$6:$DA$404,19,FALSE)-VLOOKUP($A203,'01-02.2022'!$A$6:$DA$376,19,FALSE)</f>
        <v>108.10166666666666</v>
      </c>
      <c r="T203" s="70">
        <f t="shared" si="244"/>
        <v>0.19566946364997762</v>
      </c>
      <c r="U203" s="566">
        <f>VLOOKUP($A203,'01-02.2021'!$A$6:$CZ$403,21,FALSE)+VLOOKUP($A203,'1.3.21-28.2.22'!$A$6:$DA$404,21,FALSE)-VLOOKUP($A203,'01-02.2022'!$A$6:$DA$376,21,FALSE)</f>
        <v>0</v>
      </c>
      <c r="V203" s="566">
        <f>VLOOKUP($A203,'01-02.2021'!$A$6:$CZ$403,22,FALSE)+VLOOKUP($A203,'1.3.21-28.2.22'!$A$6:$DA$404,22,FALSE)-VLOOKUP($A203,'01-02.2022'!$A$6:$DA$376,22,FALSE)</f>
        <v>0</v>
      </c>
      <c r="W203" s="70">
        <f t="shared" si="245"/>
        <v>0</v>
      </c>
      <c r="X203" s="566">
        <f>VLOOKUP($A203,'01-02.2021'!$A$6:$CZ$403,24,FALSE)+VLOOKUP($A203,'1.3.21-28.2.22'!$A$6:$DA$404,24,FALSE)-VLOOKUP($A203,'01-02.2022'!$A$6:$DA$376,24,FALSE)</f>
        <v>510.82872684776174</v>
      </c>
      <c r="Y203" s="566">
        <f>VLOOKUP($A203,'01-02.2021'!$A$6:$CZ$403,25,FALSE)+VLOOKUP($A203,'1.3.21-28.2.22'!$A$6:$DA$404,25,FALSE)-VLOOKUP($A203,'01-02.2022'!$A$6:$DA$376,25,FALSE)</f>
        <v>397.04965454809712</v>
      </c>
      <c r="Z203" s="70">
        <f t="shared" si="246"/>
        <v>-113.77907229966462</v>
      </c>
      <c r="AA203" s="566">
        <f>VLOOKUP($A203,'01-02.2021'!$A$6:$CZ$403,27,FALSE)+VLOOKUP($A203,'1.3.21-28.2.22'!$A$6:$DA$404,27,FALSE)-VLOOKUP($A203,'01-02.2022'!$A$6:$DA$376,27,FALSE)</f>
        <v>78.600000000000009</v>
      </c>
      <c r="AB203" s="566">
        <f>VLOOKUP($A203,'01-02.2021'!$A$6:$CZ$403,28,FALSE)+VLOOKUP($A203,'1.3.21-28.2.22'!$A$6:$DA$404,28,FALSE)-VLOOKUP($A203,'01-02.2022'!$A$6:$DA$376,28,FALSE)</f>
        <v>0</v>
      </c>
      <c r="AC203" s="70">
        <f t="shared" si="247"/>
        <v>-78.600000000000009</v>
      </c>
      <c r="AD203" s="566">
        <f>VLOOKUP($A203,'01-02.2021'!$A$6:$CZ$403,30,FALSE)+VLOOKUP($A203,'1.3.21-28.2.22'!$A$6:$DA$404,30,FALSE)-VLOOKUP($A203,'01-02.2022'!$A$6:$DA$376,30,FALSE)</f>
        <v>1688.0611344545046</v>
      </c>
      <c r="AE203" s="566">
        <f>VLOOKUP($A203,'01-02.2021'!$A$6:$CZ$403,31,FALSE)+VLOOKUP($A203,'1.3.21-28.2.22'!$A$6:$DA$404,31,FALSE)-VLOOKUP($A203,'01-02.2022'!$A$6:$DA$376,31,FALSE)</f>
        <v>1788.9518348543897</v>
      </c>
      <c r="AF203" s="68">
        <f t="shared" si="248"/>
        <v>100.89070039988519</v>
      </c>
      <c r="AG203" s="77">
        <f t="shared" si="219"/>
        <v>4534.0705470489356</v>
      </c>
      <c r="AH203" s="53">
        <f t="shared" si="219"/>
        <v>4409.0478118575356</v>
      </c>
      <c r="AI203" s="52">
        <f t="shared" si="224"/>
        <v>-125.02273519139999</v>
      </c>
      <c r="AJ203" s="566">
        <f>VLOOKUP($A203,'01-02.2021'!$A$6:$CZ$403,36,FALSE)+VLOOKUP($A203,'1.3.21-28.2.22'!$A$6:$DA$404,36,FALSE)-VLOOKUP($A203,'01-02.2022'!$A$6:$DA$376,36,FALSE)</f>
        <v>0</v>
      </c>
      <c r="AK203" s="566">
        <f>VLOOKUP($A203,'01-02.2021'!$A$6:$CZ$403,37,FALSE)+VLOOKUP($A203,'1.3.21-28.2.22'!$A$6:$DA$404,37,FALSE)-VLOOKUP($A203,'01-02.2022'!$A$6:$DA$376,37,FALSE)</f>
        <v>0</v>
      </c>
      <c r="AL203" s="70">
        <f t="shared" si="249"/>
        <v>0</v>
      </c>
      <c r="AM203" s="566">
        <f>VLOOKUP($A203,'01-02.2021'!$A$6:$CZ$403,39,FALSE)+VLOOKUP($A203,'1.3.21-28.2.22'!$A$6:$DA$404,39,FALSE)-VLOOKUP($A203,'01-02.2022'!$A$6:$DA$376,39,FALSE)</f>
        <v>0</v>
      </c>
      <c r="AN203" s="566">
        <f>VLOOKUP($A203,'01-02.2021'!$A$6:$CZ$403,40,FALSE)+VLOOKUP($A203,'1.3.21-28.2.22'!$A$6:$DA$404,40,FALSE)-VLOOKUP($A203,'01-02.2022'!$A$6:$DA$376,40,FALSE)</f>
        <v>0</v>
      </c>
      <c r="AO203" s="70">
        <f t="shared" si="250"/>
        <v>0</v>
      </c>
      <c r="AP203" s="566">
        <f>VLOOKUP($A203,'01-02.2021'!$A$6:$CZ$403,42,FALSE)+VLOOKUP($A203,'1.3.21-28.2.22'!$A$6:$DA$404,42,FALSE)-VLOOKUP($A203,'01-02.2022'!$A$6:$DA$376,42,FALSE)</f>
        <v>347.03995000851819</v>
      </c>
      <c r="AQ203" s="566">
        <f>VLOOKUP($A203,'01-02.2021'!$A$6:$CZ$403,43,FALSE)+VLOOKUP($A203,'1.3.21-28.2.22'!$A$6:$DA$404,43,FALSE)-VLOOKUP($A203,'01-02.2022'!$A$6:$DA$376,43,FALSE)</f>
        <v>299.37364466085739</v>
      </c>
      <c r="AR203" s="70">
        <f t="shared" si="251"/>
        <v>-47.666305347660796</v>
      </c>
      <c r="AS203" s="566">
        <f>VLOOKUP($A203,'01-02.2021'!$A$6:$CZ$403,45,FALSE)+VLOOKUP($A203,'1.3.21-28.2.22'!$A$6:$DA$404,45,FALSE)-VLOOKUP($A203,'01-02.2022'!$A$6:$DA$376,45,FALSE)</f>
        <v>3792.8443842243528</v>
      </c>
      <c r="AT203" s="566">
        <f>VLOOKUP($A203,'01-02.2021'!$A$6:$CZ$403,46,FALSE)+VLOOKUP($A203,'1.3.21-28.2.22'!$A$6:$DA$404,46,FALSE)-VLOOKUP($A203,'01-02.2022'!$A$6:$DA$376,46,FALSE)</f>
        <v>1096</v>
      </c>
      <c r="AU203" s="78">
        <f t="shared" si="252"/>
        <v>-2696.8443842243528</v>
      </c>
      <c r="AV203" s="566">
        <f>VLOOKUP($A203,'01-02.2021'!$A$6:$CZ$403,48,FALSE)+VLOOKUP($A203,'1.3.21-28.2.22'!$A$6:$DA$404,48,FALSE)-VLOOKUP($A203,'01-02.2022'!$A$6:$DA$376,48,FALSE)</f>
        <v>412.77501954269559</v>
      </c>
      <c r="AW203" s="566">
        <f>VLOOKUP($A203,'01-02.2021'!$A$6:$CZ$403,49,FALSE)+VLOOKUP($A203,'1.3.21-28.2.22'!$A$6:$DA$404,49,FALSE)-VLOOKUP($A203,'01-02.2022'!$A$6:$DA$376,49,FALSE)</f>
        <v>0</v>
      </c>
      <c r="AX203" s="55">
        <f t="shared" si="253"/>
        <v>-412.77501954269559</v>
      </c>
      <c r="AY203" s="566">
        <f>VLOOKUP($A203,'01-02.2021'!$A$6:$CZ$403,51,FALSE)+VLOOKUP($A203,'1.3.21-28.2.22'!$A$6:$DA$404,51,FALSE)-VLOOKUP($A203,'01-02.2022'!$A$6:$DA$376,51,FALSE)</f>
        <v>415.87977923242983</v>
      </c>
      <c r="AZ203" s="566">
        <f>VLOOKUP($A203,'01-02.2021'!$A$6:$CZ$403,52,FALSE)+VLOOKUP($A203,'1.3.21-28.2.22'!$A$6:$DA$404,52,FALSE)-VLOOKUP($A203,'01-02.2022'!$A$6:$DA$376,52,FALSE)</f>
        <v>0</v>
      </c>
      <c r="BA203" s="38">
        <f t="shared" si="254"/>
        <v>-415.87977923242983</v>
      </c>
      <c r="BB203" s="566">
        <f>VLOOKUP($A203,'01-02.2021'!$A$6:$CZ$403,54,FALSE)+VLOOKUP($A203,'1.3.21-28.2.22'!$A$6:$DA$404,54,FALSE)-VLOOKUP($A203,'01-02.2022'!$A$6:$DA$376,54,FALSE)</f>
        <v>107.27845426087808</v>
      </c>
      <c r="BC203" s="566">
        <f>VLOOKUP($A203,'01-02.2021'!$A$6:$CZ$403,55,FALSE)+VLOOKUP($A203,'1.3.21-28.2.22'!$A$6:$DA$404,55,FALSE)-VLOOKUP($A203,'01-02.2022'!$A$6:$DA$376,55,FALSE)</f>
        <v>0</v>
      </c>
      <c r="BD203" s="55">
        <f t="shared" si="255"/>
        <v>-107.27845426087808</v>
      </c>
      <c r="BE203" s="566">
        <f>VLOOKUP($A203,'01-02.2021'!$A$6:$CZ$403,57,FALSE)+VLOOKUP($A203,'1.3.21-28.2.22'!$A$6:$DA$404,57,FALSE)-VLOOKUP($A203,'01-02.2022'!$A$6:$DA$376,57,FALSE)</f>
        <v>281.30919198990802</v>
      </c>
      <c r="BF203" s="566">
        <f>VLOOKUP($A203,'01-02.2021'!$A$6:$CZ$403,58,FALSE)+VLOOKUP($A203,'1.3.21-28.2.22'!$A$6:$DA$404,58,FALSE)-VLOOKUP($A203,'01-02.2022'!$A$6:$DA$376,58,FALSE)</f>
        <v>0</v>
      </c>
      <c r="BG203" s="55">
        <f t="shared" si="256"/>
        <v>-281.30919198990802</v>
      </c>
      <c r="BH203" s="566">
        <f>VLOOKUP($A203,'01-02.2021'!$A$6:$CZ$403,60,FALSE)+VLOOKUP($A203,'1.3.21-28.2.22'!$A$6:$DA$404,60,FALSE)-VLOOKUP($A203,'01-02.2022'!$A$6:$DA$376,60,FALSE)</f>
        <v>0</v>
      </c>
      <c r="BI203" s="566">
        <f>VLOOKUP($A203,'01-02.2021'!$A$6:$CZ$403,61,FALSE)+VLOOKUP($A203,'1.3.21-28.2.22'!$A$6:$DA$404,61,FALSE)-VLOOKUP($A203,'01-02.2022'!$A$6:$DA$376,61,FALSE)</f>
        <v>0</v>
      </c>
      <c r="BJ203" s="55">
        <f t="shared" si="257"/>
        <v>0</v>
      </c>
      <c r="BK203" s="566">
        <f>VLOOKUP($A203,'01-02.2021'!$A$6:$CZ$403,63,FALSE)+VLOOKUP($A203,'1.3.21-28.2.22'!$A$6:$DA$404,63,FALSE)-VLOOKUP($A203,'01-02.2022'!$A$6:$DA$376,63,FALSE)</f>
        <v>105.44243389078468</v>
      </c>
      <c r="BL203" s="566">
        <f>VLOOKUP($A203,'01-02.2021'!$A$6:$CZ$403,64,FALSE)+VLOOKUP($A203,'1.3.21-28.2.22'!$A$6:$DA$404,64,FALSE)-VLOOKUP($A203,'01-02.2022'!$A$6:$DA$376,64,FALSE)</f>
        <v>0</v>
      </c>
      <c r="BM203" s="55">
        <f t="shared" si="258"/>
        <v>-105.44243389078468</v>
      </c>
      <c r="BN203" s="566">
        <f>VLOOKUP($A203,'01-02.2021'!$A$6:$CZ$403,66,FALSE)+VLOOKUP($A203,'1.3.21-28.2.22'!$A$6:$DA$404,66,FALSE)-VLOOKUP($A203,'01-02.2022'!$A$6:$DA$376,66,FALSE)</f>
        <v>19.650000000000002</v>
      </c>
      <c r="BO203" s="566">
        <f>VLOOKUP($A203,'01-02.2021'!$A$6:$CZ$403,67,FALSE)+VLOOKUP($A203,'1.3.21-28.2.22'!$A$6:$DA$404,67,FALSE)-VLOOKUP($A203,'01-02.2022'!$A$6:$DA$376,67,FALSE)</f>
        <v>0</v>
      </c>
      <c r="BP203" s="55">
        <f t="shared" si="259"/>
        <v>-19.650000000000002</v>
      </c>
      <c r="BQ203" s="77">
        <f t="shared" si="209"/>
        <v>1342.3348789166964</v>
      </c>
      <c r="BR203" s="40">
        <f t="shared" si="237"/>
        <v>0</v>
      </c>
      <c r="BS203" s="55">
        <f t="shared" si="236"/>
        <v>-1342.3348789166964</v>
      </c>
      <c r="BT203" s="566">
        <f>VLOOKUP($A203,'01-02.2021'!$A$6:$CZ$403,72,FALSE)+VLOOKUP($A203,'1.3.21-28.2.22'!$A$6:$DA$404,72,FALSE)-VLOOKUP($A203,'01-02.2022'!$A$6:$DA$376,72,FALSE)</f>
        <v>3343.1301362718295</v>
      </c>
      <c r="BU203" s="566">
        <f>VLOOKUP($A203,'01-02.2021'!$A$6:$CZ$403,73,FALSE)+VLOOKUP($A203,'1.3.21-28.2.22'!$A$6:$DA$404,73,FALSE)-VLOOKUP($A203,'01-02.2022'!$A$6:$DA$376,73,FALSE)</f>
        <v>3438.3751133221576</v>
      </c>
      <c r="BV203" s="70">
        <f t="shared" si="260"/>
        <v>95.244977050328089</v>
      </c>
      <c r="BW203" s="566">
        <f>VLOOKUP($A203,'01-02.2021'!$A$6:$CZ$403,75,FALSE)+VLOOKUP($A203,'1.3.21-28.2.22'!$A$6:$DA$404,75,FALSE)-VLOOKUP($A203,'01-02.2022'!$A$6:$DA$376,75,FALSE)</f>
        <v>2180.1858565127254</v>
      </c>
      <c r="BX203" s="566">
        <f>VLOOKUP($A203,'01-02.2021'!$A$6:$CZ$403,76,FALSE)+VLOOKUP($A203,'1.3.21-28.2.22'!$A$6:$DA$404,76,FALSE)-VLOOKUP($A203,'01-02.2022'!$A$6:$DA$376,76,FALSE)</f>
        <v>2441.95815908752</v>
      </c>
      <c r="BY203" s="70">
        <f t="shared" si="261"/>
        <v>261.77230257479459</v>
      </c>
      <c r="BZ203" s="566">
        <f>VLOOKUP($A203,'01-02.2021'!$A$6:$CZ$403,78,FALSE)+VLOOKUP($A203,'1.3.21-28.2.22'!$A$6:$DA$404,78,FALSE)-VLOOKUP($A203,'01-02.2022'!$A$6:$DA$376,78,FALSE)</f>
        <v>484.29161192701338</v>
      </c>
      <c r="CA203" s="566">
        <f>VLOOKUP($A203,'01-02.2021'!$A$6:$CZ$403,79,FALSE)+VLOOKUP($A203,'1.3.21-28.2.22'!$A$6:$DA$404,79,FALSE)-VLOOKUP($A203,'01-02.2022'!$A$6:$DA$376,79,FALSE)</f>
        <v>1081.252377138391</v>
      </c>
      <c r="CB203" s="70">
        <f t="shared" si="262"/>
        <v>596.96076521137763</v>
      </c>
      <c r="CC203" s="566">
        <f>VLOOKUP($A203,'01-02.2021'!$A$6:$CZ$403,81,FALSE)+VLOOKUP($A203,'1.3.21-28.2.22'!$A$6:$DA$404,81,FALSE)-VLOOKUP($A203,'01-02.2022'!$A$6:$DA$376,81,FALSE)</f>
        <v>0</v>
      </c>
      <c r="CD203" s="566">
        <f>VLOOKUP($A203,'01-02.2021'!$A$6:$CZ$403,82,FALSE)+VLOOKUP($A203,'1.3.21-28.2.22'!$A$6:$DA$404,82,FALSE)-VLOOKUP($A203,'01-02.2022'!$A$6:$DA$376,82,FALSE)</f>
        <v>0</v>
      </c>
      <c r="CE203" s="70">
        <f t="shared" si="263"/>
        <v>0</v>
      </c>
      <c r="CF203" s="566">
        <f>VLOOKUP($A203,'01-02.2021'!$A$6:$CZ$403,84,FALSE)+VLOOKUP($A203,'1.3.21-28.2.22'!$A$6:$DA$404,84,FALSE)-VLOOKUP($A203,'01-02.2022'!$A$6:$DA$376,84,FALSE)</f>
        <v>0</v>
      </c>
      <c r="CG203" s="566">
        <f>VLOOKUP($A203,'01-02.2021'!$A$6:$CZ$403,85,FALSE)+VLOOKUP($A203,'1.3.21-28.2.22'!$A$6:$DA$404,85,FALSE)-VLOOKUP($A203,'01-02.2022'!$A$6:$DA$376,85,FALSE)</f>
        <v>0</v>
      </c>
      <c r="CH203" s="70">
        <f t="shared" si="264"/>
        <v>0</v>
      </c>
      <c r="CI203" s="566">
        <f>VLOOKUP($A203,'01-02.2021'!$A$6:$CZ$403,87,FALSE)+VLOOKUP($A203,'1.3.21-28.2.22'!$A$6:$DA$404,87,FALSE)-VLOOKUP($A203,'01-02.2022'!$A$6:$DA$376,87,FALSE)</f>
        <v>303.92834530043115</v>
      </c>
      <c r="CJ203" s="566">
        <f>VLOOKUP($A203,'01-02.2021'!$A$6:$CZ$403,88,FALSE)+VLOOKUP($A203,'1.3.21-28.2.22'!$A$6:$DA$404,88,FALSE)-VLOOKUP($A203,'01-02.2022'!$A$6:$DA$376,88,FALSE)</f>
        <v>246.1028610734206</v>
      </c>
      <c r="CK203" s="70">
        <f t="shared" si="265"/>
        <v>-57.825484227010548</v>
      </c>
      <c r="CL203" s="566">
        <f>VLOOKUP($A203,'01-02.2021'!$A$6:$CZ$403,90,FALSE)+VLOOKUP($A203,'1.3.21-28.2.22'!$A$6:$DA$404,90,FALSE)-VLOOKUP($A203,'01-02.2022'!$A$6:$DA$376,90,FALSE)</f>
        <v>0</v>
      </c>
      <c r="CM203" s="566">
        <f>VLOOKUP($A203,'01-02.2021'!$A$6:$CZ$403,91,FALSE)+VLOOKUP($A203,'1.3.21-28.2.22'!$A$6:$DA$404,91,FALSE)-VLOOKUP($A203,'01-02.2022'!$A$6:$DA$376,91,FALSE)</f>
        <v>0</v>
      </c>
      <c r="CN203" s="52">
        <f t="shared" si="225"/>
        <v>0</v>
      </c>
      <c r="CO203" s="39">
        <f t="shared" si="220"/>
        <v>303.92834530043115</v>
      </c>
      <c r="CP203" s="40">
        <f t="shared" si="226"/>
        <v>246.1028610734206</v>
      </c>
      <c r="CQ203" s="52">
        <f t="shared" si="227"/>
        <v>-57.825484227010548</v>
      </c>
      <c r="CR203" s="72">
        <f t="shared" si="221"/>
        <v>16327.825710210504</v>
      </c>
      <c r="CS203" s="5">
        <f t="shared" si="221"/>
        <v>13012.109967139882</v>
      </c>
      <c r="CT203" s="52">
        <f t="shared" si="228"/>
        <v>-3315.7157430706211</v>
      </c>
      <c r="CU203" s="77">
        <f t="shared" si="229"/>
        <v>19593.390852252604</v>
      </c>
      <c r="CV203" s="65">
        <f t="shared" si="230"/>
        <v>15614.531960567858</v>
      </c>
      <c r="CW203" s="35">
        <f t="shared" si="231"/>
        <v>-3978.8588916847457</v>
      </c>
      <c r="CX203" s="566">
        <f>VLOOKUP($A203,'01-02.2021'!$A$6:$CZ$403,102,FALSE)+VLOOKUP($A203,'1.3.21-28.2.22'!$A$6:$DA$404,102,FALSE)-VLOOKUP($A203,'01-02.2022'!$A$6:$DA$376,102,FALSE)</f>
        <v>555.59628068819541</v>
      </c>
      <c r="CY203" s="566">
        <f>VLOOKUP($A203,'01-02.2021'!$A$6:$CZ$403,103,FALSE)+VLOOKUP($A203,'1.3.21-28.2.22'!$A$6:$DA$404,103,FALSE)-VLOOKUP($A203,'01-02.2022'!$A$6:$DA$376,103,FALSE)</f>
        <v>4534.4551723729401</v>
      </c>
      <c r="CZ203" s="52">
        <f t="shared" si="232"/>
        <v>3978.8588916847448</v>
      </c>
      <c r="DA203" s="150">
        <f>'[2]побудинковий звіт'!DA203</f>
        <v>-2178.3623061619837</v>
      </c>
      <c r="DB203" s="2">
        <v>3</v>
      </c>
      <c r="DC203" s="414">
        <f>'[4]побудинковий звіт'!DC203</f>
        <v>1880.95</v>
      </c>
      <c r="DD203" s="414">
        <f>'[4]побудинковий звіт'!DD203</f>
        <v>0</v>
      </c>
      <c r="DE203" s="557">
        <f>'[4]побудинковий звіт'!DE203</f>
        <v>49.603441910359379</v>
      </c>
      <c r="DF203" s="557">
        <f>'[4]побудинковий звіт'!DF203</f>
        <v>0</v>
      </c>
      <c r="DG203" s="321">
        <f>VLOOKUP(A203,'кошти 01.03.2021'!$A$6:$D$401,4,)</f>
        <v>2790.6079559372738</v>
      </c>
      <c r="DH203" s="40">
        <f>'[3]побудинковий звіт'!DJ203</f>
        <v>20869.223414953041</v>
      </c>
      <c r="DI203" s="422">
        <f>'[3]побудинковий звіт'!CU203+'[3]побудинковий звіт'!CX203</f>
        <v>1831.3465580896411</v>
      </c>
      <c r="DJ203" s="306">
        <f>'[3]побудинковий звіт'!DM203</f>
        <v>4.6599149060805107</v>
      </c>
      <c r="DK203" s="306">
        <f t="shared" si="233"/>
        <v>4.6599149060805107</v>
      </c>
      <c r="DL203" s="306">
        <f>'[3]побудинковий звіт'!DO203</f>
        <v>3.9898510872216142</v>
      </c>
      <c r="DM203" s="28">
        <f t="shared" si="234"/>
        <v>1831.3465580896407</v>
      </c>
      <c r="DN203" s="28">
        <f t="shared" si="235"/>
        <v>0</v>
      </c>
      <c r="DO203" s="423">
        <f t="shared" si="238"/>
        <v>1831.3465580896407</v>
      </c>
      <c r="DP203" s="94">
        <f t="shared" si="239"/>
        <v>0</v>
      </c>
      <c r="DQ203" s="28">
        <f t="shared" si="240"/>
        <v>1831.3465580896407</v>
      </c>
      <c r="DR203" s="318"/>
      <c r="DT203" s="8"/>
      <c r="DU203" s="5"/>
      <c r="DX203" s="5">
        <f t="shared" si="241"/>
        <v>6162.2151157692588</v>
      </c>
      <c r="DY203" s="5">
        <f t="shared" si="242"/>
        <v>1315.2</v>
      </c>
      <c r="DZ203" s="159">
        <f>'[3]побудинковий звіт'!EA203</f>
        <v>533.32716084547076</v>
      </c>
    </row>
    <row r="204" spans="1:130" x14ac:dyDescent="0.3">
      <c r="A204" s="325">
        <v>150000765</v>
      </c>
      <c r="B204" s="41" t="s">
        <v>652</v>
      </c>
      <c r="C204" s="42" t="s">
        <v>265</v>
      </c>
      <c r="D204" s="42"/>
      <c r="E204" s="293">
        <f t="shared" si="218"/>
        <v>4524.01</v>
      </c>
      <c r="F204" s="305">
        <f>'[3]побудинковий звіт'!F204</f>
        <v>4524.01</v>
      </c>
      <c r="G204" s="508">
        <f>'[3]побудинковий звіт'!G204</f>
        <v>0</v>
      </c>
      <c r="H204" s="560">
        <f>'[3]побудинковий звіт'!H204</f>
        <v>0</v>
      </c>
      <c r="I204" s="566">
        <f>VLOOKUP($A204,'01-02.2021'!$A$6:$CZ$403,9,FALSE)+VLOOKUP($A204,'1.3.21-28.2.22'!$A$6:$DA$404,9,FALSE)-VLOOKUP($A204,'01-02.2022'!$A$6:$DA$376,9,FALSE)</f>
        <v>15050.096056689394</v>
      </c>
      <c r="J204" s="566">
        <f>VLOOKUP($A204,'01-02.2021'!$A$6:$CZ$403,10,FALSE)+VLOOKUP($A204,'1.3.21-28.2.22'!$A$6:$DA$404,10,FALSE)-VLOOKUP($A204,'01-02.2022'!$A$6:$DA$376,10,FALSE)</f>
        <v>16577.547684571902</v>
      </c>
      <c r="K204" s="52">
        <f t="shared" si="222"/>
        <v>1527.4516278825085</v>
      </c>
      <c r="L204" s="566">
        <f>VLOOKUP($A204,'01-02.2021'!$A$6:$CZ$403,12,FALSE)+VLOOKUP($A204,'1.3.21-28.2.22'!$A$6:$DA$404,12,FALSE)-VLOOKUP($A204,'01-02.2022'!$A$6:$DA$376,12,FALSE)</f>
        <v>3187.9631715317946</v>
      </c>
      <c r="M204" s="566">
        <f>VLOOKUP($A204,'01-02.2021'!$A$6:$CZ$403,13,FALSE)+VLOOKUP($A204,'1.3.21-28.2.22'!$A$6:$DA$404,13,FALSE)-VLOOKUP($A204,'01-02.2022'!$A$6:$DA$376,13,FALSE)</f>
        <v>3541.4779781448024</v>
      </c>
      <c r="N204" s="52">
        <f t="shared" si="223"/>
        <v>353.51480661300775</v>
      </c>
      <c r="O204" s="566">
        <f>VLOOKUP($A204,'01-02.2021'!$A$6:$CZ$403,15,FALSE)+VLOOKUP($A204,'1.3.21-28.2.22'!$A$6:$DA$404,15,FALSE)-VLOOKUP($A204,'01-02.2022'!$A$6:$DA$376,15,FALSE)</f>
        <v>5602.9713529348073</v>
      </c>
      <c r="P204" s="566">
        <f>VLOOKUP($A204,'01-02.2021'!$A$6:$CZ$403,16,FALSE)+VLOOKUP($A204,'1.3.21-28.2.22'!$A$6:$DA$404,16,FALSE)-VLOOKUP($A204,'01-02.2022'!$A$6:$DA$376,16,FALSE)</f>
        <v>5602.4599999999991</v>
      </c>
      <c r="Q204" s="70">
        <f t="shared" si="243"/>
        <v>-0.5113529348082011</v>
      </c>
      <c r="R204" s="566">
        <f>VLOOKUP($A204,'01-02.2021'!$A$6:$CZ$403,18,FALSE)+VLOOKUP($A204,'1.3.21-28.2.22'!$A$6:$DA$404,18,FALSE)-VLOOKUP($A204,'01-02.2022'!$A$6:$DA$376,18,FALSE)</f>
        <v>0</v>
      </c>
      <c r="S204" s="566">
        <f>VLOOKUP($A204,'01-02.2021'!$A$6:$CZ$403,19,FALSE)+VLOOKUP($A204,'1.3.21-28.2.22'!$A$6:$DA$404,19,FALSE)-VLOOKUP($A204,'01-02.2022'!$A$6:$DA$376,19,FALSE)</f>
        <v>0</v>
      </c>
      <c r="T204" s="70">
        <f t="shared" si="244"/>
        <v>0</v>
      </c>
      <c r="U204" s="566">
        <f>VLOOKUP($A204,'01-02.2021'!$A$6:$CZ$403,21,FALSE)+VLOOKUP($A204,'1.3.21-28.2.22'!$A$6:$DA$404,21,FALSE)-VLOOKUP($A204,'01-02.2022'!$A$6:$DA$376,21,FALSE)</f>
        <v>1114.1131194327395</v>
      </c>
      <c r="V204" s="566">
        <f>VLOOKUP($A204,'01-02.2021'!$A$6:$CZ$403,22,FALSE)+VLOOKUP($A204,'1.3.21-28.2.22'!$A$6:$DA$404,22,FALSE)-VLOOKUP($A204,'01-02.2022'!$A$6:$DA$376,22,FALSE)</f>
        <v>3686.5339497953146</v>
      </c>
      <c r="W204" s="70">
        <f t="shared" si="245"/>
        <v>2572.4208303625751</v>
      </c>
      <c r="X204" s="566">
        <f>VLOOKUP($A204,'01-02.2021'!$A$6:$CZ$403,24,FALSE)+VLOOKUP($A204,'1.3.21-28.2.22'!$A$6:$DA$404,24,FALSE)-VLOOKUP($A204,'01-02.2022'!$A$6:$DA$376,24,FALSE)</f>
        <v>10114.730664488266</v>
      </c>
      <c r="Y204" s="566">
        <f>VLOOKUP($A204,'01-02.2021'!$A$6:$CZ$403,25,FALSE)+VLOOKUP($A204,'1.3.21-28.2.22'!$A$6:$DA$404,25,FALSE)-VLOOKUP($A204,'01-02.2022'!$A$6:$DA$376,25,FALSE)</f>
        <v>8224.5594857114829</v>
      </c>
      <c r="Z204" s="70">
        <f t="shared" si="246"/>
        <v>-1890.1711787767836</v>
      </c>
      <c r="AA204" s="566">
        <f>VLOOKUP($A204,'01-02.2021'!$A$6:$CZ$403,27,FALSE)+VLOOKUP($A204,'1.3.21-28.2.22'!$A$6:$DA$404,27,FALSE)-VLOOKUP($A204,'01-02.2022'!$A$6:$DA$376,27,FALSE)</f>
        <v>904.72399999999993</v>
      </c>
      <c r="AB204" s="566">
        <f>VLOOKUP($A204,'01-02.2021'!$A$6:$CZ$403,28,FALSE)+VLOOKUP($A204,'1.3.21-28.2.22'!$A$6:$DA$404,28,FALSE)-VLOOKUP($A204,'01-02.2022'!$A$6:$DA$376,28,FALSE)</f>
        <v>0</v>
      </c>
      <c r="AC204" s="70">
        <f t="shared" si="247"/>
        <v>-904.72399999999993</v>
      </c>
      <c r="AD204" s="566">
        <f>VLOOKUP($A204,'01-02.2021'!$A$6:$CZ$403,30,FALSE)+VLOOKUP($A204,'1.3.21-28.2.22'!$A$6:$DA$404,30,FALSE)-VLOOKUP($A204,'01-02.2022'!$A$6:$DA$376,30,FALSE)</f>
        <v>19431.200203076536</v>
      </c>
      <c r="AE204" s="566">
        <f>VLOOKUP($A204,'01-02.2021'!$A$6:$CZ$403,31,FALSE)+VLOOKUP($A204,'1.3.21-28.2.22'!$A$6:$DA$404,31,FALSE)-VLOOKUP($A204,'01-02.2022'!$A$6:$DA$376,31,FALSE)</f>
        <v>20593.475802543526</v>
      </c>
      <c r="AF204" s="68">
        <f t="shared" si="248"/>
        <v>1162.2755994669897</v>
      </c>
      <c r="AG204" s="77">
        <f t="shared" si="219"/>
        <v>55405.798568153543</v>
      </c>
      <c r="AH204" s="53">
        <f t="shared" si="219"/>
        <v>58226.05490076702</v>
      </c>
      <c r="AI204" s="52">
        <f t="shared" si="224"/>
        <v>2820.2563326134768</v>
      </c>
      <c r="AJ204" s="566">
        <f>VLOOKUP($A204,'01-02.2021'!$A$6:$CZ$403,36,FALSE)+VLOOKUP($A204,'1.3.21-28.2.22'!$A$6:$DA$404,36,FALSE)-VLOOKUP($A204,'01-02.2022'!$A$6:$DA$376,36,FALSE)</f>
        <v>0</v>
      </c>
      <c r="AK204" s="566">
        <f>VLOOKUP($A204,'01-02.2021'!$A$6:$CZ$403,37,FALSE)+VLOOKUP($A204,'1.3.21-28.2.22'!$A$6:$DA$404,37,FALSE)-VLOOKUP($A204,'01-02.2022'!$A$6:$DA$376,37,FALSE)</f>
        <v>0</v>
      </c>
      <c r="AL204" s="70">
        <f t="shared" si="249"/>
        <v>0</v>
      </c>
      <c r="AM204" s="566">
        <f>VLOOKUP($A204,'01-02.2021'!$A$6:$CZ$403,39,FALSE)+VLOOKUP($A204,'1.3.21-28.2.22'!$A$6:$DA$404,39,FALSE)-VLOOKUP($A204,'01-02.2022'!$A$6:$DA$376,39,FALSE)</f>
        <v>0</v>
      </c>
      <c r="AN204" s="566">
        <f>VLOOKUP($A204,'01-02.2021'!$A$6:$CZ$403,40,FALSE)+VLOOKUP($A204,'1.3.21-28.2.22'!$A$6:$DA$404,40,FALSE)-VLOOKUP($A204,'01-02.2022'!$A$6:$DA$376,40,FALSE)</f>
        <v>0</v>
      </c>
      <c r="AO204" s="70">
        <f t="shared" si="250"/>
        <v>0</v>
      </c>
      <c r="AP204" s="566">
        <f>VLOOKUP($A204,'01-02.2021'!$A$6:$CZ$403,42,FALSE)+VLOOKUP($A204,'1.3.21-28.2.22'!$A$6:$DA$404,42,FALSE)-VLOOKUP($A204,'01-02.2022'!$A$6:$DA$376,42,FALSE)</f>
        <v>17351.997500425914</v>
      </c>
      <c r="AQ204" s="566">
        <f>VLOOKUP($A204,'01-02.2021'!$A$6:$CZ$403,43,FALSE)+VLOOKUP($A204,'1.3.21-28.2.22'!$A$6:$DA$404,43,FALSE)-VLOOKUP($A204,'01-02.2022'!$A$6:$DA$376,43,FALSE)</f>
        <v>12093.8970076359</v>
      </c>
      <c r="AR204" s="70">
        <f t="shared" si="251"/>
        <v>-5258.100492790014</v>
      </c>
      <c r="AS204" s="566">
        <f>VLOOKUP($A204,'01-02.2021'!$A$6:$CZ$403,45,FALSE)+VLOOKUP($A204,'1.3.21-28.2.22'!$A$6:$DA$404,45,FALSE)-VLOOKUP($A204,'01-02.2022'!$A$6:$DA$376,45,FALSE)</f>
        <v>45825.370227189385</v>
      </c>
      <c r="AT204" s="566">
        <f>VLOOKUP($A204,'01-02.2021'!$A$6:$CZ$403,46,FALSE)+VLOOKUP($A204,'1.3.21-28.2.22'!$A$6:$DA$404,46,FALSE)-VLOOKUP($A204,'01-02.2022'!$A$6:$DA$376,46,FALSE)</f>
        <v>21479.078053906855</v>
      </c>
      <c r="AU204" s="78">
        <f t="shared" si="252"/>
        <v>-24346.292173282531</v>
      </c>
      <c r="AV204" s="566">
        <f>VLOOKUP($A204,'01-02.2021'!$A$6:$CZ$403,48,FALSE)+VLOOKUP($A204,'1.3.21-28.2.22'!$A$6:$DA$404,48,FALSE)-VLOOKUP($A204,'01-02.2022'!$A$6:$DA$376,48,FALSE)</f>
        <v>4025.9542847920829</v>
      </c>
      <c r="AW204" s="566">
        <f>VLOOKUP($A204,'01-02.2021'!$A$6:$CZ$403,49,FALSE)+VLOOKUP($A204,'1.3.21-28.2.22'!$A$6:$DA$404,49,FALSE)-VLOOKUP($A204,'01-02.2022'!$A$6:$DA$376,49,FALSE)</f>
        <v>3731.3</v>
      </c>
      <c r="AX204" s="55">
        <f t="shared" si="253"/>
        <v>-294.65428479208276</v>
      </c>
      <c r="AY204" s="566">
        <f>VLOOKUP($A204,'01-02.2021'!$A$6:$CZ$403,51,FALSE)+VLOOKUP($A204,'1.3.21-28.2.22'!$A$6:$DA$404,51,FALSE)-VLOOKUP($A204,'01-02.2022'!$A$6:$DA$376,51,FALSE)</f>
        <v>5992.404327820961</v>
      </c>
      <c r="AZ204" s="566">
        <f>VLOOKUP($A204,'01-02.2021'!$A$6:$CZ$403,52,FALSE)+VLOOKUP($A204,'1.3.21-28.2.22'!$A$6:$DA$404,52,FALSE)-VLOOKUP($A204,'01-02.2022'!$A$6:$DA$376,52,FALSE)</f>
        <v>0</v>
      </c>
      <c r="BA204" s="38">
        <f t="shared" si="254"/>
        <v>-5992.404327820961</v>
      </c>
      <c r="BB204" s="566">
        <f>VLOOKUP($A204,'01-02.2021'!$A$6:$CZ$403,54,FALSE)+VLOOKUP($A204,'1.3.21-28.2.22'!$A$6:$DA$404,54,FALSE)-VLOOKUP($A204,'01-02.2022'!$A$6:$DA$376,54,FALSE)</f>
        <v>2934.2130327794098</v>
      </c>
      <c r="BC204" s="566">
        <f>VLOOKUP($A204,'01-02.2021'!$A$6:$CZ$403,55,FALSE)+VLOOKUP($A204,'1.3.21-28.2.22'!$A$6:$DA$404,55,FALSE)-VLOOKUP($A204,'01-02.2022'!$A$6:$DA$376,55,FALSE)</f>
        <v>0</v>
      </c>
      <c r="BD204" s="55">
        <f t="shared" si="255"/>
        <v>-2934.2130327794098</v>
      </c>
      <c r="BE204" s="566">
        <f>VLOOKUP($A204,'01-02.2021'!$A$6:$CZ$403,57,FALSE)+VLOOKUP($A204,'1.3.21-28.2.22'!$A$6:$DA$404,57,FALSE)-VLOOKUP($A204,'01-02.2022'!$A$6:$DA$376,57,FALSE)</f>
        <v>0</v>
      </c>
      <c r="BF204" s="566">
        <f>VLOOKUP($A204,'01-02.2021'!$A$6:$CZ$403,58,FALSE)+VLOOKUP($A204,'1.3.21-28.2.22'!$A$6:$DA$404,58,FALSE)-VLOOKUP($A204,'01-02.2022'!$A$6:$DA$376,58,FALSE)</f>
        <v>0</v>
      </c>
      <c r="BG204" s="55">
        <f t="shared" si="256"/>
        <v>0</v>
      </c>
      <c r="BH204" s="566">
        <f>VLOOKUP($A204,'01-02.2021'!$A$6:$CZ$403,60,FALSE)+VLOOKUP($A204,'1.3.21-28.2.22'!$A$6:$DA$404,60,FALSE)-VLOOKUP($A204,'01-02.2022'!$A$6:$DA$376,60,FALSE)</f>
        <v>2499.474500414512</v>
      </c>
      <c r="BI204" s="566">
        <f>VLOOKUP($A204,'01-02.2021'!$A$6:$CZ$403,61,FALSE)+VLOOKUP($A204,'1.3.21-28.2.22'!$A$6:$DA$404,61,FALSE)-VLOOKUP($A204,'01-02.2022'!$A$6:$DA$376,61,FALSE)</f>
        <v>0</v>
      </c>
      <c r="BJ204" s="55">
        <f t="shared" si="257"/>
        <v>-2499.474500414512</v>
      </c>
      <c r="BK204" s="566">
        <f>VLOOKUP($A204,'01-02.2021'!$A$6:$CZ$403,63,FALSE)+VLOOKUP($A204,'1.3.21-28.2.22'!$A$6:$DA$404,63,FALSE)-VLOOKUP($A204,'01-02.2022'!$A$6:$DA$376,63,FALSE)</f>
        <v>3454.1559390018278</v>
      </c>
      <c r="BL204" s="566">
        <f>VLOOKUP($A204,'01-02.2021'!$A$6:$CZ$403,64,FALSE)+VLOOKUP($A204,'1.3.21-28.2.22'!$A$6:$DA$404,64,FALSE)-VLOOKUP($A204,'01-02.2022'!$A$6:$DA$376,64,FALSE)</f>
        <v>0</v>
      </c>
      <c r="BM204" s="55">
        <f t="shared" si="258"/>
        <v>-3454.1559390018278</v>
      </c>
      <c r="BN204" s="566">
        <f>VLOOKUP($A204,'01-02.2021'!$A$6:$CZ$403,66,FALSE)+VLOOKUP($A204,'1.3.21-28.2.22'!$A$6:$DA$404,66,FALSE)-VLOOKUP($A204,'01-02.2022'!$A$6:$DA$376,66,FALSE)</f>
        <v>226.18099999999998</v>
      </c>
      <c r="BO204" s="566">
        <f>VLOOKUP($A204,'01-02.2021'!$A$6:$CZ$403,67,FALSE)+VLOOKUP($A204,'1.3.21-28.2.22'!$A$6:$DA$404,67,FALSE)-VLOOKUP($A204,'01-02.2022'!$A$6:$DA$376,67,FALSE)</f>
        <v>0</v>
      </c>
      <c r="BP204" s="55">
        <f t="shared" si="259"/>
        <v>-226.18099999999998</v>
      </c>
      <c r="BQ204" s="77">
        <f t="shared" si="209"/>
        <v>19132.383084808793</v>
      </c>
      <c r="BR204" s="40">
        <f t="shared" si="237"/>
        <v>3731.3</v>
      </c>
      <c r="BS204" s="55">
        <f t="shared" si="236"/>
        <v>-15401.083084808794</v>
      </c>
      <c r="BT204" s="566">
        <f>VLOOKUP($A204,'01-02.2021'!$A$6:$CZ$403,72,FALSE)+VLOOKUP($A204,'1.3.21-28.2.22'!$A$6:$DA$404,72,FALSE)-VLOOKUP($A204,'01-02.2022'!$A$6:$DA$376,72,FALSE)</f>
        <v>36292.062760687302</v>
      </c>
      <c r="BU204" s="566">
        <f>VLOOKUP($A204,'01-02.2021'!$A$6:$CZ$403,73,FALSE)+VLOOKUP($A204,'1.3.21-28.2.22'!$A$6:$DA$404,73,FALSE)-VLOOKUP($A204,'01-02.2022'!$A$6:$DA$376,73,FALSE)</f>
        <v>41525.60306730718</v>
      </c>
      <c r="BV204" s="70">
        <f t="shared" si="260"/>
        <v>5233.5403066198778</v>
      </c>
      <c r="BW204" s="566">
        <f>VLOOKUP($A204,'01-02.2021'!$A$6:$CZ$403,75,FALSE)+VLOOKUP($A204,'1.3.21-28.2.22'!$A$6:$DA$404,75,FALSE)-VLOOKUP($A204,'01-02.2022'!$A$6:$DA$376,75,FALSE)</f>
        <v>21446.306963224364</v>
      </c>
      <c r="BX204" s="566">
        <f>VLOOKUP($A204,'01-02.2021'!$A$6:$CZ$403,76,FALSE)+VLOOKUP($A204,'1.3.21-28.2.22'!$A$6:$DA$404,76,FALSE)-VLOOKUP($A204,'01-02.2022'!$A$6:$DA$376,76,FALSE)</f>
        <v>17470.736982577233</v>
      </c>
      <c r="BY204" s="70">
        <f t="shared" si="261"/>
        <v>-3975.5699806471312</v>
      </c>
      <c r="BZ204" s="566">
        <f>VLOOKUP($A204,'01-02.2021'!$A$6:$CZ$403,78,FALSE)+VLOOKUP($A204,'1.3.21-28.2.22'!$A$6:$DA$404,78,FALSE)-VLOOKUP($A204,'01-02.2022'!$A$6:$DA$376,78,FALSE)</f>
        <v>15372.236105389899</v>
      </c>
      <c r="CA204" s="566">
        <f>VLOOKUP($A204,'01-02.2021'!$A$6:$CZ$403,79,FALSE)+VLOOKUP($A204,'1.3.21-28.2.22'!$A$6:$DA$404,79,FALSE)-VLOOKUP($A204,'01-02.2022'!$A$6:$DA$376,79,FALSE)</f>
        <v>10047.645571110868</v>
      </c>
      <c r="CB204" s="70">
        <f t="shared" si="262"/>
        <v>-5324.5905342790302</v>
      </c>
      <c r="CC204" s="566">
        <f>VLOOKUP($A204,'01-02.2021'!$A$6:$CZ$403,81,FALSE)+VLOOKUP($A204,'1.3.21-28.2.22'!$A$6:$DA$404,81,FALSE)-VLOOKUP($A204,'01-02.2022'!$A$6:$DA$376,81,FALSE)</f>
        <v>1890.3547823340202</v>
      </c>
      <c r="CD204" s="566">
        <f>VLOOKUP($A204,'01-02.2021'!$A$6:$CZ$403,82,FALSE)+VLOOKUP($A204,'1.3.21-28.2.22'!$A$6:$DA$404,82,FALSE)-VLOOKUP($A204,'01-02.2022'!$A$6:$DA$376,82,FALSE)</f>
        <v>2066.1445815669508</v>
      </c>
      <c r="CE204" s="70">
        <f t="shared" si="263"/>
        <v>175.78979923293059</v>
      </c>
      <c r="CF204" s="566">
        <f>VLOOKUP($A204,'01-02.2021'!$A$6:$CZ$403,84,FALSE)+VLOOKUP($A204,'1.3.21-28.2.22'!$A$6:$DA$404,84,FALSE)-VLOOKUP($A204,'01-02.2022'!$A$6:$DA$376,84,FALSE)</f>
        <v>229.8115633324789</v>
      </c>
      <c r="CG204" s="566">
        <f>VLOOKUP($A204,'01-02.2021'!$A$6:$CZ$403,85,FALSE)+VLOOKUP($A204,'1.3.21-28.2.22'!$A$6:$DA$404,85,FALSE)-VLOOKUP($A204,'01-02.2022'!$A$6:$DA$376,85,FALSE)</f>
        <v>0</v>
      </c>
      <c r="CH204" s="70">
        <f t="shared" si="264"/>
        <v>-229.8115633324789</v>
      </c>
      <c r="CI204" s="566">
        <f>VLOOKUP($A204,'01-02.2021'!$A$6:$CZ$403,87,FALSE)+VLOOKUP($A204,'1.3.21-28.2.22'!$A$6:$DA$404,87,FALSE)-VLOOKUP($A204,'01-02.2022'!$A$6:$DA$376,87,FALSE)</f>
        <v>7284.2112032246578</v>
      </c>
      <c r="CJ204" s="566">
        <f>VLOOKUP($A204,'01-02.2021'!$A$6:$CZ$403,88,FALSE)+VLOOKUP($A204,'1.3.21-28.2.22'!$A$6:$DA$404,88,FALSE)-VLOOKUP($A204,'01-02.2022'!$A$6:$DA$376,88,FALSE)</f>
        <v>11734.351534437355</v>
      </c>
      <c r="CK204" s="70">
        <f t="shared" si="265"/>
        <v>4450.1403312126977</v>
      </c>
      <c r="CL204" s="566">
        <f>VLOOKUP($A204,'01-02.2021'!$A$6:$CZ$403,90,FALSE)+VLOOKUP($A204,'1.3.21-28.2.22'!$A$6:$DA$404,90,FALSE)-VLOOKUP($A204,'01-02.2022'!$A$6:$DA$376,90,FALSE)</f>
        <v>0</v>
      </c>
      <c r="CM204" s="566">
        <f>VLOOKUP($A204,'01-02.2021'!$A$6:$CZ$403,91,FALSE)+VLOOKUP($A204,'1.3.21-28.2.22'!$A$6:$DA$404,91,FALSE)-VLOOKUP($A204,'01-02.2022'!$A$6:$DA$376,91,FALSE)</f>
        <v>0</v>
      </c>
      <c r="CN204" s="52">
        <f t="shared" si="225"/>
        <v>0</v>
      </c>
      <c r="CO204" s="39">
        <f t="shared" si="220"/>
        <v>7284.2112032246578</v>
      </c>
      <c r="CP204" s="40">
        <f t="shared" si="226"/>
        <v>11734.351534437355</v>
      </c>
      <c r="CQ204" s="52">
        <f t="shared" si="227"/>
        <v>4450.1403312126977</v>
      </c>
      <c r="CR204" s="72">
        <f t="shared" si="221"/>
        <v>220230.53275877039</v>
      </c>
      <c r="CS204" s="5">
        <f t="shared" si="221"/>
        <v>178374.81169930936</v>
      </c>
      <c r="CT204" s="52">
        <f t="shared" si="228"/>
        <v>-41855.721059461037</v>
      </c>
      <c r="CU204" s="77">
        <f t="shared" si="229"/>
        <v>264276.63931052445</v>
      </c>
      <c r="CV204" s="65">
        <f t="shared" si="230"/>
        <v>214049.77403917123</v>
      </c>
      <c r="CW204" s="35">
        <f t="shared" si="231"/>
        <v>-50226.865271353221</v>
      </c>
      <c r="CX204" s="566">
        <f>VLOOKUP($A204,'01-02.2021'!$A$6:$CZ$403,102,FALSE)+VLOOKUP($A204,'1.3.21-28.2.22'!$A$6:$DA$404,102,FALSE)-VLOOKUP($A204,'01-02.2022'!$A$6:$DA$376,102,FALSE)</f>
        <v>13468.588478632772</v>
      </c>
      <c r="CY204" s="566">
        <f>VLOOKUP($A204,'01-02.2021'!$A$6:$CZ$403,103,FALSE)+VLOOKUP($A204,'1.3.21-28.2.22'!$A$6:$DA$404,103,FALSE)-VLOOKUP($A204,'01-02.2022'!$A$6:$DA$376,103,FALSE)</f>
        <v>63695.453749985943</v>
      </c>
      <c r="CZ204" s="52">
        <f t="shared" si="232"/>
        <v>50226.86527135317</v>
      </c>
      <c r="DA204" s="150">
        <f>'[2]побудинковий звіт'!DA204</f>
        <v>-12055.500604390923</v>
      </c>
      <c r="DB204" s="2">
        <v>2</v>
      </c>
      <c r="DC204" s="414">
        <f>'[4]побудинковий звіт'!DC204</f>
        <v>63876.98</v>
      </c>
      <c r="DD204" s="414">
        <f>'[4]побудинковий звіт'!DD204</f>
        <v>0</v>
      </c>
      <c r="DE204" s="557">
        <f>'[4]побудинковий звіт'!DE204</f>
        <v>39038.424451957573</v>
      </c>
      <c r="DF204" s="557">
        <f>'[4]побудинковий звіт'!DF204</f>
        <v>0</v>
      </c>
      <c r="DG204" s="321">
        <f>VLOOKUP(A204,'кошти 01.03.2021'!$A$6:$D$401,4,)</f>
        <v>39222.018295493501</v>
      </c>
      <c r="DH204" s="40">
        <f>'[3]побудинковий звіт'!DJ204</f>
        <v>285721.52057350258</v>
      </c>
      <c r="DI204" s="422">
        <f>'[3]побудинковий звіт'!CU204+'[3]побудинковий звіт'!CX204</f>
        <v>24838.55554804243</v>
      </c>
      <c r="DJ204" s="306">
        <f>'[3]побудинковий звіт'!DM204</f>
        <v>5.4903847577795872</v>
      </c>
      <c r="DK204" s="306">
        <f t="shared" si="233"/>
        <v>5.4903847577795872</v>
      </c>
      <c r="DL204" s="306">
        <f>'[3]побудинковий звіт'!DO204</f>
        <v>4.9122524257158977</v>
      </c>
      <c r="DM204" s="28">
        <f t="shared" si="234"/>
        <v>24838.55554804243</v>
      </c>
      <c r="DN204" s="28">
        <f t="shared" si="235"/>
        <v>0</v>
      </c>
      <c r="DO204" s="423">
        <f t="shared" si="238"/>
        <v>24838.55554804243</v>
      </c>
      <c r="DP204" s="94">
        <f t="shared" si="239"/>
        <v>0</v>
      </c>
      <c r="DQ204" s="28">
        <f t="shared" si="240"/>
        <v>24838.55554804243</v>
      </c>
      <c r="DR204" s="318"/>
      <c r="DT204" s="8"/>
      <c r="DU204" s="5"/>
      <c r="DX204" s="5">
        <f t="shared" si="241"/>
        <v>77949.303974397815</v>
      </c>
      <c r="DY204" s="5">
        <f t="shared" si="242"/>
        <v>30252.453664688222</v>
      </c>
      <c r="DZ204" s="159">
        <f>'[3]побудинковий звіт'!EA204</f>
        <v>6961.535940712397</v>
      </c>
    </row>
    <row r="205" spans="1:130" x14ac:dyDescent="0.3">
      <c r="A205" s="325">
        <v>150000683</v>
      </c>
      <c r="B205" s="41" t="s">
        <v>653</v>
      </c>
      <c r="C205" s="42" t="s">
        <v>116</v>
      </c>
      <c r="D205" s="42"/>
      <c r="E205" s="293">
        <f t="shared" si="218"/>
        <v>256.60000000000002</v>
      </c>
      <c r="F205" s="305">
        <f>'[3]побудинковий звіт'!F205</f>
        <v>256.60000000000002</v>
      </c>
      <c r="G205" s="508">
        <f>'[3]побудинковий звіт'!G205</f>
        <v>0</v>
      </c>
      <c r="H205" s="560">
        <f>'[3]побудинковий звіт'!H205</f>
        <v>0</v>
      </c>
      <c r="I205" s="566"/>
      <c r="J205" s="566"/>
      <c r="K205" s="52">
        <f t="shared" si="222"/>
        <v>0</v>
      </c>
      <c r="L205" s="566"/>
      <c r="M205" s="566"/>
      <c r="N205" s="52">
        <f t="shared" si="223"/>
        <v>0</v>
      </c>
      <c r="O205" s="566"/>
      <c r="P205" s="566"/>
      <c r="Q205" s="70"/>
      <c r="R205" s="566"/>
      <c r="S205" s="566"/>
      <c r="T205" s="70"/>
      <c r="U205" s="566"/>
      <c r="V205" s="566"/>
      <c r="W205" s="70"/>
      <c r="X205" s="566"/>
      <c r="Y205" s="566"/>
      <c r="Z205" s="70"/>
      <c r="AA205" s="566"/>
      <c r="AB205" s="566"/>
      <c r="AC205" s="70"/>
      <c r="AD205" s="566"/>
      <c r="AE205" s="566"/>
      <c r="AF205" s="68"/>
      <c r="AG205" s="77">
        <f t="shared" si="219"/>
        <v>0</v>
      </c>
      <c r="AH205" s="53">
        <f t="shared" si="219"/>
        <v>0</v>
      </c>
      <c r="AI205" s="52">
        <f t="shared" si="224"/>
        <v>0</v>
      </c>
      <c r="AJ205" s="566"/>
      <c r="AK205" s="566"/>
      <c r="AL205" s="70"/>
      <c r="AM205" s="566"/>
      <c r="AN205" s="566"/>
      <c r="AO205" s="70"/>
      <c r="AP205" s="566"/>
      <c r="AQ205" s="566"/>
      <c r="AR205" s="70"/>
      <c r="AS205" s="566"/>
      <c r="AT205" s="566"/>
      <c r="AU205" s="78"/>
      <c r="AV205" s="566"/>
      <c r="AW205" s="566"/>
      <c r="AX205" s="55"/>
      <c r="AY205" s="566"/>
      <c r="AZ205" s="566"/>
      <c r="BA205" s="38"/>
      <c r="BB205" s="566"/>
      <c r="BC205" s="566"/>
      <c r="BD205" s="55"/>
      <c r="BE205" s="566"/>
      <c r="BF205" s="566"/>
      <c r="BG205" s="55"/>
      <c r="BH205" s="566"/>
      <c r="BI205" s="566"/>
      <c r="BJ205" s="55"/>
      <c r="BK205" s="566"/>
      <c r="BL205" s="566"/>
      <c r="BM205" s="55"/>
      <c r="BN205" s="566"/>
      <c r="BO205" s="566"/>
      <c r="BP205" s="55"/>
      <c r="BQ205" s="77">
        <f t="shared" si="209"/>
        <v>0</v>
      </c>
      <c r="BR205" s="40">
        <f t="shared" si="237"/>
        <v>0</v>
      </c>
      <c r="BS205" s="55">
        <f t="shared" si="236"/>
        <v>0</v>
      </c>
      <c r="BT205" s="566"/>
      <c r="BU205" s="566"/>
      <c r="BV205" s="70"/>
      <c r="BW205" s="566"/>
      <c r="BX205" s="566"/>
      <c r="BY205" s="70"/>
      <c r="BZ205" s="566"/>
      <c r="CA205" s="566"/>
      <c r="CB205" s="70"/>
      <c r="CC205" s="566"/>
      <c r="CD205" s="566"/>
      <c r="CE205" s="70"/>
      <c r="CF205" s="566"/>
      <c r="CG205" s="566"/>
      <c r="CH205" s="70"/>
      <c r="CI205" s="566"/>
      <c r="CJ205" s="566"/>
      <c r="CK205" s="70"/>
      <c r="CL205" s="566"/>
      <c r="CM205" s="566"/>
      <c r="CN205" s="52">
        <f t="shared" si="225"/>
        <v>0</v>
      </c>
      <c r="CO205" s="39">
        <f t="shared" si="220"/>
        <v>0</v>
      </c>
      <c r="CP205" s="40">
        <f t="shared" si="226"/>
        <v>0</v>
      </c>
      <c r="CQ205" s="52">
        <f t="shared" si="227"/>
        <v>0</v>
      </c>
      <c r="CR205" s="72">
        <f t="shared" si="221"/>
        <v>0</v>
      </c>
      <c r="CS205" s="5">
        <f t="shared" si="221"/>
        <v>0</v>
      </c>
      <c r="CT205" s="52">
        <f t="shared" si="228"/>
        <v>0</v>
      </c>
      <c r="CU205" s="77">
        <f t="shared" si="229"/>
        <v>0</v>
      </c>
      <c r="CV205" s="65">
        <f t="shared" si="230"/>
        <v>0</v>
      </c>
      <c r="CW205" s="35">
        <f t="shared" si="231"/>
        <v>0</v>
      </c>
      <c r="CX205" s="566"/>
      <c r="CY205" s="566"/>
      <c r="CZ205" s="52">
        <f t="shared" si="232"/>
        <v>0</v>
      </c>
      <c r="DA205" s="150">
        <f>'[2]побудинковий звіт'!DA205</f>
        <v>-3544.4277194500155</v>
      </c>
      <c r="DB205" s="2">
        <v>3</v>
      </c>
      <c r="DC205" s="414">
        <f>'[4]побудинковий звіт'!DC205</f>
        <v>2441.1799999999998</v>
      </c>
      <c r="DD205" s="414">
        <f>'[4]побудинковий звіт'!DD205</f>
        <v>0</v>
      </c>
      <c r="DE205" s="557">
        <f>'[4]побудинковий звіт'!DE205</f>
        <v>1977.4535911395799</v>
      </c>
      <c r="DF205" s="557">
        <f>'[4]побудинковий звіт'!DF205</f>
        <v>0</v>
      </c>
      <c r="DG205" s="321">
        <f>VLOOKUP(A205,'кошти 01.03.2021'!$A$6:$D$401,4,)</f>
        <v>-879.18822416123294</v>
      </c>
      <c r="DH205" s="40">
        <f>'[3]побудинковий звіт'!DJ205</f>
        <v>5285.3557231144378</v>
      </c>
      <c r="DI205" s="422">
        <f>'[3]побудинковий звіт'!CU205+'[3]побудинковий звіт'!CX205</f>
        <v>463.72640886041989</v>
      </c>
      <c r="DJ205" s="306">
        <f>'[3]побудинковий звіт'!DM205</f>
        <v>1.8071956697600151</v>
      </c>
      <c r="DK205" s="306">
        <f t="shared" si="233"/>
        <v>1.8071956697600151</v>
      </c>
      <c r="DL205" s="306">
        <f>'[3]побудинковий звіт'!DO205</f>
        <v>1.8071956697600151</v>
      </c>
      <c r="DM205" s="28">
        <f t="shared" si="234"/>
        <v>463.72640886041989</v>
      </c>
      <c r="DN205" s="28">
        <f t="shared" si="235"/>
        <v>0</v>
      </c>
      <c r="DO205" s="423">
        <f t="shared" si="238"/>
        <v>463.72640886041989</v>
      </c>
      <c r="DP205" s="94">
        <f t="shared" si="239"/>
        <v>0</v>
      </c>
      <c r="DQ205" s="28">
        <f t="shared" si="240"/>
        <v>463.72640886041989</v>
      </c>
      <c r="DR205" s="318"/>
      <c r="DT205" s="8"/>
      <c r="DU205" s="5"/>
      <c r="DX205" s="5">
        <f t="shared" si="241"/>
        <v>0</v>
      </c>
      <c r="DY205" s="5">
        <f t="shared" si="242"/>
        <v>0</v>
      </c>
      <c r="DZ205" s="159">
        <f>'[3]побудинковий звіт'!EA205</f>
        <v>409.33334193977453</v>
      </c>
    </row>
    <row r="206" spans="1:130" x14ac:dyDescent="0.3">
      <c r="A206" s="325">
        <v>150000696</v>
      </c>
      <c r="B206" s="41" t="s">
        <v>654</v>
      </c>
      <c r="C206" s="42" t="s">
        <v>371</v>
      </c>
      <c r="D206" s="42"/>
      <c r="E206" s="293">
        <f t="shared" si="218"/>
        <v>6306.37</v>
      </c>
      <c r="F206" s="305">
        <f>'[3]побудинковий звіт'!F206</f>
        <v>6306.37</v>
      </c>
      <c r="G206" s="508">
        <f>'[3]побудинковий звіт'!G206</f>
        <v>706.38</v>
      </c>
      <c r="H206" s="560">
        <f>'[3]побудинковий звіт'!H206</f>
        <v>0</v>
      </c>
      <c r="I206" s="566">
        <f>VLOOKUP($A206,'01-02.2021'!$A$6:$CZ$403,9,FALSE)+VLOOKUP($A206,'1.3.21-28.2.22'!$A$6:$DA$404,9,FALSE)-VLOOKUP($A206,'01-02.2022'!$A$6:$DA$376,9,FALSE)</f>
        <v>20750.893789851896</v>
      </c>
      <c r="J206" s="566">
        <f>VLOOKUP($A206,'01-02.2021'!$A$6:$CZ$403,10,FALSE)+VLOOKUP($A206,'1.3.21-28.2.22'!$A$6:$DA$404,10,FALSE)-VLOOKUP($A206,'01-02.2022'!$A$6:$DA$376,10,FALSE)</f>
        <v>20272.788663848631</v>
      </c>
      <c r="K206" s="52">
        <f t="shared" si="222"/>
        <v>-478.10512600326547</v>
      </c>
      <c r="L206" s="566">
        <f>VLOOKUP($A206,'01-02.2021'!$A$6:$CZ$403,12,FALSE)+VLOOKUP($A206,'1.3.21-28.2.22'!$A$6:$DA$404,12,FALSE)-VLOOKUP($A206,'01-02.2022'!$A$6:$DA$376,12,FALSE)</f>
        <v>4010.2111067146093</v>
      </c>
      <c r="M206" s="566">
        <f>VLOOKUP($A206,'01-02.2021'!$A$6:$CZ$403,13,FALSE)+VLOOKUP($A206,'1.3.21-28.2.22'!$A$6:$DA$404,13,FALSE)-VLOOKUP($A206,'01-02.2022'!$A$6:$DA$376,13,FALSE)</f>
        <v>4003.996811341477</v>
      </c>
      <c r="N206" s="52">
        <f t="shared" si="223"/>
        <v>-6.214295373132245</v>
      </c>
      <c r="O206" s="566">
        <f>VLOOKUP($A206,'01-02.2021'!$A$6:$CZ$403,15,FALSE)+VLOOKUP($A206,'1.3.21-28.2.22'!$A$6:$DA$404,15,FALSE)-VLOOKUP($A206,'01-02.2022'!$A$6:$DA$376,15,FALSE)</f>
        <v>7470.8512871606508</v>
      </c>
      <c r="P206" s="566">
        <f>VLOOKUP($A206,'01-02.2021'!$A$6:$CZ$403,16,FALSE)+VLOOKUP($A206,'1.3.21-28.2.22'!$A$6:$DA$404,16,FALSE)-VLOOKUP($A206,'01-02.2022'!$A$6:$DA$376,16,FALSE)</f>
        <v>7470.7083333333339</v>
      </c>
      <c r="Q206" s="70">
        <f t="shared" si="243"/>
        <v>-0.14295382731688733</v>
      </c>
      <c r="R206" s="566">
        <f>VLOOKUP($A206,'01-02.2021'!$A$6:$CZ$403,18,FALSE)+VLOOKUP($A206,'1.3.21-28.2.22'!$A$6:$DA$404,18,FALSE)-VLOOKUP($A206,'01-02.2022'!$A$6:$DA$376,18,FALSE)</f>
        <v>1855.351289448992</v>
      </c>
      <c r="S206" s="566">
        <f>VLOOKUP($A206,'01-02.2021'!$A$6:$CZ$403,19,FALSE)+VLOOKUP($A206,'1.3.21-28.2.22'!$A$6:$DA$404,19,FALSE)-VLOOKUP($A206,'01-02.2022'!$A$6:$DA$376,19,FALSE)</f>
        <v>1855.4516666666671</v>
      </c>
      <c r="T206" s="70">
        <f t="shared" si="244"/>
        <v>0.10037721767503172</v>
      </c>
      <c r="U206" s="566">
        <f>VLOOKUP($A206,'01-02.2021'!$A$6:$CZ$403,21,FALSE)+VLOOKUP($A206,'1.3.21-28.2.22'!$A$6:$DA$404,21,FALSE)-VLOOKUP($A206,'01-02.2022'!$A$6:$DA$376,21,FALSE)</f>
        <v>1007.187849608177</v>
      </c>
      <c r="V206" s="566">
        <f>VLOOKUP($A206,'01-02.2021'!$A$6:$CZ$403,22,FALSE)+VLOOKUP($A206,'1.3.21-28.2.22'!$A$6:$DA$404,22,FALSE)-VLOOKUP($A206,'01-02.2022'!$A$6:$DA$376,22,FALSE)</f>
        <v>855.98251491964402</v>
      </c>
      <c r="W206" s="70">
        <f t="shared" si="245"/>
        <v>-151.20533468853296</v>
      </c>
      <c r="X206" s="566">
        <f>VLOOKUP($A206,'01-02.2021'!$A$6:$CZ$403,24,FALSE)+VLOOKUP($A206,'1.3.21-28.2.22'!$A$6:$DA$404,24,FALSE)-VLOOKUP($A206,'01-02.2022'!$A$6:$DA$376,24,FALSE)</f>
        <v>10730.004507188651</v>
      </c>
      <c r="Y206" s="566">
        <f>VLOOKUP($A206,'01-02.2021'!$A$6:$CZ$403,25,FALSE)+VLOOKUP($A206,'1.3.21-28.2.22'!$A$6:$DA$404,25,FALSE)-VLOOKUP($A206,'01-02.2022'!$A$6:$DA$376,25,FALSE)</f>
        <v>9339.6263000131694</v>
      </c>
      <c r="Z206" s="70">
        <f t="shared" si="246"/>
        <v>-1390.3782071754813</v>
      </c>
      <c r="AA206" s="566">
        <f>VLOOKUP($A206,'01-02.2021'!$A$6:$CZ$403,27,FALSE)+VLOOKUP($A206,'1.3.21-28.2.22'!$A$6:$DA$404,27,FALSE)-VLOOKUP($A206,'01-02.2022'!$A$6:$DA$376,27,FALSE)</f>
        <v>1260.79</v>
      </c>
      <c r="AB206" s="566">
        <f>VLOOKUP($A206,'01-02.2021'!$A$6:$CZ$403,28,FALSE)+VLOOKUP($A206,'1.3.21-28.2.22'!$A$6:$DA$404,28,FALSE)-VLOOKUP($A206,'01-02.2022'!$A$6:$DA$376,28,FALSE)</f>
        <v>0</v>
      </c>
      <c r="AC206" s="70">
        <f t="shared" si="247"/>
        <v>-1260.79</v>
      </c>
      <c r="AD206" s="566">
        <f>VLOOKUP($A206,'01-02.2021'!$A$6:$CZ$403,30,FALSE)+VLOOKUP($A206,'1.3.21-28.2.22'!$A$6:$DA$404,30,FALSE)-VLOOKUP($A206,'01-02.2022'!$A$6:$DA$376,30,FALSE)</f>
        <v>27083.305937889752</v>
      </c>
      <c r="AE206" s="566">
        <f>VLOOKUP($A206,'01-02.2021'!$A$6:$CZ$403,31,FALSE)+VLOOKUP($A206,'1.3.21-28.2.22'!$A$6:$DA$404,31,FALSE)-VLOOKUP($A206,'01-02.2022'!$A$6:$DA$376,31,FALSE)</f>
        <v>28704.041184451693</v>
      </c>
      <c r="AF206" s="68">
        <f t="shared" si="248"/>
        <v>1620.7352465619406</v>
      </c>
      <c r="AG206" s="77">
        <f t="shared" si="219"/>
        <v>74168.595767862731</v>
      </c>
      <c r="AH206" s="53">
        <f t="shared" si="219"/>
        <v>72502.595474574613</v>
      </c>
      <c r="AI206" s="52">
        <f t="shared" si="224"/>
        <v>-1666.000293288118</v>
      </c>
      <c r="AJ206" s="566">
        <f>VLOOKUP($A206,'01-02.2021'!$A$6:$CZ$403,36,FALSE)+VLOOKUP($A206,'1.3.21-28.2.22'!$A$6:$DA$404,36,FALSE)-VLOOKUP($A206,'01-02.2022'!$A$6:$DA$376,36,FALSE)</f>
        <v>71114.459998131424</v>
      </c>
      <c r="AK206" s="566">
        <f>VLOOKUP($A206,'01-02.2021'!$A$6:$CZ$403,37,FALSE)+VLOOKUP($A206,'1.3.21-28.2.22'!$A$6:$DA$404,37,FALSE)-VLOOKUP($A206,'01-02.2022'!$A$6:$DA$376,37,FALSE)</f>
        <v>70674.693072806258</v>
      </c>
      <c r="AL206" s="70">
        <f t="shared" si="249"/>
        <v>-439.76692532516608</v>
      </c>
      <c r="AM206" s="566">
        <f>VLOOKUP($A206,'01-02.2021'!$A$6:$CZ$403,39,FALSE)+VLOOKUP($A206,'1.3.21-28.2.22'!$A$6:$DA$404,39,FALSE)-VLOOKUP($A206,'01-02.2022'!$A$6:$DA$376,39,FALSE)</f>
        <v>0</v>
      </c>
      <c r="AN206" s="566">
        <f>VLOOKUP($A206,'01-02.2021'!$A$6:$CZ$403,40,FALSE)+VLOOKUP($A206,'1.3.21-28.2.22'!$A$6:$DA$404,40,FALSE)-VLOOKUP($A206,'01-02.2022'!$A$6:$DA$376,40,FALSE)</f>
        <v>0</v>
      </c>
      <c r="AO206" s="70">
        <f t="shared" si="250"/>
        <v>0</v>
      </c>
      <c r="AP206" s="566">
        <f>VLOOKUP($A206,'01-02.2021'!$A$6:$CZ$403,42,FALSE)+VLOOKUP($A206,'1.3.21-28.2.22'!$A$6:$DA$404,42,FALSE)-VLOOKUP($A206,'01-02.2022'!$A$6:$DA$376,42,FALSE)</f>
        <v>4685.0393251149972</v>
      </c>
      <c r="AQ206" s="566">
        <f>VLOOKUP($A206,'01-02.2021'!$A$6:$CZ$403,43,FALSE)+VLOOKUP($A206,'1.3.21-28.2.22'!$A$6:$DA$404,43,FALSE)-VLOOKUP($A206,'01-02.2022'!$A$6:$DA$376,43,FALSE)</f>
        <v>3767.6526947977245</v>
      </c>
      <c r="AR206" s="70">
        <f t="shared" si="251"/>
        <v>-917.38663031727265</v>
      </c>
      <c r="AS206" s="566">
        <f>VLOOKUP($A206,'01-02.2021'!$A$6:$CZ$403,45,FALSE)+VLOOKUP($A206,'1.3.21-28.2.22'!$A$6:$DA$404,45,FALSE)-VLOOKUP($A206,'01-02.2022'!$A$6:$DA$376,45,FALSE)</f>
        <v>83892.85619067165</v>
      </c>
      <c r="AT206" s="566">
        <f>VLOOKUP($A206,'01-02.2021'!$A$6:$CZ$403,46,FALSE)+VLOOKUP($A206,'1.3.21-28.2.22'!$A$6:$DA$404,46,FALSE)-VLOOKUP($A206,'01-02.2022'!$A$6:$DA$376,46,FALSE)</f>
        <v>125721.25440088908</v>
      </c>
      <c r="AU206" s="78">
        <f t="shared" si="252"/>
        <v>41828.398210217434</v>
      </c>
      <c r="AV206" s="566">
        <f>VLOOKUP($A206,'01-02.2021'!$A$6:$CZ$403,48,FALSE)+VLOOKUP($A206,'1.3.21-28.2.22'!$A$6:$DA$404,48,FALSE)-VLOOKUP($A206,'01-02.2022'!$A$6:$DA$376,48,FALSE)</f>
        <v>5017.4063552097023</v>
      </c>
      <c r="AW206" s="566">
        <f>VLOOKUP($A206,'01-02.2021'!$A$6:$CZ$403,49,FALSE)+VLOOKUP($A206,'1.3.21-28.2.22'!$A$6:$DA$404,49,FALSE)-VLOOKUP($A206,'01-02.2022'!$A$6:$DA$376,49,FALSE)</f>
        <v>0</v>
      </c>
      <c r="AX206" s="55">
        <f t="shared" si="253"/>
        <v>-5017.4063552097023</v>
      </c>
      <c r="AY206" s="566">
        <f>VLOOKUP($A206,'01-02.2021'!$A$6:$CZ$403,51,FALSE)+VLOOKUP($A206,'1.3.21-28.2.22'!$A$6:$DA$404,51,FALSE)-VLOOKUP($A206,'01-02.2022'!$A$6:$DA$376,51,FALSE)</f>
        <v>6073.7219522550486</v>
      </c>
      <c r="AZ206" s="566">
        <f>VLOOKUP($A206,'01-02.2021'!$A$6:$CZ$403,52,FALSE)+VLOOKUP($A206,'1.3.21-28.2.22'!$A$6:$DA$404,52,FALSE)-VLOOKUP($A206,'01-02.2022'!$A$6:$DA$376,52,FALSE)</f>
        <v>2020</v>
      </c>
      <c r="BA206" s="38">
        <f t="shared" si="254"/>
        <v>-4053.7219522550486</v>
      </c>
      <c r="BB206" s="566">
        <f>VLOOKUP($A206,'01-02.2021'!$A$6:$CZ$403,54,FALSE)+VLOOKUP($A206,'1.3.21-28.2.22'!$A$6:$DA$404,54,FALSE)-VLOOKUP($A206,'01-02.2022'!$A$6:$DA$376,54,FALSE)</f>
        <v>3285.3551688810885</v>
      </c>
      <c r="BC206" s="566">
        <f>VLOOKUP($A206,'01-02.2021'!$A$6:$CZ$403,55,FALSE)+VLOOKUP($A206,'1.3.21-28.2.22'!$A$6:$DA$404,55,FALSE)-VLOOKUP($A206,'01-02.2022'!$A$6:$DA$376,55,FALSE)</f>
        <v>3254</v>
      </c>
      <c r="BD206" s="55">
        <f t="shared" si="255"/>
        <v>-31.355168881088503</v>
      </c>
      <c r="BE206" s="566">
        <f>VLOOKUP($A206,'01-02.2021'!$A$6:$CZ$403,57,FALSE)+VLOOKUP($A206,'1.3.21-28.2.22'!$A$6:$DA$404,57,FALSE)-VLOOKUP($A206,'01-02.2022'!$A$6:$DA$376,57,FALSE)</f>
        <v>4164.0195313632339</v>
      </c>
      <c r="BF206" s="566">
        <f>VLOOKUP($A206,'01-02.2021'!$A$6:$CZ$403,58,FALSE)+VLOOKUP($A206,'1.3.21-28.2.22'!$A$6:$DA$404,58,FALSE)-VLOOKUP($A206,'01-02.2022'!$A$6:$DA$376,58,FALSE)</f>
        <v>0</v>
      </c>
      <c r="BG206" s="55">
        <f t="shared" si="256"/>
        <v>-4164.0195313632339</v>
      </c>
      <c r="BH206" s="566">
        <f>VLOOKUP($A206,'01-02.2021'!$A$6:$CZ$403,60,FALSE)+VLOOKUP($A206,'1.3.21-28.2.22'!$A$6:$DA$404,60,FALSE)-VLOOKUP($A206,'01-02.2022'!$A$6:$DA$376,60,FALSE)</f>
        <v>1913.5696814495238</v>
      </c>
      <c r="BI206" s="566">
        <f>VLOOKUP($A206,'01-02.2021'!$A$6:$CZ$403,61,FALSE)+VLOOKUP($A206,'1.3.21-28.2.22'!$A$6:$DA$404,61,FALSE)-VLOOKUP($A206,'01-02.2022'!$A$6:$DA$376,61,FALSE)</f>
        <v>0</v>
      </c>
      <c r="BJ206" s="55">
        <f t="shared" si="257"/>
        <v>-1913.5696814495238</v>
      </c>
      <c r="BK206" s="566">
        <f>VLOOKUP($A206,'01-02.2021'!$A$6:$CZ$403,63,FALSE)+VLOOKUP($A206,'1.3.21-28.2.22'!$A$6:$DA$404,63,FALSE)-VLOOKUP($A206,'01-02.2022'!$A$6:$DA$376,63,FALSE)</f>
        <v>3735.0996770226366</v>
      </c>
      <c r="BL206" s="566">
        <f>VLOOKUP($A206,'01-02.2021'!$A$6:$CZ$403,64,FALSE)+VLOOKUP($A206,'1.3.21-28.2.22'!$A$6:$DA$404,64,FALSE)-VLOOKUP($A206,'01-02.2022'!$A$6:$DA$376,64,FALSE)</f>
        <v>0</v>
      </c>
      <c r="BM206" s="55">
        <f t="shared" si="258"/>
        <v>-3735.0996770226366</v>
      </c>
      <c r="BN206" s="566">
        <f>VLOOKUP($A206,'01-02.2021'!$A$6:$CZ$403,66,FALSE)+VLOOKUP($A206,'1.3.21-28.2.22'!$A$6:$DA$404,66,FALSE)-VLOOKUP($A206,'01-02.2022'!$A$6:$DA$376,66,FALSE)</f>
        <v>315.19749999999999</v>
      </c>
      <c r="BO206" s="566">
        <f>VLOOKUP($A206,'01-02.2021'!$A$6:$CZ$403,67,FALSE)+VLOOKUP($A206,'1.3.21-28.2.22'!$A$6:$DA$404,67,FALSE)-VLOOKUP($A206,'01-02.2022'!$A$6:$DA$376,67,FALSE)</f>
        <v>0</v>
      </c>
      <c r="BP206" s="55">
        <f t="shared" si="259"/>
        <v>-315.19749999999999</v>
      </c>
      <c r="BQ206" s="77">
        <f t="shared" si="209"/>
        <v>24504.36986618123</v>
      </c>
      <c r="BR206" s="40">
        <f t="shared" si="237"/>
        <v>5274</v>
      </c>
      <c r="BS206" s="55">
        <f t="shared" si="236"/>
        <v>-19230.36986618123</v>
      </c>
      <c r="BT206" s="566">
        <f>VLOOKUP($A206,'01-02.2021'!$A$6:$CZ$403,72,FALSE)+VLOOKUP($A206,'1.3.21-28.2.22'!$A$6:$DA$404,72,FALSE)-VLOOKUP($A206,'01-02.2022'!$A$6:$DA$376,72,FALSE)</f>
        <v>71368.741226713726</v>
      </c>
      <c r="BU206" s="566">
        <f>VLOOKUP($A206,'01-02.2021'!$A$6:$CZ$403,73,FALSE)+VLOOKUP($A206,'1.3.21-28.2.22'!$A$6:$DA$404,73,FALSE)-VLOOKUP($A206,'01-02.2022'!$A$6:$DA$376,73,FALSE)</f>
        <v>65222.095356670849</v>
      </c>
      <c r="BV206" s="70">
        <f t="shared" si="260"/>
        <v>-6146.6458700428775</v>
      </c>
      <c r="BW206" s="566">
        <f>VLOOKUP($A206,'01-02.2021'!$A$6:$CZ$403,75,FALSE)+VLOOKUP($A206,'1.3.21-28.2.22'!$A$6:$DA$404,75,FALSE)-VLOOKUP($A206,'01-02.2022'!$A$6:$DA$376,75,FALSE)</f>
        <v>50391.474097208134</v>
      </c>
      <c r="BX206" s="566">
        <f>VLOOKUP($A206,'01-02.2021'!$A$6:$CZ$403,76,FALSE)+VLOOKUP($A206,'1.3.21-28.2.22'!$A$6:$DA$404,76,FALSE)-VLOOKUP($A206,'01-02.2022'!$A$6:$DA$376,76,FALSE)</f>
        <v>48426.245899065674</v>
      </c>
      <c r="BY206" s="70">
        <f t="shared" si="261"/>
        <v>-1965.2281981424603</v>
      </c>
      <c r="BZ206" s="566">
        <f>VLOOKUP($A206,'01-02.2021'!$A$6:$CZ$403,78,FALSE)+VLOOKUP($A206,'1.3.21-28.2.22'!$A$6:$DA$404,78,FALSE)-VLOOKUP($A206,'01-02.2022'!$A$6:$DA$376,78,FALSE)</f>
        <v>7514.5963864176974</v>
      </c>
      <c r="CA206" s="566">
        <f>VLOOKUP($A206,'01-02.2021'!$A$6:$CZ$403,79,FALSE)+VLOOKUP($A206,'1.3.21-28.2.22'!$A$6:$DA$404,79,FALSE)-VLOOKUP($A206,'01-02.2022'!$A$6:$DA$376,79,FALSE)</f>
        <v>12173.889444273176</v>
      </c>
      <c r="CB206" s="70">
        <f t="shared" si="262"/>
        <v>4659.2930578554788</v>
      </c>
      <c r="CC206" s="566">
        <f>VLOOKUP($A206,'01-02.2021'!$A$6:$CZ$403,81,FALSE)+VLOOKUP($A206,'1.3.21-28.2.22'!$A$6:$DA$404,81,FALSE)-VLOOKUP($A206,'01-02.2022'!$A$6:$DA$376,81,FALSE)</f>
        <v>1616.3890869330676</v>
      </c>
      <c r="CD206" s="566">
        <f>VLOOKUP($A206,'01-02.2021'!$A$6:$CZ$403,82,FALSE)+VLOOKUP($A206,'1.3.21-28.2.22'!$A$6:$DA$404,82,FALSE)-VLOOKUP($A206,'01-02.2022'!$A$6:$DA$376,82,FALSE)</f>
        <v>1751.4647484320012</v>
      </c>
      <c r="CE206" s="70">
        <f t="shared" si="263"/>
        <v>135.07566149893364</v>
      </c>
      <c r="CF206" s="566">
        <f>VLOOKUP($A206,'01-02.2021'!$A$6:$CZ$403,84,FALSE)+VLOOKUP($A206,'1.3.21-28.2.22'!$A$6:$DA$404,84,FALSE)-VLOOKUP($A206,'01-02.2022'!$A$6:$DA$376,84,FALSE)</f>
        <v>194.81059338723847</v>
      </c>
      <c r="CG206" s="566">
        <f>VLOOKUP($A206,'01-02.2021'!$A$6:$CZ$403,85,FALSE)+VLOOKUP($A206,'1.3.21-28.2.22'!$A$6:$DA$404,85,FALSE)-VLOOKUP($A206,'01-02.2022'!$A$6:$DA$376,85,FALSE)</f>
        <v>0</v>
      </c>
      <c r="CH206" s="70">
        <f t="shared" si="264"/>
        <v>-194.81059338723847</v>
      </c>
      <c r="CI206" s="566">
        <f>VLOOKUP($A206,'01-02.2021'!$A$6:$CZ$403,87,FALSE)+VLOOKUP($A206,'1.3.21-28.2.22'!$A$6:$DA$404,87,FALSE)-VLOOKUP($A206,'01-02.2022'!$A$6:$DA$376,87,FALSE)</f>
        <v>40636.025100108978</v>
      </c>
      <c r="CJ206" s="566">
        <f>VLOOKUP($A206,'01-02.2021'!$A$6:$CZ$403,88,FALSE)+VLOOKUP($A206,'1.3.21-28.2.22'!$A$6:$DA$404,88,FALSE)-VLOOKUP($A206,'01-02.2022'!$A$6:$DA$376,88,FALSE)</f>
        <v>31195.661878051505</v>
      </c>
      <c r="CK206" s="70">
        <f t="shared" si="265"/>
        <v>-9440.3632220574727</v>
      </c>
      <c r="CL206" s="566">
        <f>VLOOKUP($A206,'01-02.2021'!$A$6:$CZ$403,90,FALSE)+VLOOKUP($A206,'1.3.21-28.2.22'!$A$6:$DA$404,90,FALSE)-VLOOKUP($A206,'01-02.2022'!$A$6:$DA$376,90,FALSE)</f>
        <v>9992.7849938034888</v>
      </c>
      <c r="CM206" s="566">
        <f>VLOOKUP($A206,'01-02.2021'!$A$6:$CZ$403,91,FALSE)+VLOOKUP($A206,'1.3.21-28.2.22'!$A$6:$DA$404,91,FALSE)-VLOOKUP($A206,'01-02.2022'!$A$6:$DA$376,91,FALSE)</f>
        <v>12736.781438449643</v>
      </c>
      <c r="CN206" s="52">
        <f t="shared" si="225"/>
        <v>2743.9964446461545</v>
      </c>
      <c r="CO206" s="39">
        <f t="shared" si="220"/>
        <v>50628.810093912471</v>
      </c>
      <c r="CP206" s="40">
        <f t="shared" si="226"/>
        <v>43932.443316501151</v>
      </c>
      <c r="CQ206" s="52">
        <f t="shared" si="227"/>
        <v>-6696.3667774113201</v>
      </c>
      <c r="CR206" s="72">
        <f t="shared" si="221"/>
        <v>440080.14263253432</v>
      </c>
      <c r="CS206" s="5">
        <f t="shared" si="221"/>
        <v>449446.33440801059</v>
      </c>
      <c r="CT206" s="52">
        <f t="shared" si="228"/>
        <v>9366.191775476269</v>
      </c>
      <c r="CU206" s="77">
        <f t="shared" si="229"/>
        <v>528096.17115904111</v>
      </c>
      <c r="CV206" s="65">
        <f t="shared" si="230"/>
        <v>539335.60128961271</v>
      </c>
      <c r="CW206" s="35">
        <f t="shared" si="231"/>
        <v>11239.430130571593</v>
      </c>
      <c r="CX206" s="566">
        <f>VLOOKUP($A206,'01-02.2021'!$A$6:$CZ$403,102,FALSE)+VLOOKUP($A206,'1.3.21-28.2.22'!$A$6:$DA$404,102,FALSE)-VLOOKUP($A206,'01-02.2022'!$A$6:$DA$376,102,FALSE)</f>
        <v>13237.042249619473</v>
      </c>
      <c r="CY206" s="566">
        <f>VLOOKUP($A206,'01-02.2021'!$A$6:$CZ$403,103,FALSE)+VLOOKUP($A206,'1.3.21-28.2.22'!$A$6:$DA$404,103,FALSE)-VLOOKUP($A206,'01-02.2022'!$A$6:$DA$376,103,FALSE)</f>
        <v>1997.612119048048</v>
      </c>
      <c r="CZ206" s="52">
        <f t="shared" si="232"/>
        <v>-11239.430130571425</v>
      </c>
      <c r="DA206" s="150">
        <f>'[2]побудинковий звіт'!DA206</f>
        <v>124135.67057001937</v>
      </c>
      <c r="DB206" s="2">
        <v>3</v>
      </c>
      <c r="DC206" s="414">
        <f>'[4]побудинковий звіт'!DC206</f>
        <v>100884.36</v>
      </c>
      <c r="DD206" s="414">
        <f>'[4]побудинковий звіт'!DD206</f>
        <v>0</v>
      </c>
      <c r="DE206" s="557">
        <f>'[4]побудинковий звіт'!DE206</f>
        <v>51646.501698773551</v>
      </c>
      <c r="DF206" s="557">
        <f>'[4]побудинковий звіт'!DF206</f>
        <v>0</v>
      </c>
      <c r="DG206" s="321">
        <f>VLOOKUP(A206,'кошти 01.03.2021'!$A$6:$D$401,4,)</f>
        <v>112480.46085932906</v>
      </c>
      <c r="DH206" s="40">
        <f>'[3]побудинковий звіт'!DJ206</f>
        <v>560856.35878883197</v>
      </c>
      <c r="DI206" s="422">
        <f>'[3]побудинковий звіт'!CU206+'[3]побудинковий звіт'!CX206</f>
        <v>49237.85830122645</v>
      </c>
      <c r="DJ206" s="306">
        <f>'[3]побудинковий звіт'!DM206</f>
        <v>6.3038884358153524</v>
      </c>
      <c r="DK206" s="306">
        <f>'[3]побудинковий звіт'!DN206</f>
        <v>7.9973209930616314</v>
      </c>
      <c r="DL206" s="306">
        <f>'[3]побудинковий звіт'!DO206</f>
        <v>5.3673448094976353</v>
      </c>
      <c r="DM206" s="28">
        <f>DJ206*G206+(F206-G206)*DK206</f>
        <v>49237.85830122645</v>
      </c>
      <c r="DN206" s="28">
        <f>DL206*H206</f>
        <v>0</v>
      </c>
      <c r="DO206" s="423">
        <f t="shared" si="238"/>
        <v>49237.85830122645</v>
      </c>
      <c r="DP206" s="94">
        <f t="shared" si="239"/>
        <v>0</v>
      </c>
      <c r="DQ206" s="28">
        <f t="shared" si="240"/>
        <v>49237.85830122645</v>
      </c>
      <c r="DR206" s="318"/>
      <c r="DT206" s="8"/>
      <c r="DU206" s="5"/>
      <c r="DX206" s="5">
        <f t="shared" si="241"/>
        <v>130076.67126822344</v>
      </c>
      <c r="DY206" s="5">
        <f t="shared" si="242"/>
        <v>157194.30528106689</v>
      </c>
      <c r="DZ206" s="159">
        <f>'[3]побудинковий звіт'!EA206</f>
        <v>12263.499448201459</v>
      </c>
    </row>
    <row r="207" spans="1:130" x14ac:dyDescent="0.3">
      <c r="A207" s="325">
        <v>150000697</v>
      </c>
      <c r="B207" s="41" t="s">
        <v>655</v>
      </c>
      <c r="C207" s="42" t="s">
        <v>266</v>
      </c>
      <c r="D207" s="42"/>
      <c r="E207" s="293">
        <f t="shared" si="218"/>
        <v>2744.3</v>
      </c>
      <c r="F207" s="305">
        <f>'[3]побудинковий звіт'!F207</f>
        <v>2744.3</v>
      </c>
      <c r="G207" s="508">
        <f>'[3]побудинковий звіт'!G207</f>
        <v>0</v>
      </c>
      <c r="H207" s="560">
        <f>'[3]побудинковий звіт'!H207</f>
        <v>0</v>
      </c>
      <c r="I207" s="566">
        <f>VLOOKUP($A207,'01-02.2021'!$A$6:$CZ$403,9,FALSE)+VLOOKUP($A207,'1.3.21-28.2.22'!$A$6:$DA$404,9,FALSE)-VLOOKUP($A207,'01-02.2022'!$A$6:$DA$376,9,FALSE)</f>
        <v>10035.782549392849</v>
      </c>
      <c r="J207" s="566">
        <f>VLOOKUP($A207,'01-02.2021'!$A$6:$CZ$403,10,FALSE)+VLOOKUP($A207,'1.3.21-28.2.22'!$A$6:$DA$404,10,FALSE)-VLOOKUP($A207,'01-02.2022'!$A$6:$DA$376,10,FALSE)</f>
        <v>9779.7037278322332</v>
      </c>
      <c r="K207" s="52">
        <f t="shared" si="222"/>
        <v>-256.07882156061532</v>
      </c>
      <c r="L207" s="566">
        <f>VLOOKUP($A207,'01-02.2021'!$A$6:$CZ$403,12,FALSE)+VLOOKUP($A207,'1.3.21-28.2.22'!$A$6:$DA$404,12,FALSE)-VLOOKUP($A207,'01-02.2022'!$A$6:$DA$376,12,FALSE)</f>
        <v>2592.9408902338396</v>
      </c>
      <c r="M207" s="566">
        <f>VLOOKUP($A207,'01-02.2021'!$A$6:$CZ$403,13,FALSE)+VLOOKUP($A207,'1.3.21-28.2.22'!$A$6:$DA$404,13,FALSE)-VLOOKUP($A207,'01-02.2022'!$A$6:$DA$376,13,FALSE)</f>
        <v>2588.9832962896357</v>
      </c>
      <c r="N207" s="52">
        <f t="shared" si="223"/>
        <v>-3.9575939442038361</v>
      </c>
      <c r="O207" s="566">
        <f>VLOOKUP($A207,'01-02.2021'!$A$6:$CZ$403,15,FALSE)+VLOOKUP($A207,'1.3.21-28.2.22'!$A$6:$DA$404,15,FALSE)-VLOOKUP($A207,'01-02.2022'!$A$6:$DA$376,15,FALSE)</f>
        <v>3720.3246212382501</v>
      </c>
      <c r="P207" s="566">
        <f>VLOOKUP($A207,'01-02.2021'!$A$6:$CZ$403,16,FALSE)+VLOOKUP($A207,'1.3.21-28.2.22'!$A$6:$DA$404,16,FALSE)-VLOOKUP($A207,'01-02.2022'!$A$6:$DA$376,16,FALSE)</f>
        <v>3720.5</v>
      </c>
      <c r="Q207" s="70">
        <f t="shared" si="243"/>
        <v>0.17537876174992562</v>
      </c>
      <c r="R207" s="566">
        <f>VLOOKUP($A207,'01-02.2021'!$A$6:$CZ$403,18,FALSE)+VLOOKUP($A207,'1.3.21-28.2.22'!$A$6:$DA$404,18,FALSE)-VLOOKUP($A207,'01-02.2022'!$A$6:$DA$376,18,FALSE)</f>
        <v>887.93283656686685</v>
      </c>
      <c r="S207" s="566">
        <f>VLOOKUP($A207,'01-02.2021'!$A$6:$CZ$403,19,FALSE)+VLOOKUP($A207,'1.3.21-28.2.22'!$A$6:$DA$404,19,FALSE)-VLOOKUP($A207,'01-02.2022'!$A$6:$DA$376,19,FALSE)</f>
        <v>887.56833333333361</v>
      </c>
      <c r="T207" s="70">
        <f t="shared" si="244"/>
        <v>-0.36450323353324166</v>
      </c>
      <c r="U207" s="566">
        <f>VLOOKUP($A207,'01-02.2021'!$A$6:$CZ$403,21,FALSE)+VLOOKUP($A207,'1.3.21-28.2.22'!$A$6:$DA$404,21,FALSE)-VLOOKUP($A207,'01-02.2022'!$A$6:$DA$376,21,FALSE)</f>
        <v>610.46629745812027</v>
      </c>
      <c r="V207" s="566">
        <f>VLOOKUP($A207,'01-02.2021'!$A$6:$CZ$403,22,FALSE)+VLOOKUP($A207,'1.3.21-28.2.22'!$A$6:$DA$404,22,FALSE)-VLOOKUP($A207,'01-02.2022'!$A$6:$DA$376,22,FALSE)</f>
        <v>518.78454313363841</v>
      </c>
      <c r="W207" s="70">
        <f t="shared" si="245"/>
        <v>-91.681754324481858</v>
      </c>
      <c r="X207" s="566">
        <f>VLOOKUP($A207,'01-02.2021'!$A$6:$CZ$403,24,FALSE)+VLOOKUP($A207,'1.3.21-28.2.22'!$A$6:$DA$404,24,FALSE)-VLOOKUP($A207,'01-02.2022'!$A$6:$DA$376,24,FALSE)</f>
        <v>6899.9868754070967</v>
      </c>
      <c r="Y207" s="566">
        <f>VLOOKUP($A207,'01-02.2021'!$A$6:$CZ$403,25,FALSE)+VLOOKUP($A207,'1.3.21-28.2.22'!$A$6:$DA$404,25,FALSE)-VLOOKUP($A207,'01-02.2022'!$A$6:$DA$376,25,FALSE)</f>
        <v>6003.20128140423</v>
      </c>
      <c r="Z207" s="70">
        <f t="shared" si="246"/>
        <v>-896.78559400286667</v>
      </c>
      <c r="AA207" s="566">
        <f>VLOOKUP($A207,'01-02.2021'!$A$6:$CZ$403,27,FALSE)+VLOOKUP($A207,'1.3.21-28.2.22'!$A$6:$DA$404,27,FALSE)-VLOOKUP($A207,'01-02.2022'!$A$6:$DA$376,27,FALSE)</f>
        <v>548.88000000000011</v>
      </c>
      <c r="AB207" s="566">
        <f>VLOOKUP($A207,'01-02.2021'!$A$6:$CZ$403,28,FALSE)+VLOOKUP($A207,'1.3.21-28.2.22'!$A$6:$DA$404,28,FALSE)-VLOOKUP($A207,'01-02.2022'!$A$6:$DA$376,28,FALSE)</f>
        <v>0</v>
      </c>
      <c r="AC207" s="70">
        <f t="shared" si="247"/>
        <v>-548.88000000000011</v>
      </c>
      <c r="AD207" s="566">
        <f>VLOOKUP($A207,'01-02.2021'!$A$6:$CZ$403,30,FALSE)+VLOOKUP($A207,'1.3.21-28.2.22'!$A$6:$DA$404,30,FALSE)-VLOOKUP($A207,'01-02.2022'!$A$6:$DA$376,30,FALSE)</f>
        <v>11787.737202163506</v>
      </c>
      <c r="AE207" s="566">
        <f>VLOOKUP($A207,'01-02.2021'!$A$6:$CZ$403,31,FALSE)+VLOOKUP($A207,'1.3.21-28.2.22'!$A$6:$DA$404,31,FALSE)-VLOOKUP($A207,'01-02.2022'!$A$6:$DA$376,31,FALSE)</f>
        <v>12492.164174022653</v>
      </c>
      <c r="AF207" s="68">
        <f t="shared" si="248"/>
        <v>704.42697185914767</v>
      </c>
      <c r="AG207" s="77">
        <f t="shared" si="219"/>
        <v>37084.051272460521</v>
      </c>
      <c r="AH207" s="53">
        <f t="shared" si="219"/>
        <v>35990.905356015726</v>
      </c>
      <c r="AI207" s="52">
        <f t="shared" si="224"/>
        <v>-1093.1459164447951</v>
      </c>
      <c r="AJ207" s="566">
        <f>VLOOKUP($A207,'01-02.2021'!$A$6:$CZ$403,36,FALSE)+VLOOKUP($A207,'1.3.21-28.2.22'!$A$6:$DA$404,36,FALSE)-VLOOKUP($A207,'01-02.2022'!$A$6:$DA$376,36,FALSE)</f>
        <v>0</v>
      </c>
      <c r="AK207" s="566">
        <f>VLOOKUP($A207,'01-02.2021'!$A$6:$CZ$403,37,FALSE)+VLOOKUP($A207,'1.3.21-28.2.22'!$A$6:$DA$404,37,FALSE)-VLOOKUP($A207,'01-02.2022'!$A$6:$DA$376,37,FALSE)</f>
        <v>0</v>
      </c>
      <c r="AL207" s="70">
        <f t="shared" si="249"/>
        <v>0</v>
      </c>
      <c r="AM207" s="566">
        <f>VLOOKUP($A207,'01-02.2021'!$A$6:$CZ$403,39,FALSE)+VLOOKUP($A207,'1.3.21-28.2.22'!$A$6:$DA$404,39,FALSE)-VLOOKUP($A207,'01-02.2022'!$A$6:$DA$376,39,FALSE)</f>
        <v>0</v>
      </c>
      <c r="AN207" s="566">
        <f>VLOOKUP($A207,'01-02.2021'!$A$6:$CZ$403,40,FALSE)+VLOOKUP($A207,'1.3.21-28.2.22'!$A$6:$DA$404,40,FALSE)-VLOOKUP($A207,'01-02.2022'!$A$6:$DA$376,40,FALSE)</f>
        <v>0</v>
      </c>
      <c r="AO207" s="70">
        <f t="shared" si="250"/>
        <v>0</v>
      </c>
      <c r="AP207" s="566">
        <f>VLOOKUP($A207,'01-02.2021'!$A$6:$CZ$403,42,FALSE)+VLOOKUP($A207,'1.3.21-28.2.22'!$A$6:$DA$404,42,FALSE)-VLOOKUP($A207,'01-02.2022'!$A$6:$DA$376,42,FALSE)</f>
        <v>2602.799625063888</v>
      </c>
      <c r="AQ207" s="566">
        <f>VLOOKUP($A207,'01-02.2021'!$A$6:$CZ$403,43,FALSE)+VLOOKUP($A207,'1.3.21-28.2.22'!$A$6:$DA$404,43,FALSE)-VLOOKUP($A207,'01-02.2022'!$A$6:$DA$376,43,FALSE)</f>
        <v>2253.0438266210067</v>
      </c>
      <c r="AR207" s="70">
        <f t="shared" si="251"/>
        <v>-349.75579844288131</v>
      </c>
      <c r="AS207" s="566">
        <f>VLOOKUP($A207,'01-02.2021'!$A$6:$CZ$403,45,FALSE)+VLOOKUP($A207,'1.3.21-28.2.22'!$A$6:$DA$404,45,FALSE)-VLOOKUP($A207,'01-02.2022'!$A$6:$DA$376,45,FALSE)</f>
        <v>41602.076336544844</v>
      </c>
      <c r="AT207" s="566">
        <f>VLOOKUP($A207,'01-02.2021'!$A$6:$CZ$403,46,FALSE)+VLOOKUP($A207,'1.3.21-28.2.22'!$A$6:$DA$404,46,FALSE)-VLOOKUP($A207,'01-02.2022'!$A$6:$DA$376,46,FALSE)</f>
        <v>9070</v>
      </c>
      <c r="AU207" s="78">
        <f t="shared" si="252"/>
        <v>-32532.076336544844</v>
      </c>
      <c r="AV207" s="566">
        <f>VLOOKUP($A207,'01-02.2021'!$A$6:$CZ$403,48,FALSE)+VLOOKUP($A207,'1.3.21-28.2.22'!$A$6:$DA$404,48,FALSE)-VLOOKUP($A207,'01-02.2022'!$A$6:$DA$376,48,FALSE)</f>
        <v>2803.0541743322715</v>
      </c>
      <c r="AW207" s="566">
        <f>VLOOKUP($A207,'01-02.2021'!$A$6:$CZ$403,49,FALSE)+VLOOKUP($A207,'1.3.21-28.2.22'!$A$6:$DA$404,49,FALSE)-VLOOKUP($A207,'01-02.2022'!$A$6:$DA$376,49,FALSE)</f>
        <v>0</v>
      </c>
      <c r="AX207" s="55">
        <f t="shared" si="253"/>
        <v>-2803.0541743322715</v>
      </c>
      <c r="AY207" s="566">
        <f>VLOOKUP($A207,'01-02.2021'!$A$6:$CZ$403,51,FALSE)+VLOOKUP($A207,'1.3.21-28.2.22'!$A$6:$DA$404,51,FALSE)-VLOOKUP($A207,'01-02.2022'!$A$6:$DA$376,51,FALSE)</f>
        <v>4874.3026541541612</v>
      </c>
      <c r="AZ207" s="566">
        <f>VLOOKUP($A207,'01-02.2021'!$A$6:$CZ$403,52,FALSE)+VLOOKUP($A207,'1.3.21-28.2.22'!$A$6:$DA$404,52,FALSE)-VLOOKUP($A207,'01-02.2022'!$A$6:$DA$376,52,FALSE)</f>
        <v>0</v>
      </c>
      <c r="BA207" s="38">
        <f t="shared" si="254"/>
        <v>-4874.3026541541612</v>
      </c>
      <c r="BB207" s="566">
        <f>VLOOKUP($A207,'01-02.2021'!$A$6:$CZ$403,54,FALSE)+VLOOKUP($A207,'1.3.21-28.2.22'!$A$6:$DA$404,54,FALSE)-VLOOKUP($A207,'01-02.2022'!$A$6:$DA$376,54,FALSE)</f>
        <v>1276.9925087943516</v>
      </c>
      <c r="BC207" s="566">
        <f>VLOOKUP($A207,'01-02.2021'!$A$6:$CZ$403,55,FALSE)+VLOOKUP($A207,'1.3.21-28.2.22'!$A$6:$DA$404,55,FALSE)-VLOOKUP($A207,'01-02.2022'!$A$6:$DA$376,55,FALSE)</f>
        <v>0</v>
      </c>
      <c r="BD207" s="55">
        <f t="shared" si="255"/>
        <v>-1276.9925087943516</v>
      </c>
      <c r="BE207" s="566">
        <f>VLOOKUP($A207,'01-02.2021'!$A$6:$CZ$403,57,FALSE)+VLOOKUP($A207,'1.3.21-28.2.22'!$A$6:$DA$404,57,FALSE)-VLOOKUP($A207,'01-02.2022'!$A$6:$DA$376,57,FALSE)</f>
        <v>2050.1032665713728</v>
      </c>
      <c r="BF207" s="566">
        <f>VLOOKUP($A207,'01-02.2021'!$A$6:$CZ$403,58,FALSE)+VLOOKUP($A207,'1.3.21-28.2.22'!$A$6:$DA$404,58,FALSE)-VLOOKUP($A207,'01-02.2022'!$A$6:$DA$376,58,FALSE)</f>
        <v>0</v>
      </c>
      <c r="BG207" s="55">
        <f t="shared" si="256"/>
        <v>-2050.1032665713728</v>
      </c>
      <c r="BH207" s="566">
        <f>VLOOKUP($A207,'01-02.2021'!$A$6:$CZ$403,60,FALSE)+VLOOKUP($A207,'1.3.21-28.2.22'!$A$6:$DA$404,60,FALSE)-VLOOKUP($A207,'01-02.2022'!$A$6:$DA$376,60,FALSE)</f>
        <v>1369.6262160600197</v>
      </c>
      <c r="BI207" s="566">
        <f>VLOOKUP($A207,'01-02.2021'!$A$6:$CZ$403,61,FALSE)+VLOOKUP($A207,'1.3.21-28.2.22'!$A$6:$DA$404,61,FALSE)-VLOOKUP($A207,'01-02.2022'!$A$6:$DA$376,61,FALSE)</f>
        <v>0</v>
      </c>
      <c r="BJ207" s="55">
        <f t="shared" si="257"/>
        <v>-1369.6262160600197</v>
      </c>
      <c r="BK207" s="566">
        <f>VLOOKUP($A207,'01-02.2021'!$A$6:$CZ$403,63,FALSE)+VLOOKUP($A207,'1.3.21-28.2.22'!$A$6:$DA$404,63,FALSE)-VLOOKUP($A207,'01-02.2022'!$A$6:$DA$376,63,FALSE)</f>
        <v>1959.7581428554715</v>
      </c>
      <c r="BL207" s="566">
        <f>VLOOKUP($A207,'01-02.2021'!$A$6:$CZ$403,64,FALSE)+VLOOKUP($A207,'1.3.21-28.2.22'!$A$6:$DA$404,64,FALSE)-VLOOKUP($A207,'01-02.2022'!$A$6:$DA$376,64,FALSE)</f>
        <v>0</v>
      </c>
      <c r="BM207" s="55">
        <f t="shared" si="258"/>
        <v>-1959.7581428554715</v>
      </c>
      <c r="BN207" s="566">
        <f>VLOOKUP($A207,'01-02.2021'!$A$6:$CZ$403,66,FALSE)+VLOOKUP($A207,'1.3.21-28.2.22'!$A$6:$DA$404,66,FALSE)-VLOOKUP($A207,'01-02.2022'!$A$6:$DA$376,66,FALSE)</f>
        <v>137.22000000000003</v>
      </c>
      <c r="BO207" s="566">
        <f>VLOOKUP($A207,'01-02.2021'!$A$6:$CZ$403,67,FALSE)+VLOOKUP($A207,'1.3.21-28.2.22'!$A$6:$DA$404,67,FALSE)-VLOOKUP($A207,'01-02.2022'!$A$6:$DA$376,67,FALSE)</f>
        <v>0</v>
      </c>
      <c r="BP207" s="55">
        <f t="shared" si="259"/>
        <v>-137.22000000000003</v>
      </c>
      <c r="BQ207" s="77">
        <f t="shared" si="209"/>
        <v>14471.056962767649</v>
      </c>
      <c r="BR207" s="40">
        <f t="shared" si="237"/>
        <v>0</v>
      </c>
      <c r="BS207" s="55">
        <f t="shared" si="236"/>
        <v>-14471.056962767649</v>
      </c>
      <c r="BT207" s="566">
        <f>VLOOKUP($A207,'01-02.2021'!$A$6:$CZ$403,72,FALSE)+VLOOKUP($A207,'1.3.21-28.2.22'!$A$6:$DA$404,72,FALSE)-VLOOKUP($A207,'01-02.2022'!$A$6:$DA$376,72,FALSE)</f>
        <v>21681.42614640031</v>
      </c>
      <c r="BU207" s="566">
        <f>VLOOKUP($A207,'01-02.2021'!$A$6:$CZ$403,73,FALSE)+VLOOKUP($A207,'1.3.21-28.2.22'!$A$6:$DA$404,73,FALSE)-VLOOKUP($A207,'01-02.2022'!$A$6:$DA$376,73,FALSE)</f>
        <v>25872.46614913657</v>
      </c>
      <c r="BV207" s="70">
        <f t="shared" si="260"/>
        <v>4191.0400027362593</v>
      </c>
      <c r="BW207" s="566">
        <f>VLOOKUP($A207,'01-02.2021'!$A$6:$CZ$403,75,FALSE)+VLOOKUP($A207,'1.3.21-28.2.22'!$A$6:$DA$404,75,FALSE)-VLOOKUP($A207,'01-02.2022'!$A$6:$DA$376,75,FALSE)</f>
        <v>15656.369982924896</v>
      </c>
      <c r="BX207" s="566">
        <f>VLOOKUP($A207,'01-02.2021'!$A$6:$CZ$403,76,FALSE)+VLOOKUP($A207,'1.3.21-28.2.22'!$A$6:$DA$404,76,FALSE)-VLOOKUP($A207,'01-02.2022'!$A$6:$DA$376,76,FALSE)</f>
        <v>15587.283685846161</v>
      </c>
      <c r="BY207" s="70">
        <f t="shared" si="261"/>
        <v>-69.086297078734788</v>
      </c>
      <c r="BZ207" s="566">
        <f>VLOOKUP($A207,'01-02.2021'!$A$6:$CZ$403,78,FALSE)+VLOOKUP($A207,'1.3.21-28.2.22'!$A$6:$DA$404,78,FALSE)-VLOOKUP($A207,'01-02.2022'!$A$6:$DA$376,78,FALSE)</f>
        <v>6103.7519919733022</v>
      </c>
      <c r="CA207" s="566">
        <f>VLOOKUP($A207,'01-02.2021'!$A$6:$CZ$403,79,FALSE)+VLOOKUP($A207,'1.3.21-28.2.22'!$A$6:$DA$404,79,FALSE)-VLOOKUP($A207,'01-02.2022'!$A$6:$DA$376,79,FALSE)</f>
        <v>6030.3602339808785</v>
      </c>
      <c r="CB207" s="70">
        <f t="shared" si="262"/>
        <v>-73.391757992423663</v>
      </c>
      <c r="CC207" s="566">
        <f>VLOOKUP($A207,'01-02.2021'!$A$6:$CZ$403,81,FALSE)+VLOOKUP($A207,'1.3.21-28.2.22'!$A$6:$DA$404,81,FALSE)-VLOOKUP($A207,'01-02.2022'!$A$6:$DA$376,81,FALSE)</f>
        <v>1468.9108933084372</v>
      </c>
      <c r="CD207" s="566">
        <f>VLOOKUP($A207,'01-02.2021'!$A$6:$CZ$403,82,FALSE)+VLOOKUP($A207,'1.3.21-28.2.22'!$A$6:$DA$404,82,FALSE)-VLOOKUP($A207,'01-02.2022'!$A$6:$DA$376,82,FALSE)</f>
        <v>1605.509352729335</v>
      </c>
      <c r="CE207" s="70">
        <f t="shared" si="263"/>
        <v>136.59845942089783</v>
      </c>
      <c r="CF207" s="566">
        <f>VLOOKUP($A207,'01-02.2021'!$A$6:$CZ$403,84,FALSE)+VLOOKUP($A207,'1.3.21-28.2.22'!$A$6:$DA$404,84,FALSE)-VLOOKUP($A207,'01-02.2022'!$A$6:$DA$376,84,FALSE)</f>
        <v>178.57637727163524</v>
      </c>
      <c r="CG207" s="566">
        <f>VLOOKUP($A207,'01-02.2021'!$A$6:$CZ$403,85,FALSE)+VLOOKUP($A207,'1.3.21-28.2.22'!$A$6:$DA$404,85,FALSE)-VLOOKUP($A207,'01-02.2022'!$A$6:$DA$376,85,FALSE)</f>
        <v>0</v>
      </c>
      <c r="CH207" s="70">
        <f t="shared" si="264"/>
        <v>-178.57637727163524</v>
      </c>
      <c r="CI207" s="566">
        <f>VLOOKUP($A207,'01-02.2021'!$A$6:$CZ$403,87,FALSE)+VLOOKUP($A207,'1.3.21-28.2.22'!$A$6:$DA$404,87,FALSE)-VLOOKUP($A207,'01-02.2022'!$A$6:$DA$376,87,FALSE)</f>
        <v>8333.3988098398313</v>
      </c>
      <c r="CJ207" s="566">
        <f>VLOOKUP($A207,'01-02.2021'!$A$6:$CZ$403,88,FALSE)+VLOOKUP($A207,'1.3.21-28.2.22'!$A$6:$DA$404,88,FALSE)-VLOOKUP($A207,'01-02.2022'!$A$6:$DA$376,88,FALSE)</f>
        <v>6845.4983998942189</v>
      </c>
      <c r="CK207" s="70">
        <f t="shared" si="265"/>
        <v>-1487.9004099456124</v>
      </c>
      <c r="CL207" s="566">
        <f>VLOOKUP($A207,'01-02.2021'!$A$6:$CZ$403,90,FALSE)+VLOOKUP($A207,'1.3.21-28.2.22'!$A$6:$DA$404,90,FALSE)-VLOOKUP($A207,'01-02.2022'!$A$6:$DA$376,90,FALSE)</f>
        <v>0</v>
      </c>
      <c r="CM207" s="566">
        <f>VLOOKUP($A207,'01-02.2021'!$A$6:$CZ$403,91,FALSE)+VLOOKUP($A207,'1.3.21-28.2.22'!$A$6:$DA$404,91,FALSE)-VLOOKUP($A207,'01-02.2022'!$A$6:$DA$376,91,FALSE)</f>
        <v>0</v>
      </c>
      <c r="CN207" s="52">
        <f t="shared" si="225"/>
        <v>0</v>
      </c>
      <c r="CO207" s="39">
        <f t="shared" si="220"/>
        <v>8333.3988098398313</v>
      </c>
      <c r="CP207" s="40">
        <f t="shared" si="226"/>
        <v>6845.4983998942189</v>
      </c>
      <c r="CQ207" s="52">
        <f t="shared" si="227"/>
        <v>-1487.9004099456124</v>
      </c>
      <c r="CR207" s="72">
        <f t="shared" si="221"/>
        <v>149182.41839855534</v>
      </c>
      <c r="CS207" s="5">
        <f t="shared" si="221"/>
        <v>103255.06700422391</v>
      </c>
      <c r="CT207" s="52">
        <f t="shared" si="228"/>
        <v>-45927.351394331432</v>
      </c>
      <c r="CU207" s="77">
        <f t="shared" si="229"/>
        <v>179018.9020782664</v>
      </c>
      <c r="CV207" s="65">
        <f t="shared" si="230"/>
        <v>123906.08040506869</v>
      </c>
      <c r="CW207" s="35">
        <f t="shared" si="231"/>
        <v>-55112.821673197715</v>
      </c>
      <c r="CX207" s="566">
        <f>VLOOKUP($A207,'01-02.2021'!$A$6:$CZ$403,102,FALSE)+VLOOKUP($A207,'1.3.21-28.2.22'!$A$6:$DA$404,102,FALSE)-VLOOKUP($A207,'01-02.2022'!$A$6:$DA$376,102,FALSE)</f>
        <v>9122.9421594899341</v>
      </c>
      <c r="CY207" s="566">
        <f>VLOOKUP($A207,'01-02.2021'!$A$6:$CZ$403,103,FALSE)+VLOOKUP($A207,'1.3.21-28.2.22'!$A$6:$DA$404,103,FALSE)-VLOOKUP($A207,'01-02.2022'!$A$6:$DA$376,103,FALSE)</f>
        <v>64235.763832687677</v>
      </c>
      <c r="CZ207" s="52">
        <f t="shared" si="232"/>
        <v>55112.821673197745</v>
      </c>
      <c r="DA207" s="150">
        <f>'[2]побудинковий звіт'!DA207</f>
        <v>-136474.70817563817</v>
      </c>
      <c r="DB207" s="2">
        <v>3</v>
      </c>
      <c r="DC207" s="414">
        <f>'[4]побудинковий звіт'!DC207</f>
        <v>41530.160000000003</v>
      </c>
      <c r="DD207" s="414">
        <f>'[4]побудинковий звіт'!DD207</f>
        <v>0</v>
      </c>
      <c r="DE207" s="557">
        <f>'[4]побудинковий звіт'!DE207</f>
        <v>24671.425026568413</v>
      </c>
      <c r="DF207" s="557">
        <f>'[4]побудинковий звіт'!DF207</f>
        <v>0</v>
      </c>
      <c r="DG207" s="321">
        <f>VLOOKUP(A207,'кошти 01.03.2021'!$A$6:$D$401,4,)</f>
        <v>-80960.391670591387</v>
      </c>
      <c r="DH207" s="40">
        <f>'[3]побудинковий звіт'!DJ207</f>
        <v>193705.30203673552</v>
      </c>
      <c r="DI207" s="422">
        <f>'[3]побудинковий звіт'!CU207+'[3]побудинковий звіт'!CX207</f>
        <v>16858.73497343159</v>
      </c>
      <c r="DJ207" s="306">
        <f>'[3]побудинковий звіт'!DM207</f>
        <v>6.1431822225819293</v>
      </c>
      <c r="DK207" s="306">
        <f>DJ207</f>
        <v>6.1431822225819293</v>
      </c>
      <c r="DL207" s="306">
        <f>'[3]побудинковий звіт'!DO207</f>
        <v>5.4474483437758305</v>
      </c>
      <c r="DM207" s="28">
        <f>F207*DJ207</f>
        <v>16858.73497343159</v>
      </c>
      <c r="DN207" s="28">
        <f>H207*DL207</f>
        <v>0</v>
      </c>
      <c r="DO207" s="423">
        <f t="shared" si="238"/>
        <v>16858.73497343159</v>
      </c>
      <c r="DP207" s="94">
        <f t="shared" si="239"/>
        <v>0</v>
      </c>
      <c r="DQ207" s="28">
        <f t="shared" si="240"/>
        <v>16858.73497343159</v>
      </c>
      <c r="DR207" s="318"/>
      <c r="DT207" s="8"/>
      <c r="DU207" s="5"/>
      <c r="DX207" s="5">
        <f t="shared" si="241"/>
        <v>67287.759959174989</v>
      </c>
      <c r="DY207" s="5">
        <f t="shared" si="242"/>
        <v>10884</v>
      </c>
      <c r="DZ207" s="159">
        <f>'[3]побудинковий звіт'!EA207</f>
        <v>5867.250418226874</v>
      </c>
    </row>
    <row r="208" spans="1:130" x14ac:dyDescent="0.3">
      <c r="A208" s="325">
        <v>150000694</v>
      </c>
      <c r="B208" s="41" t="s">
        <v>656</v>
      </c>
      <c r="C208" s="42" t="s">
        <v>372</v>
      </c>
      <c r="D208" s="42"/>
      <c r="E208" s="293">
        <f t="shared" si="218"/>
        <v>6138.38</v>
      </c>
      <c r="F208" s="305">
        <f>'[3]побудинковий звіт'!F208</f>
        <v>6138.38</v>
      </c>
      <c r="G208" s="508">
        <f>'[3]побудинковий звіт'!G208</f>
        <v>688.06</v>
      </c>
      <c r="H208" s="560">
        <f>'[3]побудинковий звіт'!H208</f>
        <v>0</v>
      </c>
      <c r="I208" s="566">
        <f>VLOOKUP($A208,'01-02.2021'!$A$6:$CZ$403,9,FALSE)+VLOOKUP($A208,'1.3.21-28.2.22'!$A$6:$DA$404,9,FALSE)-VLOOKUP($A208,'01-02.2022'!$A$6:$DA$376,9,FALSE)</f>
        <v>20741.350201632718</v>
      </c>
      <c r="J208" s="566">
        <f>VLOOKUP($A208,'01-02.2021'!$A$6:$CZ$403,10,FALSE)+VLOOKUP($A208,'1.3.21-28.2.22'!$A$6:$DA$404,10,FALSE)-VLOOKUP($A208,'01-02.2022'!$A$6:$DA$376,10,FALSE)</f>
        <v>20253.247686755287</v>
      </c>
      <c r="K208" s="52">
        <f t="shared" si="222"/>
        <v>-488.10251487743153</v>
      </c>
      <c r="L208" s="566">
        <f>VLOOKUP($A208,'01-02.2021'!$A$6:$CZ$403,12,FALSE)+VLOOKUP($A208,'1.3.21-28.2.22'!$A$6:$DA$404,12,FALSE)-VLOOKUP($A208,'01-02.2022'!$A$6:$DA$376,12,FALSE)</f>
        <v>4008.2478223784392</v>
      </c>
      <c r="M208" s="566">
        <f>VLOOKUP($A208,'01-02.2021'!$A$6:$CZ$403,13,FALSE)+VLOOKUP($A208,'1.3.21-28.2.22'!$A$6:$DA$404,13,FALSE)-VLOOKUP($A208,'01-02.2022'!$A$6:$DA$376,13,FALSE)</f>
        <v>4002.0438929485204</v>
      </c>
      <c r="N208" s="52">
        <f t="shared" si="223"/>
        <v>-6.2039294299188441</v>
      </c>
      <c r="O208" s="566">
        <f>VLOOKUP($A208,'01-02.2021'!$A$6:$CZ$403,15,FALSE)+VLOOKUP($A208,'1.3.21-28.2.22'!$A$6:$DA$404,15,FALSE)-VLOOKUP($A208,'01-02.2022'!$A$6:$DA$376,15,FALSE)</f>
        <v>7287.8477841904314</v>
      </c>
      <c r="P208" s="566">
        <f>VLOOKUP($A208,'01-02.2021'!$A$6:$CZ$403,16,FALSE)+VLOOKUP($A208,'1.3.21-28.2.22'!$A$6:$DA$404,16,FALSE)-VLOOKUP($A208,'01-02.2022'!$A$6:$DA$376,16,FALSE)</f>
        <v>7286.7600000000011</v>
      </c>
      <c r="Q208" s="70">
        <f t="shared" si="243"/>
        <v>-1.0877841904302841</v>
      </c>
      <c r="R208" s="566">
        <f>VLOOKUP($A208,'01-02.2021'!$A$6:$CZ$403,18,FALSE)+VLOOKUP($A208,'1.3.21-28.2.22'!$A$6:$DA$404,18,FALSE)-VLOOKUP($A208,'01-02.2022'!$A$6:$DA$376,18,FALSE)</f>
        <v>1776.7241306599167</v>
      </c>
      <c r="S208" s="566">
        <f>VLOOKUP($A208,'01-02.2021'!$A$6:$CZ$403,19,FALSE)+VLOOKUP($A208,'1.3.21-28.2.22'!$A$6:$DA$404,19,FALSE)-VLOOKUP($A208,'01-02.2022'!$A$6:$DA$376,19,FALSE)</f>
        <v>1778.5633333333328</v>
      </c>
      <c r="T208" s="70">
        <f t="shared" si="244"/>
        <v>1.8392026734161391</v>
      </c>
      <c r="U208" s="566">
        <f>VLOOKUP($A208,'01-02.2021'!$A$6:$CZ$403,21,FALSE)+VLOOKUP($A208,'1.3.21-28.2.22'!$A$6:$DA$404,21,FALSE)-VLOOKUP($A208,'01-02.2022'!$A$6:$DA$376,21,FALSE)</f>
        <v>1007.187849608177</v>
      </c>
      <c r="V208" s="566">
        <f>VLOOKUP($A208,'01-02.2021'!$A$6:$CZ$403,22,FALSE)+VLOOKUP($A208,'1.3.21-28.2.22'!$A$6:$DA$404,22,FALSE)-VLOOKUP($A208,'01-02.2022'!$A$6:$DA$376,22,FALSE)</f>
        <v>855.98251491964402</v>
      </c>
      <c r="W208" s="70">
        <f t="shared" si="245"/>
        <v>-151.20533468853296</v>
      </c>
      <c r="X208" s="566">
        <f>VLOOKUP($A208,'01-02.2021'!$A$6:$CZ$403,24,FALSE)+VLOOKUP($A208,'1.3.21-28.2.22'!$A$6:$DA$404,24,FALSE)-VLOOKUP($A208,'01-02.2022'!$A$6:$DA$376,24,FALSE)</f>
        <v>10707.989895367551</v>
      </c>
      <c r="Y208" s="566">
        <f>VLOOKUP($A208,'01-02.2021'!$A$6:$CZ$403,25,FALSE)+VLOOKUP($A208,'1.3.21-28.2.22'!$A$6:$DA$404,25,FALSE)-VLOOKUP($A208,'01-02.2022'!$A$6:$DA$376,25,FALSE)</f>
        <v>9290.7466918989776</v>
      </c>
      <c r="Z208" s="70">
        <f t="shared" si="246"/>
        <v>-1417.2432034685735</v>
      </c>
      <c r="AA208" s="566">
        <f>VLOOKUP($A208,'01-02.2021'!$A$6:$CZ$403,27,FALSE)+VLOOKUP($A208,'1.3.21-28.2.22'!$A$6:$DA$404,27,FALSE)-VLOOKUP($A208,'01-02.2022'!$A$6:$DA$376,27,FALSE)</f>
        <v>1227.6759999999999</v>
      </c>
      <c r="AB208" s="566">
        <f>VLOOKUP($A208,'01-02.2021'!$A$6:$CZ$403,28,FALSE)+VLOOKUP($A208,'1.3.21-28.2.22'!$A$6:$DA$404,28,FALSE)-VLOOKUP($A208,'01-02.2022'!$A$6:$DA$376,28,FALSE)</f>
        <v>0</v>
      </c>
      <c r="AC208" s="70">
        <f t="shared" si="247"/>
        <v>-1227.6759999999999</v>
      </c>
      <c r="AD208" s="566">
        <f>VLOOKUP($A208,'01-02.2021'!$A$6:$CZ$403,30,FALSE)+VLOOKUP($A208,'1.3.21-28.2.22'!$A$6:$DA$404,30,FALSE)-VLOOKUP($A208,'01-02.2022'!$A$6:$DA$376,30,FALSE)</f>
        <v>26366.127889782332</v>
      </c>
      <c r="AE208" s="566">
        <f>VLOOKUP($A208,'01-02.2021'!$A$6:$CZ$403,31,FALSE)+VLOOKUP($A208,'1.3.21-28.2.22'!$A$6:$DA$404,31,FALSE)-VLOOKUP($A208,'01-02.2022'!$A$6:$DA$376,31,FALSE)</f>
        <v>27942.15308914374</v>
      </c>
      <c r="AF208" s="68">
        <f t="shared" si="248"/>
        <v>1576.0251993614074</v>
      </c>
      <c r="AG208" s="77">
        <f t="shared" si="219"/>
        <v>73123.151573619558</v>
      </c>
      <c r="AH208" s="53">
        <f t="shared" si="219"/>
        <v>71409.497208999514</v>
      </c>
      <c r="AI208" s="52">
        <f t="shared" si="224"/>
        <v>-1713.6543646200444</v>
      </c>
      <c r="AJ208" s="566">
        <f>VLOOKUP($A208,'01-02.2021'!$A$6:$CZ$403,36,FALSE)+VLOOKUP($A208,'1.3.21-28.2.22'!$A$6:$DA$404,36,FALSE)-VLOOKUP($A208,'01-02.2022'!$A$6:$DA$376,36,FALSE)</f>
        <v>79166.883085631431</v>
      </c>
      <c r="AK208" s="566">
        <f>VLOOKUP($A208,'01-02.2021'!$A$6:$CZ$403,37,FALSE)+VLOOKUP($A208,'1.3.21-28.2.22'!$A$6:$DA$404,37,FALSE)-VLOOKUP($A208,'01-02.2022'!$A$6:$DA$376,37,FALSE)</f>
        <v>78647.853845374411</v>
      </c>
      <c r="AL208" s="70">
        <f t="shared" si="249"/>
        <v>-519.02924025701941</v>
      </c>
      <c r="AM208" s="566">
        <f>VLOOKUP($A208,'01-02.2021'!$A$6:$CZ$403,39,FALSE)+VLOOKUP($A208,'1.3.21-28.2.22'!$A$6:$DA$404,39,FALSE)-VLOOKUP($A208,'01-02.2022'!$A$6:$DA$376,39,FALSE)</f>
        <v>0</v>
      </c>
      <c r="AN208" s="566">
        <f>VLOOKUP($A208,'01-02.2021'!$A$6:$CZ$403,40,FALSE)+VLOOKUP($A208,'1.3.21-28.2.22'!$A$6:$DA$404,40,FALSE)-VLOOKUP($A208,'01-02.2022'!$A$6:$DA$376,40,FALSE)</f>
        <v>0</v>
      </c>
      <c r="AO208" s="70">
        <f t="shared" si="250"/>
        <v>0</v>
      </c>
      <c r="AP208" s="566">
        <f>VLOOKUP($A208,'01-02.2021'!$A$6:$CZ$403,42,FALSE)+VLOOKUP($A208,'1.3.21-28.2.22'!$A$6:$DA$404,42,FALSE)-VLOOKUP($A208,'01-02.2022'!$A$6:$DA$376,42,FALSE)</f>
        <v>4685.0393251149972</v>
      </c>
      <c r="AQ208" s="566">
        <f>VLOOKUP($A208,'01-02.2021'!$A$6:$CZ$403,43,FALSE)+VLOOKUP($A208,'1.3.21-28.2.22'!$A$6:$DA$404,43,FALSE)-VLOOKUP($A208,'01-02.2022'!$A$6:$DA$376,43,FALSE)</f>
        <v>3805.7097927249742</v>
      </c>
      <c r="AR208" s="70">
        <f t="shared" si="251"/>
        <v>-879.32953239002291</v>
      </c>
      <c r="AS208" s="566">
        <f>VLOOKUP($A208,'01-02.2021'!$A$6:$CZ$403,45,FALSE)+VLOOKUP($A208,'1.3.21-28.2.22'!$A$6:$DA$404,45,FALSE)-VLOOKUP($A208,'01-02.2022'!$A$6:$DA$376,45,FALSE)</f>
        <v>78729.5969158425</v>
      </c>
      <c r="AT208" s="566">
        <f>VLOOKUP($A208,'01-02.2021'!$A$6:$CZ$403,46,FALSE)+VLOOKUP($A208,'1.3.21-28.2.22'!$A$6:$DA$404,46,FALSE)-VLOOKUP($A208,'01-02.2022'!$A$6:$DA$376,46,FALSE)</f>
        <v>268735.56739679311</v>
      </c>
      <c r="AU208" s="78">
        <f t="shared" si="252"/>
        <v>190005.97048095061</v>
      </c>
      <c r="AV208" s="566">
        <f>VLOOKUP($A208,'01-02.2021'!$A$6:$CZ$403,48,FALSE)+VLOOKUP($A208,'1.3.21-28.2.22'!$A$6:$DA$404,48,FALSE)-VLOOKUP($A208,'01-02.2022'!$A$6:$DA$376,48,FALSE)</f>
        <v>5014.3482992262534</v>
      </c>
      <c r="AW208" s="566">
        <f>VLOOKUP($A208,'01-02.2021'!$A$6:$CZ$403,49,FALSE)+VLOOKUP($A208,'1.3.21-28.2.22'!$A$6:$DA$404,49,FALSE)-VLOOKUP($A208,'01-02.2022'!$A$6:$DA$376,49,FALSE)</f>
        <v>0</v>
      </c>
      <c r="AX208" s="55">
        <f t="shared" si="253"/>
        <v>-5014.3482992262534</v>
      </c>
      <c r="AY208" s="566">
        <f>VLOOKUP($A208,'01-02.2021'!$A$6:$CZ$403,51,FALSE)+VLOOKUP($A208,'1.3.21-28.2.22'!$A$6:$DA$404,51,FALSE)-VLOOKUP($A208,'01-02.2022'!$A$6:$DA$376,51,FALSE)</f>
        <v>6070.8667588671988</v>
      </c>
      <c r="AZ208" s="566">
        <f>VLOOKUP($A208,'01-02.2021'!$A$6:$CZ$403,52,FALSE)+VLOOKUP($A208,'1.3.21-28.2.22'!$A$6:$DA$404,52,FALSE)-VLOOKUP($A208,'01-02.2022'!$A$6:$DA$376,52,FALSE)</f>
        <v>6844.52</v>
      </c>
      <c r="BA208" s="38">
        <f t="shared" si="254"/>
        <v>773.65324113280167</v>
      </c>
      <c r="BB208" s="566">
        <f>VLOOKUP($A208,'01-02.2021'!$A$6:$CZ$403,54,FALSE)+VLOOKUP($A208,'1.3.21-28.2.22'!$A$6:$DA$404,54,FALSE)-VLOOKUP($A208,'01-02.2022'!$A$6:$DA$376,54,FALSE)</f>
        <v>3186.2545358576522</v>
      </c>
      <c r="BC208" s="566">
        <f>VLOOKUP($A208,'01-02.2021'!$A$6:$CZ$403,55,FALSE)+VLOOKUP($A208,'1.3.21-28.2.22'!$A$6:$DA$404,55,FALSE)-VLOOKUP($A208,'01-02.2022'!$A$6:$DA$376,55,FALSE)</f>
        <v>10518</v>
      </c>
      <c r="BD208" s="55">
        <f t="shared" si="255"/>
        <v>7331.7454641423483</v>
      </c>
      <c r="BE208" s="566">
        <f>VLOOKUP($A208,'01-02.2021'!$A$6:$CZ$403,57,FALSE)+VLOOKUP($A208,'1.3.21-28.2.22'!$A$6:$DA$404,57,FALSE)-VLOOKUP($A208,'01-02.2022'!$A$6:$DA$376,57,FALSE)</f>
        <v>3997.2137239239783</v>
      </c>
      <c r="BF208" s="566">
        <f>VLOOKUP($A208,'01-02.2021'!$A$6:$CZ$403,58,FALSE)+VLOOKUP($A208,'1.3.21-28.2.22'!$A$6:$DA$404,58,FALSE)-VLOOKUP($A208,'01-02.2022'!$A$6:$DA$376,58,FALSE)</f>
        <v>484</v>
      </c>
      <c r="BG208" s="55">
        <f t="shared" si="256"/>
        <v>-3513.2137239239783</v>
      </c>
      <c r="BH208" s="566">
        <f>VLOOKUP($A208,'01-02.2021'!$A$6:$CZ$403,60,FALSE)+VLOOKUP($A208,'1.3.21-28.2.22'!$A$6:$DA$404,60,FALSE)-VLOOKUP($A208,'01-02.2022'!$A$6:$DA$376,60,FALSE)</f>
        <v>1913.5696814495238</v>
      </c>
      <c r="BI208" s="566">
        <f>VLOOKUP($A208,'01-02.2021'!$A$6:$CZ$403,61,FALSE)+VLOOKUP($A208,'1.3.21-28.2.22'!$A$6:$DA$404,61,FALSE)-VLOOKUP($A208,'01-02.2022'!$A$6:$DA$376,61,FALSE)</f>
        <v>0</v>
      </c>
      <c r="BJ208" s="55">
        <f t="shared" si="257"/>
        <v>-1913.5696814495238</v>
      </c>
      <c r="BK208" s="566">
        <f>VLOOKUP($A208,'01-02.2021'!$A$6:$CZ$403,63,FALSE)+VLOOKUP($A208,'1.3.21-28.2.22'!$A$6:$DA$404,63,FALSE)-VLOOKUP($A208,'01-02.2022'!$A$6:$DA$376,63,FALSE)</f>
        <v>3692.7638382616565</v>
      </c>
      <c r="BL208" s="566">
        <f>VLOOKUP($A208,'01-02.2021'!$A$6:$CZ$403,64,FALSE)+VLOOKUP($A208,'1.3.21-28.2.22'!$A$6:$DA$404,64,FALSE)-VLOOKUP($A208,'01-02.2022'!$A$6:$DA$376,64,FALSE)</f>
        <v>4700</v>
      </c>
      <c r="BM208" s="55">
        <f t="shared" si="258"/>
        <v>1007.2361617383435</v>
      </c>
      <c r="BN208" s="566">
        <f>VLOOKUP($A208,'01-02.2021'!$A$6:$CZ$403,66,FALSE)+VLOOKUP($A208,'1.3.21-28.2.22'!$A$6:$DA$404,66,FALSE)-VLOOKUP($A208,'01-02.2022'!$A$6:$DA$376,66,FALSE)</f>
        <v>306.91899999999998</v>
      </c>
      <c r="BO208" s="566">
        <f>VLOOKUP($A208,'01-02.2021'!$A$6:$CZ$403,67,FALSE)+VLOOKUP($A208,'1.3.21-28.2.22'!$A$6:$DA$404,67,FALSE)-VLOOKUP($A208,'01-02.2022'!$A$6:$DA$376,67,FALSE)</f>
        <v>595</v>
      </c>
      <c r="BP208" s="55">
        <f t="shared" si="259"/>
        <v>288.08100000000002</v>
      </c>
      <c r="BQ208" s="77">
        <f t="shared" si="209"/>
        <v>24181.935837586265</v>
      </c>
      <c r="BR208" s="40">
        <f t="shared" si="237"/>
        <v>23141.52</v>
      </c>
      <c r="BS208" s="55">
        <f t="shared" si="236"/>
        <v>-1040.4158375862644</v>
      </c>
      <c r="BT208" s="566">
        <f>VLOOKUP($A208,'01-02.2021'!$A$6:$CZ$403,72,FALSE)+VLOOKUP($A208,'1.3.21-28.2.22'!$A$6:$DA$404,72,FALSE)-VLOOKUP($A208,'01-02.2022'!$A$6:$DA$376,72,FALSE)</f>
        <v>57132.674937966665</v>
      </c>
      <c r="BU208" s="566">
        <f>VLOOKUP($A208,'01-02.2021'!$A$6:$CZ$403,73,FALSE)+VLOOKUP($A208,'1.3.21-28.2.22'!$A$6:$DA$404,73,FALSE)-VLOOKUP($A208,'01-02.2022'!$A$6:$DA$376,73,FALSE)</f>
        <v>53786.044297983062</v>
      </c>
      <c r="BV208" s="70">
        <f t="shared" si="260"/>
        <v>-3346.630639983603</v>
      </c>
      <c r="BW208" s="566">
        <f>VLOOKUP($A208,'01-02.2021'!$A$6:$CZ$403,75,FALSE)+VLOOKUP($A208,'1.3.21-28.2.22'!$A$6:$DA$404,75,FALSE)-VLOOKUP($A208,'01-02.2022'!$A$6:$DA$376,75,FALSE)</f>
        <v>50065.768854431037</v>
      </c>
      <c r="BX208" s="566">
        <f>VLOOKUP($A208,'01-02.2021'!$A$6:$CZ$403,76,FALSE)+VLOOKUP($A208,'1.3.21-28.2.22'!$A$6:$DA$404,76,FALSE)-VLOOKUP($A208,'01-02.2022'!$A$6:$DA$376,76,FALSE)</f>
        <v>45931.075123377406</v>
      </c>
      <c r="BY208" s="70">
        <f t="shared" si="261"/>
        <v>-4134.6937310536305</v>
      </c>
      <c r="BZ208" s="566">
        <f>VLOOKUP($A208,'01-02.2021'!$A$6:$CZ$403,78,FALSE)+VLOOKUP($A208,'1.3.21-28.2.22'!$A$6:$DA$404,78,FALSE)-VLOOKUP($A208,'01-02.2022'!$A$6:$DA$376,78,FALSE)</f>
        <v>8000.9634561391122</v>
      </c>
      <c r="CA208" s="566">
        <f>VLOOKUP($A208,'01-02.2021'!$A$6:$CZ$403,79,FALSE)+VLOOKUP($A208,'1.3.21-28.2.22'!$A$6:$DA$404,79,FALSE)-VLOOKUP($A208,'01-02.2022'!$A$6:$DA$376,79,FALSE)</f>
        <v>8086.4473567385103</v>
      </c>
      <c r="CB208" s="70">
        <f t="shared" si="262"/>
        <v>85.483900599398112</v>
      </c>
      <c r="CC208" s="566">
        <f>VLOOKUP($A208,'01-02.2021'!$A$6:$CZ$403,81,FALSE)+VLOOKUP($A208,'1.3.21-28.2.22'!$A$6:$DA$404,81,FALSE)-VLOOKUP($A208,'01-02.2022'!$A$6:$DA$376,81,FALSE)</f>
        <v>1616.3890869330676</v>
      </c>
      <c r="CD208" s="566">
        <f>VLOOKUP($A208,'01-02.2021'!$A$6:$CZ$403,82,FALSE)+VLOOKUP($A208,'1.3.21-28.2.22'!$A$6:$DA$404,82,FALSE)-VLOOKUP($A208,'01-02.2022'!$A$6:$DA$376,82,FALSE)</f>
        <v>1751.4647484320012</v>
      </c>
      <c r="CE208" s="70">
        <f t="shared" si="263"/>
        <v>135.07566149893364</v>
      </c>
      <c r="CF208" s="566">
        <f>VLOOKUP($A208,'01-02.2021'!$A$6:$CZ$403,84,FALSE)+VLOOKUP($A208,'1.3.21-28.2.22'!$A$6:$DA$404,84,FALSE)-VLOOKUP($A208,'01-02.2022'!$A$6:$DA$376,84,FALSE)</f>
        <v>194.81059338723847</v>
      </c>
      <c r="CG208" s="566">
        <f>VLOOKUP($A208,'01-02.2021'!$A$6:$CZ$403,85,FALSE)+VLOOKUP($A208,'1.3.21-28.2.22'!$A$6:$DA$404,85,FALSE)-VLOOKUP($A208,'01-02.2022'!$A$6:$DA$376,85,FALSE)</f>
        <v>0</v>
      </c>
      <c r="CH208" s="70">
        <f t="shared" si="264"/>
        <v>-194.81059338723847</v>
      </c>
      <c r="CI208" s="566">
        <f>VLOOKUP($A208,'01-02.2021'!$A$6:$CZ$403,87,FALSE)+VLOOKUP($A208,'1.3.21-28.2.22'!$A$6:$DA$404,87,FALSE)-VLOOKUP($A208,'01-02.2022'!$A$6:$DA$376,87,FALSE)</f>
        <v>13053.490502618111</v>
      </c>
      <c r="CJ208" s="566">
        <f>VLOOKUP($A208,'01-02.2021'!$A$6:$CZ$403,88,FALSE)+VLOOKUP($A208,'1.3.21-28.2.22'!$A$6:$DA$404,88,FALSE)-VLOOKUP($A208,'01-02.2022'!$A$6:$DA$376,88,FALSE)</f>
        <v>10180.872236660316</v>
      </c>
      <c r="CK208" s="70">
        <f t="shared" si="265"/>
        <v>-2872.6182659577953</v>
      </c>
      <c r="CL208" s="566">
        <f>VLOOKUP($A208,'01-02.2021'!$A$6:$CZ$403,90,FALSE)+VLOOKUP($A208,'1.3.21-28.2.22'!$A$6:$DA$404,90,FALSE)-VLOOKUP($A208,'01-02.2022'!$A$6:$DA$376,90,FALSE)</f>
        <v>16496.495402749013</v>
      </c>
      <c r="CM208" s="566">
        <f>VLOOKUP($A208,'01-02.2021'!$A$6:$CZ$403,91,FALSE)+VLOOKUP($A208,'1.3.21-28.2.22'!$A$6:$DA$404,91,FALSE)-VLOOKUP($A208,'01-02.2022'!$A$6:$DA$376,91,FALSE)</f>
        <v>15265.949782428854</v>
      </c>
      <c r="CN208" s="52">
        <f t="shared" si="225"/>
        <v>-1230.5456203201593</v>
      </c>
      <c r="CO208" s="39">
        <f t="shared" si="220"/>
        <v>29549.985905367124</v>
      </c>
      <c r="CP208" s="40">
        <f t="shared" si="226"/>
        <v>25446.82201908917</v>
      </c>
      <c r="CQ208" s="52">
        <f t="shared" si="227"/>
        <v>-4103.1638862779546</v>
      </c>
      <c r="CR208" s="72">
        <f t="shared" si="221"/>
        <v>406447.19957201899</v>
      </c>
      <c r="CS208" s="5">
        <f t="shared" si="221"/>
        <v>580742.00178951211</v>
      </c>
      <c r="CT208" s="52">
        <f t="shared" si="228"/>
        <v>174294.80221749312</v>
      </c>
      <c r="CU208" s="77">
        <f t="shared" si="229"/>
        <v>487736.63948642276</v>
      </c>
      <c r="CV208" s="65">
        <f t="shared" si="230"/>
        <v>696890.40214741451</v>
      </c>
      <c r="CW208" s="35">
        <f t="shared" si="231"/>
        <v>209153.76266099175</v>
      </c>
      <c r="CX208" s="566">
        <f>VLOOKUP($A208,'01-02.2021'!$A$6:$CZ$403,102,FALSE)+VLOOKUP($A208,'1.3.21-28.2.22'!$A$6:$DA$404,102,FALSE)-VLOOKUP($A208,'01-02.2022'!$A$6:$DA$376,102,FALSE)</f>
        <v>12257.420755833686</v>
      </c>
      <c r="CY208" s="566">
        <f>VLOOKUP($A208,'01-02.2021'!$A$6:$CZ$403,103,FALSE)+VLOOKUP($A208,'1.3.21-28.2.22'!$A$6:$DA$404,103,FALSE)-VLOOKUP($A208,'01-02.2022'!$A$6:$DA$376,103,FALSE)</f>
        <v>-196896.34190515801</v>
      </c>
      <c r="CZ208" s="52">
        <f t="shared" si="232"/>
        <v>-209153.76266099169</v>
      </c>
      <c r="DA208" s="150">
        <f>'[2]побудинковий звіт'!DA208</f>
        <v>162346.83819794984</v>
      </c>
      <c r="DB208" s="2">
        <v>3</v>
      </c>
      <c r="DC208" s="414">
        <f>'[4]побудинковий звіт'!DC208</f>
        <v>97013.61</v>
      </c>
      <c r="DD208" s="414">
        <f>'[4]побудинковий звіт'!DD208</f>
        <v>0</v>
      </c>
      <c r="DE208" s="557">
        <f>'[4]побудинковий звіт'!DE208</f>
        <v>51647.212858701278</v>
      </c>
      <c r="DF208" s="557">
        <f>'[4]побудинковий звіт'!DF208</f>
        <v>0</v>
      </c>
      <c r="DG208" s="321">
        <f>VLOOKUP(A208,'кошти 01.03.2021'!$A$6:$D$401,4,)</f>
        <v>-31182.766511507099</v>
      </c>
      <c r="DH208" s="40">
        <f>'[3]побудинковий звіт'!DJ208</f>
        <v>517490.50846555491</v>
      </c>
      <c r="DI208" s="422">
        <f>'[3]побудинковий звіт'!CU208+'[3]побудинковий звіт'!CX208</f>
        <v>45366.39714129873</v>
      </c>
      <c r="DJ208" s="306">
        <f>'[3]побудинковий звіт'!DM208</f>
        <v>5.7650516342765643</v>
      </c>
      <c r="DK208" s="306">
        <f>'[3]побудинковий звіт'!DN208</f>
        <v>7.5958284493054347</v>
      </c>
      <c r="DL208" s="306">
        <f>'[3]побудинковий звіт'!DO208</f>
        <v>4.8092176637448931</v>
      </c>
      <c r="DM208" s="28">
        <f t="shared" ref="DM208:DM209" si="266">DJ208*G208+(F208-G208)*DK208</f>
        <v>45366.397141298723</v>
      </c>
      <c r="DN208" s="28">
        <f>DL208*H208</f>
        <v>0</v>
      </c>
      <c r="DO208" s="423">
        <f t="shared" si="238"/>
        <v>45366.397141298723</v>
      </c>
      <c r="DP208" s="94">
        <f t="shared" si="239"/>
        <v>0</v>
      </c>
      <c r="DQ208" s="28">
        <f t="shared" si="240"/>
        <v>45366.397141298723</v>
      </c>
      <c r="DR208" s="318"/>
      <c r="DT208" s="8"/>
      <c r="DU208" s="5"/>
      <c r="DX208" s="5">
        <f t="shared" si="241"/>
        <v>123493.83930411452</v>
      </c>
      <c r="DY208" s="5">
        <f t="shared" si="242"/>
        <v>350252.50487615174</v>
      </c>
      <c r="DZ208" s="159">
        <f>'[3]побудинковий звіт'!EA208</f>
        <v>12795.715528016381</v>
      </c>
    </row>
    <row r="209" spans="1:130" x14ac:dyDescent="0.3">
      <c r="A209" s="325">
        <v>150000695</v>
      </c>
      <c r="B209" s="41" t="s">
        <v>657</v>
      </c>
      <c r="C209" s="42" t="s">
        <v>373</v>
      </c>
      <c r="D209" s="42"/>
      <c r="E209" s="293">
        <f t="shared" si="218"/>
        <v>6304.12</v>
      </c>
      <c r="F209" s="305">
        <f>'[3]побудинковий звіт'!F209</f>
        <v>6304.12</v>
      </c>
      <c r="G209" s="508">
        <f>'[3]побудинковий звіт'!G209</f>
        <v>695.2</v>
      </c>
      <c r="H209" s="560">
        <f>'[3]побудинковий звіт'!H209</f>
        <v>0</v>
      </c>
      <c r="I209" s="566">
        <f>VLOOKUP($A209,'01-02.2021'!$A$6:$CZ$403,9,FALSE)+VLOOKUP($A209,'1.3.21-28.2.22'!$A$6:$DA$404,9,FALSE)-VLOOKUP($A209,'01-02.2022'!$A$6:$DA$376,9,FALSE)</f>
        <v>20767.884682769749</v>
      </c>
      <c r="J209" s="566">
        <f>VLOOKUP($A209,'01-02.2021'!$A$6:$CZ$403,10,FALSE)+VLOOKUP($A209,'1.3.21-28.2.22'!$A$6:$DA$404,10,FALSE)-VLOOKUP($A209,'01-02.2022'!$A$6:$DA$376,10,FALSE)</f>
        <v>20412.055951177073</v>
      </c>
      <c r="K209" s="52">
        <f t="shared" si="222"/>
        <v>-355.82873159267547</v>
      </c>
      <c r="L209" s="566">
        <f>VLOOKUP($A209,'01-02.2021'!$A$6:$CZ$403,12,FALSE)+VLOOKUP($A209,'1.3.21-28.2.22'!$A$6:$DA$404,12,FALSE)-VLOOKUP($A209,'01-02.2022'!$A$6:$DA$376,12,FALSE)</f>
        <v>3743.3991164659087</v>
      </c>
      <c r="M209" s="566">
        <f>VLOOKUP($A209,'01-02.2021'!$A$6:$CZ$403,13,FALSE)+VLOOKUP($A209,'1.3.21-28.2.22'!$A$6:$DA$404,13,FALSE)-VLOOKUP($A209,'01-02.2022'!$A$6:$DA$376,13,FALSE)</f>
        <v>3737.6924498346434</v>
      </c>
      <c r="N209" s="52">
        <f t="shared" si="223"/>
        <v>-5.7066666312653069</v>
      </c>
      <c r="O209" s="566">
        <f>VLOOKUP($A209,'01-02.2021'!$A$6:$CZ$403,15,FALSE)+VLOOKUP($A209,'1.3.21-28.2.22'!$A$6:$DA$404,15,FALSE)-VLOOKUP($A209,'01-02.2022'!$A$6:$DA$376,15,FALSE)</f>
        <v>7470.8512871606508</v>
      </c>
      <c r="P209" s="566">
        <f>VLOOKUP($A209,'01-02.2021'!$A$6:$CZ$403,16,FALSE)+VLOOKUP($A209,'1.3.21-28.2.22'!$A$6:$DA$404,16,FALSE)-VLOOKUP($A209,'01-02.2022'!$A$6:$DA$376,16,FALSE)</f>
        <v>7471.1550000000007</v>
      </c>
      <c r="Q209" s="70">
        <f t="shared" si="243"/>
        <v>0.30371283934982785</v>
      </c>
      <c r="R209" s="566">
        <f>VLOOKUP($A209,'01-02.2021'!$A$6:$CZ$403,18,FALSE)+VLOOKUP($A209,'1.3.21-28.2.22'!$A$6:$DA$404,18,FALSE)-VLOOKUP($A209,'01-02.2022'!$A$6:$DA$376,18,FALSE)</f>
        <v>1855.351289448992</v>
      </c>
      <c r="S209" s="566">
        <f>VLOOKUP($A209,'01-02.2021'!$A$6:$CZ$403,19,FALSE)+VLOOKUP($A209,'1.3.21-28.2.22'!$A$6:$DA$404,19,FALSE)-VLOOKUP($A209,'01-02.2022'!$A$6:$DA$376,19,FALSE)</f>
        <v>1855.5633333333328</v>
      </c>
      <c r="T209" s="70">
        <f t="shared" si="244"/>
        <v>0.21204388434080101</v>
      </c>
      <c r="U209" s="566">
        <f>VLOOKUP($A209,'01-02.2021'!$A$6:$CZ$403,21,FALSE)+VLOOKUP($A209,'1.3.21-28.2.22'!$A$6:$DA$404,21,FALSE)-VLOOKUP($A209,'01-02.2022'!$A$6:$DA$376,21,FALSE)</f>
        <v>1007.187849608177</v>
      </c>
      <c r="V209" s="566">
        <f>VLOOKUP($A209,'01-02.2021'!$A$6:$CZ$403,22,FALSE)+VLOOKUP($A209,'1.3.21-28.2.22'!$A$6:$DA$404,22,FALSE)-VLOOKUP($A209,'01-02.2022'!$A$6:$DA$376,22,FALSE)</f>
        <v>855.98251491964402</v>
      </c>
      <c r="W209" s="70">
        <f t="shared" si="245"/>
        <v>-151.20533468853296</v>
      </c>
      <c r="X209" s="566">
        <f>VLOOKUP($A209,'01-02.2021'!$A$6:$CZ$403,24,FALSE)+VLOOKUP($A209,'1.3.21-28.2.22'!$A$6:$DA$404,24,FALSE)-VLOOKUP($A209,'01-02.2022'!$A$6:$DA$376,24,FALSE)</f>
        <v>10796.666155640896</v>
      </c>
      <c r="Y209" s="566">
        <f>VLOOKUP($A209,'01-02.2021'!$A$6:$CZ$403,25,FALSE)+VLOOKUP($A209,'1.3.21-28.2.22'!$A$6:$DA$404,25,FALSE)-VLOOKUP($A209,'01-02.2022'!$A$6:$DA$376,25,FALSE)</f>
        <v>9339.2189040276025</v>
      </c>
      <c r="Z209" s="70">
        <f t="shared" si="246"/>
        <v>-1457.4472516132937</v>
      </c>
      <c r="AA209" s="566">
        <f>VLOOKUP($A209,'01-02.2021'!$A$6:$CZ$403,27,FALSE)+VLOOKUP($A209,'1.3.21-28.2.22'!$A$6:$DA$404,27,FALSE)-VLOOKUP($A209,'01-02.2022'!$A$6:$DA$376,27,FALSE)</f>
        <v>1260.864</v>
      </c>
      <c r="AB209" s="566">
        <f>VLOOKUP($A209,'01-02.2021'!$A$6:$CZ$403,28,FALSE)+VLOOKUP($A209,'1.3.21-28.2.22'!$A$6:$DA$404,28,FALSE)-VLOOKUP($A209,'01-02.2022'!$A$6:$DA$376,28,FALSE)</f>
        <v>0</v>
      </c>
      <c r="AC209" s="70">
        <f t="shared" si="247"/>
        <v>-1260.864</v>
      </c>
      <c r="AD209" s="566">
        <f>VLOOKUP($A209,'01-02.2021'!$A$6:$CZ$403,30,FALSE)+VLOOKUP($A209,'1.3.21-28.2.22'!$A$6:$DA$404,30,FALSE)-VLOOKUP($A209,'01-02.2022'!$A$6:$DA$376,30,FALSE)</f>
        <v>27078.371579331892</v>
      </c>
      <c r="AE209" s="566">
        <f>VLOOKUP($A209,'01-02.2021'!$A$6:$CZ$403,31,FALSE)+VLOOKUP($A209,'1.3.21-28.2.22'!$A$6:$DA$404,31,FALSE)-VLOOKUP($A209,'01-02.2022'!$A$6:$DA$376,31,FALSE)</f>
        <v>28697.076439412514</v>
      </c>
      <c r="AF209" s="68">
        <f t="shared" si="248"/>
        <v>1618.7048600806229</v>
      </c>
      <c r="AG209" s="77">
        <f t="shared" si="219"/>
        <v>73980.575960426271</v>
      </c>
      <c r="AH209" s="53">
        <f t="shared" si="219"/>
        <v>72368.74459270481</v>
      </c>
      <c r="AI209" s="52">
        <f t="shared" si="224"/>
        <v>-1611.831367721461</v>
      </c>
      <c r="AJ209" s="566">
        <f>VLOOKUP($A209,'01-02.2021'!$A$6:$CZ$403,36,FALSE)+VLOOKUP($A209,'1.3.21-28.2.22'!$A$6:$DA$404,36,FALSE)-VLOOKUP($A209,'01-02.2022'!$A$6:$DA$376,36,FALSE)</f>
        <v>68575.358764289107</v>
      </c>
      <c r="AK209" s="566">
        <f>VLOOKUP($A209,'01-02.2021'!$A$6:$CZ$403,37,FALSE)+VLOOKUP($A209,'1.3.21-28.2.22'!$A$6:$DA$404,37,FALSE)-VLOOKUP($A209,'01-02.2022'!$A$6:$DA$376,37,FALSE)</f>
        <v>68125.765326279739</v>
      </c>
      <c r="AL209" s="70">
        <f t="shared" si="249"/>
        <v>-449.59343800936767</v>
      </c>
      <c r="AM209" s="566">
        <f>VLOOKUP($A209,'01-02.2021'!$A$6:$CZ$403,39,FALSE)+VLOOKUP($A209,'1.3.21-28.2.22'!$A$6:$DA$404,39,FALSE)-VLOOKUP($A209,'01-02.2022'!$A$6:$DA$376,39,FALSE)</f>
        <v>525.37471249999999</v>
      </c>
      <c r="AN209" s="566">
        <f>VLOOKUP($A209,'01-02.2021'!$A$6:$CZ$403,40,FALSE)+VLOOKUP($A209,'1.3.21-28.2.22'!$A$6:$DA$404,40,FALSE)-VLOOKUP($A209,'01-02.2022'!$A$6:$DA$376,40,FALSE)</f>
        <v>132.1700624485191</v>
      </c>
      <c r="AO209" s="70">
        <f t="shared" si="250"/>
        <v>-393.20465005148088</v>
      </c>
      <c r="AP209" s="566">
        <f>VLOOKUP($A209,'01-02.2021'!$A$6:$CZ$403,42,FALSE)+VLOOKUP($A209,'1.3.21-28.2.22'!$A$6:$DA$404,42,FALSE)-VLOOKUP($A209,'01-02.2022'!$A$6:$DA$376,42,FALSE)</f>
        <v>4685.0393251149972</v>
      </c>
      <c r="AQ209" s="566">
        <f>VLOOKUP($A209,'01-02.2021'!$A$6:$CZ$403,43,FALSE)+VLOOKUP($A209,'1.3.21-28.2.22'!$A$6:$DA$404,43,FALSE)-VLOOKUP($A209,'01-02.2022'!$A$6:$DA$376,43,FALSE)</f>
        <v>3881.8239885794733</v>
      </c>
      <c r="AR209" s="70">
        <f t="shared" si="251"/>
        <v>-803.21533653552387</v>
      </c>
      <c r="AS209" s="566">
        <f>VLOOKUP($A209,'01-02.2021'!$A$6:$CZ$403,45,FALSE)+VLOOKUP($A209,'1.3.21-28.2.22'!$A$6:$DA$404,45,FALSE)-VLOOKUP($A209,'01-02.2022'!$A$6:$DA$376,45,FALSE)</f>
        <v>80350.568863980938</v>
      </c>
      <c r="AT209" s="566">
        <f>VLOOKUP($A209,'01-02.2021'!$A$6:$CZ$403,46,FALSE)+VLOOKUP($A209,'1.3.21-28.2.22'!$A$6:$DA$404,46,FALSE)-VLOOKUP($A209,'01-02.2022'!$A$6:$DA$376,46,FALSE)</f>
        <v>56044.372870739491</v>
      </c>
      <c r="AU209" s="78">
        <f t="shared" si="252"/>
        <v>-24306.195993241447</v>
      </c>
      <c r="AV209" s="566">
        <f>VLOOKUP($A209,'01-02.2021'!$A$6:$CZ$403,48,FALSE)+VLOOKUP($A209,'1.3.21-28.2.22'!$A$6:$DA$404,48,FALSE)-VLOOKUP($A209,'01-02.2022'!$A$6:$DA$376,48,FALSE)</f>
        <v>4796.1270298459058</v>
      </c>
      <c r="AW209" s="566">
        <f>VLOOKUP($A209,'01-02.2021'!$A$6:$CZ$403,49,FALSE)+VLOOKUP($A209,'1.3.21-28.2.22'!$A$6:$DA$404,49,FALSE)-VLOOKUP($A209,'01-02.2022'!$A$6:$DA$376,49,FALSE)</f>
        <v>3016</v>
      </c>
      <c r="AX209" s="55">
        <f t="shared" si="253"/>
        <v>-1780.1270298459058</v>
      </c>
      <c r="AY209" s="566">
        <f>VLOOKUP($A209,'01-02.2021'!$A$6:$CZ$403,51,FALSE)+VLOOKUP($A209,'1.3.21-28.2.22'!$A$6:$DA$404,51,FALSE)-VLOOKUP($A209,'01-02.2022'!$A$6:$DA$376,51,FALSE)</f>
        <v>5480.2472581272068</v>
      </c>
      <c r="AZ209" s="566">
        <f>VLOOKUP($A209,'01-02.2021'!$A$6:$CZ$403,52,FALSE)+VLOOKUP($A209,'1.3.21-28.2.22'!$A$6:$DA$404,52,FALSE)-VLOOKUP($A209,'01-02.2022'!$A$6:$DA$376,52,FALSE)</f>
        <v>9799</v>
      </c>
      <c r="BA209" s="38">
        <f t="shared" si="254"/>
        <v>4318.7527418727932</v>
      </c>
      <c r="BB209" s="566">
        <f>VLOOKUP($A209,'01-02.2021'!$A$6:$CZ$403,54,FALSE)+VLOOKUP($A209,'1.3.21-28.2.22'!$A$6:$DA$404,54,FALSE)-VLOOKUP($A209,'01-02.2022'!$A$6:$DA$376,54,FALSE)</f>
        <v>2902.1042456926398</v>
      </c>
      <c r="BC209" s="566">
        <f>VLOOKUP($A209,'01-02.2021'!$A$6:$CZ$403,55,FALSE)+VLOOKUP($A209,'1.3.21-28.2.22'!$A$6:$DA$404,55,FALSE)-VLOOKUP($A209,'01-02.2022'!$A$6:$DA$376,55,FALSE)</f>
        <v>0</v>
      </c>
      <c r="BD209" s="55">
        <f t="shared" si="255"/>
        <v>-2902.1042456926398</v>
      </c>
      <c r="BE209" s="566">
        <f>VLOOKUP($A209,'01-02.2021'!$A$6:$CZ$403,57,FALSE)+VLOOKUP($A209,'1.3.21-28.2.22'!$A$6:$DA$404,57,FALSE)-VLOOKUP($A209,'01-02.2022'!$A$6:$DA$376,57,FALSE)</f>
        <v>4033.6559784240976</v>
      </c>
      <c r="BF209" s="566">
        <f>VLOOKUP($A209,'01-02.2021'!$A$6:$CZ$403,58,FALSE)+VLOOKUP($A209,'1.3.21-28.2.22'!$A$6:$DA$404,58,FALSE)-VLOOKUP($A209,'01-02.2022'!$A$6:$DA$376,58,FALSE)</f>
        <v>542</v>
      </c>
      <c r="BG209" s="55">
        <f t="shared" si="256"/>
        <v>-3491.6559784240976</v>
      </c>
      <c r="BH209" s="566">
        <f>VLOOKUP($A209,'01-02.2021'!$A$6:$CZ$403,60,FALSE)+VLOOKUP($A209,'1.3.21-28.2.22'!$A$6:$DA$404,60,FALSE)-VLOOKUP($A209,'01-02.2022'!$A$6:$DA$376,60,FALSE)</f>
        <v>1844.3104129600986</v>
      </c>
      <c r="BI209" s="566">
        <f>VLOOKUP($A209,'01-02.2021'!$A$6:$CZ$403,61,FALSE)+VLOOKUP($A209,'1.3.21-28.2.22'!$A$6:$DA$404,61,FALSE)-VLOOKUP($A209,'01-02.2022'!$A$6:$DA$376,61,FALSE)</f>
        <v>15</v>
      </c>
      <c r="BJ209" s="55">
        <f t="shared" si="257"/>
        <v>-1829.3104129600986</v>
      </c>
      <c r="BK209" s="566">
        <f>VLOOKUP($A209,'01-02.2021'!$A$6:$CZ$403,63,FALSE)+VLOOKUP($A209,'1.3.21-28.2.22'!$A$6:$DA$404,63,FALSE)-VLOOKUP($A209,'01-02.2022'!$A$6:$DA$376,63,FALSE)</f>
        <v>3573.0860493329606</v>
      </c>
      <c r="BL209" s="566">
        <f>VLOOKUP($A209,'01-02.2021'!$A$6:$CZ$403,64,FALSE)+VLOOKUP($A209,'1.3.21-28.2.22'!$A$6:$DA$404,64,FALSE)-VLOOKUP($A209,'01-02.2022'!$A$6:$DA$376,64,FALSE)</f>
        <v>0</v>
      </c>
      <c r="BM209" s="55">
        <f t="shared" si="258"/>
        <v>-3573.0860493329606</v>
      </c>
      <c r="BN209" s="566">
        <f>VLOOKUP($A209,'01-02.2021'!$A$6:$CZ$403,66,FALSE)+VLOOKUP($A209,'1.3.21-28.2.22'!$A$6:$DA$404,66,FALSE)-VLOOKUP($A209,'01-02.2022'!$A$6:$DA$376,66,FALSE)</f>
        <v>315.21600000000001</v>
      </c>
      <c r="BO209" s="566">
        <f>VLOOKUP($A209,'01-02.2021'!$A$6:$CZ$403,67,FALSE)+VLOOKUP($A209,'1.3.21-28.2.22'!$A$6:$DA$404,67,FALSE)-VLOOKUP($A209,'01-02.2022'!$A$6:$DA$376,67,FALSE)</f>
        <v>0</v>
      </c>
      <c r="BP209" s="55">
        <f t="shared" si="259"/>
        <v>-315.21600000000001</v>
      </c>
      <c r="BQ209" s="77">
        <f t="shared" si="209"/>
        <v>22944.746974382906</v>
      </c>
      <c r="BR209" s="40">
        <f t="shared" si="237"/>
        <v>13372</v>
      </c>
      <c r="BS209" s="55">
        <f t="shared" si="236"/>
        <v>-9572.746974382906</v>
      </c>
      <c r="BT209" s="566">
        <f>VLOOKUP($A209,'01-02.2021'!$A$6:$CZ$403,72,FALSE)+VLOOKUP($A209,'1.3.21-28.2.22'!$A$6:$DA$404,72,FALSE)-VLOOKUP($A209,'01-02.2022'!$A$6:$DA$376,72,FALSE)</f>
        <v>68007.131283123003</v>
      </c>
      <c r="BU209" s="566">
        <f>VLOOKUP($A209,'01-02.2021'!$A$6:$CZ$403,73,FALSE)+VLOOKUP($A209,'1.3.21-28.2.22'!$A$6:$DA$404,73,FALSE)-VLOOKUP($A209,'01-02.2022'!$A$6:$DA$376,73,FALSE)</f>
        <v>62593.708140328577</v>
      </c>
      <c r="BV209" s="70">
        <f t="shared" si="260"/>
        <v>-5413.4231427944251</v>
      </c>
      <c r="BW209" s="566">
        <f>VLOOKUP($A209,'01-02.2021'!$A$6:$CZ$403,75,FALSE)+VLOOKUP($A209,'1.3.21-28.2.22'!$A$6:$DA$404,75,FALSE)-VLOOKUP($A209,'01-02.2022'!$A$6:$DA$376,75,FALSE)</f>
        <v>51654.659103817241</v>
      </c>
      <c r="BX209" s="566">
        <f>VLOOKUP($A209,'01-02.2021'!$A$6:$CZ$403,76,FALSE)+VLOOKUP($A209,'1.3.21-28.2.22'!$A$6:$DA$404,76,FALSE)-VLOOKUP($A209,'01-02.2022'!$A$6:$DA$376,76,FALSE)</f>
        <v>51328.504366805762</v>
      </c>
      <c r="BY209" s="70">
        <f t="shared" si="261"/>
        <v>-326.15473701147857</v>
      </c>
      <c r="BZ209" s="566">
        <f>VLOOKUP($A209,'01-02.2021'!$A$6:$CZ$403,78,FALSE)+VLOOKUP($A209,'1.3.21-28.2.22'!$A$6:$DA$404,78,FALSE)-VLOOKUP($A209,'01-02.2022'!$A$6:$DA$376,78,FALSE)</f>
        <v>7975.8135159271769</v>
      </c>
      <c r="CA209" s="566">
        <f>VLOOKUP($A209,'01-02.2021'!$A$6:$CZ$403,79,FALSE)+VLOOKUP($A209,'1.3.21-28.2.22'!$A$6:$DA$404,79,FALSE)-VLOOKUP($A209,'01-02.2022'!$A$6:$DA$376,79,FALSE)</f>
        <v>14969.817443178601</v>
      </c>
      <c r="CB209" s="70">
        <f t="shared" si="262"/>
        <v>6994.0039272514241</v>
      </c>
      <c r="CC209" s="566">
        <f>VLOOKUP($A209,'01-02.2021'!$A$6:$CZ$403,81,FALSE)+VLOOKUP($A209,'1.3.21-28.2.22'!$A$6:$DA$404,81,FALSE)-VLOOKUP($A209,'01-02.2022'!$A$6:$DA$376,81,FALSE)</f>
        <v>1616.6360341830673</v>
      </c>
      <c r="CD209" s="566">
        <f>VLOOKUP($A209,'01-02.2021'!$A$6:$CZ$403,82,FALSE)+VLOOKUP($A209,'1.3.21-28.2.22'!$A$6:$DA$404,82,FALSE)-VLOOKUP($A209,'01-02.2022'!$A$6:$DA$376,82,FALSE)</f>
        <v>1751.4647484320012</v>
      </c>
      <c r="CE209" s="70">
        <f t="shared" si="263"/>
        <v>134.82871424893392</v>
      </c>
      <c r="CF209" s="566">
        <f>VLOOKUP($A209,'01-02.2021'!$A$6:$CZ$403,84,FALSE)+VLOOKUP($A209,'1.3.21-28.2.22'!$A$6:$DA$404,84,FALSE)-VLOOKUP($A209,'01-02.2022'!$A$6:$DA$376,84,FALSE)</f>
        <v>194.81059338723847</v>
      </c>
      <c r="CG209" s="566">
        <f>VLOOKUP($A209,'01-02.2021'!$A$6:$CZ$403,85,FALSE)+VLOOKUP($A209,'1.3.21-28.2.22'!$A$6:$DA$404,85,FALSE)-VLOOKUP($A209,'01-02.2022'!$A$6:$DA$376,85,FALSE)</f>
        <v>0</v>
      </c>
      <c r="CH209" s="70">
        <f t="shared" si="264"/>
        <v>-194.81059338723847</v>
      </c>
      <c r="CI209" s="566">
        <f>VLOOKUP($A209,'01-02.2021'!$A$6:$CZ$403,87,FALSE)+VLOOKUP($A209,'1.3.21-28.2.22'!$A$6:$DA$404,87,FALSE)-VLOOKUP($A209,'01-02.2022'!$A$6:$DA$376,87,FALSE)</f>
        <v>20399.858924075957</v>
      </c>
      <c r="CJ209" s="566">
        <f>VLOOKUP($A209,'01-02.2021'!$A$6:$CZ$403,88,FALSE)+VLOOKUP($A209,'1.3.21-28.2.22'!$A$6:$DA$404,88,FALSE)-VLOOKUP($A209,'01-02.2022'!$A$6:$DA$376,88,FALSE)</f>
        <v>20029.899364842597</v>
      </c>
      <c r="CK209" s="70">
        <f t="shared" si="265"/>
        <v>-369.95955923336078</v>
      </c>
      <c r="CL209" s="566">
        <f>VLOOKUP($A209,'01-02.2021'!$A$6:$CZ$403,90,FALSE)+VLOOKUP($A209,'1.3.21-28.2.22'!$A$6:$DA$404,90,FALSE)-VLOOKUP($A209,'01-02.2022'!$A$6:$DA$376,90,FALSE)</f>
        <v>30604.516845643979</v>
      </c>
      <c r="CM209" s="566">
        <f>VLOOKUP($A209,'01-02.2021'!$A$6:$CZ$403,91,FALSE)+VLOOKUP($A209,'1.3.21-28.2.22'!$A$6:$DA$404,91,FALSE)-VLOOKUP($A209,'01-02.2022'!$A$6:$DA$376,91,FALSE)</f>
        <v>30041.761743227238</v>
      </c>
      <c r="CN209" s="52">
        <f t="shared" si="225"/>
        <v>-562.75510241674056</v>
      </c>
      <c r="CO209" s="39">
        <f t="shared" si="220"/>
        <v>51004.375769719933</v>
      </c>
      <c r="CP209" s="40">
        <f t="shared" si="226"/>
        <v>50071.661108069835</v>
      </c>
      <c r="CQ209" s="52">
        <f t="shared" si="227"/>
        <v>-932.7146616500977</v>
      </c>
      <c r="CR209" s="72">
        <f t="shared" si="221"/>
        <v>431515.09090085188</v>
      </c>
      <c r="CS209" s="5">
        <f t="shared" si="221"/>
        <v>394640.03264756681</v>
      </c>
      <c r="CT209" s="52">
        <f t="shared" si="228"/>
        <v>-36875.058253285068</v>
      </c>
      <c r="CU209" s="77">
        <f t="shared" si="229"/>
        <v>517818.10908102221</v>
      </c>
      <c r="CV209" s="65">
        <f t="shared" si="230"/>
        <v>473568.03917708015</v>
      </c>
      <c r="CW209" s="35">
        <f t="shared" si="231"/>
        <v>-44250.069903942058</v>
      </c>
      <c r="CX209" s="566">
        <f>VLOOKUP($A209,'01-02.2021'!$A$6:$CZ$403,102,FALSE)+VLOOKUP($A209,'1.3.21-28.2.22'!$A$6:$DA$404,102,FALSE)-VLOOKUP($A209,'01-02.2022'!$A$6:$DA$376,102,FALSE)</f>
        <v>18045.245842879223</v>
      </c>
      <c r="CY209" s="566">
        <f>VLOOKUP($A209,'01-02.2021'!$A$6:$CZ$403,103,FALSE)+VLOOKUP($A209,'1.3.21-28.2.22'!$A$6:$DA$404,103,FALSE)-VLOOKUP($A209,'01-02.2022'!$A$6:$DA$376,103,FALSE)</f>
        <v>62295.315746821339</v>
      </c>
      <c r="CZ209" s="52">
        <f t="shared" si="232"/>
        <v>44250.069903942116</v>
      </c>
      <c r="DA209" s="150">
        <f>'[2]побудинковий звіт'!DA209</f>
        <v>-44531.246880763327</v>
      </c>
      <c r="DB209" s="2">
        <v>3</v>
      </c>
      <c r="DC209" s="414">
        <f>'[4]побудинковий звіт'!DC209</f>
        <v>87235.31</v>
      </c>
      <c r="DD209" s="414">
        <f>'[4]побудинковий звіт'!DD209</f>
        <v>0</v>
      </c>
      <c r="DE209" s="557">
        <f>'[4]побудинковий звіт'!DE209</f>
        <v>38486.468400864949</v>
      </c>
      <c r="DF209" s="557">
        <f>'[4]побудинковий звіт'!DF209</f>
        <v>0</v>
      </c>
      <c r="DG209" s="321">
        <f>VLOOKUP(A209,'кошти 01.03.2021'!$A$6:$D$401,4,)</f>
        <v>3840.607337526777</v>
      </c>
      <c r="DH209" s="40">
        <f>'[3]побудинковий звіт'!DJ209</f>
        <v>555230.13255419291</v>
      </c>
      <c r="DI209" s="422">
        <f>'[3]побудинковий звіт'!CU209+'[3]побудинковий звіт'!CX209</f>
        <v>48748.841599135048</v>
      </c>
      <c r="DJ209" s="306">
        <f>'[3]побудинковий звіт'!DM209</f>
        <v>6.0501823572175848</v>
      </c>
      <c r="DK209" s="306">
        <f>'[3]побудинковий звіт'!DN209</f>
        <v>7.9414138237659628</v>
      </c>
      <c r="DL209" s="306">
        <f>'[3]побудинковий звіт'!DO209</f>
        <v>5.0750474729442931</v>
      </c>
      <c r="DM209" s="28">
        <f t="shared" si="266"/>
        <v>48748.841599135048</v>
      </c>
      <c r="DN209" s="28">
        <f>DL209*H209</f>
        <v>0</v>
      </c>
      <c r="DO209" s="423">
        <f t="shared" si="238"/>
        <v>48748.841599135048</v>
      </c>
      <c r="DP209" s="94">
        <f t="shared" si="239"/>
        <v>0</v>
      </c>
      <c r="DQ209" s="28">
        <f t="shared" si="240"/>
        <v>48748.841599135048</v>
      </c>
      <c r="DR209" s="318"/>
      <c r="DT209" s="8"/>
      <c r="DU209" s="5"/>
      <c r="DX209" s="5">
        <f t="shared" si="241"/>
        <v>123954.3790060366</v>
      </c>
      <c r="DY209" s="5">
        <f t="shared" si="242"/>
        <v>83299.647444887392</v>
      </c>
      <c r="DZ209" s="159">
        <f>'[3]побудинковий звіт'!EA209</f>
        <v>12142.949222680611</v>
      </c>
    </row>
    <row r="210" spans="1:130" x14ac:dyDescent="0.3">
      <c r="A210" s="325">
        <v>150000698</v>
      </c>
      <c r="B210" s="41" t="s">
        <v>658</v>
      </c>
      <c r="C210" s="42" t="s">
        <v>121</v>
      </c>
      <c r="D210" s="42"/>
      <c r="E210" s="293">
        <f t="shared" si="218"/>
        <v>180</v>
      </c>
      <c r="F210" s="305">
        <f>'[3]побудинковий звіт'!F210</f>
        <v>180</v>
      </c>
      <c r="G210" s="508">
        <f>'[3]побудинковий звіт'!G210</f>
        <v>0</v>
      </c>
      <c r="H210" s="560">
        <f>'[3]побудинковий звіт'!H210</f>
        <v>0</v>
      </c>
      <c r="I210" s="566"/>
      <c r="J210" s="566"/>
      <c r="K210" s="52">
        <f t="shared" si="222"/>
        <v>0</v>
      </c>
      <c r="L210" s="566"/>
      <c r="M210" s="566"/>
      <c r="N210" s="52">
        <f t="shared" si="223"/>
        <v>0</v>
      </c>
      <c r="O210" s="566"/>
      <c r="P210" s="566"/>
      <c r="Q210" s="70"/>
      <c r="R210" s="566"/>
      <c r="S210" s="566"/>
      <c r="T210" s="70"/>
      <c r="U210" s="566"/>
      <c r="V210" s="566"/>
      <c r="W210" s="70"/>
      <c r="X210" s="566"/>
      <c r="Y210" s="566"/>
      <c r="Z210" s="70"/>
      <c r="AA210" s="566"/>
      <c r="AB210" s="566"/>
      <c r="AC210" s="70"/>
      <c r="AD210" s="566"/>
      <c r="AE210" s="566"/>
      <c r="AF210" s="68"/>
      <c r="AG210" s="77">
        <f t="shared" si="219"/>
        <v>0</v>
      </c>
      <c r="AH210" s="53">
        <f t="shared" si="219"/>
        <v>0</v>
      </c>
      <c r="AI210" s="52">
        <f t="shared" si="224"/>
        <v>0</v>
      </c>
      <c r="AJ210" s="566"/>
      <c r="AK210" s="566"/>
      <c r="AL210" s="70"/>
      <c r="AM210" s="566"/>
      <c r="AN210" s="566"/>
      <c r="AO210" s="70"/>
      <c r="AP210" s="566"/>
      <c r="AQ210" s="566"/>
      <c r="AR210" s="70"/>
      <c r="AS210" s="566"/>
      <c r="AT210" s="566"/>
      <c r="AU210" s="78"/>
      <c r="AV210" s="566"/>
      <c r="AW210" s="566"/>
      <c r="AX210" s="55"/>
      <c r="AY210" s="566"/>
      <c r="AZ210" s="566"/>
      <c r="BA210" s="38"/>
      <c r="BB210" s="566"/>
      <c r="BC210" s="566"/>
      <c r="BD210" s="55"/>
      <c r="BE210" s="566"/>
      <c r="BF210" s="566"/>
      <c r="BG210" s="55"/>
      <c r="BH210" s="566"/>
      <c r="BI210" s="566"/>
      <c r="BJ210" s="55"/>
      <c r="BK210" s="566"/>
      <c r="BL210" s="566"/>
      <c r="BM210" s="55"/>
      <c r="BN210" s="566"/>
      <c r="BO210" s="566"/>
      <c r="BP210" s="55"/>
      <c r="BQ210" s="77">
        <f t="shared" si="209"/>
        <v>0</v>
      </c>
      <c r="BR210" s="40">
        <f t="shared" si="237"/>
        <v>0</v>
      </c>
      <c r="BS210" s="55">
        <f t="shared" si="236"/>
        <v>0</v>
      </c>
      <c r="BT210" s="566"/>
      <c r="BU210" s="566"/>
      <c r="BV210" s="70"/>
      <c r="BW210" s="566"/>
      <c r="BX210" s="566"/>
      <c r="BY210" s="70"/>
      <c r="BZ210" s="566"/>
      <c r="CA210" s="566"/>
      <c r="CB210" s="70"/>
      <c r="CC210" s="566"/>
      <c r="CD210" s="566"/>
      <c r="CE210" s="70"/>
      <c r="CF210" s="566"/>
      <c r="CG210" s="566"/>
      <c r="CH210" s="70"/>
      <c r="CI210" s="566"/>
      <c r="CJ210" s="566"/>
      <c r="CK210" s="70"/>
      <c r="CL210" s="566"/>
      <c r="CM210" s="566"/>
      <c r="CN210" s="52">
        <f t="shared" si="225"/>
        <v>0</v>
      </c>
      <c r="CO210" s="39">
        <f t="shared" si="220"/>
        <v>0</v>
      </c>
      <c r="CP210" s="40">
        <f t="shared" si="226"/>
        <v>0</v>
      </c>
      <c r="CQ210" s="52">
        <f t="shared" si="227"/>
        <v>0</v>
      </c>
      <c r="CR210" s="72">
        <f t="shared" si="221"/>
        <v>0</v>
      </c>
      <c r="CS210" s="5">
        <f t="shared" si="221"/>
        <v>0</v>
      </c>
      <c r="CT210" s="52">
        <f t="shared" si="228"/>
        <v>0</v>
      </c>
      <c r="CU210" s="77">
        <f t="shared" si="229"/>
        <v>0</v>
      </c>
      <c r="CV210" s="65">
        <f t="shared" si="230"/>
        <v>0</v>
      </c>
      <c r="CW210" s="35">
        <f t="shared" si="231"/>
        <v>0</v>
      </c>
      <c r="CX210" s="566"/>
      <c r="CY210" s="566"/>
      <c r="CZ210" s="52">
        <f t="shared" si="232"/>
        <v>0</v>
      </c>
      <c r="DA210" s="150">
        <f>'[2]побудинковий звіт'!DA210</f>
        <v>-7105.5550471735478</v>
      </c>
      <c r="DB210" s="2">
        <v>3</v>
      </c>
      <c r="DC210" s="414">
        <f>'[4]побудинковий звіт'!DC210</f>
        <v>4676.97</v>
      </c>
      <c r="DD210" s="414">
        <f>'[4]побудинковий звіт'!DD210</f>
        <v>0</v>
      </c>
      <c r="DE210" s="557">
        <f>'[4]побудинковий звіт'!DE210</f>
        <v>4379.2351502687916</v>
      </c>
      <c r="DF210" s="557">
        <f>'[4]побудинковий звіт'!DF210</f>
        <v>0</v>
      </c>
      <c r="DG210" s="321">
        <f>VLOOKUP(A210,'кошти 01.03.2021'!$A$6:$D$401,4,)</f>
        <v>-5693.7725621153149</v>
      </c>
      <c r="DH210" s="40">
        <f>'[3]побудинковий звіт'!DJ210</f>
        <v>3395.15589196974</v>
      </c>
      <c r="DI210" s="422">
        <f>'[3]побудинковий звіт'!CU210+'[3]побудинковий звіт'!CX210</f>
        <v>297.73484973120827</v>
      </c>
      <c r="DJ210" s="306">
        <f>'[3]побудинковий звіт'!DM210</f>
        <v>1.6540824985067126</v>
      </c>
      <c r="DK210" s="306">
        <f>DJ210</f>
        <v>1.6540824985067126</v>
      </c>
      <c r="DL210" s="306">
        <f>'[3]побудинковий звіт'!DO210</f>
        <v>1.6540824985067126</v>
      </c>
      <c r="DM210" s="28">
        <f>F210*DJ210</f>
        <v>297.73484973120827</v>
      </c>
      <c r="DN210" s="28">
        <f>H210*DL210</f>
        <v>0</v>
      </c>
      <c r="DO210" s="423">
        <f t="shared" si="238"/>
        <v>297.73484973120827</v>
      </c>
      <c r="DP210" s="94">
        <f t="shared" si="239"/>
        <v>0</v>
      </c>
      <c r="DQ210" s="28">
        <f t="shared" si="240"/>
        <v>297.73484973120827</v>
      </c>
      <c r="DR210" s="318"/>
      <c r="DT210" s="8"/>
      <c r="DU210" s="5"/>
      <c r="DX210" s="5">
        <f t="shared" si="241"/>
        <v>0</v>
      </c>
      <c r="DY210" s="5">
        <f t="shared" si="242"/>
        <v>0</v>
      </c>
      <c r="DZ210" s="159">
        <f>'[3]побудинковий звіт'!EA210</f>
        <v>242.82025836509808</v>
      </c>
    </row>
    <row r="211" spans="1:130" x14ac:dyDescent="0.3">
      <c r="A211" s="325">
        <v>150000699</v>
      </c>
      <c r="B211" s="41" t="s">
        <v>659</v>
      </c>
      <c r="C211" s="42" t="s">
        <v>374</v>
      </c>
      <c r="D211" s="42"/>
      <c r="E211" s="293">
        <f t="shared" si="218"/>
        <v>4191.3999999999996</v>
      </c>
      <c r="F211" s="305">
        <f>'[3]побудинковий звіт'!F211</f>
        <v>4191.3999999999996</v>
      </c>
      <c r="G211" s="508">
        <f>'[3]побудинковий звіт'!G211</f>
        <v>468.7</v>
      </c>
      <c r="H211" s="560">
        <f>'[3]побудинковий звіт'!H211</f>
        <v>0</v>
      </c>
      <c r="I211" s="566">
        <f>VLOOKUP($A211,'01-02.2021'!$A$6:$CZ$403,9,FALSE)+VLOOKUP($A211,'1.3.21-28.2.22'!$A$6:$DA$404,9,FALSE)-VLOOKUP($A211,'01-02.2022'!$A$6:$DA$376,9,FALSE)</f>
        <v>12458.682824228827</v>
      </c>
      <c r="J211" s="566">
        <f>VLOOKUP($A211,'01-02.2021'!$A$6:$CZ$403,10,FALSE)+VLOOKUP($A211,'1.3.21-28.2.22'!$A$6:$DA$404,10,FALSE)-VLOOKUP($A211,'01-02.2022'!$A$6:$DA$376,10,FALSE)</f>
        <v>12229.43172899511</v>
      </c>
      <c r="K211" s="52">
        <f t="shared" si="222"/>
        <v>-229.25109523371611</v>
      </c>
      <c r="L211" s="566">
        <f>VLOOKUP($A211,'01-02.2021'!$A$6:$CZ$403,12,FALSE)+VLOOKUP($A211,'1.3.21-28.2.22'!$A$6:$DA$404,12,FALSE)-VLOOKUP($A211,'01-02.2022'!$A$6:$DA$376,12,FALSE)</f>
        <v>1689.2546681097801</v>
      </c>
      <c r="M211" s="566">
        <f>VLOOKUP($A211,'01-02.2021'!$A$6:$CZ$403,13,FALSE)+VLOOKUP($A211,'1.3.21-28.2.22'!$A$6:$DA$404,13,FALSE)-VLOOKUP($A211,'01-02.2022'!$A$6:$DA$376,13,FALSE)</f>
        <v>1686.643568950687</v>
      </c>
      <c r="N211" s="52">
        <f t="shared" si="223"/>
        <v>-2.6110991590931008</v>
      </c>
      <c r="O211" s="566">
        <f>VLOOKUP($A211,'01-02.2021'!$A$6:$CZ$403,15,FALSE)+VLOOKUP($A211,'1.3.21-28.2.22'!$A$6:$DA$404,15,FALSE)-VLOOKUP($A211,'01-02.2022'!$A$6:$DA$376,15,FALSE)</f>
        <v>5007.3024880519415</v>
      </c>
      <c r="P211" s="566">
        <f>VLOOKUP($A211,'01-02.2021'!$A$6:$CZ$403,16,FALSE)+VLOOKUP($A211,'1.3.21-28.2.22'!$A$6:$DA$404,16,FALSE)-VLOOKUP($A211,'01-02.2022'!$A$6:$DA$376,16,FALSE)</f>
        <v>5008.8266666666677</v>
      </c>
      <c r="Q211" s="70">
        <f t="shared" si="243"/>
        <v>1.5241786147262246</v>
      </c>
      <c r="R211" s="566">
        <f>VLOOKUP($A211,'01-02.2021'!$A$6:$CZ$403,18,FALSE)+VLOOKUP($A211,'1.3.21-28.2.22'!$A$6:$DA$404,18,FALSE)-VLOOKUP($A211,'01-02.2022'!$A$6:$DA$376,18,FALSE)</f>
        <v>1204.9230523829333</v>
      </c>
      <c r="S211" s="566">
        <f>VLOOKUP($A211,'01-02.2021'!$A$6:$CZ$403,19,FALSE)+VLOOKUP($A211,'1.3.21-28.2.22'!$A$6:$DA$404,19,FALSE)-VLOOKUP($A211,'01-02.2022'!$A$6:$DA$376,19,FALSE)</f>
        <v>1205.8000000000002</v>
      </c>
      <c r="T211" s="70">
        <f t="shared" si="244"/>
        <v>0.87694761706688951</v>
      </c>
      <c r="U211" s="566">
        <f>VLOOKUP($A211,'01-02.2021'!$A$6:$CZ$403,21,FALSE)+VLOOKUP($A211,'1.3.21-28.2.22'!$A$6:$DA$404,21,FALSE)-VLOOKUP($A211,'01-02.2022'!$A$6:$DA$376,21,FALSE)</f>
        <v>671.36656966572173</v>
      </c>
      <c r="V211" s="566">
        <f>VLOOKUP($A211,'01-02.2021'!$A$6:$CZ$403,22,FALSE)+VLOOKUP($A211,'1.3.21-28.2.22'!$A$6:$DA$404,22,FALSE)-VLOOKUP($A211,'01-02.2022'!$A$6:$DA$376,22,FALSE)</f>
        <v>570.57020852912501</v>
      </c>
      <c r="W211" s="70">
        <f t="shared" si="245"/>
        <v>-100.79636113659672</v>
      </c>
      <c r="X211" s="566">
        <f>VLOOKUP($A211,'01-02.2021'!$A$6:$CZ$403,24,FALSE)+VLOOKUP($A211,'1.3.21-28.2.22'!$A$6:$DA$404,24,FALSE)-VLOOKUP($A211,'01-02.2022'!$A$6:$DA$376,24,FALSE)</f>
        <v>5254.9890835915421</v>
      </c>
      <c r="Y211" s="566">
        <f>VLOOKUP($A211,'01-02.2021'!$A$6:$CZ$403,25,FALSE)+VLOOKUP($A211,'1.3.21-28.2.22'!$A$6:$DA$404,25,FALSE)-VLOOKUP($A211,'01-02.2022'!$A$6:$DA$376,25,FALSE)</f>
        <v>4531.6572696024396</v>
      </c>
      <c r="Z211" s="70">
        <f t="shared" si="246"/>
        <v>-723.33181398910256</v>
      </c>
      <c r="AA211" s="566">
        <f>VLOOKUP($A211,'01-02.2021'!$A$6:$CZ$403,27,FALSE)+VLOOKUP($A211,'1.3.21-28.2.22'!$A$6:$DA$404,27,FALSE)-VLOOKUP($A211,'01-02.2022'!$A$6:$DA$376,27,FALSE)</f>
        <v>838.12000000000012</v>
      </c>
      <c r="AB211" s="566">
        <f>VLOOKUP($A211,'01-02.2021'!$A$6:$CZ$403,28,FALSE)+VLOOKUP($A211,'1.3.21-28.2.22'!$A$6:$DA$404,28,FALSE)-VLOOKUP($A211,'01-02.2022'!$A$6:$DA$376,28,FALSE)</f>
        <v>0</v>
      </c>
      <c r="AC211" s="70">
        <f t="shared" si="247"/>
        <v>-838.12000000000012</v>
      </c>
      <c r="AD211" s="566">
        <f>VLOOKUP($A211,'01-02.2021'!$A$6:$CZ$403,30,FALSE)+VLOOKUP($A211,'1.3.21-28.2.22'!$A$6:$DA$404,30,FALSE)-VLOOKUP($A211,'01-02.2022'!$A$6:$DA$376,30,FALSE)</f>
        <v>18001.857922391333</v>
      </c>
      <c r="AE211" s="566">
        <f>VLOOKUP($A211,'01-02.2021'!$A$6:$CZ$403,31,FALSE)+VLOOKUP($A211,'1.3.21-28.2.22'!$A$6:$DA$404,31,FALSE)-VLOOKUP($A211,'01-02.2022'!$A$6:$DA$376,31,FALSE)</f>
        <v>19079.187584822543</v>
      </c>
      <c r="AF211" s="68">
        <f t="shared" si="248"/>
        <v>1077.3296624312097</v>
      </c>
      <c r="AG211" s="77">
        <f t="shared" si="219"/>
        <v>45126.49660842208</v>
      </c>
      <c r="AH211" s="53">
        <f t="shared" si="219"/>
        <v>44312.117027566565</v>
      </c>
      <c r="AI211" s="52">
        <f t="shared" si="224"/>
        <v>-814.37958085551509</v>
      </c>
      <c r="AJ211" s="566">
        <f>VLOOKUP($A211,'01-02.2021'!$A$6:$CZ$403,36,FALSE)+VLOOKUP($A211,'1.3.21-28.2.22'!$A$6:$DA$404,36,FALSE)-VLOOKUP($A211,'01-02.2022'!$A$6:$DA$376,36,FALSE)</f>
        <v>11489.063756752592</v>
      </c>
      <c r="AK211" s="566">
        <f>VLOOKUP($A211,'01-02.2021'!$A$6:$CZ$403,37,FALSE)+VLOOKUP($A211,'1.3.21-28.2.22'!$A$6:$DA$404,37,FALSE)-VLOOKUP($A211,'01-02.2022'!$A$6:$DA$376,37,FALSE)</f>
        <v>11413.750541585505</v>
      </c>
      <c r="AL211" s="70">
        <f t="shared" si="249"/>
        <v>-75.313215167087037</v>
      </c>
      <c r="AM211" s="566">
        <f>VLOOKUP($A211,'01-02.2021'!$A$6:$CZ$403,39,FALSE)+VLOOKUP($A211,'1.3.21-28.2.22'!$A$6:$DA$404,39,FALSE)-VLOOKUP($A211,'01-02.2022'!$A$6:$DA$376,39,FALSE)</f>
        <v>525.37471249999999</v>
      </c>
      <c r="AN211" s="566">
        <f>VLOOKUP($A211,'01-02.2021'!$A$6:$CZ$403,40,FALSE)+VLOOKUP($A211,'1.3.21-28.2.22'!$A$6:$DA$404,40,FALSE)-VLOOKUP($A211,'01-02.2022'!$A$6:$DA$376,40,FALSE)</f>
        <v>0</v>
      </c>
      <c r="AO211" s="70">
        <f t="shared" si="250"/>
        <v>-525.37471249999999</v>
      </c>
      <c r="AP211" s="566">
        <f>VLOOKUP($A211,'01-02.2021'!$A$6:$CZ$403,42,FALSE)+VLOOKUP($A211,'1.3.21-28.2.22'!$A$6:$DA$404,42,FALSE)-VLOOKUP($A211,'01-02.2022'!$A$6:$DA$376,42,FALSE)</f>
        <v>7417.9789314320797</v>
      </c>
      <c r="AQ211" s="566">
        <f>VLOOKUP($A211,'01-02.2021'!$A$6:$CZ$403,43,FALSE)+VLOOKUP($A211,'1.3.21-28.2.22'!$A$6:$DA$404,43,FALSE)-VLOOKUP($A211,'01-02.2022'!$A$6:$DA$376,43,FALSE)</f>
        <v>6332.3384389981584</v>
      </c>
      <c r="AR211" s="70">
        <f t="shared" si="251"/>
        <v>-1085.6404924339213</v>
      </c>
      <c r="AS211" s="566">
        <f>VLOOKUP($A211,'01-02.2021'!$A$6:$CZ$403,45,FALSE)+VLOOKUP($A211,'1.3.21-28.2.22'!$A$6:$DA$404,45,FALSE)-VLOOKUP($A211,'01-02.2022'!$A$6:$DA$376,45,FALSE)</f>
        <v>45779.946545448562</v>
      </c>
      <c r="AT211" s="566">
        <f>VLOOKUP($A211,'01-02.2021'!$A$6:$CZ$403,46,FALSE)+VLOOKUP($A211,'1.3.21-28.2.22'!$A$6:$DA$404,46,FALSE)-VLOOKUP($A211,'01-02.2022'!$A$6:$DA$376,46,FALSE)</f>
        <v>16998.827177755156</v>
      </c>
      <c r="AU211" s="78">
        <f t="shared" si="252"/>
        <v>-28781.119367693405</v>
      </c>
      <c r="AV211" s="566">
        <f>VLOOKUP($A211,'01-02.2021'!$A$6:$CZ$403,48,FALSE)+VLOOKUP($A211,'1.3.21-28.2.22'!$A$6:$DA$404,48,FALSE)-VLOOKUP($A211,'01-02.2022'!$A$6:$DA$376,48,FALSE)</f>
        <v>2644.9454536110238</v>
      </c>
      <c r="AW211" s="566">
        <f>VLOOKUP($A211,'01-02.2021'!$A$6:$CZ$403,49,FALSE)+VLOOKUP($A211,'1.3.21-28.2.22'!$A$6:$DA$404,49,FALSE)-VLOOKUP($A211,'01-02.2022'!$A$6:$DA$376,49,FALSE)</f>
        <v>3370</v>
      </c>
      <c r="AX211" s="55">
        <f t="shared" si="253"/>
        <v>725.05454638897618</v>
      </c>
      <c r="AY211" s="566">
        <f>VLOOKUP($A211,'01-02.2021'!$A$6:$CZ$403,51,FALSE)+VLOOKUP($A211,'1.3.21-28.2.22'!$A$6:$DA$404,51,FALSE)-VLOOKUP($A211,'01-02.2022'!$A$6:$DA$376,51,FALSE)</f>
        <v>2550.8187048432023</v>
      </c>
      <c r="AZ211" s="566">
        <f>VLOOKUP($A211,'01-02.2021'!$A$6:$CZ$403,52,FALSE)+VLOOKUP($A211,'1.3.21-28.2.22'!$A$6:$DA$404,52,FALSE)-VLOOKUP($A211,'01-02.2022'!$A$6:$DA$376,52,FALSE)</f>
        <v>10534</v>
      </c>
      <c r="BA211" s="38">
        <f t="shared" si="254"/>
        <v>7983.1812951567972</v>
      </c>
      <c r="BB211" s="566">
        <f>VLOOKUP($A211,'01-02.2021'!$A$6:$CZ$403,54,FALSE)+VLOOKUP($A211,'1.3.21-28.2.22'!$A$6:$DA$404,54,FALSE)-VLOOKUP($A211,'01-02.2022'!$A$6:$DA$376,54,FALSE)</f>
        <v>2089.5805565412384</v>
      </c>
      <c r="BC211" s="566">
        <f>VLOOKUP($A211,'01-02.2021'!$A$6:$CZ$403,55,FALSE)+VLOOKUP($A211,'1.3.21-28.2.22'!$A$6:$DA$404,55,FALSE)-VLOOKUP($A211,'01-02.2022'!$A$6:$DA$376,55,FALSE)</f>
        <v>7772</v>
      </c>
      <c r="BD211" s="55">
        <f t="shared" si="255"/>
        <v>5682.4194434587616</v>
      </c>
      <c r="BE211" s="566">
        <f>VLOOKUP($A211,'01-02.2021'!$A$6:$CZ$403,57,FALSE)+VLOOKUP($A211,'1.3.21-28.2.22'!$A$6:$DA$404,57,FALSE)-VLOOKUP($A211,'01-02.2022'!$A$6:$DA$376,57,FALSE)</f>
        <v>2745.9597497230011</v>
      </c>
      <c r="BF211" s="566">
        <f>VLOOKUP($A211,'01-02.2021'!$A$6:$CZ$403,58,FALSE)+VLOOKUP($A211,'1.3.21-28.2.22'!$A$6:$DA$404,58,FALSE)-VLOOKUP($A211,'01-02.2022'!$A$6:$DA$376,58,FALSE)</f>
        <v>4846</v>
      </c>
      <c r="BG211" s="55">
        <f t="shared" si="256"/>
        <v>2100.0402502769989</v>
      </c>
      <c r="BH211" s="566">
        <f>VLOOKUP($A211,'01-02.2021'!$A$6:$CZ$403,60,FALSE)+VLOOKUP($A211,'1.3.21-28.2.22'!$A$6:$DA$404,60,FALSE)-VLOOKUP($A211,'01-02.2022'!$A$6:$DA$376,60,FALSE)</f>
        <v>1275.6779514917541</v>
      </c>
      <c r="BI211" s="566">
        <f>VLOOKUP($A211,'01-02.2021'!$A$6:$CZ$403,61,FALSE)+VLOOKUP($A211,'1.3.21-28.2.22'!$A$6:$DA$404,61,FALSE)-VLOOKUP($A211,'01-02.2022'!$A$6:$DA$376,61,FALSE)</f>
        <v>0</v>
      </c>
      <c r="BJ211" s="55">
        <f t="shared" si="257"/>
        <v>-1275.6779514917541</v>
      </c>
      <c r="BK211" s="566">
        <f>VLOOKUP($A211,'01-02.2021'!$A$6:$CZ$403,63,FALSE)+VLOOKUP($A211,'1.3.21-28.2.22'!$A$6:$DA$404,63,FALSE)-VLOOKUP($A211,'01-02.2022'!$A$6:$DA$376,63,FALSE)</f>
        <v>1488.6345395088683</v>
      </c>
      <c r="BL211" s="566">
        <f>VLOOKUP($A211,'01-02.2021'!$A$6:$CZ$403,64,FALSE)+VLOOKUP($A211,'1.3.21-28.2.22'!$A$6:$DA$404,64,FALSE)-VLOOKUP($A211,'01-02.2022'!$A$6:$DA$376,64,FALSE)</f>
        <v>5719</v>
      </c>
      <c r="BM211" s="55">
        <f t="shared" si="258"/>
        <v>4230.3654604911317</v>
      </c>
      <c r="BN211" s="566">
        <f>VLOOKUP($A211,'01-02.2021'!$A$6:$CZ$403,66,FALSE)+VLOOKUP($A211,'1.3.21-28.2.22'!$A$6:$DA$404,66,FALSE)-VLOOKUP($A211,'01-02.2022'!$A$6:$DA$376,66,FALSE)</f>
        <v>209.53000000000003</v>
      </c>
      <c r="BO211" s="566">
        <f>VLOOKUP($A211,'01-02.2021'!$A$6:$CZ$403,67,FALSE)+VLOOKUP($A211,'1.3.21-28.2.22'!$A$6:$DA$404,67,FALSE)-VLOOKUP($A211,'01-02.2022'!$A$6:$DA$376,67,FALSE)</f>
        <v>0</v>
      </c>
      <c r="BP211" s="55">
        <f t="shared" si="259"/>
        <v>-209.53000000000003</v>
      </c>
      <c r="BQ211" s="77">
        <f t="shared" si="209"/>
        <v>13005.146955719089</v>
      </c>
      <c r="BR211" s="40">
        <f t="shared" si="237"/>
        <v>32241</v>
      </c>
      <c r="BS211" s="55">
        <f t="shared" si="236"/>
        <v>19235.853044280913</v>
      </c>
      <c r="BT211" s="566">
        <f>VLOOKUP($A211,'01-02.2021'!$A$6:$CZ$403,72,FALSE)+VLOOKUP($A211,'1.3.21-28.2.22'!$A$6:$DA$404,72,FALSE)-VLOOKUP($A211,'01-02.2022'!$A$6:$DA$376,72,FALSE)</f>
        <v>41698.648927355243</v>
      </c>
      <c r="BU211" s="566">
        <f>VLOOKUP($A211,'01-02.2021'!$A$6:$CZ$403,73,FALSE)+VLOOKUP($A211,'1.3.21-28.2.22'!$A$6:$DA$404,73,FALSE)-VLOOKUP($A211,'01-02.2022'!$A$6:$DA$376,73,FALSE)</f>
        <v>38070.911812436229</v>
      </c>
      <c r="BV211" s="70">
        <f t="shared" si="260"/>
        <v>-3627.7371149190149</v>
      </c>
      <c r="BW211" s="566">
        <f>VLOOKUP($A211,'01-02.2021'!$A$6:$CZ$403,75,FALSE)+VLOOKUP($A211,'1.3.21-28.2.22'!$A$6:$DA$404,75,FALSE)-VLOOKUP($A211,'01-02.2022'!$A$6:$DA$376,75,FALSE)</f>
        <v>45517.321919461989</v>
      </c>
      <c r="BX211" s="566">
        <f>VLOOKUP($A211,'01-02.2021'!$A$6:$CZ$403,76,FALSE)+VLOOKUP($A211,'1.3.21-28.2.22'!$A$6:$DA$404,76,FALSE)-VLOOKUP($A211,'01-02.2022'!$A$6:$DA$376,76,FALSE)</f>
        <v>44793.896544477313</v>
      </c>
      <c r="BY211" s="70">
        <f t="shared" si="261"/>
        <v>-723.42537498467573</v>
      </c>
      <c r="BZ211" s="566">
        <f>VLOOKUP($A211,'01-02.2021'!$A$6:$CZ$403,78,FALSE)+VLOOKUP($A211,'1.3.21-28.2.22'!$A$6:$DA$404,78,FALSE)-VLOOKUP($A211,'01-02.2022'!$A$6:$DA$376,78,FALSE)</f>
        <v>5529.6777564773301</v>
      </c>
      <c r="CA211" s="566">
        <f>VLOOKUP($A211,'01-02.2021'!$A$6:$CZ$403,79,FALSE)+VLOOKUP($A211,'1.3.21-28.2.22'!$A$6:$DA$404,79,FALSE)-VLOOKUP($A211,'01-02.2022'!$A$6:$DA$376,79,FALSE)</f>
        <v>7294.2080987611553</v>
      </c>
      <c r="CB211" s="70">
        <f t="shared" si="262"/>
        <v>1764.5303422838251</v>
      </c>
      <c r="CC211" s="566">
        <f>VLOOKUP($A211,'01-02.2021'!$A$6:$CZ$403,81,FALSE)+VLOOKUP($A211,'1.3.21-28.2.22'!$A$6:$DA$404,81,FALSE)-VLOOKUP($A211,'01-02.2022'!$A$6:$DA$376,81,FALSE)</f>
        <v>1583.6658921456417</v>
      </c>
      <c r="CD211" s="566">
        <f>VLOOKUP($A211,'01-02.2021'!$A$6:$CZ$403,82,FALSE)+VLOOKUP($A211,'1.3.21-28.2.22'!$A$6:$DA$404,82,FALSE)-VLOOKUP($A211,'01-02.2022'!$A$6:$DA$376,82,FALSE)</f>
        <v>1722.2736692914682</v>
      </c>
      <c r="CE211" s="70">
        <f t="shared" si="263"/>
        <v>138.6077771458265</v>
      </c>
      <c r="CF211" s="566">
        <f>VLOOKUP($A211,'01-02.2021'!$A$6:$CZ$403,84,FALSE)+VLOOKUP($A211,'1.3.21-28.2.22'!$A$6:$DA$404,84,FALSE)-VLOOKUP($A211,'01-02.2022'!$A$6:$DA$376,84,FALSE)</f>
        <v>191.56375016411772</v>
      </c>
      <c r="CG211" s="566">
        <f>VLOOKUP($A211,'01-02.2021'!$A$6:$CZ$403,85,FALSE)+VLOOKUP($A211,'1.3.21-28.2.22'!$A$6:$DA$404,85,FALSE)-VLOOKUP($A211,'01-02.2022'!$A$6:$DA$376,85,FALSE)</f>
        <v>0</v>
      </c>
      <c r="CH211" s="70">
        <f t="shared" si="264"/>
        <v>-191.56375016411772</v>
      </c>
      <c r="CI211" s="566">
        <f>VLOOKUP($A211,'01-02.2021'!$A$6:$CZ$403,87,FALSE)+VLOOKUP($A211,'1.3.21-28.2.22'!$A$6:$DA$404,87,FALSE)-VLOOKUP($A211,'01-02.2022'!$A$6:$DA$376,87,FALSE)</f>
        <v>21899.376391440783</v>
      </c>
      <c r="CJ211" s="566">
        <f>VLOOKUP($A211,'01-02.2021'!$A$6:$CZ$403,88,FALSE)+VLOOKUP($A211,'1.3.21-28.2.22'!$A$6:$DA$404,88,FALSE)-VLOOKUP($A211,'01-02.2022'!$A$6:$DA$376,88,FALSE)</f>
        <v>22075.967563862181</v>
      </c>
      <c r="CK211" s="70">
        <f t="shared" si="265"/>
        <v>176.59117242139837</v>
      </c>
      <c r="CL211" s="566">
        <f>VLOOKUP($A211,'01-02.2021'!$A$6:$CZ$403,90,FALSE)+VLOOKUP($A211,'1.3.21-28.2.22'!$A$6:$DA$404,90,FALSE)-VLOOKUP($A211,'01-02.2022'!$A$6:$DA$376,90,FALSE)</f>
        <v>8685.2087903662959</v>
      </c>
      <c r="CM211" s="566">
        <f>VLOOKUP($A211,'01-02.2021'!$A$6:$CZ$403,91,FALSE)+VLOOKUP($A211,'1.3.21-28.2.22'!$A$6:$DA$404,91,FALSE)-VLOOKUP($A211,'01-02.2022'!$A$6:$DA$376,91,FALSE)</f>
        <v>7459.4874045225497</v>
      </c>
      <c r="CN211" s="52">
        <f t="shared" si="225"/>
        <v>-1225.7213858437462</v>
      </c>
      <c r="CO211" s="39">
        <f t="shared" si="220"/>
        <v>30584.585181807081</v>
      </c>
      <c r="CP211" s="40">
        <f t="shared" si="226"/>
        <v>29535.454968384729</v>
      </c>
      <c r="CQ211" s="52">
        <f t="shared" si="227"/>
        <v>-1049.1302134223515</v>
      </c>
      <c r="CR211" s="72">
        <f t="shared" si="221"/>
        <v>248449.47093768584</v>
      </c>
      <c r="CS211" s="5">
        <f t="shared" si="221"/>
        <v>232714.77827925628</v>
      </c>
      <c r="CT211" s="52">
        <f t="shared" si="228"/>
        <v>-15734.692658429558</v>
      </c>
      <c r="CU211" s="77">
        <f t="shared" si="229"/>
        <v>298139.365125223</v>
      </c>
      <c r="CV211" s="65">
        <f t="shared" si="230"/>
        <v>279257.73393510754</v>
      </c>
      <c r="CW211" s="35">
        <f t="shared" si="231"/>
        <v>-18881.63119011547</v>
      </c>
      <c r="CX211" s="566">
        <f>VLOOKUP($A211,'01-02.2021'!$A$6:$CZ$403,102,FALSE)+VLOOKUP($A211,'1.3.21-28.2.22'!$A$6:$DA$404,102,FALSE)-VLOOKUP($A211,'01-02.2022'!$A$6:$DA$376,102,FALSE)</f>
        <v>8511.0206676569287</v>
      </c>
      <c r="CY211" s="566">
        <f>VLOOKUP($A211,'01-02.2021'!$A$6:$CZ$403,103,FALSE)+VLOOKUP($A211,'1.3.21-28.2.22'!$A$6:$DA$404,103,FALSE)-VLOOKUP($A211,'01-02.2022'!$A$6:$DA$376,103,FALSE)</f>
        <v>27392.651857772333</v>
      </c>
      <c r="CZ211" s="52">
        <f t="shared" si="232"/>
        <v>18881.631190115404</v>
      </c>
      <c r="DA211" s="150">
        <f>'[2]побудинковий звіт'!DA211</f>
        <v>255569.00776069402</v>
      </c>
      <c r="DB211" s="2">
        <v>3</v>
      </c>
      <c r="DC211" s="414">
        <f>'[4]побудинковий звіт'!DC211</f>
        <v>70736.41</v>
      </c>
      <c r="DD211" s="414">
        <f>'[4]побудинковий звіт'!DD211</f>
        <v>0</v>
      </c>
      <c r="DE211" s="557">
        <f>'[4]побудинковий звіт'!DE211</f>
        <v>43089.539809098351</v>
      </c>
      <c r="DF211" s="557">
        <f>'[4]побудинковий звіт'!DF211</f>
        <v>0</v>
      </c>
      <c r="DG211" s="321">
        <f>VLOOKUP(A211,'кошти 01.03.2021'!$A$6:$D$401,4,)</f>
        <v>282183.83385024278</v>
      </c>
      <c r="DH211" s="40">
        <f>'[3]побудинковий звіт'!DJ211</f>
        <v>316531.11192419578</v>
      </c>
      <c r="DI211" s="422">
        <f>'[3]побудинковий звіт'!CU211+'[3]побудинковий звіт'!CX211</f>
        <v>27646.870190901649</v>
      </c>
      <c r="DJ211" s="306">
        <f>'[3]побудинковий звіт'!DM211</f>
        <v>6.0879806508452941</v>
      </c>
      <c r="DK211" s="306">
        <f>'[3]побудинковий звіт'!DN211</f>
        <v>6.6600676014318809</v>
      </c>
      <c r="DL211" s="306">
        <f>'[3]побудинковий звіт'!DO211</f>
        <v>4.7380400447763327</v>
      </c>
      <c r="DM211" s="28">
        <f>DJ211*G211+(F211-G211)*DK211</f>
        <v>27646.870190901653</v>
      </c>
      <c r="DN211" s="28">
        <f>DL211*H211</f>
        <v>0</v>
      </c>
      <c r="DO211" s="423">
        <f t="shared" si="238"/>
        <v>27646.870190901653</v>
      </c>
      <c r="DP211" s="94">
        <f t="shared" si="239"/>
        <v>0</v>
      </c>
      <c r="DQ211" s="28">
        <f t="shared" si="240"/>
        <v>27646.870190901653</v>
      </c>
      <c r="DR211" s="318"/>
      <c r="DT211" s="8"/>
      <c r="DU211" s="5"/>
      <c r="DX211" s="5">
        <f t="shared" si="241"/>
        <v>70542.112201401178</v>
      </c>
      <c r="DY211" s="5">
        <f t="shared" si="242"/>
        <v>59087.792613306185</v>
      </c>
      <c r="DZ211" s="159">
        <f>'[3]побудинковий звіт'!EA211</f>
        <v>6580.3179024072224</v>
      </c>
    </row>
    <row r="212" spans="1:130" x14ac:dyDescent="0.3">
      <c r="A212" s="325">
        <v>150000928</v>
      </c>
      <c r="B212" s="41" t="s">
        <v>660</v>
      </c>
      <c r="C212" s="42" t="s">
        <v>170</v>
      </c>
      <c r="D212" s="42"/>
      <c r="E212" s="293">
        <f t="shared" si="218"/>
        <v>479.2</v>
      </c>
      <c r="F212" s="305">
        <f>'[3]побудинковий звіт'!F212</f>
        <v>234.6</v>
      </c>
      <c r="G212" s="508">
        <f>'[3]побудинковий звіт'!G212</f>
        <v>0</v>
      </c>
      <c r="H212" s="560">
        <f>'[3]побудинковий звіт'!H212</f>
        <v>244.6</v>
      </c>
      <c r="I212" s="566">
        <f>VLOOKUP($A212,'01-02.2021'!$A$6:$CZ$403,9,FALSE)+VLOOKUP($A212,'1.3.21-28.2.22'!$A$6:$DA$404,9,FALSE)-VLOOKUP($A212,'01-02.2022'!$A$6:$DA$376,9,FALSE)</f>
        <v>2384.4521293633134</v>
      </c>
      <c r="J212" s="566">
        <f>VLOOKUP($A212,'01-02.2021'!$A$6:$CZ$403,10,FALSE)+VLOOKUP($A212,'1.3.21-28.2.22'!$A$6:$DA$404,10,FALSE)-VLOOKUP($A212,'01-02.2022'!$A$6:$DA$376,10,FALSE)</f>
        <v>2562.039064901137</v>
      </c>
      <c r="K212" s="52">
        <f t="shared" si="222"/>
        <v>177.58693553782359</v>
      </c>
      <c r="L212" s="566">
        <f>VLOOKUP($A212,'01-02.2021'!$A$6:$CZ$403,12,FALSE)+VLOOKUP($A212,'1.3.21-28.2.22'!$A$6:$DA$404,12,FALSE)-VLOOKUP($A212,'01-02.2022'!$A$6:$DA$376,12,FALSE)</f>
        <v>546.52136904026156</v>
      </c>
      <c r="M212" s="566">
        <f>VLOOKUP($A212,'01-02.2021'!$A$6:$CZ$403,13,FALSE)+VLOOKUP($A212,'1.3.21-28.2.22'!$A$6:$DA$404,13,FALSE)-VLOOKUP($A212,'01-02.2022'!$A$6:$DA$376,13,FALSE)</f>
        <v>601.74208705088881</v>
      </c>
      <c r="N212" s="52">
        <f t="shared" si="223"/>
        <v>55.220718010627252</v>
      </c>
      <c r="O212" s="566">
        <f>VLOOKUP($A212,'01-02.2021'!$A$6:$CZ$403,15,FALSE)+VLOOKUP($A212,'1.3.21-28.2.22'!$A$6:$DA$404,15,FALSE)-VLOOKUP($A212,'01-02.2022'!$A$6:$DA$376,15,FALSE)</f>
        <v>598.0573608937334</v>
      </c>
      <c r="P212" s="566">
        <f>VLOOKUP($A212,'01-02.2021'!$A$6:$CZ$403,16,FALSE)+VLOOKUP($A212,'1.3.21-28.2.22'!$A$6:$DA$404,16,FALSE)-VLOOKUP($A212,'01-02.2022'!$A$6:$DA$376,16,FALSE)</f>
        <v>598.04</v>
      </c>
      <c r="Q212" s="70">
        <f t="shared" si="243"/>
        <v>-1.7360893733439298E-2</v>
      </c>
      <c r="R212" s="566">
        <f>VLOOKUP($A212,'01-02.2021'!$A$6:$CZ$403,18,FALSE)+VLOOKUP($A212,'1.3.21-28.2.22'!$A$6:$DA$404,18,FALSE)-VLOOKUP($A212,'01-02.2022'!$A$6:$DA$376,18,FALSE)</f>
        <v>0</v>
      </c>
      <c r="S212" s="566">
        <f>VLOOKUP($A212,'01-02.2021'!$A$6:$CZ$403,19,FALSE)+VLOOKUP($A212,'1.3.21-28.2.22'!$A$6:$DA$404,19,FALSE)-VLOOKUP($A212,'01-02.2022'!$A$6:$DA$376,19,FALSE)</f>
        <v>0</v>
      </c>
      <c r="T212" s="70">
        <f t="shared" si="244"/>
        <v>0</v>
      </c>
      <c r="U212" s="566">
        <f>VLOOKUP($A212,'01-02.2021'!$A$6:$CZ$403,21,FALSE)+VLOOKUP($A212,'1.3.21-28.2.22'!$A$6:$DA$404,21,FALSE)-VLOOKUP($A212,'01-02.2022'!$A$6:$DA$376,21,FALSE)</f>
        <v>0</v>
      </c>
      <c r="V212" s="566">
        <f>VLOOKUP($A212,'01-02.2021'!$A$6:$CZ$403,22,FALSE)+VLOOKUP($A212,'1.3.21-28.2.22'!$A$6:$DA$404,22,FALSE)-VLOOKUP($A212,'01-02.2022'!$A$6:$DA$376,22,FALSE)</f>
        <v>0</v>
      </c>
      <c r="W212" s="70">
        <f t="shared" si="245"/>
        <v>0</v>
      </c>
      <c r="X212" s="566">
        <f>VLOOKUP($A212,'01-02.2021'!$A$6:$CZ$403,24,FALSE)+VLOOKUP($A212,'1.3.21-28.2.22'!$A$6:$DA$404,24,FALSE)-VLOOKUP($A212,'01-02.2022'!$A$6:$DA$376,24,FALSE)</f>
        <v>1030.561537846183</v>
      </c>
      <c r="Y212" s="566">
        <f>VLOOKUP($A212,'01-02.2021'!$A$6:$CZ$403,25,FALSE)+VLOOKUP($A212,'1.3.21-28.2.22'!$A$6:$DA$404,25,FALSE)-VLOOKUP($A212,'01-02.2022'!$A$6:$DA$376,25,FALSE)</f>
        <v>955.86018995053826</v>
      </c>
      <c r="Z212" s="70">
        <f t="shared" si="246"/>
        <v>-74.701347895644744</v>
      </c>
      <c r="AA212" s="566">
        <f>VLOOKUP($A212,'01-02.2021'!$A$6:$CZ$403,27,FALSE)+VLOOKUP($A212,'1.3.21-28.2.22'!$A$6:$DA$404,27,FALSE)-VLOOKUP($A212,'01-02.2022'!$A$6:$DA$376,27,FALSE)</f>
        <v>96.12</v>
      </c>
      <c r="AB212" s="566">
        <f>VLOOKUP($A212,'01-02.2021'!$A$6:$CZ$403,28,FALSE)+VLOOKUP($A212,'1.3.21-28.2.22'!$A$6:$DA$404,28,FALSE)-VLOOKUP($A212,'01-02.2022'!$A$6:$DA$376,28,FALSE)</f>
        <v>0</v>
      </c>
      <c r="AC212" s="70">
        <f t="shared" si="247"/>
        <v>-96.12</v>
      </c>
      <c r="AD212" s="566">
        <f>VLOOKUP($A212,'01-02.2021'!$A$6:$CZ$403,30,FALSE)+VLOOKUP($A212,'1.3.21-28.2.22'!$A$6:$DA$404,30,FALSE)-VLOOKUP($A212,'01-02.2022'!$A$6:$DA$376,30,FALSE)</f>
        <v>2042.5139883431123</v>
      </c>
      <c r="AE212" s="566">
        <f>VLOOKUP($A212,'01-02.2021'!$A$6:$CZ$403,31,FALSE)+VLOOKUP($A212,'1.3.21-28.2.22'!$A$6:$DA$404,31,FALSE)-VLOOKUP($A212,'01-02.2022'!$A$6:$DA$376,31,FALSE)</f>
        <v>2181.3377080463706</v>
      </c>
      <c r="AF212" s="68">
        <f t="shared" si="248"/>
        <v>138.82371970325835</v>
      </c>
      <c r="AG212" s="77">
        <f t="shared" si="219"/>
        <v>6698.2263854866032</v>
      </c>
      <c r="AH212" s="53">
        <f t="shared" si="219"/>
        <v>6899.0190499489345</v>
      </c>
      <c r="AI212" s="52">
        <f t="shared" si="224"/>
        <v>200.79266446233123</v>
      </c>
      <c r="AJ212" s="566">
        <f>VLOOKUP($A212,'01-02.2021'!$A$6:$CZ$403,36,FALSE)+VLOOKUP($A212,'1.3.21-28.2.22'!$A$6:$DA$404,36,FALSE)-VLOOKUP($A212,'01-02.2022'!$A$6:$DA$376,36,FALSE)</f>
        <v>0</v>
      </c>
      <c r="AK212" s="566">
        <f>VLOOKUP($A212,'01-02.2021'!$A$6:$CZ$403,37,FALSE)+VLOOKUP($A212,'1.3.21-28.2.22'!$A$6:$DA$404,37,FALSE)-VLOOKUP($A212,'01-02.2022'!$A$6:$DA$376,37,FALSE)</f>
        <v>0</v>
      </c>
      <c r="AL212" s="70">
        <f t="shared" si="249"/>
        <v>0</v>
      </c>
      <c r="AM212" s="566">
        <f>VLOOKUP($A212,'01-02.2021'!$A$6:$CZ$403,39,FALSE)+VLOOKUP($A212,'1.3.21-28.2.22'!$A$6:$DA$404,39,FALSE)-VLOOKUP($A212,'01-02.2022'!$A$6:$DA$376,39,FALSE)</f>
        <v>0</v>
      </c>
      <c r="AN212" s="566">
        <f>VLOOKUP($A212,'01-02.2021'!$A$6:$CZ$403,40,FALSE)+VLOOKUP($A212,'1.3.21-28.2.22'!$A$6:$DA$404,40,FALSE)-VLOOKUP($A212,'01-02.2022'!$A$6:$DA$376,40,FALSE)</f>
        <v>0</v>
      </c>
      <c r="AO212" s="70">
        <f t="shared" si="250"/>
        <v>0</v>
      </c>
      <c r="AP212" s="566">
        <f>VLOOKUP($A212,'01-02.2021'!$A$6:$CZ$403,42,FALSE)+VLOOKUP($A212,'1.3.21-28.2.22'!$A$6:$DA$404,42,FALSE)-VLOOKUP($A212,'01-02.2022'!$A$6:$DA$376,42,FALSE)</f>
        <v>650.699906265972</v>
      </c>
      <c r="AQ212" s="566">
        <f>VLOOKUP($A212,'01-02.2021'!$A$6:$CZ$403,43,FALSE)+VLOOKUP($A212,'1.3.21-28.2.22'!$A$6:$DA$404,43,FALSE)-VLOOKUP($A212,'01-02.2022'!$A$6:$DA$376,43,FALSE)</f>
        <v>848.00812475527096</v>
      </c>
      <c r="AR212" s="70">
        <f t="shared" si="251"/>
        <v>197.30821848929895</v>
      </c>
      <c r="AS212" s="566">
        <f>VLOOKUP($A212,'01-02.2021'!$A$6:$CZ$403,45,FALSE)+VLOOKUP($A212,'1.3.21-28.2.22'!$A$6:$DA$404,45,FALSE)-VLOOKUP($A212,'01-02.2022'!$A$6:$DA$376,45,FALSE)</f>
        <v>5481.6227253655852</v>
      </c>
      <c r="AT212" s="566">
        <f>VLOOKUP($A212,'01-02.2021'!$A$6:$CZ$403,46,FALSE)+VLOOKUP($A212,'1.3.21-28.2.22'!$A$6:$DA$404,46,FALSE)-VLOOKUP($A212,'01-02.2022'!$A$6:$DA$376,46,FALSE)</f>
        <v>2266</v>
      </c>
      <c r="AU212" s="78">
        <f t="shared" si="252"/>
        <v>-3215.6227253655852</v>
      </c>
      <c r="AV212" s="566">
        <f>VLOOKUP($A212,'01-02.2021'!$A$6:$CZ$403,48,FALSE)+VLOOKUP($A212,'1.3.21-28.2.22'!$A$6:$DA$404,48,FALSE)-VLOOKUP($A212,'01-02.2022'!$A$6:$DA$376,48,FALSE)</f>
        <v>766.54712082270794</v>
      </c>
      <c r="AW212" s="566">
        <f>VLOOKUP($A212,'01-02.2021'!$A$6:$CZ$403,49,FALSE)+VLOOKUP($A212,'1.3.21-28.2.22'!$A$6:$DA$404,49,FALSE)-VLOOKUP($A212,'01-02.2022'!$A$6:$DA$376,49,FALSE)</f>
        <v>0</v>
      </c>
      <c r="AX212" s="55">
        <f t="shared" si="253"/>
        <v>-766.54712082270794</v>
      </c>
      <c r="AY212" s="566">
        <f>VLOOKUP($A212,'01-02.2021'!$A$6:$CZ$403,51,FALSE)+VLOOKUP($A212,'1.3.21-28.2.22'!$A$6:$DA$404,51,FALSE)-VLOOKUP($A212,'01-02.2022'!$A$6:$DA$376,51,FALSE)</f>
        <v>1027.4849235533175</v>
      </c>
      <c r="AZ212" s="566">
        <f>VLOOKUP($A212,'01-02.2021'!$A$6:$CZ$403,52,FALSE)+VLOOKUP($A212,'1.3.21-28.2.22'!$A$6:$DA$404,52,FALSE)-VLOOKUP($A212,'01-02.2022'!$A$6:$DA$376,52,FALSE)</f>
        <v>0</v>
      </c>
      <c r="BA212" s="38">
        <f t="shared" si="254"/>
        <v>-1027.4849235533175</v>
      </c>
      <c r="BB212" s="566">
        <f>VLOOKUP($A212,'01-02.2021'!$A$6:$CZ$403,54,FALSE)+VLOOKUP($A212,'1.3.21-28.2.22'!$A$6:$DA$404,54,FALSE)-VLOOKUP($A212,'01-02.2022'!$A$6:$DA$376,54,FALSE)</f>
        <v>245.93440933030541</v>
      </c>
      <c r="BC212" s="566">
        <f>VLOOKUP($A212,'01-02.2021'!$A$6:$CZ$403,55,FALSE)+VLOOKUP($A212,'1.3.21-28.2.22'!$A$6:$DA$404,55,FALSE)-VLOOKUP($A212,'01-02.2022'!$A$6:$DA$376,55,FALSE)</f>
        <v>0</v>
      </c>
      <c r="BD212" s="55">
        <f t="shared" si="255"/>
        <v>-245.93440933030541</v>
      </c>
      <c r="BE212" s="566">
        <f>VLOOKUP($A212,'01-02.2021'!$A$6:$CZ$403,57,FALSE)+VLOOKUP($A212,'1.3.21-28.2.22'!$A$6:$DA$404,57,FALSE)-VLOOKUP($A212,'01-02.2022'!$A$6:$DA$376,57,FALSE)</f>
        <v>0</v>
      </c>
      <c r="BF212" s="566">
        <f>VLOOKUP($A212,'01-02.2021'!$A$6:$CZ$403,58,FALSE)+VLOOKUP($A212,'1.3.21-28.2.22'!$A$6:$DA$404,58,FALSE)-VLOOKUP($A212,'01-02.2022'!$A$6:$DA$376,58,FALSE)</f>
        <v>0</v>
      </c>
      <c r="BG212" s="55">
        <f t="shared" si="256"/>
        <v>0</v>
      </c>
      <c r="BH212" s="566">
        <f>VLOOKUP($A212,'01-02.2021'!$A$6:$CZ$403,60,FALSE)+VLOOKUP($A212,'1.3.21-28.2.22'!$A$6:$DA$404,60,FALSE)-VLOOKUP($A212,'01-02.2022'!$A$6:$DA$376,60,FALSE)</f>
        <v>0</v>
      </c>
      <c r="BI212" s="566">
        <f>VLOOKUP($A212,'01-02.2021'!$A$6:$CZ$403,61,FALSE)+VLOOKUP($A212,'1.3.21-28.2.22'!$A$6:$DA$404,61,FALSE)-VLOOKUP($A212,'01-02.2022'!$A$6:$DA$376,61,FALSE)</f>
        <v>0</v>
      </c>
      <c r="BJ212" s="55">
        <f t="shared" si="257"/>
        <v>0</v>
      </c>
      <c r="BK212" s="566">
        <f>VLOOKUP($A212,'01-02.2021'!$A$6:$CZ$403,63,FALSE)+VLOOKUP($A212,'1.3.21-28.2.22'!$A$6:$DA$404,63,FALSE)-VLOOKUP($A212,'01-02.2022'!$A$6:$DA$376,63,FALSE)</f>
        <v>104.41205811104427</v>
      </c>
      <c r="BL212" s="566">
        <f>VLOOKUP($A212,'01-02.2021'!$A$6:$CZ$403,64,FALSE)+VLOOKUP($A212,'1.3.21-28.2.22'!$A$6:$DA$404,64,FALSE)-VLOOKUP($A212,'01-02.2022'!$A$6:$DA$376,64,FALSE)</f>
        <v>704</v>
      </c>
      <c r="BM212" s="55">
        <f t="shared" si="258"/>
        <v>599.5879418889557</v>
      </c>
      <c r="BN212" s="566">
        <f>VLOOKUP($A212,'01-02.2021'!$A$6:$CZ$403,66,FALSE)+VLOOKUP($A212,'1.3.21-28.2.22'!$A$6:$DA$404,66,FALSE)-VLOOKUP($A212,'01-02.2022'!$A$6:$DA$376,66,FALSE)</f>
        <v>24.03</v>
      </c>
      <c r="BO212" s="566">
        <f>VLOOKUP($A212,'01-02.2021'!$A$6:$CZ$403,67,FALSE)+VLOOKUP($A212,'1.3.21-28.2.22'!$A$6:$DA$404,67,FALSE)-VLOOKUP($A212,'01-02.2022'!$A$6:$DA$376,67,FALSE)</f>
        <v>0</v>
      </c>
      <c r="BP212" s="55">
        <f t="shared" si="259"/>
        <v>-24.03</v>
      </c>
      <c r="BQ212" s="77">
        <f t="shared" si="209"/>
        <v>2168.4085118173753</v>
      </c>
      <c r="BR212" s="40">
        <f t="shared" si="237"/>
        <v>704</v>
      </c>
      <c r="BS212" s="55">
        <f t="shared" si="236"/>
        <v>-1464.4085118173753</v>
      </c>
      <c r="BT212" s="566">
        <f>VLOOKUP($A212,'01-02.2021'!$A$6:$CZ$403,72,FALSE)+VLOOKUP($A212,'1.3.21-28.2.22'!$A$6:$DA$404,72,FALSE)-VLOOKUP($A212,'01-02.2022'!$A$6:$DA$376,72,FALSE)</f>
        <v>5224.6163585307049</v>
      </c>
      <c r="BU212" s="566">
        <f>VLOOKUP($A212,'01-02.2021'!$A$6:$CZ$403,73,FALSE)+VLOOKUP($A212,'1.3.21-28.2.22'!$A$6:$DA$404,73,FALSE)-VLOOKUP($A212,'01-02.2022'!$A$6:$DA$376,73,FALSE)</f>
        <v>6118.4353641180987</v>
      </c>
      <c r="BV212" s="70">
        <f t="shared" si="260"/>
        <v>893.8190055873938</v>
      </c>
      <c r="BW212" s="566">
        <f>VLOOKUP($A212,'01-02.2021'!$A$6:$CZ$403,75,FALSE)+VLOOKUP($A212,'1.3.21-28.2.22'!$A$6:$DA$404,75,FALSE)-VLOOKUP($A212,'01-02.2022'!$A$6:$DA$376,75,FALSE)</f>
        <v>2515.6976066687885</v>
      </c>
      <c r="BX212" s="566">
        <f>VLOOKUP($A212,'01-02.2021'!$A$6:$CZ$403,76,FALSE)+VLOOKUP($A212,'1.3.21-28.2.22'!$A$6:$DA$404,76,FALSE)-VLOOKUP($A212,'01-02.2022'!$A$6:$DA$376,76,FALSE)</f>
        <v>3205.7188358933327</v>
      </c>
      <c r="BY212" s="70">
        <f t="shared" si="261"/>
        <v>690.02122922454419</v>
      </c>
      <c r="BZ212" s="566">
        <f>VLOOKUP($A212,'01-02.2021'!$A$6:$CZ$403,78,FALSE)+VLOOKUP($A212,'1.3.21-28.2.22'!$A$6:$DA$404,78,FALSE)-VLOOKUP($A212,'01-02.2022'!$A$6:$DA$376,78,FALSE)</f>
        <v>1922.9121278775938</v>
      </c>
      <c r="CA212" s="566">
        <f>VLOOKUP($A212,'01-02.2021'!$A$6:$CZ$403,79,FALSE)+VLOOKUP($A212,'1.3.21-28.2.22'!$A$6:$DA$404,79,FALSE)-VLOOKUP($A212,'01-02.2022'!$A$6:$DA$376,79,FALSE)</f>
        <v>1280.0108707559107</v>
      </c>
      <c r="CB212" s="70">
        <f t="shared" si="262"/>
        <v>-642.9012571216831</v>
      </c>
      <c r="CC212" s="566">
        <f>VLOOKUP($A212,'01-02.2021'!$A$6:$CZ$403,81,FALSE)+VLOOKUP($A212,'1.3.21-28.2.22'!$A$6:$DA$404,81,FALSE)-VLOOKUP($A212,'01-02.2022'!$A$6:$DA$376,81,FALSE)</f>
        <v>0</v>
      </c>
      <c r="CD212" s="566">
        <f>VLOOKUP($A212,'01-02.2021'!$A$6:$CZ$403,82,FALSE)+VLOOKUP($A212,'1.3.21-28.2.22'!$A$6:$DA$404,82,FALSE)-VLOOKUP($A212,'01-02.2022'!$A$6:$DA$376,82,FALSE)</f>
        <v>0</v>
      </c>
      <c r="CE212" s="70">
        <f t="shared" si="263"/>
        <v>0</v>
      </c>
      <c r="CF212" s="566">
        <f>VLOOKUP($A212,'01-02.2021'!$A$6:$CZ$403,84,FALSE)+VLOOKUP($A212,'1.3.21-28.2.22'!$A$6:$DA$404,84,FALSE)-VLOOKUP($A212,'01-02.2022'!$A$6:$DA$376,84,FALSE)</f>
        <v>0</v>
      </c>
      <c r="CG212" s="566">
        <f>VLOOKUP($A212,'01-02.2021'!$A$6:$CZ$403,85,FALSE)+VLOOKUP($A212,'1.3.21-28.2.22'!$A$6:$DA$404,85,FALSE)-VLOOKUP($A212,'01-02.2022'!$A$6:$DA$376,85,FALSE)</f>
        <v>0</v>
      </c>
      <c r="CH212" s="70">
        <f t="shared" si="264"/>
        <v>0</v>
      </c>
      <c r="CI212" s="566">
        <f>VLOOKUP($A212,'01-02.2021'!$A$6:$CZ$403,87,FALSE)+VLOOKUP($A212,'1.3.21-28.2.22'!$A$6:$DA$404,87,FALSE)-VLOOKUP($A212,'01-02.2022'!$A$6:$DA$376,87,FALSE)</f>
        <v>1379.0778176681038</v>
      </c>
      <c r="CJ212" s="566">
        <f>VLOOKUP($A212,'01-02.2021'!$A$6:$CZ$403,88,FALSE)+VLOOKUP($A212,'1.3.21-28.2.22'!$A$6:$DA$404,88,FALSE)-VLOOKUP($A212,'01-02.2022'!$A$6:$DA$376,88,FALSE)</f>
        <v>1319.0967152142421</v>
      </c>
      <c r="CK212" s="70">
        <f t="shared" si="265"/>
        <v>-59.981102453861695</v>
      </c>
      <c r="CL212" s="566">
        <f>VLOOKUP($A212,'01-02.2021'!$A$6:$CZ$403,90,FALSE)+VLOOKUP($A212,'1.3.21-28.2.22'!$A$6:$DA$404,90,FALSE)-VLOOKUP($A212,'01-02.2022'!$A$6:$DA$376,90,FALSE)</f>
        <v>0</v>
      </c>
      <c r="CM212" s="566">
        <f>VLOOKUP($A212,'01-02.2021'!$A$6:$CZ$403,91,FALSE)+VLOOKUP($A212,'1.3.21-28.2.22'!$A$6:$DA$404,91,FALSE)-VLOOKUP($A212,'01-02.2022'!$A$6:$DA$376,91,FALSE)</f>
        <v>0</v>
      </c>
      <c r="CN212" s="52">
        <f t="shared" si="225"/>
        <v>0</v>
      </c>
      <c r="CO212" s="39">
        <f t="shared" si="220"/>
        <v>1379.0778176681038</v>
      </c>
      <c r="CP212" s="40">
        <f t="shared" si="226"/>
        <v>1319.0967152142421</v>
      </c>
      <c r="CQ212" s="52">
        <f t="shared" si="227"/>
        <v>-59.981102453861695</v>
      </c>
      <c r="CR212" s="72">
        <f t="shared" si="221"/>
        <v>26041.261439680729</v>
      </c>
      <c r="CS212" s="5">
        <f t="shared" si="221"/>
        <v>22640.288960685793</v>
      </c>
      <c r="CT212" s="52">
        <f t="shared" si="228"/>
        <v>-3400.972478994936</v>
      </c>
      <c r="CU212" s="77">
        <f t="shared" si="229"/>
        <v>31249.513727616875</v>
      </c>
      <c r="CV212" s="65">
        <f t="shared" si="230"/>
        <v>27168.346752822952</v>
      </c>
      <c r="CW212" s="35">
        <f t="shared" si="231"/>
        <v>-4081.1669747939231</v>
      </c>
      <c r="CX212" s="566">
        <f>VLOOKUP($A212,'01-02.2021'!$A$6:$CZ$403,102,FALSE)+VLOOKUP($A212,'1.3.21-28.2.22'!$A$6:$DA$404,102,FALSE)-VLOOKUP($A212,'01-02.2022'!$A$6:$DA$376,102,FALSE)</f>
        <v>897.62550516611554</v>
      </c>
      <c r="CY212" s="566">
        <f>VLOOKUP($A212,'01-02.2021'!$A$6:$CZ$403,103,FALSE)+VLOOKUP($A212,'1.3.21-28.2.22'!$A$6:$DA$404,103,FALSE)-VLOOKUP($A212,'01-02.2022'!$A$6:$DA$376,103,FALSE)</f>
        <v>4978.7924799600369</v>
      </c>
      <c r="CZ212" s="52">
        <f t="shared" si="232"/>
        <v>4081.1669747939213</v>
      </c>
      <c r="DA212" s="150">
        <f>'[2]побудинковий звіт'!DA212</f>
        <v>16313.003271724141</v>
      </c>
      <c r="DB212" s="2">
        <v>2</v>
      </c>
      <c r="DC212" s="414">
        <f>'[4]побудинковий звіт'!DC212</f>
        <v>1552.85</v>
      </c>
      <c r="DD212" s="414">
        <f>'[4]побудинковий звіт'!DD212</f>
        <v>3435.5200000000004</v>
      </c>
      <c r="DE212" s="557">
        <f>'[4]побудинковий звіт'!DE212</f>
        <v>-4.03762682415163E-2</v>
      </c>
      <c r="DF212" s="557">
        <f>'[4]побудинковий звіт'!DF212</f>
        <v>2111.9823177478884</v>
      </c>
      <c r="DG212" s="321">
        <f>VLOOKUP(A212,'кошти 01.03.2021'!$A$6:$D$401,4,)</f>
        <v>21315.615426105527</v>
      </c>
      <c r="DH212" s="40">
        <f>'[3]побудинковий звіт'!DJ212</f>
        <v>33077.71327159366</v>
      </c>
      <c r="DI212" s="422">
        <f>'[3]побудинковий звіт'!CU212+'[3]побудинковий звіт'!CX212</f>
        <v>2876.4280585203533</v>
      </c>
      <c r="DJ212" s="306">
        <f>'[3]побудинковий звіт'!DM212</f>
        <v>6.6193110667870476</v>
      </c>
      <c r="DK212" s="306">
        <f t="shared" ref="DK212:DK223" si="267">DJ212</f>
        <v>6.6193110667870476</v>
      </c>
      <c r="DL212" s="306">
        <f>'[3]побудинковий звіт'!DO212</f>
        <v>5.4110289544240073</v>
      </c>
      <c r="DM212" s="28">
        <f t="shared" ref="DM212:DM223" si="268">F212*DJ212</f>
        <v>1552.8903762682414</v>
      </c>
      <c r="DN212" s="28">
        <f t="shared" ref="DN212:DN223" si="269">H212*DL212</f>
        <v>1323.5376822521121</v>
      </c>
      <c r="DO212" s="423">
        <f t="shared" si="238"/>
        <v>2876.4280585203533</v>
      </c>
      <c r="DP212" s="94">
        <f t="shared" si="239"/>
        <v>0</v>
      </c>
      <c r="DQ212" s="28">
        <f t="shared" si="240"/>
        <v>2876.4280585203533</v>
      </c>
      <c r="DR212" s="318"/>
      <c r="DT212" s="8"/>
      <c r="DU212" s="5"/>
      <c r="DX212" s="5">
        <f t="shared" si="241"/>
        <v>9180.0374846195518</v>
      </c>
      <c r="DY212" s="5">
        <f t="shared" si="242"/>
        <v>3564</v>
      </c>
      <c r="DZ212" s="159">
        <f>'[3]побудинковий звіт'!EA212</f>
        <v>798.28519547616702</v>
      </c>
    </row>
    <row r="213" spans="1:130" x14ac:dyDescent="0.3">
      <c r="A213" s="325">
        <v>150000951</v>
      </c>
      <c r="B213" s="41" t="s">
        <v>661</v>
      </c>
      <c r="C213" s="42" t="s">
        <v>171</v>
      </c>
      <c r="D213" s="42"/>
      <c r="E213" s="293">
        <f t="shared" si="218"/>
        <v>553.20000000000005</v>
      </c>
      <c r="F213" s="305">
        <f>'[3]побудинковий звіт'!F213</f>
        <v>553.20000000000005</v>
      </c>
      <c r="G213" s="508">
        <f>'[3]побудинковий звіт'!G213</f>
        <v>0</v>
      </c>
      <c r="H213" s="560">
        <f>'[3]побудинковий звіт'!H213</f>
        <v>0</v>
      </c>
      <c r="I213" s="566">
        <f>VLOOKUP($A213,'01-02.2021'!$A$6:$CZ$403,9,FALSE)+VLOOKUP($A213,'1.3.21-28.2.22'!$A$6:$DA$404,9,FALSE)-VLOOKUP($A213,'01-02.2022'!$A$6:$DA$376,9,FALSE)</f>
        <v>0</v>
      </c>
      <c r="J213" s="566">
        <f>VLOOKUP($A213,'01-02.2021'!$A$6:$CZ$403,10,FALSE)+VLOOKUP($A213,'1.3.21-28.2.22'!$A$6:$DA$404,10,FALSE)-VLOOKUP($A213,'01-02.2022'!$A$6:$DA$376,10,FALSE)</f>
        <v>72.725667326104841</v>
      </c>
      <c r="K213" s="52">
        <f t="shared" si="222"/>
        <v>72.725667326104841</v>
      </c>
      <c r="L213" s="566">
        <f>VLOOKUP($A213,'01-02.2021'!$A$6:$CZ$403,12,FALSE)+VLOOKUP($A213,'1.3.21-28.2.22'!$A$6:$DA$404,12,FALSE)-VLOOKUP($A213,'01-02.2022'!$A$6:$DA$376,12,FALSE)</f>
        <v>0</v>
      </c>
      <c r="M213" s="566">
        <f>VLOOKUP($A213,'01-02.2021'!$A$6:$CZ$403,13,FALSE)+VLOOKUP($A213,'1.3.21-28.2.22'!$A$6:$DA$404,13,FALSE)-VLOOKUP($A213,'01-02.2022'!$A$6:$DA$376,13,FALSE)</f>
        <v>0</v>
      </c>
      <c r="N213" s="52">
        <f t="shared" si="223"/>
        <v>0</v>
      </c>
      <c r="O213" s="566">
        <f>VLOOKUP($A213,'01-02.2021'!$A$6:$CZ$403,15,FALSE)+VLOOKUP($A213,'1.3.21-28.2.22'!$A$6:$DA$404,15,FALSE)-VLOOKUP($A213,'01-02.2022'!$A$6:$DA$376,15,FALSE)</f>
        <v>0</v>
      </c>
      <c r="P213" s="566">
        <f>VLOOKUP($A213,'01-02.2021'!$A$6:$CZ$403,16,FALSE)+VLOOKUP($A213,'1.3.21-28.2.22'!$A$6:$DA$404,16,FALSE)-VLOOKUP($A213,'01-02.2022'!$A$6:$DA$376,16,FALSE)</f>
        <v>0</v>
      </c>
      <c r="Q213" s="70">
        <f t="shared" si="243"/>
        <v>0</v>
      </c>
      <c r="R213" s="566">
        <f>VLOOKUP($A213,'01-02.2021'!$A$6:$CZ$403,18,FALSE)+VLOOKUP($A213,'1.3.21-28.2.22'!$A$6:$DA$404,18,FALSE)-VLOOKUP($A213,'01-02.2022'!$A$6:$DA$376,18,FALSE)</f>
        <v>0</v>
      </c>
      <c r="S213" s="566">
        <f>VLOOKUP($A213,'01-02.2021'!$A$6:$CZ$403,19,FALSE)+VLOOKUP($A213,'1.3.21-28.2.22'!$A$6:$DA$404,19,FALSE)-VLOOKUP($A213,'01-02.2022'!$A$6:$DA$376,19,FALSE)</f>
        <v>0</v>
      </c>
      <c r="T213" s="70">
        <f t="shared" si="244"/>
        <v>0</v>
      </c>
      <c r="U213" s="566">
        <f>VLOOKUP($A213,'01-02.2021'!$A$6:$CZ$403,21,FALSE)+VLOOKUP($A213,'1.3.21-28.2.22'!$A$6:$DA$404,21,FALSE)-VLOOKUP($A213,'01-02.2022'!$A$6:$DA$376,21,FALSE)</f>
        <v>0</v>
      </c>
      <c r="V213" s="566">
        <f>VLOOKUP($A213,'01-02.2021'!$A$6:$CZ$403,22,FALSE)+VLOOKUP($A213,'1.3.21-28.2.22'!$A$6:$DA$404,22,FALSE)-VLOOKUP($A213,'01-02.2022'!$A$6:$DA$376,22,FALSE)</f>
        <v>0</v>
      </c>
      <c r="W213" s="70">
        <f t="shared" si="245"/>
        <v>0</v>
      </c>
      <c r="X213" s="566">
        <f>VLOOKUP($A213,'01-02.2021'!$A$6:$CZ$403,24,FALSE)+VLOOKUP($A213,'1.3.21-28.2.22'!$A$6:$DA$404,24,FALSE)-VLOOKUP($A213,'01-02.2022'!$A$6:$DA$376,24,FALSE)</f>
        <v>954.71680996434998</v>
      </c>
      <c r="Y213" s="566">
        <f>VLOOKUP($A213,'01-02.2021'!$A$6:$CZ$403,25,FALSE)+VLOOKUP($A213,'1.3.21-28.2.22'!$A$6:$DA$404,25,FALSE)-VLOOKUP($A213,'01-02.2022'!$A$6:$DA$376,25,FALSE)</f>
        <v>769.32706343759378</v>
      </c>
      <c r="Z213" s="70">
        <f t="shared" si="246"/>
        <v>-185.3897465267562</v>
      </c>
      <c r="AA213" s="566">
        <f>VLOOKUP($A213,'01-02.2021'!$A$6:$CZ$403,27,FALSE)+VLOOKUP($A213,'1.3.21-28.2.22'!$A$6:$DA$404,27,FALSE)-VLOOKUP($A213,'01-02.2022'!$A$6:$DA$376,27,FALSE)</f>
        <v>110.64000000000001</v>
      </c>
      <c r="AB213" s="566">
        <f>VLOOKUP($A213,'01-02.2021'!$A$6:$CZ$403,28,FALSE)+VLOOKUP($A213,'1.3.21-28.2.22'!$A$6:$DA$404,28,FALSE)-VLOOKUP($A213,'01-02.2022'!$A$6:$DA$376,28,FALSE)</f>
        <v>0</v>
      </c>
      <c r="AC213" s="70">
        <f t="shared" si="247"/>
        <v>-110.64000000000001</v>
      </c>
      <c r="AD213" s="566">
        <f>VLOOKUP($A213,'01-02.2021'!$A$6:$CZ$403,30,FALSE)+VLOOKUP($A213,'1.3.21-28.2.22'!$A$6:$DA$404,30,FALSE)-VLOOKUP($A213,'01-02.2022'!$A$6:$DA$376,30,FALSE)</f>
        <v>2265.5541960267951</v>
      </c>
      <c r="AE213" s="566">
        <f>VLOOKUP($A213,'01-02.2021'!$A$6:$CZ$403,31,FALSE)+VLOOKUP($A213,'1.3.21-28.2.22'!$A$6:$DA$404,31,FALSE)-VLOOKUP($A213,'01-02.2022'!$A$6:$DA$376,31,FALSE)</f>
        <v>2518.1886896728975</v>
      </c>
      <c r="AF213" s="68">
        <f t="shared" si="248"/>
        <v>252.63449364610233</v>
      </c>
      <c r="AG213" s="77">
        <f t="shared" si="219"/>
        <v>3330.9110059911454</v>
      </c>
      <c r="AH213" s="53">
        <f t="shared" si="219"/>
        <v>3360.2414204365959</v>
      </c>
      <c r="AI213" s="52">
        <f t="shared" si="224"/>
        <v>29.330414445450515</v>
      </c>
      <c r="AJ213" s="566">
        <f>VLOOKUP($A213,'01-02.2021'!$A$6:$CZ$403,36,FALSE)+VLOOKUP($A213,'1.3.21-28.2.22'!$A$6:$DA$404,36,FALSE)-VLOOKUP($A213,'01-02.2022'!$A$6:$DA$376,36,FALSE)</f>
        <v>0</v>
      </c>
      <c r="AK213" s="566">
        <f>VLOOKUP($A213,'01-02.2021'!$A$6:$CZ$403,37,FALSE)+VLOOKUP($A213,'1.3.21-28.2.22'!$A$6:$DA$404,37,FALSE)-VLOOKUP($A213,'01-02.2022'!$A$6:$DA$376,37,FALSE)</f>
        <v>0</v>
      </c>
      <c r="AL213" s="70">
        <f t="shared" si="249"/>
        <v>0</v>
      </c>
      <c r="AM213" s="566">
        <f>VLOOKUP($A213,'01-02.2021'!$A$6:$CZ$403,39,FALSE)+VLOOKUP($A213,'1.3.21-28.2.22'!$A$6:$DA$404,39,FALSE)-VLOOKUP($A213,'01-02.2022'!$A$6:$DA$376,39,FALSE)</f>
        <v>0</v>
      </c>
      <c r="AN213" s="566">
        <f>VLOOKUP($A213,'01-02.2021'!$A$6:$CZ$403,40,FALSE)+VLOOKUP($A213,'1.3.21-28.2.22'!$A$6:$DA$404,40,FALSE)-VLOOKUP($A213,'01-02.2022'!$A$6:$DA$376,40,FALSE)</f>
        <v>0</v>
      </c>
      <c r="AO213" s="70">
        <f t="shared" si="250"/>
        <v>0</v>
      </c>
      <c r="AP213" s="566">
        <f>VLOOKUP($A213,'01-02.2021'!$A$6:$CZ$403,42,FALSE)+VLOOKUP($A213,'1.3.21-28.2.22'!$A$6:$DA$404,42,FALSE)-VLOOKUP($A213,'01-02.2022'!$A$6:$DA$376,42,FALSE)</f>
        <v>954.35986252342536</v>
      </c>
      <c r="AQ213" s="566">
        <f>VLOOKUP($A213,'01-02.2021'!$A$6:$CZ$403,43,FALSE)+VLOOKUP($A213,'1.3.21-28.2.22'!$A$6:$DA$404,43,FALSE)-VLOOKUP($A213,'01-02.2022'!$A$6:$DA$376,43,FALSE)</f>
        <v>823.70455409595911</v>
      </c>
      <c r="AR213" s="70">
        <f t="shared" si="251"/>
        <v>-130.65530842746625</v>
      </c>
      <c r="AS213" s="566">
        <f>VLOOKUP($A213,'01-02.2021'!$A$6:$CZ$403,45,FALSE)+VLOOKUP($A213,'1.3.21-28.2.22'!$A$6:$DA$404,45,FALSE)-VLOOKUP($A213,'01-02.2022'!$A$6:$DA$376,45,FALSE)</f>
        <v>4370.6924950110106</v>
      </c>
      <c r="AT213" s="566">
        <f>VLOOKUP($A213,'01-02.2021'!$A$6:$CZ$403,46,FALSE)+VLOOKUP($A213,'1.3.21-28.2.22'!$A$6:$DA$404,46,FALSE)-VLOOKUP($A213,'01-02.2022'!$A$6:$DA$376,46,FALSE)</f>
        <v>1681</v>
      </c>
      <c r="AU213" s="78">
        <f t="shared" si="252"/>
        <v>-2689.6924950110106</v>
      </c>
      <c r="AV213" s="566">
        <f>VLOOKUP($A213,'01-02.2021'!$A$6:$CZ$403,48,FALSE)+VLOOKUP($A213,'1.3.21-28.2.22'!$A$6:$DA$404,48,FALSE)-VLOOKUP($A213,'01-02.2022'!$A$6:$DA$376,48,FALSE)</f>
        <v>0</v>
      </c>
      <c r="AW213" s="566">
        <f>VLOOKUP($A213,'01-02.2021'!$A$6:$CZ$403,49,FALSE)+VLOOKUP($A213,'1.3.21-28.2.22'!$A$6:$DA$404,49,FALSE)-VLOOKUP($A213,'01-02.2022'!$A$6:$DA$376,49,FALSE)</f>
        <v>0</v>
      </c>
      <c r="AX213" s="55">
        <f t="shared" si="253"/>
        <v>0</v>
      </c>
      <c r="AY213" s="566">
        <f>VLOOKUP($A213,'01-02.2021'!$A$6:$CZ$403,51,FALSE)+VLOOKUP($A213,'1.3.21-28.2.22'!$A$6:$DA$404,51,FALSE)-VLOOKUP($A213,'01-02.2022'!$A$6:$DA$376,51,FALSE)</f>
        <v>0</v>
      </c>
      <c r="AZ213" s="566">
        <f>VLOOKUP($A213,'01-02.2021'!$A$6:$CZ$403,52,FALSE)+VLOOKUP($A213,'1.3.21-28.2.22'!$A$6:$DA$404,52,FALSE)-VLOOKUP($A213,'01-02.2022'!$A$6:$DA$376,52,FALSE)</f>
        <v>0</v>
      </c>
      <c r="BA213" s="38">
        <f t="shared" si="254"/>
        <v>0</v>
      </c>
      <c r="BB213" s="566">
        <f>VLOOKUP($A213,'01-02.2021'!$A$6:$CZ$403,54,FALSE)+VLOOKUP($A213,'1.3.21-28.2.22'!$A$6:$DA$404,54,FALSE)-VLOOKUP($A213,'01-02.2022'!$A$6:$DA$376,54,FALSE)</f>
        <v>0</v>
      </c>
      <c r="BC213" s="566">
        <f>VLOOKUP($A213,'01-02.2021'!$A$6:$CZ$403,55,FALSE)+VLOOKUP($A213,'1.3.21-28.2.22'!$A$6:$DA$404,55,FALSE)-VLOOKUP($A213,'01-02.2022'!$A$6:$DA$376,55,FALSE)</f>
        <v>0</v>
      </c>
      <c r="BD213" s="55">
        <f t="shared" si="255"/>
        <v>0</v>
      </c>
      <c r="BE213" s="566">
        <f>VLOOKUP($A213,'01-02.2021'!$A$6:$CZ$403,57,FALSE)+VLOOKUP($A213,'1.3.21-28.2.22'!$A$6:$DA$404,57,FALSE)-VLOOKUP($A213,'01-02.2022'!$A$6:$DA$376,57,FALSE)</f>
        <v>0</v>
      </c>
      <c r="BF213" s="566">
        <f>VLOOKUP($A213,'01-02.2021'!$A$6:$CZ$403,58,FALSE)+VLOOKUP($A213,'1.3.21-28.2.22'!$A$6:$DA$404,58,FALSE)-VLOOKUP($A213,'01-02.2022'!$A$6:$DA$376,58,FALSE)</f>
        <v>0</v>
      </c>
      <c r="BG213" s="55">
        <f t="shared" si="256"/>
        <v>0</v>
      </c>
      <c r="BH213" s="566">
        <f>VLOOKUP($A213,'01-02.2021'!$A$6:$CZ$403,60,FALSE)+VLOOKUP($A213,'1.3.21-28.2.22'!$A$6:$DA$404,60,FALSE)-VLOOKUP($A213,'01-02.2022'!$A$6:$DA$376,60,FALSE)</f>
        <v>0</v>
      </c>
      <c r="BI213" s="566">
        <f>VLOOKUP($A213,'01-02.2021'!$A$6:$CZ$403,61,FALSE)+VLOOKUP($A213,'1.3.21-28.2.22'!$A$6:$DA$404,61,FALSE)-VLOOKUP($A213,'01-02.2022'!$A$6:$DA$376,61,FALSE)</f>
        <v>0</v>
      </c>
      <c r="BJ213" s="55">
        <f t="shared" si="257"/>
        <v>0</v>
      </c>
      <c r="BK213" s="566">
        <f>VLOOKUP($A213,'01-02.2021'!$A$6:$CZ$403,63,FALSE)+VLOOKUP($A213,'1.3.21-28.2.22'!$A$6:$DA$404,63,FALSE)-VLOOKUP($A213,'01-02.2022'!$A$6:$DA$376,63,FALSE)</f>
        <v>84.190304701171286</v>
      </c>
      <c r="BL213" s="566">
        <f>VLOOKUP($A213,'01-02.2021'!$A$6:$CZ$403,64,FALSE)+VLOOKUP($A213,'1.3.21-28.2.22'!$A$6:$DA$404,64,FALSE)-VLOOKUP($A213,'01-02.2022'!$A$6:$DA$376,64,FALSE)</f>
        <v>0</v>
      </c>
      <c r="BM213" s="55">
        <f t="shared" si="258"/>
        <v>-84.190304701171286</v>
      </c>
      <c r="BN213" s="566">
        <f>VLOOKUP($A213,'01-02.2021'!$A$6:$CZ$403,66,FALSE)+VLOOKUP($A213,'1.3.21-28.2.22'!$A$6:$DA$404,66,FALSE)-VLOOKUP($A213,'01-02.2022'!$A$6:$DA$376,66,FALSE)</f>
        <v>99.115606407984842</v>
      </c>
      <c r="BO213" s="566">
        <f>VLOOKUP($A213,'01-02.2021'!$A$6:$CZ$403,67,FALSE)+VLOOKUP($A213,'1.3.21-28.2.22'!$A$6:$DA$404,67,FALSE)-VLOOKUP($A213,'01-02.2022'!$A$6:$DA$376,67,FALSE)</f>
        <v>0</v>
      </c>
      <c r="BP213" s="55">
        <f t="shared" si="259"/>
        <v>-99.115606407984842</v>
      </c>
      <c r="BQ213" s="77">
        <f t="shared" si="209"/>
        <v>183.30591110915611</v>
      </c>
      <c r="BR213" s="40">
        <f t="shared" si="237"/>
        <v>0</v>
      </c>
      <c r="BS213" s="55">
        <f t="shared" si="236"/>
        <v>-183.30591110915611</v>
      </c>
      <c r="BT213" s="566">
        <f>VLOOKUP($A213,'01-02.2021'!$A$6:$CZ$403,72,FALSE)+VLOOKUP($A213,'1.3.21-28.2.22'!$A$6:$DA$404,72,FALSE)-VLOOKUP($A213,'01-02.2022'!$A$6:$DA$376,72,FALSE)</f>
        <v>0</v>
      </c>
      <c r="BU213" s="566">
        <f>VLOOKUP($A213,'01-02.2021'!$A$6:$CZ$403,73,FALSE)+VLOOKUP($A213,'1.3.21-28.2.22'!$A$6:$DA$404,73,FALSE)-VLOOKUP($A213,'01-02.2022'!$A$6:$DA$376,73,FALSE)</f>
        <v>0</v>
      </c>
      <c r="BV213" s="70">
        <f t="shared" si="260"/>
        <v>0</v>
      </c>
      <c r="BW213" s="566">
        <f>VLOOKUP($A213,'01-02.2021'!$A$6:$CZ$403,75,FALSE)+VLOOKUP($A213,'1.3.21-28.2.22'!$A$6:$DA$404,75,FALSE)-VLOOKUP($A213,'01-02.2022'!$A$6:$DA$376,75,FALSE)</f>
        <v>0</v>
      </c>
      <c r="BX213" s="566">
        <f>VLOOKUP($A213,'01-02.2021'!$A$6:$CZ$403,76,FALSE)+VLOOKUP($A213,'1.3.21-28.2.22'!$A$6:$DA$404,76,FALSE)-VLOOKUP($A213,'01-02.2022'!$A$6:$DA$376,76,FALSE)</f>
        <v>14.799628573022439</v>
      </c>
      <c r="BY213" s="70">
        <f t="shared" si="261"/>
        <v>14.799628573022439</v>
      </c>
      <c r="BZ213" s="566">
        <f>VLOOKUP($A213,'01-02.2021'!$A$6:$CZ$403,78,FALSE)+VLOOKUP($A213,'1.3.21-28.2.22'!$A$6:$DA$404,78,FALSE)-VLOOKUP($A213,'01-02.2022'!$A$6:$DA$376,78,FALSE)</f>
        <v>0</v>
      </c>
      <c r="CA213" s="566">
        <f>VLOOKUP($A213,'01-02.2021'!$A$6:$CZ$403,79,FALSE)+VLOOKUP($A213,'1.3.21-28.2.22'!$A$6:$DA$404,79,FALSE)-VLOOKUP($A213,'01-02.2022'!$A$6:$DA$376,79,FALSE)</f>
        <v>0</v>
      </c>
      <c r="CB213" s="70">
        <f t="shared" si="262"/>
        <v>0</v>
      </c>
      <c r="CC213" s="566">
        <f>VLOOKUP($A213,'01-02.2021'!$A$6:$CZ$403,81,FALSE)+VLOOKUP($A213,'1.3.21-28.2.22'!$A$6:$DA$404,81,FALSE)-VLOOKUP($A213,'01-02.2022'!$A$6:$DA$376,81,FALSE)</f>
        <v>0</v>
      </c>
      <c r="CD213" s="566">
        <f>VLOOKUP($A213,'01-02.2021'!$A$6:$CZ$403,82,FALSE)+VLOOKUP($A213,'1.3.21-28.2.22'!$A$6:$DA$404,82,FALSE)-VLOOKUP($A213,'01-02.2022'!$A$6:$DA$376,82,FALSE)</f>
        <v>0</v>
      </c>
      <c r="CE213" s="70">
        <f t="shared" si="263"/>
        <v>0</v>
      </c>
      <c r="CF213" s="566">
        <f>VLOOKUP($A213,'01-02.2021'!$A$6:$CZ$403,84,FALSE)+VLOOKUP($A213,'1.3.21-28.2.22'!$A$6:$DA$404,84,FALSE)-VLOOKUP($A213,'01-02.2022'!$A$6:$DA$376,84,FALSE)</f>
        <v>0</v>
      </c>
      <c r="CG213" s="566">
        <f>VLOOKUP($A213,'01-02.2021'!$A$6:$CZ$403,85,FALSE)+VLOOKUP($A213,'1.3.21-28.2.22'!$A$6:$DA$404,85,FALSE)-VLOOKUP($A213,'01-02.2022'!$A$6:$DA$376,85,FALSE)</f>
        <v>0</v>
      </c>
      <c r="CH213" s="70">
        <f t="shared" si="264"/>
        <v>0</v>
      </c>
      <c r="CI213" s="566">
        <f>VLOOKUP($A213,'01-02.2021'!$A$6:$CZ$403,87,FALSE)+VLOOKUP($A213,'1.3.21-28.2.22'!$A$6:$DA$404,87,FALSE)-VLOOKUP($A213,'01-02.2022'!$A$6:$DA$376,87,FALSE)</f>
        <v>0</v>
      </c>
      <c r="CJ213" s="566">
        <f>VLOOKUP($A213,'01-02.2021'!$A$6:$CZ$403,88,FALSE)+VLOOKUP($A213,'1.3.21-28.2.22'!$A$6:$DA$404,88,FALSE)-VLOOKUP($A213,'01-02.2022'!$A$6:$DA$376,88,FALSE)</f>
        <v>1.5408937592838248</v>
      </c>
      <c r="CK213" s="70">
        <f t="shared" si="265"/>
        <v>1.5408937592838248</v>
      </c>
      <c r="CL213" s="566">
        <f>VLOOKUP($A213,'01-02.2021'!$A$6:$CZ$403,90,FALSE)+VLOOKUP($A213,'1.3.21-28.2.22'!$A$6:$DA$404,90,FALSE)-VLOOKUP($A213,'01-02.2022'!$A$6:$DA$376,90,FALSE)</f>
        <v>0</v>
      </c>
      <c r="CM213" s="566">
        <f>VLOOKUP($A213,'01-02.2021'!$A$6:$CZ$403,91,FALSE)+VLOOKUP($A213,'1.3.21-28.2.22'!$A$6:$DA$404,91,FALSE)-VLOOKUP($A213,'01-02.2022'!$A$6:$DA$376,91,FALSE)</f>
        <v>0</v>
      </c>
      <c r="CN213" s="52">
        <f t="shared" si="225"/>
        <v>0</v>
      </c>
      <c r="CO213" s="39">
        <f t="shared" si="220"/>
        <v>0</v>
      </c>
      <c r="CP213" s="40">
        <f t="shared" si="226"/>
        <v>1.5408937592838248</v>
      </c>
      <c r="CQ213" s="52">
        <f t="shared" si="227"/>
        <v>1.5408937592838248</v>
      </c>
      <c r="CR213" s="72">
        <f t="shared" si="221"/>
        <v>8839.2692746347384</v>
      </c>
      <c r="CS213" s="5">
        <f t="shared" si="221"/>
        <v>5881.286496864861</v>
      </c>
      <c r="CT213" s="52">
        <f t="shared" si="228"/>
        <v>-2957.9827777698774</v>
      </c>
      <c r="CU213" s="77">
        <f t="shared" si="229"/>
        <v>10607.123129561685</v>
      </c>
      <c r="CV213" s="65">
        <f t="shared" si="230"/>
        <v>7057.5437962378328</v>
      </c>
      <c r="CW213" s="35">
        <f t="shared" si="231"/>
        <v>-3549.5793333238526</v>
      </c>
      <c r="CX213" s="566">
        <f>VLOOKUP($A213,'01-02.2021'!$A$6:$CZ$403,102,FALSE)+VLOOKUP($A213,'1.3.21-28.2.22'!$A$6:$DA$404,102,FALSE)-VLOOKUP($A213,'01-02.2022'!$A$6:$DA$376,102,FALSE)</f>
        <v>369.72425981071382</v>
      </c>
      <c r="CY213" s="566">
        <f>VLOOKUP($A213,'01-02.2021'!$A$6:$CZ$403,103,FALSE)+VLOOKUP($A213,'1.3.21-28.2.22'!$A$6:$DA$404,103,FALSE)-VLOOKUP($A213,'01-02.2022'!$A$6:$DA$376,103,FALSE)</f>
        <v>3919.3035931345648</v>
      </c>
      <c r="CZ213" s="52">
        <f t="shared" si="232"/>
        <v>3549.5793333238512</v>
      </c>
      <c r="DA213" s="150">
        <f>'[2]побудинковий звіт'!DA213</f>
        <v>-10973.221076588221</v>
      </c>
      <c r="DB213" s="2">
        <v>1</v>
      </c>
      <c r="DC213" s="414">
        <f>'[4]побудинковий звіт'!DC213</f>
        <v>1103.99</v>
      </c>
      <c r="DD213" s="414">
        <f>'[4]побудинковий звіт'!DD213</f>
        <v>0</v>
      </c>
      <c r="DE213" s="557">
        <f>'[4]побудинковий звіт'!DE213</f>
        <v>105.8341069005578</v>
      </c>
      <c r="DF213" s="557">
        <f>'[4]побудинковий звіт'!DF213</f>
        <v>0</v>
      </c>
      <c r="DG213" s="321">
        <f>VLOOKUP(A213,'кошти 01.03.2021'!$A$6:$D$401,4,)</f>
        <v>-6296.6056781441293</v>
      </c>
      <c r="DH213" s="40">
        <f>'[3]побудинковий звіт'!DJ213</f>
        <v>11371.469135542724</v>
      </c>
      <c r="DI213" s="422">
        <f>'[3]побудинковий звіт'!CU213+'[3]побудинковий звіт'!CX213</f>
        <v>998.15589309944232</v>
      </c>
      <c r="DJ213" s="306">
        <f>'[3]побудинковий звіт'!DM213</f>
        <v>1.8043309708955932</v>
      </c>
      <c r="DK213" s="306">
        <f t="shared" si="267"/>
        <v>1.8043309708955932</v>
      </c>
      <c r="DL213" s="306">
        <f>'[3]побудинковий звіт'!DO213</f>
        <v>1.8043309708955932</v>
      </c>
      <c r="DM213" s="28">
        <f t="shared" si="268"/>
        <v>998.15589309944221</v>
      </c>
      <c r="DN213" s="28">
        <f t="shared" si="269"/>
        <v>0</v>
      </c>
      <c r="DO213" s="423">
        <f t="shared" si="238"/>
        <v>998.15589309944221</v>
      </c>
      <c r="DP213" s="94">
        <f t="shared" si="239"/>
        <v>0</v>
      </c>
      <c r="DQ213" s="28">
        <f t="shared" si="240"/>
        <v>998.15589309944221</v>
      </c>
      <c r="DR213" s="318"/>
      <c r="DT213" s="8"/>
      <c r="DU213" s="5"/>
      <c r="DX213" s="5">
        <f t="shared" si="241"/>
        <v>5464.7980873442002</v>
      </c>
      <c r="DY213" s="5">
        <f t="shared" si="242"/>
        <v>2017.1999999999998</v>
      </c>
      <c r="DZ213" s="159">
        <f>'[3]побудинковий звіт'!EA213</f>
        <v>522.79154848600888</v>
      </c>
    </row>
    <row r="214" spans="1:130" x14ac:dyDescent="0.3">
      <c r="A214" s="325">
        <v>150000954</v>
      </c>
      <c r="B214" s="41" t="s">
        <v>662</v>
      </c>
      <c r="C214" s="42" t="s">
        <v>172</v>
      </c>
      <c r="D214" s="42"/>
      <c r="E214" s="293">
        <f t="shared" si="218"/>
        <v>358.84</v>
      </c>
      <c r="F214" s="305">
        <f>'[3]побудинковий звіт'!F214</f>
        <v>358.84</v>
      </c>
      <c r="G214" s="508">
        <f>'[3]побудинковий звіт'!G214</f>
        <v>0</v>
      </c>
      <c r="H214" s="560">
        <f>'[3]побудинковий звіт'!H214</f>
        <v>0</v>
      </c>
      <c r="I214" s="566">
        <f>VLOOKUP($A214,'01-02.2021'!$A$6:$CZ$403,9,FALSE)+VLOOKUP($A214,'1.3.21-28.2.22'!$A$6:$DA$404,9,FALSE)-VLOOKUP($A214,'01-02.2022'!$A$6:$DA$376,9,FALSE)</f>
        <v>1134.3165959410771</v>
      </c>
      <c r="J214" s="566">
        <f>VLOOKUP($A214,'01-02.2021'!$A$6:$CZ$403,10,FALSE)+VLOOKUP($A214,'1.3.21-28.2.22'!$A$6:$DA$404,10,FALSE)-VLOOKUP($A214,'01-02.2022'!$A$6:$DA$376,10,FALSE)</f>
        <v>1000.1663205244558</v>
      </c>
      <c r="K214" s="52">
        <f t="shared" si="222"/>
        <v>-134.1502754166213</v>
      </c>
      <c r="L214" s="566">
        <f>VLOOKUP($A214,'01-02.2021'!$A$6:$CZ$403,12,FALSE)+VLOOKUP($A214,'1.3.21-28.2.22'!$A$6:$DA$404,12,FALSE)-VLOOKUP($A214,'01-02.2022'!$A$6:$DA$376,12,FALSE)</f>
        <v>235.1606441392548</v>
      </c>
      <c r="M214" s="566">
        <f>VLOOKUP($A214,'01-02.2021'!$A$6:$CZ$403,13,FALSE)+VLOOKUP($A214,'1.3.21-28.2.22'!$A$6:$DA$404,13,FALSE)-VLOOKUP($A214,'01-02.2022'!$A$6:$DA$376,13,FALSE)</f>
        <v>212.40260379552777</v>
      </c>
      <c r="N214" s="52">
        <f t="shared" si="223"/>
        <v>-22.758040343727032</v>
      </c>
      <c r="O214" s="566">
        <f>VLOOKUP($A214,'01-02.2021'!$A$6:$CZ$403,15,FALSE)+VLOOKUP($A214,'1.3.21-28.2.22'!$A$6:$DA$404,15,FALSE)-VLOOKUP($A214,'01-02.2022'!$A$6:$DA$376,15,FALSE)</f>
        <v>493.23799745937509</v>
      </c>
      <c r="P214" s="566">
        <f>VLOOKUP($A214,'01-02.2021'!$A$6:$CZ$403,16,FALSE)+VLOOKUP($A214,'1.3.21-28.2.22'!$A$6:$DA$404,16,FALSE)-VLOOKUP($A214,'01-02.2022'!$A$6:$DA$376,16,FALSE)</f>
        <v>493.22666666666657</v>
      </c>
      <c r="Q214" s="70">
        <f t="shared" si="243"/>
        <v>-1.1330792708520221E-2</v>
      </c>
      <c r="R214" s="566">
        <f>VLOOKUP($A214,'01-02.2021'!$A$6:$CZ$403,18,FALSE)+VLOOKUP($A214,'1.3.21-28.2.22'!$A$6:$DA$404,18,FALSE)-VLOOKUP($A214,'01-02.2022'!$A$6:$DA$376,18,FALSE)</f>
        <v>0</v>
      </c>
      <c r="S214" s="566">
        <f>VLOOKUP($A214,'01-02.2021'!$A$6:$CZ$403,19,FALSE)+VLOOKUP($A214,'1.3.21-28.2.22'!$A$6:$DA$404,19,FALSE)-VLOOKUP($A214,'01-02.2022'!$A$6:$DA$376,19,FALSE)</f>
        <v>0</v>
      </c>
      <c r="T214" s="70">
        <f t="shared" si="244"/>
        <v>0</v>
      </c>
      <c r="U214" s="566">
        <f>VLOOKUP($A214,'01-02.2021'!$A$6:$CZ$403,21,FALSE)+VLOOKUP($A214,'1.3.21-28.2.22'!$A$6:$DA$404,21,FALSE)-VLOOKUP($A214,'01-02.2022'!$A$6:$DA$376,21,FALSE)</f>
        <v>0</v>
      </c>
      <c r="V214" s="566">
        <f>VLOOKUP($A214,'01-02.2021'!$A$6:$CZ$403,22,FALSE)+VLOOKUP($A214,'1.3.21-28.2.22'!$A$6:$DA$404,22,FALSE)-VLOOKUP($A214,'01-02.2022'!$A$6:$DA$376,22,FALSE)</f>
        <v>0</v>
      </c>
      <c r="W214" s="70">
        <f t="shared" si="245"/>
        <v>0</v>
      </c>
      <c r="X214" s="566">
        <f>VLOOKUP($A214,'01-02.2021'!$A$6:$CZ$403,24,FALSE)+VLOOKUP($A214,'1.3.21-28.2.22'!$A$6:$DA$404,24,FALSE)-VLOOKUP($A214,'01-02.2022'!$A$6:$DA$376,24,FALSE)</f>
        <v>770.2024631231194</v>
      </c>
      <c r="Y214" s="566">
        <f>VLOOKUP($A214,'01-02.2021'!$A$6:$CZ$403,25,FALSE)+VLOOKUP($A214,'1.3.21-28.2.22'!$A$6:$DA$404,25,FALSE)-VLOOKUP($A214,'01-02.2022'!$A$6:$DA$376,25,FALSE)</f>
        <v>518.16515450953398</v>
      </c>
      <c r="Z214" s="70">
        <f t="shared" si="246"/>
        <v>-252.03730861358542</v>
      </c>
      <c r="AA214" s="566">
        <f>VLOOKUP($A214,'01-02.2021'!$A$6:$CZ$403,27,FALSE)+VLOOKUP($A214,'1.3.21-28.2.22'!$A$6:$DA$404,27,FALSE)-VLOOKUP($A214,'01-02.2022'!$A$6:$DA$376,27,FALSE)</f>
        <v>71.768000000000001</v>
      </c>
      <c r="AB214" s="566">
        <f>VLOOKUP($A214,'01-02.2021'!$A$6:$CZ$403,28,FALSE)+VLOOKUP($A214,'1.3.21-28.2.22'!$A$6:$DA$404,28,FALSE)-VLOOKUP($A214,'01-02.2022'!$A$6:$DA$376,28,FALSE)</f>
        <v>0</v>
      </c>
      <c r="AC214" s="70">
        <f t="shared" si="247"/>
        <v>-71.768000000000001</v>
      </c>
      <c r="AD214" s="566">
        <f>VLOOKUP($A214,'01-02.2021'!$A$6:$CZ$403,30,FALSE)+VLOOKUP($A214,'1.3.21-28.2.22'!$A$6:$DA$404,30,FALSE)-VLOOKUP($A214,'01-02.2022'!$A$6:$DA$376,30,FALSE)</f>
        <v>1541.3463419997147</v>
      </c>
      <c r="AE214" s="566">
        <f>VLOOKUP($A214,'01-02.2021'!$A$6:$CZ$403,31,FALSE)+VLOOKUP($A214,'1.3.21-28.2.22'!$A$6:$DA$404,31,FALSE)-VLOOKUP($A214,'01-02.2022'!$A$6:$DA$376,31,FALSE)</f>
        <v>1633.4541384711174</v>
      </c>
      <c r="AF214" s="68">
        <f t="shared" si="248"/>
        <v>92.107796471402708</v>
      </c>
      <c r="AG214" s="77">
        <f t="shared" si="219"/>
        <v>4246.0320426625412</v>
      </c>
      <c r="AH214" s="53">
        <f t="shared" si="219"/>
        <v>3857.4148839673016</v>
      </c>
      <c r="AI214" s="52">
        <f t="shared" si="224"/>
        <v>-388.6171586952396</v>
      </c>
      <c r="AJ214" s="566">
        <f>VLOOKUP($A214,'01-02.2021'!$A$6:$CZ$403,36,FALSE)+VLOOKUP($A214,'1.3.21-28.2.22'!$A$6:$DA$404,36,FALSE)-VLOOKUP($A214,'01-02.2022'!$A$6:$DA$376,36,FALSE)</f>
        <v>0</v>
      </c>
      <c r="AK214" s="566">
        <f>VLOOKUP($A214,'01-02.2021'!$A$6:$CZ$403,37,FALSE)+VLOOKUP($A214,'1.3.21-28.2.22'!$A$6:$DA$404,37,FALSE)-VLOOKUP($A214,'01-02.2022'!$A$6:$DA$376,37,FALSE)</f>
        <v>0</v>
      </c>
      <c r="AL214" s="70">
        <f t="shared" si="249"/>
        <v>0</v>
      </c>
      <c r="AM214" s="566">
        <f>VLOOKUP($A214,'01-02.2021'!$A$6:$CZ$403,39,FALSE)+VLOOKUP($A214,'1.3.21-28.2.22'!$A$6:$DA$404,39,FALSE)-VLOOKUP($A214,'01-02.2022'!$A$6:$DA$376,39,FALSE)</f>
        <v>0</v>
      </c>
      <c r="AN214" s="566">
        <f>VLOOKUP($A214,'01-02.2021'!$A$6:$CZ$403,40,FALSE)+VLOOKUP($A214,'1.3.21-28.2.22'!$A$6:$DA$404,40,FALSE)-VLOOKUP($A214,'01-02.2022'!$A$6:$DA$376,40,FALSE)</f>
        <v>0</v>
      </c>
      <c r="AO214" s="70">
        <f t="shared" si="250"/>
        <v>0</v>
      </c>
      <c r="AP214" s="566">
        <f>VLOOKUP($A214,'01-02.2021'!$A$6:$CZ$403,42,FALSE)+VLOOKUP($A214,'1.3.21-28.2.22'!$A$6:$DA$404,42,FALSE)-VLOOKUP($A214,'01-02.2022'!$A$6:$DA$376,42,FALSE)</f>
        <v>694.07990001703638</v>
      </c>
      <c r="AQ214" s="566">
        <f>VLOOKUP($A214,'01-02.2021'!$A$6:$CZ$403,43,FALSE)+VLOOKUP($A214,'1.3.21-28.2.22'!$A$6:$DA$404,43,FALSE)-VLOOKUP($A214,'01-02.2022'!$A$6:$DA$376,43,FALSE)</f>
        <v>599.05785752433394</v>
      </c>
      <c r="AR214" s="70">
        <f t="shared" si="251"/>
        <v>-95.02204249270244</v>
      </c>
      <c r="AS214" s="566">
        <f>VLOOKUP($A214,'01-02.2021'!$A$6:$CZ$403,45,FALSE)+VLOOKUP($A214,'1.3.21-28.2.22'!$A$6:$DA$404,45,FALSE)-VLOOKUP($A214,'01-02.2022'!$A$6:$DA$376,45,FALSE)</f>
        <v>5233.8084224904269</v>
      </c>
      <c r="AT214" s="566">
        <f>VLOOKUP($A214,'01-02.2021'!$A$6:$CZ$403,46,FALSE)+VLOOKUP($A214,'1.3.21-28.2.22'!$A$6:$DA$404,46,FALSE)-VLOOKUP($A214,'01-02.2022'!$A$6:$DA$376,46,FALSE)</f>
        <v>657</v>
      </c>
      <c r="AU214" s="78">
        <f t="shared" si="252"/>
        <v>-4576.8084224904269</v>
      </c>
      <c r="AV214" s="566">
        <f>VLOOKUP($A214,'01-02.2021'!$A$6:$CZ$403,48,FALSE)+VLOOKUP($A214,'1.3.21-28.2.22'!$A$6:$DA$404,48,FALSE)-VLOOKUP($A214,'01-02.2022'!$A$6:$DA$376,48,FALSE)</f>
        <v>383.05805162642332</v>
      </c>
      <c r="AW214" s="566">
        <f>VLOOKUP($A214,'01-02.2021'!$A$6:$CZ$403,49,FALSE)+VLOOKUP($A214,'1.3.21-28.2.22'!$A$6:$DA$404,49,FALSE)-VLOOKUP($A214,'01-02.2022'!$A$6:$DA$376,49,FALSE)</f>
        <v>0</v>
      </c>
      <c r="AX214" s="55">
        <f t="shared" si="253"/>
        <v>-383.05805162642332</v>
      </c>
      <c r="AY214" s="566">
        <f>VLOOKUP($A214,'01-02.2021'!$A$6:$CZ$403,51,FALSE)+VLOOKUP($A214,'1.3.21-28.2.22'!$A$6:$DA$404,51,FALSE)-VLOOKUP($A214,'01-02.2022'!$A$6:$DA$376,51,FALSE)</f>
        <v>442.03492887376052</v>
      </c>
      <c r="AZ214" s="566">
        <f>VLOOKUP($A214,'01-02.2021'!$A$6:$CZ$403,52,FALSE)+VLOOKUP($A214,'1.3.21-28.2.22'!$A$6:$DA$404,52,FALSE)-VLOOKUP($A214,'01-02.2022'!$A$6:$DA$376,52,FALSE)</f>
        <v>6.5</v>
      </c>
      <c r="BA214" s="38">
        <f t="shared" si="254"/>
        <v>-435.53492887376052</v>
      </c>
      <c r="BB214" s="566">
        <f>VLOOKUP($A214,'01-02.2021'!$A$6:$CZ$403,54,FALSE)+VLOOKUP($A214,'1.3.21-28.2.22'!$A$6:$DA$404,54,FALSE)-VLOOKUP($A214,'01-02.2022'!$A$6:$DA$376,54,FALSE)</f>
        <v>205.76185590922228</v>
      </c>
      <c r="BC214" s="566">
        <f>VLOOKUP($A214,'01-02.2021'!$A$6:$CZ$403,55,FALSE)+VLOOKUP($A214,'1.3.21-28.2.22'!$A$6:$DA$404,55,FALSE)-VLOOKUP($A214,'01-02.2022'!$A$6:$DA$376,55,FALSE)</f>
        <v>0</v>
      </c>
      <c r="BD214" s="55">
        <f t="shared" si="255"/>
        <v>-205.76185590922228</v>
      </c>
      <c r="BE214" s="566">
        <f>VLOOKUP($A214,'01-02.2021'!$A$6:$CZ$403,57,FALSE)+VLOOKUP($A214,'1.3.21-28.2.22'!$A$6:$DA$404,57,FALSE)-VLOOKUP($A214,'01-02.2022'!$A$6:$DA$376,57,FALSE)</f>
        <v>0</v>
      </c>
      <c r="BF214" s="566">
        <f>VLOOKUP($A214,'01-02.2021'!$A$6:$CZ$403,58,FALSE)+VLOOKUP($A214,'1.3.21-28.2.22'!$A$6:$DA$404,58,FALSE)-VLOOKUP($A214,'01-02.2022'!$A$6:$DA$376,58,FALSE)</f>
        <v>0</v>
      </c>
      <c r="BG214" s="55">
        <f t="shared" si="256"/>
        <v>0</v>
      </c>
      <c r="BH214" s="566">
        <f>VLOOKUP($A214,'01-02.2021'!$A$6:$CZ$403,60,FALSE)+VLOOKUP($A214,'1.3.21-28.2.22'!$A$6:$DA$404,60,FALSE)-VLOOKUP($A214,'01-02.2022'!$A$6:$DA$376,60,FALSE)</f>
        <v>0</v>
      </c>
      <c r="BI214" s="566">
        <f>VLOOKUP($A214,'01-02.2021'!$A$6:$CZ$403,61,FALSE)+VLOOKUP($A214,'1.3.21-28.2.22'!$A$6:$DA$404,61,FALSE)-VLOOKUP($A214,'01-02.2022'!$A$6:$DA$376,61,FALSE)</f>
        <v>0</v>
      </c>
      <c r="BJ214" s="55">
        <f t="shared" si="257"/>
        <v>0</v>
      </c>
      <c r="BK214" s="566">
        <f>VLOOKUP($A214,'01-02.2021'!$A$6:$CZ$403,63,FALSE)+VLOOKUP($A214,'1.3.21-28.2.22'!$A$6:$DA$404,63,FALSE)-VLOOKUP($A214,'01-02.2022'!$A$6:$DA$376,63,FALSE)</f>
        <v>236.64315459440508</v>
      </c>
      <c r="BL214" s="566">
        <f>VLOOKUP($A214,'01-02.2021'!$A$6:$CZ$403,64,FALSE)+VLOOKUP($A214,'1.3.21-28.2.22'!$A$6:$DA$404,64,FALSE)-VLOOKUP($A214,'01-02.2022'!$A$6:$DA$376,64,FALSE)</f>
        <v>0</v>
      </c>
      <c r="BM214" s="55">
        <f t="shared" si="258"/>
        <v>-236.64315459440508</v>
      </c>
      <c r="BN214" s="566">
        <f>VLOOKUP($A214,'01-02.2021'!$A$6:$CZ$403,66,FALSE)+VLOOKUP($A214,'1.3.21-28.2.22'!$A$6:$DA$404,66,FALSE)-VLOOKUP($A214,'01-02.2022'!$A$6:$DA$376,66,FALSE)</f>
        <v>146.77679309308323</v>
      </c>
      <c r="BO214" s="566">
        <f>VLOOKUP($A214,'01-02.2021'!$A$6:$CZ$403,67,FALSE)+VLOOKUP($A214,'1.3.21-28.2.22'!$A$6:$DA$404,67,FALSE)-VLOOKUP($A214,'01-02.2022'!$A$6:$DA$376,67,FALSE)</f>
        <v>0</v>
      </c>
      <c r="BP214" s="55">
        <f t="shared" si="259"/>
        <v>-146.77679309308323</v>
      </c>
      <c r="BQ214" s="77">
        <f t="shared" si="209"/>
        <v>1414.2747840968943</v>
      </c>
      <c r="BR214" s="40">
        <f t="shared" si="237"/>
        <v>6.5</v>
      </c>
      <c r="BS214" s="55">
        <f t="shared" si="236"/>
        <v>-1407.7747840968943</v>
      </c>
      <c r="BT214" s="566">
        <f>VLOOKUP($A214,'01-02.2021'!$A$6:$CZ$403,72,FALSE)+VLOOKUP($A214,'1.3.21-28.2.22'!$A$6:$DA$404,72,FALSE)-VLOOKUP($A214,'01-02.2022'!$A$6:$DA$376,72,FALSE)</f>
        <v>0</v>
      </c>
      <c r="BU214" s="566">
        <f>VLOOKUP($A214,'01-02.2021'!$A$6:$CZ$403,73,FALSE)+VLOOKUP($A214,'1.3.21-28.2.22'!$A$6:$DA$404,73,FALSE)-VLOOKUP($A214,'01-02.2022'!$A$6:$DA$376,73,FALSE)</f>
        <v>0</v>
      </c>
      <c r="BV214" s="70">
        <f t="shared" si="260"/>
        <v>0</v>
      </c>
      <c r="BW214" s="566">
        <f>VLOOKUP($A214,'01-02.2021'!$A$6:$CZ$403,75,FALSE)+VLOOKUP($A214,'1.3.21-28.2.22'!$A$6:$DA$404,75,FALSE)-VLOOKUP($A214,'01-02.2022'!$A$6:$DA$376,75,FALSE)</f>
        <v>125.25877575504839</v>
      </c>
      <c r="BX214" s="566">
        <f>VLOOKUP($A214,'01-02.2021'!$A$6:$CZ$403,76,FALSE)+VLOOKUP($A214,'1.3.21-28.2.22'!$A$6:$DA$404,76,FALSE)-VLOOKUP($A214,'01-02.2022'!$A$6:$DA$376,76,FALSE)</f>
        <v>686.08804332408658</v>
      </c>
      <c r="BY214" s="70">
        <f t="shared" si="261"/>
        <v>560.82926756903817</v>
      </c>
      <c r="BZ214" s="566">
        <f>VLOOKUP($A214,'01-02.2021'!$A$6:$CZ$403,78,FALSE)+VLOOKUP($A214,'1.3.21-28.2.22'!$A$6:$DA$404,78,FALSE)-VLOOKUP($A214,'01-02.2022'!$A$6:$DA$376,78,FALSE)</f>
        <v>0</v>
      </c>
      <c r="CA214" s="566">
        <f>VLOOKUP($A214,'01-02.2021'!$A$6:$CZ$403,79,FALSE)+VLOOKUP($A214,'1.3.21-28.2.22'!$A$6:$DA$404,79,FALSE)-VLOOKUP($A214,'01-02.2022'!$A$6:$DA$376,79,FALSE)</f>
        <v>0</v>
      </c>
      <c r="CB214" s="70">
        <f t="shared" si="262"/>
        <v>0</v>
      </c>
      <c r="CC214" s="566">
        <f>VLOOKUP($A214,'01-02.2021'!$A$6:$CZ$403,81,FALSE)+VLOOKUP($A214,'1.3.21-28.2.22'!$A$6:$DA$404,81,FALSE)-VLOOKUP($A214,'01-02.2022'!$A$6:$DA$376,81,FALSE)</f>
        <v>0</v>
      </c>
      <c r="CD214" s="566">
        <f>VLOOKUP($A214,'01-02.2021'!$A$6:$CZ$403,82,FALSE)+VLOOKUP($A214,'1.3.21-28.2.22'!$A$6:$DA$404,82,FALSE)-VLOOKUP($A214,'01-02.2022'!$A$6:$DA$376,82,FALSE)</f>
        <v>0</v>
      </c>
      <c r="CE214" s="70">
        <f t="shared" si="263"/>
        <v>0</v>
      </c>
      <c r="CF214" s="566">
        <f>VLOOKUP($A214,'01-02.2021'!$A$6:$CZ$403,84,FALSE)+VLOOKUP($A214,'1.3.21-28.2.22'!$A$6:$DA$404,84,FALSE)-VLOOKUP($A214,'01-02.2022'!$A$6:$DA$376,84,FALSE)</f>
        <v>0</v>
      </c>
      <c r="CG214" s="566">
        <f>VLOOKUP($A214,'01-02.2021'!$A$6:$CZ$403,85,FALSE)+VLOOKUP($A214,'1.3.21-28.2.22'!$A$6:$DA$404,85,FALSE)-VLOOKUP($A214,'01-02.2022'!$A$6:$DA$376,85,FALSE)</f>
        <v>0</v>
      </c>
      <c r="CH214" s="70">
        <f t="shared" si="264"/>
        <v>0</v>
      </c>
      <c r="CI214" s="566">
        <f>VLOOKUP($A214,'01-02.2021'!$A$6:$CZ$403,87,FALSE)+VLOOKUP($A214,'1.3.21-28.2.22'!$A$6:$DA$404,87,FALSE)-VLOOKUP($A214,'01-02.2022'!$A$6:$DA$376,87,FALSE)</f>
        <v>2223.1035922546562</v>
      </c>
      <c r="CJ214" s="566">
        <f>VLOOKUP($A214,'01-02.2021'!$A$6:$CZ$403,88,FALSE)+VLOOKUP($A214,'1.3.21-28.2.22'!$A$6:$DA$404,88,FALSE)-VLOOKUP($A214,'01-02.2022'!$A$6:$DA$376,88,FALSE)</f>
        <v>376.05833575718157</v>
      </c>
      <c r="CK214" s="70">
        <f t="shared" si="265"/>
        <v>-1847.0452564974746</v>
      </c>
      <c r="CL214" s="566">
        <f>VLOOKUP($A214,'01-02.2021'!$A$6:$CZ$403,90,FALSE)+VLOOKUP($A214,'1.3.21-28.2.22'!$A$6:$DA$404,90,FALSE)-VLOOKUP($A214,'01-02.2022'!$A$6:$DA$376,90,FALSE)</f>
        <v>0</v>
      </c>
      <c r="CM214" s="566">
        <f>VLOOKUP($A214,'01-02.2021'!$A$6:$CZ$403,91,FALSE)+VLOOKUP($A214,'1.3.21-28.2.22'!$A$6:$DA$404,91,FALSE)-VLOOKUP($A214,'01-02.2022'!$A$6:$DA$376,91,FALSE)</f>
        <v>0</v>
      </c>
      <c r="CN214" s="52">
        <f t="shared" si="225"/>
        <v>0</v>
      </c>
      <c r="CO214" s="39">
        <f t="shared" si="220"/>
        <v>2223.1035922546562</v>
      </c>
      <c r="CP214" s="40">
        <f t="shared" si="226"/>
        <v>376.05833575718157</v>
      </c>
      <c r="CQ214" s="52">
        <f t="shared" si="227"/>
        <v>-1847.0452564974746</v>
      </c>
      <c r="CR214" s="72">
        <f t="shared" si="221"/>
        <v>13936.557517276604</v>
      </c>
      <c r="CS214" s="5">
        <f t="shared" si="221"/>
        <v>6182.1191205729037</v>
      </c>
      <c r="CT214" s="52">
        <f t="shared" si="228"/>
        <v>-7754.4383967037002</v>
      </c>
      <c r="CU214" s="77">
        <f t="shared" si="229"/>
        <v>16723.869020731923</v>
      </c>
      <c r="CV214" s="65">
        <f t="shared" si="230"/>
        <v>7418.5429446874841</v>
      </c>
      <c r="CW214" s="35">
        <f t="shared" si="231"/>
        <v>-9305.3260760444391</v>
      </c>
      <c r="CX214" s="566">
        <f>VLOOKUP($A214,'01-02.2021'!$A$6:$CZ$403,102,FALSE)+VLOOKUP($A214,'1.3.21-28.2.22'!$A$6:$DA$404,102,FALSE)-VLOOKUP($A214,'01-02.2022'!$A$6:$DA$376,102,FALSE)</f>
        <v>591.33633516395491</v>
      </c>
      <c r="CY214" s="566">
        <f>VLOOKUP($A214,'01-02.2021'!$A$6:$CZ$403,103,FALSE)+VLOOKUP($A214,'1.3.21-28.2.22'!$A$6:$DA$404,103,FALSE)-VLOOKUP($A214,'01-02.2022'!$A$6:$DA$376,103,FALSE)</f>
        <v>9896.6624112083937</v>
      </c>
      <c r="CZ214" s="52">
        <f t="shared" si="232"/>
        <v>9305.3260760444391</v>
      </c>
      <c r="DA214" s="150">
        <f>'[2]побудинковий звіт'!DA214</f>
        <v>2430.4093663839685</v>
      </c>
      <c r="DB214" s="2">
        <v>1</v>
      </c>
      <c r="DC214" s="414">
        <f>'[4]побудинковий звіт'!DC214</f>
        <v>4152.13</v>
      </c>
      <c r="DD214" s="414">
        <f>'[4]побудинковий звіт'!DD214</f>
        <v>0</v>
      </c>
      <c r="DE214" s="557">
        <f>'[4]побудинковий звіт'!DE214</f>
        <v>2622.9974190093299</v>
      </c>
      <c r="DF214" s="557">
        <f>'[4]побудинковий звіт'!DF214</f>
        <v>0</v>
      </c>
      <c r="DG214" s="321">
        <f>VLOOKUP(A214,'кошти 01.03.2021'!$A$6:$D$401,4,)</f>
        <v>11350.781873870686</v>
      </c>
      <c r="DH214" s="40">
        <f>'[3]побудинковий звіт'!DJ214</f>
        <v>17719.36920937883</v>
      </c>
      <c r="DI214" s="422">
        <f>'[3]побудинковий звіт'!CU214+'[3]побудинковий звіт'!CX214</f>
        <v>1529.13258099067</v>
      </c>
      <c r="DJ214" s="306">
        <f>'[3]побудинковий звіт'!DM214</f>
        <v>4.2613214273511044</v>
      </c>
      <c r="DK214" s="306">
        <f t="shared" si="267"/>
        <v>4.2613214273511044</v>
      </c>
      <c r="DL214" s="306">
        <f>'[3]побудинковий звіт'!DO214</f>
        <v>4.1999855776374595</v>
      </c>
      <c r="DM214" s="28">
        <f t="shared" si="268"/>
        <v>1529.1325809906702</v>
      </c>
      <c r="DN214" s="28">
        <f t="shared" si="269"/>
        <v>0</v>
      </c>
      <c r="DO214" s="423">
        <f t="shared" si="238"/>
        <v>1529.1325809906702</v>
      </c>
      <c r="DP214" s="94">
        <f t="shared" si="239"/>
        <v>0</v>
      </c>
      <c r="DQ214" s="28">
        <f t="shared" si="240"/>
        <v>1529.1325809906702</v>
      </c>
      <c r="DR214" s="318"/>
      <c r="DT214" s="8"/>
      <c r="DU214" s="5"/>
      <c r="DX214" s="5">
        <f t="shared" si="241"/>
        <v>7977.6998479047852</v>
      </c>
      <c r="DY214" s="5">
        <f t="shared" si="242"/>
        <v>796.19999999999993</v>
      </c>
      <c r="DZ214" s="159">
        <f>'[3]побудинковий звіт'!EA214</f>
        <v>866.33297311847502</v>
      </c>
    </row>
    <row r="215" spans="1:130" x14ac:dyDescent="0.3">
      <c r="A215" s="325">
        <v>150000929</v>
      </c>
      <c r="B215" s="41" t="s">
        <v>1041</v>
      </c>
      <c r="C215" s="42" t="s">
        <v>1034</v>
      </c>
      <c r="D215" s="42"/>
      <c r="E215" s="293">
        <f t="shared" si="218"/>
        <v>488.8</v>
      </c>
      <c r="F215" s="305">
        <f>'[3]побудинковий звіт'!F215</f>
        <v>170.2</v>
      </c>
      <c r="G215" s="508">
        <f>'[3]побудинковий звіт'!G215</f>
        <v>0</v>
      </c>
      <c r="H215" s="560">
        <f>'[3]побудинковий звіт'!H215</f>
        <v>318.60000000000002</v>
      </c>
      <c r="I215" s="566">
        <f>VLOOKUP($A215,'01-02.2021'!$A$6:$CZ$403,9,FALSE)+VLOOKUP($A215,'1.3.21-28.2.22'!$A$6:$DA$404,9,FALSE)-VLOOKUP($A215,'01-02.2022'!$A$6:$DA$376,9,FALSE)</f>
        <v>2475.9608135338585</v>
      </c>
      <c r="J215" s="566">
        <f>VLOOKUP($A215,'01-02.2021'!$A$6:$CZ$403,10,FALSE)+VLOOKUP($A215,'1.3.21-28.2.22'!$A$6:$DA$404,10,FALSE)-VLOOKUP($A215,'01-02.2022'!$A$6:$DA$376,10,FALSE)</f>
        <v>2656.1179556416291</v>
      </c>
      <c r="K215" s="52">
        <f t="shared" si="222"/>
        <v>180.1571421077706</v>
      </c>
      <c r="L215" s="566">
        <f>VLOOKUP($A215,'01-02.2021'!$A$6:$CZ$403,12,FALSE)+VLOOKUP($A215,'1.3.21-28.2.22'!$A$6:$DA$404,12,FALSE)-VLOOKUP($A215,'01-02.2022'!$A$6:$DA$376,12,FALSE)</f>
        <v>546.52539231949436</v>
      </c>
      <c r="M215" s="566">
        <f>VLOOKUP($A215,'01-02.2021'!$A$6:$CZ$403,13,FALSE)+VLOOKUP($A215,'1.3.21-28.2.22'!$A$6:$DA$404,13,FALSE)-VLOOKUP($A215,'01-02.2022'!$A$6:$DA$376,13,FALSE)</f>
        <v>601.74208705088881</v>
      </c>
      <c r="N215" s="52">
        <f>M215-L215</f>
        <v>55.216694731394455</v>
      </c>
      <c r="O215" s="566">
        <f>VLOOKUP($A215,'01-02.2021'!$A$6:$CZ$403,15,FALSE)+VLOOKUP($A215,'1.3.21-28.2.22'!$A$6:$DA$404,15,FALSE)-VLOOKUP($A215,'01-02.2022'!$A$6:$DA$376,15,FALSE)</f>
        <v>0</v>
      </c>
      <c r="P215" s="566">
        <f>VLOOKUP($A215,'01-02.2021'!$A$6:$CZ$403,16,FALSE)+VLOOKUP($A215,'1.3.21-28.2.22'!$A$6:$DA$404,16,FALSE)-VLOOKUP($A215,'01-02.2022'!$A$6:$DA$376,16,FALSE)</f>
        <v>0</v>
      </c>
      <c r="Q215" s="70">
        <f t="shared" si="243"/>
        <v>0</v>
      </c>
      <c r="R215" s="566">
        <f>VLOOKUP($A215,'01-02.2021'!$A$6:$CZ$403,18,FALSE)+VLOOKUP($A215,'1.3.21-28.2.22'!$A$6:$DA$404,18,FALSE)-VLOOKUP($A215,'01-02.2022'!$A$6:$DA$376,18,FALSE)</f>
        <v>0</v>
      </c>
      <c r="S215" s="566">
        <f>VLOOKUP($A215,'01-02.2021'!$A$6:$CZ$403,19,FALSE)+VLOOKUP($A215,'1.3.21-28.2.22'!$A$6:$DA$404,19,FALSE)-VLOOKUP($A215,'01-02.2022'!$A$6:$DA$376,19,FALSE)</f>
        <v>0</v>
      </c>
      <c r="T215" s="70">
        <f t="shared" si="244"/>
        <v>0</v>
      </c>
      <c r="U215" s="566">
        <f>VLOOKUP($A215,'01-02.2021'!$A$6:$CZ$403,21,FALSE)+VLOOKUP($A215,'1.3.21-28.2.22'!$A$6:$DA$404,21,FALSE)-VLOOKUP($A215,'01-02.2022'!$A$6:$DA$376,21,FALSE)</f>
        <v>0</v>
      </c>
      <c r="V215" s="566">
        <f>VLOOKUP($A215,'01-02.2021'!$A$6:$CZ$403,22,FALSE)+VLOOKUP($A215,'1.3.21-28.2.22'!$A$6:$DA$404,22,FALSE)-VLOOKUP($A215,'01-02.2022'!$A$6:$DA$376,22,FALSE)</f>
        <v>0</v>
      </c>
      <c r="W215" s="70">
        <f t="shared" si="245"/>
        <v>0</v>
      </c>
      <c r="X215" s="566">
        <f>VLOOKUP($A215,'01-02.2021'!$A$6:$CZ$403,24,FALSE)+VLOOKUP($A215,'1.3.21-28.2.22'!$A$6:$DA$404,24,FALSE)-VLOOKUP($A215,'01-02.2022'!$A$6:$DA$376,24,FALSE)</f>
        <v>1030.5398660057151</v>
      </c>
      <c r="Y215" s="566">
        <f>VLOOKUP($A215,'01-02.2021'!$A$6:$CZ$403,25,FALSE)+VLOOKUP($A215,'1.3.21-28.2.22'!$A$6:$DA$404,25,FALSE)-VLOOKUP($A215,'01-02.2022'!$A$6:$DA$376,25,FALSE)</f>
        <v>799.12357815092628</v>
      </c>
      <c r="Z215" s="70">
        <f t="shared" si="246"/>
        <v>-231.41628785478883</v>
      </c>
      <c r="AA215" s="566">
        <f>VLOOKUP($A215,'01-02.2021'!$A$6:$CZ$403,27,FALSE)+VLOOKUP($A215,'1.3.21-28.2.22'!$A$6:$DA$404,27,FALSE)-VLOOKUP($A215,'01-02.2022'!$A$6:$DA$376,27,FALSE)</f>
        <v>97.75</v>
      </c>
      <c r="AB215" s="566">
        <f>VLOOKUP($A215,'01-02.2021'!$A$6:$CZ$403,28,FALSE)+VLOOKUP($A215,'1.3.21-28.2.22'!$A$6:$DA$404,28,FALSE)-VLOOKUP($A215,'01-02.2022'!$A$6:$DA$376,28,FALSE)</f>
        <v>0</v>
      </c>
      <c r="AC215" s="70">
        <f t="shared" si="247"/>
        <v>-97.75</v>
      </c>
      <c r="AD215" s="566">
        <f>VLOOKUP($A215,'01-02.2021'!$A$6:$CZ$403,30,FALSE)+VLOOKUP($A215,'1.3.21-28.2.22'!$A$6:$DA$404,30,FALSE)-VLOOKUP($A215,'01-02.2022'!$A$6:$DA$376,30,FALSE)</f>
        <v>1970.1820978342412</v>
      </c>
      <c r="AE215" s="566">
        <f>VLOOKUP($A215,'01-02.2021'!$A$6:$CZ$403,31,FALSE)+VLOOKUP($A215,'1.3.21-28.2.22'!$A$6:$DA$404,31,FALSE)-VLOOKUP($A215,'01-02.2022'!$A$6:$DA$376,31,FALSE)</f>
        <v>2225.0372948519744</v>
      </c>
      <c r="AF215" s="68">
        <f t="shared" si="248"/>
        <v>254.85519701773319</v>
      </c>
      <c r="AG215" s="77">
        <f t="shared" ref="AG215" si="270">I215+L215+O215+R215+U215+X215+AA215+AD215</f>
        <v>6120.9581696933092</v>
      </c>
      <c r="AH215" s="53">
        <f>J215+M215+P215+S215+V215+Y215+AB215+AE215</f>
        <v>6282.0209156954188</v>
      </c>
      <c r="AI215" s="52">
        <f t="shared" ref="AI215" si="271">AH215-AG215</f>
        <v>161.06274600210963</v>
      </c>
      <c r="AJ215" s="566">
        <f>VLOOKUP($A215,'01-02.2021'!$A$6:$CZ$403,36,FALSE)+VLOOKUP($A215,'1.3.21-28.2.22'!$A$6:$DA$404,36,FALSE)-VLOOKUP($A215,'01-02.2022'!$A$6:$DA$376,36,FALSE)</f>
        <v>0</v>
      </c>
      <c r="AK215" s="566">
        <f>VLOOKUP($A215,'01-02.2021'!$A$6:$CZ$403,37,FALSE)+VLOOKUP($A215,'1.3.21-28.2.22'!$A$6:$DA$404,37,FALSE)-VLOOKUP($A215,'01-02.2022'!$A$6:$DA$376,37,FALSE)</f>
        <v>0</v>
      </c>
      <c r="AL215" s="70">
        <f t="shared" si="249"/>
        <v>0</v>
      </c>
      <c r="AM215" s="566">
        <f>VLOOKUP($A215,'01-02.2021'!$A$6:$CZ$403,39,FALSE)+VLOOKUP($A215,'1.3.21-28.2.22'!$A$6:$DA$404,39,FALSE)-VLOOKUP($A215,'01-02.2022'!$A$6:$DA$376,39,FALSE)</f>
        <v>0</v>
      </c>
      <c r="AN215" s="566">
        <f>VLOOKUP($A215,'01-02.2021'!$A$6:$CZ$403,40,FALSE)+VLOOKUP($A215,'1.3.21-28.2.22'!$A$6:$DA$404,40,FALSE)-VLOOKUP($A215,'01-02.2022'!$A$6:$DA$376,40,FALSE)</f>
        <v>0</v>
      </c>
      <c r="AO215" s="70">
        <f t="shared" si="250"/>
        <v>0</v>
      </c>
      <c r="AP215" s="566">
        <f>VLOOKUP($A215,'01-02.2021'!$A$6:$CZ$403,42,FALSE)+VLOOKUP($A215,'1.3.21-28.2.22'!$A$6:$DA$404,42,FALSE)-VLOOKUP($A215,'01-02.2022'!$A$6:$DA$376,42,FALSE)</f>
        <v>310.87808750638874</v>
      </c>
      <c r="AQ215" s="566">
        <f>VLOOKUP($A215,'01-02.2021'!$A$6:$CZ$403,43,FALSE)+VLOOKUP($A215,'1.3.21-28.2.22'!$A$6:$DA$404,43,FALSE)-VLOOKUP($A215,'01-02.2022'!$A$6:$DA$376,43,FALSE)</f>
        <v>336.57337442243158</v>
      </c>
      <c r="AR215" s="70">
        <f t="shared" si="251"/>
        <v>25.695286916042846</v>
      </c>
      <c r="AS215" s="566">
        <f>VLOOKUP($A215,'01-02.2021'!$A$6:$CZ$403,45,FALSE)+VLOOKUP($A215,'1.3.21-28.2.22'!$A$6:$DA$404,45,FALSE)-VLOOKUP($A215,'01-02.2022'!$A$6:$DA$376,45,FALSE)</f>
        <v>7065.015591543437</v>
      </c>
      <c r="AT215" s="566">
        <f>VLOOKUP($A215,'01-02.2021'!$A$6:$CZ$403,46,FALSE)+VLOOKUP($A215,'1.3.21-28.2.22'!$A$6:$DA$404,46,FALSE)-VLOOKUP($A215,'01-02.2022'!$A$6:$DA$376,46,FALSE)</f>
        <v>2090.5734664795864</v>
      </c>
      <c r="AU215" s="78">
        <f t="shared" si="252"/>
        <v>-4974.4421250638507</v>
      </c>
      <c r="AV215" s="566">
        <f>VLOOKUP($A215,'01-02.2021'!$A$6:$CZ$403,48,FALSE)+VLOOKUP($A215,'1.3.21-28.2.22'!$A$6:$DA$404,48,FALSE)-VLOOKUP($A215,'01-02.2022'!$A$6:$DA$376,48,FALSE)</f>
        <v>866.23503965059479</v>
      </c>
      <c r="AW215" s="566">
        <f>VLOOKUP($A215,'01-02.2021'!$A$6:$CZ$403,49,FALSE)+VLOOKUP($A215,'1.3.21-28.2.22'!$A$6:$DA$404,49,FALSE)-VLOOKUP($A215,'01-02.2022'!$A$6:$DA$376,49,FALSE)</f>
        <v>0</v>
      </c>
      <c r="AX215" s="55">
        <f t="shared" si="253"/>
        <v>-866.23503965059479</v>
      </c>
      <c r="AY215" s="566">
        <f>VLOOKUP($A215,'01-02.2021'!$A$6:$CZ$403,51,FALSE)+VLOOKUP($A215,'1.3.21-28.2.22'!$A$6:$DA$404,51,FALSE)-VLOOKUP($A215,'01-02.2022'!$A$6:$DA$376,51,FALSE)</f>
        <v>1027.5042211297443</v>
      </c>
      <c r="AZ215" s="566">
        <f>VLOOKUP($A215,'01-02.2021'!$A$6:$CZ$403,52,FALSE)+VLOOKUP($A215,'1.3.21-28.2.22'!$A$6:$DA$404,52,FALSE)-VLOOKUP($A215,'01-02.2022'!$A$6:$DA$376,52,FALSE)</f>
        <v>0</v>
      </c>
      <c r="BA215" s="38">
        <f t="shared" si="254"/>
        <v>-1027.5042211297443</v>
      </c>
      <c r="BB215" s="566">
        <f>VLOOKUP($A215,'01-02.2021'!$A$6:$CZ$403,54,FALSE)+VLOOKUP($A215,'1.3.21-28.2.22'!$A$6:$DA$404,54,FALSE)-VLOOKUP($A215,'01-02.2022'!$A$6:$DA$376,54,FALSE)</f>
        <v>0</v>
      </c>
      <c r="BC215" s="566">
        <f>VLOOKUP($A215,'01-02.2021'!$A$6:$CZ$403,55,FALSE)+VLOOKUP($A215,'1.3.21-28.2.22'!$A$6:$DA$404,55,FALSE)-VLOOKUP($A215,'01-02.2022'!$A$6:$DA$376,55,FALSE)</f>
        <v>0</v>
      </c>
      <c r="BD215" s="55">
        <f t="shared" si="255"/>
        <v>0</v>
      </c>
      <c r="BE215" s="566">
        <f>VLOOKUP($A215,'01-02.2021'!$A$6:$CZ$403,57,FALSE)+VLOOKUP($A215,'1.3.21-28.2.22'!$A$6:$DA$404,57,FALSE)-VLOOKUP($A215,'01-02.2022'!$A$6:$DA$376,57,FALSE)</f>
        <v>0</v>
      </c>
      <c r="BF215" s="566">
        <f>VLOOKUP($A215,'01-02.2021'!$A$6:$CZ$403,58,FALSE)+VLOOKUP($A215,'1.3.21-28.2.22'!$A$6:$DA$404,58,FALSE)-VLOOKUP($A215,'01-02.2022'!$A$6:$DA$376,58,FALSE)</f>
        <v>0</v>
      </c>
      <c r="BG215" s="55">
        <f t="shared" si="256"/>
        <v>0</v>
      </c>
      <c r="BH215" s="566">
        <f>VLOOKUP($A215,'01-02.2021'!$A$6:$CZ$403,60,FALSE)+VLOOKUP($A215,'1.3.21-28.2.22'!$A$6:$DA$404,60,FALSE)-VLOOKUP($A215,'01-02.2022'!$A$6:$DA$376,60,FALSE)</f>
        <v>0</v>
      </c>
      <c r="BI215" s="566">
        <f>VLOOKUP($A215,'01-02.2021'!$A$6:$CZ$403,61,FALSE)+VLOOKUP($A215,'1.3.21-28.2.22'!$A$6:$DA$404,61,FALSE)-VLOOKUP($A215,'01-02.2022'!$A$6:$DA$376,61,FALSE)</f>
        <v>0</v>
      </c>
      <c r="BJ215" s="55">
        <f t="shared" si="257"/>
        <v>0</v>
      </c>
      <c r="BK215" s="566">
        <f>VLOOKUP($A215,'01-02.2021'!$A$6:$CZ$403,63,FALSE)+VLOOKUP($A215,'1.3.21-28.2.22'!$A$6:$DA$404,63,FALSE)-VLOOKUP($A215,'01-02.2022'!$A$6:$DA$376,63,FALSE)</f>
        <v>104.39946978690465</v>
      </c>
      <c r="BL215" s="566">
        <f>VLOOKUP($A215,'01-02.2021'!$A$6:$CZ$403,64,FALSE)+VLOOKUP($A215,'1.3.21-28.2.22'!$A$6:$DA$404,64,FALSE)-VLOOKUP($A215,'01-02.2022'!$A$6:$DA$376,64,FALSE)</f>
        <v>703</v>
      </c>
      <c r="BM215" s="55">
        <f t="shared" si="258"/>
        <v>598.60053021309534</v>
      </c>
      <c r="BN215" s="566">
        <f>VLOOKUP($A215,'01-02.2021'!$A$6:$CZ$403,66,FALSE)+VLOOKUP($A215,'1.3.21-28.2.22'!$A$6:$DA$404,66,FALSE)-VLOOKUP($A215,'01-02.2022'!$A$6:$DA$376,66,FALSE)</f>
        <v>24.449999999999996</v>
      </c>
      <c r="BO215" s="566">
        <f>VLOOKUP($A215,'01-02.2021'!$A$6:$CZ$403,67,FALSE)+VLOOKUP($A215,'1.3.21-28.2.22'!$A$6:$DA$404,67,FALSE)-VLOOKUP($A215,'01-02.2022'!$A$6:$DA$376,67,FALSE)</f>
        <v>0</v>
      </c>
      <c r="BP215" s="55">
        <f t="shared" si="259"/>
        <v>-24.449999999999996</v>
      </c>
      <c r="BQ215" s="77">
        <f t="shared" ref="BQ215" si="272">AV215+AY215+BB215+BE215+BH215+BK215+BN215</f>
        <v>2022.5887305672436</v>
      </c>
      <c r="BR215" s="40">
        <f t="shared" ref="BR215" si="273">AW215+AZ215+BC215+BF215+BI215+BL215+BO215</f>
        <v>703</v>
      </c>
      <c r="BS215" s="55">
        <f t="shared" ref="BS215" si="274">BR215-BQ215</f>
        <v>-1319.5887305672436</v>
      </c>
      <c r="BT215" s="566">
        <f>VLOOKUP($A215,'01-02.2021'!$A$6:$CZ$403,72,FALSE)+VLOOKUP($A215,'1.3.21-28.2.22'!$A$6:$DA$404,72,FALSE)-VLOOKUP($A215,'01-02.2022'!$A$6:$DA$376,72,FALSE)</f>
        <v>6286.3000215363245</v>
      </c>
      <c r="BU215" s="566">
        <f>VLOOKUP($A215,'01-02.2021'!$A$6:$CZ$403,73,FALSE)+VLOOKUP($A215,'1.3.21-28.2.22'!$A$6:$DA$404,73,FALSE)-VLOOKUP($A215,'01-02.2022'!$A$6:$DA$376,73,FALSE)</f>
        <v>6725.2098815945037</v>
      </c>
      <c r="BV215" s="70">
        <f t="shared" si="260"/>
        <v>438.90986005817922</v>
      </c>
      <c r="BW215" s="566">
        <f>VLOOKUP($A215,'01-02.2021'!$A$6:$CZ$403,75,FALSE)+VLOOKUP($A215,'1.3.21-28.2.22'!$A$6:$DA$404,75,FALSE)-VLOOKUP($A215,'01-02.2022'!$A$6:$DA$376,75,FALSE)</f>
        <v>1615.6709056839088</v>
      </c>
      <c r="BX215" s="566">
        <f>VLOOKUP($A215,'01-02.2021'!$A$6:$CZ$403,76,FALSE)+VLOOKUP($A215,'1.3.21-28.2.22'!$A$6:$DA$404,76,FALSE)-VLOOKUP($A215,'01-02.2022'!$A$6:$DA$376,76,FALSE)</f>
        <v>2362.6522141171745</v>
      </c>
      <c r="BY215" s="70">
        <f t="shared" si="261"/>
        <v>746.98130843326567</v>
      </c>
      <c r="BZ215" s="566">
        <f>VLOOKUP($A215,'01-02.2021'!$A$6:$CZ$403,78,FALSE)+VLOOKUP($A215,'1.3.21-28.2.22'!$A$6:$DA$404,78,FALSE)-VLOOKUP($A215,'01-02.2022'!$A$6:$DA$376,78,FALSE)</f>
        <v>1739.0528072026359</v>
      </c>
      <c r="CA215" s="566">
        <f>VLOOKUP($A215,'01-02.2021'!$A$6:$CZ$403,79,FALSE)+VLOOKUP($A215,'1.3.21-28.2.22'!$A$6:$DA$404,79,FALSE)-VLOOKUP($A215,'01-02.2022'!$A$6:$DA$376,79,FALSE)</f>
        <v>1659.286959741979</v>
      </c>
      <c r="CB215" s="70">
        <f t="shared" si="262"/>
        <v>-79.765847460656914</v>
      </c>
      <c r="CC215" s="566">
        <f>VLOOKUP($A215,'01-02.2021'!$A$6:$CZ$403,81,FALSE)+VLOOKUP($A215,'1.3.21-28.2.22'!$A$6:$DA$404,81,FALSE)-VLOOKUP($A215,'01-02.2022'!$A$6:$DA$376,81,FALSE)</f>
        <v>0</v>
      </c>
      <c r="CD215" s="566">
        <f>VLOOKUP($A215,'01-02.2021'!$A$6:$CZ$403,82,FALSE)+VLOOKUP($A215,'1.3.21-28.2.22'!$A$6:$DA$404,82,FALSE)-VLOOKUP($A215,'01-02.2022'!$A$6:$DA$376,82,FALSE)</f>
        <v>0</v>
      </c>
      <c r="CE215" s="70">
        <f t="shared" si="263"/>
        <v>0</v>
      </c>
      <c r="CF215" s="566">
        <f>VLOOKUP($A215,'01-02.2021'!$A$6:$CZ$403,84,FALSE)+VLOOKUP($A215,'1.3.21-28.2.22'!$A$6:$DA$404,84,FALSE)-VLOOKUP($A215,'01-02.2022'!$A$6:$DA$376,84,FALSE)</f>
        <v>0</v>
      </c>
      <c r="CG215" s="566">
        <f>VLOOKUP($A215,'01-02.2021'!$A$6:$CZ$403,85,FALSE)+VLOOKUP($A215,'1.3.21-28.2.22'!$A$6:$DA$404,85,FALSE)-VLOOKUP($A215,'01-02.2022'!$A$6:$DA$376,85,FALSE)</f>
        <v>0</v>
      </c>
      <c r="CH215" s="70">
        <f t="shared" si="264"/>
        <v>0</v>
      </c>
      <c r="CI215" s="566">
        <f>VLOOKUP($A215,'01-02.2021'!$A$6:$CZ$403,87,FALSE)+VLOOKUP($A215,'1.3.21-28.2.22'!$A$6:$DA$404,87,FALSE)-VLOOKUP($A215,'01-02.2022'!$A$6:$DA$376,87,FALSE)</f>
        <v>353.61133812017255</v>
      </c>
      <c r="CJ215" s="566">
        <f>VLOOKUP($A215,'01-02.2021'!$A$6:$CZ$403,88,FALSE)+VLOOKUP($A215,'1.3.21-28.2.22'!$A$6:$DA$404,88,FALSE)-VLOOKUP($A215,'01-02.2022'!$A$6:$DA$376,88,FALSE)</f>
        <v>213.0651341420467</v>
      </c>
      <c r="CK215" s="70">
        <f t="shared" si="265"/>
        <v>-140.54620397812585</v>
      </c>
      <c r="CL215" s="566">
        <f>VLOOKUP($A215,'01-02.2021'!$A$6:$CZ$403,90,FALSE)+VLOOKUP($A215,'1.3.21-28.2.22'!$A$6:$DA$404,90,FALSE)-VLOOKUP($A215,'01-02.2022'!$A$6:$DA$376,90,FALSE)</f>
        <v>0</v>
      </c>
      <c r="CM215" s="566">
        <f>VLOOKUP($A215,'01-02.2021'!$A$6:$CZ$403,91,FALSE)+VLOOKUP($A215,'1.3.21-28.2.22'!$A$6:$DA$404,91,FALSE)-VLOOKUP($A215,'01-02.2022'!$A$6:$DA$376,91,FALSE)</f>
        <v>0</v>
      </c>
      <c r="CN215" s="52">
        <f t="shared" ref="CN215" si="275">CM215-CL215</f>
        <v>0</v>
      </c>
      <c r="CO215" s="39">
        <f t="shared" ref="CO215" si="276">CI215+CL215</f>
        <v>353.61133812017255</v>
      </c>
      <c r="CP215" s="40">
        <f t="shared" ref="CP215" si="277">CJ215+CM215</f>
        <v>213.0651341420467</v>
      </c>
      <c r="CQ215" s="52">
        <f t="shared" ref="CQ215" si="278">CP215-CO215</f>
        <v>-140.54620397812585</v>
      </c>
      <c r="CR215" s="72">
        <f t="shared" ref="CR215" si="279">AG215+AJ215+AM215+AP215+AS215+BQ215+BT215+BW215+BZ215+CC215+CF215+CO215</f>
        <v>25514.075651853422</v>
      </c>
      <c r="CS215" s="5">
        <f t="shared" ref="CS215" si="280">AH215+AK215+AN215+AQ215+AT215+BR215+BU215+BX215+CA215+CD215+CG215+CP215</f>
        <v>20372.381946193138</v>
      </c>
      <c r="CT215" s="52">
        <f t="shared" ref="CT215" si="281">CS215-CR215</f>
        <v>-5141.6937056602837</v>
      </c>
      <c r="CU215" s="77">
        <f t="shared" ref="CU215" si="282">CR215*1.2</f>
        <v>30616.890782224105</v>
      </c>
      <c r="CV215" s="65">
        <f t="shared" ref="CV215" si="283">CS215*1.2</f>
        <v>24446.858335431763</v>
      </c>
      <c r="CW215" s="35">
        <f t="shared" ref="CW215" si="284">CV215-CU215</f>
        <v>-6170.0324467923419</v>
      </c>
      <c r="CX215" s="566">
        <f>VLOOKUP($A215,'01-02.2021'!$A$6:$CZ$403,102,FALSE)+VLOOKUP($A215,'1.3.21-28.2.22'!$A$6:$DA$404,102,FALSE)-VLOOKUP($A215,'01-02.2022'!$A$6:$DA$376,102,FALSE)</f>
        <v>580.49321638230037</v>
      </c>
      <c r="CY215" s="566">
        <f>VLOOKUP($A215,'01-02.2021'!$A$6:$CZ$403,103,FALSE)+VLOOKUP($A215,'1.3.21-28.2.22'!$A$6:$DA$404,103,FALSE)-VLOOKUP($A215,'01-02.2022'!$A$6:$DA$376,103,FALSE)</f>
        <v>6750.5256631746406</v>
      </c>
      <c r="CZ215" s="52">
        <f t="shared" ref="CZ215" si="285">CY215-CX215</f>
        <v>6170.0324467923401</v>
      </c>
      <c r="DA215" s="150">
        <f>'[2]побудинковий звіт'!DA215</f>
        <v>7789.8326884263906</v>
      </c>
      <c r="DB215" s="2">
        <v>2</v>
      </c>
      <c r="DC215" s="414">
        <f>'[4]побудинковий звіт'!DC215</f>
        <v>20564.759999999998</v>
      </c>
      <c r="DD215" s="414">
        <f>'[4]побудинковий звіт'!DD215</f>
        <v>7481.7800000000007</v>
      </c>
      <c r="DE215" s="557">
        <f>'[4]побудинковий звіт'!DE215</f>
        <v>19460.773878946802</v>
      </c>
      <c r="DF215" s="557">
        <f>'[4]побудинковий звіт'!DF215</f>
        <v>5789.0502950211812</v>
      </c>
      <c r="DG215" s="321">
        <f>VLOOKUP(A215,'кошти 01.03.2021'!$A$6:$D$401,4,)</f>
        <v>15026.759538433907</v>
      </c>
      <c r="DH215" s="40">
        <f>'[3]побудинковий звіт'!DJ215</f>
        <v>32125.809720524983</v>
      </c>
      <c r="DI215" s="422">
        <f>'[3]побудинковий звіт'!CU215+'[3]побудинковий звіт'!CX215</f>
        <v>2796.7158260320152</v>
      </c>
      <c r="DJ215" s="306">
        <f>'[3]побудинковий звіт'!DM215</f>
        <v>6.4864049415581411</v>
      </c>
      <c r="DK215" s="306">
        <f t="shared" si="267"/>
        <v>6.4864049415581411</v>
      </c>
      <c r="DL215" s="306">
        <f>'[3]побудинковий звіт'!DO215</f>
        <v>5.3130248116096013</v>
      </c>
      <c r="DM215" s="28">
        <f t="shared" si="268"/>
        <v>1103.9861210531956</v>
      </c>
      <c r="DN215" s="28">
        <f t="shared" si="269"/>
        <v>1692.729704978819</v>
      </c>
      <c r="DO215" s="423">
        <f t="shared" si="238"/>
        <v>2796.7158260320148</v>
      </c>
      <c r="DP215" s="94">
        <f t="shared" si="239"/>
        <v>0</v>
      </c>
      <c r="DQ215" s="28">
        <f t="shared" si="240"/>
        <v>2796.7158260320148</v>
      </c>
      <c r="DR215" s="318"/>
      <c r="DT215" s="8"/>
      <c r="DU215" s="5"/>
      <c r="DX215" s="5">
        <f t="shared" si="241"/>
        <v>10905.125186532818</v>
      </c>
      <c r="DY215" s="5">
        <f t="shared" si="242"/>
        <v>3352.2881597755036</v>
      </c>
      <c r="DZ215" s="159">
        <f>'[3]побудинковий звіт'!EA215</f>
        <v>953.57216950468796</v>
      </c>
    </row>
    <row r="216" spans="1:130" x14ac:dyDescent="0.3">
      <c r="A216" s="325">
        <v>150000930</v>
      </c>
      <c r="B216" s="41" t="s">
        <v>663</v>
      </c>
      <c r="C216" s="42" t="s">
        <v>173</v>
      </c>
      <c r="D216" s="42"/>
      <c r="E216" s="293">
        <f t="shared" si="218"/>
        <v>327.9</v>
      </c>
      <c r="F216" s="305">
        <f>'[3]побудинковий звіт'!F216</f>
        <v>239.5</v>
      </c>
      <c r="G216" s="508">
        <f>'[3]побудинковий звіт'!G216</f>
        <v>0</v>
      </c>
      <c r="H216" s="560">
        <f>'[3]побудинковий звіт'!H216</f>
        <v>88.4</v>
      </c>
      <c r="I216" s="566">
        <f>VLOOKUP($A216,'01-02.2021'!$A$6:$CZ$403,9,FALSE)+VLOOKUP($A216,'1.3.21-28.2.22'!$A$6:$DA$404,9,FALSE)-VLOOKUP($A216,'01-02.2022'!$A$6:$DA$376,9,FALSE)</f>
        <v>1090.7051737495528</v>
      </c>
      <c r="J216" s="566">
        <f>VLOOKUP($A216,'01-02.2021'!$A$6:$CZ$403,10,FALSE)+VLOOKUP($A216,'1.3.21-28.2.22'!$A$6:$DA$404,10,FALSE)-VLOOKUP($A216,'01-02.2022'!$A$6:$DA$376,10,FALSE)</f>
        <v>1219.1737116156714</v>
      </c>
      <c r="K216" s="52">
        <f t="shared" si="222"/>
        <v>128.4685378661186</v>
      </c>
      <c r="L216" s="566">
        <f>VLOOKUP($A216,'01-02.2021'!$A$6:$CZ$403,12,FALSE)+VLOOKUP($A216,'1.3.21-28.2.22'!$A$6:$DA$404,12,FALSE)-VLOOKUP($A216,'01-02.2022'!$A$6:$DA$376,12,FALSE)</f>
        <v>330.59150360852686</v>
      </c>
      <c r="M216" s="566">
        <f>VLOOKUP($A216,'01-02.2021'!$A$6:$CZ$403,13,FALSE)+VLOOKUP($A216,'1.3.21-28.2.22'!$A$6:$DA$404,13,FALSE)-VLOOKUP($A216,'01-02.2022'!$A$6:$DA$376,13,FALSE)</f>
        <v>363.99558676825524</v>
      </c>
      <c r="N216" s="52">
        <f>M216-L216</f>
        <v>33.404083159728373</v>
      </c>
      <c r="O216" s="566">
        <f>VLOOKUP($A216,'01-02.2021'!$A$6:$CZ$403,15,FALSE)+VLOOKUP($A216,'1.3.21-28.2.22'!$A$6:$DA$404,15,FALSE)-VLOOKUP($A216,'01-02.2022'!$A$6:$DA$376,15,FALSE)</f>
        <v>455.8223308455166</v>
      </c>
      <c r="P216" s="566">
        <f>VLOOKUP($A216,'01-02.2021'!$A$6:$CZ$403,16,FALSE)+VLOOKUP($A216,'1.3.21-28.2.22'!$A$6:$DA$404,16,FALSE)-VLOOKUP($A216,'01-02.2022'!$A$6:$DA$376,16,FALSE)</f>
        <v>455.82999999999993</v>
      </c>
      <c r="Q216" s="70">
        <f t="shared" si="243"/>
        <v>7.6691544833238368E-3</v>
      </c>
      <c r="R216" s="566">
        <f>VLOOKUP($A216,'01-02.2021'!$A$6:$CZ$403,18,FALSE)+VLOOKUP($A216,'1.3.21-28.2.22'!$A$6:$DA$404,18,FALSE)-VLOOKUP($A216,'01-02.2022'!$A$6:$DA$376,18,FALSE)</f>
        <v>0</v>
      </c>
      <c r="S216" s="566">
        <f>VLOOKUP($A216,'01-02.2021'!$A$6:$CZ$403,19,FALSE)+VLOOKUP($A216,'1.3.21-28.2.22'!$A$6:$DA$404,19,FALSE)-VLOOKUP($A216,'01-02.2022'!$A$6:$DA$376,19,FALSE)</f>
        <v>0</v>
      </c>
      <c r="T216" s="70">
        <f t="shared" si="244"/>
        <v>0</v>
      </c>
      <c r="U216" s="566">
        <f>VLOOKUP($A216,'01-02.2021'!$A$6:$CZ$403,21,FALSE)+VLOOKUP($A216,'1.3.21-28.2.22'!$A$6:$DA$404,21,FALSE)-VLOOKUP($A216,'01-02.2022'!$A$6:$DA$376,21,FALSE)</f>
        <v>0</v>
      </c>
      <c r="V216" s="566">
        <f>VLOOKUP($A216,'01-02.2021'!$A$6:$CZ$403,22,FALSE)+VLOOKUP($A216,'1.3.21-28.2.22'!$A$6:$DA$404,22,FALSE)-VLOOKUP($A216,'01-02.2022'!$A$6:$DA$376,22,FALSE)</f>
        <v>0</v>
      </c>
      <c r="W216" s="70">
        <f t="shared" si="245"/>
        <v>0</v>
      </c>
      <c r="X216" s="566">
        <f>VLOOKUP($A216,'01-02.2021'!$A$6:$CZ$403,24,FALSE)+VLOOKUP($A216,'1.3.21-28.2.22'!$A$6:$DA$404,24,FALSE)-VLOOKUP($A216,'01-02.2022'!$A$6:$DA$376,24,FALSE)</f>
        <v>492.6805958896561</v>
      </c>
      <c r="Y216" s="566">
        <f>VLOOKUP($A216,'01-02.2021'!$A$6:$CZ$403,25,FALSE)+VLOOKUP($A216,'1.3.21-28.2.22'!$A$6:$DA$404,25,FALSE)-VLOOKUP($A216,'01-02.2022'!$A$6:$DA$376,25,FALSE)</f>
        <v>399.97398466051612</v>
      </c>
      <c r="Z216" s="70">
        <f t="shared" si="246"/>
        <v>-92.70661122913998</v>
      </c>
      <c r="AA216" s="566">
        <f>VLOOKUP($A216,'01-02.2021'!$A$6:$CZ$403,27,FALSE)+VLOOKUP($A216,'1.3.21-28.2.22'!$A$6:$DA$404,27,FALSE)-VLOOKUP($A216,'01-02.2022'!$A$6:$DA$376,27,FALSE)</f>
        <v>64.78</v>
      </c>
      <c r="AB216" s="566">
        <f>VLOOKUP($A216,'01-02.2021'!$A$6:$CZ$403,28,FALSE)+VLOOKUP($A216,'1.3.21-28.2.22'!$A$6:$DA$404,28,FALSE)-VLOOKUP($A216,'01-02.2022'!$A$6:$DA$376,28,FALSE)</f>
        <v>0</v>
      </c>
      <c r="AC216" s="70">
        <f t="shared" si="247"/>
        <v>-64.78</v>
      </c>
      <c r="AD216" s="566">
        <f>VLOOKUP($A216,'01-02.2021'!$A$6:$CZ$403,30,FALSE)+VLOOKUP($A216,'1.3.21-28.2.22'!$A$6:$DA$404,30,FALSE)-VLOOKUP($A216,'01-02.2022'!$A$6:$DA$376,30,FALSE)</f>
        <v>1392.8270409934662</v>
      </c>
      <c r="AE216" s="566">
        <f>VLOOKUP($A216,'01-02.2021'!$A$6:$CZ$403,31,FALSE)+VLOOKUP($A216,'1.3.21-28.2.22'!$A$6:$DA$404,31,FALSE)-VLOOKUP($A216,'01-02.2022'!$A$6:$DA$376,31,FALSE)</f>
        <v>1492.6140118288915</v>
      </c>
      <c r="AF216" s="68">
        <f t="shared" si="248"/>
        <v>99.786970835425336</v>
      </c>
      <c r="AG216" s="77">
        <f t="shared" si="219"/>
        <v>3827.406645086719</v>
      </c>
      <c r="AH216" s="53">
        <f>J216+M216+P216+S216+V216+Y216+AB216+AE216</f>
        <v>3931.587294873334</v>
      </c>
      <c r="AI216" s="52">
        <f t="shared" si="224"/>
        <v>104.18064978661505</v>
      </c>
      <c r="AJ216" s="566">
        <f>VLOOKUP($A216,'01-02.2021'!$A$6:$CZ$403,36,FALSE)+VLOOKUP($A216,'1.3.21-28.2.22'!$A$6:$DA$404,36,FALSE)-VLOOKUP($A216,'01-02.2022'!$A$6:$DA$376,36,FALSE)</f>
        <v>0</v>
      </c>
      <c r="AK216" s="566">
        <f>VLOOKUP($A216,'01-02.2021'!$A$6:$CZ$403,37,FALSE)+VLOOKUP($A216,'1.3.21-28.2.22'!$A$6:$DA$404,37,FALSE)-VLOOKUP($A216,'01-02.2022'!$A$6:$DA$376,37,FALSE)</f>
        <v>0</v>
      </c>
      <c r="AL216" s="70">
        <f t="shared" si="249"/>
        <v>0</v>
      </c>
      <c r="AM216" s="566">
        <f>VLOOKUP($A216,'01-02.2021'!$A$6:$CZ$403,39,FALSE)+VLOOKUP($A216,'1.3.21-28.2.22'!$A$6:$DA$404,39,FALSE)-VLOOKUP($A216,'01-02.2022'!$A$6:$DA$376,39,FALSE)</f>
        <v>0</v>
      </c>
      <c r="AN216" s="566">
        <f>VLOOKUP($A216,'01-02.2021'!$A$6:$CZ$403,40,FALSE)+VLOOKUP($A216,'1.3.21-28.2.22'!$A$6:$DA$404,40,FALSE)-VLOOKUP($A216,'01-02.2022'!$A$6:$DA$376,40,FALSE)</f>
        <v>0</v>
      </c>
      <c r="AO216" s="70">
        <f t="shared" si="250"/>
        <v>0</v>
      </c>
      <c r="AP216" s="566">
        <f>VLOOKUP($A216,'01-02.2021'!$A$6:$CZ$403,42,FALSE)+VLOOKUP($A216,'1.3.21-28.2.22'!$A$6:$DA$404,42,FALSE)-VLOOKUP($A216,'01-02.2022'!$A$6:$DA$376,42,FALSE)</f>
        <v>780.83988751916593</v>
      </c>
      <c r="AQ216" s="566">
        <f>VLOOKUP($A216,'01-02.2021'!$A$6:$CZ$403,43,FALSE)+VLOOKUP($A216,'1.3.21-28.2.22'!$A$6:$DA$404,43,FALSE)-VLOOKUP($A216,'01-02.2022'!$A$6:$DA$376,43,FALSE)</f>
        <v>561.34170567558067</v>
      </c>
      <c r="AR216" s="70">
        <f t="shared" si="251"/>
        <v>-219.49818184358526</v>
      </c>
      <c r="AS216" s="566">
        <f>VLOOKUP($A216,'01-02.2021'!$A$6:$CZ$403,45,FALSE)+VLOOKUP($A216,'1.3.21-28.2.22'!$A$6:$DA$404,45,FALSE)-VLOOKUP($A216,'01-02.2022'!$A$6:$DA$376,45,FALSE)</f>
        <v>3624.1540457867291</v>
      </c>
      <c r="AT216" s="566">
        <f>VLOOKUP($A216,'01-02.2021'!$A$6:$CZ$403,46,FALSE)+VLOOKUP($A216,'1.3.21-28.2.22'!$A$6:$DA$404,46,FALSE)-VLOOKUP($A216,'01-02.2022'!$A$6:$DA$376,46,FALSE)</f>
        <v>0</v>
      </c>
      <c r="AU216" s="78">
        <f t="shared" si="252"/>
        <v>-3624.1540457867291</v>
      </c>
      <c r="AV216" s="566">
        <f>VLOOKUP($A216,'01-02.2021'!$A$6:$CZ$403,48,FALSE)+VLOOKUP($A216,'1.3.21-28.2.22'!$A$6:$DA$404,48,FALSE)-VLOOKUP($A216,'01-02.2022'!$A$6:$DA$376,48,FALSE)</f>
        <v>501.36840027345488</v>
      </c>
      <c r="AW216" s="566">
        <f>VLOOKUP($A216,'01-02.2021'!$A$6:$CZ$403,49,FALSE)+VLOOKUP($A216,'1.3.21-28.2.22'!$A$6:$DA$404,49,FALSE)-VLOOKUP($A216,'01-02.2022'!$A$6:$DA$376,49,FALSE)</f>
        <v>0</v>
      </c>
      <c r="AX216" s="55">
        <f t="shared" si="253"/>
        <v>-501.36840027345488</v>
      </c>
      <c r="AY216" s="566">
        <f>VLOOKUP($A216,'01-02.2021'!$A$6:$CZ$403,51,FALSE)+VLOOKUP($A216,'1.3.21-28.2.22'!$A$6:$DA$404,51,FALSE)-VLOOKUP($A216,'01-02.2022'!$A$6:$DA$376,51,FALSE)</f>
        <v>621.26645535708542</v>
      </c>
      <c r="AZ216" s="566">
        <f>VLOOKUP($A216,'01-02.2021'!$A$6:$CZ$403,52,FALSE)+VLOOKUP($A216,'1.3.21-28.2.22'!$A$6:$DA$404,52,FALSE)-VLOOKUP($A216,'01-02.2022'!$A$6:$DA$376,52,FALSE)</f>
        <v>0</v>
      </c>
      <c r="BA216" s="38">
        <f t="shared" si="254"/>
        <v>-621.26645535708542</v>
      </c>
      <c r="BB216" s="566">
        <f>VLOOKUP($A216,'01-02.2021'!$A$6:$CZ$403,54,FALSE)+VLOOKUP($A216,'1.3.21-28.2.22'!$A$6:$DA$404,54,FALSE)-VLOOKUP($A216,'01-02.2022'!$A$6:$DA$376,54,FALSE)</f>
        <v>190.31554397161221</v>
      </c>
      <c r="BC216" s="566">
        <f>VLOOKUP($A216,'01-02.2021'!$A$6:$CZ$403,55,FALSE)+VLOOKUP($A216,'1.3.21-28.2.22'!$A$6:$DA$404,55,FALSE)-VLOOKUP($A216,'01-02.2022'!$A$6:$DA$376,55,FALSE)</f>
        <v>0</v>
      </c>
      <c r="BD216" s="55">
        <f t="shared" si="255"/>
        <v>-190.31554397161221</v>
      </c>
      <c r="BE216" s="566">
        <f>VLOOKUP($A216,'01-02.2021'!$A$6:$CZ$403,57,FALSE)+VLOOKUP($A216,'1.3.21-28.2.22'!$A$6:$DA$404,57,FALSE)-VLOOKUP($A216,'01-02.2022'!$A$6:$DA$376,57,FALSE)</f>
        <v>0</v>
      </c>
      <c r="BF216" s="566">
        <f>VLOOKUP($A216,'01-02.2021'!$A$6:$CZ$403,58,FALSE)+VLOOKUP($A216,'1.3.21-28.2.22'!$A$6:$DA$404,58,FALSE)-VLOOKUP($A216,'01-02.2022'!$A$6:$DA$376,58,FALSE)</f>
        <v>0</v>
      </c>
      <c r="BG216" s="55">
        <f t="shared" si="256"/>
        <v>0</v>
      </c>
      <c r="BH216" s="566">
        <f>VLOOKUP($A216,'01-02.2021'!$A$6:$CZ$403,60,FALSE)+VLOOKUP($A216,'1.3.21-28.2.22'!$A$6:$DA$404,60,FALSE)-VLOOKUP($A216,'01-02.2022'!$A$6:$DA$376,60,FALSE)</f>
        <v>0</v>
      </c>
      <c r="BI216" s="566">
        <f>VLOOKUP($A216,'01-02.2021'!$A$6:$CZ$403,61,FALSE)+VLOOKUP($A216,'1.3.21-28.2.22'!$A$6:$DA$404,61,FALSE)-VLOOKUP($A216,'01-02.2022'!$A$6:$DA$376,61,FALSE)</f>
        <v>0</v>
      </c>
      <c r="BJ216" s="55">
        <f t="shared" si="257"/>
        <v>0</v>
      </c>
      <c r="BK216" s="566">
        <f>VLOOKUP($A216,'01-02.2021'!$A$6:$CZ$403,63,FALSE)+VLOOKUP($A216,'1.3.21-28.2.22'!$A$6:$DA$404,63,FALSE)-VLOOKUP($A216,'01-02.2022'!$A$6:$DA$376,63,FALSE)</f>
        <v>52.121302866423825</v>
      </c>
      <c r="BL216" s="566">
        <f>VLOOKUP($A216,'01-02.2021'!$A$6:$CZ$403,64,FALSE)+VLOOKUP($A216,'1.3.21-28.2.22'!$A$6:$DA$404,64,FALSE)-VLOOKUP($A216,'01-02.2022'!$A$6:$DA$376,64,FALSE)</f>
        <v>0</v>
      </c>
      <c r="BM216" s="55">
        <f t="shared" si="258"/>
        <v>-52.121302866423825</v>
      </c>
      <c r="BN216" s="566">
        <f>VLOOKUP($A216,'01-02.2021'!$A$6:$CZ$403,66,FALSE)+VLOOKUP($A216,'1.3.21-28.2.22'!$A$6:$DA$404,66,FALSE)-VLOOKUP($A216,'01-02.2022'!$A$6:$DA$376,66,FALSE)</f>
        <v>16.195</v>
      </c>
      <c r="BO216" s="566">
        <f>VLOOKUP($A216,'01-02.2021'!$A$6:$CZ$403,67,FALSE)+VLOOKUP($A216,'1.3.21-28.2.22'!$A$6:$DA$404,67,FALSE)-VLOOKUP($A216,'01-02.2022'!$A$6:$DA$376,67,FALSE)</f>
        <v>0</v>
      </c>
      <c r="BP216" s="55">
        <f t="shared" si="259"/>
        <v>-16.195</v>
      </c>
      <c r="BQ216" s="77">
        <f t="shared" si="209"/>
        <v>1381.2667024685761</v>
      </c>
      <c r="BR216" s="40">
        <f t="shared" si="237"/>
        <v>0</v>
      </c>
      <c r="BS216" s="55">
        <f t="shared" si="236"/>
        <v>-1381.2667024685761</v>
      </c>
      <c r="BT216" s="566">
        <f>VLOOKUP($A216,'01-02.2021'!$A$6:$CZ$403,72,FALSE)+VLOOKUP($A216,'1.3.21-28.2.22'!$A$6:$DA$404,72,FALSE)-VLOOKUP($A216,'01-02.2022'!$A$6:$DA$376,72,FALSE)</f>
        <v>5224.5790178647958</v>
      </c>
      <c r="BU216" s="566">
        <f>VLOOKUP($A216,'01-02.2021'!$A$6:$CZ$403,73,FALSE)+VLOOKUP($A216,'1.3.21-28.2.22'!$A$6:$DA$404,73,FALSE)-VLOOKUP($A216,'01-02.2022'!$A$6:$DA$376,73,FALSE)</f>
        <v>6355.2792978063553</v>
      </c>
      <c r="BV216" s="70">
        <f t="shared" si="260"/>
        <v>1130.7002799415595</v>
      </c>
      <c r="BW216" s="566">
        <f>VLOOKUP($A216,'01-02.2021'!$A$6:$CZ$403,75,FALSE)+VLOOKUP($A216,'1.3.21-28.2.22'!$A$6:$DA$404,75,FALSE)-VLOOKUP($A216,'01-02.2022'!$A$6:$DA$376,75,FALSE)</f>
        <v>2992.2976751640954</v>
      </c>
      <c r="BX216" s="566">
        <f>VLOOKUP($A216,'01-02.2021'!$A$6:$CZ$403,76,FALSE)+VLOOKUP($A216,'1.3.21-28.2.22'!$A$6:$DA$404,76,FALSE)-VLOOKUP($A216,'01-02.2022'!$A$6:$DA$376,76,FALSE)</f>
        <v>3052.584152881388</v>
      </c>
      <c r="BY216" s="70">
        <f t="shared" si="261"/>
        <v>60.286477717292655</v>
      </c>
      <c r="BZ216" s="566">
        <f>VLOOKUP($A216,'01-02.2021'!$A$6:$CZ$403,78,FALSE)+VLOOKUP($A216,'1.3.21-28.2.22'!$A$6:$DA$404,78,FALSE)-VLOOKUP($A216,'01-02.2022'!$A$6:$DA$376,78,FALSE)</f>
        <v>1698.7719524871948</v>
      </c>
      <c r="CA216" s="566">
        <f>VLOOKUP($A216,'01-02.2021'!$A$6:$CZ$403,79,FALSE)+VLOOKUP($A216,'1.3.21-28.2.22'!$A$6:$DA$404,79,FALSE)-VLOOKUP($A216,'01-02.2022'!$A$6:$DA$376,79,FALSE)</f>
        <v>1193.0981347596744</v>
      </c>
      <c r="CB216" s="70">
        <f t="shared" si="262"/>
        <v>-505.67381772752037</v>
      </c>
      <c r="CC216" s="566">
        <f>VLOOKUP($A216,'01-02.2021'!$A$6:$CZ$403,81,FALSE)+VLOOKUP($A216,'1.3.21-28.2.22'!$A$6:$DA$404,81,FALSE)-VLOOKUP($A216,'01-02.2022'!$A$6:$DA$376,81,FALSE)</f>
        <v>162.91557180329943</v>
      </c>
      <c r="CD216" s="566">
        <f>VLOOKUP($A216,'01-02.2021'!$A$6:$CZ$403,82,FALSE)+VLOOKUP($A216,'1.3.21-28.2.22'!$A$6:$DA$404,82,FALSE)-VLOOKUP($A216,'01-02.2022'!$A$6:$DA$376,82,FALSE)</f>
        <v>178.06558275725351</v>
      </c>
      <c r="CE216" s="70">
        <f t="shared" si="263"/>
        <v>15.15001095395408</v>
      </c>
      <c r="CF216" s="566">
        <f>VLOOKUP($A216,'01-02.2021'!$A$6:$CZ$403,84,FALSE)+VLOOKUP($A216,'1.3.21-28.2.22'!$A$6:$DA$404,84,FALSE)-VLOOKUP($A216,'01-02.2022'!$A$6:$DA$376,84,FALSE)</f>
        <v>19.805743661035905</v>
      </c>
      <c r="CG216" s="566">
        <f>VLOOKUP($A216,'01-02.2021'!$A$6:$CZ$403,85,FALSE)+VLOOKUP($A216,'1.3.21-28.2.22'!$A$6:$DA$404,85,FALSE)-VLOOKUP($A216,'01-02.2022'!$A$6:$DA$376,85,FALSE)</f>
        <v>0</v>
      </c>
      <c r="CH216" s="70">
        <f t="shared" si="264"/>
        <v>-19.805743661035905</v>
      </c>
      <c r="CI216" s="566">
        <f>VLOOKUP($A216,'01-02.2021'!$A$6:$CZ$403,87,FALSE)+VLOOKUP($A216,'1.3.21-28.2.22'!$A$6:$DA$404,87,FALSE)-VLOOKUP($A216,'01-02.2022'!$A$6:$DA$376,87,FALSE)</f>
        <v>190.11133812017252</v>
      </c>
      <c r="CJ216" s="566">
        <f>VLOOKUP($A216,'01-02.2021'!$A$6:$CZ$403,88,FALSE)+VLOOKUP($A216,'1.3.21-28.2.22'!$A$6:$DA$404,88,FALSE)-VLOOKUP($A216,'01-02.2022'!$A$6:$DA$376,88,FALSE)</f>
        <v>88.31122334589719</v>
      </c>
      <c r="CK216" s="70">
        <f t="shared" si="265"/>
        <v>-101.80011477427533</v>
      </c>
      <c r="CL216" s="566">
        <f>VLOOKUP($A216,'01-02.2021'!$A$6:$CZ$403,90,FALSE)+VLOOKUP($A216,'1.3.21-28.2.22'!$A$6:$DA$404,90,FALSE)-VLOOKUP($A216,'01-02.2022'!$A$6:$DA$376,90,FALSE)</f>
        <v>0</v>
      </c>
      <c r="CM216" s="566">
        <f>VLOOKUP($A216,'01-02.2021'!$A$6:$CZ$403,91,FALSE)+VLOOKUP($A216,'1.3.21-28.2.22'!$A$6:$DA$404,91,FALSE)-VLOOKUP($A216,'01-02.2022'!$A$6:$DA$376,91,FALSE)</f>
        <v>0</v>
      </c>
      <c r="CN216" s="52">
        <f t="shared" si="225"/>
        <v>0</v>
      </c>
      <c r="CO216" s="39">
        <f t="shared" si="220"/>
        <v>190.11133812017252</v>
      </c>
      <c r="CP216" s="40">
        <f t="shared" si="226"/>
        <v>88.31122334589719</v>
      </c>
      <c r="CQ216" s="52">
        <f t="shared" si="227"/>
        <v>-101.80011477427533</v>
      </c>
      <c r="CR216" s="72">
        <f t="shared" si="221"/>
        <v>19902.148579961784</v>
      </c>
      <c r="CS216" s="5">
        <f t="shared" si="221"/>
        <v>15360.267392099486</v>
      </c>
      <c r="CT216" s="52">
        <f t="shared" si="228"/>
        <v>-4541.8811878622982</v>
      </c>
      <c r="CU216" s="77">
        <f t="shared" si="229"/>
        <v>23882.578295954139</v>
      </c>
      <c r="CV216" s="65">
        <f t="shared" si="230"/>
        <v>18432.320870519383</v>
      </c>
      <c r="CW216" s="35">
        <f t="shared" si="231"/>
        <v>-5450.2574254347564</v>
      </c>
      <c r="CX216" s="566">
        <f>VLOOKUP($A216,'01-02.2021'!$A$6:$CZ$403,102,FALSE)+VLOOKUP($A216,'1.3.21-28.2.22'!$A$6:$DA$404,102,FALSE)-VLOOKUP($A216,'01-02.2022'!$A$6:$DA$376,102,FALSE)</f>
        <v>832.84653741706904</v>
      </c>
      <c r="CY216" s="566">
        <f>VLOOKUP($A216,'01-02.2021'!$A$6:$CZ$403,103,FALSE)+VLOOKUP($A216,'1.3.21-28.2.22'!$A$6:$DA$404,103,FALSE)-VLOOKUP($A216,'01-02.2022'!$A$6:$DA$376,103,FALSE)</f>
        <v>6283.1039628518229</v>
      </c>
      <c r="CZ216" s="52">
        <f t="shared" si="232"/>
        <v>5450.2574254347537</v>
      </c>
      <c r="DA216" s="150">
        <f>'[2]побудинковий звіт'!DA216</f>
        <v>10140.994438337904</v>
      </c>
      <c r="DB216" s="2">
        <v>2</v>
      </c>
      <c r="DC216" s="414">
        <f>'[4]побудинковий звіт'!DC216</f>
        <v>3880.73</v>
      </c>
      <c r="DD216" s="414">
        <f>'[4]побудинковий звіт'!DD216</f>
        <v>505.88</v>
      </c>
      <c r="DE216" s="557">
        <f>'[4]побудинковий звіт'!DE216</f>
        <v>2141.2641316698073</v>
      </c>
      <c r="DF216" s="557">
        <f>'[4]побудинковий звіт'!DF216</f>
        <v>8.2896348496319661E-3</v>
      </c>
      <c r="DG216" s="321">
        <f>VLOOKUP(A216,'кошти 01.03.2021'!$A$6:$D$401,4,)</f>
        <v>16037.931155232905</v>
      </c>
      <c r="DH216" s="40">
        <f>'[3]побудинковий звіт'!DJ216</f>
        <v>25593.822588516494</v>
      </c>
      <c r="DI216" s="422">
        <f>'[3]побудинковий звіт'!CU216+'[3]побудинковий звіт'!CX216</f>
        <v>2245.3375786953434</v>
      </c>
      <c r="DJ216" s="306">
        <f>'[3]побудинковий звіт'!DM216</f>
        <v>7.2629055045102007</v>
      </c>
      <c r="DK216" s="306">
        <f t="shared" si="267"/>
        <v>7.2629055045102007</v>
      </c>
      <c r="DL216" s="306">
        <f>'[3]побудинковий звіт'!DO216</f>
        <v>5.7225306602392569</v>
      </c>
      <c r="DM216" s="28">
        <f t="shared" si="268"/>
        <v>1739.465868330193</v>
      </c>
      <c r="DN216" s="28">
        <f t="shared" si="269"/>
        <v>505.87171036515036</v>
      </c>
      <c r="DO216" s="423">
        <f t="shared" si="238"/>
        <v>2245.3375786953434</v>
      </c>
      <c r="DP216" s="94">
        <f t="shared" si="239"/>
        <v>0</v>
      </c>
      <c r="DQ216" s="28">
        <f t="shared" si="240"/>
        <v>2245.3375786953434</v>
      </c>
      <c r="DR216" s="318"/>
      <c r="DT216" s="8"/>
      <c r="DU216" s="5"/>
      <c r="DX216" s="5">
        <f t="shared" si="241"/>
        <v>6006.5048979063658</v>
      </c>
      <c r="DY216" s="5">
        <f t="shared" si="242"/>
        <v>0</v>
      </c>
      <c r="DZ216" s="159">
        <f>'[3]побудинковий звіт'!EA216</f>
        <v>504.37159617902557</v>
      </c>
    </row>
    <row r="217" spans="1:130" x14ac:dyDescent="0.3">
      <c r="A217" s="325">
        <v>150000931</v>
      </c>
      <c r="B217" s="41" t="s">
        <v>664</v>
      </c>
      <c r="C217" s="42" t="s">
        <v>267</v>
      </c>
      <c r="D217" s="42"/>
      <c r="E217" s="293">
        <f t="shared" si="218"/>
        <v>2292.33</v>
      </c>
      <c r="F217" s="305">
        <f>'[3]побудинковий звіт'!F217</f>
        <v>2128.4299999999998</v>
      </c>
      <c r="G217" s="508">
        <f>'[3]побудинковий звіт'!G217</f>
        <v>0</v>
      </c>
      <c r="H217" s="560">
        <f>'[3]побудинковий звіт'!H217</f>
        <v>163.9</v>
      </c>
      <c r="I217" s="566">
        <f>VLOOKUP($A217,'01-02.2021'!$A$6:$CZ$403,9,FALSE)+VLOOKUP($A217,'1.3.21-28.2.22'!$A$6:$DA$404,9,FALSE)-VLOOKUP($A217,'01-02.2022'!$A$6:$DA$376,9,FALSE)</f>
        <v>7433.8001296527054</v>
      </c>
      <c r="J217" s="566">
        <f>VLOOKUP($A217,'01-02.2021'!$A$6:$CZ$403,10,FALSE)+VLOOKUP($A217,'1.3.21-28.2.22'!$A$6:$DA$404,10,FALSE)-VLOOKUP($A217,'01-02.2022'!$A$6:$DA$376,10,FALSE)</f>
        <v>8144.897554041363</v>
      </c>
      <c r="K217" s="52">
        <f t="shared" si="222"/>
        <v>711.0974243886576</v>
      </c>
      <c r="L217" s="566">
        <f>VLOOKUP($A217,'01-02.2021'!$A$6:$CZ$403,12,FALSE)+VLOOKUP($A217,'1.3.21-28.2.22'!$A$6:$DA$404,12,FALSE)-VLOOKUP($A217,'01-02.2022'!$A$6:$DA$376,12,FALSE)</f>
        <v>1606.6005209325358</v>
      </c>
      <c r="M217" s="566">
        <f>VLOOKUP($A217,'01-02.2021'!$A$6:$CZ$403,13,FALSE)+VLOOKUP($A217,'1.3.21-28.2.22'!$A$6:$DA$404,13,FALSE)-VLOOKUP($A217,'01-02.2022'!$A$6:$DA$376,13,FALSE)</f>
        <v>1810.8065755555501</v>
      </c>
      <c r="N217" s="52">
        <f t="shared" si="223"/>
        <v>204.20605462301432</v>
      </c>
      <c r="O217" s="566">
        <f>VLOOKUP($A217,'01-02.2021'!$A$6:$CZ$403,15,FALSE)+VLOOKUP($A217,'1.3.21-28.2.22'!$A$6:$DA$404,15,FALSE)-VLOOKUP($A217,'01-02.2022'!$A$6:$DA$376,15,FALSE)</f>
        <v>2845.4801134839331</v>
      </c>
      <c r="P217" s="566">
        <f>VLOOKUP($A217,'01-02.2021'!$A$6:$CZ$403,16,FALSE)+VLOOKUP($A217,'1.3.21-28.2.22'!$A$6:$DA$404,16,FALSE)-VLOOKUP($A217,'01-02.2022'!$A$6:$DA$376,16,FALSE)</f>
        <v>2845.4599999999996</v>
      </c>
      <c r="Q217" s="70">
        <f t="shared" si="243"/>
        <v>-2.0113483933528187E-2</v>
      </c>
      <c r="R217" s="566">
        <f>VLOOKUP($A217,'01-02.2021'!$A$6:$CZ$403,18,FALSE)+VLOOKUP($A217,'1.3.21-28.2.22'!$A$6:$DA$404,18,FALSE)-VLOOKUP($A217,'01-02.2022'!$A$6:$DA$376,18,FALSE)</f>
        <v>717.98762778721652</v>
      </c>
      <c r="S217" s="566">
        <f>VLOOKUP($A217,'01-02.2021'!$A$6:$CZ$403,19,FALSE)+VLOOKUP($A217,'1.3.21-28.2.22'!$A$6:$DA$404,19,FALSE)-VLOOKUP($A217,'01-02.2022'!$A$6:$DA$376,19,FALSE)</f>
        <v>717.99</v>
      </c>
      <c r="T217" s="70">
        <f t="shared" si="244"/>
        <v>2.3722127834844287E-3</v>
      </c>
      <c r="U217" s="566">
        <f>VLOOKUP($A217,'01-02.2021'!$A$6:$CZ$403,21,FALSE)+VLOOKUP($A217,'1.3.21-28.2.22'!$A$6:$DA$404,21,FALSE)-VLOOKUP($A217,'01-02.2022'!$A$6:$DA$376,21,FALSE)</f>
        <v>457.79129681017355</v>
      </c>
      <c r="V217" s="566">
        <f>VLOOKUP($A217,'01-02.2021'!$A$6:$CZ$403,22,FALSE)+VLOOKUP($A217,'1.3.21-28.2.22'!$A$6:$DA$404,22,FALSE)-VLOOKUP($A217,'01-02.2022'!$A$6:$DA$376,22,FALSE)</f>
        <v>1557.5572153213545</v>
      </c>
      <c r="W217" s="70">
        <f t="shared" si="245"/>
        <v>1099.7659185111811</v>
      </c>
      <c r="X217" s="566">
        <f>VLOOKUP($A217,'01-02.2021'!$A$6:$CZ$403,24,FALSE)+VLOOKUP($A217,'1.3.21-28.2.22'!$A$6:$DA$404,24,FALSE)-VLOOKUP($A217,'01-02.2022'!$A$6:$DA$376,24,FALSE)</f>
        <v>5131.9031269375891</v>
      </c>
      <c r="Y217" s="566">
        <f>VLOOKUP($A217,'01-02.2021'!$A$6:$CZ$403,25,FALSE)+VLOOKUP($A217,'1.3.21-28.2.22'!$A$6:$DA$404,25,FALSE)-VLOOKUP($A217,'01-02.2022'!$A$6:$DA$376,25,FALSE)</f>
        <v>4110.084388375557</v>
      </c>
      <c r="Z217" s="70">
        <f t="shared" si="246"/>
        <v>-1021.8187385620322</v>
      </c>
      <c r="AA217" s="566">
        <f>VLOOKUP($A217,'01-02.2021'!$A$6:$CZ$403,27,FALSE)+VLOOKUP($A217,'1.3.21-28.2.22'!$A$6:$DA$404,27,FALSE)-VLOOKUP($A217,'01-02.2022'!$A$6:$DA$376,27,FALSE)</f>
        <v>458.46600000000001</v>
      </c>
      <c r="AB217" s="566">
        <f>VLOOKUP($A217,'01-02.2021'!$A$6:$CZ$403,28,FALSE)+VLOOKUP($A217,'1.3.21-28.2.22'!$A$6:$DA$404,28,FALSE)-VLOOKUP($A217,'01-02.2022'!$A$6:$DA$376,28,FALSE)</f>
        <v>0</v>
      </c>
      <c r="AC217" s="70">
        <f t="shared" si="247"/>
        <v>-458.46600000000001</v>
      </c>
      <c r="AD217" s="566">
        <f>VLOOKUP($A217,'01-02.2021'!$A$6:$CZ$403,30,FALSE)+VLOOKUP($A217,'1.3.21-28.2.22'!$A$6:$DA$404,30,FALSE)-VLOOKUP($A217,'01-02.2022'!$A$6:$DA$376,30,FALSE)</f>
        <v>9835.6395976317908</v>
      </c>
      <c r="AE217" s="566">
        <f>VLOOKUP($A217,'01-02.2021'!$A$6:$CZ$403,31,FALSE)+VLOOKUP($A217,'1.3.21-28.2.22'!$A$6:$DA$404,31,FALSE)-VLOOKUP($A217,'01-02.2022'!$A$6:$DA$376,31,FALSE)</f>
        <v>10434.778523134257</v>
      </c>
      <c r="AF217" s="68">
        <f t="shared" si="248"/>
        <v>599.13892550246601</v>
      </c>
      <c r="AG217" s="77">
        <f t="shared" si="219"/>
        <v>28487.668413235944</v>
      </c>
      <c r="AH217" s="53">
        <f t="shared" si="219"/>
        <v>29621.574256428081</v>
      </c>
      <c r="AI217" s="52">
        <f t="shared" si="224"/>
        <v>1133.9058431921367</v>
      </c>
      <c r="AJ217" s="566">
        <f>VLOOKUP($A217,'01-02.2021'!$A$6:$CZ$403,36,FALSE)+VLOOKUP($A217,'1.3.21-28.2.22'!$A$6:$DA$404,36,FALSE)-VLOOKUP($A217,'01-02.2022'!$A$6:$DA$376,36,FALSE)</f>
        <v>0</v>
      </c>
      <c r="AK217" s="566">
        <f>VLOOKUP($A217,'01-02.2021'!$A$6:$CZ$403,37,FALSE)+VLOOKUP($A217,'1.3.21-28.2.22'!$A$6:$DA$404,37,FALSE)-VLOOKUP($A217,'01-02.2022'!$A$6:$DA$376,37,FALSE)</f>
        <v>0</v>
      </c>
      <c r="AL217" s="70">
        <f t="shared" si="249"/>
        <v>0</v>
      </c>
      <c r="AM217" s="566">
        <f>VLOOKUP($A217,'01-02.2021'!$A$6:$CZ$403,39,FALSE)+VLOOKUP($A217,'1.3.21-28.2.22'!$A$6:$DA$404,39,FALSE)-VLOOKUP($A217,'01-02.2022'!$A$6:$DA$376,39,FALSE)</f>
        <v>0</v>
      </c>
      <c r="AN217" s="566">
        <f>VLOOKUP($A217,'01-02.2021'!$A$6:$CZ$403,40,FALSE)+VLOOKUP($A217,'1.3.21-28.2.22'!$A$6:$DA$404,40,FALSE)-VLOOKUP($A217,'01-02.2022'!$A$6:$DA$376,40,FALSE)</f>
        <v>0</v>
      </c>
      <c r="AO217" s="70">
        <f t="shared" si="250"/>
        <v>0</v>
      </c>
      <c r="AP217" s="566">
        <f>VLOOKUP($A217,'01-02.2021'!$A$6:$CZ$403,42,FALSE)+VLOOKUP($A217,'1.3.21-28.2.22'!$A$6:$DA$404,42,FALSE)-VLOOKUP($A217,'01-02.2022'!$A$6:$DA$376,42,FALSE)</f>
        <v>1605.0597687893965</v>
      </c>
      <c r="AQ217" s="566">
        <f>VLOOKUP($A217,'01-02.2021'!$A$6:$CZ$403,43,FALSE)+VLOOKUP($A217,'1.3.21-28.2.22'!$A$6:$DA$404,43,FALSE)-VLOOKUP($A217,'01-02.2022'!$A$6:$DA$376,43,FALSE)</f>
        <v>1382.7779720279721</v>
      </c>
      <c r="AR217" s="70">
        <f t="shared" si="251"/>
        <v>-222.2817967614244</v>
      </c>
      <c r="AS217" s="566">
        <f>VLOOKUP($A217,'01-02.2021'!$A$6:$CZ$403,45,FALSE)+VLOOKUP($A217,'1.3.21-28.2.22'!$A$6:$DA$404,45,FALSE)-VLOOKUP($A217,'01-02.2022'!$A$6:$DA$376,45,FALSE)</f>
        <v>20228.339725946655</v>
      </c>
      <c r="AT217" s="566">
        <f>VLOOKUP($A217,'01-02.2021'!$A$6:$CZ$403,46,FALSE)+VLOOKUP($A217,'1.3.21-28.2.22'!$A$6:$DA$404,46,FALSE)-VLOOKUP($A217,'01-02.2022'!$A$6:$DA$376,46,FALSE)</f>
        <v>16676.739999999998</v>
      </c>
      <c r="AU217" s="78">
        <f t="shared" si="252"/>
        <v>-3551.5997259466567</v>
      </c>
      <c r="AV217" s="566">
        <f>VLOOKUP($A217,'01-02.2021'!$A$6:$CZ$403,48,FALSE)+VLOOKUP($A217,'1.3.21-28.2.22'!$A$6:$DA$404,48,FALSE)-VLOOKUP($A217,'01-02.2022'!$A$6:$DA$376,48,FALSE)</f>
        <v>2210.4631450183219</v>
      </c>
      <c r="AW217" s="566">
        <f>VLOOKUP($A217,'01-02.2021'!$A$6:$CZ$403,49,FALSE)+VLOOKUP($A217,'1.3.21-28.2.22'!$A$6:$DA$404,49,FALSE)-VLOOKUP($A217,'01-02.2022'!$A$6:$DA$376,49,FALSE)</f>
        <v>3274</v>
      </c>
      <c r="AX217" s="55">
        <f t="shared" si="253"/>
        <v>1063.5368549816781</v>
      </c>
      <c r="AY217" s="566">
        <f>VLOOKUP($A217,'01-02.2021'!$A$6:$CZ$403,51,FALSE)+VLOOKUP($A217,'1.3.21-28.2.22'!$A$6:$DA$404,51,FALSE)-VLOOKUP($A217,'01-02.2022'!$A$6:$DA$376,51,FALSE)</f>
        <v>3020.2706966422911</v>
      </c>
      <c r="AZ217" s="566">
        <f>VLOOKUP($A217,'01-02.2021'!$A$6:$CZ$403,52,FALSE)+VLOOKUP($A217,'1.3.21-28.2.22'!$A$6:$DA$404,52,FALSE)-VLOOKUP($A217,'01-02.2022'!$A$6:$DA$376,52,FALSE)</f>
        <v>7393</v>
      </c>
      <c r="BA217" s="38">
        <f t="shared" si="254"/>
        <v>4372.7293033577089</v>
      </c>
      <c r="BB217" s="566">
        <f>VLOOKUP($A217,'01-02.2021'!$A$6:$CZ$403,54,FALSE)+VLOOKUP($A217,'1.3.21-28.2.22'!$A$6:$DA$404,54,FALSE)-VLOOKUP($A217,'01-02.2022'!$A$6:$DA$376,54,FALSE)</f>
        <v>1384.0943463783751</v>
      </c>
      <c r="BC217" s="566">
        <f>VLOOKUP($A217,'01-02.2021'!$A$6:$CZ$403,55,FALSE)+VLOOKUP($A217,'1.3.21-28.2.22'!$A$6:$DA$404,55,FALSE)-VLOOKUP($A217,'01-02.2022'!$A$6:$DA$376,55,FALSE)</f>
        <v>0</v>
      </c>
      <c r="BD217" s="55">
        <f t="shared" si="255"/>
        <v>-1384.0943463783751</v>
      </c>
      <c r="BE217" s="566">
        <f>VLOOKUP($A217,'01-02.2021'!$A$6:$CZ$403,57,FALSE)+VLOOKUP($A217,'1.3.21-28.2.22'!$A$6:$DA$404,57,FALSE)-VLOOKUP($A217,'01-02.2022'!$A$6:$DA$376,57,FALSE)</f>
        <v>1829.054745513085</v>
      </c>
      <c r="BF217" s="566">
        <f>VLOOKUP($A217,'01-02.2021'!$A$6:$CZ$403,58,FALSE)+VLOOKUP($A217,'1.3.21-28.2.22'!$A$6:$DA$404,58,FALSE)-VLOOKUP($A217,'01-02.2022'!$A$6:$DA$376,58,FALSE)</f>
        <v>0</v>
      </c>
      <c r="BG217" s="55">
        <f t="shared" si="256"/>
        <v>-1829.054745513085</v>
      </c>
      <c r="BH217" s="566">
        <f>VLOOKUP($A217,'01-02.2021'!$A$6:$CZ$403,60,FALSE)+VLOOKUP($A217,'1.3.21-28.2.22'!$A$6:$DA$404,60,FALSE)-VLOOKUP($A217,'01-02.2022'!$A$6:$DA$376,60,FALSE)</f>
        <v>1027.219662045015</v>
      </c>
      <c r="BI217" s="566">
        <f>VLOOKUP($A217,'01-02.2021'!$A$6:$CZ$403,61,FALSE)+VLOOKUP($A217,'1.3.21-28.2.22'!$A$6:$DA$404,61,FALSE)-VLOOKUP($A217,'01-02.2022'!$A$6:$DA$376,61,FALSE)</f>
        <v>0</v>
      </c>
      <c r="BJ217" s="55">
        <f t="shared" si="257"/>
        <v>-1027.219662045015</v>
      </c>
      <c r="BK217" s="566">
        <f>VLOOKUP($A217,'01-02.2021'!$A$6:$CZ$403,63,FALSE)+VLOOKUP($A217,'1.3.21-28.2.22'!$A$6:$DA$404,63,FALSE)-VLOOKUP($A217,'01-02.2022'!$A$6:$DA$376,63,FALSE)</f>
        <v>1497.1211709453273</v>
      </c>
      <c r="BL217" s="566">
        <f>VLOOKUP($A217,'01-02.2021'!$A$6:$CZ$403,64,FALSE)+VLOOKUP($A217,'1.3.21-28.2.22'!$A$6:$DA$404,64,FALSE)-VLOOKUP($A217,'01-02.2022'!$A$6:$DA$376,64,FALSE)</f>
        <v>0</v>
      </c>
      <c r="BM217" s="55">
        <f t="shared" si="258"/>
        <v>-1497.1211709453273</v>
      </c>
      <c r="BN217" s="566">
        <f>VLOOKUP($A217,'01-02.2021'!$A$6:$CZ$403,66,FALSE)+VLOOKUP($A217,'1.3.21-28.2.22'!$A$6:$DA$404,66,FALSE)-VLOOKUP($A217,'01-02.2022'!$A$6:$DA$376,66,FALSE)</f>
        <v>114.6165</v>
      </c>
      <c r="BO217" s="566">
        <f>VLOOKUP($A217,'01-02.2021'!$A$6:$CZ$403,67,FALSE)+VLOOKUP($A217,'1.3.21-28.2.22'!$A$6:$DA$404,67,FALSE)-VLOOKUP($A217,'01-02.2022'!$A$6:$DA$376,67,FALSE)</f>
        <v>0</v>
      </c>
      <c r="BP217" s="55">
        <f t="shared" si="259"/>
        <v>-114.6165</v>
      </c>
      <c r="BQ217" s="77">
        <f t="shared" si="209"/>
        <v>11082.840266542415</v>
      </c>
      <c r="BR217" s="40">
        <f t="shared" si="237"/>
        <v>10667</v>
      </c>
      <c r="BS217" s="55">
        <f t="shared" si="236"/>
        <v>-415.84026654241461</v>
      </c>
      <c r="BT217" s="566">
        <f>VLOOKUP($A217,'01-02.2021'!$A$6:$CZ$403,72,FALSE)+VLOOKUP($A217,'1.3.21-28.2.22'!$A$6:$DA$404,72,FALSE)-VLOOKUP($A217,'01-02.2022'!$A$6:$DA$376,72,FALSE)</f>
        <v>19558.986874799539</v>
      </c>
      <c r="BU217" s="566">
        <f>VLOOKUP($A217,'01-02.2021'!$A$6:$CZ$403,73,FALSE)+VLOOKUP($A217,'1.3.21-28.2.22'!$A$6:$DA$404,73,FALSE)-VLOOKUP($A217,'01-02.2022'!$A$6:$DA$376,73,FALSE)</f>
        <v>27560.285269422398</v>
      </c>
      <c r="BV217" s="70">
        <f t="shared" si="260"/>
        <v>8001.2983946228596</v>
      </c>
      <c r="BW217" s="566">
        <f>VLOOKUP($A217,'01-02.2021'!$A$6:$CZ$403,75,FALSE)+VLOOKUP($A217,'1.3.21-28.2.22'!$A$6:$DA$404,75,FALSE)-VLOOKUP($A217,'01-02.2022'!$A$6:$DA$376,75,FALSE)</f>
        <v>20347.901404889912</v>
      </c>
      <c r="BX217" s="566">
        <f>VLOOKUP($A217,'01-02.2021'!$A$6:$CZ$403,76,FALSE)+VLOOKUP($A217,'1.3.21-28.2.22'!$A$6:$DA$404,76,FALSE)-VLOOKUP($A217,'01-02.2022'!$A$6:$DA$376,76,FALSE)</f>
        <v>18196.099486594911</v>
      </c>
      <c r="BY217" s="70">
        <f t="shared" si="261"/>
        <v>-2151.8019182950011</v>
      </c>
      <c r="BZ217" s="566">
        <f>VLOOKUP($A217,'01-02.2021'!$A$6:$CZ$403,78,FALSE)+VLOOKUP($A217,'1.3.21-28.2.22'!$A$6:$DA$404,78,FALSE)-VLOOKUP($A217,'01-02.2022'!$A$6:$DA$376,78,FALSE)</f>
        <v>14154.329863202529</v>
      </c>
      <c r="CA217" s="566">
        <f>VLOOKUP($A217,'01-02.2021'!$A$6:$CZ$403,79,FALSE)+VLOOKUP($A217,'1.3.21-28.2.22'!$A$6:$DA$404,79,FALSE)-VLOOKUP($A217,'01-02.2022'!$A$6:$DA$376,79,FALSE)</f>
        <v>6297.64953262571</v>
      </c>
      <c r="CB217" s="70">
        <f t="shared" si="262"/>
        <v>-7856.680330576819</v>
      </c>
      <c r="CC217" s="566">
        <f>VLOOKUP($A217,'01-02.2021'!$A$6:$CZ$403,81,FALSE)+VLOOKUP($A217,'1.3.21-28.2.22'!$A$6:$DA$404,81,FALSE)-VLOOKUP($A217,'01-02.2022'!$A$6:$DA$376,81,FALSE)</f>
        <v>1789.4005427575501</v>
      </c>
      <c r="CD217" s="566">
        <f>VLOOKUP($A217,'01-02.2021'!$A$6:$CZ$403,82,FALSE)+VLOOKUP($A217,'1.3.21-28.2.22'!$A$6:$DA$404,82,FALSE)-VLOOKUP($A217,'01-02.2022'!$A$6:$DA$376,82,FALSE)</f>
        <v>1955.8023024157355</v>
      </c>
      <c r="CE217" s="70">
        <f t="shared" si="263"/>
        <v>166.40175965818548</v>
      </c>
      <c r="CF217" s="566">
        <f>VLOOKUP($A217,'01-02.2021'!$A$6:$CZ$403,84,FALSE)+VLOOKUP($A217,'1.3.21-28.2.22'!$A$6:$DA$404,84,FALSE)-VLOOKUP($A217,'01-02.2022'!$A$6:$DA$376,84,FALSE)</f>
        <v>217.53849594908291</v>
      </c>
      <c r="CG217" s="566">
        <f>VLOOKUP($A217,'01-02.2021'!$A$6:$CZ$403,85,FALSE)+VLOOKUP($A217,'1.3.21-28.2.22'!$A$6:$DA$404,85,FALSE)-VLOOKUP($A217,'01-02.2022'!$A$6:$DA$376,85,FALSE)</f>
        <v>0</v>
      </c>
      <c r="CH217" s="70">
        <f t="shared" si="264"/>
        <v>-217.53849594908291</v>
      </c>
      <c r="CI217" s="566">
        <f>VLOOKUP($A217,'01-02.2021'!$A$6:$CZ$403,87,FALSE)+VLOOKUP($A217,'1.3.21-28.2.22'!$A$6:$DA$404,87,FALSE)-VLOOKUP($A217,'01-02.2022'!$A$6:$DA$376,87,FALSE)</f>
        <v>3528.1066231531049</v>
      </c>
      <c r="CJ217" s="566">
        <f>VLOOKUP($A217,'01-02.2021'!$A$6:$CZ$403,88,FALSE)+VLOOKUP($A217,'1.3.21-28.2.22'!$A$6:$DA$404,88,FALSE)-VLOOKUP($A217,'01-02.2022'!$A$6:$DA$376,88,FALSE)</f>
        <v>3222.4742437880846</v>
      </c>
      <c r="CK217" s="70">
        <f t="shared" si="265"/>
        <v>-305.63237936502037</v>
      </c>
      <c r="CL217" s="566">
        <f>VLOOKUP($A217,'01-02.2021'!$A$6:$CZ$403,90,FALSE)+VLOOKUP($A217,'1.3.21-28.2.22'!$A$6:$DA$404,90,FALSE)-VLOOKUP($A217,'01-02.2022'!$A$6:$DA$376,90,FALSE)</f>
        <v>0</v>
      </c>
      <c r="CM217" s="566">
        <f>VLOOKUP($A217,'01-02.2021'!$A$6:$CZ$403,91,FALSE)+VLOOKUP($A217,'1.3.21-28.2.22'!$A$6:$DA$404,91,FALSE)-VLOOKUP($A217,'01-02.2022'!$A$6:$DA$376,91,FALSE)</f>
        <v>0</v>
      </c>
      <c r="CN217" s="52">
        <f t="shared" si="225"/>
        <v>0</v>
      </c>
      <c r="CO217" s="39">
        <f t="shared" si="220"/>
        <v>3528.1066231531049</v>
      </c>
      <c r="CP217" s="40">
        <f t="shared" si="226"/>
        <v>3222.4742437880846</v>
      </c>
      <c r="CQ217" s="52">
        <f t="shared" si="227"/>
        <v>-305.63237936502037</v>
      </c>
      <c r="CR217" s="72">
        <f t="shared" si="221"/>
        <v>121000.17197926612</v>
      </c>
      <c r="CS217" s="5">
        <f t="shared" si="221"/>
        <v>115580.40306330287</v>
      </c>
      <c r="CT217" s="52">
        <f t="shared" si="228"/>
        <v>-5419.7689159632428</v>
      </c>
      <c r="CU217" s="77">
        <f t="shared" si="229"/>
        <v>145200.20637511933</v>
      </c>
      <c r="CV217" s="65">
        <f t="shared" si="230"/>
        <v>138696.48367596345</v>
      </c>
      <c r="CW217" s="35">
        <f t="shared" si="231"/>
        <v>-6503.7226991558855</v>
      </c>
      <c r="CX217" s="566">
        <f>VLOOKUP($A217,'01-02.2021'!$A$6:$CZ$403,102,FALSE)+VLOOKUP($A217,'1.3.21-28.2.22'!$A$6:$DA$404,102,FALSE)-VLOOKUP($A217,'01-02.2022'!$A$6:$DA$376,102,FALSE)</f>
        <v>2696.7901884485236</v>
      </c>
      <c r="CY217" s="566">
        <f>VLOOKUP($A217,'01-02.2021'!$A$6:$CZ$403,103,FALSE)+VLOOKUP($A217,'1.3.21-28.2.22'!$A$6:$DA$404,103,FALSE)-VLOOKUP($A217,'01-02.2022'!$A$6:$DA$376,103,FALSE)</f>
        <v>9200.5128876043964</v>
      </c>
      <c r="CZ217" s="52">
        <f t="shared" si="232"/>
        <v>6503.7226991558728</v>
      </c>
      <c r="DA217" s="150">
        <f>'[2]побудинковий звіт'!DA217</f>
        <v>17707.888302090883</v>
      </c>
      <c r="DB217" s="2">
        <v>2</v>
      </c>
      <c r="DC217" s="414">
        <f>'[4]побудинковий звіт'!DC217</f>
        <v>24357.7</v>
      </c>
      <c r="DD217" s="414">
        <f>'[4]побудинковий звіт'!DD217</f>
        <v>2866.68</v>
      </c>
      <c r="DE217" s="557">
        <f>'[4]побудинковий звіт'!DE217</f>
        <v>11731.266910175576</v>
      </c>
      <c r="DF217" s="557">
        <f>'[4]побудинковий звіт'!DF217</f>
        <v>2077.0599784561086</v>
      </c>
      <c r="DG217" s="321">
        <f>VLOOKUP(A217,'кошти 01.03.2021'!$A$6:$D$401,4,)</f>
        <v>29055.763631216327</v>
      </c>
      <c r="DH217" s="40">
        <f>'[3]побудинковий звіт'!DJ217</f>
        <v>153056.94217110591</v>
      </c>
      <c r="DI217" s="422">
        <f>'[3]побудинковий звіт'!CU217+'[3]побудинковий звіт'!CX217</f>
        <v>13416.053111368316</v>
      </c>
      <c r="DJ217" s="306">
        <f>'[3]побудинковий звіт'!DM217</f>
        <v>5.9322754752678852</v>
      </c>
      <c r="DK217" s="306">
        <f t="shared" si="267"/>
        <v>5.9322754752678852</v>
      </c>
      <c r="DL217" s="306">
        <f>'[3]побудинковий звіт'!DO217</f>
        <v>4.8176938471256321</v>
      </c>
      <c r="DM217" s="28">
        <f t="shared" si="268"/>
        <v>12626.433089824424</v>
      </c>
      <c r="DN217" s="28">
        <f t="shared" si="269"/>
        <v>789.62002154389108</v>
      </c>
      <c r="DO217" s="423">
        <f t="shared" si="238"/>
        <v>13416.053111368316</v>
      </c>
      <c r="DP217" s="94">
        <f t="shared" si="239"/>
        <v>0</v>
      </c>
      <c r="DQ217" s="28">
        <f t="shared" si="240"/>
        <v>13416.053111368316</v>
      </c>
      <c r="DR217" s="318"/>
      <c r="DT217" s="8"/>
      <c r="DU217" s="5"/>
      <c r="DX217" s="5">
        <f t="shared" si="241"/>
        <v>37573.415990986883</v>
      </c>
      <c r="DY217" s="5">
        <f t="shared" si="242"/>
        <v>32812.487999999998</v>
      </c>
      <c r="DZ217" s="159">
        <f>'[3]побудинковий звіт'!EA217</f>
        <v>2993.5614719029663</v>
      </c>
    </row>
    <row r="218" spans="1:130" x14ac:dyDescent="0.3">
      <c r="A218" s="325">
        <v>150000932</v>
      </c>
      <c r="B218" s="41" t="s">
        <v>665</v>
      </c>
      <c r="C218" s="42" t="s">
        <v>174</v>
      </c>
      <c r="D218" s="42"/>
      <c r="E218" s="293">
        <f t="shared" si="218"/>
        <v>354.3</v>
      </c>
      <c r="F218" s="305">
        <f>'[3]побудинковий звіт'!F218</f>
        <v>354.3</v>
      </c>
      <c r="G218" s="508">
        <f>'[3]побудинковий звіт'!G218</f>
        <v>0</v>
      </c>
      <c r="H218" s="560">
        <f>'[3]побудинковий звіт'!H218</f>
        <v>0</v>
      </c>
      <c r="I218" s="566">
        <f>VLOOKUP($A218,'01-02.2021'!$A$6:$CZ$403,9,FALSE)+VLOOKUP($A218,'1.3.21-28.2.22'!$A$6:$DA$404,9,FALSE)-VLOOKUP($A218,'01-02.2022'!$A$6:$DA$376,9,FALSE)</f>
        <v>747.11692765559951</v>
      </c>
      <c r="J218" s="566">
        <f>VLOOKUP($A218,'01-02.2021'!$A$6:$CZ$403,10,FALSE)+VLOOKUP($A218,'1.3.21-28.2.22'!$A$6:$DA$404,10,FALSE)-VLOOKUP($A218,'01-02.2022'!$A$6:$DA$376,10,FALSE)</f>
        <v>862.41520779921916</v>
      </c>
      <c r="K218" s="52">
        <f t="shared" si="222"/>
        <v>115.29828014361965</v>
      </c>
      <c r="L218" s="566">
        <f>VLOOKUP($A218,'01-02.2021'!$A$6:$CZ$403,12,FALSE)+VLOOKUP($A218,'1.3.21-28.2.22'!$A$6:$DA$404,12,FALSE)-VLOOKUP($A218,'01-02.2022'!$A$6:$DA$376,12,FALSE)</f>
        <v>235.1606441392548</v>
      </c>
      <c r="M218" s="566">
        <f>VLOOKUP($A218,'01-02.2021'!$A$6:$CZ$403,13,FALSE)+VLOOKUP($A218,'1.3.21-28.2.22'!$A$6:$DA$404,13,FALSE)-VLOOKUP($A218,'01-02.2022'!$A$6:$DA$376,13,FALSE)</f>
        <v>258.92112312778931</v>
      </c>
      <c r="N218" s="52">
        <f t="shared" si="223"/>
        <v>23.760478988534516</v>
      </c>
      <c r="O218" s="566">
        <f>VLOOKUP($A218,'01-02.2021'!$A$6:$CZ$403,15,FALSE)+VLOOKUP($A218,'1.3.21-28.2.22'!$A$6:$DA$404,15,FALSE)-VLOOKUP($A218,'01-02.2022'!$A$6:$DA$376,15,FALSE)</f>
        <v>443.42316042949994</v>
      </c>
      <c r="P218" s="566">
        <f>VLOOKUP($A218,'01-02.2021'!$A$6:$CZ$403,16,FALSE)+VLOOKUP($A218,'1.3.21-28.2.22'!$A$6:$DA$404,16,FALSE)-VLOOKUP($A218,'01-02.2022'!$A$6:$DA$376,16,FALSE)</f>
        <v>443.41999999999996</v>
      </c>
      <c r="Q218" s="70">
        <f t="shared" si="243"/>
        <v>-3.1604294999851845E-3</v>
      </c>
      <c r="R218" s="566">
        <f>VLOOKUP($A218,'01-02.2021'!$A$6:$CZ$403,18,FALSE)+VLOOKUP($A218,'1.3.21-28.2.22'!$A$6:$DA$404,18,FALSE)-VLOOKUP($A218,'01-02.2022'!$A$6:$DA$376,18,FALSE)</f>
        <v>0</v>
      </c>
      <c r="S218" s="566">
        <f>VLOOKUP($A218,'01-02.2021'!$A$6:$CZ$403,19,FALSE)+VLOOKUP($A218,'1.3.21-28.2.22'!$A$6:$DA$404,19,FALSE)-VLOOKUP($A218,'01-02.2022'!$A$6:$DA$376,19,FALSE)</f>
        <v>0</v>
      </c>
      <c r="T218" s="70">
        <f t="shared" si="244"/>
        <v>0</v>
      </c>
      <c r="U218" s="566">
        <f>VLOOKUP($A218,'01-02.2021'!$A$6:$CZ$403,21,FALSE)+VLOOKUP($A218,'1.3.21-28.2.22'!$A$6:$DA$404,21,FALSE)-VLOOKUP($A218,'01-02.2022'!$A$6:$DA$376,21,FALSE)</f>
        <v>0</v>
      </c>
      <c r="V218" s="566">
        <f>VLOOKUP($A218,'01-02.2021'!$A$6:$CZ$403,22,FALSE)+VLOOKUP($A218,'1.3.21-28.2.22'!$A$6:$DA$404,22,FALSE)-VLOOKUP($A218,'01-02.2022'!$A$6:$DA$376,22,FALSE)</f>
        <v>0</v>
      </c>
      <c r="W218" s="70">
        <f t="shared" si="245"/>
        <v>0</v>
      </c>
      <c r="X218" s="566">
        <f>VLOOKUP($A218,'01-02.2021'!$A$6:$CZ$403,24,FALSE)+VLOOKUP($A218,'1.3.21-28.2.22'!$A$6:$DA$404,24,FALSE)-VLOOKUP($A218,'01-02.2022'!$A$6:$DA$376,24,FALSE)</f>
        <v>198.26247773261377</v>
      </c>
      <c r="Y218" s="566">
        <f>VLOOKUP($A218,'01-02.2021'!$A$6:$CZ$403,25,FALSE)+VLOOKUP($A218,'1.3.21-28.2.22'!$A$6:$DA$404,25,FALSE)-VLOOKUP($A218,'01-02.2022'!$A$6:$DA$376,25,FALSE)</f>
        <v>80.14238664776471</v>
      </c>
      <c r="Z218" s="70">
        <f t="shared" si="246"/>
        <v>-118.12009108484907</v>
      </c>
      <c r="AA218" s="566">
        <f>VLOOKUP($A218,'01-02.2021'!$A$6:$CZ$403,27,FALSE)+VLOOKUP($A218,'1.3.21-28.2.22'!$A$6:$DA$404,27,FALSE)-VLOOKUP($A218,'01-02.2022'!$A$6:$DA$376,27,FALSE)</f>
        <v>70.860000000000014</v>
      </c>
      <c r="AB218" s="566">
        <f>VLOOKUP($A218,'01-02.2021'!$A$6:$CZ$403,28,FALSE)+VLOOKUP($A218,'1.3.21-28.2.22'!$A$6:$DA$404,28,FALSE)-VLOOKUP($A218,'01-02.2022'!$A$6:$DA$376,28,FALSE)</f>
        <v>0</v>
      </c>
      <c r="AC218" s="70">
        <f t="shared" si="247"/>
        <v>-70.860000000000014</v>
      </c>
      <c r="AD218" s="566">
        <f>VLOOKUP($A218,'01-02.2021'!$A$6:$CZ$403,30,FALSE)+VLOOKUP($A218,'1.3.21-28.2.22'!$A$6:$DA$404,30,FALSE)-VLOOKUP($A218,'01-02.2022'!$A$6:$DA$376,30,FALSE)</f>
        <v>1521.7731750078772</v>
      </c>
      <c r="AE218" s="566">
        <f>VLOOKUP($A218,'01-02.2021'!$A$6:$CZ$403,31,FALSE)+VLOOKUP($A218,'1.3.21-28.2.22'!$A$6:$DA$404,31,FALSE)-VLOOKUP($A218,'01-02.2022'!$A$6:$DA$376,31,FALSE)</f>
        <v>1612.7878755443012</v>
      </c>
      <c r="AF218" s="68">
        <f t="shared" si="248"/>
        <v>91.014700536424016</v>
      </c>
      <c r="AG218" s="77">
        <f t="shared" si="219"/>
        <v>3216.5963849648451</v>
      </c>
      <c r="AH218" s="53">
        <f t="shared" si="219"/>
        <v>3257.6865931190741</v>
      </c>
      <c r="AI218" s="52">
        <f t="shared" si="224"/>
        <v>41.090208154229003</v>
      </c>
      <c r="AJ218" s="566">
        <f>VLOOKUP($A218,'01-02.2021'!$A$6:$CZ$403,36,FALSE)+VLOOKUP($A218,'1.3.21-28.2.22'!$A$6:$DA$404,36,FALSE)-VLOOKUP($A218,'01-02.2022'!$A$6:$DA$376,36,FALSE)</f>
        <v>0</v>
      </c>
      <c r="AK218" s="566">
        <f>VLOOKUP($A218,'01-02.2021'!$A$6:$CZ$403,37,FALSE)+VLOOKUP($A218,'1.3.21-28.2.22'!$A$6:$DA$404,37,FALSE)-VLOOKUP($A218,'01-02.2022'!$A$6:$DA$376,37,FALSE)</f>
        <v>0</v>
      </c>
      <c r="AL218" s="70">
        <f t="shared" si="249"/>
        <v>0</v>
      </c>
      <c r="AM218" s="566">
        <f>VLOOKUP($A218,'01-02.2021'!$A$6:$CZ$403,39,FALSE)+VLOOKUP($A218,'1.3.21-28.2.22'!$A$6:$DA$404,39,FALSE)-VLOOKUP($A218,'01-02.2022'!$A$6:$DA$376,39,FALSE)</f>
        <v>0</v>
      </c>
      <c r="AN218" s="566">
        <f>VLOOKUP($A218,'01-02.2021'!$A$6:$CZ$403,40,FALSE)+VLOOKUP($A218,'1.3.21-28.2.22'!$A$6:$DA$404,40,FALSE)-VLOOKUP($A218,'01-02.2022'!$A$6:$DA$376,40,FALSE)</f>
        <v>0</v>
      </c>
      <c r="AO218" s="70">
        <f t="shared" si="250"/>
        <v>0</v>
      </c>
      <c r="AP218" s="566">
        <f>VLOOKUP($A218,'01-02.2021'!$A$6:$CZ$403,42,FALSE)+VLOOKUP($A218,'1.3.21-28.2.22'!$A$6:$DA$404,42,FALSE)-VLOOKUP($A218,'01-02.2022'!$A$6:$DA$376,42,FALSE)</f>
        <v>2125.6196938021749</v>
      </c>
      <c r="AQ218" s="566">
        <f>VLOOKUP($A218,'01-02.2021'!$A$6:$CZ$403,43,FALSE)+VLOOKUP($A218,'1.3.21-28.2.22'!$A$6:$DA$404,43,FALSE)-VLOOKUP($A218,'01-02.2022'!$A$6:$DA$376,43,FALSE)</f>
        <v>1832.4550385221276</v>
      </c>
      <c r="AR218" s="70">
        <f t="shared" si="251"/>
        <v>-293.16465528004733</v>
      </c>
      <c r="AS218" s="566">
        <f>VLOOKUP($A218,'01-02.2021'!$A$6:$CZ$403,45,FALSE)+VLOOKUP($A218,'1.3.21-28.2.22'!$A$6:$DA$404,45,FALSE)-VLOOKUP($A218,'01-02.2022'!$A$6:$DA$376,45,FALSE)</f>
        <v>1889.6707700523584</v>
      </c>
      <c r="AT218" s="566">
        <f>VLOOKUP($A218,'01-02.2021'!$A$6:$CZ$403,46,FALSE)+VLOOKUP($A218,'1.3.21-28.2.22'!$A$6:$DA$404,46,FALSE)-VLOOKUP($A218,'01-02.2022'!$A$6:$DA$376,46,FALSE)</f>
        <v>5256.27</v>
      </c>
      <c r="AU218" s="78">
        <f t="shared" si="252"/>
        <v>3366.599229947642</v>
      </c>
      <c r="AV218" s="566">
        <f>VLOOKUP($A218,'01-02.2021'!$A$6:$CZ$403,48,FALSE)+VLOOKUP($A218,'1.3.21-28.2.22'!$A$6:$DA$404,48,FALSE)-VLOOKUP($A218,'01-02.2022'!$A$6:$DA$376,48,FALSE)</f>
        <v>455.12546518888286</v>
      </c>
      <c r="AW218" s="566">
        <f>VLOOKUP($A218,'01-02.2021'!$A$6:$CZ$403,49,FALSE)+VLOOKUP($A218,'1.3.21-28.2.22'!$A$6:$DA$404,49,FALSE)-VLOOKUP($A218,'01-02.2022'!$A$6:$DA$376,49,FALSE)</f>
        <v>0</v>
      </c>
      <c r="AX218" s="55">
        <f t="shared" si="253"/>
        <v>-455.12546518888286</v>
      </c>
      <c r="AY218" s="566">
        <f>VLOOKUP($A218,'01-02.2021'!$A$6:$CZ$403,51,FALSE)+VLOOKUP($A218,'1.3.21-28.2.22'!$A$6:$DA$404,51,FALSE)-VLOOKUP($A218,'01-02.2022'!$A$6:$DA$376,51,FALSE)</f>
        <v>442.03492887376052</v>
      </c>
      <c r="AZ218" s="566">
        <f>VLOOKUP($A218,'01-02.2021'!$A$6:$CZ$403,52,FALSE)+VLOOKUP($A218,'1.3.21-28.2.22'!$A$6:$DA$404,52,FALSE)-VLOOKUP($A218,'01-02.2022'!$A$6:$DA$376,52,FALSE)</f>
        <v>0</v>
      </c>
      <c r="BA218" s="38">
        <f t="shared" si="254"/>
        <v>-442.03492887376052</v>
      </c>
      <c r="BB218" s="566">
        <f>VLOOKUP($A218,'01-02.2021'!$A$6:$CZ$403,54,FALSE)+VLOOKUP($A218,'1.3.21-28.2.22'!$A$6:$DA$404,54,FALSE)-VLOOKUP($A218,'01-02.2022'!$A$6:$DA$376,54,FALSE)</f>
        <v>203.26139621322341</v>
      </c>
      <c r="BC218" s="566">
        <f>VLOOKUP($A218,'01-02.2021'!$A$6:$CZ$403,55,FALSE)+VLOOKUP($A218,'1.3.21-28.2.22'!$A$6:$DA$404,55,FALSE)-VLOOKUP($A218,'01-02.2022'!$A$6:$DA$376,55,FALSE)</f>
        <v>0</v>
      </c>
      <c r="BD218" s="55">
        <f t="shared" si="255"/>
        <v>-203.26139621322341</v>
      </c>
      <c r="BE218" s="566">
        <f>VLOOKUP($A218,'01-02.2021'!$A$6:$CZ$403,57,FALSE)+VLOOKUP($A218,'1.3.21-28.2.22'!$A$6:$DA$404,57,FALSE)-VLOOKUP($A218,'01-02.2022'!$A$6:$DA$376,57,FALSE)</f>
        <v>0</v>
      </c>
      <c r="BF218" s="566">
        <f>VLOOKUP($A218,'01-02.2021'!$A$6:$CZ$403,58,FALSE)+VLOOKUP($A218,'1.3.21-28.2.22'!$A$6:$DA$404,58,FALSE)-VLOOKUP($A218,'01-02.2022'!$A$6:$DA$376,58,FALSE)</f>
        <v>0</v>
      </c>
      <c r="BG218" s="55">
        <f t="shared" si="256"/>
        <v>0</v>
      </c>
      <c r="BH218" s="566">
        <f>VLOOKUP($A218,'01-02.2021'!$A$6:$CZ$403,60,FALSE)+VLOOKUP($A218,'1.3.21-28.2.22'!$A$6:$DA$404,60,FALSE)-VLOOKUP($A218,'01-02.2022'!$A$6:$DA$376,60,FALSE)</f>
        <v>0</v>
      </c>
      <c r="BI218" s="566">
        <f>VLOOKUP($A218,'01-02.2021'!$A$6:$CZ$403,61,FALSE)+VLOOKUP($A218,'1.3.21-28.2.22'!$A$6:$DA$404,61,FALSE)-VLOOKUP($A218,'01-02.2022'!$A$6:$DA$376,61,FALSE)</f>
        <v>0</v>
      </c>
      <c r="BJ218" s="55">
        <f t="shared" si="257"/>
        <v>0</v>
      </c>
      <c r="BK218" s="566">
        <f>VLOOKUP($A218,'01-02.2021'!$A$6:$CZ$403,63,FALSE)+VLOOKUP($A218,'1.3.21-28.2.22'!$A$6:$DA$404,63,FALSE)-VLOOKUP($A218,'01-02.2022'!$A$6:$DA$376,63,FALSE)</f>
        <v>4.9303153821330081</v>
      </c>
      <c r="BL218" s="566">
        <f>VLOOKUP($A218,'01-02.2021'!$A$6:$CZ$403,64,FALSE)+VLOOKUP($A218,'1.3.21-28.2.22'!$A$6:$DA$404,64,FALSE)-VLOOKUP($A218,'01-02.2022'!$A$6:$DA$376,64,FALSE)</f>
        <v>0</v>
      </c>
      <c r="BM218" s="55">
        <f t="shared" si="258"/>
        <v>-4.9303153821330081</v>
      </c>
      <c r="BN218" s="566">
        <f>VLOOKUP($A218,'01-02.2021'!$A$6:$CZ$403,66,FALSE)+VLOOKUP($A218,'1.3.21-28.2.22'!$A$6:$DA$404,66,FALSE)-VLOOKUP($A218,'01-02.2022'!$A$6:$DA$376,66,FALSE)</f>
        <v>17.715000000000003</v>
      </c>
      <c r="BO218" s="566">
        <f>VLOOKUP($A218,'01-02.2021'!$A$6:$CZ$403,67,FALSE)+VLOOKUP($A218,'1.3.21-28.2.22'!$A$6:$DA$404,67,FALSE)-VLOOKUP($A218,'01-02.2022'!$A$6:$DA$376,67,FALSE)</f>
        <v>0</v>
      </c>
      <c r="BP218" s="55">
        <f t="shared" si="259"/>
        <v>-17.715000000000003</v>
      </c>
      <c r="BQ218" s="77">
        <f t="shared" si="209"/>
        <v>1123.0671056579997</v>
      </c>
      <c r="BR218" s="40">
        <f t="shared" si="237"/>
        <v>0</v>
      </c>
      <c r="BS218" s="55">
        <f t="shared" si="236"/>
        <v>-1123.0671056579997</v>
      </c>
      <c r="BT218" s="566">
        <f>VLOOKUP($A218,'01-02.2021'!$A$6:$CZ$403,72,FALSE)+VLOOKUP($A218,'1.3.21-28.2.22'!$A$6:$DA$404,72,FALSE)-VLOOKUP($A218,'01-02.2022'!$A$6:$DA$376,72,FALSE)</f>
        <v>6638.0033872950371</v>
      </c>
      <c r="BU218" s="566">
        <f>VLOOKUP($A218,'01-02.2021'!$A$6:$CZ$403,73,FALSE)+VLOOKUP($A218,'1.3.21-28.2.22'!$A$6:$DA$404,73,FALSE)-VLOOKUP($A218,'01-02.2022'!$A$6:$DA$376,73,FALSE)</f>
        <v>7514.1563878174329</v>
      </c>
      <c r="BV218" s="70">
        <f t="shared" si="260"/>
        <v>876.15300052239581</v>
      </c>
      <c r="BW218" s="566">
        <f>VLOOKUP($A218,'01-02.2021'!$A$6:$CZ$403,75,FALSE)+VLOOKUP($A218,'1.3.21-28.2.22'!$A$6:$DA$404,75,FALSE)-VLOOKUP($A218,'01-02.2022'!$A$6:$DA$376,75,FALSE)</f>
        <v>159.14935580812804</v>
      </c>
      <c r="BX218" s="566">
        <f>VLOOKUP($A218,'01-02.2021'!$A$6:$CZ$403,76,FALSE)+VLOOKUP($A218,'1.3.21-28.2.22'!$A$6:$DA$404,76,FALSE)-VLOOKUP($A218,'01-02.2022'!$A$6:$DA$376,76,FALSE)</f>
        <v>362.13716431708963</v>
      </c>
      <c r="BY218" s="70">
        <f t="shared" si="261"/>
        <v>202.98780850896159</v>
      </c>
      <c r="BZ218" s="566">
        <f>VLOOKUP($A218,'01-02.2021'!$A$6:$CZ$403,78,FALSE)+VLOOKUP($A218,'1.3.21-28.2.22'!$A$6:$DA$404,78,FALSE)-VLOOKUP($A218,'01-02.2022'!$A$6:$DA$376,78,FALSE)</f>
        <v>1845.4278099502762</v>
      </c>
      <c r="CA218" s="566">
        <f>VLOOKUP($A218,'01-02.2021'!$A$6:$CZ$403,79,FALSE)+VLOOKUP($A218,'1.3.21-28.2.22'!$A$6:$DA$404,79,FALSE)-VLOOKUP($A218,'01-02.2022'!$A$6:$DA$376,79,FALSE)</f>
        <v>1659.3991289378994</v>
      </c>
      <c r="CB218" s="70">
        <f t="shared" si="262"/>
        <v>-186.02868101237686</v>
      </c>
      <c r="CC218" s="566">
        <f>VLOOKUP($A218,'01-02.2021'!$A$6:$CZ$403,81,FALSE)+VLOOKUP($A218,'1.3.21-28.2.22'!$A$6:$DA$404,81,FALSE)-VLOOKUP($A218,'01-02.2022'!$A$6:$DA$376,81,FALSE)</f>
        <v>0</v>
      </c>
      <c r="CD218" s="566">
        <f>VLOOKUP($A218,'01-02.2021'!$A$6:$CZ$403,82,FALSE)+VLOOKUP($A218,'1.3.21-28.2.22'!$A$6:$DA$404,82,FALSE)-VLOOKUP($A218,'01-02.2022'!$A$6:$DA$376,82,FALSE)</f>
        <v>0</v>
      </c>
      <c r="CE218" s="70">
        <f t="shared" si="263"/>
        <v>0</v>
      </c>
      <c r="CF218" s="566">
        <f>VLOOKUP($A218,'01-02.2021'!$A$6:$CZ$403,84,FALSE)+VLOOKUP($A218,'1.3.21-28.2.22'!$A$6:$DA$404,84,FALSE)-VLOOKUP($A218,'01-02.2022'!$A$6:$DA$376,84,FALSE)</f>
        <v>0</v>
      </c>
      <c r="CG218" s="566">
        <f>VLOOKUP($A218,'01-02.2021'!$A$6:$CZ$403,85,FALSE)+VLOOKUP($A218,'1.3.21-28.2.22'!$A$6:$DA$404,85,FALSE)-VLOOKUP($A218,'01-02.2022'!$A$6:$DA$376,85,FALSE)</f>
        <v>0</v>
      </c>
      <c r="CH218" s="70">
        <f t="shared" si="264"/>
        <v>0</v>
      </c>
      <c r="CI218" s="566">
        <f>VLOOKUP($A218,'01-02.2021'!$A$6:$CZ$403,87,FALSE)+VLOOKUP($A218,'1.3.21-28.2.22'!$A$6:$DA$404,87,FALSE)-VLOOKUP($A218,'01-02.2022'!$A$6:$DA$376,87,FALSE)</f>
        <v>0</v>
      </c>
      <c r="CJ218" s="566">
        <f>VLOOKUP($A218,'01-02.2021'!$A$6:$CZ$403,88,FALSE)+VLOOKUP($A218,'1.3.21-28.2.22'!$A$6:$DA$404,88,FALSE)-VLOOKUP($A218,'01-02.2022'!$A$6:$DA$376,88,FALSE)</f>
        <v>0</v>
      </c>
      <c r="CK218" s="70">
        <f t="shared" si="265"/>
        <v>0</v>
      </c>
      <c r="CL218" s="566">
        <f>VLOOKUP($A218,'01-02.2021'!$A$6:$CZ$403,90,FALSE)+VLOOKUP($A218,'1.3.21-28.2.22'!$A$6:$DA$404,90,FALSE)-VLOOKUP($A218,'01-02.2022'!$A$6:$DA$376,90,FALSE)</f>
        <v>0</v>
      </c>
      <c r="CM218" s="566">
        <f>VLOOKUP($A218,'01-02.2021'!$A$6:$CZ$403,91,FALSE)+VLOOKUP($A218,'1.3.21-28.2.22'!$A$6:$DA$404,91,FALSE)-VLOOKUP($A218,'01-02.2022'!$A$6:$DA$376,91,FALSE)</f>
        <v>0</v>
      </c>
      <c r="CN218" s="52">
        <f t="shared" si="225"/>
        <v>0</v>
      </c>
      <c r="CO218" s="39">
        <f t="shared" si="220"/>
        <v>0</v>
      </c>
      <c r="CP218" s="40">
        <f t="shared" si="226"/>
        <v>0</v>
      </c>
      <c r="CQ218" s="52">
        <f t="shared" si="227"/>
        <v>0</v>
      </c>
      <c r="CR218" s="72">
        <f t="shared" si="221"/>
        <v>16997.534507530818</v>
      </c>
      <c r="CS218" s="5">
        <f t="shared" si="221"/>
        <v>19882.104312713625</v>
      </c>
      <c r="CT218" s="52">
        <f t="shared" si="228"/>
        <v>2884.5698051828076</v>
      </c>
      <c r="CU218" s="77">
        <f t="shared" si="229"/>
        <v>20397.041409036981</v>
      </c>
      <c r="CV218" s="65">
        <f t="shared" si="230"/>
        <v>23858.525175256349</v>
      </c>
      <c r="CW218" s="35">
        <f t="shared" si="231"/>
        <v>3461.4837662193677</v>
      </c>
      <c r="CX218" s="566">
        <f>VLOOKUP($A218,'01-02.2021'!$A$6:$CZ$403,102,FALSE)+VLOOKUP($A218,'1.3.21-28.2.22'!$A$6:$DA$404,102,FALSE)-VLOOKUP($A218,'01-02.2022'!$A$6:$DA$376,102,FALSE)</f>
        <v>578.66031217763089</v>
      </c>
      <c r="CY218" s="566">
        <f>VLOOKUP($A218,'01-02.2021'!$A$6:$CZ$403,103,FALSE)+VLOOKUP($A218,'1.3.21-28.2.22'!$A$6:$DA$404,103,FALSE)-VLOOKUP($A218,'01-02.2022'!$A$6:$DA$376,103,FALSE)</f>
        <v>-2882.8234540417357</v>
      </c>
      <c r="CZ218" s="52">
        <f t="shared" si="232"/>
        <v>-3461.4837662193668</v>
      </c>
      <c r="DA218" s="150">
        <f>'[2]побудинковий звіт'!DA218</f>
        <v>5135.1390064925217</v>
      </c>
      <c r="DB218" s="2">
        <v>2</v>
      </c>
      <c r="DC218" s="414">
        <f>'[4]побудинковий звіт'!DC218</f>
        <v>2243.66</v>
      </c>
      <c r="DD218" s="414">
        <f>'[4]побудинковий звіт'!DD218</f>
        <v>0</v>
      </c>
      <c r="DE218" s="557">
        <f>'[4]побудинковий звіт'!DE218</f>
        <v>338.2610081784203</v>
      </c>
      <c r="DF218" s="557">
        <f>'[4]побудинковий звіт'!DF218</f>
        <v>0</v>
      </c>
      <c r="DG218" s="321">
        <f>VLOOKUP(A218,'кошти 01.03.2021'!$A$6:$D$401,4,)</f>
        <v>2608.2903658079863</v>
      </c>
      <c r="DH218" s="40">
        <f>'[3]побудинковий звіт'!DJ218</f>
        <v>21720.256557416484</v>
      </c>
      <c r="DI218" s="422">
        <f>'[3]побудинковий звіт'!CU218+'[3]побудинковий звіт'!CX218</f>
        <v>1905.3989918215796</v>
      </c>
      <c r="DJ218" s="306">
        <f>'[3]побудинковий звіт'!DM218</f>
        <v>5.3779254637922085</v>
      </c>
      <c r="DK218" s="306">
        <f t="shared" si="267"/>
        <v>5.3779254637922085</v>
      </c>
      <c r="DL218" s="306">
        <f>'[3]побудинковий звіт'!DO218</f>
        <v>5.2997657462911807</v>
      </c>
      <c r="DM218" s="28">
        <f t="shared" si="268"/>
        <v>1905.3989918215796</v>
      </c>
      <c r="DN218" s="28">
        <f t="shared" si="269"/>
        <v>0</v>
      </c>
      <c r="DO218" s="423">
        <f t="shared" si="238"/>
        <v>1905.3989918215796</v>
      </c>
      <c r="DP218" s="94">
        <f t="shared" si="239"/>
        <v>0</v>
      </c>
      <c r="DQ218" s="28">
        <f t="shared" si="240"/>
        <v>1905.3989918215796</v>
      </c>
      <c r="DR218" s="318"/>
      <c r="DT218" s="8"/>
      <c r="DU218" s="5"/>
      <c r="DX218" s="5">
        <f t="shared" si="241"/>
        <v>3615.2854508524292</v>
      </c>
      <c r="DY218" s="5">
        <f t="shared" si="242"/>
        <v>6307.5240000000003</v>
      </c>
      <c r="DZ218" s="159">
        <f>'[3]побудинковий звіт'!EA218</f>
        <v>355.63116091593116</v>
      </c>
    </row>
    <row r="219" spans="1:130" x14ac:dyDescent="0.3">
      <c r="A219" s="325">
        <v>150000924</v>
      </c>
      <c r="B219" s="41" t="s">
        <v>666</v>
      </c>
      <c r="C219" s="42" t="s">
        <v>175</v>
      </c>
      <c r="D219" s="42"/>
      <c r="E219" s="293">
        <f t="shared" si="218"/>
        <v>474.29999999999995</v>
      </c>
      <c r="F219" s="305">
        <f>'[3]побудинковий звіт'!F219</f>
        <v>397.4</v>
      </c>
      <c r="G219" s="508">
        <f>'[3]побудинковий звіт'!G219</f>
        <v>0</v>
      </c>
      <c r="H219" s="560">
        <f>'[3]побудинковий звіт'!H219</f>
        <v>76.900000000000006</v>
      </c>
      <c r="I219" s="566">
        <f>VLOOKUP($A219,'01-02.2021'!$A$6:$CZ$403,9,FALSE)+VLOOKUP($A219,'1.3.21-28.2.22'!$A$6:$DA$404,9,FALSE)-VLOOKUP($A219,'01-02.2022'!$A$6:$DA$376,9,FALSE)</f>
        <v>2257.3628060115157</v>
      </c>
      <c r="J219" s="566">
        <f>VLOOKUP($A219,'01-02.2021'!$A$6:$CZ$403,10,FALSE)+VLOOKUP($A219,'1.3.21-28.2.22'!$A$6:$DA$404,10,FALSE)-VLOOKUP($A219,'01-02.2022'!$A$6:$DA$376,10,FALSE)</f>
        <v>2433.5512509245395</v>
      </c>
      <c r="K219" s="52">
        <f t="shared" si="222"/>
        <v>176.18844491302389</v>
      </c>
      <c r="L219" s="566">
        <f>VLOOKUP($A219,'01-02.2021'!$A$6:$CZ$403,12,FALSE)+VLOOKUP($A219,'1.3.21-28.2.22'!$A$6:$DA$404,12,FALSE)-VLOOKUP($A219,'01-02.2022'!$A$6:$DA$376,12,FALSE)</f>
        <v>637.52707416803241</v>
      </c>
      <c r="M219" s="566">
        <f>VLOOKUP($A219,'01-02.2021'!$A$6:$CZ$403,13,FALSE)+VLOOKUP($A219,'1.3.21-28.2.22'!$A$6:$DA$404,13,FALSE)-VLOOKUP($A219,'01-02.2022'!$A$6:$DA$376,13,FALSE)</f>
        <v>701.93595655926424</v>
      </c>
      <c r="N219" s="52">
        <f t="shared" si="223"/>
        <v>64.408882391231828</v>
      </c>
      <c r="O219" s="566">
        <f>VLOOKUP($A219,'01-02.2021'!$A$6:$CZ$403,15,FALSE)+VLOOKUP($A219,'1.3.21-28.2.22'!$A$6:$DA$404,15,FALSE)-VLOOKUP($A219,'01-02.2022'!$A$6:$DA$376,15,FALSE)</f>
        <v>601.35111151385831</v>
      </c>
      <c r="P219" s="566">
        <f>VLOOKUP($A219,'01-02.2021'!$A$6:$CZ$403,16,FALSE)+VLOOKUP($A219,'1.3.21-28.2.22'!$A$6:$DA$404,16,FALSE)-VLOOKUP($A219,'01-02.2022'!$A$6:$DA$376,16,FALSE)</f>
        <v>601.34</v>
      </c>
      <c r="Q219" s="70">
        <f t="shared" si="243"/>
        <v>-1.1111513858281796E-2</v>
      </c>
      <c r="R219" s="566">
        <f>VLOOKUP($A219,'01-02.2021'!$A$6:$CZ$403,18,FALSE)+VLOOKUP($A219,'1.3.21-28.2.22'!$A$6:$DA$404,18,FALSE)-VLOOKUP($A219,'01-02.2022'!$A$6:$DA$376,18,FALSE)</f>
        <v>0</v>
      </c>
      <c r="S219" s="566">
        <f>VLOOKUP($A219,'01-02.2021'!$A$6:$CZ$403,19,FALSE)+VLOOKUP($A219,'1.3.21-28.2.22'!$A$6:$DA$404,19,FALSE)-VLOOKUP($A219,'01-02.2022'!$A$6:$DA$376,19,FALSE)</f>
        <v>0</v>
      </c>
      <c r="T219" s="70">
        <f t="shared" si="244"/>
        <v>0</v>
      </c>
      <c r="U219" s="566">
        <f>VLOOKUP($A219,'01-02.2021'!$A$6:$CZ$403,21,FALSE)+VLOOKUP($A219,'1.3.21-28.2.22'!$A$6:$DA$404,21,FALSE)-VLOOKUP($A219,'01-02.2022'!$A$6:$DA$376,21,FALSE)</f>
        <v>0</v>
      </c>
      <c r="V219" s="566">
        <f>VLOOKUP($A219,'01-02.2021'!$A$6:$CZ$403,22,FALSE)+VLOOKUP($A219,'1.3.21-28.2.22'!$A$6:$DA$404,22,FALSE)-VLOOKUP($A219,'01-02.2022'!$A$6:$DA$376,22,FALSE)</f>
        <v>0</v>
      </c>
      <c r="W219" s="70">
        <f t="shared" si="245"/>
        <v>0</v>
      </c>
      <c r="X219" s="566">
        <f>VLOOKUP($A219,'01-02.2021'!$A$6:$CZ$403,24,FALSE)+VLOOKUP($A219,'1.3.21-28.2.22'!$A$6:$DA$404,24,FALSE)-VLOOKUP($A219,'01-02.2022'!$A$6:$DA$376,24,FALSE)</f>
        <v>1048.7219231091631</v>
      </c>
      <c r="Y219" s="566">
        <f>VLOOKUP($A219,'01-02.2021'!$A$6:$CZ$403,25,FALSE)+VLOOKUP($A219,'1.3.21-28.2.22'!$A$6:$DA$404,25,FALSE)-VLOOKUP($A219,'01-02.2022'!$A$6:$DA$376,25,FALSE)</f>
        <v>1998.444835627691</v>
      </c>
      <c r="Z219" s="70">
        <f t="shared" si="246"/>
        <v>949.72291251852789</v>
      </c>
      <c r="AA219" s="566">
        <f>VLOOKUP($A219,'01-02.2021'!$A$6:$CZ$403,27,FALSE)+VLOOKUP($A219,'1.3.21-28.2.22'!$A$6:$DA$404,27,FALSE)-VLOOKUP($A219,'01-02.2022'!$A$6:$DA$376,27,FALSE)</f>
        <v>94.859999999999985</v>
      </c>
      <c r="AB219" s="566">
        <f>VLOOKUP($A219,'01-02.2021'!$A$6:$CZ$403,28,FALSE)+VLOOKUP($A219,'1.3.21-28.2.22'!$A$6:$DA$404,28,FALSE)-VLOOKUP($A219,'01-02.2022'!$A$6:$DA$376,28,FALSE)</f>
        <v>0</v>
      </c>
      <c r="AC219" s="70">
        <f t="shared" si="247"/>
        <v>-94.859999999999985</v>
      </c>
      <c r="AD219" s="566">
        <f>VLOOKUP($A219,'01-02.2021'!$A$6:$CZ$403,30,FALSE)+VLOOKUP($A219,'1.3.21-28.2.22'!$A$6:$DA$404,30,FALSE)-VLOOKUP($A219,'01-02.2022'!$A$6:$DA$376,30,FALSE)</f>
        <v>2029.6435904703631</v>
      </c>
      <c r="AE219" s="566">
        <f>VLOOKUP($A219,'01-02.2021'!$A$6:$CZ$403,31,FALSE)+VLOOKUP($A219,'1.3.21-28.2.22'!$A$6:$DA$404,31,FALSE)-VLOOKUP($A219,'01-02.2022'!$A$6:$DA$376,31,FALSE)</f>
        <v>2159.0327106143436</v>
      </c>
      <c r="AF219" s="68">
        <f t="shared" si="248"/>
        <v>129.38912014398056</v>
      </c>
      <c r="AG219" s="77">
        <f t="shared" si="219"/>
        <v>6669.4665052729324</v>
      </c>
      <c r="AH219" s="53">
        <f t="shared" si="219"/>
        <v>7894.304753725839</v>
      </c>
      <c r="AI219" s="52">
        <f t="shared" si="224"/>
        <v>1224.8382484529066</v>
      </c>
      <c r="AJ219" s="566">
        <f>VLOOKUP($A219,'01-02.2021'!$A$6:$CZ$403,36,FALSE)+VLOOKUP($A219,'1.3.21-28.2.22'!$A$6:$DA$404,36,FALSE)-VLOOKUP($A219,'01-02.2022'!$A$6:$DA$376,36,FALSE)</f>
        <v>0</v>
      </c>
      <c r="AK219" s="566">
        <f>VLOOKUP($A219,'01-02.2021'!$A$6:$CZ$403,37,FALSE)+VLOOKUP($A219,'1.3.21-28.2.22'!$A$6:$DA$404,37,FALSE)-VLOOKUP($A219,'01-02.2022'!$A$6:$DA$376,37,FALSE)</f>
        <v>0</v>
      </c>
      <c r="AL219" s="70">
        <f t="shared" si="249"/>
        <v>0</v>
      </c>
      <c r="AM219" s="566">
        <f>VLOOKUP($A219,'01-02.2021'!$A$6:$CZ$403,39,FALSE)+VLOOKUP($A219,'1.3.21-28.2.22'!$A$6:$DA$404,39,FALSE)-VLOOKUP($A219,'01-02.2022'!$A$6:$DA$376,39,FALSE)</f>
        <v>0</v>
      </c>
      <c r="AN219" s="566">
        <f>VLOOKUP($A219,'01-02.2021'!$A$6:$CZ$403,40,FALSE)+VLOOKUP($A219,'1.3.21-28.2.22'!$A$6:$DA$404,40,FALSE)-VLOOKUP($A219,'01-02.2022'!$A$6:$DA$376,40,FALSE)</f>
        <v>0</v>
      </c>
      <c r="AO219" s="70">
        <f t="shared" si="250"/>
        <v>0</v>
      </c>
      <c r="AP219" s="566">
        <f>VLOOKUP($A219,'01-02.2021'!$A$6:$CZ$403,42,FALSE)+VLOOKUP($A219,'1.3.21-28.2.22'!$A$6:$DA$404,42,FALSE)-VLOOKUP($A219,'01-02.2022'!$A$6:$DA$376,42,FALSE)</f>
        <v>910.97986877236031</v>
      </c>
      <c r="AQ219" s="566">
        <f>VLOOKUP($A219,'01-02.2021'!$A$6:$CZ$403,43,FALSE)+VLOOKUP($A219,'1.3.21-28.2.22'!$A$6:$DA$404,43,FALSE)-VLOOKUP($A219,'01-02.2022'!$A$6:$DA$376,43,FALSE)</f>
        <v>729.90805069368389</v>
      </c>
      <c r="AR219" s="70">
        <f t="shared" si="251"/>
        <v>-181.07181807867642</v>
      </c>
      <c r="AS219" s="566">
        <f>VLOOKUP($A219,'01-02.2021'!$A$6:$CZ$403,45,FALSE)+VLOOKUP($A219,'1.3.21-28.2.22'!$A$6:$DA$404,45,FALSE)-VLOOKUP($A219,'01-02.2022'!$A$6:$DA$376,45,FALSE)</f>
        <v>5082.3070391613792</v>
      </c>
      <c r="AT219" s="566">
        <f>VLOOKUP($A219,'01-02.2021'!$A$6:$CZ$403,46,FALSE)+VLOOKUP($A219,'1.3.21-28.2.22'!$A$6:$DA$404,46,FALSE)-VLOOKUP($A219,'01-02.2022'!$A$6:$DA$376,46,FALSE)</f>
        <v>39331.19</v>
      </c>
      <c r="AU219" s="78">
        <f t="shared" si="252"/>
        <v>34248.882960838622</v>
      </c>
      <c r="AV219" s="566">
        <f>VLOOKUP($A219,'01-02.2021'!$A$6:$CZ$403,48,FALSE)+VLOOKUP($A219,'1.3.21-28.2.22'!$A$6:$DA$404,48,FALSE)-VLOOKUP($A219,'01-02.2022'!$A$6:$DA$376,48,FALSE)</f>
        <v>652.60051087300201</v>
      </c>
      <c r="AW219" s="566">
        <f>VLOOKUP($A219,'01-02.2021'!$A$6:$CZ$403,49,FALSE)+VLOOKUP($A219,'1.3.21-28.2.22'!$A$6:$DA$404,49,FALSE)-VLOOKUP($A219,'01-02.2022'!$A$6:$DA$376,49,FALSE)</f>
        <v>0</v>
      </c>
      <c r="AX219" s="55">
        <f t="shared" si="253"/>
        <v>-652.60051087300201</v>
      </c>
      <c r="AY219" s="566">
        <f>VLOOKUP($A219,'01-02.2021'!$A$6:$CZ$403,51,FALSE)+VLOOKUP($A219,'1.3.21-28.2.22'!$A$6:$DA$404,51,FALSE)-VLOOKUP($A219,'01-02.2022'!$A$6:$DA$376,51,FALSE)</f>
        <v>1198.2785626584187</v>
      </c>
      <c r="AZ219" s="566">
        <f>VLOOKUP($A219,'01-02.2021'!$A$6:$CZ$403,52,FALSE)+VLOOKUP($A219,'1.3.21-28.2.22'!$A$6:$DA$404,52,FALSE)-VLOOKUP($A219,'01-02.2022'!$A$6:$DA$376,52,FALSE)</f>
        <v>0</v>
      </c>
      <c r="BA219" s="38">
        <f t="shared" si="254"/>
        <v>-1198.2785626584187</v>
      </c>
      <c r="BB219" s="566">
        <f>VLOOKUP($A219,'01-02.2021'!$A$6:$CZ$403,54,FALSE)+VLOOKUP($A219,'1.3.21-28.2.22'!$A$6:$DA$404,54,FALSE)-VLOOKUP($A219,'01-02.2022'!$A$6:$DA$376,54,FALSE)</f>
        <v>245.17071757005039</v>
      </c>
      <c r="BC219" s="566">
        <f>VLOOKUP($A219,'01-02.2021'!$A$6:$CZ$403,55,FALSE)+VLOOKUP($A219,'1.3.21-28.2.22'!$A$6:$DA$404,55,FALSE)-VLOOKUP($A219,'01-02.2022'!$A$6:$DA$376,55,FALSE)</f>
        <v>0</v>
      </c>
      <c r="BD219" s="55">
        <f t="shared" si="255"/>
        <v>-245.17071757005039</v>
      </c>
      <c r="BE219" s="566">
        <f>VLOOKUP($A219,'01-02.2021'!$A$6:$CZ$403,57,FALSE)+VLOOKUP($A219,'1.3.21-28.2.22'!$A$6:$DA$404,57,FALSE)-VLOOKUP($A219,'01-02.2022'!$A$6:$DA$376,57,FALSE)</f>
        <v>0</v>
      </c>
      <c r="BF219" s="566">
        <f>VLOOKUP($A219,'01-02.2021'!$A$6:$CZ$403,58,FALSE)+VLOOKUP($A219,'1.3.21-28.2.22'!$A$6:$DA$404,58,FALSE)-VLOOKUP($A219,'01-02.2022'!$A$6:$DA$376,58,FALSE)</f>
        <v>0</v>
      </c>
      <c r="BG219" s="55">
        <f t="shared" si="256"/>
        <v>0</v>
      </c>
      <c r="BH219" s="566">
        <f>VLOOKUP($A219,'01-02.2021'!$A$6:$CZ$403,60,FALSE)+VLOOKUP($A219,'1.3.21-28.2.22'!$A$6:$DA$404,60,FALSE)-VLOOKUP($A219,'01-02.2022'!$A$6:$DA$376,60,FALSE)</f>
        <v>0</v>
      </c>
      <c r="BI219" s="566">
        <f>VLOOKUP($A219,'01-02.2021'!$A$6:$CZ$403,61,FALSE)+VLOOKUP($A219,'1.3.21-28.2.22'!$A$6:$DA$404,61,FALSE)-VLOOKUP($A219,'01-02.2022'!$A$6:$DA$376,61,FALSE)</f>
        <v>0</v>
      </c>
      <c r="BJ219" s="55">
        <f t="shared" si="257"/>
        <v>0</v>
      </c>
      <c r="BK219" s="566">
        <f>VLOOKUP($A219,'01-02.2021'!$A$6:$CZ$403,63,FALSE)+VLOOKUP($A219,'1.3.21-28.2.22'!$A$6:$DA$404,63,FALSE)-VLOOKUP($A219,'01-02.2022'!$A$6:$DA$376,63,FALSE)</f>
        <v>104.41206486093597</v>
      </c>
      <c r="BL219" s="566">
        <f>VLOOKUP($A219,'01-02.2021'!$A$6:$CZ$403,64,FALSE)+VLOOKUP($A219,'1.3.21-28.2.22'!$A$6:$DA$404,64,FALSE)-VLOOKUP($A219,'01-02.2022'!$A$6:$DA$376,64,FALSE)</f>
        <v>2718</v>
      </c>
      <c r="BM219" s="55">
        <f t="shared" si="258"/>
        <v>2613.587935139064</v>
      </c>
      <c r="BN219" s="566">
        <f>VLOOKUP($A219,'01-02.2021'!$A$6:$CZ$403,66,FALSE)+VLOOKUP($A219,'1.3.21-28.2.22'!$A$6:$DA$404,66,FALSE)-VLOOKUP($A219,'01-02.2022'!$A$6:$DA$376,66,FALSE)</f>
        <v>23.714999999999996</v>
      </c>
      <c r="BO219" s="566">
        <f>VLOOKUP($A219,'01-02.2021'!$A$6:$CZ$403,67,FALSE)+VLOOKUP($A219,'1.3.21-28.2.22'!$A$6:$DA$404,67,FALSE)-VLOOKUP($A219,'01-02.2022'!$A$6:$DA$376,67,FALSE)</f>
        <v>0</v>
      </c>
      <c r="BP219" s="55">
        <f t="shared" si="259"/>
        <v>-23.714999999999996</v>
      </c>
      <c r="BQ219" s="77">
        <f t="shared" si="209"/>
        <v>2224.176855962407</v>
      </c>
      <c r="BR219" s="40">
        <f t="shared" si="237"/>
        <v>2718</v>
      </c>
      <c r="BS219" s="55">
        <f t="shared" si="236"/>
        <v>493.82314403759301</v>
      </c>
      <c r="BT219" s="566">
        <f>VLOOKUP($A219,'01-02.2021'!$A$6:$CZ$403,72,FALSE)+VLOOKUP($A219,'1.3.21-28.2.22'!$A$6:$DA$404,72,FALSE)-VLOOKUP($A219,'01-02.2022'!$A$6:$DA$376,72,FALSE)</f>
        <v>6654.1850954874544</v>
      </c>
      <c r="BU219" s="566">
        <f>VLOOKUP($A219,'01-02.2021'!$A$6:$CZ$403,73,FALSE)+VLOOKUP($A219,'1.3.21-28.2.22'!$A$6:$DA$404,73,FALSE)-VLOOKUP($A219,'01-02.2022'!$A$6:$DA$376,73,FALSE)</f>
        <v>8331.9369396408783</v>
      </c>
      <c r="BV219" s="70">
        <f t="shared" si="260"/>
        <v>1677.7518441534239</v>
      </c>
      <c r="BW219" s="566">
        <f>VLOOKUP($A219,'01-02.2021'!$A$6:$CZ$403,75,FALSE)+VLOOKUP($A219,'1.3.21-28.2.22'!$A$6:$DA$404,75,FALSE)-VLOOKUP($A219,'01-02.2022'!$A$6:$DA$376,75,FALSE)</f>
        <v>2412.2632671456308</v>
      </c>
      <c r="BX219" s="566">
        <f>VLOOKUP($A219,'01-02.2021'!$A$6:$CZ$403,76,FALSE)+VLOOKUP($A219,'1.3.21-28.2.22'!$A$6:$DA$404,76,FALSE)-VLOOKUP($A219,'01-02.2022'!$A$6:$DA$376,76,FALSE)</f>
        <v>2619.3396609508541</v>
      </c>
      <c r="BY219" s="70">
        <f t="shared" si="261"/>
        <v>207.07639380522323</v>
      </c>
      <c r="BZ219" s="566">
        <f>VLOOKUP($A219,'01-02.2021'!$A$6:$CZ$403,78,FALSE)+VLOOKUP($A219,'1.3.21-28.2.22'!$A$6:$DA$404,78,FALSE)-VLOOKUP($A219,'01-02.2022'!$A$6:$DA$376,78,FALSE)</f>
        <v>2535.0719270193626</v>
      </c>
      <c r="CA219" s="566">
        <f>VLOOKUP($A219,'01-02.2021'!$A$6:$CZ$403,79,FALSE)+VLOOKUP($A219,'1.3.21-28.2.22'!$A$6:$DA$404,79,FALSE)-VLOOKUP($A219,'01-02.2022'!$A$6:$DA$376,79,FALSE)</f>
        <v>1443.8909917026708</v>
      </c>
      <c r="CB219" s="70">
        <f t="shared" si="262"/>
        <v>-1091.1809353166918</v>
      </c>
      <c r="CC219" s="566">
        <f>VLOOKUP($A219,'01-02.2021'!$A$6:$CZ$403,81,FALSE)+VLOOKUP($A219,'1.3.21-28.2.22'!$A$6:$DA$404,81,FALSE)-VLOOKUP($A219,'01-02.2022'!$A$6:$DA$376,81,FALSE)</f>
        <v>285.7699374254596</v>
      </c>
      <c r="CD219" s="566">
        <f>VLOOKUP($A219,'01-02.2021'!$A$6:$CZ$403,82,FALSE)+VLOOKUP($A219,'1.3.21-28.2.22'!$A$6:$DA$404,82,FALSE)-VLOOKUP($A219,'01-02.2022'!$A$6:$DA$376,82,FALSE)</f>
        <v>312.34454680370698</v>
      </c>
      <c r="CE219" s="70">
        <f t="shared" si="263"/>
        <v>26.574609378247374</v>
      </c>
      <c r="CF219" s="566">
        <f>VLOOKUP($A219,'01-02.2021'!$A$6:$CZ$403,84,FALSE)+VLOOKUP($A219,'1.3.21-28.2.22'!$A$6:$DA$404,84,FALSE)-VLOOKUP($A219,'01-02.2022'!$A$6:$DA$376,84,FALSE)</f>
        <v>34.74122248739085</v>
      </c>
      <c r="CG219" s="566">
        <f>VLOOKUP($A219,'01-02.2021'!$A$6:$CZ$403,85,FALSE)+VLOOKUP($A219,'1.3.21-28.2.22'!$A$6:$DA$404,85,FALSE)-VLOOKUP($A219,'01-02.2022'!$A$6:$DA$376,85,FALSE)</f>
        <v>0</v>
      </c>
      <c r="CH219" s="70">
        <f t="shared" si="264"/>
        <v>-34.74122248739085</v>
      </c>
      <c r="CI219" s="566">
        <f>VLOOKUP($A219,'01-02.2021'!$A$6:$CZ$403,87,FALSE)+VLOOKUP($A219,'1.3.21-28.2.22'!$A$6:$DA$404,87,FALSE)-VLOOKUP($A219,'01-02.2022'!$A$6:$DA$376,87,FALSE)</f>
        <v>1197.2303883819834</v>
      </c>
      <c r="CJ219" s="566">
        <f>VLOOKUP($A219,'01-02.2021'!$A$6:$CZ$403,88,FALSE)+VLOOKUP($A219,'1.3.21-28.2.22'!$A$6:$DA$404,88,FALSE)-VLOOKUP($A219,'01-02.2022'!$A$6:$DA$376,88,FALSE)</f>
        <v>1519.6144609243977</v>
      </c>
      <c r="CK219" s="70">
        <f t="shared" si="265"/>
        <v>322.38407254241429</v>
      </c>
      <c r="CL219" s="566">
        <f>VLOOKUP($A219,'01-02.2021'!$A$6:$CZ$403,90,FALSE)+VLOOKUP($A219,'1.3.21-28.2.22'!$A$6:$DA$404,90,FALSE)-VLOOKUP($A219,'01-02.2022'!$A$6:$DA$376,90,FALSE)</f>
        <v>0</v>
      </c>
      <c r="CM219" s="566">
        <f>VLOOKUP($A219,'01-02.2021'!$A$6:$CZ$403,91,FALSE)+VLOOKUP($A219,'1.3.21-28.2.22'!$A$6:$DA$404,91,FALSE)-VLOOKUP($A219,'01-02.2022'!$A$6:$DA$376,91,FALSE)</f>
        <v>0</v>
      </c>
      <c r="CN219" s="52">
        <f t="shared" si="225"/>
        <v>0</v>
      </c>
      <c r="CO219" s="39">
        <f t="shared" si="220"/>
        <v>1197.2303883819834</v>
      </c>
      <c r="CP219" s="40">
        <f t="shared" si="226"/>
        <v>1519.6144609243977</v>
      </c>
      <c r="CQ219" s="52">
        <f t="shared" si="227"/>
        <v>322.38407254241429</v>
      </c>
      <c r="CR219" s="72">
        <f t="shared" si="221"/>
        <v>28006.19210711636</v>
      </c>
      <c r="CS219" s="5">
        <f t="shared" si="221"/>
        <v>64900.529404442044</v>
      </c>
      <c r="CT219" s="52">
        <f t="shared" si="228"/>
        <v>36894.337297325685</v>
      </c>
      <c r="CU219" s="77">
        <f t="shared" si="229"/>
        <v>33607.430528539633</v>
      </c>
      <c r="CV219" s="65">
        <f t="shared" si="230"/>
        <v>77880.635285330456</v>
      </c>
      <c r="CW219" s="35">
        <f t="shared" si="231"/>
        <v>44273.204756790823</v>
      </c>
      <c r="CX219" s="566">
        <f>VLOOKUP($A219,'01-02.2021'!$A$6:$CZ$403,102,FALSE)+VLOOKUP($A219,'1.3.21-28.2.22'!$A$6:$DA$404,102,FALSE)-VLOOKUP($A219,'01-02.2022'!$A$6:$DA$376,102,FALSE)</f>
        <v>618.77436851305606</v>
      </c>
      <c r="CY219" s="566">
        <f>VLOOKUP($A219,'01-02.2021'!$A$6:$CZ$403,103,FALSE)+VLOOKUP($A219,'1.3.21-28.2.22'!$A$6:$DA$404,103,FALSE)-VLOOKUP($A219,'01-02.2022'!$A$6:$DA$376,103,FALSE)</f>
        <v>-43654.43038827776</v>
      </c>
      <c r="CZ219" s="52">
        <f t="shared" si="232"/>
        <v>-44273.204756790816</v>
      </c>
      <c r="DA219" s="150">
        <f>'[2]побудинковий звіт'!DA219</f>
        <v>34123.427752609416</v>
      </c>
      <c r="DB219" s="2">
        <v>2</v>
      </c>
      <c r="DC219" s="414">
        <f>'[4]побудинковий звіт'!DC219</f>
        <v>3444.64</v>
      </c>
      <c r="DD219" s="414">
        <f>'[4]побудинковий звіт'!DD219</f>
        <v>3844.48</v>
      </c>
      <c r="DE219" s="557">
        <f>'[4]побудинковий звіт'!DE219</f>
        <v>791.60048948224585</v>
      </c>
      <c r="DF219" s="557">
        <f>'[4]побудинковий звіт'!DF219</f>
        <v>3377.588707682396</v>
      </c>
      <c r="DG219" s="321">
        <f>VLOOKUP(A219,'кошти 01.03.2021'!$A$6:$D$401,4,)</f>
        <v>-9657.6959977563674</v>
      </c>
      <c r="DH219" s="40">
        <f>'[3]побудинковий звіт'!DJ219</f>
        <v>35493.422521584485</v>
      </c>
      <c r="DI219" s="422">
        <f>'[3]побудинковий звіт'!CU219+'[3]побудинковий звіт'!CX219</f>
        <v>3119.9308028353576</v>
      </c>
      <c r="DJ219" s="306">
        <f>'[3]побудинковий звіт'!DM219</f>
        <v>6.6759927290331005</v>
      </c>
      <c r="DK219" s="306">
        <f t="shared" si="267"/>
        <v>6.6759927290331005</v>
      </c>
      <c r="DL219" s="306">
        <f>'[3]побудинковий звіт'!DO219</f>
        <v>6.0714082225956307</v>
      </c>
      <c r="DM219" s="28">
        <f t="shared" si="268"/>
        <v>2653.039510517754</v>
      </c>
      <c r="DN219" s="28">
        <f t="shared" si="269"/>
        <v>466.89129231760404</v>
      </c>
      <c r="DO219" s="423">
        <f t="shared" si="238"/>
        <v>3119.930802835358</v>
      </c>
      <c r="DP219" s="94">
        <f t="shared" si="239"/>
        <v>0</v>
      </c>
      <c r="DQ219" s="28">
        <f t="shared" si="240"/>
        <v>3119.930802835358</v>
      </c>
      <c r="DR219" s="318"/>
      <c r="DT219" s="8"/>
      <c r="DU219" s="5"/>
      <c r="DX219" s="5">
        <f t="shared" si="241"/>
        <v>8767.7806741485438</v>
      </c>
      <c r="DY219" s="5">
        <f t="shared" si="242"/>
        <v>50459.027999999998</v>
      </c>
      <c r="DZ219" s="159">
        <f>'[3]побудинковий звіт'!EA219</f>
        <v>738.2732938674144</v>
      </c>
    </row>
    <row r="220" spans="1:130" x14ac:dyDescent="0.3">
      <c r="A220" s="325">
        <v>150000933</v>
      </c>
      <c r="B220" s="41" t="s">
        <v>667</v>
      </c>
      <c r="C220" s="42" t="s">
        <v>268</v>
      </c>
      <c r="D220" s="42"/>
      <c r="E220" s="293">
        <f t="shared" si="218"/>
        <v>4735.0700000000006</v>
      </c>
      <c r="F220" s="305">
        <f>'[3]побудинковий звіт'!F220</f>
        <v>4358.7700000000004</v>
      </c>
      <c r="G220" s="508">
        <f>'[3]побудинковий звіт'!G220</f>
        <v>0</v>
      </c>
      <c r="H220" s="560">
        <f>'[3]побудинковий звіт'!H220</f>
        <v>376.3</v>
      </c>
      <c r="I220" s="566">
        <f>VLOOKUP($A220,'01-02.2021'!$A$6:$CZ$403,9,FALSE)+VLOOKUP($A220,'1.3.21-28.2.22'!$A$6:$DA$404,9,FALSE)-VLOOKUP($A220,'01-02.2022'!$A$6:$DA$376,9,FALSE)</f>
        <v>13192.464206651493</v>
      </c>
      <c r="J220" s="566">
        <f>VLOOKUP($A220,'01-02.2021'!$A$6:$CZ$403,10,FALSE)+VLOOKUP($A220,'1.3.21-28.2.22'!$A$6:$DA$404,10,FALSE)-VLOOKUP($A220,'01-02.2022'!$A$6:$DA$376,10,FALSE)</f>
        <v>14586.825981526688</v>
      </c>
      <c r="K220" s="52">
        <f t="shared" si="222"/>
        <v>1394.3617748751949</v>
      </c>
      <c r="L220" s="566">
        <f>VLOOKUP($A220,'01-02.2021'!$A$6:$CZ$403,12,FALSE)+VLOOKUP($A220,'1.3.21-28.2.22'!$A$6:$DA$404,12,FALSE)-VLOOKUP($A220,'01-02.2022'!$A$6:$DA$376,12,FALSE)</f>
        <v>2805.9521475682709</v>
      </c>
      <c r="M220" s="566">
        <f>VLOOKUP($A220,'01-02.2021'!$A$6:$CZ$403,13,FALSE)+VLOOKUP($A220,'1.3.21-28.2.22'!$A$6:$DA$404,13,FALSE)-VLOOKUP($A220,'01-02.2022'!$A$6:$DA$376,13,FALSE)</f>
        <v>3089.4537461176496</v>
      </c>
      <c r="N220" s="52">
        <f t="shared" si="223"/>
        <v>283.50159854937874</v>
      </c>
      <c r="O220" s="566">
        <f>VLOOKUP($A220,'01-02.2021'!$A$6:$CZ$403,15,FALSE)+VLOOKUP($A220,'1.3.21-28.2.22'!$A$6:$DA$404,15,FALSE)-VLOOKUP($A220,'01-02.2022'!$A$6:$DA$376,15,FALSE)</f>
        <v>5930.2177973651915</v>
      </c>
      <c r="P220" s="566">
        <f>VLOOKUP($A220,'01-02.2021'!$A$6:$CZ$403,16,FALSE)+VLOOKUP($A220,'1.3.21-28.2.22'!$A$6:$DA$404,16,FALSE)-VLOOKUP($A220,'01-02.2022'!$A$6:$DA$376,16,FALSE)</f>
        <v>5930.2199999999993</v>
      </c>
      <c r="Q220" s="70">
        <f t="shared" si="243"/>
        <v>2.2026348078725277E-3</v>
      </c>
      <c r="R220" s="566">
        <f>VLOOKUP($A220,'01-02.2021'!$A$6:$CZ$403,18,FALSE)+VLOOKUP($A220,'1.3.21-28.2.22'!$A$6:$DA$404,18,FALSE)-VLOOKUP($A220,'01-02.2022'!$A$6:$DA$376,18,FALSE)</f>
        <v>1413.7142150750833</v>
      </c>
      <c r="S220" s="566">
        <f>VLOOKUP($A220,'01-02.2021'!$A$6:$CZ$403,19,FALSE)+VLOOKUP($A220,'1.3.21-28.2.22'!$A$6:$DA$404,19,FALSE)-VLOOKUP($A220,'01-02.2022'!$A$6:$DA$376,19,FALSE)</f>
        <v>1413.7399999999998</v>
      </c>
      <c r="T220" s="70">
        <f t="shared" si="244"/>
        <v>2.5784924916479213E-2</v>
      </c>
      <c r="U220" s="566">
        <f>VLOOKUP($A220,'01-02.2021'!$A$6:$CZ$403,21,FALSE)+VLOOKUP($A220,'1.3.21-28.2.22'!$A$6:$DA$404,21,FALSE)-VLOOKUP($A220,'01-02.2022'!$A$6:$DA$376,21,FALSE)</f>
        <v>762.9712538190023</v>
      </c>
      <c r="V220" s="566">
        <f>VLOOKUP($A220,'01-02.2021'!$A$6:$CZ$403,22,FALSE)+VLOOKUP($A220,'1.3.21-28.2.22'!$A$6:$DA$404,22,FALSE)-VLOOKUP($A220,'01-02.2022'!$A$6:$DA$376,22,FALSE)</f>
        <v>2563.2436625084651</v>
      </c>
      <c r="W220" s="70">
        <f t="shared" si="245"/>
        <v>1800.2724086894627</v>
      </c>
      <c r="X220" s="566">
        <f>VLOOKUP($A220,'01-02.2021'!$A$6:$CZ$403,24,FALSE)+VLOOKUP($A220,'1.3.21-28.2.22'!$A$6:$DA$404,24,FALSE)-VLOOKUP($A220,'01-02.2022'!$A$6:$DA$376,24,FALSE)</f>
        <v>9227.3259855065699</v>
      </c>
      <c r="Y220" s="566">
        <f>VLOOKUP($A220,'01-02.2021'!$A$6:$CZ$403,25,FALSE)+VLOOKUP($A220,'1.3.21-28.2.22'!$A$6:$DA$404,25,FALSE)-VLOOKUP($A220,'01-02.2022'!$A$6:$DA$376,25,FALSE)</f>
        <v>7473.8583324765468</v>
      </c>
      <c r="Z220" s="70">
        <f t="shared" si="246"/>
        <v>-1753.467653030023</v>
      </c>
      <c r="AA220" s="566">
        <f>VLOOKUP($A220,'01-02.2021'!$A$6:$CZ$403,27,FALSE)+VLOOKUP($A220,'1.3.21-28.2.22'!$A$6:$DA$404,27,FALSE)-VLOOKUP($A220,'01-02.2022'!$A$6:$DA$376,27,FALSE)</f>
        <v>943.19400000000007</v>
      </c>
      <c r="AB220" s="566">
        <f>VLOOKUP($A220,'01-02.2021'!$A$6:$CZ$403,28,FALSE)+VLOOKUP($A220,'1.3.21-28.2.22'!$A$6:$DA$404,28,FALSE)-VLOOKUP($A220,'01-02.2022'!$A$6:$DA$376,28,FALSE)</f>
        <v>0</v>
      </c>
      <c r="AC220" s="70">
        <f t="shared" si="247"/>
        <v>-943.19400000000007</v>
      </c>
      <c r="AD220" s="566">
        <f>VLOOKUP($A220,'01-02.2021'!$A$6:$CZ$403,30,FALSE)+VLOOKUP($A220,'1.3.21-28.2.22'!$A$6:$DA$404,30,FALSE)-VLOOKUP($A220,'01-02.2022'!$A$6:$DA$376,30,FALSE)</f>
        <v>20268.659131999346</v>
      </c>
      <c r="AE220" s="566">
        <f>VLOOKUP($A220,'01-02.2021'!$A$6:$CZ$403,31,FALSE)+VLOOKUP($A220,'1.3.21-28.2.22'!$A$6:$DA$404,31,FALSE)-VLOOKUP($A220,'01-02.2022'!$A$6:$DA$376,31,FALSE)</f>
        <v>21554.229426625894</v>
      </c>
      <c r="AF220" s="68">
        <f t="shared" si="248"/>
        <v>1285.5702946265483</v>
      </c>
      <c r="AG220" s="77">
        <f t="shared" si="219"/>
        <v>54544.498737984963</v>
      </c>
      <c r="AH220" s="53">
        <f t="shared" si="219"/>
        <v>56611.571149255251</v>
      </c>
      <c r="AI220" s="52">
        <f t="shared" si="224"/>
        <v>2067.0724112702883</v>
      </c>
      <c r="AJ220" s="566">
        <f>VLOOKUP($A220,'01-02.2021'!$A$6:$CZ$403,36,FALSE)+VLOOKUP($A220,'1.3.21-28.2.22'!$A$6:$DA$404,36,FALSE)-VLOOKUP($A220,'01-02.2022'!$A$6:$DA$376,36,FALSE)</f>
        <v>0</v>
      </c>
      <c r="AK220" s="566">
        <f>VLOOKUP($A220,'01-02.2021'!$A$6:$CZ$403,37,FALSE)+VLOOKUP($A220,'1.3.21-28.2.22'!$A$6:$DA$404,37,FALSE)-VLOOKUP($A220,'01-02.2022'!$A$6:$DA$376,37,FALSE)</f>
        <v>0</v>
      </c>
      <c r="AL220" s="70">
        <f t="shared" si="249"/>
        <v>0</v>
      </c>
      <c r="AM220" s="566">
        <f>VLOOKUP($A220,'01-02.2021'!$A$6:$CZ$403,39,FALSE)+VLOOKUP($A220,'1.3.21-28.2.22'!$A$6:$DA$404,39,FALSE)-VLOOKUP($A220,'01-02.2022'!$A$6:$DA$376,39,FALSE)</f>
        <v>0</v>
      </c>
      <c r="AN220" s="566">
        <f>VLOOKUP($A220,'01-02.2021'!$A$6:$CZ$403,40,FALSE)+VLOOKUP($A220,'1.3.21-28.2.22'!$A$6:$DA$404,40,FALSE)-VLOOKUP($A220,'01-02.2022'!$A$6:$DA$376,40,FALSE)</f>
        <v>0</v>
      </c>
      <c r="AO220" s="70">
        <f t="shared" si="250"/>
        <v>0</v>
      </c>
      <c r="AP220" s="566">
        <f>VLOOKUP($A220,'01-02.2021'!$A$6:$CZ$403,42,FALSE)+VLOOKUP($A220,'1.3.21-28.2.22'!$A$6:$DA$404,42,FALSE)-VLOOKUP($A220,'01-02.2022'!$A$6:$DA$376,42,FALSE)</f>
        <v>3427.0195063341184</v>
      </c>
      <c r="AQ220" s="566">
        <f>VLOOKUP($A220,'01-02.2021'!$A$6:$CZ$403,43,FALSE)+VLOOKUP($A220,'1.3.21-28.2.22'!$A$6:$DA$404,43,FALSE)-VLOOKUP($A220,'01-02.2022'!$A$6:$DA$376,43,FALSE)</f>
        <v>2925.4662963792662</v>
      </c>
      <c r="AR220" s="70">
        <f t="shared" si="251"/>
        <v>-501.55320995485226</v>
      </c>
      <c r="AS220" s="566">
        <f>VLOOKUP($A220,'01-02.2021'!$A$6:$CZ$403,45,FALSE)+VLOOKUP($A220,'1.3.21-28.2.22'!$A$6:$DA$404,45,FALSE)-VLOOKUP($A220,'01-02.2022'!$A$6:$DA$376,45,FALSE)</f>
        <v>40934.631353782723</v>
      </c>
      <c r="AT220" s="566">
        <f>VLOOKUP($A220,'01-02.2021'!$A$6:$CZ$403,46,FALSE)+VLOOKUP($A220,'1.3.21-28.2.22'!$A$6:$DA$404,46,FALSE)-VLOOKUP($A220,'01-02.2022'!$A$6:$DA$376,46,FALSE)</f>
        <v>1897</v>
      </c>
      <c r="AU220" s="78">
        <f t="shared" si="252"/>
        <v>-39037.631353782723</v>
      </c>
      <c r="AV220" s="566">
        <f>VLOOKUP($A220,'01-02.2021'!$A$6:$CZ$403,48,FALSE)+VLOOKUP($A220,'1.3.21-28.2.22'!$A$6:$DA$404,48,FALSE)-VLOOKUP($A220,'01-02.2022'!$A$6:$DA$376,48,FALSE)</f>
        <v>3681.57056844105</v>
      </c>
      <c r="AW220" s="566">
        <f>VLOOKUP($A220,'01-02.2021'!$A$6:$CZ$403,49,FALSE)+VLOOKUP($A220,'1.3.21-28.2.22'!$A$6:$DA$404,49,FALSE)-VLOOKUP($A220,'01-02.2022'!$A$6:$DA$376,49,FALSE)</f>
        <v>188</v>
      </c>
      <c r="AX220" s="55">
        <f t="shared" si="253"/>
        <v>-3493.57056844105</v>
      </c>
      <c r="AY220" s="566">
        <f>VLOOKUP($A220,'01-02.2021'!$A$6:$CZ$403,51,FALSE)+VLOOKUP($A220,'1.3.21-28.2.22'!$A$6:$DA$404,51,FALSE)-VLOOKUP($A220,'01-02.2022'!$A$6:$DA$376,51,FALSE)</f>
        <v>5274.4668416850036</v>
      </c>
      <c r="AZ220" s="566">
        <f>VLOOKUP($A220,'01-02.2021'!$A$6:$CZ$403,52,FALSE)+VLOOKUP($A220,'1.3.21-28.2.22'!$A$6:$DA$404,52,FALSE)-VLOOKUP($A220,'01-02.2022'!$A$6:$DA$376,52,FALSE)</f>
        <v>1215</v>
      </c>
      <c r="BA220" s="38">
        <f t="shared" si="254"/>
        <v>-4059.4668416850036</v>
      </c>
      <c r="BB220" s="566">
        <f>VLOOKUP($A220,'01-02.2021'!$A$6:$CZ$403,54,FALSE)+VLOOKUP($A220,'1.3.21-28.2.22'!$A$6:$DA$404,54,FALSE)-VLOOKUP($A220,'01-02.2022'!$A$6:$DA$376,54,FALSE)</f>
        <v>2906.0193465018638</v>
      </c>
      <c r="BC220" s="566">
        <f>VLOOKUP($A220,'01-02.2021'!$A$6:$CZ$403,55,FALSE)+VLOOKUP($A220,'1.3.21-28.2.22'!$A$6:$DA$404,55,FALSE)-VLOOKUP($A220,'01-02.2022'!$A$6:$DA$376,55,FALSE)</f>
        <v>516</v>
      </c>
      <c r="BD220" s="55">
        <f t="shared" si="255"/>
        <v>-2390.0193465018638</v>
      </c>
      <c r="BE220" s="566">
        <f>VLOOKUP($A220,'01-02.2021'!$A$6:$CZ$403,57,FALSE)+VLOOKUP($A220,'1.3.21-28.2.22'!$A$6:$DA$404,57,FALSE)-VLOOKUP($A220,'01-02.2022'!$A$6:$DA$376,57,FALSE)</f>
        <v>3502.368218592087</v>
      </c>
      <c r="BF220" s="566">
        <f>VLOOKUP($A220,'01-02.2021'!$A$6:$CZ$403,58,FALSE)+VLOOKUP($A220,'1.3.21-28.2.22'!$A$6:$DA$404,58,FALSE)-VLOOKUP($A220,'01-02.2022'!$A$6:$DA$376,58,FALSE)</f>
        <v>0</v>
      </c>
      <c r="BG220" s="55">
        <f t="shared" si="256"/>
        <v>-3502.368218592087</v>
      </c>
      <c r="BH220" s="566">
        <f>VLOOKUP($A220,'01-02.2021'!$A$6:$CZ$403,60,FALSE)+VLOOKUP($A220,'1.3.21-28.2.22'!$A$6:$DA$404,60,FALSE)-VLOOKUP($A220,'01-02.2022'!$A$6:$DA$376,60,FALSE)</f>
        <v>1711.8630289700889</v>
      </c>
      <c r="BI220" s="566">
        <f>VLOOKUP($A220,'01-02.2021'!$A$6:$CZ$403,61,FALSE)+VLOOKUP($A220,'1.3.21-28.2.22'!$A$6:$DA$404,61,FALSE)-VLOOKUP($A220,'01-02.2022'!$A$6:$DA$376,61,FALSE)</f>
        <v>0</v>
      </c>
      <c r="BJ220" s="55">
        <f t="shared" si="257"/>
        <v>-1711.8630289700889</v>
      </c>
      <c r="BK220" s="566">
        <f>VLOOKUP($A220,'01-02.2021'!$A$6:$CZ$403,63,FALSE)+VLOOKUP($A220,'1.3.21-28.2.22'!$A$6:$DA$404,63,FALSE)-VLOOKUP($A220,'01-02.2022'!$A$6:$DA$376,63,FALSE)</f>
        <v>3103.3268990649913</v>
      </c>
      <c r="BL220" s="566">
        <f>VLOOKUP($A220,'01-02.2021'!$A$6:$CZ$403,64,FALSE)+VLOOKUP($A220,'1.3.21-28.2.22'!$A$6:$DA$404,64,FALSE)-VLOOKUP($A220,'01-02.2022'!$A$6:$DA$376,64,FALSE)</f>
        <v>82</v>
      </c>
      <c r="BM220" s="55">
        <f t="shared" si="258"/>
        <v>-3021.3268990649913</v>
      </c>
      <c r="BN220" s="566">
        <f>VLOOKUP($A220,'01-02.2021'!$A$6:$CZ$403,66,FALSE)+VLOOKUP($A220,'1.3.21-28.2.22'!$A$6:$DA$404,66,FALSE)-VLOOKUP($A220,'01-02.2022'!$A$6:$DA$376,66,FALSE)</f>
        <v>235.79850000000002</v>
      </c>
      <c r="BO220" s="566">
        <f>VLOOKUP($A220,'01-02.2021'!$A$6:$CZ$403,67,FALSE)+VLOOKUP($A220,'1.3.21-28.2.22'!$A$6:$DA$404,67,FALSE)-VLOOKUP($A220,'01-02.2022'!$A$6:$DA$376,67,FALSE)</f>
        <v>0</v>
      </c>
      <c r="BP220" s="55">
        <f t="shared" si="259"/>
        <v>-235.79850000000002</v>
      </c>
      <c r="BQ220" s="77">
        <f t="shared" si="209"/>
        <v>20415.413403255086</v>
      </c>
      <c r="BR220" s="40">
        <f t="shared" si="237"/>
        <v>2001</v>
      </c>
      <c r="BS220" s="55">
        <f t="shared" si="236"/>
        <v>-18414.413403255086</v>
      </c>
      <c r="BT220" s="566">
        <f>VLOOKUP($A220,'01-02.2021'!$A$6:$CZ$403,72,FALSE)+VLOOKUP($A220,'1.3.21-28.2.22'!$A$6:$DA$404,72,FALSE)-VLOOKUP($A220,'01-02.2022'!$A$6:$DA$376,72,FALSE)</f>
        <v>58019.098603235994</v>
      </c>
      <c r="BU220" s="566">
        <f>VLOOKUP($A220,'01-02.2021'!$A$6:$CZ$403,73,FALSE)+VLOOKUP($A220,'1.3.21-28.2.22'!$A$6:$DA$404,73,FALSE)-VLOOKUP($A220,'01-02.2022'!$A$6:$DA$376,73,FALSE)</f>
        <v>62665.929544643113</v>
      </c>
      <c r="BV220" s="70">
        <f t="shared" si="260"/>
        <v>4646.8309414071191</v>
      </c>
      <c r="BW220" s="566">
        <f>VLOOKUP($A220,'01-02.2021'!$A$6:$CZ$403,75,FALSE)+VLOOKUP($A220,'1.3.21-28.2.22'!$A$6:$DA$404,75,FALSE)-VLOOKUP($A220,'01-02.2022'!$A$6:$DA$376,75,FALSE)</f>
        <v>26475.014931416204</v>
      </c>
      <c r="BX220" s="566">
        <f>VLOOKUP($A220,'01-02.2021'!$A$6:$CZ$403,76,FALSE)+VLOOKUP($A220,'1.3.21-28.2.22'!$A$6:$DA$404,76,FALSE)-VLOOKUP($A220,'01-02.2022'!$A$6:$DA$376,76,FALSE)</f>
        <v>24230.868762992963</v>
      </c>
      <c r="BY220" s="70">
        <f t="shared" si="261"/>
        <v>-2244.1461684232418</v>
      </c>
      <c r="BZ220" s="566">
        <f>VLOOKUP($A220,'01-02.2021'!$A$6:$CZ$403,78,FALSE)+VLOOKUP($A220,'1.3.21-28.2.22'!$A$6:$DA$404,78,FALSE)-VLOOKUP($A220,'01-02.2022'!$A$6:$DA$376,78,FALSE)</f>
        <v>15146.763840518564</v>
      </c>
      <c r="CA220" s="566">
        <f>VLOOKUP($A220,'01-02.2021'!$A$6:$CZ$403,79,FALSE)+VLOOKUP($A220,'1.3.21-28.2.22'!$A$6:$DA$404,79,FALSE)-VLOOKUP($A220,'01-02.2022'!$A$6:$DA$376,79,FALSE)</f>
        <v>14963.848860641439</v>
      </c>
      <c r="CB220" s="70">
        <f t="shared" si="262"/>
        <v>-182.91497987712501</v>
      </c>
      <c r="CC220" s="566">
        <f>VLOOKUP($A220,'01-02.2021'!$A$6:$CZ$403,81,FALSE)+VLOOKUP($A220,'1.3.21-28.2.22'!$A$6:$DA$404,81,FALSE)-VLOOKUP($A220,'01-02.2022'!$A$6:$DA$376,81,FALSE)</f>
        <v>2465.0995536794317</v>
      </c>
      <c r="CD220" s="566">
        <f>VLOOKUP($A220,'01-02.2021'!$A$6:$CZ$403,82,FALSE)+VLOOKUP($A220,'1.3.21-28.2.22'!$A$6:$DA$404,82,FALSE)-VLOOKUP($A220,'01-02.2022'!$A$6:$DA$376,82,FALSE)</f>
        <v>2694.3366046712295</v>
      </c>
      <c r="CE220" s="70">
        <f t="shared" si="263"/>
        <v>229.23705099179779</v>
      </c>
      <c r="CF220" s="566">
        <f>VLOOKUP($A220,'01-02.2021'!$A$6:$CZ$403,84,FALSE)+VLOOKUP($A220,'1.3.21-28.2.22'!$A$6:$DA$404,84,FALSE)-VLOOKUP($A220,'01-02.2022'!$A$6:$DA$376,84,FALSE)</f>
        <v>299.68362949403513</v>
      </c>
      <c r="CG220" s="566">
        <f>VLOOKUP($A220,'01-02.2021'!$A$6:$CZ$403,85,FALSE)+VLOOKUP($A220,'1.3.21-28.2.22'!$A$6:$DA$404,85,FALSE)-VLOOKUP($A220,'01-02.2022'!$A$6:$DA$376,85,FALSE)</f>
        <v>1129.9153146014414</v>
      </c>
      <c r="CH220" s="70">
        <f t="shared" si="264"/>
        <v>830.23168510740629</v>
      </c>
      <c r="CI220" s="566">
        <f>VLOOKUP($A220,'01-02.2021'!$A$6:$CZ$403,87,FALSE)+VLOOKUP($A220,'1.3.21-28.2.22'!$A$6:$DA$404,87,FALSE)-VLOOKUP($A220,'01-02.2022'!$A$6:$DA$376,87,FALSE)</f>
        <v>8627.9214860801767</v>
      </c>
      <c r="CJ220" s="566">
        <f>VLOOKUP($A220,'01-02.2021'!$A$6:$CZ$403,88,FALSE)+VLOOKUP($A220,'1.3.21-28.2.22'!$A$6:$DA$404,88,FALSE)-VLOOKUP($A220,'01-02.2022'!$A$6:$DA$376,88,FALSE)</f>
        <v>7109.2802758692787</v>
      </c>
      <c r="CK220" s="70">
        <f t="shared" si="265"/>
        <v>-1518.641210210898</v>
      </c>
      <c r="CL220" s="566">
        <f>VLOOKUP($A220,'01-02.2021'!$A$6:$CZ$403,90,FALSE)+VLOOKUP($A220,'1.3.21-28.2.22'!$A$6:$DA$404,90,FALSE)-VLOOKUP($A220,'01-02.2022'!$A$6:$DA$376,90,FALSE)</f>
        <v>0</v>
      </c>
      <c r="CM220" s="566">
        <f>VLOOKUP($A220,'01-02.2021'!$A$6:$CZ$403,91,FALSE)+VLOOKUP($A220,'1.3.21-28.2.22'!$A$6:$DA$404,91,FALSE)-VLOOKUP($A220,'01-02.2022'!$A$6:$DA$376,91,FALSE)</f>
        <v>0</v>
      </c>
      <c r="CN220" s="52">
        <f t="shared" si="225"/>
        <v>0</v>
      </c>
      <c r="CO220" s="39">
        <f t="shared" si="220"/>
        <v>8627.9214860801767</v>
      </c>
      <c r="CP220" s="40">
        <f t="shared" si="226"/>
        <v>7109.2802758692787</v>
      </c>
      <c r="CQ220" s="52">
        <f t="shared" si="227"/>
        <v>-1518.641210210898</v>
      </c>
      <c r="CR220" s="72">
        <f t="shared" si="221"/>
        <v>230355.1450457813</v>
      </c>
      <c r="CS220" s="5">
        <f t="shared" si="221"/>
        <v>176229.21680905399</v>
      </c>
      <c r="CT220" s="52">
        <f t="shared" si="228"/>
        <v>-54125.928236727312</v>
      </c>
      <c r="CU220" s="77">
        <f t="shared" si="229"/>
        <v>276426.17405493755</v>
      </c>
      <c r="CV220" s="65">
        <f t="shared" si="230"/>
        <v>211475.06017086477</v>
      </c>
      <c r="CW220" s="35">
        <f t="shared" si="231"/>
        <v>-64951.11388407278</v>
      </c>
      <c r="CX220" s="566">
        <f>VLOOKUP($A220,'01-02.2021'!$A$6:$CZ$403,102,FALSE)+VLOOKUP($A220,'1.3.21-28.2.22'!$A$6:$DA$404,102,FALSE)-VLOOKUP($A220,'01-02.2022'!$A$6:$DA$376,102,FALSE)</f>
        <v>8742.7195424353722</v>
      </c>
      <c r="CY220" s="566">
        <f>VLOOKUP($A220,'01-02.2021'!$A$6:$CZ$403,103,FALSE)+VLOOKUP($A220,'1.3.21-28.2.22'!$A$6:$DA$404,103,FALSE)-VLOOKUP($A220,'01-02.2022'!$A$6:$DA$376,103,FALSE)</f>
        <v>73693.833426508136</v>
      </c>
      <c r="CZ220" s="52">
        <f t="shared" si="232"/>
        <v>64951.113884072765</v>
      </c>
      <c r="DA220" s="150">
        <f>'[2]побудинковий звіт'!DA220</f>
        <v>-2289.3996658727701</v>
      </c>
      <c r="DB220" s="2">
        <v>2</v>
      </c>
      <c r="DC220" s="414">
        <f>'[4]побудинковий звіт'!DC220</f>
        <v>33664.44</v>
      </c>
      <c r="DD220" s="414">
        <f>'[4]побудинковий звіт'!DD220</f>
        <v>33826.579999999994</v>
      </c>
      <c r="DE220" s="557">
        <f>'[4]побудинковий звіт'!DE220</f>
        <v>9569.5883603426992</v>
      </c>
      <c r="DF220" s="557">
        <f>'[4]побудинковий звіт'!DF220</f>
        <v>32017.051792763417</v>
      </c>
      <c r="DG220" s="321">
        <f>VLOOKUP(A220,'кошти 01.03.2021'!$A$6:$D$401,4,)</f>
        <v>70258.619968696381</v>
      </c>
      <c r="DH220" s="40">
        <f>'[3]побудинковий звіт'!DJ220</f>
        <v>295291.73051680875</v>
      </c>
      <c r="DI220" s="422">
        <f>'[3]побудинковий звіт'!CU220+'[3]побудинковий звіт'!CX220</f>
        <v>25904.37984689388</v>
      </c>
      <c r="DJ220" s="306">
        <f>'[3]побудинковий звіт'!DM220</f>
        <v>5.5279015960138524</v>
      </c>
      <c r="DK220" s="306">
        <f t="shared" si="267"/>
        <v>5.5279015960138524</v>
      </c>
      <c r="DL220" s="306">
        <f>'[3]побудинковий звіт'!DO220</f>
        <v>4.8087382599962156</v>
      </c>
      <c r="DM220" s="28">
        <f t="shared" si="268"/>
        <v>24094.851639657303</v>
      </c>
      <c r="DN220" s="28">
        <f t="shared" si="269"/>
        <v>1809.528207236576</v>
      </c>
      <c r="DO220" s="423">
        <f t="shared" si="238"/>
        <v>25904.37984689388</v>
      </c>
      <c r="DP220" s="94">
        <f t="shared" si="239"/>
        <v>0</v>
      </c>
      <c r="DQ220" s="28">
        <f t="shared" si="240"/>
        <v>25904.37984689388</v>
      </c>
      <c r="DR220" s="318"/>
      <c r="DT220" s="8"/>
      <c r="DU220" s="5"/>
      <c r="DX220" s="5">
        <f t="shared" si="241"/>
        <v>73620.053708445368</v>
      </c>
      <c r="DY220" s="5">
        <f t="shared" si="242"/>
        <v>4677.5999999999995</v>
      </c>
      <c r="DZ220" s="159">
        <f>'[3]побудинковий звіт'!EA220</f>
        <v>6613.7081887984787</v>
      </c>
    </row>
    <row r="221" spans="1:130" x14ac:dyDescent="0.3">
      <c r="A221" s="325">
        <v>150000934</v>
      </c>
      <c r="B221" s="41" t="s">
        <v>668</v>
      </c>
      <c r="C221" s="42" t="s">
        <v>216</v>
      </c>
      <c r="D221" s="42"/>
      <c r="E221" s="293">
        <f t="shared" si="218"/>
        <v>1981.17</v>
      </c>
      <c r="F221" s="305">
        <f>'[3]побудинковий звіт'!F221</f>
        <v>1981.17</v>
      </c>
      <c r="G221" s="508">
        <f>'[3]побудинковий звіт'!G221</f>
        <v>0</v>
      </c>
      <c r="H221" s="560">
        <f>'[3]побудинковий звіт'!H221</f>
        <v>0</v>
      </c>
      <c r="I221" s="566">
        <f>VLOOKUP($A221,'01-02.2021'!$A$6:$CZ$403,9,FALSE)+VLOOKUP($A221,'1.3.21-28.2.22'!$A$6:$DA$404,9,FALSE)-VLOOKUP($A221,'01-02.2022'!$A$6:$DA$376,9,FALSE)</f>
        <v>6184.6679231511107</v>
      </c>
      <c r="J221" s="566">
        <f>VLOOKUP($A221,'01-02.2021'!$A$6:$CZ$403,10,FALSE)+VLOOKUP($A221,'1.3.21-28.2.22'!$A$6:$DA$404,10,FALSE)-VLOOKUP($A221,'01-02.2022'!$A$6:$DA$376,10,FALSE)</f>
        <v>6781.6864871332218</v>
      </c>
      <c r="K221" s="52">
        <f t="shared" si="222"/>
        <v>597.01856398211112</v>
      </c>
      <c r="L221" s="566">
        <f>VLOOKUP($A221,'01-02.2021'!$A$6:$CZ$403,12,FALSE)+VLOOKUP($A221,'1.3.21-28.2.22'!$A$6:$DA$404,12,FALSE)-VLOOKUP($A221,'01-02.2022'!$A$6:$DA$376,12,FALSE)</f>
        <v>910.70295529879991</v>
      </c>
      <c r="M221" s="566">
        <f>VLOOKUP($A221,'01-02.2021'!$A$6:$CZ$403,13,FALSE)+VLOOKUP($A221,'1.3.21-28.2.22'!$A$6:$DA$404,13,FALSE)-VLOOKUP($A221,'01-02.2022'!$A$6:$DA$376,13,FALSE)</f>
        <v>1002.7161459969434</v>
      </c>
      <c r="N221" s="52">
        <f t="shared" si="223"/>
        <v>92.013190698143489</v>
      </c>
      <c r="O221" s="566">
        <f>VLOOKUP($A221,'01-02.2021'!$A$6:$CZ$403,15,FALSE)+VLOOKUP($A221,'1.3.21-28.2.22'!$A$6:$DA$404,15,FALSE)-VLOOKUP($A221,'01-02.2022'!$A$6:$DA$376,15,FALSE)</f>
        <v>2336.8583855223087</v>
      </c>
      <c r="P221" s="566">
        <f>VLOOKUP($A221,'01-02.2021'!$A$6:$CZ$403,16,FALSE)+VLOOKUP($A221,'1.3.21-28.2.22'!$A$6:$DA$404,16,FALSE)-VLOOKUP($A221,'01-02.2022'!$A$6:$DA$376,16,FALSE)</f>
        <v>2336.88</v>
      </c>
      <c r="Q221" s="70">
        <f t="shared" si="243"/>
        <v>2.161447769140068E-2</v>
      </c>
      <c r="R221" s="566">
        <f>VLOOKUP($A221,'01-02.2021'!$A$6:$CZ$403,18,FALSE)+VLOOKUP($A221,'1.3.21-28.2.22'!$A$6:$DA$404,18,FALSE)-VLOOKUP($A221,'01-02.2022'!$A$6:$DA$376,18,FALSE)</f>
        <v>0</v>
      </c>
      <c r="S221" s="566">
        <f>VLOOKUP($A221,'01-02.2021'!$A$6:$CZ$403,19,FALSE)+VLOOKUP($A221,'1.3.21-28.2.22'!$A$6:$DA$404,19,FALSE)-VLOOKUP($A221,'01-02.2022'!$A$6:$DA$376,19,FALSE)</f>
        <v>0</v>
      </c>
      <c r="T221" s="70">
        <f t="shared" si="244"/>
        <v>0</v>
      </c>
      <c r="U221" s="566">
        <f>VLOOKUP($A221,'01-02.2021'!$A$6:$CZ$403,21,FALSE)+VLOOKUP($A221,'1.3.21-28.2.22'!$A$6:$DA$404,21,FALSE)-VLOOKUP($A221,'01-02.2022'!$A$6:$DA$376,21,FALSE)</f>
        <v>0</v>
      </c>
      <c r="V221" s="566">
        <f>VLOOKUP($A221,'01-02.2021'!$A$6:$CZ$403,22,FALSE)+VLOOKUP($A221,'1.3.21-28.2.22'!$A$6:$DA$404,22,FALSE)-VLOOKUP($A221,'01-02.2022'!$A$6:$DA$376,22,FALSE)</f>
        <v>0</v>
      </c>
      <c r="W221" s="70">
        <f t="shared" si="245"/>
        <v>0</v>
      </c>
      <c r="X221" s="566">
        <f>VLOOKUP($A221,'01-02.2021'!$A$6:$CZ$403,24,FALSE)+VLOOKUP($A221,'1.3.21-28.2.22'!$A$6:$DA$404,24,FALSE)-VLOOKUP($A221,'01-02.2022'!$A$6:$DA$376,24,FALSE)</f>
        <v>4006.4809122628567</v>
      </c>
      <c r="Y221" s="566">
        <f>VLOOKUP($A221,'01-02.2021'!$A$6:$CZ$403,25,FALSE)+VLOOKUP($A221,'1.3.21-28.2.22'!$A$6:$DA$404,25,FALSE)-VLOOKUP($A221,'01-02.2022'!$A$6:$DA$376,25,FALSE)</f>
        <v>3134.9356168181152</v>
      </c>
      <c r="Z221" s="70">
        <f t="shared" si="246"/>
        <v>-871.54529544474144</v>
      </c>
      <c r="AA221" s="566">
        <f>VLOOKUP($A221,'01-02.2021'!$A$6:$CZ$403,27,FALSE)+VLOOKUP($A221,'1.3.21-28.2.22'!$A$6:$DA$404,27,FALSE)-VLOOKUP($A221,'01-02.2022'!$A$6:$DA$376,27,FALSE)</f>
        <v>396.23400000000004</v>
      </c>
      <c r="AB221" s="566">
        <f>VLOOKUP($A221,'01-02.2021'!$A$6:$CZ$403,28,FALSE)+VLOOKUP($A221,'1.3.21-28.2.22'!$A$6:$DA$404,28,FALSE)-VLOOKUP($A221,'01-02.2022'!$A$6:$DA$376,28,FALSE)</f>
        <v>0</v>
      </c>
      <c r="AC221" s="70">
        <f t="shared" si="247"/>
        <v>-396.23400000000004</v>
      </c>
      <c r="AD221" s="566">
        <f>VLOOKUP($A221,'01-02.2021'!$A$6:$CZ$403,30,FALSE)+VLOOKUP($A221,'1.3.21-28.2.22'!$A$6:$DA$404,30,FALSE)-VLOOKUP($A221,'01-02.2022'!$A$6:$DA$376,30,FALSE)</f>
        <v>8509.7008412600044</v>
      </c>
      <c r="AE221" s="566">
        <f>VLOOKUP($A221,'01-02.2021'!$A$6:$CZ$403,31,FALSE)+VLOOKUP($A221,'1.3.21-28.2.22'!$A$6:$DA$404,31,FALSE)-VLOOKUP($A221,'01-02.2022'!$A$6:$DA$376,31,FALSE)</f>
        <v>9018.3656657976389</v>
      </c>
      <c r="AF221" s="68">
        <f t="shared" si="248"/>
        <v>508.66482453763456</v>
      </c>
      <c r="AG221" s="77">
        <f t="shared" si="219"/>
        <v>22344.645017495081</v>
      </c>
      <c r="AH221" s="53">
        <f t="shared" si="219"/>
        <v>22274.58391574592</v>
      </c>
      <c r="AI221" s="52">
        <f t="shared" si="224"/>
        <v>-70.061101749161026</v>
      </c>
      <c r="AJ221" s="566">
        <f>VLOOKUP($A221,'01-02.2021'!$A$6:$CZ$403,36,FALSE)+VLOOKUP($A221,'1.3.21-28.2.22'!$A$6:$DA$404,36,FALSE)-VLOOKUP($A221,'01-02.2022'!$A$6:$DA$376,36,FALSE)</f>
        <v>0</v>
      </c>
      <c r="AK221" s="566">
        <f>VLOOKUP($A221,'01-02.2021'!$A$6:$CZ$403,37,FALSE)+VLOOKUP($A221,'1.3.21-28.2.22'!$A$6:$DA$404,37,FALSE)-VLOOKUP($A221,'01-02.2022'!$A$6:$DA$376,37,FALSE)</f>
        <v>0</v>
      </c>
      <c r="AL221" s="70">
        <f t="shared" si="249"/>
        <v>0</v>
      </c>
      <c r="AM221" s="566">
        <f>VLOOKUP($A221,'01-02.2021'!$A$6:$CZ$403,39,FALSE)+VLOOKUP($A221,'1.3.21-28.2.22'!$A$6:$DA$404,39,FALSE)-VLOOKUP($A221,'01-02.2022'!$A$6:$DA$376,39,FALSE)</f>
        <v>0</v>
      </c>
      <c r="AN221" s="566">
        <f>VLOOKUP($A221,'01-02.2021'!$A$6:$CZ$403,40,FALSE)+VLOOKUP($A221,'1.3.21-28.2.22'!$A$6:$DA$404,40,FALSE)-VLOOKUP($A221,'01-02.2022'!$A$6:$DA$376,40,FALSE)</f>
        <v>0</v>
      </c>
      <c r="AO221" s="70">
        <f t="shared" si="250"/>
        <v>0</v>
      </c>
      <c r="AP221" s="566">
        <f>VLOOKUP($A221,'01-02.2021'!$A$6:$CZ$403,42,FALSE)+VLOOKUP($A221,'1.3.21-28.2.22'!$A$6:$DA$404,42,FALSE)-VLOOKUP($A221,'01-02.2022'!$A$6:$DA$376,42,FALSE)</f>
        <v>4685.0393251149972</v>
      </c>
      <c r="AQ221" s="566">
        <f>VLOOKUP($A221,'01-02.2021'!$A$6:$CZ$403,43,FALSE)+VLOOKUP($A221,'1.3.21-28.2.22'!$A$6:$DA$404,43,FALSE)-VLOOKUP($A221,'01-02.2022'!$A$6:$DA$376,43,FALSE)</f>
        <v>3816.783185187036</v>
      </c>
      <c r="AR221" s="70">
        <f t="shared" si="251"/>
        <v>-868.25613992796116</v>
      </c>
      <c r="AS221" s="566">
        <f>VLOOKUP($A221,'01-02.2021'!$A$6:$CZ$403,45,FALSE)+VLOOKUP($A221,'1.3.21-28.2.22'!$A$6:$DA$404,45,FALSE)-VLOOKUP($A221,'01-02.2022'!$A$6:$DA$376,45,FALSE)</f>
        <v>15479.051154228373</v>
      </c>
      <c r="AT221" s="566">
        <f>VLOOKUP($A221,'01-02.2021'!$A$6:$CZ$403,46,FALSE)+VLOOKUP($A221,'1.3.21-28.2.22'!$A$6:$DA$404,46,FALSE)-VLOOKUP($A221,'01-02.2022'!$A$6:$DA$376,46,FALSE)</f>
        <v>8974.380000000001</v>
      </c>
      <c r="AU221" s="78">
        <f t="shared" si="252"/>
        <v>-6504.671154228372</v>
      </c>
      <c r="AV221" s="566">
        <f>VLOOKUP($A221,'01-02.2021'!$A$6:$CZ$403,48,FALSE)+VLOOKUP($A221,'1.3.21-28.2.22'!$A$6:$DA$404,48,FALSE)-VLOOKUP($A221,'01-02.2022'!$A$6:$DA$376,48,FALSE)</f>
        <v>1758.4667400873309</v>
      </c>
      <c r="AW221" s="566">
        <f>VLOOKUP($A221,'01-02.2021'!$A$6:$CZ$403,49,FALSE)+VLOOKUP($A221,'1.3.21-28.2.22'!$A$6:$DA$404,49,FALSE)-VLOOKUP($A221,'01-02.2022'!$A$6:$DA$376,49,FALSE)</f>
        <v>366</v>
      </c>
      <c r="AX221" s="55">
        <f t="shared" si="253"/>
        <v>-1392.4667400873309</v>
      </c>
      <c r="AY221" s="566">
        <f>VLOOKUP($A221,'01-02.2021'!$A$6:$CZ$403,51,FALSE)+VLOOKUP($A221,'1.3.21-28.2.22'!$A$6:$DA$404,51,FALSE)-VLOOKUP($A221,'01-02.2022'!$A$6:$DA$376,51,FALSE)</f>
        <v>1712.0527790628462</v>
      </c>
      <c r="AZ221" s="566">
        <f>VLOOKUP($A221,'01-02.2021'!$A$6:$CZ$403,52,FALSE)+VLOOKUP($A221,'1.3.21-28.2.22'!$A$6:$DA$404,52,FALSE)-VLOOKUP($A221,'01-02.2022'!$A$6:$DA$376,52,FALSE)</f>
        <v>0</v>
      </c>
      <c r="BA221" s="38">
        <f t="shared" si="254"/>
        <v>-1712.0527790628462</v>
      </c>
      <c r="BB221" s="566">
        <f>VLOOKUP($A221,'01-02.2021'!$A$6:$CZ$403,54,FALSE)+VLOOKUP($A221,'1.3.21-28.2.22'!$A$6:$DA$404,54,FALSE)-VLOOKUP($A221,'01-02.2022'!$A$6:$DA$376,54,FALSE)</f>
        <v>1248.4538274640813</v>
      </c>
      <c r="BC221" s="566">
        <f>VLOOKUP($A221,'01-02.2021'!$A$6:$CZ$403,55,FALSE)+VLOOKUP($A221,'1.3.21-28.2.22'!$A$6:$DA$404,55,FALSE)-VLOOKUP($A221,'01-02.2022'!$A$6:$DA$376,55,FALSE)</f>
        <v>0</v>
      </c>
      <c r="BD221" s="55">
        <f t="shared" si="255"/>
        <v>-1248.4538274640813</v>
      </c>
      <c r="BE221" s="566">
        <f>VLOOKUP($A221,'01-02.2021'!$A$6:$CZ$403,57,FALSE)+VLOOKUP($A221,'1.3.21-28.2.22'!$A$6:$DA$404,57,FALSE)-VLOOKUP($A221,'01-02.2022'!$A$6:$DA$376,57,FALSE)</f>
        <v>0</v>
      </c>
      <c r="BF221" s="566">
        <f>VLOOKUP($A221,'01-02.2021'!$A$6:$CZ$403,58,FALSE)+VLOOKUP($A221,'1.3.21-28.2.22'!$A$6:$DA$404,58,FALSE)-VLOOKUP($A221,'01-02.2022'!$A$6:$DA$376,58,FALSE)</f>
        <v>0</v>
      </c>
      <c r="BG221" s="55">
        <f t="shared" si="256"/>
        <v>0</v>
      </c>
      <c r="BH221" s="566">
        <f>VLOOKUP($A221,'01-02.2021'!$A$6:$CZ$403,60,FALSE)+VLOOKUP($A221,'1.3.21-28.2.22'!$A$6:$DA$404,60,FALSE)-VLOOKUP($A221,'01-02.2022'!$A$6:$DA$376,60,FALSE)</f>
        <v>0</v>
      </c>
      <c r="BI221" s="566">
        <f>VLOOKUP($A221,'01-02.2021'!$A$6:$CZ$403,61,FALSE)+VLOOKUP($A221,'1.3.21-28.2.22'!$A$6:$DA$404,61,FALSE)-VLOOKUP($A221,'01-02.2022'!$A$6:$DA$376,61,FALSE)</f>
        <v>0</v>
      </c>
      <c r="BJ221" s="55">
        <f t="shared" si="257"/>
        <v>0</v>
      </c>
      <c r="BK221" s="566">
        <f>VLOOKUP($A221,'01-02.2021'!$A$6:$CZ$403,63,FALSE)+VLOOKUP($A221,'1.3.21-28.2.22'!$A$6:$DA$404,63,FALSE)-VLOOKUP($A221,'01-02.2022'!$A$6:$DA$376,63,FALSE)</f>
        <v>1093.3855662025417</v>
      </c>
      <c r="BL221" s="566">
        <f>VLOOKUP($A221,'01-02.2021'!$A$6:$CZ$403,64,FALSE)+VLOOKUP($A221,'1.3.21-28.2.22'!$A$6:$DA$404,64,FALSE)-VLOOKUP($A221,'01-02.2022'!$A$6:$DA$376,64,FALSE)</f>
        <v>896</v>
      </c>
      <c r="BM221" s="55">
        <f t="shared" si="258"/>
        <v>-197.38556620254167</v>
      </c>
      <c r="BN221" s="566">
        <f>VLOOKUP($A221,'01-02.2021'!$A$6:$CZ$403,66,FALSE)+VLOOKUP($A221,'1.3.21-28.2.22'!$A$6:$DA$404,66,FALSE)-VLOOKUP($A221,'01-02.2022'!$A$6:$DA$376,66,FALSE)</f>
        <v>99.058500000000009</v>
      </c>
      <c r="BO221" s="566">
        <f>VLOOKUP($A221,'01-02.2021'!$A$6:$CZ$403,67,FALSE)+VLOOKUP($A221,'1.3.21-28.2.22'!$A$6:$DA$404,67,FALSE)-VLOOKUP($A221,'01-02.2022'!$A$6:$DA$376,67,FALSE)</f>
        <v>0</v>
      </c>
      <c r="BP221" s="55">
        <f t="shared" si="259"/>
        <v>-99.058500000000009</v>
      </c>
      <c r="BQ221" s="77">
        <f t="shared" si="209"/>
        <v>5911.4174128168006</v>
      </c>
      <c r="BR221" s="40">
        <f t="shared" si="237"/>
        <v>1262</v>
      </c>
      <c r="BS221" s="55">
        <f t="shared" si="236"/>
        <v>-4649.4174128168006</v>
      </c>
      <c r="BT221" s="566">
        <f>VLOOKUP($A221,'01-02.2021'!$A$6:$CZ$403,72,FALSE)+VLOOKUP($A221,'1.3.21-28.2.22'!$A$6:$DA$404,72,FALSE)-VLOOKUP($A221,'01-02.2022'!$A$6:$DA$376,72,FALSE)</f>
        <v>26650.738652307831</v>
      </c>
      <c r="BU221" s="566">
        <f>VLOOKUP($A221,'01-02.2021'!$A$6:$CZ$403,73,FALSE)+VLOOKUP($A221,'1.3.21-28.2.22'!$A$6:$DA$404,73,FALSE)-VLOOKUP($A221,'01-02.2022'!$A$6:$DA$376,73,FALSE)</f>
        <v>29903.865576544242</v>
      </c>
      <c r="BV221" s="70">
        <f t="shared" si="260"/>
        <v>3253.1269242364106</v>
      </c>
      <c r="BW221" s="566">
        <f>VLOOKUP($A221,'01-02.2021'!$A$6:$CZ$403,75,FALSE)+VLOOKUP($A221,'1.3.21-28.2.22'!$A$6:$DA$404,75,FALSE)-VLOOKUP($A221,'01-02.2022'!$A$6:$DA$376,75,FALSE)</f>
        <v>12407.33680369307</v>
      </c>
      <c r="BX221" s="566">
        <f>VLOOKUP($A221,'01-02.2021'!$A$6:$CZ$403,76,FALSE)+VLOOKUP($A221,'1.3.21-28.2.22'!$A$6:$DA$404,76,FALSE)-VLOOKUP($A221,'01-02.2022'!$A$6:$DA$376,76,FALSE)</f>
        <v>11896.498105043334</v>
      </c>
      <c r="BY221" s="70">
        <f t="shared" si="261"/>
        <v>-510.83869864973531</v>
      </c>
      <c r="BZ221" s="566">
        <f>VLOOKUP($A221,'01-02.2021'!$A$6:$CZ$403,78,FALSE)+VLOOKUP($A221,'1.3.21-28.2.22'!$A$6:$DA$404,78,FALSE)-VLOOKUP($A221,'01-02.2022'!$A$6:$DA$376,78,FALSE)</f>
        <v>7805.0091057742829</v>
      </c>
      <c r="CA221" s="566">
        <f>VLOOKUP($A221,'01-02.2021'!$A$6:$CZ$403,79,FALSE)+VLOOKUP($A221,'1.3.21-28.2.22'!$A$6:$DA$404,79,FALSE)-VLOOKUP($A221,'01-02.2022'!$A$6:$DA$376,79,FALSE)</f>
        <v>6426.9511809254218</v>
      </c>
      <c r="CB221" s="70">
        <f t="shared" si="262"/>
        <v>-1378.0579248488611</v>
      </c>
      <c r="CC221" s="566">
        <f>VLOOKUP($A221,'01-02.2021'!$A$6:$CZ$403,81,FALSE)+VLOOKUP($A221,'1.3.21-28.2.22'!$A$6:$DA$404,81,FALSE)-VLOOKUP($A221,'01-02.2022'!$A$6:$DA$376,81,FALSE)</f>
        <v>0</v>
      </c>
      <c r="CD221" s="566">
        <f>VLOOKUP($A221,'01-02.2021'!$A$6:$CZ$403,82,FALSE)+VLOOKUP($A221,'1.3.21-28.2.22'!$A$6:$DA$404,82,FALSE)-VLOOKUP($A221,'01-02.2022'!$A$6:$DA$376,82,FALSE)</f>
        <v>0</v>
      </c>
      <c r="CE221" s="70">
        <f t="shared" si="263"/>
        <v>0</v>
      </c>
      <c r="CF221" s="566">
        <f>VLOOKUP($A221,'01-02.2021'!$A$6:$CZ$403,84,FALSE)+VLOOKUP($A221,'1.3.21-28.2.22'!$A$6:$DA$404,84,FALSE)-VLOOKUP($A221,'01-02.2022'!$A$6:$DA$376,84,FALSE)</f>
        <v>0</v>
      </c>
      <c r="CG221" s="566">
        <f>VLOOKUP($A221,'01-02.2021'!$A$6:$CZ$403,85,FALSE)+VLOOKUP($A221,'1.3.21-28.2.22'!$A$6:$DA$404,85,FALSE)-VLOOKUP($A221,'01-02.2022'!$A$6:$DA$376,85,FALSE)</f>
        <v>0</v>
      </c>
      <c r="CH221" s="70">
        <f t="shared" si="264"/>
        <v>0</v>
      </c>
      <c r="CI221" s="566">
        <f>VLOOKUP($A221,'01-02.2021'!$A$6:$CZ$403,87,FALSE)+VLOOKUP($A221,'1.3.21-28.2.22'!$A$6:$DA$404,87,FALSE)-VLOOKUP($A221,'01-02.2022'!$A$6:$DA$376,87,FALSE)</f>
        <v>7545.100392736812</v>
      </c>
      <c r="CJ221" s="566">
        <f>VLOOKUP($A221,'01-02.2021'!$A$6:$CZ$403,88,FALSE)+VLOOKUP($A221,'1.3.21-28.2.22'!$A$6:$DA$404,88,FALSE)-VLOOKUP($A221,'01-02.2022'!$A$6:$DA$376,88,FALSE)</f>
        <v>6464.7402924837988</v>
      </c>
      <c r="CK221" s="70">
        <f t="shared" si="265"/>
        <v>-1080.3601002530131</v>
      </c>
      <c r="CL221" s="566">
        <f>VLOOKUP($A221,'01-02.2021'!$A$6:$CZ$403,90,FALSE)+VLOOKUP($A221,'1.3.21-28.2.22'!$A$6:$DA$404,90,FALSE)-VLOOKUP($A221,'01-02.2022'!$A$6:$DA$376,90,FALSE)</f>
        <v>0</v>
      </c>
      <c r="CM221" s="566">
        <f>VLOOKUP($A221,'01-02.2021'!$A$6:$CZ$403,91,FALSE)+VLOOKUP($A221,'1.3.21-28.2.22'!$A$6:$DA$404,91,FALSE)-VLOOKUP($A221,'01-02.2022'!$A$6:$DA$376,91,FALSE)</f>
        <v>0</v>
      </c>
      <c r="CN221" s="52">
        <f t="shared" si="225"/>
        <v>0</v>
      </c>
      <c r="CO221" s="39">
        <f t="shared" si="220"/>
        <v>7545.100392736812</v>
      </c>
      <c r="CP221" s="40">
        <f t="shared" si="226"/>
        <v>6464.7402924837988</v>
      </c>
      <c r="CQ221" s="52">
        <f t="shared" si="227"/>
        <v>-1080.3601002530131</v>
      </c>
      <c r="CR221" s="72">
        <f t="shared" si="221"/>
        <v>102828.33786416726</v>
      </c>
      <c r="CS221" s="5">
        <f t="shared" si="221"/>
        <v>91019.802255929739</v>
      </c>
      <c r="CT221" s="52">
        <f t="shared" si="228"/>
        <v>-11808.535608237522</v>
      </c>
      <c r="CU221" s="77">
        <f t="shared" si="229"/>
        <v>123394.00543700071</v>
      </c>
      <c r="CV221" s="65">
        <f t="shared" si="230"/>
        <v>109223.76270711569</v>
      </c>
      <c r="CW221" s="35">
        <f t="shared" si="231"/>
        <v>-14170.242729885023</v>
      </c>
      <c r="CX221" s="566">
        <f>VLOOKUP($A221,'01-02.2021'!$A$6:$CZ$403,102,FALSE)+VLOOKUP($A221,'1.3.21-28.2.22'!$A$6:$DA$404,102,FALSE)-VLOOKUP($A221,'01-02.2022'!$A$6:$DA$376,102,FALSE)</f>
        <v>4305.5473808696916</v>
      </c>
      <c r="CY221" s="566">
        <f>VLOOKUP($A221,'01-02.2021'!$A$6:$CZ$403,103,FALSE)+VLOOKUP($A221,'1.3.21-28.2.22'!$A$6:$DA$404,103,FALSE)-VLOOKUP($A221,'01-02.2022'!$A$6:$DA$376,103,FALSE)</f>
        <v>18475.790110754671</v>
      </c>
      <c r="CZ221" s="52">
        <f t="shared" si="232"/>
        <v>14170.24272988498</v>
      </c>
      <c r="DA221" s="150">
        <f>'[2]побудинковий звіт'!DA221</f>
        <v>-12558.280749415662</v>
      </c>
      <c r="DB221" s="2">
        <v>2</v>
      </c>
      <c r="DC221" s="414">
        <f>'[4]побудинковий звіт'!DC221</f>
        <v>50758.85</v>
      </c>
      <c r="DD221" s="414">
        <f>'[4]побудинковий звіт'!DD221</f>
        <v>0</v>
      </c>
      <c r="DE221" s="557">
        <f>'[4]побудинковий звіт'!DE221</f>
        <v>39171.057364425193</v>
      </c>
      <c r="DF221" s="557">
        <f>'[4]побудинковий звіт'!DF221</f>
        <v>0</v>
      </c>
      <c r="DG221" s="321">
        <f>VLOOKUP(A221,'кошти 01.03.2021'!$A$6:$D$401,4,)</f>
        <v>4486.0799256980836</v>
      </c>
      <c r="DH221" s="40">
        <f>'[3]побудинковий звіт'!DJ221</f>
        <v>132173.55961216465</v>
      </c>
      <c r="DI221" s="422">
        <f>'[3]побудинковий звіт'!CU221+'[3]побудинковий звіт'!CX221</f>
        <v>11587.79263557481</v>
      </c>
      <c r="DJ221" s="306">
        <f>'[3]побудинковий звіт'!DM221</f>
        <v>5.8489643168303616</v>
      </c>
      <c r="DK221" s="306">
        <f t="shared" si="267"/>
        <v>5.8489643168303616</v>
      </c>
      <c r="DL221" s="306">
        <f>'[3]побудинковий звіт'!DO221</f>
        <v>5.0890944801119566</v>
      </c>
      <c r="DM221" s="28">
        <f t="shared" si="268"/>
        <v>11587.792635574808</v>
      </c>
      <c r="DN221" s="28">
        <f t="shared" si="269"/>
        <v>0</v>
      </c>
      <c r="DO221" s="423">
        <f t="shared" si="238"/>
        <v>11587.792635574808</v>
      </c>
      <c r="DP221" s="94">
        <f t="shared" si="239"/>
        <v>0</v>
      </c>
      <c r="DQ221" s="28">
        <f t="shared" si="240"/>
        <v>11587.792635574808</v>
      </c>
      <c r="DR221" s="318"/>
      <c r="DT221" s="8"/>
      <c r="DU221" s="5"/>
      <c r="DX221" s="5">
        <f t="shared" si="241"/>
        <v>25668.562280454207</v>
      </c>
      <c r="DY221" s="5">
        <f t="shared" si="242"/>
        <v>12283.656000000001</v>
      </c>
      <c r="DZ221" s="159">
        <f>'[3]побудинковий звіт'!EA221</f>
        <v>2242.6094226121595</v>
      </c>
    </row>
    <row r="222" spans="1:130" x14ac:dyDescent="0.3">
      <c r="A222" s="325">
        <v>150000935</v>
      </c>
      <c r="B222" s="41" t="s">
        <v>669</v>
      </c>
      <c r="C222" s="42" t="s">
        <v>176</v>
      </c>
      <c r="D222" s="42"/>
      <c r="E222" s="293">
        <f t="shared" si="218"/>
        <v>286.2</v>
      </c>
      <c r="F222" s="305">
        <f>'[3]побудинковий звіт'!F222</f>
        <v>286.2</v>
      </c>
      <c r="G222" s="508">
        <f>'[3]побудинковий звіт'!G222</f>
        <v>0</v>
      </c>
      <c r="H222" s="560">
        <f>'[3]побудинковий звіт'!H222</f>
        <v>0</v>
      </c>
      <c r="I222" s="566">
        <f>VLOOKUP($A222,'01-02.2021'!$A$6:$CZ$403,9,FALSE)+VLOOKUP($A222,'1.3.21-28.2.22'!$A$6:$DA$404,9,FALSE)-VLOOKUP($A222,'01-02.2022'!$A$6:$DA$376,9,FALSE)</f>
        <v>965.16736959222646</v>
      </c>
      <c r="J222" s="566">
        <f>VLOOKUP($A222,'01-02.2021'!$A$6:$CZ$403,10,FALSE)+VLOOKUP($A222,'1.3.21-28.2.22'!$A$6:$DA$404,10,FALSE)-VLOOKUP($A222,'01-02.2022'!$A$6:$DA$376,10,FALSE)</f>
        <v>1096.7903416967113</v>
      </c>
      <c r="K222" s="52">
        <f t="shared" si="222"/>
        <v>131.6229721044848</v>
      </c>
      <c r="L222" s="566">
        <f>VLOOKUP($A222,'01-02.2021'!$A$6:$CZ$403,12,FALSE)+VLOOKUP($A222,'1.3.21-28.2.22'!$A$6:$DA$404,12,FALSE)-VLOOKUP($A222,'01-02.2022'!$A$6:$DA$376,12,FALSE)</f>
        <v>271.94458441529605</v>
      </c>
      <c r="M222" s="566">
        <f>VLOOKUP($A222,'01-02.2021'!$A$6:$CZ$403,13,FALSE)+VLOOKUP($A222,'1.3.21-28.2.22'!$A$6:$DA$404,13,FALSE)-VLOOKUP($A222,'01-02.2022'!$A$6:$DA$376,13,FALSE)</f>
        <v>299.41954158875342</v>
      </c>
      <c r="N222" s="52">
        <f t="shared" si="223"/>
        <v>27.474957173457369</v>
      </c>
      <c r="O222" s="566">
        <f>VLOOKUP($A222,'01-02.2021'!$A$6:$CZ$403,15,FALSE)+VLOOKUP($A222,'1.3.21-28.2.22'!$A$6:$DA$404,15,FALSE)-VLOOKUP($A222,'01-02.2022'!$A$6:$DA$376,15,FALSE)</f>
        <v>351.57623013279158</v>
      </c>
      <c r="P222" s="566">
        <f>VLOOKUP($A222,'01-02.2021'!$A$6:$CZ$403,16,FALSE)+VLOOKUP($A222,'1.3.21-28.2.22'!$A$6:$DA$404,16,FALSE)-VLOOKUP($A222,'01-02.2022'!$A$6:$DA$376,16,FALSE)</f>
        <v>351.61999999999995</v>
      </c>
      <c r="Q222" s="70">
        <f t="shared" si="243"/>
        <v>4.3769867208368396E-2</v>
      </c>
      <c r="R222" s="566">
        <f>VLOOKUP($A222,'01-02.2021'!$A$6:$CZ$403,18,FALSE)+VLOOKUP($A222,'1.3.21-28.2.22'!$A$6:$DA$404,18,FALSE)-VLOOKUP($A222,'01-02.2022'!$A$6:$DA$376,18,FALSE)</f>
        <v>0</v>
      </c>
      <c r="S222" s="566">
        <f>VLOOKUP($A222,'01-02.2021'!$A$6:$CZ$403,19,FALSE)+VLOOKUP($A222,'1.3.21-28.2.22'!$A$6:$DA$404,19,FALSE)-VLOOKUP($A222,'01-02.2022'!$A$6:$DA$376,19,FALSE)</f>
        <v>0</v>
      </c>
      <c r="T222" s="70">
        <f t="shared" si="244"/>
        <v>0</v>
      </c>
      <c r="U222" s="566">
        <f>VLOOKUP($A222,'01-02.2021'!$A$6:$CZ$403,21,FALSE)+VLOOKUP($A222,'1.3.21-28.2.22'!$A$6:$DA$404,21,FALSE)-VLOOKUP($A222,'01-02.2022'!$A$6:$DA$376,21,FALSE)</f>
        <v>0</v>
      </c>
      <c r="V222" s="566">
        <f>VLOOKUP($A222,'01-02.2021'!$A$6:$CZ$403,22,FALSE)+VLOOKUP($A222,'1.3.21-28.2.22'!$A$6:$DA$404,22,FALSE)-VLOOKUP($A222,'01-02.2022'!$A$6:$DA$376,22,FALSE)</f>
        <v>0</v>
      </c>
      <c r="W222" s="70">
        <f t="shared" si="245"/>
        <v>0</v>
      </c>
      <c r="X222" s="566">
        <f>VLOOKUP($A222,'01-02.2021'!$A$6:$CZ$403,24,FALSE)+VLOOKUP($A222,'1.3.21-28.2.22'!$A$6:$DA$404,24,FALSE)-VLOOKUP($A222,'01-02.2022'!$A$6:$DA$376,24,FALSE)</f>
        <v>483.60596335411412</v>
      </c>
      <c r="Y222" s="566">
        <f>VLOOKUP($A222,'01-02.2021'!$A$6:$CZ$403,25,FALSE)+VLOOKUP($A222,'1.3.21-28.2.22'!$A$6:$DA$404,25,FALSE)-VLOOKUP($A222,'01-02.2022'!$A$6:$DA$376,25,FALSE)</f>
        <v>1060.1831983146224</v>
      </c>
      <c r="Z222" s="70">
        <f t="shared" si="246"/>
        <v>576.57723496050824</v>
      </c>
      <c r="AA222" s="566">
        <f>VLOOKUP($A222,'01-02.2021'!$A$6:$CZ$403,27,FALSE)+VLOOKUP($A222,'1.3.21-28.2.22'!$A$6:$DA$404,27,FALSE)-VLOOKUP($A222,'01-02.2022'!$A$6:$DA$376,27,FALSE)</f>
        <v>57.24</v>
      </c>
      <c r="AB222" s="566">
        <f>VLOOKUP($A222,'01-02.2021'!$A$6:$CZ$403,28,FALSE)+VLOOKUP($A222,'1.3.21-28.2.22'!$A$6:$DA$404,28,FALSE)-VLOOKUP($A222,'01-02.2022'!$A$6:$DA$376,28,FALSE)</f>
        <v>0</v>
      </c>
      <c r="AC222" s="70">
        <f t="shared" si="247"/>
        <v>-57.24</v>
      </c>
      <c r="AD222" s="566">
        <f>VLOOKUP($A222,'01-02.2021'!$A$6:$CZ$403,30,FALSE)+VLOOKUP($A222,'1.3.21-28.2.22'!$A$6:$DA$404,30,FALSE)-VLOOKUP($A222,'01-02.2022'!$A$6:$DA$376,30,FALSE)</f>
        <v>1229.3410753836861</v>
      </c>
      <c r="AE222" s="566">
        <f>VLOOKUP($A222,'01-02.2021'!$A$6:$CZ$403,31,FALSE)+VLOOKUP($A222,'1.3.21-28.2.22'!$A$6:$DA$404,31,FALSE)-VLOOKUP($A222,'01-02.2022'!$A$6:$DA$376,31,FALSE)</f>
        <v>1302.7939316420516</v>
      </c>
      <c r="AF222" s="68">
        <f t="shared" si="248"/>
        <v>73.4528562583655</v>
      </c>
      <c r="AG222" s="77">
        <f t="shared" si="219"/>
        <v>3358.8752228781141</v>
      </c>
      <c r="AH222" s="53">
        <f t="shared" si="219"/>
        <v>4110.8070132421381</v>
      </c>
      <c r="AI222" s="52">
        <f t="shared" si="224"/>
        <v>751.93179036402398</v>
      </c>
      <c r="AJ222" s="566">
        <f>VLOOKUP($A222,'01-02.2021'!$A$6:$CZ$403,36,FALSE)+VLOOKUP($A222,'1.3.21-28.2.22'!$A$6:$DA$404,36,FALSE)-VLOOKUP($A222,'01-02.2022'!$A$6:$DA$376,36,FALSE)</f>
        <v>0</v>
      </c>
      <c r="AK222" s="566">
        <f>VLOOKUP($A222,'01-02.2021'!$A$6:$CZ$403,37,FALSE)+VLOOKUP($A222,'1.3.21-28.2.22'!$A$6:$DA$404,37,FALSE)-VLOOKUP($A222,'01-02.2022'!$A$6:$DA$376,37,FALSE)</f>
        <v>0</v>
      </c>
      <c r="AL222" s="70">
        <f t="shared" si="249"/>
        <v>0</v>
      </c>
      <c r="AM222" s="566">
        <f>VLOOKUP($A222,'01-02.2021'!$A$6:$CZ$403,39,FALSE)+VLOOKUP($A222,'1.3.21-28.2.22'!$A$6:$DA$404,39,FALSE)-VLOOKUP($A222,'01-02.2022'!$A$6:$DA$376,39,FALSE)</f>
        <v>0</v>
      </c>
      <c r="AN222" s="566">
        <f>VLOOKUP($A222,'01-02.2021'!$A$6:$CZ$403,40,FALSE)+VLOOKUP($A222,'1.3.21-28.2.22'!$A$6:$DA$404,40,FALSE)-VLOOKUP($A222,'01-02.2022'!$A$6:$DA$376,40,FALSE)</f>
        <v>0</v>
      </c>
      <c r="AO222" s="70">
        <f t="shared" si="250"/>
        <v>0</v>
      </c>
      <c r="AP222" s="566">
        <f>VLOOKUP($A222,'01-02.2021'!$A$6:$CZ$403,42,FALSE)+VLOOKUP($A222,'1.3.21-28.2.22'!$A$6:$DA$404,42,FALSE)-VLOOKUP($A222,'01-02.2022'!$A$6:$DA$376,42,FALSE)</f>
        <v>780.83988751916593</v>
      </c>
      <c r="AQ222" s="566">
        <f>VLOOKUP($A222,'01-02.2021'!$A$6:$CZ$403,43,FALSE)+VLOOKUP($A222,'1.3.21-28.2.22'!$A$6:$DA$404,43,FALSE)-VLOOKUP($A222,'01-02.2022'!$A$6:$DA$376,43,FALSE)</f>
        <v>626.35027398482737</v>
      </c>
      <c r="AR222" s="70">
        <f t="shared" si="251"/>
        <v>-154.48961353433856</v>
      </c>
      <c r="AS222" s="566">
        <f>VLOOKUP($A222,'01-02.2021'!$A$6:$CZ$403,45,FALSE)+VLOOKUP($A222,'1.3.21-28.2.22'!$A$6:$DA$404,45,FALSE)-VLOOKUP($A222,'01-02.2022'!$A$6:$DA$376,45,FALSE)</f>
        <v>3584.254516518803</v>
      </c>
      <c r="AT222" s="566">
        <f>VLOOKUP($A222,'01-02.2021'!$A$6:$CZ$403,46,FALSE)+VLOOKUP($A222,'1.3.21-28.2.22'!$A$6:$DA$404,46,FALSE)-VLOOKUP($A222,'01-02.2022'!$A$6:$DA$376,46,FALSE)</f>
        <v>1983</v>
      </c>
      <c r="AU222" s="78">
        <f t="shared" si="252"/>
        <v>-1601.254516518803</v>
      </c>
      <c r="AV222" s="566">
        <f>VLOOKUP($A222,'01-02.2021'!$A$6:$CZ$403,48,FALSE)+VLOOKUP($A222,'1.3.21-28.2.22'!$A$6:$DA$404,48,FALSE)-VLOOKUP($A222,'01-02.2022'!$A$6:$DA$376,48,FALSE)</f>
        <v>556.76748557719884</v>
      </c>
      <c r="AW222" s="566">
        <f>VLOOKUP($A222,'01-02.2021'!$A$6:$CZ$403,49,FALSE)+VLOOKUP($A222,'1.3.21-28.2.22'!$A$6:$DA$404,49,FALSE)-VLOOKUP($A222,'01-02.2022'!$A$6:$DA$376,49,FALSE)</f>
        <v>0</v>
      </c>
      <c r="AX222" s="55">
        <f t="shared" si="253"/>
        <v>-556.76748557719884</v>
      </c>
      <c r="AY222" s="566">
        <f>VLOOKUP($A222,'01-02.2021'!$A$6:$CZ$403,51,FALSE)+VLOOKUP($A222,'1.3.21-28.2.22'!$A$6:$DA$404,51,FALSE)-VLOOKUP($A222,'01-02.2022'!$A$6:$DA$376,51,FALSE)</f>
        <v>511.32710043605618</v>
      </c>
      <c r="AZ222" s="566">
        <f>VLOOKUP($A222,'01-02.2021'!$A$6:$CZ$403,52,FALSE)+VLOOKUP($A222,'1.3.21-28.2.22'!$A$6:$DA$404,52,FALSE)-VLOOKUP($A222,'01-02.2022'!$A$6:$DA$376,52,FALSE)</f>
        <v>0</v>
      </c>
      <c r="BA222" s="38">
        <f t="shared" si="254"/>
        <v>-511.32710043605618</v>
      </c>
      <c r="BB222" s="566">
        <f>VLOOKUP($A222,'01-02.2021'!$A$6:$CZ$403,54,FALSE)+VLOOKUP($A222,'1.3.21-28.2.22'!$A$6:$DA$404,54,FALSE)-VLOOKUP($A222,'01-02.2022'!$A$6:$DA$376,54,FALSE)</f>
        <v>123.10914960816902</v>
      </c>
      <c r="BC222" s="566">
        <f>VLOOKUP($A222,'01-02.2021'!$A$6:$CZ$403,55,FALSE)+VLOOKUP($A222,'1.3.21-28.2.22'!$A$6:$DA$404,55,FALSE)-VLOOKUP($A222,'01-02.2022'!$A$6:$DA$376,55,FALSE)</f>
        <v>0</v>
      </c>
      <c r="BD222" s="55">
        <f t="shared" si="255"/>
        <v>-123.10914960816902</v>
      </c>
      <c r="BE222" s="566">
        <f>VLOOKUP($A222,'01-02.2021'!$A$6:$CZ$403,57,FALSE)+VLOOKUP($A222,'1.3.21-28.2.22'!$A$6:$DA$404,57,FALSE)-VLOOKUP($A222,'01-02.2022'!$A$6:$DA$376,57,FALSE)</f>
        <v>0</v>
      </c>
      <c r="BF222" s="566">
        <f>VLOOKUP($A222,'01-02.2021'!$A$6:$CZ$403,58,FALSE)+VLOOKUP($A222,'1.3.21-28.2.22'!$A$6:$DA$404,58,FALSE)-VLOOKUP($A222,'01-02.2022'!$A$6:$DA$376,58,FALSE)</f>
        <v>0</v>
      </c>
      <c r="BG222" s="55">
        <f t="shared" si="256"/>
        <v>0</v>
      </c>
      <c r="BH222" s="566">
        <f>VLOOKUP($A222,'01-02.2021'!$A$6:$CZ$403,60,FALSE)+VLOOKUP($A222,'1.3.21-28.2.22'!$A$6:$DA$404,60,FALSE)-VLOOKUP($A222,'01-02.2022'!$A$6:$DA$376,60,FALSE)</f>
        <v>0</v>
      </c>
      <c r="BI222" s="566">
        <f>VLOOKUP($A222,'01-02.2021'!$A$6:$CZ$403,61,FALSE)+VLOOKUP($A222,'1.3.21-28.2.22'!$A$6:$DA$404,61,FALSE)-VLOOKUP($A222,'01-02.2022'!$A$6:$DA$376,61,FALSE)</f>
        <v>0</v>
      </c>
      <c r="BJ222" s="55">
        <f t="shared" si="257"/>
        <v>0</v>
      </c>
      <c r="BK222" s="566">
        <f>VLOOKUP($A222,'01-02.2021'!$A$6:$CZ$403,63,FALSE)+VLOOKUP($A222,'1.3.21-28.2.22'!$A$6:$DA$404,63,FALSE)-VLOOKUP($A222,'01-02.2022'!$A$6:$DA$376,63,FALSE)</f>
        <v>52.121262789769617</v>
      </c>
      <c r="BL222" s="566">
        <f>VLOOKUP($A222,'01-02.2021'!$A$6:$CZ$403,64,FALSE)+VLOOKUP($A222,'1.3.21-28.2.22'!$A$6:$DA$404,64,FALSE)-VLOOKUP($A222,'01-02.2022'!$A$6:$DA$376,64,FALSE)</f>
        <v>0</v>
      </c>
      <c r="BM222" s="55">
        <f t="shared" si="258"/>
        <v>-52.121262789769617</v>
      </c>
      <c r="BN222" s="566">
        <f>VLOOKUP($A222,'01-02.2021'!$A$6:$CZ$403,66,FALSE)+VLOOKUP($A222,'1.3.21-28.2.22'!$A$6:$DA$404,66,FALSE)-VLOOKUP($A222,'01-02.2022'!$A$6:$DA$376,66,FALSE)</f>
        <v>14.31</v>
      </c>
      <c r="BO222" s="566">
        <f>VLOOKUP($A222,'01-02.2021'!$A$6:$CZ$403,67,FALSE)+VLOOKUP($A222,'1.3.21-28.2.22'!$A$6:$DA$404,67,FALSE)-VLOOKUP($A222,'01-02.2022'!$A$6:$DA$376,67,FALSE)</f>
        <v>0</v>
      </c>
      <c r="BP222" s="55">
        <f t="shared" si="259"/>
        <v>-14.31</v>
      </c>
      <c r="BQ222" s="77">
        <f t="shared" si="209"/>
        <v>1257.6349984111937</v>
      </c>
      <c r="BR222" s="40">
        <f t="shared" si="237"/>
        <v>0</v>
      </c>
      <c r="BS222" s="55">
        <f t="shared" si="236"/>
        <v>-1257.6349984111937</v>
      </c>
      <c r="BT222" s="566">
        <f>VLOOKUP($A222,'01-02.2021'!$A$6:$CZ$403,72,FALSE)+VLOOKUP($A222,'1.3.21-28.2.22'!$A$6:$DA$404,72,FALSE)-VLOOKUP($A222,'01-02.2022'!$A$6:$DA$376,72,FALSE)</f>
        <v>4261.7875793517733</v>
      </c>
      <c r="BU222" s="566">
        <f>VLOOKUP($A222,'01-02.2021'!$A$6:$CZ$403,73,FALSE)+VLOOKUP($A222,'1.3.21-28.2.22'!$A$6:$DA$404,73,FALSE)-VLOOKUP($A222,'01-02.2022'!$A$6:$DA$376,73,FALSE)</f>
        <v>4841.5909912851475</v>
      </c>
      <c r="BV222" s="70">
        <f t="shared" si="260"/>
        <v>579.80341193337426</v>
      </c>
      <c r="BW222" s="566">
        <f>VLOOKUP($A222,'01-02.2021'!$A$6:$CZ$403,75,FALSE)+VLOOKUP($A222,'1.3.21-28.2.22'!$A$6:$DA$404,75,FALSE)-VLOOKUP($A222,'01-02.2022'!$A$6:$DA$376,75,FALSE)</f>
        <v>1047.4573392079826</v>
      </c>
      <c r="BX222" s="566">
        <f>VLOOKUP($A222,'01-02.2021'!$A$6:$CZ$403,76,FALSE)+VLOOKUP($A222,'1.3.21-28.2.22'!$A$6:$DA$404,76,FALSE)-VLOOKUP($A222,'01-02.2022'!$A$6:$DA$376,76,FALSE)</f>
        <v>1141.4849930020091</v>
      </c>
      <c r="BY222" s="70">
        <f t="shared" si="261"/>
        <v>94.027653794026492</v>
      </c>
      <c r="BZ222" s="566">
        <f>VLOOKUP($A222,'01-02.2021'!$A$6:$CZ$403,78,FALSE)+VLOOKUP($A222,'1.3.21-28.2.22'!$A$6:$DA$404,78,FALSE)-VLOOKUP($A222,'01-02.2022'!$A$6:$DA$376,78,FALSE)</f>
        <v>1398.9816936535215</v>
      </c>
      <c r="CA222" s="566">
        <f>VLOOKUP($A222,'01-02.2021'!$A$6:$CZ$403,79,FALSE)+VLOOKUP($A222,'1.3.21-28.2.22'!$A$6:$DA$404,79,FALSE)-VLOOKUP($A222,'01-02.2022'!$A$6:$DA$376,79,FALSE)</f>
        <v>896.87775799168776</v>
      </c>
      <c r="CB222" s="70">
        <f t="shared" si="262"/>
        <v>-502.1039356618337</v>
      </c>
      <c r="CC222" s="566">
        <f>VLOOKUP($A222,'01-02.2021'!$A$6:$CZ$403,81,FALSE)+VLOOKUP($A222,'1.3.21-28.2.22'!$A$6:$DA$404,81,FALSE)-VLOOKUP($A222,'01-02.2022'!$A$6:$DA$376,81,FALSE)</f>
        <v>0</v>
      </c>
      <c r="CD222" s="566">
        <f>VLOOKUP($A222,'01-02.2021'!$A$6:$CZ$403,82,FALSE)+VLOOKUP($A222,'1.3.21-28.2.22'!$A$6:$DA$404,82,FALSE)-VLOOKUP($A222,'01-02.2022'!$A$6:$DA$376,82,FALSE)</f>
        <v>0</v>
      </c>
      <c r="CE222" s="70">
        <f t="shared" si="263"/>
        <v>0</v>
      </c>
      <c r="CF222" s="566">
        <f>VLOOKUP($A222,'01-02.2021'!$A$6:$CZ$403,84,FALSE)+VLOOKUP($A222,'1.3.21-28.2.22'!$A$6:$DA$404,84,FALSE)-VLOOKUP($A222,'01-02.2022'!$A$6:$DA$376,84,FALSE)</f>
        <v>0</v>
      </c>
      <c r="CG222" s="566">
        <f>VLOOKUP($A222,'01-02.2021'!$A$6:$CZ$403,85,FALSE)+VLOOKUP($A222,'1.3.21-28.2.22'!$A$6:$DA$404,85,FALSE)-VLOOKUP($A222,'01-02.2022'!$A$6:$DA$376,85,FALSE)</f>
        <v>0</v>
      </c>
      <c r="CH222" s="70">
        <f t="shared" si="264"/>
        <v>0</v>
      </c>
      <c r="CI222" s="566">
        <f>VLOOKUP($A222,'01-02.2021'!$A$6:$CZ$403,87,FALSE)+VLOOKUP($A222,'1.3.21-28.2.22'!$A$6:$DA$404,87,FALSE)-VLOOKUP($A222,'01-02.2022'!$A$6:$DA$376,87,FALSE)</f>
        <v>1184.6133812017247</v>
      </c>
      <c r="CJ222" s="566">
        <f>VLOOKUP($A222,'01-02.2021'!$A$6:$CZ$403,88,FALSE)+VLOOKUP($A222,'1.3.21-28.2.22'!$A$6:$DA$404,88,FALSE)-VLOOKUP($A222,'01-02.2022'!$A$6:$DA$376,88,FALSE)</f>
        <v>764.90516869640874</v>
      </c>
      <c r="CK222" s="70">
        <f t="shared" si="265"/>
        <v>-419.70821250531594</v>
      </c>
      <c r="CL222" s="566">
        <f>VLOOKUP($A222,'01-02.2021'!$A$6:$CZ$403,90,FALSE)+VLOOKUP($A222,'1.3.21-28.2.22'!$A$6:$DA$404,90,FALSE)-VLOOKUP($A222,'01-02.2022'!$A$6:$DA$376,90,FALSE)</f>
        <v>0</v>
      </c>
      <c r="CM222" s="566">
        <f>VLOOKUP($A222,'01-02.2021'!$A$6:$CZ$403,91,FALSE)+VLOOKUP($A222,'1.3.21-28.2.22'!$A$6:$DA$404,91,FALSE)-VLOOKUP($A222,'01-02.2022'!$A$6:$DA$376,91,FALSE)</f>
        <v>0</v>
      </c>
      <c r="CN222" s="52">
        <f t="shared" si="225"/>
        <v>0</v>
      </c>
      <c r="CO222" s="39">
        <f t="shared" si="220"/>
        <v>1184.6133812017247</v>
      </c>
      <c r="CP222" s="40">
        <f t="shared" si="226"/>
        <v>764.90516869640874</v>
      </c>
      <c r="CQ222" s="52">
        <f t="shared" si="227"/>
        <v>-419.70821250531594</v>
      </c>
      <c r="CR222" s="72">
        <f t="shared" si="221"/>
        <v>16874.444618742276</v>
      </c>
      <c r="CS222" s="5">
        <f t="shared" si="221"/>
        <v>14365.01619820222</v>
      </c>
      <c r="CT222" s="52">
        <f t="shared" si="228"/>
        <v>-2509.4284205400563</v>
      </c>
      <c r="CU222" s="77">
        <f t="shared" si="229"/>
        <v>20249.333542490731</v>
      </c>
      <c r="CV222" s="65">
        <f t="shared" si="230"/>
        <v>17238.019437842664</v>
      </c>
      <c r="CW222" s="35">
        <f t="shared" si="231"/>
        <v>-3011.3141046480669</v>
      </c>
      <c r="CX222" s="566">
        <f>VLOOKUP($A222,'01-02.2021'!$A$6:$CZ$403,102,FALSE)+VLOOKUP($A222,'1.3.21-28.2.22'!$A$6:$DA$404,102,FALSE)-VLOOKUP($A222,'01-02.2022'!$A$6:$DA$376,102,FALSE)</f>
        <v>375.67032953914071</v>
      </c>
      <c r="CY222" s="566">
        <f>VLOOKUP($A222,'01-02.2021'!$A$6:$CZ$403,103,FALSE)+VLOOKUP($A222,'1.3.21-28.2.22'!$A$6:$DA$404,103,FALSE)-VLOOKUP($A222,'01-02.2022'!$A$6:$DA$376,103,FALSE)</f>
        <v>3386.984434187214</v>
      </c>
      <c r="CZ222" s="52">
        <f t="shared" si="232"/>
        <v>3011.3141046480732</v>
      </c>
      <c r="DA222" s="150">
        <f>'[2]побудинковий звіт'!DA222</f>
        <v>3058.3927660197096</v>
      </c>
      <c r="DB222" s="2">
        <v>2</v>
      </c>
      <c r="DC222" s="414">
        <f>'[4]побудинковий звіт'!DC222</f>
        <v>1867.51</v>
      </c>
      <c r="DD222" s="414">
        <f>'[4]побудинковий звіт'!DD222</f>
        <v>0</v>
      </c>
      <c r="DE222" s="557">
        <f>'[4]побудинковий звіт'!DE222</f>
        <v>-4.6037684101249852</v>
      </c>
      <c r="DF222" s="557">
        <f>'[4]побудинковий звіт'!DF222</f>
        <v>0</v>
      </c>
      <c r="DG222" s="321">
        <f>VLOOKUP(A222,'кошти 01.03.2021'!$A$6:$D$401,4,)</f>
        <v>6551.1345509793855</v>
      </c>
      <c r="DH222" s="40">
        <f>'[3]побудинковий звіт'!DJ222</f>
        <v>21350.239514333953</v>
      </c>
      <c r="DI222" s="422">
        <f>'[3]побудинковий звіт'!CU222+'[3]побудинковий звіт'!CX222</f>
        <v>1872.1137684101252</v>
      </c>
      <c r="DJ222" s="306">
        <f>'[3]побудинковий звіт'!DM222</f>
        <v>6.5412780168068663</v>
      </c>
      <c r="DK222" s="306">
        <f t="shared" si="267"/>
        <v>6.5412780168068663</v>
      </c>
      <c r="DL222" s="306">
        <f>'[3]побудинковий звіт'!DO222</f>
        <v>6.1423626080611413</v>
      </c>
      <c r="DM222" s="28">
        <f t="shared" si="268"/>
        <v>1872.113768410125</v>
      </c>
      <c r="DN222" s="28">
        <f t="shared" si="269"/>
        <v>0</v>
      </c>
      <c r="DO222" s="423">
        <f t="shared" si="238"/>
        <v>1872.113768410125</v>
      </c>
      <c r="DP222" s="94">
        <f t="shared" si="239"/>
        <v>0</v>
      </c>
      <c r="DQ222" s="28">
        <f t="shared" si="240"/>
        <v>1872.113768410125</v>
      </c>
      <c r="DR222" s="318"/>
      <c r="DT222" s="8"/>
      <c r="DU222" s="5"/>
      <c r="DX222" s="5">
        <f t="shared" si="241"/>
        <v>5810.2674179159958</v>
      </c>
      <c r="DY222" s="5">
        <f t="shared" si="242"/>
        <v>2379.6</v>
      </c>
      <c r="DZ222" s="159">
        <f>'[3]побудинковий звіт'!EA222</f>
        <v>544.80696792439858</v>
      </c>
    </row>
    <row r="223" spans="1:130" x14ac:dyDescent="0.3">
      <c r="A223" s="325">
        <v>150000936</v>
      </c>
      <c r="B223" s="41" t="s">
        <v>670</v>
      </c>
      <c r="C223" s="42" t="s">
        <v>122</v>
      </c>
      <c r="D223" s="42"/>
      <c r="E223" s="293">
        <f t="shared" si="218"/>
        <v>341.75</v>
      </c>
      <c r="F223" s="305">
        <f>'[3]побудинковий звіт'!F223</f>
        <v>341.75</v>
      </c>
      <c r="G223" s="508">
        <f>'[3]побудинковий звіт'!G223</f>
        <v>0</v>
      </c>
      <c r="H223" s="560">
        <f>'[3]побудинковий звіт'!H223</f>
        <v>0</v>
      </c>
      <c r="I223" s="566">
        <f>VLOOKUP($A223,'01-02.2021'!$A$6:$CZ$403,9,FALSE)+VLOOKUP($A223,'1.3.21-28.2.22'!$A$6:$DA$404,9,FALSE)-VLOOKUP($A223,'01-02.2022'!$A$6:$DA$376,9,FALSE)</f>
        <v>0</v>
      </c>
      <c r="J223" s="566">
        <f>VLOOKUP($A223,'01-02.2021'!$A$6:$CZ$403,10,FALSE)+VLOOKUP($A223,'1.3.21-28.2.22'!$A$6:$DA$404,10,FALSE)-VLOOKUP($A223,'01-02.2022'!$A$6:$DA$376,10,FALSE)</f>
        <v>0</v>
      </c>
      <c r="K223" s="52">
        <f t="shared" si="222"/>
        <v>0</v>
      </c>
      <c r="L223" s="566">
        <f>VLOOKUP($A223,'01-02.2021'!$A$6:$CZ$403,12,FALSE)+VLOOKUP($A223,'1.3.21-28.2.22'!$A$6:$DA$404,12,FALSE)-VLOOKUP($A223,'01-02.2022'!$A$6:$DA$376,12,FALSE)</f>
        <v>0</v>
      </c>
      <c r="M223" s="566">
        <f>VLOOKUP($A223,'01-02.2021'!$A$6:$CZ$403,13,FALSE)+VLOOKUP($A223,'1.3.21-28.2.22'!$A$6:$DA$404,13,FALSE)-VLOOKUP($A223,'01-02.2022'!$A$6:$DA$376,13,FALSE)</f>
        <v>0</v>
      </c>
      <c r="N223" s="52">
        <f t="shared" si="223"/>
        <v>0</v>
      </c>
      <c r="O223" s="566">
        <f>VLOOKUP($A223,'01-02.2021'!$A$6:$CZ$403,15,FALSE)+VLOOKUP($A223,'1.3.21-28.2.22'!$A$6:$DA$404,15,FALSE)-VLOOKUP($A223,'01-02.2022'!$A$6:$DA$376,15,FALSE)</f>
        <v>0</v>
      </c>
      <c r="P223" s="566">
        <f>VLOOKUP($A223,'01-02.2021'!$A$6:$CZ$403,16,FALSE)+VLOOKUP($A223,'1.3.21-28.2.22'!$A$6:$DA$404,16,FALSE)-VLOOKUP($A223,'01-02.2022'!$A$6:$DA$376,16,FALSE)</f>
        <v>0</v>
      </c>
      <c r="Q223" s="70">
        <f t="shared" si="243"/>
        <v>0</v>
      </c>
      <c r="R223" s="566">
        <f>VLOOKUP($A223,'01-02.2021'!$A$6:$CZ$403,18,FALSE)+VLOOKUP($A223,'1.3.21-28.2.22'!$A$6:$DA$404,18,FALSE)-VLOOKUP($A223,'01-02.2022'!$A$6:$DA$376,18,FALSE)</f>
        <v>0</v>
      </c>
      <c r="S223" s="566">
        <f>VLOOKUP($A223,'01-02.2021'!$A$6:$CZ$403,19,FALSE)+VLOOKUP($A223,'1.3.21-28.2.22'!$A$6:$DA$404,19,FALSE)-VLOOKUP($A223,'01-02.2022'!$A$6:$DA$376,19,FALSE)</f>
        <v>0</v>
      </c>
      <c r="T223" s="70">
        <f t="shared" si="244"/>
        <v>0</v>
      </c>
      <c r="U223" s="566">
        <f>VLOOKUP($A223,'01-02.2021'!$A$6:$CZ$403,21,FALSE)+VLOOKUP($A223,'1.3.21-28.2.22'!$A$6:$DA$404,21,FALSE)-VLOOKUP($A223,'01-02.2022'!$A$6:$DA$376,21,FALSE)</f>
        <v>0</v>
      </c>
      <c r="V223" s="566">
        <f>VLOOKUP($A223,'01-02.2021'!$A$6:$CZ$403,22,FALSE)+VLOOKUP($A223,'1.3.21-28.2.22'!$A$6:$DA$404,22,FALSE)-VLOOKUP($A223,'01-02.2022'!$A$6:$DA$376,22,FALSE)</f>
        <v>0</v>
      </c>
      <c r="W223" s="70">
        <f t="shared" si="245"/>
        <v>0</v>
      </c>
      <c r="X223" s="566">
        <f>VLOOKUP($A223,'01-02.2021'!$A$6:$CZ$403,24,FALSE)+VLOOKUP($A223,'1.3.21-28.2.22'!$A$6:$DA$404,24,FALSE)-VLOOKUP($A223,'01-02.2022'!$A$6:$DA$376,24,FALSE)</f>
        <v>0</v>
      </c>
      <c r="Y223" s="566">
        <f>VLOOKUP($A223,'01-02.2021'!$A$6:$CZ$403,25,FALSE)+VLOOKUP($A223,'1.3.21-28.2.22'!$A$6:$DA$404,25,FALSE)-VLOOKUP($A223,'01-02.2022'!$A$6:$DA$376,25,FALSE)</f>
        <v>0</v>
      </c>
      <c r="Z223" s="70">
        <f t="shared" si="246"/>
        <v>0</v>
      </c>
      <c r="AA223" s="566">
        <f>VLOOKUP($A223,'01-02.2021'!$A$6:$CZ$403,27,FALSE)+VLOOKUP($A223,'1.3.21-28.2.22'!$A$6:$DA$404,27,FALSE)-VLOOKUP($A223,'01-02.2022'!$A$6:$DA$376,27,FALSE)</f>
        <v>68.349999999999994</v>
      </c>
      <c r="AB223" s="566">
        <f>VLOOKUP($A223,'01-02.2021'!$A$6:$CZ$403,28,FALSE)+VLOOKUP($A223,'1.3.21-28.2.22'!$A$6:$DA$404,28,FALSE)-VLOOKUP($A223,'01-02.2022'!$A$6:$DA$376,28,FALSE)</f>
        <v>0</v>
      </c>
      <c r="AC223" s="70">
        <f t="shared" si="247"/>
        <v>-68.349999999999994</v>
      </c>
      <c r="AD223" s="566">
        <f>VLOOKUP($A223,'01-02.2021'!$A$6:$CZ$403,30,FALSE)+VLOOKUP($A223,'1.3.21-28.2.22'!$A$6:$DA$404,30,FALSE)-VLOOKUP($A223,'01-02.2022'!$A$6:$DA$376,30,FALSE)</f>
        <v>547.20803631988042</v>
      </c>
      <c r="AE223" s="566">
        <f>VLOOKUP($A223,'01-02.2021'!$A$6:$CZ$403,31,FALSE)+VLOOKUP($A223,'1.3.21-28.2.22'!$A$6:$DA$404,31,FALSE)-VLOOKUP($A223,'01-02.2022'!$A$6:$DA$376,31,FALSE)</f>
        <v>1555.659769876559</v>
      </c>
      <c r="AF223" s="68">
        <f t="shared" si="248"/>
        <v>1008.4517335566786</v>
      </c>
      <c r="AG223" s="77">
        <f t="shared" si="219"/>
        <v>615.55803631988044</v>
      </c>
      <c r="AH223" s="53">
        <f t="shared" si="219"/>
        <v>1555.659769876559</v>
      </c>
      <c r="AI223" s="52">
        <f t="shared" si="224"/>
        <v>940.1017335566786</v>
      </c>
      <c r="AJ223" s="566">
        <f>VLOOKUP($A223,'01-02.2021'!$A$6:$CZ$403,36,FALSE)+VLOOKUP($A223,'1.3.21-28.2.22'!$A$6:$DA$404,36,FALSE)-VLOOKUP($A223,'01-02.2022'!$A$6:$DA$376,36,FALSE)</f>
        <v>0</v>
      </c>
      <c r="AK223" s="566">
        <f>VLOOKUP($A223,'01-02.2021'!$A$6:$CZ$403,37,FALSE)+VLOOKUP($A223,'1.3.21-28.2.22'!$A$6:$DA$404,37,FALSE)-VLOOKUP($A223,'01-02.2022'!$A$6:$DA$376,37,FALSE)</f>
        <v>0</v>
      </c>
      <c r="AL223" s="70">
        <f t="shared" si="249"/>
        <v>0</v>
      </c>
      <c r="AM223" s="566">
        <f>VLOOKUP($A223,'01-02.2021'!$A$6:$CZ$403,39,FALSE)+VLOOKUP($A223,'1.3.21-28.2.22'!$A$6:$DA$404,39,FALSE)-VLOOKUP($A223,'01-02.2022'!$A$6:$DA$376,39,FALSE)</f>
        <v>0</v>
      </c>
      <c r="AN223" s="566">
        <f>VLOOKUP($A223,'01-02.2021'!$A$6:$CZ$403,40,FALSE)+VLOOKUP($A223,'1.3.21-28.2.22'!$A$6:$DA$404,40,FALSE)-VLOOKUP($A223,'01-02.2022'!$A$6:$DA$376,40,FALSE)</f>
        <v>0</v>
      </c>
      <c r="AO223" s="70">
        <f t="shared" si="250"/>
        <v>0</v>
      </c>
      <c r="AP223" s="566">
        <f>VLOOKUP($A223,'01-02.2021'!$A$6:$CZ$403,42,FALSE)+VLOOKUP($A223,'1.3.21-28.2.22'!$A$6:$DA$404,42,FALSE)-VLOOKUP($A223,'01-02.2022'!$A$6:$DA$376,42,FALSE)</f>
        <v>520.55992501277728</v>
      </c>
      <c r="AQ223" s="566">
        <f>VLOOKUP($A223,'01-02.2021'!$A$6:$CZ$403,43,FALSE)+VLOOKUP($A223,'1.3.21-28.2.22'!$A$6:$DA$404,43,FALSE)-VLOOKUP($A223,'01-02.2022'!$A$6:$DA$376,43,FALSE)</f>
        <v>448.76449922990878</v>
      </c>
      <c r="AR223" s="70">
        <f t="shared" si="251"/>
        <v>-71.795425782868506</v>
      </c>
      <c r="AS223" s="566">
        <f>VLOOKUP($A223,'01-02.2021'!$A$6:$CZ$403,45,FALSE)+VLOOKUP($A223,'1.3.21-28.2.22'!$A$6:$DA$404,45,FALSE)-VLOOKUP($A223,'01-02.2022'!$A$6:$DA$376,45,FALSE)</f>
        <v>2778.7506049877447</v>
      </c>
      <c r="AT223" s="566">
        <f>VLOOKUP($A223,'01-02.2021'!$A$6:$CZ$403,46,FALSE)+VLOOKUP($A223,'1.3.21-28.2.22'!$A$6:$DA$404,46,FALSE)-VLOOKUP($A223,'01-02.2022'!$A$6:$DA$376,46,FALSE)</f>
        <v>2069</v>
      </c>
      <c r="AU223" s="78">
        <f t="shared" si="252"/>
        <v>-709.75060498774474</v>
      </c>
      <c r="AV223" s="566">
        <f>VLOOKUP($A223,'01-02.2021'!$A$6:$CZ$403,48,FALSE)+VLOOKUP($A223,'1.3.21-28.2.22'!$A$6:$DA$404,48,FALSE)-VLOOKUP($A223,'01-02.2022'!$A$6:$DA$376,48,FALSE)</f>
        <v>0</v>
      </c>
      <c r="AW223" s="566">
        <f>VLOOKUP($A223,'01-02.2021'!$A$6:$CZ$403,49,FALSE)+VLOOKUP($A223,'1.3.21-28.2.22'!$A$6:$DA$404,49,FALSE)-VLOOKUP($A223,'01-02.2022'!$A$6:$DA$376,49,FALSE)</f>
        <v>0</v>
      </c>
      <c r="AX223" s="55">
        <f t="shared" si="253"/>
        <v>0</v>
      </c>
      <c r="AY223" s="566">
        <f>VLOOKUP($A223,'01-02.2021'!$A$6:$CZ$403,51,FALSE)+VLOOKUP($A223,'1.3.21-28.2.22'!$A$6:$DA$404,51,FALSE)-VLOOKUP($A223,'01-02.2022'!$A$6:$DA$376,51,FALSE)</f>
        <v>0</v>
      </c>
      <c r="AZ223" s="566">
        <f>VLOOKUP($A223,'01-02.2021'!$A$6:$CZ$403,52,FALSE)+VLOOKUP($A223,'1.3.21-28.2.22'!$A$6:$DA$404,52,FALSE)-VLOOKUP($A223,'01-02.2022'!$A$6:$DA$376,52,FALSE)</f>
        <v>0</v>
      </c>
      <c r="BA223" s="38">
        <f t="shared" si="254"/>
        <v>0</v>
      </c>
      <c r="BB223" s="566">
        <f>VLOOKUP($A223,'01-02.2021'!$A$6:$CZ$403,54,FALSE)+VLOOKUP($A223,'1.3.21-28.2.22'!$A$6:$DA$404,54,FALSE)-VLOOKUP($A223,'01-02.2022'!$A$6:$DA$376,54,FALSE)</f>
        <v>0</v>
      </c>
      <c r="BC223" s="566">
        <f>VLOOKUP($A223,'01-02.2021'!$A$6:$CZ$403,55,FALSE)+VLOOKUP($A223,'1.3.21-28.2.22'!$A$6:$DA$404,55,FALSE)-VLOOKUP($A223,'01-02.2022'!$A$6:$DA$376,55,FALSE)</f>
        <v>0</v>
      </c>
      <c r="BD223" s="55">
        <f t="shared" si="255"/>
        <v>0</v>
      </c>
      <c r="BE223" s="566">
        <f>VLOOKUP($A223,'01-02.2021'!$A$6:$CZ$403,57,FALSE)+VLOOKUP($A223,'1.3.21-28.2.22'!$A$6:$DA$404,57,FALSE)-VLOOKUP($A223,'01-02.2022'!$A$6:$DA$376,57,FALSE)</f>
        <v>0</v>
      </c>
      <c r="BF223" s="566">
        <f>VLOOKUP($A223,'01-02.2021'!$A$6:$CZ$403,58,FALSE)+VLOOKUP($A223,'1.3.21-28.2.22'!$A$6:$DA$404,58,FALSE)-VLOOKUP($A223,'01-02.2022'!$A$6:$DA$376,58,FALSE)</f>
        <v>0</v>
      </c>
      <c r="BG223" s="55">
        <f t="shared" si="256"/>
        <v>0</v>
      </c>
      <c r="BH223" s="566">
        <f>VLOOKUP($A223,'01-02.2021'!$A$6:$CZ$403,60,FALSE)+VLOOKUP($A223,'1.3.21-28.2.22'!$A$6:$DA$404,60,FALSE)-VLOOKUP($A223,'01-02.2022'!$A$6:$DA$376,60,FALSE)</f>
        <v>0</v>
      </c>
      <c r="BI223" s="566">
        <f>VLOOKUP($A223,'01-02.2021'!$A$6:$CZ$403,61,FALSE)+VLOOKUP($A223,'1.3.21-28.2.22'!$A$6:$DA$404,61,FALSE)-VLOOKUP($A223,'01-02.2022'!$A$6:$DA$376,61,FALSE)</f>
        <v>0</v>
      </c>
      <c r="BJ223" s="55">
        <f t="shared" si="257"/>
        <v>0</v>
      </c>
      <c r="BK223" s="566">
        <f>VLOOKUP($A223,'01-02.2021'!$A$6:$CZ$403,63,FALSE)+VLOOKUP($A223,'1.3.21-28.2.22'!$A$6:$DA$404,63,FALSE)-VLOOKUP($A223,'01-02.2022'!$A$6:$DA$376,63,FALSE)</f>
        <v>0</v>
      </c>
      <c r="BL223" s="566">
        <f>VLOOKUP($A223,'01-02.2021'!$A$6:$CZ$403,64,FALSE)+VLOOKUP($A223,'1.3.21-28.2.22'!$A$6:$DA$404,64,FALSE)-VLOOKUP($A223,'01-02.2022'!$A$6:$DA$376,64,FALSE)</f>
        <v>0</v>
      </c>
      <c r="BM223" s="55">
        <f t="shared" si="258"/>
        <v>0</v>
      </c>
      <c r="BN223" s="566">
        <f>VLOOKUP($A223,'01-02.2021'!$A$6:$CZ$403,66,FALSE)+VLOOKUP($A223,'1.3.21-28.2.22'!$A$6:$DA$404,66,FALSE)-VLOOKUP($A223,'01-02.2022'!$A$6:$DA$376,66,FALSE)</f>
        <v>19.935647551798763</v>
      </c>
      <c r="BO223" s="566">
        <f>VLOOKUP($A223,'01-02.2021'!$A$6:$CZ$403,67,FALSE)+VLOOKUP($A223,'1.3.21-28.2.22'!$A$6:$DA$404,67,FALSE)-VLOOKUP($A223,'01-02.2022'!$A$6:$DA$376,67,FALSE)</f>
        <v>0</v>
      </c>
      <c r="BP223" s="55">
        <f t="shared" si="259"/>
        <v>-19.935647551798763</v>
      </c>
      <c r="BQ223" s="77">
        <f t="shared" si="209"/>
        <v>19.935647551798763</v>
      </c>
      <c r="BR223" s="40">
        <f t="shared" si="237"/>
        <v>0</v>
      </c>
      <c r="BS223" s="55">
        <f t="shared" si="236"/>
        <v>-19.935647551798763</v>
      </c>
      <c r="BT223" s="566">
        <f>VLOOKUP($A223,'01-02.2021'!$A$6:$CZ$403,72,FALSE)+VLOOKUP($A223,'1.3.21-28.2.22'!$A$6:$DA$404,72,FALSE)-VLOOKUP($A223,'01-02.2022'!$A$6:$DA$376,72,FALSE)</f>
        <v>0</v>
      </c>
      <c r="BU223" s="566">
        <f>VLOOKUP($A223,'01-02.2021'!$A$6:$CZ$403,73,FALSE)+VLOOKUP($A223,'1.3.21-28.2.22'!$A$6:$DA$404,73,FALSE)-VLOOKUP($A223,'01-02.2022'!$A$6:$DA$376,73,FALSE)</f>
        <v>0</v>
      </c>
      <c r="BV223" s="70">
        <f t="shared" si="260"/>
        <v>0</v>
      </c>
      <c r="BW223" s="566">
        <f>VLOOKUP($A223,'01-02.2021'!$A$6:$CZ$403,75,FALSE)+VLOOKUP($A223,'1.3.21-28.2.22'!$A$6:$DA$404,75,FALSE)-VLOOKUP($A223,'01-02.2022'!$A$6:$DA$376,75,FALSE)</f>
        <v>0</v>
      </c>
      <c r="BX223" s="566">
        <f>VLOOKUP($A223,'01-02.2021'!$A$6:$CZ$403,76,FALSE)+VLOOKUP($A223,'1.3.21-28.2.22'!$A$6:$DA$404,76,FALSE)-VLOOKUP($A223,'01-02.2022'!$A$6:$DA$376,76,FALSE)</f>
        <v>7.6591610855037962</v>
      </c>
      <c r="BY223" s="70">
        <f t="shared" si="261"/>
        <v>7.6591610855037962</v>
      </c>
      <c r="BZ223" s="566">
        <f>VLOOKUP($A223,'01-02.2021'!$A$6:$CZ$403,78,FALSE)+VLOOKUP($A223,'1.3.21-28.2.22'!$A$6:$DA$404,78,FALSE)-VLOOKUP($A223,'01-02.2022'!$A$6:$DA$376,78,FALSE)</f>
        <v>0</v>
      </c>
      <c r="CA223" s="566">
        <f>VLOOKUP($A223,'01-02.2021'!$A$6:$CZ$403,79,FALSE)+VLOOKUP($A223,'1.3.21-28.2.22'!$A$6:$DA$404,79,FALSE)-VLOOKUP($A223,'01-02.2022'!$A$6:$DA$376,79,FALSE)</f>
        <v>0</v>
      </c>
      <c r="CB223" s="70">
        <f t="shared" si="262"/>
        <v>0</v>
      </c>
      <c r="CC223" s="566">
        <f>VLOOKUP($A223,'01-02.2021'!$A$6:$CZ$403,81,FALSE)+VLOOKUP($A223,'1.3.21-28.2.22'!$A$6:$DA$404,81,FALSE)-VLOOKUP($A223,'01-02.2022'!$A$6:$DA$376,81,FALSE)</f>
        <v>0</v>
      </c>
      <c r="CD223" s="566">
        <f>VLOOKUP($A223,'01-02.2021'!$A$6:$CZ$403,82,FALSE)+VLOOKUP($A223,'1.3.21-28.2.22'!$A$6:$DA$404,82,FALSE)-VLOOKUP($A223,'01-02.2022'!$A$6:$DA$376,82,FALSE)</f>
        <v>0</v>
      </c>
      <c r="CE223" s="70">
        <f t="shared" si="263"/>
        <v>0</v>
      </c>
      <c r="CF223" s="566">
        <f>VLOOKUP($A223,'01-02.2021'!$A$6:$CZ$403,84,FALSE)+VLOOKUP($A223,'1.3.21-28.2.22'!$A$6:$DA$404,84,FALSE)-VLOOKUP($A223,'01-02.2022'!$A$6:$DA$376,84,FALSE)</f>
        <v>0</v>
      </c>
      <c r="CG223" s="566">
        <f>VLOOKUP($A223,'01-02.2021'!$A$6:$CZ$403,85,FALSE)+VLOOKUP($A223,'1.3.21-28.2.22'!$A$6:$DA$404,85,FALSE)-VLOOKUP($A223,'01-02.2022'!$A$6:$DA$376,85,FALSE)</f>
        <v>0</v>
      </c>
      <c r="CH223" s="70">
        <f t="shared" si="264"/>
        <v>0</v>
      </c>
      <c r="CI223" s="566">
        <f>VLOOKUP($A223,'01-02.2021'!$A$6:$CZ$403,87,FALSE)+VLOOKUP($A223,'1.3.21-28.2.22'!$A$6:$DA$404,87,FALSE)-VLOOKUP($A223,'01-02.2022'!$A$6:$DA$376,87,FALSE)</f>
        <v>0</v>
      </c>
      <c r="CJ223" s="566">
        <f>VLOOKUP($A223,'01-02.2021'!$A$6:$CZ$403,88,FALSE)+VLOOKUP($A223,'1.3.21-28.2.22'!$A$6:$DA$404,88,FALSE)-VLOOKUP($A223,'01-02.2022'!$A$6:$DA$376,88,FALSE)</f>
        <v>0</v>
      </c>
      <c r="CK223" s="70">
        <f t="shared" si="265"/>
        <v>0</v>
      </c>
      <c r="CL223" s="566">
        <f>VLOOKUP($A223,'01-02.2021'!$A$6:$CZ$403,90,FALSE)+VLOOKUP($A223,'1.3.21-28.2.22'!$A$6:$DA$404,90,FALSE)-VLOOKUP($A223,'01-02.2022'!$A$6:$DA$376,90,FALSE)</f>
        <v>0</v>
      </c>
      <c r="CM223" s="566">
        <f>VLOOKUP($A223,'01-02.2021'!$A$6:$CZ$403,91,FALSE)+VLOOKUP($A223,'1.3.21-28.2.22'!$A$6:$DA$404,91,FALSE)-VLOOKUP($A223,'01-02.2022'!$A$6:$DA$376,91,FALSE)</f>
        <v>0</v>
      </c>
      <c r="CN223" s="52">
        <f t="shared" si="225"/>
        <v>0</v>
      </c>
      <c r="CO223" s="39">
        <f t="shared" si="220"/>
        <v>0</v>
      </c>
      <c r="CP223" s="40">
        <f t="shared" si="226"/>
        <v>0</v>
      </c>
      <c r="CQ223" s="52">
        <f t="shared" si="227"/>
        <v>0</v>
      </c>
      <c r="CR223" s="72">
        <f t="shared" si="221"/>
        <v>3934.8042138722012</v>
      </c>
      <c r="CS223" s="5">
        <f t="shared" si="221"/>
        <v>4081.0834301919717</v>
      </c>
      <c r="CT223" s="52">
        <f t="shared" si="228"/>
        <v>146.27921631977051</v>
      </c>
      <c r="CU223" s="77">
        <f t="shared" si="229"/>
        <v>4721.7650566466409</v>
      </c>
      <c r="CV223" s="65">
        <f t="shared" si="230"/>
        <v>4897.3001162303663</v>
      </c>
      <c r="CW223" s="35">
        <f t="shared" si="231"/>
        <v>175.53505958372534</v>
      </c>
      <c r="CX223" s="566">
        <f>VLOOKUP($A223,'01-02.2021'!$A$6:$CZ$403,102,FALSE)+VLOOKUP($A223,'1.3.21-28.2.22'!$A$6:$DA$404,102,FALSE)-VLOOKUP($A223,'01-02.2022'!$A$6:$DA$376,102,FALSE)</f>
        <v>165.39879390664345</v>
      </c>
      <c r="CY223" s="566">
        <f>VLOOKUP($A223,'01-02.2021'!$A$6:$CZ$403,103,FALSE)+VLOOKUP($A223,'1.3.21-28.2.22'!$A$6:$DA$404,103,FALSE)-VLOOKUP($A223,'01-02.2022'!$A$6:$DA$376,103,FALSE)</f>
        <v>-10.136265677081155</v>
      </c>
      <c r="CZ223" s="52">
        <f t="shared" si="232"/>
        <v>-175.5350595837246</v>
      </c>
      <c r="DA223" s="150">
        <f>'[2]побудинковий звіт'!DA223</f>
        <v>5183.5417040550319</v>
      </c>
      <c r="DB223" s="2">
        <v>1</v>
      </c>
      <c r="DC223" s="414">
        <f>'[4]побудинковий звіт'!DC223</f>
        <v>2506.2399999999998</v>
      </c>
      <c r="DD223" s="414">
        <f>'[4]побудинковий звіт'!DD223</f>
        <v>0</v>
      </c>
      <c r="DE223" s="557">
        <f>'[4]побудинковий звіт'!DE223</f>
        <v>2066.2420431408877</v>
      </c>
      <c r="DF223" s="557">
        <f>'[4]побудинковий звіт'!DF223</f>
        <v>0</v>
      </c>
      <c r="DG223" s="321">
        <f>VLOOKUP(A223,'кошти 01.03.2021'!$A$6:$D$401,4,)</f>
        <v>6330.0323351672341</v>
      </c>
      <c r="DH223" s="40">
        <f>'[3]побудинковий звіт'!DJ223</f>
        <v>5041.6669903784259</v>
      </c>
      <c r="DI223" s="422">
        <f>'[3]побудинковий звіт'!CU223+'[3]побудинковий звіт'!CX223</f>
        <v>439.99795685911198</v>
      </c>
      <c r="DJ223" s="306">
        <f>'[3]побудинковий звіт'!DM223</f>
        <v>1.2874848774224199</v>
      </c>
      <c r="DK223" s="306">
        <f t="shared" si="267"/>
        <v>1.2874848774224199</v>
      </c>
      <c r="DL223" s="306">
        <f>'[3]побудинковий звіт'!DO223</f>
        <v>1.2874848774224199</v>
      </c>
      <c r="DM223" s="28">
        <f t="shared" si="268"/>
        <v>439.99795685911198</v>
      </c>
      <c r="DN223" s="28">
        <f t="shared" si="269"/>
        <v>0</v>
      </c>
      <c r="DO223" s="423">
        <f t="shared" si="238"/>
        <v>439.99795685911198</v>
      </c>
      <c r="DP223" s="94">
        <f t="shared" si="239"/>
        <v>0</v>
      </c>
      <c r="DQ223" s="28">
        <f t="shared" si="240"/>
        <v>439.99795685911198</v>
      </c>
      <c r="DR223" s="318"/>
      <c r="DT223" s="8"/>
      <c r="DU223" s="5"/>
      <c r="DX223" s="5">
        <f t="shared" si="241"/>
        <v>3358.4235030474524</v>
      </c>
      <c r="DY223" s="5">
        <f t="shared" si="242"/>
        <v>2482.7999999999997</v>
      </c>
      <c r="DZ223" s="159">
        <f>'[3]побудинковий звіт'!EA223</f>
        <v>372.44524080112438</v>
      </c>
    </row>
    <row r="224" spans="1:130" x14ac:dyDescent="0.3">
      <c r="A224" s="325">
        <v>150000937</v>
      </c>
      <c r="B224" s="41" t="s">
        <v>671</v>
      </c>
      <c r="C224" s="42" t="s">
        <v>375</v>
      </c>
      <c r="D224" s="42"/>
      <c r="E224" s="293">
        <f t="shared" si="218"/>
        <v>3813.3</v>
      </c>
      <c r="F224" s="305">
        <f>'[3]побудинковий звіт'!F224</f>
        <v>3813.3</v>
      </c>
      <c r="G224" s="508">
        <f>'[3]побудинковий звіт'!G224</f>
        <v>407.65</v>
      </c>
      <c r="H224" s="560">
        <f>'[3]побудинковий звіт'!H224</f>
        <v>0</v>
      </c>
      <c r="I224" s="566">
        <f>VLOOKUP($A224,'01-02.2021'!$A$6:$CZ$403,9,FALSE)+VLOOKUP($A224,'1.3.21-28.2.22'!$A$6:$DA$404,9,FALSE)-VLOOKUP($A224,'01-02.2022'!$A$6:$DA$376,9,FALSE)</f>
        <v>5494.366194009549</v>
      </c>
      <c r="J224" s="566">
        <f>VLOOKUP($A224,'01-02.2021'!$A$6:$CZ$403,10,FALSE)+VLOOKUP($A224,'1.3.21-28.2.22'!$A$6:$DA$404,10,FALSE)-VLOOKUP($A224,'01-02.2022'!$A$6:$DA$376,10,FALSE)</f>
        <v>5234.5143922681891</v>
      </c>
      <c r="K224" s="52">
        <f t="shared" si="222"/>
        <v>-259.85180174135985</v>
      </c>
      <c r="L224" s="566">
        <f>VLOOKUP($A224,'01-02.2021'!$A$6:$CZ$403,12,FALSE)+VLOOKUP($A224,'1.3.21-28.2.22'!$A$6:$DA$404,12,FALSE)-VLOOKUP($A224,'01-02.2022'!$A$6:$DA$376,12,FALSE)</f>
        <v>2177.18204708036</v>
      </c>
      <c r="M224" s="566">
        <f>VLOOKUP($A224,'01-02.2021'!$A$6:$CZ$403,13,FALSE)+VLOOKUP($A224,'1.3.21-28.2.22'!$A$6:$DA$404,13,FALSE)-VLOOKUP($A224,'01-02.2022'!$A$6:$DA$376,13,FALSE)</f>
        <v>1967.4473212040266</v>
      </c>
      <c r="N224" s="52">
        <f t="shared" si="223"/>
        <v>-209.73472587633341</v>
      </c>
      <c r="O224" s="566">
        <f>VLOOKUP($A224,'01-02.2021'!$A$6:$CZ$403,15,FALSE)+VLOOKUP($A224,'1.3.21-28.2.22'!$A$6:$DA$404,15,FALSE)-VLOOKUP($A224,'01-02.2022'!$A$6:$DA$376,15,FALSE)</f>
        <v>4858.1626753404662</v>
      </c>
      <c r="P224" s="566">
        <f>VLOOKUP($A224,'01-02.2021'!$A$6:$CZ$403,16,FALSE)+VLOOKUP($A224,'1.3.21-28.2.22'!$A$6:$DA$404,16,FALSE)-VLOOKUP($A224,'01-02.2022'!$A$6:$DA$376,16,FALSE)</f>
        <v>4858.1999999999989</v>
      </c>
      <c r="Q224" s="70">
        <f t="shared" si="243"/>
        <v>3.7324659532714577E-2</v>
      </c>
      <c r="R224" s="566">
        <f>VLOOKUP($A224,'01-02.2021'!$A$6:$CZ$403,18,FALSE)+VLOOKUP($A224,'1.3.21-28.2.22'!$A$6:$DA$404,18,FALSE)-VLOOKUP($A224,'01-02.2022'!$A$6:$DA$376,18,FALSE)</f>
        <v>1140.5949944322001</v>
      </c>
      <c r="S224" s="566">
        <f>VLOOKUP($A224,'01-02.2021'!$A$6:$CZ$403,19,FALSE)+VLOOKUP($A224,'1.3.21-28.2.22'!$A$6:$DA$404,19,FALSE)-VLOOKUP($A224,'01-02.2022'!$A$6:$DA$376,19,FALSE)</f>
        <v>1140.5800000000004</v>
      </c>
      <c r="T224" s="70">
        <f t="shared" si="244"/>
        <v>-1.499443219972818E-2</v>
      </c>
      <c r="U224" s="566">
        <f>VLOOKUP($A224,'01-02.2021'!$A$6:$CZ$403,21,FALSE)+VLOOKUP($A224,'1.3.21-28.2.22'!$A$6:$DA$404,21,FALSE)-VLOOKUP($A224,'01-02.2022'!$A$6:$DA$376,21,FALSE)</f>
        <v>991.86711234583231</v>
      </c>
      <c r="V224" s="566">
        <f>VLOOKUP($A224,'01-02.2021'!$A$6:$CZ$403,22,FALSE)+VLOOKUP($A224,'1.3.21-28.2.22'!$A$6:$DA$404,22,FALSE)-VLOOKUP($A224,'01-02.2022'!$A$6:$DA$376,22,FALSE)</f>
        <v>646.15029122937835</v>
      </c>
      <c r="W224" s="70">
        <f t="shared" si="245"/>
        <v>-345.71682111645396</v>
      </c>
      <c r="X224" s="566">
        <f>VLOOKUP($A224,'01-02.2021'!$A$6:$CZ$403,24,FALSE)+VLOOKUP($A224,'1.3.21-28.2.22'!$A$6:$DA$404,24,FALSE)-VLOOKUP($A224,'01-02.2022'!$A$6:$DA$376,24,FALSE)</f>
        <v>7777.2835494948176</v>
      </c>
      <c r="Y224" s="566">
        <f>VLOOKUP($A224,'01-02.2021'!$A$6:$CZ$403,25,FALSE)+VLOOKUP($A224,'1.3.21-28.2.22'!$A$6:$DA$404,25,FALSE)-VLOOKUP($A224,'01-02.2022'!$A$6:$DA$376,25,FALSE)</f>
        <v>7438.3158581453336</v>
      </c>
      <c r="Z224" s="70">
        <f t="shared" si="246"/>
        <v>-338.96769134948408</v>
      </c>
      <c r="AA224" s="566">
        <f>VLOOKUP($A224,'01-02.2021'!$A$6:$CZ$403,27,FALSE)+VLOOKUP($A224,'1.3.21-28.2.22'!$A$6:$DA$404,27,FALSE)-VLOOKUP($A224,'01-02.2022'!$A$6:$DA$376,27,FALSE)</f>
        <v>762.66000000000008</v>
      </c>
      <c r="AB224" s="566">
        <f>VLOOKUP($A224,'01-02.2021'!$A$6:$CZ$403,28,FALSE)+VLOOKUP($A224,'1.3.21-28.2.22'!$A$6:$DA$404,28,FALSE)-VLOOKUP($A224,'01-02.2022'!$A$6:$DA$376,28,FALSE)</f>
        <v>0</v>
      </c>
      <c r="AC224" s="70">
        <f t="shared" si="247"/>
        <v>-762.66000000000008</v>
      </c>
      <c r="AD224" s="566">
        <f>VLOOKUP($A224,'01-02.2021'!$A$6:$CZ$403,30,FALSE)+VLOOKUP($A224,'1.3.21-28.2.22'!$A$6:$DA$404,30,FALSE)-VLOOKUP($A224,'01-02.2022'!$A$6:$DA$376,30,FALSE)</f>
        <v>16379.22931220634</v>
      </c>
      <c r="AE224" s="566">
        <f>VLOOKUP($A224,'01-02.2021'!$A$6:$CZ$403,31,FALSE)+VLOOKUP($A224,'1.3.21-28.2.22'!$A$6:$DA$404,31,FALSE)-VLOOKUP($A224,'01-02.2022'!$A$6:$DA$376,31,FALSE)</f>
        <v>17358.295246438287</v>
      </c>
      <c r="AF224" s="68">
        <f t="shared" si="248"/>
        <v>979.06593423194681</v>
      </c>
      <c r="AG224" s="77">
        <f t="shared" si="219"/>
        <v>39581.345884909562</v>
      </c>
      <c r="AH224" s="53">
        <f t="shared" si="219"/>
        <v>38643.503109285215</v>
      </c>
      <c r="AI224" s="52">
        <f t="shared" si="224"/>
        <v>-937.84277562434727</v>
      </c>
      <c r="AJ224" s="566">
        <f>VLOOKUP($A224,'01-02.2021'!$A$6:$CZ$403,36,FALSE)+VLOOKUP($A224,'1.3.21-28.2.22'!$A$6:$DA$404,36,FALSE)-VLOOKUP($A224,'01-02.2022'!$A$6:$DA$376,36,FALSE)</f>
        <v>27286.604411975652</v>
      </c>
      <c r="AK224" s="566">
        <f>VLOOKUP($A224,'01-02.2021'!$A$6:$CZ$403,37,FALSE)+VLOOKUP($A224,'1.3.21-28.2.22'!$A$6:$DA$404,37,FALSE)-VLOOKUP($A224,'01-02.2022'!$A$6:$DA$376,37,FALSE)</f>
        <v>26906.559353512344</v>
      </c>
      <c r="AL224" s="70">
        <f t="shared" si="249"/>
        <v>-380.04505846330721</v>
      </c>
      <c r="AM224" s="566">
        <f>VLOOKUP($A224,'01-02.2021'!$A$6:$CZ$403,39,FALSE)+VLOOKUP($A224,'1.3.21-28.2.22'!$A$6:$DA$404,39,FALSE)-VLOOKUP($A224,'01-02.2022'!$A$6:$DA$376,39,FALSE)</f>
        <v>1050.749425</v>
      </c>
      <c r="AN224" s="566">
        <f>VLOOKUP($A224,'01-02.2021'!$A$6:$CZ$403,40,FALSE)+VLOOKUP($A224,'1.3.21-28.2.22'!$A$6:$DA$404,40,FALSE)-VLOOKUP($A224,'01-02.2022'!$A$6:$DA$376,40,FALSE)</f>
        <v>0</v>
      </c>
      <c r="AO224" s="70">
        <f t="shared" si="250"/>
        <v>-1050.749425</v>
      </c>
      <c r="AP224" s="566">
        <f>VLOOKUP($A224,'01-02.2021'!$A$6:$CZ$403,42,FALSE)+VLOOKUP($A224,'1.3.21-28.2.22'!$A$6:$DA$404,42,FALSE)-VLOOKUP($A224,'01-02.2022'!$A$6:$DA$376,42,FALSE)</f>
        <v>3123.3595500766637</v>
      </c>
      <c r="AQ224" s="566">
        <f>VLOOKUP($A224,'01-02.2021'!$A$6:$CZ$403,43,FALSE)+VLOOKUP($A224,'1.3.21-28.2.22'!$A$6:$DA$404,43,FALSE)-VLOOKUP($A224,'01-02.2022'!$A$6:$DA$376,43,FALSE)</f>
        <v>2676.9543577252998</v>
      </c>
      <c r="AR224" s="70">
        <f t="shared" si="251"/>
        <v>-446.40519235136389</v>
      </c>
      <c r="AS224" s="566">
        <f>VLOOKUP($A224,'01-02.2021'!$A$6:$CZ$403,45,FALSE)+VLOOKUP($A224,'1.3.21-28.2.22'!$A$6:$DA$404,45,FALSE)-VLOOKUP($A224,'01-02.2022'!$A$6:$DA$376,45,FALSE)</f>
        <v>46680.454296110445</v>
      </c>
      <c r="AT224" s="566">
        <f>VLOOKUP($A224,'01-02.2021'!$A$6:$CZ$403,46,FALSE)+VLOOKUP($A224,'1.3.21-28.2.22'!$A$6:$DA$404,46,FALSE)-VLOOKUP($A224,'01-02.2022'!$A$6:$DA$376,46,FALSE)</f>
        <v>46719.08</v>
      </c>
      <c r="AU224" s="78">
        <f t="shared" si="252"/>
        <v>38.625703889556462</v>
      </c>
      <c r="AV224" s="566">
        <f>VLOOKUP($A224,'01-02.2021'!$A$6:$CZ$403,48,FALSE)+VLOOKUP($A224,'1.3.21-28.2.22'!$A$6:$DA$404,48,FALSE)-VLOOKUP($A224,'01-02.2022'!$A$6:$DA$376,48,FALSE)</f>
        <v>1579.2567930700745</v>
      </c>
      <c r="AW224" s="566">
        <f>VLOOKUP($A224,'01-02.2021'!$A$6:$CZ$403,49,FALSE)+VLOOKUP($A224,'1.3.21-28.2.22'!$A$6:$DA$404,49,FALSE)-VLOOKUP($A224,'01-02.2022'!$A$6:$DA$376,49,FALSE)</f>
        <v>1344</v>
      </c>
      <c r="AX224" s="55">
        <f t="shared" si="253"/>
        <v>-235.25679307007454</v>
      </c>
      <c r="AY224" s="566">
        <f>VLOOKUP($A224,'01-02.2021'!$A$6:$CZ$403,51,FALSE)+VLOOKUP($A224,'1.3.21-28.2.22'!$A$6:$DA$404,51,FALSE)-VLOOKUP($A224,'01-02.2022'!$A$6:$DA$376,51,FALSE)</f>
        <v>3043.8556056997877</v>
      </c>
      <c r="AZ224" s="566">
        <f>VLOOKUP($A224,'01-02.2021'!$A$6:$CZ$403,52,FALSE)+VLOOKUP($A224,'1.3.21-28.2.22'!$A$6:$DA$404,52,FALSE)-VLOOKUP($A224,'01-02.2022'!$A$6:$DA$376,52,FALSE)</f>
        <v>2063</v>
      </c>
      <c r="BA224" s="38">
        <f t="shared" si="254"/>
        <v>-980.8556056997877</v>
      </c>
      <c r="BB224" s="566">
        <f>VLOOKUP($A224,'01-02.2021'!$A$6:$CZ$403,54,FALSE)+VLOOKUP($A224,'1.3.21-28.2.22'!$A$6:$DA$404,54,FALSE)-VLOOKUP($A224,'01-02.2022'!$A$6:$DA$376,54,FALSE)</f>
        <v>1380.4611827816525</v>
      </c>
      <c r="BC224" s="566">
        <f>VLOOKUP($A224,'01-02.2021'!$A$6:$CZ$403,55,FALSE)+VLOOKUP($A224,'1.3.21-28.2.22'!$A$6:$DA$404,55,FALSE)-VLOOKUP($A224,'01-02.2022'!$A$6:$DA$376,55,FALSE)</f>
        <v>0</v>
      </c>
      <c r="BD224" s="55">
        <f t="shared" si="255"/>
        <v>-1380.4611827816525</v>
      </c>
      <c r="BE224" s="566">
        <f>VLOOKUP($A224,'01-02.2021'!$A$6:$CZ$403,57,FALSE)+VLOOKUP($A224,'1.3.21-28.2.22'!$A$6:$DA$404,57,FALSE)-VLOOKUP($A224,'01-02.2022'!$A$6:$DA$376,57,FALSE)</f>
        <v>2584.0328967771643</v>
      </c>
      <c r="BF224" s="566">
        <f>VLOOKUP($A224,'01-02.2021'!$A$6:$CZ$403,58,FALSE)+VLOOKUP($A224,'1.3.21-28.2.22'!$A$6:$DA$404,58,FALSE)-VLOOKUP($A224,'01-02.2022'!$A$6:$DA$376,58,FALSE)</f>
        <v>7481</v>
      </c>
      <c r="BG224" s="55">
        <f t="shared" si="256"/>
        <v>4896.9671032228362</v>
      </c>
      <c r="BH224" s="566">
        <f>VLOOKUP($A224,'01-02.2021'!$A$6:$CZ$403,60,FALSE)+VLOOKUP($A224,'1.3.21-28.2.22'!$A$6:$DA$404,60,FALSE)-VLOOKUP($A224,'01-02.2022'!$A$6:$DA$376,60,FALSE)</f>
        <v>1884.5640679025737</v>
      </c>
      <c r="BI224" s="566">
        <f>VLOOKUP($A224,'01-02.2021'!$A$6:$CZ$403,61,FALSE)+VLOOKUP($A224,'1.3.21-28.2.22'!$A$6:$DA$404,61,FALSE)-VLOOKUP($A224,'01-02.2022'!$A$6:$DA$376,61,FALSE)</f>
        <v>0</v>
      </c>
      <c r="BJ224" s="55">
        <f t="shared" si="257"/>
        <v>-1884.5640679025737</v>
      </c>
      <c r="BK224" s="566">
        <f>VLOOKUP($A224,'01-02.2021'!$A$6:$CZ$403,63,FALSE)+VLOOKUP($A224,'1.3.21-28.2.22'!$A$6:$DA$404,63,FALSE)-VLOOKUP($A224,'01-02.2022'!$A$6:$DA$376,63,FALSE)</f>
        <v>2101.9191025597593</v>
      </c>
      <c r="BL224" s="566">
        <f>VLOOKUP($A224,'01-02.2021'!$A$6:$CZ$403,64,FALSE)+VLOOKUP($A224,'1.3.21-28.2.22'!$A$6:$DA$404,64,FALSE)-VLOOKUP($A224,'01-02.2022'!$A$6:$DA$376,64,FALSE)</f>
        <v>332</v>
      </c>
      <c r="BM224" s="55">
        <f t="shared" si="258"/>
        <v>-1769.9191025597593</v>
      </c>
      <c r="BN224" s="566">
        <f>VLOOKUP($A224,'01-02.2021'!$A$6:$CZ$403,66,FALSE)+VLOOKUP($A224,'1.3.21-28.2.22'!$A$6:$DA$404,66,FALSE)-VLOOKUP($A224,'01-02.2022'!$A$6:$DA$376,66,FALSE)</f>
        <v>508.14799229853156</v>
      </c>
      <c r="BO224" s="566">
        <f>VLOOKUP($A224,'01-02.2021'!$A$6:$CZ$403,67,FALSE)+VLOOKUP($A224,'1.3.21-28.2.22'!$A$6:$DA$404,67,FALSE)-VLOOKUP($A224,'01-02.2022'!$A$6:$DA$376,67,FALSE)</f>
        <v>0</v>
      </c>
      <c r="BP224" s="55">
        <f t="shared" si="259"/>
        <v>-508.14799229853156</v>
      </c>
      <c r="BQ224" s="77">
        <f t="shared" si="209"/>
        <v>13082.237641089543</v>
      </c>
      <c r="BR224" s="40">
        <f t="shared" si="237"/>
        <v>11220</v>
      </c>
      <c r="BS224" s="55">
        <f t="shared" si="236"/>
        <v>-1862.2376410895431</v>
      </c>
      <c r="BT224" s="566">
        <f>VLOOKUP($A224,'01-02.2021'!$A$6:$CZ$403,72,FALSE)+VLOOKUP($A224,'1.3.21-28.2.22'!$A$6:$DA$404,72,FALSE)-VLOOKUP($A224,'01-02.2022'!$A$6:$DA$376,72,FALSE)</f>
        <v>48890.206344195132</v>
      </c>
      <c r="BU224" s="566">
        <f>VLOOKUP($A224,'01-02.2021'!$A$6:$CZ$403,73,FALSE)+VLOOKUP($A224,'1.3.21-28.2.22'!$A$6:$DA$404,73,FALSE)-VLOOKUP($A224,'01-02.2022'!$A$6:$DA$376,73,FALSE)</f>
        <v>52511.787975893807</v>
      </c>
      <c r="BV224" s="70">
        <f t="shared" si="260"/>
        <v>3621.5816316986748</v>
      </c>
      <c r="BW224" s="566">
        <f>VLOOKUP($A224,'01-02.2021'!$A$6:$CZ$403,75,FALSE)+VLOOKUP($A224,'1.3.21-28.2.22'!$A$6:$DA$404,75,FALSE)-VLOOKUP($A224,'01-02.2022'!$A$6:$DA$376,75,FALSE)</f>
        <v>27361.370899120051</v>
      </c>
      <c r="BX224" s="566">
        <f>VLOOKUP($A224,'01-02.2021'!$A$6:$CZ$403,76,FALSE)+VLOOKUP($A224,'1.3.21-28.2.22'!$A$6:$DA$404,76,FALSE)-VLOOKUP($A224,'01-02.2022'!$A$6:$DA$376,76,FALSE)</f>
        <v>25788.983837198488</v>
      </c>
      <c r="BY224" s="70">
        <f t="shared" si="261"/>
        <v>-1572.3870619215631</v>
      </c>
      <c r="BZ224" s="566">
        <f>VLOOKUP($A224,'01-02.2021'!$A$6:$CZ$403,78,FALSE)+VLOOKUP($A224,'1.3.21-28.2.22'!$A$6:$DA$404,78,FALSE)-VLOOKUP($A224,'01-02.2022'!$A$6:$DA$376,78,FALSE)</f>
        <v>9403.8369845906855</v>
      </c>
      <c r="CA224" s="566">
        <f>VLOOKUP($A224,'01-02.2021'!$A$6:$CZ$403,79,FALSE)+VLOOKUP($A224,'1.3.21-28.2.22'!$A$6:$DA$404,79,FALSE)-VLOOKUP($A224,'01-02.2022'!$A$6:$DA$376,79,FALSE)</f>
        <v>8094.9971257679026</v>
      </c>
      <c r="CB224" s="70">
        <f t="shared" si="262"/>
        <v>-1308.8398588227828</v>
      </c>
      <c r="CC224" s="566">
        <f>VLOOKUP($A224,'01-02.2021'!$A$6:$CZ$403,81,FALSE)+VLOOKUP($A224,'1.3.21-28.2.22'!$A$6:$DA$404,81,FALSE)-VLOOKUP($A224,'01-02.2022'!$A$6:$DA$376,81,FALSE)</f>
        <v>860.74934107263584</v>
      </c>
      <c r="CD224" s="566">
        <f>VLOOKUP($A224,'01-02.2021'!$A$6:$CZ$403,82,FALSE)+VLOOKUP($A224,'1.3.21-28.2.22'!$A$6:$DA$404,82,FALSE)-VLOOKUP($A224,'01-02.2022'!$A$6:$DA$376,82,FALSE)</f>
        <v>934.11453249706756</v>
      </c>
      <c r="CE224" s="70">
        <f t="shared" si="263"/>
        <v>73.365191424431714</v>
      </c>
      <c r="CF224" s="566">
        <f>VLOOKUP($A224,'01-02.2021'!$A$6:$CZ$403,84,FALSE)+VLOOKUP($A224,'1.3.21-28.2.22'!$A$6:$DA$404,84,FALSE)-VLOOKUP($A224,'01-02.2022'!$A$6:$DA$376,84,FALSE)</f>
        <v>103.89898313986049</v>
      </c>
      <c r="CG224" s="566">
        <f>VLOOKUP($A224,'01-02.2021'!$A$6:$CZ$403,85,FALSE)+VLOOKUP($A224,'1.3.21-28.2.22'!$A$6:$DA$404,85,FALSE)-VLOOKUP($A224,'01-02.2022'!$A$6:$DA$376,85,FALSE)</f>
        <v>0</v>
      </c>
      <c r="CH224" s="70">
        <f t="shared" si="264"/>
        <v>-103.89898313986049</v>
      </c>
      <c r="CI224" s="566">
        <f>VLOOKUP($A224,'01-02.2021'!$A$6:$CZ$403,87,FALSE)+VLOOKUP($A224,'1.3.21-28.2.22'!$A$6:$DA$404,87,FALSE)-VLOOKUP($A224,'01-02.2022'!$A$6:$DA$376,87,FALSE)</f>
        <v>10661.598809839832</v>
      </c>
      <c r="CJ224" s="566">
        <f>VLOOKUP($A224,'01-02.2021'!$A$6:$CZ$403,88,FALSE)+VLOOKUP($A224,'1.3.21-28.2.22'!$A$6:$DA$404,88,FALSE)-VLOOKUP($A224,'01-02.2022'!$A$6:$DA$376,88,FALSE)</f>
        <v>7163.6359053037477</v>
      </c>
      <c r="CK224" s="70">
        <f t="shared" si="265"/>
        <v>-3497.9629045360844</v>
      </c>
      <c r="CL224" s="566">
        <f>VLOOKUP($A224,'01-02.2021'!$A$6:$CZ$403,90,FALSE)+VLOOKUP($A224,'1.3.21-28.2.22'!$A$6:$DA$404,90,FALSE)-VLOOKUP($A224,'01-02.2022'!$A$6:$DA$376,90,FALSE)</f>
        <v>14411.434961713974</v>
      </c>
      <c r="CM224" s="566">
        <f>VLOOKUP($A224,'01-02.2021'!$A$6:$CZ$403,91,FALSE)+VLOOKUP($A224,'1.3.21-28.2.22'!$A$6:$DA$404,91,FALSE)-VLOOKUP($A224,'01-02.2022'!$A$6:$DA$376,91,FALSE)</f>
        <v>13376.158679523169</v>
      </c>
      <c r="CN224" s="52">
        <f t="shared" si="225"/>
        <v>-1035.2762821908054</v>
      </c>
      <c r="CO224" s="39">
        <f t="shared" si="220"/>
        <v>25073.033771553804</v>
      </c>
      <c r="CP224" s="40">
        <f t="shared" si="226"/>
        <v>20539.794584826916</v>
      </c>
      <c r="CQ224" s="52">
        <f t="shared" si="227"/>
        <v>-4533.2391867268889</v>
      </c>
      <c r="CR224" s="72">
        <f t="shared" si="221"/>
        <v>242497.84753283404</v>
      </c>
      <c r="CS224" s="5">
        <f t="shared" si="221"/>
        <v>234035.77487670706</v>
      </c>
      <c r="CT224" s="52">
        <f t="shared" si="228"/>
        <v>-8462.0726561269839</v>
      </c>
      <c r="CU224" s="77">
        <f t="shared" si="229"/>
        <v>290997.41703940084</v>
      </c>
      <c r="CV224" s="65">
        <f t="shared" si="230"/>
        <v>280842.92985204846</v>
      </c>
      <c r="CW224" s="35">
        <f t="shared" si="231"/>
        <v>-10154.487187352381</v>
      </c>
      <c r="CX224" s="566">
        <f>VLOOKUP($A224,'01-02.2021'!$A$6:$CZ$403,102,FALSE)+VLOOKUP($A224,'1.3.21-28.2.22'!$A$6:$DA$404,102,FALSE)-VLOOKUP($A224,'01-02.2022'!$A$6:$DA$376,102,FALSE)</f>
        <v>8361.7720871726833</v>
      </c>
      <c r="CY224" s="566">
        <f>VLOOKUP($A224,'01-02.2021'!$A$6:$CZ$403,103,FALSE)+VLOOKUP($A224,'1.3.21-28.2.22'!$A$6:$DA$404,103,FALSE)-VLOOKUP($A224,'01-02.2022'!$A$6:$DA$376,103,FALSE)</f>
        <v>18516.259274525124</v>
      </c>
      <c r="CZ224" s="52">
        <f t="shared" si="232"/>
        <v>10154.487187352441</v>
      </c>
      <c r="DA224" s="150">
        <f>'[2]побудинковий звіт'!DA224</f>
        <v>33117.797875685581</v>
      </c>
      <c r="DB224" s="2">
        <v>1</v>
      </c>
      <c r="DC224" s="414">
        <f>'[4]побудинковий звіт'!DC224</f>
        <v>54516.37</v>
      </c>
      <c r="DD224" s="414">
        <f>'[4]побудинковий звіт'!DD224</f>
        <v>0</v>
      </c>
      <c r="DE224" s="557">
        <f>'[4]побудинковий звіт'!DE224</f>
        <v>27742.573852510373</v>
      </c>
      <c r="DF224" s="557">
        <f>'[4]побудинковий звіт'!DF224</f>
        <v>0</v>
      </c>
      <c r="DG224" s="321">
        <f>VLOOKUP(A224,'кошти 01.03.2021'!$A$6:$D$401,4,)</f>
        <v>41025.99134634751</v>
      </c>
      <c r="DH224" s="40">
        <f>'[3]побудинковий звіт'!DJ224</f>
        <v>307967.34977068496</v>
      </c>
      <c r="DI224" s="422">
        <f>'[3]побудинковий звіт'!CU224+'[3]побудинковий звіт'!CX224</f>
        <v>26773.796147489629</v>
      </c>
      <c r="DJ224" s="306">
        <f>'[3]побудинковий звіт'!DM224</f>
        <v>5.8706639677490982</v>
      </c>
      <c r="DK224" s="306">
        <f>'[3]побудинковий звіт'!DN224</f>
        <v>7.1588742181482861</v>
      </c>
      <c r="DL224" s="306">
        <f>'[3]побудинковий звіт'!DO224</f>
        <v>5.0752130724542273</v>
      </c>
      <c r="DM224" s="28">
        <f t="shared" ref="DM224:DM225" si="286">DJ224*G224+(F224-G224)*DK224</f>
        <v>26773.796147489629</v>
      </c>
      <c r="DN224" s="28">
        <f>DL224*H224</f>
        <v>0</v>
      </c>
      <c r="DO224" s="423">
        <f t="shared" si="238"/>
        <v>26773.796147489629</v>
      </c>
      <c r="DP224" s="94">
        <f t="shared" si="239"/>
        <v>0</v>
      </c>
      <c r="DQ224" s="28">
        <f t="shared" si="240"/>
        <v>26773.796147489629</v>
      </c>
      <c r="DR224" s="318"/>
      <c r="DT224" s="8"/>
      <c r="DU224" s="5"/>
      <c r="DX224" s="5">
        <f t="shared" si="241"/>
        <v>71715.230324639982</v>
      </c>
      <c r="DY224" s="5">
        <f t="shared" si="242"/>
        <v>69526.895999999993</v>
      </c>
      <c r="DZ224" s="159">
        <f>'[3]побудинковий звіт'!EA224</f>
        <v>6771.3106546486806</v>
      </c>
    </row>
    <row r="225" spans="1:130" x14ac:dyDescent="0.3">
      <c r="A225" s="325">
        <v>150000938</v>
      </c>
      <c r="B225" s="41" t="s">
        <v>672</v>
      </c>
      <c r="C225" s="42" t="s">
        <v>376</v>
      </c>
      <c r="D225" s="42"/>
      <c r="E225" s="293">
        <f t="shared" si="218"/>
        <v>15432.37</v>
      </c>
      <c r="F225" s="305">
        <f>'[3]побудинковий звіт'!F225</f>
        <v>14576.67</v>
      </c>
      <c r="G225" s="508">
        <f>'[3]побудинковий звіт'!G225</f>
        <v>1189.72</v>
      </c>
      <c r="H225" s="560">
        <f>'[3]побудинковий звіт'!H225</f>
        <v>855.7</v>
      </c>
      <c r="I225" s="566">
        <f>VLOOKUP($A225,'01-02.2021'!$A$6:$CZ$403,9,FALSE)+VLOOKUP($A225,'1.3.21-28.2.22'!$A$6:$DA$404,9,FALSE)-VLOOKUP($A225,'01-02.2022'!$A$6:$DA$376,9,FALSE)</f>
        <v>50648.828971042691</v>
      </c>
      <c r="J225" s="566">
        <f>VLOOKUP($A225,'01-02.2021'!$A$6:$CZ$403,10,FALSE)+VLOOKUP($A225,'1.3.21-28.2.22'!$A$6:$DA$404,10,FALSE)-VLOOKUP($A225,'01-02.2022'!$A$6:$DA$376,10,FALSE)</f>
        <v>44997.518941104114</v>
      </c>
      <c r="K225" s="52">
        <f t="shared" si="222"/>
        <v>-5651.3100299385769</v>
      </c>
      <c r="L225" s="566">
        <f>VLOOKUP($A225,'01-02.2021'!$A$6:$CZ$403,12,FALSE)+VLOOKUP($A225,'1.3.21-28.2.22'!$A$6:$DA$404,12,FALSE)-VLOOKUP($A225,'01-02.2022'!$A$6:$DA$376,12,FALSE)</f>
        <v>8057.7566275107984</v>
      </c>
      <c r="M225" s="566">
        <f>VLOOKUP($A225,'01-02.2021'!$A$6:$CZ$403,13,FALSE)+VLOOKUP($A225,'1.3.21-28.2.22'!$A$6:$DA$404,13,FALSE)-VLOOKUP($A225,'01-02.2022'!$A$6:$DA$376,13,FALSE)</f>
        <v>7288.1985901536609</v>
      </c>
      <c r="N225" s="52">
        <f t="shared" si="223"/>
        <v>-769.55803735713744</v>
      </c>
      <c r="O225" s="566">
        <f>VLOOKUP($A225,'01-02.2021'!$A$6:$CZ$403,15,FALSE)+VLOOKUP($A225,'1.3.21-28.2.22'!$A$6:$DA$404,15,FALSE)-VLOOKUP($A225,'01-02.2022'!$A$6:$DA$376,15,FALSE)</f>
        <v>20611.564993919375</v>
      </c>
      <c r="P225" s="566">
        <f>VLOOKUP($A225,'01-02.2021'!$A$6:$CZ$403,16,FALSE)+VLOOKUP($A225,'1.3.21-28.2.22'!$A$6:$DA$404,16,FALSE)-VLOOKUP($A225,'01-02.2022'!$A$6:$DA$376,16,FALSE)</f>
        <v>20611.61</v>
      </c>
      <c r="Q225" s="70">
        <f t="shared" si="243"/>
        <v>4.5006080625171307E-2</v>
      </c>
      <c r="R225" s="566">
        <f>VLOOKUP($A225,'01-02.2021'!$A$6:$CZ$403,18,FALSE)+VLOOKUP($A225,'1.3.21-28.2.22'!$A$6:$DA$404,18,FALSE)-VLOOKUP($A225,'01-02.2022'!$A$6:$DA$376,18,FALSE)</f>
        <v>4597.6609453258679</v>
      </c>
      <c r="S225" s="566">
        <f>VLOOKUP($A225,'01-02.2021'!$A$6:$CZ$403,19,FALSE)+VLOOKUP($A225,'1.3.21-28.2.22'!$A$6:$DA$404,19,FALSE)-VLOOKUP($A225,'01-02.2022'!$A$6:$DA$376,19,FALSE)</f>
        <v>4597.6900000000023</v>
      </c>
      <c r="T225" s="70">
        <f t="shared" si="244"/>
        <v>2.9054674134386005E-2</v>
      </c>
      <c r="U225" s="566">
        <f>VLOOKUP($A225,'01-02.2021'!$A$6:$CZ$403,21,FALSE)+VLOOKUP($A225,'1.3.21-28.2.22'!$A$6:$DA$404,21,FALSE)-VLOOKUP($A225,'01-02.2022'!$A$6:$DA$376,21,FALSE)</f>
        <v>2350.0903098010722</v>
      </c>
      <c r="V225" s="566">
        <f>VLOOKUP($A225,'01-02.2021'!$A$6:$CZ$403,22,FALSE)+VLOOKUP($A225,'1.3.21-28.2.22'!$A$6:$DA$404,22,FALSE)-VLOOKUP($A225,'01-02.2022'!$A$6:$DA$376,22,FALSE)</f>
        <v>1530.9715264788167</v>
      </c>
      <c r="W225" s="70">
        <f t="shared" si="245"/>
        <v>-819.11878332225547</v>
      </c>
      <c r="X225" s="566">
        <f>VLOOKUP($A225,'01-02.2021'!$A$6:$CZ$403,24,FALSE)+VLOOKUP($A225,'1.3.21-28.2.22'!$A$6:$DA$404,24,FALSE)-VLOOKUP($A225,'01-02.2022'!$A$6:$DA$376,24,FALSE)</f>
        <v>30510.16498752858</v>
      </c>
      <c r="Y225" s="566">
        <f>VLOOKUP($A225,'01-02.2021'!$A$6:$CZ$403,25,FALSE)+VLOOKUP($A225,'1.3.21-28.2.22'!$A$6:$DA$404,25,FALSE)-VLOOKUP($A225,'01-02.2022'!$A$6:$DA$376,25,FALSE)</f>
        <v>28058.884806819406</v>
      </c>
      <c r="Z225" s="70">
        <f t="shared" si="246"/>
        <v>-2451.2801807091746</v>
      </c>
      <c r="AA225" s="566">
        <f>VLOOKUP($A225,'01-02.2021'!$A$6:$CZ$403,27,FALSE)+VLOOKUP($A225,'1.3.21-28.2.22'!$A$6:$DA$404,27,FALSE)-VLOOKUP($A225,'01-02.2022'!$A$6:$DA$376,27,FALSE)</f>
        <v>3086.0760000000005</v>
      </c>
      <c r="AB225" s="566">
        <f>VLOOKUP($A225,'01-02.2021'!$A$6:$CZ$403,28,FALSE)+VLOOKUP($A225,'1.3.21-28.2.22'!$A$6:$DA$404,28,FALSE)-VLOOKUP($A225,'01-02.2022'!$A$6:$DA$376,28,FALSE)</f>
        <v>0</v>
      </c>
      <c r="AC225" s="70">
        <f t="shared" si="247"/>
        <v>-3086.0760000000005</v>
      </c>
      <c r="AD225" s="566">
        <f>VLOOKUP($A225,'01-02.2021'!$A$6:$CZ$403,30,FALSE)+VLOOKUP($A225,'1.3.21-28.2.22'!$A$6:$DA$404,30,FALSE)-VLOOKUP($A225,'01-02.2022'!$A$6:$DA$376,30,FALSE)</f>
        <v>66197.931121622416</v>
      </c>
      <c r="AE225" s="566">
        <f>VLOOKUP($A225,'01-02.2021'!$A$6:$CZ$403,31,FALSE)+VLOOKUP($A225,'1.3.21-28.2.22'!$A$6:$DA$404,31,FALSE)-VLOOKUP($A225,'01-02.2022'!$A$6:$DA$376,31,FALSE)</f>
        <v>70253.288099946687</v>
      </c>
      <c r="AF225" s="68">
        <f t="shared" si="248"/>
        <v>4055.356978324271</v>
      </c>
      <c r="AG225" s="77">
        <f t="shared" si="219"/>
        <v>186060.0739567508</v>
      </c>
      <c r="AH225" s="53">
        <f t="shared" si="219"/>
        <v>177338.16196450268</v>
      </c>
      <c r="AI225" s="52">
        <f t="shared" si="224"/>
        <v>-8721.9119922481186</v>
      </c>
      <c r="AJ225" s="566">
        <f>VLOOKUP($A225,'01-02.2021'!$A$6:$CZ$403,36,FALSE)+VLOOKUP($A225,'1.3.21-28.2.22'!$A$6:$DA$404,36,FALSE)-VLOOKUP($A225,'01-02.2022'!$A$6:$DA$376,36,FALSE)</f>
        <v>104119.91325947922</v>
      </c>
      <c r="AK225" s="566">
        <f>VLOOKUP($A225,'01-02.2021'!$A$6:$CZ$403,37,FALSE)+VLOOKUP($A225,'1.3.21-28.2.22'!$A$6:$DA$404,37,FALSE)-VLOOKUP($A225,'01-02.2022'!$A$6:$DA$376,37,FALSE)</f>
        <v>103273.32375436959</v>
      </c>
      <c r="AL225" s="70">
        <f t="shared" si="249"/>
        <v>-846.58950510963041</v>
      </c>
      <c r="AM225" s="566">
        <f>VLOOKUP($A225,'01-02.2021'!$A$6:$CZ$403,39,FALSE)+VLOOKUP($A225,'1.3.21-28.2.22'!$A$6:$DA$404,39,FALSE)-VLOOKUP($A225,'01-02.2022'!$A$6:$DA$376,39,FALSE)</f>
        <v>3677.6229875000004</v>
      </c>
      <c r="AN225" s="566">
        <f>VLOOKUP($A225,'01-02.2021'!$A$6:$CZ$403,40,FALSE)+VLOOKUP($A225,'1.3.21-28.2.22'!$A$6:$DA$404,40,FALSE)-VLOOKUP($A225,'01-02.2022'!$A$6:$DA$376,40,FALSE)</f>
        <v>0</v>
      </c>
      <c r="AO225" s="70">
        <f t="shared" si="250"/>
        <v>-3677.6229875000004</v>
      </c>
      <c r="AP225" s="566">
        <f>VLOOKUP($A225,'01-02.2021'!$A$6:$CZ$403,42,FALSE)+VLOOKUP($A225,'1.3.21-28.2.22'!$A$6:$DA$404,42,FALSE)-VLOOKUP($A225,'01-02.2022'!$A$6:$DA$376,42,FALSE)</f>
        <v>10628.098469010871</v>
      </c>
      <c r="AQ225" s="566">
        <f>VLOOKUP($A225,'01-02.2021'!$A$6:$CZ$403,43,FALSE)+VLOOKUP($A225,'1.3.21-28.2.22'!$A$6:$DA$404,43,FALSE)-VLOOKUP($A225,'01-02.2022'!$A$6:$DA$376,43,FALSE)</f>
        <v>8465.2098785819107</v>
      </c>
      <c r="AR225" s="70">
        <f t="shared" si="251"/>
        <v>-2162.88859042896</v>
      </c>
      <c r="AS225" s="566">
        <f>VLOOKUP($A225,'01-02.2021'!$A$6:$CZ$403,45,FALSE)+VLOOKUP($A225,'1.3.21-28.2.22'!$A$6:$DA$404,45,FALSE)-VLOOKUP($A225,'01-02.2022'!$A$6:$DA$376,45,FALSE)</f>
        <v>178015.15256462825</v>
      </c>
      <c r="AT225" s="566">
        <f>VLOOKUP($A225,'01-02.2021'!$A$6:$CZ$403,46,FALSE)+VLOOKUP($A225,'1.3.21-28.2.22'!$A$6:$DA$404,46,FALSE)-VLOOKUP($A225,'01-02.2022'!$A$6:$DA$376,46,FALSE)</f>
        <v>292077.12367203424</v>
      </c>
      <c r="AU225" s="78">
        <f t="shared" si="252"/>
        <v>114061.97110740599</v>
      </c>
      <c r="AV225" s="566">
        <f>VLOOKUP($A225,'01-02.2021'!$A$6:$CZ$403,48,FALSE)+VLOOKUP($A225,'1.3.21-28.2.22'!$A$6:$DA$404,48,FALSE)-VLOOKUP($A225,'01-02.2022'!$A$6:$DA$376,48,FALSE)</f>
        <v>10579.487807400901</v>
      </c>
      <c r="AW225" s="566">
        <f>VLOOKUP($A225,'01-02.2021'!$A$6:$CZ$403,49,FALSE)+VLOOKUP($A225,'1.3.21-28.2.22'!$A$6:$DA$404,49,FALSE)-VLOOKUP($A225,'01-02.2022'!$A$6:$DA$376,49,FALSE)</f>
        <v>6971.85</v>
      </c>
      <c r="AX225" s="55">
        <f t="shared" si="253"/>
        <v>-3607.6378074009008</v>
      </c>
      <c r="AY225" s="566">
        <f>VLOOKUP($A225,'01-02.2021'!$A$6:$CZ$403,51,FALSE)+VLOOKUP($A225,'1.3.21-28.2.22'!$A$6:$DA$404,51,FALSE)-VLOOKUP($A225,'01-02.2022'!$A$6:$DA$376,51,FALSE)</f>
        <v>11619.007740866196</v>
      </c>
      <c r="AZ225" s="566">
        <f>VLOOKUP($A225,'01-02.2021'!$A$6:$CZ$403,52,FALSE)+VLOOKUP($A225,'1.3.21-28.2.22'!$A$6:$DA$404,52,FALSE)-VLOOKUP($A225,'01-02.2022'!$A$6:$DA$376,52,FALSE)</f>
        <v>9275.76</v>
      </c>
      <c r="BA225" s="38">
        <f t="shared" si="254"/>
        <v>-2343.2477408661962</v>
      </c>
      <c r="BB225" s="566">
        <f>VLOOKUP($A225,'01-02.2021'!$A$6:$CZ$403,54,FALSE)+VLOOKUP($A225,'1.3.21-28.2.22'!$A$6:$DA$404,54,FALSE)-VLOOKUP($A225,'01-02.2022'!$A$6:$DA$376,54,FALSE)</f>
        <v>5412.4987817414531</v>
      </c>
      <c r="BC225" s="566">
        <f>VLOOKUP($A225,'01-02.2021'!$A$6:$CZ$403,55,FALSE)+VLOOKUP($A225,'1.3.21-28.2.22'!$A$6:$DA$404,55,FALSE)-VLOOKUP($A225,'01-02.2022'!$A$6:$DA$376,55,FALSE)</f>
        <v>27765</v>
      </c>
      <c r="BD225" s="55">
        <f t="shared" si="255"/>
        <v>22352.501218258549</v>
      </c>
      <c r="BE225" s="566">
        <f>VLOOKUP($A225,'01-02.2021'!$A$6:$CZ$403,57,FALSE)+VLOOKUP($A225,'1.3.21-28.2.22'!$A$6:$DA$404,57,FALSE)-VLOOKUP($A225,'01-02.2022'!$A$6:$DA$376,57,FALSE)</f>
        <v>10154.644381707045</v>
      </c>
      <c r="BF225" s="566">
        <f>VLOOKUP($A225,'01-02.2021'!$A$6:$CZ$403,58,FALSE)+VLOOKUP($A225,'1.3.21-28.2.22'!$A$6:$DA$404,58,FALSE)-VLOOKUP($A225,'01-02.2022'!$A$6:$DA$376,58,FALSE)</f>
        <v>1907.79</v>
      </c>
      <c r="BG225" s="55">
        <f t="shared" si="256"/>
        <v>-8246.8543817070458</v>
      </c>
      <c r="BH225" s="566">
        <f>VLOOKUP($A225,'01-02.2021'!$A$6:$CZ$403,60,FALSE)+VLOOKUP($A225,'1.3.21-28.2.22'!$A$6:$DA$404,60,FALSE)-VLOOKUP($A225,'01-02.2022'!$A$6:$DA$376,60,FALSE)</f>
        <v>4464.9254414743964</v>
      </c>
      <c r="BI225" s="566">
        <f>VLOOKUP($A225,'01-02.2021'!$A$6:$CZ$403,61,FALSE)+VLOOKUP($A225,'1.3.21-28.2.22'!$A$6:$DA$404,61,FALSE)-VLOOKUP($A225,'01-02.2022'!$A$6:$DA$376,61,FALSE)</f>
        <v>7255</v>
      </c>
      <c r="BJ225" s="55">
        <f t="shared" si="257"/>
        <v>2790.0745585256036</v>
      </c>
      <c r="BK225" s="566">
        <f>VLOOKUP($A225,'01-02.2021'!$A$6:$CZ$403,63,FALSE)+VLOOKUP($A225,'1.3.21-28.2.22'!$A$6:$DA$404,63,FALSE)-VLOOKUP($A225,'01-02.2022'!$A$6:$DA$376,63,FALSE)</f>
        <v>11858.954622090891</v>
      </c>
      <c r="BL225" s="566">
        <f>VLOOKUP($A225,'01-02.2021'!$A$6:$CZ$403,64,FALSE)+VLOOKUP($A225,'1.3.21-28.2.22'!$A$6:$DA$404,64,FALSE)-VLOOKUP($A225,'01-02.2022'!$A$6:$DA$376,64,FALSE)</f>
        <v>3405</v>
      </c>
      <c r="BM225" s="55">
        <f t="shared" si="258"/>
        <v>-8453.9546220908906</v>
      </c>
      <c r="BN225" s="566">
        <f>VLOOKUP($A225,'01-02.2021'!$A$6:$CZ$403,66,FALSE)+VLOOKUP($A225,'1.3.21-28.2.22'!$A$6:$DA$404,66,FALSE)-VLOOKUP($A225,'01-02.2022'!$A$6:$DA$376,66,FALSE)</f>
        <v>1239.293367084917</v>
      </c>
      <c r="BO225" s="566">
        <f>VLOOKUP($A225,'01-02.2021'!$A$6:$CZ$403,67,FALSE)+VLOOKUP($A225,'1.3.21-28.2.22'!$A$6:$DA$404,67,FALSE)-VLOOKUP($A225,'01-02.2022'!$A$6:$DA$376,67,FALSE)</f>
        <v>0</v>
      </c>
      <c r="BP225" s="55">
        <f t="shared" si="259"/>
        <v>-1239.293367084917</v>
      </c>
      <c r="BQ225" s="77">
        <f t="shared" si="209"/>
        <v>55328.812142365801</v>
      </c>
      <c r="BR225" s="40">
        <f t="shared" si="237"/>
        <v>56580.4</v>
      </c>
      <c r="BS225" s="55">
        <f t="shared" si="236"/>
        <v>1251.5878576342002</v>
      </c>
      <c r="BT225" s="566">
        <f>VLOOKUP($A225,'01-02.2021'!$A$6:$CZ$403,72,FALSE)+VLOOKUP($A225,'1.3.21-28.2.22'!$A$6:$DA$404,72,FALSE)-VLOOKUP($A225,'01-02.2022'!$A$6:$DA$376,72,FALSE)</f>
        <v>184848.89635901831</v>
      </c>
      <c r="BU225" s="566">
        <f>VLOOKUP($A225,'01-02.2021'!$A$6:$CZ$403,73,FALSE)+VLOOKUP($A225,'1.3.21-28.2.22'!$A$6:$DA$404,73,FALSE)-VLOOKUP($A225,'01-02.2022'!$A$6:$DA$376,73,FALSE)</f>
        <v>178920.45616210587</v>
      </c>
      <c r="BV225" s="70">
        <f t="shared" si="260"/>
        <v>-5928.4401969124447</v>
      </c>
      <c r="BW225" s="566">
        <f>VLOOKUP($A225,'01-02.2021'!$A$6:$CZ$403,75,FALSE)+VLOOKUP($A225,'1.3.21-28.2.22'!$A$6:$DA$404,75,FALSE)-VLOOKUP($A225,'01-02.2022'!$A$6:$DA$376,75,FALSE)</f>
        <v>116313.01314917018</v>
      </c>
      <c r="BX225" s="566">
        <f>VLOOKUP($A225,'01-02.2021'!$A$6:$CZ$403,76,FALSE)+VLOOKUP($A225,'1.3.21-28.2.22'!$A$6:$DA$404,76,FALSE)-VLOOKUP($A225,'01-02.2022'!$A$6:$DA$376,76,FALSE)</f>
        <v>113887.79871148843</v>
      </c>
      <c r="BY225" s="70">
        <f t="shared" si="261"/>
        <v>-2425.214437681745</v>
      </c>
      <c r="BZ225" s="566">
        <f>VLOOKUP($A225,'01-02.2021'!$A$6:$CZ$403,78,FALSE)+VLOOKUP($A225,'1.3.21-28.2.22'!$A$6:$DA$404,78,FALSE)-VLOOKUP($A225,'01-02.2022'!$A$6:$DA$376,78,FALSE)</f>
        <v>31703.452503859022</v>
      </c>
      <c r="CA225" s="566">
        <f>VLOOKUP($A225,'01-02.2021'!$A$6:$CZ$403,79,FALSE)+VLOOKUP($A225,'1.3.21-28.2.22'!$A$6:$DA$404,79,FALSE)-VLOOKUP($A225,'01-02.2022'!$A$6:$DA$376,79,FALSE)</f>
        <v>34768.930313756166</v>
      </c>
      <c r="CB225" s="70">
        <f t="shared" si="262"/>
        <v>3065.4778098971437</v>
      </c>
      <c r="CC225" s="566">
        <f>VLOOKUP($A225,'01-02.2021'!$A$6:$CZ$403,81,FALSE)+VLOOKUP($A225,'1.3.21-28.2.22'!$A$6:$DA$404,81,FALSE)-VLOOKUP($A225,'01-02.2022'!$A$6:$DA$376,81,FALSE)</f>
        <v>1962.2918912222251</v>
      </c>
      <c r="CD225" s="566">
        <f>VLOOKUP($A225,'01-02.2021'!$A$6:$CZ$403,82,FALSE)+VLOOKUP($A225,'1.3.21-28.2.22'!$A$6:$DA$404,82,FALSE)-VLOOKUP($A225,'01-02.2022'!$A$6:$DA$376,82,FALSE)</f>
        <v>2084.2430506340816</v>
      </c>
      <c r="CE225" s="70">
        <f t="shared" si="263"/>
        <v>121.95115941185645</v>
      </c>
      <c r="CF225" s="566">
        <f>VLOOKUP($A225,'01-02.2021'!$A$6:$CZ$403,84,FALSE)+VLOOKUP($A225,'1.3.21-28.2.22'!$A$6:$DA$404,84,FALSE)-VLOOKUP($A225,'01-02.2022'!$A$6:$DA$376,84,FALSE)</f>
        <v>231.82460613081378</v>
      </c>
      <c r="CG225" s="566">
        <f>VLOOKUP($A225,'01-02.2021'!$A$6:$CZ$403,85,FALSE)+VLOOKUP($A225,'1.3.21-28.2.22'!$A$6:$DA$404,85,FALSE)-VLOOKUP($A225,'01-02.2022'!$A$6:$DA$376,85,FALSE)</f>
        <v>0</v>
      </c>
      <c r="CH225" s="70">
        <f t="shared" si="264"/>
        <v>-231.82460613081378</v>
      </c>
      <c r="CI225" s="566">
        <f>VLOOKUP($A225,'01-02.2021'!$A$6:$CZ$403,87,FALSE)+VLOOKUP($A225,'1.3.21-28.2.22'!$A$6:$DA$404,87,FALSE)-VLOOKUP($A225,'01-02.2022'!$A$6:$DA$376,87,FALSE)</f>
        <v>26808.887168204757</v>
      </c>
      <c r="CJ225" s="566">
        <f>VLOOKUP($A225,'01-02.2021'!$A$6:$CZ$403,88,FALSE)+VLOOKUP($A225,'1.3.21-28.2.22'!$A$6:$DA$404,88,FALSE)-VLOOKUP($A225,'01-02.2022'!$A$6:$DA$376,88,FALSE)</f>
        <v>20086.318678030551</v>
      </c>
      <c r="CK225" s="70">
        <f t="shared" si="265"/>
        <v>-6722.5684901742061</v>
      </c>
      <c r="CL225" s="566">
        <f>VLOOKUP($A225,'01-02.2021'!$A$6:$CZ$403,90,FALSE)+VLOOKUP($A225,'1.3.21-28.2.22'!$A$6:$DA$404,90,FALSE)-VLOOKUP($A225,'01-02.2022'!$A$6:$DA$376,90,FALSE)</f>
        <v>17391.390625771219</v>
      </c>
      <c r="CM225" s="566">
        <f>VLOOKUP($A225,'01-02.2021'!$A$6:$CZ$403,91,FALSE)+VLOOKUP($A225,'1.3.21-28.2.22'!$A$6:$DA$404,91,FALSE)-VLOOKUP($A225,'01-02.2022'!$A$6:$DA$376,91,FALSE)</f>
        <v>17807.155515746745</v>
      </c>
      <c r="CN225" s="52">
        <f t="shared" si="225"/>
        <v>415.76488997552588</v>
      </c>
      <c r="CO225" s="39">
        <f t="shared" si="220"/>
        <v>44200.277793975976</v>
      </c>
      <c r="CP225" s="40">
        <f t="shared" si="226"/>
        <v>37893.474193777292</v>
      </c>
      <c r="CQ225" s="52">
        <f t="shared" si="227"/>
        <v>-6306.8036001986839</v>
      </c>
      <c r="CR225" s="72">
        <f t="shared" si="221"/>
        <v>917089.42968311161</v>
      </c>
      <c r="CS225" s="5">
        <f t="shared" si="221"/>
        <v>1005289.1217012503</v>
      </c>
      <c r="CT225" s="52">
        <f t="shared" si="228"/>
        <v>88199.69201813871</v>
      </c>
      <c r="CU225" s="77">
        <f t="shared" si="229"/>
        <v>1100507.3156197339</v>
      </c>
      <c r="CV225" s="65">
        <f t="shared" si="230"/>
        <v>1206346.9460415004</v>
      </c>
      <c r="CW225" s="35">
        <f t="shared" si="231"/>
        <v>105839.63042176655</v>
      </c>
      <c r="CX225" s="566">
        <f>VLOOKUP($A225,'01-02.2021'!$A$6:$CZ$403,102,FALSE)+VLOOKUP($A225,'1.3.21-28.2.22'!$A$6:$DA$404,102,FALSE)-VLOOKUP($A225,'01-02.2022'!$A$6:$DA$376,102,FALSE)</f>
        <v>31448.153906501317</v>
      </c>
      <c r="CY225" s="566">
        <f>VLOOKUP($A225,'01-02.2021'!$A$6:$CZ$403,103,FALSE)+VLOOKUP($A225,'1.3.21-28.2.22'!$A$6:$DA$404,103,FALSE)-VLOOKUP($A225,'01-02.2022'!$A$6:$DA$376,103,FALSE)</f>
        <v>-74391.476515265123</v>
      </c>
      <c r="CZ225" s="52">
        <f t="shared" si="232"/>
        <v>-105839.63042176644</v>
      </c>
      <c r="DA225" s="150">
        <f>'[2]побудинковий звіт'!DA225</f>
        <v>182355.43547109907</v>
      </c>
      <c r="DB225" s="2">
        <v>1</v>
      </c>
      <c r="DC225" s="414">
        <f>'[4]побудинковий звіт'!DC225</f>
        <v>157692.34</v>
      </c>
      <c r="DD225" s="414">
        <f>'[4]побудинковий звіт'!DD225</f>
        <v>30479.379999999997</v>
      </c>
      <c r="DE225" s="557">
        <f>'[4]побудинковий звіт'!DE225</f>
        <v>59946.017997569623</v>
      </c>
      <c r="DF225" s="557">
        <f>'[4]побудинковий звіт'!DF225</f>
        <v>26296.99644440999</v>
      </c>
      <c r="DG225" s="321">
        <f>VLOOKUP(A225,'кошти 01.03.2021'!$A$6:$D$401,4,)</f>
        <v>78935.220573127852</v>
      </c>
      <c r="DH225" s="40">
        <f>'[3]побудинковий звіт'!DJ225</f>
        <v>1167824.0535633899</v>
      </c>
      <c r="DI225" s="422">
        <f>'[3]побудинковий звіт'!CU225+'[3]побудинковий звіт'!CX225</f>
        <v>101928.70555802036</v>
      </c>
      <c r="DJ225" s="306">
        <f>'[3]побудинковий звіт'!DM225</f>
        <v>5.8029918821323241</v>
      </c>
      <c r="DK225" s="306">
        <f>'[3]побудинковий звіт'!DN225</f>
        <v>6.785891222453202</v>
      </c>
      <c r="DL225" s="306">
        <f>'[3]побудинковий звіт'!DO225</f>
        <v>4.8876750678859526</v>
      </c>
      <c r="DM225" s="28">
        <f t="shared" si="286"/>
        <v>97746.322002430374</v>
      </c>
      <c r="DN225" s="28">
        <f>DL225*H225</f>
        <v>4182.3835555900096</v>
      </c>
      <c r="DO225" s="423">
        <f t="shared" si="238"/>
        <v>101928.70555802039</v>
      </c>
      <c r="DP225" s="94">
        <f t="shared" si="239"/>
        <v>0</v>
      </c>
      <c r="DQ225" s="28">
        <f t="shared" si="240"/>
        <v>101928.70555802039</v>
      </c>
      <c r="DR225" s="318"/>
      <c r="DT225" s="8"/>
      <c r="DU225" s="5"/>
      <c r="DX225" s="5">
        <f t="shared" si="241"/>
        <v>280012.75764839287</v>
      </c>
      <c r="DY225" s="5">
        <f t="shared" si="242"/>
        <v>418389.0284064411</v>
      </c>
      <c r="DZ225" s="159">
        <f>'[3]побудинковий звіт'!EA225</f>
        <v>25405.644724406673</v>
      </c>
    </row>
    <row r="226" spans="1:130" x14ac:dyDescent="0.3">
      <c r="A226" s="325">
        <v>150000925</v>
      </c>
      <c r="B226" s="41" t="s">
        <v>673</v>
      </c>
      <c r="C226" s="42" t="s">
        <v>177</v>
      </c>
      <c r="D226" s="42"/>
      <c r="E226" s="293">
        <f t="shared" si="218"/>
        <v>479.4</v>
      </c>
      <c r="F226" s="305">
        <f>'[3]побудинковий звіт'!F226</f>
        <v>366</v>
      </c>
      <c r="G226" s="508">
        <f>'[3]побудинковий звіт'!G226</f>
        <v>0</v>
      </c>
      <c r="H226" s="560">
        <f>'[3]побудинковий звіт'!H226</f>
        <v>113.4</v>
      </c>
      <c r="I226" s="566">
        <f>VLOOKUP($A226,'01-02.2021'!$A$6:$CZ$403,9,FALSE)+VLOOKUP($A226,'1.3.21-28.2.22'!$A$6:$DA$404,9,FALSE)-VLOOKUP($A226,'01-02.2022'!$A$6:$DA$376,9,FALSE)</f>
        <v>2244.4106521353647</v>
      </c>
      <c r="J226" s="566">
        <f>VLOOKUP($A226,'01-02.2021'!$A$6:$CZ$403,10,FALSE)+VLOOKUP($A226,'1.3.21-28.2.22'!$A$6:$DA$404,10,FALSE)-VLOOKUP($A226,'01-02.2022'!$A$6:$DA$376,10,FALSE)</f>
        <v>2411.1960697468417</v>
      </c>
      <c r="K226" s="52">
        <f t="shared" si="222"/>
        <v>166.78541761147699</v>
      </c>
      <c r="L226" s="566">
        <f>VLOOKUP($A226,'01-02.2021'!$A$6:$CZ$403,12,FALSE)+VLOOKUP($A226,'1.3.21-28.2.22'!$A$6:$DA$404,12,FALSE)-VLOOKUP($A226,'01-02.2022'!$A$6:$DA$376,12,FALSE)</f>
        <v>522.9712303323023</v>
      </c>
      <c r="M226" s="566">
        <f>VLOOKUP($A226,'01-02.2021'!$A$6:$CZ$403,13,FALSE)+VLOOKUP($A226,'1.3.21-28.2.22'!$A$6:$DA$404,13,FALSE)-VLOOKUP($A226,'01-02.2022'!$A$6:$DA$376,13,FALSE)</f>
        <v>575.81363310300401</v>
      </c>
      <c r="N226" s="52">
        <f t="shared" si="223"/>
        <v>52.84240277070171</v>
      </c>
      <c r="O226" s="566">
        <f>VLOOKUP($A226,'01-02.2021'!$A$6:$CZ$403,15,FALSE)+VLOOKUP($A226,'1.3.21-28.2.22'!$A$6:$DA$404,15,FALSE)-VLOOKUP($A226,'01-02.2022'!$A$6:$DA$376,15,FALSE)</f>
        <v>527.22796436490012</v>
      </c>
      <c r="P226" s="566">
        <f>VLOOKUP($A226,'01-02.2021'!$A$6:$CZ$403,16,FALSE)+VLOOKUP($A226,'1.3.21-28.2.22'!$A$6:$DA$404,16,FALSE)-VLOOKUP($A226,'01-02.2022'!$A$6:$DA$376,16,FALSE)</f>
        <v>527.20999999999992</v>
      </c>
      <c r="Q226" s="70">
        <f t="shared" si="243"/>
        <v>-1.7964364900194596E-2</v>
      </c>
      <c r="R226" s="566">
        <f>VLOOKUP($A226,'01-02.2021'!$A$6:$CZ$403,18,FALSE)+VLOOKUP($A226,'1.3.21-28.2.22'!$A$6:$DA$404,18,FALSE)-VLOOKUP($A226,'01-02.2022'!$A$6:$DA$376,18,FALSE)</f>
        <v>0</v>
      </c>
      <c r="S226" s="566">
        <f>VLOOKUP($A226,'01-02.2021'!$A$6:$CZ$403,19,FALSE)+VLOOKUP($A226,'1.3.21-28.2.22'!$A$6:$DA$404,19,FALSE)-VLOOKUP($A226,'01-02.2022'!$A$6:$DA$376,19,FALSE)</f>
        <v>0</v>
      </c>
      <c r="T226" s="70">
        <f t="shared" si="244"/>
        <v>0</v>
      </c>
      <c r="U226" s="566">
        <f>VLOOKUP($A226,'01-02.2021'!$A$6:$CZ$403,21,FALSE)+VLOOKUP($A226,'1.3.21-28.2.22'!$A$6:$DA$404,21,FALSE)-VLOOKUP($A226,'01-02.2022'!$A$6:$DA$376,21,FALSE)</f>
        <v>0</v>
      </c>
      <c r="V226" s="566">
        <f>VLOOKUP($A226,'01-02.2021'!$A$6:$CZ$403,22,FALSE)+VLOOKUP($A226,'1.3.21-28.2.22'!$A$6:$DA$404,22,FALSE)-VLOOKUP($A226,'01-02.2022'!$A$6:$DA$376,22,FALSE)</f>
        <v>0</v>
      </c>
      <c r="W226" s="70">
        <f t="shared" si="245"/>
        <v>0</v>
      </c>
      <c r="X226" s="566">
        <f>VLOOKUP($A226,'01-02.2021'!$A$6:$CZ$403,24,FALSE)+VLOOKUP($A226,'1.3.21-28.2.22'!$A$6:$DA$404,24,FALSE)-VLOOKUP($A226,'01-02.2022'!$A$6:$DA$376,24,FALSE)</f>
        <v>1030.561537846183</v>
      </c>
      <c r="Y226" s="566">
        <f>VLOOKUP($A226,'01-02.2021'!$A$6:$CZ$403,25,FALSE)+VLOOKUP($A226,'1.3.21-28.2.22'!$A$6:$DA$404,25,FALSE)-VLOOKUP($A226,'01-02.2022'!$A$6:$DA$376,25,FALSE)</f>
        <v>953.62069002983651</v>
      </c>
      <c r="Z226" s="70">
        <f t="shared" si="246"/>
        <v>-76.940847816346491</v>
      </c>
      <c r="AA226" s="566">
        <f>VLOOKUP($A226,'01-02.2021'!$A$6:$CZ$403,27,FALSE)+VLOOKUP($A226,'1.3.21-28.2.22'!$A$6:$DA$404,27,FALSE)-VLOOKUP($A226,'01-02.2022'!$A$6:$DA$376,27,FALSE)</f>
        <v>84.960000000000008</v>
      </c>
      <c r="AB226" s="566">
        <f>VLOOKUP($A226,'01-02.2021'!$A$6:$CZ$403,28,FALSE)+VLOOKUP($A226,'1.3.21-28.2.22'!$A$6:$DA$404,28,FALSE)-VLOOKUP($A226,'01-02.2022'!$A$6:$DA$376,28,FALSE)</f>
        <v>0</v>
      </c>
      <c r="AC226" s="70">
        <f t="shared" si="247"/>
        <v>-84.960000000000008</v>
      </c>
      <c r="AD226" s="566">
        <f>VLOOKUP($A226,'01-02.2021'!$A$6:$CZ$403,30,FALSE)+VLOOKUP($A226,'1.3.21-28.2.22'!$A$6:$DA$404,30,FALSE)-VLOOKUP($A226,'01-02.2022'!$A$6:$DA$376,30,FALSE)</f>
        <v>1954.9198960960293</v>
      </c>
      <c r="AE226" s="566">
        <f>VLOOKUP($A226,'01-02.2021'!$A$6:$CZ$403,31,FALSE)+VLOOKUP($A226,'1.3.21-28.2.22'!$A$6:$DA$404,31,FALSE)-VLOOKUP($A226,'01-02.2022'!$A$6:$DA$376,31,FALSE)</f>
        <v>2181.5458277580242</v>
      </c>
      <c r="AF226" s="68">
        <f t="shared" si="248"/>
        <v>226.62593166199485</v>
      </c>
      <c r="AG226" s="77">
        <f t="shared" si="219"/>
        <v>6365.0512807747791</v>
      </c>
      <c r="AH226" s="53">
        <f t="shared" si="219"/>
        <v>6649.3862206377071</v>
      </c>
      <c r="AI226" s="52">
        <f t="shared" si="224"/>
        <v>284.33493986292797</v>
      </c>
      <c r="AJ226" s="566">
        <f>VLOOKUP($A226,'01-02.2021'!$A$6:$CZ$403,36,FALSE)+VLOOKUP($A226,'1.3.21-28.2.22'!$A$6:$DA$404,36,FALSE)-VLOOKUP($A226,'01-02.2022'!$A$6:$DA$376,36,FALSE)</f>
        <v>0</v>
      </c>
      <c r="AK226" s="566">
        <f>VLOOKUP($A226,'01-02.2021'!$A$6:$CZ$403,37,FALSE)+VLOOKUP($A226,'1.3.21-28.2.22'!$A$6:$DA$404,37,FALSE)-VLOOKUP($A226,'01-02.2022'!$A$6:$DA$376,37,FALSE)</f>
        <v>0</v>
      </c>
      <c r="AL226" s="70">
        <f t="shared" si="249"/>
        <v>0</v>
      </c>
      <c r="AM226" s="566">
        <f>VLOOKUP($A226,'01-02.2021'!$A$6:$CZ$403,39,FALSE)+VLOOKUP($A226,'1.3.21-28.2.22'!$A$6:$DA$404,39,FALSE)-VLOOKUP($A226,'01-02.2022'!$A$6:$DA$376,39,FALSE)</f>
        <v>0</v>
      </c>
      <c r="AN226" s="566">
        <f>VLOOKUP($A226,'01-02.2021'!$A$6:$CZ$403,40,FALSE)+VLOOKUP($A226,'1.3.21-28.2.22'!$A$6:$DA$404,40,FALSE)-VLOOKUP($A226,'01-02.2022'!$A$6:$DA$376,40,FALSE)</f>
        <v>0</v>
      </c>
      <c r="AO226" s="70">
        <f t="shared" si="250"/>
        <v>0</v>
      </c>
      <c r="AP226" s="566">
        <f>VLOOKUP($A226,'01-02.2021'!$A$6:$CZ$403,42,FALSE)+VLOOKUP($A226,'1.3.21-28.2.22'!$A$6:$DA$404,42,FALSE)-VLOOKUP($A226,'01-02.2022'!$A$6:$DA$376,42,FALSE)</f>
        <v>780.83988751916593</v>
      </c>
      <c r="AQ226" s="566">
        <f>VLOOKUP($A226,'01-02.2021'!$A$6:$CZ$403,43,FALSE)+VLOOKUP($A226,'1.3.21-28.2.22'!$A$6:$DA$404,43,FALSE)-VLOOKUP($A226,'01-02.2022'!$A$6:$DA$376,43,FALSE)</f>
        <v>617.59875122971039</v>
      </c>
      <c r="AR226" s="70">
        <f t="shared" si="251"/>
        <v>-163.24113628945554</v>
      </c>
      <c r="AS226" s="566">
        <f>VLOOKUP($A226,'01-02.2021'!$A$6:$CZ$403,45,FALSE)+VLOOKUP($A226,'1.3.21-28.2.22'!$A$6:$DA$404,45,FALSE)-VLOOKUP($A226,'01-02.2022'!$A$6:$DA$376,45,FALSE)</f>
        <v>6584.8308561224976</v>
      </c>
      <c r="AT226" s="566">
        <f>VLOOKUP($A226,'01-02.2021'!$A$6:$CZ$403,46,FALSE)+VLOOKUP($A226,'1.3.21-28.2.22'!$A$6:$DA$404,46,FALSE)-VLOOKUP($A226,'01-02.2022'!$A$6:$DA$376,46,FALSE)</f>
        <v>8340</v>
      </c>
      <c r="AU226" s="78">
        <f t="shared" si="252"/>
        <v>1755.1691438775024</v>
      </c>
      <c r="AV226" s="566">
        <f>VLOOKUP($A226,'01-02.2021'!$A$6:$CZ$403,48,FALSE)+VLOOKUP($A226,'1.3.21-28.2.22'!$A$6:$DA$404,48,FALSE)-VLOOKUP($A226,'01-02.2022'!$A$6:$DA$376,48,FALSE)</f>
        <v>710.50513965000209</v>
      </c>
      <c r="AW226" s="566">
        <f>VLOOKUP($A226,'01-02.2021'!$A$6:$CZ$403,49,FALSE)+VLOOKUP($A226,'1.3.21-28.2.22'!$A$6:$DA$404,49,FALSE)-VLOOKUP($A226,'01-02.2022'!$A$6:$DA$376,49,FALSE)</f>
        <v>0</v>
      </c>
      <c r="AX226" s="55">
        <f t="shared" si="253"/>
        <v>-710.50513965000209</v>
      </c>
      <c r="AY226" s="566">
        <f>VLOOKUP($A226,'01-02.2021'!$A$6:$CZ$403,51,FALSE)+VLOOKUP($A226,'1.3.21-28.2.22'!$A$6:$DA$404,51,FALSE)-VLOOKUP($A226,'01-02.2022'!$A$6:$DA$376,51,FALSE)</f>
        <v>983.23028958029101</v>
      </c>
      <c r="AZ226" s="566">
        <f>VLOOKUP($A226,'01-02.2021'!$A$6:$CZ$403,52,FALSE)+VLOOKUP($A226,'1.3.21-28.2.22'!$A$6:$DA$404,52,FALSE)-VLOOKUP($A226,'01-02.2022'!$A$6:$DA$376,52,FALSE)</f>
        <v>0</v>
      </c>
      <c r="BA226" s="38">
        <f t="shared" si="254"/>
        <v>-983.23028958029101</v>
      </c>
      <c r="BB226" s="566">
        <f>VLOOKUP($A226,'01-02.2021'!$A$6:$CZ$403,54,FALSE)+VLOOKUP($A226,'1.3.21-28.2.22'!$A$6:$DA$404,54,FALSE)-VLOOKUP($A226,'01-02.2022'!$A$6:$DA$376,54,FALSE)</f>
        <v>262.27332094553998</v>
      </c>
      <c r="BC226" s="566">
        <f>VLOOKUP($A226,'01-02.2021'!$A$6:$CZ$403,55,FALSE)+VLOOKUP($A226,'1.3.21-28.2.22'!$A$6:$DA$404,55,FALSE)-VLOOKUP($A226,'01-02.2022'!$A$6:$DA$376,55,FALSE)</f>
        <v>0</v>
      </c>
      <c r="BD226" s="55">
        <f t="shared" si="255"/>
        <v>-262.27332094553998</v>
      </c>
      <c r="BE226" s="566">
        <f>VLOOKUP($A226,'01-02.2021'!$A$6:$CZ$403,57,FALSE)+VLOOKUP($A226,'1.3.21-28.2.22'!$A$6:$DA$404,57,FALSE)-VLOOKUP($A226,'01-02.2022'!$A$6:$DA$376,57,FALSE)</f>
        <v>0</v>
      </c>
      <c r="BF226" s="566">
        <f>VLOOKUP($A226,'01-02.2021'!$A$6:$CZ$403,58,FALSE)+VLOOKUP($A226,'1.3.21-28.2.22'!$A$6:$DA$404,58,FALSE)-VLOOKUP($A226,'01-02.2022'!$A$6:$DA$376,58,FALSE)</f>
        <v>0</v>
      </c>
      <c r="BG226" s="55">
        <f t="shared" si="256"/>
        <v>0</v>
      </c>
      <c r="BH226" s="566">
        <f>VLOOKUP($A226,'01-02.2021'!$A$6:$CZ$403,60,FALSE)+VLOOKUP($A226,'1.3.21-28.2.22'!$A$6:$DA$404,60,FALSE)-VLOOKUP($A226,'01-02.2022'!$A$6:$DA$376,60,FALSE)</f>
        <v>0</v>
      </c>
      <c r="BI226" s="566">
        <f>VLOOKUP($A226,'01-02.2021'!$A$6:$CZ$403,61,FALSE)+VLOOKUP($A226,'1.3.21-28.2.22'!$A$6:$DA$404,61,FALSE)-VLOOKUP($A226,'01-02.2022'!$A$6:$DA$376,61,FALSE)</f>
        <v>0</v>
      </c>
      <c r="BJ226" s="55">
        <f t="shared" si="257"/>
        <v>0</v>
      </c>
      <c r="BK226" s="566">
        <f>VLOOKUP($A226,'01-02.2021'!$A$6:$CZ$403,63,FALSE)+VLOOKUP($A226,'1.3.21-28.2.22'!$A$6:$DA$404,63,FALSE)-VLOOKUP($A226,'01-02.2022'!$A$6:$DA$376,63,FALSE)</f>
        <v>104.41205811104427</v>
      </c>
      <c r="BL226" s="566">
        <f>VLOOKUP($A226,'01-02.2021'!$A$6:$CZ$403,64,FALSE)+VLOOKUP($A226,'1.3.21-28.2.22'!$A$6:$DA$404,64,FALSE)-VLOOKUP($A226,'01-02.2022'!$A$6:$DA$376,64,FALSE)</f>
        <v>704</v>
      </c>
      <c r="BM226" s="55">
        <f t="shared" si="258"/>
        <v>599.5879418889557</v>
      </c>
      <c r="BN226" s="566">
        <f>VLOOKUP($A226,'01-02.2021'!$A$6:$CZ$403,66,FALSE)+VLOOKUP($A226,'1.3.21-28.2.22'!$A$6:$DA$404,66,FALSE)-VLOOKUP($A226,'01-02.2022'!$A$6:$DA$376,66,FALSE)</f>
        <v>21.240000000000002</v>
      </c>
      <c r="BO226" s="566">
        <f>VLOOKUP($A226,'01-02.2021'!$A$6:$CZ$403,67,FALSE)+VLOOKUP($A226,'1.3.21-28.2.22'!$A$6:$DA$404,67,FALSE)-VLOOKUP($A226,'01-02.2022'!$A$6:$DA$376,67,FALSE)</f>
        <v>0</v>
      </c>
      <c r="BP226" s="55">
        <f t="shared" si="259"/>
        <v>-21.240000000000002</v>
      </c>
      <c r="BQ226" s="77">
        <f t="shared" si="209"/>
        <v>2081.660808286877</v>
      </c>
      <c r="BR226" s="40">
        <f t="shared" si="237"/>
        <v>704</v>
      </c>
      <c r="BS226" s="55">
        <f t="shared" si="236"/>
        <v>-1377.660808286877</v>
      </c>
      <c r="BT226" s="566">
        <f>VLOOKUP($A226,'01-02.2021'!$A$6:$CZ$403,72,FALSE)+VLOOKUP($A226,'1.3.21-28.2.22'!$A$6:$DA$404,72,FALSE)-VLOOKUP($A226,'01-02.2022'!$A$6:$DA$376,72,FALSE)</f>
        <v>5377.1595806762471</v>
      </c>
      <c r="BU226" s="566">
        <f>VLOOKUP($A226,'01-02.2021'!$A$6:$CZ$403,73,FALSE)+VLOOKUP($A226,'1.3.21-28.2.22'!$A$6:$DA$404,73,FALSE)-VLOOKUP($A226,'01-02.2022'!$A$6:$DA$376,73,FALSE)</f>
        <v>6545.319296962607</v>
      </c>
      <c r="BV226" s="70">
        <f t="shared" si="260"/>
        <v>1168.15971628636</v>
      </c>
      <c r="BW226" s="566">
        <f>VLOOKUP($A226,'01-02.2021'!$A$6:$CZ$403,75,FALSE)+VLOOKUP($A226,'1.3.21-28.2.22'!$A$6:$DA$404,75,FALSE)-VLOOKUP($A226,'01-02.2022'!$A$6:$DA$376,75,FALSE)</f>
        <v>1751.822964066713</v>
      </c>
      <c r="BX226" s="566">
        <f>VLOOKUP($A226,'01-02.2021'!$A$6:$CZ$403,76,FALSE)+VLOOKUP($A226,'1.3.21-28.2.22'!$A$6:$DA$404,76,FALSE)-VLOOKUP($A226,'01-02.2022'!$A$6:$DA$376,76,FALSE)</f>
        <v>2055.0281094703837</v>
      </c>
      <c r="BY226" s="70">
        <f t="shared" si="261"/>
        <v>303.20514540367071</v>
      </c>
      <c r="BZ226" s="566">
        <f>VLOOKUP($A226,'01-02.2021'!$A$6:$CZ$403,78,FALSE)+VLOOKUP($A226,'1.3.21-28.2.22'!$A$6:$DA$404,78,FALSE)-VLOOKUP($A226,'01-02.2022'!$A$6:$DA$376,78,FALSE)</f>
        <v>2459.0011613731003</v>
      </c>
      <c r="CA226" s="566">
        <f>VLOOKUP($A226,'01-02.2021'!$A$6:$CZ$403,79,FALSE)+VLOOKUP($A226,'1.3.21-28.2.22'!$A$6:$DA$404,79,FALSE)-VLOOKUP($A226,'01-02.2022'!$A$6:$DA$376,79,FALSE)</f>
        <v>937.83112621625946</v>
      </c>
      <c r="CB226" s="70">
        <f t="shared" si="262"/>
        <v>-1521.1700351568409</v>
      </c>
      <c r="CC226" s="566">
        <f>VLOOKUP($A226,'01-02.2021'!$A$6:$CZ$403,81,FALSE)+VLOOKUP($A226,'1.3.21-28.2.22'!$A$6:$DA$404,81,FALSE)-VLOOKUP($A226,'01-02.2022'!$A$6:$DA$376,81,FALSE)</f>
        <v>0</v>
      </c>
      <c r="CD226" s="566">
        <f>VLOOKUP($A226,'01-02.2021'!$A$6:$CZ$403,82,FALSE)+VLOOKUP($A226,'1.3.21-28.2.22'!$A$6:$DA$404,82,FALSE)-VLOOKUP($A226,'01-02.2022'!$A$6:$DA$376,82,FALSE)</f>
        <v>0</v>
      </c>
      <c r="CE226" s="70">
        <f t="shared" si="263"/>
        <v>0</v>
      </c>
      <c r="CF226" s="566">
        <f>VLOOKUP($A226,'01-02.2021'!$A$6:$CZ$403,84,FALSE)+VLOOKUP($A226,'1.3.21-28.2.22'!$A$6:$DA$404,84,FALSE)-VLOOKUP($A226,'01-02.2022'!$A$6:$DA$376,84,FALSE)</f>
        <v>0</v>
      </c>
      <c r="CG226" s="566">
        <f>VLOOKUP($A226,'01-02.2021'!$A$6:$CZ$403,85,FALSE)+VLOOKUP($A226,'1.3.21-28.2.22'!$A$6:$DA$404,85,FALSE)-VLOOKUP($A226,'01-02.2022'!$A$6:$DA$376,85,FALSE)</f>
        <v>0</v>
      </c>
      <c r="CH226" s="70">
        <f t="shared" si="264"/>
        <v>0</v>
      </c>
      <c r="CI226" s="566">
        <f>VLOOKUP($A226,'01-02.2021'!$A$6:$CZ$403,87,FALSE)+VLOOKUP($A226,'1.3.21-28.2.22'!$A$6:$DA$404,87,FALSE)-VLOOKUP($A226,'01-02.2022'!$A$6:$DA$376,87,FALSE)</f>
        <v>1673.8360574420697</v>
      </c>
      <c r="CJ226" s="566">
        <f>VLOOKUP($A226,'01-02.2021'!$A$6:$CZ$403,88,FALSE)+VLOOKUP($A226,'1.3.21-28.2.22'!$A$6:$DA$404,88,FALSE)-VLOOKUP($A226,'01-02.2022'!$A$6:$DA$376,88,FALSE)</f>
        <v>548.02327665693292</v>
      </c>
      <c r="CK226" s="70">
        <f t="shared" si="265"/>
        <v>-1125.8127807851367</v>
      </c>
      <c r="CL226" s="566">
        <f>VLOOKUP($A226,'01-02.2021'!$A$6:$CZ$403,90,FALSE)+VLOOKUP($A226,'1.3.21-28.2.22'!$A$6:$DA$404,90,FALSE)-VLOOKUP($A226,'01-02.2022'!$A$6:$DA$376,90,FALSE)</f>
        <v>0</v>
      </c>
      <c r="CM226" s="566">
        <f>VLOOKUP($A226,'01-02.2021'!$A$6:$CZ$403,91,FALSE)+VLOOKUP($A226,'1.3.21-28.2.22'!$A$6:$DA$404,91,FALSE)-VLOOKUP($A226,'01-02.2022'!$A$6:$DA$376,91,FALSE)</f>
        <v>0</v>
      </c>
      <c r="CN226" s="52">
        <f t="shared" si="225"/>
        <v>0</v>
      </c>
      <c r="CO226" s="39">
        <f t="shared" si="220"/>
        <v>1673.8360574420697</v>
      </c>
      <c r="CP226" s="40">
        <f t="shared" si="226"/>
        <v>548.02327665693292</v>
      </c>
      <c r="CQ226" s="52">
        <f t="shared" si="227"/>
        <v>-1125.8127807851367</v>
      </c>
      <c r="CR226" s="72">
        <f t="shared" si="221"/>
        <v>27074.20259626145</v>
      </c>
      <c r="CS226" s="5">
        <f t="shared" si="221"/>
        <v>26397.186781173601</v>
      </c>
      <c r="CT226" s="52">
        <f t="shared" si="228"/>
        <v>-677.01581508784875</v>
      </c>
      <c r="CU226" s="77">
        <f t="shared" si="229"/>
        <v>32489.043115513738</v>
      </c>
      <c r="CV226" s="65">
        <f t="shared" si="230"/>
        <v>31676.624137408318</v>
      </c>
      <c r="CW226" s="35">
        <f t="shared" si="231"/>
        <v>-812.41897810541923</v>
      </c>
      <c r="CX226" s="566">
        <f>VLOOKUP($A226,'01-02.2021'!$A$6:$CZ$403,102,FALSE)+VLOOKUP($A226,'1.3.21-28.2.22'!$A$6:$DA$404,102,FALSE)-VLOOKUP($A226,'01-02.2022'!$A$6:$DA$376,102,FALSE)</f>
        <v>1110.8013375555672</v>
      </c>
      <c r="CY226" s="566">
        <f>VLOOKUP($A226,'01-02.2021'!$A$6:$CZ$403,103,FALSE)+VLOOKUP($A226,'1.3.21-28.2.22'!$A$6:$DA$404,103,FALSE)-VLOOKUP($A226,'01-02.2022'!$A$6:$DA$376,103,FALSE)</f>
        <v>1923.2203156609949</v>
      </c>
      <c r="CZ226" s="52">
        <f t="shared" si="232"/>
        <v>812.41897810542764</v>
      </c>
      <c r="DA226" s="150">
        <f>'[2]побудинковий звіт'!DA226</f>
        <v>-7699.7480244097842</v>
      </c>
      <c r="DB226" s="2">
        <v>2</v>
      </c>
      <c r="DC226" s="414">
        <f>'[4]побудинковий звіт'!DC226</f>
        <v>2029.05</v>
      </c>
      <c r="DD226" s="414">
        <f>'[4]побудинковий звіт'!DD226</f>
        <v>9783.2999999999993</v>
      </c>
      <c r="DE226" s="557">
        <f>'[4]побудинковий звіт'!DE226</f>
        <v>-445.20183345939108</v>
      </c>
      <c r="DF226" s="557">
        <f>'[4]побудинковий звіт'!DF226</f>
        <v>9085.3474828443705</v>
      </c>
      <c r="DG226" s="321">
        <f>VLOOKUP(A226,'кошти 01.03.2021'!$A$6:$D$401,4,)</f>
        <v>-6674.9691151066145</v>
      </c>
      <c r="DH226" s="40">
        <f>'[3]побудинковий звіт'!DJ226</f>
        <v>35369.958690174069</v>
      </c>
      <c r="DI226" s="422">
        <f>'[3]побудинковий звіт'!CU226+'[3]побудинковий звіт'!CX226</f>
        <v>3172.2043506150198</v>
      </c>
      <c r="DJ226" s="306">
        <f>'[3]побудинковий звіт'!DM226</f>
        <v>6.7602509110912328</v>
      </c>
      <c r="DK226" s="306">
        <f>DJ226</f>
        <v>6.7602509110912328</v>
      </c>
      <c r="DL226" s="306">
        <f>'[3]побудинковий звіт'!DO226</f>
        <v>6.1547841019014857</v>
      </c>
      <c r="DM226" s="28">
        <f>F226*DJ226</f>
        <v>2474.251833459391</v>
      </c>
      <c r="DN226" s="28">
        <f>H226*DL226</f>
        <v>697.95251715562847</v>
      </c>
      <c r="DO226" s="423">
        <f t="shared" si="238"/>
        <v>3172.2043506150194</v>
      </c>
      <c r="DP226" s="94">
        <f t="shared" si="239"/>
        <v>0</v>
      </c>
      <c r="DQ226" s="28">
        <f t="shared" si="240"/>
        <v>3172.2043506150194</v>
      </c>
      <c r="DR226" s="318"/>
      <c r="DT226" s="8"/>
      <c r="DU226" s="5"/>
      <c r="DX226" s="5">
        <f t="shared" si="241"/>
        <v>10399.789997291251</v>
      </c>
      <c r="DY226" s="5">
        <f t="shared" si="242"/>
        <v>10852.8</v>
      </c>
      <c r="DZ226" s="159">
        <f>'[3]побудинковий звіт'!EA226</f>
        <v>866.37338530793602</v>
      </c>
    </row>
    <row r="227" spans="1:130" x14ac:dyDescent="0.3">
      <c r="A227" s="325">
        <v>150000939</v>
      </c>
      <c r="B227" s="41" t="s">
        <v>674</v>
      </c>
      <c r="C227" s="42" t="s">
        <v>337</v>
      </c>
      <c r="D227" s="42"/>
      <c r="E227" s="293">
        <f t="shared" si="218"/>
        <v>5138.55</v>
      </c>
      <c r="F227" s="305">
        <f>'[3]побудинковий звіт'!F227</f>
        <v>5138.55</v>
      </c>
      <c r="G227" s="508">
        <f>'[3]побудинковий звіт'!G227</f>
        <v>642.45000000000005</v>
      </c>
      <c r="H227" s="560">
        <f>'[3]побудинковий звіт'!H227</f>
        <v>0</v>
      </c>
      <c r="I227" s="566">
        <f>VLOOKUP($A227,'01-02.2021'!$A$6:$CZ$403,9,FALSE)+VLOOKUP($A227,'1.3.21-28.2.22'!$A$6:$DA$404,9,FALSE)-VLOOKUP($A227,'01-02.2022'!$A$6:$DA$376,9,FALSE)</f>
        <v>12635.864435595126</v>
      </c>
      <c r="J227" s="566">
        <f>VLOOKUP($A227,'01-02.2021'!$A$6:$CZ$403,10,FALSE)+VLOOKUP($A227,'1.3.21-28.2.22'!$A$6:$DA$404,10,FALSE)-VLOOKUP($A227,'01-02.2022'!$A$6:$DA$376,10,FALSE)</f>
        <v>11388.172235114876</v>
      </c>
      <c r="K227" s="52">
        <f t="shared" si="222"/>
        <v>-1247.6922004802491</v>
      </c>
      <c r="L227" s="566">
        <f>VLOOKUP($A227,'01-02.2021'!$A$6:$CZ$403,12,FALSE)+VLOOKUP($A227,'1.3.21-28.2.22'!$A$6:$DA$404,12,FALSE)-VLOOKUP($A227,'01-02.2022'!$A$6:$DA$376,12,FALSE)</f>
        <v>2238.5816473872655</v>
      </c>
      <c r="M227" s="566">
        <f>VLOOKUP($A227,'01-02.2021'!$A$6:$CZ$403,13,FALSE)+VLOOKUP($A227,'1.3.21-28.2.22'!$A$6:$DA$404,13,FALSE)-VLOOKUP($A227,'01-02.2022'!$A$6:$DA$376,13,FALSE)</f>
        <v>2028.9482931511141</v>
      </c>
      <c r="N227" s="52">
        <f t="shared" si="223"/>
        <v>-209.63335423615149</v>
      </c>
      <c r="O227" s="566">
        <f>VLOOKUP($A227,'01-02.2021'!$A$6:$CZ$403,15,FALSE)+VLOOKUP($A227,'1.3.21-28.2.22'!$A$6:$DA$404,15,FALSE)-VLOOKUP($A227,'01-02.2022'!$A$6:$DA$376,15,FALSE)</f>
        <v>7195.2265960654158</v>
      </c>
      <c r="P227" s="566">
        <f>VLOOKUP($A227,'01-02.2021'!$A$6:$CZ$403,16,FALSE)+VLOOKUP($A227,'1.3.21-28.2.22'!$A$6:$DA$404,16,FALSE)-VLOOKUP($A227,'01-02.2022'!$A$6:$DA$376,16,FALSE)</f>
        <v>7195.2199999999984</v>
      </c>
      <c r="Q227" s="70">
        <f t="shared" si="243"/>
        <v>-6.5960654173977673E-3</v>
      </c>
      <c r="R227" s="566">
        <f>VLOOKUP($A227,'01-02.2021'!$A$6:$CZ$403,18,FALSE)+VLOOKUP($A227,'1.3.21-28.2.22'!$A$6:$DA$404,18,FALSE)-VLOOKUP($A227,'01-02.2022'!$A$6:$DA$376,18,FALSE)</f>
        <v>1502.4820167002831</v>
      </c>
      <c r="S227" s="566">
        <f>VLOOKUP($A227,'01-02.2021'!$A$6:$CZ$403,19,FALSE)+VLOOKUP($A227,'1.3.21-28.2.22'!$A$6:$DA$404,19,FALSE)-VLOOKUP($A227,'01-02.2022'!$A$6:$DA$376,19,FALSE)</f>
        <v>1502.4799999999998</v>
      </c>
      <c r="T227" s="70">
        <f t="shared" si="244"/>
        <v>-2.0167002833204606E-3</v>
      </c>
      <c r="U227" s="566">
        <f>VLOOKUP($A227,'01-02.2021'!$A$6:$CZ$403,21,FALSE)+VLOOKUP($A227,'1.3.21-28.2.22'!$A$6:$DA$404,21,FALSE)-VLOOKUP($A227,'01-02.2022'!$A$6:$DA$376,21,FALSE)</f>
        <v>1937.9847970504063</v>
      </c>
      <c r="V227" s="566">
        <f>VLOOKUP($A227,'01-02.2021'!$A$6:$CZ$403,22,FALSE)+VLOOKUP($A227,'1.3.21-28.2.22'!$A$6:$DA$404,22,FALSE)-VLOOKUP($A227,'01-02.2022'!$A$6:$DA$376,22,FALSE)</f>
        <v>1262.5598716263703</v>
      </c>
      <c r="W227" s="70">
        <f t="shared" si="245"/>
        <v>-675.42492542403602</v>
      </c>
      <c r="X227" s="566">
        <f>VLOOKUP($A227,'01-02.2021'!$A$6:$CZ$403,24,FALSE)+VLOOKUP($A227,'1.3.21-28.2.22'!$A$6:$DA$404,24,FALSE)-VLOOKUP($A227,'01-02.2022'!$A$6:$DA$376,24,FALSE)</f>
        <v>7076.2524414422724</v>
      </c>
      <c r="Y227" s="566">
        <f>VLOOKUP($A227,'01-02.2021'!$A$6:$CZ$403,25,FALSE)+VLOOKUP($A227,'1.3.21-28.2.22'!$A$6:$DA$404,25,FALSE)-VLOOKUP($A227,'01-02.2022'!$A$6:$DA$376,25,FALSE)</f>
        <v>7657.8696362708661</v>
      </c>
      <c r="Z227" s="70">
        <f t="shared" si="246"/>
        <v>581.61719482859371</v>
      </c>
      <c r="AA227" s="566">
        <f>VLOOKUP($A227,'01-02.2021'!$A$6:$CZ$403,27,FALSE)+VLOOKUP($A227,'1.3.21-28.2.22'!$A$6:$DA$404,27,FALSE)-VLOOKUP($A227,'01-02.2022'!$A$6:$DA$376,27,FALSE)</f>
        <v>1028.28</v>
      </c>
      <c r="AB227" s="566">
        <f>VLOOKUP($A227,'01-02.2021'!$A$6:$CZ$403,28,FALSE)+VLOOKUP($A227,'1.3.21-28.2.22'!$A$6:$DA$404,28,FALSE)-VLOOKUP($A227,'01-02.2022'!$A$6:$DA$376,28,FALSE)</f>
        <v>0</v>
      </c>
      <c r="AC227" s="70">
        <f t="shared" si="247"/>
        <v>-1028.28</v>
      </c>
      <c r="AD227" s="566">
        <f>VLOOKUP($A227,'01-02.2021'!$A$6:$CZ$403,30,FALSE)+VLOOKUP($A227,'1.3.21-28.2.22'!$A$6:$DA$404,30,FALSE)-VLOOKUP($A227,'01-02.2022'!$A$6:$DA$376,30,FALSE)</f>
        <v>22076.632980020539</v>
      </c>
      <c r="AE227" s="566">
        <f>VLOOKUP($A227,'01-02.2021'!$A$6:$CZ$403,31,FALSE)+VLOOKUP($A227,'1.3.21-28.2.22'!$A$6:$DA$404,31,FALSE)-VLOOKUP($A227,'01-02.2022'!$A$6:$DA$376,31,FALSE)</f>
        <v>23397.558383037627</v>
      </c>
      <c r="AF227" s="68">
        <f t="shared" si="248"/>
        <v>1320.9254030170887</v>
      </c>
      <c r="AG227" s="77">
        <f t="shared" si="219"/>
        <v>55691.304914261302</v>
      </c>
      <c r="AH227" s="53">
        <f t="shared" si="219"/>
        <v>54432.808419200854</v>
      </c>
      <c r="AI227" s="52">
        <f t="shared" si="224"/>
        <v>-1258.4964950604481</v>
      </c>
      <c r="AJ227" s="566">
        <f>VLOOKUP($A227,'01-02.2021'!$A$6:$CZ$403,36,FALSE)+VLOOKUP($A227,'1.3.21-28.2.22'!$A$6:$DA$404,36,FALSE)-VLOOKUP($A227,'01-02.2022'!$A$6:$DA$376,36,FALSE)</f>
        <v>35185.374739587176</v>
      </c>
      <c r="AK227" s="566">
        <f>VLOOKUP($A227,'01-02.2021'!$A$6:$CZ$403,37,FALSE)+VLOOKUP($A227,'1.3.21-28.2.22'!$A$6:$DA$404,37,FALSE)-VLOOKUP($A227,'01-02.2022'!$A$6:$DA$376,37,FALSE)</f>
        <v>34954.64984614477</v>
      </c>
      <c r="AL227" s="70">
        <f t="shared" si="249"/>
        <v>-230.72489344240603</v>
      </c>
      <c r="AM227" s="566">
        <f>VLOOKUP($A227,'01-02.2021'!$A$6:$CZ$403,39,FALSE)+VLOOKUP($A227,'1.3.21-28.2.22'!$A$6:$DA$404,39,FALSE)-VLOOKUP($A227,'01-02.2022'!$A$6:$DA$376,39,FALSE)</f>
        <v>1050.749425</v>
      </c>
      <c r="AN227" s="566">
        <f>VLOOKUP($A227,'01-02.2021'!$A$6:$CZ$403,40,FALSE)+VLOOKUP($A227,'1.3.21-28.2.22'!$A$6:$DA$404,40,FALSE)-VLOOKUP($A227,'01-02.2022'!$A$6:$DA$376,40,FALSE)</f>
        <v>262.42166909619834</v>
      </c>
      <c r="AO227" s="70">
        <f t="shared" si="250"/>
        <v>-788.32775590380163</v>
      </c>
      <c r="AP227" s="566">
        <f>VLOOKUP($A227,'01-02.2021'!$A$6:$CZ$403,42,FALSE)+VLOOKUP($A227,'1.3.21-28.2.22'!$A$6:$DA$404,42,FALSE)-VLOOKUP($A227,'01-02.2022'!$A$6:$DA$376,42,FALSE)</f>
        <v>3470.3995000851833</v>
      </c>
      <c r="AQ227" s="566">
        <f>VLOOKUP($A227,'01-02.2021'!$A$6:$CZ$403,43,FALSE)+VLOOKUP($A227,'1.3.21-28.2.22'!$A$6:$DA$404,43,FALSE)-VLOOKUP($A227,'01-02.2022'!$A$6:$DA$376,43,FALSE)</f>
        <v>2758.7514336449976</v>
      </c>
      <c r="AR227" s="70">
        <f t="shared" si="251"/>
        <v>-711.64806644018563</v>
      </c>
      <c r="AS227" s="566">
        <f>VLOOKUP($A227,'01-02.2021'!$A$6:$CZ$403,45,FALSE)+VLOOKUP($A227,'1.3.21-28.2.22'!$A$6:$DA$404,45,FALSE)-VLOOKUP($A227,'01-02.2022'!$A$6:$DA$376,45,FALSE)</f>
        <v>65936.038063729982</v>
      </c>
      <c r="AT227" s="566">
        <f>VLOOKUP($A227,'01-02.2021'!$A$6:$CZ$403,46,FALSE)+VLOOKUP($A227,'1.3.21-28.2.22'!$A$6:$DA$404,46,FALSE)-VLOOKUP($A227,'01-02.2022'!$A$6:$DA$376,46,FALSE)</f>
        <v>138654.54999999999</v>
      </c>
      <c r="AU227" s="78">
        <f t="shared" si="252"/>
        <v>72718.511936270006</v>
      </c>
      <c r="AV227" s="566">
        <f>VLOOKUP($A227,'01-02.2021'!$A$6:$CZ$403,48,FALSE)+VLOOKUP($A227,'1.3.21-28.2.22'!$A$6:$DA$404,48,FALSE)-VLOOKUP($A227,'01-02.2022'!$A$6:$DA$376,48,FALSE)</f>
        <v>2566.332568662976</v>
      </c>
      <c r="AW227" s="566">
        <f>VLOOKUP($A227,'01-02.2021'!$A$6:$CZ$403,49,FALSE)+VLOOKUP($A227,'1.3.21-28.2.22'!$A$6:$DA$404,49,FALSE)-VLOOKUP($A227,'01-02.2022'!$A$6:$DA$376,49,FALSE)</f>
        <v>604.39</v>
      </c>
      <c r="AX227" s="55">
        <f t="shared" si="253"/>
        <v>-1961.9425686629761</v>
      </c>
      <c r="AY227" s="566">
        <f>VLOOKUP($A227,'01-02.2021'!$A$6:$CZ$403,51,FALSE)+VLOOKUP($A227,'1.3.21-28.2.22'!$A$6:$DA$404,51,FALSE)-VLOOKUP($A227,'01-02.2022'!$A$6:$DA$376,51,FALSE)</f>
        <v>2982.6737544317721</v>
      </c>
      <c r="AZ227" s="566">
        <f>VLOOKUP($A227,'01-02.2021'!$A$6:$CZ$403,52,FALSE)+VLOOKUP($A227,'1.3.21-28.2.22'!$A$6:$DA$404,52,FALSE)-VLOOKUP($A227,'01-02.2022'!$A$6:$DA$376,52,FALSE)</f>
        <v>4953</v>
      </c>
      <c r="BA227" s="38">
        <f t="shared" si="254"/>
        <v>1970.3262455682279</v>
      </c>
      <c r="BB227" s="566">
        <f>VLOOKUP($A227,'01-02.2021'!$A$6:$CZ$403,54,FALSE)+VLOOKUP($A227,'1.3.21-28.2.22'!$A$6:$DA$404,54,FALSE)-VLOOKUP($A227,'01-02.2022'!$A$6:$DA$376,54,FALSE)</f>
        <v>1789.9937527362158</v>
      </c>
      <c r="BC227" s="566">
        <f>VLOOKUP($A227,'01-02.2021'!$A$6:$CZ$403,55,FALSE)+VLOOKUP($A227,'1.3.21-28.2.22'!$A$6:$DA$404,55,FALSE)-VLOOKUP($A227,'01-02.2022'!$A$6:$DA$376,55,FALSE)</f>
        <v>0</v>
      </c>
      <c r="BD227" s="55">
        <f t="shared" si="255"/>
        <v>-1789.9937527362158</v>
      </c>
      <c r="BE227" s="566">
        <f>VLOOKUP($A227,'01-02.2021'!$A$6:$CZ$403,57,FALSE)+VLOOKUP($A227,'1.3.21-28.2.22'!$A$6:$DA$404,57,FALSE)-VLOOKUP($A227,'01-02.2022'!$A$6:$DA$376,57,FALSE)</f>
        <v>2871.4376460755811</v>
      </c>
      <c r="BF227" s="566">
        <f>VLOOKUP($A227,'01-02.2021'!$A$6:$CZ$403,58,FALSE)+VLOOKUP($A227,'1.3.21-28.2.22'!$A$6:$DA$404,58,FALSE)-VLOOKUP($A227,'01-02.2022'!$A$6:$DA$376,58,FALSE)</f>
        <v>440</v>
      </c>
      <c r="BG227" s="55">
        <f t="shared" si="256"/>
        <v>-2431.4376460755811</v>
      </c>
      <c r="BH227" s="566">
        <f>VLOOKUP($A227,'01-02.2021'!$A$6:$CZ$403,60,FALSE)+VLOOKUP($A227,'1.3.21-28.2.22'!$A$6:$DA$404,60,FALSE)-VLOOKUP($A227,'01-02.2022'!$A$6:$DA$376,60,FALSE)</f>
        <v>3415.5269963829628</v>
      </c>
      <c r="BI227" s="566">
        <f>VLOOKUP($A227,'01-02.2021'!$A$6:$CZ$403,61,FALSE)+VLOOKUP($A227,'1.3.21-28.2.22'!$A$6:$DA$404,61,FALSE)-VLOOKUP($A227,'01-02.2022'!$A$6:$DA$376,61,FALSE)</f>
        <v>0</v>
      </c>
      <c r="BJ227" s="55">
        <f t="shared" si="257"/>
        <v>-3415.5269963829628</v>
      </c>
      <c r="BK227" s="566">
        <f>VLOOKUP($A227,'01-02.2021'!$A$6:$CZ$403,63,FALSE)+VLOOKUP($A227,'1.3.21-28.2.22'!$A$6:$DA$404,63,FALSE)-VLOOKUP($A227,'01-02.2022'!$A$6:$DA$376,63,FALSE)</f>
        <v>1397.7366979336061</v>
      </c>
      <c r="BL227" s="566">
        <f>VLOOKUP($A227,'01-02.2021'!$A$6:$CZ$403,64,FALSE)+VLOOKUP($A227,'1.3.21-28.2.22'!$A$6:$DA$404,64,FALSE)-VLOOKUP($A227,'01-02.2022'!$A$6:$DA$376,64,FALSE)</f>
        <v>0</v>
      </c>
      <c r="BM227" s="55">
        <f t="shared" si="258"/>
        <v>-1397.7366979336061</v>
      </c>
      <c r="BN227" s="566">
        <f>VLOOKUP($A227,'01-02.2021'!$A$6:$CZ$403,66,FALSE)+VLOOKUP($A227,'1.3.21-28.2.22'!$A$6:$DA$404,66,FALSE)-VLOOKUP($A227,'01-02.2022'!$A$6:$DA$376,66,FALSE)</f>
        <v>518.43954092875288</v>
      </c>
      <c r="BO227" s="566">
        <f>VLOOKUP($A227,'01-02.2021'!$A$6:$CZ$403,67,FALSE)+VLOOKUP($A227,'1.3.21-28.2.22'!$A$6:$DA$404,67,FALSE)-VLOOKUP($A227,'01-02.2022'!$A$6:$DA$376,67,FALSE)</f>
        <v>0</v>
      </c>
      <c r="BP227" s="55">
        <f t="shared" si="259"/>
        <v>-518.43954092875288</v>
      </c>
      <c r="BQ227" s="77">
        <f t="shared" si="209"/>
        <v>15542.140957151867</v>
      </c>
      <c r="BR227" s="40">
        <f t="shared" si="237"/>
        <v>5997.39</v>
      </c>
      <c r="BS227" s="55">
        <f t="shared" si="236"/>
        <v>-9544.7509571518676</v>
      </c>
      <c r="BT227" s="566">
        <f>VLOOKUP($A227,'01-02.2021'!$A$6:$CZ$403,72,FALSE)+VLOOKUP($A227,'1.3.21-28.2.22'!$A$6:$DA$404,72,FALSE)-VLOOKUP($A227,'01-02.2022'!$A$6:$DA$376,72,FALSE)</f>
        <v>61129.385328916629</v>
      </c>
      <c r="BU227" s="566">
        <f>VLOOKUP($A227,'01-02.2021'!$A$6:$CZ$403,73,FALSE)+VLOOKUP($A227,'1.3.21-28.2.22'!$A$6:$DA$404,73,FALSE)-VLOOKUP($A227,'01-02.2022'!$A$6:$DA$376,73,FALSE)</f>
        <v>65989.589599721585</v>
      </c>
      <c r="BV227" s="70">
        <f t="shared" si="260"/>
        <v>4860.2042708049557</v>
      </c>
      <c r="BW227" s="566">
        <f>VLOOKUP($A227,'01-02.2021'!$A$6:$CZ$403,75,FALSE)+VLOOKUP($A227,'1.3.21-28.2.22'!$A$6:$DA$404,75,FALSE)-VLOOKUP($A227,'01-02.2022'!$A$6:$DA$376,75,FALSE)</f>
        <v>30740.31390504101</v>
      </c>
      <c r="BX227" s="566">
        <f>VLOOKUP($A227,'01-02.2021'!$A$6:$CZ$403,76,FALSE)+VLOOKUP($A227,'1.3.21-28.2.22'!$A$6:$DA$404,76,FALSE)-VLOOKUP($A227,'01-02.2022'!$A$6:$DA$376,76,FALSE)</f>
        <v>33145.87601062558</v>
      </c>
      <c r="BY227" s="70">
        <f t="shared" si="261"/>
        <v>2405.5621055845695</v>
      </c>
      <c r="BZ227" s="566">
        <f>VLOOKUP($A227,'01-02.2021'!$A$6:$CZ$403,78,FALSE)+VLOOKUP($A227,'1.3.21-28.2.22'!$A$6:$DA$404,78,FALSE)-VLOOKUP($A227,'01-02.2022'!$A$6:$DA$376,78,FALSE)</f>
        <v>16705.599454068404</v>
      </c>
      <c r="CA227" s="566">
        <f>VLOOKUP($A227,'01-02.2021'!$A$6:$CZ$403,79,FALSE)+VLOOKUP($A227,'1.3.21-28.2.22'!$A$6:$DA$404,79,FALSE)-VLOOKUP($A227,'01-02.2022'!$A$6:$DA$376,79,FALSE)</f>
        <v>15854.652427937332</v>
      </c>
      <c r="CB227" s="70">
        <f t="shared" si="262"/>
        <v>-850.94702613107256</v>
      </c>
      <c r="CC227" s="566">
        <f>VLOOKUP($A227,'01-02.2021'!$A$6:$CZ$403,81,FALSE)+VLOOKUP($A227,'1.3.21-28.2.22'!$A$6:$DA$404,81,FALSE)-VLOOKUP($A227,'01-02.2022'!$A$6:$DA$376,81,FALSE)</f>
        <v>1639.2715256904787</v>
      </c>
      <c r="CD227" s="566">
        <f>VLOOKUP($A227,'01-02.2021'!$A$6:$CZ$403,82,FALSE)+VLOOKUP($A227,'1.3.21-28.2.22'!$A$6:$DA$404,82,FALSE)-VLOOKUP($A227,'01-02.2022'!$A$6:$DA$376,82,FALSE)</f>
        <v>1786.4940434006417</v>
      </c>
      <c r="CE227" s="70">
        <f t="shared" si="263"/>
        <v>147.22251771016295</v>
      </c>
      <c r="CF227" s="566">
        <f>VLOOKUP($A227,'01-02.2021'!$A$6:$CZ$403,84,FALSE)+VLOOKUP($A227,'1.3.21-28.2.22'!$A$6:$DA$404,84,FALSE)-VLOOKUP($A227,'01-02.2022'!$A$6:$DA$376,84,FALSE)</f>
        <v>198.70680525498324</v>
      </c>
      <c r="CG227" s="566">
        <f>VLOOKUP($A227,'01-02.2021'!$A$6:$CZ$403,85,FALSE)+VLOOKUP($A227,'1.3.21-28.2.22'!$A$6:$DA$404,85,FALSE)-VLOOKUP($A227,'01-02.2022'!$A$6:$DA$376,85,FALSE)</f>
        <v>0</v>
      </c>
      <c r="CH227" s="70">
        <f t="shared" si="264"/>
        <v>-198.70680525498324</v>
      </c>
      <c r="CI227" s="566">
        <f>VLOOKUP($A227,'01-02.2021'!$A$6:$CZ$403,87,FALSE)+VLOOKUP($A227,'1.3.21-28.2.22'!$A$6:$DA$404,87,FALSE)-VLOOKUP($A227,'01-02.2022'!$A$6:$DA$376,87,FALSE)</f>
        <v>35039.023584659757</v>
      </c>
      <c r="CJ227" s="566">
        <f>VLOOKUP($A227,'01-02.2021'!$A$6:$CZ$403,88,FALSE)+VLOOKUP($A227,'1.3.21-28.2.22'!$A$6:$DA$404,88,FALSE)-VLOOKUP($A227,'01-02.2022'!$A$6:$DA$376,88,FALSE)</f>
        <v>22455.819275365062</v>
      </c>
      <c r="CK227" s="70">
        <f t="shared" si="265"/>
        <v>-12583.204309294695</v>
      </c>
      <c r="CL227" s="566">
        <f>VLOOKUP($A227,'01-02.2021'!$A$6:$CZ$403,90,FALSE)+VLOOKUP($A227,'1.3.21-28.2.22'!$A$6:$DA$404,90,FALSE)-VLOOKUP($A227,'01-02.2022'!$A$6:$DA$376,90,FALSE)</f>
        <v>8139.1945659313824</v>
      </c>
      <c r="CM227" s="566">
        <f>VLOOKUP($A227,'01-02.2021'!$A$6:$CZ$403,91,FALSE)+VLOOKUP($A227,'1.3.21-28.2.22'!$A$6:$DA$404,91,FALSE)-VLOOKUP($A227,'01-02.2022'!$A$6:$DA$376,91,FALSE)</f>
        <v>7752.4863309257053</v>
      </c>
      <c r="CN227" s="52">
        <f t="shared" si="225"/>
        <v>-386.70823500567712</v>
      </c>
      <c r="CO227" s="39">
        <f t="shared" si="220"/>
        <v>43178.218150591143</v>
      </c>
      <c r="CP227" s="40">
        <f t="shared" si="226"/>
        <v>30208.305606290767</v>
      </c>
      <c r="CQ227" s="52">
        <f t="shared" si="227"/>
        <v>-12969.912544300376</v>
      </c>
      <c r="CR227" s="72">
        <f t="shared" si="221"/>
        <v>330467.50276937819</v>
      </c>
      <c r="CS227" s="5">
        <f t="shared" si="221"/>
        <v>384045.48905606265</v>
      </c>
      <c r="CT227" s="52">
        <f t="shared" si="228"/>
        <v>53577.986286684463</v>
      </c>
      <c r="CU227" s="77">
        <f t="shared" si="229"/>
        <v>396561.00332325383</v>
      </c>
      <c r="CV227" s="65">
        <f t="shared" si="230"/>
        <v>460854.58686727518</v>
      </c>
      <c r="CW227" s="35">
        <f t="shared" si="231"/>
        <v>64293.583544021356</v>
      </c>
      <c r="CX227" s="566">
        <f>VLOOKUP($A227,'01-02.2021'!$A$6:$CZ$403,102,FALSE)+VLOOKUP($A227,'1.3.21-28.2.22'!$A$6:$DA$404,102,FALSE)-VLOOKUP($A227,'01-02.2022'!$A$6:$DA$376,102,FALSE)</f>
        <v>13883.870484452958</v>
      </c>
      <c r="CY227" s="566">
        <f>VLOOKUP($A227,'01-02.2021'!$A$6:$CZ$403,103,FALSE)+VLOOKUP($A227,'1.3.21-28.2.22'!$A$6:$DA$404,103,FALSE)-VLOOKUP($A227,'01-02.2022'!$A$6:$DA$376,103,FALSE)</f>
        <v>-50409.713059568472</v>
      </c>
      <c r="CZ227" s="52">
        <f t="shared" si="232"/>
        <v>-64293.583544021429</v>
      </c>
      <c r="DA227" s="150">
        <f>'[2]побудинковий звіт'!DA227</f>
        <v>83374.801912510258</v>
      </c>
      <c r="DB227" s="2">
        <v>1</v>
      </c>
      <c r="DC227" s="414">
        <f>'[4]побудинковий звіт'!DC227</f>
        <v>64356</v>
      </c>
      <c r="DD227" s="414">
        <f>'[4]побудинковий звіт'!DD227</f>
        <v>0</v>
      </c>
      <c r="DE227" s="557">
        <f>'[4]побудинковий звіт'!DE227</f>
        <v>27363.832192246591</v>
      </c>
      <c r="DF227" s="557">
        <f>'[4]побудинковий звіт'!DF227</f>
        <v>0</v>
      </c>
      <c r="DG227" s="321">
        <f>VLOOKUP(A227,'кошти 01.03.2021'!$A$6:$D$401,4,)</f>
        <v>26729.817666302162</v>
      </c>
      <c r="DH227" s="40">
        <f>'[3]побудинковий звіт'!DJ227</f>
        <v>423609.56260071305</v>
      </c>
      <c r="DI227" s="422">
        <f>'[3]побудинковий звіт'!CU227+'[3]побудинковий звіт'!CX227</f>
        <v>36992.167807753416</v>
      </c>
      <c r="DJ227" s="306">
        <f>'[3]побудинковий звіт'!DM227</f>
        <v>6.2849997864631355</v>
      </c>
      <c r="DK227" s="306">
        <f>'[3]побудинковий звіт'!DN227</f>
        <v>7.3295455383421553</v>
      </c>
      <c r="DL227" s="306">
        <f>'[3]побудинковий звіт'!DO227</f>
        <v>5.5503817432426166</v>
      </c>
      <c r="DM227" s="28">
        <f>DJ227*G227+(F227-G227)*DK227</f>
        <v>36992.167807753409</v>
      </c>
      <c r="DN227" s="28">
        <f>DL227*H227</f>
        <v>0</v>
      </c>
      <c r="DO227" s="423">
        <f t="shared" si="238"/>
        <v>36992.167807753409</v>
      </c>
      <c r="DP227" s="94">
        <f t="shared" si="239"/>
        <v>0</v>
      </c>
      <c r="DQ227" s="28">
        <f t="shared" si="240"/>
        <v>36992.167807753409</v>
      </c>
      <c r="DR227" s="318"/>
      <c r="DT227" s="8"/>
      <c r="DU227" s="5"/>
      <c r="DX227" s="5">
        <f t="shared" si="241"/>
        <v>97773.814825058231</v>
      </c>
      <c r="DY227" s="5">
        <f t="shared" si="242"/>
        <v>173582.32800000001</v>
      </c>
      <c r="DZ227" s="159">
        <f>'[3]побудинковий звіт'!EA227</f>
        <v>9180.579640427326</v>
      </c>
    </row>
    <row r="228" spans="1:130" x14ac:dyDescent="0.3">
      <c r="A228" s="325">
        <v>150000926</v>
      </c>
      <c r="B228" s="41" t="s">
        <v>675</v>
      </c>
      <c r="C228" s="42" t="s">
        <v>178</v>
      </c>
      <c r="D228" s="42"/>
      <c r="E228" s="293">
        <f t="shared" si="218"/>
        <v>404.5</v>
      </c>
      <c r="F228" s="305">
        <f>'[3]побудинковий звіт'!F228</f>
        <v>284.10000000000002</v>
      </c>
      <c r="G228" s="508">
        <f>'[3]побудинковий звіт'!G228</f>
        <v>0</v>
      </c>
      <c r="H228" s="560">
        <f>'[3]побудинковий звіт'!H228</f>
        <v>120.4</v>
      </c>
      <c r="I228" s="566">
        <f>VLOOKUP($A228,'01-02.2021'!$A$6:$CZ$403,9,FALSE)+VLOOKUP($A228,'1.3.21-28.2.22'!$A$6:$DA$404,9,FALSE)-VLOOKUP($A228,'01-02.2022'!$A$6:$DA$376,9,FALSE)</f>
        <v>1310.7963218014822</v>
      </c>
      <c r="J228" s="566">
        <f>VLOOKUP($A228,'01-02.2021'!$A$6:$CZ$403,10,FALSE)+VLOOKUP($A228,'1.3.21-28.2.22'!$A$6:$DA$404,10,FALSE)-VLOOKUP($A228,'01-02.2022'!$A$6:$DA$376,10,FALSE)</f>
        <v>1423.6989078065199</v>
      </c>
      <c r="K228" s="52">
        <f t="shared" si="222"/>
        <v>112.90258600503762</v>
      </c>
      <c r="L228" s="566">
        <f>VLOOKUP($A228,'01-02.2021'!$A$6:$CZ$403,12,FALSE)+VLOOKUP($A228,'1.3.21-28.2.22'!$A$6:$DA$404,12,FALSE)-VLOOKUP($A228,'01-02.2022'!$A$6:$DA$376,12,FALSE)</f>
        <v>522.9712303323023</v>
      </c>
      <c r="M228" s="566">
        <f>VLOOKUP($A228,'01-02.2021'!$A$6:$CZ$403,13,FALSE)+VLOOKUP($A228,'1.3.21-28.2.22'!$A$6:$DA$404,13,FALSE)-VLOOKUP($A228,'01-02.2022'!$A$6:$DA$376,13,FALSE)</f>
        <v>575.81363310300401</v>
      </c>
      <c r="N228" s="52">
        <f t="shared" si="223"/>
        <v>52.84240277070171</v>
      </c>
      <c r="O228" s="566">
        <f>VLOOKUP($A228,'01-02.2021'!$A$6:$CZ$403,15,FALSE)+VLOOKUP($A228,'1.3.21-28.2.22'!$A$6:$DA$404,15,FALSE)-VLOOKUP($A228,'01-02.2022'!$A$6:$DA$376,15,FALSE)</f>
        <v>0</v>
      </c>
      <c r="P228" s="566">
        <f>VLOOKUP($A228,'01-02.2021'!$A$6:$CZ$403,16,FALSE)+VLOOKUP($A228,'1.3.21-28.2.22'!$A$6:$DA$404,16,FALSE)-VLOOKUP($A228,'01-02.2022'!$A$6:$DA$376,16,FALSE)</f>
        <v>0</v>
      </c>
      <c r="Q228" s="70">
        <f t="shared" si="243"/>
        <v>0</v>
      </c>
      <c r="R228" s="566">
        <f>VLOOKUP($A228,'01-02.2021'!$A$6:$CZ$403,18,FALSE)+VLOOKUP($A228,'1.3.21-28.2.22'!$A$6:$DA$404,18,FALSE)-VLOOKUP($A228,'01-02.2022'!$A$6:$DA$376,18,FALSE)</f>
        <v>0</v>
      </c>
      <c r="S228" s="566">
        <f>VLOOKUP($A228,'01-02.2021'!$A$6:$CZ$403,19,FALSE)+VLOOKUP($A228,'1.3.21-28.2.22'!$A$6:$DA$404,19,FALSE)-VLOOKUP($A228,'01-02.2022'!$A$6:$DA$376,19,FALSE)</f>
        <v>0</v>
      </c>
      <c r="T228" s="70">
        <f t="shared" si="244"/>
        <v>0</v>
      </c>
      <c r="U228" s="566">
        <f>VLOOKUP($A228,'01-02.2021'!$A$6:$CZ$403,21,FALSE)+VLOOKUP($A228,'1.3.21-28.2.22'!$A$6:$DA$404,21,FALSE)-VLOOKUP($A228,'01-02.2022'!$A$6:$DA$376,21,FALSE)</f>
        <v>0</v>
      </c>
      <c r="V228" s="566">
        <f>VLOOKUP($A228,'01-02.2021'!$A$6:$CZ$403,22,FALSE)+VLOOKUP($A228,'1.3.21-28.2.22'!$A$6:$DA$404,22,FALSE)-VLOOKUP($A228,'01-02.2022'!$A$6:$DA$376,22,FALSE)</f>
        <v>0</v>
      </c>
      <c r="W228" s="70">
        <f t="shared" si="245"/>
        <v>0</v>
      </c>
      <c r="X228" s="566">
        <f>VLOOKUP($A228,'01-02.2021'!$A$6:$CZ$403,24,FALSE)+VLOOKUP($A228,'1.3.21-28.2.22'!$A$6:$DA$404,24,FALSE)-VLOOKUP($A228,'01-02.2022'!$A$6:$DA$376,24,FALSE)</f>
        <v>1030.561537846183</v>
      </c>
      <c r="Y228" s="566">
        <f>VLOOKUP($A228,'01-02.2021'!$A$6:$CZ$403,25,FALSE)+VLOOKUP($A228,'1.3.21-28.2.22'!$A$6:$DA$404,25,FALSE)-VLOOKUP($A228,'01-02.2022'!$A$6:$DA$376,25,FALSE)</f>
        <v>1476.4509683049696</v>
      </c>
      <c r="Z228" s="70">
        <f t="shared" si="246"/>
        <v>445.88943045878659</v>
      </c>
      <c r="AA228" s="566">
        <f>VLOOKUP($A228,'01-02.2021'!$A$6:$CZ$403,27,FALSE)+VLOOKUP($A228,'1.3.21-28.2.22'!$A$6:$DA$404,27,FALSE)-VLOOKUP($A228,'01-02.2022'!$A$6:$DA$376,27,FALSE)</f>
        <v>80.980000000000018</v>
      </c>
      <c r="AB228" s="566">
        <f>VLOOKUP($A228,'01-02.2021'!$A$6:$CZ$403,28,FALSE)+VLOOKUP($A228,'1.3.21-28.2.22'!$A$6:$DA$404,28,FALSE)-VLOOKUP($A228,'01-02.2022'!$A$6:$DA$376,28,FALSE)</f>
        <v>0</v>
      </c>
      <c r="AC228" s="70">
        <f t="shared" si="247"/>
        <v>-80.980000000000018</v>
      </c>
      <c r="AD228" s="566">
        <f>VLOOKUP($A228,'01-02.2021'!$A$6:$CZ$403,30,FALSE)+VLOOKUP($A228,'1.3.21-28.2.22'!$A$6:$DA$404,30,FALSE)-VLOOKUP($A228,'01-02.2022'!$A$6:$DA$376,30,FALSE)</f>
        <v>1645.159279775974</v>
      </c>
      <c r="AE228" s="566">
        <f>VLOOKUP($A228,'01-02.2021'!$A$6:$CZ$403,31,FALSE)+VLOOKUP($A228,'1.3.21-28.2.22'!$A$6:$DA$404,31,FALSE)-VLOOKUP($A228,'01-02.2022'!$A$6:$DA$376,31,FALSE)</f>
        <v>1841.3002982152686</v>
      </c>
      <c r="AF228" s="68">
        <f t="shared" si="248"/>
        <v>196.14101843929461</v>
      </c>
      <c r="AG228" s="77">
        <f t="shared" si="219"/>
        <v>4590.4683697559412</v>
      </c>
      <c r="AH228" s="53">
        <f t="shared" si="219"/>
        <v>5317.263807429762</v>
      </c>
      <c r="AI228" s="52">
        <f t="shared" si="224"/>
        <v>726.79543767382074</v>
      </c>
      <c r="AJ228" s="566">
        <f>VLOOKUP($A228,'01-02.2021'!$A$6:$CZ$403,36,FALSE)+VLOOKUP($A228,'1.3.21-28.2.22'!$A$6:$DA$404,36,FALSE)-VLOOKUP($A228,'01-02.2022'!$A$6:$DA$376,36,FALSE)</f>
        <v>0</v>
      </c>
      <c r="AK228" s="566">
        <f>VLOOKUP($A228,'01-02.2021'!$A$6:$CZ$403,37,FALSE)+VLOOKUP($A228,'1.3.21-28.2.22'!$A$6:$DA$404,37,FALSE)-VLOOKUP($A228,'01-02.2022'!$A$6:$DA$376,37,FALSE)</f>
        <v>0</v>
      </c>
      <c r="AL228" s="70">
        <f t="shared" si="249"/>
        <v>0</v>
      </c>
      <c r="AM228" s="566">
        <f>VLOOKUP($A228,'01-02.2021'!$A$6:$CZ$403,39,FALSE)+VLOOKUP($A228,'1.3.21-28.2.22'!$A$6:$DA$404,39,FALSE)-VLOOKUP($A228,'01-02.2022'!$A$6:$DA$376,39,FALSE)</f>
        <v>0</v>
      </c>
      <c r="AN228" s="566">
        <f>VLOOKUP($A228,'01-02.2021'!$A$6:$CZ$403,40,FALSE)+VLOOKUP($A228,'1.3.21-28.2.22'!$A$6:$DA$404,40,FALSE)-VLOOKUP($A228,'01-02.2022'!$A$6:$DA$376,40,FALSE)</f>
        <v>0</v>
      </c>
      <c r="AO228" s="70">
        <f t="shared" si="250"/>
        <v>0</v>
      </c>
      <c r="AP228" s="566">
        <f>VLOOKUP($A228,'01-02.2021'!$A$6:$CZ$403,42,FALSE)+VLOOKUP($A228,'1.3.21-28.2.22'!$A$6:$DA$404,42,FALSE)-VLOOKUP($A228,'01-02.2022'!$A$6:$DA$376,42,FALSE)</f>
        <v>650.699906265972</v>
      </c>
      <c r="AQ228" s="566">
        <f>VLOOKUP($A228,'01-02.2021'!$A$6:$CZ$403,43,FALSE)+VLOOKUP($A228,'1.3.21-28.2.22'!$A$6:$DA$404,43,FALSE)-VLOOKUP($A228,'01-02.2022'!$A$6:$DA$376,43,FALSE)</f>
        <v>560.95562403738597</v>
      </c>
      <c r="AR228" s="70">
        <f t="shared" si="251"/>
        <v>-89.74428222858603</v>
      </c>
      <c r="AS228" s="566">
        <f>VLOOKUP($A228,'01-02.2021'!$A$6:$CZ$403,45,FALSE)+VLOOKUP($A228,'1.3.21-28.2.22'!$A$6:$DA$404,45,FALSE)-VLOOKUP($A228,'01-02.2022'!$A$6:$DA$376,45,FALSE)</f>
        <v>5973.4170762629583</v>
      </c>
      <c r="AT228" s="566">
        <f>VLOOKUP($A228,'01-02.2021'!$A$6:$CZ$403,46,FALSE)+VLOOKUP($A228,'1.3.21-28.2.22'!$A$6:$DA$404,46,FALSE)-VLOOKUP($A228,'01-02.2022'!$A$6:$DA$376,46,FALSE)</f>
        <v>0</v>
      </c>
      <c r="AU228" s="78">
        <f t="shared" si="252"/>
        <v>-5973.4170762629583</v>
      </c>
      <c r="AV228" s="566">
        <f>VLOOKUP($A228,'01-02.2021'!$A$6:$CZ$403,48,FALSE)+VLOOKUP($A228,'1.3.21-28.2.22'!$A$6:$DA$404,48,FALSE)-VLOOKUP($A228,'01-02.2022'!$A$6:$DA$376,48,FALSE)</f>
        <v>485.16999438645564</v>
      </c>
      <c r="AW228" s="566">
        <f>VLOOKUP($A228,'01-02.2021'!$A$6:$CZ$403,49,FALSE)+VLOOKUP($A228,'1.3.21-28.2.22'!$A$6:$DA$404,49,FALSE)-VLOOKUP($A228,'01-02.2022'!$A$6:$DA$376,49,FALSE)</f>
        <v>0</v>
      </c>
      <c r="AX228" s="55">
        <f t="shared" si="253"/>
        <v>-485.16999438645564</v>
      </c>
      <c r="AY228" s="566">
        <f>VLOOKUP($A228,'01-02.2021'!$A$6:$CZ$403,51,FALSE)+VLOOKUP($A228,'1.3.21-28.2.22'!$A$6:$DA$404,51,FALSE)-VLOOKUP($A228,'01-02.2022'!$A$6:$DA$376,51,FALSE)</f>
        <v>983.23028958029101</v>
      </c>
      <c r="AZ228" s="566">
        <f>VLOOKUP($A228,'01-02.2021'!$A$6:$CZ$403,52,FALSE)+VLOOKUP($A228,'1.3.21-28.2.22'!$A$6:$DA$404,52,FALSE)-VLOOKUP($A228,'01-02.2022'!$A$6:$DA$376,52,FALSE)</f>
        <v>0</v>
      </c>
      <c r="BA228" s="38">
        <f t="shared" si="254"/>
        <v>-983.23028958029101</v>
      </c>
      <c r="BB228" s="566">
        <f>VLOOKUP($A228,'01-02.2021'!$A$6:$CZ$403,54,FALSE)+VLOOKUP($A228,'1.3.21-28.2.22'!$A$6:$DA$404,54,FALSE)-VLOOKUP($A228,'01-02.2022'!$A$6:$DA$376,54,FALSE)</f>
        <v>0</v>
      </c>
      <c r="BC228" s="566">
        <f>VLOOKUP($A228,'01-02.2021'!$A$6:$CZ$403,55,FALSE)+VLOOKUP($A228,'1.3.21-28.2.22'!$A$6:$DA$404,55,FALSE)-VLOOKUP($A228,'01-02.2022'!$A$6:$DA$376,55,FALSE)</f>
        <v>0</v>
      </c>
      <c r="BD228" s="55">
        <f t="shared" si="255"/>
        <v>0</v>
      </c>
      <c r="BE228" s="566">
        <f>VLOOKUP($A228,'01-02.2021'!$A$6:$CZ$403,57,FALSE)+VLOOKUP($A228,'1.3.21-28.2.22'!$A$6:$DA$404,57,FALSE)-VLOOKUP($A228,'01-02.2022'!$A$6:$DA$376,57,FALSE)</f>
        <v>0</v>
      </c>
      <c r="BF228" s="566">
        <f>VLOOKUP($A228,'01-02.2021'!$A$6:$CZ$403,58,FALSE)+VLOOKUP($A228,'1.3.21-28.2.22'!$A$6:$DA$404,58,FALSE)-VLOOKUP($A228,'01-02.2022'!$A$6:$DA$376,58,FALSE)</f>
        <v>0</v>
      </c>
      <c r="BG228" s="55">
        <f t="shared" si="256"/>
        <v>0</v>
      </c>
      <c r="BH228" s="566">
        <f>VLOOKUP($A228,'01-02.2021'!$A$6:$CZ$403,60,FALSE)+VLOOKUP($A228,'1.3.21-28.2.22'!$A$6:$DA$404,60,FALSE)-VLOOKUP($A228,'01-02.2022'!$A$6:$DA$376,60,FALSE)</f>
        <v>0</v>
      </c>
      <c r="BI228" s="566">
        <f>VLOOKUP($A228,'01-02.2021'!$A$6:$CZ$403,61,FALSE)+VLOOKUP($A228,'1.3.21-28.2.22'!$A$6:$DA$404,61,FALSE)-VLOOKUP($A228,'01-02.2022'!$A$6:$DA$376,61,FALSE)</f>
        <v>0</v>
      </c>
      <c r="BJ228" s="55">
        <f t="shared" si="257"/>
        <v>0</v>
      </c>
      <c r="BK228" s="566">
        <f>VLOOKUP($A228,'01-02.2021'!$A$6:$CZ$403,63,FALSE)+VLOOKUP($A228,'1.3.21-28.2.22'!$A$6:$DA$404,63,FALSE)-VLOOKUP($A228,'01-02.2022'!$A$6:$DA$376,63,FALSE)</f>
        <v>104.41205811104427</v>
      </c>
      <c r="BL228" s="566">
        <f>VLOOKUP($A228,'01-02.2021'!$A$6:$CZ$403,64,FALSE)+VLOOKUP($A228,'1.3.21-28.2.22'!$A$6:$DA$404,64,FALSE)-VLOOKUP($A228,'01-02.2022'!$A$6:$DA$376,64,FALSE)</f>
        <v>0</v>
      </c>
      <c r="BM228" s="55">
        <f t="shared" si="258"/>
        <v>-104.41205811104427</v>
      </c>
      <c r="BN228" s="566">
        <f>VLOOKUP($A228,'01-02.2021'!$A$6:$CZ$403,66,FALSE)+VLOOKUP($A228,'1.3.21-28.2.22'!$A$6:$DA$404,66,FALSE)-VLOOKUP($A228,'01-02.2022'!$A$6:$DA$376,66,FALSE)</f>
        <v>20.245000000000005</v>
      </c>
      <c r="BO228" s="566">
        <f>VLOOKUP($A228,'01-02.2021'!$A$6:$CZ$403,67,FALSE)+VLOOKUP($A228,'1.3.21-28.2.22'!$A$6:$DA$404,67,FALSE)-VLOOKUP($A228,'01-02.2022'!$A$6:$DA$376,67,FALSE)</f>
        <v>0</v>
      </c>
      <c r="BP228" s="55">
        <f t="shared" si="259"/>
        <v>-20.245000000000005</v>
      </c>
      <c r="BQ228" s="77">
        <f t="shared" si="209"/>
        <v>1593.057342077791</v>
      </c>
      <c r="BR228" s="40">
        <f t="shared" si="237"/>
        <v>0</v>
      </c>
      <c r="BS228" s="55">
        <f t="shared" si="236"/>
        <v>-1593.057342077791</v>
      </c>
      <c r="BT228" s="566">
        <f>VLOOKUP($A228,'01-02.2021'!$A$6:$CZ$403,72,FALSE)+VLOOKUP($A228,'1.3.21-28.2.22'!$A$6:$DA$404,72,FALSE)-VLOOKUP($A228,'01-02.2022'!$A$6:$DA$376,72,FALSE)</f>
        <v>6436.4830709636171</v>
      </c>
      <c r="BU228" s="566">
        <f>VLOOKUP($A228,'01-02.2021'!$A$6:$CZ$403,73,FALSE)+VLOOKUP($A228,'1.3.21-28.2.22'!$A$6:$DA$404,73,FALSE)-VLOOKUP($A228,'01-02.2022'!$A$6:$DA$376,73,FALSE)</f>
        <v>7241.3820024457636</v>
      </c>
      <c r="BV228" s="70">
        <f t="shared" si="260"/>
        <v>804.89893148214651</v>
      </c>
      <c r="BW228" s="566">
        <f>VLOOKUP($A228,'01-02.2021'!$A$6:$CZ$403,75,FALSE)+VLOOKUP($A228,'1.3.21-28.2.22'!$A$6:$DA$404,75,FALSE)-VLOOKUP($A228,'01-02.2022'!$A$6:$DA$376,75,FALSE)</f>
        <v>1646.3515482865891</v>
      </c>
      <c r="BX228" s="566">
        <f>VLOOKUP($A228,'01-02.2021'!$A$6:$CZ$403,76,FALSE)+VLOOKUP($A228,'1.3.21-28.2.22'!$A$6:$DA$404,76,FALSE)-VLOOKUP($A228,'01-02.2022'!$A$6:$DA$376,76,FALSE)</f>
        <v>1850.3730702798596</v>
      </c>
      <c r="BY228" s="70">
        <f t="shared" si="261"/>
        <v>204.02152199327043</v>
      </c>
      <c r="BZ228" s="566">
        <f>VLOOKUP($A228,'01-02.2021'!$A$6:$CZ$403,78,FALSE)+VLOOKUP($A228,'1.3.21-28.2.22'!$A$6:$DA$404,78,FALSE)-VLOOKUP($A228,'01-02.2022'!$A$6:$DA$376,78,FALSE)</f>
        <v>1951.6017621115154</v>
      </c>
      <c r="CA228" s="566">
        <f>VLOOKUP($A228,'01-02.2021'!$A$6:$CZ$403,79,FALSE)+VLOOKUP($A228,'1.3.21-28.2.22'!$A$6:$DA$404,79,FALSE)-VLOOKUP($A228,'01-02.2022'!$A$6:$DA$376,79,FALSE)</f>
        <v>1577.6241168359923</v>
      </c>
      <c r="CB228" s="70">
        <f t="shared" si="262"/>
        <v>-373.97764527552317</v>
      </c>
      <c r="CC228" s="566">
        <f>VLOOKUP($A228,'01-02.2021'!$A$6:$CZ$403,81,FALSE)+VLOOKUP($A228,'1.3.21-28.2.22'!$A$6:$DA$404,81,FALSE)-VLOOKUP($A228,'01-02.2022'!$A$6:$DA$376,81,FALSE)</f>
        <v>0</v>
      </c>
      <c r="CD228" s="566">
        <f>VLOOKUP($A228,'01-02.2021'!$A$6:$CZ$403,82,FALSE)+VLOOKUP($A228,'1.3.21-28.2.22'!$A$6:$DA$404,82,FALSE)-VLOOKUP($A228,'01-02.2022'!$A$6:$DA$376,82,FALSE)</f>
        <v>0</v>
      </c>
      <c r="CE228" s="70">
        <f t="shared" si="263"/>
        <v>0</v>
      </c>
      <c r="CF228" s="566">
        <f>VLOOKUP($A228,'01-02.2021'!$A$6:$CZ$403,84,FALSE)+VLOOKUP($A228,'1.3.21-28.2.22'!$A$6:$DA$404,84,FALSE)-VLOOKUP($A228,'01-02.2022'!$A$6:$DA$376,84,FALSE)</f>
        <v>0</v>
      </c>
      <c r="CG228" s="566">
        <f>VLOOKUP($A228,'01-02.2021'!$A$6:$CZ$403,85,FALSE)+VLOOKUP($A228,'1.3.21-28.2.22'!$A$6:$DA$404,85,FALSE)-VLOOKUP($A228,'01-02.2022'!$A$6:$DA$376,85,FALSE)</f>
        <v>0</v>
      </c>
      <c r="CH228" s="70">
        <f t="shared" si="264"/>
        <v>0</v>
      </c>
      <c r="CI228" s="566">
        <f>VLOOKUP($A228,'01-02.2021'!$A$6:$CZ$403,87,FALSE)+VLOOKUP($A228,'1.3.21-28.2.22'!$A$6:$DA$404,87,FALSE)-VLOOKUP($A228,'01-02.2022'!$A$6:$DA$376,87,FALSE)</f>
        <v>863.15823977396576</v>
      </c>
      <c r="CJ228" s="566">
        <f>VLOOKUP($A228,'01-02.2021'!$A$6:$CZ$403,88,FALSE)+VLOOKUP($A228,'1.3.21-28.2.22'!$A$6:$DA$404,88,FALSE)-VLOOKUP($A228,'01-02.2022'!$A$6:$DA$376,88,FALSE)</f>
        <v>391.22592703953552</v>
      </c>
      <c r="CK228" s="70">
        <f t="shared" si="265"/>
        <v>-471.93231273443024</v>
      </c>
      <c r="CL228" s="566">
        <f>VLOOKUP($A228,'01-02.2021'!$A$6:$CZ$403,90,FALSE)+VLOOKUP($A228,'1.3.21-28.2.22'!$A$6:$DA$404,90,FALSE)-VLOOKUP($A228,'01-02.2022'!$A$6:$DA$376,90,FALSE)</f>
        <v>0</v>
      </c>
      <c r="CM228" s="566">
        <f>VLOOKUP($A228,'01-02.2021'!$A$6:$CZ$403,91,FALSE)+VLOOKUP($A228,'1.3.21-28.2.22'!$A$6:$DA$404,91,FALSE)-VLOOKUP($A228,'01-02.2022'!$A$6:$DA$376,91,FALSE)</f>
        <v>0</v>
      </c>
      <c r="CN228" s="52">
        <f t="shared" si="225"/>
        <v>0</v>
      </c>
      <c r="CO228" s="39">
        <f t="shared" si="220"/>
        <v>863.15823977396576</v>
      </c>
      <c r="CP228" s="40">
        <f t="shared" si="226"/>
        <v>391.22592703953552</v>
      </c>
      <c r="CQ228" s="52">
        <f t="shared" si="227"/>
        <v>-471.93231273443024</v>
      </c>
      <c r="CR228" s="72">
        <f t="shared" si="221"/>
        <v>23705.237315498351</v>
      </c>
      <c r="CS228" s="5">
        <f t="shared" si="221"/>
        <v>16938.8245480683</v>
      </c>
      <c r="CT228" s="52">
        <f t="shared" si="228"/>
        <v>-6766.4127674300507</v>
      </c>
      <c r="CU228" s="77">
        <f t="shared" si="229"/>
        <v>28446.284778598019</v>
      </c>
      <c r="CV228" s="65">
        <f t="shared" si="230"/>
        <v>20326.589457681959</v>
      </c>
      <c r="CW228" s="35">
        <f t="shared" si="231"/>
        <v>-8119.6953209160602</v>
      </c>
      <c r="CX228" s="566">
        <f>VLOOKUP($A228,'01-02.2021'!$A$6:$CZ$403,102,FALSE)+VLOOKUP($A228,'1.3.21-28.2.22'!$A$6:$DA$404,102,FALSE)-VLOOKUP($A228,'01-02.2022'!$A$6:$DA$376,102,FALSE)</f>
        <v>533.17315602738029</v>
      </c>
      <c r="CY228" s="566">
        <f>VLOOKUP($A228,'01-02.2021'!$A$6:$CZ$403,103,FALSE)+VLOOKUP($A228,'1.3.21-28.2.22'!$A$6:$DA$404,103,FALSE)-VLOOKUP($A228,'01-02.2022'!$A$6:$DA$376,103,FALSE)</f>
        <v>8652.8684769434331</v>
      </c>
      <c r="CZ228" s="52">
        <f t="shared" si="232"/>
        <v>8119.6953209160529</v>
      </c>
      <c r="DA228" s="150">
        <f>'[2]побудинковий звіт'!DA228</f>
        <v>8796.1381227018428</v>
      </c>
      <c r="DB228" s="2">
        <v>2</v>
      </c>
      <c r="DC228" s="414">
        <f>'[4]побудинковий звіт'!DC228</f>
        <v>3687.66</v>
      </c>
      <c r="DD228" s="414">
        <f>'[4]побудинковий звіт'!DD228</f>
        <v>2864.6099999999997</v>
      </c>
      <c r="DE228" s="557">
        <f>'[4]побудинковий звіт'!DE228</f>
        <v>1786.8300702529177</v>
      </c>
      <c r="DF228" s="557">
        <f>'[4]побудинковий звіт'!DF228</f>
        <v>2150.2481328426375</v>
      </c>
      <c r="DG228" s="321">
        <f>VLOOKUP(A228,'кошти 01.03.2021'!$A$6:$D$401,4,)</f>
        <v>17414.643921796705</v>
      </c>
      <c r="DH228" s="40">
        <f>'[3]побудинковий звіт'!DJ228</f>
        <v>29925.112845189789</v>
      </c>
      <c r="DI228" s="422">
        <f>'[3]побудинковий звіт'!CU228+'[3]побудинковий звіт'!CX228</f>
        <v>2615.1917969044443</v>
      </c>
      <c r="DJ228" s="306">
        <f>'[3]побудинковий звіт'!DM228</f>
        <v>6.6907072500777263</v>
      </c>
      <c r="DK228" s="306">
        <f>DJ228</f>
        <v>6.6907072500777263</v>
      </c>
      <c r="DL228" s="306">
        <f>'[3]побудинковий звіт'!DO228</f>
        <v>5.9332380993136402</v>
      </c>
      <c r="DM228" s="28">
        <f>F228*DJ228</f>
        <v>1900.8299297470821</v>
      </c>
      <c r="DN228" s="28">
        <f>H228*DL228</f>
        <v>714.36186715736233</v>
      </c>
      <c r="DO228" s="423">
        <f t="shared" si="238"/>
        <v>2615.1917969044443</v>
      </c>
      <c r="DP228" s="94">
        <f t="shared" si="239"/>
        <v>0</v>
      </c>
      <c r="DQ228" s="28">
        <f t="shared" si="240"/>
        <v>2615.1917969044443</v>
      </c>
      <c r="DR228" s="318"/>
      <c r="DT228" s="8"/>
      <c r="DU228" s="5"/>
      <c r="DX228" s="5">
        <f t="shared" si="241"/>
        <v>9079.7693020088991</v>
      </c>
      <c r="DY228" s="5">
        <f t="shared" si="242"/>
        <v>0</v>
      </c>
      <c r="DZ228" s="159">
        <f>'[3]побудинковий звіт'!EA228</f>
        <v>805.82727800908322</v>
      </c>
    </row>
    <row r="229" spans="1:130" x14ac:dyDescent="0.3">
      <c r="A229" s="325">
        <v>150000940</v>
      </c>
      <c r="B229" s="41" t="s">
        <v>676</v>
      </c>
      <c r="C229" s="42" t="s">
        <v>377</v>
      </c>
      <c r="D229" s="42"/>
      <c r="E229" s="293">
        <f t="shared" si="218"/>
        <v>7450.81</v>
      </c>
      <c r="F229" s="305">
        <f>'[3]побудинковий звіт'!F229</f>
        <v>7450.81</v>
      </c>
      <c r="G229" s="508">
        <f>'[3]побудинковий звіт'!G229</f>
        <v>941.36</v>
      </c>
      <c r="H229" s="560">
        <f>'[3]побудинковий звіт'!H229</f>
        <v>0</v>
      </c>
      <c r="I229" s="566">
        <f>VLOOKUP($A229,'01-02.2021'!$A$6:$CZ$403,9,FALSE)+VLOOKUP($A229,'1.3.21-28.2.22'!$A$6:$DA$404,9,FALSE)-VLOOKUP($A229,'01-02.2022'!$A$6:$DA$376,9,FALSE)</f>
        <v>19362.390056001615</v>
      </c>
      <c r="J229" s="566">
        <f>VLOOKUP($A229,'01-02.2021'!$A$6:$CZ$403,10,FALSE)+VLOOKUP($A229,'1.3.21-28.2.22'!$A$6:$DA$404,10,FALSE)-VLOOKUP($A229,'01-02.2022'!$A$6:$DA$376,10,FALSE)</f>
        <v>17388.043381108553</v>
      </c>
      <c r="K229" s="52">
        <f t="shared" si="222"/>
        <v>-1974.3466748930623</v>
      </c>
      <c r="L229" s="566">
        <f>VLOOKUP($A229,'01-02.2021'!$A$6:$CZ$403,12,FALSE)+VLOOKUP($A229,'1.3.21-28.2.22'!$A$6:$DA$404,12,FALSE)-VLOOKUP($A229,'01-02.2022'!$A$6:$DA$376,12,FALSE)</f>
        <v>3426.1729347609339</v>
      </c>
      <c r="M229" s="566">
        <f>VLOOKUP($A229,'01-02.2021'!$A$6:$CZ$403,13,FALSE)+VLOOKUP($A229,'1.3.21-28.2.22'!$A$6:$DA$404,13,FALSE)-VLOOKUP($A229,'01-02.2022'!$A$6:$DA$376,13,FALSE)</f>
        <v>3103.5947552640228</v>
      </c>
      <c r="N229" s="52">
        <f t="shared" si="223"/>
        <v>-322.57817949691116</v>
      </c>
      <c r="O229" s="566">
        <f>VLOOKUP($A229,'01-02.2021'!$A$6:$CZ$403,15,FALSE)+VLOOKUP($A229,'1.3.21-28.2.22'!$A$6:$DA$404,15,FALSE)-VLOOKUP($A229,'01-02.2022'!$A$6:$DA$376,15,FALSE)</f>
        <v>11017.589637693492</v>
      </c>
      <c r="P229" s="566">
        <f>VLOOKUP($A229,'01-02.2021'!$A$6:$CZ$403,16,FALSE)+VLOOKUP($A229,'1.3.21-28.2.22'!$A$6:$DA$404,16,FALSE)-VLOOKUP($A229,'01-02.2022'!$A$6:$DA$376,16,FALSE)</f>
        <v>11017.6</v>
      </c>
      <c r="Q229" s="70">
        <f t="shared" si="243"/>
        <v>1.0362306507886387E-2</v>
      </c>
      <c r="R229" s="566">
        <f>VLOOKUP($A229,'01-02.2021'!$A$6:$CZ$403,18,FALSE)+VLOOKUP($A229,'1.3.21-28.2.22'!$A$6:$DA$404,18,FALSE)-VLOOKUP($A229,'01-02.2022'!$A$6:$DA$376,18,FALSE)</f>
        <v>2145.9833153051582</v>
      </c>
      <c r="S229" s="566">
        <f>VLOOKUP($A229,'01-02.2021'!$A$6:$CZ$403,19,FALSE)+VLOOKUP($A229,'1.3.21-28.2.22'!$A$6:$DA$404,19,FALSE)-VLOOKUP($A229,'01-02.2022'!$A$6:$DA$376,19,FALSE)</f>
        <v>2145.9799999999996</v>
      </c>
      <c r="T229" s="70">
        <f t="shared" si="244"/>
        <v>-3.3153051585941284E-3</v>
      </c>
      <c r="U229" s="566">
        <f>VLOOKUP($A229,'01-02.2021'!$A$6:$CZ$403,21,FALSE)+VLOOKUP($A229,'1.3.21-28.2.22'!$A$6:$DA$404,21,FALSE)-VLOOKUP($A229,'01-02.2022'!$A$6:$DA$376,21,FALSE)</f>
        <v>1007.187849608177</v>
      </c>
      <c r="V229" s="566">
        <f>VLOOKUP($A229,'01-02.2021'!$A$6:$CZ$403,22,FALSE)+VLOOKUP($A229,'1.3.21-28.2.22'!$A$6:$DA$404,22,FALSE)-VLOOKUP($A229,'01-02.2022'!$A$6:$DA$376,22,FALSE)</f>
        <v>712.80723924686822</v>
      </c>
      <c r="W229" s="70">
        <f t="shared" si="245"/>
        <v>-294.38061036130875</v>
      </c>
      <c r="X229" s="566">
        <f>VLOOKUP($A229,'01-02.2021'!$A$6:$CZ$403,24,FALSE)+VLOOKUP($A229,'1.3.21-28.2.22'!$A$6:$DA$404,24,FALSE)-VLOOKUP($A229,'01-02.2022'!$A$6:$DA$376,24,FALSE)</f>
        <v>13530.730774598636</v>
      </c>
      <c r="Y229" s="566">
        <f>VLOOKUP($A229,'01-02.2021'!$A$6:$CZ$403,25,FALSE)+VLOOKUP($A229,'1.3.21-28.2.22'!$A$6:$DA$404,25,FALSE)-VLOOKUP($A229,'01-02.2022'!$A$6:$DA$376,25,FALSE)</f>
        <v>10805.829905116203</v>
      </c>
      <c r="Z229" s="70">
        <f t="shared" si="246"/>
        <v>-2724.9008694824333</v>
      </c>
      <c r="AA229" s="566">
        <f>VLOOKUP($A229,'01-02.2021'!$A$6:$CZ$403,27,FALSE)+VLOOKUP($A229,'1.3.21-28.2.22'!$A$6:$DA$404,27,FALSE)-VLOOKUP($A229,'01-02.2022'!$A$6:$DA$376,27,FALSE)</f>
        <v>1490.77</v>
      </c>
      <c r="AB229" s="566">
        <f>VLOOKUP($A229,'01-02.2021'!$A$6:$CZ$403,28,FALSE)+VLOOKUP($A229,'1.3.21-28.2.22'!$A$6:$DA$404,28,FALSE)-VLOOKUP($A229,'01-02.2022'!$A$6:$DA$376,28,FALSE)</f>
        <v>0</v>
      </c>
      <c r="AC229" s="70">
        <f t="shared" si="247"/>
        <v>-1490.77</v>
      </c>
      <c r="AD229" s="566">
        <f>VLOOKUP($A229,'01-02.2021'!$A$6:$CZ$403,30,FALSE)+VLOOKUP($A229,'1.3.21-28.2.22'!$A$6:$DA$404,30,FALSE)-VLOOKUP($A229,'01-02.2022'!$A$6:$DA$376,30,FALSE)</f>
        <v>32008.826835743661</v>
      </c>
      <c r="AE229" s="566">
        <f>VLOOKUP($A229,'01-02.2021'!$A$6:$CZ$403,31,FALSE)+VLOOKUP($A229,'1.3.21-28.2.22'!$A$6:$DA$404,31,FALSE)-VLOOKUP($A229,'01-02.2022'!$A$6:$DA$376,31,FALSE)</f>
        <v>33923.503851816073</v>
      </c>
      <c r="AF229" s="68">
        <f t="shared" si="248"/>
        <v>1914.6770160724118</v>
      </c>
      <c r="AG229" s="77">
        <f t="shared" si="219"/>
        <v>83989.651403711672</v>
      </c>
      <c r="AH229" s="53">
        <f t="shared" si="219"/>
        <v>79097.359132551705</v>
      </c>
      <c r="AI229" s="52">
        <f t="shared" si="224"/>
        <v>-4892.2922711599676</v>
      </c>
      <c r="AJ229" s="566">
        <f>VLOOKUP($A229,'01-02.2021'!$A$6:$CZ$403,36,FALSE)+VLOOKUP($A229,'1.3.21-28.2.22'!$A$6:$DA$404,36,FALSE)-VLOOKUP($A229,'01-02.2022'!$A$6:$DA$376,36,FALSE)</f>
        <v>77594.473195216371</v>
      </c>
      <c r="AK229" s="566">
        <f>VLOOKUP($A229,'01-02.2021'!$A$6:$CZ$403,37,FALSE)+VLOOKUP($A229,'1.3.21-28.2.22'!$A$6:$DA$404,37,FALSE)-VLOOKUP($A229,'01-02.2022'!$A$6:$DA$376,37,FALSE)</f>
        <v>77085.802864975354</v>
      </c>
      <c r="AL229" s="70">
        <f t="shared" si="249"/>
        <v>-508.67033024101693</v>
      </c>
      <c r="AM229" s="566">
        <f>VLOOKUP($A229,'01-02.2021'!$A$6:$CZ$403,39,FALSE)+VLOOKUP($A229,'1.3.21-28.2.22'!$A$6:$DA$404,39,FALSE)-VLOOKUP($A229,'01-02.2022'!$A$6:$DA$376,39,FALSE)</f>
        <v>0</v>
      </c>
      <c r="AN229" s="566">
        <f>VLOOKUP($A229,'01-02.2021'!$A$6:$CZ$403,40,FALSE)+VLOOKUP($A229,'1.3.21-28.2.22'!$A$6:$DA$404,40,FALSE)-VLOOKUP($A229,'01-02.2022'!$A$6:$DA$376,40,FALSE)</f>
        <v>0</v>
      </c>
      <c r="AO229" s="70">
        <f t="shared" si="250"/>
        <v>0</v>
      </c>
      <c r="AP229" s="566">
        <f>VLOOKUP($A229,'01-02.2021'!$A$6:$CZ$403,42,FALSE)+VLOOKUP($A229,'1.3.21-28.2.22'!$A$6:$DA$404,42,FALSE)-VLOOKUP($A229,'01-02.2022'!$A$6:$DA$376,42,FALSE)</f>
        <v>5205.599250127776</v>
      </c>
      <c r="AQ229" s="566">
        <f>VLOOKUP($A229,'01-02.2021'!$A$6:$CZ$403,43,FALSE)+VLOOKUP($A229,'1.3.21-28.2.22'!$A$6:$DA$404,43,FALSE)-VLOOKUP($A229,'01-02.2022'!$A$6:$DA$376,43,FALSE)</f>
        <v>4484.1803127874882</v>
      </c>
      <c r="AR229" s="70">
        <f t="shared" si="251"/>
        <v>-721.41893734028781</v>
      </c>
      <c r="AS229" s="566">
        <f>VLOOKUP($A229,'01-02.2021'!$A$6:$CZ$403,45,FALSE)+VLOOKUP($A229,'1.3.21-28.2.22'!$A$6:$DA$404,45,FALSE)-VLOOKUP($A229,'01-02.2022'!$A$6:$DA$376,45,FALSE)</f>
        <v>92727.623502778195</v>
      </c>
      <c r="AT229" s="566">
        <f>VLOOKUP($A229,'01-02.2021'!$A$6:$CZ$403,46,FALSE)+VLOOKUP($A229,'1.3.21-28.2.22'!$A$6:$DA$404,46,FALSE)-VLOOKUP($A229,'01-02.2022'!$A$6:$DA$376,46,FALSE)</f>
        <v>22659.26</v>
      </c>
      <c r="AU229" s="78">
        <f t="shared" si="252"/>
        <v>-70068.3635027782</v>
      </c>
      <c r="AV229" s="566">
        <f>VLOOKUP($A229,'01-02.2021'!$A$6:$CZ$403,48,FALSE)+VLOOKUP($A229,'1.3.21-28.2.22'!$A$6:$DA$404,48,FALSE)-VLOOKUP($A229,'01-02.2022'!$A$6:$DA$376,48,FALSE)</f>
        <v>4400.4434067132042</v>
      </c>
      <c r="AW229" s="566">
        <f>VLOOKUP($A229,'01-02.2021'!$A$6:$CZ$403,49,FALSE)+VLOOKUP($A229,'1.3.21-28.2.22'!$A$6:$DA$404,49,FALSE)-VLOOKUP($A229,'01-02.2022'!$A$6:$DA$376,49,FALSE)</f>
        <v>4264.3</v>
      </c>
      <c r="AX229" s="55">
        <f t="shared" si="253"/>
        <v>-136.14340671320406</v>
      </c>
      <c r="AY229" s="566">
        <f>VLOOKUP($A229,'01-02.2021'!$A$6:$CZ$403,51,FALSE)+VLOOKUP($A229,'1.3.21-28.2.22'!$A$6:$DA$404,51,FALSE)-VLOOKUP($A229,'01-02.2022'!$A$6:$DA$376,51,FALSE)</f>
        <v>5201.8432314979027</v>
      </c>
      <c r="AZ229" s="566">
        <f>VLOOKUP($A229,'01-02.2021'!$A$6:$CZ$403,52,FALSE)+VLOOKUP($A229,'1.3.21-28.2.22'!$A$6:$DA$404,52,FALSE)-VLOOKUP($A229,'01-02.2022'!$A$6:$DA$376,52,FALSE)</f>
        <v>5170.0200000000004</v>
      </c>
      <c r="BA229" s="38">
        <f t="shared" si="254"/>
        <v>-31.82323149790227</v>
      </c>
      <c r="BB229" s="566">
        <f>VLOOKUP($A229,'01-02.2021'!$A$6:$CZ$403,54,FALSE)+VLOOKUP($A229,'1.3.21-28.2.22'!$A$6:$DA$404,54,FALSE)-VLOOKUP($A229,'01-02.2022'!$A$6:$DA$376,54,FALSE)</f>
        <v>3141.8671138912673</v>
      </c>
      <c r="BC229" s="566">
        <f>VLOOKUP($A229,'01-02.2021'!$A$6:$CZ$403,55,FALSE)+VLOOKUP($A229,'1.3.21-28.2.22'!$A$6:$DA$404,55,FALSE)-VLOOKUP($A229,'01-02.2022'!$A$6:$DA$376,55,FALSE)</f>
        <v>961</v>
      </c>
      <c r="BD229" s="55">
        <f t="shared" si="255"/>
        <v>-2180.8671138912673</v>
      </c>
      <c r="BE229" s="566">
        <f>VLOOKUP($A229,'01-02.2021'!$A$6:$CZ$403,57,FALSE)+VLOOKUP($A229,'1.3.21-28.2.22'!$A$6:$DA$404,57,FALSE)-VLOOKUP($A229,'01-02.2022'!$A$6:$DA$376,57,FALSE)</f>
        <v>4475.7326524073069</v>
      </c>
      <c r="BF229" s="566">
        <f>VLOOKUP($A229,'01-02.2021'!$A$6:$CZ$403,58,FALSE)+VLOOKUP($A229,'1.3.21-28.2.22'!$A$6:$DA$404,58,FALSE)-VLOOKUP($A229,'01-02.2022'!$A$6:$DA$376,58,FALSE)</f>
        <v>6896</v>
      </c>
      <c r="BG229" s="55">
        <f t="shared" si="256"/>
        <v>2420.2673475926931</v>
      </c>
      <c r="BH229" s="566">
        <f>VLOOKUP($A229,'01-02.2021'!$A$6:$CZ$403,60,FALSE)+VLOOKUP($A229,'1.3.21-28.2.22'!$A$6:$DA$404,60,FALSE)-VLOOKUP($A229,'01-02.2022'!$A$6:$DA$376,60,FALSE)</f>
        <v>1913.5696814495238</v>
      </c>
      <c r="BI229" s="566">
        <f>VLOOKUP($A229,'01-02.2021'!$A$6:$CZ$403,61,FALSE)+VLOOKUP($A229,'1.3.21-28.2.22'!$A$6:$DA$404,61,FALSE)-VLOOKUP($A229,'01-02.2022'!$A$6:$DA$376,61,FALSE)</f>
        <v>3874</v>
      </c>
      <c r="BJ229" s="55">
        <f t="shared" si="257"/>
        <v>1960.4303185504762</v>
      </c>
      <c r="BK229" s="566">
        <f>VLOOKUP($A229,'01-02.2021'!$A$6:$CZ$403,63,FALSE)+VLOOKUP($A229,'1.3.21-28.2.22'!$A$6:$DA$404,63,FALSE)-VLOOKUP($A229,'01-02.2022'!$A$6:$DA$376,63,FALSE)</f>
        <v>4295.7963493250236</v>
      </c>
      <c r="BL229" s="566">
        <f>VLOOKUP($A229,'01-02.2021'!$A$6:$CZ$403,64,FALSE)+VLOOKUP($A229,'1.3.21-28.2.22'!$A$6:$DA$404,64,FALSE)-VLOOKUP($A229,'01-02.2022'!$A$6:$DA$376,64,FALSE)</f>
        <v>0</v>
      </c>
      <c r="BM229" s="55">
        <f t="shared" si="258"/>
        <v>-4295.7963493250236</v>
      </c>
      <c r="BN229" s="566">
        <f>VLOOKUP($A229,'01-02.2021'!$A$6:$CZ$403,66,FALSE)+VLOOKUP($A229,'1.3.21-28.2.22'!$A$6:$DA$404,66,FALSE)-VLOOKUP($A229,'01-02.2022'!$A$6:$DA$376,66,FALSE)</f>
        <v>751.79243607555532</v>
      </c>
      <c r="BO229" s="566">
        <f>VLOOKUP($A229,'01-02.2021'!$A$6:$CZ$403,67,FALSE)+VLOOKUP($A229,'1.3.21-28.2.22'!$A$6:$DA$404,67,FALSE)-VLOOKUP($A229,'01-02.2022'!$A$6:$DA$376,67,FALSE)</f>
        <v>0</v>
      </c>
      <c r="BP229" s="55">
        <f t="shared" si="259"/>
        <v>-751.79243607555532</v>
      </c>
      <c r="BQ229" s="77">
        <f t="shared" ref="BQ229:BQ284" si="287">AV229+AY229+BB229+BE229+BH229+BK229+BN229</f>
        <v>24181.044871359783</v>
      </c>
      <c r="BR229" s="40">
        <f t="shared" si="237"/>
        <v>21165.32</v>
      </c>
      <c r="BS229" s="55">
        <f t="shared" si="236"/>
        <v>-3015.7248713597837</v>
      </c>
      <c r="BT229" s="566">
        <f>VLOOKUP($A229,'01-02.2021'!$A$6:$CZ$403,72,FALSE)+VLOOKUP($A229,'1.3.21-28.2.22'!$A$6:$DA$404,72,FALSE)-VLOOKUP($A229,'01-02.2022'!$A$6:$DA$376,72,FALSE)</f>
        <v>90084.663766304118</v>
      </c>
      <c r="BU229" s="566">
        <f>VLOOKUP($A229,'01-02.2021'!$A$6:$CZ$403,73,FALSE)+VLOOKUP($A229,'1.3.21-28.2.22'!$A$6:$DA$404,73,FALSE)-VLOOKUP($A229,'01-02.2022'!$A$6:$DA$376,73,FALSE)</f>
        <v>88590.869164013653</v>
      </c>
      <c r="BV229" s="70">
        <f t="shared" si="260"/>
        <v>-1493.7946022904653</v>
      </c>
      <c r="BW229" s="566">
        <f>VLOOKUP($A229,'01-02.2021'!$A$6:$CZ$403,75,FALSE)+VLOOKUP($A229,'1.3.21-28.2.22'!$A$6:$DA$404,75,FALSE)-VLOOKUP($A229,'01-02.2022'!$A$6:$DA$376,75,FALSE)</f>
        <v>50619.507820901206</v>
      </c>
      <c r="BX229" s="566">
        <f>VLOOKUP($A229,'01-02.2021'!$A$6:$CZ$403,76,FALSE)+VLOOKUP($A229,'1.3.21-28.2.22'!$A$6:$DA$404,76,FALSE)-VLOOKUP($A229,'01-02.2022'!$A$6:$DA$376,76,FALSE)</f>
        <v>51083.311487515813</v>
      </c>
      <c r="BY229" s="70">
        <f t="shared" si="261"/>
        <v>463.80366661460721</v>
      </c>
      <c r="BZ229" s="566">
        <f>VLOOKUP($A229,'01-02.2021'!$A$6:$CZ$403,78,FALSE)+VLOOKUP($A229,'1.3.21-28.2.22'!$A$6:$DA$404,78,FALSE)-VLOOKUP($A229,'01-02.2022'!$A$6:$DA$376,78,FALSE)</f>
        <v>14568.130319146305</v>
      </c>
      <c r="CA229" s="566">
        <f>VLOOKUP($A229,'01-02.2021'!$A$6:$CZ$403,79,FALSE)+VLOOKUP($A229,'1.3.21-28.2.22'!$A$6:$DA$404,79,FALSE)-VLOOKUP($A229,'01-02.2022'!$A$6:$DA$376,79,FALSE)</f>
        <v>20111.499500216185</v>
      </c>
      <c r="CB229" s="70">
        <f t="shared" si="262"/>
        <v>5543.3691810698801</v>
      </c>
      <c r="CC229" s="566">
        <f>VLOOKUP($A229,'01-02.2021'!$A$6:$CZ$403,81,FALSE)+VLOOKUP($A229,'1.3.21-28.2.22'!$A$6:$DA$404,81,FALSE)-VLOOKUP($A229,'01-02.2022'!$A$6:$DA$376,81,FALSE)</f>
        <v>2085.5937874682495</v>
      </c>
      <c r="CD229" s="566">
        <f>VLOOKUP($A229,'01-02.2021'!$A$6:$CZ$403,82,FALSE)+VLOOKUP($A229,'1.3.21-28.2.22'!$A$6:$DA$404,82,FALSE)-VLOOKUP($A229,'01-02.2022'!$A$6:$DA$376,82,FALSE)</f>
        <v>2272.2336002991165</v>
      </c>
      <c r="CE229" s="70">
        <f t="shared" si="263"/>
        <v>186.63981283086696</v>
      </c>
      <c r="CF229" s="566">
        <f>VLOOKUP($A229,'01-02.2021'!$A$6:$CZ$403,84,FALSE)+VLOOKUP($A229,'1.3.21-28.2.22'!$A$6:$DA$404,84,FALSE)-VLOOKUP($A229,'01-02.2022'!$A$6:$DA$376,84,FALSE)</f>
        <v>252.73427648771073</v>
      </c>
      <c r="CG229" s="566">
        <f>VLOOKUP($A229,'01-02.2021'!$A$6:$CZ$403,85,FALSE)+VLOOKUP($A229,'1.3.21-28.2.22'!$A$6:$DA$404,85,FALSE)-VLOOKUP($A229,'01-02.2022'!$A$6:$DA$376,85,FALSE)</f>
        <v>0</v>
      </c>
      <c r="CH229" s="70">
        <f t="shared" si="264"/>
        <v>-252.73427648771073</v>
      </c>
      <c r="CI229" s="566">
        <f>VLOOKUP($A229,'01-02.2021'!$A$6:$CZ$403,87,FALSE)+VLOOKUP($A229,'1.3.21-28.2.22'!$A$6:$DA$404,87,FALSE)-VLOOKUP($A229,'01-02.2022'!$A$6:$DA$376,87,FALSE)</f>
        <v>31318.464918425096</v>
      </c>
      <c r="CJ229" s="566">
        <f>VLOOKUP($A229,'01-02.2021'!$A$6:$CZ$403,88,FALSE)+VLOOKUP($A229,'1.3.21-28.2.22'!$A$6:$DA$404,88,FALSE)-VLOOKUP($A229,'01-02.2022'!$A$6:$DA$376,88,FALSE)</f>
        <v>26238.465553187605</v>
      </c>
      <c r="CK229" s="70">
        <f t="shared" si="265"/>
        <v>-5079.9993652374906</v>
      </c>
      <c r="CL229" s="566">
        <f>VLOOKUP($A229,'01-02.2021'!$A$6:$CZ$403,90,FALSE)+VLOOKUP($A229,'1.3.21-28.2.22'!$A$6:$DA$404,90,FALSE)-VLOOKUP($A229,'01-02.2022'!$A$6:$DA$376,90,FALSE)</f>
        <v>20964.533585845609</v>
      </c>
      <c r="CM229" s="566">
        <f>VLOOKUP($A229,'01-02.2021'!$A$6:$CZ$403,91,FALSE)+VLOOKUP($A229,'1.3.21-28.2.22'!$A$6:$DA$404,91,FALSE)-VLOOKUP($A229,'01-02.2022'!$A$6:$DA$376,91,FALSE)</f>
        <v>10820.622514732004</v>
      </c>
      <c r="CN229" s="52">
        <f t="shared" si="225"/>
        <v>-10143.911071113605</v>
      </c>
      <c r="CO229" s="39">
        <f t="shared" si="220"/>
        <v>52282.998504270705</v>
      </c>
      <c r="CP229" s="40">
        <f t="shared" si="226"/>
        <v>37059.088067919613</v>
      </c>
      <c r="CQ229" s="52">
        <f t="shared" si="227"/>
        <v>-15223.910436351092</v>
      </c>
      <c r="CR229" s="72">
        <f t="shared" si="221"/>
        <v>493592.02069777215</v>
      </c>
      <c r="CS229" s="5">
        <f t="shared" si="221"/>
        <v>403608.92413027887</v>
      </c>
      <c r="CT229" s="52">
        <f t="shared" si="228"/>
        <v>-89983.096567493281</v>
      </c>
      <c r="CU229" s="77">
        <f t="shared" si="229"/>
        <v>592310.42483732651</v>
      </c>
      <c r="CV229" s="65">
        <f t="shared" si="230"/>
        <v>484330.70895633462</v>
      </c>
      <c r="CW229" s="35">
        <f t="shared" si="231"/>
        <v>-107979.71588099189</v>
      </c>
      <c r="CX229" s="566">
        <f>VLOOKUP($A229,'01-02.2021'!$A$6:$CZ$403,102,FALSE)+VLOOKUP($A229,'1.3.21-28.2.22'!$A$6:$DA$404,102,FALSE)-VLOOKUP($A229,'01-02.2022'!$A$6:$DA$376,102,FALSE)</f>
        <v>20796.596607135372</v>
      </c>
      <c r="CY229" s="566">
        <f>VLOOKUP($A229,'01-02.2021'!$A$6:$CZ$403,103,FALSE)+VLOOKUP($A229,'1.3.21-28.2.22'!$A$6:$DA$404,103,FALSE)-VLOOKUP($A229,'01-02.2022'!$A$6:$DA$376,103,FALSE)</f>
        <v>128776.31248812721</v>
      </c>
      <c r="CZ229" s="52">
        <f t="shared" si="232"/>
        <v>107979.71588099183</v>
      </c>
      <c r="DA229" s="150">
        <f>'[2]побудинковий звіт'!DA229</f>
        <v>-43072.640164695695</v>
      </c>
      <c r="DB229" s="2">
        <v>1</v>
      </c>
      <c r="DC229" s="414">
        <f>'[4]побудинковий звіт'!DC229</f>
        <v>87840.29</v>
      </c>
      <c r="DD229" s="414">
        <f>'[4]побудинковий звіт'!DD229</f>
        <v>0</v>
      </c>
      <c r="DE229" s="557">
        <f>'[4]побудинковий звіт'!DE229</f>
        <v>32903.525283182105</v>
      </c>
      <c r="DF229" s="557">
        <f>'[4]побудинковий звіт'!DF229</f>
        <v>0</v>
      </c>
      <c r="DG229" s="321">
        <f>VLOOKUP(A229,'кошти 01.03.2021'!$A$6:$D$401,4,)</f>
        <v>74508.906170577902</v>
      </c>
      <c r="DH229" s="40">
        <f>'[3]побудинковий звіт'!DJ229</f>
        <v>631229.14679751243</v>
      </c>
      <c r="DI229" s="422">
        <f>'[3]побудинковий звіт'!CU229+'[3]побудинковий звіт'!CX229</f>
        <v>54936.764716817896</v>
      </c>
      <c r="DJ229" s="306">
        <f>'[3]побудинковий звіт'!DM229</f>
        <v>5.9786604375016941</v>
      </c>
      <c r="DK229" s="306">
        <f>'[3]побудинковий звіт'!DN229</f>
        <v>7.5749399607295995</v>
      </c>
      <c r="DL229" s="306">
        <f>'[3]побудинковий звіт'!DO229</f>
        <v>5.1698747787574808</v>
      </c>
      <c r="DM229" s="28">
        <f t="shared" ref="DM229:DM233" si="288">DJ229*G229+(F229-G229)*DK229</f>
        <v>54936.764716817888</v>
      </c>
      <c r="DN229" s="28">
        <f>DL229*H229</f>
        <v>0</v>
      </c>
      <c r="DO229" s="423">
        <f t="shared" si="238"/>
        <v>54936.764716817888</v>
      </c>
      <c r="DP229" s="94">
        <f t="shared" si="239"/>
        <v>0</v>
      </c>
      <c r="DQ229" s="28">
        <f t="shared" si="240"/>
        <v>54936.764716817888</v>
      </c>
      <c r="DR229" s="318"/>
      <c r="DT229" s="8"/>
      <c r="DU229" s="5"/>
      <c r="DX229" s="5">
        <f t="shared" si="241"/>
        <v>140290.40204896557</v>
      </c>
      <c r="DY229" s="5">
        <f t="shared" si="242"/>
        <v>52589.495999999999</v>
      </c>
      <c r="DZ229" s="159">
        <f>'[3]побудинковий звіт'!EA229</f>
        <v>13065.67973807045</v>
      </c>
    </row>
    <row r="230" spans="1:130" x14ac:dyDescent="0.3">
      <c r="A230" s="325">
        <v>150000941</v>
      </c>
      <c r="B230" s="41" t="s">
        <v>677</v>
      </c>
      <c r="C230" s="42" t="s">
        <v>338</v>
      </c>
      <c r="D230" s="42"/>
      <c r="E230" s="293">
        <f t="shared" si="218"/>
        <v>6120.05</v>
      </c>
      <c r="F230" s="305">
        <f>'[3]побудинковий звіт'!F230</f>
        <v>6120.05</v>
      </c>
      <c r="G230" s="508">
        <f>'[3]побудинковий звіт'!G230</f>
        <v>717.15</v>
      </c>
      <c r="H230" s="560">
        <f>'[3]побудинковий звіт'!H230</f>
        <v>0</v>
      </c>
      <c r="I230" s="566">
        <f>VLOOKUP($A230,'01-02.2021'!$A$6:$CZ$403,9,FALSE)+VLOOKUP($A230,'1.3.21-28.2.22'!$A$6:$DA$404,9,FALSE)-VLOOKUP($A230,'01-02.2022'!$A$6:$DA$376,9,FALSE)</f>
        <v>9475.5485796588491</v>
      </c>
      <c r="J230" s="566">
        <f>VLOOKUP($A230,'01-02.2021'!$A$6:$CZ$403,10,FALSE)+VLOOKUP($A230,'1.3.21-28.2.22'!$A$6:$DA$404,10,FALSE)-VLOOKUP($A230,'01-02.2022'!$A$6:$DA$376,10,FALSE)</f>
        <v>8861.7852668700525</v>
      </c>
      <c r="K230" s="52">
        <f t="shared" si="222"/>
        <v>-613.76331278879661</v>
      </c>
      <c r="L230" s="566">
        <f>VLOOKUP($A230,'01-02.2021'!$A$6:$CZ$403,12,FALSE)+VLOOKUP($A230,'1.3.21-28.2.22'!$A$6:$DA$404,12,FALSE)-VLOOKUP($A230,'01-02.2022'!$A$6:$DA$376,12,FALSE)</f>
        <v>2738.1752049630809</v>
      </c>
      <c r="M230" s="566">
        <f>VLOOKUP($A230,'01-02.2021'!$A$6:$CZ$403,13,FALSE)+VLOOKUP($A230,'1.3.21-28.2.22'!$A$6:$DA$404,13,FALSE)-VLOOKUP($A230,'01-02.2022'!$A$6:$DA$376,13,FALSE)</f>
        <v>2481.07545425325</v>
      </c>
      <c r="N230" s="52">
        <f t="shared" si="223"/>
        <v>-257.09975070983091</v>
      </c>
      <c r="O230" s="566">
        <f>VLOOKUP($A230,'01-02.2021'!$A$6:$CZ$403,15,FALSE)+VLOOKUP($A230,'1.3.21-28.2.22'!$A$6:$DA$404,15,FALSE)-VLOOKUP($A230,'01-02.2022'!$A$6:$DA$376,15,FALSE)</f>
        <v>8998.0006939963914</v>
      </c>
      <c r="P230" s="566">
        <f>VLOOKUP($A230,'01-02.2021'!$A$6:$CZ$403,16,FALSE)+VLOOKUP($A230,'1.3.21-28.2.22'!$A$6:$DA$404,16,FALSE)-VLOOKUP($A230,'01-02.2022'!$A$6:$DA$376,16,FALSE)</f>
        <v>8998</v>
      </c>
      <c r="Q230" s="70">
        <f t="shared" si="243"/>
        <v>-6.9399639141920488E-4</v>
      </c>
      <c r="R230" s="566">
        <f>VLOOKUP($A230,'01-02.2021'!$A$6:$CZ$403,18,FALSE)+VLOOKUP($A230,'1.3.21-28.2.22'!$A$6:$DA$404,18,FALSE)-VLOOKUP($A230,'01-02.2022'!$A$6:$DA$376,18,FALSE)</f>
        <v>1660.5744386245751</v>
      </c>
      <c r="S230" s="566">
        <f>VLOOKUP($A230,'01-02.2021'!$A$6:$CZ$403,19,FALSE)+VLOOKUP($A230,'1.3.21-28.2.22'!$A$6:$DA$404,19,FALSE)-VLOOKUP($A230,'01-02.2022'!$A$6:$DA$376,19,FALSE)</f>
        <v>1660.6200000000001</v>
      </c>
      <c r="T230" s="70">
        <f t="shared" si="244"/>
        <v>4.5561375424995276E-2</v>
      </c>
      <c r="U230" s="566">
        <f>VLOOKUP($A230,'01-02.2021'!$A$6:$CZ$403,21,FALSE)+VLOOKUP($A230,'1.3.21-28.2.22'!$A$6:$DA$404,21,FALSE)-VLOOKUP($A230,'01-02.2022'!$A$6:$DA$376,21,FALSE)</f>
        <v>938.45738323650767</v>
      </c>
      <c r="V230" s="566">
        <f>VLOOKUP($A230,'01-02.2021'!$A$6:$CZ$403,22,FALSE)+VLOOKUP($A230,'1.3.21-28.2.22'!$A$6:$DA$404,22,FALSE)-VLOOKUP($A230,'01-02.2022'!$A$6:$DA$376,22,FALSE)</f>
        <v>668.0379808787842</v>
      </c>
      <c r="W230" s="70">
        <f t="shared" si="245"/>
        <v>-270.41940235772347</v>
      </c>
      <c r="X230" s="566">
        <f>VLOOKUP($A230,'01-02.2021'!$A$6:$CZ$403,24,FALSE)+VLOOKUP($A230,'1.3.21-28.2.22'!$A$6:$DA$404,24,FALSE)-VLOOKUP($A230,'01-02.2022'!$A$6:$DA$376,24,FALSE)</f>
        <v>11137.033101370549</v>
      </c>
      <c r="Y230" s="566">
        <f>VLOOKUP($A230,'01-02.2021'!$A$6:$CZ$403,25,FALSE)+VLOOKUP($A230,'1.3.21-28.2.22'!$A$6:$DA$404,25,FALSE)-VLOOKUP($A230,'01-02.2022'!$A$6:$DA$376,25,FALSE)</f>
        <v>8509.6270556049167</v>
      </c>
      <c r="Z230" s="70">
        <f t="shared" si="246"/>
        <v>-2627.4060457656324</v>
      </c>
      <c r="AA230" s="566">
        <f>VLOOKUP($A230,'01-02.2021'!$A$6:$CZ$403,27,FALSE)+VLOOKUP($A230,'1.3.21-28.2.22'!$A$6:$DA$404,27,FALSE)-VLOOKUP($A230,'01-02.2022'!$A$6:$DA$376,27,FALSE)</f>
        <v>1224.1600000000001</v>
      </c>
      <c r="AB230" s="566">
        <f>VLOOKUP($A230,'01-02.2021'!$A$6:$CZ$403,28,FALSE)+VLOOKUP($A230,'1.3.21-28.2.22'!$A$6:$DA$404,28,FALSE)-VLOOKUP($A230,'01-02.2022'!$A$6:$DA$376,28,FALSE)</f>
        <v>0</v>
      </c>
      <c r="AC230" s="70">
        <f t="shared" si="247"/>
        <v>-1224.1600000000001</v>
      </c>
      <c r="AD230" s="566">
        <f>VLOOKUP($A230,'01-02.2021'!$A$6:$CZ$403,30,FALSE)+VLOOKUP($A230,'1.3.21-28.2.22'!$A$6:$DA$404,30,FALSE)-VLOOKUP($A230,'01-02.2022'!$A$6:$DA$376,30,FALSE)</f>
        <v>26288.748382627411</v>
      </c>
      <c r="AE230" s="566">
        <f>VLOOKUP($A230,'01-02.2021'!$A$6:$CZ$403,31,FALSE)+VLOOKUP($A230,'1.3.21-28.2.22'!$A$6:$DA$404,31,FALSE)-VLOOKUP($A230,'01-02.2022'!$A$6:$DA$376,31,FALSE)</f>
        <v>27859.416478933585</v>
      </c>
      <c r="AF230" s="68">
        <f t="shared" si="248"/>
        <v>1570.6680963061735</v>
      </c>
      <c r="AG230" s="77">
        <f t="shared" si="219"/>
        <v>62460.697784477372</v>
      </c>
      <c r="AH230" s="53">
        <f t="shared" si="219"/>
        <v>59038.562236540587</v>
      </c>
      <c r="AI230" s="52">
        <f t="shared" si="224"/>
        <v>-3422.1355479367849</v>
      </c>
      <c r="AJ230" s="566">
        <f>VLOOKUP($A230,'01-02.2021'!$A$6:$CZ$403,36,FALSE)+VLOOKUP($A230,'1.3.21-28.2.22'!$A$6:$DA$404,36,FALSE)-VLOOKUP($A230,'01-02.2022'!$A$6:$DA$376,36,FALSE)</f>
        <v>49187.682971801449</v>
      </c>
      <c r="AK230" s="566">
        <f>VLOOKUP($A230,'01-02.2021'!$A$6:$CZ$403,37,FALSE)+VLOOKUP($A230,'1.3.21-28.2.22'!$A$6:$DA$404,37,FALSE)-VLOOKUP($A230,'01-02.2022'!$A$6:$DA$376,37,FALSE)</f>
        <v>48865.177724971691</v>
      </c>
      <c r="AL230" s="70">
        <f t="shared" si="249"/>
        <v>-322.50524682975811</v>
      </c>
      <c r="AM230" s="566">
        <f>VLOOKUP($A230,'01-02.2021'!$A$6:$CZ$403,39,FALSE)+VLOOKUP($A230,'1.3.21-28.2.22'!$A$6:$DA$404,39,FALSE)-VLOOKUP($A230,'01-02.2022'!$A$6:$DA$376,39,FALSE)</f>
        <v>3287.6134905241297</v>
      </c>
      <c r="AN230" s="566">
        <f>VLOOKUP($A230,'01-02.2021'!$A$6:$CZ$403,40,FALSE)+VLOOKUP($A230,'1.3.21-28.2.22'!$A$6:$DA$404,40,FALSE)-VLOOKUP($A230,'01-02.2022'!$A$6:$DA$376,40,FALSE)</f>
        <v>1043.0412335713274</v>
      </c>
      <c r="AO230" s="70">
        <f t="shared" si="250"/>
        <v>-2244.5722569528025</v>
      </c>
      <c r="AP230" s="566">
        <f>VLOOKUP($A230,'01-02.2021'!$A$6:$CZ$403,42,FALSE)+VLOOKUP($A230,'1.3.21-28.2.22'!$A$6:$DA$404,42,FALSE)-VLOOKUP($A230,'01-02.2022'!$A$6:$DA$376,42,FALSE)</f>
        <v>4424.7593626086082</v>
      </c>
      <c r="AQ230" s="566">
        <f>VLOOKUP($A230,'01-02.2021'!$A$6:$CZ$403,43,FALSE)+VLOOKUP($A230,'1.3.21-28.2.22'!$A$6:$DA$404,43,FALSE)-VLOOKUP($A230,'01-02.2022'!$A$6:$DA$376,43,FALSE)</f>
        <v>3777.1843320339894</v>
      </c>
      <c r="AR230" s="70">
        <f t="shared" si="251"/>
        <v>-647.57503057461872</v>
      </c>
      <c r="AS230" s="566">
        <f>VLOOKUP($A230,'01-02.2021'!$A$6:$CZ$403,45,FALSE)+VLOOKUP($A230,'1.3.21-28.2.22'!$A$6:$DA$404,45,FALSE)-VLOOKUP($A230,'01-02.2022'!$A$6:$DA$376,45,FALSE)</f>
        <v>94815.411793098508</v>
      </c>
      <c r="AT230" s="566">
        <f>VLOOKUP($A230,'01-02.2021'!$A$6:$CZ$403,46,FALSE)+VLOOKUP($A230,'1.3.21-28.2.22'!$A$6:$DA$404,46,FALSE)-VLOOKUP($A230,'01-02.2022'!$A$6:$DA$376,46,FALSE)</f>
        <v>33002.31</v>
      </c>
      <c r="AU230" s="78">
        <f t="shared" si="252"/>
        <v>-61813.101793098511</v>
      </c>
      <c r="AV230" s="566">
        <f>VLOOKUP($A230,'01-02.2021'!$A$6:$CZ$403,48,FALSE)+VLOOKUP($A230,'1.3.21-28.2.22'!$A$6:$DA$404,48,FALSE)-VLOOKUP($A230,'01-02.2022'!$A$6:$DA$376,48,FALSE)</f>
        <v>2007.9551088978415</v>
      </c>
      <c r="AW230" s="566">
        <f>VLOOKUP($A230,'01-02.2021'!$A$6:$CZ$403,49,FALSE)+VLOOKUP($A230,'1.3.21-28.2.22'!$A$6:$DA$404,49,FALSE)-VLOOKUP($A230,'01-02.2022'!$A$6:$DA$376,49,FALSE)</f>
        <v>823</v>
      </c>
      <c r="AX230" s="55">
        <f t="shared" si="253"/>
        <v>-1184.9551088978415</v>
      </c>
      <c r="AY230" s="566">
        <f>VLOOKUP($A230,'01-02.2021'!$A$6:$CZ$403,51,FALSE)+VLOOKUP($A230,'1.3.21-28.2.22'!$A$6:$DA$404,51,FALSE)-VLOOKUP($A230,'01-02.2022'!$A$6:$DA$376,51,FALSE)</f>
        <v>3434.6494515247882</v>
      </c>
      <c r="AZ230" s="566">
        <f>VLOOKUP($A230,'01-02.2021'!$A$6:$CZ$403,52,FALSE)+VLOOKUP($A230,'1.3.21-28.2.22'!$A$6:$DA$404,52,FALSE)-VLOOKUP($A230,'01-02.2022'!$A$6:$DA$376,52,FALSE)</f>
        <v>6066</v>
      </c>
      <c r="BA230" s="38">
        <f t="shared" si="254"/>
        <v>2631.3505484752118</v>
      </c>
      <c r="BB230" s="566">
        <f>VLOOKUP($A230,'01-02.2021'!$A$6:$CZ$403,54,FALSE)+VLOOKUP($A230,'1.3.21-28.2.22'!$A$6:$DA$404,54,FALSE)-VLOOKUP($A230,'01-02.2022'!$A$6:$DA$376,54,FALSE)</f>
        <v>1412.5561423568647</v>
      </c>
      <c r="BC230" s="566">
        <f>VLOOKUP($A230,'01-02.2021'!$A$6:$CZ$403,55,FALSE)+VLOOKUP($A230,'1.3.21-28.2.22'!$A$6:$DA$404,55,FALSE)-VLOOKUP($A230,'01-02.2022'!$A$6:$DA$376,55,FALSE)</f>
        <v>0</v>
      </c>
      <c r="BD230" s="55">
        <f t="shared" si="255"/>
        <v>-1412.5561423568647</v>
      </c>
      <c r="BE230" s="566">
        <f>VLOOKUP($A230,'01-02.2021'!$A$6:$CZ$403,57,FALSE)+VLOOKUP($A230,'1.3.21-28.2.22'!$A$6:$DA$404,57,FALSE)-VLOOKUP($A230,'01-02.2022'!$A$6:$DA$376,57,FALSE)</f>
        <v>3446.5046379966911</v>
      </c>
      <c r="BF230" s="566">
        <f>VLOOKUP($A230,'01-02.2021'!$A$6:$CZ$403,58,FALSE)+VLOOKUP($A230,'1.3.21-28.2.22'!$A$6:$DA$404,58,FALSE)-VLOOKUP($A230,'01-02.2022'!$A$6:$DA$376,58,FALSE)</f>
        <v>0</v>
      </c>
      <c r="BG230" s="55">
        <f t="shared" si="256"/>
        <v>-3446.5046379966911</v>
      </c>
      <c r="BH230" s="566">
        <f>VLOOKUP($A230,'01-02.2021'!$A$6:$CZ$403,60,FALSE)+VLOOKUP($A230,'1.3.21-28.2.22'!$A$6:$DA$404,60,FALSE)-VLOOKUP($A230,'01-02.2022'!$A$6:$DA$376,60,FALSE)</f>
        <v>1654.0282213699832</v>
      </c>
      <c r="BI230" s="566">
        <f>VLOOKUP($A230,'01-02.2021'!$A$6:$CZ$403,61,FALSE)+VLOOKUP($A230,'1.3.21-28.2.22'!$A$6:$DA$404,61,FALSE)-VLOOKUP($A230,'01-02.2022'!$A$6:$DA$376,61,FALSE)</f>
        <v>0</v>
      </c>
      <c r="BJ230" s="55">
        <f t="shared" si="257"/>
        <v>-1654.0282213699832</v>
      </c>
      <c r="BK230" s="566">
        <f>VLOOKUP($A230,'01-02.2021'!$A$6:$CZ$403,63,FALSE)+VLOOKUP($A230,'1.3.21-28.2.22'!$A$6:$DA$404,63,FALSE)-VLOOKUP($A230,'01-02.2022'!$A$6:$DA$376,63,FALSE)</f>
        <v>2647.553238156001</v>
      </c>
      <c r="BL230" s="566">
        <f>VLOOKUP($A230,'01-02.2021'!$A$6:$CZ$403,64,FALSE)+VLOOKUP($A230,'1.3.21-28.2.22'!$A$6:$DA$404,64,FALSE)-VLOOKUP($A230,'01-02.2022'!$A$6:$DA$376,64,FALSE)</f>
        <v>0</v>
      </c>
      <c r="BM230" s="55">
        <f t="shared" si="258"/>
        <v>-2647.553238156001</v>
      </c>
      <c r="BN230" s="566">
        <f>VLOOKUP($A230,'01-02.2021'!$A$6:$CZ$403,66,FALSE)+VLOOKUP($A230,'1.3.21-28.2.22'!$A$6:$DA$404,66,FALSE)-VLOOKUP($A230,'01-02.2022'!$A$6:$DA$376,66,FALSE)</f>
        <v>949.70639891667486</v>
      </c>
      <c r="BO230" s="566">
        <f>VLOOKUP($A230,'01-02.2021'!$A$6:$CZ$403,67,FALSE)+VLOOKUP($A230,'1.3.21-28.2.22'!$A$6:$DA$404,67,FALSE)-VLOOKUP($A230,'01-02.2022'!$A$6:$DA$376,67,FALSE)</f>
        <v>0</v>
      </c>
      <c r="BP230" s="55">
        <f t="shared" si="259"/>
        <v>-949.70639891667486</v>
      </c>
      <c r="BQ230" s="77">
        <f t="shared" si="287"/>
        <v>15552.953199218844</v>
      </c>
      <c r="BR230" s="40">
        <f t="shared" ref="BR230:BR256" si="289">AW230+AZ230+BC230+BF230+BI230+BL230+BO230</f>
        <v>6889</v>
      </c>
      <c r="BS230" s="55">
        <f t="shared" si="236"/>
        <v>-8663.953199218844</v>
      </c>
      <c r="BT230" s="566">
        <f>VLOOKUP($A230,'01-02.2021'!$A$6:$CZ$403,72,FALSE)+VLOOKUP($A230,'1.3.21-28.2.22'!$A$6:$DA$404,72,FALSE)-VLOOKUP($A230,'01-02.2022'!$A$6:$DA$376,72,FALSE)</f>
        <v>62157.219219594175</v>
      </c>
      <c r="BU230" s="566">
        <f>VLOOKUP($A230,'01-02.2021'!$A$6:$CZ$403,73,FALSE)+VLOOKUP($A230,'1.3.21-28.2.22'!$A$6:$DA$404,73,FALSE)-VLOOKUP($A230,'01-02.2022'!$A$6:$DA$376,73,FALSE)</f>
        <v>65391.294164911298</v>
      </c>
      <c r="BV230" s="70">
        <f t="shared" si="260"/>
        <v>3234.0749453171229</v>
      </c>
      <c r="BW230" s="566">
        <f>VLOOKUP($A230,'01-02.2021'!$A$6:$CZ$403,75,FALSE)+VLOOKUP($A230,'1.3.21-28.2.22'!$A$6:$DA$404,75,FALSE)-VLOOKUP($A230,'01-02.2022'!$A$6:$DA$376,75,FALSE)</f>
        <v>49093.143252456306</v>
      </c>
      <c r="BX230" s="566">
        <f>VLOOKUP($A230,'01-02.2021'!$A$6:$CZ$403,76,FALSE)+VLOOKUP($A230,'1.3.21-28.2.22'!$A$6:$DA$404,76,FALSE)-VLOOKUP($A230,'01-02.2022'!$A$6:$DA$376,76,FALSE)</f>
        <v>52197.200398161411</v>
      </c>
      <c r="BY230" s="70">
        <f t="shared" si="261"/>
        <v>3104.0571457051046</v>
      </c>
      <c r="BZ230" s="566">
        <f>VLOOKUP($A230,'01-02.2021'!$A$6:$CZ$403,78,FALSE)+VLOOKUP($A230,'1.3.21-28.2.22'!$A$6:$DA$404,78,FALSE)-VLOOKUP($A230,'01-02.2022'!$A$6:$DA$376,78,FALSE)</f>
        <v>10426.759897269892</v>
      </c>
      <c r="CA230" s="566">
        <f>VLOOKUP($A230,'01-02.2021'!$A$6:$CZ$403,79,FALSE)+VLOOKUP($A230,'1.3.21-28.2.22'!$A$6:$DA$404,79,FALSE)-VLOOKUP($A230,'01-02.2022'!$A$6:$DA$376,79,FALSE)</f>
        <v>15621.021800598017</v>
      </c>
      <c r="CB230" s="70">
        <f t="shared" si="262"/>
        <v>5194.2619033281244</v>
      </c>
      <c r="CC230" s="566">
        <f>VLOOKUP($A230,'01-02.2021'!$A$6:$CZ$403,81,FALSE)+VLOOKUP($A230,'1.3.21-28.2.22'!$A$6:$DA$404,81,FALSE)-VLOOKUP($A230,'01-02.2022'!$A$6:$DA$376,81,FALSE)</f>
        <v>1660.3140759074263</v>
      </c>
      <c r="CD230" s="566">
        <f>VLOOKUP($A230,'01-02.2021'!$A$6:$CZ$403,82,FALSE)+VLOOKUP($A230,'1.3.21-28.2.22'!$A$6:$DA$404,82,FALSE)-VLOOKUP($A230,'01-02.2022'!$A$6:$DA$376,82,FALSE)</f>
        <v>1807.5116203818257</v>
      </c>
      <c r="CE230" s="70">
        <f t="shared" si="263"/>
        <v>147.19754447439936</v>
      </c>
      <c r="CF230" s="566">
        <f>VLOOKUP($A230,'01-02.2021'!$A$6:$CZ$403,84,FALSE)+VLOOKUP($A230,'1.3.21-28.2.22'!$A$6:$DA$404,84,FALSE)-VLOOKUP($A230,'01-02.2022'!$A$6:$DA$376,84,FALSE)</f>
        <v>201.04453237563001</v>
      </c>
      <c r="CG230" s="566">
        <f>VLOOKUP($A230,'01-02.2021'!$A$6:$CZ$403,85,FALSE)+VLOOKUP($A230,'1.3.21-28.2.22'!$A$6:$DA$404,85,FALSE)-VLOOKUP($A230,'01-02.2022'!$A$6:$DA$376,85,FALSE)</f>
        <v>0</v>
      </c>
      <c r="CH230" s="70">
        <f t="shared" si="264"/>
        <v>-201.04453237563001</v>
      </c>
      <c r="CI230" s="566">
        <f>VLOOKUP($A230,'01-02.2021'!$A$6:$CZ$403,87,FALSE)+VLOOKUP($A230,'1.3.21-28.2.22'!$A$6:$DA$404,87,FALSE)-VLOOKUP($A230,'01-02.2022'!$A$6:$DA$376,87,FALSE)</f>
        <v>15350.95448999952</v>
      </c>
      <c r="CJ230" s="566">
        <f>VLOOKUP($A230,'01-02.2021'!$A$6:$CZ$403,88,FALSE)+VLOOKUP($A230,'1.3.21-28.2.22'!$A$6:$DA$404,88,FALSE)-VLOOKUP($A230,'01-02.2022'!$A$6:$DA$376,88,FALSE)</f>
        <v>15519.941384761458</v>
      </c>
      <c r="CK230" s="70">
        <f t="shared" si="265"/>
        <v>168.98689476193795</v>
      </c>
      <c r="CL230" s="566">
        <f>VLOOKUP($A230,'01-02.2021'!$A$6:$CZ$403,90,FALSE)+VLOOKUP($A230,'1.3.21-28.2.22'!$A$6:$DA$404,90,FALSE)-VLOOKUP($A230,'01-02.2022'!$A$6:$DA$376,90,FALSE)</f>
        <v>9758.7587186738838</v>
      </c>
      <c r="CM230" s="566">
        <f>VLOOKUP($A230,'01-02.2021'!$A$6:$CZ$403,91,FALSE)+VLOOKUP($A230,'1.3.21-28.2.22'!$A$6:$DA$404,91,FALSE)-VLOOKUP($A230,'01-02.2022'!$A$6:$DA$376,91,FALSE)</f>
        <v>9445.1747799667428</v>
      </c>
      <c r="CN230" s="52">
        <f t="shared" si="225"/>
        <v>-313.58393870714099</v>
      </c>
      <c r="CO230" s="39">
        <f t="shared" si="220"/>
        <v>25109.713208673405</v>
      </c>
      <c r="CP230" s="40">
        <f t="shared" si="226"/>
        <v>24965.116164728199</v>
      </c>
      <c r="CQ230" s="52">
        <f t="shared" si="227"/>
        <v>-144.59704394520668</v>
      </c>
      <c r="CR230" s="72">
        <f t="shared" si="221"/>
        <v>378377.31278800574</v>
      </c>
      <c r="CS230" s="5">
        <f t="shared" si="221"/>
        <v>312597.41967589833</v>
      </c>
      <c r="CT230" s="52">
        <f t="shared" si="228"/>
        <v>-65779.893112107413</v>
      </c>
      <c r="CU230" s="77">
        <f t="shared" si="229"/>
        <v>454052.7753456069</v>
      </c>
      <c r="CV230" s="65">
        <f t="shared" si="230"/>
        <v>375116.90361107799</v>
      </c>
      <c r="CW230" s="35">
        <f t="shared" si="231"/>
        <v>-78935.871734528919</v>
      </c>
      <c r="CX230" s="566">
        <f>VLOOKUP($A230,'01-02.2021'!$A$6:$CZ$403,102,FALSE)+VLOOKUP($A230,'1.3.21-28.2.22'!$A$6:$DA$404,102,FALSE)-VLOOKUP($A230,'01-02.2022'!$A$6:$DA$376,102,FALSE)</f>
        <v>15980.203913372243</v>
      </c>
      <c r="CY230" s="566">
        <f>VLOOKUP($A230,'01-02.2021'!$A$6:$CZ$403,103,FALSE)+VLOOKUP($A230,'1.3.21-28.2.22'!$A$6:$DA$404,103,FALSE)-VLOOKUP($A230,'01-02.2022'!$A$6:$DA$376,103,FALSE)</f>
        <v>94916.075647901103</v>
      </c>
      <c r="CZ230" s="52">
        <f t="shared" si="232"/>
        <v>78935.871734528861</v>
      </c>
      <c r="DA230" s="150">
        <f>'[2]побудинковий звіт'!DA230</f>
        <v>-13997.8625623306</v>
      </c>
      <c r="DB230" s="2">
        <v>1</v>
      </c>
      <c r="DC230" s="414">
        <f>'[4]побудинковий звіт'!DC230</f>
        <v>55192.800000000003</v>
      </c>
      <c r="DD230" s="414">
        <f>'[4]побудинковий звіт'!DD230</f>
        <v>0</v>
      </c>
      <c r="DE230" s="557">
        <f>'[4]побудинковий звіт'!DE230</f>
        <v>13280.997046253418</v>
      </c>
      <c r="DF230" s="557">
        <f>'[4]побудинковий звіт'!DF230</f>
        <v>0</v>
      </c>
      <c r="DG230" s="321">
        <f>VLOOKUP(A230,'кошти 01.03.2021'!$A$6:$D$401,4,)</f>
        <v>61271.882955053137</v>
      </c>
      <c r="DH230" s="40">
        <f>'[3]побудинковий звіт'!DJ230</f>
        <v>482940.19074386545</v>
      </c>
      <c r="DI230" s="422">
        <f>'[3]побудинковий звіт'!CU230+'[3]побудинковий звіт'!CX230</f>
        <v>41911.802953746592</v>
      </c>
      <c r="DJ230" s="306">
        <f>'[3]побудинковий звіт'!DM230</f>
        <v>5.7183398893793296</v>
      </c>
      <c r="DK230" s="306">
        <f>'[3]побудинковий звіт'!DN230</f>
        <v>6.9982593610983361</v>
      </c>
      <c r="DL230" s="306">
        <f>'[3]побудинковий звіт'!DO230</f>
        <v>4.8271945726534469</v>
      </c>
      <c r="DM230" s="28">
        <f t="shared" si="288"/>
        <v>41911.802953746585</v>
      </c>
      <c r="DN230" s="28">
        <f>DL230*H230</f>
        <v>0</v>
      </c>
      <c r="DO230" s="423">
        <f t="shared" si="238"/>
        <v>41911.802953746585</v>
      </c>
      <c r="DP230" s="94">
        <f t="shared" si="239"/>
        <v>0</v>
      </c>
      <c r="DQ230" s="28">
        <f t="shared" si="240"/>
        <v>41911.802953746585</v>
      </c>
      <c r="DR230" s="318"/>
      <c r="DT230" s="8"/>
      <c r="DU230" s="5"/>
      <c r="DX230" s="5">
        <f t="shared" si="241"/>
        <v>132442.03799078081</v>
      </c>
      <c r="DY230" s="5">
        <f t="shared" si="242"/>
        <v>47869.571999999993</v>
      </c>
      <c r="DZ230" s="159">
        <f>'[3]побудинковий звіт'!EA230</f>
        <v>12092.424304700964</v>
      </c>
    </row>
    <row r="231" spans="1:130" x14ac:dyDescent="0.3">
      <c r="A231" s="325">
        <v>150000957</v>
      </c>
      <c r="B231" s="41" t="s">
        <v>678</v>
      </c>
      <c r="C231" s="42" t="s">
        <v>378</v>
      </c>
      <c r="D231" s="42"/>
      <c r="E231" s="293">
        <f t="shared" si="218"/>
        <v>2163.8200000000002</v>
      </c>
      <c r="F231" s="305">
        <f>'[3]побудинковий звіт'!F231</f>
        <v>2163.8200000000002</v>
      </c>
      <c r="G231" s="508">
        <f>'[3]побудинковий звіт'!G231</f>
        <v>234.2</v>
      </c>
      <c r="H231" s="560">
        <f>'[3]побудинковий звіт'!H231</f>
        <v>0</v>
      </c>
      <c r="I231" s="566">
        <f>VLOOKUP($A231,'01-02.2021'!$A$6:$CZ$403,9,FALSE)+VLOOKUP($A231,'1.3.21-28.2.22'!$A$6:$DA$404,9,FALSE)-VLOOKUP($A231,'01-02.2022'!$A$6:$DA$376,9,FALSE)</f>
        <v>7562.0329959372375</v>
      </c>
      <c r="J231" s="566">
        <f>VLOOKUP($A231,'01-02.2021'!$A$6:$CZ$403,10,FALSE)+VLOOKUP($A231,'1.3.21-28.2.22'!$A$6:$DA$404,10,FALSE)-VLOOKUP($A231,'01-02.2022'!$A$6:$DA$376,10,FALSE)</f>
        <v>6685.8867968357381</v>
      </c>
      <c r="K231" s="52">
        <f t="shared" si="222"/>
        <v>-876.14619910149941</v>
      </c>
      <c r="L231" s="566">
        <f>VLOOKUP($A231,'01-02.2021'!$A$6:$CZ$403,12,FALSE)+VLOOKUP($A231,'1.3.21-28.2.22'!$A$6:$DA$404,12,FALSE)-VLOOKUP($A231,'01-02.2022'!$A$6:$DA$376,12,FALSE)</f>
        <v>1167.5144485756746</v>
      </c>
      <c r="M231" s="566">
        <f>VLOOKUP($A231,'01-02.2021'!$A$6:$CZ$403,13,FALSE)+VLOOKUP($A231,'1.3.21-28.2.22'!$A$6:$DA$404,13,FALSE)-VLOOKUP($A231,'01-02.2022'!$A$6:$DA$376,13,FALSE)</f>
        <v>1056.041507944906</v>
      </c>
      <c r="N231" s="52">
        <f t="shared" si="223"/>
        <v>-111.47294063076856</v>
      </c>
      <c r="O231" s="566">
        <f>VLOOKUP($A231,'01-02.2021'!$A$6:$CZ$403,15,FALSE)+VLOOKUP($A231,'1.3.21-28.2.22'!$A$6:$DA$404,15,FALSE)-VLOOKUP($A231,'01-02.2022'!$A$6:$DA$376,15,FALSE)</f>
        <v>2896.7569766401421</v>
      </c>
      <c r="P231" s="566">
        <f>VLOOKUP($A231,'01-02.2021'!$A$6:$CZ$403,16,FALSE)+VLOOKUP($A231,'1.3.21-28.2.22'!$A$6:$DA$404,16,FALSE)-VLOOKUP($A231,'01-02.2022'!$A$6:$DA$376,16,FALSE)</f>
        <v>2896.78</v>
      </c>
      <c r="Q231" s="70">
        <f t="shared" si="243"/>
        <v>2.3023359858143522E-2</v>
      </c>
      <c r="R231" s="566">
        <f>VLOOKUP($A231,'01-02.2021'!$A$6:$CZ$403,18,FALSE)+VLOOKUP($A231,'1.3.21-28.2.22'!$A$6:$DA$404,18,FALSE)-VLOOKUP($A231,'01-02.2022'!$A$6:$DA$376,18,FALSE)</f>
        <v>677.1646377502916</v>
      </c>
      <c r="S231" s="566">
        <f>VLOOKUP($A231,'01-02.2021'!$A$6:$CZ$403,19,FALSE)+VLOOKUP($A231,'1.3.21-28.2.22'!$A$6:$DA$404,19,FALSE)-VLOOKUP($A231,'01-02.2022'!$A$6:$DA$376,19,FALSE)</f>
        <v>677.17</v>
      </c>
      <c r="T231" s="70">
        <f t="shared" si="244"/>
        <v>5.3622497083551934E-3</v>
      </c>
      <c r="U231" s="566">
        <f>VLOOKUP($A231,'01-02.2021'!$A$6:$CZ$403,21,FALSE)+VLOOKUP($A231,'1.3.21-28.2.22'!$A$6:$DA$404,21,FALSE)-VLOOKUP($A231,'01-02.2022'!$A$6:$DA$376,21,FALSE)</f>
        <v>335.82127994245559</v>
      </c>
      <c r="V231" s="566">
        <f>VLOOKUP($A231,'01-02.2021'!$A$6:$CZ$403,22,FALSE)+VLOOKUP($A231,'1.3.21-28.2.22'!$A$6:$DA$404,22,FALSE)-VLOOKUP($A231,'01-02.2022'!$A$6:$DA$376,22,FALSE)</f>
        <v>235.69663831857673</v>
      </c>
      <c r="W231" s="70">
        <f t="shared" si="245"/>
        <v>-100.12464162387886</v>
      </c>
      <c r="X231" s="566">
        <f>VLOOKUP($A231,'01-02.2021'!$A$6:$CZ$403,24,FALSE)+VLOOKUP($A231,'1.3.21-28.2.22'!$A$6:$DA$404,24,FALSE)-VLOOKUP($A231,'01-02.2022'!$A$6:$DA$376,24,FALSE)</f>
        <v>1870.7655869052928</v>
      </c>
      <c r="Y231" s="566">
        <f>VLOOKUP($A231,'01-02.2021'!$A$6:$CZ$403,25,FALSE)+VLOOKUP($A231,'1.3.21-28.2.22'!$A$6:$DA$404,25,FALSE)-VLOOKUP($A231,'01-02.2022'!$A$6:$DA$376,25,FALSE)</f>
        <v>1974.3454017556649</v>
      </c>
      <c r="Z231" s="70">
        <f t="shared" si="246"/>
        <v>103.57981485037203</v>
      </c>
      <c r="AA231" s="566">
        <f>VLOOKUP($A231,'01-02.2021'!$A$6:$CZ$403,27,FALSE)+VLOOKUP($A231,'1.3.21-28.2.22'!$A$6:$DA$404,27,FALSE)-VLOOKUP($A231,'01-02.2022'!$A$6:$DA$376,27,FALSE)</f>
        <v>433.11200000000002</v>
      </c>
      <c r="AB231" s="566">
        <f>VLOOKUP($A231,'01-02.2021'!$A$6:$CZ$403,28,FALSE)+VLOOKUP($A231,'1.3.21-28.2.22'!$A$6:$DA$404,28,FALSE)-VLOOKUP($A231,'01-02.2022'!$A$6:$DA$376,28,FALSE)</f>
        <v>0</v>
      </c>
      <c r="AC231" s="70">
        <f t="shared" si="247"/>
        <v>-433.11200000000002</v>
      </c>
      <c r="AD231" s="566">
        <f>VLOOKUP($A231,'01-02.2021'!$A$6:$CZ$403,30,FALSE)+VLOOKUP($A231,'1.3.21-28.2.22'!$A$6:$DA$404,30,FALSE)-VLOOKUP($A231,'01-02.2022'!$A$6:$DA$376,30,FALSE)</f>
        <v>9297.3642116085284</v>
      </c>
      <c r="AE231" s="566">
        <f>VLOOKUP($A231,'01-02.2021'!$A$6:$CZ$403,31,FALSE)+VLOOKUP($A231,'1.3.21-28.2.22'!$A$6:$DA$404,31,FALSE)-VLOOKUP($A231,'01-02.2022'!$A$6:$DA$376,31,FALSE)</f>
        <v>9849.795825177167</v>
      </c>
      <c r="AF231" s="68">
        <f t="shared" si="248"/>
        <v>552.43161356863857</v>
      </c>
      <c r="AG231" s="77">
        <f t="shared" si="219"/>
        <v>24240.532137359623</v>
      </c>
      <c r="AH231" s="53">
        <f t="shared" si="219"/>
        <v>23375.716170032054</v>
      </c>
      <c r="AI231" s="52">
        <f t="shared" si="224"/>
        <v>-864.81596732756952</v>
      </c>
      <c r="AJ231" s="566">
        <f>VLOOKUP($A231,'01-02.2021'!$A$6:$CZ$403,36,FALSE)+VLOOKUP($A231,'1.3.21-28.2.22'!$A$6:$DA$404,36,FALSE)-VLOOKUP($A231,'01-02.2022'!$A$6:$DA$376,36,FALSE)</f>
        <v>15797.462665534815</v>
      </c>
      <c r="AK231" s="566">
        <f>VLOOKUP($A231,'01-02.2021'!$A$6:$CZ$403,37,FALSE)+VLOOKUP($A231,'1.3.21-28.2.22'!$A$6:$DA$404,37,FALSE)-VLOOKUP($A231,'01-02.2022'!$A$6:$DA$376,37,FALSE)</f>
        <v>15693.90699468007</v>
      </c>
      <c r="AL231" s="70">
        <f t="shared" si="249"/>
        <v>-103.55567085474468</v>
      </c>
      <c r="AM231" s="566">
        <f>VLOOKUP($A231,'01-02.2021'!$A$6:$CZ$403,39,FALSE)+VLOOKUP($A231,'1.3.21-28.2.22'!$A$6:$DA$404,39,FALSE)-VLOOKUP($A231,'01-02.2022'!$A$6:$DA$376,39,FALSE)</f>
        <v>1446.1209718413761</v>
      </c>
      <c r="AN231" s="566">
        <f>VLOOKUP($A231,'01-02.2021'!$A$6:$CZ$403,40,FALSE)+VLOOKUP($A231,'1.3.21-28.2.22'!$A$6:$DA$404,40,FALSE)-VLOOKUP($A231,'01-02.2022'!$A$6:$DA$376,40,FALSE)</f>
        <v>1043.0412335713274</v>
      </c>
      <c r="AO231" s="70">
        <f t="shared" si="250"/>
        <v>-403.07973827004867</v>
      </c>
      <c r="AP231" s="566">
        <f>VLOOKUP($A231,'01-02.2021'!$A$6:$CZ$403,42,FALSE)+VLOOKUP($A231,'1.3.21-28.2.22'!$A$6:$DA$404,42,FALSE)-VLOOKUP($A231,'01-02.2022'!$A$6:$DA$376,42,FALSE)</f>
        <v>1561.6797750383319</v>
      </c>
      <c r="AQ231" s="566">
        <f>VLOOKUP($A231,'01-02.2021'!$A$6:$CZ$403,43,FALSE)+VLOOKUP($A231,'1.3.21-28.2.22'!$A$6:$DA$404,43,FALSE)-VLOOKUP($A231,'01-02.2022'!$A$6:$DA$376,43,FALSE)</f>
        <v>1217.8271336719918</v>
      </c>
      <c r="AR231" s="70">
        <f t="shared" si="251"/>
        <v>-343.85264136634009</v>
      </c>
      <c r="AS231" s="566">
        <f>VLOOKUP($A231,'01-02.2021'!$A$6:$CZ$403,45,FALSE)+VLOOKUP($A231,'1.3.21-28.2.22'!$A$6:$DA$404,45,FALSE)-VLOOKUP($A231,'01-02.2022'!$A$6:$DA$376,45,FALSE)</f>
        <v>25788.137937389612</v>
      </c>
      <c r="AT231" s="566">
        <f>VLOOKUP($A231,'01-02.2021'!$A$6:$CZ$403,46,FALSE)+VLOOKUP($A231,'1.3.21-28.2.22'!$A$6:$DA$404,46,FALSE)-VLOOKUP($A231,'01-02.2022'!$A$6:$DA$376,46,FALSE)</f>
        <v>14098.410737503844</v>
      </c>
      <c r="AU231" s="78">
        <f t="shared" si="252"/>
        <v>-11689.727199885769</v>
      </c>
      <c r="AV231" s="566">
        <f>VLOOKUP($A231,'01-02.2021'!$A$6:$CZ$403,48,FALSE)+VLOOKUP($A231,'1.3.21-28.2.22'!$A$6:$DA$404,48,FALSE)-VLOOKUP($A231,'01-02.2022'!$A$6:$DA$376,48,FALSE)</f>
        <v>1618.5670675591984</v>
      </c>
      <c r="AW231" s="566">
        <f>VLOOKUP($A231,'01-02.2021'!$A$6:$CZ$403,49,FALSE)+VLOOKUP($A231,'1.3.21-28.2.22'!$A$6:$DA$404,49,FALSE)-VLOOKUP($A231,'01-02.2022'!$A$6:$DA$376,49,FALSE)</f>
        <v>1393.63</v>
      </c>
      <c r="AX231" s="55">
        <f t="shared" si="253"/>
        <v>-224.93706755919834</v>
      </c>
      <c r="AY231" s="566">
        <f>VLOOKUP($A231,'01-02.2021'!$A$6:$CZ$403,51,FALSE)+VLOOKUP($A231,'1.3.21-28.2.22'!$A$6:$DA$404,51,FALSE)-VLOOKUP($A231,'01-02.2022'!$A$6:$DA$376,51,FALSE)</f>
        <v>1771.8885465555618</v>
      </c>
      <c r="AZ231" s="566">
        <f>VLOOKUP($A231,'01-02.2021'!$A$6:$CZ$403,52,FALSE)+VLOOKUP($A231,'1.3.21-28.2.22'!$A$6:$DA$404,52,FALSE)-VLOOKUP($A231,'01-02.2022'!$A$6:$DA$376,52,FALSE)</f>
        <v>0</v>
      </c>
      <c r="BA231" s="38">
        <f t="shared" si="254"/>
        <v>-1771.8885465555618</v>
      </c>
      <c r="BB231" s="566">
        <f>VLOOKUP($A231,'01-02.2021'!$A$6:$CZ$403,54,FALSE)+VLOOKUP($A231,'1.3.21-28.2.22'!$A$6:$DA$404,54,FALSE)-VLOOKUP($A231,'01-02.2022'!$A$6:$DA$376,54,FALSE)</f>
        <v>619.06235791956453</v>
      </c>
      <c r="BC231" s="566">
        <f>VLOOKUP($A231,'01-02.2021'!$A$6:$CZ$403,55,FALSE)+VLOOKUP($A231,'1.3.21-28.2.22'!$A$6:$DA$404,55,FALSE)-VLOOKUP($A231,'01-02.2022'!$A$6:$DA$376,55,FALSE)</f>
        <v>1440</v>
      </c>
      <c r="BD231" s="55">
        <f t="shared" si="255"/>
        <v>820.93764208043547</v>
      </c>
      <c r="BE231" s="566">
        <f>VLOOKUP($A231,'01-02.2021'!$A$6:$CZ$403,57,FALSE)+VLOOKUP($A231,'1.3.21-28.2.22'!$A$6:$DA$404,57,FALSE)-VLOOKUP($A231,'01-02.2022'!$A$6:$DA$376,57,FALSE)</f>
        <v>1497.3669632668684</v>
      </c>
      <c r="BF231" s="566">
        <f>VLOOKUP($A231,'01-02.2021'!$A$6:$CZ$403,58,FALSE)+VLOOKUP($A231,'1.3.21-28.2.22'!$A$6:$DA$404,58,FALSE)-VLOOKUP($A231,'01-02.2022'!$A$6:$DA$376,58,FALSE)</f>
        <v>3349</v>
      </c>
      <c r="BG231" s="55">
        <f t="shared" si="256"/>
        <v>1851.6330367331316</v>
      </c>
      <c r="BH231" s="566">
        <f>VLOOKUP($A231,'01-02.2021'!$A$6:$CZ$403,60,FALSE)+VLOOKUP($A231,'1.3.21-28.2.22'!$A$6:$DA$404,60,FALSE)-VLOOKUP($A231,'01-02.2022'!$A$6:$DA$376,60,FALSE)</f>
        <v>637.89187291640781</v>
      </c>
      <c r="BI231" s="566">
        <f>VLOOKUP($A231,'01-02.2021'!$A$6:$CZ$403,61,FALSE)+VLOOKUP($A231,'1.3.21-28.2.22'!$A$6:$DA$404,61,FALSE)-VLOOKUP($A231,'01-02.2022'!$A$6:$DA$376,61,FALSE)</f>
        <v>54</v>
      </c>
      <c r="BJ231" s="55">
        <f t="shared" si="257"/>
        <v>-583.89187291640781</v>
      </c>
      <c r="BK231" s="566">
        <f>VLOOKUP($A231,'01-02.2021'!$A$6:$CZ$403,63,FALSE)+VLOOKUP($A231,'1.3.21-28.2.22'!$A$6:$DA$404,63,FALSE)-VLOOKUP($A231,'01-02.2022'!$A$6:$DA$376,63,FALSE)</f>
        <v>554.7267258904925</v>
      </c>
      <c r="BL231" s="566">
        <f>VLOOKUP($A231,'01-02.2021'!$A$6:$CZ$403,64,FALSE)+VLOOKUP($A231,'1.3.21-28.2.22'!$A$6:$DA$404,64,FALSE)-VLOOKUP($A231,'01-02.2022'!$A$6:$DA$376,64,FALSE)</f>
        <v>0</v>
      </c>
      <c r="BM231" s="55">
        <f t="shared" si="258"/>
        <v>-554.7267258904925</v>
      </c>
      <c r="BN231" s="566">
        <f>VLOOKUP($A231,'01-02.2021'!$A$6:$CZ$403,66,FALSE)+VLOOKUP($A231,'1.3.21-28.2.22'!$A$6:$DA$404,66,FALSE)-VLOOKUP($A231,'01-02.2022'!$A$6:$DA$376,66,FALSE)</f>
        <v>202.24496436595896</v>
      </c>
      <c r="BO231" s="566">
        <f>VLOOKUP($A231,'01-02.2021'!$A$6:$CZ$403,67,FALSE)+VLOOKUP($A231,'1.3.21-28.2.22'!$A$6:$DA$404,67,FALSE)-VLOOKUP($A231,'01-02.2022'!$A$6:$DA$376,67,FALSE)</f>
        <v>0</v>
      </c>
      <c r="BP231" s="55">
        <f t="shared" si="259"/>
        <v>-202.24496436595896</v>
      </c>
      <c r="BQ231" s="77">
        <f t="shared" si="287"/>
        <v>6901.7484984740531</v>
      </c>
      <c r="BR231" s="40">
        <f t="shared" si="289"/>
        <v>6236.63</v>
      </c>
      <c r="BS231" s="55">
        <f t="shared" si="236"/>
        <v>-665.11849847405301</v>
      </c>
      <c r="BT231" s="566">
        <f>VLOOKUP($A231,'01-02.2021'!$A$6:$CZ$403,72,FALSE)+VLOOKUP($A231,'1.3.21-28.2.22'!$A$6:$DA$404,72,FALSE)-VLOOKUP($A231,'01-02.2022'!$A$6:$DA$376,72,FALSE)</f>
        <v>26265.181883335666</v>
      </c>
      <c r="BU231" s="566">
        <f>VLOOKUP($A231,'01-02.2021'!$A$6:$CZ$403,73,FALSE)+VLOOKUP($A231,'1.3.21-28.2.22'!$A$6:$DA$404,73,FALSE)-VLOOKUP($A231,'01-02.2022'!$A$6:$DA$376,73,FALSE)</f>
        <v>26443.404937063158</v>
      </c>
      <c r="BV231" s="70">
        <f t="shared" si="260"/>
        <v>178.22305372749179</v>
      </c>
      <c r="BW231" s="566">
        <f>VLOOKUP($A231,'01-02.2021'!$A$6:$CZ$403,75,FALSE)+VLOOKUP($A231,'1.3.21-28.2.22'!$A$6:$DA$404,75,FALSE)-VLOOKUP($A231,'01-02.2022'!$A$6:$DA$376,75,FALSE)</f>
        <v>15656.171531845797</v>
      </c>
      <c r="BX231" s="566">
        <f>VLOOKUP($A231,'01-02.2021'!$A$6:$CZ$403,76,FALSE)+VLOOKUP($A231,'1.3.21-28.2.22'!$A$6:$DA$404,76,FALSE)-VLOOKUP($A231,'01-02.2022'!$A$6:$DA$376,76,FALSE)</f>
        <v>14648.797399965264</v>
      </c>
      <c r="BY231" s="70">
        <f t="shared" si="261"/>
        <v>-1007.3741318805332</v>
      </c>
      <c r="BZ231" s="566">
        <f>VLOOKUP($A231,'01-02.2021'!$A$6:$CZ$403,78,FALSE)+VLOOKUP($A231,'1.3.21-28.2.22'!$A$6:$DA$404,78,FALSE)-VLOOKUP($A231,'01-02.2022'!$A$6:$DA$376,78,FALSE)</f>
        <v>6415.3911935732121</v>
      </c>
      <c r="CA231" s="566">
        <f>VLOOKUP($A231,'01-02.2021'!$A$6:$CZ$403,79,FALSE)+VLOOKUP($A231,'1.3.21-28.2.22'!$A$6:$DA$404,79,FALSE)-VLOOKUP($A231,'01-02.2022'!$A$6:$DA$376,79,FALSE)</f>
        <v>6532.0873815041841</v>
      </c>
      <c r="CB231" s="70">
        <f t="shared" si="262"/>
        <v>116.69618793097197</v>
      </c>
      <c r="CC231" s="566">
        <f>VLOOKUP($A231,'01-02.2021'!$A$6:$CZ$403,81,FALSE)+VLOOKUP($A231,'1.3.21-28.2.22'!$A$6:$DA$404,81,FALSE)-VLOOKUP($A231,'01-02.2022'!$A$6:$DA$376,81,FALSE)</f>
        <v>718.63142021866361</v>
      </c>
      <c r="CD231" s="566">
        <f>VLOOKUP($A231,'01-02.2021'!$A$6:$CZ$403,82,FALSE)+VLOOKUP($A231,'1.3.21-28.2.22'!$A$6:$DA$404,82,FALSE)-VLOOKUP($A231,'01-02.2022'!$A$6:$DA$376,82,FALSE)</f>
        <v>775.02315118116076</v>
      </c>
      <c r="CE231" s="70">
        <f t="shared" si="263"/>
        <v>56.391730962497149</v>
      </c>
      <c r="CF231" s="566">
        <f>VLOOKUP($A231,'01-02.2021'!$A$6:$CZ$403,84,FALSE)+VLOOKUP($A231,'1.3.21-28.2.22'!$A$6:$DA$404,84,FALSE)-VLOOKUP($A231,'01-02.2022'!$A$6:$DA$376,84,FALSE)</f>
        <v>86.203687573853003</v>
      </c>
      <c r="CG231" s="566">
        <f>VLOOKUP($A231,'01-02.2021'!$A$6:$CZ$403,85,FALSE)+VLOOKUP($A231,'1.3.21-28.2.22'!$A$6:$DA$404,85,FALSE)-VLOOKUP($A231,'01-02.2022'!$A$6:$DA$376,85,FALSE)</f>
        <v>0</v>
      </c>
      <c r="CH231" s="70">
        <f t="shared" si="264"/>
        <v>-86.203687573853003</v>
      </c>
      <c r="CI231" s="566">
        <f>VLOOKUP($A231,'01-02.2021'!$A$6:$CZ$403,87,FALSE)+VLOOKUP($A231,'1.3.21-28.2.22'!$A$6:$DA$404,87,FALSE)-VLOOKUP($A231,'01-02.2022'!$A$6:$DA$376,87,FALSE)</f>
        <v>4588.8478557468134</v>
      </c>
      <c r="CJ231" s="566">
        <f>VLOOKUP($A231,'01-02.2021'!$A$6:$CZ$403,88,FALSE)+VLOOKUP($A231,'1.3.21-28.2.22'!$A$6:$DA$404,88,FALSE)-VLOOKUP($A231,'01-02.2022'!$A$6:$DA$376,88,FALSE)</f>
        <v>4195.1577215512916</v>
      </c>
      <c r="CK231" s="70">
        <f t="shared" si="265"/>
        <v>-393.69013419552175</v>
      </c>
      <c r="CL231" s="566">
        <f>VLOOKUP($A231,'01-02.2021'!$A$6:$CZ$403,90,FALSE)+VLOOKUP($A231,'1.3.21-28.2.22'!$A$6:$DA$404,90,FALSE)-VLOOKUP($A231,'01-02.2022'!$A$6:$DA$376,90,FALSE)</f>
        <v>4289.4047655593986</v>
      </c>
      <c r="CM231" s="566">
        <f>VLOOKUP($A231,'01-02.2021'!$A$6:$CZ$403,91,FALSE)+VLOOKUP($A231,'1.3.21-28.2.22'!$A$6:$DA$404,91,FALSE)-VLOOKUP($A231,'01-02.2022'!$A$6:$DA$376,91,FALSE)</f>
        <v>3835.3441552509203</v>
      </c>
      <c r="CN231" s="52">
        <f t="shared" si="225"/>
        <v>-454.06061030847832</v>
      </c>
      <c r="CO231" s="39">
        <f t="shared" si="220"/>
        <v>8878.2526213062119</v>
      </c>
      <c r="CP231" s="40">
        <f t="shared" si="226"/>
        <v>8030.5018768022119</v>
      </c>
      <c r="CQ231" s="52">
        <f t="shared" si="227"/>
        <v>-847.75074450400007</v>
      </c>
      <c r="CR231" s="72">
        <f t="shared" si="221"/>
        <v>133755.51432349122</v>
      </c>
      <c r="CS231" s="5">
        <f t="shared" si="221"/>
        <v>118095.34701597526</v>
      </c>
      <c r="CT231" s="52">
        <f t="shared" si="228"/>
        <v>-15660.167307515963</v>
      </c>
      <c r="CU231" s="77">
        <f t="shared" si="229"/>
        <v>160506.61718818947</v>
      </c>
      <c r="CV231" s="65">
        <f t="shared" si="230"/>
        <v>141714.4164191703</v>
      </c>
      <c r="CW231" s="35">
        <f t="shared" si="231"/>
        <v>-18792.200769019168</v>
      </c>
      <c r="CX231" s="566">
        <f>VLOOKUP($A231,'01-02.2021'!$A$6:$CZ$403,102,FALSE)+VLOOKUP($A231,'1.3.21-28.2.22'!$A$6:$DA$404,102,FALSE)-VLOOKUP($A231,'01-02.2022'!$A$6:$DA$376,102,FALSE)</f>
        <v>4582.3354016048925</v>
      </c>
      <c r="CY231" s="566">
        <f>VLOOKUP($A231,'01-02.2021'!$A$6:$CZ$403,103,FALSE)+VLOOKUP($A231,'1.3.21-28.2.22'!$A$6:$DA$404,103,FALSE)-VLOOKUP($A231,'01-02.2022'!$A$6:$DA$376,103,FALSE)</f>
        <v>23374.536170624</v>
      </c>
      <c r="CZ231" s="52">
        <f t="shared" si="232"/>
        <v>18792.200769019109</v>
      </c>
      <c r="DA231" s="150">
        <f>'[2]побудинковий звіт'!DA231</f>
        <v>-18614.027051710749</v>
      </c>
      <c r="DB231" s="2">
        <v>1</v>
      </c>
      <c r="DC231" s="414">
        <f>'[4]побудинковий звіт'!DC231</f>
        <v>18078.43</v>
      </c>
      <c r="DD231" s="414">
        <f>'[4]побудинковий звіт'!DD231</f>
        <v>0</v>
      </c>
      <c r="DE231" s="557">
        <f>'[4]побудинковий звіт'!DE231</f>
        <v>3195.719109401256</v>
      </c>
      <c r="DF231" s="557">
        <f>'[4]побудинковий звіт'!DF231</f>
        <v>0</v>
      </c>
      <c r="DG231" s="321">
        <f>VLOOKUP(A231,'кошти 01.03.2021'!$A$6:$D$401,4,)</f>
        <v>8835.0391675039573</v>
      </c>
      <c r="DH231" s="40">
        <f>'[3]побудинковий звіт'!DJ231</f>
        <v>170402.02713456034</v>
      </c>
      <c r="DI231" s="422">
        <f>'[3]побудинковий звіт'!CU231+'[3]побудинковий звіт'!CX231</f>
        <v>14882.710890598748</v>
      </c>
      <c r="DJ231" s="306">
        <f>'[3]побудинковий звіт'!DM231</f>
        <v>5.809827008005727</v>
      </c>
      <c r="DK231" s="306">
        <f>'[3]побудинковий звіт'!DN231</f>
        <v>7.0076229544282311</v>
      </c>
      <c r="DL231" s="306">
        <f>'[3]побудинковий звіт'!DO231</f>
        <v>4.9476341243264237</v>
      </c>
      <c r="DM231" s="28">
        <f t="shared" si="288"/>
        <v>14882.710890598744</v>
      </c>
      <c r="DN231" s="28">
        <f>DL231*H231</f>
        <v>0</v>
      </c>
      <c r="DO231" s="423">
        <f t="shared" si="238"/>
        <v>14882.710890598744</v>
      </c>
      <c r="DP231" s="94">
        <f t="shared" si="239"/>
        <v>0</v>
      </c>
      <c r="DQ231" s="28">
        <f t="shared" si="240"/>
        <v>14882.710890598744</v>
      </c>
      <c r="DR231" s="318"/>
      <c r="DT231" s="8"/>
      <c r="DU231" s="5"/>
      <c r="DX231" s="5">
        <f t="shared" si="241"/>
        <v>39227.863723036397</v>
      </c>
      <c r="DY231" s="5">
        <f t="shared" si="242"/>
        <v>24402.048885004613</v>
      </c>
      <c r="DZ231" s="159">
        <f>'[3]побудинковий звіт'!EA231</f>
        <v>3588.3729347869507</v>
      </c>
    </row>
    <row r="232" spans="1:130" x14ac:dyDescent="0.3">
      <c r="A232" s="325">
        <v>150000960</v>
      </c>
      <c r="B232" s="41" t="s">
        <v>679</v>
      </c>
      <c r="C232" s="42" t="s">
        <v>379</v>
      </c>
      <c r="D232" s="42"/>
      <c r="E232" s="293">
        <f t="shared" si="218"/>
        <v>4314</v>
      </c>
      <c r="F232" s="305">
        <f>'[3]побудинковий звіт'!F232</f>
        <v>4314</v>
      </c>
      <c r="G232" s="508">
        <f>'[3]побудинковий звіт'!G232</f>
        <v>457.6</v>
      </c>
      <c r="H232" s="560">
        <f>'[3]побудинковий звіт'!H232</f>
        <v>0</v>
      </c>
      <c r="I232" s="566">
        <f>VLOOKUP($A232,'01-02.2021'!$A$6:$CZ$403,9,FALSE)+VLOOKUP($A232,'1.3.21-28.2.22'!$A$6:$DA$404,9,FALSE)-VLOOKUP($A232,'01-02.2022'!$A$6:$DA$376,9,FALSE)</f>
        <v>14947.646937755037</v>
      </c>
      <c r="J232" s="566">
        <f>VLOOKUP($A232,'01-02.2021'!$A$6:$CZ$403,10,FALSE)+VLOOKUP($A232,'1.3.21-28.2.22'!$A$6:$DA$404,10,FALSE)-VLOOKUP($A232,'01-02.2022'!$A$6:$DA$376,10,FALSE)</f>
        <v>13230.048131840105</v>
      </c>
      <c r="K232" s="52">
        <f t="shared" si="222"/>
        <v>-1717.5988059149313</v>
      </c>
      <c r="L232" s="566">
        <f>VLOOKUP($A232,'01-02.2021'!$A$6:$CZ$403,12,FALSE)+VLOOKUP($A232,'1.3.21-28.2.22'!$A$6:$DA$404,12,FALSE)-VLOOKUP($A232,'01-02.2022'!$A$6:$DA$376,12,FALSE)</f>
        <v>2335.0290487424113</v>
      </c>
      <c r="M232" s="566">
        <f>VLOOKUP($A232,'01-02.2021'!$A$6:$CZ$403,13,FALSE)+VLOOKUP($A232,'1.3.21-28.2.22'!$A$6:$DA$404,13,FALSE)-VLOOKUP($A232,'01-02.2022'!$A$6:$DA$376,13,FALSE)</f>
        <v>2112.0174480854425</v>
      </c>
      <c r="N232" s="52">
        <f t="shared" si="223"/>
        <v>-223.01160065696877</v>
      </c>
      <c r="O232" s="566">
        <f>VLOOKUP($A232,'01-02.2021'!$A$6:$CZ$403,15,FALSE)+VLOOKUP($A232,'1.3.21-28.2.22'!$A$6:$DA$404,15,FALSE)-VLOOKUP($A232,'01-02.2022'!$A$6:$DA$376,15,FALSE)</f>
        <v>5885.11266156491</v>
      </c>
      <c r="P232" s="566">
        <f>VLOOKUP($A232,'01-02.2021'!$A$6:$CZ$403,16,FALSE)+VLOOKUP($A232,'1.3.21-28.2.22'!$A$6:$DA$404,16,FALSE)-VLOOKUP($A232,'01-02.2022'!$A$6:$DA$376,16,FALSE)</f>
        <v>5885.0700000000015</v>
      </c>
      <c r="Q232" s="70">
        <f t="shared" si="243"/>
        <v>-4.2661564908485161E-2</v>
      </c>
      <c r="R232" s="566">
        <f>VLOOKUP($A232,'01-02.2021'!$A$6:$CZ$403,18,FALSE)+VLOOKUP($A232,'1.3.21-28.2.22'!$A$6:$DA$404,18,FALSE)-VLOOKUP($A232,'01-02.2022'!$A$6:$DA$376,18,FALSE)</f>
        <v>1294.9241252004667</v>
      </c>
      <c r="S232" s="566">
        <f>VLOOKUP($A232,'01-02.2021'!$A$6:$CZ$403,19,FALSE)+VLOOKUP($A232,'1.3.21-28.2.22'!$A$6:$DA$404,19,FALSE)-VLOOKUP($A232,'01-02.2022'!$A$6:$DA$376,19,FALSE)</f>
        <v>1294.94</v>
      </c>
      <c r="T232" s="70">
        <f t="shared" si="244"/>
        <v>1.5874799533321493E-2</v>
      </c>
      <c r="U232" s="566">
        <f>VLOOKUP($A232,'01-02.2021'!$A$6:$CZ$403,21,FALSE)+VLOOKUP($A232,'1.3.21-28.2.22'!$A$6:$DA$404,21,FALSE)-VLOOKUP($A232,'01-02.2022'!$A$6:$DA$376,21,FALSE)</f>
        <v>671.36656966572173</v>
      </c>
      <c r="V232" s="566">
        <f>VLOOKUP($A232,'01-02.2021'!$A$6:$CZ$403,22,FALSE)+VLOOKUP($A232,'1.3.21-28.2.22'!$A$6:$DA$404,22,FALSE)-VLOOKUP($A232,'01-02.2022'!$A$6:$DA$376,22,FALSE)</f>
        <v>454.283815721152</v>
      </c>
      <c r="W232" s="70">
        <f t="shared" si="245"/>
        <v>-217.08275394456973</v>
      </c>
      <c r="X232" s="566">
        <f>VLOOKUP($A232,'01-02.2021'!$A$6:$CZ$403,24,FALSE)+VLOOKUP($A232,'1.3.21-28.2.22'!$A$6:$DA$404,24,FALSE)-VLOOKUP($A232,'01-02.2022'!$A$6:$DA$376,24,FALSE)</f>
        <v>6110.0231018449786</v>
      </c>
      <c r="Y232" s="566">
        <f>VLOOKUP($A232,'01-02.2021'!$A$6:$CZ$403,25,FALSE)+VLOOKUP($A232,'1.3.21-28.2.22'!$A$6:$DA$404,25,FALSE)-VLOOKUP($A232,'01-02.2022'!$A$6:$DA$376,25,FALSE)</f>
        <v>8565.6051768143352</v>
      </c>
      <c r="Z232" s="70">
        <f t="shared" si="246"/>
        <v>2455.5820749693567</v>
      </c>
      <c r="AA232" s="566">
        <f>VLOOKUP($A232,'01-02.2021'!$A$6:$CZ$403,27,FALSE)+VLOOKUP($A232,'1.3.21-28.2.22'!$A$6:$DA$404,27,FALSE)-VLOOKUP($A232,'01-02.2022'!$A$6:$DA$376,27,FALSE)</f>
        <v>862.86800000000005</v>
      </c>
      <c r="AB232" s="566">
        <f>VLOOKUP($A232,'01-02.2021'!$A$6:$CZ$403,28,FALSE)+VLOOKUP($A232,'1.3.21-28.2.22'!$A$6:$DA$404,28,FALSE)-VLOOKUP($A232,'01-02.2022'!$A$6:$DA$376,28,FALSE)</f>
        <v>0</v>
      </c>
      <c r="AC232" s="70">
        <f t="shared" si="247"/>
        <v>-862.86800000000005</v>
      </c>
      <c r="AD232" s="566">
        <f>VLOOKUP($A232,'01-02.2021'!$A$6:$CZ$403,30,FALSE)+VLOOKUP($A232,'1.3.21-28.2.22'!$A$6:$DA$404,30,FALSE)-VLOOKUP($A232,'01-02.2022'!$A$6:$DA$376,30,FALSE)</f>
        <v>18530.514975046794</v>
      </c>
      <c r="AE232" s="566">
        <f>VLOOKUP($A232,'01-02.2021'!$A$6:$CZ$403,31,FALSE)+VLOOKUP($A232,'1.3.21-28.2.22'!$A$6:$DA$404,31,FALSE)-VLOOKUP($A232,'01-02.2022'!$A$6:$DA$376,31,FALSE)</f>
        <v>19638.297747561068</v>
      </c>
      <c r="AF232" s="68">
        <f t="shared" si="248"/>
        <v>1107.7827725142743</v>
      </c>
      <c r="AG232" s="77">
        <f t="shared" si="219"/>
        <v>50637.48541982031</v>
      </c>
      <c r="AH232" s="53">
        <f t="shared" si="219"/>
        <v>51180.262320022099</v>
      </c>
      <c r="AI232" s="52">
        <f t="shared" si="224"/>
        <v>542.77690020178852</v>
      </c>
      <c r="AJ232" s="566">
        <f>VLOOKUP($A232,'01-02.2021'!$A$6:$CZ$403,36,FALSE)+VLOOKUP($A232,'1.3.21-28.2.22'!$A$6:$DA$404,36,FALSE)-VLOOKUP($A232,'01-02.2022'!$A$6:$DA$376,36,FALSE)</f>
        <v>33749.163780304865</v>
      </c>
      <c r="AK232" s="566">
        <f>VLOOKUP($A232,'01-02.2021'!$A$6:$CZ$403,37,FALSE)+VLOOKUP($A232,'1.3.21-28.2.22'!$A$6:$DA$404,37,FALSE)-VLOOKUP($A232,'01-02.2022'!$A$6:$DA$376,37,FALSE)</f>
        <v>33527.931028446576</v>
      </c>
      <c r="AL232" s="70">
        <f t="shared" si="249"/>
        <v>-221.2327518582897</v>
      </c>
      <c r="AM232" s="566">
        <f>VLOOKUP($A232,'01-02.2021'!$A$6:$CZ$403,39,FALSE)+VLOOKUP($A232,'1.3.21-28.2.22'!$A$6:$DA$404,39,FALSE)-VLOOKUP($A232,'01-02.2022'!$A$6:$DA$376,39,FALSE)</f>
        <v>2892.2419436827522</v>
      </c>
      <c r="AN232" s="566">
        <f>VLOOKUP($A232,'01-02.2021'!$A$6:$CZ$403,40,FALSE)+VLOOKUP($A232,'1.3.21-28.2.22'!$A$6:$DA$404,40,FALSE)-VLOOKUP($A232,'01-02.2022'!$A$6:$DA$376,40,FALSE)</f>
        <v>2479.7061714786137</v>
      </c>
      <c r="AO232" s="70">
        <f t="shared" si="250"/>
        <v>-412.53577220413854</v>
      </c>
      <c r="AP232" s="566">
        <f>VLOOKUP($A232,'01-02.2021'!$A$6:$CZ$403,42,FALSE)+VLOOKUP($A232,'1.3.21-28.2.22'!$A$6:$DA$404,42,FALSE)-VLOOKUP($A232,'01-02.2022'!$A$6:$DA$376,42,FALSE)</f>
        <v>3123.3595500766637</v>
      </c>
      <c r="AQ232" s="566">
        <f>VLOOKUP($A232,'01-02.2021'!$A$6:$CZ$403,43,FALSE)+VLOOKUP($A232,'1.3.21-28.2.22'!$A$6:$DA$404,43,FALSE)-VLOOKUP($A232,'01-02.2022'!$A$6:$DA$376,43,FALSE)</f>
        <v>2511.768463198483</v>
      </c>
      <c r="AR232" s="70">
        <f t="shared" si="251"/>
        <v>-611.5910868781807</v>
      </c>
      <c r="AS232" s="566">
        <f>VLOOKUP($A232,'01-02.2021'!$A$6:$CZ$403,45,FALSE)+VLOOKUP($A232,'1.3.21-28.2.22'!$A$6:$DA$404,45,FALSE)-VLOOKUP($A232,'01-02.2022'!$A$6:$DA$376,45,FALSE)</f>
        <v>48470.507468946518</v>
      </c>
      <c r="AT232" s="566">
        <f>VLOOKUP($A232,'01-02.2021'!$A$6:$CZ$403,46,FALSE)+VLOOKUP($A232,'1.3.21-28.2.22'!$A$6:$DA$404,46,FALSE)-VLOOKUP($A232,'01-02.2022'!$A$6:$DA$376,46,FALSE)</f>
        <v>9734.1079673794156</v>
      </c>
      <c r="AU232" s="78">
        <f t="shared" si="252"/>
        <v>-38736.399501567103</v>
      </c>
      <c r="AV232" s="566">
        <f>VLOOKUP($A232,'01-02.2021'!$A$6:$CZ$403,48,FALSE)+VLOOKUP($A232,'1.3.21-28.2.22'!$A$6:$DA$404,48,FALSE)-VLOOKUP($A232,'01-02.2022'!$A$6:$DA$376,48,FALSE)</f>
        <v>3021.2477596052881</v>
      </c>
      <c r="AW232" s="566">
        <f>VLOOKUP($A232,'01-02.2021'!$A$6:$CZ$403,49,FALSE)+VLOOKUP($A232,'1.3.21-28.2.22'!$A$6:$DA$404,49,FALSE)-VLOOKUP($A232,'01-02.2022'!$A$6:$DA$376,49,FALSE)</f>
        <v>416</v>
      </c>
      <c r="AX232" s="55">
        <f t="shared" si="253"/>
        <v>-2605.2477596052881</v>
      </c>
      <c r="AY232" s="566">
        <f>VLOOKUP($A232,'01-02.2021'!$A$6:$CZ$403,51,FALSE)+VLOOKUP($A232,'1.3.21-28.2.22'!$A$6:$DA$404,51,FALSE)-VLOOKUP($A232,'01-02.2022'!$A$6:$DA$376,51,FALSE)</f>
        <v>3357.6947317148965</v>
      </c>
      <c r="AZ232" s="566">
        <f>VLOOKUP($A232,'01-02.2021'!$A$6:$CZ$403,52,FALSE)+VLOOKUP($A232,'1.3.21-28.2.22'!$A$6:$DA$404,52,FALSE)-VLOOKUP($A232,'01-02.2022'!$A$6:$DA$376,52,FALSE)</f>
        <v>6891.9</v>
      </c>
      <c r="BA232" s="38">
        <f t="shared" si="254"/>
        <v>3534.2052682851031</v>
      </c>
      <c r="BB232" s="566">
        <f>VLOOKUP($A232,'01-02.2021'!$A$6:$CZ$403,54,FALSE)+VLOOKUP($A232,'1.3.21-28.2.22'!$A$6:$DA$404,54,FALSE)-VLOOKUP($A232,'01-02.2022'!$A$6:$DA$376,54,FALSE)</f>
        <v>1163.5710925210433</v>
      </c>
      <c r="BC232" s="566">
        <f>VLOOKUP($A232,'01-02.2021'!$A$6:$CZ$403,55,FALSE)+VLOOKUP($A232,'1.3.21-28.2.22'!$A$6:$DA$404,55,FALSE)-VLOOKUP($A232,'01-02.2022'!$A$6:$DA$376,55,FALSE)</f>
        <v>1584</v>
      </c>
      <c r="BD232" s="55">
        <f t="shared" si="255"/>
        <v>420.42890747895672</v>
      </c>
      <c r="BE232" s="566">
        <f>VLOOKUP($A232,'01-02.2021'!$A$6:$CZ$403,57,FALSE)+VLOOKUP($A232,'1.3.21-28.2.22'!$A$6:$DA$404,57,FALSE)-VLOOKUP($A232,'01-02.2022'!$A$6:$DA$376,57,FALSE)</f>
        <v>2635.1569113903165</v>
      </c>
      <c r="BF232" s="566">
        <f>VLOOKUP($A232,'01-02.2021'!$A$6:$CZ$403,58,FALSE)+VLOOKUP($A232,'1.3.21-28.2.22'!$A$6:$DA$404,58,FALSE)-VLOOKUP($A232,'01-02.2022'!$A$6:$DA$376,58,FALSE)</f>
        <v>0</v>
      </c>
      <c r="BG232" s="55">
        <f t="shared" si="256"/>
        <v>-2635.1569113903165</v>
      </c>
      <c r="BH232" s="566">
        <f>VLOOKUP($A232,'01-02.2021'!$A$6:$CZ$403,60,FALSE)+VLOOKUP($A232,'1.3.21-28.2.22'!$A$6:$DA$404,60,FALSE)-VLOOKUP($A232,'01-02.2022'!$A$6:$DA$376,60,FALSE)</f>
        <v>1229.5050867709858</v>
      </c>
      <c r="BI232" s="566">
        <f>VLOOKUP($A232,'01-02.2021'!$A$6:$CZ$403,61,FALSE)+VLOOKUP($A232,'1.3.21-28.2.22'!$A$6:$DA$404,61,FALSE)-VLOOKUP($A232,'01-02.2022'!$A$6:$DA$376,61,FALSE)</f>
        <v>0</v>
      </c>
      <c r="BJ232" s="55">
        <f t="shared" si="257"/>
        <v>-1229.5050867709858</v>
      </c>
      <c r="BK232" s="566">
        <f>VLOOKUP($A232,'01-02.2021'!$A$6:$CZ$403,63,FALSE)+VLOOKUP($A232,'1.3.21-28.2.22'!$A$6:$DA$404,63,FALSE)-VLOOKUP($A232,'01-02.2022'!$A$6:$DA$376,63,FALSE)</f>
        <v>1351.7441068010883</v>
      </c>
      <c r="BL232" s="566">
        <f>VLOOKUP($A232,'01-02.2021'!$A$6:$CZ$403,64,FALSE)+VLOOKUP($A232,'1.3.21-28.2.22'!$A$6:$DA$404,64,FALSE)-VLOOKUP($A232,'01-02.2022'!$A$6:$DA$376,64,FALSE)</f>
        <v>0</v>
      </c>
      <c r="BM232" s="55">
        <f t="shared" si="258"/>
        <v>-1351.7441068010883</v>
      </c>
      <c r="BN232" s="566">
        <f>VLOOKUP($A232,'01-02.2021'!$A$6:$CZ$403,66,FALSE)+VLOOKUP($A232,'1.3.21-28.2.22'!$A$6:$DA$404,66,FALSE)-VLOOKUP($A232,'01-02.2022'!$A$6:$DA$376,66,FALSE)</f>
        <v>419.95887197880762</v>
      </c>
      <c r="BO232" s="566">
        <f>VLOOKUP($A232,'01-02.2021'!$A$6:$CZ$403,67,FALSE)+VLOOKUP($A232,'1.3.21-28.2.22'!$A$6:$DA$404,67,FALSE)-VLOOKUP($A232,'01-02.2022'!$A$6:$DA$376,67,FALSE)</f>
        <v>0</v>
      </c>
      <c r="BP232" s="55">
        <f t="shared" si="259"/>
        <v>-419.95887197880762</v>
      </c>
      <c r="BQ232" s="77">
        <f t="shared" si="287"/>
        <v>13178.878560782427</v>
      </c>
      <c r="BR232" s="40">
        <f t="shared" si="289"/>
        <v>8891.9</v>
      </c>
      <c r="BS232" s="55">
        <f t="shared" si="236"/>
        <v>-4286.9785607824269</v>
      </c>
      <c r="BT232" s="566">
        <f>VLOOKUP($A232,'01-02.2021'!$A$6:$CZ$403,72,FALSE)+VLOOKUP($A232,'1.3.21-28.2.22'!$A$6:$DA$404,72,FALSE)-VLOOKUP($A232,'01-02.2022'!$A$6:$DA$376,72,FALSE)</f>
        <v>49691.516065007781</v>
      </c>
      <c r="BU232" s="566">
        <f>VLOOKUP($A232,'01-02.2021'!$A$6:$CZ$403,73,FALSE)+VLOOKUP($A232,'1.3.21-28.2.22'!$A$6:$DA$404,73,FALSE)-VLOOKUP($A232,'01-02.2022'!$A$6:$DA$376,73,FALSE)</f>
        <v>52539.104823174377</v>
      </c>
      <c r="BV232" s="70">
        <f t="shared" si="260"/>
        <v>2847.5887581665957</v>
      </c>
      <c r="BW232" s="566">
        <f>VLOOKUP($A232,'01-02.2021'!$A$6:$CZ$403,75,FALSE)+VLOOKUP($A232,'1.3.21-28.2.22'!$A$6:$DA$404,75,FALSE)-VLOOKUP($A232,'01-02.2022'!$A$6:$DA$376,75,FALSE)</f>
        <v>31461.35427197882</v>
      </c>
      <c r="BX232" s="566">
        <f>VLOOKUP($A232,'01-02.2021'!$A$6:$CZ$403,76,FALSE)+VLOOKUP($A232,'1.3.21-28.2.22'!$A$6:$DA$404,76,FALSE)-VLOOKUP($A232,'01-02.2022'!$A$6:$DA$376,76,FALSE)</f>
        <v>30946.342534282845</v>
      </c>
      <c r="BY232" s="70">
        <f t="shared" si="261"/>
        <v>-515.01173769597517</v>
      </c>
      <c r="BZ232" s="566">
        <f>VLOOKUP($A232,'01-02.2021'!$A$6:$CZ$403,78,FALSE)+VLOOKUP($A232,'1.3.21-28.2.22'!$A$6:$DA$404,78,FALSE)-VLOOKUP($A232,'01-02.2022'!$A$6:$DA$376,78,FALSE)</f>
        <v>11396.646137611166</v>
      </c>
      <c r="CA232" s="566">
        <f>VLOOKUP($A232,'01-02.2021'!$A$6:$CZ$403,79,FALSE)+VLOOKUP($A232,'1.3.21-28.2.22'!$A$6:$DA$404,79,FALSE)-VLOOKUP($A232,'01-02.2022'!$A$6:$DA$376,79,FALSE)</f>
        <v>13665.945795725975</v>
      </c>
      <c r="CB232" s="70">
        <f t="shared" si="262"/>
        <v>2269.2996581148091</v>
      </c>
      <c r="CC232" s="566">
        <f>VLOOKUP($A232,'01-02.2021'!$A$6:$CZ$403,81,FALSE)+VLOOKUP($A232,'1.3.21-28.2.22'!$A$6:$DA$404,81,FALSE)-VLOOKUP($A232,'01-02.2022'!$A$6:$DA$376,81,FALSE)</f>
        <v>1341.1159456025935</v>
      </c>
      <c r="CD232" s="566">
        <f>VLOOKUP($A232,'01-02.2021'!$A$6:$CZ$403,82,FALSE)+VLOOKUP($A232,'1.3.21-28.2.22'!$A$6:$DA$404,82,FALSE)-VLOOKUP($A232,'01-02.2022'!$A$6:$DA$376,82,FALSE)</f>
        <v>1444.9584174564011</v>
      </c>
      <c r="CE232" s="70">
        <f t="shared" si="263"/>
        <v>103.84247185380764</v>
      </c>
      <c r="CF232" s="566">
        <f>VLOOKUP($A232,'01-02.2021'!$A$6:$CZ$403,84,FALSE)+VLOOKUP($A232,'1.3.21-28.2.22'!$A$6:$DA$404,84,FALSE)-VLOOKUP($A232,'01-02.2022'!$A$6:$DA$376,84,FALSE)</f>
        <v>160.7187395444717</v>
      </c>
      <c r="CG232" s="566">
        <f>VLOOKUP($A232,'01-02.2021'!$A$6:$CZ$403,85,FALSE)+VLOOKUP($A232,'1.3.21-28.2.22'!$A$6:$DA$404,85,FALSE)-VLOOKUP($A232,'01-02.2022'!$A$6:$DA$376,85,FALSE)</f>
        <v>0</v>
      </c>
      <c r="CH232" s="70">
        <f t="shared" si="264"/>
        <v>-160.7187395444717</v>
      </c>
      <c r="CI232" s="566">
        <f>VLOOKUP($A232,'01-02.2021'!$A$6:$CZ$403,87,FALSE)+VLOOKUP($A232,'1.3.21-28.2.22'!$A$6:$DA$404,87,FALSE)-VLOOKUP($A232,'01-02.2022'!$A$6:$DA$376,87,FALSE)</f>
        <v>9121.5900424335377</v>
      </c>
      <c r="CJ232" s="566">
        <f>VLOOKUP($A232,'01-02.2021'!$A$6:$CZ$403,88,FALSE)+VLOOKUP($A232,'1.3.21-28.2.22'!$A$6:$DA$404,88,FALSE)-VLOOKUP($A232,'01-02.2022'!$A$6:$DA$376,88,FALSE)</f>
        <v>8354.7653560259496</v>
      </c>
      <c r="CK232" s="70">
        <f t="shared" si="265"/>
        <v>-766.82468640758816</v>
      </c>
      <c r="CL232" s="566">
        <f>VLOOKUP($A232,'01-02.2021'!$A$6:$CZ$403,90,FALSE)+VLOOKUP($A232,'1.3.21-28.2.22'!$A$6:$DA$404,90,FALSE)-VLOOKUP($A232,'01-02.2022'!$A$6:$DA$376,90,FALSE)</f>
        <v>8541.3991684120756</v>
      </c>
      <c r="CM232" s="566">
        <f>VLOOKUP($A232,'01-02.2021'!$A$6:$CZ$403,91,FALSE)+VLOOKUP($A232,'1.3.21-28.2.22'!$A$6:$DA$404,91,FALSE)-VLOOKUP($A232,'01-02.2022'!$A$6:$DA$376,91,FALSE)</f>
        <v>7642.8503887286261</v>
      </c>
      <c r="CN232" s="52">
        <f t="shared" si="225"/>
        <v>-898.54877968344954</v>
      </c>
      <c r="CO232" s="39">
        <f t="shared" si="220"/>
        <v>17662.989210845612</v>
      </c>
      <c r="CP232" s="40">
        <f t="shared" si="226"/>
        <v>15997.615744754576</v>
      </c>
      <c r="CQ232" s="52">
        <f t="shared" si="227"/>
        <v>-1665.3734660910359</v>
      </c>
      <c r="CR232" s="72">
        <f t="shared" si="221"/>
        <v>263765.97709420393</v>
      </c>
      <c r="CS232" s="5">
        <f t="shared" si="221"/>
        <v>222919.64326591938</v>
      </c>
      <c r="CT232" s="52">
        <f t="shared" si="228"/>
        <v>-40846.333828284551</v>
      </c>
      <c r="CU232" s="77">
        <f t="shared" si="229"/>
        <v>316519.17251304473</v>
      </c>
      <c r="CV232" s="65">
        <f t="shared" si="230"/>
        <v>267503.57191910327</v>
      </c>
      <c r="CW232" s="35">
        <f t="shared" si="231"/>
        <v>-49015.600593941461</v>
      </c>
      <c r="CX232" s="566">
        <f>VLOOKUP($A232,'01-02.2021'!$A$6:$CZ$403,102,FALSE)+VLOOKUP($A232,'1.3.21-28.2.22'!$A$6:$DA$404,102,FALSE)-VLOOKUP($A232,'01-02.2022'!$A$6:$DA$376,102,FALSE)</f>
        <v>9029.0562712323936</v>
      </c>
      <c r="CY232" s="566">
        <f>VLOOKUP($A232,'01-02.2021'!$A$6:$CZ$403,103,FALSE)+VLOOKUP($A232,'1.3.21-28.2.22'!$A$6:$DA$404,103,FALSE)-VLOOKUP($A232,'01-02.2022'!$A$6:$DA$376,103,FALSE)</f>
        <v>58044.656865173914</v>
      </c>
      <c r="CZ232" s="52">
        <f t="shared" si="232"/>
        <v>49015.600593941519</v>
      </c>
      <c r="DA232" s="150">
        <f>'[2]побудинковий звіт'!DA232</f>
        <v>37005.314106303864</v>
      </c>
      <c r="DB232" s="2">
        <v>1</v>
      </c>
      <c r="DC232" s="414">
        <f>'[4]побудинковий звіт'!DC232</f>
        <v>30246.62</v>
      </c>
      <c r="DD232" s="414">
        <f>'[4]побудинковий звіт'!DD232</f>
        <v>0</v>
      </c>
      <c r="DE232" s="557">
        <f>'[4]побудинковий звіт'!DE232</f>
        <v>869.68834825916201</v>
      </c>
      <c r="DF232" s="557">
        <f>'[4]побудинковий звіт'!DF232</f>
        <v>0</v>
      </c>
      <c r="DG232" s="321">
        <f>VLOOKUP(A232,'кошти 01.03.2021'!$A$6:$D$401,4,)</f>
        <v>98688.908776632699</v>
      </c>
      <c r="DH232" s="40">
        <f>'[3]побудинковий звіт'!DJ232</f>
        <v>336164.26683405251</v>
      </c>
      <c r="DI232" s="422">
        <f>'[3]побудинковий звіт'!CU232+'[3]побудинковий звіт'!CX232</f>
        <v>29376.931651740837</v>
      </c>
      <c r="DJ232" s="306">
        <f>'[3]побудинковий звіт'!DM232</f>
        <v>5.6836987719722512</v>
      </c>
      <c r="DK232" s="306">
        <f>'[3]побудинковий звіт'!DN232</f>
        <v>6.9432815822234044</v>
      </c>
      <c r="DL232" s="306">
        <f>'[3]побудинковий звіт'!DO232</f>
        <v>4.8203134468006077</v>
      </c>
      <c r="DM232" s="28">
        <f t="shared" si="288"/>
        <v>29376.931651740837</v>
      </c>
      <c r="DN232" s="28">
        <f>DL232*H232</f>
        <v>0</v>
      </c>
      <c r="DO232" s="423">
        <f t="shared" si="238"/>
        <v>29376.931651740837</v>
      </c>
      <c r="DP232" s="94">
        <f t="shared" si="239"/>
        <v>0</v>
      </c>
      <c r="DQ232" s="28">
        <f t="shared" si="240"/>
        <v>29376.931651740837</v>
      </c>
      <c r="DR232" s="318"/>
      <c r="DT232" s="8"/>
      <c r="DU232" s="5"/>
      <c r="DX232" s="5">
        <f t="shared" si="241"/>
        <v>73979.263235674734</v>
      </c>
      <c r="DY232" s="5">
        <f t="shared" si="242"/>
        <v>22351.209560855299</v>
      </c>
      <c r="DZ232" s="159">
        <f>'[3]побудинковий звіт'!EA232</f>
        <v>6598.2299236968465</v>
      </c>
    </row>
    <row r="233" spans="1:130" x14ac:dyDescent="0.3">
      <c r="A233" s="325">
        <v>150000963</v>
      </c>
      <c r="B233" s="41" t="s">
        <v>680</v>
      </c>
      <c r="C233" s="42" t="s">
        <v>380</v>
      </c>
      <c r="D233" s="43"/>
      <c r="E233" s="293">
        <f t="shared" si="218"/>
        <v>2140.7399999999998</v>
      </c>
      <c r="F233" s="305">
        <f>'[3]побудинковий звіт'!F233</f>
        <v>2140.7399999999998</v>
      </c>
      <c r="G233" s="508">
        <f>'[3]побудинковий звіт'!G233</f>
        <v>236.5</v>
      </c>
      <c r="H233" s="560">
        <f>'[3]побудинковий звіт'!H233</f>
        <v>0</v>
      </c>
      <c r="I233" s="566">
        <f>VLOOKUP($A233,'01-02.2021'!$A$6:$CZ$403,9,FALSE)+VLOOKUP($A233,'1.3.21-28.2.22'!$A$6:$DA$404,9,FALSE)-VLOOKUP($A233,'01-02.2022'!$A$6:$DA$376,9,FALSE)</f>
        <v>7562.0329959372375</v>
      </c>
      <c r="J233" s="566">
        <f>VLOOKUP($A233,'01-02.2021'!$A$6:$CZ$403,10,FALSE)+VLOOKUP($A233,'1.3.21-28.2.22'!$A$6:$DA$404,10,FALSE)-VLOOKUP($A233,'01-02.2022'!$A$6:$DA$376,10,FALSE)</f>
        <v>6682.0310050811113</v>
      </c>
      <c r="K233" s="52">
        <f t="shared" si="222"/>
        <v>-880.00199085612621</v>
      </c>
      <c r="L233" s="566">
        <f>VLOOKUP($A233,'01-02.2021'!$A$6:$CZ$403,12,FALSE)+VLOOKUP($A233,'1.3.21-28.2.22'!$A$6:$DA$404,12,FALSE)-VLOOKUP($A233,'01-02.2022'!$A$6:$DA$376,12,FALSE)</f>
        <v>1167.5144485756746</v>
      </c>
      <c r="M233" s="566">
        <f>VLOOKUP($A233,'01-02.2021'!$A$6:$CZ$403,13,FALSE)+VLOOKUP($A233,'1.3.21-28.2.22'!$A$6:$DA$404,13,FALSE)-VLOOKUP($A233,'01-02.2022'!$A$6:$DA$376,13,FALSE)</f>
        <v>1055.9431562383518</v>
      </c>
      <c r="N233" s="52">
        <f t="shared" si="223"/>
        <v>-111.5712923373228</v>
      </c>
      <c r="O233" s="566">
        <f>VLOOKUP($A233,'01-02.2021'!$A$6:$CZ$403,15,FALSE)+VLOOKUP($A233,'1.3.21-28.2.22'!$A$6:$DA$404,15,FALSE)-VLOOKUP($A233,'01-02.2022'!$A$6:$DA$376,15,FALSE)</f>
        <v>2894.2056751904011</v>
      </c>
      <c r="P233" s="566">
        <f>VLOOKUP($A233,'01-02.2021'!$A$6:$CZ$403,16,FALSE)+VLOOKUP($A233,'1.3.21-28.2.22'!$A$6:$DA$404,16,FALSE)-VLOOKUP($A233,'01-02.2022'!$A$6:$DA$376,16,FALSE)</f>
        <v>2894.170000000001</v>
      </c>
      <c r="Q233" s="70">
        <f t="shared" si="243"/>
        <v>-3.5675190400070278E-2</v>
      </c>
      <c r="R233" s="566">
        <f>VLOOKUP($A233,'01-02.2021'!$A$6:$CZ$403,18,FALSE)+VLOOKUP($A233,'1.3.21-28.2.22'!$A$6:$DA$404,18,FALSE)-VLOOKUP($A233,'01-02.2022'!$A$6:$DA$376,18,FALSE)</f>
        <v>641.95159979225843</v>
      </c>
      <c r="S233" s="566">
        <f>VLOOKUP($A233,'01-02.2021'!$A$6:$CZ$403,19,FALSE)+VLOOKUP($A233,'1.3.21-28.2.22'!$A$6:$DA$404,19,FALSE)-VLOOKUP($A233,'01-02.2022'!$A$6:$DA$376,19,FALSE)</f>
        <v>641.92000000000007</v>
      </c>
      <c r="T233" s="70">
        <f t="shared" si="244"/>
        <v>-3.1599792258361958E-2</v>
      </c>
      <c r="U233" s="566">
        <f>VLOOKUP($A233,'01-02.2021'!$A$6:$CZ$403,21,FALSE)+VLOOKUP($A233,'1.3.21-28.2.22'!$A$6:$DA$404,21,FALSE)-VLOOKUP($A233,'01-02.2022'!$A$6:$DA$376,21,FALSE)</f>
        <v>335.82127994245559</v>
      </c>
      <c r="V233" s="566">
        <f>VLOOKUP($A233,'01-02.2021'!$A$6:$CZ$403,22,FALSE)+VLOOKUP($A233,'1.3.21-28.2.22'!$A$6:$DA$404,22,FALSE)-VLOOKUP($A233,'01-02.2022'!$A$6:$DA$376,22,FALSE)</f>
        <v>235.69663831857673</v>
      </c>
      <c r="W233" s="70">
        <f t="shared" si="245"/>
        <v>-100.12464162387886</v>
      </c>
      <c r="X233" s="566">
        <f>VLOOKUP($A233,'01-02.2021'!$A$6:$CZ$403,24,FALSE)+VLOOKUP($A233,'1.3.21-28.2.22'!$A$6:$DA$404,24,FALSE)-VLOOKUP($A233,'01-02.2022'!$A$6:$DA$376,24,FALSE)</f>
        <v>1870.7655869052928</v>
      </c>
      <c r="Y233" s="566">
        <f>VLOOKUP($A233,'01-02.2021'!$A$6:$CZ$403,25,FALSE)+VLOOKUP($A233,'1.3.21-28.2.22'!$A$6:$DA$404,25,FALSE)-VLOOKUP($A233,'01-02.2022'!$A$6:$DA$376,25,FALSE)</f>
        <v>1948.2465902062577</v>
      </c>
      <c r="Z233" s="70">
        <f t="shared" si="246"/>
        <v>77.481003300964858</v>
      </c>
      <c r="AA233" s="566">
        <f>VLOOKUP($A233,'01-02.2021'!$A$6:$CZ$403,27,FALSE)+VLOOKUP($A233,'1.3.21-28.2.22'!$A$6:$DA$404,27,FALSE)-VLOOKUP($A233,'01-02.2022'!$A$6:$DA$376,27,FALSE)</f>
        <v>428.29199999999997</v>
      </c>
      <c r="AB233" s="566">
        <f>VLOOKUP($A233,'01-02.2021'!$A$6:$CZ$403,28,FALSE)+VLOOKUP($A233,'1.3.21-28.2.22'!$A$6:$DA$404,28,FALSE)-VLOOKUP($A233,'01-02.2022'!$A$6:$DA$376,28,FALSE)</f>
        <v>0</v>
      </c>
      <c r="AC233" s="70">
        <f t="shared" si="247"/>
        <v>-428.29199999999997</v>
      </c>
      <c r="AD233" s="566">
        <f>VLOOKUP($A233,'01-02.2021'!$A$6:$CZ$403,30,FALSE)+VLOOKUP($A233,'1.3.21-28.2.22'!$A$6:$DA$404,30,FALSE)-VLOOKUP($A233,'01-02.2022'!$A$6:$DA$376,30,FALSE)</f>
        <v>9196.3786956119275</v>
      </c>
      <c r="AE233" s="566">
        <f>VLOOKUP($A233,'01-02.2021'!$A$6:$CZ$403,31,FALSE)+VLOOKUP($A233,'1.3.21-28.2.22'!$A$6:$DA$404,31,FALSE)-VLOOKUP($A233,'01-02.2022'!$A$6:$DA$376,31,FALSE)</f>
        <v>9744.7347352320267</v>
      </c>
      <c r="AF233" s="68">
        <f t="shared" si="248"/>
        <v>548.35603962009918</v>
      </c>
      <c r="AG233" s="77">
        <f t="shared" si="219"/>
        <v>24096.962281955246</v>
      </c>
      <c r="AH233" s="53">
        <f t="shared" si="219"/>
        <v>23202.742125076325</v>
      </c>
      <c r="AI233" s="52">
        <f t="shared" si="224"/>
        <v>-894.22015687892053</v>
      </c>
      <c r="AJ233" s="566">
        <f>VLOOKUP($A233,'01-02.2021'!$A$6:$CZ$403,36,FALSE)+VLOOKUP($A233,'1.3.21-28.2.22'!$A$6:$DA$404,36,FALSE)-VLOOKUP($A233,'01-02.2022'!$A$6:$DA$376,36,FALSE)</f>
        <v>17951.701114770043</v>
      </c>
      <c r="AK233" s="566">
        <f>VLOOKUP($A233,'01-02.2021'!$A$6:$CZ$403,37,FALSE)+VLOOKUP($A233,'1.3.21-28.2.22'!$A$6:$DA$404,37,FALSE)-VLOOKUP($A233,'01-02.2022'!$A$6:$DA$376,37,FALSE)</f>
        <v>17834.024033766509</v>
      </c>
      <c r="AL233" s="70">
        <f t="shared" si="249"/>
        <v>-117.67708100353411</v>
      </c>
      <c r="AM233" s="566">
        <f>VLOOKUP($A233,'01-02.2021'!$A$6:$CZ$403,39,FALSE)+VLOOKUP($A233,'1.3.21-28.2.22'!$A$6:$DA$404,39,FALSE)-VLOOKUP($A233,'01-02.2022'!$A$6:$DA$376,39,FALSE)</f>
        <v>1446.1209718413761</v>
      </c>
      <c r="AN233" s="566">
        <f>VLOOKUP($A233,'01-02.2021'!$A$6:$CZ$403,40,FALSE)+VLOOKUP($A233,'1.3.21-28.2.22'!$A$6:$DA$404,40,FALSE)-VLOOKUP($A233,'01-02.2022'!$A$6:$DA$376,40,FALSE)</f>
        <v>1043.0412335713274</v>
      </c>
      <c r="AO233" s="70">
        <f t="shared" si="250"/>
        <v>-403.07973827004867</v>
      </c>
      <c r="AP233" s="566">
        <f>VLOOKUP($A233,'01-02.2021'!$A$6:$CZ$403,42,FALSE)+VLOOKUP($A233,'1.3.21-28.2.22'!$A$6:$DA$404,42,FALSE)-VLOOKUP($A233,'01-02.2022'!$A$6:$DA$376,42,FALSE)</f>
        <v>1561.6797750383319</v>
      </c>
      <c r="AQ233" s="566">
        <f>VLOOKUP($A233,'01-02.2021'!$A$6:$CZ$403,43,FALSE)+VLOOKUP($A233,'1.3.21-28.2.22'!$A$6:$DA$404,43,FALSE)-VLOOKUP($A233,'01-02.2022'!$A$6:$DA$376,43,FALSE)</f>
        <v>1217.8271336719918</v>
      </c>
      <c r="AR233" s="70">
        <f t="shared" si="251"/>
        <v>-343.85264136634009</v>
      </c>
      <c r="AS233" s="566">
        <f>VLOOKUP($A233,'01-02.2021'!$A$6:$CZ$403,45,FALSE)+VLOOKUP($A233,'1.3.21-28.2.22'!$A$6:$DA$404,45,FALSE)-VLOOKUP($A233,'01-02.2022'!$A$6:$DA$376,45,FALSE)</f>
        <v>27109.883990740465</v>
      </c>
      <c r="AT233" s="566">
        <f>VLOOKUP($A233,'01-02.2021'!$A$6:$CZ$403,46,FALSE)+VLOOKUP($A233,'1.3.21-28.2.22'!$A$6:$DA$404,46,FALSE)-VLOOKUP($A233,'01-02.2022'!$A$6:$DA$376,46,FALSE)</f>
        <v>20762.885547594811</v>
      </c>
      <c r="AU233" s="78">
        <f t="shared" si="252"/>
        <v>-6346.9984431456542</v>
      </c>
      <c r="AV233" s="566">
        <f>VLOOKUP($A233,'01-02.2021'!$A$6:$CZ$403,48,FALSE)+VLOOKUP($A233,'1.3.21-28.2.22'!$A$6:$DA$404,48,FALSE)-VLOOKUP($A233,'01-02.2022'!$A$6:$DA$376,48,FALSE)</f>
        <v>1618.5670675591984</v>
      </c>
      <c r="AW233" s="566">
        <f>VLOOKUP($A233,'01-02.2021'!$A$6:$CZ$403,49,FALSE)+VLOOKUP($A233,'1.3.21-28.2.22'!$A$6:$DA$404,49,FALSE)-VLOOKUP($A233,'01-02.2022'!$A$6:$DA$376,49,FALSE)</f>
        <v>279</v>
      </c>
      <c r="AX233" s="55">
        <f t="shared" si="253"/>
        <v>-1339.5670675591984</v>
      </c>
      <c r="AY233" s="566">
        <f>VLOOKUP($A233,'01-02.2021'!$A$6:$CZ$403,51,FALSE)+VLOOKUP($A233,'1.3.21-28.2.22'!$A$6:$DA$404,51,FALSE)-VLOOKUP($A233,'01-02.2022'!$A$6:$DA$376,51,FALSE)</f>
        <v>1771.8885465555618</v>
      </c>
      <c r="AZ233" s="566">
        <f>VLOOKUP($A233,'01-02.2021'!$A$6:$CZ$403,52,FALSE)+VLOOKUP($A233,'1.3.21-28.2.22'!$A$6:$DA$404,52,FALSE)-VLOOKUP($A233,'01-02.2022'!$A$6:$DA$376,52,FALSE)</f>
        <v>0</v>
      </c>
      <c r="BA233" s="38">
        <f t="shared" si="254"/>
        <v>-1771.8885465555618</v>
      </c>
      <c r="BB233" s="566">
        <f>VLOOKUP($A233,'01-02.2021'!$A$6:$CZ$403,54,FALSE)+VLOOKUP($A233,'1.3.21-28.2.22'!$A$6:$DA$404,54,FALSE)-VLOOKUP($A233,'01-02.2022'!$A$6:$DA$376,54,FALSE)</f>
        <v>603.16320752110607</v>
      </c>
      <c r="BC233" s="566">
        <f>VLOOKUP($A233,'01-02.2021'!$A$6:$CZ$403,55,FALSE)+VLOOKUP($A233,'1.3.21-28.2.22'!$A$6:$DA$404,55,FALSE)-VLOOKUP($A233,'01-02.2022'!$A$6:$DA$376,55,FALSE)</f>
        <v>0</v>
      </c>
      <c r="BD233" s="55">
        <f t="shared" si="255"/>
        <v>-603.16320752110607</v>
      </c>
      <c r="BE233" s="566">
        <f>VLOOKUP($A233,'01-02.2021'!$A$6:$CZ$403,57,FALSE)+VLOOKUP($A233,'1.3.21-28.2.22'!$A$6:$DA$404,57,FALSE)-VLOOKUP($A233,'01-02.2022'!$A$6:$DA$376,57,FALSE)</f>
        <v>1414.3952398163729</v>
      </c>
      <c r="BF233" s="566">
        <f>VLOOKUP($A233,'01-02.2021'!$A$6:$CZ$403,58,FALSE)+VLOOKUP($A233,'1.3.21-28.2.22'!$A$6:$DA$404,58,FALSE)-VLOOKUP($A233,'01-02.2022'!$A$6:$DA$376,58,FALSE)</f>
        <v>0</v>
      </c>
      <c r="BG233" s="55">
        <f t="shared" si="256"/>
        <v>-1414.3952398163729</v>
      </c>
      <c r="BH233" s="566">
        <f>VLOOKUP($A233,'01-02.2021'!$A$6:$CZ$403,60,FALSE)+VLOOKUP($A233,'1.3.21-28.2.22'!$A$6:$DA$404,60,FALSE)-VLOOKUP($A233,'01-02.2022'!$A$6:$DA$376,60,FALSE)</f>
        <v>637.89187291640781</v>
      </c>
      <c r="BI233" s="566">
        <f>VLOOKUP($A233,'01-02.2021'!$A$6:$CZ$403,61,FALSE)+VLOOKUP($A233,'1.3.21-28.2.22'!$A$6:$DA$404,61,FALSE)-VLOOKUP($A233,'01-02.2022'!$A$6:$DA$376,61,FALSE)</f>
        <v>0</v>
      </c>
      <c r="BJ233" s="55">
        <f t="shared" si="257"/>
        <v>-637.89187291640781</v>
      </c>
      <c r="BK233" s="566">
        <f>VLOOKUP($A233,'01-02.2021'!$A$6:$CZ$403,63,FALSE)+VLOOKUP($A233,'1.3.21-28.2.22'!$A$6:$DA$404,63,FALSE)-VLOOKUP($A233,'01-02.2022'!$A$6:$DA$376,63,FALSE)</f>
        <v>554.7267258904925</v>
      </c>
      <c r="BL233" s="566">
        <f>VLOOKUP($A233,'01-02.2021'!$A$6:$CZ$403,64,FALSE)+VLOOKUP($A233,'1.3.21-28.2.22'!$A$6:$DA$404,64,FALSE)-VLOOKUP($A233,'01-02.2022'!$A$6:$DA$376,64,FALSE)</f>
        <v>0</v>
      </c>
      <c r="BM233" s="55">
        <f t="shared" si="258"/>
        <v>-554.7267258904925</v>
      </c>
      <c r="BN233" s="566">
        <f>VLOOKUP($A233,'01-02.2021'!$A$6:$CZ$403,66,FALSE)+VLOOKUP($A233,'1.3.21-28.2.22'!$A$6:$DA$404,66,FALSE)-VLOOKUP($A233,'01-02.2022'!$A$6:$DA$376,66,FALSE)</f>
        <v>146.77679309308323</v>
      </c>
      <c r="BO233" s="566">
        <f>VLOOKUP($A233,'01-02.2021'!$A$6:$CZ$403,67,FALSE)+VLOOKUP($A233,'1.3.21-28.2.22'!$A$6:$DA$404,67,FALSE)-VLOOKUP($A233,'01-02.2022'!$A$6:$DA$376,67,FALSE)</f>
        <v>0</v>
      </c>
      <c r="BP233" s="55">
        <f t="shared" si="259"/>
        <v>-146.77679309308323</v>
      </c>
      <c r="BQ233" s="77">
        <f t="shared" si="287"/>
        <v>6747.409453352222</v>
      </c>
      <c r="BR233" s="40">
        <f t="shared" si="289"/>
        <v>279</v>
      </c>
      <c r="BS233" s="55">
        <f t="shared" si="236"/>
        <v>-6468.409453352222</v>
      </c>
      <c r="BT233" s="566">
        <f>VLOOKUP($A233,'01-02.2021'!$A$6:$CZ$403,72,FALSE)+VLOOKUP($A233,'1.3.21-28.2.22'!$A$6:$DA$404,72,FALSE)-VLOOKUP($A233,'01-02.2022'!$A$6:$DA$376,72,FALSE)</f>
        <v>30104.66365060502</v>
      </c>
      <c r="BU233" s="566">
        <f>VLOOKUP($A233,'01-02.2021'!$A$6:$CZ$403,73,FALSE)+VLOOKUP($A233,'1.3.21-28.2.22'!$A$6:$DA$404,73,FALSE)-VLOOKUP($A233,'01-02.2022'!$A$6:$DA$376,73,FALSE)</f>
        <v>31823.786888017559</v>
      </c>
      <c r="BV233" s="70">
        <f t="shared" si="260"/>
        <v>1719.1232374125393</v>
      </c>
      <c r="BW233" s="566">
        <f>VLOOKUP($A233,'01-02.2021'!$A$6:$CZ$403,75,FALSE)+VLOOKUP($A233,'1.3.21-28.2.22'!$A$6:$DA$404,75,FALSE)-VLOOKUP($A233,'01-02.2022'!$A$6:$DA$376,75,FALSE)</f>
        <v>15625.042776621625</v>
      </c>
      <c r="BX233" s="566">
        <f>VLOOKUP($A233,'01-02.2021'!$A$6:$CZ$403,76,FALSE)+VLOOKUP($A233,'1.3.21-28.2.22'!$A$6:$DA$404,76,FALSE)-VLOOKUP($A233,'01-02.2022'!$A$6:$DA$376,76,FALSE)</f>
        <v>16317.228429333602</v>
      </c>
      <c r="BY233" s="70">
        <f t="shared" si="261"/>
        <v>692.18565271197622</v>
      </c>
      <c r="BZ233" s="566">
        <f>VLOOKUP($A233,'01-02.2021'!$A$6:$CZ$403,78,FALSE)+VLOOKUP($A233,'1.3.21-28.2.22'!$A$6:$DA$404,78,FALSE)-VLOOKUP($A233,'01-02.2022'!$A$6:$DA$376,78,FALSE)</f>
        <v>6281.6510670039333</v>
      </c>
      <c r="CA233" s="566">
        <f>VLOOKUP($A233,'01-02.2021'!$A$6:$CZ$403,79,FALSE)+VLOOKUP($A233,'1.3.21-28.2.22'!$A$6:$DA$404,79,FALSE)-VLOOKUP($A233,'01-02.2022'!$A$6:$DA$376,79,FALSE)</f>
        <v>7972.9020410302955</v>
      </c>
      <c r="CB233" s="70">
        <f t="shared" si="262"/>
        <v>1691.2509740263622</v>
      </c>
      <c r="CC233" s="566">
        <f>VLOOKUP($A233,'01-02.2021'!$A$6:$CZ$403,81,FALSE)+VLOOKUP($A233,'1.3.21-28.2.22'!$A$6:$DA$404,81,FALSE)-VLOOKUP($A233,'01-02.2022'!$A$6:$DA$376,81,FALSE)</f>
        <v>659.60790977845181</v>
      </c>
      <c r="CD233" s="566">
        <f>VLOOKUP($A233,'01-02.2021'!$A$6:$CZ$403,82,FALSE)+VLOOKUP($A233,'1.3.21-28.2.22'!$A$6:$DA$404,82,FALSE)-VLOOKUP($A233,'01-02.2022'!$A$6:$DA$376,82,FALSE)</f>
        <v>710.51086628058192</v>
      </c>
      <c r="CE233" s="70">
        <f t="shared" si="263"/>
        <v>50.90295650213011</v>
      </c>
      <c r="CF233" s="566">
        <f>VLOOKUP($A233,'01-02.2021'!$A$6:$CZ$403,84,FALSE)+VLOOKUP($A233,'1.3.21-28.2.22'!$A$6:$DA$404,84,FALSE)-VLOOKUP($A233,'01-02.2022'!$A$6:$DA$376,84,FALSE)</f>
        <v>79.028164050756402</v>
      </c>
      <c r="CG233" s="566">
        <f>VLOOKUP($A233,'01-02.2021'!$A$6:$CZ$403,85,FALSE)+VLOOKUP($A233,'1.3.21-28.2.22'!$A$6:$DA$404,85,FALSE)-VLOOKUP($A233,'01-02.2022'!$A$6:$DA$376,85,FALSE)</f>
        <v>0</v>
      </c>
      <c r="CH233" s="70">
        <f t="shared" si="264"/>
        <v>-79.028164050756402</v>
      </c>
      <c r="CI233" s="566">
        <f>VLOOKUP($A233,'01-02.2021'!$A$6:$CZ$403,87,FALSE)+VLOOKUP($A233,'1.3.21-28.2.22'!$A$6:$DA$404,87,FALSE)-VLOOKUP($A233,'01-02.2022'!$A$6:$DA$376,87,FALSE)</f>
        <v>4551.4607430400883</v>
      </c>
      <c r="CJ233" s="566">
        <f>VLOOKUP($A233,'01-02.2021'!$A$6:$CZ$403,88,FALSE)+VLOOKUP($A233,'1.3.21-28.2.22'!$A$6:$DA$404,88,FALSE)-VLOOKUP($A233,'01-02.2022'!$A$6:$DA$376,88,FALSE)</f>
        <v>4162.6752328625389</v>
      </c>
      <c r="CK233" s="70">
        <f t="shared" si="265"/>
        <v>-388.78551017754944</v>
      </c>
      <c r="CL233" s="566">
        <f>VLOOKUP($A233,'01-02.2021'!$A$6:$CZ$403,90,FALSE)+VLOOKUP($A233,'1.3.21-28.2.22'!$A$6:$DA$404,90,FALSE)-VLOOKUP($A233,'01-02.2022'!$A$6:$DA$376,90,FALSE)</f>
        <v>4244.2077778526746</v>
      </c>
      <c r="CM233" s="566">
        <f>VLOOKUP($A233,'01-02.2021'!$A$6:$CZ$403,91,FALSE)+VLOOKUP($A233,'1.3.21-28.2.22'!$A$6:$DA$404,91,FALSE)-VLOOKUP($A233,'01-02.2022'!$A$6:$DA$376,91,FALSE)</f>
        <v>3804.366649136703</v>
      </c>
      <c r="CN233" s="52">
        <f t="shared" si="225"/>
        <v>-439.84112871597154</v>
      </c>
      <c r="CO233" s="39">
        <f t="shared" si="220"/>
        <v>8795.6685208927629</v>
      </c>
      <c r="CP233" s="40">
        <f t="shared" si="226"/>
        <v>7967.0418819992419</v>
      </c>
      <c r="CQ233" s="52">
        <f t="shared" si="227"/>
        <v>-828.62663889352098</v>
      </c>
      <c r="CR233" s="72">
        <f t="shared" si="221"/>
        <v>140459.4196766502</v>
      </c>
      <c r="CS233" s="5">
        <f t="shared" si="221"/>
        <v>129130.99018034224</v>
      </c>
      <c r="CT233" s="52">
        <f t="shared" si="228"/>
        <v>-11328.429496307959</v>
      </c>
      <c r="CU233" s="77">
        <f t="shared" si="229"/>
        <v>168551.30361198023</v>
      </c>
      <c r="CV233" s="65">
        <f t="shared" si="230"/>
        <v>154957.18821641069</v>
      </c>
      <c r="CW233" s="35">
        <f t="shared" si="231"/>
        <v>-13594.115395569534</v>
      </c>
      <c r="CX233" s="566">
        <f>VLOOKUP($A233,'01-02.2021'!$A$6:$CZ$403,102,FALSE)+VLOOKUP($A233,'1.3.21-28.2.22'!$A$6:$DA$404,102,FALSE)-VLOOKUP($A233,'01-02.2022'!$A$6:$DA$376,102,FALSE)</f>
        <v>4809.7296679728133</v>
      </c>
      <c r="CY233" s="566">
        <f>VLOOKUP($A233,'01-02.2021'!$A$6:$CZ$403,103,FALSE)+VLOOKUP($A233,'1.3.21-28.2.22'!$A$6:$DA$404,103,FALSE)-VLOOKUP($A233,'01-02.2022'!$A$6:$DA$376,103,FALSE)</f>
        <v>18403.845063542394</v>
      </c>
      <c r="CZ233" s="52">
        <f t="shared" si="232"/>
        <v>13594.115395569581</v>
      </c>
      <c r="DA233" s="150">
        <f>'[2]побудинковий звіт'!DA233</f>
        <v>-50333.546237203947</v>
      </c>
      <c r="DB233" s="2">
        <v>1</v>
      </c>
      <c r="DC233" s="414">
        <f>'[4]побудинковий звіт'!DC233</f>
        <v>21808.37</v>
      </c>
      <c r="DD233" s="414">
        <f>'[4]побудинковий звіт'!DD233</f>
        <v>0</v>
      </c>
      <c r="DE233" s="557">
        <f>'[4]побудинковий звіт'!DE233</f>
        <v>6170.9509115440887</v>
      </c>
      <c r="DF233" s="557">
        <f>'[4]побудинковий звіт'!DF233</f>
        <v>0</v>
      </c>
      <c r="DG233" s="321">
        <f>VLOOKUP(A233,'кошти 01.03.2021'!$A$6:$D$401,4,)</f>
        <v>-29241.040569594166</v>
      </c>
      <c r="DH233" s="40">
        <f>'[3]побудинковий звіт'!DJ233</f>
        <v>178983.53884261078</v>
      </c>
      <c r="DI233" s="422">
        <f>'[3]побудинковий звіт'!CU233+'[3]побудинковий звіт'!CX233</f>
        <v>15637.419088455908</v>
      </c>
      <c r="DJ233" s="306">
        <f>'[3]побудинковий звіт'!DM233</f>
        <v>6.1152942221564306</v>
      </c>
      <c r="DK233" s="306">
        <f>'[3]побудинковий звіт'!DN233</f>
        <v>7.4523967592929017</v>
      </c>
      <c r="DL233" s="306">
        <f>'[3]побудинковий звіт'!DO233</f>
        <v>5.2453065466542226</v>
      </c>
      <c r="DM233" s="28">
        <f t="shared" si="288"/>
        <v>15637.41908845591</v>
      </c>
      <c r="DN233" s="28">
        <f>DL233*H233</f>
        <v>0</v>
      </c>
      <c r="DO233" s="423">
        <f t="shared" si="238"/>
        <v>15637.41908845591</v>
      </c>
      <c r="DP233" s="94">
        <f t="shared" si="239"/>
        <v>0</v>
      </c>
      <c r="DQ233" s="28">
        <f t="shared" si="240"/>
        <v>15637.41908845591</v>
      </c>
      <c r="DR233" s="318"/>
      <c r="DT233" s="8"/>
      <c r="DU233" s="5"/>
      <c r="DX233" s="5">
        <f t="shared" si="241"/>
        <v>40628.752132911228</v>
      </c>
      <c r="DY233" s="5">
        <f t="shared" si="242"/>
        <v>25250.262657113773</v>
      </c>
      <c r="DZ233" s="159">
        <f>'[3]побудинковий звіт'!EA233</f>
        <v>3820.0515187423471</v>
      </c>
    </row>
    <row r="234" spans="1:130" x14ac:dyDescent="0.3">
      <c r="A234" s="325">
        <v>150000927</v>
      </c>
      <c r="B234" s="41" t="s">
        <v>681</v>
      </c>
      <c r="C234" s="42" t="s">
        <v>179</v>
      </c>
      <c r="D234" s="42"/>
      <c r="E234" s="293">
        <f t="shared" si="218"/>
        <v>602.9</v>
      </c>
      <c r="F234" s="305">
        <f>'[3]побудинковий звіт'!F234</f>
        <v>418.2</v>
      </c>
      <c r="G234" s="508">
        <f>'[3]побудинковий звіт'!G234</f>
        <v>0</v>
      </c>
      <c r="H234" s="560">
        <f>'[3]побудинковий звіт'!H234</f>
        <v>184.7</v>
      </c>
      <c r="I234" s="566">
        <f>VLOOKUP($A234,'01-02.2021'!$A$6:$CZ$403,9,FALSE)+VLOOKUP($A234,'1.3.21-28.2.22'!$A$6:$DA$404,9,FALSE)-VLOOKUP($A234,'01-02.2022'!$A$6:$DA$376,9,FALSE)</f>
        <v>2633.3301781694558</v>
      </c>
      <c r="J234" s="566">
        <f>VLOOKUP($A234,'01-02.2021'!$A$6:$CZ$403,10,FALSE)+VLOOKUP($A234,'1.3.21-28.2.22'!$A$6:$DA$404,10,FALSE)-VLOOKUP($A234,'01-02.2022'!$A$6:$DA$376,10,FALSE)</f>
        <v>2849.9563077921466</v>
      </c>
      <c r="K234" s="52">
        <f t="shared" si="222"/>
        <v>216.62612962269077</v>
      </c>
      <c r="L234" s="566">
        <f>VLOOKUP($A234,'01-02.2021'!$A$6:$CZ$403,12,FALSE)+VLOOKUP($A234,'1.3.21-28.2.22'!$A$6:$DA$404,12,FALSE)-VLOOKUP($A234,'01-02.2022'!$A$6:$DA$376,12,FALSE)</f>
        <v>691.40831293729593</v>
      </c>
      <c r="M234" s="566">
        <f>VLOOKUP($A234,'01-02.2021'!$A$6:$CZ$403,13,FALSE)+VLOOKUP($A234,'1.3.21-28.2.22'!$A$6:$DA$404,13,FALSE)-VLOOKUP($A234,'01-02.2022'!$A$6:$DA$376,13,FALSE)</f>
        <v>761.26799125561524</v>
      </c>
      <c r="N234" s="52">
        <f t="shared" si="223"/>
        <v>69.859678318319311</v>
      </c>
      <c r="O234" s="566">
        <f>VLOOKUP($A234,'01-02.2021'!$A$6:$CZ$403,15,FALSE)+VLOOKUP($A234,'1.3.21-28.2.22'!$A$6:$DA$404,15,FALSE)-VLOOKUP($A234,'01-02.2022'!$A$6:$DA$376,15,FALSE)</f>
        <v>828.97199833258344</v>
      </c>
      <c r="P234" s="566">
        <f>VLOOKUP($A234,'01-02.2021'!$A$6:$CZ$403,16,FALSE)+VLOOKUP($A234,'1.3.21-28.2.22'!$A$6:$DA$404,16,FALSE)-VLOOKUP($A234,'01-02.2022'!$A$6:$DA$376,16,FALSE)</f>
        <v>828.97000000000014</v>
      </c>
      <c r="Q234" s="70">
        <f t="shared" si="243"/>
        <v>-1.9983325832981791E-3</v>
      </c>
      <c r="R234" s="566">
        <f>VLOOKUP($A234,'01-02.2021'!$A$6:$CZ$403,18,FALSE)+VLOOKUP($A234,'1.3.21-28.2.22'!$A$6:$DA$404,18,FALSE)-VLOOKUP($A234,'01-02.2022'!$A$6:$DA$376,18,FALSE)</f>
        <v>0</v>
      </c>
      <c r="S234" s="566">
        <f>VLOOKUP($A234,'01-02.2021'!$A$6:$CZ$403,19,FALSE)+VLOOKUP($A234,'1.3.21-28.2.22'!$A$6:$DA$404,19,FALSE)-VLOOKUP($A234,'01-02.2022'!$A$6:$DA$376,19,FALSE)</f>
        <v>0</v>
      </c>
      <c r="T234" s="70">
        <f t="shared" si="244"/>
        <v>0</v>
      </c>
      <c r="U234" s="566">
        <f>VLOOKUP($A234,'01-02.2021'!$A$6:$CZ$403,21,FALSE)+VLOOKUP($A234,'1.3.21-28.2.22'!$A$6:$DA$404,21,FALSE)-VLOOKUP($A234,'01-02.2022'!$A$6:$DA$376,21,FALSE)</f>
        <v>0</v>
      </c>
      <c r="V234" s="566">
        <f>VLOOKUP($A234,'01-02.2021'!$A$6:$CZ$403,22,FALSE)+VLOOKUP($A234,'1.3.21-28.2.22'!$A$6:$DA$404,22,FALSE)-VLOOKUP($A234,'01-02.2022'!$A$6:$DA$376,22,FALSE)</f>
        <v>0</v>
      </c>
      <c r="W234" s="70">
        <f t="shared" si="245"/>
        <v>0</v>
      </c>
      <c r="X234" s="566">
        <f>VLOOKUP($A234,'01-02.2021'!$A$6:$CZ$403,24,FALSE)+VLOOKUP($A234,'1.3.21-28.2.22'!$A$6:$DA$404,24,FALSE)-VLOOKUP($A234,'01-02.2022'!$A$6:$DA$376,24,FALSE)</f>
        <v>1048.7219231091631</v>
      </c>
      <c r="Y234" s="566">
        <f>VLOOKUP($A234,'01-02.2021'!$A$6:$CZ$403,25,FALSE)+VLOOKUP($A234,'1.3.21-28.2.22'!$A$6:$DA$404,25,FALSE)-VLOOKUP($A234,'01-02.2022'!$A$6:$DA$376,25,FALSE)</f>
        <v>1471.2114111972876</v>
      </c>
      <c r="Z234" s="70">
        <f t="shared" si="246"/>
        <v>422.48948808812452</v>
      </c>
      <c r="AA234" s="566">
        <f>VLOOKUP($A234,'01-02.2021'!$A$6:$CZ$403,27,FALSE)+VLOOKUP($A234,'1.3.21-28.2.22'!$A$6:$DA$404,27,FALSE)-VLOOKUP($A234,'01-02.2022'!$A$6:$DA$376,27,FALSE)</f>
        <v>141.9</v>
      </c>
      <c r="AB234" s="566">
        <f>VLOOKUP($A234,'01-02.2021'!$A$6:$CZ$403,28,FALSE)+VLOOKUP($A234,'1.3.21-28.2.22'!$A$6:$DA$404,28,FALSE)-VLOOKUP($A234,'01-02.2022'!$A$6:$DA$376,28,FALSE)</f>
        <v>0</v>
      </c>
      <c r="AC234" s="70">
        <f t="shared" si="247"/>
        <v>-141.9</v>
      </c>
      <c r="AD234" s="566">
        <f>VLOOKUP($A234,'01-02.2021'!$A$6:$CZ$403,30,FALSE)+VLOOKUP($A234,'1.3.21-28.2.22'!$A$6:$DA$404,30,FALSE)-VLOOKUP($A234,'01-02.2022'!$A$6:$DA$376,30,FALSE)</f>
        <v>2752.7082316082842</v>
      </c>
      <c r="AE234" s="566">
        <f>VLOOKUP($A234,'01-02.2021'!$A$6:$CZ$403,31,FALSE)+VLOOKUP($A234,'1.3.21-28.2.22'!$A$6:$DA$404,31,FALSE)-VLOOKUP($A234,'01-02.2022'!$A$6:$DA$376,31,FALSE)</f>
        <v>2744.4250921977391</v>
      </c>
      <c r="AF234" s="68">
        <f t="shared" si="248"/>
        <v>-8.2831394105451182</v>
      </c>
      <c r="AG234" s="77">
        <f t="shared" si="219"/>
        <v>8097.040644156782</v>
      </c>
      <c r="AH234" s="53">
        <f t="shared" si="219"/>
        <v>8655.8308024427897</v>
      </c>
      <c r="AI234" s="52">
        <f t="shared" si="224"/>
        <v>558.79015828600768</v>
      </c>
      <c r="AJ234" s="566">
        <f>VLOOKUP($A234,'01-02.2021'!$A$6:$CZ$403,36,FALSE)+VLOOKUP($A234,'1.3.21-28.2.22'!$A$6:$DA$404,36,FALSE)-VLOOKUP($A234,'01-02.2022'!$A$6:$DA$376,36,FALSE)</f>
        <v>0</v>
      </c>
      <c r="AK234" s="566">
        <f>VLOOKUP($A234,'01-02.2021'!$A$6:$CZ$403,37,FALSE)+VLOOKUP($A234,'1.3.21-28.2.22'!$A$6:$DA$404,37,FALSE)-VLOOKUP($A234,'01-02.2022'!$A$6:$DA$376,37,FALSE)</f>
        <v>0</v>
      </c>
      <c r="AL234" s="70">
        <f t="shared" si="249"/>
        <v>0</v>
      </c>
      <c r="AM234" s="566">
        <f>VLOOKUP($A234,'01-02.2021'!$A$6:$CZ$403,39,FALSE)+VLOOKUP($A234,'1.3.21-28.2.22'!$A$6:$DA$404,39,FALSE)-VLOOKUP($A234,'01-02.2022'!$A$6:$DA$376,39,FALSE)</f>
        <v>0</v>
      </c>
      <c r="AN234" s="566">
        <f>VLOOKUP($A234,'01-02.2021'!$A$6:$CZ$403,40,FALSE)+VLOOKUP($A234,'1.3.21-28.2.22'!$A$6:$DA$404,40,FALSE)-VLOOKUP($A234,'01-02.2022'!$A$6:$DA$376,40,FALSE)</f>
        <v>0</v>
      </c>
      <c r="AO234" s="70">
        <f t="shared" si="250"/>
        <v>0</v>
      </c>
      <c r="AP234" s="566">
        <f>VLOOKUP($A234,'01-02.2021'!$A$6:$CZ$403,42,FALSE)+VLOOKUP($A234,'1.3.21-28.2.22'!$A$6:$DA$404,42,FALSE)-VLOOKUP($A234,'01-02.2022'!$A$6:$DA$376,42,FALSE)</f>
        <v>1041.1198500255546</v>
      </c>
      <c r="AQ234" s="566">
        <f>VLOOKUP($A234,'01-02.2021'!$A$6:$CZ$403,43,FALSE)+VLOOKUP($A234,'1.3.21-28.2.22'!$A$6:$DA$404,43,FALSE)-VLOOKUP($A234,'01-02.2022'!$A$6:$DA$376,43,FALSE)</f>
        <v>909.47397982591951</v>
      </c>
      <c r="AR234" s="70">
        <f t="shared" si="251"/>
        <v>-131.64587019963506</v>
      </c>
      <c r="AS234" s="566">
        <f>VLOOKUP($A234,'01-02.2021'!$A$6:$CZ$403,45,FALSE)+VLOOKUP($A234,'1.3.21-28.2.22'!$A$6:$DA$404,45,FALSE)-VLOOKUP($A234,'01-02.2022'!$A$6:$DA$376,45,FALSE)</f>
        <v>7030.0315217586103</v>
      </c>
      <c r="AT234" s="566">
        <f>VLOOKUP($A234,'01-02.2021'!$A$6:$CZ$403,46,FALSE)+VLOOKUP($A234,'1.3.21-28.2.22'!$A$6:$DA$404,46,FALSE)-VLOOKUP($A234,'01-02.2022'!$A$6:$DA$376,46,FALSE)</f>
        <v>0</v>
      </c>
      <c r="AU234" s="78">
        <f t="shared" si="252"/>
        <v>-7030.0315217586103</v>
      </c>
      <c r="AV234" s="566">
        <f>VLOOKUP($A234,'01-02.2021'!$A$6:$CZ$403,48,FALSE)+VLOOKUP($A234,'1.3.21-28.2.22'!$A$6:$DA$404,48,FALSE)-VLOOKUP($A234,'01-02.2022'!$A$6:$DA$376,48,FALSE)</f>
        <v>848.32732476663546</v>
      </c>
      <c r="AW234" s="566">
        <f>VLOOKUP($A234,'01-02.2021'!$A$6:$CZ$403,49,FALSE)+VLOOKUP($A234,'1.3.21-28.2.22'!$A$6:$DA$404,49,FALSE)-VLOOKUP($A234,'01-02.2022'!$A$6:$DA$376,49,FALSE)</f>
        <v>0</v>
      </c>
      <c r="AX234" s="55">
        <f t="shared" si="253"/>
        <v>-848.32732476663546</v>
      </c>
      <c r="AY234" s="566">
        <f>VLOOKUP($A234,'01-02.2021'!$A$6:$CZ$403,51,FALSE)+VLOOKUP($A234,'1.3.21-28.2.22'!$A$6:$DA$404,51,FALSE)-VLOOKUP($A234,'01-02.2022'!$A$6:$DA$376,51,FALSE)</f>
        <v>1299.7801645274351</v>
      </c>
      <c r="AZ234" s="566">
        <f>VLOOKUP($A234,'01-02.2021'!$A$6:$CZ$403,52,FALSE)+VLOOKUP($A234,'1.3.21-28.2.22'!$A$6:$DA$404,52,FALSE)-VLOOKUP($A234,'01-02.2022'!$A$6:$DA$376,52,FALSE)</f>
        <v>0</v>
      </c>
      <c r="BA234" s="38">
        <f t="shared" si="254"/>
        <v>-1299.7801645274351</v>
      </c>
      <c r="BB234" s="566">
        <f>VLOOKUP($A234,'01-02.2021'!$A$6:$CZ$403,54,FALSE)+VLOOKUP($A234,'1.3.21-28.2.22'!$A$6:$DA$404,54,FALSE)-VLOOKUP($A234,'01-02.2022'!$A$6:$DA$376,54,FALSE)</f>
        <v>383.8682278790169</v>
      </c>
      <c r="BC234" s="566">
        <f>VLOOKUP($A234,'01-02.2021'!$A$6:$CZ$403,55,FALSE)+VLOOKUP($A234,'1.3.21-28.2.22'!$A$6:$DA$404,55,FALSE)-VLOOKUP($A234,'01-02.2022'!$A$6:$DA$376,55,FALSE)</f>
        <v>0</v>
      </c>
      <c r="BD234" s="55">
        <f t="shared" si="255"/>
        <v>-383.8682278790169</v>
      </c>
      <c r="BE234" s="566">
        <f>VLOOKUP($A234,'01-02.2021'!$A$6:$CZ$403,57,FALSE)+VLOOKUP($A234,'1.3.21-28.2.22'!$A$6:$DA$404,57,FALSE)-VLOOKUP($A234,'01-02.2022'!$A$6:$DA$376,57,FALSE)</f>
        <v>0</v>
      </c>
      <c r="BF234" s="566">
        <f>VLOOKUP($A234,'01-02.2021'!$A$6:$CZ$403,58,FALSE)+VLOOKUP($A234,'1.3.21-28.2.22'!$A$6:$DA$404,58,FALSE)-VLOOKUP($A234,'01-02.2022'!$A$6:$DA$376,58,FALSE)</f>
        <v>0</v>
      </c>
      <c r="BG234" s="55">
        <f t="shared" si="256"/>
        <v>0</v>
      </c>
      <c r="BH234" s="566">
        <f>VLOOKUP($A234,'01-02.2021'!$A$6:$CZ$403,60,FALSE)+VLOOKUP($A234,'1.3.21-28.2.22'!$A$6:$DA$404,60,FALSE)-VLOOKUP($A234,'01-02.2022'!$A$6:$DA$376,60,FALSE)</f>
        <v>0</v>
      </c>
      <c r="BI234" s="566">
        <f>VLOOKUP($A234,'01-02.2021'!$A$6:$CZ$403,61,FALSE)+VLOOKUP($A234,'1.3.21-28.2.22'!$A$6:$DA$404,61,FALSE)-VLOOKUP($A234,'01-02.2022'!$A$6:$DA$376,61,FALSE)</f>
        <v>0</v>
      </c>
      <c r="BJ234" s="55">
        <f t="shared" si="257"/>
        <v>0</v>
      </c>
      <c r="BK234" s="566">
        <f>VLOOKUP($A234,'01-02.2021'!$A$6:$CZ$403,63,FALSE)+VLOOKUP($A234,'1.3.21-28.2.22'!$A$6:$DA$404,63,FALSE)-VLOOKUP($A234,'01-02.2022'!$A$6:$DA$376,63,FALSE)</f>
        <v>104.41206486093597</v>
      </c>
      <c r="BL234" s="566">
        <f>VLOOKUP($A234,'01-02.2021'!$A$6:$CZ$403,64,FALSE)+VLOOKUP($A234,'1.3.21-28.2.22'!$A$6:$DA$404,64,FALSE)-VLOOKUP($A234,'01-02.2022'!$A$6:$DA$376,64,FALSE)</f>
        <v>0</v>
      </c>
      <c r="BM234" s="55">
        <f t="shared" si="258"/>
        <v>-104.41206486093597</v>
      </c>
      <c r="BN234" s="566">
        <f>VLOOKUP($A234,'01-02.2021'!$A$6:$CZ$403,66,FALSE)+VLOOKUP($A234,'1.3.21-28.2.22'!$A$6:$DA$404,66,FALSE)-VLOOKUP($A234,'01-02.2022'!$A$6:$DA$376,66,FALSE)</f>
        <v>35.475000000000001</v>
      </c>
      <c r="BO234" s="566">
        <f>VLOOKUP($A234,'01-02.2021'!$A$6:$CZ$403,67,FALSE)+VLOOKUP($A234,'1.3.21-28.2.22'!$A$6:$DA$404,67,FALSE)-VLOOKUP($A234,'01-02.2022'!$A$6:$DA$376,67,FALSE)</f>
        <v>2668</v>
      </c>
      <c r="BP234" s="55">
        <f t="shared" si="259"/>
        <v>2632.5250000000001</v>
      </c>
      <c r="BQ234" s="77">
        <f t="shared" si="287"/>
        <v>2671.8627820340234</v>
      </c>
      <c r="BR234" s="40">
        <f t="shared" si="289"/>
        <v>2668</v>
      </c>
      <c r="BS234" s="55">
        <f t="shared" si="236"/>
        <v>-3.8627820340234393</v>
      </c>
      <c r="BT234" s="566">
        <f>VLOOKUP($A234,'01-02.2021'!$A$6:$CZ$403,72,FALSE)+VLOOKUP($A234,'1.3.21-28.2.22'!$A$6:$DA$404,72,FALSE)-VLOOKUP($A234,'01-02.2022'!$A$6:$DA$376,72,FALSE)</f>
        <v>5091.9517000057222</v>
      </c>
      <c r="BU234" s="566">
        <f>VLOOKUP($A234,'01-02.2021'!$A$6:$CZ$403,73,FALSE)+VLOOKUP($A234,'1.3.21-28.2.22'!$A$6:$DA$404,73,FALSE)-VLOOKUP($A234,'01-02.2022'!$A$6:$DA$376,73,FALSE)</f>
        <v>6985.1208376081577</v>
      </c>
      <c r="BV234" s="70">
        <f t="shared" si="260"/>
        <v>1893.1691376024355</v>
      </c>
      <c r="BW234" s="566">
        <f>VLOOKUP($A234,'01-02.2021'!$A$6:$CZ$403,75,FALSE)+VLOOKUP($A234,'1.3.21-28.2.22'!$A$6:$DA$404,75,FALSE)-VLOOKUP($A234,'01-02.2022'!$A$6:$DA$376,75,FALSE)</f>
        <v>5010.8456714855201</v>
      </c>
      <c r="BX234" s="566">
        <f>VLOOKUP($A234,'01-02.2021'!$A$6:$CZ$403,76,FALSE)+VLOOKUP($A234,'1.3.21-28.2.22'!$A$6:$DA$404,76,FALSE)-VLOOKUP($A234,'01-02.2022'!$A$6:$DA$376,76,FALSE)</f>
        <v>5134.8643305442019</v>
      </c>
      <c r="BY234" s="70">
        <f t="shared" si="261"/>
        <v>124.01865905868181</v>
      </c>
      <c r="BZ234" s="566">
        <f>VLOOKUP($A234,'01-02.2021'!$A$6:$CZ$403,78,FALSE)+VLOOKUP($A234,'1.3.21-28.2.22'!$A$6:$DA$404,78,FALSE)-VLOOKUP($A234,'01-02.2022'!$A$6:$DA$376,78,FALSE)</f>
        <v>2547.4498994503278</v>
      </c>
      <c r="CA234" s="566">
        <f>VLOOKUP($A234,'01-02.2021'!$A$6:$CZ$403,79,FALSE)+VLOOKUP($A234,'1.3.21-28.2.22'!$A$6:$DA$404,79,FALSE)-VLOOKUP($A234,'01-02.2022'!$A$6:$DA$376,79,FALSE)</f>
        <v>1927.8707039332489</v>
      </c>
      <c r="CB234" s="70">
        <f t="shared" si="262"/>
        <v>-619.57919551707892</v>
      </c>
      <c r="CC234" s="566">
        <f>VLOOKUP($A234,'01-02.2021'!$A$6:$CZ$403,81,FALSE)+VLOOKUP($A234,'1.3.21-28.2.22'!$A$6:$DA$404,81,FALSE)-VLOOKUP($A234,'01-02.2022'!$A$6:$DA$376,81,FALSE)</f>
        <v>544.83240406349296</v>
      </c>
      <c r="CD234" s="566">
        <f>VLOOKUP($A234,'01-02.2021'!$A$6:$CZ$403,82,FALSE)+VLOOKUP($A234,'1.3.21-28.2.22'!$A$6:$DA$404,82,FALSE)-VLOOKUP($A234,'01-02.2022'!$A$6:$DA$376,82,FALSE)</f>
        <v>595.49801446688048</v>
      </c>
      <c r="CE234" s="70">
        <f t="shared" si="263"/>
        <v>50.665610403387518</v>
      </c>
      <c r="CF234" s="566">
        <f>VLOOKUP($A234,'01-02.2021'!$A$6:$CZ$403,84,FALSE)+VLOOKUP($A234,'1.3.21-28.2.22'!$A$6:$DA$404,84,FALSE)-VLOOKUP($A234,'01-02.2022'!$A$6:$DA$376,84,FALSE)</f>
        <v>66.235601751661065</v>
      </c>
      <c r="CG234" s="566">
        <f>VLOOKUP($A234,'01-02.2021'!$A$6:$CZ$403,85,FALSE)+VLOOKUP($A234,'1.3.21-28.2.22'!$A$6:$DA$404,85,FALSE)-VLOOKUP($A234,'01-02.2022'!$A$6:$DA$376,85,FALSE)</f>
        <v>0</v>
      </c>
      <c r="CH234" s="70">
        <f t="shared" si="264"/>
        <v>-66.235601751661065</v>
      </c>
      <c r="CI234" s="566">
        <f>VLOOKUP($A234,'01-02.2021'!$A$6:$CZ$403,87,FALSE)+VLOOKUP($A234,'1.3.21-28.2.22'!$A$6:$DA$404,87,FALSE)-VLOOKUP($A234,'01-02.2022'!$A$6:$DA$376,87,FALSE)</f>
        <v>1117.5891557882765</v>
      </c>
      <c r="CJ234" s="566">
        <f>VLOOKUP($A234,'01-02.2021'!$A$6:$CZ$403,88,FALSE)+VLOOKUP($A234,'1.3.21-28.2.22'!$A$6:$DA$404,88,FALSE)-VLOOKUP($A234,'01-02.2022'!$A$6:$DA$376,88,FALSE)</f>
        <v>1012.7486855383622</v>
      </c>
      <c r="CK234" s="70">
        <f t="shared" si="265"/>
        <v>-104.84047024991423</v>
      </c>
      <c r="CL234" s="566">
        <f>VLOOKUP($A234,'01-02.2021'!$A$6:$CZ$403,90,FALSE)+VLOOKUP($A234,'1.3.21-28.2.22'!$A$6:$DA$404,90,FALSE)-VLOOKUP($A234,'01-02.2022'!$A$6:$DA$376,90,FALSE)</f>
        <v>0</v>
      </c>
      <c r="CM234" s="566">
        <f>VLOOKUP($A234,'01-02.2021'!$A$6:$CZ$403,91,FALSE)+VLOOKUP($A234,'1.3.21-28.2.22'!$A$6:$DA$404,91,FALSE)-VLOOKUP($A234,'01-02.2022'!$A$6:$DA$376,91,FALSE)</f>
        <v>0</v>
      </c>
      <c r="CN234" s="52">
        <f t="shared" si="225"/>
        <v>0</v>
      </c>
      <c r="CO234" s="39">
        <f t="shared" si="220"/>
        <v>1117.5891557882765</v>
      </c>
      <c r="CP234" s="40">
        <f t="shared" si="226"/>
        <v>1012.7486855383622</v>
      </c>
      <c r="CQ234" s="52">
        <f t="shared" si="227"/>
        <v>-104.84047024991423</v>
      </c>
      <c r="CR234" s="72">
        <f t="shared" si="221"/>
        <v>33218.959230519969</v>
      </c>
      <c r="CS234" s="5">
        <f t="shared" si="221"/>
        <v>27889.407354359559</v>
      </c>
      <c r="CT234" s="52">
        <f t="shared" si="228"/>
        <v>-5329.5518761604108</v>
      </c>
      <c r="CU234" s="77">
        <f t="shared" si="229"/>
        <v>39862.751076623965</v>
      </c>
      <c r="CV234" s="65">
        <f t="shared" si="230"/>
        <v>33467.288825231466</v>
      </c>
      <c r="CW234" s="35">
        <f t="shared" si="231"/>
        <v>-6395.4622513924987</v>
      </c>
      <c r="CX234" s="566">
        <f>VLOOKUP($A234,'01-02.2021'!$A$6:$CZ$403,102,FALSE)+VLOOKUP($A234,'1.3.21-28.2.22'!$A$6:$DA$404,102,FALSE)-VLOOKUP($A234,'01-02.2022'!$A$6:$DA$376,102,FALSE)</f>
        <v>1184.8967599914106</v>
      </c>
      <c r="CY234" s="566">
        <f>VLOOKUP($A234,'01-02.2021'!$A$6:$CZ$403,103,FALSE)+VLOOKUP($A234,'1.3.21-28.2.22'!$A$6:$DA$404,103,FALSE)-VLOOKUP($A234,'01-02.2022'!$A$6:$DA$376,103,FALSE)</f>
        <v>7580.3590113839018</v>
      </c>
      <c r="CZ234" s="52">
        <f t="shared" si="232"/>
        <v>6395.4622513924915</v>
      </c>
      <c r="DA234" s="150">
        <f>'[2]побудинковий звіт'!DA234</f>
        <v>-19968.581800820539</v>
      </c>
      <c r="DB234" s="2">
        <v>2</v>
      </c>
      <c r="DC234" s="414">
        <f>'[4]побудинковий звіт'!DC234</f>
        <v>4211.9399999999996</v>
      </c>
      <c r="DD234" s="414">
        <f>'[4]побудинковий звіт'!DD234</f>
        <v>5025.9699999999993</v>
      </c>
      <c r="DE234" s="557">
        <f>'[4]побудинковий звіт'!DE234</f>
        <v>1587.7599367160096</v>
      </c>
      <c r="DF234" s="557">
        <f>'[4]побудинковий звіт'!DF234</f>
        <v>4134.6918600422832</v>
      </c>
      <c r="DG234" s="321">
        <f>VLOOKUP(A234,'кошти 01.03.2021'!$A$6:$D$401,4,)</f>
        <v>-14860.981664469613</v>
      </c>
      <c r="DH234" s="40">
        <f>'[3]побудинковий звіт'!DJ234</f>
        <v>41478.940841063071</v>
      </c>
      <c r="DI234" s="422">
        <f>'[3]побудинковий звіт'!CU234+'[3]побудинковий звіт'!CX234</f>
        <v>3515.4582032417061</v>
      </c>
      <c r="DJ234" s="306">
        <f>'[3]побудинковий звіт'!DM234</f>
        <v>6.2749403713151359</v>
      </c>
      <c r="DK234" s="306">
        <f>DJ234</f>
        <v>6.2749403713151359</v>
      </c>
      <c r="DL234" s="306">
        <f>'[3]побудинковий звіт'!DO234</f>
        <v>4.8255448833660886</v>
      </c>
      <c r="DM234" s="28">
        <f>F234*DJ234</f>
        <v>2624.18006328399</v>
      </c>
      <c r="DN234" s="28">
        <f>H234*DL234</f>
        <v>891.27813995771646</v>
      </c>
      <c r="DO234" s="423">
        <f t="shared" si="238"/>
        <v>3515.4582032417065</v>
      </c>
      <c r="DP234" s="94">
        <f t="shared" si="239"/>
        <v>0</v>
      </c>
      <c r="DQ234" s="28">
        <f t="shared" si="240"/>
        <v>3515.4582032417065</v>
      </c>
      <c r="DR234" s="318"/>
      <c r="DT234" s="8"/>
      <c r="DU234" s="5"/>
      <c r="DX234" s="5">
        <f t="shared" si="241"/>
        <v>11642.273164551159</v>
      </c>
      <c r="DY234" s="5">
        <f t="shared" si="242"/>
        <v>3201.6</v>
      </c>
      <c r="DZ234" s="159">
        <f>'[3]побудинковий звіт'!EA234</f>
        <v>990.55017368243239</v>
      </c>
    </row>
    <row r="235" spans="1:130" x14ac:dyDescent="0.3">
      <c r="A235" s="325">
        <v>150000958</v>
      </c>
      <c r="B235" s="41" t="s">
        <v>682</v>
      </c>
      <c r="C235" s="42" t="s">
        <v>381</v>
      </c>
      <c r="D235" s="42"/>
      <c r="E235" s="293">
        <f t="shared" si="218"/>
        <v>2135.1</v>
      </c>
      <c r="F235" s="305">
        <f>'[3]побудинковий звіт'!F235</f>
        <v>2135.1</v>
      </c>
      <c r="G235" s="508">
        <f>'[3]побудинковий звіт'!G235</f>
        <v>233.5</v>
      </c>
      <c r="H235" s="560">
        <f>'[3]побудинковий звіт'!H235</f>
        <v>0</v>
      </c>
      <c r="I235" s="566">
        <f>VLOOKUP($A235,'01-02.2021'!$A$6:$CZ$403,9,FALSE)+VLOOKUP($A235,'1.3.21-28.2.22'!$A$6:$DA$404,9,FALSE)-VLOOKUP($A235,'01-02.2022'!$A$6:$DA$376,9,FALSE)</f>
        <v>7562.0313974949495</v>
      </c>
      <c r="J235" s="566">
        <f>VLOOKUP($A235,'01-02.2021'!$A$6:$CZ$403,10,FALSE)+VLOOKUP($A235,'1.3.21-28.2.22'!$A$6:$DA$404,10,FALSE)-VLOOKUP($A235,'01-02.2022'!$A$6:$DA$376,10,FALSE)</f>
        <v>6681.1538454067077</v>
      </c>
      <c r="K235" s="52">
        <f t="shared" si="222"/>
        <v>-880.87755208824183</v>
      </c>
      <c r="L235" s="566">
        <f>VLOOKUP($A235,'01-02.2021'!$A$6:$CZ$403,12,FALSE)+VLOOKUP($A235,'1.3.21-28.2.22'!$A$6:$DA$404,12,FALSE)-VLOOKUP($A235,'01-02.2022'!$A$6:$DA$376,12,FALSE)</f>
        <v>1167.5144485756746</v>
      </c>
      <c r="M235" s="566">
        <f>VLOOKUP($A235,'01-02.2021'!$A$6:$CZ$403,13,FALSE)+VLOOKUP($A235,'1.3.21-28.2.22'!$A$6:$DA$404,13,FALSE)-VLOOKUP($A235,'01-02.2022'!$A$6:$DA$376,13,FALSE)</f>
        <v>1055.9213003035618</v>
      </c>
      <c r="N235" s="52">
        <f t="shared" si="223"/>
        <v>-111.59314827211278</v>
      </c>
      <c r="O235" s="566">
        <f>VLOOKUP($A235,'01-02.2021'!$A$6:$CZ$403,15,FALSE)+VLOOKUP($A235,'1.3.21-28.2.22'!$A$6:$DA$404,15,FALSE)-VLOOKUP($A235,'01-02.2022'!$A$6:$DA$376,15,FALSE)</f>
        <v>2846.0195886904585</v>
      </c>
      <c r="P235" s="566">
        <f>VLOOKUP($A235,'01-02.2021'!$A$6:$CZ$403,16,FALSE)+VLOOKUP($A235,'1.3.21-28.2.22'!$A$6:$DA$404,16,FALSE)-VLOOKUP($A235,'01-02.2022'!$A$6:$DA$376,16,FALSE)</f>
        <v>2846.01</v>
      </c>
      <c r="Q235" s="70">
        <f t="shared" si="243"/>
        <v>-9.5886904582584975E-3</v>
      </c>
      <c r="R235" s="566">
        <f>VLOOKUP($A235,'01-02.2021'!$A$6:$CZ$403,18,FALSE)+VLOOKUP($A235,'1.3.21-28.2.22'!$A$6:$DA$404,18,FALSE)-VLOOKUP($A235,'01-02.2022'!$A$6:$DA$376,18,FALSE)</f>
        <v>639.31894250449159</v>
      </c>
      <c r="S235" s="566">
        <f>VLOOKUP($A235,'01-02.2021'!$A$6:$CZ$403,19,FALSE)+VLOOKUP($A235,'1.3.21-28.2.22'!$A$6:$DA$404,19,FALSE)-VLOOKUP($A235,'01-02.2022'!$A$6:$DA$376,19,FALSE)</f>
        <v>639.29</v>
      </c>
      <c r="T235" s="70">
        <f t="shared" si="244"/>
        <v>-2.8942504491624277E-2</v>
      </c>
      <c r="U235" s="566">
        <f>VLOOKUP($A235,'01-02.2021'!$A$6:$CZ$403,21,FALSE)+VLOOKUP($A235,'1.3.21-28.2.22'!$A$6:$DA$404,21,FALSE)-VLOOKUP($A235,'01-02.2022'!$A$6:$DA$376,21,FALSE)</f>
        <v>335.82127994245559</v>
      </c>
      <c r="V235" s="566">
        <f>VLOOKUP($A235,'01-02.2021'!$A$6:$CZ$403,22,FALSE)+VLOOKUP($A235,'1.3.21-28.2.22'!$A$6:$DA$404,22,FALSE)-VLOOKUP($A235,'01-02.2022'!$A$6:$DA$376,22,FALSE)</f>
        <v>235.69663831857673</v>
      </c>
      <c r="W235" s="70">
        <f t="shared" si="245"/>
        <v>-100.12464162387886</v>
      </c>
      <c r="X235" s="566">
        <f>VLOOKUP($A235,'01-02.2021'!$A$6:$CZ$403,24,FALSE)+VLOOKUP($A235,'1.3.21-28.2.22'!$A$6:$DA$404,24,FALSE)-VLOOKUP($A235,'01-02.2022'!$A$6:$DA$376,24,FALSE)</f>
        <v>1870.7655869052928</v>
      </c>
      <c r="Y235" s="566">
        <f>VLOOKUP($A235,'01-02.2021'!$A$6:$CZ$403,25,FALSE)+VLOOKUP($A235,'1.3.21-28.2.22'!$A$6:$DA$404,25,FALSE)-VLOOKUP($A235,'01-02.2022'!$A$6:$DA$376,25,FALSE)</f>
        <v>2086.4888382507156</v>
      </c>
      <c r="Z235" s="70">
        <f t="shared" si="246"/>
        <v>215.7232513454228</v>
      </c>
      <c r="AA235" s="566">
        <f>VLOOKUP($A235,'01-02.2021'!$A$6:$CZ$403,27,FALSE)+VLOOKUP($A235,'1.3.21-28.2.22'!$A$6:$DA$404,27,FALSE)-VLOOKUP($A235,'01-02.2022'!$A$6:$DA$376,27,FALSE)</f>
        <v>427.2</v>
      </c>
      <c r="AB235" s="566">
        <f>VLOOKUP($A235,'01-02.2021'!$A$6:$CZ$403,28,FALSE)+VLOOKUP($A235,'1.3.21-28.2.22'!$A$6:$DA$404,28,FALSE)-VLOOKUP($A235,'01-02.2022'!$A$6:$DA$376,28,FALSE)</f>
        <v>0</v>
      </c>
      <c r="AC235" s="70">
        <f t="shared" si="247"/>
        <v>-427.2</v>
      </c>
      <c r="AD235" s="566">
        <f>VLOOKUP($A235,'01-02.2021'!$A$6:$CZ$403,30,FALSE)+VLOOKUP($A235,'1.3.21-28.2.22'!$A$6:$DA$404,30,FALSE)-VLOOKUP($A235,'01-02.2022'!$A$6:$DA$376,30,FALSE)</f>
        <v>9172.474207657815</v>
      </c>
      <c r="AE235" s="566">
        <f>VLOOKUP($A235,'01-02.2021'!$A$6:$CZ$403,31,FALSE)+VLOOKUP($A235,'1.3.21-28.2.22'!$A$6:$DA$404,31,FALSE)-VLOOKUP($A235,'01-02.2022'!$A$6:$DA$376,31,FALSE)</f>
        <v>9721.16809302412</v>
      </c>
      <c r="AF235" s="68">
        <f t="shared" si="248"/>
        <v>548.69388536630504</v>
      </c>
      <c r="AG235" s="77">
        <f t="shared" si="219"/>
        <v>24021.145451771139</v>
      </c>
      <c r="AH235" s="53">
        <f t="shared" si="219"/>
        <v>23265.728715303681</v>
      </c>
      <c r="AI235" s="52">
        <f t="shared" si="224"/>
        <v>-755.41673646745767</v>
      </c>
      <c r="AJ235" s="566">
        <f>VLOOKUP($A235,'01-02.2021'!$A$6:$CZ$403,36,FALSE)+VLOOKUP($A235,'1.3.21-28.2.22'!$A$6:$DA$404,36,FALSE)-VLOOKUP($A235,'01-02.2022'!$A$6:$DA$376,36,FALSE)</f>
        <v>15797.462665534815</v>
      </c>
      <c r="AK235" s="566">
        <f>VLOOKUP($A235,'01-02.2021'!$A$6:$CZ$403,37,FALSE)+VLOOKUP($A235,'1.3.21-28.2.22'!$A$6:$DA$404,37,FALSE)-VLOOKUP($A235,'01-02.2022'!$A$6:$DA$376,37,FALSE)</f>
        <v>15693.90699468007</v>
      </c>
      <c r="AL235" s="70">
        <f t="shared" si="249"/>
        <v>-103.55567085474468</v>
      </c>
      <c r="AM235" s="566">
        <f>VLOOKUP($A235,'01-02.2021'!$A$6:$CZ$403,39,FALSE)+VLOOKUP($A235,'1.3.21-28.2.22'!$A$6:$DA$404,39,FALSE)-VLOOKUP($A235,'01-02.2022'!$A$6:$DA$376,39,FALSE)</f>
        <v>1446.1209718413761</v>
      </c>
      <c r="AN235" s="566">
        <f>VLOOKUP($A235,'01-02.2021'!$A$6:$CZ$403,40,FALSE)+VLOOKUP($A235,'1.3.21-28.2.22'!$A$6:$DA$404,40,FALSE)-VLOOKUP($A235,'01-02.2022'!$A$6:$DA$376,40,FALSE)</f>
        <v>1043.0412335713274</v>
      </c>
      <c r="AO235" s="70">
        <f t="shared" si="250"/>
        <v>-403.07973827004867</v>
      </c>
      <c r="AP235" s="566">
        <f>VLOOKUP($A235,'01-02.2021'!$A$6:$CZ$403,42,FALSE)+VLOOKUP($A235,'1.3.21-28.2.22'!$A$6:$DA$404,42,FALSE)-VLOOKUP($A235,'01-02.2022'!$A$6:$DA$376,42,FALSE)</f>
        <v>1561.6797750383319</v>
      </c>
      <c r="AQ235" s="566">
        <f>VLOOKUP($A235,'01-02.2021'!$A$6:$CZ$403,43,FALSE)+VLOOKUP($A235,'1.3.21-28.2.22'!$A$6:$DA$404,43,FALSE)-VLOOKUP($A235,'01-02.2022'!$A$6:$DA$376,43,FALSE)</f>
        <v>1383.0163450721643</v>
      </c>
      <c r="AR235" s="70">
        <f t="shared" si="251"/>
        <v>-178.66342996616754</v>
      </c>
      <c r="AS235" s="566">
        <f>VLOOKUP($A235,'01-02.2021'!$A$6:$CZ$403,45,FALSE)+VLOOKUP($A235,'1.3.21-28.2.22'!$A$6:$DA$404,45,FALSE)-VLOOKUP($A235,'01-02.2022'!$A$6:$DA$376,45,FALSE)</f>
        <v>25912.665431386456</v>
      </c>
      <c r="AT235" s="566">
        <f>VLOOKUP($A235,'01-02.2021'!$A$6:$CZ$403,46,FALSE)+VLOOKUP($A235,'1.3.21-28.2.22'!$A$6:$DA$404,46,FALSE)-VLOOKUP($A235,'01-02.2022'!$A$6:$DA$376,46,FALSE)</f>
        <v>3871.5204380758491</v>
      </c>
      <c r="AU235" s="78">
        <f t="shared" si="252"/>
        <v>-22041.144993310609</v>
      </c>
      <c r="AV235" s="566">
        <f>VLOOKUP($A235,'01-02.2021'!$A$6:$CZ$403,48,FALSE)+VLOOKUP($A235,'1.3.21-28.2.22'!$A$6:$DA$404,48,FALSE)-VLOOKUP($A235,'01-02.2022'!$A$6:$DA$376,48,FALSE)</f>
        <v>1618.5670675591984</v>
      </c>
      <c r="AW235" s="566">
        <f>VLOOKUP($A235,'01-02.2021'!$A$6:$CZ$403,49,FALSE)+VLOOKUP($A235,'1.3.21-28.2.22'!$A$6:$DA$404,49,FALSE)-VLOOKUP($A235,'01-02.2022'!$A$6:$DA$376,49,FALSE)</f>
        <v>1169</v>
      </c>
      <c r="AX235" s="55">
        <f t="shared" si="253"/>
        <v>-449.56706755919845</v>
      </c>
      <c r="AY235" s="566">
        <f>VLOOKUP($A235,'01-02.2021'!$A$6:$CZ$403,51,FALSE)+VLOOKUP($A235,'1.3.21-28.2.22'!$A$6:$DA$404,51,FALSE)-VLOOKUP($A235,'01-02.2022'!$A$6:$DA$376,51,FALSE)</f>
        <v>1771.8885465555618</v>
      </c>
      <c r="AZ235" s="566">
        <f>VLOOKUP($A235,'01-02.2021'!$A$6:$CZ$403,52,FALSE)+VLOOKUP($A235,'1.3.21-28.2.22'!$A$6:$DA$404,52,FALSE)-VLOOKUP($A235,'01-02.2022'!$A$6:$DA$376,52,FALSE)</f>
        <v>1263</v>
      </c>
      <c r="BA235" s="38">
        <f t="shared" si="254"/>
        <v>-508.88854655556179</v>
      </c>
      <c r="BB235" s="566">
        <f>VLOOKUP($A235,'01-02.2021'!$A$6:$CZ$403,54,FALSE)+VLOOKUP($A235,'1.3.21-28.2.22'!$A$6:$DA$404,54,FALSE)-VLOOKUP($A235,'01-02.2022'!$A$6:$DA$376,54,FALSE)</f>
        <v>590.45642570939947</v>
      </c>
      <c r="BC235" s="566">
        <f>VLOOKUP($A235,'01-02.2021'!$A$6:$CZ$403,55,FALSE)+VLOOKUP($A235,'1.3.21-28.2.22'!$A$6:$DA$404,55,FALSE)-VLOOKUP($A235,'01-02.2022'!$A$6:$DA$376,55,FALSE)</f>
        <v>0</v>
      </c>
      <c r="BD235" s="55">
        <f t="shared" si="255"/>
        <v>-590.45642570939947</v>
      </c>
      <c r="BE235" s="566">
        <f>VLOOKUP($A235,'01-02.2021'!$A$6:$CZ$403,57,FALSE)+VLOOKUP($A235,'1.3.21-28.2.22'!$A$6:$DA$404,57,FALSE)-VLOOKUP($A235,'01-02.2022'!$A$6:$DA$376,57,FALSE)</f>
        <v>1383.5906253962075</v>
      </c>
      <c r="BF235" s="566">
        <f>VLOOKUP($A235,'01-02.2021'!$A$6:$CZ$403,58,FALSE)+VLOOKUP($A235,'1.3.21-28.2.22'!$A$6:$DA$404,58,FALSE)-VLOOKUP($A235,'01-02.2022'!$A$6:$DA$376,58,FALSE)</f>
        <v>874</v>
      </c>
      <c r="BG235" s="55">
        <f t="shared" si="256"/>
        <v>-509.59062539620754</v>
      </c>
      <c r="BH235" s="566">
        <f>VLOOKUP($A235,'01-02.2021'!$A$6:$CZ$403,60,FALSE)+VLOOKUP($A235,'1.3.21-28.2.22'!$A$6:$DA$404,60,FALSE)-VLOOKUP($A235,'01-02.2022'!$A$6:$DA$376,60,FALSE)</f>
        <v>637.89187291640781</v>
      </c>
      <c r="BI235" s="566">
        <f>VLOOKUP($A235,'01-02.2021'!$A$6:$CZ$403,61,FALSE)+VLOOKUP($A235,'1.3.21-28.2.22'!$A$6:$DA$404,61,FALSE)-VLOOKUP($A235,'01-02.2022'!$A$6:$DA$376,61,FALSE)</f>
        <v>0</v>
      </c>
      <c r="BJ235" s="55">
        <f t="shared" si="257"/>
        <v>-637.89187291640781</v>
      </c>
      <c r="BK235" s="566">
        <f>VLOOKUP($A235,'01-02.2021'!$A$6:$CZ$403,63,FALSE)+VLOOKUP($A235,'1.3.21-28.2.22'!$A$6:$DA$404,63,FALSE)-VLOOKUP($A235,'01-02.2022'!$A$6:$DA$376,63,FALSE)</f>
        <v>554.7267258904925</v>
      </c>
      <c r="BL235" s="566">
        <f>VLOOKUP($A235,'01-02.2021'!$A$6:$CZ$403,64,FALSE)+VLOOKUP($A235,'1.3.21-28.2.22'!$A$6:$DA$404,64,FALSE)-VLOOKUP($A235,'01-02.2022'!$A$6:$DA$376,64,FALSE)</f>
        <v>459</v>
      </c>
      <c r="BM235" s="55">
        <f t="shared" si="258"/>
        <v>-95.726725890492503</v>
      </c>
      <c r="BN235" s="566">
        <f>VLOOKUP($A235,'01-02.2021'!$A$6:$CZ$403,66,FALSE)+VLOOKUP($A235,'1.3.21-28.2.22'!$A$6:$DA$404,66,FALSE)-VLOOKUP($A235,'01-02.2022'!$A$6:$DA$376,66,FALSE)</f>
        <v>272.33539987662112</v>
      </c>
      <c r="BO235" s="566">
        <f>VLOOKUP($A235,'01-02.2021'!$A$6:$CZ$403,67,FALSE)+VLOOKUP($A235,'1.3.21-28.2.22'!$A$6:$DA$404,67,FALSE)-VLOOKUP($A235,'01-02.2022'!$A$6:$DA$376,67,FALSE)</f>
        <v>2092.6</v>
      </c>
      <c r="BP235" s="55">
        <f t="shared" si="259"/>
        <v>1820.2646001233788</v>
      </c>
      <c r="BQ235" s="77">
        <f t="shared" si="287"/>
        <v>6829.4566639038885</v>
      </c>
      <c r="BR235" s="40">
        <f t="shared" si="289"/>
        <v>5857.6</v>
      </c>
      <c r="BS235" s="55">
        <f t="shared" si="236"/>
        <v>-971.85666390388815</v>
      </c>
      <c r="BT235" s="566">
        <f>VLOOKUP($A235,'01-02.2021'!$A$6:$CZ$403,72,FALSE)+VLOOKUP($A235,'1.3.21-28.2.22'!$A$6:$DA$404,72,FALSE)-VLOOKUP($A235,'01-02.2022'!$A$6:$DA$376,72,FALSE)</f>
        <v>29142.181091011484</v>
      </c>
      <c r="BU235" s="566">
        <f>VLOOKUP($A235,'01-02.2021'!$A$6:$CZ$403,73,FALSE)+VLOOKUP($A235,'1.3.21-28.2.22'!$A$6:$DA$404,73,FALSE)-VLOOKUP($A235,'01-02.2022'!$A$6:$DA$376,73,FALSE)</f>
        <v>35518.680581621695</v>
      </c>
      <c r="BV235" s="70">
        <f t="shared" si="260"/>
        <v>6376.4994906102111</v>
      </c>
      <c r="BW235" s="566">
        <f>VLOOKUP($A235,'01-02.2021'!$A$6:$CZ$403,75,FALSE)+VLOOKUP($A235,'1.3.21-28.2.22'!$A$6:$DA$404,75,FALSE)-VLOOKUP($A235,'01-02.2022'!$A$6:$DA$376,75,FALSE)</f>
        <v>15336.037796713379</v>
      </c>
      <c r="BX235" s="566">
        <f>VLOOKUP($A235,'01-02.2021'!$A$6:$CZ$403,76,FALSE)+VLOOKUP($A235,'1.3.21-28.2.22'!$A$6:$DA$404,76,FALSE)-VLOOKUP($A235,'01-02.2022'!$A$6:$DA$376,76,FALSE)</f>
        <v>15989.633969892348</v>
      </c>
      <c r="BY235" s="70">
        <f t="shared" si="261"/>
        <v>653.59617317896846</v>
      </c>
      <c r="BZ235" s="566">
        <f>VLOOKUP($A235,'01-02.2021'!$A$6:$CZ$403,78,FALSE)+VLOOKUP($A235,'1.3.21-28.2.22'!$A$6:$DA$404,78,FALSE)-VLOOKUP($A235,'01-02.2022'!$A$6:$DA$376,78,FALSE)</f>
        <v>7906.0153437118825</v>
      </c>
      <c r="CA235" s="566">
        <f>VLOOKUP($A235,'01-02.2021'!$A$6:$CZ$403,79,FALSE)+VLOOKUP($A235,'1.3.21-28.2.22'!$A$6:$DA$404,79,FALSE)-VLOOKUP($A235,'01-02.2022'!$A$6:$DA$376,79,FALSE)</f>
        <v>7487.4840496237939</v>
      </c>
      <c r="CB235" s="70">
        <f t="shared" si="262"/>
        <v>-418.53129408808854</v>
      </c>
      <c r="CC235" s="566">
        <f>VLOOKUP($A235,'01-02.2021'!$A$6:$CZ$403,81,FALSE)+VLOOKUP($A235,'1.3.21-28.2.22'!$A$6:$DA$404,81,FALSE)-VLOOKUP($A235,'01-02.2022'!$A$6:$DA$376,81,FALSE)</f>
        <v>653.46519149734377</v>
      </c>
      <c r="CD235" s="566">
        <f>VLOOKUP($A235,'01-02.2021'!$A$6:$CZ$403,82,FALSE)+VLOOKUP($A235,'1.3.21-28.2.22'!$A$6:$DA$404,82,FALSE)-VLOOKUP($A235,'01-02.2022'!$A$6:$DA$376,82,FALSE)</f>
        <v>703.7969180782593</v>
      </c>
      <c r="CE235" s="70">
        <f t="shared" si="263"/>
        <v>50.331726580915529</v>
      </c>
      <c r="CF235" s="566">
        <f>VLOOKUP($A235,'01-02.2021'!$A$6:$CZ$403,84,FALSE)+VLOOKUP($A235,'1.3.21-28.2.22'!$A$6:$DA$404,84,FALSE)-VLOOKUP($A235,'01-02.2022'!$A$6:$DA$376,84,FALSE)</f>
        <v>78.281390109438647</v>
      </c>
      <c r="CG235" s="566">
        <f>VLOOKUP($A235,'01-02.2021'!$A$6:$CZ$403,85,FALSE)+VLOOKUP($A235,'1.3.21-28.2.22'!$A$6:$DA$404,85,FALSE)-VLOOKUP($A235,'01-02.2022'!$A$6:$DA$376,85,FALSE)</f>
        <v>0</v>
      </c>
      <c r="CH235" s="70">
        <f t="shared" si="264"/>
        <v>-78.281390109438647</v>
      </c>
      <c r="CI235" s="566">
        <f>VLOOKUP($A235,'01-02.2021'!$A$6:$CZ$403,87,FALSE)+VLOOKUP($A235,'1.3.21-28.2.22'!$A$6:$DA$404,87,FALSE)-VLOOKUP($A235,'01-02.2022'!$A$6:$DA$376,87,FALSE)</f>
        <v>350.67834530043115</v>
      </c>
      <c r="CJ235" s="566">
        <f>VLOOKUP($A235,'01-02.2021'!$A$6:$CZ$403,88,FALSE)+VLOOKUP($A235,'1.3.21-28.2.22'!$A$6:$DA$404,88,FALSE)-VLOOKUP($A235,'01-02.2022'!$A$6:$DA$376,88,FALSE)</f>
        <v>599.33761998610089</v>
      </c>
      <c r="CK235" s="70">
        <f t="shared" si="265"/>
        <v>248.65927468566974</v>
      </c>
      <c r="CL235" s="566">
        <f>VLOOKUP($A235,'01-02.2021'!$A$6:$CZ$403,90,FALSE)+VLOOKUP($A235,'1.3.21-28.2.22'!$A$6:$DA$404,90,FALSE)-VLOOKUP($A235,'01-02.2022'!$A$6:$DA$376,90,FALSE)</f>
        <v>8033.4001540515537</v>
      </c>
      <c r="CM235" s="566">
        <f>VLOOKUP($A235,'01-02.2021'!$A$6:$CZ$403,91,FALSE)+VLOOKUP($A235,'1.3.21-28.2.22'!$A$6:$DA$404,91,FALSE)-VLOOKUP($A235,'01-02.2022'!$A$6:$DA$376,91,FALSE)</f>
        <v>6901.6598065202161</v>
      </c>
      <c r="CN235" s="52">
        <f t="shared" si="225"/>
        <v>-1131.7403475313376</v>
      </c>
      <c r="CO235" s="39">
        <f t="shared" si="220"/>
        <v>8384.0784993519846</v>
      </c>
      <c r="CP235" s="40">
        <f t="shared" si="226"/>
        <v>7500.9974265063174</v>
      </c>
      <c r="CQ235" s="52">
        <f t="shared" si="227"/>
        <v>-883.08107284566722</v>
      </c>
      <c r="CR235" s="72">
        <f t="shared" si="221"/>
        <v>137068.59027187154</v>
      </c>
      <c r="CS235" s="5">
        <f t="shared" si="221"/>
        <v>118315.4066724255</v>
      </c>
      <c r="CT235" s="52">
        <f t="shared" si="228"/>
        <v>-18753.183599446042</v>
      </c>
      <c r="CU235" s="77">
        <f t="shared" si="229"/>
        <v>164482.30832624584</v>
      </c>
      <c r="CV235" s="65">
        <f t="shared" si="230"/>
        <v>141978.4880069106</v>
      </c>
      <c r="CW235" s="35">
        <f t="shared" si="231"/>
        <v>-22503.820319335238</v>
      </c>
      <c r="CX235" s="566">
        <f>VLOOKUP($A235,'01-02.2021'!$A$6:$CZ$403,102,FALSE)+VLOOKUP($A235,'1.3.21-28.2.22'!$A$6:$DA$404,102,FALSE)-VLOOKUP($A235,'01-02.2022'!$A$6:$DA$376,102,FALSE)</f>
        <v>5750.5105158941251</v>
      </c>
      <c r="CY235" s="566">
        <f>VLOOKUP($A235,'01-02.2021'!$A$6:$CZ$403,103,FALSE)+VLOOKUP($A235,'1.3.21-28.2.22'!$A$6:$DA$404,103,FALSE)-VLOOKUP($A235,'01-02.2022'!$A$6:$DA$376,103,FALSE)</f>
        <v>28254.330835229342</v>
      </c>
      <c r="CZ235" s="52">
        <f t="shared" si="232"/>
        <v>22503.820319335216</v>
      </c>
      <c r="DA235" s="150">
        <f>'[2]побудинковий звіт'!DA235</f>
        <v>-44458.746825569186</v>
      </c>
      <c r="DB235" s="2">
        <v>1</v>
      </c>
      <c r="DC235" s="414">
        <f>'[4]побудинковий звіт'!DC235</f>
        <v>55038.39</v>
      </c>
      <c r="DD235" s="414">
        <f>'[4]побудинковий звіт'!DD235</f>
        <v>0</v>
      </c>
      <c r="DE235" s="557">
        <f>'[4]побудинковий звіт'!DE235</f>
        <v>39651.937439193003</v>
      </c>
      <c r="DF235" s="557">
        <f>'[4]побудинковий звіт'!DF235</f>
        <v>0</v>
      </c>
      <c r="DG235" s="321">
        <f>VLOOKUP(A235,'кошти 01.03.2021'!$A$6:$D$401,4,)</f>
        <v>-16062.873103376276</v>
      </c>
      <c r="DH235" s="40">
        <f>'[3]побудинковий звіт'!DJ235</f>
        <v>175903.96028612345</v>
      </c>
      <c r="DI235" s="422">
        <f>'[3]побудинковий звіт'!CU235+'[3]побудинковий звіт'!CX235</f>
        <v>15386.452560806989</v>
      </c>
      <c r="DJ235" s="306">
        <f>'[3]побудинковий звіт'!DM235</f>
        <v>5.9416176560694929</v>
      </c>
      <c r="DK235" s="306">
        <f>'[3]побудинковий звіт'!DN235</f>
        <v>7.3617400284574916</v>
      </c>
      <c r="DL235" s="306">
        <f>'[3]побудинковий звіт'!DO235</f>
        <v>5.0772184690353361</v>
      </c>
      <c r="DM235" s="28">
        <f t="shared" ref="DM235:DM237" si="290">DJ235*G235+(F235-G235)*DK235</f>
        <v>15386.452560806993</v>
      </c>
      <c r="DN235" s="28">
        <f>DL235*H235</f>
        <v>0</v>
      </c>
      <c r="DO235" s="423">
        <f t="shared" si="238"/>
        <v>15386.452560806993</v>
      </c>
      <c r="DP235" s="94">
        <f t="shared" si="239"/>
        <v>0</v>
      </c>
      <c r="DQ235" s="28">
        <f t="shared" si="240"/>
        <v>15386.452560806993</v>
      </c>
      <c r="DR235" s="318"/>
      <c r="DT235" s="8"/>
      <c r="DU235" s="5"/>
      <c r="DX235" s="5">
        <f t="shared" si="241"/>
        <v>39290.546514348411</v>
      </c>
      <c r="DY235" s="5">
        <f t="shared" si="242"/>
        <v>11674.94452569102</v>
      </c>
      <c r="DZ235" s="159">
        <f>'[3]побудинковий звіт'!EA235</f>
        <v>3602.52818757879</v>
      </c>
    </row>
    <row r="236" spans="1:130" x14ac:dyDescent="0.3">
      <c r="A236" s="325">
        <v>150000961</v>
      </c>
      <c r="B236" s="41" t="s">
        <v>683</v>
      </c>
      <c r="C236" s="42" t="s">
        <v>382</v>
      </c>
      <c r="D236" s="42"/>
      <c r="E236" s="293">
        <f t="shared" si="218"/>
        <v>4349.8999999999996</v>
      </c>
      <c r="F236" s="305">
        <f>'[3]побудинковий звіт'!F236</f>
        <v>4349.8999999999996</v>
      </c>
      <c r="G236" s="508">
        <f>'[3]побудинковий звіт'!G236</f>
        <v>477.8</v>
      </c>
      <c r="H236" s="560">
        <f>'[3]побудинковий звіт'!H236</f>
        <v>0</v>
      </c>
      <c r="I236" s="566">
        <f>VLOOKUP($A236,'01-02.2021'!$A$6:$CZ$403,9,FALSE)+VLOOKUP($A236,'1.3.21-28.2.22'!$A$6:$DA$404,9,FALSE)-VLOOKUP($A236,'01-02.2022'!$A$6:$DA$376,9,FALSE)</f>
        <v>14888.721110989298</v>
      </c>
      <c r="J236" s="566">
        <f>VLOOKUP($A236,'01-02.2021'!$A$6:$CZ$403,10,FALSE)+VLOOKUP($A236,'1.3.21-28.2.22'!$A$6:$DA$404,10,FALSE)-VLOOKUP($A236,'01-02.2022'!$A$6:$DA$376,10,FALSE)</f>
        <v>13184.545400290395</v>
      </c>
      <c r="K236" s="52">
        <f t="shared" si="222"/>
        <v>-1704.1757106989025</v>
      </c>
      <c r="L236" s="566">
        <f>VLOOKUP($A236,'01-02.2021'!$A$6:$CZ$403,12,FALSE)+VLOOKUP($A236,'1.3.21-28.2.22'!$A$6:$DA$404,12,FALSE)-VLOOKUP($A236,'01-02.2022'!$A$6:$DA$376,12,FALSE)</f>
        <v>2335.0290487424113</v>
      </c>
      <c r="M236" s="566">
        <f>VLOOKUP($A236,'01-02.2021'!$A$6:$CZ$403,13,FALSE)+VLOOKUP($A236,'1.3.21-28.2.22'!$A$6:$DA$404,13,FALSE)-VLOOKUP($A236,'01-02.2022'!$A$6:$DA$376,13,FALSE)</f>
        <v>2112.1595116615763</v>
      </c>
      <c r="N236" s="52">
        <f t="shared" si="223"/>
        <v>-222.86953708083502</v>
      </c>
      <c r="O236" s="566">
        <f>VLOOKUP($A236,'01-02.2021'!$A$6:$CZ$403,15,FALSE)+VLOOKUP($A236,'1.3.21-28.2.22'!$A$6:$DA$404,15,FALSE)-VLOOKUP($A236,'01-02.2022'!$A$6:$DA$376,15,FALSE)</f>
        <v>5968.9176017772497</v>
      </c>
      <c r="P236" s="566">
        <f>VLOOKUP($A236,'01-02.2021'!$A$6:$CZ$403,16,FALSE)+VLOOKUP($A236,'1.3.21-28.2.22'!$A$6:$DA$404,16,FALSE)-VLOOKUP($A236,'01-02.2022'!$A$6:$DA$376,16,FALSE)</f>
        <v>5968.9100000000008</v>
      </c>
      <c r="Q236" s="70">
        <f t="shared" si="243"/>
        <v>-7.601777248964936E-3</v>
      </c>
      <c r="R236" s="566">
        <f>VLOOKUP($A236,'01-02.2021'!$A$6:$CZ$403,18,FALSE)+VLOOKUP($A236,'1.3.21-28.2.22'!$A$6:$DA$404,18,FALSE)-VLOOKUP($A236,'01-02.2022'!$A$6:$DA$376,18,FALSE)</f>
        <v>1289.6586743479916</v>
      </c>
      <c r="S236" s="566">
        <f>VLOOKUP($A236,'01-02.2021'!$A$6:$CZ$403,19,FALSE)+VLOOKUP($A236,'1.3.21-28.2.22'!$A$6:$DA$404,19,FALSE)-VLOOKUP($A236,'01-02.2022'!$A$6:$DA$376,19,FALSE)</f>
        <v>1289.6299999999999</v>
      </c>
      <c r="T236" s="70">
        <f t="shared" si="244"/>
        <v>-2.8674347991682225E-2</v>
      </c>
      <c r="U236" s="566">
        <f>VLOOKUP($A236,'01-02.2021'!$A$6:$CZ$403,21,FALSE)+VLOOKUP($A236,'1.3.21-28.2.22'!$A$6:$DA$404,21,FALSE)-VLOOKUP($A236,'01-02.2022'!$A$6:$DA$376,21,FALSE)</f>
        <v>671.36656966572173</v>
      </c>
      <c r="V236" s="566">
        <f>VLOOKUP($A236,'01-02.2021'!$A$6:$CZ$403,22,FALSE)+VLOOKUP($A236,'1.3.21-28.2.22'!$A$6:$DA$404,22,FALSE)-VLOOKUP($A236,'01-02.2022'!$A$6:$DA$376,22,FALSE)</f>
        <v>454.283815721152</v>
      </c>
      <c r="W236" s="70">
        <f t="shared" si="245"/>
        <v>-217.08275394456973</v>
      </c>
      <c r="X236" s="566">
        <f>VLOOKUP($A236,'01-02.2021'!$A$6:$CZ$403,24,FALSE)+VLOOKUP($A236,'1.3.21-28.2.22'!$A$6:$DA$404,24,FALSE)-VLOOKUP($A236,'01-02.2022'!$A$6:$DA$376,24,FALSE)</f>
        <v>8035.3220087047666</v>
      </c>
      <c r="Y236" s="566">
        <f>VLOOKUP($A236,'01-02.2021'!$A$6:$CZ$403,25,FALSE)+VLOOKUP($A236,'1.3.21-28.2.22'!$A$6:$DA$404,25,FALSE)-VLOOKUP($A236,'01-02.2022'!$A$6:$DA$376,25,FALSE)</f>
        <v>6385.7049674787295</v>
      </c>
      <c r="Z236" s="70">
        <f t="shared" si="246"/>
        <v>-1649.6170412260371</v>
      </c>
      <c r="AA236" s="566">
        <f>VLOOKUP($A236,'01-02.2021'!$A$6:$CZ$403,27,FALSE)+VLOOKUP($A236,'1.3.21-28.2.22'!$A$6:$DA$404,27,FALSE)-VLOOKUP($A236,'01-02.2022'!$A$6:$DA$376,27,FALSE)</f>
        <v>869.9799999999999</v>
      </c>
      <c r="AB236" s="566">
        <f>VLOOKUP($A236,'01-02.2021'!$A$6:$CZ$403,28,FALSE)+VLOOKUP($A236,'1.3.21-28.2.22'!$A$6:$DA$404,28,FALSE)-VLOOKUP($A236,'01-02.2022'!$A$6:$DA$376,28,FALSE)</f>
        <v>0</v>
      </c>
      <c r="AC236" s="70">
        <f t="shared" si="247"/>
        <v>-869.9799999999999</v>
      </c>
      <c r="AD236" s="566">
        <f>VLOOKUP($A236,'01-02.2021'!$A$6:$CZ$403,30,FALSE)+VLOOKUP($A236,'1.3.21-28.2.22'!$A$6:$DA$404,30,FALSE)-VLOOKUP($A236,'01-02.2022'!$A$6:$DA$376,30,FALSE)</f>
        <v>18684.059446018367</v>
      </c>
      <c r="AE236" s="566">
        <f>VLOOKUP($A236,'01-02.2021'!$A$6:$CZ$403,31,FALSE)+VLOOKUP($A236,'1.3.21-28.2.22'!$A$6:$DA$404,31,FALSE)-VLOOKUP($A236,'01-02.2022'!$A$6:$DA$376,31,FALSE)</f>
        <v>19800.92006725982</v>
      </c>
      <c r="AF236" s="68">
        <f t="shared" si="248"/>
        <v>1116.8606212414525</v>
      </c>
      <c r="AG236" s="77">
        <f t="shared" si="219"/>
        <v>52743.05446024581</v>
      </c>
      <c r="AH236" s="53">
        <f t="shared" si="219"/>
        <v>49196.153762411675</v>
      </c>
      <c r="AI236" s="52">
        <f t="shared" si="224"/>
        <v>-3546.9006978341349</v>
      </c>
      <c r="AJ236" s="566">
        <f>VLOOKUP($A236,'01-02.2021'!$A$6:$CZ$403,36,FALSE)+VLOOKUP($A236,'1.3.21-28.2.22'!$A$6:$DA$404,36,FALSE)-VLOOKUP($A236,'01-02.2022'!$A$6:$DA$376,36,FALSE)</f>
        <v>31594.925331069629</v>
      </c>
      <c r="AK236" s="566">
        <f>VLOOKUP($A236,'01-02.2021'!$A$6:$CZ$403,37,FALSE)+VLOOKUP($A236,'1.3.21-28.2.22'!$A$6:$DA$404,37,FALSE)-VLOOKUP($A236,'01-02.2022'!$A$6:$DA$376,37,FALSE)</f>
        <v>31387.81398936014</v>
      </c>
      <c r="AL236" s="70">
        <f t="shared" si="249"/>
        <v>-207.11134170948935</v>
      </c>
      <c r="AM236" s="566">
        <f>VLOOKUP($A236,'01-02.2021'!$A$6:$CZ$403,39,FALSE)+VLOOKUP($A236,'1.3.21-28.2.22'!$A$6:$DA$404,39,FALSE)-VLOOKUP($A236,'01-02.2022'!$A$6:$DA$376,39,FALSE)</f>
        <v>2892.2419436827522</v>
      </c>
      <c r="AN236" s="566">
        <f>VLOOKUP($A236,'01-02.2021'!$A$6:$CZ$403,40,FALSE)+VLOOKUP($A236,'1.3.21-28.2.22'!$A$6:$DA$404,40,FALSE)-VLOOKUP($A236,'01-02.2022'!$A$6:$DA$376,40,FALSE)</f>
        <v>2479.7061714786137</v>
      </c>
      <c r="AO236" s="70">
        <f t="shared" si="250"/>
        <v>-412.53577220413854</v>
      </c>
      <c r="AP236" s="566">
        <f>VLOOKUP($A236,'01-02.2021'!$A$6:$CZ$403,42,FALSE)+VLOOKUP($A236,'1.3.21-28.2.22'!$A$6:$DA$404,42,FALSE)-VLOOKUP($A236,'01-02.2022'!$A$6:$DA$376,42,FALSE)</f>
        <v>3079.9795563256007</v>
      </c>
      <c r="AQ236" s="566">
        <f>VLOOKUP($A236,'01-02.2021'!$A$6:$CZ$403,43,FALSE)+VLOOKUP($A236,'1.3.21-28.2.22'!$A$6:$DA$404,43,FALSE)-VLOOKUP($A236,'01-02.2022'!$A$6:$DA$376,43,FALSE)</f>
        <v>2727.6155694478794</v>
      </c>
      <c r="AR236" s="70">
        <f t="shared" si="251"/>
        <v>-352.36398687772135</v>
      </c>
      <c r="AS236" s="566">
        <f>VLOOKUP($A236,'01-02.2021'!$A$6:$CZ$403,45,FALSE)+VLOOKUP($A236,'1.3.21-28.2.22'!$A$6:$DA$404,45,FALSE)-VLOOKUP($A236,'01-02.2022'!$A$6:$DA$376,45,FALSE)</f>
        <v>47604.020518562102</v>
      </c>
      <c r="AT236" s="566">
        <f>VLOOKUP($A236,'01-02.2021'!$A$6:$CZ$403,46,FALSE)+VLOOKUP($A236,'1.3.21-28.2.22'!$A$6:$DA$404,46,FALSE)-VLOOKUP($A236,'01-02.2022'!$A$6:$DA$376,46,FALSE)</f>
        <v>17213.25598687926</v>
      </c>
      <c r="AU236" s="78">
        <f t="shared" si="252"/>
        <v>-30390.764531682842</v>
      </c>
      <c r="AV236" s="566">
        <f>VLOOKUP($A236,'01-02.2021'!$A$6:$CZ$403,48,FALSE)+VLOOKUP($A236,'1.3.21-28.2.22'!$A$6:$DA$404,48,FALSE)-VLOOKUP($A236,'01-02.2022'!$A$6:$DA$376,48,FALSE)</f>
        <v>3162.0958610044077</v>
      </c>
      <c r="AW236" s="566">
        <f>VLOOKUP($A236,'01-02.2021'!$A$6:$CZ$403,49,FALSE)+VLOOKUP($A236,'1.3.21-28.2.22'!$A$6:$DA$404,49,FALSE)-VLOOKUP($A236,'01-02.2022'!$A$6:$DA$376,49,FALSE)</f>
        <v>626</v>
      </c>
      <c r="AX236" s="55">
        <f t="shared" si="253"/>
        <v>-2536.0958610044077</v>
      </c>
      <c r="AY236" s="566">
        <f>VLOOKUP($A236,'01-02.2021'!$A$6:$CZ$403,51,FALSE)+VLOOKUP($A236,'1.3.21-28.2.22'!$A$6:$DA$404,51,FALSE)-VLOOKUP($A236,'01-02.2022'!$A$6:$DA$376,51,FALSE)</f>
        <v>3543.7770931111213</v>
      </c>
      <c r="AZ236" s="566">
        <f>VLOOKUP($A236,'01-02.2021'!$A$6:$CZ$403,52,FALSE)+VLOOKUP($A236,'1.3.21-28.2.22'!$A$6:$DA$404,52,FALSE)-VLOOKUP($A236,'01-02.2022'!$A$6:$DA$376,52,FALSE)</f>
        <v>0</v>
      </c>
      <c r="BA236" s="38">
        <f t="shared" si="254"/>
        <v>-3543.7770931111213</v>
      </c>
      <c r="BB236" s="566">
        <f>VLOOKUP($A236,'01-02.2021'!$A$6:$CZ$403,54,FALSE)+VLOOKUP($A236,'1.3.21-28.2.22'!$A$6:$DA$404,54,FALSE)-VLOOKUP($A236,'01-02.2022'!$A$6:$DA$376,54,FALSE)</f>
        <v>1331.9730704858098</v>
      </c>
      <c r="BC236" s="566">
        <f>VLOOKUP($A236,'01-02.2021'!$A$6:$CZ$403,55,FALSE)+VLOOKUP($A236,'1.3.21-28.2.22'!$A$6:$DA$404,55,FALSE)-VLOOKUP($A236,'01-02.2022'!$A$6:$DA$376,55,FALSE)</f>
        <v>1584</v>
      </c>
      <c r="BD236" s="55">
        <f t="shared" si="255"/>
        <v>252.02692951419021</v>
      </c>
      <c r="BE236" s="566">
        <f>VLOOKUP($A236,'01-02.2021'!$A$6:$CZ$403,57,FALSE)+VLOOKUP($A236,'1.3.21-28.2.22'!$A$6:$DA$404,57,FALSE)-VLOOKUP($A236,'01-02.2022'!$A$6:$DA$376,57,FALSE)</f>
        <v>2697.6200503495393</v>
      </c>
      <c r="BF236" s="566">
        <f>VLOOKUP($A236,'01-02.2021'!$A$6:$CZ$403,58,FALSE)+VLOOKUP($A236,'1.3.21-28.2.22'!$A$6:$DA$404,58,FALSE)-VLOOKUP($A236,'01-02.2022'!$A$6:$DA$376,58,FALSE)</f>
        <v>556</v>
      </c>
      <c r="BG236" s="55">
        <f t="shared" si="256"/>
        <v>-2141.6200503495393</v>
      </c>
      <c r="BH236" s="566">
        <f>VLOOKUP($A236,'01-02.2021'!$A$6:$CZ$403,60,FALSE)+VLOOKUP($A236,'1.3.21-28.2.22'!$A$6:$DA$404,60,FALSE)-VLOOKUP($A236,'01-02.2022'!$A$6:$DA$376,60,FALSE)</f>
        <v>1275.6779514917541</v>
      </c>
      <c r="BI236" s="566">
        <f>VLOOKUP($A236,'01-02.2021'!$A$6:$CZ$403,61,FALSE)+VLOOKUP($A236,'1.3.21-28.2.22'!$A$6:$DA$404,61,FALSE)-VLOOKUP($A236,'01-02.2022'!$A$6:$DA$376,61,FALSE)</f>
        <v>0</v>
      </c>
      <c r="BJ236" s="55">
        <f t="shared" si="257"/>
        <v>-1275.6779514917541</v>
      </c>
      <c r="BK236" s="566">
        <f>VLOOKUP($A236,'01-02.2021'!$A$6:$CZ$403,63,FALSE)+VLOOKUP($A236,'1.3.21-28.2.22'!$A$6:$DA$404,63,FALSE)-VLOOKUP($A236,'01-02.2022'!$A$6:$DA$376,63,FALSE)</f>
        <v>1423.4405781557664</v>
      </c>
      <c r="BL236" s="566">
        <f>VLOOKUP($A236,'01-02.2021'!$A$6:$CZ$403,64,FALSE)+VLOOKUP($A236,'1.3.21-28.2.22'!$A$6:$DA$404,64,FALSE)-VLOOKUP($A236,'01-02.2022'!$A$6:$DA$376,64,FALSE)</f>
        <v>0</v>
      </c>
      <c r="BM236" s="55">
        <f t="shared" si="258"/>
        <v>-1423.4405781557664</v>
      </c>
      <c r="BN236" s="566">
        <f>VLOOKUP($A236,'01-02.2021'!$A$6:$CZ$403,66,FALSE)+VLOOKUP($A236,'1.3.21-28.2.22'!$A$6:$DA$404,66,FALSE)-VLOOKUP($A236,'01-02.2022'!$A$6:$DA$376,66,FALSE)</f>
        <v>290.12473665529416</v>
      </c>
      <c r="BO236" s="566">
        <f>VLOOKUP($A236,'01-02.2021'!$A$6:$CZ$403,67,FALSE)+VLOOKUP($A236,'1.3.21-28.2.22'!$A$6:$DA$404,67,FALSE)-VLOOKUP($A236,'01-02.2022'!$A$6:$DA$376,67,FALSE)</f>
        <v>4198.8500000000004</v>
      </c>
      <c r="BP236" s="55">
        <f t="shared" si="259"/>
        <v>3908.725263344706</v>
      </c>
      <c r="BQ236" s="77">
        <f t="shared" si="287"/>
        <v>13724.709341253692</v>
      </c>
      <c r="BR236" s="40">
        <f t="shared" si="289"/>
        <v>6964.85</v>
      </c>
      <c r="BS236" s="55">
        <f t="shared" si="236"/>
        <v>-6759.859341253692</v>
      </c>
      <c r="BT236" s="566">
        <f>VLOOKUP($A236,'01-02.2021'!$A$6:$CZ$403,72,FALSE)+VLOOKUP($A236,'1.3.21-28.2.22'!$A$6:$DA$404,72,FALSE)-VLOOKUP($A236,'01-02.2022'!$A$6:$DA$376,72,FALSE)</f>
        <v>47894.66840813632</v>
      </c>
      <c r="BU236" s="566">
        <f>VLOOKUP($A236,'01-02.2021'!$A$6:$CZ$403,73,FALSE)+VLOOKUP($A236,'1.3.21-28.2.22'!$A$6:$DA$404,73,FALSE)-VLOOKUP($A236,'01-02.2022'!$A$6:$DA$376,73,FALSE)</f>
        <v>51692.187003650397</v>
      </c>
      <c r="BV236" s="70">
        <f t="shared" si="260"/>
        <v>3797.5185955140769</v>
      </c>
      <c r="BW236" s="566">
        <f>VLOOKUP($A236,'01-02.2021'!$A$6:$CZ$403,75,FALSE)+VLOOKUP($A236,'1.3.21-28.2.22'!$A$6:$DA$404,75,FALSE)-VLOOKUP($A236,'01-02.2022'!$A$6:$DA$376,75,FALSE)</f>
        <v>30884.325757567745</v>
      </c>
      <c r="BX236" s="566">
        <f>VLOOKUP($A236,'01-02.2021'!$A$6:$CZ$403,76,FALSE)+VLOOKUP($A236,'1.3.21-28.2.22'!$A$6:$DA$404,76,FALSE)-VLOOKUP($A236,'01-02.2022'!$A$6:$DA$376,76,FALSE)</f>
        <v>33696.732167527167</v>
      </c>
      <c r="BY236" s="70">
        <f t="shared" si="261"/>
        <v>2812.4064099594216</v>
      </c>
      <c r="BZ236" s="566">
        <f>VLOOKUP($A236,'01-02.2021'!$A$6:$CZ$403,78,FALSE)+VLOOKUP($A236,'1.3.21-28.2.22'!$A$6:$DA$404,78,FALSE)-VLOOKUP($A236,'01-02.2022'!$A$6:$DA$376,78,FALSE)</f>
        <v>12116.382583177161</v>
      </c>
      <c r="CA236" s="566">
        <f>VLOOKUP($A236,'01-02.2021'!$A$6:$CZ$403,79,FALSE)+VLOOKUP($A236,'1.3.21-28.2.22'!$A$6:$DA$404,79,FALSE)-VLOOKUP($A236,'01-02.2022'!$A$6:$DA$376,79,FALSE)</f>
        <v>11630.379958096382</v>
      </c>
      <c r="CB236" s="70">
        <f t="shared" si="262"/>
        <v>-486.00262508077867</v>
      </c>
      <c r="CC236" s="566">
        <f>VLOOKUP($A236,'01-02.2021'!$A$6:$CZ$403,81,FALSE)+VLOOKUP($A236,'1.3.21-28.2.22'!$A$6:$DA$404,81,FALSE)-VLOOKUP($A236,'01-02.2022'!$A$6:$DA$376,81,FALSE)</f>
        <v>1293.22983542834</v>
      </c>
      <c r="CD236" s="566">
        <f>VLOOKUP($A236,'01-02.2021'!$A$6:$CZ$403,82,FALSE)+VLOOKUP($A236,'1.3.21-28.2.22'!$A$6:$DA$404,82,FALSE)-VLOOKUP($A236,'01-02.2022'!$A$6:$DA$376,82,FALSE)</f>
        <v>1396.7931368745212</v>
      </c>
      <c r="CE236" s="70">
        <f t="shared" si="263"/>
        <v>103.56330144618119</v>
      </c>
      <c r="CF236" s="566">
        <f>VLOOKUP($A236,'01-02.2021'!$A$6:$CZ$403,84,FALSE)+VLOOKUP($A236,'1.3.21-28.2.22'!$A$6:$DA$404,84,FALSE)-VLOOKUP($A236,'01-02.2022'!$A$6:$DA$376,84,FALSE)</f>
        <v>155.36144822632266</v>
      </c>
      <c r="CG236" s="566">
        <f>VLOOKUP($A236,'01-02.2021'!$A$6:$CZ$403,85,FALSE)+VLOOKUP($A236,'1.3.21-28.2.22'!$A$6:$DA$404,85,FALSE)-VLOOKUP($A236,'01-02.2022'!$A$6:$DA$376,85,FALSE)</f>
        <v>0</v>
      </c>
      <c r="CH236" s="70">
        <f t="shared" si="264"/>
        <v>-155.36144822632266</v>
      </c>
      <c r="CI236" s="566">
        <f>VLOOKUP($A236,'01-02.2021'!$A$6:$CZ$403,87,FALSE)+VLOOKUP($A236,'1.3.21-28.2.22'!$A$6:$DA$404,87,FALSE)-VLOOKUP($A236,'01-02.2022'!$A$6:$DA$376,87,FALSE)</f>
        <v>716.90669060086236</v>
      </c>
      <c r="CJ236" s="566">
        <f>VLOOKUP($A236,'01-02.2021'!$A$6:$CZ$403,88,FALSE)+VLOOKUP($A236,'1.3.21-28.2.22'!$A$6:$DA$404,88,FALSE)-VLOOKUP($A236,'01-02.2022'!$A$6:$DA$376,88,FALSE)</f>
        <v>1176.8585800551982</v>
      </c>
      <c r="CK236" s="70">
        <f t="shared" si="265"/>
        <v>459.95188945433586</v>
      </c>
      <c r="CL236" s="566">
        <f>VLOOKUP($A236,'01-02.2021'!$A$6:$CZ$403,90,FALSE)+VLOOKUP($A236,'1.3.21-28.2.22'!$A$6:$DA$404,90,FALSE)-VLOOKUP($A236,'01-02.2022'!$A$6:$DA$376,90,FALSE)</f>
        <v>16359.819347050188</v>
      </c>
      <c r="CM236" s="566">
        <f>VLOOKUP($A236,'01-02.2021'!$A$6:$CZ$403,91,FALSE)+VLOOKUP($A236,'1.3.21-28.2.22'!$A$6:$DA$404,91,FALSE)-VLOOKUP($A236,'01-02.2022'!$A$6:$DA$376,91,FALSE)</f>
        <v>13727.526303952647</v>
      </c>
      <c r="CN236" s="52">
        <f t="shared" si="225"/>
        <v>-2632.2930430975412</v>
      </c>
      <c r="CO236" s="39">
        <f t="shared" si="220"/>
        <v>17076.726037651049</v>
      </c>
      <c r="CP236" s="40">
        <f t="shared" si="226"/>
        <v>14904.384884007846</v>
      </c>
      <c r="CQ236" s="52">
        <f t="shared" si="227"/>
        <v>-2172.3411536432031</v>
      </c>
      <c r="CR236" s="72">
        <f t="shared" si="221"/>
        <v>261059.62522132651</v>
      </c>
      <c r="CS236" s="5">
        <f t="shared" si="221"/>
        <v>223289.8726297339</v>
      </c>
      <c r="CT236" s="52">
        <f t="shared" si="228"/>
        <v>-37769.752591592609</v>
      </c>
      <c r="CU236" s="77">
        <f t="shared" si="229"/>
        <v>313271.55026559182</v>
      </c>
      <c r="CV236" s="65">
        <f t="shared" si="230"/>
        <v>267947.84715568065</v>
      </c>
      <c r="CW236" s="35">
        <f t="shared" si="231"/>
        <v>-45323.703109911177</v>
      </c>
      <c r="CX236" s="566">
        <f>VLOOKUP($A236,'01-02.2021'!$A$6:$CZ$403,102,FALSE)+VLOOKUP($A236,'1.3.21-28.2.22'!$A$6:$DA$404,102,FALSE)-VLOOKUP($A236,'01-02.2022'!$A$6:$DA$376,102,FALSE)</f>
        <v>10991.042730868023</v>
      </c>
      <c r="CY236" s="566">
        <f>VLOOKUP($A236,'01-02.2021'!$A$6:$CZ$403,103,FALSE)+VLOOKUP($A236,'1.3.21-28.2.22'!$A$6:$DA$404,103,FALSE)-VLOOKUP($A236,'01-02.2022'!$A$6:$DA$376,103,FALSE)</f>
        <v>56314.745840779251</v>
      </c>
      <c r="CZ236" s="52">
        <f t="shared" si="232"/>
        <v>45323.703109911228</v>
      </c>
      <c r="DA236" s="150">
        <f>'[2]побудинковий звіт'!DA236</f>
        <v>-127645.8554599769</v>
      </c>
      <c r="DB236" s="2">
        <v>1</v>
      </c>
      <c r="DC236" s="414">
        <f>'[4]побудинковий звіт'!DC236</f>
        <v>42516.26</v>
      </c>
      <c r="DD236" s="414">
        <f>'[4]побудинковий звіт'!DD236</f>
        <v>0</v>
      </c>
      <c r="DE236" s="557">
        <f>'[4]побудинковий звіт'!DE236</f>
        <v>13416.662004155296</v>
      </c>
      <c r="DF236" s="557">
        <f>'[4]побудинковий звіт'!DF236</f>
        <v>0</v>
      </c>
      <c r="DG236" s="321">
        <f>VLOOKUP(A236,'кошти 01.03.2021'!$A$6:$D$401,4,)</f>
        <v>-74281.988947224658</v>
      </c>
      <c r="DH236" s="40">
        <f>'[3]побудинковий звіт'!DJ236</f>
        <v>334060.73264757876</v>
      </c>
      <c r="DI236" s="422">
        <f>'[3]побудинковий звіт'!CU236+'[3]побудинковий звіт'!CX236</f>
        <v>29099.59799584471</v>
      </c>
      <c r="DJ236" s="306">
        <f>'[3]побудинковий звіт'!DM236</f>
        <v>5.4419018691347851</v>
      </c>
      <c r="DK236" s="306">
        <f>'[3]побудинковий звіт'!DN236</f>
        <v>6.843691351662434</v>
      </c>
      <c r="DL236" s="306">
        <f>'[3]побудинковий звіт'!DO236</f>
        <v>4.5933468496019625</v>
      </c>
      <c r="DM236" s="28">
        <f t="shared" si="290"/>
        <v>29099.597995844706</v>
      </c>
      <c r="DN236" s="28">
        <f>DL236*H236</f>
        <v>0</v>
      </c>
      <c r="DO236" s="423">
        <f t="shared" si="238"/>
        <v>29099.597995844706</v>
      </c>
      <c r="DP236" s="94">
        <f t="shared" si="239"/>
        <v>0</v>
      </c>
      <c r="DQ236" s="28">
        <f t="shared" si="240"/>
        <v>29099.597995844706</v>
      </c>
      <c r="DR236" s="318"/>
      <c r="DT236" s="8"/>
      <c r="DU236" s="5"/>
      <c r="DX236" s="5">
        <f t="shared" si="241"/>
        <v>73594.475831778953</v>
      </c>
      <c r="DY236" s="5">
        <f t="shared" si="242"/>
        <v>29013.727184255109</v>
      </c>
      <c r="DZ236" s="159">
        <f>'[3]побудинковий звіт'!EA236</f>
        <v>6520.5932985988557</v>
      </c>
    </row>
    <row r="237" spans="1:130" x14ac:dyDescent="0.3">
      <c r="A237" s="325">
        <v>150000964</v>
      </c>
      <c r="B237" s="41" t="s">
        <v>684</v>
      </c>
      <c r="C237" s="42" t="s">
        <v>383</v>
      </c>
      <c r="D237" s="42"/>
      <c r="E237" s="293">
        <f t="shared" si="218"/>
        <v>2131.85</v>
      </c>
      <c r="F237" s="305">
        <f>'[3]побудинковий звіт'!F237</f>
        <v>2131.85</v>
      </c>
      <c r="G237" s="508">
        <f>'[3]побудинковий звіт'!G237</f>
        <v>234</v>
      </c>
      <c r="H237" s="560">
        <f>'[3]побудинковий звіт'!H237</f>
        <v>0</v>
      </c>
      <c r="I237" s="566">
        <f>VLOOKUP($A237,'01-02.2021'!$A$6:$CZ$403,9,FALSE)+VLOOKUP($A237,'1.3.21-28.2.22'!$A$6:$DA$404,9,FALSE)-VLOOKUP($A237,'01-02.2022'!$A$6:$DA$376,9,FALSE)</f>
        <v>7562.0313974949495</v>
      </c>
      <c r="J237" s="566">
        <f>VLOOKUP($A237,'01-02.2021'!$A$6:$CZ$403,10,FALSE)+VLOOKUP($A237,'1.3.21-28.2.22'!$A$6:$DA$404,10,FALSE)-VLOOKUP($A237,'01-02.2022'!$A$6:$DA$376,10,FALSE)</f>
        <v>6680.5467307248045</v>
      </c>
      <c r="K237" s="52">
        <f t="shared" si="222"/>
        <v>-881.48466677014494</v>
      </c>
      <c r="L237" s="566">
        <f>VLOOKUP($A237,'01-02.2021'!$A$6:$CZ$403,12,FALSE)+VLOOKUP($A237,'1.3.21-28.2.22'!$A$6:$DA$404,12,FALSE)-VLOOKUP($A237,'01-02.2022'!$A$6:$DA$376,12,FALSE)</f>
        <v>1167.5144485756746</v>
      </c>
      <c r="M237" s="566">
        <f>VLOOKUP($A237,'01-02.2021'!$A$6:$CZ$403,13,FALSE)+VLOOKUP($A237,'1.3.21-28.2.22'!$A$6:$DA$404,13,FALSE)-VLOOKUP($A237,'01-02.2022'!$A$6:$DA$376,13,FALSE)</f>
        <v>1055.9103723361668</v>
      </c>
      <c r="N237" s="52">
        <f t="shared" si="223"/>
        <v>-111.60407623950778</v>
      </c>
      <c r="O237" s="566">
        <f>VLOOKUP($A237,'01-02.2021'!$A$6:$CZ$403,15,FALSE)+VLOOKUP($A237,'1.3.21-28.2.22'!$A$6:$DA$404,15,FALSE)-VLOOKUP($A237,'01-02.2022'!$A$6:$DA$376,15,FALSE)</f>
        <v>2901.5814146534326</v>
      </c>
      <c r="P237" s="566">
        <f>VLOOKUP($A237,'01-02.2021'!$A$6:$CZ$403,16,FALSE)+VLOOKUP($A237,'1.3.21-28.2.22'!$A$6:$DA$404,16,FALSE)-VLOOKUP($A237,'01-02.2022'!$A$6:$DA$376,16,FALSE)</f>
        <v>2901.559999999999</v>
      </c>
      <c r="Q237" s="70">
        <f t="shared" si="243"/>
        <v>-2.1414653433566855E-2</v>
      </c>
      <c r="R237" s="566">
        <f>VLOOKUP($A237,'01-02.2021'!$A$6:$CZ$403,18,FALSE)+VLOOKUP($A237,'1.3.21-28.2.22'!$A$6:$DA$404,18,FALSE)-VLOOKUP($A237,'01-02.2022'!$A$6:$DA$376,18,FALSE)</f>
        <v>639.11780622755009</v>
      </c>
      <c r="S237" s="566">
        <f>VLOOKUP($A237,'01-02.2021'!$A$6:$CZ$403,19,FALSE)+VLOOKUP($A237,'1.3.21-28.2.22'!$A$6:$DA$404,19,FALSE)-VLOOKUP($A237,'01-02.2022'!$A$6:$DA$376,19,FALSE)</f>
        <v>639.04999999999995</v>
      </c>
      <c r="T237" s="70">
        <f t="shared" si="244"/>
        <v>-6.78062275501361E-2</v>
      </c>
      <c r="U237" s="566">
        <f>VLOOKUP($A237,'01-02.2021'!$A$6:$CZ$403,21,FALSE)+VLOOKUP($A237,'1.3.21-28.2.22'!$A$6:$DA$404,21,FALSE)-VLOOKUP($A237,'01-02.2022'!$A$6:$DA$376,21,FALSE)</f>
        <v>335.82127994245559</v>
      </c>
      <c r="V237" s="566">
        <f>VLOOKUP($A237,'01-02.2021'!$A$6:$CZ$403,22,FALSE)+VLOOKUP($A237,'1.3.21-28.2.22'!$A$6:$DA$404,22,FALSE)-VLOOKUP($A237,'01-02.2022'!$A$6:$DA$376,22,FALSE)</f>
        <v>235.69663831857673</v>
      </c>
      <c r="W237" s="70">
        <f t="shared" si="245"/>
        <v>-100.12464162387886</v>
      </c>
      <c r="X237" s="566">
        <f>VLOOKUP($A237,'01-02.2021'!$A$6:$CZ$403,24,FALSE)+VLOOKUP($A237,'1.3.21-28.2.22'!$A$6:$DA$404,24,FALSE)-VLOOKUP($A237,'01-02.2022'!$A$6:$DA$376,24,FALSE)</f>
        <v>1870.7655869052928</v>
      </c>
      <c r="Y237" s="566">
        <f>VLOOKUP($A237,'01-02.2021'!$A$6:$CZ$403,25,FALSE)+VLOOKUP($A237,'1.3.21-28.2.22'!$A$6:$DA$404,25,FALSE)-VLOOKUP($A237,'01-02.2022'!$A$6:$DA$376,25,FALSE)</f>
        <v>1670.0749876648536</v>
      </c>
      <c r="Z237" s="70">
        <f t="shared" si="246"/>
        <v>-200.69059924043927</v>
      </c>
      <c r="AA237" s="566">
        <f>VLOOKUP($A237,'01-02.2021'!$A$6:$CZ$403,27,FALSE)+VLOOKUP($A237,'1.3.21-28.2.22'!$A$6:$DA$404,27,FALSE)-VLOOKUP($A237,'01-02.2022'!$A$6:$DA$376,27,FALSE)</f>
        <v>426.43999999999994</v>
      </c>
      <c r="AB237" s="566">
        <f>VLOOKUP($A237,'01-02.2021'!$A$6:$CZ$403,28,FALSE)+VLOOKUP($A237,'1.3.21-28.2.22'!$A$6:$DA$404,28,FALSE)-VLOOKUP($A237,'01-02.2022'!$A$6:$DA$376,28,FALSE)</f>
        <v>0</v>
      </c>
      <c r="AC237" s="70">
        <f t="shared" si="247"/>
        <v>-426.43999999999994</v>
      </c>
      <c r="AD237" s="566">
        <f>VLOOKUP($A237,'01-02.2021'!$A$6:$CZ$403,30,FALSE)+VLOOKUP($A237,'1.3.21-28.2.22'!$A$6:$DA$404,30,FALSE)-VLOOKUP($A237,'01-02.2022'!$A$6:$DA$376,30,FALSE)</f>
        <v>9157.5798904857984</v>
      </c>
      <c r="AE237" s="566">
        <f>VLOOKUP($A237,'01-02.2021'!$A$6:$CZ$403,31,FALSE)+VLOOKUP($A237,'1.3.21-28.2.22'!$A$6:$DA$404,31,FALSE)-VLOOKUP($A237,'01-02.2022'!$A$6:$DA$376,31,FALSE)</f>
        <v>9704.2670970339204</v>
      </c>
      <c r="AF237" s="68">
        <f t="shared" si="248"/>
        <v>546.68720654812205</v>
      </c>
      <c r="AG237" s="77">
        <f t="shared" si="219"/>
        <v>24060.851824285157</v>
      </c>
      <c r="AH237" s="53">
        <f t="shared" si="219"/>
        <v>22887.105826078321</v>
      </c>
      <c r="AI237" s="52">
        <f t="shared" si="224"/>
        <v>-1173.7459982068358</v>
      </c>
      <c r="AJ237" s="566">
        <f>VLOOKUP($A237,'01-02.2021'!$A$6:$CZ$403,36,FALSE)+VLOOKUP($A237,'1.3.21-28.2.22'!$A$6:$DA$404,36,FALSE)-VLOOKUP($A237,'01-02.2022'!$A$6:$DA$376,36,FALSE)</f>
        <v>15797.462665534815</v>
      </c>
      <c r="AK237" s="566">
        <f>VLOOKUP($A237,'01-02.2021'!$A$6:$CZ$403,37,FALSE)+VLOOKUP($A237,'1.3.21-28.2.22'!$A$6:$DA$404,37,FALSE)-VLOOKUP($A237,'01-02.2022'!$A$6:$DA$376,37,FALSE)</f>
        <v>15693.90699468007</v>
      </c>
      <c r="AL237" s="70">
        <f t="shared" si="249"/>
        <v>-103.55567085474468</v>
      </c>
      <c r="AM237" s="566">
        <f>VLOOKUP($A237,'01-02.2021'!$A$6:$CZ$403,39,FALSE)+VLOOKUP($A237,'1.3.21-28.2.22'!$A$6:$DA$404,39,FALSE)-VLOOKUP($A237,'01-02.2022'!$A$6:$DA$376,39,FALSE)</f>
        <v>1446.1209718413761</v>
      </c>
      <c r="AN237" s="566">
        <f>VLOOKUP($A237,'01-02.2021'!$A$6:$CZ$403,40,FALSE)+VLOOKUP($A237,'1.3.21-28.2.22'!$A$6:$DA$404,40,FALSE)-VLOOKUP($A237,'01-02.2022'!$A$6:$DA$376,40,FALSE)</f>
        <v>1043.0412335713274</v>
      </c>
      <c r="AO237" s="70">
        <f t="shared" si="250"/>
        <v>-403.07973827004867</v>
      </c>
      <c r="AP237" s="566">
        <f>VLOOKUP($A237,'01-02.2021'!$A$6:$CZ$403,42,FALSE)+VLOOKUP($A237,'1.3.21-28.2.22'!$A$6:$DA$404,42,FALSE)-VLOOKUP($A237,'01-02.2022'!$A$6:$DA$376,42,FALSE)</f>
        <v>1561.6797750383319</v>
      </c>
      <c r="AQ237" s="566">
        <f>VLOOKUP($A237,'01-02.2021'!$A$6:$CZ$403,43,FALSE)+VLOOKUP($A237,'1.3.21-28.2.22'!$A$6:$DA$404,43,FALSE)-VLOOKUP($A237,'01-02.2022'!$A$6:$DA$376,43,FALSE)</f>
        <v>1383.0163450721643</v>
      </c>
      <c r="AR237" s="70">
        <f t="shared" si="251"/>
        <v>-178.66342996616754</v>
      </c>
      <c r="AS237" s="566">
        <f>VLOOKUP($A237,'01-02.2021'!$A$6:$CZ$403,45,FALSE)+VLOOKUP($A237,'1.3.21-28.2.22'!$A$6:$DA$404,45,FALSE)-VLOOKUP($A237,'01-02.2022'!$A$6:$DA$376,45,FALSE)</f>
        <v>24024.430834235227</v>
      </c>
      <c r="AT237" s="566">
        <f>VLOOKUP($A237,'01-02.2021'!$A$6:$CZ$403,46,FALSE)+VLOOKUP($A237,'1.3.21-28.2.22'!$A$6:$DA$404,46,FALSE)-VLOOKUP($A237,'01-02.2022'!$A$6:$DA$376,46,FALSE)</f>
        <v>19971.532507520642</v>
      </c>
      <c r="AU237" s="78">
        <f t="shared" si="252"/>
        <v>-4052.898326714585</v>
      </c>
      <c r="AV237" s="566">
        <f>VLOOKUP($A237,'01-02.2021'!$A$6:$CZ$403,48,FALSE)+VLOOKUP($A237,'1.3.21-28.2.22'!$A$6:$DA$404,48,FALSE)-VLOOKUP($A237,'01-02.2022'!$A$6:$DA$376,48,FALSE)</f>
        <v>1395.0009733800257</v>
      </c>
      <c r="AW237" s="566">
        <f>VLOOKUP($A237,'01-02.2021'!$A$6:$CZ$403,49,FALSE)+VLOOKUP($A237,'1.3.21-28.2.22'!$A$6:$DA$404,49,FALSE)-VLOOKUP($A237,'01-02.2022'!$A$6:$DA$376,49,FALSE)</f>
        <v>1684.5</v>
      </c>
      <c r="AX237" s="55">
        <f t="shared" si="253"/>
        <v>289.4990266199743</v>
      </c>
      <c r="AY237" s="566">
        <f>VLOOKUP($A237,'01-02.2021'!$A$6:$CZ$403,51,FALSE)+VLOOKUP($A237,'1.3.21-28.2.22'!$A$6:$DA$404,51,FALSE)-VLOOKUP($A237,'01-02.2022'!$A$6:$DA$376,51,FALSE)</f>
        <v>1492.7650044612219</v>
      </c>
      <c r="AZ237" s="566">
        <f>VLOOKUP($A237,'01-02.2021'!$A$6:$CZ$403,52,FALSE)+VLOOKUP($A237,'1.3.21-28.2.22'!$A$6:$DA$404,52,FALSE)-VLOOKUP($A237,'01-02.2022'!$A$6:$DA$376,52,FALSE)</f>
        <v>2182</v>
      </c>
      <c r="BA237" s="38">
        <f t="shared" si="254"/>
        <v>689.23499553877809</v>
      </c>
      <c r="BB237" s="566">
        <f>VLOOKUP($A237,'01-02.2021'!$A$6:$CZ$403,54,FALSE)+VLOOKUP($A237,'1.3.21-28.2.22'!$A$6:$DA$404,54,FALSE)-VLOOKUP($A237,'01-02.2022'!$A$6:$DA$376,54,FALSE)</f>
        <v>498.2958103996574</v>
      </c>
      <c r="BC237" s="566">
        <f>VLOOKUP($A237,'01-02.2021'!$A$6:$CZ$403,55,FALSE)+VLOOKUP($A237,'1.3.21-28.2.22'!$A$6:$DA$404,55,FALSE)-VLOOKUP($A237,'01-02.2022'!$A$6:$DA$376,55,FALSE)</f>
        <v>1440</v>
      </c>
      <c r="BD237" s="55">
        <f t="shared" si="255"/>
        <v>941.7041896003426</v>
      </c>
      <c r="BE237" s="566">
        <f>VLOOKUP($A237,'01-02.2021'!$A$6:$CZ$403,57,FALSE)+VLOOKUP($A237,'1.3.21-28.2.22'!$A$6:$DA$404,57,FALSE)-VLOOKUP($A237,'01-02.2022'!$A$6:$DA$376,57,FALSE)</f>
        <v>1249.2496752306695</v>
      </c>
      <c r="BF237" s="566">
        <f>VLOOKUP($A237,'01-02.2021'!$A$6:$CZ$403,58,FALSE)+VLOOKUP($A237,'1.3.21-28.2.22'!$A$6:$DA$404,58,FALSE)-VLOOKUP($A237,'01-02.2022'!$A$6:$DA$376,58,FALSE)</f>
        <v>556</v>
      </c>
      <c r="BG237" s="55">
        <f t="shared" si="256"/>
        <v>-693.24967523066948</v>
      </c>
      <c r="BH237" s="566">
        <f>VLOOKUP($A237,'01-02.2021'!$A$6:$CZ$403,60,FALSE)+VLOOKUP($A237,'1.3.21-28.2.22'!$A$6:$DA$404,60,FALSE)-VLOOKUP($A237,'01-02.2022'!$A$6:$DA$376,60,FALSE)</f>
        <v>568.63257583525615</v>
      </c>
      <c r="BI237" s="566">
        <f>VLOOKUP($A237,'01-02.2021'!$A$6:$CZ$403,61,FALSE)+VLOOKUP($A237,'1.3.21-28.2.22'!$A$6:$DA$404,61,FALSE)-VLOOKUP($A237,'01-02.2022'!$A$6:$DA$376,61,FALSE)</f>
        <v>0</v>
      </c>
      <c r="BJ237" s="55">
        <f t="shared" si="257"/>
        <v>-568.63257583525615</v>
      </c>
      <c r="BK237" s="566">
        <f>VLOOKUP($A237,'01-02.2021'!$A$6:$CZ$403,63,FALSE)+VLOOKUP($A237,'1.3.21-28.2.22'!$A$6:$DA$404,63,FALSE)-VLOOKUP($A237,'01-02.2022'!$A$6:$DA$376,63,FALSE)</f>
        <v>463.11150999035635</v>
      </c>
      <c r="BL237" s="566">
        <f>VLOOKUP($A237,'01-02.2021'!$A$6:$CZ$403,64,FALSE)+VLOOKUP($A237,'1.3.21-28.2.22'!$A$6:$DA$404,64,FALSE)-VLOOKUP($A237,'01-02.2022'!$A$6:$DA$376,64,FALSE)</f>
        <v>0</v>
      </c>
      <c r="BM237" s="55">
        <f t="shared" si="258"/>
        <v>-463.11150999035635</v>
      </c>
      <c r="BN237" s="566">
        <f>VLOOKUP($A237,'01-02.2021'!$A$6:$CZ$403,66,FALSE)+VLOOKUP($A237,'1.3.21-28.2.22'!$A$6:$DA$404,66,FALSE)-VLOOKUP($A237,'01-02.2022'!$A$6:$DA$376,66,FALSE)</f>
        <v>146.77679309308323</v>
      </c>
      <c r="BO237" s="566">
        <f>VLOOKUP($A237,'01-02.2021'!$A$6:$CZ$403,67,FALSE)+VLOOKUP($A237,'1.3.21-28.2.22'!$A$6:$DA$404,67,FALSE)-VLOOKUP($A237,'01-02.2022'!$A$6:$DA$376,67,FALSE)</f>
        <v>2092.6</v>
      </c>
      <c r="BP237" s="55">
        <f t="shared" si="259"/>
        <v>1945.8232069069168</v>
      </c>
      <c r="BQ237" s="77">
        <f t="shared" si="287"/>
        <v>5813.8323423902702</v>
      </c>
      <c r="BR237" s="40">
        <f t="shared" si="289"/>
        <v>7955.1</v>
      </c>
      <c r="BS237" s="55">
        <f t="shared" si="236"/>
        <v>2141.2676576097301</v>
      </c>
      <c r="BT237" s="566">
        <f>VLOOKUP($A237,'01-02.2021'!$A$6:$CZ$403,72,FALSE)+VLOOKUP($A237,'1.3.21-28.2.22'!$A$6:$DA$404,72,FALSE)-VLOOKUP($A237,'01-02.2022'!$A$6:$DA$376,72,FALSE)</f>
        <v>29128.932160841214</v>
      </c>
      <c r="BU237" s="566">
        <f>VLOOKUP($A237,'01-02.2021'!$A$6:$CZ$403,73,FALSE)+VLOOKUP($A237,'1.3.21-28.2.22'!$A$6:$DA$404,73,FALSE)-VLOOKUP($A237,'01-02.2022'!$A$6:$DA$376,73,FALSE)</f>
        <v>29241.102966336079</v>
      </c>
      <c r="BV237" s="70">
        <f t="shared" si="260"/>
        <v>112.17080549486491</v>
      </c>
      <c r="BW237" s="566">
        <f>VLOOKUP($A237,'01-02.2021'!$A$6:$CZ$403,75,FALSE)+VLOOKUP($A237,'1.3.21-28.2.22'!$A$6:$DA$404,75,FALSE)-VLOOKUP($A237,'01-02.2022'!$A$6:$DA$376,75,FALSE)</f>
        <v>15347.936367768816</v>
      </c>
      <c r="BX237" s="566">
        <f>VLOOKUP($A237,'01-02.2021'!$A$6:$CZ$403,76,FALSE)+VLOOKUP($A237,'1.3.21-28.2.22'!$A$6:$DA$404,76,FALSE)-VLOOKUP($A237,'01-02.2022'!$A$6:$DA$376,76,FALSE)</f>
        <v>16745.932551681712</v>
      </c>
      <c r="BY237" s="70">
        <f t="shared" si="261"/>
        <v>1397.9961839128955</v>
      </c>
      <c r="BZ237" s="566">
        <f>VLOOKUP($A237,'01-02.2021'!$A$6:$CZ$403,78,FALSE)+VLOOKUP($A237,'1.3.21-28.2.22'!$A$6:$DA$404,78,FALSE)-VLOOKUP($A237,'01-02.2022'!$A$6:$DA$376,78,FALSE)</f>
        <v>6334.1890342098468</v>
      </c>
      <c r="CA237" s="566">
        <f>VLOOKUP($A237,'01-02.2021'!$A$6:$CZ$403,79,FALSE)+VLOOKUP($A237,'1.3.21-28.2.22'!$A$6:$DA$404,79,FALSE)-VLOOKUP($A237,'01-02.2022'!$A$6:$DA$376,79,FALSE)</f>
        <v>6726.1202068853991</v>
      </c>
      <c r="CB237" s="70">
        <f t="shared" si="262"/>
        <v>391.93117267555226</v>
      </c>
      <c r="CC237" s="566">
        <f>VLOOKUP($A237,'01-02.2021'!$A$6:$CZ$403,81,FALSE)+VLOOKUP($A237,'1.3.21-28.2.22'!$A$6:$DA$404,81,FALSE)-VLOOKUP($A237,'01-02.2022'!$A$6:$DA$376,81,FALSE)</f>
        <v>680.66694296813853</v>
      </c>
      <c r="CD237" s="566">
        <f>VLOOKUP($A237,'01-02.2021'!$A$6:$CZ$403,82,FALSE)+VLOOKUP($A237,'1.3.21-28.2.22'!$A$6:$DA$404,82,FALSE)-VLOOKUP($A237,'01-02.2022'!$A$6:$DA$376,82,FALSE)</f>
        <v>735.61519434144054</v>
      </c>
      <c r="CE237" s="70">
        <f t="shared" si="263"/>
        <v>54.948251373302014</v>
      </c>
      <c r="CF237" s="566">
        <f>VLOOKUP($A237,'01-02.2021'!$A$6:$CZ$403,84,FALSE)+VLOOKUP($A237,'1.3.21-28.2.22'!$A$6:$DA$404,84,FALSE)-VLOOKUP($A237,'01-02.2022'!$A$6:$DA$376,84,FALSE)</f>
        <v>81.820449222640136</v>
      </c>
      <c r="CG237" s="566">
        <f>VLOOKUP($A237,'01-02.2021'!$A$6:$CZ$403,85,FALSE)+VLOOKUP($A237,'1.3.21-28.2.22'!$A$6:$DA$404,85,FALSE)-VLOOKUP($A237,'01-02.2022'!$A$6:$DA$376,85,FALSE)</f>
        <v>0</v>
      </c>
      <c r="CH237" s="70">
        <f t="shared" si="264"/>
        <v>-81.820449222640136</v>
      </c>
      <c r="CI237" s="566">
        <f>VLOOKUP($A237,'01-02.2021'!$A$6:$CZ$403,87,FALSE)+VLOOKUP($A237,'1.3.21-28.2.22'!$A$6:$DA$404,87,FALSE)-VLOOKUP($A237,'01-02.2022'!$A$6:$DA$376,87,FALSE)</f>
        <v>339.75978894706907</v>
      </c>
      <c r="CJ237" s="566">
        <f>VLOOKUP($A237,'01-02.2021'!$A$6:$CZ$403,88,FALSE)+VLOOKUP($A237,'1.3.21-28.2.22'!$A$6:$DA$404,88,FALSE)-VLOOKUP($A237,'01-02.2022'!$A$6:$DA$376,88,FALSE)</f>
        <v>575.95289528276714</v>
      </c>
      <c r="CK237" s="70">
        <f t="shared" si="265"/>
        <v>236.19310633569808</v>
      </c>
      <c r="CL237" s="566">
        <f>VLOOKUP($A237,'01-02.2021'!$A$6:$CZ$403,90,FALSE)+VLOOKUP($A237,'1.3.21-28.2.22'!$A$6:$DA$404,90,FALSE)-VLOOKUP($A237,'01-02.2022'!$A$6:$DA$376,90,FALSE)</f>
        <v>7995.9897913448312</v>
      </c>
      <c r="CM237" s="566">
        <f>VLOOKUP($A237,'01-02.2021'!$A$6:$CZ$403,91,FALSE)+VLOOKUP($A237,'1.3.21-28.2.22'!$A$6:$DA$404,91,FALSE)-VLOOKUP($A237,'01-02.2022'!$A$6:$DA$376,91,FALSE)</f>
        <v>6821.1522154594577</v>
      </c>
      <c r="CN237" s="52">
        <f t="shared" si="225"/>
        <v>-1174.8375758853736</v>
      </c>
      <c r="CO237" s="39">
        <f t="shared" si="220"/>
        <v>8335.7495802919002</v>
      </c>
      <c r="CP237" s="40">
        <f t="shared" si="226"/>
        <v>7397.1051107422245</v>
      </c>
      <c r="CQ237" s="52">
        <f t="shared" si="227"/>
        <v>-938.6444695496757</v>
      </c>
      <c r="CR237" s="72">
        <f t="shared" si="221"/>
        <v>132613.67294862773</v>
      </c>
      <c r="CS237" s="5">
        <f t="shared" si="221"/>
        <v>129779.5789369094</v>
      </c>
      <c r="CT237" s="52">
        <f t="shared" si="228"/>
        <v>-2834.0940117183345</v>
      </c>
      <c r="CU237" s="77">
        <f t="shared" si="229"/>
        <v>159136.40753835326</v>
      </c>
      <c r="CV237" s="65">
        <f t="shared" si="230"/>
        <v>155735.49472429126</v>
      </c>
      <c r="CW237" s="35">
        <f t="shared" si="231"/>
        <v>-3400.9128140620014</v>
      </c>
      <c r="CX237" s="566">
        <f>VLOOKUP($A237,'01-02.2021'!$A$6:$CZ$403,102,FALSE)+VLOOKUP($A237,'1.3.21-28.2.22'!$A$6:$DA$404,102,FALSE)-VLOOKUP($A237,'01-02.2022'!$A$6:$DA$376,102,FALSE)</f>
        <v>5563.6976995225887</v>
      </c>
      <c r="CY237" s="566">
        <f>VLOOKUP($A237,'01-02.2021'!$A$6:$CZ$403,103,FALSE)+VLOOKUP($A237,'1.3.21-28.2.22'!$A$6:$DA$404,103,FALSE)-VLOOKUP($A237,'01-02.2022'!$A$6:$DA$376,103,FALSE)</f>
        <v>8964.6105135846301</v>
      </c>
      <c r="CZ237" s="52">
        <f t="shared" si="232"/>
        <v>3400.9128140620414</v>
      </c>
      <c r="DA237" s="150">
        <f>'[2]побудинковий звіт'!DA237</f>
        <v>37339.518591801447</v>
      </c>
      <c r="DB237" s="2">
        <v>1</v>
      </c>
      <c r="DC237" s="414">
        <f>'[4]побудинковий звіт'!DC237</f>
        <v>18401.75</v>
      </c>
      <c r="DD237" s="414">
        <f>'[4]побудинковий звіт'!DD237</f>
        <v>0</v>
      </c>
      <c r="DE237" s="557">
        <f>'[4]побудинковий звіт'!DE237</f>
        <v>3515.8383851466497</v>
      </c>
      <c r="DF237" s="557">
        <f>'[4]побудинковий звіт'!DF237</f>
        <v>0</v>
      </c>
      <c r="DG237" s="321">
        <f>VLOOKUP(A237,'кошти 01.03.2021'!$A$6:$D$401,4,)</f>
        <v>43298.360084240718</v>
      </c>
      <c r="DH237" s="40">
        <f>'[3]побудинковий звіт'!DJ237</f>
        <v>170184.67876720236</v>
      </c>
      <c r="DI237" s="422">
        <f>'[3]побудинковий звіт'!CU237+'[3]побудинковий звіт'!CX237</f>
        <v>14885.911614853349</v>
      </c>
      <c r="DJ237" s="306">
        <f>'[3]побудинковий звіт'!DM237</f>
        <v>5.7176837039105264</v>
      </c>
      <c r="DK237" s="306">
        <f>'[3]побудинковий звіт'!DN237</f>
        <v>7.1385903143758922</v>
      </c>
      <c r="DL237" s="306">
        <f>'[3]побудинковий звіт'!DO237</f>
        <v>4.8512977476068508</v>
      </c>
      <c r="DM237" s="28">
        <f t="shared" si="290"/>
        <v>14885.91161485335</v>
      </c>
      <c r="DN237" s="28">
        <f>DL237*H237</f>
        <v>0</v>
      </c>
      <c r="DO237" s="423">
        <f t="shared" si="238"/>
        <v>14885.91161485335</v>
      </c>
      <c r="DP237" s="94">
        <f t="shared" si="239"/>
        <v>0</v>
      </c>
      <c r="DQ237" s="28">
        <f t="shared" si="240"/>
        <v>14885.91161485335</v>
      </c>
      <c r="DR237" s="318"/>
      <c r="DT237" s="8"/>
      <c r="DU237" s="5"/>
      <c r="DX237" s="5">
        <f t="shared" si="241"/>
        <v>35805.915811950596</v>
      </c>
      <c r="DY237" s="5">
        <f t="shared" si="242"/>
        <v>33511.959009024766</v>
      </c>
      <c r="DZ237" s="159">
        <f>'[3]побудинковий звіт'!EA237</f>
        <v>3118.8232867474667</v>
      </c>
    </row>
    <row r="238" spans="1:130" x14ac:dyDescent="0.3">
      <c r="A238" s="325">
        <v>150000943</v>
      </c>
      <c r="B238" s="41" t="s">
        <v>685</v>
      </c>
      <c r="C238" s="42" t="s">
        <v>123</v>
      </c>
      <c r="D238" s="42"/>
      <c r="E238" s="293">
        <f t="shared" si="218"/>
        <v>105</v>
      </c>
      <c r="F238" s="305">
        <f>'[3]побудинковий звіт'!F238</f>
        <v>105</v>
      </c>
      <c r="G238" s="508">
        <f>'[3]побудинковий звіт'!G238</f>
        <v>0</v>
      </c>
      <c r="H238" s="560">
        <f>'[3]побудинковий звіт'!H238</f>
        <v>0</v>
      </c>
      <c r="I238" s="566">
        <f>VLOOKUP($A238,'01-02.2021'!$A$6:$CZ$403,9,FALSE)+VLOOKUP($A238,'1.3.21-28.2.22'!$A$6:$DA$404,9,FALSE)-VLOOKUP($A238,'01-02.2022'!$A$6:$DA$376,9,FALSE)</f>
        <v>0</v>
      </c>
      <c r="J238" s="566">
        <f>VLOOKUP($A238,'01-02.2021'!$A$6:$CZ$403,10,FALSE)+VLOOKUP($A238,'1.3.21-28.2.22'!$A$6:$DA$404,10,FALSE)-VLOOKUP($A238,'01-02.2022'!$A$6:$DA$376,10,FALSE)</f>
        <v>0</v>
      </c>
      <c r="K238" s="52">
        <f t="shared" si="222"/>
        <v>0</v>
      </c>
      <c r="L238" s="566">
        <f>VLOOKUP($A238,'01-02.2021'!$A$6:$CZ$403,12,FALSE)+VLOOKUP($A238,'1.3.21-28.2.22'!$A$6:$DA$404,12,FALSE)-VLOOKUP($A238,'01-02.2022'!$A$6:$DA$376,12,FALSE)</f>
        <v>0</v>
      </c>
      <c r="M238" s="566">
        <f>VLOOKUP($A238,'01-02.2021'!$A$6:$CZ$403,13,FALSE)+VLOOKUP($A238,'1.3.21-28.2.22'!$A$6:$DA$404,13,FALSE)-VLOOKUP($A238,'01-02.2022'!$A$6:$DA$376,13,FALSE)</f>
        <v>0</v>
      </c>
      <c r="N238" s="52">
        <f t="shared" si="223"/>
        <v>0</v>
      </c>
      <c r="O238" s="566">
        <f>VLOOKUP($A238,'01-02.2021'!$A$6:$CZ$403,15,FALSE)+VLOOKUP($A238,'1.3.21-28.2.22'!$A$6:$DA$404,15,FALSE)-VLOOKUP($A238,'01-02.2022'!$A$6:$DA$376,15,FALSE)</f>
        <v>0</v>
      </c>
      <c r="P238" s="566">
        <f>VLOOKUP($A238,'01-02.2021'!$A$6:$CZ$403,16,FALSE)+VLOOKUP($A238,'1.3.21-28.2.22'!$A$6:$DA$404,16,FALSE)-VLOOKUP($A238,'01-02.2022'!$A$6:$DA$376,16,FALSE)</f>
        <v>0</v>
      </c>
      <c r="Q238" s="70">
        <f t="shared" si="243"/>
        <v>0</v>
      </c>
      <c r="R238" s="566">
        <f>VLOOKUP($A238,'01-02.2021'!$A$6:$CZ$403,18,FALSE)+VLOOKUP($A238,'1.3.21-28.2.22'!$A$6:$DA$404,18,FALSE)-VLOOKUP($A238,'01-02.2022'!$A$6:$DA$376,18,FALSE)</f>
        <v>0</v>
      </c>
      <c r="S238" s="566">
        <f>VLOOKUP($A238,'01-02.2021'!$A$6:$CZ$403,19,FALSE)+VLOOKUP($A238,'1.3.21-28.2.22'!$A$6:$DA$404,19,FALSE)-VLOOKUP($A238,'01-02.2022'!$A$6:$DA$376,19,FALSE)</f>
        <v>0</v>
      </c>
      <c r="T238" s="70">
        <f t="shared" si="244"/>
        <v>0</v>
      </c>
      <c r="U238" s="566">
        <f>VLOOKUP($A238,'01-02.2021'!$A$6:$CZ$403,21,FALSE)+VLOOKUP($A238,'1.3.21-28.2.22'!$A$6:$DA$404,21,FALSE)-VLOOKUP($A238,'01-02.2022'!$A$6:$DA$376,21,FALSE)</f>
        <v>0</v>
      </c>
      <c r="V238" s="566">
        <f>VLOOKUP($A238,'01-02.2021'!$A$6:$CZ$403,22,FALSE)+VLOOKUP($A238,'1.3.21-28.2.22'!$A$6:$DA$404,22,FALSE)-VLOOKUP($A238,'01-02.2022'!$A$6:$DA$376,22,FALSE)</f>
        <v>0</v>
      </c>
      <c r="W238" s="70">
        <f t="shared" si="245"/>
        <v>0</v>
      </c>
      <c r="X238" s="566">
        <f>VLOOKUP($A238,'01-02.2021'!$A$6:$CZ$403,24,FALSE)+VLOOKUP($A238,'1.3.21-28.2.22'!$A$6:$DA$404,24,FALSE)-VLOOKUP($A238,'01-02.2022'!$A$6:$DA$376,24,FALSE)</f>
        <v>0</v>
      </c>
      <c r="Y238" s="566">
        <f>VLOOKUP($A238,'01-02.2021'!$A$6:$CZ$403,25,FALSE)+VLOOKUP($A238,'1.3.21-28.2.22'!$A$6:$DA$404,25,FALSE)-VLOOKUP($A238,'01-02.2022'!$A$6:$DA$376,25,FALSE)</f>
        <v>0</v>
      </c>
      <c r="Z238" s="70">
        <f t="shared" si="246"/>
        <v>0</v>
      </c>
      <c r="AA238" s="566">
        <f>VLOOKUP($A238,'01-02.2021'!$A$6:$CZ$403,27,FALSE)+VLOOKUP($A238,'1.3.21-28.2.22'!$A$6:$DA$404,27,FALSE)-VLOOKUP($A238,'01-02.2022'!$A$6:$DA$376,27,FALSE)</f>
        <v>21</v>
      </c>
      <c r="AB238" s="566">
        <f>VLOOKUP($A238,'01-02.2021'!$A$6:$CZ$403,28,FALSE)+VLOOKUP($A238,'1.3.21-28.2.22'!$A$6:$DA$404,28,FALSE)-VLOOKUP($A238,'01-02.2022'!$A$6:$DA$376,28,FALSE)</f>
        <v>0</v>
      </c>
      <c r="AC238" s="70">
        <f t="shared" si="247"/>
        <v>-21</v>
      </c>
      <c r="AD238" s="566">
        <f>VLOOKUP($A238,'01-02.2021'!$A$6:$CZ$403,30,FALSE)+VLOOKUP($A238,'1.3.21-28.2.22'!$A$6:$DA$404,30,FALSE)-VLOOKUP($A238,'01-02.2022'!$A$6:$DA$376,30,FALSE)</f>
        <v>168.05902380135387</v>
      </c>
      <c r="AE238" s="566">
        <f>VLOOKUP($A238,'01-02.2021'!$A$6:$CZ$403,31,FALSE)+VLOOKUP($A238,'1.3.21-28.2.22'!$A$6:$DA$404,31,FALSE)-VLOOKUP($A238,'01-02.2022'!$A$6:$DA$376,31,FALSE)</f>
        <v>477.96423068628735</v>
      </c>
      <c r="AF238" s="68">
        <f t="shared" si="248"/>
        <v>309.90520688493348</v>
      </c>
      <c r="AG238" s="77">
        <f t="shared" si="219"/>
        <v>189.05902380135387</v>
      </c>
      <c r="AH238" s="53">
        <f t="shared" si="219"/>
        <v>477.96423068628735</v>
      </c>
      <c r="AI238" s="52">
        <f t="shared" si="224"/>
        <v>288.90520688493348</v>
      </c>
      <c r="AJ238" s="566">
        <f>VLOOKUP($A238,'01-02.2021'!$A$6:$CZ$403,36,FALSE)+VLOOKUP($A238,'1.3.21-28.2.22'!$A$6:$DA$404,36,FALSE)-VLOOKUP($A238,'01-02.2022'!$A$6:$DA$376,36,FALSE)</f>
        <v>0</v>
      </c>
      <c r="AK238" s="566">
        <f>VLOOKUP($A238,'01-02.2021'!$A$6:$CZ$403,37,FALSE)+VLOOKUP($A238,'1.3.21-28.2.22'!$A$6:$DA$404,37,FALSE)-VLOOKUP($A238,'01-02.2022'!$A$6:$DA$376,37,FALSE)</f>
        <v>0</v>
      </c>
      <c r="AL238" s="70">
        <f t="shared" si="249"/>
        <v>0</v>
      </c>
      <c r="AM238" s="566">
        <f>VLOOKUP($A238,'01-02.2021'!$A$6:$CZ$403,39,FALSE)+VLOOKUP($A238,'1.3.21-28.2.22'!$A$6:$DA$404,39,FALSE)-VLOOKUP($A238,'01-02.2022'!$A$6:$DA$376,39,FALSE)</f>
        <v>0</v>
      </c>
      <c r="AN238" s="566">
        <f>VLOOKUP($A238,'01-02.2021'!$A$6:$CZ$403,40,FALSE)+VLOOKUP($A238,'1.3.21-28.2.22'!$A$6:$DA$404,40,FALSE)-VLOOKUP($A238,'01-02.2022'!$A$6:$DA$376,40,FALSE)</f>
        <v>0</v>
      </c>
      <c r="AO238" s="70">
        <f t="shared" si="250"/>
        <v>0</v>
      </c>
      <c r="AP238" s="566">
        <f>VLOOKUP($A238,'01-02.2021'!$A$6:$CZ$403,42,FALSE)+VLOOKUP($A238,'1.3.21-28.2.22'!$A$6:$DA$404,42,FALSE)-VLOOKUP($A238,'01-02.2022'!$A$6:$DA$376,42,FALSE)</f>
        <v>347.03995000851819</v>
      </c>
      <c r="AQ238" s="566">
        <f>VLOOKUP($A238,'01-02.2021'!$A$6:$CZ$403,43,FALSE)+VLOOKUP($A238,'1.3.21-28.2.22'!$A$6:$DA$404,43,FALSE)-VLOOKUP($A238,'01-02.2022'!$A$6:$DA$376,43,FALSE)</f>
        <v>299.52892876216697</v>
      </c>
      <c r="AR238" s="70">
        <f t="shared" si="251"/>
        <v>-47.51102124635122</v>
      </c>
      <c r="AS238" s="566">
        <f>VLOOKUP($A238,'01-02.2021'!$A$6:$CZ$403,45,FALSE)+VLOOKUP($A238,'1.3.21-28.2.22'!$A$6:$DA$404,45,FALSE)-VLOOKUP($A238,'01-02.2022'!$A$6:$DA$376,45,FALSE)</f>
        <v>1276.0991497525242</v>
      </c>
      <c r="AT238" s="566">
        <f>VLOOKUP($A238,'01-02.2021'!$A$6:$CZ$403,46,FALSE)+VLOOKUP($A238,'1.3.21-28.2.22'!$A$6:$DA$404,46,FALSE)-VLOOKUP($A238,'01-02.2022'!$A$6:$DA$376,46,FALSE)</f>
        <v>1379</v>
      </c>
      <c r="AU238" s="78">
        <f t="shared" si="252"/>
        <v>102.90085024747577</v>
      </c>
      <c r="AV238" s="566">
        <f>VLOOKUP($A238,'01-02.2021'!$A$6:$CZ$403,48,FALSE)+VLOOKUP($A238,'1.3.21-28.2.22'!$A$6:$DA$404,48,FALSE)-VLOOKUP($A238,'01-02.2022'!$A$6:$DA$376,48,FALSE)</f>
        <v>0</v>
      </c>
      <c r="AW238" s="566">
        <f>VLOOKUP($A238,'01-02.2021'!$A$6:$CZ$403,49,FALSE)+VLOOKUP($A238,'1.3.21-28.2.22'!$A$6:$DA$404,49,FALSE)-VLOOKUP($A238,'01-02.2022'!$A$6:$DA$376,49,FALSE)</f>
        <v>0</v>
      </c>
      <c r="AX238" s="55">
        <f t="shared" si="253"/>
        <v>0</v>
      </c>
      <c r="AY238" s="566">
        <f>VLOOKUP($A238,'01-02.2021'!$A$6:$CZ$403,51,FALSE)+VLOOKUP($A238,'1.3.21-28.2.22'!$A$6:$DA$404,51,FALSE)-VLOOKUP($A238,'01-02.2022'!$A$6:$DA$376,51,FALSE)</f>
        <v>0</v>
      </c>
      <c r="AZ238" s="566">
        <f>VLOOKUP($A238,'01-02.2021'!$A$6:$CZ$403,52,FALSE)+VLOOKUP($A238,'1.3.21-28.2.22'!$A$6:$DA$404,52,FALSE)-VLOOKUP($A238,'01-02.2022'!$A$6:$DA$376,52,FALSE)</f>
        <v>0</v>
      </c>
      <c r="BA238" s="38">
        <f t="shared" si="254"/>
        <v>0</v>
      </c>
      <c r="BB238" s="566">
        <f>VLOOKUP($A238,'01-02.2021'!$A$6:$CZ$403,54,FALSE)+VLOOKUP($A238,'1.3.21-28.2.22'!$A$6:$DA$404,54,FALSE)-VLOOKUP($A238,'01-02.2022'!$A$6:$DA$376,54,FALSE)</f>
        <v>0</v>
      </c>
      <c r="BC238" s="566">
        <f>VLOOKUP($A238,'01-02.2021'!$A$6:$CZ$403,55,FALSE)+VLOOKUP($A238,'1.3.21-28.2.22'!$A$6:$DA$404,55,FALSE)-VLOOKUP($A238,'01-02.2022'!$A$6:$DA$376,55,FALSE)</f>
        <v>0</v>
      </c>
      <c r="BD238" s="55">
        <f t="shared" si="255"/>
        <v>0</v>
      </c>
      <c r="BE238" s="566">
        <f>VLOOKUP($A238,'01-02.2021'!$A$6:$CZ$403,57,FALSE)+VLOOKUP($A238,'1.3.21-28.2.22'!$A$6:$DA$404,57,FALSE)-VLOOKUP($A238,'01-02.2022'!$A$6:$DA$376,57,FALSE)</f>
        <v>0</v>
      </c>
      <c r="BF238" s="566">
        <f>VLOOKUP($A238,'01-02.2021'!$A$6:$CZ$403,58,FALSE)+VLOOKUP($A238,'1.3.21-28.2.22'!$A$6:$DA$404,58,FALSE)-VLOOKUP($A238,'01-02.2022'!$A$6:$DA$376,58,FALSE)</f>
        <v>0</v>
      </c>
      <c r="BG238" s="55">
        <f t="shared" si="256"/>
        <v>0</v>
      </c>
      <c r="BH238" s="566">
        <f>VLOOKUP($A238,'01-02.2021'!$A$6:$CZ$403,60,FALSE)+VLOOKUP($A238,'1.3.21-28.2.22'!$A$6:$DA$404,60,FALSE)-VLOOKUP($A238,'01-02.2022'!$A$6:$DA$376,60,FALSE)</f>
        <v>0</v>
      </c>
      <c r="BI238" s="566">
        <f>VLOOKUP($A238,'01-02.2021'!$A$6:$CZ$403,61,FALSE)+VLOOKUP($A238,'1.3.21-28.2.22'!$A$6:$DA$404,61,FALSE)-VLOOKUP($A238,'01-02.2022'!$A$6:$DA$376,61,FALSE)</f>
        <v>0</v>
      </c>
      <c r="BJ238" s="55">
        <f t="shared" si="257"/>
        <v>0</v>
      </c>
      <c r="BK238" s="566">
        <f>VLOOKUP($A238,'01-02.2021'!$A$6:$CZ$403,63,FALSE)+VLOOKUP($A238,'1.3.21-28.2.22'!$A$6:$DA$404,63,FALSE)-VLOOKUP($A238,'01-02.2022'!$A$6:$DA$376,63,FALSE)</f>
        <v>0</v>
      </c>
      <c r="BL238" s="566">
        <f>VLOOKUP($A238,'01-02.2021'!$A$6:$CZ$403,64,FALSE)+VLOOKUP($A238,'1.3.21-28.2.22'!$A$6:$DA$404,64,FALSE)-VLOOKUP($A238,'01-02.2022'!$A$6:$DA$376,64,FALSE)</f>
        <v>0</v>
      </c>
      <c r="BM238" s="55">
        <f t="shared" si="258"/>
        <v>0</v>
      </c>
      <c r="BN238" s="566">
        <f>VLOOKUP($A238,'01-02.2021'!$A$6:$CZ$403,66,FALSE)+VLOOKUP($A238,'1.3.21-28.2.22'!$A$6:$DA$404,66,FALSE)-VLOOKUP($A238,'01-02.2022'!$A$6:$DA$376,66,FALSE)</f>
        <v>12.602007714484493</v>
      </c>
      <c r="BO238" s="566">
        <f>VLOOKUP($A238,'01-02.2021'!$A$6:$CZ$403,67,FALSE)+VLOOKUP($A238,'1.3.21-28.2.22'!$A$6:$DA$404,67,FALSE)-VLOOKUP($A238,'01-02.2022'!$A$6:$DA$376,67,FALSE)</f>
        <v>0</v>
      </c>
      <c r="BP238" s="55">
        <f t="shared" si="259"/>
        <v>-12.602007714484493</v>
      </c>
      <c r="BQ238" s="77">
        <f t="shared" si="287"/>
        <v>12.602007714484493</v>
      </c>
      <c r="BR238" s="40">
        <f t="shared" si="289"/>
        <v>0</v>
      </c>
      <c r="BS238" s="55">
        <f t="shared" si="236"/>
        <v>-12.602007714484493</v>
      </c>
      <c r="BT238" s="566">
        <f>VLOOKUP($A238,'01-02.2021'!$A$6:$CZ$403,72,FALSE)+VLOOKUP($A238,'1.3.21-28.2.22'!$A$6:$DA$404,72,FALSE)-VLOOKUP($A238,'01-02.2022'!$A$6:$DA$376,72,FALSE)</f>
        <v>100.49344516762952</v>
      </c>
      <c r="BU238" s="566">
        <f>VLOOKUP($A238,'01-02.2021'!$A$6:$CZ$403,73,FALSE)+VLOOKUP($A238,'1.3.21-28.2.22'!$A$6:$DA$404,73,FALSE)-VLOOKUP($A238,'01-02.2022'!$A$6:$DA$376,73,FALSE)</f>
        <v>155.9639038885237</v>
      </c>
      <c r="BV238" s="70">
        <f t="shared" si="260"/>
        <v>55.470458720894186</v>
      </c>
      <c r="BW238" s="566">
        <f>VLOOKUP($A238,'01-02.2021'!$A$6:$CZ$403,75,FALSE)+VLOOKUP($A238,'1.3.21-28.2.22'!$A$6:$DA$404,75,FALSE)-VLOOKUP($A238,'01-02.2022'!$A$6:$DA$376,75,FALSE)</f>
        <v>0</v>
      </c>
      <c r="BX238" s="566">
        <f>VLOOKUP($A238,'01-02.2021'!$A$6:$CZ$403,76,FALSE)+VLOOKUP($A238,'1.3.21-28.2.22'!$A$6:$DA$404,76,FALSE)-VLOOKUP($A238,'01-02.2022'!$A$6:$DA$376,76,FALSE)</f>
        <v>2.353217012371319</v>
      </c>
      <c r="BY238" s="70">
        <f t="shared" si="261"/>
        <v>2.353217012371319</v>
      </c>
      <c r="BZ238" s="566">
        <f>VLOOKUP($A238,'01-02.2021'!$A$6:$CZ$403,78,FALSE)+VLOOKUP($A238,'1.3.21-28.2.22'!$A$6:$DA$404,78,FALSE)-VLOOKUP($A238,'01-02.2022'!$A$6:$DA$376,78,FALSE)</f>
        <v>0</v>
      </c>
      <c r="CA238" s="566">
        <f>VLOOKUP($A238,'01-02.2021'!$A$6:$CZ$403,79,FALSE)+VLOOKUP($A238,'1.3.21-28.2.22'!$A$6:$DA$404,79,FALSE)-VLOOKUP($A238,'01-02.2022'!$A$6:$DA$376,79,FALSE)</f>
        <v>9.5081862861905435</v>
      </c>
      <c r="CB238" s="70">
        <f t="shared" si="262"/>
        <v>9.5081862861905435</v>
      </c>
      <c r="CC238" s="566">
        <f>VLOOKUP($A238,'01-02.2021'!$A$6:$CZ$403,81,FALSE)+VLOOKUP($A238,'1.3.21-28.2.22'!$A$6:$DA$404,81,FALSE)-VLOOKUP($A238,'01-02.2022'!$A$6:$DA$376,81,FALSE)</f>
        <v>0</v>
      </c>
      <c r="CD238" s="566">
        <f>VLOOKUP($A238,'01-02.2021'!$A$6:$CZ$403,82,FALSE)+VLOOKUP($A238,'1.3.21-28.2.22'!$A$6:$DA$404,82,FALSE)-VLOOKUP($A238,'01-02.2022'!$A$6:$DA$376,82,FALSE)</f>
        <v>0</v>
      </c>
      <c r="CE238" s="70">
        <f t="shared" si="263"/>
        <v>0</v>
      </c>
      <c r="CF238" s="566">
        <f>VLOOKUP($A238,'01-02.2021'!$A$6:$CZ$403,84,FALSE)+VLOOKUP($A238,'1.3.21-28.2.22'!$A$6:$DA$404,84,FALSE)-VLOOKUP($A238,'01-02.2022'!$A$6:$DA$376,84,FALSE)</f>
        <v>0</v>
      </c>
      <c r="CG238" s="566">
        <f>VLOOKUP($A238,'01-02.2021'!$A$6:$CZ$403,85,FALSE)+VLOOKUP($A238,'1.3.21-28.2.22'!$A$6:$DA$404,85,FALSE)-VLOOKUP($A238,'01-02.2022'!$A$6:$DA$376,85,FALSE)</f>
        <v>0</v>
      </c>
      <c r="CH238" s="70">
        <f t="shared" si="264"/>
        <v>0</v>
      </c>
      <c r="CI238" s="566">
        <f>VLOOKUP($A238,'01-02.2021'!$A$6:$CZ$403,87,FALSE)+VLOOKUP($A238,'1.3.21-28.2.22'!$A$6:$DA$404,87,FALSE)-VLOOKUP($A238,'01-02.2022'!$A$6:$DA$376,87,FALSE)</f>
        <v>0</v>
      </c>
      <c r="CJ238" s="566">
        <f>VLOOKUP($A238,'01-02.2021'!$A$6:$CZ$403,88,FALSE)+VLOOKUP($A238,'1.3.21-28.2.22'!$A$6:$DA$404,88,FALSE)-VLOOKUP($A238,'01-02.2022'!$A$6:$DA$376,88,FALSE)</f>
        <v>0</v>
      </c>
      <c r="CK238" s="70">
        <f t="shared" si="265"/>
        <v>0</v>
      </c>
      <c r="CL238" s="566">
        <f>VLOOKUP($A238,'01-02.2021'!$A$6:$CZ$403,90,FALSE)+VLOOKUP($A238,'1.3.21-28.2.22'!$A$6:$DA$404,90,FALSE)-VLOOKUP($A238,'01-02.2022'!$A$6:$DA$376,90,FALSE)</f>
        <v>0</v>
      </c>
      <c r="CM238" s="566">
        <f>VLOOKUP($A238,'01-02.2021'!$A$6:$CZ$403,91,FALSE)+VLOOKUP($A238,'1.3.21-28.2.22'!$A$6:$DA$404,91,FALSE)-VLOOKUP($A238,'01-02.2022'!$A$6:$DA$376,91,FALSE)</f>
        <v>0</v>
      </c>
      <c r="CN238" s="52">
        <f t="shared" si="225"/>
        <v>0</v>
      </c>
      <c r="CO238" s="39">
        <f t="shared" si="220"/>
        <v>0</v>
      </c>
      <c r="CP238" s="40">
        <f t="shared" si="226"/>
        <v>0</v>
      </c>
      <c r="CQ238" s="52">
        <f t="shared" si="227"/>
        <v>0</v>
      </c>
      <c r="CR238" s="72">
        <f t="shared" si="221"/>
        <v>1925.2935764445101</v>
      </c>
      <c r="CS238" s="5">
        <f t="shared" si="221"/>
        <v>2324.3184666355401</v>
      </c>
      <c r="CT238" s="52">
        <f t="shared" si="228"/>
        <v>399.02489019102995</v>
      </c>
      <c r="CU238" s="77">
        <f t="shared" si="229"/>
        <v>2310.3522917334121</v>
      </c>
      <c r="CV238" s="65">
        <f t="shared" si="230"/>
        <v>2789.1821599626478</v>
      </c>
      <c r="CW238" s="35">
        <f t="shared" si="231"/>
        <v>478.82986822923567</v>
      </c>
      <c r="CX238" s="566">
        <f>VLOOKUP($A238,'01-02.2021'!$A$6:$CZ$403,102,FALSE)+VLOOKUP($A238,'1.3.21-28.2.22'!$A$6:$DA$404,102,FALSE)-VLOOKUP($A238,'01-02.2022'!$A$6:$DA$376,102,FALSE)</f>
        <v>65.494417943436105</v>
      </c>
      <c r="CY238" s="566">
        <f>VLOOKUP($A238,'01-02.2021'!$A$6:$CZ$403,103,FALSE)+VLOOKUP($A238,'1.3.21-28.2.22'!$A$6:$DA$404,103,FALSE)-VLOOKUP($A238,'01-02.2022'!$A$6:$DA$376,103,FALSE)</f>
        <v>-413.33545028579874</v>
      </c>
      <c r="CZ238" s="52">
        <f t="shared" si="232"/>
        <v>-478.82986822923488</v>
      </c>
      <c r="DA238" s="150">
        <f>'[2]побудинковий звіт'!DA238</f>
        <v>5563.3190328077026</v>
      </c>
      <c r="DB238" s="2">
        <v>1</v>
      </c>
      <c r="DC238" s="414">
        <f>'[4]побудинковий звіт'!DC238</f>
        <v>296.85000000000002</v>
      </c>
      <c r="DD238" s="414">
        <f>'[4]побудинковий звіт'!DD238</f>
        <v>0</v>
      </c>
      <c r="DE238" s="557">
        <f>'[4]побудинковий звіт'!DE238</f>
        <v>80.835038197960785</v>
      </c>
      <c r="DF238" s="557">
        <f>'[4]побудинковий звіт'!DF238</f>
        <v>0</v>
      </c>
      <c r="DG238" s="321">
        <f>VLOOKUP(A238,'кошти 01.03.2021'!$A$6:$D$401,4,)</f>
        <v>4541.823335836586</v>
      </c>
      <c r="DH238" s="40">
        <f>'[3]побудинковий звіт'!DJ238</f>
        <v>2461.1268886658486</v>
      </c>
      <c r="DI238" s="422">
        <f>'[3]побудинковий звіт'!CU238+'[3]побудинковий звіт'!CX238</f>
        <v>216.01496180203927</v>
      </c>
      <c r="DJ238" s="306">
        <f>'[3]побудинковий звіт'!DM238</f>
        <v>2.0572853504956119</v>
      </c>
      <c r="DK238" s="306">
        <f t="shared" ref="DK238:DK239" si="291">DJ238</f>
        <v>2.0572853504956119</v>
      </c>
      <c r="DL238" s="306">
        <f>'[3]побудинковий звіт'!DO238</f>
        <v>2.0572853504956119</v>
      </c>
      <c r="DM238" s="28">
        <f t="shared" ref="DM238:DM239" si="292">F238*DJ238</f>
        <v>216.01496180203924</v>
      </c>
      <c r="DN238" s="28">
        <f>H238*DL238</f>
        <v>0</v>
      </c>
      <c r="DO238" s="423">
        <f t="shared" si="238"/>
        <v>216.01496180203924</v>
      </c>
      <c r="DP238" s="94">
        <f t="shared" si="239"/>
        <v>0</v>
      </c>
      <c r="DQ238" s="28">
        <f t="shared" si="240"/>
        <v>216.01496180203924</v>
      </c>
      <c r="DR238" s="318"/>
      <c r="DT238" s="8"/>
      <c r="DU238" s="5"/>
      <c r="DX238" s="5">
        <f t="shared" si="241"/>
        <v>1546.4413889604104</v>
      </c>
      <c r="DY238" s="5">
        <f t="shared" si="242"/>
        <v>1654.8</v>
      </c>
      <c r="DZ238" s="159">
        <f>'[3]побудинковий звіт'!EA238</f>
        <v>157.7144690062951</v>
      </c>
    </row>
    <row r="239" spans="1:130" x14ac:dyDescent="0.3">
      <c r="A239" s="325">
        <v>150000944</v>
      </c>
      <c r="B239" s="41" t="s">
        <v>686</v>
      </c>
      <c r="C239" s="42" t="s">
        <v>124</v>
      </c>
      <c r="D239" s="42"/>
      <c r="E239" s="293">
        <f t="shared" si="218"/>
        <v>140.69999999999999</v>
      </c>
      <c r="F239" s="305">
        <f>'[3]побудинковий звіт'!F239</f>
        <v>140.69999999999999</v>
      </c>
      <c r="G239" s="508">
        <f>'[3]побудинковий звіт'!G239</f>
        <v>0</v>
      </c>
      <c r="H239" s="560">
        <f>'[3]побудинковий звіт'!H239</f>
        <v>0</v>
      </c>
      <c r="I239" s="566">
        <f>VLOOKUP($A239,'01-02.2021'!$A$6:$CZ$403,9,FALSE)+VLOOKUP($A239,'1.3.21-28.2.22'!$A$6:$DA$404,9,FALSE)-VLOOKUP($A239,'01-02.2022'!$A$6:$DA$376,9,FALSE)</f>
        <v>0</v>
      </c>
      <c r="J239" s="566">
        <f>VLOOKUP($A239,'01-02.2021'!$A$6:$CZ$403,10,FALSE)+VLOOKUP($A239,'1.3.21-28.2.22'!$A$6:$DA$404,10,FALSE)-VLOOKUP($A239,'01-02.2022'!$A$6:$DA$376,10,FALSE)</f>
        <v>0</v>
      </c>
      <c r="K239" s="52">
        <f t="shared" si="222"/>
        <v>0</v>
      </c>
      <c r="L239" s="566">
        <f>VLOOKUP($A239,'01-02.2021'!$A$6:$CZ$403,12,FALSE)+VLOOKUP($A239,'1.3.21-28.2.22'!$A$6:$DA$404,12,FALSE)-VLOOKUP($A239,'01-02.2022'!$A$6:$DA$376,12,FALSE)</f>
        <v>0</v>
      </c>
      <c r="M239" s="566">
        <f>VLOOKUP($A239,'01-02.2021'!$A$6:$CZ$403,13,FALSE)+VLOOKUP($A239,'1.3.21-28.2.22'!$A$6:$DA$404,13,FALSE)-VLOOKUP($A239,'01-02.2022'!$A$6:$DA$376,13,FALSE)</f>
        <v>0</v>
      </c>
      <c r="N239" s="52">
        <f t="shared" si="223"/>
        <v>0</v>
      </c>
      <c r="O239" s="566">
        <f>VLOOKUP($A239,'01-02.2021'!$A$6:$CZ$403,15,FALSE)+VLOOKUP($A239,'1.3.21-28.2.22'!$A$6:$DA$404,15,FALSE)-VLOOKUP($A239,'01-02.2022'!$A$6:$DA$376,15,FALSE)</f>
        <v>0</v>
      </c>
      <c r="P239" s="566">
        <f>VLOOKUP($A239,'01-02.2021'!$A$6:$CZ$403,16,FALSE)+VLOOKUP($A239,'1.3.21-28.2.22'!$A$6:$DA$404,16,FALSE)-VLOOKUP($A239,'01-02.2022'!$A$6:$DA$376,16,FALSE)</f>
        <v>0</v>
      </c>
      <c r="Q239" s="70">
        <f t="shared" si="243"/>
        <v>0</v>
      </c>
      <c r="R239" s="566">
        <f>VLOOKUP($A239,'01-02.2021'!$A$6:$CZ$403,18,FALSE)+VLOOKUP($A239,'1.3.21-28.2.22'!$A$6:$DA$404,18,FALSE)-VLOOKUP($A239,'01-02.2022'!$A$6:$DA$376,18,FALSE)</f>
        <v>0</v>
      </c>
      <c r="S239" s="566">
        <f>VLOOKUP($A239,'01-02.2021'!$A$6:$CZ$403,19,FALSE)+VLOOKUP($A239,'1.3.21-28.2.22'!$A$6:$DA$404,19,FALSE)-VLOOKUP($A239,'01-02.2022'!$A$6:$DA$376,19,FALSE)</f>
        <v>0</v>
      </c>
      <c r="T239" s="70">
        <f t="shared" si="244"/>
        <v>0</v>
      </c>
      <c r="U239" s="566">
        <f>VLOOKUP($A239,'01-02.2021'!$A$6:$CZ$403,21,FALSE)+VLOOKUP($A239,'1.3.21-28.2.22'!$A$6:$DA$404,21,FALSE)-VLOOKUP($A239,'01-02.2022'!$A$6:$DA$376,21,FALSE)</f>
        <v>0</v>
      </c>
      <c r="V239" s="566">
        <f>VLOOKUP($A239,'01-02.2021'!$A$6:$CZ$403,22,FALSE)+VLOOKUP($A239,'1.3.21-28.2.22'!$A$6:$DA$404,22,FALSE)-VLOOKUP($A239,'01-02.2022'!$A$6:$DA$376,22,FALSE)</f>
        <v>0</v>
      </c>
      <c r="W239" s="70">
        <f t="shared" si="245"/>
        <v>0</v>
      </c>
      <c r="X239" s="566">
        <f>VLOOKUP($A239,'01-02.2021'!$A$6:$CZ$403,24,FALSE)+VLOOKUP($A239,'1.3.21-28.2.22'!$A$6:$DA$404,24,FALSE)-VLOOKUP($A239,'01-02.2022'!$A$6:$DA$376,24,FALSE)</f>
        <v>0</v>
      </c>
      <c r="Y239" s="566">
        <f>VLOOKUP($A239,'01-02.2021'!$A$6:$CZ$403,25,FALSE)+VLOOKUP($A239,'1.3.21-28.2.22'!$A$6:$DA$404,25,FALSE)-VLOOKUP($A239,'01-02.2022'!$A$6:$DA$376,25,FALSE)</f>
        <v>0</v>
      </c>
      <c r="Z239" s="70">
        <f t="shared" si="246"/>
        <v>0</v>
      </c>
      <c r="AA239" s="566">
        <f>VLOOKUP($A239,'01-02.2021'!$A$6:$CZ$403,27,FALSE)+VLOOKUP($A239,'1.3.21-28.2.22'!$A$6:$DA$404,27,FALSE)-VLOOKUP($A239,'01-02.2022'!$A$6:$DA$376,27,FALSE)</f>
        <v>28.139999999999993</v>
      </c>
      <c r="AB239" s="566">
        <f>VLOOKUP($A239,'01-02.2021'!$A$6:$CZ$403,28,FALSE)+VLOOKUP($A239,'1.3.21-28.2.22'!$A$6:$DA$404,28,FALSE)-VLOOKUP($A239,'01-02.2022'!$A$6:$DA$376,28,FALSE)</f>
        <v>0</v>
      </c>
      <c r="AC239" s="70">
        <f t="shared" si="247"/>
        <v>-28.139999999999993</v>
      </c>
      <c r="AD239" s="566">
        <f>VLOOKUP($A239,'01-02.2021'!$A$6:$CZ$403,30,FALSE)+VLOOKUP($A239,'1.3.21-28.2.22'!$A$6:$DA$404,30,FALSE)-VLOOKUP($A239,'01-02.2022'!$A$6:$DA$376,30,FALSE)</f>
        <v>225.25418377851935</v>
      </c>
      <c r="AE239" s="566">
        <f>VLOOKUP($A239,'01-02.2021'!$A$6:$CZ$403,31,FALSE)+VLOOKUP($A239,'1.3.21-28.2.22'!$A$6:$DA$404,31,FALSE)-VLOOKUP($A239,'01-02.2022'!$A$6:$DA$376,31,FALSE)</f>
        <v>640.47206911962519</v>
      </c>
      <c r="AF239" s="68">
        <f t="shared" si="248"/>
        <v>415.21788534110584</v>
      </c>
      <c r="AG239" s="77">
        <f t="shared" si="219"/>
        <v>253.39418377851933</v>
      </c>
      <c r="AH239" s="53">
        <f t="shared" si="219"/>
        <v>640.47206911962519</v>
      </c>
      <c r="AI239" s="52">
        <f t="shared" si="224"/>
        <v>387.07788534110585</v>
      </c>
      <c r="AJ239" s="566">
        <f>VLOOKUP($A239,'01-02.2021'!$A$6:$CZ$403,36,FALSE)+VLOOKUP($A239,'1.3.21-28.2.22'!$A$6:$DA$404,36,FALSE)-VLOOKUP($A239,'01-02.2022'!$A$6:$DA$376,36,FALSE)</f>
        <v>0</v>
      </c>
      <c r="AK239" s="566">
        <f>VLOOKUP($A239,'01-02.2021'!$A$6:$CZ$403,37,FALSE)+VLOOKUP($A239,'1.3.21-28.2.22'!$A$6:$DA$404,37,FALSE)-VLOOKUP($A239,'01-02.2022'!$A$6:$DA$376,37,FALSE)</f>
        <v>0</v>
      </c>
      <c r="AL239" s="70">
        <f t="shared" si="249"/>
        <v>0</v>
      </c>
      <c r="AM239" s="566">
        <f>VLOOKUP($A239,'01-02.2021'!$A$6:$CZ$403,39,FALSE)+VLOOKUP($A239,'1.3.21-28.2.22'!$A$6:$DA$404,39,FALSE)-VLOOKUP($A239,'01-02.2022'!$A$6:$DA$376,39,FALSE)</f>
        <v>0</v>
      </c>
      <c r="AN239" s="566">
        <f>VLOOKUP($A239,'01-02.2021'!$A$6:$CZ$403,40,FALSE)+VLOOKUP($A239,'1.3.21-28.2.22'!$A$6:$DA$404,40,FALSE)-VLOOKUP($A239,'01-02.2022'!$A$6:$DA$376,40,FALSE)</f>
        <v>0</v>
      </c>
      <c r="AO239" s="70">
        <f t="shared" si="250"/>
        <v>0</v>
      </c>
      <c r="AP239" s="566">
        <f>VLOOKUP($A239,'01-02.2021'!$A$6:$CZ$403,42,FALSE)+VLOOKUP($A239,'1.3.21-28.2.22'!$A$6:$DA$404,42,FALSE)-VLOOKUP($A239,'01-02.2022'!$A$6:$DA$376,42,FALSE)</f>
        <v>347.03995000851819</v>
      </c>
      <c r="AQ239" s="566">
        <f>VLOOKUP($A239,'01-02.2021'!$A$6:$CZ$403,43,FALSE)+VLOOKUP($A239,'1.3.21-28.2.22'!$A$6:$DA$404,43,FALSE)-VLOOKUP($A239,'01-02.2022'!$A$6:$DA$376,43,FALSE)</f>
        <v>299.52892876216697</v>
      </c>
      <c r="AR239" s="70">
        <f t="shared" si="251"/>
        <v>-47.51102124635122</v>
      </c>
      <c r="AS239" s="566">
        <f>VLOOKUP($A239,'01-02.2021'!$A$6:$CZ$403,45,FALSE)+VLOOKUP($A239,'1.3.21-28.2.22'!$A$6:$DA$404,45,FALSE)-VLOOKUP($A239,'01-02.2022'!$A$6:$DA$376,45,FALSE)</f>
        <v>1658.7108665353344</v>
      </c>
      <c r="AT239" s="566">
        <f>VLOOKUP($A239,'01-02.2021'!$A$6:$CZ$403,46,FALSE)+VLOOKUP($A239,'1.3.21-28.2.22'!$A$6:$DA$404,46,FALSE)-VLOOKUP($A239,'01-02.2022'!$A$6:$DA$376,46,FALSE)</f>
        <v>1379</v>
      </c>
      <c r="AU239" s="78">
        <f t="shared" si="252"/>
        <v>-279.71086653533439</v>
      </c>
      <c r="AV239" s="566">
        <f>VLOOKUP($A239,'01-02.2021'!$A$6:$CZ$403,48,FALSE)+VLOOKUP($A239,'1.3.21-28.2.22'!$A$6:$DA$404,48,FALSE)-VLOOKUP($A239,'01-02.2022'!$A$6:$DA$376,48,FALSE)</f>
        <v>0</v>
      </c>
      <c r="AW239" s="566">
        <f>VLOOKUP($A239,'01-02.2021'!$A$6:$CZ$403,49,FALSE)+VLOOKUP($A239,'1.3.21-28.2.22'!$A$6:$DA$404,49,FALSE)-VLOOKUP($A239,'01-02.2022'!$A$6:$DA$376,49,FALSE)</f>
        <v>0</v>
      </c>
      <c r="AX239" s="55">
        <f t="shared" si="253"/>
        <v>0</v>
      </c>
      <c r="AY239" s="566">
        <f>VLOOKUP($A239,'01-02.2021'!$A$6:$CZ$403,51,FALSE)+VLOOKUP($A239,'1.3.21-28.2.22'!$A$6:$DA$404,51,FALSE)-VLOOKUP($A239,'01-02.2022'!$A$6:$DA$376,51,FALSE)</f>
        <v>0</v>
      </c>
      <c r="AZ239" s="566">
        <f>VLOOKUP($A239,'01-02.2021'!$A$6:$CZ$403,52,FALSE)+VLOOKUP($A239,'1.3.21-28.2.22'!$A$6:$DA$404,52,FALSE)-VLOOKUP($A239,'01-02.2022'!$A$6:$DA$376,52,FALSE)</f>
        <v>0</v>
      </c>
      <c r="BA239" s="38">
        <f t="shared" si="254"/>
        <v>0</v>
      </c>
      <c r="BB239" s="566">
        <f>VLOOKUP($A239,'01-02.2021'!$A$6:$CZ$403,54,FALSE)+VLOOKUP($A239,'1.3.21-28.2.22'!$A$6:$DA$404,54,FALSE)-VLOOKUP($A239,'01-02.2022'!$A$6:$DA$376,54,FALSE)</f>
        <v>0</v>
      </c>
      <c r="BC239" s="566">
        <f>VLOOKUP($A239,'01-02.2021'!$A$6:$CZ$403,55,FALSE)+VLOOKUP($A239,'1.3.21-28.2.22'!$A$6:$DA$404,55,FALSE)-VLOOKUP($A239,'01-02.2022'!$A$6:$DA$376,55,FALSE)</f>
        <v>0</v>
      </c>
      <c r="BD239" s="55">
        <f t="shared" si="255"/>
        <v>0</v>
      </c>
      <c r="BE239" s="566">
        <f>VLOOKUP($A239,'01-02.2021'!$A$6:$CZ$403,57,FALSE)+VLOOKUP($A239,'1.3.21-28.2.22'!$A$6:$DA$404,57,FALSE)-VLOOKUP($A239,'01-02.2022'!$A$6:$DA$376,57,FALSE)</f>
        <v>0</v>
      </c>
      <c r="BF239" s="566">
        <f>VLOOKUP($A239,'01-02.2021'!$A$6:$CZ$403,58,FALSE)+VLOOKUP($A239,'1.3.21-28.2.22'!$A$6:$DA$404,58,FALSE)-VLOOKUP($A239,'01-02.2022'!$A$6:$DA$376,58,FALSE)</f>
        <v>0</v>
      </c>
      <c r="BG239" s="55">
        <f t="shared" si="256"/>
        <v>0</v>
      </c>
      <c r="BH239" s="566">
        <f>VLOOKUP($A239,'01-02.2021'!$A$6:$CZ$403,60,FALSE)+VLOOKUP($A239,'1.3.21-28.2.22'!$A$6:$DA$404,60,FALSE)-VLOOKUP($A239,'01-02.2022'!$A$6:$DA$376,60,FALSE)</f>
        <v>0</v>
      </c>
      <c r="BI239" s="566">
        <f>VLOOKUP($A239,'01-02.2021'!$A$6:$CZ$403,61,FALSE)+VLOOKUP($A239,'1.3.21-28.2.22'!$A$6:$DA$404,61,FALSE)-VLOOKUP($A239,'01-02.2022'!$A$6:$DA$376,61,FALSE)</f>
        <v>0</v>
      </c>
      <c r="BJ239" s="55">
        <f t="shared" si="257"/>
        <v>0</v>
      </c>
      <c r="BK239" s="566">
        <f>VLOOKUP($A239,'01-02.2021'!$A$6:$CZ$403,63,FALSE)+VLOOKUP($A239,'1.3.21-28.2.22'!$A$6:$DA$404,63,FALSE)-VLOOKUP($A239,'01-02.2022'!$A$6:$DA$376,63,FALSE)</f>
        <v>0</v>
      </c>
      <c r="BL239" s="566">
        <f>VLOOKUP($A239,'01-02.2021'!$A$6:$CZ$403,64,FALSE)+VLOOKUP($A239,'1.3.21-28.2.22'!$A$6:$DA$404,64,FALSE)-VLOOKUP($A239,'01-02.2022'!$A$6:$DA$376,64,FALSE)</f>
        <v>0</v>
      </c>
      <c r="BM239" s="55">
        <f t="shared" si="258"/>
        <v>0</v>
      </c>
      <c r="BN239" s="566">
        <f>VLOOKUP($A239,'01-02.2021'!$A$6:$CZ$403,66,FALSE)+VLOOKUP($A239,'1.3.21-28.2.22'!$A$6:$DA$404,66,FALSE)-VLOOKUP($A239,'01-02.2022'!$A$6:$DA$376,66,FALSE)</f>
        <v>17.354360783744667</v>
      </c>
      <c r="BO239" s="566">
        <f>VLOOKUP($A239,'01-02.2021'!$A$6:$CZ$403,67,FALSE)+VLOOKUP($A239,'1.3.21-28.2.22'!$A$6:$DA$404,67,FALSE)-VLOOKUP($A239,'01-02.2022'!$A$6:$DA$376,67,FALSE)</f>
        <v>0</v>
      </c>
      <c r="BP239" s="55">
        <f t="shared" si="259"/>
        <v>-17.354360783744667</v>
      </c>
      <c r="BQ239" s="77">
        <f t="shared" si="287"/>
        <v>17.354360783744667</v>
      </c>
      <c r="BR239" s="40">
        <f t="shared" si="289"/>
        <v>0</v>
      </c>
      <c r="BS239" s="55">
        <f t="shared" si="236"/>
        <v>-17.354360783744667</v>
      </c>
      <c r="BT239" s="566">
        <f>VLOOKUP($A239,'01-02.2021'!$A$6:$CZ$403,72,FALSE)+VLOOKUP($A239,'1.3.21-28.2.22'!$A$6:$DA$404,72,FALSE)-VLOOKUP($A239,'01-02.2022'!$A$6:$DA$376,72,FALSE)</f>
        <v>614.12660935773624</v>
      </c>
      <c r="BU239" s="566">
        <f>VLOOKUP($A239,'01-02.2021'!$A$6:$CZ$403,73,FALSE)+VLOOKUP($A239,'1.3.21-28.2.22'!$A$6:$DA$404,73,FALSE)-VLOOKUP($A239,'01-02.2022'!$A$6:$DA$376,73,FALSE)</f>
        <v>952.81305598763527</v>
      </c>
      <c r="BV239" s="70">
        <f t="shared" si="260"/>
        <v>338.68644662989902</v>
      </c>
      <c r="BW239" s="566">
        <f>VLOOKUP($A239,'01-02.2021'!$A$6:$CZ$403,75,FALSE)+VLOOKUP($A239,'1.3.21-28.2.22'!$A$6:$DA$404,75,FALSE)-VLOOKUP($A239,'01-02.2022'!$A$6:$DA$376,75,FALSE)</f>
        <v>0</v>
      </c>
      <c r="BX239" s="566">
        <f>VLOOKUP($A239,'01-02.2021'!$A$6:$CZ$403,76,FALSE)+VLOOKUP($A239,'1.3.21-28.2.22'!$A$6:$DA$404,76,FALSE)-VLOOKUP($A239,'01-02.2022'!$A$6:$DA$376,76,FALSE)</f>
        <v>3.1533107965775677</v>
      </c>
      <c r="BY239" s="70">
        <f t="shared" si="261"/>
        <v>3.1533107965775677</v>
      </c>
      <c r="BZ239" s="566">
        <f>VLOOKUP($A239,'01-02.2021'!$A$6:$CZ$403,78,FALSE)+VLOOKUP($A239,'1.3.21-28.2.22'!$A$6:$DA$404,78,FALSE)-VLOOKUP($A239,'01-02.2022'!$A$6:$DA$376,78,FALSE)</f>
        <v>0</v>
      </c>
      <c r="CA239" s="566">
        <f>VLOOKUP($A239,'01-02.2021'!$A$6:$CZ$403,79,FALSE)+VLOOKUP($A239,'1.3.21-28.2.22'!$A$6:$DA$404,79,FALSE)-VLOOKUP($A239,'01-02.2022'!$A$6:$DA$376,79,FALSE)</f>
        <v>58.099062404210599</v>
      </c>
      <c r="CB239" s="70">
        <f t="shared" si="262"/>
        <v>58.099062404210599</v>
      </c>
      <c r="CC239" s="566">
        <f>VLOOKUP($A239,'01-02.2021'!$A$6:$CZ$403,81,FALSE)+VLOOKUP($A239,'1.3.21-28.2.22'!$A$6:$DA$404,81,FALSE)-VLOOKUP($A239,'01-02.2022'!$A$6:$DA$376,81,FALSE)</f>
        <v>0</v>
      </c>
      <c r="CD239" s="566">
        <f>VLOOKUP($A239,'01-02.2021'!$A$6:$CZ$403,82,FALSE)+VLOOKUP($A239,'1.3.21-28.2.22'!$A$6:$DA$404,82,FALSE)-VLOOKUP($A239,'01-02.2022'!$A$6:$DA$376,82,FALSE)</f>
        <v>0</v>
      </c>
      <c r="CE239" s="70">
        <f t="shared" si="263"/>
        <v>0</v>
      </c>
      <c r="CF239" s="566">
        <f>VLOOKUP($A239,'01-02.2021'!$A$6:$CZ$403,84,FALSE)+VLOOKUP($A239,'1.3.21-28.2.22'!$A$6:$DA$404,84,FALSE)-VLOOKUP($A239,'01-02.2022'!$A$6:$DA$376,84,FALSE)</f>
        <v>0</v>
      </c>
      <c r="CG239" s="566">
        <f>VLOOKUP($A239,'01-02.2021'!$A$6:$CZ$403,85,FALSE)+VLOOKUP($A239,'1.3.21-28.2.22'!$A$6:$DA$404,85,FALSE)-VLOOKUP($A239,'01-02.2022'!$A$6:$DA$376,85,FALSE)</f>
        <v>0</v>
      </c>
      <c r="CH239" s="70">
        <f t="shared" si="264"/>
        <v>0</v>
      </c>
      <c r="CI239" s="566">
        <f>VLOOKUP($A239,'01-02.2021'!$A$6:$CZ$403,87,FALSE)+VLOOKUP($A239,'1.3.21-28.2.22'!$A$6:$DA$404,87,FALSE)-VLOOKUP($A239,'01-02.2022'!$A$6:$DA$376,87,FALSE)</f>
        <v>0</v>
      </c>
      <c r="CJ239" s="566">
        <f>VLOOKUP($A239,'01-02.2021'!$A$6:$CZ$403,88,FALSE)+VLOOKUP($A239,'1.3.21-28.2.22'!$A$6:$DA$404,88,FALSE)-VLOOKUP($A239,'01-02.2022'!$A$6:$DA$376,88,FALSE)</f>
        <v>0</v>
      </c>
      <c r="CK239" s="70">
        <f t="shared" si="265"/>
        <v>0</v>
      </c>
      <c r="CL239" s="566">
        <f>VLOOKUP($A239,'01-02.2021'!$A$6:$CZ$403,90,FALSE)+VLOOKUP($A239,'1.3.21-28.2.22'!$A$6:$DA$404,90,FALSE)-VLOOKUP($A239,'01-02.2022'!$A$6:$DA$376,90,FALSE)</f>
        <v>0</v>
      </c>
      <c r="CM239" s="566">
        <f>VLOOKUP($A239,'01-02.2021'!$A$6:$CZ$403,91,FALSE)+VLOOKUP($A239,'1.3.21-28.2.22'!$A$6:$DA$404,91,FALSE)-VLOOKUP($A239,'01-02.2022'!$A$6:$DA$376,91,FALSE)</f>
        <v>0</v>
      </c>
      <c r="CN239" s="52">
        <f t="shared" si="225"/>
        <v>0</v>
      </c>
      <c r="CO239" s="39">
        <f t="shared" si="220"/>
        <v>0</v>
      </c>
      <c r="CP239" s="40">
        <f t="shared" si="226"/>
        <v>0</v>
      </c>
      <c r="CQ239" s="52">
        <f t="shared" si="227"/>
        <v>0</v>
      </c>
      <c r="CR239" s="72">
        <f t="shared" si="221"/>
        <v>2890.6259704638524</v>
      </c>
      <c r="CS239" s="5">
        <f t="shared" si="221"/>
        <v>3333.0664270702155</v>
      </c>
      <c r="CT239" s="52">
        <f t="shared" si="228"/>
        <v>442.44045660636311</v>
      </c>
      <c r="CU239" s="77">
        <f t="shared" si="229"/>
        <v>3468.7511645566228</v>
      </c>
      <c r="CV239" s="65">
        <f t="shared" si="230"/>
        <v>3999.6797124842583</v>
      </c>
      <c r="CW239" s="35">
        <f t="shared" si="231"/>
        <v>530.92854792763546</v>
      </c>
      <c r="CX239" s="566">
        <f>VLOOKUP($A239,'01-02.2021'!$A$6:$CZ$403,102,FALSE)+VLOOKUP($A239,'1.3.21-28.2.22'!$A$6:$DA$404,102,FALSE)-VLOOKUP($A239,'01-02.2022'!$A$6:$DA$376,102,FALSE)</f>
        <v>98.471396677210251</v>
      </c>
      <c r="CY239" s="566">
        <f>VLOOKUP($A239,'01-02.2021'!$A$6:$CZ$403,103,FALSE)+VLOOKUP($A239,'1.3.21-28.2.22'!$A$6:$DA$404,103,FALSE)-VLOOKUP($A239,'01-02.2022'!$A$6:$DA$376,103,FALSE)</f>
        <v>-432.45715125042352</v>
      </c>
      <c r="CZ239" s="52">
        <f t="shared" si="232"/>
        <v>-530.92854792763376</v>
      </c>
      <c r="DA239" s="150">
        <f>'[2]побудинковий звіт'!DA239</f>
        <v>12939.790524720403</v>
      </c>
      <c r="DB239" s="2">
        <v>1</v>
      </c>
      <c r="DC239" s="414">
        <f>'[4]побудинковий звіт'!DC239</f>
        <v>261.26</v>
      </c>
      <c r="DD239" s="414">
        <f>'[4]побудинковий звіт'!DD239</f>
        <v>0</v>
      </c>
      <c r="DE239" s="557">
        <f>'[4]побудинковий звіт'!DE239</f>
        <v>-62.529734141856181</v>
      </c>
      <c r="DF239" s="557">
        <f>'[4]побудинковий звіт'!DF239</f>
        <v>0</v>
      </c>
      <c r="DG239" s="321">
        <f>VLOOKUP(A239,'кошти 01.03.2021'!$A$6:$D$401,4,)</f>
        <v>11496.569434053668</v>
      </c>
      <c r="DH239" s="40">
        <f>'[3]побудинковий звіт'!DJ239</f>
        <v>3692.6374587181872</v>
      </c>
      <c r="DI239" s="422">
        <f>'[3]побудинковий звіт'!CU239+'[3]побудинковий звіт'!CX239</f>
        <v>323.78973414185617</v>
      </c>
      <c r="DJ239" s="306">
        <f>'[3]побудинковий звіт'!DM239</f>
        <v>2.301277428158182</v>
      </c>
      <c r="DK239" s="306">
        <f t="shared" si="291"/>
        <v>2.301277428158182</v>
      </c>
      <c r="DL239" s="306">
        <f>'[3]побудинковий звіт'!DO239</f>
        <v>2.301277428158182</v>
      </c>
      <c r="DM239" s="28">
        <f t="shared" si="292"/>
        <v>323.78973414185617</v>
      </c>
      <c r="DN239" s="28">
        <f>H239*DL239</f>
        <v>0</v>
      </c>
      <c r="DO239" s="423">
        <f t="shared" si="238"/>
        <v>323.78973414185617</v>
      </c>
      <c r="DP239" s="94">
        <f t="shared" si="239"/>
        <v>0</v>
      </c>
      <c r="DQ239" s="28">
        <f t="shared" si="240"/>
        <v>323.78973414185617</v>
      </c>
      <c r="DR239" s="318"/>
      <c r="DT239" s="8"/>
      <c r="DU239" s="5"/>
      <c r="DX239" s="5">
        <f t="shared" si="241"/>
        <v>2011.2782727828946</v>
      </c>
      <c r="DY239" s="5">
        <f t="shared" si="242"/>
        <v>1654.8</v>
      </c>
      <c r="DZ239" s="159">
        <f>'[3]побудинковий звіт'!EA239</f>
        <v>175.84511114495359</v>
      </c>
    </row>
    <row r="240" spans="1:130" x14ac:dyDescent="0.3">
      <c r="A240" s="325">
        <v>150000945</v>
      </c>
      <c r="B240" s="41" t="s">
        <v>687</v>
      </c>
      <c r="C240" s="42" t="s">
        <v>422</v>
      </c>
      <c r="D240" s="42"/>
      <c r="E240" s="293">
        <f t="shared" si="218"/>
        <v>6742.76</v>
      </c>
      <c r="F240" s="305">
        <f>'[3]побудинковий звіт'!F240</f>
        <v>6677.85</v>
      </c>
      <c r="G240" s="508">
        <f>'[3]побудинковий звіт'!G240</f>
        <v>613.75</v>
      </c>
      <c r="H240" s="560">
        <f>'[3]побудинковий звіт'!H240</f>
        <v>64.91</v>
      </c>
      <c r="I240" s="566">
        <f>VLOOKUP($A240,'01-02.2021'!$A$6:$CZ$403,9,FALSE)+VLOOKUP($A240,'1.3.21-28.2.22'!$A$6:$DA$404,9,FALSE)-VLOOKUP($A240,'01-02.2022'!$A$6:$DA$376,9,FALSE)</f>
        <v>23820.211291998185</v>
      </c>
      <c r="J240" s="566">
        <f>VLOOKUP($A240,'01-02.2021'!$A$6:$CZ$403,10,FALSE)+VLOOKUP($A240,'1.3.21-28.2.22'!$A$6:$DA$404,10,FALSE)-VLOOKUP($A240,'01-02.2022'!$A$6:$DA$376,10,FALSE)</f>
        <v>21081.097128342466</v>
      </c>
      <c r="K240" s="52">
        <f t="shared" si="222"/>
        <v>-2739.1141636557186</v>
      </c>
      <c r="L240" s="566">
        <f>VLOOKUP($A240,'01-02.2021'!$A$6:$CZ$403,12,FALSE)+VLOOKUP($A240,'1.3.21-28.2.22'!$A$6:$DA$404,12,FALSE)-VLOOKUP($A240,'01-02.2022'!$A$6:$DA$376,12,FALSE)</f>
        <v>3796.0912121644324</v>
      </c>
      <c r="M240" s="566">
        <f>VLOOKUP($A240,'01-02.2021'!$A$6:$CZ$403,13,FALSE)+VLOOKUP($A240,'1.3.21-28.2.22'!$A$6:$DA$404,13,FALSE)-VLOOKUP($A240,'01-02.2022'!$A$6:$DA$376,13,FALSE)</f>
        <v>3431.3627315160984</v>
      </c>
      <c r="N240" s="52">
        <f t="shared" si="223"/>
        <v>-364.72848064833397</v>
      </c>
      <c r="O240" s="566">
        <f>VLOOKUP($A240,'01-02.2021'!$A$6:$CZ$403,15,FALSE)+VLOOKUP($A240,'1.3.21-28.2.22'!$A$6:$DA$404,15,FALSE)-VLOOKUP($A240,'01-02.2022'!$A$6:$DA$376,15,FALSE)</f>
        <v>8890.4300864276101</v>
      </c>
      <c r="P240" s="566">
        <f>VLOOKUP($A240,'01-02.2021'!$A$6:$CZ$403,16,FALSE)+VLOOKUP($A240,'1.3.21-28.2.22'!$A$6:$DA$404,16,FALSE)-VLOOKUP($A240,'01-02.2022'!$A$6:$DA$376,16,FALSE)</f>
        <v>8890.44</v>
      </c>
      <c r="Q240" s="70">
        <f t="shared" si="243"/>
        <v>9.9135723903600592E-3</v>
      </c>
      <c r="R240" s="566">
        <f>VLOOKUP($A240,'01-02.2021'!$A$6:$CZ$403,18,FALSE)+VLOOKUP($A240,'1.3.21-28.2.22'!$A$6:$DA$404,18,FALSE)-VLOOKUP($A240,'01-02.2022'!$A$6:$DA$376,18,FALSE)</f>
        <v>1933.895696582033</v>
      </c>
      <c r="S240" s="566">
        <f>VLOOKUP($A240,'01-02.2021'!$A$6:$CZ$403,19,FALSE)+VLOOKUP($A240,'1.3.21-28.2.22'!$A$6:$DA$404,19,FALSE)-VLOOKUP($A240,'01-02.2022'!$A$6:$DA$376,19,FALSE)</f>
        <v>1933.87</v>
      </c>
      <c r="T240" s="70">
        <f t="shared" si="244"/>
        <v>-2.5696582033106097E-2</v>
      </c>
      <c r="U240" s="566">
        <f>VLOOKUP($A240,'01-02.2021'!$A$6:$CZ$403,21,FALSE)+VLOOKUP($A240,'1.3.21-28.2.22'!$A$6:$DA$404,21,FALSE)-VLOOKUP($A240,'01-02.2022'!$A$6:$DA$376,21,FALSE)</f>
        <v>1075.9180300625719</v>
      </c>
      <c r="V240" s="566">
        <f>VLOOKUP($A240,'01-02.2021'!$A$6:$CZ$403,22,FALSE)+VLOOKUP($A240,'1.3.21-28.2.22'!$A$6:$DA$404,22,FALSE)-VLOOKUP($A240,'01-02.2022'!$A$6:$DA$376,22,FALSE)</f>
        <v>717.85507481526531</v>
      </c>
      <c r="W240" s="70">
        <f t="shared" si="245"/>
        <v>-358.0629552473066</v>
      </c>
      <c r="X240" s="566">
        <f>VLOOKUP($A240,'01-02.2021'!$A$6:$CZ$403,24,FALSE)+VLOOKUP($A240,'1.3.21-28.2.22'!$A$6:$DA$404,24,FALSE)-VLOOKUP($A240,'01-02.2022'!$A$6:$DA$376,24,FALSE)</f>
        <v>9734.860355149367</v>
      </c>
      <c r="Y240" s="566">
        <f>VLOOKUP($A240,'01-02.2021'!$A$6:$CZ$403,25,FALSE)+VLOOKUP($A240,'1.3.21-28.2.22'!$A$6:$DA$404,25,FALSE)-VLOOKUP($A240,'01-02.2022'!$A$6:$DA$376,25,FALSE)</f>
        <v>8099.3053239890742</v>
      </c>
      <c r="Z240" s="70">
        <f t="shared" si="246"/>
        <v>-1635.5550311602929</v>
      </c>
      <c r="AA240" s="566">
        <f>VLOOKUP($A240,'01-02.2021'!$A$6:$CZ$403,27,FALSE)+VLOOKUP($A240,'1.3.21-28.2.22'!$A$6:$DA$404,27,FALSE)-VLOOKUP($A240,'01-02.2022'!$A$6:$DA$376,27,FALSE)</f>
        <v>1348.7020000000002</v>
      </c>
      <c r="AB240" s="566">
        <f>VLOOKUP($A240,'01-02.2021'!$A$6:$CZ$403,28,FALSE)+VLOOKUP($A240,'1.3.21-28.2.22'!$A$6:$DA$404,28,FALSE)-VLOOKUP($A240,'01-02.2022'!$A$6:$DA$376,28,FALSE)</f>
        <v>0</v>
      </c>
      <c r="AC240" s="70">
        <f t="shared" si="247"/>
        <v>-1348.7020000000002</v>
      </c>
      <c r="AD240" s="566">
        <f>VLOOKUP($A240,'01-02.2021'!$A$6:$CZ$403,30,FALSE)+VLOOKUP($A240,'1.3.21-28.2.22'!$A$6:$DA$404,30,FALSE)-VLOOKUP($A240,'01-02.2022'!$A$6:$DA$376,30,FALSE)</f>
        <v>28956.945138094132</v>
      </c>
      <c r="AE240" s="566">
        <f>VLOOKUP($A240,'01-02.2021'!$A$6:$CZ$403,31,FALSE)+VLOOKUP($A240,'1.3.21-28.2.22'!$A$6:$DA$404,31,FALSE)-VLOOKUP($A240,'01-02.2022'!$A$6:$DA$376,31,FALSE)</f>
        <v>30695.070921840997</v>
      </c>
      <c r="AF240" s="68">
        <f t="shared" si="248"/>
        <v>1738.1257837468656</v>
      </c>
      <c r="AG240" s="77">
        <f t="shared" si="219"/>
        <v>79557.053810478334</v>
      </c>
      <c r="AH240" s="53">
        <f t="shared" si="219"/>
        <v>74849.001180503896</v>
      </c>
      <c r="AI240" s="52">
        <f t="shared" si="224"/>
        <v>-4708.0526299744379</v>
      </c>
      <c r="AJ240" s="566">
        <f>VLOOKUP($A240,'01-02.2021'!$A$6:$CZ$403,36,FALSE)+VLOOKUP($A240,'1.3.21-28.2.22'!$A$6:$DA$404,36,FALSE)-VLOOKUP($A240,'01-02.2022'!$A$6:$DA$376,36,FALSE)</f>
        <v>34898.093983168365</v>
      </c>
      <c r="AK240" s="566">
        <f>VLOOKUP($A240,'01-02.2021'!$A$6:$CZ$403,37,FALSE)+VLOOKUP($A240,'1.3.21-28.2.22'!$A$6:$DA$404,37,FALSE)-VLOOKUP($A240,'01-02.2022'!$A$6:$DA$376,37,FALSE)</f>
        <v>34669.25101173365</v>
      </c>
      <c r="AL240" s="70">
        <f t="shared" si="249"/>
        <v>-228.84297143471485</v>
      </c>
      <c r="AM240" s="566">
        <f>VLOOKUP($A240,'01-02.2021'!$A$6:$CZ$403,39,FALSE)+VLOOKUP($A240,'1.3.21-28.2.22'!$A$6:$DA$404,39,FALSE)-VLOOKUP($A240,'01-02.2022'!$A$6:$DA$376,39,FALSE)</f>
        <v>4338.3629155241297</v>
      </c>
      <c r="AN240" s="566">
        <f>VLOOKUP($A240,'01-02.2021'!$A$6:$CZ$403,40,FALSE)+VLOOKUP($A240,'1.3.21-28.2.22'!$A$6:$DA$404,40,FALSE)-VLOOKUP($A240,'01-02.2022'!$A$6:$DA$376,40,FALSE)</f>
        <v>1305.4629026675259</v>
      </c>
      <c r="AO240" s="70">
        <f t="shared" si="250"/>
        <v>-3032.900012856604</v>
      </c>
      <c r="AP240" s="566">
        <f>VLOOKUP($A240,'01-02.2021'!$A$6:$CZ$403,42,FALSE)+VLOOKUP($A240,'1.3.21-28.2.22'!$A$6:$DA$404,42,FALSE)-VLOOKUP($A240,'01-02.2022'!$A$6:$DA$376,42,FALSE)</f>
        <v>4988.699281372451</v>
      </c>
      <c r="AQ240" s="566">
        <f>VLOOKUP($A240,'01-02.2021'!$A$6:$CZ$403,43,FALSE)+VLOOKUP($A240,'1.3.21-28.2.22'!$A$6:$DA$404,43,FALSE)-VLOOKUP($A240,'01-02.2022'!$A$6:$DA$376,43,FALSE)</f>
        <v>4417.9688800916356</v>
      </c>
      <c r="AR240" s="70">
        <f t="shared" si="251"/>
        <v>-570.73040128081539</v>
      </c>
      <c r="AS240" s="566">
        <f>VLOOKUP($A240,'01-02.2021'!$A$6:$CZ$403,45,FALSE)+VLOOKUP($A240,'1.3.21-28.2.22'!$A$6:$DA$404,45,FALSE)-VLOOKUP($A240,'01-02.2022'!$A$6:$DA$376,45,FALSE)</f>
        <v>78492.303709901142</v>
      </c>
      <c r="AT240" s="566">
        <f>VLOOKUP($A240,'01-02.2021'!$A$6:$CZ$403,46,FALSE)+VLOOKUP($A240,'1.3.21-28.2.22'!$A$6:$DA$404,46,FALSE)-VLOOKUP($A240,'01-02.2022'!$A$6:$DA$376,46,FALSE)</f>
        <v>69337.58</v>
      </c>
      <c r="AU240" s="78">
        <f t="shared" si="252"/>
        <v>-9154.72370990114</v>
      </c>
      <c r="AV240" s="566">
        <f>VLOOKUP($A240,'01-02.2021'!$A$6:$CZ$403,48,FALSE)+VLOOKUP($A240,'1.3.21-28.2.22'!$A$6:$DA$404,48,FALSE)-VLOOKUP($A240,'01-02.2022'!$A$6:$DA$376,48,FALSE)</f>
        <v>5022.6732740421039</v>
      </c>
      <c r="AW240" s="566">
        <f>VLOOKUP($A240,'01-02.2021'!$A$6:$CZ$403,49,FALSE)+VLOOKUP($A240,'1.3.21-28.2.22'!$A$6:$DA$404,49,FALSE)-VLOOKUP($A240,'01-02.2022'!$A$6:$DA$376,49,FALSE)</f>
        <v>2703.76</v>
      </c>
      <c r="AX240" s="55">
        <f t="shared" si="253"/>
        <v>-2318.9132740421037</v>
      </c>
      <c r="AY240" s="566">
        <f>VLOOKUP($A240,'01-02.2021'!$A$6:$CZ$403,51,FALSE)+VLOOKUP($A240,'1.3.21-28.2.22'!$A$6:$DA$404,51,FALSE)-VLOOKUP($A240,'01-02.2022'!$A$6:$DA$376,51,FALSE)</f>
        <v>5449.3592525721524</v>
      </c>
      <c r="AZ240" s="566">
        <f>VLOOKUP($A240,'01-02.2021'!$A$6:$CZ$403,52,FALSE)+VLOOKUP($A240,'1.3.21-28.2.22'!$A$6:$DA$404,52,FALSE)-VLOOKUP($A240,'01-02.2022'!$A$6:$DA$376,52,FALSE)</f>
        <v>4896</v>
      </c>
      <c r="BA240" s="38">
        <f t="shared" si="254"/>
        <v>-553.3592525721524</v>
      </c>
      <c r="BB240" s="566">
        <f>VLOOKUP($A240,'01-02.2021'!$A$6:$CZ$403,54,FALSE)+VLOOKUP($A240,'1.3.21-28.2.22'!$A$6:$DA$404,54,FALSE)-VLOOKUP($A240,'01-02.2022'!$A$6:$DA$376,54,FALSE)</f>
        <v>2894.9674669717897</v>
      </c>
      <c r="BC240" s="566">
        <f>VLOOKUP($A240,'01-02.2021'!$A$6:$CZ$403,55,FALSE)+VLOOKUP($A240,'1.3.21-28.2.22'!$A$6:$DA$404,55,FALSE)-VLOOKUP($A240,'01-02.2022'!$A$6:$DA$376,55,FALSE)</f>
        <v>0</v>
      </c>
      <c r="BD240" s="55">
        <f t="shared" si="255"/>
        <v>-2894.9674669717897</v>
      </c>
      <c r="BE240" s="566">
        <f>VLOOKUP($A240,'01-02.2021'!$A$6:$CZ$403,57,FALSE)+VLOOKUP($A240,'1.3.21-28.2.22'!$A$6:$DA$404,57,FALSE)-VLOOKUP($A240,'01-02.2022'!$A$6:$DA$376,57,FALSE)</f>
        <v>4384.417810646386</v>
      </c>
      <c r="BF240" s="566">
        <f>VLOOKUP($A240,'01-02.2021'!$A$6:$CZ$403,58,FALSE)+VLOOKUP($A240,'1.3.21-28.2.22'!$A$6:$DA$404,58,FALSE)-VLOOKUP($A240,'01-02.2022'!$A$6:$DA$376,58,FALSE)</f>
        <v>0</v>
      </c>
      <c r="BG240" s="55">
        <f t="shared" si="256"/>
        <v>-4384.417810646386</v>
      </c>
      <c r="BH240" s="566">
        <f>VLOOKUP($A240,'01-02.2021'!$A$6:$CZ$403,60,FALSE)+VLOOKUP($A240,'1.3.21-28.2.22'!$A$6:$DA$404,60,FALSE)-VLOOKUP($A240,'01-02.2022'!$A$6:$DA$376,60,FALSE)</f>
        <v>2044.0317862356446</v>
      </c>
      <c r="BI240" s="566">
        <f>VLOOKUP($A240,'01-02.2021'!$A$6:$CZ$403,61,FALSE)+VLOOKUP($A240,'1.3.21-28.2.22'!$A$6:$DA$404,61,FALSE)-VLOOKUP($A240,'01-02.2022'!$A$6:$DA$376,61,FALSE)</f>
        <v>363</v>
      </c>
      <c r="BJ240" s="55">
        <f t="shared" si="257"/>
        <v>-1681.0317862356446</v>
      </c>
      <c r="BK240" s="566">
        <f>VLOOKUP($A240,'01-02.2021'!$A$6:$CZ$403,63,FALSE)+VLOOKUP($A240,'1.3.21-28.2.22'!$A$6:$DA$404,63,FALSE)-VLOOKUP($A240,'01-02.2022'!$A$6:$DA$376,63,FALSE)</f>
        <v>2879.8071790090444</v>
      </c>
      <c r="BL240" s="566">
        <f>VLOOKUP($A240,'01-02.2021'!$A$6:$CZ$403,64,FALSE)+VLOOKUP($A240,'1.3.21-28.2.22'!$A$6:$DA$404,64,FALSE)-VLOOKUP($A240,'01-02.2022'!$A$6:$DA$376,64,FALSE)</f>
        <v>2467</v>
      </c>
      <c r="BM240" s="55">
        <f t="shared" si="258"/>
        <v>-412.80717900904438</v>
      </c>
      <c r="BN240" s="566">
        <f>VLOOKUP($A240,'01-02.2021'!$A$6:$CZ$403,66,FALSE)+VLOOKUP($A240,'1.3.21-28.2.22'!$A$6:$DA$404,66,FALSE)-VLOOKUP($A240,'01-02.2022'!$A$6:$DA$376,66,FALSE)</f>
        <v>627.38151687870914</v>
      </c>
      <c r="BO240" s="566">
        <f>VLOOKUP($A240,'01-02.2021'!$A$6:$CZ$403,67,FALSE)+VLOOKUP($A240,'1.3.21-28.2.22'!$A$6:$DA$404,67,FALSE)-VLOOKUP($A240,'01-02.2022'!$A$6:$DA$376,67,FALSE)</f>
        <v>0</v>
      </c>
      <c r="BP240" s="55">
        <f t="shared" si="259"/>
        <v>-627.38151687870914</v>
      </c>
      <c r="BQ240" s="77">
        <f t="shared" si="287"/>
        <v>23302.638286355832</v>
      </c>
      <c r="BR240" s="40">
        <f t="shared" si="289"/>
        <v>10429.76</v>
      </c>
      <c r="BS240" s="55">
        <f t="shared" si="236"/>
        <v>-12872.878286355832</v>
      </c>
      <c r="BT240" s="566">
        <f>VLOOKUP($A240,'01-02.2021'!$A$6:$CZ$403,72,FALSE)+VLOOKUP($A240,'1.3.21-28.2.22'!$A$6:$DA$404,72,FALSE)-VLOOKUP($A240,'01-02.2022'!$A$6:$DA$376,72,FALSE)</f>
        <v>75132.403351901812</v>
      </c>
      <c r="BU240" s="566">
        <f>VLOOKUP($A240,'01-02.2021'!$A$6:$CZ$403,73,FALSE)+VLOOKUP($A240,'1.3.21-28.2.22'!$A$6:$DA$404,73,FALSE)-VLOOKUP($A240,'01-02.2022'!$A$6:$DA$376,73,FALSE)</f>
        <v>78709.499236183125</v>
      </c>
      <c r="BV240" s="70">
        <f t="shared" si="260"/>
        <v>3577.0958842813125</v>
      </c>
      <c r="BW240" s="566">
        <f>VLOOKUP($A240,'01-02.2021'!$A$6:$CZ$403,75,FALSE)+VLOOKUP($A240,'1.3.21-28.2.22'!$A$6:$DA$404,75,FALSE)-VLOOKUP($A240,'01-02.2022'!$A$6:$DA$376,75,FALSE)</f>
        <v>63502.383395512996</v>
      </c>
      <c r="BX240" s="566">
        <f>VLOOKUP($A240,'01-02.2021'!$A$6:$CZ$403,76,FALSE)+VLOOKUP($A240,'1.3.21-28.2.22'!$A$6:$DA$404,76,FALSE)-VLOOKUP($A240,'01-02.2022'!$A$6:$DA$376,76,FALSE)</f>
        <v>62815.717622775002</v>
      </c>
      <c r="BY240" s="70">
        <f t="shared" si="261"/>
        <v>-686.66577273799339</v>
      </c>
      <c r="BZ240" s="566">
        <f>VLOOKUP($A240,'01-02.2021'!$A$6:$CZ$403,78,FALSE)+VLOOKUP($A240,'1.3.21-28.2.22'!$A$6:$DA$404,78,FALSE)-VLOOKUP($A240,'01-02.2022'!$A$6:$DA$376,78,FALSE)</f>
        <v>13950.220850416852</v>
      </c>
      <c r="CA240" s="566">
        <f>VLOOKUP($A240,'01-02.2021'!$A$6:$CZ$403,79,FALSE)+VLOOKUP($A240,'1.3.21-28.2.22'!$A$6:$DA$404,79,FALSE)-VLOOKUP($A240,'01-02.2022'!$A$6:$DA$376,79,FALSE)</f>
        <v>17551.33853571277</v>
      </c>
      <c r="CB240" s="70">
        <f t="shared" si="262"/>
        <v>3601.1176852959179</v>
      </c>
      <c r="CC240" s="566">
        <f>VLOOKUP($A240,'01-02.2021'!$A$6:$CZ$403,81,FALSE)+VLOOKUP($A240,'1.3.21-28.2.22'!$A$6:$DA$404,81,FALSE)-VLOOKUP($A240,'01-02.2022'!$A$6:$DA$376,81,FALSE)</f>
        <v>2003.879755606255</v>
      </c>
      <c r="CD240" s="566">
        <f>VLOOKUP($A240,'01-02.2021'!$A$6:$CZ$403,82,FALSE)+VLOOKUP($A240,'1.3.21-28.2.22'!$A$6:$DA$404,82,FALSE)-VLOOKUP($A240,'01-02.2022'!$A$6:$DA$376,82,FALSE)</f>
        <v>2171.2324664728712</v>
      </c>
      <c r="CE240" s="70">
        <f t="shared" si="263"/>
        <v>167.35271086661623</v>
      </c>
      <c r="CF240" s="566">
        <f>VLOOKUP($A240,'01-02.2021'!$A$6:$CZ$403,84,FALSE)+VLOOKUP($A240,'1.3.21-28.2.22'!$A$6:$DA$404,84,FALSE)-VLOOKUP($A240,'01-02.2022'!$A$6:$DA$376,84,FALSE)</f>
        <v>241.50019893571323</v>
      </c>
      <c r="CG240" s="566">
        <f>VLOOKUP($A240,'01-02.2021'!$A$6:$CZ$403,85,FALSE)+VLOOKUP($A240,'1.3.21-28.2.22'!$A$6:$DA$404,85,FALSE)-VLOOKUP($A240,'01-02.2022'!$A$6:$DA$376,85,FALSE)</f>
        <v>0</v>
      </c>
      <c r="CH240" s="70">
        <f t="shared" si="264"/>
        <v>-241.50019893571323</v>
      </c>
      <c r="CI240" s="566">
        <f>VLOOKUP($A240,'01-02.2021'!$A$6:$CZ$403,87,FALSE)+VLOOKUP($A240,'1.3.21-28.2.22'!$A$6:$DA$404,87,FALSE)-VLOOKUP($A240,'01-02.2022'!$A$6:$DA$376,87,FALSE)</f>
        <v>27635.992803540965</v>
      </c>
      <c r="CJ240" s="566">
        <f>VLOOKUP($A240,'01-02.2021'!$A$6:$CZ$403,88,FALSE)+VLOOKUP($A240,'1.3.21-28.2.22'!$A$6:$DA$404,88,FALSE)-VLOOKUP($A240,'01-02.2022'!$A$6:$DA$376,88,FALSE)</f>
        <v>25766.885139004342</v>
      </c>
      <c r="CK240" s="70">
        <f t="shared" si="265"/>
        <v>-1869.1076645366229</v>
      </c>
      <c r="CL240" s="566">
        <f>VLOOKUP($A240,'01-02.2021'!$A$6:$CZ$403,90,FALSE)+VLOOKUP($A240,'1.3.21-28.2.22'!$A$6:$DA$404,90,FALSE)-VLOOKUP($A240,'01-02.2022'!$A$6:$DA$376,90,FALSE)</f>
        <v>14447.54922291854</v>
      </c>
      <c r="CM240" s="566">
        <f>VLOOKUP($A240,'01-02.2021'!$A$6:$CZ$403,91,FALSE)+VLOOKUP($A240,'1.3.21-28.2.22'!$A$6:$DA$404,91,FALSE)-VLOOKUP($A240,'01-02.2022'!$A$6:$DA$376,91,FALSE)</f>
        <v>12340.806997904047</v>
      </c>
      <c r="CN240" s="52">
        <f t="shared" si="225"/>
        <v>-2106.7422250144937</v>
      </c>
      <c r="CO240" s="39">
        <f t="shared" si="220"/>
        <v>42083.542026459501</v>
      </c>
      <c r="CP240" s="40">
        <f t="shared" si="226"/>
        <v>38107.692136908387</v>
      </c>
      <c r="CQ240" s="52">
        <f t="shared" si="227"/>
        <v>-3975.8498895511148</v>
      </c>
      <c r="CR240" s="72">
        <f t="shared" si="221"/>
        <v>422491.08156563342</v>
      </c>
      <c r="CS240" s="5">
        <f t="shared" si="221"/>
        <v>394364.50397304888</v>
      </c>
      <c r="CT240" s="52">
        <f t="shared" si="228"/>
        <v>-28126.577592584537</v>
      </c>
      <c r="CU240" s="77">
        <f t="shared" si="229"/>
        <v>506989.29787876009</v>
      </c>
      <c r="CV240" s="65">
        <f t="shared" si="230"/>
        <v>473237.40476765862</v>
      </c>
      <c r="CW240" s="35">
        <f t="shared" si="231"/>
        <v>-33751.893111101468</v>
      </c>
      <c r="CX240" s="566">
        <f>VLOOKUP($A240,'01-02.2021'!$A$6:$CZ$403,102,FALSE)+VLOOKUP($A240,'1.3.21-28.2.22'!$A$6:$DA$404,102,FALSE)-VLOOKUP($A240,'01-02.2022'!$A$6:$DA$376,102,FALSE)</f>
        <v>14460.826174300817</v>
      </c>
      <c r="CY240" s="566">
        <f>VLOOKUP($A240,'01-02.2021'!$A$6:$CZ$403,103,FALSE)+VLOOKUP($A240,'1.3.21-28.2.22'!$A$6:$DA$404,103,FALSE)-VLOOKUP($A240,'01-02.2022'!$A$6:$DA$376,103,FALSE)</f>
        <v>48212.7192854022</v>
      </c>
      <c r="CZ240" s="52">
        <f t="shared" si="232"/>
        <v>33751.893111101381</v>
      </c>
      <c r="DA240" s="150">
        <f>'[2]побудинковий звіт'!DA240</f>
        <v>-31907.252234979802</v>
      </c>
      <c r="DB240" s="2">
        <v>1</v>
      </c>
      <c r="DC240" s="414">
        <f>'[4]побудинковий звіт'!DC240</f>
        <v>80933.22</v>
      </c>
      <c r="DD240" s="414">
        <f>'[4]побудинковий звіт'!DD240</f>
        <v>0</v>
      </c>
      <c r="DE240" s="557">
        <f>'[4]побудинковий звіт'!DE240</f>
        <v>34199.397558648649</v>
      </c>
      <c r="DF240" s="557">
        <f>'[4]побудинковий звіт'!DF240</f>
        <v>-327.28529953992796</v>
      </c>
      <c r="DG240" s="321">
        <f>VLOOKUP(A240,'кошти 01.03.2021'!$A$6:$D$401,4,)</f>
        <v>24814.521108611691</v>
      </c>
      <c r="DH240" s="40">
        <f>'[3]побудинковий звіт'!DJ240</f>
        <v>538484.84178679879</v>
      </c>
      <c r="DI240" s="422">
        <f>'[3]побудинковий звіт'!CU240+'[3]побудинковий звіт'!CX240</f>
        <v>47061.107740891275</v>
      </c>
      <c r="DJ240" s="306">
        <f>'[3]побудинковий звіт'!DM240</f>
        <v>6.1638691886409589</v>
      </c>
      <c r="DK240" s="306">
        <f>'[3]побудинковий звіт'!DN240</f>
        <v>7.0827901464063849</v>
      </c>
      <c r="DL240" s="306">
        <f>'[3]побудинковий звіт'!DO240</f>
        <v>5.0421398789081495</v>
      </c>
      <c r="DM240" s="28">
        <f>DJ240*G240+(F240-G240)*DK240</f>
        <v>46733.822441351353</v>
      </c>
      <c r="DN240" s="28">
        <f>DL240*H240</f>
        <v>327.28529953992796</v>
      </c>
      <c r="DO240" s="423">
        <f t="shared" si="238"/>
        <v>47061.107740891282</v>
      </c>
      <c r="DP240" s="94">
        <f t="shared" si="239"/>
        <v>0</v>
      </c>
      <c r="DQ240" s="28">
        <f t="shared" si="240"/>
        <v>47061.107740891282</v>
      </c>
      <c r="DR240" s="318"/>
      <c r="DT240" s="8"/>
      <c r="DU240" s="5"/>
      <c r="DX240" s="5">
        <f t="shared" si="241"/>
        <v>122153.93039550836</v>
      </c>
      <c r="DY240" s="5">
        <f t="shared" si="242"/>
        <v>95720.80799999999</v>
      </c>
      <c r="DZ240" s="159">
        <f>'[3]побудинковий звіт'!EA240</f>
        <v>11398.081755483703</v>
      </c>
    </row>
    <row r="241" spans="1:130" x14ac:dyDescent="0.3">
      <c r="A241" s="325">
        <v>150000946</v>
      </c>
      <c r="B241" s="41" t="s">
        <v>688</v>
      </c>
      <c r="C241" s="42" t="s">
        <v>125</v>
      </c>
      <c r="D241" s="42"/>
      <c r="E241" s="293">
        <f t="shared" si="218"/>
        <v>100.2</v>
      </c>
      <c r="F241" s="305">
        <f>'[3]побудинковий звіт'!F241</f>
        <v>100.2</v>
      </c>
      <c r="G241" s="508">
        <f>'[3]побудинковий звіт'!G241</f>
        <v>0</v>
      </c>
      <c r="H241" s="560">
        <f>'[3]побудинковий звіт'!H241</f>
        <v>0</v>
      </c>
      <c r="I241" s="566"/>
      <c r="J241" s="566"/>
      <c r="K241" s="52">
        <f t="shared" si="222"/>
        <v>0</v>
      </c>
      <c r="L241" s="566"/>
      <c r="M241" s="566"/>
      <c r="N241" s="52">
        <f t="shared" si="223"/>
        <v>0</v>
      </c>
      <c r="O241" s="566"/>
      <c r="P241" s="566"/>
      <c r="Q241" s="70"/>
      <c r="R241" s="566"/>
      <c r="S241" s="566"/>
      <c r="T241" s="70"/>
      <c r="U241" s="566"/>
      <c r="V241" s="566"/>
      <c r="W241" s="70"/>
      <c r="X241" s="566"/>
      <c r="Y241" s="566"/>
      <c r="Z241" s="70"/>
      <c r="AA241" s="566"/>
      <c r="AB241" s="566"/>
      <c r="AC241" s="70"/>
      <c r="AD241" s="566"/>
      <c r="AE241" s="566"/>
      <c r="AF241" s="68"/>
      <c r="AG241" s="77">
        <f t="shared" si="219"/>
        <v>0</v>
      </c>
      <c r="AH241" s="53">
        <f t="shared" si="219"/>
        <v>0</v>
      </c>
      <c r="AI241" s="52">
        <f t="shared" si="224"/>
        <v>0</v>
      </c>
      <c r="AJ241" s="566"/>
      <c r="AK241" s="566"/>
      <c r="AL241" s="70"/>
      <c r="AM241" s="566"/>
      <c r="AN241" s="566"/>
      <c r="AO241" s="70"/>
      <c r="AP241" s="566"/>
      <c r="AQ241" s="566"/>
      <c r="AR241" s="70"/>
      <c r="AS241" s="566"/>
      <c r="AT241" s="566"/>
      <c r="AU241" s="78"/>
      <c r="AV241" s="566"/>
      <c r="AW241" s="566"/>
      <c r="AX241" s="55"/>
      <c r="AY241" s="566"/>
      <c r="AZ241" s="566"/>
      <c r="BA241" s="38"/>
      <c r="BB241" s="566"/>
      <c r="BC241" s="566"/>
      <c r="BD241" s="55"/>
      <c r="BE241" s="566"/>
      <c r="BF241" s="566"/>
      <c r="BG241" s="55"/>
      <c r="BH241" s="566"/>
      <c r="BI241" s="566"/>
      <c r="BJ241" s="55"/>
      <c r="BK241" s="566"/>
      <c r="BL241" s="566"/>
      <c r="BM241" s="55"/>
      <c r="BN241" s="566"/>
      <c r="BO241" s="566"/>
      <c r="BP241" s="55"/>
      <c r="BQ241" s="77">
        <f t="shared" si="287"/>
        <v>0</v>
      </c>
      <c r="BR241" s="40">
        <f t="shared" si="289"/>
        <v>0</v>
      </c>
      <c r="BS241" s="55">
        <f t="shared" si="236"/>
        <v>0</v>
      </c>
      <c r="BT241" s="566"/>
      <c r="BU241" s="566"/>
      <c r="BV241" s="70"/>
      <c r="BW241" s="566"/>
      <c r="BX241" s="566"/>
      <c r="BY241" s="70"/>
      <c r="BZ241" s="566"/>
      <c r="CA241" s="566"/>
      <c r="CB241" s="70"/>
      <c r="CC241" s="566"/>
      <c r="CD241" s="566"/>
      <c r="CE241" s="70"/>
      <c r="CF241" s="566"/>
      <c r="CG241" s="566"/>
      <c r="CH241" s="70"/>
      <c r="CI241" s="566"/>
      <c r="CJ241" s="566"/>
      <c r="CK241" s="70"/>
      <c r="CL241" s="566"/>
      <c r="CM241" s="566"/>
      <c r="CN241" s="52">
        <f t="shared" si="225"/>
        <v>0</v>
      </c>
      <c r="CO241" s="39">
        <f t="shared" si="220"/>
        <v>0</v>
      </c>
      <c r="CP241" s="40">
        <f t="shared" si="226"/>
        <v>0</v>
      </c>
      <c r="CQ241" s="52">
        <f t="shared" si="227"/>
        <v>0</v>
      </c>
      <c r="CR241" s="72">
        <f t="shared" si="221"/>
        <v>0</v>
      </c>
      <c r="CS241" s="5">
        <f t="shared" si="221"/>
        <v>0</v>
      </c>
      <c r="CT241" s="52">
        <f t="shared" si="228"/>
        <v>0</v>
      </c>
      <c r="CU241" s="77">
        <f t="shared" si="229"/>
        <v>0</v>
      </c>
      <c r="CV241" s="65">
        <f t="shared" si="230"/>
        <v>0</v>
      </c>
      <c r="CW241" s="35">
        <f t="shared" si="231"/>
        <v>0</v>
      </c>
      <c r="CX241" s="566"/>
      <c r="CY241" s="566"/>
      <c r="CZ241" s="52">
        <f t="shared" si="232"/>
        <v>0</v>
      </c>
      <c r="DA241" s="150">
        <f>'[2]побудинковий звіт'!DA241</f>
        <v>-604.6889251533089</v>
      </c>
      <c r="DB241" s="2">
        <v>1</v>
      </c>
      <c r="DC241" s="414">
        <f>'[4]побудинковий звіт'!DC241</f>
        <v>2182.5100000000002</v>
      </c>
      <c r="DD241" s="414">
        <f>'[4]побудинковий звіт'!DD241</f>
        <v>0</v>
      </c>
      <c r="DE241" s="557">
        <f>'[4]побудинковий звіт'!DE241</f>
        <v>1981.290271635944</v>
      </c>
      <c r="DF241" s="557">
        <f>'[4]побудинковий звіт'!DF241</f>
        <v>0</v>
      </c>
      <c r="DG241" s="321">
        <f>VLOOKUP(A241,'кошти 01.03.2021'!$A$6:$D$401,4,)</f>
        <v>79.899122738129336</v>
      </c>
      <c r="DH241" s="40">
        <f>'[3]побудинковий звіт'!DJ241</f>
        <v>2295.412723280589</v>
      </c>
      <c r="DI241" s="422">
        <f>'[3]побудинковий звіт'!CU241+'[3]побудинковий звіт'!CX241</f>
        <v>201.21972836405621</v>
      </c>
      <c r="DJ241" s="306">
        <f>'[3]побудинковий звіт'!DM241</f>
        <v>2.0081809217969679</v>
      </c>
      <c r="DK241" s="306">
        <f t="shared" ref="DK241:DK242" si="293">DJ241</f>
        <v>2.0081809217969679</v>
      </c>
      <c r="DL241" s="306">
        <f>'[3]побудинковий звіт'!DO241</f>
        <v>2.0081809217969679</v>
      </c>
      <c r="DM241" s="28">
        <f t="shared" ref="DM241:DM242" si="294">F241*DJ241</f>
        <v>201.21972836405618</v>
      </c>
      <c r="DN241" s="28">
        <f>H241*DL241</f>
        <v>0</v>
      </c>
      <c r="DO241" s="423">
        <f t="shared" si="238"/>
        <v>201.21972836405618</v>
      </c>
      <c r="DP241" s="94">
        <f t="shared" si="239"/>
        <v>0</v>
      </c>
      <c r="DQ241" s="28">
        <f t="shared" si="240"/>
        <v>201.21972836405618</v>
      </c>
      <c r="DR241" s="318"/>
      <c r="DT241" s="8"/>
      <c r="DU241" s="5"/>
      <c r="DX241" s="5">
        <f t="shared" si="241"/>
        <v>0</v>
      </c>
      <c r="DY241" s="5">
        <f t="shared" si="242"/>
        <v>0</v>
      </c>
      <c r="DZ241" s="159">
        <f>'[3]побудинковий звіт'!EA241</f>
        <v>115.31229110160156</v>
      </c>
    </row>
    <row r="242" spans="1:130" x14ac:dyDescent="0.3">
      <c r="A242" s="325">
        <v>150000947</v>
      </c>
      <c r="B242" s="41" t="s">
        <v>689</v>
      </c>
      <c r="C242" s="42" t="s">
        <v>269</v>
      </c>
      <c r="D242" s="42"/>
      <c r="E242" s="293">
        <f t="shared" si="218"/>
        <v>3267.3</v>
      </c>
      <c r="F242" s="305">
        <f>'[3]побудинковий звіт'!F242</f>
        <v>3267.3</v>
      </c>
      <c r="G242" s="508">
        <f>'[3]побудинковий звіт'!G242</f>
        <v>0</v>
      </c>
      <c r="H242" s="560">
        <f>'[3]побудинковий звіт'!H242</f>
        <v>0</v>
      </c>
      <c r="I242" s="566">
        <f>VLOOKUP($A242,'01-02.2021'!$A$6:$CZ$403,9,FALSE)+VLOOKUP($A242,'1.3.21-28.2.22'!$A$6:$DA$404,9,FALSE)-VLOOKUP($A242,'01-02.2022'!$A$6:$DA$376,9,FALSE)</f>
        <v>10580.525174127042</v>
      </c>
      <c r="J242" s="566">
        <f>VLOOKUP($A242,'01-02.2021'!$A$6:$CZ$403,10,FALSE)+VLOOKUP($A242,'1.3.21-28.2.22'!$A$6:$DA$404,10,FALSE)-VLOOKUP($A242,'01-02.2022'!$A$6:$DA$376,10,FALSE)</f>
        <v>9328.0595350257408</v>
      </c>
      <c r="K242" s="52">
        <f t="shared" si="222"/>
        <v>-1252.4656391013013</v>
      </c>
      <c r="L242" s="566">
        <f>VLOOKUP($A242,'01-02.2021'!$A$6:$CZ$403,12,FALSE)+VLOOKUP($A242,'1.3.21-28.2.22'!$A$6:$DA$404,12,FALSE)-VLOOKUP($A242,'01-02.2022'!$A$6:$DA$376,12,FALSE)</f>
        <v>2275.297066223035</v>
      </c>
      <c r="M242" s="566">
        <f>VLOOKUP($A242,'01-02.2021'!$A$6:$CZ$403,13,FALSE)+VLOOKUP($A242,'1.3.21-28.2.22'!$A$6:$DA$404,13,FALSE)-VLOOKUP($A242,'01-02.2022'!$A$6:$DA$376,13,FALSE)</f>
        <v>2054.2361900928527</v>
      </c>
      <c r="N242" s="52">
        <f t="shared" si="223"/>
        <v>-221.06087613018235</v>
      </c>
      <c r="O242" s="566">
        <f>VLOOKUP($A242,'01-02.2021'!$A$6:$CZ$403,15,FALSE)+VLOOKUP($A242,'1.3.21-28.2.22'!$A$6:$DA$404,15,FALSE)-VLOOKUP($A242,'01-02.2022'!$A$6:$DA$376,15,FALSE)</f>
        <v>4975.8581535764006</v>
      </c>
      <c r="P242" s="566">
        <f>VLOOKUP($A242,'01-02.2021'!$A$6:$CZ$403,16,FALSE)+VLOOKUP($A242,'1.3.21-28.2.22'!$A$6:$DA$404,16,FALSE)-VLOOKUP($A242,'01-02.2022'!$A$6:$DA$376,16,FALSE)</f>
        <v>4975.8500000000004</v>
      </c>
      <c r="Q242" s="70">
        <f t="shared" si="243"/>
        <v>-8.1535764002182987E-3</v>
      </c>
      <c r="R242" s="566">
        <f>VLOOKUP($A242,'01-02.2021'!$A$6:$CZ$403,18,FALSE)+VLOOKUP($A242,'1.3.21-28.2.22'!$A$6:$DA$404,18,FALSE)-VLOOKUP($A242,'01-02.2022'!$A$6:$DA$376,18,FALSE)</f>
        <v>978.88561258446657</v>
      </c>
      <c r="S242" s="566">
        <f>VLOOKUP($A242,'01-02.2021'!$A$6:$CZ$403,19,FALSE)+VLOOKUP($A242,'1.3.21-28.2.22'!$A$6:$DA$404,19,FALSE)-VLOOKUP($A242,'01-02.2022'!$A$6:$DA$376,19,FALSE)</f>
        <v>978.88000000000011</v>
      </c>
      <c r="T242" s="70">
        <f t="shared" si="244"/>
        <v>-5.6125844664620672E-3</v>
      </c>
      <c r="U242" s="566">
        <f>VLOOKUP($A242,'01-02.2021'!$A$6:$CZ$403,21,FALSE)+VLOOKUP($A242,'1.3.21-28.2.22'!$A$6:$DA$404,21,FALSE)-VLOOKUP($A242,'01-02.2022'!$A$6:$DA$376,21,FALSE)</f>
        <v>610.46629745812027</v>
      </c>
      <c r="V242" s="566">
        <f>VLOOKUP($A242,'01-02.2021'!$A$6:$CZ$403,22,FALSE)+VLOOKUP($A242,'1.3.21-28.2.22'!$A$6:$DA$404,22,FALSE)-VLOOKUP($A242,'01-02.2022'!$A$6:$DA$376,22,FALSE)</f>
        <v>397.66421087491199</v>
      </c>
      <c r="W242" s="70">
        <f t="shared" si="245"/>
        <v>-212.80208658320828</v>
      </c>
      <c r="X242" s="566">
        <f>VLOOKUP($A242,'01-02.2021'!$A$6:$CZ$403,24,FALSE)+VLOOKUP($A242,'1.3.21-28.2.22'!$A$6:$DA$404,24,FALSE)-VLOOKUP($A242,'01-02.2022'!$A$6:$DA$376,24,FALSE)</f>
        <v>7033.7013988236931</v>
      </c>
      <c r="Y242" s="566">
        <f>VLOOKUP($A242,'01-02.2021'!$A$6:$CZ$403,25,FALSE)+VLOOKUP($A242,'1.3.21-28.2.22'!$A$6:$DA$404,25,FALSE)-VLOOKUP($A242,'01-02.2022'!$A$6:$DA$376,25,FALSE)</f>
        <v>5687.885352132701</v>
      </c>
      <c r="Z242" s="70">
        <f t="shared" si="246"/>
        <v>-1345.8160466909922</v>
      </c>
      <c r="AA242" s="566">
        <f>VLOOKUP($A242,'01-02.2021'!$A$6:$CZ$403,27,FALSE)+VLOOKUP($A242,'1.3.21-28.2.22'!$A$6:$DA$404,27,FALSE)-VLOOKUP($A242,'01-02.2022'!$A$6:$DA$376,27,FALSE)</f>
        <v>653.46</v>
      </c>
      <c r="AB242" s="566">
        <f>VLOOKUP($A242,'01-02.2021'!$A$6:$CZ$403,28,FALSE)+VLOOKUP($A242,'1.3.21-28.2.22'!$A$6:$DA$404,28,FALSE)-VLOOKUP($A242,'01-02.2022'!$A$6:$DA$376,28,FALSE)</f>
        <v>0</v>
      </c>
      <c r="AC242" s="70">
        <f t="shared" si="247"/>
        <v>-653.46</v>
      </c>
      <c r="AD242" s="566">
        <f>VLOOKUP($A242,'01-02.2021'!$A$6:$CZ$403,30,FALSE)+VLOOKUP($A242,'1.3.21-28.2.22'!$A$6:$DA$404,30,FALSE)-VLOOKUP($A242,'01-02.2022'!$A$6:$DA$376,30,FALSE)</f>
        <v>14033.99458569029</v>
      </c>
      <c r="AE242" s="566">
        <f>VLOOKUP($A242,'01-02.2021'!$A$6:$CZ$403,31,FALSE)+VLOOKUP($A242,'1.3.21-28.2.22'!$A$6:$DA$404,31,FALSE)-VLOOKUP($A242,'01-02.2022'!$A$6:$DA$376,31,FALSE)</f>
        <v>14872.881246869591</v>
      </c>
      <c r="AF242" s="68">
        <f t="shared" si="248"/>
        <v>838.88666117930006</v>
      </c>
      <c r="AG242" s="77">
        <f t="shared" si="219"/>
        <v>41142.188288483048</v>
      </c>
      <c r="AH242" s="53">
        <f t="shared" si="219"/>
        <v>38295.456534995799</v>
      </c>
      <c r="AI242" s="52">
        <f t="shared" si="224"/>
        <v>-2846.7317534872491</v>
      </c>
      <c r="AJ242" s="566">
        <f>VLOOKUP($A242,'01-02.2021'!$A$6:$CZ$403,36,FALSE)+VLOOKUP($A242,'1.3.21-28.2.22'!$A$6:$DA$404,36,FALSE)-VLOOKUP($A242,'01-02.2022'!$A$6:$DA$376,36,FALSE)</f>
        <v>0</v>
      </c>
      <c r="AK242" s="566">
        <f>VLOOKUP($A242,'01-02.2021'!$A$6:$CZ$403,37,FALSE)+VLOOKUP($A242,'1.3.21-28.2.22'!$A$6:$DA$404,37,FALSE)-VLOOKUP($A242,'01-02.2022'!$A$6:$DA$376,37,FALSE)</f>
        <v>0</v>
      </c>
      <c r="AL242" s="70">
        <f t="shared" si="249"/>
        <v>0</v>
      </c>
      <c r="AM242" s="566">
        <f>VLOOKUP($A242,'01-02.2021'!$A$6:$CZ$403,39,FALSE)+VLOOKUP($A242,'1.3.21-28.2.22'!$A$6:$DA$404,39,FALSE)-VLOOKUP($A242,'01-02.2022'!$A$6:$DA$376,39,FALSE)</f>
        <v>0</v>
      </c>
      <c r="AN242" s="566">
        <f>VLOOKUP($A242,'01-02.2021'!$A$6:$CZ$403,40,FALSE)+VLOOKUP($A242,'1.3.21-28.2.22'!$A$6:$DA$404,40,FALSE)-VLOOKUP($A242,'01-02.2022'!$A$6:$DA$376,40,FALSE)</f>
        <v>0</v>
      </c>
      <c r="AO242" s="70">
        <f t="shared" si="250"/>
        <v>0</v>
      </c>
      <c r="AP242" s="566">
        <f>VLOOKUP($A242,'01-02.2021'!$A$6:$CZ$403,42,FALSE)+VLOOKUP($A242,'1.3.21-28.2.22'!$A$6:$DA$404,42,FALSE)-VLOOKUP($A242,'01-02.2022'!$A$6:$DA$376,42,FALSE)</f>
        <v>3904.1994375958316</v>
      </c>
      <c r="AQ242" s="566">
        <f>VLOOKUP($A242,'01-02.2021'!$A$6:$CZ$403,43,FALSE)+VLOOKUP($A242,'1.3.21-28.2.22'!$A$6:$DA$404,43,FALSE)-VLOOKUP($A242,'01-02.2022'!$A$6:$DA$376,43,FALSE)</f>
        <v>3429.1690751445085</v>
      </c>
      <c r="AR242" s="70">
        <f t="shared" si="251"/>
        <v>-475.03036245132307</v>
      </c>
      <c r="AS242" s="566">
        <f>VLOOKUP($A242,'01-02.2021'!$A$6:$CZ$403,45,FALSE)+VLOOKUP($A242,'1.3.21-28.2.22'!$A$6:$DA$404,45,FALSE)-VLOOKUP($A242,'01-02.2022'!$A$6:$DA$376,45,FALSE)</f>
        <v>37321.542662433007</v>
      </c>
      <c r="AT242" s="566">
        <f>VLOOKUP($A242,'01-02.2021'!$A$6:$CZ$403,46,FALSE)+VLOOKUP($A242,'1.3.21-28.2.22'!$A$6:$DA$404,46,FALSE)-VLOOKUP($A242,'01-02.2022'!$A$6:$DA$376,46,FALSE)</f>
        <v>13108.15</v>
      </c>
      <c r="AU242" s="78">
        <f t="shared" si="252"/>
        <v>-24213.392662433005</v>
      </c>
      <c r="AV242" s="566">
        <f>VLOOKUP($A242,'01-02.2021'!$A$6:$CZ$403,48,FALSE)+VLOOKUP($A242,'1.3.21-28.2.22'!$A$6:$DA$404,48,FALSE)-VLOOKUP($A242,'01-02.2022'!$A$6:$DA$376,48,FALSE)</f>
        <v>3088.7361696332828</v>
      </c>
      <c r="AW242" s="566">
        <f>VLOOKUP($A242,'01-02.2021'!$A$6:$CZ$403,49,FALSE)+VLOOKUP($A242,'1.3.21-28.2.22'!$A$6:$DA$404,49,FALSE)-VLOOKUP($A242,'01-02.2022'!$A$6:$DA$376,49,FALSE)</f>
        <v>246</v>
      </c>
      <c r="AX242" s="55">
        <f t="shared" si="253"/>
        <v>-2842.7361696332828</v>
      </c>
      <c r="AY242" s="566">
        <f>VLOOKUP($A242,'01-02.2021'!$A$6:$CZ$403,51,FALSE)+VLOOKUP($A242,'1.3.21-28.2.22'!$A$6:$DA$404,51,FALSE)-VLOOKUP($A242,'01-02.2022'!$A$6:$DA$376,51,FALSE)</f>
        <v>4277.0199367719506</v>
      </c>
      <c r="AZ242" s="566">
        <f>VLOOKUP($A242,'01-02.2021'!$A$6:$CZ$403,52,FALSE)+VLOOKUP($A242,'1.3.21-28.2.22'!$A$6:$DA$404,52,FALSE)-VLOOKUP($A242,'01-02.2022'!$A$6:$DA$376,52,FALSE)</f>
        <v>1402</v>
      </c>
      <c r="BA242" s="38">
        <f t="shared" si="254"/>
        <v>-2875.0199367719506</v>
      </c>
      <c r="BB242" s="566">
        <f>VLOOKUP($A242,'01-02.2021'!$A$6:$CZ$403,54,FALSE)+VLOOKUP($A242,'1.3.21-28.2.22'!$A$6:$DA$404,54,FALSE)-VLOOKUP($A242,'01-02.2022'!$A$6:$DA$376,54,FALSE)</f>
        <v>1803.7101581651796</v>
      </c>
      <c r="BC242" s="566">
        <f>VLOOKUP($A242,'01-02.2021'!$A$6:$CZ$403,55,FALSE)+VLOOKUP($A242,'1.3.21-28.2.22'!$A$6:$DA$404,55,FALSE)-VLOOKUP($A242,'01-02.2022'!$A$6:$DA$376,55,FALSE)</f>
        <v>0</v>
      </c>
      <c r="BD242" s="55">
        <f t="shared" si="255"/>
        <v>-1803.7101581651796</v>
      </c>
      <c r="BE242" s="566">
        <f>VLOOKUP($A242,'01-02.2021'!$A$6:$CZ$403,57,FALSE)+VLOOKUP($A242,'1.3.21-28.2.22'!$A$6:$DA$404,57,FALSE)-VLOOKUP($A242,'01-02.2022'!$A$6:$DA$376,57,FALSE)</f>
        <v>2503.0432510943983</v>
      </c>
      <c r="BF242" s="566">
        <f>VLOOKUP($A242,'01-02.2021'!$A$6:$CZ$403,58,FALSE)+VLOOKUP($A242,'1.3.21-28.2.22'!$A$6:$DA$404,58,FALSE)-VLOOKUP($A242,'01-02.2022'!$A$6:$DA$376,58,FALSE)</f>
        <v>0</v>
      </c>
      <c r="BG242" s="55">
        <f t="shared" si="256"/>
        <v>-2503.0432510943983</v>
      </c>
      <c r="BH242" s="566">
        <f>VLOOKUP($A242,'01-02.2021'!$A$6:$CZ$403,60,FALSE)+VLOOKUP($A242,'1.3.21-28.2.22'!$A$6:$DA$404,60,FALSE)-VLOOKUP($A242,'01-02.2022'!$A$6:$DA$376,60,FALSE)</f>
        <v>1369.6262160600197</v>
      </c>
      <c r="BI242" s="566">
        <f>VLOOKUP($A242,'01-02.2021'!$A$6:$CZ$403,61,FALSE)+VLOOKUP($A242,'1.3.21-28.2.22'!$A$6:$DA$404,61,FALSE)-VLOOKUP($A242,'01-02.2022'!$A$6:$DA$376,61,FALSE)</f>
        <v>0</v>
      </c>
      <c r="BJ242" s="55">
        <f t="shared" si="257"/>
        <v>-1369.6262160600197</v>
      </c>
      <c r="BK242" s="566">
        <f>VLOOKUP($A242,'01-02.2021'!$A$6:$CZ$403,63,FALSE)+VLOOKUP($A242,'1.3.21-28.2.22'!$A$6:$DA$404,63,FALSE)-VLOOKUP($A242,'01-02.2022'!$A$6:$DA$376,63,FALSE)</f>
        <v>2234.8422318746002</v>
      </c>
      <c r="BL242" s="566">
        <f>VLOOKUP($A242,'01-02.2021'!$A$6:$CZ$403,64,FALSE)+VLOOKUP($A242,'1.3.21-28.2.22'!$A$6:$DA$404,64,FALSE)-VLOOKUP($A242,'01-02.2022'!$A$6:$DA$376,64,FALSE)</f>
        <v>248</v>
      </c>
      <c r="BM242" s="55">
        <f t="shared" si="258"/>
        <v>-1986.8422318746002</v>
      </c>
      <c r="BN242" s="566">
        <f>VLOOKUP($A242,'01-02.2021'!$A$6:$CZ$403,66,FALSE)+VLOOKUP($A242,'1.3.21-28.2.22'!$A$6:$DA$404,66,FALSE)-VLOOKUP($A242,'01-02.2022'!$A$6:$DA$376,66,FALSE)</f>
        <v>566.27867384537763</v>
      </c>
      <c r="BO242" s="566">
        <f>VLOOKUP($A242,'01-02.2021'!$A$6:$CZ$403,67,FALSE)+VLOOKUP($A242,'1.3.21-28.2.22'!$A$6:$DA$404,67,FALSE)-VLOOKUP($A242,'01-02.2022'!$A$6:$DA$376,67,FALSE)</f>
        <v>0</v>
      </c>
      <c r="BP242" s="55">
        <f t="shared" si="259"/>
        <v>-566.27867384537763</v>
      </c>
      <c r="BQ242" s="77">
        <f t="shared" si="287"/>
        <v>15843.256637444807</v>
      </c>
      <c r="BR242" s="40">
        <f t="shared" si="289"/>
        <v>1896</v>
      </c>
      <c r="BS242" s="55">
        <f t="shared" si="236"/>
        <v>-13947.256637444807</v>
      </c>
      <c r="BT242" s="566">
        <f>VLOOKUP($A242,'01-02.2021'!$A$6:$CZ$403,72,FALSE)+VLOOKUP($A242,'1.3.21-28.2.22'!$A$6:$DA$404,72,FALSE)-VLOOKUP($A242,'01-02.2022'!$A$6:$DA$376,72,FALSE)</f>
        <v>30695.721881557023</v>
      </c>
      <c r="BU242" s="566">
        <f>VLOOKUP($A242,'01-02.2021'!$A$6:$CZ$403,73,FALSE)+VLOOKUP($A242,'1.3.21-28.2.22'!$A$6:$DA$404,73,FALSE)-VLOOKUP($A242,'01-02.2022'!$A$6:$DA$376,73,FALSE)</f>
        <v>37101.930137499607</v>
      </c>
      <c r="BV242" s="70">
        <f t="shared" si="260"/>
        <v>6406.2082559425835</v>
      </c>
      <c r="BW242" s="566">
        <f>VLOOKUP($A242,'01-02.2021'!$A$6:$CZ$403,75,FALSE)+VLOOKUP($A242,'1.3.21-28.2.22'!$A$6:$DA$404,75,FALSE)-VLOOKUP($A242,'01-02.2022'!$A$6:$DA$376,75,FALSE)</f>
        <v>16493.046541199157</v>
      </c>
      <c r="BX242" s="566">
        <f>VLOOKUP($A242,'01-02.2021'!$A$6:$CZ$403,76,FALSE)+VLOOKUP($A242,'1.3.21-28.2.22'!$A$6:$DA$404,76,FALSE)-VLOOKUP($A242,'01-02.2022'!$A$6:$DA$376,76,FALSE)</f>
        <v>16530.933874495524</v>
      </c>
      <c r="BY242" s="70">
        <f t="shared" si="261"/>
        <v>37.887333296366705</v>
      </c>
      <c r="BZ242" s="566">
        <f>VLOOKUP($A242,'01-02.2021'!$A$6:$CZ$403,78,FALSE)+VLOOKUP($A242,'1.3.21-28.2.22'!$A$6:$DA$404,78,FALSE)-VLOOKUP($A242,'01-02.2022'!$A$6:$DA$376,78,FALSE)</f>
        <v>11730.06020535694</v>
      </c>
      <c r="CA242" s="566">
        <f>VLOOKUP($A242,'01-02.2021'!$A$6:$CZ$403,79,FALSE)+VLOOKUP($A242,'1.3.21-28.2.22'!$A$6:$DA$404,79,FALSE)-VLOOKUP($A242,'01-02.2022'!$A$6:$DA$376,79,FALSE)</f>
        <v>8544.0494127030852</v>
      </c>
      <c r="CB242" s="70">
        <f t="shared" si="262"/>
        <v>-3186.0107926538549</v>
      </c>
      <c r="CC242" s="566">
        <f>VLOOKUP($A242,'01-02.2021'!$A$6:$CZ$403,81,FALSE)+VLOOKUP($A242,'1.3.21-28.2.22'!$A$6:$DA$404,81,FALSE)-VLOOKUP($A242,'01-02.2022'!$A$6:$DA$376,81,FALSE)</f>
        <v>1021.0266082033008</v>
      </c>
      <c r="CD242" s="566">
        <f>VLOOKUP($A242,'01-02.2021'!$A$6:$CZ$403,82,FALSE)+VLOOKUP($A242,'1.3.21-28.2.22'!$A$6:$DA$404,82,FALSE)-VLOOKUP($A242,'01-02.2022'!$A$6:$DA$376,82,FALSE)</f>
        <v>1115.9749555425904</v>
      </c>
      <c r="CE242" s="70">
        <f t="shared" si="263"/>
        <v>94.948347339289512</v>
      </c>
      <c r="CF242" s="566">
        <f>VLOOKUP($A242,'01-02.2021'!$A$6:$CZ$403,84,FALSE)+VLOOKUP($A242,'1.3.21-28.2.22'!$A$6:$DA$404,84,FALSE)-VLOOKUP($A242,'01-02.2022'!$A$6:$DA$376,84,FALSE)</f>
        <v>124.1268164199021</v>
      </c>
      <c r="CG242" s="566">
        <f>VLOOKUP($A242,'01-02.2021'!$A$6:$CZ$403,85,FALSE)+VLOOKUP($A242,'1.3.21-28.2.22'!$A$6:$DA$404,85,FALSE)-VLOOKUP($A242,'01-02.2022'!$A$6:$DA$376,85,FALSE)</f>
        <v>0</v>
      </c>
      <c r="CH242" s="70">
        <f t="shared" si="264"/>
        <v>-124.1268164199021</v>
      </c>
      <c r="CI242" s="566">
        <f>VLOOKUP($A242,'01-02.2021'!$A$6:$CZ$403,87,FALSE)+VLOOKUP($A242,'1.3.21-28.2.22'!$A$6:$DA$404,87,FALSE)-VLOOKUP($A242,'01-02.2022'!$A$6:$DA$376,87,FALSE)</f>
        <v>8064.7879993519864</v>
      </c>
      <c r="CJ242" s="566">
        <f>VLOOKUP($A242,'01-02.2021'!$A$6:$CZ$403,88,FALSE)+VLOOKUP($A242,'1.3.21-28.2.22'!$A$6:$DA$404,88,FALSE)-VLOOKUP($A242,'01-02.2022'!$A$6:$DA$376,88,FALSE)</f>
        <v>9821.4983979142853</v>
      </c>
      <c r="CK242" s="70">
        <f t="shared" si="265"/>
        <v>1756.7103985622989</v>
      </c>
      <c r="CL242" s="566">
        <f>VLOOKUP($A242,'01-02.2021'!$A$6:$CZ$403,90,FALSE)+VLOOKUP($A242,'1.3.21-28.2.22'!$A$6:$DA$404,90,FALSE)-VLOOKUP($A242,'01-02.2022'!$A$6:$DA$376,90,FALSE)</f>
        <v>0</v>
      </c>
      <c r="CM242" s="566">
        <f>VLOOKUP($A242,'01-02.2021'!$A$6:$CZ$403,91,FALSE)+VLOOKUP($A242,'1.3.21-28.2.22'!$A$6:$DA$404,91,FALSE)-VLOOKUP($A242,'01-02.2022'!$A$6:$DA$376,91,FALSE)</f>
        <v>0</v>
      </c>
      <c r="CN242" s="52">
        <f t="shared" si="225"/>
        <v>0</v>
      </c>
      <c r="CO242" s="39">
        <f t="shared" si="220"/>
        <v>8064.7879993519864</v>
      </c>
      <c r="CP242" s="40">
        <f t="shared" si="226"/>
        <v>9821.4983979142853</v>
      </c>
      <c r="CQ242" s="52">
        <f t="shared" si="227"/>
        <v>1756.7103985622989</v>
      </c>
      <c r="CR242" s="72">
        <f t="shared" si="221"/>
        <v>166339.957078045</v>
      </c>
      <c r="CS242" s="5">
        <f t="shared" si="221"/>
        <v>129843.1623882954</v>
      </c>
      <c r="CT242" s="52">
        <f t="shared" si="228"/>
        <v>-36496.7946897496</v>
      </c>
      <c r="CU242" s="77">
        <f t="shared" si="229"/>
        <v>199607.948493654</v>
      </c>
      <c r="CV242" s="65">
        <f t="shared" si="230"/>
        <v>155811.79486595446</v>
      </c>
      <c r="CW242" s="35">
        <f t="shared" si="231"/>
        <v>-43796.153627699532</v>
      </c>
      <c r="CX242" s="566">
        <f>VLOOKUP($A242,'01-02.2021'!$A$6:$CZ$403,102,FALSE)+VLOOKUP($A242,'1.3.21-28.2.22'!$A$6:$DA$404,102,FALSE)-VLOOKUP($A242,'01-02.2022'!$A$6:$DA$376,102,FALSE)</f>
        <v>10168.394266358904</v>
      </c>
      <c r="CY242" s="566">
        <f>VLOOKUP($A242,'01-02.2021'!$A$6:$CZ$403,103,FALSE)+VLOOKUP($A242,'1.3.21-28.2.22'!$A$6:$DA$404,103,FALSE)-VLOOKUP($A242,'01-02.2022'!$A$6:$DA$376,103,FALSE)</f>
        <v>53964.547894058429</v>
      </c>
      <c r="CZ242" s="52">
        <f t="shared" si="232"/>
        <v>43796.153627699525</v>
      </c>
      <c r="DA242" s="150">
        <f>'[2]побудинковий звіт'!DA242</f>
        <v>-22770.015108142099</v>
      </c>
      <c r="DB242" s="2">
        <v>1</v>
      </c>
      <c r="DC242" s="414">
        <f>'[4]побудинковий звіт'!DC242</f>
        <v>42841.599999999999</v>
      </c>
      <c r="DD242" s="414">
        <f>'[4]побудинковий звіт'!DD242</f>
        <v>0</v>
      </c>
      <c r="DE242" s="557">
        <f>'[4]побудинковий звіт'!DE242</f>
        <v>23824.195303002325</v>
      </c>
      <c r="DF242" s="557">
        <f>'[4]побудинковий звіт'!DF242</f>
        <v>0</v>
      </c>
      <c r="DG242" s="321">
        <f>VLOOKUP(A242,'кошти 01.03.2021'!$A$6:$D$401,4,)</f>
        <v>39604.780822871893</v>
      </c>
      <c r="DH242" s="40">
        <f>'[3]побудинковий звіт'!DJ242</f>
        <v>217038.1523106588</v>
      </c>
      <c r="DI242" s="422">
        <f>'[3]побудинковий звіт'!CU242+'[3]побудинковий звіт'!CX242</f>
        <v>19017.404696997673</v>
      </c>
      <c r="DJ242" s="306">
        <f>'[3]побудинковий звіт'!DM242</f>
        <v>5.8205260297486223</v>
      </c>
      <c r="DK242" s="306">
        <f t="shared" si="293"/>
        <v>5.8205260297486223</v>
      </c>
      <c r="DL242" s="306">
        <f>'[3]побудинковий звіт'!DO242</f>
        <v>5.2051000669991927</v>
      </c>
      <c r="DM242" s="28">
        <f t="shared" si="294"/>
        <v>19017.404696997673</v>
      </c>
      <c r="DN242" s="28">
        <f>H242*DL242</f>
        <v>0</v>
      </c>
      <c r="DO242" s="423">
        <f t="shared" si="238"/>
        <v>19017.404696997673</v>
      </c>
      <c r="DP242" s="94">
        <f t="shared" si="239"/>
        <v>0</v>
      </c>
      <c r="DQ242" s="28">
        <f t="shared" si="240"/>
        <v>19017.404696997673</v>
      </c>
      <c r="DR242" s="318"/>
      <c r="DT242" s="8"/>
      <c r="DU242" s="5"/>
      <c r="DX242" s="5">
        <f t="shared" si="241"/>
        <v>63797.759159853376</v>
      </c>
      <c r="DY242" s="5">
        <f t="shared" si="242"/>
        <v>18004.98</v>
      </c>
      <c r="DZ242" s="159">
        <f>'[3]побудинковий звіт'!EA242</f>
        <v>5636.9669353889885</v>
      </c>
    </row>
    <row r="243" spans="1:130" x14ac:dyDescent="0.3">
      <c r="A243" s="325">
        <v>150000948</v>
      </c>
      <c r="B243" s="41" t="s">
        <v>690</v>
      </c>
      <c r="C243" s="42" t="s">
        <v>384</v>
      </c>
      <c r="D243" s="42"/>
      <c r="E243" s="293">
        <f t="shared" si="218"/>
        <v>6615</v>
      </c>
      <c r="F243" s="305">
        <f>'[3]побудинковий звіт'!F243</f>
        <v>6615</v>
      </c>
      <c r="G243" s="508">
        <f>'[3]побудинковий звіт'!G243</f>
        <v>699.7</v>
      </c>
      <c r="H243" s="560">
        <f>'[3]побудинковий звіт'!H243</f>
        <v>0</v>
      </c>
      <c r="I243" s="566">
        <f>VLOOKUP($A243,'01-02.2021'!$A$6:$CZ$403,9,FALSE)+VLOOKUP($A243,'1.3.21-28.2.22'!$A$6:$DA$404,9,FALSE)-VLOOKUP($A243,'01-02.2022'!$A$6:$DA$376,9,FALSE)</f>
        <v>16040.990416578685</v>
      </c>
      <c r="J243" s="566">
        <f>VLOOKUP($A243,'01-02.2021'!$A$6:$CZ$403,10,FALSE)+VLOOKUP($A243,'1.3.21-28.2.22'!$A$6:$DA$404,10,FALSE)-VLOOKUP($A243,'01-02.2022'!$A$6:$DA$376,10,FALSE)</f>
        <v>14467.017177106045</v>
      </c>
      <c r="K243" s="52">
        <f t="shared" si="222"/>
        <v>-1573.9732394726398</v>
      </c>
      <c r="L243" s="566">
        <f>VLOOKUP($A243,'01-02.2021'!$A$6:$CZ$403,12,FALSE)+VLOOKUP($A243,'1.3.21-28.2.22'!$A$6:$DA$404,12,FALSE)-VLOOKUP($A243,'01-02.2022'!$A$6:$DA$376,12,FALSE)</f>
        <v>3408.9607772516974</v>
      </c>
      <c r="M243" s="566">
        <f>VLOOKUP($A243,'01-02.2021'!$A$6:$CZ$403,13,FALSE)+VLOOKUP($A243,'1.3.21-28.2.22'!$A$6:$DA$404,13,FALSE)-VLOOKUP($A243,'01-02.2022'!$A$6:$DA$376,13,FALSE)</f>
        <v>3083.0071126954545</v>
      </c>
      <c r="N243" s="52">
        <f t="shared" si="223"/>
        <v>-325.95366455624298</v>
      </c>
      <c r="O243" s="566">
        <f>VLOOKUP($A243,'01-02.2021'!$A$6:$CZ$403,15,FALSE)+VLOOKUP($A243,'1.3.21-28.2.22'!$A$6:$DA$404,15,FALSE)-VLOOKUP($A243,'01-02.2022'!$A$6:$DA$376,15,FALSE)</f>
        <v>8988.8863653529843</v>
      </c>
      <c r="P243" s="566">
        <f>VLOOKUP($A243,'01-02.2021'!$A$6:$CZ$403,16,FALSE)+VLOOKUP($A243,'1.3.21-28.2.22'!$A$6:$DA$404,16,FALSE)-VLOOKUP($A243,'01-02.2022'!$A$6:$DA$376,16,FALSE)</f>
        <v>8988.89</v>
      </c>
      <c r="Q243" s="70">
        <f t="shared" si="243"/>
        <v>3.6346470151329413E-3</v>
      </c>
      <c r="R243" s="566">
        <f>VLOOKUP($A243,'01-02.2021'!$A$6:$CZ$403,18,FALSE)+VLOOKUP($A243,'1.3.21-28.2.22'!$A$6:$DA$404,18,FALSE)-VLOOKUP($A243,'01-02.2022'!$A$6:$DA$376,18,FALSE)</f>
        <v>1837.7695123522162</v>
      </c>
      <c r="S243" s="566">
        <f>VLOOKUP($A243,'01-02.2021'!$A$6:$CZ$403,19,FALSE)+VLOOKUP($A243,'1.3.21-28.2.22'!$A$6:$DA$404,19,FALSE)-VLOOKUP($A243,'01-02.2022'!$A$6:$DA$376,19,FALSE)</f>
        <v>1837.7899999999995</v>
      </c>
      <c r="T243" s="70">
        <f t="shared" si="244"/>
        <v>2.0487647783284046E-2</v>
      </c>
      <c r="U243" s="566">
        <f>VLOOKUP($A243,'01-02.2021'!$A$6:$CZ$403,21,FALSE)+VLOOKUP($A243,'1.3.21-28.2.22'!$A$6:$DA$404,21,FALSE)-VLOOKUP($A243,'01-02.2022'!$A$6:$DA$376,21,FALSE)</f>
        <v>747.757185914395</v>
      </c>
      <c r="V243" s="566">
        <f>VLOOKUP($A243,'01-02.2021'!$A$6:$CZ$403,22,FALSE)+VLOOKUP($A243,'1.3.21-28.2.22'!$A$6:$DA$404,22,FALSE)-VLOOKUP($A243,'01-02.2022'!$A$6:$DA$376,22,FALSE)</f>
        <v>504.06258993446875</v>
      </c>
      <c r="W243" s="70">
        <f t="shared" si="245"/>
        <v>-243.69459597992625</v>
      </c>
      <c r="X243" s="566">
        <f>VLOOKUP($A243,'01-02.2021'!$A$6:$CZ$403,24,FALSE)+VLOOKUP($A243,'1.3.21-28.2.22'!$A$6:$DA$404,24,FALSE)-VLOOKUP($A243,'01-02.2022'!$A$6:$DA$376,24,FALSE)</f>
        <v>11084.287217492103</v>
      </c>
      <c r="Y243" s="566">
        <f>VLOOKUP($A243,'01-02.2021'!$A$6:$CZ$403,25,FALSE)+VLOOKUP($A243,'1.3.21-28.2.22'!$A$6:$DA$404,25,FALSE)-VLOOKUP($A243,'01-02.2022'!$A$6:$DA$376,25,FALSE)</f>
        <v>8976.9836928339209</v>
      </c>
      <c r="Z243" s="70">
        <f t="shared" si="246"/>
        <v>-2107.3035246581821</v>
      </c>
      <c r="AA243" s="566">
        <f>VLOOKUP($A243,'01-02.2021'!$A$6:$CZ$403,27,FALSE)+VLOOKUP($A243,'1.3.21-28.2.22'!$A$6:$DA$404,27,FALSE)-VLOOKUP($A243,'01-02.2022'!$A$6:$DA$376,27,FALSE)</f>
        <v>1321.1399999999999</v>
      </c>
      <c r="AB243" s="566">
        <f>VLOOKUP($A243,'01-02.2021'!$A$6:$CZ$403,28,FALSE)+VLOOKUP($A243,'1.3.21-28.2.22'!$A$6:$DA$404,28,FALSE)-VLOOKUP($A243,'01-02.2022'!$A$6:$DA$376,28,FALSE)</f>
        <v>0</v>
      </c>
      <c r="AC243" s="70">
        <f t="shared" si="247"/>
        <v>-1321.1399999999999</v>
      </c>
      <c r="AD243" s="566">
        <f>VLOOKUP($A243,'01-02.2021'!$A$6:$CZ$403,30,FALSE)+VLOOKUP($A243,'1.3.21-28.2.22'!$A$6:$DA$404,30,FALSE)-VLOOKUP($A243,'01-02.2022'!$A$6:$DA$376,30,FALSE)</f>
        <v>28396.526264862896</v>
      </c>
      <c r="AE243" s="566">
        <f>VLOOKUP($A243,'01-02.2021'!$A$6:$CZ$403,31,FALSE)+VLOOKUP($A243,'1.3.21-28.2.22'!$A$6:$DA$404,31,FALSE)-VLOOKUP($A243,'01-02.2022'!$A$6:$DA$376,31,FALSE)</f>
        <v>30094.774564855205</v>
      </c>
      <c r="AF243" s="68">
        <f t="shared" si="248"/>
        <v>1698.2482999923086</v>
      </c>
      <c r="AG243" s="77">
        <f t="shared" si="219"/>
        <v>71826.317739804974</v>
      </c>
      <c r="AH243" s="53">
        <f t="shared" si="219"/>
        <v>67952.525137425095</v>
      </c>
      <c r="AI243" s="52">
        <f t="shared" si="224"/>
        <v>-3873.7926023798791</v>
      </c>
      <c r="AJ243" s="566">
        <f>VLOOKUP($A243,'01-02.2021'!$A$6:$CZ$403,36,FALSE)+VLOOKUP($A243,'1.3.21-28.2.22'!$A$6:$DA$404,36,FALSE)-VLOOKUP($A243,'01-02.2022'!$A$6:$DA$376,36,FALSE)</f>
        <v>79166.942623131428</v>
      </c>
      <c r="AK243" s="566">
        <f>VLOOKUP($A243,'01-02.2021'!$A$6:$CZ$403,37,FALSE)+VLOOKUP($A243,'1.3.21-28.2.22'!$A$6:$DA$404,37,FALSE)-VLOOKUP($A243,'01-02.2022'!$A$6:$DA$376,37,FALSE)</f>
        <v>78414.474288967613</v>
      </c>
      <c r="AL243" s="70">
        <f t="shared" si="249"/>
        <v>-752.4683341638156</v>
      </c>
      <c r="AM243" s="566">
        <f>VLOOKUP($A243,'01-02.2021'!$A$6:$CZ$403,39,FALSE)+VLOOKUP($A243,'1.3.21-28.2.22'!$A$6:$DA$404,39,FALSE)-VLOOKUP($A243,'01-02.2022'!$A$6:$DA$376,39,FALSE)</f>
        <v>0</v>
      </c>
      <c r="AN243" s="566">
        <f>VLOOKUP($A243,'01-02.2021'!$A$6:$CZ$403,40,FALSE)+VLOOKUP($A243,'1.3.21-28.2.22'!$A$6:$DA$404,40,FALSE)-VLOOKUP($A243,'01-02.2022'!$A$6:$DA$376,40,FALSE)</f>
        <v>0</v>
      </c>
      <c r="AO243" s="70">
        <f t="shared" si="250"/>
        <v>0</v>
      </c>
      <c r="AP243" s="566">
        <f>VLOOKUP($A243,'01-02.2021'!$A$6:$CZ$403,42,FALSE)+VLOOKUP($A243,'1.3.21-28.2.22'!$A$6:$DA$404,42,FALSE)-VLOOKUP($A243,'01-02.2022'!$A$6:$DA$376,42,FALSE)</f>
        <v>4685.0393251149972</v>
      </c>
      <c r="AQ243" s="566">
        <f>VLOOKUP($A243,'01-02.2021'!$A$6:$CZ$403,43,FALSE)+VLOOKUP($A243,'1.3.21-28.2.22'!$A$6:$DA$404,43,FALSE)-VLOOKUP($A243,'01-02.2022'!$A$6:$DA$376,43,FALSE)</f>
        <v>3767.6526947977245</v>
      </c>
      <c r="AR243" s="70">
        <f t="shared" si="251"/>
        <v>-917.38663031727265</v>
      </c>
      <c r="AS243" s="566">
        <f>VLOOKUP($A243,'01-02.2021'!$A$6:$CZ$403,45,FALSE)+VLOOKUP($A243,'1.3.21-28.2.22'!$A$6:$DA$404,45,FALSE)-VLOOKUP($A243,'01-02.2022'!$A$6:$DA$376,45,FALSE)</f>
        <v>80902.781464706408</v>
      </c>
      <c r="AT243" s="566">
        <f>VLOOKUP($A243,'01-02.2021'!$A$6:$CZ$403,46,FALSE)+VLOOKUP($A243,'1.3.21-28.2.22'!$A$6:$DA$404,46,FALSE)-VLOOKUP($A243,'01-02.2022'!$A$6:$DA$376,46,FALSE)</f>
        <v>147981.78133877701</v>
      </c>
      <c r="AU243" s="78">
        <f t="shared" si="252"/>
        <v>67078.999874070607</v>
      </c>
      <c r="AV243" s="566">
        <f>VLOOKUP($A243,'01-02.2021'!$A$6:$CZ$403,48,FALSE)+VLOOKUP($A243,'1.3.21-28.2.22'!$A$6:$DA$404,48,FALSE)-VLOOKUP($A243,'01-02.2022'!$A$6:$DA$376,48,FALSE)</f>
        <v>3603.2531231293406</v>
      </c>
      <c r="AW243" s="566">
        <f>VLOOKUP($A243,'01-02.2021'!$A$6:$CZ$403,49,FALSE)+VLOOKUP($A243,'1.3.21-28.2.22'!$A$6:$DA$404,49,FALSE)-VLOOKUP($A243,'01-02.2022'!$A$6:$DA$376,49,FALSE)</f>
        <v>2677</v>
      </c>
      <c r="AX243" s="55">
        <f t="shared" si="253"/>
        <v>-926.25312312934057</v>
      </c>
      <c r="AY243" s="566">
        <f>VLOOKUP($A243,'01-02.2021'!$A$6:$CZ$403,51,FALSE)+VLOOKUP($A243,'1.3.21-28.2.22'!$A$6:$DA$404,51,FALSE)-VLOOKUP($A243,'01-02.2022'!$A$6:$DA$376,51,FALSE)</f>
        <v>4723.1588662858521</v>
      </c>
      <c r="AZ243" s="566">
        <f>VLOOKUP($A243,'01-02.2021'!$A$6:$CZ$403,52,FALSE)+VLOOKUP($A243,'1.3.21-28.2.22'!$A$6:$DA$404,52,FALSE)-VLOOKUP($A243,'01-02.2022'!$A$6:$DA$376,52,FALSE)</f>
        <v>27523.759999999998</v>
      </c>
      <c r="BA243" s="38">
        <f t="shared" si="254"/>
        <v>22800.601133714146</v>
      </c>
      <c r="BB243" s="566">
        <f>VLOOKUP($A243,'01-02.2021'!$A$6:$CZ$403,54,FALSE)+VLOOKUP($A243,'1.3.21-28.2.22'!$A$6:$DA$404,54,FALSE)-VLOOKUP($A243,'01-02.2022'!$A$6:$DA$376,54,FALSE)</f>
        <v>2475.1333545821831</v>
      </c>
      <c r="BC243" s="566">
        <f>VLOOKUP($A243,'01-02.2021'!$A$6:$CZ$403,55,FALSE)+VLOOKUP($A243,'1.3.21-28.2.22'!$A$6:$DA$404,55,FALSE)-VLOOKUP($A243,'01-02.2022'!$A$6:$DA$376,55,FALSE)</f>
        <v>0</v>
      </c>
      <c r="BD243" s="55">
        <f t="shared" si="255"/>
        <v>-2475.1333545821831</v>
      </c>
      <c r="BE243" s="566">
        <f>VLOOKUP($A243,'01-02.2021'!$A$6:$CZ$403,57,FALSE)+VLOOKUP($A243,'1.3.21-28.2.22'!$A$6:$DA$404,57,FALSE)-VLOOKUP($A243,'01-02.2022'!$A$6:$DA$376,57,FALSE)</f>
        <v>3976.4374473507978</v>
      </c>
      <c r="BF243" s="566">
        <f>VLOOKUP($A243,'01-02.2021'!$A$6:$CZ$403,58,FALSE)+VLOOKUP($A243,'1.3.21-28.2.22'!$A$6:$DA$404,58,FALSE)-VLOOKUP($A243,'01-02.2022'!$A$6:$DA$376,58,FALSE)</f>
        <v>7475.2</v>
      </c>
      <c r="BG243" s="55">
        <f t="shared" si="256"/>
        <v>3498.762552649202</v>
      </c>
      <c r="BH243" s="566">
        <f>VLOOKUP($A243,'01-02.2021'!$A$6:$CZ$403,60,FALSE)+VLOOKUP($A243,'1.3.21-28.2.22'!$A$6:$DA$404,60,FALSE)-VLOOKUP($A243,'01-02.2022'!$A$6:$DA$376,60,FALSE)</f>
        <v>1420.6426442971808</v>
      </c>
      <c r="BI243" s="566">
        <f>VLOOKUP($A243,'01-02.2021'!$A$6:$CZ$403,61,FALSE)+VLOOKUP($A243,'1.3.21-28.2.22'!$A$6:$DA$404,61,FALSE)-VLOOKUP($A243,'01-02.2022'!$A$6:$DA$376,61,FALSE)</f>
        <v>51</v>
      </c>
      <c r="BJ243" s="55">
        <f t="shared" si="257"/>
        <v>-1369.6426442971808</v>
      </c>
      <c r="BK243" s="566">
        <f>VLOOKUP($A243,'01-02.2021'!$A$6:$CZ$403,63,FALSE)+VLOOKUP($A243,'1.3.21-28.2.22'!$A$6:$DA$404,63,FALSE)-VLOOKUP($A243,'01-02.2022'!$A$6:$DA$376,63,FALSE)</f>
        <v>3712.0446011062527</v>
      </c>
      <c r="BL243" s="566">
        <f>VLOOKUP($A243,'01-02.2021'!$A$6:$CZ$403,64,FALSE)+VLOOKUP($A243,'1.3.21-28.2.22'!$A$6:$DA$404,64,FALSE)-VLOOKUP($A243,'01-02.2022'!$A$6:$DA$376,64,FALSE)</f>
        <v>0</v>
      </c>
      <c r="BM243" s="55">
        <f t="shared" si="258"/>
        <v>-3712.0446011062527</v>
      </c>
      <c r="BN243" s="566">
        <f>VLOOKUP($A243,'01-02.2021'!$A$6:$CZ$403,66,FALSE)+VLOOKUP($A243,'1.3.21-28.2.22'!$A$6:$DA$404,66,FALSE)-VLOOKUP($A243,'01-02.2022'!$A$6:$DA$376,66,FALSE)</f>
        <v>741.43722659873231</v>
      </c>
      <c r="BO243" s="566">
        <f>VLOOKUP($A243,'01-02.2021'!$A$6:$CZ$403,67,FALSE)+VLOOKUP($A243,'1.3.21-28.2.22'!$A$6:$DA$404,67,FALSE)-VLOOKUP($A243,'01-02.2022'!$A$6:$DA$376,67,FALSE)</f>
        <v>5933.8</v>
      </c>
      <c r="BP243" s="55">
        <f t="shared" si="259"/>
        <v>5192.362773401268</v>
      </c>
      <c r="BQ243" s="77">
        <f t="shared" si="287"/>
        <v>20652.107263350339</v>
      </c>
      <c r="BR243" s="40">
        <f t="shared" si="289"/>
        <v>43660.76</v>
      </c>
      <c r="BS243" s="55">
        <f t="shared" si="236"/>
        <v>23008.652736649663</v>
      </c>
      <c r="BT243" s="566">
        <f>VLOOKUP($A243,'01-02.2021'!$A$6:$CZ$403,72,FALSE)+VLOOKUP($A243,'1.3.21-28.2.22'!$A$6:$DA$404,72,FALSE)-VLOOKUP($A243,'01-02.2022'!$A$6:$DA$376,72,FALSE)</f>
        <v>78687.77606118159</v>
      </c>
      <c r="BU243" s="566">
        <f>VLOOKUP($A243,'01-02.2021'!$A$6:$CZ$403,73,FALSE)+VLOOKUP($A243,'1.3.21-28.2.22'!$A$6:$DA$404,73,FALSE)-VLOOKUP($A243,'01-02.2022'!$A$6:$DA$376,73,FALSE)</f>
        <v>72552.304201053805</v>
      </c>
      <c r="BV243" s="70">
        <f t="shared" si="260"/>
        <v>-6135.4718601277855</v>
      </c>
      <c r="BW243" s="566">
        <f>VLOOKUP($A243,'01-02.2021'!$A$6:$CZ$403,75,FALSE)+VLOOKUP($A243,'1.3.21-28.2.22'!$A$6:$DA$404,75,FALSE)-VLOOKUP($A243,'01-02.2022'!$A$6:$DA$376,75,FALSE)</f>
        <v>58667.532737699825</v>
      </c>
      <c r="BX243" s="566">
        <f>VLOOKUP($A243,'01-02.2021'!$A$6:$CZ$403,76,FALSE)+VLOOKUP($A243,'1.3.21-28.2.22'!$A$6:$DA$404,76,FALSE)-VLOOKUP($A243,'01-02.2022'!$A$6:$DA$376,76,FALSE)</f>
        <v>56758.830031517267</v>
      </c>
      <c r="BY243" s="70">
        <f t="shared" si="261"/>
        <v>-1908.7027061825574</v>
      </c>
      <c r="BZ243" s="566">
        <f>VLOOKUP($A243,'01-02.2021'!$A$6:$CZ$403,78,FALSE)+VLOOKUP($A243,'1.3.21-28.2.22'!$A$6:$DA$404,78,FALSE)-VLOOKUP($A243,'01-02.2022'!$A$6:$DA$376,78,FALSE)</f>
        <v>10130.632448559907</v>
      </c>
      <c r="CA243" s="566">
        <f>VLOOKUP($A243,'01-02.2021'!$A$6:$CZ$403,79,FALSE)+VLOOKUP($A243,'1.3.21-28.2.22'!$A$6:$DA$404,79,FALSE)-VLOOKUP($A243,'01-02.2022'!$A$6:$DA$376,79,FALSE)</f>
        <v>17480.074024759568</v>
      </c>
      <c r="CB243" s="70">
        <f t="shared" si="262"/>
        <v>7349.4415761996606</v>
      </c>
      <c r="CC243" s="566">
        <f>VLOOKUP($A243,'01-02.2021'!$A$6:$CZ$403,81,FALSE)+VLOOKUP($A243,'1.3.21-28.2.22'!$A$6:$DA$404,81,FALSE)-VLOOKUP($A243,'01-02.2022'!$A$6:$DA$376,81,FALSE)</f>
        <v>1711.9682449228167</v>
      </c>
      <c r="CD243" s="566">
        <f>VLOOKUP($A243,'01-02.2021'!$A$6:$CZ$403,82,FALSE)+VLOOKUP($A243,'1.3.21-28.2.22'!$A$6:$DA$404,82,FALSE)-VLOOKUP($A243,'01-02.2022'!$A$6:$DA$376,82,FALSE)</f>
        <v>1850.7144175098147</v>
      </c>
      <c r="CE243" s="70">
        <f t="shared" si="263"/>
        <v>138.746172586998</v>
      </c>
      <c r="CF243" s="566">
        <f>VLOOKUP($A243,'01-02.2021'!$A$6:$CZ$403,84,FALSE)+VLOOKUP($A243,'1.3.21-28.2.22'!$A$6:$DA$404,84,FALSE)-VLOOKUP($A243,'01-02.2022'!$A$6:$DA$376,84,FALSE)</f>
        <v>205.84986034584858</v>
      </c>
      <c r="CG243" s="566">
        <f>VLOOKUP($A243,'01-02.2021'!$A$6:$CZ$403,85,FALSE)+VLOOKUP($A243,'1.3.21-28.2.22'!$A$6:$DA$404,85,FALSE)-VLOOKUP($A243,'01-02.2022'!$A$6:$DA$376,85,FALSE)</f>
        <v>0</v>
      </c>
      <c r="CH243" s="70">
        <f t="shared" si="264"/>
        <v>-205.84986034584858</v>
      </c>
      <c r="CI243" s="566">
        <f>VLOOKUP($A243,'01-02.2021'!$A$6:$CZ$403,87,FALSE)+VLOOKUP($A243,'1.3.21-28.2.22'!$A$6:$DA$404,87,FALSE)-VLOOKUP($A243,'01-02.2022'!$A$6:$DA$376,87,FALSE)</f>
        <v>10622.748776115952</v>
      </c>
      <c r="CJ243" s="566">
        <f>VLOOKUP($A243,'01-02.2021'!$A$6:$CZ$403,88,FALSE)+VLOOKUP($A243,'1.3.21-28.2.22'!$A$6:$DA$404,88,FALSE)-VLOOKUP($A243,'01-02.2022'!$A$6:$DA$376,88,FALSE)</f>
        <v>10172.130280801084</v>
      </c>
      <c r="CK243" s="70">
        <f t="shared" si="265"/>
        <v>-450.61849531486769</v>
      </c>
      <c r="CL243" s="566">
        <f>VLOOKUP($A243,'01-02.2021'!$A$6:$CZ$403,90,FALSE)+VLOOKUP($A243,'1.3.21-28.2.22'!$A$6:$DA$404,90,FALSE)-VLOOKUP($A243,'01-02.2022'!$A$6:$DA$376,90,FALSE)</f>
        <v>15922.591211824149</v>
      </c>
      <c r="CM243" s="566">
        <f>VLOOKUP($A243,'01-02.2021'!$A$6:$CZ$403,91,FALSE)+VLOOKUP($A243,'1.3.21-28.2.22'!$A$6:$DA$404,91,FALSE)-VLOOKUP($A243,'01-02.2022'!$A$6:$DA$376,91,FALSE)</f>
        <v>15555.077381436195</v>
      </c>
      <c r="CN243" s="52">
        <f t="shared" si="225"/>
        <v>-367.51383038795393</v>
      </c>
      <c r="CO243" s="39">
        <f t="shared" si="220"/>
        <v>26545.3399879401</v>
      </c>
      <c r="CP243" s="40">
        <f t="shared" si="226"/>
        <v>25727.207662237277</v>
      </c>
      <c r="CQ243" s="52">
        <f t="shared" si="227"/>
        <v>-818.13232570282344</v>
      </c>
      <c r="CR243" s="72">
        <f t="shared" si="221"/>
        <v>433182.28775675822</v>
      </c>
      <c r="CS243" s="5">
        <f t="shared" si="221"/>
        <v>516146.32379704522</v>
      </c>
      <c r="CT243" s="52">
        <f t="shared" si="228"/>
        <v>82964.036040286999</v>
      </c>
      <c r="CU243" s="77">
        <f t="shared" si="229"/>
        <v>519818.74530810985</v>
      </c>
      <c r="CV243" s="65">
        <f t="shared" si="230"/>
        <v>619375.58855645428</v>
      </c>
      <c r="CW243" s="35">
        <f t="shared" si="231"/>
        <v>99556.843248344434</v>
      </c>
      <c r="CX243" s="566">
        <f>VLOOKUP($A243,'01-02.2021'!$A$6:$CZ$403,102,FALSE)+VLOOKUP($A243,'1.3.21-28.2.22'!$A$6:$DA$404,102,FALSE)-VLOOKUP($A243,'01-02.2022'!$A$6:$DA$376,102,FALSE)</f>
        <v>18137.446138975207</v>
      </c>
      <c r="CY243" s="566">
        <f>VLOOKUP($A243,'01-02.2021'!$A$6:$CZ$403,103,FALSE)+VLOOKUP($A243,'1.3.21-28.2.22'!$A$6:$DA$404,103,FALSE)-VLOOKUP($A243,'01-02.2022'!$A$6:$DA$376,103,FALSE)</f>
        <v>-81419.397109369194</v>
      </c>
      <c r="CZ243" s="52">
        <f t="shared" si="232"/>
        <v>-99556.843248344405</v>
      </c>
      <c r="DA243" s="150">
        <f>'[2]побудинковий звіт'!DA243</f>
        <v>30027.470699141049</v>
      </c>
      <c r="DB243" s="2">
        <v>1</v>
      </c>
      <c r="DC243" s="414">
        <f>'[4]побудинковий звіт'!DC243</f>
        <v>66276.899999999994</v>
      </c>
      <c r="DD243" s="414">
        <f>'[4]побудинковий звіт'!DD243</f>
        <v>0</v>
      </c>
      <c r="DE243" s="557">
        <f>'[4]побудинковий звіт'!DE243</f>
        <v>17459.062731328595</v>
      </c>
      <c r="DF243" s="557">
        <f>'[4]побудинковий звіт'!DF243</f>
        <v>0</v>
      </c>
      <c r="DG243" s="321">
        <f>VLOOKUP(A243,'кошти 01.03.2021'!$A$6:$D$401,4,)</f>
        <v>-51471.453987688161</v>
      </c>
      <c r="DH243" s="40">
        <f>'[3]побудинковий звіт'!DJ243</f>
        <v>556814.67839100631</v>
      </c>
      <c r="DI243" s="422">
        <f>'[3]побудинковий звіт'!CU243+'[3]побудинковий звіт'!CX243</f>
        <v>48817.837268671399</v>
      </c>
      <c r="DJ243" s="306">
        <f>'[3]побудинковий звіт'!DM243</f>
        <v>5.7972584118578867</v>
      </c>
      <c r="DK243" s="306">
        <f>'[3]побудинковий звіт'!DN243</f>
        <v>7.5670710797245171</v>
      </c>
      <c r="DL243" s="306">
        <f>'[3]побудинковий звіт'!DO243</f>
        <v>4.7391552306308311</v>
      </c>
      <c r="DM243" s="28">
        <f t="shared" ref="DM243:DM244" si="295">DJ243*G243+(F243-G243)*DK243</f>
        <v>48817.837268671399</v>
      </c>
      <c r="DN243" s="28">
        <f>DL243*H243</f>
        <v>0</v>
      </c>
      <c r="DO243" s="423">
        <f t="shared" si="238"/>
        <v>48817.837268671399</v>
      </c>
      <c r="DP243" s="94">
        <f t="shared" si="239"/>
        <v>0</v>
      </c>
      <c r="DQ243" s="28">
        <f t="shared" si="240"/>
        <v>48817.837268671399</v>
      </c>
      <c r="DR243" s="318"/>
      <c r="DT243" s="8"/>
      <c r="DU243" s="5"/>
      <c r="DX243" s="5">
        <f t="shared" si="241"/>
        <v>121865.86647366808</v>
      </c>
      <c r="DY243" s="5">
        <f t="shared" si="242"/>
        <v>229971.04960653241</v>
      </c>
      <c r="DZ243" s="159">
        <f>'[3]побудинковий звіт'!EA243</f>
        <v>11417.391652890083</v>
      </c>
    </row>
    <row r="244" spans="1:130" x14ac:dyDescent="0.3">
      <c r="A244" s="325">
        <v>150000949</v>
      </c>
      <c r="B244" s="41" t="s">
        <v>691</v>
      </c>
      <c r="C244" s="42" t="s">
        <v>385</v>
      </c>
      <c r="D244" s="42"/>
      <c r="E244" s="293">
        <f t="shared" ref="E244:E302" si="296">F244+H244</f>
        <v>9392.7999999999993</v>
      </c>
      <c r="F244" s="305">
        <f>'[3]побудинковий звіт'!F244</f>
        <v>9392.7999999999993</v>
      </c>
      <c r="G244" s="508">
        <f>'[3]побудинковий звіт'!G244</f>
        <v>999.75</v>
      </c>
      <c r="H244" s="560">
        <f>'[3]побудинковий звіт'!H244</f>
        <v>0</v>
      </c>
      <c r="I244" s="566">
        <f>VLOOKUP($A244,'01-02.2021'!$A$6:$CZ$403,9,FALSE)+VLOOKUP($A244,'1.3.21-28.2.22'!$A$6:$DA$404,9,FALSE)-VLOOKUP($A244,'01-02.2022'!$A$6:$DA$376,9,FALSE)</f>
        <v>22773.105152532877</v>
      </c>
      <c r="J244" s="566">
        <f>VLOOKUP($A244,'01-02.2021'!$A$6:$CZ$403,10,FALSE)+VLOOKUP($A244,'1.3.21-28.2.22'!$A$6:$DA$404,10,FALSE)-VLOOKUP($A244,'01-02.2022'!$A$6:$DA$376,10,FALSE)</f>
        <v>20554.401562133491</v>
      </c>
      <c r="K244" s="52">
        <f t="shared" si="222"/>
        <v>-2218.7035903993856</v>
      </c>
      <c r="L244" s="566">
        <f>VLOOKUP($A244,'01-02.2021'!$A$6:$CZ$403,12,FALSE)+VLOOKUP($A244,'1.3.21-28.2.22'!$A$6:$DA$404,12,FALSE)-VLOOKUP($A244,'01-02.2022'!$A$6:$DA$376,12,FALSE)</f>
        <v>4753.4564946277042</v>
      </c>
      <c r="M244" s="566">
        <f>VLOOKUP($A244,'01-02.2021'!$A$6:$CZ$403,13,FALSE)+VLOOKUP($A244,'1.3.21-28.2.22'!$A$6:$DA$404,13,FALSE)-VLOOKUP($A244,'01-02.2022'!$A$6:$DA$376,13,FALSE)</f>
        <v>4299.900071877244</v>
      </c>
      <c r="N244" s="52">
        <f t="shared" si="223"/>
        <v>-453.55642275046011</v>
      </c>
      <c r="O244" s="566">
        <f>VLOOKUP($A244,'01-02.2021'!$A$6:$CZ$403,15,FALSE)+VLOOKUP($A244,'1.3.21-28.2.22'!$A$6:$DA$404,15,FALSE)-VLOOKUP($A244,'01-02.2022'!$A$6:$DA$376,15,FALSE)</f>
        <v>13000.454263348043</v>
      </c>
      <c r="P244" s="566">
        <f>VLOOKUP($A244,'01-02.2021'!$A$6:$CZ$403,16,FALSE)+VLOOKUP($A244,'1.3.21-28.2.22'!$A$6:$DA$404,16,FALSE)-VLOOKUP($A244,'01-02.2022'!$A$6:$DA$376,16,FALSE)</f>
        <v>13000.420000000004</v>
      </c>
      <c r="Q244" s="70">
        <f t="shared" si="243"/>
        <v>-3.4263348039530683E-2</v>
      </c>
      <c r="R244" s="566">
        <f>VLOOKUP($A244,'01-02.2021'!$A$6:$CZ$403,18,FALSE)+VLOOKUP($A244,'1.3.21-28.2.22'!$A$6:$DA$404,18,FALSE)-VLOOKUP($A244,'01-02.2022'!$A$6:$DA$376,18,FALSE)</f>
        <v>2682.367233687783</v>
      </c>
      <c r="S244" s="566">
        <f>VLOOKUP($A244,'01-02.2021'!$A$6:$CZ$403,19,FALSE)+VLOOKUP($A244,'1.3.21-28.2.22'!$A$6:$DA$404,19,FALSE)-VLOOKUP($A244,'01-02.2022'!$A$6:$DA$376,19,FALSE)</f>
        <v>2682.3499999999995</v>
      </c>
      <c r="T244" s="70">
        <f t="shared" si="244"/>
        <v>-1.7233687783573259E-2</v>
      </c>
      <c r="U244" s="566">
        <f>VLOOKUP($A244,'01-02.2021'!$A$6:$CZ$403,21,FALSE)+VLOOKUP($A244,'1.3.21-28.2.22'!$A$6:$DA$404,21,FALSE)-VLOOKUP($A244,'01-02.2022'!$A$6:$DA$376,21,FALSE)</f>
        <v>2479.7207624630696</v>
      </c>
      <c r="V244" s="566">
        <f>VLOOKUP($A244,'01-02.2021'!$A$6:$CZ$403,22,FALSE)+VLOOKUP($A244,'1.3.21-28.2.22'!$A$6:$DA$404,22,FALSE)-VLOOKUP($A244,'01-02.2022'!$A$6:$DA$376,22,FALSE)</f>
        <v>1632.3603896931409</v>
      </c>
      <c r="W244" s="70">
        <f t="shared" si="245"/>
        <v>-847.36037276992874</v>
      </c>
      <c r="X244" s="566">
        <f>VLOOKUP($A244,'01-02.2021'!$A$6:$CZ$403,24,FALSE)+VLOOKUP($A244,'1.3.21-28.2.22'!$A$6:$DA$404,24,FALSE)-VLOOKUP($A244,'01-02.2022'!$A$6:$DA$376,24,FALSE)</f>
        <v>19593.479548105883</v>
      </c>
      <c r="Y244" s="566">
        <f>VLOOKUP($A244,'01-02.2021'!$A$6:$CZ$403,25,FALSE)+VLOOKUP($A244,'1.3.21-28.2.22'!$A$6:$DA$404,25,FALSE)-VLOOKUP($A244,'01-02.2022'!$A$6:$DA$376,25,FALSE)</f>
        <v>16115.241540121418</v>
      </c>
      <c r="Z244" s="70">
        <f t="shared" si="246"/>
        <v>-3478.2380079844643</v>
      </c>
      <c r="AA244" s="566">
        <f>VLOOKUP($A244,'01-02.2021'!$A$6:$CZ$403,27,FALSE)+VLOOKUP($A244,'1.3.21-28.2.22'!$A$6:$DA$404,27,FALSE)-VLOOKUP($A244,'01-02.2022'!$A$6:$DA$376,27,FALSE)</f>
        <v>1878.1000000000001</v>
      </c>
      <c r="AB244" s="566">
        <f>VLOOKUP($A244,'01-02.2021'!$A$6:$CZ$403,28,FALSE)+VLOOKUP($A244,'1.3.21-28.2.22'!$A$6:$DA$404,28,FALSE)-VLOOKUP($A244,'01-02.2022'!$A$6:$DA$376,28,FALSE)</f>
        <v>0</v>
      </c>
      <c r="AC244" s="70">
        <f t="shared" si="247"/>
        <v>-1878.1000000000001</v>
      </c>
      <c r="AD244" s="566">
        <f>VLOOKUP($A244,'01-02.2021'!$A$6:$CZ$403,30,FALSE)+VLOOKUP($A244,'1.3.21-28.2.22'!$A$6:$DA$404,30,FALSE)-VLOOKUP($A244,'01-02.2022'!$A$6:$DA$376,30,FALSE)</f>
        <v>40340.634893113398</v>
      </c>
      <c r="AE244" s="566">
        <f>VLOOKUP($A244,'01-02.2021'!$A$6:$CZ$403,31,FALSE)+VLOOKUP($A244,'1.3.21-28.2.22'!$A$6:$DA$404,31,FALSE)-VLOOKUP($A244,'01-02.2022'!$A$6:$DA$376,31,FALSE)</f>
        <v>42751.675315514054</v>
      </c>
      <c r="AF244" s="68">
        <f t="shared" si="248"/>
        <v>2411.0404224006561</v>
      </c>
      <c r="AG244" s="77">
        <f t="shared" ref="AG244:AH302" si="297">I244+L244+O244+R244+U244+X244+AA244+AD244</f>
        <v>107501.31834787877</v>
      </c>
      <c r="AH244" s="53">
        <f t="shared" si="297"/>
        <v>101036.34887933935</v>
      </c>
      <c r="AI244" s="52">
        <f t="shared" si="224"/>
        <v>-6464.9694685394206</v>
      </c>
      <c r="AJ244" s="566">
        <f>VLOOKUP($A244,'01-02.2021'!$A$6:$CZ$403,36,FALSE)+VLOOKUP($A244,'1.3.21-28.2.22'!$A$6:$DA$404,36,FALSE)-VLOOKUP($A244,'01-02.2022'!$A$6:$DA$376,36,FALSE)</f>
        <v>123507.62461227867</v>
      </c>
      <c r="AK244" s="566">
        <f>VLOOKUP($A244,'01-02.2021'!$A$6:$CZ$403,37,FALSE)+VLOOKUP($A244,'1.3.21-28.2.22'!$A$6:$DA$404,37,FALSE)-VLOOKUP($A244,'01-02.2022'!$A$6:$DA$376,37,FALSE)</f>
        <v>122697.74069696586</v>
      </c>
      <c r="AL244" s="70">
        <f t="shared" si="249"/>
        <v>-809.88391531280649</v>
      </c>
      <c r="AM244" s="566">
        <f>VLOOKUP($A244,'01-02.2021'!$A$6:$CZ$403,39,FALSE)+VLOOKUP($A244,'1.3.21-28.2.22'!$A$6:$DA$404,39,FALSE)-VLOOKUP($A244,'01-02.2022'!$A$6:$DA$376,39,FALSE)</f>
        <v>525.37471249999999</v>
      </c>
      <c r="AN244" s="566">
        <f>VLOOKUP($A244,'01-02.2021'!$A$6:$CZ$403,40,FALSE)+VLOOKUP($A244,'1.3.21-28.2.22'!$A$6:$DA$404,40,FALSE)-VLOOKUP($A244,'01-02.2022'!$A$6:$DA$376,40,FALSE)</f>
        <v>0</v>
      </c>
      <c r="AO244" s="70">
        <f t="shared" si="250"/>
        <v>-525.37471249999999</v>
      </c>
      <c r="AP244" s="566">
        <f>VLOOKUP($A244,'01-02.2021'!$A$6:$CZ$403,42,FALSE)+VLOOKUP($A244,'1.3.21-28.2.22'!$A$6:$DA$404,42,FALSE)-VLOOKUP($A244,'01-02.2022'!$A$6:$DA$376,42,FALSE)</f>
        <v>7765.0188814405956</v>
      </c>
      <c r="AQ244" s="566">
        <f>VLOOKUP($A244,'01-02.2021'!$A$6:$CZ$403,43,FALSE)+VLOOKUP($A244,'1.3.21-28.2.22'!$A$6:$DA$404,43,FALSE)-VLOOKUP($A244,'01-02.2022'!$A$6:$DA$376,43,FALSE)</f>
        <v>6493.2841952634344</v>
      </c>
      <c r="AR244" s="70">
        <f t="shared" si="251"/>
        <v>-1271.7346861771612</v>
      </c>
      <c r="AS244" s="566">
        <f>VLOOKUP($A244,'01-02.2021'!$A$6:$CZ$403,45,FALSE)+VLOOKUP($A244,'1.3.21-28.2.22'!$A$6:$DA$404,45,FALSE)-VLOOKUP($A244,'01-02.2022'!$A$6:$DA$376,45,FALSE)</f>
        <v>128679.90503492477</v>
      </c>
      <c r="AT244" s="566">
        <f>VLOOKUP($A244,'01-02.2021'!$A$6:$CZ$403,46,FALSE)+VLOOKUP($A244,'1.3.21-28.2.22'!$A$6:$DA$404,46,FALSE)-VLOOKUP($A244,'01-02.2022'!$A$6:$DA$376,46,FALSE)</f>
        <v>37286.965253095601</v>
      </c>
      <c r="AU244" s="78">
        <f t="shared" si="252"/>
        <v>-91392.939781829162</v>
      </c>
      <c r="AV244" s="566">
        <f>VLOOKUP($A244,'01-02.2021'!$A$6:$CZ$403,48,FALSE)+VLOOKUP($A244,'1.3.21-28.2.22'!$A$6:$DA$404,48,FALSE)-VLOOKUP($A244,'01-02.2022'!$A$6:$DA$376,48,FALSE)</f>
        <v>4381.2364527916488</v>
      </c>
      <c r="AW244" s="566">
        <f>VLOOKUP($A244,'01-02.2021'!$A$6:$CZ$403,49,FALSE)+VLOOKUP($A244,'1.3.21-28.2.22'!$A$6:$DA$404,49,FALSE)-VLOOKUP($A244,'01-02.2022'!$A$6:$DA$376,49,FALSE)</f>
        <v>3724</v>
      </c>
      <c r="AX244" s="55">
        <f t="shared" si="253"/>
        <v>-657.23645279164884</v>
      </c>
      <c r="AY244" s="566">
        <f>VLOOKUP($A244,'01-02.2021'!$A$6:$CZ$403,51,FALSE)+VLOOKUP($A244,'1.3.21-28.2.22'!$A$6:$DA$404,51,FALSE)-VLOOKUP($A244,'01-02.2022'!$A$6:$DA$376,51,FALSE)</f>
        <v>5656.5444220814461</v>
      </c>
      <c r="AZ244" s="566">
        <f>VLOOKUP($A244,'01-02.2021'!$A$6:$CZ$403,52,FALSE)+VLOOKUP($A244,'1.3.21-28.2.22'!$A$6:$DA$404,52,FALSE)-VLOOKUP($A244,'01-02.2022'!$A$6:$DA$376,52,FALSE)</f>
        <v>12757</v>
      </c>
      <c r="BA244" s="38">
        <f t="shared" si="254"/>
        <v>7100.4555779185539</v>
      </c>
      <c r="BB244" s="566">
        <f>VLOOKUP($A244,'01-02.2021'!$A$6:$CZ$403,54,FALSE)+VLOOKUP($A244,'1.3.21-28.2.22'!$A$6:$DA$404,54,FALSE)-VLOOKUP($A244,'01-02.2022'!$A$6:$DA$376,54,FALSE)</f>
        <v>2394.2675875659515</v>
      </c>
      <c r="BC244" s="566">
        <f>VLOOKUP($A244,'01-02.2021'!$A$6:$CZ$403,55,FALSE)+VLOOKUP($A244,'1.3.21-28.2.22'!$A$6:$DA$404,55,FALSE)-VLOOKUP($A244,'01-02.2022'!$A$6:$DA$376,55,FALSE)</f>
        <v>0</v>
      </c>
      <c r="BD244" s="55">
        <f t="shared" si="255"/>
        <v>-2394.2675875659515</v>
      </c>
      <c r="BE244" s="566">
        <f>VLOOKUP($A244,'01-02.2021'!$A$6:$CZ$403,57,FALSE)+VLOOKUP($A244,'1.3.21-28.2.22'!$A$6:$DA$404,57,FALSE)-VLOOKUP($A244,'01-02.2022'!$A$6:$DA$376,57,FALSE)</f>
        <v>5243.3442589001206</v>
      </c>
      <c r="BF244" s="566">
        <f>VLOOKUP($A244,'01-02.2021'!$A$6:$CZ$403,58,FALSE)+VLOOKUP($A244,'1.3.21-28.2.22'!$A$6:$DA$404,58,FALSE)-VLOOKUP($A244,'01-02.2022'!$A$6:$DA$376,58,FALSE)</f>
        <v>130503</v>
      </c>
      <c r="BG244" s="55">
        <f t="shared" si="256"/>
        <v>125259.65574109988</v>
      </c>
      <c r="BH244" s="566">
        <f>VLOOKUP($A244,'01-02.2021'!$A$6:$CZ$403,60,FALSE)+VLOOKUP($A244,'1.3.21-28.2.22'!$A$6:$DA$404,60,FALSE)-VLOOKUP($A244,'01-02.2022'!$A$6:$DA$376,60,FALSE)</f>
        <v>4199.7991283153724</v>
      </c>
      <c r="BI244" s="566">
        <f>VLOOKUP($A244,'01-02.2021'!$A$6:$CZ$403,61,FALSE)+VLOOKUP($A244,'1.3.21-28.2.22'!$A$6:$DA$404,61,FALSE)-VLOOKUP($A244,'01-02.2022'!$A$6:$DA$376,61,FALSE)</f>
        <v>0</v>
      </c>
      <c r="BJ244" s="55">
        <f t="shared" si="257"/>
        <v>-4199.7991283153724</v>
      </c>
      <c r="BK244" s="566">
        <f>VLOOKUP($A244,'01-02.2021'!$A$6:$CZ$403,63,FALSE)+VLOOKUP($A244,'1.3.21-28.2.22'!$A$6:$DA$404,63,FALSE)-VLOOKUP($A244,'01-02.2022'!$A$6:$DA$376,63,FALSE)</f>
        <v>5972.7580787986853</v>
      </c>
      <c r="BL244" s="566">
        <f>VLOOKUP($A244,'01-02.2021'!$A$6:$CZ$403,64,FALSE)+VLOOKUP($A244,'1.3.21-28.2.22'!$A$6:$DA$404,64,FALSE)-VLOOKUP($A244,'01-02.2022'!$A$6:$DA$376,64,FALSE)</f>
        <v>995</v>
      </c>
      <c r="BM244" s="55">
        <f t="shared" si="258"/>
        <v>-4977.7580787986853</v>
      </c>
      <c r="BN244" s="566">
        <f>VLOOKUP($A244,'01-02.2021'!$A$6:$CZ$403,66,FALSE)+VLOOKUP($A244,'1.3.21-28.2.22'!$A$6:$DA$404,66,FALSE)-VLOOKUP($A244,'01-02.2022'!$A$6:$DA$376,66,FALSE)</f>
        <v>824.96916686656471</v>
      </c>
      <c r="BO244" s="566">
        <f>VLOOKUP($A244,'01-02.2021'!$A$6:$CZ$403,67,FALSE)+VLOOKUP($A244,'1.3.21-28.2.22'!$A$6:$DA$404,67,FALSE)-VLOOKUP($A244,'01-02.2022'!$A$6:$DA$376,67,FALSE)</f>
        <v>8496.41</v>
      </c>
      <c r="BP244" s="55">
        <f t="shared" si="259"/>
        <v>7671.4408331334353</v>
      </c>
      <c r="BQ244" s="77">
        <f t="shared" si="287"/>
        <v>28672.919095319787</v>
      </c>
      <c r="BR244" s="40">
        <f t="shared" si="289"/>
        <v>156475.41</v>
      </c>
      <c r="BS244" s="55">
        <f t="shared" si="236"/>
        <v>127802.49090468022</v>
      </c>
      <c r="BT244" s="566">
        <f>VLOOKUP($A244,'01-02.2021'!$A$6:$CZ$403,72,FALSE)+VLOOKUP($A244,'1.3.21-28.2.22'!$A$6:$DA$404,72,FALSE)-VLOOKUP($A244,'01-02.2022'!$A$6:$DA$376,72,FALSE)</f>
        <v>103698.82174445053</v>
      </c>
      <c r="BU244" s="566">
        <f>VLOOKUP($A244,'01-02.2021'!$A$6:$CZ$403,73,FALSE)+VLOOKUP($A244,'1.3.21-28.2.22'!$A$6:$DA$404,73,FALSE)-VLOOKUP($A244,'01-02.2022'!$A$6:$DA$376,73,FALSE)</f>
        <v>92217.33360853279</v>
      </c>
      <c r="BV244" s="70">
        <f t="shared" si="260"/>
        <v>-11481.488135917738</v>
      </c>
      <c r="BW244" s="566">
        <f>VLOOKUP($A244,'01-02.2021'!$A$6:$CZ$403,75,FALSE)+VLOOKUP($A244,'1.3.21-28.2.22'!$A$6:$DA$404,75,FALSE)-VLOOKUP($A244,'01-02.2022'!$A$6:$DA$376,75,FALSE)</f>
        <v>79228.365053667745</v>
      </c>
      <c r="BX244" s="566">
        <f>VLOOKUP($A244,'01-02.2021'!$A$6:$CZ$403,76,FALSE)+VLOOKUP($A244,'1.3.21-28.2.22'!$A$6:$DA$404,76,FALSE)-VLOOKUP($A244,'01-02.2022'!$A$6:$DA$376,76,FALSE)</f>
        <v>76949.080061732326</v>
      </c>
      <c r="BY244" s="70">
        <f t="shared" si="261"/>
        <v>-2279.2849919354194</v>
      </c>
      <c r="BZ244" s="566">
        <f>VLOOKUP($A244,'01-02.2021'!$A$6:$CZ$403,78,FALSE)+VLOOKUP($A244,'1.3.21-28.2.22'!$A$6:$DA$404,78,FALSE)-VLOOKUP($A244,'01-02.2022'!$A$6:$DA$376,78,FALSE)</f>
        <v>13062.50550707336</v>
      </c>
      <c r="CA244" s="566">
        <f>VLOOKUP($A244,'01-02.2021'!$A$6:$CZ$403,79,FALSE)+VLOOKUP($A244,'1.3.21-28.2.22'!$A$6:$DA$404,79,FALSE)-VLOOKUP($A244,'01-02.2022'!$A$6:$DA$376,79,FALSE)</f>
        <v>23301.354379620054</v>
      </c>
      <c r="CB244" s="70">
        <f t="shared" si="262"/>
        <v>10238.848872546694</v>
      </c>
      <c r="CC244" s="566">
        <f>VLOOKUP($A244,'01-02.2021'!$A$6:$CZ$403,81,FALSE)+VLOOKUP($A244,'1.3.21-28.2.22'!$A$6:$DA$404,81,FALSE)-VLOOKUP($A244,'01-02.2022'!$A$6:$DA$376,81,FALSE)</f>
        <v>2376.5976192728413</v>
      </c>
      <c r="CD244" s="566">
        <f>VLOOKUP($A244,'01-02.2021'!$A$6:$CZ$403,82,FALSE)+VLOOKUP($A244,'1.3.21-28.2.22'!$A$6:$DA$404,82,FALSE)-VLOOKUP($A244,'01-02.2022'!$A$6:$DA$376,82,FALSE)</f>
        <v>2581.9509499801757</v>
      </c>
      <c r="CE244" s="70">
        <f t="shared" si="263"/>
        <v>205.35333070733441</v>
      </c>
      <c r="CF244" s="566">
        <f>VLOOKUP($A244,'01-02.2021'!$A$6:$CZ$403,84,FALSE)+VLOOKUP($A244,'1.3.21-28.2.22'!$A$6:$DA$404,84,FALSE)-VLOOKUP($A244,'01-02.2022'!$A$6:$DA$376,84,FALSE)</f>
        <v>287.18328308502066</v>
      </c>
      <c r="CG244" s="566">
        <f>VLOOKUP($A244,'01-02.2021'!$A$6:$CZ$403,85,FALSE)+VLOOKUP($A244,'1.3.21-28.2.22'!$A$6:$DA$404,85,FALSE)-VLOOKUP($A244,'01-02.2022'!$A$6:$DA$376,85,FALSE)</f>
        <v>0</v>
      </c>
      <c r="CH244" s="70">
        <f t="shared" si="264"/>
        <v>-287.18328308502066</v>
      </c>
      <c r="CI244" s="566">
        <f>VLOOKUP($A244,'01-02.2021'!$A$6:$CZ$403,87,FALSE)+VLOOKUP($A244,'1.3.21-28.2.22'!$A$6:$DA$404,87,FALSE)-VLOOKUP($A244,'01-02.2022'!$A$6:$DA$376,87,FALSE)</f>
        <v>15773.445576598113</v>
      </c>
      <c r="CJ244" s="566">
        <f>VLOOKUP($A244,'01-02.2021'!$A$6:$CZ$403,88,FALSE)+VLOOKUP($A244,'1.3.21-28.2.22'!$A$6:$DA$404,88,FALSE)-VLOOKUP($A244,'01-02.2022'!$A$6:$DA$376,88,FALSE)</f>
        <v>15223.600351534042</v>
      </c>
      <c r="CK244" s="70">
        <f t="shared" si="265"/>
        <v>-549.8452250640712</v>
      </c>
      <c r="CL244" s="566">
        <f>VLOOKUP($A244,'01-02.2021'!$A$6:$CZ$403,90,FALSE)+VLOOKUP($A244,'1.3.21-28.2.22'!$A$6:$DA$404,90,FALSE)-VLOOKUP($A244,'01-02.2022'!$A$6:$DA$376,90,FALSE)</f>
        <v>17278.155215958628</v>
      </c>
      <c r="CM244" s="566">
        <f>VLOOKUP($A244,'01-02.2021'!$A$6:$CZ$403,91,FALSE)+VLOOKUP($A244,'1.3.21-28.2.22'!$A$6:$DA$404,91,FALSE)-VLOOKUP($A244,'01-02.2022'!$A$6:$DA$376,91,FALSE)</f>
        <v>16612.748836839517</v>
      </c>
      <c r="CN244" s="52">
        <f t="shared" si="225"/>
        <v>-665.40637911911108</v>
      </c>
      <c r="CO244" s="39">
        <f t="shared" ref="CO244:CO302" si="298">CI244+CL244</f>
        <v>33051.600792556739</v>
      </c>
      <c r="CP244" s="40">
        <f t="shared" si="226"/>
        <v>31836.349188373559</v>
      </c>
      <c r="CQ244" s="52">
        <f t="shared" si="227"/>
        <v>-1215.2516041831805</v>
      </c>
      <c r="CR244" s="72">
        <f t="shared" ref="CR244:CS302" si="299">AG244+AJ244+AM244+AP244+AS244+BQ244+BT244+BW244+BZ244+CC244+CF244+CO244</f>
        <v>628357.23468444892</v>
      </c>
      <c r="CS244" s="5">
        <f t="shared" si="299"/>
        <v>650875.81721290317</v>
      </c>
      <c r="CT244" s="52">
        <f t="shared" si="228"/>
        <v>22518.582528454252</v>
      </c>
      <c r="CU244" s="77">
        <f t="shared" si="229"/>
        <v>754028.68162133871</v>
      </c>
      <c r="CV244" s="65">
        <f t="shared" si="230"/>
        <v>781050.98065548379</v>
      </c>
      <c r="CW244" s="35">
        <f t="shared" si="231"/>
        <v>27022.299034145079</v>
      </c>
      <c r="CX244" s="566">
        <f>VLOOKUP($A244,'01-02.2021'!$A$6:$CZ$403,102,FALSE)+VLOOKUP($A244,'1.3.21-28.2.22'!$A$6:$DA$404,102,FALSE)-VLOOKUP($A244,'01-02.2022'!$A$6:$DA$376,102,FALSE)</f>
        <v>26312.984397995271</v>
      </c>
      <c r="CY244" s="566">
        <f>VLOOKUP($A244,'01-02.2021'!$A$6:$CZ$403,103,FALSE)+VLOOKUP($A244,'1.3.21-28.2.22'!$A$6:$DA$404,103,FALSE)-VLOOKUP($A244,'01-02.2022'!$A$6:$DA$376,103,FALSE)</f>
        <v>-709.31463615004759</v>
      </c>
      <c r="CZ244" s="52">
        <f t="shared" si="232"/>
        <v>-27022.299034145319</v>
      </c>
      <c r="DA244" s="150">
        <f>'[2]побудинковий звіт'!DA244</f>
        <v>-50877.43340176496</v>
      </c>
      <c r="DB244" s="2">
        <v>1</v>
      </c>
      <c r="DC244" s="414">
        <f>'[4]побудинковий звіт'!DC244</f>
        <v>165555.07999999999</v>
      </c>
      <c r="DD244" s="414">
        <f>'[4]побудинковий звіт'!DD244</f>
        <v>0</v>
      </c>
      <c r="DE244" s="557">
        <f>'[4]побудинковий звіт'!DE244</f>
        <v>94760.509007104134</v>
      </c>
      <c r="DF244" s="557">
        <f>'[4]побудинковий звіт'!DF244</f>
        <v>0</v>
      </c>
      <c r="DG244" s="321">
        <f>VLOOKUP(A244,'кошти 01.03.2021'!$A$6:$D$401,4,)</f>
        <v>-78323.546863334224</v>
      </c>
      <c r="DH244" s="40">
        <f>'[3]побудинковий звіт'!DJ244</f>
        <v>807605.8357986277</v>
      </c>
      <c r="DI244" s="422">
        <f>'[3]побудинковий звіт'!CU244+'[3]побудинковий звіт'!CX244</f>
        <v>70794.570992895853</v>
      </c>
      <c r="DJ244" s="306">
        <f>'[3]побудинковий звіт'!DM244</f>
        <v>5.8862007677600197</v>
      </c>
      <c r="DK244" s="306">
        <f>'[3]побудинковий звіт'!DN244</f>
        <v>7.7337608825549449</v>
      </c>
      <c r="DL244" s="306">
        <f>'[3]побудинковий звіт'!DO244</f>
        <v>4.8979731199421837</v>
      </c>
      <c r="DM244" s="28">
        <f t="shared" si="295"/>
        <v>70794.570992895853</v>
      </c>
      <c r="DN244" s="28">
        <f>DL244*H244</f>
        <v>0</v>
      </c>
      <c r="DO244" s="423">
        <f t="shared" si="238"/>
        <v>70794.570992895853</v>
      </c>
      <c r="DP244" s="94">
        <f t="shared" si="239"/>
        <v>0</v>
      </c>
      <c r="DQ244" s="28">
        <f t="shared" si="240"/>
        <v>70794.570992895853</v>
      </c>
      <c r="DR244" s="318"/>
      <c r="DT244" s="8"/>
      <c r="DU244" s="5"/>
      <c r="DX244" s="5">
        <f t="shared" si="241"/>
        <v>188823.38895629346</v>
      </c>
      <c r="DY244" s="5">
        <f t="shared" si="242"/>
        <v>232514.85030371472</v>
      </c>
      <c r="DZ244" s="159">
        <f>'[3]побудинковий звіт'!EA244</f>
        <v>17703.787187314872</v>
      </c>
    </row>
    <row r="245" spans="1:130" x14ac:dyDescent="0.3">
      <c r="A245" s="325">
        <v>150001044</v>
      </c>
      <c r="B245" s="41" t="s">
        <v>692</v>
      </c>
      <c r="C245" s="42" t="s">
        <v>270</v>
      </c>
      <c r="D245" s="42"/>
      <c r="E245" s="293">
        <f t="shared" si="296"/>
        <v>3505.5</v>
      </c>
      <c r="F245" s="305">
        <f>'[3]побудинковий звіт'!F245</f>
        <v>3228.8</v>
      </c>
      <c r="G245" s="508">
        <f>'[3]побудинковий звіт'!G245</f>
        <v>0</v>
      </c>
      <c r="H245" s="560">
        <f>'[3]побудинковий звіт'!H245</f>
        <v>276.7</v>
      </c>
      <c r="I245" s="566">
        <f>VLOOKUP($A245,'01-02.2021'!$A$6:$CZ$403,9,FALSE)+VLOOKUP($A245,'1.3.21-28.2.22'!$A$6:$DA$404,9,FALSE)-VLOOKUP($A245,'01-02.2022'!$A$6:$DA$376,9,FALSE)</f>
        <v>11480.805369641255</v>
      </c>
      <c r="J245" s="566">
        <f>VLOOKUP($A245,'01-02.2021'!$A$6:$CZ$403,10,FALSE)+VLOOKUP($A245,'1.3.21-28.2.22'!$A$6:$DA$404,10,FALSE)-VLOOKUP($A245,'01-02.2022'!$A$6:$DA$376,10,FALSE)</f>
        <v>12641.420505161563</v>
      </c>
      <c r="K245" s="52">
        <f t="shared" ref="K245:K303" si="300">J245-I245</f>
        <v>1160.6151355203074</v>
      </c>
      <c r="L245" s="566">
        <f>VLOOKUP($A245,'01-02.2021'!$A$6:$CZ$403,12,FALSE)+VLOOKUP($A245,'1.3.21-28.2.22'!$A$6:$DA$404,12,FALSE)-VLOOKUP($A245,'01-02.2022'!$A$6:$DA$376,12,FALSE)</f>
        <v>2229.5981125448011</v>
      </c>
      <c r="M245" s="566">
        <f>VLOOKUP($A245,'01-02.2021'!$A$6:$CZ$403,13,FALSE)+VLOOKUP($A245,'1.3.21-28.2.22'!$A$6:$DA$404,13,FALSE)-VLOOKUP($A245,'01-02.2022'!$A$6:$DA$376,13,FALSE)</f>
        <v>2454.8700755819086</v>
      </c>
      <c r="N245" s="52">
        <f t="shared" ref="N245:N303" si="301">M245-L245</f>
        <v>225.27196303710753</v>
      </c>
      <c r="O245" s="566">
        <f>VLOOKUP($A245,'01-02.2021'!$A$6:$CZ$403,15,FALSE)+VLOOKUP($A245,'1.3.21-28.2.22'!$A$6:$DA$404,15,FALSE)-VLOOKUP($A245,'01-02.2022'!$A$6:$DA$376,15,FALSE)</f>
        <v>4535.7473235908164</v>
      </c>
      <c r="P245" s="566">
        <f>VLOOKUP($A245,'01-02.2021'!$A$6:$CZ$403,16,FALSE)+VLOOKUP($A245,'1.3.21-28.2.22'!$A$6:$DA$404,16,FALSE)-VLOOKUP($A245,'01-02.2022'!$A$6:$DA$376,16,FALSE)</f>
        <v>4535.7800000000007</v>
      </c>
      <c r="Q245" s="70">
        <f t="shared" si="243"/>
        <v>3.2676409184205113E-2</v>
      </c>
      <c r="R245" s="566">
        <f>VLOOKUP($A245,'01-02.2021'!$A$6:$CZ$403,18,FALSE)+VLOOKUP($A245,'1.3.21-28.2.22'!$A$6:$DA$404,18,FALSE)-VLOOKUP($A245,'01-02.2022'!$A$6:$DA$376,18,FALSE)</f>
        <v>0</v>
      </c>
      <c r="S245" s="566">
        <f>VLOOKUP($A245,'01-02.2021'!$A$6:$CZ$403,19,FALSE)+VLOOKUP($A245,'1.3.21-28.2.22'!$A$6:$DA$404,19,FALSE)-VLOOKUP($A245,'01-02.2022'!$A$6:$DA$376,19,FALSE)</f>
        <v>0</v>
      </c>
      <c r="T245" s="70">
        <f t="shared" si="244"/>
        <v>0</v>
      </c>
      <c r="U245" s="566">
        <f>VLOOKUP($A245,'01-02.2021'!$A$6:$CZ$403,21,FALSE)+VLOOKUP($A245,'1.3.21-28.2.22'!$A$6:$DA$404,21,FALSE)-VLOOKUP($A245,'01-02.2022'!$A$6:$DA$376,21,FALSE)</f>
        <v>0</v>
      </c>
      <c r="V245" s="566">
        <f>VLOOKUP($A245,'01-02.2021'!$A$6:$CZ$403,22,FALSE)+VLOOKUP($A245,'1.3.21-28.2.22'!$A$6:$DA$404,22,FALSE)-VLOOKUP($A245,'01-02.2022'!$A$6:$DA$376,22,FALSE)</f>
        <v>0</v>
      </c>
      <c r="W245" s="70">
        <f t="shared" si="245"/>
        <v>0</v>
      </c>
      <c r="X245" s="566">
        <f>VLOOKUP($A245,'01-02.2021'!$A$6:$CZ$403,24,FALSE)+VLOOKUP($A245,'1.3.21-28.2.22'!$A$6:$DA$404,24,FALSE)-VLOOKUP($A245,'01-02.2022'!$A$6:$DA$376,24,FALSE)</f>
        <v>6532.1099153427294</v>
      </c>
      <c r="Y245" s="566">
        <f>VLOOKUP($A245,'01-02.2021'!$A$6:$CZ$403,25,FALSE)+VLOOKUP($A245,'1.3.21-28.2.22'!$A$6:$DA$404,25,FALSE)-VLOOKUP($A245,'01-02.2022'!$A$6:$DA$376,25,FALSE)</f>
        <v>5265.8362592270005</v>
      </c>
      <c r="Z245" s="70">
        <f t="shared" si="246"/>
        <v>-1266.273656115729</v>
      </c>
      <c r="AA245" s="566">
        <f>VLOOKUP($A245,'01-02.2021'!$A$6:$CZ$403,27,FALSE)+VLOOKUP($A245,'1.3.21-28.2.22'!$A$6:$DA$404,27,FALSE)-VLOOKUP($A245,'01-02.2022'!$A$6:$DA$376,27,FALSE)</f>
        <v>701.26</v>
      </c>
      <c r="AB245" s="566">
        <f>VLOOKUP($A245,'01-02.2021'!$A$6:$CZ$403,28,FALSE)+VLOOKUP($A245,'1.3.21-28.2.22'!$A$6:$DA$404,28,FALSE)-VLOOKUP($A245,'01-02.2022'!$A$6:$DA$376,28,FALSE)</f>
        <v>0</v>
      </c>
      <c r="AC245" s="70">
        <f t="shared" si="247"/>
        <v>-701.26</v>
      </c>
      <c r="AD245" s="566">
        <f>VLOOKUP($A245,'01-02.2021'!$A$6:$CZ$403,30,FALSE)+VLOOKUP($A245,'1.3.21-28.2.22'!$A$6:$DA$404,30,FALSE)-VLOOKUP($A245,'01-02.2022'!$A$6:$DA$376,30,FALSE)</f>
        <v>15031.142971534186</v>
      </c>
      <c r="AE245" s="566">
        <f>VLOOKUP($A245,'01-02.2021'!$A$6:$CZ$403,31,FALSE)+VLOOKUP($A245,'1.3.21-28.2.22'!$A$6:$DA$404,31,FALSE)-VLOOKUP($A245,'01-02.2022'!$A$6:$DA$376,31,FALSE)</f>
        <v>15958.347725061612</v>
      </c>
      <c r="AF245" s="68">
        <f t="shared" si="248"/>
        <v>927.20475352742687</v>
      </c>
      <c r="AG245" s="77">
        <f t="shared" si="297"/>
        <v>40510.663692653783</v>
      </c>
      <c r="AH245" s="53">
        <f t="shared" si="297"/>
        <v>40856.254565032083</v>
      </c>
      <c r="AI245" s="52">
        <f t="shared" ref="AI245:AI303" si="302">AH245-AG245</f>
        <v>345.59087237829954</v>
      </c>
      <c r="AJ245" s="566">
        <f>VLOOKUP($A245,'01-02.2021'!$A$6:$CZ$403,36,FALSE)+VLOOKUP($A245,'1.3.21-28.2.22'!$A$6:$DA$404,36,FALSE)-VLOOKUP($A245,'01-02.2022'!$A$6:$DA$376,36,FALSE)</f>
        <v>0</v>
      </c>
      <c r="AK245" s="566">
        <f>VLOOKUP($A245,'01-02.2021'!$A$6:$CZ$403,37,FALSE)+VLOOKUP($A245,'1.3.21-28.2.22'!$A$6:$DA$404,37,FALSE)-VLOOKUP($A245,'01-02.2022'!$A$6:$DA$376,37,FALSE)</f>
        <v>0</v>
      </c>
      <c r="AL245" s="70">
        <f t="shared" si="249"/>
        <v>0</v>
      </c>
      <c r="AM245" s="566">
        <f>VLOOKUP($A245,'01-02.2021'!$A$6:$CZ$403,39,FALSE)+VLOOKUP($A245,'1.3.21-28.2.22'!$A$6:$DA$404,39,FALSE)-VLOOKUP($A245,'01-02.2022'!$A$6:$DA$376,39,FALSE)</f>
        <v>0</v>
      </c>
      <c r="AN245" s="566">
        <f>VLOOKUP($A245,'01-02.2021'!$A$6:$CZ$403,40,FALSE)+VLOOKUP($A245,'1.3.21-28.2.22'!$A$6:$DA$404,40,FALSE)-VLOOKUP($A245,'01-02.2022'!$A$6:$DA$376,40,FALSE)</f>
        <v>0</v>
      </c>
      <c r="AO245" s="70">
        <f t="shared" si="250"/>
        <v>0</v>
      </c>
      <c r="AP245" s="566">
        <f>VLOOKUP($A245,'01-02.2021'!$A$6:$CZ$403,42,FALSE)+VLOOKUP($A245,'1.3.21-28.2.22'!$A$6:$DA$404,42,FALSE)-VLOOKUP($A245,'01-02.2022'!$A$6:$DA$376,42,FALSE)</f>
        <v>10411.198500255552</v>
      </c>
      <c r="AQ245" s="566">
        <f>VLOOKUP($A245,'01-02.2021'!$A$6:$CZ$403,43,FALSE)+VLOOKUP($A245,'1.3.21-28.2.22'!$A$6:$DA$404,43,FALSE)-VLOOKUP($A245,'01-02.2022'!$A$6:$DA$376,43,FALSE)</f>
        <v>8382.655908451512</v>
      </c>
      <c r="AR245" s="70">
        <f t="shared" si="251"/>
        <v>-2028.5425918040401</v>
      </c>
      <c r="AS245" s="566">
        <f>VLOOKUP($A245,'01-02.2021'!$A$6:$CZ$403,45,FALSE)+VLOOKUP($A245,'1.3.21-28.2.22'!$A$6:$DA$404,45,FALSE)-VLOOKUP($A245,'01-02.2022'!$A$6:$DA$376,45,FALSE)</f>
        <v>26608.587400015822</v>
      </c>
      <c r="AT245" s="566">
        <f>VLOOKUP($A245,'01-02.2021'!$A$6:$CZ$403,46,FALSE)+VLOOKUP($A245,'1.3.21-28.2.22'!$A$6:$DA$404,46,FALSE)-VLOOKUP($A245,'01-02.2022'!$A$6:$DA$376,46,FALSE)</f>
        <v>14795</v>
      </c>
      <c r="AU245" s="78">
        <f t="shared" si="252"/>
        <v>-11813.587400015822</v>
      </c>
      <c r="AV245" s="566">
        <f>VLOOKUP($A245,'01-02.2021'!$A$6:$CZ$403,48,FALSE)+VLOOKUP($A245,'1.3.21-28.2.22'!$A$6:$DA$404,48,FALSE)-VLOOKUP($A245,'01-02.2022'!$A$6:$DA$376,48,FALSE)</f>
        <v>3009.2943221719461</v>
      </c>
      <c r="AW245" s="566">
        <f>VLOOKUP($A245,'01-02.2021'!$A$6:$CZ$403,49,FALSE)+VLOOKUP($A245,'1.3.21-28.2.22'!$A$6:$DA$404,49,FALSE)-VLOOKUP($A245,'01-02.2022'!$A$6:$DA$376,49,FALSE)</f>
        <v>5576</v>
      </c>
      <c r="AX245" s="55">
        <f t="shared" si="253"/>
        <v>2566.7056778280539</v>
      </c>
      <c r="AY245" s="566">
        <f>VLOOKUP($A245,'01-02.2021'!$A$6:$CZ$403,51,FALSE)+VLOOKUP($A245,'1.3.21-28.2.22'!$A$6:$DA$404,51,FALSE)-VLOOKUP($A245,'01-02.2022'!$A$6:$DA$376,51,FALSE)</f>
        <v>4190.9585082198828</v>
      </c>
      <c r="AZ245" s="566">
        <f>VLOOKUP($A245,'01-02.2021'!$A$6:$CZ$403,52,FALSE)+VLOOKUP($A245,'1.3.21-28.2.22'!$A$6:$DA$404,52,FALSE)-VLOOKUP($A245,'01-02.2022'!$A$6:$DA$376,52,FALSE)</f>
        <v>0</v>
      </c>
      <c r="BA245" s="38">
        <f t="shared" si="254"/>
        <v>-4190.9585082198828</v>
      </c>
      <c r="BB245" s="566">
        <f>VLOOKUP($A245,'01-02.2021'!$A$6:$CZ$403,54,FALSE)+VLOOKUP($A245,'1.3.21-28.2.22'!$A$6:$DA$404,54,FALSE)-VLOOKUP($A245,'01-02.2022'!$A$6:$DA$376,54,FALSE)</f>
        <v>2046.0186147563695</v>
      </c>
      <c r="BC245" s="566">
        <f>VLOOKUP($A245,'01-02.2021'!$A$6:$CZ$403,55,FALSE)+VLOOKUP($A245,'1.3.21-28.2.22'!$A$6:$DA$404,55,FALSE)-VLOOKUP($A245,'01-02.2022'!$A$6:$DA$376,55,FALSE)</f>
        <v>0</v>
      </c>
      <c r="BD245" s="55">
        <f t="shared" si="255"/>
        <v>-2046.0186147563695</v>
      </c>
      <c r="BE245" s="566">
        <f>VLOOKUP($A245,'01-02.2021'!$A$6:$CZ$403,57,FALSE)+VLOOKUP($A245,'1.3.21-28.2.22'!$A$6:$DA$404,57,FALSE)-VLOOKUP($A245,'01-02.2022'!$A$6:$DA$376,57,FALSE)</f>
        <v>0</v>
      </c>
      <c r="BF245" s="566">
        <f>VLOOKUP($A245,'01-02.2021'!$A$6:$CZ$403,58,FALSE)+VLOOKUP($A245,'1.3.21-28.2.22'!$A$6:$DA$404,58,FALSE)-VLOOKUP($A245,'01-02.2022'!$A$6:$DA$376,58,FALSE)</f>
        <v>0</v>
      </c>
      <c r="BG245" s="55">
        <f t="shared" si="256"/>
        <v>0</v>
      </c>
      <c r="BH245" s="566">
        <f>VLOOKUP($A245,'01-02.2021'!$A$6:$CZ$403,60,FALSE)+VLOOKUP($A245,'1.3.21-28.2.22'!$A$6:$DA$404,60,FALSE)-VLOOKUP($A245,'01-02.2022'!$A$6:$DA$376,60,FALSE)</f>
        <v>0</v>
      </c>
      <c r="BI245" s="566">
        <f>VLOOKUP($A245,'01-02.2021'!$A$6:$CZ$403,61,FALSE)+VLOOKUP($A245,'1.3.21-28.2.22'!$A$6:$DA$404,61,FALSE)-VLOOKUP($A245,'01-02.2022'!$A$6:$DA$376,61,FALSE)</f>
        <v>0</v>
      </c>
      <c r="BJ245" s="55">
        <f t="shared" si="257"/>
        <v>0</v>
      </c>
      <c r="BK245" s="566">
        <f>VLOOKUP($A245,'01-02.2021'!$A$6:$CZ$403,63,FALSE)+VLOOKUP($A245,'1.3.21-28.2.22'!$A$6:$DA$404,63,FALSE)-VLOOKUP($A245,'01-02.2022'!$A$6:$DA$376,63,FALSE)</f>
        <v>2062.8711715600825</v>
      </c>
      <c r="BL245" s="566">
        <f>VLOOKUP($A245,'01-02.2021'!$A$6:$CZ$403,64,FALSE)+VLOOKUP($A245,'1.3.21-28.2.22'!$A$6:$DA$404,64,FALSE)-VLOOKUP($A245,'01-02.2022'!$A$6:$DA$376,64,FALSE)</f>
        <v>0</v>
      </c>
      <c r="BM245" s="55">
        <f t="shared" si="258"/>
        <v>-2062.8711715600825</v>
      </c>
      <c r="BN245" s="566">
        <f>VLOOKUP($A245,'01-02.2021'!$A$6:$CZ$403,66,FALSE)+VLOOKUP($A245,'1.3.21-28.2.22'!$A$6:$DA$404,66,FALSE)-VLOOKUP($A245,'01-02.2022'!$A$6:$DA$376,66,FALSE)</f>
        <v>175.315</v>
      </c>
      <c r="BO245" s="566">
        <f>VLOOKUP($A245,'01-02.2021'!$A$6:$CZ$403,67,FALSE)+VLOOKUP($A245,'1.3.21-28.2.22'!$A$6:$DA$404,67,FALSE)-VLOOKUP($A245,'01-02.2022'!$A$6:$DA$376,67,FALSE)</f>
        <v>0</v>
      </c>
      <c r="BP245" s="55">
        <f t="shared" si="259"/>
        <v>-175.315</v>
      </c>
      <c r="BQ245" s="77">
        <f t="shared" si="287"/>
        <v>11484.457616708281</v>
      </c>
      <c r="BR245" s="40">
        <f t="shared" si="289"/>
        <v>5576</v>
      </c>
      <c r="BS245" s="55">
        <f t="shared" si="236"/>
        <v>-5908.4576167082814</v>
      </c>
      <c r="BT245" s="566">
        <f>VLOOKUP($A245,'01-02.2021'!$A$6:$CZ$403,72,FALSE)+VLOOKUP($A245,'1.3.21-28.2.22'!$A$6:$DA$404,72,FALSE)-VLOOKUP($A245,'01-02.2022'!$A$6:$DA$376,72,FALSE)</f>
        <v>17823.800643315844</v>
      </c>
      <c r="BU245" s="566">
        <f>VLOOKUP($A245,'01-02.2021'!$A$6:$CZ$403,73,FALSE)+VLOOKUP($A245,'1.3.21-28.2.22'!$A$6:$DA$404,73,FALSE)-VLOOKUP($A245,'01-02.2022'!$A$6:$DA$376,73,FALSE)</f>
        <v>24970.674003908105</v>
      </c>
      <c r="BV245" s="70">
        <f t="shared" si="260"/>
        <v>7146.8733605922607</v>
      </c>
      <c r="BW245" s="566">
        <f>VLOOKUP($A245,'01-02.2021'!$A$6:$CZ$403,75,FALSE)+VLOOKUP($A245,'1.3.21-28.2.22'!$A$6:$DA$404,75,FALSE)-VLOOKUP($A245,'01-02.2022'!$A$6:$DA$376,75,FALSE)</f>
        <v>12439.001247771741</v>
      </c>
      <c r="BX245" s="566">
        <f>VLOOKUP($A245,'01-02.2021'!$A$6:$CZ$403,76,FALSE)+VLOOKUP($A245,'1.3.21-28.2.22'!$A$6:$DA$404,76,FALSE)-VLOOKUP($A245,'01-02.2022'!$A$6:$DA$376,76,FALSE)</f>
        <v>12222.140952833552</v>
      </c>
      <c r="BY245" s="70">
        <f t="shared" si="261"/>
        <v>-216.86029493818933</v>
      </c>
      <c r="BZ245" s="566">
        <f>VLOOKUP($A245,'01-02.2021'!$A$6:$CZ$403,78,FALSE)+VLOOKUP($A245,'1.3.21-28.2.22'!$A$6:$DA$404,78,FALSE)-VLOOKUP($A245,'01-02.2022'!$A$6:$DA$376,78,FALSE)</f>
        <v>9659.8048373158326</v>
      </c>
      <c r="CA245" s="566">
        <f>VLOOKUP($A245,'01-02.2021'!$A$6:$CZ$403,79,FALSE)+VLOOKUP($A245,'1.3.21-28.2.22'!$A$6:$DA$404,79,FALSE)-VLOOKUP($A245,'01-02.2022'!$A$6:$DA$376,79,FALSE)</f>
        <v>5258.2784752211273</v>
      </c>
      <c r="CB245" s="70">
        <f t="shared" si="262"/>
        <v>-4401.5263620947053</v>
      </c>
      <c r="CC245" s="566">
        <f>VLOOKUP($A245,'01-02.2021'!$A$6:$CZ$403,81,FALSE)+VLOOKUP($A245,'1.3.21-28.2.22'!$A$6:$DA$404,81,FALSE)-VLOOKUP($A245,'01-02.2022'!$A$6:$DA$376,81,FALSE)</f>
        <v>1177.2653123097434</v>
      </c>
      <c r="CD245" s="566">
        <f>VLOOKUP($A245,'01-02.2021'!$A$6:$CZ$403,82,FALSE)+VLOOKUP($A245,'1.3.21-28.2.22'!$A$6:$DA$404,82,FALSE)-VLOOKUP($A245,'01-02.2022'!$A$6:$DA$376,82,FALSE)</f>
        <v>1286.7427685147102</v>
      </c>
      <c r="CE245" s="70">
        <f t="shared" si="263"/>
        <v>109.47745620496676</v>
      </c>
      <c r="CF245" s="566">
        <f>VLOOKUP($A245,'01-02.2021'!$A$6:$CZ$403,84,FALSE)+VLOOKUP($A245,'1.3.21-28.2.22'!$A$6:$DA$404,84,FALSE)-VLOOKUP($A245,'01-02.2022'!$A$6:$DA$376,84,FALSE)</f>
        <v>143.12084927515778</v>
      </c>
      <c r="CG245" s="566">
        <f>VLOOKUP($A245,'01-02.2021'!$A$6:$CZ$403,85,FALSE)+VLOOKUP($A245,'1.3.21-28.2.22'!$A$6:$DA$404,85,FALSE)-VLOOKUP($A245,'01-02.2022'!$A$6:$DA$376,85,FALSE)</f>
        <v>0</v>
      </c>
      <c r="CH245" s="70">
        <f t="shared" si="264"/>
        <v>-143.12084927515778</v>
      </c>
      <c r="CI245" s="566">
        <f>VLOOKUP($A245,'01-02.2021'!$A$6:$CZ$403,87,FALSE)+VLOOKUP($A245,'1.3.21-28.2.22'!$A$6:$DA$404,87,FALSE)-VLOOKUP($A245,'01-02.2022'!$A$6:$DA$376,87,FALSE)</f>
        <v>3886.813313753968</v>
      </c>
      <c r="CJ245" s="566">
        <f>VLOOKUP($A245,'01-02.2021'!$A$6:$CZ$403,88,FALSE)+VLOOKUP($A245,'1.3.21-28.2.22'!$A$6:$DA$404,88,FALSE)-VLOOKUP($A245,'01-02.2022'!$A$6:$DA$376,88,FALSE)</f>
        <v>2605.91889233752</v>
      </c>
      <c r="CK245" s="70">
        <f t="shared" si="265"/>
        <v>-1280.894421416448</v>
      </c>
      <c r="CL245" s="566">
        <f>VLOOKUP($A245,'01-02.2021'!$A$6:$CZ$403,90,FALSE)+VLOOKUP($A245,'1.3.21-28.2.22'!$A$6:$DA$404,90,FALSE)-VLOOKUP($A245,'01-02.2022'!$A$6:$DA$376,90,FALSE)</f>
        <v>0</v>
      </c>
      <c r="CM245" s="566">
        <f>VLOOKUP($A245,'01-02.2021'!$A$6:$CZ$403,91,FALSE)+VLOOKUP($A245,'1.3.21-28.2.22'!$A$6:$DA$404,91,FALSE)-VLOOKUP($A245,'01-02.2022'!$A$6:$DA$376,91,FALSE)</f>
        <v>0</v>
      </c>
      <c r="CN245" s="52">
        <f t="shared" ref="CN245:CN303" si="303">CM245-CL245</f>
        <v>0</v>
      </c>
      <c r="CO245" s="39">
        <f t="shared" si="298"/>
        <v>3886.813313753968</v>
      </c>
      <c r="CP245" s="40">
        <f t="shared" ref="CP245:CP303" si="304">CJ245+CM245</f>
        <v>2605.91889233752</v>
      </c>
      <c r="CQ245" s="52">
        <f t="shared" ref="CQ245:CQ303" si="305">CP245-CO245</f>
        <v>-1280.894421416448</v>
      </c>
      <c r="CR245" s="72">
        <f t="shared" si="299"/>
        <v>134144.71341337572</v>
      </c>
      <c r="CS245" s="5">
        <f t="shared" si="299"/>
        <v>115953.6655662986</v>
      </c>
      <c r="CT245" s="52">
        <f t="shared" ref="CT245:CT303" si="306">CS245-CR245</f>
        <v>-18191.04784707712</v>
      </c>
      <c r="CU245" s="77">
        <f t="shared" ref="CU245:CU303" si="307">CR245*1.2</f>
        <v>160973.65609605087</v>
      </c>
      <c r="CV245" s="65">
        <f t="shared" ref="CV245:CV303" si="308">CS245*1.2</f>
        <v>139144.3986795583</v>
      </c>
      <c r="CW245" s="35">
        <f t="shared" ref="CW245:CW303" si="309">CV245-CU245</f>
        <v>-21829.257416492561</v>
      </c>
      <c r="CX245" s="566">
        <f>VLOOKUP($A245,'01-02.2021'!$A$6:$CZ$403,102,FALSE)+VLOOKUP($A245,'1.3.21-28.2.22'!$A$6:$DA$404,102,FALSE)-VLOOKUP($A245,'01-02.2022'!$A$6:$DA$376,102,FALSE)</f>
        <v>5095.368444054232</v>
      </c>
      <c r="CY245" s="566">
        <f>VLOOKUP($A245,'01-02.2021'!$A$6:$CZ$403,103,FALSE)+VLOOKUP($A245,'1.3.21-28.2.22'!$A$6:$DA$404,103,FALSE)-VLOOKUP($A245,'01-02.2022'!$A$6:$DA$376,103,FALSE)</f>
        <v>26924.625860546766</v>
      </c>
      <c r="CZ245" s="52">
        <f t="shared" ref="CZ245:CZ303" si="310">CY245-CX245</f>
        <v>21829.257416492535</v>
      </c>
      <c r="DA245" s="150">
        <f>'[2]побудинковий звіт'!DA245</f>
        <v>34091.685652436179</v>
      </c>
      <c r="DB245" s="2">
        <v>2</v>
      </c>
      <c r="DC245" s="414">
        <f>'[4]побудинковий звіт'!DC245</f>
        <v>20084.61</v>
      </c>
      <c r="DD245" s="414">
        <f>'[4]побудинковий звіт'!DD245</f>
        <v>24332.44</v>
      </c>
      <c r="DE245" s="557">
        <f>'[4]побудинковий звіт'!DE245</f>
        <v>6088.3885708806793</v>
      </c>
      <c r="DF245" s="557">
        <f>'[4]побудинковий звіт'!DF245</f>
        <v>23262.074706453437</v>
      </c>
      <c r="DG245" s="321">
        <f>VLOOKUP(A245,'кошти 01.03.2021'!$A$6:$D$401,4,)</f>
        <v>59566.094879140139</v>
      </c>
      <c r="DH245" s="40">
        <f>'[3]побудинковий звіт'!DJ245</f>
        <v>171873.11972171249</v>
      </c>
      <c r="DI245" s="422">
        <f>'[3]побудинковий звіт'!CU245+'[3]побудинковий звіт'!CX245</f>
        <v>15066.586722665881</v>
      </c>
      <c r="DJ245" s="306">
        <f>'[3]побудинковий звіт'!DM245</f>
        <v>4.3348059431117818</v>
      </c>
      <c r="DK245" s="306">
        <f t="shared" ref="DK245:DK258" si="311">DJ245</f>
        <v>4.3348059431117818</v>
      </c>
      <c r="DL245" s="306">
        <f>'[3]побудинковий звіт'!DO245</f>
        <v>3.8683241544870275</v>
      </c>
      <c r="DM245" s="28">
        <f t="shared" ref="DM245:DM258" si="312">F245*DJ245</f>
        <v>13996.221429119321</v>
      </c>
      <c r="DN245" s="28">
        <f t="shared" ref="DN245:DN258" si="313">H245*DL245</f>
        <v>1070.3652935465605</v>
      </c>
      <c r="DO245" s="423">
        <f t="shared" si="238"/>
        <v>15066.586722665881</v>
      </c>
      <c r="DP245" s="94">
        <f t="shared" si="239"/>
        <v>0</v>
      </c>
      <c r="DQ245" s="28">
        <f t="shared" si="240"/>
        <v>15066.586722665881</v>
      </c>
      <c r="DR245" s="318"/>
      <c r="DT245" s="8"/>
      <c r="DU245" s="5"/>
      <c r="DX245" s="5">
        <f t="shared" si="241"/>
        <v>45711.654020068927</v>
      </c>
      <c r="DY245" s="5">
        <f t="shared" si="242"/>
        <v>24445.200000000001</v>
      </c>
      <c r="DZ245" s="159">
        <f>'[3]побудинковий звіт'!EA245</f>
        <v>4195.484701289125</v>
      </c>
    </row>
    <row r="246" spans="1:130" x14ac:dyDescent="0.3">
      <c r="A246" s="325">
        <v>150001050</v>
      </c>
      <c r="B246" s="41" t="s">
        <v>693</v>
      </c>
      <c r="C246" s="42" t="s">
        <v>271</v>
      </c>
      <c r="D246" s="42"/>
      <c r="E246" s="293">
        <f t="shared" si="296"/>
        <v>3564.3</v>
      </c>
      <c r="F246" s="305">
        <f>'[3]побудинковий звіт'!F246</f>
        <v>3564.3</v>
      </c>
      <c r="G246" s="508">
        <f>'[3]побудинковий звіт'!G246</f>
        <v>0</v>
      </c>
      <c r="H246" s="560">
        <f>'[3]побудинковий звіт'!H246</f>
        <v>0</v>
      </c>
      <c r="I246" s="566">
        <f>VLOOKUP($A246,'01-02.2021'!$A$6:$CZ$403,9,FALSE)+VLOOKUP($A246,'1.3.21-28.2.22'!$A$6:$DA$404,9,FALSE)-VLOOKUP($A246,'01-02.2022'!$A$6:$DA$376,9,FALSE)</f>
        <v>11553.394335627157</v>
      </c>
      <c r="J246" s="566">
        <f>VLOOKUP($A246,'01-02.2021'!$A$6:$CZ$403,10,FALSE)+VLOOKUP($A246,'1.3.21-28.2.22'!$A$6:$DA$404,10,FALSE)-VLOOKUP($A246,'01-02.2022'!$A$6:$DA$376,10,FALSE)</f>
        <v>12722.908383970649</v>
      </c>
      <c r="K246" s="52">
        <f t="shared" si="300"/>
        <v>1169.5140483434916</v>
      </c>
      <c r="L246" s="566">
        <f>VLOOKUP($A246,'01-02.2021'!$A$6:$CZ$403,12,FALSE)+VLOOKUP($A246,'1.3.21-28.2.22'!$A$6:$DA$404,12,FALSE)-VLOOKUP($A246,'01-02.2022'!$A$6:$DA$376,12,FALSE)</f>
        <v>2012.2670577015929</v>
      </c>
      <c r="M246" s="566">
        <f>VLOOKUP($A246,'01-02.2021'!$A$6:$CZ$403,13,FALSE)+VLOOKUP($A246,'1.3.21-28.2.22'!$A$6:$DA$404,13,FALSE)-VLOOKUP($A246,'01-02.2022'!$A$6:$DA$376,13,FALSE)</f>
        <v>2215.581219274819</v>
      </c>
      <c r="N246" s="52">
        <f t="shared" si="301"/>
        <v>203.3141615732261</v>
      </c>
      <c r="O246" s="566">
        <f>VLOOKUP($A246,'01-02.2021'!$A$6:$CZ$403,15,FALSE)+VLOOKUP($A246,'1.3.21-28.2.22'!$A$6:$DA$404,15,FALSE)-VLOOKUP($A246,'01-02.2022'!$A$6:$DA$376,15,FALSE)</f>
        <v>4436.6157627402245</v>
      </c>
      <c r="P246" s="566">
        <f>VLOOKUP($A246,'01-02.2021'!$A$6:$CZ$403,16,FALSE)+VLOOKUP($A246,'1.3.21-28.2.22'!$A$6:$DA$404,16,FALSE)-VLOOKUP($A246,'01-02.2022'!$A$6:$DA$376,16,FALSE)</f>
        <v>4436.6099999999997</v>
      </c>
      <c r="Q246" s="70">
        <f t="shared" si="243"/>
        <v>-5.7627402247817372E-3</v>
      </c>
      <c r="R246" s="566">
        <f>VLOOKUP($A246,'01-02.2021'!$A$6:$CZ$403,18,FALSE)+VLOOKUP($A246,'1.3.21-28.2.22'!$A$6:$DA$404,18,FALSE)-VLOOKUP($A246,'01-02.2022'!$A$6:$DA$376,18,FALSE)</f>
        <v>0</v>
      </c>
      <c r="S246" s="566">
        <f>VLOOKUP($A246,'01-02.2021'!$A$6:$CZ$403,19,FALSE)+VLOOKUP($A246,'1.3.21-28.2.22'!$A$6:$DA$404,19,FALSE)-VLOOKUP($A246,'01-02.2022'!$A$6:$DA$376,19,FALSE)</f>
        <v>0</v>
      </c>
      <c r="T246" s="70">
        <f t="shared" si="244"/>
        <v>0</v>
      </c>
      <c r="U246" s="566">
        <f>VLOOKUP($A246,'01-02.2021'!$A$6:$CZ$403,21,FALSE)+VLOOKUP($A246,'1.3.21-28.2.22'!$A$6:$DA$404,21,FALSE)-VLOOKUP($A246,'01-02.2022'!$A$6:$DA$376,21,FALSE)</f>
        <v>0</v>
      </c>
      <c r="V246" s="566">
        <f>VLOOKUP($A246,'01-02.2021'!$A$6:$CZ$403,22,FALSE)+VLOOKUP($A246,'1.3.21-28.2.22'!$A$6:$DA$404,22,FALSE)-VLOOKUP($A246,'01-02.2022'!$A$6:$DA$376,22,FALSE)</f>
        <v>0</v>
      </c>
      <c r="W246" s="70">
        <f t="shared" si="245"/>
        <v>0</v>
      </c>
      <c r="X246" s="566">
        <f>VLOOKUP($A246,'01-02.2021'!$A$6:$CZ$403,24,FALSE)+VLOOKUP($A246,'1.3.21-28.2.22'!$A$6:$DA$404,24,FALSE)-VLOOKUP($A246,'01-02.2022'!$A$6:$DA$376,24,FALSE)</f>
        <v>6621.4167825396999</v>
      </c>
      <c r="Y246" s="566">
        <f>VLOOKUP($A246,'01-02.2021'!$A$6:$CZ$403,25,FALSE)+VLOOKUP($A246,'1.3.21-28.2.22'!$A$6:$DA$404,25,FALSE)-VLOOKUP($A246,'01-02.2022'!$A$6:$DA$376,25,FALSE)</f>
        <v>5345.6375145842439</v>
      </c>
      <c r="Z246" s="70">
        <f t="shared" si="246"/>
        <v>-1275.7792679554559</v>
      </c>
      <c r="AA246" s="566">
        <f>VLOOKUP($A246,'01-02.2021'!$A$6:$CZ$403,27,FALSE)+VLOOKUP($A246,'1.3.21-28.2.22'!$A$6:$DA$404,27,FALSE)-VLOOKUP($A246,'01-02.2022'!$A$6:$DA$376,27,FALSE)</f>
        <v>712.7</v>
      </c>
      <c r="AB246" s="566">
        <f>VLOOKUP($A246,'01-02.2021'!$A$6:$CZ$403,28,FALSE)+VLOOKUP($A246,'1.3.21-28.2.22'!$A$6:$DA$404,28,FALSE)-VLOOKUP($A246,'01-02.2022'!$A$6:$DA$376,28,FALSE)</f>
        <v>0</v>
      </c>
      <c r="AC246" s="70">
        <f t="shared" si="247"/>
        <v>-712.7</v>
      </c>
      <c r="AD246" s="566">
        <f>VLOOKUP($A246,'01-02.2021'!$A$6:$CZ$403,30,FALSE)+VLOOKUP($A246,'1.3.21-28.2.22'!$A$6:$DA$404,30,FALSE)-VLOOKUP($A246,'01-02.2022'!$A$6:$DA$376,30,FALSE)</f>
        <v>15308.253795825643</v>
      </c>
      <c r="AE246" s="566">
        <f>VLOOKUP($A246,'01-02.2021'!$A$6:$CZ$403,31,FALSE)+VLOOKUP($A246,'1.3.21-28.2.22'!$A$6:$DA$404,31,FALSE)-VLOOKUP($A246,'01-02.2022'!$A$6:$DA$376,31,FALSE)</f>
        <v>16223.198540858752</v>
      </c>
      <c r="AF246" s="68">
        <f t="shared" si="248"/>
        <v>914.94474503310812</v>
      </c>
      <c r="AG246" s="77">
        <f t="shared" si="297"/>
        <v>40644.647734434315</v>
      </c>
      <c r="AH246" s="53">
        <f t="shared" si="297"/>
        <v>40943.935658688461</v>
      </c>
      <c r="AI246" s="52">
        <f t="shared" si="302"/>
        <v>299.28792425414576</v>
      </c>
      <c r="AJ246" s="566">
        <f>VLOOKUP($A246,'01-02.2021'!$A$6:$CZ$403,36,FALSE)+VLOOKUP($A246,'1.3.21-28.2.22'!$A$6:$DA$404,36,FALSE)-VLOOKUP($A246,'01-02.2022'!$A$6:$DA$376,36,FALSE)</f>
        <v>0</v>
      </c>
      <c r="AK246" s="566">
        <f>VLOOKUP($A246,'01-02.2021'!$A$6:$CZ$403,37,FALSE)+VLOOKUP($A246,'1.3.21-28.2.22'!$A$6:$DA$404,37,FALSE)-VLOOKUP($A246,'01-02.2022'!$A$6:$DA$376,37,FALSE)</f>
        <v>0</v>
      </c>
      <c r="AL246" s="70">
        <f t="shared" si="249"/>
        <v>0</v>
      </c>
      <c r="AM246" s="566">
        <f>VLOOKUP($A246,'01-02.2021'!$A$6:$CZ$403,39,FALSE)+VLOOKUP($A246,'1.3.21-28.2.22'!$A$6:$DA$404,39,FALSE)-VLOOKUP($A246,'01-02.2022'!$A$6:$DA$376,39,FALSE)</f>
        <v>0</v>
      </c>
      <c r="AN246" s="566">
        <f>VLOOKUP($A246,'01-02.2021'!$A$6:$CZ$403,40,FALSE)+VLOOKUP($A246,'1.3.21-28.2.22'!$A$6:$DA$404,40,FALSE)-VLOOKUP($A246,'01-02.2022'!$A$6:$DA$376,40,FALSE)</f>
        <v>0</v>
      </c>
      <c r="AO246" s="70">
        <f t="shared" si="250"/>
        <v>0</v>
      </c>
      <c r="AP246" s="566">
        <f>VLOOKUP($A246,'01-02.2021'!$A$6:$CZ$403,42,FALSE)+VLOOKUP($A246,'1.3.21-28.2.22'!$A$6:$DA$404,42,FALSE)-VLOOKUP($A246,'01-02.2022'!$A$6:$DA$376,42,FALSE)</f>
        <v>10411.198500255552</v>
      </c>
      <c r="AQ246" s="566">
        <f>VLOOKUP($A246,'01-02.2021'!$A$6:$CZ$403,43,FALSE)+VLOOKUP($A246,'1.3.21-28.2.22'!$A$6:$DA$404,43,FALSE)-VLOOKUP($A246,'01-02.2022'!$A$6:$DA$376,43,FALSE)</f>
        <v>3262.9086421395259</v>
      </c>
      <c r="AR246" s="70">
        <f t="shared" si="251"/>
        <v>-7148.2898581160262</v>
      </c>
      <c r="AS246" s="566">
        <f>VLOOKUP($A246,'01-02.2021'!$A$6:$CZ$403,45,FALSE)+VLOOKUP($A246,'1.3.21-28.2.22'!$A$6:$DA$404,45,FALSE)-VLOOKUP($A246,'01-02.2022'!$A$6:$DA$376,45,FALSE)</f>
        <v>49135.475425998557</v>
      </c>
      <c r="AT246" s="566">
        <f>VLOOKUP($A246,'01-02.2021'!$A$6:$CZ$403,46,FALSE)+VLOOKUP($A246,'1.3.21-28.2.22'!$A$6:$DA$404,46,FALSE)-VLOOKUP($A246,'01-02.2022'!$A$6:$DA$376,46,FALSE)</f>
        <v>59147.5</v>
      </c>
      <c r="AU246" s="78">
        <f t="shared" si="252"/>
        <v>10012.024574001443</v>
      </c>
      <c r="AV246" s="566">
        <f>VLOOKUP($A246,'01-02.2021'!$A$6:$CZ$403,48,FALSE)+VLOOKUP($A246,'1.3.21-28.2.22'!$A$6:$DA$404,48,FALSE)-VLOOKUP($A246,'01-02.2022'!$A$6:$DA$376,48,FALSE)</f>
        <v>3036.7330638135973</v>
      </c>
      <c r="AW246" s="566">
        <f>VLOOKUP($A246,'01-02.2021'!$A$6:$CZ$403,49,FALSE)+VLOOKUP($A246,'1.3.21-28.2.22'!$A$6:$DA$404,49,FALSE)-VLOOKUP($A246,'01-02.2022'!$A$6:$DA$376,49,FALSE)</f>
        <v>3764</v>
      </c>
      <c r="AX246" s="55">
        <f t="shared" si="253"/>
        <v>727.26693618640275</v>
      </c>
      <c r="AY246" s="566">
        <f>VLOOKUP($A246,'01-02.2021'!$A$6:$CZ$403,51,FALSE)+VLOOKUP($A246,'1.3.21-28.2.22'!$A$6:$DA$404,51,FALSE)-VLOOKUP($A246,'01-02.2022'!$A$6:$DA$376,51,FALSE)</f>
        <v>3782.2927724642163</v>
      </c>
      <c r="AZ246" s="566">
        <f>VLOOKUP($A246,'01-02.2021'!$A$6:$CZ$403,52,FALSE)+VLOOKUP($A246,'1.3.21-28.2.22'!$A$6:$DA$404,52,FALSE)-VLOOKUP($A246,'01-02.2022'!$A$6:$DA$376,52,FALSE)</f>
        <v>7466</v>
      </c>
      <c r="BA246" s="38">
        <f t="shared" si="254"/>
        <v>3683.7072275357837</v>
      </c>
      <c r="BB246" s="566">
        <f>VLOOKUP($A246,'01-02.2021'!$A$6:$CZ$403,54,FALSE)+VLOOKUP($A246,'1.3.21-28.2.22'!$A$6:$DA$404,54,FALSE)-VLOOKUP($A246,'01-02.2022'!$A$6:$DA$376,54,FALSE)</f>
        <v>2155.1828533188427</v>
      </c>
      <c r="BC246" s="566">
        <f>VLOOKUP($A246,'01-02.2021'!$A$6:$CZ$403,55,FALSE)+VLOOKUP($A246,'1.3.21-28.2.22'!$A$6:$DA$404,55,FALSE)-VLOOKUP($A246,'01-02.2022'!$A$6:$DA$376,55,FALSE)</f>
        <v>0</v>
      </c>
      <c r="BD246" s="55">
        <f t="shared" si="255"/>
        <v>-2155.1828533188427</v>
      </c>
      <c r="BE246" s="566">
        <f>VLOOKUP($A246,'01-02.2021'!$A$6:$CZ$403,57,FALSE)+VLOOKUP($A246,'1.3.21-28.2.22'!$A$6:$DA$404,57,FALSE)-VLOOKUP($A246,'01-02.2022'!$A$6:$DA$376,57,FALSE)</f>
        <v>0</v>
      </c>
      <c r="BF246" s="566">
        <f>VLOOKUP($A246,'01-02.2021'!$A$6:$CZ$403,58,FALSE)+VLOOKUP($A246,'1.3.21-28.2.22'!$A$6:$DA$404,58,FALSE)-VLOOKUP($A246,'01-02.2022'!$A$6:$DA$376,58,FALSE)</f>
        <v>0</v>
      </c>
      <c r="BG246" s="55">
        <f t="shared" si="256"/>
        <v>0</v>
      </c>
      <c r="BH246" s="566">
        <f>VLOOKUP($A246,'01-02.2021'!$A$6:$CZ$403,60,FALSE)+VLOOKUP($A246,'1.3.21-28.2.22'!$A$6:$DA$404,60,FALSE)-VLOOKUP($A246,'01-02.2022'!$A$6:$DA$376,60,FALSE)</f>
        <v>0</v>
      </c>
      <c r="BI246" s="566">
        <f>VLOOKUP($A246,'01-02.2021'!$A$6:$CZ$403,61,FALSE)+VLOOKUP($A246,'1.3.21-28.2.22'!$A$6:$DA$404,61,FALSE)-VLOOKUP($A246,'01-02.2022'!$A$6:$DA$376,61,FALSE)</f>
        <v>0</v>
      </c>
      <c r="BJ246" s="55">
        <f t="shared" si="257"/>
        <v>0</v>
      </c>
      <c r="BK246" s="566">
        <f>VLOOKUP($A246,'01-02.2021'!$A$6:$CZ$403,63,FALSE)+VLOOKUP($A246,'1.3.21-28.2.22'!$A$6:$DA$404,63,FALSE)-VLOOKUP($A246,'01-02.2022'!$A$6:$DA$376,63,FALSE)</f>
        <v>2106.6504324342091</v>
      </c>
      <c r="BL246" s="566">
        <f>VLOOKUP($A246,'01-02.2021'!$A$6:$CZ$403,64,FALSE)+VLOOKUP($A246,'1.3.21-28.2.22'!$A$6:$DA$404,64,FALSE)-VLOOKUP($A246,'01-02.2022'!$A$6:$DA$376,64,FALSE)</f>
        <v>3944</v>
      </c>
      <c r="BM246" s="55">
        <f t="shared" si="258"/>
        <v>1837.3495675657909</v>
      </c>
      <c r="BN246" s="566">
        <f>VLOOKUP($A246,'01-02.2021'!$A$6:$CZ$403,66,FALSE)+VLOOKUP($A246,'1.3.21-28.2.22'!$A$6:$DA$404,66,FALSE)-VLOOKUP($A246,'01-02.2022'!$A$6:$DA$376,66,FALSE)</f>
        <v>178.17500000000001</v>
      </c>
      <c r="BO246" s="566">
        <f>VLOOKUP($A246,'01-02.2021'!$A$6:$CZ$403,67,FALSE)+VLOOKUP($A246,'1.3.21-28.2.22'!$A$6:$DA$404,67,FALSE)-VLOOKUP($A246,'01-02.2022'!$A$6:$DA$376,67,FALSE)</f>
        <v>0</v>
      </c>
      <c r="BP246" s="55">
        <f t="shared" si="259"/>
        <v>-178.17500000000001</v>
      </c>
      <c r="BQ246" s="77">
        <f t="shared" si="287"/>
        <v>11259.034122030866</v>
      </c>
      <c r="BR246" s="40">
        <f t="shared" si="289"/>
        <v>15174</v>
      </c>
      <c r="BS246" s="55">
        <f t="shared" ref="BS246:BS304" si="314">BR246-BQ246</f>
        <v>3914.9658779691345</v>
      </c>
      <c r="BT246" s="566">
        <f>VLOOKUP($A246,'01-02.2021'!$A$6:$CZ$403,72,FALSE)+VLOOKUP($A246,'1.3.21-28.2.22'!$A$6:$DA$404,72,FALSE)-VLOOKUP($A246,'01-02.2022'!$A$6:$DA$376,72,FALSE)</f>
        <v>14999.554968263044</v>
      </c>
      <c r="BU246" s="566">
        <f>VLOOKUP($A246,'01-02.2021'!$A$6:$CZ$403,73,FALSE)+VLOOKUP($A246,'1.3.21-28.2.22'!$A$6:$DA$404,73,FALSE)-VLOOKUP($A246,'01-02.2022'!$A$6:$DA$376,73,FALSE)</f>
        <v>23339.488508365692</v>
      </c>
      <c r="BV246" s="70">
        <f t="shared" si="260"/>
        <v>8339.9335401026474</v>
      </c>
      <c r="BW246" s="566">
        <f>VLOOKUP($A246,'01-02.2021'!$A$6:$CZ$403,75,FALSE)+VLOOKUP($A246,'1.3.21-28.2.22'!$A$6:$DA$404,75,FALSE)-VLOOKUP($A246,'01-02.2022'!$A$6:$DA$376,75,FALSE)</f>
        <v>12756.40673434077</v>
      </c>
      <c r="BX246" s="566">
        <f>VLOOKUP($A246,'01-02.2021'!$A$6:$CZ$403,76,FALSE)+VLOOKUP($A246,'1.3.21-28.2.22'!$A$6:$DA$404,76,FALSE)-VLOOKUP($A246,'01-02.2022'!$A$6:$DA$376,76,FALSE)</f>
        <v>12932.965304146077</v>
      </c>
      <c r="BY246" s="70">
        <f t="shared" si="261"/>
        <v>176.55856980530734</v>
      </c>
      <c r="BZ246" s="566">
        <f>VLOOKUP($A246,'01-02.2021'!$A$6:$CZ$403,78,FALSE)+VLOOKUP($A246,'1.3.21-28.2.22'!$A$6:$DA$404,78,FALSE)-VLOOKUP($A246,'01-02.2022'!$A$6:$DA$376,78,FALSE)</f>
        <v>7948.9398610345579</v>
      </c>
      <c r="CA246" s="566">
        <f>VLOOKUP($A246,'01-02.2021'!$A$6:$CZ$403,79,FALSE)+VLOOKUP($A246,'1.3.21-28.2.22'!$A$6:$DA$404,79,FALSE)-VLOOKUP($A246,'01-02.2022'!$A$6:$DA$376,79,FALSE)</f>
        <v>4935.2128525614662</v>
      </c>
      <c r="CB246" s="70">
        <f t="shared" si="262"/>
        <v>-3013.7270084730917</v>
      </c>
      <c r="CC246" s="566">
        <f>VLOOKUP($A246,'01-02.2021'!$A$6:$CZ$403,81,FALSE)+VLOOKUP($A246,'1.3.21-28.2.22'!$A$6:$DA$404,81,FALSE)-VLOOKUP($A246,'01-02.2022'!$A$6:$DA$376,81,FALSE)</f>
        <v>1905.5780406828546</v>
      </c>
      <c r="CD246" s="566">
        <f>VLOOKUP($A246,'01-02.2021'!$A$6:$CZ$403,82,FALSE)+VLOOKUP($A246,'1.3.21-28.2.22'!$A$6:$DA$404,82,FALSE)-VLOOKUP($A246,'01-02.2022'!$A$6:$DA$376,82,FALSE)</f>
        <v>2082.7834966770552</v>
      </c>
      <c r="CE246" s="70">
        <f t="shared" si="263"/>
        <v>177.20545599420052</v>
      </c>
      <c r="CF246" s="566">
        <f>VLOOKUP($A246,'01-02.2021'!$A$6:$CZ$403,84,FALSE)+VLOOKUP($A246,'1.3.21-28.2.22'!$A$6:$DA$404,84,FALSE)-VLOOKUP($A246,'01-02.2022'!$A$6:$DA$376,84,FALSE)</f>
        <v>231.6622639696576</v>
      </c>
      <c r="CG246" s="566">
        <f>VLOOKUP($A246,'01-02.2021'!$A$6:$CZ$403,85,FALSE)+VLOOKUP($A246,'1.3.21-28.2.22'!$A$6:$DA$404,85,FALSE)-VLOOKUP($A246,'01-02.2022'!$A$6:$DA$376,85,FALSE)</f>
        <v>0</v>
      </c>
      <c r="CH246" s="70">
        <f t="shared" si="264"/>
        <v>-231.6622639696576</v>
      </c>
      <c r="CI246" s="566">
        <f>VLOOKUP($A246,'01-02.2021'!$A$6:$CZ$403,87,FALSE)+VLOOKUP($A246,'1.3.21-28.2.22'!$A$6:$DA$404,87,FALSE)-VLOOKUP($A246,'01-02.2022'!$A$6:$DA$376,87,FALSE)</f>
        <v>1579.1015154492252</v>
      </c>
      <c r="CJ246" s="566">
        <f>VLOOKUP($A246,'01-02.2021'!$A$6:$CZ$403,88,FALSE)+VLOOKUP($A246,'1.3.21-28.2.22'!$A$6:$DA$404,88,FALSE)-VLOOKUP($A246,'01-02.2022'!$A$6:$DA$376,88,FALSE)</f>
        <v>1321.0194357218115</v>
      </c>
      <c r="CK246" s="70">
        <f t="shared" si="265"/>
        <v>-258.08207972741366</v>
      </c>
      <c r="CL246" s="566">
        <f>VLOOKUP($A246,'01-02.2021'!$A$6:$CZ$403,90,FALSE)+VLOOKUP($A246,'1.3.21-28.2.22'!$A$6:$DA$404,90,FALSE)-VLOOKUP($A246,'01-02.2022'!$A$6:$DA$376,90,FALSE)</f>
        <v>0</v>
      </c>
      <c r="CM246" s="566">
        <f>VLOOKUP($A246,'01-02.2021'!$A$6:$CZ$403,91,FALSE)+VLOOKUP($A246,'1.3.21-28.2.22'!$A$6:$DA$404,91,FALSE)-VLOOKUP($A246,'01-02.2022'!$A$6:$DA$376,91,FALSE)</f>
        <v>0</v>
      </c>
      <c r="CN246" s="52">
        <f t="shared" si="303"/>
        <v>0</v>
      </c>
      <c r="CO246" s="39">
        <f t="shared" si="298"/>
        <v>1579.1015154492252</v>
      </c>
      <c r="CP246" s="40">
        <f t="shared" si="304"/>
        <v>1321.0194357218115</v>
      </c>
      <c r="CQ246" s="52">
        <f t="shared" si="305"/>
        <v>-258.08207972741366</v>
      </c>
      <c r="CR246" s="72">
        <f t="shared" si="299"/>
        <v>150871.5991664594</v>
      </c>
      <c r="CS246" s="5">
        <f t="shared" si="299"/>
        <v>163139.81389830008</v>
      </c>
      <c r="CT246" s="52">
        <f t="shared" si="306"/>
        <v>12268.214731840679</v>
      </c>
      <c r="CU246" s="77">
        <f t="shared" si="307"/>
        <v>181045.91899975127</v>
      </c>
      <c r="CV246" s="65">
        <f t="shared" si="308"/>
        <v>195767.77667796009</v>
      </c>
      <c r="CW246" s="35">
        <f t="shared" si="309"/>
        <v>14721.85767820882</v>
      </c>
      <c r="CX246" s="566">
        <f>VLOOKUP($A246,'01-02.2021'!$A$6:$CZ$403,102,FALSE)+VLOOKUP($A246,'1.3.21-28.2.22'!$A$6:$DA$404,102,FALSE)-VLOOKUP($A246,'01-02.2022'!$A$6:$DA$376,102,FALSE)</f>
        <v>9226.7336391596637</v>
      </c>
      <c r="CY246" s="566">
        <f>VLOOKUP($A246,'01-02.2021'!$A$6:$CZ$403,103,FALSE)+VLOOKUP($A246,'1.3.21-28.2.22'!$A$6:$DA$404,103,FALSE)-VLOOKUP($A246,'01-02.2022'!$A$6:$DA$376,103,FALSE)</f>
        <v>-5495.1240390491603</v>
      </c>
      <c r="CZ246" s="52">
        <f t="shared" si="310"/>
        <v>-14721.857678208824</v>
      </c>
      <c r="DA246" s="150">
        <f>'[2]побудинковий звіт'!DA246</f>
        <v>58592.819419791369</v>
      </c>
      <c r="DB246" s="2">
        <v>2</v>
      </c>
      <c r="DC246" s="414">
        <f>'[4]побудинковий звіт'!DC246</f>
        <v>27369.200000000001</v>
      </c>
      <c r="DD246" s="414">
        <f>'[4]побудинковий звіт'!DD246</f>
        <v>0</v>
      </c>
      <c r="DE246" s="557">
        <f>'[4]побудинковий звіт'!DE246</f>
        <v>10348.228503512713</v>
      </c>
      <c r="DF246" s="557">
        <f>'[4]побудинковий звіт'!DF246</f>
        <v>0</v>
      </c>
      <c r="DG246" s="321">
        <f>VLOOKUP(A246,'кошти 01.03.2021'!$A$6:$D$401,4,)</f>
        <v>57102.68203822631</v>
      </c>
      <c r="DH246" s="40">
        <f>'[3]побудинковий звіт'!DJ246</f>
        <v>195761.07880838079</v>
      </c>
      <c r="DI246" s="422">
        <f>'[3]побудинковий звіт'!CU246+'[3]побудинковий звіт'!CX246</f>
        <v>17020.971496487287</v>
      </c>
      <c r="DJ246" s="306">
        <f>'[3]побудинковий звіт'!DM246</f>
        <v>4.7754037248512429</v>
      </c>
      <c r="DK246" s="306">
        <f t="shared" si="311"/>
        <v>4.7754037248512429</v>
      </c>
      <c r="DL246" s="306">
        <f>'[3]побудинковий звіт'!DO246</f>
        <v>4.3313456255871632</v>
      </c>
      <c r="DM246" s="28">
        <f t="shared" si="312"/>
        <v>17020.971496487287</v>
      </c>
      <c r="DN246" s="28">
        <f t="shared" si="313"/>
        <v>0</v>
      </c>
      <c r="DO246" s="423">
        <f t="shared" si="238"/>
        <v>17020.971496487287</v>
      </c>
      <c r="DP246" s="94">
        <f t="shared" si="239"/>
        <v>0</v>
      </c>
      <c r="DQ246" s="28">
        <f t="shared" si="240"/>
        <v>17020.971496487287</v>
      </c>
      <c r="DR246" s="318"/>
      <c r="DT246" s="8"/>
      <c r="DU246" s="5"/>
      <c r="DX246" s="5">
        <f t="shared" si="241"/>
        <v>72473.411457635302</v>
      </c>
      <c r="DY246" s="5">
        <f t="shared" si="242"/>
        <v>89185.8</v>
      </c>
      <c r="DZ246" s="159">
        <f>'[3]побудинковий звіт'!EA246</f>
        <v>6324.916686629932</v>
      </c>
    </row>
    <row r="247" spans="1:130" x14ac:dyDescent="0.3">
      <c r="A247" s="325">
        <v>150001045</v>
      </c>
      <c r="B247" s="41" t="s">
        <v>694</v>
      </c>
      <c r="C247" s="42" t="s">
        <v>272</v>
      </c>
      <c r="D247" s="42"/>
      <c r="E247" s="293">
        <f t="shared" si="296"/>
        <v>3571.4</v>
      </c>
      <c r="F247" s="305">
        <f>'[3]побудинковий звіт'!F247</f>
        <v>3571.4</v>
      </c>
      <c r="G247" s="508">
        <f>'[3]побудинковий звіт'!G247</f>
        <v>0</v>
      </c>
      <c r="H247" s="560">
        <f>'[3]побудинковий звіт'!H247</f>
        <v>0</v>
      </c>
      <c r="I247" s="566">
        <f>VLOOKUP($A247,'01-02.2021'!$A$6:$CZ$403,9,FALSE)+VLOOKUP($A247,'1.3.21-28.2.22'!$A$6:$DA$404,9,FALSE)-VLOOKUP($A247,'01-02.2022'!$A$6:$DA$376,9,FALSE)</f>
        <v>11228.652190571582</v>
      </c>
      <c r="J247" s="566">
        <f>VLOOKUP($A247,'01-02.2021'!$A$6:$CZ$403,10,FALSE)+VLOOKUP($A247,'1.3.21-28.2.22'!$A$6:$DA$404,10,FALSE)-VLOOKUP($A247,'01-02.2022'!$A$6:$DA$376,10,FALSE)</f>
        <v>12379.986790109157</v>
      </c>
      <c r="K247" s="52">
        <f t="shared" si="300"/>
        <v>1151.3345995375748</v>
      </c>
      <c r="L247" s="566">
        <f>VLOOKUP($A247,'01-02.2021'!$A$6:$CZ$403,12,FALSE)+VLOOKUP($A247,'1.3.21-28.2.22'!$A$6:$DA$404,12,FALSE)-VLOOKUP($A247,'01-02.2022'!$A$6:$DA$376,12,FALSE)</f>
        <v>2012.2670577015929</v>
      </c>
      <c r="M247" s="566">
        <f>VLOOKUP($A247,'01-02.2021'!$A$6:$CZ$403,13,FALSE)+VLOOKUP($A247,'1.3.21-28.2.22'!$A$6:$DA$404,13,FALSE)-VLOOKUP($A247,'01-02.2022'!$A$6:$DA$376,13,FALSE)</f>
        <v>2215.581219274819</v>
      </c>
      <c r="N247" s="52">
        <f t="shared" si="301"/>
        <v>203.3141615732261</v>
      </c>
      <c r="O247" s="566">
        <f>VLOOKUP($A247,'01-02.2021'!$A$6:$CZ$403,15,FALSE)+VLOOKUP($A247,'1.3.21-28.2.22'!$A$6:$DA$404,15,FALSE)-VLOOKUP($A247,'01-02.2022'!$A$6:$DA$376,15,FALSE)</f>
        <v>4862.4285504895088</v>
      </c>
      <c r="P247" s="566">
        <f>VLOOKUP($A247,'01-02.2021'!$A$6:$CZ$403,16,FALSE)+VLOOKUP($A247,'1.3.21-28.2.22'!$A$6:$DA$404,16,FALSE)-VLOOKUP($A247,'01-02.2022'!$A$6:$DA$376,16,FALSE)</f>
        <v>4862.43</v>
      </c>
      <c r="Q247" s="70">
        <f t="shared" si="243"/>
        <v>1.4495104915113188E-3</v>
      </c>
      <c r="R247" s="566">
        <f>VLOOKUP($A247,'01-02.2021'!$A$6:$CZ$403,18,FALSE)+VLOOKUP($A247,'1.3.21-28.2.22'!$A$6:$DA$404,18,FALSE)-VLOOKUP($A247,'01-02.2022'!$A$6:$DA$376,18,FALSE)</f>
        <v>0</v>
      </c>
      <c r="S247" s="566">
        <f>VLOOKUP($A247,'01-02.2021'!$A$6:$CZ$403,19,FALSE)+VLOOKUP($A247,'1.3.21-28.2.22'!$A$6:$DA$404,19,FALSE)-VLOOKUP($A247,'01-02.2022'!$A$6:$DA$376,19,FALSE)</f>
        <v>0</v>
      </c>
      <c r="T247" s="70">
        <f t="shared" si="244"/>
        <v>0</v>
      </c>
      <c r="U247" s="566">
        <f>VLOOKUP($A247,'01-02.2021'!$A$6:$CZ$403,21,FALSE)+VLOOKUP($A247,'1.3.21-28.2.22'!$A$6:$DA$404,21,FALSE)-VLOOKUP($A247,'01-02.2022'!$A$6:$DA$376,21,FALSE)</f>
        <v>0</v>
      </c>
      <c r="V247" s="566">
        <f>VLOOKUP($A247,'01-02.2021'!$A$6:$CZ$403,22,FALSE)+VLOOKUP($A247,'1.3.21-28.2.22'!$A$6:$DA$404,22,FALSE)-VLOOKUP($A247,'01-02.2022'!$A$6:$DA$376,22,FALSE)</f>
        <v>0</v>
      </c>
      <c r="W247" s="70">
        <f t="shared" si="245"/>
        <v>0</v>
      </c>
      <c r="X247" s="566">
        <f>VLOOKUP($A247,'01-02.2021'!$A$6:$CZ$403,24,FALSE)+VLOOKUP($A247,'1.3.21-28.2.22'!$A$6:$DA$404,24,FALSE)-VLOOKUP($A247,'01-02.2022'!$A$6:$DA$376,24,FALSE)</f>
        <v>6621.4167825396999</v>
      </c>
      <c r="Y247" s="566">
        <f>VLOOKUP($A247,'01-02.2021'!$A$6:$CZ$403,25,FALSE)+VLOOKUP($A247,'1.3.21-28.2.22'!$A$6:$DA$404,25,FALSE)-VLOOKUP($A247,'01-02.2022'!$A$6:$DA$376,25,FALSE)</f>
        <v>5339.8457468687611</v>
      </c>
      <c r="Z247" s="70">
        <f t="shared" si="246"/>
        <v>-1281.5710356709387</v>
      </c>
      <c r="AA247" s="566">
        <f>VLOOKUP($A247,'01-02.2021'!$A$6:$CZ$403,27,FALSE)+VLOOKUP($A247,'1.3.21-28.2.22'!$A$6:$DA$404,27,FALSE)-VLOOKUP($A247,'01-02.2022'!$A$6:$DA$376,27,FALSE)</f>
        <v>714.30000000000007</v>
      </c>
      <c r="AB247" s="566">
        <f>VLOOKUP($A247,'01-02.2021'!$A$6:$CZ$403,28,FALSE)+VLOOKUP($A247,'1.3.21-28.2.22'!$A$6:$DA$404,28,FALSE)-VLOOKUP($A247,'01-02.2022'!$A$6:$DA$376,28,FALSE)</f>
        <v>0</v>
      </c>
      <c r="AC247" s="70">
        <f t="shared" si="247"/>
        <v>-714.30000000000007</v>
      </c>
      <c r="AD247" s="566">
        <f>VLOOKUP($A247,'01-02.2021'!$A$6:$CZ$403,30,FALSE)+VLOOKUP($A247,'1.3.21-28.2.22'!$A$6:$DA$404,30,FALSE)-VLOOKUP($A247,'01-02.2022'!$A$6:$DA$376,30,FALSE)</f>
        <v>15340.325992446556</v>
      </c>
      <c r="AE247" s="566">
        <f>VLOOKUP($A247,'01-02.2021'!$A$6:$CZ$403,31,FALSE)+VLOOKUP($A247,'1.3.21-28.2.22'!$A$6:$DA$404,31,FALSE)-VLOOKUP($A247,'01-02.2022'!$A$6:$DA$376,31,FALSE)</f>
        <v>16257.156699742922</v>
      </c>
      <c r="AF247" s="68">
        <f t="shared" si="248"/>
        <v>916.83070729636529</v>
      </c>
      <c r="AG247" s="77">
        <f t="shared" si="297"/>
        <v>40779.39057374894</v>
      </c>
      <c r="AH247" s="53">
        <f t="shared" si="297"/>
        <v>41055.000455995658</v>
      </c>
      <c r="AI247" s="52">
        <f t="shared" si="302"/>
        <v>275.60988224671746</v>
      </c>
      <c r="AJ247" s="566">
        <f>VLOOKUP($A247,'01-02.2021'!$A$6:$CZ$403,36,FALSE)+VLOOKUP($A247,'1.3.21-28.2.22'!$A$6:$DA$404,36,FALSE)-VLOOKUP($A247,'01-02.2022'!$A$6:$DA$376,36,FALSE)</f>
        <v>0</v>
      </c>
      <c r="AK247" s="566">
        <f>VLOOKUP($A247,'01-02.2021'!$A$6:$CZ$403,37,FALSE)+VLOOKUP($A247,'1.3.21-28.2.22'!$A$6:$DA$404,37,FALSE)-VLOOKUP($A247,'01-02.2022'!$A$6:$DA$376,37,FALSE)</f>
        <v>0</v>
      </c>
      <c r="AL247" s="70">
        <f t="shared" si="249"/>
        <v>0</v>
      </c>
      <c r="AM247" s="566">
        <f>VLOOKUP($A247,'01-02.2021'!$A$6:$CZ$403,39,FALSE)+VLOOKUP($A247,'1.3.21-28.2.22'!$A$6:$DA$404,39,FALSE)-VLOOKUP($A247,'01-02.2022'!$A$6:$DA$376,39,FALSE)</f>
        <v>0</v>
      </c>
      <c r="AN247" s="566">
        <f>VLOOKUP($A247,'01-02.2021'!$A$6:$CZ$403,40,FALSE)+VLOOKUP($A247,'1.3.21-28.2.22'!$A$6:$DA$404,40,FALSE)-VLOOKUP($A247,'01-02.2022'!$A$6:$DA$376,40,FALSE)</f>
        <v>0</v>
      </c>
      <c r="AO247" s="70">
        <f t="shared" si="250"/>
        <v>0</v>
      </c>
      <c r="AP247" s="566">
        <f>VLOOKUP($A247,'01-02.2021'!$A$6:$CZ$403,42,FALSE)+VLOOKUP($A247,'1.3.21-28.2.22'!$A$6:$DA$404,42,FALSE)-VLOOKUP($A247,'01-02.2022'!$A$6:$DA$376,42,FALSE)</f>
        <v>10411.198500255552</v>
      </c>
      <c r="AQ247" s="566">
        <f>VLOOKUP($A247,'01-02.2021'!$A$6:$CZ$403,43,FALSE)+VLOOKUP($A247,'1.3.21-28.2.22'!$A$6:$DA$404,43,FALSE)-VLOOKUP($A247,'01-02.2022'!$A$6:$DA$376,43,FALSE)</f>
        <v>3461.0788597129877</v>
      </c>
      <c r="AR247" s="70">
        <f t="shared" si="251"/>
        <v>-6950.1196405425644</v>
      </c>
      <c r="AS247" s="566">
        <f>VLOOKUP($A247,'01-02.2021'!$A$6:$CZ$403,45,FALSE)+VLOOKUP($A247,'1.3.21-28.2.22'!$A$6:$DA$404,45,FALSE)-VLOOKUP($A247,'01-02.2022'!$A$6:$DA$376,45,FALSE)</f>
        <v>50071.658194870004</v>
      </c>
      <c r="AT247" s="566">
        <f>VLOOKUP($A247,'01-02.2021'!$A$6:$CZ$403,46,FALSE)+VLOOKUP($A247,'1.3.21-28.2.22'!$A$6:$DA$404,46,FALSE)-VLOOKUP($A247,'01-02.2022'!$A$6:$DA$376,46,FALSE)</f>
        <v>58342</v>
      </c>
      <c r="AU247" s="78">
        <f t="shared" si="252"/>
        <v>8270.3418051299959</v>
      </c>
      <c r="AV247" s="566">
        <f>VLOOKUP($A247,'01-02.2021'!$A$6:$CZ$403,48,FALSE)+VLOOKUP($A247,'1.3.21-28.2.22'!$A$6:$DA$404,48,FALSE)-VLOOKUP($A247,'01-02.2022'!$A$6:$DA$376,48,FALSE)</f>
        <v>2898.2238928186071</v>
      </c>
      <c r="AW247" s="566">
        <f>VLOOKUP($A247,'01-02.2021'!$A$6:$CZ$403,49,FALSE)+VLOOKUP($A247,'1.3.21-28.2.22'!$A$6:$DA$404,49,FALSE)-VLOOKUP($A247,'01-02.2022'!$A$6:$DA$376,49,FALSE)</f>
        <v>3494.69</v>
      </c>
      <c r="AX247" s="55">
        <f t="shared" si="253"/>
        <v>596.466107181393</v>
      </c>
      <c r="AY247" s="566">
        <f>VLOOKUP($A247,'01-02.2021'!$A$6:$CZ$403,51,FALSE)+VLOOKUP($A247,'1.3.21-28.2.22'!$A$6:$DA$404,51,FALSE)-VLOOKUP($A247,'01-02.2022'!$A$6:$DA$376,51,FALSE)</f>
        <v>3782.2927724642163</v>
      </c>
      <c r="AZ247" s="566">
        <f>VLOOKUP($A247,'01-02.2021'!$A$6:$CZ$403,52,FALSE)+VLOOKUP($A247,'1.3.21-28.2.22'!$A$6:$DA$404,52,FALSE)-VLOOKUP($A247,'01-02.2022'!$A$6:$DA$376,52,FALSE)</f>
        <v>2066</v>
      </c>
      <c r="BA247" s="38">
        <f t="shared" si="254"/>
        <v>-1716.2927724642163</v>
      </c>
      <c r="BB247" s="566">
        <f>VLOOKUP($A247,'01-02.2021'!$A$6:$CZ$403,54,FALSE)+VLOOKUP($A247,'1.3.21-28.2.22'!$A$6:$DA$404,54,FALSE)-VLOOKUP($A247,'01-02.2022'!$A$6:$DA$376,54,FALSE)</f>
        <v>2350.9931294595976</v>
      </c>
      <c r="BC247" s="566">
        <f>VLOOKUP($A247,'01-02.2021'!$A$6:$CZ$403,55,FALSE)+VLOOKUP($A247,'1.3.21-28.2.22'!$A$6:$DA$404,55,FALSE)-VLOOKUP($A247,'01-02.2022'!$A$6:$DA$376,55,FALSE)</f>
        <v>0</v>
      </c>
      <c r="BD247" s="55">
        <f t="shared" si="255"/>
        <v>-2350.9931294595976</v>
      </c>
      <c r="BE247" s="566">
        <f>VLOOKUP($A247,'01-02.2021'!$A$6:$CZ$403,57,FALSE)+VLOOKUP($A247,'1.3.21-28.2.22'!$A$6:$DA$404,57,FALSE)-VLOOKUP($A247,'01-02.2022'!$A$6:$DA$376,57,FALSE)</f>
        <v>0</v>
      </c>
      <c r="BF247" s="566">
        <f>VLOOKUP($A247,'01-02.2021'!$A$6:$CZ$403,58,FALSE)+VLOOKUP($A247,'1.3.21-28.2.22'!$A$6:$DA$404,58,FALSE)-VLOOKUP($A247,'01-02.2022'!$A$6:$DA$376,58,FALSE)</f>
        <v>0</v>
      </c>
      <c r="BG247" s="55">
        <f t="shared" si="256"/>
        <v>0</v>
      </c>
      <c r="BH247" s="566">
        <f>VLOOKUP($A247,'01-02.2021'!$A$6:$CZ$403,60,FALSE)+VLOOKUP($A247,'1.3.21-28.2.22'!$A$6:$DA$404,60,FALSE)-VLOOKUP($A247,'01-02.2022'!$A$6:$DA$376,60,FALSE)</f>
        <v>0</v>
      </c>
      <c r="BI247" s="566">
        <f>VLOOKUP($A247,'01-02.2021'!$A$6:$CZ$403,61,FALSE)+VLOOKUP($A247,'1.3.21-28.2.22'!$A$6:$DA$404,61,FALSE)-VLOOKUP($A247,'01-02.2022'!$A$6:$DA$376,61,FALSE)</f>
        <v>0</v>
      </c>
      <c r="BJ247" s="55">
        <f t="shared" si="257"/>
        <v>0</v>
      </c>
      <c r="BK247" s="566">
        <f>VLOOKUP($A247,'01-02.2021'!$A$6:$CZ$403,63,FALSE)+VLOOKUP($A247,'1.3.21-28.2.22'!$A$6:$DA$404,63,FALSE)-VLOOKUP($A247,'01-02.2022'!$A$6:$DA$376,63,FALSE)</f>
        <v>2106.6504324342091</v>
      </c>
      <c r="BL247" s="566">
        <f>VLOOKUP($A247,'01-02.2021'!$A$6:$CZ$403,64,FALSE)+VLOOKUP($A247,'1.3.21-28.2.22'!$A$6:$DA$404,64,FALSE)-VLOOKUP($A247,'01-02.2022'!$A$6:$DA$376,64,FALSE)</f>
        <v>1761</v>
      </c>
      <c r="BM247" s="55">
        <f t="shared" si="258"/>
        <v>-345.65043243420905</v>
      </c>
      <c r="BN247" s="566">
        <f>VLOOKUP($A247,'01-02.2021'!$A$6:$CZ$403,66,FALSE)+VLOOKUP($A247,'1.3.21-28.2.22'!$A$6:$DA$404,66,FALSE)-VLOOKUP($A247,'01-02.2022'!$A$6:$DA$376,66,FALSE)</f>
        <v>178.57500000000002</v>
      </c>
      <c r="BO247" s="566">
        <f>VLOOKUP($A247,'01-02.2021'!$A$6:$CZ$403,67,FALSE)+VLOOKUP($A247,'1.3.21-28.2.22'!$A$6:$DA$404,67,FALSE)-VLOOKUP($A247,'01-02.2022'!$A$6:$DA$376,67,FALSE)</f>
        <v>0</v>
      </c>
      <c r="BP247" s="55">
        <f t="shared" si="259"/>
        <v>-178.57500000000002</v>
      </c>
      <c r="BQ247" s="77">
        <f t="shared" si="287"/>
        <v>11316.73522717663</v>
      </c>
      <c r="BR247" s="40">
        <f t="shared" si="289"/>
        <v>7321.6900000000005</v>
      </c>
      <c r="BS247" s="55">
        <f t="shared" si="314"/>
        <v>-3995.0452271766299</v>
      </c>
      <c r="BT247" s="566">
        <f>VLOOKUP($A247,'01-02.2021'!$A$6:$CZ$403,72,FALSE)+VLOOKUP($A247,'1.3.21-28.2.22'!$A$6:$DA$404,72,FALSE)-VLOOKUP($A247,'01-02.2022'!$A$6:$DA$376,72,FALSE)</f>
        <v>12231.627947281071</v>
      </c>
      <c r="BU247" s="566">
        <f>VLOOKUP($A247,'01-02.2021'!$A$6:$CZ$403,73,FALSE)+VLOOKUP($A247,'1.3.21-28.2.22'!$A$6:$DA$404,73,FALSE)-VLOOKUP($A247,'01-02.2022'!$A$6:$DA$376,73,FALSE)</f>
        <v>17937.215631290306</v>
      </c>
      <c r="BV247" s="70">
        <f t="shared" si="260"/>
        <v>5705.5876840092351</v>
      </c>
      <c r="BW247" s="566">
        <f>VLOOKUP($A247,'01-02.2021'!$A$6:$CZ$403,75,FALSE)+VLOOKUP($A247,'1.3.21-28.2.22'!$A$6:$DA$404,75,FALSE)-VLOOKUP($A247,'01-02.2022'!$A$6:$DA$376,75,FALSE)</f>
        <v>15037.855141846683</v>
      </c>
      <c r="BX247" s="566">
        <f>VLOOKUP($A247,'01-02.2021'!$A$6:$CZ$403,76,FALSE)+VLOOKUP($A247,'1.3.21-28.2.22'!$A$6:$DA$404,76,FALSE)-VLOOKUP($A247,'01-02.2022'!$A$6:$DA$376,76,FALSE)</f>
        <v>13982.983798177633</v>
      </c>
      <c r="BY247" s="70">
        <f t="shared" si="261"/>
        <v>-1054.8713436690505</v>
      </c>
      <c r="BZ247" s="566">
        <f>VLOOKUP($A247,'01-02.2021'!$A$6:$CZ$403,78,FALSE)+VLOOKUP($A247,'1.3.21-28.2.22'!$A$6:$DA$404,78,FALSE)-VLOOKUP($A247,'01-02.2022'!$A$6:$DA$376,78,FALSE)</f>
        <v>7764.883941916406</v>
      </c>
      <c r="CA247" s="566">
        <f>VLOOKUP($A247,'01-02.2021'!$A$6:$CZ$403,79,FALSE)+VLOOKUP($A247,'1.3.21-28.2.22'!$A$6:$DA$404,79,FALSE)-VLOOKUP($A247,'01-02.2022'!$A$6:$DA$376,79,FALSE)</f>
        <v>4047.9647222038657</v>
      </c>
      <c r="CB247" s="70">
        <f t="shared" si="262"/>
        <v>-3716.9192197125403</v>
      </c>
      <c r="CC247" s="566">
        <f>VLOOKUP($A247,'01-02.2021'!$A$6:$CZ$403,81,FALSE)+VLOOKUP($A247,'1.3.21-28.2.22'!$A$6:$DA$404,81,FALSE)-VLOOKUP($A247,'01-02.2022'!$A$6:$DA$376,81,FALSE)</f>
        <v>1940.8319021222562</v>
      </c>
      <c r="CD247" s="566">
        <f>VLOOKUP($A247,'01-02.2021'!$A$6:$CZ$403,82,FALSE)+VLOOKUP($A247,'1.3.21-28.2.22'!$A$6:$DA$404,82,FALSE)-VLOOKUP($A247,'01-02.2022'!$A$6:$DA$376,82,FALSE)</f>
        <v>2121.3157211425591</v>
      </c>
      <c r="CE247" s="70">
        <f t="shared" si="263"/>
        <v>180.48381902030292</v>
      </c>
      <c r="CF247" s="566">
        <f>VLOOKUP($A247,'01-02.2021'!$A$6:$CZ$403,84,FALSE)+VLOOKUP($A247,'1.3.21-28.2.22'!$A$6:$DA$404,84,FALSE)-VLOOKUP($A247,'01-02.2022'!$A$6:$DA$376,84,FALSE)</f>
        <v>235.94809702417695</v>
      </c>
      <c r="CG247" s="566">
        <f>VLOOKUP($A247,'01-02.2021'!$A$6:$CZ$403,85,FALSE)+VLOOKUP($A247,'1.3.21-28.2.22'!$A$6:$DA$404,85,FALSE)-VLOOKUP($A247,'01-02.2022'!$A$6:$DA$376,85,FALSE)</f>
        <v>0</v>
      </c>
      <c r="CH247" s="70">
        <f t="shared" si="264"/>
        <v>-235.94809702417695</v>
      </c>
      <c r="CI247" s="566">
        <f>VLOOKUP($A247,'01-02.2021'!$A$6:$CZ$403,87,FALSE)+VLOOKUP($A247,'1.3.21-28.2.22'!$A$6:$DA$404,87,FALSE)-VLOOKUP($A247,'01-02.2022'!$A$6:$DA$376,87,FALSE)</f>
        <v>9615.3085987869053</v>
      </c>
      <c r="CJ247" s="566">
        <f>VLOOKUP($A247,'01-02.2021'!$A$6:$CZ$403,88,FALSE)+VLOOKUP($A247,'1.3.21-28.2.22'!$A$6:$DA$404,88,FALSE)-VLOOKUP($A247,'01-02.2022'!$A$6:$DA$376,88,FALSE)</f>
        <v>8684.3234991620775</v>
      </c>
      <c r="CK247" s="70">
        <f t="shared" si="265"/>
        <v>-930.98509962482785</v>
      </c>
      <c r="CL247" s="566">
        <f>VLOOKUP($A247,'01-02.2021'!$A$6:$CZ$403,90,FALSE)+VLOOKUP($A247,'1.3.21-28.2.22'!$A$6:$DA$404,90,FALSE)-VLOOKUP($A247,'01-02.2022'!$A$6:$DA$376,90,FALSE)</f>
        <v>0</v>
      </c>
      <c r="CM247" s="566">
        <f>VLOOKUP($A247,'01-02.2021'!$A$6:$CZ$403,91,FALSE)+VLOOKUP($A247,'1.3.21-28.2.22'!$A$6:$DA$404,91,FALSE)-VLOOKUP($A247,'01-02.2022'!$A$6:$DA$376,91,FALSE)</f>
        <v>0</v>
      </c>
      <c r="CN247" s="52">
        <f t="shared" si="303"/>
        <v>0</v>
      </c>
      <c r="CO247" s="39">
        <f t="shared" si="298"/>
        <v>9615.3085987869053</v>
      </c>
      <c r="CP247" s="40">
        <f t="shared" si="304"/>
        <v>8684.3234991620775</v>
      </c>
      <c r="CQ247" s="52">
        <f t="shared" si="305"/>
        <v>-930.98509962482785</v>
      </c>
      <c r="CR247" s="72">
        <f t="shared" si="299"/>
        <v>159405.43812502862</v>
      </c>
      <c r="CS247" s="5">
        <f t="shared" si="299"/>
        <v>156953.57268768511</v>
      </c>
      <c r="CT247" s="52">
        <f t="shared" si="306"/>
        <v>-2451.8654373435129</v>
      </c>
      <c r="CU247" s="77">
        <f t="shared" si="307"/>
        <v>191286.52575003434</v>
      </c>
      <c r="CV247" s="65">
        <f t="shared" si="308"/>
        <v>188344.28722522213</v>
      </c>
      <c r="CW247" s="35">
        <f t="shared" si="309"/>
        <v>-2942.2385248122155</v>
      </c>
      <c r="CX247" s="566">
        <f>VLOOKUP($A247,'01-02.2021'!$A$6:$CZ$403,102,FALSE)+VLOOKUP($A247,'1.3.21-28.2.22'!$A$6:$DA$404,102,FALSE)-VLOOKUP($A247,'01-02.2022'!$A$6:$DA$376,102,FALSE)</f>
        <v>8567.7682540128226</v>
      </c>
      <c r="CY247" s="566">
        <f>VLOOKUP($A247,'01-02.2021'!$A$6:$CZ$403,103,FALSE)+VLOOKUP($A247,'1.3.21-28.2.22'!$A$6:$DA$404,103,FALSE)-VLOOKUP($A247,'01-02.2022'!$A$6:$DA$376,103,FALSE)</f>
        <v>11510.006778825087</v>
      </c>
      <c r="CZ247" s="52">
        <f t="shared" si="310"/>
        <v>2942.2385248122646</v>
      </c>
      <c r="DA247" s="150">
        <f>'[2]побудинковий звіт'!DA247</f>
        <v>-12400.252475782192</v>
      </c>
      <c r="DB247" s="2">
        <v>2</v>
      </c>
      <c r="DC247" s="414">
        <f>'[4]побудинковий звіт'!DC247</f>
        <v>28868.05</v>
      </c>
      <c r="DD247" s="414">
        <f>'[4]побудинковий звіт'!DD247</f>
        <v>0</v>
      </c>
      <c r="DE247" s="557">
        <f>'[4]побудинковий звіт'!DE247</f>
        <v>11268.772564605046</v>
      </c>
      <c r="DF247" s="557">
        <f>'[4]побудинковий звіт'!DF247</f>
        <v>0</v>
      </c>
      <c r="DG247" s="321">
        <f>VLOOKUP(A247,'кошти 01.03.2021'!$A$6:$D$401,4,)</f>
        <v>-5260.9282031380444</v>
      </c>
      <c r="DH247" s="40">
        <f>'[3]побудинковий звіт'!DJ247</f>
        <v>204277.90517741774</v>
      </c>
      <c r="DI247" s="422">
        <f>'[3]побудинковий звіт'!CU247+'[3]побудинковий звіт'!CX247</f>
        <v>17599.277435394953</v>
      </c>
      <c r="DJ247" s="306">
        <f>'[3]побудинковий звіт'!DM247</f>
        <v>4.9278371046074234</v>
      </c>
      <c r="DK247" s="306">
        <f t="shared" si="311"/>
        <v>4.9278371046074234</v>
      </c>
      <c r="DL247" s="306">
        <f>'[3]побудинковий звіт'!DO247</f>
        <v>4.4113507681397683</v>
      </c>
      <c r="DM247" s="28">
        <f t="shared" si="312"/>
        <v>17599.277435394953</v>
      </c>
      <c r="DN247" s="28">
        <f t="shared" si="313"/>
        <v>0</v>
      </c>
      <c r="DO247" s="423">
        <f t="shared" si="238"/>
        <v>17599.277435394953</v>
      </c>
      <c r="DP247" s="94">
        <f t="shared" si="239"/>
        <v>0</v>
      </c>
      <c r="DQ247" s="28">
        <f t="shared" si="240"/>
        <v>17599.277435394953</v>
      </c>
      <c r="DR247" s="318"/>
      <c r="DT247" s="8"/>
      <c r="DU247" s="5"/>
      <c r="DX247" s="5">
        <f t="shared" si="241"/>
        <v>73666.072106455962</v>
      </c>
      <c r="DY247" s="5">
        <f t="shared" si="242"/>
        <v>78796.428</v>
      </c>
      <c r="DZ247" s="159">
        <f>'[3]побудинковий звіт'!EA247</f>
        <v>6426.3281135617226</v>
      </c>
    </row>
    <row r="248" spans="1:130" x14ac:dyDescent="0.3">
      <c r="A248" s="325">
        <v>150001046</v>
      </c>
      <c r="B248" s="41" t="s">
        <v>695</v>
      </c>
      <c r="C248" s="42" t="s">
        <v>273</v>
      </c>
      <c r="D248" s="42"/>
      <c r="E248" s="293">
        <f t="shared" si="296"/>
        <v>2681.5</v>
      </c>
      <c r="F248" s="305">
        <f>'[3]побудинковий звіт'!F248</f>
        <v>2470.9</v>
      </c>
      <c r="G248" s="508">
        <f>'[3]побудинковий звіт'!G248</f>
        <v>0</v>
      </c>
      <c r="H248" s="560">
        <f>'[3]побудинковий звіт'!H248</f>
        <v>210.6</v>
      </c>
      <c r="I248" s="566">
        <f>VLOOKUP($A248,'01-02.2021'!$A$6:$CZ$403,9,FALSE)+VLOOKUP($A248,'1.3.21-28.2.22'!$A$6:$DA$404,9,FALSE)-VLOOKUP($A248,'01-02.2022'!$A$6:$DA$376,9,FALSE)</f>
        <v>8172.4880730964705</v>
      </c>
      <c r="J248" s="566">
        <f>VLOOKUP($A248,'01-02.2021'!$A$6:$CZ$403,10,FALSE)+VLOOKUP($A248,'1.3.21-28.2.22'!$A$6:$DA$404,10,FALSE)-VLOOKUP($A248,'01-02.2022'!$A$6:$DA$376,10,FALSE)</f>
        <v>9026.611843457682</v>
      </c>
      <c r="K248" s="52">
        <f t="shared" si="300"/>
        <v>854.12377036121143</v>
      </c>
      <c r="L248" s="566">
        <f>VLOOKUP($A248,'01-02.2021'!$A$6:$CZ$403,12,FALSE)+VLOOKUP($A248,'1.3.21-28.2.22'!$A$6:$DA$404,12,FALSE)-VLOOKUP($A248,'01-02.2022'!$A$6:$DA$376,12,FALSE)</f>
        <v>1754.1193791219644</v>
      </c>
      <c r="M248" s="566">
        <f>VLOOKUP($A248,'01-02.2021'!$A$6:$CZ$403,13,FALSE)+VLOOKUP($A248,'1.3.21-28.2.22'!$A$6:$DA$404,13,FALSE)-VLOOKUP($A248,'01-02.2022'!$A$6:$DA$376,13,FALSE)</f>
        <v>1931.348584608927</v>
      </c>
      <c r="N248" s="52">
        <f t="shared" si="301"/>
        <v>177.22920548696266</v>
      </c>
      <c r="O248" s="566">
        <f>VLOOKUP($A248,'01-02.2021'!$A$6:$CZ$403,15,FALSE)+VLOOKUP($A248,'1.3.21-28.2.22'!$A$6:$DA$404,15,FALSE)-VLOOKUP($A248,'01-02.2022'!$A$6:$DA$376,15,FALSE)</f>
        <v>3213.426384439309</v>
      </c>
      <c r="P248" s="566">
        <f>VLOOKUP($A248,'01-02.2021'!$A$6:$CZ$403,16,FALSE)+VLOOKUP($A248,'1.3.21-28.2.22'!$A$6:$DA$404,16,FALSE)-VLOOKUP($A248,'01-02.2022'!$A$6:$DA$376,16,FALSE)</f>
        <v>3213.4100000000008</v>
      </c>
      <c r="Q248" s="70">
        <f t="shared" si="243"/>
        <v>-1.6384439308239962E-2</v>
      </c>
      <c r="R248" s="566">
        <f>VLOOKUP($A248,'01-02.2021'!$A$6:$CZ$403,18,FALSE)+VLOOKUP($A248,'1.3.21-28.2.22'!$A$6:$DA$404,18,FALSE)-VLOOKUP($A248,'01-02.2022'!$A$6:$DA$376,18,FALSE)</f>
        <v>0</v>
      </c>
      <c r="S248" s="566">
        <f>VLOOKUP($A248,'01-02.2021'!$A$6:$CZ$403,19,FALSE)+VLOOKUP($A248,'1.3.21-28.2.22'!$A$6:$DA$404,19,FALSE)-VLOOKUP($A248,'01-02.2022'!$A$6:$DA$376,19,FALSE)</f>
        <v>0</v>
      </c>
      <c r="T248" s="70">
        <f t="shared" si="244"/>
        <v>0</v>
      </c>
      <c r="U248" s="566">
        <f>VLOOKUP($A248,'01-02.2021'!$A$6:$CZ$403,21,FALSE)+VLOOKUP($A248,'1.3.21-28.2.22'!$A$6:$DA$404,21,FALSE)-VLOOKUP($A248,'01-02.2022'!$A$6:$DA$376,21,FALSE)</f>
        <v>0</v>
      </c>
      <c r="V248" s="566">
        <f>VLOOKUP($A248,'01-02.2021'!$A$6:$CZ$403,22,FALSE)+VLOOKUP($A248,'1.3.21-28.2.22'!$A$6:$DA$404,22,FALSE)-VLOOKUP($A248,'01-02.2022'!$A$6:$DA$376,22,FALSE)</f>
        <v>0</v>
      </c>
      <c r="W248" s="70">
        <f t="shared" si="245"/>
        <v>0</v>
      </c>
      <c r="X248" s="566">
        <f>VLOOKUP($A248,'01-02.2021'!$A$6:$CZ$403,24,FALSE)+VLOOKUP($A248,'1.3.21-28.2.22'!$A$6:$DA$404,24,FALSE)-VLOOKUP($A248,'01-02.2022'!$A$6:$DA$376,24,FALSE)</f>
        <v>4930.3346931373471</v>
      </c>
      <c r="Y248" s="566">
        <f>VLOOKUP($A248,'01-02.2021'!$A$6:$CZ$403,25,FALSE)+VLOOKUP($A248,'1.3.21-28.2.22'!$A$6:$DA$404,25,FALSE)-VLOOKUP($A248,'01-02.2022'!$A$6:$DA$376,25,FALSE)</f>
        <v>3930.2602103775944</v>
      </c>
      <c r="Z248" s="70">
        <f t="shared" si="246"/>
        <v>-1000.0744827597528</v>
      </c>
      <c r="AA248" s="566">
        <f>VLOOKUP($A248,'01-02.2021'!$A$6:$CZ$403,27,FALSE)+VLOOKUP($A248,'1.3.21-28.2.22'!$A$6:$DA$404,27,FALSE)-VLOOKUP($A248,'01-02.2022'!$A$6:$DA$376,27,FALSE)</f>
        <v>528.42000000000007</v>
      </c>
      <c r="AB248" s="566">
        <f>VLOOKUP($A248,'01-02.2021'!$A$6:$CZ$403,28,FALSE)+VLOOKUP($A248,'1.3.21-28.2.22'!$A$6:$DA$404,28,FALSE)-VLOOKUP($A248,'01-02.2022'!$A$6:$DA$376,28,FALSE)</f>
        <v>0</v>
      </c>
      <c r="AC248" s="70">
        <f t="shared" si="247"/>
        <v>-528.42000000000007</v>
      </c>
      <c r="AD248" s="566">
        <f>VLOOKUP($A248,'01-02.2021'!$A$6:$CZ$403,30,FALSE)+VLOOKUP($A248,'1.3.21-28.2.22'!$A$6:$DA$404,30,FALSE)-VLOOKUP($A248,'01-02.2022'!$A$6:$DA$376,30,FALSE)</f>
        <v>11429.828060329637</v>
      </c>
      <c r="AE248" s="566">
        <f>VLOOKUP($A248,'01-02.2021'!$A$6:$CZ$403,31,FALSE)+VLOOKUP($A248,'1.3.21-28.2.22'!$A$6:$DA$404,31,FALSE)-VLOOKUP($A248,'01-02.2022'!$A$6:$DA$376,31,FALSE)</f>
        <v>12207.700620362921</v>
      </c>
      <c r="AF248" s="68">
        <f t="shared" si="248"/>
        <v>777.87256003328366</v>
      </c>
      <c r="AG248" s="77">
        <f t="shared" si="297"/>
        <v>30028.61659012473</v>
      </c>
      <c r="AH248" s="53">
        <f t="shared" si="297"/>
        <v>30309.331258807124</v>
      </c>
      <c r="AI248" s="52">
        <f t="shared" si="302"/>
        <v>280.7146686823944</v>
      </c>
      <c r="AJ248" s="566">
        <f>VLOOKUP($A248,'01-02.2021'!$A$6:$CZ$403,36,FALSE)+VLOOKUP($A248,'1.3.21-28.2.22'!$A$6:$DA$404,36,FALSE)-VLOOKUP($A248,'01-02.2022'!$A$6:$DA$376,36,FALSE)</f>
        <v>0</v>
      </c>
      <c r="AK248" s="566">
        <f>VLOOKUP($A248,'01-02.2021'!$A$6:$CZ$403,37,FALSE)+VLOOKUP($A248,'1.3.21-28.2.22'!$A$6:$DA$404,37,FALSE)-VLOOKUP($A248,'01-02.2022'!$A$6:$DA$376,37,FALSE)</f>
        <v>0</v>
      </c>
      <c r="AL248" s="70">
        <f t="shared" si="249"/>
        <v>0</v>
      </c>
      <c r="AM248" s="566">
        <f>VLOOKUP($A248,'01-02.2021'!$A$6:$CZ$403,39,FALSE)+VLOOKUP($A248,'1.3.21-28.2.22'!$A$6:$DA$404,39,FALSE)-VLOOKUP($A248,'01-02.2022'!$A$6:$DA$376,39,FALSE)</f>
        <v>0</v>
      </c>
      <c r="AN248" s="566">
        <f>VLOOKUP($A248,'01-02.2021'!$A$6:$CZ$403,40,FALSE)+VLOOKUP($A248,'1.3.21-28.2.22'!$A$6:$DA$404,40,FALSE)-VLOOKUP($A248,'01-02.2022'!$A$6:$DA$376,40,FALSE)</f>
        <v>0</v>
      </c>
      <c r="AO248" s="70">
        <f t="shared" si="250"/>
        <v>0</v>
      </c>
      <c r="AP248" s="566">
        <f>VLOOKUP($A248,'01-02.2021'!$A$6:$CZ$403,42,FALSE)+VLOOKUP($A248,'1.3.21-28.2.22'!$A$6:$DA$404,42,FALSE)-VLOOKUP($A248,'01-02.2022'!$A$6:$DA$376,42,FALSE)</f>
        <v>7548.1189126852732</v>
      </c>
      <c r="AQ248" s="566">
        <f>VLOOKUP($A248,'01-02.2021'!$A$6:$CZ$403,43,FALSE)+VLOOKUP($A248,'1.3.21-28.2.22'!$A$6:$DA$404,43,FALSE)-VLOOKUP($A248,'01-02.2022'!$A$6:$DA$376,43,FALSE)</f>
        <v>6593.6863537379159</v>
      </c>
      <c r="AR248" s="70">
        <f t="shared" si="251"/>
        <v>-954.43255894735739</v>
      </c>
      <c r="AS248" s="566">
        <f>VLOOKUP($A248,'01-02.2021'!$A$6:$CZ$403,45,FALSE)+VLOOKUP($A248,'1.3.21-28.2.22'!$A$6:$DA$404,45,FALSE)-VLOOKUP($A248,'01-02.2022'!$A$6:$DA$376,45,FALSE)</f>
        <v>23377.261271698695</v>
      </c>
      <c r="AT248" s="566">
        <f>VLOOKUP($A248,'01-02.2021'!$A$6:$CZ$403,46,FALSE)+VLOOKUP($A248,'1.3.21-28.2.22'!$A$6:$DA$404,46,FALSE)-VLOOKUP($A248,'01-02.2022'!$A$6:$DA$376,46,FALSE)</f>
        <v>70478</v>
      </c>
      <c r="AU248" s="78">
        <f t="shared" si="252"/>
        <v>47100.738728301309</v>
      </c>
      <c r="AV248" s="566">
        <f>VLOOKUP($A248,'01-02.2021'!$A$6:$CZ$403,48,FALSE)+VLOOKUP($A248,'1.3.21-28.2.22'!$A$6:$DA$404,48,FALSE)-VLOOKUP($A248,'01-02.2022'!$A$6:$DA$376,48,FALSE)</f>
        <v>2124.7394899377559</v>
      </c>
      <c r="AW248" s="566">
        <f>VLOOKUP($A248,'01-02.2021'!$A$6:$CZ$403,49,FALSE)+VLOOKUP($A248,'1.3.21-28.2.22'!$A$6:$DA$404,49,FALSE)-VLOOKUP($A248,'01-02.2022'!$A$6:$DA$376,49,FALSE)</f>
        <v>51</v>
      </c>
      <c r="AX248" s="55">
        <f t="shared" si="253"/>
        <v>-2073.7394899377559</v>
      </c>
      <c r="AY248" s="566">
        <f>VLOOKUP($A248,'01-02.2021'!$A$6:$CZ$403,51,FALSE)+VLOOKUP($A248,'1.3.21-28.2.22'!$A$6:$DA$404,51,FALSE)-VLOOKUP($A248,'01-02.2022'!$A$6:$DA$376,51,FALSE)</f>
        <v>3297.3966602976143</v>
      </c>
      <c r="AZ248" s="566">
        <f>VLOOKUP($A248,'01-02.2021'!$A$6:$CZ$403,52,FALSE)+VLOOKUP($A248,'1.3.21-28.2.22'!$A$6:$DA$404,52,FALSE)-VLOOKUP($A248,'01-02.2022'!$A$6:$DA$376,52,FALSE)</f>
        <v>104</v>
      </c>
      <c r="BA248" s="38">
        <f t="shared" si="254"/>
        <v>-3193.3966602976143</v>
      </c>
      <c r="BB248" s="566">
        <f>VLOOKUP($A248,'01-02.2021'!$A$6:$CZ$403,54,FALSE)+VLOOKUP($A248,'1.3.21-28.2.22'!$A$6:$DA$404,54,FALSE)-VLOOKUP($A248,'01-02.2022'!$A$6:$DA$376,54,FALSE)</f>
        <v>1437.9906353372155</v>
      </c>
      <c r="BC248" s="566">
        <f>VLOOKUP($A248,'01-02.2021'!$A$6:$CZ$403,55,FALSE)+VLOOKUP($A248,'1.3.21-28.2.22'!$A$6:$DA$404,55,FALSE)-VLOOKUP($A248,'01-02.2022'!$A$6:$DA$376,55,FALSE)</f>
        <v>1665</v>
      </c>
      <c r="BD248" s="55">
        <f t="shared" si="255"/>
        <v>227.00936466278449</v>
      </c>
      <c r="BE248" s="566">
        <f>VLOOKUP($A248,'01-02.2021'!$A$6:$CZ$403,57,FALSE)+VLOOKUP($A248,'1.3.21-28.2.22'!$A$6:$DA$404,57,FALSE)-VLOOKUP($A248,'01-02.2022'!$A$6:$DA$376,57,FALSE)</f>
        <v>0</v>
      </c>
      <c r="BF248" s="566">
        <f>VLOOKUP($A248,'01-02.2021'!$A$6:$CZ$403,58,FALSE)+VLOOKUP($A248,'1.3.21-28.2.22'!$A$6:$DA$404,58,FALSE)-VLOOKUP($A248,'01-02.2022'!$A$6:$DA$376,58,FALSE)</f>
        <v>0</v>
      </c>
      <c r="BG248" s="55">
        <f t="shared" si="256"/>
        <v>0</v>
      </c>
      <c r="BH248" s="566">
        <f>VLOOKUP($A248,'01-02.2021'!$A$6:$CZ$403,60,FALSE)+VLOOKUP($A248,'1.3.21-28.2.22'!$A$6:$DA$404,60,FALSE)-VLOOKUP($A248,'01-02.2022'!$A$6:$DA$376,60,FALSE)</f>
        <v>0</v>
      </c>
      <c r="BI248" s="566">
        <f>VLOOKUP($A248,'01-02.2021'!$A$6:$CZ$403,61,FALSE)+VLOOKUP($A248,'1.3.21-28.2.22'!$A$6:$DA$404,61,FALSE)-VLOOKUP($A248,'01-02.2022'!$A$6:$DA$376,61,FALSE)</f>
        <v>0</v>
      </c>
      <c r="BJ248" s="55">
        <f t="shared" si="257"/>
        <v>0</v>
      </c>
      <c r="BK248" s="566">
        <f>VLOOKUP($A248,'01-02.2021'!$A$6:$CZ$403,63,FALSE)+VLOOKUP($A248,'1.3.21-28.2.22'!$A$6:$DA$404,63,FALSE)-VLOOKUP($A248,'01-02.2022'!$A$6:$DA$376,63,FALSE)</f>
        <v>1510.042440213072</v>
      </c>
      <c r="BL248" s="566">
        <f>VLOOKUP($A248,'01-02.2021'!$A$6:$CZ$403,64,FALSE)+VLOOKUP($A248,'1.3.21-28.2.22'!$A$6:$DA$404,64,FALSE)-VLOOKUP($A248,'01-02.2022'!$A$6:$DA$376,64,FALSE)</f>
        <v>0</v>
      </c>
      <c r="BM248" s="55">
        <f t="shared" si="258"/>
        <v>-1510.042440213072</v>
      </c>
      <c r="BN248" s="566">
        <f>VLOOKUP($A248,'01-02.2021'!$A$6:$CZ$403,66,FALSE)+VLOOKUP($A248,'1.3.21-28.2.22'!$A$6:$DA$404,66,FALSE)-VLOOKUP($A248,'01-02.2022'!$A$6:$DA$376,66,FALSE)</f>
        <v>132.10500000000002</v>
      </c>
      <c r="BO248" s="566">
        <f>VLOOKUP($A248,'01-02.2021'!$A$6:$CZ$403,67,FALSE)+VLOOKUP($A248,'1.3.21-28.2.22'!$A$6:$DA$404,67,FALSE)-VLOOKUP($A248,'01-02.2022'!$A$6:$DA$376,67,FALSE)</f>
        <v>0</v>
      </c>
      <c r="BP248" s="55">
        <f t="shared" si="259"/>
        <v>-132.10500000000002</v>
      </c>
      <c r="BQ248" s="77">
        <f t="shared" si="287"/>
        <v>8502.2742257856571</v>
      </c>
      <c r="BR248" s="40">
        <f t="shared" si="289"/>
        <v>1820</v>
      </c>
      <c r="BS248" s="55">
        <f t="shared" si="314"/>
        <v>-6682.2742257856571</v>
      </c>
      <c r="BT248" s="566">
        <f>VLOOKUP($A248,'01-02.2021'!$A$6:$CZ$403,72,FALSE)+VLOOKUP($A248,'1.3.21-28.2.22'!$A$6:$DA$404,72,FALSE)-VLOOKUP($A248,'01-02.2022'!$A$6:$DA$376,72,FALSE)</f>
        <v>16691.113638238206</v>
      </c>
      <c r="BU248" s="566">
        <f>VLOOKUP($A248,'01-02.2021'!$A$6:$CZ$403,73,FALSE)+VLOOKUP($A248,'1.3.21-28.2.22'!$A$6:$DA$404,73,FALSE)-VLOOKUP($A248,'01-02.2022'!$A$6:$DA$376,73,FALSE)</f>
        <v>20380.977944781022</v>
      </c>
      <c r="BV248" s="70">
        <f t="shared" si="260"/>
        <v>3689.864306542815</v>
      </c>
      <c r="BW248" s="566">
        <f>VLOOKUP($A248,'01-02.2021'!$A$6:$CZ$403,75,FALSE)+VLOOKUP($A248,'1.3.21-28.2.22'!$A$6:$DA$404,75,FALSE)-VLOOKUP($A248,'01-02.2022'!$A$6:$DA$376,75,FALSE)</f>
        <v>9397.5377800237075</v>
      </c>
      <c r="BX248" s="566">
        <f>VLOOKUP($A248,'01-02.2021'!$A$6:$CZ$403,76,FALSE)+VLOOKUP($A248,'1.3.21-28.2.22'!$A$6:$DA$404,76,FALSE)-VLOOKUP($A248,'01-02.2022'!$A$6:$DA$376,76,FALSE)</f>
        <v>9320.3493273966196</v>
      </c>
      <c r="BY248" s="70">
        <f t="shared" si="261"/>
        <v>-77.188452627087827</v>
      </c>
      <c r="BZ248" s="566">
        <f>VLOOKUP($A248,'01-02.2021'!$A$6:$CZ$403,78,FALSE)+VLOOKUP($A248,'1.3.21-28.2.22'!$A$6:$DA$404,78,FALSE)-VLOOKUP($A248,'01-02.2022'!$A$6:$DA$376,78,FALSE)</f>
        <v>8485.1253059038427</v>
      </c>
      <c r="CA248" s="566">
        <f>VLOOKUP($A248,'01-02.2021'!$A$6:$CZ$403,79,FALSE)+VLOOKUP($A248,'1.3.21-28.2.22'!$A$6:$DA$404,79,FALSE)-VLOOKUP($A248,'01-02.2022'!$A$6:$DA$376,79,FALSE)</f>
        <v>5040.5655709684734</v>
      </c>
      <c r="CB248" s="70">
        <f t="shared" si="262"/>
        <v>-3444.5597349353693</v>
      </c>
      <c r="CC248" s="566">
        <f>VLOOKUP($A248,'01-02.2021'!$A$6:$CZ$403,81,FALSE)+VLOOKUP($A248,'1.3.21-28.2.22'!$A$6:$DA$404,81,FALSE)-VLOOKUP($A248,'01-02.2022'!$A$6:$DA$376,81,FALSE)</f>
        <v>630.02923587538248</v>
      </c>
      <c r="CD248" s="566">
        <f>VLOOKUP($A248,'01-02.2021'!$A$6:$CZ$403,82,FALSE)+VLOOKUP($A248,'1.3.21-28.2.22'!$A$6:$DA$404,82,FALSE)-VLOOKUP($A248,'01-02.2022'!$A$6:$DA$376,82,FALSE)</f>
        <v>688.61755692518193</v>
      </c>
      <c r="CE248" s="70">
        <f t="shared" si="263"/>
        <v>58.588321049799447</v>
      </c>
      <c r="CF248" s="566">
        <f>VLOOKUP($A248,'01-02.2021'!$A$6:$CZ$403,84,FALSE)+VLOOKUP($A248,'1.3.21-28.2.22'!$A$6:$DA$404,84,FALSE)-VLOOKUP($A248,'01-02.2022'!$A$6:$DA$376,84,FALSE)</f>
        <v>76.593031633415904</v>
      </c>
      <c r="CG248" s="566">
        <f>VLOOKUP($A248,'01-02.2021'!$A$6:$CZ$403,85,FALSE)+VLOOKUP($A248,'1.3.21-28.2.22'!$A$6:$DA$404,85,FALSE)-VLOOKUP($A248,'01-02.2022'!$A$6:$DA$376,85,FALSE)</f>
        <v>0</v>
      </c>
      <c r="CH248" s="70">
        <f t="shared" si="264"/>
        <v>-76.593031633415904</v>
      </c>
      <c r="CI248" s="566">
        <f>VLOOKUP($A248,'01-02.2021'!$A$6:$CZ$403,87,FALSE)+VLOOKUP($A248,'1.3.21-28.2.22'!$A$6:$DA$404,87,FALSE)-VLOOKUP($A248,'01-02.2022'!$A$6:$DA$376,87,FALSE)</f>
        <v>4635.9189828140534</v>
      </c>
      <c r="CJ248" s="566">
        <f>VLOOKUP($A248,'01-02.2021'!$A$6:$CZ$403,88,FALSE)+VLOOKUP($A248,'1.3.21-28.2.22'!$A$6:$DA$404,88,FALSE)-VLOOKUP($A248,'01-02.2022'!$A$6:$DA$376,88,FALSE)</f>
        <v>3578.318089252255</v>
      </c>
      <c r="CK248" s="70">
        <f t="shared" si="265"/>
        <v>-1057.6008935617983</v>
      </c>
      <c r="CL248" s="566">
        <f>VLOOKUP($A248,'01-02.2021'!$A$6:$CZ$403,90,FALSE)+VLOOKUP($A248,'1.3.21-28.2.22'!$A$6:$DA$404,90,FALSE)-VLOOKUP($A248,'01-02.2022'!$A$6:$DA$376,90,FALSE)</f>
        <v>0</v>
      </c>
      <c r="CM248" s="566">
        <f>VLOOKUP($A248,'01-02.2021'!$A$6:$CZ$403,91,FALSE)+VLOOKUP($A248,'1.3.21-28.2.22'!$A$6:$DA$404,91,FALSE)-VLOOKUP($A248,'01-02.2022'!$A$6:$DA$376,91,FALSE)</f>
        <v>0</v>
      </c>
      <c r="CN248" s="52">
        <f t="shared" si="303"/>
        <v>0</v>
      </c>
      <c r="CO248" s="39">
        <f t="shared" si="298"/>
        <v>4635.9189828140534</v>
      </c>
      <c r="CP248" s="40">
        <f t="shared" si="304"/>
        <v>3578.318089252255</v>
      </c>
      <c r="CQ248" s="52">
        <f t="shared" si="305"/>
        <v>-1057.6008935617983</v>
      </c>
      <c r="CR248" s="72">
        <f t="shared" si="299"/>
        <v>109372.58897478295</v>
      </c>
      <c r="CS248" s="5">
        <f t="shared" si="299"/>
        <v>148209.84610186861</v>
      </c>
      <c r="CT248" s="52">
        <f t="shared" si="306"/>
        <v>38837.257127085657</v>
      </c>
      <c r="CU248" s="77">
        <f t="shared" si="307"/>
        <v>131247.10676973953</v>
      </c>
      <c r="CV248" s="65">
        <f t="shared" si="308"/>
        <v>177851.81532224233</v>
      </c>
      <c r="CW248" s="35">
        <f t="shared" si="309"/>
        <v>46604.708552502794</v>
      </c>
      <c r="CX248" s="566">
        <f>VLOOKUP($A248,'01-02.2021'!$A$6:$CZ$403,102,FALSE)+VLOOKUP($A248,'1.3.21-28.2.22'!$A$6:$DA$404,102,FALSE)-VLOOKUP($A248,'01-02.2022'!$A$6:$DA$376,102,FALSE)</f>
        <v>4137.8873539596643</v>
      </c>
      <c r="CY248" s="566">
        <f>VLOOKUP($A248,'01-02.2021'!$A$6:$CZ$403,103,FALSE)+VLOOKUP($A248,'1.3.21-28.2.22'!$A$6:$DA$404,103,FALSE)-VLOOKUP($A248,'01-02.2022'!$A$6:$DA$376,103,FALSE)</f>
        <v>-42466.821198543075</v>
      </c>
      <c r="CZ248" s="52">
        <f t="shared" si="310"/>
        <v>-46604.708552502736</v>
      </c>
      <c r="DA248" s="150">
        <f>'[2]побудинковий звіт'!DA248</f>
        <v>43343.301752452229</v>
      </c>
      <c r="DB248" s="2">
        <v>2</v>
      </c>
      <c r="DC248" s="414">
        <f>'[4]побудинковий звіт'!DC248</f>
        <v>31873.85</v>
      </c>
      <c r="DD248" s="414">
        <f>'[4]побудинковий звіт'!DD248</f>
        <v>5745.44</v>
      </c>
      <c r="DE248" s="557">
        <f>'[4]побудинковий звіт'!DE248</f>
        <v>20396.770628867609</v>
      </c>
      <c r="DF248" s="557">
        <f>'[4]побудинковий звіт'!DF248</f>
        <v>4864.2922649030988</v>
      </c>
      <c r="DG248" s="321">
        <f>VLOOKUP(A248,'кошти 01.03.2021'!$A$6:$D$401,4,)</f>
        <v>-1600.0453892714249</v>
      </c>
      <c r="DH248" s="40">
        <f>'[3]побудинковий звіт'!DJ248</f>
        <v>140479.58447366106</v>
      </c>
      <c r="DI248" s="422">
        <f>'[3]побудинковий звіт'!CU248+'[3]побудинковий звіт'!CX248</f>
        <v>12358.227106229289</v>
      </c>
      <c r="DJ248" s="306">
        <f>'[3]побудинковий звіт'!DM248</f>
        <v>4.6448983654265206</v>
      </c>
      <c r="DK248" s="306">
        <f t="shared" si="311"/>
        <v>4.6448983654265206</v>
      </c>
      <c r="DL248" s="306">
        <f>'[3]побудинковий звіт'!DO248</f>
        <v>4.1839873461391299</v>
      </c>
      <c r="DM248" s="28">
        <f t="shared" si="312"/>
        <v>11477.079371132389</v>
      </c>
      <c r="DN248" s="28">
        <f t="shared" si="313"/>
        <v>881.14773509690076</v>
      </c>
      <c r="DO248" s="423">
        <f t="shared" si="238"/>
        <v>12358.227106229289</v>
      </c>
      <c r="DP248" s="94">
        <f t="shared" si="239"/>
        <v>0</v>
      </c>
      <c r="DQ248" s="28">
        <f t="shared" si="240"/>
        <v>12358.227106229289</v>
      </c>
      <c r="DR248" s="318"/>
      <c r="DT248" s="8"/>
      <c r="DU248" s="5"/>
      <c r="DX248" s="5">
        <f t="shared" si="241"/>
        <v>38255.442596981222</v>
      </c>
      <c r="DY248" s="5">
        <f t="shared" si="242"/>
        <v>86757.599999999991</v>
      </c>
      <c r="DZ248" s="159">
        <f>'[3]побудинковий звіт'!EA248</f>
        <v>3671.8352848044306</v>
      </c>
    </row>
    <row r="249" spans="1:130" x14ac:dyDescent="0.3">
      <c r="A249" s="325">
        <v>150001040</v>
      </c>
      <c r="B249" s="41" t="s">
        <v>696</v>
      </c>
      <c r="C249" s="42" t="s">
        <v>217</v>
      </c>
      <c r="D249" s="42"/>
      <c r="E249" s="293">
        <f t="shared" si="296"/>
        <v>2483.1999999999998</v>
      </c>
      <c r="F249" s="305">
        <f>'[3]побудинковий звіт'!F249</f>
        <v>2013</v>
      </c>
      <c r="G249" s="508">
        <f>'[3]побудинковий звіт'!G249</f>
        <v>0</v>
      </c>
      <c r="H249" s="560">
        <f>'[3]побудинковий звіт'!H249</f>
        <v>470.2</v>
      </c>
      <c r="I249" s="566">
        <f>VLOOKUP($A249,'01-02.2021'!$A$6:$CZ$403,9,FALSE)+VLOOKUP($A249,'1.3.21-28.2.22'!$A$6:$DA$404,9,FALSE)-VLOOKUP($A249,'01-02.2022'!$A$6:$DA$376,9,FALSE)</f>
        <v>8318.5299330426369</v>
      </c>
      <c r="J249" s="566">
        <f>VLOOKUP($A249,'01-02.2021'!$A$6:$CZ$403,10,FALSE)+VLOOKUP($A249,'1.3.21-28.2.22'!$A$6:$DA$404,10,FALSE)-VLOOKUP($A249,'01-02.2022'!$A$6:$DA$376,10,FALSE)</f>
        <v>9085.2005477655021</v>
      </c>
      <c r="K249" s="52">
        <f t="shared" si="300"/>
        <v>766.67061472286514</v>
      </c>
      <c r="L249" s="566">
        <f>VLOOKUP($A249,'01-02.2021'!$A$6:$CZ$403,12,FALSE)+VLOOKUP($A249,'1.3.21-28.2.22'!$A$6:$DA$404,12,FALSE)-VLOOKUP($A249,'01-02.2022'!$A$6:$DA$376,12,FALSE)</f>
        <v>2213.5619321537733</v>
      </c>
      <c r="M249" s="566">
        <f>VLOOKUP($A249,'01-02.2021'!$A$6:$CZ$403,13,FALSE)+VLOOKUP($A249,'1.3.21-28.2.22'!$A$6:$DA$404,13,FALSE)-VLOOKUP($A249,'01-02.2022'!$A$6:$DA$376,13,FALSE)</f>
        <v>2437.2153990199172</v>
      </c>
      <c r="N249" s="52">
        <f t="shared" si="301"/>
        <v>223.65346686614384</v>
      </c>
      <c r="O249" s="566">
        <f>VLOOKUP($A249,'01-02.2021'!$A$6:$CZ$403,15,FALSE)+VLOOKUP($A249,'1.3.21-28.2.22'!$A$6:$DA$404,15,FALSE)-VLOOKUP($A249,'01-02.2022'!$A$6:$DA$376,15,FALSE)</f>
        <v>3128.0899869259738</v>
      </c>
      <c r="P249" s="566">
        <f>VLOOKUP($A249,'01-02.2021'!$A$6:$CZ$403,16,FALSE)+VLOOKUP($A249,'1.3.21-28.2.22'!$A$6:$DA$404,16,FALSE)-VLOOKUP($A249,'01-02.2022'!$A$6:$DA$376,16,FALSE)</f>
        <v>3128.0899999999992</v>
      </c>
      <c r="Q249" s="70">
        <f t="shared" si="243"/>
        <v>1.307402544625802E-5</v>
      </c>
      <c r="R249" s="566">
        <f>VLOOKUP($A249,'01-02.2021'!$A$6:$CZ$403,18,FALSE)+VLOOKUP($A249,'1.3.21-28.2.22'!$A$6:$DA$404,18,FALSE)-VLOOKUP($A249,'01-02.2022'!$A$6:$DA$376,18,FALSE)</f>
        <v>0</v>
      </c>
      <c r="S249" s="566">
        <f>VLOOKUP($A249,'01-02.2021'!$A$6:$CZ$403,19,FALSE)+VLOOKUP($A249,'1.3.21-28.2.22'!$A$6:$DA$404,19,FALSE)-VLOOKUP($A249,'01-02.2022'!$A$6:$DA$376,19,FALSE)</f>
        <v>0</v>
      </c>
      <c r="T249" s="70">
        <f t="shared" si="244"/>
        <v>0</v>
      </c>
      <c r="U249" s="566">
        <f>VLOOKUP($A249,'01-02.2021'!$A$6:$CZ$403,21,FALSE)+VLOOKUP($A249,'1.3.21-28.2.22'!$A$6:$DA$404,21,FALSE)-VLOOKUP($A249,'01-02.2022'!$A$6:$DA$376,21,FALSE)</f>
        <v>0</v>
      </c>
      <c r="V249" s="566">
        <f>VLOOKUP($A249,'01-02.2021'!$A$6:$CZ$403,22,FALSE)+VLOOKUP($A249,'1.3.21-28.2.22'!$A$6:$DA$404,22,FALSE)-VLOOKUP($A249,'01-02.2022'!$A$6:$DA$376,22,FALSE)</f>
        <v>0</v>
      </c>
      <c r="W249" s="70">
        <f t="shared" si="245"/>
        <v>0</v>
      </c>
      <c r="X249" s="566">
        <f>VLOOKUP($A249,'01-02.2021'!$A$6:$CZ$403,24,FALSE)+VLOOKUP($A249,'1.3.21-28.2.22'!$A$6:$DA$404,24,FALSE)-VLOOKUP($A249,'01-02.2022'!$A$6:$DA$376,24,FALSE)</f>
        <v>7990.3999015543568</v>
      </c>
      <c r="Y249" s="566">
        <f>VLOOKUP($A249,'01-02.2021'!$A$6:$CZ$403,25,FALSE)+VLOOKUP($A249,'1.3.21-28.2.22'!$A$6:$DA$404,25,FALSE)-VLOOKUP($A249,'01-02.2022'!$A$6:$DA$376,25,FALSE)</f>
        <v>6514.2760997734067</v>
      </c>
      <c r="Z249" s="70">
        <f t="shared" si="246"/>
        <v>-1476.1238017809501</v>
      </c>
      <c r="AA249" s="566">
        <f>VLOOKUP($A249,'01-02.2021'!$A$6:$CZ$403,27,FALSE)+VLOOKUP($A249,'1.3.21-28.2.22'!$A$6:$DA$404,27,FALSE)-VLOOKUP($A249,'01-02.2022'!$A$6:$DA$376,27,FALSE)</f>
        <v>481.28399999999999</v>
      </c>
      <c r="AB249" s="566">
        <f>VLOOKUP($A249,'01-02.2021'!$A$6:$CZ$403,28,FALSE)+VLOOKUP($A249,'1.3.21-28.2.22'!$A$6:$DA$404,28,FALSE)-VLOOKUP($A249,'01-02.2022'!$A$6:$DA$376,28,FALSE)</f>
        <v>0</v>
      </c>
      <c r="AC249" s="70">
        <f t="shared" si="247"/>
        <v>-481.28399999999999</v>
      </c>
      <c r="AD249" s="566">
        <f>VLOOKUP($A249,'01-02.2021'!$A$6:$CZ$403,30,FALSE)+VLOOKUP($A249,'1.3.21-28.2.22'!$A$6:$DA$404,30,FALSE)-VLOOKUP($A249,'01-02.2022'!$A$6:$DA$376,30,FALSE)</f>
        <v>10488.643278476691</v>
      </c>
      <c r="AE249" s="566">
        <f>VLOOKUP($A249,'01-02.2021'!$A$6:$CZ$403,31,FALSE)+VLOOKUP($A249,'1.3.21-28.2.22'!$A$6:$DA$404,31,FALSE)-VLOOKUP($A249,'01-02.2022'!$A$6:$DA$376,31,FALSE)</f>
        <v>11302.22187702249</v>
      </c>
      <c r="AF249" s="68">
        <f t="shared" si="248"/>
        <v>813.57859854579874</v>
      </c>
      <c r="AG249" s="77">
        <f t="shared" si="297"/>
        <v>32620.50903215343</v>
      </c>
      <c r="AH249" s="53">
        <f t="shared" si="297"/>
        <v>32467.003923581316</v>
      </c>
      <c r="AI249" s="52">
        <f t="shared" si="302"/>
        <v>-153.50510857211339</v>
      </c>
      <c r="AJ249" s="566">
        <f>VLOOKUP($A249,'01-02.2021'!$A$6:$CZ$403,36,FALSE)+VLOOKUP($A249,'1.3.21-28.2.22'!$A$6:$DA$404,36,FALSE)-VLOOKUP($A249,'01-02.2022'!$A$6:$DA$376,36,FALSE)</f>
        <v>0</v>
      </c>
      <c r="AK249" s="566">
        <f>VLOOKUP($A249,'01-02.2021'!$A$6:$CZ$403,37,FALSE)+VLOOKUP($A249,'1.3.21-28.2.22'!$A$6:$DA$404,37,FALSE)-VLOOKUP($A249,'01-02.2022'!$A$6:$DA$376,37,FALSE)</f>
        <v>0</v>
      </c>
      <c r="AL249" s="70">
        <f t="shared" si="249"/>
        <v>0</v>
      </c>
      <c r="AM249" s="566">
        <f>VLOOKUP($A249,'01-02.2021'!$A$6:$CZ$403,39,FALSE)+VLOOKUP($A249,'1.3.21-28.2.22'!$A$6:$DA$404,39,FALSE)-VLOOKUP($A249,'01-02.2022'!$A$6:$DA$376,39,FALSE)</f>
        <v>0</v>
      </c>
      <c r="AN249" s="566">
        <f>VLOOKUP($A249,'01-02.2021'!$A$6:$CZ$403,40,FALSE)+VLOOKUP($A249,'1.3.21-28.2.22'!$A$6:$DA$404,40,FALSE)-VLOOKUP($A249,'01-02.2022'!$A$6:$DA$376,40,FALSE)</f>
        <v>0</v>
      </c>
      <c r="AO249" s="70">
        <f t="shared" si="250"/>
        <v>0</v>
      </c>
      <c r="AP249" s="566">
        <f>VLOOKUP($A249,'01-02.2021'!$A$6:$CZ$403,42,FALSE)+VLOOKUP($A249,'1.3.21-28.2.22'!$A$6:$DA$404,42,FALSE)-VLOOKUP($A249,'01-02.2022'!$A$6:$DA$376,42,FALSE)</f>
        <v>4294.6193813554146</v>
      </c>
      <c r="AQ249" s="566">
        <f>VLOOKUP($A249,'01-02.2021'!$A$6:$CZ$403,43,FALSE)+VLOOKUP($A249,'1.3.21-28.2.22'!$A$6:$DA$404,43,FALSE)-VLOOKUP($A249,'01-02.2022'!$A$6:$DA$376,43,FALSE)</f>
        <v>3260.1865098765957</v>
      </c>
      <c r="AR249" s="70">
        <f t="shared" si="251"/>
        <v>-1034.4328714788189</v>
      </c>
      <c r="AS249" s="566">
        <f>VLOOKUP($A249,'01-02.2021'!$A$6:$CZ$403,45,FALSE)+VLOOKUP($A249,'1.3.21-28.2.22'!$A$6:$DA$404,45,FALSE)-VLOOKUP($A249,'01-02.2022'!$A$6:$DA$376,45,FALSE)</f>
        <v>31024.621251793986</v>
      </c>
      <c r="AT249" s="566">
        <f>VLOOKUP($A249,'01-02.2021'!$A$6:$CZ$403,46,FALSE)+VLOOKUP($A249,'1.3.21-28.2.22'!$A$6:$DA$404,46,FALSE)-VLOOKUP($A249,'01-02.2022'!$A$6:$DA$376,46,FALSE)</f>
        <v>5222</v>
      </c>
      <c r="AU249" s="78">
        <f t="shared" si="252"/>
        <v>-25802.621251793986</v>
      </c>
      <c r="AV249" s="566">
        <f>VLOOKUP($A249,'01-02.2021'!$A$6:$CZ$403,48,FALSE)+VLOOKUP($A249,'1.3.21-28.2.22'!$A$6:$DA$404,48,FALSE)-VLOOKUP($A249,'01-02.2022'!$A$6:$DA$376,48,FALSE)</f>
        <v>2534.8119057694867</v>
      </c>
      <c r="AW249" s="566">
        <f>VLOOKUP($A249,'01-02.2021'!$A$6:$CZ$403,49,FALSE)+VLOOKUP($A249,'1.3.21-28.2.22'!$A$6:$DA$404,49,FALSE)-VLOOKUP($A249,'01-02.2022'!$A$6:$DA$376,49,FALSE)</f>
        <v>4572</v>
      </c>
      <c r="AX249" s="55">
        <f t="shared" si="253"/>
        <v>2037.1880942305133</v>
      </c>
      <c r="AY249" s="566">
        <f>VLOOKUP($A249,'01-02.2021'!$A$6:$CZ$403,51,FALSE)+VLOOKUP($A249,'1.3.21-28.2.22'!$A$6:$DA$404,51,FALSE)-VLOOKUP($A249,'01-02.2022'!$A$6:$DA$376,51,FALSE)</f>
        <v>4161.0261495944706</v>
      </c>
      <c r="AZ249" s="566">
        <f>VLOOKUP($A249,'01-02.2021'!$A$6:$CZ$403,52,FALSE)+VLOOKUP($A249,'1.3.21-28.2.22'!$A$6:$DA$404,52,FALSE)-VLOOKUP($A249,'01-02.2022'!$A$6:$DA$376,52,FALSE)</f>
        <v>0</v>
      </c>
      <c r="BA249" s="38">
        <f t="shared" si="254"/>
        <v>-4161.0261495944706</v>
      </c>
      <c r="BB249" s="566">
        <f>VLOOKUP($A249,'01-02.2021'!$A$6:$CZ$403,54,FALSE)+VLOOKUP($A249,'1.3.21-28.2.22'!$A$6:$DA$404,54,FALSE)-VLOOKUP($A249,'01-02.2022'!$A$6:$DA$376,54,FALSE)</f>
        <v>1179.6901485702363</v>
      </c>
      <c r="BC249" s="566">
        <f>VLOOKUP($A249,'01-02.2021'!$A$6:$CZ$403,55,FALSE)+VLOOKUP($A249,'1.3.21-28.2.22'!$A$6:$DA$404,55,FALSE)-VLOOKUP($A249,'01-02.2022'!$A$6:$DA$376,55,FALSE)</f>
        <v>6637</v>
      </c>
      <c r="BD249" s="55">
        <f t="shared" si="255"/>
        <v>5457.3098514297635</v>
      </c>
      <c r="BE249" s="566">
        <f>VLOOKUP($A249,'01-02.2021'!$A$6:$CZ$403,57,FALSE)+VLOOKUP($A249,'1.3.21-28.2.22'!$A$6:$DA$404,57,FALSE)-VLOOKUP($A249,'01-02.2022'!$A$6:$DA$376,57,FALSE)</f>
        <v>0</v>
      </c>
      <c r="BF249" s="566">
        <f>VLOOKUP($A249,'01-02.2021'!$A$6:$CZ$403,58,FALSE)+VLOOKUP($A249,'1.3.21-28.2.22'!$A$6:$DA$404,58,FALSE)-VLOOKUP($A249,'01-02.2022'!$A$6:$DA$376,58,FALSE)</f>
        <v>0</v>
      </c>
      <c r="BG249" s="55">
        <f t="shared" si="256"/>
        <v>0</v>
      </c>
      <c r="BH249" s="566">
        <f>VLOOKUP($A249,'01-02.2021'!$A$6:$CZ$403,60,FALSE)+VLOOKUP($A249,'1.3.21-28.2.22'!$A$6:$DA$404,60,FALSE)-VLOOKUP($A249,'01-02.2022'!$A$6:$DA$376,60,FALSE)</f>
        <v>0</v>
      </c>
      <c r="BI249" s="566">
        <f>VLOOKUP($A249,'01-02.2021'!$A$6:$CZ$403,61,FALSE)+VLOOKUP($A249,'1.3.21-28.2.22'!$A$6:$DA$404,61,FALSE)-VLOOKUP($A249,'01-02.2022'!$A$6:$DA$376,61,FALSE)</f>
        <v>0</v>
      </c>
      <c r="BJ249" s="55">
        <f t="shared" si="257"/>
        <v>0</v>
      </c>
      <c r="BK249" s="566">
        <f>VLOOKUP($A249,'01-02.2021'!$A$6:$CZ$403,63,FALSE)+VLOOKUP($A249,'1.3.21-28.2.22'!$A$6:$DA$404,63,FALSE)-VLOOKUP($A249,'01-02.2022'!$A$6:$DA$376,63,FALSE)</f>
        <v>2796.1176107524766</v>
      </c>
      <c r="BL249" s="566">
        <f>VLOOKUP($A249,'01-02.2021'!$A$6:$CZ$403,64,FALSE)+VLOOKUP($A249,'1.3.21-28.2.22'!$A$6:$DA$404,64,FALSE)-VLOOKUP($A249,'01-02.2022'!$A$6:$DA$376,64,FALSE)</f>
        <v>0</v>
      </c>
      <c r="BM249" s="55">
        <f t="shared" si="258"/>
        <v>-2796.1176107524766</v>
      </c>
      <c r="BN249" s="566">
        <f>VLOOKUP($A249,'01-02.2021'!$A$6:$CZ$403,66,FALSE)+VLOOKUP($A249,'1.3.21-28.2.22'!$A$6:$DA$404,66,FALSE)-VLOOKUP($A249,'01-02.2022'!$A$6:$DA$376,66,FALSE)</f>
        <v>120.321</v>
      </c>
      <c r="BO249" s="566">
        <f>VLOOKUP($A249,'01-02.2021'!$A$6:$CZ$403,67,FALSE)+VLOOKUP($A249,'1.3.21-28.2.22'!$A$6:$DA$404,67,FALSE)-VLOOKUP($A249,'01-02.2022'!$A$6:$DA$376,67,FALSE)</f>
        <v>0</v>
      </c>
      <c r="BP249" s="55">
        <f t="shared" si="259"/>
        <v>-120.321</v>
      </c>
      <c r="BQ249" s="77">
        <f t="shared" si="287"/>
        <v>10791.96681468667</v>
      </c>
      <c r="BR249" s="40">
        <f t="shared" si="289"/>
        <v>11209</v>
      </c>
      <c r="BS249" s="55">
        <f t="shared" si="314"/>
        <v>417.03318531333025</v>
      </c>
      <c r="BT249" s="566">
        <f>VLOOKUP($A249,'01-02.2021'!$A$6:$CZ$403,72,FALSE)+VLOOKUP($A249,'1.3.21-28.2.22'!$A$6:$DA$404,72,FALSE)-VLOOKUP($A249,'01-02.2022'!$A$6:$DA$376,72,FALSE)</f>
        <v>13690.568125644371</v>
      </c>
      <c r="BU249" s="566">
        <f>VLOOKUP($A249,'01-02.2021'!$A$6:$CZ$403,73,FALSE)+VLOOKUP($A249,'1.3.21-28.2.22'!$A$6:$DA$404,73,FALSE)-VLOOKUP($A249,'01-02.2022'!$A$6:$DA$376,73,FALSE)</f>
        <v>16257.030731265524</v>
      </c>
      <c r="BV249" s="70">
        <f t="shared" si="260"/>
        <v>2566.4626056211528</v>
      </c>
      <c r="BW249" s="566">
        <f>VLOOKUP($A249,'01-02.2021'!$A$6:$CZ$403,75,FALSE)+VLOOKUP($A249,'1.3.21-28.2.22'!$A$6:$DA$404,75,FALSE)-VLOOKUP($A249,'01-02.2022'!$A$6:$DA$376,75,FALSE)</f>
        <v>14161.282245295139</v>
      </c>
      <c r="BX249" s="566">
        <f>VLOOKUP($A249,'01-02.2021'!$A$6:$CZ$403,76,FALSE)+VLOOKUP($A249,'1.3.21-28.2.22'!$A$6:$DA$404,76,FALSE)-VLOOKUP($A249,'01-02.2022'!$A$6:$DA$376,76,FALSE)</f>
        <v>13670.918235097583</v>
      </c>
      <c r="BY249" s="70">
        <f t="shared" si="261"/>
        <v>-490.36401019755613</v>
      </c>
      <c r="BZ249" s="566">
        <f>VLOOKUP($A249,'01-02.2021'!$A$6:$CZ$403,78,FALSE)+VLOOKUP($A249,'1.3.21-28.2.22'!$A$6:$DA$404,78,FALSE)-VLOOKUP($A249,'01-02.2022'!$A$6:$DA$376,78,FALSE)</f>
        <v>5122.8998702670679</v>
      </c>
      <c r="CA249" s="566">
        <f>VLOOKUP($A249,'01-02.2021'!$A$6:$CZ$403,79,FALSE)+VLOOKUP($A249,'1.3.21-28.2.22'!$A$6:$DA$404,79,FALSE)-VLOOKUP($A249,'01-02.2022'!$A$6:$DA$376,79,FALSE)</f>
        <v>4491.9791366810459</v>
      </c>
      <c r="CB249" s="70">
        <f t="shared" si="262"/>
        <v>-630.92073358602192</v>
      </c>
      <c r="CC249" s="566">
        <f>VLOOKUP($A249,'01-02.2021'!$A$6:$CZ$403,81,FALSE)+VLOOKUP($A249,'1.3.21-28.2.22'!$A$6:$DA$404,81,FALSE)-VLOOKUP($A249,'01-02.2022'!$A$6:$DA$376,81,FALSE)</f>
        <v>785.78720550765138</v>
      </c>
      <c r="CD249" s="566">
        <f>VLOOKUP($A249,'01-02.2021'!$A$6:$CZ$403,82,FALSE)+VLOOKUP($A249,'1.3.21-28.2.22'!$A$6:$DA$404,82,FALSE)-VLOOKUP($A249,'01-02.2022'!$A$6:$DA$376,82,FALSE)</f>
        <v>858.85993047277259</v>
      </c>
      <c r="CE249" s="70">
        <f t="shared" si="263"/>
        <v>73.072724965121211</v>
      </c>
      <c r="CF249" s="566">
        <f>VLOOKUP($A249,'01-02.2021'!$A$6:$CZ$403,84,FALSE)+VLOOKUP($A249,'1.3.21-28.2.22'!$A$6:$DA$404,84,FALSE)-VLOOKUP($A249,'01-02.2022'!$A$6:$DA$376,84,FALSE)</f>
        <v>95.528621310655467</v>
      </c>
      <c r="CG249" s="566">
        <f>VLOOKUP($A249,'01-02.2021'!$A$6:$CZ$403,85,FALSE)+VLOOKUP($A249,'1.3.21-28.2.22'!$A$6:$DA$404,85,FALSE)-VLOOKUP($A249,'01-02.2022'!$A$6:$DA$376,85,FALSE)</f>
        <v>0</v>
      </c>
      <c r="CH249" s="70">
        <f t="shared" si="264"/>
        <v>-95.528621310655467</v>
      </c>
      <c r="CI249" s="566">
        <f>VLOOKUP($A249,'01-02.2021'!$A$6:$CZ$403,87,FALSE)+VLOOKUP($A249,'1.3.21-28.2.22'!$A$6:$DA$404,87,FALSE)-VLOOKUP($A249,'01-02.2022'!$A$6:$DA$376,87,FALSE)</f>
        <v>4917.781870107332</v>
      </c>
      <c r="CJ249" s="566">
        <f>VLOOKUP($A249,'01-02.2021'!$A$6:$CZ$403,88,FALSE)+VLOOKUP($A249,'1.3.21-28.2.22'!$A$6:$DA$404,88,FALSE)-VLOOKUP($A249,'01-02.2022'!$A$6:$DA$376,88,FALSE)</f>
        <v>3995.8171469503823</v>
      </c>
      <c r="CK249" s="70">
        <f t="shared" si="265"/>
        <v>-921.96472315694973</v>
      </c>
      <c r="CL249" s="566">
        <f>VLOOKUP($A249,'01-02.2021'!$A$6:$CZ$403,90,FALSE)+VLOOKUP($A249,'1.3.21-28.2.22'!$A$6:$DA$404,90,FALSE)-VLOOKUP($A249,'01-02.2022'!$A$6:$DA$376,90,FALSE)</f>
        <v>0</v>
      </c>
      <c r="CM249" s="566">
        <f>VLOOKUP($A249,'01-02.2021'!$A$6:$CZ$403,91,FALSE)+VLOOKUP($A249,'1.3.21-28.2.22'!$A$6:$DA$404,91,FALSE)-VLOOKUP($A249,'01-02.2022'!$A$6:$DA$376,91,FALSE)</f>
        <v>0</v>
      </c>
      <c r="CN249" s="52">
        <f t="shared" si="303"/>
        <v>0</v>
      </c>
      <c r="CO249" s="39">
        <f t="shared" si="298"/>
        <v>4917.781870107332</v>
      </c>
      <c r="CP249" s="40">
        <f t="shared" si="304"/>
        <v>3995.8171469503823</v>
      </c>
      <c r="CQ249" s="52">
        <f t="shared" si="305"/>
        <v>-921.96472315694973</v>
      </c>
      <c r="CR249" s="72">
        <f t="shared" si="299"/>
        <v>117505.56441812172</v>
      </c>
      <c r="CS249" s="5">
        <f t="shared" si="299"/>
        <v>91432.79561392522</v>
      </c>
      <c r="CT249" s="52">
        <f t="shared" si="306"/>
        <v>-26072.768804196501</v>
      </c>
      <c r="CU249" s="77">
        <f t="shared" si="307"/>
        <v>141006.67730174607</v>
      </c>
      <c r="CV249" s="65">
        <f t="shared" si="308"/>
        <v>109719.35473671026</v>
      </c>
      <c r="CW249" s="35">
        <f t="shared" si="309"/>
        <v>-31287.322565035807</v>
      </c>
      <c r="CX249" s="566">
        <f>VLOOKUP($A249,'01-02.2021'!$A$6:$CZ$403,102,FALSE)+VLOOKUP($A249,'1.3.21-28.2.22'!$A$6:$DA$404,102,FALSE)-VLOOKUP($A249,'01-02.2022'!$A$6:$DA$376,102,FALSE)</f>
        <v>3531.3158014861683</v>
      </c>
      <c r="CY249" s="566">
        <f>VLOOKUP($A249,'01-02.2021'!$A$6:$CZ$403,103,FALSE)+VLOOKUP($A249,'1.3.21-28.2.22'!$A$6:$DA$404,103,FALSE)-VLOOKUP($A249,'01-02.2022'!$A$6:$DA$376,103,FALSE)</f>
        <v>34818.638366521969</v>
      </c>
      <c r="CZ249" s="52">
        <f t="shared" si="310"/>
        <v>31287.3225650358</v>
      </c>
      <c r="DA249" s="150">
        <f>'[2]побудинковий звіт'!DA249</f>
        <v>67624.449338877632</v>
      </c>
      <c r="DB249" s="2">
        <v>2</v>
      </c>
      <c r="DC249" s="414">
        <f>'[4]побудинковий звіт'!DC249</f>
        <v>12482.18</v>
      </c>
      <c r="DD249" s="414">
        <f>'[4]побудинковий звіт'!DD249</f>
        <v>442.69</v>
      </c>
      <c r="DE249" s="557">
        <f>'[4]побудинковий звіт'!DE249</f>
        <v>1494.3675155763667</v>
      </c>
      <c r="DF249" s="557">
        <f>'[4]побудинковий звіт'!DF249</f>
        <v>-1726.9753718141992</v>
      </c>
      <c r="DG249" s="321">
        <f>VLOOKUP(A249,'кошти 01.03.2021'!$A$6:$D$401,4,)</f>
        <v>113703.40392421077</v>
      </c>
      <c r="DH249" s="40">
        <f>'[3]побудинковий звіт'!DJ249</f>
        <v>149802.6258331982</v>
      </c>
      <c r="DI249" s="422">
        <f>'[3]побудинковий звіт'!CU249+'[3]побудинковий звіт'!CX249</f>
        <v>13157.477856237831</v>
      </c>
      <c r="DJ249" s="306">
        <f>'[3]побудинковий звіт'!DM249</f>
        <v>5.4584264701558043</v>
      </c>
      <c r="DK249" s="306">
        <f t="shared" si="311"/>
        <v>5.4584264701558043</v>
      </c>
      <c r="DL249" s="306">
        <f>'[3]побудинковий звіт'!DO249</f>
        <v>4.6143457503492114</v>
      </c>
      <c r="DM249" s="28">
        <f t="shared" si="312"/>
        <v>10987.812484423634</v>
      </c>
      <c r="DN249" s="28">
        <f t="shared" si="313"/>
        <v>2169.6653718141993</v>
      </c>
      <c r="DO249" s="423">
        <f t="shared" si="238"/>
        <v>13157.477856237832</v>
      </c>
      <c r="DP249" s="94">
        <f t="shared" si="239"/>
        <v>0</v>
      </c>
      <c r="DQ249" s="28">
        <f t="shared" si="240"/>
        <v>13157.477856237832</v>
      </c>
      <c r="DR249" s="318"/>
      <c r="DT249" s="8"/>
      <c r="DU249" s="5"/>
      <c r="DX249" s="5">
        <f t="shared" si="241"/>
        <v>50179.905679776784</v>
      </c>
      <c r="DY249" s="5">
        <f t="shared" si="242"/>
        <v>19717.2</v>
      </c>
      <c r="DZ249" s="159">
        <f>'[3]побудинковий звіт'!EA249</f>
        <v>4873.2308222133252</v>
      </c>
    </row>
    <row r="250" spans="1:130" x14ac:dyDescent="0.3">
      <c r="A250" s="325">
        <v>150001047</v>
      </c>
      <c r="B250" s="41" t="s">
        <v>697</v>
      </c>
      <c r="C250" s="42" t="s">
        <v>180</v>
      </c>
      <c r="D250" s="42"/>
      <c r="E250" s="293">
        <f t="shared" si="296"/>
        <v>762.81000000000006</v>
      </c>
      <c r="F250" s="305">
        <f>'[3]побудинковий звіт'!F250</f>
        <v>635.11</v>
      </c>
      <c r="G250" s="508">
        <f>'[3]побудинковий звіт'!G250</f>
        <v>0</v>
      </c>
      <c r="H250" s="560">
        <f>'[3]побудинковий звіт'!H250</f>
        <v>127.7</v>
      </c>
      <c r="I250" s="566">
        <f>VLOOKUP($A250,'01-02.2021'!$A$6:$CZ$403,9,FALSE)+VLOOKUP($A250,'1.3.21-28.2.22'!$A$6:$DA$404,9,FALSE)-VLOOKUP($A250,'01-02.2022'!$A$6:$DA$376,9,FALSE)</f>
        <v>2286.0745650177141</v>
      </c>
      <c r="J250" s="566">
        <f>VLOOKUP($A250,'01-02.2021'!$A$6:$CZ$403,10,FALSE)+VLOOKUP($A250,'1.3.21-28.2.22'!$A$6:$DA$404,10,FALSE)-VLOOKUP($A250,'01-02.2022'!$A$6:$DA$376,10,FALSE)</f>
        <v>2489.1668255334334</v>
      </c>
      <c r="K250" s="52">
        <f t="shared" si="300"/>
        <v>203.09226051571932</v>
      </c>
      <c r="L250" s="566">
        <f>VLOOKUP($A250,'01-02.2021'!$A$6:$CZ$403,12,FALSE)+VLOOKUP($A250,'1.3.21-28.2.22'!$A$6:$DA$404,12,FALSE)-VLOOKUP($A250,'01-02.2022'!$A$6:$DA$376,12,FALSE)</f>
        <v>412.51230263810368</v>
      </c>
      <c r="M250" s="566">
        <f>VLOOKUP($A250,'01-02.2021'!$A$6:$CZ$403,13,FALSE)+VLOOKUP($A250,'1.3.21-28.2.22'!$A$6:$DA$404,13,FALSE)-VLOOKUP($A250,'01-02.2022'!$A$6:$DA$376,13,FALSE)</f>
        <v>454.19161469075073</v>
      </c>
      <c r="N250" s="52">
        <f t="shared" si="301"/>
        <v>41.679312052647049</v>
      </c>
      <c r="O250" s="566">
        <f>VLOOKUP($A250,'01-02.2021'!$A$6:$CZ$403,15,FALSE)+VLOOKUP($A250,'1.3.21-28.2.22'!$A$6:$DA$404,15,FALSE)-VLOOKUP($A250,'01-02.2022'!$A$6:$DA$376,15,FALSE)</f>
        <v>1037.7374967273836</v>
      </c>
      <c r="P250" s="566">
        <f>VLOOKUP($A250,'01-02.2021'!$A$6:$CZ$403,16,FALSE)+VLOOKUP($A250,'1.3.21-28.2.22'!$A$6:$DA$404,16,FALSE)-VLOOKUP($A250,'01-02.2022'!$A$6:$DA$376,16,FALSE)</f>
        <v>1037.7800000000002</v>
      </c>
      <c r="Q250" s="70">
        <f t="shared" si="243"/>
        <v>4.2503272616613685E-2</v>
      </c>
      <c r="R250" s="566">
        <f>VLOOKUP($A250,'01-02.2021'!$A$6:$CZ$403,18,FALSE)+VLOOKUP($A250,'1.3.21-28.2.22'!$A$6:$DA$404,18,FALSE)-VLOOKUP($A250,'01-02.2022'!$A$6:$DA$376,18,FALSE)</f>
        <v>0</v>
      </c>
      <c r="S250" s="566">
        <f>VLOOKUP($A250,'01-02.2021'!$A$6:$CZ$403,19,FALSE)+VLOOKUP($A250,'1.3.21-28.2.22'!$A$6:$DA$404,19,FALSE)-VLOOKUP($A250,'01-02.2022'!$A$6:$DA$376,19,FALSE)</f>
        <v>0</v>
      </c>
      <c r="T250" s="70">
        <f t="shared" si="244"/>
        <v>0</v>
      </c>
      <c r="U250" s="566">
        <f>VLOOKUP($A250,'01-02.2021'!$A$6:$CZ$403,21,FALSE)+VLOOKUP($A250,'1.3.21-28.2.22'!$A$6:$DA$404,21,FALSE)-VLOOKUP($A250,'01-02.2022'!$A$6:$DA$376,21,FALSE)</f>
        <v>0</v>
      </c>
      <c r="V250" s="566">
        <f>VLOOKUP($A250,'01-02.2021'!$A$6:$CZ$403,22,FALSE)+VLOOKUP($A250,'1.3.21-28.2.22'!$A$6:$DA$404,22,FALSE)-VLOOKUP($A250,'01-02.2022'!$A$6:$DA$376,22,FALSE)</f>
        <v>0</v>
      </c>
      <c r="W250" s="70">
        <f t="shared" si="245"/>
        <v>0</v>
      </c>
      <c r="X250" s="566">
        <f>VLOOKUP($A250,'01-02.2021'!$A$6:$CZ$403,24,FALSE)+VLOOKUP($A250,'1.3.21-28.2.22'!$A$6:$DA$404,24,FALSE)-VLOOKUP($A250,'01-02.2022'!$A$6:$DA$376,24,FALSE)</f>
        <v>1047.4828347296616</v>
      </c>
      <c r="Y250" s="566">
        <f>VLOOKUP($A250,'01-02.2021'!$A$6:$CZ$403,25,FALSE)+VLOOKUP($A250,'1.3.21-28.2.22'!$A$6:$DA$404,25,FALSE)-VLOOKUP($A250,'01-02.2022'!$A$6:$DA$376,25,FALSE)</f>
        <v>982.58518175337679</v>
      </c>
      <c r="Z250" s="70">
        <f t="shared" si="246"/>
        <v>-64.897652976284803</v>
      </c>
      <c r="AA250" s="566">
        <f>VLOOKUP($A250,'01-02.2021'!$A$6:$CZ$403,27,FALSE)+VLOOKUP($A250,'1.3.21-28.2.22'!$A$6:$DA$404,27,FALSE)-VLOOKUP($A250,'01-02.2022'!$A$6:$DA$376,27,FALSE)</f>
        <v>152.56200000000001</v>
      </c>
      <c r="AB250" s="566">
        <f>VLOOKUP($A250,'01-02.2021'!$A$6:$CZ$403,28,FALSE)+VLOOKUP($A250,'1.3.21-28.2.22'!$A$6:$DA$404,28,FALSE)-VLOOKUP($A250,'01-02.2022'!$A$6:$DA$376,28,FALSE)</f>
        <v>0</v>
      </c>
      <c r="AC250" s="70">
        <f t="shared" si="247"/>
        <v>-152.56200000000001</v>
      </c>
      <c r="AD250" s="566">
        <f>VLOOKUP($A250,'01-02.2021'!$A$6:$CZ$403,30,FALSE)+VLOOKUP($A250,'1.3.21-28.2.22'!$A$6:$DA$404,30,FALSE)-VLOOKUP($A250,'01-02.2022'!$A$6:$DA$376,30,FALSE)</f>
        <v>3263.7846469027099</v>
      </c>
      <c r="AE250" s="566">
        <f>VLOOKUP($A250,'01-02.2021'!$A$6:$CZ$403,31,FALSE)+VLOOKUP($A250,'1.3.21-28.2.22'!$A$6:$DA$404,31,FALSE)-VLOOKUP($A250,'01-02.2022'!$A$6:$DA$376,31,FALSE)</f>
        <v>3472.3418553314941</v>
      </c>
      <c r="AF250" s="68">
        <f t="shared" si="248"/>
        <v>208.55720842878418</v>
      </c>
      <c r="AG250" s="77">
        <f t="shared" si="297"/>
        <v>8200.1538460155734</v>
      </c>
      <c r="AH250" s="53">
        <f t="shared" si="297"/>
        <v>8436.0654773090555</v>
      </c>
      <c r="AI250" s="52">
        <f t="shared" si="302"/>
        <v>235.91163129348206</v>
      </c>
      <c r="AJ250" s="566">
        <f>VLOOKUP($A250,'01-02.2021'!$A$6:$CZ$403,36,FALSE)+VLOOKUP($A250,'1.3.21-28.2.22'!$A$6:$DA$404,36,FALSE)-VLOOKUP($A250,'01-02.2022'!$A$6:$DA$376,36,FALSE)</f>
        <v>0</v>
      </c>
      <c r="AK250" s="566">
        <f>VLOOKUP($A250,'01-02.2021'!$A$6:$CZ$403,37,FALSE)+VLOOKUP($A250,'1.3.21-28.2.22'!$A$6:$DA$404,37,FALSE)-VLOOKUP($A250,'01-02.2022'!$A$6:$DA$376,37,FALSE)</f>
        <v>0</v>
      </c>
      <c r="AL250" s="70">
        <f t="shared" si="249"/>
        <v>0</v>
      </c>
      <c r="AM250" s="566">
        <f>VLOOKUP($A250,'01-02.2021'!$A$6:$CZ$403,39,FALSE)+VLOOKUP($A250,'1.3.21-28.2.22'!$A$6:$DA$404,39,FALSE)-VLOOKUP($A250,'01-02.2022'!$A$6:$DA$376,39,FALSE)</f>
        <v>0</v>
      </c>
      <c r="AN250" s="566">
        <f>VLOOKUP($A250,'01-02.2021'!$A$6:$CZ$403,40,FALSE)+VLOOKUP($A250,'1.3.21-28.2.22'!$A$6:$DA$404,40,FALSE)-VLOOKUP($A250,'01-02.2022'!$A$6:$DA$376,40,FALSE)</f>
        <v>0</v>
      </c>
      <c r="AO250" s="70">
        <f t="shared" si="250"/>
        <v>0</v>
      </c>
      <c r="AP250" s="566">
        <f>VLOOKUP($A250,'01-02.2021'!$A$6:$CZ$403,42,FALSE)+VLOOKUP($A250,'1.3.21-28.2.22'!$A$6:$DA$404,42,FALSE)-VLOOKUP($A250,'01-02.2022'!$A$6:$DA$376,42,FALSE)</f>
        <v>43.379993751064774</v>
      </c>
      <c r="AQ250" s="566">
        <f>VLOOKUP($A250,'01-02.2021'!$A$6:$CZ$403,43,FALSE)+VLOOKUP($A250,'1.3.21-28.2.22'!$A$6:$DA$404,43,FALSE)-VLOOKUP($A250,'01-02.2022'!$A$6:$DA$376,43,FALSE)</f>
        <v>37.791115529383532</v>
      </c>
      <c r="AR250" s="70">
        <f t="shared" si="251"/>
        <v>-5.5888782216812416</v>
      </c>
      <c r="AS250" s="566">
        <f>VLOOKUP($A250,'01-02.2021'!$A$6:$CZ$403,45,FALSE)+VLOOKUP($A250,'1.3.21-28.2.22'!$A$6:$DA$404,45,FALSE)-VLOOKUP($A250,'01-02.2022'!$A$6:$DA$376,45,FALSE)</f>
        <v>7098.439454619257</v>
      </c>
      <c r="AT250" s="566">
        <f>VLOOKUP($A250,'01-02.2021'!$A$6:$CZ$403,46,FALSE)+VLOOKUP($A250,'1.3.21-28.2.22'!$A$6:$DA$404,46,FALSE)-VLOOKUP($A250,'01-02.2022'!$A$6:$DA$376,46,FALSE)</f>
        <v>0</v>
      </c>
      <c r="AU250" s="78">
        <f t="shared" si="252"/>
        <v>-7098.439454619257</v>
      </c>
      <c r="AV250" s="566">
        <f>VLOOKUP($A250,'01-02.2021'!$A$6:$CZ$403,48,FALSE)+VLOOKUP($A250,'1.3.21-28.2.22'!$A$6:$DA$404,48,FALSE)-VLOOKUP($A250,'01-02.2022'!$A$6:$DA$376,48,FALSE)</f>
        <v>764.00643407532289</v>
      </c>
      <c r="AW250" s="566">
        <f>VLOOKUP($A250,'01-02.2021'!$A$6:$CZ$403,49,FALSE)+VLOOKUP($A250,'1.3.21-28.2.22'!$A$6:$DA$404,49,FALSE)-VLOOKUP($A250,'01-02.2022'!$A$6:$DA$376,49,FALSE)</f>
        <v>232</v>
      </c>
      <c r="AX250" s="55">
        <f t="shared" si="253"/>
        <v>-532.00643407532289</v>
      </c>
      <c r="AY250" s="566">
        <f>VLOOKUP($A250,'01-02.2021'!$A$6:$CZ$403,51,FALSE)+VLOOKUP($A250,'1.3.21-28.2.22'!$A$6:$DA$404,51,FALSE)-VLOOKUP($A250,'01-02.2022'!$A$6:$DA$376,51,FALSE)</f>
        <v>775.29039996407607</v>
      </c>
      <c r="AZ250" s="566">
        <f>VLOOKUP($A250,'01-02.2021'!$A$6:$CZ$403,52,FALSE)+VLOOKUP($A250,'1.3.21-28.2.22'!$A$6:$DA$404,52,FALSE)-VLOOKUP($A250,'01-02.2022'!$A$6:$DA$376,52,FALSE)</f>
        <v>0</v>
      </c>
      <c r="BA250" s="38">
        <f t="shared" si="254"/>
        <v>-775.29039996407607</v>
      </c>
      <c r="BB250" s="566">
        <f>VLOOKUP($A250,'01-02.2021'!$A$6:$CZ$403,54,FALSE)+VLOOKUP($A250,'1.3.21-28.2.22'!$A$6:$DA$404,54,FALSE)-VLOOKUP($A250,'01-02.2022'!$A$6:$DA$376,54,FALSE)</f>
        <v>415.63334237750053</v>
      </c>
      <c r="BC250" s="566">
        <f>VLOOKUP($A250,'01-02.2021'!$A$6:$CZ$403,55,FALSE)+VLOOKUP($A250,'1.3.21-28.2.22'!$A$6:$DA$404,55,FALSE)-VLOOKUP($A250,'01-02.2022'!$A$6:$DA$376,55,FALSE)</f>
        <v>0</v>
      </c>
      <c r="BD250" s="55">
        <f t="shared" si="255"/>
        <v>-415.63334237750053</v>
      </c>
      <c r="BE250" s="566">
        <f>VLOOKUP($A250,'01-02.2021'!$A$6:$CZ$403,57,FALSE)+VLOOKUP($A250,'1.3.21-28.2.22'!$A$6:$DA$404,57,FALSE)-VLOOKUP($A250,'01-02.2022'!$A$6:$DA$376,57,FALSE)</f>
        <v>0</v>
      </c>
      <c r="BF250" s="566">
        <f>VLOOKUP($A250,'01-02.2021'!$A$6:$CZ$403,58,FALSE)+VLOOKUP($A250,'1.3.21-28.2.22'!$A$6:$DA$404,58,FALSE)-VLOOKUP($A250,'01-02.2022'!$A$6:$DA$376,58,FALSE)</f>
        <v>0</v>
      </c>
      <c r="BG250" s="55">
        <f t="shared" si="256"/>
        <v>0</v>
      </c>
      <c r="BH250" s="566">
        <f>VLOOKUP($A250,'01-02.2021'!$A$6:$CZ$403,60,FALSE)+VLOOKUP($A250,'1.3.21-28.2.22'!$A$6:$DA$404,60,FALSE)-VLOOKUP($A250,'01-02.2022'!$A$6:$DA$376,60,FALSE)</f>
        <v>0</v>
      </c>
      <c r="BI250" s="566">
        <f>VLOOKUP($A250,'01-02.2021'!$A$6:$CZ$403,61,FALSE)+VLOOKUP($A250,'1.3.21-28.2.22'!$A$6:$DA$404,61,FALSE)-VLOOKUP($A250,'01-02.2022'!$A$6:$DA$376,61,FALSE)</f>
        <v>0</v>
      </c>
      <c r="BJ250" s="55">
        <f t="shared" si="257"/>
        <v>0</v>
      </c>
      <c r="BK250" s="566">
        <f>VLOOKUP($A250,'01-02.2021'!$A$6:$CZ$403,63,FALSE)+VLOOKUP($A250,'1.3.21-28.2.22'!$A$6:$DA$404,63,FALSE)-VLOOKUP($A250,'01-02.2022'!$A$6:$DA$376,63,FALSE)</f>
        <v>127.58705484063108</v>
      </c>
      <c r="BL250" s="566">
        <f>VLOOKUP($A250,'01-02.2021'!$A$6:$CZ$403,64,FALSE)+VLOOKUP($A250,'1.3.21-28.2.22'!$A$6:$DA$404,64,FALSE)-VLOOKUP($A250,'01-02.2022'!$A$6:$DA$376,64,FALSE)</f>
        <v>0</v>
      </c>
      <c r="BM250" s="55">
        <f t="shared" si="258"/>
        <v>-127.58705484063108</v>
      </c>
      <c r="BN250" s="566">
        <f>VLOOKUP($A250,'01-02.2021'!$A$6:$CZ$403,66,FALSE)+VLOOKUP($A250,'1.3.21-28.2.22'!$A$6:$DA$404,66,FALSE)-VLOOKUP($A250,'01-02.2022'!$A$6:$DA$376,66,FALSE)</f>
        <v>38.140500000000003</v>
      </c>
      <c r="BO250" s="566">
        <f>VLOOKUP($A250,'01-02.2021'!$A$6:$CZ$403,67,FALSE)+VLOOKUP($A250,'1.3.21-28.2.22'!$A$6:$DA$404,67,FALSE)-VLOOKUP($A250,'01-02.2022'!$A$6:$DA$376,67,FALSE)</f>
        <v>0</v>
      </c>
      <c r="BP250" s="55">
        <f t="shared" si="259"/>
        <v>-38.140500000000003</v>
      </c>
      <c r="BQ250" s="77">
        <f t="shared" si="287"/>
        <v>2120.6577312575305</v>
      </c>
      <c r="BR250" s="40">
        <f t="shared" si="289"/>
        <v>232</v>
      </c>
      <c r="BS250" s="55">
        <f t="shared" si="314"/>
        <v>-1888.6577312575305</v>
      </c>
      <c r="BT250" s="566">
        <f>VLOOKUP($A250,'01-02.2021'!$A$6:$CZ$403,72,FALSE)+VLOOKUP($A250,'1.3.21-28.2.22'!$A$6:$DA$404,72,FALSE)-VLOOKUP($A250,'01-02.2022'!$A$6:$DA$376,72,FALSE)</f>
        <v>3549.0023306039011</v>
      </c>
      <c r="BU250" s="566">
        <f>VLOOKUP($A250,'01-02.2021'!$A$6:$CZ$403,73,FALSE)+VLOOKUP($A250,'1.3.21-28.2.22'!$A$6:$DA$404,73,FALSE)-VLOOKUP($A250,'01-02.2022'!$A$6:$DA$376,73,FALSE)</f>
        <v>4255.1992224805235</v>
      </c>
      <c r="BV250" s="70">
        <f t="shared" si="260"/>
        <v>706.19689187662243</v>
      </c>
      <c r="BW250" s="566">
        <f>VLOOKUP($A250,'01-02.2021'!$A$6:$CZ$403,75,FALSE)+VLOOKUP($A250,'1.3.21-28.2.22'!$A$6:$DA$404,75,FALSE)-VLOOKUP($A250,'01-02.2022'!$A$6:$DA$376,75,FALSE)</f>
        <v>2312.9216230013217</v>
      </c>
      <c r="BX250" s="566">
        <f>VLOOKUP($A250,'01-02.2021'!$A$6:$CZ$403,76,FALSE)+VLOOKUP($A250,'1.3.21-28.2.22'!$A$6:$DA$404,76,FALSE)-VLOOKUP($A250,'01-02.2022'!$A$6:$DA$376,76,FALSE)</f>
        <v>496.73875059260445</v>
      </c>
      <c r="BY250" s="70">
        <f t="shared" si="261"/>
        <v>-1816.1828724087172</v>
      </c>
      <c r="BZ250" s="566">
        <f>VLOOKUP($A250,'01-02.2021'!$A$6:$CZ$403,78,FALSE)+VLOOKUP($A250,'1.3.21-28.2.22'!$A$6:$DA$404,78,FALSE)-VLOOKUP($A250,'01-02.2022'!$A$6:$DA$376,78,FALSE)</f>
        <v>1631.6643123183444</v>
      </c>
      <c r="CA250" s="566">
        <f>VLOOKUP($A250,'01-02.2021'!$A$6:$CZ$403,79,FALSE)+VLOOKUP($A250,'1.3.21-28.2.22'!$A$6:$DA$404,79,FALSE)-VLOOKUP($A250,'01-02.2022'!$A$6:$DA$376,79,FALSE)</f>
        <v>1164.6138679135825</v>
      </c>
      <c r="CB250" s="70">
        <f t="shared" si="262"/>
        <v>-467.05044440476195</v>
      </c>
      <c r="CC250" s="566">
        <f>VLOOKUP($A250,'01-02.2021'!$A$6:$CZ$403,81,FALSE)+VLOOKUP($A250,'1.3.21-28.2.22'!$A$6:$DA$404,81,FALSE)-VLOOKUP($A250,'01-02.2022'!$A$6:$DA$376,81,FALSE)</f>
        <v>0</v>
      </c>
      <c r="CD250" s="566">
        <f>VLOOKUP($A250,'01-02.2021'!$A$6:$CZ$403,82,FALSE)+VLOOKUP($A250,'1.3.21-28.2.22'!$A$6:$DA$404,82,FALSE)-VLOOKUP($A250,'01-02.2022'!$A$6:$DA$376,82,FALSE)</f>
        <v>0</v>
      </c>
      <c r="CE250" s="70">
        <f t="shared" si="263"/>
        <v>0</v>
      </c>
      <c r="CF250" s="566">
        <f>VLOOKUP($A250,'01-02.2021'!$A$6:$CZ$403,84,FALSE)+VLOOKUP($A250,'1.3.21-28.2.22'!$A$6:$DA$404,84,FALSE)-VLOOKUP($A250,'01-02.2022'!$A$6:$DA$376,84,FALSE)</f>
        <v>0</v>
      </c>
      <c r="CG250" s="566">
        <f>VLOOKUP($A250,'01-02.2021'!$A$6:$CZ$403,85,FALSE)+VLOOKUP($A250,'1.3.21-28.2.22'!$A$6:$DA$404,85,FALSE)-VLOOKUP($A250,'01-02.2022'!$A$6:$DA$376,85,FALSE)</f>
        <v>0</v>
      </c>
      <c r="CH250" s="70">
        <f t="shared" si="264"/>
        <v>0</v>
      </c>
      <c r="CI250" s="566">
        <f>VLOOKUP($A250,'01-02.2021'!$A$6:$CZ$403,87,FALSE)+VLOOKUP($A250,'1.3.21-28.2.22'!$A$6:$DA$404,87,FALSE)-VLOOKUP($A250,'01-02.2022'!$A$6:$DA$376,87,FALSE)</f>
        <v>5407.3328579242298</v>
      </c>
      <c r="CJ250" s="566">
        <f>VLOOKUP($A250,'01-02.2021'!$A$6:$CZ$403,88,FALSE)+VLOOKUP($A250,'1.3.21-28.2.22'!$A$6:$DA$404,88,FALSE)-VLOOKUP($A250,'01-02.2022'!$A$6:$DA$376,88,FALSE)</f>
        <v>1761.1847470878442</v>
      </c>
      <c r="CK250" s="70">
        <f t="shared" si="265"/>
        <v>-3646.1481108363855</v>
      </c>
      <c r="CL250" s="566">
        <f>VLOOKUP($A250,'01-02.2021'!$A$6:$CZ$403,90,FALSE)+VLOOKUP($A250,'1.3.21-28.2.22'!$A$6:$DA$404,90,FALSE)-VLOOKUP($A250,'01-02.2022'!$A$6:$DA$376,90,FALSE)</f>
        <v>0</v>
      </c>
      <c r="CM250" s="566">
        <f>VLOOKUP($A250,'01-02.2021'!$A$6:$CZ$403,91,FALSE)+VLOOKUP($A250,'1.3.21-28.2.22'!$A$6:$DA$404,91,FALSE)-VLOOKUP($A250,'01-02.2022'!$A$6:$DA$376,91,FALSE)</f>
        <v>0</v>
      </c>
      <c r="CN250" s="52">
        <f t="shared" si="303"/>
        <v>0</v>
      </c>
      <c r="CO250" s="39">
        <f t="shared" si="298"/>
        <v>5407.3328579242298</v>
      </c>
      <c r="CP250" s="40">
        <f t="shared" si="304"/>
        <v>1761.1847470878442</v>
      </c>
      <c r="CQ250" s="52">
        <f t="shared" si="305"/>
        <v>-3646.1481108363855</v>
      </c>
      <c r="CR250" s="72">
        <f t="shared" si="299"/>
        <v>30363.552149491225</v>
      </c>
      <c r="CS250" s="5">
        <f t="shared" si="299"/>
        <v>16383.593180912994</v>
      </c>
      <c r="CT250" s="52">
        <f t="shared" si="306"/>
        <v>-13979.95896857823</v>
      </c>
      <c r="CU250" s="77">
        <f t="shared" si="307"/>
        <v>36436.262579389469</v>
      </c>
      <c r="CV250" s="65">
        <f t="shared" si="308"/>
        <v>19660.311817095593</v>
      </c>
      <c r="CW250" s="35">
        <f t="shared" si="309"/>
        <v>-16775.950762293876</v>
      </c>
      <c r="CX250" s="566">
        <f>VLOOKUP($A250,'01-02.2021'!$A$6:$CZ$403,102,FALSE)+VLOOKUP($A250,'1.3.21-28.2.22'!$A$6:$DA$404,102,FALSE)-VLOOKUP($A250,'01-02.2022'!$A$6:$DA$376,102,FALSE)</f>
        <v>912.97267658523788</v>
      </c>
      <c r="CY250" s="566">
        <f>VLOOKUP($A250,'01-02.2021'!$A$6:$CZ$403,103,FALSE)+VLOOKUP($A250,'1.3.21-28.2.22'!$A$6:$DA$404,103,FALSE)-VLOOKUP($A250,'01-02.2022'!$A$6:$DA$376,103,FALSE)</f>
        <v>17688.923438879116</v>
      </c>
      <c r="CZ250" s="52">
        <f t="shared" si="310"/>
        <v>16775.950762293876</v>
      </c>
      <c r="DA250" s="150">
        <f>'[2]побудинковий звіт'!DA250</f>
        <v>10940.592099295071</v>
      </c>
      <c r="DB250" s="2">
        <v>2</v>
      </c>
      <c r="DC250" s="414">
        <f>'[4]побудинковий звіт'!DC250</f>
        <v>8849.26</v>
      </c>
      <c r="DD250" s="414">
        <f>'[4]побудинковий звіт'!DD250</f>
        <v>1008.03</v>
      </c>
      <c r="DE250" s="557">
        <f>'[4]побудинковий звіт'!DE250</f>
        <v>6016.3868642753441</v>
      </c>
      <c r="DF250" s="557">
        <f>'[4]побудинковий звіт'!DF250</f>
        <v>442.61516273564825</v>
      </c>
      <c r="DG250" s="321">
        <f>VLOOKUP(A250,'кошти 01.03.2021'!$A$6:$D$401,4,)</f>
        <v>26999.843044622099</v>
      </c>
      <c r="DH250" s="40">
        <f>'[3]побудинковий звіт'!DJ250</f>
        <v>38701.65136705328</v>
      </c>
      <c r="DI250" s="422">
        <f>'[3]побудинковий звіт'!CU250+'[3]побудинковий звіт'!CX250</f>
        <v>3398.2879729890087</v>
      </c>
      <c r="DJ250" s="306">
        <f>'[3]побудинковий звіт'!DM250</f>
        <v>4.4604448610865148</v>
      </c>
      <c r="DK250" s="306">
        <f t="shared" si="311"/>
        <v>4.4604448610865148</v>
      </c>
      <c r="DL250" s="306">
        <f>'[3]побудинковий звіт'!DO250</f>
        <v>4.4276807929863091</v>
      </c>
      <c r="DM250" s="28">
        <f t="shared" si="312"/>
        <v>2832.8731357246565</v>
      </c>
      <c r="DN250" s="28">
        <f t="shared" si="313"/>
        <v>565.41483726435172</v>
      </c>
      <c r="DO250" s="423">
        <f t="shared" si="238"/>
        <v>3398.2879729890083</v>
      </c>
      <c r="DP250" s="94">
        <f t="shared" si="239"/>
        <v>0</v>
      </c>
      <c r="DQ250" s="28">
        <f t="shared" si="240"/>
        <v>3398.2879729890083</v>
      </c>
      <c r="DR250" s="318"/>
      <c r="DT250" s="8"/>
      <c r="DU250" s="5"/>
      <c r="DX250" s="5">
        <f t="shared" si="241"/>
        <v>11062.916623052146</v>
      </c>
      <c r="DY250" s="5">
        <f t="shared" si="242"/>
        <v>278.39999999999998</v>
      </c>
      <c r="DZ250" s="159">
        <f>'[3]побудинковий звіт'!EA250</f>
        <v>1150.2233227211532</v>
      </c>
    </row>
    <row r="251" spans="1:130" x14ac:dyDescent="0.3">
      <c r="A251" s="325">
        <v>150001048</v>
      </c>
      <c r="B251" s="41" t="s">
        <v>698</v>
      </c>
      <c r="C251" s="42" t="s">
        <v>126</v>
      </c>
      <c r="D251" s="42"/>
      <c r="E251" s="293">
        <f t="shared" si="296"/>
        <v>63</v>
      </c>
      <c r="F251" s="305">
        <f>'[3]побудинковий звіт'!F251</f>
        <v>63</v>
      </c>
      <c r="G251" s="508">
        <f>'[3]побудинковий звіт'!G251</f>
        <v>0</v>
      </c>
      <c r="H251" s="560">
        <f>'[3]побудинковий звіт'!H251</f>
        <v>0</v>
      </c>
      <c r="I251" s="566">
        <f>VLOOKUP($A251,'01-02.2021'!$A$6:$CZ$403,9,FALSE)+VLOOKUP($A251,'1.3.21-28.2.22'!$A$6:$DA$404,9,FALSE)-VLOOKUP($A251,'01-02.2022'!$A$6:$DA$376,9,FALSE)</f>
        <v>0</v>
      </c>
      <c r="J251" s="566">
        <f>VLOOKUP($A251,'01-02.2021'!$A$6:$CZ$403,10,FALSE)+VLOOKUP($A251,'1.3.21-28.2.22'!$A$6:$DA$404,10,FALSE)-VLOOKUP($A251,'01-02.2022'!$A$6:$DA$376,10,FALSE)</f>
        <v>0</v>
      </c>
      <c r="K251" s="52">
        <f t="shared" si="300"/>
        <v>0</v>
      </c>
      <c r="L251" s="566">
        <f>VLOOKUP($A251,'01-02.2021'!$A$6:$CZ$403,12,FALSE)+VLOOKUP($A251,'1.3.21-28.2.22'!$A$6:$DA$404,12,FALSE)-VLOOKUP($A251,'01-02.2022'!$A$6:$DA$376,12,FALSE)</f>
        <v>0</v>
      </c>
      <c r="M251" s="566">
        <f>VLOOKUP($A251,'01-02.2021'!$A$6:$CZ$403,13,FALSE)+VLOOKUP($A251,'1.3.21-28.2.22'!$A$6:$DA$404,13,FALSE)-VLOOKUP($A251,'01-02.2022'!$A$6:$DA$376,13,FALSE)</f>
        <v>0</v>
      </c>
      <c r="N251" s="52">
        <f t="shared" si="301"/>
        <v>0</v>
      </c>
      <c r="O251" s="566">
        <f>VLOOKUP($A251,'01-02.2021'!$A$6:$CZ$403,15,FALSE)+VLOOKUP($A251,'1.3.21-28.2.22'!$A$6:$DA$404,15,FALSE)-VLOOKUP($A251,'01-02.2022'!$A$6:$DA$376,15,FALSE)</f>
        <v>0</v>
      </c>
      <c r="P251" s="566">
        <f>VLOOKUP($A251,'01-02.2021'!$A$6:$CZ$403,16,FALSE)+VLOOKUP($A251,'1.3.21-28.2.22'!$A$6:$DA$404,16,FALSE)-VLOOKUP($A251,'01-02.2022'!$A$6:$DA$376,16,FALSE)</f>
        <v>0</v>
      </c>
      <c r="Q251" s="70">
        <f t="shared" si="243"/>
        <v>0</v>
      </c>
      <c r="R251" s="566">
        <f>VLOOKUP($A251,'01-02.2021'!$A$6:$CZ$403,18,FALSE)+VLOOKUP($A251,'1.3.21-28.2.22'!$A$6:$DA$404,18,FALSE)-VLOOKUP($A251,'01-02.2022'!$A$6:$DA$376,18,FALSE)</f>
        <v>0</v>
      </c>
      <c r="S251" s="566">
        <f>VLOOKUP($A251,'01-02.2021'!$A$6:$CZ$403,19,FALSE)+VLOOKUP($A251,'1.3.21-28.2.22'!$A$6:$DA$404,19,FALSE)-VLOOKUP($A251,'01-02.2022'!$A$6:$DA$376,19,FALSE)</f>
        <v>0</v>
      </c>
      <c r="T251" s="70">
        <f t="shared" si="244"/>
        <v>0</v>
      </c>
      <c r="U251" s="566">
        <f>VLOOKUP($A251,'01-02.2021'!$A$6:$CZ$403,21,FALSE)+VLOOKUP($A251,'1.3.21-28.2.22'!$A$6:$DA$404,21,FALSE)-VLOOKUP($A251,'01-02.2022'!$A$6:$DA$376,21,FALSE)</f>
        <v>0</v>
      </c>
      <c r="V251" s="566">
        <f>VLOOKUP($A251,'01-02.2021'!$A$6:$CZ$403,22,FALSE)+VLOOKUP($A251,'1.3.21-28.2.22'!$A$6:$DA$404,22,FALSE)-VLOOKUP($A251,'01-02.2022'!$A$6:$DA$376,22,FALSE)</f>
        <v>0</v>
      </c>
      <c r="W251" s="70">
        <f t="shared" si="245"/>
        <v>0</v>
      </c>
      <c r="X251" s="566">
        <f>VLOOKUP($A251,'01-02.2021'!$A$6:$CZ$403,24,FALSE)+VLOOKUP($A251,'1.3.21-28.2.22'!$A$6:$DA$404,24,FALSE)-VLOOKUP($A251,'01-02.2022'!$A$6:$DA$376,24,FALSE)</f>
        <v>0</v>
      </c>
      <c r="Y251" s="566">
        <f>VLOOKUP($A251,'01-02.2021'!$A$6:$CZ$403,25,FALSE)+VLOOKUP($A251,'1.3.21-28.2.22'!$A$6:$DA$404,25,FALSE)-VLOOKUP($A251,'01-02.2022'!$A$6:$DA$376,25,FALSE)</f>
        <v>0</v>
      </c>
      <c r="Z251" s="70">
        <f t="shared" si="246"/>
        <v>0</v>
      </c>
      <c r="AA251" s="566">
        <f>VLOOKUP($A251,'01-02.2021'!$A$6:$CZ$403,27,FALSE)+VLOOKUP($A251,'1.3.21-28.2.22'!$A$6:$DA$404,27,FALSE)-VLOOKUP($A251,'01-02.2022'!$A$6:$DA$376,27,FALSE)</f>
        <v>12.600000000000001</v>
      </c>
      <c r="AB251" s="566">
        <f>VLOOKUP($A251,'01-02.2021'!$A$6:$CZ$403,28,FALSE)+VLOOKUP($A251,'1.3.21-28.2.22'!$A$6:$DA$404,28,FALSE)-VLOOKUP($A251,'01-02.2022'!$A$6:$DA$376,28,FALSE)</f>
        <v>0</v>
      </c>
      <c r="AC251" s="70">
        <f t="shared" si="247"/>
        <v>-12.600000000000001</v>
      </c>
      <c r="AD251" s="566">
        <f>VLOOKUP($A251,'01-02.2021'!$A$6:$CZ$403,30,FALSE)+VLOOKUP($A251,'1.3.21-28.2.22'!$A$6:$DA$404,30,FALSE)-VLOOKUP($A251,'01-02.2022'!$A$6:$DA$376,30,FALSE)</f>
        <v>94.566387537773181</v>
      </c>
      <c r="AE251" s="566">
        <f>VLOOKUP($A251,'01-02.2021'!$A$6:$CZ$403,31,FALSE)+VLOOKUP($A251,'1.3.21-28.2.22'!$A$6:$DA$404,31,FALSE)-VLOOKUP($A251,'01-02.2022'!$A$6:$DA$376,31,FALSE)</f>
        <v>286.77853841177239</v>
      </c>
      <c r="AF251" s="68">
        <f t="shared" si="248"/>
        <v>192.21215087399921</v>
      </c>
      <c r="AG251" s="77">
        <f t="shared" si="297"/>
        <v>107.16638753777318</v>
      </c>
      <c r="AH251" s="53">
        <f t="shared" si="297"/>
        <v>286.77853841177239</v>
      </c>
      <c r="AI251" s="52">
        <f t="shared" si="302"/>
        <v>179.61215087399921</v>
      </c>
      <c r="AJ251" s="566">
        <f>VLOOKUP($A251,'01-02.2021'!$A$6:$CZ$403,36,FALSE)+VLOOKUP($A251,'1.3.21-28.2.22'!$A$6:$DA$404,36,FALSE)-VLOOKUP($A251,'01-02.2022'!$A$6:$DA$376,36,FALSE)</f>
        <v>0</v>
      </c>
      <c r="AK251" s="566">
        <f>VLOOKUP($A251,'01-02.2021'!$A$6:$CZ$403,37,FALSE)+VLOOKUP($A251,'1.3.21-28.2.22'!$A$6:$DA$404,37,FALSE)-VLOOKUP($A251,'01-02.2022'!$A$6:$DA$376,37,FALSE)</f>
        <v>0</v>
      </c>
      <c r="AL251" s="70">
        <f t="shared" si="249"/>
        <v>0</v>
      </c>
      <c r="AM251" s="566">
        <f>VLOOKUP($A251,'01-02.2021'!$A$6:$CZ$403,39,FALSE)+VLOOKUP($A251,'1.3.21-28.2.22'!$A$6:$DA$404,39,FALSE)-VLOOKUP($A251,'01-02.2022'!$A$6:$DA$376,39,FALSE)</f>
        <v>0</v>
      </c>
      <c r="AN251" s="566">
        <f>VLOOKUP($A251,'01-02.2021'!$A$6:$CZ$403,40,FALSE)+VLOOKUP($A251,'1.3.21-28.2.22'!$A$6:$DA$404,40,FALSE)-VLOOKUP($A251,'01-02.2022'!$A$6:$DA$376,40,FALSE)</f>
        <v>0</v>
      </c>
      <c r="AO251" s="70">
        <f t="shared" si="250"/>
        <v>0</v>
      </c>
      <c r="AP251" s="566">
        <f>VLOOKUP($A251,'01-02.2021'!$A$6:$CZ$403,42,FALSE)+VLOOKUP($A251,'1.3.21-28.2.22'!$A$6:$DA$404,42,FALSE)-VLOOKUP($A251,'01-02.2022'!$A$6:$DA$376,42,FALSE)</f>
        <v>260.27996250638864</v>
      </c>
      <c r="AQ251" s="566">
        <f>VLOOKUP($A251,'01-02.2021'!$A$6:$CZ$403,43,FALSE)+VLOOKUP($A251,'1.3.21-28.2.22'!$A$6:$DA$404,43,FALSE)-VLOOKUP($A251,'01-02.2022'!$A$6:$DA$376,43,FALSE)</f>
        <v>224.38224961495439</v>
      </c>
      <c r="AR251" s="70">
        <f t="shared" si="251"/>
        <v>-35.897712891434253</v>
      </c>
      <c r="AS251" s="566">
        <f>VLOOKUP($A251,'01-02.2021'!$A$6:$CZ$403,45,FALSE)+VLOOKUP($A251,'1.3.21-28.2.22'!$A$6:$DA$404,45,FALSE)-VLOOKUP($A251,'01-02.2022'!$A$6:$DA$376,45,FALSE)</f>
        <v>905.16540091958939</v>
      </c>
      <c r="AT251" s="566">
        <f>VLOOKUP($A251,'01-02.2021'!$A$6:$CZ$403,46,FALSE)+VLOOKUP($A251,'1.3.21-28.2.22'!$A$6:$DA$404,46,FALSE)-VLOOKUP($A251,'01-02.2022'!$A$6:$DA$376,46,FALSE)</f>
        <v>0</v>
      </c>
      <c r="AU251" s="78">
        <f t="shared" si="252"/>
        <v>-905.16540091958939</v>
      </c>
      <c r="AV251" s="566">
        <f>VLOOKUP($A251,'01-02.2021'!$A$6:$CZ$403,48,FALSE)+VLOOKUP($A251,'1.3.21-28.2.22'!$A$6:$DA$404,48,FALSE)-VLOOKUP($A251,'01-02.2022'!$A$6:$DA$376,48,FALSE)</f>
        <v>0</v>
      </c>
      <c r="AW251" s="566">
        <f>VLOOKUP($A251,'01-02.2021'!$A$6:$CZ$403,49,FALSE)+VLOOKUP($A251,'1.3.21-28.2.22'!$A$6:$DA$404,49,FALSE)-VLOOKUP($A251,'01-02.2022'!$A$6:$DA$376,49,FALSE)</f>
        <v>0</v>
      </c>
      <c r="AX251" s="55">
        <f t="shared" si="253"/>
        <v>0</v>
      </c>
      <c r="AY251" s="566">
        <f>VLOOKUP($A251,'01-02.2021'!$A$6:$CZ$403,51,FALSE)+VLOOKUP($A251,'1.3.21-28.2.22'!$A$6:$DA$404,51,FALSE)-VLOOKUP($A251,'01-02.2022'!$A$6:$DA$376,51,FALSE)</f>
        <v>0</v>
      </c>
      <c r="AZ251" s="566">
        <f>VLOOKUP($A251,'01-02.2021'!$A$6:$CZ$403,52,FALSE)+VLOOKUP($A251,'1.3.21-28.2.22'!$A$6:$DA$404,52,FALSE)-VLOOKUP($A251,'01-02.2022'!$A$6:$DA$376,52,FALSE)</f>
        <v>0</v>
      </c>
      <c r="BA251" s="38">
        <f t="shared" si="254"/>
        <v>0</v>
      </c>
      <c r="BB251" s="566">
        <f>VLOOKUP($A251,'01-02.2021'!$A$6:$CZ$403,54,FALSE)+VLOOKUP($A251,'1.3.21-28.2.22'!$A$6:$DA$404,54,FALSE)-VLOOKUP($A251,'01-02.2022'!$A$6:$DA$376,54,FALSE)</f>
        <v>0</v>
      </c>
      <c r="BC251" s="566">
        <f>VLOOKUP($A251,'01-02.2021'!$A$6:$CZ$403,55,FALSE)+VLOOKUP($A251,'1.3.21-28.2.22'!$A$6:$DA$404,55,FALSE)-VLOOKUP($A251,'01-02.2022'!$A$6:$DA$376,55,FALSE)</f>
        <v>0</v>
      </c>
      <c r="BD251" s="55">
        <f t="shared" si="255"/>
        <v>0</v>
      </c>
      <c r="BE251" s="566">
        <f>VLOOKUP($A251,'01-02.2021'!$A$6:$CZ$403,57,FALSE)+VLOOKUP($A251,'1.3.21-28.2.22'!$A$6:$DA$404,57,FALSE)-VLOOKUP($A251,'01-02.2022'!$A$6:$DA$376,57,FALSE)</f>
        <v>0</v>
      </c>
      <c r="BF251" s="566">
        <f>VLOOKUP($A251,'01-02.2021'!$A$6:$CZ$403,58,FALSE)+VLOOKUP($A251,'1.3.21-28.2.22'!$A$6:$DA$404,58,FALSE)-VLOOKUP($A251,'01-02.2022'!$A$6:$DA$376,58,FALSE)</f>
        <v>0</v>
      </c>
      <c r="BG251" s="55">
        <f t="shared" si="256"/>
        <v>0</v>
      </c>
      <c r="BH251" s="566">
        <f>VLOOKUP($A251,'01-02.2021'!$A$6:$CZ$403,60,FALSE)+VLOOKUP($A251,'1.3.21-28.2.22'!$A$6:$DA$404,60,FALSE)-VLOOKUP($A251,'01-02.2022'!$A$6:$DA$376,60,FALSE)</f>
        <v>0</v>
      </c>
      <c r="BI251" s="566">
        <f>VLOOKUP($A251,'01-02.2021'!$A$6:$CZ$403,61,FALSE)+VLOOKUP($A251,'1.3.21-28.2.22'!$A$6:$DA$404,61,FALSE)-VLOOKUP($A251,'01-02.2022'!$A$6:$DA$376,61,FALSE)</f>
        <v>0</v>
      </c>
      <c r="BJ251" s="55">
        <f t="shared" si="257"/>
        <v>0</v>
      </c>
      <c r="BK251" s="566">
        <f>VLOOKUP($A251,'01-02.2021'!$A$6:$CZ$403,63,FALSE)+VLOOKUP($A251,'1.3.21-28.2.22'!$A$6:$DA$404,63,FALSE)-VLOOKUP($A251,'01-02.2022'!$A$6:$DA$376,63,FALSE)</f>
        <v>0</v>
      </c>
      <c r="BL251" s="566">
        <f>VLOOKUP($A251,'01-02.2021'!$A$6:$CZ$403,64,FALSE)+VLOOKUP($A251,'1.3.21-28.2.22'!$A$6:$DA$404,64,FALSE)-VLOOKUP($A251,'01-02.2022'!$A$6:$DA$376,64,FALSE)</f>
        <v>0</v>
      </c>
      <c r="BM251" s="55">
        <f t="shared" si="258"/>
        <v>0</v>
      </c>
      <c r="BN251" s="566">
        <f>VLOOKUP($A251,'01-02.2021'!$A$6:$CZ$403,66,FALSE)+VLOOKUP($A251,'1.3.21-28.2.22'!$A$6:$DA$404,66,FALSE)-VLOOKUP($A251,'01-02.2022'!$A$6:$DA$376,66,FALSE)</f>
        <v>3.1500000000000004</v>
      </c>
      <c r="BO251" s="566">
        <f>VLOOKUP($A251,'01-02.2021'!$A$6:$CZ$403,67,FALSE)+VLOOKUP($A251,'1.3.21-28.2.22'!$A$6:$DA$404,67,FALSE)-VLOOKUP($A251,'01-02.2022'!$A$6:$DA$376,67,FALSE)</f>
        <v>0</v>
      </c>
      <c r="BP251" s="55">
        <f t="shared" si="259"/>
        <v>-3.1500000000000004</v>
      </c>
      <c r="BQ251" s="77">
        <f t="shared" si="287"/>
        <v>3.1500000000000004</v>
      </c>
      <c r="BR251" s="40">
        <f t="shared" si="289"/>
        <v>0</v>
      </c>
      <c r="BS251" s="55">
        <f t="shared" si="314"/>
        <v>-3.1500000000000004</v>
      </c>
      <c r="BT251" s="566">
        <f>VLOOKUP($A251,'01-02.2021'!$A$6:$CZ$403,72,FALSE)+VLOOKUP($A251,'1.3.21-28.2.22'!$A$6:$DA$404,72,FALSE)-VLOOKUP($A251,'01-02.2022'!$A$6:$DA$376,72,FALSE)</f>
        <v>0</v>
      </c>
      <c r="BU251" s="566">
        <f>VLOOKUP($A251,'01-02.2021'!$A$6:$CZ$403,73,FALSE)+VLOOKUP($A251,'1.3.21-28.2.22'!$A$6:$DA$404,73,FALSE)-VLOOKUP($A251,'01-02.2022'!$A$6:$DA$376,73,FALSE)</f>
        <v>0</v>
      </c>
      <c r="BV251" s="70">
        <f t="shared" si="260"/>
        <v>0</v>
      </c>
      <c r="BW251" s="566">
        <f>VLOOKUP($A251,'01-02.2021'!$A$6:$CZ$403,75,FALSE)+VLOOKUP($A251,'1.3.21-28.2.22'!$A$6:$DA$404,75,FALSE)-VLOOKUP($A251,'01-02.2022'!$A$6:$DA$376,75,FALSE)</f>
        <v>0</v>
      </c>
      <c r="BX251" s="566">
        <f>VLOOKUP($A251,'01-02.2021'!$A$6:$CZ$403,76,FALSE)+VLOOKUP($A251,'1.3.21-28.2.22'!$A$6:$DA$404,76,FALSE)-VLOOKUP($A251,'01-02.2022'!$A$6:$DA$376,76,FALSE)</f>
        <v>1.4119302074227922</v>
      </c>
      <c r="BY251" s="70">
        <f t="shared" si="261"/>
        <v>1.4119302074227922</v>
      </c>
      <c r="BZ251" s="566">
        <f>VLOOKUP($A251,'01-02.2021'!$A$6:$CZ$403,78,FALSE)+VLOOKUP($A251,'1.3.21-28.2.22'!$A$6:$DA$404,78,FALSE)-VLOOKUP($A251,'01-02.2022'!$A$6:$DA$376,78,FALSE)</f>
        <v>0</v>
      </c>
      <c r="CA251" s="566">
        <f>VLOOKUP($A251,'01-02.2021'!$A$6:$CZ$403,79,FALSE)+VLOOKUP($A251,'1.3.21-28.2.22'!$A$6:$DA$404,79,FALSE)-VLOOKUP($A251,'01-02.2022'!$A$6:$DA$376,79,FALSE)</f>
        <v>0</v>
      </c>
      <c r="CB251" s="70">
        <f t="shared" si="262"/>
        <v>0</v>
      </c>
      <c r="CC251" s="566">
        <f>VLOOKUP($A251,'01-02.2021'!$A$6:$CZ$403,81,FALSE)+VLOOKUP($A251,'1.3.21-28.2.22'!$A$6:$DA$404,81,FALSE)-VLOOKUP($A251,'01-02.2022'!$A$6:$DA$376,81,FALSE)</f>
        <v>0</v>
      </c>
      <c r="CD251" s="566">
        <f>VLOOKUP($A251,'01-02.2021'!$A$6:$CZ$403,82,FALSE)+VLOOKUP($A251,'1.3.21-28.2.22'!$A$6:$DA$404,82,FALSE)-VLOOKUP($A251,'01-02.2022'!$A$6:$DA$376,82,FALSE)</f>
        <v>0</v>
      </c>
      <c r="CE251" s="70">
        <f t="shared" si="263"/>
        <v>0</v>
      </c>
      <c r="CF251" s="566">
        <f>VLOOKUP($A251,'01-02.2021'!$A$6:$CZ$403,84,FALSE)+VLOOKUP($A251,'1.3.21-28.2.22'!$A$6:$DA$404,84,FALSE)-VLOOKUP($A251,'01-02.2022'!$A$6:$DA$376,84,FALSE)</f>
        <v>0</v>
      </c>
      <c r="CG251" s="566">
        <f>VLOOKUP($A251,'01-02.2021'!$A$6:$CZ$403,85,FALSE)+VLOOKUP($A251,'1.3.21-28.2.22'!$A$6:$DA$404,85,FALSE)-VLOOKUP($A251,'01-02.2022'!$A$6:$DA$376,85,FALSE)</f>
        <v>0</v>
      </c>
      <c r="CH251" s="70">
        <f t="shared" si="264"/>
        <v>0</v>
      </c>
      <c r="CI251" s="566">
        <f>VLOOKUP($A251,'01-02.2021'!$A$6:$CZ$403,87,FALSE)+VLOOKUP($A251,'1.3.21-28.2.22'!$A$6:$DA$404,87,FALSE)-VLOOKUP($A251,'01-02.2022'!$A$6:$DA$376,87,FALSE)</f>
        <v>0</v>
      </c>
      <c r="CJ251" s="566">
        <f>VLOOKUP($A251,'01-02.2021'!$A$6:$CZ$403,88,FALSE)+VLOOKUP($A251,'1.3.21-28.2.22'!$A$6:$DA$404,88,FALSE)-VLOOKUP($A251,'01-02.2022'!$A$6:$DA$376,88,FALSE)</f>
        <v>0</v>
      </c>
      <c r="CK251" s="70">
        <f t="shared" si="265"/>
        <v>0</v>
      </c>
      <c r="CL251" s="566">
        <f>VLOOKUP($A251,'01-02.2021'!$A$6:$CZ$403,90,FALSE)+VLOOKUP($A251,'1.3.21-28.2.22'!$A$6:$DA$404,90,FALSE)-VLOOKUP($A251,'01-02.2022'!$A$6:$DA$376,90,FALSE)</f>
        <v>0</v>
      </c>
      <c r="CM251" s="566">
        <f>VLOOKUP($A251,'01-02.2021'!$A$6:$CZ$403,91,FALSE)+VLOOKUP($A251,'1.3.21-28.2.22'!$A$6:$DA$404,91,FALSE)-VLOOKUP($A251,'01-02.2022'!$A$6:$DA$376,91,FALSE)</f>
        <v>0</v>
      </c>
      <c r="CN251" s="52">
        <f t="shared" si="303"/>
        <v>0</v>
      </c>
      <c r="CO251" s="39">
        <f t="shared" si="298"/>
        <v>0</v>
      </c>
      <c r="CP251" s="40">
        <f t="shared" si="304"/>
        <v>0</v>
      </c>
      <c r="CQ251" s="52">
        <f t="shared" si="305"/>
        <v>0</v>
      </c>
      <c r="CR251" s="72">
        <f t="shared" si="299"/>
        <v>1275.7617509637512</v>
      </c>
      <c r="CS251" s="5">
        <f t="shared" si="299"/>
        <v>512.57271823414953</v>
      </c>
      <c r="CT251" s="52">
        <f t="shared" si="306"/>
        <v>-763.18903272960165</v>
      </c>
      <c r="CU251" s="77">
        <f t="shared" si="307"/>
        <v>1530.9141011565014</v>
      </c>
      <c r="CV251" s="65">
        <f t="shared" si="308"/>
        <v>615.08726188097944</v>
      </c>
      <c r="CW251" s="35">
        <f t="shared" si="309"/>
        <v>-915.82683927552193</v>
      </c>
      <c r="CX251" s="566">
        <f>VLOOKUP($A251,'01-02.2021'!$A$6:$CZ$403,102,FALSE)+VLOOKUP($A251,'1.3.21-28.2.22'!$A$6:$DA$404,102,FALSE)-VLOOKUP($A251,'01-02.2022'!$A$6:$DA$376,102,FALSE)</f>
        <v>28.393875087634374</v>
      </c>
      <c r="CY251" s="566">
        <f>VLOOKUP($A251,'01-02.2021'!$A$6:$CZ$403,103,FALSE)+VLOOKUP($A251,'1.3.21-28.2.22'!$A$6:$DA$404,103,FALSE)-VLOOKUP($A251,'01-02.2022'!$A$6:$DA$376,103,FALSE)</f>
        <v>944.22071436315696</v>
      </c>
      <c r="CZ251" s="52">
        <f t="shared" si="310"/>
        <v>915.82683927552262</v>
      </c>
      <c r="DA251" s="150">
        <f>'[2]побудинковий звіт'!DA251</f>
        <v>-2901.5646149832055</v>
      </c>
      <c r="DB251" s="2">
        <v>2</v>
      </c>
      <c r="DC251" s="414">
        <f>'[4]побудинковий звіт'!DC251</f>
        <v>56.62</v>
      </c>
      <c r="DD251" s="414">
        <f>'[4]побудинковий звіт'!DD251</f>
        <v>0</v>
      </c>
      <c r="DE251" s="557">
        <f>'[4]побудинковий звіт'!DE251</f>
        <v>-84.939492772547851</v>
      </c>
      <c r="DF251" s="557">
        <f>'[4]побудинковий звіт'!DF251</f>
        <v>0</v>
      </c>
      <c r="DG251" s="321">
        <f>VLOOKUP(A251,'кошти 01.03.2021'!$A$6:$D$401,4,)</f>
        <v>-1895.7123087686632</v>
      </c>
      <c r="DH251" s="40">
        <f>'[3]побудинковий звіт'!DJ251</f>
        <v>1614.2458359371258</v>
      </c>
      <c r="DI251" s="422">
        <f>'[3]побудинковий звіт'!CU251+'[3]побудинковий звіт'!CX251</f>
        <v>141.55949277254786</v>
      </c>
      <c r="DJ251" s="306">
        <f>'[3]побудинковий звіт'!DM251</f>
        <v>2.2469760757547279</v>
      </c>
      <c r="DK251" s="306">
        <f t="shared" si="311"/>
        <v>2.2469760757547279</v>
      </c>
      <c r="DL251" s="306">
        <f>'[3]побудинковий звіт'!DO251</f>
        <v>2.2469760757547279</v>
      </c>
      <c r="DM251" s="28">
        <f t="shared" si="312"/>
        <v>141.55949277254786</v>
      </c>
      <c r="DN251" s="28">
        <f t="shared" si="313"/>
        <v>0</v>
      </c>
      <c r="DO251" s="423">
        <f t="shared" si="238"/>
        <v>141.55949277254786</v>
      </c>
      <c r="DP251" s="94">
        <f t="shared" si="239"/>
        <v>0</v>
      </c>
      <c r="DQ251" s="28">
        <f t="shared" si="240"/>
        <v>141.55949277254786</v>
      </c>
      <c r="DR251" s="318"/>
      <c r="DT251" s="8"/>
      <c r="DU251" s="5"/>
      <c r="DX251" s="5">
        <f t="shared" si="241"/>
        <v>1089.9784811035072</v>
      </c>
      <c r="DY251" s="5">
        <f t="shared" si="242"/>
        <v>0</v>
      </c>
      <c r="DZ251" s="159">
        <f>'[3]побудинковий звіт'!EA251</f>
        <v>113.14896348573836</v>
      </c>
    </row>
    <row r="252" spans="1:130" x14ac:dyDescent="0.3">
      <c r="A252" s="325">
        <v>150001049</v>
      </c>
      <c r="B252" s="41" t="s">
        <v>699</v>
      </c>
      <c r="C252" s="42" t="s">
        <v>181</v>
      </c>
      <c r="D252" s="42"/>
      <c r="E252" s="293">
        <f t="shared" si="296"/>
        <v>253.7</v>
      </c>
      <c r="F252" s="305">
        <f>'[3]побудинковий звіт'!F252</f>
        <v>253.7</v>
      </c>
      <c r="G252" s="508">
        <f>'[3]побудинковий звіт'!G252</f>
        <v>0</v>
      </c>
      <c r="H252" s="560">
        <f>'[3]побудинковий звіт'!H252</f>
        <v>0</v>
      </c>
      <c r="I252" s="566">
        <f>VLOOKUP($A252,'01-02.2021'!$A$6:$CZ$403,9,FALSE)+VLOOKUP($A252,'1.3.21-28.2.22'!$A$6:$DA$404,9,FALSE)-VLOOKUP($A252,'01-02.2022'!$A$6:$DA$376,9,FALSE)</f>
        <v>879.92406704364885</v>
      </c>
      <c r="J252" s="566">
        <f>VLOOKUP($A252,'01-02.2021'!$A$6:$CZ$403,10,FALSE)+VLOOKUP($A252,'1.3.21-28.2.22'!$A$6:$DA$404,10,FALSE)-VLOOKUP($A252,'01-02.2022'!$A$6:$DA$376,10,FALSE)</f>
        <v>978.30994305771469</v>
      </c>
      <c r="K252" s="52">
        <f t="shared" si="300"/>
        <v>98.385876014065843</v>
      </c>
      <c r="L252" s="566">
        <f>VLOOKUP($A252,'01-02.2021'!$A$6:$CZ$403,12,FALSE)+VLOOKUP($A252,'1.3.21-28.2.22'!$A$6:$DA$404,12,FALSE)-VLOOKUP($A252,'01-02.2022'!$A$6:$DA$376,12,FALSE)</f>
        <v>225.68309830402643</v>
      </c>
      <c r="M252" s="566">
        <f>VLOOKUP($A252,'01-02.2021'!$A$6:$CZ$403,13,FALSE)+VLOOKUP($A252,'1.3.21-28.2.22'!$A$6:$DA$404,13,FALSE)-VLOOKUP($A252,'01-02.2022'!$A$6:$DA$376,13,FALSE)</f>
        <v>248.48804730765715</v>
      </c>
      <c r="N252" s="52">
        <f t="shared" si="301"/>
        <v>22.804949003630725</v>
      </c>
      <c r="O252" s="566">
        <f>VLOOKUP($A252,'01-02.2021'!$A$6:$CZ$403,15,FALSE)+VLOOKUP($A252,'1.3.21-28.2.22'!$A$6:$DA$404,15,FALSE)-VLOOKUP($A252,'01-02.2022'!$A$6:$DA$376,15,FALSE)</f>
        <v>0</v>
      </c>
      <c r="P252" s="566">
        <f>VLOOKUP($A252,'01-02.2021'!$A$6:$CZ$403,16,FALSE)+VLOOKUP($A252,'1.3.21-28.2.22'!$A$6:$DA$404,16,FALSE)-VLOOKUP($A252,'01-02.2022'!$A$6:$DA$376,16,FALSE)</f>
        <v>0</v>
      </c>
      <c r="Q252" s="70">
        <f t="shared" si="243"/>
        <v>0</v>
      </c>
      <c r="R252" s="566">
        <f>VLOOKUP($A252,'01-02.2021'!$A$6:$CZ$403,18,FALSE)+VLOOKUP($A252,'1.3.21-28.2.22'!$A$6:$DA$404,18,FALSE)-VLOOKUP($A252,'01-02.2022'!$A$6:$DA$376,18,FALSE)</f>
        <v>0</v>
      </c>
      <c r="S252" s="566">
        <f>VLOOKUP($A252,'01-02.2021'!$A$6:$CZ$403,19,FALSE)+VLOOKUP($A252,'1.3.21-28.2.22'!$A$6:$DA$404,19,FALSE)-VLOOKUP($A252,'01-02.2022'!$A$6:$DA$376,19,FALSE)</f>
        <v>0</v>
      </c>
      <c r="T252" s="70">
        <f t="shared" si="244"/>
        <v>0</v>
      </c>
      <c r="U252" s="566">
        <f>VLOOKUP($A252,'01-02.2021'!$A$6:$CZ$403,21,FALSE)+VLOOKUP($A252,'1.3.21-28.2.22'!$A$6:$DA$404,21,FALSE)-VLOOKUP($A252,'01-02.2022'!$A$6:$DA$376,21,FALSE)</f>
        <v>0</v>
      </c>
      <c r="V252" s="566">
        <f>VLOOKUP($A252,'01-02.2021'!$A$6:$CZ$403,22,FALSE)+VLOOKUP($A252,'1.3.21-28.2.22'!$A$6:$DA$404,22,FALSE)-VLOOKUP($A252,'01-02.2022'!$A$6:$DA$376,22,FALSE)</f>
        <v>0</v>
      </c>
      <c r="W252" s="70">
        <f t="shared" si="245"/>
        <v>0</v>
      </c>
      <c r="X252" s="566">
        <f>VLOOKUP($A252,'01-02.2021'!$A$6:$CZ$403,24,FALSE)+VLOOKUP($A252,'1.3.21-28.2.22'!$A$6:$DA$404,24,FALSE)-VLOOKUP($A252,'01-02.2022'!$A$6:$DA$376,24,FALSE)</f>
        <v>435.62208876238998</v>
      </c>
      <c r="Y252" s="566">
        <f>VLOOKUP($A252,'01-02.2021'!$A$6:$CZ$403,25,FALSE)+VLOOKUP($A252,'1.3.21-28.2.22'!$A$6:$DA$404,25,FALSE)-VLOOKUP($A252,'01-02.2022'!$A$6:$DA$376,25,FALSE)</f>
        <v>503.86219430756302</v>
      </c>
      <c r="Z252" s="70">
        <f t="shared" si="246"/>
        <v>68.240105545173037</v>
      </c>
      <c r="AA252" s="566">
        <f>VLOOKUP($A252,'01-02.2021'!$A$6:$CZ$403,27,FALSE)+VLOOKUP($A252,'1.3.21-28.2.22'!$A$6:$DA$404,27,FALSE)-VLOOKUP($A252,'01-02.2022'!$A$6:$DA$376,27,FALSE)</f>
        <v>50.739999999999995</v>
      </c>
      <c r="AB252" s="566">
        <f>VLOOKUP($A252,'01-02.2021'!$A$6:$CZ$403,28,FALSE)+VLOOKUP($A252,'1.3.21-28.2.22'!$A$6:$DA$404,28,FALSE)-VLOOKUP($A252,'01-02.2022'!$A$6:$DA$376,28,FALSE)</f>
        <v>0</v>
      </c>
      <c r="AC252" s="70">
        <f t="shared" si="247"/>
        <v>-50.739999999999995</v>
      </c>
      <c r="AD252" s="566">
        <f>VLOOKUP($A252,'01-02.2021'!$A$6:$CZ$403,30,FALSE)+VLOOKUP($A252,'1.3.21-28.2.22'!$A$6:$DA$404,30,FALSE)-VLOOKUP($A252,'01-02.2022'!$A$6:$DA$376,30,FALSE)</f>
        <v>1038.9697161843096</v>
      </c>
      <c r="AE252" s="566">
        <f>VLOOKUP($A252,'01-02.2021'!$A$6:$CZ$403,31,FALSE)+VLOOKUP($A252,'1.3.21-28.2.22'!$A$6:$DA$404,31,FALSE)-VLOOKUP($A252,'01-02.2022'!$A$6:$DA$376,31,FALSE)</f>
        <v>1154.8526221439151</v>
      </c>
      <c r="AF252" s="68">
        <f t="shared" si="248"/>
        <v>115.88290595960552</v>
      </c>
      <c r="AG252" s="77">
        <f t="shared" si="297"/>
        <v>2630.9389702943745</v>
      </c>
      <c r="AH252" s="53">
        <f t="shared" si="297"/>
        <v>2885.5128068168497</v>
      </c>
      <c r="AI252" s="52">
        <f t="shared" si="302"/>
        <v>254.57383652247518</v>
      </c>
      <c r="AJ252" s="566">
        <f>VLOOKUP($A252,'01-02.2021'!$A$6:$CZ$403,36,FALSE)+VLOOKUP($A252,'1.3.21-28.2.22'!$A$6:$DA$404,36,FALSE)-VLOOKUP($A252,'01-02.2022'!$A$6:$DA$376,36,FALSE)</f>
        <v>0</v>
      </c>
      <c r="AK252" s="566">
        <f>VLOOKUP($A252,'01-02.2021'!$A$6:$CZ$403,37,FALSE)+VLOOKUP($A252,'1.3.21-28.2.22'!$A$6:$DA$404,37,FALSE)-VLOOKUP($A252,'01-02.2022'!$A$6:$DA$376,37,FALSE)</f>
        <v>0</v>
      </c>
      <c r="AL252" s="70">
        <f t="shared" si="249"/>
        <v>0</v>
      </c>
      <c r="AM252" s="566">
        <f>VLOOKUP($A252,'01-02.2021'!$A$6:$CZ$403,39,FALSE)+VLOOKUP($A252,'1.3.21-28.2.22'!$A$6:$DA$404,39,FALSE)-VLOOKUP($A252,'01-02.2022'!$A$6:$DA$376,39,FALSE)</f>
        <v>0</v>
      </c>
      <c r="AN252" s="566">
        <f>VLOOKUP($A252,'01-02.2021'!$A$6:$CZ$403,40,FALSE)+VLOOKUP($A252,'1.3.21-28.2.22'!$A$6:$DA$404,40,FALSE)-VLOOKUP($A252,'01-02.2022'!$A$6:$DA$376,40,FALSE)</f>
        <v>0</v>
      </c>
      <c r="AO252" s="70">
        <f t="shared" si="250"/>
        <v>0</v>
      </c>
      <c r="AP252" s="566">
        <f>VLOOKUP($A252,'01-02.2021'!$A$6:$CZ$403,42,FALSE)+VLOOKUP($A252,'1.3.21-28.2.22'!$A$6:$DA$404,42,FALSE)-VLOOKUP($A252,'01-02.2022'!$A$6:$DA$376,42,FALSE)</f>
        <v>347.03995000851819</v>
      </c>
      <c r="AQ252" s="566">
        <f>VLOOKUP($A252,'01-02.2021'!$A$6:$CZ$403,43,FALSE)+VLOOKUP($A252,'1.3.21-28.2.22'!$A$6:$DA$404,43,FALSE)-VLOOKUP($A252,'01-02.2022'!$A$6:$DA$376,43,FALSE)</f>
        <v>299.17633281993915</v>
      </c>
      <c r="AR252" s="70">
        <f t="shared" si="251"/>
        <v>-47.863617188579042</v>
      </c>
      <c r="AS252" s="566">
        <f>VLOOKUP($A252,'01-02.2021'!$A$6:$CZ$403,45,FALSE)+VLOOKUP($A252,'1.3.21-28.2.22'!$A$6:$DA$404,45,FALSE)-VLOOKUP($A252,'01-02.2022'!$A$6:$DA$376,45,FALSE)</f>
        <v>3127.7802431837181</v>
      </c>
      <c r="AT252" s="566">
        <f>VLOOKUP($A252,'01-02.2021'!$A$6:$CZ$403,46,FALSE)+VLOOKUP($A252,'1.3.21-28.2.22'!$A$6:$DA$404,46,FALSE)-VLOOKUP($A252,'01-02.2022'!$A$6:$DA$376,46,FALSE)</f>
        <v>7476.3099999999995</v>
      </c>
      <c r="AU252" s="78">
        <f t="shared" si="252"/>
        <v>4348.5297568162814</v>
      </c>
      <c r="AV252" s="566">
        <f>VLOOKUP($A252,'01-02.2021'!$A$6:$CZ$403,48,FALSE)+VLOOKUP($A252,'1.3.21-28.2.22'!$A$6:$DA$404,48,FALSE)-VLOOKUP($A252,'01-02.2022'!$A$6:$DA$376,48,FALSE)</f>
        <v>409.58044425808873</v>
      </c>
      <c r="AW252" s="566">
        <f>VLOOKUP($A252,'01-02.2021'!$A$6:$CZ$403,49,FALSE)+VLOOKUP($A252,'1.3.21-28.2.22'!$A$6:$DA$404,49,FALSE)-VLOOKUP($A252,'01-02.2022'!$A$6:$DA$376,49,FALSE)</f>
        <v>813</v>
      </c>
      <c r="AX252" s="55">
        <f t="shared" si="253"/>
        <v>403.41955574191127</v>
      </c>
      <c r="AY252" s="566">
        <f>VLOOKUP($A252,'01-02.2021'!$A$6:$CZ$403,51,FALSE)+VLOOKUP($A252,'1.3.21-28.2.22'!$A$6:$DA$404,51,FALSE)-VLOOKUP($A252,'01-02.2022'!$A$6:$DA$376,51,FALSE)</f>
        <v>424.04182798252742</v>
      </c>
      <c r="AZ252" s="566">
        <f>VLOOKUP($A252,'01-02.2021'!$A$6:$CZ$403,52,FALSE)+VLOOKUP($A252,'1.3.21-28.2.22'!$A$6:$DA$404,52,FALSE)-VLOOKUP($A252,'01-02.2022'!$A$6:$DA$376,52,FALSE)</f>
        <v>0</v>
      </c>
      <c r="BA252" s="38">
        <f t="shared" si="254"/>
        <v>-424.04182798252742</v>
      </c>
      <c r="BB252" s="566">
        <f>VLOOKUP($A252,'01-02.2021'!$A$6:$CZ$403,54,FALSE)+VLOOKUP($A252,'1.3.21-28.2.22'!$A$6:$DA$404,54,FALSE)-VLOOKUP($A252,'01-02.2022'!$A$6:$DA$376,54,FALSE)</f>
        <v>0</v>
      </c>
      <c r="BC252" s="566">
        <f>VLOOKUP($A252,'01-02.2021'!$A$6:$CZ$403,55,FALSE)+VLOOKUP($A252,'1.3.21-28.2.22'!$A$6:$DA$404,55,FALSE)-VLOOKUP($A252,'01-02.2022'!$A$6:$DA$376,55,FALSE)</f>
        <v>0</v>
      </c>
      <c r="BD252" s="55">
        <f t="shared" si="255"/>
        <v>0</v>
      </c>
      <c r="BE252" s="566">
        <f>VLOOKUP($A252,'01-02.2021'!$A$6:$CZ$403,57,FALSE)+VLOOKUP($A252,'1.3.21-28.2.22'!$A$6:$DA$404,57,FALSE)-VLOOKUP($A252,'01-02.2022'!$A$6:$DA$376,57,FALSE)</f>
        <v>0</v>
      </c>
      <c r="BF252" s="566">
        <f>VLOOKUP($A252,'01-02.2021'!$A$6:$CZ$403,58,FALSE)+VLOOKUP($A252,'1.3.21-28.2.22'!$A$6:$DA$404,58,FALSE)-VLOOKUP($A252,'01-02.2022'!$A$6:$DA$376,58,FALSE)</f>
        <v>0</v>
      </c>
      <c r="BG252" s="55">
        <f t="shared" si="256"/>
        <v>0</v>
      </c>
      <c r="BH252" s="566">
        <f>VLOOKUP($A252,'01-02.2021'!$A$6:$CZ$403,60,FALSE)+VLOOKUP($A252,'1.3.21-28.2.22'!$A$6:$DA$404,60,FALSE)-VLOOKUP($A252,'01-02.2022'!$A$6:$DA$376,60,FALSE)</f>
        <v>0</v>
      </c>
      <c r="BI252" s="566">
        <f>VLOOKUP($A252,'01-02.2021'!$A$6:$CZ$403,61,FALSE)+VLOOKUP($A252,'1.3.21-28.2.22'!$A$6:$DA$404,61,FALSE)-VLOOKUP($A252,'01-02.2022'!$A$6:$DA$376,61,FALSE)</f>
        <v>0</v>
      </c>
      <c r="BJ252" s="55">
        <f t="shared" si="257"/>
        <v>0</v>
      </c>
      <c r="BK252" s="566">
        <f>VLOOKUP($A252,'01-02.2021'!$A$6:$CZ$403,63,FALSE)+VLOOKUP($A252,'1.3.21-28.2.22'!$A$6:$DA$404,63,FALSE)-VLOOKUP($A252,'01-02.2022'!$A$6:$DA$376,63,FALSE)</f>
        <v>52.121213721540514</v>
      </c>
      <c r="BL252" s="566">
        <f>VLOOKUP($A252,'01-02.2021'!$A$6:$CZ$403,64,FALSE)+VLOOKUP($A252,'1.3.21-28.2.22'!$A$6:$DA$404,64,FALSE)-VLOOKUP($A252,'01-02.2022'!$A$6:$DA$376,64,FALSE)</f>
        <v>727</v>
      </c>
      <c r="BM252" s="55">
        <f t="shared" si="258"/>
        <v>674.87878627845953</v>
      </c>
      <c r="BN252" s="566">
        <f>VLOOKUP($A252,'01-02.2021'!$A$6:$CZ$403,66,FALSE)+VLOOKUP($A252,'1.3.21-28.2.22'!$A$6:$DA$404,66,FALSE)-VLOOKUP($A252,'01-02.2022'!$A$6:$DA$376,66,FALSE)</f>
        <v>12.684999999999999</v>
      </c>
      <c r="BO252" s="566">
        <f>VLOOKUP($A252,'01-02.2021'!$A$6:$CZ$403,67,FALSE)+VLOOKUP($A252,'1.3.21-28.2.22'!$A$6:$DA$404,67,FALSE)-VLOOKUP($A252,'01-02.2022'!$A$6:$DA$376,67,FALSE)</f>
        <v>0</v>
      </c>
      <c r="BP252" s="55">
        <f t="shared" si="259"/>
        <v>-12.684999999999999</v>
      </c>
      <c r="BQ252" s="77">
        <f t="shared" si="287"/>
        <v>898.42848596215663</v>
      </c>
      <c r="BR252" s="40">
        <f t="shared" si="289"/>
        <v>1540</v>
      </c>
      <c r="BS252" s="55">
        <f t="shared" si="314"/>
        <v>641.57151403784337</v>
      </c>
      <c r="BT252" s="566">
        <f>VLOOKUP($A252,'01-02.2021'!$A$6:$CZ$403,72,FALSE)+VLOOKUP($A252,'1.3.21-28.2.22'!$A$6:$DA$404,72,FALSE)-VLOOKUP($A252,'01-02.2022'!$A$6:$DA$376,72,FALSE)</f>
        <v>1936.329785516476</v>
      </c>
      <c r="BU252" s="566">
        <f>VLOOKUP($A252,'01-02.2021'!$A$6:$CZ$403,73,FALSE)+VLOOKUP($A252,'1.3.21-28.2.22'!$A$6:$DA$404,73,FALSE)-VLOOKUP($A252,'01-02.2022'!$A$6:$DA$376,73,FALSE)</f>
        <v>3145.2945265437775</v>
      </c>
      <c r="BV252" s="70">
        <f t="shared" si="260"/>
        <v>1208.9647410273014</v>
      </c>
      <c r="BW252" s="566">
        <f>VLOOKUP($A252,'01-02.2021'!$A$6:$CZ$403,75,FALSE)+VLOOKUP($A252,'1.3.21-28.2.22'!$A$6:$DA$404,75,FALSE)-VLOOKUP($A252,'01-02.2022'!$A$6:$DA$376,75,FALSE)</f>
        <v>1828.7081934546218</v>
      </c>
      <c r="BX252" s="566">
        <f>VLOOKUP($A252,'01-02.2021'!$A$6:$CZ$403,76,FALSE)+VLOOKUP($A252,'1.3.21-28.2.22'!$A$6:$DA$404,76,FALSE)-VLOOKUP($A252,'01-02.2022'!$A$6:$DA$376,76,FALSE)</f>
        <v>1959.9851054845089</v>
      </c>
      <c r="BY252" s="70">
        <f t="shared" si="261"/>
        <v>131.27691202988717</v>
      </c>
      <c r="BZ252" s="566">
        <f>VLOOKUP($A252,'01-02.2021'!$A$6:$CZ$403,78,FALSE)+VLOOKUP($A252,'1.3.21-28.2.22'!$A$6:$DA$404,78,FALSE)-VLOOKUP($A252,'01-02.2022'!$A$6:$DA$376,78,FALSE)</f>
        <v>1324.0790102160995</v>
      </c>
      <c r="CA252" s="566">
        <f>VLOOKUP($A252,'01-02.2021'!$A$6:$CZ$403,79,FALSE)+VLOOKUP($A252,'1.3.21-28.2.22'!$A$6:$DA$404,79,FALSE)-VLOOKUP($A252,'01-02.2022'!$A$6:$DA$376,79,FALSE)</f>
        <v>629.51487014965062</v>
      </c>
      <c r="CB252" s="70">
        <f t="shared" si="262"/>
        <v>-694.56414006644889</v>
      </c>
      <c r="CC252" s="566">
        <f>VLOOKUP($A252,'01-02.2021'!$A$6:$CZ$403,81,FALSE)+VLOOKUP($A252,'1.3.21-28.2.22'!$A$6:$DA$404,81,FALSE)-VLOOKUP($A252,'01-02.2022'!$A$6:$DA$376,81,FALSE)</f>
        <v>0</v>
      </c>
      <c r="CD252" s="566">
        <f>VLOOKUP($A252,'01-02.2021'!$A$6:$CZ$403,82,FALSE)+VLOOKUP($A252,'1.3.21-28.2.22'!$A$6:$DA$404,82,FALSE)-VLOOKUP($A252,'01-02.2022'!$A$6:$DA$376,82,FALSE)</f>
        <v>0</v>
      </c>
      <c r="CE252" s="70">
        <f t="shared" si="263"/>
        <v>0</v>
      </c>
      <c r="CF252" s="566">
        <f>VLOOKUP($A252,'01-02.2021'!$A$6:$CZ$403,84,FALSE)+VLOOKUP($A252,'1.3.21-28.2.22'!$A$6:$DA$404,84,FALSE)-VLOOKUP($A252,'01-02.2022'!$A$6:$DA$376,84,FALSE)</f>
        <v>0</v>
      </c>
      <c r="CG252" s="566">
        <f>VLOOKUP($A252,'01-02.2021'!$A$6:$CZ$403,85,FALSE)+VLOOKUP($A252,'1.3.21-28.2.22'!$A$6:$DA$404,85,FALSE)-VLOOKUP($A252,'01-02.2022'!$A$6:$DA$376,85,FALSE)</f>
        <v>0</v>
      </c>
      <c r="CH252" s="70">
        <f t="shared" si="264"/>
        <v>0</v>
      </c>
      <c r="CI252" s="566">
        <f>VLOOKUP($A252,'01-02.2021'!$A$6:$CZ$403,87,FALSE)+VLOOKUP($A252,'1.3.21-28.2.22'!$A$6:$DA$404,87,FALSE)-VLOOKUP($A252,'01-02.2022'!$A$6:$DA$376,87,FALSE)</f>
        <v>975.87626849500066</v>
      </c>
      <c r="CJ252" s="566">
        <f>VLOOKUP($A252,'01-02.2021'!$A$6:$CZ$403,88,FALSE)+VLOOKUP($A252,'1.3.21-28.2.22'!$A$6:$DA$404,88,FALSE)-VLOOKUP($A252,'01-02.2022'!$A$6:$DA$376,88,FALSE)</f>
        <v>926.22462587318648</v>
      </c>
      <c r="CK252" s="70">
        <f t="shared" si="265"/>
        <v>-49.651642621814176</v>
      </c>
      <c r="CL252" s="566">
        <f>VLOOKUP($A252,'01-02.2021'!$A$6:$CZ$403,90,FALSE)+VLOOKUP($A252,'1.3.21-28.2.22'!$A$6:$DA$404,90,FALSE)-VLOOKUP($A252,'01-02.2022'!$A$6:$DA$376,90,FALSE)</f>
        <v>0</v>
      </c>
      <c r="CM252" s="566">
        <f>VLOOKUP($A252,'01-02.2021'!$A$6:$CZ$403,91,FALSE)+VLOOKUP($A252,'1.3.21-28.2.22'!$A$6:$DA$404,91,FALSE)-VLOOKUP($A252,'01-02.2022'!$A$6:$DA$376,91,FALSE)</f>
        <v>0</v>
      </c>
      <c r="CN252" s="52">
        <f t="shared" si="303"/>
        <v>0</v>
      </c>
      <c r="CO252" s="39">
        <f t="shared" si="298"/>
        <v>975.87626849500066</v>
      </c>
      <c r="CP252" s="40">
        <f t="shared" si="304"/>
        <v>926.22462587318648</v>
      </c>
      <c r="CQ252" s="52">
        <f t="shared" si="305"/>
        <v>-49.651642621814176</v>
      </c>
      <c r="CR252" s="72">
        <f t="shared" si="299"/>
        <v>13069.180907130965</v>
      </c>
      <c r="CS252" s="5">
        <f t="shared" si="299"/>
        <v>18862.018267687912</v>
      </c>
      <c r="CT252" s="52">
        <f t="shared" si="306"/>
        <v>5792.8373605569468</v>
      </c>
      <c r="CU252" s="77">
        <f t="shared" si="307"/>
        <v>15683.017088557157</v>
      </c>
      <c r="CV252" s="65">
        <f t="shared" si="308"/>
        <v>22634.421921225494</v>
      </c>
      <c r="CW252" s="35">
        <f t="shared" si="309"/>
        <v>6951.4048326683369</v>
      </c>
      <c r="CX252" s="566">
        <f>VLOOKUP($A252,'01-02.2021'!$A$6:$CZ$403,102,FALSE)+VLOOKUP($A252,'1.3.21-28.2.22'!$A$6:$DA$404,102,FALSE)-VLOOKUP($A252,'01-02.2022'!$A$6:$DA$376,102,FALSE)</f>
        <v>289.98182753615532</v>
      </c>
      <c r="CY252" s="566">
        <f>VLOOKUP($A252,'01-02.2021'!$A$6:$CZ$403,103,FALSE)+VLOOKUP($A252,'1.3.21-28.2.22'!$A$6:$DA$404,103,FALSE)-VLOOKUP($A252,'01-02.2022'!$A$6:$DA$376,103,FALSE)</f>
        <v>-6661.4230051321838</v>
      </c>
      <c r="CZ252" s="52">
        <f t="shared" si="310"/>
        <v>-6951.4048326683387</v>
      </c>
      <c r="DA252" s="150">
        <f>'[2]побудинковий звіт'!DA252</f>
        <v>11854.421974460907</v>
      </c>
      <c r="DB252" s="2">
        <v>2</v>
      </c>
      <c r="DC252" s="414">
        <f>'[4]побудинковий звіт'!DC252</f>
        <v>2177.44</v>
      </c>
      <c r="DD252" s="414">
        <f>'[4]побудинковий звіт'!DD252</f>
        <v>0</v>
      </c>
      <c r="DE252" s="557">
        <f>'[4]побудинковий звіт'!DE252</f>
        <v>724.85246936762542</v>
      </c>
      <c r="DF252" s="557">
        <f>'[4]побудинковий звіт'!DF252</f>
        <v>0</v>
      </c>
      <c r="DG252" s="321">
        <f>VLOOKUP(A252,'кошти 01.03.2021'!$A$6:$D$401,4,)</f>
        <v>5181.9018938450199</v>
      </c>
      <c r="DH252" s="40">
        <f>'[3]побудинковий звіт'!DJ252</f>
        <v>16547.798863724216</v>
      </c>
      <c r="DI252" s="422">
        <f>'[3]побудинковий звіт'!CU252+'[3]побудинковий звіт'!CX252</f>
        <v>1452.5875306323749</v>
      </c>
      <c r="DJ252" s="306">
        <f>'[3]побудинковий звіт'!DM252</f>
        <v>5.7256110785667111</v>
      </c>
      <c r="DK252" s="306">
        <f t="shared" si="311"/>
        <v>5.7256110785667111</v>
      </c>
      <c r="DL252" s="306">
        <f>'[3]побудинковий звіт'!DO252</f>
        <v>4.859066662679175</v>
      </c>
      <c r="DM252" s="28">
        <f t="shared" si="312"/>
        <v>1452.5875306323746</v>
      </c>
      <c r="DN252" s="28">
        <f t="shared" si="313"/>
        <v>0</v>
      </c>
      <c r="DO252" s="423">
        <f t="shared" si="238"/>
        <v>1452.5875306323746</v>
      </c>
      <c r="DP252" s="94">
        <f t="shared" si="239"/>
        <v>0</v>
      </c>
      <c r="DQ252" s="28">
        <f t="shared" si="240"/>
        <v>1452.5875306323746</v>
      </c>
      <c r="DR252" s="318"/>
      <c r="DT252" s="8"/>
      <c r="DU252" s="5"/>
      <c r="DX252" s="5">
        <f t="shared" si="241"/>
        <v>4831.4504749750495</v>
      </c>
      <c r="DY252" s="5">
        <f t="shared" si="242"/>
        <v>10819.571999999998</v>
      </c>
      <c r="DZ252" s="159">
        <f>'[3]побудинковий звіт'!EA252</f>
        <v>421.82543561039563</v>
      </c>
    </row>
    <row r="253" spans="1:130" x14ac:dyDescent="0.3">
      <c r="A253" s="325">
        <v>150001041</v>
      </c>
      <c r="B253" s="41" t="s">
        <v>700</v>
      </c>
      <c r="C253" s="42" t="s">
        <v>197</v>
      </c>
      <c r="D253" s="42"/>
      <c r="E253" s="293">
        <f t="shared" si="296"/>
        <v>601.4</v>
      </c>
      <c r="F253" s="305">
        <f>'[3]побудинковий звіт'!F253</f>
        <v>601.4</v>
      </c>
      <c r="G253" s="508">
        <f>'[3]побудинковий звіт'!G253</f>
        <v>0</v>
      </c>
      <c r="H253" s="560">
        <f>'[3]побудинковий звіт'!H253</f>
        <v>0</v>
      </c>
      <c r="I253" s="566">
        <f>VLOOKUP($A253,'01-02.2021'!$A$6:$CZ$403,9,FALSE)+VLOOKUP($A253,'1.3.21-28.2.22'!$A$6:$DA$404,9,FALSE)-VLOOKUP($A253,'01-02.2022'!$A$6:$DA$376,9,FALSE)</f>
        <v>2305.0029847479209</v>
      </c>
      <c r="J253" s="566">
        <f>VLOOKUP($A253,'01-02.2021'!$A$6:$CZ$403,10,FALSE)+VLOOKUP($A253,'1.3.21-28.2.22'!$A$6:$DA$404,10,FALSE)-VLOOKUP($A253,'01-02.2022'!$A$6:$DA$376,10,FALSE)</f>
        <v>2507.3226754097404</v>
      </c>
      <c r="K253" s="52">
        <f t="shared" si="300"/>
        <v>202.31969066181955</v>
      </c>
      <c r="L253" s="566">
        <f>VLOOKUP($A253,'01-02.2021'!$A$6:$CZ$403,12,FALSE)+VLOOKUP($A253,'1.3.21-28.2.22'!$A$6:$DA$404,12,FALSE)-VLOOKUP($A253,'01-02.2022'!$A$6:$DA$376,12,FALSE)</f>
        <v>358.4610195817757</v>
      </c>
      <c r="M253" s="566">
        <f>VLOOKUP($A253,'01-02.2021'!$A$6:$CZ$403,13,FALSE)+VLOOKUP($A253,'1.3.21-28.2.22'!$A$6:$DA$404,13,FALSE)-VLOOKUP($A253,'01-02.2022'!$A$6:$DA$376,13,FALSE)</f>
        <v>394.67787181886939</v>
      </c>
      <c r="N253" s="52">
        <f t="shared" si="301"/>
        <v>36.21685223709369</v>
      </c>
      <c r="O253" s="566">
        <f>VLOOKUP($A253,'01-02.2021'!$A$6:$CZ$403,15,FALSE)+VLOOKUP($A253,'1.3.21-28.2.22'!$A$6:$DA$404,15,FALSE)-VLOOKUP($A253,'01-02.2022'!$A$6:$DA$376,15,FALSE)</f>
        <v>824.02893348736643</v>
      </c>
      <c r="P253" s="566">
        <f>VLOOKUP($A253,'01-02.2021'!$A$6:$CZ$403,16,FALSE)+VLOOKUP($A253,'1.3.21-28.2.22'!$A$6:$DA$404,16,FALSE)-VLOOKUP($A253,'01-02.2022'!$A$6:$DA$376,16,FALSE)</f>
        <v>824.01999999999975</v>
      </c>
      <c r="Q253" s="70">
        <f t="shared" si="243"/>
        <v>-8.933487366675763E-3</v>
      </c>
      <c r="R253" s="566">
        <f>VLOOKUP($A253,'01-02.2021'!$A$6:$CZ$403,18,FALSE)+VLOOKUP($A253,'1.3.21-28.2.22'!$A$6:$DA$404,18,FALSE)-VLOOKUP($A253,'01-02.2022'!$A$6:$DA$376,18,FALSE)</f>
        <v>0</v>
      </c>
      <c r="S253" s="566">
        <f>VLOOKUP($A253,'01-02.2021'!$A$6:$CZ$403,19,FALSE)+VLOOKUP($A253,'1.3.21-28.2.22'!$A$6:$DA$404,19,FALSE)-VLOOKUP($A253,'01-02.2022'!$A$6:$DA$376,19,FALSE)</f>
        <v>0</v>
      </c>
      <c r="T253" s="70">
        <f t="shared" si="244"/>
        <v>0</v>
      </c>
      <c r="U253" s="566">
        <f>VLOOKUP($A253,'01-02.2021'!$A$6:$CZ$403,21,FALSE)+VLOOKUP($A253,'1.3.21-28.2.22'!$A$6:$DA$404,21,FALSE)-VLOOKUP($A253,'01-02.2022'!$A$6:$DA$376,21,FALSE)</f>
        <v>0</v>
      </c>
      <c r="V253" s="566">
        <f>VLOOKUP($A253,'01-02.2021'!$A$6:$CZ$403,22,FALSE)+VLOOKUP($A253,'1.3.21-28.2.22'!$A$6:$DA$404,22,FALSE)-VLOOKUP($A253,'01-02.2022'!$A$6:$DA$376,22,FALSE)</f>
        <v>0</v>
      </c>
      <c r="W253" s="70">
        <f t="shared" si="245"/>
        <v>0</v>
      </c>
      <c r="X253" s="566">
        <f>VLOOKUP($A253,'01-02.2021'!$A$6:$CZ$403,24,FALSE)+VLOOKUP($A253,'1.3.21-28.2.22'!$A$6:$DA$404,24,FALSE)-VLOOKUP($A253,'01-02.2022'!$A$6:$DA$376,24,FALSE)</f>
        <v>1122.358887470589</v>
      </c>
      <c r="Y253" s="566">
        <f>VLOOKUP($A253,'01-02.2021'!$A$6:$CZ$403,25,FALSE)+VLOOKUP($A253,'1.3.21-28.2.22'!$A$6:$DA$404,25,FALSE)-VLOOKUP($A253,'01-02.2022'!$A$6:$DA$376,25,FALSE)</f>
        <v>722.63457495793887</v>
      </c>
      <c r="Z253" s="70">
        <f t="shared" si="246"/>
        <v>-399.72431251265016</v>
      </c>
      <c r="AA253" s="566">
        <f>VLOOKUP($A253,'01-02.2021'!$A$6:$CZ$403,27,FALSE)+VLOOKUP($A253,'1.3.21-28.2.22'!$A$6:$DA$404,27,FALSE)-VLOOKUP($A253,'01-02.2022'!$A$6:$DA$376,27,FALSE)</f>
        <v>120.28</v>
      </c>
      <c r="AB253" s="566">
        <f>VLOOKUP($A253,'01-02.2021'!$A$6:$CZ$403,28,FALSE)+VLOOKUP($A253,'1.3.21-28.2.22'!$A$6:$DA$404,28,FALSE)-VLOOKUP($A253,'01-02.2022'!$A$6:$DA$376,28,FALSE)</f>
        <v>0</v>
      </c>
      <c r="AC253" s="70">
        <f t="shared" si="247"/>
        <v>-120.28</v>
      </c>
      <c r="AD253" s="566">
        <f>VLOOKUP($A253,'01-02.2021'!$A$6:$CZ$403,30,FALSE)+VLOOKUP($A253,'1.3.21-28.2.22'!$A$6:$DA$404,30,FALSE)-VLOOKUP($A253,'01-02.2022'!$A$6:$DA$376,30,FALSE)</f>
        <v>2583.1475216123868</v>
      </c>
      <c r="AE253" s="566">
        <f>VLOOKUP($A253,'01-02.2021'!$A$6:$CZ$403,31,FALSE)+VLOOKUP($A253,'1.3.21-28.2.22'!$A$6:$DA$404,31,FALSE)-VLOOKUP($A253,'01-02.2022'!$A$6:$DA$376,31,FALSE)</f>
        <v>2737.5970317593633</v>
      </c>
      <c r="AF253" s="68">
        <f t="shared" si="248"/>
        <v>154.44951014697654</v>
      </c>
      <c r="AG253" s="77">
        <f t="shared" si="297"/>
        <v>7313.2793469000389</v>
      </c>
      <c r="AH253" s="53">
        <f t="shared" si="297"/>
        <v>7186.2521539459121</v>
      </c>
      <c r="AI253" s="52">
        <f t="shared" si="302"/>
        <v>-127.0271929541268</v>
      </c>
      <c r="AJ253" s="566">
        <f>VLOOKUP($A253,'01-02.2021'!$A$6:$CZ$403,36,FALSE)+VLOOKUP($A253,'1.3.21-28.2.22'!$A$6:$DA$404,36,FALSE)-VLOOKUP($A253,'01-02.2022'!$A$6:$DA$376,36,FALSE)</f>
        <v>0</v>
      </c>
      <c r="AK253" s="566">
        <f>VLOOKUP($A253,'01-02.2021'!$A$6:$CZ$403,37,FALSE)+VLOOKUP($A253,'1.3.21-28.2.22'!$A$6:$DA$404,37,FALSE)-VLOOKUP($A253,'01-02.2022'!$A$6:$DA$376,37,FALSE)</f>
        <v>0</v>
      </c>
      <c r="AL253" s="70">
        <f t="shared" si="249"/>
        <v>0</v>
      </c>
      <c r="AM253" s="566">
        <f>VLOOKUP($A253,'01-02.2021'!$A$6:$CZ$403,39,FALSE)+VLOOKUP($A253,'1.3.21-28.2.22'!$A$6:$DA$404,39,FALSE)-VLOOKUP($A253,'01-02.2022'!$A$6:$DA$376,39,FALSE)</f>
        <v>0</v>
      </c>
      <c r="AN253" s="566">
        <f>VLOOKUP($A253,'01-02.2021'!$A$6:$CZ$403,40,FALSE)+VLOOKUP($A253,'1.3.21-28.2.22'!$A$6:$DA$404,40,FALSE)-VLOOKUP($A253,'01-02.2022'!$A$6:$DA$376,40,FALSE)</f>
        <v>0</v>
      </c>
      <c r="AO253" s="70">
        <f t="shared" si="250"/>
        <v>0</v>
      </c>
      <c r="AP253" s="566">
        <f>VLOOKUP($A253,'01-02.2021'!$A$6:$CZ$403,42,FALSE)+VLOOKUP($A253,'1.3.21-28.2.22'!$A$6:$DA$404,42,FALSE)-VLOOKUP($A253,'01-02.2022'!$A$6:$DA$376,42,FALSE)</f>
        <v>1561.6797750383319</v>
      </c>
      <c r="AQ253" s="566">
        <f>VLOOKUP($A253,'01-02.2021'!$A$6:$CZ$403,43,FALSE)+VLOOKUP($A253,'1.3.21-28.2.22'!$A$6:$DA$404,43,FALSE)-VLOOKUP($A253,'01-02.2022'!$A$6:$DA$376,43,FALSE)</f>
        <v>1180.3327629650462</v>
      </c>
      <c r="AR253" s="70">
        <f t="shared" si="251"/>
        <v>-381.34701207328567</v>
      </c>
      <c r="AS253" s="566">
        <f>VLOOKUP($A253,'01-02.2021'!$A$6:$CZ$403,45,FALSE)+VLOOKUP($A253,'1.3.21-28.2.22'!$A$6:$DA$404,45,FALSE)-VLOOKUP($A253,'01-02.2022'!$A$6:$DA$376,45,FALSE)</f>
        <v>6520.1453697995257</v>
      </c>
      <c r="AT253" s="566">
        <f>VLOOKUP($A253,'01-02.2021'!$A$6:$CZ$403,46,FALSE)+VLOOKUP($A253,'1.3.21-28.2.22'!$A$6:$DA$404,46,FALSE)-VLOOKUP($A253,'01-02.2022'!$A$6:$DA$376,46,FALSE)</f>
        <v>2101</v>
      </c>
      <c r="AU253" s="78">
        <f t="shared" si="252"/>
        <v>-4419.1453697995257</v>
      </c>
      <c r="AV253" s="566">
        <f>VLOOKUP($A253,'01-02.2021'!$A$6:$CZ$403,48,FALSE)+VLOOKUP($A253,'1.3.21-28.2.22'!$A$6:$DA$404,48,FALSE)-VLOOKUP($A253,'01-02.2022'!$A$6:$DA$376,48,FALSE)</f>
        <v>681.4512166274186</v>
      </c>
      <c r="AW253" s="566">
        <f>VLOOKUP($A253,'01-02.2021'!$A$6:$CZ$403,49,FALSE)+VLOOKUP($A253,'1.3.21-28.2.22'!$A$6:$DA$404,49,FALSE)-VLOOKUP($A253,'01-02.2022'!$A$6:$DA$376,49,FALSE)</f>
        <v>3992</v>
      </c>
      <c r="AX253" s="55">
        <f t="shared" si="253"/>
        <v>3310.5487833725815</v>
      </c>
      <c r="AY253" s="566">
        <f>VLOOKUP($A253,'01-02.2021'!$A$6:$CZ$403,51,FALSE)+VLOOKUP($A253,'1.3.21-28.2.22'!$A$6:$DA$404,51,FALSE)-VLOOKUP($A253,'01-02.2022'!$A$6:$DA$376,51,FALSE)</f>
        <v>673.68313808020844</v>
      </c>
      <c r="AZ253" s="566">
        <f>VLOOKUP($A253,'01-02.2021'!$A$6:$CZ$403,52,FALSE)+VLOOKUP($A253,'1.3.21-28.2.22'!$A$6:$DA$404,52,FALSE)-VLOOKUP($A253,'01-02.2022'!$A$6:$DA$376,52,FALSE)</f>
        <v>0</v>
      </c>
      <c r="BA253" s="38">
        <f t="shared" si="254"/>
        <v>-673.68313808020844</v>
      </c>
      <c r="BB253" s="566">
        <f>VLOOKUP($A253,'01-02.2021'!$A$6:$CZ$403,54,FALSE)+VLOOKUP($A253,'1.3.21-28.2.22'!$A$6:$DA$404,54,FALSE)-VLOOKUP($A253,'01-02.2022'!$A$6:$DA$376,54,FALSE)</f>
        <v>340.6608315448222</v>
      </c>
      <c r="BC253" s="566">
        <f>VLOOKUP($A253,'01-02.2021'!$A$6:$CZ$403,55,FALSE)+VLOOKUP($A253,'1.3.21-28.2.22'!$A$6:$DA$404,55,FALSE)-VLOOKUP($A253,'01-02.2022'!$A$6:$DA$376,55,FALSE)</f>
        <v>0</v>
      </c>
      <c r="BD253" s="55">
        <f t="shared" si="255"/>
        <v>-340.6608315448222</v>
      </c>
      <c r="BE253" s="566">
        <f>VLOOKUP($A253,'01-02.2021'!$A$6:$CZ$403,57,FALSE)+VLOOKUP($A253,'1.3.21-28.2.22'!$A$6:$DA$404,57,FALSE)-VLOOKUP($A253,'01-02.2022'!$A$6:$DA$376,57,FALSE)</f>
        <v>0</v>
      </c>
      <c r="BF253" s="566">
        <f>VLOOKUP($A253,'01-02.2021'!$A$6:$CZ$403,58,FALSE)+VLOOKUP($A253,'1.3.21-28.2.22'!$A$6:$DA$404,58,FALSE)-VLOOKUP($A253,'01-02.2022'!$A$6:$DA$376,58,FALSE)</f>
        <v>0</v>
      </c>
      <c r="BG253" s="55">
        <f t="shared" si="256"/>
        <v>0</v>
      </c>
      <c r="BH253" s="566">
        <f>VLOOKUP($A253,'01-02.2021'!$A$6:$CZ$403,60,FALSE)+VLOOKUP($A253,'1.3.21-28.2.22'!$A$6:$DA$404,60,FALSE)-VLOOKUP($A253,'01-02.2022'!$A$6:$DA$376,60,FALSE)</f>
        <v>0</v>
      </c>
      <c r="BI253" s="566">
        <f>VLOOKUP($A253,'01-02.2021'!$A$6:$CZ$403,61,FALSE)+VLOOKUP($A253,'1.3.21-28.2.22'!$A$6:$DA$404,61,FALSE)-VLOOKUP($A253,'01-02.2022'!$A$6:$DA$376,61,FALSE)</f>
        <v>0</v>
      </c>
      <c r="BJ253" s="55">
        <f t="shared" si="257"/>
        <v>0</v>
      </c>
      <c r="BK253" s="566">
        <f>VLOOKUP($A253,'01-02.2021'!$A$6:$CZ$403,63,FALSE)+VLOOKUP($A253,'1.3.21-28.2.22'!$A$6:$DA$404,63,FALSE)-VLOOKUP($A253,'01-02.2022'!$A$6:$DA$376,63,FALSE)</f>
        <v>96.038475668708571</v>
      </c>
      <c r="BL253" s="566">
        <f>VLOOKUP($A253,'01-02.2021'!$A$6:$CZ$403,64,FALSE)+VLOOKUP($A253,'1.3.21-28.2.22'!$A$6:$DA$404,64,FALSE)-VLOOKUP($A253,'01-02.2022'!$A$6:$DA$376,64,FALSE)</f>
        <v>0</v>
      </c>
      <c r="BM253" s="55">
        <f t="shared" si="258"/>
        <v>-96.038475668708571</v>
      </c>
      <c r="BN253" s="566">
        <f>VLOOKUP($A253,'01-02.2021'!$A$6:$CZ$403,66,FALSE)+VLOOKUP($A253,'1.3.21-28.2.22'!$A$6:$DA$404,66,FALSE)-VLOOKUP($A253,'01-02.2022'!$A$6:$DA$376,66,FALSE)</f>
        <v>30.07</v>
      </c>
      <c r="BO253" s="566">
        <f>VLOOKUP($A253,'01-02.2021'!$A$6:$CZ$403,67,FALSE)+VLOOKUP($A253,'1.3.21-28.2.22'!$A$6:$DA$404,67,FALSE)-VLOOKUP($A253,'01-02.2022'!$A$6:$DA$376,67,FALSE)</f>
        <v>0</v>
      </c>
      <c r="BP253" s="55">
        <f t="shared" si="259"/>
        <v>-30.07</v>
      </c>
      <c r="BQ253" s="77">
        <f t="shared" si="287"/>
        <v>1821.9036619211579</v>
      </c>
      <c r="BR253" s="40">
        <f t="shared" si="289"/>
        <v>3992</v>
      </c>
      <c r="BS253" s="55">
        <f t="shared" si="314"/>
        <v>2170.0963380788421</v>
      </c>
      <c r="BT253" s="566">
        <f>VLOOKUP($A253,'01-02.2021'!$A$6:$CZ$403,72,FALSE)+VLOOKUP($A253,'1.3.21-28.2.22'!$A$6:$DA$404,72,FALSE)-VLOOKUP($A253,'01-02.2022'!$A$6:$DA$376,72,FALSE)</f>
        <v>5430.1222190458775</v>
      </c>
      <c r="BU253" s="566">
        <f>VLOOKUP($A253,'01-02.2021'!$A$6:$CZ$403,73,FALSE)+VLOOKUP($A253,'1.3.21-28.2.22'!$A$6:$DA$404,73,FALSE)-VLOOKUP($A253,'01-02.2022'!$A$6:$DA$376,73,FALSE)</f>
        <v>6472.7046695537338</v>
      </c>
      <c r="BV253" s="70">
        <f t="shared" si="260"/>
        <v>1042.5824505078563</v>
      </c>
      <c r="BW253" s="566">
        <f>VLOOKUP($A253,'01-02.2021'!$A$6:$CZ$403,75,FALSE)+VLOOKUP($A253,'1.3.21-28.2.22'!$A$6:$DA$404,75,FALSE)-VLOOKUP($A253,'01-02.2022'!$A$6:$DA$376,75,FALSE)</f>
        <v>4291.7578121053002</v>
      </c>
      <c r="BX253" s="566">
        <f>VLOOKUP($A253,'01-02.2021'!$A$6:$CZ$403,76,FALSE)+VLOOKUP($A253,'1.3.21-28.2.22'!$A$6:$DA$404,76,FALSE)-VLOOKUP($A253,'01-02.2022'!$A$6:$DA$376,76,FALSE)</f>
        <v>3936.201518371679</v>
      </c>
      <c r="BY253" s="70">
        <f t="shared" si="261"/>
        <v>-355.55629373362126</v>
      </c>
      <c r="BZ253" s="566">
        <f>VLOOKUP($A253,'01-02.2021'!$A$6:$CZ$403,78,FALSE)+VLOOKUP($A253,'1.3.21-28.2.22'!$A$6:$DA$404,78,FALSE)-VLOOKUP($A253,'01-02.2022'!$A$6:$DA$376,78,FALSE)</f>
        <v>1935.4015214180013</v>
      </c>
      <c r="CA253" s="566">
        <f>VLOOKUP($A253,'01-02.2021'!$A$6:$CZ$403,79,FALSE)+VLOOKUP($A253,'1.3.21-28.2.22'!$A$6:$DA$404,79,FALSE)-VLOOKUP($A253,'01-02.2022'!$A$6:$DA$376,79,FALSE)</f>
        <v>2068.2562991894129</v>
      </c>
      <c r="CB253" s="70">
        <f t="shared" si="262"/>
        <v>132.85477777141159</v>
      </c>
      <c r="CC253" s="566">
        <f>VLOOKUP($A253,'01-02.2021'!$A$6:$CZ$403,81,FALSE)+VLOOKUP($A253,'1.3.21-28.2.22'!$A$6:$DA$404,81,FALSE)-VLOOKUP($A253,'01-02.2022'!$A$6:$DA$376,81,FALSE)</f>
        <v>0</v>
      </c>
      <c r="CD253" s="566">
        <f>VLOOKUP($A253,'01-02.2021'!$A$6:$CZ$403,82,FALSE)+VLOOKUP($A253,'1.3.21-28.2.22'!$A$6:$DA$404,82,FALSE)-VLOOKUP($A253,'01-02.2022'!$A$6:$DA$376,82,FALSE)</f>
        <v>0</v>
      </c>
      <c r="CE253" s="70">
        <f t="shared" si="263"/>
        <v>0</v>
      </c>
      <c r="CF253" s="566">
        <f>VLOOKUP($A253,'01-02.2021'!$A$6:$CZ$403,84,FALSE)+VLOOKUP($A253,'1.3.21-28.2.22'!$A$6:$DA$404,84,FALSE)-VLOOKUP($A253,'01-02.2022'!$A$6:$DA$376,84,FALSE)</f>
        <v>0</v>
      </c>
      <c r="CG253" s="566">
        <f>VLOOKUP($A253,'01-02.2021'!$A$6:$CZ$403,85,FALSE)+VLOOKUP($A253,'1.3.21-28.2.22'!$A$6:$DA$404,85,FALSE)-VLOOKUP($A253,'01-02.2022'!$A$6:$DA$376,85,FALSE)</f>
        <v>0</v>
      </c>
      <c r="CH253" s="70">
        <f t="shared" si="264"/>
        <v>0</v>
      </c>
      <c r="CI253" s="566">
        <f>VLOOKUP($A253,'01-02.2021'!$A$6:$CZ$403,87,FALSE)+VLOOKUP($A253,'1.3.21-28.2.22'!$A$6:$DA$404,87,FALSE)-VLOOKUP($A253,'01-02.2022'!$A$6:$DA$376,87,FALSE)</f>
        <v>1108.2762684950007</v>
      </c>
      <c r="CJ253" s="566">
        <f>VLOOKUP($A253,'01-02.2021'!$A$6:$CZ$403,88,FALSE)+VLOOKUP($A253,'1.3.21-28.2.22'!$A$6:$DA$404,88,FALSE)-VLOOKUP($A253,'01-02.2022'!$A$6:$DA$376,88,FALSE)</f>
        <v>377.28050289598468</v>
      </c>
      <c r="CK253" s="70">
        <f t="shared" si="265"/>
        <v>-730.99576559901607</v>
      </c>
      <c r="CL253" s="566">
        <f>VLOOKUP($A253,'01-02.2021'!$A$6:$CZ$403,90,FALSE)+VLOOKUP($A253,'1.3.21-28.2.22'!$A$6:$DA$404,90,FALSE)-VLOOKUP($A253,'01-02.2022'!$A$6:$DA$376,90,FALSE)</f>
        <v>0</v>
      </c>
      <c r="CM253" s="566">
        <f>VLOOKUP($A253,'01-02.2021'!$A$6:$CZ$403,91,FALSE)+VLOOKUP($A253,'1.3.21-28.2.22'!$A$6:$DA$404,91,FALSE)-VLOOKUP($A253,'01-02.2022'!$A$6:$DA$376,91,FALSE)</f>
        <v>0</v>
      </c>
      <c r="CN253" s="52">
        <f t="shared" si="303"/>
        <v>0</v>
      </c>
      <c r="CO253" s="39">
        <f t="shared" si="298"/>
        <v>1108.2762684950007</v>
      </c>
      <c r="CP253" s="40">
        <f t="shared" si="304"/>
        <v>377.28050289598468</v>
      </c>
      <c r="CQ253" s="52">
        <f t="shared" si="305"/>
        <v>-730.99576559901607</v>
      </c>
      <c r="CR253" s="72">
        <f t="shared" si="299"/>
        <v>29982.565974723231</v>
      </c>
      <c r="CS253" s="5">
        <f t="shared" si="299"/>
        <v>27314.027906921769</v>
      </c>
      <c r="CT253" s="52">
        <f t="shared" si="306"/>
        <v>-2668.5380678014626</v>
      </c>
      <c r="CU253" s="77">
        <f t="shared" si="307"/>
        <v>35979.079169667879</v>
      </c>
      <c r="CV253" s="65">
        <f t="shared" si="308"/>
        <v>32776.833488306118</v>
      </c>
      <c r="CW253" s="35">
        <f t="shared" si="309"/>
        <v>-3202.2456813617609</v>
      </c>
      <c r="CX253" s="566">
        <f>VLOOKUP($A253,'01-02.2021'!$A$6:$CZ$403,102,FALSE)+VLOOKUP($A253,'1.3.21-28.2.22'!$A$6:$DA$404,102,FALSE)-VLOOKUP($A253,'01-02.2022'!$A$6:$DA$376,102,FALSE)</f>
        <v>664.94279103404438</v>
      </c>
      <c r="CY253" s="566">
        <f>VLOOKUP($A253,'01-02.2021'!$A$6:$CZ$403,103,FALSE)+VLOOKUP($A253,'1.3.21-28.2.22'!$A$6:$DA$404,103,FALSE)-VLOOKUP($A253,'01-02.2022'!$A$6:$DA$376,103,FALSE)</f>
        <v>3867.1884723958046</v>
      </c>
      <c r="CZ253" s="52">
        <f t="shared" si="310"/>
        <v>3202.24568136176</v>
      </c>
      <c r="DA253" s="150">
        <f>'[2]побудинковий звіт'!DA253</f>
        <v>-3926.6661264579661</v>
      </c>
      <c r="DB253" s="2">
        <v>2</v>
      </c>
      <c r="DC253" s="414">
        <f>'[4]побудинковий звіт'!DC253</f>
        <v>4790.24</v>
      </c>
      <c r="DD253" s="414">
        <f>'[4]побудинковий звіт'!DD253</f>
        <v>0</v>
      </c>
      <c r="DE253" s="557">
        <f>'[4]побудинковий звіт'!DE253</f>
        <v>1456.9359387680552</v>
      </c>
      <c r="DF253" s="557">
        <f>'[4]побудинковий звіт'!DF253</f>
        <v>0</v>
      </c>
      <c r="DG253" s="321">
        <f>VLOOKUP(A253,'кошти 01.03.2021'!$A$6:$D$401,4,)</f>
        <v>2653.0704485994593</v>
      </c>
      <c r="DH253" s="40">
        <f>'[3]побудинковий звіт'!DJ253</f>
        <v>37966.963739029932</v>
      </c>
      <c r="DI253" s="422">
        <f>'[3]побудинковий звіт'!CU253+'[3]побудинковий звіт'!CX253</f>
        <v>3333.3040612319442</v>
      </c>
      <c r="DJ253" s="306">
        <f>'[3]побудинковий звіт'!DM253</f>
        <v>5.5425740958296386</v>
      </c>
      <c r="DK253" s="306">
        <f t="shared" si="311"/>
        <v>5.5425740958296386</v>
      </c>
      <c r="DL253" s="306">
        <f>'[3]побудинковий звіт'!DO253</f>
        <v>4.6944804630737345</v>
      </c>
      <c r="DM253" s="28">
        <f t="shared" si="312"/>
        <v>3333.3040612319446</v>
      </c>
      <c r="DN253" s="28">
        <f t="shared" si="313"/>
        <v>0</v>
      </c>
      <c r="DO253" s="423">
        <f t="shared" si="238"/>
        <v>3333.3040612319446</v>
      </c>
      <c r="DP253" s="94">
        <f t="shared" si="239"/>
        <v>0</v>
      </c>
      <c r="DQ253" s="28">
        <f t="shared" si="240"/>
        <v>3333.3040612319446</v>
      </c>
      <c r="DR253" s="318"/>
      <c r="DT253" s="8"/>
      <c r="DU253" s="5"/>
      <c r="DX253" s="5">
        <f t="shared" si="241"/>
        <v>10010.45883806482</v>
      </c>
      <c r="DY253" s="5">
        <f t="shared" si="242"/>
        <v>7311.5999999999995</v>
      </c>
      <c r="DZ253" s="159">
        <f>'[3]побудинковий звіт'!EA253</f>
        <v>967.73240852079698</v>
      </c>
    </row>
    <row r="254" spans="1:130" x14ac:dyDescent="0.3">
      <c r="A254" s="325">
        <v>150001042</v>
      </c>
      <c r="B254" s="41" t="s">
        <v>701</v>
      </c>
      <c r="C254" s="42" t="s">
        <v>182</v>
      </c>
      <c r="D254" s="42"/>
      <c r="E254" s="293">
        <f t="shared" si="296"/>
        <v>427.1</v>
      </c>
      <c r="F254" s="305">
        <f>'[3]побудинковий звіт'!F254</f>
        <v>427.1</v>
      </c>
      <c r="G254" s="508">
        <f>'[3]побудинковий звіт'!G254</f>
        <v>0</v>
      </c>
      <c r="H254" s="560">
        <f>'[3]побудинковий звіт'!H254</f>
        <v>0</v>
      </c>
      <c r="I254" s="566">
        <f>VLOOKUP($A254,'01-02.2021'!$A$6:$CZ$403,9,FALSE)+VLOOKUP($A254,'1.3.21-28.2.22'!$A$6:$DA$404,9,FALSE)-VLOOKUP($A254,'01-02.2022'!$A$6:$DA$376,9,FALSE)</f>
        <v>2070.9973490727389</v>
      </c>
      <c r="J254" s="566">
        <f>VLOOKUP($A254,'01-02.2021'!$A$6:$CZ$403,10,FALSE)+VLOOKUP($A254,'1.3.21-28.2.22'!$A$6:$DA$404,10,FALSE)-VLOOKUP($A254,'01-02.2022'!$A$6:$DA$376,10,FALSE)</f>
        <v>2230.7618653873933</v>
      </c>
      <c r="K254" s="52">
        <f t="shared" si="300"/>
        <v>159.76451631465443</v>
      </c>
      <c r="L254" s="566">
        <f>VLOOKUP($A254,'01-02.2021'!$A$6:$CZ$403,12,FALSE)+VLOOKUP($A254,'1.3.21-28.2.22'!$A$6:$DA$404,12,FALSE)-VLOOKUP($A254,'01-02.2022'!$A$6:$DA$376,12,FALSE)</f>
        <v>404.82858595138237</v>
      </c>
      <c r="M254" s="566">
        <f>VLOOKUP($A254,'01-02.2021'!$A$6:$CZ$403,13,FALSE)+VLOOKUP($A254,'1.3.21-28.2.22'!$A$6:$DA$404,13,FALSE)-VLOOKUP($A254,'01-02.2022'!$A$6:$DA$376,13,FALSE)</f>
        <v>445.7361291293268</v>
      </c>
      <c r="N254" s="52">
        <f t="shared" si="301"/>
        <v>40.907543177944433</v>
      </c>
      <c r="O254" s="566">
        <f>VLOOKUP($A254,'01-02.2021'!$A$6:$CZ$403,15,FALSE)+VLOOKUP($A254,'1.3.21-28.2.22'!$A$6:$DA$404,15,FALSE)-VLOOKUP($A254,'01-02.2022'!$A$6:$DA$376,15,FALSE)</f>
        <v>565.62693403995002</v>
      </c>
      <c r="P254" s="566">
        <f>VLOOKUP($A254,'01-02.2021'!$A$6:$CZ$403,16,FALSE)+VLOOKUP($A254,'1.3.21-28.2.22'!$A$6:$DA$404,16,FALSE)-VLOOKUP($A254,'01-02.2022'!$A$6:$DA$376,16,FALSE)</f>
        <v>565.71833333333325</v>
      </c>
      <c r="Q254" s="70">
        <f t="shared" si="243"/>
        <v>9.1399293383233271E-2</v>
      </c>
      <c r="R254" s="566">
        <f>VLOOKUP($A254,'01-02.2021'!$A$6:$CZ$403,18,FALSE)+VLOOKUP($A254,'1.3.21-28.2.22'!$A$6:$DA$404,18,FALSE)-VLOOKUP($A254,'01-02.2022'!$A$6:$DA$376,18,FALSE)</f>
        <v>0</v>
      </c>
      <c r="S254" s="566">
        <f>VLOOKUP($A254,'01-02.2021'!$A$6:$CZ$403,19,FALSE)+VLOOKUP($A254,'1.3.21-28.2.22'!$A$6:$DA$404,19,FALSE)-VLOOKUP($A254,'01-02.2022'!$A$6:$DA$376,19,FALSE)</f>
        <v>0</v>
      </c>
      <c r="T254" s="70">
        <f t="shared" si="244"/>
        <v>0</v>
      </c>
      <c r="U254" s="566">
        <f>VLOOKUP($A254,'01-02.2021'!$A$6:$CZ$403,21,FALSE)+VLOOKUP($A254,'1.3.21-28.2.22'!$A$6:$DA$404,21,FALSE)-VLOOKUP($A254,'01-02.2022'!$A$6:$DA$376,21,FALSE)</f>
        <v>0</v>
      </c>
      <c r="V254" s="566">
        <f>VLOOKUP($A254,'01-02.2021'!$A$6:$CZ$403,22,FALSE)+VLOOKUP($A254,'1.3.21-28.2.22'!$A$6:$DA$404,22,FALSE)-VLOOKUP($A254,'01-02.2022'!$A$6:$DA$376,22,FALSE)</f>
        <v>0</v>
      </c>
      <c r="W254" s="70">
        <f t="shared" si="245"/>
        <v>0</v>
      </c>
      <c r="X254" s="566">
        <f>VLOOKUP($A254,'01-02.2021'!$A$6:$CZ$403,24,FALSE)+VLOOKUP($A254,'1.3.21-28.2.22'!$A$6:$DA$404,24,FALSE)-VLOOKUP($A254,'01-02.2022'!$A$6:$DA$376,24,FALSE)</f>
        <v>1030.561537846183</v>
      </c>
      <c r="Y254" s="566">
        <f>VLOOKUP($A254,'01-02.2021'!$A$6:$CZ$403,25,FALSE)+VLOOKUP($A254,'1.3.21-28.2.22'!$A$6:$DA$404,25,FALSE)-VLOOKUP($A254,'01-02.2022'!$A$6:$DA$376,25,FALSE)</f>
        <v>793.90537299240532</v>
      </c>
      <c r="Z254" s="70">
        <f t="shared" si="246"/>
        <v>-236.65616485377768</v>
      </c>
      <c r="AA254" s="566">
        <f>VLOOKUP($A254,'01-02.2021'!$A$6:$CZ$403,27,FALSE)+VLOOKUP($A254,'1.3.21-28.2.22'!$A$6:$DA$404,27,FALSE)-VLOOKUP($A254,'01-02.2022'!$A$6:$DA$376,27,FALSE)</f>
        <v>85.419999999999987</v>
      </c>
      <c r="AB254" s="566">
        <f>VLOOKUP($A254,'01-02.2021'!$A$6:$CZ$403,28,FALSE)+VLOOKUP($A254,'1.3.21-28.2.22'!$A$6:$DA$404,28,FALSE)-VLOOKUP($A254,'01-02.2022'!$A$6:$DA$376,28,FALSE)</f>
        <v>0</v>
      </c>
      <c r="AC254" s="70">
        <f t="shared" si="247"/>
        <v>-85.419999999999987</v>
      </c>
      <c r="AD254" s="566">
        <f>VLOOKUP($A254,'01-02.2021'!$A$6:$CZ$403,30,FALSE)+VLOOKUP($A254,'1.3.21-28.2.22'!$A$6:$DA$404,30,FALSE)-VLOOKUP($A254,'01-02.2022'!$A$6:$DA$376,30,FALSE)</f>
        <v>1834.5135169161988</v>
      </c>
      <c r="AE254" s="566">
        <f>VLOOKUP($A254,'01-02.2021'!$A$6:$CZ$403,31,FALSE)+VLOOKUP($A254,'1.3.21-28.2.22'!$A$6:$DA$404,31,FALSE)-VLOOKUP($A254,'01-02.2022'!$A$6:$DA$376,31,FALSE)</f>
        <v>1944.1764088201271</v>
      </c>
      <c r="AF254" s="68">
        <f t="shared" si="248"/>
        <v>109.66289190392831</v>
      </c>
      <c r="AG254" s="77">
        <f t="shared" si="297"/>
        <v>5991.947923826453</v>
      </c>
      <c r="AH254" s="53">
        <f t="shared" si="297"/>
        <v>5980.2981096625863</v>
      </c>
      <c r="AI254" s="52">
        <f t="shared" si="302"/>
        <v>-11.649814163866722</v>
      </c>
      <c r="AJ254" s="566">
        <f>VLOOKUP($A254,'01-02.2021'!$A$6:$CZ$403,36,FALSE)+VLOOKUP($A254,'1.3.21-28.2.22'!$A$6:$DA$404,36,FALSE)-VLOOKUP($A254,'01-02.2022'!$A$6:$DA$376,36,FALSE)</f>
        <v>0</v>
      </c>
      <c r="AK254" s="566">
        <f>VLOOKUP($A254,'01-02.2021'!$A$6:$CZ$403,37,FALSE)+VLOOKUP($A254,'1.3.21-28.2.22'!$A$6:$DA$404,37,FALSE)-VLOOKUP($A254,'01-02.2022'!$A$6:$DA$376,37,FALSE)</f>
        <v>0</v>
      </c>
      <c r="AL254" s="70">
        <f t="shared" si="249"/>
        <v>0</v>
      </c>
      <c r="AM254" s="566">
        <f>VLOOKUP($A254,'01-02.2021'!$A$6:$CZ$403,39,FALSE)+VLOOKUP($A254,'1.3.21-28.2.22'!$A$6:$DA$404,39,FALSE)-VLOOKUP($A254,'01-02.2022'!$A$6:$DA$376,39,FALSE)</f>
        <v>0</v>
      </c>
      <c r="AN254" s="566">
        <f>VLOOKUP($A254,'01-02.2021'!$A$6:$CZ$403,40,FALSE)+VLOOKUP($A254,'1.3.21-28.2.22'!$A$6:$DA$404,40,FALSE)-VLOOKUP($A254,'01-02.2022'!$A$6:$DA$376,40,FALSE)</f>
        <v>0</v>
      </c>
      <c r="AO254" s="70">
        <f t="shared" si="250"/>
        <v>0</v>
      </c>
      <c r="AP254" s="566">
        <f>VLOOKUP($A254,'01-02.2021'!$A$6:$CZ$403,42,FALSE)+VLOOKUP($A254,'1.3.21-28.2.22'!$A$6:$DA$404,42,FALSE)-VLOOKUP($A254,'01-02.2022'!$A$6:$DA$376,42,FALSE)</f>
        <v>1041.1198500255546</v>
      </c>
      <c r="AQ254" s="566">
        <f>VLOOKUP($A254,'01-02.2021'!$A$6:$CZ$403,43,FALSE)+VLOOKUP($A254,'1.3.21-28.2.22'!$A$6:$DA$404,43,FALSE)-VLOOKUP($A254,'01-02.2022'!$A$6:$DA$376,43,FALSE)</f>
        <v>843.97415553423866</v>
      </c>
      <c r="AR254" s="70">
        <f t="shared" si="251"/>
        <v>-197.14569449131591</v>
      </c>
      <c r="AS254" s="566">
        <f>VLOOKUP($A254,'01-02.2021'!$A$6:$CZ$403,45,FALSE)+VLOOKUP($A254,'1.3.21-28.2.22'!$A$6:$DA$404,45,FALSE)-VLOOKUP($A254,'01-02.2022'!$A$6:$DA$376,45,FALSE)</f>
        <v>4273.0399348189421</v>
      </c>
      <c r="AT254" s="566">
        <f>VLOOKUP($A254,'01-02.2021'!$A$6:$CZ$403,46,FALSE)+VLOOKUP($A254,'1.3.21-28.2.22'!$A$6:$DA$404,46,FALSE)-VLOOKUP($A254,'01-02.2022'!$A$6:$DA$376,46,FALSE)</f>
        <v>76827</v>
      </c>
      <c r="AU254" s="78">
        <f t="shared" si="252"/>
        <v>72553.960065181062</v>
      </c>
      <c r="AV254" s="566">
        <f>VLOOKUP($A254,'01-02.2021'!$A$6:$CZ$403,48,FALSE)+VLOOKUP($A254,'1.3.21-28.2.22'!$A$6:$DA$404,48,FALSE)-VLOOKUP($A254,'01-02.2022'!$A$6:$DA$376,48,FALSE)</f>
        <v>660.39737395944019</v>
      </c>
      <c r="AW254" s="566">
        <f>VLOOKUP($A254,'01-02.2021'!$A$6:$CZ$403,49,FALSE)+VLOOKUP($A254,'1.3.21-28.2.22'!$A$6:$DA$404,49,FALSE)-VLOOKUP($A254,'01-02.2022'!$A$6:$DA$376,49,FALSE)</f>
        <v>0</v>
      </c>
      <c r="AX254" s="55">
        <f t="shared" si="253"/>
        <v>-660.39737395944019</v>
      </c>
      <c r="AY254" s="566">
        <f>VLOOKUP($A254,'01-02.2021'!$A$6:$CZ$403,51,FALSE)+VLOOKUP($A254,'1.3.21-28.2.22'!$A$6:$DA$404,51,FALSE)-VLOOKUP($A254,'01-02.2022'!$A$6:$DA$376,51,FALSE)</f>
        <v>760.96812461646346</v>
      </c>
      <c r="AZ254" s="566">
        <f>VLOOKUP($A254,'01-02.2021'!$A$6:$CZ$403,52,FALSE)+VLOOKUP($A254,'1.3.21-28.2.22'!$A$6:$DA$404,52,FALSE)-VLOOKUP($A254,'01-02.2022'!$A$6:$DA$376,52,FALSE)</f>
        <v>0</v>
      </c>
      <c r="BA254" s="38">
        <f t="shared" si="254"/>
        <v>-760.96812461646346</v>
      </c>
      <c r="BB254" s="566">
        <f>VLOOKUP($A254,'01-02.2021'!$A$6:$CZ$403,54,FALSE)+VLOOKUP($A254,'1.3.21-28.2.22'!$A$6:$DA$404,54,FALSE)-VLOOKUP($A254,'01-02.2022'!$A$6:$DA$376,54,FALSE)</f>
        <v>230.69154643543723</v>
      </c>
      <c r="BC254" s="566">
        <f>VLOOKUP($A254,'01-02.2021'!$A$6:$CZ$403,55,FALSE)+VLOOKUP($A254,'1.3.21-28.2.22'!$A$6:$DA$404,55,FALSE)-VLOOKUP($A254,'01-02.2022'!$A$6:$DA$376,55,FALSE)</f>
        <v>0</v>
      </c>
      <c r="BD254" s="55">
        <f t="shared" si="255"/>
        <v>-230.69154643543723</v>
      </c>
      <c r="BE254" s="566">
        <f>VLOOKUP($A254,'01-02.2021'!$A$6:$CZ$403,57,FALSE)+VLOOKUP($A254,'1.3.21-28.2.22'!$A$6:$DA$404,57,FALSE)-VLOOKUP($A254,'01-02.2022'!$A$6:$DA$376,57,FALSE)</f>
        <v>0</v>
      </c>
      <c r="BF254" s="566">
        <f>VLOOKUP($A254,'01-02.2021'!$A$6:$CZ$403,58,FALSE)+VLOOKUP($A254,'1.3.21-28.2.22'!$A$6:$DA$404,58,FALSE)-VLOOKUP($A254,'01-02.2022'!$A$6:$DA$376,58,FALSE)</f>
        <v>0</v>
      </c>
      <c r="BG254" s="55">
        <f t="shared" si="256"/>
        <v>0</v>
      </c>
      <c r="BH254" s="566">
        <f>VLOOKUP($A254,'01-02.2021'!$A$6:$CZ$403,60,FALSE)+VLOOKUP($A254,'1.3.21-28.2.22'!$A$6:$DA$404,60,FALSE)-VLOOKUP($A254,'01-02.2022'!$A$6:$DA$376,60,FALSE)</f>
        <v>0</v>
      </c>
      <c r="BI254" s="566">
        <f>VLOOKUP($A254,'01-02.2021'!$A$6:$CZ$403,61,FALSE)+VLOOKUP($A254,'1.3.21-28.2.22'!$A$6:$DA$404,61,FALSE)-VLOOKUP($A254,'01-02.2022'!$A$6:$DA$376,61,FALSE)</f>
        <v>0</v>
      </c>
      <c r="BJ254" s="55">
        <f t="shared" si="257"/>
        <v>0</v>
      </c>
      <c r="BK254" s="566">
        <f>VLOOKUP($A254,'01-02.2021'!$A$6:$CZ$403,63,FALSE)+VLOOKUP($A254,'1.3.21-28.2.22'!$A$6:$DA$404,63,FALSE)-VLOOKUP($A254,'01-02.2022'!$A$6:$DA$376,63,FALSE)</f>
        <v>104.41205811104427</v>
      </c>
      <c r="BL254" s="566">
        <f>VLOOKUP($A254,'01-02.2021'!$A$6:$CZ$403,64,FALSE)+VLOOKUP($A254,'1.3.21-28.2.22'!$A$6:$DA$404,64,FALSE)-VLOOKUP($A254,'01-02.2022'!$A$6:$DA$376,64,FALSE)</f>
        <v>0</v>
      </c>
      <c r="BM254" s="55">
        <f t="shared" si="258"/>
        <v>-104.41205811104427</v>
      </c>
      <c r="BN254" s="566">
        <f>VLOOKUP($A254,'01-02.2021'!$A$6:$CZ$403,66,FALSE)+VLOOKUP($A254,'1.3.21-28.2.22'!$A$6:$DA$404,66,FALSE)-VLOOKUP($A254,'01-02.2022'!$A$6:$DA$376,66,FALSE)</f>
        <v>21.354999999999997</v>
      </c>
      <c r="BO254" s="566">
        <f>VLOOKUP($A254,'01-02.2021'!$A$6:$CZ$403,67,FALSE)+VLOOKUP($A254,'1.3.21-28.2.22'!$A$6:$DA$404,67,FALSE)-VLOOKUP($A254,'01-02.2022'!$A$6:$DA$376,67,FALSE)</f>
        <v>0</v>
      </c>
      <c r="BP254" s="55">
        <f t="shared" si="259"/>
        <v>-21.354999999999997</v>
      </c>
      <c r="BQ254" s="77">
        <f t="shared" si="287"/>
        <v>1777.8241031223849</v>
      </c>
      <c r="BR254" s="40">
        <f t="shared" si="289"/>
        <v>0</v>
      </c>
      <c r="BS254" s="55">
        <f t="shared" si="314"/>
        <v>-1777.8241031223849</v>
      </c>
      <c r="BT254" s="566">
        <f>VLOOKUP($A254,'01-02.2021'!$A$6:$CZ$403,72,FALSE)+VLOOKUP($A254,'1.3.21-28.2.22'!$A$6:$DA$404,72,FALSE)-VLOOKUP($A254,'01-02.2022'!$A$6:$DA$376,72,FALSE)</f>
        <v>4843.570349971058</v>
      </c>
      <c r="BU254" s="566">
        <f>VLOOKUP($A254,'01-02.2021'!$A$6:$CZ$403,73,FALSE)+VLOOKUP($A254,'1.3.21-28.2.22'!$A$6:$DA$404,73,FALSE)-VLOOKUP($A254,'01-02.2022'!$A$6:$DA$376,73,FALSE)</f>
        <v>6025.6108191336498</v>
      </c>
      <c r="BV254" s="70">
        <f t="shared" si="260"/>
        <v>1182.0404691625918</v>
      </c>
      <c r="BW254" s="566">
        <f>VLOOKUP($A254,'01-02.2021'!$A$6:$CZ$403,75,FALSE)+VLOOKUP($A254,'1.3.21-28.2.22'!$A$6:$DA$404,75,FALSE)-VLOOKUP($A254,'01-02.2022'!$A$6:$DA$376,75,FALSE)</f>
        <v>3876.0529341663078</v>
      </c>
      <c r="BX254" s="566">
        <f>VLOOKUP($A254,'01-02.2021'!$A$6:$CZ$403,76,FALSE)+VLOOKUP($A254,'1.3.21-28.2.22'!$A$6:$DA$404,76,FALSE)-VLOOKUP($A254,'01-02.2022'!$A$6:$DA$376,76,FALSE)</f>
        <v>3543.8987040003476</v>
      </c>
      <c r="BY254" s="70">
        <f t="shared" si="261"/>
        <v>-332.15423016596014</v>
      </c>
      <c r="BZ254" s="566">
        <f>VLOOKUP($A254,'01-02.2021'!$A$6:$CZ$403,78,FALSE)+VLOOKUP($A254,'1.3.21-28.2.22'!$A$6:$DA$404,78,FALSE)-VLOOKUP($A254,'01-02.2022'!$A$6:$DA$376,78,FALSE)</f>
        <v>1549.8368971946134</v>
      </c>
      <c r="CA254" s="566">
        <f>VLOOKUP($A254,'01-02.2021'!$A$6:$CZ$403,79,FALSE)+VLOOKUP($A254,'1.3.21-28.2.22'!$A$6:$DA$404,79,FALSE)-VLOOKUP($A254,'01-02.2022'!$A$6:$DA$376,79,FALSE)</f>
        <v>1814.6456390181083</v>
      </c>
      <c r="CB254" s="70">
        <f t="shared" si="262"/>
        <v>264.80874182349498</v>
      </c>
      <c r="CC254" s="566">
        <f>VLOOKUP($A254,'01-02.2021'!$A$6:$CZ$403,81,FALSE)+VLOOKUP($A254,'1.3.21-28.2.22'!$A$6:$DA$404,81,FALSE)-VLOOKUP($A254,'01-02.2022'!$A$6:$DA$376,81,FALSE)</f>
        <v>0</v>
      </c>
      <c r="CD254" s="566">
        <f>VLOOKUP($A254,'01-02.2021'!$A$6:$CZ$403,82,FALSE)+VLOOKUP($A254,'1.3.21-28.2.22'!$A$6:$DA$404,82,FALSE)-VLOOKUP($A254,'01-02.2022'!$A$6:$DA$376,82,FALSE)</f>
        <v>0</v>
      </c>
      <c r="CE254" s="70">
        <f t="shared" si="263"/>
        <v>0</v>
      </c>
      <c r="CF254" s="566">
        <f>VLOOKUP($A254,'01-02.2021'!$A$6:$CZ$403,84,FALSE)+VLOOKUP($A254,'1.3.21-28.2.22'!$A$6:$DA$404,84,FALSE)-VLOOKUP($A254,'01-02.2022'!$A$6:$DA$376,84,FALSE)</f>
        <v>0</v>
      </c>
      <c r="CG254" s="566">
        <f>VLOOKUP($A254,'01-02.2021'!$A$6:$CZ$403,85,FALSE)+VLOOKUP($A254,'1.3.21-28.2.22'!$A$6:$DA$404,85,FALSE)-VLOOKUP($A254,'01-02.2022'!$A$6:$DA$376,85,FALSE)</f>
        <v>0</v>
      </c>
      <c r="CH254" s="70">
        <f t="shared" si="264"/>
        <v>0</v>
      </c>
      <c r="CI254" s="566">
        <f>VLOOKUP($A254,'01-02.2021'!$A$6:$CZ$403,87,FALSE)+VLOOKUP($A254,'1.3.21-28.2.22'!$A$6:$DA$404,87,FALSE)-VLOOKUP($A254,'01-02.2022'!$A$6:$DA$376,87,FALSE)</f>
        <v>1296.6391557882762</v>
      </c>
      <c r="CJ254" s="566">
        <f>VLOOKUP($A254,'01-02.2021'!$A$6:$CZ$403,88,FALSE)+VLOOKUP($A254,'1.3.21-28.2.22'!$A$6:$DA$404,88,FALSE)-VLOOKUP($A254,'01-02.2022'!$A$6:$DA$376,88,FALSE)</f>
        <v>992.75112463049595</v>
      </c>
      <c r="CK254" s="70">
        <f t="shared" si="265"/>
        <v>-303.88803115778023</v>
      </c>
      <c r="CL254" s="566">
        <f>VLOOKUP($A254,'01-02.2021'!$A$6:$CZ$403,90,FALSE)+VLOOKUP($A254,'1.3.21-28.2.22'!$A$6:$DA$404,90,FALSE)-VLOOKUP($A254,'01-02.2022'!$A$6:$DA$376,90,FALSE)</f>
        <v>0</v>
      </c>
      <c r="CM254" s="566">
        <f>VLOOKUP($A254,'01-02.2021'!$A$6:$CZ$403,91,FALSE)+VLOOKUP($A254,'1.3.21-28.2.22'!$A$6:$DA$404,91,FALSE)-VLOOKUP($A254,'01-02.2022'!$A$6:$DA$376,91,FALSE)</f>
        <v>0</v>
      </c>
      <c r="CN254" s="52">
        <f t="shared" si="303"/>
        <v>0</v>
      </c>
      <c r="CO254" s="39">
        <f t="shared" si="298"/>
        <v>1296.6391557882762</v>
      </c>
      <c r="CP254" s="40">
        <f t="shared" si="304"/>
        <v>992.75112463049595</v>
      </c>
      <c r="CQ254" s="52">
        <f t="shared" si="305"/>
        <v>-303.88803115778023</v>
      </c>
      <c r="CR254" s="72">
        <f t="shared" si="299"/>
        <v>24650.031148913593</v>
      </c>
      <c r="CS254" s="5">
        <f t="shared" si="299"/>
        <v>96028.178551979421</v>
      </c>
      <c r="CT254" s="52">
        <f t="shared" si="306"/>
        <v>71378.147403065828</v>
      </c>
      <c r="CU254" s="77">
        <f t="shared" si="307"/>
        <v>29580.03737869631</v>
      </c>
      <c r="CV254" s="65">
        <f t="shared" si="308"/>
        <v>115233.81426237531</v>
      </c>
      <c r="CW254" s="35">
        <f t="shared" si="309"/>
        <v>85653.776883679006</v>
      </c>
      <c r="CX254" s="566">
        <f>VLOOKUP($A254,'01-02.2021'!$A$6:$CZ$403,102,FALSE)+VLOOKUP($A254,'1.3.21-28.2.22'!$A$6:$DA$404,102,FALSE)-VLOOKUP($A254,'01-02.2022'!$A$6:$DA$376,102,FALSE)</f>
        <v>547.91841123587506</v>
      </c>
      <c r="CY254" s="566">
        <f>VLOOKUP($A254,'01-02.2021'!$A$6:$CZ$403,103,FALSE)+VLOOKUP($A254,'1.3.21-28.2.22'!$A$6:$DA$404,103,FALSE)-VLOOKUP($A254,'01-02.2022'!$A$6:$DA$376,103,FALSE)</f>
        <v>-85105.858472443113</v>
      </c>
      <c r="CZ254" s="52">
        <f t="shared" si="310"/>
        <v>-85653.776883678991</v>
      </c>
      <c r="DA254" s="150">
        <f>'[2]побудинковий звіт'!DA254</f>
        <v>84355.035260712204</v>
      </c>
      <c r="DB254" s="2">
        <v>2</v>
      </c>
      <c r="DC254" s="414">
        <f>'[4]побудинковий звіт'!DC254</f>
        <v>8358.98</v>
      </c>
      <c r="DD254" s="414">
        <f>'[4]побудинковий звіт'!DD254</f>
        <v>0</v>
      </c>
      <c r="DE254" s="557">
        <f>'[4]побудинковий звіт'!DE254</f>
        <v>5621.8845156394746</v>
      </c>
      <c r="DF254" s="557">
        <f>'[4]побудинковий звіт'!DF254</f>
        <v>0</v>
      </c>
      <c r="DG254" s="321">
        <f>VLOOKUP(A254,'кошти 01.03.2021'!$A$6:$D$401,4,)</f>
        <v>843.28962673188948</v>
      </c>
      <c r="DH254" s="40">
        <f>'[3]побудинковий звіт'!DJ254</f>
        <v>31198.921078289939</v>
      </c>
      <c r="DI254" s="422">
        <f>'[3]побудинковий звіт'!CU254+'[3]побудинковий звіт'!CX254</f>
        <v>2737.0954843605246</v>
      </c>
      <c r="DJ254" s="306">
        <f>'[3]побудинковий звіт'!DM254</f>
        <v>6.4085588488890757</v>
      </c>
      <c r="DK254" s="306">
        <f t="shared" si="311"/>
        <v>6.4085588488890757</v>
      </c>
      <c r="DL254" s="306">
        <f>'[3]побудинковий звіт'!DO254</f>
        <v>5.3301031982827869</v>
      </c>
      <c r="DM254" s="28">
        <f t="shared" si="312"/>
        <v>2737.0954843605246</v>
      </c>
      <c r="DN254" s="28">
        <f t="shared" si="313"/>
        <v>0</v>
      </c>
      <c r="DO254" s="423">
        <f t="shared" si="238"/>
        <v>2737.0954843605246</v>
      </c>
      <c r="DP254" s="94">
        <f t="shared" si="239"/>
        <v>0</v>
      </c>
      <c r="DQ254" s="28">
        <f t="shared" si="240"/>
        <v>2737.0954843605246</v>
      </c>
      <c r="DR254" s="318"/>
      <c r="DT254" s="8"/>
      <c r="DU254" s="5"/>
      <c r="DX254" s="5">
        <f t="shared" si="241"/>
        <v>7261.0368455295929</v>
      </c>
      <c r="DY254" s="5">
        <f t="shared" si="242"/>
        <v>92192.4</v>
      </c>
      <c r="DZ254" s="159">
        <f>'[3]побудинковий звіт'!EA254</f>
        <v>631.83609010045484</v>
      </c>
    </row>
    <row r="255" spans="1:130" x14ac:dyDescent="0.3">
      <c r="A255" s="325">
        <v>150001043</v>
      </c>
      <c r="B255" s="41" t="s">
        <v>702</v>
      </c>
      <c r="C255" s="42" t="s">
        <v>218</v>
      </c>
      <c r="D255" s="42"/>
      <c r="E255" s="293">
        <f t="shared" si="296"/>
        <v>1282.0999999999999</v>
      </c>
      <c r="F255" s="305">
        <f>'[3]побудинковий звіт'!F255</f>
        <v>1282.0999999999999</v>
      </c>
      <c r="G255" s="508">
        <f>'[3]побудинковий звіт'!G255</f>
        <v>0</v>
      </c>
      <c r="H255" s="560">
        <f>'[3]побудинковий звіт'!H255</f>
        <v>0</v>
      </c>
      <c r="I255" s="566">
        <f>VLOOKUP($A255,'01-02.2021'!$A$6:$CZ$403,9,FALSE)+VLOOKUP($A255,'1.3.21-28.2.22'!$A$6:$DA$404,9,FALSE)-VLOOKUP($A255,'01-02.2022'!$A$6:$DA$376,9,FALSE)</f>
        <v>4364.7011483297756</v>
      </c>
      <c r="J255" s="566">
        <f>VLOOKUP($A255,'01-02.2021'!$A$6:$CZ$403,10,FALSE)+VLOOKUP($A255,'1.3.21-28.2.22'!$A$6:$DA$404,10,FALSE)-VLOOKUP($A255,'01-02.2022'!$A$6:$DA$376,10,FALSE)</f>
        <v>4779.5281704555928</v>
      </c>
      <c r="K255" s="52">
        <f t="shared" si="300"/>
        <v>414.82702212581717</v>
      </c>
      <c r="L255" s="566">
        <f>VLOOKUP($A255,'01-02.2021'!$A$6:$CZ$403,12,FALSE)+VLOOKUP($A255,'1.3.21-28.2.22'!$A$6:$DA$404,12,FALSE)-VLOOKUP($A255,'01-02.2022'!$A$6:$DA$376,12,FALSE)</f>
        <v>885.35883585127067</v>
      </c>
      <c r="M255" s="566">
        <f>VLOOKUP($A255,'01-02.2021'!$A$6:$CZ$403,13,FALSE)+VLOOKUP($A255,'1.3.21-28.2.22'!$A$6:$DA$404,13,FALSE)-VLOOKUP($A255,'01-02.2022'!$A$6:$DA$376,13,FALSE)</f>
        <v>974.81010179035036</v>
      </c>
      <c r="N255" s="52">
        <f t="shared" si="301"/>
        <v>89.45126593907969</v>
      </c>
      <c r="O255" s="566">
        <f>VLOOKUP($A255,'01-02.2021'!$A$6:$CZ$403,15,FALSE)+VLOOKUP($A255,'1.3.21-28.2.22'!$A$6:$DA$404,15,FALSE)-VLOOKUP($A255,'01-02.2022'!$A$6:$DA$376,15,FALSE)</f>
        <v>1758.467509366684</v>
      </c>
      <c r="P255" s="566">
        <f>VLOOKUP($A255,'01-02.2021'!$A$6:$CZ$403,16,FALSE)+VLOOKUP($A255,'1.3.21-28.2.22'!$A$6:$DA$404,16,FALSE)-VLOOKUP($A255,'01-02.2022'!$A$6:$DA$376,16,FALSE)</f>
        <v>1758.4700000000005</v>
      </c>
      <c r="Q255" s="70">
        <f t="shared" si="243"/>
        <v>2.4906333164835814E-3</v>
      </c>
      <c r="R255" s="566">
        <f>VLOOKUP($A255,'01-02.2021'!$A$6:$CZ$403,18,FALSE)+VLOOKUP($A255,'1.3.21-28.2.22'!$A$6:$DA$404,18,FALSE)-VLOOKUP($A255,'01-02.2022'!$A$6:$DA$376,18,FALSE)</f>
        <v>0</v>
      </c>
      <c r="S255" s="566">
        <f>VLOOKUP($A255,'01-02.2021'!$A$6:$CZ$403,19,FALSE)+VLOOKUP($A255,'1.3.21-28.2.22'!$A$6:$DA$404,19,FALSE)-VLOOKUP($A255,'01-02.2022'!$A$6:$DA$376,19,FALSE)</f>
        <v>0</v>
      </c>
      <c r="T255" s="70">
        <f t="shared" si="244"/>
        <v>0</v>
      </c>
      <c r="U255" s="566">
        <f>VLOOKUP($A255,'01-02.2021'!$A$6:$CZ$403,21,FALSE)+VLOOKUP($A255,'1.3.21-28.2.22'!$A$6:$DA$404,21,FALSE)-VLOOKUP($A255,'01-02.2022'!$A$6:$DA$376,21,FALSE)</f>
        <v>0</v>
      </c>
      <c r="V255" s="566">
        <f>VLOOKUP($A255,'01-02.2021'!$A$6:$CZ$403,22,FALSE)+VLOOKUP($A255,'1.3.21-28.2.22'!$A$6:$DA$404,22,FALSE)-VLOOKUP($A255,'01-02.2022'!$A$6:$DA$376,22,FALSE)</f>
        <v>0</v>
      </c>
      <c r="W255" s="70">
        <f t="shared" si="245"/>
        <v>0</v>
      </c>
      <c r="X255" s="566">
        <f>VLOOKUP($A255,'01-02.2021'!$A$6:$CZ$403,24,FALSE)+VLOOKUP($A255,'1.3.21-28.2.22'!$A$6:$DA$404,24,FALSE)-VLOOKUP($A255,'01-02.2022'!$A$6:$DA$376,24,FALSE)</f>
        <v>2510.176664692528</v>
      </c>
      <c r="Y255" s="566">
        <f>VLOOKUP($A255,'01-02.2021'!$A$6:$CZ$403,25,FALSE)+VLOOKUP($A255,'1.3.21-28.2.22'!$A$6:$DA$404,25,FALSE)-VLOOKUP($A255,'01-02.2022'!$A$6:$DA$376,25,FALSE)</f>
        <v>1907.3112281037618</v>
      </c>
      <c r="Z255" s="70">
        <f t="shared" si="246"/>
        <v>-602.86543658876622</v>
      </c>
      <c r="AA255" s="566">
        <f>VLOOKUP($A255,'01-02.2021'!$A$6:$CZ$403,27,FALSE)+VLOOKUP($A255,'1.3.21-28.2.22'!$A$6:$DA$404,27,FALSE)-VLOOKUP($A255,'01-02.2022'!$A$6:$DA$376,27,FALSE)</f>
        <v>256.42</v>
      </c>
      <c r="AB255" s="566">
        <f>VLOOKUP($A255,'01-02.2021'!$A$6:$CZ$403,28,FALSE)+VLOOKUP($A255,'1.3.21-28.2.22'!$A$6:$DA$404,28,FALSE)-VLOOKUP($A255,'01-02.2022'!$A$6:$DA$376,28,FALSE)</f>
        <v>0</v>
      </c>
      <c r="AC255" s="70">
        <f t="shared" si="247"/>
        <v>-256.42</v>
      </c>
      <c r="AD255" s="566">
        <f>VLOOKUP($A255,'01-02.2021'!$A$6:$CZ$403,30,FALSE)+VLOOKUP($A255,'1.3.21-28.2.22'!$A$6:$DA$404,30,FALSE)-VLOOKUP($A255,'01-02.2022'!$A$6:$DA$376,30,FALSE)</f>
        <v>5507.0040353458207</v>
      </c>
      <c r="AE255" s="566">
        <f>VLOOKUP($A255,'01-02.2021'!$A$6:$CZ$403,31,FALSE)+VLOOKUP($A255,'1.3.21-28.2.22'!$A$6:$DA$404,31,FALSE)-VLOOKUP($A255,'01-02.2022'!$A$6:$DA$376,31,FALSE)</f>
        <v>5836.1708586941804</v>
      </c>
      <c r="AF255" s="68">
        <f t="shared" si="248"/>
        <v>329.16682334835969</v>
      </c>
      <c r="AG255" s="77">
        <f t="shared" si="297"/>
        <v>15282.128193586079</v>
      </c>
      <c r="AH255" s="53">
        <f t="shared" si="297"/>
        <v>15256.290359043885</v>
      </c>
      <c r="AI255" s="52">
        <f t="shared" si="302"/>
        <v>-25.837834542193377</v>
      </c>
      <c r="AJ255" s="566">
        <f>VLOOKUP($A255,'01-02.2021'!$A$6:$CZ$403,36,FALSE)+VLOOKUP($A255,'1.3.21-28.2.22'!$A$6:$DA$404,36,FALSE)-VLOOKUP($A255,'01-02.2022'!$A$6:$DA$376,36,FALSE)</f>
        <v>0</v>
      </c>
      <c r="AK255" s="566">
        <f>VLOOKUP($A255,'01-02.2021'!$A$6:$CZ$403,37,FALSE)+VLOOKUP($A255,'1.3.21-28.2.22'!$A$6:$DA$404,37,FALSE)-VLOOKUP($A255,'01-02.2022'!$A$6:$DA$376,37,FALSE)</f>
        <v>0</v>
      </c>
      <c r="AL255" s="70">
        <f t="shared" si="249"/>
        <v>0</v>
      </c>
      <c r="AM255" s="566">
        <f>VLOOKUP($A255,'01-02.2021'!$A$6:$CZ$403,39,FALSE)+VLOOKUP($A255,'1.3.21-28.2.22'!$A$6:$DA$404,39,FALSE)-VLOOKUP($A255,'01-02.2022'!$A$6:$DA$376,39,FALSE)</f>
        <v>0</v>
      </c>
      <c r="AN255" s="566">
        <f>VLOOKUP($A255,'01-02.2021'!$A$6:$CZ$403,40,FALSE)+VLOOKUP($A255,'1.3.21-28.2.22'!$A$6:$DA$404,40,FALSE)-VLOOKUP($A255,'01-02.2022'!$A$6:$DA$376,40,FALSE)</f>
        <v>0</v>
      </c>
      <c r="AO255" s="70">
        <f t="shared" si="250"/>
        <v>0</v>
      </c>
      <c r="AP255" s="566">
        <f>VLOOKUP($A255,'01-02.2021'!$A$6:$CZ$403,42,FALSE)+VLOOKUP($A255,'1.3.21-28.2.22'!$A$6:$DA$404,42,FALSE)-VLOOKUP($A255,'01-02.2022'!$A$6:$DA$376,42,FALSE)</f>
        <v>2863.0795875702752</v>
      </c>
      <c r="AQ255" s="566">
        <f>VLOOKUP($A255,'01-02.2021'!$A$6:$CZ$403,43,FALSE)+VLOOKUP($A255,'1.3.21-28.2.22'!$A$6:$DA$404,43,FALSE)-VLOOKUP($A255,'01-02.2022'!$A$6:$DA$376,43,FALSE)</f>
        <v>2249.5718691055631</v>
      </c>
      <c r="AR255" s="70">
        <f t="shared" si="251"/>
        <v>-613.50771846471207</v>
      </c>
      <c r="AS255" s="566">
        <f>VLOOKUP($A255,'01-02.2021'!$A$6:$CZ$403,45,FALSE)+VLOOKUP($A255,'1.3.21-28.2.22'!$A$6:$DA$404,45,FALSE)-VLOOKUP($A255,'01-02.2022'!$A$6:$DA$376,45,FALSE)</f>
        <v>10420.308191640366</v>
      </c>
      <c r="AT255" s="566">
        <f>VLOOKUP($A255,'01-02.2021'!$A$6:$CZ$403,46,FALSE)+VLOOKUP($A255,'1.3.21-28.2.22'!$A$6:$DA$404,46,FALSE)-VLOOKUP($A255,'01-02.2022'!$A$6:$DA$376,46,FALSE)</f>
        <v>20366.689999999999</v>
      </c>
      <c r="AU255" s="78">
        <f t="shared" si="252"/>
        <v>9946.3818083596325</v>
      </c>
      <c r="AV255" s="566">
        <f>VLOOKUP($A255,'01-02.2021'!$A$6:$CZ$403,48,FALSE)+VLOOKUP($A255,'1.3.21-28.2.22'!$A$6:$DA$404,48,FALSE)-VLOOKUP($A255,'01-02.2022'!$A$6:$DA$376,48,FALSE)</f>
        <v>1290.2015197999056</v>
      </c>
      <c r="AW255" s="566">
        <f>VLOOKUP($A255,'01-02.2021'!$A$6:$CZ$403,49,FALSE)+VLOOKUP($A255,'1.3.21-28.2.22'!$A$6:$DA$404,49,FALSE)-VLOOKUP($A255,'01-02.2022'!$A$6:$DA$376,49,FALSE)</f>
        <v>0</v>
      </c>
      <c r="AX255" s="55">
        <f t="shared" si="253"/>
        <v>-1290.2015197999056</v>
      </c>
      <c r="AY255" s="566">
        <f>VLOOKUP($A255,'01-02.2021'!$A$6:$CZ$403,51,FALSE)+VLOOKUP($A255,'1.3.21-28.2.22'!$A$6:$DA$404,51,FALSE)-VLOOKUP($A255,'01-02.2022'!$A$6:$DA$376,51,FALSE)</f>
        <v>1664.1912663100763</v>
      </c>
      <c r="AZ255" s="566">
        <f>VLOOKUP($A255,'01-02.2021'!$A$6:$CZ$403,52,FALSE)+VLOOKUP($A255,'1.3.21-28.2.22'!$A$6:$DA$404,52,FALSE)-VLOOKUP($A255,'01-02.2022'!$A$6:$DA$376,52,FALSE)</f>
        <v>24</v>
      </c>
      <c r="BA255" s="38">
        <f t="shared" si="254"/>
        <v>-1640.1912663100763</v>
      </c>
      <c r="BB255" s="566">
        <f>VLOOKUP($A255,'01-02.2021'!$A$6:$CZ$403,54,FALSE)+VLOOKUP($A255,'1.3.21-28.2.22'!$A$6:$DA$404,54,FALSE)-VLOOKUP($A255,'01-02.2022'!$A$6:$DA$376,54,FALSE)</f>
        <v>736.14733150944937</v>
      </c>
      <c r="BC255" s="566">
        <f>VLOOKUP($A255,'01-02.2021'!$A$6:$CZ$403,55,FALSE)+VLOOKUP($A255,'1.3.21-28.2.22'!$A$6:$DA$404,55,FALSE)-VLOOKUP($A255,'01-02.2022'!$A$6:$DA$376,55,FALSE)</f>
        <v>0</v>
      </c>
      <c r="BD255" s="55">
        <f t="shared" si="255"/>
        <v>-736.14733150944937</v>
      </c>
      <c r="BE255" s="566">
        <f>VLOOKUP($A255,'01-02.2021'!$A$6:$CZ$403,57,FALSE)+VLOOKUP($A255,'1.3.21-28.2.22'!$A$6:$DA$404,57,FALSE)-VLOOKUP($A255,'01-02.2022'!$A$6:$DA$376,57,FALSE)</f>
        <v>0</v>
      </c>
      <c r="BF255" s="566">
        <f>VLOOKUP($A255,'01-02.2021'!$A$6:$CZ$403,58,FALSE)+VLOOKUP($A255,'1.3.21-28.2.22'!$A$6:$DA$404,58,FALSE)-VLOOKUP($A255,'01-02.2022'!$A$6:$DA$376,58,FALSE)</f>
        <v>0</v>
      </c>
      <c r="BG255" s="55">
        <f t="shared" si="256"/>
        <v>0</v>
      </c>
      <c r="BH255" s="566">
        <f>VLOOKUP($A255,'01-02.2021'!$A$6:$CZ$403,60,FALSE)+VLOOKUP($A255,'1.3.21-28.2.22'!$A$6:$DA$404,60,FALSE)-VLOOKUP($A255,'01-02.2022'!$A$6:$DA$376,60,FALSE)</f>
        <v>0</v>
      </c>
      <c r="BI255" s="566">
        <f>VLOOKUP($A255,'01-02.2021'!$A$6:$CZ$403,61,FALSE)+VLOOKUP($A255,'1.3.21-28.2.22'!$A$6:$DA$404,61,FALSE)-VLOOKUP($A255,'01-02.2022'!$A$6:$DA$376,61,FALSE)</f>
        <v>0</v>
      </c>
      <c r="BJ255" s="55">
        <f t="shared" si="257"/>
        <v>0</v>
      </c>
      <c r="BK255" s="566">
        <f>VLOOKUP($A255,'01-02.2021'!$A$6:$CZ$403,63,FALSE)+VLOOKUP($A255,'1.3.21-28.2.22'!$A$6:$DA$404,63,FALSE)-VLOOKUP($A255,'01-02.2022'!$A$6:$DA$376,63,FALSE)</f>
        <v>599.35095399309546</v>
      </c>
      <c r="BL255" s="566">
        <f>VLOOKUP($A255,'01-02.2021'!$A$6:$CZ$403,64,FALSE)+VLOOKUP($A255,'1.3.21-28.2.22'!$A$6:$DA$404,64,FALSE)-VLOOKUP($A255,'01-02.2022'!$A$6:$DA$376,64,FALSE)</f>
        <v>0</v>
      </c>
      <c r="BM255" s="55">
        <f t="shared" si="258"/>
        <v>-599.35095399309546</v>
      </c>
      <c r="BN255" s="566">
        <f>VLOOKUP($A255,'01-02.2021'!$A$6:$CZ$403,66,FALSE)+VLOOKUP($A255,'1.3.21-28.2.22'!$A$6:$DA$404,66,FALSE)-VLOOKUP($A255,'01-02.2022'!$A$6:$DA$376,66,FALSE)</f>
        <v>64.105000000000004</v>
      </c>
      <c r="BO255" s="566">
        <f>VLOOKUP($A255,'01-02.2021'!$A$6:$CZ$403,67,FALSE)+VLOOKUP($A255,'1.3.21-28.2.22'!$A$6:$DA$404,67,FALSE)-VLOOKUP($A255,'01-02.2022'!$A$6:$DA$376,67,FALSE)</f>
        <v>0</v>
      </c>
      <c r="BP255" s="55">
        <f t="shared" si="259"/>
        <v>-64.105000000000004</v>
      </c>
      <c r="BQ255" s="77">
        <f t="shared" si="287"/>
        <v>4353.9960716125261</v>
      </c>
      <c r="BR255" s="40">
        <f t="shared" si="289"/>
        <v>24</v>
      </c>
      <c r="BS255" s="55">
        <f t="shared" si="314"/>
        <v>-4329.9960716125261</v>
      </c>
      <c r="BT255" s="566">
        <f>VLOOKUP($A255,'01-02.2021'!$A$6:$CZ$403,72,FALSE)+VLOOKUP($A255,'1.3.21-28.2.22'!$A$6:$DA$404,72,FALSE)-VLOOKUP($A255,'01-02.2022'!$A$6:$DA$376,72,FALSE)</f>
        <v>16922.332148011148</v>
      </c>
      <c r="BU255" s="566">
        <f>VLOOKUP($A255,'01-02.2021'!$A$6:$CZ$403,73,FALSE)+VLOOKUP($A255,'1.3.21-28.2.22'!$A$6:$DA$404,73,FALSE)-VLOOKUP($A255,'01-02.2022'!$A$6:$DA$376,73,FALSE)</f>
        <v>17720.202599643395</v>
      </c>
      <c r="BV255" s="70">
        <f t="shared" si="260"/>
        <v>797.87045163224684</v>
      </c>
      <c r="BW255" s="566">
        <f>VLOOKUP($A255,'01-02.2021'!$A$6:$CZ$403,75,FALSE)+VLOOKUP($A255,'1.3.21-28.2.22'!$A$6:$DA$404,75,FALSE)-VLOOKUP($A255,'01-02.2022'!$A$6:$DA$376,75,FALSE)</f>
        <v>6245.7599700394267</v>
      </c>
      <c r="BX255" s="566">
        <f>VLOOKUP($A255,'01-02.2021'!$A$6:$CZ$403,76,FALSE)+VLOOKUP($A255,'1.3.21-28.2.22'!$A$6:$DA$404,76,FALSE)-VLOOKUP($A255,'01-02.2022'!$A$6:$DA$376,76,FALSE)</f>
        <v>6410.308503764385</v>
      </c>
      <c r="BY255" s="70">
        <f t="shared" si="261"/>
        <v>164.54853372495836</v>
      </c>
      <c r="BZ255" s="566">
        <f>VLOOKUP($A255,'01-02.2021'!$A$6:$CZ$403,78,FALSE)+VLOOKUP($A255,'1.3.21-28.2.22'!$A$6:$DA$404,78,FALSE)-VLOOKUP($A255,'01-02.2022'!$A$6:$DA$376,78,FALSE)</f>
        <v>6090.7165615723698</v>
      </c>
      <c r="CA255" s="566">
        <f>VLOOKUP($A255,'01-02.2021'!$A$6:$CZ$403,79,FALSE)+VLOOKUP($A255,'1.3.21-28.2.22'!$A$6:$DA$404,79,FALSE)-VLOOKUP($A255,'01-02.2022'!$A$6:$DA$376,79,FALSE)</f>
        <v>4580.9850790984283</v>
      </c>
      <c r="CB255" s="70">
        <f t="shared" si="262"/>
        <v>-1509.7314824739415</v>
      </c>
      <c r="CC255" s="566">
        <f>VLOOKUP($A255,'01-02.2021'!$A$6:$CZ$403,81,FALSE)+VLOOKUP($A255,'1.3.21-28.2.22'!$A$6:$DA$404,81,FALSE)-VLOOKUP($A255,'01-02.2022'!$A$6:$DA$376,81,FALSE)</f>
        <v>813.24248547712546</v>
      </c>
      <c r="CD255" s="566">
        <f>VLOOKUP($A255,'01-02.2021'!$A$6:$CZ$403,82,FALSE)+VLOOKUP($A255,'1.3.21-28.2.22'!$A$6:$DA$404,82,FALSE)-VLOOKUP($A255,'01-02.2022'!$A$6:$DA$376,82,FALSE)</f>
        <v>888.86835982924072</v>
      </c>
      <c r="CE255" s="70">
        <f t="shared" si="263"/>
        <v>75.625874352115261</v>
      </c>
      <c r="CF255" s="566">
        <f>VLOOKUP($A255,'01-02.2021'!$A$6:$CZ$403,84,FALSE)+VLOOKUP($A255,'1.3.21-28.2.22'!$A$6:$DA$404,84,FALSE)-VLOOKUP($A255,'01-02.2022'!$A$6:$DA$376,84,FALSE)</f>
        <v>98.866376144023491</v>
      </c>
      <c r="CG255" s="566">
        <f>VLOOKUP($A255,'01-02.2021'!$A$6:$CZ$403,85,FALSE)+VLOOKUP($A255,'1.3.21-28.2.22'!$A$6:$DA$404,85,FALSE)-VLOOKUP($A255,'01-02.2022'!$A$6:$DA$376,85,FALSE)</f>
        <v>0</v>
      </c>
      <c r="CH255" s="70">
        <f t="shared" si="264"/>
        <v>-98.866376144023491</v>
      </c>
      <c r="CI255" s="566">
        <f>VLOOKUP($A255,'01-02.2021'!$A$6:$CZ$403,87,FALSE)+VLOOKUP($A255,'1.3.21-28.2.22'!$A$6:$DA$404,87,FALSE)-VLOOKUP($A255,'01-02.2022'!$A$6:$DA$376,87,FALSE)</f>
        <v>1756.6886281559487</v>
      </c>
      <c r="CJ255" s="566">
        <f>VLOOKUP($A255,'01-02.2021'!$A$6:$CZ$403,88,FALSE)+VLOOKUP($A255,'1.3.21-28.2.22'!$A$6:$DA$404,88,FALSE)-VLOOKUP($A255,'01-02.2022'!$A$6:$DA$376,88,FALSE)</f>
        <v>1613.1826916618738</v>
      </c>
      <c r="CK255" s="70">
        <f t="shared" si="265"/>
        <v>-143.50593649407483</v>
      </c>
      <c r="CL255" s="566">
        <f>VLOOKUP($A255,'01-02.2021'!$A$6:$CZ$403,90,FALSE)+VLOOKUP($A255,'1.3.21-28.2.22'!$A$6:$DA$404,90,FALSE)-VLOOKUP($A255,'01-02.2022'!$A$6:$DA$376,90,FALSE)</f>
        <v>0</v>
      </c>
      <c r="CM255" s="566">
        <f>VLOOKUP($A255,'01-02.2021'!$A$6:$CZ$403,91,FALSE)+VLOOKUP($A255,'1.3.21-28.2.22'!$A$6:$DA$404,91,FALSE)-VLOOKUP($A255,'01-02.2022'!$A$6:$DA$376,91,FALSE)</f>
        <v>0</v>
      </c>
      <c r="CN255" s="52">
        <f t="shared" si="303"/>
        <v>0</v>
      </c>
      <c r="CO255" s="39">
        <f t="shared" si="298"/>
        <v>1756.6886281559487</v>
      </c>
      <c r="CP255" s="40">
        <f t="shared" si="304"/>
        <v>1613.1826916618738</v>
      </c>
      <c r="CQ255" s="52">
        <f t="shared" si="305"/>
        <v>-143.50593649407483</v>
      </c>
      <c r="CR255" s="72">
        <f t="shared" si="299"/>
        <v>64847.118213809292</v>
      </c>
      <c r="CS255" s="5">
        <f t="shared" si="299"/>
        <v>69110.099462146769</v>
      </c>
      <c r="CT255" s="52">
        <f t="shared" si="306"/>
        <v>4262.9812483374772</v>
      </c>
      <c r="CU255" s="77">
        <f t="shared" si="307"/>
        <v>77816.541856571144</v>
      </c>
      <c r="CV255" s="65">
        <f t="shared" si="308"/>
        <v>82932.11935457612</v>
      </c>
      <c r="CW255" s="35">
        <f t="shared" si="309"/>
        <v>5115.5774980049755</v>
      </c>
      <c r="CX255" s="566">
        <f>VLOOKUP($A255,'01-02.2021'!$A$6:$CZ$403,102,FALSE)+VLOOKUP($A255,'1.3.21-28.2.22'!$A$6:$DA$404,102,FALSE)-VLOOKUP($A255,'01-02.2022'!$A$6:$DA$376,102,FALSE)</f>
        <v>1441.5138532807325</v>
      </c>
      <c r="CY255" s="566">
        <f>VLOOKUP($A255,'01-02.2021'!$A$6:$CZ$403,103,FALSE)+VLOOKUP($A255,'1.3.21-28.2.22'!$A$6:$DA$404,103,FALSE)-VLOOKUP($A255,'01-02.2022'!$A$6:$DA$376,103,FALSE)</f>
        <v>-3674.0636447242423</v>
      </c>
      <c r="CZ255" s="52">
        <f t="shared" si="310"/>
        <v>-5115.5774980049746</v>
      </c>
      <c r="DA255" s="150">
        <f>'[2]побудинковий звіт'!DA255</f>
        <v>52921.116958247716</v>
      </c>
      <c r="DB255" s="2">
        <v>2</v>
      </c>
      <c r="DC255" s="414">
        <f>'[4]побудинковий звіт'!DC255</f>
        <v>7600.64</v>
      </c>
      <c r="DD255" s="414">
        <f>'[4]побудинковий звіт'!DD255</f>
        <v>0</v>
      </c>
      <c r="DE255" s="557">
        <f>'[4]побудинковий звіт'!DE255</f>
        <v>400.39966106641441</v>
      </c>
      <c r="DF255" s="557">
        <f>'[4]побудинковий звіт'!DF255</f>
        <v>0</v>
      </c>
      <c r="DG255" s="321">
        <f>VLOOKUP(A255,'кошти 01.03.2021'!$A$6:$D$401,4,)</f>
        <v>53577.176264738649</v>
      </c>
      <c r="DH255" s="40">
        <f>'[3]побудинковий звіт'!DJ255</f>
        <v>82074.127674297124</v>
      </c>
      <c r="DI255" s="422">
        <f>'[3]побудинковий звіт'!CU255+'[3]побудинковий звіт'!CX255</f>
        <v>7200.2403389335859</v>
      </c>
      <c r="DJ255" s="306">
        <f>'[3]побудинковий звіт'!DM255</f>
        <v>5.615974057354018</v>
      </c>
      <c r="DK255" s="306">
        <f t="shared" si="311"/>
        <v>5.615974057354018</v>
      </c>
      <c r="DL255" s="306">
        <f>'[3]побудинковий звіт'!DO255</f>
        <v>5.0380969556443516</v>
      </c>
      <c r="DM255" s="28">
        <f t="shared" si="312"/>
        <v>7200.2403389335859</v>
      </c>
      <c r="DN255" s="28">
        <f t="shared" si="313"/>
        <v>0</v>
      </c>
      <c r="DO255" s="423">
        <f t="shared" si="238"/>
        <v>7200.2403389335859</v>
      </c>
      <c r="DP255" s="94">
        <f t="shared" si="239"/>
        <v>0</v>
      </c>
      <c r="DQ255" s="28">
        <f t="shared" si="240"/>
        <v>7200.2403389335859</v>
      </c>
      <c r="DR255" s="318"/>
      <c r="DT255" s="8"/>
      <c r="DU255" s="5"/>
      <c r="DX255" s="5">
        <f t="shared" si="241"/>
        <v>17729.16511590347</v>
      </c>
      <c r="DY255" s="5">
        <f t="shared" si="242"/>
        <v>24468.827999999998</v>
      </c>
      <c r="DZ255" s="159">
        <f>'[3]побудинковий звіт'!EA255</f>
        <v>1535.8563320544279</v>
      </c>
    </row>
    <row r="256" spans="1:130" ht="14.1" customHeight="1" x14ac:dyDescent="0.3">
      <c r="A256" s="325">
        <v>150000672</v>
      </c>
      <c r="B256" s="41"/>
      <c r="C256" s="43" t="s">
        <v>429</v>
      </c>
      <c r="D256" s="42"/>
      <c r="E256" s="293">
        <f t="shared" si="296"/>
        <v>3174.5</v>
      </c>
      <c r="F256" s="305">
        <f>'[3]побудинковий звіт'!F256</f>
        <v>3107.5</v>
      </c>
      <c r="G256" s="508">
        <f>'[3]побудинковий звіт'!G256</f>
        <v>0</v>
      </c>
      <c r="H256" s="560">
        <f>'[3]побудинковий звіт'!H256</f>
        <v>67</v>
      </c>
      <c r="I256" s="566">
        <f>VLOOKUP($A256,'01-02.2021'!$A$6:$CZ$403,9,FALSE)+VLOOKUP($A256,'1.3.21-28.2.22'!$A$6:$DA$404,9,FALSE)-VLOOKUP($A256,'01-02.2022'!$A$6:$DA$376,9,FALSE)</f>
        <v>12414.863665897228</v>
      </c>
      <c r="J256" s="566">
        <f>VLOOKUP($A256,'01-02.2021'!$A$6:$CZ$403,10,FALSE)+VLOOKUP($A256,'1.3.21-28.2.22'!$A$6:$DA$404,10,FALSE)-VLOOKUP($A256,'01-02.2022'!$A$6:$DA$376,10,FALSE)</f>
        <v>13617.857965365905</v>
      </c>
      <c r="K256" s="52">
        <f t="shared" si="300"/>
        <v>1202.9942994686771</v>
      </c>
      <c r="L256" s="566">
        <f>VLOOKUP($A256,'01-02.2021'!$A$6:$CZ$403,12,FALSE)+VLOOKUP($A256,'1.3.21-28.2.22'!$A$6:$DA$404,12,FALSE)-VLOOKUP($A256,'01-02.2022'!$A$6:$DA$376,12,FALSE)</f>
        <v>2504.0717700451983</v>
      </c>
      <c r="M256" s="566">
        <f>VLOOKUP($A256,'01-02.2021'!$A$6:$CZ$403,13,FALSE)+VLOOKUP($A256,'1.3.21-28.2.22'!$A$6:$DA$404,13,FALSE)-VLOOKUP($A256,'01-02.2022'!$A$6:$DA$376,13,FALSE)</f>
        <v>2757.0658580146828</v>
      </c>
      <c r="N256" s="52">
        <f t="shared" si="301"/>
        <v>252.99408796948455</v>
      </c>
      <c r="O256" s="566">
        <f>VLOOKUP($A256,'01-02.2021'!$A$6:$CZ$403,15,FALSE)+VLOOKUP($A256,'1.3.21-28.2.22'!$A$6:$DA$404,15,FALSE)-VLOOKUP($A256,'01-02.2022'!$A$6:$DA$376,15,FALSE)</f>
        <v>4057.16</v>
      </c>
      <c r="P256" s="566">
        <f>VLOOKUP($A256,'01-02.2021'!$A$6:$CZ$403,16,FALSE)+VLOOKUP($A256,'1.3.21-28.2.22'!$A$6:$DA$404,16,FALSE)-VLOOKUP($A256,'01-02.2022'!$A$6:$DA$376,16,FALSE)</f>
        <v>4057.16</v>
      </c>
      <c r="Q256" s="70">
        <f t="shared" si="243"/>
        <v>0</v>
      </c>
      <c r="R256" s="566">
        <f>VLOOKUP($A256,'01-02.2021'!$A$6:$CZ$403,18,FALSE)+VLOOKUP($A256,'1.3.21-28.2.22'!$A$6:$DA$404,18,FALSE)-VLOOKUP($A256,'01-02.2022'!$A$6:$DA$376,18,FALSE)</f>
        <v>0</v>
      </c>
      <c r="S256" s="566">
        <f>VLOOKUP($A256,'01-02.2021'!$A$6:$CZ$403,19,FALSE)+VLOOKUP($A256,'1.3.21-28.2.22'!$A$6:$DA$404,19,FALSE)-VLOOKUP($A256,'01-02.2022'!$A$6:$DA$376,19,FALSE)</f>
        <v>0</v>
      </c>
      <c r="T256" s="70">
        <f t="shared" si="244"/>
        <v>0</v>
      </c>
      <c r="U256" s="566">
        <f>VLOOKUP($A256,'01-02.2021'!$A$6:$CZ$403,21,FALSE)+VLOOKUP($A256,'1.3.21-28.2.22'!$A$6:$DA$404,21,FALSE)-VLOOKUP($A256,'01-02.2022'!$A$6:$DA$376,21,FALSE)</f>
        <v>0</v>
      </c>
      <c r="V256" s="566">
        <f>VLOOKUP($A256,'01-02.2021'!$A$6:$CZ$403,22,FALSE)+VLOOKUP($A256,'1.3.21-28.2.22'!$A$6:$DA$404,22,FALSE)-VLOOKUP($A256,'01-02.2022'!$A$6:$DA$376,22,FALSE)</f>
        <v>0</v>
      </c>
      <c r="W256" s="70">
        <f t="shared" si="245"/>
        <v>0</v>
      </c>
      <c r="X256" s="566">
        <f>VLOOKUP($A256,'01-02.2021'!$A$6:$CZ$403,24,FALSE)+VLOOKUP($A256,'1.3.21-28.2.22'!$A$6:$DA$404,24,FALSE)-VLOOKUP($A256,'01-02.2022'!$A$6:$DA$376,24,FALSE)</f>
        <v>6446.601741927826</v>
      </c>
      <c r="Y256" s="566">
        <f>VLOOKUP($A256,'01-02.2021'!$A$6:$CZ$403,25,FALSE)+VLOOKUP($A256,'1.3.21-28.2.22'!$A$6:$DA$404,25,FALSE)-VLOOKUP($A256,'01-02.2022'!$A$6:$DA$376,25,FALSE)</f>
        <v>5143.3499244734458</v>
      </c>
      <c r="Z256" s="70">
        <f t="shared" si="246"/>
        <v>-1303.2518174543802</v>
      </c>
      <c r="AA256" s="566">
        <f>VLOOKUP($A256,'01-02.2021'!$A$6:$CZ$403,27,FALSE)+VLOOKUP($A256,'1.3.21-28.2.22'!$A$6:$DA$404,27,FALSE)-VLOOKUP($A256,'01-02.2022'!$A$6:$DA$376,27,FALSE)</f>
        <v>642.84999999999991</v>
      </c>
      <c r="AB256" s="566">
        <f>VLOOKUP($A256,'01-02.2021'!$A$6:$CZ$403,28,FALSE)+VLOOKUP($A256,'1.3.21-28.2.22'!$A$6:$DA$404,28,FALSE)-VLOOKUP($A256,'01-02.2022'!$A$6:$DA$376,28,FALSE)</f>
        <v>0</v>
      </c>
      <c r="AC256" s="70">
        <f t="shared" si="247"/>
        <v>-642.84999999999991</v>
      </c>
      <c r="AD256" s="566">
        <f>VLOOKUP($A256,'01-02.2021'!$A$6:$CZ$403,30,FALSE)+VLOOKUP($A256,'1.3.21-28.2.22'!$A$6:$DA$404,30,FALSE)-VLOOKUP($A256,'01-02.2022'!$A$6:$DA$376,30,FALSE)</f>
        <v>13696.149201257769</v>
      </c>
      <c r="AE256" s="566">
        <f>VLOOKUP($A256,'01-02.2021'!$A$6:$CZ$403,31,FALSE)+VLOOKUP($A256,'1.3.21-28.2.22'!$A$6:$DA$404,31,FALSE)-VLOOKUP($A256,'01-02.2022'!$A$6:$DA$376,31,FALSE)</f>
        <v>14449.047331055164</v>
      </c>
      <c r="AF256" s="68">
        <f t="shared" si="248"/>
        <v>752.89812979739509</v>
      </c>
      <c r="AG256" s="77">
        <f t="shared" si="297"/>
        <v>39761.696379128021</v>
      </c>
      <c r="AH256" s="53">
        <f t="shared" si="297"/>
        <v>40024.481078909201</v>
      </c>
      <c r="AI256" s="52">
        <f t="shared" si="302"/>
        <v>262.78469978117937</v>
      </c>
      <c r="AJ256" s="566">
        <f>VLOOKUP($A256,'01-02.2021'!$A$6:$CZ$403,36,FALSE)+VLOOKUP($A256,'1.3.21-28.2.22'!$A$6:$DA$404,36,FALSE)-VLOOKUP($A256,'01-02.2022'!$A$6:$DA$376,36,FALSE)</f>
        <v>0</v>
      </c>
      <c r="AK256" s="566">
        <f>VLOOKUP($A256,'01-02.2021'!$A$6:$CZ$403,37,FALSE)+VLOOKUP($A256,'1.3.21-28.2.22'!$A$6:$DA$404,37,FALSE)-VLOOKUP($A256,'01-02.2022'!$A$6:$DA$376,37,FALSE)</f>
        <v>0</v>
      </c>
      <c r="AL256" s="70">
        <f t="shared" si="249"/>
        <v>0</v>
      </c>
      <c r="AM256" s="566">
        <f>VLOOKUP($A256,'01-02.2021'!$A$6:$CZ$403,39,FALSE)+VLOOKUP($A256,'1.3.21-28.2.22'!$A$6:$DA$404,39,FALSE)-VLOOKUP($A256,'01-02.2022'!$A$6:$DA$376,39,FALSE)</f>
        <v>0</v>
      </c>
      <c r="AN256" s="566">
        <f>VLOOKUP($A256,'01-02.2021'!$A$6:$CZ$403,40,FALSE)+VLOOKUP($A256,'1.3.21-28.2.22'!$A$6:$DA$404,40,FALSE)-VLOOKUP($A256,'01-02.2022'!$A$6:$DA$376,40,FALSE)</f>
        <v>0</v>
      </c>
      <c r="AO256" s="70">
        <f t="shared" si="250"/>
        <v>0</v>
      </c>
      <c r="AP256" s="566">
        <f>VLOOKUP($A256,'01-02.2021'!$A$6:$CZ$403,42,FALSE)+VLOOKUP($A256,'1.3.21-28.2.22'!$A$6:$DA$404,42,FALSE)-VLOOKUP($A256,'01-02.2022'!$A$6:$DA$376,42,FALSE)</f>
        <v>8979.6587064704108</v>
      </c>
      <c r="AQ256" s="566">
        <f>VLOOKUP($A256,'01-02.2021'!$A$6:$CZ$403,43,FALSE)+VLOOKUP($A256,'1.3.21-28.2.22'!$A$6:$DA$404,43,FALSE)-VLOOKUP($A256,'01-02.2022'!$A$6:$DA$376,43,FALSE)</f>
        <v>7186.7712074728643</v>
      </c>
      <c r="AR256" s="70">
        <f t="shared" si="251"/>
        <v>-1792.8874989975466</v>
      </c>
      <c r="AS256" s="566">
        <f>VLOOKUP($A256,'01-02.2021'!$A$6:$CZ$403,45,FALSE)+VLOOKUP($A256,'1.3.21-28.2.22'!$A$6:$DA$404,45,FALSE)-VLOOKUP($A256,'01-02.2022'!$A$6:$DA$376,45,FALSE)</f>
        <v>34078.024712642269</v>
      </c>
      <c r="AT256" s="566">
        <f>VLOOKUP($A256,'01-02.2021'!$A$6:$CZ$403,46,FALSE)+VLOOKUP($A256,'1.3.21-28.2.22'!$A$6:$DA$404,46,FALSE)-VLOOKUP($A256,'01-02.2022'!$A$6:$DA$376,46,FALSE)</f>
        <v>54968.649245991364</v>
      </c>
      <c r="AU256" s="78">
        <f t="shared" si="252"/>
        <v>20890.624533349095</v>
      </c>
      <c r="AV256" s="566">
        <f>VLOOKUP($A256,'01-02.2021'!$A$6:$CZ$403,48,FALSE)+VLOOKUP($A256,'1.3.21-28.2.22'!$A$6:$DA$404,48,FALSE)-VLOOKUP($A256,'01-02.2022'!$A$6:$DA$376,48,FALSE)</f>
        <v>3173.3314145384179</v>
      </c>
      <c r="AW256" s="566">
        <f>VLOOKUP($A256,'01-02.2021'!$A$6:$CZ$403,49,FALSE)+VLOOKUP($A256,'1.3.21-28.2.22'!$A$6:$DA$404,49,FALSE)-VLOOKUP($A256,'01-02.2022'!$A$6:$DA$376,49,FALSE)</f>
        <v>0</v>
      </c>
      <c r="AX256" s="55">
        <f t="shared" si="253"/>
        <v>-3173.3314145384179</v>
      </c>
      <c r="AY256" s="566">
        <f>VLOOKUP($A256,'01-02.2021'!$A$6:$CZ$403,51,FALSE)+VLOOKUP($A256,'1.3.21-28.2.22'!$A$6:$DA$404,51,FALSE)-VLOOKUP($A256,'01-02.2022'!$A$6:$DA$376,51,FALSE)</f>
        <v>4707.1332818561486</v>
      </c>
      <c r="AZ256" s="566">
        <f>VLOOKUP($A256,'01-02.2021'!$A$6:$CZ$403,52,FALSE)+VLOOKUP($A256,'1.3.21-28.2.22'!$A$6:$DA$404,52,FALSE)-VLOOKUP($A256,'01-02.2022'!$A$6:$DA$376,52,FALSE)</f>
        <v>0</v>
      </c>
      <c r="BA256" s="38">
        <f t="shared" si="254"/>
        <v>-4707.1332818561486</v>
      </c>
      <c r="BB256" s="566">
        <f>VLOOKUP($A256,'01-02.2021'!$A$6:$CZ$403,54,FALSE)+VLOOKUP($A256,'1.3.21-28.2.22'!$A$6:$DA$404,54,FALSE)-VLOOKUP($A256,'01-02.2022'!$A$6:$DA$376,54,FALSE)</f>
        <v>1929.0784757407203</v>
      </c>
      <c r="BC256" s="566">
        <f>VLOOKUP($A256,'01-02.2021'!$A$6:$CZ$403,55,FALSE)+VLOOKUP($A256,'1.3.21-28.2.22'!$A$6:$DA$404,55,FALSE)-VLOOKUP($A256,'01-02.2022'!$A$6:$DA$376,55,FALSE)</f>
        <v>2811</v>
      </c>
      <c r="BD256" s="55">
        <f t="shared" si="255"/>
        <v>881.92152425927975</v>
      </c>
      <c r="BE256" s="566">
        <f>VLOOKUP($A256,'01-02.2021'!$A$6:$CZ$403,57,FALSE)+VLOOKUP($A256,'1.3.21-28.2.22'!$A$6:$DA$404,57,FALSE)-VLOOKUP($A256,'01-02.2022'!$A$6:$DA$376,57,FALSE)</f>
        <v>0</v>
      </c>
      <c r="BF256" s="566">
        <f>VLOOKUP($A256,'01-02.2021'!$A$6:$CZ$403,58,FALSE)+VLOOKUP($A256,'1.3.21-28.2.22'!$A$6:$DA$404,58,FALSE)-VLOOKUP($A256,'01-02.2022'!$A$6:$DA$376,58,FALSE)</f>
        <v>0</v>
      </c>
      <c r="BG256" s="55">
        <f t="shared" si="256"/>
        <v>0</v>
      </c>
      <c r="BH256" s="566">
        <f>VLOOKUP($A256,'01-02.2021'!$A$6:$CZ$403,60,FALSE)+VLOOKUP($A256,'1.3.21-28.2.22'!$A$6:$DA$404,60,FALSE)-VLOOKUP($A256,'01-02.2022'!$A$6:$DA$376,60,FALSE)</f>
        <v>0</v>
      </c>
      <c r="BI256" s="566">
        <f>VLOOKUP($A256,'01-02.2021'!$A$6:$CZ$403,61,FALSE)+VLOOKUP($A256,'1.3.21-28.2.22'!$A$6:$DA$404,61,FALSE)-VLOOKUP($A256,'01-02.2022'!$A$6:$DA$376,61,FALSE)</f>
        <v>0</v>
      </c>
      <c r="BJ256" s="55">
        <f t="shared" si="257"/>
        <v>0</v>
      </c>
      <c r="BK256" s="566">
        <f>VLOOKUP($A256,'01-02.2021'!$A$6:$CZ$403,63,FALSE)+VLOOKUP($A256,'1.3.21-28.2.22'!$A$6:$DA$404,63,FALSE)-VLOOKUP($A256,'01-02.2022'!$A$6:$DA$376,63,FALSE)</f>
        <v>2020.7651084565073</v>
      </c>
      <c r="BL256" s="566">
        <f>VLOOKUP($A256,'01-02.2021'!$A$6:$CZ$403,64,FALSE)+VLOOKUP($A256,'1.3.21-28.2.22'!$A$6:$DA$404,64,FALSE)-VLOOKUP($A256,'01-02.2022'!$A$6:$DA$376,64,FALSE)</f>
        <v>0</v>
      </c>
      <c r="BM256" s="55">
        <f t="shared" si="258"/>
        <v>-2020.7651084565073</v>
      </c>
      <c r="BN256" s="566">
        <f>VLOOKUP($A256,'01-02.2021'!$A$6:$CZ$403,66,FALSE)+VLOOKUP($A256,'1.3.21-28.2.22'!$A$6:$DA$404,66,FALSE)-VLOOKUP($A256,'01-02.2022'!$A$6:$DA$376,66,FALSE)</f>
        <v>1056.0006229528351</v>
      </c>
      <c r="BO256" s="566">
        <f>VLOOKUP($A256,'01-02.2021'!$A$6:$CZ$403,67,FALSE)+VLOOKUP($A256,'1.3.21-28.2.22'!$A$6:$DA$404,67,FALSE)-VLOOKUP($A256,'01-02.2022'!$A$6:$DA$376,67,FALSE)</f>
        <v>0</v>
      </c>
      <c r="BP256" s="55">
        <f t="shared" si="259"/>
        <v>-1056.0006229528351</v>
      </c>
      <c r="BQ256" s="77">
        <f t="shared" si="287"/>
        <v>12886.30890354463</v>
      </c>
      <c r="BR256" s="40">
        <f t="shared" si="289"/>
        <v>2811</v>
      </c>
      <c r="BS256" s="55">
        <f t="shared" si="314"/>
        <v>-10075.30890354463</v>
      </c>
      <c r="BT256" s="566">
        <f>VLOOKUP($A256,'01-02.2021'!$A$6:$CZ$403,72,FALSE)+VLOOKUP($A256,'1.3.21-28.2.22'!$A$6:$DA$404,72,FALSE)-VLOOKUP($A256,'01-02.2022'!$A$6:$DA$376,72,FALSE)</f>
        <v>18612.88096942113</v>
      </c>
      <c r="BU256" s="566">
        <f>VLOOKUP($A256,'01-02.2021'!$A$6:$CZ$403,73,FALSE)+VLOOKUP($A256,'1.3.21-28.2.22'!$A$6:$DA$404,73,FALSE)-VLOOKUP($A256,'01-02.2022'!$A$6:$DA$376,73,FALSE)</f>
        <v>29234.154440393584</v>
      </c>
      <c r="BV256" s="70">
        <f t="shared" si="260"/>
        <v>10621.273470972454</v>
      </c>
      <c r="BW256" s="566">
        <f>VLOOKUP($A256,'01-02.2021'!$A$6:$CZ$403,75,FALSE)+VLOOKUP($A256,'1.3.21-28.2.22'!$A$6:$DA$404,75,FALSE)-VLOOKUP($A256,'01-02.2022'!$A$6:$DA$376,75,FALSE)</f>
        <v>11407.370392226387</v>
      </c>
      <c r="BX256" s="566">
        <f>VLOOKUP($A256,'01-02.2021'!$A$6:$CZ$403,76,FALSE)+VLOOKUP($A256,'1.3.21-28.2.22'!$A$6:$DA$404,76,FALSE)-VLOOKUP($A256,'01-02.2022'!$A$6:$DA$376,76,FALSE)</f>
        <v>10269.534601456911</v>
      </c>
      <c r="BY256" s="70">
        <f t="shared" si="261"/>
        <v>-1137.8357907694754</v>
      </c>
      <c r="BZ256" s="566">
        <f>VLOOKUP($A256,'01-02.2021'!$A$6:$CZ$403,78,FALSE)+VLOOKUP($A256,'1.3.21-28.2.22'!$A$6:$DA$404,78,FALSE)-VLOOKUP($A256,'01-02.2022'!$A$6:$DA$376,78,FALSE)</f>
        <v>9019.2992674367961</v>
      </c>
      <c r="CA256" s="566">
        <f>VLOOKUP($A256,'01-02.2021'!$A$6:$CZ$403,79,FALSE)+VLOOKUP($A256,'1.3.21-28.2.22'!$A$6:$DA$404,79,FALSE)-VLOOKUP($A256,'01-02.2022'!$A$6:$DA$376,79,FALSE)</f>
        <v>5729.5761248424833</v>
      </c>
      <c r="CB256" s="70">
        <f t="shared" si="262"/>
        <v>-3289.7231425943128</v>
      </c>
      <c r="CC256" s="566">
        <f>VLOOKUP($A256,'01-02.2021'!$A$6:$CZ$403,81,FALSE)+VLOOKUP($A256,'1.3.21-28.2.22'!$A$6:$DA$404,81,FALSE)-VLOOKUP($A256,'01-02.2022'!$A$6:$DA$376,81,FALSE)</f>
        <v>953.48101142361236</v>
      </c>
      <c r="CD256" s="566">
        <f>VLOOKUP($A256,'01-02.2021'!$A$6:$CZ$403,82,FALSE)+VLOOKUP($A256,'1.3.21-28.2.22'!$A$6:$DA$404,82,FALSE)-VLOOKUP($A256,'01-02.2022'!$A$6:$DA$376,82,FALSE)</f>
        <v>1042.1215253170408</v>
      </c>
      <c r="CE256" s="70">
        <f t="shared" si="263"/>
        <v>88.64051389342842</v>
      </c>
      <c r="CF256" s="566">
        <f>VLOOKUP($A256,'01-02.2021'!$A$6:$CZ$403,84,FALSE)+VLOOKUP($A256,'1.3.21-28.2.22'!$A$6:$DA$404,84,FALSE)-VLOOKUP($A256,'01-02.2022'!$A$6:$DA$376,84,FALSE)</f>
        <v>115.90627981540689</v>
      </c>
      <c r="CG256" s="566">
        <f>VLOOKUP($A256,'01-02.2021'!$A$6:$CZ$403,85,FALSE)+VLOOKUP($A256,'1.3.21-28.2.22'!$A$6:$DA$404,85,FALSE)-VLOOKUP($A256,'01-02.2022'!$A$6:$DA$376,85,FALSE)</f>
        <v>0</v>
      </c>
      <c r="CH256" s="70">
        <f t="shared" si="264"/>
        <v>-115.90627981540689</v>
      </c>
      <c r="CI256" s="566">
        <f>VLOOKUP($A256,'01-02.2021'!$A$6:$CZ$403,87,FALSE)+VLOOKUP($A256,'1.3.21-28.2.22'!$A$6:$DA$404,87,FALSE)-VLOOKUP($A256,'01-02.2022'!$A$6:$DA$376,87,FALSE)</f>
        <v>9553.4225076209532</v>
      </c>
      <c r="CJ256" s="566">
        <f>VLOOKUP($A256,'01-02.2021'!$A$6:$CZ$403,88,FALSE)+VLOOKUP($A256,'1.3.21-28.2.22'!$A$6:$DA$404,88,FALSE)-VLOOKUP($A256,'01-02.2022'!$A$6:$DA$376,88,FALSE)</f>
        <v>8507.6821975354887</v>
      </c>
      <c r="CK256" s="70">
        <f t="shared" si="265"/>
        <v>-1045.7403100854644</v>
      </c>
      <c r="CL256" s="566">
        <f>VLOOKUP($A256,'01-02.2021'!$A$6:$CZ$403,90,FALSE)+VLOOKUP($A256,'1.3.21-28.2.22'!$A$6:$DA$404,90,FALSE)-VLOOKUP($A256,'01-02.2022'!$A$6:$DA$376,90,FALSE)</f>
        <v>0</v>
      </c>
      <c r="CM256" s="566">
        <f>VLOOKUP($A256,'01-02.2021'!$A$6:$CZ$403,91,FALSE)+VLOOKUP($A256,'1.3.21-28.2.22'!$A$6:$DA$404,91,FALSE)-VLOOKUP($A256,'01-02.2022'!$A$6:$DA$376,91,FALSE)</f>
        <v>0</v>
      </c>
      <c r="CN256" s="52">
        <f t="shared" si="303"/>
        <v>0</v>
      </c>
      <c r="CO256" s="39">
        <f t="shared" si="298"/>
        <v>9553.4225076209532</v>
      </c>
      <c r="CP256" s="40">
        <f t="shared" si="304"/>
        <v>8507.6821975354887</v>
      </c>
      <c r="CQ256" s="52">
        <f t="shared" si="305"/>
        <v>-1045.7403100854644</v>
      </c>
      <c r="CR256" s="72">
        <f t="shared" si="299"/>
        <v>145368.0491297296</v>
      </c>
      <c r="CS256" s="5">
        <f t="shared" si="299"/>
        <v>159773.97042191896</v>
      </c>
      <c r="CT256" s="52">
        <f t="shared" si="306"/>
        <v>14405.921292189363</v>
      </c>
      <c r="CU256" s="77">
        <f t="shared" si="307"/>
        <v>174441.65895567552</v>
      </c>
      <c r="CV256" s="65">
        <f t="shared" si="308"/>
        <v>191728.76450630274</v>
      </c>
      <c r="CW256" s="35">
        <f t="shared" si="309"/>
        <v>17287.105550627224</v>
      </c>
      <c r="CX256" s="566">
        <f>VLOOKUP($A256,'01-02.2021'!$A$6:$CZ$403,102,FALSE)+VLOOKUP($A256,'1.3.21-28.2.22'!$A$6:$DA$404,102,FALSE)-VLOOKUP($A256,'01-02.2022'!$A$6:$DA$376,102,FALSE)</f>
        <v>8886.8179534236369</v>
      </c>
      <c r="CY256" s="566">
        <f>VLOOKUP($A256,'01-02.2021'!$A$6:$CZ$403,103,FALSE)+VLOOKUP($A256,'1.3.21-28.2.22'!$A$6:$DA$404,103,FALSE)-VLOOKUP($A256,'01-02.2022'!$A$6:$DA$376,103,FALSE)</f>
        <v>-8400.2875972035781</v>
      </c>
      <c r="CZ256" s="52">
        <f t="shared" si="310"/>
        <v>-17287.105550627217</v>
      </c>
      <c r="DA256" s="150">
        <f>'[2]побудинковий звіт'!DA256</f>
        <v>44505.08529576342</v>
      </c>
      <c r="DB256" s="2">
        <v>2</v>
      </c>
      <c r="DC256" s="414">
        <f>'[4]побудинковий звіт'!DC256</f>
        <v>34108.400000000001</v>
      </c>
      <c r="DD256" s="414">
        <f>'[4]побудинковий звіт'!DD256</f>
        <v>699.31</v>
      </c>
      <c r="DE256" s="557">
        <f>'[4]побудинковий звіт'!DE256</f>
        <v>17834.422500000001</v>
      </c>
      <c r="DF256" s="557">
        <f>'[4]побудинковий звіт'!DF256</f>
        <v>379.18399999999997</v>
      </c>
      <c r="DG256" s="321">
        <f>VLOOKUP(A256,'кошти 01.03.2021'!$A$6:$D$401,4,)</f>
        <v>31402.727094124981</v>
      </c>
      <c r="DH256" s="40">
        <f>'[3]побудинковий звіт'!DJ256</f>
        <v>189551.41955387307</v>
      </c>
      <c r="DI256" s="422">
        <f>'[3]побудинковий звіт'!CU256+'[3]побудинковий звіт'!CX256</f>
        <v>16594.118843351327</v>
      </c>
      <c r="DJ256" s="306">
        <f>'[3]побудинковий звіт'!DM256</f>
        <v>5.2370000000000001</v>
      </c>
      <c r="DK256" s="306">
        <f t="shared" si="311"/>
        <v>5.2370000000000001</v>
      </c>
      <c r="DL256" s="306">
        <f>'[3]побудинковий звіт'!DO256</f>
        <v>4.7779999999999996</v>
      </c>
      <c r="DM256" s="28">
        <f t="shared" si="312"/>
        <v>16273.977500000001</v>
      </c>
      <c r="DN256" s="28">
        <f t="shared" si="313"/>
        <v>320.12599999999998</v>
      </c>
      <c r="DO256" s="423">
        <f t="shared" si="238"/>
        <v>16594.103500000001</v>
      </c>
      <c r="DP256" s="94">
        <f t="shared" si="239"/>
        <v>1.5343351326009724E-2</v>
      </c>
      <c r="DQ256" s="28">
        <f t="shared" si="240"/>
        <v>16594.103500000001</v>
      </c>
      <c r="DR256" s="318"/>
      <c r="DT256" s="8"/>
      <c r="DU256" s="5"/>
      <c r="DX256" s="5">
        <f t="shared" si="241"/>
        <v>56357.200339424278</v>
      </c>
      <c r="DY256" s="5">
        <f t="shared" si="242"/>
        <v>69335.579095189634</v>
      </c>
      <c r="DZ256" s="159">
        <f>'[3]побудинковий звіт'!EA256</f>
        <v>5398.9068520606106</v>
      </c>
    </row>
    <row r="257" spans="1:130" x14ac:dyDescent="0.3">
      <c r="A257" s="325">
        <v>150000673</v>
      </c>
      <c r="B257" s="41" t="s">
        <v>703</v>
      </c>
      <c r="C257" s="42" t="s">
        <v>183</v>
      </c>
      <c r="D257" s="42"/>
      <c r="E257" s="293">
        <f t="shared" si="296"/>
        <v>603.29999999999995</v>
      </c>
      <c r="F257" s="305">
        <f>'[3]побудинковий звіт'!F257</f>
        <v>603.29999999999995</v>
      </c>
      <c r="G257" s="508">
        <f>'[3]побудинковий звіт'!G257</f>
        <v>0</v>
      </c>
      <c r="H257" s="560">
        <f>'[3]побудинковий звіт'!H257</f>
        <v>0</v>
      </c>
      <c r="I257" s="566">
        <f>VLOOKUP($A257,'01-02.2021'!$A$6:$CZ$403,9,FALSE)+VLOOKUP($A257,'1.3.21-28.2.22'!$A$6:$DA$404,9,FALSE)-VLOOKUP($A257,'01-02.2022'!$A$6:$DA$376,9,FALSE)</f>
        <v>3364.4300849054835</v>
      </c>
      <c r="J257" s="566">
        <f>VLOOKUP($A257,'01-02.2021'!$A$6:$CZ$403,10,FALSE)+VLOOKUP($A257,'1.3.21-28.2.22'!$A$6:$DA$404,10,FALSE)-VLOOKUP($A257,'01-02.2022'!$A$6:$DA$376,10,FALSE)</f>
        <v>3614.4050661493684</v>
      </c>
      <c r="K257" s="52">
        <f t="shared" si="300"/>
        <v>249.97498124388494</v>
      </c>
      <c r="L257" s="566">
        <f>VLOOKUP($A257,'01-02.2021'!$A$6:$CZ$403,12,FALSE)+VLOOKUP($A257,'1.3.21-28.2.22'!$A$6:$DA$404,12,FALSE)-VLOOKUP($A257,'01-02.2022'!$A$6:$DA$376,12,FALSE)</f>
        <v>599.3416412983928</v>
      </c>
      <c r="M257" s="566">
        <f>VLOOKUP($A257,'01-02.2021'!$A$6:$CZ$403,13,FALSE)+VLOOKUP($A257,'1.3.21-28.2.22'!$A$6:$DA$404,13,FALSE)-VLOOKUP($A257,'01-02.2022'!$A$6:$DA$376,13,FALSE)</f>
        <v>659.89518207384413</v>
      </c>
      <c r="N257" s="52">
        <f t="shared" si="301"/>
        <v>60.553540775451324</v>
      </c>
      <c r="O257" s="566">
        <f>VLOOKUP($A257,'01-02.2021'!$A$6:$CZ$403,15,FALSE)+VLOOKUP($A257,'1.3.21-28.2.22'!$A$6:$DA$404,15,FALSE)-VLOOKUP($A257,'01-02.2022'!$A$6:$DA$376,15,FALSE)</f>
        <v>757.68952188064998</v>
      </c>
      <c r="P257" s="566">
        <f>VLOOKUP($A257,'01-02.2021'!$A$6:$CZ$403,16,FALSE)+VLOOKUP($A257,'1.3.21-28.2.22'!$A$6:$DA$404,16,FALSE)-VLOOKUP($A257,'01-02.2022'!$A$6:$DA$376,16,FALSE)</f>
        <v>757.70999999999992</v>
      </c>
      <c r="Q257" s="70">
        <f t="shared" si="243"/>
        <v>2.04781193499457E-2</v>
      </c>
      <c r="R257" s="566">
        <f>VLOOKUP($A257,'01-02.2021'!$A$6:$CZ$403,18,FALSE)+VLOOKUP($A257,'1.3.21-28.2.22'!$A$6:$DA$404,18,FALSE)-VLOOKUP($A257,'01-02.2022'!$A$6:$DA$376,18,FALSE)</f>
        <v>0</v>
      </c>
      <c r="S257" s="566">
        <f>VLOOKUP($A257,'01-02.2021'!$A$6:$CZ$403,19,FALSE)+VLOOKUP($A257,'1.3.21-28.2.22'!$A$6:$DA$404,19,FALSE)-VLOOKUP($A257,'01-02.2022'!$A$6:$DA$376,19,FALSE)</f>
        <v>0</v>
      </c>
      <c r="T257" s="70">
        <f t="shared" si="244"/>
        <v>0</v>
      </c>
      <c r="U257" s="566">
        <f>VLOOKUP($A257,'01-02.2021'!$A$6:$CZ$403,21,FALSE)+VLOOKUP($A257,'1.3.21-28.2.22'!$A$6:$DA$404,21,FALSE)-VLOOKUP($A257,'01-02.2022'!$A$6:$DA$376,21,FALSE)</f>
        <v>0</v>
      </c>
      <c r="V257" s="566">
        <f>VLOOKUP($A257,'01-02.2021'!$A$6:$CZ$403,22,FALSE)+VLOOKUP($A257,'1.3.21-28.2.22'!$A$6:$DA$404,22,FALSE)-VLOOKUP($A257,'01-02.2022'!$A$6:$DA$376,22,FALSE)</f>
        <v>0</v>
      </c>
      <c r="W257" s="70">
        <f t="shared" si="245"/>
        <v>0</v>
      </c>
      <c r="X257" s="566">
        <f>VLOOKUP($A257,'01-02.2021'!$A$6:$CZ$403,24,FALSE)+VLOOKUP($A257,'1.3.21-28.2.22'!$A$6:$DA$404,24,FALSE)-VLOOKUP($A257,'01-02.2022'!$A$6:$DA$376,24,FALSE)</f>
        <v>1048.7219231091631</v>
      </c>
      <c r="Y257" s="566">
        <f>VLOOKUP($A257,'01-02.2021'!$A$6:$CZ$403,25,FALSE)+VLOOKUP($A257,'1.3.21-28.2.22'!$A$6:$DA$404,25,FALSE)-VLOOKUP($A257,'01-02.2022'!$A$6:$DA$376,25,FALSE)</f>
        <v>812.08097675638328</v>
      </c>
      <c r="Z257" s="70">
        <f t="shared" si="246"/>
        <v>-236.64094635277979</v>
      </c>
      <c r="AA257" s="566">
        <f>VLOOKUP($A257,'01-02.2021'!$A$6:$CZ$403,27,FALSE)+VLOOKUP($A257,'1.3.21-28.2.22'!$A$6:$DA$404,27,FALSE)-VLOOKUP($A257,'01-02.2022'!$A$6:$DA$376,27,FALSE)</f>
        <v>120.65999999999998</v>
      </c>
      <c r="AB257" s="566">
        <f>VLOOKUP($A257,'01-02.2021'!$A$6:$CZ$403,28,FALSE)+VLOOKUP($A257,'1.3.21-28.2.22'!$A$6:$DA$404,28,FALSE)-VLOOKUP($A257,'01-02.2022'!$A$6:$DA$376,28,FALSE)</f>
        <v>0</v>
      </c>
      <c r="AC257" s="70">
        <f t="shared" si="247"/>
        <v>-120.65999999999998</v>
      </c>
      <c r="AD257" s="566">
        <f>VLOOKUP($A257,'01-02.2021'!$A$6:$CZ$403,30,FALSE)+VLOOKUP($A257,'1.3.21-28.2.22'!$A$6:$DA$404,30,FALSE)-VLOOKUP($A257,'01-02.2022'!$A$6:$DA$376,30,FALSE)</f>
        <v>2591.3865407723047</v>
      </c>
      <c r="AE257" s="566">
        <f>VLOOKUP($A257,'01-02.2021'!$A$6:$CZ$403,31,FALSE)+VLOOKUP($A257,'1.3.21-28.2.22'!$A$6:$DA$404,31,FALSE)-VLOOKUP($A257,'01-02.2022'!$A$6:$DA$376,31,FALSE)</f>
        <v>2746.2459083146391</v>
      </c>
      <c r="AF257" s="68">
        <f t="shared" si="248"/>
        <v>154.85936754233444</v>
      </c>
      <c r="AG257" s="77">
        <f t="shared" si="297"/>
        <v>8482.2297119659943</v>
      </c>
      <c r="AH257" s="53">
        <f t="shared" si="297"/>
        <v>8590.3371332942352</v>
      </c>
      <c r="AI257" s="52">
        <f t="shared" si="302"/>
        <v>108.10742132824089</v>
      </c>
      <c r="AJ257" s="566">
        <f>VLOOKUP($A257,'01-02.2021'!$A$6:$CZ$403,36,FALSE)+VLOOKUP($A257,'1.3.21-28.2.22'!$A$6:$DA$404,36,FALSE)-VLOOKUP($A257,'01-02.2022'!$A$6:$DA$376,36,FALSE)</f>
        <v>0</v>
      </c>
      <c r="AK257" s="566">
        <f>VLOOKUP($A257,'01-02.2021'!$A$6:$CZ$403,37,FALSE)+VLOOKUP($A257,'1.3.21-28.2.22'!$A$6:$DA$404,37,FALSE)-VLOOKUP($A257,'01-02.2022'!$A$6:$DA$376,37,FALSE)</f>
        <v>0</v>
      </c>
      <c r="AL257" s="70">
        <f t="shared" si="249"/>
        <v>0</v>
      </c>
      <c r="AM257" s="566">
        <f>VLOOKUP($A257,'01-02.2021'!$A$6:$CZ$403,39,FALSE)+VLOOKUP($A257,'1.3.21-28.2.22'!$A$6:$DA$404,39,FALSE)-VLOOKUP($A257,'01-02.2022'!$A$6:$DA$376,39,FALSE)</f>
        <v>0</v>
      </c>
      <c r="AN257" s="566">
        <f>VLOOKUP($A257,'01-02.2021'!$A$6:$CZ$403,40,FALSE)+VLOOKUP($A257,'1.3.21-28.2.22'!$A$6:$DA$404,40,FALSE)-VLOOKUP($A257,'01-02.2022'!$A$6:$DA$376,40,FALSE)</f>
        <v>0</v>
      </c>
      <c r="AO257" s="70">
        <f t="shared" si="250"/>
        <v>0</v>
      </c>
      <c r="AP257" s="566">
        <f>VLOOKUP($A257,'01-02.2021'!$A$6:$CZ$403,42,FALSE)+VLOOKUP($A257,'1.3.21-28.2.22'!$A$6:$DA$404,42,FALSE)-VLOOKUP($A257,'01-02.2022'!$A$6:$DA$376,42,FALSE)</f>
        <v>1561.6797750383319</v>
      </c>
      <c r="AQ257" s="566">
        <f>VLOOKUP($A257,'01-02.2021'!$A$6:$CZ$403,43,FALSE)+VLOOKUP($A257,'1.3.21-28.2.22'!$A$6:$DA$404,43,FALSE)-VLOOKUP($A257,'01-02.2022'!$A$6:$DA$376,43,FALSE)</f>
        <v>1293.1117506870403</v>
      </c>
      <c r="AR257" s="70">
        <f t="shared" si="251"/>
        <v>-268.56802435129157</v>
      </c>
      <c r="AS257" s="566">
        <f>VLOOKUP($A257,'01-02.2021'!$A$6:$CZ$403,45,FALSE)+VLOOKUP($A257,'1.3.21-28.2.22'!$A$6:$DA$404,45,FALSE)-VLOOKUP($A257,'01-02.2022'!$A$6:$DA$376,45,FALSE)</f>
        <v>7700.2334681588172</v>
      </c>
      <c r="AT257" s="566">
        <f>VLOOKUP($A257,'01-02.2021'!$A$6:$CZ$403,46,FALSE)+VLOOKUP($A257,'1.3.21-28.2.22'!$A$6:$DA$404,46,FALSE)-VLOOKUP($A257,'01-02.2022'!$A$6:$DA$376,46,FALSE)</f>
        <v>23929.33</v>
      </c>
      <c r="AU257" s="78">
        <f t="shared" si="252"/>
        <v>16229.096531841184</v>
      </c>
      <c r="AV257" s="566">
        <f>VLOOKUP($A257,'01-02.2021'!$A$6:$CZ$403,48,FALSE)+VLOOKUP($A257,'1.3.21-28.2.22'!$A$6:$DA$404,48,FALSE)-VLOOKUP($A257,'01-02.2022'!$A$6:$DA$376,48,FALSE)</f>
        <v>1012.6097264313639</v>
      </c>
      <c r="AW257" s="566">
        <f>VLOOKUP($A257,'01-02.2021'!$A$6:$CZ$403,49,FALSE)+VLOOKUP($A257,'1.3.21-28.2.22'!$A$6:$DA$404,49,FALSE)-VLOOKUP($A257,'01-02.2022'!$A$6:$DA$376,49,FALSE)</f>
        <v>0</v>
      </c>
      <c r="AX257" s="55">
        <f t="shared" si="253"/>
        <v>-1012.6097264313639</v>
      </c>
      <c r="AY257" s="566">
        <f>VLOOKUP($A257,'01-02.2021'!$A$6:$CZ$403,51,FALSE)+VLOOKUP($A257,'1.3.21-28.2.22'!$A$6:$DA$404,51,FALSE)-VLOOKUP($A257,'01-02.2022'!$A$6:$DA$376,51,FALSE)</f>
        <v>1126.5391235366878</v>
      </c>
      <c r="AZ257" s="566">
        <f>VLOOKUP($A257,'01-02.2021'!$A$6:$CZ$403,52,FALSE)+VLOOKUP($A257,'1.3.21-28.2.22'!$A$6:$DA$404,52,FALSE)-VLOOKUP($A257,'01-02.2022'!$A$6:$DA$376,52,FALSE)</f>
        <v>0</v>
      </c>
      <c r="BA257" s="38">
        <f t="shared" si="254"/>
        <v>-1126.5391235366878</v>
      </c>
      <c r="BB257" s="566">
        <f>VLOOKUP($A257,'01-02.2021'!$A$6:$CZ$403,54,FALSE)+VLOOKUP($A257,'1.3.21-28.2.22'!$A$6:$DA$404,54,FALSE)-VLOOKUP($A257,'01-02.2022'!$A$6:$DA$376,54,FALSE)</f>
        <v>328.23400953452153</v>
      </c>
      <c r="BC257" s="566">
        <f>VLOOKUP($A257,'01-02.2021'!$A$6:$CZ$403,55,FALSE)+VLOOKUP($A257,'1.3.21-28.2.22'!$A$6:$DA$404,55,FALSE)-VLOOKUP($A257,'01-02.2022'!$A$6:$DA$376,55,FALSE)</f>
        <v>532</v>
      </c>
      <c r="BD257" s="55">
        <f t="shared" si="255"/>
        <v>203.76599046547847</v>
      </c>
      <c r="BE257" s="566">
        <f>VLOOKUP($A257,'01-02.2021'!$A$6:$CZ$403,57,FALSE)+VLOOKUP($A257,'1.3.21-28.2.22'!$A$6:$DA$404,57,FALSE)-VLOOKUP($A257,'01-02.2022'!$A$6:$DA$376,57,FALSE)</f>
        <v>0</v>
      </c>
      <c r="BF257" s="566">
        <f>VLOOKUP($A257,'01-02.2021'!$A$6:$CZ$403,58,FALSE)+VLOOKUP($A257,'1.3.21-28.2.22'!$A$6:$DA$404,58,FALSE)-VLOOKUP($A257,'01-02.2022'!$A$6:$DA$376,58,FALSE)</f>
        <v>0</v>
      </c>
      <c r="BG257" s="55">
        <f t="shared" si="256"/>
        <v>0</v>
      </c>
      <c r="BH257" s="566">
        <f>VLOOKUP($A257,'01-02.2021'!$A$6:$CZ$403,60,FALSE)+VLOOKUP($A257,'1.3.21-28.2.22'!$A$6:$DA$404,60,FALSE)-VLOOKUP($A257,'01-02.2022'!$A$6:$DA$376,60,FALSE)</f>
        <v>0</v>
      </c>
      <c r="BI257" s="566">
        <f>VLOOKUP($A257,'01-02.2021'!$A$6:$CZ$403,61,FALSE)+VLOOKUP($A257,'1.3.21-28.2.22'!$A$6:$DA$404,61,FALSE)-VLOOKUP($A257,'01-02.2022'!$A$6:$DA$376,61,FALSE)</f>
        <v>0</v>
      </c>
      <c r="BJ257" s="55">
        <f t="shared" si="257"/>
        <v>0</v>
      </c>
      <c r="BK257" s="566">
        <f>VLOOKUP($A257,'01-02.2021'!$A$6:$CZ$403,63,FALSE)+VLOOKUP($A257,'1.3.21-28.2.22'!$A$6:$DA$404,63,FALSE)-VLOOKUP($A257,'01-02.2022'!$A$6:$DA$376,63,FALSE)</f>
        <v>104.41206486093597</v>
      </c>
      <c r="BL257" s="566">
        <f>VLOOKUP($A257,'01-02.2021'!$A$6:$CZ$403,64,FALSE)+VLOOKUP($A257,'1.3.21-28.2.22'!$A$6:$DA$404,64,FALSE)-VLOOKUP($A257,'01-02.2022'!$A$6:$DA$376,64,FALSE)</f>
        <v>0</v>
      </c>
      <c r="BM257" s="55">
        <f t="shared" si="258"/>
        <v>-104.41206486093597</v>
      </c>
      <c r="BN257" s="566">
        <f>VLOOKUP($A257,'01-02.2021'!$A$6:$CZ$403,66,FALSE)+VLOOKUP($A257,'1.3.21-28.2.22'!$A$6:$DA$404,66,FALSE)-VLOOKUP($A257,'01-02.2022'!$A$6:$DA$376,66,FALSE)</f>
        <v>30.164999999999996</v>
      </c>
      <c r="BO257" s="566">
        <f>VLOOKUP($A257,'01-02.2021'!$A$6:$CZ$403,67,FALSE)+VLOOKUP($A257,'1.3.21-28.2.22'!$A$6:$DA$404,67,FALSE)-VLOOKUP($A257,'01-02.2022'!$A$6:$DA$376,67,FALSE)</f>
        <v>0</v>
      </c>
      <c r="BP257" s="55">
        <f t="shared" si="259"/>
        <v>-30.164999999999996</v>
      </c>
      <c r="BQ257" s="77">
        <f t="shared" si="287"/>
        <v>2601.9599243635093</v>
      </c>
      <c r="BR257" s="40">
        <f t="shared" ref="BR257:BR284" si="315">AW257+AZ257+BC257+BF257+BI257+BL257+BO257</f>
        <v>532</v>
      </c>
      <c r="BS257" s="55">
        <f t="shared" si="314"/>
        <v>-2069.9599243635093</v>
      </c>
      <c r="BT257" s="566">
        <f>VLOOKUP($A257,'01-02.2021'!$A$6:$CZ$403,72,FALSE)+VLOOKUP($A257,'1.3.21-28.2.22'!$A$6:$DA$404,72,FALSE)-VLOOKUP($A257,'01-02.2022'!$A$6:$DA$376,72,FALSE)</f>
        <v>7445.3604079016004</v>
      </c>
      <c r="BU257" s="566">
        <f>VLOOKUP($A257,'01-02.2021'!$A$6:$CZ$403,73,FALSE)+VLOOKUP($A257,'1.3.21-28.2.22'!$A$6:$DA$404,73,FALSE)-VLOOKUP($A257,'01-02.2022'!$A$6:$DA$376,73,FALSE)</f>
        <v>9281.9698566299685</v>
      </c>
      <c r="BV257" s="70">
        <f t="shared" si="260"/>
        <v>1836.6094487283681</v>
      </c>
      <c r="BW257" s="566">
        <f>VLOOKUP($A257,'01-02.2021'!$A$6:$CZ$403,75,FALSE)+VLOOKUP($A257,'1.3.21-28.2.22'!$A$6:$DA$404,75,FALSE)-VLOOKUP($A257,'01-02.2022'!$A$6:$DA$376,75,FALSE)</f>
        <v>4073.1262634438372</v>
      </c>
      <c r="BX257" s="566">
        <f>VLOOKUP($A257,'01-02.2021'!$A$6:$CZ$403,76,FALSE)+VLOOKUP($A257,'1.3.21-28.2.22'!$A$6:$DA$404,76,FALSE)-VLOOKUP($A257,'01-02.2022'!$A$6:$DA$376,76,FALSE)</f>
        <v>3964.844719607308</v>
      </c>
      <c r="BY257" s="70">
        <f t="shared" si="261"/>
        <v>-108.28154383652918</v>
      </c>
      <c r="BZ257" s="566">
        <f>VLOOKUP($A257,'01-02.2021'!$A$6:$CZ$403,78,FALSE)+VLOOKUP($A257,'1.3.21-28.2.22'!$A$6:$DA$404,78,FALSE)-VLOOKUP($A257,'01-02.2022'!$A$6:$DA$376,78,FALSE)</f>
        <v>1980.5614171581121</v>
      </c>
      <c r="CA257" s="566">
        <f>VLOOKUP($A257,'01-02.2021'!$A$6:$CZ$403,79,FALSE)+VLOOKUP($A257,'1.3.21-28.2.22'!$A$6:$DA$404,79,FALSE)-VLOOKUP($A257,'01-02.2022'!$A$6:$DA$376,79,FALSE)</f>
        <v>1794.2753591084759</v>
      </c>
      <c r="CB257" s="70">
        <f t="shared" si="262"/>
        <v>-186.28605804963627</v>
      </c>
      <c r="CC257" s="566">
        <f>VLOOKUP($A257,'01-02.2021'!$A$6:$CZ$403,81,FALSE)+VLOOKUP($A257,'1.3.21-28.2.22'!$A$6:$DA$404,81,FALSE)-VLOOKUP($A257,'01-02.2022'!$A$6:$DA$376,81,FALSE)</f>
        <v>0</v>
      </c>
      <c r="CD257" s="566">
        <f>VLOOKUP($A257,'01-02.2021'!$A$6:$CZ$403,82,FALSE)+VLOOKUP($A257,'1.3.21-28.2.22'!$A$6:$DA$404,82,FALSE)-VLOOKUP($A257,'01-02.2022'!$A$6:$DA$376,82,FALSE)</f>
        <v>0</v>
      </c>
      <c r="CE257" s="70">
        <f t="shared" si="263"/>
        <v>0</v>
      </c>
      <c r="CF257" s="566">
        <f>VLOOKUP($A257,'01-02.2021'!$A$6:$CZ$403,84,FALSE)+VLOOKUP($A257,'1.3.21-28.2.22'!$A$6:$DA$404,84,FALSE)-VLOOKUP($A257,'01-02.2022'!$A$6:$DA$376,84,FALSE)</f>
        <v>0</v>
      </c>
      <c r="CG257" s="566">
        <f>VLOOKUP($A257,'01-02.2021'!$A$6:$CZ$403,85,FALSE)+VLOOKUP($A257,'1.3.21-28.2.22'!$A$6:$DA$404,85,FALSE)-VLOOKUP($A257,'01-02.2022'!$A$6:$DA$376,85,FALSE)</f>
        <v>0</v>
      </c>
      <c r="CH257" s="70">
        <f t="shared" si="264"/>
        <v>0</v>
      </c>
      <c r="CI257" s="566">
        <f>VLOOKUP($A257,'01-02.2021'!$A$6:$CZ$403,87,FALSE)+VLOOKUP($A257,'1.3.21-28.2.22'!$A$6:$DA$404,87,FALSE)-VLOOKUP($A257,'01-02.2022'!$A$6:$DA$376,87,FALSE)</f>
        <v>732.6422541344831</v>
      </c>
      <c r="CJ257" s="566">
        <f>VLOOKUP($A257,'01-02.2021'!$A$6:$CZ$403,88,FALSE)+VLOOKUP($A257,'1.3.21-28.2.22'!$A$6:$DA$404,88,FALSE)-VLOOKUP($A257,'01-02.2022'!$A$6:$DA$376,88,FALSE)</f>
        <v>359.28098584361601</v>
      </c>
      <c r="CK257" s="70">
        <f t="shared" si="265"/>
        <v>-373.36126829086709</v>
      </c>
      <c r="CL257" s="566">
        <f>VLOOKUP($A257,'01-02.2021'!$A$6:$CZ$403,90,FALSE)+VLOOKUP($A257,'1.3.21-28.2.22'!$A$6:$DA$404,90,FALSE)-VLOOKUP($A257,'01-02.2022'!$A$6:$DA$376,90,FALSE)</f>
        <v>0</v>
      </c>
      <c r="CM257" s="566">
        <f>VLOOKUP($A257,'01-02.2021'!$A$6:$CZ$403,91,FALSE)+VLOOKUP($A257,'1.3.21-28.2.22'!$A$6:$DA$404,91,FALSE)-VLOOKUP($A257,'01-02.2022'!$A$6:$DA$376,91,FALSE)</f>
        <v>0</v>
      </c>
      <c r="CN257" s="52">
        <f t="shared" si="303"/>
        <v>0</v>
      </c>
      <c r="CO257" s="39">
        <f t="shared" si="298"/>
        <v>732.6422541344831</v>
      </c>
      <c r="CP257" s="40">
        <f t="shared" si="304"/>
        <v>359.28098584361601</v>
      </c>
      <c r="CQ257" s="52">
        <f t="shared" si="305"/>
        <v>-373.36126829086709</v>
      </c>
      <c r="CR257" s="72">
        <f t="shared" si="299"/>
        <v>34577.793222164684</v>
      </c>
      <c r="CS257" s="5">
        <f t="shared" si="299"/>
        <v>49745.149805170651</v>
      </c>
      <c r="CT257" s="52">
        <f t="shared" si="306"/>
        <v>15167.356583005967</v>
      </c>
      <c r="CU257" s="77">
        <f t="shared" si="307"/>
        <v>41493.351866597623</v>
      </c>
      <c r="CV257" s="65">
        <f t="shared" si="308"/>
        <v>59694.179766204776</v>
      </c>
      <c r="CW257" s="35">
        <f t="shared" si="309"/>
        <v>18200.827899607153</v>
      </c>
      <c r="CX257" s="566">
        <f>VLOOKUP($A257,'01-02.2021'!$A$6:$CZ$403,102,FALSE)+VLOOKUP($A257,'1.3.21-28.2.22'!$A$6:$DA$404,102,FALSE)-VLOOKUP($A257,'01-02.2022'!$A$6:$DA$376,102,FALSE)</f>
        <v>1177.6528516471908</v>
      </c>
      <c r="CY257" s="566">
        <f>VLOOKUP($A257,'01-02.2021'!$A$6:$CZ$403,103,FALSE)+VLOOKUP($A257,'1.3.21-28.2.22'!$A$6:$DA$404,103,FALSE)-VLOOKUP($A257,'01-02.2022'!$A$6:$DA$376,103,FALSE)</f>
        <v>-17023.175047959961</v>
      </c>
      <c r="CZ257" s="52">
        <f t="shared" si="310"/>
        <v>-18200.827899607153</v>
      </c>
      <c r="DA257" s="150">
        <f>'[2]побудинковий звіт'!DA257</f>
        <v>11229.354239847755</v>
      </c>
      <c r="DB257" s="2">
        <v>2</v>
      </c>
      <c r="DC257" s="414">
        <f>'[4]побудинковий звіт'!DC257</f>
        <v>19130.72</v>
      </c>
      <c r="DD257" s="414">
        <f>'[4]побудинковий звіт'!DD257</f>
        <v>0</v>
      </c>
      <c r="DE257" s="557">
        <f>'[4]побудинковий звіт'!DE257</f>
        <v>15256.505828016238</v>
      </c>
      <c r="DF257" s="557">
        <f>'[4]побудинковий звіт'!DF257</f>
        <v>0</v>
      </c>
      <c r="DG257" s="321">
        <f>VLOOKUP(A257,'кошти 01.03.2021'!$A$6:$D$401,4,)</f>
        <v>-6645.3947606908478</v>
      </c>
      <c r="DH257" s="40">
        <f>'[3]побудинковий звіт'!DJ257</f>
        <v>44176.271668317124</v>
      </c>
      <c r="DI257" s="422">
        <f>'[3]побудинковий звіт'!CU257+'[3]побудинковий звіт'!CX257</f>
        <v>3874.2141719837632</v>
      </c>
      <c r="DJ257" s="306">
        <f>'[3]побудинковий звіт'!DM257</f>
        <v>6.4217042466165477</v>
      </c>
      <c r="DK257" s="306">
        <f t="shared" si="311"/>
        <v>6.4217042466165477</v>
      </c>
      <c r="DL257" s="306">
        <f>'[3]побудинковий звіт'!DO257</f>
        <v>5.5984128955008901</v>
      </c>
      <c r="DM257" s="28">
        <f t="shared" si="312"/>
        <v>3874.2141719837628</v>
      </c>
      <c r="DN257" s="28">
        <f t="shared" si="313"/>
        <v>0</v>
      </c>
      <c r="DO257" s="423">
        <f t="shared" si="238"/>
        <v>3874.2141719837628</v>
      </c>
      <c r="DP257" s="94">
        <f t="shared" si="239"/>
        <v>0</v>
      </c>
      <c r="DQ257" s="28">
        <f t="shared" si="240"/>
        <v>3874.2141719837628</v>
      </c>
      <c r="DR257" s="318"/>
      <c r="DT257" s="8"/>
      <c r="DU257" s="5"/>
      <c r="DX257" s="5">
        <f t="shared" si="241"/>
        <v>12362.632071026792</v>
      </c>
      <c r="DY257" s="5">
        <f t="shared" si="242"/>
        <v>29353.596000000001</v>
      </c>
      <c r="DZ257" s="159">
        <f>'[3]побудинковий звіт'!EA257</f>
        <v>1102.9073017009889</v>
      </c>
    </row>
    <row r="258" spans="1:130" x14ac:dyDescent="0.3">
      <c r="A258" s="325">
        <v>150000670</v>
      </c>
      <c r="B258" s="41" t="s">
        <v>704</v>
      </c>
      <c r="C258" s="42" t="s">
        <v>127</v>
      </c>
      <c r="D258" s="42"/>
      <c r="E258" s="293">
        <f t="shared" si="296"/>
        <v>211.6</v>
      </c>
      <c r="F258" s="305">
        <f>'[3]побудинковий звіт'!F258</f>
        <v>211.6</v>
      </c>
      <c r="G258" s="508">
        <f>'[3]побудинковий звіт'!G258</f>
        <v>0</v>
      </c>
      <c r="H258" s="560">
        <f>'[3]побудинковий звіт'!H258</f>
        <v>0</v>
      </c>
      <c r="I258" s="566"/>
      <c r="J258" s="566"/>
      <c r="K258" s="52">
        <f t="shared" si="300"/>
        <v>0</v>
      </c>
      <c r="L258" s="566"/>
      <c r="M258" s="566"/>
      <c r="N258" s="52">
        <f t="shared" si="301"/>
        <v>0</v>
      </c>
      <c r="O258" s="566"/>
      <c r="P258" s="566"/>
      <c r="Q258" s="70"/>
      <c r="R258" s="566"/>
      <c r="S258" s="566"/>
      <c r="T258" s="70"/>
      <c r="U258" s="566"/>
      <c r="V258" s="566"/>
      <c r="W258" s="70"/>
      <c r="X258" s="566"/>
      <c r="Y258" s="566"/>
      <c r="Z258" s="70"/>
      <c r="AA258" s="566"/>
      <c r="AB258" s="566"/>
      <c r="AC258" s="70"/>
      <c r="AD258" s="566"/>
      <c r="AE258" s="566"/>
      <c r="AF258" s="68"/>
      <c r="AG258" s="77">
        <f t="shared" si="297"/>
        <v>0</v>
      </c>
      <c r="AH258" s="53">
        <f t="shared" si="297"/>
        <v>0</v>
      </c>
      <c r="AI258" s="52">
        <f t="shared" si="302"/>
        <v>0</v>
      </c>
      <c r="AJ258" s="566"/>
      <c r="AK258" s="566"/>
      <c r="AL258" s="70"/>
      <c r="AM258" s="566"/>
      <c r="AN258" s="566"/>
      <c r="AO258" s="70"/>
      <c r="AP258" s="566"/>
      <c r="AQ258" s="566"/>
      <c r="AR258" s="70"/>
      <c r="AS258" s="566"/>
      <c r="AT258" s="566"/>
      <c r="AU258" s="78"/>
      <c r="AV258" s="566"/>
      <c r="AW258" s="566"/>
      <c r="AX258" s="55"/>
      <c r="AY258" s="566"/>
      <c r="AZ258" s="566"/>
      <c r="BA258" s="38"/>
      <c r="BB258" s="566"/>
      <c r="BC258" s="566"/>
      <c r="BD258" s="55"/>
      <c r="BE258" s="566"/>
      <c r="BF258" s="566"/>
      <c r="BG258" s="55"/>
      <c r="BH258" s="566"/>
      <c r="BI258" s="566"/>
      <c r="BJ258" s="55"/>
      <c r="BK258" s="566"/>
      <c r="BL258" s="566"/>
      <c r="BM258" s="55"/>
      <c r="BN258" s="566"/>
      <c r="BO258" s="566"/>
      <c r="BP258" s="55"/>
      <c r="BQ258" s="77">
        <f t="shared" si="287"/>
        <v>0</v>
      </c>
      <c r="BR258" s="40">
        <f t="shared" si="315"/>
        <v>0</v>
      </c>
      <c r="BS258" s="55">
        <f t="shared" si="314"/>
        <v>0</v>
      </c>
      <c r="BT258" s="566"/>
      <c r="BU258" s="566"/>
      <c r="BV258" s="70"/>
      <c r="BW258" s="566"/>
      <c r="BX258" s="566"/>
      <c r="BY258" s="70"/>
      <c r="BZ258" s="566"/>
      <c r="CA258" s="566"/>
      <c r="CB258" s="70"/>
      <c r="CC258" s="566"/>
      <c r="CD258" s="566"/>
      <c r="CE258" s="70"/>
      <c r="CF258" s="566"/>
      <c r="CG258" s="566"/>
      <c r="CH258" s="70"/>
      <c r="CI258" s="566"/>
      <c r="CJ258" s="566"/>
      <c r="CK258" s="70"/>
      <c r="CL258" s="566"/>
      <c r="CM258" s="566"/>
      <c r="CN258" s="52">
        <f t="shared" si="303"/>
        <v>0</v>
      </c>
      <c r="CO258" s="39">
        <f t="shared" si="298"/>
        <v>0</v>
      </c>
      <c r="CP258" s="40">
        <f t="shared" si="304"/>
        <v>0</v>
      </c>
      <c r="CQ258" s="52">
        <f t="shared" si="305"/>
        <v>0</v>
      </c>
      <c r="CR258" s="72">
        <f t="shared" si="299"/>
        <v>0</v>
      </c>
      <c r="CS258" s="5">
        <f t="shared" si="299"/>
        <v>0</v>
      </c>
      <c r="CT258" s="52">
        <f t="shared" si="306"/>
        <v>0</v>
      </c>
      <c r="CU258" s="77">
        <f t="shared" si="307"/>
        <v>0</v>
      </c>
      <c r="CV258" s="65">
        <f t="shared" si="308"/>
        <v>0</v>
      </c>
      <c r="CW258" s="35">
        <f t="shared" si="309"/>
        <v>0</v>
      </c>
      <c r="CX258" s="566"/>
      <c r="CY258" s="566"/>
      <c r="CZ258" s="52">
        <f t="shared" si="310"/>
        <v>0</v>
      </c>
      <c r="DA258" s="150">
        <f>'[2]побудинковий звіт'!DA258</f>
        <v>-8247.3730706945043</v>
      </c>
      <c r="DB258" s="2">
        <v>2</v>
      </c>
      <c r="DC258" s="414">
        <f>'[4]побудинковий звіт'!DC258</f>
        <v>1739.3</v>
      </c>
      <c r="DD258" s="414">
        <f>'[4]побудинковий звіт'!DD258</f>
        <v>0</v>
      </c>
      <c r="DE258" s="557">
        <f>'[4]побудинковий звіт'!DE258</f>
        <v>1361.1221517196993</v>
      </c>
      <c r="DF258" s="557">
        <f>'[4]побудинковий звіт'!DF258</f>
        <v>0</v>
      </c>
      <c r="DG258" s="321">
        <f>VLOOKUP(A258,'кошти 01.03.2021'!$A$6:$D$401,4,)</f>
        <v>-6548.455420362402</v>
      </c>
      <c r="DH258" s="40">
        <f>'[3]побудинковий звіт'!DJ258</f>
        <v>4303.8187543236781</v>
      </c>
      <c r="DI258" s="422">
        <f>'[3]побудинковий звіт'!CU258+'[3]побудинковий звіт'!CX258</f>
        <v>378.17784828030057</v>
      </c>
      <c r="DJ258" s="306">
        <f>'[3]побудинковий звіт'!DM258</f>
        <v>1.7872299068067135</v>
      </c>
      <c r="DK258" s="306">
        <f t="shared" si="311"/>
        <v>1.7872299068067135</v>
      </c>
      <c r="DL258" s="306">
        <f>'[3]побудинковий звіт'!DO258</f>
        <v>1.7872299068067135</v>
      </c>
      <c r="DM258" s="28">
        <f t="shared" si="312"/>
        <v>378.17784828030057</v>
      </c>
      <c r="DN258" s="28">
        <f t="shared" si="313"/>
        <v>0</v>
      </c>
      <c r="DO258" s="423">
        <f t="shared" si="238"/>
        <v>378.17784828030057</v>
      </c>
      <c r="DP258" s="94">
        <f t="shared" si="239"/>
        <v>0</v>
      </c>
      <c r="DQ258" s="28">
        <f t="shared" si="240"/>
        <v>378.17784828030057</v>
      </c>
      <c r="DR258" s="318"/>
      <c r="DT258" s="8"/>
      <c r="DU258" s="5"/>
      <c r="DX258" s="5">
        <f t="shared" si="241"/>
        <v>0</v>
      </c>
      <c r="DY258" s="5">
        <f t="shared" si="242"/>
        <v>0</v>
      </c>
      <c r="DZ258" s="159">
        <f>'[3]побудинковий звіт'!EA258</f>
        <v>291.74031588348095</v>
      </c>
    </row>
    <row r="259" spans="1:130" x14ac:dyDescent="0.3">
      <c r="A259" s="325">
        <v>150000676</v>
      </c>
      <c r="B259" s="41" t="s">
        <v>705</v>
      </c>
      <c r="C259" s="42" t="s">
        <v>386</v>
      </c>
      <c r="D259" s="42"/>
      <c r="E259" s="293">
        <f t="shared" si="296"/>
        <v>4198.2</v>
      </c>
      <c r="F259" s="305">
        <f>'[3]побудинковий звіт'!F259</f>
        <v>4198.2</v>
      </c>
      <c r="G259" s="508">
        <f>'[3]побудинковий звіт'!G259</f>
        <v>460.2</v>
      </c>
      <c r="H259" s="560">
        <f>'[3]побудинковий звіт'!H259</f>
        <v>0</v>
      </c>
      <c r="I259" s="566">
        <f>VLOOKUP($A259,'01-02.2021'!$A$6:$CZ$403,9,FALSE)+VLOOKUP($A259,'1.3.21-28.2.22'!$A$6:$DA$404,9,FALSE)-VLOOKUP($A259,'01-02.2022'!$A$6:$DA$376,9,FALSE)</f>
        <v>14779.720652945563</v>
      </c>
      <c r="J259" s="566">
        <f>VLOOKUP($A259,'01-02.2021'!$A$6:$CZ$403,10,FALSE)+VLOOKUP($A259,'1.3.21-28.2.22'!$A$6:$DA$404,10,FALSE)-VLOOKUP($A259,'01-02.2022'!$A$6:$DA$376,10,FALSE)</f>
        <v>16272.796996436406</v>
      </c>
      <c r="K259" s="52">
        <f t="shared" si="300"/>
        <v>1493.0763434908422</v>
      </c>
      <c r="L259" s="566">
        <f>VLOOKUP($A259,'01-02.2021'!$A$6:$CZ$403,12,FALSE)+VLOOKUP($A259,'1.3.21-28.2.22'!$A$6:$DA$404,12,FALSE)-VLOOKUP($A259,'01-02.2022'!$A$6:$DA$376,12,FALSE)</f>
        <v>2306.3211617080005</v>
      </c>
      <c r="M259" s="566">
        <f>VLOOKUP($A259,'01-02.2021'!$A$6:$CZ$403,13,FALSE)+VLOOKUP($A259,'1.3.21-28.2.22'!$A$6:$DA$404,13,FALSE)-VLOOKUP($A259,'01-02.2022'!$A$6:$DA$376,13,FALSE)</f>
        <v>2539.315040903808</v>
      </c>
      <c r="N259" s="52">
        <f t="shared" si="301"/>
        <v>232.99387919580749</v>
      </c>
      <c r="O259" s="566">
        <f>VLOOKUP($A259,'01-02.2021'!$A$6:$CZ$403,15,FALSE)+VLOOKUP($A259,'1.3.21-28.2.22'!$A$6:$DA$404,15,FALSE)-VLOOKUP($A259,'01-02.2022'!$A$6:$DA$376,15,FALSE)</f>
        <v>5562.471262076735</v>
      </c>
      <c r="P259" s="566">
        <f>VLOOKUP($A259,'01-02.2021'!$A$6:$CZ$403,16,FALSE)+VLOOKUP($A259,'1.3.21-28.2.22'!$A$6:$DA$404,16,FALSE)-VLOOKUP($A259,'01-02.2022'!$A$6:$DA$376,16,FALSE)</f>
        <v>5562.4600000000009</v>
      </c>
      <c r="Q259" s="70">
        <f t="shared" si="243"/>
        <v>-1.1262076734055881E-2</v>
      </c>
      <c r="R259" s="566">
        <f>VLOOKUP($A259,'01-02.2021'!$A$6:$CZ$403,18,FALSE)+VLOOKUP($A259,'1.3.21-28.2.22'!$A$6:$DA$404,18,FALSE)-VLOOKUP($A259,'01-02.2022'!$A$6:$DA$376,18,FALSE)</f>
        <v>1384.3357055357581</v>
      </c>
      <c r="S259" s="566">
        <f>VLOOKUP($A259,'01-02.2021'!$A$6:$CZ$403,19,FALSE)+VLOOKUP($A259,'1.3.21-28.2.22'!$A$6:$DA$404,19,FALSE)-VLOOKUP($A259,'01-02.2022'!$A$6:$DA$376,19,FALSE)</f>
        <v>1384.3499999999997</v>
      </c>
      <c r="T259" s="70">
        <f t="shared" si="244"/>
        <v>1.4294464241629612E-2</v>
      </c>
      <c r="U259" s="566">
        <f>VLOOKUP($A259,'01-02.2021'!$A$6:$CZ$403,21,FALSE)+VLOOKUP($A259,'1.3.21-28.2.22'!$A$6:$DA$404,21,FALSE)-VLOOKUP($A259,'01-02.2022'!$A$6:$DA$376,21,FALSE)</f>
        <v>671.36656966572173</v>
      </c>
      <c r="V259" s="566">
        <f>VLOOKUP($A259,'01-02.2021'!$A$6:$CZ$403,22,FALSE)+VLOOKUP($A259,'1.3.21-28.2.22'!$A$6:$DA$404,22,FALSE)-VLOOKUP($A259,'01-02.2022'!$A$6:$DA$376,22,FALSE)</f>
        <v>2357.0325535682464</v>
      </c>
      <c r="W259" s="70">
        <f t="shared" si="245"/>
        <v>1685.6659839025247</v>
      </c>
      <c r="X259" s="566">
        <f>VLOOKUP($A259,'01-02.2021'!$A$6:$CZ$403,24,FALSE)+VLOOKUP($A259,'1.3.21-28.2.22'!$A$6:$DA$404,24,FALSE)-VLOOKUP($A259,'01-02.2022'!$A$6:$DA$376,24,FALSE)</f>
        <v>5604.3850558636641</v>
      </c>
      <c r="Y259" s="566">
        <f>VLOOKUP($A259,'01-02.2021'!$A$6:$CZ$403,25,FALSE)+VLOOKUP($A259,'1.3.21-28.2.22'!$A$6:$DA$404,25,FALSE)-VLOOKUP($A259,'01-02.2022'!$A$6:$DA$376,25,FALSE)</f>
        <v>7253.7465568758544</v>
      </c>
      <c r="Z259" s="70">
        <f t="shared" si="246"/>
        <v>1649.3615010121903</v>
      </c>
      <c r="AA259" s="566">
        <f>VLOOKUP($A259,'01-02.2021'!$A$6:$CZ$403,27,FALSE)+VLOOKUP($A259,'1.3.21-28.2.22'!$A$6:$DA$404,27,FALSE)-VLOOKUP($A259,'01-02.2022'!$A$6:$DA$376,27,FALSE)</f>
        <v>839.66000000000008</v>
      </c>
      <c r="AB259" s="566">
        <f>VLOOKUP($A259,'01-02.2021'!$A$6:$CZ$403,28,FALSE)+VLOOKUP($A259,'1.3.21-28.2.22'!$A$6:$DA$404,28,FALSE)-VLOOKUP($A259,'01-02.2022'!$A$6:$DA$376,28,FALSE)</f>
        <v>0</v>
      </c>
      <c r="AC259" s="70">
        <f t="shared" si="247"/>
        <v>-839.66000000000008</v>
      </c>
      <c r="AD259" s="566">
        <f>VLOOKUP($A259,'01-02.2021'!$A$6:$CZ$403,30,FALSE)+VLOOKUP($A259,'1.3.21-28.2.22'!$A$6:$DA$404,30,FALSE)-VLOOKUP($A259,'01-02.2022'!$A$6:$DA$376,30,FALSE)</f>
        <v>18032.61806904677</v>
      </c>
      <c r="AE259" s="566">
        <f>VLOOKUP($A259,'01-02.2021'!$A$6:$CZ$403,31,FALSE)+VLOOKUP($A259,'1.3.21-28.2.22'!$A$6:$DA$404,31,FALSE)-VLOOKUP($A259,'01-02.2022'!$A$6:$DA$376,31,FALSE)</f>
        <v>19110.609651041046</v>
      </c>
      <c r="AF259" s="68">
        <f t="shared" si="248"/>
        <v>1077.9915819942762</v>
      </c>
      <c r="AG259" s="77">
        <f t="shared" si="297"/>
        <v>49180.878476842212</v>
      </c>
      <c r="AH259" s="53">
        <f t="shared" si="297"/>
        <v>54480.310798825361</v>
      </c>
      <c r="AI259" s="52">
        <f t="shared" si="302"/>
        <v>5299.4323219831494</v>
      </c>
      <c r="AJ259" s="566">
        <f>VLOOKUP($A259,'01-02.2021'!$A$6:$CZ$403,36,FALSE)+VLOOKUP($A259,'1.3.21-28.2.22'!$A$6:$DA$404,36,FALSE)-VLOOKUP($A259,'01-02.2022'!$A$6:$DA$376,36,FALSE)</f>
        <v>33749.17271780486</v>
      </c>
      <c r="AK259" s="566">
        <f>VLOOKUP($A259,'01-02.2021'!$A$6:$CZ$403,37,FALSE)+VLOOKUP($A259,'1.3.21-28.2.22'!$A$6:$DA$404,37,FALSE)-VLOOKUP($A259,'01-02.2022'!$A$6:$DA$376,37,FALSE)</f>
        <v>33527.931028446576</v>
      </c>
      <c r="AL259" s="70">
        <f t="shared" si="249"/>
        <v>-221.24168935828493</v>
      </c>
      <c r="AM259" s="566">
        <f>VLOOKUP($A259,'01-02.2021'!$A$6:$CZ$403,39,FALSE)+VLOOKUP($A259,'1.3.21-28.2.22'!$A$6:$DA$404,39,FALSE)-VLOOKUP($A259,'01-02.2022'!$A$6:$DA$376,39,FALSE)</f>
        <v>1050.749425</v>
      </c>
      <c r="AN259" s="566">
        <f>VLOOKUP($A259,'01-02.2021'!$A$6:$CZ$403,40,FALSE)+VLOOKUP($A259,'1.3.21-28.2.22'!$A$6:$DA$404,40,FALSE)-VLOOKUP($A259,'01-02.2022'!$A$6:$DA$376,40,FALSE)</f>
        <v>132.1700624485191</v>
      </c>
      <c r="AO259" s="70">
        <f t="shared" si="250"/>
        <v>-918.57936255148093</v>
      </c>
      <c r="AP259" s="566">
        <f>VLOOKUP($A259,'01-02.2021'!$A$6:$CZ$403,42,FALSE)+VLOOKUP($A259,'1.3.21-28.2.22'!$A$6:$DA$404,42,FALSE)-VLOOKUP($A259,'01-02.2022'!$A$6:$DA$376,42,FALSE)</f>
        <v>3123.3595500766637</v>
      </c>
      <c r="AQ259" s="566">
        <f>VLOOKUP($A259,'01-02.2021'!$A$6:$CZ$403,43,FALSE)+VLOOKUP($A259,'1.3.21-28.2.22'!$A$6:$DA$404,43,FALSE)-VLOOKUP($A259,'01-02.2022'!$A$6:$DA$376,43,FALSE)</f>
        <v>2690.8111888111889</v>
      </c>
      <c r="AR259" s="70">
        <f t="shared" si="251"/>
        <v>-432.5483612654748</v>
      </c>
      <c r="AS259" s="566">
        <f>VLOOKUP($A259,'01-02.2021'!$A$6:$CZ$403,45,FALSE)+VLOOKUP($A259,'1.3.21-28.2.22'!$A$6:$DA$404,45,FALSE)-VLOOKUP($A259,'01-02.2022'!$A$6:$DA$376,45,FALSE)</f>
        <v>49666.406710741023</v>
      </c>
      <c r="AT259" s="566">
        <f>VLOOKUP($A259,'01-02.2021'!$A$6:$CZ$403,46,FALSE)+VLOOKUP($A259,'1.3.21-28.2.22'!$A$6:$DA$404,46,FALSE)-VLOOKUP($A259,'01-02.2022'!$A$6:$DA$376,46,FALSE)</f>
        <v>72273.42</v>
      </c>
      <c r="AU259" s="78">
        <f t="shared" si="252"/>
        <v>22607.013289258975</v>
      </c>
      <c r="AV259" s="566">
        <f>VLOOKUP($A259,'01-02.2021'!$A$6:$CZ$403,48,FALSE)+VLOOKUP($A259,'1.3.21-28.2.22'!$A$6:$DA$404,48,FALSE)-VLOOKUP($A259,'01-02.2022'!$A$6:$DA$376,48,FALSE)</f>
        <v>3124.9934252224498</v>
      </c>
      <c r="AW259" s="566">
        <f>VLOOKUP($A259,'01-02.2021'!$A$6:$CZ$403,49,FALSE)+VLOOKUP($A259,'1.3.21-28.2.22'!$A$6:$DA$404,49,FALSE)-VLOOKUP($A259,'01-02.2022'!$A$6:$DA$376,49,FALSE)</f>
        <v>3078</v>
      </c>
      <c r="AX259" s="55">
        <f t="shared" si="253"/>
        <v>-46.993425222449787</v>
      </c>
      <c r="AY259" s="566">
        <f>VLOOKUP($A259,'01-02.2021'!$A$6:$CZ$403,51,FALSE)+VLOOKUP($A259,'1.3.21-28.2.22'!$A$6:$DA$404,51,FALSE)-VLOOKUP($A259,'01-02.2022'!$A$6:$DA$376,51,FALSE)</f>
        <v>3501.0777124812148</v>
      </c>
      <c r="AZ259" s="566">
        <f>VLOOKUP($A259,'01-02.2021'!$A$6:$CZ$403,52,FALSE)+VLOOKUP($A259,'1.3.21-28.2.22'!$A$6:$DA$404,52,FALSE)-VLOOKUP($A259,'01-02.2022'!$A$6:$DA$376,52,FALSE)</f>
        <v>2055</v>
      </c>
      <c r="BA259" s="38">
        <f t="shared" si="254"/>
        <v>-1446.0777124812148</v>
      </c>
      <c r="BB259" s="566">
        <f>VLOOKUP($A259,'01-02.2021'!$A$6:$CZ$403,54,FALSE)+VLOOKUP($A259,'1.3.21-28.2.22'!$A$6:$DA$404,54,FALSE)-VLOOKUP($A259,'01-02.2022'!$A$6:$DA$376,54,FALSE)</f>
        <v>1804.3246422577456</v>
      </c>
      <c r="BC259" s="566">
        <f>VLOOKUP($A259,'01-02.2021'!$A$6:$CZ$403,55,FALSE)+VLOOKUP($A259,'1.3.21-28.2.22'!$A$6:$DA$404,55,FALSE)-VLOOKUP($A259,'01-02.2022'!$A$6:$DA$376,55,FALSE)</f>
        <v>0</v>
      </c>
      <c r="BD259" s="55">
        <f t="shared" si="255"/>
        <v>-1804.3246422577456</v>
      </c>
      <c r="BE259" s="566">
        <f>VLOOKUP($A259,'01-02.2021'!$A$6:$CZ$403,57,FALSE)+VLOOKUP($A259,'1.3.21-28.2.22'!$A$6:$DA$404,57,FALSE)-VLOOKUP($A259,'01-02.2022'!$A$6:$DA$376,57,FALSE)</f>
        <v>3134.8475653750279</v>
      </c>
      <c r="BF259" s="566">
        <f>VLOOKUP($A259,'01-02.2021'!$A$6:$CZ$403,58,FALSE)+VLOOKUP($A259,'1.3.21-28.2.22'!$A$6:$DA$404,58,FALSE)-VLOOKUP($A259,'01-02.2022'!$A$6:$DA$376,58,FALSE)</f>
        <v>0</v>
      </c>
      <c r="BG259" s="55">
        <f t="shared" si="256"/>
        <v>-3134.8475653750279</v>
      </c>
      <c r="BH259" s="566">
        <f>VLOOKUP($A259,'01-02.2021'!$A$6:$CZ$403,60,FALSE)+VLOOKUP($A259,'1.3.21-28.2.22'!$A$6:$DA$404,60,FALSE)-VLOOKUP($A259,'01-02.2022'!$A$6:$DA$376,60,FALSE)</f>
        <v>1275.6779514917541</v>
      </c>
      <c r="BI259" s="566">
        <f>VLOOKUP($A259,'01-02.2021'!$A$6:$CZ$403,61,FALSE)+VLOOKUP($A259,'1.3.21-28.2.22'!$A$6:$DA$404,61,FALSE)-VLOOKUP($A259,'01-02.2022'!$A$6:$DA$376,61,FALSE)</f>
        <v>2195</v>
      </c>
      <c r="BJ259" s="55">
        <f t="shared" si="257"/>
        <v>919.32204850824587</v>
      </c>
      <c r="BK259" s="566">
        <f>VLOOKUP($A259,'01-02.2021'!$A$6:$CZ$403,63,FALSE)+VLOOKUP($A259,'1.3.21-28.2.22'!$A$6:$DA$404,63,FALSE)-VLOOKUP($A259,'01-02.2022'!$A$6:$DA$376,63,FALSE)</f>
        <v>1900.5855754463805</v>
      </c>
      <c r="BL259" s="566">
        <f>VLOOKUP($A259,'01-02.2021'!$A$6:$CZ$403,64,FALSE)+VLOOKUP($A259,'1.3.21-28.2.22'!$A$6:$DA$404,64,FALSE)-VLOOKUP($A259,'01-02.2022'!$A$6:$DA$376,64,FALSE)</f>
        <v>0</v>
      </c>
      <c r="BM259" s="55">
        <f t="shared" si="258"/>
        <v>-1900.5855754463805</v>
      </c>
      <c r="BN259" s="566">
        <f>VLOOKUP($A259,'01-02.2021'!$A$6:$CZ$403,66,FALSE)+VLOOKUP($A259,'1.3.21-28.2.22'!$A$6:$DA$404,66,FALSE)-VLOOKUP($A259,'01-02.2022'!$A$6:$DA$376,66,FALSE)</f>
        <v>209.91500000000002</v>
      </c>
      <c r="BO259" s="566">
        <f>VLOOKUP($A259,'01-02.2021'!$A$6:$CZ$403,67,FALSE)+VLOOKUP($A259,'1.3.21-28.2.22'!$A$6:$DA$404,67,FALSE)-VLOOKUP($A259,'01-02.2022'!$A$6:$DA$376,67,FALSE)</f>
        <v>0</v>
      </c>
      <c r="BP259" s="55">
        <f t="shared" si="259"/>
        <v>-209.91500000000002</v>
      </c>
      <c r="BQ259" s="77">
        <f t="shared" si="287"/>
        <v>14951.421872274574</v>
      </c>
      <c r="BR259" s="40">
        <f t="shared" si="315"/>
        <v>7328</v>
      </c>
      <c r="BS259" s="55">
        <f t="shared" si="314"/>
        <v>-7623.4218722745736</v>
      </c>
      <c r="BT259" s="566">
        <f>VLOOKUP($A259,'01-02.2021'!$A$6:$CZ$403,72,FALSE)+VLOOKUP($A259,'1.3.21-28.2.22'!$A$6:$DA$404,72,FALSE)-VLOOKUP($A259,'01-02.2022'!$A$6:$DA$376,72,FALSE)</f>
        <v>49109.042882306778</v>
      </c>
      <c r="BU259" s="566">
        <f>VLOOKUP($A259,'01-02.2021'!$A$6:$CZ$403,73,FALSE)+VLOOKUP($A259,'1.3.21-28.2.22'!$A$6:$DA$404,73,FALSE)-VLOOKUP($A259,'01-02.2022'!$A$6:$DA$376,73,FALSE)</f>
        <v>48231.318541067601</v>
      </c>
      <c r="BV259" s="70">
        <f t="shared" si="260"/>
        <v>-877.72434123917628</v>
      </c>
      <c r="BW259" s="566">
        <f>VLOOKUP($A259,'01-02.2021'!$A$6:$CZ$403,75,FALSE)+VLOOKUP($A259,'1.3.21-28.2.22'!$A$6:$DA$404,75,FALSE)-VLOOKUP($A259,'01-02.2022'!$A$6:$DA$376,75,FALSE)</f>
        <v>30611.701553783205</v>
      </c>
      <c r="BX259" s="566">
        <f>VLOOKUP($A259,'01-02.2021'!$A$6:$CZ$403,76,FALSE)+VLOOKUP($A259,'1.3.21-28.2.22'!$A$6:$DA$404,76,FALSE)-VLOOKUP($A259,'01-02.2022'!$A$6:$DA$376,76,FALSE)</f>
        <v>28800.723201862682</v>
      </c>
      <c r="BY259" s="70">
        <f t="shared" si="261"/>
        <v>-1810.978351920523</v>
      </c>
      <c r="BZ259" s="566">
        <f>VLOOKUP($A259,'01-02.2021'!$A$6:$CZ$403,78,FALSE)+VLOOKUP($A259,'1.3.21-28.2.22'!$A$6:$DA$404,78,FALSE)-VLOOKUP($A259,'01-02.2022'!$A$6:$DA$376,78,FALSE)</f>
        <v>10449.168419155172</v>
      </c>
      <c r="CA259" s="566">
        <f>VLOOKUP($A259,'01-02.2021'!$A$6:$CZ$403,79,FALSE)+VLOOKUP($A259,'1.3.21-28.2.22'!$A$6:$DA$404,79,FALSE)-VLOOKUP($A259,'01-02.2022'!$A$6:$DA$376,79,FALSE)</f>
        <v>11241.462172210122</v>
      </c>
      <c r="CB259" s="70">
        <f t="shared" si="262"/>
        <v>792.29375305494978</v>
      </c>
      <c r="CC259" s="566">
        <f>VLOOKUP($A259,'01-02.2021'!$A$6:$CZ$403,81,FALSE)+VLOOKUP($A259,'1.3.21-28.2.22'!$A$6:$DA$404,81,FALSE)-VLOOKUP($A259,'01-02.2022'!$A$6:$DA$376,81,FALSE)</f>
        <v>487.1795749236702</v>
      </c>
      <c r="CD259" s="566">
        <f>VLOOKUP($A259,'01-02.2021'!$A$6:$CZ$403,82,FALSE)+VLOOKUP($A259,'1.3.21-28.2.22'!$A$6:$DA$404,82,FALSE)-VLOOKUP($A259,'01-02.2022'!$A$6:$DA$376,82,FALSE)</f>
        <v>525.4394245296005</v>
      </c>
      <c r="CE259" s="70">
        <f t="shared" si="263"/>
        <v>38.259849605930299</v>
      </c>
      <c r="CF259" s="566">
        <f>VLOOKUP($A259,'01-02.2021'!$A$6:$CZ$403,84,FALSE)+VLOOKUP($A259,'1.3.21-28.2.22'!$A$6:$DA$404,84,FALSE)-VLOOKUP($A259,'01-02.2022'!$A$6:$DA$376,84,FALSE)</f>
        <v>58.443178016171544</v>
      </c>
      <c r="CG259" s="566">
        <f>VLOOKUP($A259,'01-02.2021'!$A$6:$CZ$403,85,FALSE)+VLOOKUP($A259,'1.3.21-28.2.22'!$A$6:$DA$404,85,FALSE)-VLOOKUP($A259,'01-02.2022'!$A$6:$DA$376,85,FALSE)</f>
        <v>0</v>
      </c>
      <c r="CH259" s="70">
        <f t="shared" si="264"/>
        <v>-58.443178016171544</v>
      </c>
      <c r="CI259" s="566">
        <f>VLOOKUP($A259,'01-02.2021'!$A$6:$CZ$403,87,FALSE)+VLOOKUP($A259,'1.3.21-28.2.22'!$A$6:$DA$404,87,FALSE)-VLOOKUP($A259,'01-02.2022'!$A$6:$DA$376,87,FALSE)</f>
        <v>8962.2147954793127</v>
      </c>
      <c r="CJ259" s="566">
        <f>VLOOKUP($A259,'01-02.2021'!$A$6:$CZ$403,88,FALSE)+VLOOKUP($A259,'1.3.21-28.2.22'!$A$6:$DA$404,88,FALSE)-VLOOKUP($A259,'01-02.2022'!$A$6:$DA$376,88,FALSE)</f>
        <v>17397.639207670905</v>
      </c>
      <c r="CK259" s="70">
        <f t="shared" si="265"/>
        <v>8435.4244121915926</v>
      </c>
      <c r="CL259" s="566">
        <f>VLOOKUP($A259,'01-02.2021'!$A$6:$CZ$403,90,FALSE)+VLOOKUP($A259,'1.3.21-28.2.22'!$A$6:$DA$404,90,FALSE)-VLOOKUP($A259,'01-02.2022'!$A$6:$DA$376,90,FALSE)</f>
        <v>12610.164943218975</v>
      </c>
      <c r="CM259" s="566">
        <f>VLOOKUP($A259,'01-02.2021'!$A$6:$CZ$403,91,FALSE)+VLOOKUP($A259,'1.3.21-28.2.22'!$A$6:$DA$404,91,FALSE)-VLOOKUP($A259,'01-02.2022'!$A$6:$DA$376,91,FALSE)</f>
        <v>26098.03315681919</v>
      </c>
      <c r="CN259" s="52">
        <f t="shared" si="303"/>
        <v>13487.868213600215</v>
      </c>
      <c r="CO259" s="39">
        <f t="shared" si="298"/>
        <v>21572.379738698288</v>
      </c>
      <c r="CP259" s="40">
        <f t="shared" si="304"/>
        <v>43495.672364490092</v>
      </c>
      <c r="CQ259" s="52">
        <f t="shared" si="305"/>
        <v>21923.292625791804</v>
      </c>
      <c r="CR259" s="72">
        <f t="shared" si="299"/>
        <v>264009.90409962262</v>
      </c>
      <c r="CS259" s="5">
        <f t="shared" si="299"/>
        <v>302727.25878269179</v>
      </c>
      <c r="CT259" s="52">
        <f t="shared" si="306"/>
        <v>38717.354683069163</v>
      </c>
      <c r="CU259" s="77">
        <f t="shared" si="307"/>
        <v>316811.88491954713</v>
      </c>
      <c r="CV259" s="65">
        <f t="shared" si="308"/>
        <v>363272.71053923015</v>
      </c>
      <c r="CW259" s="35">
        <f t="shared" si="309"/>
        <v>46460.825619683019</v>
      </c>
      <c r="CX259" s="566">
        <f>VLOOKUP($A259,'01-02.2021'!$A$6:$CZ$403,102,FALSE)+VLOOKUP($A259,'1.3.21-28.2.22'!$A$6:$DA$404,102,FALSE)-VLOOKUP($A259,'01-02.2022'!$A$6:$DA$376,102,FALSE)</f>
        <v>11062.995896965429</v>
      </c>
      <c r="CY259" s="566">
        <f>VLOOKUP($A259,'01-02.2021'!$A$6:$CZ$403,103,FALSE)+VLOOKUP($A259,'1.3.21-28.2.22'!$A$6:$DA$404,103,FALSE)-VLOOKUP($A259,'01-02.2022'!$A$6:$DA$376,103,FALSE)</f>
        <v>-35397.829722717528</v>
      </c>
      <c r="CZ259" s="52">
        <f t="shared" si="310"/>
        <v>-46460.825619682961</v>
      </c>
      <c r="DA259" s="150">
        <f>'[2]побудинковий звіт'!DA259</f>
        <v>60430.569836561612</v>
      </c>
      <c r="DB259" s="2">
        <v>2</v>
      </c>
      <c r="DC259" s="414">
        <f>'[4]побудинковий звіт'!DC259</f>
        <v>90102.99</v>
      </c>
      <c r="DD259" s="414">
        <f>'[4]побудинковий звіт'!DD259</f>
        <v>0</v>
      </c>
      <c r="DE259" s="557">
        <f>'[4]побудинковий звіт'!DE259</f>
        <v>60397.095200378026</v>
      </c>
      <c r="DF259" s="557">
        <f>'[4]побудинковий звіт'!DF259</f>
        <v>0</v>
      </c>
      <c r="DG259" s="321">
        <f>VLOOKUP(A259,'кошти 01.03.2021'!$A$6:$D$401,4,)</f>
        <v>4603.3857551938381</v>
      </c>
      <c r="DH259" s="40">
        <f>'[3]побудинковий звіт'!DJ259</f>
        <v>339139.24647911353</v>
      </c>
      <c r="DI259" s="422">
        <f>'[3]побудинковий звіт'!CU259+'[3]побудинковий звіт'!CX259</f>
        <v>29705.894799621979</v>
      </c>
      <c r="DJ259" s="306">
        <f>'[3]побудинковий звіт'!DM259</f>
        <v>5.8748293012241479</v>
      </c>
      <c r="DK259" s="306">
        <f>'[3]побудинковий звіт'!DN259</f>
        <v>7.2237288269659246</v>
      </c>
      <c r="DL259" s="306">
        <f>'[3]побудинковий звіт'!DO259</f>
        <v>5.0025819474508628</v>
      </c>
      <c r="DM259" s="28">
        <f>DJ259*G259+(F259-G259)*DK259</f>
        <v>29705.894799621979</v>
      </c>
      <c r="DN259" s="28">
        <f>DL259*H259</f>
        <v>0</v>
      </c>
      <c r="DO259" s="423">
        <f t="shared" si="238"/>
        <v>29705.894799621979</v>
      </c>
      <c r="DP259" s="94">
        <f t="shared" si="239"/>
        <v>0</v>
      </c>
      <c r="DQ259" s="28">
        <f t="shared" si="240"/>
        <v>29705.894799621979</v>
      </c>
      <c r="DR259" s="318"/>
      <c r="DT259" s="8"/>
      <c r="DU259" s="5"/>
      <c r="DX259" s="5">
        <f t="shared" si="241"/>
        <v>77541.394299618711</v>
      </c>
      <c r="DY259" s="5">
        <f t="shared" si="242"/>
        <v>95521.703999999998</v>
      </c>
      <c r="DZ259" s="159">
        <f>'[3]побудинковий звіт'!EA259</f>
        <v>7120.505305963984</v>
      </c>
    </row>
    <row r="260" spans="1:130" x14ac:dyDescent="0.3">
      <c r="A260" s="325">
        <v>150000671</v>
      </c>
      <c r="B260" s="41" t="s">
        <v>706</v>
      </c>
      <c r="C260" s="42" t="s">
        <v>128</v>
      </c>
      <c r="D260" s="42"/>
      <c r="E260" s="293">
        <f t="shared" si="296"/>
        <v>229.7</v>
      </c>
      <c r="F260" s="305">
        <f>'[3]побудинковий звіт'!F260</f>
        <v>229.7</v>
      </c>
      <c r="G260" s="508">
        <f>'[3]побудинковий звіт'!G260</f>
        <v>0</v>
      </c>
      <c r="H260" s="560">
        <f>'[3]побудинковий звіт'!H260</f>
        <v>0</v>
      </c>
      <c r="I260" s="566">
        <f>VLOOKUP($A260,'01-02.2021'!$A$6:$CZ$403,9,FALSE)+VLOOKUP($A260,'1.3.21-28.2.22'!$A$6:$DA$404,9,FALSE)-VLOOKUP($A260,'01-02.2022'!$A$6:$DA$376,9,FALSE)</f>
        <v>0</v>
      </c>
      <c r="J260" s="566">
        <f>VLOOKUP($A260,'01-02.2021'!$A$6:$CZ$403,10,FALSE)+VLOOKUP($A260,'1.3.21-28.2.22'!$A$6:$DA$404,10,FALSE)-VLOOKUP($A260,'01-02.2022'!$A$6:$DA$376,10,FALSE)</f>
        <v>0</v>
      </c>
      <c r="K260" s="52">
        <f t="shared" si="300"/>
        <v>0</v>
      </c>
      <c r="L260" s="566">
        <f>VLOOKUP($A260,'01-02.2021'!$A$6:$CZ$403,12,FALSE)+VLOOKUP($A260,'1.3.21-28.2.22'!$A$6:$DA$404,12,FALSE)-VLOOKUP($A260,'01-02.2022'!$A$6:$DA$376,12,FALSE)</f>
        <v>0</v>
      </c>
      <c r="M260" s="566">
        <f>VLOOKUP($A260,'01-02.2021'!$A$6:$CZ$403,13,FALSE)+VLOOKUP($A260,'1.3.21-28.2.22'!$A$6:$DA$404,13,FALSE)-VLOOKUP($A260,'01-02.2022'!$A$6:$DA$376,13,FALSE)</f>
        <v>0</v>
      </c>
      <c r="N260" s="52">
        <f t="shared" si="301"/>
        <v>0</v>
      </c>
      <c r="O260" s="566">
        <f>VLOOKUP($A260,'01-02.2021'!$A$6:$CZ$403,15,FALSE)+VLOOKUP($A260,'1.3.21-28.2.22'!$A$6:$DA$404,15,FALSE)-VLOOKUP($A260,'01-02.2022'!$A$6:$DA$376,15,FALSE)</f>
        <v>0</v>
      </c>
      <c r="P260" s="566">
        <f>VLOOKUP($A260,'01-02.2021'!$A$6:$CZ$403,16,FALSE)+VLOOKUP($A260,'1.3.21-28.2.22'!$A$6:$DA$404,16,FALSE)-VLOOKUP($A260,'01-02.2022'!$A$6:$DA$376,16,FALSE)</f>
        <v>0</v>
      </c>
      <c r="Q260" s="70">
        <f t="shared" si="243"/>
        <v>0</v>
      </c>
      <c r="R260" s="566">
        <f>VLOOKUP($A260,'01-02.2021'!$A$6:$CZ$403,18,FALSE)+VLOOKUP($A260,'1.3.21-28.2.22'!$A$6:$DA$404,18,FALSE)-VLOOKUP($A260,'01-02.2022'!$A$6:$DA$376,18,FALSE)</f>
        <v>0</v>
      </c>
      <c r="S260" s="566">
        <f>VLOOKUP($A260,'01-02.2021'!$A$6:$CZ$403,19,FALSE)+VLOOKUP($A260,'1.3.21-28.2.22'!$A$6:$DA$404,19,FALSE)-VLOOKUP($A260,'01-02.2022'!$A$6:$DA$376,19,FALSE)</f>
        <v>0</v>
      </c>
      <c r="T260" s="70">
        <f t="shared" si="244"/>
        <v>0</v>
      </c>
      <c r="U260" s="566">
        <f>VLOOKUP($A260,'01-02.2021'!$A$6:$CZ$403,21,FALSE)+VLOOKUP($A260,'1.3.21-28.2.22'!$A$6:$DA$404,21,FALSE)-VLOOKUP($A260,'01-02.2022'!$A$6:$DA$376,21,FALSE)</f>
        <v>0</v>
      </c>
      <c r="V260" s="566">
        <f>VLOOKUP($A260,'01-02.2021'!$A$6:$CZ$403,22,FALSE)+VLOOKUP($A260,'1.3.21-28.2.22'!$A$6:$DA$404,22,FALSE)-VLOOKUP($A260,'01-02.2022'!$A$6:$DA$376,22,FALSE)</f>
        <v>0</v>
      </c>
      <c r="W260" s="70">
        <f t="shared" si="245"/>
        <v>0</v>
      </c>
      <c r="X260" s="566">
        <f>VLOOKUP($A260,'01-02.2021'!$A$6:$CZ$403,24,FALSE)+VLOOKUP($A260,'1.3.21-28.2.22'!$A$6:$DA$404,24,FALSE)-VLOOKUP($A260,'01-02.2022'!$A$6:$DA$376,24,FALSE)</f>
        <v>0</v>
      </c>
      <c r="Y260" s="566">
        <f>VLOOKUP($A260,'01-02.2021'!$A$6:$CZ$403,25,FALSE)+VLOOKUP($A260,'1.3.21-28.2.22'!$A$6:$DA$404,25,FALSE)-VLOOKUP($A260,'01-02.2022'!$A$6:$DA$376,25,FALSE)</f>
        <v>0</v>
      </c>
      <c r="Z260" s="70">
        <f t="shared" si="246"/>
        <v>0</v>
      </c>
      <c r="AA260" s="566">
        <f>VLOOKUP($A260,'01-02.2021'!$A$6:$CZ$403,27,FALSE)+VLOOKUP($A260,'1.3.21-28.2.22'!$A$6:$DA$404,27,FALSE)-VLOOKUP($A260,'01-02.2022'!$A$6:$DA$376,27,FALSE)</f>
        <v>45.38</v>
      </c>
      <c r="AB260" s="566">
        <f>VLOOKUP($A260,'01-02.2021'!$A$6:$CZ$403,28,FALSE)+VLOOKUP($A260,'1.3.21-28.2.22'!$A$6:$DA$404,28,FALSE)-VLOOKUP($A260,'01-02.2022'!$A$6:$DA$376,28,FALSE)</f>
        <v>0</v>
      </c>
      <c r="AC260" s="70">
        <f t="shared" si="247"/>
        <v>-45.38</v>
      </c>
      <c r="AD260" s="566">
        <f>VLOOKUP($A260,'01-02.2021'!$A$6:$CZ$403,30,FALSE)+VLOOKUP($A260,'1.3.21-28.2.22'!$A$6:$DA$404,30,FALSE)-VLOOKUP($A260,'01-02.2022'!$A$6:$DA$376,30,FALSE)</f>
        <v>363.26158725144069</v>
      </c>
      <c r="AE260" s="566">
        <f>VLOOKUP($A260,'01-02.2021'!$A$6:$CZ$403,31,FALSE)+VLOOKUP($A260,'1.3.21-28.2.22'!$A$6:$DA$404,31,FALSE)-VLOOKUP($A260,'01-02.2022'!$A$6:$DA$376,31,FALSE)</f>
        <v>1039.0489638931444</v>
      </c>
      <c r="AF260" s="68">
        <f t="shared" si="248"/>
        <v>675.78737664170376</v>
      </c>
      <c r="AG260" s="77">
        <f t="shared" si="297"/>
        <v>408.64158725144068</v>
      </c>
      <c r="AH260" s="53">
        <f t="shared" si="297"/>
        <v>1039.0489638931444</v>
      </c>
      <c r="AI260" s="52">
        <f t="shared" si="302"/>
        <v>630.40737664170376</v>
      </c>
      <c r="AJ260" s="566">
        <f>VLOOKUP($A260,'01-02.2021'!$A$6:$CZ$403,36,FALSE)+VLOOKUP($A260,'1.3.21-28.2.22'!$A$6:$DA$404,36,FALSE)-VLOOKUP($A260,'01-02.2022'!$A$6:$DA$376,36,FALSE)</f>
        <v>0</v>
      </c>
      <c r="AK260" s="566">
        <f>VLOOKUP($A260,'01-02.2021'!$A$6:$CZ$403,37,FALSE)+VLOOKUP($A260,'1.3.21-28.2.22'!$A$6:$DA$404,37,FALSE)-VLOOKUP($A260,'01-02.2022'!$A$6:$DA$376,37,FALSE)</f>
        <v>0</v>
      </c>
      <c r="AL260" s="70">
        <f t="shared" si="249"/>
        <v>0</v>
      </c>
      <c r="AM260" s="566">
        <f>VLOOKUP($A260,'01-02.2021'!$A$6:$CZ$403,39,FALSE)+VLOOKUP($A260,'1.3.21-28.2.22'!$A$6:$DA$404,39,FALSE)-VLOOKUP($A260,'01-02.2022'!$A$6:$DA$376,39,FALSE)</f>
        <v>0</v>
      </c>
      <c r="AN260" s="566">
        <f>VLOOKUP($A260,'01-02.2021'!$A$6:$CZ$403,40,FALSE)+VLOOKUP($A260,'1.3.21-28.2.22'!$A$6:$DA$404,40,FALSE)-VLOOKUP($A260,'01-02.2022'!$A$6:$DA$376,40,FALSE)</f>
        <v>0</v>
      </c>
      <c r="AO260" s="70">
        <f t="shared" si="250"/>
        <v>0</v>
      </c>
      <c r="AP260" s="566">
        <f>VLOOKUP($A260,'01-02.2021'!$A$6:$CZ$403,42,FALSE)+VLOOKUP($A260,'1.3.21-28.2.22'!$A$6:$DA$404,42,FALSE)-VLOOKUP($A260,'01-02.2022'!$A$6:$DA$376,42,FALSE)</f>
        <v>520.55992501277728</v>
      </c>
      <c r="AQ260" s="566">
        <f>VLOOKUP($A260,'01-02.2021'!$A$6:$CZ$403,43,FALSE)+VLOOKUP($A260,'1.3.21-28.2.22'!$A$6:$DA$404,43,FALSE)-VLOOKUP($A260,'01-02.2022'!$A$6:$DA$376,43,FALSE)</f>
        <v>448.76449922990878</v>
      </c>
      <c r="AR260" s="70">
        <f t="shared" si="251"/>
        <v>-71.795425782868506</v>
      </c>
      <c r="AS260" s="566">
        <f>VLOOKUP($A260,'01-02.2021'!$A$6:$CZ$403,45,FALSE)+VLOOKUP($A260,'1.3.21-28.2.22'!$A$6:$DA$404,45,FALSE)-VLOOKUP($A260,'01-02.2022'!$A$6:$DA$376,45,FALSE)</f>
        <v>2703.1245997796063</v>
      </c>
      <c r="AT260" s="566">
        <f>VLOOKUP($A260,'01-02.2021'!$A$6:$CZ$403,46,FALSE)+VLOOKUP($A260,'1.3.21-28.2.22'!$A$6:$DA$404,46,FALSE)-VLOOKUP($A260,'01-02.2022'!$A$6:$DA$376,46,FALSE)</f>
        <v>0</v>
      </c>
      <c r="AU260" s="78">
        <f t="shared" si="252"/>
        <v>-2703.1245997796063</v>
      </c>
      <c r="AV260" s="566">
        <f>VLOOKUP($A260,'01-02.2021'!$A$6:$CZ$403,48,FALSE)+VLOOKUP($A260,'1.3.21-28.2.22'!$A$6:$DA$404,48,FALSE)-VLOOKUP($A260,'01-02.2022'!$A$6:$DA$376,48,FALSE)</f>
        <v>0</v>
      </c>
      <c r="AW260" s="566">
        <f>VLOOKUP($A260,'01-02.2021'!$A$6:$CZ$403,49,FALSE)+VLOOKUP($A260,'1.3.21-28.2.22'!$A$6:$DA$404,49,FALSE)-VLOOKUP($A260,'01-02.2022'!$A$6:$DA$376,49,FALSE)</f>
        <v>0</v>
      </c>
      <c r="AX260" s="55">
        <f t="shared" si="253"/>
        <v>0</v>
      </c>
      <c r="AY260" s="566">
        <f>VLOOKUP($A260,'01-02.2021'!$A$6:$CZ$403,51,FALSE)+VLOOKUP($A260,'1.3.21-28.2.22'!$A$6:$DA$404,51,FALSE)-VLOOKUP($A260,'01-02.2022'!$A$6:$DA$376,51,FALSE)</f>
        <v>0</v>
      </c>
      <c r="AZ260" s="566">
        <f>VLOOKUP($A260,'01-02.2021'!$A$6:$CZ$403,52,FALSE)+VLOOKUP($A260,'1.3.21-28.2.22'!$A$6:$DA$404,52,FALSE)-VLOOKUP($A260,'01-02.2022'!$A$6:$DA$376,52,FALSE)</f>
        <v>0</v>
      </c>
      <c r="BA260" s="38">
        <f t="shared" si="254"/>
        <v>0</v>
      </c>
      <c r="BB260" s="566">
        <f>VLOOKUP($A260,'01-02.2021'!$A$6:$CZ$403,54,FALSE)+VLOOKUP($A260,'1.3.21-28.2.22'!$A$6:$DA$404,54,FALSE)-VLOOKUP($A260,'01-02.2022'!$A$6:$DA$376,54,FALSE)</f>
        <v>0</v>
      </c>
      <c r="BC260" s="566">
        <f>VLOOKUP($A260,'01-02.2021'!$A$6:$CZ$403,55,FALSE)+VLOOKUP($A260,'1.3.21-28.2.22'!$A$6:$DA$404,55,FALSE)-VLOOKUP($A260,'01-02.2022'!$A$6:$DA$376,55,FALSE)</f>
        <v>0</v>
      </c>
      <c r="BD260" s="55">
        <f t="shared" si="255"/>
        <v>0</v>
      </c>
      <c r="BE260" s="566">
        <f>VLOOKUP($A260,'01-02.2021'!$A$6:$CZ$403,57,FALSE)+VLOOKUP($A260,'1.3.21-28.2.22'!$A$6:$DA$404,57,FALSE)-VLOOKUP($A260,'01-02.2022'!$A$6:$DA$376,57,FALSE)</f>
        <v>0</v>
      </c>
      <c r="BF260" s="566">
        <f>VLOOKUP($A260,'01-02.2021'!$A$6:$CZ$403,58,FALSE)+VLOOKUP($A260,'1.3.21-28.2.22'!$A$6:$DA$404,58,FALSE)-VLOOKUP($A260,'01-02.2022'!$A$6:$DA$376,58,FALSE)</f>
        <v>0</v>
      </c>
      <c r="BG260" s="55">
        <f t="shared" si="256"/>
        <v>0</v>
      </c>
      <c r="BH260" s="566">
        <f>VLOOKUP($A260,'01-02.2021'!$A$6:$CZ$403,60,FALSE)+VLOOKUP($A260,'1.3.21-28.2.22'!$A$6:$DA$404,60,FALSE)-VLOOKUP($A260,'01-02.2022'!$A$6:$DA$376,60,FALSE)</f>
        <v>0</v>
      </c>
      <c r="BI260" s="566">
        <f>VLOOKUP($A260,'01-02.2021'!$A$6:$CZ$403,61,FALSE)+VLOOKUP($A260,'1.3.21-28.2.22'!$A$6:$DA$404,61,FALSE)-VLOOKUP($A260,'01-02.2022'!$A$6:$DA$376,61,FALSE)</f>
        <v>0</v>
      </c>
      <c r="BJ260" s="55">
        <f t="shared" si="257"/>
        <v>0</v>
      </c>
      <c r="BK260" s="566">
        <f>VLOOKUP($A260,'01-02.2021'!$A$6:$CZ$403,63,FALSE)+VLOOKUP($A260,'1.3.21-28.2.22'!$A$6:$DA$404,63,FALSE)-VLOOKUP($A260,'01-02.2022'!$A$6:$DA$376,63,FALSE)</f>
        <v>0</v>
      </c>
      <c r="BL260" s="566">
        <f>VLOOKUP($A260,'01-02.2021'!$A$6:$CZ$403,64,FALSE)+VLOOKUP($A260,'1.3.21-28.2.22'!$A$6:$DA$404,64,FALSE)-VLOOKUP($A260,'01-02.2022'!$A$6:$DA$376,64,FALSE)</f>
        <v>0</v>
      </c>
      <c r="BM260" s="55">
        <f t="shared" si="258"/>
        <v>0</v>
      </c>
      <c r="BN260" s="566">
        <f>VLOOKUP($A260,'01-02.2021'!$A$6:$CZ$403,66,FALSE)+VLOOKUP($A260,'1.3.21-28.2.22'!$A$6:$DA$404,66,FALSE)-VLOOKUP($A260,'01-02.2022'!$A$6:$DA$376,66,FALSE)</f>
        <v>11.345000000000001</v>
      </c>
      <c r="BO260" s="566">
        <f>VLOOKUP($A260,'01-02.2021'!$A$6:$CZ$403,67,FALSE)+VLOOKUP($A260,'1.3.21-28.2.22'!$A$6:$DA$404,67,FALSE)-VLOOKUP($A260,'01-02.2022'!$A$6:$DA$376,67,FALSE)</f>
        <v>0</v>
      </c>
      <c r="BP260" s="55">
        <f t="shared" si="259"/>
        <v>-11.345000000000001</v>
      </c>
      <c r="BQ260" s="77">
        <f t="shared" si="287"/>
        <v>11.345000000000001</v>
      </c>
      <c r="BR260" s="40">
        <f t="shared" si="315"/>
        <v>0</v>
      </c>
      <c r="BS260" s="55">
        <f t="shared" si="314"/>
        <v>-11.345000000000001</v>
      </c>
      <c r="BT260" s="566">
        <f>VLOOKUP($A260,'01-02.2021'!$A$6:$CZ$403,72,FALSE)+VLOOKUP($A260,'1.3.21-28.2.22'!$A$6:$DA$404,72,FALSE)-VLOOKUP($A260,'01-02.2022'!$A$6:$DA$376,72,FALSE)</f>
        <v>307.06330467886812</v>
      </c>
      <c r="BU260" s="566">
        <f>VLOOKUP($A260,'01-02.2021'!$A$6:$CZ$403,73,FALSE)+VLOOKUP($A260,'1.3.21-28.2.22'!$A$6:$DA$404,73,FALSE)-VLOOKUP($A260,'01-02.2022'!$A$6:$DA$376,73,FALSE)</f>
        <v>476.41661636108591</v>
      </c>
      <c r="BV260" s="70">
        <f t="shared" si="260"/>
        <v>169.35331168221779</v>
      </c>
      <c r="BW260" s="566">
        <f>VLOOKUP($A260,'01-02.2021'!$A$6:$CZ$403,75,FALSE)+VLOOKUP($A260,'1.3.21-28.2.22'!$A$6:$DA$404,75,FALSE)-VLOOKUP($A260,'01-02.2022'!$A$6:$DA$376,75,FALSE)</f>
        <v>0</v>
      </c>
      <c r="BX260" s="566">
        <f>VLOOKUP($A260,'01-02.2021'!$A$6:$CZ$403,76,FALSE)+VLOOKUP($A260,'1.3.21-28.2.22'!$A$6:$DA$404,76,FALSE)-VLOOKUP($A260,'01-02.2022'!$A$6:$DA$376,76,FALSE)</f>
        <v>5.1218771836594019</v>
      </c>
      <c r="BY260" s="70">
        <f t="shared" si="261"/>
        <v>5.1218771836594019</v>
      </c>
      <c r="BZ260" s="566">
        <f>VLOOKUP($A260,'01-02.2021'!$A$6:$CZ$403,78,FALSE)+VLOOKUP($A260,'1.3.21-28.2.22'!$A$6:$DA$404,78,FALSE)-VLOOKUP($A260,'01-02.2022'!$A$6:$DA$376,78,FALSE)</f>
        <v>0</v>
      </c>
      <c r="CA260" s="566">
        <f>VLOOKUP($A260,'01-02.2021'!$A$6:$CZ$403,79,FALSE)+VLOOKUP($A260,'1.3.21-28.2.22'!$A$6:$DA$404,79,FALSE)-VLOOKUP($A260,'01-02.2022'!$A$6:$DA$376,79,FALSE)</f>
        <v>29.051745721749541</v>
      </c>
      <c r="CB260" s="70">
        <f t="shared" si="262"/>
        <v>29.051745721749541</v>
      </c>
      <c r="CC260" s="566">
        <f>VLOOKUP($A260,'01-02.2021'!$A$6:$CZ$403,81,FALSE)+VLOOKUP($A260,'1.3.21-28.2.22'!$A$6:$DA$404,81,FALSE)-VLOOKUP($A260,'01-02.2022'!$A$6:$DA$376,81,FALSE)</f>
        <v>0</v>
      </c>
      <c r="CD260" s="566">
        <f>VLOOKUP($A260,'01-02.2021'!$A$6:$CZ$403,82,FALSE)+VLOOKUP($A260,'1.3.21-28.2.22'!$A$6:$DA$404,82,FALSE)-VLOOKUP($A260,'01-02.2022'!$A$6:$DA$376,82,FALSE)</f>
        <v>0</v>
      </c>
      <c r="CE260" s="70">
        <f t="shared" si="263"/>
        <v>0</v>
      </c>
      <c r="CF260" s="566">
        <f>VLOOKUP($A260,'01-02.2021'!$A$6:$CZ$403,84,FALSE)+VLOOKUP($A260,'1.3.21-28.2.22'!$A$6:$DA$404,84,FALSE)-VLOOKUP($A260,'01-02.2022'!$A$6:$DA$376,84,FALSE)</f>
        <v>0</v>
      </c>
      <c r="CG260" s="566">
        <f>VLOOKUP($A260,'01-02.2021'!$A$6:$CZ$403,85,FALSE)+VLOOKUP($A260,'1.3.21-28.2.22'!$A$6:$DA$404,85,FALSE)-VLOOKUP($A260,'01-02.2022'!$A$6:$DA$376,85,FALSE)</f>
        <v>0</v>
      </c>
      <c r="CH260" s="70">
        <f t="shared" si="264"/>
        <v>0</v>
      </c>
      <c r="CI260" s="566">
        <f>VLOOKUP($A260,'01-02.2021'!$A$6:$CZ$403,87,FALSE)+VLOOKUP($A260,'1.3.21-28.2.22'!$A$6:$DA$404,87,FALSE)-VLOOKUP($A260,'01-02.2022'!$A$6:$DA$376,87,FALSE)</f>
        <v>0</v>
      </c>
      <c r="CJ260" s="566">
        <f>VLOOKUP($A260,'01-02.2021'!$A$6:$CZ$403,88,FALSE)+VLOOKUP($A260,'1.3.21-28.2.22'!$A$6:$DA$404,88,FALSE)-VLOOKUP($A260,'01-02.2022'!$A$6:$DA$376,88,FALSE)</f>
        <v>0</v>
      </c>
      <c r="CK260" s="70">
        <f t="shared" si="265"/>
        <v>0</v>
      </c>
      <c r="CL260" s="566">
        <f>VLOOKUP($A260,'01-02.2021'!$A$6:$CZ$403,90,FALSE)+VLOOKUP($A260,'1.3.21-28.2.22'!$A$6:$DA$404,90,FALSE)-VLOOKUP($A260,'01-02.2022'!$A$6:$DA$376,90,FALSE)</f>
        <v>0</v>
      </c>
      <c r="CM260" s="566">
        <f>VLOOKUP($A260,'01-02.2021'!$A$6:$CZ$403,91,FALSE)+VLOOKUP($A260,'1.3.21-28.2.22'!$A$6:$DA$404,91,FALSE)-VLOOKUP($A260,'01-02.2022'!$A$6:$DA$376,91,FALSE)</f>
        <v>0</v>
      </c>
      <c r="CN260" s="52">
        <f t="shared" si="303"/>
        <v>0</v>
      </c>
      <c r="CO260" s="39">
        <f t="shared" si="298"/>
        <v>0</v>
      </c>
      <c r="CP260" s="40">
        <f t="shared" si="304"/>
        <v>0</v>
      </c>
      <c r="CQ260" s="52">
        <f t="shared" si="305"/>
        <v>0</v>
      </c>
      <c r="CR260" s="72">
        <f t="shared" si="299"/>
        <v>3950.734416722692</v>
      </c>
      <c r="CS260" s="5">
        <f t="shared" si="299"/>
        <v>1998.403702389548</v>
      </c>
      <c r="CT260" s="52">
        <f t="shared" si="306"/>
        <v>-1952.330714333144</v>
      </c>
      <c r="CU260" s="77">
        <f t="shared" si="307"/>
        <v>4740.8813000672299</v>
      </c>
      <c r="CV260" s="65">
        <f t="shared" si="308"/>
        <v>2398.0844428674577</v>
      </c>
      <c r="CW260" s="35">
        <f t="shared" si="309"/>
        <v>-2342.7968571997721</v>
      </c>
      <c r="CX260" s="566">
        <f>VLOOKUP($A260,'01-02.2021'!$A$6:$CZ$403,102,FALSE)+VLOOKUP($A260,'1.3.21-28.2.22'!$A$6:$DA$404,102,FALSE)-VLOOKUP($A260,'01-02.2022'!$A$6:$DA$376,102,FALSE)</f>
        <v>134.07062386483247</v>
      </c>
      <c r="CY260" s="566">
        <f>VLOOKUP($A260,'01-02.2021'!$A$6:$CZ$403,103,FALSE)+VLOOKUP($A260,'1.3.21-28.2.22'!$A$6:$DA$404,103,FALSE)-VLOOKUP($A260,'01-02.2022'!$A$6:$DA$376,103,FALSE)</f>
        <v>2476.8674810646062</v>
      </c>
      <c r="CZ260" s="52">
        <f t="shared" si="310"/>
        <v>2342.7968571997735</v>
      </c>
      <c r="DA260" s="150">
        <f>'[2]побудинковий звіт'!DA260</f>
        <v>-10561.347014126524</v>
      </c>
      <c r="DB260" s="2">
        <v>2</v>
      </c>
      <c r="DC260" s="414">
        <f>'[4]побудинковий звіт'!DC260</f>
        <v>444.51</v>
      </c>
      <c r="DD260" s="414">
        <f>'[4]побудинковий звіт'!DD260</f>
        <v>0</v>
      </c>
      <c r="DE260" s="557">
        <f>'[4]побудинковий звіт'!DE260</f>
        <v>-1.027343391086788E-2</v>
      </c>
      <c r="DF260" s="557">
        <f>'[4]побудинковий звіт'!DF260</f>
        <v>0</v>
      </c>
      <c r="DG260" s="321">
        <f>VLOOKUP(A260,'кошти 01.03.2021'!$A$6:$D$401,4,)</f>
        <v>-8139.7140432236738</v>
      </c>
      <c r="DH260" s="40">
        <f>'[3]побудинковий звіт'!DJ260</f>
        <v>5056.1105895839864</v>
      </c>
      <c r="DI260" s="422">
        <f>'[3]побудинковий звіт'!CU260+'[3]побудинковий звіт'!CX260</f>
        <v>444.52027343391086</v>
      </c>
      <c r="DJ260" s="306">
        <f>'[3]побудинковий звіт'!DM260</f>
        <v>1.9352210423766256</v>
      </c>
      <c r="DK260" s="306">
        <f t="shared" ref="DK260:DK282" si="316">DJ260</f>
        <v>1.9352210423766256</v>
      </c>
      <c r="DL260" s="306">
        <f>'[3]побудинковий звіт'!DO260</f>
        <v>1.9352210423766256</v>
      </c>
      <c r="DM260" s="28">
        <f t="shared" ref="DM260:DM282" si="317">F260*DJ260</f>
        <v>444.52027343391086</v>
      </c>
      <c r="DN260" s="28">
        <f t="shared" ref="DN260:DN282" si="318">H260*DL260</f>
        <v>0</v>
      </c>
      <c r="DO260" s="423">
        <f t="shared" si="238"/>
        <v>444.52027343391086</v>
      </c>
      <c r="DP260" s="94">
        <f t="shared" si="239"/>
        <v>0</v>
      </c>
      <c r="DQ260" s="28">
        <f t="shared" si="240"/>
        <v>444.52027343391086</v>
      </c>
      <c r="DR260" s="318"/>
      <c r="DT260" s="8"/>
      <c r="DU260" s="5"/>
      <c r="DX260" s="5">
        <f t="shared" si="241"/>
        <v>3257.3635197355275</v>
      </c>
      <c r="DY260" s="5">
        <f t="shared" si="242"/>
        <v>0</v>
      </c>
      <c r="DZ260" s="159">
        <f>'[3]побудинковий звіт'!EA260</f>
        <v>328.49052607641823</v>
      </c>
    </row>
    <row r="261" spans="1:130" x14ac:dyDescent="0.3">
      <c r="A261" s="325">
        <v>150000726</v>
      </c>
      <c r="B261" s="41" t="s">
        <v>707</v>
      </c>
      <c r="C261" s="42" t="s">
        <v>184</v>
      </c>
      <c r="D261" s="42"/>
      <c r="E261" s="293">
        <f t="shared" si="296"/>
        <v>409.7</v>
      </c>
      <c r="F261" s="305">
        <f>'[3]побудинковий звіт'!F261</f>
        <v>409.7</v>
      </c>
      <c r="G261" s="508">
        <f>'[3]побудинковий звіт'!G261</f>
        <v>0</v>
      </c>
      <c r="H261" s="560">
        <f>'[3]побудинковий звіт'!H261</f>
        <v>0</v>
      </c>
      <c r="I261" s="566">
        <f>VLOOKUP($A261,'01-02.2021'!$A$6:$CZ$403,9,FALSE)+VLOOKUP($A261,'1.3.21-28.2.22'!$A$6:$DA$404,9,FALSE)-VLOOKUP($A261,'01-02.2022'!$A$6:$DA$376,9,FALSE)</f>
        <v>1836.8146745529643</v>
      </c>
      <c r="J261" s="566">
        <f>VLOOKUP($A261,'01-02.2021'!$A$6:$CZ$403,10,FALSE)+VLOOKUP($A261,'1.3.21-28.2.22'!$A$6:$DA$404,10,FALSE)-VLOOKUP($A261,'01-02.2022'!$A$6:$DA$376,10,FALSE)</f>
        <v>1988.0037905507797</v>
      </c>
      <c r="K261" s="52">
        <f t="shared" si="300"/>
        <v>151.18911599781541</v>
      </c>
      <c r="L261" s="566">
        <f>VLOOKUP($A261,'01-02.2021'!$A$6:$CZ$403,12,FALSE)+VLOOKUP($A261,'1.3.21-28.2.22'!$A$6:$DA$404,12,FALSE)-VLOOKUP($A261,'01-02.2022'!$A$6:$DA$376,12,FALSE)</f>
        <v>325.99630497996179</v>
      </c>
      <c r="M261" s="566">
        <f>VLOOKUP($A261,'01-02.2021'!$A$6:$CZ$403,13,FALSE)+VLOOKUP($A261,'1.3.21-28.2.22'!$A$6:$DA$404,13,FALSE)-VLOOKUP($A261,'01-02.2022'!$A$6:$DA$376,13,FALSE)</f>
        <v>358.9332844606347</v>
      </c>
      <c r="N261" s="52">
        <f t="shared" si="301"/>
        <v>32.936979480672903</v>
      </c>
      <c r="O261" s="566">
        <f>VLOOKUP($A261,'01-02.2021'!$A$6:$CZ$403,15,FALSE)+VLOOKUP($A261,'1.3.21-28.2.22'!$A$6:$DA$404,15,FALSE)-VLOOKUP($A261,'01-02.2022'!$A$6:$DA$376,15,FALSE)</f>
        <v>525.23829508971676</v>
      </c>
      <c r="P261" s="566">
        <f>VLOOKUP($A261,'01-02.2021'!$A$6:$CZ$403,16,FALSE)+VLOOKUP($A261,'1.3.21-28.2.22'!$A$6:$DA$404,16,FALSE)-VLOOKUP($A261,'01-02.2022'!$A$6:$DA$376,16,FALSE)</f>
        <v>525.25</v>
      </c>
      <c r="Q261" s="70">
        <f t="shared" si="243"/>
        <v>1.1704910283242498E-2</v>
      </c>
      <c r="R261" s="566">
        <f>VLOOKUP($A261,'01-02.2021'!$A$6:$CZ$403,18,FALSE)+VLOOKUP($A261,'1.3.21-28.2.22'!$A$6:$DA$404,18,FALSE)-VLOOKUP($A261,'01-02.2022'!$A$6:$DA$376,18,FALSE)</f>
        <v>0</v>
      </c>
      <c r="S261" s="566">
        <f>VLOOKUP($A261,'01-02.2021'!$A$6:$CZ$403,19,FALSE)+VLOOKUP($A261,'1.3.21-28.2.22'!$A$6:$DA$404,19,FALSE)-VLOOKUP($A261,'01-02.2022'!$A$6:$DA$376,19,FALSE)</f>
        <v>0</v>
      </c>
      <c r="T261" s="70">
        <f t="shared" si="244"/>
        <v>0</v>
      </c>
      <c r="U261" s="566">
        <f>VLOOKUP($A261,'01-02.2021'!$A$6:$CZ$403,21,FALSE)+VLOOKUP($A261,'1.3.21-28.2.22'!$A$6:$DA$404,21,FALSE)-VLOOKUP($A261,'01-02.2022'!$A$6:$DA$376,21,FALSE)</f>
        <v>0</v>
      </c>
      <c r="V261" s="566">
        <f>VLOOKUP($A261,'01-02.2021'!$A$6:$CZ$403,22,FALSE)+VLOOKUP($A261,'1.3.21-28.2.22'!$A$6:$DA$404,22,FALSE)-VLOOKUP($A261,'01-02.2022'!$A$6:$DA$376,22,FALSE)</f>
        <v>0</v>
      </c>
      <c r="W261" s="70">
        <f t="shared" si="245"/>
        <v>0</v>
      </c>
      <c r="X261" s="566">
        <f>VLOOKUP($A261,'01-02.2021'!$A$6:$CZ$403,24,FALSE)+VLOOKUP($A261,'1.3.21-28.2.22'!$A$6:$DA$404,24,FALSE)-VLOOKUP($A261,'01-02.2022'!$A$6:$DA$376,24,FALSE)</f>
        <v>838.29978130558118</v>
      </c>
      <c r="Y261" s="566">
        <f>VLOOKUP($A261,'01-02.2021'!$A$6:$CZ$403,25,FALSE)+VLOOKUP($A261,'1.3.21-28.2.22'!$A$6:$DA$404,25,FALSE)-VLOOKUP($A261,'01-02.2022'!$A$6:$DA$376,25,FALSE)</f>
        <v>633.35414545805111</v>
      </c>
      <c r="Z261" s="70">
        <f t="shared" si="246"/>
        <v>-204.94563584753007</v>
      </c>
      <c r="AA261" s="566">
        <f>VLOOKUP($A261,'01-02.2021'!$A$6:$CZ$403,27,FALSE)+VLOOKUP($A261,'1.3.21-28.2.22'!$A$6:$DA$404,27,FALSE)-VLOOKUP($A261,'01-02.2022'!$A$6:$DA$376,27,FALSE)</f>
        <v>81.739999999999995</v>
      </c>
      <c r="AB261" s="566">
        <f>VLOOKUP($A261,'01-02.2021'!$A$6:$CZ$403,28,FALSE)+VLOOKUP($A261,'1.3.21-28.2.22'!$A$6:$DA$404,28,FALSE)-VLOOKUP($A261,'01-02.2022'!$A$6:$DA$376,28,FALSE)</f>
        <v>0</v>
      </c>
      <c r="AC261" s="70">
        <f t="shared" si="247"/>
        <v>-81.739999999999995</v>
      </c>
      <c r="AD261" s="566">
        <f>VLOOKUP($A261,'01-02.2021'!$A$6:$CZ$403,30,FALSE)+VLOOKUP($A261,'1.3.21-28.2.22'!$A$6:$DA$404,30,FALSE)-VLOOKUP($A261,'01-02.2022'!$A$6:$DA$376,30,FALSE)</f>
        <v>1757.9832818338807</v>
      </c>
      <c r="AE261" s="566">
        <f>VLOOKUP($A261,'01-02.2021'!$A$6:$CZ$403,31,FALSE)+VLOOKUP($A261,'1.3.21-28.2.22'!$A$6:$DA$404,31,FALSE)-VLOOKUP($A261,'01-02.2022'!$A$6:$DA$376,31,FALSE)</f>
        <v>1864.970907734971</v>
      </c>
      <c r="AF261" s="68">
        <f t="shared" si="248"/>
        <v>106.98762590109027</v>
      </c>
      <c r="AG261" s="77">
        <f t="shared" si="297"/>
        <v>5366.0723377621043</v>
      </c>
      <c r="AH261" s="53">
        <f t="shared" si="297"/>
        <v>5370.5121282044365</v>
      </c>
      <c r="AI261" s="52">
        <f t="shared" si="302"/>
        <v>4.4397904423321961</v>
      </c>
      <c r="AJ261" s="566">
        <f>VLOOKUP($A261,'01-02.2021'!$A$6:$CZ$403,36,FALSE)+VLOOKUP($A261,'1.3.21-28.2.22'!$A$6:$DA$404,36,FALSE)-VLOOKUP($A261,'01-02.2022'!$A$6:$DA$376,36,FALSE)</f>
        <v>0</v>
      </c>
      <c r="AK261" s="566">
        <f>VLOOKUP($A261,'01-02.2021'!$A$6:$CZ$403,37,FALSE)+VLOOKUP($A261,'1.3.21-28.2.22'!$A$6:$DA$404,37,FALSE)-VLOOKUP($A261,'01-02.2022'!$A$6:$DA$376,37,FALSE)</f>
        <v>0</v>
      </c>
      <c r="AL261" s="70">
        <f t="shared" si="249"/>
        <v>0</v>
      </c>
      <c r="AM261" s="566">
        <f>VLOOKUP($A261,'01-02.2021'!$A$6:$CZ$403,39,FALSE)+VLOOKUP($A261,'1.3.21-28.2.22'!$A$6:$DA$404,39,FALSE)-VLOOKUP($A261,'01-02.2022'!$A$6:$DA$376,39,FALSE)</f>
        <v>0</v>
      </c>
      <c r="AN261" s="566">
        <f>VLOOKUP($A261,'01-02.2021'!$A$6:$CZ$403,40,FALSE)+VLOOKUP($A261,'1.3.21-28.2.22'!$A$6:$DA$404,40,FALSE)-VLOOKUP($A261,'01-02.2022'!$A$6:$DA$376,40,FALSE)</f>
        <v>0</v>
      </c>
      <c r="AO261" s="70">
        <f t="shared" si="250"/>
        <v>0</v>
      </c>
      <c r="AP261" s="566">
        <f>VLOOKUP($A261,'01-02.2021'!$A$6:$CZ$403,42,FALSE)+VLOOKUP($A261,'1.3.21-28.2.22'!$A$6:$DA$404,42,FALSE)-VLOOKUP($A261,'01-02.2022'!$A$6:$DA$376,42,FALSE)</f>
        <v>1041.1198500255546</v>
      </c>
      <c r="AQ261" s="566">
        <f>VLOOKUP($A261,'01-02.2021'!$A$6:$CZ$403,43,FALSE)+VLOOKUP($A261,'1.3.21-28.2.22'!$A$6:$DA$404,43,FALSE)-VLOOKUP($A261,'01-02.2022'!$A$6:$DA$376,43,FALSE)</f>
        <v>909.47397982591951</v>
      </c>
      <c r="AR261" s="70">
        <f t="shared" si="251"/>
        <v>-131.64587019963506</v>
      </c>
      <c r="AS261" s="566">
        <f>VLOOKUP($A261,'01-02.2021'!$A$6:$CZ$403,45,FALSE)+VLOOKUP($A261,'1.3.21-28.2.22'!$A$6:$DA$404,45,FALSE)-VLOOKUP($A261,'01-02.2022'!$A$6:$DA$376,45,FALSE)</f>
        <v>4572.6471808427468</v>
      </c>
      <c r="AT261" s="566">
        <f>VLOOKUP($A261,'01-02.2021'!$A$6:$CZ$403,46,FALSE)+VLOOKUP($A261,'1.3.21-28.2.22'!$A$6:$DA$404,46,FALSE)-VLOOKUP($A261,'01-02.2022'!$A$6:$DA$376,46,FALSE)</f>
        <v>0</v>
      </c>
      <c r="AU261" s="78">
        <f t="shared" si="252"/>
        <v>-4572.6471808427468</v>
      </c>
      <c r="AV261" s="566">
        <f>VLOOKUP($A261,'01-02.2021'!$A$6:$CZ$403,48,FALSE)+VLOOKUP($A261,'1.3.21-28.2.22'!$A$6:$DA$404,48,FALSE)-VLOOKUP($A261,'01-02.2022'!$A$6:$DA$376,48,FALSE)</f>
        <v>522.39343673315898</v>
      </c>
      <c r="AW261" s="566">
        <f>VLOOKUP($A261,'01-02.2021'!$A$6:$CZ$403,49,FALSE)+VLOOKUP($A261,'1.3.21-28.2.22'!$A$6:$DA$404,49,FALSE)-VLOOKUP($A261,'01-02.2022'!$A$6:$DA$376,49,FALSE)</f>
        <v>0</v>
      </c>
      <c r="AX261" s="55">
        <f t="shared" si="253"/>
        <v>-522.39343673315898</v>
      </c>
      <c r="AY261" s="566">
        <f>VLOOKUP($A261,'01-02.2021'!$A$6:$CZ$403,51,FALSE)+VLOOKUP($A261,'1.3.21-28.2.22'!$A$6:$DA$404,51,FALSE)-VLOOKUP($A261,'01-02.2022'!$A$6:$DA$376,51,FALSE)</f>
        <v>612.82885389613625</v>
      </c>
      <c r="AZ261" s="566">
        <f>VLOOKUP($A261,'01-02.2021'!$A$6:$CZ$403,52,FALSE)+VLOOKUP($A261,'1.3.21-28.2.22'!$A$6:$DA$404,52,FALSE)-VLOOKUP($A261,'01-02.2022'!$A$6:$DA$376,52,FALSE)</f>
        <v>0</v>
      </c>
      <c r="BA261" s="38">
        <f t="shared" si="254"/>
        <v>-612.82885389613625</v>
      </c>
      <c r="BB261" s="566">
        <f>VLOOKUP($A261,'01-02.2021'!$A$6:$CZ$403,54,FALSE)+VLOOKUP($A261,'1.3.21-28.2.22'!$A$6:$DA$404,54,FALSE)-VLOOKUP($A261,'01-02.2022'!$A$6:$DA$376,54,FALSE)</f>
        <v>233.53071522619112</v>
      </c>
      <c r="BC261" s="566">
        <f>VLOOKUP($A261,'01-02.2021'!$A$6:$CZ$403,55,FALSE)+VLOOKUP($A261,'1.3.21-28.2.22'!$A$6:$DA$404,55,FALSE)-VLOOKUP($A261,'01-02.2022'!$A$6:$DA$376,55,FALSE)</f>
        <v>0</v>
      </c>
      <c r="BD261" s="55">
        <f t="shared" si="255"/>
        <v>-233.53071522619112</v>
      </c>
      <c r="BE261" s="566">
        <f>VLOOKUP($A261,'01-02.2021'!$A$6:$CZ$403,57,FALSE)+VLOOKUP($A261,'1.3.21-28.2.22'!$A$6:$DA$404,57,FALSE)-VLOOKUP($A261,'01-02.2022'!$A$6:$DA$376,57,FALSE)</f>
        <v>0</v>
      </c>
      <c r="BF261" s="566">
        <f>VLOOKUP($A261,'01-02.2021'!$A$6:$CZ$403,58,FALSE)+VLOOKUP($A261,'1.3.21-28.2.22'!$A$6:$DA$404,58,FALSE)-VLOOKUP($A261,'01-02.2022'!$A$6:$DA$376,58,FALSE)</f>
        <v>0</v>
      </c>
      <c r="BG261" s="55">
        <f t="shared" si="256"/>
        <v>0</v>
      </c>
      <c r="BH261" s="566">
        <f>VLOOKUP($A261,'01-02.2021'!$A$6:$CZ$403,60,FALSE)+VLOOKUP($A261,'1.3.21-28.2.22'!$A$6:$DA$404,60,FALSE)-VLOOKUP($A261,'01-02.2022'!$A$6:$DA$376,60,FALSE)</f>
        <v>0</v>
      </c>
      <c r="BI261" s="566">
        <f>VLOOKUP($A261,'01-02.2021'!$A$6:$CZ$403,61,FALSE)+VLOOKUP($A261,'1.3.21-28.2.22'!$A$6:$DA$404,61,FALSE)-VLOOKUP($A261,'01-02.2022'!$A$6:$DA$376,61,FALSE)</f>
        <v>0</v>
      </c>
      <c r="BJ261" s="55">
        <f t="shared" si="257"/>
        <v>0</v>
      </c>
      <c r="BK261" s="566">
        <f>VLOOKUP($A261,'01-02.2021'!$A$6:$CZ$403,63,FALSE)+VLOOKUP($A261,'1.3.21-28.2.22'!$A$6:$DA$404,63,FALSE)-VLOOKUP($A261,'01-02.2022'!$A$6:$DA$376,63,FALSE)</f>
        <v>106.82372126509718</v>
      </c>
      <c r="BL261" s="566">
        <f>VLOOKUP($A261,'01-02.2021'!$A$6:$CZ$403,64,FALSE)+VLOOKUP($A261,'1.3.21-28.2.22'!$A$6:$DA$404,64,FALSE)-VLOOKUP($A261,'01-02.2022'!$A$6:$DA$376,64,FALSE)</f>
        <v>451</v>
      </c>
      <c r="BM261" s="55">
        <f t="shared" si="258"/>
        <v>344.17627873490284</v>
      </c>
      <c r="BN261" s="566">
        <f>VLOOKUP($A261,'01-02.2021'!$A$6:$CZ$403,66,FALSE)+VLOOKUP($A261,'1.3.21-28.2.22'!$A$6:$DA$404,66,FALSE)-VLOOKUP($A261,'01-02.2022'!$A$6:$DA$376,66,FALSE)</f>
        <v>20.434999999999999</v>
      </c>
      <c r="BO261" s="566">
        <f>VLOOKUP($A261,'01-02.2021'!$A$6:$CZ$403,67,FALSE)+VLOOKUP($A261,'1.3.21-28.2.22'!$A$6:$DA$404,67,FALSE)-VLOOKUP($A261,'01-02.2022'!$A$6:$DA$376,67,FALSE)</f>
        <v>0</v>
      </c>
      <c r="BP261" s="55">
        <f t="shared" si="259"/>
        <v>-20.434999999999999</v>
      </c>
      <c r="BQ261" s="77">
        <f t="shared" si="287"/>
        <v>1496.0117271205836</v>
      </c>
      <c r="BR261" s="40">
        <f t="shared" si="315"/>
        <v>451</v>
      </c>
      <c r="BS261" s="55">
        <f t="shared" si="314"/>
        <v>-1045.0117271205836</v>
      </c>
      <c r="BT261" s="566">
        <f>VLOOKUP($A261,'01-02.2021'!$A$6:$CZ$403,72,FALSE)+VLOOKUP($A261,'1.3.21-28.2.22'!$A$6:$DA$404,72,FALSE)-VLOOKUP($A261,'01-02.2022'!$A$6:$DA$376,72,FALSE)</f>
        <v>4585.0025486111053</v>
      </c>
      <c r="BU261" s="566">
        <f>VLOOKUP($A261,'01-02.2021'!$A$6:$CZ$403,73,FALSE)+VLOOKUP($A261,'1.3.21-28.2.22'!$A$6:$DA$404,73,FALSE)-VLOOKUP($A261,'01-02.2022'!$A$6:$DA$376,73,FALSE)</f>
        <v>5557.3036819297904</v>
      </c>
      <c r="BV261" s="70">
        <f t="shared" si="260"/>
        <v>972.30113331868506</v>
      </c>
      <c r="BW261" s="566">
        <f>VLOOKUP($A261,'01-02.2021'!$A$6:$CZ$403,75,FALSE)+VLOOKUP($A261,'1.3.21-28.2.22'!$A$6:$DA$404,75,FALSE)-VLOOKUP($A261,'01-02.2022'!$A$6:$DA$376,75,FALSE)</f>
        <v>3272.8685137831794</v>
      </c>
      <c r="BX261" s="566">
        <f>VLOOKUP($A261,'01-02.2021'!$A$6:$CZ$403,76,FALSE)+VLOOKUP($A261,'1.3.21-28.2.22'!$A$6:$DA$404,76,FALSE)-VLOOKUP($A261,'01-02.2022'!$A$6:$DA$376,76,FALSE)</f>
        <v>3176.2307246524174</v>
      </c>
      <c r="BY261" s="70">
        <f t="shared" si="261"/>
        <v>-96.63778913076203</v>
      </c>
      <c r="BZ261" s="566">
        <f>VLOOKUP($A261,'01-02.2021'!$A$6:$CZ$403,78,FALSE)+VLOOKUP($A261,'1.3.21-28.2.22'!$A$6:$DA$404,78,FALSE)-VLOOKUP($A261,'01-02.2022'!$A$6:$DA$376,78,FALSE)</f>
        <v>1256.7426591250614</v>
      </c>
      <c r="CA261" s="566">
        <f>VLOOKUP($A261,'01-02.2021'!$A$6:$CZ$403,79,FALSE)+VLOOKUP($A261,'1.3.21-28.2.22'!$A$6:$DA$404,79,FALSE)-VLOOKUP($A261,'01-02.2022'!$A$6:$DA$376,79,FALSE)</f>
        <v>1711.0342230348067</v>
      </c>
      <c r="CB261" s="70">
        <f t="shared" si="262"/>
        <v>454.29156390974526</v>
      </c>
      <c r="CC261" s="566">
        <f>VLOOKUP($A261,'01-02.2021'!$A$6:$CZ$403,81,FALSE)+VLOOKUP($A261,'1.3.21-28.2.22'!$A$6:$DA$404,81,FALSE)-VLOOKUP($A261,'01-02.2022'!$A$6:$DA$376,81,FALSE)</f>
        <v>0</v>
      </c>
      <c r="CD261" s="566">
        <f>VLOOKUP($A261,'01-02.2021'!$A$6:$CZ$403,82,FALSE)+VLOOKUP($A261,'1.3.21-28.2.22'!$A$6:$DA$404,82,FALSE)-VLOOKUP($A261,'01-02.2022'!$A$6:$DA$376,82,FALSE)</f>
        <v>0</v>
      </c>
      <c r="CE261" s="70">
        <f t="shared" si="263"/>
        <v>0</v>
      </c>
      <c r="CF261" s="566">
        <f>VLOOKUP($A261,'01-02.2021'!$A$6:$CZ$403,84,FALSE)+VLOOKUP($A261,'1.3.21-28.2.22'!$A$6:$DA$404,84,FALSE)-VLOOKUP($A261,'01-02.2022'!$A$6:$DA$376,84,FALSE)</f>
        <v>0</v>
      </c>
      <c r="CG261" s="566">
        <f>VLOOKUP($A261,'01-02.2021'!$A$6:$CZ$403,85,FALSE)+VLOOKUP($A261,'1.3.21-28.2.22'!$A$6:$DA$404,85,FALSE)-VLOOKUP($A261,'01-02.2022'!$A$6:$DA$376,85,FALSE)</f>
        <v>0</v>
      </c>
      <c r="CH261" s="70">
        <f t="shared" si="264"/>
        <v>0</v>
      </c>
      <c r="CI261" s="566">
        <f>VLOOKUP($A261,'01-02.2021'!$A$6:$CZ$403,87,FALSE)+VLOOKUP($A261,'1.3.21-28.2.22'!$A$6:$DA$404,87,FALSE)-VLOOKUP($A261,'01-02.2022'!$A$6:$DA$376,87,FALSE)</f>
        <v>551.93658507439704</v>
      </c>
      <c r="CJ261" s="566">
        <f>VLOOKUP($A261,'01-02.2021'!$A$6:$CZ$403,88,FALSE)+VLOOKUP($A261,'1.3.21-28.2.22'!$A$6:$DA$404,88,FALSE)-VLOOKUP($A261,'01-02.2022'!$A$6:$DA$376,88,FALSE)</f>
        <v>272.0796495167408</v>
      </c>
      <c r="CK261" s="70">
        <f t="shared" si="265"/>
        <v>-279.85693555765624</v>
      </c>
      <c r="CL261" s="566">
        <f>VLOOKUP($A261,'01-02.2021'!$A$6:$CZ$403,90,FALSE)+VLOOKUP($A261,'1.3.21-28.2.22'!$A$6:$DA$404,90,FALSE)-VLOOKUP($A261,'01-02.2022'!$A$6:$DA$376,90,FALSE)</f>
        <v>0</v>
      </c>
      <c r="CM261" s="566">
        <f>VLOOKUP($A261,'01-02.2021'!$A$6:$CZ$403,91,FALSE)+VLOOKUP($A261,'1.3.21-28.2.22'!$A$6:$DA$404,91,FALSE)-VLOOKUP($A261,'01-02.2022'!$A$6:$DA$376,91,FALSE)</f>
        <v>0</v>
      </c>
      <c r="CN261" s="52">
        <f t="shared" si="303"/>
        <v>0</v>
      </c>
      <c r="CO261" s="39">
        <f t="shared" si="298"/>
        <v>551.93658507439704</v>
      </c>
      <c r="CP261" s="40">
        <f t="shared" si="304"/>
        <v>272.0796495167408</v>
      </c>
      <c r="CQ261" s="52">
        <f t="shared" si="305"/>
        <v>-279.85693555765624</v>
      </c>
      <c r="CR261" s="72">
        <f t="shared" si="299"/>
        <v>22142.401402344731</v>
      </c>
      <c r="CS261" s="5">
        <f t="shared" si="299"/>
        <v>17447.634387164111</v>
      </c>
      <c r="CT261" s="52">
        <f t="shared" si="306"/>
        <v>-4694.7670151806196</v>
      </c>
      <c r="CU261" s="77">
        <f t="shared" si="307"/>
        <v>26570.881682813677</v>
      </c>
      <c r="CV261" s="65">
        <f t="shared" si="308"/>
        <v>20937.161264596933</v>
      </c>
      <c r="CW261" s="35">
        <f t="shared" si="309"/>
        <v>-5633.7204182167443</v>
      </c>
      <c r="CX261" s="566">
        <f>VLOOKUP($A261,'01-02.2021'!$A$6:$CZ$403,102,FALSE)+VLOOKUP($A261,'1.3.21-28.2.22'!$A$6:$DA$404,102,FALSE)-VLOOKUP($A261,'01-02.2022'!$A$6:$DA$376,102,FALSE)</f>
        <v>492.48208547547051</v>
      </c>
      <c r="CY261" s="566">
        <f>VLOOKUP($A261,'01-02.2021'!$A$6:$CZ$403,103,FALSE)+VLOOKUP($A261,'1.3.21-28.2.22'!$A$6:$DA$404,103,FALSE)-VLOOKUP($A261,'01-02.2022'!$A$6:$DA$376,103,FALSE)</f>
        <v>6126.2025036922105</v>
      </c>
      <c r="CZ261" s="52">
        <f t="shared" si="310"/>
        <v>5633.7204182167397</v>
      </c>
      <c r="DA261" s="150">
        <f>'[2]побудинковий звіт'!DA261</f>
        <v>4893.2920946136346</v>
      </c>
      <c r="DB261" s="2">
        <v>2</v>
      </c>
      <c r="DC261" s="414">
        <f>'[4]побудинковий звіт'!DC261</f>
        <v>3242.96</v>
      </c>
      <c r="DD261" s="414">
        <f>'[4]побудинковий звіт'!DD261</f>
        <v>0</v>
      </c>
      <c r="DE261" s="557">
        <f>'[4]побудинковий звіт'!DE261</f>
        <v>785.13050444178634</v>
      </c>
      <c r="DF261" s="557">
        <f>'[4]побудинковий звіт'!DF261</f>
        <v>0</v>
      </c>
      <c r="DG261" s="321">
        <f>VLOOKUP(A261,'кошти 01.03.2021'!$A$6:$D$401,4,)</f>
        <v>10420.118148768248</v>
      </c>
      <c r="DH261" s="40">
        <f>'[3]побудинковий звіт'!DJ261</f>
        <v>28021.298905970514</v>
      </c>
      <c r="DI261" s="422">
        <f>'[3]побудинковий звіт'!CU261+'[3]побудинковий звіт'!CX261</f>
        <v>2457.8294955582141</v>
      </c>
      <c r="DJ261" s="306">
        <f>'[3]побудинковий звіт'!DM261</f>
        <v>5.9990956689241246</v>
      </c>
      <c r="DK261" s="306">
        <f t="shared" si="316"/>
        <v>5.9990956689241246</v>
      </c>
      <c r="DL261" s="306">
        <f>'[3]побудинковий звіт'!DO261</f>
        <v>5.1469121147530057</v>
      </c>
      <c r="DM261" s="28">
        <f t="shared" si="317"/>
        <v>2457.8294955582137</v>
      </c>
      <c r="DN261" s="28">
        <f t="shared" si="318"/>
        <v>0</v>
      </c>
      <c r="DO261" s="423">
        <f t="shared" si="238"/>
        <v>2457.8294955582137</v>
      </c>
      <c r="DP261" s="94">
        <f t="shared" si="239"/>
        <v>0</v>
      </c>
      <c r="DQ261" s="28">
        <f t="shared" si="240"/>
        <v>2457.8294955582137</v>
      </c>
      <c r="DR261" s="318"/>
      <c r="DT261" s="8"/>
      <c r="DU261" s="5"/>
      <c r="DX261" s="5">
        <f t="shared" si="241"/>
        <v>7282.3906895559967</v>
      </c>
      <c r="DY261" s="5">
        <f t="shared" si="242"/>
        <v>541.19999999999993</v>
      </c>
      <c r="DZ261" s="159">
        <f>'[3]побудинковий звіт'!EA261</f>
        <v>671.83050926228361</v>
      </c>
    </row>
    <row r="262" spans="1:130" x14ac:dyDescent="0.3">
      <c r="A262" s="325">
        <v>150000727</v>
      </c>
      <c r="B262" s="41" t="s">
        <v>708</v>
      </c>
      <c r="C262" s="42" t="s">
        <v>129</v>
      </c>
      <c r="D262" s="42"/>
      <c r="E262" s="293">
        <f t="shared" si="296"/>
        <v>188.44</v>
      </c>
      <c r="F262" s="305">
        <f>'[3]побудинковий звіт'!F262</f>
        <v>188.44</v>
      </c>
      <c r="G262" s="508">
        <f>'[3]побудинковий звіт'!G262</f>
        <v>0</v>
      </c>
      <c r="H262" s="560">
        <f>'[3]побудинковий звіт'!H262</f>
        <v>0</v>
      </c>
      <c r="I262" s="566"/>
      <c r="J262" s="566"/>
      <c r="K262" s="52">
        <f t="shared" si="300"/>
        <v>0</v>
      </c>
      <c r="L262" s="566"/>
      <c r="M262" s="566"/>
      <c r="N262" s="52">
        <f t="shared" si="301"/>
        <v>0</v>
      </c>
      <c r="O262" s="566"/>
      <c r="P262" s="566"/>
      <c r="Q262" s="70"/>
      <c r="R262" s="566"/>
      <c r="S262" s="566"/>
      <c r="T262" s="70"/>
      <c r="U262" s="566"/>
      <c r="V262" s="566"/>
      <c r="W262" s="70"/>
      <c r="X262" s="566"/>
      <c r="Y262" s="566"/>
      <c r="Z262" s="70"/>
      <c r="AA262" s="566"/>
      <c r="AB262" s="566"/>
      <c r="AC262" s="70"/>
      <c r="AD262" s="566"/>
      <c r="AE262" s="566"/>
      <c r="AF262" s="68"/>
      <c r="AG262" s="77">
        <f t="shared" si="297"/>
        <v>0</v>
      </c>
      <c r="AH262" s="53">
        <f t="shared" si="297"/>
        <v>0</v>
      </c>
      <c r="AI262" s="52">
        <f t="shared" si="302"/>
        <v>0</v>
      </c>
      <c r="AJ262" s="566"/>
      <c r="AK262" s="566"/>
      <c r="AL262" s="70"/>
      <c r="AM262" s="566"/>
      <c r="AN262" s="566"/>
      <c r="AO262" s="70"/>
      <c r="AP262" s="566"/>
      <c r="AQ262" s="566"/>
      <c r="AR262" s="70"/>
      <c r="AS262" s="566"/>
      <c r="AT262" s="566"/>
      <c r="AU262" s="78"/>
      <c r="AV262" s="566"/>
      <c r="AW262" s="566"/>
      <c r="AX262" s="55"/>
      <c r="AY262" s="566"/>
      <c r="AZ262" s="566"/>
      <c r="BA262" s="38"/>
      <c r="BB262" s="566"/>
      <c r="BC262" s="566"/>
      <c r="BD262" s="55"/>
      <c r="BE262" s="566"/>
      <c r="BF262" s="566"/>
      <c r="BG262" s="55"/>
      <c r="BH262" s="566"/>
      <c r="BI262" s="566"/>
      <c r="BJ262" s="55"/>
      <c r="BK262" s="566"/>
      <c r="BL262" s="566"/>
      <c r="BM262" s="55"/>
      <c r="BN262" s="566"/>
      <c r="BO262" s="566"/>
      <c r="BP262" s="55"/>
      <c r="BQ262" s="77">
        <f t="shared" si="287"/>
        <v>0</v>
      </c>
      <c r="BR262" s="40">
        <f t="shared" si="315"/>
        <v>0</v>
      </c>
      <c r="BS262" s="55">
        <f t="shared" si="314"/>
        <v>0</v>
      </c>
      <c r="BT262" s="566"/>
      <c r="BU262" s="566"/>
      <c r="BV262" s="70"/>
      <c r="BW262" s="566"/>
      <c r="BX262" s="566"/>
      <c r="BY262" s="70"/>
      <c r="BZ262" s="566"/>
      <c r="CA262" s="566"/>
      <c r="CB262" s="70"/>
      <c r="CC262" s="566"/>
      <c r="CD262" s="566"/>
      <c r="CE262" s="70"/>
      <c r="CF262" s="566"/>
      <c r="CG262" s="566"/>
      <c r="CH262" s="70"/>
      <c r="CI262" s="566"/>
      <c r="CJ262" s="566"/>
      <c r="CK262" s="70"/>
      <c r="CL262" s="566"/>
      <c r="CM262" s="566"/>
      <c r="CN262" s="52">
        <f t="shared" si="303"/>
        <v>0</v>
      </c>
      <c r="CO262" s="39">
        <f t="shared" si="298"/>
        <v>0</v>
      </c>
      <c r="CP262" s="40">
        <f t="shared" si="304"/>
        <v>0</v>
      </c>
      <c r="CQ262" s="52">
        <f t="shared" si="305"/>
        <v>0</v>
      </c>
      <c r="CR262" s="72">
        <f t="shared" si="299"/>
        <v>0</v>
      </c>
      <c r="CS262" s="5">
        <f t="shared" si="299"/>
        <v>0</v>
      </c>
      <c r="CT262" s="52">
        <f t="shared" si="306"/>
        <v>0</v>
      </c>
      <c r="CU262" s="77">
        <f t="shared" si="307"/>
        <v>0</v>
      </c>
      <c r="CV262" s="65">
        <f t="shared" si="308"/>
        <v>0</v>
      </c>
      <c r="CW262" s="35">
        <f t="shared" si="309"/>
        <v>0</v>
      </c>
      <c r="CX262" s="566"/>
      <c r="CY262" s="566"/>
      <c r="CZ262" s="52">
        <f t="shared" si="310"/>
        <v>0</v>
      </c>
      <c r="DA262" s="150">
        <f>'[2]побудинковий звіт'!DA262</f>
        <v>-6711.3315737730827</v>
      </c>
      <c r="DB262" s="2">
        <v>2</v>
      </c>
      <c r="DC262" s="414">
        <f>'[4]побудинковий звіт'!DC262</f>
        <v>3669.37</v>
      </c>
      <c r="DD262" s="414">
        <f>'[4]побудинковий звіт'!DD262</f>
        <v>0</v>
      </c>
      <c r="DE262" s="557">
        <f>'[4]побудинковий звіт'!DE262</f>
        <v>3306.6417985827711</v>
      </c>
      <c r="DF262" s="557">
        <f>'[4]побудинковий звіт'!DF262</f>
        <v>0</v>
      </c>
      <c r="DG262" s="321">
        <f>VLOOKUP(A262,'кошти 01.03.2021'!$A$6:$D$401,4,)</f>
        <v>-5376.955617472021</v>
      </c>
      <c r="DH262" s="40">
        <f>'[3]побудинковий звіт'!DJ262</f>
        <v>4134.3016112747055</v>
      </c>
      <c r="DI262" s="422">
        <f>'[3]побудинковий звіт'!CU262+'[3]побудинковий звіт'!CX262</f>
        <v>362.72820141722877</v>
      </c>
      <c r="DJ262" s="306">
        <f>'[3]побудинковий звіт'!DM262</f>
        <v>1.924900241016922</v>
      </c>
      <c r="DK262" s="306">
        <f t="shared" si="316"/>
        <v>1.924900241016922</v>
      </c>
      <c r="DL262" s="306">
        <f>'[3]побудинковий звіт'!DO262</f>
        <v>1.924900241016922</v>
      </c>
      <c r="DM262" s="28">
        <f t="shared" si="317"/>
        <v>362.72820141722877</v>
      </c>
      <c r="DN262" s="28">
        <f t="shared" si="318"/>
        <v>0</v>
      </c>
      <c r="DO262" s="423">
        <f t="shared" si="238"/>
        <v>362.72820141722877</v>
      </c>
      <c r="DP262" s="94">
        <f t="shared" si="239"/>
        <v>0</v>
      </c>
      <c r="DQ262" s="28">
        <f t="shared" si="240"/>
        <v>362.72820141722877</v>
      </c>
      <c r="DR262" s="318"/>
      <c r="DT262" s="8"/>
      <c r="DU262" s="5"/>
      <c r="DX262" s="5">
        <f t="shared" si="241"/>
        <v>0</v>
      </c>
      <c r="DY262" s="5">
        <f t="shared" si="242"/>
        <v>0</v>
      </c>
      <c r="DZ262" s="159">
        <f>'[3]побудинковий звіт'!EA262</f>
        <v>244.57163169062977</v>
      </c>
    </row>
    <row r="263" spans="1:130" x14ac:dyDescent="0.3">
      <c r="A263" s="325">
        <v>150000728</v>
      </c>
      <c r="B263" s="41" t="s">
        <v>709</v>
      </c>
      <c r="C263" s="42" t="s">
        <v>185</v>
      </c>
      <c r="D263" s="42"/>
      <c r="E263" s="293">
        <f t="shared" si="296"/>
        <v>450.6</v>
      </c>
      <c r="F263" s="305">
        <f>'[3]побудинковий звіт'!F263</f>
        <v>386.5</v>
      </c>
      <c r="G263" s="508">
        <f>'[3]побудинковий звіт'!G263</f>
        <v>0</v>
      </c>
      <c r="H263" s="560">
        <f>'[3]побудинковий звіт'!H263</f>
        <v>64.099999999999994</v>
      </c>
      <c r="I263" s="566">
        <f>VLOOKUP($A263,'01-02.2021'!$A$6:$CZ$403,9,FALSE)+VLOOKUP($A263,'1.3.21-28.2.22'!$A$6:$DA$404,9,FALSE)-VLOOKUP($A263,'01-02.2022'!$A$6:$DA$376,9,FALSE)</f>
        <v>1862.8606196883748</v>
      </c>
      <c r="J263" s="566">
        <f>VLOOKUP($A263,'01-02.2021'!$A$6:$CZ$403,10,FALSE)+VLOOKUP($A263,'1.3.21-28.2.22'!$A$6:$DA$404,10,FALSE)-VLOOKUP($A263,'01-02.2022'!$A$6:$DA$376,10,FALSE)</f>
        <v>2019.488455630526</v>
      </c>
      <c r="K263" s="52">
        <f t="shared" si="300"/>
        <v>156.62783594215125</v>
      </c>
      <c r="L263" s="566">
        <f>VLOOKUP($A263,'01-02.2021'!$A$6:$CZ$403,12,FALSE)+VLOOKUP($A263,'1.3.21-28.2.22'!$A$6:$DA$404,12,FALSE)-VLOOKUP($A263,'01-02.2022'!$A$6:$DA$376,12,FALSE)</f>
        <v>325.99630497996179</v>
      </c>
      <c r="M263" s="566">
        <f>VLOOKUP($A263,'01-02.2021'!$A$6:$CZ$403,13,FALSE)+VLOOKUP($A263,'1.3.21-28.2.22'!$A$6:$DA$404,13,FALSE)-VLOOKUP($A263,'01-02.2022'!$A$6:$DA$376,13,FALSE)</f>
        <v>358.9332844606347</v>
      </c>
      <c r="N263" s="52">
        <f t="shared" si="301"/>
        <v>32.936979480672903</v>
      </c>
      <c r="O263" s="566">
        <f>VLOOKUP($A263,'01-02.2021'!$A$6:$CZ$403,15,FALSE)+VLOOKUP($A263,'1.3.21-28.2.22'!$A$6:$DA$404,15,FALSE)-VLOOKUP($A263,'01-02.2022'!$A$6:$DA$376,15,FALSE)</f>
        <v>591.36712515386671</v>
      </c>
      <c r="P263" s="566">
        <f>VLOOKUP($A263,'01-02.2021'!$A$6:$CZ$403,16,FALSE)+VLOOKUP($A263,'1.3.21-28.2.22'!$A$6:$DA$404,16,FALSE)-VLOOKUP($A263,'01-02.2022'!$A$6:$DA$376,16,FALSE)</f>
        <v>591.31999999999994</v>
      </c>
      <c r="Q263" s="70">
        <f t="shared" si="243"/>
        <v>-4.7125153866772962E-2</v>
      </c>
      <c r="R263" s="566">
        <f>VLOOKUP($A263,'01-02.2021'!$A$6:$CZ$403,18,FALSE)+VLOOKUP($A263,'1.3.21-28.2.22'!$A$6:$DA$404,18,FALSE)-VLOOKUP($A263,'01-02.2022'!$A$6:$DA$376,18,FALSE)</f>
        <v>0</v>
      </c>
      <c r="S263" s="566">
        <f>VLOOKUP($A263,'01-02.2021'!$A$6:$CZ$403,19,FALSE)+VLOOKUP($A263,'1.3.21-28.2.22'!$A$6:$DA$404,19,FALSE)-VLOOKUP($A263,'01-02.2022'!$A$6:$DA$376,19,FALSE)</f>
        <v>0</v>
      </c>
      <c r="T263" s="70">
        <f t="shared" si="244"/>
        <v>0</v>
      </c>
      <c r="U263" s="566">
        <f>VLOOKUP($A263,'01-02.2021'!$A$6:$CZ$403,21,FALSE)+VLOOKUP($A263,'1.3.21-28.2.22'!$A$6:$DA$404,21,FALSE)-VLOOKUP($A263,'01-02.2022'!$A$6:$DA$376,21,FALSE)</f>
        <v>0</v>
      </c>
      <c r="V263" s="566">
        <f>VLOOKUP($A263,'01-02.2021'!$A$6:$CZ$403,22,FALSE)+VLOOKUP($A263,'1.3.21-28.2.22'!$A$6:$DA$404,22,FALSE)-VLOOKUP($A263,'01-02.2022'!$A$6:$DA$376,22,FALSE)</f>
        <v>0</v>
      </c>
      <c r="W263" s="70">
        <f t="shared" si="245"/>
        <v>0</v>
      </c>
      <c r="X263" s="566">
        <f>VLOOKUP($A263,'01-02.2021'!$A$6:$CZ$403,24,FALSE)+VLOOKUP($A263,'1.3.21-28.2.22'!$A$6:$DA$404,24,FALSE)-VLOOKUP($A263,'01-02.2022'!$A$6:$DA$376,24,FALSE)</f>
        <v>838.29978130558118</v>
      </c>
      <c r="Y263" s="566">
        <f>VLOOKUP($A263,'01-02.2021'!$A$6:$CZ$403,25,FALSE)+VLOOKUP($A263,'1.3.21-28.2.22'!$A$6:$DA$404,25,FALSE)-VLOOKUP($A263,'01-02.2022'!$A$6:$DA$376,25,FALSE)</f>
        <v>790.414109099911</v>
      </c>
      <c r="Z263" s="70">
        <f t="shared" si="246"/>
        <v>-47.885672205670176</v>
      </c>
      <c r="AA263" s="566">
        <f>VLOOKUP($A263,'01-02.2021'!$A$6:$CZ$403,27,FALSE)+VLOOKUP($A263,'1.3.21-28.2.22'!$A$6:$DA$404,27,FALSE)-VLOOKUP($A263,'01-02.2022'!$A$6:$DA$376,27,FALSE)</f>
        <v>90.12</v>
      </c>
      <c r="AB263" s="566">
        <f>VLOOKUP($A263,'01-02.2021'!$A$6:$CZ$403,28,FALSE)+VLOOKUP($A263,'1.3.21-28.2.22'!$A$6:$DA$404,28,FALSE)-VLOOKUP($A263,'01-02.2022'!$A$6:$DA$376,28,FALSE)</f>
        <v>0</v>
      </c>
      <c r="AC263" s="70">
        <f t="shared" si="247"/>
        <v>-90.12</v>
      </c>
      <c r="AD263" s="566">
        <f>VLOOKUP($A263,'01-02.2021'!$A$6:$CZ$403,30,FALSE)+VLOOKUP($A263,'1.3.21-28.2.22'!$A$6:$DA$404,30,FALSE)-VLOOKUP($A263,'01-02.2022'!$A$6:$DA$376,30,FALSE)</f>
        <v>1929.0621259603172</v>
      </c>
      <c r="AE263" s="566">
        <f>VLOOKUP($A263,'01-02.2021'!$A$6:$CZ$403,31,FALSE)+VLOOKUP($A263,'1.3.21-28.2.22'!$A$6:$DA$404,31,FALSE)-VLOOKUP($A263,'01-02.2022'!$A$6:$DA$376,31,FALSE)</f>
        <v>2051.14935568801</v>
      </c>
      <c r="AF263" s="68">
        <f t="shared" si="248"/>
        <v>122.08722972769283</v>
      </c>
      <c r="AG263" s="77">
        <f t="shared" si="297"/>
        <v>5637.7059570881011</v>
      </c>
      <c r="AH263" s="53">
        <f t="shared" si="297"/>
        <v>5811.3052048790814</v>
      </c>
      <c r="AI263" s="52">
        <f t="shared" si="302"/>
        <v>173.59924779098037</v>
      </c>
      <c r="AJ263" s="566">
        <f>VLOOKUP($A263,'01-02.2021'!$A$6:$CZ$403,36,FALSE)+VLOOKUP($A263,'1.3.21-28.2.22'!$A$6:$DA$404,36,FALSE)-VLOOKUP($A263,'01-02.2022'!$A$6:$DA$376,36,FALSE)</f>
        <v>0</v>
      </c>
      <c r="AK263" s="566">
        <f>VLOOKUP($A263,'01-02.2021'!$A$6:$CZ$403,37,FALSE)+VLOOKUP($A263,'1.3.21-28.2.22'!$A$6:$DA$404,37,FALSE)-VLOOKUP($A263,'01-02.2022'!$A$6:$DA$376,37,FALSE)</f>
        <v>0</v>
      </c>
      <c r="AL263" s="70">
        <f t="shared" si="249"/>
        <v>0</v>
      </c>
      <c r="AM263" s="566">
        <f>VLOOKUP($A263,'01-02.2021'!$A$6:$CZ$403,39,FALSE)+VLOOKUP($A263,'1.3.21-28.2.22'!$A$6:$DA$404,39,FALSE)-VLOOKUP($A263,'01-02.2022'!$A$6:$DA$376,39,FALSE)</f>
        <v>0</v>
      </c>
      <c r="AN263" s="566">
        <f>VLOOKUP($A263,'01-02.2021'!$A$6:$CZ$403,40,FALSE)+VLOOKUP($A263,'1.3.21-28.2.22'!$A$6:$DA$404,40,FALSE)-VLOOKUP($A263,'01-02.2022'!$A$6:$DA$376,40,FALSE)</f>
        <v>0</v>
      </c>
      <c r="AO263" s="70">
        <f t="shared" si="250"/>
        <v>0</v>
      </c>
      <c r="AP263" s="566">
        <f>VLOOKUP($A263,'01-02.2021'!$A$6:$CZ$403,42,FALSE)+VLOOKUP($A263,'1.3.21-28.2.22'!$A$6:$DA$404,42,FALSE)-VLOOKUP($A263,'01-02.2022'!$A$6:$DA$376,42,FALSE)</f>
        <v>910.97986877236031</v>
      </c>
      <c r="AQ263" s="566">
        <f>VLOOKUP($A263,'01-02.2021'!$A$6:$CZ$403,43,FALSE)+VLOOKUP($A263,'1.3.21-28.2.22'!$A$6:$DA$404,43,FALSE)-VLOOKUP($A263,'01-02.2022'!$A$6:$DA$376,43,FALSE)</f>
        <v>795.78973234767955</v>
      </c>
      <c r="AR263" s="70">
        <f t="shared" si="251"/>
        <v>-115.19013642468076</v>
      </c>
      <c r="AS263" s="566">
        <f>VLOOKUP($A263,'01-02.2021'!$A$6:$CZ$403,45,FALSE)+VLOOKUP($A263,'1.3.21-28.2.22'!$A$6:$DA$404,45,FALSE)-VLOOKUP($A263,'01-02.2022'!$A$6:$DA$376,45,FALSE)</f>
        <v>3905.1793350408889</v>
      </c>
      <c r="AT263" s="566">
        <f>VLOOKUP($A263,'01-02.2021'!$A$6:$CZ$403,46,FALSE)+VLOOKUP($A263,'1.3.21-28.2.22'!$A$6:$DA$404,46,FALSE)-VLOOKUP($A263,'01-02.2022'!$A$6:$DA$376,46,FALSE)</f>
        <v>0</v>
      </c>
      <c r="AU263" s="78">
        <f t="shared" si="252"/>
        <v>-3905.1793350408889</v>
      </c>
      <c r="AV263" s="566">
        <f>VLOOKUP($A263,'01-02.2021'!$A$6:$CZ$403,48,FALSE)+VLOOKUP($A263,'1.3.21-28.2.22'!$A$6:$DA$404,48,FALSE)-VLOOKUP($A263,'01-02.2022'!$A$6:$DA$376,48,FALSE)</f>
        <v>553.7804032781811</v>
      </c>
      <c r="AW263" s="566">
        <f>VLOOKUP($A263,'01-02.2021'!$A$6:$CZ$403,49,FALSE)+VLOOKUP($A263,'1.3.21-28.2.22'!$A$6:$DA$404,49,FALSE)-VLOOKUP($A263,'01-02.2022'!$A$6:$DA$376,49,FALSE)</f>
        <v>0</v>
      </c>
      <c r="AX263" s="55">
        <f t="shared" si="253"/>
        <v>-553.7804032781811</v>
      </c>
      <c r="AY263" s="566">
        <f>VLOOKUP($A263,'01-02.2021'!$A$6:$CZ$403,51,FALSE)+VLOOKUP($A263,'1.3.21-28.2.22'!$A$6:$DA$404,51,FALSE)-VLOOKUP($A263,'01-02.2022'!$A$6:$DA$376,51,FALSE)</f>
        <v>612.82885389613625</v>
      </c>
      <c r="AZ263" s="566">
        <f>VLOOKUP($A263,'01-02.2021'!$A$6:$CZ$403,52,FALSE)+VLOOKUP($A263,'1.3.21-28.2.22'!$A$6:$DA$404,52,FALSE)-VLOOKUP($A263,'01-02.2022'!$A$6:$DA$376,52,FALSE)</f>
        <v>0</v>
      </c>
      <c r="BA263" s="38">
        <f t="shared" si="254"/>
        <v>-612.82885389613625</v>
      </c>
      <c r="BB263" s="566">
        <f>VLOOKUP($A263,'01-02.2021'!$A$6:$CZ$403,54,FALSE)+VLOOKUP($A263,'1.3.21-28.2.22'!$A$6:$DA$404,54,FALSE)-VLOOKUP($A263,'01-02.2022'!$A$6:$DA$376,54,FALSE)</f>
        <v>264.65901928870119</v>
      </c>
      <c r="BC263" s="566">
        <f>VLOOKUP($A263,'01-02.2021'!$A$6:$CZ$403,55,FALSE)+VLOOKUP($A263,'1.3.21-28.2.22'!$A$6:$DA$404,55,FALSE)-VLOOKUP($A263,'01-02.2022'!$A$6:$DA$376,55,FALSE)</f>
        <v>0</v>
      </c>
      <c r="BD263" s="55">
        <f t="shared" si="255"/>
        <v>-264.65901928870119</v>
      </c>
      <c r="BE263" s="566">
        <f>VLOOKUP($A263,'01-02.2021'!$A$6:$CZ$403,57,FALSE)+VLOOKUP($A263,'1.3.21-28.2.22'!$A$6:$DA$404,57,FALSE)-VLOOKUP($A263,'01-02.2022'!$A$6:$DA$376,57,FALSE)</f>
        <v>0</v>
      </c>
      <c r="BF263" s="566">
        <f>VLOOKUP($A263,'01-02.2021'!$A$6:$CZ$403,58,FALSE)+VLOOKUP($A263,'1.3.21-28.2.22'!$A$6:$DA$404,58,FALSE)-VLOOKUP($A263,'01-02.2022'!$A$6:$DA$376,58,FALSE)</f>
        <v>0</v>
      </c>
      <c r="BG263" s="55">
        <f t="shared" si="256"/>
        <v>0</v>
      </c>
      <c r="BH263" s="566">
        <f>VLOOKUP($A263,'01-02.2021'!$A$6:$CZ$403,60,FALSE)+VLOOKUP($A263,'1.3.21-28.2.22'!$A$6:$DA$404,60,FALSE)-VLOOKUP($A263,'01-02.2022'!$A$6:$DA$376,60,FALSE)</f>
        <v>0</v>
      </c>
      <c r="BI263" s="566">
        <f>VLOOKUP($A263,'01-02.2021'!$A$6:$CZ$403,61,FALSE)+VLOOKUP($A263,'1.3.21-28.2.22'!$A$6:$DA$404,61,FALSE)-VLOOKUP($A263,'01-02.2022'!$A$6:$DA$376,61,FALSE)</f>
        <v>0</v>
      </c>
      <c r="BJ263" s="55">
        <f t="shared" si="257"/>
        <v>0</v>
      </c>
      <c r="BK263" s="566">
        <f>VLOOKUP($A263,'01-02.2021'!$A$6:$CZ$403,63,FALSE)+VLOOKUP($A263,'1.3.21-28.2.22'!$A$6:$DA$404,63,FALSE)-VLOOKUP($A263,'01-02.2022'!$A$6:$DA$376,63,FALSE)</f>
        <v>106.82372126509718</v>
      </c>
      <c r="BL263" s="566">
        <f>VLOOKUP($A263,'01-02.2021'!$A$6:$CZ$403,64,FALSE)+VLOOKUP($A263,'1.3.21-28.2.22'!$A$6:$DA$404,64,FALSE)-VLOOKUP($A263,'01-02.2022'!$A$6:$DA$376,64,FALSE)</f>
        <v>709</v>
      </c>
      <c r="BM263" s="55">
        <f t="shared" si="258"/>
        <v>602.17627873490278</v>
      </c>
      <c r="BN263" s="566">
        <f>VLOOKUP($A263,'01-02.2021'!$A$6:$CZ$403,66,FALSE)+VLOOKUP($A263,'1.3.21-28.2.22'!$A$6:$DA$404,66,FALSE)-VLOOKUP($A263,'01-02.2022'!$A$6:$DA$376,66,FALSE)</f>
        <v>22.53</v>
      </c>
      <c r="BO263" s="566">
        <f>VLOOKUP($A263,'01-02.2021'!$A$6:$CZ$403,67,FALSE)+VLOOKUP($A263,'1.3.21-28.2.22'!$A$6:$DA$404,67,FALSE)-VLOOKUP($A263,'01-02.2022'!$A$6:$DA$376,67,FALSE)</f>
        <v>0</v>
      </c>
      <c r="BP263" s="55">
        <f t="shared" si="259"/>
        <v>-22.53</v>
      </c>
      <c r="BQ263" s="77">
        <f t="shared" si="287"/>
        <v>1560.6219977281157</v>
      </c>
      <c r="BR263" s="40">
        <f t="shared" si="315"/>
        <v>709</v>
      </c>
      <c r="BS263" s="55">
        <f t="shared" si="314"/>
        <v>-851.62199772811573</v>
      </c>
      <c r="BT263" s="566">
        <f>VLOOKUP($A263,'01-02.2021'!$A$6:$CZ$403,72,FALSE)+VLOOKUP($A263,'1.3.21-28.2.22'!$A$6:$DA$404,72,FALSE)-VLOOKUP($A263,'01-02.2022'!$A$6:$DA$376,72,FALSE)</f>
        <v>4734.8327804907112</v>
      </c>
      <c r="BU263" s="566">
        <f>VLOOKUP($A263,'01-02.2021'!$A$6:$CZ$403,73,FALSE)+VLOOKUP($A263,'1.3.21-28.2.22'!$A$6:$DA$404,73,FALSE)-VLOOKUP($A263,'01-02.2022'!$A$6:$DA$376,73,FALSE)</f>
        <v>6803.2566807251305</v>
      </c>
      <c r="BV263" s="70">
        <f t="shared" si="260"/>
        <v>2068.4239002344193</v>
      </c>
      <c r="BW263" s="566">
        <f>VLOOKUP($A263,'01-02.2021'!$A$6:$CZ$403,75,FALSE)+VLOOKUP($A263,'1.3.21-28.2.22'!$A$6:$DA$404,75,FALSE)-VLOOKUP($A263,'01-02.2022'!$A$6:$DA$376,75,FALSE)</f>
        <v>4046.5759857044623</v>
      </c>
      <c r="BX263" s="566">
        <f>VLOOKUP($A263,'01-02.2021'!$A$6:$CZ$403,76,FALSE)+VLOOKUP($A263,'1.3.21-28.2.22'!$A$6:$DA$404,76,FALSE)-VLOOKUP($A263,'01-02.2022'!$A$6:$DA$376,76,FALSE)</f>
        <v>3790.8098449034924</v>
      </c>
      <c r="BY263" s="70">
        <f t="shared" si="261"/>
        <v>-255.76614080096988</v>
      </c>
      <c r="BZ263" s="566">
        <f>VLOOKUP($A263,'01-02.2021'!$A$6:$CZ$403,78,FALSE)+VLOOKUP($A263,'1.3.21-28.2.22'!$A$6:$DA$404,78,FALSE)-VLOOKUP($A263,'01-02.2022'!$A$6:$DA$376,78,FALSE)</f>
        <v>1120.6456423080235</v>
      </c>
      <c r="CA263" s="566">
        <f>VLOOKUP($A263,'01-02.2021'!$A$6:$CZ$403,79,FALSE)+VLOOKUP($A263,'1.3.21-28.2.22'!$A$6:$DA$404,79,FALSE)-VLOOKUP($A263,'01-02.2022'!$A$6:$DA$376,79,FALSE)</f>
        <v>1633.4407337205691</v>
      </c>
      <c r="CB263" s="70">
        <f t="shared" si="262"/>
        <v>512.79509141254562</v>
      </c>
      <c r="CC263" s="566">
        <f>VLOOKUP($A263,'01-02.2021'!$A$6:$CZ$403,81,FALSE)+VLOOKUP($A263,'1.3.21-28.2.22'!$A$6:$DA$404,81,FALSE)-VLOOKUP($A263,'01-02.2022'!$A$6:$DA$376,81,FALSE)</f>
        <v>0</v>
      </c>
      <c r="CD263" s="566">
        <f>VLOOKUP($A263,'01-02.2021'!$A$6:$CZ$403,82,FALSE)+VLOOKUP($A263,'1.3.21-28.2.22'!$A$6:$DA$404,82,FALSE)-VLOOKUP($A263,'01-02.2022'!$A$6:$DA$376,82,FALSE)</f>
        <v>0</v>
      </c>
      <c r="CE263" s="70">
        <f t="shared" si="263"/>
        <v>0</v>
      </c>
      <c r="CF263" s="566">
        <f>VLOOKUP($A263,'01-02.2021'!$A$6:$CZ$403,84,FALSE)+VLOOKUP($A263,'1.3.21-28.2.22'!$A$6:$DA$404,84,FALSE)-VLOOKUP($A263,'01-02.2022'!$A$6:$DA$376,84,FALSE)</f>
        <v>0</v>
      </c>
      <c r="CG263" s="566">
        <f>VLOOKUP($A263,'01-02.2021'!$A$6:$CZ$403,85,FALSE)+VLOOKUP($A263,'1.3.21-28.2.22'!$A$6:$DA$404,85,FALSE)-VLOOKUP($A263,'01-02.2022'!$A$6:$DA$376,85,FALSE)</f>
        <v>0</v>
      </c>
      <c r="CH263" s="70">
        <f t="shared" si="264"/>
        <v>0</v>
      </c>
      <c r="CI263" s="566">
        <f>VLOOKUP($A263,'01-02.2021'!$A$6:$CZ$403,87,FALSE)+VLOOKUP($A263,'1.3.21-28.2.22'!$A$6:$DA$404,87,FALSE)-VLOOKUP($A263,'01-02.2022'!$A$6:$DA$376,87,FALSE)</f>
        <v>751.49637402146618</v>
      </c>
      <c r="CJ263" s="566">
        <f>VLOOKUP($A263,'01-02.2021'!$A$6:$CZ$403,88,FALSE)+VLOOKUP($A263,'1.3.21-28.2.22'!$A$6:$DA$404,88,FALSE)-VLOOKUP($A263,'01-02.2022'!$A$6:$DA$376,88,FALSE)</f>
        <v>463.99864031257516</v>
      </c>
      <c r="CK263" s="70">
        <f t="shared" si="265"/>
        <v>-287.49773370889102</v>
      </c>
      <c r="CL263" s="566">
        <f>VLOOKUP($A263,'01-02.2021'!$A$6:$CZ$403,90,FALSE)+VLOOKUP($A263,'1.3.21-28.2.22'!$A$6:$DA$404,90,FALSE)-VLOOKUP($A263,'01-02.2022'!$A$6:$DA$376,90,FALSE)</f>
        <v>0</v>
      </c>
      <c r="CM263" s="566">
        <f>VLOOKUP($A263,'01-02.2021'!$A$6:$CZ$403,91,FALSE)+VLOOKUP($A263,'1.3.21-28.2.22'!$A$6:$DA$404,91,FALSE)-VLOOKUP($A263,'01-02.2022'!$A$6:$DA$376,91,FALSE)</f>
        <v>0</v>
      </c>
      <c r="CN263" s="52">
        <f t="shared" si="303"/>
        <v>0</v>
      </c>
      <c r="CO263" s="39">
        <f t="shared" si="298"/>
        <v>751.49637402146618</v>
      </c>
      <c r="CP263" s="40">
        <f t="shared" si="304"/>
        <v>463.99864031257516</v>
      </c>
      <c r="CQ263" s="52">
        <f t="shared" si="305"/>
        <v>-287.49773370889102</v>
      </c>
      <c r="CR263" s="72">
        <f t="shared" si="299"/>
        <v>22668.037941154129</v>
      </c>
      <c r="CS263" s="5">
        <f t="shared" si="299"/>
        <v>20007.60083688853</v>
      </c>
      <c r="CT263" s="52">
        <f t="shared" si="306"/>
        <v>-2660.4371042655985</v>
      </c>
      <c r="CU263" s="77">
        <f t="shared" si="307"/>
        <v>27201.645529384954</v>
      </c>
      <c r="CV263" s="65">
        <f t="shared" si="308"/>
        <v>24009.121004266235</v>
      </c>
      <c r="CW263" s="35">
        <f t="shared" si="309"/>
        <v>-3192.5245251187189</v>
      </c>
      <c r="CX263" s="566">
        <f>VLOOKUP($A263,'01-02.2021'!$A$6:$CZ$403,102,FALSE)+VLOOKUP($A263,'1.3.21-28.2.22'!$A$6:$DA$404,102,FALSE)-VLOOKUP($A263,'01-02.2022'!$A$6:$DA$376,102,FALSE)</f>
        <v>949.55446079862259</v>
      </c>
      <c r="CY263" s="566">
        <f>VLOOKUP($A263,'01-02.2021'!$A$6:$CZ$403,103,FALSE)+VLOOKUP($A263,'1.3.21-28.2.22'!$A$6:$DA$404,103,FALSE)-VLOOKUP($A263,'01-02.2022'!$A$6:$DA$376,103,FALSE)</f>
        <v>4142.0789859173419</v>
      </c>
      <c r="CZ263" s="52">
        <f t="shared" si="310"/>
        <v>3192.5245251187193</v>
      </c>
      <c r="DA263" s="150">
        <f>'[2]побудинковий звіт'!DA263</f>
        <v>20922.397290426055</v>
      </c>
      <c r="DB263" s="2">
        <v>2</v>
      </c>
      <c r="DC263" s="414">
        <f>'[4]побудинковий звіт'!DC263</f>
        <v>2354.38</v>
      </c>
      <c r="DD263" s="414">
        <f>'[4]побудинковий звіт'!DD263</f>
        <v>292.82</v>
      </c>
      <c r="DE263" s="557">
        <f>'[4]побудинковий звіт'!DE263</f>
        <v>94.940061171408161</v>
      </c>
      <c r="DF263" s="557">
        <f>'[4]побудинковий звіт'!DF263</f>
        <v>-6.580644499194932E-3</v>
      </c>
      <c r="DG263" s="321">
        <f>VLOOKUP(A263,'кошти 01.03.2021'!$A$6:$D$401,4,)</f>
        <v>24786.728503448674</v>
      </c>
      <c r="DH263" s="40">
        <f>'[3]побудинковий звіт'!DJ263</f>
        <v>29126.679266321356</v>
      </c>
      <c r="DI263" s="422">
        <f>'[3]побудинковий звіт'!CU263+'[3]побудинковий звіт'!CX263</f>
        <v>2552.2665194730916</v>
      </c>
      <c r="DJ263" s="306">
        <f>'[3]побудинковий звіт'!DM263</f>
        <v>5.8458989361671208</v>
      </c>
      <c r="DK263" s="306">
        <f t="shared" si="316"/>
        <v>5.8458989361671208</v>
      </c>
      <c r="DL263" s="306">
        <f>'[3]побудинковий звіт'!DO263</f>
        <v>4.5682773891497535</v>
      </c>
      <c r="DM263" s="28">
        <f t="shared" si="317"/>
        <v>2259.4399388285919</v>
      </c>
      <c r="DN263" s="28">
        <f t="shared" si="318"/>
        <v>292.82658064449919</v>
      </c>
      <c r="DO263" s="423">
        <f t="shared" si="238"/>
        <v>2552.2665194730912</v>
      </c>
      <c r="DP263" s="94">
        <f t="shared" si="239"/>
        <v>0</v>
      </c>
      <c r="DQ263" s="28">
        <f t="shared" si="240"/>
        <v>2552.2665194730912</v>
      </c>
      <c r="DR263" s="318"/>
      <c r="DT263" s="8"/>
      <c r="DU263" s="5"/>
      <c r="DX263" s="5">
        <f t="shared" si="241"/>
        <v>6558.9615993228044</v>
      </c>
      <c r="DY263" s="5">
        <f t="shared" si="242"/>
        <v>850.8</v>
      </c>
      <c r="DZ263" s="159">
        <f>'[3]побудинковий звіт'!EA263</f>
        <v>520.34803956334667</v>
      </c>
    </row>
    <row r="264" spans="1:130" x14ac:dyDescent="0.3">
      <c r="A264" s="325">
        <v>150000729</v>
      </c>
      <c r="B264" s="41" t="s">
        <v>710</v>
      </c>
      <c r="C264" s="42" t="s">
        <v>274</v>
      </c>
      <c r="D264" s="42"/>
      <c r="E264" s="293">
        <f t="shared" si="296"/>
        <v>2102.6</v>
      </c>
      <c r="F264" s="305">
        <f>'[3]побудинковий звіт'!F264</f>
        <v>2102.6</v>
      </c>
      <c r="G264" s="508">
        <f>'[3]побудинковий звіт'!G264</f>
        <v>0</v>
      </c>
      <c r="H264" s="560">
        <f>'[3]побудинковий звіт'!H264</f>
        <v>0</v>
      </c>
      <c r="I264" s="566">
        <f>VLOOKUP($A264,'01-02.2021'!$A$6:$CZ$403,9,FALSE)+VLOOKUP($A264,'1.3.21-28.2.22'!$A$6:$DA$404,9,FALSE)-VLOOKUP($A264,'01-02.2022'!$A$6:$DA$376,9,FALSE)</f>
        <v>7910.1089743931316</v>
      </c>
      <c r="J264" s="566">
        <f>VLOOKUP($A264,'01-02.2021'!$A$6:$CZ$403,10,FALSE)+VLOOKUP($A264,'1.3.21-28.2.22'!$A$6:$DA$404,10,FALSE)-VLOOKUP($A264,'01-02.2022'!$A$6:$DA$376,10,FALSE)</f>
        <v>8633.7635551469102</v>
      </c>
      <c r="K264" s="52">
        <f t="shared" si="300"/>
        <v>723.65458075377865</v>
      </c>
      <c r="L264" s="566">
        <f>VLOOKUP($A264,'01-02.2021'!$A$6:$CZ$403,12,FALSE)+VLOOKUP($A264,'1.3.21-28.2.22'!$A$6:$DA$404,12,FALSE)-VLOOKUP($A264,'01-02.2022'!$A$6:$DA$376,12,FALSE)</f>
        <v>1744.6422707950742</v>
      </c>
      <c r="M264" s="566">
        <f>VLOOKUP($A264,'01-02.2021'!$A$6:$CZ$403,13,FALSE)+VLOOKUP($A264,'1.3.21-28.2.22'!$A$6:$DA$404,13,FALSE)-VLOOKUP($A264,'01-02.2022'!$A$6:$DA$376,13,FALSE)</f>
        <v>1920.9155087887948</v>
      </c>
      <c r="N264" s="52">
        <f t="shared" si="301"/>
        <v>176.27323799372061</v>
      </c>
      <c r="O264" s="566">
        <f>VLOOKUP($A264,'01-02.2021'!$A$6:$CZ$403,15,FALSE)+VLOOKUP($A264,'1.3.21-28.2.22'!$A$6:$DA$404,15,FALSE)-VLOOKUP($A264,'01-02.2022'!$A$6:$DA$376,15,FALSE)</f>
        <v>2881.7971867255001</v>
      </c>
      <c r="P264" s="566">
        <f>VLOOKUP($A264,'01-02.2021'!$A$6:$CZ$403,16,FALSE)+VLOOKUP($A264,'1.3.21-28.2.22'!$A$6:$DA$404,16,FALSE)-VLOOKUP($A264,'01-02.2022'!$A$6:$DA$376,16,FALSE)</f>
        <v>2881.7599999999998</v>
      </c>
      <c r="Q264" s="70">
        <f t="shared" si="243"/>
        <v>-3.7186725500305329E-2</v>
      </c>
      <c r="R264" s="566">
        <f>VLOOKUP($A264,'01-02.2021'!$A$6:$CZ$403,18,FALSE)+VLOOKUP($A264,'1.3.21-28.2.22'!$A$6:$DA$404,18,FALSE)-VLOOKUP($A264,'01-02.2022'!$A$6:$DA$376,18,FALSE)</f>
        <v>0</v>
      </c>
      <c r="S264" s="566">
        <f>VLOOKUP($A264,'01-02.2021'!$A$6:$CZ$403,19,FALSE)+VLOOKUP($A264,'1.3.21-28.2.22'!$A$6:$DA$404,19,FALSE)-VLOOKUP($A264,'01-02.2022'!$A$6:$DA$376,19,FALSE)</f>
        <v>0</v>
      </c>
      <c r="T264" s="70">
        <f t="shared" si="244"/>
        <v>0</v>
      </c>
      <c r="U264" s="566">
        <f>VLOOKUP($A264,'01-02.2021'!$A$6:$CZ$403,21,FALSE)+VLOOKUP($A264,'1.3.21-28.2.22'!$A$6:$DA$404,21,FALSE)-VLOOKUP($A264,'01-02.2022'!$A$6:$DA$376,21,FALSE)</f>
        <v>0</v>
      </c>
      <c r="V264" s="566">
        <f>VLOOKUP($A264,'01-02.2021'!$A$6:$CZ$403,22,FALSE)+VLOOKUP($A264,'1.3.21-28.2.22'!$A$6:$DA$404,22,FALSE)-VLOOKUP($A264,'01-02.2022'!$A$6:$DA$376,22,FALSE)</f>
        <v>0</v>
      </c>
      <c r="W264" s="70">
        <f t="shared" si="245"/>
        <v>0</v>
      </c>
      <c r="X264" s="566">
        <f>VLOOKUP($A264,'01-02.2021'!$A$6:$CZ$403,24,FALSE)+VLOOKUP($A264,'1.3.21-28.2.22'!$A$6:$DA$404,24,FALSE)-VLOOKUP($A264,'01-02.2022'!$A$6:$DA$376,24,FALSE)</f>
        <v>4877.8038691313068</v>
      </c>
      <c r="Y264" s="566">
        <f>VLOOKUP($A264,'01-02.2021'!$A$6:$CZ$403,25,FALSE)+VLOOKUP($A264,'1.3.21-28.2.22'!$A$6:$DA$404,25,FALSE)-VLOOKUP($A264,'01-02.2022'!$A$6:$DA$376,25,FALSE)</f>
        <v>3861.1475420878951</v>
      </c>
      <c r="Z264" s="70">
        <f t="shared" si="246"/>
        <v>-1016.6563270434117</v>
      </c>
      <c r="AA264" s="566">
        <f>VLOOKUP($A264,'01-02.2021'!$A$6:$CZ$403,27,FALSE)+VLOOKUP($A264,'1.3.21-28.2.22'!$A$6:$DA$404,27,FALSE)-VLOOKUP($A264,'01-02.2022'!$A$6:$DA$376,27,FALSE)</f>
        <v>421.14</v>
      </c>
      <c r="AB264" s="566">
        <f>VLOOKUP($A264,'01-02.2021'!$A$6:$CZ$403,28,FALSE)+VLOOKUP($A264,'1.3.21-28.2.22'!$A$6:$DA$404,28,FALSE)-VLOOKUP($A264,'01-02.2022'!$A$6:$DA$376,28,FALSE)</f>
        <v>0</v>
      </c>
      <c r="AC264" s="70">
        <f t="shared" si="247"/>
        <v>-421.14</v>
      </c>
      <c r="AD264" s="566">
        <f>VLOOKUP($A264,'01-02.2021'!$A$6:$CZ$403,30,FALSE)+VLOOKUP($A264,'1.3.21-28.2.22'!$A$6:$DA$404,30,FALSE)-VLOOKUP($A264,'01-02.2022'!$A$6:$DA$376,30,FALSE)</f>
        <v>9036.8006545174285</v>
      </c>
      <c r="AE264" s="566">
        <f>VLOOKUP($A264,'01-02.2021'!$A$6:$CZ$403,31,FALSE)+VLOOKUP($A264,'1.3.21-28.2.22'!$A$6:$DA$404,31,FALSE)-VLOOKUP($A264,'01-02.2022'!$A$6:$DA$376,31,FALSE)</f>
        <v>9571.1199184855977</v>
      </c>
      <c r="AF264" s="68">
        <f t="shared" si="248"/>
        <v>534.31926396816925</v>
      </c>
      <c r="AG264" s="77">
        <f t="shared" si="297"/>
        <v>26872.292955562443</v>
      </c>
      <c r="AH264" s="53">
        <f t="shared" si="297"/>
        <v>26868.706524509198</v>
      </c>
      <c r="AI264" s="52">
        <f t="shared" si="302"/>
        <v>-3.5864310532451782</v>
      </c>
      <c r="AJ264" s="566">
        <f>VLOOKUP($A264,'01-02.2021'!$A$6:$CZ$403,36,FALSE)+VLOOKUP($A264,'1.3.21-28.2.22'!$A$6:$DA$404,36,FALSE)-VLOOKUP($A264,'01-02.2022'!$A$6:$DA$376,36,FALSE)</f>
        <v>0</v>
      </c>
      <c r="AK264" s="566">
        <f>VLOOKUP($A264,'01-02.2021'!$A$6:$CZ$403,37,FALSE)+VLOOKUP($A264,'1.3.21-28.2.22'!$A$6:$DA$404,37,FALSE)-VLOOKUP($A264,'01-02.2022'!$A$6:$DA$376,37,FALSE)</f>
        <v>0</v>
      </c>
      <c r="AL264" s="70">
        <f t="shared" si="249"/>
        <v>0</v>
      </c>
      <c r="AM264" s="566">
        <f>VLOOKUP($A264,'01-02.2021'!$A$6:$CZ$403,39,FALSE)+VLOOKUP($A264,'1.3.21-28.2.22'!$A$6:$DA$404,39,FALSE)-VLOOKUP($A264,'01-02.2022'!$A$6:$DA$376,39,FALSE)</f>
        <v>0</v>
      </c>
      <c r="AN264" s="566">
        <f>VLOOKUP($A264,'01-02.2021'!$A$6:$CZ$403,40,FALSE)+VLOOKUP($A264,'1.3.21-28.2.22'!$A$6:$DA$404,40,FALSE)-VLOOKUP($A264,'01-02.2022'!$A$6:$DA$376,40,FALSE)</f>
        <v>0</v>
      </c>
      <c r="AO264" s="70">
        <f t="shared" si="250"/>
        <v>0</v>
      </c>
      <c r="AP264" s="566">
        <f>VLOOKUP($A264,'01-02.2021'!$A$6:$CZ$403,42,FALSE)+VLOOKUP($A264,'1.3.21-28.2.22'!$A$6:$DA$404,42,FALSE)-VLOOKUP($A264,'01-02.2022'!$A$6:$DA$376,42,FALSE)</f>
        <v>5205.599250127776</v>
      </c>
      <c r="AQ264" s="566">
        <f>VLOOKUP($A264,'01-02.2021'!$A$6:$CZ$403,43,FALSE)+VLOOKUP($A264,'1.3.21-28.2.22'!$A$6:$DA$404,43,FALSE)-VLOOKUP($A264,'01-02.2022'!$A$6:$DA$376,43,FALSE)</f>
        <v>4381.515090124165</v>
      </c>
      <c r="AR264" s="70">
        <f t="shared" si="251"/>
        <v>-824.08416000361103</v>
      </c>
      <c r="AS264" s="566">
        <f>VLOOKUP($A264,'01-02.2021'!$A$6:$CZ$403,45,FALSE)+VLOOKUP($A264,'1.3.21-28.2.22'!$A$6:$DA$404,45,FALSE)-VLOOKUP($A264,'01-02.2022'!$A$6:$DA$376,45,FALSE)</f>
        <v>22234.744608114677</v>
      </c>
      <c r="AT264" s="566">
        <f>VLOOKUP($A264,'01-02.2021'!$A$6:$CZ$403,46,FALSE)+VLOOKUP($A264,'1.3.21-28.2.22'!$A$6:$DA$404,46,FALSE)-VLOOKUP($A264,'01-02.2022'!$A$6:$DA$376,46,FALSE)</f>
        <v>502</v>
      </c>
      <c r="AU264" s="78">
        <f t="shared" si="252"/>
        <v>-21732.744608114677</v>
      </c>
      <c r="AV264" s="566">
        <f>VLOOKUP($A264,'01-02.2021'!$A$6:$CZ$403,48,FALSE)+VLOOKUP($A264,'1.3.21-28.2.22'!$A$6:$DA$404,48,FALSE)-VLOOKUP($A264,'01-02.2022'!$A$6:$DA$376,48,FALSE)</f>
        <v>2353.6770763679597</v>
      </c>
      <c r="AW264" s="566">
        <f>VLOOKUP($A264,'01-02.2021'!$A$6:$CZ$403,49,FALSE)+VLOOKUP($A264,'1.3.21-28.2.22'!$A$6:$DA$404,49,FALSE)-VLOOKUP($A264,'01-02.2022'!$A$6:$DA$376,49,FALSE)</f>
        <v>0</v>
      </c>
      <c r="AX264" s="55">
        <f t="shared" si="253"/>
        <v>-2353.6770763679597</v>
      </c>
      <c r="AY264" s="566">
        <f>VLOOKUP($A264,'01-02.2021'!$A$6:$CZ$403,51,FALSE)+VLOOKUP($A264,'1.3.21-28.2.22'!$A$6:$DA$404,51,FALSE)-VLOOKUP($A264,'01-02.2022'!$A$6:$DA$376,51,FALSE)</f>
        <v>3279.4035594063826</v>
      </c>
      <c r="AZ264" s="566">
        <f>VLOOKUP($A264,'01-02.2021'!$A$6:$CZ$403,52,FALSE)+VLOOKUP($A264,'1.3.21-28.2.22'!$A$6:$DA$404,52,FALSE)-VLOOKUP($A264,'01-02.2022'!$A$6:$DA$376,52,FALSE)</f>
        <v>0</v>
      </c>
      <c r="BA264" s="38">
        <f t="shared" si="254"/>
        <v>-3279.4035594063826</v>
      </c>
      <c r="BB264" s="566">
        <f>VLOOKUP($A264,'01-02.2021'!$A$6:$CZ$403,54,FALSE)+VLOOKUP($A264,'1.3.21-28.2.22'!$A$6:$DA$404,54,FALSE)-VLOOKUP($A264,'01-02.2022'!$A$6:$DA$376,54,FALSE)</f>
        <v>1133.0769003293915</v>
      </c>
      <c r="BC264" s="566">
        <f>VLOOKUP($A264,'01-02.2021'!$A$6:$CZ$403,55,FALSE)+VLOOKUP($A264,'1.3.21-28.2.22'!$A$6:$DA$404,55,FALSE)-VLOOKUP($A264,'01-02.2022'!$A$6:$DA$376,55,FALSE)</f>
        <v>3179</v>
      </c>
      <c r="BD264" s="55">
        <f t="shared" si="255"/>
        <v>2045.9230996706085</v>
      </c>
      <c r="BE264" s="566">
        <f>VLOOKUP($A264,'01-02.2021'!$A$6:$CZ$403,57,FALSE)+VLOOKUP($A264,'1.3.21-28.2.22'!$A$6:$DA$404,57,FALSE)-VLOOKUP($A264,'01-02.2022'!$A$6:$DA$376,57,FALSE)</f>
        <v>0</v>
      </c>
      <c r="BF264" s="566">
        <f>VLOOKUP($A264,'01-02.2021'!$A$6:$CZ$403,58,FALSE)+VLOOKUP($A264,'1.3.21-28.2.22'!$A$6:$DA$404,58,FALSE)-VLOOKUP($A264,'01-02.2022'!$A$6:$DA$376,58,FALSE)</f>
        <v>0</v>
      </c>
      <c r="BG264" s="55">
        <f t="shared" si="256"/>
        <v>0</v>
      </c>
      <c r="BH264" s="566">
        <f>VLOOKUP($A264,'01-02.2021'!$A$6:$CZ$403,60,FALSE)+VLOOKUP($A264,'1.3.21-28.2.22'!$A$6:$DA$404,60,FALSE)-VLOOKUP($A264,'01-02.2022'!$A$6:$DA$376,60,FALSE)</f>
        <v>0</v>
      </c>
      <c r="BI264" s="566">
        <f>VLOOKUP($A264,'01-02.2021'!$A$6:$CZ$403,61,FALSE)+VLOOKUP($A264,'1.3.21-28.2.22'!$A$6:$DA$404,61,FALSE)-VLOOKUP($A264,'01-02.2022'!$A$6:$DA$376,61,FALSE)</f>
        <v>0</v>
      </c>
      <c r="BJ264" s="55">
        <f t="shared" si="257"/>
        <v>0</v>
      </c>
      <c r="BK264" s="566">
        <f>VLOOKUP($A264,'01-02.2021'!$A$6:$CZ$403,63,FALSE)+VLOOKUP($A264,'1.3.21-28.2.22'!$A$6:$DA$404,63,FALSE)-VLOOKUP($A264,'01-02.2022'!$A$6:$DA$376,63,FALSE)</f>
        <v>1484.1998344284671</v>
      </c>
      <c r="BL264" s="566">
        <f>VLOOKUP($A264,'01-02.2021'!$A$6:$CZ$403,64,FALSE)+VLOOKUP($A264,'1.3.21-28.2.22'!$A$6:$DA$404,64,FALSE)-VLOOKUP($A264,'01-02.2022'!$A$6:$DA$376,64,FALSE)</f>
        <v>0</v>
      </c>
      <c r="BM264" s="55">
        <f t="shared" si="258"/>
        <v>-1484.1998344284671</v>
      </c>
      <c r="BN264" s="566">
        <f>VLOOKUP($A264,'01-02.2021'!$A$6:$CZ$403,66,FALSE)+VLOOKUP($A264,'1.3.21-28.2.22'!$A$6:$DA$404,66,FALSE)-VLOOKUP($A264,'01-02.2022'!$A$6:$DA$376,66,FALSE)</f>
        <v>105.285</v>
      </c>
      <c r="BO264" s="566">
        <f>VLOOKUP($A264,'01-02.2021'!$A$6:$CZ$403,67,FALSE)+VLOOKUP($A264,'1.3.21-28.2.22'!$A$6:$DA$404,67,FALSE)-VLOOKUP($A264,'01-02.2022'!$A$6:$DA$376,67,FALSE)</f>
        <v>0</v>
      </c>
      <c r="BP264" s="55">
        <f t="shared" si="259"/>
        <v>-105.285</v>
      </c>
      <c r="BQ264" s="77">
        <f t="shared" si="287"/>
        <v>8355.6423705322013</v>
      </c>
      <c r="BR264" s="40">
        <f t="shared" si="315"/>
        <v>3179</v>
      </c>
      <c r="BS264" s="55">
        <f t="shared" si="314"/>
        <v>-5176.6423705322013</v>
      </c>
      <c r="BT264" s="566">
        <f>VLOOKUP($A264,'01-02.2021'!$A$6:$CZ$403,72,FALSE)+VLOOKUP($A264,'1.3.21-28.2.22'!$A$6:$DA$404,72,FALSE)-VLOOKUP($A264,'01-02.2022'!$A$6:$DA$376,72,FALSE)</f>
        <v>10951.954135983815</v>
      </c>
      <c r="BU264" s="566">
        <f>VLOOKUP($A264,'01-02.2021'!$A$6:$CZ$403,73,FALSE)+VLOOKUP($A264,'1.3.21-28.2.22'!$A$6:$DA$404,73,FALSE)-VLOOKUP($A264,'01-02.2022'!$A$6:$DA$376,73,FALSE)</f>
        <v>14724.879670552307</v>
      </c>
      <c r="BV264" s="70">
        <f t="shared" si="260"/>
        <v>3772.9255345684924</v>
      </c>
      <c r="BW264" s="566">
        <f>VLOOKUP($A264,'01-02.2021'!$A$6:$CZ$403,75,FALSE)+VLOOKUP($A264,'1.3.21-28.2.22'!$A$6:$DA$404,75,FALSE)-VLOOKUP($A264,'01-02.2022'!$A$6:$DA$376,75,FALSE)</f>
        <v>9753.1078058570783</v>
      </c>
      <c r="BX264" s="566">
        <f>VLOOKUP($A264,'01-02.2021'!$A$6:$CZ$403,76,FALSE)+VLOOKUP($A264,'1.3.21-28.2.22'!$A$6:$DA$404,76,FALSE)-VLOOKUP($A264,'01-02.2022'!$A$6:$DA$376,76,FALSE)</f>
        <v>9262.2626997803418</v>
      </c>
      <c r="BY264" s="70">
        <f t="shared" si="261"/>
        <v>-490.84510607673656</v>
      </c>
      <c r="BZ264" s="566">
        <f>VLOOKUP($A264,'01-02.2021'!$A$6:$CZ$403,78,FALSE)+VLOOKUP($A264,'1.3.21-28.2.22'!$A$6:$DA$404,78,FALSE)-VLOOKUP($A264,'01-02.2022'!$A$6:$DA$376,78,FALSE)</f>
        <v>5725.569358173856</v>
      </c>
      <c r="CA264" s="566">
        <f>VLOOKUP($A264,'01-02.2021'!$A$6:$CZ$403,79,FALSE)+VLOOKUP($A264,'1.3.21-28.2.22'!$A$6:$DA$404,79,FALSE)-VLOOKUP($A264,'01-02.2022'!$A$6:$DA$376,79,FALSE)</f>
        <v>4207.0375917374058</v>
      </c>
      <c r="CB264" s="70">
        <f t="shared" si="262"/>
        <v>-1518.5317664364502</v>
      </c>
      <c r="CC264" s="566">
        <f>VLOOKUP($A264,'01-02.2021'!$A$6:$CZ$403,81,FALSE)+VLOOKUP($A264,'1.3.21-28.2.22'!$A$6:$DA$404,81,FALSE)-VLOOKUP($A264,'01-02.2022'!$A$6:$DA$376,81,FALSE)</f>
        <v>1009.5423957647073</v>
      </c>
      <c r="CD264" s="566">
        <f>VLOOKUP($A264,'01-02.2021'!$A$6:$CZ$403,82,FALSE)+VLOOKUP($A264,'1.3.21-28.2.22'!$A$6:$DA$404,82,FALSE)-VLOOKUP($A264,'01-02.2022'!$A$6:$DA$376,82,FALSE)</f>
        <v>1103.422791512161</v>
      </c>
      <c r="CE264" s="70">
        <f t="shared" si="263"/>
        <v>93.88039574745369</v>
      </c>
      <c r="CF264" s="566">
        <f>VLOOKUP($A264,'01-02.2021'!$A$6:$CZ$403,84,FALSE)+VLOOKUP($A264,'1.3.21-28.2.22'!$A$6:$DA$404,84,FALSE)-VLOOKUP($A264,'01-02.2022'!$A$6:$DA$376,84,FALSE)</f>
        <v>122.73067383396022</v>
      </c>
      <c r="CG264" s="566">
        <f>VLOOKUP($A264,'01-02.2021'!$A$6:$CZ$403,85,FALSE)+VLOOKUP($A264,'1.3.21-28.2.22'!$A$6:$DA$404,85,FALSE)-VLOOKUP($A264,'01-02.2022'!$A$6:$DA$376,85,FALSE)</f>
        <v>1108.8914869255336</v>
      </c>
      <c r="CH264" s="70">
        <f t="shared" si="264"/>
        <v>986.16081309157335</v>
      </c>
      <c r="CI264" s="566">
        <f>VLOOKUP($A264,'01-02.2021'!$A$6:$CZ$403,87,FALSE)+VLOOKUP($A264,'1.3.21-28.2.22'!$A$6:$DA$404,87,FALSE)-VLOOKUP($A264,'01-02.2022'!$A$6:$DA$376,87,FALSE)</f>
        <v>3101.5906712374999</v>
      </c>
      <c r="CJ264" s="566">
        <f>VLOOKUP($A264,'01-02.2021'!$A$6:$CZ$403,88,FALSE)+VLOOKUP($A264,'1.3.21-28.2.22'!$A$6:$DA$404,88,FALSE)-VLOOKUP($A264,'01-02.2022'!$A$6:$DA$376,88,FALSE)</f>
        <v>2798.9063503681914</v>
      </c>
      <c r="CK264" s="70">
        <f t="shared" si="265"/>
        <v>-302.68432086930852</v>
      </c>
      <c r="CL264" s="566">
        <f>VLOOKUP($A264,'01-02.2021'!$A$6:$CZ$403,90,FALSE)+VLOOKUP($A264,'1.3.21-28.2.22'!$A$6:$DA$404,90,FALSE)-VLOOKUP($A264,'01-02.2022'!$A$6:$DA$376,90,FALSE)</f>
        <v>0</v>
      </c>
      <c r="CM264" s="566">
        <f>VLOOKUP($A264,'01-02.2021'!$A$6:$CZ$403,91,FALSE)+VLOOKUP($A264,'1.3.21-28.2.22'!$A$6:$DA$404,91,FALSE)-VLOOKUP($A264,'01-02.2022'!$A$6:$DA$376,91,FALSE)</f>
        <v>0</v>
      </c>
      <c r="CN264" s="52">
        <f t="shared" si="303"/>
        <v>0</v>
      </c>
      <c r="CO264" s="39">
        <f t="shared" si="298"/>
        <v>3101.5906712374999</v>
      </c>
      <c r="CP264" s="40">
        <f t="shared" si="304"/>
        <v>2798.9063503681914</v>
      </c>
      <c r="CQ264" s="52">
        <f t="shared" si="305"/>
        <v>-302.68432086930852</v>
      </c>
      <c r="CR264" s="72">
        <f t="shared" si="299"/>
        <v>93332.774225188012</v>
      </c>
      <c r="CS264" s="5">
        <f t="shared" si="299"/>
        <v>68136.622205509295</v>
      </c>
      <c r="CT264" s="52">
        <f t="shared" si="306"/>
        <v>-25196.152019678717</v>
      </c>
      <c r="CU264" s="77">
        <f t="shared" si="307"/>
        <v>111999.32907022561</v>
      </c>
      <c r="CV264" s="65">
        <f t="shared" si="308"/>
        <v>81763.946646611148</v>
      </c>
      <c r="CW264" s="35">
        <f t="shared" si="309"/>
        <v>-30235.382423614457</v>
      </c>
      <c r="CX264" s="566">
        <f>VLOOKUP($A264,'01-02.2021'!$A$6:$CZ$403,102,FALSE)+VLOOKUP($A264,'1.3.21-28.2.22'!$A$6:$DA$404,102,FALSE)-VLOOKUP($A264,'01-02.2022'!$A$6:$DA$376,102,FALSE)</f>
        <v>5705.3805330284649</v>
      </c>
      <c r="CY264" s="566">
        <f>VLOOKUP($A264,'01-02.2021'!$A$6:$CZ$403,103,FALSE)+VLOOKUP($A264,'1.3.21-28.2.22'!$A$6:$DA$404,103,FALSE)-VLOOKUP($A264,'01-02.2022'!$A$6:$DA$376,103,FALSE)</f>
        <v>35940.762956642924</v>
      </c>
      <c r="CZ264" s="52">
        <f t="shared" si="310"/>
        <v>30235.382423614457</v>
      </c>
      <c r="DA264" s="150">
        <f>'[2]побудинковий звіт'!DA264</f>
        <v>-37913.684637148348</v>
      </c>
      <c r="DB264" s="2">
        <v>2</v>
      </c>
      <c r="DC264" s="414">
        <f>'[4]побудинковий звіт'!DC264</f>
        <v>21779.62</v>
      </c>
      <c r="DD264" s="414">
        <f>'[4]побудинковий звіт'!DD264</f>
        <v>0</v>
      </c>
      <c r="DE264" s="557">
        <f>'[4]побудинковий звіт'!DE264</f>
        <v>11104.935308015372</v>
      </c>
      <c r="DF264" s="557">
        <f>'[4]побудинковий звіт'!DF264</f>
        <v>0</v>
      </c>
      <c r="DG264" s="321">
        <f>VLOOKUP(A264,'кошти 01.03.2021'!$A$6:$D$401,4,)</f>
        <v>-1230.479187647592</v>
      </c>
      <c r="DH264" s="40">
        <f>'[3]побудинковий звіт'!DJ264</f>
        <v>121798.96223342045</v>
      </c>
      <c r="DI264" s="422">
        <f>'[3]побудинковий звіт'!CU264+'[3]побудинковий звіт'!CX264</f>
        <v>10674.684691984625</v>
      </c>
      <c r="DJ264" s="306">
        <f>'[3]побудинковий звіт'!DM264</f>
        <v>5.0768975040353022</v>
      </c>
      <c r="DK264" s="306">
        <f t="shared" si="316"/>
        <v>5.0768975040353022</v>
      </c>
      <c r="DL264" s="306">
        <f>'[3]побудинковий звіт'!DO264</f>
        <v>4.4996697982394105</v>
      </c>
      <c r="DM264" s="28">
        <f t="shared" si="317"/>
        <v>10674.684691984627</v>
      </c>
      <c r="DN264" s="28">
        <f t="shared" si="318"/>
        <v>0</v>
      </c>
      <c r="DO264" s="423">
        <f t="shared" ref="DO264:DO327" si="319">DM264+DN264</f>
        <v>10674.684691984627</v>
      </c>
      <c r="DP264" s="94">
        <f t="shared" ref="DP264:DP327" si="320">DI264-DO264</f>
        <v>0</v>
      </c>
      <c r="DQ264" s="28">
        <f t="shared" ref="DQ264:DQ327" si="321">DM264+DN264</f>
        <v>10674.684691984627</v>
      </c>
      <c r="DR264" s="318"/>
      <c r="DT264" s="8"/>
      <c r="DU264" s="5"/>
      <c r="DX264" s="5">
        <f t="shared" ref="DX264:DX327" si="322">(AS264+BQ264)*1.2</f>
        <v>36708.46437437625</v>
      </c>
      <c r="DY264" s="5">
        <f t="shared" ref="DY264:DY327" si="323">(AT264+BR264)*1.2</f>
        <v>4417.2</v>
      </c>
      <c r="DZ264" s="159">
        <f>'[3]побудинковий звіт'!EA264</f>
        <v>3409.5812603043178</v>
      </c>
    </row>
    <row r="265" spans="1:130" x14ac:dyDescent="0.3">
      <c r="A265" s="325">
        <v>150000721</v>
      </c>
      <c r="B265" s="41" t="s">
        <v>711</v>
      </c>
      <c r="C265" s="42" t="s">
        <v>219</v>
      </c>
      <c r="D265" s="42"/>
      <c r="E265" s="293">
        <f t="shared" si="296"/>
        <v>2791.9</v>
      </c>
      <c r="F265" s="305">
        <f>'[3]побудинковий звіт'!F265</f>
        <v>2723.3</v>
      </c>
      <c r="G265" s="508">
        <f>'[3]побудинковий звіт'!G265</f>
        <v>0</v>
      </c>
      <c r="H265" s="560">
        <f>'[3]побудинковий звіт'!H265</f>
        <v>68.599999999999994</v>
      </c>
      <c r="I265" s="566">
        <f>VLOOKUP($A265,'01-02.2021'!$A$6:$CZ$403,9,FALSE)+VLOOKUP($A265,'1.3.21-28.2.22'!$A$6:$DA$404,9,FALSE)-VLOOKUP($A265,'01-02.2022'!$A$6:$DA$376,9,FALSE)</f>
        <v>10025.066816999608</v>
      </c>
      <c r="J265" s="566">
        <f>VLOOKUP($A265,'01-02.2021'!$A$6:$CZ$403,10,FALSE)+VLOOKUP($A265,'1.3.21-28.2.22'!$A$6:$DA$404,10,FALSE)-VLOOKUP($A265,'01-02.2022'!$A$6:$DA$376,10,FALSE)</f>
        <v>11000.506896593053</v>
      </c>
      <c r="K265" s="52">
        <f t="shared" si="300"/>
        <v>975.44007959344526</v>
      </c>
      <c r="L265" s="566">
        <f>VLOOKUP($A265,'01-02.2021'!$A$6:$CZ$403,12,FALSE)+VLOOKUP($A265,'1.3.21-28.2.22'!$A$6:$DA$404,12,FALSE)-VLOOKUP($A265,'01-02.2022'!$A$6:$DA$376,12,FALSE)</f>
        <v>1442.7582167126204</v>
      </c>
      <c r="M265" s="566">
        <f>VLOOKUP($A265,'01-02.2021'!$A$6:$CZ$403,13,FALSE)+VLOOKUP($A265,'1.3.21-28.2.22'!$A$6:$DA$404,13,FALSE)-VLOOKUP($A265,'01-02.2022'!$A$6:$DA$376,13,FALSE)</f>
        <v>1588.5276206858268</v>
      </c>
      <c r="N265" s="52">
        <f t="shared" si="301"/>
        <v>145.76940397320641</v>
      </c>
      <c r="O265" s="566">
        <f>VLOOKUP($A265,'01-02.2021'!$A$6:$CZ$403,15,FALSE)+VLOOKUP($A265,'1.3.21-28.2.22'!$A$6:$DA$404,15,FALSE)-VLOOKUP($A265,'01-02.2022'!$A$6:$DA$376,15,FALSE)</f>
        <v>3439.2769852469414</v>
      </c>
      <c r="P265" s="566">
        <f>VLOOKUP($A265,'01-02.2021'!$A$6:$CZ$403,16,FALSE)+VLOOKUP($A265,'1.3.21-28.2.22'!$A$6:$DA$404,16,FALSE)-VLOOKUP($A265,'01-02.2022'!$A$6:$DA$376,16,FALSE)</f>
        <v>3439.2699999999991</v>
      </c>
      <c r="Q265" s="70">
        <f t="shared" si="243"/>
        <v>-6.9852469423494767E-3</v>
      </c>
      <c r="R265" s="566">
        <f>VLOOKUP($A265,'01-02.2021'!$A$6:$CZ$403,18,FALSE)+VLOOKUP($A265,'1.3.21-28.2.22'!$A$6:$DA$404,18,FALSE)-VLOOKUP($A265,'01-02.2022'!$A$6:$DA$376,18,FALSE)</f>
        <v>0</v>
      </c>
      <c r="S265" s="566">
        <f>VLOOKUP($A265,'01-02.2021'!$A$6:$CZ$403,19,FALSE)+VLOOKUP($A265,'1.3.21-28.2.22'!$A$6:$DA$404,19,FALSE)-VLOOKUP($A265,'01-02.2022'!$A$6:$DA$376,19,FALSE)</f>
        <v>0</v>
      </c>
      <c r="T265" s="70">
        <f t="shared" si="244"/>
        <v>0</v>
      </c>
      <c r="U265" s="566">
        <f>VLOOKUP($A265,'01-02.2021'!$A$6:$CZ$403,21,FALSE)+VLOOKUP($A265,'1.3.21-28.2.22'!$A$6:$DA$404,21,FALSE)-VLOOKUP($A265,'01-02.2022'!$A$6:$DA$376,21,FALSE)</f>
        <v>0</v>
      </c>
      <c r="V265" s="566">
        <f>VLOOKUP($A265,'01-02.2021'!$A$6:$CZ$403,22,FALSE)+VLOOKUP($A265,'1.3.21-28.2.22'!$A$6:$DA$404,22,FALSE)-VLOOKUP($A265,'01-02.2022'!$A$6:$DA$376,22,FALSE)</f>
        <v>0</v>
      </c>
      <c r="W265" s="70">
        <f t="shared" si="245"/>
        <v>0</v>
      </c>
      <c r="X265" s="566">
        <f>VLOOKUP($A265,'01-02.2021'!$A$6:$CZ$403,24,FALSE)+VLOOKUP($A265,'1.3.21-28.2.22'!$A$6:$DA$404,24,FALSE)-VLOOKUP($A265,'01-02.2022'!$A$6:$DA$376,24,FALSE)</f>
        <v>4024.353850928077</v>
      </c>
      <c r="Y265" s="566">
        <f>VLOOKUP($A265,'01-02.2021'!$A$6:$CZ$403,25,FALSE)+VLOOKUP($A265,'1.3.21-28.2.22'!$A$6:$DA$404,25,FALSE)-VLOOKUP($A265,'01-02.2022'!$A$6:$DA$376,25,FALSE)</f>
        <v>3225.4639999148535</v>
      </c>
      <c r="Z265" s="70">
        <f t="shared" si="246"/>
        <v>-798.88985101322351</v>
      </c>
      <c r="AA265" s="566">
        <f>VLOOKUP($A265,'01-02.2021'!$A$6:$CZ$403,27,FALSE)+VLOOKUP($A265,'1.3.21-28.2.22'!$A$6:$DA$404,27,FALSE)-VLOOKUP($A265,'01-02.2022'!$A$6:$DA$376,27,FALSE)</f>
        <v>557.9</v>
      </c>
      <c r="AB265" s="566">
        <f>VLOOKUP($A265,'01-02.2021'!$A$6:$CZ$403,28,FALSE)+VLOOKUP($A265,'1.3.21-28.2.22'!$A$6:$DA$404,28,FALSE)-VLOOKUP($A265,'01-02.2022'!$A$6:$DA$376,28,FALSE)</f>
        <v>430</v>
      </c>
      <c r="AC265" s="70">
        <f t="shared" si="247"/>
        <v>-127.89999999999998</v>
      </c>
      <c r="AD265" s="566">
        <f>VLOOKUP($A265,'01-02.2021'!$A$6:$CZ$403,30,FALSE)+VLOOKUP($A265,'1.3.21-28.2.22'!$A$6:$DA$404,30,FALSE)-VLOOKUP($A265,'01-02.2022'!$A$6:$DA$376,30,FALSE)</f>
        <v>11980.847587349141</v>
      </c>
      <c r="AE265" s="566">
        <f>VLOOKUP($A265,'01-02.2021'!$A$6:$CZ$403,31,FALSE)+VLOOKUP($A265,'1.3.21-28.2.22'!$A$6:$DA$404,31,FALSE)-VLOOKUP($A265,'01-02.2022'!$A$6:$DA$376,31,FALSE)</f>
        <v>12704.393465737394</v>
      </c>
      <c r="AF265" s="68">
        <f t="shared" si="248"/>
        <v>723.54587838825319</v>
      </c>
      <c r="AG265" s="77">
        <f t="shared" si="297"/>
        <v>31470.203457236388</v>
      </c>
      <c r="AH265" s="53">
        <f t="shared" si="297"/>
        <v>32388.161982931128</v>
      </c>
      <c r="AI265" s="52">
        <f t="shared" si="302"/>
        <v>917.95852569473936</v>
      </c>
      <c r="AJ265" s="566">
        <f>VLOOKUP($A265,'01-02.2021'!$A$6:$CZ$403,36,FALSE)+VLOOKUP($A265,'1.3.21-28.2.22'!$A$6:$DA$404,36,FALSE)-VLOOKUP($A265,'01-02.2022'!$A$6:$DA$376,36,FALSE)</f>
        <v>0</v>
      </c>
      <c r="AK265" s="566">
        <f>VLOOKUP($A265,'01-02.2021'!$A$6:$CZ$403,37,FALSE)+VLOOKUP($A265,'1.3.21-28.2.22'!$A$6:$DA$404,37,FALSE)-VLOOKUP($A265,'01-02.2022'!$A$6:$DA$376,37,FALSE)</f>
        <v>0</v>
      </c>
      <c r="AL265" s="70">
        <f t="shared" si="249"/>
        <v>0</v>
      </c>
      <c r="AM265" s="566">
        <f>VLOOKUP($A265,'01-02.2021'!$A$6:$CZ$403,39,FALSE)+VLOOKUP($A265,'1.3.21-28.2.22'!$A$6:$DA$404,39,FALSE)-VLOOKUP($A265,'01-02.2022'!$A$6:$DA$376,39,FALSE)</f>
        <v>0</v>
      </c>
      <c r="AN265" s="566">
        <f>VLOOKUP($A265,'01-02.2021'!$A$6:$CZ$403,40,FALSE)+VLOOKUP($A265,'1.3.21-28.2.22'!$A$6:$DA$404,40,FALSE)-VLOOKUP($A265,'01-02.2022'!$A$6:$DA$376,40,FALSE)</f>
        <v>0</v>
      </c>
      <c r="AO265" s="70">
        <f t="shared" si="250"/>
        <v>0</v>
      </c>
      <c r="AP265" s="566">
        <f>VLOOKUP($A265,'01-02.2021'!$A$6:$CZ$403,42,FALSE)+VLOOKUP($A265,'1.3.21-28.2.22'!$A$6:$DA$404,42,FALSE)-VLOOKUP($A265,'01-02.2022'!$A$6:$DA$376,42,FALSE)</f>
        <v>8979.6587064704108</v>
      </c>
      <c r="AQ265" s="566">
        <f>VLOOKUP($A265,'01-02.2021'!$A$6:$CZ$403,43,FALSE)+VLOOKUP($A265,'1.3.21-28.2.22'!$A$6:$DA$404,43,FALSE)-VLOOKUP($A265,'01-02.2022'!$A$6:$DA$376,43,FALSE)</f>
        <v>7192.5714168300783</v>
      </c>
      <c r="AR265" s="70">
        <f t="shared" si="251"/>
        <v>-1787.0872896403325</v>
      </c>
      <c r="AS265" s="566">
        <f>VLOOKUP($A265,'01-02.2021'!$A$6:$CZ$403,45,FALSE)+VLOOKUP($A265,'1.3.21-28.2.22'!$A$6:$DA$404,45,FALSE)-VLOOKUP($A265,'01-02.2022'!$A$6:$DA$376,45,FALSE)</f>
        <v>27499.742744185496</v>
      </c>
      <c r="AT265" s="566">
        <f>VLOOKUP($A265,'01-02.2021'!$A$6:$CZ$403,46,FALSE)+VLOOKUP($A265,'1.3.21-28.2.22'!$A$6:$DA$404,46,FALSE)-VLOOKUP($A265,'01-02.2022'!$A$6:$DA$376,46,FALSE)</f>
        <v>95205.370412317774</v>
      </c>
      <c r="AU265" s="78">
        <f t="shared" si="252"/>
        <v>67705.627668132278</v>
      </c>
      <c r="AV265" s="566">
        <f>VLOOKUP($A265,'01-02.2021'!$A$6:$CZ$403,48,FALSE)+VLOOKUP($A265,'1.3.21-28.2.22'!$A$6:$DA$404,48,FALSE)-VLOOKUP($A265,'01-02.2022'!$A$6:$DA$376,48,FALSE)</f>
        <v>2591.4581894605717</v>
      </c>
      <c r="AW265" s="566">
        <f>VLOOKUP($A265,'01-02.2021'!$A$6:$CZ$403,49,FALSE)+VLOOKUP($A265,'1.3.21-28.2.22'!$A$6:$DA$404,49,FALSE)-VLOOKUP($A265,'01-02.2022'!$A$6:$DA$376,49,FALSE)</f>
        <v>0</v>
      </c>
      <c r="AX265" s="55">
        <f t="shared" si="253"/>
        <v>-2591.4581894605717</v>
      </c>
      <c r="AY265" s="566">
        <f>VLOOKUP($A265,'01-02.2021'!$A$6:$CZ$403,51,FALSE)+VLOOKUP($A265,'1.3.21-28.2.22'!$A$6:$DA$404,51,FALSE)-VLOOKUP($A265,'01-02.2022'!$A$6:$DA$376,51,FALSE)</f>
        <v>2712.0526115501852</v>
      </c>
      <c r="AZ265" s="566">
        <f>VLOOKUP($A265,'01-02.2021'!$A$6:$CZ$403,52,FALSE)+VLOOKUP($A265,'1.3.21-28.2.22'!$A$6:$DA$404,52,FALSE)-VLOOKUP($A265,'01-02.2022'!$A$6:$DA$376,52,FALSE)</f>
        <v>26</v>
      </c>
      <c r="BA265" s="38">
        <f t="shared" si="254"/>
        <v>-2686.0526115501852</v>
      </c>
      <c r="BB265" s="566">
        <f>VLOOKUP($A265,'01-02.2021'!$A$6:$CZ$403,54,FALSE)+VLOOKUP($A265,'1.3.21-28.2.22'!$A$6:$DA$404,54,FALSE)-VLOOKUP($A265,'01-02.2022'!$A$6:$DA$376,54,FALSE)</f>
        <v>1673.3808351990135</v>
      </c>
      <c r="BC265" s="566">
        <f>VLOOKUP($A265,'01-02.2021'!$A$6:$CZ$403,55,FALSE)+VLOOKUP($A265,'1.3.21-28.2.22'!$A$6:$DA$404,55,FALSE)-VLOOKUP($A265,'01-02.2022'!$A$6:$DA$376,55,FALSE)</f>
        <v>531</v>
      </c>
      <c r="BD265" s="55">
        <f t="shared" si="255"/>
        <v>-1142.3808351990135</v>
      </c>
      <c r="BE265" s="566">
        <f>VLOOKUP($A265,'01-02.2021'!$A$6:$CZ$403,57,FALSE)+VLOOKUP($A265,'1.3.21-28.2.22'!$A$6:$DA$404,57,FALSE)-VLOOKUP($A265,'01-02.2022'!$A$6:$DA$376,57,FALSE)</f>
        <v>0</v>
      </c>
      <c r="BF265" s="566">
        <f>VLOOKUP($A265,'01-02.2021'!$A$6:$CZ$403,58,FALSE)+VLOOKUP($A265,'1.3.21-28.2.22'!$A$6:$DA$404,58,FALSE)-VLOOKUP($A265,'01-02.2022'!$A$6:$DA$376,58,FALSE)</f>
        <v>0</v>
      </c>
      <c r="BG265" s="55">
        <f t="shared" si="256"/>
        <v>0</v>
      </c>
      <c r="BH265" s="566">
        <f>VLOOKUP($A265,'01-02.2021'!$A$6:$CZ$403,60,FALSE)+VLOOKUP($A265,'1.3.21-28.2.22'!$A$6:$DA$404,60,FALSE)-VLOOKUP($A265,'01-02.2022'!$A$6:$DA$376,60,FALSE)</f>
        <v>0</v>
      </c>
      <c r="BI265" s="566">
        <f>VLOOKUP($A265,'01-02.2021'!$A$6:$CZ$403,61,FALSE)+VLOOKUP($A265,'1.3.21-28.2.22'!$A$6:$DA$404,61,FALSE)-VLOOKUP($A265,'01-02.2022'!$A$6:$DA$376,61,FALSE)</f>
        <v>0</v>
      </c>
      <c r="BJ265" s="55">
        <f t="shared" si="257"/>
        <v>0</v>
      </c>
      <c r="BK265" s="566">
        <f>VLOOKUP($A265,'01-02.2021'!$A$6:$CZ$403,63,FALSE)+VLOOKUP($A265,'1.3.21-28.2.22'!$A$6:$DA$404,63,FALSE)-VLOOKUP($A265,'01-02.2022'!$A$6:$DA$376,63,FALSE)</f>
        <v>992.42996629836421</v>
      </c>
      <c r="BL265" s="566">
        <f>VLOOKUP($A265,'01-02.2021'!$A$6:$CZ$403,64,FALSE)+VLOOKUP($A265,'1.3.21-28.2.22'!$A$6:$DA$404,64,FALSE)-VLOOKUP($A265,'01-02.2022'!$A$6:$DA$376,64,FALSE)</f>
        <v>1146</v>
      </c>
      <c r="BM265" s="55">
        <f t="shared" si="258"/>
        <v>153.57003370163579</v>
      </c>
      <c r="BN265" s="566">
        <f>VLOOKUP($A265,'01-02.2021'!$A$6:$CZ$403,66,FALSE)+VLOOKUP($A265,'1.3.21-28.2.22'!$A$6:$DA$404,66,FALSE)-VLOOKUP($A265,'01-02.2022'!$A$6:$DA$376,66,FALSE)</f>
        <v>139.47499999999999</v>
      </c>
      <c r="BO265" s="566">
        <f>VLOOKUP($A265,'01-02.2021'!$A$6:$CZ$403,67,FALSE)+VLOOKUP($A265,'1.3.21-28.2.22'!$A$6:$DA$404,67,FALSE)-VLOOKUP($A265,'01-02.2022'!$A$6:$DA$376,67,FALSE)</f>
        <v>0</v>
      </c>
      <c r="BP265" s="55">
        <f t="shared" si="259"/>
        <v>-139.47499999999999</v>
      </c>
      <c r="BQ265" s="77">
        <f t="shared" si="287"/>
        <v>8108.796602508135</v>
      </c>
      <c r="BR265" s="40">
        <f t="shared" si="315"/>
        <v>1703</v>
      </c>
      <c r="BS265" s="55">
        <f t="shared" si="314"/>
        <v>-6405.796602508135</v>
      </c>
      <c r="BT265" s="566">
        <f>VLOOKUP($A265,'01-02.2021'!$A$6:$CZ$403,72,FALSE)+VLOOKUP($A265,'1.3.21-28.2.22'!$A$6:$DA$404,72,FALSE)-VLOOKUP($A265,'01-02.2022'!$A$6:$DA$376,72,FALSE)</f>
        <v>30714.994982515451</v>
      </c>
      <c r="BU265" s="566">
        <f>VLOOKUP($A265,'01-02.2021'!$A$6:$CZ$403,73,FALSE)+VLOOKUP($A265,'1.3.21-28.2.22'!$A$6:$DA$404,73,FALSE)-VLOOKUP($A265,'01-02.2022'!$A$6:$DA$376,73,FALSE)</f>
        <v>38817.105315919762</v>
      </c>
      <c r="BV265" s="70">
        <f t="shared" si="260"/>
        <v>8102.1103334043109</v>
      </c>
      <c r="BW265" s="566">
        <f>VLOOKUP($A265,'01-02.2021'!$A$6:$CZ$403,75,FALSE)+VLOOKUP($A265,'1.3.21-28.2.22'!$A$6:$DA$404,75,FALSE)-VLOOKUP($A265,'01-02.2022'!$A$6:$DA$376,75,FALSE)</f>
        <v>14872.499392762344</v>
      </c>
      <c r="BX265" s="566">
        <f>VLOOKUP($A265,'01-02.2021'!$A$6:$CZ$403,76,FALSE)+VLOOKUP($A265,'1.3.21-28.2.22'!$A$6:$DA$404,76,FALSE)-VLOOKUP($A265,'01-02.2022'!$A$6:$DA$376,76,FALSE)</f>
        <v>13658.19535039776</v>
      </c>
      <c r="BY265" s="70">
        <f t="shared" si="261"/>
        <v>-1214.3040423645834</v>
      </c>
      <c r="BZ265" s="566">
        <f>VLOOKUP($A265,'01-02.2021'!$A$6:$CZ$403,78,FALSE)+VLOOKUP($A265,'1.3.21-28.2.22'!$A$6:$DA$404,78,FALSE)-VLOOKUP($A265,'01-02.2022'!$A$6:$DA$376,78,FALSE)</f>
        <v>9953.9928567524548</v>
      </c>
      <c r="CA265" s="566">
        <f>VLOOKUP($A265,'01-02.2021'!$A$6:$CZ$403,79,FALSE)+VLOOKUP($A265,'1.3.21-28.2.22'!$A$6:$DA$404,79,FALSE)-VLOOKUP($A265,'01-02.2022'!$A$6:$DA$376,79,FALSE)</f>
        <v>8276.5801341163969</v>
      </c>
      <c r="CB265" s="70">
        <f t="shared" si="262"/>
        <v>-1677.4127226360579</v>
      </c>
      <c r="CC265" s="566">
        <f>VLOOKUP($A265,'01-02.2021'!$A$6:$CZ$403,81,FALSE)+VLOOKUP($A265,'1.3.21-28.2.22'!$A$6:$DA$404,81,FALSE)-VLOOKUP($A265,'01-02.2022'!$A$6:$DA$376,81,FALSE)</f>
        <v>0</v>
      </c>
      <c r="CD265" s="566">
        <f>VLOOKUP($A265,'01-02.2021'!$A$6:$CZ$403,82,FALSE)+VLOOKUP($A265,'1.3.21-28.2.22'!$A$6:$DA$404,82,FALSE)-VLOOKUP($A265,'01-02.2022'!$A$6:$DA$376,82,FALSE)</f>
        <v>0</v>
      </c>
      <c r="CE265" s="70">
        <f t="shared" si="263"/>
        <v>0</v>
      </c>
      <c r="CF265" s="566">
        <f>VLOOKUP($A265,'01-02.2021'!$A$6:$CZ$403,84,FALSE)+VLOOKUP($A265,'1.3.21-28.2.22'!$A$6:$DA$404,84,FALSE)-VLOOKUP($A265,'01-02.2022'!$A$6:$DA$376,84,FALSE)</f>
        <v>0</v>
      </c>
      <c r="CG265" s="566">
        <f>VLOOKUP($A265,'01-02.2021'!$A$6:$CZ$403,85,FALSE)+VLOOKUP($A265,'1.3.21-28.2.22'!$A$6:$DA$404,85,FALSE)-VLOOKUP($A265,'01-02.2022'!$A$6:$DA$376,85,FALSE)</f>
        <v>0</v>
      </c>
      <c r="CH265" s="70">
        <f t="shared" si="264"/>
        <v>0</v>
      </c>
      <c r="CI265" s="566">
        <f>VLOOKUP($A265,'01-02.2021'!$A$6:$CZ$403,87,FALSE)+VLOOKUP($A265,'1.3.21-28.2.22'!$A$6:$DA$404,87,FALSE)-VLOOKUP($A265,'01-02.2022'!$A$6:$DA$376,87,FALSE)</f>
        <v>2054.4226425164666</v>
      </c>
      <c r="CJ265" s="566">
        <f>VLOOKUP($A265,'01-02.2021'!$A$6:$CZ$403,88,FALSE)+VLOOKUP($A265,'1.3.21-28.2.22'!$A$6:$DA$404,88,FALSE)-VLOOKUP($A265,'01-02.2022'!$A$6:$DA$376,88,FALSE)</f>
        <v>2666.8488625221362</v>
      </c>
      <c r="CK265" s="70">
        <f t="shared" si="265"/>
        <v>612.42622000566962</v>
      </c>
      <c r="CL265" s="566">
        <f>VLOOKUP($A265,'01-02.2021'!$A$6:$CZ$403,90,FALSE)+VLOOKUP($A265,'1.3.21-28.2.22'!$A$6:$DA$404,90,FALSE)-VLOOKUP($A265,'01-02.2022'!$A$6:$DA$376,90,FALSE)</f>
        <v>0</v>
      </c>
      <c r="CM265" s="566">
        <f>VLOOKUP($A265,'01-02.2021'!$A$6:$CZ$403,91,FALSE)+VLOOKUP($A265,'1.3.21-28.2.22'!$A$6:$DA$404,91,FALSE)-VLOOKUP($A265,'01-02.2022'!$A$6:$DA$376,91,FALSE)</f>
        <v>0</v>
      </c>
      <c r="CN265" s="52">
        <f t="shared" si="303"/>
        <v>0</v>
      </c>
      <c r="CO265" s="39">
        <f t="shared" si="298"/>
        <v>2054.4226425164666</v>
      </c>
      <c r="CP265" s="40">
        <f t="shared" si="304"/>
        <v>2666.8488625221362</v>
      </c>
      <c r="CQ265" s="52">
        <f t="shared" si="305"/>
        <v>612.42622000566962</v>
      </c>
      <c r="CR265" s="72">
        <f t="shared" si="299"/>
        <v>133654.31138494716</v>
      </c>
      <c r="CS265" s="5">
        <f t="shared" si="299"/>
        <v>199907.83347503503</v>
      </c>
      <c r="CT265" s="52">
        <f t="shared" si="306"/>
        <v>66253.522090087878</v>
      </c>
      <c r="CU265" s="77">
        <f t="shared" si="307"/>
        <v>160385.17366193657</v>
      </c>
      <c r="CV265" s="65">
        <f t="shared" si="308"/>
        <v>239889.40017004203</v>
      </c>
      <c r="CW265" s="35">
        <f t="shared" si="309"/>
        <v>79504.226508105465</v>
      </c>
      <c r="CX265" s="566">
        <f>VLOOKUP($A265,'01-02.2021'!$A$6:$CZ$403,102,FALSE)+VLOOKUP($A265,'1.3.21-28.2.22'!$A$6:$DA$404,102,FALSE)-VLOOKUP($A265,'01-02.2022'!$A$6:$DA$376,102,FALSE)</f>
        <v>5595.6631864100027</v>
      </c>
      <c r="CY265" s="566">
        <f>VLOOKUP($A265,'01-02.2021'!$A$6:$CZ$403,103,FALSE)+VLOOKUP($A265,'1.3.21-28.2.22'!$A$6:$DA$404,103,FALSE)-VLOOKUP($A265,'01-02.2022'!$A$6:$DA$376,103,FALSE)</f>
        <v>-73908.56332169543</v>
      </c>
      <c r="CZ265" s="52">
        <f t="shared" si="310"/>
        <v>-79504.226508105436</v>
      </c>
      <c r="DA265" s="150">
        <f>'[2]побудинковий звіт'!DA265</f>
        <v>124016.09431820185</v>
      </c>
      <c r="DB265" s="2">
        <v>2</v>
      </c>
      <c r="DC265" s="414">
        <f>'[4]побудинковий звіт'!DC265</f>
        <v>37357.410000000003</v>
      </c>
      <c r="DD265" s="414">
        <f>'[4]побудинковий звіт'!DD265</f>
        <v>0</v>
      </c>
      <c r="DE265" s="557">
        <f>'[4]побудинковий звіт'!DE265</f>
        <v>22618.410191127958</v>
      </c>
      <c r="DF265" s="557">
        <f>'[4]побудинковий звіт'!DF265</f>
        <v>-325.80459995189278</v>
      </c>
      <c r="DG265" s="321">
        <f>VLOOKUP(A265,'кошти 01.03.2021'!$A$6:$D$401,4,)</f>
        <v>42021.77193613784</v>
      </c>
      <c r="DH265" s="40">
        <f>'[3]побудинковий звіт'!DJ265</f>
        <v>171811.76182815887</v>
      </c>
      <c r="DI265" s="422">
        <f>'[3]побудинковий звіт'!CU265+'[3]побудинковий звіт'!CX265</f>
        <v>15064.804408823939</v>
      </c>
      <c r="DJ265" s="306">
        <f>'[3]побудинковий звіт'!DM265</f>
        <v>5.412183677476607</v>
      </c>
      <c r="DK265" s="306">
        <f t="shared" si="316"/>
        <v>5.412183677476607</v>
      </c>
      <c r="DL265" s="306">
        <f>'[3]побудинковий звіт'!DO265</f>
        <v>4.7493381917185538</v>
      </c>
      <c r="DM265" s="28">
        <f t="shared" si="317"/>
        <v>14738.999808872044</v>
      </c>
      <c r="DN265" s="28">
        <f t="shared" si="318"/>
        <v>325.80459995189278</v>
      </c>
      <c r="DO265" s="423">
        <f t="shared" si="319"/>
        <v>15064.804408823937</v>
      </c>
      <c r="DP265" s="94">
        <f t="shared" si="320"/>
        <v>0</v>
      </c>
      <c r="DQ265" s="28">
        <f t="shared" si="321"/>
        <v>15064.804408823937</v>
      </c>
      <c r="DR265" s="318"/>
      <c r="DT265" s="8"/>
      <c r="DU265" s="5"/>
      <c r="DX265" s="5">
        <f t="shared" si="322"/>
        <v>42730.247216032352</v>
      </c>
      <c r="DY265" s="5">
        <f t="shared" si="323"/>
        <v>116290.04449478132</v>
      </c>
      <c r="DZ265" s="159">
        <f>'[3]побудинковий звіт'!EA265</f>
        <v>3798.0357523012085</v>
      </c>
    </row>
    <row r="266" spans="1:130" x14ac:dyDescent="0.3">
      <c r="A266" s="325">
        <v>150000722</v>
      </c>
      <c r="B266" s="41" t="s">
        <v>712</v>
      </c>
      <c r="C266" s="42" t="s">
        <v>275</v>
      </c>
      <c r="D266" s="42"/>
      <c r="E266" s="293">
        <f t="shared" si="296"/>
        <v>3559.5</v>
      </c>
      <c r="F266" s="305">
        <f>'[3]побудинковий звіт'!F266</f>
        <v>3559.5</v>
      </c>
      <c r="G266" s="508">
        <f>'[3]побудинковий звіт'!G266</f>
        <v>0</v>
      </c>
      <c r="H266" s="560">
        <f>'[3]побудинковий звіт'!H266</f>
        <v>0</v>
      </c>
      <c r="I266" s="566">
        <f>VLOOKUP($A266,'01-02.2021'!$A$6:$CZ$403,9,FALSE)+VLOOKUP($A266,'1.3.21-28.2.22'!$A$6:$DA$404,9,FALSE)-VLOOKUP($A266,'01-02.2022'!$A$6:$DA$376,9,FALSE)</f>
        <v>11548.696735531543</v>
      </c>
      <c r="J266" s="566">
        <f>VLOOKUP($A266,'01-02.2021'!$A$6:$CZ$403,10,FALSE)+VLOOKUP($A266,'1.3.21-28.2.22'!$A$6:$DA$404,10,FALSE)-VLOOKUP($A266,'01-02.2022'!$A$6:$DA$376,10,FALSE)</f>
        <v>12717.771059474013</v>
      </c>
      <c r="K266" s="52">
        <f t="shared" si="300"/>
        <v>1169.0743239424701</v>
      </c>
      <c r="L266" s="566">
        <f>VLOOKUP($A266,'01-02.2021'!$A$6:$CZ$403,12,FALSE)+VLOOKUP($A266,'1.3.21-28.2.22'!$A$6:$DA$404,12,FALSE)-VLOOKUP($A266,'01-02.2022'!$A$6:$DA$376,12,FALSE)</f>
        <v>2012.2670577015929</v>
      </c>
      <c r="M266" s="566">
        <f>VLOOKUP($A266,'01-02.2021'!$A$6:$CZ$403,13,FALSE)+VLOOKUP($A266,'1.3.21-28.2.22'!$A$6:$DA$404,13,FALSE)-VLOOKUP($A266,'01-02.2022'!$A$6:$DA$376,13,FALSE)</f>
        <v>2215.581219274819</v>
      </c>
      <c r="N266" s="52">
        <f t="shared" si="301"/>
        <v>203.3141615732261</v>
      </c>
      <c r="O266" s="566">
        <f>VLOOKUP($A266,'01-02.2021'!$A$6:$CZ$403,15,FALSE)+VLOOKUP($A266,'1.3.21-28.2.22'!$A$6:$DA$404,15,FALSE)-VLOOKUP($A266,'01-02.2022'!$A$6:$DA$376,15,FALSE)</f>
        <v>4471.4826278963246</v>
      </c>
      <c r="P266" s="566">
        <f>VLOOKUP($A266,'01-02.2021'!$A$6:$CZ$403,16,FALSE)+VLOOKUP($A266,'1.3.21-28.2.22'!$A$6:$DA$404,16,FALSE)-VLOOKUP($A266,'01-02.2022'!$A$6:$DA$376,16,FALSE)</f>
        <v>4471.5</v>
      </c>
      <c r="Q266" s="70">
        <f t="shared" ref="Q266:Q329" si="324">P266-O266</f>
        <v>1.7372103675370454E-2</v>
      </c>
      <c r="R266" s="566">
        <f>VLOOKUP($A266,'01-02.2021'!$A$6:$CZ$403,18,FALSE)+VLOOKUP($A266,'1.3.21-28.2.22'!$A$6:$DA$404,18,FALSE)-VLOOKUP($A266,'01-02.2022'!$A$6:$DA$376,18,FALSE)</f>
        <v>0</v>
      </c>
      <c r="S266" s="566">
        <f>VLOOKUP($A266,'01-02.2021'!$A$6:$CZ$403,19,FALSE)+VLOOKUP($A266,'1.3.21-28.2.22'!$A$6:$DA$404,19,FALSE)-VLOOKUP($A266,'01-02.2022'!$A$6:$DA$376,19,FALSE)</f>
        <v>0</v>
      </c>
      <c r="T266" s="70">
        <f t="shared" ref="T266:T329" si="325">S266-R266</f>
        <v>0</v>
      </c>
      <c r="U266" s="566">
        <f>VLOOKUP($A266,'01-02.2021'!$A$6:$CZ$403,21,FALSE)+VLOOKUP($A266,'1.3.21-28.2.22'!$A$6:$DA$404,21,FALSE)-VLOOKUP($A266,'01-02.2022'!$A$6:$DA$376,21,FALSE)</f>
        <v>0</v>
      </c>
      <c r="V266" s="566">
        <f>VLOOKUP($A266,'01-02.2021'!$A$6:$CZ$403,22,FALSE)+VLOOKUP($A266,'1.3.21-28.2.22'!$A$6:$DA$404,22,FALSE)-VLOOKUP($A266,'01-02.2022'!$A$6:$DA$376,22,FALSE)</f>
        <v>0</v>
      </c>
      <c r="W266" s="70">
        <f t="shared" ref="W266:W329" si="326">V266-U266</f>
        <v>0</v>
      </c>
      <c r="X266" s="566">
        <f>VLOOKUP($A266,'01-02.2021'!$A$6:$CZ$403,24,FALSE)+VLOOKUP($A266,'1.3.21-28.2.22'!$A$6:$DA$404,24,FALSE)-VLOOKUP($A266,'01-02.2022'!$A$6:$DA$376,24,FALSE)</f>
        <v>7261.9620902073311</v>
      </c>
      <c r="Y266" s="566">
        <f>VLOOKUP($A266,'01-02.2021'!$A$6:$CZ$403,25,FALSE)+VLOOKUP($A266,'1.3.21-28.2.22'!$A$6:$DA$404,25,FALSE)-VLOOKUP($A266,'01-02.2022'!$A$6:$DA$376,25,FALSE)</f>
        <v>5901.3570245034307</v>
      </c>
      <c r="Z266" s="70">
        <f t="shared" ref="Z266:Z329" si="327">Y266-X266</f>
        <v>-1360.6050657039004</v>
      </c>
      <c r="AA266" s="566">
        <f>VLOOKUP($A266,'01-02.2021'!$A$6:$CZ$403,27,FALSE)+VLOOKUP($A266,'1.3.21-28.2.22'!$A$6:$DA$404,27,FALSE)-VLOOKUP($A266,'01-02.2022'!$A$6:$DA$376,27,FALSE)</f>
        <v>711.9</v>
      </c>
      <c r="AB266" s="566">
        <f>VLOOKUP($A266,'01-02.2021'!$A$6:$CZ$403,28,FALSE)+VLOOKUP($A266,'1.3.21-28.2.22'!$A$6:$DA$404,28,FALSE)-VLOOKUP($A266,'01-02.2022'!$A$6:$DA$376,28,FALSE)</f>
        <v>0</v>
      </c>
      <c r="AC266" s="70">
        <f t="shared" ref="AC266:AC329" si="328">AB266-AA266</f>
        <v>-711.9</v>
      </c>
      <c r="AD266" s="566">
        <f>VLOOKUP($A266,'01-02.2021'!$A$6:$CZ$403,30,FALSE)+VLOOKUP($A266,'1.3.21-28.2.22'!$A$6:$DA$404,30,FALSE)-VLOOKUP($A266,'01-02.2022'!$A$6:$DA$376,30,FALSE)</f>
        <v>15289.046930722827</v>
      </c>
      <c r="AE266" s="566">
        <f>VLOOKUP($A266,'01-02.2021'!$A$6:$CZ$403,31,FALSE)+VLOOKUP($A266,'1.3.21-28.2.22'!$A$6:$DA$404,31,FALSE)-VLOOKUP($A266,'01-02.2022'!$A$6:$DA$376,31,FALSE)</f>
        <v>16202.987420265141</v>
      </c>
      <c r="AF266" s="68">
        <f t="shared" ref="AF266:AF329" si="329">AE266-AD266</f>
        <v>913.94048954231403</v>
      </c>
      <c r="AG266" s="77">
        <f t="shared" si="297"/>
        <v>41295.355442059619</v>
      </c>
      <c r="AH266" s="53">
        <f t="shared" si="297"/>
        <v>41509.196723517409</v>
      </c>
      <c r="AI266" s="52">
        <f t="shared" si="302"/>
        <v>213.84128145778959</v>
      </c>
      <c r="AJ266" s="566">
        <f>VLOOKUP($A266,'01-02.2021'!$A$6:$CZ$403,36,FALSE)+VLOOKUP($A266,'1.3.21-28.2.22'!$A$6:$DA$404,36,FALSE)-VLOOKUP($A266,'01-02.2022'!$A$6:$DA$376,36,FALSE)</f>
        <v>0</v>
      </c>
      <c r="AK266" s="566">
        <f>VLOOKUP($A266,'01-02.2021'!$A$6:$CZ$403,37,FALSE)+VLOOKUP($A266,'1.3.21-28.2.22'!$A$6:$DA$404,37,FALSE)-VLOOKUP($A266,'01-02.2022'!$A$6:$DA$376,37,FALSE)</f>
        <v>0</v>
      </c>
      <c r="AL266" s="70">
        <f t="shared" ref="AL266:AL329" si="330">AK266-AJ266</f>
        <v>0</v>
      </c>
      <c r="AM266" s="566">
        <f>VLOOKUP($A266,'01-02.2021'!$A$6:$CZ$403,39,FALSE)+VLOOKUP($A266,'1.3.21-28.2.22'!$A$6:$DA$404,39,FALSE)-VLOOKUP($A266,'01-02.2022'!$A$6:$DA$376,39,FALSE)</f>
        <v>0</v>
      </c>
      <c r="AN266" s="566">
        <f>VLOOKUP($A266,'01-02.2021'!$A$6:$CZ$403,40,FALSE)+VLOOKUP($A266,'1.3.21-28.2.22'!$A$6:$DA$404,40,FALSE)-VLOOKUP($A266,'01-02.2022'!$A$6:$DA$376,40,FALSE)</f>
        <v>0</v>
      </c>
      <c r="AO266" s="70">
        <f t="shared" ref="AO266:AO329" si="331">AN266-AM266</f>
        <v>0</v>
      </c>
      <c r="AP266" s="566">
        <f>VLOOKUP($A266,'01-02.2021'!$A$6:$CZ$403,42,FALSE)+VLOOKUP($A266,'1.3.21-28.2.22'!$A$6:$DA$404,42,FALSE)-VLOOKUP($A266,'01-02.2022'!$A$6:$DA$376,42,FALSE)</f>
        <v>10411.198500255552</v>
      </c>
      <c r="AQ266" s="566">
        <f>VLOOKUP($A266,'01-02.2021'!$A$6:$CZ$403,43,FALSE)+VLOOKUP($A266,'1.3.21-28.2.22'!$A$6:$DA$404,43,FALSE)-VLOOKUP($A266,'01-02.2022'!$A$6:$DA$376,43,FALSE)</f>
        <v>3461.477833309787</v>
      </c>
      <c r="AR266" s="70">
        <f t="shared" ref="AR266:AR329" si="332">AQ266-AP266</f>
        <v>-6949.7206669457646</v>
      </c>
      <c r="AS266" s="566">
        <f>VLOOKUP($A266,'01-02.2021'!$A$6:$CZ$403,45,FALSE)+VLOOKUP($A266,'1.3.21-28.2.22'!$A$6:$DA$404,45,FALSE)-VLOOKUP($A266,'01-02.2022'!$A$6:$DA$376,45,FALSE)</f>
        <v>50667.622196628392</v>
      </c>
      <c r="AT266" s="566">
        <f>VLOOKUP($A266,'01-02.2021'!$A$6:$CZ$403,46,FALSE)+VLOOKUP($A266,'1.3.21-28.2.22'!$A$6:$DA$404,46,FALSE)-VLOOKUP($A266,'01-02.2022'!$A$6:$DA$376,46,FALSE)</f>
        <v>81507.41</v>
      </c>
      <c r="AU266" s="78">
        <f t="shared" ref="AU266:AU329" si="333">AT266-AS266</f>
        <v>30839.787803371612</v>
      </c>
      <c r="AV266" s="566">
        <f>VLOOKUP($A266,'01-02.2021'!$A$6:$CZ$403,48,FALSE)+VLOOKUP($A266,'1.3.21-28.2.22'!$A$6:$DA$404,48,FALSE)-VLOOKUP($A266,'01-02.2022'!$A$6:$DA$376,48,FALSE)</f>
        <v>3036.5675469321814</v>
      </c>
      <c r="AW266" s="566">
        <f>VLOOKUP($A266,'01-02.2021'!$A$6:$CZ$403,49,FALSE)+VLOOKUP($A266,'1.3.21-28.2.22'!$A$6:$DA$404,49,FALSE)-VLOOKUP($A266,'01-02.2022'!$A$6:$DA$376,49,FALSE)</f>
        <v>1693.71</v>
      </c>
      <c r="AX266" s="55">
        <f t="shared" ref="AX266:AX329" si="334">AW266-AV266</f>
        <v>-1342.8575469321813</v>
      </c>
      <c r="AY266" s="566">
        <f>VLOOKUP($A266,'01-02.2021'!$A$6:$CZ$403,51,FALSE)+VLOOKUP($A266,'1.3.21-28.2.22'!$A$6:$DA$404,51,FALSE)-VLOOKUP($A266,'01-02.2022'!$A$6:$DA$376,51,FALSE)</f>
        <v>3782.2927724642163</v>
      </c>
      <c r="AZ266" s="566">
        <f>VLOOKUP($A266,'01-02.2021'!$A$6:$CZ$403,52,FALSE)+VLOOKUP($A266,'1.3.21-28.2.22'!$A$6:$DA$404,52,FALSE)-VLOOKUP($A266,'01-02.2022'!$A$6:$DA$376,52,FALSE)</f>
        <v>0</v>
      </c>
      <c r="BA266" s="38">
        <f t="shared" ref="BA266:BA329" si="335">AZ266-AY266</f>
        <v>-3782.2927724642163</v>
      </c>
      <c r="BB266" s="566">
        <f>VLOOKUP($A266,'01-02.2021'!$A$6:$CZ$403,54,FALSE)+VLOOKUP($A266,'1.3.21-28.2.22'!$A$6:$DA$404,54,FALSE)-VLOOKUP($A266,'01-02.2022'!$A$6:$DA$376,54,FALSE)</f>
        <v>2271.862779036514</v>
      </c>
      <c r="BC266" s="566">
        <f>VLOOKUP($A266,'01-02.2021'!$A$6:$CZ$403,55,FALSE)+VLOOKUP($A266,'1.3.21-28.2.22'!$A$6:$DA$404,55,FALSE)-VLOOKUP($A266,'01-02.2022'!$A$6:$DA$376,55,FALSE)</f>
        <v>0</v>
      </c>
      <c r="BD266" s="55">
        <f t="shared" ref="BD266:BD329" si="336">BC266-BB266</f>
        <v>-2271.862779036514</v>
      </c>
      <c r="BE266" s="566">
        <f>VLOOKUP($A266,'01-02.2021'!$A$6:$CZ$403,57,FALSE)+VLOOKUP($A266,'1.3.21-28.2.22'!$A$6:$DA$404,57,FALSE)-VLOOKUP($A266,'01-02.2022'!$A$6:$DA$376,57,FALSE)</f>
        <v>0</v>
      </c>
      <c r="BF266" s="566">
        <f>VLOOKUP($A266,'01-02.2021'!$A$6:$CZ$403,58,FALSE)+VLOOKUP($A266,'1.3.21-28.2.22'!$A$6:$DA$404,58,FALSE)-VLOOKUP($A266,'01-02.2022'!$A$6:$DA$376,58,FALSE)</f>
        <v>0</v>
      </c>
      <c r="BG266" s="55">
        <f t="shared" ref="BG266:BG329" si="337">BF266-BE266</f>
        <v>0</v>
      </c>
      <c r="BH266" s="566">
        <f>VLOOKUP($A266,'01-02.2021'!$A$6:$CZ$403,60,FALSE)+VLOOKUP($A266,'1.3.21-28.2.22'!$A$6:$DA$404,60,FALSE)-VLOOKUP($A266,'01-02.2022'!$A$6:$DA$376,60,FALSE)</f>
        <v>0</v>
      </c>
      <c r="BI266" s="566">
        <f>VLOOKUP($A266,'01-02.2021'!$A$6:$CZ$403,61,FALSE)+VLOOKUP($A266,'1.3.21-28.2.22'!$A$6:$DA$404,61,FALSE)-VLOOKUP($A266,'01-02.2022'!$A$6:$DA$376,61,FALSE)</f>
        <v>0</v>
      </c>
      <c r="BJ266" s="55">
        <f t="shared" ref="BJ266:BJ329" si="338">BI266-BH266</f>
        <v>0</v>
      </c>
      <c r="BK266" s="566">
        <f>VLOOKUP($A266,'01-02.2021'!$A$6:$CZ$403,63,FALSE)+VLOOKUP($A266,'1.3.21-28.2.22'!$A$6:$DA$404,63,FALSE)-VLOOKUP($A266,'01-02.2022'!$A$6:$DA$376,63,FALSE)</f>
        <v>2106.3106945230575</v>
      </c>
      <c r="BL266" s="566">
        <f>VLOOKUP($A266,'01-02.2021'!$A$6:$CZ$403,64,FALSE)+VLOOKUP($A266,'1.3.21-28.2.22'!$A$6:$DA$404,64,FALSE)-VLOOKUP($A266,'01-02.2022'!$A$6:$DA$376,64,FALSE)</f>
        <v>8480</v>
      </c>
      <c r="BM266" s="55">
        <f t="shared" ref="BM266:BM329" si="339">BL266-BK266</f>
        <v>6373.6893054769425</v>
      </c>
      <c r="BN266" s="566">
        <f>VLOOKUP($A266,'01-02.2021'!$A$6:$CZ$403,66,FALSE)+VLOOKUP($A266,'1.3.21-28.2.22'!$A$6:$DA$404,66,FALSE)-VLOOKUP($A266,'01-02.2022'!$A$6:$DA$376,66,FALSE)</f>
        <v>177.97499999999999</v>
      </c>
      <c r="BO266" s="566">
        <f>VLOOKUP($A266,'01-02.2021'!$A$6:$CZ$403,67,FALSE)+VLOOKUP($A266,'1.3.21-28.2.22'!$A$6:$DA$404,67,FALSE)-VLOOKUP($A266,'01-02.2022'!$A$6:$DA$376,67,FALSE)</f>
        <v>0</v>
      </c>
      <c r="BP266" s="55">
        <f t="shared" ref="BP266:BP329" si="340">BO266-BN266</f>
        <v>-177.97499999999999</v>
      </c>
      <c r="BQ266" s="77">
        <f t="shared" si="287"/>
        <v>11375.008792955969</v>
      </c>
      <c r="BR266" s="40">
        <f t="shared" si="315"/>
        <v>10173.709999999999</v>
      </c>
      <c r="BS266" s="55">
        <f t="shared" si="314"/>
        <v>-1201.2987929559695</v>
      </c>
      <c r="BT266" s="566">
        <f>VLOOKUP($A266,'01-02.2021'!$A$6:$CZ$403,72,FALSE)+VLOOKUP($A266,'1.3.21-28.2.22'!$A$6:$DA$404,72,FALSE)-VLOOKUP($A266,'01-02.2022'!$A$6:$DA$376,72,FALSE)</f>
        <v>20469.479436816913</v>
      </c>
      <c r="BU266" s="566">
        <f>VLOOKUP($A266,'01-02.2021'!$A$6:$CZ$403,73,FALSE)+VLOOKUP($A266,'1.3.21-28.2.22'!$A$6:$DA$404,73,FALSE)-VLOOKUP($A266,'01-02.2022'!$A$6:$DA$376,73,FALSE)</f>
        <v>29759.258100314379</v>
      </c>
      <c r="BV266" s="70">
        <f t="shared" ref="BV266:BV329" si="341">BU266-BT266</f>
        <v>9289.7786634974655</v>
      </c>
      <c r="BW266" s="566">
        <f>VLOOKUP($A266,'01-02.2021'!$A$6:$CZ$403,75,FALSE)+VLOOKUP($A266,'1.3.21-28.2.22'!$A$6:$DA$404,75,FALSE)-VLOOKUP($A266,'01-02.2022'!$A$6:$DA$376,75,FALSE)</f>
        <v>14869.198414460712</v>
      </c>
      <c r="BX266" s="566">
        <f>VLOOKUP($A266,'01-02.2021'!$A$6:$CZ$403,76,FALSE)+VLOOKUP($A266,'1.3.21-28.2.22'!$A$6:$DA$404,76,FALSE)-VLOOKUP($A266,'01-02.2022'!$A$6:$DA$376,76,FALSE)</f>
        <v>13496.846299974053</v>
      </c>
      <c r="BY266" s="70">
        <f t="shared" ref="BY266:BY329" si="342">BX266-BW266</f>
        <v>-1372.352114486659</v>
      </c>
      <c r="BZ266" s="566">
        <f>VLOOKUP($A266,'01-02.2021'!$A$6:$CZ$403,78,FALSE)+VLOOKUP($A266,'1.3.21-28.2.22'!$A$6:$DA$404,78,FALSE)-VLOOKUP($A266,'01-02.2022'!$A$6:$DA$376,78,FALSE)</f>
        <v>11196.493257427144</v>
      </c>
      <c r="CA266" s="566">
        <f>VLOOKUP($A266,'01-02.2021'!$A$6:$CZ$403,79,FALSE)+VLOOKUP($A266,'1.3.21-28.2.22'!$A$6:$DA$404,79,FALSE)-VLOOKUP($A266,'01-02.2022'!$A$6:$DA$376,79,FALSE)</f>
        <v>5794.2789767178538</v>
      </c>
      <c r="CB266" s="70">
        <f t="shared" ref="CB266:CB329" si="343">CA266-BZ266</f>
        <v>-5402.2142807092905</v>
      </c>
      <c r="CC266" s="566">
        <f>VLOOKUP($A266,'01-02.2021'!$A$6:$CZ$403,81,FALSE)+VLOOKUP($A266,'1.3.21-28.2.22'!$A$6:$DA$404,81,FALSE)-VLOOKUP($A266,'01-02.2022'!$A$6:$DA$376,81,FALSE)</f>
        <v>1666.0120277196411</v>
      </c>
      <c r="CD266" s="566">
        <f>VLOOKUP($A266,'01-02.2021'!$A$6:$CZ$403,82,FALSE)+VLOOKUP($A266,'1.3.21-28.2.22'!$A$6:$DA$404,82,FALSE)-VLOOKUP($A266,'01-02.2022'!$A$6:$DA$376,82,FALSE)</f>
        <v>1820.9395167864709</v>
      </c>
      <c r="CE266" s="70">
        <f t="shared" ref="CE266:CE329" si="344">CD266-CC266</f>
        <v>154.92748906682982</v>
      </c>
      <c r="CF266" s="566">
        <f>VLOOKUP($A266,'01-02.2021'!$A$6:$CZ$403,84,FALSE)+VLOOKUP($A266,'1.3.21-28.2.22'!$A$6:$DA$404,84,FALSE)-VLOOKUP($A266,'01-02.2022'!$A$6:$DA$376,84,FALSE)</f>
        <v>202.53808025826555</v>
      </c>
      <c r="CG266" s="566">
        <f>VLOOKUP($A266,'01-02.2021'!$A$6:$CZ$403,85,FALSE)+VLOOKUP($A266,'1.3.21-28.2.22'!$A$6:$DA$404,85,FALSE)-VLOOKUP($A266,'01-02.2022'!$A$6:$DA$376,85,FALSE)</f>
        <v>0</v>
      </c>
      <c r="CH266" s="70">
        <f t="shared" ref="CH266:CH329" si="345">CG266-CF266</f>
        <v>-202.53808025826555</v>
      </c>
      <c r="CI266" s="566">
        <f>VLOOKUP($A266,'01-02.2021'!$A$6:$CZ$403,87,FALSE)+VLOOKUP($A266,'1.3.21-28.2.22'!$A$6:$DA$404,87,FALSE)-VLOOKUP($A266,'01-02.2022'!$A$6:$DA$376,87,FALSE)</f>
        <v>2158.6056353362078</v>
      </c>
      <c r="CJ266" s="566">
        <f>VLOOKUP($A266,'01-02.2021'!$A$6:$CZ$403,88,FALSE)+VLOOKUP($A266,'1.3.21-28.2.22'!$A$6:$DA$404,88,FALSE)-VLOOKUP($A266,'01-02.2022'!$A$6:$DA$376,88,FALSE)</f>
        <v>1527.2062038655899</v>
      </c>
      <c r="CK266" s="70">
        <f t="shared" ref="CK266:CK329" si="346">CJ266-CI266</f>
        <v>-631.39943147061786</v>
      </c>
      <c r="CL266" s="566">
        <f>VLOOKUP($A266,'01-02.2021'!$A$6:$CZ$403,90,FALSE)+VLOOKUP($A266,'1.3.21-28.2.22'!$A$6:$DA$404,90,FALSE)-VLOOKUP($A266,'01-02.2022'!$A$6:$DA$376,90,FALSE)</f>
        <v>0</v>
      </c>
      <c r="CM266" s="566">
        <f>VLOOKUP($A266,'01-02.2021'!$A$6:$CZ$403,91,FALSE)+VLOOKUP($A266,'1.3.21-28.2.22'!$A$6:$DA$404,91,FALSE)-VLOOKUP($A266,'01-02.2022'!$A$6:$DA$376,91,FALSE)</f>
        <v>0</v>
      </c>
      <c r="CN266" s="52">
        <f t="shared" si="303"/>
        <v>0</v>
      </c>
      <c r="CO266" s="39">
        <f t="shared" si="298"/>
        <v>2158.6056353362078</v>
      </c>
      <c r="CP266" s="40">
        <f t="shared" si="304"/>
        <v>1527.2062038655899</v>
      </c>
      <c r="CQ266" s="52">
        <f t="shared" si="305"/>
        <v>-631.39943147061786</v>
      </c>
      <c r="CR266" s="72">
        <f t="shared" si="299"/>
        <v>164311.51178391845</v>
      </c>
      <c r="CS266" s="5">
        <f t="shared" si="299"/>
        <v>189050.32365448552</v>
      </c>
      <c r="CT266" s="52">
        <f t="shared" si="306"/>
        <v>24738.811870567064</v>
      </c>
      <c r="CU266" s="77">
        <f t="shared" si="307"/>
        <v>197173.81414070213</v>
      </c>
      <c r="CV266" s="65">
        <f t="shared" si="308"/>
        <v>226860.38838538263</v>
      </c>
      <c r="CW266" s="35">
        <f t="shared" si="309"/>
        <v>29686.574244680494</v>
      </c>
      <c r="CX266" s="566">
        <f>VLOOKUP($A266,'01-02.2021'!$A$6:$CZ$403,102,FALSE)+VLOOKUP($A266,'1.3.21-28.2.22'!$A$6:$DA$404,102,FALSE)-VLOOKUP($A266,'01-02.2022'!$A$6:$DA$376,102,FALSE)</f>
        <v>7547.1310283151024</v>
      </c>
      <c r="CY266" s="566">
        <f>VLOOKUP($A266,'01-02.2021'!$A$6:$CZ$403,103,FALSE)+VLOOKUP($A266,'1.3.21-28.2.22'!$A$6:$DA$404,103,FALSE)-VLOOKUP($A266,'01-02.2022'!$A$6:$DA$376,103,FALSE)</f>
        <v>-22139.443216365438</v>
      </c>
      <c r="CZ266" s="52">
        <f t="shared" si="310"/>
        <v>-29686.574244680542</v>
      </c>
      <c r="DA266" s="150">
        <f>'[2]побудинковий звіт'!DA266</f>
        <v>16685.992417583679</v>
      </c>
      <c r="DB266" s="2">
        <v>2</v>
      </c>
      <c r="DC266" s="414">
        <f>'[4]побудинковий звіт'!DC266</f>
        <v>43249</v>
      </c>
      <c r="DD266" s="414">
        <f>'[4]побудинковий звіт'!DD266</f>
        <v>0</v>
      </c>
      <c r="DE266" s="557">
        <f>'[4]побудинковий звіт'!DE266</f>
        <v>24869.990509422409</v>
      </c>
      <c r="DF266" s="557">
        <f>'[4]побудинковий звіт'!DF266</f>
        <v>0</v>
      </c>
      <c r="DG266" s="321">
        <f>VLOOKUP(A266,'кошти 01.03.2021'!$A$6:$D$401,4,)</f>
        <v>-29362.458425653334</v>
      </c>
      <c r="DH266" s="40">
        <f>'[3]побудинковий звіт'!DJ266</f>
        <v>210941.4677389586</v>
      </c>
      <c r="DI266" s="422">
        <f>'[3]побудинковий звіт'!CU266+'[3]побудинковий звіт'!CX266</f>
        <v>18379.009490577591</v>
      </c>
      <c r="DJ266" s="306">
        <f>'[3]побудинковий звіт'!DM266</f>
        <v>5.1633683075088053</v>
      </c>
      <c r="DK266" s="306">
        <f t="shared" si="316"/>
        <v>5.1633683075088053</v>
      </c>
      <c r="DL266" s="306">
        <f>'[3]побудинковий звіт'!DO266</f>
        <v>4.6558978922695511</v>
      </c>
      <c r="DM266" s="28">
        <f t="shared" si="317"/>
        <v>18379.009490577591</v>
      </c>
      <c r="DN266" s="28">
        <f t="shared" si="318"/>
        <v>0</v>
      </c>
      <c r="DO266" s="423">
        <f t="shared" si="319"/>
        <v>18379.009490577591</v>
      </c>
      <c r="DP266" s="94">
        <f t="shared" si="320"/>
        <v>0</v>
      </c>
      <c r="DQ266" s="28">
        <f t="shared" si="321"/>
        <v>18379.009490577591</v>
      </c>
      <c r="DR266" s="318"/>
      <c r="DT266" s="8"/>
      <c r="DU266" s="5"/>
      <c r="DX266" s="5">
        <f t="shared" si="322"/>
        <v>74451.157187501231</v>
      </c>
      <c r="DY266" s="5">
        <f t="shared" si="323"/>
        <v>110017.344</v>
      </c>
      <c r="DZ266" s="159">
        <f>'[3]побудинковий звіт'!EA266</f>
        <v>6631.4521964444839</v>
      </c>
    </row>
    <row r="267" spans="1:130" x14ac:dyDescent="0.3">
      <c r="A267" s="325">
        <v>150000723</v>
      </c>
      <c r="B267" s="41" t="s">
        <v>713</v>
      </c>
      <c r="C267" s="42" t="s">
        <v>276</v>
      </c>
      <c r="D267" s="42"/>
      <c r="E267" s="293">
        <f t="shared" si="296"/>
        <v>3575.2</v>
      </c>
      <c r="F267" s="305">
        <f>'[3]побудинковий звіт'!F267</f>
        <v>3575.2</v>
      </c>
      <c r="G267" s="508">
        <f>'[3]побудинковий звіт'!G267</f>
        <v>0</v>
      </c>
      <c r="H267" s="560">
        <f>'[3]побудинковий звіт'!H267</f>
        <v>0</v>
      </c>
      <c r="I267" s="566">
        <f>VLOOKUP($A267,'01-02.2021'!$A$6:$CZ$403,9,FALSE)+VLOOKUP($A267,'1.3.21-28.2.22'!$A$6:$DA$404,9,FALSE)-VLOOKUP($A267,'01-02.2022'!$A$6:$DA$376,9,FALSE)</f>
        <v>11549.577818544831</v>
      </c>
      <c r="J267" s="566">
        <f>VLOOKUP($A267,'01-02.2021'!$A$6:$CZ$403,10,FALSE)+VLOOKUP($A267,'1.3.21-28.2.22'!$A$6:$DA$404,10,FALSE)-VLOOKUP($A267,'01-02.2022'!$A$6:$DA$376,10,FALSE)</f>
        <v>12720.66088725943</v>
      </c>
      <c r="K267" s="52">
        <f t="shared" si="300"/>
        <v>1171.083068714599</v>
      </c>
      <c r="L267" s="566">
        <f>VLOOKUP($A267,'01-02.2021'!$A$6:$CZ$403,12,FALSE)+VLOOKUP($A267,'1.3.21-28.2.22'!$A$6:$DA$404,12,FALSE)-VLOOKUP($A267,'01-02.2022'!$A$6:$DA$376,12,FALSE)</f>
        <v>2012.2670577015929</v>
      </c>
      <c r="M267" s="566">
        <f>VLOOKUP($A267,'01-02.2021'!$A$6:$CZ$403,13,FALSE)+VLOOKUP($A267,'1.3.21-28.2.22'!$A$6:$DA$404,13,FALSE)-VLOOKUP($A267,'01-02.2022'!$A$6:$DA$376,13,FALSE)</f>
        <v>2215.581219274819</v>
      </c>
      <c r="N267" s="52">
        <f t="shared" si="301"/>
        <v>203.3141615732261</v>
      </c>
      <c r="O267" s="566">
        <f>VLOOKUP($A267,'01-02.2021'!$A$6:$CZ$403,15,FALSE)+VLOOKUP($A267,'1.3.21-28.2.22'!$A$6:$DA$404,15,FALSE)-VLOOKUP($A267,'01-02.2022'!$A$6:$DA$376,15,FALSE)</f>
        <v>4511.537086415492</v>
      </c>
      <c r="P267" s="566">
        <f>VLOOKUP($A267,'01-02.2021'!$A$6:$CZ$403,16,FALSE)+VLOOKUP($A267,'1.3.21-28.2.22'!$A$6:$DA$404,16,FALSE)-VLOOKUP($A267,'01-02.2022'!$A$6:$DA$376,16,FALSE)</f>
        <v>4511.5300000000007</v>
      </c>
      <c r="Q267" s="70">
        <f t="shared" si="324"/>
        <v>-7.0864154913579114E-3</v>
      </c>
      <c r="R267" s="566">
        <f>VLOOKUP($A267,'01-02.2021'!$A$6:$CZ$403,18,FALSE)+VLOOKUP($A267,'1.3.21-28.2.22'!$A$6:$DA$404,18,FALSE)-VLOOKUP($A267,'01-02.2022'!$A$6:$DA$376,18,FALSE)</f>
        <v>0</v>
      </c>
      <c r="S267" s="566">
        <f>VLOOKUP($A267,'01-02.2021'!$A$6:$CZ$403,19,FALSE)+VLOOKUP($A267,'1.3.21-28.2.22'!$A$6:$DA$404,19,FALSE)-VLOOKUP($A267,'01-02.2022'!$A$6:$DA$376,19,FALSE)</f>
        <v>0</v>
      </c>
      <c r="T267" s="70">
        <f t="shared" si="325"/>
        <v>0</v>
      </c>
      <c r="U267" s="566">
        <f>VLOOKUP($A267,'01-02.2021'!$A$6:$CZ$403,21,FALSE)+VLOOKUP($A267,'1.3.21-28.2.22'!$A$6:$DA$404,21,FALSE)-VLOOKUP($A267,'01-02.2022'!$A$6:$DA$376,21,FALSE)</f>
        <v>0</v>
      </c>
      <c r="V267" s="566">
        <f>VLOOKUP($A267,'01-02.2021'!$A$6:$CZ$403,22,FALSE)+VLOOKUP($A267,'1.3.21-28.2.22'!$A$6:$DA$404,22,FALSE)-VLOOKUP($A267,'01-02.2022'!$A$6:$DA$376,22,FALSE)</f>
        <v>0</v>
      </c>
      <c r="W267" s="70">
        <f t="shared" si="326"/>
        <v>0</v>
      </c>
      <c r="X267" s="566">
        <f>VLOOKUP($A267,'01-02.2021'!$A$6:$CZ$403,24,FALSE)+VLOOKUP($A267,'1.3.21-28.2.22'!$A$6:$DA$404,24,FALSE)-VLOOKUP($A267,'01-02.2022'!$A$6:$DA$376,24,FALSE)</f>
        <v>6621.4167825396999</v>
      </c>
      <c r="Y267" s="566">
        <f>VLOOKUP($A267,'01-02.2021'!$A$6:$CZ$403,25,FALSE)+VLOOKUP($A267,'1.3.21-28.2.22'!$A$6:$DA$404,25,FALSE)-VLOOKUP($A267,'01-02.2022'!$A$6:$DA$376,25,FALSE)</f>
        <v>5492.9405167750665</v>
      </c>
      <c r="Z267" s="70">
        <f t="shared" si="327"/>
        <v>-1128.4762657646334</v>
      </c>
      <c r="AA267" s="566">
        <f>VLOOKUP($A267,'01-02.2021'!$A$6:$CZ$403,27,FALSE)+VLOOKUP($A267,'1.3.21-28.2.22'!$A$6:$DA$404,27,FALSE)-VLOOKUP($A267,'01-02.2022'!$A$6:$DA$376,27,FALSE)</f>
        <v>715.08000000000015</v>
      </c>
      <c r="AB267" s="566">
        <f>VLOOKUP($A267,'01-02.2021'!$A$6:$CZ$403,28,FALSE)+VLOOKUP($A267,'1.3.21-28.2.22'!$A$6:$DA$404,28,FALSE)-VLOOKUP($A267,'01-02.2022'!$A$6:$DA$376,28,FALSE)</f>
        <v>0</v>
      </c>
      <c r="AC267" s="70">
        <f t="shared" si="328"/>
        <v>-715.08000000000015</v>
      </c>
      <c r="AD267" s="566">
        <f>VLOOKUP($A267,'01-02.2021'!$A$6:$CZ$403,30,FALSE)+VLOOKUP($A267,'1.3.21-28.2.22'!$A$6:$DA$404,30,FALSE)-VLOOKUP($A267,'01-02.2022'!$A$6:$DA$376,30,FALSE)</f>
        <v>15356.815380695241</v>
      </c>
      <c r="AE267" s="566">
        <f>VLOOKUP($A267,'01-02.2021'!$A$6:$CZ$403,31,FALSE)+VLOOKUP($A267,'1.3.21-28.2.22'!$A$6:$DA$404,31,FALSE)-VLOOKUP($A267,'01-02.2022'!$A$6:$DA$376,31,FALSE)</f>
        <v>16274.922645084669</v>
      </c>
      <c r="AF267" s="68">
        <f t="shared" si="329"/>
        <v>918.10726438942766</v>
      </c>
      <c r="AG267" s="77">
        <f t="shared" si="297"/>
        <v>40766.694125896858</v>
      </c>
      <c r="AH267" s="53">
        <f t="shared" si="297"/>
        <v>41215.635268393984</v>
      </c>
      <c r="AI267" s="52">
        <f t="shared" si="302"/>
        <v>448.94114249712584</v>
      </c>
      <c r="AJ267" s="566">
        <f>VLOOKUP($A267,'01-02.2021'!$A$6:$CZ$403,36,FALSE)+VLOOKUP($A267,'1.3.21-28.2.22'!$A$6:$DA$404,36,FALSE)-VLOOKUP($A267,'01-02.2022'!$A$6:$DA$376,36,FALSE)</f>
        <v>0</v>
      </c>
      <c r="AK267" s="566">
        <f>VLOOKUP($A267,'01-02.2021'!$A$6:$CZ$403,37,FALSE)+VLOOKUP($A267,'1.3.21-28.2.22'!$A$6:$DA$404,37,FALSE)-VLOOKUP($A267,'01-02.2022'!$A$6:$DA$376,37,FALSE)</f>
        <v>0</v>
      </c>
      <c r="AL267" s="70">
        <f t="shared" si="330"/>
        <v>0</v>
      </c>
      <c r="AM267" s="566">
        <f>VLOOKUP($A267,'01-02.2021'!$A$6:$CZ$403,39,FALSE)+VLOOKUP($A267,'1.3.21-28.2.22'!$A$6:$DA$404,39,FALSE)-VLOOKUP($A267,'01-02.2022'!$A$6:$DA$376,39,FALSE)</f>
        <v>0</v>
      </c>
      <c r="AN267" s="566">
        <f>VLOOKUP($A267,'01-02.2021'!$A$6:$CZ$403,40,FALSE)+VLOOKUP($A267,'1.3.21-28.2.22'!$A$6:$DA$404,40,FALSE)-VLOOKUP($A267,'01-02.2022'!$A$6:$DA$376,40,FALSE)</f>
        <v>0</v>
      </c>
      <c r="AO267" s="70">
        <f t="shared" si="331"/>
        <v>0</v>
      </c>
      <c r="AP267" s="566">
        <f>VLOOKUP($A267,'01-02.2021'!$A$6:$CZ$403,42,FALSE)+VLOOKUP($A267,'1.3.21-28.2.22'!$A$6:$DA$404,42,FALSE)-VLOOKUP($A267,'01-02.2022'!$A$6:$DA$376,42,FALSE)</f>
        <v>10411.198500255552</v>
      </c>
      <c r="AQ267" s="566">
        <f>VLOOKUP($A267,'01-02.2021'!$A$6:$CZ$403,43,FALSE)+VLOOKUP($A267,'1.3.21-28.2.22'!$A$6:$DA$404,43,FALSE)-VLOOKUP($A267,'01-02.2022'!$A$6:$DA$376,43,FALSE)</f>
        <v>3767.6526947977245</v>
      </c>
      <c r="AR267" s="70">
        <f t="shared" si="332"/>
        <v>-6643.5458054578276</v>
      </c>
      <c r="AS267" s="566">
        <f>VLOOKUP($A267,'01-02.2021'!$A$6:$CZ$403,45,FALSE)+VLOOKUP($A267,'1.3.21-28.2.22'!$A$6:$DA$404,45,FALSE)-VLOOKUP($A267,'01-02.2022'!$A$6:$DA$376,45,FALSE)</f>
        <v>50769.551205877506</v>
      </c>
      <c r="AT267" s="566">
        <f>VLOOKUP($A267,'01-02.2021'!$A$6:$CZ$403,46,FALSE)+VLOOKUP($A267,'1.3.21-28.2.22'!$A$6:$DA$404,46,FALSE)-VLOOKUP($A267,'01-02.2022'!$A$6:$DA$376,46,FALSE)</f>
        <v>54795.56687921469</v>
      </c>
      <c r="AU267" s="78">
        <f t="shared" si="333"/>
        <v>4026.0156733371841</v>
      </c>
      <c r="AV267" s="566">
        <f>VLOOKUP($A267,'01-02.2021'!$A$6:$CZ$403,48,FALSE)+VLOOKUP($A267,'1.3.21-28.2.22'!$A$6:$DA$404,48,FALSE)-VLOOKUP($A267,'01-02.2022'!$A$6:$DA$376,48,FALSE)</f>
        <v>3036.9324560669711</v>
      </c>
      <c r="AW267" s="566">
        <f>VLOOKUP($A267,'01-02.2021'!$A$6:$CZ$403,49,FALSE)+VLOOKUP($A267,'1.3.21-28.2.22'!$A$6:$DA$404,49,FALSE)-VLOOKUP($A267,'01-02.2022'!$A$6:$DA$376,49,FALSE)</f>
        <v>2520</v>
      </c>
      <c r="AX267" s="55">
        <f t="shared" si="334"/>
        <v>-516.9324560669711</v>
      </c>
      <c r="AY267" s="566">
        <f>VLOOKUP($A267,'01-02.2021'!$A$6:$CZ$403,51,FALSE)+VLOOKUP($A267,'1.3.21-28.2.22'!$A$6:$DA$404,51,FALSE)-VLOOKUP($A267,'01-02.2022'!$A$6:$DA$376,51,FALSE)</f>
        <v>3782.2927724642163</v>
      </c>
      <c r="AZ267" s="566">
        <f>VLOOKUP($A267,'01-02.2021'!$A$6:$CZ$403,52,FALSE)+VLOOKUP($A267,'1.3.21-28.2.22'!$A$6:$DA$404,52,FALSE)-VLOOKUP($A267,'01-02.2022'!$A$6:$DA$376,52,FALSE)</f>
        <v>0</v>
      </c>
      <c r="BA267" s="38">
        <f t="shared" si="335"/>
        <v>-3782.2927724642163</v>
      </c>
      <c r="BB267" s="566">
        <f>VLOOKUP($A267,'01-02.2021'!$A$6:$CZ$403,54,FALSE)+VLOOKUP($A267,'1.3.21-28.2.22'!$A$6:$DA$404,54,FALSE)-VLOOKUP($A267,'01-02.2022'!$A$6:$DA$376,54,FALSE)</f>
        <v>2286.4743108428702</v>
      </c>
      <c r="BC267" s="566">
        <f>VLOOKUP($A267,'01-02.2021'!$A$6:$CZ$403,55,FALSE)+VLOOKUP($A267,'1.3.21-28.2.22'!$A$6:$DA$404,55,FALSE)-VLOOKUP($A267,'01-02.2022'!$A$6:$DA$376,55,FALSE)</f>
        <v>184</v>
      </c>
      <c r="BD267" s="55">
        <f t="shared" si="336"/>
        <v>-2102.4743108428702</v>
      </c>
      <c r="BE267" s="566">
        <f>VLOOKUP($A267,'01-02.2021'!$A$6:$CZ$403,57,FALSE)+VLOOKUP($A267,'1.3.21-28.2.22'!$A$6:$DA$404,57,FALSE)-VLOOKUP($A267,'01-02.2022'!$A$6:$DA$376,57,FALSE)</f>
        <v>0</v>
      </c>
      <c r="BF267" s="566">
        <f>VLOOKUP($A267,'01-02.2021'!$A$6:$CZ$403,58,FALSE)+VLOOKUP($A267,'1.3.21-28.2.22'!$A$6:$DA$404,58,FALSE)-VLOOKUP($A267,'01-02.2022'!$A$6:$DA$376,58,FALSE)</f>
        <v>0</v>
      </c>
      <c r="BG267" s="55">
        <f t="shared" si="337"/>
        <v>0</v>
      </c>
      <c r="BH267" s="566">
        <f>VLOOKUP($A267,'01-02.2021'!$A$6:$CZ$403,60,FALSE)+VLOOKUP($A267,'1.3.21-28.2.22'!$A$6:$DA$404,60,FALSE)-VLOOKUP($A267,'01-02.2022'!$A$6:$DA$376,60,FALSE)</f>
        <v>0</v>
      </c>
      <c r="BI267" s="566">
        <f>VLOOKUP($A267,'01-02.2021'!$A$6:$CZ$403,61,FALSE)+VLOOKUP($A267,'1.3.21-28.2.22'!$A$6:$DA$404,61,FALSE)-VLOOKUP($A267,'01-02.2022'!$A$6:$DA$376,61,FALSE)</f>
        <v>0</v>
      </c>
      <c r="BJ267" s="55">
        <f t="shared" si="338"/>
        <v>0</v>
      </c>
      <c r="BK267" s="566">
        <f>VLOOKUP($A267,'01-02.2021'!$A$6:$CZ$403,63,FALSE)+VLOOKUP($A267,'1.3.21-28.2.22'!$A$6:$DA$404,63,FALSE)-VLOOKUP($A267,'01-02.2022'!$A$6:$DA$376,63,FALSE)</f>
        <v>2106.6504324342091</v>
      </c>
      <c r="BL267" s="566">
        <f>VLOOKUP($A267,'01-02.2021'!$A$6:$CZ$403,64,FALSE)+VLOOKUP($A267,'1.3.21-28.2.22'!$A$6:$DA$404,64,FALSE)-VLOOKUP($A267,'01-02.2022'!$A$6:$DA$376,64,FALSE)</f>
        <v>512</v>
      </c>
      <c r="BM267" s="55">
        <f t="shared" si="339"/>
        <v>-1594.6504324342091</v>
      </c>
      <c r="BN267" s="566">
        <f>VLOOKUP($A267,'01-02.2021'!$A$6:$CZ$403,66,FALSE)+VLOOKUP($A267,'1.3.21-28.2.22'!$A$6:$DA$404,66,FALSE)-VLOOKUP($A267,'01-02.2022'!$A$6:$DA$376,66,FALSE)</f>
        <v>178.77000000000004</v>
      </c>
      <c r="BO267" s="566">
        <f>VLOOKUP($A267,'01-02.2021'!$A$6:$CZ$403,67,FALSE)+VLOOKUP($A267,'1.3.21-28.2.22'!$A$6:$DA$404,67,FALSE)-VLOOKUP($A267,'01-02.2022'!$A$6:$DA$376,67,FALSE)</f>
        <v>0</v>
      </c>
      <c r="BP267" s="55">
        <f t="shared" si="340"/>
        <v>-178.77000000000004</v>
      </c>
      <c r="BQ267" s="77">
        <f t="shared" si="287"/>
        <v>11391.119971808268</v>
      </c>
      <c r="BR267" s="40">
        <f t="shared" si="315"/>
        <v>3216</v>
      </c>
      <c r="BS267" s="55">
        <f t="shared" si="314"/>
        <v>-8175.119971808268</v>
      </c>
      <c r="BT267" s="566">
        <f>VLOOKUP($A267,'01-02.2021'!$A$6:$CZ$403,72,FALSE)+VLOOKUP($A267,'1.3.21-28.2.22'!$A$6:$DA$404,72,FALSE)-VLOOKUP($A267,'01-02.2022'!$A$6:$DA$376,72,FALSE)</f>
        <v>24664.971841123101</v>
      </c>
      <c r="BU267" s="566">
        <f>VLOOKUP($A267,'01-02.2021'!$A$6:$CZ$403,73,FALSE)+VLOOKUP($A267,'1.3.21-28.2.22'!$A$6:$DA$404,73,FALSE)-VLOOKUP($A267,'01-02.2022'!$A$6:$DA$376,73,FALSE)</f>
        <v>33140.397850431276</v>
      </c>
      <c r="BV267" s="70">
        <f t="shared" si="341"/>
        <v>8475.4260093081757</v>
      </c>
      <c r="BW267" s="566">
        <f>VLOOKUP($A267,'01-02.2021'!$A$6:$CZ$403,75,FALSE)+VLOOKUP($A267,'1.3.21-28.2.22'!$A$6:$DA$404,75,FALSE)-VLOOKUP($A267,'01-02.2022'!$A$6:$DA$376,75,FALSE)</f>
        <v>16075.491334645259</v>
      </c>
      <c r="BX267" s="566">
        <f>VLOOKUP($A267,'01-02.2021'!$A$6:$CZ$403,76,FALSE)+VLOOKUP($A267,'1.3.21-28.2.22'!$A$6:$DA$404,76,FALSE)-VLOOKUP($A267,'01-02.2022'!$A$6:$DA$376,76,FALSE)</f>
        <v>14631.688983135518</v>
      </c>
      <c r="BY267" s="70">
        <f t="shared" si="342"/>
        <v>-1443.8023515097411</v>
      </c>
      <c r="BZ267" s="566">
        <f>VLOOKUP($A267,'01-02.2021'!$A$6:$CZ$403,78,FALSE)+VLOOKUP($A267,'1.3.21-28.2.22'!$A$6:$DA$404,78,FALSE)-VLOOKUP($A267,'01-02.2022'!$A$6:$DA$376,78,FALSE)</f>
        <v>11946.906651383266</v>
      </c>
      <c r="CA267" s="566">
        <f>VLOOKUP($A267,'01-02.2021'!$A$6:$CZ$403,79,FALSE)+VLOOKUP($A267,'1.3.21-28.2.22'!$A$6:$DA$404,79,FALSE)-VLOOKUP($A267,'01-02.2022'!$A$6:$DA$376,79,FALSE)</f>
        <v>7557.5358463923731</v>
      </c>
      <c r="CB267" s="70">
        <f t="shared" si="343"/>
        <v>-4389.3708049908928</v>
      </c>
      <c r="CC267" s="566">
        <f>VLOOKUP($A267,'01-02.2021'!$A$6:$CZ$403,81,FALSE)+VLOOKUP($A267,'1.3.21-28.2.22'!$A$6:$DA$404,81,FALSE)-VLOOKUP($A267,'01-02.2022'!$A$6:$DA$376,81,FALSE)</f>
        <v>2300.0473842131378</v>
      </c>
      <c r="CD267" s="566">
        <f>VLOOKUP($A267,'01-02.2021'!$A$6:$CZ$403,82,FALSE)+VLOOKUP($A267,'1.3.21-28.2.22'!$A$6:$DA$404,82,FALSE)-VLOOKUP($A267,'01-02.2022'!$A$6:$DA$376,82,FALSE)</f>
        <v>2513.9357355827333</v>
      </c>
      <c r="CE267" s="70">
        <f t="shared" si="344"/>
        <v>213.88835136959551</v>
      </c>
      <c r="CF267" s="566">
        <f>VLOOKUP($A267,'01-02.2021'!$A$6:$CZ$403,84,FALSE)+VLOOKUP($A267,'1.3.21-28.2.22'!$A$6:$DA$404,84,FALSE)-VLOOKUP($A267,'01-02.2022'!$A$6:$DA$376,84,FALSE)</f>
        <v>279.61813837514956</v>
      </c>
      <c r="CG267" s="566">
        <f>VLOOKUP($A267,'01-02.2021'!$A$6:$CZ$403,85,FALSE)+VLOOKUP($A267,'1.3.21-28.2.22'!$A$6:$DA$404,85,FALSE)-VLOOKUP($A267,'01-02.2022'!$A$6:$DA$376,85,FALSE)</f>
        <v>0</v>
      </c>
      <c r="CH267" s="70">
        <f t="shared" si="345"/>
        <v>-279.61813837514956</v>
      </c>
      <c r="CI267" s="566">
        <f>VLOOKUP($A267,'01-02.2021'!$A$6:$CZ$403,87,FALSE)+VLOOKUP($A267,'1.3.21-28.2.22'!$A$6:$DA$404,87,FALSE)-VLOOKUP($A267,'01-02.2022'!$A$6:$DA$376,87,FALSE)</f>
        <v>3864.7906375136222</v>
      </c>
      <c r="CJ267" s="566">
        <f>VLOOKUP($A267,'01-02.2021'!$A$6:$CZ$403,88,FALSE)+VLOOKUP($A267,'1.3.21-28.2.22'!$A$6:$DA$404,88,FALSE)-VLOOKUP($A267,'01-02.2022'!$A$6:$DA$376,88,FALSE)</f>
        <v>3178.3947267344324</v>
      </c>
      <c r="CK267" s="70">
        <f t="shared" si="346"/>
        <v>-686.39591077918976</v>
      </c>
      <c r="CL267" s="566">
        <f>VLOOKUP($A267,'01-02.2021'!$A$6:$CZ$403,90,FALSE)+VLOOKUP($A267,'1.3.21-28.2.22'!$A$6:$DA$404,90,FALSE)-VLOOKUP($A267,'01-02.2022'!$A$6:$DA$376,90,FALSE)</f>
        <v>0</v>
      </c>
      <c r="CM267" s="566">
        <f>VLOOKUP($A267,'01-02.2021'!$A$6:$CZ$403,91,FALSE)+VLOOKUP($A267,'1.3.21-28.2.22'!$A$6:$DA$404,91,FALSE)-VLOOKUP($A267,'01-02.2022'!$A$6:$DA$376,91,FALSE)</f>
        <v>0</v>
      </c>
      <c r="CN267" s="52">
        <f t="shared" si="303"/>
        <v>0</v>
      </c>
      <c r="CO267" s="39">
        <f t="shared" si="298"/>
        <v>3864.7906375136222</v>
      </c>
      <c r="CP267" s="40">
        <f t="shared" si="304"/>
        <v>3178.3947267344324</v>
      </c>
      <c r="CQ267" s="52">
        <f t="shared" si="305"/>
        <v>-686.39591077918976</v>
      </c>
      <c r="CR267" s="72">
        <f t="shared" si="299"/>
        <v>172470.3897910917</v>
      </c>
      <c r="CS267" s="5">
        <f t="shared" si="299"/>
        <v>164016.8079846827</v>
      </c>
      <c r="CT267" s="52">
        <f t="shared" si="306"/>
        <v>-8453.5818064089981</v>
      </c>
      <c r="CU267" s="77">
        <f t="shared" si="307"/>
        <v>206964.46774931005</v>
      </c>
      <c r="CV267" s="65">
        <f t="shared" si="308"/>
        <v>196820.16958161924</v>
      </c>
      <c r="CW267" s="35">
        <f t="shared" si="309"/>
        <v>-10144.298167690809</v>
      </c>
      <c r="CX267" s="566">
        <f>VLOOKUP($A267,'01-02.2021'!$A$6:$CZ$403,102,FALSE)+VLOOKUP($A267,'1.3.21-28.2.22'!$A$6:$DA$404,102,FALSE)-VLOOKUP($A267,'01-02.2022'!$A$6:$DA$376,102,FALSE)</f>
        <v>8576.9371490053782</v>
      </c>
      <c r="CY267" s="566">
        <f>VLOOKUP($A267,'01-02.2021'!$A$6:$CZ$403,103,FALSE)+VLOOKUP($A267,'1.3.21-28.2.22'!$A$6:$DA$404,103,FALSE)-VLOOKUP($A267,'01-02.2022'!$A$6:$DA$376,103,FALSE)</f>
        <v>18721.235316696147</v>
      </c>
      <c r="CZ267" s="52">
        <f t="shared" si="310"/>
        <v>10144.298167690769</v>
      </c>
      <c r="DA267" s="150">
        <f>'[2]побудинковий звіт'!DA267</f>
        <v>38511.498012786586</v>
      </c>
      <c r="DB267" s="2">
        <v>2</v>
      </c>
      <c r="DC267" s="414">
        <f>'[4]побудинковий звіт'!DC267</f>
        <v>42268.51</v>
      </c>
      <c r="DD267" s="414">
        <f>'[4]побудинковий звіт'!DD267</f>
        <v>0</v>
      </c>
      <c r="DE267" s="557">
        <f>'[4]побудинковий звіт'!DE267</f>
        <v>22879.150852057272</v>
      </c>
      <c r="DF267" s="557">
        <f>'[4]побудинковий звіт'!DF267</f>
        <v>0</v>
      </c>
      <c r="DG267" s="321">
        <f>VLOOKUP(A267,'кошти 01.03.2021'!$A$6:$D$401,4,)</f>
        <v>-4017.4269122482056</v>
      </c>
      <c r="DH267" s="40">
        <f>'[3]побудинковий звіт'!DJ267</f>
        <v>222277.98502350171</v>
      </c>
      <c r="DI267" s="422">
        <f>'[3]побудинковий звіт'!CU267+'[3]побудинковий звіт'!CX267</f>
        <v>19389.359147942734</v>
      </c>
      <c r="DJ267" s="306">
        <f>'[3]побудинковий звіт'!DM267</f>
        <v>5.4232935634209927</v>
      </c>
      <c r="DK267" s="306">
        <f t="shared" si="316"/>
        <v>5.4232935634209927</v>
      </c>
      <c r="DL267" s="306">
        <f>'[3]побудинковий звіт'!DO267</f>
        <v>4.8748839818913812</v>
      </c>
      <c r="DM267" s="28">
        <f t="shared" si="317"/>
        <v>19389.35914794273</v>
      </c>
      <c r="DN267" s="28">
        <f t="shared" si="318"/>
        <v>0</v>
      </c>
      <c r="DO267" s="423">
        <f t="shared" si="319"/>
        <v>19389.35914794273</v>
      </c>
      <c r="DP267" s="94">
        <f t="shared" si="320"/>
        <v>0</v>
      </c>
      <c r="DQ267" s="28">
        <f t="shared" si="321"/>
        <v>19389.35914794273</v>
      </c>
      <c r="DR267" s="318"/>
      <c r="DT267" s="8"/>
      <c r="DU267" s="5"/>
      <c r="DX267" s="5">
        <f t="shared" si="322"/>
        <v>74592.805413222915</v>
      </c>
      <c r="DY267" s="5">
        <f t="shared" si="323"/>
        <v>69613.880255057622</v>
      </c>
      <c r="DZ267" s="159">
        <f>'[3]побудинковий звіт'!EA267</f>
        <v>6644.4924545289396</v>
      </c>
    </row>
    <row r="268" spans="1:130" x14ac:dyDescent="0.3">
      <c r="A268" s="325">
        <v>150000724</v>
      </c>
      <c r="B268" s="41" t="s">
        <v>714</v>
      </c>
      <c r="C268" s="42" t="s">
        <v>277</v>
      </c>
      <c r="D268" s="42"/>
      <c r="E268" s="293">
        <f t="shared" si="296"/>
        <v>3564.2</v>
      </c>
      <c r="F268" s="305">
        <f>'[3]побудинковий звіт'!F268</f>
        <v>3564.2</v>
      </c>
      <c r="G268" s="508">
        <f>'[3]побудинковий звіт'!G268</f>
        <v>0</v>
      </c>
      <c r="H268" s="560">
        <f>'[3]побудинковий звіт'!H268</f>
        <v>0</v>
      </c>
      <c r="I268" s="566">
        <f>VLOOKUP($A268,'01-02.2021'!$A$6:$CZ$403,9,FALSE)+VLOOKUP($A268,'1.3.21-28.2.22'!$A$6:$DA$404,9,FALSE)-VLOOKUP($A268,'01-02.2022'!$A$6:$DA$376,9,FALSE)</f>
        <v>11553.394335627157</v>
      </c>
      <c r="J268" s="566">
        <f>VLOOKUP($A268,'01-02.2021'!$A$6:$CZ$403,10,FALSE)+VLOOKUP($A268,'1.3.21-28.2.22'!$A$6:$DA$404,10,FALSE)-VLOOKUP($A268,'01-02.2022'!$A$6:$DA$376,10,FALSE)</f>
        <v>12723.101004064711</v>
      </c>
      <c r="K268" s="52">
        <f t="shared" si="300"/>
        <v>1169.7066684375532</v>
      </c>
      <c r="L268" s="566">
        <f>VLOOKUP($A268,'01-02.2021'!$A$6:$CZ$403,12,FALSE)+VLOOKUP($A268,'1.3.21-28.2.22'!$A$6:$DA$404,12,FALSE)-VLOOKUP($A268,'01-02.2022'!$A$6:$DA$376,12,FALSE)</f>
        <v>2012.2670577015929</v>
      </c>
      <c r="M268" s="566">
        <f>VLOOKUP($A268,'01-02.2021'!$A$6:$CZ$403,13,FALSE)+VLOOKUP($A268,'1.3.21-28.2.22'!$A$6:$DA$404,13,FALSE)-VLOOKUP($A268,'01-02.2022'!$A$6:$DA$376,13,FALSE)</f>
        <v>2215.581219274819</v>
      </c>
      <c r="N268" s="52">
        <f t="shared" si="301"/>
        <v>203.3141615732261</v>
      </c>
      <c r="O268" s="566">
        <f>VLOOKUP($A268,'01-02.2021'!$A$6:$CZ$403,15,FALSE)+VLOOKUP($A268,'1.3.21-28.2.22'!$A$6:$DA$404,15,FALSE)-VLOOKUP($A268,'01-02.2022'!$A$6:$DA$376,15,FALSE)</f>
        <v>4511.537086415492</v>
      </c>
      <c r="P268" s="566">
        <f>VLOOKUP($A268,'01-02.2021'!$A$6:$CZ$403,16,FALSE)+VLOOKUP($A268,'1.3.21-28.2.22'!$A$6:$DA$404,16,FALSE)-VLOOKUP($A268,'01-02.2022'!$A$6:$DA$376,16,FALSE)</f>
        <v>4511.5300000000007</v>
      </c>
      <c r="Q268" s="70">
        <f t="shared" si="324"/>
        <v>-7.0864154913579114E-3</v>
      </c>
      <c r="R268" s="566">
        <f>VLOOKUP($A268,'01-02.2021'!$A$6:$CZ$403,18,FALSE)+VLOOKUP($A268,'1.3.21-28.2.22'!$A$6:$DA$404,18,FALSE)-VLOOKUP($A268,'01-02.2022'!$A$6:$DA$376,18,FALSE)</f>
        <v>0</v>
      </c>
      <c r="S268" s="566">
        <f>VLOOKUP($A268,'01-02.2021'!$A$6:$CZ$403,19,FALSE)+VLOOKUP($A268,'1.3.21-28.2.22'!$A$6:$DA$404,19,FALSE)-VLOOKUP($A268,'01-02.2022'!$A$6:$DA$376,19,FALSE)</f>
        <v>0</v>
      </c>
      <c r="T268" s="70">
        <f t="shared" si="325"/>
        <v>0</v>
      </c>
      <c r="U268" s="566">
        <f>VLOOKUP($A268,'01-02.2021'!$A$6:$CZ$403,21,FALSE)+VLOOKUP($A268,'1.3.21-28.2.22'!$A$6:$DA$404,21,FALSE)-VLOOKUP($A268,'01-02.2022'!$A$6:$DA$376,21,FALSE)</f>
        <v>0</v>
      </c>
      <c r="V268" s="566">
        <f>VLOOKUP($A268,'01-02.2021'!$A$6:$CZ$403,22,FALSE)+VLOOKUP($A268,'1.3.21-28.2.22'!$A$6:$DA$404,22,FALSE)-VLOOKUP($A268,'01-02.2022'!$A$6:$DA$376,22,FALSE)</f>
        <v>0</v>
      </c>
      <c r="W268" s="70">
        <f t="shared" si="326"/>
        <v>0</v>
      </c>
      <c r="X268" s="566">
        <f>VLOOKUP($A268,'01-02.2021'!$A$6:$CZ$403,24,FALSE)+VLOOKUP($A268,'1.3.21-28.2.22'!$A$6:$DA$404,24,FALSE)-VLOOKUP($A268,'01-02.2022'!$A$6:$DA$376,24,FALSE)</f>
        <v>6621.4167825396999</v>
      </c>
      <c r="Y268" s="566">
        <f>VLOOKUP($A268,'01-02.2021'!$A$6:$CZ$403,25,FALSE)+VLOOKUP($A268,'1.3.21-28.2.22'!$A$6:$DA$404,25,FALSE)-VLOOKUP($A268,'01-02.2022'!$A$6:$DA$376,25,FALSE)</f>
        <v>5461.9205669840039</v>
      </c>
      <c r="Z268" s="70">
        <f t="shared" si="327"/>
        <v>-1159.4962155556959</v>
      </c>
      <c r="AA268" s="566">
        <f>VLOOKUP($A268,'01-02.2021'!$A$6:$CZ$403,27,FALSE)+VLOOKUP($A268,'1.3.21-28.2.22'!$A$6:$DA$404,27,FALSE)-VLOOKUP($A268,'01-02.2022'!$A$6:$DA$376,27,FALSE)</f>
        <v>713</v>
      </c>
      <c r="AB268" s="566">
        <f>VLOOKUP($A268,'01-02.2021'!$A$6:$CZ$403,28,FALSE)+VLOOKUP($A268,'1.3.21-28.2.22'!$A$6:$DA$404,28,FALSE)-VLOOKUP($A268,'01-02.2022'!$A$6:$DA$376,28,FALSE)</f>
        <v>0</v>
      </c>
      <c r="AC268" s="70">
        <f t="shared" si="328"/>
        <v>-713</v>
      </c>
      <c r="AD268" s="566">
        <f>VLOOKUP($A268,'01-02.2021'!$A$6:$CZ$403,30,FALSE)+VLOOKUP($A268,'1.3.21-28.2.22'!$A$6:$DA$404,30,FALSE)-VLOOKUP($A268,'01-02.2022'!$A$6:$DA$376,30,FALSE)</f>
        <v>15310.717323623228</v>
      </c>
      <c r="AE268" s="566">
        <f>VLOOKUP($A268,'01-02.2021'!$A$6:$CZ$403,31,FALSE)+VLOOKUP($A268,'1.3.21-28.2.22'!$A$6:$DA$404,31,FALSE)-VLOOKUP($A268,'01-02.2022'!$A$6:$DA$376,31,FALSE)</f>
        <v>16226.254778563509</v>
      </c>
      <c r="AF268" s="68">
        <f t="shared" si="329"/>
        <v>915.53745494028044</v>
      </c>
      <c r="AG268" s="77">
        <f t="shared" si="297"/>
        <v>40722.33258590717</v>
      </c>
      <c r="AH268" s="53">
        <f t="shared" si="297"/>
        <v>41138.387568887039</v>
      </c>
      <c r="AI268" s="52">
        <f t="shared" si="302"/>
        <v>416.05498297986924</v>
      </c>
      <c r="AJ268" s="566">
        <f>VLOOKUP($A268,'01-02.2021'!$A$6:$CZ$403,36,FALSE)+VLOOKUP($A268,'1.3.21-28.2.22'!$A$6:$DA$404,36,FALSE)-VLOOKUP($A268,'01-02.2022'!$A$6:$DA$376,36,FALSE)</f>
        <v>0</v>
      </c>
      <c r="AK268" s="566">
        <f>VLOOKUP($A268,'01-02.2021'!$A$6:$CZ$403,37,FALSE)+VLOOKUP($A268,'1.3.21-28.2.22'!$A$6:$DA$404,37,FALSE)-VLOOKUP($A268,'01-02.2022'!$A$6:$DA$376,37,FALSE)</f>
        <v>0</v>
      </c>
      <c r="AL268" s="70">
        <f t="shared" si="330"/>
        <v>0</v>
      </c>
      <c r="AM268" s="566">
        <f>VLOOKUP($A268,'01-02.2021'!$A$6:$CZ$403,39,FALSE)+VLOOKUP($A268,'1.3.21-28.2.22'!$A$6:$DA$404,39,FALSE)-VLOOKUP($A268,'01-02.2022'!$A$6:$DA$376,39,FALSE)</f>
        <v>0</v>
      </c>
      <c r="AN268" s="566">
        <f>VLOOKUP($A268,'01-02.2021'!$A$6:$CZ$403,40,FALSE)+VLOOKUP($A268,'1.3.21-28.2.22'!$A$6:$DA$404,40,FALSE)-VLOOKUP($A268,'01-02.2022'!$A$6:$DA$376,40,FALSE)</f>
        <v>0</v>
      </c>
      <c r="AO268" s="70">
        <f t="shared" si="331"/>
        <v>0</v>
      </c>
      <c r="AP268" s="566">
        <f>VLOOKUP($A268,'01-02.2021'!$A$6:$CZ$403,42,FALSE)+VLOOKUP($A268,'1.3.21-28.2.22'!$A$6:$DA$404,42,FALSE)-VLOOKUP($A268,'01-02.2022'!$A$6:$DA$376,42,FALSE)</f>
        <v>10411.198500255552</v>
      </c>
      <c r="AQ268" s="566">
        <f>VLOOKUP($A268,'01-02.2021'!$A$6:$CZ$403,43,FALSE)+VLOOKUP($A268,'1.3.21-28.2.22'!$A$6:$DA$404,43,FALSE)-VLOOKUP($A268,'01-02.2022'!$A$6:$DA$376,43,FALSE)</f>
        <v>3798.0071107030449</v>
      </c>
      <c r="AR268" s="70">
        <f t="shared" si="332"/>
        <v>-6613.1913895525067</v>
      </c>
      <c r="AS268" s="566">
        <f>VLOOKUP($A268,'01-02.2021'!$A$6:$CZ$403,45,FALSE)+VLOOKUP($A268,'1.3.21-28.2.22'!$A$6:$DA$404,45,FALSE)-VLOOKUP($A268,'01-02.2022'!$A$6:$DA$376,45,FALSE)</f>
        <v>47741.6379741907</v>
      </c>
      <c r="AT268" s="566">
        <f>VLOOKUP($A268,'01-02.2021'!$A$6:$CZ$403,46,FALSE)+VLOOKUP($A268,'1.3.21-28.2.22'!$A$6:$DA$404,46,FALSE)-VLOOKUP($A268,'01-02.2022'!$A$6:$DA$376,46,FALSE)</f>
        <v>12179.11</v>
      </c>
      <c r="AU268" s="78">
        <f t="shared" si="333"/>
        <v>-35562.5279741907</v>
      </c>
      <c r="AV268" s="566">
        <f>VLOOKUP($A268,'01-02.2021'!$A$6:$CZ$403,48,FALSE)+VLOOKUP($A268,'1.3.21-28.2.22'!$A$6:$DA$404,48,FALSE)-VLOOKUP($A268,'01-02.2022'!$A$6:$DA$376,48,FALSE)</f>
        <v>3036.7330638135973</v>
      </c>
      <c r="AW268" s="566">
        <f>VLOOKUP($A268,'01-02.2021'!$A$6:$CZ$403,49,FALSE)+VLOOKUP($A268,'1.3.21-28.2.22'!$A$6:$DA$404,49,FALSE)-VLOOKUP($A268,'01-02.2022'!$A$6:$DA$376,49,FALSE)</f>
        <v>2354</v>
      </c>
      <c r="AX268" s="55">
        <f t="shared" si="334"/>
        <v>-682.73306381359725</v>
      </c>
      <c r="AY268" s="566">
        <f>VLOOKUP($A268,'01-02.2021'!$A$6:$CZ$403,51,FALSE)+VLOOKUP($A268,'1.3.21-28.2.22'!$A$6:$DA$404,51,FALSE)-VLOOKUP($A268,'01-02.2022'!$A$6:$DA$376,51,FALSE)</f>
        <v>3782.2927724642163</v>
      </c>
      <c r="AZ268" s="566">
        <f>VLOOKUP($A268,'01-02.2021'!$A$6:$CZ$403,52,FALSE)+VLOOKUP($A268,'1.3.21-28.2.22'!$A$6:$DA$404,52,FALSE)-VLOOKUP($A268,'01-02.2022'!$A$6:$DA$376,52,FALSE)</f>
        <v>97</v>
      </c>
      <c r="BA268" s="38">
        <f t="shared" si="335"/>
        <v>-3685.2927724642163</v>
      </c>
      <c r="BB268" s="566">
        <f>VLOOKUP($A268,'01-02.2021'!$A$6:$CZ$403,54,FALSE)+VLOOKUP($A268,'1.3.21-28.2.22'!$A$6:$DA$404,54,FALSE)-VLOOKUP($A268,'01-02.2022'!$A$6:$DA$376,54,FALSE)</f>
        <v>2286.4743108428702</v>
      </c>
      <c r="BC268" s="566">
        <f>VLOOKUP($A268,'01-02.2021'!$A$6:$CZ$403,55,FALSE)+VLOOKUP($A268,'1.3.21-28.2.22'!$A$6:$DA$404,55,FALSE)-VLOOKUP($A268,'01-02.2022'!$A$6:$DA$376,55,FALSE)</f>
        <v>0</v>
      </c>
      <c r="BD268" s="55">
        <f t="shared" si="336"/>
        <v>-2286.4743108428702</v>
      </c>
      <c r="BE268" s="566">
        <f>VLOOKUP($A268,'01-02.2021'!$A$6:$CZ$403,57,FALSE)+VLOOKUP($A268,'1.3.21-28.2.22'!$A$6:$DA$404,57,FALSE)-VLOOKUP($A268,'01-02.2022'!$A$6:$DA$376,57,FALSE)</f>
        <v>0</v>
      </c>
      <c r="BF268" s="566">
        <f>VLOOKUP($A268,'01-02.2021'!$A$6:$CZ$403,58,FALSE)+VLOOKUP($A268,'1.3.21-28.2.22'!$A$6:$DA$404,58,FALSE)-VLOOKUP($A268,'01-02.2022'!$A$6:$DA$376,58,FALSE)</f>
        <v>0</v>
      </c>
      <c r="BG268" s="55">
        <f t="shared" si="337"/>
        <v>0</v>
      </c>
      <c r="BH268" s="566">
        <f>VLOOKUP($A268,'01-02.2021'!$A$6:$CZ$403,60,FALSE)+VLOOKUP($A268,'1.3.21-28.2.22'!$A$6:$DA$404,60,FALSE)-VLOOKUP($A268,'01-02.2022'!$A$6:$DA$376,60,FALSE)</f>
        <v>0</v>
      </c>
      <c r="BI268" s="566">
        <f>VLOOKUP($A268,'01-02.2021'!$A$6:$CZ$403,61,FALSE)+VLOOKUP($A268,'1.3.21-28.2.22'!$A$6:$DA$404,61,FALSE)-VLOOKUP($A268,'01-02.2022'!$A$6:$DA$376,61,FALSE)</f>
        <v>0</v>
      </c>
      <c r="BJ268" s="55">
        <f t="shared" si="338"/>
        <v>0</v>
      </c>
      <c r="BK268" s="566">
        <f>VLOOKUP($A268,'01-02.2021'!$A$6:$CZ$403,63,FALSE)+VLOOKUP($A268,'1.3.21-28.2.22'!$A$6:$DA$404,63,FALSE)-VLOOKUP($A268,'01-02.2022'!$A$6:$DA$376,63,FALSE)</f>
        <v>2106.6504324342091</v>
      </c>
      <c r="BL268" s="566">
        <f>VLOOKUP($A268,'01-02.2021'!$A$6:$CZ$403,64,FALSE)+VLOOKUP($A268,'1.3.21-28.2.22'!$A$6:$DA$404,64,FALSE)-VLOOKUP($A268,'01-02.2022'!$A$6:$DA$376,64,FALSE)</f>
        <v>1489</v>
      </c>
      <c r="BM268" s="55">
        <f t="shared" si="339"/>
        <v>-617.65043243420905</v>
      </c>
      <c r="BN268" s="566">
        <f>VLOOKUP($A268,'01-02.2021'!$A$6:$CZ$403,66,FALSE)+VLOOKUP($A268,'1.3.21-28.2.22'!$A$6:$DA$404,66,FALSE)-VLOOKUP($A268,'01-02.2022'!$A$6:$DA$376,66,FALSE)</f>
        <v>178.25</v>
      </c>
      <c r="BO268" s="566">
        <f>VLOOKUP($A268,'01-02.2021'!$A$6:$CZ$403,67,FALSE)+VLOOKUP($A268,'1.3.21-28.2.22'!$A$6:$DA$404,67,FALSE)-VLOOKUP($A268,'01-02.2022'!$A$6:$DA$376,67,FALSE)</f>
        <v>0</v>
      </c>
      <c r="BP268" s="55">
        <f t="shared" si="340"/>
        <v>-178.25</v>
      </c>
      <c r="BQ268" s="77">
        <f t="shared" si="287"/>
        <v>11390.400579554893</v>
      </c>
      <c r="BR268" s="40">
        <f t="shared" si="315"/>
        <v>3940</v>
      </c>
      <c r="BS268" s="55">
        <f t="shared" si="314"/>
        <v>-7450.4005795548928</v>
      </c>
      <c r="BT268" s="566">
        <f>VLOOKUP($A268,'01-02.2021'!$A$6:$CZ$403,72,FALSE)+VLOOKUP($A268,'1.3.21-28.2.22'!$A$6:$DA$404,72,FALSE)-VLOOKUP($A268,'01-02.2022'!$A$6:$DA$376,72,FALSE)</f>
        <v>22817.22416040178</v>
      </c>
      <c r="BU268" s="566">
        <f>VLOOKUP($A268,'01-02.2021'!$A$6:$CZ$403,73,FALSE)+VLOOKUP($A268,'1.3.21-28.2.22'!$A$6:$DA$404,73,FALSE)-VLOOKUP($A268,'01-02.2022'!$A$6:$DA$376,73,FALSE)</f>
        <v>33811.462921352693</v>
      </c>
      <c r="BV268" s="70">
        <f t="shared" si="341"/>
        <v>10994.238760950913</v>
      </c>
      <c r="BW268" s="566">
        <f>VLOOKUP($A268,'01-02.2021'!$A$6:$CZ$403,75,FALSE)+VLOOKUP($A268,'1.3.21-28.2.22'!$A$6:$DA$404,75,FALSE)-VLOOKUP($A268,'01-02.2022'!$A$6:$DA$376,75,FALSE)</f>
        <v>15564.114734287212</v>
      </c>
      <c r="BX268" s="566">
        <f>VLOOKUP($A268,'01-02.2021'!$A$6:$CZ$403,76,FALSE)+VLOOKUP($A268,'1.3.21-28.2.22'!$A$6:$DA$404,76,FALSE)-VLOOKUP($A268,'01-02.2022'!$A$6:$DA$376,76,FALSE)</f>
        <v>14313.585740164057</v>
      </c>
      <c r="BY268" s="70">
        <f t="shared" si="342"/>
        <v>-1250.5289941231549</v>
      </c>
      <c r="BZ268" s="566">
        <f>VLOOKUP($A268,'01-02.2021'!$A$6:$CZ$403,78,FALSE)+VLOOKUP($A268,'1.3.21-28.2.22'!$A$6:$DA$404,78,FALSE)-VLOOKUP($A268,'01-02.2022'!$A$6:$DA$376,78,FALSE)</f>
        <v>11015.575686745035</v>
      </c>
      <c r="CA268" s="566">
        <f>VLOOKUP($A268,'01-02.2021'!$A$6:$CZ$403,79,FALSE)+VLOOKUP($A268,'1.3.21-28.2.22'!$A$6:$DA$404,79,FALSE)-VLOOKUP($A268,'01-02.2022'!$A$6:$DA$376,79,FALSE)</f>
        <v>6495.6953612285943</v>
      </c>
      <c r="CB268" s="70">
        <f t="shared" si="343"/>
        <v>-4519.8803255164403</v>
      </c>
      <c r="CC268" s="566">
        <f>VLOOKUP($A268,'01-02.2021'!$A$6:$CZ$403,81,FALSE)+VLOOKUP($A268,'1.3.21-28.2.22'!$A$6:$DA$404,81,FALSE)-VLOOKUP($A268,'01-02.2022'!$A$6:$DA$376,81,FALSE)</f>
        <v>1911.1866095482137</v>
      </c>
      <c r="CD268" s="566">
        <f>VLOOKUP($A268,'01-02.2021'!$A$6:$CZ$403,82,FALSE)+VLOOKUP($A268,'1.3.21-28.2.22'!$A$6:$DA$404,82,FALSE)-VLOOKUP($A268,'01-02.2022'!$A$6:$DA$376,82,FALSE)</f>
        <v>2088.9136232965675</v>
      </c>
      <c r="CE268" s="70">
        <f t="shared" si="344"/>
        <v>177.72701374835378</v>
      </c>
      <c r="CF268" s="566">
        <f>VLOOKUP($A268,'01-02.2021'!$A$6:$CZ$403,84,FALSE)+VLOOKUP($A268,'1.3.21-28.2.22'!$A$6:$DA$404,84,FALSE)-VLOOKUP($A268,'01-02.2022'!$A$6:$DA$376,84,FALSE)</f>
        <v>232.34410104651306</v>
      </c>
      <c r="CG268" s="566">
        <f>VLOOKUP($A268,'01-02.2021'!$A$6:$CZ$403,85,FALSE)+VLOOKUP($A268,'1.3.21-28.2.22'!$A$6:$DA$404,85,FALSE)-VLOOKUP($A268,'01-02.2022'!$A$6:$DA$376,85,FALSE)</f>
        <v>0</v>
      </c>
      <c r="CH268" s="70">
        <f t="shared" si="345"/>
        <v>-232.34410104651306</v>
      </c>
      <c r="CI268" s="566">
        <f>VLOOKUP($A268,'01-02.2021'!$A$6:$CZ$403,87,FALSE)+VLOOKUP($A268,'1.3.21-28.2.22'!$A$6:$DA$404,87,FALSE)-VLOOKUP($A268,'01-02.2022'!$A$6:$DA$376,87,FALSE)</f>
        <v>7147.4081048784519</v>
      </c>
      <c r="CJ268" s="566">
        <f>VLOOKUP($A268,'01-02.2021'!$A$6:$CZ$403,88,FALSE)+VLOOKUP($A268,'1.3.21-28.2.22'!$A$6:$DA$404,88,FALSE)-VLOOKUP($A268,'01-02.2022'!$A$6:$DA$376,88,FALSE)</f>
        <v>6866.0914569267452</v>
      </c>
      <c r="CK268" s="70">
        <f t="shared" si="346"/>
        <v>-281.31664795170673</v>
      </c>
      <c r="CL268" s="566">
        <f>VLOOKUP($A268,'01-02.2021'!$A$6:$CZ$403,90,FALSE)+VLOOKUP($A268,'1.3.21-28.2.22'!$A$6:$DA$404,90,FALSE)-VLOOKUP($A268,'01-02.2022'!$A$6:$DA$376,90,FALSE)</f>
        <v>0</v>
      </c>
      <c r="CM268" s="566">
        <f>VLOOKUP($A268,'01-02.2021'!$A$6:$CZ$403,91,FALSE)+VLOOKUP($A268,'1.3.21-28.2.22'!$A$6:$DA$404,91,FALSE)-VLOOKUP($A268,'01-02.2022'!$A$6:$DA$376,91,FALSE)</f>
        <v>0</v>
      </c>
      <c r="CN268" s="52">
        <f t="shared" si="303"/>
        <v>0</v>
      </c>
      <c r="CO268" s="39">
        <f t="shared" si="298"/>
        <v>7147.4081048784519</v>
      </c>
      <c r="CP268" s="40">
        <f t="shared" si="304"/>
        <v>6866.0914569267452</v>
      </c>
      <c r="CQ268" s="52">
        <f t="shared" si="305"/>
        <v>-281.31664795170673</v>
      </c>
      <c r="CR268" s="72">
        <f t="shared" si="299"/>
        <v>168953.42303681548</v>
      </c>
      <c r="CS268" s="5">
        <f t="shared" si="299"/>
        <v>124631.25378255875</v>
      </c>
      <c r="CT268" s="52">
        <f t="shared" si="306"/>
        <v>-44322.169254256733</v>
      </c>
      <c r="CU268" s="77">
        <f t="shared" si="307"/>
        <v>202744.10764417858</v>
      </c>
      <c r="CV268" s="65">
        <f t="shared" si="308"/>
        <v>149557.50453907051</v>
      </c>
      <c r="CW268" s="35">
        <f t="shared" si="309"/>
        <v>-53186.603105108079</v>
      </c>
      <c r="CX268" s="566">
        <f>VLOOKUP($A268,'01-02.2021'!$A$6:$CZ$403,102,FALSE)+VLOOKUP($A268,'1.3.21-28.2.22'!$A$6:$DA$404,102,FALSE)-VLOOKUP($A268,'01-02.2022'!$A$6:$DA$376,102,FALSE)</f>
        <v>10330.740645195274</v>
      </c>
      <c r="CY268" s="566">
        <f>VLOOKUP($A268,'01-02.2021'!$A$6:$CZ$403,103,FALSE)+VLOOKUP($A268,'1.3.21-28.2.22'!$A$6:$DA$404,103,FALSE)-VLOOKUP($A268,'01-02.2022'!$A$6:$DA$376,103,FALSE)</f>
        <v>63517.3437503034</v>
      </c>
      <c r="CZ268" s="52">
        <f t="shared" si="310"/>
        <v>53186.603105108123</v>
      </c>
      <c r="DA268" s="150">
        <f>'[2]побудинковий звіт'!DA268</f>
        <v>35626.233463665245</v>
      </c>
      <c r="DB268" s="2">
        <v>2</v>
      </c>
      <c r="DC268" s="414">
        <f>'[4]побудинковий звіт'!DC268</f>
        <v>49641.63</v>
      </c>
      <c r="DD268" s="414">
        <f>'[4]побудинковий звіт'!DD268</f>
        <v>0</v>
      </c>
      <c r="DE268" s="557">
        <f>'[4]побудинковий звіт'!DE268</f>
        <v>30475.618208645861</v>
      </c>
      <c r="DF268" s="557">
        <f>'[4]побудинковий звіт'!DF268</f>
        <v>0</v>
      </c>
      <c r="DG268" s="321">
        <f>VLOOKUP(A268,'кошти 01.03.2021'!$A$6:$D$401,4,)</f>
        <v>94342.169770781009</v>
      </c>
      <c r="DH268" s="40">
        <f>'[3]побудинковий звіт'!DJ268</f>
        <v>219727.29382991957</v>
      </c>
      <c r="DI268" s="422">
        <f>'[3]побудинковий звіт'!CU268+'[3]побудинковий звіт'!CX268</f>
        <v>19166.011791354133</v>
      </c>
      <c r="DJ268" s="306">
        <f>'[3]побудинковий звіт'!DM268</f>
        <v>5.3773670925745289</v>
      </c>
      <c r="DK268" s="306">
        <f t="shared" si="316"/>
        <v>5.3773670925745289</v>
      </c>
      <c r="DL268" s="306">
        <f>'[3]побудинковий звіт'!DO268</f>
        <v>4.8367878208860198</v>
      </c>
      <c r="DM268" s="28">
        <f t="shared" si="317"/>
        <v>19166.011791354136</v>
      </c>
      <c r="DN268" s="28">
        <f t="shared" si="318"/>
        <v>0</v>
      </c>
      <c r="DO268" s="423">
        <f t="shared" si="319"/>
        <v>19166.011791354136</v>
      </c>
      <c r="DP268" s="94">
        <f t="shared" si="320"/>
        <v>0</v>
      </c>
      <c r="DQ268" s="28">
        <f t="shared" si="321"/>
        <v>19166.011791354136</v>
      </c>
      <c r="DR268" s="318"/>
      <c r="DT268" s="8"/>
      <c r="DU268" s="5"/>
      <c r="DX268" s="5">
        <f t="shared" si="322"/>
        <v>70958.446264494705</v>
      </c>
      <c r="DY268" s="5">
        <f t="shared" si="323"/>
        <v>19342.932000000001</v>
      </c>
      <c r="DZ268" s="159">
        <f>'[3]побудинковий звіт'!EA268</f>
        <v>6122.2423300787441</v>
      </c>
    </row>
    <row r="269" spans="1:130" x14ac:dyDescent="0.3">
      <c r="A269" s="325">
        <v>150000725</v>
      </c>
      <c r="B269" s="41" t="s">
        <v>715</v>
      </c>
      <c r="C269" s="42" t="s">
        <v>278</v>
      </c>
      <c r="D269" s="42"/>
      <c r="E269" s="293">
        <f t="shared" si="296"/>
        <v>3571.96</v>
      </c>
      <c r="F269" s="305">
        <f>'[3]побудинковий звіт'!F269</f>
        <v>3571.96</v>
      </c>
      <c r="G269" s="508">
        <f>'[3]побудинковий звіт'!G269</f>
        <v>0</v>
      </c>
      <c r="H269" s="560">
        <f>'[3]побудинковий звіт'!H269</f>
        <v>0</v>
      </c>
      <c r="I269" s="566">
        <f>VLOOKUP($A269,'01-02.2021'!$A$6:$CZ$403,9,FALSE)+VLOOKUP($A269,'1.3.21-28.2.22'!$A$6:$DA$404,9,FALSE)-VLOOKUP($A269,'01-02.2022'!$A$6:$DA$376,9,FALSE)</f>
        <v>11549.284309063638</v>
      </c>
      <c r="J269" s="566">
        <f>VLOOKUP($A269,'01-02.2021'!$A$6:$CZ$403,10,FALSE)+VLOOKUP($A269,'1.3.21-28.2.22'!$A$6:$DA$404,10,FALSE)-VLOOKUP($A269,'01-02.2022'!$A$6:$DA$376,10,FALSE)</f>
        <v>12719.939509732882</v>
      </c>
      <c r="K269" s="52">
        <f t="shared" si="300"/>
        <v>1170.6552006692436</v>
      </c>
      <c r="L269" s="566">
        <f>VLOOKUP($A269,'01-02.2021'!$A$6:$CZ$403,12,FALSE)+VLOOKUP($A269,'1.3.21-28.2.22'!$A$6:$DA$404,12,FALSE)-VLOOKUP($A269,'01-02.2022'!$A$6:$DA$376,12,FALSE)</f>
        <v>2012.2670577015929</v>
      </c>
      <c r="M269" s="566">
        <f>VLOOKUP($A269,'01-02.2021'!$A$6:$CZ$403,13,FALSE)+VLOOKUP($A269,'1.3.21-28.2.22'!$A$6:$DA$404,13,FALSE)-VLOOKUP($A269,'01-02.2022'!$A$6:$DA$376,13,FALSE)</f>
        <v>2215.581219274819</v>
      </c>
      <c r="N269" s="52">
        <f t="shared" si="301"/>
        <v>203.3141615732261</v>
      </c>
      <c r="O269" s="566">
        <f>VLOOKUP($A269,'01-02.2021'!$A$6:$CZ$403,15,FALSE)+VLOOKUP($A269,'1.3.21-28.2.22'!$A$6:$DA$404,15,FALSE)-VLOOKUP($A269,'01-02.2022'!$A$6:$DA$376,15,FALSE)</f>
        <v>4463.3509999155503</v>
      </c>
      <c r="P269" s="566">
        <f>VLOOKUP($A269,'01-02.2021'!$A$6:$CZ$403,16,FALSE)+VLOOKUP($A269,'1.3.21-28.2.22'!$A$6:$DA$404,16,FALSE)-VLOOKUP($A269,'01-02.2022'!$A$6:$DA$376,16,FALSE)</f>
        <v>4463.3700000000008</v>
      </c>
      <c r="Q269" s="70">
        <f t="shared" si="324"/>
        <v>1.9000084450453869E-2</v>
      </c>
      <c r="R269" s="566">
        <f>VLOOKUP($A269,'01-02.2021'!$A$6:$CZ$403,18,FALSE)+VLOOKUP($A269,'1.3.21-28.2.22'!$A$6:$DA$404,18,FALSE)-VLOOKUP($A269,'01-02.2022'!$A$6:$DA$376,18,FALSE)</f>
        <v>0</v>
      </c>
      <c r="S269" s="566">
        <f>VLOOKUP($A269,'01-02.2021'!$A$6:$CZ$403,19,FALSE)+VLOOKUP($A269,'1.3.21-28.2.22'!$A$6:$DA$404,19,FALSE)-VLOOKUP($A269,'01-02.2022'!$A$6:$DA$376,19,FALSE)</f>
        <v>0</v>
      </c>
      <c r="T269" s="70">
        <f t="shared" si="325"/>
        <v>0</v>
      </c>
      <c r="U269" s="566">
        <f>VLOOKUP($A269,'01-02.2021'!$A$6:$CZ$403,21,FALSE)+VLOOKUP($A269,'1.3.21-28.2.22'!$A$6:$DA$404,21,FALSE)-VLOOKUP($A269,'01-02.2022'!$A$6:$DA$376,21,FALSE)</f>
        <v>0</v>
      </c>
      <c r="V269" s="566">
        <f>VLOOKUP($A269,'01-02.2021'!$A$6:$CZ$403,22,FALSE)+VLOOKUP($A269,'1.3.21-28.2.22'!$A$6:$DA$404,22,FALSE)-VLOOKUP($A269,'01-02.2022'!$A$6:$DA$376,22,FALSE)</f>
        <v>0</v>
      </c>
      <c r="W269" s="70">
        <f t="shared" si="326"/>
        <v>0</v>
      </c>
      <c r="X269" s="566">
        <f>VLOOKUP($A269,'01-02.2021'!$A$6:$CZ$403,24,FALSE)+VLOOKUP($A269,'1.3.21-28.2.22'!$A$6:$DA$404,24,FALSE)-VLOOKUP($A269,'01-02.2022'!$A$6:$DA$376,24,FALSE)</f>
        <v>6621.4167825396999</v>
      </c>
      <c r="Y269" s="566">
        <f>VLOOKUP($A269,'01-02.2021'!$A$6:$CZ$403,25,FALSE)+VLOOKUP($A269,'1.3.21-28.2.22'!$A$6:$DA$404,25,FALSE)-VLOOKUP($A269,'01-02.2022'!$A$6:$DA$376,25,FALSE)</f>
        <v>5954.2004309871509</v>
      </c>
      <c r="Z269" s="70">
        <f t="shared" si="327"/>
        <v>-667.21635155254899</v>
      </c>
      <c r="AA269" s="566">
        <f>VLOOKUP($A269,'01-02.2021'!$A$6:$CZ$403,27,FALSE)+VLOOKUP($A269,'1.3.21-28.2.22'!$A$6:$DA$404,27,FALSE)-VLOOKUP($A269,'01-02.2022'!$A$6:$DA$376,27,FALSE)</f>
        <v>714.43200000000002</v>
      </c>
      <c r="AB269" s="566">
        <f>VLOOKUP($A269,'01-02.2021'!$A$6:$CZ$403,28,FALSE)+VLOOKUP($A269,'1.3.21-28.2.22'!$A$6:$DA$404,28,FALSE)-VLOOKUP($A269,'01-02.2022'!$A$6:$DA$376,28,FALSE)</f>
        <v>0</v>
      </c>
      <c r="AC269" s="70">
        <f t="shared" si="328"/>
        <v>-714.43200000000002</v>
      </c>
      <c r="AD269" s="566">
        <f>VLOOKUP($A269,'01-02.2021'!$A$6:$CZ$403,30,FALSE)+VLOOKUP($A269,'1.3.21-28.2.22'!$A$6:$DA$404,30,FALSE)-VLOOKUP($A269,'01-02.2022'!$A$6:$DA$376,30,FALSE)</f>
        <v>15342.963078864501</v>
      </c>
      <c r="AE269" s="566">
        <f>VLOOKUP($A269,'01-02.2021'!$A$6:$CZ$403,31,FALSE)+VLOOKUP($A269,'1.3.21-28.2.22'!$A$6:$DA$404,31,FALSE)-VLOOKUP($A269,'01-02.2022'!$A$6:$DA$376,31,FALSE)</f>
        <v>16260.174034537777</v>
      </c>
      <c r="AF269" s="68">
        <f t="shared" si="329"/>
        <v>917.21095567327575</v>
      </c>
      <c r="AG269" s="77">
        <f t="shared" si="297"/>
        <v>40703.71422808498</v>
      </c>
      <c r="AH269" s="53">
        <f t="shared" si="297"/>
        <v>41613.265194532636</v>
      </c>
      <c r="AI269" s="52">
        <f t="shared" si="302"/>
        <v>909.55096644765581</v>
      </c>
      <c r="AJ269" s="566">
        <f>VLOOKUP($A269,'01-02.2021'!$A$6:$CZ$403,36,FALSE)+VLOOKUP($A269,'1.3.21-28.2.22'!$A$6:$DA$404,36,FALSE)-VLOOKUP($A269,'01-02.2022'!$A$6:$DA$376,36,FALSE)</f>
        <v>0</v>
      </c>
      <c r="AK269" s="566">
        <f>VLOOKUP($A269,'01-02.2021'!$A$6:$CZ$403,37,FALSE)+VLOOKUP($A269,'1.3.21-28.2.22'!$A$6:$DA$404,37,FALSE)-VLOOKUP($A269,'01-02.2022'!$A$6:$DA$376,37,FALSE)</f>
        <v>0</v>
      </c>
      <c r="AL269" s="70">
        <f t="shared" si="330"/>
        <v>0</v>
      </c>
      <c r="AM269" s="566">
        <f>VLOOKUP($A269,'01-02.2021'!$A$6:$CZ$403,39,FALSE)+VLOOKUP($A269,'1.3.21-28.2.22'!$A$6:$DA$404,39,FALSE)-VLOOKUP($A269,'01-02.2022'!$A$6:$DA$376,39,FALSE)</f>
        <v>0</v>
      </c>
      <c r="AN269" s="566">
        <f>VLOOKUP($A269,'01-02.2021'!$A$6:$CZ$403,40,FALSE)+VLOOKUP($A269,'1.3.21-28.2.22'!$A$6:$DA$404,40,FALSE)-VLOOKUP($A269,'01-02.2022'!$A$6:$DA$376,40,FALSE)</f>
        <v>0</v>
      </c>
      <c r="AO269" s="70">
        <f t="shared" si="331"/>
        <v>0</v>
      </c>
      <c r="AP269" s="566">
        <f>VLOOKUP($A269,'01-02.2021'!$A$6:$CZ$403,42,FALSE)+VLOOKUP($A269,'1.3.21-28.2.22'!$A$6:$DA$404,42,FALSE)-VLOOKUP($A269,'01-02.2022'!$A$6:$DA$376,42,FALSE)</f>
        <v>10411.198500255552</v>
      </c>
      <c r="AQ269" s="566">
        <f>VLOOKUP($A269,'01-02.2021'!$A$6:$CZ$403,43,FALSE)+VLOOKUP($A269,'1.3.21-28.2.22'!$A$6:$DA$404,43,FALSE)-VLOOKUP($A269,'01-02.2022'!$A$6:$DA$376,43,FALSE)</f>
        <v>4055.4788879178118</v>
      </c>
      <c r="AR269" s="70">
        <f t="shared" si="332"/>
        <v>-6355.7196123377398</v>
      </c>
      <c r="AS269" s="566">
        <f>VLOOKUP($A269,'01-02.2021'!$A$6:$CZ$403,45,FALSE)+VLOOKUP($A269,'1.3.21-28.2.22'!$A$6:$DA$404,45,FALSE)-VLOOKUP($A269,'01-02.2022'!$A$6:$DA$376,45,FALSE)</f>
        <v>50605.104944665727</v>
      </c>
      <c r="AT269" s="566">
        <f>VLOOKUP($A269,'01-02.2021'!$A$6:$CZ$403,46,FALSE)+VLOOKUP($A269,'1.3.21-28.2.22'!$A$6:$DA$404,46,FALSE)-VLOOKUP($A269,'01-02.2022'!$A$6:$DA$376,46,FALSE)</f>
        <v>90607.44</v>
      </c>
      <c r="AU269" s="78">
        <f t="shared" si="333"/>
        <v>40002.335055334275</v>
      </c>
      <c r="AV269" s="566">
        <f>VLOOKUP($A269,'01-02.2021'!$A$6:$CZ$403,48,FALSE)+VLOOKUP($A269,'1.3.21-28.2.22'!$A$6:$DA$404,48,FALSE)-VLOOKUP($A269,'01-02.2022'!$A$6:$DA$376,48,FALSE)</f>
        <v>3036.7330638135973</v>
      </c>
      <c r="AW269" s="566">
        <f>VLOOKUP($A269,'01-02.2021'!$A$6:$CZ$403,49,FALSE)+VLOOKUP($A269,'1.3.21-28.2.22'!$A$6:$DA$404,49,FALSE)-VLOOKUP($A269,'01-02.2022'!$A$6:$DA$376,49,FALSE)</f>
        <v>3127.61</v>
      </c>
      <c r="AX269" s="55">
        <f t="shared" si="334"/>
        <v>90.876936186402872</v>
      </c>
      <c r="AY269" s="566">
        <f>VLOOKUP($A269,'01-02.2021'!$A$6:$CZ$403,51,FALSE)+VLOOKUP($A269,'1.3.21-28.2.22'!$A$6:$DA$404,51,FALSE)-VLOOKUP($A269,'01-02.2022'!$A$6:$DA$376,51,FALSE)</f>
        <v>3782.2927724642163</v>
      </c>
      <c r="AZ269" s="566">
        <f>VLOOKUP($A269,'01-02.2021'!$A$6:$CZ$403,52,FALSE)+VLOOKUP($A269,'1.3.21-28.2.22'!$A$6:$DA$404,52,FALSE)-VLOOKUP($A269,'01-02.2022'!$A$6:$DA$376,52,FALSE)</f>
        <v>33</v>
      </c>
      <c r="BA269" s="38">
        <f t="shared" si="335"/>
        <v>-3749.2927724642163</v>
      </c>
      <c r="BB269" s="566">
        <f>VLOOKUP($A269,'01-02.2021'!$A$6:$CZ$403,54,FALSE)+VLOOKUP($A269,'1.3.21-28.2.22'!$A$6:$DA$404,54,FALSE)-VLOOKUP($A269,'01-02.2022'!$A$6:$DA$376,54,FALSE)</f>
        <v>2268.8825761863923</v>
      </c>
      <c r="BC269" s="566">
        <f>VLOOKUP($A269,'01-02.2021'!$A$6:$CZ$403,55,FALSE)+VLOOKUP($A269,'1.3.21-28.2.22'!$A$6:$DA$404,55,FALSE)-VLOOKUP($A269,'01-02.2022'!$A$6:$DA$376,55,FALSE)</f>
        <v>0</v>
      </c>
      <c r="BD269" s="55">
        <f t="shared" si="336"/>
        <v>-2268.8825761863923</v>
      </c>
      <c r="BE269" s="566">
        <f>VLOOKUP($A269,'01-02.2021'!$A$6:$CZ$403,57,FALSE)+VLOOKUP($A269,'1.3.21-28.2.22'!$A$6:$DA$404,57,FALSE)-VLOOKUP($A269,'01-02.2022'!$A$6:$DA$376,57,FALSE)</f>
        <v>0</v>
      </c>
      <c r="BF269" s="566">
        <f>VLOOKUP($A269,'01-02.2021'!$A$6:$CZ$403,58,FALSE)+VLOOKUP($A269,'1.3.21-28.2.22'!$A$6:$DA$404,58,FALSE)-VLOOKUP($A269,'01-02.2022'!$A$6:$DA$376,58,FALSE)</f>
        <v>263</v>
      </c>
      <c r="BG269" s="55">
        <f t="shared" si="337"/>
        <v>263</v>
      </c>
      <c r="BH269" s="566">
        <f>VLOOKUP($A269,'01-02.2021'!$A$6:$CZ$403,60,FALSE)+VLOOKUP($A269,'1.3.21-28.2.22'!$A$6:$DA$404,60,FALSE)-VLOOKUP($A269,'01-02.2022'!$A$6:$DA$376,60,FALSE)</f>
        <v>0</v>
      </c>
      <c r="BI269" s="566">
        <f>VLOOKUP($A269,'01-02.2021'!$A$6:$CZ$403,61,FALSE)+VLOOKUP($A269,'1.3.21-28.2.22'!$A$6:$DA$404,61,FALSE)-VLOOKUP($A269,'01-02.2022'!$A$6:$DA$376,61,FALSE)</f>
        <v>0</v>
      </c>
      <c r="BJ269" s="55">
        <f t="shared" si="338"/>
        <v>0</v>
      </c>
      <c r="BK269" s="566">
        <f>VLOOKUP($A269,'01-02.2021'!$A$6:$CZ$403,63,FALSE)+VLOOKUP($A269,'1.3.21-28.2.22'!$A$6:$DA$404,63,FALSE)-VLOOKUP($A269,'01-02.2022'!$A$6:$DA$376,63,FALSE)</f>
        <v>2106.6504324342091</v>
      </c>
      <c r="BL269" s="566">
        <f>VLOOKUP($A269,'01-02.2021'!$A$6:$CZ$403,64,FALSE)+VLOOKUP($A269,'1.3.21-28.2.22'!$A$6:$DA$404,64,FALSE)-VLOOKUP($A269,'01-02.2022'!$A$6:$DA$376,64,FALSE)</f>
        <v>1294</v>
      </c>
      <c r="BM269" s="55">
        <f t="shared" si="339"/>
        <v>-812.65043243420905</v>
      </c>
      <c r="BN269" s="566">
        <f>VLOOKUP($A269,'01-02.2021'!$A$6:$CZ$403,66,FALSE)+VLOOKUP($A269,'1.3.21-28.2.22'!$A$6:$DA$404,66,FALSE)-VLOOKUP($A269,'01-02.2022'!$A$6:$DA$376,66,FALSE)</f>
        <v>178.608</v>
      </c>
      <c r="BO269" s="566">
        <f>VLOOKUP($A269,'01-02.2021'!$A$6:$CZ$403,67,FALSE)+VLOOKUP($A269,'1.3.21-28.2.22'!$A$6:$DA$404,67,FALSE)-VLOOKUP($A269,'01-02.2022'!$A$6:$DA$376,67,FALSE)</f>
        <v>0</v>
      </c>
      <c r="BP269" s="55">
        <f t="shared" si="340"/>
        <v>-178.608</v>
      </c>
      <c r="BQ269" s="77">
        <f t="shared" si="287"/>
        <v>11373.166844898415</v>
      </c>
      <c r="BR269" s="40">
        <f t="shared" si="315"/>
        <v>4717.6100000000006</v>
      </c>
      <c r="BS269" s="55">
        <f t="shared" si="314"/>
        <v>-6655.5568448984141</v>
      </c>
      <c r="BT269" s="566">
        <f>VLOOKUP($A269,'01-02.2021'!$A$6:$CZ$403,72,FALSE)+VLOOKUP($A269,'1.3.21-28.2.22'!$A$6:$DA$404,72,FALSE)-VLOOKUP($A269,'01-02.2022'!$A$6:$DA$376,72,FALSE)</f>
        <v>31071.031511142166</v>
      </c>
      <c r="BU269" s="566">
        <f>VLOOKUP($A269,'01-02.2021'!$A$6:$CZ$403,73,FALSE)+VLOOKUP($A269,'1.3.21-28.2.22'!$A$6:$DA$404,73,FALSE)-VLOOKUP($A269,'01-02.2022'!$A$6:$DA$376,73,FALSE)</f>
        <v>40339.888647422304</v>
      </c>
      <c r="BV269" s="70">
        <f t="shared" si="341"/>
        <v>9268.8571362801376</v>
      </c>
      <c r="BW269" s="566">
        <f>VLOOKUP($A269,'01-02.2021'!$A$6:$CZ$403,75,FALSE)+VLOOKUP($A269,'1.3.21-28.2.22'!$A$6:$DA$404,75,FALSE)-VLOOKUP($A269,'01-02.2022'!$A$6:$DA$376,75,FALSE)</f>
        <v>15886.808863832564</v>
      </c>
      <c r="BX269" s="566">
        <f>VLOOKUP($A269,'01-02.2021'!$A$6:$CZ$403,76,FALSE)+VLOOKUP($A269,'1.3.21-28.2.22'!$A$6:$DA$404,76,FALSE)-VLOOKUP($A269,'01-02.2022'!$A$6:$DA$376,76,FALSE)</f>
        <v>14421.678241096142</v>
      </c>
      <c r="BY269" s="70">
        <f t="shared" si="342"/>
        <v>-1465.1306227364221</v>
      </c>
      <c r="BZ269" s="566">
        <f>VLOOKUP($A269,'01-02.2021'!$A$6:$CZ$403,78,FALSE)+VLOOKUP($A269,'1.3.21-28.2.22'!$A$6:$DA$404,78,FALSE)-VLOOKUP($A269,'01-02.2022'!$A$6:$DA$376,78,FALSE)</f>
        <v>10337.9294250573</v>
      </c>
      <c r="CA269" s="566">
        <f>VLOOKUP($A269,'01-02.2021'!$A$6:$CZ$403,79,FALSE)+VLOOKUP($A269,'1.3.21-28.2.22'!$A$6:$DA$404,79,FALSE)-VLOOKUP($A269,'01-02.2022'!$A$6:$DA$376,79,FALSE)</f>
        <v>8071.2145706355504</v>
      </c>
      <c r="CB269" s="70">
        <f t="shared" si="343"/>
        <v>-2266.7148544217498</v>
      </c>
      <c r="CC269" s="566">
        <f>VLOOKUP($A269,'01-02.2021'!$A$6:$CZ$403,81,FALSE)+VLOOKUP($A269,'1.3.21-28.2.22'!$A$6:$DA$404,81,FALSE)-VLOOKUP($A269,'01-02.2022'!$A$6:$DA$376,81,FALSE)</f>
        <v>1905.3109659749798</v>
      </c>
      <c r="CD269" s="566">
        <f>VLOOKUP($A269,'01-02.2021'!$A$6:$CZ$403,82,FALSE)+VLOOKUP($A269,'1.3.21-28.2.22'!$A$6:$DA$404,82,FALSE)-VLOOKUP($A269,'01-02.2022'!$A$6:$DA$376,82,FALSE)</f>
        <v>2082.4915858856502</v>
      </c>
      <c r="CE269" s="70">
        <f t="shared" si="344"/>
        <v>177.18061991067043</v>
      </c>
      <c r="CF269" s="566">
        <f>VLOOKUP($A269,'01-02.2021'!$A$6:$CZ$403,84,FALSE)+VLOOKUP($A269,'1.3.21-28.2.22'!$A$6:$DA$404,84,FALSE)-VLOOKUP($A269,'01-02.2022'!$A$6:$DA$376,84,FALSE)</f>
        <v>231.62979553742647</v>
      </c>
      <c r="CG269" s="566">
        <f>VLOOKUP($A269,'01-02.2021'!$A$6:$CZ$403,85,FALSE)+VLOOKUP($A269,'1.3.21-28.2.22'!$A$6:$DA$404,85,FALSE)-VLOOKUP($A269,'01-02.2022'!$A$6:$DA$376,85,FALSE)</f>
        <v>0</v>
      </c>
      <c r="CH269" s="70">
        <f t="shared" si="345"/>
        <v>-231.62979553742647</v>
      </c>
      <c r="CI269" s="566">
        <f>VLOOKUP($A269,'01-02.2021'!$A$6:$CZ$403,87,FALSE)+VLOOKUP($A269,'1.3.21-28.2.22'!$A$6:$DA$404,87,FALSE)-VLOOKUP($A269,'01-02.2022'!$A$6:$DA$376,87,FALSE)</f>
        <v>7793.4297595780208</v>
      </c>
      <c r="CJ269" s="566">
        <f>VLOOKUP($A269,'01-02.2021'!$A$6:$CZ$403,88,FALSE)+VLOOKUP($A269,'1.3.21-28.2.22'!$A$6:$DA$404,88,FALSE)-VLOOKUP($A269,'01-02.2022'!$A$6:$DA$376,88,FALSE)</f>
        <v>7408.1902165962856</v>
      </c>
      <c r="CK269" s="70">
        <f t="shared" si="346"/>
        <v>-385.23954298173521</v>
      </c>
      <c r="CL269" s="566">
        <f>VLOOKUP($A269,'01-02.2021'!$A$6:$CZ$403,90,FALSE)+VLOOKUP($A269,'1.3.21-28.2.22'!$A$6:$DA$404,90,FALSE)-VLOOKUP($A269,'01-02.2022'!$A$6:$DA$376,90,FALSE)</f>
        <v>0</v>
      </c>
      <c r="CM269" s="566">
        <f>VLOOKUP($A269,'01-02.2021'!$A$6:$CZ$403,91,FALSE)+VLOOKUP($A269,'1.3.21-28.2.22'!$A$6:$DA$404,91,FALSE)-VLOOKUP($A269,'01-02.2022'!$A$6:$DA$376,91,FALSE)</f>
        <v>0</v>
      </c>
      <c r="CN269" s="52">
        <f t="shared" si="303"/>
        <v>0</v>
      </c>
      <c r="CO269" s="39">
        <f t="shared" si="298"/>
        <v>7793.4297595780208</v>
      </c>
      <c r="CP269" s="40">
        <f t="shared" si="304"/>
        <v>7408.1902165962856</v>
      </c>
      <c r="CQ269" s="52">
        <f t="shared" si="305"/>
        <v>-385.23954298173521</v>
      </c>
      <c r="CR269" s="72">
        <f t="shared" si="299"/>
        <v>180319.3248390271</v>
      </c>
      <c r="CS269" s="5">
        <f t="shared" si="299"/>
        <v>213317.25734408639</v>
      </c>
      <c r="CT269" s="52">
        <f t="shared" si="306"/>
        <v>32997.932505059289</v>
      </c>
      <c r="CU269" s="77">
        <f t="shared" si="307"/>
        <v>216383.18980683252</v>
      </c>
      <c r="CV269" s="65">
        <f t="shared" si="308"/>
        <v>255980.70881290367</v>
      </c>
      <c r="CW269" s="35">
        <f t="shared" si="309"/>
        <v>39597.519006071147</v>
      </c>
      <c r="CX269" s="566">
        <f>VLOOKUP($A269,'01-02.2021'!$A$6:$CZ$403,102,FALSE)+VLOOKUP($A269,'1.3.21-28.2.22'!$A$6:$DA$404,102,FALSE)-VLOOKUP($A269,'01-02.2022'!$A$6:$DA$376,102,FALSE)</f>
        <v>8556.3535002427852</v>
      </c>
      <c r="CY269" s="566">
        <f>VLOOKUP($A269,'01-02.2021'!$A$6:$CZ$403,103,FALSE)+VLOOKUP($A269,'1.3.21-28.2.22'!$A$6:$DA$404,103,FALSE)-VLOOKUP($A269,'01-02.2022'!$A$6:$DA$376,103,FALSE)</f>
        <v>-31041.165505828256</v>
      </c>
      <c r="CZ269" s="52">
        <f t="shared" si="310"/>
        <v>-39597.519006071045</v>
      </c>
      <c r="DA269" s="150">
        <f>'[2]побудинковий звіт'!DA269</f>
        <v>-4232.0809777860632</v>
      </c>
      <c r="DB269" s="2">
        <v>2</v>
      </c>
      <c r="DC269" s="414">
        <f>'[4]побудинковий звіт'!DC269</f>
        <v>59716.06</v>
      </c>
      <c r="DD269" s="414">
        <f>'[4]побудинковий звіт'!DD269</f>
        <v>0</v>
      </c>
      <c r="DE269" s="557">
        <f>'[4]побудинковий звіт'!DE269</f>
        <v>39505.939014677228</v>
      </c>
      <c r="DF269" s="557">
        <f>'[4]побудинковий звіт'!DF269</f>
        <v>0</v>
      </c>
      <c r="DG269" s="321">
        <f>VLOOKUP(A269,'кошти 01.03.2021'!$A$6:$D$401,4,)</f>
        <v>-41023.790271920137</v>
      </c>
      <c r="DH269" s="40">
        <f>'[3]побудинковий звіт'!DJ269</f>
        <v>231851.22608752601</v>
      </c>
      <c r="DI269" s="422">
        <f>'[3]побудинковий звіт'!CU269+'[3]побудинковий звіт'!CX269</f>
        <v>20210.12098532277</v>
      </c>
      <c r="DJ269" s="306">
        <f>'[3]побудинковий звіт'!DM269</f>
        <v>5.6579919666857323</v>
      </c>
      <c r="DK269" s="306">
        <f t="shared" si="316"/>
        <v>5.6579919666857323</v>
      </c>
      <c r="DL269" s="306">
        <f>'[3]побудинковий звіт'!DO269</f>
        <v>5.1170141560784481</v>
      </c>
      <c r="DM269" s="28">
        <f t="shared" si="317"/>
        <v>20210.12098532277</v>
      </c>
      <c r="DN269" s="28">
        <f t="shared" si="318"/>
        <v>0</v>
      </c>
      <c r="DO269" s="423">
        <f t="shared" si="319"/>
        <v>20210.12098532277</v>
      </c>
      <c r="DP269" s="94">
        <f t="shared" si="320"/>
        <v>0</v>
      </c>
      <c r="DQ269" s="28">
        <f t="shared" si="321"/>
        <v>20210.12098532277</v>
      </c>
      <c r="DR269" s="318"/>
      <c r="DT269" s="8"/>
      <c r="DU269" s="5"/>
      <c r="DX269" s="5">
        <f t="shared" si="322"/>
        <v>74373.926147476959</v>
      </c>
      <c r="DY269" s="5">
        <f t="shared" si="323"/>
        <v>114390.06</v>
      </c>
      <c r="DZ269" s="159">
        <f>'[3]побудинковий звіт'!EA269</f>
        <v>6623.6727626519851</v>
      </c>
    </row>
    <row r="270" spans="1:130" x14ac:dyDescent="0.3">
      <c r="A270" s="325">
        <v>150000710</v>
      </c>
      <c r="B270" s="41" t="s">
        <v>716</v>
      </c>
      <c r="C270" s="42" t="s">
        <v>279</v>
      </c>
      <c r="D270" s="42"/>
      <c r="E270" s="293">
        <f t="shared" si="296"/>
        <v>4572.3</v>
      </c>
      <c r="F270" s="305">
        <f>'[3]побудинковий звіт'!F270</f>
        <v>4471.5</v>
      </c>
      <c r="G270" s="508">
        <f>'[3]побудинковий звіт'!G270</f>
        <v>0</v>
      </c>
      <c r="H270" s="560">
        <f>'[3]побудинковий звіт'!H270</f>
        <v>100.8</v>
      </c>
      <c r="I270" s="566">
        <f>VLOOKUP($A270,'01-02.2021'!$A$6:$CZ$403,9,FALSE)+VLOOKUP($A270,'1.3.21-28.2.22'!$A$6:$DA$404,9,FALSE)-VLOOKUP($A270,'01-02.2022'!$A$6:$DA$376,9,FALSE)</f>
        <v>15717.59839661084</v>
      </c>
      <c r="J270" s="566">
        <f>VLOOKUP($A270,'01-02.2021'!$A$6:$CZ$403,10,FALSE)+VLOOKUP($A270,'1.3.21-28.2.22'!$A$6:$DA$404,10,FALSE)-VLOOKUP($A270,'01-02.2022'!$A$6:$DA$376,10,FALSE)</f>
        <v>15542.372195924398</v>
      </c>
      <c r="K270" s="52">
        <f t="shared" si="300"/>
        <v>-175.2262006864421</v>
      </c>
      <c r="L270" s="566">
        <f>VLOOKUP($A270,'01-02.2021'!$A$6:$CZ$403,12,FALSE)+VLOOKUP($A270,'1.3.21-28.2.22'!$A$6:$DA$404,12,FALSE)-VLOOKUP($A270,'01-02.2022'!$A$6:$DA$376,12,FALSE)</f>
        <v>3303.0174494456219</v>
      </c>
      <c r="M270" s="566">
        <f>VLOOKUP($A270,'01-02.2021'!$A$6:$CZ$403,13,FALSE)+VLOOKUP($A270,'1.3.21-28.2.22'!$A$6:$DA$404,13,FALSE)-VLOOKUP($A270,'01-02.2022'!$A$6:$DA$376,13,FALSE)</f>
        <v>4212.8094547456412</v>
      </c>
      <c r="N270" s="52">
        <f t="shared" si="301"/>
        <v>909.79200530001935</v>
      </c>
      <c r="O270" s="566">
        <f>VLOOKUP($A270,'01-02.2021'!$A$6:$CZ$403,15,FALSE)+VLOOKUP($A270,'1.3.21-28.2.22'!$A$6:$DA$404,15,FALSE)-VLOOKUP($A270,'01-02.2022'!$A$6:$DA$376,15,FALSE)</f>
        <v>6086.3937853192747</v>
      </c>
      <c r="P270" s="566">
        <f>VLOOKUP($A270,'01-02.2021'!$A$6:$CZ$403,16,FALSE)+VLOOKUP($A270,'1.3.21-28.2.22'!$A$6:$DA$404,16,FALSE)-VLOOKUP($A270,'01-02.2022'!$A$6:$DA$376,16,FALSE)</f>
        <v>6087.4150000000009</v>
      </c>
      <c r="Q270" s="70">
        <f t="shared" si="324"/>
        <v>1.0212146807261888</v>
      </c>
      <c r="R270" s="566">
        <f>VLOOKUP($A270,'01-02.2021'!$A$6:$CZ$403,18,FALSE)+VLOOKUP($A270,'1.3.21-28.2.22'!$A$6:$DA$404,18,FALSE)-VLOOKUP($A270,'01-02.2022'!$A$6:$DA$376,18,FALSE)</f>
        <v>0</v>
      </c>
      <c r="S270" s="566">
        <f>VLOOKUP($A270,'01-02.2021'!$A$6:$CZ$403,19,FALSE)+VLOOKUP($A270,'1.3.21-28.2.22'!$A$6:$DA$404,19,FALSE)-VLOOKUP($A270,'01-02.2022'!$A$6:$DA$376,19,FALSE)</f>
        <v>0</v>
      </c>
      <c r="T270" s="70">
        <f t="shared" si="325"/>
        <v>0</v>
      </c>
      <c r="U270" s="566">
        <f>VLOOKUP($A270,'01-02.2021'!$A$6:$CZ$403,21,FALSE)+VLOOKUP($A270,'1.3.21-28.2.22'!$A$6:$DA$404,21,FALSE)-VLOOKUP($A270,'01-02.2022'!$A$6:$DA$376,21,FALSE)</f>
        <v>0</v>
      </c>
      <c r="V270" s="566">
        <f>VLOOKUP($A270,'01-02.2021'!$A$6:$CZ$403,22,FALSE)+VLOOKUP($A270,'1.3.21-28.2.22'!$A$6:$DA$404,22,FALSE)-VLOOKUP($A270,'01-02.2022'!$A$6:$DA$376,22,FALSE)</f>
        <v>0</v>
      </c>
      <c r="W270" s="70">
        <f t="shared" si="326"/>
        <v>0</v>
      </c>
      <c r="X270" s="566">
        <f>VLOOKUP($A270,'01-02.2021'!$A$6:$CZ$403,24,FALSE)+VLOOKUP($A270,'1.3.21-28.2.22'!$A$6:$DA$404,24,FALSE)-VLOOKUP($A270,'01-02.2022'!$A$6:$DA$376,24,FALSE)</f>
        <v>11003.204300524703</v>
      </c>
      <c r="Y270" s="566">
        <f>VLOOKUP($A270,'01-02.2021'!$A$6:$CZ$403,25,FALSE)+VLOOKUP($A270,'1.3.21-28.2.22'!$A$6:$DA$404,25,FALSE)-VLOOKUP($A270,'01-02.2022'!$A$6:$DA$376,25,FALSE)</f>
        <v>9666.8161739780371</v>
      </c>
      <c r="Z270" s="70">
        <f t="shared" si="327"/>
        <v>-1336.3881265466662</v>
      </c>
      <c r="AA270" s="566">
        <f>VLOOKUP($A270,'01-02.2021'!$A$6:$CZ$403,27,FALSE)+VLOOKUP($A270,'1.3.21-28.2.22'!$A$6:$DA$404,27,FALSE)-VLOOKUP($A270,'01-02.2022'!$A$6:$DA$376,27,FALSE)</f>
        <v>911.06000000000017</v>
      </c>
      <c r="AB270" s="566">
        <f>VLOOKUP($A270,'01-02.2021'!$A$6:$CZ$403,28,FALSE)+VLOOKUP($A270,'1.3.21-28.2.22'!$A$6:$DA$404,28,FALSE)-VLOOKUP($A270,'01-02.2022'!$A$6:$DA$376,28,FALSE)</f>
        <v>0</v>
      </c>
      <c r="AC270" s="70">
        <f t="shared" si="328"/>
        <v>-911.06000000000017</v>
      </c>
      <c r="AD270" s="566">
        <f>VLOOKUP($A270,'01-02.2021'!$A$6:$CZ$403,30,FALSE)+VLOOKUP($A270,'1.3.21-28.2.22'!$A$6:$DA$404,30,FALSE)-VLOOKUP($A270,'01-02.2022'!$A$6:$DA$376,30,FALSE)</f>
        <v>19600.414717280015</v>
      </c>
      <c r="AE270" s="566">
        <f>VLOOKUP($A270,'01-02.2021'!$A$6:$CZ$403,31,FALSE)+VLOOKUP($A270,'1.3.21-28.2.22'!$A$6:$DA$404,31,FALSE)-VLOOKUP($A270,'01-02.2022'!$A$6:$DA$376,31,FALSE)</f>
        <v>20813.293828256301</v>
      </c>
      <c r="AF270" s="68">
        <f t="shared" si="329"/>
        <v>1212.879110976286</v>
      </c>
      <c r="AG270" s="77">
        <f t="shared" si="297"/>
        <v>56621.688649180454</v>
      </c>
      <c r="AH270" s="53">
        <f t="shared" si="297"/>
        <v>56322.70665290438</v>
      </c>
      <c r="AI270" s="52">
        <f t="shared" si="302"/>
        <v>-298.98199627607391</v>
      </c>
      <c r="AJ270" s="566">
        <f>VLOOKUP($A270,'01-02.2021'!$A$6:$CZ$403,36,FALSE)+VLOOKUP($A270,'1.3.21-28.2.22'!$A$6:$DA$404,36,FALSE)-VLOOKUP($A270,'01-02.2022'!$A$6:$DA$376,36,FALSE)</f>
        <v>0</v>
      </c>
      <c r="AK270" s="566">
        <f>VLOOKUP($A270,'01-02.2021'!$A$6:$CZ$403,37,FALSE)+VLOOKUP($A270,'1.3.21-28.2.22'!$A$6:$DA$404,37,FALSE)-VLOOKUP($A270,'01-02.2022'!$A$6:$DA$376,37,FALSE)</f>
        <v>0</v>
      </c>
      <c r="AL270" s="70">
        <f t="shared" si="330"/>
        <v>0</v>
      </c>
      <c r="AM270" s="566">
        <f>VLOOKUP($A270,'01-02.2021'!$A$6:$CZ$403,39,FALSE)+VLOOKUP($A270,'1.3.21-28.2.22'!$A$6:$DA$404,39,FALSE)-VLOOKUP($A270,'01-02.2022'!$A$6:$DA$376,39,FALSE)</f>
        <v>0</v>
      </c>
      <c r="AN270" s="566">
        <f>VLOOKUP($A270,'01-02.2021'!$A$6:$CZ$403,40,FALSE)+VLOOKUP($A270,'1.3.21-28.2.22'!$A$6:$DA$404,40,FALSE)-VLOOKUP($A270,'01-02.2022'!$A$6:$DA$376,40,FALSE)</f>
        <v>0</v>
      </c>
      <c r="AO270" s="70">
        <f t="shared" si="331"/>
        <v>0</v>
      </c>
      <c r="AP270" s="566">
        <f>VLOOKUP($A270,'01-02.2021'!$A$6:$CZ$403,42,FALSE)+VLOOKUP($A270,'1.3.21-28.2.22'!$A$6:$DA$404,42,FALSE)-VLOOKUP($A270,'01-02.2022'!$A$6:$DA$376,42,FALSE)</f>
        <v>12753.718162813047</v>
      </c>
      <c r="AQ270" s="566">
        <f>VLOOKUP($A270,'01-02.2021'!$A$6:$CZ$403,43,FALSE)+VLOOKUP($A270,'1.3.21-28.2.22'!$A$6:$DA$404,43,FALSE)-VLOOKUP($A270,'01-02.2022'!$A$6:$DA$376,43,FALSE)</f>
        <v>10994.730231132766</v>
      </c>
      <c r="AR270" s="70">
        <f t="shared" si="332"/>
        <v>-1758.9879316802817</v>
      </c>
      <c r="AS270" s="566">
        <f>VLOOKUP($A270,'01-02.2021'!$A$6:$CZ$403,45,FALSE)+VLOOKUP($A270,'1.3.21-28.2.22'!$A$6:$DA$404,45,FALSE)-VLOOKUP($A270,'01-02.2022'!$A$6:$DA$376,45,FALSE)</f>
        <v>44711.83618492043</v>
      </c>
      <c r="AT270" s="566">
        <f>VLOOKUP($A270,'01-02.2021'!$A$6:$CZ$403,46,FALSE)+VLOOKUP($A270,'1.3.21-28.2.22'!$A$6:$DA$404,46,FALSE)-VLOOKUP($A270,'01-02.2022'!$A$6:$DA$376,46,FALSE)</f>
        <v>13344.849999999999</v>
      </c>
      <c r="AU270" s="78">
        <f t="shared" si="333"/>
        <v>-31366.986184920432</v>
      </c>
      <c r="AV270" s="566">
        <f>VLOOKUP($A270,'01-02.2021'!$A$6:$CZ$403,48,FALSE)+VLOOKUP($A270,'1.3.21-28.2.22'!$A$6:$DA$404,48,FALSE)-VLOOKUP($A270,'01-02.2022'!$A$6:$DA$376,48,FALSE)</f>
        <v>4272.9928292138375</v>
      </c>
      <c r="AW270" s="566">
        <f>VLOOKUP($A270,'01-02.2021'!$A$6:$CZ$403,49,FALSE)+VLOOKUP($A270,'1.3.21-28.2.22'!$A$6:$DA$404,49,FALSE)-VLOOKUP($A270,'01-02.2022'!$A$6:$DA$376,49,FALSE)</f>
        <v>10869.68</v>
      </c>
      <c r="AX270" s="55">
        <f t="shared" si="334"/>
        <v>6596.6871707861628</v>
      </c>
      <c r="AY270" s="566">
        <f>VLOOKUP($A270,'01-02.2021'!$A$6:$CZ$403,51,FALSE)+VLOOKUP($A270,'1.3.21-28.2.22'!$A$6:$DA$404,51,FALSE)-VLOOKUP($A270,'01-02.2022'!$A$6:$DA$376,51,FALSE)</f>
        <v>6208.7816673070647</v>
      </c>
      <c r="AZ270" s="566">
        <f>VLOOKUP($A270,'01-02.2021'!$A$6:$CZ$403,52,FALSE)+VLOOKUP($A270,'1.3.21-28.2.22'!$A$6:$DA$404,52,FALSE)-VLOOKUP($A270,'01-02.2022'!$A$6:$DA$376,52,FALSE)</f>
        <v>21131</v>
      </c>
      <c r="BA270" s="38">
        <f t="shared" si="335"/>
        <v>14922.218332692935</v>
      </c>
      <c r="BB270" s="566">
        <f>VLOOKUP($A270,'01-02.2021'!$A$6:$CZ$403,54,FALSE)+VLOOKUP($A270,'1.3.21-28.2.22'!$A$6:$DA$404,54,FALSE)-VLOOKUP($A270,'01-02.2022'!$A$6:$DA$376,54,FALSE)</f>
        <v>2144.8641024724693</v>
      </c>
      <c r="BC270" s="566">
        <f>VLOOKUP($A270,'01-02.2021'!$A$6:$CZ$403,55,FALSE)+VLOOKUP($A270,'1.3.21-28.2.22'!$A$6:$DA$404,55,FALSE)-VLOOKUP($A270,'01-02.2022'!$A$6:$DA$376,55,FALSE)</f>
        <v>1225</v>
      </c>
      <c r="BD270" s="55">
        <f t="shared" si="336"/>
        <v>-919.86410247246931</v>
      </c>
      <c r="BE270" s="566">
        <f>VLOOKUP($A270,'01-02.2021'!$A$6:$CZ$403,57,FALSE)+VLOOKUP($A270,'1.3.21-28.2.22'!$A$6:$DA$404,57,FALSE)-VLOOKUP($A270,'01-02.2022'!$A$6:$DA$376,57,FALSE)</f>
        <v>0</v>
      </c>
      <c r="BF270" s="566">
        <f>VLOOKUP($A270,'01-02.2021'!$A$6:$CZ$403,58,FALSE)+VLOOKUP($A270,'1.3.21-28.2.22'!$A$6:$DA$404,58,FALSE)-VLOOKUP($A270,'01-02.2022'!$A$6:$DA$376,58,FALSE)</f>
        <v>0</v>
      </c>
      <c r="BG270" s="55">
        <f t="shared" si="337"/>
        <v>0</v>
      </c>
      <c r="BH270" s="566">
        <f>VLOOKUP($A270,'01-02.2021'!$A$6:$CZ$403,60,FALSE)+VLOOKUP($A270,'1.3.21-28.2.22'!$A$6:$DA$404,60,FALSE)-VLOOKUP($A270,'01-02.2022'!$A$6:$DA$376,60,FALSE)</f>
        <v>0</v>
      </c>
      <c r="BI270" s="566">
        <f>VLOOKUP($A270,'01-02.2021'!$A$6:$CZ$403,61,FALSE)+VLOOKUP($A270,'1.3.21-28.2.22'!$A$6:$DA$404,61,FALSE)-VLOOKUP($A270,'01-02.2022'!$A$6:$DA$376,61,FALSE)</f>
        <v>0</v>
      </c>
      <c r="BJ270" s="55">
        <f t="shared" si="338"/>
        <v>0</v>
      </c>
      <c r="BK270" s="566">
        <f>VLOOKUP($A270,'01-02.2021'!$A$6:$CZ$403,63,FALSE)+VLOOKUP($A270,'1.3.21-28.2.22'!$A$6:$DA$404,63,FALSE)-VLOOKUP($A270,'01-02.2022'!$A$6:$DA$376,63,FALSE)</f>
        <v>3997.2735661089155</v>
      </c>
      <c r="BL270" s="566">
        <f>VLOOKUP($A270,'01-02.2021'!$A$6:$CZ$403,64,FALSE)+VLOOKUP($A270,'1.3.21-28.2.22'!$A$6:$DA$404,64,FALSE)-VLOOKUP($A270,'01-02.2022'!$A$6:$DA$376,64,FALSE)</f>
        <v>0</v>
      </c>
      <c r="BM270" s="55">
        <f t="shared" si="339"/>
        <v>-3997.2735661089155</v>
      </c>
      <c r="BN270" s="566">
        <f>VLOOKUP($A270,'01-02.2021'!$A$6:$CZ$403,66,FALSE)+VLOOKUP($A270,'1.3.21-28.2.22'!$A$6:$DA$404,66,FALSE)-VLOOKUP($A270,'01-02.2022'!$A$6:$DA$376,66,FALSE)</f>
        <v>227.76500000000004</v>
      </c>
      <c r="BO270" s="566">
        <f>VLOOKUP($A270,'01-02.2021'!$A$6:$CZ$403,67,FALSE)+VLOOKUP($A270,'1.3.21-28.2.22'!$A$6:$DA$404,67,FALSE)-VLOOKUP($A270,'01-02.2022'!$A$6:$DA$376,67,FALSE)</f>
        <v>0</v>
      </c>
      <c r="BP270" s="55">
        <f t="shared" si="340"/>
        <v>-227.76500000000004</v>
      </c>
      <c r="BQ270" s="77">
        <f t="shared" si="287"/>
        <v>16851.677165102286</v>
      </c>
      <c r="BR270" s="40">
        <f t="shared" si="315"/>
        <v>33225.68</v>
      </c>
      <c r="BS270" s="55">
        <f t="shared" si="314"/>
        <v>16374.002834897714</v>
      </c>
      <c r="BT270" s="566">
        <f>VLOOKUP($A270,'01-02.2021'!$A$6:$CZ$403,72,FALSE)+VLOOKUP($A270,'1.3.21-28.2.22'!$A$6:$DA$404,72,FALSE)-VLOOKUP($A270,'01-02.2022'!$A$6:$DA$376,72,FALSE)</f>
        <v>40125.579422667462</v>
      </c>
      <c r="BU270" s="566">
        <f>VLOOKUP($A270,'01-02.2021'!$A$6:$CZ$403,73,FALSE)+VLOOKUP($A270,'1.3.21-28.2.22'!$A$6:$DA$404,73,FALSE)-VLOOKUP($A270,'01-02.2022'!$A$6:$DA$376,73,FALSE)</f>
        <v>50965.085229519776</v>
      </c>
      <c r="BV270" s="70">
        <f t="shared" si="341"/>
        <v>10839.505806852314</v>
      </c>
      <c r="BW270" s="566">
        <f>VLOOKUP($A270,'01-02.2021'!$A$6:$CZ$403,75,FALSE)+VLOOKUP($A270,'1.3.21-28.2.22'!$A$6:$DA$404,75,FALSE)-VLOOKUP($A270,'01-02.2022'!$A$6:$DA$376,75,FALSE)</f>
        <v>21442.833247133873</v>
      </c>
      <c r="BX270" s="566">
        <f>VLOOKUP($A270,'01-02.2021'!$A$6:$CZ$403,76,FALSE)+VLOOKUP($A270,'1.3.21-28.2.22'!$A$6:$DA$404,76,FALSE)-VLOOKUP($A270,'01-02.2022'!$A$6:$DA$376,76,FALSE)</f>
        <v>22192.45516241611</v>
      </c>
      <c r="BY270" s="70">
        <f t="shared" si="342"/>
        <v>749.62191528223775</v>
      </c>
      <c r="BZ270" s="566">
        <f>VLOOKUP($A270,'01-02.2021'!$A$6:$CZ$403,78,FALSE)+VLOOKUP($A270,'1.3.21-28.2.22'!$A$6:$DA$404,78,FALSE)-VLOOKUP($A270,'01-02.2022'!$A$6:$DA$376,78,FALSE)</f>
        <v>10540.635676817481</v>
      </c>
      <c r="CA270" s="566">
        <f>VLOOKUP($A270,'01-02.2021'!$A$6:$CZ$403,79,FALSE)+VLOOKUP($A270,'1.3.21-28.2.22'!$A$6:$DA$404,79,FALSE)-VLOOKUP($A270,'01-02.2022'!$A$6:$DA$376,79,FALSE)</f>
        <v>11241.811301291666</v>
      </c>
      <c r="CB270" s="70">
        <f t="shared" si="343"/>
        <v>701.17562447418459</v>
      </c>
      <c r="CC270" s="566">
        <f>VLOOKUP($A270,'01-02.2021'!$A$6:$CZ$403,81,FALSE)+VLOOKUP($A270,'1.3.21-28.2.22'!$A$6:$DA$404,81,FALSE)-VLOOKUP($A270,'01-02.2022'!$A$6:$DA$376,81,FALSE)</f>
        <v>534.14941574852264</v>
      </c>
      <c r="CD270" s="566">
        <f>VLOOKUP($A270,'01-02.2021'!$A$6:$CZ$403,82,FALSE)+VLOOKUP($A270,'1.3.21-28.2.22'!$A$6:$DA$404,82,FALSE)-VLOOKUP($A270,'01-02.2022'!$A$6:$DA$376,82,FALSE)</f>
        <v>583.82158281066722</v>
      </c>
      <c r="CE270" s="70">
        <f t="shared" si="344"/>
        <v>49.672167062144581</v>
      </c>
      <c r="CF270" s="566">
        <f>VLOOKUP($A270,'01-02.2021'!$A$6:$CZ$403,84,FALSE)+VLOOKUP($A270,'1.3.21-28.2.22'!$A$6:$DA$404,84,FALSE)-VLOOKUP($A270,'01-02.2022'!$A$6:$DA$376,84,FALSE)</f>
        <v>64.936864462412842</v>
      </c>
      <c r="CG270" s="566">
        <f>VLOOKUP($A270,'01-02.2021'!$A$6:$CZ$403,85,FALSE)+VLOOKUP($A270,'1.3.21-28.2.22'!$A$6:$DA$404,85,FALSE)-VLOOKUP($A270,'01-02.2022'!$A$6:$DA$376,85,FALSE)</f>
        <v>1113.8537479698421</v>
      </c>
      <c r="CH270" s="70">
        <f t="shared" si="345"/>
        <v>1048.9168835074292</v>
      </c>
      <c r="CI270" s="566">
        <f>VLOOKUP($A270,'01-02.2021'!$A$6:$CZ$403,87,FALSE)+VLOOKUP($A270,'1.3.21-28.2.22'!$A$6:$DA$404,87,FALSE)-VLOOKUP($A270,'01-02.2022'!$A$6:$DA$376,87,FALSE)</f>
        <v>6756.8519756337964</v>
      </c>
      <c r="CJ270" s="566">
        <f>VLOOKUP($A270,'01-02.2021'!$A$6:$CZ$403,88,FALSE)+VLOOKUP($A270,'1.3.21-28.2.22'!$A$6:$DA$404,88,FALSE)-VLOOKUP($A270,'01-02.2022'!$A$6:$DA$376,88,FALSE)</f>
        <v>4651.6016064102732</v>
      </c>
      <c r="CK270" s="70">
        <f t="shared" si="346"/>
        <v>-2105.2503692235232</v>
      </c>
      <c r="CL270" s="566">
        <f>VLOOKUP($A270,'01-02.2021'!$A$6:$CZ$403,90,FALSE)+VLOOKUP($A270,'1.3.21-28.2.22'!$A$6:$DA$404,90,FALSE)-VLOOKUP($A270,'01-02.2022'!$A$6:$DA$376,90,FALSE)</f>
        <v>0</v>
      </c>
      <c r="CM270" s="566">
        <f>VLOOKUP($A270,'01-02.2021'!$A$6:$CZ$403,91,FALSE)+VLOOKUP($A270,'1.3.21-28.2.22'!$A$6:$DA$404,91,FALSE)-VLOOKUP($A270,'01-02.2022'!$A$6:$DA$376,91,FALSE)</f>
        <v>0</v>
      </c>
      <c r="CN270" s="52">
        <f t="shared" si="303"/>
        <v>0</v>
      </c>
      <c r="CO270" s="39">
        <f t="shared" si="298"/>
        <v>6756.8519756337964</v>
      </c>
      <c r="CP270" s="40">
        <f t="shared" si="304"/>
        <v>4651.6016064102732</v>
      </c>
      <c r="CQ270" s="52">
        <f t="shared" si="305"/>
        <v>-2105.2503692235232</v>
      </c>
      <c r="CR270" s="72">
        <f t="shared" si="299"/>
        <v>210403.90676447976</v>
      </c>
      <c r="CS270" s="5">
        <f t="shared" si="299"/>
        <v>204636.59551445546</v>
      </c>
      <c r="CT270" s="52">
        <f t="shared" si="306"/>
        <v>-5767.3112500243005</v>
      </c>
      <c r="CU270" s="77">
        <f t="shared" si="307"/>
        <v>252484.68811737571</v>
      </c>
      <c r="CV270" s="65">
        <f t="shared" si="308"/>
        <v>245563.91461734654</v>
      </c>
      <c r="CW270" s="35">
        <f t="shared" si="309"/>
        <v>-6920.7735000291723</v>
      </c>
      <c r="CX270" s="566">
        <f>VLOOKUP($A270,'01-02.2021'!$A$6:$CZ$403,102,FALSE)+VLOOKUP($A270,'1.3.21-28.2.22'!$A$6:$DA$404,102,FALSE)-VLOOKUP($A270,'01-02.2022'!$A$6:$DA$376,102,FALSE)</f>
        <v>10924.105098822418</v>
      </c>
      <c r="CY270" s="566">
        <f>VLOOKUP($A270,'01-02.2021'!$A$6:$CZ$403,103,FALSE)+VLOOKUP($A270,'1.3.21-28.2.22'!$A$6:$DA$404,103,FALSE)-VLOOKUP($A270,'01-02.2022'!$A$6:$DA$376,103,FALSE)</f>
        <v>17844.878598851537</v>
      </c>
      <c r="CZ270" s="52">
        <f t="shared" si="310"/>
        <v>6920.7735000291195</v>
      </c>
      <c r="DA270" s="150">
        <f>'[2]побудинковий звіт'!DA270</f>
        <v>-14404.576553496025</v>
      </c>
      <c r="DB270" s="2">
        <v>3</v>
      </c>
      <c r="DC270" s="414">
        <f>'[4]побудинковий звіт'!DC270</f>
        <v>50294.54</v>
      </c>
      <c r="DD270" s="414">
        <f>'[4]побудинковий звіт'!DD270</f>
        <v>4196.54</v>
      </c>
      <c r="DE270" s="557">
        <f>'[4]побудинковий звіт'!DE270</f>
        <v>26846.226386736613</v>
      </c>
      <c r="DF270" s="557">
        <f>'[4]побудинковий звіт'!DF270</f>
        <v>3727.1748654650469</v>
      </c>
      <c r="DG270" s="321">
        <f>VLOOKUP(A270,'кошти 01.03.2021'!$A$6:$D$401,4,)</f>
        <v>2163.3169754022001</v>
      </c>
      <c r="DH270" s="40">
        <f>'[3]побудинковий звіт'!DJ270</f>
        <v>272710.89694175182</v>
      </c>
      <c r="DI270" s="422">
        <f>'[3]побудинковий звіт'!CU270+'[3]побудинковий звіт'!CX270</f>
        <v>23917.678747798345</v>
      </c>
      <c r="DJ270" s="306">
        <f>'[3]побудинковий звіт'!DM270</f>
        <v>5.2439480293555603</v>
      </c>
      <c r="DK270" s="306">
        <f t="shared" si="316"/>
        <v>5.2439480293555603</v>
      </c>
      <c r="DL270" s="306">
        <f>'[3]побудинковий звіт'!DO270</f>
        <v>4.6564001441959633</v>
      </c>
      <c r="DM270" s="28">
        <f t="shared" si="317"/>
        <v>23448.313613263388</v>
      </c>
      <c r="DN270" s="28">
        <f t="shared" si="318"/>
        <v>469.36513453495309</v>
      </c>
      <c r="DO270" s="423">
        <f t="shared" si="319"/>
        <v>23917.678747798342</v>
      </c>
      <c r="DP270" s="94">
        <f t="shared" si="320"/>
        <v>0</v>
      </c>
      <c r="DQ270" s="28">
        <f t="shared" si="321"/>
        <v>23917.678747798342</v>
      </c>
      <c r="DR270" s="318"/>
      <c r="DT270" s="8"/>
      <c r="DU270" s="5"/>
      <c r="DX270" s="5">
        <f t="shared" si="322"/>
        <v>73876.216020027263</v>
      </c>
      <c r="DY270" s="5">
        <f t="shared" si="323"/>
        <v>55884.635999999999</v>
      </c>
      <c r="DZ270" s="159">
        <f>'[3]побудинковий звіт'!EA270</f>
        <v>7181.7657330993443</v>
      </c>
    </row>
    <row r="271" spans="1:130" x14ac:dyDescent="0.3">
      <c r="A271" s="325">
        <v>150000711</v>
      </c>
      <c r="B271" s="41" t="s">
        <v>717</v>
      </c>
      <c r="C271" s="42" t="s">
        <v>280</v>
      </c>
      <c r="D271" s="42"/>
      <c r="E271" s="293">
        <f t="shared" si="296"/>
        <v>4577.8</v>
      </c>
      <c r="F271" s="305">
        <f>'[3]побудинковий звіт'!F271</f>
        <v>4538</v>
      </c>
      <c r="G271" s="508">
        <f>'[3]побудинковий звіт'!G271</f>
        <v>0</v>
      </c>
      <c r="H271" s="560">
        <f>'[3]побудинковий звіт'!H271</f>
        <v>39.799999999999997</v>
      </c>
      <c r="I271" s="566">
        <f>VLOOKUP($A271,'01-02.2021'!$A$6:$CZ$403,9,FALSE)+VLOOKUP($A271,'1.3.21-28.2.22'!$A$6:$DA$404,9,FALSE)-VLOOKUP($A271,'01-02.2022'!$A$6:$DA$376,9,FALSE)</f>
        <v>15720.599522139277</v>
      </c>
      <c r="J271" s="566">
        <f>VLOOKUP($A271,'01-02.2021'!$A$6:$CZ$403,10,FALSE)+VLOOKUP($A271,'1.3.21-28.2.22'!$A$6:$DA$404,10,FALSE)-VLOOKUP($A271,'01-02.2022'!$A$6:$DA$376,10,FALSE)</f>
        <v>15446.543037478972</v>
      </c>
      <c r="K271" s="52">
        <f t="shared" si="300"/>
        <v>-274.0564846603047</v>
      </c>
      <c r="L271" s="566">
        <f>VLOOKUP($A271,'01-02.2021'!$A$6:$CZ$403,12,FALSE)+VLOOKUP($A271,'1.3.21-28.2.22'!$A$6:$DA$404,12,FALSE)-VLOOKUP($A271,'01-02.2022'!$A$6:$DA$376,12,FALSE)</f>
        <v>3303.579981878655</v>
      </c>
      <c r="M271" s="566">
        <f>VLOOKUP($A271,'01-02.2021'!$A$6:$CZ$403,13,FALSE)+VLOOKUP($A271,'1.3.21-28.2.22'!$A$6:$DA$404,13,FALSE)-VLOOKUP($A271,'01-02.2022'!$A$6:$DA$376,13,FALSE)</f>
        <v>3298.5442729547449</v>
      </c>
      <c r="N271" s="52">
        <f t="shared" si="301"/>
        <v>-5.0357089239100787</v>
      </c>
      <c r="O271" s="566">
        <f>VLOOKUP($A271,'01-02.2021'!$A$6:$CZ$403,15,FALSE)+VLOOKUP($A271,'1.3.21-28.2.22'!$A$6:$DA$404,15,FALSE)-VLOOKUP($A271,'01-02.2022'!$A$6:$DA$376,15,FALSE)</f>
        <v>6284.3135960343006</v>
      </c>
      <c r="P271" s="566">
        <f>VLOOKUP($A271,'01-02.2021'!$A$6:$CZ$403,16,FALSE)+VLOOKUP($A271,'1.3.21-28.2.22'!$A$6:$DA$404,16,FALSE)-VLOOKUP($A271,'01-02.2022'!$A$6:$DA$376,16,FALSE)</f>
        <v>6284.5216666666684</v>
      </c>
      <c r="Q271" s="70">
        <f t="shared" si="324"/>
        <v>0.20807063236770773</v>
      </c>
      <c r="R271" s="566">
        <f>VLOOKUP($A271,'01-02.2021'!$A$6:$CZ$403,18,FALSE)+VLOOKUP($A271,'1.3.21-28.2.22'!$A$6:$DA$404,18,FALSE)-VLOOKUP($A271,'01-02.2022'!$A$6:$DA$376,18,FALSE)</f>
        <v>0</v>
      </c>
      <c r="S271" s="566">
        <f>VLOOKUP($A271,'01-02.2021'!$A$6:$CZ$403,19,FALSE)+VLOOKUP($A271,'1.3.21-28.2.22'!$A$6:$DA$404,19,FALSE)-VLOOKUP($A271,'01-02.2022'!$A$6:$DA$376,19,FALSE)</f>
        <v>0</v>
      </c>
      <c r="T271" s="70">
        <f t="shared" si="325"/>
        <v>0</v>
      </c>
      <c r="U271" s="566">
        <f>VLOOKUP($A271,'01-02.2021'!$A$6:$CZ$403,21,FALSE)+VLOOKUP($A271,'1.3.21-28.2.22'!$A$6:$DA$404,21,FALSE)-VLOOKUP($A271,'01-02.2022'!$A$6:$DA$376,21,FALSE)</f>
        <v>1114.1131194327395</v>
      </c>
      <c r="V271" s="566">
        <f>VLOOKUP($A271,'01-02.2021'!$A$6:$CZ$403,22,FALSE)+VLOOKUP($A271,'1.3.21-28.2.22'!$A$6:$DA$404,22,FALSE)-VLOOKUP($A271,'01-02.2022'!$A$6:$DA$376,22,FALSE)</f>
        <v>946.8548966532129</v>
      </c>
      <c r="W271" s="70">
        <f t="shared" si="326"/>
        <v>-167.25822277952659</v>
      </c>
      <c r="X271" s="566">
        <f>VLOOKUP($A271,'01-02.2021'!$A$6:$CZ$403,24,FALSE)+VLOOKUP($A271,'1.3.21-28.2.22'!$A$6:$DA$404,24,FALSE)-VLOOKUP($A271,'01-02.2022'!$A$6:$DA$376,24,FALSE)</f>
        <v>11009.968066998257</v>
      </c>
      <c r="Y271" s="566">
        <f>VLOOKUP($A271,'01-02.2021'!$A$6:$CZ$403,25,FALSE)+VLOOKUP($A271,'1.3.21-28.2.22'!$A$6:$DA$404,25,FALSE)-VLOOKUP($A271,'01-02.2022'!$A$6:$DA$376,25,FALSE)</f>
        <v>9673.7111837155953</v>
      </c>
      <c r="Z271" s="70">
        <f t="shared" si="327"/>
        <v>-1336.2568832826619</v>
      </c>
      <c r="AA271" s="566">
        <f>VLOOKUP($A271,'01-02.2021'!$A$6:$CZ$403,27,FALSE)+VLOOKUP($A271,'1.3.21-28.2.22'!$A$6:$DA$404,27,FALSE)-VLOOKUP($A271,'01-02.2022'!$A$6:$DA$376,27,FALSE)</f>
        <v>915.44</v>
      </c>
      <c r="AB271" s="566">
        <f>VLOOKUP($A271,'01-02.2021'!$A$6:$CZ$403,28,FALSE)+VLOOKUP($A271,'1.3.21-28.2.22'!$A$6:$DA$404,28,FALSE)-VLOOKUP($A271,'01-02.2022'!$A$6:$DA$376,28,FALSE)</f>
        <v>430</v>
      </c>
      <c r="AC271" s="70">
        <f t="shared" si="328"/>
        <v>-485.44000000000005</v>
      </c>
      <c r="AD271" s="566">
        <f>VLOOKUP($A271,'01-02.2021'!$A$6:$CZ$403,30,FALSE)+VLOOKUP($A271,'1.3.21-28.2.22'!$A$6:$DA$404,30,FALSE)-VLOOKUP($A271,'01-02.2022'!$A$6:$DA$376,30,FALSE)</f>
        <v>19657.977178336721</v>
      </c>
      <c r="AE271" s="566">
        <f>VLOOKUP($A271,'01-02.2021'!$A$6:$CZ$403,31,FALSE)+VLOOKUP($A271,'1.3.21-28.2.22'!$A$6:$DA$404,31,FALSE)-VLOOKUP($A271,'01-02.2022'!$A$6:$DA$376,31,FALSE)</f>
        <v>20838.330049863682</v>
      </c>
      <c r="AF271" s="68">
        <f t="shared" si="329"/>
        <v>1180.3528715269604</v>
      </c>
      <c r="AG271" s="77">
        <f t="shared" si="297"/>
        <v>58005.991464819948</v>
      </c>
      <c r="AH271" s="53">
        <f t="shared" si="297"/>
        <v>56918.505107332872</v>
      </c>
      <c r="AI271" s="52">
        <f t="shared" si="302"/>
        <v>-1087.486357487076</v>
      </c>
      <c r="AJ271" s="566">
        <f>VLOOKUP($A271,'01-02.2021'!$A$6:$CZ$403,36,FALSE)+VLOOKUP($A271,'1.3.21-28.2.22'!$A$6:$DA$404,36,FALSE)-VLOOKUP($A271,'01-02.2022'!$A$6:$DA$376,36,FALSE)</f>
        <v>0</v>
      </c>
      <c r="AK271" s="566">
        <f>VLOOKUP($A271,'01-02.2021'!$A$6:$CZ$403,37,FALSE)+VLOOKUP($A271,'1.3.21-28.2.22'!$A$6:$DA$404,37,FALSE)-VLOOKUP($A271,'01-02.2022'!$A$6:$DA$376,37,FALSE)</f>
        <v>0</v>
      </c>
      <c r="AL271" s="70">
        <f t="shared" si="330"/>
        <v>0</v>
      </c>
      <c r="AM271" s="566">
        <f>VLOOKUP($A271,'01-02.2021'!$A$6:$CZ$403,39,FALSE)+VLOOKUP($A271,'1.3.21-28.2.22'!$A$6:$DA$404,39,FALSE)-VLOOKUP($A271,'01-02.2022'!$A$6:$DA$376,39,FALSE)</f>
        <v>0</v>
      </c>
      <c r="AN271" s="566">
        <f>VLOOKUP($A271,'01-02.2021'!$A$6:$CZ$403,40,FALSE)+VLOOKUP($A271,'1.3.21-28.2.22'!$A$6:$DA$404,40,FALSE)-VLOOKUP($A271,'01-02.2022'!$A$6:$DA$376,40,FALSE)</f>
        <v>0</v>
      </c>
      <c r="AO271" s="70">
        <f t="shared" si="331"/>
        <v>0</v>
      </c>
      <c r="AP271" s="566">
        <f>VLOOKUP($A271,'01-02.2021'!$A$6:$CZ$403,42,FALSE)+VLOOKUP($A271,'1.3.21-28.2.22'!$A$6:$DA$404,42,FALSE)-VLOOKUP($A271,'01-02.2022'!$A$6:$DA$376,42,FALSE)</f>
        <v>13013.998125319435</v>
      </c>
      <c r="AQ271" s="566">
        <f>VLOOKUP($A271,'01-02.2021'!$A$6:$CZ$403,43,FALSE)+VLOOKUP($A271,'1.3.21-28.2.22'!$A$6:$DA$404,43,FALSE)-VLOOKUP($A271,'01-02.2022'!$A$6:$DA$376,43,FALSE)</f>
        <v>11219.112480747719</v>
      </c>
      <c r="AR271" s="70">
        <f t="shared" si="332"/>
        <v>-1794.8856445717156</v>
      </c>
      <c r="AS271" s="566">
        <f>VLOOKUP($A271,'01-02.2021'!$A$6:$CZ$403,45,FALSE)+VLOOKUP($A271,'1.3.21-28.2.22'!$A$6:$DA$404,45,FALSE)-VLOOKUP($A271,'01-02.2022'!$A$6:$DA$376,45,FALSE)</f>
        <v>54469.010121624109</v>
      </c>
      <c r="AT271" s="566">
        <f>VLOOKUP($A271,'01-02.2021'!$A$6:$CZ$403,46,FALSE)+VLOOKUP($A271,'1.3.21-28.2.22'!$A$6:$DA$404,46,FALSE)-VLOOKUP($A271,'01-02.2022'!$A$6:$DA$376,46,FALSE)</f>
        <v>13780.099999999999</v>
      </c>
      <c r="AU271" s="78">
        <f t="shared" si="333"/>
        <v>-40688.910121624111</v>
      </c>
      <c r="AV271" s="566">
        <f>VLOOKUP($A271,'01-02.2021'!$A$6:$CZ$403,48,FALSE)+VLOOKUP($A271,'1.3.21-28.2.22'!$A$6:$DA$404,48,FALSE)-VLOOKUP($A271,'01-02.2022'!$A$6:$DA$376,48,FALSE)</f>
        <v>4274.1599130956447</v>
      </c>
      <c r="AW271" s="566">
        <f>VLOOKUP($A271,'01-02.2021'!$A$6:$CZ$403,49,FALSE)+VLOOKUP($A271,'1.3.21-28.2.22'!$A$6:$DA$404,49,FALSE)-VLOOKUP($A271,'01-02.2022'!$A$6:$DA$376,49,FALSE)</f>
        <v>1592.8200000000002</v>
      </c>
      <c r="AX271" s="55">
        <f t="shared" si="334"/>
        <v>-2681.3399130956445</v>
      </c>
      <c r="AY271" s="566">
        <f>VLOOKUP($A271,'01-02.2021'!$A$6:$CZ$403,51,FALSE)+VLOOKUP($A271,'1.3.21-28.2.22'!$A$6:$DA$404,51,FALSE)-VLOOKUP($A271,'01-02.2022'!$A$6:$DA$376,51,FALSE)</f>
        <v>6210.0053768823118</v>
      </c>
      <c r="AZ271" s="566">
        <f>VLOOKUP($A271,'01-02.2021'!$A$6:$CZ$403,52,FALSE)+VLOOKUP($A271,'1.3.21-28.2.22'!$A$6:$DA$404,52,FALSE)-VLOOKUP($A271,'01-02.2022'!$A$6:$DA$376,52,FALSE)</f>
        <v>3160.27</v>
      </c>
      <c r="BA271" s="38">
        <f t="shared" si="335"/>
        <v>-3049.7353768823118</v>
      </c>
      <c r="BB271" s="566">
        <f>VLOOKUP($A271,'01-02.2021'!$A$6:$CZ$403,54,FALSE)+VLOOKUP($A271,'1.3.21-28.2.22'!$A$6:$DA$404,54,FALSE)-VLOOKUP($A271,'01-02.2022'!$A$6:$DA$376,54,FALSE)</f>
        <v>2156.919443448845</v>
      </c>
      <c r="BC271" s="566">
        <f>VLOOKUP($A271,'01-02.2021'!$A$6:$CZ$403,55,FALSE)+VLOOKUP($A271,'1.3.21-28.2.22'!$A$6:$DA$404,55,FALSE)-VLOOKUP($A271,'01-02.2022'!$A$6:$DA$376,55,FALSE)</f>
        <v>7956</v>
      </c>
      <c r="BD271" s="55">
        <f t="shared" si="336"/>
        <v>5799.0805565511546</v>
      </c>
      <c r="BE271" s="566">
        <f>VLOOKUP($A271,'01-02.2021'!$A$6:$CZ$403,57,FALSE)+VLOOKUP($A271,'1.3.21-28.2.22'!$A$6:$DA$404,57,FALSE)-VLOOKUP($A271,'01-02.2022'!$A$6:$DA$376,57,FALSE)</f>
        <v>0</v>
      </c>
      <c r="BF271" s="566">
        <f>VLOOKUP($A271,'01-02.2021'!$A$6:$CZ$403,58,FALSE)+VLOOKUP($A271,'1.3.21-28.2.22'!$A$6:$DA$404,58,FALSE)-VLOOKUP($A271,'01-02.2022'!$A$6:$DA$376,58,FALSE)</f>
        <v>0</v>
      </c>
      <c r="BG271" s="55">
        <f t="shared" si="337"/>
        <v>0</v>
      </c>
      <c r="BH271" s="566">
        <f>VLOOKUP($A271,'01-02.2021'!$A$6:$CZ$403,60,FALSE)+VLOOKUP($A271,'1.3.21-28.2.22'!$A$6:$DA$404,60,FALSE)-VLOOKUP($A271,'01-02.2022'!$A$6:$DA$376,60,FALSE)</f>
        <v>2499.474500414512</v>
      </c>
      <c r="BI271" s="566">
        <f>VLOOKUP($A271,'01-02.2021'!$A$6:$CZ$403,61,FALSE)+VLOOKUP($A271,'1.3.21-28.2.22'!$A$6:$DA$404,61,FALSE)-VLOOKUP($A271,'01-02.2022'!$A$6:$DA$376,61,FALSE)</f>
        <v>0</v>
      </c>
      <c r="BJ271" s="55">
        <f t="shared" si="338"/>
        <v>-2499.474500414512</v>
      </c>
      <c r="BK271" s="566">
        <f>VLOOKUP($A271,'01-02.2021'!$A$6:$CZ$403,63,FALSE)+VLOOKUP($A271,'1.3.21-28.2.22'!$A$6:$DA$404,63,FALSE)-VLOOKUP($A271,'01-02.2022'!$A$6:$DA$376,63,FALSE)</f>
        <v>4000.6310010089837</v>
      </c>
      <c r="BL271" s="566">
        <f>VLOOKUP($A271,'01-02.2021'!$A$6:$CZ$403,64,FALSE)+VLOOKUP($A271,'1.3.21-28.2.22'!$A$6:$DA$404,64,FALSE)-VLOOKUP($A271,'01-02.2022'!$A$6:$DA$376,64,FALSE)</f>
        <v>967</v>
      </c>
      <c r="BM271" s="55">
        <f t="shared" si="339"/>
        <v>-3033.6310010089837</v>
      </c>
      <c r="BN271" s="566">
        <f>VLOOKUP($A271,'01-02.2021'!$A$6:$CZ$403,66,FALSE)+VLOOKUP($A271,'1.3.21-28.2.22'!$A$6:$DA$404,66,FALSE)-VLOOKUP($A271,'01-02.2022'!$A$6:$DA$376,66,FALSE)</f>
        <v>228.86</v>
      </c>
      <c r="BO271" s="566">
        <f>VLOOKUP($A271,'01-02.2021'!$A$6:$CZ$403,67,FALSE)+VLOOKUP($A271,'1.3.21-28.2.22'!$A$6:$DA$404,67,FALSE)-VLOOKUP($A271,'01-02.2022'!$A$6:$DA$376,67,FALSE)</f>
        <v>0</v>
      </c>
      <c r="BP271" s="55">
        <f t="shared" si="340"/>
        <v>-228.86</v>
      </c>
      <c r="BQ271" s="77">
        <f t="shared" si="287"/>
        <v>19370.0502348503</v>
      </c>
      <c r="BR271" s="40">
        <f t="shared" si="315"/>
        <v>13676.09</v>
      </c>
      <c r="BS271" s="55">
        <f t="shared" si="314"/>
        <v>-5693.9602348502995</v>
      </c>
      <c r="BT271" s="566">
        <f>VLOOKUP($A271,'01-02.2021'!$A$6:$CZ$403,72,FALSE)+VLOOKUP($A271,'1.3.21-28.2.22'!$A$6:$DA$404,72,FALSE)-VLOOKUP($A271,'01-02.2022'!$A$6:$DA$376,72,FALSE)</f>
        <v>39436.24891535411</v>
      </c>
      <c r="BU271" s="566">
        <f>VLOOKUP($A271,'01-02.2021'!$A$6:$CZ$403,73,FALSE)+VLOOKUP($A271,'1.3.21-28.2.22'!$A$6:$DA$404,73,FALSE)-VLOOKUP($A271,'01-02.2022'!$A$6:$DA$376,73,FALSE)</f>
        <v>49180.688881548915</v>
      </c>
      <c r="BV271" s="70">
        <f t="shared" si="341"/>
        <v>9744.4399661948046</v>
      </c>
      <c r="BW271" s="566">
        <f>VLOOKUP($A271,'01-02.2021'!$A$6:$CZ$403,75,FALSE)+VLOOKUP($A271,'1.3.21-28.2.22'!$A$6:$DA$404,75,FALSE)-VLOOKUP($A271,'01-02.2022'!$A$6:$DA$376,75,FALSE)</f>
        <v>21771.156642363552</v>
      </c>
      <c r="BX271" s="566">
        <f>VLOOKUP($A271,'01-02.2021'!$A$6:$CZ$403,76,FALSE)+VLOOKUP($A271,'1.3.21-28.2.22'!$A$6:$DA$404,76,FALSE)-VLOOKUP($A271,'01-02.2022'!$A$6:$DA$376,76,FALSE)</f>
        <v>22156.808472605786</v>
      </c>
      <c r="BY271" s="70">
        <f t="shared" si="342"/>
        <v>385.6518302422337</v>
      </c>
      <c r="BZ271" s="566">
        <f>VLOOKUP($A271,'01-02.2021'!$A$6:$CZ$403,78,FALSE)+VLOOKUP($A271,'1.3.21-28.2.22'!$A$6:$DA$404,78,FALSE)-VLOOKUP($A271,'01-02.2022'!$A$6:$DA$376,78,FALSE)</f>
        <v>10215.231571354616</v>
      </c>
      <c r="CA271" s="566">
        <f>VLOOKUP($A271,'01-02.2021'!$A$6:$CZ$403,79,FALSE)+VLOOKUP($A271,'1.3.21-28.2.22'!$A$6:$DA$404,79,FALSE)-VLOOKUP($A271,'01-02.2022'!$A$6:$DA$376,79,FALSE)</f>
        <v>10771.302287784818</v>
      </c>
      <c r="CB271" s="70">
        <f t="shared" si="343"/>
        <v>556.07071643020208</v>
      </c>
      <c r="CC271" s="566">
        <f>VLOOKUP($A271,'01-02.2021'!$A$6:$CZ$403,81,FALSE)+VLOOKUP($A271,'1.3.21-28.2.22'!$A$6:$DA$404,81,FALSE)-VLOOKUP($A271,'01-02.2022'!$A$6:$DA$376,81,FALSE)</f>
        <v>534.14941574852264</v>
      </c>
      <c r="CD271" s="566">
        <f>VLOOKUP($A271,'01-02.2021'!$A$6:$CZ$403,82,FALSE)+VLOOKUP($A271,'1.3.21-28.2.22'!$A$6:$DA$404,82,FALSE)-VLOOKUP($A271,'01-02.2022'!$A$6:$DA$376,82,FALSE)</f>
        <v>583.82158281066722</v>
      </c>
      <c r="CE271" s="70">
        <f t="shared" si="344"/>
        <v>49.672167062144581</v>
      </c>
      <c r="CF271" s="566">
        <f>VLOOKUP($A271,'01-02.2021'!$A$6:$CZ$403,84,FALSE)+VLOOKUP($A271,'1.3.21-28.2.22'!$A$6:$DA$404,84,FALSE)-VLOOKUP($A271,'01-02.2022'!$A$6:$DA$376,84,FALSE)</f>
        <v>64.936864462412842</v>
      </c>
      <c r="CG271" s="566">
        <f>VLOOKUP($A271,'01-02.2021'!$A$6:$CZ$403,85,FALSE)+VLOOKUP($A271,'1.3.21-28.2.22'!$A$6:$DA$404,85,FALSE)-VLOOKUP($A271,'01-02.2022'!$A$6:$DA$376,85,FALSE)</f>
        <v>0</v>
      </c>
      <c r="CH271" s="70">
        <f t="shared" si="345"/>
        <v>-64.936864462412842</v>
      </c>
      <c r="CI271" s="566">
        <f>VLOOKUP($A271,'01-02.2021'!$A$6:$CZ$403,87,FALSE)+VLOOKUP($A271,'1.3.21-28.2.22'!$A$6:$DA$404,87,FALSE)-VLOOKUP($A271,'01-02.2022'!$A$6:$DA$376,87,FALSE)</f>
        <v>5968.204018715347</v>
      </c>
      <c r="CJ271" s="566">
        <f>VLOOKUP($A271,'01-02.2021'!$A$6:$CZ$403,88,FALSE)+VLOOKUP($A271,'1.3.21-28.2.22'!$A$6:$DA$404,88,FALSE)-VLOOKUP($A271,'01-02.2022'!$A$6:$DA$376,88,FALSE)</f>
        <v>4247.618166741715</v>
      </c>
      <c r="CK271" s="70">
        <f t="shared" si="346"/>
        <v>-1720.5858519736321</v>
      </c>
      <c r="CL271" s="566">
        <f>VLOOKUP($A271,'01-02.2021'!$A$6:$CZ$403,90,FALSE)+VLOOKUP($A271,'1.3.21-28.2.22'!$A$6:$DA$404,90,FALSE)-VLOOKUP($A271,'01-02.2022'!$A$6:$DA$376,90,FALSE)</f>
        <v>0</v>
      </c>
      <c r="CM271" s="566">
        <f>VLOOKUP($A271,'01-02.2021'!$A$6:$CZ$403,91,FALSE)+VLOOKUP($A271,'1.3.21-28.2.22'!$A$6:$DA$404,91,FALSE)-VLOOKUP($A271,'01-02.2022'!$A$6:$DA$376,91,FALSE)</f>
        <v>0</v>
      </c>
      <c r="CN271" s="52">
        <f t="shared" si="303"/>
        <v>0</v>
      </c>
      <c r="CO271" s="39">
        <f t="shared" si="298"/>
        <v>5968.204018715347</v>
      </c>
      <c r="CP271" s="40">
        <f t="shared" si="304"/>
        <v>4247.618166741715</v>
      </c>
      <c r="CQ271" s="52">
        <f t="shared" si="305"/>
        <v>-1720.5858519736321</v>
      </c>
      <c r="CR271" s="72">
        <f t="shared" si="299"/>
        <v>222848.97737461235</v>
      </c>
      <c r="CS271" s="5">
        <f t="shared" si="299"/>
        <v>182534.04697957248</v>
      </c>
      <c r="CT271" s="52">
        <f t="shared" si="306"/>
        <v>-40314.930395039875</v>
      </c>
      <c r="CU271" s="77">
        <f t="shared" si="307"/>
        <v>267418.77284953481</v>
      </c>
      <c r="CV271" s="65">
        <f t="shared" si="308"/>
        <v>219040.85637548697</v>
      </c>
      <c r="CW271" s="35">
        <f t="shared" si="309"/>
        <v>-48377.916474047845</v>
      </c>
      <c r="CX271" s="566">
        <f>VLOOKUP($A271,'01-02.2021'!$A$6:$CZ$403,102,FALSE)+VLOOKUP($A271,'1.3.21-28.2.22'!$A$6:$DA$404,102,FALSE)-VLOOKUP($A271,'01-02.2022'!$A$6:$DA$376,102,FALSE)</f>
        <v>11923.858277024403</v>
      </c>
      <c r="CY271" s="566">
        <f>VLOOKUP($A271,'01-02.2021'!$A$6:$CZ$403,103,FALSE)+VLOOKUP($A271,'1.3.21-28.2.22'!$A$6:$DA$404,103,FALSE)-VLOOKUP($A271,'01-02.2022'!$A$6:$DA$376,103,FALSE)</f>
        <v>60301.774751072218</v>
      </c>
      <c r="CZ271" s="52">
        <f t="shared" si="310"/>
        <v>48377.916474047815</v>
      </c>
      <c r="DA271" s="150">
        <f>'[2]побудинковий звіт'!DA271</f>
        <v>18815.780435075503</v>
      </c>
      <c r="DB271" s="2">
        <v>3</v>
      </c>
      <c r="DC271" s="414">
        <f>'[4]побудинковий звіт'!DC271</f>
        <v>88890.89</v>
      </c>
      <c r="DD271" s="414">
        <f>'[4]побудинковий звіт'!DD271</f>
        <v>162.97</v>
      </c>
      <c r="DE271" s="557">
        <f>'[4]побудинковий звіт'!DE271</f>
        <v>63847.278090755601</v>
      </c>
      <c r="DF271" s="557">
        <f>'[4]побудинковий звіт'!DF271</f>
        <v>-33.613799542875569</v>
      </c>
      <c r="DG271" s="321">
        <f>VLOOKUP(A271,'кошти 01.03.2021'!$A$6:$D$401,4,)</f>
        <v>80327.533103987473</v>
      </c>
      <c r="DH271" s="40">
        <f>'[3]побудинковий звіт'!DJ271</f>
        <v>288609.59650236164</v>
      </c>
      <c r="DI271" s="422">
        <f>'[3]побудинковий звіт'!CU271+'[3]побудинковий звіт'!CX271</f>
        <v>25240.195708787272</v>
      </c>
      <c r="DJ271" s="306">
        <f>'[3]побудинковий звіт'!DM271</f>
        <v>5.5186451981587474</v>
      </c>
      <c r="DK271" s="306">
        <f t="shared" si="316"/>
        <v>5.5186451981587474</v>
      </c>
      <c r="DL271" s="306">
        <f>'[3]побудинковий звіт'!DO271</f>
        <v>4.9392914458008939</v>
      </c>
      <c r="DM271" s="28">
        <f t="shared" si="317"/>
        <v>25043.611909244395</v>
      </c>
      <c r="DN271" s="28">
        <f t="shared" si="318"/>
        <v>196.58379954287557</v>
      </c>
      <c r="DO271" s="423">
        <f t="shared" si="319"/>
        <v>25240.195708787272</v>
      </c>
      <c r="DP271" s="94">
        <f t="shared" si="320"/>
        <v>0</v>
      </c>
      <c r="DQ271" s="28">
        <f t="shared" si="321"/>
        <v>25240.195708787272</v>
      </c>
      <c r="DR271" s="318"/>
      <c r="DT271" s="8"/>
      <c r="DU271" s="5"/>
      <c r="DX271" s="5">
        <f t="shared" si="322"/>
        <v>88606.872427769282</v>
      </c>
      <c r="DY271" s="5">
        <f t="shared" si="323"/>
        <v>32947.428</v>
      </c>
      <c r="DZ271" s="159">
        <f>'[3]побудинковий звіт'!EA271</f>
        <v>8158.0209474165331</v>
      </c>
    </row>
    <row r="272" spans="1:130" x14ac:dyDescent="0.3">
      <c r="A272" s="325">
        <v>150000712</v>
      </c>
      <c r="B272" s="41" t="s">
        <v>718</v>
      </c>
      <c r="C272" s="42" t="s">
        <v>281</v>
      </c>
      <c r="D272" s="42"/>
      <c r="E272" s="293">
        <f t="shared" si="296"/>
        <v>3208.93</v>
      </c>
      <c r="F272" s="305">
        <f>'[3]побудинковий звіт'!F272</f>
        <v>3208.93</v>
      </c>
      <c r="G272" s="508">
        <f>'[3]побудинковий звіт'!G272</f>
        <v>0</v>
      </c>
      <c r="H272" s="560">
        <f>'[3]побудинковий звіт'!H272</f>
        <v>0</v>
      </c>
      <c r="I272" s="566">
        <f>VLOOKUP($A272,'01-02.2021'!$A$6:$CZ$403,9,FALSE)+VLOOKUP($A272,'1.3.21-28.2.22'!$A$6:$DA$404,9,FALSE)-VLOOKUP($A272,'01-02.2022'!$A$6:$DA$376,9,FALSE)</f>
        <v>10828.064693965023</v>
      </c>
      <c r="J272" s="566">
        <f>VLOOKUP($A272,'01-02.2021'!$A$6:$CZ$403,10,FALSE)+VLOOKUP($A272,'1.3.21-28.2.22'!$A$6:$DA$404,10,FALSE)-VLOOKUP($A272,'01-02.2022'!$A$6:$DA$376,10,FALSE)</f>
        <v>10671.681875599113</v>
      </c>
      <c r="K272" s="52">
        <f t="shared" si="300"/>
        <v>-156.38281836590977</v>
      </c>
      <c r="L272" s="566">
        <f>VLOOKUP($A272,'01-02.2021'!$A$6:$CZ$403,12,FALSE)+VLOOKUP($A272,'1.3.21-28.2.22'!$A$6:$DA$404,12,FALSE)-VLOOKUP($A272,'01-02.2022'!$A$6:$DA$376,12,FALSE)</f>
        <v>2218.0513364412768</v>
      </c>
      <c r="M272" s="566">
        <f>VLOOKUP($A272,'01-02.2021'!$A$6:$CZ$403,13,FALSE)+VLOOKUP($A272,'1.3.21-28.2.22'!$A$6:$DA$404,13,FALSE)-VLOOKUP($A272,'01-02.2022'!$A$6:$DA$376,13,FALSE)</f>
        <v>2214.6611670790953</v>
      </c>
      <c r="N272" s="52">
        <f t="shared" si="301"/>
        <v>-3.3901693621814957</v>
      </c>
      <c r="O272" s="566">
        <f>VLOOKUP($A272,'01-02.2021'!$A$6:$CZ$403,15,FALSE)+VLOOKUP($A272,'1.3.21-28.2.22'!$A$6:$DA$404,15,FALSE)-VLOOKUP($A272,'01-02.2022'!$A$6:$DA$376,15,FALSE)</f>
        <v>4369.532957831525</v>
      </c>
      <c r="P272" s="566">
        <f>VLOOKUP($A272,'01-02.2021'!$A$6:$CZ$403,16,FALSE)+VLOOKUP($A272,'1.3.21-28.2.22'!$A$6:$DA$404,16,FALSE)-VLOOKUP($A272,'01-02.2022'!$A$6:$DA$376,16,FALSE)</f>
        <v>4368.1866666666674</v>
      </c>
      <c r="Q272" s="70">
        <f t="shared" si="324"/>
        <v>-1.3462911648575755</v>
      </c>
      <c r="R272" s="566">
        <f>VLOOKUP($A272,'01-02.2021'!$A$6:$CZ$403,18,FALSE)+VLOOKUP($A272,'1.3.21-28.2.22'!$A$6:$DA$404,18,FALSE)-VLOOKUP($A272,'01-02.2022'!$A$6:$DA$376,18,FALSE)</f>
        <v>0</v>
      </c>
      <c r="S272" s="566">
        <f>VLOOKUP($A272,'01-02.2021'!$A$6:$CZ$403,19,FALSE)+VLOOKUP($A272,'1.3.21-28.2.22'!$A$6:$DA$404,19,FALSE)-VLOOKUP($A272,'01-02.2022'!$A$6:$DA$376,19,FALSE)</f>
        <v>0</v>
      </c>
      <c r="T272" s="70">
        <f t="shared" si="325"/>
        <v>0</v>
      </c>
      <c r="U272" s="566">
        <f>VLOOKUP($A272,'01-02.2021'!$A$6:$CZ$403,21,FALSE)+VLOOKUP($A272,'1.3.21-28.2.22'!$A$6:$DA$404,21,FALSE)-VLOOKUP($A272,'01-02.2022'!$A$6:$DA$376,21,FALSE)</f>
        <v>0</v>
      </c>
      <c r="V272" s="566">
        <f>VLOOKUP($A272,'01-02.2021'!$A$6:$CZ$403,22,FALSE)+VLOOKUP($A272,'1.3.21-28.2.22'!$A$6:$DA$404,22,FALSE)-VLOOKUP($A272,'01-02.2022'!$A$6:$DA$376,22,FALSE)</f>
        <v>0</v>
      </c>
      <c r="W272" s="70">
        <f t="shared" si="326"/>
        <v>0</v>
      </c>
      <c r="X272" s="566">
        <f>VLOOKUP($A272,'01-02.2021'!$A$6:$CZ$403,24,FALSE)+VLOOKUP($A272,'1.3.21-28.2.22'!$A$6:$DA$404,24,FALSE)-VLOOKUP($A272,'01-02.2022'!$A$6:$DA$376,24,FALSE)</f>
        <v>6439.3394627522139</v>
      </c>
      <c r="Y272" s="566">
        <f>VLOOKUP($A272,'01-02.2021'!$A$6:$CZ$403,25,FALSE)+VLOOKUP($A272,'1.3.21-28.2.22'!$A$6:$DA$404,25,FALSE)-VLOOKUP($A272,'01-02.2022'!$A$6:$DA$376,25,FALSE)</f>
        <v>5590.6125774964421</v>
      </c>
      <c r="Z272" s="70">
        <f t="shared" si="327"/>
        <v>-848.72688525577178</v>
      </c>
      <c r="AA272" s="566">
        <f>VLOOKUP($A272,'01-02.2021'!$A$6:$CZ$403,27,FALSE)+VLOOKUP($A272,'1.3.21-28.2.22'!$A$6:$DA$404,27,FALSE)-VLOOKUP($A272,'01-02.2022'!$A$6:$DA$376,27,FALSE)</f>
        <v>641.78600000000006</v>
      </c>
      <c r="AB272" s="566">
        <f>VLOOKUP($A272,'01-02.2021'!$A$6:$CZ$403,28,FALSE)+VLOOKUP($A272,'1.3.21-28.2.22'!$A$6:$DA$404,28,FALSE)-VLOOKUP($A272,'01-02.2022'!$A$6:$DA$376,28,FALSE)</f>
        <v>0</v>
      </c>
      <c r="AC272" s="70">
        <f t="shared" si="328"/>
        <v>-641.78600000000006</v>
      </c>
      <c r="AD272" s="566">
        <f>VLOOKUP($A272,'01-02.2021'!$A$6:$CZ$403,30,FALSE)+VLOOKUP($A272,'1.3.21-28.2.22'!$A$6:$DA$404,30,FALSE)-VLOOKUP($A272,'01-02.2022'!$A$6:$DA$376,30,FALSE)</f>
        <v>13783.251414833952</v>
      </c>
      <c r="AE272" s="566">
        <f>VLOOKUP($A272,'01-02.2021'!$A$6:$CZ$403,31,FALSE)+VLOOKUP($A272,'1.3.21-28.2.22'!$A$6:$DA$404,31,FALSE)-VLOOKUP($A272,'01-02.2022'!$A$6:$DA$376,31,FALSE)</f>
        <v>14607.178655010934</v>
      </c>
      <c r="AF272" s="68">
        <f t="shared" si="329"/>
        <v>823.92724017698129</v>
      </c>
      <c r="AG272" s="77">
        <f t="shared" si="297"/>
        <v>38280.025865823991</v>
      </c>
      <c r="AH272" s="53">
        <f t="shared" si="297"/>
        <v>37452.320941852253</v>
      </c>
      <c r="AI272" s="52">
        <f t="shared" si="302"/>
        <v>-827.70492397173803</v>
      </c>
      <c r="AJ272" s="566">
        <f>VLOOKUP($A272,'01-02.2021'!$A$6:$CZ$403,36,FALSE)+VLOOKUP($A272,'1.3.21-28.2.22'!$A$6:$DA$404,36,FALSE)-VLOOKUP($A272,'01-02.2022'!$A$6:$DA$376,36,FALSE)</f>
        <v>0</v>
      </c>
      <c r="AK272" s="566">
        <f>VLOOKUP($A272,'01-02.2021'!$A$6:$CZ$403,37,FALSE)+VLOOKUP($A272,'1.3.21-28.2.22'!$A$6:$DA$404,37,FALSE)-VLOOKUP($A272,'01-02.2022'!$A$6:$DA$376,37,FALSE)</f>
        <v>0</v>
      </c>
      <c r="AL272" s="70">
        <f t="shared" si="330"/>
        <v>0</v>
      </c>
      <c r="AM272" s="566">
        <f>VLOOKUP($A272,'01-02.2021'!$A$6:$CZ$403,39,FALSE)+VLOOKUP($A272,'1.3.21-28.2.22'!$A$6:$DA$404,39,FALSE)-VLOOKUP($A272,'01-02.2022'!$A$6:$DA$376,39,FALSE)</f>
        <v>0</v>
      </c>
      <c r="AN272" s="566">
        <f>VLOOKUP($A272,'01-02.2021'!$A$6:$CZ$403,40,FALSE)+VLOOKUP($A272,'1.3.21-28.2.22'!$A$6:$DA$404,40,FALSE)-VLOOKUP($A272,'01-02.2022'!$A$6:$DA$376,40,FALSE)</f>
        <v>0</v>
      </c>
      <c r="AO272" s="70">
        <f t="shared" si="331"/>
        <v>0</v>
      </c>
      <c r="AP272" s="566">
        <f>VLOOKUP($A272,'01-02.2021'!$A$6:$CZ$403,42,FALSE)+VLOOKUP($A272,'1.3.21-28.2.22'!$A$6:$DA$404,42,FALSE)-VLOOKUP($A272,'01-02.2022'!$A$6:$DA$376,42,FALSE)</f>
        <v>9109.7986877236053</v>
      </c>
      <c r="AQ272" s="566">
        <f>VLOOKUP($A272,'01-02.2021'!$A$6:$CZ$403,43,FALSE)+VLOOKUP($A272,'1.3.21-28.2.22'!$A$6:$DA$404,43,FALSE)-VLOOKUP($A272,'01-02.2022'!$A$6:$DA$376,43,FALSE)</f>
        <v>7853.3787365234039</v>
      </c>
      <c r="AR272" s="70">
        <f t="shared" si="332"/>
        <v>-1256.4199512002015</v>
      </c>
      <c r="AS272" s="566">
        <f>VLOOKUP($A272,'01-02.2021'!$A$6:$CZ$403,45,FALSE)+VLOOKUP($A272,'1.3.21-28.2.22'!$A$6:$DA$404,45,FALSE)-VLOOKUP($A272,'01-02.2022'!$A$6:$DA$376,45,FALSE)</f>
        <v>33868.591186593039</v>
      </c>
      <c r="AT272" s="566">
        <f>VLOOKUP($A272,'01-02.2021'!$A$6:$CZ$403,46,FALSE)+VLOOKUP($A272,'1.3.21-28.2.22'!$A$6:$DA$404,46,FALSE)-VLOOKUP($A272,'01-02.2022'!$A$6:$DA$376,46,FALSE)</f>
        <v>64648.41</v>
      </c>
      <c r="AU272" s="78">
        <f t="shared" si="333"/>
        <v>30779.818813406964</v>
      </c>
      <c r="AV272" s="566">
        <f>VLOOKUP($A272,'01-02.2021'!$A$6:$CZ$403,48,FALSE)+VLOOKUP($A272,'1.3.21-28.2.22'!$A$6:$DA$404,48,FALSE)-VLOOKUP($A272,'01-02.2022'!$A$6:$DA$376,48,FALSE)</f>
        <v>2933.8775564037592</v>
      </c>
      <c r="AW272" s="566">
        <f>VLOOKUP($A272,'01-02.2021'!$A$6:$CZ$403,49,FALSE)+VLOOKUP($A272,'1.3.21-28.2.22'!$A$6:$DA$404,49,FALSE)-VLOOKUP($A272,'01-02.2022'!$A$6:$DA$376,49,FALSE)</f>
        <v>577</v>
      </c>
      <c r="AX272" s="55">
        <f t="shared" si="334"/>
        <v>-2356.8775564037592</v>
      </c>
      <c r="AY272" s="566">
        <f>VLOOKUP($A272,'01-02.2021'!$A$6:$CZ$403,51,FALSE)+VLOOKUP($A272,'1.3.21-28.2.22'!$A$6:$DA$404,51,FALSE)-VLOOKUP($A272,'01-02.2022'!$A$6:$DA$376,51,FALSE)</f>
        <v>4169.3580910405672</v>
      </c>
      <c r="AZ272" s="566">
        <f>VLOOKUP($A272,'01-02.2021'!$A$6:$CZ$403,52,FALSE)+VLOOKUP($A272,'1.3.21-28.2.22'!$A$6:$DA$404,52,FALSE)-VLOOKUP($A272,'01-02.2022'!$A$6:$DA$376,52,FALSE)</f>
        <v>6615</v>
      </c>
      <c r="BA272" s="38">
        <f t="shared" si="335"/>
        <v>2445.6419089594328</v>
      </c>
      <c r="BB272" s="566">
        <f>VLOOKUP($A272,'01-02.2021'!$A$6:$CZ$403,54,FALSE)+VLOOKUP($A272,'1.3.21-28.2.22'!$A$6:$DA$404,54,FALSE)-VLOOKUP($A272,'01-02.2022'!$A$6:$DA$376,54,FALSE)</f>
        <v>1536.9599840140036</v>
      </c>
      <c r="BC272" s="566">
        <f>VLOOKUP($A272,'01-02.2021'!$A$6:$CZ$403,55,FALSE)+VLOOKUP($A272,'1.3.21-28.2.22'!$A$6:$DA$404,55,FALSE)-VLOOKUP($A272,'01-02.2022'!$A$6:$DA$376,55,FALSE)</f>
        <v>3139</v>
      </c>
      <c r="BD272" s="55">
        <f t="shared" si="336"/>
        <v>1602.0400159859964</v>
      </c>
      <c r="BE272" s="566">
        <f>VLOOKUP($A272,'01-02.2021'!$A$6:$CZ$403,57,FALSE)+VLOOKUP($A272,'1.3.21-28.2.22'!$A$6:$DA$404,57,FALSE)-VLOOKUP($A272,'01-02.2022'!$A$6:$DA$376,57,FALSE)</f>
        <v>0</v>
      </c>
      <c r="BF272" s="566">
        <f>VLOOKUP($A272,'01-02.2021'!$A$6:$CZ$403,58,FALSE)+VLOOKUP($A272,'1.3.21-28.2.22'!$A$6:$DA$404,58,FALSE)-VLOOKUP($A272,'01-02.2022'!$A$6:$DA$376,58,FALSE)</f>
        <v>0</v>
      </c>
      <c r="BG272" s="55">
        <f t="shared" si="337"/>
        <v>0</v>
      </c>
      <c r="BH272" s="566">
        <f>VLOOKUP($A272,'01-02.2021'!$A$6:$CZ$403,60,FALSE)+VLOOKUP($A272,'1.3.21-28.2.22'!$A$6:$DA$404,60,FALSE)-VLOOKUP($A272,'01-02.2022'!$A$6:$DA$376,60,FALSE)</f>
        <v>0</v>
      </c>
      <c r="BI272" s="566">
        <f>VLOOKUP($A272,'01-02.2021'!$A$6:$CZ$403,61,FALSE)+VLOOKUP($A272,'1.3.21-28.2.22'!$A$6:$DA$404,61,FALSE)-VLOOKUP($A272,'01-02.2022'!$A$6:$DA$376,61,FALSE)</f>
        <v>0</v>
      </c>
      <c r="BJ272" s="55">
        <f t="shared" si="338"/>
        <v>0</v>
      </c>
      <c r="BK272" s="566">
        <f>VLOOKUP($A272,'01-02.2021'!$A$6:$CZ$403,63,FALSE)+VLOOKUP($A272,'1.3.21-28.2.22'!$A$6:$DA$404,63,FALSE)-VLOOKUP($A272,'01-02.2022'!$A$6:$DA$376,63,FALSE)</f>
        <v>2090.2452562554499</v>
      </c>
      <c r="BL272" s="566">
        <f>VLOOKUP($A272,'01-02.2021'!$A$6:$CZ$403,64,FALSE)+VLOOKUP($A272,'1.3.21-28.2.22'!$A$6:$DA$404,64,FALSE)-VLOOKUP($A272,'01-02.2022'!$A$6:$DA$376,64,FALSE)</f>
        <v>408</v>
      </c>
      <c r="BM272" s="55">
        <f t="shared" si="339"/>
        <v>-1682.2452562554499</v>
      </c>
      <c r="BN272" s="566">
        <f>VLOOKUP($A272,'01-02.2021'!$A$6:$CZ$403,66,FALSE)+VLOOKUP($A272,'1.3.21-28.2.22'!$A$6:$DA$404,66,FALSE)-VLOOKUP($A272,'01-02.2022'!$A$6:$DA$376,66,FALSE)</f>
        <v>160.44650000000001</v>
      </c>
      <c r="BO272" s="566">
        <f>VLOOKUP($A272,'01-02.2021'!$A$6:$CZ$403,67,FALSE)+VLOOKUP($A272,'1.3.21-28.2.22'!$A$6:$DA$404,67,FALSE)-VLOOKUP($A272,'01-02.2022'!$A$6:$DA$376,67,FALSE)</f>
        <v>0</v>
      </c>
      <c r="BP272" s="55">
        <f t="shared" si="340"/>
        <v>-160.44650000000001</v>
      </c>
      <c r="BQ272" s="77">
        <f t="shared" si="287"/>
        <v>10890.887387713779</v>
      </c>
      <c r="BR272" s="40">
        <f t="shared" si="315"/>
        <v>10739</v>
      </c>
      <c r="BS272" s="55">
        <f t="shared" si="314"/>
        <v>-151.88738771377939</v>
      </c>
      <c r="BT272" s="566">
        <f>VLOOKUP($A272,'01-02.2021'!$A$6:$CZ$403,72,FALSE)+VLOOKUP($A272,'1.3.21-28.2.22'!$A$6:$DA$404,72,FALSE)-VLOOKUP($A272,'01-02.2022'!$A$6:$DA$376,72,FALSE)</f>
        <v>38051.717905271405</v>
      </c>
      <c r="BU272" s="566">
        <f>VLOOKUP($A272,'01-02.2021'!$A$6:$CZ$403,73,FALSE)+VLOOKUP($A272,'1.3.21-28.2.22'!$A$6:$DA$404,73,FALSE)-VLOOKUP($A272,'01-02.2022'!$A$6:$DA$376,73,FALSE)</f>
        <v>51134.066110327411</v>
      </c>
      <c r="BV272" s="70">
        <f t="shared" si="341"/>
        <v>13082.348205056005</v>
      </c>
      <c r="BW272" s="566">
        <f>VLOOKUP($A272,'01-02.2021'!$A$6:$CZ$403,75,FALSE)+VLOOKUP($A272,'1.3.21-28.2.22'!$A$6:$DA$404,75,FALSE)-VLOOKUP($A272,'01-02.2022'!$A$6:$DA$376,75,FALSE)</f>
        <v>15671.861713354434</v>
      </c>
      <c r="BX272" s="566">
        <f>VLOOKUP($A272,'01-02.2021'!$A$6:$CZ$403,76,FALSE)+VLOOKUP($A272,'1.3.21-28.2.22'!$A$6:$DA$404,76,FALSE)-VLOOKUP($A272,'01-02.2022'!$A$6:$DA$376,76,FALSE)</f>
        <v>16154.160558362126</v>
      </c>
      <c r="BY272" s="70">
        <f t="shared" si="342"/>
        <v>482.29884500769185</v>
      </c>
      <c r="BZ272" s="566">
        <f>VLOOKUP($A272,'01-02.2021'!$A$6:$CZ$403,78,FALSE)+VLOOKUP($A272,'1.3.21-28.2.22'!$A$6:$DA$404,78,FALSE)-VLOOKUP($A272,'01-02.2022'!$A$6:$DA$376,78,FALSE)</f>
        <v>7753.691523317857</v>
      </c>
      <c r="CA272" s="566">
        <f>VLOOKUP($A272,'01-02.2021'!$A$6:$CZ$403,79,FALSE)+VLOOKUP($A272,'1.3.21-28.2.22'!$A$6:$DA$404,79,FALSE)-VLOOKUP($A272,'01-02.2022'!$A$6:$DA$376,79,FALSE)</f>
        <v>9527.4034162295666</v>
      </c>
      <c r="CB272" s="70">
        <f t="shared" si="343"/>
        <v>1773.7118929117096</v>
      </c>
      <c r="CC272" s="566">
        <f>VLOOKUP($A272,'01-02.2021'!$A$6:$CZ$403,81,FALSE)+VLOOKUP($A272,'1.3.21-28.2.22'!$A$6:$DA$404,81,FALSE)-VLOOKUP($A272,'01-02.2022'!$A$6:$DA$376,81,FALSE)</f>
        <v>267.07470787426132</v>
      </c>
      <c r="CD272" s="566">
        <f>VLOOKUP($A272,'01-02.2021'!$A$6:$CZ$403,82,FALSE)+VLOOKUP($A272,'1.3.21-28.2.22'!$A$6:$DA$404,82,FALSE)-VLOOKUP($A272,'01-02.2022'!$A$6:$DA$376,82,FALSE)</f>
        <v>291.91079140533361</v>
      </c>
      <c r="CE272" s="70">
        <f t="shared" si="344"/>
        <v>24.83608353107229</v>
      </c>
      <c r="CF272" s="566">
        <f>VLOOKUP($A272,'01-02.2021'!$A$6:$CZ$403,84,FALSE)+VLOOKUP($A272,'1.3.21-28.2.22'!$A$6:$DA$404,84,FALSE)-VLOOKUP($A272,'01-02.2022'!$A$6:$DA$376,84,FALSE)</f>
        <v>32.468432231206421</v>
      </c>
      <c r="CG272" s="566">
        <f>VLOOKUP($A272,'01-02.2021'!$A$6:$CZ$403,85,FALSE)+VLOOKUP($A272,'1.3.21-28.2.22'!$A$6:$DA$404,85,FALSE)-VLOOKUP($A272,'01-02.2022'!$A$6:$DA$376,85,FALSE)</f>
        <v>0</v>
      </c>
      <c r="CH272" s="70">
        <f t="shared" si="345"/>
        <v>-32.468432231206421</v>
      </c>
      <c r="CI272" s="566">
        <f>VLOOKUP($A272,'01-02.2021'!$A$6:$CZ$403,87,FALSE)+VLOOKUP($A272,'1.3.21-28.2.22'!$A$6:$DA$404,87,FALSE)-VLOOKUP($A272,'01-02.2022'!$A$6:$DA$376,87,FALSE)</f>
        <v>4597.7468342060365</v>
      </c>
      <c r="CJ272" s="566">
        <f>VLOOKUP($A272,'01-02.2021'!$A$6:$CZ$403,88,FALSE)+VLOOKUP($A272,'1.3.21-28.2.22'!$A$6:$DA$404,88,FALSE)-VLOOKUP($A272,'01-02.2022'!$A$6:$DA$376,88,FALSE)</f>
        <v>2660.4930455621711</v>
      </c>
      <c r="CK272" s="70">
        <f t="shared" si="346"/>
        <v>-1937.2537886438654</v>
      </c>
      <c r="CL272" s="566">
        <f>VLOOKUP($A272,'01-02.2021'!$A$6:$CZ$403,90,FALSE)+VLOOKUP($A272,'1.3.21-28.2.22'!$A$6:$DA$404,90,FALSE)-VLOOKUP($A272,'01-02.2022'!$A$6:$DA$376,90,FALSE)</f>
        <v>0</v>
      </c>
      <c r="CM272" s="566">
        <f>VLOOKUP($A272,'01-02.2021'!$A$6:$CZ$403,91,FALSE)+VLOOKUP($A272,'1.3.21-28.2.22'!$A$6:$DA$404,91,FALSE)-VLOOKUP($A272,'01-02.2022'!$A$6:$DA$376,91,FALSE)</f>
        <v>0</v>
      </c>
      <c r="CN272" s="52">
        <f t="shared" si="303"/>
        <v>0</v>
      </c>
      <c r="CO272" s="39">
        <f t="shared" si="298"/>
        <v>4597.7468342060365</v>
      </c>
      <c r="CP272" s="40">
        <f t="shared" si="304"/>
        <v>2660.4930455621711</v>
      </c>
      <c r="CQ272" s="52">
        <f t="shared" si="305"/>
        <v>-1937.2537886438654</v>
      </c>
      <c r="CR272" s="72">
        <f t="shared" si="299"/>
        <v>158523.86424410963</v>
      </c>
      <c r="CS272" s="5">
        <f t="shared" si="299"/>
        <v>200461.14360026224</v>
      </c>
      <c r="CT272" s="52">
        <f t="shared" si="306"/>
        <v>41937.279356152605</v>
      </c>
      <c r="CU272" s="77">
        <f t="shared" si="307"/>
        <v>190228.63709293155</v>
      </c>
      <c r="CV272" s="65">
        <f t="shared" si="308"/>
        <v>240553.37232031467</v>
      </c>
      <c r="CW272" s="35">
        <f t="shared" si="309"/>
        <v>50324.73522738312</v>
      </c>
      <c r="CX272" s="566">
        <f>VLOOKUP($A272,'01-02.2021'!$A$6:$CZ$403,102,FALSE)+VLOOKUP($A272,'1.3.21-28.2.22'!$A$6:$DA$404,102,FALSE)-VLOOKUP($A272,'01-02.2022'!$A$6:$DA$376,102,FALSE)</f>
        <v>9690.040203340659</v>
      </c>
      <c r="CY272" s="566">
        <f>VLOOKUP($A272,'01-02.2021'!$A$6:$CZ$403,103,FALSE)+VLOOKUP($A272,'1.3.21-28.2.22'!$A$6:$DA$404,103,FALSE)-VLOOKUP($A272,'01-02.2022'!$A$6:$DA$376,103,FALSE)</f>
        <v>-40634.695024042529</v>
      </c>
      <c r="CZ272" s="52">
        <f t="shared" si="310"/>
        <v>-50324.735227383186</v>
      </c>
      <c r="DA272" s="150">
        <f>'[2]побудинковий звіт'!DA272</f>
        <v>57597.11916971243</v>
      </c>
      <c r="DB272" s="2">
        <v>3</v>
      </c>
      <c r="DC272" s="414">
        <f>'[4]побудинковий звіт'!DC272</f>
        <v>39352.519999999997</v>
      </c>
      <c r="DD272" s="414">
        <f>'[4]побудинковий звіт'!DD272</f>
        <v>0</v>
      </c>
      <c r="DE272" s="557">
        <f>'[4]побудинковий звіт'!DE272</f>
        <v>21196.482087762422</v>
      </c>
      <c r="DF272" s="557">
        <f>'[4]побудинковий звіт'!DF272</f>
        <v>0</v>
      </c>
      <c r="DG272" s="321">
        <f>VLOOKUP(A272,'кошти 01.03.2021'!$A$6:$D$401,4,)</f>
        <v>72168.35802323019</v>
      </c>
      <c r="DH272" s="40">
        <f>'[3]побудинковий звіт'!DJ272</f>
        <v>206994.54554737516</v>
      </c>
      <c r="DI272" s="422">
        <f>'[3]побудинковий звіт'!CU272+'[3]побудинковий звіт'!CX272</f>
        <v>18156.037912237574</v>
      </c>
      <c r="DJ272" s="306">
        <f>'[3]побудинковий звіт'!DM272</f>
        <v>5.6579725678770103</v>
      </c>
      <c r="DK272" s="306">
        <f t="shared" si="316"/>
        <v>5.6579725678770103</v>
      </c>
      <c r="DL272" s="306">
        <f>'[3]побудинковий звіт'!DO272</f>
        <v>5.0529896741435163</v>
      </c>
      <c r="DM272" s="28">
        <f t="shared" si="317"/>
        <v>18156.037912237574</v>
      </c>
      <c r="DN272" s="28">
        <f t="shared" si="318"/>
        <v>0</v>
      </c>
      <c r="DO272" s="423">
        <f t="shared" si="319"/>
        <v>18156.037912237574</v>
      </c>
      <c r="DP272" s="94">
        <f t="shared" si="320"/>
        <v>0</v>
      </c>
      <c r="DQ272" s="28">
        <f t="shared" si="321"/>
        <v>18156.037912237574</v>
      </c>
      <c r="DR272" s="318"/>
      <c r="DT272" s="8"/>
      <c r="DU272" s="5"/>
      <c r="DX272" s="5">
        <f t="shared" si="322"/>
        <v>53711.374289168183</v>
      </c>
      <c r="DY272" s="5">
        <f t="shared" si="323"/>
        <v>90464.892000000007</v>
      </c>
      <c r="DZ272" s="159">
        <f>'[3]побудинковий звіт'!EA272</f>
        <v>4878.1375343076643</v>
      </c>
    </row>
    <row r="273" spans="1:130" x14ac:dyDescent="0.3">
      <c r="A273" s="325">
        <v>150000713</v>
      </c>
      <c r="B273" s="41" t="s">
        <v>719</v>
      </c>
      <c r="C273" s="42" t="s">
        <v>282</v>
      </c>
      <c r="D273" s="42"/>
      <c r="E273" s="293">
        <f t="shared" si="296"/>
        <v>6256.6</v>
      </c>
      <c r="F273" s="305">
        <f>'[3]побудинковий звіт'!F273</f>
        <v>5131.2</v>
      </c>
      <c r="G273" s="508">
        <f>'[3]побудинковий звіт'!G273</f>
        <v>0</v>
      </c>
      <c r="H273" s="560">
        <f>'[3]побудинковий звіт'!H273</f>
        <v>1125.4000000000001</v>
      </c>
      <c r="I273" s="566">
        <f>VLOOKUP($A273,'01-02.2021'!$A$6:$CZ$403,9,FALSE)+VLOOKUP($A273,'1.3.21-28.2.22'!$A$6:$DA$404,9,FALSE)-VLOOKUP($A273,'01-02.2022'!$A$6:$DA$376,9,FALSE)</f>
        <v>20556.891657336237</v>
      </c>
      <c r="J273" s="566">
        <f>VLOOKUP($A273,'01-02.2021'!$A$6:$CZ$403,10,FALSE)+VLOOKUP($A273,'1.3.21-28.2.22'!$A$6:$DA$404,10,FALSE)-VLOOKUP($A273,'01-02.2022'!$A$6:$DA$376,10,FALSE)</f>
        <v>20079.10061996783</v>
      </c>
      <c r="K273" s="52">
        <f t="shared" si="300"/>
        <v>-477.79103736840625</v>
      </c>
      <c r="L273" s="566">
        <f>VLOOKUP($A273,'01-02.2021'!$A$6:$CZ$403,12,FALSE)+VLOOKUP($A273,'1.3.21-28.2.22'!$A$6:$DA$404,12,FALSE)-VLOOKUP($A273,'01-02.2022'!$A$6:$DA$376,12,FALSE)</f>
        <v>4408.7955550161287</v>
      </c>
      <c r="M273" s="566">
        <f>VLOOKUP($A273,'01-02.2021'!$A$6:$CZ$403,13,FALSE)+VLOOKUP($A273,'1.3.21-28.2.22'!$A$6:$DA$404,13,FALSE)-VLOOKUP($A273,'01-02.2022'!$A$6:$DA$376,13,FALSE)</f>
        <v>4402.0578635061893</v>
      </c>
      <c r="N273" s="52">
        <f t="shared" si="301"/>
        <v>-6.7376915099393955</v>
      </c>
      <c r="O273" s="566">
        <f>VLOOKUP($A273,'01-02.2021'!$A$6:$CZ$403,15,FALSE)+VLOOKUP($A273,'1.3.21-28.2.22'!$A$6:$DA$404,15,FALSE)-VLOOKUP($A273,'01-02.2022'!$A$6:$DA$376,15,FALSE)</f>
        <v>8019.7852553945058</v>
      </c>
      <c r="P273" s="566">
        <f>VLOOKUP($A273,'01-02.2021'!$A$6:$CZ$403,16,FALSE)+VLOOKUP($A273,'1.3.21-28.2.22'!$A$6:$DA$404,16,FALSE)-VLOOKUP($A273,'01-02.2022'!$A$6:$DA$376,16,FALSE)</f>
        <v>8018.6650000000009</v>
      </c>
      <c r="Q273" s="70">
        <f t="shared" si="324"/>
        <v>-1.1202553945049658</v>
      </c>
      <c r="R273" s="566">
        <f>VLOOKUP($A273,'01-02.2021'!$A$6:$CZ$403,18,FALSE)+VLOOKUP($A273,'1.3.21-28.2.22'!$A$6:$DA$404,18,FALSE)-VLOOKUP($A273,'01-02.2022'!$A$6:$DA$376,18,FALSE)</f>
        <v>0</v>
      </c>
      <c r="S273" s="566">
        <f>VLOOKUP($A273,'01-02.2021'!$A$6:$CZ$403,19,FALSE)+VLOOKUP($A273,'1.3.21-28.2.22'!$A$6:$DA$404,19,FALSE)-VLOOKUP($A273,'01-02.2022'!$A$6:$DA$376,19,FALSE)</f>
        <v>0</v>
      </c>
      <c r="T273" s="70">
        <f t="shared" si="325"/>
        <v>0</v>
      </c>
      <c r="U273" s="566">
        <f>VLOOKUP($A273,'01-02.2021'!$A$6:$CZ$403,21,FALSE)+VLOOKUP($A273,'1.3.21-28.2.22'!$A$6:$DA$404,21,FALSE)-VLOOKUP($A273,'01-02.2022'!$A$6:$DA$376,21,FALSE)</f>
        <v>1724.4098101121328</v>
      </c>
      <c r="V273" s="566">
        <f>VLOOKUP($A273,'01-02.2021'!$A$6:$CZ$403,22,FALSE)+VLOOKUP($A273,'1.3.21-28.2.22'!$A$6:$DA$404,22,FALSE)-VLOOKUP($A273,'01-02.2022'!$A$6:$DA$376,22,FALSE)</f>
        <v>1465.5432276544427</v>
      </c>
      <c r="W273" s="70">
        <f t="shared" si="326"/>
        <v>-258.86658245769013</v>
      </c>
      <c r="X273" s="566">
        <f>VLOOKUP($A273,'01-02.2021'!$A$6:$CZ$403,24,FALSE)+VLOOKUP($A273,'1.3.21-28.2.22'!$A$6:$DA$404,24,FALSE)-VLOOKUP($A273,'01-02.2022'!$A$6:$DA$376,24,FALSE)</f>
        <v>17460.597948843169</v>
      </c>
      <c r="Y273" s="566">
        <f>VLOOKUP($A273,'01-02.2021'!$A$6:$CZ$403,25,FALSE)+VLOOKUP($A273,'1.3.21-28.2.22'!$A$6:$DA$404,25,FALSE)-VLOOKUP($A273,'01-02.2022'!$A$6:$DA$376,25,FALSE)</f>
        <v>15499.28872824855</v>
      </c>
      <c r="Z273" s="70">
        <f t="shared" si="327"/>
        <v>-1961.3092205946195</v>
      </c>
      <c r="AA273" s="566">
        <f>VLOOKUP($A273,'01-02.2021'!$A$6:$CZ$403,27,FALSE)+VLOOKUP($A273,'1.3.21-28.2.22'!$A$6:$DA$404,27,FALSE)-VLOOKUP($A273,'01-02.2022'!$A$6:$DA$376,27,FALSE)</f>
        <v>1240.8</v>
      </c>
      <c r="AB273" s="566">
        <f>VLOOKUP($A273,'01-02.2021'!$A$6:$CZ$403,28,FALSE)+VLOOKUP($A273,'1.3.21-28.2.22'!$A$6:$DA$404,28,FALSE)-VLOOKUP($A273,'01-02.2022'!$A$6:$DA$376,28,FALSE)</f>
        <v>0</v>
      </c>
      <c r="AC273" s="70">
        <f t="shared" si="328"/>
        <v>-1240.8</v>
      </c>
      <c r="AD273" s="566">
        <f>VLOOKUP($A273,'01-02.2021'!$A$6:$CZ$403,30,FALSE)+VLOOKUP($A273,'1.3.21-28.2.22'!$A$6:$DA$404,30,FALSE)-VLOOKUP($A273,'01-02.2022'!$A$6:$DA$376,30,FALSE)</f>
        <v>26672.865104995166</v>
      </c>
      <c r="AE273" s="566">
        <f>VLOOKUP($A273,'01-02.2021'!$A$6:$CZ$403,31,FALSE)+VLOOKUP($A273,'1.3.21-28.2.22'!$A$6:$DA$404,31,FALSE)-VLOOKUP($A273,'01-02.2022'!$A$6:$DA$376,31,FALSE)</f>
        <v>28481.69986918717</v>
      </c>
      <c r="AF273" s="68">
        <f t="shared" si="329"/>
        <v>1808.8347641920045</v>
      </c>
      <c r="AG273" s="77">
        <f t="shared" si="297"/>
        <v>80084.145331697335</v>
      </c>
      <c r="AH273" s="53">
        <f t="shared" si="297"/>
        <v>77946.355308564191</v>
      </c>
      <c r="AI273" s="52">
        <f t="shared" si="302"/>
        <v>-2137.7900231331441</v>
      </c>
      <c r="AJ273" s="566">
        <f>VLOOKUP($A273,'01-02.2021'!$A$6:$CZ$403,36,FALSE)+VLOOKUP($A273,'1.3.21-28.2.22'!$A$6:$DA$404,36,FALSE)-VLOOKUP($A273,'01-02.2022'!$A$6:$DA$376,36,FALSE)</f>
        <v>0</v>
      </c>
      <c r="AK273" s="566">
        <f>VLOOKUP($A273,'01-02.2021'!$A$6:$CZ$403,37,FALSE)+VLOOKUP($A273,'1.3.21-28.2.22'!$A$6:$DA$404,37,FALSE)-VLOOKUP($A273,'01-02.2022'!$A$6:$DA$376,37,FALSE)</f>
        <v>0</v>
      </c>
      <c r="AL273" s="70">
        <f t="shared" si="330"/>
        <v>0</v>
      </c>
      <c r="AM273" s="566">
        <f>VLOOKUP($A273,'01-02.2021'!$A$6:$CZ$403,39,FALSE)+VLOOKUP($A273,'1.3.21-28.2.22'!$A$6:$DA$404,39,FALSE)-VLOOKUP($A273,'01-02.2022'!$A$6:$DA$376,39,FALSE)</f>
        <v>0</v>
      </c>
      <c r="AN273" s="566">
        <f>VLOOKUP($A273,'01-02.2021'!$A$6:$CZ$403,40,FALSE)+VLOOKUP($A273,'1.3.21-28.2.22'!$A$6:$DA$404,40,FALSE)-VLOOKUP($A273,'01-02.2022'!$A$6:$DA$376,40,FALSE)</f>
        <v>0</v>
      </c>
      <c r="AO273" s="70">
        <f t="shared" si="331"/>
        <v>0</v>
      </c>
      <c r="AP273" s="566">
        <f>VLOOKUP($A273,'01-02.2021'!$A$6:$CZ$403,42,FALSE)+VLOOKUP($A273,'1.3.21-28.2.22'!$A$6:$DA$404,42,FALSE)-VLOOKUP($A273,'01-02.2022'!$A$6:$DA$376,42,FALSE)</f>
        <v>13924.977994091792</v>
      </c>
      <c r="AQ273" s="566">
        <f>VLOOKUP($A273,'01-02.2021'!$A$6:$CZ$403,43,FALSE)+VLOOKUP($A273,'1.3.21-28.2.22'!$A$6:$DA$404,43,FALSE)-VLOOKUP($A273,'01-02.2022'!$A$6:$DA$376,43,FALSE)</f>
        <v>12004.45035440006</v>
      </c>
      <c r="AR273" s="70">
        <f t="shared" si="332"/>
        <v>-1920.5276396917325</v>
      </c>
      <c r="AS273" s="566">
        <f>VLOOKUP($A273,'01-02.2021'!$A$6:$CZ$403,45,FALSE)+VLOOKUP($A273,'1.3.21-28.2.22'!$A$6:$DA$404,45,FALSE)-VLOOKUP($A273,'01-02.2022'!$A$6:$DA$376,45,FALSE)</f>
        <v>73609.093719735029</v>
      </c>
      <c r="AT273" s="566">
        <f>VLOOKUP($A273,'01-02.2021'!$A$6:$CZ$403,46,FALSE)+VLOOKUP($A273,'1.3.21-28.2.22'!$A$6:$DA$404,46,FALSE)-VLOOKUP($A273,'01-02.2022'!$A$6:$DA$376,46,FALSE)</f>
        <v>34032.239999999998</v>
      </c>
      <c r="AU273" s="78">
        <f t="shared" si="333"/>
        <v>-39576.853719735031</v>
      </c>
      <c r="AV273" s="566">
        <f>VLOOKUP($A273,'01-02.2021'!$A$6:$CZ$403,48,FALSE)+VLOOKUP($A273,'1.3.21-28.2.22'!$A$6:$DA$404,48,FALSE)-VLOOKUP($A273,'01-02.2022'!$A$6:$DA$376,48,FALSE)</f>
        <v>5647.7342844539853</v>
      </c>
      <c r="AW273" s="566">
        <f>VLOOKUP($A273,'01-02.2021'!$A$6:$CZ$403,49,FALSE)+VLOOKUP($A273,'1.3.21-28.2.22'!$A$6:$DA$404,49,FALSE)-VLOOKUP($A273,'01-02.2022'!$A$6:$DA$376,49,FALSE)</f>
        <v>1489.04</v>
      </c>
      <c r="AX273" s="55">
        <f t="shared" si="334"/>
        <v>-4158.6942844539853</v>
      </c>
      <c r="AY273" s="566">
        <f>VLOOKUP($A273,'01-02.2021'!$A$6:$CZ$403,51,FALSE)+VLOOKUP($A273,'1.3.21-28.2.22'!$A$6:$DA$404,51,FALSE)-VLOOKUP($A273,'01-02.2022'!$A$6:$DA$376,51,FALSE)</f>
        <v>8287.523208933264</v>
      </c>
      <c r="AZ273" s="566">
        <f>VLOOKUP($A273,'01-02.2021'!$A$6:$CZ$403,52,FALSE)+VLOOKUP($A273,'1.3.21-28.2.22'!$A$6:$DA$404,52,FALSE)-VLOOKUP($A273,'01-02.2022'!$A$6:$DA$376,52,FALSE)</f>
        <v>3461</v>
      </c>
      <c r="BA273" s="38">
        <f t="shared" si="335"/>
        <v>-4826.523208933264</v>
      </c>
      <c r="BB273" s="566">
        <f>VLOOKUP($A273,'01-02.2021'!$A$6:$CZ$403,54,FALSE)+VLOOKUP($A273,'1.3.21-28.2.22'!$A$6:$DA$404,54,FALSE)-VLOOKUP($A273,'01-02.2022'!$A$6:$DA$376,54,FALSE)</f>
        <v>2912.5923493327668</v>
      </c>
      <c r="BC273" s="566">
        <f>VLOOKUP($A273,'01-02.2021'!$A$6:$CZ$403,55,FALSE)+VLOOKUP($A273,'1.3.21-28.2.22'!$A$6:$DA$404,55,FALSE)-VLOOKUP($A273,'01-02.2022'!$A$6:$DA$376,55,FALSE)</f>
        <v>3139</v>
      </c>
      <c r="BD273" s="55">
        <f t="shared" si="336"/>
        <v>226.40765066723316</v>
      </c>
      <c r="BE273" s="566">
        <f>VLOOKUP($A273,'01-02.2021'!$A$6:$CZ$403,57,FALSE)+VLOOKUP($A273,'1.3.21-28.2.22'!$A$6:$DA$404,57,FALSE)-VLOOKUP($A273,'01-02.2022'!$A$6:$DA$376,57,FALSE)</f>
        <v>0</v>
      </c>
      <c r="BF273" s="566">
        <f>VLOOKUP($A273,'01-02.2021'!$A$6:$CZ$403,58,FALSE)+VLOOKUP($A273,'1.3.21-28.2.22'!$A$6:$DA$404,58,FALSE)-VLOOKUP($A273,'01-02.2022'!$A$6:$DA$376,58,FALSE)</f>
        <v>0</v>
      </c>
      <c r="BG273" s="55">
        <f t="shared" si="337"/>
        <v>0</v>
      </c>
      <c r="BH273" s="566">
        <f>VLOOKUP($A273,'01-02.2021'!$A$6:$CZ$403,60,FALSE)+VLOOKUP($A273,'1.3.21-28.2.22'!$A$6:$DA$404,60,FALSE)-VLOOKUP($A273,'01-02.2022'!$A$6:$DA$376,60,FALSE)</f>
        <v>3869.2065280804436</v>
      </c>
      <c r="BI273" s="566">
        <f>VLOOKUP($A273,'01-02.2021'!$A$6:$CZ$403,61,FALSE)+VLOOKUP($A273,'1.3.21-28.2.22'!$A$6:$DA$404,61,FALSE)-VLOOKUP($A273,'01-02.2022'!$A$6:$DA$376,61,FALSE)</f>
        <v>0</v>
      </c>
      <c r="BJ273" s="55">
        <f t="shared" si="338"/>
        <v>-3869.2065280804436</v>
      </c>
      <c r="BK273" s="566">
        <f>VLOOKUP($A273,'01-02.2021'!$A$6:$CZ$403,63,FALSE)+VLOOKUP($A273,'1.3.21-28.2.22'!$A$6:$DA$404,63,FALSE)-VLOOKUP($A273,'01-02.2022'!$A$6:$DA$376,63,FALSE)</f>
        <v>6642.680149816375</v>
      </c>
      <c r="BL273" s="566">
        <f>VLOOKUP($A273,'01-02.2021'!$A$6:$CZ$403,64,FALSE)+VLOOKUP($A273,'1.3.21-28.2.22'!$A$6:$DA$404,64,FALSE)-VLOOKUP($A273,'01-02.2022'!$A$6:$DA$376,64,FALSE)</f>
        <v>0</v>
      </c>
      <c r="BM273" s="55">
        <f t="shared" si="339"/>
        <v>-6642.680149816375</v>
      </c>
      <c r="BN273" s="566">
        <f>VLOOKUP($A273,'01-02.2021'!$A$6:$CZ$403,66,FALSE)+VLOOKUP($A273,'1.3.21-28.2.22'!$A$6:$DA$404,66,FALSE)-VLOOKUP($A273,'01-02.2022'!$A$6:$DA$376,66,FALSE)</f>
        <v>310.2</v>
      </c>
      <c r="BO273" s="566">
        <f>VLOOKUP($A273,'01-02.2021'!$A$6:$CZ$403,67,FALSE)+VLOOKUP($A273,'1.3.21-28.2.22'!$A$6:$DA$404,67,FALSE)-VLOOKUP($A273,'01-02.2022'!$A$6:$DA$376,67,FALSE)</f>
        <v>0</v>
      </c>
      <c r="BP273" s="55">
        <f t="shared" si="340"/>
        <v>-310.2</v>
      </c>
      <c r="BQ273" s="77">
        <f t="shared" si="287"/>
        <v>27669.93652061684</v>
      </c>
      <c r="BR273" s="40">
        <f t="shared" si="315"/>
        <v>8089.04</v>
      </c>
      <c r="BS273" s="55">
        <f t="shared" si="314"/>
        <v>-19580.89652061684</v>
      </c>
      <c r="BT273" s="566">
        <f>VLOOKUP($A273,'01-02.2021'!$A$6:$CZ$403,72,FALSE)+VLOOKUP($A273,'1.3.21-28.2.22'!$A$6:$DA$404,72,FALSE)-VLOOKUP($A273,'01-02.2022'!$A$6:$DA$376,72,FALSE)</f>
        <v>50222.214313523364</v>
      </c>
      <c r="BU273" s="566">
        <f>VLOOKUP($A273,'01-02.2021'!$A$6:$CZ$403,73,FALSE)+VLOOKUP($A273,'1.3.21-28.2.22'!$A$6:$DA$404,73,FALSE)-VLOOKUP($A273,'01-02.2022'!$A$6:$DA$376,73,FALSE)</f>
        <v>65239.162060800991</v>
      </c>
      <c r="BV273" s="70">
        <f t="shared" si="341"/>
        <v>15016.947747277627</v>
      </c>
      <c r="BW273" s="566">
        <f>VLOOKUP($A273,'01-02.2021'!$A$6:$CZ$403,75,FALSE)+VLOOKUP($A273,'1.3.21-28.2.22'!$A$6:$DA$404,75,FALSE)-VLOOKUP($A273,'01-02.2022'!$A$6:$DA$376,75,FALSE)</f>
        <v>27988.780491391506</v>
      </c>
      <c r="BX273" s="566">
        <f>VLOOKUP($A273,'01-02.2021'!$A$6:$CZ$403,76,FALSE)+VLOOKUP($A273,'1.3.21-28.2.22'!$A$6:$DA$404,76,FALSE)-VLOOKUP($A273,'01-02.2022'!$A$6:$DA$376,76,FALSE)</f>
        <v>28205.149235516099</v>
      </c>
      <c r="BY273" s="70">
        <f t="shared" si="342"/>
        <v>216.36874412459292</v>
      </c>
      <c r="BZ273" s="566">
        <f>VLOOKUP($A273,'01-02.2021'!$A$6:$CZ$403,78,FALSE)+VLOOKUP($A273,'1.3.21-28.2.22'!$A$6:$DA$404,78,FALSE)-VLOOKUP($A273,'01-02.2022'!$A$6:$DA$376,78,FALSE)</f>
        <v>14614.931630539966</v>
      </c>
      <c r="CA273" s="566">
        <f>VLOOKUP($A273,'01-02.2021'!$A$6:$CZ$403,79,FALSE)+VLOOKUP($A273,'1.3.21-28.2.22'!$A$6:$DA$404,79,FALSE)-VLOOKUP($A273,'01-02.2022'!$A$6:$DA$376,79,FALSE)</f>
        <v>10476.042946287218</v>
      </c>
      <c r="CB273" s="70">
        <f t="shared" si="343"/>
        <v>-4138.8886842527481</v>
      </c>
      <c r="CC273" s="566">
        <f>VLOOKUP($A273,'01-02.2021'!$A$6:$CZ$403,81,FALSE)+VLOOKUP($A273,'1.3.21-28.2.22'!$A$6:$DA$404,81,FALSE)-VLOOKUP($A273,'01-02.2022'!$A$6:$DA$376,81,FALSE)</f>
        <v>801.22412362278374</v>
      </c>
      <c r="CD273" s="566">
        <f>VLOOKUP($A273,'01-02.2021'!$A$6:$CZ$403,82,FALSE)+VLOOKUP($A273,'1.3.21-28.2.22'!$A$6:$DA$404,82,FALSE)-VLOOKUP($A273,'01-02.2022'!$A$6:$DA$376,82,FALSE)</f>
        <v>875.73237421600061</v>
      </c>
      <c r="CE273" s="70">
        <f t="shared" si="344"/>
        <v>74.508250593216871</v>
      </c>
      <c r="CF273" s="566">
        <f>VLOOKUP($A273,'01-02.2021'!$A$6:$CZ$403,84,FALSE)+VLOOKUP($A273,'1.3.21-28.2.22'!$A$6:$DA$404,84,FALSE)-VLOOKUP($A273,'01-02.2022'!$A$6:$DA$376,84,FALSE)</f>
        <v>97.405296693619235</v>
      </c>
      <c r="CG273" s="566">
        <f>VLOOKUP($A273,'01-02.2021'!$A$6:$CZ$403,85,FALSE)+VLOOKUP($A273,'1.3.21-28.2.22'!$A$6:$DA$404,85,FALSE)-VLOOKUP($A273,'01-02.2022'!$A$6:$DA$376,85,FALSE)</f>
        <v>0</v>
      </c>
      <c r="CH273" s="70">
        <f t="shared" si="345"/>
        <v>-97.405296693619235</v>
      </c>
      <c r="CI273" s="566">
        <f>VLOOKUP($A273,'01-02.2021'!$A$6:$CZ$403,87,FALSE)+VLOOKUP($A273,'1.3.21-28.2.22'!$A$6:$DA$404,87,FALSE)-VLOOKUP($A273,'01-02.2022'!$A$6:$DA$376,87,FALSE)</f>
        <v>2732.657678417761</v>
      </c>
      <c r="CJ273" s="566">
        <f>VLOOKUP($A273,'01-02.2021'!$A$6:$CZ$403,88,FALSE)+VLOOKUP($A273,'1.3.21-28.2.22'!$A$6:$DA$404,88,FALSE)-VLOOKUP($A273,'01-02.2022'!$A$6:$DA$376,88,FALSE)</f>
        <v>2279.5004463093915</v>
      </c>
      <c r="CK273" s="70">
        <f t="shared" si="346"/>
        <v>-453.1572321083695</v>
      </c>
      <c r="CL273" s="566">
        <f>VLOOKUP($A273,'01-02.2021'!$A$6:$CZ$403,90,FALSE)+VLOOKUP($A273,'1.3.21-28.2.22'!$A$6:$DA$404,90,FALSE)-VLOOKUP($A273,'01-02.2022'!$A$6:$DA$376,90,FALSE)</f>
        <v>0</v>
      </c>
      <c r="CM273" s="566">
        <f>VLOOKUP($A273,'01-02.2021'!$A$6:$CZ$403,91,FALSE)+VLOOKUP($A273,'1.3.21-28.2.22'!$A$6:$DA$404,91,FALSE)-VLOOKUP($A273,'01-02.2022'!$A$6:$DA$376,91,FALSE)</f>
        <v>0</v>
      </c>
      <c r="CN273" s="52">
        <f t="shared" si="303"/>
        <v>0</v>
      </c>
      <c r="CO273" s="39">
        <f t="shared" si="298"/>
        <v>2732.657678417761</v>
      </c>
      <c r="CP273" s="40">
        <f t="shared" si="304"/>
        <v>2279.5004463093915</v>
      </c>
      <c r="CQ273" s="52">
        <f t="shared" si="305"/>
        <v>-453.1572321083695</v>
      </c>
      <c r="CR273" s="72">
        <f t="shared" si="299"/>
        <v>291745.3671003299</v>
      </c>
      <c r="CS273" s="5">
        <f t="shared" si="299"/>
        <v>239147.67272609397</v>
      </c>
      <c r="CT273" s="52">
        <f t="shared" si="306"/>
        <v>-52597.694374235929</v>
      </c>
      <c r="CU273" s="77">
        <f t="shared" si="307"/>
        <v>350094.44052039587</v>
      </c>
      <c r="CV273" s="65">
        <f t="shared" si="308"/>
        <v>286977.20727131277</v>
      </c>
      <c r="CW273" s="35">
        <f t="shared" si="309"/>
        <v>-63117.233249083103</v>
      </c>
      <c r="CX273" s="566">
        <f>VLOOKUP($A273,'01-02.2021'!$A$6:$CZ$403,102,FALSE)+VLOOKUP($A273,'1.3.21-28.2.22'!$A$6:$DA$404,102,FALSE)-VLOOKUP($A273,'01-02.2022'!$A$6:$DA$376,102,FALSE)</f>
        <v>15170.135395512109</v>
      </c>
      <c r="CY273" s="566">
        <f>VLOOKUP($A273,'01-02.2021'!$A$6:$CZ$403,103,FALSE)+VLOOKUP($A273,'1.3.21-28.2.22'!$A$6:$DA$404,103,FALSE)-VLOOKUP($A273,'01-02.2022'!$A$6:$DA$376,103,FALSE)</f>
        <v>78287.36864459535</v>
      </c>
      <c r="CZ273" s="52">
        <f t="shared" si="310"/>
        <v>63117.233249083241</v>
      </c>
      <c r="DA273" s="150">
        <f>'[2]побудинковий звіт'!DA273</f>
        <v>11422.100718665024</v>
      </c>
      <c r="DB273" s="2">
        <v>3</v>
      </c>
      <c r="DC273" s="414">
        <f>'[4]побудинковий звіт'!DC273</f>
        <v>72220.259999999995</v>
      </c>
      <c r="DD273" s="414">
        <f>'[4]побудинковий звіт'!DD273</f>
        <v>11062.48</v>
      </c>
      <c r="DE273" s="557">
        <f>'[4]побудинковий звіт'!DE273</f>
        <v>44604.903123121752</v>
      </c>
      <c r="DF273" s="557">
        <f>'[4]побудинковий звіт'!DF273</f>
        <v>5745.5976832946681</v>
      </c>
      <c r="DG273" s="321">
        <f>VLOOKUP(A273,'кошти 01.03.2021'!$A$6:$D$401,4,)</f>
        <v>79727.324281120615</v>
      </c>
      <c r="DH273" s="40">
        <f>'[3]побудинковий звіт'!DJ273</f>
        <v>377038.03991840908</v>
      </c>
      <c r="DI273" s="422">
        <f>'[3]побудинковий звіт'!CU273+'[3]побудинковий звіт'!CX273</f>
        <v>32932.239193583577</v>
      </c>
      <c r="DJ273" s="306">
        <f>'[3]побудинковий звіт'!DM273</f>
        <v>5.3818515896628938</v>
      </c>
      <c r="DK273" s="306">
        <f t="shared" si="316"/>
        <v>5.3818515896628938</v>
      </c>
      <c r="DL273" s="306">
        <f>'[3]побудинковий звіт'!DO273</f>
        <v>4.7244378147372768</v>
      </c>
      <c r="DM273" s="28">
        <f t="shared" si="317"/>
        <v>27615.356876878239</v>
      </c>
      <c r="DN273" s="28">
        <f t="shared" si="318"/>
        <v>5316.8823167053315</v>
      </c>
      <c r="DO273" s="423">
        <f t="shared" si="319"/>
        <v>32932.239193583569</v>
      </c>
      <c r="DP273" s="94">
        <f t="shared" si="320"/>
        <v>0</v>
      </c>
      <c r="DQ273" s="28">
        <f t="shared" si="321"/>
        <v>32932.239193583569</v>
      </c>
      <c r="DR273" s="318"/>
      <c r="DT273" s="8"/>
      <c r="DU273" s="5"/>
      <c r="DX273" s="5">
        <f t="shared" si="322"/>
        <v>121534.83628842224</v>
      </c>
      <c r="DY273" s="5">
        <f t="shared" si="323"/>
        <v>50545.536</v>
      </c>
      <c r="DZ273" s="159">
        <f>'[3]побудинковий звіт'!EA273</f>
        <v>11022.44839023748</v>
      </c>
    </row>
    <row r="274" spans="1:130" x14ac:dyDescent="0.3">
      <c r="A274" s="325">
        <v>150000714</v>
      </c>
      <c r="B274" s="41" t="s">
        <v>720</v>
      </c>
      <c r="C274" s="42" t="s">
        <v>283</v>
      </c>
      <c r="D274" s="42"/>
      <c r="E274" s="293">
        <f t="shared" si="296"/>
        <v>2767.8</v>
      </c>
      <c r="F274" s="305">
        <f>'[3]побудинковий звіт'!F274</f>
        <v>2767.8</v>
      </c>
      <c r="G274" s="508">
        <f>'[3]побудинковий звіт'!G274</f>
        <v>0</v>
      </c>
      <c r="H274" s="560">
        <f>'[3]побудинковий звіт'!H274</f>
        <v>0</v>
      </c>
      <c r="I274" s="566">
        <f>VLOOKUP($A274,'01-02.2021'!$A$6:$CZ$403,9,FALSE)+VLOOKUP($A274,'1.3.21-28.2.22'!$A$6:$DA$404,9,FALSE)-VLOOKUP($A274,'01-02.2022'!$A$6:$DA$376,9,FALSE)</f>
        <v>9936.1575643222386</v>
      </c>
      <c r="J274" s="566">
        <f>VLOOKUP($A274,'01-02.2021'!$A$6:$CZ$403,10,FALSE)+VLOOKUP($A274,'1.3.21-28.2.22'!$A$6:$DA$404,10,FALSE)-VLOOKUP($A274,'01-02.2022'!$A$6:$DA$376,10,FALSE)</f>
        <v>9689.601387178358</v>
      </c>
      <c r="K274" s="52">
        <f t="shared" si="300"/>
        <v>-246.55617714388063</v>
      </c>
      <c r="L274" s="566">
        <f>VLOOKUP($A274,'01-02.2021'!$A$6:$CZ$403,12,FALSE)+VLOOKUP($A274,'1.3.21-28.2.22'!$A$6:$DA$404,12,FALSE)-VLOOKUP($A274,'01-02.2022'!$A$6:$DA$376,12,FALSE)</f>
        <v>2166.6319676773433</v>
      </c>
      <c r="M274" s="566">
        <f>VLOOKUP($A274,'01-02.2021'!$A$6:$CZ$403,13,FALSE)+VLOOKUP($A274,'1.3.21-28.2.22'!$A$6:$DA$404,13,FALSE)-VLOOKUP($A274,'01-02.2022'!$A$6:$DA$376,13,FALSE)</f>
        <v>2163.3278605648138</v>
      </c>
      <c r="N274" s="52">
        <f t="shared" si="301"/>
        <v>-3.3041071125294366</v>
      </c>
      <c r="O274" s="566">
        <f>VLOOKUP($A274,'01-02.2021'!$A$6:$CZ$403,15,FALSE)+VLOOKUP($A274,'1.3.21-28.2.22'!$A$6:$DA$404,15,FALSE)-VLOOKUP($A274,'01-02.2022'!$A$6:$DA$376,15,FALSE)</f>
        <v>3747.4754861077404</v>
      </c>
      <c r="P274" s="566">
        <f>VLOOKUP($A274,'01-02.2021'!$A$6:$CZ$403,16,FALSE)+VLOOKUP($A274,'1.3.21-28.2.22'!$A$6:$DA$404,16,FALSE)-VLOOKUP($A274,'01-02.2022'!$A$6:$DA$376,16,FALSE)</f>
        <v>3747.2333333333322</v>
      </c>
      <c r="Q274" s="70">
        <f t="shared" si="324"/>
        <v>-0.24215277440816863</v>
      </c>
      <c r="R274" s="566">
        <f>VLOOKUP($A274,'01-02.2021'!$A$6:$CZ$403,18,FALSE)+VLOOKUP($A274,'1.3.21-28.2.22'!$A$6:$DA$404,18,FALSE)-VLOOKUP($A274,'01-02.2022'!$A$6:$DA$376,18,FALSE)</f>
        <v>0</v>
      </c>
      <c r="S274" s="566">
        <f>VLOOKUP($A274,'01-02.2021'!$A$6:$CZ$403,19,FALSE)+VLOOKUP($A274,'1.3.21-28.2.22'!$A$6:$DA$404,19,FALSE)-VLOOKUP($A274,'01-02.2022'!$A$6:$DA$376,19,FALSE)</f>
        <v>0</v>
      </c>
      <c r="T274" s="70">
        <f t="shared" si="325"/>
        <v>0</v>
      </c>
      <c r="U274" s="566">
        <f>VLOOKUP($A274,'01-02.2021'!$A$6:$CZ$403,21,FALSE)+VLOOKUP($A274,'1.3.21-28.2.22'!$A$6:$DA$404,21,FALSE)-VLOOKUP($A274,'01-02.2022'!$A$6:$DA$376,21,FALSE)</f>
        <v>0</v>
      </c>
      <c r="V274" s="566">
        <f>VLOOKUP($A274,'01-02.2021'!$A$6:$CZ$403,22,FALSE)+VLOOKUP($A274,'1.3.21-28.2.22'!$A$6:$DA$404,22,FALSE)-VLOOKUP($A274,'01-02.2022'!$A$6:$DA$376,22,FALSE)</f>
        <v>0</v>
      </c>
      <c r="W274" s="70">
        <f t="shared" si="326"/>
        <v>0</v>
      </c>
      <c r="X274" s="566">
        <f>VLOOKUP($A274,'01-02.2021'!$A$6:$CZ$403,24,FALSE)+VLOOKUP($A274,'1.3.21-28.2.22'!$A$6:$DA$404,24,FALSE)-VLOOKUP($A274,'01-02.2022'!$A$6:$DA$376,24,FALSE)</f>
        <v>6104.5259954231897</v>
      </c>
      <c r="Y274" s="566">
        <f>VLOOKUP($A274,'01-02.2021'!$A$6:$CZ$403,25,FALSE)+VLOOKUP($A274,'1.3.21-28.2.22'!$A$6:$DA$404,25,FALSE)-VLOOKUP($A274,'01-02.2022'!$A$6:$DA$376,25,FALSE)</f>
        <v>5213.9601192734881</v>
      </c>
      <c r="Z274" s="70">
        <f t="shared" si="327"/>
        <v>-890.56587614970158</v>
      </c>
      <c r="AA274" s="566">
        <f>VLOOKUP($A274,'01-02.2021'!$A$6:$CZ$403,27,FALSE)+VLOOKUP($A274,'1.3.21-28.2.22'!$A$6:$DA$404,27,FALSE)-VLOOKUP($A274,'01-02.2022'!$A$6:$DA$376,27,FALSE)</f>
        <v>553.24</v>
      </c>
      <c r="AB274" s="566">
        <f>VLOOKUP($A274,'01-02.2021'!$A$6:$CZ$403,28,FALSE)+VLOOKUP($A274,'1.3.21-28.2.22'!$A$6:$DA$404,28,FALSE)-VLOOKUP($A274,'01-02.2022'!$A$6:$DA$376,28,FALSE)</f>
        <v>0</v>
      </c>
      <c r="AC274" s="70">
        <f t="shared" si="328"/>
        <v>-553.24</v>
      </c>
      <c r="AD274" s="566">
        <f>VLOOKUP($A274,'01-02.2021'!$A$6:$CZ$403,30,FALSE)+VLOOKUP($A274,'1.3.21-28.2.22'!$A$6:$DA$404,30,FALSE)-VLOOKUP($A274,'01-02.2022'!$A$6:$DA$376,30,FALSE)</f>
        <v>11885.589249033656</v>
      </c>
      <c r="AE274" s="566">
        <f>VLOOKUP($A274,'01-02.2021'!$A$6:$CZ$403,31,FALSE)+VLOOKUP($A274,'1.3.21-28.2.22'!$A$6:$DA$404,31,FALSE)-VLOOKUP($A274,'01-02.2022'!$A$6:$DA$376,31,FALSE)</f>
        <v>12599.137120890537</v>
      </c>
      <c r="AF274" s="68">
        <f t="shared" si="329"/>
        <v>713.5478718568811</v>
      </c>
      <c r="AG274" s="77">
        <f t="shared" si="297"/>
        <v>34393.620262564174</v>
      </c>
      <c r="AH274" s="53">
        <f t="shared" si="297"/>
        <v>33413.259821240528</v>
      </c>
      <c r="AI274" s="52">
        <f t="shared" si="302"/>
        <v>-980.36044132364623</v>
      </c>
      <c r="AJ274" s="566">
        <f>VLOOKUP($A274,'01-02.2021'!$A$6:$CZ$403,36,FALSE)+VLOOKUP($A274,'1.3.21-28.2.22'!$A$6:$DA$404,36,FALSE)-VLOOKUP($A274,'01-02.2022'!$A$6:$DA$376,36,FALSE)</f>
        <v>0</v>
      </c>
      <c r="AK274" s="566">
        <f>VLOOKUP($A274,'01-02.2021'!$A$6:$CZ$403,37,FALSE)+VLOOKUP($A274,'1.3.21-28.2.22'!$A$6:$DA$404,37,FALSE)-VLOOKUP($A274,'01-02.2022'!$A$6:$DA$376,37,FALSE)</f>
        <v>0</v>
      </c>
      <c r="AL274" s="70">
        <f t="shared" si="330"/>
        <v>0</v>
      </c>
      <c r="AM274" s="566">
        <f>VLOOKUP($A274,'01-02.2021'!$A$6:$CZ$403,39,FALSE)+VLOOKUP($A274,'1.3.21-28.2.22'!$A$6:$DA$404,39,FALSE)-VLOOKUP($A274,'01-02.2022'!$A$6:$DA$376,39,FALSE)</f>
        <v>0</v>
      </c>
      <c r="AN274" s="566">
        <f>VLOOKUP($A274,'01-02.2021'!$A$6:$CZ$403,40,FALSE)+VLOOKUP($A274,'1.3.21-28.2.22'!$A$6:$DA$404,40,FALSE)-VLOOKUP($A274,'01-02.2022'!$A$6:$DA$376,40,FALSE)</f>
        <v>0</v>
      </c>
      <c r="AO274" s="70">
        <f t="shared" si="331"/>
        <v>0</v>
      </c>
      <c r="AP274" s="566">
        <f>VLOOKUP($A274,'01-02.2021'!$A$6:$CZ$403,42,FALSE)+VLOOKUP($A274,'1.3.21-28.2.22'!$A$6:$DA$404,42,FALSE)-VLOOKUP($A274,'01-02.2022'!$A$6:$DA$376,42,FALSE)</f>
        <v>3904.1994375958316</v>
      </c>
      <c r="AQ274" s="566">
        <f>VLOOKUP($A274,'01-02.2021'!$A$6:$CZ$403,43,FALSE)+VLOOKUP($A274,'1.3.21-28.2.22'!$A$6:$DA$404,43,FALSE)-VLOOKUP($A274,'01-02.2022'!$A$6:$DA$376,43,FALSE)</f>
        <v>3367.953502434646</v>
      </c>
      <c r="AR274" s="70">
        <f t="shared" si="332"/>
        <v>-536.24593516118557</v>
      </c>
      <c r="AS274" s="566">
        <f>VLOOKUP($A274,'01-02.2021'!$A$6:$CZ$403,45,FALSE)+VLOOKUP($A274,'1.3.21-28.2.22'!$A$6:$DA$404,45,FALSE)-VLOOKUP($A274,'01-02.2022'!$A$6:$DA$376,45,FALSE)</f>
        <v>37695.398397333971</v>
      </c>
      <c r="AT274" s="566">
        <f>VLOOKUP($A274,'01-02.2021'!$A$6:$CZ$403,46,FALSE)+VLOOKUP($A274,'1.3.21-28.2.22'!$A$6:$DA$404,46,FALSE)-VLOOKUP($A274,'01-02.2022'!$A$6:$DA$376,46,FALSE)</f>
        <v>7770.9400000000005</v>
      </c>
      <c r="AU274" s="78">
        <f t="shared" si="333"/>
        <v>-29924.458397333969</v>
      </c>
      <c r="AV274" s="566">
        <f>VLOOKUP($A274,'01-02.2021'!$A$6:$CZ$403,48,FALSE)+VLOOKUP($A274,'1.3.21-28.2.22'!$A$6:$DA$404,48,FALSE)-VLOOKUP($A274,'01-02.2022'!$A$6:$DA$376,48,FALSE)</f>
        <v>2762.9959179138909</v>
      </c>
      <c r="AW274" s="566">
        <f>VLOOKUP($A274,'01-02.2021'!$A$6:$CZ$403,49,FALSE)+VLOOKUP($A274,'1.3.21-28.2.22'!$A$6:$DA$404,49,FALSE)-VLOOKUP($A274,'01-02.2022'!$A$6:$DA$376,49,FALSE)</f>
        <v>0</v>
      </c>
      <c r="AX274" s="55">
        <f t="shared" si="334"/>
        <v>-2762.9959179138909</v>
      </c>
      <c r="AY274" s="566">
        <f>VLOOKUP($A274,'01-02.2021'!$A$6:$CZ$403,51,FALSE)+VLOOKUP($A274,'1.3.21-28.2.22'!$A$6:$DA$404,51,FALSE)-VLOOKUP($A274,'01-02.2022'!$A$6:$DA$376,51,FALSE)</f>
        <v>4072.687211852759</v>
      </c>
      <c r="AZ274" s="566">
        <f>VLOOKUP($A274,'01-02.2021'!$A$6:$CZ$403,52,FALSE)+VLOOKUP($A274,'1.3.21-28.2.22'!$A$6:$DA$404,52,FALSE)-VLOOKUP($A274,'01-02.2022'!$A$6:$DA$376,52,FALSE)</f>
        <v>0</v>
      </c>
      <c r="BA274" s="38">
        <f t="shared" si="335"/>
        <v>-4072.687211852759</v>
      </c>
      <c r="BB274" s="566">
        <f>VLOOKUP($A274,'01-02.2021'!$A$6:$CZ$403,54,FALSE)+VLOOKUP($A274,'1.3.21-28.2.22'!$A$6:$DA$404,54,FALSE)-VLOOKUP($A274,'01-02.2022'!$A$6:$DA$376,54,FALSE)</f>
        <v>1298.2687675096377</v>
      </c>
      <c r="BC274" s="566">
        <f>VLOOKUP($A274,'01-02.2021'!$A$6:$CZ$403,55,FALSE)+VLOOKUP($A274,'1.3.21-28.2.22'!$A$6:$DA$404,55,FALSE)-VLOOKUP($A274,'01-02.2022'!$A$6:$DA$376,55,FALSE)</f>
        <v>1079</v>
      </c>
      <c r="BD274" s="55">
        <f t="shared" si="336"/>
        <v>-219.26876750963766</v>
      </c>
      <c r="BE274" s="566">
        <f>VLOOKUP($A274,'01-02.2021'!$A$6:$CZ$403,57,FALSE)+VLOOKUP($A274,'1.3.21-28.2.22'!$A$6:$DA$404,57,FALSE)-VLOOKUP($A274,'01-02.2022'!$A$6:$DA$376,57,FALSE)</f>
        <v>0</v>
      </c>
      <c r="BF274" s="566">
        <f>VLOOKUP($A274,'01-02.2021'!$A$6:$CZ$403,58,FALSE)+VLOOKUP($A274,'1.3.21-28.2.22'!$A$6:$DA$404,58,FALSE)-VLOOKUP($A274,'01-02.2022'!$A$6:$DA$376,58,FALSE)</f>
        <v>0</v>
      </c>
      <c r="BG274" s="55">
        <f t="shared" si="337"/>
        <v>0</v>
      </c>
      <c r="BH274" s="566">
        <f>VLOOKUP($A274,'01-02.2021'!$A$6:$CZ$403,60,FALSE)+VLOOKUP($A274,'1.3.21-28.2.22'!$A$6:$DA$404,60,FALSE)-VLOOKUP($A274,'01-02.2022'!$A$6:$DA$376,60,FALSE)</f>
        <v>0</v>
      </c>
      <c r="BI274" s="566">
        <f>VLOOKUP($A274,'01-02.2021'!$A$6:$CZ$403,61,FALSE)+VLOOKUP($A274,'1.3.21-28.2.22'!$A$6:$DA$404,61,FALSE)-VLOOKUP($A274,'01-02.2022'!$A$6:$DA$376,61,FALSE)</f>
        <v>0</v>
      </c>
      <c r="BJ274" s="55">
        <f t="shared" si="338"/>
        <v>0</v>
      </c>
      <c r="BK274" s="566">
        <f>VLOOKUP($A274,'01-02.2021'!$A$6:$CZ$403,63,FALSE)+VLOOKUP($A274,'1.3.21-28.2.22'!$A$6:$DA$404,63,FALSE)-VLOOKUP($A274,'01-02.2022'!$A$6:$DA$376,63,FALSE)</f>
        <v>1897.3831319748865</v>
      </c>
      <c r="BL274" s="566">
        <f>VLOOKUP($A274,'01-02.2021'!$A$6:$CZ$403,64,FALSE)+VLOOKUP($A274,'1.3.21-28.2.22'!$A$6:$DA$404,64,FALSE)-VLOOKUP($A274,'01-02.2022'!$A$6:$DA$376,64,FALSE)</f>
        <v>3971</v>
      </c>
      <c r="BM274" s="55">
        <f t="shared" si="339"/>
        <v>2073.6168680251135</v>
      </c>
      <c r="BN274" s="566">
        <f>VLOOKUP($A274,'01-02.2021'!$A$6:$CZ$403,66,FALSE)+VLOOKUP($A274,'1.3.21-28.2.22'!$A$6:$DA$404,66,FALSE)-VLOOKUP($A274,'01-02.2022'!$A$6:$DA$376,66,FALSE)</f>
        <v>138.31</v>
      </c>
      <c r="BO274" s="566">
        <f>VLOOKUP($A274,'01-02.2021'!$A$6:$CZ$403,67,FALSE)+VLOOKUP($A274,'1.3.21-28.2.22'!$A$6:$DA$404,67,FALSE)-VLOOKUP($A274,'01-02.2022'!$A$6:$DA$376,67,FALSE)</f>
        <v>0</v>
      </c>
      <c r="BP274" s="55">
        <f t="shared" si="340"/>
        <v>-138.31</v>
      </c>
      <c r="BQ274" s="77">
        <f t="shared" si="287"/>
        <v>10169.645029251174</v>
      </c>
      <c r="BR274" s="40">
        <f t="shared" si="315"/>
        <v>5050</v>
      </c>
      <c r="BS274" s="55">
        <f t="shared" si="314"/>
        <v>-5119.6450292511745</v>
      </c>
      <c r="BT274" s="566">
        <f>VLOOKUP($A274,'01-02.2021'!$A$6:$CZ$403,72,FALSE)+VLOOKUP($A274,'1.3.21-28.2.22'!$A$6:$DA$404,72,FALSE)-VLOOKUP($A274,'01-02.2022'!$A$6:$DA$376,72,FALSE)</f>
        <v>29793.564181890637</v>
      </c>
      <c r="BU274" s="566">
        <f>VLOOKUP($A274,'01-02.2021'!$A$6:$CZ$403,73,FALSE)+VLOOKUP($A274,'1.3.21-28.2.22'!$A$6:$DA$404,73,FALSE)-VLOOKUP($A274,'01-02.2022'!$A$6:$DA$376,73,FALSE)</f>
        <v>37559.151975683722</v>
      </c>
      <c r="BV274" s="70">
        <f t="shared" si="341"/>
        <v>7765.5877937930854</v>
      </c>
      <c r="BW274" s="566">
        <f>VLOOKUP($A274,'01-02.2021'!$A$6:$CZ$403,75,FALSE)+VLOOKUP($A274,'1.3.21-28.2.22'!$A$6:$DA$404,75,FALSE)-VLOOKUP($A274,'01-02.2022'!$A$6:$DA$376,75,FALSE)</f>
        <v>15662.002200051567</v>
      </c>
      <c r="BX274" s="566">
        <f>VLOOKUP($A274,'01-02.2021'!$A$6:$CZ$403,76,FALSE)+VLOOKUP($A274,'1.3.21-28.2.22'!$A$6:$DA$404,76,FALSE)-VLOOKUP($A274,'01-02.2022'!$A$6:$DA$376,76,FALSE)</f>
        <v>15655.354786015216</v>
      </c>
      <c r="BY274" s="70">
        <f t="shared" si="342"/>
        <v>-6.6474140363516199</v>
      </c>
      <c r="BZ274" s="566">
        <f>VLOOKUP($A274,'01-02.2021'!$A$6:$CZ$403,78,FALSE)+VLOOKUP($A274,'1.3.21-28.2.22'!$A$6:$DA$404,78,FALSE)-VLOOKUP($A274,'01-02.2022'!$A$6:$DA$376,78,FALSE)</f>
        <v>6458.2244241229528</v>
      </c>
      <c r="CA274" s="566">
        <f>VLOOKUP($A274,'01-02.2021'!$A$6:$CZ$403,79,FALSE)+VLOOKUP($A274,'1.3.21-28.2.22'!$A$6:$DA$404,79,FALSE)-VLOOKUP($A274,'01-02.2022'!$A$6:$DA$376,79,FALSE)</f>
        <v>6011.0272627819504</v>
      </c>
      <c r="CB274" s="70">
        <f t="shared" si="343"/>
        <v>-447.19716134100236</v>
      </c>
      <c r="CC274" s="566">
        <f>VLOOKUP($A274,'01-02.2021'!$A$6:$CZ$403,81,FALSE)+VLOOKUP($A274,'1.3.21-28.2.22'!$A$6:$DA$404,81,FALSE)-VLOOKUP($A274,'01-02.2022'!$A$6:$DA$376,81,FALSE)</f>
        <v>534.14941574852264</v>
      </c>
      <c r="CD274" s="566">
        <f>VLOOKUP($A274,'01-02.2021'!$A$6:$CZ$403,82,FALSE)+VLOOKUP($A274,'1.3.21-28.2.22'!$A$6:$DA$404,82,FALSE)-VLOOKUP($A274,'01-02.2022'!$A$6:$DA$376,82,FALSE)</f>
        <v>583.82158281066722</v>
      </c>
      <c r="CE274" s="70">
        <f t="shared" si="344"/>
        <v>49.672167062144581</v>
      </c>
      <c r="CF274" s="566">
        <f>VLOOKUP($A274,'01-02.2021'!$A$6:$CZ$403,84,FALSE)+VLOOKUP($A274,'1.3.21-28.2.22'!$A$6:$DA$404,84,FALSE)-VLOOKUP($A274,'01-02.2022'!$A$6:$DA$376,84,FALSE)</f>
        <v>64.936864462412842</v>
      </c>
      <c r="CG274" s="566">
        <f>VLOOKUP($A274,'01-02.2021'!$A$6:$CZ$403,85,FALSE)+VLOOKUP($A274,'1.3.21-28.2.22'!$A$6:$DA$404,85,FALSE)-VLOOKUP($A274,'01-02.2022'!$A$6:$DA$376,85,FALSE)</f>
        <v>0</v>
      </c>
      <c r="CH274" s="70">
        <f t="shared" si="345"/>
        <v>-64.936864462412842</v>
      </c>
      <c r="CI274" s="566">
        <f>VLOOKUP($A274,'01-02.2021'!$A$6:$CZ$403,87,FALSE)+VLOOKUP($A274,'1.3.21-28.2.22'!$A$6:$DA$404,87,FALSE)-VLOOKUP($A274,'01-02.2022'!$A$6:$DA$376,87,FALSE)</f>
        <v>10097.42352916173</v>
      </c>
      <c r="CJ274" s="566">
        <f>VLOOKUP($A274,'01-02.2021'!$A$6:$CZ$403,88,FALSE)+VLOOKUP($A274,'1.3.21-28.2.22'!$A$6:$DA$404,88,FALSE)-VLOOKUP($A274,'01-02.2022'!$A$6:$DA$376,88,FALSE)</f>
        <v>8055.81017550041</v>
      </c>
      <c r="CK274" s="70">
        <f t="shared" si="346"/>
        <v>-2041.6133536613197</v>
      </c>
      <c r="CL274" s="566">
        <f>VLOOKUP($A274,'01-02.2021'!$A$6:$CZ$403,90,FALSE)+VLOOKUP($A274,'1.3.21-28.2.22'!$A$6:$DA$404,90,FALSE)-VLOOKUP($A274,'01-02.2022'!$A$6:$DA$376,90,FALSE)</f>
        <v>0</v>
      </c>
      <c r="CM274" s="566">
        <f>VLOOKUP($A274,'01-02.2021'!$A$6:$CZ$403,91,FALSE)+VLOOKUP($A274,'1.3.21-28.2.22'!$A$6:$DA$404,91,FALSE)-VLOOKUP($A274,'01-02.2022'!$A$6:$DA$376,91,FALSE)</f>
        <v>0</v>
      </c>
      <c r="CN274" s="52">
        <f t="shared" si="303"/>
        <v>0</v>
      </c>
      <c r="CO274" s="39">
        <f t="shared" si="298"/>
        <v>10097.42352916173</v>
      </c>
      <c r="CP274" s="40">
        <f t="shared" si="304"/>
        <v>8055.81017550041</v>
      </c>
      <c r="CQ274" s="52">
        <f t="shared" si="305"/>
        <v>-2041.6133536613197</v>
      </c>
      <c r="CR274" s="72">
        <f t="shared" si="299"/>
        <v>148773.16374218295</v>
      </c>
      <c r="CS274" s="5">
        <f t="shared" si="299"/>
        <v>117467.31910646716</v>
      </c>
      <c r="CT274" s="52">
        <f t="shared" si="306"/>
        <v>-31305.844635715795</v>
      </c>
      <c r="CU274" s="77">
        <f t="shared" si="307"/>
        <v>178527.79649061954</v>
      </c>
      <c r="CV274" s="65">
        <f t="shared" si="308"/>
        <v>140960.78292776059</v>
      </c>
      <c r="CW274" s="35">
        <f t="shared" si="309"/>
        <v>-37567.013562858949</v>
      </c>
      <c r="CX274" s="566">
        <f>VLOOKUP($A274,'01-02.2021'!$A$6:$CZ$403,102,FALSE)+VLOOKUP($A274,'1.3.21-28.2.22'!$A$6:$DA$404,102,FALSE)-VLOOKUP($A274,'01-02.2022'!$A$6:$DA$376,102,FALSE)</f>
        <v>5648.1197075143873</v>
      </c>
      <c r="CY274" s="566">
        <f>VLOOKUP($A274,'01-02.2021'!$A$6:$CZ$403,103,FALSE)+VLOOKUP($A274,'1.3.21-28.2.22'!$A$6:$DA$404,103,FALSE)-VLOOKUP($A274,'01-02.2022'!$A$6:$DA$376,103,FALSE)</f>
        <v>43215.133270373393</v>
      </c>
      <c r="CZ274" s="52">
        <f t="shared" si="310"/>
        <v>37567.013562859007</v>
      </c>
      <c r="DA274" s="150">
        <f>'[2]побудинковий звіт'!DA274</f>
        <v>86969.837981127654</v>
      </c>
      <c r="DB274" s="2">
        <v>3</v>
      </c>
      <c r="DC274" s="414">
        <f>'[4]побудинковий звіт'!DC274</f>
        <v>23845.98</v>
      </c>
      <c r="DD274" s="414">
        <f>'[4]побудинковий звіт'!DD274</f>
        <v>0</v>
      </c>
      <c r="DE274" s="557">
        <f>'[4]побудинковий звіт'!DE274</f>
        <v>7123.4269363813</v>
      </c>
      <c r="DF274" s="557">
        <f>'[4]побудинковий звіт'!DF274</f>
        <v>0</v>
      </c>
      <c r="DG274" s="321">
        <f>VLOOKUP(A274,'кошти 01.03.2021'!$A$6:$D$401,4,)</f>
        <v>126260.82887321526</v>
      </c>
      <c r="DH274" s="40">
        <f>'[3]побудинковий звіт'!DJ274</f>
        <v>190676.44223648231</v>
      </c>
      <c r="DI274" s="422">
        <f>'[3]побудинковий звіт'!CU274+'[3]побудинковий звіт'!CX274</f>
        <v>16722.553063618703</v>
      </c>
      <c r="DJ274" s="306">
        <f>'[3]побудинковий звіт'!DM274</f>
        <v>6.0418213251025001</v>
      </c>
      <c r="DK274" s="306">
        <f t="shared" si="316"/>
        <v>6.0418213251025001</v>
      </c>
      <c r="DL274" s="306">
        <f>'[3]побудинковий звіт'!DO274</f>
        <v>5.360875588508736</v>
      </c>
      <c r="DM274" s="28">
        <f t="shared" si="317"/>
        <v>16722.5530636187</v>
      </c>
      <c r="DN274" s="28">
        <f t="shared" si="318"/>
        <v>0</v>
      </c>
      <c r="DO274" s="423">
        <f t="shared" si="319"/>
        <v>16722.5530636187</v>
      </c>
      <c r="DP274" s="94">
        <f t="shared" si="320"/>
        <v>0</v>
      </c>
      <c r="DQ274" s="28">
        <f t="shared" si="321"/>
        <v>16722.5530636187</v>
      </c>
      <c r="DR274" s="318"/>
      <c r="DT274" s="8"/>
      <c r="DU274" s="5"/>
      <c r="DX274" s="5">
        <f t="shared" si="322"/>
        <v>57438.052111902172</v>
      </c>
      <c r="DY274" s="5">
        <f t="shared" si="323"/>
        <v>15385.128000000001</v>
      </c>
      <c r="DZ274" s="159">
        <f>'[3]побудинковий звіт'!EA274</f>
        <v>5451.0292365269024</v>
      </c>
    </row>
    <row r="275" spans="1:130" x14ac:dyDescent="0.3">
      <c r="A275" s="325">
        <v>150000715</v>
      </c>
      <c r="B275" s="41" t="s">
        <v>721</v>
      </c>
      <c r="C275" s="42" t="s">
        <v>284</v>
      </c>
      <c r="D275" s="42"/>
      <c r="E275" s="293">
        <f t="shared" si="296"/>
        <v>4580.3</v>
      </c>
      <c r="F275" s="305">
        <f>'[3]побудинковий звіт'!F275</f>
        <v>4580.3</v>
      </c>
      <c r="G275" s="508">
        <f>'[3]побудинковий звіт'!G275</f>
        <v>0</v>
      </c>
      <c r="H275" s="560">
        <f>'[3]побудинковий звіт'!H275</f>
        <v>0</v>
      </c>
      <c r="I275" s="566">
        <f>VLOOKUP($A275,'01-02.2021'!$A$6:$CZ$403,9,FALSE)+VLOOKUP($A275,'1.3.21-28.2.22'!$A$6:$DA$404,9,FALSE)-VLOOKUP($A275,'01-02.2022'!$A$6:$DA$376,9,FALSE)</f>
        <v>15745.653820313979</v>
      </c>
      <c r="J275" s="566">
        <f>VLOOKUP($A275,'01-02.2021'!$A$6:$CZ$403,10,FALSE)+VLOOKUP($A275,'1.3.21-28.2.22'!$A$6:$DA$404,10,FALSE)-VLOOKUP($A275,'01-02.2022'!$A$6:$DA$376,10,FALSE)</f>
        <v>15373.388977657003</v>
      </c>
      <c r="K275" s="52">
        <f t="shared" si="300"/>
        <v>-372.26484265697582</v>
      </c>
      <c r="L275" s="566">
        <f>VLOOKUP($A275,'01-02.2021'!$A$6:$CZ$403,12,FALSE)+VLOOKUP($A275,'1.3.21-28.2.22'!$A$6:$DA$404,12,FALSE)-VLOOKUP($A275,'01-02.2022'!$A$6:$DA$376,12,FALSE)</f>
        <v>3307.3372469543974</v>
      </c>
      <c r="M275" s="566">
        <f>VLOOKUP($A275,'01-02.2021'!$A$6:$CZ$403,13,FALSE)+VLOOKUP($A275,'1.3.21-28.2.22'!$A$6:$DA$404,13,FALSE)-VLOOKUP($A275,'01-02.2022'!$A$6:$DA$376,13,FALSE)</f>
        <v>3302.2978844281679</v>
      </c>
      <c r="N275" s="52">
        <f t="shared" si="301"/>
        <v>-5.0393625262295245</v>
      </c>
      <c r="O275" s="566">
        <f>VLOOKUP($A275,'01-02.2021'!$A$6:$CZ$403,15,FALSE)+VLOOKUP($A275,'1.3.21-28.2.22'!$A$6:$DA$404,15,FALSE)-VLOOKUP($A275,'01-02.2022'!$A$6:$DA$376,15,FALSE)</f>
        <v>6348.2255776336569</v>
      </c>
      <c r="P275" s="566">
        <f>VLOOKUP($A275,'01-02.2021'!$A$6:$CZ$403,16,FALSE)+VLOOKUP($A275,'1.3.21-28.2.22'!$A$6:$DA$404,16,FALSE)-VLOOKUP($A275,'01-02.2022'!$A$6:$DA$376,16,FALSE)</f>
        <v>6349.0899999999992</v>
      </c>
      <c r="Q275" s="70">
        <f t="shared" si="324"/>
        <v>0.8644223663422963</v>
      </c>
      <c r="R275" s="566">
        <f>VLOOKUP($A275,'01-02.2021'!$A$6:$CZ$403,18,FALSE)+VLOOKUP($A275,'1.3.21-28.2.22'!$A$6:$DA$404,18,FALSE)-VLOOKUP($A275,'01-02.2022'!$A$6:$DA$376,18,FALSE)</f>
        <v>0</v>
      </c>
      <c r="S275" s="566">
        <f>VLOOKUP($A275,'01-02.2021'!$A$6:$CZ$403,19,FALSE)+VLOOKUP($A275,'1.3.21-28.2.22'!$A$6:$DA$404,19,FALSE)-VLOOKUP($A275,'01-02.2022'!$A$6:$DA$376,19,FALSE)</f>
        <v>0</v>
      </c>
      <c r="T275" s="70">
        <f t="shared" si="325"/>
        <v>0</v>
      </c>
      <c r="U275" s="566">
        <f>VLOOKUP($A275,'01-02.2021'!$A$6:$CZ$403,21,FALSE)+VLOOKUP($A275,'1.3.21-28.2.22'!$A$6:$DA$404,21,FALSE)-VLOOKUP($A275,'01-02.2022'!$A$6:$DA$376,21,FALSE)</f>
        <v>1136.9879090489001</v>
      </c>
      <c r="V275" s="566">
        <f>VLOOKUP($A275,'01-02.2021'!$A$6:$CZ$403,22,FALSE)+VLOOKUP($A275,'1.3.21-28.2.22'!$A$6:$DA$404,22,FALSE)-VLOOKUP($A275,'01-02.2022'!$A$6:$DA$376,22,FALSE)</f>
        <v>966.27105269629715</v>
      </c>
      <c r="W275" s="70">
        <f t="shared" si="326"/>
        <v>-170.71685635260292</v>
      </c>
      <c r="X275" s="566">
        <f>VLOOKUP($A275,'01-02.2021'!$A$6:$CZ$403,24,FALSE)+VLOOKUP($A275,'1.3.21-28.2.22'!$A$6:$DA$404,24,FALSE)-VLOOKUP($A275,'01-02.2022'!$A$6:$DA$376,24,FALSE)</f>
        <v>11000.14463823567</v>
      </c>
      <c r="Y275" s="566">
        <f>VLOOKUP($A275,'01-02.2021'!$A$6:$CZ$403,25,FALSE)+VLOOKUP($A275,'1.3.21-28.2.22'!$A$6:$DA$404,25,FALSE)-VLOOKUP($A275,'01-02.2022'!$A$6:$DA$376,25,FALSE)</f>
        <v>10375.053414419501</v>
      </c>
      <c r="Z275" s="70">
        <f t="shared" si="327"/>
        <v>-625.09122381616908</v>
      </c>
      <c r="AA275" s="566">
        <f>VLOOKUP($A275,'01-02.2021'!$A$6:$CZ$403,27,FALSE)+VLOOKUP($A275,'1.3.21-28.2.22'!$A$6:$DA$404,27,FALSE)-VLOOKUP($A275,'01-02.2022'!$A$6:$DA$376,27,FALSE)</f>
        <v>916.06000000000017</v>
      </c>
      <c r="AB275" s="566">
        <f>VLOOKUP($A275,'01-02.2021'!$A$6:$CZ$403,28,FALSE)+VLOOKUP($A275,'1.3.21-28.2.22'!$A$6:$DA$404,28,FALSE)-VLOOKUP($A275,'01-02.2022'!$A$6:$DA$376,28,FALSE)</f>
        <v>0</v>
      </c>
      <c r="AC275" s="70">
        <f t="shared" si="328"/>
        <v>-916.06000000000017</v>
      </c>
      <c r="AD275" s="566">
        <f>VLOOKUP($A275,'01-02.2021'!$A$6:$CZ$403,30,FALSE)+VLOOKUP($A275,'1.3.21-28.2.22'!$A$6:$DA$404,30,FALSE)-VLOOKUP($A275,'01-02.2022'!$A$6:$DA$376,30,FALSE)</f>
        <v>19673.703011041034</v>
      </c>
      <c r="AE275" s="566">
        <f>VLOOKUP($A275,'01-02.2021'!$A$6:$CZ$403,31,FALSE)+VLOOKUP($A275,'1.3.21-28.2.22'!$A$6:$DA$404,31,FALSE)-VLOOKUP($A275,'01-02.2022'!$A$6:$DA$376,31,FALSE)</f>
        <v>20849.710150594306</v>
      </c>
      <c r="AF275" s="68">
        <f t="shared" si="329"/>
        <v>1176.0071395532723</v>
      </c>
      <c r="AG275" s="77">
        <f t="shared" si="297"/>
        <v>58128.11220322764</v>
      </c>
      <c r="AH275" s="53">
        <f t="shared" si="297"/>
        <v>57215.81147979528</v>
      </c>
      <c r="AI275" s="52">
        <f t="shared" si="302"/>
        <v>-912.30072343235952</v>
      </c>
      <c r="AJ275" s="566">
        <f>VLOOKUP($A275,'01-02.2021'!$A$6:$CZ$403,36,FALSE)+VLOOKUP($A275,'1.3.21-28.2.22'!$A$6:$DA$404,36,FALSE)-VLOOKUP($A275,'01-02.2022'!$A$6:$DA$376,36,FALSE)</f>
        <v>0</v>
      </c>
      <c r="AK275" s="566">
        <f>VLOOKUP($A275,'01-02.2021'!$A$6:$CZ$403,37,FALSE)+VLOOKUP($A275,'1.3.21-28.2.22'!$A$6:$DA$404,37,FALSE)-VLOOKUP($A275,'01-02.2022'!$A$6:$DA$376,37,FALSE)</f>
        <v>0</v>
      </c>
      <c r="AL275" s="70">
        <f t="shared" si="330"/>
        <v>0</v>
      </c>
      <c r="AM275" s="566">
        <f>VLOOKUP($A275,'01-02.2021'!$A$6:$CZ$403,39,FALSE)+VLOOKUP($A275,'1.3.21-28.2.22'!$A$6:$DA$404,39,FALSE)-VLOOKUP($A275,'01-02.2022'!$A$6:$DA$376,39,FALSE)</f>
        <v>0</v>
      </c>
      <c r="AN275" s="566">
        <f>VLOOKUP($A275,'01-02.2021'!$A$6:$CZ$403,40,FALSE)+VLOOKUP($A275,'1.3.21-28.2.22'!$A$6:$DA$404,40,FALSE)-VLOOKUP($A275,'01-02.2022'!$A$6:$DA$376,40,FALSE)</f>
        <v>0</v>
      </c>
      <c r="AO275" s="70">
        <f t="shared" si="331"/>
        <v>0</v>
      </c>
      <c r="AP275" s="566">
        <f>VLOOKUP($A275,'01-02.2021'!$A$6:$CZ$403,42,FALSE)+VLOOKUP($A275,'1.3.21-28.2.22'!$A$6:$DA$404,42,FALSE)-VLOOKUP($A275,'01-02.2022'!$A$6:$DA$376,42,FALSE)</f>
        <v>13013.998125319435</v>
      </c>
      <c r="AQ275" s="566">
        <f>VLOOKUP($A275,'01-02.2021'!$A$6:$CZ$403,43,FALSE)+VLOOKUP($A275,'1.3.21-28.2.22'!$A$6:$DA$404,43,FALSE)-VLOOKUP($A275,'01-02.2022'!$A$6:$DA$376,43,FALSE)</f>
        <v>11232.334828581263</v>
      </c>
      <c r="AR275" s="70">
        <f t="shared" si="332"/>
        <v>-1781.663296738172</v>
      </c>
      <c r="AS275" s="566">
        <f>VLOOKUP($A275,'01-02.2021'!$A$6:$CZ$403,45,FALSE)+VLOOKUP($A275,'1.3.21-28.2.22'!$A$6:$DA$404,45,FALSE)-VLOOKUP($A275,'01-02.2022'!$A$6:$DA$376,45,FALSE)</f>
        <v>53968.840797209596</v>
      </c>
      <c r="AT275" s="566">
        <f>VLOOKUP($A275,'01-02.2021'!$A$6:$CZ$403,46,FALSE)+VLOOKUP($A275,'1.3.21-28.2.22'!$A$6:$DA$404,46,FALSE)-VLOOKUP($A275,'01-02.2022'!$A$6:$DA$376,46,FALSE)</f>
        <v>94861.56</v>
      </c>
      <c r="AU275" s="78">
        <f t="shared" si="333"/>
        <v>40892.719202790402</v>
      </c>
      <c r="AV275" s="566">
        <f>VLOOKUP($A275,'01-02.2021'!$A$6:$CZ$403,48,FALSE)+VLOOKUP($A275,'1.3.21-28.2.22'!$A$6:$DA$404,48,FALSE)-VLOOKUP($A275,'01-02.2022'!$A$6:$DA$376,48,FALSE)</f>
        <v>4284.2564572634001</v>
      </c>
      <c r="AW275" s="566">
        <f>VLOOKUP($A275,'01-02.2021'!$A$6:$CZ$403,49,FALSE)+VLOOKUP($A275,'1.3.21-28.2.22'!$A$6:$DA$404,49,FALSE)-VLOOKUP($A275,'01-02.2022'!$A$6:$DA$376,49,FALSE)</f>
        <v>5624</v>
      </c>
      <c r="AX275" s="55">
        <f t="shared" si="334"/>
        <v>1339.7435427365999</v>
      </c>
      <c r="AY275" s="566">
        <f>VLOOKUP($A275,'01-02.2021'!$A$6:$CZ$403,51,FALSE)+VLOOKUP($A275,'1.3.21-28.2.22'!$A$6:$DA$404,51,FALSE)-VLOOKUP($A275,'01-02.2022'!$A$6:$DA$376,51,FALSE)</f>
        <v>6217.1136087531577</v>
      </c>
      <c r="AZ275" s="566">
        <f>VLOOKUP($A275,'01-02.2021'!$A$6:$CZ$403,52,FALSE)+VLOOKUP($A275,'1.3.21-28.2.22'!$A$6:$DA$404,52,FALSE)-VLOOKUP($A275,'01-02.2022'!$A$6:$DA$376,52,FALSE)</f>
        <v>3978</v>
      </c>
      <c r="BA275" s="38">
        <f t="shared" si="335"/>
        <v>-2239.1136087531577</v>
      </c>
      <c r="BB275" s="566">
        <f>VLOOKUP($A275,'01-02.2021'!$A$6:$CZ$403,54,FALSE)+VLOOKUP($A275,'1.3.21-28.2.22'!$A$6:$DA$404,54,FALSE)-VLOOKUP($A275,'01-02.2022'!$A$6:$DA$376,54,FALSE)</f>
        <v>2196.3323760956864</v>
      </c>
      <c r="BC275" s="566">
        <f>VLOOKUP($A275,'01-02.2021'!$A$6:$CZ$403,55,FALSE)+VLOOKUP($A275,'1.3.21-28.2.22'!$A$6:$DA$404,55,FALSE)-VLOOKUP($A275,'01-02.2022'!$A$6:$DA$376,55,FALSE)</f>
        <v>8950</v>
      </c>
      <c r="BD275" s="55">
        <f t="shared" si="336"/>
        <v>6753.6676239043136</v>
      </c>
      <c r="BE275" s="566">
        <f>VLOOKUP($A275,'01-02.2021'!$A$6:$CZ$403,57,FALSE)+VLOOKUP($A275,'1.3.21-28.2.22'!$A$6:$DA$404,57,FALSE)-VLOOKUP($A275,'01-02.2022'!$A$6:$DA$376,57,FALSE)</f>
        <v>0</v>
      </c>
      <c r="BF275" s="566">
        <f>VLOOKUP($A275,'01-02.2021'!$A$6:$CZ$403,58,FALSE)+VLOOKUP($A275,'1.3.21-28.2.22'!$A$6:$DA$404,58,FALSE)-VLOOKUP($A275,'01-02.2022'!$A$6:$DA$376,58,FALSE)</f>
        <v>0</v>
      </c>
      <c r="BG275" s="55">
        <f t="shared" si="337"/>
        <v>0</v>
      </c>
      <c r="BH275" s="566">
        <f>VLOOKUP($A275,'01-02.2021'!$A$6:$CZ$403,60,FALSE)+VLOOKUP($A275,'1.3.21-28.2.22'!$A$6:$DA$404,60,FALSE)-VLOOKUP($A275,'01-02.2022'!$A$6:$DA$376,60,FALSE)</f>
        <v>2550.8419274939465</v>
      </c>
      <c r="BI275" s="566">
        <f>VLOOKUP($A275,'01-02.2021'!$A$6:$CZ$403,61,FALSE)+VLOOKUP($A275,'1.3.21-28.2.22'!$A$6:$DA$404,61,FALSE)-VLOOKUP($A275,'01-02.2022'!$A$6:$DA$376,61,FALSE)</f>
        <v>0</v>
      </c>
      <c r="BJ275" s="55">
        <f t="shared" si="338"/>
        <v>-2550.8419274939465</v>
      </c>
      <c r="BK275" s="566">
        <f>VLOOKUP($A275,'01-02.2021'!$A$6:$CZ$403,63,FALSE)+VLOOKUP($A275,'1.3.21-28.2.22'!$A$6:$DA$404,63,FALSE)-VLOOKUP($A275,'01-02.2022'!$A$6:$DA$376,63,FALSE)</f>
        <v>4024.0507716659999</v>
      </c>
      <c r="BL275" s="566">
        <f>VLOOKUP($A275,'01-02.2021'!$A$6:$CZ$403,64,FALSE)+VLOOKUP($A275,'1.3.21-28.2.22'!$A$6:$DA$404,64,FALSE)-VLOOKUP($A275,'01-02.2022'!$A$6:$DA$376,64,FALSE)</f>
        <v>505</v>
      </c>
      <c r="BM275" s="55">
        <f t="shared" si="339"/>
        <v>-3519.0507716659999</v>
      </c>
      <c r="BN275" s="566">
        <f>VLOOKUP($A275,'01-02.2021'!$A$6:$CZ$403,66,FALSE)+VLOOKUP($A275,'1.3.21-28.2.22'!$A$6:$DA$404,66,FALSE)-VLOOKUP($A275,'01-02.2022'!$A$6:$DA$376,66,FALSE)</f>
        <v>229.01500000000004</v>
      </c>
      <c r="BO275" s="566">
        <f>VLOOKUP($A275,'01-02.2021'!$A$6:$CZ$403,67,FALSE)+VLOOKUP($A275,'1.3.21-28.2.22'!$A$6:$DA$404,67,FALSE)-VLOOKUP($A275,'01-02.2022'!$A$6:$DA$376,67,FALSE)</f>
        <v>0</v>
      </c>
      <c r="BP275" s="55">
        <f t="shared" si="340"/>
        <v>-229.01500000000004</v>
      </c>
      <c r="BQ275" s="77">
        <f t="shared" si="287"/>
        <v>19501.610141272191</v>
      </c>
      <c r="BR275" s="40">
        <f t="shared" si="315"/>
        <v>19057</v>
      </c>
      <c r="BS275" s="55">
        <f t="shared" si="314"/>
        <v>-444.61014127219096</v>
      </c>
      <c r="BT275" s="566">
        <f>VLOOKUP($A275,'01-02.2021'!$A$6:$CZ$403,72,FALSE)+VLOOKUP($A275,'1.3.21-28.2.22'!$A$6:$DA$404,72,FALSE)-VLOOKUP($A275,'01-02.2022'!$A$6:$DA$376,72,FALSE)</f>
        <v>39389.439466918382</v>
      </c>
      <c r="BU275" s="566">
        <f>VLOOKUP($A275,'01-02.2021'!$A$6:$CZ$403,73,FALSE)+VLOOKUP($A275,'1.3.21-28.2.22'!$A$6:$DA$404,73,FALSE)-VLOOKUP($A275,'01-02.2022'!$A$6:$DA$376,73,FALSE)</f>
        <v>51400.188060649911</v>
      </c>
      <c r="BV275" s="70">
        <f t="shared" si="341"/>
        <v>12010.748593731529</v>
      </c>
      <c r="BW275" s="566">
        <f>VLOOKUP($A275,'01-02.2021'!$A$6:$CZ$403,75,FALSE)+VLOOKUP($A275,'1.3.21-28.2.22'!$A$6:$DA$404,75,FALSE)-VLOOKUP($A275,'01-02.2022'!$A$6:$DA$376,75,FALSE)</f>
        <v>20271.674356302727</v>
      </c>
      <c r="BX275" s="566">
        <f>VLOOKUP($A275,'01-02.2021'!$A$6:$CZ$403,76,FALSE)+VLOOKUP($A275,'1.3.21-28.2.22'!$A$6:$DA$404,76,FALSE)-VLOOKUP($A275,'01-02.2022'!$A$6:$DA$376,76,FALSE)</f>
        <v>20572.82828943705</v>
      </c>
      <c r="BY275" s="70">
        <f t="shared" si="342"/>
        <v>301.15393313432287</v>
      </c>
      <c r="BZ275" s="566">
        <f>VLOOKUP($A275,'01-02.2021'!$A$6:$CZ$403,78,FALSE)+VLOOKUP($A275,'1.3.21-28.2.22'!$A$6:$DA$404,78,FALSE)-VLOOKUP($A275,'01-02.2022'!$A$6:$DA$376,78,FALSE)</f>
        <v>10616.077267383946</v>
      </c>
      <c r="CA275" s="566">
        <f>VLOOKUP($A275,'01-02.2021'!$A$6:$CZ$403,79,FALSE)+VLOOKUP($A275,'1.3.21-28.2.22'!$A$6:$DA$404,79,FALSE)-VLOOKUP($A275,'01-02.2022'!$A$6:$DA$376,79,FALSE)</f>
        <v>8438.3180007991723</v>
      </c>
      <c r="CB275" s="70">
        <f t="shared" si="343"/>
        <v>-2177.7592665847733</v>
      </c>
      <c r="CC275" s="566">
        <f>VLOOKUP($A275,'01-02.2021'!$A$6:$CZ$403,81,FALSE)+VLOOKUP($A275,'1.3.21-28.2.22'!$A$6:$DA$404,81,FALSE)-VLOOKUP($A275,'01-02.2022'!$A$6:$DA$376,81,FALSE)</f>
        <v>534.14941574852264</v>
      </c>
      <c r="CD275" s="566">
        <f>VLOOKUP($A275,'01-02.2021'!$A$6:$CZ$403,82,FALSE)+VLOOKUP($A275,'1.3.21-28.2.22'!$A$6:$DA$404,82,FALSE)-VLOOKUP($A275,'01-02.2022'!$A$6:$DA$376,82,FALSE)</f>
        <v>583.82158281066722</v>
      </c>
      <c r="CE275" s="70">
        <f t="shared" si="344"/>
        <v>49.672167062144581</v>
      </c>
      <c r="CF275" s="566">
        <f>VLOOKUP($A275,'01-02.2021'!$A$6:$CZ$403,84,FALSE)+VLOOKUP($A275,'1.3.21-28.2.22'!$A$6:$DA$404,84,FALSE)-VLOOKUP($A275,'01-02.2022'!$A$6:$DA$376,84,FALSE)</f>
        <v>64.936864462412842</v>
      </c>
      <c r="CG275" s="566">
        <f>VLOOKUP($A275,'01-02.2021'!$A$6:$CZ$403,85,FALSE)+VLOOKUP($A275,'1.3.21-28.2.22'!$A$6:$DA$404,85,FALSE)-VLOOKUP($A275,'01-02.2022'!$A$6:$DA$376,85,FALSE)</f>
        <v>0</v>
      </c>
      <c r="CH275" s="70">
        <f t="shared" si="345"/>
        <v>-64.936864462412842</v>
      </c>
      <c r="CI275" s="566">
        <f>VLOOKUP($A275,'01-02.2021'!$A$6:$CZ$403,87,FALSE)+VLOOKUP($A275,'1.3.21-28.2.22'!$A$6:$DA$404,87,FALSE)-VLOOKUP($A275,'01-02.2022'!$A$6:$DA$376,87,FALSE)</f>
        <v>5563.0756734149154</v>
      </c>
      <c r="CJ275" s="566">
        <f>VLOOKUP($A275,'01-02.2021'!$A$6:$CZ$403,88,FALSE)+VLOOKUP($A275,'1.3.21-28.2.22'!$A$6:$DA$404,88,FALSE)-VLOOKUP($A275,'01-02.2022'!$A$6:$DA$376,88,FALSE)</f>
        <v>4043.9668452185638</v>
      </c>
      <c r="CK275" s="70">
        <f t="shared" si="346"/>
        <v>-1519.1088281963516</v>
      </c>
      <c r="CL275" s="566">
        <f>VLOOKUP($A275,'01-02.2021'!$A$6:$CZ$403,90,FALSE)+VLOOKUP($A275,'1.3.21-28.2.22'!$A$6:$DA$404,90,FALSE)-VLOOKUP($A275,'01-02.2022'!$A$6:$DA$376,90,FALSE)</f>
        <v>0</v>
      </c>
      <c r="CM275" s="566">
        <f>VLOOKUP($A275,'01-02.2021'!$A$6:$CZ$403,91,FALSE)+VLOOKUP($A275,'1.3.21-28.2.22'!$A$6:$DA$404,91,FALSE)-VLOOKUP($A275,'01-02.2022'!$A$6:$DA$376,91,FALSE)</f>
        <v>0</v>
      </c>
      <c r="CN275" s="52">
        <f t="shared" si="303"/>
        <v>0</v>
      </c>
      <c r="CO275" s="39">
        <f t="shared" si="298"/>
        <v>5563.0756734149154</v>
      </c>
      <c r="CP275" s="40">
        <f t="shared" si="304"/>
        <v>4043.9668452185638</v>
      </c>
      <c r="CQ275" s="52">
        <f t="shared" si="305"/>
        <v>-1519.1088281963516</v>
      </c>
      <c r="CR275" s="72">
        <f t="shared" si="299"/>
        <v>221051.91431125978</v>
      </c>
      <c r="CS275" s="5">
        <f t="shared" si="299"/>
        <v>267405.8290872919</v>
      </c>
      <c r="CT275" s="52">
        <f t="shared" si="306"/>
        <v>46353.914776032121</v>
      </c>
      <c r="CU275" s="77">
        <f t="shared" si="307"/>
        <v>265262.2971735117</v>
      </c>
      <c r="CV275" s="65">
        <f t="shared" si="308"/>
        <v>320886.99490475026</v>
      </c>
      <c r="CW275" s="35">
        <f t="shared" si="309"/>
        <v>55624.697731238557</v>
      </c>
      <c r="CX275" s="566">
        <f>VLOOKUP($A275,'01-02.2021'!$A$6:$CZ$403,102,FALSE)+VLOOKUP($A275,'1.3.21-28.2.22'!$A$6:$DA$404,102,FALSE)-VLOOKUP($A275,'01-02.2022'!$A$6:$DA$376,102,FALSE)</f>
        <v>11157.005287776694</v>
      </c>
      <c r="CY275" s="566">
        <f>VLOOKUP($A275,'01-02.2021'!$A$6:$CZ$403,103,FALSE)+VLOOKUP($A275,'1.3.21-28.2.22'!$A$6:$DA$404,103,FALSE)-VLOOKUP($A275,'01-02.2022'!$A$6:$DA$376,103,FALSE)</f>
        <v>-44467.692443461885</v>
      </c>
      <c r="CZ275" s="52">
        <f t="shared" si="310"/>
        <v>-55624.697731238579</v>
      </c>
      <c r="DA275" s="150">
        <f>'[2]побудинковий звіт'!DA275</f>
        <v>64146.864205431084</v>
      </c>
      <c r="DB275" s="2">
        <v>3</v>
      </c>
      <c r="DC275" s="414">
        <f>'[4]побудинковий звіт'!DC275</f>
        <v>42047.16</v>
      </c>
      <c r="DD275" s="414">
        <f>'[4]побудинковий звіт'!DD275</f>
        <v>0</v>
      </c>
      <c r="DE275" s="557">
        <f>'[4]побудинковий звіт'!DE275</f>
        <v>17136.834857059224</v>
      </c>
      <c r="DF275" s="557">
        <f>'[4]побудинковий звіт'!DF275</f>
        <v>0</v>
      </c>
      <c r="DG275" s="321">
        <f>VLOOKUP(A275,'кошти 01.03.2021'!$A$6:$D$401,4,)</f>
        <v>13080.192385793227</v>
      </c>
      <c r="DH275" s="40">
        <f>'[3]побудинковий звіт'!DJ275</f>
        <v>285273.11160288053</v>
      </c>
      <c r="DI275" s="422">
        <f>'[3]побудинковий звіт'!CU275+'[3]побудинковий звіт'!CX275</f>
        <v>24910.325142940779</v>
      </c>
      <c r="DJ275" s="306">
        <f>'[3]побудинковий звіт'!DM275</f>
        <v>5.438579381905285</v>
      </c>
      <c r="DK275" s="306">
        <f t="shared" si="316"/>
        <v>5.438579381905285</v>
      </c>
      <c r="DL275" s="306">
        <f>'[3]побудинковий звіт'!DO275</f>
        <v>4.9063521981529528</v>
      </c>
      <c r="DM275" s="28">
        <f t="shared" si="317"/>
        <v>24910.325142940779</v>
      </c>
      <c r="DN275" s="28">
        <f t="shared" si="318"/>
        <v>0</v>
      </c>
      <c r="DO275" s="423">
        <f t="shared" si="319"/>
        <v>24910.325142940779</v>
      </c>
      <c r="DP275" s="94">
        <f t="shared" si="320"/>
        <v>0</v>
      </c>
      <c r="DQ275" s="28">
        <f t="shared" si="321"/>
        <v>24910.325142940779</v>
      </c>
      <c r="DR275" s="318"/>
      <c r="DT275" s="8"/>
      <c r="DU275" s="5"/>
      <c r="DX275" s="5">
        <f t="shared" si="322"/>
        <v>88164.541126178126</v>
      </c>
      <c r="DY275" s="5">
        <f t="shared" si="323"/>
        <v>136702.272</v>
      </c>
      <c r="DZ275" s="159">
        <f>'[3]побудинковий звіт'!EA275</f>
        <v>8074.3083393675752</v>
      </c>
    </row>
    <row r="276" spans="1:130" x14ac:dyDescent="0.3">
      <c r="A276" s="325">
        <v>150000719</v>
      </c>
      <c r="B276" s="41" t="s">
        <v>722</v>
      </c>
      <c r="C276" s="42" t="s">
        <v>285</v>
      </c>
      <c r="D276" s="42"/>
      <c r="E276" s="293">
        <f t="shared" si="296"/>
        <v>6211.0999999999995</v>
      </c>
      <c r="F276" s="305">
        <f>'[3]побудинковий звіт'!F276</f>
        <v>5975.2</v>
      </c>
      <c r="G276" s="508">
        <f>'[3]побудинковий звіт'!G276</f>
        <v>0</v>
      </c>
      <c r="H276" s="560">
        <f>'[3]побудинковий звіт'!H276</f>
        <v>235.9</v>
      </c>
      <c r="I276" s="566">
        <f>VLOOKUP($A276,'01-02.2021'!$A$6:$CZ$403,9,FALSE)+VLOOKUP($A276,'1.3.21-28.2.22'!$A$6:$DA$404,9,FALSE)-VLOOKUP($A276,'01-02.2022'!$A$6:$DA$376,9,FALSE)</f>
        <v>20576.782657058051</v>
      </c>
      <c r="J276" s="566">
        <f>VLOOKUP($A276,'01-02.2021'!$A$6:$CZ$403,10,FALSE)+VLOOKUP($A276,'1.3.21-28.2.22'!$A$6:$DA$404,10,FALSE)-VLOOKUP($A276,'01-02.2022'!$A$6:$DA$376,10,FALSE)</f>
        <v>20097.769172096974</v>
      </c>
      <c r="K276" s="52">
        <f t="shared" si="300"/>
        <v>-479.01348496107676</v>
      </c>
      <c r="L276" s="566">
        <f>VLOOKUP($A276,'01-02.2021'!$A$6:$CZ$403,12,FALSE)+VLOOKUP($A276,'1.3.21-28.2.22'!$A$6:$DA$404,12,FALSE)-VLOOKUP($A276,'01-02.2022'!$A$6:$DA$376,12,FALSE)</f>
        <v>4411.9898501504958</v>
      </c>
      <c r="M276" s="566">
        <f>VLOOKUP($A276,'01-02.2021'!$A$6:$CZ$403,13,FALSE)+VLOOKUP($A276,'1.3.21-28.2.22'!$A$6:$DA$404,13,FALSE)-VLOOKUP($A276,'01-02.2022'!$A$6:$DA$376,13,FALSE)</f>
        <v>4405.2534982959114</v>
      </c>
      <c r="N276" s="52">
        <f t="shared" si="301"/>
        <v>-6.7363518545844272</v>
      </c>
      <c r="O276" s="566">
        <f>VLOOKUP($A276,'01-02.2021'!$A$6:$CZ$403,15,FALSE)+VLOOKUP($A276,'1.3.21-28.2.22'!$A$6:$DA$404,15,FALSE)-VLOOKUP($A276,'01-02.2022'!$A$6:$DA$376,15,FALSE)</f>
        <v>8277.9267538882832</v>
      </c>
      <c r="P276" s="566">
        <f>VLOOKUP($A276,'01-02.2021'!$A$6:$CZ$403,16,FALSE)+VLOOKUP($A276,'1.3.21-28.2.22'!$A$6:$DA$404,16,FALSE)-VLOOKUP($A276,'01-02.2022'!$A$6:$DA$376,16,FALSE)</f>
        <v>8277.74</v>
      </c>
      <c r="Q276" s="70">
        <f t="shared" si="324"/>
        <v>-0.18675388828341966</v>
      </c>
      <c r="R276" s="566">
        <f>VLOOKUP($A276,'01-02.2021'!$A$6:$CZ$403,18,FALSE)+VLOOKUP($A276,'1.3.21-28.2.22'!$A$6:$DA$404,18,FALSE)-VLOOKUP($A276,'01-02.2022'!$A$6:$DA$376,18,FALSE)</f>
        <v>0</v>
      </c>
      <c r="S276" s="566">
        <f>VLOOKUP($A276,'01-02.2021'!$A$6:$CZ$403,19,FALSE)+VLOOKUP($A276,'1.3.21-28.2.22'!$A$6:$DA$404,19,FALSE)-VLOOKUP($A276,'01-02.2022'!$A$6:$DA$376,19,FALSE)</f>
        <v>0</v>
      </c>
      <c r="T276" s="70">
        <f t="shared" si="325"/>
        <v>0</v>
      </c>
      <c r="U276" s="566">
        <f>VLOOKUP($A276,'01-02.2021'!$A$6:$CZ$403,21,FALSE)+VLOOKUP($A276,'1.3.21-28.2.22'!$A$6:$DA$404,21,FALSE)-VLOOKUP($A276,'01-02.2022'!$A$6:$DA$376,21,FALSE)</f>
        <v>1724.4098101121328</v>
      </c>
      <c r="V276" s="566">
        <f>VLOOKUP($A276,'01-02.2021'!$A$6:$CZ$403,22,FALSE)+VLOOKUP($A276,'1.3.21-28.2.22'!$A$6:$DA$404,22,FALSE)-VLOOKUP($A276,'01-02.2022'!$A$6:$DA$376,22,FALSE)</f>
        <v>1465.5432276544427</v>
      </c>
      <c r="W276" s="70">
        <f t="shared" si="326"/>
        <v>-258.86658245769013</v>
      </c>
      <c r="X276" s="566">
        <f>VLOOKUP($A276,'01-02.2021'!$A$6:$CZ$403,24,FALSE)+VLOOKUP($A276,'1.3.21-28.2.22'!$A$6:$DA$404,24,FALSE)-VLOOKUP($A276,'01-02.2022'!$A$6:$DA$376,24,FALSE)</f>
        <v>17873.577288194942</v>
      </c>
      <c r="Y276" s="566">
        <f>VLOOKUP($A276,'01-02.2021'!$A$6:$CZ$403,25,FALSE)+VLOOKUP($A276,'1.3.21-28.2.22'!$A$6:$DA$404,25,FALSE)-VLOOKUP($A276,'01-02.2022'!$A$6:$DA$376,25,FALSE)</f>
        <v>16546.186883370206</v>
      </c>
      <c r="Z276" s="70">
        <f t="shared" si="327"/>
        <v>-1327.390404824735</v>
      </c>
      <c r="AA276" s="566">
        <f>VLOOKUP($A276,'01-02.2021'!$A$6:$CZ$403,27,FALSE)+VLOOKUP($A276,'1.3.21-28.2.22'!$A$6:$DA$404,27,FALSE)-VLOOKUP($A276,'01-02.2022'!$A$6:$DA$376,27,FALSE)</f>
        <v>1242.1999999999998</v>
      </c>
      <c r="AB276" s="566">
        <f>VLOOKUP($A276,'01-02.2021'!$A$6:$CZ$403,28,FALSE)+VLOOKUP($A276,'1.3.21-28.2.22'!$A$6:$DA$404,28,FALSE)-VLOOKUP($A276,'01-02.2022'!$A$6:$DA$376,28,FALSE)</f>
        <v>0</v>
      </c>
      <c r="AC276" s="70">
        <f t="shared" si="328"/>
        <v>-1242.1999999999998</v>
      </c>
      <c r="AD276" s="566">
        <f>VLOOKUP($A276,'01-02.2021'!$A$6:$CZ$403,30,FALSE)+VLOOKUP($A276,'1.3.21-28.2.22'!$A$6:$DA$404,30,FALSE)-VLOOKUP($A276,'01-02.2022'!$A$6:$DA$376,30,FALSE)</f>
        <v>26654.829798656701</v>
      </c>
      <c r="AE276" s="566">
        <f>VLOOKUP($A276,'01-02.2021'!$A$6:$CZ$403,31,FALSE)+VLOOKUP($A276,'1.3.21-28.2.22'!$A$6:$DA$404,31,FALSE)-VLOOKUP($A276,'01-02.2022'!$A$6:$DA$376,31,FALSE)</f>
        <v>28273.177459196184</v>
      </c>
      <c r="AF276" s="68">
        <f t="shared" si="329"/>
        <v>1618.3476605394826</v>
      </c>
      <c r="AG276" s="77">
        <f t="shared" si="297"/>
        <v>80761.716158060604</v>
      </c>
      <c r="AH276" s="53">
        <f t="shared" si="297"/>
        <v>79065.670240613719</v>
      </c>
      <c r="AI276" s="52">
        <f t="shared" si="302"/>
        <v>-1696.0459174468851</v>
      </c>
      <c r="AJ276" s="566">
        <f>VLOOKUP($A276,'01-02.2021'!$A$6:$CZ$403,36,FALSE)+VLOOKUP($A276,'1.3.21-28.2.22'!$A$6:$DA$404,36,FALSE)-VLOOKUP($A276,'01-02.2022'!$A$6:$DA$376,36,FALSE)</f>
        <v>0</v>
      </c>
      <c r="AK276" s="566">
        <f>VLOOKUP($A276,'01-02.2021'!$A$6:$CZ$403,37,FALSE)+VLOOKUP($A276,'1.3.21-28.2.22'!$A$6:$DA$404,37,FALSE)-VLOOKUP($A276,'01-02.2022'!$A$6:$DA$376,37,FALSE)</f>
        <v>0</v>
      </c>
      <c r="AL276" s="70">
        <f t="shared" si="330"/>
        <v>0</v>
      </c>
      <c r="AM276" s="566">
        <f>VLOOKUP($A276,'01-02.2021'!$A$6:$CZ$403,39,FALSE)+VLOOKUP($A276,'1.3.21-28.2.22'!$A$6:$DA$404,39,FALSE)-VLOOKUP($A276,'01-02.2022'!$A$6:$DA$376,39,FALSE)</f>
        <v>0</v>
      </c>
      <c r="AN276" s="566">
        <f>VLOOKUP($A276,'01-02.2021'!$A$6:$CZ$403,40,FALSE)+VLOOKUP($A276,'1.3.21-28.2.22'!$A$6:$DA$404,40,FALSE)-VLOOKUP($A276,'01-02.2022'!$A$6:$DA$376,40,FALSE)</f>
        <v>0</v>
      </c>
      <c r="AO276" s="70">
        <f t="shared" si="331"/>
        <v>0</v>
      </c>
      <c r="AP276" s="566">
        <f>VLOOKUP($A276,'01-02.2021'!$A$6:$CZ$403,42,FALSE)+VLOOKUP($A276,'1.3.21-28.2.22'!$A$6:$DA$404,42,FALSE)-VLOOKUP($A276,'01-02.2022'!$A$6:$DA$376,42,FALSE)</f>
        <v>16527.77761915568</v>
      </c>
      <c r="AQ276" s="566">
        <f>VLOOKUP($A276,'01-02.2021'!$A$6:$CZ$403,43,FALSE)+VLOOKUP($A276,'1.3.21-28.2.22'!$A$6:$DA$404,43,FALSE)-VLOOKUP($A276,'01-02.2022'!$A$6:$DA$376,43,FALSE)</f>
        <v>14156.567150173571</v>
      </c>
      <c r="AR276" s="70">
        <f t="shared" si="332"/>
        <v>-2371.2104689821099</v>
      </c>
      <c r="AS276" s="566">
        <f>VLOOKUP($A276,'01-02.2021'!$A$6:$CZ$403,45,FALSE)+VLOOKUP($A276,'1.3.21-28.2.22'!$A$6:$DA$404,45,FALSE)-VLOOKUP($A276,'01-02.2022'!$A$6:$DA$376,45,FALSE)</f>
        <v>58406.355961345987</v>
      </c>
      <c r="AT276" s="566">
        <f>VLOOKUP($A276,'01-02.2021'!$A$6:$CZ$403,46,FALSE)+VLOOKUP($A276,'1.3.21-28.2.22'!$A$6:$DA$404,46,FALSE)-VLOOKUP($A276,'01-02.2022'!$A$6:$DA$376,46,FALSE)</f>
        <v>49802.5</v>
      </c>
      <c r="AU276" s="78">
        <f t="shared" si="333"/>
        <v>-8603.8559613459875</v>
      </c>
      <c r="AV276" s="566">
        <f>VLOOKUP($A276,'01-02.2021'!$A$6:$CZ$403,48,FALSE)+VLOOKUP($A276,'1.3.21-28.2.22'!$A$6:$DA$404,48,FALSE)-VLOOKUP($A276,'01-02.2022'!$A$6:$DA$376,48,FALSE)</f>
        <v>5655.7847750820447</v>
      </c>
      <c r="AW276" s="566">
        <f>VLOOKUP($A276,'01-02.2021'!$A$6:$CZ$403,49,FALSE)+VLOOKUP($A276,'1.3.21-28.2.22'!$A$6:$DA$404,49,FALSE)-VLOOKUP($A276,'01-02.2022'!$A$6:$DA$376,49,FALSE)</f>
        <v>3137</v>
      </c>
      <c r="AX276" s="55">
        <f t="shared" si="334"/>
        <v>-2518.7847750820447</v>
      </c>
      <c r="AY276" s="566">
        <f>VLOOKUP($A276,'01-02.2021'!$A$6:$CZ$403,51,FALSE)+VLOOKUP($A276,'1.3.21-28.2.22'!$A$6:$DA$404,51,FALSE)-VLOOKUP($A276,'01-02.2022'!$A$6:$DA$376,51,FALSE)</f>
        <v>8293.4078828199254</v>
      </c>
      <c r="AZ276" s="566">
        <f>VLOOKUP($A276,'01-02.2021'!$A$6:$CZ$403,52,FALSE)+VLOOKUP($A276,'1.3.21-28.2.22'!$A$6:$DA$404,52,FALSE)-VLOOKUP($A276,'01-02.2022'!$A$6:$DA$376,52,FALSE)</f>
        <v>1369</v>
      </c>
      <c r="BA276" s="38">
        <f t="shared" si="335"/>
        <v>-6924.4078828199254</v>
      </c>
      <c r="BB276" s="566">
        <f>VLOOKUP($A276,'01-02.2021'!$A$6:$CZ$403,54,FALSE)+VLOOKUP($A276,'1.3.21-28.2.22'!$A$6:$DA$404,54,FALSE)-VLOOKUP($A276,'01-02.2022'!$A$6:$DA$376,54,FALSE)</f>
        <v>2943.1246608522642</v>
      </c>
      <c r="BC276" s="566">
        <f>VLOOKUP($A276,'01-02.2021'!$A$6:$CZ$403,55,FALSE)+VLOOKUP($A276,'1.3.21-28.2.22'!$A$6:$DA$404,55,FALSE)-VLOOKUP($A276,'01-02.2022'!$A$6:$DA$376,55,FALSE)</f>
        <v>7186</v>
      </c>
      <c r="BD276" s="55">
        <f t="shared" si="336"/>
        <v>4242.8753391477358</v>
      </c>
      <c r="BE276" s="566">
        <f>VLOOKUP($A276,'01-02.2021'!$A$6:$CZ$403,57,FALSE)+VLOOKUP($A276,'1.3.21-28.2.22'!$A$6:$DA$404,57,FALSE)-VLOOKUP($A276,'01-02.2022'!$A$6:$DA$376,57,FALSE)</f>
        <v>0</v>
      </c>
      <c r="BF276" s="566">
        <f>VLOOKUP($A276,'01-02.2021'!$A$6:$CZ$403,58,FALSE)+VLOOKUP($A276,'1.3.21-28.2.22'!$A$6:$DA$404,58,FALSE)-VLOOKUP($A276,'01-02.2022'!$A$6:$DA$376,58,FALSE)</f>
        <v>0</v>
      </c>
      <c r="BG276" s="55">
        <f t="shared" si="337"/>
        <v>0</v>
      </c>
      <c r="BH276" s="566">
        <f>VLOOKUP($A276,'01-02.2021'!$A$6:$CZ$403,60,FALSE)+VLOOKUP($A276,'1.3.21-28.2.22'!$A$6:$DA$404,60,FALSE)-VLOOKUP($A276,'01-02.2022'!$A$6:$DA$376,60,FALSE)</f>
        <v>3869.2065280804436</v>
      </c>
      <c r="BI276" s="566">
        <f>VLOOKUP($A276,'01-02.2021'!$A$6:$CZ$403,61,FALSE)+VLOOKUP($A276,'1.3.21-28.2.22'!$A$6:$DA$404,61,FALSE)-VLOOKUP($A276,'01-02.2022'!$A$6:$DA$376,61,FALSE)</f>
        <v>0</v>
      </c>
      <c r="BJ276" s="55">
        <f t="shared" si="338"/>
        <v>-3869.2065280804436</v>
      </c>
      <c r="BK276" s="566">
        <f>VLOOKUP($A276,'01-02.2021'!$A$6:$CZ$403,63,FALSE)+VLOOKUP($A276,'1.3.21-28.2.22'!$A$6:$DA$404,63,FALSE)-VLOOKUP($A276,'01-02.2022'!$A$6:$DA$376,63,FALSE)</f>
        <v>6772.9353378587666</v>
      </c>
      <c r="BL276" s="566">
        <f>VLOOKUP($A276,'01-02.2021'!$A$6:$CZ$403,64,FALSE)+VLOOKUP($A276,'1.3.21-28.2.22'!$A$6:$DA$404,64,FALSE)-VLOOKUP($A276,'01-02.2022'!$A$6:$DA$376,64,FALSE)</f>
        <v>0</v>
      </c>
      <c r="BM276" s="55">
        <f t="shared" si="339"/>
        <v>-6772.9353378587666</v>
      </c>
      <c r="BN276" s="566">
        <f>VLOOKUP($A276,'01-02.2021'!$A$6:$CZ$403,66,FALSE)+VLOOKUP($A276,'1.3.21-28.2.22'!$A$6:$DA$404,66,FALSE)-VLOOKUP($A276,'01-02.2022'!$A$6:$DA$376,66,FALSE)</f>
        <v>310.54999999999995</v>
      </c>
      <c r="BO276" s="566">
        <f>VLOOKUP($A276,'01-02.2021'!$A$6:$CZ$403,67,FALSE)+VLOOKUP($A276,'1.3.21-28.2.22'!$A$6:$DA$404,67,FALSE)-VLOOKUP($A276,'01-02.2022'!$A$6:$DA$376,67,FALSE)</f>
        <v>0</v>
      </c>
      <c r="BP276" s="55">
        <f t="shared" si="340"/>
        <v>-310.54999999999995</v>
      </c>
      <c r="BQ276" s="77">
        <f t="shared" si="287"/>
        <v>27845.009184693445</v>
      </c>
      <c r="BR276" s="40">
        <f t="shared" si="315"/>
        <v>11692</v>
      </c>
      <c r="BS276" s="55">
        <f t="shared" si="314"/>
        <v>-16153.009184693445</v>
      </c>
      <c r="BT276" s="566">
        <f>VLOOKUP($A276,'01-02.2021'!$A$6:$CZ$403,72,FALSE)+VLOOKUP($A276,'1.3.21-28.2.22'!$A$6:$DA$404,72,FALSE)-VLOOKUP($A276,'01-02.2022'!$A$6:$DA$376,72,FALSE)</f>
        <v>63646.509661043085</v>
      </c>
      <c r="BU276" s="566">
        <f>VLOOKUP($A276,'01-02.2021'!$A$6:$CZ$403,73,FALSE)+VLOOKUP($A276,'1.3.21-28.2.22'!$A$6:$DA$404,73,FALSE)-VLOOKUP($A276,'01-02.2022'!$A$6:$DA$376,73,FALSE)</f>
        <v>61986.620341216512</v>
      </c>
      <c r="BV276" s="70">
        <f t="shared" si="341"/>
        <v>-1659.8893198265723</v>
      </c>
      <c r="BW276" s="566">
        <f>VLOOKUP($A276,'01-02.2021'!$A$6:$CZ$403,75,FALSE)+VLOOKUP($A276,'1.3.21-28.2.22'!$A$6:$DA$404,75,FALSE)-VLOOKUP($A276,'01-02.2022'!$A$6:$DA$376,75,FALSE)</f>
        <v>30173.310834920067</v>
      </c>
      <c r="BX276" s="566">
        <f>VLOOKUP($A276,'01-02.2021'!$A$6:$CZ$403,76,FALSE)+VLOOKUP($A276,'1.3.21-28.2.22'!$A$6:$DA$404,76,FALSE)-VLOOKUP($A276,'01-02.2022'!$A$6:$DA$376,76,FALSE)</f>
        <v>26316.775965547553</v>
      </c>
      <c r="BY276" s="70">
        <f t="shared" si="342"/>
        <v>-3856.5348693725136</v>
      </c>
      <c r="BZ276" s="566">
        <f>VLOOKUP($A276,'01-02.2021'!$A$6:$CZ$403,78,FALSE)+VLOOKUP($A276,'1.3.21-28.2.22'!$A$6:$DA$404,78,FALSE)-VLOOKUP($A276,'01-02.2022'!$A$6:$DA$376,78,FALSE)</f>
        <v>15643.832134124979</v>
      </c>
      <c r="CA276" s="566">
        <f>VLOOKUP($A276,'01-02.2021'!$A$6:$CZ$403,79,FALSE)+VLOOKUP($A276,'1.3.21-28.2.22'!$A$6:$DA$404,79,FALSE)-VLOOKUP($A276,'01-02.2022'!$A$6:$DA$376,79,FALSE)</f>
        <v>15619.194183526812</v>
      </c>
      <c r="CB276" s="70">
        <f t="shared" si="343"/>
        <v>-24.637950598167663</v>
      </c>
      <c r="CC276" s="566">
        <f>VLOOKUP($A276,'01-02.2021'!$A$6:$CZ$403,81,FALSE)+VLOOKUP($A276,'1.3.21-28.2.22'!$A$6:$DA$404,81,FALSE)-VLOOKUP($A276,'01-02.2022'!$A$6:$DA$376,81,FALSE)</f>
        <v>3226.7966205368239</v>
      </c>
      <c r="CD276" s="566">
        <f>VLOOKUP($A276,'01-02.2021'!$A$6:$CZ$403,82,FALSE)+VLOOKUP($A276,'1.3.21-28.2.22'!$A$6:$DA$404,82,FALSE)-VLOOKUP($A276,'01-02.2022'!$A$6:$DA$376,82,FALSE)</f>
        <v>3526.8661817592406</v>
      </c>
      <c r="CE276" s="70">
        <f t="shared" si="344"/>
        <v>300.06956122241672</v>
      </c>
      <c r="CF276" s="566">
        <f>VLOOKUP($A276,'01-02.2021'!$A$6:$CZ$403,84,FALSE)+VLOOKUP($A276,'1.3.21-28.2.22'!$A$6:$DA$404,84,FALSE)-VLOOKUP($A276,'01-02.2022'!$A$6:$DA$376,84,FALSE)</f>
        <v>392.28359821743584</v>
      </c>
      <c r="CG276" s="566">
        <f>VLOOKUP($A276,'01-02.2021'!$A$6:$CZ$403,85,FALSE)+VLOOKUP($A276,'1.3.21-28.2.22'!$A$6:$DA$404,85,FALSE)-VLOOKUP($A276,'01-02.2022'!$A$6:$DA$376,85,FALSE)</f>
        <v>554.44574346276681</v>
      </c>
      <c r="CH276" s="70">
        <f t="shared" si="345"/>
        <v>162.16214524533098</v>
      </c>
      <c r="CI276" s="566">
        <f>VLOOKUP($A276,'01-02.2021'!$A$6:$CZ$403,87,FALSE)+VLOOKUP($A276,'1.3.21-28.2.22'!$A$6:$DA$404,87,FALSE)-VLOOKUP($A276,'01-02.2022'!$A$6:$DA$376,87,FALSE)</f>
        <v>19572.439346181818</v>
      </c>
      <c r="CJ276" s="566">
        <f>VLOOKUP($A276,'01-02.2021'!$A$6:$CZ$403,88,FALSE)+VLOOKUP($A276,'1.3.21-28.2.22'!$A$6:$DA$404,88,FALSE)-VLOOKUP($A276,'01-02.2022'!$A$6:$DA$376,88,FALSE)</f>
        <v>20280.936681347936</v>
      </c>
      <c r="CK276" s="70">
        <f t="shared" si="346"/>
        <v>708.49733516611741</v>
      </c>
      <c r="CL276" s="566">
        <f>VLOOKUP($A276,'01-02.2021'!$A$6:$CZ$403,90,FALSE)+VLOOKUP($A276,'1.3.21-28.2.22'!$A$6:$DA$404,90,FALSE)-VLOOKUP($A276,'01-02.2022'!$A$6:$DA$376,90,FALSE)</f>
        <v>0</v>
      </c>
      <c r="CM276" s="566">
        <f>VLOOKUP($A276,'01-02.2021'!$A$6:$CZ$403,91,FALSE)+VLOOKUP($A276,'1.3.21-28.2.22'!$A$6:$DA$404,91,FALSE)-VLOOKUP($A276,'01-02.2022'!$A$6:$DA$376,91,FALSE)</f>
        <v>0</v>
      </c>
      <c r="CN276" s="52">
        <f t="shared" si="303"/>
        <v>0</v>
      </c>
      <c r="CO276" s="39">
        <f t="shared" si="298"/>
        <v>19572.439346181818</v>
      </c>
      <c r="CP276" s="40">
        <f t="shared" si="304"/>
        <v>20280.936681347936</v>
      </c>
      <c r="CQ276" s="52">
        <f t="shared" si="305"/>
        <v>708.49733516611741</v>
      </c>
      <c r="CR276" s="72">
        <f t="shared" si="299"/>
        <v>316196.03111827996</v>
      </c>
      <c r="CS276" s="5">
        <f t="shared" si="299"/>
        <v>283001.57648764813</v>
      </c>
      <c r="CT276" s="52">
        <f t="shared" si="306"/>
        <v>-33194.454630631837</v>
      </c>
      <c r="CU276" s="77">
        <f t="shared" si="307"/>
        <v>379435.23734193592</v>
      </c>
      <c r="CV276" s="65">
        <f t="shared" si="308"/>
        <v>339601.89178517775</v>
      </c>
      <c r="CW276" s="35">
        <f t="shared" si="309"/>
        <v>-39833.34555675817</v>
      </c>
      <c r="CX276" s="566">
        <f>VLOOKUP($A276,'01-02.2021'!$A$6:$CZ$403,102,FALSE)+VLOOKUP($A276,'1.3.21-28.2.22'!$A$6:$DA$404,102,FALSE)-VLOOKUP($A276,'01-02.2022'!$A$6:$DA$376,102,FALSE)</f>
        <v>16931.422247931037</v>
      </c>
      <c r="CY276" s="566">
        <f>VLOOKUP($A276,'01-02.2021'!$A$6:$CZ$403,103,FALSE)+VLOOKUP($A276,'1.3.21-28.2.22'!$A$6:$DA$404,103,FALSE)-VLOOKUP($A276,'01-02.2022'!$A$6:$DA$376,103,FALSE)</f>
        <v>56764.767804689182</v>
      </c>
      <c r="CZ276" s="52">
        <f t="shared" si="310"/>
        <v>39833.34555675814</v>
      </c>
      <c r="DA276" s="150">
        <f>'[2]побудинковий звіт'!DA276</f>
        <v>1062.0407408433966</v>
      </c>
      <c r="DB276" s="2">
        <v>3</v>
      </c>
      <c r="DC276" s="414">
        <f>'[4]побудинковий звіт'!DC276</f>
        <v>88175.78</v>
      </c>
      <c r="DD276" s="414">
        <f>'[4]побудинковий звіт'!DD276</f>
        <v>4864</v>
      </c>
      <c r="DE276" s="557">
        <f>'[4]побудинковий звіт'!DE276</f>
        <v>53731.23141382687</v>
      </c>
      <c r="DF276" s="557">
        <f>'[4]побудинковий звіт'!DF276</f>
        <v>3647.9961798067761</v>
      </c>
      <c r="DG276" s="321">
        <f>VLOOKUP(A276,'кошти 01.03.2021'!$A$6:$D$401,4,)</f>
        <v>-95047.554649066471</v>
      </c>
      <c r="DH276" s="40">
        <f>'[3]побудинковий звіт'!DJ276</f>
        <v>408777.78056508739</v>
      </c>
      <c r="DI276" s="422">
        <f>'[3]побудинковий звіт'!CU276+'[3]побудинковий звіт'!CX276</f>
        <v>35660.552406366347</v>
      </c>
      <c r="DJ276" s="306">
        <f>'[3]побудинковий звіт'!DM276</f>
        <v>5.7645850492323483</v>
      </c>
      <c r="DK276" s="306">
        <f t="shared" si="316"/>
        <v>5.7645850492323483</v>
      </c>
      <c r="DL276" s="306">
        <f>'[3]побудинковий звіт'!DO276</f>
        <v>5.1547427731802626</v>
      </c>
      <c r="DM276" s="28">
        <f t="shared" si="317"/>
        <v>34444.548586173129</v>
      </c>
      <c r="DN276" s="28">
        <f t="shared" si="318"/>
        <v>1216.0038201932239</v>
      </c>
      <c r="DO276" s="423">
        <f t="shared" si="319"/>
        <v>35660.552406366354</v>
      </c>
      <c r="DP276" s="94">
        <f t="shared" si="320"/>
        <v>0</v>
      </c>
      <c r="DQ276" s="28">
        <f t="shared" si="321"/>
        <v>35660.552406366354</v>
      </c>
      <c r="DR276" s="318"/>
      <c r="DT276" s="8"/>
      <c r="DU276" s="5"/>
      <c r="DX276" s="5">
        <f t="shared" si="322"/>
        <v>103501.63817524731</v>
      </c>
      <c r="DY276" s="5">
        <f t="shared" si="323"/>
        <v>73793.399999999994</v>
      </c>
      <c r="DZ276" s="159">
        <f>'[3]побудинковий звіт'!EA276</f>
        <v>9589.6627331877171</v>
      </c>
    </row>
    <row r="277" spans="1:130" x14ac:dyDescent="0.3">
      <c r="A277" s="325">
        <v>150000716</v>
      </c>
      <c r="B277" s="41" t="s">
        <v>723</v>
      </c>
      <c r="C277" s="42" t="s">
        <v>286</v>
      </c>
      <c r="D277" s="42"/>
      <c r="E277" s="293">
        <f t="shared" si="296"/>
        <v>3171.42</v>
      </c>
      <c r="F277" s="305">
        <f>'[3]побудинковий звіт'!F277</f>
        <v>2685</v>
      </c>
      <c r="G277" s="508">
        <f>'[3]побудинковий звіт'!G277</f>
        <v>0</v>
      </c>
      <c r="H277" s="560">
        <f>'[3]побудинковий звіт'!H277</f>
        <v>486.42</v>
      </c>
      <c r="I277" s="566">
        <f>VLOOKUP($A277,'01-02.2021'!$A$6:$CZ$403,9,FALSE)+VLOOKUP($A277,'1.3.21-28.2.22'!$A$6:$DA$404,9,FALSE)-VLOOKUP($A277,'01-02.2022'!$A$6:$DA$376,9,FALSE)</f>
        <v>11689.841720521657</v>
      </c>
      <c r="J277" s="566">
        <f>VLOOKUP($A277,'01-02.2021'!$A$6:$CZ$403,10,FALSE)+VLOOKUP($A277,'1.3.21-28.2.22'!$A$6:$DA$404,10,FALSE)-VLOOKUP($A277,'01-02.2022'!$A$6:$DA$376,10,FALSE)</f>
        <v>11374.98022386511</v>
      </c>
      <c r="K277" s="52">
        <f t="shared" si="300"/>
        <v>-314.86149665654739</v>
      </c>
      <c r="L277" s="566">
        <f>VLOOKUP($A277,'01-02.2021'!$A$6:$CZ$403,12,FALSE)+VLOOKUP($A277,'1.3.21-28.2.22'!$A$6:$DA$404,12,FALSE)-VLOOKUP($A277,'01-02.2022'!$A$6:$DA$376,12,FALSE)</f>
        <v>2217.488804008241</v>
      </c>
      <c r="M277" s="566">
        <f>VLOOKUP($A277,'01-02.2021'!$A$6:$CZ$403,13,FALSE)+VLOOKUP($A277,'1.3.21-28.2.22'!$A$6:$DA$404,13,FALSE)-VLOOKUP($A277,'01-02.2022'!$A$6:$DA$376,13,FALSE)</f>
        <v>2214.103190395394</v>
      </c>
      <c r="N277" s="52">
        <f t="shared" si="301"/>
        <v>-3.3856136128470098</v>
      </c>
      <c r="O277" s="566">
        <f>VLOOKUP($A277,'01-02.2021'!$A$6:$CZ$403,15,FALSE)+VLOOKUP($A277,'1.3.21-28.2.22'!$A$6:$DA$404,15,FALSE)-VLOOKUP($A277,'01-02.2022'!$A$6:$DA$376,15,FALSE)</f>
        <v>4260.5215078899755</v>
      </c>
      <c r="P277" s="566">
        <f>VLOOKUP($A277,'01-02.2021'!$A$6:$CZ$403,16,FALSE)+VLOOKUP($A277,'1.3.21-28.2.22'!$A$6:$DA$404,16,FALSE)-VLOOKUP($A277,'01-02.2022'!$A$6:$DA$376,16,FALSE)</f>
        <v>4260.1450000000004</v>
      </c>
      <c r="Q277" s="70">
        <f t="shared" si="324"/>
        <v>-0.37650788997507334</v>
      </c>
      <c r="R277" s="566">
        <f>VLOOKUP($A277,'01-02.2021'!$A$6:$CZ$403,18,FALSE)+VLOOKUP($A277,'1.3.21-28.2.22'!$A$6:$DA$404,18,FALSE)-VLOOKUP($A277,'01-02.2022'!$A$6:$DA$376,18,FALSE)</f>
        <v>0</v>
      </c>
      <c r="S277" s="566">
        <f>VLOOKUP($A277,'01-02.2021'!$A$6:$CZ$403,19,FALSE)+VLOOKUP($A277,'1.3.21-28.2.22'!$A$6:$DA$404,19,FALSE)-VLOOKUP($A277,'01-02.2022'!$A$6:$DA$376,19,FALSE)</f>
        <v>0</v>
      </c>
      <c r="T277" s="70">
        <f t="shared" si="325"/>
        <v>0</v>
      </c>
      <c r="U277" s="566">
        <f>VLOOKUP($A277,'01-02.2021'!$A$6:$CZ$403,21,FALSE)+VLOOKUP($A277,'1.3.21-28.2.22'!$A$6:$DA$404,21,FALSE)-VLOOKUP($A277,'01-02.2022'!$A$6:$DA$376,21,FALSE)</f>
        <v>0</v>
      </c>
      <c r="V277" s="566">
        <f>VLOOKUP($A277,'01-02.2021'!$A$6:$CZ$403,22,FALSE)+VLOOKUP($A277,'1.3.21-28.2.22'!$A$6:$DA$404,22,FALSE)-VLOOKUP($A277,'01-02.2022'!$A$6:$DA$376,22,FALSE)</f>
        <v>0</v>
      </c>
      <c r="W277" s="70">
        <f t="shared" si="326"/>
        <v>0</v>
      </c>
      <c r="X277" s="566">
        <f>VLOOKUP($A277,'01-02.2021'!$A$6:$CZ$403,24,FALSE)+VLOOKUP($A277,'1.3.21-28.2.22'!$A$6:$DA$404,24,FALSE)-VLOOKUP($A277,'01-02.2022'!$A$6:$DA$376,24,FALSE)</f>
        <v>6350.4422615110234</v>
      </c>
      <c r="Y277" s="566">
        <f>VLOOKUP($A277,'01-02.2021'!$A$6:$CZ$403,25,FALSE)+VLOOKUP($A277,'1.3.21-28.2.22'!$A$6:$DA$404,25,FALSE)-VLOOKUP($A277,'01-02.2022'!$A$6:$DA$376,25,FALSE)</f>
        <v>5525.2251882867022</v>
      </c>
      <c r="Z277" s="70">
        <f t="shared" si="327"/>
        <v>-825.21707322432121</v>
      </c>
      <c r="AA277" s="566">
        <f>VLOOKUP($A277,'01-02.2021'!$A$6:$CZ$403,27,FALSE)+VLOOKUP($A277,'1.3.21-28.2.22'!$A$6:$DA$404,27,FALSE)-VLOOKUP($A277,'01-02.2022'!$A$6:$DA$376,27,FALSE)</f>
        <v>640.26400000000012</v>
      </c>
      <c r="AB277" s="566">
        <f>VLOOKUP($A277,'01-02.2021'!$A$6:$CZ$403,28,FALSE)+VLOOKUP($A277,'1.3.21-28.2.22'!$A$6:$DA$404,28,FALSE)-VLOOKUP($A277,'01-02.2022'!$A$6:$DA$376,28,FALSE)</f>
        <v>0</v>
      </c>
      <c r="AC277" s="70">
        <f t="shared" si="328"/>
        <v>-640.26400000000012</v>
      </c>
      <c r="AD277" s="566">
        <f>VLOOKUP($A277,'01-02.2021'!$A$6:$CZ$403,30,FALSE)+VLOOKUP($A277,'1.3.21-28.2.22'!$A$6:$DA$404,30,FALSE)-VLOOKUP($A277,'01-02.2022'!$A$6:$DA$376,30,FALSE)</f>
        <v>13624.795053322407</v>
      </c>
      <c r="AE277" s="566">
        <f>VLOOKUP($A277,'01-02.2021'!$A$6:$CZ$403,31,FALSE)+VLOOKUP($A277,'1.3.21-28.2.22'!$A$6:$DA$404,31,FALSE)-VLOOKUP($A277,'01-02.2022'!$A$6:$DA$376,31,FALSE)</f>
        <v>14436.431623648625</v>
      </c>
      <c r="AF277" s="68">
        <f t="shared" si="329"/>
        <v>811.63657032621813</v>
      </c>
      <c r="AG277" s="77">
        <f t="shared" si="297"/>
        <v>38783.353347253302</v>
      </c>
      <c r="AH277" s="53">
        <f t="shared" si="297"/>
        <v>37810.885226195831</v>
      </c>
      <c r="AI277" s="52">
        <f t="shared" si="302"/>
        <v>-972.46812105747085</v>
      </c>
      <c r="AJ277" s="566">
        <f>VLOOKUP($A277,'01-02.2021'!$A$6:$CZ$403,36,FALSE)+VLOOKUP($A277,'1.3.21-28.2.22'!$A$6:$DA$404,36,FALSE)-VLOOKUP($A277,'01-02.2022'!$A$6:$DA$376,36,FALSE)</f>
        <v>0</v>
      </c>
      <c r="AK277" s="566">
        <f>VLOOKUP($A277,'01-02.2021'!$A$6:$CZ$403,37,FALSE)+VLOOKUP($A277,'1.3.21-28.2.22'!$A$6:$DA$404,37,FALSE)-VLOOKUP($A277,'01-02.2022'!$A$6:$DA$376,37,FALSE)</f>
        <v>0</v>
      </c>
      <c r="AL277" s="70">
        <f t="shared" si="330"/>
        <v>0</v>
      </c>
      <c r="AM277" s="566">
        <f>VLOOKUP($A277,'01-02.2021'!$A$6:$CZ$403,39,FALSE)+VLOOKUP($A277,'1.3.21-28.2.22'!$A$6:$DA$404,39,FALSE)-VLOOKUP($A277,'01-02.2022'!$A$6:$DA$376,39,FALSE)</f>
        <v>0</v>
      </c>
      <c r="AN277" s="566">
        <f>VLOOKUP($A277,'01-02.2021'!$A$6:$CZ$403,40,FALSE)+VLOOKUP($A277,'1.3.21-28.2.22'!$A$6:$DA$404,40,FALSE)-VLOOKUP($A277,'01-02.2022'!$A$6:$DA$376,40,FALSE)</f>
        <v>0</v>
      </c>
      <c r="AO277" s="70">
        <f t="shared" si="331"/>
        <v>0</v>
      </c>
      <c r="AP277" s="566">
        <f>VLOOKUP($A277,'01-02.2021'!$A$6:$CZ$403,42,FALSE)+VLOOKUP($A277,'1.3.21-28.2.22'!$A$6:$DA$404,42,FALSE)-VLOOKUP($A277,'01-02.2022'!$A$6:$DA$376,42,FALSE)</f>
        <v>7808.3988751916631</v>
      </c>
      <c r="AQ277" s="566">
        <f>VLOOKUP($A277,'01-02.2021'!$A$6:$CZ$403,43,FALSE)+VLOOKUP($A277,'1.3.21-28.2.22'!$A$6:$DA$404,43,FALSE)-VLOOKUP($A277,'01-02.2022'!$A$6:$DA$376,43,FALSE)</f>
        <v>6739.4008971487574</v>
      </c>
      <c r="AR277" s="70">
        <f t="shared" si="332"/>
        <v>-1068.9979780429057</v>
      </c>
      <c r="AS277" s="566">
        <f>VLOOKUP($A277,'01-02.2021'!$A$6:$CZ$403,45,FALSE)+VLOOKUP($A277,'1.3.21-28.2.22'!$A$6:$DA$404,45,FALSE)-VLOOKUP($A277,'01-02.2022'!$A$6:$DA$376,45,FALSE)</f>
        <v>37454.172579587146</v>
      </c>
      <c r="AT277" s="566">
        <f>VLOOKUP($A277,'01-02.2021'!$A$6:$CZ$403,46,FALSE)+VLOOKUP($A277,'1.3.21-28.2.22'!$A$6:$DA$404,46,FALSE)-VLOOKUP($A277,'01-02.2022'!$A$6:$DA$376,46,FALSE)</f>
        <v>79795.48000000001</v>
      </c>
      <c r="AU277" s="78">
        <f t="shared" si="333"/>
        <v>42341.307420412864</v>
      </c>
      <c r="AV277" s="566">
        <f>VLOOKUP($A277,'01-02.2021'!$A$6:$CZ$403,48,FALSE)+VLOOKUP($A277,'1.3.21-28.2.22'!$A$6:$DA$404,48,FALSE)-VLOOKUP($A277,'01-02.2022'!$A$6:$DA$376,48,FALSE)</f>
        <v>3463.3540176758115</v>
      </c>
      <c r="AW277" s="566">
        <f>VLOOKUP($A277,'01-02.2021'!$A$6:$CZ$403,49,FALSE)+VLOOKUP($A277,'1.3.21-28.2.22'!$A$6:$DA$404,49,FALSE)-VLOOKUP($A277,'01-02.2022'!$A$6:$DA$376,49,FALSE)</f>
        <v>1309</v>
      </c>
      <c r="AX277" s="55">
        <f t="shared" si="334"/>
        <v>-2154.3540176758115</v>
      </c>
      <c r="AY277" s="566">
        <f>VLOOKUP($A277,'01-02.2021'!$A$6:$CZ$403,51,FALSE)+VLOOKUP($A277,'1.3.21-28.2.22'!$A$6:$DA$404,51,FALSE)-VLOOKUP($A277,'01-02.2022'!$A$6:$DA$376,51,FALSE)</f>
        <v>4168.304139835107</v>
      </c>
      <c r="AZ277" s="566">
        <f>VLOOKUP($A277,'01-02.2021'!$A$6:$CZ$403,52,FALSE)+VLOOKUP($A277,'1.3.21-28.2.22'!$A$6:$DA$404,52,FALSE)-VLOOKUP($A277,'01-02.2022'!$A$6:$DA$376,52,FALSE)</f>
        <v>0</v>
      </c>
      <c r="BA277" s="38">
        <f t="shared" si="335"/>
        <v>-4168.304139835107</v>
      </c>
      <c r="BB277" s="566">
        <f>VLOOKUP($A277,'01-02.2021'!$A$6:$CZ$403,54,FALSE)+VLOOKUP($A277,'1.3.21-28.2.22'!$A$6:$DA$404,54,FALSE)-VLOOKUP($A277,'01-02.2022'!$A$6:$DA$376,54,FALSE)</f>
        <v>1570.7168928660531</v>
      </c>
      <c r="BC277" s="566">
        <f>VLOOKUP($A277,'01-02.2021'!$A$6:$CZ$403,55,FALSE)+VLOOKUP($A277,'1.3.21-28.2.22'!$A$6:$DA$404,55,FALSE)-VLOOKUP($A277,'01-02.2022'!$A$6:$DA$376,55,FALSE)</f>
        <v>0</v>
      </c>
      <c r="BD277" s="55">
        <f t="shared" si="336"/>
        <v>-1570.7168928660531</v>
      </c>
      <c r="BE277" s="566">
        <f>VLOOKUP($A277,'01-02.2021'!$A$6:$CZ$403,57,FALSE)+VLOOKUP($A277,'1.3.21-28.2.22'!$A$6:$DA$404,57,FALSE)-VLOOKUP($A277,'01-02.2022'!$A$6:$DA$376,57,FALSE)</f>
        <v>0</v>
      </c>
      <c r="BF277" s="566">
        <f>VLOOKUP($A277,'01-02.2021'!$A$6:$CZ$403,58,FALSE)+VLOOKUP($A277,'1.3.21-28.2.22'!$A$6:$DA$404,58,FALSE)-VLOOKUP($A277,'01-02.2022'!$A$6:$DA$376,58,FALSE)</f>
        <v>0</v>
      </c>
      <c r="BG277" s="55">
        <f t="shared" si="337"/>
        <v>0</v>
      </c>
      <c r="BH277" s="566">
        <f>VLOOKUP($A277,'01-02.2021'!$A$6:$CZ$403,60,FALSE)+VLOOKUP($A277,'1.3.21-28.2.22'!$A$6:$DA$404,60,FALSE)-VLOOKUP($A277,'01-02.2022'!$A$6:$DA$376,60,FALSE)</f>
        <v>0</v>
      </c>
      <c r="BI277" s="566">
        <f>VLOOKUP($A277,'01-02.2021'!$A$6:$CZ$403,61,FALSE)+VLOOKUP($A277,'1.3.21-28.2.22'!$A$6:$DA$404,61,FALSE)-VLOOKUP($A277,'01-02.2022'!$A$6:$DA$376,61,FALSE)</f>
        <v>0</v>
      </c>
      <c r="BJ277" s="55">
        <f t="shared" si="338"/>
        <v>0</v>
      </c>
      <c r="BK277" s="566">
        <f>VLOOKUP($A277,'01-02.2021'!$A$6:$CZ$403,63,FALSE)+VLOOKUP($A277,'1.3.21-28.2.22'!$A$6:$DA$404,63,FALSE)-VLOOKUP($A277,'01-02.2022'!$A$6:$DA$376,63,FALSE)</f>
        <v>2156.3605746374251</v>
      </c>
      <c r="BL277" s="566">
        <f>VLOOKUP($A277,'01-02.2021'!$A$6:$CZ$403,64,FALSE)+VLOOKUP($A277,'1.3.21-28.2.22'!$A$6:$DA$404,64,FALSE)-VLOOKUP($A277,'01-02.2022'!$A$6:$DA$376,64,FALSE)</f>
        <v>88</v>
      </c>
      <c r="BM277" s="55">
        <f t="shared" si="339"/>
        <v>-2068.3605746374251</v>
      </c>
      <c r="BN277" s="566">
        <f>VLOOKUP($A277,'01-02.2021'!$A$6:$CZ$403,66,FALSE)+VLOOKUP($A277,'1.3.21-28.2.22'!$A$6:$DA$404,66,FALSE)-VLOOKUP($A277,'01-02.2022'!$A$6:$DA$376,66,FALSE)</f>
        <v>160.06600000000003</v>
      </c>
      <c r="BO277" s="566">
        <f>VLOOKUP($A277,'01-02.2021'!$A$6:$CZ$403,67,FALSE)+VLOOKUP($A277,'1.3.21-28.2.22'!$A$6:$DA$404,67,FALSE)-VLOOKUP($A277,'01-02.2022'!$A$6:$DA$376,67,FALSE)</f>
        <v>0</v>
      </c>
      <c r="BP277" s="55">
        <f t="shared" si="340"/>
        <v>-160.06600000000003</v>
      </c>
      <c r="BQ277" s="77">
        <f t="shared" si="287"/>
        <v>11518.801625014397</v>
      </c>
      <c r="BR277" s="40">
        <f t="shared" si="315"/>
        <v>1397</v>
      </c>
      <c r="BS277" s="55">
        <f t="shared" si="314"/>
        <v>-10121.801625014397</v>
      </c>
      <c r="BT277" s="566">
        <f>VLOOKUP($A277,'01-02.2021'!$A$6:$CZ$403,72,FALSE)+VLOOKUP($A277,'1.3.21-28.2.22'!$A$6:$DA$404,72,FALSE)-VLOOKUP($A277,'01-02.2022'!$A$6:$DA$376,72,FALSE)</f>
        <v>13850.506532067393</v>
      </c>
      <c r="BU277" s="566">
        <f>VLOOKUP($A277,'01-02.2021'!$A$6:$CZ$403,73,FALSE)+VLOOKUP($A277,'1.3.21-28.2.22'!$A$6:$DA$404,73,FALSE)-VLOOKUP($A277,'01-02.2022'!$A$6:$DA$376,73,FALSE)</f>
        <v>19202.415661749907</v>
      </c>
      <c r="BV277" s="70">
        <f t="shared" si="341"/>
        <v>5351.9091296825136</v>
      </c>
      <c r="BW277" s="566">
        <f>VLOOKUP($A277,'01-02.2021'!$A$6:$CZ$403,75,FALSE)+VLOOKUP($A277,'1.3.21-28.2.22'!$A$6:$DA$404,75,FALSE)-VLOOKUP($A277,'01-02.2022'!$A$6:$DA$376,75,FALSE)</f>
        <v>17992.179643377174</v>
      </c>
      <c r="BX277" s="566">
        <f>VLOOKUP($A277,'01-02.2021'!$A$6:$CZ$403,76,FALSE)+VLOOKUP($A277,'1.3.21-28.2.22'!$A$6:$DA$404,76,FALSE)-VLOOKUP($A277,'01-02.2022'!$A$6:$DA$376,76,FALSE)</f>
        <v>15561.424744031108</v>
      </c>
      <c r="BY277" s="70">
        <f t="shared" si="342"/>
        <v>-2430.7548993460659</v>
      </c>
      <c r="BZ277" s="566">
        <f>VLOOKUP($A277,'01-02.2021'!$A$6:$CZ$403,78,FALSE)+VLOOKUP($A277,'1.3.21-28.2.22'!$A$6:$DA$404,78,FALSE)-VLOOKUP($A277,'01-02.2022'!$A$6:$DA$376,78,FALSE)</f>
        <v>7490.8052038445949</v>
      </c>
      <c r="CA277" s="566">
        <f>VLOOKUP($A277,'01-02.2021'!$A$6:$CZ$403,79,FALSE)+VLOOKUP($A277,'1.3.21-28.2.22'!$A$6:$DA$404,79,FALSE)-VLOOKUP($A277,'01-02.2022'!$A$6:$DA$376,79,FALSE)</f>
        <v>4892.5856313897038</v>
      </c>
      <c r="CB277" s="70">
        <f t="shared" si="343"/>
        <v>-2598.219572454891</v>
      </c>
      <c r="CC277" s="566">
        <f>VLOOKUP($A277,'01-02.2021'!$A$6:$CZ$403,81,FALSE)+VLOOKUP($A277,'1.3.21-28.2.22'!$A$6:$DA$404,81,FALSE)-VLOOKUP($A277,'01-02.2022'!$A$6:$DA$376,81,FALSE)</f>
        <v>1760.8235490150041</v>
      </c>
      <c r="CD277" s="566">
        <f>VLOOKUP($A277,'01-02.2021'!$A$6:$CZ$403,82,FALSE)+VLOOKUP($A277,'1.3.21-28.2.22'!$A$6:$DA$404,82,FALSE)-VLOOKUP($A277,'01-02.2022'!$A$6:$DA$376,82,FALSE)</f>
        <v>1924.5678477353638</v>
      </c>
      <c r="CE277" s="70">
        <f t="shared" si="344"/>
        <v>163.74429872035967</v>
      </c>
      <c r="CF277" s="566">
        <f>VLOOKUP($A277,'01-02.2021'!$A$6:$CZ$403,84,FALSE)+VLOOKUP($A277,'1.3.21-28.2.22'!$A$6:$DA$404,84,FALSE)-VLOOKUP($A277,'01-02.2022'!$A$6:$DA$376,84,FALSE)</f>
        <v>214.06437370034376</v>
      </c>
      <c r="CG277" s="566">
        <f>VLOOKUP($A277,'01-02.2021'!$A$6:$CZ$403,85,FALSE)+VLOOKUP($A277,'1.3.21-28.2.22'!$A$6:$DA$404,85,FALSE)-VLOOKUP($A277,'01-02.2022'!$A$6:$DA$376,85,FALSE)</f>
        <v>0</v>
      </c>
      <c r="CH277" s="70">
        <f t="shared" si="345"/>
        <v>-214.06437370034376</v>
      </c>
      <c r="CI277" s="566">
        <f>VLOOKUP($A277,'01-02.2021'!$A$6:$CZ$403,87,FALSE)+VLOOKUP($A277,'1.3.21-28.2.22'!$A$6:$DA$404,87,FALSE)-VLOOKUP($A277,'01-02.2022'!$A$6:$DA$376,87,FALSE)</f>
        <v>6496.1911314220733</v>
      </c>
      <c r="CJ277" s="566">
        <f>VLOOKUP($A277,'01-02.2021'!$A$6:$CZ$403,88,FALSE)+VLOOKUP($A277,'1.3.21-28.2.22'!$A$6:$DA$404,88,FALSE)-VLOOKUP($A277,'01-02.2022'!$A$6:$DA$376,88,FALSE)</f>
        <v>7056.1698540366415</v>
      </c>
      <c r="CK277" s="70">
        <f t="shared" si="346"/>
        <v>559.97872261456814</v>
      </c>
      <c r="CL277" s="566">
        <f>VLOOKUP($A277,'01-02.2021'!$A$6:$CZ$403,90,FALSE)+VLOOKUP($A277,'1.3.21-28.2.22'!$A$6:$DA$404,90,FALSE)-VLOOKUP($A277,'01-02.2022'!$A$6:$DA$376,90,FALSE)</f>
        <v>0</v>
      </c>
      <c r="CM277" s="566">
        <f>VLOOKUP($A277,'01-02.2021'!$A$6:$CZ$403,91,FALSE)+VLOOKUP($A277,'1.3.21-28.2.22'!$A$6:$DA$404,91,FALSE)-VLOOKUP($A277,'01-02.2022'!$A$6:$DA$376,91,FALSE)</f>
        <v>0</v>
      </c>
      <c r="CN277" s="52">
        <f t="shared" si="303"/>
        <v>0</v>
      </c>
      <c r="CO277" s="39">
        <f t="shared" si="298"/>
        <v>6496.1911314220733</v>
      </c>
      <c r="CP277" s="40">
        <f t="shared" si="304"/>
        <v>7056.1698540366415</v>
      </c>
      <c r="CQ277" s="52">
        <f t="shared" si="305"/>
        <v>559.97872261456814</v>
      </c>
      <c r="CR277" s="72">
        <f t="shared" si="299"/>
        <v>143369.29686047308</v>
      </c>
      <c r="CS277" s="5">
        <f t="shared" si="299"/>
        <v>174379.9298622873</v>
      </c>
      <c r="CT277" s="52">
        <f t="shared" si="306"/>
        <v>31010.633001814218</v>
      </c>
      <c r="CU277" s="77">
        <f t="shared" si="307"/>
        <v>172043.15623256771</v>
      </c>
      <c r="CV277" s="65">
        <f t="shared" si="308"/>
        <v>209255.91583474475</v>
      </c>
      <c r="CW277" s="35">
        <f t="shared" si="309"/>
        <v>37212.759602177044</v>
      </c>
      <c r="CX277" s="566">
        <f>VLOOKUP($A277,'01-02.2021'!$A$6:$CZ$403,102,FALSE)+VLOOKUP($A277,'1.3.21-28.2.22'!$A$6:$DA$404,102,FALSE)-VLOOKUP($A277,'01-02.2022'!$A$6:$DA$376,102,FALSE)</f>
        <v>8765.5230158305349</v>
      </c>
      <c r="CY277" s="566">
        <f>VLOOKUP($A277,'01-02.2021'!$A$6:$CZ$403,103,FALSE)+VLOOKUP($A277,'1.3.21-28.2.22'!$A$6:$DA$404,103,FALSE)-VLOOKUP($A277,'01-02.2022'!$A$6:$DA$376,103,FALSE)</f>
        <v>-28447.236586346542</v>
      </c>
      <c r="CZ277" s="52">
        <f t="shared" si="310"/>
        <v>-37212.759602177073</v>
      </c>
      <c r="DA277" s="150">
        <f>'[2]побудинковий звіт'!DA277</f>
        <v>-25117.554436829487</v>
      </c>
      <c r="DB277" s="2">
        <v>3</v>
      </c>
      <c r="DC277" s="414">
        <f>'[4]побудинковий звіт'!DC277</f>
        <v>20366.47</v>
      </c>
      <c r="DD277" s="414">
        <f>'[4]побудинковий звіт'!DD277</f>
        <v>5767.9899999999989</v>
      </c>
      <c r="DE277" s="557">
        <f>'[4]побудинковий звіт'!DE277</f>
        <v>6213.3892451057654</v>
      </c>
      <c r="DF277" s="557">
        <f>'[4]побудинковий звіт'!DF277</f>
        <v>3607.1333236691567</v>
      </c>
      <c r="DG277" s="321">
        <f>VLOOKUP(A277,'кошти 01.03.2021'!$A$6:$D$401,4,)</f>
        <v>-54406.836163422457</v>
      </c>
      <c r="DH277" s="40">
        <f>'[3]побудинковий звіт'!DJ277</f>
        <v>186695.48038589637</v>
      </c>
      <c r="DI277" s="422">
        <f>'[3]побудинковий звіт'!CU277+'[3]побудинковий звіт'!CX277</f>
        <v>16313.937431225078</v>
      </c>
      <c r="DJ277" s="306">
        <f>'[3]побудинковий звіт'!DM277</f>
        <v>5.271166016720386</v>
      </c>
      <c r="DK277" s="306">
        <f t="shared" si="316"/>
        <v>5.271166016720386</v>
      </c>
      <c r="DL277" s="306">
        <f>'[3]побудинковий звіт'!DO277</f>
        <v>4.4423680694273306</v>
      </c>
      <c r="DM277" s="28">
        <f t="shared" si="317"/>
        <v>14153.080754894236</v>
      </c>
      <c r="DN277" s="28">
        <f t="shared" si="318"/>
        <v>2160.8566763308422</v>
      </c>
      <c r="DO277" s="423">
        <f t="shared" si="319"/>
        <v>16313.937431225078</v>
      </c>
      <c r="DP277" s="94">
        <f t="shared" si="320"/>
        <v>0</v>
      </c>
      <c r="DQ277" s="28">
        <f t="shared" si="321"/>
        <v>16313.937431225078</v>
      </c>
      <c r="DR277" s="318"/>
      <c r="DT277" s="8"/>
      <c r="DU277" s="5"/>
      <c r="DX277" s="5">
        <f t="shared" si="322"/>
        <v>58767.56904552185</v>
      </c>
      <c r="DY277" s="5">
        <f t="shared" si="323"/>
        <v>97430.97600000001</v>
      </c>
      <c r="DZ277" s="159">
        <f>'[3]побудинковий звіт'!EA277</f>
        <v>5524.3384675463685</v>
      </c>
    </row>
    <row r="278" spans="1:130" x14ac:dyDescent="0.3">
      <c r="A278" s="325">
        <v>150000717</v>
      </c>
      <c r="B278" s="41" t="s">
        <v>724</v>
      </c>
      <c r="C278" s="42" t="s">
        <v>287</v>
      </c>
      <c r="D278" s="42"/>
      <c r="E278" s="293">
        <f t="shared" si="296"/>
        <v>3165.2999999999997</v>
      </c>
      <c r="F278" s="305">
        <f>'[3]побудинковий звіт'!F278</f>
        <v>2595.6999999999998</v>
      </c>
      <c r="G278" s="508">
        <f>'[3]побудинковий звіт'!G278</f>
        <v>0</v>
      </c>
      <c r="H278" s="560">
        <f>'[3]побудинковий звіт'!H278</f>
        <v>569.6</v>
      </c>
      <c r="I278" s="566">
        <f>VLOOKUP($A278,'01-02.2021'!$A$6:$CZ$403,9,FALSE)+VLOOKUP($A278,'1.3.21-28.2.22'!$A$6:$DA$404,9,FALSE)-VLOOKUP($A278,'01-02.2022'!$A$6:$DA$376,9,FALSE)</f>
        <v>11458.251714780363</v>
      </c>
      <c r="J278" s="566">
        <f>VLOOKUP($A278,'01-02.2021'!$A$6:$CZ$403,10,FALSE)+VLOOKUP($A278,'1.3.21-28.2.22'!$A$6:$DA$404,10,FALSE)-VLOOKUP($A278,'01-02.2022'!$A$6:$DA$376,10,FALSE)</f>
        <v>11144.921980357671</v>
      </c>
      <c r="K278" s="52">
        <f t="shared" si="300"/>
        <v>-313.32973442269213</v>
      </c>
      <c r="L278" s="566">
        <f>VLOOKUP($A278,'01-02.2021'!$A$6:$CZ$403,12,FALSE)+VLOOKUP($A278,'1.3.21-28.2.22'!$A$6:$DA$404,12,FALSE)-VLOOKUP($A278,'01-02.2022'!$A$6:$DA$376,12,FALSE)</f>
        <v>2217.488804008241</v>
      </c>
      <c r="M278" s="566">
        <f>VLOOKUP($A278,'01-02.2021'!$A$6:$CZ$403,13,FALSE)+VLOOKUP($A278,'1.3.21-28.2.22'!$A$6:$DA$404,13,FALSE)-VLOOKUP($A278,'01-02.2022'!$A$6:$DA$376,13,FALSE)</f>
        <v>2214.1285430012658</v>
      </c>
      <c r="N278" s="52">
        <f t="shared" si="301"/>
        <v>-3.360261006975179</v>
      </c>
      <c r="O278" s="566">
        <f>VLOOKUP($A278,'01-02.2021'!$A$6:$CZ$403,15,FALSE)+VLOOKUP($A278,'1.3.21-28.2.22'!$A$6:$DA$404,15,FALSE)-VLOOKUP($A278,'01-02.2022'!$A$6:$DA$376,15,FALSE)</f>
        <v>4248.0886820259748</v>
      </c>
      <c r="P278" s="566">
        <f>VLOOKUP($A278,'01-02.2021'!$A$6:$CZ$403,16,FALSE)+VLOOKUP($A278,'1.3.21-28.2.22'!$A$6:$DA$404,16,FALSE)-VLOOKUP($A278,'01-02.2022'!$A$6:$DA$376,16,FALSE)</f>
        <v>4247.6066666666666</v>
      </c>
      <c r="Q278" s="70">
        <f t="shared" si="324"/>
        <v>-0.48201535930820683</v>
      </c>
      <c r="R278" s="566">
        <f>VLOOKUP($A278,'01-02.2021'!$A$6:$CZ$403,18,FALSE)+VLOOKUP($A278,'1.3.21-28.2.22'!$A$6:$DA$404,18,FALSE)-VLOOKUP($A278,'01-02.2022'!$A$6:$DA$376,18,FALSE)</f>
        <v>0</v>
      </c>
      <c r="S278" s="566">
        <f>VLOOKUP($A278,'01-02.2021'!$A$6:$CZ$403,19,FALSE)+VLOOKUP($A278,'1.3.21-28.2.22'!$A$6:$DA$404,19,FALSE)-VLOOKUP($A278,'01-02.2022'!$A$6:$DA$376,19,FALSE)</f>
        <v>0</v>
      </c>
      <c r="T278" s="70">
        <f t="shared" si="325"/>
        <v>0</v>
      </c>
      <c r="U278" s="566">
        <f>VLOOKUP($A278,'01-02.2021'!$A$6:$CZ$403,21,FALSE)+VLOOKUP($A278,'1.3.21-28.2.22'!$A$6:$DA$404,21,FALSE)-VLOOKUP($A278,'01-02.2022'!$A$6:$DA$376,21,FALSE)</f>
        <v>0</v>
      </c>
      <c r="V278" s="566">
        <f>VLOOKUP($A278,'01-02.2021'!$A$6:$CZ$403,22,FALSE)+VLOOKUP($A278,'1.3.21-28.2.22'!$A$6:$DA$404,22,FALSE)-VLOOKUP($A278,'01-02.2022'!$A$6:$DA$376,22,FALSE)</f>
        <v>0</v>
      </c>
      <c r="W278" s="70">
        <f t="shared" si="326"/>
        <v>0</v>
      </c>
      <c r="X278" s="566">
        <f>VLOOKUP($A278,'01-02.2021'!$A$6:$CZ$403,24,FALSE)+VLOOKUP($A278,'1.3.21-28.2.22'!$A$6:$DA$404,24,FALSE)-VLOOKUP($A278,'01-02.2022'!$A$6:$DA$376,24,FALSE)</f>
        <v>6352.8399089141949</v>
      </c>
      <c r="Y278" s="566">
        <f>VLOOKUP($A278,'01-02.2021'!$A$6:$CZ$403,25,FALSE)+VLOOKUP($A278,'1.3.21-28.2.22'!$A$6:$DA$404,25,FALSE)-VLOOKUP($A278,'01-02.2022'!$A$6:$DA$376,25,FALSE)</f>
        <v>5498.1511663273095</v>
      </c>
      <c r="Z278" s="70">
        <f t="shared" si="327"/>
        <v>-854.68874258688538</v>
      </c>
      <c r="AA278" s="566">
        <f>VLOOKUP($A278,'01-02.2021'!$A$6:$CZ$403,27,FALSE)+VLOOKUP($A278,'1.3.21-28.2.22'!$A$6:$DA$404,27,FALSE)-VLOOKUP($A278,'01-02.2022'!$A$6:$DA$376,27,FALSE)</f>
        <v>633.06600000000003</v>
      </c>
      <c r="AB278" s="566">
        <f>VLOOKUP($A278,'01-02.2021'!$A$6:$CZ$403,28,FALSE)+VLOOKUP($A278,'1.3.21-28.2.22'!$A$6:$DA$404,28,FALSE)-VLOOKUP($A278,'01-02.2022'!$A$6:$DA$376,28,FALSE)</f>
        <v>0</v>
      </c>
      <c r="AC278" s="70">
        <f t="shared" si="328"/>
        <v>-633.06600000000003</v>
      </c>
      <c r="AD278" s="566">
        <f>VLOOKUP($A278,'01-02.2021'!$A$6:$CZ$403,30,FALSE)+VLOOKUP($A278,'1.3.21-28.2.22'!$A$6:$DA$404,30,FALSE)-VLOOKUP($A278,'01-02.2022'!$A$6:$DA$376,30,FALSE)</f>
        <v>13539.461532814821</v>
      </c>
      <c r="AE278" s="566">
        <f>VLOOKUP($A278,'01-02.2021'!$A$6:$CZ$403,31,FALSE)+VLOOKUP($A278,'1.3.21-28.2.22'!$A$6:$DA$404,31,FALSE)-VLOOKUP($A278,'01-02.2022'!$A$6:$DA$376,31,FALSE)</f>
        <v>14408.616326740434</v>
      </c>
      <c r="AF278" s="68">
        <f t="shared" si="329"/>
        <v>869.15479392561247</v>
      </c>
      <c r="AG278" s="77">
        <f t="shared" si="297"/>
        <v>38449.196642543597</v>
      </c>
      <c r="AH278" s="53">
        <f t="shared" si="297"/>
        <v>37513.424683093341</v>
      </c>
      <c r="AI278" s="52">
        <f t="shared" si="302"/>
        <v>-935.77195945025596</v>
      </c>
      <c r="AJ278" s="566">
        <f>VLOOKUP($A278,'01-02.2021'!$A$6:$CZ$403,36,FALSE)+VLOOKUP($A278,'1.3.21-28.2.22'!$A$6:$DA$404,36,FALSE)-VLOOKUP($A278,'01-02.2022'!$A$6:$DA$376,36,FALSE)</f>
        <v>0</v>
      </c>
      <c r="AK278" s="566">
        <f>VLOOKUP($A278,'01-02.2021'!$A$6:$CZ$403,37,FALSE)+VLOOKUP($A278,'1.3.21-28.2.22'!$A$6:$DA$404,37,FALSE)-VLOOKUP($A278,'01-02.2022'!$A$6:$DA$376,37,FALSE)</f>
        <v>0</v>
      </c>
      <c r="AL278" s="70">
        <f t="shared" si="330"/>
        <v>0</v>
      </c>
      <c r="AM278" s="566">
        <f>VLOOKUP($A278,'01-02.2021'!$A$6:$CZ$403,39,FALSE)+VLOOKUP($A278,'1.3.21-28.2.22'!$A$6:$DA$404,39,FALSE)-VLOOKUP($A278,'01-02.2022'!$A$6:$DA$376,39,FALSE)</f>
        <v>0</v>
      </c>
      <c r="AN278" s="566">
        <f>VLOOKUP($A278,'01-02.2021'!$A$6:$CZ$403,40,FALSE)+VLOOKUP($A278,'1.3.21-28.2.22'!$A$6:$DA$404,40,FALSE)-VLOOKUP($A278,'01-02.2022'!$A$6:$DA$376,40,FALSE)</f>
        <v>0</v>
      </c>
      <c r="AO278" s="70">
        <f t="shared" si="331"/>
        <v>0</v>
      </c>
      <c r="AP278" s="566">
        <f>VLOOKUP($A278,'01-02.2021'!$A$6:$CZ$403,42,FALSE)+VLOOKUP($A278,'1.3.21-28.2.22'!$A$6:$DA$404,42,FALSE)-VLOOKUP($A278,'01-02.2022'!$A$6:$DA$376,42,FALSE)</f>
        <v>7417.9789314320797</v>
      </c>
      <c r="AQ278" s="566">
        <f>VLOOKUP($A278,'01-02.2021'!$A$6:$CZ$403,43,FALSE)+VLOOKUP($A278,'1.3.21-28.2.22'!$A$6:$DA$404,43,FALSE)-VLOOKUP($A278,'01-02.2022'!$A$6:$DA$376,43,FALSE)</f>
        <v>6402.4308522913188</v>
      </c>
      <c r="AR278" s="70">
        <f t="shared" si="332"/>
        <v>-1015.5480791407608</v>
      </c>
      <c r="AS278" s="566">
        <f>VLOOKUP($A278,'01-02.2021'!$A$6:$CZ$403,45,FALSE)+VLOOKUP($A278,'1.3.21-28.2.22'!$A$6:$DA$404,45,FALSE)-VLOOKUP($A278,'01-02.2022'!$A$6:$DA$376,45,FALSE)</f>
        <v>34905.358569350588</v>
      </c>
      <c r="AT278" s="566">
        <f>VLOOKUP($A278,'01-02.2021'!$A$6:$CZ$403,46,FALSE)+VLOOKUP($A278,'1.3.21-28.2.22'!$A$6:$DA$404,46,FALSE)-VLOOKUP($A278,'01-02.2022'!$A$6:$DA$376,46,FALSE)</f>
        <v>2031</v>
      </c>
      <c r="AU278" s="78">
        <f t="shared" si="333"/>
        <v>-32874.358569350588</v>
      </c>
      <c r="AV278" s="566">
        <f>VLOOKUP($A278,'01-02.2021'!$A$6:$CZ$403,48,FALSE)+VLOOKUP($A278,'1.3.21-28.2.22'!$A$6:$DA$404,48,FALSE)-VLOOKUP($A278,'01-02.2022'!$A$6:$DA$376,48,FALSE)</f>
        <v>3445.0777897721555</v>
      </c>
      <c r="AW278" s="566">
        <f>VLOOKUP($A278,'01-02.2021'!$A$6:$CZ$403,49,FALSE)+VLOOKUP($A278,'1.3.21-28.2.22'!$A$6:$DA$404,49,FALSE)-VLOOKUP($A278,'01-02.2022'!$A$6:$DA$376,49,FALSE)</f>
        <v>0</v>
      </c>
      <c r="AX278" s="55">
        <f t="shared" si="334"/>
        <v>-3445.0777897721555</v>
      </c>
      <c r="AY278" s="566">
        <f>VLOOKUP($A278,'01-02.2021'!$A$6:$CZ$403,51,FALSE)+VLOOKUP($A278,'1.3.21-28.2.22'!$A$6:$DA$404,51,FALSE)-VLOOKUP($A278,'01-02.2022'!$A$6:$DA$376,51,FALSE)</f>
        <v>4168.304139835107</v>
      </c>
      <c r="AZ278" s="566">
        <f>VLOOKUP($A278,'01-02.2021'!$A$6:$CZ$403,52,FALSE)+VLOOKUP($A278,'1.3.21-28.2.22'!$A$6:$DA$404,52,FALSE)-VLOOKUP($A278,'01-02.2022'!$A$6:$DA$376,52,FALSE)</f>
        <v>2744</v>
      </c>
      <c r="BA278" s="38">
        <f t="shared" si="335"/>
        <v>-1424.304139835107</v>
      </c>
      <c r="BB278" s="566">
        <f>VLOOKUP($A278,'01-02.2021'!$A$6:$CZ$403,54,FALSE)+VLOOKUP($A278,'1.3.21-28.2.22'!$A$6:$DA$404,54,FALSE)-VLOOKUP($A278,'01-02.2022'!$A$6:$DA$376,54,FALSE)</f>
        <v>1578.7026163234282</v>
      </c>
      <c r="BC278" s="566">
        <f>VLOOKUP($A278,'01-02.2021'!$A$6:$CZ$403,55,FALSE)+VLOOKUP($A278,'1.3.21-28.2.22'!$A$6:$DA$404,55,FALSE)-VLOOKUP($A278,'01-02.2022'!$A$6:$DA$376,55,FALSE)</f>
        <v>3875</v>
      </c>
      <c r="BD278" s="55">
        <f t="shared" si="336"/>
        <v>2296.2973836765718</v>
      </c>
      <c r="BE278" s="566">
        <f>VLOOKUP($A278,'01-02.2021'!$A$6:$CZ$403,57,FALSE)+VLOOKUP($A278,'1.3.21-28.2.22'!$A$6:$DA$404,57,FALSE)-VLOOKUP($A278,'01-02.2022'!$A$6:$DA$376,57,FALSE)</f>
        <v>0</v>
      </c>
      <c r="BF278" s="566">
        <f>VLOOKUP($A278,'01-02.2021'!$A$6:$CZ$403,58,FALSE)+VLOOKUP($A278,'1.3.21-28.2.22'!$A$6:$DA$404,58,FALSE)-VLOOKUP($A278,'01-02.2022'!$A$6:$DA$376,58,FALSE)</f>
        <v>0</v>
      </c>
      <c r="BG278" s="55">
        <f t="shared" si="337"/>
        <v>0</v>
      </c>
      <c r="BH278" s="566">
        <f>VLOOKUP($A278,'01-02.2021'!$A$6:$CZ$403,60,FALSE)+VLOOKUP($A278,'1.3.21-28.2.22'!$A$6:$DA$404,60,FALSE)-VLOOKUP($A278,'01-02.2022'!$A$6:$DA$376,60,FALSE)</f>
        <v>0</v>
      </c>
      <c r="BI278" s="566">
        <f>VLOOKUP($A278,'01-02.2021'!$A$6:$CZ$403,61,FALSE)+VLOOKUP($A278,'1.3.21-28.2.22'!$A$6:$DA$404,61,FALSE)-VLOOKUP($A278,'01-02.2022'!$A$6:$DA$376,61,FALSE)</f>
        <v>0</v>
      </c>
      <c r="BJ278" s="55">
        <f t="shared" si="338"/>
        <v>0</v>
      </c>
      <c r="BK278" s="566">
        <f>VLOOKUP($A278,'01-02.2021'!$A$6:$CZ$403,63,FALSE)+VLOOKUP($A278,'1.3.21-28.2.22'!$A$6:$DA$404,63,FALSE)-VLOOKUP($A278,'01-02.2022'!$A$6:$DA$376,63,FALSE)</f>
        <v>2157.4869303566684</v>
      </c>
      <c r="BL278" s="566">
        <f>VLOOKUP($A278,'01-02.2021'!$A$6:$CZ$403,64,FALSE)+VLOOKUP($A278,'1.3.21-28.2.22'!$A$6:$DA$404,64,FALSE)-VLOOKUP($A278,'01-02.2022'!$A$6:$DA$376,64,FALSE)</f>
        <v>0</v>
      </c>
      <c r="BM278" s="55">
        <f t="shared" si="339"/>
        <v>-2157.4869303566684</v>
      </c>
      <c r="BN278" s="566">
        <f>VLOOKUP($A278,'01-02.2021'!$A$6:$CZ$403,66,FALSE)+VLOOKUP($A278,'1.3.21-28.2.22'!$A$6:$DA$404,66,FALSE)-VLOOKUP($A278,'01-02.2022'!$A$6:$DA$376,66,FALSE)</f>
        <v>158.26650000000001</v>
      </c>
      <c r="BO278" s="566">
        <f>VLOOKUP($A278,'01-02.2021'!$A$6:$CZ$403,67,FALSE)+VLOOKUP($A278,'1.3.21-28.2.22'!$A$6:$DA$404,67,FALSE)-VLOOKUP($A278,'01-02.2022'!$A$6:$DA$376,67,FALSE)</f>
        <v>0</v>
      </c>
      <c r="BP278" s="55">
        <f t="shared" si="340"/>
        <v>-158.26650000000001</v>
      </c>
      <c r="BQ278" s="77">
        <f t="shared" si="287"/>
        <v>11507.837976287359</v>
      </c>
      <c r="BR278" s="40">
        <f t="shared" si="315"/>
        <v>6619</v>
      </c>
      <c r="BS278" s="55">
        <f t="shared" si="314"/>
        <v>-4888.8379762873592</v>
      </c>
      <c r="BT278" s="566">
        <f>VLOOKUP($A278,'01-02.2021'!$A$6:$CZ$403,72,FALSE)+VLOOKUP($A278,'1.3.21-28.2.22'!$A$6:$DA$404,72,FALSE)-VLOOKUP($A278,'01-02.2022'!$A$6:$DA$376,72,FALSE)</f>
        <v>25363.062449273511</v>
      </c>
      <c r="BU278" s="566">
        <f>VLOOKUP($A278,'01-02.2021'!$A$6:$CZ$403,73,FALSE)+VLOOKUP($A278,'1.3.21-28.2.22'!$A$6:$DA$404,73,FALSE)-VLOOKUP($A278,'01-02.2022'!$A$6:$DA$376,73,FALSE)</f>
        <v>26814.192318038644</v>
      </c>
      <c r="BV278" s="70">
        <f t="shared" si="341"/>
        <v>1451.1298687651324</v>
      </c>
      <c r="BW278" s="566">
        <f>VLOOKUP($A278,'01-02.2021'!$A$6:$CZ$403,75,FALSE)+VLOOKUP($A278,'1.3.21-28.2.22'!$A$6:$DA$404,75,FALSE)-VLOOKUP($A278,'01-02.2022'!$A$6:$DA$376,75,FALSE)</f>
        <v>17770.131213416033</v>
      </c>
      <c r="BX278" s="566">
        <f>VLOOKUP($A278,'01-02.2021'!$A$6:$CZ$403,76,FALSE)+VLOOKUP($A278,'1.3.21-28.2.22'!$A$6:$DA$404,76,FALSE)-VLOOKUP($A278,'01-02.2022'!$A$6:$DA$376,76,FALSE)</f>
        <v>15361.192429973227</v>
      </c>
      <c r="BY278" s="70">
        <f t="shared" si="342"/>
        <v>-2408.9387834428053</v>
      </c>
      <c r="BZ278" s="566">
        <f>VLOOKUP($A278,'01-02.2021'!$A$6:$CZ$403,78,FALSE)+VLOOKUP($A278,'1.3.21-28.2.22'!$A$6:$DA$404,78,FALSE)-VLOOKUP($A278,'01-02.2022'!$A$6:$DA$376,78,FALSE)</f>
        <v>7582.5481865913607</v>
      </c>
      <c r="CA278" s="566">
        <f>VLOOKUP($A278,'01-02.2021'!$A$6:$CZ$403,79,FALSE)+VLOOKUP($A278,'1.3.21-28.2.22'!$A$6:$DA$404,79,FALSE)-VLOOKUP($A278,'01-02.2022'!$A$6:$DA$376,79,FALSE)</f>
        <v>6768.9054916971254</v>
      </c>
      <c r="CB278" s="70">
        <f t="shared" si="343"/>
        <v>-813.64269489423532</v>
      </c>
      <c r="CC278" s="566">
        <f>VLOOKUP($A278,'01-02.2021'!$A$6:$CZ$403,81,FALSE)+VLOOKUP($A278,'1.3.21-28.2.22'!$A$6:$DA$404,81,FALSE)-VLOOKUP($A278,'01-02.2022'!$A$6:$DA$376,81,FALSE)</f>
        <v>1709.2781303952718</v>
      </c>
      <c r="CD278" s="566">
        <f>VLOOKUP($A278,'01-02.2021'!$A$6:$CZ$403,82,FALSE)+VLOOKUP($A278,'1.3.21-28.2.22'!$A$6:$DA$404,82,FALSE)-VLOOKUP($A278,'01-02.2022'!$A$6:$DA$376,82,FALSE)</f>
        <v>1868.2290649941351</v>
      </c>
      <c r="CE278" s="70">
        <f t="shared" si="344"/>
        <v>158.95093459886334</v>
      </c>
      <c r="CF278" s="566">
        <f>VLOOKUP($A278,'01-02.2021'!$A$6:$CZ$403,84,FALSE)+VLOOKUP($A278,'1.3.21-28.2.22'!$A$6:$DA$404,84,FALSE)-VLOOKUP($A278,'01-02.2022'!$A$6:$DA$376,84,FALSE)</f>
        <v>207.79796627972098</v>
      </c>
      <c r="CG278" s="566">
        <f>VLOOKUP($A278,'01-02.2021'!$A$6:$CZ$403,85,FALSE)+VLOOKUP($A278,'1.3.21-28.2.22'!$A$6:$DA$404,85,FALSE)-VLOOKUP($A278,'01-02.2022'!$A$6:$DA$376,85,FALSE)</f>
        <v>0</v>
      </c>
      <c r="CH278" s="70">
        <f t="shared" si="345"/>
        <v>-207.79796627972098</v>
      </c>
      <c r="CI278" s="566">
        <f>VLOOKUP($A278,'01-02.2021'!$A$6:$CZ$403,87,FALSE)+VLOOKUP($A278,'1.3.21-28.2.22'!$A$6:$DA$404,87,FALSE)-VLOOKUP($A278,'01-02.2022'!$A$6:$DA$376,87,FALSE)</f>
        <v>7990.4632800300897</v>
      </c>
      <c r="CJ278" s="566">
        <f>VLOOKUP($A278,'01-02.2021'!$A$6:$CZ$403,88,FALSE)+VLOOKUP($A278,'1.3.21-28.2.22'!$A$6:$DA$404,88,FALSE)-VLOOKUP($A278,'01-02.2022'!$A$6:$DA$376,88,FALSE)</f>
        <v>6012.0194399776101</v>
      </c>
      <c r="CK278" s="70">
        <f t="shared" si="346"/>
        <v>-1978.4438400524796</v>
      </c>
      <c r="CL278" s="566">
        <f>VLOOKUP($A278,'01-02.2021'!$A$6:$CZ$403,90,FALSE)+VLOOKUP($A278,'1.3.21-28.2.22'!$A$6:$DA$404,90,FALSE)-VLOOKUP($A278,'01-02.2022'!$A$6:$DA$376,90,FALSE)</f>
        <v>0</v>
      </c>
      <c r="CM278" s="566">
        <f>VLOOKUP($A278,'01-02.2021'!$A$6:$CZ$403,91,FALSE)+VLOOKUP($A278,'1.3.21-28.2.22'!$A$6:$DA$404,91,FALSE)-VLOOKUP($A278,'01-02.2022'!$A$6:$DA$376,91,FALSE)</f>
        <v>0</v>
      </c>
      <c r="CN278" s="52">
        <f t="shared" si="303"/>
        <v>0</v>
      </c>
      <c r="CO278" s="39">
        <f t="shared" si="298"/>
        <v>7990.4632800300897</v>
      </c>
      <c r="CP278" s="40">
        <f t="shared" si="304"/>
        <v>6012.0194399776101</v>
      </c>
      <c r="CQ278" s="52">
        <f t="shared" si="305"/>
        <v>-1978.4438400524796</v>
      </c>
      <c r="CR278" s="72">
        <f t="shared" si="299"/>
        <v>152903.65334559963</v>
      </c>
      <c r="CS278" s="5">
        <f t="shared" si="299"/>
        <v>109390.39428006539</v>
      </c>
      <c r="CT278" s="52">
        <f t="shared" si="306"/>
        <v>-43513.259065534236</v>
      </c>
      <c r="CU278" s="77">
        <f t="shared" si="307"/>
        <v>183484.38401471954</v>
      </c>
      <c r="CV278" s="65">
        <f t="shared" si="308"/>
        <v>131268.47313607845</v>
      </c>
      <c r="CW278" s="35">
        <f t="shared" si="309"/>
        <v>-52215.910878641094</v>
      </c>
      <c r="CX278" s="566">
        <f>VLOOKUP($A278,'01-02.2021'!$A$6:$CZ$403,102,FALSE)+VLOOKUP($A278,'1.3.21-28.2.22'!$A$6:$DA$404,102,FALSE)-VLOOKUP($A278,'01-02.2022'!$A$6:$DA$376,102,FALSE)</f>
        <v>9350.0361870632478</v>
      </c>
      <c r="CY278" s="566">
        <f>VLOOKUP($A278,'01-02.2021'!$A$6:$CZ$403,103,FALSE)+VLOOKUP($A278,'1.3.21-28.2.22'!$A$6:$DA$404,103,FALSE)-VLOOKUP($A278,'01-02.2022'!$A$6:$DA$376,103,FALSE)</f>
        <v>61565.947065704335</v>
      </c>
      <c r="CZ278" s="52">
        <f t="shared" si="310"/>
        <v>52215.910878641087</v>
      </c>
      <c r="DA278" s="150">
        <f>'[2]побудинковий звіт'!DA278</f>
        <v>-33244.861606145649</v>
      </c>
      <c r="DB278" s="2">
        <v>3</v>
      </c>
      <c r="DC278" s="414">
        <f>'[4]побудинковий звіт'!DC278</f>
        <v>22781.54</v>
      </c>
      <c r="DD278" s="414">
        <f>'[4]побудинковий звіт'!DD278</f>
        <v>9401.0499999999993</v>
      </c>
      <c r="DE278" s="557">
        <f>'[4]побудинковий звіт'!DE278</f>
        <v>8193.7474113070693</v>
      </c>
      <c r="DF278" s="557">
        <f>'[4]побудинковий звіт'!DF278</f>
        <v>6682.2470966358142</v>
      </c>
      <c r="DG278" s="321">
        <f>VLOOKUP(A278,'кошти 01.03.2021'!$A$6:$D$401,4,)</f>
        <v>27142.660486919995</v>
      </c>
      <c r="DH278" s="40">
        <f>'[3]побудинковий звіт'!DJ278</f>
        <v>198668.31870168657</v>
      </c>
      <c r="DI278" s="422">
        <f>'[3]побудинковий звіт'!CU278+'[3]побудинковий звіт'!CX278</f>
        <v>17306.595492057117</v>
      </c>
      <c r="DJ278" s="306">
        <f>'[3]побудинковий звіт'!DM278</f>
        <v>5.6199840461890558</v>
      </c>
      <c r="DK278" s="306">
        <f t="shared" si="316"/>
        <v>5.6199840461890558</v>
      </c>
      <c r="DL278" s="306">
        <f>'[3]побудинковий звіт'!DO278</f>
        <v>4.7731792545017298</v>
      </c>
      <c r="DM278" s="28">
        <f t="shared" si="317"/>
        <v>14587.792588692932</v>
      </c>
      <c r="DN278" s="28">
        <f t="shared" si="318"/>
        <v>2718.8029033641856</v>
      </c>
      <c r="DO278" s="423">
        <f t="shared" si="319"/>
        <v>17306.595492057117</v>
      </c>
      <c r="DP278" s="94">
        <f t="shared" si="320"/>
        <v>0</v>
      </c>
      <c r="DQ278" s="28">
        <f t="shared" si="321"/>
        <v>17306.595492057117</v>
      </c>
      <c r="DR278" s="318"/>
      <c r="DT278" s="8"/>
      <c r="DU278" s="5"/>
      <c r="DX278" s="5">
        <f t="shared" si="322"/>
        <v>55695.835854765537</v>
      </c>
      <c r="DY278" s="5">
        <f t="shared" si="323"/>
        <v>10380</v>
      </c>
      <c r="DZ278" s="159">
        <f>'[3]побудинковий звіт'!EA278</f>
        <v>5117.8513542715482</v>
      </c>
    </row>
    <row r="279" spans="1:130" x14ac:dyDescent="0.3">
      <c r="A279" s="325">
        <v>150000718</v>
      </c>
      <c r="B279" s="41" t="s">
        <v>725</v>
      </c>
      <c r="C279" s="42" t="s">
        <v>288</v>
      </c>
      <c r="D279" s="42"/>
      <c r="E279" s="293">
        <f t="shared" si="296"/>
        <v>4456.6000000000004</v>
      </c>
      <c r="F279" s="305">
        <f>'[3]побудинковий звіт'!F279</f>
        <v>4456.6000000000004</v>
      </c>
      <c r="G279" s="508">
        <f>'[3]побудинковий звіт'!G279</f>
        <v>0</v>
      </c>
      <c r="H279" s="560">
        <f>'[3]побудинковий звіт'!H279</f>
        <v>0</v>
      </c>
      <c r="I279" s="566">
        <f>VLOOKUP($A279,'01-02.2021'!$A$6:$CZ$403,9,FALSE)+VLOOKUP($A279,'1.3.21-28.2.22'!$A$6:$DA$404,9,FALSE)-VLOOKUP($A279,'01-02.2022'!$A$6:$DA$376,9,FALSE)</f>
        <v>14993.618712711474</v>
      </c>
      <c r="J279" s="566">
        <f>VLOOKUP($A279,'01-02.2021'!$A$6:$CZ$403,10,FALSE)+VLOOKUP($A279,'1.3.21-28.2.22'!$A$6:$DA$404,10,FALSE)-VLOOKUP($A279,'01-02.2022'!$A$6:$DA$376,10,FALSE)</f>
        <v>14637.051534865788</v>
      </c>
      <c r="K279" s="52">
        <f t="shared" si="300"/>
        <v>-356.56717784568536</v>
      </c>
      <c r="L279" s="566">
        <f>VLOOKUP($A279,'01-02.2021'!$A$6:$CZ$403,12,FALSE)+VLOOKUP($A279,'1.3.21-28.2.22'!$A$6:$DA$404,12,FALSE)-VLOOKUP($A279,'01-02.2022'!$A$6:$DA$376,12,FALSE)</f>
        <v>3279.4674450638722</v>
      </c>
      <c r="M279" s="566">
        <f>VLOOKUP($A279,'01-02.2021'!$A$6:$CZ$403,13,FALSE)+VLOOKUP($A279,'1.3.21-28.2.22'!$A$6:$DA$404,13,FALSE)-VLOOKUP($A279,'01-02.2022'!$A$6:$DA$376,13,FALSE)</f>
        <v>3274.4754370924647</v>
      </c>
      <c r="N279" s="52">
        <f t="shared" si="301"/>
        <v>-4.9920079714074745</v>
      </c>
      <c r="O279" s="566">
        <f>VLOOKUP($A279,'01-02.2021'!$A$6:$CZ$403,15,FALSE)+VLOOKUP($A279,'1.3.21-28.2.22'!$A$6:$DA$404,15,FALSE)-VLOOKUP($A279,'01-02.2022'!$A$6:$DA$376,15,FALSE)</f>
        <v>6055.8140815214065</v>
      </c>
      <c r="P279" s="566">
        <f>VLOOKUP($A279,'01-02.2021'!$A$6:$CZ$403,16,FALSE)+VLOOKUP($A279,'1.3.21-28.2.22'!$A$6:$DA$404,16,FALSE)-VLOOKUP($A279,'01-02.2022'!$A$6:$DA$376,16,FALSE)</f>
        <v>6055.1333333333323</v>
      </c>
      <c r="Q279" s="70">
        <f t="shared" si="324"/>
        <v>-0.68074818807417614</v>
      </c>
      <c r="R279" s="566">
        <f>VLOOKUP($A279,'01-02.2021'!$A$6:$CZ$403,18,FALSE)+VLOOKUP($A279,'1.3.21-28.2.22'!$A$6:$DA$404,18,FALSE)-VLOOKUP($A279,'01-02.2022'!$A$6:$DA$376,18,FALSE)</f>
        <v>0</v>
      </c>
      <c r="S279" s="566">
        <f>VLOOKUP($A279,'01-02.2021'!$A$6:$CZ$403,19,FALSE)+VLOOKUP($A279,'1.3.21-28.2.22'!$A$6:$DA$404,19,FALSE)-VLOOKUP($A279,'01-02.2022'!$A$6:$DA$376,19,FALSE)</f>
        <v>0</v>
      </c>
      <c r="T279" s="70">
        <f t="shared" si="325"/>
        <v>0</v>
      </c>
      <c r="U279" s="566">
        <f>VLOOKUP($A279,'01-02.2021'!$A$6:$CZ$403,21,FALSE)+VLOOKUP($A279,'1.3.21-28.2.22'!$A$6:$DA$404,21,FALSE)-VLOOKUP($A279,'01-02.2022'!$A$6:$DA$376,21,FALSE)</f>
        <v>1114.1131194327395</v>
      </c>
      <c r="V279" s="566">
        <f>VLOOKUP($A279,'01-02.2021'!$A$6:$CZ$403,22,FALSE)+VLOOKUP($A279,'1.3.21-28.2.22'!$A$6:$DA$404,22,FALSE)-VLOOKUP($A279,'01-02.2022'!$A$6:$DA$376,22,FALSE)</f>
        <v>946.8548966532129</v>
      </c>
      <c r="W279" s="70">
        <f t="shared" si="326"/>
        <v>-167.25822277952659</v>
      </c>
      <c r="X279" s="566">
        <f>VLOOKUP($A279,'01-02.2021'!$A$6:$CZ$403,24,FALSE)+VLOOKUP($A279,'1.3.21-28.2.22'!$A$6:$DA$404,24,FALSE)-VLOOKUP($A279,'01-02.2022'!$A$6:$DA$376,24,FALSE)</f>
        <v>11785.1907769385</v>
      </c>
      <c r="Y279" s="566">
        <f>VLOOKUP($A279,'01-02.2021'!$A$6:$CZ$403,25,FALSE)+VLOOKUP($A279,'1.3.21-28.2.22'!$A$6:$DA$404,25,FALSE)-VLOOKUP($A279,'01-02.2022'!$A$6:$DA$376,25,FALSE)</f>
        <v>10245.496634612242</v>
      </c>
      <c r="Z279" s="70">
        <f t="shared" si="327"/>
        <v>-1539.6941423262579</v>
      </c>
      <c r="AA279" s="566">
        <f>VLOOKUP($A279,'01-02.2021'!$A$6:$CZ$403,27,FALSE)+VLOOKUP($A279,'1.3.21-28.2.22'!$A$6:$DA$404,27,FALSE)-VLOOKUP($A279,'01-02.2022'!$A$6:$DA$376,27,FALSE)</f>
        <v>891.33999999999992</v>
      </c>
      <c r="AB279" s="566">
        <f>VLOOKUP($A279,'01-02.2021'!$A$6:$CZ$403,28,FALSE)+VLOOKUP($A279,'1.3.21-28.2.22'!$A$6:$DA$404,28,FALSE)-VLOOKUP($A279,'01-02.2022'!$A$6:$DA$376,28,FALSE)</f>
        <v>0</v>
      </c>
      <c r="AC279" s="70">
        <f t="shared" si="328"/>
        <v>-891.33999999999992</v>
      </c>
      <c r="AD279" s="566">
        <f>VLOOKUP($A279,'01-02.2021'!$A$6:$CZ$403,30,FALSE)+VLOOKUP($A279,'1.3.21-28.2.22'!$A$6:$DA$404,30,FALSE)-VLOOKUP($A279,'01-02.2022'!$A$6:$DA$376,30,FALSE)</f>
        <v>19142.530081583089</v>
      </c>
      <c r="AE279" s="566">
        <f>VLOOKUP($A279,'01-02.2021'!$A$6:$CZ$403,31,FALSE)+VLOOKUP($A279,'1.3.21-28.2.22'!$A$6:$DA$404,31,FALSE)-VLOOKUP($A279,'01-02.2022'!$A$6:$DA$376,31,FALSE)</f>
        <v>20286.856862558539</v>
      </c>
      <c r="AF279" s="68">
        <f t="shared" si="329"/>
        <v>1144.3267809754507</v>
      </c>
      <c r="AG279" s="77">
        <f t="shared" si="297"/>
        <v>57262.07421725108</v>
      </c>
      <c r="AH279" s="53">
        <f t="shared" si="297"/>
        <v>55445.868699115577</v>
      </c>
      <c r="AI279" s="52">
        <f t="shared" si="302"/>
        <v>-1816.2055181355026</v>
      </c>
      <c r="AJ279" s="566">
        <f>VLOOKUP($A279,'01-02.2021'!$A$6:$CZ$403,36,FALSE)+VLOOKUP($A279,'1.3.21-28.2.22'!$A$6:$DA$404,36,FALSE)-VLOOKUP($A279,'01-02.2022'!$A$6:$DA$376,36,FALSE)</f>
        <v>0</v>
      </c>
      <c r="AK279" s="566">
        <f>VLOOKUP($A279,'01-02.2021'!$A$6:$CZ$403,37,FALSE)+VLOOKUP($A279,'1.3.21-28.2.22'!$A$6:$DA$404,37,FALSE)-VLOOKUP($A279,'01-02.2022'!$A$6:$DA$376,37,FALSE)</f>
        <v>0</v>
      </c>
      <c r="AL279" s="70">
        <f t="shared" si="330"/>
        <v>0</v>
      </c>
      <c r="AM279" s="566">
        <f>VLOOKUP($A279,'01-02.2021'!$A$6:$CZ$403,39,FALSE)+VLOOKUP($A279,'1.3.21-28.2.22'!$A$6:$DA$404,39,FALSE)-VLOOKUP($A279,'01-02.2022'!$A$6:$DA$376,39,FALSE)</f>
        <v>0</v>
      </c>
      <c r="AN279" s="566">
        <f>VLOOKUP($A279,'01-02.2021'!$A$6:$CZ$403,40,FALSE)+VLOOKUP($A279,'1.3.21-28.2.22'!$A$6:$DA$404,40,FALSE)-VLOOKUP($A279,'01-02.2022'!$A$6:$DA$376,40,FALSE)</f>
        <v>0</v>
      </c>
      <c r="AO279" s="70">
        <f t="shared" si="331"/>
        <v>0</v>
      </c>
      <c r="AP279" s="566">
        <f>VLOOKUP($A279,'01-02.2021'!$A$6:$CZ$403,42,FALSE)+VLOOKUP($A279,'1.3.21-28.2.22'!$A$6:$DA$404,42,FALSE)-VLOOKUP($A279,'01-02.2022'!$A$6:$DA$376,42,FALSE)</f>
        <v>7027.5589876724962</v>
      </c>
      <c r="AQ279" s="566">
        <f>VLOOKUP($A279,'01-02.2021'!$A$6:$CZ$403,43,FALSE)+VLOOKUP($A279,'1.3.21-28.2.22'!$A$6:$DA$404,43,FALSE)-VLOOKUP($A279,'01-02.2022'!$A$6:$DA$376,43,FALSE)</f>
        <v>6061.7479911962682</v>
      </c>
      <c r="AR279" s="70">
        <f t="shared" si="332"/>
        <v>-965.81099647622796</v>
      </c>
      <c r="AS279" s="566">
        <f>VLOOKUP($A279,'01-02.2021'!$A$6:$CZ$403,45,FALSE)+VLOOKUP($A279,'1.3.21-28.2.22'!$A$6:$DA$404,45,FALSE)-VLOOKUP($A279,'01-02.2022'!$A$6:$DA$376,45,FALSE)</f>
        <v>50334.430083066094</v>
      </c>
      <c r="AT279" s="566">
        <f>VLOOKUP($A279,'01-02.2021'!$A$6:$CZ$403,46,FALSE)+VLOOKUP($A279,'1.3.21-28.2.22'!$A$6:$DA$404,46,FALSE)-VLOOKUP($A279,'01-02.2022'!$A$6:$DA$376,46,FALSE)</f>
        <v>49947.737777819741</v>
      </c>
      <c r="AU279" s="78">
        <f t="shared" si="333"/>
        <v>-386.6923052463535</v>
      </c>
      <c r="AV279" s="566">
        <f>VLOOKUP($A279,'01-02.2021'!$A$6:$CZ$403,48,FALSE)+VLOOKUP($A279,'1.3.21-28.2.22'!$A$6:$DA$404,48,FALSE)-VLOOKUP($A279,'01-02.2022'!$A$6:$DA$376,48,FALSE)</f>
        <v>4169.2471931675072</v>
      </c>
      <c r="AW279" s="566">
        <f>VLOOKUP($A279,'01-02.2021'!$A$6:$CZ$403,49,FALSE)+VLOOKUP($A279,'1.3.21-28.2.22'!$A$6:$DA$404,49,FALSE)-VLOOKUP($A279,'01-02.2022'!$A$6:$DA$376,49,FALSE)</f>
        <v>4301</v>
      </c>
      <c r="AX279" s="55">
        <f t="shared" si="334"/>
        <v>131.75280683249275</v>
      </c>
      <c r="AY279" s="566">
        <f>VLOOKUP($A279,'01-02.2021'!$A$6:$CZ$403,51,FALSE)+VLOOKUP($A279,'1.3.21-28.2.22'!$A$6:$DA$404,51,FALSE)-VLOOKUP($A279,'01-02.2022'!$A$6:$DA$376,51,FALSE)</f>
        <v>6164.5274708423776</v>
      </c>
      <c r="AZ279" s="566">
        <f>VLOOKUP($A279,'01-02.2021'!$A$6:$CZ$403,52,FALSE)+VLOOKUP($A279,'1.3.21-28.2.22'!$A$6:$DA$404,52,FALSE)-VLOOKUP($A279,'01-02.2022'!$A$6:$DA$376,52,FALSE)</f>
        <v>2616</v>
      </c>
      <c r="BA279" s="38">
        <f t="shared" si="335"/>
        <v>-3548.5274708423776</v>
      </c>
      <c r="BB279" s="566">
        <f>VLOOKUP($A279,'01-02.2021'!$A$6:$CZ$403,54,FALSE)+VLOOKUP($A279,'1.3.21-28.2.22'!$A$6:$DA$404,54,FALSE)-VLOOKUP($A279,'01-02.2022'!$A$6:$DA$376,54,FALSE)</f>
        <v>2135.7677123343228</v>
      </c>
      <c r="BC279" s="566">
        <f>VLOOKUP($A279,'01-02.2021'!$A$6:$CZ$403,55,FALSE)+VLOOKUP($A279,'1.3.21-28.2.22'!$A$6:$DA$404,55,FALSE)-VLOOKUP($A279,'01-02.2022'!$A$6:$DA$376,55,FALSE)</f>
        <v>8883</v>
      </c>
      <c r="BD279" s="55">
        <f t="shared" si="336"/>
        <v>6747.2322876656772</v>
      </c>
      <c r="BE279" s="566">
        <f>VLOOKUP($A279,'01-02.2021'!$A$6:$CZ$403,57,FALSE)+VLOOKUP($A279,'1.3.21-28.2.22'!$A$6:$DA$404,57,FALSE)-VLOOKUP($A279,'01-02.2022'!$A$6:$DA$376,57,FALSE)</f>
        <v>0</v>
      </c>
      <c r="BF279" s="566">
        <f>VLOOKUP($A279,'01-02.2021'!$A$6:$CZ$403,58,FALSE)+VLOOKUP($A279,'1.3.21-28.2.22'!$A$6:$DA$404,58,FALSE)-VLOOKUP($A279,'01-02.2022'!$A$6:$DA$376,58,FALSE)</f>
        <v>0</v>
      </c>
      <c r="BG279" s="55">
        <f t="shared" si="337"/>
        <v>0</v>
      </c>
      <c r="BH279" s="566">
        <f>VLOOKUP($A279,'01-02.2021'!$A$6:$CZ$403,60,FALSE)+VLOOKUP($A279,'1.3.21-28.2.22'!$A$6:$DA$404,60,FALSE)-VLOOKUP($A279,'01-02.2022'!$A$6:$DA$376,60,FALSE)</f>
        <v>2499.474500414512</v>
      </c>
      <c r="BI279" s="566">
        <f>VLOOKUP($A279,'01-02.2021'!$A$6:$CZ$403,61,FALSE)+VLOOKUP($A279,'1.3.21-28.2.22'!$A$6:$DA$404,61,FALSE)-VLOOKUP($A279,'01-02.2022'!$A$6:$DA$376,61,FALSE)</f>
        <v>0</v>
      </c>
      <c r="BJ279" s="55">
        <f t="shared" si="338"/>
        <v>-2499.474500414512</v>
      </c>
      <c r="BK279" s="566">
        <f>VLOOKUP($A279,'01-02.2021'!$A$6:$CZ$403,63,FALSE)+VLOOKUP($A279,'1.3.21-28.2.22'!$A$6:$DA$404,63,FALSE)-VLOOKUP($A279,'01-02.2022'!$A$6:$DA$376,63,FALSE)</f>
        <v>3863.3864323357784</v>
      </c>
      <c r="BL279" s="566">
        <f>VLOOKUP($A279,'01-02.2021'!$A$6:$CZ$403,64,FALSE)+VLOOKUP($A279,'1.3.21-28.2.22'!$A$6:$DA$404,64,FALSE)-VLOOKUP($A279,'01-02.2022'!$A$6:$DA$376,64,FALSE)</f>
        <v>1564</v>
      </c>
      <c r="BM279" s="55">
        <f t="shared" si="339"/>
        <v>-2299.3864323357784</v>
      </c>
      <c r="BN279" s="566">
        <f>VLOOKUP($A279,'01-02.2021'!$A$6:$CZ$403,66,FALSE)+VLOOKUP($A279,'1.3.21-28.2.22'!$A$6:$DA$404,66,FALSE)-VLOOKUP($A279,'01-02.2022'!$A$6:$DA$376,66,FALSE)</f>
        <v>222.83499999999998</v>
      </c>
      <c r="BO279" s="566">
        <f>VLOOKUP($A279,'01-02.2021'!$A$6:$CZ$403,67,FALSE)+VLOOKUP($A279,'1.3.21-28.2.22'!$A$6:$DA$404,67,FALSE)-VLOOKUP($A279,'01-02.2022'!$A$6:$DA$376,67,FALSE)</f>
        <v>0</v>
      </c>
      <c r="BP279" s="55">
        <f t="shared" si="340"/>
        <v>-222.83499999999998</v>
      </c>
      <c r="BQ279" s="77">
        <f t="shared" si="287"/>
        <v>19055.238309094497</v>
      </c>
      <c r="BR279" s="40">
        <f t="shared" si="315"/>
        <v>17364</v>
      </c>
      <c r="BS279" s="55">
        <f t="shared" si="314"/>
        <v>-1691.2383090944968</v>
      </c>
      <c r="BT279" s="566">
        <f>VLOOKUP($A279,'01-02.2021'!$A$6:$CZ$403,72,FALSE)+VLOOKUP($A279,'1.3.21-28.2.22'!$A$6:$DA$404,72,FALSE)-VLOOKUP($A279,'01-02.2022'!$A$6:$DA$376,72,FALSE)</f>
        <v>39911.164134387218</v>
      </c>
      <c r="BU279" s="566">
        <f>VLOOKUP($A279,'01-02.2021'!$A$6:$CZ$403,73,FALSE)+VLOOKUP($A279,'1.3.21-28.2.22'!$A$6:$DA$404,73,FALSE)-VLOOKUP($A279,'01-02.2022'!$A$6:$DA$376,73,FALSE)</f>
        <v>45526.522023404083</v>
      </c>
      <c r="BV279" s="70">
        <f t="shared" si="341"/>
        <v>5615.3578890168646</v>
      </c>
      <c r="BW279" s="566">
        <f>VLOOKUP($A279,'01-02.2021'!$A$6:$CZ$403,75,FALSE)+VLOOKUP($A279,'1.3.21-28.2.22'!$A$6:$DA$404,75,FALSE)-VLOOKUP($A279,'01-02.2022'!$A$6:$DA$376,75,FALSE)</f>
        <v>22379.96698205877</v>
      </c>
      <c r="BX279" s="566">
        <f>VLOOKUP($A279,'01-02.2021'!$A$6:$CZ$403,76,FALSE)+VLOOKUP($A279,'1.3.21-28.2.22'!$A$6:$DA$404,76,FALSE)-VLOOKUP($A279,'01-02.2022'!$A$6:$DA$376,76,FALSE)</f>
        <v>21854.981063647458</v>
      </c>
      <c r="BY279" s="70">
        <f t="shared" si="342"/>
        <v>-524.98591841131201</v>
      </c>
      <c r="BZ279" s="566">
        <f>VLOOKUP($A279,'01-02.2021'!$A$6:$CZ$403,78,FALSE)+VLOOKUP($A279,'1.3.21-28.2.22'!$A$6:$DA$404,78,FALSE)-VLOOKUP($A279,'01-02.2022'!$A$6:$DA$376,78,FALSE)</f>
        <v>8537.2099059808515</v>
      </c>
      <c r="CA279" s="566">
        <f>VLOOKUP($A279,'01-02.2021'!$A$6:$CZ$403,79,FALSE)+VLOOKUP($A279,'1.3.21-28.2.22'!$A$6:$DA$404,79,FALSE)-VLOOKUP($A279,'01-02.2022'!$A$6:$DA$376,79,FALSE)</f>
        <v>9373.9802114359154</v>
      </c>
      <c r="CB279" s="70">
        <f t="shared" si="343"/>
        <v>836.77030545506386</v>
      </c>
      <c r="CC279" s="566">
        <f>VLOOKUP($A279,'01-02.2021'!$A$6:$CZ$403,81,FALSE)+VLOOKUP($A279,'1.3.21-28.2.22'!$A$6:$DA$404,81,FALSE)-VLOOKUP($A279,'01-02.2022'!$A$6:$DA$376,81,FALSE)</f>
        <v>2248.7690403012803</v>
      </c>
      <c r="CD279" s="566">
        <f>VLOOKUP($A279,'01-02.2021'!$A$6:$CZ$403,82,FALSE)+VLOOKUP($A279,'1.3.21-28.2.22'!$A$6:$DA$404,82,FALSE)-VLOOKUP($A279,'01-02.2022'!$A$6:$DA$376,82,FALSE)</f>
        <v>2457.8888636329089</v>
      </c>
      <c r="CE279" s="70">
        <f t="shared" si="344"/>
        <v>209.1198233316286</v>
      </c>
      <c r="CF279" s="566">
        <f>VLOOKUP($A279,'01-02.2021'!$A$6:$CZ$403,84,FALSE)+VLOOKUP($A279,'1.3.21-28.2.22'!$A$6:$DA$404,84,FALSE)-VLOOKUP($A279,'01-02.2022'!$A$6:$DA$376,84,FALSE)</f>
        <v>273.38419938675798</v>
      </c>
      <c r="CG279" s="566">
        <f>VLOOKUP($A279,'01-02.2021'!$A$6:$CZ$403,85,FALSE)+VLOOKUP($A279,'1.3.21-28.2.22'!$A$6:$DA$404,85,FALSE)-VLOOKUP($A279,'01-02.2022'!$A$6:$DA$376,85,FALSE)</f>
        <v>554.44574346276681</v>
      </c>
      <c r="CH279" s="70">
        <f t="shared" si="345"/>
        <v>281.06154407600883</v>
      </c>
      <c r="CI279" s="566">
        <f>VLOOKUP($A279,'01-02.2021'!$A$6:$CZ$403,87,FALSE)+VLOOKUP($A279,'1.3.21-28.2.22'!$A$6:$DA$404,87,FALSE)-VLOOKUP($A279,'01-02.2022'!$A$6:$DA$376,87,FALSE)</f>
        <v>9717.0152893877657</v>
      </c>
      <c r="CJ279" s="566">
        <f>VLOOKUP($A279,'01-02.2021'!$A$6:$CZ$403,88,FALSE)+VLOOKUP($A279,'1.3.21-28.2.22'!$A$6:$DA$404,88,FALSE)-VLOOKUP($A279,'01-02.2022'!$A$6:$DA$376,88,FALSE)</f>
        <v>7795.6156310663346</v>
      </c>
      <c r="CK279" s="70">
        <f t="shared" si="346"/>
        <v>-1921.3996583214312</v>
      </c>
      <c r="CL279" s="566">
        <f>VLOOKUP($A279,'01-02.2021'!$A$6:$CZ$403,90,FALSE)+VLOOKUP($A279,'1.3.21-28.2.22'!$A$6:$DA$404,90,FALSE)-VLOOKUP($A279,'01-02.2022'!$A$6:$DA$376,90,FALSE)</f>
        <v>0</v>
      </c>
      <c r="CM279" s="566">
        <f>VLOOKUP($A279,'01-02.2021'!$A$6:$CZ$403,91,FALSE)+VLOOKUP($A279,'1.3.21-28.2.22'!$A$6:$DA$404,91,FALSE)-VLOOKUP($A279,'01-02.2022'!$A$6:$DA$376,91,FALSE)</f>
        <v>0</v>
      </c>
      <c r="CN279" s="52">
        <f t="shared" si="303"/>
        <v>0</v>
      </c>
      <c r="CO279" s="39">
        <f t="shared" si="298"/>
        <v>9717.0152893877657</v>
      </c>
      <c r="CP279" s="40">
        <f t="shared" si="304"/>
        <v>7795.6156310663346</v>
      </c>
      <c r="CQ279" s="52">
        <f t="shared" si="305"/>
        <v>-1921.3996583214312</v>
      </c>
      <c r="CR279" s="72">
        <f t="shared" si="299"/>
        <v>216746.8111485868</v>
      </c>
      <c r="CS279" s="5">
        <f t="shared" si="299"/>
        <v>216382.78800478103</v>
      </c>
      <c r="CT279" s="52">
        <f t="shared" si="306"/>
        <v>-364.02314380576718</v>
      </c>
      <c r="CU279" s="77">
        <f t="shared" si="307"/>
        <v>260096.17337830414</v>
      </c>
      <c r="CV279" s="65">
        <f t="shared" si="308"/>
        <v>259659.34560573724</v>
      </c>
      <c r="CW279" s="35">
        <f t="shared" si="309"/>
        <v>-436.82777256690315</v>
      </c>
      <c r="CX279" s="566">
        <f>VLOOKUP($A279,'01-02.2021'!$A$6:$CZ$403,102,FALSE)+VLOOKUP($A279,'1.3.21-28.2.22'!$A$6:$DA$404,102,FALSE)-VLOOKUP($A279,'01-02.2022'!$A$6:$DA$376,102,FALSE)</f>
        <v>13249.253106362152</v>
      </c>
      <c r="CY279" s="566">
        <f>VLOOKUP($A279,'01-02.2021'!$A$6:$CZ$403,103,FALSE)+VLOOKUP($A279,'1.3.21-28.2.22'!$A$6:$DA$404,103,FALSE)-VLOOKUP($A279,'01-02.2022'!$A$6:$DA$376,103,FALSE)</f>
        <v>13686.08087892909</v>
      </c>
      <c r="CZ279" s="52">
        <f t="shared" si="310"/>
        <v>436.82777256693771</v>
      </c>
      <c r="DA279" s="150">
        <f>'[2]побудинковий звіт'!DA279</f>
        <v>21631.972060816537</v>
      </c>
      <c r="DB279" s="2">
        <v>3</v>
      </c>
      <c r="DC279" s="414">
        <f>'[4]побудинковий звіт'!DC279</f>
        <v>43336.58</v>
      </c>
      <c r="DD279" s="414">
        <f>'[4]побудинковий звіт'!DD279</f>
        <v>0</v>
      </c>
      <c r="DE279" s="557">
        <f>'[4]побудинковий звіт'!DE279</f>
        <v>18525.89850967098</v>
      </c>
      <c r="DF279" s="557">
        <f>'[4]побудинковий звіт'!DF279</f>
        <v>0</v>
      </c>
      <c r="DG279" s="321">
        <f>VLOOKUP(A279,'кошти 01.03.2021'!$A$6:$D$401,4,)</f>
        <v>-53069.794110209477</v>
      </c>
      <c r="DH279" s="40">
        <f>'[3]побудинковий звіт'!DJ279</f>
        <v>282953.94367391209</v>
      </c>
      <c r="DI279" s="422">
        <f>'[3]побудинковий звіт'!CU279+'[3]побудинковий звіт'!CX279</f>
        <v>24810.681490329018</v>
      </c>
      <c r="DJ279" s="306">
        <f>'[3]побудинковий звіт'!DM279</f>
        <v>5.5671771059392858</v>
      </c>
      <c r="DK279" s="306">
        <f t="shared" si="316"/>
        <v>5.5671771059392858</v>
      </c>
      <c r="DL279" s="306">
        <f>'[3]побудинковий звіт'!DO279</f>
        <v>4.9547402969218979</v>
      </c>
      <c r="DM279" s="28">
        <f t="shared" si="317"/>
        <v>24810.681490329021</v>
      </c>
      <c r="DN279" s="28">
        <f t="shared" si="318"/>
        <v>0</v>
      </c>
      <c r="DO279" s="423">
        <f t="shared" si="319"/>
        <v>24810.681490329021</v>
      </c>
      <c r="DP279" s="94">
        <f t="shared" si="320"/>
        <v>0</v>
      </c>
      <c r="DQ279" s="28">
        <f t="shared" si="321"/>
        <v>24810.681490329021</v>
      </c>
      <c r="DR279" s="318"/>
      <c r="DT279" s="8"/>
      <c r="DU279" s="5"/>
      <c r="DX279" s="5">
        <f t="shared" si="322"/>
        <v>83267.602070592708</v>
      </c>
      <c r="DY279" s="5">
        <f t="shared" si="323"/>
        <v>80774.085333383686</v>
      </c>
      <c r="DZ279" s="159">
        <f>'[3]побудинковий звіт'!EA279</f>
        <v>7423.5493670235246</v>
      </c>
    </row>
    <row r="280" spans="1:130" x14ac:dyDescent="0.3">
      <c r="A280" s="325">
        <v>150000720</v>
      </c>
      <c r="B280" s="41" t="s">
        <v>726</v>
      </c>
      <c r="C280" s="42" t="s">
        <v>289</v>
      </c>
      <c r="D280" s="42"/>
      <c r="E280" s="293">
        <f t="shared" si="296"/>
        <v>3670.1</v>
      </c>
      <c r="F280" s="305">
        <f>'[3]побудинковий звіт'!F280</f>
        <v>3569.1</v>
      </c>
      <c r="G280" s="508">
        <f>'[3]побудинковий звіт'!G280</f>
        <v>0</v>
      </c>
      <c r="H280" s="560">
        <f>'[3]побудинковий звіт'!H280</f>
        <v>101</v>
      </c>
      <c r="I280" s="566">
        <f>VLOOKUP($A280,'01-02.2021'!$A$6:$CZ$403,9,FALSE)+VLOOKUP($A280,'1.3.21-28.2.22'!$A$6:$DA$404,9,FALSE)-VLOOKUP($A280,'01-02.2022'!$A$6:$DA$376,9,FALSE)</f>
        <v>10113.420433826032</v>
      </c>
      <c r="J280" s="566">
        <f>VLOOKUP($A280,'01-02.2021'!$A$6:$CZ$403,10,FALSE)+VLOOKUP($A280,'1.3.21-28.2.22'!$A$6:$DA$404,10,FALSE)-VLOOKUP($A280,'01-02.2022'!$A$6:$DA$376,10,FALSE)</f>
        <v>9903.9461821511504</v>
      </c>
      <c r="K280" s="52">
        <f t="shared" si="300"/>
        <v>-209.47425167488109</v>
      </c>
      <c r="L280" s="566">
        <f>VLOOKUP($A280,'01-02.2021'!$A$6:$CZ$403,12,FALSE)+VLOOKUP($A280,'1.3.21-28.2.22'!$A$6:$DA$404,12,FALSE)-VLOOKUP($A280,'01-02.2022'!$A$6:$DA$376,12,FALSE)</f>
        <v>2127.2155412743577</v>
      </c>
      <c r="M280" s="566">
        <f>VLOOKUP($A280,'01-02.2021'!$A$6:$CZ$403,13,FALSE)+VLOOKUP($A280,'1.3.21-28.2.22'!$A$6:$DA$404,13,FALSE)-VLOOKUP($A280,'01-02.2022'!$A$6:$DA$376,13,FALSE)</f>
        <v>2123.9655904669903</v>
      </c>
      <c r="N280" s="52">
        <f t="shared" si="301"/>
        <v>-3.2499508073674406</v>
      </c>
      <c r="O280" s="566">
        <f>VLOOKUP($A280,'01-02.2021'!$A$6:$CZ$403,15,FALSE)+VLOOKUP($A280,'1.3.21-28.2.22'!$A$6:$DA$404,15,FALSE)-VLOOKUP($A280,'01-02.2022'!$A$6:$DA$376,15,FALSE)</f>
        <v>4808.2171216987908</v>
      </c>
      <c r="P280" s="566">
        <f>VLOOKUP($A280,'01-02.2021'!$A$6:$CZ$403,16,FALSE)+VLOOKUP($A280,'1.3.21-28.2.22'!$A$6:$DA$404,16,FALSE)-VLOOKUP($A280,'01-02.2022'!$A$6:$DA$376,16,FALSE)</f>
        <v>4807.2250000000004</v>
      </c>
      <c r="Q280" s="70">
        <f t="shared" si="324"/>
        <v>-0.99212169879046996</v>
      </c>
      <c r="R280" s="566">
        <f>VLOOKUP($A280,'01-02.2021'!$A$6:$CZ$403,18,FALSE)+VLOOKUP($A280,'1.3.21-28.2.22'!$A$6:$DA$404,18,FALSE)-VLOOKUP($A280,'01-02.2022'!$A$6:$DA$376,18,FALSE)</f>
        <v>1214.0668006631415</v>
      </c>
      <c r="S280" s="566">
        <f>VLOOKUP($A280,'01-02.2021'!$A$6:$CZ$403,19,FALSE)+VLOOKUP($A280,'1.3.21-28.2.22'!$A$6:$DA$404,19,FALSE)-VLOOKUP($A280,'01-02.2022'!$A$6:$DA$376,19,FALSE)</f>
        <v>1214.3283333333334</v>
      </c>
      <c r="T280" s="70">
        <f t="shared" si="325"/>
        <v>0.26153267019185478</v>
      </c>
      <c r="U280" s="566">
        <f>VLOOKUP($A280,'01-02.2021'!$A$6:$CZ$403,21,FALSE)+VLOOKUP($A280,'1.3.21-28.2.22'!$A$6:$DA$404,21,FALSE)-VLOOKUP($A280,'01-02.2022'!$A$6:$DA$376,21,FALSE)</f>
        <v>0</v>
      </c>
      <c r="V280" s="566">
        <f>VLOOKUP($A280,'01-02.2021'!$A$6:$CZ$403,22,FALSE)+VLOOKUP($A280,'1.3.21-28.2.22'!$A$6:$DA$404,22,FALSE)-VLOOKUP($A280,'01-02.2022'!$A$6:$DA$376,22,FALSE)</f>
        <v>0</v>
      </c>
      <c r="W280" s="70">
        <f t="shared" si="326"/>
        <v>0</v>
      </c>
      <c r="X280" s="566">
        <f>VLOOKUP($A280,'01-02.2021'!$A$6:$CZ$403,24,FALSE)+VLOOKUP($A280,'1.3.21-28.2.22'!$A$6:$DA$404,24,FALSE)-VLOOKUP($A280,'01-02.2022'!$A$6:$DA$376,24,FALSE)</f>
        <v>3969.8368897219161</v>
      </c>
      <c r="Y280" s="566">
        <f>VLOOKUP($A280,'01-02.2021'!$A$6:$CZ$403,25,FALSE)+VLOOKUP($A280,'1.3.21-28.2.22'!$A$6:$DA$404,25,FALSE)-VLOOKUP($A280,'01-02.2022'!$A$6:$DA$376,25,FALSE)</f>
        <v>3335.341599472255</v>
      </c>
      <c r="Z280" s="70">
        <f t="shared" si="327"/>
        <v>-634.49529024966114</v>
      </c>
      <c r="AA280" s="566">
        <f>VLOOKUP($A280,'01-02.2021'!$A$6:$CZ$403,27,FALSE)+VLOOKUP($A280,'1.3.21-28.2.22'!$A$6:$DA$404,27,FALSE)-VLOOKUP($A280,'01-02.2022'!$A$6:$DA$376,27,FALSE)</f>
        <v>734.02</v>
      </c>
      <c r="AB280" s="566">
        <f>VLOOKUP($A280,'01-02.2021'!$A$6:$CZ$403,28,FALSE)+VLOOKUP($A280,'1.3.21-28.2.22'!$A$6:$DA$404,28,FALSE)-VLOOKUP($A280,'01-02.2022'!$A$6:$DA$376,28,FALSE)</f>
        <v>0</v>
      </c>
      <c r="AC280" s="70">
        <f t="shared" si="328"/>
        <v>-734.02</v>
      </c>
      <c r="AD280" s="566">
        <f>VLOOKUP($A280,'01-02.2021'!$A$6:$CZ$403,30,FALSE)+VLOOKUP($A280,'1.3.21-28.2.22'!$A$6:$DA$404,30,FALSE)-VLOOKUP($A280,'01-02.2022'!$A$6:$DA$376,30,FALSE)</f>
        <v>15754.122707685834</v>
      </c>
      <c r="AE280" s="566">
        <f>VLOOKUP($A280,'01-02.2021'!$A$6:$CZ$403,31,FALSE)+VLOOKUP($A280,'1.3.21-28.2.22'!$A$6:$DA$404,31,FALSE)-VLOOKUP($A280,'01-02.2022'!$A$6:$DA$376,31,FALSE)</f>
        <v>16706.443076588032</v>
      </c>
      <c r="AF280" s="68">
        <f t="shared" si="329"/>
        <v>952.32036890219752</v>
      </c>
      <c r="AG280" s="77">
        <f t="shared" si="297"/>
        <v>38720.899494870071</v>
      </c>
      <c r="AH280" s="53">
        <f t="shared" si="297"/>
        <v>38091.249782011764</v>
      </c>
      <c r="AI280" s="52">
        <f t="shared" si="302"/>
        <v>-629.64971285830688</v>
      </c>
      <c r="AJ280" s="566">
        <f>VLOOKUP($A280,'01-02.2021'!$A$6:$CZ$403,36,FALSE)+VLOOKUP($A280,'1.3.21-28.2.22'!$A$6:$DA$404,36,FALSE)-VLOOKUP($A280,'01-02.2022'!$A$6:$DA$376,36,FALSE)</f>
        <v>0</v>
      </c>
      <c r="AK280" s="566">
        <f>VLOOKUP($A280,'01-02.2021'!$A$6:$CZ$403,37,FALSE)+VLOOKUP($A280,'1.3.21-28.2.22'!$A$6:$DA$404,37,FALSE)-VLOOKUP($A280,'01-02.2022'!$A$6:$DA$376,37,FALSE)</f>
        <v>0</v>
      </c>
      <c r="AL280" s="70">
        <f t="shared" si="330"/>
        <v>0</v>
      </c>
      <c r="AM280" s="566">
        <f>VLOOKUP($A280,'01-02.2021'!$A$6:$CZ$403,39,FALSE)+VLOOKUP($A280,'1.3.21-28.2.22'!$A$6:$DA$404,39,FALSE)-VLOOKUP($A280,'01-02.2022'!$A$6:$DA$376,39,FALSE)</f>
        <v>0</v>
      </c>
      <c r="AN280" s="566">
        <f>VLOOKUP($A280,'01-02.2021'!$A$6:$CZ$403,40,FALSE)+VLOOKUP($A280,'1.3.21-28.2.22'!$A$6:$DA$404,40,FALSE)-VLOOKUP($A280,'01-02.2022'!$A$6:$DA$376,40,FALSE)</f>
        <v>0</v>
      </c>
      <c r="AO280" s="70">
        <f t="shared" si="331"/>
        <v>0</v>
      </c>
      <c r="AP280" s="566">
        <f>VLOOKUP($A280,'01-02.2021'!$A$6:$CZ$403,42,FALSE)+VLOOKUP($A280,'1.3.21-28.2.22'!$A$6:$DA$404,42,FALSE)-VLOOKUP($A280,'01-02.2022'!$A$6:$DA$376,42,FALSE)</f>
        <v>2516.0396375617574</v>
      </c>
      <c r="AQ280" s="566">
        <f>VLOOKUP($A280,'01-02.2021'!$A$6:$CZ$403,43,FALSE)+VLOOKUP($A280,'1.3.21-28.2.22'!$A$6:$DA$404,43,FALSE)-VLOOKUP($A280,'01-02.2022'!$A$6:$DA$376,43,FALSE)</f>
        <v>2190.1661897444624</v>
      </c>
      <c r="AR280" s="70">
        <f t="shared" si="332"/>
        <v>-325.87344781729507</v>
      </c>
      <c r="AS280" s="566">
        <f>VLOOKUP($A280,'01-02.2021'!$A$6:$CZ$403,45,FALSE)+VLOOKUP($A280,'1.3.21-28.2.22'!$A$6:$DA$404,45,FALSE)-VLOOKUP($A280,'01-02.2022'!$A$6:$DA$376,45,FALSE)</f>
        <v>24000.989847864912</v>
      </c>
      <c r="AT280" s="566">
        <f>VLOOKUP($A280,'01-02.2021'!$A$6:$CZ$403,46,FALSE)+VLOOKUP($A280,'1.3.21-28.2.22'!$A$6:$DA$404,46,FALSE)-VLOOKUP($A280,'01-02.2022'!$A$6:$DA$376,46,FALSE)</f>
        <v>49560.42</v>
      </c>
      <c r="AU280" s="78">
        <f t="shared" si="333"/>
        <v>25559.430152135086</v>
      </c>
      <c r="AV280" s="566">
        <f>VLOOKUP($A280,'01-02.2021'!$A$6:$CZ$403,48,FALSE)+VLOOKUP($A280,'1.3.21-28.2.22'!$A$6:$DA$404,48,FALSE)-VLOOKUP($A280,'01-02.2022'!$A$6:$DA$376,48,FALSE)</f>
        <v>2871.3111345664438</v>
      </c>
      <c r="AW280" s="566">
        <f>VLOOKUP($A280,'01-02.2021'!$A$6:$CZ$403,49,FALSE)+VLOOKUP($A280,'1.3.21-28.2.22'!$A$6:$DA$404,49,FALSE)-VLOOKUP($A280,'01-02.2022'!$A$6:$DA$376,49,FALSE)</f>
        <v>0</v>
      </c>
      <c r="AX280" s="55">
        <f t="shared" si="334"/>
        <v>-2871.3111345664438</v>
      </c>
      <c r="AY280" s="566">
        <f>VLOOKUP($A280,'01-02.2021'!$A$6:$CZ$403,51,FALSE)+VLOOKUP($A280,'1.3.21-28.2.22'!$A$6:$DA$404,51,FALSE)-VLOOKUP($A280,'01-02.2022'!$A$6:$DA$376,51,FALSE)</f>
        <v>3998.5646035265286</v>
      </c>
      <c r="AZ280" s="566">
        <f>VLOOKUP($A280,'01-02.2021'!$A$6:$CZ$403,52,FALSE)+VLOOKUP($A280,'1.3.21-28.2.22'!$A$6:$DA$404,52,FALSE)-VLOOKUP($A280,'01-02.2022'!$A$6:$DA$376,52,FALSE)</f>
        <v>0</v>
      </c>
      <c r="BA280" s="38">
        <f t="shared" si="335"/>
        <v>-3998.5646035265286</v>
      </c>
      <c r="BB280" s="566">
        <f>VLOOKUP($A280,'01-02.2021'!$A$6:$CZ$403,54,FALSE)+VLOOKUP($A280,'1.3.21-28.2.22'!$A$6:$DA$404,54,FALSE)-VLOOKUP($A280,'01-02.2022'!$A$6:$DA$376,54,FALSE)</f>
        <v>1890.3556023637241</v>
      </c>
      <c r="BC280" s="566">
        <f>VLOOKUP($A280,'01-02.2021'!$A$6:$CZ$403,55,FALSE)+VLOOKUP($A280,'1.3.21-28.2.22'!$A$6:$DA$404,55,FALSE)-VLOOKUP($A280,'01-02.2022'!$A$6:$DA$376,55,FALSE)</f>
        <v>8731</v>
      </c>
      <c r="BD280" s="55">
        <f t="shared" si="336"/>
        <v>6840.6443976362762</v>
      </c>
      <c r="BE280" s="566">
        <f>VLOOKUP($A280,'01-02.2021'!$A$6:$CZ$403,57,FALSE)+VLOOKUP($A280,'1.3.21-28.2.22'!$A$6:$DA$404,57,FALSE)-VLOOKUP($A280,'01-02.2022'!$A$6:$DA$376,57,FALSE)</f>
        <v>2853.6216867670209</v>
      </c>
      <c r="BF280" s="566">
        <f>VLOOKUP($A280,'01-02.2021'!$A$6:$CZ$403,58,FALSE)+VLOOKUP($A280,'1.3.21-28.2.22'!$A$6:$DA$404,58,FALSE)-VLOOKUP($A280,'01-02.2022'!$A$6:$DA$376,58,FALSE)</f>
        <v>0</v>
      </c>
      <c r="BG280" s="55">
        <f t="shared" si="337"/>
        <v>-2853.6216867670209</v>
      </c>
      <c r="BH280" s="566">
        <f>VLOOKUP($A280,'01-02.2021'!$A$6:$CZ$403,60,FALSE)+VLOOKUP($A280,'1.3.21-28.2.22'!$A$6:$DA$404,60,FALSE)-VLOOKUP($A280,'01-02.2022'!$A$6:$DA$376,60,FALSE)</f>
        <v>0</v>
      </c>
      <c r="BI280" s="566">
        <f>VLOOKUP($A280,'01-02.2021'!$A$6:$CZ$403,61,FALSE)+VLOOKUP($A280,'1.3.21-28.2.22'!$A$6:$DA$404,61,FALSE)-VLOOKUP($A280,'01-02.2022'!$A$6:$DA$376,61,FALSE)</f>
        <v>0</v>
      </c>
      <c r="BJ280" s="55">
        <f t="shared" si="338"/>
        <v>0</v>
      </c>
      <c r="BK280" s="566">
        <f>VLOOKUP($A280,'01-02.2021'!$A$6:$CZ$403,63,FALSE)+VLOOKUP($A280,'1.3.21-28.2.22'!$A$6:$DA$404,63,FALSE)-VLOOKUP($A280,'01-02.2022'!$A$6:$DA$376,63,FALSE)</f>
        <v>1501.1432977685472</v>
      </c>
      <c r="BL280" s="566">
        <f>VLOOKUP($A280,'01-02.2021'!$A$6:$CZ$403,64,FALSE)+VLOOKUP($A280,'1.3.21-28.2.22'!$A$6:$DA$404,64,FALSE)-VLOOKUP($A280,'01-02.2022'!$A$6:$DA$376,64,FALSE)</f>
        <v>14224</v>
      </c>
      <c r="BM280" s="55">
        <f t="shared" si="339"/>
        <v>12722.856702231453</v>
      </c>
      <c r="BN280" s="566">
        <f>VLOOKUP($A280,'01-02.2021'!$A$6:$CZ$403,66,FALSE)+VLOOKUP($A280,'1.3.21-28.2.22'!$A$6:$DA$404,66,FALSE)-VLOOKUP($A280,'01-02.2022'!$A$6:$DA$376,66,FALSE)</f>
        <v>183.505</v>
      </c>
      <c r="BO280" s="566">
        <f>VLOOKUP($A280,'01-02.2021'!$A$6:$CZ$403,67,FALSE)+VLOOKUP($A280,'1.3.21-28.2.22'!$A$6:$DA$404,67,FALSE)-VLOOKUP($A280,'01-02.2022'!$A$6:$DA$376,67,FALSE)</f>
        <v>0</v>
      </c>
      <c r="BP280" s="55">
        <f t="shared" si="340"/>
        <v>-183.505</v>
      </c>
      <c r="BQ280" s="77">
        <f t="shared" si="287"/>
        <v>13298.501324992265</v>
      </c>
      <c r="BR280" s="40">
        <f t="shared" si="315"/>
        <v>22955</v>
      </c>
      <c r="BS280" s="55">
        <f t="shared" si="314"/>
        <v>9656.4986750077351</v>
      </c>
      <c r="BT280" s="566">
        <f>VLOOKUP($A280,'01-02.2021'!$A$6:$CZ$403,72,FALSE)+VLOOKUP($A280,'1.3.21-28.2.22'!$A$6:$DA$404,72,FALSE)-VLOOKUP($A280,'01-02.2022'!$A$6:$DA$376,72,FALSE)</f>
        <v>32833.469421839109</v>
      </c>
      <c r="BU280" s="566">
        <f>VLOOKUP($A280,'01-02.2021'!$A$6:$CZ$403,73,FALSE)+VLOOKUP($A280,'1.3.21-28.2.22'!$A$6:$DA$404,73,FALSE)-VLOOKUP($A280,'01-02.2022'!$A$6:$DA$376,73,FALSE)</f>
        <v>39241.187902245154</v>
      </c>
      <c r="BV280" s="70">
        <f t="shared" si="341"/>
        <v>6407.7184804060453</v>
      </c>
      <c r="BW280" s="566">
        <f>VLOOKUP($A280,'01-02.2021'!$A$6:$CZ$403,75,FALSE)+VLOOKUP($A280,'1.3.21-28.2.22'!$A$6:$DA$404,75,FALSE)-VLOOKUP($A280,'01-02.2022'!$A$6:$DA$376,75,FALSE)</f>
        <v>17754.159059558609</v>
      </c>
      <c r="BX280" s="566">
        <f>VLOOKUP($A280,'01-02.2021'!$A$6:$CZ$403,76,FALSE)+VLOOKUP($A280,'1.3.21-28.2.22'!$A$6:$DA$404,76,FALSE)-VLOOKUP($A280,'01-02.2022'!$A$6:$DA$376,76,FALSE)</f>
        <v>17780.649665604058</v>
      </c>
      <c r="BY280" s="70">
        <f t="shared" si="342"/>
        <v>26.490606045448658</v>
      </c>
      <c r="BZ280" s="566">
        <f>VLOOKUP($A280,'01-02.2021'!$A$6:$CZ$403,78,FALSE)+VLOOKUP($A280,'1.3.21-28.2.22'!$A$6:$DA$404,78,FALSE)-VLOOKUP($A280,'01-02.2022'!$A$6:$DA$376,78,FALSE)</f>
        <v>7149.4211335533691</v>
      </c>
      <c r="CA280" s="566">
        <f>VLOOKUP($A280,'01-02.2021'!$A$6:$CZ$403,79,FALSE)+VLOOKUP($A280,'1.3.21-28.2.22'!$A$6:$DA$404,79,FALSE)-VLOOKUP($A280,'01-02.2022'!$A$6:$DA$376,79,FALSE)</f>
        <v>8232.1480584605597</v>
      </c>
      <c r="CB280" s="70">
        <f t="shared" si="343"/>
        <v>1082.7269249071906</v>
      </c>
      <c r="CC280" s="566">
        <f>VLOOKUP($A280,'01-02.2021'!$A$6:$CZ$403,81,FALSE)+VLOOKUP($A280,'1.3.21-28.2.22'!$A$6:$DA$404,81,FALSE)-VLOOKUP($A280,'01-02.2022'!$A$6:$DA$376,81,FALSE)</f>
        <v>2226.3347648398417</v>
      </c>
      <c r="CD280" s="566">
        <f>VLOOKUP($A280,'01-02.2021'!$A$6:$CZ$403,82,FALSE)+VLOOKUP($A280,'1.3.21-28.2.22'!$A$6:$DA$404,82,FALSE)-VLOOKUP($A280,'01-02.2022'!$A$6:$DA$376,82,FALSE)</f>
        <v>2433.3683571548609</v>
      </c>
      <c r="CE280" s="70">
        <f t="shared" si="344"/>
        <v>207.03359231501918</v>
      </c>
      <c r="CF280" s="566">
        <f>VLOOKUP($A280,'01-02.2021'!$A$6:$CZ$403,84,FALSE)+VLOOKUP($A280,'1.3.21-28.2.22'!$A$6:$DA$404,84,FALSE)-VLOOKUP($A280,'01-02.2022'!$A$6:$DA$376,84,FALSE)</f>
        <v>270.65685107933655</v>
      </c>
      <c r="CG280" s="566">
        <f>VLOOKUP($A280,'01-02.2021'!$A$6:$CZ$403,85,FALSE)+VLOOKUP($A280,'1.3.21-28.2.22'!$A$6:$DA$404,85,FALSE)-VLOOKUP($A280,'01-02.2022'!$A$6:$DA$376,85,FALSE)</f>
        <v>0</v>
      </c>
      <c r="CH280" s="70">
        <f t="shared" si="345"/>
        <v>-270.65685107933655</v>
      </c>
      <c r="CI280" s="566">
        <f>VLOOKUP($A280,'01-02.2021'!$A$6:$CZ$403,87,FALSE)+VLOOKUP($A280,'1.3.21-28.2.22'!$A$6:$DA$404,87,FALSE)-VLOOKUP($A280,'01-02.2022'!$A$6:$DA$376,87,FALSE)</f>
        <v>14449.64561032199</v>
      </c>
      <c r="CJ280" s="566">
        <f>VLOOKUP($A280,'01-02.2021'!$A$6:$CZ$403,88,FALSE)+VLOOKUP($A280,'1.3.21-28.2.22'!$A$6:$DA$404,88,FALSE)-VLOOKUP($A280,'01-02.2022'!$A$6:$DA$376,88,FALSE)</f>
        <v>11030.191545307571</v>
      </c>
      <c r="CK280" s="70">
        <f t="shared" si="346"/>
        <v>-3419.454065014419</v>
      </c>
      <c r="CL280" s="566">
        <f>VLOOKUP($A280,'01-02.2021'!$A$6:$CZ$403,90,FALSE)+VLOOKUP($A280,'1.3.21-28.2.22'!$A$6:$DA$404,90,FALSE)-VLOOKUP($A280,'01-02.2022'!$A$6:$DA$376,90,FALSE)</f>
        <v>0</v>
      </c>
      <c r="CM280" s="566">
        <f>VLOOKUP($A280,'01-02.2021'!$A$6:$CZ$403,91,FALSE)+VLOOKUP($A280,'1.3.21-28.2.22'!$A$6:$DA$404,91,FALSE)-VLOOKUP($A280,'01-02.2022'!$A$6:$DA$376,91,FALSE)</f>
        <v>0</v>
      </c>
      <c r="CN280" s="52">
        <f t="shared" si="303"/>
        <v>0</v>
      </c>
      <c r="CO280" s="39">
        <f t="shared" si="298"/>
        <v>14449.64561032199</v>
      </c>
      <c r="CP280" s="40">
        <f t="shared" si="304"/>
        <v>11030.191545307571</v>
      </c>
      <c r="CQ280" s="52">
        <f t="shared" si="305"/>
        <v>-3419.454065014419</v>
      </c>
      <c r="CR280" s="72">
        <f t="shared" si="299"/>
        <v>153220.11714648127</v>
      </c>
      <c r="CS280" s="5">
        <f t="shared" si="299"/>
        <v>191514.38150052843</v>
      </c>
      <c r="CT280" s="52">
        <f t="shared" si="306"/>
        <v>38294.264354047162</v>
      </c>
      <c r="CU280" s="77">
        <f t="shared" si="307"/>
        <v>183864.14057577751</v>
      </c>
      <c r="CV280" s="65">
        <f t="shared" si="308"/>
        <v>229817.25780063411</v>
      </c>
      <c r="CW280" s="35">
        <f t="shared" si="309"/>
        <v>45953.1172248566</v>
      </c>
      <c r="CX280" s="566">
        <f>VLOOKUP($A280,'01-02.2021'!$A$6:$CZ$403,102,FALSE)+VLOOKUP($A280,'1.3.21-28.2.22'!$A$6:$DA$404,102,FALSE)-VLOOKUP($A280,'01-02.2022'!$A$6:$DA$376,102,FALSE)</f>
        <v>9366.428301726417</v>
      </c>
      <c r="CY280" s="566">
        <f>VLOOKUP($A280,'01-02.2021'!$A$6:$CZ$403,103,FALSE)+VLOOKUP($A280,'1.3.21-28.2.22'!$A$6:$DA$404,103,FALSE)-VLOOKUP($A280,'01-02.2022'!$A$6:$DA$376,103,FALSE)</f>
        <v>-36586.688923130176</v>
      </c>
      <c r="CZ280" s="52">
        <f t="shared" si="310"/>
        <v>-45953.117224856593</v>
      </c>
      <c r="DA280" s="150">
        <f>'[2]побудинковий звіт'!DA280</f>
        <v>63305.631040974942</v>
      </c>
      <c r="DB280" s="2">
        <v>3</v>
      </c>
      <c r="DC280" s="414">
        <f>'[4]побудинковий звіт'!DC280</f>
        <v>48941.63</v>
      </c>
      <c r="DD280" s="414">
        <f>'[4]побудинковий звіт'!DD280</f>
        <v>2765.65</v>
      </c>
      <c r="DE280" s="557">
        <f>'[4]побудинковий звіт'!DE280</f>
        <v>31850.901814673998</v>
      </c>
      <c r="DF280" s="557">
        <f>'[4]побудинковий звіт'!DF280</f>
        <v>2341.9920918699422</v>
      </c>
      <c r="DG280" s="321">
        <f>VLOOKUP(A280,'кошти 01.03.2021'!$A$6:$D$401,4,)</f>
        <v>25207.748506005824</v>
      </c>
      <c r="DH280" s="40">
        <f>'[3]побудинковий звіт'!DJ280</f>
        <v>199904.93809974895</v>
      </c>
      <c r="DI280" s="422">
        <f>'[3]побудинковий звіт'!CU280+'[3]побудинковий звіт'!CX280</f>
        <v>17514.386093456058</v>
      </c>
      <c r="DJ280" s="306">
        <f>'[3]побудинковий звіт'!DM280</f>
        <v>4.7885260108503545</v>
      </c>
      <c r="DK280" s="306">
        <f t="shared" si="316"/>
        <v>4.7885260108503545</v>
      </c>
      <c r="DL280" s="306">
        <f>'[3]побудинковий звіт'!DO280</f>
        <v>4.1946327537629511</v>
      </c>
      <c r="DM280" s="28">
        <f t="shared" si="317"/>
        <v>17090.728185325999</v>
      </c>
      <c r="DN280" s="28">
        <f t="shared" si="318"/>
        <v>423.65790813005805</v>
      </c>
      <c r="DO280" s="423">
        <f t="shared" si="319"/>
        <v>17514.386093456058</v>
      </c>
      <c r="DP280" s="94">
        <f t="shared" si="320"/>
        <v>0</v>
      </c>
      <c r="DQ280" s="28">
        <f t="shared" si="321"/>
        <v>17514.386093456058</v>
      </c>
      <c r="DR280" s="318"/>
      <c r="DT280" s="8"/>
      <c r="DU280" s="5"/>
      <c r="DX280" s="5">
        <f t="shared" si="322"/>
        <v>44759.389407428607</v>
      </c>
      <c r="DY280" s="5">
        <f t="shared" si="323"/>
        <v>87018.504000000001</v>
      </c>
      <c r="DZ280" s="159">
        <f>'[3]побудинковий звіт'!EA280</f>
        <v>4005.8467167321396</v>
      </c>
    </row>
    <row r="281" spans="1:130" x14ac:dyDescent="0.3">
      <c r="A281" s="325">
        <v>150000750</v>
      </c>
      <c r="B281" s="41" t="s">
        <v>727</v>
      </c>
      <c r="C281" s="42" t="s">
        <v>130</v>
      </c>
      <c r="D281" s="42"/>
      <c r="E281" s="293">
        <f t="shared" si="296"/>
        <v>275.8</v>
      </c>
      <c r="F281" s="305">
        <f>'[3]побудинковий звіт'!F281</f>
        <v>275.8</v>
      </c>
      <c r="G281" s="508">
        <f>'[3]побудинковий звіт'!G281</f>
        <v>0</v>
      </c>
      <c r="H281" s="560">
        <f>'[3]побудинковий звіт'!H281</f>
        <v>0</v>
      </c>
      <c r="I281" s="566">
        <f>VLOOKUP($A281,'01-02.2021'!$A$6:$CZ$403,9,FALSE)+VLOOKUP($A281,'1.3.21-28.2.22'!$A$6:$DA$404,9,FALSE)-VLOOKUP($A281,'01-02.2022'!$A$6:$DA$376,9,FALSE)</f>
        <v>0</v>
      </c>
      <c r="J281" s="566">
        <f>VLOOKUP($A281,'01-02.2021'!$A$6:$CZ$403,10,FALSE)+VLOOKUP($A281,'1.3.21-28.2.22'!$A$6:$DA$404,10,FALSE)-VLOOKUP($A281,'01-02.2022'!$A$6:$DA$376,10,FALSE)</f>
        <v>0</v>
      </c>
      <c r="K281" s="52">
        <f t="shared" si="300"/>
        <v>0</v>
      </c>
      <c r="L281" s="566">
        <f>VLOOKUP($A281,'01-02.2021'!$A$6:$CZ$403,12,FALSE)+VLOOKUP($A281,'1.3.21-28.2.22'!$A$6:$DA$404,12,FALSE)-VLOOKUP($A281,'01-02.2022'!$A$6:$DA$376,12,FALSE)</f>
        <v>0</v>
      </c>
      <c r="M281" s="566">
        <f>VLOOKUP($A281,'01-02.2021'!$A$6:$CZ$403,13,FALSE)+VLOOKUP($A281,'1.3.21-28.2.22'!$A$6:$DA$404,13,FALSE)-VLOOKUP($A281,'01-02.2022'!$A$6:$DA$376,13,FALSE)</f>
        <v>0</v>
      </c>
      <c r="N281" s="52">
        <f t="shared" si="301"/>
        <v>0</v>
      </c>
      <c r="O281" s="566">
        <f>VLOOKUP($A281,'01-02.2021'!$A$6:$CZ$403,15,FALSE)+VLOOKUP($A281,'1.3.21-28.2.22'!$A$6:$DA$404,15,FALSE)-VLOOKUP($A281,'01-02.2022'!$A$6:$DA$376,15,FALSE)</f>
        <v>0</v>
      </c>
      <c r="P281" s="566">
        <f>VLOOKUP($A281,'01-02.2021'!$A$6:$CZ$403,16,FALSE)+VLOOKUP($A281,'1.3.21-28.2.22'!$A$6:$DA$404,16,FALSE)-VLOOKUP($A281,'01-02.2022'!$A$6:$DA$376,16,FALSE)</f>
        <v>0</v>
      </c>
      <c r="Q281" s="70">
        <f t="shared" si="324"/>
        <v>0</v>
      </c>
      <c r="R281" s="566">
        <f>VLOOKUP($A281,'01-02.2021'!$A$6:$CZ$403,18,FALSE)+VLOOKUP($A281,'1.3.21-28.2.22'!$A$6:$DA$404,18,FALSE)-VLOOKUP($A281,'01-02.2022'!$A$6:$DA$376,18,FALSE)</f>
        <v>0</v>
      </c>
      <c r="S281" s="566">
        <f>VLOOKUP($A281,'01-02.2021'!$A$6:$CZ$403,19,FALSE)+VLOOKUP($A281,'1.3.21-28.2.22'!$A$6:$DA$404,19,FALSE)-VLOOKUP($A281,'01-02.2022'!$A$6:$DA$376,19,FALSE)</f>
        <v>0</v>
      </c>
      <c r="T281" s="70">
        <f t="shared" si="325"/>
        <v>0</v>
      </c>
      <c r="U281" s="566">
        <f>VLOOKUP($A281,'01-02.2021'!$A$6:$CZ$403,21,FALSE)+VLOOKUP($A281,'1.3.21-28.2.22'!$A$6:$DA$404,21,FALSE)-VLOOKUP($A281,'01-02.2022'!$A$6:$DA$376,21,FALSE)</f>
        <v>0</v>
      </c>
      <c r="V281" s="566">
        <f>VLOOKUP($A281,'01-02.2021'!$A$6:$CZ$403,22,FALSE)+VLOOKUP($A281,'1.3.21-28.2.22'!$A$6:$DA$404,22,FALSE)-VLOOKUP($A281,'01-02.2022'!$A$6:$DA$376,22,FALSE)</f>
        <v>0</v>
      </c>
      <c r="W281" s="70">
        <f t="shared" si="326"/>
        <v>0</v>
      </c>
      <c r="X281" s="566">
        <f>VLOOKUP($A281,'01-02.2021'!$A$6:$CZ$403,24,FALSE)+VLOOKUP($A281,'1.3.21-28.2.22'!$A$6:$DA$404,24,FALSE)-VLOOKUP($A281,'01-02.2022'!$A$6:$DA$376,24,FALSE)</f>
        <v>0</v>
      </c>
      <c r="Y281" s="566">
        <f>VLOOKUP($A281,'01-02.2021'!$A$6:$CZ$403,25,FALSE)+VLOOKUP($A281,'1.3.21-28.2.22'!$A$6:$DA$404,25,FALSE)-VLOOKUP($A281,'01-02.2022'!$A$6:$DA$376,25,FALSE)</f>
        <v>0</v>
      </c>
      <c r="Z281" s="70">
        <f t="shared" si="327"/>
        <v>0</v>
      </c>
      <c r="AA281" s="566">
        <f>VLOOKUP($A281,'01-02.2021'!$A$6:$CZ$403,27,FALSE)+VLOOKUP($A281,'1.3.21-28.2.22'!$A$6:$DA$404,27,FALSE)-VLOOKUP($A281,'01-02.2022'!$A$6:$DA$376,27,FALSE)</f>
        <v>55.160000000000004</v>
      </c>
      <c r="AB281" s="566">
        <f>VLOOKUP($A281,'01-02.2021'!$A$6:$CZ$403,28,FALSE)+VLOOKUP($A281,'1.3.21-28.2.22'!$A$6:$DA$404,28,FALSE)-VLOOKUP($A281,'01-02.2022'!$A$6:$DA$376,28,FALSE)</f>
        <v>0</v>
      </c>
      <c r="AC281" s="70">
        <f t="shared" si="328"/>
        <v>-55.160000000000004</v>
      </c>
      <c r="AD281" s="566">
        <f>VLOOKUP($A281,'01-02.2021'!$A$6:$CZ$403,30,FALSE)+VLOOKUP($A281,'1.3.21-28.2.22'!$A$6:$DA$404,30,FALSE)-VLOOKUP($A281,'01-02.2022'!$A$6:$DA$376,30,FALSE)</f>
        <v>441.56358358253487</v>
      </c>
      <c r="AE281" s="566">
        <f>VLOOKUP($A281,'01-02.2021'!$A$6:$CZ$403,31,FALSE)+VLOOKUP($A281,'1.3.21-28.2.22'!$A$6:$DA$404,31,FALSE)-VLOOKUP($A281,'01-02.2022'!$A$6:$DA$376,31,FALSE)</f>
        <v>1255.4527126026485</v>
      </c>
      <c r="AF281" s="68">
        <f t="shared" si="329"/>
        <v>813.88912902011361</v>
      </c>
      <c r="AG281" s="77">
        <f t="shared" si="297"/>
        <v>496.7235835825349</v>
      </c>
      <c r="AH281" s="53">
        <f t="shared" si="297"/>
        <v>1255.4527126026485</v>
      </c>
      <c r="AI281" s="52">
        <f t="shared" si="302"/>
        <v>758.72912902011353</v>
      </c>
      <c r="AJ281" s="566">
        <f>VLOOKUP($A281,'01-02.2021'!$A$6:$CZ$403,36,FALSE)+VLOOKUP($A281,'1.3.21-28.2.22'!$A$6:$DA$404,36,FALSE)-VLOOKUP($A281,'01-02.2022'!$A$6:$DA$376,36,FALSE)</f>
        <v>0</v>
      </c>
      <c r="AK281" s="566">
        <f>VLOOKUP($A281,'01-02.2021'!$A$6:$CZ$403,37,FALSE)+VLOOKUP($A281,'1.3.21-28.2.22'!$A$6:$DA$404,37,FALSE)-VLOOKUP($A281,'01-02.2022'!$A$6:$DA$376,37,FALSE)</f>
        <v>0</v>
      </c>
      <c r="AL281" s="70">
        <f t="shared" si="330"/>
        <v>0</v>
      </c>
      <c r="AM281" s="566">
        <f>VLOOKUP($A281,'01-02.2021'!$A$6:$CZ$403,39,FALSE)+VLOOKUP($A281,'1.3.21-28.2.22'!$A$6:$DA$404,39,FALSE)-VLOOKUP($A281,'01-02.2022'!$A$6:$DA$376,39,FALSE)</f>
        <v>0</v>
      </c>
      <c r="AN281" s="566">
        <f>VLOOKUP($A281,'01-02.2021'!$A$6:$CZ$403,40,FALSE)+VLOOKUP($A281,'1.3.21-28.2.22'!$A$6:$DA$404,40,FALSE)-VLOOKUP($A281,'01-02.2022'!$A$6:$DA$376,40,FALSE)</f>
        <v>0</v>
      </c>
      <c r="AO281" s="70">
        <f t="shared" si="331"/>
        <v>0</v>
      </c>
      <c r="AP281" s="566">
        <f>VLOOKUP($A281,'01-02.2021'!$A$6:$CZ$403,42,FALSE)+VLOOKUP($A281,'1.3.21-28.2.22'!$A$6:$DA$404,42,FALSE)-VLOOKUP($A281,'01-02.2022'!$A$6:$DA$376,42,FALSE)</f>
        <v>520.55992501277728</v>
      </c>
      <c r="AQ281" s="566">
        <f>VLOOKUP($A281,'01-02.2021'!$A$6:$CZ$403,43,FALSE)+VLOOKUP($A281,'1.3.21-28.2.22'!$A$6:$DA$404,43,FALSE)-VLOOKUP($A281,'01-02.2022'!$A$6:$DA$376,43,FALSE)</f>
        <v>224.53023349564305</v>
      </c>
      <c r="AR281" s="70">
        <f t="shared" si="332"/>
        <v>-296.02969151713421</v>
      </c>
      <c r="AS281" s="566">
        <f>VLOOKUP($A281,'01-02.2021'!$A$6:$CZ$403,45,FALSE)+VLOOKUP($A281,'1.3.21-28.2.22'!$A$6:$DA$404,45,FALSE)-VLOOKUP($A281,'01-02.2022'!$A$6:$DA$376,45,FALSE)</f>
        <v>3298.4734674408191</v>
      </c>
      <c r="AT281" s="566">
        <f>VLOOKUP($A281,'01-02.2021'!$A$6:$CZ$403,46,FALSE)+VLOOKUP($A281,'1.3.21-28.2.22'!$A$6:$DA$404,46,FALSE)-VLOOKUP($A281,'01-02.2022'!$A$6:$DA$376,46,FALSE)</f>
        <v>3140</v>
      </c>
      <c r="AU281" s="78">
        <f t="shared" si="333"/>
        <v>-158.47346744081915</v>
      </c>
      <c r="AV281" s="566">
        <f>VLOOKUP($A281,'01-02.2021'!$A$6:$CZ$403,48,FALSE)+VLOOKUP($A281,'1.3.21-28.2.22'!$A$6:$DA$404,48,FALSE)-VLOOKUP($A281,'01-02.2022'!$A$6:$DA$376,48,FALSE)</f>
        <v>0</v>
      </c>
      <c r="AW281" s="566">
        <f>VLOOKUP($A281,'01-02.2021'!$A$6:$CZ$403,49,FALSE)+VLOOKUP($A281,'1.3.21-28.2.22'!$A$6:$DA$404,49,FALSE)-VLOOKUP($A281,'01-02.2022'!$A$6:$DA$376,49,FALSE)</f>
        <v>0</v>
      </c>
      <c r="AX281" s="55">
        <f t="shared" si="334"/>
        <v>0</v>
      </c>
      <c r="AY281" s="566">
        <f>VLOOKUP($A281,'01-02.2021'!$A$6:$CZ$403,51,FALSE)+VLOOKUP($A281,'1.3.21-28.2.22'!$A$6:$DA$404,51,FALSE)-VLOOKUP($A281,'01-02.2022'!$A$6:$DA$376,51,FALSE)</f>
        <v>0</v>
      </c>
      <c r="AZ281" s="566">
        <f>VLOOKUP($A281,'01-02.2021'!$A$6:$CZ$403,52,FALSE)+VLOOKUP($A281,'1.3.21-28.2.22'!$A$6:$DA$404,52,FALSE)-VLOOKUP($A281,'01-02.2022'!$A$6:$DA$376,52,FALSE)</f>
        <v>0</v>
      </c>
      <c r="BA281" s="38">
        <f t="shared" si="335"/>
        <v>0</v>
      </c>
      <c r="BB281" s="566">
        <f>VLOOKUP($A281,'01-02.2021'!$A$6:$CZ$403,54,FALSE)+VLOOKUP($A281,'1.3.21-28.2.22'!$A$6:$DA$404,54,FALSE)-VLOOKUP($A281,'01-02.2022'!$A$6:$DA$376,54,FALSE)</f>
        <v>0</v>
      </c>
      <c r="BC281" s="566">
        <f>VLOOKUP($A281,'01-02.2021'!$A$6:$CZ$403,55,FALSE)+VLOOKUP($A281,'1.3.21-28.2.22'!$A$6:$DA$404,55,FALSE)-VLOOKUP($A281,'01-02.2022'!$A$6:$DA$376,55,FALSE)</f>
        <v>0</v>
      </c>
      <c r="BD281" s="55">
        <f t="shared" si="336"/>
        <v>0</v>
      </c>
      <c r="BE281" s="566">
        <f>VLOOKUP($A281,'01-02.2021'!$A$6:$CZ$403,57,FALSE)+VLOOKUP($A281,'1.3.21-28.2.22'!$A$6:$DA$404,57,FALSE)-VLOOKUP($A281,'01-02.2022'!$A$6:$DA$376,57,FALSE)</f>
        <v>0</v>
      </c>
      <c r="BF281" s="566">
        <f>VLOOKUP($A281,'01-02.2021'!$A$6:$CZ$403,58,FALSE)+VLOOKUP($A281,'1.3.21-28.2.22'!$A$6:$DA$404,58,FALSE)-VLOOKUP($A281,'01-02.2022'!$A$6:$DA$376,58,FALSE)</f>
        <v>0</v>
      </c>
      <c r="BG281" s="55">
        <f t="shared" si="337"/>
        <v>0</v>
      </c>
      <c r="BH281" s="566">
        <f>VLOOKUP($A281,'01-02.2021'!$A$6:$CZ$403,60,FALSE)+VLOOKUP($A281,'1.3.21-28.2.22'!$A$6:$DA$404,60,FALSE)-VLOOKUP($A281,'01-02.2022'!$A$6:$DA$376,60,FALSE)</f>
        <v>0</v>
      </c>
      <c r="BI281" s="566">
        <f>VLOOKUP($A281,'01-02.2021'!$A$6:$CZ$403,61,FALSE)+VLOOKUP($A281,'1.3.21-28.2.22'!$A$6:$DA$404,61,FALSE)-VLOOKUP($A281,'01-02.2022'!$A$6:$DA$376,61,FALSE)</f>
        <v>0</v>
      </c>
      <c r="BJ281" s="55">
        <f t="shared" si="338"/>
        <v>0</v>
      </c>
      <c r="BK281" s="566">
        <f>VLOOKUP($A281,'01-02.2021'!$A$6:$CZ$403,63,FALSE)+VLOOKUP($A281,'1.3.21-28.2.22'!$A$6:$DA$404,63,FALSE)-VLOOKUP($A281,'01-02.2022'!$A$6:$DA$376,63,FALSE)</f>
        <v>0</v>
      </c>
      <c r="BL281" s="566">
        <f>VLOOKUP($A281,'01-02.2021'!$A$6:$CZ$403,64,FALSE)+VLOOKUP($A281,'1.3.21-28.2.22'!$A$6:$DA$404,64,FALSE)-VLOOKUP($A281,'01-02.2022'!$A$6:$DA$376,64,FALSE)</f>
        <v>0</v>
      </c>
      <c r="BM281" s="55">
        <f t="shared" si="339"/>
        <v>0</v>
      </c>
      <c r="BN281" s="566">
        <f>VLOOKUP($A281,'01-02.2021'!$A$6:$CZ$403,66,FALSE)+VLOOKUP($A281,'1.3.21-28.2.22'!$A$6:$DA$404,66,FALSE)-VLOOKUP($A281,'01-02.2022'!$A$6:$DA$376,66,FALSE)</f>
        <v>22.622728660914866</v>
      </c>
      <c r="BO281" s="566">
        <f>VLOOKUP($A281,'01-02.2021'!$A$6:$CZ$403,67,FALSE)+VLOOKUP($A281,'1.3.21-28.2.22'!$A$6:$DA$404,67,FALSE)-VLOOKUP($A281,'01-02.2022'!$A$6:$DA$376,67,FALSE)</f>
        <v>0</v>
      </c>
      <c r="BP281" s="55">
        <f t="shared" si="340"/>
        <v>-22.622728660914866</v>
      </c>
      <c r="BQ281" s="77">
        <f t="shared" si="287"/>
        <v>22.622728660914866</v>
      </c>
      <c r="BR281" s="40">
        <f t="shared" si="315"/>
        <v>0</v>
      </c>
      <c r="BS281" s="55">
        <f t="shared" si="314"/>
        <v>-22.622728660914866</v>
      </c>
      <c r="BT281" s="566">
        <f>VLOOKUP($A281,'01-02.2021'!$A$6:$CZ$403,72,FALSE)+VLOOKUP($A281,'1.3.21-28.2.22'!$A$6:$DA$404,72,FALSE)-VLOOKUP($A281,'01-02.2022'!$A$6:$DA$376,72,FALSE)</f>
        <v>446.63753407835333</v>
      </c>
      <c r="BU281" s="566">
        <f>VLOOKUP($A281,'01-02.2021'!$A$6:$CZ$403,73,FALSE)+VLOOKUP($A281,'1.3.21-28.2.22'!$A$6:$DA$404,73,FALSE)-VLOOKUP($A281,'01-02.2022'!$A$6:$DA$376,73,FALSE)</f>
        <v>693.06917155973076</v>
      </c>
      <c r="BV281" s="70">
        <f t="shared" si="341"/>
        <v>246.43163748137744</v>
      </c>
      <c r="BW281" s="566">
        <f>VLOOKUP($A281,'01-02.2021'!$A$6:$CZ$403,75,FALSE)+VLOOKUP($A281,'1.3.21-28.2.22'!$A$6:$DA$404,75,FALSE)-VLOOKUP($A281,'01-02.2022'!$A$6:$DA$376,75,FALSE)</f>
        <v>0</v>
      </c>
      <c r="BX281" s="566">
        <f>VLOOKUP($A281,'01-02.2021'!$A$6:$CZ$403,76,FALSE)+VLOOKUP($A281,'1.3.21-28.2.22'!$A$6:$DA$404,76,FALSE)-VLOOKUP($A281,'01-02.2022'!$A$6:$DA$376,76,FALSE)</f>
        <v>6.1811166858286661</v>
      </c>
      <c r="BY281" s="70">
        <f t="shared" si="342"/>
        <v>6.1811166858286661</v>
      </c>
      <c r="BZ281" s="566">
        <f>VLOOKUP($A281,'01-02.2021'!$A$6:$CZ$403,78,FALSE)+VLOOKUP($A281,'1.3.21-28.2.22'!$A$6:$DA$404,78,FALSE)-VLOOKUP($A281,'01-02.2022'!$A$6:$DA$376,78,FALSE)</f>
        <v>0</v>
      </c>
      <c r="CA281" s="566">
        <f>VLOOKUP($A281,'01-02.2021'!$A$6:$CZ$403,79,FALSE)+VLOOKUP($A281,'1.3.21-28.2.22'!$A$6:$DA$404,79,FALSE)-VLOOKUP($A281,'01-02.2022'!$A$6:$DA$376,79,FALSE)</f>
        <v>42.259540765496126</v>
      </c>
      <c r="CB281" s="70">
        <f t="shared" si="343"/>
        <v>42.259540765496126</v>
      </c>
      <c r="CC281" s="566">
        <f>VLOOKUP($A281,'01-02.2021'!$A$6:$CZ$403,81,FALSE)+VLOOKUP($A281,'1.3.21-28.2.22'!$A$6:$DA$404,81,FALSE)-VLOOKUP($A281,'01-02.2022'!$A$6:$DA$376,81,FALSE)</f>
        <v>0</v>
      </c>
      <c r="CD281" s="566">
        <f>VLOOKUP($A281,'01-02.2021'!$A$6:$CZ$403,82,FALSE)+VLOOKUP($A281,'1.3.21-28.2.22'!$A$6:$DA$404,82,FALSE)-VLOOKUP($A281,'01-02.2022'!$A$6:$DA$376,82,FALSE)</f>
        <v>0</v>
      </c>
      <c r="CE281" s="70">
        <f t="shared" si="344"/>
        <v>0</v>
      </c>
      <c r="CF281" s="566">
        <f>VLOOKUP($A281,'01-02.2021'!$A$6:$CZ$403,84,FALSE)+VLOOKUP($A281,'1.3.21-28.2.22'!$A$6:$DA$404,84,FALSE)-VLOOKUP($A281,'01-02.2022'!$A$6:$DA$376,84,FALSE)</f>
        <v>0</v>
      </c>
      <c r="CG281" s="566">
        <f>VLOOKUP($A281,'01-02.2021'!$A$6:$CZ$403,85,FALSE)+VLOOKUP($A281,'1.3.21-28.2.22'!$A$6:$DA$404,85,FALSE)-VLOOKUP($A281,'01-02.2022'!$A$6:$DA$376,85,FALSE)</f>
        <v>0</v>
      </c>
      <c r="CH281" s="70">
        <f t="shared" si="345"/>
        <v>0</v>
      </c>
      <c r="CI281" s="566">
        <f>VLOOKUP($A281,'01-02.2021'!$A$6:$CZ$403,87,FALSE)+VLOOKUP($A281,'1.3.21-28.2.22'!$A$6:$DA$404,87,FALSE)-VLOOKUP($A281,'01-02.2022'!$A$6:$DA$376,87,FALSE)</f>
        <v>0</v>
      </c>
      <c r="CJ281" s="566">
        <f>VLOOKUP($A281,'01-02.2021'!$A$6:$CZ$403,88,FALSE)+VLOOKUP($A281,'1.3.21-28.2.22'!$A$6:$DA$404,88,FALSE)-VLOOKUP($A281,'01-02.2022'!$A$6:$DA$376,88,FALSE)</f>
        <v>0</v>
      </c>
      <c r="CK281" s="70">
        <f t="shared" si="346"/>
        <v>0</v>
      </c>
      <c r="CL281" s="566">
        <f>VLOOKUP($A281,'01-02.2021'!$A$6:$CZ$403,90,FALSE)+VLOOKUP($A281,'1.3.21-28.2.22'!$A$6:$DA$404,90,FALSE)-VLOOKUP($A281,'01-02.2022'!$A$6:$DA$376,90,FALSE)</f>
        <v>0</v>
      </c>
      <c r="CM281" s="566">
        <f>VLOOKUP($A281,'01-02.2021'!$A$6:$CZ$403,91,FALSE)+VLOOKUP($A281,'1.3.21-28.2.22'!$A$6:$DA$404,91,FALSE)-VLOOKUP($A281,'01-02.2022'!$A$6:$DA$376,91,FALSE)</f>
        <v>0</v>
      </c>
      <c r="CN281" s="52">
        <f t="shared" si="303"/>
        <v>0</v>
      </c>
      <c r="CO281" s="39">
        <f t="shared" si="298"/>
        <v>0</v>
      </c>
      <c r="CP281" s="40">
        <f t="shared" si="304"/>
        <v>0</v>
      </c>
      <c r="CQ281" s="52">
        <f t="shared" si="305"/>
        <v>0</v>
      </c>
      <c r="CR281" s="72">
        <f t="shared" si="299"/>
        <v>4785.0172387753992</v>
      </c>
      <c r="CS281" s="5">
        <f t="shared" si="299"/>
        <v>5361.4927751093464</v>
      </c>
      <c r="CT281" s="52">
        <f t="shared" si="306"/>
        <v>576.47553633394728</v>
      </c>
      <c r="CU281" s="77">
        <f t="shared" si="307"/>
        <v>5742.020686530479</v>
      </c>
      <c r="CV281" s="65">
        <f t="shared" si="308"/>
        <v>6433.7913301312155</v>
      </c>
      <c r="CW281" s="35">
        <f t="shared" si="309"/>
        <v>691.77064360073655</v>
      </c>
      <c r="CX281" s="566">
        <f>VLOOKUP($A281,'01-02.2021'!$A$6:$CZ$403,102,FALSE)+VLOOKUP($A281,'1.3.21-28.2.22'!$A$6:$DA$404,102,FALSE)-VLOOKUP($A281,'01-02.2022'!$A$6:$DA$376,102,FALSE)</f>
        <v>274.12918701219343</v>
      </c>
      <c r="CY281" s="566">
        <f>VLOOKUP($A281,'01-02.2021'!$A$6:$CZ$403,103,FALSE)+VLOOKUP($A281,'1.3.21-28.2.22'!$A$6:$DA$404,103,FALSE)-VLOOKUP($A281,'01-02.2022'!$A$6:$DA$376,103,FALSE)</f>
        <v>-417.64145658854363</v>
      </c>
      <c r="CZ281" s="52">
        <f t="shared" si="310"/>
        <v>-691.770643600737</v>
      </c>
      <c r="DA281" s="150">
        <f>'[2]побудинковий звіт'!DA281</f>
        <v>-6503.3781753372041</v>
      </c>
      <c r="DB281" s="2">
        <v>1</v>
      </c>
      <c r="DC281" s="414">
        <f>'[4]побудинковий звіт'!DC281</f>
        <v>922.99</v>
      </c>
      <c r="DD281" s="414">
        <f>'[4]побудинковий звіт'!DD281</f>
        <v>0</v>
      </c>
      <c r="DE281" s="557">
        <f>'[4]побудинковий звіт'!DE281</f>
        <v>375.68788139196261</v>
      </c>
      <c r="DF281" s="557">
        <f>'[4]побудинковий звіт'!DF281</f>
        <v>0</v>
      </c>
      <c r="DG281" s="321">
        <f>VLOOKUP(A281,'кошти 01.03.2021'!$A$6:$D$401,4,)</f>
        <v>-6050.1262494630255</v>
      </c>
      <c r="DH281" s="40">
        <f>'[3]побудинковий звіт'!DJ281</f>
        <v>6233.5704571273436</v>
      </c>
      <c r="DI281" s="422">
        <f>'[3]побудинковий звіт'!CU281+'[3]побудинковий звіт'!CX281</f>
        <v>547.3021186080374</v>
      </c>
      <c r="DJ281" s="306">
        <f>'[3]побудинковий звіт'!DM281</f>
        <v>1.9844166737057194</v>
      </c>
      <c r="DK281" s="306">
        <f t="shared" si="316"/>
        <v>1.9844166737057194</v>
      </c>
      <c r="DL281" s="306">
        <f>'[3]побудинковий звіт'!DO281</f>
        <v>1.9844166737057194</v>
      </c>
      <c r="DM281" s="28">
        <f t="shared" si="317"/>
        <v>547.3021186080374</v>
      </c>
      <c r="DN281" s="28">
        <f t="shared" si="318"/>
        <v>0</v>
      </c>
      <c r="DO281" s="423">
        <f t="shared" si="319"/>
        <v>547.3021186080374</v>
      </c>
      <c r="DP281" s="94">
        <f t="shared" si="320"/>
        <v>0</v>
      </c>
      <c r="DQ281" s="28">
        <f t="shared" si="321"/>
        <v>547.3021186080374</v>
      </c>
      <c r="DR281" s="318"/>
      <c r="DT281" s="8"/>
      <c r="DU281" s="5"/>
      <c r="DX281" s="5">
        <f t="shared" si="322"/>
        <v>3985.3154353220807</v>
      </c>
      <c r="DY281" s="5">
        <f t="shared" si="323"/>
        <v>3768</v>
      </c>
      <c r="DZ281" s="159">
        <f>'[3]побудинковий звіт'!EA281</f>
        <v>390.34659180532924</v>
      </c>
    </row>
    <row r="282" spans="1:130" x14ac:dyDescent="0.3">
      <c r="A282" s="325">
        <v>150000751</v>
      </c>
      <c r="B282" s="41" t="s">
        <v>728</v>
      </c>
      <c r="C282" s="42" t="s">
        <v>131</v>
      </c>
      <c r="D282" s="42"/>
      <c r="E282" s="293">
        <f t="shared" si="296"/>
        <v>146.1</v>
      </c>
      <c r="F282" s="305">
        <f>'[3]побудинковий звіт'!F282</f>
        <v>146.1</v>
      </c>
      <c r="G282" s="508">
        <f>'[3]побудинковий звіт'!G282</f>
        <v>0</v>
      </c>
      <c r="H282" s="560">
        <f>'[3]побудинковий звіт'!H282</f>
        <v>0</v>
      </c>
      <c r="I282" s="566">
        <f>VLOOKUP($A282,'01-02.2021'!$A$6:$CZ$403,9,FALSE)+VLOOKUP($A282,'1.3.21-28.2.22'!$A$6:$DA$404,9,FALSE)-VLOOKUP($A282,'01-02.2022'!$A$6:$DA$376,9,FALSE)</f>
        <v>0</v>
      </c>
      <c r="J282" s="566">
        <f>VLOOKUP($A282,'01-02.2021'!$A$6:$CZ$403,10,FALSE)+VLOOKUP($A282,'1.3.21-28.2.22'!$A$6:$DA$404,10,FALSE)-VLOOKUP($A282,'01-02.2022'!$A$6:$DA$376,10,FALSE)</f>
        <v>0</v>
      </c>
      <c r="K282" s="52">
        <f t="shared" si="300"/>
        <v>0</v>
      </c>
      <c r="L282" s="566">
        <f>VLOOKUP($A282,'01-02.2021'!$A$6:$CZ$403,12,FALSE)+VLOOKUP($A282,'1.3.21-28.2.22'!$A$6:$DA$404,12,FALSE)-VLOOKUP($A282,'01-02.2022'!$A$6:$DA$376,12,FALSE)</f>
        <v>0</v>
      </c>
      <c r="M282" s="566">
        <f>VLOOKUP($A282,'01-02.2021'!$A$6:$CZ$403,13,FALSE)+VLOOKUP($A282,'1.3.21-28.2.22'!$A$6:$DA$404,13,FALSE)-VLOOKUP($A282,'01-02.2022'!$A$6:$DA$376,13,FALSE)</f>
        <v>0</v>
      </c>
      <c r="N282" s="52">
        <f t="shared" si="301"/>
        <v>0</v>
      </c>
      <c r="O282" s="566">
        <f>VLOOKUP($A282,'01-02.2021'!$A$6:$CZ$403,15,FALSE)+VLOOKUP($A282,'1.3.21-28.2.22'!$A$6:$DA$404,15,FALSE)-VLOOKUP($A282,'01-02.2022'!$A$6:$DA$376,15,FALSE)</f>
        <v>0</v>
      </c>
      <c r="P282" s="566">
        <f>VLOOKUP($A282,'01-02.2021'!$A$6:$CZ$403,16,FALSE)+VLOOKUP($A282,'1.3.21-28.2.22'!$A$6:$DA$404,16,FALSE)-VLOOKUP($A282,'01-02.2022'!$A$6:$DA$376,16,FALSE)</f>
        <v>0</v>
      </c>
      <c r="Q282" s="70">
        <f t="shared" si="324"/>
        <v>0</v>
      </c>
      <c r="R282" s="566">
        <f>VLOOKUP($A282,'01-02.2021'!$A$6:$CZ$403,18,FALSE)+VLOOKUP($A282,'1.3.21-28.2.22'!$A$6:$DA$404,18,FALSE)-VLOOKUP($A282,'01-02.2022'!$A$6:$DA$376,18,FALSE)</f>
        <v>0</v>
      </c>
      <c r="S282" s="566">
        <f>VLOOKUP($A282,'01-02.2021'!$A$6:$CZ$403,19,FALSE)+VLOOKUP($A282,'1.3.21-28.2.22'!$A$6:$DA$404,19,FALSE)-VLOOKUP($A282,'01-02.2022'!$A$6:$DA$376,19,FALSE)</f>
        <v>0</v>
      </c>
      <c r="T282" s="70">
        <f t="shared" si="325"/>
        <v>0</v>
      </c>
      <c r="U282" s="566">
        <f>VLOOKUP($A282,'01-02.2021'!$A$6:$CZ$403,21,FALSE)+VLOOKUP($A282,'1.3.21-28.2.22'!$A$6:$DA$404,21,FALSE)-VLOOKUP($A282,'01-02.2022'!$A$6:$DA$376,21,FALSE)</f>
        <v>0</v>
      </c>
      <c r="V282" s="566">
        <f>VLOOKUP($A282,'01-02.2021'!$A$6:$CZ$403,22,FALSE)+VLOOKUP($A282,'1.3.21-28.2.22'!$A$6:$DA$404,22,FALSE)-VLOOKUP($A282,'01-02.2022'!$A$6:$DA$376,22,FALSE)</f>
        <v>0</v>
      </c>
      <c r="W282" s="70">
        <f t="shared" si="326"/>
        <v>0</v>
      </c>
      <c r="X282" s="566">
        <f>VLOOKUP($A282,'01-02.2021'!$A$6:$CZ$403,24,FALSE)+VLOOKUP($A282,'1.3.21-28.2.22'!$A$6:$DA$404,24,FALSE)-VLOOKUP($A282,'01-02.2022'!$A$6:$DA$376,24,FALSE)</f>
        <v>0</v>
      </c>
      <c r="Y282" s="566">
        <f>VLOOKUP($A282,'01-02.2021'!$A$6:$CZ$403,25,FALSE)+VLOOKUP($A282,'1.3.21-28.2.22'!$A$6:$DA$404,25,FALSE)-VLOOKUP($A282,'01-02.2022'!$A$6:$DA$376,25,FALSE)</f>
        <v>0</v>
      </c>
      <c r="Z282" s="70">
        <f t="shared" si="327"/>
        <v>0</v>
      </c>
      <c r="AA282" s="566">
        <f>VLOOKUP($A282,'01-02.2021'!$A$6:$CZ$403,27,FALSE)+VLOOKUP($A282,'1.3.21-28.2.22'!$A$6:$DA$404,27,FALSE)-VLOOKUP($A282,'01-02.2022'!$A$6:$DA$376,27,FALSE)</f>
        <v>29.22</v>
      </c>
      <c r="AB282" s="566">
        <f>VLOOKUP($A282,'01-02.2021'!$A$6:$CZ$403,28,FALSE)+VLOOKUP($A282,'1.3.21-28.2.22'!$A$6:$DA$404,28,FALSE)-VLOOKUP($A282,'01-02.2022'!$A$6:$DA$376,28,FALSE)</f>
        <v>0</v>
      </c>
      <c r="AC282" s="70">
        <f t="shared" si="328"/>
        <v>-29.22</v>
      </c>
      <c r="AD282" s="566">
        <f>VLOOKUP($A282,'01-02.2021'!$A$6:$CZ$403,30,FALSE)+VLOOKUP($A282,'1.3.21-28.2.22'!$A$6:$DA$404,30,FALSE)-VLOOKUP($A282,'01-02.2022'!$A$6:$DA$376,30,FALSE)</f>
        <v>233.89843009895611</v>
      </c>
      <c r="AE282" s="566">
        <f>VLOOKUP($A282,'01-02.2021'!$A$6:$CZ$403,31,FALSE)+VLOOKUP($A282,'1.3.21-28.2.22'!$A$6:$DA$404,31,FALSE)-VLOOKUP($A282,'01-02.2022'!$A$6:$DA$376,31,FALSE)</f>
        <v>665.05308669777696</v>
      </c>
      <c r="AF282" s="68">
        <f t="shared" si="329"/>
        <v>431.15465659882085</v>
      </c>
      <c r="AG282" s="77">
        <f t="shared" si="297"/>
        <v>263.11843009895608</v>
      </c>
      <c r="AH282" s="53">
        <f t="shared" si="297"/>
        <v>665.05308669777696</v>
      </c>
      <c r="AI282" s="52">
        <f t="shared" si="302"/>
        <v>401.93465659882088</v>
      </c>
      <c r="AJ282" s="566">
        <f>VLOOKUP($A282,'01-02.2021'!$A$6:$CZ$403,36,FALSE)+VLOOKUP($A282,'1.3.21-28.2.22'!$A$6:$DA$404,36,FALSE)-VLOOKUP($A282,'01-02.2022'!$A$6:$DA$376,36,FALSE)</f>
        <v>0</v>
      </c>
      <c r="AK282" s="566">
        <f>VLOOKUP($A282,'01-02.2021'!$A$6:$CZ$403,37,FALSE)+VLOOKUP($A282,'1.3.21-28.2.22'!$A$6:$DA$404,37,FALSE)-VLOOKUP($A282,'01-02.2022'!$A$6:$DA$376,37,FALSE)</f>
        <v>0</v>
      </c>
      <c r="AL282" s="70">
        <f t="shared" si="330"/>
        <v>0</v>
      </c>
      <c r="AM282" s="566">
        <f>VLOOKUP($A282,'01-02.2021'!$A$6:$CZ$403,39,FALSE)+VLOOKUP($A282,'1.3.21-28.2.22'!$A$6:$DA$404,39,FALSE)-VLOOKUP($A282,'01-02.2022'!$A$6:$DA$376,39,FALSE)</f>
        <v>0</v>
      </c>
      <c r="AN282" s="566">
        <f>VLOOKUP($A282,'01-02.2021'!$A$6:$CZ$403,40,FALSE)+VLOOKUP($A282,'1.3.21-28.2.22'!$A$6:$DA$404,40,FALSE)-VLOOKUP($A282,'01-02.2022'!$A$6:$DA$376,40,FALSE)</f>
        <v>0</v>
      </c>
      <c r="AO282" s="70">
        <f t="shared" si="331"/>
        <v>0</v>
      </c>
      <c r="AP282" s="566">
        <f>VLOOKUP($A282,'01-02.2021'!$A$6:$CZ$403,42,FALSE)+VLOOKUP($A282,'1.3.21-28.2.22'!$A$6:$DA$404,42,FALSE)-VLOOKUP($A282,'01-02.2022'!$A$6:$DA$376,42,FALSE)</f>
        <v>303.65995625745347</v>
      </c>
      <c r="AQ282" s="566">
        <f>VLOOKUP($A282,'01-02.2021'!$A$6:$CZ$403,43,FALSE)+VLOOKUP($A282,'1.3.21-28.2.22'!$A$6:$DA$404,43,FALSE)-VLOOKUP($A282,'01-02.2022'!$A$6:$DA$376,43,FALSE)</f>
        <v>261.77929121744683</v>
      </c>
      <c r="AR282" s="70">
        <f t="shared" si="332"/>
        <v>-41.880665040006647</v>
      </c>
      <c r="AS282" s="566">
        <f>VLOOKUP($A282,'01-02.2021'!$A$6:$CZ$403,45,FALSE)+VLOOKUP($A282,'1.3.21-28.2.22'!$A$6:$DA$404,45,FALSE)-VLOOKUP($A282,'01-02.2022'!$A$6:$DA$376,45,FALSE)</f>
        <v>1497.1741778921619</v>
      </c>
      <c r="AT282" s="566">
        <f>VLOOKUP($A282,'01-02.2021'!$A$6:$CZ$403,46,FALSE)+VLOOKUP($A282,'1.3.21-28.2.22'!$A$6:$DA$404,46,FALSE)-VLOOKUP($A282,'01-02.2022'!$A$6:$DA$376,46,FALSE)</f>
        <v>1839</v>
      </c>
      <c r="AU282" s="78">
        <f t="shared" si="333"/>
        <v>341.82582210783812</v>
      </c>
      <c r="AV282" s="566">
        <f>VLOOKUP($A282,'01-02.2021'!$A$6:$CZ$403,48,FALSE)+VLOOKUP($A282,'1.3.21-28.2.22'!$A$6:$DA$404,48,FALSE)-VLOOKUP($A282,'01-02.2022'!$A$6:$DA$376,48,FALSE)</f>
        <v>0</v>
      </c>
      <c r="AW282" s="566">
        <f>VLOOKUP($A282,'01-02.2021'!$A$6:$CZ$403,49,FALSE)+VLOOKUP($A282,'1.3.21-28.2.22'!$A$6:$DA$404,49,FALSE)-VLOOKUP($A282,'01-02.2022'!$A$6:$DA$376,49,FALSE)</f>
        <v>0</v>
      </c>
      <c r="AX282" s="55">
        <f t="shared" si="334"/>
        <v>0</v>
      </c>
      <c r="AY282" s="566">
        <f>VLOOKUP($A282,'01-02.2021'!$A$6:$CZ$403,51,FALSE)+VLOOKUP($A282,'1.3.21-28.2.22'!$A$6:$DA$404,51,FALSE)-VLOOKUP($A282,'01-02.2022'!$A$6:$DA$376,51,FALSE)</f>
        <v>0</v>
      </c>
      <c r="AZ282" s="566">
        <f>VLOOKUP($A282,'01-02.2021'!$A$6:$CZ$403,52,FALSE)+VLOOKUP($A282,'1.3.21-28.2.22'!$A$6:$DA$404,52,FALSE)-VLOOKUP($A282,'01-02.2022'!$A$6:$DA$376,52,FALSE)</f>
        <v>0</v>
      </c>
      <c r="BA282" s="38">
        <f t="shared" si="335"/>
        <v>0</v>
      </c>
      <c r="BB282" s="566">
        <f>VLOOKUP($A282,'01-02.2021'!$A$6:$CZ$403,54,FALSE)+VLOOKUP($A282,'1.3.21-28.2.22'!$A$6:$DA$404,54,FALSE)-VLOOKUP($A282,'01-02.2022'!$A$6:$DA$376,54,FALSE)</f>
        <v>0</v>
      </c>
      <c r="BC282" s="566">
        <f>VLOOKUP($A282,'01-02.2021'!$A$6:$CZ$403,55,FALSE)+VLOOKUP($A282,'1.3.21-28.2.22'!$A$6:$DA$404,55,FALSE)-VLOOKUP($A282,'01-02.2022'!$A$6:$DA$376,55,FALSE)</f>
        <v>0</v>
      </c>
      <c r="BD282" s="55">
        <f t="shared" si="336"/>
        <v>0</v>
      </c>
      <c r="BE282" s="566">
        <f>VLOOKUP($A282,'01-02.2021'!$A$6:$CZ$403,57,FALSE)+VLOOKUP($A282,'1.3.21-28.2.22'!$A$6:$DA$404,57,FALSE)-VLOOKUP($A282,'01-02.2022'!$A$6:$DA$376,57,FALSE)</f>
        <v>0</v>
      </c>
      <c r="BF282" s="566">
        <f>VLOOKUP($A282,'01-02.2021'!$A$6:$CZ$403,58,FALSE)+VLOOKUP($A282,'1.3.21-28.2.22'!$A$6:$DA$404,58,FALSE)-VLOOKUP($A282,'01-02.2022'!$A$6:$DA$376,58,FALSE)</f>
        <v>0</v>
      </c>
      <c r="BG282" s="55">
        <f t="shared" si="337"/>
        <v>0</v>
      </c>
      <c r="BH282" s="566">
        <f>VLOOKUP($A282,'01-02.2021'!$A$6:$CZ$403,60,FALSE)+VLOOKUP($A282,'1.3.21-28.2.22'!$A$6:$DA$404,60,FALSE)-VLOOKUP($A282,'01-02.2022'!$A$6:$DA$376,60,FALSE)</f>
        <v>0</v>
      </c>
      <c r="BI282" s="566">
        <f>VLOOKUP($A282,'01-02.2021'!$A$6:$CZ$403,61,FALSE)+VLOOKUP($A282,'1.3.21-28.2.22'!$A$6:$DA$404,61,FALSE)-VLOOKUP($A282,'01-02.2022'!$A$6:$DA$376,61,FALSE)</f>
        <v>0</v>
      </c>
      <c r="BJ282" s="55">
        <f t="shared" si="338"/>
        <v>0</v>
      </c>
      <c r="BK282" s="566">
        <f>VLOOKUP($A282,'01-02.2021'!$A$6:$CZ$403,63,FALSE)+VLOOKUP($A282,'1.3.21-28.2.22'!$A$6:$DA$404,63,FALSE)-VLOOKUP($A282,'01-02.2022'!$A$6:$DA$376,63,FALSE)</f>
        <v>0</v>
      </c>
      <c r="BL282" s="566">
        <f>VLOOKUP($A282,'01-02.2021'!$A$6:$CZ$403,64,FALSE)+VLOOKUP($A282,'1.3.21-28.2.22'!$A$6:$DA$404,64,FALSE)-VLOOKUP($A282,'01-02.2022'!$A$6:$DA$376,64,FALSE)</f>
        <v>0</v>
      </c>
      <c r="BM282" s="55">
        <f t="shared" si="339"/>
        <v>0</v>
      </c>
      <c r="BN282" s="566">
        <f>VLOOKUP($A282,'01-02.2021'!$A$6:$CZ$403,66,FALSE)+VLOOKUP($A282,'1.3.21-28.2.22'!$A$6:$DA$404,66,FALSE)-VLOOKUP($A282,'01-02.2022'!$A$6:$DA$376,66,FALSE)</f>
        <v>9.5045545474573601</v>
      </c>
      <c r="BO282" s="566">
        <f>VLOOKUP($A282,'01-02.2021'!$A$6:$CZ$403,67,FALSE)+VLOOKUP($A282,'1.3.21-28.2.22'!$A$6:$DA$404,67,FALSE)-VLOOKUP($A282,'01-02.2022'!$A$6:$DA$376,67,FALSE)</f>
        <v>0</v>
      </c>
      <c r="BP282" s="55">
        <f t="shared" si="340"/>
        <v>-9.5045545474573601</v>
      </c>
      <c r="BQ282" s="77">
        <f t="shared" si="287"/>
        <v>9.5045545474573601</v>
      </c>
      <c r="BR282" s="40">
        <f t="shared" si="315"/>
        <v>0</v>
      </c>
      <c r="BS282" s="55">
        <f t="shared" si="314"/>
        <v>-9.5045545474573601</v>
      </c>
      <c r="BT282" s="566">
        <f>VLOOKUP($A282,'01-02.2021'!$A$6:$CZ$403,72,FALSE)+VLOOKUP($A282,'1.3.21-28.2.22'!$A$6:$DA$404,72,FALSE)-VLOOKUP($A282,'01-02.2022'!$A$6:$DA$376,72,FALSE)</f>
        <v>235.88044768513038</v>
      </c>
      <c r="BU282" s="566">
        <f>VLOOKUP($A282,'01-02.2021'!$A$6:$CZ$403,73,FALSE)+VLOOKUP($A282,'1.3.21-28.2.22'!$A$6:$DA$404,73,FALSE)-VLOOKUP($A282,'01-02.2022'!$A$6:$DA$376,73,FALSE)</f>
        <v>365.9307281166665</v>
      </c>
      <c r="BV282" s="70">
        <f t="shared" si="341"/>
        <v>130.05028043153612</v>
      </c>
      <c r="BW282" s="566">
        <f>VLOOKUP($A282,'01-02.2021'!$A$6:$CZ$403,75,FALSE)+VLOOKUP($A282,'1.3.21-28.2.22'!$A$6:$DA$404,75,FALSE)-VLOOKUP($A282,'01-02.2022'!$A$6:$DA$376,75,FALSE)</f>
        <v>0</v>
      </c>
      <c r="BX282" s="566">
        <f>VLOOKUP($A282,'01-02.2021'!$A$6:$CZ$403,76,FALSE)+VLOOKUP($A282,'1.3.21-28.2.22'!$A$6:$DA$404,76,FALSE)-VLOOKUP($A282,'01-02.2022'!$A$6:$DA$376,76,FALSE)</f>
        <v>3.274333385785237</v>
      </c>
      <c r="BY282" s="70">
        <f t="shared" si="342"/>
        <v>3.274333385785237</v>
      </c>
      <c r="BZ282" s="566">
        <f>VLOOKUP($A282,'01-02.2021'!$A$6:$CZ$403,78,FALSE)+VLOOKUP($A282,'1.3.21-28.2.22'!$A$6:$DA$404,78,FALSE)-VLOOKUP($A282,'01-02.2022'!$A$6:$DA$376,78,FALSE)</f>
        <v>0</v>
      </c>
      <c r="CA282" s="566">
        <f>VLOOKUP($A282,'01-02.2021'!$A$6:$CZ$403,79,FALSE)+VLOOKUP($A282,'1.3.21-28.2.22'!$A$6:$DA$404,79,FALSE)-VLOOKUP($A282,'01-02.2022'!$A$6:$DA$376,79,FALSE)</f>
        <v>22.31515461030574</v>
      </c>
      <c r="CB282" s="70">
        <f t="shared" si="343"/>
        <v>22.31515461030574</v>
      </c>
      <c r="CC282" s="566">
        <f>VLOOKUP($A282,'01-02.2021'!$A$6:$CZ$403,81,FALSE)+VLOOKUP($A282,'1.3.21-28.2.22'!$A$6:$DA$404,81,FALSE)-VLOOKUP($A282,'01-02.2022'!$A$6:$DA$376,81,FALSE)</f>
        <v>0</v>
      </c>
      <c r="CD282" s="566">
        <f>VLOOKUP($A282,'01-02.2021'!$A$6:$CZ$403,82,FALSE)+VLOOKUP($A282,'1.3.21-28.2.22'!$A$6:$DA$404,82,FALSE)-VLOOKUP($A282,'01-02.2022'!$A$6:$DA$376,82,FALSE)</f>
        <v>0</v>
      </c>
      <c r="CE282" s="70">
        <f t="shared" si="344"/>
        <v>0</v>
      </c>
      <c r="CF282" s="566">
        <f>VLOOKUP($A282,'01-02.2021'!$A$6:$CZ$403,84,FALSE)+VLOOKUP($A282,'1.3.21-28.2.22'!$A$6:$DA$404,84,FALSE)-VLOOKUP($A282,'01-02.2022'!$A$6:$DA$376,84,FALSE)</f>
        <v>0</v>
      </c>
      <c r="CG282" s="566">
        <f>VLOOKUP($A282,'01-02.2021'!$A$6:$CZ$403,85,FALSE)+VLOOKUP($A282,'1.3.21-28.2.22'!$A$6:$DA$404,85,FALSE)-VLOOKUP($A282,'01-02.2022'!$A$6:$DA$376,85,FALSE)</f>
        <v>0</v>
      </c>
      <c r="CH282" s="70">
        <f t="shared" si="345"/>
        <v>0</v>
      </c>
      <c r="CI282" s="566">
        <f>VLOOKUP($A282,'01-02.2021'!$A$6:$CZ$403,87,FALSE)+VLOOKUP($A282,'1.3.21-28.2.22'!$A$6:$DA$404,87,FALSE)-VLOOKUP($A282,'01-02.2022'!$A$6:$DA$376,87,FALSE)</f>
        <v>0</v>
      </c>
      <c r="CJ282" s="566">
        <f>VLOOKUP($A282,'01-02.2021'!$A$6:$CZ$403,88,FALSE)+VLOOKUP($A282,'1.3.21-28.2.22'!$A$6:$DA$404,88,FALSE)-VLOOKUP($A282,'01-02.2022'!$A$6:$DA$376,88,FALSE)</f>
        <v>0</v>
      </c>
      <c r="CK282" s="70">
        <f t="shared" si="346"/>
        <v>0</v>
      </c>
      <c r="CL282" s="566">
        <f>VLOOKUP($A282,'01-02.2021'!$A$6:$CZ$403,90,FALSE)+VLOOKUP($A282,'1.3.21-28.2.22'!$A$6:$DA$404,90,FALSE)-VLOOKUP($A282,'01-02.2022'!$A$6:$DA$376,90,FALSE)</f>
        <v>0</v>
      </c>
      <c r="CM282" s="566">
        <f>VLOOKUP($A282,'01-02.2021'!$A$6:$CZ$403,91,FALSE)+VLOOKUP($A282,'1.3.21-28.2.22'!$A$6:$DA$404,91,FALSE)-VLOOKUP($A282,'01-02.2022'!$A$6:$DA$376,91,FALSE)</f>
        <v>0</v>
      </c>
      <c r="CN282" s="52">
        <f t="shared" si="303"/>
        <v>0</v>
      </c>
      <c r="CO282" s="39">
        <f t="shared" si="298"/>
        <v>0</v>
      </c>
      <c r="CP282" s="40">
        <f t="shared" si="304"/>
        <v>0</v>
      </c>
      <c r="CQ282" s="52">
        <f t="shared" si="305"/>
        <v>0</v>
      </c>
      <c r="CR282" s="72">
        <f t="shared" si="299"/>
        <v>2309.3375664811592</v>
      </c>
      <c r="CS282" s="5">
        <f t="shared" si="299"/>
        <v>3157.3525940279815</v>
      </c>
      <c r="CT282" s="52">
        <f t="shared" si="306"/>
        <v>848.01502754682224</v>
      </c>
      <c r="CU282" s="77">
        <f t="shared" si="307"/>
        <v>2771.2050797773909</v>
      </c>
      <c r="CV282" s="65">
        <f t="shared" si="308"/>
        <v>3788.8231128335774</v>
      </c>
      <c r="CW282" s="35">
        <f t="shared" si="309"/>
        <v>1017.6180330561865</v>
      </c>
      <c r="CX282" s="566">
        <f>VLOOKUP($A282,'01-02.2021'!$A$6:$CZ$403,102,FALSE)+VLOOKUP($A282,'1.3.21-28.2.22'!$A$6:$DA$404,102,FALSE)-VLOOKUP($A282,'01-02.2022'!$A$6:$DA$376,102,FALSE)</f>
        <v>78.664981644831769</v>
      </c>
      <c r="CY282" s="566">
        <f>VLOOKUP($A282,'01-02.2021'!$A$6:$CZ$403,103,FALSE)+VLOOKUP($A282,'1.3.21-28.2.22'!$A$6:$DA$404,103,FALSE)-VLOOKUP($A282,'01-02.2022'!$A$6:$DA$376,103,FALSE)</f>
        <v>-938.95305141135395</v>
      </c>
      <c r="CZ282" s="52">
        <f t="shared" si="310"/>
        <v>-1017.6180330561857</v>
      </c>
      <c r="DA282" s="150">
        <f>'[2]побудинковий звіт'!DA282</f>
        <v>-385.77783723262473</v>
      </c>
      <c r="DB282" s="2">
        <v>1</v>
      </c>
      <c r="DC282" s="414">
        <f>'[4]побудинковий звіт'!DC282</f>
        <v>567.41999999999996</v>
      </c>
      <c r="DD282" s="414">
        <f>'[4]побудинковий звіт'!DD282</f>
        <v>0</v>
      </c>
      <c r="DE282" s="557">
        <f>'[4]побудинковий звіт'!DE282</f>
        <v>308.72564198702662</v>
      </c>
      <c r="DF282" s="557">
        <f>'[4]побудинковий звіт'!DF282</f>
        <v>0</v>
      </c>
      <c r="DG282" s="321">
        <f>VLOOKUP(A282,'кошти 01.03.2021'!$A$6:$D$401,4,)</f>
        <v>-1135.7105347340712</v>
      </c>
      <c r="DH282" s="40">
        <f>'[3]побудинковий звіт'!DJ282</f>
        <v>2950.1477564126681</v>
      </c>
      <c r="DI282" s="422">
        <f>'[3]побудинковий звіт'!CU282+'[3]побудинковий звіт'!CX282</f>
        <v>258.69435801297334</v>
      </c>
      <c r="DJ282" s="306">
        <f>'[3]побудинковий звіт'!DM282</f>
        <v>1.7706663792811317</v>
      </c>
      <c r="DK282" s="306">
        <f t="shared" si="316"/>
        <v>1.7706663792811317</v>
      </c>
      <c r="DL282" s="306">
        <f>'[3]побудинковий звіт'!DO282</f>
        <v>1.7706663792811317</v>
      </c>
      <c r="DM282" s="28">
        <f t="shared" si="317"/>
        <v>258.69435801297334</v>
      </c>
      <c r="DN282" s="28">
        <f t="shared" si="318"/>
        <v>0</v>
      </c>
      <c r="DO282" s="423">
        <f t="shared" si="319"/>
        <v>258.69435801297334</v>
      </c>
      <c r="DP282" s="94">
        <f t="shared" si="320"/>
        <v>0</v>
      </c>
      <c r="DQ282" s="28">
        <f t="shared" si="321"/>
        <v>258.69435801297334</v>
      </c>
      <c r="DR282" s="318"/>
      <c r="DT282" s="8"/>
      <c r="DU282" s="5"/>
      <c r="DX282" s="5">
        <f t="shared" si="322"/>
        <v>1808.014478927543</v>
      </c>
      <c r="DY282" s="5">
        <f t="shared" si="323"/>
        <v>2206.7999999999997</v>
      </c>
      <c r="DZ282" s="159">
        <f>'[3]побудинковий звіт'!EA282</f>
        <v>181.28902300686084</v>
      </c>
    </row>
    <row r="283" spans="1:130" x14ac:dyDescent="0.3">
      <c r="A283" s="325">
        <v>150000752</v>
      </c>
      <c r="B283" s="41" t="s">
        <v>729</v>
      </c>
      <c r="C283" s="42" t="s">
        <v>387</v>
      </c>
      <c r="D283" s="42"/>
      <c r="E283" s="293">
        <f t="shared" si="296"/>
        <v>3990.7000000000003</v>
      </c>
      <c r="F283" s="305">
        <f>'[3]побудинковий звіт'!F283</f>
        <v>3818.4</v>
      </c>
      <c r="G283" s="508">
        <f>'[3]побудинковий звіт'!G283</f>
        <v>276.3</v>
      </c>
      <c r="H283" s="560">
        <f>'[3]побудинковий звіт'!H283</f>
        <v>172.3</v>
      </c>
      <c r="I283" s="566">
        <f>VLOOKUP($A283,'01-02.2021'!$A$6:$CZ$403,9,FALSE)+VLOOKUP($A283,'1.3.21-28.2.22'!$A$6:$DA$404,9,FALSE)-VLOOKUP($A283,'01-02.2022'!$A$6:$DA$376,9,FALSE)</f>
        <v>10899.041185889537</v>
      </c>
      <c r="J283" s="566">
        <f>VLOOKUP($A283,'01-02.2021'!$A$6:$CZ$403,10,FALSE)+VLOOKUP($A283,'1.3.21-28.2.22'!$A$6:$DA$404,10,FALSE)-VLOOKUP($A283,'01-02.2022'!$A$6:$DA$376,10,FALSE)</f>
        <v>9753.6819945263542</v>
      </c>
      <c r="K283" s="52">
        <f t="shared" si="300"/>
        <v>-1145.3591913631826</v>
      </c>
      <c r="L283" s="566">
        <f>VLOOKUP($A283,'01-02.2021'!$A$6:$CZ$403,12,FALSE)+VLOOKUP($A283,'1.3.21-28.2.22'!$A$6:$DA$404,12,FALSE)-VLOOKUP($A283,'01-02.2022'!$A$6:$DA$376,12,FALSE)</f>
        <v>1886.8574331860004</v>
      </c>
      <c r="M283" s="566">
        <f>VLOOKUP($A283,'01-02.2021'!$A$6:$CZ$403,13,FALSE)+VLOOKUP($A283,'1.3.21-28.2.22'!$A$6:$DA$404,13,FALSE)-VLOOKUP($A283,'01-02.2022'!$A$6:$DA$376,13,FALSE)</f>
        <v>1708.6869963123333</v>
      </c>
      <c r="N283" s="52">
        <f t="shared" si="301"/>
        <v>-178.17043687366709</v>
      </c>
      <c r="O283" s="566">
        <f>VLOOKUP($A283,'01-02.2021'!$A$6:$CZ$403,15,FALSE)+VLOOKUP($A283,'1.3.21-28.2.22'!$A$6:$DA$404,15,FALSE)-VLOOKUP($A283,'01-02.2022'!$A$6:$DA$376,15,FALSE)</f>
        <v>5361.735514365675</v>
      </c>
      <c r="P283" s="566">
        <f>VLOOKUP($A283,'01-02.2021'!$A$6:$CZ$403,16,FALSE)+VLOOKUP($A283,'1.3.21-28.2.22'!$A$6:$DA$404,16,FALSE)-VLOOKUP($A283,'01-02.2022'!$A$6:$DA$376,16,FALSE)</f>
        <v>5361.71</v>
      </c>
      <c r="Q283" s="70">
        <f t="shared" si="324"/>
        <v>-2.5514365675007866E-2</v>
      </c>
      <c r="R283" s="566">
        <f>VLOOKUP($A283,'01-02.2021'!$A$6:$CZ$403,18,FALSE)+VLOOKUP($A283,'1.3.21-28.2.22'!$A$6:$DA$404,18,FALSE)-VLOOKUP($A283,'01-02.2022'!$A$6:$DA$376,18,FALSE)</f>
        <v>1154.5585472245916</v>
      </c>
      <c r="S283" s="566">
        <f>VLOOKUP($A283,'01-02.2021'!$A$6:$CZ$403,19,FALSE)+VLOOKUP($A283,'1.3.21-28.2.22'!$A$6:$DA$404,19,FALSE)-VLOOKUP($A283,'01-02.2022'!$A$6:$DA$376,19,FALSE)</f>
        <v>1154.5700000000002</v>
      </c>
      <c r="T283" s="70">
        <f t="shared" si="325"/>
        <v>1.1452775408542948E-2</v>
      </c>
      <c r="U283" s="566">
        <f>VLOOKUP($A283,'01-02.2021'!$A$6:$CZ$403,21,FALSE)+VLOOKUP($A283,'1.3.21-28.2.22'!$A$6:$DA$404,21,FALSE)-VLOOKUP($A283,'01-02.2022'!$A$6:$DA$376,21,FALSE)</f>
        <v>671.36656966572173</v>
      </c>
      <c r="V283" s="566">
        <f>VLOOKUP($A283,'01-02.2021'!$A$6:$CZ$403,22,FALSE)+VLOOKUP($A283,'1.3.21-28.2.22'!$A$6:$DA$404,22,FALSE)-VLOOKUP($A283,'01-02.2022'!$A$6:$DA$376,22,FALSE)</f>
        <v>437.37825016120951</v>
      </c>
      <c r="W283" s="70">
        <f t="shared" si="326"/>
        <v>-233.98831950451222</v>
      </c>
      <c r="X283" s="566">
        <f>VLOOKUP($A283,'01-02.2021'!$A$6:$CZ$403,24,FALSE)+VLOOKUP($A283,'1.3.21-28.2.22'!$A$6:$DA$404,24,FALSE)-VLOOKUP($A283,'01-02.2022'!$A$6:$DA$376,24,FALSE)</f>
        <v>7208.1414074453587</v>
      </c>
      <c r="Y283" s="566">
        <f>VLOOKUP($A283,'01-02.2021'!$A$6:$CZ$403,25,FALSE)+VLOOKUP($A283,'1.3.21-28.2.22'!$A$6:$DA$404,25,FALSE)-VLOOKUP($A283,'01-02.2022'!$A$6:$DA$376,25,FALSE)</f>
        <v>5326.8375131472776</v>
      </c>
      <c r="Z283" s="70">
        <f t="shared" si="327"/>
        <v>-1881.3038942980811</v>
      </c>
      <c r="AA283" s="566">
        <f>VLOOKUP($A283,'01-02.2021'!$A$6:$CZ$403,27,FALSE)+VLOOKUP($A283,'1.3.21-28.2.22'!$A$6:$DA$404,27,FALSE)-VLOOKUP($A283,'01-02.2022'!$A$6:$DA$376,27,FALSE)</f>
        <v>798.1400000000001</v>
      </c>
      <c r="AB283" s="566">
        <f>VLOOKUP($A283,'01-02.2021'!$A$6:$CZ$403,28,FALSE)+VLOOKUP($A283,'1.3.21-28.2.22'!$A$6:$DA$404,28,FALSE)-VLOOKUP($A283,'01-02.2022'!$A$6:$DA$376,28,FALSE)</f>
        <v>0</v>
      </c>
      <c r="AC283" s="70">
        <f t="shared" si="328"/>
        <v>-798.1400000000001</v>
      </c>
      <c r="AD283" s="566">
        <f>VLOOKUP($A283,'01-02.2021'!$A$6:$CZ$403,30,FALSE)+VLOOKUP($A283,'1.3.21-28.2.22'!$A$6:$DA$404,30,FALSE)-VLOOKUP($A283,'01-02.2022'!$A$6:$DA$376,30,FALSE)</f>
        <v>17124.157250135002</v>
      </c>
      <c r="AE283" s="566">
        <f>VLOOKUP($A283,'01-02.2021'!$A$6:$CZ$403,31,FALSE)+VLOOKUP($A283,'1.3.21-28.2.22'!$A$6:$DA$404,31,FALSE)-VLOOKUP($A283,'01-02.2022'!$A$6:$DA$376,31,FALSE)</f>
        <v>18165.836207334927</v>
      </c>
      <c r="AF283" s="68">
        <f t="shared" si="329"/>
        <v>1041.6789571999252</v>
      </c>
      <c r="AG283" s="77">
        <f t="shared" si="297"/>
        <v>45103.997907911886</v>
      </c>
      <c r="AH283" s="53">
        <f t="shared" si="297"/>
        <v>41908.7009614821</v>
      </c>
      <c r="AI283" s="52">
        <f t="shared" si="302"/>
        <v>-3195.2969464297857</v>
      </c>
      <c r="AJ283" s="566">
        <f>VLOOKUP($A283,'01-02.2021'!$A$6:$CZ$403,36,FALSE)+VLOOKUP($A283,'1.3.21-28.2.22'!$A$6:$DA$404,36,FALSE)-VLOOKUP($A283,'01-02.2022'!$A$6:$DA$376,36,FALSE)</f>
        <v>35699.347662803324</v>
      </c>
      <c r="AK283" s="566">
        <f>VLOOKUP($A283,'01-02.2021'!$A$6:$CZ$403,37,FALSE)+VLOOKUP($A283,'1.3.21-28.2.22'!$A$6:$DA$404,37,FALSE)-VLOOKUP($A283,'01-02.2022'!$A$6:$DA$376,37,FALSE)</f>
        <v>35472.835377503543</v>
      </c>
      <c r="AL283" s="70">
        <f t="shared" si="330"/>
        <v>-226.51228529978107</v>
      </c>
      <c r="AM283" s="566">
        <f>VLOOKUP($A283,'01-02.2021'!$A$6:$CZ$403,39,FALSE)+VLOOKUP($A283,'1.3.21-28.2.22'!$A$6:$DA$404,39,FALSE)-VLOOKUP($A283,'01-02.2022'!$A$6:$DA$376,39,FALSE)</f>
        <v>0</v>
      </c>
      <c r="AN283" s="566">
        <f>VLOOKUP($A283,'01-02.2021'!$A$6:$CZ$403,40,FALSE)+VLOOKUP($A283,'1.3.21-28.2.22'!$A$6:$DA$404,40,FALSE)-VLOOKUP($A283,'01-02.2022'!$A$6:$DA$376,40,FALSE)</f>
        <v>0</v>
      </c>
      <c r="AO283" s="70">
        <f t="shared" si="331"/>
        <v>0</v>
      </c>
      <c r="AP283" s="566">
        <f>VLOOKUP($A283,'01-02.2021'!$A$6:$CZ$403,42,FALSE)+VLOOKUP($A283,'1.3.21-28.2.22'!$A$6:$DA$404,42,FALSE)-VLOOKUP($A283,'01-02.2022'!$A$6:$DA$376,42,FALSE)</f>
        <v>2949.8395750724053</v>
      </c>
      <c r="AQ283" s="566">
        <f>VLOOKUP($A283,'01-02.2021'!$A$6:$CZ$403,43,FALSE)+VLOOKUP($A283,'1.3.21-28.2.22'!$A$6:$DA$404,43,FALSE)-VLOOKUP($A283,'01-02.2022'!$A$6:$DA$376,43,FALSE)</f>
        <v>2787.9913835060997</v>
      </c>
      <c r="AR283" s="70">
        <f t="shared" si="332"/>
        <v>-161.84819156630556</v>
      </c>
      <c r="AS283" s="566">
        <f>VLOOKUP($A283,'01-02.2021'!$A$6:$CZ$403,45,FALSE)+VLOOKUP($A283,'1.3.21-28.2.22'!$A$6:$DA$404,45,FALSE)-VLOOKUP($A283,'01-02.2022'!$A$6:$DA$376,45,FALSE)</f>
        <v>57046.439167106029</v>
      </c>
      <c r="AT283" s="566">
        <f>VLOOKUP($A283,'01-02.2021'!$A$6:$CZ$403,46,FALSE)+VLOOKUP($A283,'1.3.21-28.2.22'!$A$6:$DA$404,46,FALSE)-VLOOKUP($A283,'01-02.2022'!$A$6:$DA$376,46,FALSE)</f>
        <v>24272.47</v>
      </c>
      <c r="AU283" s="78">
        <f t="shared" si="333"/>
        <v>-32773.969167106028</v>
      </c>
      <c r="AV283" s="566">
        <f>VLOOKUP($A283,'01-02.2021'!$A$6:$CZ$403,48,FALSE)+VLOOKUP($A283,'1.3.21-28.2.22'!$A$6:$DA$404,48,FALSE)-VLOOKUP($A283,'01-02.2022'!$A$6:$DA$376,48,FALSE)</f>
        <v>2458.8228612909279</v>
      </c>
      <c r="AW283" s="566">
        <f>VLOOKUP($A283,'01-02.2021'!$A$6:$CZ$403,49,FALSE)+VLOOKUP($A283,'1.3.21-28.2.22'!$A$6:$DA$404,49,FALSE)-VLOOKUP($A283,'01-02.2022'!$A$6:$DA$376,49,FALSE)</f>
        <v>8358</v>
      </c>
      <c r="AX283" s="55">
        <f t="shared" si="334"/>
        <v>5899.1771387090721</v>
      </c>
      <c r="AY283" s="566">
        <f>VLOOKUP($A283,'01-02.2021'!$A$6:$CZ$403,51,FALSE)+VLOOKUP($A283,'1.3.21-28.2.22'!$A$6:$DA$404,51,FALSE)-VLOOKUP($A283,'01-02.2022'!$A$6:$DA$376,51,FALSE)</f>
        <v>2874.9265759928549</v>
      </c>
      <c r="AZ283" s="566">
        <f>VLOOKUP($A283,'01-02.2021'!$A$6:$CZ$403,52,FALSE)+VLOOKUP($A283,'1.3.21-28.2.22'!$A$6:$DA$404,52,FALSE)-VLOOKUP($A283,'01-02.2022'!$A$6:$DA$376,52,FALSE)</f>
        <v>1507</v>
      </c>
      <c r="BA283" s="38">
        <f t="shared" si="335"/>
        <v>-1367.9265759928549</v>
      </c>
      <c r="BB283" s="566">
        <f>VLOOKUP($A283,'01-02.2021'!$A$6:$CZ$403,54,FALSE)+VLOOKUP($A283,'1.3.21-28.2.22'!$A$6:$DA$404,54,FALSE)-VLOOKUP($A283,'01-02.2022'!$A$6:$DA$376,54,FALSE)</f>
        <v>1899.2977584875662</v>
      </c>
      <c r="BC283" s="566">
        <f>VLOOKUP($A283,'01-02.2021'!$A$6:$CZ$403,55,FALSE)+VLOOKUP($A283,'1.3.21-28.2.22'!$A$6:$DA$404,55,FALSE)-VLOOKUP($A283,'01-02.2022'!$A$6:$DA$376,55,FALSE)</f>
        <v>2305.7399999999998</v>
      </c>
      <c r="BD283" s="55">
        <f t="shared" si="336"/>
        <v>406.44224151243361</v>
      </c>
      <c r="BE283" s="566">
        <f>VLOOKUP($A283,'01-02.2021'!$A$6:$CZ$403,57,FALSE)+VLOOKUP($A283,'1.3.21-28.2.22'!$A$6:$DA$404,57,FALSE)-VLOOKUP($A283,'01-02.2022'!$A$6:$DA$376,57,FALSE)</f>
        <v>2429.8954117266221</v>
      </c>
      <c r="BF283" s="566">
        <f>VLOOKUP($A283,'01-02.2021'!$A$6:$CZ$403,58,FALSE)+VLOOKUP($A283,'1.3.21-28.2.22'!$A$6:$DA$404,58,FALSE)-VLOOKUP($A283,'01-02.2022'!$A$6:$DA$376,58,FALSE)</f>
        <v>0</v>
      </c>
      <c r="BG283" s="55">
        <f t="shared" si="337"/>
        <v>-2429.8954117266221</v>
      </c>
      <c r="BH283" s="566">
        <f>VLOOKUP($A283,'01-02.2021'!$A$6:$CZ$403,60,FALSE)+VLOOKUP($A283,'1.3.21-28.2.22'!$A$6:$DA$404,60,FALSE)-VLOOKUP($A283,'01-02.2022'!$A$6:$DA$376,60,FALSE)</f>
        <v>1275.6779514917541</v>
      </c>
      <c r="BI283" s="566">
        <f>VLOOKUP($A283,'01-02.2021'!$A$6:$CZ$403,61,FALSE)+VLOOKUP($A283,'1.3.21-28.2.22'!$A$6:$DA$404,61,FALSE)-VLOOKUP($A283,'01-02.2022'!$A$6:$DA$376,61,FALSE)</f>
        <v>0</v>
      </c>
      <c r="BJ283" s="55">
        <f t="shared" si="338"/>
        <v>-1275.6779514917541</v>
      </c>
      <c r="BK283" s="566">
        <f>VLOOKUP($A283,'01-02.2021'!$A$6:$CZ$403,63,FALSE)+VLOOKUP($A283,'1.3.21-28.2.22'!$A$6:$DA$404,63,FALSE)-VLOOKUP($A283,'01-02.2022'!$A$6:$DA$376,63,FALSE)</f>
        <v>1916.9912637376976</v>
      </c>
      <c r="BL283" s="566">
        <f>VLOOKUP($A283,'01-02.2021'!$A$6:$CZ$403,64,FALSE)+VLOOKUP($A283,'1.3.21-28.2.22'!$A$6:$DA$404,64,FALSE)-VLOOKUP($A283,'01-02.2022'!$A$6:$DA$376,64,FALSE)</f>
        <v>0</v>
      </c>
      <c r="BM283" s="55">
        <f t="shared" si="339"/>
        <v>-1916.9912637376976</v>
      </c>
      <c r="BN283" s="566">
        <f>VLOOKUP($A283,'01-02.2021'!$A$6:$CZ$403,66,FALSE)+VLOOKUP($A283,'1.3.21-28.2.22'!$A$6:$DA$404,66,FALSE)-VLOOKUP($A283,'01-02.2022'!$A$6:$DA$376,66,FALSE)</f>
        <v>495.01568398068702</v>
      </c>
      <c r="BO283" s="566">
        <f>VLOOKUP($A283,'01-02.2021'!$A$6:$CZ$403,67,FALSE)+VLOOKUP($A283,'1.3.21-28.2.22'!$A$6:$DA$404,67,FALSE)-VLOOKUP($A283,'01-02.2022'!$A$6:$DA$376,67,FALSE)</f>
        <v>0</v>
      </c>
      <c r="BP283" s="55">
        <f t="shared" si="340"/>
        <v>-495.01568398068702</v>
      </c>
      <c r="BQ283" s="77">
        <f t="shared" si="287"/>
        <v>13350.627506708111</v>
      </c>
      <c r="BR283" s="40">
        <f t="shared" si="315"/>
        <v>12170.74</v>
      </c>
      <c r="BS283" s="55">
        <f t="shared" si="314"/>
        <v>-1179.8875067081117</v>
      </c>
      <c r="BT283" s="566">
        <f>VLOOKUP($A283,'01-02.2021'!$A$6:$CZ$403,72,FALSE)+VLOOKUP($A283,'1.3.21-28.2.22'!$A$6:$DA$404,72,FALSE)-VLOOKUP($A283,'01-02.2022'!$A$6:$DA$376,72,FALSE)</f>
        <v>40815.286798065958</v>
      </c>
      <c r="BU283" s="566">
        <f>VLOOKUP($A283,'01-02.2021'!$A$6:$CZ$403,73,FALSE)+VLOOKUP($A283,'1.3.21-28.2.22'!$A$6:$DA$404,73,FALSE)-VLOOKUP($A283,'01-02.2022'!$A$6:$DA$376,73,FALSE)</f>
        <v>33997.794086253161</v>
      </c>
      <c r="BV283" s="70">
        <f t="shared" si="341"/>
        <v>-6817.4927118127962</v>
      </c>
      <c r="BW283" s="566">
        <f>VLOOKUP($A283,'01-02.2021'!$A$6:$CZ$403,75,FALSE)+VLOOKUP($A283,'1.3.21-28.2.22'!$A$6:$DA$404,75,FALSE)-VLOOKUP($A283,'01-02.2022'!$A$6:$DA$376,75,FALSE)</f>
        <v>41309.660853375215</v>
      </c>
      <c r="BX283" s="566">
        <f>VLOOKUP($A283,'01-02.2021'!$A$6:$CZ$403,76,FALSE)+VLOOKUP($A283,'1.3.21-28.2.22'!$A$6:$DA$404,76,FALSE)-VLOOKUP($A283,'01-02.2022'!$A$6:$DA$376,76,FALSE)</f>
        <v>32039.155827421466</v>
      </c>
      <c r="BY283" s="70">
        <f t="shared" si="342"/>
        <v>-9270.5050259537493</v>
      </c>
      <c r="BZ283" s="566">
        <f>VLOOKUP($A283,'01-02.2021'!$A$6:$CZ$403,78,FALSE)+VLOOKUP($A283,'1.3.21-28.2.22'!$A$6:$DA$404,78,FALSE)-VLOOKUP($A283,'01-02.2022'!$A$6:$DA$376,78,FALSE)</f>
        <v>8239.2450384986641</v>
      </c>
      <c r="CA283" s="566">
        <f>VLOOKUP($A283,'01-02.2021'!$A$6:$CZ$403,79,FALSE)+VLOOKUP($A283,'1.3.21-28.2.22'!$A$6:$DA$404,79,FALSE)-VLOOKUP($A283,'01-02.2022'!$A$6:$DA$376,79,FALSE)</f>
        <v>11177.155550046087</v>
      </c>
      <c r="CB283" s="70">
        <f t="shared" si="343"/>
        <v>2937.9105115474231</v>
      </c>
      <c r="CC283" s="566">
        <f>VLOOKUP($A283,'01-02.2021'!$A$6:$CZ$403,81,FALSE)+VLOOKUP($A283,'1.3.21-28.2.22'!$A$6:$DA$404,81,FALSE)-VLOOKUP($A283,'01-02.2022'!$A$6:$DA$376,81,FALSE)</f>
        <v>1343.3527493657971</v>
      </c>
      <c r="CD283" s="566">
        <f>VLOOKUP($A283,'01-02.2021'!$A$6:$CZ$403,82,FALSE)+VLOOKUP($A283,'1.3.21-28.2.22'!$A$6:$DA$404,82,FALSE)-VLOOKUP($A283,'01-02.2022'!$A$6:$DA$376,82,FALSE)</f>
        <v>1463.0568865235318</v>
      </c>
      <c r="CE283" s="70">
        <f t="shared" si="344"/>
        <v>119.70413715773475</v>
      </c>
      <c r="CF283" s="566">
        <f>VLOOKUP($A283,'01-02.2021'!$A$6:$CZ$403,84,FALSE)+VLOOKUP($A283,'1.3.21-28.2.22'!$A$6:$DA$404,84,FALSE)-VLOOKUP($A283,'01-02.2022'!$A$6:$DA$376,84,FALSE)</f>
        <v>162.73178234280653</v>
      </c>
      <c r="CG283" s="566">
        <f>VLOOKUP($A283,'01-02.2021'!$A$6:$CZ$403,85,FALSE)+VLOOKUP($A283,'1.3.21-28.2.22'!$A$6:$DA$404,85,FALSE)-VLOOKUP($A283,'01-02.2022'!$A$6:$DA$376,85,FALSE)</f>
        <v>0</v>
      </c>
      <c r="CH283" s="70">
        <f t="shared" si="345"/>
        <v>-162.73178234280653</v>
      </c>
      <c r="CI283" s="566">
        <f>VLOOKUP($A283,'01-02.2021'!$A$6:$CZ$403,87,FALSE)+VLOOKUP($A283,'1.3.21-28.2.22'!$A$6:$DA$404,87,FALSE)-VLOOKUP($A283,'01-02.2022'!$A$6:$DA$376,87,FALSE)</f>
        <v>4102.422608792589</v>
      </c>
      <c r="CJ283" s="566">
        <f>VLOOKUP($A283,'01-02.2021'!$A$6:$CZ$403,88,FALSE)+VLOOKUP($A283,'1.3.21-28.2.22'!$A$6:$DA$404,88,FALSE)-VLOOKUP($A283,'01-02.2022'!$A$6:$DA$376,88,FALSE)</f>
        <v>2927.1800068716011</v>
      </c>
      <c r="CK283" s="70">
        <f t="shared" si="346"/>
        <v>-1175.2426019209879</v>
      </c>
      <c r="CL283" s="566">
        <f>VLOOKUP($A283,'01-02.2021'!$A$6:$CZ$403,90,FALSE)+VLOOKUP($A283,'1.3.21-28.2.22'!$A$6:$DA$404,90,FALSE)-VLOOKUP($A283,'01-02.2022'!$A$6:$DA$376,90,FALSE)</f>
        <v>14484.873178858452</v>
      </c>
      <c r="CM283" s="566">
        <f>VLOOKUP($A283,'01-02.2021'!$A$6:$CZ$403,91,FALSE)+VLOOKUP($A283,'1.3.21-28.2.22'!$A$6:$DA$404,91,FALSE)-VLOOKUP($A283,'01-02.2022'!$A$6:$DA$376,91,FALSE)</f>
        <v>11559.26775710605</v>
      </c>
      <c r="CN283" s="52">
        <f t="shared" si="303"/>
        <v>-2925.6054217524015</v>
      </c>
      <c r="CO283" s="39">
        <f t="shared" si="298"/>
        <v>18587.295787651041</v>
      </c>
      <c r="CP283" s="40">
        <f t="shared" si="304"/>
        <v>14486.447763977652</v>
      </c>
      <c r="CQ283" s="52">
        <f t="shared" si="305"/>
        <v>-4100.8480236733885</v>
      </c>
      <c r="CR283" s="72">
        <f t="shared" si="299"/>
        <v>264607.82482890121</v>
      </c>
      <c r="CS283" s="5">
        <f t="shared" si="299"/>
        <v>209776.34783671366</v>
      </c>
      <c r="CT283" s="52">
        <f t="shared" si="306"/>
        <v>-54831.476992187556</v>
      </c>
      <c r="CU283" s="77">
        <f t="shared" si="307"/>
        <v>317529.38979468145</v>
      </c>
      <c r="CV283" s="65">
        <f t="shared" si="308"/>
        <v>251731.61740405636</v>
      </c>
      <c r="CW283" s="35">
        <f t="shared" si="309"/>
        <v>-65797.77239062509</v>
      </c>
      <c r="CX283" s="566">
        <f>VLOOKUP($A283,'01-02.2021'!$A$6:$CZ$403,102,FALSE)+VLOOKUP($A283,'1.3.21-28.2.22'!$A$6:$DA$404,102,FALSE)-VLOOKUP($A283,'01-02.2022'!$A$6:$DA$376,102,FALSE)</f>
        <v>11109.073874230453</v>
      </c>
      <c r="CY283" s="566">
        <f>VLOOKUP($A283,'01-02.2021'!$A$6:$CZ$403,103,FALSE)+VLOOKUP($A283,'1.3.21-28.2.22'!$A$6:$DA$404,103,FALSE)-VLOOKUP($A283,'01-02.2022'!$A$6:$DA$376,103,FALSE)</f>
        <v>76906.846264855558</v>
      </c>
      <c r="CZ283" s="52">
        <f t="shared" si="310"/>
        <v>65797.772390625105</v>
      </c>
      <c r="DA283" s="150">
        <f>'[2]побудинковий звіт'!DA283</f>
        <v>75722.048386743554</v>
      </c>
      <c r="DB283" s="2">
        <v>1</v>
      </c>
      <c r="DC283" s="414">
        <f>'[4]побудинковий звіт'!DC283</f>
        <v>52328.800000000003</v>
      </c>
      <c r="DD283" s="414">
        <f>'[4]побудинковий звіт'!DD283</f>
        <v>0.17</v>
      </c>
      <c r="DE283" s="557">
        <f>'[4]побудинковий звіт'!DE283</f>
        <v>23497.058873240112</v>
      </c>
      <c r="DF283" s="557">
        <f>'[4]побудинковий звіт'!DF283</f>
        <v>-829.65126998021867</v>
      </c>
      <c r="DG283" s="321">
        <f>VLOOKUP(A283,'кошти 01.03.2021'!$A$6:$D$401,4,)</f>
        <v>-3146.9673495651223</v>
      </c>
      <c r="DH283" s="40">
        <f>'[3]побудинковий звіт'!DJ283</f>
        <v>339383.04283131612</v>
      </c>
      <c r="DI283" s="422">
        <f>'[3]побудинковий звіт'!CU283+'[3]побудинковий звіт'!CX283</f>
        <v>29661.562396740112</v>
      </c>
      <c r="DJ283" s="306">
        <f>'[3]побудинковий звіт'!DM283</f>
        <v>6.1147289173784554</v>
      </c>
      <c r="DK283" s="306">
        <f>'[3]побудинковий звіт'!DN283</f>
        <v>7.6627541647294617</v>
      </c>
      <c r="DL283" s="306">
        <f>'[3]побудинковий звіт'!DO283</f>
        <v>4.8161420196182156</v>
      </c>
      <c r="DM283" s="28">
        <f t="shared" ref="DM283:DM288" si="347">DJ283*G283+(F283-G283)*DK283</f>
        <v>28831.741126759891</v>
      </c>
      <c r="DN283" s="28">
        <f>DL283*H283</f>
        <v>829.82126998021863</v>
      </c>
      <c r="DO283" s="423">
        <f t="shared" si="319"/>
        <v>29661.562396740108</v>
      </c>
      <c r="DP283" s="94">
        <f t="shared" si="320"/>
        <v>0</v>
      </c>
      <c r="DQ283" s="28">
        <f t="shared" si="321"/>
        <v>29661.562396740108</v>
      </c>
      <c r="DR283" s="318"/>
      <c r="DT283" s="8"/>
      <c r="DU283" s="5"/>
      <c r="DX283" s="5">
        <f t="shared" si="322"/>
        <v>84476.480008576968</v>
      </c>
      <c r="DY283" s="5">
        <f t="shared" si="323"/>
        <v>43731.851999999999</v>
      </c>
      <c r="DZ283" s="159">
        <f>'[3]побудинковий звіт'!EA283</f>
        <v>8137.6692232802343</v>
      </c>
    </row>
    <row r="284" spans="1:130" x14ac:dyDescent="0.3">
      <c r="A284" s="325">
        <v>150000760</v>
      </c>
      <c r="B284" s="41" t="s">
        <v>730</v>
      </c>
      <c r="C284" s="42" t="s">
        <v>388</v>
      </c>
      <c r="D284" s="42"/>
      <c r="E284" s="293">
        <f t="shared" si="296"/>
        <v>11337.62</v>
      </c>
      <c r="F284" s="305">
        <f>'[3]побудинковий звіт'!F284</f>
        <v>11337.62</v>
      </c>
      <c r="G284" s="508">
        <f>'[3]побудинковий звіт'!G284</f>
        <v>1200.4000000000001</v>
      </c>
      <c r="H284" s="560">
        <f>'[3]побудинковий звіт'!H284</f>
        <v>0</v>
      </c>
      <c r="I284" s="566">
        <f>VLOOKUP($A284,'01-02.2021'!$A$6:$CZ$403,9,FALSE)+VLOOKUP($A284,'1.3.21-28.2.22'!$A$6:$DA$404,9,FALSE)-VLOOKUP($A284,'01-02.2022'!$A$6:$DA$376,9,FALSE)</f>
        <v>25536.083563927445</v>
      </c>
      <c r="J284" s="566">
        <f>VLOOKUP($A284,'01-02.2021'!$A$6:$CZ$403,10,FALSE)+VLOOKUP($A284,'1.3.21-28.2.22'!$A$6:$DA$404,10,FALSE)-VLOOKUP($A284,'01-02.2022'!$A$6:$DA$376,10,FALSE)</f>
        <v>28588.227326970002</v>
      </c>
      <c r="K284" s="52">
        <f t="shared" si="300"/>
        <v>3052.1437630425571</v>
      </c>
      <c r="L284" s="566">
        <f>VLOOKUP($A284,'01-02.2021'!$A$6:$CZ$403,12,FALSE)+VLOOKUP($A284,'1.3.21-28.2.22'!$A$6:$DA$404,12,FALSE)-VLOOKUP($A284,'01-02.2022'!$A$6:$DA$376,12,FALSE)</f>
        <v>7892.0700528572243</v>
      </c>
      <c r="M284" s="566">
        <f>VLOOKUP($A284,'01-02.2021'!$A$6:$CZ$403,13,FALSE)+VLOOKUP($A284,'1.3.21-28.2.22'!$A$6:$DA$404,13,FALSE)-VLOOKUP($A284,'01-02.2022'!$A$6:$DA$376,13,FALSE)</f>
        <v>8737.3584521568173</v>
      </c>
      <c r="N284" s="52">
        <f t="shared" si="301"/>
        <v>845.28839929959304</v>
      </c>
      <c r="O284" s="566">
        <f>VLOOKUP($A284,'01-02.2021'!$A$6:$CZ$403,15,FALSE)+VLOOKUP($A284,'1.3.21-28.2.22'!$A$6:$DA$404,15,FALSE)-VLOOKUP($A284,'01-02.2022'!$A$6:$DA$376,15,FALSE)</f>
        <v>14517.914219616479</v>
      </c>
      <c r="P284" s="566">
        <f>VLOOKUP($A284,'01-02.2021'!$A$6:$CZ$403,16,FALSE)+VLOOKUP($A284,'1.3.21-28.2.22'!$A$6:$DA$404,16,FALSE)-VLOOKUP($A284,'01-02.2022'!$A$6:$DA$376,16,FALSE)</f>
        <v>14520.799999999996</v>
      </c>
      <c r="Q284" s="70">
        <f t="shared" si="324"/>
        <v>2.8857803835162485</v>
      </c>
      <c r="R284" s="566">
        <f>VLOOKUP($A284,'01-02.2021'!$A$6:$CZ$403,18,FALSE)+VLOOKUP($A284,'1.3.21-28.2.22'!$A$6:$DA$404,18,FALSE)-VLOOKUP($A284,'01-02.2022'!$A$6:$DA$376,18,FALSE)</f>
        <v>3302.8443471623091</v>
      </c>
      <c r="S284" s="566">
        <f>VLOOKUP($A284,'01-02.2021'!$A$6:$CZ$403,19,FALSE)+VLOOKUP($A284,'1.3.21-28.2.22'!$A$6:$DA$404,19,FALSE)-VLOOKUP($A284,'01-02.2022'!$A$6:$DA$376,19,FALSE)</f>
        <v>3303.0666666666662</v>
      </c>
      <c r="T284" s="70">
        <f t="shared" si="325"/>
        <v>0.22231950435707404</v>
      </c>
      <c r="U284" s="566">
        <f>VLOOKUP($A284,'01-02.2021'!$A$6:$CZ$403,21,FALSE)+VLOOKUP($A284,'1.3.21-28.2.22'!$A$6:$DA$404,21,FALSE)-VLOOKUP($A284,'01-02.2022'!$A$6:$DA$376,21,FALSE)</f>
        <v>1007.187849608177</v>
      </c>
      <c r="V284" s="566">
        <f>VLOOKUP($A284,'01-02.2021'!$A$6:$CZ$403,22,FALSE)+VLOOKUP($A284,'1.3.21-28.2.22'!$A$6:$DA$404,22,FALSE)-VLOOKUP($A284,'01-02.2022'!$A$6:$DA$376,22,FALSE)</f>
        <v>3332.7124816084361</v>
      </c>
      <c r="W284" s="70">
        <f t="shared" si="326"/>
        <v>2325.5246320002589</v>
      </c>
      <c r="X284" s="566">
        <f>VLOOKUP($A284,'01-02.2021'!$A$6:$CZ$403,24,FALSE)+VLOOKUP($A284,'1.3.21-28.2.22'!$A$6:$DA$404,24,FALSE)-VLOOKUP($A284,'01-02.2022'!$A$6:$DA$376,24,FALSE)</f>
        <v>21095.531084315196</v>
      </c>
      <c r="Y284" s="566">
        <f>VLOOKUP($A284,'01-02.2021'!$A$6:$CZ$403,25,FALSE)+VLOOKUP($A284,'1.3.21-28.2.22'!$A$6:$DA$404,25,FALSE)-VLOOKUP($A284,'01-02.2022'!$A$6:$DA$376,25,FALSE)</f>
        <v>18104.566676325416</v>
      </c>
      <c r="Z284" s="70">
        <f t="shared" si="327"/>
        <v>-2990.9644079897807</v>
      </c>
      <c r="AA284" s="566">
        <f>VLOOKUP($A284,'01-02.2021'!$A$6:$CZ$403,27,FALSE)+VLOOKUP($A284,'1.3.21-28.2.22'!$A$6:$DA$404,27,FALSE)-VLOOKUP($A284,'01-02.2022'!$A$6:$DA$376,27,FALSE)</f>
        <v>2267.5439999999999</v>
      </c>
      <c r="AB284" s="566">
        <f>VLOOKUP($A284,'01-02.2021'!$A$6:$CZ$403,28,FALSE)+VLOOKUP($A284,'1.3.21-28.2.22'!$A$6:$DA$404,28,FALSE)-VLOOKUP($A284,'01-02.2022'!$A$6:$DA$376,28,FALSE)</f>
        <v>0</v>
      </c>
      <c r="AC284" s="70">
        <f t="shared" si="328"/>
        <v>-2267.5439999999999</v>
      </c>
      <c r="AD284" s="566">
        <f>VLOOKUP($A284,'01-02.2021'!$A$6:$CZ$403,30,FALSE)+VLOOKUP($A284,'1.3.21-28.2.22'!$A$6:$DA$404,30,FALSE)-VLOOKUP($A284,'01-02.2022'!$A$6:$DA$376,30,FALSE)</f>
        <v>48698.500239781897</v>
      </c>
      <c r="AE284" s="566">
        <f>VLOOKUP($A284,'01-02.2021'!$A$6:$CZ$403,31,FALSE)+VLOOKUP($A284,'1.3.21-28.2.22'!$A$6:$DA$404,31,FALSE)-VLOOKUP($A284,'01-02.2022'!$A$6:$DA$376,31,FALSE)</f>
        <v>51609.537154339072</v>
      </c>
      <c r="AF284" s="68">
        <f t="shared" si="329"/>
        <v>2911.0369145571749</v>
      </c>
      <c r="AG284" s="77">
        <f t="shared" si="297"/>
        <v>124317.67535726872</v>
      </c>
      <c r="AH284" s="53">
        <f t="shared" si="297"/>
        <v>128196.26875806641</v>
      </c>
      <c r="AI284" s="52">
        <f t="shared" si="302"/>
        <v>3878.5934007976903</v>
      </c>
      <c r="AJ284" s="566">
        <f>VLOOKUP($A284,'01-02.2021'!$A$6:$CZ$403,36,FALSE)+VLOOKUP($A284,'1.3.21-28.2.22'!$A$6:$DA$404,36,FALSE)-VLOOKUP($A284,'01-02.2022'!$A$6:$DA$376,36,FALSE)</f>
        <v>81859.735246238677</v>
      </c>
      <c r="AK284" s="566">
        <f>VLOOKUP($A284,'01-02.2021'!$A$6:$CZ$403,37,FALSE)+VLOOKUP($A284,'1.3.21-28.2.22'!$A$6:$DA$404,37,FALSE)-VLOOKUP($A284,'01-02.2022'!$A$6:$DA$376,37,FALSE)</f>
        <v>81243.220609286203</v>
      </c>
      <c r="AL284" s="70">
        <f t="shared" si="330"/>
        <v>-616.51463695247367</v>
      </c>
      <c r="AM284" s="566">
        <f>VLOOKUP($A284,'01-02.2021'!$A$6:$CZ$403,39,FALSE)+VLOOKUP($A284,'1.3.21-28.2.22'!$A$6:$DA$404,39,FALSE)-VLOOKUP($A284,'01-02.2022'!$A$6:$DA$376,39,FALSE)</f>
        <v>8676.7258310482594</v>
      </c>
      <c r="AN284" s="566">
        <f>VLOOKUP($A284,'01-02.2021'!$A$6:$CZ$403,40,FALSE)+VLOOKUP($A284,'1.3.21-28.2.22'!$A$6:$DA$404,40,FALSE)-VLOOKUP($A284,'01-02.2022'!$A$6:$DA$376,40,FALSE)</f>
        <v>5875.9455215970556</v>
      </c>
      <c r="AO284" s="70">
        <f t="shared" si="331"/>
        <v>-2800.7803094512037</v>
      </c>
      <c r="AP284" s="566">
        <f>VLOOKUP($A284,'01-02.2021'!$A$6:$CZ$403,42,FALSE)+VLOOKUP($A284,'1.3.21-28.2.22'!$A$6:$DA$404,42,FALSE)-VLOOKUP($A284,'01-02.2022'!$A$6:$DA$376,42,FALSE)</f>
        <v>9370.0786502299943</v>
      </c>
      <c r="AQ284" s="566">
        <f>VLOOKUP($A284,'01-02.2021'!$A$6:$CZ$403,43,FALSE)+VLOOKUP($A284,'1.3.21-28.2.22'!$A$6:$DA$404,43,FALSE)-VLOOKUP($A284,'01-02.2022'!$A$6:$DA$376,43,FALSE)</f>
        <v>8030.8630731758967</v>
      </c>
      <c r="AR284" s="70">
        <f t="shared" si="332"/>
        <v>-1339.2155770540976</v>
      </c>
      <c r="AS284" s="566">
        <f>VLOOKUP($A284,'01-02.2021'!$A$6:$CZ$403,45,FALSE)+VLOOKUP($A284,'1.3.21-28.2.22'!$A$6:$DA$404,45,FALSE)-VLOOKUP($A284,'01-02.2022'!$A$6:$DA$376,45,FALSE)</f>
        <v>154987.72941085784</v>
      </c>
      <c r="AT284" s="566">
        <f>VLOOKUP($A284,'01-02.2021'!$A$6:$CZ$403,46,FALSE)+VLOOKUP($A284,'1.3.21-28.2.22'!$A$6:$DA$404,46,FALSE)-VLOOKUP($A284,'01-02.2022'!$A$6:$DA$376,46,FALSE)</f>
        <v>152940.31527704076</v>
      </c>
      <c r="AU284" s="78">
        <f t="shared" si="333"/>
        <v>-2047.4141338170739</v>
      </c>
      <c r="AV284" s="566">
        <f>VLOOKUP($A284,'01-02.2021'!$A$6:$CZ$403,48,FALSE)+VLOOKUP($A284,'1.3.21-28.2.22'!$A$6:$DA$404,48,FALSE)-VLOOKUP($A284,'01-02.2022'!$A$6:$DA$376,48,FALSE)</f>
        <v>5462.0801124317823</v>
      </c>
      <c r="AW284" s="566">
        <f>VLOOKUP($A284,'01-02.2021'!$A$6:$CZ$403,49,FALSE)+VLOOKUP($A284,'1.3.21-28.2.22'!$A$6:$DA$404,49,FALSE)-VLOOKUP($A284,'01-02.2022'!$A$6:$DA$376,49,FALSE)</f>
        <v>1561</v>
      </c>
      <c r="AX284" s="55">
        <f t="shared" si="334"/>
        <v>-3901.0801124317823</v>
      </c>
      <c r="AY284" s="566">
        <f>VLOOKUP($A284,'01-02.2021'!$A$6:$CZ$403,51,FALSE)+VLOOKUP($A284,'1.3.21-28.2.22'!$A$6:$DA$404,51,FALSE)-VLOOKUP($A284,'01-02.2022'!$A$6:$DA$376,51,FALSE)</f>
        <v>11955.814955702901</v>
      </c>
      <c r="AZ284" s="566">
        <f>VLOOKUP($A284,'01-02.2021'!$A$6:$CZ$403,52,FALSE)+VLOOKUP($A284,'1.3.21-28.2.22'!$A$6:$DA$404,52,FALSE)-VLOOKUP($A284,'01-02.2022'!$A$6:$DA$376,52,FALSE)</f>
        <v>8597</v>
      </c>
      <c r="BA284" s="38">
        <f t="shared" si="335"/>
        <v>-3358.814955702901</v>
      </c>
      <c r="BB284" s="566">
        <f>VLOOKUP($A284,'01-02.2021'!$A$6:$CZ$403,54,FALSE)+VLOOKUP($A284,'1.3.21-28.2.22'!$A$6:$DA$404,54,FALSE)-VLOOKUP($A284,'01-02.2022'!$A$6:$DA$376,54,FALSE)</f>
        <v>4715.4269061025871</v>
      </c>
      <c r="BC284" s="566">
        <f>VLOOKUP($A284,'01-02.2021'!$A$6:$CZ$403,55,FALSE)+VLOOKUP($A284,'1.3.21-28.2.22'!$A$6:$DA$404,55,FALSE)-VLOOKUP($A284,'01-02.2022'!$A$6:$DA$376,55,FALSE)</f>
        <v>0</v>
      </c>
      <c r="BD284" s="55">
        <f t="shared" si="336"/>
        <v>-4715.4269061025871</v>
      </c>
      <c r="BE284" s="566">
        <f>VLOOKUP($A284,'01-02.2021'!$A$6:$CZ$403,57,FALSE)+VLOOKUP($A284,'1.3.21-28.2.22'!$A$6:$DA$404,57,FALSE)-VLOOKUP($A284,'01-02.2022'!$A$6:$DA$376,57,FALSE)</f>
        <v>6851.9177886446341</v>
      </c>
      <c r="BF284" s="566">
        <f>VLOOKUP($A284,'01-02.2021'!$A$6:$CZ$403,58,FALSE)+VLOOKUP($A284,'1.3.21-28.2.22'!$A$6:$DA$404,58,FALSE)-VLOOKUP($A284,'01-02.2022'!$A$6:$DA$376,58,FALSE)</f>
        <v>477</v>
      </c>
      <c r="BG284" s="55">
        <f t="shared" si="337"/>
        <v>-6374.9177886446341</v>
      </c>
      <c r="BH284" s="566">
        <f>VLOOKUP($A284,'01-02.2021'!$A$6:$CZ$403,60,FALSE)+VLOOKUP($A284,'1.3.21-28.2.22'!$A$6:$DA$404,60,FALSE)-VLOOKUP($A284,'01-02.2022'!$A$6:$DA$376,60,FALSE)</f>
        <v>1913.5696814495238</v>
      </c>
      <c r="BI284" s="566">
        <f>VLOOKUP($A284,'01-02.2021'!$A$6:$CZ$403,61,FALSE)+VLOOKUP($A284,'1.3.21-28.2.22'!$A$6:$DA$404,61,FALSE)-VLOOKUP($A284,'01-02.2022'!$A$6:$DA$376,61,FALSE)</f>
        <v>118</v>
      </c>
      <c r="BJ284" s="55">
        <f t="shared" si="338"/>
        <v>-1795.5696814495238</v>
      </c>
      <c r="BK284" s="566">
        <f>VLOOKUP($A284,'01-02.2021'!$A$6:$CZ$403,63,FALSE)+VLOOKUP($A284,'1.3.21-28.2.22'!$A$6:$DA$404,63,FALSE)-VLOOKUP($A284,'01-02.2022'!$A$6:$DA$376,63,FALSE)</f>
        <v>7879.67828265347</v>
      </c>
      <c r="BL284" s="566">
        <f>VLOOKUP($A284,'01-02.2021'!$A$6:$CZ$403,64,FALSE)+VLOOKUP($A284,'1.3.21-28.2.22'!$A$6:$DA$404,64,FALSE)-VLOOKUP($A284,'01-02.2022'!$A$6:$DA$376,64,FALSE)</f>
        <v>978</v>
      </c>
      <c r="BM284" s="55">
        <f t="shared" si="339"/>
        <v>-6901.67828265347</v>
      </c>
      <c r="BN284" s="566">
        <f>VLOOKUP($A284,'01-02.2021'!$A$6:$CZ$403,66,FALSE)+VLOOKUP($A284,'1.3.21-28.2.22'!$A$6:$DA$404,66,FALSE)-VLOOKUP($A284,'01-02.2022'!$A$6:$DA$376,66,FALSE)</f>
        <v>566.88599999999997</v>
      </c>
      <c r="BO284" s="566">
        <f>VLOOKUP($A284,'01-02.2021'!$A$6:$CZ$403,67,FALSE)+VLOOKUP($A284,'1.3.21-28.2.22'!$A$6:$DA$404,67,FALSE)-VLOOKUP($A284,'01-02.2022'!$A$6:$DA$376,67,FALSE)</f>
        <v>0</v>
      </c>
      <c r="BP284" s="55">
        <f t="shared" si="340"/>
        <v>-566.88599999999997</v>
      </c>
      <c r="BQ284" s="77">
        <f t="shared" si="287"/>
        <v>39345.373726984901</v>
      </c>
      <c r="BR284" s="40">
        <f t="shared" si="315"/>
        <v>11731</v>
      </c>
      <c r="BS284" s="55">
        <f t="shared" si="314"/>
        <v>-27614.373726984901</v>
      </c>
      <c r="BT284" s="566">
        <f>VLOOKUP($A284,'01-02.2021'!$A$6:$CZ$403,72,FALSE)+VLOOKUP($A284,'1.3.21-28.2.22'!$A$6:$DA$404,72,FALSE)-VLOOKUP($A284,'01-02.2022'!$A$6:$DA$376,72,FALSE)</f>
        <v>105819.34011726943</v>
      </c>
      <c r="BU284" s="566">
        <f>VLOOKUP($A284,'01-02.2021'!$A$6:$CZ$403,73,FALSE)+VLOOKUP($A284,'1.3.21-28.2.22'!$A$6:$DA$404,73,FALSE)-VLOOKUP($A284,'01-02.2022'!$A$6:$DA$376,73,FALSE)</f>
        <v>98360.084856413363</v>
      </c>
      <c r="BV284" s="70">
        <f t="shared" si="341"/>
        <v>-7459.2552608560654</v>
      </c>
      <c r="BW284" s="566">
        <f>VLOOKUP($A284,'01-02.2021'!$A$6:$CZ$403,75,FALSE)+VLOOKUP($A284,'1.3.21-28.2.22'!$A$6:$DA$404,75,FALSE)-VLOOKUP($A284,'01-02.2022'!$A$6:$DA$376,75,FALSE)</f>
        <v>105314.16209962132</v>
      </c>
      <c r="BX284" s="566">
        <f>VLOOKUP($A284,'01-02.2021'!$A$6:$CZ$403,76,FALSE)+VLOOKUP($A284,'1.3.21-28.2.22'!$A$6:$DA$404,76,FALSE)-VLOOKUP($A284,'01-02.2022'!$A$6:$DA$376,76,FALSE)</f>
        <v>96787.886993599823</v>
      </c>
      <c r="BY284" s="70">
        <f t="shared" si="342"/>
        <v>-8526.2751060214941</v>
      </c>
      <c r="BZ284" s="566">
        <f>VLOOKUP($A284,'01-02.2021'!$A$6:$CZ$403,78,FALSE)+VLOOKUP($A284,'1.3.21-28.2.22'!$A$6:$DA$404,78,FALSE)-VLOOKUP($A284,'01-02.2022'!$A$6:$DA$376,78,FALSE)</f>
        <v>11349.655240227341</v>
      </c>
      <c r="CA284" s="566">
        <f>VLOOKUP($A284,'01-02.2021'!$A$6:$CZ$403,79,FALSE)+VLOOKUP($A284,'1.3.21-28.2.22'!$A$6:$DA$404,79,FALSE)-VLOOKUP($A284,'01-02.2022'!$A$6:$DA$376,79,FALSE)</f>
        <v>22565.390916240322</v>
      </c>
      <c r="CB284" s="70">
        <f t="shared" si="343"/>
        <v>11215.735676012981</v>
      </c>
      <c r="CC284" s="566">
        <f>VLOOKUP($A284,'01-02.2021'!$A$6:$CZ$403,81,FALSE)+VLOOKUP($A284,'1.3.21-28.2.22'!$A$6:$DA$404,81,FALSE)-VLOOKUP($A284,'01-02.2022'!$A$6:$DA$376,81,FALSE)</f>
        <v>3557.0440518421128</v>
      </c>
      <c r="CD284" s="566">
        <f>VLOOKUP($A284,'01-02.2021'!$A$6:$CZ$403,82,FALSE)+VLOOKUP($A284,'1.3.21-28.2.22'!$A$6:$DA$404,82,FALSE)-VLOOKUP($A284,'01-02.2022'!$A$6:$DA$376,82,FALSE)</f>
        <v>3867.9347504372317</v>
      </c>
      <c r="CE284" s="70">
        <f t="shared" si="344"/>
        <v>310.89069859511892</v>
      </c>
      <c r="CF284" s="566">
        <f>VLOOKUP($A284,'01-02.2021'!$A$6:$CZ$403,84,FALSE)+VLOOKUP($A284,'1.3.21-28.2.22'!$A$6:$DA$404,84,FALSE)-VLOOKUP($A284,'01-02.2022'!$A$6:$DA$376,84,FALSE)</f>
        <v>430.21971443637722</v>
      </c>
      <c r="CG284" s="566">
        <f>VLOOKUP($A284,'01-02.2021'!$A$6:$CZ$403,85,FALSE)+VLOOKUP($A284,'1.3.21-28.2.22'!$A$6:$DA$404,85,FALSE)-VLOOKUP($A284,'01-02.2022'!$A$6:$DA$376,85,FALSE)</f>
        <v>1129.9153146014414</v>
      </c>
      <c r="CH284" s="70">
        <f t="shared" si="345"/>
        <v>699.69560016506421</v>
      </c>
      <c r="CI284" s="566">
        <f>VLOOKUP($A284,'01-02.2021'!$A$6:$CZ$403,87,FALSE)+VLOOKUP($A284,'1.3.21-28.2.22'!$A$6:$DA$404,87,FALSE)-VLOOKUP($A284,'01-02.2022'!$A$6:$DA$376,87,FALSE)</f>
        <v>20168.599505666491</v>
      </c>
      <c r="CJ284" s="566">
        <f>VLOOKUP($A284,'01-02.2021'!$A$6:$CZ$403,88,FALSE)+VLOOKUP($A284,'1.3.21-28.2.22'!$A$6:$DA$404,88,FALSE)-VLOOKUP($A284,'01-02.2022'!$A$6:$DA$376,88,FALSE)</f>
        <v>22650.18303370284</v>
      </c>
      <c r="CK284" s="70">
        <f t="shared" si="346"/>
        <v>2481.5835280363499</v>
      </c>
      <c r="CL284" s="566">
        <f>VLOOKUP($A284,'01-02.2021'!$A$6:$CZ$403,90,FALSE)+VLOOKUP($A284,'1.3.21-28.2.22'!$A$6:$DA$404,90,FALSE)-VLOOKUP($A284,'01-02.2022'!$A$6:$DA$376,90,FALSE)</f>
        <v>22912.896683433632</v>
      </c>
      <c r="CM284" s="566">
        <f>VLOOKUP($A284,'01-02.2021'!$A$6:$CZ$403,91,FALSE)+VLOOKUP($A284,'1.3.21-28.2.22'!$A$6:$DA$404,91,FALSE)-VLOOKUP($A284,'01-02.2022'!$A$6:$DA$376,91,FALSE)</f>
        <v>21355.134859379126</v>
      </c>
      <c r="CN284" s="52">
        <f t="shared" si="303"/>
        <v>-1557.7618240545053</v>
      </c>
      <c r="CO284" s="39">
        <f t="shared" si="298"/>
        <v>43081.496189100122</v>
      </c>
      <c r="CP284" s="40">
        <f t="shared" si="304"/>
        <v>44005.31789308197</v>
      </c>
      <c r="CQ284" s="52">
        <f t="shared" si="305"/>
        <v>923.82170398184826</v>
      </c>
      <c r="CR284" s="72">
        <f t="shared" si="299"/>
        <v>688109.23563512496</v>
      </c>
      <c r="CS284" s="5">
        <f t="shared" si="299"/>
        <v>654734.14396354032</v>
      </c>
      <c r="CT284" s="52">
        <f t="shared" si="306"/>
        <v>-33375.09167158464</v>
      </c>
      <c r="CU284" s="77">
        <f t="shared" si="307"/>
        <v>825731.08276214998</v>
      </c>
      <c r="CV284" s="65">
        <f t="shared" si="308"/>
        <v>785680.97275624832</v>
      </c>
      <c r="CW284" s="35">
        <f t="shared" si="309"/>
        <v>-40050.110005901661</v>
      </c>
      <c r="CX284" s="566">
        <f>VLOOKUP($A284,'01-02.2021'!$A$6:$CZ$403,102,FALSE)+VLOOKUP($A284,'1.3.21-28.2.22'!$A$6:$DA$404,102,FALSE)-VLOOKUP($A284,'01-02.2022'!$A$6:$DA$376,102,FALSE)</f>
        <v>28796.465176313843</v>
      </c>
      <c r="CY284" s="566">
        <f>VLOOKUP($A284,'01-02.2021'!$A$6:$CZ$403,103,FALSE)+VLOOKUP($A284,'1.3.21-28.2.22'!$A$6:$DA$404,103,FALSE)-VLOOKUP($A284,'01-02.2022'!$A$6:$DA$376,103,FALSE)</f>
        <v>68846.575182215529</v>
      </c>
      <c r="CZ284" s="52">
        <f t="shared" si="310"/>
        <v>40050.11000590169</v>
      </c>
      <c r="DA284" s="150">
        <f>'[2]побудинковий звіт'!DA284</f>
        <v>118587.75416972241</v>
      </c>
      <c r="DB284" s="2">
        <v>2</v>
      </c>
      <c r="DC284" s="414">
        <f>'[4]побудинковий звіт'!DC284</f>
        <v>156952.51999999999</v>
      </c>
      <c r="DD284" s="414">
        <f>'[4]побудинковий звіт'!DD284</f>
        <v>0</v>
      </c>
      <c r="DE284" s="557">
        <f>'[4]побудинковий звіт'!DE284</f>
        <v>79326.729534985439</v>
      </c>
      <c r="DF284" s="557">
        <f>'[4]побудинковий звіт'!DF284</f>
        <v>0</v>
      </c>
      <c r="DG284" s="321">
        <f>VLOOKUP(A284,'кошти 01.03.2021'!$A$6:$D$401,4,)</f>
        <v>168545.40631040718</v>
      </c>
      <c r="DH284" s="40">
        <f>'[3]побудинковий звіт'!DJ284</f>
        <v>884868.96964928461</v>
      </c>
      <c r="DI284" s="422">
        <f>'[3]побудинковий звіт'!CU284+'[3]побудинковий звіт'!CX284</f>
        <v>77625.790465014536</v>
      </c>
      <c r="DJ284" s="306">
        <f>'[3]побудинковий звіт'!DM284</f>
        <v>5.7553237519541813</v>
      </c>
      <c r="DK284" s="306">
        <f>'[3]побудинковий звіт'!DN284</f>
        <v>6.975985510146641</v>
      </c>
      <c r="DL284" s="306">
        <f>'[3]побудинковий звіт'!DO284</f>
        <v>4.6123696798518656</v>
      </c>
      <c r="DM284" s="28">
        <f t="shared" si="347"/>
        <v>77625.79046501455</v>
      </c>
      <c r="DN284" s="28">
        <f>DL284*H284</f>
        <v>0</v>
      </c>
      <c r="DO284" s="423">
        <f t="shared" si="319"/>
        <v>77625.79046501455</v>
      </c>
      <c r="DP284" s="94">
        <f t="shared" si="320"/>
        <v>0</v>
      </c>
      <c r="DQ284" s="28">
        <f t="shared" si="321"/>
        <v>77625.79046501455</v>
      </c>
      <c r="DR284" s="318"/>
      <c r="DT284" s="8"/>
      <c r="DU284" s="5"/>
      <c r="DX284" s="5">
        <f t="shared" si="322"/>
        <v>233199.72376541127</v>
      </c>
      <c r="DY284" s="5">
        <f t="shared" si="323"/>
        <v>197605.5783324489</v>
      </c>
      <c r="DZ284" s="159">
        <f>'[3]побудинковий звіт'!EA284</f>
        <v>21679.184094581866</v>
      </c>
    </row>
    <row r="285" spans="1:130" x14ac:dyDescent="0.3">
      <c r="A285" s="325">
        <v>150000758</v>
      </c>
      <c r="B285" s="41" t="s">
        <v>731</v>
      </c>
      <c r="C285" s="42" t="s">
        <v>389</v>
      </c>
      <c r="D285" s="42"/>
      <c r="E285" s="293">
        <f t="shared" si="296"/>
        <v>13218.32</v>
      </c>
      <c r="F285" s="305">
        <f>'[3]побудинковий звіт'!F285</f>
        <v>13211.52</v>
      </c>
      <c r="G285" s="508">
        <f>'[3]побудинковий звіт'!G285</f>
        <v>1410.95</v>
      </c>
      <c r="H285" s="560">
        <f>'[3]побудинковий звіт'!H285</f>
        <v>6.8</v>
      </c>
      <c r="I285" s="566">
        <f>VLOOKUP($A285,'01-02.2021'!$A$6:$CZ$403,9,FALSE)+VLOOKUP($A285,'1.3.21-28.2.22'!$A$6:$DA$404,9,FALSE)-VLOOKUP($A285,'01-02.2022'!$A$6:$DA$376,9,FALSE)</f>
        <v>31862.508002366052</v>
      </c>
      <c r="J285" s="566">
        <f>VLOOKUP($A285,'01-02.2021'!$A$6:$CZ$403,10,FALSE)+VLOOKUP($A285,'1.3.21-28.2.22'!$A$6:$DA$404,10,FALSE)-VLOOKUP($A285,'01-02.2022'!$A$6:$DA$376,10,FALSE)</f>
        <v>35543.103987003386</v>
      </c>
      <c r="K285" s="52">
        <f t="shared" si="300"/>
        <v>3680.5959846373335</v>
      </c>
      <c r="L285" s="566">
        <f>VLOOKUP($A285,'01-02.2021'!$A$6:$CZ$403,12,FALSE)+VLOOKUP($A285,'1.3.21-28.2.22'!$A$6:$DA$404,12,FALSE)-VLOOKUP($A285,'01-02.2022'!$A$6:$DA$376,12,FALSE)</f>
        <v>9206.9975480164139</v>
      </c>
      <c r="M285" s="566">
        <f>VLOOKUP($A285,'01-02.2021'!$A$6:$CZ$403,13,FALSE)+VLOOKUP($A285,'1.3.21-28.2.22'!$A$6:$DA$404,13,FALSE)-VLOOKUP($A285,'01-02.2022'!$A$6:$DA$376,13,FALSE)</f>
        <v>10143.992892123129</v>
      </c>
      <c r="N285" s="52">
        <f t="shared" si="301"/>
        <v>936.99534410671549</v>
      </c>
      <c r="O285" s="566">
        <f>VLOOKUP($A285,'01-02.2021'!$A$6:$CZ$403,15,FALSE)+VLOOKUP($A285,'1.3.21-28.2.22'!$A$6:$DA$404,15,FALSE)-VLOOKUP($A285,'01-02.2022'!$A$6:$DA$376,15,FALSE)</f>
        <v>16676.679967814947</v>
      </c>
      <c r="P285" s="566">
        <f>VLOOKUP($A285,'01-02.2021'!$A$6:$CZ$403,16,FALSE)+VLOOKUP($A285,'1.3.21-28.2.22'!$A$6:$DA$404,16,FALSE)-VLOOKUP($A285,'01-02.2022'!$A$6:$DA$376,16,FALSE)</f>
        <v>16678.725000000002</v>
      </c>
      <c r="Q285" s="70">
        <f t="shared" si="324"/>
        <v>2.0450321850548789</v>
      </c>
      <c r="R285" s="566">
        <f>VLOOKUP($A285,'01-02.2021'!$A$6:$CZ$403,18,FALSE)+VLOOKUP($A285,'1.3.21-28.2.22'!$A$6:$DA$404,18,FALSE)-VLOOKUP($A285,'01-02.2022'!$A$6:$DA$376,18,FALSE)</f>
        <v>3623.5239869936745</v>
      </c>
      <c r="S285" s="566">
        <f>VLOOKUP($A285,'01-02.2021'!$A$6:$CZ$403,19,FALSE)+VLOOKUP($A285,'1.3.21-28.2.22'!$A$6:$DA$404,19,FALSE)-VLOOKUP($A285,'01-02.2022'!$A$6:$DA$376,19,FALSE)</f>
        <v>3621.1833333333348</v>
      </c>
      <c r="T285" s="70">
        <f t="shared" si="325"/>
        <v>-2.3406536603397399</v>
      </c>
      <c r="U285" s="566">
        <f>VLOOKUP($A285,'01-02.2021'!$A$6:$CZ$403,21,FALSE)+VLOOKUP($A285,'1.3.21-28.2.22'!$A$6:$DA$404,21,FALSE)-VLOOKUP($A285,'01-02.2022'!$A$6:$DA$376,21,FALSE)</f>
        <v>1175.0132573141295</v>
      </c>
      <c r="V285" s="566">
        <f>VLOOKUP($A285,'01-02.2021'!$A$6:$CZ$403,22,FALSE)+VLOOKUP($A285,'1.3.21-28.2.22'!$A$6:$DA$404,22,FALSE)-VLOOKUP($A285,'01-02.2022'!$A$6:$DA$376,22,FALSE)</f>
        <v>3927.1706417481737</v>
      </c>
      <c r="W285" s="70">
        <f t="shared" si="326"/>
        <v>2752.1573844340442</v>
      </c>
      <c r="X285" s="566">
        <f>VLOOKUP($A285,'01-02.2021'!$A$6:$CZ$403,24,FALSE)+VLOOKUP($A285,'1.3.21-28.2.22'!$A$6:$DA$404,24,FALSE)-VLOOKUP($A285,'01-02.2022'!$A$6:$DA$376,24,FALSE)</f>
        <v>19669.738143262839</v>
      </c>
      <c r="Y285" s="566">
        <f>VLOOKUP($A285,'01-02.2021'!$A$6:$CZ$403,25,FALSE)+VLOOKUP($A285,'1.3.21-28.2.22'!$A$6:$DA$404,25,FALSE)-VLOOKUP($A285,'01-02.2022'!$A$6:$DA$376,25,FALSE)</f>
        <v>16793.489739429253</v>
      </c>
      <c r="Z285" s="70">
        <f t="shared" si="327"/>
        <v>-2876.2484038335861</v>
      </c>
      <c r="AA285" s="566">
        <f>VLOOKUP($A285,'01-02.2021'!$A$6:$CZ$403,27,FALSE)+VLOOKUP($A285,'1.3.21-28.2.22'!$A$6:$DA$404,27,FALSE)-VLOOKUP($A285,'01-02.2022'!$A$6:$DA$376,27,FALSE)</f>
        <v>2641.8599999999997</v>
      </c>
      <c r="AB285" s="566">
        <f>VLOOKUP($A285,'01-02.2021'!$A$6:$CZ$403,28,FALSE)+VLOOKUP($A285,'1.3.21-28.2.22'!$A$6:$DA$404,28,FALSE)-VLOOKUP($A285,'01-02.2022'!$A$6:$DA$376,28,FALSE)</f>
        <v>0</v>
      </c>
      <c r="AC285" s="70">
        <f t="shared" si="328"/>
        <v>-2641.8599999999997</v>
      </c>
      <c r="AD285" s="566">
        <f>VLOOKUP($A285,'01-02.2021'!$A$6:$CZ$403,30,FALSE)+VLOOKUP($A285,'1.3.21-28.2.22'!$A$6:$DA$404,30,FALSE)-VLOOKUP($A285,'01-02.2022'!$A$6:$DA$376,30,FALSE)</f>
        <v>56760.185299947021</v>
      </c>
      <c r="AE285" s="566">
        <f>VLOOKUP($A285,'01-02.2021'!$A$6:$CZ$403,31,FALSE)+VLOOKUP($A285,'1.3.21-28.2.22'!$A$6:$DA$404,31,FALSE)-VLOOKUP($A285,'01-02.2022'!$A$6:$DA$376,31,FALSE)</f>
        <v>60170.325235858712</v>
      </c>
      <c r="AF285" s="68">
        <f t="shared" si="329"/>
        <v>3410.1399359116913</v>
      </c>
      <c r="AG285" s="77">
        <f t="shared" si="297"/>
        <v>141616.50620571509</v>
      </c>
      <c r="AH285" s="53">
        <f t="shared" si="297"/>
        <v>146877.990829496</v>
      </c>
      <c r="AI285" s="52">
        <f t="shared" si="302"/>
        <v>5261.4846237809106</v>
      </c>
      <c r="AJ285" s="566">
        <f>VLOOKUP($A285,'01-02.2021'!$A$6:$CZ$403,36,FALSE)+VLOOKUP($A285,'1.3.21-28.2.22'!$A$6:$DA$404,36,FALSE)-VLOOKUP($A285,'01-02.2022'!$A$6:$DA$376,36,FALSE)</f>
        <v>155102.49819553652</v>
      </c>
      <c r="AK285" s="566">
        <f>VLOOKUP($A285,'01-02.2021'!$A$6:$CZ$403,37,FALSE)+VLOOKUP($A285,'1.3.21-28.2.22'!$A$6:$DA$404,37,FALSE)-VLOOKUP($A285,'01-02.2022'!$A$6:$DA$376,37,FALSE)</f>
        <v>154085.55468632601</v>
      </c>
      <c r="AL285" s="70">
        <f t="shared" si="330"/>
        <v>-1016.9435092105123</v>
      </c>
      <c r="AM285" s="566">
        <f>VLOOKUP($A285,'01-02.2021'!$A$6:$CZ$403,39,FALSE)+VLOOKUP($A285,'1.3.21-28.2.22'!$A$6:$DA$404,39,FALSE)-VLOOKUP($A285,'01-02.2022'!$A$6:$DA$376,39,FALSE)</f>
        <v>4338.3629155241297</v>
      </c>
      <c r="AN285" s="566">
        <f>VLOOKUP($A285,'01-02.2021'!$A$6:$CZ$403,40,FALSE)+VLOOKUP($A285,'1.3.21-28.2.22'!$A$6:$DA$404,40,FALSE)-VLOOKUP($A285,'01-02.2022'!$A$6:$DA$376,40,FALSE)</f>
        <v>1175.2112960198465</v>
      </c>
      <c r="AO285" s="70">
        <f t="shared" si="331"/>
        <v>-3163.1516195042832</v>
      </c>
      <c r="AP285" s="566">
        <f>VLOOKUP($A285,'01-02.2021'!$A$6:$CZ$403,42,FALSE)+VLOOKUP($A285,'1.3.21-28.2.22'!$A$6:$DA$404,42,FALSE)-VLOOKUP($A285,'01-02.2022'!$A$6:$DA$376,42,FALSE)</f>
        <v>10888.378431517263</v>
      </c>
      <c r="AQ285" s="566">
        <f>VLOOKUP($A285,'01-02.2021'!$A$6:$CZ$403,43,FALSE)+VLOOKUP($A285,'1.3.21-28.2.22'!$A$6:$DA$404,43,FALSE)-VLOOKUP($A285,'01-02.2022'!$A$6:$DA$376,43,FALSE)</f>
        <v>9642.6972948087005</v>
      </c>
      <c r="AR285" s="70">
        <f t="shared" si="332"/>
        <v>-1245.6811367085629</v>
      </c>
      <c r="AS285" s="566">
        <f>VLOOKUP($A285,'01-02.2021'!$A$6:$CZ$403,45,FALSE)+VLOOKUP($A285,'1.3.21-28.2.22'!$A$6:$DA$404,45,FALSE)-VLOOKUP($A285,'01-02.2022'!$A$6:$DA$376,45,FALSE)</f>
        <v>184324.49532973397</v>
      </c>
      <c r="AT285" s="566">
        <f>VLOOKUP($A285,'01-02.2021'!$A$6:$CZ$403,46,FALSE)+VLOOKUP($A285,'1.3.21-28.2.22'!$A$6:$DA$404,46,FALSE)-VLOOKUP($A285,'01-02.2022'!$A$6:$DA$376,46,FALSE)</f>
        <v>243051.12</v>
      </c>
      <c r="AU285" s="78">
        <f t="shared" si="333"/>
        <v>58726.624670266028</v>
      </c>
      <c r="AV285" s="566">
        <f>VLOOKUP($A285,'01-02.2021'!$A$6:$CZ$403,48,FALSE)+VLOOKUP($A285,'1.3.21-28.2.22'!$A$6:$DA$404,48,FALSE)-VLOOKUP($A285,'01-02.2022'!$A$6:$DA$376,48,FALSE)</f>
        <v>7090.2506740695426</v>
      </c>
      <c r="AW285" s="566">
        <f>VLOOKUP($A285,'01-02.2021'!$A$6:$CZ$403,49,FALSE)+VLOOKUP($A285,'1.3.21-28.2.22'!$A$6:$DA$404,49,FALSE)-VLOOKUP($A285,'01-02.2022'!$A$6:$DA$376,49,FALSE)</f>
        <v>965</v>
      </c>
      <c r="AX285" s="55">
        <f t="shared" si="334"/>
        <v>-6125.2506740695426</v>
      </c>
      <c r="AY285" s="566">
        <f>VLOOKUP($A285,'01-02.2021'!$A$6:$CZ$403,51,FALSE)+VLOOKUP($A285,'1.3.21-28.2.22'!$A$6:$DA$404,51,FALSE)-VLOOKUP($A285,'01-02.2022'!$A$6:$DA$376,51,FALSE)</f>
        <v>13947.777535067089</v>
      </c>
      <c r="AZ285" s="566">
        <f>VLOOKUP($A285,'01-02.2021'!$A$6:$CZ$403,52,FALSE)+VLOOKUP($A285,'1.3.21-28.2.22'!$A$6:$DA$404,52,FALSE)-VLOOKUP($A285,'01-02.2022'!$A$6:$DA$376,52,FALSE)</f>
        <v>16678.82</v>
      </c>
      <c r="BA285" s="38">
        <f t="shared" si="335"/>
        <v>2731.0424649329107</v>
      </c>
      <c r="BB285" s="566">
        <f>VLOOKUP($A285,'01-02.2021'!$A$6:$CZ$403,54,FALSE)+VLOOKUP($A285,'1.3.21-28.2.22'!$A$6:$DA$404,54,FALSE)-VLOOKUP($A285,'01-02.2022'!$A$6:$DA$376,54,FALSE)</f>
        <v>5245.6716197133574</v>
      </c>
      <c r="BC285" s="566">
        <f>VLOOKUP($A285,'01-02.2021'!$A$6:$CZ$403,55,FALSE)+VLOOKUP($A285,'1.3.21-28.2.22'!$A$6:$DA$404,55,FALSE)-VLOOKUP($A285,'01-02.2022'!$A$6:$DA$376,55,FALSE)</f>
        <v>1259</v>
      </c>
      <c r="BD285" s="55">
        <f t="shared" si="336"/>
        <v>-3986.6716197133574</v>
      </c>
      <c r="BE285" s="566">
        <f>VLOOKUP($A285,'01-02.2021'!$A$6:$CZ$403,57,FALSE)+VLOOKUP($A285,'1.3.21-28.2.22'!$A$6:$DA$404,57,FALSE)-VLOOKUP($A285,'01-02.2022'!$A$6:$DA$376,57,FALSE)</f>
        <v>7432.2044521816915</v>
      </c>
      <c r="BF285" s="566">
        <f>VLOOKUP($A285,'01-02.2021'!$A$6:$CZ$403,58,FALSE)+VLOOKUP($A285,'1.3.21-28.2.22'!$A$6:$DA$404,58,FALSE)-VLOOKUP($A285,'01-02.2022'!$A$6:$DA$376,58,FALSE)</f>
        <v>0</v>
      </c>
      <c r="BG285" s="55">
        <f t="shared" si="337"/>
        <v>-7432.2044521816915</v>
      </c>
      <c r="BH285" s="566">
        <f>VLOOKUP($A285,'01-02.2021'!$A$6:$CZ$403,60,FALSE)+VLOOKUP($A285,'1.3.21-28.2.22'!$A$6:$DA$404,60,FALSE)-VLOOKUP($A285,'01-02.2022'!$A$6:$DA$376,60,FALSE)</f>
        <v>2232.4204663173687</v>
      </c>
      <c r="BI285" s="566">
        <f>VLOOKUP($A285,'01-02.2021'!$A$6:$CZ$403,61,FALSE)+VLOOKUP($A285,'1.3.21-28.2.22'!$A$6:$DA$404,61,FALSE)-VLOOKUP($A285,'01-02.2022'!$A$6:$DA$376,61,FALSE)</f>
        <v>0</v>
      </c>
      <c r="BJ285" s="55">
        <f t="shared" si="338"/>
        <v>-2232.4204663173687</v>
      </c>
      <c r="BK285" s="566">
        <f>VLOOKUP($A285,'01-02.2021'!$A$6:$CZ$403,63,FALSE)+VLOOKUP($A285,'1.3.21-28.2.22'!$A$6:$DA$404,63,FALSE)-VLOOKUP($A285,'01-02.2022'!$A$6:$DA$376,63,FALSE)</f>
        <v>7228.6348279905033</v>
      </c>
      <c r="BL285" s="566">
        <f>VLOOKUP($A285,'01-02.2021'!$A$6:$CZ$403,64,FALSE)+VLOOKUP($A285,'1.3.21-28.2.22'!$A$6:$DA$404,64,FALSE)-VLOOKUP($A285,'01-02.2022'!$A$6:$DA$376,64,FALSE)</f>
        <v>2586</v>
      </c>
      <c r="BM285" s="55">
        <f t="shared" si="339"/>
        <v>-4642.6348279905033</v>
      </c>
      <c r="BN285" s="566">
        <f>VLOOKUP($A285,'01-02.2021'!$A$6:$CZ$403,66,FALSE)+VLOOKUP($A285,'1.3.21-28.2.22'!$A$6:$DA$404,66,FALSE)-VLOOKUP($A285,'01-02.2022'!$A$6:$DA$376,66,FALSE)</f>
        <v>660.46499999999992</v>
      </c>
      <c r="BO285" s="566">
        <f>VLOOKUP($A285,'01-02.2021'!$A$6:$CZ$403,67,FALSE)+VLOOKUP($A285,'1.3.21-28.2.22'!$A$6:$DA$404,67,FALSE)-VLOOKUP($A285,'01-02.2022'!$A$6:$DA$376,67,FALSE)</f>
        <v>0</v>
      </c>
      <c r="BP285" s="55">
        <f t="shared" si="340"/>
        <v>-660.46499999999992</v>
      </c>
      <c r="BQ285" s="77">
        <f t="shared" ref="BQ285:BQ343" si="348">AV285+AY285+BB285+BE285+BH285+BK285+BN285</f>
        <v>43837.424575339552</v>
      </c>
      <c r="BR285" s="40">
        <f t="shared" ref="BR285:BR313" si="349">AW285+AZ285+BC285+BF285+BI285+BL285+BO285</f>
        <v>21488.82</v>
      </c>
      <c r="BS285" s="55">
        <f t="shared" si="314"/>
        <v>-22348.604575339552</v>
      </c>
      <c r="BT285" s="566">
        <f>VLOOKUP($A285,'01-02.2021'!$A$6:$CZ$403,72,FALSE)+VLOOKUP($A285,'1.3.21-28.2.22'!$A$6:$DA$404,72,FALSE)-VLOOKUP($A285,'01-02.2022'!$A$6:$DA$376,72,FALSE)</f>
        <v>145737.90693073528</v>
      </c>
      <c r="BU285" s="566">
        <f>VLOOKUP($A285,'01-02.2021'!$A$6:$CZ$403,73,FALSE)+VLOOKUP($A285,'1.3.21-28.2.22'!$A$6:$DA$404,73,FALSE)-VLOOKUP($A285,'01-02.2022'!$A$6:$DA$376,73,FALSE)</f>
        <v>143874.60605307113</v>
      </c>
      <c r="BV285" s="70">
        <f t="shared" si="341"/>
        <v>-1863.3008776641509</v>
      </c>
      <c r="BW285" s="566">
        <f>VLOOKUP($A285,'01-02.2021'!$A$6:$CZ$403,75,FALSE)+VLOOKUP($A285,'1.3.21-28.2.22'!$A$6:$DA$404,75,FALSE)-VLOOKUP($A285,'01-02.2022'!$A$6:$DA$376,75,FALSE)</f>
        <v>102668.99177932829</v>
      </c>
      <c r="BX285" s="566">
        <f>VLOOKUP($A285,'01-02.2021'!$A$6:$CZ$403,76,FALSE)+VLOOKUP($A285,'1.3.21-28.2.22'!$A$6:$DA$404,76,FALSE)-VLOOKUP($A285,'01-02.2022'!$A$6:$DA$376,76,FALSE)</f>
        <v>102821.72703718311</v>
      </c>
      <c r="BY285" s="70">
        <f t="shared" si="342"/>
        <v>152.73525785481615</v>
      </c>
      <c r="BZ285" s="566">
        <f>VLOOKUP($A285,'01-02.2021'!$A$6:$CZ$403,78,FALSE)+VLOOKUP($A285,'1.3.21-28.2.22'!$A$6:$DA$404,78,FALSE)-VLOOKUP($A285,'01-02.2022'!$A$6:$DA$376,78,FALSE)</f>
        <v>13380.354874739882</v>
      </c>
      <c r="CA285" s="566">
        <f>VLOOKUP($A285,'01-02.2021'!$A$6:$CZ$403,79,FALSE)+VLOOKUP($A285,'1.3.21-28.2.22'!$A$6:$DA$404,79,FALSE)-VLOOKUP($A285,'01-02.2022'!$A$6:$DA$376,79,FALSE)</f>
        <v>30416.943420930671</v>
      </c>
      <c r="CB285" s="70">
        <f t="shared" si="343"/>
        <v>17036.588546190789</v>
      </c>
      <c r="CC285" s="566">
        <f>VLOOKUP($A285,'01-02.2021'!$A$6:$CZ$403,81,FALSE)+VLOOKUP($A285,'1.3.21-28.2.22'!$A$6:$DA$404,81,FALSE)-VLOOKUP($A285,'01-02.2022'!$A$6:$DA$376,81,FALSE)</f>
        <v>4108.7471423294464</v>
      </c>
      <c r="CD285" s="566">
        <f>VLOOKUP($A285,'01-02.2021'!$A$6:$CZ$403,82,FALSE)+VLOOKUP($A285,'1.3.21-28.2.22'!$A$6:$DA$404,82,FALSE)-VLOOKUP($A285,'01-02.2022'!$A$6:$DA$376,82,FALSE)</f>
        <v>4466.818930084416</v>
      </c>
      <c r="CE285" s="70">
        <f t="shared" si="344"/>
        <v>358.07178775496959</v>
      </c>
      <c r="CF285" s="566">
        <f>VLOOKUP($A285,'01-02.2021'!$A$6:$CZ$403,84,FALSE)+VLOOKUP($A285,'1.3.21-28.2.22'!$A$6:$DA$404,84,FALSE)-VLOOKUP($A285,'01-02.2022'!$A$6:$DA$376,84,FALSE)</f>
        <v>496.8319500019204</v>
      </c>
      <c r="CG285" s="566">
        <f>VLOOKUP($A285,'01-02.2021'!$A$6:$CZ$403,85,FALSE)+VLOOKUP($A285,'1.3.21-28.2.22'!$A$6:$DA$404,85,FALSE)-VLOOKUP($A285,'01-02.2022'!$A$6:$DA$376,85,FALSE)</f>
        <v>0</v>
      </c>
      <c r="CH285" s="70">
        <f t="shared" si="345"/>
        <v>-496.8319500019204</v>
      </c>
      <c r="CI285" s="566">
        <f>VLOOKUP($A285,'01-02.2021'!$A$6:$CZ$403,87,FALSE)+VLOOKUP($A285,'1.3.21-28.2.22'!$A$6:$DA$404,87,FALSE)-VLOOKUP($A285,'01-02.2022'!$A$6:$DA$376,87,FALSE)</f>
        <v>22095.1181853907</v>
      </c>
      <c r="CJ285" s="566">
        <f>VLOOKUP($A285,'01-02.2021'!$A$6:$CZ$403,88,FALSE)+VLOOKUP($A285,'1.3.21-28.2.22'!$A$6:$DA$404,88,FALSE)-VLOOKUP($A285,'01-02.2022'!$A$6:$DA$376,88,FALSE)</f>
        <v>19129.552397207495</v>
      </c>
      <c r="CK285" s="70">
        <f t="shared" si="346"/>
        <v>-2965.5657881832049</v>
      </c>
      <c r="CL285" s="566">
        <f>VLOOKUP($A285,'01-02.2021'!$A$6:$CZ$403,90,FALSE)+VLOOKUP($A285,'1.3.21-28.2.22'!$A$6:$DA$404,90,FALSE)-VLOOKUP($A285,'01-02.2022'!$A$6:$DA$376,90,FALSE)</f>
        <v>28118.110233915784</v>
      </c>
      <c r="CM285" s="566">
        <f>VLOOKUP($A285,'01-02.2021'!$A$6:$CZ$403,91,FALSE)+VLOOKUP($A285,'1.3.21-28.2.22'!$A$6:$DA$404,91,FALSE)-VLOOKUP($A285,'01-02.2022'!$A$6:$DA$376,91,FALSE)</f>
        <v>25623.641359418667</v>
      </c>
      <c r="CN285" s="52">
        <f t="shared" si="303"/>
        <v>-2494.4688744971172</v>
      </c>
      <c r="CO285" s="39">
        <f t="shared" si="298"/>
        <v>50213.228419306484</v>
      </c>
      <c r="CP285" s="40">
        <f t="shared" si="304"/>
        <v>44753.193756626162</v>
      </c>
      <c r="CQ285" s="52">
        <f t="shared" si="305"/>
        <v>-5460.0346626803221</v>
      </c>
      <c r="CR285" s="72">
        <f t="shared" si="299"/>
        <v>856713.72674980771</v>
      </c>
      <c r="CS285" s="5">
        <f t="shared" si="299"/>
        <v>902654.68330454594</v>
      </c>
      <c r="CT285" s="52">
        <f t="shared" si="306"/>
        <v>45940.956554738223</v>
      </c>
      <c r="CU285" s="77">
        <f t="shared" si="307"/>
        <v>1028056.4720997692</v>
      </c>
      <c r="CV285" s="65">
        <f t="shared" si="308"/>
        <v>1083185.619965455</v>
      </c>
      <c r="CW285" s="35">
        <f t="shared" si="309"/>
        <v>55129.147865685867</v>
      </c>
      <c r="CX285" s="566">
        <f>VLOOKUP($A285,'01-02.2021'!$A$6:$CZ$403,102,FALSE)+VLOOKUP($A285,'1.3.21-28.2.22'!$A$6:$DA$404,102,FALSE)-VLOOKUP($A285,'01-02.2022'!$A$6:$DA$376,102,FALSE)</f>
        <v>25895.783992344568</v>
      </c>
      <c r="CY285" s="566">
        <f>VLOOKUP($A285,'01-02.2021'!$A$6:$CZ$403,103,FALSE)+VLOOKUP($A285,'1.3.21-28.2.22'!$A$6:$DA$404,103,FALSE)-VLOOKUP($A285,'01-02.2022'!$A$6:$DA$376,103,FALSE)</f>
        <v>-29233.363873341339</v>
      </c>
      <c r="CZ285" s="52">
        <f t="shared" si="310"/>
        <v>-55129.147865685911</v>
      </c>
      <c r="DA285" s="150">
        <f>'[2]побудинковий звіт'!DA285</f>
        <v>-29828.116386292306</v>
      </c>
      <c r="DB285" s="2">
        <v>2</v>
      </c>
      <c r="DC285" s="414">
        <f>'[4]побудинковий звіт'!DC285</f>
        <v>194662.89</v>
      </c>
      <c r="DD285" s="414">
        <f>'[4]побудинковий звіт'!DD285</f>
        <v>130.47999999999999</v>
      </c>
      <c r="DE285" s="557">
        <f>'[4]побудинковий звіт'!DE285</f>
        <v>99273.21537393998</v>
      </c>
      <c r="DF285" s="557">
        <f>'[4]побудинковий звіт'!DF285</f>
        <v>104.19</v>
      </c>
      <c r="DG285" s="321">
        <f>VLOOKUP(A285,'кошти 01.03.2021'!$A$6:$D$401,4,)</f>
        <v>-63038.333546848524</v>
      </c>
      <c r="DH285" s="40">
        <f>'[3]побудинковий звіт'!DJ285</f>
        <v>1089838.4076646802</v>
      </c>
      <c r="DI285" s="422">
        <f>'[3]побудинковий звіт'!CU285+'[3]побудинковий звіт'!CX285</f>
        <v>95422.288432487156</v>
      </c>
      <c r="DJ285" s="306">
        <f>'[3]побудинковий звіт'!DM285</f>
        <v>5.6783670549528935</v>
      </c>
      <c r="DK285" s="306">
        <f>'[3]побудинковий звіт'!DN285</f>
        <v>7.4045391561487488</v>
      </c>
      <c r="DL285" s="306">
        <f>'[3]побудинковий звіт'!DO285</f>
        <v>4.7961480039910986</v>
      </c>
      <c r="DM285" s="28">
        <f t="shared" si="347"/>
        <v>95389.674626060034</v>
      </c>
      <c r="DN285" s="28">
        <v>26.29</v>
      </c>
      <c r="DO285" s="423">
        <f t="shared" si="319"/>
        <v>95415.964626060028</v>
      </c>
      <c r="DP285" s="94">
        <f t="shared" si="320"/>
        <v>6.3238064271281473</v>
      </c>
      <c r="DQ285" s="28">
        <f t="shared" si="321"/>
        <v>95415.964626060028</v>
      </c>
      <c r="DR285" s="318"/>
      <c r="DT285" s="8"/>
      <c r="DU285" s="5"/>
      <c r="DX285" s="5">
        <f t="shared" si="322"/>
        <v>273794.30388608825</v>
      </c>
      <c r="DY285" s="5">
        <f t="shared" si="323"/>
        <v>317447.92800000001</v>
      </c>
      <c r="DZ285" s="159">
        <f>'[3]побудинковий звіт'!EA285</f>
        <v>26366.094260990783</v>
      </c>
    </row>
    <row r="286" spans="1:130" x14ac:dyDescent="0.3">
      <c r="A286" s="325">
        <v>150000759</v>
      </c>
      <c r="B286" s="41" t="s">
        <v>732</v>
      </c>
      <c r="C286" s="42" t="s">
        <v>390</v>
      </c>
      <c r="D286" s="42"/>
      <c r="E286" s="293">
        <f t="shared" si="296"/>
        <v>5689.68</v>
      </c>
      <c r="F286" s="305">
        <f>'[3]побудинковий звіт'!F286</f>
        <v>5689.68</v>
      </c>
      <c r="G286" s="508">
        <f>'[3]побудинковий звіт'!G286</f>
        <v>618.45000000000005</v>
      </c>
      <c r="H286" s="560">
        <f>'[3]побудинковий звіт'!H286</f>
        <v>0</v>
      </c>
      <c r="I286" s="566">
        <f>VLOOKUP($A286,'01-02.2021'!$A$6:$CZ$403,9,FALSE)+VLOOKUP($A286,'1.3.21-28.2.22'!$A$6:$DA$404,9,FALSE)-VLOOKUP($A286,'01-02.2022'!$A$6:$DA$376,9,FALSE)</f>
        <v>13919.885197820353</v>
      </c>
      <c r="J286" s="566">
        <f>VLOOKUP($A286,'01-02.2021'!$A$6:$CZ$403,10,FALSE)+VLOOKUP($A286,'1.3.21-28.2.22'!$A$6:$DA$404,10,FALSE)-VLOOKUP($A286,'01-02.2022'!$A$6:$DA$376,10,FALSE)</f>
        <v>15507.398638681581</v>
      </c>
      <c r="K286" s="52">
        <f t="shared" si="300"/>
        <v>1587.5134408612284</v>
      </c>
      <c r="L286" s="566">
        <f>VLOOKUP($A286,'01-02.2021'!$A$6:$CZ$403,12,FALSE)+VLOOKUP($A286,'1.3.21-28.2.22'!$A$6:$DA$404,12,FALSE)-VLOOKUP($A286,'01-02.2022'!$A$6:$DA$376,12,FALSE)</f>
        <v>2258.0548776026039</v>
      </c>
      <c r="M286" s="566">
        <f>VLOOKUP($A286,'01-02.2021'!$A$6:$CZ$403,13,FALSE)+VLOOKUP($A286,'1.3.21-28.2.22'!$A$6:$DA$404,13,FALSE)-VLOOKUP($A286,'01-02.2022'!$A$6:$DA$376,13,FALSE)</f>
        <v>2486.1524303052815</v>
      </c>
      <c r="N286" s="52">
        <f t="shared" si="301"/>
        <v>228.0975527026776</v>
      </c>
      <c r="O286" s="566">
        <f>VLOOKUP($A286,'01-02.2021'!$A$6:$CZ$403,15,FALSE)+VLOOKUP($A286,'1.3.21-28.2.22'!$A$6:$DA$404,15,FALSE)-VLOOKUP($A286,'01-02.2022'!$A$6:$DA$376,15,FALSE)</f>
        <v>7711.5453392915679</v>
      </c>
      <c r="P286" s="566">
        <f>VLOOKUP($A286,'01-02.2021'!$A$6:$CZ$403,16,FALSE)+VLOOKUP($A286,'1.3.21-28.2.22'!$A$6:$DA$404,16,FALSE)-VLOOKUP($A286,'01-02.2022'!$A$6:$DA$376,16,FALSE)</f>
        <v>7710.4299999999985</v>
      </c>
      <c r="Q286" s="70">
        <f t="shared" si="324"/>
        <v>-1.1153392915693985</v>
      </c>
      <c r="R286" s="566">
        <f>VLOOKUP($A286,'01-02.2021'!$A$6:$CZ$403,18,FALSE)+VLOOKUP($A286,'1.3.21-28.2.22'!$A$6:$DA$404,18,FALSE)-VLOOKUP($A286,'01-02.2022'!$A$6:$DA$376,18,FALSE)</f>
        <v>1782.1246003981832</v>
      </c>
      <c r="S286" s="566">
        <f>VLOOKUP($A286,'01-02.2021'!$A$6:$CZ$403,19,FALSE)+VLOOKUP($A286,'1.3.21-28.2.22'!$A$6:$DA$404,19,FALSE)-VLOOKUP($A286,'01-02.2022'!$A$6:$DA$376,19,FALSE)</f>
        <v>1781.6583333333331</v>
      </c>
      <c r="T286" s="70">
        <f t="shared" si="325"/>
        <v>-0.46626706485017166</v>
      </c>
      <c r="U286" s="566">
        <f>VLOOKUP($A286,'01-02.2021'!$A$6:$CZ$403,21,FALSE)+VLOOKUP($A286,'1.3.21-28.2.22'!$A$6:$DA$404,21,FALSE)-VLOOKUP($A286,'01-02.2022'!$A$6:$DA$376,21,FALSE)</f>
        <v>503.54059012522004</v>
      </c>
      <c r="V286" s="566">
        <f>VLOOKUP($A286,'01-02.2021'!$A$6:$CZ$403,22,FALSE)+VLOOKUP($A286,'1.3.21-28.2.22'!$A$6:$DA$404,22,FALSE)-VLOOKUP($A286,'01-02.2022'!$A$6:$DA$376,22,FALSE)</f>
        <v>1666.2771447444657</v>
      </c>
      <c r="W286" s="70">
        <f t="shared" si="326"/>
        <v>1162.7365546192457</v>
      </c>
      <c r="X286" s="566">
        <f>VLOOKUP($A286,'01-02.2021'!$A$6:$CZ$403,24,FALSE)+VLOOKUP($A286,'1.3.21-28.2.22'!$A$6:$DA$404,24,FALSE)-VLOOKUP($A286,'01-02.2022'!$A$6:$DA$376,24,FALSE)</f>
        <v>10145.079693181799</v>
      </c>
      <c r="Y286" s="566">
        <f>VLOOKUP($A286,'01-02.2021'!$A$6:$CZ$403,25,FALSE)+VLOOKUP($A286,'1.3.21-28.2.22'!$A$6:$DA$404,25,FALSE)-VLOOKUP($A286,'01-02.2022'!$A$6:$DA$376,25,FALSE)</f>
        <v>8294.5767323052187</v>
      </c>
      <c r="Z286" s="70">
        <f t="shared" si="327"/>
        <v>-1850.5029608765799</v>
      </c>
      <c r="AA286" s="566">
        <f>VLOOKUP($A286,'01-02.2021'!$A$6:$CZ$403,27,FALSE)+VLOOKUP($A286,'1.3.21-28.2.22'!$A$6:$DA$404,27,FALSE)-VLOOKUP($A286,'01-02.2022'!$A$6:$DA$376,27,FALSE)</f>
        <v>1137.5160000000001</v>
      </c>
      <c r="AB286" s="566">
        <f>VLOOKUP($A286,'01-02.2021'!$A$6:$CZ$403,28,FALSE)+VLOOKUP($A286,'1.3.21-28.2.22'!$A$6:$DA$404,28,FALSE)-VLOOKUP($A286,'01-02.2022'!$A$6:$DA$376,28,FALSE)</f>
        <v>0</v>
      </c>
      <c r="AC286" s="70">
        <f t="shared" si="328"/>
        <v>-1137.5160000000001</v>
      </c>
      <c r="AD286" s="566">
        <f>VLOOKUP($A286,'01-02.2021'!$A$6:$CZ$403,30,FALSE)+VLOOKUP($A286,'1.3.21-28.2.22'!$A$6:$DA$404,30,FALSE)-VLOOKUP($A286,'01-02.2022'!$A$6:$DA$376,30,FALSE)</f>
        <v>24435.001400067995</v>
      </c>
      <c r="AE286" s="566">
        <f>VLOOKUP($A286,'01-02.2021'!$A$6:$CZ$403,31,FALSE)+VLOOKUP($A286,'1.3.21-28.2.22'!$A$6:$DA$404,31,FALSE)-VLOOKUP($A286,'01-02.2022'!$A$6:$DA$376,31,FALSE)</f>
        <v>25899.652610011006</v>
      </c>
      <c r="AF286" s="68">
        <f t="shared" si="329"/>
        <v>1464.6512099430111</v>
      </c>
      <c r="AG286" s="77">
        <f t="shared" si="297"/>
        <v>61892.747698487721</v>
      </c>
      <c r="AH286" s="53">
        <f t="shared" si="297"/>
        <v>63346.145889380881</v>
      </c>
      <c r="AI286" s="52">
        <f t="shared" si="302"/>
        <v>1453.3981908931601</v>
      </c>
      <c r="AJ286" s="566">
        <f>VLOOKUP($A286,'01-02.2021'!$A$6:$CZ$403,36,FALSE)+VLOOKUP($A286,'1.3.21-28.2.22'!$A$6:$DA$404,36,FALSE)-VLOOKUP($A286,'01-02.2022'!$A$6:$DA$376,36,FALSE)</f>
        <v>79166.883085631431</v>
      </c>
      <c r="AK286" s="566">
        <f>VLOOKUP($A286,'01-02.2021'!$A$6:$CZ$403,37,FALSE)+VLOOKUP($A286,'1.3.21-28.2.22'!$A$6:$DA$404,37,FALSE)-VLOOKUP($A286,'01-02.2022'!$A$6:$DA$376,37,FALSE)</f>
        <v>78647.853845374411</v>
      </c>
      <c r="AL286" s="70">
        <f t="shared" si="330"/>
        <v>-519.02924025701941</v>
      </c>
      <c r="AM286" s="566">
        <f>VLOOKUP($A286,'01-02.2021'!$A$6:$CZ$403,39,FALSE)+VLOOKUP($A286,'1.3.21-28.2.22'!$A$6:$DA$404,39,FALSE)-VLOOKUP($A286,'01-02.2022'!$A$6:$DA$376,39,FALSE)</f>
        <v>0</v>
      </c>
      <c r="AN286" s="566">
        <f>VLOOKUP($A286,'01-02.2021'!$A$6:$CZ$403,40,FALSE)+VLOOKUP($A286,'1.3.21-28.2.22'!$A$6:$DA$404,40,FALSE)-VLOOKUP($A286,'01-02.2022'!$A$6:$DA$376,40,FALSE)</f>
        <v>0</v>
      </c>
      <c r="AO286" s="70">
        <f t="shared" si="331"/>
        <v>0</v>
      </c>
      <c r="AP286" s="566">
        <f>VLOOKUP($A286,'01-02.2021'!$A$6:$CZ$403,42,FALSE)+VLOOKUP($A286,'1.3.21-28.2.22'!$A$6:$DA$404,42,FALSE)-VLOOKUP($A286,'01-02.2022'!$A$6:$DA$376,42,FALSE)</f>
        <v>4685.0393251149972</v>
      </c>
      <c r="AQ286" s="566">
        <f>VLOOKUP($A286,'01-02.2021'!$A$6:$CZ$403,43,FALSE)+VLOOKUP($A286,'1.3.21-28.2.22'!$A$6:$DA$404,43,FALSE)-VLOOKUP($A286,'01-02.2022'!$A$6:$DA$376,43,FALSE)</f>
        <v>3310.9675196707276</v>
      </c>
      <c r="AR286" s="70">
        <f t="shared" si="332"/>
        <v>-1374.0718054442696</v>
      </c>
      <c r="AS286" s="566">
        <f>VLOOKUP($A286,'01-02.2021'!$A$6:$CZ$403,45,FALSE)+VLOOKUP($A286,'1.3.21-28.2.22'!$A$6:$DA$404,45,FALSE)-VLOOKUP($A286,'01-02.2022'!$A$6:$DA$376,45,FALSE)</f>
        <v>81598.62570411613</v>
      </c>
      <c r="AT286" s="566">
        <f>VLOOKUP($A286,'01-02.2021'!$A$6:$CZ$403,46,FALSE)+VLOOKUP($A286,'1.3.21-28.2.22'!$A$6:$DA$404,46,FALSE)-VLOOKUP($A286,'01-02.2022'!$A$6:$DA$376,46,FALSE)</f>
        <v>128768</v>
      </c>
      <c r="AU286" s="78">
        <f t="shared" si="333"/>
        <v>47169.37429588387</v>
      </c>
      <c r="AV286" s="566">
        <f>VLOOKUP($A286,'01-02.2021'!$A$6:$CZ$403,48,FALSE)+VLOOKUP($A286,'1.3.21-28.2.22'!$A$6:$DA$404,48,FALSE)-VLOOKUP($A286,'01-02.2022'!$A$6:$DA$376,48,FALSE)</f>
        <v>3133.0459657119636</v>
      </c>
      <c r="AW286" s="566">
        <f>VLOOKUP($A286,'01-02.2021'!$A$6:$CZ$403,49,FALSE)+VLOOKUP($A286,'1.3.21-28.2.22'!$A$6:$DA$404,49,FALSE)-VLOOKUP($A286,'01-02.2022'!$A$6:$DA$376,49,FALSE)</f>
        <v>875.17000000000007</v>
      </c>
      <c r="AX286" s="55">
        <f t="shared" si="334"/>
        <v>-2257.8759657119635</v>
      </c>
      <c r="AY286" s="566">
        <f>VLOOKUP($A286,'01-02.2021'!$A$6:$CZ$403,51,FALSE)+VLOOKUP($A286,'1.3.21-28.2.22'!$A$6:$DA$404,51,FALSE)-VLOOKUP($A286,'01-02.2022'!$A$6:$DA$376,51,FALSE)</f>
        <v>3457.9795495017852</v>
      </c>
      <c r="AZ286" s="566">
        <f>VLOOKUP($A286,'01-02.2021'!$A$6:$CZ$403,52,FALSE)+VLOOKUP($A286,'1.3.21-28.2.22'!$A$6:$DA$404,52,FALSE)-VLOOKUP($A286,'01-02.2022'!$A$6:$DA$376,52,FALSE)</f>
        <v>32</v>
      </c>
      <c r="BA286" s="38">
        <f t="shared" si="335"/>
        <v>-3425.9795495017852</v>
      </c>
      <c r="BB286" s="566">
        <f>VLOOKUP($A286,'01-02.2021'!$A$6:$CZ$403,54,FALSE)+VLOOKUP($A286,'1.3.21-28.2.22'!$A$6:$DA$404,54,FALSE)-VLOOKUP($A286,'01-02.2022'!$A$6:$DA$376,54,FALSE)</f>
        <v>2318.3108646567721</v>
      </c>
      <c r="BC286" s="566">
        <f>VLOOKUP($A286,'01-02.2021'!$A$6:$CZ$403,55,FALSE)+VLOOKUP($A286,'1.3.21-28.2.22'!$A$6:$DA$404,55,FALSE)-VLOOKUP($A286,'01-02.2022'!$A$6:$DA$376,55,FALSE)</f>
        <v>0</v>
      </c>
      <c r="BD286" s="55">
        <f t="shared" si="336"/>
        <v>-2318.3108646567721</v>
      </c>
      <c r="BE286" s="566">
        <f>VLOOKUP($A286,'01-02.2021'!$A$6:$CZ$403,57,FALSE)+VLOOKUP($A286,'1.3.21-28.2.22'!$A$6:$DA$404,57,FALSE)-VLOOKUP($A286,'01-02.2022'!$A$6:$DA$376,57,FALSE)</f>
        <v>3946.7168325800267</v>
      </c>
      <c r="BF286" s="566">
        <f>VLOOKUP($A286,'01-02.2021'!$A$6:$CZ$403,58,FALSE)+VLOOKUP($A286,'1.3.21-28.2.22'!$A$6:$DA$404,58,FALSE)-VLOOKUP($A286,'01-02.2022'!$A$6:$DA$376,58,FALSE)</f>
        <v>0</v>
      </c>
      <c r="BG286" s="55">
        <f t="shared" si="337"/>
        <v>-3946.7168325800267</v>
      </c>
      <c r="BH286" s="566">
        <f>VLOOKUP($A286,'01-02.2021'!$A$6:$CZ$403,60,FALSE)+VLOOKUP($A286,'1.3.21-28.2.22'!$A$6:$DA$404,60,FALSE)-VLOOKUP($A286,'01-02.2022'!$A$6:$DA$376,60,FALSE)</f>
        <v>956.74251482561169</v>
      </c>
      <c r="BI286" s="566">
        <f>VLOOKUP($A286,'01-02.2021'!$A$6:$CZ$403,61,FALSE)+VLOOKUP($A286,'1.3.21-28.2.22'!$A$6:$DA$404,61,FALSE)-VLOOKUP($A286,'01-02.2022'!$A$6:$DA$376,61,FALSE)</f>
        <v>0</v>
      </c>
      <c r="BJ286" s="55">
        <f t="shared" si="338"/>
        <v>-956.74251482561169</v>
      </c>
      <c r="BK286" s="566">
        <f>VLOOKUP($A286,'01-02.2021'!$A$6:$CZ$403,63,FALSE)+VLOOKUP($A286,'1.3.21-28.2.22'!$A$6:$DA$404,63,FALSE)-VLOOKUP($A286,'01-02.2022'!$A$6:$DA$376,63,FALSE)</f>
        <v>3730.1724704204598</v>
      </c>
      <c r="BL286" s="566">
        <f>VLOOKUP($A286,'01-02.2021'!$A$6:$CZ$403,64,FALSE)+VLOOKUP($A286,'1.3.21-28.2.22'!$A$6:$DA$404,64,FALSE)-VLOOKUP($A286,'01-02.2022'!$A$6:$DA$376,64,FALSE)</f>
        <v>0</v>
      </c>
      <c r="BM286" s="55">
        <f t="shared" si="339"/>
        <v>-3730.1724704204598</v>
      </c>
      <c r="BN286" s="566">
        <f>VLOOKUP($A286,'01-02.2021'!$A$6:$CZ$403,66,FALSE)+VLOOKUP($A286,'1.3.21-28.2.22'!$A$6:$DA$404,66,FALSE)-VLOOKUP($A286,'01-02.2022'!$A$6:$DA$376,66,FALSE)</f>
        <v>284.37900000000002</v>
      </c>
      <c r="BO286" s="566">
        <f>VLOOKUP($A286,'01-02.2021'!$A$6:$CZ$403,67,FALSE)+VLOOKUP($A286,'1.3.21-28.2.22'!$A$6:$DA$404,67,FALSE)-VLOOKUP($A286,'01-02.2022'!$A$6:$DA$376,67,FALSE)</f>
        <v>0</v>
      </c>
      <c r="BP286" s="55">
        <f t="shared" si="340"/>
        <v>-284.37900000000002</v>
      </c>
      <c r="BQ286" s="77">
        <f t="shared" si="348"/>
        <v>17827.347197696621</v>
      </c>
      <c r="BR286" s="40">
        <f t="shared" si="349"/>
        <v>907.17000000000007</v>
      </c>
      <c r="BS286" s="55">
        <f t="shared" si="314"/>
        <v>-16920.177197696619</v>
      </c>
      <c r="BT286" s="566">
        <f>VLOOKUP($A286,'01-02.2021'!$A$6:$CZ$403,72,FALSE)+VLOOKUP($A286,'1.3.21-28.2.22'!$A$6:$DA$404,72,FALSE)-VLOOKUP($A286,'01-02.2022'!$A$6:$DA$376,72,FALSE)</f>
        <v>62749.646263028655</v>
      </c>
      <c r="BU286" s="566">
        <f>VLOOKUP($A286,'01-02.2021'!$A$6:$CZ$403,73,FALSE)+VLOOKUP($A286,'1.3.21-28.2.22'!$A$6:$DA$404,73,FALSE)-VLOOKUP($A286,'01-02.2022'!$A$6:$DA$376,73,FALSE)</f>
        <v>64537.784790842576</v>
      </c>
      <c r="BV286" s="70">
        <f t="shared" si="341"/>
        <v>1788.1385278139205</v>
      </c>
      <c r="BW286" s="566">
        <f>VLOOKUP($A286,'01-02.2021'!$A$6:$CZ$403,75,FALSE)+VLOOKUP($A286,'1.3.21-28.2.22'!$A$6:$DA$404,75,FALSE)-VLOOKUP($A286,'01-02.2022'!$A$6:$DA$376,75,FALSE)</f>
        <v>31921.987663204865</v>
      </c>
      <c r="BX286" s="566">
        <f>VLOOKUP($A286,'01-02.2021'!$A$6:$CZ$403,76,FALSE)+VLOOKUP($A286,'1.3.21-28.2.22'!$A$6:$DA$404,76,FALSE)-VLOOKUP($A286,'01-02.2022'!$A$6:$DA$376,76,FALSE)</f>
        <v>33804.718985574124</v>
      </c>
      <c r="BY286" s="70">
        <f t="shared" si="342"/>
        <v>1882.7313223692581</v>
      </c>
      <c r="BZ286" s="566">
        <f>VLOOKUP($A286,'01-02.2021'!$A$6:$CZ$403,78,FALSE)+VLOOKUP($A286,'1.3.21-28.2.22'!$A$6:$DA$404,78,FALSE)-VLOOKUP($A286,'01-02.2022'!$A$6:$DA$376,78,FALSE)</f>
        <v>9175.7711781072121</v>
      </c>
      <c r="CA286" s="566">
        <f>VLOOKUP($A286,'01-02.2021'!$A$6:$CZ$403,79,FALSE)+VLOOKUP($A286,'1.3.21-28.2.22'!$A$6:$DA$404,79,FALSE)-VLOOKUP($A286,'01-02.2022'!$A$6:$DA$376,79,FALSE)</f>
        <v>13460.308958380623</v>
      </c>
      <c r="CB286" s="70">
        <f t="shared" si="343"/>
        <v>4284.537780273411</v>
      </c>
      <c r="CC286" s="566">
        <f>VLOOKUP($A286,'01-02.2021'!$A$6:$CZ$403,81,FALSE)+VLOOKUP($A286,'1.3.21-28.2.22'!$A$6:$DA$404,81,FALSE)-VLOOKUP($A286,'01-02.2022'!$A$6:$DA$376,81,FALSE)</f>
        <v>2470.6226982066919</v>
      </c>
      <c r="CD286" s="566">
        <f>VLOOKUP($A286,'01-02.2021'!$A$6:$CZ$403,82,FALSE)+VLOOKUP($A286,'1.3.21-28.2.22'!$A$6:$DA$404,82,FALSE)-VLOOKUP($A286,'01-02.2022'!$A$6:$DA$376,82,FALSE)</f>
        <v>2690.2498535915552</v>
      </c>
      <c r="CE286" s="70">
        <f t="shared" si="344"/>
        <v>219.62715538486327</v>
      </c>
      <c r="CF286" s="566">
        <f>VLOOKUP($A286,'01-02.2021'!$A$6:$CZ$403,84,FALSE)+VLOOKUP($A286,'1.3.21-28.2.22'!$A$6:$DA$404,84,FALSE)-VLOOKUP($A286,'01-02.2022'!$A$6:$DA$376,84,FALSE)</f>
        <v>299.22907144279822</v>
      </c>
      <c r="CG286" s="566">
        <f>VLOOKUP($A286,'01-02.2021'!$A$6:$CZ$403,85,FALSE)+VLOOKUP($A286,'1.3.21-28.2.22'!$A$6:$DA$404,85,FALSE)-VLOOKUP($A286,'01-02.2022'!$A$6:$DA$376,85,FALSE)</f>
        <v>0</v>
      </c>
      <c r="CH286" s="70">
        <f t="shared" si="345"/>
        <v>-299.22907144279822</v>
      </c>
      <c r="CI286" s="566">
        <f>VLOOKUP($A286,'01-02.2021'!$A$6:$CZ$403,87,FALSE)+VLOOKUP($A286,'1.3.21-28.2.22'!$A$6:$DA$404,87,FALSE)-VLOOKUP($A286,'01-02.2022'!$A$6:$DA$376,87,FALSE)</f>
        <v>18125.966176033027</v>
      </c>
      <c r="CJ286" s="566">
        <f>VLOOKUP($A286,'01-02.2021'!$A$6:$CZ$403,88,FALSE)+VLOOKUP($A286,'1.3.21-28.2.22'!$A$6:$DA$404,88,FALSE)-VLOOKUP($A286,'01-02.2022'!$A$6:$DA$376,88,FALSE)</f>
        <v>18060.058406504941</v>
      </c>
      <c r="CK286" s="70">
        <f t="shared" si="346"/>
        <v>-65.907769528086646</v>
      </c>
      <c r="CL286" s="566">
        <f>VLOOKUP($A286,'01-02.2021'!$A$6:$CZ$403,90,FALSE)+VLOOKUP($A286,'1.3.21-28.2.22'!$A$6:$DA$404,90,FALSE)-VLOOKUP($A286,'01-02.2022'!$A$6:$DA$376,90,FALSE)</f>
        <v>9563.0023652146629</v>
      </c>
      <c r="CM286" s="566">
        <f>VLOOKUP($A286,'01-02.2021'!$A$6:$CZ$403,91,FALSE)+VLOOKUP($A286,'1.3.21-28.2.22'!$A$6:$DA$404,91,FALSE)-VLOOKUP($A286,'01-02.2022'!$A$6:$DA$376,91,FALSE)</f>
        <v>9830.051701576569</v>
      </c>
      <c r="CN286" s="52">
        <f t="shared" si="303"/>
        <v>267.04933636190617</v>
      </c>
      <c r="CO286" s="39">
        <f t="shared" si="298"/>
        <v>27688.96854124769</v>
      </c>
      <c r="CP286" s="40">
        <f t="shared" si="304"/>
        <v>27890.11010808151</v>
      </c>
      <c r="CQ286" s="52">
        <f t="shared" si="305"/>
        <v>201.14156683381952</v>
      </c>
      <c r="CR286" s="72">
        <f t="shared" si="299"/>
        <v>379476.86842628481</v>
      </c>
      <c r="CS286" s="5">
        <f t="shared" si="299"/>
        <v>417363.30995089631</v>
      </c>
      <c r="CT286" s="52">
        <f t="shared" si="306"/>
        <v>37886.441524611495</v>
      </c>
      <c r="CU286" s="77">
        <f t="shared" si="307"/>
        <v>455372.24211154174</v>
      </c>
      <c r="CV286" s="65">
        <f t="shared" si="308"/>
        <v>500835.97194107552</v>
      </c>
      <c r="CW286" s="35">
        <f t="shared" si="309"/>
        <v>45463.729829533782</v>
      </c>
      <c r="CX286" s="566">
        <f>VLOOKUP($A286,'01-02.2021'!$A$6:$CZ$403,102,FALSE)+VLOOKUP($A286,'1.3.21-28.2.22'!$A$6:$DA$404,102,FALSE)-VLOOKUP($A286,'01-02.2022'!$A$6:$DA$376,102,FALSE)</f>
        <v>12981.370858032227</v>
      </c>
      <c r="CY286" s="566">
        <f>VLOOKUP($A286,'01-02.2021'!$A$6:$CZ$403,103,FALSE)+VLOOKUP($A286,'1.3.21-28.2.22'!$A$6:$DA$404,103,FALSE)-VLOOKUP($A286,'01-02.2022'!$A$6:$DA$376,103,FALSE)</f>
        <v>-32482.358971501599</v>
      </c>
      <c r="CZ286" s="52">
        <f t="shared" si="310"/>
        <v>-45463.729829533826</v>
      </c>
      <c r="DA286" s="150">
        <f>'[2]побудинковий звіт'!DA286</f>
        <v>-4333.1905810716926</v>
      </c>
      <c r="DB286" s="2">
        <v>2</v>
      </c>
      <c r="DC286" s="414">
        <f>'[4]побудинковий звіт'!DC286</f>
        <v>98723.77</v>
      </c>
      <c r="DD286" s="414">
        <f>'[4]побудинковий звіт'!DD286</f>
        <v>0</v>
      </c>
      <c r="DE286" s="557">
        <f>'[4]побудинковий звіт'!DE286</f>
        <v>56426.275821486845</v>
      </c>
      <c r="DF286" s="557">
        <f>'[4]побудинковий звіт'!DF286</f>
        <v>0</v>
      </c>
      <c r="DG286" s="321">
        <f>VLOOKUP(A286,'кошти 01.03.2021'!$A$6:$D$401,4,)</f>
        <v>-25612.702455995481</v>
      </c>
      <c r="DH286" s="40">
        <f>'[3]побудинковий звіт'!DJ286</f>
        <v>483790.24137274438</v>
      </c>
      <c r="DI286" s="422">
        <f>'[3]побудинковий звіт'!CU286+'[3]побудинковий звіт'!CX286</f>
        <v>42297.49417851316</v>
      </c>
      <c r="DJ286" s="306">
        <f>'[3]побудинковий звіт'!DM286</f>
        <v>5.7222200775467051</v>
      </c>
      <c r="DK286" s="306">
        <f>'[3]побудинковий звіт'!DN286</f>
        <v>7.6428375702846045</v>
      </c>
      <c r="DL286" s="306">
        <f>'[3]побудинковий звіт'!DO286</f>
        <v>5.1367542031353928</v>
      </c>
      <c r="DM286" s="28">
        <f t="shared" si="347"/>
        <v>42297.49417851316</v>
      </c>
      <c r="DN286" s="28">
        <f>DL286*H286</f>
        <v>0</v>
      </c>
      <c r="DO286" s="423">
        <f t="shared" si="319"/>
        <v>42297.49417851316</v>
      </c>
      <c r="DP286" s="94">
        <f t="shared" si="320"/>
        <v>0</v>
      </c>
      <c r="DQ286" s="28">
        <f t="shared" si="321"/>
        <v>42297.49417851316</v>
      </c>
      <c r="DR286" s="318"/>
      <c r="DT286" s="8"/>
      <c r="DU286" s="5"/>
      <c r="DX286" s="5">
        <f t="shared" si="322"/>
        <v>119311.1674821753</v>
      </c>
      <c r="DY286" s="5">
        <f t="shared" si="323"/>
        <v>155610.204</v>
      </c>
      <c r="DZ286" s="159">
        <f>'[3]побудинковий звіт'!EA286</f>
        <v>11292.64184073656</v>
      </c>
    </row>
    <row r="287" spans="1:130" x14ac:dyDescent="0.3">
      <c r="A287" s="325">
        <v>150000761</v>
      </c>
      <c r="B287" s="41" t="s">
        <v>733</v>
      </c>
      <c r="C287" s="42" t="s">
        <v>391</v>
      </c>
      <c r="D287" s="42"/>
      <c r="E287" s="293">
        <f t="shared" si="296"/>
        <v>6815.39</v>
      </c>
      <c r="F287" s="305">
        <f>'[3]побудинковий звіт'!F287</f>
        <v>6720.79</v>
      </c>
      <c r="G287" s="508">
        <f>'[3]побудинковий звіт'!G287</f>
        <v>727.4</v>
      </c>
      <c r="H287" s="560">
        <f>'[3]побудинковий звіт'!H287</f>
        <v>94.6</v>
      </c>
      <c r="I287" s="566">
        <f>VLOOKUP($A287,'01-02.2021'!$A$6:$CZ$403,9,FALSE)+VLOOKUP($A287,'1.3.21-28.2.22'!$A$6:$DA$404,9,FALSE)-VLOOKUP($A287,'01-02.2022'!$A$6:$DA$376,9,FALSE)</f>
        <v>14808.379553735675</v>
      </c>
      <c r="J287" s="566">
        <f>VLOOKUP($A287,'01-02.2021'!$A$6:$CZ$403,10,FALSE)+VLOOKUP($A287,'1.3.21-28.2.22'!$A$6:$DA$404,10,FALSE)-VLOOKUP($A287,'01-02.2022'!$A$6:$DA$376,10,FALSE)</f>
        <v>16613.876270679666</v>
      </c>
      <c r="K287" s="52">
        <f t="shared" si="300"/>
        <v>1805.4967169439915</v>
      </c>
      <c r="L287" s="566">
        <f>VLOOKUP($A287,'01-02.2021'!$A$6:$CZ$403,12,FALSE)+VLOOKUP($A287,'1.3.21-28.2.22'!$A$6:$DA$404,12,FALSE)-VLOOKUP($A287,'01-02.2022'!$A$6:$DA$376,12,FALSE)</f>
        <v>2311.4790443606644</v>
      </c>
      <c r="M287" s="566">
        <f>VLOOKUP($A287,'01-02.2021'!$A$6:$CZ$403,13,FALSE)+VLOOKUP($A287,'1.3.21-28.2.22'!$A$6:$DA$404,13,FALSE)-VLOOKUP($A287,'01-02.2022'!$A$6:$DA$376,13,FALSE)</f>
        <v>2544.994285621211</v>
      </c>
      <c r="N287" s="52">
        <f t="shared" si="301"/>
        <v>233.51524126054665</v>
      </c>
      <c r="O287" s="566">
        <f>VLOOKUP($A287,'01-02.2021'!$A$6:$CZ$403,15,FALSE)+VLOOKUP($A287,'1.3.21-28.2.22'!$A$6:$DA$404,15,FALSE)-VLOOKUP($A287,'01-02.2022'!$A$6:$DA$376,15,FALSE)</f>
        <v>9108.2190760994417</v>
      </c>
      <c r="P287" s="566">
        <f>VLOOKUP($A287,'01-02.2021'!$A$6:$CZ$403,16,FALSE)+VLOOKUP($A287,'1.3.21-28.2.22'!$A$6:$DA$404,16,FALSE)-VLOOKUP($A287,'01-02.2022'!$A$6:$DA$376,16,FALSE)</f>
        <v>9107.6149999999998</v>
      </c>
      <c r="Q287" s="70">
        <f t="shared" si="324"/>
        <v>-0.60407609944195428</v>
      </c>
      <c r="R287" s="566">
        <f>VLOOKUP($A287,'01-02.2021'!$A$6:$CZ$403,18,FALSE)+VLOOKUP($A287,'1.3.21-28.2.22'!$A$6:$DA$404,18,FALSE)-VLOOKUP($A287,'01-02.2022'!$A$6:$DA$376,18,FALSE)</f>
        <v>1821.1623878261748</v>
      </c>
      <c r="S287" s="566">
        <f>VLOOKUP($A287,'01-02.2021'!$A$6:$CZ$403,19,FALSE)+VLOOKUP($A287,'1.3.21-28.2.22'!$A$6:$DA$404,19,FALSE)-VLOOKUP($A287,'01-02.2022'!$A$6:$DA$376,19,FALSE)</f>
        <v>1822.5466666666664</v>
      </c>
      <c r="T287" s="70">
        <f t="shared" si="325"/>
        <v>1.3842788404915609</v>
      </c>
      <c r="U287" s="566">
        <f>VLOOKUP($A287,'01-02.2021'!$A$6:$CZ$403,21,FALSE)+VLOOKUP($A287,'1.3.21-28.2.22'!$A$6:$DA$404,21,FALSE)-VLOOKUP($A287,'01-02.2022'!$A$6:$DA$376,21,FALSE)</f>
        <v>671.36656966572173</v>
      </c>
      <c r="V287" s="566">
        <f>VLOOKUP($A287,'01-02.2021'!$A$6:$CZ$403,22,FALSE)+VLOOKUP($A287,'1.3.21-28.2.22'!$A$6:$DA$404,22,FALSE)-VLOOKUP($A287,'01-02.2022'!$A$6:$DA$376,22,FALSE)</f>
        <v>2221.5148299038328</v>
      </c>
      <c r="W287" s="70">
        <f t="shared" si="326"/>
        <v>1550.1482602381111</v>
      </c>
      <c r="X287" s="566">
        <f>VLOOKUP($A287,'01-02.2021'!$A$6:$CZ$403,24,FALSE)+VLOOKUP($A287,'1.3.21-28.2.22'!$A$6:$DA$404,24,FALSE)-VLOOKUP($A287,'01-02.2022'!$A$6:$DA$376,24,FALSE)</f>
        <v>6757.5502530486519</v>
      </c>
      <c r="Y287" s="566">
        <f>VLOOKUP($A287,'01-02.2021'!$A$6:$CZ$403,25,FALSE)+VLOOKUP($A287,'1.3.21-28.2.22'!$A$6:$DA$404,25,FALSE)-VLOOKUP($A287,'01-02.2022'!$A$6:$DA$376,25,FALSE)</f>
        <v>5546.2759257618945</v>
      </c>
      <c r="Z287" s="70">
        <f t="shared" si="327"/>
        <v>-1211.2743272867574</v>
      </c>
      <c r="AA287" s="566">
        <f>VLOOKUP($A287,'01-02.2021'!$A$6:$CZ$403,27,FALSE)+VLOOKUP($A287,'1.3.21-28.2.22'!$A$6:$DA$404,27,FALSE)-VLOOKUP($A287,'01-02.2022'!$A$6:$DA$376,27,FALSE)</f>
        <v>1344.1579999999999</v>
      </c>
      <c r="AB287" s="566">
        <f>VLOOKUP($A287,'01-02.2021'!$A$6:$CZ$403,28,FALSE)+VLOOKUP($A287,'1.3.21-28.2.22'!$A$6:$DA$404,28,FALSE)-VLOOKUP($A287,'01-02.2022'!$A$6:$DA$376,28,FALSE)</f>
        <v>0</v>
      </c>
      <c r="AC287" s="70">
        <f t="shared" si="328"/>
        <v>-1344.1579999999999</v>
      </c>
      <c r="AD287" s="566">
        <f>VLOOKUP($A287,'01-02.2021'!$A$6:$CZ$403,30,FALSE)+VLOOKUP($A287,'1.3.21-28.2.22'!$A$6:$DA$404,30,FALSE)-VLOOKUP($A287,'01-02.2022'!$A$6:$DA$376,30,FALSE)</f>
        <v>29103.71350137001</v>
      </c>
      <c r="AE287" s="566">
        <f>VLOOKUP($A287,'01-02.2021'!$A$6:$CZ$403,31,FALSE)+VLOOKUP($A287,'1.3.21-28.2.22'!$A$6:$DA$404,31,FALSE)-VLOOKUP($A287,'01-02.2022'!$A$6:$DA$376,31,FALSE)</f>
        <v>31023.929887400154</v>
      </c>
      <c r="AF287" s="68">
        <f t="shared" si="329"/>
        <v>1920.2163860301443</v>
      </c>
      <c r="AG287" s="77">
        <f t="shared" si="297"/>
        <v>65926.028386106336</v>
      </c>
      <c r="AH287" s="53">
        <f t="shared" si="297"/>
        <v>68880.752866033421</v>
      </c>
      <c r="AI287" s="52">
        <f t="shared" si="302"/>
        <v>2954.7244799270848</v>
      </c>
      <c r="AJ287" s="566">
        <f>VLOOKUP($A287,'01-02.2021'!$A$6:$CZ$403,36,FALSE)+VLOOKUP($A287,'1.3.21-28.2.22'!$A$6:$DA$404,36,FALSE)-VLOOKUP($A287,'01-02.2022'!$A$6:$DA$376,36,FALSE)</f>
        <v>47409.639998754283</v>
      </c>
      <c r="AK287" s="566">
        <f>VLOOKUP($A287,'01-02.2021'!$A$6:$CZ$403,37,FALSE)+VLOOKUP($A287,'1.3.21-28.2.22'!$A$6:$DA$404,37,FALSE)-VLOOKUP($A287,'01-02.2022'!$A$6:$DA$376,37,FALSE)</f>
        <v>47116.406623290153</v>
      </c>
      <c r="AL287" s="70">
        <f t="shared" si="330"/>
        <v>-293.23337546412949</v>
      </c>
      <c r="AM287" s="566">
        <f>VLOOKUP($A287,'01-02.2021'!$A$6:$CZ$403,39,FALSE)+VLOOKUP($A287,'1.3.21-28.2.22'!$A$6:$DA$404,39,FALSE)-VLOOKUP($A287,'01-02.2022'!$A$6:$DA$376,39,FALSE)</f>
        <v>0</v>
      </c>
      <c r="AN287" s="566">
        <f>VLOOKUP($A287,'01-02.2021'!$A$6:$CZ$403,40,FALSE)+VLOOKUP($A287,'1.3.21-28.2.22'!$A$6:$DA$404,40,FALSE)-VLOOKUP($A287,'01-02.2022'!$A$6:$DA$376,40,FALSE)</f>
        <v>0</v>
      </c>
      <c r="AO287" s="70">
        <f t="shared" si="331"/>
        <v>0</v>
      </c>
      <c r="AP287" s="566">
        <f>VLOOKUP($A287,'01-02.2021'!$A$6:$CZ$403,42,FALSE)+VLOOKUP($A287,'1.3.21-28.2.22'!$A$6:$DA$404,42,FALSE)-VLOOKUP($A287,'01-02.2022'!$A$6:$DA$376,42,FALSE)</f>
        <v>3904.1994375958316</v>
      </c>
      <c r="AQ287" s="566">
        <f>VLOOKUP($A287,'01-02.2021'!$A$6:$CZ$403,43,FALSE)+VLOOKUP($A287,'1.3.21-28.2.22'!$A$6:$DA$404,43,FALSE)-VLOOKUP($A287,'01-02.2022'!$A$6:$DA$376,43,FALSE)</f>
        <v>3346.1929471566241</v>
      </c>
      <c r="AR287" s="70">
        <f t="shared" si="332"/>
        <v>-558.00649043920748</v>
      </c>
      <c r="AS287" s="566">
        <f>VLOOKUP($A287,'01-02.2021'!$A$6:$CZ$403,45,FALSE)+VLOOKUP($A287,'1.3.21-28.2.22'!$A$6:$DA$404,45,FALSE)-VLOOKUP($A287,'01-02.2022'!$A$6:$DA$376,45,FALSE)</f>
        <v>70077.389136441736</v>
      </c>
      <c r="AT287" s="566">
        <f>VLOOKUP($A287,'01-02.2021'!$A$6:$CZ$403,46,FALSE)+VLOOKUP($A287,'1.3.21-28.2.22'!$A$6:$DA$404,46,FALSE)-VLOOKUP($A287,'01-02.2022'!$A$6:$DA$376,46,FALSE)</f>
        <v>3553.4750580028413</v>
      </c>
      <c r="AU287" s="78">
        <f t="shared" si="333"/>
        <v>-66523.914078438887</v>
      </c>
      <c r="AV287" s="566">
        <f>VLOOKUP($A287,'01-02.2021'!$A$6:$CZ$403,48,FALSE)+VLOOKUP($A287,'1.3.21-28.2.22'!$A$6:$DA$404,48,FALSE)-VLOOKUP($A287,'01-02.2022'!$A$6:$DA$376,48,FALSE)</f>
        <v>2834.9087844943269</v>
      </c>
      <c r="AW287" s="566">
        <f>VLOOKUP($A287,'01-02.2021'!$A$6:$CZ$403,49,FALSE)+VLOOKUP($A287,'1.3.21-28.2.22'!$A$6:$DA$404,49,FALSE)-VLOOKUP($A287,'01-02.2022'!$A$6:$DA$376,49,FALSE)</f>
        <v>1028</v>
      </c>
      <c r="AX287" s="55">
        <f t="shared" si="334"/>
        <v>-1806.9087844943269</v>
      </c>
      <c r="AY287" s="566">
        <f>VLOOKUP($A287,'01-02.2021'!$A$6:$CZ$403,51,FALSE)+VLOOKUP($A287,'1.3.21-28.2.22'!$A$6:$DA$404,51,FALSE)-VLOOKUP($A287,'01-02.2022'!$A$6:$DA$376,51,FALSE)</f>
        <v>3140.1348497877734</v>
      </c>
      <c r="AZ287" s="566">
        <f>VLOOKUP($A287,'01-02.2021'!$A$6:$CZ$403,52,FALSE)+VLOOKUP($A287,'1.3.21-28.2.22'!$A$6:$DA$404,52,FALSE)-VLOOKUP($A287,'01-02.2022'!$A$6:$DA$376,52,FALSE)</f>
        <v>1804.65</v>
      </c>
      <c r="BA287" s="38">
        <f t="shared" si="335"/>
        <v>-1335.4848497877733</v>
      </c>
      <c r="BB287" s="566">
        <f>VLOOKUP($A287,'01-02.2021'!$A$6:$CZ$403,54,FALSE)+VLOOKUP($A287,'1.3.21-28.2.22'!$A$6:$DA$404,54,FALSE)-VLOOKUP($A287,'01-02.2022'!$A$6:$DA$376,54,FALSE)</f>
        <v>2307.6880101810625</v>
      </c>
      <c r="BC287" s="566">
        <f>VLOOKUP($A287,'01-02.2021'!$A$6:$CZ$403,55,FALSE)+VLOOKUP($A287,'1.3.21-28.2.22'!$A$6:$DA$404,55,FALSE)-VLOOKUP($A287,'01-02.2022'!$A$6:$DA$376,55,FALSE)</f>
        <v>2521</v>
      </c>
      <c r="BD287" s="55">
        <f t="shared" si="336"/>
        <v>213.31198981893749</v>
      </c>
      <c r="BE287" s="566">
        <f>VLOOKUP($A287,'01-02.2021'!$A$6:$CZ$403,57,FALSE)+VLOOKUP($A287,'1.3.21-28.2.22'!$A$6:$DA$404,57,FALSE)-VLOOKUP($A287,'01-02.2022'!$A$6:$DA$376,57,FALSE)</f>
        <v>3482.4335439987935</v>
      </c>
      <c r="BF287" s="566">
        <f>VLOOKUP($A287,'01-02.2021'!$A$6:$CZ$403,58,FALSE)+VLOOKUP($A287,'1.3.21-28.2.22'!$A$6:$DA$404,58,FALSE)-VLOOKUP($A287,'01-02.2022'!$A$6:$DA$376,58,FALSE)</f>
        <v>578</v>
      </c>
      <c r="BG287" s="55">
        <f t="shared" si="337"/>
        <v>-2904.4335439987935</v>
      </c>
      <c r="BH287" s="566">
        <f>VLOOKUP($A287,'01-02.2021'!$A$6:$CZ$403,60,FALSE)+VLOOKUP($A287,'1.3.21-28.2.22'!$A$6:$DA$404,60,FALSE)-VLOOKUP($A287,'01-02.2022'!$A$6:$DA$376,60,FALSE)</f>
        <v>1183.3322220502187</v>
      </c>
      <c r="BI287" s="566">
        <f>VLOOKUP($A287,'01-02.2021'!$A$6:$CZ$403,61,FALSE)+VLOOKUP($A287,'1.3.21-28.2.22'!$A$6:$DA$404,61,FALSE)-VLOOKUP($A287,'01-02.2022'!$A$6:$DA$376,61,FALSE)</f>
        <v>0</v>
      </c>
      <c r="BJ287" s="55">
        <f t="shared" si="338"/>
        <v>-1183.3322220502187</v>
      </c>
      <c r="BK287" s="566">
        <f>VLOOKUP($A287,'01-02.2021'!$A$6:$CZ$403,63,FALSE)+VLOOKUP($A287,'1.3.21-28.2.22'!$A$6:$DA$404,63,FALSE)-VLOOKUP($A287,'01-02.2022'!$A$6:$DA$376,63,FALSE)</f>
        <v>1539.5287036208697</v>
      </c>
      <c r="BL287" s="566">
        <f>VLOOKUP($A287,'01-02.2021'!$A$6:$CZ$403,64,FALSE)+VLOOKUP($A287,'1.3.21-28.2.22'!$A$6:$DA$404,64,FALSE)-VLOOKUP($A287,'01-02.2022'!$A$6:$DA$376,64,FALSE)</f>
        <v>631</v>
      </c>
      <c r="BM287" s="55">
        <f t="shared" si="339"/>
        <v>-908.52870362086969</v>
      </c>
      <c r="BN287" s="566">
        <f>VLOOKUP($A287,'01-02.2021'!$A$6:$CZ$403,66,FALSE)+VLOOKUP($A287,'1.3.21-28.2.22'!$A$6:$DA$404,66,FALSE)-VLOOKUP($A287,'01-02.2022'!$A$6:$DA$376,66,FALSE)</f>
        <v>336.03949999999998</v>
      </c>
      <c r="BO287" s="566">
        <f>VLOOKUP($A287,'01-02.2021'!$A$6:$CZ$403,67,FALSE)+VLOOKUP($A287,'1.3.21-28.2.22'!$A$6:$DA$404,67,FALSE)-VLOOKUP($A287,'01-02.2022'!$A$6:$DA$376,67,FALSE)</f>
        <v>0</v>
      </c>
      <c r="BP287" s="55">
        <f t="shared" si="340"/>
        <v>-336.03949999999998</v>
      </c>
      <c r="BQ287" s="77">
        <f t="shared" si="348"/>
        <v>14824.065614133047</v>
      </c>
      <c r="BR287" s="40">
        <f t="shared" si="349"/>
        <v>6562.65</v>
      </c>
      <c r="BS287" s="55">
        <f t="shared" si="314"/>
        <v>-8261.4156141330477</v>
      </c>
      <c r="BT287" s="566">
        <f>VLOOKUP($A287,'01-02.2021'!$A$6:$CZ$403,72,FALSE)+VLOOKUP($A287,'1.3.21-28.2.22'!$A$6:$DA$404,72,FALSE)-VLOOKUP($A287,'01-02.2022'!$A$6:$DA$376,72,FALSE)</f>
        <v>69019.65190384959</v>
      </c>
      <c r="BU287" s="566">
        <f>VLOOKUP($A287,'01-02.2021'!$A$6:$CZ$403,73,FALSE)+VLOOKUP($A287,'1.3.21-28.2.22'!$A$6:$DA$404,73,FALSE)-VLOOKUP($A287,'01-02.2022'!$A$6:$DA$376,73,FALSE)</f>
        <v>74113.805943301704</v>
      </c>
      <c r="BV287" s="70">
        <f t="shared" si="341"/>
        <v>5094.1540394521144</v>
      </c>
      <c r="BW287" s="566">
        <f>VLOOKUP($A287,'01-02.2021'!$A$6:$CZ$403,75,FALSE)+VLOOKUP($A287,'1.3.21-28.2.22'!$A$6:$DA$404,75,FALSE)-VLOOKUP($A287,'01-02.2022'!$A$6:$DA$376,75,FALSE)</f>
        <v>42307.667898029154</v>
      </c>
      <c r="BX287" s="566">
        <f>VLOOKUP($A287,'01-02.2021'!$A$6:$CZ$403,76,FALSE)+VLOOKUP($A287,'1.3.21-28.2.22'!$A$6:$DA$404,76,FALSE)-VLOOKUP($A287,'01-02.2022'!$A$6:$DA$376,76,FALSE)</f>
        <v>41988.20396401787</v>
      </c>
      <c r="BY287" s="70">
        <f t="shared" si="342"/>
        <v>-319.46393401128444</v>
      </c>
      <c r="BZ287" s="566">
        <f>VLOOKUP($A287,'01-02.2021'!$A$6:$CZ$403,78,FALSE)+VLOOKUP($A287,'1.3.21-28.2.22'!$A$6:$DA$404,78,FALSE)-VLOOKUP($A287,'01-02.2022'!$A$6:$DA$376,78,FALSE)</f>
        <v>16387.290476646744</v>
      </c>
      <c r="CA287" s="566">
        <f>VLOOKUP($A287,'01-02.2021'!$A$6:$CZ$403,79,FALSE)+VLOOKUP($A287,'1.3.21-28.2.22'!$A$6:$DA$404,79,FALSE)-VLOOKUP($A287,'01-02.2022'!$A$6:$DA$376,79,FALSE)</f>
        <v>15873.287386871263</v>
      </c>
      <c r="CB287" s="70">
        <f t="shared" si="343"/>
        <v>-514.00308977548048</v>
      </c>
      <c r="CC287" s="566">
        <f>VLOOKUP($A287,'01-02.2021'!$A$6:$CZ$403,81,FALSE)+VLOOKUP($A287,'1.3.21-28.2.22'!$A$6:$DA$404,81,FALSE)-VLOOKUP($A287,'01-02.2022'!$A$6:$DA$376,81,FALSE)</f>
        <v>2160.8846704931175</v>
      </c>
      <c r="CD287" s="566">
        <f>VLOOKUP($A287,'01-02.2021'!$A$6:$CZ$403,82,FALSE)+VLOOKUP($A287,'1.3.21-28.2.22'!$A$6:$DA$404,82,FALSE)-VLOOKUP($A287,'01-02.2022'!$A$6:$DA$376,82,FALSE)</f>
        <v>2349.1520938344211</v>
      </c>
      <c r="CE287" s="70">
        <f t="shared" si="344"/>
        <v>188.26742334130358</v>
      </c>
      <c r="CF287" s="566">
        <f>VLOOKUP($A287,'01-02.2021'!$A$6:$CZ$403,84,FALSE)+VLOOKUP($A287,'1.3.21-28.2.22'!$A$6:$DA$404,84,FALSE)-VLOOKUP($A287,'01-02.2022'!$A$6:$DA$376,84,FALSE)</f>
        <v>261.2897083806335</v>
      </c>
      <c r="CG287" s="566">
        <f>VLOOKUP($A287,'01-02.2021'!$A$6:$CZ$403,85,FALSE)+VLOOKUP($A287,'1.3.21-28.2.22'!$A$6:$DA$404,85,FALSE)-VLOOKUP($A287,'01-02.2022'!$A$6:$DA$376,85,FALSE)</f>
        <v>0</v>
      </c>
      <c r="CH287" s="70">
        <f t="shared" si="345"/>
        <v>-261.2897083806335</v>
      </c>
      <c r="CI287" s="566">
        <f>VLOOKUP($A287,'01-02.2021'!$A$6:$CZ$403,87,FALSE)+VLOOKUP($A287,'1.3.21-28.2.22'!$A$6:$DA$404,87,FALSE)-VLOOKUP($A287,'01-02.2022'!$A$6:$DA$376,87,FALSE)</f>
        <v>22806.116074861387</v>
      </c>
      <c r="CJ287" s="566">
        <f>VLOOKUP($A287,'01-02.2021'!$A$6:$CZ$403,88,FALSE)+VLOOKUP($A287,'1.3.21-28.2.22'!$A$6:$DA$404,88,FALSE)-VLOOKUP($A287,'01-02.2022'!$A$6:$DA$376,88,FALSE)</f>
        <v>21999.705313615472</v>
      </c>
      <c r="CK287" s="70">
        <f t="shared" si="346"/>
        <v>-806.41076124591564</v>
      </c>
      <c r="CL287" s="566">
        <f>VLOOKUP($A287,'01-02.2021'!$A$6:$CZ$403,90,FALSE)+VLOOKUP($A287,'1.3.21-28.2.22'!$A$6:$DA$404,90,FALSE)-VLOOKUP($A287,'01-02.2022'!$A$6:$DA$376,90,FALSE)</f>
        <v>12358.400740214664</v>
      </c>
      <c r="CM287" s="566">
        <f>VLOOKUP($A287,'01-02.2021'!$A$6:$CZ$403,91,FALSE)+VLOOKUP($A287,'1.3.21-28.2.22'!$A$6:$DA$404,91,FALSE)-VLOOKUP($A287,'01-02.2022'!$A$6:$DA$376,91,FALSE)</f>
        <v>17586.008667944807</v>
      </c>
      <c r="CN287" s="52">
        <f t="shared" si="303"/>
        <v>5227.6079277301433</v>
      </c>
      <c r="CO287" s="39">
        <f t="shared" si="298"/>
        <v>35164.516815076051</v>
      </c>
      <c r="CP287" s="40">
        <f t="shared" si="304"/>
        <v>39585.713981560279</v>
      </c>
      <c r="CQ287" s="52">
        <f t="shared" si="305"/>
        <v>4421.1971664842276</v>
      </c>
      <c r="CR287" s="72">
        <f t="shared" si="299"/>
        <v>367442.62404550659</v>
      </c>
      <c r="CS287" s="5">
        <f t="shared" si="299"/>
        <v>303369.64086406858</v>
      </c>
      <c r="CT287" s="52">
        <f t="shared" si="306"/>
        <v>-64072.983181438001</v>
      </c>
      <c r="CU287" s="77">
        <f t="shared" si="307"/>
        <v>440931.14885460789</v>
      </c>
      <c r="CV287" s="65">
        <f t="shared" si="308"/>
        <v>364043.56903688231</v>
      </c>
      <c r="CW287" s="35">
        <f t="shared" si="309"/>
        <v>-76887.579817725578</v>
      </c>
      <c r="CX287" s="566">
        <f>VLOOKUP($A287,'01-02.2021'!$A$6:$CZ$403,102,FALSE)+VLOOKUP($A287,'1.3.21-28.2.22'!$A$6:$DA$404,102,FALSE)-VLOOKUP($A287,'01-02.2022'!$A$6:$DA$376,102,FALSE)</f>
        <v>10431.41214132698</v>
      </c>
      <c r="CY287" s="566">
        <f>VLOOKUP($A287,'01-02.2021'!$A$6:$CZ$403,103,FALSE)+VLOOKUP($A287,'1.3.21-28.2.22'!$A$6:$DA$404,103,FALSE)-VLOOKUP($A287,'01-02.2022'!$A$6:$DA$376,103,FALSE)</f>
        <v>87318.991959052451</v>
      </c>
      <c r="CZ287" s="52">
        <f t="shared" si="310"/>
        <v>76887.579817725476</v>
      </c>
      <c r="DA287" s="150">
        <f>'[2]побудинковий звіт'!DA287</f>
        <v>152841.78725895082</v>
      </c>
      <c r="DB287" s="2">
        <v>2</v>
      </c>
      <c r="DC287" s="414">
        <f>'[4]побудинковий звіт'!DC287</f>
        <v>56116.71</v>
      </c>
      <c r="DD287" s="414">
        <f>'[4]побудинковий звіт'!DD287</f>
        <v>1176.6199999999999</v>
      </c>
      <c r="DE287" s="557">
        <f>'[4]побудинковий звіт'!DE287</f>
        <v>15331.208377189119</v>
      </c>
      <c r="DF287" s="557">
        <f>'[4]побудинковий звіт'!DF287</f>
        <v>839.46999999999991</v>
      </c>
      <c r="DG287" s="321">
        <f>VLOOKUP(A287,'кошти 01.03.2021'!$A$6:$D$401,4,)</f>
        <v>240856.81200531064</v>
      </c>
      <c r="DH287" s="40">
        <f>'[3]побудинковий звіт'!DJ287</f>
        <v>468312.29347620212</v>
      </c>
      <c r="DI287" s="422">
        <f>'[3]побудинковий звіт'!CU287+'[3]побудинковий звіт'!CX287</f>
        <v>41194.002727826854</v>
      </c>
      <c r="DJ287" s="306">
        <f>'[3]побудинковий звіт'!DM287</f>
        <v>5.0613510014502827</v>
      </c>
      <c r="DK287" s="306">
        <f>'[3]побудинковий звіт'!DN287</f>
        <v>6.1907993480077117</v>
      </c>
      <c r="DL287" s="306">
        <f>'[3]побудинковий звіт'!DO287</f>
        <v>4.3181934991117972</v>
      </c>
      <c r="DM287" s="28">
        <f t="shared" si="347"/>
        <v>40785.50162281088</v>
      </c>
      <c r="DN287" s="28">
        <v>337.15</v>
      </c>
      <c r="DO287" s="423">
        <f t="shared" si="319"/>
        <v>41122.651622810881</v>
      </c>
      <c r="DP287" s="94">
        <f t="shared" si="320"/>
        <v>71.35110501597228</v>
      </c>
      <c r="DQ287" s="28">
        <f t="shared" si="321"/>
        <v>41122.651622810881</v>
      </c>
      <c r="DR287" s="318"/>
      <c r="DT287" s="8"/>
      <c r="DU287" s="5"/>
      <c r="DX287" s="5">
        <f t="shared" si="322"/>
        <v>101881.74570068973</v>
      </c>
      <c r="DY287" s="5">
        <f t="shared" si="323"/>
        <v>12139.350069603408</v>
      </c>
      <c r="DZ287" s="159">
        <f>'[3]побудинковий звіт'!EA287</f>
        <v>9382.8768774239088</v>
      </c>
    </row>
    <row r="288" spans="1:130" x14ac:dyDescent="0.3">
      <c r="A288" s="325">
        <v>150000762</v>
      </c>
      <c r="B288" s="41" t="s">
        <v>734</v>
      </c>
      <c r="C288" s="42" t="s">
        <v>392</v>
      </c>
      <c r="D288" s="42"/>
      <c r="E288" s="293">
        <f t="shared" si="296"/>
        <v>2823.8</v>
      </c>
      <c r="F288" s="305">
        <f>'[3]побудинковий звіт'!F288</f>
        <v>2823.8</v>
      </c>
      <c r="G288" s="508">
        <f>'[3]побудинковий звіт'!G288</f>
        <v>312.10000000000002</v>
      </c>
      <c r="H288" s="560">
        <f>'[3]побудинковий звіт'!H288</f>
        <v>0</v>
      </c>
      <c r="I288" s="566">
        <f>VLOOKUP($A288,'01-02.2021'!$A$6:$CZ$403,9,FALSE)+VLOOKUP($A288,'1.3.21-28.2.22'!$A$6:$DA$404,9,FALSE)-VLOOKUP($A288,'01-02.2022'!$A$6:$DA$376,9,FALSE)</f>
        <v>8153.4844273683957</v>
      </c>
      <c r="J288" s="566">
        <f>VLOOKUP($A288,'01-02.2021'!$A$6:$CZ$403,10,FALSE)+VLOOKUP($A288,'1.3.21-28.2.22'!$A$6:$DA$404,10,FALSE)-VLOOKUP($A288,'01-02.2022'!$A$6:$DA$376,10,FALSE)</f>
        <v>9031.8956443524894</v>
      </c>
      <c r="K288" s="52">
        <f t="shared" si="300"/>
        <v>878.4112169840937</v>
      </c>
      <c r="L288" s="566">
        <f>VLOOKUP($A288,'01-02.2021'!$A$6:$CZ$403,12,FALSE)+VLOOKUP($A288,'1.3.21-28.2.22'!$A$6:$DA$404,12,FALSE)-VLOOKUP($A288,'01-02.2022'!$A$6:$DA$376,12,FALSE)</f>
        <v>1347.3925129431304</v>
      </c>
      <c r="M288" s="566">
        <f>VLOOKUP($A288,'01-02.2021'!$A$6:$CZ$403,13,FALSE)+VLOOKUP($A288,'1.3.21-28.2.22'!$A$6:$DA$404,13,FALSE)-VLOOKUP($A288,'01-02.2022'!$A$6:$DA$376,13,FALSE)</f>
        <v>1483.5081021915303</v>
      </c>
      <c r="N288" s="52">
        <f t="shared" si="301"/>
        <v>136.11558924839983</v>
      </c>
      <c r="O288" s="566">
        <f>VLOOKUP($A288,'01-02.2021'!$A$6:$CZ$403,15,FALSE)+VLOOKUP($A288,'1.3.21-28.2.22'!$A$6:$DA$404,15,FALSE)-VLOOKUP($A288,'01-02.2022'!$A$6:$DA$376,15,FALSE)</f>
        <v>0</v>
      </c>
      <c r="P288" s="566">
        <f>VLOOKUP($A288,'01-02.2021'!$A$6:$CZ$403,16,FALSE)+VLOOKUP($A288,'1.3.21-28.2.22'!$A$6:$DA$404,16,FALSE)-VLOOKUP($A288,'01-02.2022'!$A$6:$DA$376,16,FALSE)</f>
        <v>0</v>
      </c>
      <c r="Q288" s="70">
        <f t="shared" si="324"/>
        <v>0</v>
      </c>
      <c r="R288" s="566">
        <f>VLOOKUP($A288,'01-02.2021'!$A$6:$CZ$403,18,FALSE)+VLOOKUP($A288,'1.3.21-28.2.22'!$A$6:$DA$404,18,FALSE)-VLOOKUP($A288,'01-02.2022'!$A$6:$DA$376,18,FALSE)</f>
        <v>0</v>
      </c>
      <c r="S288" s="566">
        <f>VLOOKUP($A288,'01-02.2021'!$A$6:$CZ$403,19,FALSE)+VLOOKUP($A288,'1.3.21-28.2.22'!$A$6:$DA$404,19,FALSE)-VLOOKUP($A288,'01-02.2022'!$A$6:$DA$376,19,FALSE)</f>
        <v>0</v>
      </c>
      <c r="T288" s="70">
        <f t="shared" si="325"/>
        <v>0</v>
      </c>
      <c r="U288" s="566">
        <f>VLOOKUP($A288,'01-02.2021'!$A$6:$CZ$403,21,FALSE)+VLOOKUP($A288,'1.3.21-28.2.22'!$A$6:$DA$404,21,FALSE)-VLOOKUP($A288,'01-02.2022'!$A$6:$DA$376,21,FALSE)</f>
        <v>335.82127994245559</v>
      </c>
      <c r="V288" s="566">
        <f>VLOOKUP($A288,'01-02.2021'!$A$6:$CZ$403,22,FALSE)+VLOOKUP($A288,'1.3.21-28.2.22'!$A$6:$DA$404,22,FALSE)-VLOOKUP($A288,'01-02.2022'!$A$6:$DA$376,22,FALSE)</f>
        <v>1111.1976517046032</v>
      </c>
      <c r="W288" s="70">
        <f t="shared" si="326"/>
        <v>775.37637176214764</v>
      </c>
      <c r="X288" s="566">
        <f>VLOOKUP($A288,'01-02.2021'!$A$6:$CZ$403,24,FALSE)+VLOOKUP($A288,'1.3.21-28.2.22'!$A$6:$DA$404,24,FALSE)-VLOOKUP($A288,'01-02.2022'!$A$6:$DA$376,24,FALSE)</f>
        <v>2915.5609566254752</v>
      </c>
      <c r="Y288" s="566">
        <f>VLOOKUP($A288,'01-02.2021'!$A$6:$CZ$403,25,FALSE)+VLOOKUP($A288,'1.3.21-28.2.22'!$A$6:$DA$404,25,FALSE)-VLOOKUP($A288,'01-02.2022'!$A$6:$DA$376,25,FALSE)</f>
        <v>2387.5611861916682</v>
      </c>
      <c r="Z288" s="70">
        <f t="shared" si="327"/>
        <v>-527.99977043380704</v>
      </c>
      <c r="AA288" s="566">
        <f>VLOOKUP($A288,'01-02.2021'!$A$6:$CZ$403,27,FALSE)+VLOOKUP($A288,'1.3.21-28.2.22'!$A$6:$DA$404,27,FALSE)-VLOOKUP($A288,'01-02.2022'!$A$6:$DA$376,27,FALSE)</f>
        <v>564.7600000000001</v>
      </c>
      <c r="AB288" s="566">
        <f>VLOOKUP($A288,'01-02.2021'!$A$6:$CZ$403,28,FALSE)+VLOOKUP($A288,'1.3.21-28.2.22'!$A$6:$DA$404,28,FALSE)-VLOOKUP($A288,'01-02.2022'!$A$6:$DA$376,28,FALSE)</f>
        <v>0</v>
      </c>
      <c r="AC288" s="70">
        <f t="shared" si="328"/>
        <v>-564.7600000000001</v>
      </c>
      <c r="AD288" s="566">
        <f>VLOOKUP($A288,'01-02.2021'!$A$6:$CZ$403,30,FALSE)+VLOOKUP($A288,'1.3.21-28.2.22'!$A$6:$DA$404,30,FALSE)-VLOOKUP($A288,'01-02.2022'!$A$6:$DA$376,30,FALSE)</f>
        <v>12129.062337157731</v>
      </c>
      <c r="AE288" s="566">
        <f>VLOOKUP($A288,'01-02.2021'!$A$6:$CZ$403,31,FALSE)+VLOOKUP($A288,'1.3.21-28.2.22'!$A$6:$DA$404,31,FALSE)-VLOOKUP($A288,'01-02.2022'!$A$6:$DA$376,31,FALSE)</f>
        <v>12854.051377256555</v>
      </c>
      <c r="AF288" s="68">
        <f t="shared" si="329"/>
        <v>724.98904009882426</v>
      </c>
      <c r="AG288" s="77">
        <f t="shared" si="297"/>
        <v>25446.081514037189</v>
      </c>
      <c r="AH288" s="53">
        <f t="shared" si="297"/>
        <v>26868.213961696845</v>
      </c>
      <c r="AI288" s="52">
        <f t="shared" si="302"/>
        <v>1422.1324476596565</v>
      </c>
      <c r="AJ288" s="566">
        <f>VLOOKUP($A288,'01-02.2021'!$A$6:$CZ$403,36,FALSE)+VLOOKUP($A288,'1.3.21-28.2.22'!$A$6:$DA$404,36,FALSE)-VLOOKUP($A288,'01-02.2022'!$A$6:$DA$376,36,FALSE)</f>
        <v>13722.30482990153</v>
      </c>
      <c r="AK288" s="566">
        <f>VLOOKUP($A288,'01-02.2021'!$A$6:$CZ$403,37,FALSE)+VLOOKUP($A288,'1.3.21-28.2.22'!$A$6:$DA$404,37,FALSE)-VLOOKUP($A288,'01-02.2022'!$A$6:$DA$376,37,FALSE)</f>
        <v>13632.341132603186</v>
      </c>
      <c r="AL288" s="70">
        <f t="shared" si="330"/>
        <v>-89.963697298344414</v>
      </c>
      <c r="AM288" s="566">
        <f>VLOOKUP($A288,'01-02.2021'!$A$6:$CZ$403,39,FALSE)+VLOOKUP($A288,'1.3.21-28.2.22'!$A$6:$DA$404,39,FALSE)-VLOOKUP($A288,'01-02.2022'!$A$6:$DA$376,39,FALSE)</f>
        <v>0</v>
      </c>
      <c r="AN288" s="566">
        <f>VLOOKUP($A288,'01-02.2021'!$A$6:$CZ$403,40,FALSE)+VLOOKUP($A288,'1.3.21-28.2.22'!$A$6:$DA$404,40,FALSE)-VLOOKUP($A288,'01-02.2022'!$A$6:$DA$376,40,FALSE)</f>
        <v>0</v>
      </c>
      <c r="AO288" s="70">
        <f t="shared" si="331"/>
        <v>0</v>
      </c>
      <c r="AP288" s="566">
        <f>VLOOKUP($A288,'01-02.2021'!$A$6:$CZ$403,42,FALSE)+VLOOKUP($A288,'1.3.21-28.2.22'!$A$6:$DA$404,42,FALSE)-VLOOKUP($A288,'01-02.2022'!$A$6:$DA$376,42,FALSE)</f>
        <v>1561.6797750383319</v>
      </c>
      <c r="AQ288" s="566">
        <f>VLOOKUP($A288,'01-02.2021'!$A$6:$CZ$403,43,FALSE)+VLOOKUP($A288,'1.3.21-28.2.22'!$A$6:$DA$404,43,FALSE)-VLOOKUP($A288,'01-02.2022'!$A$6:$DA$376,43,FALSE)</f>
        <v>1371.6676300578035</v>
      </c>
      <c r="AR288" s="70">
        <f t="shared" si="332"/>
        <v>-190.01214498052832</v>
      </c>
      <c r="AS288" s="566">
        <f>VLOOKUP($A288,'01-02.2021'!$A$6:$CZ$403,45,FALSE)+VLOOKUP($A288,'1.3.21-28.2.22'!$A$6:$DA$404,45,FALSE)-VLOOKUP($A288,'01-02.2022'!$A$6:$DA$376,45,FALSE)</f>
        <v>28057.880731524874</v>
      </c>
      <c r="AT288" s="566">
        <f>VLOOKUP($A288,'01-02.2021'!$A$6:$CZ$403,46,FALSE)+VLOOKUP($A288,'1.3.21-28.2.22'!$A$6:$DA$404,46,FALSE)-VLOOKUP($A288,'01-02.2022'!$A$6:$DA$376,46,FALSE)</f>
        <v>12725</v>
      </c>
      <c r="AU288" s="78">
        <f t="shared" si="333"/>
        <v>-15332.880731524874</v>
      </c>
      <c r="AV288" s="566">
        <f>VLOOKUP($A288,'01-02.2021'!$A$6:$CZ$403,48,FALSE)+VLOOKUP($A288,'1.3.21-28.2.22'!$A$6:$DA$404,48,FALSE)-VLOOKUP($A288,'01-02.2022'!$A$6:$DA$376,48,FALSE)</f>
        <v>1644.1519532861387</v>
      </c>
      <c r="AW288" s="566">
        <f>VLOOKUP($A288,'01-02.2021'!$A$6:$CZ$403,49,FALSE)+VLOOKUP($A288,'1.3.21-28.2.22'!$A$6:$DA$404,49,FALSE)-VLOOKUP($A288,'01-02.2022'!$A$6:$DA$376,49,FALSE)</f>
        <v>103</v>
      </c>
      <c r="AX288" s="55">
        <f t="shared" si="334"/>
        <v>-1541.1519532861387</v>
      </c>
      <c r="AY288" s="566">
        <f>VLOOKUP($A288,'01-02.2021'!$A$6:$CZ$403,51,FALSE)+VLOOKUP($A288,'1.3.21-28.2.22'!$A$6:$DA$404,51,FALSE)-VLOOKUP($A288,'01-02.2022'!$A$6:$DA$376,51,FALSE)</f>
        <v>1826.4020203597297</v>
      </c>
      <c r="AZ288" s="566">
        <f>VLOOKUP($A288,'01-02.2021'!$A$6:$CZ$403,52,FALSE)+VLOOKUP($A288,'1.3.21-28.2.22'!$A$6:$DA$404,52,FALSE)-VLOOKUP($A288,'01-02.2022'!$A$6:$DA$376,52,FALSE)</f>
        <v>33</v>
      </c>
      <c r="BA288" s="38">
        <f t="shared" si="335"/>
        <v>-1793.4020203597297</v>
      </c>
      <c r="BB288" s="566">
        <f>VLOOKUP($A288,'01-02.2021'!$A$6:$CZ$403,54,FALSE)+VLOOKUP($A288,'1.3.21-28.2.22'!$A$6:$DA$404,54,FALSE)-VLOOKUP($A288,'01-02.2022'!$A$6:$DA$376,54,FALSE)</f>
        <v>0</v>
      </c>
      <c r="BC288" s="566">
        <f>VLOOKUP($A288,'01-02.2021'!$A$6:$CZ$403,55,FALSE)+VLOOKUP($A288,'1.3.21-28.2.22'!$A$6:$DA$404,55,FALSE)-VLOOKUP($A288,'01-02.2022'!$A$6:$DA$376,55,FALSE)</f>
        <v>0</v>
      </c>
      <c r="BD288" s="55">
        <f t="shared" si="336"/>
        <v>0</v>
      </c>
      <c r="BE288" s="566">
        <f>VLOOKUP($A288,'01-02.2021'!$A$6:$CZ$403,57,FALSE)+VLOOKUP($A288,'1.3.21-28.2.22'!$A$6:$DA$404,57,FALSE)-VLOOKUP($A288,'01-02.2022'!$A$6:$DA$376,57,FALSE)</f>
        <v>0</v>
      </c>
      <c r="BF288" s="566">
        <f>VLOOKUP($A288,'01-02.2021'!$A$6:$CZ$403,58,FALSE)+VLOOKUP($A288,'1.3.21-28.2.22'!$A$6:$DA$404,58,FALSE)-VLOOKUP($A288,'01-02.2022'!$A$6:$DA$376,58,FALSE)</f>
        <v>0</v>
      </c>
      <c r="BG288" s="55">
        <f t="shared" si="337"/>
        <v>0</v>
      </c>
      <c r="BH288" s="566">
        <f>VLOOKUP($A288,'01-02.2021'!$A$6:$CZ$403,60,FALSE)+VLOOKUP($A288,'1.3.21-28.2.22'!$A$6:$DA$404,60,FALSE)-VLOOKUP($A288,'01-02.2022'!$A$6:$DA$376,60,FALSE)</f>
        <v>591.71900819564019</v>
      </c>
      <c r="BI288" s="566">
        <f>VLOOKUP($A288,'01-02.2021'!$A$6:$CZ$403,61,FALSE)+VLOOKUP($A288,'1.3.21-28.2.22'!$A$6:$DA$404,61,FALSE)-VLOOKUP($A288,'01-02.2022'!$A$6:$DA$376,61,FALSE)</f>
        <v>0</v>
      </c>
      <c r="BJ288" s="55">
        <f t="shared" si="338"/>
        <v>-591.71900819564019</v>
      </c>
      <c r="BK288" s="566">
        <f>VLOOKUP($A288,'01-02.2021'!$A$6:$CZ$403,63,FALSE)+VLOOKUP($A288,'1.3.21-28.2.22'!$A$6:$DA$404,63,FALSE)-VLOOKUP($A288,'01-02.2022'!$A$6:$DA$376,63,FALSE)</f>
        <v>689.9500968128242</v>
      </c>
      <c r="BL288" s="566">
        <f>VLOOKUP($A288,'01-02.2021'!$A$6:$CZ$403,64,FALSE)+VLOOKUP($A288,'1.3.21-28.2.22'!$A$6:$DA$404,64,FALSE)-VLOOKUP($A288,'01-02.2022'!$A$6:$DA$376,64,FALSE)</f>
        <v>0</v>
      </c>
      <c r="BM288" s="55">
        <f t="shared" si="339"/>
        <v>-689.9500968128242</v>
      </c>
      <c r="BN288" s="566">
        <f>VLOOKUP($A288,'01-02.2021'!$A$6:$CZ$403,66,FALSE)+VLOOKUP($A288,'1.3.21-28.2.22'!$A$6:$DA$404,66,FALSE)-VLOOKUP($A288,'01-02.2022'!$A$6:$DA$376,66,FALSE)</f>
        <v>141.19000000000003</v>
      </c>
      <c r="BO288" s="566">
        <f>VLOOKUP($A288,'01-02.2021'!$A$6:$CZ$403,67,FALSE)+VLOOKUP($A288,'1.3.21-28.2.22'!$A$6:$DA$404,67,FALSE)-VLOOKUP($A288,'01-02.2022'!$A$6:$DA$376,67,FALSE)</f>
        <v>0</v>
      </c>
      <c r="BP288" s="55">
        <f t="shared" si="340"/>
        <v>-141.19000000000003</v>
      </c>
      <c r="BQ288" s="77">
        <f t="shared" si="348"/>
        <v>4893.4130786543328</v>
      </c>
      <c r="BR288" s="40">
        <f t="shared" si="349"/>
        <v>136</v>
      </c>
      <c r="BS288" s="55">
        <f t="shared" si="314"/>
        <v>-4757.4130786543328</v>
      </c>
      <c r="BT288" s="566">
        <f>VLOOKUP($A288,'01-02.2021'!$A$6:$CZ$403,72,FALSE)+VLOOKUP($A288,'1.3.21-28.2.22'!$A$6:$DA$404,72,FALSE)-VLOOKUP($A288,'01-02.2022'!$A$6:$DA$376,72,FALSE)</f>
        <v>33788.933547918881</v>
      </c>
      <c r="BU288" s="566">
        <f>VLOOKUP($A288,'01-02.2021'!$A$6:$CZ$403,73,FALSE)+VLOOKUP($A288,'1.3.21-28.2.22'!$A$6:$DA$404,73,FALSE)-VLOOKUP($A288,'01-02.2022'!$A$6:$DA$376,73,FALSE)</f>
        <v>38403.210311575807</v>
      </c>
      <c r="BV288" s="70">
        <f t="shared" si="341"/>
        <v>4614.2767636569261</v>
      </c>
      <c r="BW288" s="566">
        <f>VLOOKUP($A288,'01-02.2021'!$A$6:$CZ$403,75,FALSE)+VLOOKUP($A288,'1.3.21-28.2.22'!$A$6:$DA$404,75,FALSE)-VLOOKUP($A288,'01-02.2022'!$A$6:$DA$376,75,FALSE)</f>
        <v>19573.491285981076</v>
      </c>
      <c r="BX288" s="566">
        <f>VLOOKUP($A288,'01-02.2021'!$A$6:$CZ$403,76,FALSE)+VLOOKUP($A288,'1.3.21-28.2.22'!$A$6:$DA$404,76,FALSE)-VLOOKUP($A288,'01-02.2022'!$A$6:$DA$376,76,FALSE)</f>
        <v>19690.920847617504</v>
      </c>
      <c r="BY288" s="70">
        <f t="shared" si="342"/>
        <v>117.42956163642884</v>
      </c>
      <c r="BZ288" s="566">
        <f>VLOOKUP($A288,'01-02.2021'!$A$6:$CZ$403,78,FALSE)+VLOOKUP($A288,'1.3.21-28.2.22'!$A$6:$DA$404,78,FALSE)-VLOOKUP($A288,'01-02.2022'!$A$6:$DA$376,78,FALSE)</f>
        <v>9156.3167947767724</v>
      </c>
      <c r="CA288" s="566">
        <f>VLOOKUP($A288,'01-02.2021'!$A$6:$CZ$403,79,FALSE)+VLOOKUP($A288,'1.3.21-28.2.22'!$A$6:$DA$404,79,FALSE)-VLOOKUP($A288,'01-02.2022'!$A$6:$DA$376,79,FALSE)</f>
        <v>8467.988602202633</v>
      </c>
      <c r="CB288" s="70">
        <f t="shared" si="343"/>
        <v>-688.32819257413939</v>
      </c>
      <c r="CC288" s="566">
        <f>VLOOKUP($A288,'01-02.2021'!$A$6:$CZ$403,81,FALSE)+VLOOKUP($A288,'1.3.21-28.2.22'!$A$6:$DA$404,81,FALSE)-VLOOKUP($A288,'01-02.2022'!$A$6:$DA$376,81,FALSE)</f>
        <v>955.2749296390615</v>
      </c>
      <c r="CD288" s="566">
        <f>VLOOKUP($A288,'01-02.2021'!$A$6:$CZ$403,82,FALSE)+VLOOKUP($A288,'1.3.21-28.2.22'!$A$6:$DA$404,82,FALSE)-VLOOKUP($A288,'01-02.2022'!$A$6:$DA$376,82,FALSE)</f>
        <v>1037.596908050258</v>
      </c>
      <c r="CE288" s="70">
        <f t="shared" si="344"/>
        <v>82.321978411196483</v>
      </c>
      <c r="CF288" s="566">
        <f>VLOOKUP($A288,'01-02.2021'!$A$6:$CZ$403,84,FALSE)+VLOOKUP($A288,'1.3.21-28.2.22'!$A$6:$DA$404,84,FALSE)-VLOOKUP($A288,'01-02.2022'!$A$6:$DA$376,84,FALSE)</f>
        <v>115.40904236582314</v>
      </c>
      <c r="CG288" s="566">
        <f>VLOOKUP($A288,'01-02.2021'!$A$6:$CZ$403,85,FALSE)+VLOOKUP($A288,'1.3.21-28.2.22'!$A$6:$DA$404,85,FALSE)-VLOOKUP($A288,'01-02.2022'!$A$6:$DA$376,85,FALSE)</f>
        <v>0</v>
      </c>
      <c r="CH288" s="70">
        <f t="shared" si="345"/>
        <v>-115.40904236582314</v>
      </c>
      <c r="CI288" s="566">
        <f>VLOOKUP($A288,'01-02.2021'!$A$6:$CZ$403,87,FALSE)+VLOOKUP($A288,'1.3.21-28.2.22'!$A$6:$DA$404,87,FALSE)-VLOOKUP($A288,'01-02.2022'!$A$6:$DA$376,87,FALSE)</f>
        <v>5084.8927480429311</v>
      </c>
      <c r="CJ288" s="566">
        <f>VLOOKUP($A288,'01-02.2021'!$A$6:$CZ$403,88,FALSE)+VLOOKUP($A288,'1.3.21-28.2.22'!$A$6:$DA$404,88,FALSE)-VLOOKUP($A288,'01-02.2022'!$A$6:$DA$376,88,FALSE)</f>
        <v>2395.9317714823651</v>
      </c>
      <c r="CK288" s="70">
        <f t="shared" si="346"/>
        <v>-2688.960976560566</v>
      </c>
      <c r="CL288" s="566">
        <f>VLOOKUP($A288,'01-02.2021'!$A$6:$CZ$403,90,FALSE)+VLOOKUP($A288,'1.3.21-28.2.22'!$A$6:$DA$404,90,FALSE)-VLOOKUP($A288,'01-02.2022'!$A$6:$DA$376,90,FALSE)</f>
        <v>3985.8127973262081</v>
      </c>
      <c r="CM288" s="566">
        <f>VLOOKUP($A288,'01-02.2021'!$A$6:$CZ$403,91,FALSE)+VLOOKUP($A288,'1.3.21-28.2.22'!$A$6:$DA$404,91,FALSE)-VLOOKUP($A288,'01-02.2022'!$A$6:$DA$376,91,FALSE)</f>
        <v>3992.4859244802233</v>
      </c>
      <c r="CN288" s="52">
        <f t="shared" si="303"/>
        <v>6.6731271540152193</v>
      </c>
      <c r="CO288" s="39">
        <f t="shared" si="298"/>
        <v>9070.7055453691391</v>
      </c>
      <c r="CP288" s="40">
        <f t="shared" si="304"/>
        <v>6388.4176959625884</v>
      </c>
      <c r="CQ288" s="52">
        <f t="shared" si="305"/>
        <v>-2682.2878494065508</v>
      </c>
      <c r="CR288" s="72">
        <f t="shared" si="299"/>
        <v>146341.49107520701</v>
      </c>
      <c r="CS288" s="5">
        <f t="shared" si="299"/>
        <v>128721.35708976662</v>
      </c>
      <c r="CT288" s="52">
        <f t="shared" si="306"/>
        <v>-17620.133985440392</v>
      </c>
      <c r="CU288" s="77">
        <f t="shared" si="307"/>
        <v>175609.78929024842</v>
      </c>
      <c r="CV288" s="65">
        <f t="shared" si="308"/>
        <v>154465.62850771993</v>
      </c>
      <c r="CW288" s="35">
        <f t="shared" si="309"/>
        <v>-21144.160782528488</v>
      </c>
      <c r="CX288" s="566">
        <f>VLOOKUP($A288,'01-02.2021'!$A$6:$CZ$403,102,FALSE)+VLOOKUP($A288,'1.3.21-28.2.22'!$A$6:$DA$404,102,FALSE)-VLOOKUP($A288,'01-02.2022'!$A$6:$DA$376,102,FALSE)</f>
        <v>6127.5046787709498</v>
      </c>
      <c r="CY288" s="566">
        <f>VLOOKUP($A288,'01-02.2021'!$A$6:$CZ$403,103,FALSE)+VLOOKUP($A288,'1.3.21-28.2.22'!$A$6:$DA$404,103,FALSE)-VLOOKUP($A288,'01-02.2022'!$A$6:$DA$376,103,FALSE)</f>
        <v>27271.665461299395</v>
      </c>
      <c r="CZ288" s="52">
        <f t="shared" si="310"/>
        <v>21144.160782528445</v>
      </c>
      <c r="DA288" s="150">
        <f>'[2]побудинковий звіт'!DA288</f>
        <v>-36308.226946536939</v>
      </c>
      <c r="DB288" s="2">
        <v>2</v>
      </c>
      <c r="DC288" s="414">
        <f>'[4]побудинковий звіт'!DC288</f>
        <v>24489.17</v>
      </c>
      <c r="DD288" s="414">
        <f>'[4]побудинковий звіт'!DD288</f>
        <v>0</v>
      </c>
      <c r="DE288" s="557">
        <f>'[4]побудинковий звіт'!DE288</f>
        <v>7997.8980256015275</v>
      </c>
      <c r="DF288" s="557">
        <f>'[4]побудинковий звіт'!DF288</f>
        <v>0</v>
      </c>
      <c r="DG288" s="321">
        <f>VLOOKUP(A288,'кошти 01.03.2021'!$A$6:$D$401,4,)</f>
        <v>-8348.2301322043641</v>
      </c>
      <c r="DH288" s="40">
        <f>'[3]побудинковий звіт'!DJ288</f>
        <v>188104.30867090996</v>
      </c>
      <c r="DI288" s="422">
        <f>'[3]побудинковий звіт'!CU288+'[3]побудинковий звіт'!CX288</f>
        <v>16491.271974398471</v>
      </c>
      <c r="DJ288" s="306">
        <f>'[3]побудинковий звіт'!DM288</f>
        <v>5.149648230635222</v>
      </c>
      <c r="DK288" s="306">
        <f>'[3]побудинковий звіт'!DN288</f>
        <v>5.9258935229594369</v>
      </c>
      <c r="DL288" s="306">
        <f>'[3]побудинковий звіт'!DO288</f>
        <v>4.3143303011559286</v>
      </c>
      <c r="DM288" s="28">
        <f t="shared" si="347"/>
        <v>16491.271974398471</v>
      </c>
      <c r="DN288" s="28">
        <f>DL288*H288</f>
        <v>0</v>
      </c>
      <c r="DO288" s="423">
        <f t="shared" si="319"/>
        <v>16491.271974398471</v>
      </c>
      <c r="DP288" s="94">
        <f t="shared" si="320"/>
        <v>0</v>
      </c>
      <c r="DQ288" s="28">
        <f t="shared" si="321"/>
        <v>16491.271974398471</v>
      </c>
      <c r="DR288" s="318"/>
      <c r="DT288" s="8"/>
      <c r="DU288" s="5"/>
      <c r="DX288" s="5">
        <f t="shared" si="322"/>
        <v>39541.552572215049</v>
      </c>
      <c r="DY288" s="5">
        <f t="shared" si="323"/>
        <v>15433.199999999999</v>
      </c>
      <c r="DZ288" s="159">
        <f>'[3]побудинковий звіт'!EA288</f>
        <v>3777.9300798941508</v>
      </c>
    </row>
    <row r="289" spans="1:130" x14ac:dyDescent="0.3">
      <c r="A289" s="325">
        <v>150000638</v>
      </c>
      <c r="B289" s="41" t="s">
        <v>735</v>
      </c>
      <c r="C289" s="42" t="s">
        <v>132</v>
      </c>
      <c r="D289" s="42"/>
      <c r="E289" s="293">
        <f t="shared" si="296"/>
        <v>90.7</v>
      </c>
      <c r="F289" s="305">
        <f>'[3]побудинковий звіт'!F289</f>
        <v>90.7</v>
      </c>
      <c r="G289" s="508">
        <f>'[3]побудинковий звіт'!G289</f>
        <v>0</v>
      </c>
      <c r="H289" s="560">
        <f>'[3]побудинковий звіт'!H289</f>
        <v>0</v>
      </c>
      <c r="I289" s="566"/>
      <c r="J289" s="566"/>
      <c r="K289" s="52">
        <f t="shared" si="300"/>
        <v>0</v>
      </c>
      <c r="L289" s="566"/>
      <c r="M289" s="566"/>
      <c r="N289" s="52">
        <f t="shared" si="301"/>
        <v>0</v>
      </c>
      <c r="O289" s="566"/>
      <c r="P289" s="566"/>
      <c r="Q289" s="70"/>
      <c r="R289" s="566"/>
      <c r="S289" s="566"/>
      <c r="T289" s="70"/>
      <c r="U289" s="566"/>
      <c r="V289" s="566"/>
      <c r="W289" s="70"/>
      <c r="X289" s="566"/>
      <c r="Y289" s="566"/>
      <c r="Z289" s="70"/>
      <c r="AA289" s="566"/>
      <c r="AB289" s="566"/>
      <c r="AC289" s="70"/>
      <c r="AD289" s="566"/>
      <c r="AE289" s="566"/>
      <c r="AF289" s="68"/>
      <c r="AG289" s="77">
        <f t="shared" si="297"/>
        <v>0</v>
      </c>
      <c r="AH289" s="53">
        <f t="shared" si="297"/>
        <v>0</v>
      </c>
      <c r="AI289" s="52">
        <f t="shared" si="302"/>
        <v>0</v>
      </c>
      <c r="AJ289" s="566"/>
      <c r="AK289" s="566"/>
      <c r="AL289" s="70"/>
      <c r="AM289" s="566"/>
      <c r="AN289" s="566"/>
      <c r="AO289" s="70"/>
      <c r="AP289" s="566"/>
      <c r="AQ289" s="566"/>
      <c r="AR289" s="70"/>
      <c r="AS289" s="566"/>
      <c r="AT289" s="566"/>
      <c r="AU289" s="78"/>
      <c r="AV289" s="566"/>
      <c r="AW289" s="566"/>
      <c r="AX289" s="55"/>
      <c r="AY289" s="566"/>
      <c r="AZ289" s="566"/>
      <c r="BA289" s="38"/>
      <c r="BB289" s="566"/>
      <c r="BC289" s="566"/>
      <c r="BD289" s="55"/>
      <c r="BE289" s="566"/>
      <c r="BF289" s="566"/>
      <c r="BG289" s="55"/>
      <c r="BH289" s="566"/>
      <c r="BI289" s="566"/>
      <c r="BJ289" s="55"/>
      <c r="BK289" s="566"/>
      <c r="BL289" s="566"/>
      <c r="BM289" s="55"/>
      <c r="BN289" s="566"/>
      <c r="BO289" s="566"/>
      <c r="BP289" s="55"/>
      <c r="BQ289" s="77">
        <f t="shared" si="348"/>
        <v>0</v>
      </c>
      <c r="BR289" s="40">
        <f t="shared" si="349"/>
        <v>0</v>
      </c>
      <c r="BS289" s="55">
        <f t="shared" si="314"/>
        <v>0</v>
      </c>
      <c r="BT289" s="566"/>
      <c r="BU289" s="566"/>
      <c r="BV289" s="70"/>
      <c r="BW289" s="566"/>
      <c r="BX289" s="566"/>
      <c r="BY289" s="70"/>
      <c r="BZ289" s="566"/>
      <c r="CA289" s="566"/>
      <c r="CB289" s="70"/>
      <c r="CC289" s="566"/>
      <c r="CD289" s="566"/>
      <c r="CE289" s="70"/>
      <c r="CF289" s="566"/>
      <c r="CG289" s="566"/>
      <c r="CH289" s="70"/>
      <c r="CI289" s="566"/>
      <c r="CJ289" s="566"/>
      <c r="CK289" s="70"/>
      <c r="CL289" s="566"/>
      <c r="CM289" s="566"/>
      <c r="CN289" s="52">
        <f t="shared" si="303"/>
        <v>0</v>
      </c>
      <c r="CO289" s="39">
        <f t="shared" si="298"/>
        <v>0</v>
      </c>
      <c r="CP289" s="40">
        <f t="shared" si="304"/>
        <v>0</v>
      </c>
      <c r="CQ289" s="52">
        <f t="shared" si="305"/>
        <v>0</v>
      </c>
      <c r="CR289" s="72">
        <f t="shared" si="299"/>
        <v>0</v>
      </c>
      <c r="CS289" s="5">
        <f t="shared" si="299"/>
        <v>0</v>
      </c>
      <c r="CT289" s="52">
        <f t="shared" si="306"/>
        <v>0</v>
      </c>
      <c r="CU289" s="77">
        <f t="shared" si="307"/>
        <v>0</v>
      </c>
      <c r="CV289" s="65">
        <f t="shared" si="308"/>
        <v>0</v>
      </c>
      <c r="CW289" s="35">
        <f t="shared" si="309"/>
        <v>0</v>
      </c>
      <c r="CX289" s="566"/>
      <c r="CY289" s="566"/>
      <c r="CZ289" s="52">
        <f t="shared" si="310"/>
        <v>0</v>
      </c>
      <c r="DA289" s="150">
        <f>'[2]побудинковий звіт'!DA289</f>
        <v>-4844.1352293024493</v>
      </c>
      <c r="DB289" s="2">
        <v>2</v>
      </c>
      <c r="DC289" s="414">
        <f>'[4]побудинковий звіт'!DC289</f>
        <v>1186.2</v>
      </c>
      <c r="DD289" s="414">
        <f>'[4]побудинковий звіт'!DD289</f>
        <v>0</v>
      </c>
      <c r="DE289" s="557">
        <f>'[4]побудинковий звіт'!DE289</f>
        <v>985.58338958568265</v>
      </c>
      <c r="DF289" s="557">
        <f>'[4]побудинковий звіт'!DF289</f>
        <v>0</v>
      </c>
      <c r="DG289" s="321">
        <f>VLOOKUP(A289,'кошти 01.03.2021'!$A$6:$D$401,4,)</f>
        <v>-3856.2076313108164</v>
      </c>
      <c r="DH289" s="40">
        <f>'[3]побудинковий звіт'!DJ289</f>
        <v>2287.5096501472335</v>
      </c>
      <c r="DI289" s="422">
        <f>'[3]побудинковий звіт'!CU289+'[3]побудинковий звіт'!CX289</f>
        <v>200.61661041431742</v>
      </c>
      <c r="DJ289" s="306">
        <f>'[3]побудинковий звіт'!DM289</f>
        <v>2.2118700155933562</v>
      </c>
      <c r="DK289" s="306">
        <f t="shared" ref="DK289:DK303" si="350">DJ289</f>
        <v>2.2118700155933562</v>
      </c>
      <c r="DL289" s="306">
        <f>'[3]побудинковий звіт'!DO289</f>
        <v>2.2118700155933562</v>
      </c>
      <c r="DM289" s="28">
        <f t="shared" ref="DM289:DM303" si="351">F289*DJ289</f>
        <v>200.61661041431742</v>
      </c>
      <c r="DN289" s="28">
        <f t="shared" ref="DN289:DN303" si="352">H289*DL289</f>
        <v>0</v>
      </c>
      <c r="DO289" s="423">
        <f t="shared" si="319"/>
        <v>200.61661041431742</v>
      </c>
      <c r="DP289" s="94">
        <f t="shared" si="320"/>
        <v>0</v>
      </c>
      <c r="DQ289" s="28">
        <f t="shared" si="321"/>
        <v>200.61661041431742</v>
      </c>
      <c r="DR289" s="318"/>
      <c r="DT289" s="8"/>
      <c r="DU289" s="5"/>
      <c r="DX289" s="5">
        <f t="shared" si="322"/>
        <v>0</v>
      </c>
      <c r="DY289" s="5">
        <f t="shared" si="323"/>
        <v>0</v>
      </c>
      <c r="DZ289" s="159">
        <f>'[3]побудинковий звіт'!EA289</f>
        <v>150.66471341342643</v>
      </c>
    </row>
    <row r="290" spans="1:130" x14ac:dyDescent="0.3">
      <c r="A290" s="325">
        <v>150000639</v>
      </c>
      <c r="B290" s="41" t="s">
        <v>736</v>
      </c>
      <c r="C290" s="42" t="s">
        <v>133</v>
      </c>
      <c r="D290" s="42"/>
      <c r="E290" s="293">
        <f t="shared" si="296"/>
        <v>171</v>
      </c>
      <c r="F290" s="305">
        <f>'[3]побудинковий звіт'!F290</f>
        <v>171</v>
      </c>
      <c r="G290" s="508">
        <f>'[3]побудинковий звіт'!G290</f>
        <v>0</v>
      </c>
      <c r="H290" s="560">
        <f>'[3]побудинковий звіт'!H290</f>
        <v>0</v>
      </c>
      <c r="I290" s="566"/>
      <c r="J290" s="566"/>
      <c r="K290" s="52">
        <f t="shared" si="300"/>
        <v>0</v>
      </c>
      <c r="L290" s="566"/>
      <c r="M290" s="566"/>
      <c r="N290" s="52">
        <f t="shared" si="301"/>
        <v>0</v>
      </c>
      <c r="O290" s="566"/>
      <c r="P290" s="566"/>
      <c r="Q290" s="70"/>
      <c r="R290" s="566"/>
      <c r="S290" s="566"/>
      <c r="T290" s="70"/>
      <c r="U290" s="566"/>
      <c r="V290" s="566"/>
      <c r="W290" s="70"/>
      <c r="X290" s="566"/>
      <c r="Y290" s="566"/>
      <c r="Z290" s="70"/>
      <c r="AA290" s="566"/>
      <c r="AB290" s="566"/>
      <c r="AC290" s="70"/>
      <c r="AD290" s="566"/>
      <c r="AE290" s="566"/>
      <c r="AF290" s="68"/>
      <c r="AG290" s="77">
        <f t="shared" si="297"/>
        <v>0</v>
      </c>
      <c r="AH290" s="53">
        <f t="shared" si="297"/>
        <v>0</v>
      </c>
      <c r="AI290" s="52">
        <f t="shared" si="302"/>
        <v>0</v>
      </c>
      <c r="AJ290" s="566"/>
      <c r="AK290" s="566"/>
      <c r="AL290" s="70"/>
      <c r="AM290" s="566"/>
      <c r="AN290" s="566"/>
      <c r="AO290" s="70"/>
      <c r="AP290" s="566"/>
      <c r="AQ290" s="566"/>
      <c r="AR290" s="70"/>
      <c r="AS290" s="566"/>
      <c r="AT290" s="566"/>
      <c r="AU290" s="78"/>
      <c r="AV290" s="566"/>
      <c r="AW290" s="566"/>
      <c r="AX290" s="55"/>
      <c r="AY290" s="566"/>
      <c r="AZ290" s="566"/>
      <c r="BA290" s="38"/>
      <c r="BB290" s="566"/>
      <c r="BC290" s="566"/>
      <c r="BD290" s="55"/>
      <c r="BE290" s="566"/>
      <c r="BF290" s="566"/>
      <c r="BG290" s="55"/>
      <c r="BH290" s="566"/>
      <c r="BI290" s="566"/>
      <c r="BJ290" s="55"/>
      <c r="BK290" s="566"/>
      <c r="BL290" s="566"/>
      <c r="BM290" s="55"/>
      <c r="BN290" s="566"/>
      <c r="BO290" s="566"/>
      <c r="BP290" s="55"/>
      <c r="BQ290" s="77">
        <f t="shared" si="348"/>
        <v>0</v>
      </c>
      <c r="BR290" s="40">
        <f t="shared" si="349"/>
        <v>0</v>
      </c>
      <c r="BS290" s="55">
        <f t="shared" si="314"/>
        <v>0</v>
      </c>
      <c r="BT290" s="566"/>
      <c r="BU290" s="566"/>
      <c r="BV290" s="70"/>
      <c r="BW290" s="566"/>
      <c r="BX290" s="566"/>
      <c r="BY290" s="70"/>
      <c r="BZ290" s="566"/>
      <c r="CA290" s="566"/>
      <c r="CB290" s="70"/>
      <c r="CC290" s="566"/>
      <c r="CD290" s="566"/>
      <c r="CE290" s="70"/>
      <c r="CF290" s="566"/>
      <c r="CG290" s="566"/>
      <c r="CH290" s="70"/>
      <c r="CI290" s="566"/>
      <c r="CJ290" s="566"/>
      <c r="CK290" s="70"/>
      <c r="CL290" s="566"/>
      <c r="CM290" s="566"/>
      <c r="CN290" s="52">
        <f t="shared" si="303"/>
        <v>0</v>
      </c>
      <c r="CO290" s="39">
        <f t="shared" si="298"/>
        <v>0</v>
      </c>
      <c r="CP290" s="40">
        <f t="shared" si="304"/>
        <v>0</v>
      </c>
      <c r="CQ290" s="52">
        <f t="shared" si="305"/>
        <v>0</v>
      </c>
      <c r="CR290" s="72">
        <f t="shared" si="299"/>
        <v>0</v>
      </c>
      <c r="CS290" s="5">
        <f t="shared" si="299"/>
        <v>0</v>
      </c>
      <c r="CT290" s="52">
        <f t="shared" si="306"/>
        <v>0</v>
      </c>
      <c r="CU290" s="77">
        <f t="shared" si="307"/>
        <v>0</v>
      </c>
      <c r="CV290" s="65">
        <f t="shared" si="308"/>
        <v>0</v>
      </c>
      <c r="CW290" s="35">
        <f t="shared" si="309"/>
        <v>0</v>
      </c>
      <c r="CX290" s="566"/>
      <c r="CY290" s="566"/>
      <c r="CZ290" s="52">
        <f t="shared" si="310"/>
        <v>0</v>
      </c>
      <c r="DA290" s="150">
        <f>'[2]побудинковий звіт'!DA290</f>
        <v>-5895.3283411370758</v>
      </c>
      <c r="DB290" s="2">
        <v>2</v>
      </c>
      <c r="DC290" s="414">
        <f>'[4]побудинковий звіт'!DC290</f>
        <v>2309.5</v>
      </c>
      <c r="DD290" s="414">
        <f>'[4]побудинковий звіт'!DD290</f>
        <v>0</v>
      </c>
      <c r="DE290" s="557">
        <f>'[4]побудинковий звіт'!DE290</f>
        <v>2031.5162676413056</v>
      </c>
      <c r="DF290" s="557">
        <f>'[4]побудинковий звіт'!DF290</f>
        <v>0</v>
      </c>
      <c r="DG290" s="321">
        <f>VLOOKUP(A290,'кошти 01.03.2021'!$A$6:$D$401,4,)</f>
        <v>-4641.7699624006236</v>
      </c>
      <c r="DH290" s="40">
        <f>'[3]побудинковий звіт'!DJ290</f>
        <v>3165.9777756306516</v>
      </c>
      <c r="DI290" s="422">
        <f>'[3]побудинковий звіт'!CU290+'[3]побудинковий звіт'!CX290</f>
        <v>277.98373235869451</v>
      </c>
      <c r="DJ290" s="306">
        <f>'[3]побудинковий звіт'!DM290</f>
        <v>1.6256358617467512</v>
      </c>
      <c r="DK290" s="306">
        <f t="shared" si="350"/>
        <v>1.6256358617467512</v>
      </c>
      <c r="DL290" s="306">
        <f>'[3]побудинковий звіт'!DO290</f>
        <v>1.6256358617467512</v>
      </c>
      <c r="DM290" s="28">
        <f t="shared" si="351"/>
        <v>277.98373235869445</v>
      </c>
      <c r="DN290" s="28">
        <f t="shared" si="352"/>
        <v>0</v>
      </c>
      <c r="DO290" s="423">
        <f t="shared" si="319"/>
        <v>277.98373235869445</v>
      </c>
      <c r="DP290" s="94">
        <f t="shared" si="320"/>
        <v>0</v>
      </c>
      <c r="DQ290" s="28">
        <f t="shared" si="321"/>
        <v>277.98373235869445</v>
      </c>
      <c r="DR290" s="318"/>
      <c r="DT290" s="8"/>
      <c r="DU290" s="5"/>
      <c r="DX290" s="5">
        <f t="shared" si="322"/>
        <v>0</v>
      </c>
      <c r="DY290" s="5">
        <f t="shared" si="323"/>
        <v>0</v>
      </c>
      <c r="DZ290" s="159">
        <f>'[3]побудинковий звіт'!EA290</f>
        <v>218.9667291572911</v>
      </c>
    </row>
    <row r="291" spans="1:130" x14ac:dyDescent="0.3">
      <c r="A291" s="325">
        <v>150000736</v>
      </c>
      <c r="B291" s="41" t="s">
        <v>737</v>
      </c>
      <c r="C291" s="42" t="s">
        <v>220</v>
      </c>
      <c r="D291" s="42"/>
      <c r="E291" s="293">
        <f t="shared" si="296"/>
        <v>2846.8999999999996</v>
      </c>
      <c r="F291" s="305">
        <f>'[3]побудинковий звіт'!F291</f>
        <v>2653.7</v>
      </c>
      <c r="G291" s="508">
        <f>'[3]побудинковий звіт'!G291</f>
        <v>0</v>
      </c>
      <c r="H291" s="560">
        <f>'[3]побудинковий звіт'!H291</f>
        <v>193.2</v>
      </c>
      <c r="I291" s="566">
        <f>VLOOKUP($A291,'01-02.2021'!$A$6:$CZ$403,9,FALSE)+VLOOKUP($A291,'1.3.21-28.2.22'!$A$6:$DA$404,9,FALSE)-VLOOKUP($A291,'01-02.2022'!$A$6:$DA$376,9,FALSE)</f>
        <v>8591.9216341255124</v>
      </c>
      <c r="J291" s="566">
        <f>VLOOKUP($A291,'01-02.2021'!$A$6:$CZ$403,10,FALSE)+VLOOKUP($A291,'1.3.21-28.2.22'!$A$6:$DA$404,10,FALSE)-VLOOKUP($A291,'01-02.2022'!$A$6:$DA$376,10,FALSE)</f>
        <v>9516.707365342776</v>
      </c>
      <c r="K291" s="52">
        <f t="shared" si="300"/>
        <v>924.78573121726367</v>
      </c>
      <c r="L291" s="566">
        <f>VLOOKUP($A291,'01-02.2021'!$A$6:$CZ$403,12,FALSE)+VLOOKUP($A291,'1.3.21-28.2.22'!$A$6:$DA$404,12,FALSE)-VLOOKUP($A291,'01-02.2022'!$A$6:$DA$376,12,FALSE)</f>
        <v>1777.6696694209875</v>
      </c>
      <c r="M291" s="566">
        <f>VLOOKUP($A291,'01-02.2021'!$A$6:$CZ$403,13,FALSE)+VLOOKUP($A291,'1.3.21-28.2.22'!$A$6:$DA$404,13,FALSE)-VLOOKUP($A291,'01-02.2022'!$A$6:$DA$376,13,FALSE)</f>
        <v>1957.2770385568122</v>
      </c>
      <c r="N291" s="52">
        <f t="shared" si="301"/>
        <v>179.60736913582468</v>
      </c>
      <c r="O291" s="566">
        <f>VLOOKUP($A291,'01-02.2021'!$A$6:$CZ$403,15,FALSE)+VLOOKUP($A291,'1.3.21-28.2.22'!$A$6:$DA$404,15,FALSE)-VLOOKUP($A291,'01-02.2022'!$A$6:$DA$376,15,FALSE)</f>
        <v>3590.2857498015828</v>
      </c>
      <c r="P291" s="566">
        <f>VLOOKUP($A291,'01-02.2021'!$A$6:$CZ$403,16,FALSE)+VLOOKUP($A291,'1.3.21-28.2.22'!$A$6:$DA$404,16,FALSE)-VLOOKUP($A291,'01-02.2022'!$A$6:$DA$376,16,FALSE)</f>
        <v>3590.2799999999997</v>
      </c>
      <c r="Q291" s="70">
        <f t="shared" si="324"/>
        <v>-5.7498015830788063E-3</v>
      </c>
      <c r="R291" s="566">
        <f>VLOOKUP($A291,'01-02.2021'!$A$6:$CZ$403,18,FALSE)+VLOOKUP($A291,'1.3.21-28.2.22'!$A$6:$DA$404,18,FALSE)-VLOOKUP($A291,'01-02.2022'!$A$6:$DA$376,18,FALSE)</f>
        <v>0</v>
      </c>
      <c r="S291" s="566">
        <f>VLOOKUP($A291,'01-02.2021'!$A$6:$CZ$403,19,FALSE)+VLOOKUP($A291,'1.3.21-28.2.22'!$A$6:$DA$404,19,FALSE)-VLOOKUP($A291,'01-02.2022'!$A$6:$DA$376,19,FALSE)</f>
        <v>0</v>
      </c>
      <c r="T291" s="70">
        <f t="shared" si="325"/>
        <v>0</v>
      </c>
      <c r="U291" s="566">
        <f>VLOOKUP($A291,'01-02.2021'!$A$6:$CZ$403,21,FALSE)+VLOOKUP($A291,'1.3.21-28.2.22'!$A$6:$DA$404,21,FALSE)-VLOOKUP($A291,'01-02.2022'!$A$6:$DA$376,21,FALSE)</f>
        <v>0</v>
      </c>
      <c r="V291" s="566">
        <f>VLOOKUP($A291,'01-02.2021'!$A$6:$CZ$403,22,FALSE)+VLOOKUP($A291,'1.3.21-28.2.22'!$A$6:$DA$404,22,FALSE)-VLOOKUP($A291,'01-02.2022'!$A$6:$DA$376,22,FALSE)</f>
        <v>0</v>
      </c>
      <c r="W291" s="70">
        <f t="shared" si="326"/>
        <v>0</v>
      </c>
      <c r="X291" s="566">
        <f>VLOOKUP($A291,'01-02.2021'!$A$6:$CZ$403,24,FALSE)+VLOOKUP($A291,'1.3.21-28.2.22'!$A$6:$DA$404,24,FALSE)-VLOOKUP($A291,'01-02.2022'!$A$6:$DA$376,24,FALSE)</f>
        <v>5962.5776377272523</v>
      </c>
      <c r="Y291" s="566">
        <f>VLOOKUP($A291,'01-02.2021'!$A$6:$CZ$403,25,FALSE)+VLOOKUP($A291,'1.3.21-28.2.22'!$A$6:$DA$404,25,FALSE)-VLOOKUP($A291,'01-02.2022'!$A$6:$DA$376,25,FALSE)</f>
        <v>4769.0577026718829</v>
      </c>
      <c r="Z291" s="70">
        <f t="shared" si="327"/>
        <v>-1193.5199350553694</v>
      </c>
      <c r="AA291" s="566">
        <f>VLOOKUP($A291,'01-02.2021'!$A$6:$CZ$403,27,FALSE)+VLOOKUP($A291,'1.3.21-28.2.22'!$A$6:$DA$404,27,FALSE)-VLOOKUP($A291,'01-02.2022'!$A$6:$DA$376,27,FALSE)</f>
        <v>569.38</v>
      </c>
      <c r="AB291" s="566">
        <f>VLOOKUP($A291,'01-02.2021'!$A$6:$CZ$403,28,FALSE)+VLOOKUP($A291,'1.3.21-28.2.22'!$A$6:$DA$404,28,FALSE)-VLOOKUP($A291,'01-02.2022'!$A$6:$DA$376,28,FALSE)</f>
        <v>0</v>
      </c>
      <c r="AC291" s="70">
        <f t="shared" si="328"/>
        <v>-569.38</v>
      </c>
      <c r="AD291" s="566">
        <f>VLOOKUP($A291,'01-02.2021'!$A$6:$CZ$403,30,FALSE)+VLOOKUP($A291,'1.3.21-28.2.22'!$A$6:$DA$404,30,FALSE)-VLOOKUP($A291,'01-02.2022'!$A$6:$DA$376,30,FALSE)</f>
        <v>12214.583529838426</v>
      </c>
      <c r="AE291" s="566">
        <f>VLOOKUP($A291,'01-02.2021'!$A$6:$CZ$403,31,FALSE)+VLOOKUP($A291,'1.3.21-28.2.22'!$A$6:$DA$404,31,FALSE)-VLOOKUP($A291,'01-02.2022'!$A$6:$DA$376,31,FALSE)</f>
        <v>13008.77529088801</v>
      </c>
      <c r="AF291" s="68">
        <f t="shared" si="329"/>
        <v>794.19176104958387</v>
      </c>
      <c r="AG291" s="77">
        <f t="shared" si="297"/>
        <v>32706.418220913762</v>
      </c>
      <c r="AH291" s="53">
        <f t="shared" si="297"/>
        <v>32842.097397459482</v>
      </c>
      <c r="AI291" s="52">
        <f t="shared" si="302"/>
        <v>135.67917654572011</v>
      </c>
      <c r="AJ291" s="566">
        <f>VLOOKUP($A291,'01-02.2021'!$A$6:$CZ$403,36,FALSE)+VLOOKUP($A291,'1.3.21-28.2.22'!$A$6:$DA$404,36,FALSE)-VLOOKUP($A291,'01-02.2022'!$A$6:$DA$376,36,FALSE)</f>
        <v>0</v>
      </c>
      <c r="AK291" s="566">
        <f>VLOOKUP($A291,'01-02.2021'!$A$6:$CZ$403,37,FALSE)+VLOOKUP($A291,'1.3.21-28.2.22'!$A$6:$DA$404,37,FALSE)-VLOOKUP($A291,'01-02.2022'!$A$6:$DA$376,37,FALSE)</f>
        <v>0</v>
      </c>
      <c r="AL291" s="70">
        <f t="shared" si="330"/>
        <v>0</v>
      </c>
      <c r="AM291" s="566">
        <f>VLOOKUP($A291,'01-02.2021'!$A$6:$CZ$403,39,FALSE)+VLOOKUP($A291,'1.3.21-28.2.22'!$A$6:$DA$404,39,FALSE)-VLOOKUP($A291,'01-02.2022'!$A$6:$DA$376,39,FALSE)</f>
        <v>0</v>
      </c>
      <c r="AN291" s="566">
        <f>VLOOKUP($A291,'01-02.2021'!$A$6:$CZ$403,40,FALSE)+VLOOKUP($A291,'1.3.21-28.2.22'!$A$6:$DA$404,40,FALSE)-VLOOKUP($A291,'01-02.2022'!$A$6:$DA$376,40,FALSE)</f>
        <v>0</v>
      </c>
      <c r="AO291" s="70">
        <f t="shared" si="331"/>
        <v>0</v>
      </c>
      <c r="AP291" s="566">
        <f>VLOOKUP($A291,'01-02.2021'!$A$6:$CZ$403,42,FALSE)+VLOOKUP($A291,'1.3.21-28.2.22'!$A$6:$DA$404,42,FALSE)-VLOOKUP($A291,'01-02.2022'!$A$6:$DA$376,42,FALSE)</f>
        <v>8198.8188189512457</v>
      </c>
      <c r="AQ291" s="566">
        <f>VLOOKUP($A291,'01-02.2021'!$A$6:$CZ$403,43,FALSE)+VLOOKUP($A291,'1.3.21-28.2.22'!$A$6:$DA$404,43,FALSE)-VLOOKUP($A291,'01-02.2022'!$A$6:$DA$376,43,FALSE)</f>
        <v>7019.8174761729933</v>
      </c>
      <c r="AR291" s="70">
        <f t="shared" si="332"/>
        <v>-1179.0013427782524</v>
      </c>
      <c r="AS291" s="566">
        <f>VLOOKUP($A291,'01-02.2021'!$A$6:$CZ$403,45,FALSE)+VLOOKUP($A291,'1.3.21-28.2.22'!$A$6:$DA$404,45,FALSE)-VLOOKUP($A291,'01-02.2022'!$A$6:$DA$376,45,FALSE)</f>
        <v>27238.716843369286</v>
      </c>
      <c r="AT291" s="566">
        <f>VLOOKUP($A291,'01-02.2021'!$A$6:$CZ$403,46,FALSE)+VLOOKUP($A291,'1.3.21-28.2.22'!$A$6:$DA$404,46,FALSE)-VLOOKUP($A291,'01-02.2022'!$A$6:$DA$376,46,FALSE)</f>
        <v>100961.39</v>
      </c>
      <c r="AU291" s="78">
        <f t="shared" si="333"/>
        <v>73722.673156630713</v>
      </c>
      <c r="AV291" s="566">
        <f>VLOOKUP($A291,'01-02.2021'!$A$6:$CZ$403,48,FALSE)+VLOOKUP($A291,'1.3.21-28.2.22'!$A$6:$DA$404,48,FALSE)-VLOOKUP($A291,'01-02.2022'!$A$6:$DA$376,48,FALSE)</f>
        <v>2128.1704735281255</v>
      </c>
      <c r="AW291" s="566">
        <f>VLOOKUP($A291,'01-02.2021'!$A$6:$CZ$403,49,FALSE)+VLOOKUP($A291,'1.3.21-28.2.22'!$A$6:$DA$404,49,FALSE)-VLOOKUP($A291,'01-02.2022'!$A$6:$DA$376,49,FALSE)</f>
        <v>2430</v>
      </c>
      <c r="AX291" s="55">
        <f t="shared" si="334"/>
        <v>301.82952647187449</v>
      </c>
      <c r="AY291" s="566">
        <f>VLOOKUP($A291,'01-02.2021'!$A$6:$CZ$403,51,FALSE)+VLOOKUP($A291,'1.3.21-28.2.22'!$A$6:$DA$404,51,FALSE)-VLOOKUP($A291,'01-02.2022'!$A$6:$DA$376,51,FALSE)</f>
        <v>3341.4814015746429</v>
      </c>
      <c r="AZ291" s="566">
        <f>VLOOKUP($A291,'01-02.2021'!$A$6:$CZ$403,52,FALSE)+VLOOKUP($A291,'1.3.21-28.2.22'!$A$6:$DA$404,52,FALSE)-VLOOKUP($A291,'01-02.2022'!$A$6:$DA$376,52,FALSE)</f>
        <v>4003</v>
      </c>
      <c r="BA291" s="38">
        <f t="shared" si="335"/>
        <v>661.51859842535714</v>
      </c>
      <c r="BB291" s="566">
        <f>VLOOKUP($A291,'01-02.2021'!$A$6:$CZ$403,54,FALSE)+VLOOKUP($A291,'1.3.21-28.2.22'!$A$6:$DA$404,54,FALSE)-VLOOKUP($A291,'01-02.2022'!$A$6:$DA$376,54,FALSE)</f>
        <v>1784.2240907955108</v>
      </c>
      <c r="BC291" s="566">
        <f>VLOOKUP($A291,'01-02.2021'!$A$6:$CZ$403,55,FALSE)+VLOOKUP($A291,'1.3.21-28.2.22'!$A$6:$DA$404,55,FALSE)-VLOOKUP($A291,'01-02.2022'!$A$6:$DA$376,55,FALSE)</f>
        <v>1405</v>
      </c>
      <c r="BD291" s="55">
        <f t="shared" si="336"/>
        <v>-379.22409079551085</v>
      </c>
      <c r="BE291" s="566">
        <f>VLOOKUP($A291,'01-02.2021'!$A$6:$CZ$403,57,FALSE)+VLOOKUP($A291,'1.3.21-28.2.22'!$A$6:$DA$404,57,FALSE)-VLOOKUP($A291,'01-02.2022'!$A$6:$DA$376,57,FALSE)</f>
        <v>0</v>
      </c>
      <c r="BF291" s="566">
        <f>VLOOKUP($A291,'01-02.2021'!$A$6:$CZ$403,58,FALSE)+VLOOKUP($A291,'1.3.21-28.2.22'!$A$6:$DA$404,58,FALSE)-VLOOKUP($A291,'01-02.2022'!$A$6:$DA$376,58,FALSE)</f>
        <v>0</v>
      </c>
      <c r="BG291" s="55">
        <f t="shared" si="337"/>
        <v>0</v>
      </c>
      <c r="BH291" s="566">
        <f>VLOOKUP($A291,'01-02.2021'!$A$6:$CZ$403,60,FALSE)+VLOOKUP($A291,'1.3.21-28.2.22'!$A$6:$DA$404,60,FALSE)-VLOOKUP($A291,'01-02.2022'!$A$6:$DA$376,60,FALSE)</f>
        <v>0</v>
      </c>
      <c r="BI291" s="566">
        <f>VLOOKUP($A291,'01-02.2021'!$A$6:$CZ$403,61,FALSE)+VLOOKUP($A291,'1.3.21-28.2.22'!$A$6:$DA$404,61,FALSE)-VLOOKUP($A291,'01-02.2022'!$A$6:$DA$376,61,FALSE)</f>
        <v>0</v>
      </c>
      <c r="BJ291" s="55">
        <f t="shared" si="338"/>
        <v>0</v>
      </c>
      <c r="BK291" s="566">
        <f>VLOOKUP($A291,'01-02.2021'!$A$6:$CZ$403,63,FALSE)+VLOOKUP($A291,'1.3.21-28.2.22'!$A$6:$DA$404,63,FALSE)-VLOOKUP($A291,'01-02.2022'!$A$6:$DA$376,63,FALSE)</f>
        <v>1915.2540845380968</v>
      </c>
      <c r="BL291" s="566">
        <f>VLOOKUP($A291,'01-02.2021'!$A$6:$CZ$403,64,FALSE)+VLOOKUP($A291,'1.3.21-28.2.22'!$A$6:$DA$404,64,FALSE)-VLOOKUP($A291,'01-02.2022'!$A$6:$DA$376,64,FALSE)</f>
        <v>880</v>
      </c>
      <c r="BM291" s="55">
        <f t="shared" si="339"/>
        <v>-1035.2540845380968</v>
      </c>
      <c r="BN291" s="566">
        <f>VLOOKUP($A291,'01-02.2021'!$A$6:$CZ$403,66,FALSE)+VLOOKUP($A291,'1.3.21-28.2.22'!$A$6:$DA$404,66,FALSE)-VLOOKUP($A291,'01-02.2022'!$A$6:$DA$376,66,FALSE)</f>
        <v>142.345</v>
      </c>
      <c r="BO291" s="566">
        <f>VLOOKUP($A291,'01-02.2021'!$A$6:$CZ$403,67,FALSE)+VLOOKUP($A291,'1.3.21-28.2.22'!$A$6:$DA$404,67,FALSE)-VLOOKUP($A291,'01-02.2022'!$A$6:$DA$376,67,FALSE)</f>
        <v>0</v>
      </c>
      <c r="BP291" s="55">
        <f t="shared" si="340"/>
        <v>-142.345</v>
      </c>
      <c r="BQ291" s="77">
        <f t="shared" si="348"/>
        <v>9311.4750504363765</v>
      </c>
      <c r="BR291" s="40">
        <f t="shared" si="349"/>
        <v>8718</v>
      </c>
      <c r="BS291" s="55">
        <f t="shared" si="314"/>
        <v>-593.47505043637648</v>
      </c>
      <c r="BT291" s="566">
        <f>VLOOKUP($A291,'01-02.2021'!$A$6:$CZ$403,72,FALSE)+VLOOKUP($A291,'1.3.21-28.2.22'!$A$6:$DA$404,72,FALSE)-VLOOKUP($A291,'01-02.2022'!$A$6:$DA$376,72,FALSE)</f>
        <v>14392.910334228869</v>
      </c>
      <c r="BU291" s="566">
        <f>VLOOKUP($A291,'01-02.2021'!$A$6:$CZ$403,73,FALSE)+VLOOKUP($A291,'1.3.21-28.2.22'!$A$6:$DA$404,73,FALSE)-VLOOKUP($A291,'01-02.2022'!$A$6:$DA$376,73,FALSE)</f>
        <v>22473.178339773156</v>
      </c>
      <c r="BV291" s="70">
        <f t="shared" si="341"/>
        <v>8080.268005544287</v>
      </c>
      <c r="BW291" s="566">
        <f>VLOOKUP($A291,'01-02.2021'!$A$6:$CZ$403,75,FALSE)+VLOOKUP($A291,'1.3.21-28.2.22'!$A$6:$DA$404,75,FALSE)-VLOOKUP($A291,'01-02.2022'!$A$6:$DA$376,75,FALSE)</f>
        <v>16171.089508314737</v>
      </c>
      <c r="BX291" s="566">
        <f>VLOOKUP($A291,'01-02.2021'!$A$6:$CZ$403,76,FALSE)+VLOOKUP($A291,'1.3.21-28.2.22'!$A$6:$DA$404,76,FALSE)-VLOOKUP($A291,'01-02.2022'!$A$6:$DA$376,76,FALSE)</f>
        <v>15262.45311939223</v>
      </c>
      <c r="BY291" s="70">
        <f t="shared" si="342"/>
        <v>-908.63638892250674</v>
      </c>
      <c r="BZ291" s="566">
        <f>VLOOKUP($A291,'01-02.2021'!$A$6:$CZ$403,78,FALSE)+VLOOKUP($A291,'1.3.21-28.2.22'!$A$6:$DA$404,78,FALSE)-VLOOKUP($A291,'01-02.2022'!$A$6:$DA$376,78,FALSE)</f>
        <v>8373.2617498141481</v>
      </c>
      <c r="CA291" s="566">
        <f>VLOOKUP($A291,'01-02.2021'!$A$6:$CZ$403,79,FALSE)+VLOOKUP($A291,'1.3.21-28.2.22'!$A$6:$DA$404,79,FALSE)-VLOOKUP($A291,'01-02.2022'!$A$6:$DA$376,79,FALSE)</f>
        <v>5277.7445683790593</v>
      </c>
      <c r="CB291" s="70">
        <f t="shared" si="343"/>
        <v>-3095.5171814350888</v>
      </c>
      <c r="CC291" s="566">
        <f>VLOOKUP($A291,'01-02.2021'!$A$6:$CZ$403,81,FALSE)+VLOOKUP($A291,'1.3.21-28.2.22'!$A$6:$DA$404,81,FALSE)-VLOOKUP($A291,'01-02.2022'!$A$6:$DA$376,81,FALSE)</f>
        <v>543.49703052412178</v>
      </c>
      <c r="CD291" s="566">
        <f>VLOOKUP($A291,'01-02.2021'!$A$6:$CZ$403,82,FALSE)+VLOOKUP($A291,'1.3.21-28.2.22'!$A$6:$DA$404,82,FALSE)-VLOOKUP($A291,'01-02.2022'!$A$6:$DA$376,82,FALSE)</f>
        <v>594.03846050985396</v>
      </c>
      <c r="CE291" s="70">
        <f t="shared" si="344"/>
        <v>50.541429985732179</v>
      </c>
      <c r="CF291" s="566">
        <f>VLOOKUP($A291,'01-02.2021'!$A$6:$CZ$403,84,FALSE)+VLOOKUP($A291,'1.3.21-28.2.22'!$A$6:$DA$404,84,FALSE)-VLOOKUP($A291,'01-02.2022'!$A$6:$DA$376,84,FALSE)</f>
        <v>66.073259590505032</v>
      </c>
      <c r="CG291" s="566">
        <f>VLOOKUP($A291,'01-02.2021'!$A$6:$CZ$403,85,FALSE)+VLOOKUP($A291,'1.3.21-28.2.22'!$A$6:$DA$404,85,FALSE)-VLOOKUP($A291,'01-02.2022'!$A$6:$DA$376,85,FALSE)</f>
        <v>0</v>
      </c>
      <c r="CH291" s="70">
        <f t="shared" si="345"/>
        <v>-66.073259590505032</v>
      </c>
      <c r="CI291" s="566">
        <f>VLOOKUP($A291,'01-02.2021'!$A$6:$CZ$403,87,FALSE)+VLOOKUP($A291,'1.3.21-28.2.22'!$A$6:$DA$404,87,FALSE)-VLOOKUP($A291,'01-02.2022'!$A$6:$DA$376,87,FALSE)</f>
        <v>3411.7133474778466</v>
      </c>
      <c r="CJ291" s="566">
        <f>VLOOKUP($A291,'01-02.2021'!$A$6:$CZ$403,88,FALSE)+VLOOKUP($A291,'1.3.21-28.2.22'!$A$6:$DA$404,88,FALSE)-VLOOKUP($A291,'01-02.2022'!$A$6:$DA$376,88,FALSE)</f>
        <v>2912.247951389194</v>
      </c>
      <c r="CK291" s="70">
        <f t="shared" si="346"/>
        <v>-499.4653960886526</v>
      </c>
      <c r="CL291" s="566">
        <f>VLOOKUP($A291,'01-02.2021'!$A$6:$CZ$403,90,FALSE)+VLOOKUP($A291,'1.3.21-28.2.22'!$A$6:$DA$404,90,FALSE)-VLOOKUP($A291,'01-02.2022'!$A$6:$DA$376,90,FALSE)</f>
        <v>0</v>
      </c>
      <c r="CM291" s="566">
        <f>VLOOKUP($A291,'01-02.2021'!$A$6:$CZ$403,91,FALSE)+VLOOKUP($A291,'1.3.21-28.2.22'!$A$6:$DA$404,91,FALSE)-VLOOKUP($A291,'01-02.2022'!$A$6:$DA$376,91,FALSE)</f>
        <v>0</v>
      </c>
      <c r="CN291" s="52">
        <f t="shared" si="303"/>
        <v>0</v>
      </c>
      <c r="CO291" s="39">
        <f t="shared" si="298"/>
        <v>3411.7133474778466</v>
      </c>
      <c r="CP291" s="40">
        <f t="shared" si="304"/>
        <v>2912.247951389194</v>
      </c>
      <c r="CQ291" s="52">
        <f t="shared" si="305"/>
        <v>-499.4653960886526</v>
      </c>
      <c r="CR291" s="72">
        <f t="shared" si="299"/>
        <v>120413.97416362089</v>
      </c>
      <c r="CS291" s="5">
        <f t="shared" si="299"/>
        <v>196060.96731307599</v>
      </c>
      <c r="CT291" s="52">
        <f t="shared" si="306"/>
        <v>75646.993149455098</v>
      </c>
      <c r="CU291" s="77">
        <f t="shared" si="307"/>
        <v>144496.76899634505</v>
      </c>
      <c r="CV291" s="65">
        <f t="shared" si="308"/>
        <v>235273.16077569118</v>
      </c>
      <c r="CW291" s="35">
        <f t="shared" si="309"/>
        <v>90776.39177934613</v>
      </c>
      <c r="CX291" s="566">
        <f>VLOOKUP($A291,'01-02.2021'!$A$6:$CZ$403,102,FALSE)+VLOOKUP($A291,'1.3.21-28.2.22'!$A$6:$DA$404,102,FALSE)-VLOOKUP($A291,'01-02.2022'!$A$6:$DA$376,102,FALSE)</f>
        <v>5048.4005457162566</v>
      </c>
      <c r="CY291" s="566">
        <f>VLOOKUP($A291,'01-02.2021'!$A$6:$CZ$403,103,FALSE)+VLOOKUP($A291,'1.3.21-28.2.22'!$A$6:$DA$404,103,FALSE)-VLOOKUP($A291,'01-02.2022'!$A$6:$DA$376,103,FALSE)</f>
        <v>-85727.9912336298</v>
      </c>
      <c r="CZ291" s="52">
        <f t="shared" si="310"/>
        <v>-90776.391779346057</v>
      </c>
      <c r="DA291" s="150">
        <f>'[2]побудинковий звіт'!DA291</f>
        <v>72653.850613079965</v>
      </c>
      <c r="DB291" s="2">
        <v>2</v>
      </c>
      <c r="DC291" s="414">
        <f>'[4]побудинковий звіт'!DC291</f>
        <v>14871.12</v>
      </c>
      <c r="DD291" s="414">
        <f>'[4]побудинковий звіт'!DD291</f>
        <v>1255.9099999999999</v>
      </c>
      <c r="DE291" s="557">
        <f>'[4]побудинковий звіт'!DE291</f>
        <v>2121.4458119375886</v>
      </c>
      <c r="DF291" s="557">
        <f>'[4]побудинковий звіт'!DF291</f>
        <v>470.67548493788024</v>
      </c>
      <c r="DG291" s="321">
        <f>VLOOKUP(A291,'кошти 01.03.2021'!$A$6:$D$401,4,)</f>
        <v>-13427.802547565727</v>
      </c>
      <c r="DH291" s="40">
        <f>'[3]побудинковий звіт'!DJ291</f>
        <v>154615.1688332138</v>
      </c>
      <c r="DI291" s="422">
        <f>'[3]побудинковий звіт'!CU291+'[3]побудинковий звіт'!CX291</f>
        <v>13534.908703124531</v>
      </c>
      <c r="DJ291" s="306">
        <f>'[3]побудинковий звіт'!DM291</f>
        <v>4.804489651453598</v>
      </c>
      <c r="DK291" s="306">
        <f t="shared" si="350"/>
        <v>4.804489651453598</v>
      </c>
      <c r="DL291" s="306">
        <f>'[3]побудинковий звіт'!DO291</f>
        <v>4.0643608440068304</v>
      </c>
      <c r="DM291" s="28">
        <f t="shared" si="351"/>
        <v>12749.674188062412</v>
      </c>
      <c r="DN291" s="28">
        <f t="shared" si="352"/>
        <v>785.23451506211961</v>
      </c>
      <c r="DO291" s="423">
        <f t="shared" si="319"/>
        <v>13534.908703124533</v>
      </c>
      <c r="DP291" s="94">
        <f t="shared" si="320"/>
        <v>0</v>
      </c>
      <c r="DQ291" s="28">
        <f t="shared" si="321"/>
        <v>13534.908703124533</v>
      </c>
      <c r="DR291" s="318"/>
      <c r="DT291" s="8"/>
      <c r="DU291" s="5"/>
      <c r="DX291" s="5">
        <f t="shared" si="322"/>
        <v>43860.230272566791</v>
      </c>
      <c r="DY291" s="5">
        <f t="shared" si="323"/>
        <v>131615.26799999998</v>
      </c>
      <c r="DZ291" s="159">
        <f>'[3]побудинковий звіт'!EA291</f>
        <v>4150.4655203115344</v>
      </c>
    </row>
    <row r="292" spans="1:130" x14ac:dyDescent="0.3">
      <c r="A292" s="325">
        <v>150000743</v>
      </c>
      <c r="B292" s="41" t="s">
        <v>738</v>
      </c>
      <c r="C292" s="42" t="s">
        <v>221</v>
      </c>
      <c r="D292" s="42"/>
      <c r="E292" s="293">
        <f t="shared" si="296"/>
        <v>2296.6999999999998</v>
      </c>
      <c r="F292" s="305">
        <f>'[3]побудинковий звіт'!F292</f>
        <v>1773.9</v>
      </c>
      <c r="G292" s="508">
        <f>'[3]побудинковий звіт'!G292</f>
        <v>0</v>
      </c>
      <c r="H292" s="560">
        <f>'[3]побудинковий звіт'!H292</f>
        <v>522.79999999999995</v>
      </c>
      <c r="I292" s="566">
        <f>VLOOKUP($A292,'01-02.2021'!$A$6:$CZ$403,9,FALSE)+VLOOKUP($A292,'1.3.21-28.2.22'!$A$6:$DA$404,9,FALSE)-VLOOKUP($A292,'01-02.2022'!$A$6:$DA$376,9,FALSE)</f>
        <v>7338.0726907063599</v>
      </c>
      <c r="J292" s="566">
        <f>VLOOKUP($A292,'01-02.2021'!$A$6:$CZ$403,10,FALSE)+VLOOKUP($A292,'1.3.21-28.2.22'!$A$6:$DA$404,10,FALSE)-VLOOKUP($A292,'01-02.2022'!$A$6:$DA$376,10,FALSE)</f>
        <v>8075.018965028421</v>
      </c>
      <c r="K292" s="52">
        <f t="shared" si="300"/>
        <v>736.94627432206107</v>
      </c>
      <c r="L292" s="566">
        <f>VLOOKUP($A292,'01-02.2021'!$A$6:$CZ$403,12,FALSE)+VLOOKUP($A292,'1.3.21-28.2.22'!$A$6:$DA$404,12,FALSE)-VLOOKUP($A292,'01-02.2022'!$A$6:$DA$376,12,FALSE)</f>
        <v>1330.166532229737</v>
      </c>
      <c r="M292" s="566">
        <f>VLOOKUP($A292,'01-02.2021'!$A$6:$CZ$403,13,FALSE)+VLOOKUP($A292,'1.3.21-28.2.22'!$A$6:$DA$404,13,FALSE)-VLOOKUP($A292,'01-02.2022'!$A$6:$DA$376,13,FALSE)</f>
        <v>1464.5645956638054</v>
      </c>
      <c r="N292" s="52">
        <f t="shared" si="301"/>
        <v>134.39806343406849</v>
      </c>
      <c r="O292" s="566">
        <f>VLOOKUP($A292,'01-02.2021'!$A$6:$CZ$403,15,FALSE)+VLOOKUP($A292,'1.3.21-28.2.22'!$A$6:$DA$404,15,FALSE)-VLOOKUP($A292,'01-02.2022'!$A$6:$DA$376,15,FALSE)</f>
        <v>2608.7667158725085</v>
      </c>
      <c r="P292" s="566">
        <f>VLOOKUP($A292,'01-02.2021'!$A$6:$CZ$403,16,FALSE)+VLOOKUP($A292,'1.3.21-28.2.22'!$A$6:$DA$404,16,FALSE)-VLOOKUP($A292,'01-02.2022'!$A$6:$DA$376,16,FALSE)</f>
        <v>2608.77</v>
      </c>
      <c r="Q292" s="70">
        <f t="shared" si="324"/>
        <v>3.2841274914972018E-3</v>
      </c>
      <c r="R292" s="566">
        <f>VLOOKUP($A292,'01-02.2021'!$A$6:$CZ$403,18,FALSE)+VLOOKUP($A292,'1.3.21-28.2.22'!$A$6:$DA$404,18,FALSE)-VLOOKUP($A292,'01-02.2022'!$A$6:$DA$376,18,FALSE)</f>
        <v>0</v>
      </c>
      <c r="S292" s="566">
        <f>VLOOKUP($A292,'01-02.2021'!$A$6:$CZ$403,19,FALSE)+VLOOKUP($A292,'1.3.21-28.2.22'!$A$6:$DA$404,19,FALSE)-VLOOKUP($A292,'01-02.2022'!$A$6:$DA$376,19,FALSE)</f>
        <v>0</v>
      </c>
      <c r="T292" s="70">
        <f t="shared" si="325"/>
        <v>0</v>
      </c>
      <c r="U292" s="566">
        <f>VLOOKUP($A292,'01-02.2021'!$A$6:$CZ$403,21,FALSE)+VLOOKUP($A292,'1.3.21-28.2.22'!$A$6:$DA$404,21,FALSE)-VLOOKUP($A292,'01-02.2022'!$A$6:$DA$376,21,FALSE)</f>
        <v>0</v>
      </c>
      <c r="V292" s="566">
        <f>VLOOKUP($A292,'01-02.2021'!$A$6:$CZ$403,22,FALSE)+VLOOKUP($A292,'1.3.21-28.2.22'!$A$6:$DA$404,22,FALSE)-VLOOKUP($A292,'01-02.2022'!$A$6:$DA$376,22,FALSE)</f>
        <v>0</v>
      </c>
      <c r="W292" s="70">
        <f t="shared" si="326"/>
        <v>0</v>
      </c>
      <c r="X292" s="566">
        <f>VLOOKUP($A292,'01-02.2021'!$A$6:$CZ$403,24,FALSE)+VLOOKUP($A292,'1.3.21-28.2.22'!$A$6:$DA$404,24,FALSE)-VLOOKUP($A292,'01-02.2022'!$A$6:$DA$376,24,FALSE)</f>
        <v>4017.7827403690981</v>
      </c>
      <c r="Y292" s="566">
        <f>VLOOKUP($A292,'01-02.2021'!$A$6:$CZ$403,25,FALSE)+VLOOKUP($A292,'1.3.21-28.2.22'!$A$6:$DA$404,25,FALSE)-VLOOKUP($A292,'01-02.2022'!$A$6:$DA$376,25,FALSE)</f>
        <v>3156.5330232358629</v>
      </c>
      <c r="Z292" s="70">
        <f t="shared" si="327"/>
        <v>-861.24971713323521</v>
      </c>
      <c r="AA292" s="566">
        <f>VLOOKUP($A292,'01-02.2021'!$A$6:$CZ$403,27,FALSE)+VLOOKUP($A292,'1.3.21-28.2.22'!$A$6:$DA$404,27,FALSE)-VLOOKUP($A292,'01-02.2022'!$A$6:$DA$376,27,FALSE)</f>
        <v>459.34000000000003</v>
      </c>
      <c r="AB292" s="566">
        <f>VLOOKUP($A292,'01-02.2021'!$A$6:$CZ$403,28,FALSE)+VLOOKUP($A292,'1.3.21-28.2.22'!$A$6:$DA$404,28,FALSE)-VLOOKUP($A292,'01-02.2022'!$A$6:$DA$376,28,FALSE)</f>
        <v>3884.5580641792517</v>
      </c>
      <c r="AC292" s="70">
        <f t="shared" si="328"/>
        <v>3425.2180641792515</v>
      </c>
      <c r="AD292" s="566">
        <f>VLOOKUP($A292,'01-02.2021'!$A$6:$CZ$403,30,FALSE)+VLOOKUP($A292,'1.3.21-28.2.22'!$A$6:$DA$404,30,FALSE)-VLOOKUP($A292,'01-02.2022'!$A$6:$DA$376,30,FALSE)</f>
        <v>9816.181127652957</v>
      </c>
      <c r="AE292" s="566">
        <f>VLOOKUP($A292,'01-02.2021'!$A$6:$CZ$403,31,FALSE)+VLOOKUP($A292,'1.3.21-28.2.22'!$A$6:$DA$404,31,FALSE)-VLOOKUP($A292,'01-02.2022'!$A$6:$DA$376,31,FALSE)</f>
        <v>10454.670939211392</v>
      </c>
      <c r="AF292" s="68">
        <f t="shared" si="329"/>
        <v>638.48981155843467</v>
      </c>
      <c r="AG292" s="77">
        <f t="shared" si="297"/>
        <v>25570.309806830664</v>
      </c>
      <c r="AH292" s="53">
        <f t="shared" si="297"/>
        <v>29644.115587318734</v>
      </c>
      <c r="AI292" s="52">
        <f t="shared" si="302"/>
        <v>4073.80578048807</v>
      </c>
      <c r="AJ292" s="566">
        <f>VLOOKUP($A292,'01-02.2021'!$A$6:$CZ$403,36,FALSE)+VLOOKUP($A292,'1.3.21-28.2.22'!$A$6:$DA$404,36,FALSE)-VLOOKUP($A292,'01-02.2022'!$A$6:$DA$376,36,FALSE)</f>
        <v>0</v>
      </c>
      <c r="AK292" s="566">
        <f>VLOOKUP($A292,'01-02.2021'!$A$6:$CZ$403,37,FALSE)+VLOOKUP($A292,'1.3.21-28.2.22'!$A$6:$DA$404,37,FALSE)-VLOOKUP($A292,'01-02.2022'!$A$6:$DA$376,37,FALSE)</f>
        <v>0</v>
      </c>
      <c r="AL292" s="70">
        <f t="shared" si="330"/>
        <v>0</v>
      </c>
      <c r="AM292" s="566">
        <f>VLOOKUP($A292,'01-02.2021'!$A$6:$CZ$403,39,FALSE)+VLOOKUP($A292,'1.3.21-28.2.22'!$A$6:$DA$404,39,FALSE)-VLOOKUP($A292,'01-02.2022'!$A$6:$DA$376,39,FALSE)</f>
        <v>0</v>
      </c>
      <c r="AN292" s="566">
        <f>VLOOKUP($A292,'01-02.2021'!$A$6:$CZ$403,40,FALSE)+VLOOKUP($A292,'1.3.21-28.2.22'!$A$6:$DA$404,40,FALSE)-VLOOKUP($A292,'01-02.2022'!$A$6:$DA$376,40,FALSE)</f>
        <v>0</v>
      </c>
      <c r="AO292" s="70">
        <f t="shared" si="331"/>
        <v>0</v>
      </c>
      <c r="AP292" s="566">
        <f>VLOOKUP($A292,'01-02.2021'!$A$6:$CZ$403,42,FALSE)+VLOOKUP($A292,'1.3.21-28.2.22'!$A$6:$DA$404,42,FALSE)-VLOOKUP($A292,'01-02.2022'!$A$6:$DA$376,42,FALSE)</f>
        <v>5596.0191938873577</v>
      </c>
      <c r="AQ292" s="566">
        <f>VLOOKUP($A292,'01-02.2021'!$A$6:$CZ$403,43,FALSE)+VLOOKUP($A292,'1.3.21-28.2.22'!$A$6:$DA$404,43,FALSE)-VLOOKUP($A292,'01-02.2022'!$A$6:$DA$376,43,FALSE)</f>
        <v>4829.9039762899429</v>
      </c>
      <c r="AR292" s="70">
        <f t="shared" si="332"/>
        <v>-766.11521759741481</v>
      </c>
      <c r="AS292" s="566">
        <f>VLOOKUP($A292,'01-02.2021'!$A$6:$CZ$403,45,FALSE)+VLOOKUP($A292,'1.3.21-28.2.22'!$A$6:$DA$404,45,FALSE)-VLOOKUP($A292,'01-02.2022'!$A$6:$DA$376,45,FALSE)</f>
        <v>19050.160875711983</v>
      </c>
      <c r="AT292" s="566">
        <f>VLOOKUP($A292,'01-02.2021'!$A$6:$CZ$403,46,FALSE)+VLOOKUP($A292,'1.3.21-28.2.22'!$A$6:$DA$404,46,FALSE)-VLOOKUP($A292,'01-02.2022'!$A$6:$DA$376,46,FALSE)</f>
        <v>254.12132771087272</v>
      </c>
      <c r="AU292" s="78">
        <f t="shared" si="333"/>
        <v>-18796.03954800111</v>
      </c>
      <c r="AV292" s="566">
        <f>VLOOKUP($A292,'01-02.2021'!$A$6:$CZ$403,48,FALSE)+VLOOKUP($A292,'1.3.21-28.2.22'!$A$6:$DA$404,48,FALSE)-VLOOKUP($A292,'01-02.2022'!$A$6:$DA$376,48,FALSE)</f>
        <v>1959.8220321552215</v>
      </c>
      <c r="AW292" s="566">
        <f>VLOOKUP($A292,'01-02.2021'!$A$6:$CZ$403,49,FALSE)+VLOOKUP($A292,'1.3.21-28.2.22'!$A$6:$DA$404,49,FALSE)-VLOOKUP($A292,'01-02.2022'!$A$6:$DA$376,49,FALSE)</f>
        <v>733</v>
      </c>
      <c r="AX292" s="55">
        <f t="shared" si="334"/>
        <v>-1226.8220321552215</v>
      </c>
      <c r="AY292" s="566">
        <f>VLOOKUP($A292,'01-02.2021'!$A$6:$CZ$403,51,FALSE)+VLOOKUP($A292,'1.3.21-28.2.22'!$A$6:$DA$404,51,FALSE)-VLOOKUP($A292,'01-02.2022'!$A$6:$DA$376,51,FALSE)</f>
        <v>2500.5057088280128</v>
      </c>
      <c r="AZ292" s="566">
        <f>VLOOKUP($A292,'01-02.2021'!$A$6:$CZ$403,52,FALSE)+VLOOKUP($A292,'1.3.21-28.2.22'!$A$6:$DA$404,52,FALSE)-VLOOKUP($A292,'01-02.2022'!$A$6:$DA$376,52,FALSE)</f>
        <v>0</v>
      </c>
      <c r="BA292" s="38">
        <f t="shared" si="335"/>
        <v>-2500.5057088280128</v>
      </c>
      <c r="BB292" s="566">
        <f>VLOOKUP($A292,'01-02.2021'!$A$6:$CZ$403,54,FALSE)+VLOOKUP($A292,'1.3.21-28.2.22'!$A$6:$DA$404,54,FALSE)-VLOOKUP($A292,'01-02.2022'!$A$6:$DA$376,54,FALSE)</f>
        <v>1038.6006645621562</v>
      </c>
      <c r="BC292" s="566">
        <f>VLOOKUP($A292,'01-02.2021'!$A$6:$CZ$403,55,FALSE)+VLOOKUP($A292,'1.3.21-28.2.22'!$A$6:$DA$404,55,FALSE)-VLOOKUP($A292,'01-02.2022'!$A$6:$DA$376,55,FALSE)</f>
        <v>0</v>
      </c>
      <c r="BD292" s="55">
        <f t="shared" si="336"/>
        <v>-1038.6006645621562</v>
      </c>
      <c r="BE292" s="566">
        <f>VLOOKUP($A292,'01-02.2021'!$A$6:$CZ$403,57,FALSE)+VLOOKUP($A292,'1.3.21-28.2.22'!$A$6:$DA$404,57,FALSE)-VLOOKUP($A292,'01-02.2022'!$A$6:$DA$376,57,FALSE)</f>
        <v>0</v>
      </c>
      <c r="BF292" s="566">
        <f>VLOOKUP($A292,'01-02.2021'!$A$6:$CZ$403,58,FALSE)+VLOOKUP($A292,'1.3.21-28.2.22'!$A$6:$DA$404,58,FALSE)-VLOOKUP($A292,'01-02.2022'!$A$6:$DA$376,58,FALSE)</f>
        <v>0</v>
      </c>
      <c r="BG292" s="55">
        <f t="shared" si="337"/>
        <v>0</v>
      </c>
      <c r="BH292" s="566">
        <f>VLOOKUP($A292,'01-02.2021'!$A$6:$CZ$403,60,FALSE)+VLOOKUP($A292,'1.3.21-28.2.22'!$A$6:$DA$404,60,FALSE)-VLOOKUP($A292,'01-02.2022'!$A$6:$DA$376,60,FALSE)</f>
        <v>0</v>
      </c>
      <c r="BI292" s="566">
        <f>VLOOKUP($A292,'01-02.2021'!$A$6:$CZ$403,61,FALSE)+VLOOKUP($A292,'1.3.21-28.2.22'!$A$6:$DA$404,61,FALSE)-VLOOKUP($A292,'01-02.2022'!$A$6:$DA$376,61,FALSE)</f>
        <v>0</v>
      </c>
      <c r="BJ292" s="55">
        <f t="shared" si="338"/>
        <v>0</v>
      </c>
      <c r="BK292" s="566">
        <f>VLOOKUP($A292,'01-02.2021'!$A$6:$CZ$403,63,FALSE)+VLOOKUP($A292,'1.3.21-28.2.22'!$A$6:$DA$404,63,FALSE)-VLOOKUP($A292,'01-02.2022'!$A$6:$DA$376,63,FALSE)</f>
        <v>1164.7926120880943</v>
      </c>
      <c r="BL292" s="566">
        <f>VLOOKUP($A292,'01-02.2021'!$A$6:$CZ$403,64,FALSE)+VLOOKUP($A292,'1.3.21-28.2.22'!$A$6:$DA$404,64,FALSE)-VLOOKUP($A292,'01-02.2022'!$A$6:$DA$376,64,FALSE)</f>
        <v>985</v>
      </c>
      <c r="BM292" s="55">
        <f t="shared" si="339"/>
        <v>-179.7926120880943</v>
      </c>
      <c r="BN292" s="566">
        <f>VLOOKUP($A292,'01-02.2021'!$A$6:$CZ$403,66,FALSE)+VLOOKUP($A292,'1.3.21-28.2.22'!$A$6:$DA$404,66,FALSE)-VLOOKUP($A292,'01-02.2022'!$A$6:$DA$376,66,FALSE)</f>
        <v>114.83500000000001</v>
      </c>
      <c r="BO292" s="566">
        <f>VLOOKUP($A292,'01-02.2021'!$A$6:$CZ$403,67,FALSE)+VLOOKUP($A292,'1.3.21-28.2.22'!$A$6:$DA$404,67,FALSE)-VLOOKUP($A292,'01-02.2022'!$A$6:$DA$376,67,FALSE)</f>
        <v>1409</v>
      </c>
      <c r="BP292" s="55">
        <f t="shared" si="340"/>
        <v>1294.165</v>
      </c>
      <c r="BQ292" s="77">
        <f t="shared" si="348"/>
        <v>6778.5560176334848</v>
      </c>
      <c r="BR292" s="40">
        <f t="shared" si="349"/>
        <v>3127</v>
      </c>
      <c r="BS292" s="55">
        <f t="shared" si="314"/>
        <v>-3651.5560176334848</v>
      </c>
      <c r="BT292" s="566">
        <f>VLOOKUP($A292,'01-02.2021'!$A$6:$CZ$403,72,FALSE)+VLOOKUP($A292,'1.3.21-28.2.22'!$A$6:$DA$404,72,FALSE)-VLOOKUP($A292,'01-02.2022'!$A$6:$DA$376,72,FALSE)</f>
        <v>10532.622033711647</v>
      </c>
      <c r="BU292" s="566">
        <f>VLOOKUP($A292,'01-02.2021'!$A$6:$CZ$403,73,FALSE)+VLOOKUP($A292,'1.3.21-28.2.22'!$A$6:$DA$404,73,FALSE)-VLOOKUP($A292,'01-02.2022'!$A$6:$DA$376,73,FALSE)</f>
        <v>16574.751856132316</v>
      </c>
      <c r="BV292" s="70">
        <f t="shared" si="341"/>
        <v>6042.1298224206694</v>
      </c>
      <c r="BW292" s="566">
        <f>VLOOKUP($A292,'01-02.2021'!$A$6:$CZ$403,75,FALSE)+VLOOKUP($A292,'1.3.21-28.2.22'!$A$6:$DA$404,75,FALSE)-VLOOKUP($A292,'01-02.2022'!$A$6:$DA$376,75,FALSE)</f>
        <v>9798.995016349294</v>
      </c>
      <c r="BX292" s="566">
        <f>VLOOKUP($A292,'01-02.2021'!$A$6:$CZ$403,76,FALSE)+VLOOKUP($A292,'1.3.21-28.2.22'!$A$6:$DA$404,76,FALSE)-VLOOKUP($A292,'01-02.2022'!$A$6:$DA$376,76,FALSE)</f>
        <v>9841.7694027745292</v>
      </c>
      <c r="BY292" s="70">
        <f t="shared" si="342"/>
        <v>42.774386425235207</v>
      </c>
      <c r="BZ292" s="566">
        <f>VLOOKUP($A292,'01-02.2021'!$A$6:$CZ$403,78,FALSE)+VLOOKUP($A292,'1.3.21-28.2.22'!$A$6:$DA$404,78,FALSE)-VLOOKUP($A292,'01-02.2022'!$A$6:$DA$376,78,FALSE)</f>
        <v>7015.8012464841704</v>
      </c>
      <c r="CA292" s="566">
        <f>VLOOKUP($A292,'01-02.2021'!$A$6:$CZ$403,79,FALSE)+VLOOKUP($A292,'1.3.21-28.2.22'!$A$6:$DA$404,79,FALSE)-VLOOKUP($A292,'01-02.2022'!$A$6:$DA$376,79,FALSE)</f>
        <v>4000.3127234779713</v>
      </c>
      <c r="CB292" s="70">
        <f t="shared" si="343"/>
        <v>-3015.4885230061991</v>
      </c>
      <c r="CC292" s="566">
        <f>VLOOKUP($A292,'01-02.2021'!$A$6:$CZ$403,81,FALSE)+VLOOKUP($A292,'1.3.21-28.2.22'!$A$6:$DA$404,81,FALSE)-VLOOKUP($A292,'01-02.2022'!$A$6:$DA$376,81,FALSE)</f>
        <v>1497.2208123431085</v>
      </c>
      <c r="CD292" s="566">
        <f>VLOOKUP($A292,'01-02.2021'!$A$6:$CZ$403,82,FALSE)+VLOOKUP($A292,'1.3.21-28.2.22'!$A$6:$DA$404,82,FALSE)-VLOOKUP($A292,'01-02.2022'!$A$6:$DA$376,82,FALSE)</f>
        <v>1636.4518966183005</v>
      </c>
      <c r="CE292" s="70">
        <f t="shared" si="344"/>
        <v>139.23108427519196</v>
      </c>
      <c r="CF292" s="566">
        <f>VLOOKUP($A292,'01-02.2021'!$A$6:$CZ$403,84,FALSE)+VLOOKUP($A292,'1.3.21-28.2.22'!$A$6:$DA$404,84,FALSE)-VLOOKUP($A292,'01-02.2022'!$A$6:$DA$376,84,FALSE)</f>
        <v>182.01803108814303</v>
      </c>
      <c r="CG292" s="566">
        <f>VLOOKUP($A292,'01-02.2021'!$A$6:$CZ$403,85,FALSE)+VLOOKUP($A292,'1.3.21-28.2.22'!$A$6:$DA$404,85,FALSE)-VLOOKUP($A292,'01-02.2022'!$A$6:$DA$376,85,FALSE)</f>
        <v>0</v>
      </c>
      <c r="CH292" s="70">
        <f t="shared" si="345"/>
        <v>-182.01803108814303</v>
      </c>
      <c r="CI292" s="566">
        <f>VLOOKUP($A292,'01-02.2021'!$A$6:$CZ$403,87,FALSE)+VLOOKUP($A292,'1.3.21-28.2.22'!$A$6:$DA$404,87,FALSE)-VLOOKUP($A292,'01-02.2022'!$A$6:$DA$376,87,FALSE)</f>
        <v>1032.9453524806902</v>
      </c>
      <c r="CJ292" s="566">
        <f>VLOOKUP($A292,'01-02.2021'!$A$6:$CZ$403,88,FALSE)+VLOOKUP($A292,'1.3.21-28.2.22'!$A$6:$DA$404,88,FALSE)-VLOOKUP($A292,'01-02.2022'!$A$6:$DA$376,88,FALSE)</f>
        <v>653.25391064705718</v>
      </c>
      <c r="CK292" s="70">
        <f t="shared" si="346"/>
        <v>-379.69144183363301</v>
      </c>
      <c r="CL292" s="566">
        <f>VLOOKUP($A292,'01-02.2021'!$A$6:$CZ$403,90,FALSE)+VLOOKUP($A292,'1.3.21-28.2.22'!$A$6:$DA$404,90,FALSE)-VLOOKUP($A292,'01-02.2022'!$A$6:$DA$376,90,FALSE)</f>
        <v>0</v>
      </c>
      <c r="CM292" s="566">
        <f>VLOOKUP($A292,'01-02.2021'!$A$6:$CZ$403,91,FALSE)+VLOOKUP($A292,'1.3.21-28.2.22'!$A$6:$DA$404,91,FALSE)-VLOOKUP($A292,'01-02.2022'!$A$6:$DA$376,91,FALSE)</f>
        <v>0</v>
      </c>
      <c r="CN292" s="52">
        <f t="shared" si="303"/>
        <v>0</v>
      </c>
      <c r="CO292" s="39">
        <f t="shared" si="298"/>
        <v>1032.9453524806902</v>
      </c>
      <c r="CP292" s="40">
        <f t="shared" si="304"/>
        <v>653.25391064705718</v>
      </c>
      <c r="CQ292" s="52">
        <f t="shared" si="305"/>
        <v>-379.69144183363301</v>
      </c>
      <c r="CR292" s="72">
        <f t="shared" si="299"/>
        <v>87054.648386520523</v>
      </c>
      <c r="CS292" s="5">
        <f t="shared" si="299"/>
        <v>70561.680680969715</v>
      </c>
      <c r="CT292" s="52">
        <f t="shared" si="306"/>
        <v>-16492.967705550807</v>
      </c>
      <c r="CU292" s="77">
        <f t="shared" si="307"/>
        <v>104465.57806382462</v>
      </c>
      <c r="CV292" s="65">
        <f t="shared" si="308"/>
        <v>84674.016817163661</v>
      </c>
      <c r="CW292" s="35">
        <f t="shared" si="309"/>
        <v>-19791.56124666096</v>
      </c>
      <c r="CX292" s="566">
        <f>VLOOKUP($A292,'01-02.2021'!$A$6:$CZ$403,102,FALSE)+VLOOKUP($A292,'1.3.21-28.2.22'!$A$6:$DA$404,102,FALSE)-VLOOKUP($A292,'01-02.2022'!$A$6:$DA$376,102,FALSE)</f>
        <v>3647.9644513856688</v>
      </c>
      <c r="CY292" s="566">
        <f>VLOOKUP($A292,'01-02.2021'!$A$6:$CZ$403,103,FALSE)+VLOOKUP($A292,'1.3.21-28.2.22'!$A$6:$DA$404,103,FALSE)-VLOOKUP($A292,'01-02.2022'!$A$6:$DA$376,103,FALSE)</f>
        <v>23439.525698046651</v>
      </c>
      <c r="CZ292" s="52">
        <f t="shared" si="310"/>
        <v>19791.561246660982</v>
      </c>
      <c r="DA292" s="150">
        <f>'[2]побудинковий звіт'!DA292</f>
        <v>21535.23267843762</v>
      </c>
      <c r="DB292" s="2">
        <v>2</v>
      </c>
      <c r="DC292" s="414">
        <f>'[4]побудинковий звіт'!DC292</f>
        <v>42737.7</v>
      </c>
      <c r="DD292" s="414">
        <f>'[4]побудинковий звіт'!DD292</f>
        <v>3742.2899999999995</v>
      </c>
      <c r="DE292" s="557">
        <f>'[4]побудинковий звіт'!DE292</f>
        <v>34900.664446705792</v>
      </c>
      <c r="DF292" s="557">
        <f>'[4]побудинковий звіт'!DF292</f>
        <v>1784.3732722599448</v>
      </c>
      <c r="DG292" s="321">
        <f>VLOOKUP(A292,'кошти 01.03.2021'!$A$6:$D$401,4,)</f>
        <v>38236.000308223185</v>
      </c>
      <c r="DH292" s="40">
        <f>'[3]побудинковий звіт'!DJ292</f>
        <v>111826.52641462987</v>
      </c>
      <c r="DI292" s="422">
        <f>'[3]побудинковий звіт'!CU292+'[3]побудинковий звіт'!CX292</f>
        <v>9794.9522810342605</v>
      </c>
      <c r="DJ292" s="306">
        <f>'[3]побудинковий звіт'!DM292</f>
        <v>4.4179691940324739</v>
      </c>
      <c r="DK292" s="306">
        <f t="shared" si="350"/>
        <v>4.4179691940324739</v>
      </c>
      <c r="DL292" s="306">
        <f>'[3]побудинковий звіт'!DO292</f>
        <v>3.7450587753252771</v>
      </c>
      <c r="DM292" s="28">
        <f t="shared" si="351"/>
        <v>7837.0355532942058</v>
      </c>
      <c r="DN292" s="28">
        <f t="shared" si="352"/>
        <v>1957.9167277400547</v>
      </c>
      <c r="DO292" s="423">
        <f t="shared" si="319"/>
        <v>9794.9522810342605</v>
      </c>
      <c r="DP292" s="94">
        <f t="shared" si="320"/>
        <v>0</v>
      </c>
      <c r="DQ292" s="28">
        <f t="shared" si="321"/>
        <v>9794.9522810342605</v>
      </c>
      <c r="DR292" s="318"/>
      <c r="DT292" s="8"/>
      <c r="DU292" s="5"/>
      <c r="DX292" s="5">
        <f t="shared" si="322"/>
        <v>30994.460272014559</v>
      </c>
      <c r="DY292" s="5">
        <f t="shared" si="323"/>
        <v>4057.3455932530469</v>
      </c>
      <c r="DZ292" s="159">
        <f>'[3]побудинковий звіт'!EA292</f>
        <v>2949.5189330261414</v>
      </c>
    </row>
    <row r="293" spans="1:130" x14ac:dyDescent="0.3">
      <c r="A293" s="325">
        <v>150000737</v>
      </c>
      <c r="B293" s="41" t="s">
        <v>739</v>
      </c>
      <c r="C293" s="42" t="s">
        <v>222</v>
      </c>
      <c r="D293" s="42"/>
      <c r="E293" s="293">
        <f t="shared" si="296"/>
        <v>2573.1</v>
      </c>
      <c r="F293" s="305">
        <f>'[3]побудинковий звіт'!F293</f>
        <v>2311.4</v>
      </c>
      <c r="G293" s="508">
        <f>'[3]побудинковий звіт'!G293</f>
        <v>0</v>
      </c>
      <c r="H293" s="560">
        <f>'[3]побудинковий звіт'!H293</f>
        <v>261.7</v>
      </c>
      <c r="I293" s="566">
        <f>VLOOKUP($A293,'01-02.2021'!$A$6:$CZ$403,9,FALSE)+VLOOKUP($A293,'1.3.21-28.2.22'!$A$6:$DA$404,9,FALSE)-VLOOKUP($A293,'01-02.2022'!$A$6:$DA$376,9,FALSE)</f>
        <v>9502.4834378719715</v>
      </c>
      <c r="J293" s="566">
        <f>VLOOKUP($A293,'01-02.2021'!$A$6:$CZ$403,10,FALSE)+VLOOKUP($A293,'1.3.21-28.2.22'!$A$6:$DA$404,10,FALSE)-VLOOKUP($A293,'01-02.2022'!$A$6:$DA$376,10,FALSE)</f>
        <v>10408.727102379293</v>
      </c>
      <c r="K293" s="52">
        <f t="shared" si="300"/>
        <v>906.24366450732123</v>
      </c>
      <c r="L293" s="566">
        <f>VLOOKUP($A293,'01-02.2021'!$A$6:$CZ$403,12,FALSE)+VLOOKUP($A293,'1.3.21-28.2.22'!$A$6:$DA$404,12,FALSE)-VLOOKUP($A293,'01-02.2022'!$A$6:$DA$376,12,FALSE)</f>
        <v>1761.6333374388973</v>
      </c>
      <c r="M293" s="566">
        <f>VLOOKUP($A293,'01-02.2021'!$A$6:$CZ$403,13,FALSE)+VLOOKUP($A293,'1.3.21-28.2.22'!$A$6:$DA$404,13,FALSE)-VLOOKUP($A293,'01-02.2022'!$A$6:$DA$376,13,FALSE)</f>
        <v>1939.6223619948209</v>
      </c>
      <c r="N293" s="52">
        <f t="shared" si="301"/>
        <v>177.98902455592361</v>
      </c>
      <c r="O293" s="566">
        <f>VLOOKUP($A293,'01-02.2021'!$A$6:$CZ$403,15,FALSE)+VLOOKUP($A293,'1.3.21-28.2.22'!$A$6:$DA$404,15,FALSE)-VLOOKUP($A293,'01-02.2022'!$A$6:$DA$376,15,FALSE)</f>
        <v>3790.5883016003163</v>
      </c>
      <c r="P293" s="566">
        <f>VLOOKUP($A293,'01-02.2021'!$A$6:$CZ$403,16,FALSE)+VLOOKUP($A293,'1.3.21-28.2.22'!$A$6:$DA$404,16,FALSE)-VLOOKUP($A293,'01-02.2022'!$A$6:$DA$376,16,FALSE)</f>
        <v>3790.5999999999995</v>
      </c>
      <c r="Q293" s="70">
        <f t="shared" si="324"/>
        <v>1.1698399683155003E-2</v>
      </c>
      <c r="R293" s="566">
        <f>VLOOKUP($A293,'01-02.2021'!$A$6:$CZ$403,18,FALSE)+VLOOKUP($A293,'1.3.21-28.2.22'!$A$6:$DA$404,18,FALSE)-VLOOKUP($A293,'01-02.2022'!$A$6:$DA$376,18,FALSE)</f>
        <v>0</v>
      </c>
      <c r="S293" s="566">
        <f>VLOOKUP($A293,'01-02.2021'!$A$6:$CZ$403,19,FALSE)+VLOOKUP($A293,'1.3.21-28.2.22'!$A$6:$DA$404,19,FALSE)-VLOOKUP($A293,'01-02.2022'!$A$6:$DA$376,19,FALSE)</f>
        <v>0</v>
      </c>
      <c r="T293" s="70">
        <f t="shared" si="325"/>
        <v>0</v>
      </c>
      <c r="U293" s="566">
        <f>VLOOKUP($A293,'01-02.2021'!$A$6:$CZ$403,21,FALSE)+VLOOKUP($A293,'1.3.21-28.2.22'!$A$6:$DA$404,21,FALSE)-VLOOKUP($A293,'01-02.2022'!$A$6:$DA$376,21,FALSE)</f>
        <v>0</v>
      </c>
      <c r="V293" s="566">
        <f>VLOOKUP($A293,'01-02.2021'!$A$6:$CZ$403,22,FALSE)+VLOOKUP($A293,'1.3.21-28.2.22'!$A$6:$DA$404,22,FALSE)-VLOOKUP($A293,'01-02.2022'!$A$6:$DA$376,22,FALSE)</f>
        <v>0</v>
      </c>
      <c r="W293" s="70">
        <f t="shared" si="326"/>
        <v>0</v>
      </c>
      <c r="X293" s="566">
        <f>VLOOKUP($A293,'01-02.2021'!$A$6:$CZ$403,24,FALSE)+VLOOKUP($A293,'1.3.21-28.2.22'!$A$6:$DA$404,24,FALSE)-VLOOKUP($A293,'01-02.2022'!$A$6:$DA$376,24,FALSE)</f>
        <v>5843.1517198852507</v>
      </c>
      <c r="Y293" s="566">
        <f>VLOOKUP($A293,'01-02.2021'!$A$6:$CZ$403,25,FALSE)+VLOOKUP($A293,'1.3.21-28.2.22'!$A$6:$DA$404,25,FALSE)-VLOOKUP($A293,'01-02.2022'!$A$6:$DA$376,25,FALSE)</f>
        <v>4657.6643351449593</v>
      </c>
      <c r="Z293" s="70">
        <f t="shared" si="327"/>
        <v>-1185.4873847402914</v>
      </c>
      <c r="AA293" s="566">
        <f>VLOOKUP($A293,'01-02.2021'!$A$6:$CZ$403,27,FALSE)+VLOOKUP($A293,'1.3.21-28.2.22'!$A$6:$DA$404,27,FALSE)-VLOOKUP($A293,'01-02.2022'!$A$6:$DA$376,27,FALSE)</f>
        <v>514.81999999999994</v>
      </c>
      <c r="AB293" s="566">
        <f>VLOOKUP($A293,'01-02.2021'!$A$6:$CZ$403,28,FALSE)+VLOOKUP($A293,'1.3.21-28.2.22'!$A$6:$DA$404,28,FALSE)-VLOOKUP($A293,'01-02.2022'!$A$6:$DA$376,28,FALSE)</f>
        <v>0</v>
      </c>
      <c r="AC293" s="70">
        <f t="shared" si="328"/>
        <v>-514.81999999999994</v>
      </c>
      <c r="AD293" s="566">
        <f>VLOOKUP($A293,'01-02.2021'!$A$6:$CZ$403,30,FALSE)+VLOOKUP($A293,'1.3.21-28.2.22'!$A$6:$DA$404,30,FALSE)-VLOOKUP($A293,'01-02.2022'!$A$6:$DA$376,30,FALSE)</f>
        <v>11034.268352927204</v>
      </c>
      <c r="AE293" s="566">
        <f>VLOOKUP($A293,'01-02.2021'!$A$6:$CZ$403,31,FALSE)+VLOOKUP($A293,'1.3.21-28.2.22'!$A$6:$DA$404,31,FALSE)-VLOOKUP($A293,'01-02.2022'!$A$6:$DA$376,31,FALSE)</f>
        <v>11713.557164336184</v>
      </c>
      <c r="AF293" s="68">
        <f t="shared" si="329"/>
        <v>679.28881140898011</v>
      </c>
      <c r="AG293" s="77">
        <f t="shared" si="297"/>
        <v>32446.945149723637</v>
      </c>
      <c r="AH293" s="53">
        <f t="shared" si="297"/>
        <v>32510.170963855257</v>
      </c>
      <c r="AI293" s="52">
        <f t="shared" si="302"/>
        <v>63.2258141316197</v>
      </c>
      <c r="AJ293" s="566">
        <f>VLOOKUP($A293,'01-02.2021'!$A$6:$CZ$403,36,FALSE)+VLOOKUP($A293,'1.3.21-28.2.22'!$A$6:$DA$404,36,FALSE)-VLOOKUP($A293,'01-02.2022'!$A$6:$DA$376,36,FALSE)</f>
        <v>0</v>
      </c>
      <c r="AK293" s="566">
        <f>VLOOKUP($A293,'01-02.2021'!$A$6:$CZ$403,37,FALSE)+VLOOKUP($A293,'1.3.21-28.2.22'!$A$6:$DA$404,37,FALSE)-VLOOKUP($A293,'01-02.2022'!$A$6:$DA$376,37,FALSE)</f>
        <v>0</v>
      </c>
      <c r="AL293" s="70">
        <f t="shared" si="330"/>
        <v>0</v>
      </c>
      <c r="AM293" s="566">
        <f>VLOOKUP($A293,'01-02.2021'!$A$6:$CZ$403,39,FALSE)+VLOOKUP($A293,'1.3.21-28.2.22'!$A$6:$DA$404,39,FALSE)-VLOOKUP($A293,'01-02.2022'!$A$6:$DA$376,39,FALSE)</f>
        <v>0</v>
      </c>
      <c r="AN293" s="566">
        <f>VLOOKUP($A293,'01-02.2021'!$A$6:$CZ$403,40,FALSE)+VLOOKUP($A293,'1.3.21-28.2.22'!$A$6:$DA$404,40,FALSE)-VLOOKUP($A293,'01-02.2022'!$A$6:$DA$376,40,FALSE)</f>
        <v>0</v>
      </c>
      <c r="AO293" s="70">
        <f t="shared" si="331"/>
        <v>0</v>
      </c>
      <c r="AP293" s="566">
        <f>VLOOKUP($A293,'01-02.2021'!$A$6:$CZ$403,42,FALSE)+VLOOKUP($A293,'1.3.21-28.2.22'!$A$6:$DA$404,42,FALSE)-VLOOKUP($A293,'01-02.2022'!$A$6:$DA$376,42,FALSE)</f>
        <v>7548.1189126852732</v>
      </c>
      <c r="AQ293" s="566">
        <f>VLOOKUP($A293,'01-02.2021'!$A$6:$CZ$403,43,FALSE)+VLOOKUP($A293,'1.3.21-28.2.22'!$A$6:$DA$404,43,FALSE)-VLOOKUP($A293,'01-02.2022'!$A$6:$DA$376,43,FALSE)</f>
        <v>6289.7397880306817</v>
      </c>
      <c r="AR293" s="70">
        <f t="shared" si="332"/>
        <v>-1258.3791246545916</v>
      </c>
      <c r="AS293" s="566">
        <f>VLOOKUP($A293,'01-02.2021'!$A$6:$CZ$403,45,FALSE)+VLOOKUP($A293,'1.3.21-28.2.22'!$A$6:$DA$404,45,FALSE)-VLOOKUP($A293,'01-02.2022'!$A$6:$DA$376,45,FALSE)</f>
        <v>29791.312965530258</v>
      </c>
      <c r="AT293" s="566">
        <f>VLOOKUP($A293,'01-02.2021'!$A$6:$CZ$403,46,FALSE)+VLOOKUP($A293,'1.3.21-28.2.22'!$A$6:$DA$404,46,FALSE)-VLOOKUP($A293,'01-02.2022'!$A$6:$DA$376,46,FALSE)</f>
        <v>5884.77</v>
      </c>
      <c r="AU293" s="78">
        <f t="shared" si="333"/>
        <v>-23906.542965530258</v>
      </c>
      <c r="AV293" s="566">
        <f>VLOOKUP($A293,'01-02.2021'!$A$6:$CZ$403,48,FALSE)+VLOOKUP($A293,'1.3.21-28.2.22'!$A$6:$DA$404,48,FALSE)-VLOOKUP($A293,'01-02.2022'!$A$6:$DA$376,48,FALSE)</f>
        <v>2549.9398484168942</v>
      </c>
      <c r="AW293" s="566">
        <f>VLOOKUP($A293,'01-02.2021'!$A$6:$CZ$403,49,FALSE)+VLOOKUP($A293,'1.3.21-28.2.22'!$A$6:$DA$404,49,FALSE)-VLOOKUP($A293,'01-02.2022'!$A$6:$DA$376,49,FALSE)</f>
        <v>698</v>
      </c>
      <c r="AX293" s="55">
        <f t="shared" si="334"/>
        <v>-1851.9398484168942</v>
      </c>
      <c r="AY293" s="566">
        <f>VLOOKUP($A293,'01-02.2021'!$A$6:$CZ$403,51,FALSE)+VLOOKUP($A293,'1.3.21-28.2.22'!$A$6:$DA$404,51,FALSE)-VLOOKUP($A293,'01-02.2022'!$A$6:$DA$376,51,FALSE)</f>
        <v>3311.7190872362939</v>
      </c>
      <c r="AZ293" s="566">
        <f>VLOOKUP($A293,'01-02.2021'!$A$6:$CZ$403,52,FALSE)+VLOOKUP($A293,'1.3.21-28.2.22'!$A$6:$DA$404,52,FALSE)-VLOOKUP($A293,'01-02.2022'!$A$6:$DA$376,52,FALSE)</f>
        <v>0</v>
      </c>
      <c r="BA293" s="38">
        <f t="shared" si="335"/>
        <v>-3311.7190872362939</v>
      </c>
      <c r="BB293" s="566">
        <f>VLOOKUP($A293,'01-02.2021'!$A$6:$CZ$403,54,FALSE)+VLOOKUP($A293,'1.3.21-28.2.22'!$A$6:$DA$404,54,FALSE)-VLOOKUP($A293,'01-02.2022'!$A$6:$DA$376,54,FALSE)</f>
        <v>1244.6243176533537</v>
      </c>
      <c r="BC293" s="566">
        <f>VLOOKUP($A293,'01-02.2021'!$A$6:$CZ$403,55,FALSE)+VLOOKUP($A293,'1.3.21-28.2.22'!$A$6:$DA$404,55,FALSE)-VLOOKUP($A293,'01-02.2022'!$A$6:$DA$376,55,FALSE)</f>
        <v>1577</v>
      </c>
      <c r="BD293" s="55">
        <f t="shared" si="336"/>
        <v>332.37568234664627</v>
      </c>
      <c r="BE293" s="566">
        <f>VLOOKUP($A293,'01-02.2021'!$A$6:$CZ$403,57,FALSE)+VLOOKUP($A293,'1.3.21-28.2.22'!$A$6:$DA$404,57,FALSE)-VLOOKUP($A293,'01-02.2022'!$A$6:$DA$376,57,FALSE)</f>
        <v>0</v>
      </c>
      <c r="BF293" s="566">
        <f>VLOOKUP($A293,'01-02.2021'!$A$6:$CZ$403,58,FALSE)+VLOOKUP($A293,'1.3.21-28.2.22'!$A$6:$DA$404,58,FALSE)-VLOOKUP($A293,'01-02.2022'!$A$6:$DA$376,58,FALSE)</f>
        <v>0</v>
      </c>
      <c r="BG293" s="55">
        <f t="shared" si="337"/>
        <v>0</v>
      </c>
      <c r="BH293" s="566">
        <f>VLOOKUP($A293,'01-02.2021'!$A$6:$CZ$403,60,FALSE)+VLOOKUP($A293,'1.3.21-28.2.22'!$A$6:$DA$404,60,FALSE)-VLOOKUP($A293,'01-02.2022'!$A$6:$DA$376,60,FALSE)</f>
        <v>0</v>
      </c>
      <c r="BI293" s="566">
        <f>VLOOKUP($A293,'01-02.2021'!$A$6:$CZ$403,61,FALSE)+VLOOKUP($A293,'1.3.21-28.2.22'!$A$6:$DA$404,61,FALSE)-VLOOKUP($A293,'01-02.2022'!$A$6:$DA$376,61,FALSE)</f>
        <v>0</v>
      </c>
      <c r="BJ293" s="55">
        <f t="shared" si="338"/>
        <v>0</v>
      </c>
      <c r="BK293" s="566">
        <f>VLOOKUP($A293,'01-02.2021'!$A$6:$CZ$403,63,FALSE)+VLOOKUP($A293,'1.3.21-28.2.22'!$A$6:$DA$404,63,FALSE)-VLOOKUP($A293,'01-02.2022'!$A$6:$DA$376,63,FALSE)</f>
        <v>1856.4709797880225</v>
      </c>
      <c r="BL293" s="566">
        <f>VLOOKUP($A293,'01-02.2021'!$A$6:$CZ$403,64,FALSE)+VLOOKUP($A293,'1.3.21-28.2.22'!$A$6:$DA$404,64,FALSE)-VLOOKUP($A293,'01-02.2022'!$A$6:$DA$376,64,FALSE)</f>
        <v>0</v>
      </c>
      <c r="BM293" s="55">
        <f t="shared" si="339"/>
        <v>-1856.4709797880225</v>
      </c>
      <c r="BN293" s="566">
        <f>VLOOKUP($A293,'01-02.2021'!$A$6:$CZ$403,66,FALSE)+VLOOKUP($A293,'1.3.21-28.2.22'!$A$6:$DA$404,66,FALSE)-VLOOKUP($A293,'01-02.2022'!$A$6:$DA$376,66,FALSE)</f>
        <v>128.70499999999998</v>
      </c>
      <c r="BO293" s="566">
        <f>VLOOKUP($A293,'01-02.2021'!$A$6:$CZ$403,67,FALSE)+VLOOKUP($A293,'1.3.21-28.2.22'!$A$6:$DA$404,67,FALSE)-VLOOKUP($A293,'01-02.2022'!$A$6:$DA$376,67,FALSE)</f>
        <v>0</v>
      </c>
      <c r="BP293" s="55">
        <f t="shared" si="340"/>
        <v>-128.70499999999998</v>
      </c>
      <c r="BQ293" s="77">
        <f t="shared" si="348"/>
        <v>9091.4592330945634</v>
      </c>
      <c r="BR293" s="40">
        <f t="shared" si="349"/>
        <v>2275</v>
      </c>
      <c r="BS293" s="55">
        <f t="shared" si="314"/>
        <v>-6816.4592330945634</v>
      </c>
      <c r="BT293" s="566">
        <f>VLOOKUP($A293,'01-02.2021'!$A$6:$CZ$403,72,FALSE)+VLOOKUP($A293,'1.3.21-28.2.22'!$A$6:$DA$404,72,FALSE)-VLOOKUP($A293,'01-02.2022'!$A$6:$DA$376,72,FALSE)</f>
        <v>12271.780751706876</v>
      </c>
      <c r="BU293" s="566">
        <f>VLOOKUP($A293,'01-02.2021'!$A$6:$CZ$403,73,FALSE)+VLOOKUP($A293,'1.3.21-28.2.22'!$A$6:$DA$404,73,FALSE)-VLOOKUP($A293,'01-02.2022'!$A$6:$DA$376,73,FALSE)</f>
        <v>17008.811866792323</v>
      </c>
      <c r="BV293" s="70">
        <f t="shared" si="341"/>
        <v>4737.0311150854468</v>
      </c>
      <c r="BW293" s="566">
        <f>VLOOKUP($A293,'01-02.2021'!$A$6:$CZ$403,75,FALSE)+VLOOKUP($A293,'1.3.21-28.2.22'!$A$6:$DA$404,75,FALSE)-VLOOKUP($A293,'01-02.2022'!$A$6:$DA$376,75,FALSE)</f>
        <v>12342.54587507217</v>
      </c>
      <c r="BX293" s="566">
        <f>VLOOKUP($A293,'01-02.2021'!$A$6:$CZ$403,76,FALSE)+VLOOKUP($A293,'1.3.21-28.2.22'!$A$6:$DA$404,76,FALSE)-VLOOKUP($A293,'01-02.2022'!$A$6:$DA$376,76,FALSE)</f>
        <v>11779.002335328842</v>
      </c>
      <c r="BY293" s="70">
        <f t="shared" si="342"/>
        <v>-563.54353974332844</v>
      </c>
      <c r="BZ293" s="566">
        <f>VLOOKUP($A293,'01-02.2021'!$A$6:$CZ$403,78,FALSE)+VLOOKUP($A293,'1.3.21-28.2.22'!$A$6:$DA$404,78,FALSE)-VLOOKUP($A293,'01-02.2022'!$A$6:$DA$376,78,FALSE)</f>
        <v>7440.6283260860273</v>
      </c>
      <c r="CA293" s="566">
        <f>VLOOKUP($A293,'01-02.2021'!$A$6:$CZ$403,79,FALSE)+VLOOKUP($A293,'1.3.21-28.2.22'!$A$6:$DA$404,79,FALSE)-VLOOKUP($A293,'01-02.2022'!$A$6:$DA$376,79,FALSE)</f>
        <v>4711.2930464079964</v>
      </c>
      <c r="CB293" s="70">
        <f t="shared" si="343"/>
        <v>-2729.3352796780309</v>
      </c>
      <c r="CC293" s="566">
        <f>VLOOKUP($A293,'01-02.2021'!$A$6:$CZ$403,81,FALSE)+VLOOKUP($A293,'1.3.21-28.2.22'!$A$6:$DA$404,81,FALSE)-VLOOKUP($A293,'01-02.2022'!$A$6:$DA$376,81,FALSE)</f>
        <v>889.62585192916458</v>
      </c>
      <c r="CD293" s="566">
        <f>VLOOKUP($A293,'01-02.2021'!$A$6:$CZ$403,82,FALSE)+VLOOKUP($A293,'1.3.21-28.2.22'!$A$6:$DA$404,82,FALSE)-VLOOKUP($A293,'01-02.2022'!$A$6:$DA$376,82,FALSE)</f>
        <v>972.3548461711664</v>
      </c>
      <c r="CE293" s="70">
        <f t="shared" si="344"/>
        <v>82.728994242001818</v>
      </c>
      <c r="CF293" s="566">
        <f>VLOOKUP($A293,'01-02.2021'!$A$6:$CZ$403,84,FALSE)+VLOOKUP($A293,'1.3.21-28.2.22'!$A$6:$DA$404,84,FALSE)-VLOOKUP($A293,'01-02.2022'!$A$6:$DA$376,84,FALSE)</f>
        <v>108.15234776214855</v>
      </c>
      <c r="CG293" s="566">
        <f>VLOOKUP($A293,'01-02.2021'!$A$6:$CZ$403,85,FALSE)+VLOOKUP($A293,'1.3.21-28.2.22'!$A$6:$DA$404,85,FALSE)-VLOOKUP($A293,'01-02.2022'!$A$6:$DA$376,85,FALSE)</f>
        <v>0</v>
      </c>
      <c r="CH293" s="70">
        <f t="shared" si="345"/>
        <v>-108.15234776214855</v>
      </c>
      <c r="CI293" s="566">
        <f>VLOOKUP($A293,'01-02.2021'!$A$6:$CZ$403,87,FALSE)+VLOOKUP($A293,'1.3.21-28.2.22'!$A$6:$DA$404,87,FALSE)-VLOOKUP($A293,'01-02.2022'!$A$6:$DA$376,87,FALSE)</f>
        <v>4239.6396159728465</v>
      </c>
      <c r="CJ293" s="566">
        <f>VLOOKUP($A293,'01-02.2021'!$A$6:$CZ$403,88,FALSE)+VLOOKUP($A293,'1.3.21-28.2.22'!$A$6:$DA$404,88,FALSE)-VLOOKUP($A293,'01-02.2022'!$A$6:$DA$376,88,FALSE)</f>
        <v>4318.9434774543533</v>
      </c>
      <c r="CK293" s="70">
        <f t="shared" si="346"/>
        <v>79.303861481506829</v>
      </c>
      <c r="CL293" s="566">
        <f>VLOOKUP($A293,'01-02.2021'!$A$6:$CZ$403,90,FALSE)+VLOOKUP($A293,'1.3.21-28.2.22'!$A$6:$DA$404,90,FALSE)-VLOOKUP($A293,'01-02.2022'!$A$6:$DA$376,90,FALSE)</f>
        <v>0</v>
      </c>
      <c r="CM293" s="566">
        <f>VLOOKUP($A293,'01-02.2021'!$A$6:$CZ$403,91,FALSE)+VLOOKUP($A293,'1.3.21-28.2.22'!$A$6:$DA$404,91,FALSE)-VLOOKUP($A293,'01-02.2022'!$A$6:$DA$376,91,FALSE)</f>
        <v>0</v>
      </c>
      <c r="CN293" s="52">
        <f t="shared" si="303"/>
        <v>0</v>
      </c>
      <c r="CO293" s="39">
        <f t="shared" si="298"/>
        <v>4239.6396159728465</v>
      </c>
      <c r="CP293" s="40">
        <f t="shared" si="304"/>
        <v>4318.9434774543533</v>
      </c>
      <c r="CQ293" s="52">
        <f t="shared" si="305"/>
        <v>79.303861481506829</v>
      </c>
      <c r="CR293" s="72">
        <f t="shared" si="299"/>
        <v>116170.20902956296</v>
      </c>
      <c r="CS293" s="5">
        <f t="shared" si="299"/>
        <v>85750.086324040618</v>
      </c>
      <c r="CT293" s="52">
        <f t="shared" si="306"/>
        <v>-30420.122705522343</v>
      </c>
      <c r="CU293" s="77">
        <f t="shared" si="307"/>
        <v>139404.25083547554</v>
      </c>
      <c r="CV293" s="65">
        <f t="shared" si="308"/>
        <v>102900.10358884874</v>
      </c>
      <c r="CW293" s="35">
        <f t="shared" si="309"/>
        <v>-36504.147246626802</v>
      </c>
      <c r="CX293" s="566">
        <f>VLOOKUP($A293,'01-02.2021'!$A$6:$CZ$403,102,FALSE)+VLOOKUP($A293,'1.3.21-28.2.22'!$A$6:$DA$404,102,FALSE)-VLOOKUP($A293,'01-02.2022'!$A$6:$DA$376,102,FALSE)</f>
        <v>3966.2080123765345</v>
      </c>
      <c r="CY293" s="566">
        <f>VLOOKUP($A293,'01-02.2021'!$A$6:$CZ$403,103,FALSE)+VLOOKUP($A293,'1.3.21-28.2.22'!$A$6:$DA$404,103,FALSE)-VLOOKUP($A293,'01-02.2022'!$A$6:$DA$376,103,FALSE)</f>
        <v>40470.355259003336</v>
      </c>
      <c r="CZ293" s="52">
        <f t="shared" si="310"/>
        <v>36504.147246626802</v>
      </c>
      <c r="DA293" s="150">
        <f>'[2]побудинковий звіт'!DA293</f>
        <v>-49657.019743001809</v>
      </c>
      <c r="DB293" s="2">
        <v>2</v>
      </c>
      <c r="DC293" s="414">
        <f>'[4]побудинковий звіт'!DC293</f>
        <v>44209.22</v>
      </c>
      <c r="DD293" s="414">
        <f>'[4]побудинковий звіт'!DD293</f>
        <v>1369.62</v>
      </c>
      <c r="DE293" s="557">
        <f>'[4]побудинковий звіт'!DE293</f>
        <v>32399.055961266167</v>
      </c>
      <c r="DF293" s="557">
        <f>'[4]побудинковий звіт'!DF293</f>
        <v>201.00580523357371</v>
      </c>
      <c r="DG293" s="321">
        <f>VLOOKUP(A293,'кошти 01.03.2021'!$A$6:$D$401,4,)</f>
        <v>-3751.3669046972791</v>
      </c>
      <c r="DH293" s="40">
        <f>'[3]побудинковий звіт'!DJ293</f>
        <v>148244.22616337735</v>
      </c>
      <c r="DI293" s="422">
        <f>'[3]побудинковий звіт'!CU293+'[3]побудинковий звіт'!CX293</f>
        <v>12978.778233500259</v>
      </c>
      <c r="DJ293" s="306">
        <f>'[3]побудинковий звіт'!DM293</f>
        <v>5.1095284410893109</v>
      </c>
      <c r="DK293" s="306">
        <f t="shared" si="350"/>
        <v>5.1095284410893109</v>
      </c>
      <c r="DL293" s="306">
        <f>'[3]побудинковий звіт'!DO293</f>
        <v>4.4654726586412927</v>
      </c>
      <c r="DM293" s="28">
        <f t="shared" si="351"/>
        <v>11810.164038733834</v>
      </c>
      <c r="DN293" s="28">
        <f t="shared" si="352"/>
        <v>1168.6141947664262</v>
      </c>
      <c r="DO293" s="423">
        <f t="shared" si="319"/>
        <v>12978.778233500259</v>
      </c>
      <c r="DP293" s="94">
        <f t="shared" si="320"/>
        <v>0</v>
      </c>
      <c r="DQ293" s="28">
        <f t="shared" si="321"/>
        <v>12978.778233500259</v>
      </c>
      <c r="DR293" s="318"/>
      <c r="DT293" s="8"/>
      <c r="DU293" s="5"/>
      <c r="DX293" s="5">
        <f t="shared" si="322"/>
        <v>46659.326638349783</v>
      </c>
      <c r="DY293" s="5">
        <f t="shared" si="323"/>
        <v>9791.7240000000002</v>
      </c>
      <c r="DZ293" s="159">
        <f>'[3]побудинковий звіт'!EA293</f>
        <v>4519.7192251616907</v>
      </c>
    </row>
    <row r="294" spans="1:130" x14ac:dyDescent="0.3">
      <c r="A294" s="325">
        <v>150000738</v>
      </c>
      <c r="B294" s="41" t="s">
        <v>740</v>
      </c>
      <c r="C294" s="42" t="s">
        <v>290</v>
      </c>
      <c r="D294" s="42"/>
      <c r="E294" s="293">
        <f t="shared" si="296"/>
        <v>3567.9</v>
      </c>
      <c r="F294" s="305">
        <f>'[3]побудинковий звіт'!F294</f>
        <v>3567.9</v>
      </c>
      <c r="G294" s="508">
        <f>'[3]побудинковий звіт'!G294</f>
        <v>0</v>
      </c>
      <c r="H294" s="560">
        <f>'[3]побудинковий звіт'!H294</f>
        <v>0</v>
      </c>
      <c r="I294" s="566">
        <f>VLOOKUP($A294,'01-02.2021'!$A$6:$CZ$403,9,FALSE)+VLOOKUP($A294,'1.3.21-28.2.22'!$A$6:$DA$404,9,FALSE)-VLOOKUP($A294,'01-02.2022'!$A$6:$DA$376,9,FALSE)</f>
        <v>11554.745385497265</v>
      </c>
      <c r="J294" s="566">
        <f>VLOOKUP($A294,'01-02.2021'!$A$6:$CZ$403,10,FALSE)+VLOOKUP($A294,'1.3.21-28.2.22'!$A$6:$DA$404,10,FALSE)-VLOOKUP($A294,'01-02.2022'!$A$6:$DA$376,10,FALSE)</f>
        <v>12724.847693850632</v>
      </c>
      <c r="K294" s="52">
        <f t="shared" si="300"/>
        <v>1170.1023083533673</v>
      </c>
      <c r="L294" s="566">
        <f>VLOOKUP($A294,'01-02.2021'!$A$6:$CZ$403,12,FALSE)+VLOOKUP($A294,'1.3.21-28.2.22'!$A$6:$DA$404,12,FALSE)-VLOOKUP($A294,'01-02.2022'!$A$6:$DA$376,12,FALSE)</f>
        <v>2012.8295901346296</v>
      </c>
      <c r="M294" s="566">
        <f>VLOOKUP($A294,'01-02.2021'!$A$6:$CZ$403,13,FALSE)+VLOOKUP($A294,'1.3.21-28.2.22'!$A$6:$DA$404,13,FALSE)-VLOOKUP($A294,'01-02.2022'!$A$6:$DA$376,13,FALSE)</f>
        <v>2216.198161684601</v>
      </c>
      <c r="N294" s="52">
        <f t="shared" si="301"/>
        <v>203.36857154997142</v>
      </c>
      <c r="O294" s="566">
        <f>VLOOKUP($A294,'01-02.2021'!$A$6:$CZ$403,15,FALSE)+VLOOKUP($A294,'1.3.21-28.2.22'!$A$6:$DA$404,15,FALSE)-VLOOKUP($A294,'01-02.2022'!$A$6:$DA$376,15,FALSE)</f>
        <v>4786.9826197049415</v>
      </c>
      <c r="P294" s="566">
        <f>VLOOKUP($A294,'01-02.2021'!$A$6:$CZ$403,16,FALSE)+VLOOKUP($A294,'1.3.21-28.2.22'!$A$6:$DA$404,16,FALSE)-VLOOKUP($A294,'01-02.2022'!$A$6:$DA$376,16,FALSE)</f>
        <v>4786.96</v>
      </c>
      <c r="Q294" s="70">
        <f t="shared" si="324"/>
        <v>-2.261970494146226E-2</v>
      </c>
      <c r="R294" s="566">
        <f>VLOOKUP($A294,'01-02.2021'!$A$6:$CZ$403,18,FALSE)+VLOOKUP($A294,'1.3.21-28.2.22'!$A$6:$DA$404,18,FALSE)-VLOOKUP($A294,'01-02.2022'!$A$6:$DA$376,18,FALSE)</f>
        <v>0</v>
      </c>
      <c r="S294" s="566">
        <f>VLOOKUP($A294,'01-02.2021'!$A$6:$CZ$403,19,FALSE)+VLOOKUP($A294,'1.3.21-28.2.22'!$A$6:$DA$404,19,FALSE)-VLOOKUP($A294,'01-02.2022'!$A$6:$DA$376,19,FALSE)</f>
        <v>0</v>
      </c>
      <c r="T294" s="70">
        <f t="shared" si="325"/>
        <v>0</v>
      </c>
      <c r="U294" s="566">
        <f>VLOOKUP($A294,'01-02.2021'!$A$6:$CZ$403,21,FALSE)+VLOOKUP($A294,'1.3.21-28.2.22'!$A$6:$DA$404,21,FALSE)-VLOOKUP($A294,'01-02.2022'!$A$6:$DA$376,21,FALSE)</f>
        <v>0</v>
      </c>
      <c r="V294" s="566">
        <f>VLOOKUP($A294,'01-02.2021'!$A$6:$CZ$403,22,FALSE)+VLOOKUP($A294,'1.3.21-28.2.22'!$A$6:$DA$404,22,FALSE)-VLOOKUP($A294,'01-02.2022'!$A$6:$DA$376,22,FALSE)</f>
        <v>0</v>
      </c>
      <c r="W294" s="70">
        <f t="shared" si="326"/>
        <v>0</v>
      </c>
      <c r="X294" s="566">
        <f>VLOOKUP($A294,'01-02.2021'!$A$6:$CZ$403,24,FALSE)+VLOOKUP($A294,'1.3.21-28.2.22'!$A$6:$DA$404,24,FALSE)-VLOOKUP($A294,'01-02.2022'!$A$6:$DA$376,24,FALSE)</f>
        <v>6597.8259415813009</v>
      </c>
      <c r="Y294" s="566">
        <f>VLOOKUP($A294,'01-02.2021'!$A$6:$CZ$403,25,FALSE)+VLOOKUP($A294,'1.3.21-28.2.22'!$A$6:$DA$404,25,FALSE)-VLOOKUP($A294,'01-02.2022'!$A$6:$DA$376,25,FALSE)</f>
        <v>5302.4994702259492</v>
      </c>
      <c r="Z294" s="70">
        <f t="shared" si="327"/>
        <v>-1295.3264713553517</v>
      </c>
      <c r="AA294" s="566">
        <f>VLOOKUP($A294,'01-02.2021'!$A$6:$CZ$403,27,FALSE)+VLOOKUP($A294,'1.3.21-28.2.22'!$A$6:$DA$404,27,FALSE)-VLOOKUP($A294,'01-02.2022'!$A$6:$DA$376,27,FALSE)</f>
        <v>713.61999999999989</v>
      </c>
      <c r="AB294" s="566">
        <f>VLOOKUP($A294,'01-02.2021'!$A$6:$CZ$403,28,FALSE)+VLOOKUP($A294,'1.3.21-28.2.22'!$A$6:$DA$404,28,FALSE)-VLOOKUP($A294,'01-02.2022'!$A$6:$DA$376,28,FALSE)</f>
        <v>0</v>
      </c>
      <c r="AC294" s="70">
        <f t="shared" si="328"/>
        <v>-713.61999999999989</v>
      </c>
      <c r="AD294" s="566">
        <f>VLOOKUP($A294,'01-02.2021'!$A$6:$CZ$403,30,FALSE)+VLOOKUP($A294,'1.3.21-28.2.22'!$A$6:$DA$404,30,FALSE)-VLOOKUP($A294,'01-02.2022'!$A$6:$DA$376,30,FALSE)</f>
        <v>15325.489191817416</v>
      </c>
      <c r="AE294" s="566">
        <f>VLOOKUP($A294,'01-02.2021'!$A$6:$CZ$403,31,FALSE)+VLOOKUP($A294,'1.3.21-28.2.22'!$A$6:$DA$404,31,FALSE)-VLOOKUP($A294,'01-02.2022'!$A$6:$DA$376,31,FALSE)</f>
        <v>16241.692750951239</v>
      </c>
      <c r="AF294" s="68">
        <f t="shared" si="329"/>
        <v>916.20355913382264</v>
      </c>
      <c r="AG294" s="77">
        <f t="shared" si="297"/>
        <v>40991.492728735553</v>
      </c>
      <c r="AH294" s="53">
        <f t="shared" si="297"/>
        <v>41272.198076712419</v>
      </c>
      <c r="AI294" s="52">
        <f t="shared" si="302"/>
        <v>280.7053479768656</v>
      </c>
      <c r="AJ294" s="566">
        <f>VLOOKUP($A294,'01-02.2021'!$A$6:$CZ$403,36,FALSE)+VLOOKUP($A294,'1.3.21-28.2.22'!$A$6:$DA$404,36,FALSE)-VLOOKUP($A294,'01-02.2022'!$A$6:$DA$376,36,FALSE)</f>
        <v>0</v>
      </c>
      <c r="AK294" s="566">
        <f>VLOOKUP($A294,'01-02.2021'!$A$6:$CZ$403,37,FALSE)+VLOOKUP($A294,'1.3.21-28.2.22'!$A$6:$DA$404,37,FALSE)-VLOOKUP($A294,'01-02.2022'!$A$6:$DA$376,37,FALSE)</f>
        <v>0</v>
      </c>
      <c r="AL294" s="70">
        <f t="shared" si="330"/>
        <v>0</v>
      </c>
      <c r="AM294" s="566">
        <f>VLOOKUP($A294,'01-02.2021'!$A$6:$CZ$403,39,FALSE)+VLOOKUP($A294,'1.3.21-28.2.22'!$A$6:$DA$404,39,FALSE)-VLOOKUP($A294,'01-02.2022'!$A$6:$DA$376,39,FALSE)</f>
        <v>0</v>
      </c>
      <c r="AN294" s="566">
        <f>VLOOKUP($A294,'01-02.2021'!$A$6:$CZ$403,40,FALSE)+VLOOKUP($A294,'1.3.21-28.2.22'!$A$6:$DA$404,40,FALSE)-VLOOKUP($A294,'01-02.2022'!$A$6:$DA$376,40,FALSE)</f>
        <v>0</v>
      </c>
      <c r="AO294" s="70">
        <f t="shared" si="331"/>
        <v>0</v>
      </c>
      <c r="AP294" s="566">
        <f>VLOOKUP($A294,'01-02.2021'!$A$6:$CZ$403,42,FALSE)+VLOOKUP($A294,'1.3.21-28.2.22'!$A$6:$DA$404,42,FALSE)-VLOOKUP($A294,'01-02.2022'!$A$6:$DA$376,42,FALSE)</f>
        <v>10411.198500255552</v>
      </c>
      <c r="AQ294" s="566">
        <f>VLOOKUP($A294,'01-02.2021'!$A$6:$CZ$403,43,FALSE)+VLOOKUP($A294,'1.3.21-28.2.22'!$A$6:$DA$404,43,FALSE)-VLOOKUP($A294,'01-02.2022'!$A$6:$DA$376,43,FALSE)</f>
        <v>4524.2772666561768</v>
      </c>
      <c r="AR294" s="70">
        <f t="shared" si="332"/>
        <v>-5886.9212335993752</v>
      </c>
      <c r="AS294" s="566">
        <f>VLOOKUP($A294,'01-02.2021'!$A$6:$CZ$403,45,FALSE)+VLOOKUP($A294,'1.3.21-28.2.22'!$A$6:$DA$404,45,FALSE)-VLOOKUP($A294,'01-02.2022'!$A$6:$DA$376,45,FALSE)</f>
        <v>49927.322654375879</v>
      </c>
      <c r="AT294" s="566">
        <f>VLOOKUP($A294,'01-02.2021'!$A$6:$CZ$403,46,FALSE)+VLOOKUP($A294,'1.3.21-28.2.22'!$A$6:$DA$404,46,FALSE)-VLOOKUP($A294,'01-02.2022'!$A$6:$DA$376,46,FALSE)</f>
        <v>57223.46</v>
      </c>
      <c r="AU294" s="78">
        <f t="shared" si="333"/>
        <v>7296.1373456241199</v>
      </c>
      <c r="AV294" s="566">
        <f>VLOOKUP($A294,'01-02.2021'!$A$6:$CZ$403,48,FALSE)+VLOOKUP($A294,'1.3.21-28.2.22'!$A$6:$DA$404,48,FALSE)-VLOOKUP($A294,'01-02.2022'!$A$6:$DA$376,48,FALSE)</f>
        <v>3037.2623311598109</v>
      </c>
      <c r="AW294" s="566">
        <f>VLOOKUP($A294,'01-02.2021'!$A$6:$CZ$403,49,FALSE)+VLOOKUP($A294,'1.3.21-28.2.22'!$A$6:$DA$404,49,FALSE)-VLOOKUP($A294,'01-02.2022'!$A$6:$DA$376,49,FALSE)</f>
        <v>1688</v>
      </c>
      <c r="AX294" s="55">
        <f t="shared" si="334"/>
        <v>-1349.2623311598109</v>
      </c>
      <c r="AY294" s="566">
        <f>VLOOKUP($A294,'01-02.2021'!$A$6:$CZ$403,51,FALSE)+VLOOKUP($A294,'1.3.21-28.2.22'!$A$6:$DA$404,51,FALSE)-VLOOKUP($A294,'01-02.2022'!$A$6:$DA$376,51,FALSE)</f>
        <v>3783.5163304483995</v>
      </c>
      <c r="AZ294" s="566">
        <f>VLOOKUP($A294,'01-02.2021'!$A$6:$CZ$403,52,FALSE)+VLOOKUP($A294,'1.3.21-28.2.22'!$A$6:$DA$404,52,FALSE)-VLOOKUP($A294,'01-02.2022'!$A$6:$DA$376,52,FALSE)</f>
        <v>0</v>
      </c>
      <c r="BA294" s="38">
        <f t="shared" si="335"/>
        <v>-3783.5163304483995</v>
      </c>
      <c r="BB294" s="566">
        <f>VLOOKUP($A294,'01-02.2021'!$A$6:$CZ$403,54,FALSE)+VLOOKUP($A294,'1.3.21-28.2.22'!$A$6:$DA$404,54,FALSE)-VLOOKUP($A294,'01-02.2022'!$A$6:$DA$376,54,FALSE)</f>
        <v>2225.0666741758532</v>
      </c>
      <c r="BC294" s="566">
        <f>VLOOKUP($A294,'01-02.2021'!$A$6:$CZ$403,55,FALSE)+VLOOKUP($A294,'1.3.21-28.2.22'!$A$6:$DA$404,55,FALSE)-VLOOKUP($A294,'01-02.2022'!$A$6:$DA$376,55,FALSE)</f>
        <v>0</v>
      </c>
      <c r="BD294" s="55">
        <f t="shared" si="336"/>
        <v>-2225.0666741758532</v>
      </c>
      <c r="BE294" s="566">
        <f>VLOOKUP($A294,'01-02.2021'!$A$6:$CZ$403,57,FALSE)+VLOOKUP($A294,'1.3.21-28.2.22'!$A$6:$DA$404,57,FALSE)-VLOOKUP($A294,'01-02.2022'!$A$6:$DA$376,57,FALSE)</f>
        <v>0</v>
      </c>
      <c r="BF294" s="566">
        <f>VLOOKUP($A294,'01-02.2021'!$A$6:$CZ$403,58,FALSE)+VLOOKUP($A294,'1.3.21-28.2.22'!$A$6:$DA$404,58,FALSE)-VLOOKUP($A294,'01-02.2022'!$A$6:$DA$376,58,FALSE)</f>
        <v>0</v>
      </c>
      <c r="BG294" s="55">
        <f t="shared" si="337"/>
        <v>0</v>
      </c>
      <c r="BH294" s="566">
        <f>VLOOKUP($A294,'01-02.2021'!$A$6:$CZ$403,60,FALSE)+VLOOKUP($A294,'1.3.21-28.2.22'!$A$6:$DA$404,60,FALSE)-VLOOKUP($A294,'01-02.2022'!$A$6:$DA$376,60,FALSE)</f>
        <v>0</v>
      </c>
      <c r="BI294" s="566">
        <f>VLOOKUP($A294,'01-02.2021'!$A$6:$CZ$403,61,FALSE)+VLOOKUP($A294,'1.3.21-28.2.22'!$A$6:$DA$404,61,FALSE)-VLOOKUP($A294,'01-02.2022'!$A$6:$DA$376,61,FALSE)</f>
        <v>0</v>
      </c>
      <c r="BJ294" s="55">
        <f t="shared" si="338"/>
        <v>0</v>
      </c>
      <c r="BK294" s="566">
        <f>VLOOKUP($A294,'01-02.2021'!$A$6:$CZ$403,63,FALSE)+VLOOKUP($A294,'1.3.21-28.2.22'!$A$6:$DA$404,63,FALSE)-VLOOKUP($A294,'01-02.2022'!$A$6:$DA$376,63,FALSE)</f>
        <v>2107.542879359763</v>
      </c>
      <c r="BL294" s="566">
        <f>VLOOKUP($A294,'01-02.2021'!$A$6:$CZ$403,64,FALSE)+VLOOKUP($A294,'1.3.21-28.2.22'!$A$6:$DA$404,64,FALSE)-VLOOKUP($A294,'01-02.2022'!$A$6:$DA$376,64,FALSE)</f>
        <v>33003</v>
      </c>
      <c r="BM294" s="55">
        <f t="shared" si="339"/>
        <v>30895.457120640236</v>
      </c>
      <c r="BN294" s="566">
        <f>VLOOKUP($A294,'01-02.2021'!$A$6:$CZ$403,66,FALSE)+VLOOKUP($A294,'1.3.21-28.2.22'!$A$6:$DA$404,66,FALSE)-VLOOKUP($A294,'01-02.2022'!$A$6:$DA$376,66,FALSE)</f>
        <v>178.40499999999997</v>
      </c>
      <c r="BO294" s="566">
        <f>VLOOKUP($A294,'01-02.2021'!$A$6:$CZ$403,67,FALSE)+VLOOKUP($A294,'1.3.21-28.2.22'!$A$6:$DA$404,67,FALSE)-VLOOKUP($A294,'01-02.2022'!$A$6:$DA$376,67,FALSE)</f>
        <v>0</v>
      </c>
      <c r="BP294" s="55">
        <f t="shared" si="340"/>
        <v>-178.40499999999997</v>
      </c>
      <c r="BQ294" s="77">
        <f t="shared" si="348"/>
        <v>11331.793215143827</v>
      </c>
      <c r="BR294" s="40">
        <f t="shared" si="349"/>
        <v>34691</v>
      </c>
      <c r="BS294" s="55">
        <f t="shared" si="314"/>
        <v>23359.206784856171</v>
      </c>
      <c r="BT294" s="566">
        <f>VLOOKUP($A294,'01-02.2021'!$A$6:$CZ$403,72,FALSE)+VLOOKUP($A294,'1.3.21-28.2.22'!$A$6:$DA$404,72,FALSE)-VLOOKUP($A294,'01-02.2022'!$A$6:$DA$376,72,FALSE)</f>
        <v>24301.217994967519</v>
      </c>
      <c r="BU294" s="566">
        <f>VLOOKUP($A294,'01-02.2021'!$A$6:$CZ$403,73,FALSE)+VLOOKUP($A294,'1.3.21-28.2.22'!$A$6:$DA$404,73,FALSE)-VLOOKUP($A294,'01-02.2022'!$A$6:$DA$376,73,FALSE)</f>
        <v>30945.449907249171</v>
      </c>
      <c r="BV294" s="70">
        <f t="shared" si="341"/>
        <v>6644.2319122816516</v>
      </c>
      <c r="BW294" s="566">
        <f>VLOOKUP($A294,'01-02.2021'!$A$6:$CZ$403,75,FALSE)+VLOOKUP($A294,'1.3.21-28.2.22'!$A$6:$DA$404,75,FALSE)-VLOOKUP($A294,'01-02.2022'!$A$6:$DA$376,75,FALSE)</f>
        <v>15228.755798866792</v>
      </c>
      <c r="BX294" s="566">
        <f>VLOOKUP($A294,'01-02.2021'!$A$6:$CZ$403,76,FALSE)+VLOOKUP($A294,'1.3.21-28.2.22'!$A$6:$DA$404,76,FALSE)-VLOOKUP($A294,'01-02.2022'!$A$6:$DA$376,76,FALSE)</f>
        <v>14867.750420618248</v>
      </c>
      <c r="BY294" s="70">
        <f t="shared" si="342"/>
        <v>-361.00537824854473</v>
      </c>
      <c r="BZ294" s="566">
        <f>VLOOKUP($A294,'01-02.2021'!$A$6:$CZ$403,78,FALSE)+VLOOKUP($A294,'1.3.21-28.2.22'!$A$6:$DA$404,78,FALSE)-VLOOKUP($A294,'01-02.2022'!$A$6:$DA$376,78,FALSE)</f>
        <v>7806.3117955348644</v>
      </c>
      <c r="CA294" s="566">
        <f>VLOOKUP($A294,'01-02.2021'!$A$6:$CZ$403,79,FALSE)+VLOOKUP($A294,'1.3.21-28.2.22'!$A$6:$DA$404,79,FALSE)-VLOOKUP($A294,'01-02.2022'!$A$6:$DA$376,79,FALSE)</f>
        <v>6846.992698704029</v>
      </c>
      <c r="CB294" s="70">
        <f t="shared" si="343"/>
        <v>-959.31909683083541</v>
      </c>
      <c r="CC294" s="566">
        <f>VLOOKUP($A294,'01-02.2021'!$A$6:$CZ$403,81,FALSE)+VLOOKUP($A294,'1.3.21-28.2.22'!$A$6:$DA$404,81,FALSE)-VLOOKUP($A294,'01-02.2022'!$A$6:$DA$376,81,FALSE)</f>
        <v>1886.6157364237815</v>
      </c>
      <c r="CD294" s="566">
        <f>VLOOKUP($A294,'01-02.2021'!$A$6:$CZ$403,82,FALSE)+VLOOKUP($A294,'1.3.21-28.2.22'!$A$6:$DA$404,82,FALSE)-VLOOKUP($A294,'01-02.2022'!$A$6:$DA$376,82,FALSE)</f>
        <v>2062.0578304872765</v>
      </c>
      <c r="CE294" s="70">
        <f t="shared" si="344"/>
        <v>175.44209406349501</v>
      </c>
      <c r="CF294" s="566">
        <f>VLOOKUP($A294,'01-02.2021'!$A$6:$CZ$403,84,FALSE)+VLOOKUP($A294,'1.3.21-28.2.22'!$A$6:$DA$404,84,FALSE)-VLOOKUP($A294,'01-02.2022'!$A$6:$DA$376,84,FALSE)</f>
        <v>229.35700528124212</v>
      </c>
      <c r="CG294" s="566">
        <f>VLOOKUP($A294,'01-02.2021'!$A$6:$CZ$403,85,FALSE)+VLOOKUP($A294,'1.3.21-28.2.22'!$A$6:$DA$404,85,FALSE)-VLOOKUP($A294,'01-02.2022'!$A$6:$DA$376,85,FALSE)</f>
        <v>0</v>
      </c>
      <c r="CH294" s="70">
        <f t="shared" si="345"/>
        <v>-229.35700528124212</v>
      </c>
      <c r="CI294" s="566">
        <f>VLOOKUP($A294,'01-02.2021'!$A$6:$CZ$403,87,FALSE)+VLOOKUP($A294,'1.3.21-28.2.22'!$A$6:$DA$404,87,FALSE)-VLOOKUP($A294,'01-02.2022'!$A$6:$DA$376,87,FALSE)</f>
        <v>5583.6282441287967</v>
      </c>
      <c r="CJ294" s="566">
        <f>VLOOKUP($A294,'01-02.2021'!$A$6:$CZ$403,88,FALSE)+VLOOKUP($A294,'1.3.21-28.2.22'!$A$6:$DA$404,88,FALSE)-VLOOKUP($A294,'01-02.2022'!$A$6:$DA$376,88,FALSE)</f>
        <v>5324.5735728082109</v>
      </c>
      <c r="CK294" s="70">
        <f t="shared" si="346"/>
        <v>-259.05467132058584</v>
      </c>
      <c r="CL294" s="566">
        <f>VLOOKUP($A294,'01-02.2021'!$A$6:$CZ$403,90,FALSE)+VLOOKUP($A294,'1.3.21-28.2.22'!$A$6:$DA$404,90,FALSE)-VLOOKUP($A294,'01-02.2022'!$A$6:$DA$376,90,FALSE)</f>
        <v>0</v>
      </c>
      <c r="CM294" s="566">
        <f>VLOOKUP($A294,'01-02.2021'!$A$6:$CZ$403,91,FALSE)+VLOOKUP($A294,'1.3.21-28.2.22'!$A$6:$DA$404,91,FALSE)-VLOOKUP($A294,'01-02.2022'!$A$6:$DA$376,91,FALSE)</f>
        <v>0</v>
      </c>
      <c r="CN294" s="52">
        <f t="shared" si="303"/>
        <v>0</v>
      </c>
      <c r="CO294" s="39">
        <f t="shared" si="298"/>
        <v>5583.6282441287967</v>
      </c>
      <c r="CP294" s="40">
        <f t="shared" si="304"/>
        <v>5324.5735728082109</v>
      </c>
      <c r="CQ294" s="52">
        <f t="shared" si="305"/>
        <v>-259.05467132058584</v>
      </c>
      <c r="CR294" s="72">
        <f t="shared" si="299"/>
        <v>167697.6936737138</v>
      </c>
      <c r="CS294" s="5">
        <f t="shared" si="299"/>
        <v>197757.75977323554</v>
      </c>
      <c r="CT294" s="52">
        <f t="shared" si="306"/>
        <v>30060.066099521733</v>
      </c>
      <c r="CU294" s="77">
        <f t="shared" si="307"/>
        <v>201237.23240845656</v>
      </c>
      <c r="CV294" s="65">
        <f t="shared" si="308"/>
        <v>237309.31172788262</v>
      </c>
      <c r="CW294" s="35">
        <f t="shared" si="309"/>
        <v>36072.079319426062</v>
      </c>
      <c r="CX294" s="566">
        <f>VLOOKUP($A294,'01-02.2021'!$A$6:$CZ$403,102,FALSE)+VLOOKUP($A294,'1.3.21-28.2.22'!$A$6:$DA$404,102,FALSE)-VLOOKUP($A294,'01-02.2022'!$A$6:$DA$376,102,FALSE)</f>
        <v>7682.6316541823035</v>
      </c>
      <c r="CY294" s="566">
        <f>VLOOKUP($A294,'01-02.2021'!$A$6:$CZ$403,103,FALSE)+VLOOKUP($A294,'1.3.21-28.2.22'!$A$6:$DA$404,103,FALSE)-VLOOKUP($A294,'01-02.2022'!$A$6:$DA$376,103,FALSE)</f>
        <v>-28389.447665243759</v>
      </c>
      <c r="CZ294" s="52">
        <f t="shared" si="310"/>
        <v>-36072.079319426062</v>
      </c>
      <c r="DA294" s="150">
        <f>'[2]побудинковий звіт'!DA294</f>
        <v>94990.866376611084</v>
      </c>
      <c r="DB294" s="2">
        <v>2</v>
      </c>
      <c r="DC294" s="414">
        <f>'[4]побудинковий звіт'!DC294</f>
        <v>33828.82</v>
      </c>
      <c r="DD294" s="414">
        <f>'[4]побудинковий звіт'!DD294</f>
        <v>0</v>
      </c>
      <c r="DE294" s="557">
        <f>'[4]побудинковий звіт'!DE294</f>
        <v>14940.513779832803</v>
      </c>
      <c r="DF294" s="557">
        <f>'[4]побудинковий звіт'!DF294</f>
        <v>0</v>
      </c>
      <c r="DG294" s="321">
        <f>VLOOKUP(A294,'кошти 01.03.2021'!$A$6:$D$401,4,)</f>
        <v>52841.141293782704</v>
      </c>
      <c r="DH294" s="40">
        <f>'[3]побудинковий звіт'!DJ294</f>
        <v>215904.52391916412</v>
      </c>
      <c r="DI294" s="422">
        <f>'[3]побудинковий звіт'!CU294+'[3]побудинковий звіт'!CX294</f>
        <v>18888.3062201672</v>
      </c>
      <c r="DJ294" s="306">
        <f>'[3]побудинковий звіт'!DM294</f>
        <v>5.2939561703431135</v>
      </c>
      <c r="DK294" s="306">
        <f t="shared" si="350"/>
        <v>5.2939561703431135</v>
      </c>
      <c r="DL294" s="306">
        <f>'[3]побудинковий звіт'!DO294</f>
        <v>4.7751456948794209</v>
      </c>
      <c r="DM294" s="28">
        <f t="shared" si="351"/>
        <v>18888.306220167196</v>
      </c>
      <c r="DN294" s="28">
        <f t="shared" si="352"/>
        <v>0</v>
      </c>
      <c r="DO294" s="423">
        <f t="shared" si="319"/>
        <v>18888.306220167196</v>
      </c>
      <c r="DP294" s="94">
        <f t="shared" si="320"/>
        <v>0</v>
      </c>
      <c r="DQ294" s="28">
        <f t="shared" si="321"/>
        <v>18888.306220167196</v>
      </c>
      <c r="DR294" s="318"/>
      <c r="DT294" s="8"/>
      <c r="DU294" s="5"/>
      <c r="DX294" s="5">
        <f t="shared" si="322"/>
        <v>73510.939043423641</v>
      </c>
      <c r="DY294" s="5">
        <f t="shared" si="323"/>
        <v>110297.35199999998</v>
      </c>
      <c r="DZ294" s="159">
        <f>'[3]побудинковий звіт'!EA294</f>
        <v>6573.8626724815931</v>
      </c>
    </row>
    <row r="295" spans="1:130" x14ac:dyDescent="0.3">
      <c r="A295" s="325">
        <v>150000739</v>
      </c>
      <c r="B295" s="41" t="s">
        <v>741</v>
      </c>
      <c r="C295" s="42" t="s">
        <v>223</v>
      </c>
      <c r="D295" s="42"/>
      <c r="E295" s="293">
        <f t="shared" si="296"/>
        <v>3631.7</v>
      </c>
      <c r="F295" s="305">
        <f>'[3]побудинковий звіт'!F295</f>
        <v>3340.7</v>
      </c>
      <c r="G295" s="508">
        <f>'[3]побудинковий звіт'!G295</f>
        <v>0</v>
      </c>
      <c r="H295" s="560">
        <f>'[3]побудинковий звіт'!H295</f>
        <v>291</v>
      </c>
      <c r="I295" s="566">
        <f>VLOOKUP($A295,'01-02.2021'!$A$6:$CZ$403,9,FALSE)+VLOOKUP($A295,'1.3.21-28.2.22'!$A$6:$DA$404,9,FALSE)-VLOOKUP($A295,'01-02.2022'!$A$6:$DA$376,9,FALSE)</f>
        <v>12155.457911629073</v>
      </c>
      <c r="J295" s="566">
        <f>VLOOKUP($A295,'01-02.2021'!$A$6:$CZ$403,10,FALSE)+VLOOKUP($A295,'1.3.21-28.2.22'!$A$6:$DA$404,10,FALSE)-VLOOKUP($A295,'01-02.2022'!$A$6:$DA$376,10,FALSE)</f>
        <v>13350.643824183271</v>
      </c>
      <c r="K295" s="52">
        <f t="shared" si="300"/>
        <v>1195.1859125541978</v>
      </c>
      <c r="L295" s="566">
        <f>VLOOKUP($A295,'01-02.2021'!$A$6:$CZ$403,12,FALSE)+VLOOKUP($A295,'1.3.21-28.2.22'!$A$6:$DA$404,12,FALSE)-VLOOKUP($A295,'01-02.2022'!$A$6:$DA$376,12,FALSE)</f>
        <v>2238.4067425065305</v>
      </c>
      <c r="M295" s="566">
        <f>VLOOKUP($A295,'01-02.2021'!$A$6:$CZ$403,13,FALSE)+VLOOKUP($A295,'1.3.21-28.2.22'!$A$6:$DA$404,13,FALSE)-VLOOKUP($A295,'01-02.2022'!$A$6:$DA$376,13,FALSE)</f>
        <v>2464.5594459628969</v>
      </c>
      <c r="N295" s="52">
        <f t="shared" si="301"/>
        <v>226.15270345636645</v>
      </c>
      <c r="O295" s="566">
        <f>VLOOKUP($A295,'01-02.2021'!$A$6:$CZ$403,15,FALSE)+VLOOKUP($A295,'1.3.21-28.2.22'!$A$6:$DA$404,15,FALSE)-VLOOKUP($A295,'01-02.2022'!$A$6:$DA$376,15,FALSE)</f>
        <v>4670.7232117236244</v>
      </c>
      <c r="P295" s="566">
        <f>VLOOKUP($A295,'01-02.2021'!$A$6:$CZ$403,16,FALSE)+VLOOKUP($A295,'1.3.21-28.2.22'!$A$6:$DA$404,16,FALSE)-VLOOKUP($A295,'01-02.2022'!$A$6:$DA$376,16,FALSE)</f>
        <v>4670.72</v>
      </c>
      <c r="Q295" s="70">
        <f t="shared" si="324"/>
        <v>-3.2117236241901992E-3</v>
      </c>
      <c r="R295" s="566">
        <f>VLOOKUP($A295,'01-02.2021'!$A$6:$CZ$403,18,FALSE)+VLOOKUP($A295,'1.3.21-28.2.22'!$A$6:$DA$404,18,FALSE)-VLOOKUP($A295,'01-02.2022'!$A$6:$DA$376,18,FALSE)</f>
        <v>0</v>
      </c>
      <c r="S295" s="566">
        <f>VLOOKUP($A295,'01-02.2021'!$A$6:$CZ$403,19,FALSE)+VLOOKUP($A295,'1.3.21-28.2.22'!$A$6:$DA$404,19,FALSE)-VLOOKUP($A295,'01-02.2022'!$A$6:$DA$376,19,FALSE)</f>
        <v>0</v>
      </c>
      <c r="T295" s="70">
        <f t="shared" si="325"/>
        <v>0</v>
      </c>
      <c r="U295" s="566">
        <f>VLOOKUP($A295,'01-02.2021'!$A$6:$CZ$403,21,FALSE)+VLOOKUP($A295,'1.3.21-28.2.22'!$A$6:$DA$404,21,FALSE)-VLOOKUP($A295,'01-02.2022'!$A$6:$DA$376,21,FALSE)</f>
        <v>0</v>
      </c>
      <c r="V295" s="566">
        <f>VLOOKUP($A295,'01-02.2021'!$A$6:$CZ$403,22,FALSE)+VLOOKUP($A295,'1.3.21-28.2.22'!$A$6:$DA$404,22,FALSE)-VLOOKUP($A295,'01-02.2022'!$A$6:$DA$376,22,FALSE)</f>
        <v>0</v>
      </c>
      <c r="W295" s="70">
        <f t="shared" si="326"/>
        <v>0</v>
      </c>
      <c r="X295" s="566">
        <f>VLOOKUP($A295,'01-02.2021'!$A$6:$CZ$403,24,FALSE)+VLOOKUP($A295,'1.3.21-28.2.22'!$A$6:$DA$404,24,FALSE)-VLOOKUP($A295,'01-02.2022'!$A$6:$DA$376,24,FALSE)</f>
        <v>8711.6667478880845</v>
      </c>
      <c r="Y295" s="566">
        <f>VLOOKUP($A295,'01-02.2021'!$A$6:$CZ$403,25,FALSE)+VLOOKUP($A295,'1.3.21-28.2.22'!$A$6:$DA$404,25,FALSE)-VLOOKUP($A295,'01-02.2022'!$A$6:$DA$376,25,FALSE)</f>
        <v>7040.5170677954775</v>
      </c>
      <c r="Z295" s="70">
        <f t="shared" si="327"/>
        <v>-1671.149680092607</v>
      </c>
      <c r="AA295" s="566">
        <f>VLOOKUP($A295,'01-02.2021'!$A$6:$CZ$403,27,FALSE)+VLOOKUP($A295,'1.3.21-28.2.22'!$A$6:$DA$404,27,FALSE)-VLOOKUP($A295,'01-02.2022'!$A$6:$DA$376,27,FALSE)</f>
        <v>723.04</v>
      </c>
      <c r="AB295" s="566">
        <f>VLOOKUP($A295,'01-02.2021'!$A$6:$CZ$403,28,FALSE)+VLOOKUP($A295,'1.3.21-28.2.22'!$A$6:$DA$404,28,FALSE)-VLOOKUP($A295,'01-02.2022'!$A$6:$DA$376,28,FALSE)</f>
        <v>0</v>
      </c>
      <c r="AC295" s="70">
        <f t="shared" si="328"/>
        <v>-723.04</v>
      </c>
      <c r="AD295" s="566">
        <f>VLOOKUP($A295,'01-02.2021'!$A$6:$CZ$403,30,FALSE)+VLOOKUP($A295,'1.3.21-28.2.22'!$A$6:$DA$404,30,FALSE)-VLOOKUP($A295,'01-02.2022'!$A$6:$DA$376,30,FALSE)</f>
        <v>15542.223767914287</v>
      </c>
      <c r="AE295" s="566">
        <f>VLOOKUP($A295,'01-02.2021'!$A$6:$CZ$403,31,FALSE)+VLOOKUP($A295,'1.3.21-28.2.22'!$A$6:$DA$404,31,FALSE)-VLOOKUP($A295,'01-02.2022'!$A$6:$DA$376,31,FALSE)</f>
        <v>16532.112921596818</v>
      </c>
      <c r="AF295" s="68">
        <f t="shared" si="329"/>
        <v>989.88915368253038</v>
      </c>
      <c r="AG295" s="77">
        <f t="shared" si="297"/>
        <v>44041.518381661597</v>
      </c>
      <c r="AH295" s="53">
        <f t="shared" si="297"/>
        <v>44058.553259538465</v>
      </c>
      <c r="AI295" s="52">
        <f t="shared" si="302"/>
        <v>17.03487787686754</v>
      </c>
      <c r="AJ295" s="566">
        <f>VLOOKUP($A295,'01-02.2021'!$A$6:$CZ$403,36,FALSE)+VLOOKUP($A295,'1.3.21-28.2.22'!$A$6:$DA$404,36,FALSE)-VLOOKUP($A295,'01-02.2022'!$A$6:$DA$376,36,FALSE)</f>
        <v>0</v>
      </c>
      <c r="AK295" s="566">
        <f>VLOOKUP($A295,'01-02.2021'!$A$6:$CZ$403,37,FALSE)+VLOOKUP($A295,'1.3.21-28.2.22'!$A$6:$DA$404,37,FALSE)-VLOOKUP($A295,'01-02.2022'!$A$6:$DA$376,37,FALSE)</f>
        <v>0</v>
      </c>
      <c r="AL295" s="70">
        <f t="shared" si="330"/>
        <v>0</v>
      </c>
      <c r="AM295" s="566">
        <f>VLOOKUP($A295,'01-02.2021'!$A$6:$CZ$403,39,FALSE)+VLOOKUP($A295,'1.3.21-28.2.22'!$A$6:$DA$404,39,FALSE)-VLOOKUP($A295,'01-02.2022'!$A$6:$DA$376,39,FALSE)</f>
        <v>0</v>
      </c>
      <c r="AN295" s="566">
        <f>VLOOKUP($A295,'01-02.2021'!$A$6:$CZ$403,40,FALSE)+VLOOKUP($A295,'1.3.21-28.2.22'!$A$6:$DA$404,40,FALSE)-VLOOKUP($A295,'01-02.2022'!$A$6:$DA$376,40,FALSE)</f>
        <v>0</v>
      </c>
      <c r="AO295" s="70">
        <f t="shared" si="331"/>
        <v>0</v>
      </c>
      <c r="AP295" s="566">
        <f>VLOOKUP($A295,'01-02.2021'!$A$6:$CZ$403,42,FALSE)+VLOOKUP($A295,'1.3.21-28.2.22'!$A$6:$DA$404,42,FALSE)-VLOOKUP($A295,'01-02.2022'!$A$6:$DA$376,42,FALSE)</f>
        <v>9760.4985939895778</v>
      </c>
      <c r="AQ295" s="566">
        <f>VLOOKUP($A295,'01-02.2021'!$A$6:$CZ$403,43,FALSE)+VLOOKUP($A295,'1.3.21-28.2.22'!$A$6:$DA$404,43,FALSE)-VLOOKUP($A295,'01-02.2022'!$A$6:$DA$376,43,FALSE)</f>
        <v>8424.2511214359474</v>
      </c>
      <c r="AR295" s="70">
        <f t="shared" si="332"/>
        <v>-1336.2474725536304</v>
      </c>
      <c r="AS295" s="566">
        <f>VLOOKUP($A295,'01-02.2021'!$A$6:$CZ$403,45,FALSE)+VLOOKUP($A295,'1.3.21-28.2.22'!$A$6:$DA$404,45,FALSE)-VLOOKUP($A295,'01-02.2022'!$A$6:$DA$376,45,FALSE)</f>
        <v>35059.416167829637</v>
      </c>
      <c r="AT295" s="566">
        <f>VLOOKUP($A295,'01-02.2021'!$A$6:$CZ$403,46,FALSE)+VLOOKUP($A295,'1.3.21-28.2.22'!$A$6:$DA$404,46,FALSE)-VLOOKUP($A295,'01-02.2022'!$A$6:$DA$376,46,FALSE)</f>
        <v>81758.966876004371</v>
      </c>
      <c r="AU295" s="78">
        <f t="shared" si="333"/>
        <v>46699.550708174735</v>
      </c>
      <c r="AV295" s="566">
        <f>VLOOKUP($A295,'01-02.2021'!$A$6:$CZ$403,48,FALSE)+VLOOKUP($A295,'1.3.21-28.2.22'!$A$6:$DA$404,48,FALSE)-VLOOKUP($A295,'01-02.2022'!$A$6:$DA$376,48,FALSE)</f>
        <v>3258.4621390443385</v>
      </c>
      <c r="AW295" s="566">
        <f>VLOOKUP($A295,'01-02.2021'!$A$6:$CZ$403,49,FALSE)+VLOOKUP($A295,'1.3.21-28.2.22'!$A$6:$DA$404,49,FALSE)-VLOOKUP($A295,'01-02.2022'!$A$6:$DA$376,49,FALSE)</f>
        <v>37</v>
      </c>
      <c r="AX295" s="55">
        <f t="shared" si="334"/>
        <v>-3221.4621390443385</v>
      </c>
      <c r="AY295" s="566">
        <f>VLOOKUP($A295,'01-02.2021'!$A$6:$CZ$403,51,FALSE)+VLOOKUP($A295,'1.3.21-28.2.22'!$A$6:$DA$404,51,FALSE)-VLOOKUP($A295,'01-02.2022'!$A$6:$DA$376,51,FALSE)</f>
        <v>4207.7280511269319</v>
      </c>
      <c r="AZ295" s="566">
        <f>VLOOKUP($A295,'01-02.2021'!$A$6:$CZ$403,52,FALSE)+VLOOKUP($A295,'1.3.21-28.2.22'!$A$6:$DA$404,52,FALSE)-VLOOKUP($A295,'01-02.2022'!$A$6:$DA$376,52,FALSE)</f>
        <v>33</v>
      </c>
      <c r="BA295" s="38">
        <f t="shared" si="335"/>
        <v>-4174.7280511269319</v>
      </c>
      <c r="BB295" s="566">
        <f>VLOOKUP($A295,'01-02.2021'!$A$6:$CZ$403,54,FALSE)+VLOOKUP($A295,'1.3.21-28.2.22'!$A$6:$DA$404,54,FALSE)-VLOOKUP($A295,'01-02.2022'!$A$6:$DA$376,54,FALSE)</f>
        <v>2135.8369868507475</v>
      </c>
      <c r="BC295" s="566">
        <f>VLOOKUP($A295,'01-02.2021'!$A$6:$CZ$403,55,FALSE)+VLOOKUP($A295,'1.3.21-28.2.22'!$A$6:$DA$404,55,FALSE)-VLOOKUP($A295,'01-02.2022'!$A$6:$DA$376,55,FALSE)</f>
        <v>1569</v>
      </c>
      <c r="BD295" s="55">
        <f t="shared" si="336"/>
        <v>-566.83698685074751</v>
      </c>
      <c r="BE295" s="566">
        <f>VLOOKUP($A295,'01-02.2021'!$A$6:$CZ$403,57,FALSE)+VLOOKUP($A295,'1.3.21-28.2.22'!$A$6:$DA$404,57,FALSE)-VLOOKUP($A295,'01-02.2022'!$A$6:$DA$376,57,FALSE)</f>
        <v>0</v>
      </c>
      <c r="BF295" s="566">
        <f>VLOOKUP($A295,'01-02.2021'!$A$6:$CZ$403,58,FALSE)+VLOOKUP($A295,'1.3.21-28.2.22'!$A$6:$DA$404,58,FALSE)-VLOOKUP($A295,'01-02.2022'!$A$6:$DA$376,58,FALSE)</f>
        <v>0</v>
      </c>
      <c r="BG295" s="55">
        <f t="shared" si="337"/>
        <v>0</v>
      </c>
      <c r="BH295" s="566">
        <f>VLOOKUP($A295,'01-02.2021'!$A$6:$CZ$403,60,FALSE)+VLOOKUP($A295,'1.3.21-28.2.22'!$A$6:$DA$404,60,FALSE)-VLOOKUP($A295,'01-02.2022'!$A$6:$DA$376,60,FALSE)</f>
        <v>0</v>
      </c>
      <c r="BI295" s="566">
        <f>VLOOKUP($A295,'01-02.2021'!$A$6:$CZ$403,61,FALSE)+VLOOKUP($A295,'1.3.21-28.2.22'!$A$6:$DA$404,61,FALSE)-VLOOKUP($A295,'01-02.2022'!$A$6:$DA$376,61,FALSE)</f>
        <v>0</v>
      </c>
      <c r="BJ295" s="55">
        <f t="shared" si="338"/>
        <v>0</v>
      </c>
      <c r="BK295" s="566">
        <f>VLOOKUP($A295,'01-02.2021'!$A$6:$CZ$403,63,FALSE)+VLOOKUP($A295,'1.3.21-28.2.22'!$A$6:$DA$404,63,FALSE)-VLOOKUP($A295,'01-02.2022'!$A$6:$DA$376,63,FALSE)</f>
        <v>2910.3684325250606</v>
      </c>
      <c r="BL295" s="566">
        <f>VLOOKUP($A295,'01-02.2021'!$A$6:$CZ$403,64,FALSE)+VLOOKUP($A295,'1.3.21-28.2.22'!$A$6:$DA$404,64,FALSE)-VLOOKUP($A295,'01-02.2022'!$A$6:$DA$376,64,FALSE)</f>
        <v>0</v>
      </c>
      <c r="BM295" s="55">
        <f t="shared" si="339"/>
        <v>-2910.3684325250606</v>
      </c>
      <c r="BN295" s="566">
        <f>VLOOKUP($A295,'01-02.2021'!$A$6:$CZ$403,66,FALSE)+VLOOKUP($A295,'1.3.21-28.2.22'!$A$6:$DA$404,66,FALSE)-VLOOKUP($A295,'01-02.2022'!$A$6:$DA$376,66,FALSE)</f>
        <v>180.76</v>
      </c>
      <c r="BO295" s="566">
        <f>VLOOKUP($A295,'01-02.2021'!$A$6:$CZ$403,67,FALSE)+VLOOKUP($A295,'1.3.21-28.2.22'!$A$6:$DA$404,67,FALSE)-VLOOKUP($A295,'01-02.2022'!$A$6:$DA$376,67,FALSE)</f>
        <v>0</v>
      </c>
      <c r="BP295" s="55">
        <f t="shared" si="340"/>
        <v>-180.76</v>
      </c>
      <c r="BQ295" s="77">
        <f t="shared" si="348"/>
        <v>12693.155609547079</v>
      </c>
      <c r="BR295" s="40">
        <f t="shared" si="349"/>
        <v>1639</v>
      </c>
      <c r="BS295" s="55">
        <f t="shared" si="314"/>
        <v>-11054.155609547079</v>
      </c>
      <c r="BT295" s="566">
        <f>VLOOKUP($A295,'01-02.2021'!$A$6:$CZ$403,72,FALSE)+VLOOKUP($A295,'1.3.21-28.2.22'!$A$6:$DA$404,72,FALSE)-VLOOKUP($A295,'01-02.2022'!$A$6:$DA$376,72,FALSE)</f>
        <v>22055.327273526287</v>
      </c>
      <c r="BU295" s="566">
        <f>VLOOKUP($A295,'01-02.2021'!$A$6:$CZ$403,73,FALSE)+VLOOKUP($A295,'1.3.21-28.2.22'!$A$6:$DA$404,73,FALSE)-VLOOKUP($A295,'01-02.2022'!$A$6:$DA$376,73,FALSE)</f>
        <v>30110.829852884232</v>
      </c>
      <c r="BV295" s="70">
        <f t="shared" si="341"/>
        <v>8055.5025793579443</v>
      </c>
      <c r="BW295" s="566">
        <f>VLOOKUP($A295,'01-02.2021'!$A$6:$CZ$403,75,FALSE)+VLOOKUP($A295,'1.3.21-28.2.22'!$A$6:$DA$404,75,FALSE)-VLOOKUP($A295,'01-02.2022'!$A$6:$DA$376,75,FALSE)</f>
        <v>17851.627399858302</v>
      </c>
      <c r="BX295" s="566">
        <f>VLOOKUP($A295,'01-02.2021'!$A$6:$CZ$403,76,FALSE)+VLOOKUP($A295,'1.3.21-28.2.22'!$A$6:$DA$404,76,FALSE)-VLOOKUP($A295,'01-02.2022'!$A$6:$DA$376,76,FALSE)</f>
        <v>16841.277759033499</v>
      </c>
      <c r="BY295" s="70">
        <f t="shared" si="342"/>
        <v>-1010.3496408248029</v>
      </c>
      <c r="BZ295" s="566">
        <f>VLOOKUP($A295,'01-02.2021'!$A$6:$CZ$403,78,FALSE)+VLOOKUP($A295,'1.3.21-28.2.22'!$A$6:$DA$404,78,FALSE)-VLOOKUP($A295,'01-02.2022'!$A$6:$DA$376,78,FALSE)</f>
        <v>11474.181822254111</v>
      </c>
      <c r="CA295" s="566">
        <f>VLOOKUP($A295,'01-02.2021'!$A$6:$CZ$403,79,FALSE)+VLOOKUP($A295,'1.3.21-28.2.22'!$A$6:$DA$404,79,FALSE)-VLOOKUP($A295,'01-02.2022'!$A$6:$DA$376,79,FALSE)</f>
        <v>7056.3544420997705</v>
      </c>
      <c r="CB295" s="70">
        <f t="shared" si="343"/>
        <v>-4417.827380154341</v>
      </c>
      <c r="CC295" s="566">
        <f>VLOOKUP($A295,'01-02.2021'!$A$6:$CZ$403,81,FALSE)+VLOOKUP($A295,'1.3.21-28.2.22'!$A$6:$DA$404,81,FALSE)-VLOOKUP($A295,'01-02.2022'!$A$6:$DA$376,81,FALSE)</f>
        <v>2477.3849902416468</v>
      </c>
      <c r="CD295" s="566">
        <f>VLOOKUP($A295,'01-02.2021'!$A$6:$CZ$403,82,FALSE)+VLOOKUP($A295,'1.3.21-28.2.22'!$A$6:$DA$404,82,FALSE)-VLOOKUP($A295,'01-02.2022'!$A$6:$DA$376,82,FALSE)</f>
        <v>2707.7645010758738</v>
      </c>
      <c r="CE295" s="70">
        <f t="shared" si="344"/>
        <v>230.37951083422695</v>
      </c>
      <c r="CF295" s="566">
        <f>VLOOKUP($A295,'01-02.2021'!$A$6:$CZ$403,84,FALSE)+VLOOKUP($A295,'1.3.21-28.2.22'!$A$6:$DA$404,84,FALSE)-VLOOKUP($A295,'01-02.2022'!$A$6:$DA$376,84,FALSE)</f>
        <v>301.17717737667056</v>
      </c>
      <c r="CG295" s="566">
        <f>VLOOKUP($A295,'01-02.2021'!$A$6:$CZ$403,85,FALSE)+VLOOKUP($A295,'1.3.21-28.2.22'!$A$6:$DA$404,85,FALSE)-VLOOKUP($A295,'01-02.2022'!$A$6:$DA$376,85,FALSE)</f>
        <v>0</v>
      </c>
      <c r="CH295" s="70">
        <f t="shared" si="345"/>
        <v>-301.17717737667056</v>
      </c>
      <c r="CI295" s="566">
        <f>VLOOKUP($A295,'01-02.2021'!$A$6:$CZ$403,87,FALSE)+VLOOKUP($A295,'1.3.21-28.2.22'!$A$6:$DA$404,87,FALSE)-VLOOKUP($A295,'01-02.2022'!$A$6:$DA$376,87,FALSE)</f>
        <v>3625.49581266526</v>
      </c>
      <c r="CJ295" s="566">
        <f>VLOOKUP($A295,'01-02.2021'!$A$6:$CZ$403,88,FALSE)+VLOOKUP($A295,'1.3.21-28.2.22'!$A$6:$DA$404,88,FALSE)-VLOOKUP($A295,'01-02.2022'!$A$6:$DA$376,88,FALSE)</f>
        <v>3333.0848247139825</v>
      </c>
      <c r="CK295" s="70">
        <f t="shared" si="346"/>
        <v>-292.41098795127755</v>
      </c>
      <c r="CL295" s="566">
        <f>VLOOKUP($A295,'01-02.2021'!$A$6:$CZ$403,90,FALSE)+VLOOKUP($A295,'1.3.21-28.2.22'!$A$6:$DA$404,90,FALSE)-VLOOKUP($A295,'01-02.2022'!$A$6:$DA$376,90,FALSE)</f>
        <v>0</v>
      </c>
      <c r="CM295" s="566">
        <f>VLOOKUP($A295,'01-02.2021'!$A$6:$CZ$403,91,FALSE)+VLOOKUP($A295,'1.3.21-28.2.22'!$A$6:$DA$404,91,FALSE)-VLOOKUP($A295,'01-02.2022'!$A$6:$DA$376,91,FALSE)</f>
        <v>0</v>
      </c>
      <c r="CN295" s="52">
        <f t="shared" si="303"/>
        <v>0</v>
      </c>
      <c r="CO295" s="39">
        <f t="shared" si="298"/>
        <v>3625.49581266526</v>
      </c>
      <c r="CP295" s="40">
        <f t="shared" si="304"/>
        <v>3333.0848247139825</v>
      </c>
      <c r="CQ295" s="52">
        <f t="shared" si="305"/>
        <v>-292.41098795127755</v>
      </c>
      <c r="CR295" s="72">
        <f t="shared" si="299"/>
        <v>159339.78322895017</v>
      </c>
      <c r="CS295" s="5">
        <f t="shared" si="299"/>
        <v>195930.08263678616</v>
      </c>
      <c r="CT295" s="52">
        <f t="shared" si="306"/>
        <v>36590.299407835992</v>
      </c>
      <c r="CU295" s="77">
        <f t="shared" si="307"/>
        <v>191207.73987474019</v>
      </c>
      <c r="CV295" s="65">
        <f t="shared" si="308"/>
        <v>235116.09916414338</v>
      </c>
      <c r="CW295" s="35">
        <f t="shared" si="309"/>
        <v>43908.35928940319</v>
      </c>
      <c r="CX295" s="566">
        <f>VLOOKUP($A295,'01-02.2021'!$A$6:$CZ$403,102,FALSE)+VLOOKUP($A295,'1.3.21-28.2.22'!$A$6:$DA$404,102,FALSE)-VLOOKUP($A295,'01-02.2022'!$A$6:$DA$376,102,FALSE)</f>
        <v>7203.7268184239701</v>
      </c>
      <c r="CY295" s="566">
        <f>VLOOKUP($A295,'01-02.2021'!$A$6:$CZ$403,103,FALSE)+VLOOKUP($A295,'1.3.21-28.2.22'!$A$6:$DA$404,103,FALSE)-VLOOKUP($A295,'01-02.2022'!$A$6:$DA$376,103,FALSE)</f>
        <v>-36704.632470979188</v>
      </c>
      <c r="CZ295" s="52">
        <f t="shared" si="310"/>
        <v>-43908.359289403161</v>
      </c>
      <c r="DA295" s="150">
        <f>'[2]побудинковий звіт'!DA295</f>
        <v>30247.721731618491</v>
      </c>
      <c r="DB295" s="2">
        <v>2</v>
      </c>
      <c r="DC295" s="414">
        <f>'[4]побудинковий звіт'!DC295</f>
        <v>28515.33</v>
      </c>
      <c r="DD295" s="414">
        <f>'[4]побудинковий звіт'!DD295</f>
        <v>6200.13</v>
      </c>
      <c r="DE295" s="557">
        <f>'[4]побудинковий звіт'!DE295</f>
        <v>11807.366912868889</v>
      </c>
      <c r="DF295" s="557">
        <f>'[4]побудинковий звіт'!DF295</f>
        <v>4934.0096149662349</v>
      </c>
      <c r="DG295" s="321">
        <f>VLOOKUP(A295,'кошти 01.03.2021'!$A$6:$D$401,4,)</f>
        <v>-3440.1699672880768</v>
      </c>
      <c r="DH295" s="40">
        <f>'[3]побудинковий звіт'!DJ295</f>
        <v>204896.73534115899</v>
      </c>
      <c r="DI295" s="422">
        <f>'[3]побудинковий звіт'!CU295+'[3]побудинковий звіт'!CX295</f>
        <v>17974.083472164879</v>
      </c>
      <c r="DJ295" s="306">
        <f>'[3]побудинковий звіт'!DM295</f>
        <v>5.0013359736375955</v>
      </c>
      <c r="DK295" s="306">
        <f t="shared" si="350"/>
        <v>5.0013359736375955</v>
      </c>
      <c r="DL295" s="306">
        <f>'[3]побудинковий звіт'!DO295</f>
        <v>4.3509291581916338</v>
      </c>
      <c r="DM295" s="28">
        <f t="shared" si="351"/>
        <v>16707.963087131113</v>
      </c>
      <c r="DN295" s="28">
        <f t="shared" si="352"/>
        <v>1266.1203850337654</v>
      </c>
      <c r="DO295" s="423">
        <f t="shared" si="319"/>
        <v>17974.083472164879</v>
      </c>
      <c r="DP295" s="94">
        <f t="shared" si="320"/>
        <v>0</v>
      </c>
      <c r="DQ295" s="28">
        <f t="shared" si="321"/>
        <v>17974.083472164879</v>
      </c>
      <c r="DR295" s="318"/>
      <c r="DT295" s="8"/>
      <c r="DU295" s="5"/>
      <c r="DX295" s="5">
        <f t="shared" si="322"/>
        <v>57303.086132852062</v>
      </c>
      <c r="DY295" s="5">
        <f t="shared" si="323"/>
        <v>100077.56025120524</v>
      </c>
      <c r="DZ295" s="159">
        <f>'[3]побудинковий звіт'!EA295</f>
        <v>5405.7618852343776</v>
      </c>
    </row>
    <row r="296" spans="1:130" x14ac:dyDescent="0.3">
      <c r="A296" s="325">
        <v>150000740</v>
      </c>
      <c r="B296" s="41" t="s">
        <v>742</v>
      </c>
      <c r="C296" s="42" t="s">
        <v>198</v>
      </c>
      <c r="D296" s="42"/>
      <c r="E296" s="293">
        <f t="shared" si="296"/>
        <v>1366.1</v>
      </c>
      <c r="F296" s="305">
        <f>'[3]побудинковий звіт'!F296</f>
        <v>1236.8</v>
      </c>
      <c r="G296" s="508">
        <f>'[3]побудинковий звіт'!G296</f>
        <v>0</v>
      </c>
      <c r="H296" s="560">
        <f>'[3]побудинковий звіт'!H296</f>
        <v>129.30000000000001</v>
      </c>
      <c r="I296" s="566">
        <f>VLOOKUP($A296,'01-02.2021'!$A$6:$CZ$403,9,FALSE)+VLOOKUP($A296,'1.3.21-28.2.22'!$A$6:$DA$404,9,FALSE)-VLOOKUP($A296,'01-02.2022'!$A$6:$DA$376,9,FALSE)</f>
        <v>5234.9741583179666</v>
      </c>
      <c r="J296" s="566">
        <f>VLOOKUP($A296,'01-02.2021'!$A$6:$CZ$403,10,FALSE)+VLOOKUP($A296,'1.3.21-28.2.22'!$A$6:$DA$404,10,FALSE)-VLOOKUP($A296,'01-02.2022'!$A$6:$DA$376,10,FALSE)</f>
        <v>5725.717832067603</v>
      </c>
      <c r="K296" s="52">
        <f t="shared" si="300"/>
        <v>490.7436737496364</v>
      </c>
      <c r="L296" s="566">
        <f>VLOOKUP($A296,'01-02.2021'!$A$6:$CZ$403,12,FALSE)+VLOOKUP($A296,'1.3.21-28.2.22'!$A$6:$DA$404,12,FALSE)-VLOOKUP($A296,'01-02.2022'!$A$6:$DA$376,12,FALSE)</f>
        <v>1358.2056549817123</v>
      </c>
      <c r="M296" s="566">
        <f>VLOOKUP($A296,'01-02.2021'!$A$6:$CZ$403,13,FALSE)+VLOOKUP($A296,'1.3.21-28.2.22'!$A$6:$DA$404,13,FALSE)-VLOOKUP($A296,'01-02.2022'!$A$6:$DA$376,13,FALSE)</f>
        <v>1495.4285888899497</v>
      </c>
      <c r="N296" s="52">
        <f t="shared" si="301"/>
        <v>137.22293390823734</v>
      </c>
      <c r="O296" s="566">
        <f>VLOOKUP($A296,'01-02.2021'!$A$6:$CZ$403,15,FALSE)+VLOOKUP($A296,'1.3.21-28.2.22'!$A$6:$DA$404,15,FALSE)-VLOOKUP($A296,'01-02.2022'!$A$6:$DA$376,15,FALSE)</f>
        <v>1816.6383998882668</v>
      </c>
      <c r="P296" s="566">
        <f>VLOOKUP($A296,'01-02.2021'!$A$6:$CZ$403,16,FALSE)+VLOOKUP($A296,'1.3.21-28.2.22'!$A$6:$DA$404,16,FALSE)-VLOOKUP($A296,'01-02.2022'!$A$6:$DA$376,16,FALSE)</f>
        <v>1816.6500000000008</v>
      </c>
      <c r="Q296" s="70">
        <f t="shared" si="324"/>
        <v>1.1600111733969243E-2</v>
      </c>
      <c r="R296" s="566">
        <f>VLOOKUP($A296,'01-02.2021'!$A$6:$CZ$403,18,FALSE)+VLOOKUP($A296,'1.3.21-28.2.22'!$A$6:$DA$404,18,FALSE)-VLOOKUP($A296,'01-02.2022'!$A$6:$DA$376,18,FALSE)</f>
        <v>0</v>
      </c>
      <c r="S296" s="566">
        <f>VLOOKUP($A296,'01-02.2021'!$A$6:$CZ$403,19,FALSE)+VLOOKUP($A296,'1.3.21-28.2.22'!$A$6:$DA$404,19,FALSE)-VLOOKUP($A296,'01-02.2022'!$A$6:$DA$376,19,FALSE)</f>
        <v>0</v>
      </c>
      <c r="T296" s="70">
        <f t="shared" si="325"/>
        <v>0</v>
      </c>
      <c r="U296" s="566">
        <f>VLOOKUP($A296,'01-02.2021'!$A$6:$CZ$403,21,FALSE)+VLOOKUP($A296,'1.3.21-28.2.22'!$A$6:$DA$404,21,FALSE)-VLOOKUP($A296,'01-02.2022'!$A$6:$DA$376,21,FALSE)</f>
        <v>0</v>
      </c>
      <c r="V296" s="566">
        <f>VLOOKUP($A296,'01-02.2021'!$A$6:$CZ$403,22,FALSE)+VLOOKUP($A296,'1.3.21-28.2.22'!$A$6:$DA$404,22,FALSE)-VLOOKUP($A296,'01-02.2022'!$A$6:$DA$376,22,FALSE)</f>
        <v>0</v>
      </c>
      <c r="W296" s="70">
        <f t="shared" si="326"/>
        <v>0</v>
      </c>
      <c r="X296" s="566">
        <f>VLOOKUP($A296,'01-02.2021'!$A$6:$CZ$403,24,FALSE)+VLOOKUP($A296,'1.3.21-28.2.22'!$A$6:$DA$404,24,FALSE)-VLOOKUP($A296,'01-02.2022'!$A$6:$DA$376,24,FALSE)</f>
        <v>3409.0426686117871</v>
      </c>
      <c r="Y296" s="566">
        <f>VLOOKUP($A296,'01-02.2021'!$A$6:$CZ$403,25,FALSE)+VLOOKUP($A296,'1.3.21-28.2.22'!$A$6:$DA$404,25,FALSE)-VLOOKUP($A296,'01-02.2022'!$A$6:$DA$376,25,FALSE)</f>
        <v>2615.8903485903502</v>
      </c>
      <c r="Z296" s="70">
        <f t="shared" si="327"/>
        <v>-793.15232002143694</v>
      </c>
      <c r="AA296" s="566">
        <f>VLOOKUP($A296,'01-02.2021'!$A$6:$CZ$403,27,FALSE)+VLOOKUP($A296,'1.3.21-28.2.22'!$A$6:$DA$404,27,FALSE)-VLOOKUP($A296,'01-02.2022'!$A$6:$DA$376,27,FALSE)</f>
        <v>273.21999999999997</v>
      </c>
      <c r="AB296" s="566">
        <f>VLOOKUP($A296,'01-02.2021'!$A$6:$CZ$403,28,FALSE)+VLOOKUP($A296,'1.3.21-28.2.22'!$A$6:$DA$404,28,FALSE)-VLOOKUP($A296,'01-02.2022'!$A$6:$DA$376,28,FALSE)</f>
        <v>0</v>
      </c>
      <c r="AC296" s="70">
        <f t="shared" si="328"/>
        <v>-273.21999999999997</v>
      </c>
      <c r="AD296" s="566">
        <f>VLOOKUP($A296,'01-02.2021'!$A$6:$CZ$403,30,FALSE)+VLOOKUP($A296,'1.3.21-28.2.22'!$A$6:$DA$404,30,FALSE)-VLOOKUP($A296,'01-02.2022'!$A$6:$DA$376,30,FALSE)</f>
        <v>5854.9864350919879</v>
      </c>
      <c r="AE296" s="566">
        <f>VLOOKUP($A296,'01-02.2021'!$A$6:$CZ$403,31,FALSE)+VLOOKUP($A296,'1.3.21-28.2.22'!$A$6:$DA$404,31,FALSE)-VLOOKUP($A296,'01-02.2022'!$A$6:$DA$376,31,FALSE)</f>
        <v>6218.5422432432106</v>
      </c>
      <c r="AF296" s="68">
        <f t="shared" si="329"/>
        <v>363.55580815122266</v>
      </c>
      <c r="AG296" s="77">
        <f t="shared" si="297"/>
        <v>17947.06731689172</v>
      </c>
      <c r="AH296" s="53">
        <f t="shared" si="297"/>
        <v>17872.229012791115</v>
      </c>
      <c r="AI296" s="52">
        <f t="shared" si="302"/>
        <v>-74.838304100605455</v>
      </c>
      <c r="AJ296" s="566">
        <f>VLOOKUP($A296,'01-02.2021'!$A$6:$CZ$403,36,FALSE)+VLOOKUP($A296,'1.3.21-28.2.22'!$A$6:$DA$404,36,FALSE)-VLOOKUP($A296,'01-02.2022'!$A$6:$DA$376,36,FALSE)</f>
        <v>0</v>
      </c>
      <c r="AK296" s="566">
        <f>VLOOKUP($A296,'01-02.2021'!$A$6:$CZ$403,37,FALSE)+VLOOKUP($A296,'1.3.21-28.2.22'!$A$6:$DA$404,37,FALSE)-VLOOKUP($A296,'01-02.2022'!$A$6:$DA$376,37,FALSE)</f>
        <v>0</v>
      </c>
      <c r="AL296" s="70">
        <f t="shared" si="330"/>
        <v>0</v>
      </c>
      <c r="AM296" s="566">
        <f>VLOOKUP($A296,'01-02.2021'!$A$6:$CZ$403,39,FALSE)+VLOOKUP($A296,'1.3.21-28.2.22'!$A$6:$DA$404,39,FALSE)-VLOOKUP($A296,'01-02.2022'!$A$6:$DA$376,39,FALSE)</f>
        <v>0</v>
      </c>
      <c r="AN296" s="566">
        <f>VLOOKUP($A296,'01-02.2021'!$A$6:$CZ$403,40,FALSE)+VLOOKUP($A296,'1.3.21-28.2.22'!$A$6:$DA$404,40,FALSE)-VLOOKUP($A296,'01-02.2022'!$A$6:$DA$376,40,FALSE)</f>
        <v>0</v>
      </c>
      <c r="AO296" s="70">
        <f t="shared" si="331"/>
        <v>0</v>
      </c>
      <c r="AP296" s="566">
        <f>VLOOKUP($A296,'01-02.2021'!$A$6:$CZ$403,42,FALSE)+VLOOKUP($A296,'1.3.21-28.2.22'!$A$6:$DA$404,42,FALSE)-VLOOKUP($A296,'01-02.2022'!$A$6:$DA$376,42,FALSE)</f>
        <v>2602.799625063888</v>
      </c>
      <c r="AQ296" s="566">
        <f>VLOOKUP($A296,'01-02.2021'!$A$6:$CZ$403,43,FALSE)+VLOOKUP($A296,'1.3.21-28.2.22'!$A$6:$DA$404,43,FALSE)-VLOOKUP($A296,'01-02.2022'!$A$6:$DA$376,43,FALSE)</f>
        <v>2079.9006566273124</v>
      </c>
      <c r="AR296" s="70">
        <f t="shared" si="332"/>
        <v>-522.89896843657561</v>
      </c>
      <c r="AS296" s="566">
        <f>VLOOKUP($A296,'01-02.2021'!$A$6:$CZ$403,45,FALSE)+VLOOKUP($A296,'1.3.21-28.2.22'!$A$6:$DA$404,45,FALSE)-VLOOKUP($A296,'01-02.2022'!$A$6:$DA$376,45,FALSE)</f>
        <v>13526.63682958274</v>
      </c>
      <c r="AT296" s="566">
        <f>VLOOKUP($A296,'01-02.2021'!$A$6:$CZ$403,46,FALSE)+VLOOKUP($A296,'1.3.21-28.2.22'!$A$6:$DA$404,46,FALSE)-VLOOKUP($A296,'01-02.2022'!$A$6:$DA$376,46,FALSE)</f>
        <v>18154.740000000002</v>
      </c>
      <c r="AU296" s="78">
        <f t="shared" si="333"/>
        <v>4628.1031704172619</v>
      </c>
      <c r="AV296" s="566">
        <f>VLOOKUP($A296,'01-02.2021'!$A$6:$CZ$403,48,FALSE)+VLOOKUP($A296,'1.3.21-28.2.22'!$A$6:$DA$404,48,FALSE)-VLOOKUP($A296,'01-02.2022'!$A$6:$DA$376,48,FALSE)</f>
        <v>1566.2007404110393</v>
      </c>
      <c r="AW296" s="566">
        <f>VLOOKUP($A296,'01-02.2021'!$A$6:$CZ$403,49,FALSE)+VLOOKUP($A296,'1.3.21-28.2.22'!$A$6:$DA$404,49,FALSE)-VLOOKUP($A296,'01-02.2022'!$A$6:$DA$376,49,FALSE)</f>
        <v>0</v>
      </c>
      <c r="AX296" s="55">
        <f t="shared" si="334"/>
        <v>-1566.2007404110393</v>
      </c>
      <c r="AY296" s="566">
        <f>VLOOKUP($A296,'01-02.2021'!$A$6:$CZ$403,51,FALSE)+VLOOKUP($A296,'1.3.21-28.2.22'!$A$6:$DA$404,51,FALSE)-VLOOKUP($A296,'01-02.2022'!$A$6:$DA$376,51,FALSE)</f>
        <v>2553.0283374832643</v>
      </c>
      <c r="AZ296" s="566">
        <f>VLOOKUP($A296,'01-02.2021'!$A$6:$CZ$403,52,FALSE)+VLOOKUP($A296,'1.3.21-28.2.22'!$A$6:$DA$404,52,FALSE)-VLOOKUP($A296,'01-02.2022'!$A$6:$DA$376,52,FALSE)</f>
        <v>0</v>
      </c>
      <c r="BA296" s="38">
        <f t="shared" si="335"/>
        <v>-2553.0283374832643</v>
      </c>
      <c r="BB296" s="566">
        <f>VLOOKUP($A296,'01-02.2021'!$A$6:$CZ$403,54,FALSE)+VLOOKUP($A296,'1.3.21-28.2.22'!$A$6:$DA$404,54,FALSE)-VLOOKUP($A296,'01-02.2022'!$A$6:$DA$376,54,FALSE)</f>
        <v>810.69327202000886</v>
      </c>
      <c r="BC296" s="566">
        <f>VLOOKUP($A296,'01-02.2021'!$A$6:$CZ$403,55,FALSE)+VLOOKUP($A296,'1.3.21-28.2.22'!$A$6:$DA$404,55,FALSE)-VLOOKUP($A296,'01-02.2022'!$A$6:$DA$376,55,FALSE)</f>
        <v>3892</v>
      </c>
      <c r="BD296" s="55">
        <f t="shared" si="336"/>
        <v>3081.3067279799911</v>
      </c>
      <c r="BE296" s="566">
        <f>VLOOKUP($A296,'01-02.2021'!$A$6:$CZ$403,57,FALSE)+VLOOKUP($A296,'1.3.21-28.2.22'!$A$6:$DA$404,57,FALSE)-VLOOKUP($A296,'01-02.2022'!$A$6:$DA$376,57,FALSE)</f>
        <v>0</v>
      </c>
      <c r="BF296" s="566">
        <f>VLOOKUP($A296,'01-02.2021'!$A$6:$CZ$403,58,FALSE)+VLOOKUP($A296,'1.3.21-28.2.22'!$A$6:$DA$404,58,FALSE)-VLOOKUP($A296,'01-02.2022'!$A$6:$DA$376,58,FALSE)</f>
        <v>0</v>
      </c>
      <c r="BG296" s="55">
        <f t="shared" si="337"/>
        <v>0</v>
      </c>
      <c r="BH296" s="566">
        <f>VLOOKUP($A296,'01-02.2021'!$A$6:$CZ$403,60,FALSE)+VLOOKUP($A296,'1.3.21-28.2.22'!$A$6:$DA$404,60,FALSE)-VLOOKUP($A296,'01-02.2022'!$A$6:$DA$376,60,FALSE)</f>
        <v>0</v>
      </c>
      <c r="BI296" s="566">
        <f>VLOOKUP($A296,'01-02.2021'!$A$6:$CZ$403,61,FALSE)+VLOOKUP($A296,'1.3.21-28.2.22'!$A$6:$DA$404,61,FALSE)-VLOOKUP($A296,'01-02.2022'!$A$6:$DA$376,61,FALSE)</f>
        <v>0</v>
      </c>
      <c r="BJ296" s="55">
        <f t="shared" si="338"/>
        <v>0</v>
      </c>
      <c r="BK296" s="566">
        <f>VLOOKUP($A296,'01-02.2021'!$A$6:$CZ$403,63,FALSE)+VLOOKUP($A296,'1.3.21-28.2.22'!$A$6:$DA$404,63,FALSE)-VLOOKUP($A296,'01-02.2022'!$A$6:$DA$376,63,FALSE)</f>
        <v>889.16459107604044</v>
      </c>
      <c r="BL296" s="566">
        <f>VLOOKUP($A296,'01-02.2021'!$A$6:$CZ$403,64,FALSE)+VLOOKUP($A296,'1.3.21-28.2.22'!$A$6:$DA$404,64,FALSE)-VLOOKUP($A296,'01-02.2022'!$A$6:$DA$376,64,FALSE)</f>
        <v>0</v>
      </c>
      <c r="BM296" s="55">
        <f t="shared" si="339"/>
        <v>-889.16459107604044</v>
      </c>
      <c r="BN296" s="566">
        <f>VLOOKUP($A296,'01-02.2021'!$A$6:$CZ$403,66,FALSE)+VLOOKUP($A296,'1.3.21-28.2.22'!$A$6:$DA$404,66,FALSE)-VLOOKUP($A296,'01-02.2022'!$A$6:$DA$376,66,FALSE)</f>
        <v>68.304999999999993</v>
      </c>
      <c r="BO296" s="566">
        <f>VLOOKUP($A296,'01-02.2021'!$A$6:$CZ$403,67,FALSE)+VLOOKUP($A296,'1.3.21-28.2.22'!$A$6:$DA$404,67,FALSE)-VLOOKUP($A296,'01-02.2022'!$A$6:$DA$376,67,FALSE)</f>
        <v>0</v>
      </c>
      <c r="BP296" s="55">
        <f t="shared" si="340"/>
        <v>-68.304999999999993</v>
      </c>
      <c r="BQ296" s="77">
        <f t="shared" si="348"/>
        <v>5887.3919409903529</v>
      </c>
      <c r="BR296" s="40">
        <f t="shared" si="349"/>
        <v>3892</v>
      </c>
      <c r="BS296" s="55">
        <f t="shared" si="314"/>
        <v>-1995.3919409903529</v>
      </c>
      <c r="BT296" s="566">
        <f>VLOOKUP($A296,'01-02.2021'!$A$6:$CZ$403,72,FALSE)+VLOOKUP($A296,'1.3.21-28.2.22'!$A$6:$DA$404,72,FALSE)-VLOOKUP($A296,'01-02.2022'!$A$6:$DA$376,72,FALSE)</f>
        <v>11044.53591787707</v>
      </c>
      <c r="BU296" s="566">
        <f>VLOOKUP($A296,'01-02.2021'!$A$6:$CZ$403,73,FALSE)+VLOOKUP($A296,'1.3.21-28.2.22'!$A$6:$DA$404,73,FALSE)-VLOOKUP($A296,'01-02.2022'!$A$6:$DA$376,73,FALSE)</f>
        <v>15126.370106432809</v>
      </c>
      <c r="BV296" s="70">
        <f t="shared" si="341"/>
        <v>4081.8341885557384</v>
      </c>
      <c r="BW296" s="566">
        <f>VLOOKUP($A296,'01-02.2021'!$A$6:$CZ$403,75,FALSE)+VLOOKUP($A296,'1.3.21-28.2.22'!$A$6:$DA$404,75,FALSE)-VLOOKUP($A296,'01-02.2022'!$A$6:$DA$376,75,FALSE)</f>
        <v>10378.358715439517</v>
      </c>
      <c r="BX296" s="566">
        <f>VLOOKUP($A296,'01-02.2021'!$A$6:$CZ$403,76,FALSE)+VLOOKUP($A296,'1.3.21-28.2.22'!$A$6:$DA$404,76,FALSE)-VLOOKUP($A296,'01-02.2022'!$A$6:$DA$376,76,FALSE)</f>
        <v>10690.534862101096</v>
      </c>
      <c r="BY296" s="70">
        <f t="shared" si="342"/>
        <v>312.17614666157897</v>
      </c>
      <c r="BZ296" s="566">
        <f>VLOOKUP($A296,'01-02.2021'!$A$6:$CZ$403,78,FALSE)+VLOOKUP($A296,'1.3.21-28.2.22'!$A$6:$DA$404,78,FALSE)-VLOOKUP($A296,'01-02.2022'!$A$6:$DA$376,78,FALSE)</f>
        <v>5722.8450979863546</v>
      </c>
      <c r="CA296" s="566">
        <f>VLOOKUP($A296,'01-02.2021'!$A$6:$CZ$403,79,FALSE)+VLOOKUP($A296,'1.3.21-28.2.22'!$A$6:$DA$404,79,FALSE)-VLOOKUP($A296,'01-02.2022'!$A$6:$DA$376,79,FALSE)</f>
        <v>3814.6971193607774</v>
      </c>
      <c r="CB296" s="70">
        <f t="shared" si="343"/>
        <v>-1908.1479786255773</v>
      </c>
      <c r="CC296" s="566">
        <f>VLOOKUP($A296,'01-02.2021'!$A$6:$CZ$403,81,FALSE)+VLOOKUP($A296,'1.3.21-28.2.22'!$A$6:$DA$404,81,FALSE)-VLOOKUP($A296,'01-02.2022'!$A$6:$DA$376,81,FALSE)</f>
        <v>921.40774216620139</v>
      </c>
      <c r="CD296" s="566">
        <f>VLOOKUP($A296,'01-02.2021'!$A$6:$CZ$403,82,FALSE)+VLOOKUP($A296,'1.3.21-28.2.22'!$A$6:$DA$404,82,FALSE)-VLOOKUP($A296,'01-02.2022'!$A$6:$DA$376,82,FALSE)</f>
        <v>1007.0922303484009</v>
      </c>
      <c r="CE296" s="70">
        <f t="shared" si="344"/>
        <v>85.684488182199516</v>
      </c>
      <c r="CF296" s="566">
        <f>VLOOKUP($A296,'01-02.2021'!$A$6:$CZ$403,84,FALSE)+VLOOKUP($A296,'1.3.21-28.2.22'!$A$6:$DA$404,84,FALSE)-VLOOKUP($A296,'01-02.2022'!$A$6:$DA$376,84,FALSE)</f>
        <v>112.01609119766212</v>
      </c>
      <c r="CG296" s="566">
        <f>VLOOKUP($A296,'01-02.2021'!$A$6:$CZ$403,85,FALSE)+VLOOKUP($A296,'1.3.21-28.2.22'!$A$6:$DA$404,85,FALSE)-VLOOKUP($A296,'01-02.2022'!$A$6:$DA$376,85,FALSE)</f>
        <v>0</v>
      </c>
      <c r="CH296" s="70">
        <f t="shared" si="345"/>
        <v>-112.01609119766212</v>
      </c>
      <c r="CI296" s="566">
        <f>VLOOKUP($A296,'01-02.2021'!$A$6:$CZ$403,87,FALSE)+VLOOKUP($A296,'1.3.21-28.2.22'!$A$6:$DA$404,87,FALSE)-VLOOKUP($A296,'01-02.2022'!$A$6:$DA$376,87,FALSE)</f>
        <v>1415.1376066151736</v>
      </c>
      <c r="CJ296" s="566">
        <f>VLOOKUP($A296,'01-02.2021'!$A$6:$CZ$403,88,FALSE)+VLOOKUP($A296,'1.3.21-28.2.22'!$A$6:$DA$404,88,FALSE)-VLOOKUP($A296,'01-02.2022'!$A$6:$DA$376,88,FALSE)</f>
        <v>1052.6193052195968</v>
      </c>
      <c r="CK296" s="70">
        <f t="shared" si="346"/>
        <v>-362.51830139557683</v>
      </c>
      <c r="CL296" s="566">
        <f>VLOOKUP($A296,'01-02.2021'!$A$6:$CZ$403,90,FALSE)+VLOOKUP($A296,'1.3.21-28.2.22'!$A$6:$DA$404,90,FALSE)-VLOOKUP($A296,'01-02.2022'!$A$6:$DA$376,90,FALSE)</f>
        <v>0</v>
      </c>
      <c r="CM296" s="566">
        <f>VLOOKUP($A296,'01-02.2021'!$A$6:$CZ$403,91,FALSE)+VLOOKUP($A296,'1.3.21-28.2.22'!$A$6:$DA$404,91,FALSE)-VLOOKUP($A296,'01-02.2022'!$A$6:$DA$376,91,FALSE)</f>
        <v>0</v>
      </c>
      <c r="CN296" s="52">
        <f t="shared" si="303"/>
        <v>0</v>
      </c>
      <c r="CO296" s="39">
        <f t="shared" si="298"/>
        <v>1415.1376066151736</v>
      </c>
      <c r="CP296" s="40">
        <f t="shared" si="304"/>
        <v>1052.6193052195968</v>
      </c>
      <c r="CQ296" s="52">
        <f t="shared" si="305"/>
        <v>-362.51830139557683</v>
      </c>
      <c r="CR296" s="72">
        <f t="shared" si="299"/>
        <v>69558.196883810684</v>
      </c>
      <c r="CS296" s="5">
        <f t="shared" si="299"/>
        <v>73690.183292881105</v>
      </c>
      <c r="CT296" s="52">
        <f t="shared" si="306"/>
        <v>4131.9864090704214</v>
      </c>
      <c r="CU296" s="77">
        <f t="shared" si="307"/>
        <v>83469.836260572818</v>
      </c>
      <c r="CV296" s="65">
        <f t="shared" si="308"/>
        <v>88428.219951457329</v>
      </c>
      <c r="CW296" s="35">
        <f t="shared" si="309"/>
        <v>4958.3836908845115</v>
      </c>
      <c r="CX296" s="566">
        <f>VLOOKUP($A296,'01-02.2021'!$A$6:$CZ$403,102,FALSE)+VLOOKUP($A296,'1.3.21-28.2.22'!$A$6:$DA$404,102,FALSE)-VLOOKUP($A296,'01-02.2022'!$A$6:$DA$376,102,FALSE)</f>
        <v>2912.9835874052078</v>
      </c>
      <c r="CY296" s="566">
        <f>VLOOKUP($A296,'01-02.2021'!$A$6:$CZ$403,103,FALSE)+VLOOKUP($A296,'1.3.21-28.2.22'!$A$6:$DA$404,103,FALSE)-VLOOKUP($A296,'01-02.2022'!$A$6:$DA$376,103,FALSE)</f>
        <v>-2045.4001034793082</v>
      </c>
      <c r="CZ296" s="52">
        <f t="shared" si="310"/>
        <v>-4958.383690884516</v>
      </c>
      <c r="DA296" s="150">
        <f>'[2]побудинковий звіт'!DA296</f>
        <v>8114.8952367916027</v>
      </c>
      <c r="DB296" s="2">
        <v>2</v>
      </c>
      <c r="DC296" s="414">
        <f>'[4]побудинковий звіт'!DC296</f>
        <v>7457.85</v>
      </c>
      <c r="DD296" s="414">
        <f>'[4]побудинковий звіт'!DD296</f>
        <v>3546.16</v>
      </c>
      <c r="DE296" s="557">
        <f>'[4]побудинковий звіт'!DE296</f>
        <v>243.8478892029716</v>
      </c>
      <c r="DF296" s="557">
        <f>'[4]побудинковий звіт'!DF296</f>
        <v>2924.2441546262598</v>
      </c>
      <c r="DG296" s="321">
        <f>VLOOKUP(A296,'кошти 01.03.2021'!$A$6:$D$401,4,)</f>
        <v>6850.1222667997281</v>
      </c>
      <c r="DH296" s="40">
        <f>'[3]побудинковий звіт'!DJ296</f>
        <v>89396.358304740192</v>
      </c>
      <c r="DI296" s="422">
        <f>'[3]побудинковий звіт'!CU296+'[3]побудинковий звіт'!CX296</f>
        <v>7835.9179561707688</v>
      </c>
      <c r="DJ296" s="306">
        <f>'[3]побудинковий звіт'!DM296</f>
        <v>5.8327960145512847</v>
      </c>
      <c r="DK296" s="306">
        <f t="shared" si="350"/>
        <v>5.8327960145512847</v>
      </c>
      <c r="DL296" s="306">
        <f>'[3]побудинковий звіт'!DO296</f>
        <v>4.8098673269430785</v>
      </c>
      <c r="DM296" s="28">
        <f t="shared" si="351"/>
        <v>7214.0021107970288</v>
      </c>
      <c r="DN296" s="28">
        <f t="shared" si="352"/>
        <v>621.91584537374013</v>
      </c>
      <c r="DO296" s="423">
        <f t="shared" si="319"/>
        <v>7835.9179561707688</v>
      </c>
      <c r="DP296" s="94">
        <f t="shared" si="320"/>
        <v>0</v>
      </c>
      <c r="DQ296" s="28">
        <f t="shared" si="321"/>
        <v>7835.9179561707688</v>
      </c>
      <c r="DR296" s="318"/>
      <c r="DT296" s="8"/>
      <c r="DU296" s="5"/>
      <c r="DX296" s="5">
        <f t="shared" si="322"/>
        <v>23296.834524687711</v>
      </c>
      <c r="DY296" s="5">
        <f t="shared" si="323"/>
        <v>26456.088</v>
      </c>
      <c r="DZ296" s="159">
        <f>'[3]побудинковий звіт'!EA296</f>
        <v>2042.7453668059477</v>
      </c>
    </row>
    <row r="297" spans="1:130" x14ac:dyDescent="0.3">
      <c r="A297" s="325">
        <v>150000744</v>
      </c>
      <c r="B297" s="41" t="s">
        <v>743</v>
      </c>
      <c r="C297" s="42" t="s">
        <v>224</v>
      </c>
      <c r="D297" s="42"/>
      <c r="E297" s="293">
        <f t="shared" si="296"/>
        <v>1504.4</v>
      </c>
      <c r="F297" s="305">
        <f>'[3]побудинковий звіт'!F297</f>
        <v>1504.4</v>
      </c>
      <c r="G297" s="508">
        <f>'[3]побудинковий звіт'!G297</f>
        <v>0</v>
      </c>
      <c r="H297" s="560">
        <f>'[3]побудинковий звіт'!H297</f>
        <v>0</v>
      </c>
      <c r="I297" s="566">
        <f>VLOOKUP($A297,'01-02.2021'!$A$6:$CZ$403,9,FALSE)+VLOOKUP($A297,'1.3.21-28.2.22'!$A$6:$DA$404,9,FALSE)-VLOOKUP($A297,'01-02.2022'!$A$6:$DA$376,9,FALSE)</f>
        <v>5375.4201124902047</v>
      </c>
      <c r="J297" s="566">
        <f>VLOOKUP($A297,'01-02.2021'!$A$6:$CZ$403,10,FALSE)+VLOOKUP($A297,'1.3.21-28.2.22'!$A$6:$DA$404,10,FALSE)-VLOOKUP($A297,'01-02.2022'!$A$6:$DA$376,10,FALSE)</f>
        <v>5997.0266397222485</v>
      </c>
      <c r="K297" s="52">
        <f t="shared" si="300"/>
        <v>621.60652723204385</v>
      </c>
      <c r="L297" s="566">
        <f>VLOOKUP($A297,'01-02.2021'!$A$6:$CZ$403,12,FALSE)+VLOOKUP($A297,'1.3.21-28.2.22'!$A$6:$DA$404,12,FALSE)-VLOOKUP($A297,'01-02.2022'!$A$6:$DA$376,12,FALSE)</f>
        <v>1058.2216618971659</v>
      </c>
      <c r="M297" s="566">
        <f>VLOOKUP($A297,'01-02.2021'!$A$6:$CZ$403,13,FALSE)+VLOOKUP($A297,'1.3.21-28.2.22'!$A$6:$DA$404,13,FALSE)-VLOOKUP($A297,'01-02.2022'!$A$6:$DA$376,13,FALSE)</f>
        <v>1165.145054075052</v>
      </c>
      <c r="N297" s="52">
        <f t="shared" si="301"/>
        <v>106.92339217788617</v>
      </c>
      <c r="O297" s="566">
        <f>VLOOKUP($A297,'01-02.2021'!$A$6:$CZ$403,15,FALSE)+VLOOKUP($A297,'1.3.21-28.2.22'!$A$6:$DA$404,15,FALSE)-VLOOKUP($A297,'01-02.2022'!$A$6:$DA$376,15,FALSE)</f>
        <v>2017.1792394991505</v>
      </c>
      <c r="P297" s="566">
        <f>VLOOKUP($A297,'01-02.2021'!$A$6:$CZ$403,16,FALSE)+VLOOKUP($A297,'1.3.21-28.2.22'!$A$6:$DA$404,16,FALSE)-VLOOKUP($A297,'01-02.2022'!$A$6:$DA$376,16,FALSE)</f>
        <v>2017.1600000000005</v>
      </c>
      <c r="Q297" s="70">
        <f t="shared" si="324"/>
        <v>-1.923949914998957E-2</v>
      </c>
      <c r="R297" s="566">
        <f>VLOOKUP($A297,'01-02.2021'!$A$6:$CZ$403,18,FALSE)+VLOOKUP($A297,'1.3.21-28.2.22'!$A$6:$DA$404,18,FALSE)-VLOOKUP($A297,'01-02.2022'!$A$6:$DA$376,18,FALSE)</f>
        <v>0</v>
      </c>
      <c r="S297" s="566">
        <f>VLOOKUP($A297,'01-02.2021'!$A$6:$CZ$403,19,FALSE)+VLOOKUP($A297,'1.3.21-28.2.22'!$A$6:$DA$404,19,FALSE)-VLOOKUP($A297,'01-02.2022'!$A$6:$DA$376,19,FALSE)</f>
        <v>0</v>
      </c>
      <c r="T297" s="70">
        <f t="shared" si="325"/>
        <v>0</v>
      </c>
      <c r="U297" s="566">
        <f>VLOOKUP($A297,'01-02.2021'!$A$6:$CZ$403,21,FALSE)+VLOOKUP($A297,'1.3.21-28.2.22'!$A$6:$DA$404,21,FALSE)-VLOOKUP($A297,'01-02.2022'!$A$6:$DA$376,21,FALSE)</f>
        <v>0</v>
      </c>
      <c r="V297" s="566">
        <f>VLOOKUP($A297,'01-02.2021'!$A$6:$CZ$403,22,FALSE)+VLOOKUP($A297,'1.3.21-28.2.22'!$A$6:$DA$404,22,FALSE)-VLOOKUP($A297,'01-02.2022'!$A$6:$DA$376,22,FALSE)</f>
        <v>0</v>
      </c>
      <c r="W297" s="70">
        <f t="shared" si="326"/>
        <v>0</v>
      </c>
      <c r="X297" s="566">
        <f>VLOOKUP($A297,'01-02.2021'!$A$6:$CZ$403,24,FALSE)+VLOOKUP($A297,'1.3.21-28.2.22'!$A$6:$DA$404,24,FALSE)-VLOOKUP($A297,'01-02.2022'!$A$6:$DA$376,24,FALSE)</f>
        <v>2390.7535623657132</v>
      </c>
      <c r="Y297" s="566">
        <f>VLOOKUP($A297,'01-02.2021'!$A$6:$CZ$403,25,FALSE)+VLOOKUP($A297,'1.3.21-28.2.22'!$A$6:$DA$404,25,FALSE)-VLOOKUP($A297,'01-02.2022'!$A$6:$DA$376,25,FALSE)</f>
        <v>1824.5650590877285</v>
      </c>
      <c r="Z297" s="70">
        <f t="shared" si="327"/>
        <v>-566.18850327798464</v>
      </c>
      <c r="AA297" s="566">
        <f>VLOOKUP($A297,'01-02.2021'!$A$6:$CZ$403,27,FALSE)+VLOOKUP($A297,'1.3.21-28.2.22'!$A$6:$DA$404,27,FALSE)-VLOOKUP($A297,'01-02.2022'!$A$6:$DA$376,27,FALSE)</f>
        <v>300.91999999999996</v>
      </c>
      <c r="AB297" s="566">
        <f>VLOOKUP($A297,'01-02.2021'!$A$6:$CZ$403,28,FALSE)+VLOOKUP($A297,'1.3.21-28.2.22'!$A$6:$DA$404,28,FALSE)-VLOOKUP($A297,'01-02.2022'!$A$6:$DA$376,28,FALSE)</f>
        <v>0</v>
      </c>
      <c r="AC297" s="70">
        <f t="shared" si="328"/>
        <v>-300.91999999999996</v>
      </c>
      <c r="AD297" s="566">
        <f>VLOOKUP($A297,'01-02.2021'!$A$6:$CZ$403,30,FALSE)+VLOOKUP($A297,'1.3.21-28.2.22'!$A$6:$DA$404,30,FALSE)-VLOOKUP($A297,'01-02.2022'!$A$6:$DA$376,30,FALSE)</f>
        <v>6462.1984645475204</v>
      </c>
      <c r="AE297" s="566">
        <f>VLOOKUP($A297,'01-02.2021'!$A$6:$CZ$403,31,FALSE)+VLOOKUP($A297,'1.3.21-28.2.22'!$A$6:$DA$404,31,FALSE)-VLOOKUP($A297,'01-02.2022'!$A$6:$DA$376,31,FALSE)</f>
        <v>6848.0894156614368</v>
      </c>
      <c r="AF297" s="68">
        <f t="shared" si="329"/>
        <v>385.89095111391634</v>
      </c>
      <c r="AG297" s="77">
        <f t="shared" si="297"/>
        <v>17604.693040799757</v>
      </c>
      <c r="AH297" s="53">
        <f t="shared" si="297"/>
        <v>17851.986168546468</v>
      </c>
      <c r="AI297" s="52">
        <f t="shared" si="302"/>
        <v>247.29312774671052</v>
      </c>
      <c r="AJ297" s="566">
        <f>VLOOKUP($A297,'01-02.2021'!$A$6:$CZ$403,36,FALSE)+VLOOKUP($A297,'1.3.21-28.2.22'!$A$6:$DA$404,36,FALSE)-VLOOKUP($A297,'01-02.2022'!$A$6:$DA$376,36,FALSE)</f>
        <v>0</v>
      </c>
      <c r="AK297" s="566">
        <f>VLOOKUP($A297,'01-02.2021'!$A$6:$CZ$403,37,FALSE)+VLOOKUP($A297,'1.3.21-28.2.22'!$A$6:$DA$404,37,FALSE)-VLOOKUP($A297,'01-02.2022'!$A$6:$DA$376,37,FALSE)</f>
        <v>0</v>
      </c>
      <c r="AL297" s="70">
        <f t="shared" si="330"/>
        <v>0</v>
      </c>
      <c r="AM297" s="566">
        <f>VLOOKUP($A297,'01-02.2021'!$A$6:$CZ$403,39,FALSE)+VLOOKUP($A297,'1.3.21-28.2.22'!$A$6:$DA$404,39,FALSE)-VLOOKUP($A297,'01-02.2022'!$A$6:$DA$376,39,FALSE)</f>
        <v>0</v>
      </c>
      <c r="AN297" s="566">
        <f>VLOOKUP($A297,'01-02.2021'!$A$6:$CZ$403,40,FALSE)+VLOOKUP($A297,'1.3.21-28.2.22'!$A$6:$DA$404,40,FALSE)-VLOOKUP($A297,'01-02.2022'!$A$6:$DA$376,40,FALSE)</f>
        <v>0</v>
      </c>
      <c r="AO297" s="70">
        <f t="shared" si="331"/>
        <v>0</v>
      </c>
      <c r="AP297" s="566">
        <f>VLOOKUP($A297,'01-02.2021'!$A$6:$CZ$403,42,FALSE)+VLOOKUP($A297,'1.3.21-28.2.22'!$A$6:$DA$404,42,FALSE)-VLOOKUP($A297,'01-02.2022'!$A$6:$DA$376,42,FALSE)</f>
        <v>4164.4794001022183</v>
      </c>
      <c r="AQ297" s="566">
        <f>VLOOKUP($A297,'01-02.2021'!$A$6:$CZ$403,43,FALSE)+VLOOKUP($A297,'1.3.21-28.2.22'!$A$6:$DA$404,43,FALSE)-VLOOKUP($A297,'01-02.2022'!$A$6:$DA$376,43,FALSE)</f>
        <v>3540.9549426399972</v>
      </c>
      <c r="AR297" s="70">
        <f t="shared" si="332"/>
        <v>-623.52445746222111</v>
      </c>
      <c r="AS297" s="566">
        <f>VLOOKUP($A297,'01-02.2021'!$A$6:$CZ$403,45,FALSE)+VLOOKUP($A297,'1.3.21-28.2.22'!$A$6:$DA$404,45,FALSE)-VLOOKUP($A297,'01-02.2022'!$A$6:$DA$376,45,FALSE)</f>
        <v>12457.765303793927</v>
      </c>
      <c r="AT297" s="566">
        <f>VLOOKUP($A297,'01-02.2021'!$A$6:$CZ$403,46,FALSE)+VLOOKUP($A297,'1.3.21-28.2.22'!$A$6:$DA$404,46,FALSE)-VLOOKUP($A297,'01-02.2022'!$A$6:$DA$376,46,FALSE)</f>
        <v>29339.43</v>
      </c>
      <c r="AU297" s="78">
        <f t="shared" si="333"/>
        <v>16881.664696206073</v>
      </c>
      <c r="AV297" s="566">
        <f>VLOOKUP($A297,'01-02.2021'!$A$6:$CZ$403,48,FALSE)+VLOOKUP($A297,'1.3.21-28.2.22'!$A$6:$DA$404,48,FALSE)-VLOOKUP($A297,'01-02.2022'!$A$6:$DA$376,48,FALSE)</f>
        <v>1484.1174487808032</v>
      </c>
      <c r="AW297" s="566">
        <f>VLOOKUP($A297,'01-02.2021'!$A$6:$CZ$403,49,FALSE)+VLOOKUP($A297,'1.3.21-28.2.22'!$A$6:$DA$404,49,FALSE)-VLOOKUP($A297,'01-02.2022'!$A$6:$DA$376,49,FALSE)</f>
        <v>1748</v>
      </c>
      <c r="AX297" s="55">
        <f t="shared" si="334"/>
        <v>263.88255121919678</v>
      </c>
      <c r="AY297" s="566">
        <f>VLOOKUP($A297,'01-02.2021'!$A$6:$CZ$403,51,FALSE)+VLOOKUP($A297,'1.3.21-28.2.22'!$A$6:$DA$404,51,FALSE)-VLOOKUP($A297,'01-02.2022'!$A$6:$DA$376,51,FALSE)</f>
        <v>1989.1786083919574</v>
      </c>
      <c r="AZ297" s="566">
        <f>VLOOKUP($A297,'01-02.2021'!$A$6:$CZ$403,52,FALSE)+VLOOKUP($A297,'1.3.21-28.2.22'!$A$6:$DA$404,52,FALSE)-VLOOKUP($A297,'01-02.2022'!$A$6:$DA$376,52,FALSE)</f>
        <v>1885</v>
      </c>
      <c r="BA297" s="38">
        <f t="shared" si="335"/>
        <v>-104.17860839195737</v>
      </c>
      <c r="BB297" s="566">
        <f>VLOOKUP($A297,'01-02.2021'!$A$6:$CZ$403,54,FALSE)+VLOOKUP($A297,'1.3.21-28.2.22'!$A$6:$DA$404,54,FALSE)-VLOOKUP($A297,'01-02.2022'!$A$6:$DA$376,54,FALSE)</f>
        <v>875.50271874927137</v>
      </c>
      <c r="BC297" s="566">
        <f>VLOOKUP($A297,'01-02.2021'!$A$6:$CZ$403,55,FALSE)+VLOOKUP($A297,'1.3.21-28.2.22'!$A$6:$DA$404,55,FALSE)-VLOOKUP($A297,'01-02.2022'!$A$6:$DA$376,55,FALSE)</f>
        <v>1226</v>
      </c>
      <c r="BD297" s="55">
        <f t="shared" si="336"/>
        <v>350.49728125072863</v>
      </c>
      <c r="BE297" s="566">
        <f>VLOOKUP($A297,'01-02.2021'!$A$6:$CZ$403,57,FALSE)+VLOOKUP($A297,'1.3.21-28.2.22'!$A$6:$DA$404,57,FALSE)-VLOOKUP($A297,'01-02.2022'!$A$6:$DA$376,57,FALSE)</f>
        <v>0</v>
      </c>
      <c r="BF297" s="566">
        <f>VLOOKUP($A297,'01-02.2021'!$A$6:$CZ$403,58,FALSE)+VLOOKUP($A297,'1.3.21-28.2.22'!$A$6:$DA$404,58,FALSE)-VLOOKUP($A297,'01-02.2022'!$A$6:$DA$376,58,FALSE)</f>
        <v>0</v>
      </c>
      <c r="BG297" s="55">
        <f t="shared" si="337"/>
        <v>0</v>
      </c>
      <c r="BH297" s="566">
        <f>VLOOKUP($A297,'01-02.2021'!$A$6:$CZ$403,60,FALSE)+VLOOKUP($A297,'1.3.21-28.2.22'!$A$6:$DA$404,60,FALSE)-VLOOKUP($A297,'01-02.2022'!$A$6:$DA$376,60,FALSE)</f>
        <v>0</v>
      </c>
      <c r="BI297" s="566">
        <f>VLOOKUP($A297,'01-02.2021'!$A$6:$CZ$403,61,FALSE)+VLOOKUP($A297,'1.3.21-28.2.22'!$A$6:$DA$404,61,FALSE)-VLOOKUP($A297,'01-02.2022'!$A$6:$DA$376,61,FALSE)</f>
        <v>0</v>
      </c>
      <c r="BJ297" s="55">
        <f t="shared" si="338"/>
        <v>0</v>
      </c>
      <c r="BK297" s="566">
        <f>VLOOKUP($A297,'01-02.2021'!$A$6:$CZ$403,63,FALSE)+VLOOKUP($A297,'1.3.21-28.2.22'!$A$6:$DA$404,63,FALSE)-VLOOKUP($A297,'01-02.2022'!$A$6:$DA$376,63,FALSE)</f>
        <v>540.71634939385319</v>
      </c>
      <c r="BL297" s="566">
        <f>VLOOKUP($A297,'01-02.2021'!$A$6:$CZ$403,64,FALSE)+VLOOKUP($A297,'1.3.21-28.2.22'!$A$6:$DA$404,64,FALSE)-VLOOKUP($A297,'01-02.2022'!$A$6:$DA$376,64,FALSE)</f>
        <v>0</v>
      </c>
      <c r="BM297" s="55">
        <f t="shared" si="339"/>
        <v>-540.71634939385319</v>
      </c>
      <c r="BN297" s="566">
        <f>VLOOKUP($A297,'01-02.2021'!$A$6:$CZ$403,66,FALSE)+VLOOKUP($A297,'1.3.21-28.2.22'!$A$6:$DA$404,66,FALSE)-VLOOKUP($A297,'01-02.2022'!$A$6:$DA$376,66,FALSE)</f>
        <v>75.22999999999999</v>
      </c>
      <c r="BO297" s="566">
        <f>VLOOKUP($A297,'01-02.2021'!$A$6:$CZ$403,67,FALSE)+VLOOKUP($A297,'1.3.21-28.2.22'!$A$6:$DA$404,67,FALSE)-VLOOKUP($A297,'01-02.2022'!$A$6:$DA$376,67,FALSE)</f>
        <v>0</v>
      </c>
      <c r="BP297" s="55">
        <f t="shared" si="340"/>
        <v>-75.22999999999999</v>
      </c>
      <c r="BQ297" s="77">
        <f t="shared" si="348"/>
        <v>4964.7451253158852</v>
      </c>
      <c r="BR297" s="40">
        <f t="shared" si="349"/>
        <v>4859</v>
      </c>
      <c r="BS297" s="55">
        <f t="shared" si="314"/>
        <v>-105.74512531588516</v>
      </c>
      <c r="BT297" s="566">
        <f>VLOOKUP($A297,'01-02.2021'!$A$6:$CZ$403,72,FALSE)+VLOOKUP($A297,'1.3.21-28.2.22'!$A$6:$DA$404,72,FALSE)-VLOOKUP($A297,'01-02.2022'!$A$6:$DA$376,72,FALSE)</f>
        <v>18437.301376057316</v>
      </c>
      <c r="BU297" s="566">
        <f>VLOOKUP($A297,'01-02.2021'!$A$6:$CZ$403,73,FALSE)+VLOOKUP($A297,'1.3.21-28.2.22'!$A$6:$DA$404,73,FALSE)-VLOOKUP($A297,'01-02.2022'!$A$6:$DA$376,73,FALSE)</f>
        <v>20851.41293162898</v>
      </c>
      <c r="BV297" s="70">
        <f t="shared" si="341"/>
        <v>2414.1115555716642</v>
      </c>
      <c r="BW297" s="566">
        <f>VLOOKUP($A297,'01-02.2021'!$A$6:$CZ$403,75,FALSE)+VLOOKUP($A297,'1.3.21-28.2.22'!$A$6:$DA$404,75,FALSE)-VLOOKUP($A297,'01-02.2022'!$A$6:$DA$376,75,FALSE)</f>
        <v>6261.0118399063904</v>
      </c>
      <c r="BX297" s="566">
        <f>VLOOKUP($A297,'01-02.2021'!$A$6:$CZ$403,76,FALSE)+VLOOKUP($A297,'1.3.21-28.2.22'!$A$6:$DA$404,76,FALSE)-VLOOKUP($A297,'01-02.2022'!$A$6:$DA$376,76,FALSE)</f>
        <v>6547.9157103994612</v>
      </c>
      <c r="BY297" s="70">
        <f t="shared" si="342"/>
        <v>286.90387049307083</v>
      </c>
      <c r="BZ297" s="566">
        <f>VLOOKUP($A297,'01-02.2021'!$A$6:$CZ$403,78,FALSE)+VLOOKUP($A297,'1.3.21-28.2.22'!$A$6:$DA$404,78,FALSE)-VLOOKUP($A297,'01-02.2022'!$A$6:$DA$376,78,FALSE)</f>
        <v>6205.9374838389776</v>
      </c>
      <c r="CA297" s="566">
        <f>VLOOKUP($A297,'01-02.2021'!$A$6:$CZ$403,79,FALSE)+VLOOKUP($A297,'1.3.21-28.2.22'!$A$6:$DA$404,79,FALSE)-VLOOKUP($A297,'01-02.2022'!$A$6:$DA$376,79,FALSE)</f>
        <v>4349.7442971945475</v>
      </c>
      <c r="CB297" s="70">
        <f t="shared" si="343"/>
        <v>-1856.1931866444302</v>
      </c>
      <c r="CC297" s="566">
        <f>VLOOKUP($A297,'01-02.2021'!$A$6:$CZ$403,81,FALSE)+VLOOKUP($A297,'1.3.21-28.2.22'!$A$6:$DA$404,81,FALSE)-VLOOKUP($A297,'01-02.2022'!$A$6:$DA$376,81,FALSE)</f>
        <v>793.21188238655577</v>
      </c>
      <c r="CD297" s="566">
        <f>VLOOKUP($A297,'01-02.2021'!$A$6:$CZ$403,82,FALSE)+VLOOKUP($A297,'1.3.21-28.2.22'!$A$6:$DA$404,82,FALSE)-VLOOKUP($A297,'01-02.2022'!$A$6:$DA$376,82,FALSE)</f>
        <v>866.97505047384084</v>
      </c>
      <c r="CE297" s="70">
        <f t="shared" si="344"/>
        <v>73.763168087285067</v>
      </c>
      <c r="CF297" s="566">
        <f>VLOOKUP($A297,'01-02.2021'!$A$6:$CZ$403,84,FALSE)+VLOOKUP($A297,'1.3.21-28.2.22'!$A$6:$DA$404,84,FALSE)-VLOOKUP($A297,'01-02.2022'!$A$6:$DA$376,84,FALSE)</f>
        <v>96.43124372668305</v>
      </c>
      <c r="CG297" s="566">
        <f>VLOOKUP($A297,'01-02.2021'!$A$6:$CZ$403,85,FALSE)+VLOOKUP($A297,'1.3.21-28.2.22'!$A$6:$DA$404,85,FALSE)-VLOOKUP($A297,'01-02.2022'!$A$6:$DA$376,85,FALSE)</f>
        <v>0</v>
      </c>
      <c r="CH297" s="70">
        <f t="shared" si="345"/>
        <v>-96.43124372668305</v>
      </c>
      <c r="CI297" s="566">
        <f>VLOOKUP($A297,'01-02.2021'!$A$6:$CZ$403,87,FALSE)+VLOOKUP($A297,'1.3.21-28.2.22'!$A$6:$DA$404,87,FALSE)-VLOOKUP($A297,'01-02.2022'!$A$6:$DA$376,87,FALSE)</f>
        <v>3595.765918191727</v>
      </c>
      <c r="CJ297" s="566">
        <f>VLOOKUP($A297,'01-02.2021'!$A$6:$CZ$403,88,FALSE)+VLOOKUP($A297,'1.3.21-28.2.22'!$A$6:$DA$404,88,FALSE)-VLOOKUP($A297,'01-02.2022'!$A$6:$DA$376,88,FALSE)</f>
        <v>3133.2545901910994</v>
      </c>
      <c r="CK297" s="70">
        <f t="shared" si="346"/>
        <v>-462.5113280006276</v>
      </c>
      <c r="CL297" s="566">
        <f>VLOOKUP($A297,'01-02.2021'!$A$6:$CZ$403,90,FALSE)+VLOOKUP($A297,'1.3.21-28.2.22'!$A$6:$DA$404,90,FALSE)-VLOOKUP($A297,'01-02.2022'!$A$6:$DA$376,90,FALSE)</f>
        <v>0</v>
      </c>
      <c r="CM297" s="566">
        <f>VLOOKUP($A297,'01-02.2021'!$A$6:$CZ$403,91,FALSE)+VLOOKUP($A297,'1.3.21-28.2.22'!$A$6:$DA$404,91,FALSE)-VLOOKUP($A297,'01-02.2022'!$A$6:$DA$376,91,FALSE)</f>
        <v>0</v>
      </c>
      <c r="CN297" s="52">
        <f t="shared" si="303"/>
        <v>0</v>
      </c>
      <c r="CO297" s="39">
        <f t="shared" si="298"/>
        <v>3595.765918191727</v>
      </c>
      <c r="CP297" s="40">
        <f t="shared" si="304"/>
        <v>3133.2545901910994</v>
      </c>
      <c r="CQ297" s="52">
        <f t="shared" si="305"/>
        <v>-462.5113280006276</v>
      </c>
      <c r="CR297" s="72">
        <f t="shared" si="299"/>
        <v>74581.342614119436</v>
      </c>
      <c r="CS297" s="5">
        <f t="shared" si="299"/>
        <v>91340.673691074393</v>
      </c>
      <c r="CT297" s="52">
        <f t="shared" si="306"/>
        <v>16759.331076954957</v>
      </c>
      <c r="CU297" s="77">
        <f t="shared" si="307"/>
        <v>89497.61113694332</v>
      </c>
      <c r="CV297" s="65">
        <f t="shared" si="308"/>
        <v>109608.80842928927</v>
      </c>
      <c r="CW297" s="35">
        <f t="shared" si="309"/>
        <v>20111.197292345954</v>
      </c>
      <c r="CX297" s="566">
        <f>VLOOKUP($A297,'01-02.2021'!$A$6:$CZ$403,102,FALSE)+VLOOKUP($A297,'1.3.21-28.2.22'!$A$6:$DA$404,102,FALSE)-VLOOKUP($A297,'01-02.2022'!$A$6:$DA$376,102,FALSE)</f>
        <v>3123.8740247844648</v>
      </c>
      <c r="CY297" s="566">
        <f>VLOOKUP($A297,'01-02.2021'!$A$6:$CZ$403,103,FALSE)+VLOOKUP($A297,'1.3.21-28.2.22'!$A$6:$DA$404,103,FALSE)-VLOOKUP($A297,'01-02.2022'!$A$6:$DA$376,103,FALSE)</f>
        <v>-16987.323267561478</v>
      </c>
      <c r="CZ297" s="52">
        <f t="shared" si="310"/>
        <v>-20111.197292345943</v>
      </c>
      <c r="DA297" s="150">
        <f>'[2]побудинковий звіт'!DA297</f>
        <v>-3260.8906695012338</v>
      </c>
      <c r="DB297" s="2">
        <v>2</v>
      </c>
      <c r="DC297" s="414">
        <f>'[4]побудинковий звіт'!DC297</f>
        <v>7243.82</v>
      </c>
      <c r="DD297" s="414">
        <f>'[4]побудинковий звіт'!DD297</f>
        <v>0</v>
      </c>
      <c r="DE297" s="557">
        <f>'[4]побудинковий звіт'!DE297</f>
        <v>-1155.1587815245239</v>
      </c>
      <c r="DF297" s="557">
        <f>'[4]побудинковий звіт'!DF297</f>
        <v>0</v>
      </c>
      <c r="DG297" s="321">
        <f>VLOOKUP(A297,'кошти 01.03.2021'!$A$6:$D$401,4,)</f>
        <v>-16101.463485385062</v>
      </c>
      <c r="DH297" s="40">
        <f>'[3]побудинковий звіт'!DJ297</f>
        <v>95838.917053276469</v>
      </c>
      <c r="DI297" s="422">
        <f>'[3]побудинковий звіт'!CU297+'[3]побудинковий звіт'!CX297</f>
        <v>8398.9787815245236</v>
      </c>
      <c r="DJ297" s="306">
        <f>'[3]побудинковий звіт'!DM297</f>
        <v>5.5829425561848733</v>
      </c>
      <c r="DK297" s="306">
        <f t="shared" si="350"/>
        <v>5.5829425561848733</v>
      </c>
      <c r="DL297" s="306">
        <f>'[3]побудинковий звіт'!DO297</f>
        <v>5.0687000046261232</v>
      </c>
      <c r="DM297" s="28">
        <f t="shared" si="351"/>
        <v>8398.9787815245236</v>
      </c>
      <c r="DN297" s="28">
        <f t="shared" si="352"/>
        <v>0</v>
      </c>
      <c r="DO297" s="423">
        <f t="shared" si="319"/>
        <v>8398.9787815245236</v>
      </c>
      <c r="DP297" s="94">
        <f t="shared" si="320"/>
        <v>0</v>
      </c>
      <c r="DQ297" s="28">
        <f t="shared" si="321"/>
        <v>8398.9787815245236</v>
      </c>
      <c r="DR297" s="318"/>
      <c r="DT297" s="8"/>
      <c r="DU297" s="5"/>
      <c r="DX297" s="5">
        <f t="shared" si="322"/>
        <v>20907.012514931772</v>
      </c>
      <c r="DY297" s="5">
        <f t="shared" si="323"/>
        <v>41038.116000000002</v>
      </c>
      <c r="DZ297" s="159">
        <f>'[3]побудинковий звіт'!EA297</f>
        <v>1882.4938620155544</v>
      </c>
    </row>
    <row r="298" spans="1:130" x14ac:dyDescent="0.3">
      <c r="A298" s="325">
        <v>150000741</v>
      </c>
      <c r="B298" s="41" t="s">
        <v>744</v>
      </c>
      <c r="C298" s="42" t="s">
        <v>225</v>
      </c>
      <c r="D298" s="42"/>
      <c r="E298" s="293">
        <f t="shared" si="296"/>
        <v>2594.3000000000002</v>
      </c>
      <c r="F298" s="305">
        <f>'[3]побудинковий звіт'!F298</f>
        <v>2273.5</v>
      </c>
      <c r="G298" s="508">
        <f>'[3]побудинковий звіт'!G298</f>
        <v>0</v>
      </c>
      <c r="H298" s="560">
        <f>'[3]побудинковий звіт'!H298</f>
        <v>320.8</v>
      </c>
      <c r="I298" s="566">
        <f>VLOOKUP($A298,'01-02.2021'!$A$6:$CZ$403,9,FALSE)+VLOOKUP($A298,'1.3.21-28.2.22'!$A$6:$DA$404,9,FALSE)-VLOOKUP($A298,'01-02.2022'!$A$6:$DA$376,9,FALSE)</f>
        <v>9444.8626071031031</v>
      </c>
      <c r="J298" s="566">
        <f>VLOOKUP($A298,'01-02.2021'!$A$6:$CZ$403,10,FALSE)+VLOOKUP($A298,'1.3.21-28.2.22'!$A$6:$DA$404,10,FALSE)-VLOOKUP($A298,'01-02.2022'!$A$6:$DA$376,10,FALSE)</f>
        <v>10371.061891857134</v>
      </c>
      <c r="K298" s="52">
        <f t="shared" si="300"/>
        <v>926.1992847540314</v>
      </c>
      <c r="L298" s="566">
        <f>VLOOKUP($A298,'01-02.2021'!$A$6:$CZ$403,12,FALSE)+VLOOKUP($A298,'1.3.21-28.2.22'!$A$6:$DA$404,12,FALSE)-VLOOKUP($A298,'01-02.2022'!$A$6:$DA$376,12,FALSE)</f>
        <v>1533.0316310375676</v>
      </c>
      <c r="M298" s="566">
        <f>VLOOKUP($A298,'01-02.2021'!$A$6:$CZ$403,13,FALSE)+VLOOKUP($A298,'1.3.21-28.2.22'!$A$6:$DA$404,13,FALSE)-VLOOKUP($A298,'01-02.2022'!$A$6:$DA$376,13,FALSE)</f>
        <v>1687.9228396088902</v>
      </c>
      <c r="N298" s="52">
        <f t="shared" si="301"/>
        <v>154.89120857132252</v>
      </c>
      <c r="O298" s="566">
        <f>VLOOKUP($A298,'01-02.2021'!$A$6:$CZ$403,15,FALSE)+VLOOKUP($A298,'1.3.21-28.2.22'!$A$6:$DA$404,15,FALSE)-VLOOKUP($A298,'01-02.2022'!$A$6:$DA$376,15,FALSE)</f>
        <v>3336.5331651934503</v>
      </c>
      <c r="P298" s="566">
        <f>VLOOKUP($A298,'01-02.2021'!$A$6:$CZ$403,16,FALSE)+VLOOKUP($A298,'1.3.21-28.2.22'!$A$6:$DA$404,16,FALSE)-VLOOKUP($A298,'01-02.2022'!$A$6:$DA$376,16,FALSE)</f>
        <v>3336.5400000000009</v>
      </c>
      <c r="Q298" s="70">
        <f t="shared" si="324"/>
        <v>6.834806550614303E-3</v>
      </c>
      <c r="R298" s="566">
        <f>VLOOKUP($A298,'01-02.2021'!$A$6:$CZ$403,18,FALSE)+VLOOKUP($A298,'1.3.21-28.2.22'!$A$6:$DA$404,18,FALSE)-VLOOKUP($A298,'01-02.2022'!$A$6:$DA$376,18,FALSE)</f>
        <v>0</v>
      </c>
      <c r="S298" s="566">
        <f>VLOOKUP($A298,'01-02.2021'!$A$6:$CZ$403,19,FALSE)+VLOOKUP($A298,'1.3.21-28.2.22'!$A$6:$DA$404,19,FALSE)-VLOOKUP($A298,'01-02.2022'!$A$6:$DA$376,19,FALSE)</f>
        <v>0</v>
      </c>
      <c r="T298" s="70">
        <f t="shared" si="325"/>
        <v>0</v>
      </c>
      <c r="U298" s="566">
        <f>VLOOKUP($A298,'01-02.2021'!$A$6:$CZ$403,21,FALSE)+VLOOKUP($A298,'1.3.21-28.2.22'!$A$6:$DA$404,21,FALSE)-VLOOKUP($A298,'01-02.2022'!$A$6:$DA$376,21,FALSE)</f>
        <v>0</v>
      </c>
      <c r="V298" s="566">
        <f>VLOOKUP($A298,'01-02.2021'!$A$6:$CZ$403,22,FALSE)+VLOOKUP($A298,'1.3.21-28.2.22'!$A$6:$DA$404,22,FALSE)-VLOOKUP($A298,'01-02.2022'!$A$6:$DA$376,22,FALSE)</f>
        <v>0</v>
      </c>
      <c r="W298" s="70">
        <f t="shared" si="326"/>
        <v>0</v>
      </c>
      <c r="X298" s="566">
        <f>VLOOKUP($A298,'01-02.2021'!$A$6:$CZ$403,24,FALSE)+VLOOKUP($A298,'1.3.21-28.2.22'!$A$6:$DA$404,24,FALSE)-VLOOKUP($A298,'01-02.2022'!$A$6:$DA$376,24,FALSE)</f>
        <v>5673.063956452851</v>
      </c>
      <c r="Y298" s="566">
        <f>VLOOKUP($A298,'01-02.2021'!$A$6:$CZ$403,25,FALSE)+VLOOKUP($A298,'1.3.21-28.2.22'!$A$6:$DA$404,25,FALSE)-VLOOKUP($A298,'01-02.2022'!$A$6:$DA$376,25,FALSE)</f>
        <v>4496.729747131104</v>
      </c>
      <c r="Z298" s="70">
        <f t="shared" si="327"/>
        <v>-1176.334209321747</v>
      </c>
      <c r="AA298" s="566">
        <f>VLOOKUP($A298,'01-02.2021'!$A$6:$CZ$403,27,FALSE)+VLOOKUP($A298,'1.3.21-28.2.22'!$A$6:$DA$404,27,FALSE)-VLOOKUP($A298,'01-02.2022'!$A$6:$DA$376,27,FALSE)</f>
        <v>554.72</v>
      </c>
      <c r="AB298" s="566">
        <f>VLOOKUP($A298,'01-02.2021'!$A$6:$CZ$403,28,FALSE)+VLOOKUP($A298,'1.3.21-28.2.22'!$A$6:$DA$404,28,FALSE)-VLOOKUP($A298,'01-02.2022'!$A$6:$DA$376,28,FALSE)</f>
        <v>0</v>
      </c>
      <c r="AC298" s="70">
        <f t="shared" si="328"/>
        <v>-554.72</v>
      </c>
      <c r="AD298" s="566">
        <f>VLOOKUP($A298,'01-02.2021'!$A$6:$CZ$403,30,FALSE)+VLOOKUP($A298,'1.3.21-28.2.22'!$A$6:$DA$404,30,FALSE)-VLOOKUP($A298,'01-02.2022'!$A$6:$DA$376,30,FALSE)</f>
        <v>11416.902401591838</v>
      </c>
      <c r="AE298" s="566">
        <f>VLOOKUP($A298,'01-02.2021'!$A$6:$CZ$403,31,FALSE)+VLOOKUP($A298,'1.3.21-28.2.22'!$A$6:$DA$404,31,FALSE)-VLOOKUP($A298,'01-02.2022'!$A$6:$DA$376,31,FALSE)</f>
        <v>11816.381013653057</v>
      </c>
      <c r="AF298" s="68">
        <f t="shared" si="329"/>
        <v>399.47861206121888</v>
      </c>
      <c r="AG298" s="77">
        <f t="shared" si="297"/>
        <v>31959.113761378809</v>
      </c>
      <c r="AH298" s="53">
        <f t="shared" si="297"/>
        <v>31708.635492250185</v>
      </c>
      <c r="AI298" s="52">
        <f t="shared" si="302"/>
        <v>-250.47826912862365</v>
      </c>
      <c r="AJ298" s="566">
        <f>VLOOKUP($A298,'01-02.2021'!$A$6:$CZ$403,36,FALSE)+VLOOKUP($A298,'1.3.21-28.2.22'!$A$6:$DA$404,36,FALSE)-VLOOKUP($A298,'01-02.2022'!$A$6:$DA$376,36,FALSE)</f>
        <v>0</v>
      </c>
      <c r="AK298" s="566">
        <f>VLOOKUP($A298,'01-02.2021'!$A$6:$CZ$403,37,FALSE)+VLOOKUP($A298,'1.3.21-28.2.22'!$A$6:$DA$404,37,FALSE)-VLOOKUP($A298,'01-02.2022'!$A$6:$DA$376,37,FALSE)</f>
        <v>0</v>
      </c>
      <c r="AL298" s="70">
        <f t="shared" si="330"/>
        <v>0</v>
      </c>
      <c r="AM298" s="566">
        <f>VLOOKUP($A298,'01-02.2021'!$A$6:$CZ$403,39,FALSE)+VLOOKUP($A298,'1.3.21-28.2.22'!$A$6:$DA$404,39,FALSE)-VLOOKUP($A298,'01-02.2022'!$A$6:$DA$376,39,FALSE)</f>
        <v>0</v>
      </c>
      <c r="AN298" s="566">
        <f>VLOOKUP($A298,'01-02.2021'!$A$6:$CZ$403,40,FALSE)+VLOOKUP($A298,'1.3.21-28.2.22'!$A$6:$DA$404,40,FALSE)-VLOOKUP($A298,'01-02.2022'!$A$6:$DA$376,40,FALSE)</f>
        <v>0</v>
      </c>
      <c r="AO298" s="70">
        <f t="shared" si="331"/>
        <v>0</v>
      </c>
      <c r="AP298" s="566">
        <f>VLOOKUP($A298,'01-02.2021'!$A$6:$CZ$403,42,FALSE)+VLOOKUP($A298,'1.3.21-28.2.22'!$A$6:$DA$404,42,FALSE)-VLOOKUP($A298,'01-02.2022'!$A$6:$DA$376,42,FALSE)</f>
        <v>7287.8389501788824</v>
      </c>
      <c r="AQ298" s="566">
        <f>VLOOKUP($A298,'01-02.2021'!$A$6:$CZ$403,43,FALSE)+VLOOKUP($A298,'1.3.21-28.2.22'!$A$6:$DA$404,43,FALSE)-VLOOKUP($A298,'01-02.2022'!$A$6:$DA$376,43,FALSE)</f>
        <v>5840.9216082229605</v>
      </c>
      <c r="AR298" s="70">
        <f t="shared" si="332"/>
        <v>-1446.917341955922</v>
      </c>
      <c r="AS298" s="566">
        <f>VLOOKUP($A298,'01-02.2021'!$A$6:$CZ$403,45,FALSE)+VLOOKUP($A298,'1.3.21-28.2.22'!$A$6:$DA$404,45,FALSE)-VLOOKUP($A298,'01-02.2022'!$A$6:$DA$376,45,FALSE)</f>
        <v>28672.089926857698</v>
      </c>
      <c r="AT298" s="566">
        <f>VLOOKUP($A298,'01-02.2021'!$A$6:$CZ$403,46,FALSE)+VLOOKUP($A298,'1.3.21-28.2.22'!$A$6:$DA$404,46,FALSE)-VLOOKUP($A298,'01-02.2022'!$A$6:$DA$376,46,FALSE)</f>
        <v>9022.73</v>
      </c>
      <c r="AU298" s="78">
        <f t="shared" si="333"/>
        <v>-19649.359926857698</v>
      </c>
      <c r="AV298" s="566">
        <f>VLOOKUP($A298,'01-02.2021'!$A$6:$CZ$403,48,FALSE)+VLOOKUP($A298,'1.3.21-28.2.22'!$A$6:$DA$404,48,FALSE)-VLOOKUP($A298,'01-02.2022'!$A$6:$DA$376,48,FALSE)</f>
        <v>2545.5855006045531</v>
      </c>
      <c r="AW298" s="566">
        <f>VLOOKUP($A298,'01-02.2021'!$A$6:$CZ$403,49,FALSE)+VLOOKUP($A298,'1.3.21-28.2.22'!$A$6:$DA$404,49,FALSE)-VLOOKUP($A298,'01-02.2022'!$A$6:$DA$376,49,FALSE)</f>
        <v>2818</v>
      </c>
      <c r="AX298" s="55">
        <f t="shared" si="334"/>
        <v>272.41449939544691</v>
      </c>
      <c r="AY298" s="566">
        <f>VLOOKUP($A298,'01-02.2021'!$A$6:$CZ$403,51,FALSE)+VLOOKUP($A298,'1.3.21-28.2.22'!$A$6:$DA$404,51,FALSE)-VLOOKUP($A298,'01-02.2022'!$A$6:$DA$376,51,FALSE)</f>
        <v>2881.5170326562511</v>
      </c>
      <c r="AZ298" s="566">
        <f>VLOOKUP($A298,'01-02.2021'!$A$6:$CZ$403,52,FALSE)+VLOOKUP($A298,'1.3.21-28.2.22'!$A$6:$DA$404,52,FALSE)-VLOOKUP($A298,'01-02.2022'!$A$6:$DA$376,52,FALSE)</f>
        <v>0</v>
      </c>
      <c r="BA298" s="38">
        <f t="shared" si="335"/>
        <v>-2881.5170326562511</v>
      </c>
      <c r="BB298" s="566">
        <f>VLOOKUP($A298,'01-02.2021'!$A$6:$CZ$403,54,FALSE)+VLOOKUP($A298,'1.3.21-28.2.22'!$A$6:$DA$404,54,FALSE)-VLOOKUP($A298,'01-02.2022'!$A$6:$DA$376,54,FALSE)</f>
        <v>1439.366352770428</v>
      </c>
      <c r="BC298" s="566">
        <f>VLOOKUP($A298,'01-02.2021'!$A$6:$CZ$403,55,FALSE)+VLOOKUP($A298,'1.3.21-28.2.22'!$A$6:$DA$404,55,FALSE)-VLOOKUP($A298,'01-02.2022'!$A$6:$DA$376,55,FALSE)</f>
        <v>0</v>
      </c>
      <c r="BD298" s="55">
        <f t="shared" si="336"/>
        <v>-1439.366352770428</v>
      </c>
      <c r="BE298" s="566">
        <f>VLOOKUP($A298,'01-02.2021'!$A$6:$CZ$403,57,FALSE)+VLOOKUP($A298,'1.3.21-28.2.22'!$A$6:$DA$404,57,FALSE)-VLOOKUP($A298,'01-02.2022'!$A$6:$DA$376,57,FALSE)</f>
        <v>0</v>
      </c>
      <c r="BF298" s="566">
        <f>VLOOKUP($A298,'01-02.2021'!$A$6:$CZ$403,58,FALSE)+VLOOKUP($A298,'1.3.21-28.2.22'!$A$6:$DA$404,58,FALSE)-VLOOKUP($A298,'01-02.2022'!$A$6:$DA$376,58,FALSE)</f>
        <v>0</v>
      </c>
      <c r="BG298" s="55">
        <f t="shared" si="337"/>
        <v>0</v>
      </c>
      <c r="BH298" s="566">
        <f>VLOOKUP($A298,'01-02.2021'!$A$6:$CZ$403,60,FALSE)+VLOOKUP($A298,'1.3.21-28.2.22'!$A$6:$DA$404,60,FALSE)-VLOOKUP($A298,'01-02.2022'!$A$6:$DA$376,60,FALSE)</f>
        <v>0</v>
      </c>
      <c r="BI298" s="566">
        <f>VLOOKUP($A298,'01-02.2021'!$A$6:$CZ$403,61,FALSE)+VLOOKUP($A298,'1.3.21-28.2.22'!$A$6:$DA$404,61,FALSE)-VLOOKUP($A298,'01-02.2022'!$A$6:$DA$376,61,FALSE)</f>
        <v>0</v>
      </c>
      <c r="BJ298" s="55">
        <f t="shared" si="338"/>
        <v>0</v>
      </c>
      <c r="BK298" s="566">
        <f>VLOOKUP($A298,'01-02.2021'!$A$6:$CZ$403,63,FALSE)+VLOOKUP($A298,'1.3.21-28.2.22'!$A$6:$DA$404,63,FALSE)-VLOOKUP($A298,'01-02.2022'!$A$6:$DA$376,63,FALSE)</f>
        <v>1735.5481060264133</v>
      </c>
      <c r="BL298" s="566">
        <f>VLOOKUP($A298,'01-02.2021'!$A$6:$CZ$403,64,FALSE)+VLOOKUP($A298,'1.3.21-28.2.22'!$A$6:$DA$404,64,FALSE)-VLOOKUP($A298,'01-02.2022'!$A$6:$DA$376,64,FALSE)</f>
        <v>702</v>
      </c>
      <c r="BM298" s="55">
        <f t="shared" si="339"/>
        <v>-1033.5481060264133</v>
      </c>
      <c r="BN298" s="566">
        <f>VLOOKUP($A298,'01-02.2021'!$A$6:$CZ$403,66,FALSE)+VLOOKUP($A298,'1.3.21-28.2.22'!$A$6:$DA$404,66,FALSE)-VLOOKUP($A298,'01-02.2022'!$A$6:$DA$376,66,FALSE)</f>
        <v>138.68</v>
      </c>
      <c r="BO298" s="566">
        <f>VLOOKUP($A298,'01-02.2021'!$A$6:$CZ$403,67,FALSE)+VLOOKUP($A298,'1.3.21-28.2.22'!$A$6:$DA$404,67,FALSE)-VLOOKUP($A298,'01-02.2022'!$A$6:$DA$376,67,FALSE)</f>
        <v>0</v>
      </c>
      <c r="BP298" s="55">
        <f t="shared" si="340"/>
        <v>-138.68</v>
      </c>
      <c r="BQ298" s="77">
        <f t="shared" si="348"/>
        <v>8740.6969920576466</v>
      </c>
      <c r="BR298" s="40">
        <f t="shared" si="349"/>
        <v>3520</v>
      </c>
      <c r="BS298" s="55">
        <f t="shared" si="314"/>
        <v>-5220.6969920576466</v>
      </c>
      <c r="BT298" s="566">
        <f>VLOOKUP($A298,'01-02.2021'!$A$6:$CZ$403,72,FALSE)+VLOOKUP($A298,'1.3.21-28.2.22'!$A$6:$DA$404,72,FALSE)-VLOOKUP($A298,'01-02.2022'!$A$6:$DA$376,72,FALSE)</f>
        <v>24255.327758210966</v>
      </c>
      <c r="BU298" s="566">
        <f>VLOOKUP($A298,'01-02.2021'!$A$6:$CZ$403,73,FALSE)+VLOOKUP($A298,'1.3.21-28.2.22'!$A$6:$DA$404,73,FALSE)-VLOOKUP($A298,'01-02.2022'!$A$6:$DA$376,73,FALSE)</f>
        <v>28622.969800884741</v>
      </c>
      <c r="BV298" s="70">
        <f t="shared" si="341"/>
        <v>4367.642042673775</v>
      </c>
      <c r="BW298" s="566">
        <f>VLOOKUP($A298,'01-02.2021'!$A$6:$CZ$403,75,FALSE)+VLOOKUP($A298,'1.3.21-28.2.22'!$A$6:$DA$404,75,FALSE)-VLOOKUP($A298,'01-02.2022'!$A$6:$DA$376,75,FALSE)</f>
        <v>14893.081325737223</v>
      </c>
      <c r="BX298" s="566">
        <f>VLOOKUP($A298,'01-02.2021'!$A$6:$CZ$403,76,FALSE)+VLOOKUP($A298,'1.3.21-28.2.22'!$A$6:$DA$404,76,FALSE)-VLOOKUP($A298,'01-02.2022'!$A$6:$DA$376,76,FALSE)</f>
        <v>14625.493852259169</v>
      </c>
      <c r="BY298" s="70">
        <f t="shared" si="342"/>
        <v>-267.58747347805365</v>
      </c>
      <c r="BZ298" s="566">
        <f>VLOOKUP($A298,'01-02.2021'!$A$6:$CZ$403,78,FALSE)+VLOOKUP($A298,'1.3.21-28.2.22'!$A$6:$DA$404,78,FALSE)-VLOOKUP($A298,'01-02.2022'!$A$6:$DA$376,78,FALSE)</f>
        <v>8279.7047086244038</v>
      </c>
      <c r="CA298" s="566">
        <f>VLOOKUP($A298,'01-02.2021'!$A$6:$CZ$403,79,FALSE)+VLOOKUP($A298,'1.3.21-28.2.22'!$A$6:$DA$404,79,FALSE)-VLOOKUP($A298,'01-02.2022'!$A$6:$DA$376,79,FALSE)</f>
        <v>7450.8006585134617</v>
      </c>
      <c r="CB298" s="70">
        <f t="shared" si="343"/>
        <v>-828.90405011094208</v>
      </c>
      <c r="CC298" s="566">
        <f>VLOOKUP($A298,'01-02.2021'!$A$6:$CZ$403,81,FALSE)+VLOOKUP($A298,'1.3.21-28.2.22'!$A$6:$DA$404,81,FALSE)-VLOOKUP($A298,'01-02.2022'!$A$6:$DA$376,81,FALSE)</f>
        <v>0</v>
      </c>
      <c r="CD298" s="566">
        <f>VLOOKUP($A298,'01-02.2021'!$A$6:$CZ$403,82,FALSE)+VLOOKUP($A298,'1.3.21-28.2.22'!$A$6:$DA$404,82,FALSE)-VLOOKUP($A298,'01-02.2022'!$A$6:$DA$376,82,FALSE)</f>
        <v>0</v>
      </c>
      <c r="CE298" s="70">
        <f t="shared" si="344"/>
        <v>0</v>
      </c>
      <c r="CF298" s="566">
        <f>VLOOKUP($A298,'01-02.2021'!$A$6:$CZ$403,84,FALSE)+VLOOKUP($A298,'1.3.21-28.2.22'!$A$6:$DA$404,84,FALSE)-VLOOKUP($A298,'01-02.2022'!$A$6:$DA$376,84,FALSE)</f>
        <v>0</v>
      </c>
      <c r="CG298" s="566">
        <f>VLOOKUP($A298,'01-02.2021'!$A$6:$CZ$403,85,FALSE)+VLOOKUP($A298,'1.3.21-28.2.22'!$A$6:$DA$404,85,FALSE)-VLOOKUP($A298,'01-02.2022'!$A$6:$DA$376,85,FALSE)</f>
        <v>0</v>
      </c>
      <c r="CH298" s="70">
        <f t="shared" si="345"/>
        <v>0</v>
      </c>
      <c r="CI298" s="566">
        <f>VLOOKUP($A298,'01-02.2021'!$A$6:$CZ$403,87,FALSE)+VLOOKUP($A298,'1.3.21-28.2.22'!$A$6:$DA$404,87,FALSE)-VLOOKUP($A298,'01-02.2022'!$A$6:$DA$376,87,FALSE)</f>
        <v>1864.0829590958633</v>
      </c>
      <c r="CJ298" s="566">
        <f>VLOOKUP($A298,'01-02.2021'!$A$6:$CZ$403,88,FALSE)+VLOOKUP($A298,'1.3.21-28.2.22'!$A$6:$DA$404,88,FALSE)-VLOOKUP($A298,'01-02.2022'!$A$6:$DA$376,88,FALSE)</f>
        <v>1434.4761417198279</v>
      </c>
      <c r="CK298" s="70">
        <f t="shared" si="346"/>
        <v>-429.60681737603545</v>
      </c>
      <c r="CL298" s="566">
        <f>VLOOKUP($A298,'01-02.2021'!$A$6:$CZ$403,90,FALSE)+VLOOKUP($A298,'1.3.21-28.2.22'!$A$6:$DA$404,90,FALSE)-VLOOKUP($A298,'01-02.2022'!$A$6:$DA$376,90,FALSE)</f>
        <v>0</v>
      </c>
      <c r="CM298" s="566">
        <f>VLOOKUP($A298,'01-02.2021'!$A$6:$CZ$403,91,FALSE)+VLOOKUP($A298,'1.3.21-28.2.22'!$A$6:$DA$404,91,FALSE)-VLOOKUP($A298,'01-02.2022'!$A$6:$DA$376,91,FALSE)</f>
        <v>0</v>
      </c>
      <c r="CN298" s="52">
        <f t="shared" si="303"/>
        <v>0</v>
      </c>
      <c r="CO298" s="39">
        <f t="shared" si="298"/>
        <v>1864.0829590958633</v>
      </c>
      <c r="CP298" s="40">
        <f t="shared" si="304"/>
        <v>1434.4761417198279</v>
      </c>
      <c r="CQ298" s="52">
        <f t="shared" si="305"/>
        <v>-429.60681737603545</v>
      </c>
      <c r="CR298" s="72">
        <f t="shared" si="299"/>
        <v>125951.93638214147</v>
      </c>
      <c r="CS298" s="5">
        <f t="shared" si="299"/>
        <v>102226.02755385033</v>
      </c>
      <c r="CT298" s="52">
        <f t="shared" si="306"/>
        <v>-23725.90882829114</v>
      </c>
      <c r="CU298" s="77">
        <f t="shared" si="307"/>
        <v>151142.32365856977</v>
      </c>
      <c r="CV298" s="65">
        <f t="shared" si="308"/>
        <v>122671.23306462039</v>
      </c>
      <c r="CW298" s="35">
        <f t="shared" si="309"/>
        <v>-28471.090593949382</v>
      </c>
      <c r="CX298" s="566">
        <f>VLOOKUP($A298,'01-02.2021'!$A$6:$CZ$403,102,FALSE)+VLOOKUP($A298,'1.3.21-28.2.22'!$A$6:$DA$404,102,FALSE)-VLOOKUP($A298,'01-02.2022'!$A$6:$DA$376,102,FALSE)</f>
        <v>5336.7617425728249</v>
      </c>
      <c r="CY298" s="566">
        <f>VLOOKUP($A298,'01-02.2021'!$A$6:$CZ$403,103,FALSE)+VLOOKUP($A298,'1.3.21-28.2.22'!$A$6:$DA$404,103,FALSE)-VLOOKUP($A298,'01-02.2022'!$A$6:$DA$376,103,FALSE)</f>
        <v>33807.852336522192</v>
      </c>
      <c r="CZ298" s="52">
        <f t="shared" si="310"/>
        <v>28471.090593949368</v>
      </c>
      <c r="DA298" s="150">
        <f>'[2]побудинковий звіт'!DA298</f>
        <v>5141.0250369481328</v>
      </c>
      <c r="DB298" s="2">
        <v>2</v>
      </c>
      <c r="DC298" s="414">
        <f>'[4]побудинковий звіт'!DC298</f>
        <v>19421.2</v>
      </c>
      <c r="DD298" s="414">
        <f>'[4]побудинковий звіт'!DD298</f>
        <v>1810.0499999999997</v>
      </c>
      <c r="DE298" s="557">
        <f>'[4]побудинковий звіт'!DE298</f>
        <v>7052.3913054117475</v>
      </c>
      <c r="DF298" s="557">
        <f>'[4]побудинковий звіт'!DF298</f>
        <v>319.7226221944843</v>
      </c>
      <c r="DG298" s="321">
        <f>VLOOKUP(A298,'кошти 01.03.2021'!$A$6:$D$401,4,)</f>
        <v>26615.773950695191</v>
      </c>
      <c r="DH298" s="40">
        <f>'[3]побудинковий звіт'!DJ298</f>
        <v>160325.0436000996</v>
      </c>
      <c r="DI298" s="422">
        <f>'[3]побудинковий звіт'!CU298+'[3]побудинковий звіт'!CX298</f>
        <v>13859.136072393771</v>
      </c>
      <c r="DJ298" s="306">
        <f>'[3]побудинковий звіт'!DM298</f>
        <v>5.4404260807513758</v>
      </c>
      <c r="DK298" s="306">
        <f t="shared" si="350"/>
        <v>5.4404260807513758</v>
      </c>
      <c r="DL298" s="306">
        <f>'[3]побудинковий звіт'!DO298</f>
        <v>4.6456589083713071</v>
      </c>
      <c r="DM298" s="28">
        <f t="shared" si="351"/>
        <v>12368.808694588253</v>
      </c>
      <c r="DN298" s="28">
        <f t="shared" si="352"/>
        <v>1490.3273778055154</v>
      </c>
      <c r="DO298" s="423">
        <f t="shared" si="319"/>
        <v>13859.136072393769</v>
      </c>
      <c r="DP298" s="94">
        <f t="shared" si="320"/>
        <v>0</v>
      </c>
      <c r="DQ298" s="28">
        <f t="shared" si="321"/>
        <v>13859.136072393769</v>
      </c>
      <c r="DR298" s="318"/>
      <c r="DT298" s="8"/>
      <c r="DU298" s="5"/>
      <c r="DX298" s="5">
        <f t="shared" si="322"/>
        <v>44895.34430269841</v>
      </c>
      <c r="DY298" s="5">
        <f t="shared" si="323"/>
        <v>15051.275999999998</v>
      </c>
      <c r="DZ298" s="159">
        <f>'[3]побудинковий звіт'!EA298</f>
        <v>3929.501895188655</v>
      </c>
    </row>
    <row r="299" spans="1:130" x14ac:dyDescent="0.3">
      <c r="A299" s="325">
        <v>150000742</v>
      </c>
      <c r="B299" s="41" t="s">
        <v>745</v>
      </c>
      <c r="C299" s="42" t="s">
        <v>291</v>
      </c>
      <c r="D299" s="42"/>
      <c r="E299" s="293">
        <f t="shared" si="296"/>
        <v>1869.4</v>
      </c>
      <c r="F299" s="305">
        <f>'[3]побудинковий звіт'!F299</f>
        <v>1700.4</v>
      </c>
      <c r="G299" s="508">
        <f>'[3]побудинковий звіт'!G299</f>
        <v>0</v>
      </c>
      <c r="H299" s="560">
        <f>'[3]побудинковий звіт'!H299</f>
        <v>169</v>
      </c>
      <c r="I299" s="566">
        <f>VLOOKUP($A299,'01-02.2021'!$A$6:$CZ$403,9,FALSE)+VLOOKUP($A299,'1.3.21-28.2.22'!$A$6:$DA$404,9,FALSE)-VLOOKUP($A299,'01-02.2022'!$A$6:$DA$376,9,FALSE)</f>
        <v>5828.7194191128165</v>
      </c>
      <c r="J299" s="566">
        <f>VLOOKUP($A299,'01-02.2021'!$A$6:$CZ$403,10,FALSE)+VLOOKUP($A299,'1.3.21-28.2.22'!$A$6:$DA$404,10,FALSE)-VLOOKUP($A299,'01-02.2022'!$A$6:$DA$376,10,FALSE)</f>
        <v>6409.1995784439896</v>
      </c>
      <c r="K299" s="52">
        <f t="shared" si="300"/>
        <v>580.48015933117313</v>
      </c>
      <c r="L299" s="566">
        <f>VLOOKUP($A299,'01-02.2021'!$A$6:$CZ$403,12,FALSE)+VLOOKUP($A299,'1.3.21-28.2.22'!$A$6:$DA$404,12,FALSE)-VLOOKUP($A299,'01-02.2022'!$A$6:$DA$376,12,FALSE)</f>
        <v>1135.1544709700804</v>
      </c>
      <c r="M299" s="566">
        <f>VLOOKUP($A299,'01-02.2021'!$A$6:$CZ$403,13,FALSE)+VLOOKUP($A299,'1.3.21-28.2.22'!$A$6:$DA$404,13,FALSE)-VLOOKUP($A299,'01-02.2022'!$A$6:$DA$376,13,FALSE)</f>
        <v>1249.843545455675</v>
      </c>
      <c r="N299" s="52">
        <f t="shared" si="301"/>
        <v>114.68907448559457</v>
      </c>
      <c r="O299" s="566">
        <f>VLOOKUP($A299,'01-02.2021'!$A$6:$CZ$403,15,FALSE)+VLOOKUP($A299,'1.3.21-28.2.22'!$A$6:$DA$404,15,FALSE)-VLOOKUP($A299,'01-02.2022'!$A$6:$DA$376,15,FALSE)</f>
        <v>2364.1107443821334</v>
      </c>
      <c r="P299" s="566">
        <f>VLOOKUP($A299,'01-02.2021'!$A$6:$CZ$403,16,FALSE)+VLOOKUP($A299,'1.3.21-28.2.22'!$A$6:$DA$404,16,FALSE)-VLOOKUP($A299,'01-02.2022'!$A$6:$DA$376,16,FALSE)</f>
        <v>2364.09</v>
      </c>
      <c r="Q299" s="70">
        <f t="shared" si="324"/>
        <v>-2.0744382133216277E-2</v>
      </c>
      <c r="R299" s="566">
        <f>VLOOKUP($A299,'01-02.2021'!$A$6:$CZ$403,18,FALSE)+VLOOKUP($A299,'1.3.21-28.2.22'!$A$6:$DA$404,18,FALSE)-VLOOKUP($A299,'01-02.2022'!$A$6:$DA$376,18,FALSE)</f>
        <v>0</v>
      </c>
      <c r="S299" s="566">
        <f>VLOOKUP($A299,'01-02.2021'!$A$6:$CZ$403,19,FALSE)+VLOOKUP($A299,'1.3.21-28.2.22'!$A$6:$DA$404,19,FALSE)-VLOOKUP($A299,'01-02.2022'!$A$6:$DA$376,19,FALSE)</f>
        <v>0</v>
      </c>
      <c r="T299" s="70">
        <f t="shared" si="325"/>
        <v>0</v>
      </c>
      <c r="U299" s="566">
        <f>VLOOKUP($A299,'01-02.2021'!$A$6:$CZ$403,21,FALSE)+VLOOKUP($A299,'1.3.21-28.2.22'!$A$6:$DA$404,21,FALSE)-VLOOKUP($A299,'01-02.2022'!$A$6:$DA$376,21,FALSE)</f>
        <v>0</v>
      </c>
      <c r="V299" s="566">
        <f>VLOOKUP($A299,'01-02.2021'!$A$6:$CZ$403,22,FALSE)+VLOOKUP($A299,'1.3.21-28.2.22'!$A$6:$DA$404,22,FALSE)-VLOOKUP($A299,'01-02.2022'!$A$6:$DA$376,22,FALSE)</f>
        <v>0</v>
      </c>
      <c r="W299" s="70">
        <f t="shared" si="326"/>
        <v>0</v>
      </c>
      <c r="X299" s="566">
        <f>VLOOKUP($A299,'01-02.2021'!$A$6:$CZ$403,24,FALSE)+VLOOKUP($A299,'1.3.21-28.2.22'!$A$6:$DA$404,24,FALSE)-VLOOKUP($A299,'01-02.2022'!$A$6:$DA$376,24,FALSE)</f>
        <v>2844.1617509682574</v>
      </c>
      <c r="Y299" s="566">
        <f>VLOOKUP($A299,'01-02.2021'!$A$6:$CZ$403,25,FALSE)+VLOOKUP($A299,'1.3.21-28.2.22'!$A$6:$DA$404,25,FALSE)-VLOOKUP($A299,'01-02.2022'!$A$6:$DA$376,25,FALSE)</f>
        <v>4249.6733451818072</v>
      </c>
      <c r="Z299" s="70">
        <f t="shared" si="327"/>
        <v>1405.5115942135499</v>
      </c>
      <c r="AA299" s="566">
        <f>VLOOKUP($A299,'01-02.2021'!$A$6:$CZ$403,27,FALSE)+VLOOKUP($A299,'1.3.21-28.2.22'!$A$6:$DA$404,27,FALSE)-VLOOKUP($A299,'01-02.2022'!$A$6:$DA$376,27,FALSE)</f>
        <v>357.76</v>
      </c>
      <c r="AB299" s="566">
        <f>VLOOKUP($A299,'01-02.2021'!$A$6:$CZ$403,28,FALSE)+VLOOKUP($A299,'1.3.21-28.2.22'!$A$6:$DA$404,28,FALSE)-VLOOKUP($A299,'01-02.2022'!$A$6:$DA$376,28,FALSE)</f>
        <v>0</v>
      </c>
      <c r="AC299" s="70">
        <f t="shared" si="328"/>
        <v>-357.76</v>
      </c>
      <c r="AD299" s="566">
        <f>VLOOKUP($A299,'01-02.2021'!$A$6:$CZ$403,30,FALSE)+VLOOKUP($A299,'1.3.21-28.2.22'!$A$6:$DA$404,30,FALSE)-VLOOKUP($A299,'01-02.2022'!$A$6:$DA$376,30,FALSE)</f>
        <v>7875.6912701492238</v>
      </c>
      <c r="AE299" s="566">
        <f>VLOOKUP($A299,'01-02.2021'!$A$6:$CZ$403,31,FALSE)+VLOOKUP($A299,'1.3.21-28.2.22'!$A$6:$DA$404,31,FALSE)-VLOOKUP($A299,'01-02.2022'!$A$6:$DA$376,31,FALSE)</f>
        <v>8509.8182184484158</v>
      </c>
      <c r="AF299" s="68">
        <f t="shared" si="329"/>
        <v>634.12694829919201</v>
      </c>
      <c r="AG299" s="77">
        <f t="shared" si="297"/>
        <v>20405.597655582511</v>
      </c>
      <c r="AH299" s="53">
        <f t="shared" si="297"/>
        <v>22782.624687529889</v>
      </c>
      <c r="AI299" s="52">
        <f t="shared" si="302"/>
        <v>2377.0270319473784</v>
      </c>
      <c r="AJ299" s="566">
        <f>VLOOKUP($A299,'01-02.2021'!$A$6:$CZ$403,36,FALSE)+VLOOKUP($A299,'1.3.21-28.2.22'!$A$6:$DA$404,36,FALSE)-VLOOKUP($A299,'01-02.2022'!$A$6:$DA$376,36,FALSE)</f>
        <v>0</v>
      </c>
      <c r="AK299" s="566">
        <f>VLOOKUP($A299,'01-02.2021'!$A$6:$CZ$403,37,FALSE)+VLOOKUP($A299,'1.3.21-28.2.22'!$A$6:$DA$404,37,FALSE)-VLOOKUP($A299,'01-02.2022'!$A$6:$DA$376,37,FALSE)</f>
        <v>0</v>
      </c>
      <c r="AL299" s="70">
        <f t="shared" si="330"/>
        <v>0</v>
      </c>
      <c r="AM299" s="566">
        <f>VLOOKUP($A299,'01-02.2021'!$A$6:$CZ$403,39,FALSE)+VLOOKUP($A299,'1.3.21-28.2.22'!$A$6:$DA$404,39,FALSE)-VLOOKUP($A299,'01-02.2022'!$A$6:$DA$376,39,FALSE)</f>
        <v>0</v>
      </c>
      <c r="AN299" s="566">
        <f>VLOOKUP($A299,'01-02.2021'!$A$6:$CZ$403,40,FALSE)+VLOOKUP($A299,'1.3.21-28.2.22'!$A$6:$DA$404,40,FALSE)-VLOOKUP($A299,'01-02.2022'!$A$6:$DA$376,40,FALSE)</f>
        <v>0</v>
      </c>
      <c r="AO299" s="70">
        <f t="shared" si="331"/>
        <v>0</v>
      </c>
      <c r="AP299" s="566">
        <f>VLOOKUP($A299,'01-02.2021'!$A$6:$CZ$403,42,FALSE)+VLOOKUP($A299,'1.3.21-28.2.22'!$A$6:$DA$404,42,FALSE)-VLOOKUP($A299,'01-02.2022'!$A$6:$DA$376,42,FALSE)</f>
        <v>4554.8993438618027</v>
      </c>
      <c r="AQ299" s="566">
        <f>VLOOKUP($A299,'01-02.2021'!$A$6:$CZ$403,43,FALSE)+VLOOKUP($A299,'1.3.21-28.2.22'!$A$6:$DA$404,43,FALSE)-VLOOKUP($A299,'01-02.2022'!$A$6:$DA$376,43,FALSE)</f>
        <v>3931.3171900034417</v>
      </c>
      <c r="AR299" s="70">
        <f t="shared" si="332"/>
        <v>-623.58215385836093</v>
      </c>
      <c r="AS299" s="566">
        <f>VLOOKUP($A299,'01-02.2021'!$A$6:$CZ$403,45,FALSE)+VLOOKUP($A299,'1.3.21-28.2.22'!$A$6:$DA$404,45,FALSE)-VLOOKUP($A299,'01-02.2022'!$A$6:$DA$376,45,FALSE)</f>
        <v>17120.013920554382</v>
      </c>
      <c r="AT299" s="566">
        <f>VLOOKUP($A299,'01-02.2021'!$A$6:$CZ$403,46,FALSE)+VLOOKUP($A299,'1.3.21-28.2.22'!$A$6:$DA$404,46,FALSE)-VLOOKUP($A299,'01-02.2022'!$A$6:$DA$376,46,FALSE)</f>
        <v>0</v>
      </c>
      <c r="AU299" s="78">
        <f t="shared" si="333"/>
        <v>-17120.013920554382</v>
      </c>
      <c r="AV299" s="566">
        <f>VLOOKUP($A299,'01-02.2021'!$A$6:$CZ$403,48,FALSE)+VLOOKUP($A299,'1.3.21-28.2.22'!$A$6:$DA$404,48,FALSE)-VLOOKUP($A299,'01-02.2022'!$A$6:$DA$376,48,FALSE)</f>
        <v>1588.3309396316311</v>
      </c>
      <c r="AW299" s="566">
        <f>VLOOKUP($A299,'01-02.2021'!$A$6:$CZ$403,49,FALSE)+VLOOKUP($A299,'1.3.21-28.2.22'!$A$6:$DA$404,49,FALSE)-VLOOKUP($A299,'01-02.2022'!$A$6:$DA$376,49,FALSE)</f>
        <v>0</v>
      </c>
      <c r="AX299" s="55">
        <f t="shared" si="334"/>
        <v>-1588.3309396316311</v>
      </c>
      <c r="AY299" s="566">
        <f>VLOOKUP($A299,'01-02.2021'!$A$6:$CZ$403,51,FALSE)+VLOOKUP($A299,'1.3.21-28.2.22'!$A$6:$DA$404,51,FALSE)-VLOOKUP($A299,'01-02.2022'!$A$6:$DA$376,51,FALSE)</f>
        <v>2133.8169462646688</v>
      </c>
      <c r="AZ299" s="566">
        <f>VLOOKUP($A299,'01-02.2021'!$A$6:$CZ$403,52,FALSE)+VLOOKUP($A299,'1.3.21-28.2.22'!$A$6:$DA$404,52,FALSE)-VLOOKUP($A299,'01-02.2022'!$A$6:$DA$376,52,FALSE)</f>
        <v>0</v>
      </c>
      <c r="BA299" s="38">
        <f t="shared" si="335"/>
        <v>-2133.8169462646688</v>
      </c>
      <c r="BB299" s="566">
        <f>VLOOKUP($A299,'01-02.2021'!$A$6:$CZ$403,54,FALSE)+VLOOKUP($A299,'1.3.21-28.2.22'!$A$6:$DA$404,54,FALSE)-VLOOKUP($A299,'01-02.2022'!$A$6:$DA$376,54,FALSE)</f>
        <v>1055.2398589572629</v>
      </c>
      <c r="BC299" s="566">
        <f>VLOOKUP($A299,'01-02.2021'!$A$6:$CZ$403,55,FALSE)+VLOOKUP($A299,'1.3.21-28.2.22'!$A$6:$DA$404,55,FALSE)-VLOOKUP($A299,'01-02.2022'!$A$6:$DA$376,55,FALSE)</f>
        <v>0</v>
      </c>
      <c r="BD299" s="55">
        <f t="shared" si="336"/>
        <v>-1055.2398589572629</v>
      </c>
      <c r="BE299" s="566">
        <f>VLOOKUP($A299,'01-02.2021'!$A$6:$CZ$403,57,FALSE)+VLOOKUP($A299,'1.3.21-28.2.22'!$A$6:$DA$404,57,FALSE)-VLOOKUP($A299,'01-02.2022'!$A$6:$DA$376,57,FALSE)</f>
        <v>0</v>
      </c>
      <c r="BF299" s="566">
        <f>VLOOKUP($A299,'01-02.2021'!$A$6:$CZ$403,58,FALSE)+VLOOKUP($A299,'1.3.21-28.2.22'!$A$6:$DA$404,58,FALSE)-VLOOKUP($A299,'01-02.2022'!$A$6:$DA$376,58,FALSE)</f>
        <v>0</v>
      </c>
      <c r="BG299" s="55">
        <f t="shared" si="337"/>
        <v>0</v>
      </c>
      <c r="BH299" s="566">
        <f>VLOOKUP($A299,'01-02.2021'!$A$6:$CZ$403,60,FALSE)+VLOOKUP($A299,'1.3.21-28.2.22'!$A$6:$DA$404,60,FALSE)-VLOOKUP($A299,'01-02.2022'!$A$6:$DA$376,60,FALSE)</f>
        <v>0</v>
      </c>
      <c r="BI299" s="566">
        <f>VLOOKUP($A299,'01-02.2021'!$A$6:$CZ$403,61,FALSE)+VLOOKUP($A299,'1.3.21-28.2.22'!$A$6:$DA$404,61,FALSE)-VLOOKUP($A299,'01-02.2022'!$A$6:$DA$376,61,FALSE)</f>
        <v>0</v>
      </c>
      <c r="BJ299" s="55">
        <f t="shared" si="338"/>
        <v>0</v>
      </c>
      <c r="BK299" s="566">
        <f>VLOOKUP($A299,'01-02.2021'!$A$6:$CZ$403,63,FALSE)+VLOOKUP($A299,'1.3.21-28.2.22'!$A$6:$DA$404,63,FALSE)-VLOOKUP($A299,'01-02.2022'!$A$6:$DA$376,63,FALSE)</f>
        <v>719.27548099041633</v>
      </c>
      <c r="BL299" s="566">
        <f>VLOOKUP($A299,'01-02.2021'!$A$6:$CZ$403,64,FALSE)+VLOOKUP($A299,'1.3.21-28.2.22'!$A$6:$DA$404,64,FALSE)-VLOOKUP($A299,'01-02.2022'!$A$6:$DA$376,64,FALSE)</f>
        <v>1811</v>
      </c>
      <c r="BM299" s="55">
        <f t="shared" si="339"/>
        <v>1091.7245190095837</v>
      </c>
      <c r="BN299" s="566">
        <f>VLOOKUP($A299,'01-02.2021'!$A$6:$CZ$403,66,FALSE)+VLOOKUP($A299,'1.3.21-28.2.22'!$A$6:$DA$404,66,FALSE)-VLOOKUP($A299,'01-02.2022'!$A$6:$DA$376,66,FALSE)</f>
        <v>89.44</v>
      </c>
      <c r="BO299" s="566">
        <f>VLOOKUP($A299,'01-02.2021'!$A$6:$CZ$403,67,FALSE)+VLOOKUP($A299,'1.3.21-28.2.22'!$A$6:$DA$404,67,FALSE)-VLOOKUP($A299,'01-02.2022'!$A$6:$DA$376,67,FALSE)</f>
        <v>474</v>
      </c>
      <c r="BP299" s="55">
        <f t="shared" si="340"/>
        <v>384.56</v>
      </c>
      <c r="BQ299" s="77">
        <f t="shared" si="348"/>
        <v>5586.1032258439791</v>
      </c>
      <c r="BR299" s="40">
        <f t="shared" si="349"/>
        <v>2285</v>
      </c>
      <c r="BS299" s="55">
        <f t="shared" si="314"/>
        <v>-3301.1032258439791</v>
      </c>
      <c r="BT299" s="566">
        <f>VLOOKUP($A299,'01-02.2021'!$A$6:$CZ$403,72,FALSE)+VLOOKUP($A299,'1.3.21-28.2.22'!$A$6:$DA$404,72,FALSE)-VLOOKUP($A299,'01-02.2022'!$A$6:$DA$376,72,FALSE)</f>
        <v>13406.187089820132</v>
      </c>
      <c r="BU299" s="566">
        <f>VLOOKUP($A299,'01-02.2021'!$A$6:$CZ$403,73,FALSE)+VLOOKUP($A299,'1.3.21-28.2.22'!$A$6:$DA$404,73,FALSE)-VLOOKUP($A299,'01-02.2022'!$A$6:$DA$376,73,FALSE)</f>
        <v>19219.872368000844</v>
      </c>
      <c r="BV299" s="70">
        <f t="shared" si="341"/>
        <v>5813.685278180712</v>
      </c>
      <c r="BW299" s="566">
        <f>VLOOKUP($A299,'01-02.2021'!$A$6:$CZ$403,75,FALSE)+VLOOKUP($A299,'1.3.21-28.2.22'!$A$6:$DA$404,75,FALSE)-VLOOKUP($A299,'01-02.2022'!$A$6:$DA$376,75,FALSE)</f>
        <v>7606.0674933453147</v>
      </c>
      <c r="BX299" s="566">
        <f>VLOOKUP($A299,'01-02.2021'!$A$6:$CZ$403,76,FALSE)+VLOOKUP($A299,'1.3.21-28.2.22'!$A$6:$DA$404,76,FALSE)-VLOOKUP($A299,'01-02.2022'!$A$6:$DA$376,76,FALSE)</f>
        <v>7556.6248006699807</v>
      </c>
      <c r="BY299" s="70">
        <f t="shared" si="342"/>
        <v>-49.442692675334001</v>
      </c>
      <c r="BZ299" s="566">
        <f>VLOOKUP($A299,'01-02.2021'!$A$6:$CZ$403,78,FALSE)+VLOOKUP($A299,'1.3.21-28.2.22'!$A$6:$DA$404,78,FALSE)-VLOOKUP($A299,'01-02.2022'!$A$6:$DA$376,78,FALSE)</f>
        <v>7997.054866834651</v>
      </c>
      <c r="CA299" s="566">
        <f>VLOOKUP($A299,'01-02.2021'!$A$6:$CZ$403,79,FALSE)+VLOOKUP($A299,'1.3.21-28.2.22'!$A$6:$DA$404,79,FALSE)-VLOOKUP($A299,'01-02.2022'!$A$6:$DA$376,79,FALSE)</f>
        <v>3829.0147570578388</v>
      </c>
      <c r="CB299" s="70">
        <f t="shared" si="343"/>
        <v>-4168.0401097768117</v>
      </c>
      <c r="CC299" s="566">
        <f>VLOOKUP($A299,'01-02.2021'!$A$6:$CZ$403,81,FALSE)+VLOOKUP($A299,'1.3.21-28.2.22'!$A$6:$DA$404,81,FALSE)-VLOOKUP($A299,'01-02.2022'!$A$6:$DA$376,81,FALSE)</f>
        <v>1356.739516001247</v>
      </c>
      <c r="CD299" s="566">
        <f>VLOOKUP($A299,'01-02.2021'!$A$6:$CZ$403,82,FALSE)+VLOOKUP($A299,'1.3.21-28.2.22'!$A$6:$DA$404,82,FALSE)-VLOOKUP($A299,'01-02.2022'!$A$6:$DA$376,82,FALSE)</f>
        <v>1482.9068203390946</v>
      </c>
      <c r="CE299" s="70">
        <f t="shared" si="344"/>
        <v>126.16730433784755</v>
      </c>
      <c r="CF299" s="566">
        <f>VLOOKUP($A299,'01-02.2021'!$A$6:$CZ$403,84,FALSE)+VLOOKUP($A299,'1.3.21-28.2.22'!$A$6:$DA$404,84,FALSE)-VLOOKUP($A299,'01-02.2022'!$A$6:$DA$376,84,FALSE)</f>
        <v>164.93963573452854</v>
      </c>
      <c r="CG299" s="566">
        <f>VLOOKUP($A299,'01-02.2021'!$A$6:$CZ$403,85,FALSE)+VLOOKUP($A299,'1.3.21-28.2.22'!$A$6:$DA$404,85,FALSE)-VLOOKUP($A299,'01-02.2022'!$A$6:$DA$376,85,FALSE)</f>
        <v>0</v>
      </c>
      <c r="CH299" s="70">
        <f t="shared" si="345"/>
        <v>-164.93963573452854</v>
      </c>
      <c r="CI299" s="566">
        <f>VLOOKUP($A299,'01-02.2021'!$A$6:$CZ$403,87,FALSE)+VLOOKUP($A299,'1.3.21-28.2.22'!$A$6:$DA$404,87,FALSE)-VLOOKUP($A299,'01-02.2022'!$A$6:$DA$376,87,FALSE)</f>
        <v>3842.2612706724158</v>
      </c>
      <c r="CJ299" s="566">
        <f>VLOOKUP($A299,'01-02.2021'!$A$6:$CZ$403,88,FALSE)+VLOOKUP($A299,'1.3.21-28.2.22'!$A$6:$DA$404,88,FALSE)-VLOOKUP($A299,'01-02.2022'!$A$6:$DA$376,88,FALSE)</f>
        <v>3241.3011681606004</v>
      </c>
      <c r="CK299" s="70">
        <f t="shared" si="346"/>
        <v>-600.96010251181542</v>
      </c>
      <c r="CL299" s="566">
        <f>VLOOKUP($A299,'01-02.2021'!$A$6:$CZ$403,90,FALSE)+VLOOKUP($A299,'1.3.21-28.2.22'!$A$6:$DA$404,90,FALSE)-VLOOKUP($A299,'01-02.2022'!$A$6:$DA$376,90,FALSE)</f>
        <v>0</v>
      </c>
      <c r="CM299" s="566">
        <f>VLOOKUP($A299,'01-02.2021'!$A$6:$CZ$403,91,FALSE)+VLOOKUP($A299,'1.3.21-28.2.22'!$A$6:$DA$404,91,FALSE)-VLOOKUP($A299,'01-02.2022'!$A$6:$DA$376,91,FALSE)</f>
        <v>0</v>
      </c>
      <c r="CN299" s="52">
        <f t="shared" si="303"/>
        <v>0</v>
      </c>
      <c r="CO299" s="39">
        <f t="shared" si="298"/>
        <v>3842.2612706724158</v>
      </c>
      <c r="CP299" s="40">
        <f t="shared" si="304"/>
        <v>3241.3011681606004</v>
      </c>
      <c r="CQ299" s="52">
        <f t="shared" si="305"/>
        <v>-600.96010251181542</v>
      </c>
      <c r="CR299" s="72">
        <f t="shared" si="299"/>
        <v>82039.864018250955</v>
      </c>
      <c r="CS299" s="5">
        <f t="shared" si="299"/>
        <v>64328.66179176169</v>
      </c>
      <c r="CT299" s="52">
        <f t="shared" si="306"/>
        <v>-17711.202226489266</v>
      </c>
      <c r="CU299" s="77">
        <f t="shared" si="307"/>
        <v>98447.836821901146</v>
      </c>
      <c r="CV299" s="65">
        <f t="shared" si="308"/>
        <v>77194.394150114022</v>
      </c>
      <c r="CW299" s="35">
        <f t="shared" si="309"/>
        <v>-21253.442671787125</v>
      </c>
      <c r="CX299" s="566">
        <f>VLOOKUP($A299,'01-02.2021'!$A$6:$CZ$403,102,FALSE)+VLOOKUP($A299,'1.3.21-28.2.22'!$A$6:$DA$404,102,FALSE)-VLOOKUP($A299,'01-02.2022'!$A$6:$DA$376,102,FALSE)</f>
        <v>3088.4833023708925</v>
      </c>
      <c r="CY299" s="566">
        <f>VLOOKUP($A299,'01-02.2021'!$A$6:$CZ$403,103,FALSE)+VLOOKUP($A299,'1.3.21-28.2.22'!$A$6:$DA$404,103,FALSE)-VLOOKUP($A299,'01-02.2022'!$A$6:$DA$376,103,FALSE)</f>
        <v>24341.925974158006</v>
      </c>
      <c r="CZ299" s="52">
        <f t="shared" si="310"/>
        <v>21253.442671787114</v>
      </c>
      <c r="DA299" s="150">
        <f>'[2]побудинковий звіт'!DA299</f>
        <v>-9974.4525086939175</v>
      </c>
      <c r="DB299" s="2">
        <v>2</v>
      </c>
      <c r="DC299" s="414">
        <f>'[4]побудинковий звіт'!DC299</f>
        <v>23375.61</v>
      </c>
      <c r="DD299" s="414">
        <f>'[4]побудинковий звіт'!DD299</f>
        <v>-44.22</v>
      </c>
      <c r="DE299" s="557">
        <f>'[4]побудинковий звіт'!DE299</f>
        <v>14798.136336448973</v>
      </c>
      <c r="DF299" s="557">
        <f>'[4]побудинковий звіт'!DF299</f>
        <v>-805.13915669767289</v>
      </c>
      <c r="DG299" s="321">
        <f>VLOOKUP(A299,'кошти 01.03.2021'!$A$6:$D$401,4,)</f>
        <v>14707.492458365625</v>
      </c>
      <c r="DH299" s="40">
        <f>'[3]побудинковий звіт'!DJ299</f>
        <v>105693.61252890692</v>
      </c>
      <c r="DI299" s="422">
        <f>'[3]побудинковий звіт'!CU299+'[3]побудинковий звіт'!CX299</f>
        <v>9338.3928202487004</v>
      </c>
      <c r="DJ299" s="306">
        <f>'[3]побудинковий звіт'!DM299</f>
        <v>5.0443858289526151</v>
      </c>
      <c r="DK299" s="306">
        <f t="shared" si="350"/>
        <v>5.0443858289526151</v>
      </c>
      <c r="DL299" s="306">
        <f>'[3]побудинковий звіт'!DO299</f>
        <v>4.502480217145993</v>
      </c>
      <c r="DM299" s="28">
        <f t="shared" si="351"/>
        <v>8577.4736635510271</v>
      </c>
      <c r="DN299" s="28">
        <f t="shared" si="352"/>
        <v>760.91915669767286</v>
      </c>
      <c r="DO299" s="423">
        <f t="shared" si="319"/>
        <v>9338.3928202487004</v>
      </c>
      <c r="DP299" s="94">
        <f t="shared" si="320"/>
        <v>0</v>
      </c>
      <c r="DQ299" s="28">
        <f t="shared" si="321"/>
        <v>9338.3928202487004</v>
      </c>
      <c r="DR299" s="318"/>
      <c r="DT299" s="8"/>
      <c r="DU299" s="5"/>
      <c r="DX299" s="5">
        <f t="shared" si="322"/>
        <v>27247.340575678034</v>
      </c>
      <c r="DY299" s="5">
        <f t="shared" si="323"/>
        <v>2742</v>
      </c>
      <c r="DZ299" s="159">
        <f>'[3]побудинковий звіт'!EA299</f>
        <v>2639.9756909472949</v>
      </c>
    </row>
    <row r="300" spans="1:130" x14ac:dyDescent="0.3">
      <c r="A300" s="325">
        <v>150000745</v>
      </c>
      <c r="B300" s="41" t="s">
        <v>746</v>
      </c>
      <c r="C300" s="42" t="s">
        <v>134</v>
      </c>
      <c r="D300" s="42"/>
      <c r="E300" s="293">
        <f t="shared" si="296"/>
        <v>275.3</v>
      </c>
      <c r="F300" s="305">
        <f>'[3]побудинковий звіт'!F300</f>
        <v>275.3</v>
      </c>
      <c r="G300" s="508">
        <f>'[3]побудинковий звіт'!G300</f>
        <v>0</v>
      </c>
      <c r="H300" s="560">
        <f>'[3]побудинковий звіт'!H300</f>
        <v>0</v>
      </c>
      <c r="I300" s="566">
        <f>VLOOKUP($A300,'01-02.2021'!$A$6:$CZ$403,9,FALSE)+VLOOKUP($A300,'1.3.21-28.2.22'!$A$6:$DA$404,9,FALSE)-VLOOKUP($A300,'01-02.2022'!$A$6:$DA$376,9,FALSE)</f>
        <v>0</v>
      </c>
      <c r="J300" s="566">
        <f>VLOOKUP($A300,'01-02.2021'!$A$6:$CZ$403,10,FALSE)+VLOOKUP($A300,'1.3.21-28.2.22'!$A$6:$DA$404,10,FALSE)-VLOOKUP($A300,'01-02.2022'!$A$6:$DA$376,10,FALSE)</f>
        <v>0</v>
      </c>
      <c r="K300" s="52">
        <f t="shared" si="300"/>
        <v>0</v>
      </c>
      <c r="L300" s="566">
        <f>VLOOKUP($A300,'01-02.2021'!$A$6:$CZ$403,12,FALSE)+VLOOKUP($A300,'1.3.21-28.2.22'!$A$6:$DA$404,12,FALSE)-VLOOKUP($A300,'01-02.2022'!$A$6:$DA$376,12,FALSE)</f>
        <v>0</v>
      </c>
      <c r="M300" s="566">
        <f>VLOOKUP($A300,'01-02.2021'!$A$6:$CZ$403,13,FALSE)+VLOOKUP($A300,'1.3.21-28.2.22'!$A$6:$DA$404,13,FALSE)-VLOOKUP($A300,'01-02.2022'!$A$6:$DA$376,13,FALSE)</f>
        <v>0</v>
      </c>
      <c r="N300" s="52">
        <f t="shared" si="301"/>
        <v>0</v>
      </c>
      <c r="O300" s="566">
        <f>VLOOKUP($A300,'01-02.2021'!$A$6:$CZ$403,15,FALSE)+VLOOKUP($A300,'1.3.21-28.2.22'!$A$6:$DA$404,15,FALSE)-VLOOKUP($A300,'01-02.2022'!$A$6:$DA$376,15,FALSE)</f>
        <v>0</v>
      </c>
      <c r="P300" s="566">
        <f>VLOOKUP($A300,'01-02.2021'!$A$6:$CZ$403,16,FALSE)+VLOOKUP($A300,'1.3.21-28.2.22'!$A$6:$DA$404,16,FALSE)-VLOOKUP($A300,'01-02.2022'!$A$6:$DA$376,16,FALSE)</f>
        <v>0</v>
      </c>
      <c r="Q300" s="70">
        <f t="shared" si="324"/>
        <v>0</v>
      </c>
      <c r="R300" s="566">
        <f>VLOOKUP($A300,'01-02.2021'!$A$6:$CZ$403,18,FALSE)+VLOOKUP($A300,'1.3.21-28.2.22'!$A$6:$DA$404,18,FALSE)-VLOOKUP($A300,'01-02.2022'!$A$6:$DA$376,18,FALSE)</f>
        <v>0</v>
      </c>
      <c r="S300" s="566">
        <f>VLOOKUP($A300,'01-02.2021'!$A$6:$CZ$403,19,FALSE)+VLOOKUP($A300,'1.3.21-28.2.22'!$A$6:$DA$404,19,FALSE)-VLOOKUP($A300,'01-02.2022'!$A$6:$DA$376,19,FALSE)</f>
        <v>0</v>
      </c>
      <c r="T300" s="70">
        <f t="shared" si="325"/>
        <v>0</v>
      </c>
      <c r="U300" s="566">
        <f>VLOOKUP($A300,'01-02.2021'!$A$6:$CZ$403,21,FALSE)+VLOOKUP($A300,'1.3.21-28.2.22'!$A$6:$DA$404,21,FALSE)-VLOOKUP($A300,'01-02.2022'!$A$6:$DA$376,21,FALSE)</f>
        <v>0</v>
      </c>
      <c r="V300" s="566">
        <f>VLOOKUP($A300,'01-02.2021'!$A$6:$CZ$403,22,FALSE)+VLOOKUP($A300,'1.3.21-28.2.22'!$A$6:$DA$404,22,FALSE)-VLOOKUP($A300,'01-02.2022'!$A$6:$DA$376,22,FALSE)</f>
        <v>0</v>
      </c>
      <c r="W300" s="70">
        <f t="shared" si="326"/>
        <v>0</v>
      </c>
      <c r="X300" s="566">
        <f>VLOOKUP($A300,'01-02.2021'!$A$6:$CZ$403,24,FALSE)+VLOOKUP($A300,'1.3.21-28.2.22'!$A$6:$DA$404,24,FALSE)-VLOOKUP($A300,'01-02.2022'!$A$6:$DA$376,24,FALSE)</f>
        <v>0</v>
      </c>
      <c r="Y300" s="566">
        <f>VLOOKUP($A300,'01-02.2021'!$A$6:$CZ$403,25,FALSE)+VLOOKUP($A300,'1.3.21-28.2.22'!$A$6:$DA$404,25,FALSE)-VLOOKUP($A300,'01-02.2022'!$A$6:$DA$376,25,FALSE)</f>
        <v>0</v>
      </c>
      <c r="Z300" s="70">
        <f t="shared" si="327"/>
        <v>0</v>
      </c>
      <c r="AA300" s="566">
        <f>VLOOKUP($A300,'01-02.2021'!$A$6:$CZ$403,27,FALSE)+VLOOKUP($A300,'1.3.21-28.2.22'!$A$6:$DA$404,27,FALSE)-VLOOKUP($A300,'01-02.2022'!$A$6:$DA$376,27,FALSE)</f>
        <v>55.06</v>
      </c>
      <c r="AB300" s="566">
        <f>VLOOKUP($A300,'01-02.2021'!$A$6:$CZ$403,28,FALSE)+VLOOKUP($A300,'1.3.21-28.2.22'!$A$6:$DA$404,28,FALSE)-VLOOKUP($A300,'01-02.2022'!$A$6:$DA$376,28,FALSE)</f>
        <v>0</v>
      </c>
      <c r="AC300" s="70">
        <f t="shared" si="328"/>
        <v>-55.06</v>
      </c>
      <c r="AD300" s="566">
        <f>VLOOKUP($A300,'01-02.2021'!$A$6:$CZ$403,30,FALSE)+VLOOKUP($A300,'1.3.21-28.2.22'!$A$6:$DA$404,30,FALSE)-VLOOKUP($A300,'01-02.2022'!$A$6:$DA$376,30,FALSE)</f>
        <v>440.75926648130422</v>
      </c>
      <c r="AE300" s="566">
        <f>VLOOKUP($A300,'01-02.2021'!$A$6:$CZ$403,31,FALSE)+VLOOKUP($A300,'1.3.21-28.2.22'!$A$6:$DA$404,31,FALSE)-VLOOKUP($A300,'01-02.2022'!$A$6:$DA$376,31,FALSE)</f>
        <v>1253.1766924565231</v>
      </c>
      <c r="AF300" s="68">
        <f t="shared" si="329"/>
        <v>812.41742597521898</v>
      </c>
      <c r="AG300" s="77">
        <f t="shared" si="297"/>
        <v>495.81926648130423</v>
      </c>
      <c r="AH300" s="53">
        <f t="shared" si="297"/>
        <v>1253.1766924565231</v>
      </c>
      <c r="AI300" s="52">
        <f t="shared" si="302"/>
        <v>757.35742597521892</v>
      </c>
      <c r="AJ300" s="566">
        <f>VLOOKUP($A300,'01-02.2021'!$A$6:$CZ$403,36,FALSE)+VLOOKUP($A300,'1.3.21-28.2.22'!$A$6:$DA$404,36,FALSE)-VLOOKUP($A300,'01-02.2022'!$A$6:$DA$376,36,FALSE)</f>
        <v>0</v>
      </c>
      <c r="AK300" s="566">
        <f>VLOOKUP($A300,'01-02.2021'!$A$6:$CZ$403,37,FALSE)+VLOOKUP($A300,'1.3.21-28.2.22'!$A$6:$DA$404,37,FALSE)-VLOOKUP($A300,'01-02.2022'!$A$6:$DA$376,37,FALSE)</f>
        <v>0</v>
      </c>
      <c r="AL300" s="70">
        <f t="shared" si="330"/>
        <v>0</v>
      </c>
      <c r="AM300" s="566">
        <f>VLOOKUP($A300,'01-02.2021'!$A$6:$CZ$403,39,FALSE)+VLOOKUP($A300,'1.3.21-28.2.22'!$A$6:$DA$404,39,FALSE)-VLOOKUP($A300,'01-02.2022'!$A$6:$DA$376,39,FALSE)</f>
        <v>0</v>
      </c>
      <c r="AN300" s="566">
        <f>VLOOKUP($A300,'01-02.2021'!$A$6:$CZ$403,40,FALSE)+VLOOKUP($A300,'1.3.21-28.2.22'!$A$6:$DA$404,40,FALSE)-VLOOKUP($A300,'01-02.2022'!$A$6:$DA$376,40,FALSE)</f>
        <v>0</v>
      </c>
      <c r="AO300" s="70">
        <f t="shared" si="331"/>
        <v>0</v>
      </c>
      <c r="AP300" s="566">
        <f>VLOOKUP($A300,'01-02.2021'!$A$6:$CZ$403,42,FALSE)+VLOOKUP($A300,'1.3.21-28.2.22'!$A$6:$DA$404,42,FALSE)-VLOOKUP($A300,'01-02.2022'!$A$6:$DA$376,42,FALSE)</f>
        <v>780.83988751916593</v>
      </c>
      <c r="AQ300" s="566">
        <f>VLOOKUP($A300,'01-02.2021'!$A$6:$CZ$403,43,FALSE)+VLOOKUP($A300,'1.3.21-28.2.22'!$A$6:$DA$404,43,FALSE)-VLOOKUP($A300,'01-02.2022'!$A$6:$DA$376,43,FALSE)</f>
        <v>673.14674884486317</v>
      </c>
      <c r="AR300" s="70">
        <f t="shared" si="332"/>
        <v>-107.69313867430276</v>
      </c>
      <c r="AS300" s="566">
        <f>VLOOKUP($A300,'01-02.2021'!$A$6:$CZ$403,45,FALSE)+VLOOKUP($A300,'1.3.21-28.2.22'!$A$6:$DA$404,45,FALSE)-VLOOKUP($A300,'01-02.2022'!$A$6:$DA$376,45,FALSE)</f>
        <v>2140.846901569992</v>
      </c>
      <c r="AT300" s="566">
        <f>VLOOKUP($A300,'01-02.2021'!$A$6:$CZ$403,46,FALSE)+VLOOKUP($A300,'1.3.21-28.2.22'!$A$6:$DA$404,46,FALSE)-VLOOKUP($A300,'01-02.2022'!$A$6:$DA$376,46,FALSE)</f>
        <v>0</v>
      </c>
      <c r="AU300" s="78">
        <f t="shared" si="333"/>
        <v>-2140.846901569992</v>
      </c>
      <c r="AV300" s="566">
        <f>VLOOKUP($A300,'01-02.2021'!$A$6:$CZ$403,48,FALSE)+VLOOKUP($A300,'1.3.21-28.2.22'!$A$6:$DA$404,48,FALSE)-VLOOKUP($A300,'01-02.2022'!$A$6:$DA$376,48,FALSE)</f>
        <v>0</v>
      </c>
      <c r="AW300" s="566">
        <f>VLOOKUP($A300,'01-02.2021'!$A$6:$CZ$403,49,FALSE)+VLOOKUP($A300,'1.3.21-28.2.22'!$A$6:$DA$404,49,FALSE)-VLOOKUP($A300,'01-02.2022'!$A$6:$DA$376,49,FALSE)</f>
        <v>0</v>
      </c>
      <c r="AX300" s="55">
        <f t="shared" si="334"/>
        <v>0</v>
      </c>
      <c r="AY300" s="566">
        <f>VLOOKUP($A300,'01-02.2021'!$A$6:$CZ$403,51,FALSE)+VLOOKUP($A300,'1.3.21-28.2.22'!$A$6:$DA$404,51,FALSE)-VLOOKUP($A300,'01-02.2022'!$A$6:$DA$376,51,FALSE)</f>
        <v>0</v>
      </c>
      <c r="AZ300" s="566">
        <f>VLOOKUP($A300,'01-02.2021'!$A$6:$CZ$403,52,FALSE)+VLOOKUP($A300,'1.3.21-28.2.22'!$A$6:$DA$404,52,FALSE)-VLOOKUP($A300,'01-02.2022'!$A$6:$DA$376,52,FALSE)</f>
        <v>0</v>
      </c>
      <c r="BA300" s="38">
        <f t="shared" si="335"/>
        <v>0</v>
      </c>
      <c r="BB300" s="566">
        <f>VLOOKUP($A300,'01-02.2021'!$A$6:$CZ$403,54,FALSE)+VLOOKUP($A300,'1.3.21-28.2.22'!$A$6:$DA$404,54,FALSE)-VLOOKUP($A300,'01-02.2022'!$A$6:$DA$376,54,FALSE)</f>
        <v>0</v>
      </c>
      <c r="BC300" s="566">
        <f>VLOOKUP($A300,'01-02.2021'!$A$6:$CZ$403,55,FALSE)+VLOOKUP($A300,'1.3.21-28.2.22'!$A$6:$DA$404,55,FALSE)-VLOOKUP($A300,'01-02.2022'!$A$6:$DA$376,55,FALSE)</f>
        <v>0</v>
      </c>
      <c r="BD300" s="55">
        <f t="shared" si="336"/>
        <v>0</v>
      </c>
      <c r="BE300" s="566">
        <f>VLOOKUP($A300,'01-02.2021'!$A$6:$CZ$403,57,FALSE)+VLOOKUP($A300,'1.3.21-28.2.22'!$A$6:$DA$404,57,FALSE)-VLOOKUP($A300,'01-02.2022'!$A$6:$DA$376,57,FALSE)</f>
        <v>0</v>
      </c>
      <c r="BF300" s="566">
        <f>VLOOKUP($A300,'01-02.2021'!$A$6:$CZ$403,58,FALSE)+VLOOKUP($A300,'1.3.21-28.2.22'!$A$6:$DA$404,58,FALSE)-VLOOKUP($A300,'01-02.2022'!$A$6:$DA$376,58,FALSE)</f>
        <v>0</v>
      </c>
      <c r="BG300" s="55">
        <f t="shared" si="337"/>
        <v>0</v>
      </c>
      <c r="BH300" s="566">
        <f>VLOOKUP($A300,'01-02.2021'!$A$6:$CZ$403,60,FALSE)+VLOOKUP($A300,'1.3.21-28.2.22'!$A$6:$DA$404,60,FALSE)-VLOOKUP($A300,'01-02.2022'!$A$6:$DA$376,60,FALSE)</f>
        <v>0</v>
      </c>
      <c r="BI300" s="566">
        <f>VLOOKUP($A300,'01-02.2021'!$A$6:$CZ$403,61,FALSE)+VLOOKUP($A300,'1.3.21-28.2.22'!$A$6:$DA$404,61,FALSE)-VLOOKUP($A300,'01-02.2022'!$A$6:$DA$376,61,FALSE)</f>
        <v>0</v>
      </c>
      <c r="BJ300" s="55">
        <f t="shared" si="338"/>
        <v>0</v>
      </c>
      <c r="BK300" s="566">
        <f>VLOOKUP($A300,'01-02.2021'!$A$6:$CZ$403,63,FALSE)+VLOOKUP($A300,'1.3.21-28.2.22'!$A$6:$DA$404,63,FALSE)-VLOOKUP($A300,'01-02.2022'!$A$6:$DA$376,63,FALSE)</f>
        <v>0</v>
      </c>
      <c r="BL300" s="566">
        <f>VLOOKUP($A300,'01-02.2021'!$A$6:$CZ$403,64,FALSE)+VLOOKUP($A300,'1.3.21-28.2.22'!$A$6:$DA$404,64,FALSE)-VLOOKUP($A300,'01-02.2022'!$A$6:$DA$376,64,FALSE)</f>
        <v>0</v>
      </c>
      <c r="BM300" s="55">
        <f t="shared" si="339"/>
        <v>0</v>
      </c>
      <c r="BN300" s="566">
        <f>VLOOKUP($A300,'01-02.2021'!$A$6:$CZ$403,66,FALSE)+VLOOKUP($A300,'1.3.21-28.2.22'!$A$6:$DA$404,66,FALSE)-VLOOKUP($A300,'01-02.2022'!$A$6:$DA$376,66,FALSE)</f>
        <v>13.765000000000001</v>
      </c>
      <c r="BO300" s="566">
        <f>VLOOKUP($A300,'01-02.2021'!$A$6:$CZ$403,67,FALSE)+VLOOKUP($A300,'1.3.21-28.2.22'!$A$6:$DA$404,67,FALSE)-VLOOKUP($A300,'01-02.2022'!$A$6:$DA$376,67,FALSE)</f>
        <v>0</v>
      </c>
      <c r="BP300" s="55">
        <f t="shared" si="340"/>
        <v>-13.765000000000001</v>
      </c>
      <c r="BQ300" s="77">
        <f t="shared" si="348"/>
        <v>13.765000000000001</v>
      </c>
      <c r="BR300" s="40">
        <f t="shared" si="349"/>
        <v>0</v>
      </c>
      <c r="BS300" s="55">
        <f t="shared" si="314"/>
        <v>-13.765000000000001</v>
      </c>
      <c r="BT300" s="566">
        <f>VLOOKUP($A300,'01-02.2021'!$A$6:$CZ$403,72,FALSE)+VLOOKUP($A300,'1.3.21-28.2.22'!$A$6:$DA$404,72,FALSE)-VLOOKUP($A300,'01-02.2022'!$A$6:$DA$376,72,FALSE)</f>
        <v>348.93557349871367</v>
      </c>
      <c r="BU300" s="566">
        <f>VLOOKUP($A300,'01-02.2021'!$A$6:$CZ$403,73,FALSE)+VLOOKUP($A300,'1.3.21-28.2.22'!$A$6:$DA$404,73,FALSE)-VLOOKUP($A300,'01-02.2022'!$A$6:$DA$376,73,FALSE)</f>
        <v>576.5302239621119</v>
      </c>
      <c r="BV300" s="70">
        <f t="shared" si="341"/>
        <v>227.59465046339824</v>
      </c>
      <c r="BW300" s="566">
        <f>VLOOKUP($A300,'01-02.2021'!$A$6:$CZ$403,75,FALSE)+VLOOKUP($A300,'1.3.21-28.2.22'!$A$6:$DA$404,75,FALSE)-VLOOKUP($A300,'01-02.2022'!$A$6:$DA$376,75,FALSE)</f>
        <v>0</v>
      </c>
      <c r="BX300" s="566">
        <f>VLOOKUP($A300,'01-02.2021'!$A$6:$CZ$403,76,FALSE)+VLOOKUP($A300,'1.3.21-28.2.22'!$A$6:$DA$404,76,FALSE)-VLOOKUP($A300,'01-02.2022'!$A$6:$DA$376,76,FALSE)</f>
        <v>6.1699108905316589</v>
      </c>
      <c r="BY300" s="70">
        <f t="shared" si="342"/>
        <v>6.1699108905316589</v>
      </c>
      <c r="BZ300" s="566">
        <f>VLOOKUP($A300,'01-02.2021'!$A$6:$CZ$403,78,FALSE)+VLOOKUP($A300,'1.3.21-28.2.22'!$A$6:$DA$404,78,FALSE)-VLOOKUP($A300,'01-02.2022'!$A$6:$DA$376,78,FALSE)</f>
        <v>0</v>
      </c>
      <c r="CA300" s="566">
        <f>VLOOKUP($A300,'01-02.2021'!$A$6:$CZ$403,79,FALSE)+VLOOKUP($A300,'1.3.21-28.2.22'!$A$6:$DA$404,79,FALSE)-VLOOKUP($A300,'01-02.2022'!$A$6:$DA$376,79,FALSE)</f>
        <v>33.012312619158109</v>
      </c>
      <c r="CB300" s="70">
        <f t="shared" si="343"/>
        <v>33.012312619158109</v>
      </c>
      <c r="CC300" s="566">
        <f>VLOOKUP($A300,'01-02.2021'!$A$6:$CZ$403,81,FALSE)+VLOOKUP($A300,'1.3.21-28.2.22'!$A$6:$DA$404,81,FALSE)-VLOOKUP($A300,'01-02.2022'!$A$6:$DA$376,81,FALSE)</f>
        <v>0</v>
      </c>
      <c r="CD300" s="566">
        <f>VLOOKUP($A300,'01-02.2021'!$A$6:$CZ$403,82,FALSE)+VLOOKUP($A300,'1.3.21-28.2.22'!$A$6:$DA$404,82,FALSE)-VLOOKUP($A300,'01-02.2022'!$A$6:$DA$376,82,FALSE)</f>
        <v>0</v>
      </c>
      <c r="CE300" s="70">
        <f t="shared" si="344"/>
        <v>0</v>
      </c>
      <c r="CF300" s="566">
        <f>VLOOKUP($A300,'01-02.2021'!$A$6:$CZ$403,84,FALSE)+VLOOKUP($A300,'1.3.21-28.2.22'!$A$6:$DA$404,84,FALSE)-VLOOKUP($A300,'01-02.2022'!$A$6:$DA$376,84,FALSE)</f>
        <v>0</v>
      </c>
      <c r="CG300" s="566">
        <f>VLOOKUP($A300,'01-02.2021'!$A$6:$CZ$403,85,FALSE)+VLOOKUP($A300,'1.3.21-28.2.22'!$A$6:$DA$404,85,FALSE)-VLOOKUP($A300,'01-02.2022'!$A$6:$DA$376,85,FALSE)</f>
        <v>0</v>
      </c>
      <c r="CH300" s="70">
        <f t="shared" si="345"/>
        <v>0</v>
      </c>
      <c r="CI300" s="566">
        <f>VLOOKUP($A300,'01-02.2021'!$A$6:$CZ$403,87,FALSE)+VLOOKUP($A300,'1.3.21-28.2.22'!$A$6:$DA$404,87,FALSE)-VLOOKUP($A300,'01-02.2022'!$A$6:$DA$376,87,FALSE)</f>
        <v>0</v>
      </c>
      <c r="CJ300" s="566">
        <f>VLOOKUP($A300,'01-02.2021'!$A$6:$CZ$403,88,FALSE)+VLOOKUP($A300,'1.3.21-28.2.22'!$A$6:$DA$404,88,FALSE)-VLOOKUP($A300,'01-02.2022'!$A$6:$DA$376,88,FALSE)</f>
        <v>0</v>
      </c>
      <c r="CK300" s="70">
        <f t="shared" si="346"/>
        <v>0</v>
      </c>
      <c r="CL300" s="566">
        <f>VLOOKUP($A300,'01-02.2021'!$A$6:$CZ$403,90,FALSE)+VLOOKUP($A300,'1.3.21-28.2.22'!$A$6:$DA$404,90,FALSE)-VLOOKUP($A300,'01-02.2022'!$A$6:$DA$376,90,FALSE)</f>
        <v>0</v>
      </c>
      <c r="CM300" s="566">
        <f>VLOOKUP($A300,'01-02.2021'!$A$6:$CZ$403,91,FALSE)+VLOOKUP($A300,'1.3.21-28.2.22'!$A$6:$DA$404,91,FALSE)-VLOOKUP($A300,'01-02.2022'!$A$6:$DA$376,91,FALSE)</f>
        <v>0</v>
      </c>
      <c r="CN300" s="52">
        <f t="shared" si="303"/>
        <v>0</v>
      </c>
      <c r="CO300" s="39">
        <f t="shared" si="298"/>
        <v>0</v>
      </c>
      <c r="CP300" s="40">
        <f t="shared" si="304"/>
        <v>0</v>
      </c>
      <c r="CQ300" s="52">
        <f t="shared" si="305"/>
        <v>0</v>
      </c>
      <c r="CR300" s="72">
        <f t="shared" si="299"/>
        <v>3780.2066290691755</v>
      </c>
      <c r="CS300" s="5">
        <f t="shared" si="299"/>
        <v>2542.0358887731882</v>
      </c>
      <c r="CT300" s="52">
        <f t="shared" si="306"/>
        <v>-1238.1707402959873</v>
      </c>
      <c r="CU300" s="77">
        <f t="shared" si="307"/>
        <v>4536.2479548830106</v>
      </c>
      <c r="CV300" s="65">
        <f t="shared" si="308"/>
        <v>3050.4430665278255</v>
      </c>
      <c r="CW300" s="35">
        <f t="shared" si="309"/>
        <v>-1485.8048883551851</v>
      </c>
      <c r="CX300" s="566">
        <f>VLOOKUP($A300,'01-02.2021'!$A$6:$CZ$403,102,FALSE)+VLOOKUP($A300,'1.3.21-28.2.22'!$A$6:$DA$404,102,FALSE)-VLOOKUP($A300,'01-02.2022'!$A$6:$DA$376,102,FALSE)</f>
        <v>158.14301502913662</v>
      </c>
      <c r="CY300" s="566">
        <f>VLOOKUP($A300,'01-02.2021'!$A$6:$CZ$403,103,FALSE)+VLOOKUP($A300,'1.3.21-28.2.22'!$A$6:$DA$404,103,FALSE)-VLOOKUP($A300,'01-02.2022'!$A$6:$DA$376,103,FALSE)</f>
        <v>1643.9479033843234</v>
      </c>
      <c r="CZ300" s="52">
        <f t="shared" si="310"/>
        <v>1485.8048883551867</v>
      </c>
      <c r="DA300" s="150">
        <f>'[2]побудинковий звіт'!DA300</f>
        <v>-7150.0452857462969</v>
      </c>
      <c r="DB300" s="2">
        <v>2</v>
      </c>
      <c r="DC300" s="414">
        <f>'[4]побудинковий звіт'!DC300</f>
        <v>849.35</v>
      </c>
      <c r="DD300" s="414">
        <f>'[4]побудинковий звіт'!DD300</f>
        <v>0</v>
      </c>
      <c r="DE300" s="557">
        <f>'[4]побудинковий звіт'!DE300</f>
        <v>422.61901693265037</v>
      </c>
      <c r="DF300" s="557">
        <f>'[4]побудинковий звіт'!DF300</f>
        <v>0</v>
      </c>
      <c r="DG300" s="321">
        <f>VLOOKUP(A300,'кошти 01.03.2021'!$A$6:$D$401,4,)</f>
        <v>-5613.9443416099339</v>
      </c>
      <c r="DH300" s="40">
        <f>'[3]побудинковий звіт'!DJ300</f>
        <v>4862.4667097480806</v>
      </c>
      <c r="DI300" s="422">
        <f>'[3]побудинковий звіт'!CU300+'[3]побудинковий звіт'!CX300</f>
        <v>426.73098306734965</v>
      </c>
      <c r="DJ300" s="306">
        <f>'[3]побудинковий звіт'!DM300</f>
        <v>1.5500580569100968</v>
      </c>
      <c r="DK300" s="306">
        <f t="shared" si="350"/>
        <v>1.5500580569100968</v>
      </c>
      <c r="DL300" s="306">
        <f>'[3]побудинковий звіт'!DO300</f>
        <v>1.5500580569100968</v>
      </c>
      <c r="DM300" s="28">
        <f t="shared" si="351"/>
        <v>426.73098306734965</v>
      </c>
      <c r="DN300" s="28">
        <f t="shared" si="352"/>
        <v>0</v>
      </c>
      <c r="DO300" s="423">
        <f t="shared" si="319"/>
        <v>426.73098306734965</v>
      </c>
      <c r="DP300" s="94">
        <f t="shared" si="320"/>
        <v>0</v>
      </c>
      <c r="DQ300" s="28">
        <f t="shared" si="321"/>
        <v>426.73098306734965</v>
      </c>
      <c r="DR300" s="318"/>
      <c r="DT300" s="8"/>
      <c r="DU300" s="5"/>
      <c r="DX300" s="5">
        <f t="shared" si="322"/>
        <v>2585.5342818839904</v>
      </c>
      <c r="DY300" s="5">
        <f t="shared" si="323"/>
        <v>0</v>
      </c>
      <c r="DZ300" s="159">
        <f>'[3]побудинковий звіт'!EA300</f>
        <v>271.2737955636872</v>
      </c>
    </row>
    <row r="301" spans="1:130" ht="13.95" customHeight="1" x14ac:dyDescent="0.3">
      <c r="A301" s="325">
        <v>150001094</v>
      </c>
      <c r="B301" s="41" t="s">
        <v>747</v>
      </c>
      <c r="C301" s="42" t="s">
        <v>186</v>
      </c>
      <c r="D301" s="42"/>
      <c r="E301" s="293">
        <f t="shared" si="296"/>
        <v>304.89999999999998</v>
      </c>
      <c r="F301" s="305">
        <f>'[3]побудинковий звіт'!F301</f>
        <v>304.89999999999998</v>
      </c>
      <c r="G301" s="508">
        <f>'[3]побудинковий звіт'!G301</f>
        <v>0</v>
      </c>
      <c r="H301" s="560">
        <f>'[3]побудинковий звіт'!H301</f>
        <v>0</v>
      </c>
      <c r="I301" s="566">
        <f>VLOOKUP($A301,'01-02.2021'!$A$6:$CZ$403,9,FALSE)+VLOOKUP($A301,'1.3.21-28.2.22'!$A$6:$DA$404,9,FALSE)-VLOOKUP($A301,'01-02.2022'!$A$6:$DA$376,9,FALSE)</f>
        <v>0</v>
      </c>
      <c r="J301" s="566">
        <f>VLOOKUP($A301,'01-02.2021'!$A$6:$CZ$403,10,FALSE)+VLOOKUP($A301,'1.3.21-28.2.22'!$A$6:$DA$404,10,FALSE)-VLOOKUP($A301,'01-02.2022'!$A$6:$DA$376,10,FALSE)</f>
        <v>40.091927563084234</v>
      </c>
      <c r="K301" s="52">
        <f t="shared" si="300"/>
        <v>40.091927563084234</v>
      </c>
      <c r="L301" s="566">
        <f>VLOOKUP($A301,'01-02.2021'!$A$6:$CZ$403,12,FALSE)+VLOOKUP($A301,'1.3.21-28.2.22'!$A$6:$DA$404,12,FALSE)-VLOOKUP($A301,'01-02.2022'!$A$6:$DA$376,12,FALSE)</f>
        <v>0</v>
      </c>
      <c r="M301" s="566">
        <f>VLOOKUP($A301,'01-02.2021'!$A$6:$CZ$403,13,FALSE)+VLOOKUP($A301,'1.3.21-28.2.22'!$A$6:$DA$404,13,FALSE)-VLOOKUP($A301,'01-02.2022'!$A$6:$DA$376,13,FALSE)</f>
        <v>0</v>
      </c>
      <c r="N301" s="52">
        <f t="shared" si="301"/>
        <v>0</v>
      </c>
      <c r="O301" s="566">
        <f>VLOOKUP($A301,'01-02.2021'!$A$6:$CZ$403,15,FALSE)+VLOOKUP($A301,'1.3.21-28.2.22'!$A$6:$DA$404,15,FALSE)-VLOOKUP($A301,'01-02.2022'!$A$6:$DA$376,15,FALSE)</f>
        <v>0</v>
      </c>
      <c r="P301" s="566">
        <f>VLOOKUP($A301,'01-02.2021'!$A$6:$CZ$403,16,FALSE)+VLOOKUP($A301,'1.3.21-28.2.22'!$A$6:$DA$404,16,FALSE)-VLOOKUP($A301,'01-02.2022'!$A$6:$DA$376,16,FALSE)</f>
        <v>0</v>
      </c>
      <c r="Q301" s="70">
        <f t="shared" si="324"/>
        <v>0</v>
      </c>
      <c r="R301" s="566">
        <f>VLOOKUP($A301,'01-02.2021'!$A$6:$CZ$403,18,FALSE)+VLOOKUP($A301,'1.3.21-28.2.22'!$A$6:$DA$404,18,FALSE)-VLOOKUP($A301,'01-02.2022'!$A$6:$DA$376,18,FALSE)</f>
        <v>0</v>
      </c>
      <c r="S301" s="566">
        <f>VLOOKUP($A301,'01-02.2021'!$A$6:$CZ$403,19,FALSE)+VLOOKUP($A301,'1.3.21-28.2.22'!$A$6:$DA$404,19,FALSE)-VLOOKUP($A301,'01-02.2022'!$A$6:$DA$376,19,FALSE)</f>
        <v>0</v>
      </c>
      <c r="T301" s="70">
        <f t="shared" si="325"/>
        <v>0</v>
      </c>
      <c r="U301" s="566">
        <f>VLOOKUP($A301,'01-02.2021'!$A$6:$CZ$403,21,FALSE)+VLOOKUP($A301,'1.3.21-28.2.22'!$A$6:$DA$404,21,FALSE)-VLOOKUP($A301,'01-02.2022'!$A$6:$DA$376,21,FALSE)</f>
        <v>0</v>
      </c>
      <c r="V301" s="566">
        <f>VLOOKUP($A301,'01-02.2021'!$A$6:$CZ$403,22,FALSE)+VLOOKUP($A301,'1.3.21-28.2.22'!$A$6:$DA$404,22,FALSE)-VLOOKUP($A301,'01-02.2022'!$A$6:$DA$376,22,FALSE)</f>
        <v>0</v>
      </c>
      <c r="W301" s="70">
        <f t="shared" si="326"/>
        <v>0</v>
      </c>
      <c r="X301" s="566">
        <f>VLOOKUP($A301,'01-02.2021'!$A$6:$CZ$403,24,FALSE)+VLOOKUP($A301,'1.3.21-28.2.22'!$A$6:$DA$404,24,FALSE)-VLOOKUP($A301,'01-02.2022'!$A$6:$DA$376,24,FALSE)</f>
        <v>435.33403043407208</v>
      </c>
      <c r="Y301" s="566">
        <f>VLOOKUP($A301,'01-02.2021'!$A$6:$CZ$403,25,FALSE)+VLOOKUP($A301,'1.3.21-28.2.22'!$A$6:$DA$404,25,FALSE)-VLOOKUP($A301,'01-02.2022'!$A$6:$DA$376,25,FALSE)</f>
        <v>295.4022480687338</v>
      </c>
      <c r="Z301" s="70">
        <f t="shared" si="327"/>
        <v>-139.93178236533828</v>
      </c>
      <c r="AA301" s="566">
        <f>VLOOKUP($A301,'01-02.2021'!$A$6:$CZ$403,27,FALSE)+VLOOKUP($A301,'1.3.21-28.2.22'!$A$6:$DA$404,27,FALSE)-VLOOKUP($A301,'01-02.2022'!$A$6:$DA$376,27,FALSE)</f>
        <v>61</v>
      </c>
      <c r="AB301" s="566">
        <f>VLOOKUP($A301,'01-02.2021'!$A$6:$CZ$403,28,FALSE)+VLOOKUP($A301,'1.3.21-28.2.22'!$A$6:$DA$404,28,FALSE)-VLOOKUP($A301,'01-02.2022'!$A$6:$DA$376,28,FALSE)</f>
        <v>0</v>
      </c>
      <c r="AC301" s="70">
        <f t="shared" si="328"/>
        <v>-61</v>
      </c>
      <c r="AD301" s="566">
        <f>VLOOKUP($A301,'01-02.2021'!$A$6:$CZ$403,30,FALSE)+VLOOKUP($A301,'1.3.21-28.2.22'!$A$6:$DA$404,30,FALSE)-VLOOKUP($A301,'01-02.2022'!$A$6:$DA$376,30,FALSE)</f>
        <v>1218.5474238174968</v>
      </c>
      <c r="AE301" s="566">
        <f>VLOOKUP($A301,'01-02.2021'!$A$6:$CZ$403,31,FALSE)+VLOOKUP($A301,'1.3.21-28.2.22'!$A$6:$DA$404,31,FALSE)-VLOOKUP($A301,'01-02.2022'!$A$6:$DA$376,31,FALSE)</f>
        <v>1387.9170851071333</v>
      </c>
      <c r="AF301" s="68">
        <f t="shared" si="329"/>
        <v>169.3696612896365</v>
      </c>
      <c r="AG301" s="77">
        <f t="shared" si="297"/>
        <v>1714.8814542515688</v>
      </c>
      <c r="AH301" s="53">
        <f t="shared" si="297"/>
        <v>1723.4112607389513</v>
      </c>
      <c r="AI301" s="52">
        <f t="shared" si="302"/>
        <v>8.5298064873825297</v>
      </c>
      <c r="AJ301" s="566">
        <f>VLOOKUP($A301,'01-02.2021'!$A$6:$CZ$403,36,FALSE)+VLOOKUP($A301,'1.3.21-28.2.22'!$A$6:$DA$404,36,FALSE)-VLOOKUP($A301,'01-02.2022'!$A$6:$DA$376,36,FALSE)</f>
        <v>0</v>
      </c>
      <c r="AK301" s="566">
        <f>VLOOKUP($A301,'01-02.2021'!$A$6:$CZ$403,37,FALSE)+VLOOKUP($A301,'1.3.21-28.2.22'!$A$6:$DA$404,37,FALSE)-VLOOKUP($A301,'01-02.2022'!$A$6:$DA$376,37,FALSE)</f>
        <v>0</v>
      </c>
      <c r="AL301" s="70">
        <f t="shared" si="330"/>
        <v>0</v>
      </c>
      <c r="AM301" s="566">
        <f>VLOOKUP($A301,'01-02.2021'!$A$6:$CZ$403,39,FALSE)+VLOOKUP($A301,'1.3.21-28.2.22'!$A$6:$DA$404,39,FALSE)-VLOOKUP($A301,'01-02.2022'!$A$6:$DA$376,39,FALSE)</f>
        <v>0</v>
      </c>
      <c r="AN301" s="566">
        <f>VLOOKUP($A301,'01-02.2021'!$A$6:$CZ$403,40,FALSE)+VLOOKUP($A301,'1.3.21-28.2.22'!$A$6:$DA$404,40,FALSE)-VLOOKUP($A301,'01-02.2022'!$A$6:$DA$376,40,FALSE)</f>
        <v>0</v>
      </c>
      <c r="AO301" s="70">
        <f t="shared" si="331"/>
        <v>0</v>
      </c>
      <c r="AP301" s="566">
        <f>VLOOKUP($A301,'01-02.2021'!$A$6:$CZ$403,42,FALSE)+VLOOKUP($A301,'1.3.21-28.2.22'!$A$6:$DA$404,42,FALSE)-VLOOKUP($A301,'01-02.2022'!$A$6:$DA$376,42,FALSE)</f>
        <v>0</v>
      </c>
      <c r="AQ301" s="566">
        <f>VLOOKUP($A301,'01-02.2021'!$A$6:$CZ$403,43,FALSE)+VLOOKUP($A301,'1.3.21-28.2.22'!$A$6:$DA$404,43,FALSE)-VLOOKUP($A301,'01-02.2022'!$A$6:$DA$376,43,FALSE)</f>
        <v>0</v>
      </c>
      <c r="AR301" s="70">
        <f t="shared" si="332"/>
        <v>0</v>
      </c>
      <c r="AS301" s="566">
        <f>VLOOKUP($A301,'01-02.2021'!$A$6:$CZ$403,45,FALSE)+VLOOKUP($A301,'1.3.21-28.2.22'!$A$6:$DA$404,45,FALSE)-VLOOKUP($A301,'01-02.2022'!$A$6:$DA$376,45,FALSE)</f>
        <v>4475.4051135460768</v>
      </c>
      <c r="AT301" s="566">
        <f>VLOOKUP($A301,'01-02.2021'!$A$6:$CZ$403,46,FALSE)+VLOOKUP($A301,'1.3.21-28.2.22'!$A$6:$DA$404,46,FALSE)-VLOOKUP($A301,'01-02.2022'!$A$6:$DA$376,46,FALSE)</f>
        <v>0</v>
      </c>
      <c r="AU301" s="78">
        <f t="shared" si="333"/>
        <v>-4475.4051135460768</v>
      </c>
      <c r="AV301" s="566">
        <f>VLOOKUP($A301,'01-02.2021'!$A$6:$CZ$403,48,FALSE)+VLOOKUP($A301,'1.3.21-28.2.22'!$A$6:$DA$404,48,FALSE)-VLOOKUP($A301,'01-02.2022'!$A$6:$DA$376,48,FALSE)</f>
        <v>0</v>
      </c>
      <c r="AW301" s="566">
        <f>VLOOKUP($A301,'01-02.2021'!$A$6:$CZ$403,49,FALSE)+VLOOKUP($A301,'1.3.21-28.2.22'!$A$6:$DA$404,49,FALSE)-VLOOKUP($A301,'01-02.2022'!$A$6:$DA$376,49,FALSE)</f>
        <v>0</v>
      </c>
      <c r="AX301" s="55">
        <f t="shared" si="334"/>
        <v>0</v>
      </c>
      <c r="AY301" s="566">
        <f>VLOOKUP($A301,'01-02.2021'!$A$6:$CZ$403,51,FALSE)+VLOOKUP($A301,'1.3.21-28.2.22'!$A$6:$DA$404,51,FALSE)-VLOOKUP($A301,'01-02.2022'!$A$6:$DA$376,51,FALSE)</f>
        <v>0</v>
      </c>
      <c r="AZ301" s="566">
        <f>VLOOKUP($A301,'01-02.2021'!$A$6:$CZ$403,52,FALSE)+VLOOKUP($A301,'1.3.21-28.2.22'!$A$6:$DA$404,52,FALSE)-VLOOKUP($A301,'01-02.2022'!$A$6:$DA$376,52,FALSE)</f>
        <v>0</v>
      </c>
      <c r="BA301" s="38">
        <f t="shared" si="335"/>
        <v>0</v>
      </c>
      <c r="BB301" s="566">
        <f>VLOOKUP($A301,'01-02.2021'!$A$6:$CZ$403,54,FALSE)+VLOOKUP($A301,'1.3.21-28.2.22'!$A$6:$DA$404,54,FALSE)-VLOOKUP($A301,'01-02.2022'!$A$6:$DA$376,54,FALSE)</f>
        <v>0</v>
      </c>
      <c r="BC301" s="566">
        <f>VLOOKUP($A301,'01-02.2021'!$A$6:$CZ$403,55,FALSE)+VLOOKUP($A301,'1.3.21-28.2.22'!$A$6:$DA$404,55,FALSE)-VLOOKUP($A301,'01-02.2022'!$A$6:$DA$376,55,FALSE)</f>
        <v>0</v>
      </c>
      <c r="BD301" s="55">
        <f t="shared" si="336"/>
        <v>0</v>
      </c>
      <c r="BE301" s="566">
        <f>VLOOKUP($A301,'01-02.2021'!$A$6:$CZ$403,57,FALSE)+VLOOKUP($A301,'1.3.21-28.2.22'!$A$6:$DA$404,57,FALSE)-VLOOKUP($A301,'01-02.2022'!$A$6:$DA$376,57,FALSE)</f>
        <v>0</v>
      </c>
      <c r="BF301" s="566">
        <f>VLOOKUP($A301,'01-02.2021'!$A$6:$CZ$403,58,FALSE)+VLOOKUP($A301,'1.3.21-28.2.22'!$A$6:$DA$404,58,FALSE)-VLOOKUP($A301,'01-02.2022'!$A$6:$DA$376,58,FALSE)</f>
        <v>0</v>
      </c>
      <c r="BG301" s="55">
        <f t="shared" si="337"/>
        <v>0</v>
      </c>
      <c r="BH301" s="566">
        <f>VLOOKUP($A301,'01-02.2021'!$A$6:$CZ$403,60,FALSE)+VLOOKUP($A301,'1.3.21-28.2.22'!$A$6:$DA$404,60,FALSE)-VLOOKUP($A301,'01-02.2022'!$A$6:$DA$376,60,FALSE)</f>
        <v>0</v>
      </c>
      <c r="BI301" s="566">
        <f>VLOOKUP($A301,'01-02.2021'!$A$6:$CZ$403,61,FALSE)+VLOOKUP($A301,'1.3.21-28.2.22'!$A$6:$DA$404,61,FALSE)-VLOOKUP($A301,'01-02.2022'!$A$6:$DA$376,61,FALSE)</f>
        <v>0</v>
      </c>
      <c r="BJ301" s="55">
        <f t="shared" si="338"/>
        <v>0</v>
      </c>
      <c r="BK301" s="566">
        <f>VLOOKUP($A301,'01-02.2021'!$A$6:$CZ$403,63,FALSE)+VLOOKUP($A301,'1.3.21-28.2.22'!$A$6:$DA$404,63,FALSE)-VLOOKUP($A301,'01-02.2022'!$A$6:$DA$376,63,FALSE)</f>
        <v>121.78599642252749</v>
      </c>
      <c r="BL301" s="566">
        <f>VLOOKUP($A301,'01-02.2021'!$A$6:$CZ$403,64,FALSE)+VLOOKUP($A301,'1.3.21-28.2.22'!$A$6:$DA$404,64,FALSE)-VLOOKUP($A301,'01-02.2022'!$A$6:$DA$376,64,FALSE)</f>
        <v>0</v>
      </c>
      <c r="BM301" s="55">
        <f t="shared" si="339"/>
        <v>-121.78599642252749</v>
      </c>
      <c r="BN301" s="566">
        <f>VLOOKUP($A301,'01-02.2021'!$A$6:$CZ$403,66,FALSE)+VLOOKUP($A301,'1.3.21-28.2.22'!$A$6:$DA$404,66,FALSE)-VLOOKUP($A301,'01-02.2022'!$A$6:$DA$376,66,FALSE)</f>
        <v>15.25</v>
      </c>
      <c r="BO301" s="566">
        <f>VLOOKUP($A301,'01-02.2021'!$A$6:$CZ$403,67,FALSE)+VLOOKUP($A301,'1.3.21-28.2.22'!$A$6:$DA$404,67,FALSE)-VLOOKUP($A301,'01-02.2022'!$A$6:$DA$376,67,FALSE)</f>
        <v>0</v>
      </c>
      <c r="BP301" s="55">
        <f t="shared" si="340"/>
        <v>-15.25</v>
      </c>
      <c r="BQ301" s="77">
        <f t="shared" si="348"/>
        <v>137.03599642252749</v>
      </c>
      <c r="BR301" s="40">
        <f t="shared" si="349"/>
        <v>0</v>
      </c>
      <c r="BS301" s="55">
        <f t="shared" si="314"/>
        <v>-137.03599642252749</v>
      </c>
      <c r="BT301" s="566">
        <f>VLOOKUP($A301,'01-02.2021'!$A$6:$CZ$403,72,FALSE)+VLOOKUP($A301,'1.3.21-28.2.22'!$A$6:$DA$404,72,FALSE)-VLOOKUP($A301,'01-02.2022'!$A$6:$DA$376,72,FALSE)</f>
        <v>0</v>
      </c>
      <c r="BU301" s="566">
        <f>VLOOKUP($A301,'01-02.2021'!$A$6:$CZ$403,73,FALSE)+VLOOKUP($A301,'1.3.21-28.2.22'!$A$6:$DA$404,73,FALSE)-VLOOKUP($A301,'01-02.2022'!$A$6:$DA$376,73,FALSE)</f>
        <v>0</v>
      </c>
      <c r="BV301" s="70">
        <f t="shared" si="341"/>
        <v>0</v>
      </c>
      <c r="BW301" s="566">
        <f>VLOOKUP($A301,'01-02.2021'!$A$6:$CZ$403,75,FALSE)+VLOOKUP($A301,'1.3.21-28.2.22'!$A$6:$DA$404,75,FALSE)-VLOOKUP($A301,'01-02.2022'!$A$6:$DA$376,75,FALSE)</f>
        <v>136.37044134622201</v>
      </c>
      <c r="BX301" s="566">
        <f>VLOOKUP($A301,'01-02.2021'!$A$6:$CZ$403,76,FALSE)+VLOOKUP($A301,'1.3.21-28.2.22'!$A$6:$DA$404,76,FALSE)-VLOOKUP($A301,'01-02.2022'!$A$6:$DA$376,76,FALSE)</f>
        <v>8.156358228432504</v>
      </c>
      <c r="BY301" s="70">
        <f t="shared" si="342"/>
        <v>-128.2140831177895</v>
      </c>
      <c r="BZ301" s="566">
        <f>VLOOKUP($A301,'01-02.2021'!$A$6:$CZ$403,78,FALSE)+VLOOKUP($A301,'1.3.21-28.2.22'!$A$6:$DA$404,78,FALSE)-VLOOKUP($A301,'01-02.2022'!$A$6:$DA$376,78,FALSE)</f>
        <v>0</v>
      </c>
      <c r="CA301" s="566">
        <f>VLOOKUP($A301,'01-02.2021'!$A$6:$CZ$403,79,FALSE)+VLOOKUP($A301,'1.3.21-28.2.22'!$A$6:$DA$404,79,FALSE)-VLOOKUP($A301,'01-02.2022'!$A$6:$DA$376,79,FALSE)</f>
        <v>0</v>
      </c>
      <c r="CB301" s="70">
        <f t="shared" si="343"/>
        <v>0</v>
      </c>
      <c r="CC301" s="566">
        <f>VLOOKUP($A301,'01-02.2021'!$A$6:$CZ$403,81,FALSE)+VLOOKUP($A301,'1.3.21-28.2.22'!$A$6:$DA$404,81,FALSE)-VLOOKUP($A301,'01-02.2022'!$A$6:$DA$376,81,FALSE)</f>
        <v>0</v>
      </c>
      <c r="CD301" s="566">
        <f>VLOOKUP($A301,'01-02.2021'!$A$6:$CZ$403,82,FALSE)+VLOOKUP($A301,'1.3.21-28.2.22'!$A$6:$DA$404,82,FALSE)-VLOOKUP($A301,'01-02.2022'!$A$6:$DA$376,82,FALSE)</f>
        <v>0</v>
      </c>
      <c r="CE301" s="70">
        <f t="shared" si="344"/>
        <v>0</v>
      </c>
      <c r="CF301" s="566">
        <f>VLOOKUP($A301,'01-02.2021'!$A$6:$CZ$403,84,FALSE)+VLOOKUP($A301,'1.3.21-28.2.22'!$A$6:$DA$404,84,FALSE)-VLOOKUP($A301,'01-02.2022'!$A$6:$DA$376,84,FALSE)</f>
        <v>0</v>
      </c>
      <c r="CG301" s="566">
        <f>VLOOKUP($A301,'01-02.2021'!$A$6:$CZ$403,85,FALSE)+VLOOKUP($A301,'1.3.21-28.2.22'!$A$6:$DA$404,85,FALSE)-VLOOKUP($A301,'01-02.2022'!$A$6:$DA$376,85,FALSE)</f>
        <v>0</v>
      </c>
      <c r="CH301" s="70">
        <f t="shared" si="345"/>
        <v>0</v>
      </c>
      <c r="CI301" s="566">
        <f>VLOOKUP($A301,'01-02.2021'!$A$6:$CZ$403,87,FALSE)+VLOOKUP($A301,'1.3.21-28.2.22'!$A$6:$DA$404,87,FALSE)-VLOOKUP($A301,'01-02.2022'!$A$6:$DA$376,87,FALSE)</f>
        <v>202.54278176681038</v>
      </c>
      <c r="CJ301" s="566">
        <f>VLOOKUP($A301,'01-02.2021'!$A$6:$CZ$403,88,FALSE)+VLOOKUP($A301,'1.3.21-28.2.22'!$A$6:$DA$404,88,FALSE)-VLOOKUP($A301,'01-02.2022'!$A$6:$DA$376,88,FALSE)</f>
        <v>137.81213451668268</v>
      </c>
      <c r="CK301" s="70">
        <f t="shared" si="346"/>
        <v>-64.730647250127703</v>
      </c>
      <c r="CL301" s="566">
        <f>VLOOKUP($A301,'01-02.2021'!$A$6:$CZ$403,90,FALSE)+VLOOKUP($A301,'1.3.21-28.2.22'!$A$6:$DA$404,90,FALSE)-VLOOKUP($A301,'01-02.2022'!$A$6:$DA$376,90,FALSE)</f>
        <v>0</v>
      </c>
      <c r="CM301" s="566">
        <f>VLOOKUP($A301,'01-02.2021'!$A$6:$CZ$403,91,FALSE)+VLOOKUP($A301,'1.3.21-28.2.22'!$A$6:$DA$404,91,FALSE)-VLOOKUP($A301,'01-02.2022'!$A$6:$DA$376,91,FALSE)</f>
        <v>0</v>
      </c>
      <c r="CN301" s="52">
        <f t="shared" si="303"/>
        <v>0</v>
      </c>
      <c r="CO301" s="39">
        <f t="shared" si="298"/>
        <v>202.54278176681038</v>
      </c>
      <c r="CP301" s="40">
        <f t="shared" si="304"/>
        <v>137.81213451668268</v>
      </c>
      <c r="CQ301" s="52">
        <f t="shared" si="305"/>
        <v>-64.730647250127703</v>
      </c>
      <c r="CR301" s="72">
        <f t="shared" si="299"/>
        <v>6666.2357873332057</v>
      </c>
      <c r="CS301" s="5">
        <f t="shared" si="299"/>
        <v>1869.3797534840664</v>
      </c>
      <c r="CT301" s="52">
        <f t="shared" si="306"/>
        <v>-4796.8560338491388</v>
      </c>
      <c r="CU301" s="77">
        <f t="shared" si="307"/>
        <v>7999.4829447998463</v>
      </c>
      <c r="CV301" s="65">
        <f t="shared" si="308"/>
        <v>2243.2557041808795</v>
      </c>
      <c r="CW301" s="35">
        <f t="shared" si="309"/>
        <v>-5756.2272406189668</v>
      </c>
      <c r="CX301" s="566">
        <f>VLOOKUP($A301,'01-02.2021'!$A$6:$CZ$403,102,FALSE)+VLOOKUP($A301,'1.3.21-28.2.22'!$A$6:$DA$404,102,FALSE)-VLOOKUP($A301,'01-02.2022'!$A$6:$DA$376,102,FALSE)</f>
        <v>278.77602652901294</v>
      </c>
      <c r="CY301" s="566">
        <f>VLOOKUP($A301,'01-02.2021'!$A$6:$CZ$403,103,FALSE)+VLOOKUP($A301,'1.3.21-28.2.22'!$A$6:$DA$404,103,FALSE)-VLOOKUP($A301,'01-02.2022'!$A$6:$DA$376,103,FALSE)</f>
        <v>6035.0032671479794</v>
      </c>
      <c r="CZ301" s="52">
        <f t="shared" si="310"/>
        <v>5756.2272406189668</v>
      </c>
      <c r="DA301" s="150">
        <f>'[2]побудинковий звіт'!DA301</f>
        <v>-5271.6586713342431</v>
      </c>
      <c r="DB301" s="2">
        <v>1</v>
      </c>
      <c r="DC301" s="414">
        <f>'[4]побудинковий звіт'!DC301</f>
        <v>755.79</v>
      </c>
      <c r="DD301" s="414">
        <f>'[4]побудинковий звіт'!DD301</f>
        <v>0</v>
      </c>
      <c r="DE301" s="557">
        <f>'[4]побудинковий звіт'!DE301</f>
        <v>2.7234074199639053</v>
      </c>
      <c r="DF301" s="557">
        <f>'[4]побудинковий звіт'!DF301</f>
        <v>0</v>
      </c>
      <c r="DG301" s="321">
        <f>VLOOKUP(A301,'кошти 01.03.2021'!$A$6:$D$401,4,)</f>
        <v>932.43215787036638</v>
      </c>
      <c r="DH301" s="40">
        <f>'[3]побудинковий звіт'!DJ301</f>
        <v>8577.313339821314</v>
      </c>
      <c r="DI301" s="422">
        <f>'[3]побудинковий звіт'!CU301+'[3]побудинковий звіт'!CX301</f>
        <v>753.06659258003606</v>
      </c>
      <c r="DJ301" s="306">
        <f>'[3]побудинковий звіт'!DM301</f>
        <v>2.4698805922598757</v>
      </c>
      <c r="DK301" s="306">
        <f t="shared" si="350"/>
        <v>2.4698805922598757</v>
      </c>
      <c r="DL301" s="306">
        <f>'[3]побудинковий звіт'!DO301</f>
        <v>2.391290120978494</v>
      </c>
      <c r="DM301" s="28">
        <f t="shared" si="351"/>
        <v>753.06659258003606</v>
      </c>
      <c r="DN301" s="28">
        <f t="shared" si="352"/>
        <v>0</v>
      </c>
      <c r="DO301" s="423">
        <f t="shared" si="319"/>
        <v>753.06659258003606</v>
      </c>
      <c r="DP301" s="94">
        <f t="shared" si="320"/>
        <v>0</v>
      </c>
      <c r="DQ301" s="28">
        <f t="shared" si="321"/>
        <v>753.06659258003606</v>
      </c>
      <c r="DR301" s="318"/>
      <c r="DT301" s="8"/>
      <c r="DU301" s="5"/>
      <c r="DX301" s="5">
        <f t="shared" si="322"/>
        <v>5534.9293319623248</v>
      </c>
      <c r="DY301" s="5">
        <f t="shared" si="323"/>
        <v>0</v>
      </c>
      <c r="DZ301" s="159">
        <f>'[3]побудинковий звіт'!EA301</f>
        <v>521.92128932215587</v>
      </c>
    </row>
    <row r="302" spans="1:130" x14ac:dyDescent="0.3">
      <c r="A302" s="325">
        <v>150000851</v>
      </c>
      <c r="B302" s="41" t="s">
        <v>748</v>
      </c>
      <c r="C302" s="42" t="s">
        <v>135</v>
      </c>
      <c r="D302" s="42"/>
      <c r="E302" s="293">
        <f t="shared" si="296"/>
        <v>168.1</v>
      </c>
      <c r="F302" s="305">
        <f>'[3]побудинковий звіт'!F302</f>
        <v>168.1</v>
      </c>
      <c r="G302" s="508">
        <f>'[3]побудинковий звіт'!G302</f>
        <v>0</v>
      </c>
      <c r="H302" s="560">
        <f>'[3]побудинковий звіт'!H302</f>
        <v>0</v>
      </c>
      <c r="I302" s="566">
        <f>VLOOKUP($A302,'01-02.2021'!$A$6:$CZ$403,9,FALSE)+VLOOKUP($A302,'1.3.21-28.2.22'!$A$6:$DA$404,9,FALSE)-VLOOKUP($A302,'01-02.2022'!$A$6:$DA$376,9,FALSE)</f>
        <v>0</v>
      </c>
      <c r="J302" s="566">
        <f>VLOOKUP($A302,'01-02.2021'!$A$6:$CZ$403,10,FALSE)+VLOOKUP($A302,'1.3.21-28.2.22'!$A$6:$DA$404,10,FALSE)-VLOOKUP($A302,'01-02.2022'!$A$6:$DA$376,10,FALSE)</f>
        <v>0</v>
      </c>
      <c r="K302" s="52">
        <f t="shared" si="300"/>
        <v>0</v>
      </c>
      <c r="L302" s="566">
        <f>VLOOKUP($A302,'01-02.2021'!$A$6:$CZ$403,12,FALSE)+VLOOKUP($A302,'1.3.21-28.2.22'!$A$6:$DA$404,12,FALSE)-VLOOKUP($A302,'01-02.2022'!$A$6:$DA$376,12,FALSE)</f>
        <v>0</v>
      </c>
      <c r="M302" s="566">
        <f>VLOOKUP($A302,'01-02.2021'!$A$6:$CZ$403,13,FALSE)+VLOOKUP($A302,'1.3.21-28.2.22'!$A$6:$DA$404,13,FALSE)-VLOOKUP($A302,'01-02.2022'!$A$6:$DA$376,13,FALSE)</f>
        <v>0</v>
      </c>
      <c r="N302" s="52">
        <f t="shared" si="301"/>
        <v>0</v>
      </c>
      <c r="O302" s="566">
        <f>VLOOKUP($A302,'01-02.2021'!$A$6:$CZ$403,15,FALSE)+VLOOKUP($A302,'1.3.21-28.2.22'!$A$6:$DA$404,15,FALSE)-VLOOKUP($A302,'01-02.2022'!$A$6:$DA$376,15,FALSE)</f>
        <v>0</v>
      </c>
      <c r="P302" s="566">
        <f>VLOOKUP($A302,'01-02.2021'!$A$6:$CZ$403,16,FALSE)+VLOOKUP($A302,'1.3.21-28.2.22'!$A$6:$DA$404,16,FALSE)-VLOOKUP($A302,'01-02.2022'!$A$6:$DA$376,16,FALSE)</f>
        <v>0</v>
      </c>
      <c r="Q302" s="70">
        <f t="shared" si="324"/>
        <v>0</v>
      </c>
      <c r="R302" s="566">
        <f>VLOOKUP($A302,'01-02.2021'!$A$6:$CZ$403,18,FALSE)+VLOOKUP($A302,'1.3.21-28.2.22'!$A$6:$DA$404,18,FALSE)-VLOOKUP($A302,'01-02.2022'!$A$6:$DA$376,18,FALSE)</f>
        <v>0</v>
      </c>
      <c r="S302" s="566">
        <f>VLOOKUP($A302,'01-02.2021'!$A$6:$CZ$403,19,FALSE)+VLOOKUP($A302,'1.3.21-28.2.22'!$A$6:$DA$404,19,FALSE)-VLOOKUP($A302,'01-02.2022'!$A$6:$DA$376,19,FALSE)</f>
        <v>0</v>
      </c>
      <c r="T302" s="70">
        <f t="shared" si="325"/>
        <v>0</v>
      </c>
      <c r="U302" s="566">
        <f>VLOOKUP($A302,'01-02.2021'!$A$6:$CZ$403,21,FALSE)+VLOOKUP($A302,'1.3.21-28.2.22'!$A$6:$DA$404,21,FALSE)-VLOOKUP($A302,'01-02.2022'!$A$6:$DA$376,21,FALSE)</f>
        <v>0</v>
      </c>
      <c r="V302" s="566">
        <f>VLOOKUP($A302,'01-02.2021'!$A$6:$CZ$403,22,FALSE)+VLOOKUP($A302,'1.3.21-28.2.22'!$A$6:$DA$404,22,FALSE)-VLOOKUP($A302,'01-02.2022'!$A$6:$DA$376,22,FALSE)</f>
        <v>0</v>
      </c>
      <c r="W302" s="70">
        <f t="shared" si="326"/>
        <v>0</v>
      </c>
      <c r="X302" s="566">
        <f>VLOOKUP($A302,'01-02.2021'!$A$6:$CZ$403,24,FALSE)+VLOOKUP($A302,'1.3.21-28.2.22'!$A$6:$DA$404,24,FALSE)-VLOOKUP($A302,'01-02.2022'!$A$6:$DA$376,24,FALSE)</f>
        <v>0</v>
      </c>
      <c r="Y302" s="566">
        <f>VLOOKUP($A302,'01-02.2021'!$A$6:$CZ$403,25,FALSE)+VLOOKUP($A302,'1.3.21-28.2.22'!$A$6:$DA$404,25,FALSE)-VLOOKUP($A302,'01-02.2022'!$A$6:$DA$376,25,FALSE)</f>
        <v>0</v>
      </c>
      <c r="Z302" s="70">
        <f t="shared" si="327"/>
        <v>0</v>
      </c>
      <c r="AA302" s="566">
        <f>VLOOKUP($A302,'01-02.2021'!$A$6:$CZ$403,27,FALSE)+VLOOKUP($A302,'1.3.21-28.2.22'!$A$6:$DA$404,27,FALSE)-VLOOKUP($A302,'01-02.2022'!$A$6:$DA$376,27,FALSE)</f>
        <v>33.620000000000005</v>
      </c>
      <c r="AB302" s="566">
        <f>VLOOKUP($A302,'01-02.2021'!$A$6:$CZ$403,28,FALSE)+VLOOKUP($A302,'1.3.21-28.2.22'!$A$6:$DA$404,28,FALSE)-VLOOKUP($A302,'01-02.2022'!$A$6:$DA$376,28,FALSE)</f>
        <v>0</v>
      </c>
      <c r="AC302" s="70">
        <f t="shared" si="328"/>
        <v>-33.620000000000005</v>
      </c>
      <c r="AD302" s="566">
        <f>VLOOKUP($A302,'01-02.2021'!$A$6:$CZ$403,30,FALSE)+VLOOKUP($A302,'1.3.21-28.2.22'!$A$6:$DA$404,30,FALSE)-VLOOKUP($A302,'01-02.2022'!$A$6:$DA$376,30,FALSE)</f>
        <v>252.51161926752047</v>
      </c>
      <c r="AE302" s="566">
        <f>VLOOKUP($A302,'01-02.2021'!$A$6:$CZ$403,31,FALSE)+VLOOKUP($A302,'1.3.21-28.2.22'!$A$6:$DA$404,31,FALSE)-VLOOKUP($A302,'01-02.2022'!$A$6:$DA$376,31,FALSE)</f>
        <v>765.19797312728474</v>
      </c>
      <c r="AF302" s="68">
        <f t="shared" si="329"/>
        <v>512.68635385976427</v>
      </c>
      <c r="AG302" s="77">
        <f t="shared" si="297"/>
        <v>286.13161926752048</v>
      </c>
      <c r="AH302" s="53">
        <f t="shared" si="297"/>
        <v>765.19797312728474</v>
      </c>
      <c r="AI302" s="52">
        <f t="shared" si="302"/>
        <v>479.06635385976426</v>
      </c>
      <c r="AJ302" s="566">
        <f>VLOOKUP($A302,'01-02.2021'!$A$6:$CZ$403,36,FALSE)+VLOOKUP($A302,'1.3.21-28.2.22'!$A$6:$DA$404,36,FALSE)-VLOOKUP($A302,'01-02.2022'!$A$6:$DA$376,36,FALSE)</f>
        <v>0</v>
      </c>
      <c r="AK302" s="566">
        <f>VLOOKUP($A302,'01-02.2021'!$A$6:$CZ$403,37,FALSE)+VLOOKUP($A302,'1.3.21-28.2.22'!$A$6:$DA$404,37,FALSE)-VLOOKUP($A302,'01-02.2022'!$A$6:$DA$376,37,FALSE)</f>
        <v>0</v>
      </c>
      <c r="AL302" s="70">
        <f t="shared" si="330"/>
        <v>0</v>
      </c>
      <c r="AM302" s="566">
        <f>VLOOKUP($A302,'01-02.2021'!$A$6:$CZ$403,39,FALSE)+VLOOKUP($A302,'1.3.21-28.2.22'!$A$6:$DA$404,39,FALSE)-VLOOKUP($A302,'01-02.2022'!$A$6:$DA$376,39,FALSE)</f>
        <v>0</v>
      </c>
      <c r="AN302" s="566">
        <f>VLOOKUP($A302,'01-02.2021'!$A$6:$CZ$403,40,FALSE)+VLOOKUP($A302,'1.3.21-28.2.22'!$A$6:$DA$404,40,FALSE)-VLOOKUP($A302,'01-02.2022'!$A$6:$DA$376,40,FALSE)</f>
        <v>0</v>
      </c>
      <c r="AO302" s="70">
        <f t="shared" si="331"/>
        <v>0</v>
      </c>
      <c r="AP302" s="566">
        <f>VLOOKUP($A302,'01-02.2021'!$A$6:$CZ$403,42,FALSE)+VLOOKUP($A302,'1.3.21-28.2.22'!$A$6:$DA$404,42,FALSE)-VLOOKUP($A302,'01-02.2022'!$A$6:$DA$376,42,FALSE)</f>
        <v>260.27996250638864</v>
      </c>
      <c r="AQ302" s="566">
        <f>VLOOKUP($A302,'01-02.2021'!$A$6:$CZ$403,43,FALSE)+VLOOKUP($A302,'1.3.21-28.2.22'!$A$6:$DA$404,43,FALSE)-VLOOKUP($A302,'01-02.2022'!$A$6:$DA$376,43,FALSE)</f>
        <v>224.38224961495439</v>
      </c>
      <c r="AR302" s="70">
        <f t="shared" si="332"/>
        <v>-35.897712891434253</v>
      </c>
      <c r="AS302" s="566">
        <f>VLOOKUP($A302,'01-02.2021'!$A$6:$CZ$403,45,FALSE)+VLOOKUP($A302,'1.3.21-28.2.22'!$A$6:$DA$404,45,FALSE)-VLOOKUP($A302,'01-02.2022'!$A$6:$DA$376,45,FALSE)</f>
        <v>1561.1238809413712</v>
      </c>
      <c r="AT302" s="566">
        <f>VLOOKUP($A302,'01-02.2021'!$A$6:$CZ$403,46,FALSE)+VLOOKUP($A302,'1.3.21-28.2.22'!$A$6:$DA$404,46,FALSE)-VLOOKUP($A302,'01-02.2022'!$A$6:$DA$376,46,FALSE)</f>
        <v>0</v>
      </c>
      <c r="AU302" s="78">
        <f t="shared" si="333"/>
        <v>-1561.1238809413712</v>
      </c>
      <c r="AV302" s="566">
        <f>VLOOKUP($A302,'01-02.2021'!$A$6:$CZ$403,48,FALSE)+VLOOKUP($A302,'1.3.21-28.2.22'!$A$6:$DA$404,48,FALSE)-VLOOKUP($A302,'01-02.2022'!$A$6:$DA$376,48,FALSE)</f>
        <v>0</v>
      </c>
      <c r="AW302" s="566">
        <f>VLOOKUP($A302,'01-02.2021'!$A$6:$CZ$403,49,FALSE)+VLOOKUP($A302,'1.3.21-28.2.22'!$A$6:$DA$404,49,FALSE)-VLOOKUP($A302,'01-02.2022'!$A$6:$DA$376,49,FALSE)</f>
        <v>0</v>
      </c>
      <c r="AX302" s="55">
        <f t="shared" si="334"/>
        <v>0</v>
      </c>
      <c r="AY302" s="566">
        <f>VLOOKUP($A302,'01-02.2021'!$A$6:$CZ$403,51,FALSE)+VLOOKUP($A302,'1.3.21-28.2.22'!$A$6:$DA$404,51,FALSE)-VLOOKUP($A302,'01-02.2022'!$A$6:$DA$376,51,FALSE)</f>
        <v>0</v>
      </c>
      <c r="AZ302" s="566">
        <f>VLOOKUP($A302,'01-02.2021'!$A$6:$CZ$403,52,FALSE)+VLOOKUP($A302,'1.3.21-28.2.22'!$A$6:$DA$404,52,FALSE)-VLOOKUP($A302,'01-02.2022'!$A$6:$DA$376,52,FALSE)</f>
        <v>0</v>
      </c>
      <c r="BA302" s="38">
        <f t="shared" si="335"/>
        <v>0</v>
      </c>
      <c r="BB302" s="566">
        <f>VLOOKUP($A302,'01-02.2021'!$A$6:$CZ$403,54,FALSE)+VLOOKUP($A302,'1.3.21-28.2.22'!$A$6:$DA$404,54,FALSE)-VLOOKUP($A302,'01-02.2022'!$A$6:$DA$376,54,FALSE)</f>
        <v>0</v>
      </c>
      <c r="BC302" s="566">
        <f>VLOOKUP($A302,'01-02.2021'!$A$6:$CZ$403,55,FALSE)+VLOOKUP($A302,'1.3.21-28.2.22'!$A$6:$DA$404,55,FALSE)-VLOOKUP($A302,'01-02.2022'!$A$6:$DA$376,55,FALSE)</f>
        <v>0</v>
      </c>
      <c r="BD302" s="55">
        <f t="shared" si="336"/>
        <v>0</v>
      </c>
      <c r="BE302" s="566">
        <f>VLOOKUP($A302,'01-02.2021'!$A$6:$CZ$403,57,FALSE)+VLOOKUP($A302,'1.3.21-28.2.22'!$A$6:$DA$404,57,FALSE)-VLOOKUP($A302,'01-02.2022'!$A$6:$DA$376,57,FALSE)</f>
        <v>0</v>
      </c>
      <c r="BF302" s="566">
        <f>VLOOKUP($A302,'01-02.2021'!$A$6:$CZ$403,58,FALSE)+VLOOKUP($A302,'1.3.21-28.2.22'!$A$6:$DA$404,58,FALSE)-VLOOKUP($A302,'01-02.2022'!$A$6:$DA$376,58,FALSE)</f>
        <v>0</v>
      </c>
      <c r="BG302" s="55">
        <f t="shared" si="337"/>
        <v>0</v>
      </c>
      <c r="BH302" s="566">
        <f>VLOOKUP($A302,'01-02.2021'!$A$6:$CZ$403,60,FALSE)+VLOOKUP($A302,'1.3.21-28.2.22'!$A$6:$DA$404,60,FALSE)-VLOOKUP($A302,'01-02.2022'!$A$6:$DA$376,60,FALSE)</f>
        <v>0</v>
      </c>
      <c r="BI302" s="566">
        <f>VLOOKUP($A302,'01-02.2021'!$A$6:$CZ$403,61,FALSE)+VLOOKUP($A302,'1.3.21-28.2.22'!$A$6:$DA$404,61,FALSE)-VLOOKUP($A302,'01-02.2022'!$A$6:$DA$376,61,FALSE)</f>
        <v>0</v>
      </c>
      <c r="BJ302" s="55">
        <f t="shared" si="338"/>
        <v>0</v>
      </c>
      <c r="BK302" s="566">
        <f>VLOOKUP($A302,'01-02.2021'!$A$6:$CZ$403,63,FALSE)+VLOOKUP($A302,'1.3.21-28.2.22'!$A$6:$DA$404,63,FALSE)-VLOOKUP($A302,'01-02.2022'!$A$6:$DA$376,63,FALSE)</f>
        <v>0</v>
      </c>
      <c r="BL302" s="566">
        <f>VLOOKUP($A302,'01-02.2021'!$A$6:$CZ$403,64,FALSE)+VLOOKUP($A302,'1.3.21-28.2.22'!$A$6:$DA$404,64,FALSE)-VLOOKUP($A302,'01-02.2022'!$A$6:$DA$376,64,FALSE)</f>
        <v>0</v>
      </c>
      <c r="BM302" s="55">
        <f t="shared" si="339"/>
        <v>0</v>
      </c>
      <c r="BN302" s="566">
        <f>VLOOKUP($A302,'01-02.2021'!$A$6:$CZ$403,66,FALSE)+VLOOKUP($A302,'1.3.21-28.2.22'!$A$6:$DA$404,66,FALSE)-VLOOKUP($A302,'01-02.2022'!$A$6:$DA$376,66,FALSE)</f>
        <v>8.4050000000000011</v>
      </c>
      <c r="BO302" s="566">
        <f>VLOOKUP($A302,'01-02.2021'!$A$6:$CZ$403,67,FALSE)+VLOOKUP($A302,'1.3.21-28.2.22'!$A$6:$DA$404,67,FALSE)-VLOOKUP($A302,'01-02.2022'!$A$6:$DA$376,67,FALSE)</f>
        <v>0</v>
      </c>
      <c r="BP302" s="55">
        <f t="shared" si="340"/>
        <v>-8.4050000000000011</v>
      </c>
      <c r="BQ302" s="77">
        <f t="shared" si="348"/>
        <v>8.4050000000000011</v>
      </c>
      <c r="BR302" s="40">
        <f t="shared" si="349"/>
        <v>0</v>
      </c>
      <c r="BS302" s="55">
        <f t="shared" si="314"/>
        <v>-8.4050000000000011</v>
      </c>
      <c r="BT302" s="566">
        <f>VLOOKUP($A302,'01-02.2021'!$A$6:$CZ$403,72,FALSE)+VLOOKUP($A302,'1.3.21-28.2.22'!$A$6:$DA$404,72,FALSE)-VLOOKUP($A302,'01-02.2022'!$A$6:$DA$376,72,FALSE)</f>
        <v>0</v>
      </c>
      <c r="BU302" s="566">
        <f>VLOOKUP($A302,'01-02.2021'!$A$6:$CZ$403,73,FALSE)+VLOOKUP($A302,'1.3.21-28.2.22'!$A$6:$DA$404,73,FALSE)-VLOOKUP($A302,'01-02.2022'!$A$6:$DA$376,73,FALSE)</f>
        <v>0</v>
      </c>
      <c r="BV302" s="70">
        <f t="shared" si="341"/>
        <v>0</v>
      </c>
      <c r="BW302" s="566">
        <f>VLOOKUP($A302,'01-02.2021'!$A$6:$CZ$403,75,FALSE)+VLOOKUP($A302,'1.3.21-28.2.22'!$A$6:$DA$404,75,FALSE)-VLOOKUP($A302,'01-02.2022'!$A$6:$DA$376,75,FALSE)</f>
        <v>0</v>
      </c>
      <c r="BX302" s="566">
        <f>VLOOKUP($A302,'01-02.2021'!$A$6:$CZ$403,76,FALSE)+VLOOKUP($A302,'1.3.21-28.2.22'!$A$6:$DA$404,76,FALSE)-VLOOKUP($A302,'01-02.2022'!$A$6:$DA$376,76,FALSE)</f>
        <v>3.7673883788535134</v>
      </c>
      <c r="BY302" s="70">
        <f t="shared" si="342"/>
        <v>3.7673883788535134</v>
      </c>
      <c r="BZ302" s="566">
        <f>VLOOKUP($A302,'01-02.2021'!$A$6:$CZ$403,78,FALSE)+VLOOKUP($A302,'1.3.21-28.2.22'!$A$6:$DA$404,78,FALSE)-VLOOKUP($A302,'01-02.2022'!$A$6:$DA$376,78,FALSE)</f>
        <v>0</v>
      </c>
      <c r="CA302" s="566">
        <f>VLOOKUP($A302,'01-02.2021'!$A$6:$CZ$403,79,FALSE)+VLOOKUP($A302,'1.3.21-28.2.22'!$A$6:$DA$404,79,FALSE)-VLOOKUP($A302,'01-02.2022'!$A$6:$DA$376,79,FALSE)</f>
        <v>0</v>
      </c>
      <c r="CB302" s="70">
        <f t="shared" si="343"/>
        <v>0</v>
      </c>
      <c r="CC302" s="566">
        <f>VLOOKUP($A302,'01-02.2021'!$A$6:$CZ$403,81,FALSE)+VLOOKUP($A302,'1.3.21-28.2.22'!$A$6:$DA$404,81,FALSE)-VLOOKUP($A302,'01-02.2022'!$A$6:$DA$376,81,FALSE)</f>
        <v>0</v>
      </c>
      <c r="CD302" s="566">
        <f>VLOOKUP($A302,'01-02.2021'!$A$6:$CZ$403,82,FALSE)+VLOOKUP($A302,'1.3.21-28.2.22'!$A$6:$DA$404,82,FALSE)-VLOOKUP($A302,'01-02.2022'!$A$6:$DA$376,82,FALSE)</f>
        <v>0</v>
      </c>
      <c r="CE302" s="70">
        <f t="shared" si="344"/>
        <v>0</v>
      </c>
      <c r="CF302" s="566">
        <f>VLOOKUP($A302,'01-02.2021'!$A$6:$CZ$403,84,FALSE)+VLOOKUP($A302,'1.3.21-28.2.22'!$A$6:$DA$404,84,FALSE)-VLOOKUP($A302,'01-02.2022'!$A$6:$DA$376,84,FALSE)</f>
        <v>0</v>
      </c>
      <c r="CG302" s="566">
        <f>VLOOKUP($A302,'01-02.2021'!$A$6:$CZ$403,85,FALSE)+VLOOKUP($A302,'1.3.21-28.2.22'!$A$6:$DA$404,85,FALSE)-VLOOKUP($A302,'01-02.2022'!$A$6:$DA$376,85,FALSE)</f>
        <v>0</v>
      </c>
      <c r="CH302" s="70">
        <f t="shared" si="345"/>
        <v>0</v>
      </c>
      <c r="CI302" s="566">
        <f>VLOOKUP($A302,'01-02.2021'!$A$6:$CZ$403,87,FALSE)+VLOOKUP($A302,'1.3.21-28.2.22'!$A$6:$DA$404,87,FALSE)-VLOOKUP($A302,'01-02.2022'!$A$6:$DA$376,87,FALSE)</f>
        <v>0</v>
      </c>
      <c r="CJ302" s="566">
        <f>VLOOKUP($A302,'01-02.2021'!$A$6:$CZ$403,88,FALSE)+VLOOKUP($A302,'1.3.21-28.2.22'!$A$6:$DA$404,88,FALSE)-VLOOKUP($A302,'01-02.2022'!$A$6:$DA$376,88,FALSE)</f>
        <v>0</v>
      </c>
      <c r="CK302" s="70">
        <f t="shared" si="346"/>
        <v>0</v>
      </c>
      <c r="CL302" s="566">
        <f>VLOOKUP($A302,'01-02.2021'!$A$6:$CZ$403,90,FALSE)+VLOOKUP($A302,'1.3.21-28.2.22'!$A$6:$DA$404,90,FALSE)-VLOOKUP($A302,'01-02.2022'!$A$6:$DA$376,90,FALSE)</f>
        <v>0</v>
      </c>
      <c r="CM302" s="566">
        <f>VLOOKUP($A302,'01-02.2021'!$A$6:$CZ$403,91,FALSE)+VLOOKUP($A302,'1.3.21-28.2.22'!$A$6:$DA$404,91,FALSE)-VLOOKUP($A302,'01-02.2022'!$A$6:$DA$376,91,FALSE)</f>
        <v>0</v>
      </c>
      <c r="CN302" s="52">
        <f t="shared" si="303"/>
        <v>0</v>
      </c>
      <c r="CO302" s="39">
        <f t="shared" si="298"/>
        <v>0</v>
      </c>
      <c r="CP302" s="40">
        <f t="shared" si="304"/>
        <v>0</v>
      </c>
      <c r="CQ302" s="52">
        <f t="shared" si="305"/>
        <v>0</v>
      </c>
      <c r="CR302" s="72">
        <f t="shared" si="299"/>
        <v>2115.9404627152803</v>
      </c>
      <c r="CS302" s="5">
        <f t="shared" si="299"/>
        <v>993.34761112109265</v>
      </c>
      <c r="CT302" s="52">
        <f t="shared" si="306"/>
        <v>-1122.5928515941878</v>
      </c>
      <c r="CU302" s="77">
        <f t="shared" si="307"/>
        <v>2539.1285552583363</v>
      </c>
      <c r="CV302" s="65">
        <f t="shared" si="308"/>
        <v>1192.0171333453111</v>
      </c>
      <c r="CW302" s="35">
        <f t="shared" si="309"/>
        <v>-1347.1114219130252</v>
      </c>
      <c r="CX302" s="566">
        <f>VLOOKUP($A302,'01-02.2021'!$A$6:$CZ$403,102,FALSE)+VLOOKUP($A302,'1.3.21-28.2.22'!$A$6:$DA$404,102,FALSE)-VLOOKUP($A302,'01-02.2022'!$A$6:$DA$376,102,FALSE)</f>
        <v>88.957564699734689</v>
      </c>
      <c r="CY302" s="566">
        <f>VLOOKUP($A302,'01-02.2021'!$A$6:$CZ$403,103,FALSE)+VLOOKUP($A302,'1.3.21-28.2.22'!$A$6:$DA$404,103,FALSE)-VLOOKUP($A302,'01-02.2022'!$A$6:$DA$376,103,FALSE)</f>
        <v>1436.0689866127591</v>
      </c>
      <c r="CZ302" s="52">
        <f t="shared" si="310"/>
        <v>1347.1114219130245</v>
      </c>
      <c r="DA302" s="150">
        <f>'[2]побудинковий звіт'!DA302</f>
        <v>-5184.787506870699</v>
      </c>
      <c r="DB302" s="2">
        <v>3</v>
      </c>
      <c r="DC302" s="414">
        <f>'[4]побудинковий звіт'!DC302</f>
        <v>957.54</v>
      </c>
      <c r="DD302" s="414">
        <f>'[4]побудинковий звіт'!DD302</f>
        <v>0</v>
      </c>
      <c r="DE302" s="557">
        <f>'[4]побудинковий звіт'!DE302</f>
        <v>721.00752114760428</v>
      </c>
      <c r="DF302" s="557">
        <f>'[4]побудинковий звіт'!DF302</f>
        <v>0</v>
      </c>
      <c r="DG302" s="321">
        <f>VLOOKUP(A302,'кошти 01.03.2021'!$A$6:$D$401,4,)</f>
        <v>-3684.5454122640908</v>
      </c>
      <c r="DH302" s="40">
        <f>'[3]побудинковий звіт'!DJ302</f>
        <v>2710.7970559423329</v>
      </c>
      <c r="DI302" s="422">
        <f>'[3]побудинковий звіт'!CU302+'[3]побудинковий звіт'!CX302</f>
        <v>236.53247885239566</v>
      </c>
      <c r="DJ302" s="306">
        <f>'[3]побудинковий звіт'!DM302</f>
        <v>1.40709386586791</v>
      </c>
      <c r="DK302" s="306">
        <f t="shared" si="350"/>
        <v>1.40709386586791</v>
      </c>
      <c r="DL302" s="306">
        <f>'[3]побудинковий звіт'!DO302</f>
        <v>1.40709386586791</v>
      </c>
      <c r="DM302" s="28">
        <f t="shared" si="351"/>
        <v>236.53247885239566</v>
      </c>
      <c r="DN302" s="28">
        <f t="shared" si="352"/>
        <v>0</v>
      </c>
      <c r="DO302" s="423">
        <f t="shared" si="319"/>
        <v>236.53247885239566</v>
      </c>
      <c r="DP302" s="94">
        <f t="shared" si="320"/>
        <v>0</v>
      </c>
      <c r="DQ302" s="28">
        <f t="shared" si="321"/>
        <v>236.53247885239566</v>
      </c>
      <c r="DR302" s="318"/>
      <c r="DT302" s="8"/>
      <c r="DU302" s="5"/>
      <c r="DX302" s="5">
        <f t="shared" si="322"/>
        <v>1883.4346571296453</v>
      </c>
      <c r="DY302" s="5">
        <f t="shared" si="323"/>
        <v>0</v>
      </c>
      <c r="DZ302" s="159">
        <f>'[3]побудинковий звіт'!EA302</f>
        <v>202.35286471552777</v>
      </c>
    </row>
    <row r="303" spans="1:130" x14ac:dyDescent="0.3">
      <c r="A303" s="325">
        <v>150000795</v>
      </c>
      <c r="B303" s="41" t="s">
        <v>749</v>
      </c>
      <c r="C303" s="42" t="s">
        <v>292</v>
      </c>
      <c r="D303" s="42"/>
      <c r="E303" s="293">
        <f t="shared" ref="E303:E361" si="353">F303+H303</f>
        <v>2762.24</v>
      </c>
      <c r="F303" s="305">
        <f>'[3]побудинковий звіт'!F303</f>
        <v>2762.24</v>
      </c>
      <c r="G303" s="508">
        <f>'[3]побудинковий звіт'!G303</f>
        <v>0</v>
      </c>
      <c r="H303" s="560">
        <f>'[3]побудинковий звіт'!H303</f>
        <v>0</v>
      </c>
      <c r="I303" s="566">
        <f>VLOOKUP($A303,'01-02.2021'!$A$6:$CZ$403,9,FALSE)+VLOOKUP($A303,'1.3.21-28.2.22'!$A$6:$DA$404,9,FALSE)-VLOOKUP($A303,'01-02.2022'!$A$6:$DA$376,9,FALSE)</f>
        <v>9937.484703606624</v>
      </c>
      <c r="J303" s="566">
        <f>VLOOKUP($A303,'01-02.2021'!$A$6:$CZ$403,10,FALSE)+VLOOKUP($A303,'1.3.21-28.2.22'!$A$6:$DA$404,10,FALSE)-VLOOKUP($A303,'01-02.2022'!$A$6:$DA$376,10,FALSE)</f>
        <v>9690.5751907805825</v>
      </c>
      <c r="K303" s="52">
        <f t="shared" si="300"/>
        <v>-246.90951282604146</v>
      </c>
      <c r="L303" s="566">
        <f>VLOOKUP($A303,'01-02.2021'!$A$6:$CZ$403,12,FALSE)+VLOOKUP($A303,'1.3.21-28.2.22'!$A$6:$DA$404,12,FALSE)-VLOOKUP($A303,'01-02.2022'!$A$6:$DA$376,12,FALSE)</f>
        <v>1937.7541367306121</v>
      </c>
      <c r="M303" s="566">
        <f>VLOOKUP($A303,'01-02.2021'!$A$6:$CZ$403,13,FALSE)+VLOOKUP($A303,'1.3.21-28.2.22'!$A$6:$DA$404,13,FALSE)-VLOOKUP($A303,'01-02.2022'!$A$6:$DA$376,13,FALSE)</f>
        <v>1934.7882259540827</v>
      </c>
      <c r="N303" s="52">
        <f t="shared" si="301"/>
        <v>-2.9659107765294266</v>
      </c>
      <c r="O303" s="566">
        <f>VLOOKUP($A303,'01-02.2021'!$A$6:$CZ$403,15,FALSE)+VLOOKUP($A303,'1.3.21-28.2.22'!$A$6:$DA$404,15,FALSE)-VLOOKUP($A303,'01-02.2022'!$A$6:$DA$376,15,FALSE)</f>
        <v>0</v>
      </c>
      <c r="P303" s="566">
        <f>VLOOKUP($A303,'01-02.2021'!$A$6:$CZ$403,16,FALSE)+VLOOKUP($A303,'1.3.21-28.2.22'!$A$6:$DA$404,16,FALSE)-VLOOKUP($A303,'01-02.2022'!$A$6:$DA$376,16,FALSE)</f>
        <v>0</v>
      </c>
      <c r="Q303" s="70">
        <f t="shared" si="324"/>
        <v>0</v>
      </c>
      <c r="R303" s="566">
        <f>VLOOKUP($A303,'01-02.2021'!$A$6:$CZ$403,18,FALSE)+VLOOKUP($A303,'1.3.21-28.2.22'!$A$6:$DA$404,18,FALSE)-VLOOKUP($A303,'01-02.2022'!$A$6:$DA$376,18,FALSE)</f>
        <v>0</v>
      </c>
      <c r="S303" s="566">
        <f>VLOOKUP($A303,'01-02.2021'!$A$6:$CZ$403,19,FALSE)+VLOOKUP($A303,'1.3.21-28.2.22'!$A$6:$DA$404,19,FALSE)-VLOOKUP($A303,'01-02.2022'!$A$6:$DA$376,19,FALSE)</f>
        <v>0</v>
      </c>
      <c r="T303" s="70">
        <f t="shared" si="325"/>
        <v>0</v>
      </c>
      <c r="U303" s="566">
        <f>VLOOKUP($A303,'01-02.2021'!$A$6:$CZ$403,21,FALSE)+VLOOKUP($A303,'1.3.21-28.2.22'!$A$6:$DA$404,21,FALSE)-VLOOKUP($A303,'01-02.2022'!$A$6:$DA$376,21,FALSE)</f>
        <v>0</v>
      </c>
      <c r="V303" s="566">
        <f>VLOOKUP($A303,'01-02.2021'!$A$6:$CZ$403,22,FALSE)+VLOOKUP($A303,'1.3.21-28.2.22'!$A$6:$DA$404,22,FALSE)-VLOOKUP($A303,'01-02.2022'!$A$6:$DA$376,22,FALSE)</f>
        <v>0</v>
      </c>
      <c r="W303" s="70">
        <f t="shared" si="326"/>
        <v>0</v>
      </c>
      <c r="X303" s="566">
        <f>VLOOKUP($A303,'01-02.2021'!$A$6:$CZ$403,24,FALSE)+VLOOKUP($A303,'1.3.21-28.2.22'!$A$6:$DA$404,24,FALSE)-VLOOKUP($A303,'01-02.2022'!$A$6:$DA$376,24,FALSE)</f>
        <v>6147.633107268387</v>
      </c>
      <c r="Y303" s="566">
        <f>VLOOKUP($A303,'01-02.2021'!$A$6:$CZ$403,25,FALSE)+VLOOKUP($A303,'1.3.21-28.2.22'!$A$6:$DA$404,25,FALSE)-VLOOKUP($A303,'01-02.2022'!$A$6:$DA$376,25,FALSE)</f>
        <v>5370.9064078648717</v>
      </c>
      <c r="Z303" s="70">
        <f t="shared" si="327"/>
        <v>-776.72669940351534</v>
      </c>
      <c r="AA303" s="566">
        <f>VLOOKUP($A303,'01-02.2021'!$A$6:$CZ$403,27,FALSE)+VLOOKUP($A303,'1.3.21-28.2.22'!$A$6:$DA$404,27,FALSE)-VLOOKUP($A303,'01-02.2022'!$A$6:$DA$376,27,FALSE)</f>
        <v>552.44799999999998</v>
      </c>
      <c r="AB303" s="566">
        <f>VLOOKUP($A303,'01-02.2021'!$A$6:$CZ$403,28,FALSE)+VLOOKUP($A303,'1.3.21-28.2.22'!$A$6:$DA$404,28,FALSE)-VLOOKUP($A303,'01-02.2022'!$A$6:$DA$376,28,FALSE)</f>
        <v>536.4</v>
      </c>
      <c r="AC303" s="70">
        <f t="shared" si="328"/>
        <v>-16.048000000000002</v>
      </c>
      <c r="AD303" s="566">
        <f>VLOOKUP($A303,'01-02.2021'!$A$6:$CZ$403,30,FALSE)+VLOOKUP($A303,'1.3.21-28.2.22'!$A$6:$DA$404,30,FALSE)-VLOOKUP($A303,'01-02.2022'!$A$6:$DA$376,30,FALSE)</f>
        <v>11312.149251188119</v>
      </c>
      <c r="AE303" s="566">
        <f>VLOOKUP($A303,'01-02.2021'!$A$6:$CZ$403,31,FALSE)+VLOOKUP($A303,'1.3.21-28.2.22'!$A$6:$DA$404,31,FALSE)-VLOOKUP($A303,'01-02.2022'!$A$6:$DA$376,31,FALSE)</f>
        <v>12573.827776865621</v>
      </c>
      <c r="AF303" s="68">
        <f t="shared" si="329"/>
        <v>1261.678525677502</v>
      </c>
      <c r="AG303" s="77">
        <f t="shared" ref="AG303:AH361" si="354">I303+L303+O303+R303+U303+X303+AA303+AD303</f>
        <v>29887.46919879374</v>
      </c>
      <c r="AH303" s="53">
        <f t="shared" si="354"/>
        <v>30106.497601465155</v>
      </c>
      <c r="AI303" s="52">
        <f t="shared" si="302"/>
        <v>219.02840267141437</v>
      </c>
      <c r="AJ303" s="566">
        <f>VLOOKUP($A303,'01-02.2021'!$A$6:$CZ$403,36,FALSE)+VLOOKUP($A303,'1.3.21-28.2.22'!$A$6:$DA$404,36,FALSE)-VLOOKUP($A303,'01-02.2022'!$A$6:$DA$376,36,FALSE)</f>
        <v>0</v>
      </c>
      <c r="AK303" s="566">
        <f>VLOOKUP($A303,'01-02.2021'!$A$6:$CZ$403,37,FALSE)+VLOOKUP($A303,'1.3.21-28.2.22'!$A$6:$DA$404,37,FALSE)-VLOOKUP($A303,'01-02.2022'!$A$6:$DA$376,37,FALSE)</f>
        <v>0</v>
      </c>
      <c r="AL303" s="70">
        <f t="shared" si="330"/>
        <v>0</v>
      </c>
      <c r="AM303" s="566">
        <f>VLOOKUP($A303,'01-02.2021'!$A$6:$CZ$403,39,FALSE)+VLOOKUP($A303,'1.3.21-28.2.22'!$A$6:$DA$404,39,FALSE)-VLOOKUP($A303,'01-02.2022'!$A$6:$DA$376,39,FALSE)</f>
        <v>0</v>
      </c>
      <c r="AN303" s="566">
        <f>VLOOKUP($A303,'01-02.2021'!$A$6:$CZ$403,40,FALSE)+VLOOKUP($A303,'1.3.21-28.2.22'!$A$6:$DA$404,40,FALSE)-VLOOKUP($A303,'01-02.2022'!$A$6:$DA$376,40,FALSE)</f>
        <v>0</v>
      </c>
      <c r="AO303" s="70">
        <f t="shared" si="331"/>
        <v>0</v>
      </c>
      <c r="AP303" s="566">
        <f>VLOOKUP($A303,'01-02.2021'!$A$6:$CZ$403,42,FALSE)+VLOOKUP($A303,'1.3.21-28.2.22'!$A$6:$DA$404,42,FALSE)-VLOOKUP($A303,'01-02.2022'!$A$6:$DA$376,42,FALSE)</f>
        <v>2602.799625063888</v>
      </c>
      <c r="AQ303" s="566">
        <f>VLOOKUP($A303,'01-02.2021'!$A$6:$CZ$403,43,FALSE)+VLOOKUP($A303,'1.3.21-28.2.22'!$A$6:$DA$404,43,FALSE)-VLOOKUP($A303,'01-02.2022'!$A$6:$DA$376,43,FALSE)</f>
        <v>2227.957305273846</v>
      </c>
      <c r="AR303" s="70">
        <f t="shared" si="332"/>
        <v>-374.84231979004198</v>
      </c>
      <c r="AS303" s="566">
        <f>VLOOKUP($A303,'01-02.2021'!$A$6:$CZ$403,45,FALSE)+VLOOKUP($A303,'1.3.21-28.2.22'!$A$6:$DA$404,45,FALSE)-VLOOKUP($A303,'01-02.2022'!$A$6:$DA$376,45,FALSE)</f>
        <v>33388.531190601818</v>
      </c>
      <c r="AT303" s="566">
        <f>VLOOKUP($A303,'01-02.2021'!$A$6:$CZ$403,46,FALSE)+VLOOKUP($A303,'1.3.21-28.2.22'!$A$6:$DA$404,46,FALSE)-VLOOKUP($A303,'01-02.2022'!$A$6:$DA$376,46,FALSE)</f>
        <v>17246</v>
      </c>
      <c r="AU303" s="78">
        <f t="shared" si="333"/>
        <v>-16142.531190601818</v>
      </c>
      <c r="AV303" s="566">
        <f>VLOOKUP($A303,'01-02.2021'!$A$6:$CZ$403,48,FALSE)+VLOOKUP($A303,'1.3.21-28.2.22'!$A$6:$DA$404,48,FALSE)-VLOOKUP($A303,'01-02.2022'!$A$6:$DA$376,48,FALSE)</f>
        <v>2763.5227335939221</v>
      </c>
      <c r="AW303" s="566">
        <f>VLOOKUP($A303,'01-02.2021'!$A$6:$CZ$403,49,FALSE)+VLOOKUP($A303,'1.3.21-28.2.22'!$A$6:$DA$404,49,FALSE)-VLOOKUP($A303,'01-02.2022'!$A$6:$DA$376,49,FALSE)</f>
        <v>0</v>
      </c>
      <c r="AX303" s="55">
        <f t="shared" si="334"/>
        <v>-2763.5227335939221</v>
      </c>
      <c r="AY303" s="566">
        <f>VLOOKUP($A303,'01-02.2021'!$A$6:$CZ$403,51,FALSE)+VLOOKUP($A303,'1.3.21-28.2.22'!$A$6:$DA$404,51,FALSE)-VLOOKUP($A303,'01-02.2022'!$A$6:$DA$376,51,FALSE)</f>
        <v>3642.5911032048411</v>
      </c>
      <c r="AZ303" s="566">
        <f>VLOOKUP($A303,'01-02.2021'!$A$6:$CZ$403,52,FALSE)+VLOOKUP($A303,'1.3.21-28.2.22'!$A$6:$DA$404,52,FALSE)-VLOOKUP($A303,'01-02.2022'!$A$6:$DA$376,52,FALSE)</f>
        <v>0</v>
      </c>
      <c r="BA303" s="38">
        <f t="shared" si="335"/>
        <v>-3642.5911032048411</v>
      </c>
      <c r="BB303" s="566">
        <f>VLOOKUP($A303,'01-02.2021'!$A$6:$CZ$403,54,FALSE)+VLOOKUP($A303,'1.3.21-28.2.22'!$A$6:$DA$404,54,FALSE)-VLOOKUP($A303,'01-02.2022'!$A$6:$DA$376,54,FALSE)</f>
        <v>0</v>
      </c>
      <c r="BC303" s="566">
        <f>VLOOKUP($A303,'01-02.2021'!$A$6:$CZ$403,55,FALSE)+VLOOKUP($A303,'1.3.21-28.2.22'!$A$6:$DA$404,55,FALSE)-VLOOKUP($A303,'01-02.2022'!$A$6:$DA$376,55,FALSE)</f>
        <v>0</v>
      </c>
      <c r="BD303" s="55">
        <f t="shared" si="336"/>
        <v>0</v>
      </c>
      <c r="BE303" s="566">
        <f>VLOOKUP($A303,'01-02.2021'!$A$6:$CZ$403,57,FALSE)+VLOOKUP($A303,'1.3.21-28.2.22'!$A$6:$DA$404,57,FALSE)-VLOOKUP($A303,'01-02.2022'!$A$6:$DA$376,57,FALSE)</f>
        <v>0</v>
      </c>
      <c r="BF303" s="566">
        <f>VLOOKUP($A303,'01-02.2021'!$A$6:$CZ$403,58,FALSE)+VLOOKUP($A303,'1.3.21-28.2.22'!$A$6:$DA$404,58,FALSE)-VLOOKUP($A303,'01-02.2022'!$A$6:$DA$376,58,FALSE)</f>
        <v>0</v>
      </c>
      <c r="BG303" s="55">
        <f t="shared" si="337"/>
        <v>0</v>
      </c>
      <c r="BH303" s="566">
        <f>VLOOKUP($A303,'01-02.2021'!$A$6:$CZ$403,60,FALSE)+VLOOKUP($A303,'1.3.21-28.2.22'!$A$6:$DA$404,60,FALSE)-VLOOKUP($A303,'01-02.2022'!$A$6:$DA$376,60,FALSE)</f>
        <v>0</v>
      </c>
      <c r="BI303" s="566">
        <f>VLOOKUP($A303,'01-02.2021'!$A$6:$CZ$403,61,FALSE)+VLOOKUP($A303,'1.3.21-28.2.22'!$A$6:$DA$404,61,FALSE)-VLOOKUP($A303,'01-02.2022'!$A$6:$DA$376,61,FALSE)</f>
        <v>0</v>
      </c>
      <c r="BJ303" s="55">
        <f t="shared" si="338"/>
        <v>0</v>
      </c>
      <c r="BK303" s="566">
        <f>VLOOKUP($A303,'01-02.2021'!$A$6:$CZ$403,63,FALSE)+VLOOKUP($A303,'1.3.21-28.2.22'!$A$6:$DA$404,63,FALSE)-VLOOKUP($A303,'01-02.2022'!$A$6:$DA$376,63,FALSE)</f>
        <v>2366.2193403575588</v>
      </c>
      <c r="BL303" s="566">
        <f>VLOOKUP($A303,'01-02.2021'!$A$6:$CZ$403,64,FALSE)+VLOOKUP($A303,'1.3.21-28.2.22'!$A$6:$DA$404,64,FALSE)-VLOOKUP($A303,'01-02.2022'!$A$6:$DA$376,64,FALSE)</f>
        <v>353</v>
      </c>
      <c r="BM303" s="55">
        <f t="shared" si="339"/>
        <v>-2013.2193403575588</v>
      </c>
      <c r="BN303" s="566">
        <f>VLOOKUP($A303,'01-02.2021'!$A$6:$CZ$403,66,FALSE)+VLOOKUP($A303,'1.3.21-28.2.22'!$A$6:$DA$404,66,FALSE)-VLOOKUP($A303,'01-02.2022'!$A$6:$DA$376,66,FALSE)</f>
        <v>138.11199999999999</v>
      </c>
      <c r="BO303" s="566">
        <f>VLOOKUP($A303,'01-02.2021'!$A$6:$CZ$403,67,FALSE)+VLOOKUP($A303,'1.3.21-28.2.22'!$A$6:$DA$404,67,FALSE)-VLOOKUP($A303,'01-02.2022'!$A$6:$DA$376,67,FALSE)</f>
        <v>0</v>
      </c>
      <c r="BP303" s="55">
        <f t="shared" si="340"/>
        <v>-138.11199999999999</v>
      </c>
      <c r="BQ303" s="77">
        <f t="shared" si="348"/>
        <v>8910.4451771563217</v>
      </c>
      <c r="BR303" s="40">
        <f t="shared" si="349"/>
        <v>353</v>
      </c>
      <c r="BS303" s="55">
        <f t="shared" si="314"/>
        <v>-8557.4451771563217</v>
      </c>
      <c r="BT303" s="566">
        <f>VLOOKUP($A303,'01-02.2021'!$A$6:$CZ$403,72,FALSE)+VLOOKUP($A303,'1.3.21-28.2.22'!$A$6:$DA$404,72,FALSE)-VLOOKUP($A303,'01-02.2022'!$A$6:$DA$376,72,FALSE)</f>
        <v>34166.130364613426</v>
      </c>
      <c r="BU303" s="566">
        <f>VLOOKUP($A303,'01-02.2021'!$A$6:$CZ$403,73,FALSE)+VLOOKUP($A303,'1.3.21-28.2.22'!$A$6:$DA$404,73,FALSE)-VLOOKUP($A303,'01-02.2022'!$A$6:$DA$376,73,FALSE)</f>
        <v>37765.444867239457</v>
      </c>
      <c r="BV303" s="70">
        <f t="shared" si="341"/>
        <v>3599.3145026260318</v>
      </c>
      <c r="BW303" s="566">
        <f>VLOOKUP($A303,'01-02.2021'!$A$6:$CZ$403,75,FALSE)+VLOOKUP($A303,'1.3.21-28.2.22'!$A$6:$DA$404,75,FALSE)-VLOOKUP($A303,'01-02.2022'!$A$6:$DA$376,75,FALSE)</f>
        <v>15186.704623528491</v>
      </c>
      <c r="BX303" s="566">
        <f>VLOOKUP($A303,'01-02.2021'!$A$6:$CZ$403,76,FALSE)+VLOOKUP($A303,'1.3.21-28.2.22'!$A$6:$DA$404,76,FALSE)-VLOOKUP($A303,'01-02.2022'!$A$6:$DA$376,76,FALSE)</f>
        <v>14500.54941455142</v>
      </c>
      <c r="BY303" s="70">
        <f t="shared" si="342"/>
        <v>-686.15520897707029</v>
      </c>
      <c r="BZ303" s="566">
        <f>VLOOKUP($A303,'01-02.2021'!$A$6:$CZ$403,78,FALSE)+VLOOKUP($A303,'1.3.21-28.2.22'!$A$6:$DA$404,78,FALSE)-VLOOKUP($A303,'01-02.2022'!$A$6:$DA$376,78,FALSE)</f>
        <v>9057.836404527312</v>
      </c>
      <c r="CA303" s="566">
        <f>VLOOKUP($A303,'01-02.2021'!$A$6:$CZ$403,79,FALSE)+VLOOKUP($A303,'1.3.21-28.2.22'!$A$6:$DA$404,79,FALSE)-VLOOKUP($A303,'01-02.2022'!$A$6:$DA$376,79,FALSE)</f>
        <v>7843.4480811396352</v>
      </c>
      <c r="CB303" s="70">
        <f t="shared" si="343"/>
        <v>-1214.3883233876768</v>
      </c>
      <c r="CC303" s="566">
        <f>VLOOKUP($A303,'01-02.2021'!$A$6:$CZ$403,81,FALSE)+VLOOKUP($A303,'1.3.21-28.2.22'!$A$6:$DA$404,81,FALSE)-VLOOKUP($A303,'01-02.2022'!$A$6:$DA$376,81,FALSE)</f>
        <v>1565.0577881431709</v>
      </c>
      <c r="CD303" s="566">
        <f>VLOOKUP($A303,'01-02.2021'!$A$6:$CZ$403,82,FALSE)+VLOOKUP($A303,'1.3.21-28.2.22'!$A$6:$DA$404,82,FALSE)-VLOOKUP($A303,'01-02.2022'!$A$6:$DA$376,82,FALSE)</f>
        <v>1710.5972376352547</v>
      </c>
      <c r="CE303" s="70">
        <f t="shared" si="344"/>
        <v>145.5394494920838</v>
      </c>
      <c r="CF303" s="566">
        <f>VLOOKUP($A303,'01-02.2021'!$A$6:$CZ$403,84,FALSE)+VLOOKUP($A303,'1.3.21-28.2.22'!$A$6:$DA$404,84,FALSE)-VLOOKUP($A303,'01-02.2022'!$A$6:$DA$376,84,FALSE)</f>
        <v>190.26501287486954</v>
      </c>
      <c r="CG303" s="566">
        <f>VLOOKUP($A303,'01-02.2021'!$A$6:$CZ$403,85,FALSE)+VLOOKUP($A303,'1.3.21-28.2.22'!$A$6:$DA$404,85,FALSE)-VLOOKUP($A303,'01-02.2022'!$A$6:$DA$376,85,FALSE)</f>
        <v>0</v>
      </c>
      <c r="CH303" s="70">
        <f t="shared" si="345"/>
        <v>-190.26501287486954</v>
      </c>
      <c r="CI303" s="566">
        <f>VLOOKUP($A303,'01-02.2021'!$A$6:$CZ$403,87,FALSE)+VLOOKUP($A303,'1.3.21-28.2.22'!$A$6:$DA$404,87,FALSE)-VLOOKUP($A303,'01-02.2022'!$A$6:$DA$376,87,FALSE)</f>
        <v>6070.3746181502602</v>
      </c>
      <c r="CJ303" s="566">
        <f>VLOOKUP($A303,'01-02.2021'!$A$6:$CZ$403,88,FALSE)+VLOOKUP($A303,'1.3.21-28.2.22'!$A$6:$DA$404,88,FALSE)-VLOOKUP($A303,'01-02.2022'!$A$6:$DA$376,88,FALSE)</f>
        <v>4156.8318671396282</v>
      </c>
      <c r="CK303" s="70">
        <f t="shared" si="346"/>
        <v>-1913.5427510106319</v>
      </c>
      <c r="CL303" s="566">
        <f>VLOOKUP($A303,'01-02.2021'!$A$6:$CZ$403,90,FALSE)+VLOOKUP($A303,'1.3.21-28.2.22'!$A$6:$DA$404,90,FALSE)-VLOOKUP($A303,'01-02.2022'!$A$6:$DA$376,90,FALSE)</f>
        <v>0</v>
      </c>
      <c r="CM303" s="566">
        <f>VLOOKUP($A303,'01-02.2021'!$A$6:$CZ$403,91,FALSE)+VLOOKUP($A303,'1.3.21-28.2.22'!$A$6:$DA$404,91,FALSE)-VLOOKUP($A303,'01-02.2022'!$A$6:$DA$376,91,FALSE)</f>
        <v>0</v>
      </c>
      <c r="CN303" s="52">
        <f t="shared" si="303"/>
        <v>0</v>
      </c>
      <c r="CO303" s="39">
        <f t="shared" ref="CO303:CO361" si="355">CI303+CL303</f>
        <v>6070.3746181502602</v>
      </c>
      <c r="CP303" s="40">
        <f t="shared" si="304"/>
        <v>4156.8318671396282</v>
      </c>
      <c r="CQ303" s="52">
        <f t="shared" si="305"/>
        <v>-1913.5427510106319</v>
      </c>
      <c r="CR303" s="72">
        <f t="shared" ref="CR303:CS361" si="356">AG303+AJ303+AM303+AP303+AS303+BQ303+BT303+BW303+BZ303+CC303+CF303+CO303</f>
        <v>141025.61400345329</v>
      </c>
      <c r="CS303" s="5">
        <f t="shared" si="356"/>
        <v>115910.3263744444</v>
      </c>
      <c r="CT303" s="52">
        <f t="shared" si="306"/>
        <v>-25115.28762900889</v>
      </c>
      <c r="CU303" s="77">
        <f t="shared" si="307"/>
        <v>169230.73680414393</v>
      </c>
      <c r="CV303" s="65">
        <f t="shared" si="308"/>
        <v>139092.39164933327</v>
      </c>
      <c r="CW303" s="35">
        <f t="shared" si="309"/>
        <v>-30138.345154810668</v>
      </c>
      <c r="CX303" s="566">
        <f>VLOOKUP($A303,'01-02.2021'!$A$6:$CZ$403,102,FALSE)+VLOOKUP($A303,'1.3.21-28.2.22'!$A$6:$DA$404,102,FALSE)-VLOOKUP($A303,'01-02.2022'!$A$6:$DA$376,102,FALSE)</f>
        <v>3129.1516218388765</v>
      </c>
      <c r="CY303" s="566">
        <f>VLOOKUP($A303,'01-02.2021'!$A$6:$CZ$403,103,FALSE)+VLOOKUP($A303,'1.3.21-28.2.22'!$A$6:$DA$404,103,FALSE)-VLOOKUP($A303,'01-02.2022'!$A$6:$DA$376,103,FALSE)</f>
        <v>33267.496776649539</v>
      </c>
      <c r="CZ303" s="52">
        <f t="shared" si="310"/>
        <v>30138.345154810664</v>
      </c>
      <c r="DA303" s="150">
        <f>'[2]побудинковий звіт'!DA303</f>
        <v>6347.3759209521668</v>
      </c>
      <c r="DB303" s="2">
        <v>3</v>
      </c>
      <c r="DC303" s="414">
        <f>'[4]побудинковий звіт'!DC303</f>
        <v>15690.13</v>
      </c>
      <c r="DD303" s="414">
        <f>'[4]побудинковий звіт'!DD303</f>
        <v>0</v>
      </c>
      <c r="DE303" s="557">
        <f>'[4]побудинковий звіт'!DE303</f>
        <v>15.814604104607497</v>
      </c>
      <c r="DF303" s="557">
        <f>'[4]побудинковий звіт'!DF303</f>
        <v>0</v>
      </c>
      <c r="DG303" s="321">
        <f>VLOOKUP(A303,'кошти 01.03.2021'!$A$6:$D$401,4,)</f>
        <v>40012.174117189104</v>
      </c>
      <c r="DH303" s="40">
        <f>'[3]побудинковий звіт'!DJ303</f>
        <v>178561.78113325994</v>
      </c>
      <c r="DI303" s="422">
        <f>'[3]побудинковий звіт'!CU303+'[3]побудинковий звіт'!CX303</f>
        <v>15674.315395895392</v>
      </c>
      <c r="DJ303" s="306">
        <f>'[3]побудинковий звіт'!DM303</f>
        <v>5.674494394366671</v>
      </c>
      <c r="DK303" s="306">
        <f t="shared" si="350"/>
        <v>5.674494394366671</v>
      </c>
      <c r="DL303" s="306">
        <f>'[3]побудинковий звіт'!DO303</f>
        <v>5.0270406300424497</v>
      </c>
      <c r="DM303" s="28">
        <f t="shared" si="351"/>
        <v>15674.315395895392</v>
      </c>
      <c r="DN303" s="28">
        <f t="shared" si="352"/>
        <v>0</v>
      </c>
      <c r="DO303" s="423">
        <f t="shared" si="319"/>
        <v>15674.315395895392</v>
      </c>
      <c r="DP303" s="94">
        <f t="shared" si="320"/>
        <v>0</v>
      </c>
      <c r="DQ303" s="28">
        <f t="shared" si="321"/>
        <v>15674.315395895392</v>
      </c>
      <c r="DR303" s="318"/>
      <c r="DT303" s="8"/>
      <c r="DU303" s="5"/>
      <c r="DX303" s="5">
        <f t="shared" si="322"/>
        <v>50758.771641309759</v>
      </c>
      <c r="DY303" s="5">
        <f t="shared" si="323"/>
        <v>21118.799999999999</v>
      </c>
      <c r="DZ303" s="159">
        <f>'[3]побудинковий звіт'!EA303</f>
        <v>4304.6694952313865</v>
      </c>
    </row>
    <row r="304" spans="1:130" x14ac:dyDescent="0.3">
      <c r="A304" s="325">
        <v>150000832</v>
      </c>
      <c r="B304" s="41" t="s">
        <v>750</v>
      </c>
      <c r="C304" s="42" t="s">
        <v>423</v>
      </c>
      <c r="D304" s="42"/>
      <c r="E304" s="293">
        <f t="shared" si="353"/>
        <v>4396.8</v>
      </c>
      <c r="F304" s="305">
        <f>'[3]побудинковий звіт'!F304</f>
        <v>4396.8</v>
      </c>
      <c r="G304" s="508">
        <f>'[3]побудинковий звіт'!G304</f>
        <v>394.3</v>
      </c>
      <c r="H304" s="560">
        <f>'[3]побудинковий звіт'!H304</f>
        <v>0</v>
      </c>
      <c r="I304" s="566">
        <f>VLOOKUP($A304,'01-02.2021'!$A$6:$CZ$403,9,FALSE)+VLOOKUP($A304,'1.3.21-28.2.22'!$A$6:$DA$404,9,FALSE)-VLOOKUP($A304,'01-02.2022'!$A$6:$DA$376,9,FALSE)</f>
        <v>15813.892926055674</v>
      </c>
      <c r="J304" s="566">
        <f>VLOOKUP($A304,'01-02.2021'!$A$6:$CZ$403,10,FALSE)+VLOOKUP($A304,'1.3.21-28.2.22'!$A$6:$DA$404,10,FALSE)-VLOOKUP($A304,'01-02.2022'!$A$6:$DA$376,10,FALSE)</f>
        <v>14018.867925341741</v>
      </c>
      <c r="K304" s="52">
        <f t="shared" ref="K304:K362" si="357">J304-I304</f>
        <v>-1795.025000713933</v>
      </c>
      <c r="L304" s="566">
        <f>VLOOKUP($A304,'01-02.2021'!$A$6:$CZ$403,12,FALSE)+VLOOKUP($A304,'1.3.21-28.2.22'!$A$6:$DA$404,12,FALSE)-VLOOKUP($A304,'01-02.2022'!$A$6:$DA$376,12,FALSE)</f>
        <v>2481.7221122702222</v>
      </c>
      <c r="M304" s="566">
        <f>VLOOKUP($A304,'01-02.2021'!$A$6:$CZ$403,13,FALSE)+VLOOKUP($A304,'1.3.21-28.2.22'!$A$6:$DA$404,13,FALSE)-VLOOKUP($A304,'01-02.2022'!$A$6:$DA$376,13,FALSE)</f>
        <v>2243.3333475813333</v>
      </c>
      <c r="N304" s="52">
        <f t="shared" ref="N304:N362" si="358">M304-L304</f>
        <v>-238.38876468888884</v>
      </c>
      <c r="O304" s="566">
        <f>VLOOKUP($A304,'01-02.2021'!$A$6:$CZ$403,15,FALSE)+VLOOKUP($A304,'1.3.21-28.2.22'!$A$6:$DA$404,15,FALSE)-VLOOKUP($A304,'01-02.2022'!$A$6:$DA$376,15,FALSE)</f>
        <v>6158.3632351197602</v>
      </c>
      <c r="P304" s="566">
        <f>VLOOKUP($A304,'01-02.2021'!$A$6:$CZ$403,16,FALSE)+VLOOKUP($A304,'1.3.21-28.2.22'!$A$6:$DA$404,16,FALSE)-VLOOKUP($A304,'01-02.2022'!$A$6:$DA$376,16,FALSE)</f>
        <v>6158.3500000000013</v>
      </c>
      <c r="Q304" s="70">
        <f t="shared" si="324"/>
        <v>-1.3235119758974179E-2</v>
      </c>
      <c r="R304" s="566">
        <f>VLOOKUP($A304,'01-02.2021'!$A$6:$CZ$403,18,FALSE)+VLOOKUP($A304,'1.3.21-28.2.22'!$A$6:$DA$404,18,FALSE)-VLOOKUP($A304,'01-02.2022'!$A$6:$DA$376,18,FALSE)</f>
        <v>1235.4269047186663</v>
      </c>
      <c r="S304" s="566">
        <f>VLOOKUP($A304,'01-02.2021'!$A$6:$CZ$403,19,FALSE)+VLOOKUP($A304,'1.3.21-28.2.22'!$A$6:$DA$404,19,FALSE)-VLOOKUP($A304,'01-02.2022'!$A$6:$DA$376,19,FALSE)</f>
        <v>1235.4199999999996</v>
      </c>
      <c r="T304" s="70">
        <f t="shared" si="325"/>
        <v>-6.9047186666466587E-3</v>
      </c>
      <c r="U304" s="566">
        <f>VLOOKUP($A304,'01-02.2021'!$A$6:$CZ$403,21,FALSE)+VLOOKUP($A304,'1.3.21-28.2.22'!$A$6:$DA$404,21,FALSE)-VLOOKUP($A304,'01-02.2022'!$A$6:$DA$376,21,FALSE)</f>
        <v>457.79129681017355</v>
      </c>
      <c r="V304" s="566">
        <f>VLOOKUP($A304,'01-02.2021'!$A$6:$CZ$403,22,FALSE)+VLOOKUP($A304,'1.3.21-28.2.22'!$A$6:$DA$404,22,FALSE)-VLOOKUP($A304,'01-02.2022'!$A$6:$DA$376,22,FALSE)</f>
        <v>315.17042012772572</v>
      </c>
      <c r="W304" s="70">
        <f t="shared" si="326"/>
        <v>-142.62087668244783</v>
      </c>
      <c r="X304" s="566">
        <f>VLOOKUP($A304,'01-02.2021'!$A$6:$CZ$403,24,FALSE)+VLOOKUP($A304,'1.3.21-28.2.22'!$A$6:$DA$404,24,FALSE)-VLOOKUP($A304,'01-02.2022'!$A$6:$DA$376,24,FALSE)</f>
        <v>6297.5707972811533</v>
      </c>
      <c r="Y304" s="566">
        <f>VLOOKUP($A304,'01-02.2021'!$A$6:$CZ$403,25,FALSE)+VLOOKUP($A304,'1.3.21-28.2.22'!$A$6:$DA$404,25,FALSE)-VLOOKUP($A304,'01-02.2022'!$A$6:$DA$376,25,FALSE)</f>
        <v>6566.1199012745965</v>
      </c>
      <c r="Z304" s="70">
        <f t="shared" si="327"/>
        <v>268.54910399344317</v>
      </c>
      <c r="AA304" s="566">
        <f>VLOOKUP($A304,'01-02.2021'!$A$6:$CZ$403,27,FALSE)+VLOOKUP($A304,'1.3.21-28.2.22'!$A$6:$DA$404,27,FALSE)-VLOOKUP($A304,'01-02.2022'!$A$6:$DA$376,27,FALSE)</f>
        <v>902.46000000000015</v>
      </c>
      <c r="AB304" s="566">
        <f>VLOOKUP($A304,'01-02.2021'!$A$6:$CZ$403,28,FALSE)+VLOOKUP($A304,'1.3.21-28.2.22'!$A$6:$DA$404,28,FALSE)-VLOOKUP($A304,'01-02.2022'!$A$6:$DA$376,28,FALSE)</f>
        <v>0</v>
      </c>
      <c r="AC304" s="70">
        <f t="shared" si="328"/>
        <v>-902.46000000000015</v>
      </c>
      <c r="AD304" s="566">
        <f>VLOOKUP($A304,'01-02.2021'!$A$6:$CZ$403,30,FALSE)+VLOOKUP($A304,'1.3.21-28.2.22'!$A$6:$DA$404,30,FALSE)-VLOOKUP($A304,'01-02.2022'!$A$6:$DA$376,30,FALSE)</f>
        <v>19082.079277975572</v>
      </c>
      <c r="AE304" s="566">
        <f>VLOOKUP($A304,'01-02.2021'!$A$6:$CZ$403,31,FALSE)+VLOOKUP($A304,'1.3.21-28.2.22'!$A$6:$DA$404,31,FALSE)-VLOOKUP($A304,'01-02.2022'!$A$6:$DA$376,31,FALSE)</f>
        <v>20014.410756966368</v>
      </c>
      <c r="AF304" s="68">
        <f t="shared" si="329"/>
        <v>932.33147899079631</v>
      </c>
      <c r="AG304" s="77">
        <f t="shared" si="354"/>
        <v>52429.306550231224</v>
      </c>
      <c r="AH304" s="53">
        <f t="shared" si="354"/>
        <v>50551.672351291767</v>
      </c>
      <c r="AI304" s="52">
        <f t="shared" ref="AI304:AI362" si="359">AH304-AG304</f>
        <v>-1877.6341989394568</v>
      </c>
      <c r="AJ304" s="566">
        <f>VLOOKUP($A304,'01-02.2021'!$A$6:$CZ$403,36,FALSE)+VLOOKUP($A304,'1.3.21-28.2.22'!$A$6:$DA$404,36,FALSE)-VLOOKUP($A304,'01-02.2022'!$A$6:$DA$376,36,FALSE)</f>
        <v>36762.091560458815</v>
      </c>
      <c r="AK304" s="566">
        <f>VLOOKUP($A304,'01-02.2021'!$A$6:$CZ$403,37,FALSE)+VLOOKUP($A304,'1.3.21-28.2.22'!$A$6:$DA$404,37,FALSE)-VLOOKUP($A304,'01-02.2022'!$A$6:$DA$376,37,FALSE)</f>
        <v>36528.690171836533</v>
      </c>
      <c r="AL304" s="70">
        <f t="shared" si="330"/>
        <v>-233.40138862228196</v>
      </c>
      <c r="AM304" s="566">
        <f>VLOOKUP($A304,'01-02.2021'!$A$6:$CZ$403,39,FALSE)+VLOOKUP($A304,'1.3.21-28.2.22'!$A$6:$DA$404,39,FALSE)-VLOOKUP($A304,'01-02.2022'!$A$6:$DA$376,39,FALSE)</f>
        <v>0</v>
      </c>
      <c r="AN304" s="566">
        <f>VLOOKUP($A304,'01-02.2021'!$A$6:$CZ$403,40,FALSE)+VLOOKUP($A304,'1.3.21-28.2.22'!$A$6:$DA$404,40,FALSE)-VLOOKUP($A304,'01-02.2022'!$A$6:$DA$376,40,FALSE)</f>
        <v>0</v>
      </c>
      <c r="AO304" s="70">
        <f t="shared" si="331"/>
        <v>0</v>
      </c>
      <c r="AP304" s="566">
        <f>VLOOKUP($A304,'01-02.2021'!$A$6:$CZ$403,42,FALSE)+VLOOKUP($A304,'1.3.21-28.2.22'!$A$6:$DA$404,42,FALSE)-VLOOKUP($A304,'01-02.2022'!$A$6:$DA$376,42,FALSE)</f>
        <v>3470.3995000851833</v>
      </c>
      <c r="AQ304" s="566">
        <f>VLOOKUP($A304,'01-02.2021'!$A$6:$CZ$403,43,FALSE)+VLOOKUP($A304,'1.3.21-28.2.22'!$A$6:$DA$404,43,FALSE)-VLOOKUP($A304,'01-02.2022'!$A$6:$DA$376,43,FALSE)</f>
        <v>3048.150289017341</v>
      </c>
      <c r="AR304" s="70">
        <f t="shared" si="332"/>
        <v>-422.24921106784223</v>
      </c>
      <c r="AS304" s="566">
        <f>VLOOKUP($A304,'01-02.2021'!$A$6:$CZ$403,45,FALSE)+VLOOKUP($A304,'1.3.21-28.2.22'!$A$6:$DA$404,45,FALSE)-VLOOKUP($A304,'01-02.2022'!$A$6:$DA$376,45,FALSE)</f>
        <v>49232.24965093928</v>
      </c>
      <c r="AT304" s="566">
        <f>VLOOKUP($A304,'01-02.2021'!$A$6:$CZ$403,46,FALSE)+VLOOKUP($A304,'1.3.21-28.2.22'!$A$6:$DA$404,46,FALSE)-VLOOKUP($A304,'01-02.2022'!$A$6:$DA$376,46,FALSE)</f>
        <v>10293.64</v>
      </c>
      <c r="AU304" s="78">
        <f t="shared" si="333"/>
        <v>-38938.609650939281</v>
      </c>
      <c r="AV304" s="566">
        <f>VLOOKUP($A304,'01-02.2021'!$A$6:$CZ$403,48,FALSE)+VLOOKUP($A304,'1.3.21-28.2.22'!$A$6:$DA$404,48,FALSE)-VLOOKUP($A304,'01-02.2022'!$A$6:$DA$376,48,FALSE)</f>
        <v>3281.0052238437374</v>
      </c>
      <c r="AW304" s="566">
        <f>VLOOKUP($A304,'01-02.2021'!$A$6:$CZ$403,49,FALSE)+VLOOKUP($A304,'1.3.21-28.2.22'!$A$6:$DA$404,49,FALSE)-VLOOKUP($A304,'01-02.2022'!$A$6:$DA$376,49,FALSE)</f>
        <v>522</v>
      </c>
      <c r="AX304" s="55">
        <f t="shared" si="334"/>
        <v>-2759.0052238437374</v>
      </c>
      <c r="AY304" s="566">
        <f>VLOOKUP($A304,'01-02.2021'!$A$6:$CZ$403,51,FALSE)+VLOOKUP($A304,'1.3.21-28.2.22'!$A$6:$DA$404,51,FALSE)-VLOOKUP($A304,'01-02.2022'!$A$6:$DA$376,51,FALSE)</f>
        <v>3416.7704901178622</v>
      </c>
      <c r="AZ304" s="566">
        <f>VLOOKUP($A304,'01-02.2021'!$A$6:$CZ$403,52,FALSE)+VLOOKUP($A304,'1.3.21-28.2.22'!$A$6:$DA$404,52,FALSE)-VLOOKUP($A304,'01-02.2022'!$A$6:$DA$376,52,FALSE)</f>
        <v>0</v>
      </c>
      <c r="BA304" s="38">
        <f t="shared" si="335"/>
        <v>-3416.7704901178622</v>
      </c>
      <c r="BB304" s="566">
        <f>VLOOKUP($A304,'01-02.2021'!$A$6:$CZ$403,54,FALSE)+VLOOKUP($A304,'1.3.21-28.2.22'!$A$6:$DA$404,54,FALSE)-VLOOKUP($A304,'01-02.2022'!$A$6:$DA$376,54,FALSE)</f>
        <v>1550.88942627192</v>
      </c>
      <c r="BC304" s="566">
        <f>VLOOKUP($A304,'01-02.2021'!$A$6:$CZ$403,55,FALSE)+VLOOKUP($A304,'1.3.21-28.2.22'!$A$6:$DA$404,55,FALSE)-VLOOKUP($A304,'01-02.2022'!$A$6:$DA$376,55,FALSE)</f>
        <v>0</v>
      </c>
      <c r="BD304" s="55">
        <f t="shared" si="336"/>
        <v>-1550.88942627192</v>
      </c>
      <c r="BE304" s="566">
        <f>VLOOKUP($A304,'01-02.2021'!$A$6:$CZ$403,57,FALSE)+VLOOKUP($A304,'1.3.21-28.2.22'!$A$6:$DA$404,57,FALSE)-VLOOKUP($A304,'01-02.2022'!$A$6:$DA$376,57,FALSE)</f>
        <v>2809.3863949880006</v>
      </c>
      <c r="BF304" s="566">
        <f>VLOOKUP($A304,'01-02.2021'!$A$6:$CZ$403,58,FALSE)+VLOOKUP($A304,'1.3.21-28.2.22'!$A$6:$DA$404,58,FALSE)-VLOOKUP($A304,'01-02.2022'!$A$6:$DA$376,58,FALSE)</f>
        <v>0</v>
      </c>
      <c r="BG304" s="55">
        <f t="shared" si="337"/>
        <v>-2809.3863949880006</v>
      </c>
      <c r="BH304" s="566">
        <f>VLOOKUP($A304,'01-02.2021'!$A$6:$CZ$403,60,FALSE)+VLOOKUP($A304,'1.3.21-28.2.22'!$A$6:$DA$404,60,FALSE)-VLOOKUP($A304,'01-02.2022'!$A$6:$DA$376,60,FALSE)</f>
        <v>869.78904048166146</v>
      </c>
      <c r="BI304" s="566">
        <f>VLOOKUP($A304,'01-02.2021'!$A$6:$CZ$403,61,FALSE)+VLOOKUP($A304,'1.3.21-28.2.22'!$A$6:$DA$404,61,FALSE)-VLOOKUP($A304,'01-02.2022'!$A$6:$DA$376,61,FALSE)</f>
        <v>0</v>
      </c>
      <c r="BJ304" s="55">
        <f t="shared" si="338"/>
        <v>-869.78904048166146</v>
      </c>
      <c r="BK304" s="566">
        <f>VLOOKUP($A304,'01-02.2021'!$A$6:$CZ$403,63,FALSE)+VLOOKUP($A304,'1.3.21-28.2.22'!$A$6:$DA$404,63,FALSE)-VLOOKUP($A304,'01-02.2022'!$A$6:$DA$376,63,FALSE)</f>
        <v>1583.5222629342052</v>
      </c>
      <c r="BL304" s="566">
        <f>VLOOKUP($A304,'01-02.2021'!$A$6:$CZ$403,64,FALSE)+VLOOKUP($A304,'1.3.21-28.2.22'!$A$6:$DA$404,64,FALSE)-VLOOKUP($A304,'01-02.2022'!$A$6:$DA$376,64,FALSE)</f>
        <v>1695</v>
      </c>
      <c r="BM304" s="55">
        <f t="shared" si="339"/>
        <v>111.47773706579483</v>
      </c>
      <c r="BN304" s="566">
        <f>VLOOKUP($A304,'01-02.2021'!$A$6:$CZ$403,66,FALSE)+VLOOKUP($A304,'1.3.21-28.2.22'!$A$6:$DA$404,66,FALSE)-VLOOKUP($A304,'01-02.2022'!$A$6:$DA$376,66,FALSE)</f>
        <v>419.95887197880762</v>
      </c>
      <c r="BO304" s="566">
        <f>VLOOKUP($A304,'01-02.2021'!$A$6:$CZ$403,67,FALSE)+VLOOKUP($A304,'1.3.21-28.2.22'!$A$6:$DA$404,67,FALSE)-VLOOKUP($A304,'01-02.2022'!$A$6:$DA$376,67,FALSE)</f>
        <v>0</v>
      </c>
      <c r="BP304" s="55">
        <f t="shared" si="340"/>
        <v>-419.95887197880762</v>
      </c>
      <c r="BQ304" s="77">
        <f t="shared" si="348"/>
        <v>13931.321710616194</v>
      </c>
      <c r="BR304" s="40">
        <f t="shared" si="349"/>
        <v>2217</v>
      </c>
      <c r="BS304" s="55">
        <f t="shared" si="314"/>
        <v>-11714.321710616194</v>
      </c>
      <c r="BT304" s="566">
        <f>VLOOKUP($A304,'01-02.2021'!$A$6:$CZ$403,72,FALSE)+VLOOKUP($A304,'1.3.21-28.2.22'!$A$6:$DA$404,72,FALSE)-VLOOKUP($A304,'01-02.2022'!$A$6:$DA$376,72,FALSE)</f>
        <v>58416.860268304561</v>
      </c>
      <c r="BU304" s="566">
        <f>VLOOKUP($A304,'01-02.2021'!$A$6:$CZ$403,73,FALSE)+VLOOKUP($A304,'1.3.21-28.2.22'!$A$6:$DA$404,73,FALSE)-VLOOKUP($A304,'01-02.2022'!$A$6:$DA$376,73,FALSE)</f>
        <v>55010.875317719758</v>
      </c>
      <c r="BV304" s="70">
        <f t="shared" si="341"/>
        <v>-3405.9849505848033</v>
      </c>
      <c r="BW304" s="566">
        <f>VLOOKUP($A304,'01-02.2021'!$A$6:$CZ$403,75,FALSE)+VLOOKUP($A304,'1.3.21-28.2.22'!$A$6:$DA$404,75,FALSE)-VLOOKUP($A304,'01-02.2022'!$A$6:$DA$376,75,FALSE)</f>
        <v>40739.017232182588</v>
      </c>
      <c r="BX304" s="566">
        <f>VLOOKUP($A304,'01-02.2021'!$A$6:$CZ$403,76,FALSE)+VLOOKUP($A304,'1.3.21-28.2.22'!$A$6:$DA$404,76,FALSE)-VLOOKUP($A304,'01-02.2022'!$A$6:$DA$376,76,FALSE)</f>
        <v>39892.67965738519</v>
      </c>
      <c r="BY304" s="70">
        <f t="shared" si="342"/>
        <v>-846.3375747973987</v>
      </c>
      <c r="BZ304" s="566">
        <f>VLOOKUP($A304,'01-02.2021'!$A$6:$CZ$403,78,FALSE)+VLOOKUP($A304,'1.3.21-28.2.22'!$A$6:$DA$404,78,FALSE)-VLOOKUP($A304,'01-02.2022'!$A$6:$DA$376,78,FALSE)</f>
        <v>6541.0640859320392</v>
      </c>
      <c r="CA304" s="566">
        <f>VLOOKUP($A304,'01-02.2021'!$A$6:$CZ$403,79,FALSE)+VLOOKUP($A304,'1.3.21-28.2.22'!$A$6:$DA$404,79,FALSE)-VLOOKUP($A304,'01-02.2022'!$A$6:$DA$376,79,FALSE)</f>
        <v>12666.462174282649</v>
      </c>
      <c r="CB304" s="70">
        <f t="shared" si="343"/>
        <v>6125.3980883506101</v>
      </c>
      <c r="CC304" s="566">
        <f>VLOOKUP($A304,'01-02.2021'!$A$6:$CZ$403,81,FALSE)+VLOOKUP($A304,'1.3.21-28.2.22'!$A$6:$DA$404,81,FALSE)-VLOOKUP($A304,'01-02.2022'!$A$6:$DA$376,81,FALSE)</f>
        <v>1290.0612678889686</v>
      </c>
      <c r="CD304" s="566">
        <f>VLOOKUP($A304,'01-02.2021'!$A$6:$CZ$403,82,FALSE)+VLOOKUP($A304,'1.3.21-28.2.22'!$A$6:$DA$404,82,FALSE)-VLOOKUP($A304,'01-02.2022'!$A$6:$DA$376,82,FALSE)</f>
        <v>1395.3335829174941</v>
      </c>
      <c r="CE304" s="70">
        <f t="shared" si="344"/>
        <v>105.27231502852555</v>
      </c>
      <c r="CF304" s="566">
        <f>VLOOKUP($A304,'01-02.2021'!$A$6:$CZ$403,84,FALSE)+VLOOKUP($A304,'1.3.21-28.2.22'!$A$6:$DA$404,84,FALSE)-VLOOKUP($A304,'01-02.2022'!$A$6:$DA$376,84,FALSE)</f>
        <v>155.19910606516663</v>
      </c>
      <c r="CG304" s="566">
        <f>VLOOKUP($A304,'01-02.2021'!$A$6:$CZ$403,85,FALSE)+VLOOKUP($A304,'1.3.21-28.2.22'!$A$6:$DA$404,85,FALSE)-VLOOKUP($A304,'01-02.2022'!$A$6:$DA$376,85,FALSE)</f>
        <v>0</v>
      </c>
      <c r="CH304" s="70">
        <f t="shared" si="345"/>
        <v>-155.19910606516663</v>
      </c>
      <c r="CI304" s="566">
        <f>VLOOKUP($A304,'01-02.2021'!$A$6:$CZ$403,87,FALSE)+VLOOKUP($A304,'1.3.21-28.2.22'!$A$6:$DA$404,87,FALSE)-VLOOKUP($A304,'01-02.2022'!$A$6:$DA$376,87,FALSE)</f>
        <v>18499.023921898544</v>
      </c>
      <c r="CJ304" s="566">
        <f>VLOOKUP($A304,'01-02.2021'!$A$6:$CZ$403,88,FALSE)+VLOOKUP($A304,'1.3.21-28.2.22'!$A$6:$DA$404,88,FALSE)-VLOOKUP($A304,'01-02.2022'!$A$6:$DA$376,88,FALSE)</f>
        <v>15515.348351412747</v>
      </c>
      <c r="CK304" s="70">
        <f t="shared" si="346"/>
        <v>-2983.6755704857969</v>
      </c>
      <c r="CL304" s="566">
        <f>VLOOKUP($A304,'01-02.2021'!$A$6:$CZ$403,90,FALSE)+VLOOKUP($A304,'1.3.21-28.2.22'!$A$6:$DA$404,90,FALSE)-VLOOKUP($A304,'01-02.2022'!$A$6:$DA$376,90,FALSE)</f>
        <v>6434.0639449556929</v>
      </c>
      <c r="CM304" s="566">
        <f>VLOOKUP($A304,'01-02.2021'!$A$6:$CZ$403,91,FALSE)+VLOOKUP($A304,'1.3.21-28.2.22'!$A$6:$DA$404,91,FALSE)-VLOOKUP($A304,'01-02.2022'!$A$6:$DA$376,91,FALSE)</f>
        <v>5855.8309028691147</v>
      </c>
      <c r="CN304" s="52">
        <f t="shared" ref="CN304:CN362" si="360">CM304-CL304</f>
        <v>-578.23304208657828</v>
      </c>
      <c r="CO304" s="39">
        <f t="shared" si="355"/>
        <v>24933.087866854235</v>
      </c>
      <c r="CP304" s="40">
        <f t="shared" ref="CP304:CP362" si="361">CJ304+CM304</f>
        <v>21371.179254281862</v>
      </c>
      <c r="CQ304" s="52">
        <f t="shared" ref="CQ304:CQ362" si="362">CP304-CO304</f>
        <v>-3561.9086125723734</v>
      </c>
      <c r="CR304" s="72">
        <f t="shared" si="356"/>
        <v>287900.65879955824</v>
      </c>
      <c r="CS304" s="5">
        <f t="shared" si="356"/>
        <v>232975.6827987326</v>
      </c>
      <c r="CT304" s="52">
        <f t="shared" ref="CT304:CT362" si="363">CS304-CR304</f>
        <v>-54924.976000825642</v>
      </c>
      <c r="CU304" s="77">
        <f t="shared" ref="CU304:CU362" si="364">CR304*1.2</f>
        <v>345480.7905594699</v>
      </c>
      <c r="CV304" s="65">
        <f t="shared" ref="CV304:CV362" si="365">CS304*1.2</f>
        <v>279570.81935847912</v>
      </c>
      <c r="CW304" s="35">
        <f t="shared" ref="CW304:CW362" si="366">CV304-CU304</f>
        <v>-65909.971200990782</v>
      </c>
      <c r="CX304" s="566">
        <f>VLOOKUP($A304,'01-02.2021'!$A$6:$CZ$403,102,FALSE)+VLOOKUP($A304,'1.3.21-28.2.22'!$A$6:$DA$404,102,FALSE)-VLOOKUP($A304,'01-02.2022'!$A$6:$DA$376,102,FALSE)</f>
        <v>8722.7367438969777</v>
      </c>
      <c r="CY304" s="566">
        <f>VLOOKUP($A304,'01-02.2021'!$A$6:$CZ$403,103,FALSE)+VLOOKUP($A304,'1.3.21-28.2.22'!$A$6:$DA$404,103,FALSE)-VLOOKUP($A304,'01-02.2022'!$A$6:$DA$376,103,FALSE)</f>
        <v>74632.707944887748</v>
      </c>
      <c r="CZ304" s="52">
        <f t="shared" ref="CZ304:CZ362" si="367">CY304-CX304</f>
        <v>65909.971200990767</v>
      </c>
      <c r="DA304" s="150">
        <f>'[2]побудинковий звіт'!DA304</f>
        <v>-50758.313776396113</v>
      </c>
      <c r="DB304" s="2">
        <v>1</v>
      </c>
      <c r="DC304" s="414">
        <f>'[4]побудинковий звіт'!DC304</f>
        <v>53507.040000000001</v>
      </c>
      <c r="DD304" s="414">
        <f>'[4]побудинковий звіт'!DD304</f>
        <v>0</v>
      </c>
      <c r="DE304" s="557">
        <f>'[4]побудинковий звіт'!DE304</f>
        <v>21509.272986021075</v>
      </c>
      <c r="DF304" s="557">
        <f>'[4]побудинковий звіт'!DF304</f>
        <v>0</v>
      </c>
      <c r="DG304" s="321">
        <f>VLOOKUP(A304,'кошти 01.03.2021'!$A$6:$D$401,4,)</f>
        <v>22942.61360923051</v>
      </c>
      <c r="DH304" s="40">
        <f>'[3]побудинковий звіт'!DJ304</f>
        <v>365922.50067913637</v>
      </c>
      <c r="DI304" s="422">
        <f>'[3]побудинковий звіт'!CU304+'[3]побудинковий звіт'!CX304</f>
        <v>31997.767013978922</v>
      </c>
      <c r="DJ304" s="306">
        <f>'[3]побудинковий звіт'!DM304</f>
        <v>6.163043273014793</v>
      </c>
      <c r="DK304" s="306">
        <f>'[3]побудинковий звіт'!DN304</f>
        <v>7.3873026986706289</v>
      </c>
      <c r="DL304" s="306">
        <f>'[3]побудинковий звіт'!DO304</f>
        <v>5.0695039878876198</v>
      </c>
      <c r="DM304" s="28">
        <f t="shared" ref="DM304:DM305" si="368">DJ304*G304+(F304-G304)*DK304</f>
        <v>31997.767013978926</v>
      </c>
      <c r="DN304" s="28">
        <f>DL304*H304</f>
        <v>0</v>
      </c>
      <c r="DO304" s="423">
        <f t="shared" si="319"/>
        <v>31997.767013978926</v>
      </c>
      <c r="DP304" s="94">
        <f t="shared" si="320"/>
        <v>0</v>
      </c>
      <c r="DQ304" s="28">
        <f t="shared" si="321"/>
        <v>31997.767013978926</v>
      </c>
      <c r="DR304" s="318"/>
      <c r="DT304" s="8"/>
      <c r="DU304" s="5"/>
      <c r="DX304" s="5">
        <f t="shared" si="322"/>
        <v>75796.285633866559</v>
      </c>
      <c r="DY304" s="5">
        <f t="shared" si="323"/>
        <v>15012.767999999998</v>
      </c>
      <c r="DZ304" s="159">
        <f>'[3]побудинковий звіт'!EA304</f>
        <v>6839.5254493468528</v>
      </c>
    </row>
    <row r="305" spans="1:130" x14ac:dyDescent="0.3">
      <c r="A305" s="325">
        <v>150000833</v>
      </c>
      <c r="B305" s="41" t="s">
        <v>751</v>
      </c>
      <c r="C305" s="42" t="s">
        <v>393</v>
      </c>
      <c r="D305" s="42"/>
      <c r="E305" s="293">
        <f t="shared" si="353"/>
        <v>4752.1000000000004</v>
      </c>
      <c r="F305" s="305">
        <f>'[3]побудинковий звіт'!F305</f>
        <v>4752.1000000000004</v>
      </c>
      <c r="G305" s="508">
        <f>'[3]побудинковий звіт'!G305</f>
        <v>455.3</v>
      </c>
      <c r="H305" s="560">
        <f>'[3]побудинковий звіт'!H305</f>
        <v>0</v>
      </c>
      <c r="I305" s="566">
        <f>VLOOKUP($A305,'01-02.2021'!$A$6:$CZ$403,9,FALSE)+VLOOKUP($A305,'1.3.21-28.2.22'!$A$6:$DA$404,9,FALSE)-VLOOKUP($A305,'01-02.2022'!$A$6:$DA$376,9,FALSE)</f>
        <v>15813.608623178066</v>
      </c>
      <c r="J305" s="566">
        <f>VLOOKUP($A305,'01-02.2021'!$A$6:$CZ$403,10,FALSE)+VLOOKUP($A305,'1.3.21-28.2.22'!$A$6:$DA$404,10,FALSE)-VLOOKUP($A305,'01-02.2022'!$A$6:$DA$376,10,FALSE)</f>
        <v>14058.454187519083</v>
      </c>
      <c r="K305" s="52">
        <f t="shared" si="357"/>
        <v>-1755.1544356589839</v>
      </c>
      <c r="L305" s="566">
        <f>VLOOKUP($A305,'01-02.2021'!$A$6:$CZ$403,12,FALSE)+VLOOKUP($A305,'1.3.21-28.2.22'!$A$6:$DA$404,12,FALSE)-VLOOKUP($A305,'01-02.2022'!$A$6:$DA$376,12,FALSE)</f>
        <v>2287.3558486748329</v>
      </c>
      <c r="M305" s="566">
        <f>VLOOKUP($A305,'01-02.2021'!$A$6:$CZ$403,13,FALSE)+VLOOKUP($A305,'1.3.21-28.2.22'!$A$6:$DA$404,13,FALSE)-VLOOKUP($A305,'01-02.2022'!$A$6:$DA$376,13,FALSE)</f>
        <v>2070.1579465483951</v>
      </c>
      <c r="N305" s="52">
        <f t="shared" si="358"/>
        <v>-217.19790212643784</v>
      </c>
      <c r="O305" s="566">
        <f>VLOOKUP($A305,'01-02.2021'!$A$6:$CZ$403,15,FALSE)+VLOOKUP($A305,'1.3.21-28.2.22'!$A$6:$DA$404,15,FALSE)-VLOOKUP($A305,'01-02.2022'!$A$6:$DA$376,15,FALSE)</f>
        <v>6458.544686731685</v>
      </c>
      <c r="P305" s="566">
        <f>VLOOKUP($A305,'01-02.2021'!$A$6:$CZ$403,16,FALSE)+VLOOKUP($A305,'1.3.21-28.2.22'!$A$6:$DA$404,16,FALSE)-VLOOKUP($A305,'01-02.2022'!$A$6:$DA$376,16,FALSE)</f>
        <v>6458.5800000000008</v>
      </c>
      <c r="Q305" s="70">
        <f t="shared" si="324"/>
        <v>3.5313268315803725E-2</v>
      </c>
      <c r="R305" s="566">
        <f>VLOOKUP($A305,'01-02.2021'!$A$6:$CZ$403,18,FALSE)+VLOOKUP($A305,'1.3.21-28.2.22'!$A$6:$DA$404,18,FALSE)-VLOOKUP($A305,'01-02.2022'!$A$6:$DA$376,18,FALSE)</f>
        <v>1334.533567409333</v>
      </c>
      <c r="S305" s="566">
        <f>VLOOKUP($A305,'01-02.2021'!$A$6:$CZ$403,19,FALSE)+VLOOKUP($A305,'1.3.21-28.2.22'!$A$6:$DA$404,19,FALSE)-VLOOKUP($A305,'01-02.2022'!$A$6:$DA$376,19,FALSE)</f>
        <v>1334.5399999999995</v>
      </c>
      <c r="T305" s="70">
        <f t="shared" si="325"/>
        <v>6.4325906664635113E-3</v>
      </c>
      <c r="U305" s="566">
        <f>VLOOKUP($A305,'01-02.2021'!$A$6:$CZ$403,21,FALSE)+VLOOKUP($A305,'1.3.21-28.2.22'!$A$6:$DA$404,21,FALSE)-VLOOKUP($A305,'01-02.2022'!$A$6:$DA$376,21,FALSE)</f>
        <v>717.22196050395598</v>
      </c>
      <c r="V305" s="566">
        <f>VLOOKUP($A305,'01-02.2021'!$A$6:$CZ$403,22,FALSE)+VLOOKUP($A305,'1.3.21-28.2.22'!$A$6:$DA$404,22,FALSE)-VLOOKUP($A305,'01-02.2022'!$A$6:$DA$376,22,FALSE)</f>
        <v>484.1827186730431</v>
      </c>
      <c r="W305" s="70">
        <f t="shared" si="326"/>
        <v>-233.03924183091289</v>
      </c>
      <c r="X305" s="566">
        <f>VLOOKUP($A305,'01-02.2021'!$A$6:$CZ$403,24,FALSE)+VLOOKUP($A305,'1.3.21-28.2.22'!$A$6:$DA$404,24,FALSE)-VLOOKUP($A305,'01-02.2022'!$A$6:$DA$376,24,FALSE)</f>
        <v>6087.5974904728673</v>
      </c>
      <c r="Y305" s="566">
        <f>VLOOKUP($A305,'01-02.2021'!$A$6:$CZ$403,25,FALSE)+VLOOKUP($A305,'1.3.21-28.2.22'!$A$6:$DA$404,25,FALSE)-VLOOKUP($A305,'01-02.2022'!$A$6:$DA$376,25,FALSE)</f>
        <v>4586.6070387565433</v>
      </c>
      <c r="Z305" s="70">
        <f t="shared" si="327"/>
        <v>-1500.9904517163241</v>
      </c>
      <c r="AA305" s="566">
        <f>VLOOKUP($A305,'01-02.2021'!$A$6:$CZ$403,27,FALSE)+VLOOKUP($A305,'1.3.21-28.2.22'!$A$6:$DA$404,27,FALSE)-VLOOKUP($A305,'01-02.2022'!$A$6:$DA$376,27,FALSE)</f>
        <v>950.42000000000007</v>
      </c>
      <c r="AB305" s="566">
        <f>VLOOKUP($A305,'01-02.2021'!$A$6:$CZ$403,28,FALSE)+VLOOKUP($A305,'1.3.21-28.2.22'!$A$6:$DA$404,28,FALSE)-VLOOKUP($A305,'01-02.2022'!$A$6:$DA$376,28,FALSE)</f>
        <v>0</v>
      </c>
      <c r="AC305" s="70">
        <f t="shared" si="328"/>
        <v>-950.42000000000007</v>
      </c>
      <c r="AD305" s="566">
        <f>VLOOKUP($A305,'01-02.2021'!$A$6:$CZ$403,30,FALSE)+VLOOKUP($A305,'1.3.21-28.2.22'!$A$6:$DA$404,30,FALSE)-VLOOKUP($A305,'01-02.2022'!$A$6:$DA$376,30,FALSE)</f>
        <v>20411.579842578492</v>
      </c>
      <c r="AE305" s="566">
        <f>VLOOKUP($A305,'01-02.2021'!$A$6:$CZ$403,31,FALSE)+VLOOKUP($A305,'1.3.21-28.2.22'!$A$6:$DA$404,31,FALSE)-VLOOKUP($A305,'01-02.2022'!$A$6:$DA$376,31,FALSE)</f>
        <v>21631.750672802915</v>
      </c>
      <c r="AF305" s="68">
        <f t="shared" si="329"/>
        <v>1220.1708302244224</v>
      </c>
      <c r="AG305" s="77">
        <f t="shared" si="354"/>
        <v>54060.86201954924</v>
      </c>
      <c r="AH305" s="53">
        <f t="shared" si="354"/>
        <v>50624.272564299987</v>
      </c>
      <c r="AI305" s="52">
        <f t="shared" si="359"/>
        <v>-3436.5894552492537</v>
      </c>
      <c r="AJ305" s="566">
        <f>VLOOKUP($A305,'01-02.2021'!$A$6:$CZ$403,36,FALSE)+VLOOKUP($A305,'1.3.21-28.2.22'!$A$6:$DA$404,36,FALSE)-VLOOKUP($A305,'01-02.2022'!$A$6:$DA$376,36,FALSE)</f>
        <v>32729.556740409254</v>
      </c>
      <c r="AK305" s="566">
        <f>VLOOKUP($A305,'01-02.2021'!$A$6:$CZ$403,37,FALSE)+VLOOKUP($A305,'1.3.21-28.2.22'!$A$6:$DA$404,37,FALSE)-VLOOKUP($A305,'01-02.2022'!$A$6:$DA$376,37,FALSE)</f>
        <v>29545.662842180667</v>
      </c>
      <c r="AL305" s="70">
        <f t="shared" si="330"/>
        <v>-3183.8938982285872</v>
      </c>
      <c r="AM305" s="566">
        <f>VLOOKUP($A305,'01-02.2021'!$A$6:$CZ$403,39,FALSE)+VLOOKUP($A305,'1.3.21-28.2.22'!$A$6:$DA$404,39,FALSE)-VLOOKUP($A305,'01-02.2022'!$A$6:$DA$376,39,FALSE)</f>
        <v>0</v>
      </c>
      <c r="AN305" s="566">
        <f>VLOOKUP($A305,'01-02.2021'!$A$6:$CZ$403,40,FALSE)+VLOOKUP($A305,'1.3.21-28.2.22'!$A$6:$DA$404,40,FALSE)-VLOOKUP($A305,'01-02.2022'!$A$6:$DA$376,40,FALSE)</f>
        <v>0</v>
      </c>
      <c r="AO305" s="70">
        <f t="shared" si="331"/>
        <v>0</v>
      </c>
      <c r="AP305" s="566">
        <f>VLOOKUP($A305,'01-02.2021'!$A$6:$CZ$403,42,FALSE)+VLOOKUP($A305,'1.3.21-28.2.22'!$A$6:$DA$404,42,FALSE)-VLOOKUP($A305,'01-02.2022'!$A$6:$DA$376,42,FALSE)</f>
        <v>3470.3995000851833</v>
      </c>
      <c r="AQ305" s="566">
        <f>VLOOKUP($A305,'01-02.2021'!$A$6:$CZ$403,43,FALSE)+VLOOKUP($A305,'1.3.21-28.2.22'!$A$6:$DA$404,43,FALSE)-VLOOKUP($A305,'01-02.2022'!$A$6:$DA$376,43,FALSE)</f>
        <v>3048.150289017341</v>
      </c>
      <c r="AR305" s="70">
        <f t="shared" si="332"/>
        <v>-422.24921106784223</v>
      </c>
      <c r="AS305" s="566">
        <f>VLOOKUP($A305,'01-02.2021'!$A$6:$CZ$403,45,FALSE)+VLOOKUP($A305,'1.3.21-28.2.22'!$A$6:$DA$404,45,FALSE)-VLOOKUP($A305,'01-02.2022'!$A$6:$DA$376,45,FALSE)</f>
        <v>54089.454487239374</v>
      </c>
      <c r="AT305" s="566">
        <f>VLOOKUP($A305,'01-02.2021'!$A$6:$CZ$403,46,FALSE)+VLOOKUP($A305,'1.3.21-28.2.22'!$A$6:$DA$404,46,FALSE)-VLOOKUP($A305,'01-02.2022'!$A$6:$DA$376,46,FALSE)</f>
        <v>75914.799999999988</v>
      </c>
      <c r="AU305" s="78">
        <f t="shared" si="333"/>
        <v>21825.345512760614</v>
      </c>
      <c r="AV305" s="566">
        <f>VLOOKUP($A305,'01-02.2021'!$A$6:$CZ$403,48,FALSE)+VLOOKUP($A305,'1.3.21-28.2.22'!$A$6:$DA$404,48,FALSE)-VLOOKUP($A305,'01-02.2022'!$A$6:$DA$376,48,FALSE)</f>
        <v>3130.9199592921018</v>
      </c>
      <c r="AW305" s="566">
        <f>VLOOKUP($A305,'01-02.2021'!$A$6:$CZ$403,49,FALSE)+VLOOKUP($A305,'1.3.21-28.2.22'!$A$6:$DA$404,49,FALSE)-VLOOKUP($A305,'01-02.2022'!$A$6:$DA$376,49,FALSE)</f>
        <v>500</v>
      </c>
      <c r="AX305" s="55">
        <f t="shared" si="334"/>
        <v>-2630.9199592921018</v>
      </c>
      <c r="AY305" s="566">
        <f>VLOOKUP($A305,'01-02.2021'!$A$6:$CZ$403,51,FALSE)+VLOOKUP($A305,'1.3.21-28.2.22'!$A$6:$DA$404,51,FALSE)-VLOOKUP($A305,'01-02.2022'!$A$6:$DA$376,51,FALSE)</f>
        <v>3001.9013064308169</v>
      </c>
      <c r="AZ305" s="566">
        <f>VLOOKUP($A305,'01-02.2021'!$A$6:$CZ$403,52,FALSE)+VLOOKUP($A305,'1.3.21-28.2.22'!$A$6:$DA$404,52,FALSE)-VLOOKUP($A305,'01-02.2022'!$A$6:$DA$376,52,FALSE)</f>
        <v>2162</v>
      </c>
      <c r="BA305" s="38">
        <f t="shared" si="335"/>
        <v>-839.90130643081693</v>
      </c>
      <c r="BB305" s="566">
        <f>VLOOKUP($A305,'01-02.2021'!$A$6:$CZ$403,54,FALSE)+VLOOKUP($A305,'1.3.21-28.2.22'!$A$6:$DA$404,54,FALSE)-VLOOKUP($A305,'01-02.2022'!$A$6:$DA$376,54,FALSE)</f>
        <v>1660.9790066487417</v>
      </c>
      <c r="BC305" s="566">
        <f>VLOOKUP($A305,'01-02.2021'!$A$6:$CZ$403,55,FALSE)+VLOOKUP($A305,'1.3.21-28.2.22'!$A$6:$DA$404,55,FALSE)-VLOOKUP($A305,'01-02.2022'!$A$6:$DA$376,55,FALSE)</f>
        <v>0</v>
      </c>
      <c r="BD305" s="55">
        <f t="shared" si="336"/>
        <v>-1660.9790066487417</v>
      </c>
      <c r="BE305" s="566">
        <f>VLOOKUP($A305,'01-02.2021'!$A$6:$CZ$403,57,FALSE)+VLOOKUP($A305,'1.3.21-28.2.22'!$A$6:$DA$404,57,FALSE)-VLOOKUP($A305,'01-02.2022'!$A$6:$DA$376,57,FALSE)</f>
        <v>2954.3258473094211</v>
      </c>
      <c r="BF305" s="566">
        <f>VLOOKUP($A305,'01-02.2021'!$A$6:$CZ$403,58,FALSE)+VLOOKUP($A305,'1.3.21-28.2.22'!$A$6:$DA$404,58,FALSE)-VLOOKUP($A305,'01-02.2022'!$A$6:$DA$376,58,FALSE)</f>
        <v>0</v>
      </c>
      <c r="BG305" s="55">
        <f t="shared" si="337"/>
        <v>-2954.3258473094211</v>
      </c>
      <c r="BH305" s="566">
        <f>VLOOKUP($A305,'01-02.2021'!$A$6:$CZ$403,60,FALSE)+VLOOKUP($A305,'1.3.21-28.2.22'!$A$6:$DA$404,60,FALSE)-VLOOKUP($A305,'01-02.2022'!$A$6:$DA$376,60,FALSE)</f>
        <v>1313.3912226422594</v>
      </c>
      <c r="BI305" s="566">
        <f>VLOOKUP($A305,'01-02.2021'!$A$6:$CZ$403,61,FALSE)+VLOOKUP($A305,'1.3.21-28.2.22'!$A$6:$DA$404,61,FALSE)-VLOOKUP($A305,'01-02.2022'!$A$6:$DA$376,61,FALSE)</f>
        <v>1141</v>
      </c>
      <c r="BJ305" s="55">
        <f t="shared" si="338"/>
        <v>-172.39122264225944</v>
      </c>
      <c r="BK305" s="566">
        <f>VLOOKUP($A305,'01-02.2021'!$A$6:$CZ$403,63,FALSE)+VLOOKUP($A305,'1.3.21-28.2.22'!$A$6:$DA$404,63,FALSE)-VLOOKUP($A305,'01-02.2022'!$A$6:$DA$376,63,FALSE)</f>
        <v>1437.9072543707121</v>
      </c>
      <c r="BL305" s="566">
        <f>VLOOKUP($A305,'01-02.2021'!$A$6:$CZ$403,64,FALSE)+VLOOKUP($A305,'1.3.21-28.2.22'!$A$6:$DA$404,64,FALSE)-VLOOKUP($A305,'01-02.2022'!$A$6:$DA$376,64,FALSE)</f>
        <v>0</v>
      </c>
      <c r="BM305" s="55">
        <f t="shared" si="339"/>
        <v>-1437.9072543707121</v>
      </c>
      <c r="BN305" s="566">
        <f>VLOOKUP($A305,'01-02.2021'!$A$6:$CZ$403,66,FALSE)+VLOOKUP($A305,'1.3.21-28.2.22'!$A$6:$DA$404,66,FALSE)-VLOOKUP($A305,'01-02.2022'!$A$6:$DA$376,66,FALSE)</f>
        <v>414.6752455127392</v>
      </c>
      <c r="BO305" s="566">
        <f>VLOOKUP($A305,'01-02.2021'!$A$6:$CZ$403,67,FALSE)+VLOOKUP($A305,'1.3.21-28.2.22'!$A$6:$DA$404,67,FALSE)-VLOOKUP($A305,'01-02.2022'!$A$6:$DA$376,67,FALSE)</f>
        <v>0</v>
      </c>
      <c r="BP305" s="55">
        <f t="shared" si="340"/>
        <v>-414.6752455127392</v>
      </c>
      <c r="BQ305" s="77">
        <f t="shared" si="348"/>
        <v>13914.099842206791</v>
      </c>
      <c r="BR305" s="40">
        <f t="shared" si="349"/>
        <v>3803</v>
      </c>
      <c r="BS305" s="55">
        <f t="shared" ref="BS305:BS363" si="369">BR305-BQ305</f>
        <v>-10111.099842206791</v>
      </c>
      <c r="BT305" s="566">
        <f>VLOOKUP($A305,'01-02.2021'!$A$6:$CZ$403,72,FALSE)+VLOOKUP($A305,'1.3.21-28.2.22'!$A$6:$DA$404,72,FALSE)-VLOOKUP($A305,'01-02.2022'!$A$6:$DA$376,72,FALSE)</f>
        <v>53008.100597270924</v>
      </c>
      <c r="BU305" s="566">
        <f>VLOOKUP($A305,'01-02.2021'!$A$6:$CZ$403,73,FALSE)+VLOOKUP($A305,'1.3.21-28.2.22'!$A$6:$DA$404,73,FALSE)-VLOOKUP($A305,'01-02.2022'!$A$6:$DA$376,73,FALSE)</f>
        <v>55193.258016694905</v>
      </c>
      <c r="BV305" s="70">
        <f t="shared" si="341"/>
        <v>2185.1574194239802</v>
      </c>
      <c r="BW305" s="566">
        <f>VLOOKUP($A305,'01-02.2021'!$A$6:$CZ$403,75,FALSE)+VLOOKUP($A305,'1.3.21-28.2.22'!$A$6:$DA$404,75,FALSE)-VLOOKUP($A305,'01-02.2022'!$A$6:$DA$376,75,FALSE)</f>
        <v>34924.403305460648</v>
      </c>
      <c r="BX305" s="566">
        <f>VLOOKUP($A305,'01-02.2021'!$A$6:$CZ$403,76,FALSE)+VLOOKUP($A305,'1.3.21-28.2.22'!$A$6:$DA$404,76,FALSE)-VLOOKUP($A305,'01-02.2022'!$A$6:$DA$376,76,FALSE)</f>
        <v>34760.137710690273</v>
      </c>
      <c r="BY305" s="70">
        <f t="shared" si="342"/>
        <v>-164.26559477037517</v>
      </c>
      <c r="BZ305" s="566">
        <f>VLOOKUP($A305,'01-02.2021'!$A$6:$CZ$403,78,FALSE)+VLOOKUP($A305,'1.3.21-28.2.22'!$A$6:$DA$404,78,FALSE)-VLOOKUP($A305,'01-02.2022'!$A$6:$DA$376,78,FALSE)</f>
        <v>8880.1171013069852</v>
      </c>
      <c r="CA305" s="566">
        <f>VLOOKUP($A305,'01-02.2021'!$A$6:$CZ$403,79,FALSE)+VLOOKUP($A305,'1.3.21-28.2.22'!$A$6:$DA$404,79,FALSE)-VLOOKUP($A305,'01-02.2022'!$A$6:$DA$376,79,FALSE)</f>
        <v>12569.20973652985</v>
      </c>
      <c r="CB305" s="70">
        <f t="shared" si="343"/>
        <v>3689.0926352228653</v>
      </c>
      <c r="CC305" s="566">
        <f>VLOOKUP($A305,'01-02.2021'!$A$6:$CZ$403,81,FALSE)+VLOOKUP($A305,'1.3.21-28.2.22'!$A$6:$DA$404,81,FALSE)-VLOOKUP($A305,'01-02.2022'!$A$6:$DA$376,81,FALSE)</f>
        <v>1438.7047013800525</v>
      </c>
      <c r="CD305" s="566">
        <f>VLOOKUP($A305,'01-02.2021'!$A$6:$CZ$403,82,FALSE)+VLOOKUP($A305,'1.3.21-28.2.22'!$A$6:$DA$404,82,FALSE)-VLOOKUP($A305,'01-02.2022'!$A$6:$DA$376,82,FALSE)</f>
        <v>1559.9712692701028</v>
      </c>
      <c r="CE305" s="70">
        <f t="shared" si="344"/>
        <v>121.26656789005028</v>
      </c>
      <c r="CF305" s="566">
        <f>VLOOKUP($A305,'01-02.2021'!$A$6:$CZ$403,84,FALSE)+VLOOKUP($A305,'1.3.21-28.2.22'!$A$6:$DA$404,84,FALSE)-VLOOKUP($A305,'01-02.2022'!$A$6:$DA$376,84,FALSE)</f>
        <v>173.51130184356703</v>
      </c>
      <c r="CG305" s="566">
        <f>VLOOKUP($A305,'01-02.2021'!$A$6:$CZ$403,85,FALSE)+VLOOKUP($A305,'1.3.21-28.2.22'!$A$6:$DA$404,85,FALSE)-VLOOKUP($A305,'01-02.2022'!$A$6:$DA$376,85,FALSE)</f>
        <v>0</v>
      </c>
      <c r="CH305" s="70">
        <f t="shared" si="345"/>
        <v>-173.51130184356703</v>
      </c>
      <c r="CI305" s="566">
        <f>VLOOKUP($A305,'01-02.2021'!$A$6:$CZ$403,87,FALSE)+VLOOKUP($A305,'1.3.21-28.2.22'!$A$6:$DA$404,87,FALSE)-VLOOKUP($A305,'01-02.2022'!$A$6:$DA$376,87,FALSE)</f>
        <v>4541.9622922131912</v>
      </c>
      <c r="CJ305" s="566">
        <f>VLOOKUP($A305,'01-02.2021'!$A$6:$CZ$403,88,FALSE)+VLOOKUP($A305,'1.3.21-28.2.22'!$A$6:$DA$404,88,FALSE)-VLOOKUP($A305,'01-02.2022'!$A$6:$DA$376,88,FALSE)</f>
        <v>4171.496591294941</v>
      </c>
      <c r="CK305" s="70">
        <f t="shared" si="346"/>
        <v>-370.46570091825015</v>
      </c>
      <c r="CL305" s="566">
        <f>VLOOKUP($A305,'01-02.2021'!$A$6:$CZ$403,90,FALSE)+VLOOKUP($A305,'1.3.21-28.2.22'!$A$6:$DA$404,90,FALSE)-VLOOKUP($A305,'01-02.2022'!$A$6:$DA$376,90,FALSE)</f>
        <v>24306.90793147657</v>
      </c>
      <c r="CM305" s="566">
        <f>VLOOKUP($A305,'01-02.2021'!$A$6:$CZ$403,91,FALSE)+VLOOKUP($A305,'1.3.21-28.2.22'!$A$6:$DA$404,91,FALSE)-VLOOKUP($A305,'01-02.2022'!$A$6:$DA$376,91,FALSE)</f>
        <v>24300.726331458562</v>
      </c>
      <c r="CN305" s="52">
        <f t="shared" si="360"/>
        <v>-6.1816000180078845</v>
      </c>
      <c r="CO305" s="39">
        <f t="shared" si="355"/>
        <v>28848.870223689759</v>
      </c>
      <c r="CP305" s="40">
        <f t="shared" si="361"/>
        <v>28472.222922753503</v>
      </c>
      <c r="CQ305" s="52">
        <f t="shared" si="362"/>
        <v>-376.64730093625622</v>
      </c>
      <c r="CR305" s="72">
        <f t="shared" si="356"/>
        <v>285538.07982044172</v>
      </c>
      <c r="CS305" s="5">
        <f t="shared" si="356"/>
        <v>295490.68535143661</v>
      </c>
      <c r="CT305" s="52">
        <f t="shared" si="363"/>
        <v>9952.6055309948861</v>
      </c>
      <c r="CU305" s="77">
        <f t="shared" si="364"/>
        <v>342645.69578453008</v>
      </c>
      <c r="CV305" s="65">
        <f t="shared" si="365"/>
        <v>354588.82242172392</v>
      </c>
      <c r="CW305" s="35">
        <f t="shared" si="366"/>
        <v>11943.12663719384</v>
      </c>
      <c r="CX305" s="566">
        <f>VLOOKUP($A305,'01-02.2021'!$A$6:$CZ$403,102,FALSE)+VLOOKUP($A305,'1.3.21-28.2.22'!$A$6:$DA$404,102,FALSE)-VLOOKUP($A305,'01-02.2022'!$A$6:$DA$376,102,FALSE)</f>
        <v>9809.4795961191576</v>
      </c>
      <c r="CY305" s="566">
        <f>VLOOKUP($A305,'01-02.2021'!$A$6:$CZ$403,103,FALSE)+VLOOKUP($A305,'1.3.21-28.2.22'!$A$6:$DA$404,103,FALSE)-VLOOKUP($A305,'01-02.2022'!$A$6:$DA$376,103,FALSE)</f>
        <v>-2133.647041074757</v>
      </c>
      <c r="CZ305" s="52">
        <f t="shared" si="367"/>
        <v>-11943.126637193915</v>
      </c>
      <c r="DA305" s="150">
        <f>'[2]побудинковий звіт'!DA305</f>
        <v>492087.43247082049</v>
      </c>
      <c r="DB305" s="2">
        <v>1</v>
      </c>
      <c r="DC305" s="414">
        <f>'[4]побудинковий звіт'!DC305</f>
        <v>54125.51</v>
      </c>
      <c r="DD305" s="414">
        <f>'[4]побудинковий звіт'!DD305</f>
        <v>0</v>
      </c>
      <c r="DE305" s="557">
        <f>'[4]побудинковий звіт'!DE305</f>
        <v>22459.273910360374</v>
      </c>
      <c r="DF305" s="557">
        <f>'[4]побудинковий звіт'!DF305</f>
        <v>0</v>
      </c>
      <c r="DG305" s="321">
        <f>VLOOKUP(A305,'кошти 01.03.2021'!$A$6:$D$401,4,)</f>
        <v>-32952.880015702365</v>
      </c>
      <c r="DH305" s="40">
        <f>'[3]побудинковий звіт'!DJ305</f>
        <v>363281.31081025105</v>
      </c>
      <c r="DI305" s="422">
        <f>'[3]побудинковий звіт'!CU305+'[3]побудинковий звіт'!CX305</f>
        <v>31666.236089639624</v>
      </c>
      <c r="DJ305" s="306">
        <f>'[3]побудинковий звіт'!DM305</f>
        <v>5.3920382333823982</v>
      </c>
      <c r="DK305" s="306">
        <f>'[3]побудинковий звіт'!DN305</f>
        <v>6.7983711324661655</v>
      </c>
      <c r="DL305" s="306">
        <f>'[3]побудинковий звіт'!DO305</f>
        <v>4.5123446787150341</v>
      </c>
      <c r="DM305" s="28">
        <f t="shared" si="368"/>
        <v>31666.236089639628</v>
      </c>
      <c r="DN305" s="28">
        <f>DL305*H305</f>
        <v>0</v>
      </c>
      <c r="DO305" s="423">
        <f t="shared" si="319"/>
        <v>31666.236089639628</v>
      </c>
      <c r="DP305" s="94">
        <f t="shared" si="320"/>
        <v>0</v>
      </c>
      <c r="DQ305" s="28">
        <f t="shared" si="321"/>
        <v>31666.236089639628</v>
      </c>
      <c r="DR305" s="318"/>
      <c r="DT305" s="8"/>
      <c r="DU305" s="5"/>
      <c r="DX305" s="5">
        <f t="shared" si="322"/>
        <v>81604.265195335392</v>
      </c>
      <c r="DY305" s="5">
        <f t="shared" si="323"/>
        <v>95661.359999999986</v>
      </c>
      <c r="DZ305" s="159">
        <f>'[3]побудинковий звіт'!EA305</f>
        <v>7442.2835289377344</v>
      </c>
    </row>
    <row r="306" spans="1:130" x14ac:dyDescent="0.3">
      <c r="A306" s="325">
        <v>150000836</v>
      </c>
      <c r="B306" s="41" t="s">
        <v>752</v>
      </c>
      <c r="C306" s="42" t="s">
        <v>199</v>
      </c>
      <c r="D306" s="42"/>
      <c r="E306" s="293">
        <f t="shared" si="353"/>
        <v>1578.7</v>
      </c>
      <c r="F306" s="305">
        <f>'[3]побудинковий звіт'!F306</f>
        <v>1578.7</v>
      </c>
      <c r="G306" s="508">
        <f>'[3]побудинковий звіт'!G306</f>
        <v>0</v>
      </c>
      <c r="H306" s="560">
        <f>'[3]побудинковий звіт'!H306</f>
        <v>0</v>
      </c>
      <c r="I306" s="566">
        <f>VLOOKUP($A306,'01-02.2021'!$A$6:$CZ$403,9,FALSE)+VLOOKUP($A306,'1.3.21-28.2.22'!$A$6:$DA$404,9,FALSE)-VLOOKUP($A306,'01-02.2022'!$A$6:$DA$376,9,FALSE)</f>
        <v>6074.6592007262043</v>
      </c>
      <c r="J306" s="566">
        <f>VLOOKUP($A306,'01-02.2021'!$A$6:$CZ$403,10,FALSE)+VLOOKUP($A306,'1.3.21-28.2.22'!$A$6:$DA$404,10,FALSE)-VLOOKUP($A306,'01-02.2022'!$A$6:$DA$376,10,FALSE)</f>
        <v>5285.8985007419387</v>
      </c>
      <c r="K306" s="52">
        <f t="shared" si="357"/>
        <v>-788.76069998426556</v>
      </c>
      <c r="L306" s="566">
        <f>VLOOKUP($A306,'01-02.2021'!$A$6:$CZ$403,12,FALSE)+VLOOKUP($A306,'1.3.21-28.2.22'!$A$6:$DA$404,12,FALSE)-VLOOKUP($A306,'01-02.2022'!$A$6:$DA$376,12,FALSE)</f>
        <v>1393.2543142353697</v>
      </c>
      <c r="M306" s="566">
        <f>VLOOKUP($A306,'01-02.2021'!$A$6:$CZ$403,13,FALSE)+VLOOKUP($A306,'1.3.21-28.2.22'!$A$6:$DA$404,13,FALSE)-VLOOKUP($A306,'01-02.2022'!$A$6:$DA$376,13,FALSE)</f>
        <v>1255.7774975935865</v>
      </c>
      <c r="N306" s="52">
        <f t="shared" si="358"/>
        <v>-137.47681664178322</v>
      </c>
      <c r="O306" s="566">
        <f>VLOOKUP($A306,'01-02.2021'!$A$6:$CZ$403,15,FALSE)+VLOOKUP($A306,'1.3.21-28.2.22'!$A$6:$DA$404,15,FALSE)-VLOOKUP($A306,'01-02.2022'!$A$6:$DA$376,15,FALSE)</f>
        <v>2035.6511518780999</v>
      </c>
      <c r="P306" s="566">
        <f>VLOOKUP($A306,'01-02.2021'!$A$6:$CZ$403,16,FALSE)+VLOOKUP($A306,'1.3.21-28.2.22'!$A$6:$DA$404,16,FALSE)-VLOOKUP($A306,'01-02.2022'!$A$6:$DA$376,16,FALSE)</f>
        <v>2035.6699999999996</v>
      </c>
      <c r="Q306" s="70">
        <f t="shared" si="324"/>
        <v>1.8848121899736725E-2</v>
      </c>
      <c r="R306" s="566">
        <f>VLOOKUP($A306,'01-02.2021'!$A$6:$CZ$403,18,FALSE)+VLOOKUP($A306,'1.3.21-28.2.22'!$A$6:$DA$404,18,FALSE)-VLOOKUP($A306,'01-02.2022'!$A$6:$DA$376,18,FALSE)</f>
        <v>494.13624415032518</v>
      </c>
      <c r="S306" s="566">
        <f>VLOOKUP($A306,'01-02.2021'!$A$6:$CZ$403,19,FALSE)+VLOOKUP($A306,'1.3.21-28.2.22'!$A$6:$DA$404,19,FALSE)-VLOOKUP($A306,'01-02.2022'!$A$6:$DA$376,19,FALSE)</f>
        <v>494.1400000000001</v>
      </c>
      <c r="T306" s="70">
        <f t="shared" si="325"/>
        <v>3.7558496749170445E-3</v>
      </c>
      <c r="U306" s="566">
        <f>VLOOKUP($A306,'01-02.2021'!$A$6:$CZ$403,21,FALSE)+VLOOKUP($A306,'1.3.21-28.2.22'!$A$6:$DA$404,21,FALSE)-VLOOKUP($A306,'01-02.2022'!$A$6:$DA$376,21,FALSE)</f>
        <v>183.04004744510928</v>
      </c>
      <c r="V306" s="566">
        <f>VLOOKUP($A306,'01-02.2021'!$A$6:$CZ$403,22,FALSE)+VLOOKUP($A306,'1.3.21-28.2.22'!$A$6:$DA$404,22,FALSE)-VLOOKUP($A306,'01-02.2022'!$A$6:$DA$376,22,FALSE)</f>
        <v>119.23352433200051</v>
      </c>
      <c r="W306" s="70">
        <f t="shared" si="326"/>
        <v>-63.806523113108767</v>
      </c>
      <c r="X306" s="566">
        <f>VLOOKUP($A306,'01-02.2021'!$A$6:$CZ$403,24,FALSE)+VLOOKUP($A306,'1.3.21-28.2.22'!$A$6:$DA$404,24,FALSE)-VLOOKUP($A306,'01-02.2022'!$A$6:$DA$376,24,FALSE)</f>
        <v>2253.5833411445778</v>
      </c>
      <c r="Y306" s="566">
        <f>VLOOKUP($A306,'01-02.2021'!$A$6:$CZ$403,25,FALSE)+VLOOKUP($A306,'1.3.21-28.2.22'!$A$6:$DA$404,25,FALSE)-VLOOKUP($A306,'01-02.2022'!$A$6:$DA$376,25,FALSE)</f>
        <v>1304.4314888565286</v>
      </c>
      <c r="Z306" s="70">
        <f t="shared" si="327"/>
        <v>-949.15185228804921</v>
      </c>
      <c r="AA306" s="566">
        <f>VLOOKUP($A306,'01-02.2021'!$A$6:$CZ$403,27,FALSE)+VLOOKUP($A306,'1.3.21-28.2.22'!$A$6:$DA$404,27,FALSE)-VLOOKUP($A306,'01-02.2022'!$A$6:$DA$376,27,FALSE)</f>
        <v>315.74</v>
      </c>
      <c r="AB306" s="566">
        <f>VLOOKUP($A306,'01-02.2021'!$A$6:$CZ$403,28,FALSE)+VLOOKUP($A306,'1.3.21-28.2.22'!$A$6:$DA$404,28,FALSE)-VLOOKUP($A306,'01-02.2022'!$A$6:$DA$376,28,FALSE)</f>
        <v>0</v>
      </c>
      <c r="AC306" s="70">
        <f t="shared" si="328"/>
        <v>-315.74</v>
      </c>
      <c r="AD306" s="566">
        <f>VLOOKUP($A306,'01-02.2021'!$A$6:$CZ$403,30,FALSE)+VLOOKUP($A306,'1.3.21-28.2.22'!$A$6:$DA$404,30,FALSE)-VLOOKUP($A306,'01-02.2022'!$A$6:$DA$376,30,FALSE)</f>
        <v>6780.9466267648922</v>
      </c>
      <c r="AE306" s="566">
        <f>VLOOKUP($A306,'01-02.2021'!$A$6:$CZ$403,31,FALSE)+VLOOKUP($A306,'1.3.21-28.2.22'!$A$6:$DA$404,31,FALSE)-VLOOKUP($A306,'01-02.2022'!$A$6:$DA$376,31,FALSE)</f>
        <v>7186.3060093756367</v>
      </c>
      <c r="AF306" s="68">
        <f t="shared" si="329"/>
        <v>405.35938261074443</v>
      </c>
      <c r="AG306" s="77">
        <f t="shared" si="354"/>
        <v>19531.010926344577</v>
      </c>
      <c r="AH306" s="53">
        <f t="shared" si="354"/>
        <v>17681.457020899688</v>
      </c>
      <c r="AI306" s="52">
        <f t="shared" si="359"/>
        <v>-1849.5539054448891</v>
      </c>
      <c r="AJ306" s="566">
        <f>VLOOKUP($A306,'01-02.2021'!$A$6:$CZ$403,36,FALSE)+VLOOKUP($A306,'1.3.21-28.2.22'!$A$6:$DA$404,36,FALSE)-VLOOKUP($A306,'01-02.2022'!$A$6:$DA$376,36,FALSE)</f>
        <v>0</v>
      </c>
      <c r="AK306" s="566">
        <f>VLOOKUP($A306,'01-02.2021'!$A$6:$CZ$403,37,FALSE)+VLOOKUP($A306,'1.3.21-28.2.22'!$A$6:$DA$404,37,FALSE)-VLOOKUP($A306,'01-02.2022'!$A$6:$DA$376,37,FALSE)</f>
        <v>0</v>
      </c>
      <c r="AL306" s="70">
        <f t="shared" si="330"/>
        <v>0</v>
      </c>
      <c r="AM306" s="566">
        <f>VLOOKUP($A306,'01-02.2021'!$A$6:$CZ$403,39,FALSE)+VLOOKUP($A306,'1.3.21-28.2.22'!$A$6:$DA$404,39,FALSE)-VLOOKUP($A306,'01-02.2022'!$A$6:$DA$376,39,FALSE)</f>
        <v>0</v>
      </c>
      <c r="AN306" s="566">
        <f>VLOOKUP($A306,'01-02.2021'!$A$6:$CZ$403,40,FALSE)+VLOOKUP($A306,'1.3.21-28.2.22'!$A$6:$DA$404,40,FALSE)-VLOOKUP($A306,'01-02.2022'!$A$6:$DA$376,40,FALSE)</f>
        <v>0</v>
      </c>
      <c r="AO306" s="70">
        <f t="shared" si="331"/>
        <v>0</v>
      </c>
      <c r="AP306" s="566">
        <f>VLOOKUP($A306,'01-02.2021'!$A$6:$CZ$403,42,FALSE)+VLOOKUP($A306,'1.3.21-28.2.22'!$A$6:$DA$404,42,FALSE)-VLOOKUP($A306,'01-02.2022'!$A$6:$DA$376,42,FALSE)</f>
        <v>520.55992501277728</v>
      </c>
      <c r="AQ306" s="566">
        <f>VLOOKUP($A306,'01-02.2021'!$A$6:$CZ$403,43,FALSE)+VLOOKUP($A306,'1.3.21-28.2.22'!$A$6:$DA$404,43,FALSE)-VLOOKUP($A306,'01-02.2022'!$A$6:$DA$376,43,FALSE)</f>
        <v>452.42772666561774</v>
      </c>
      <c r="AR306" s="70">
        <f t="shared" si="332"/>
        <v>-68.132198347159544</v>
      </c>
      <c r="AS306" s="566">
        <f>VLOOKUP($A306,'01-02.2021'!$A$6:$CZ$403,45,FALSE)+VLOOKUP($A306,'1.3.21-28.2.22'!$A$6:$DA$404,45,FALSE)-VLOOKUP($A306,'01-02.2022'!$A$6:$DA$376,45,FALSE)</f>
        <v>23197.601689624684</v>
      </c>
      <c r="AT306" s="566">
        <f>VLOOKUP($A306,'01-02.2021'!$A$6:$CZ$403,46,FALSE)+VLOOKUP($A306,'1.3.21-28.2.22'!$A$6:$DA$404,46,FALSE)-VLOOKUP($A306,'01-02.2022'!$A$6:$DA$376,46,FALSE)</f>
        <v>79454.649999999994</v>
      </c>
      <c r="AU306" s="78">
        <f t="shared" si="333"/>
        <v>56257.048310375307</v>
      </c>
      <c r="AV306" s="566">
        <f>VLOOKUP($A306,'01-02.2021'!$A$6:$CZ$403,48,FALSE)+VLOOKUP($A306,'1.3.21-28.2.22'!$A$6:$DA$404,48,FALSE)-VLOOKUP($A306,'01-02.2022'!$A$6:$DA$376,48,FALSE)</f>
        <v>1845.2164419674559</v>
      </c>
      <c r="AW306" s="566">
        <f>VLOOKUP($A306,'01-02.2021'!$A$6:$CZ$403,49,FALSE)+VLOOKUP($A306,'1.3.21-28.2.22'!$A$6:$DA$404,49,FALSE)-VLOOKUP($A306,'01-02.2022'!$A$6:$DA$376,49,FALSE)</f>
        <v>0</v>
      </c>
      <c r="AX306" s="55">
        <f t="shared" si="334"/>
        <v>-1845.2164419674559</v>
      </c>
      <c r="AY306" s="566">
        <f>VLOOKUP($A306,'01-02.2021'!$A$6:$CZ$403,51,FALSE)+VLOOKUP($A306,'1.3.21-28.2.22'!$A$6:$DA$404,51,FALSE)-VLOOKUP($A306,'01-02.2022'!$A$6:$DA$376,51,FALSE)</f>
        <v>2474.9389712507059</v>
      </c>
      <c r="AZ306" s="566">
        <f>VLOOKUP($A306,'01-02.2021'!$A$6:$CZ$403,52,FALSE)+VLOOKUP($A306,'1.3.21-28.2.22'!$A$6:$DA$404,52,FALSE)-VLOOKUP($A306,'01-02.2022'!$A$6:$DA$376,52,FALSE)</f>
        <v>852.57</v>
      </c>
      <c r="BA306" s="38">
        <f t="shared" si="335"/>
        <v>-1622.3689712507057</v>
      </c>
      <c r="BB306" s="566">
        <f>VLOOKUP($A306,'01-02.2021'!$A$6:$CZ$403,54,FALSE)+VLOOKUP($A306,'1.3.21-28.2.22'!$A$6:$DA$404,54,FALSE)-VLOOKUP($A306,'01-02.2022'!$A$6:$DA$376,54,FALSE)</f>
        <v>840.41339489379584</v>
      </c>
      <c r="BC306" s="566">
        <f>VLOOKUP($A306,'01-02.2021'!$A$6:$CZ$403,55,FALSE)+VLOOKUP($A306,'1.3.21-28.2.22'!$A$6:$DA$404,55,FALSE)-VLOOKUP($A306,'01-02.2022'!$A$6:$DA$376,55,FALSE)</f>
        <v>1161</v>
      </c>
      <c r="BD306" s="55">
        <f t="shared" si="336"/>
        <v>320.58660510620416</v>
      </c>
      <c r="BE306" s="566">
        <f>VLOOKUP($A306,'01-02.2021'!$A$6:$CZ$403,57,FALSE)+VLOOKUP($A306,'1.3.21-28.2.22'!$A$6:$DA$404,57,FALSE)-VLOOKUP($A306,'01-02.2022'!$A$6:$DA$376,57,FALSE)</f>
        <v>1230.0882422045556</v>
      </c>
      <c r="BF306" s="566">
        <f>VLOOKUP($A306,'01-02.2021'!$A$6:$CZ$403,58,FALSE)+VLOOKUP($A306,'1.3.21-28.2.22'!$A$6:$DA$404,58,FALSE)-VLOOKUP($A306,'01-02.2022'!$A$6:$DA$376,58,FALSE)</f>
        <v>0</v>
      </c>
      <c r="BG306" s="55">
        <f t="shared" si="337"/>
        <v>-1230.0882422045556</v>
      </c>
      <c r="BH306" s="566">
        <f>VLOOKUP($A306,'01-02.2021'!$A$6:$CZ$403,60,FALSE)+VLOOKUP($A306,'1.3.21-28.2.22'!$A$6:$DA$404,60,FALSE)-VLOOKUP($A306,'01-02.2022'!$A$6:$DA$376,60,FALSE)</f>
        <v>410.81153477119778</v>
      </c>
      <c r="BI306" s="566">
        <f>VLOOKUP($A306,'01-02.2021'!$A$6:$CZ$403,61,FALSE)+VLOOKUP($A306,'1.3.21-28.2.22'!$A$6:$DA$404,61,FALSE)-VLOOKUP($A306,'01-02.2022'!$A$6:$DA$376,61,FALSE)</f>
        <v>0</v>
      </c>
      <c r="BJ306" s="55">
        <f t="shared" si="338"/>
        <v>-410.81153477119778</v>
      </c>
      <c r="BK306" s="566">
        <f>VLOOKUP($A306,'01-02.2021'!$A$6:$CZ$403,63,FALSE)+VLOOKUP($A306,'1.3.21-28.2.22'!$A$6:$DA$404,63,FALSE)-VLOOKUP($A306,'01-02.2022'!$A$6:$DA$376,63,FALSE)</f>
        <v>486.86755562376146</v>
      </c>
      <c r="BL306" s="566">
        <f>VLOOKUP($A306,'01-02.2021'!$A$6:$CZ$403,64,FALSE)+VLOOKUP($A306,'1.3.21-28.2.22'!$A$6:$DA$404,64,FALSE)-VLOOKUP($A306,'01-02.2022'!$A$6:$DA$376,64,FALSE)</f>
        <v>0</v>
      </c>
      <c r="BM306" s="55">
        <f t="shared" si="339"/>
        <v>-486.86755562376146</v>
      </c>
      <c r="BN306" s="566">
        <f>VLOOKUP($A306,'01-02.2021'!$A$6:$CZ$403,66,FALSE)+VLOOKUP($A306,'1.3.21-28.2.22'!$A$6:$DA$404,66,FALSE)-VLOOKUP($A306,'01-02.2022'!$A$6:$DA$376,66,FALSE)</f>
        <v>167.73276490430473</v>
      </c>
      <c r="BO306" s="566">
        <f>VLOOKUP($A306,'01-02.2021'!$A$6:$CZ$403,67,FALSE)+VLOOKUP($A306,'1.3.21-28.2.22'!$A$6:$DA$404,67,FALSE)-VLOOKUP($A306,'01-02.2022'!$A$6:$DA$376,67,FALSE)</f>
        <v>0</v>
      </c>
      <c r="BP306" s="55">
        <f t="shared" si="340"/>
        <v>-167.73276490430473</v>
      </c>
      <c r="BQ306" s="77">
        <f t="shared" si="348"/>
        <v>7456.0689056157762</v>
      </c>
      <c r="BR306" s="40">
        <f t="shared" si="349"/>
        <v>2013.5700000000002</v>
      </c>
      <c r="BS306" s="55">
        <f t="shared" si="369"/>
        <v>-5442.4989056157756</v>
      </c>
      <c r="BT306" s="566">
        <f>VLOOKUP($A306,'01-02.2021'!$A$6:$CZ$403,72,FALSE)+VLOOKUP($A306,'1.3.21-28.2.22'!$A$6:$DA$404,72,FALSE)-VLOOKUP($A306,'01-02.2022'!$A$6:$DA$376,72,FALSE)</f>
        <v>23090.714273367048</v>
      </c>
      <c r="BU306" s="566">
        <f>VLOOKUP($A306,'01-02.2021'!$A$6:$CZ$403,73,FALSE)+VLOOKUP($A306,'1.3.21-28.2.22'!$A$6:$DA$404,73,FALSE)-VLOOKUP($A306,'01-02.2022'!$A$6:$DA$376,73,FALSE)</f>
        <v>27368.709471408103</v>
      </c>
      <c r="BV306" s="70">
        <f t="shared" si="341"/>
        <v>4277.9951980410551</v>
      </c>
      <c r="BW306" s="566">
        <f>VLOOKUP($A306,'01-02.2021'!$A$6:$CZ$403,75,FALSE)+VLOOKUP($A306,'1.3.21-28.2.22'!$A$6:$DA$404,75,FALSE)-VLOOKUP($A306,'01-02.2022'!$A$6:$DA$376,75,FALSE)</f>
        <v>10451.870711170102</v>
      </c>
      <c r="BX306" s="566">
        <f>VLOOKUP($A306,'01-02.2021'!$A$6:$CZ$403,76,FALSE)+VLOOKUP($A306,'1.3.21-28.2.22'!$A$6:$DA$404,76,FALSE)-VLOOKUP($A306,'01-02.2022'!$A$6:$DA$376,76,FALSE)</f>
        <v>11624.398879967326</v>
      </c>
      <c r="BY306" s="70">
        <f t="shared" si="342"/>
        <v>1172.5281687972238</v>
      </c>
      <c r="BZ306" s="566">
        <f>VLOOKUP($A306,'01-02.2021'!$A$6:$CZ$403,78,FALSE)+VLOOKUP($A306,'1.3.21-28.2.22'!$A$6:$DA$404,78,FALSE)-VLOOKUP($A306,'01-02.2022'!$A$6:$DA$376,78,FALSE)</f>
        <v>9840.5621860772771</v>
      </c>
      <c r="CA306" s="566">
        <f>VLOOKUP($A306,'01-02.2021'!$A$6:$CZ$403,79,FALSE)+VLOOKUP($A306,'1.3.21-28.2.22'!$A$6:$DA$404,79,FALSE)-VLOOKUP($A306,'01-02.2022'!$A$6:$DA$376,79,FALSE)</f>
        <v>5676.2920103371489</v>
      </c>
      <c r="CB306" s="70">
        <f t="shared" si="343"/>
        <v>-4164.2701757401283</v>
      </c>
      <c r="CC306" s="566">
        <f>VLOOKUP($A306,'01-02.2021'!$A$6:$CZ$403,81,FALSE)+VLOOKUP($A306,'1.3.21-28.2.22'!$A$6:$DA$404,81,FALSE)-VLOOKUP($A306,'01-02.2022'!$A$6:$DA$376,81,FALSE)</f>
        <v>854.63906519763589</v>
      </c>
      <c r="CD306" s="566">
        <f>VLOOKUP($A306,'01-02.2021'!$A$6:$CZ$403,82,FALSE)+VLOOKUP($A306,'1.3.21-28.2.22'!$A$6:$DA$404,82,FALSE)-VLOOKUP($A306,'01-02.2022'!$A$6:$DA$376,82,FALSE)</f>
        <v>934.11453249706756</v>
      </c>
      <c r="CE306" s="70">
        <f t="shared" si="344"/>
        <v>79.475467299431671</v>
      </c>
      <c r="CF306" s="566">
        <f>VLOOKUP($A306,'01-02.2021'!$A$6:$CZ$403,84,FALSE)+VLOOKUP($A306,'1.3.21-28.2.22'!$A$6:$DA$404,84,FALSE)-VLOOKUP($A306,'01-02.2022'!$A$6:$DA$376,84,FALSE)</f>
        <v>103.89898313986049</v>
      </c>
      <c r="CG306" s="566">
        <f>VLOOKUP($A306,'01-02.2021'!$A$6:$CZ$403,85,FALSE)+VLOOKUP($A306,'1.3.21-28.2.22'!$A$6:$DA$404,85,FALSE)-VLOOKUP($A306,'01-02.2022'!$A$6:$DA$376,85,FALSE)</f>
        <v>0</v>
      </c>
      <c r="CH306" s="70">
        <f t="shared" si="345"/>
        <v>-103.89898313986049</v>
      </c>
      <c r="CI306" s="566">
        <f>VLOOKUP($A306,'01-02.2021'!$A$6:$CZ$403,87,FALSE)+VLOOKUP($A306,'1.3.21-28.2.22'!$A$6:$DA$404,87,FALSE)-VLOOKUP($A306,'01-02.2022'!$A$6:$DA$376,87,FALSE)</f>
        <v>5876.2597214993093</v>
      </c>
      <c r="CJ306" s="566">
        <f>VLOOKUP($A306,'01-02.2021'!$A$6:$CZ$403,88,FALSE)+VLOOKUP($A306,'1.3.21-28.2.22'!$A$6:$DA$404,88,FALSE)-VLOOKUP($A306,'01-02.2022'!$A$6:$DA$376,88,FALSE)</f>
        <v>4112.929804094998</v>
      </c>
      <c r="CK306" s="70">
        <f t="shared" si="346"/>
        <v>-1763.3299174043113</v>
      </c>
      <c r="CL306" s="566">
        <f>VLOOKUP($A306,'01-02.2021'!$A$6:$CZ$403,90,FALSE)+VLOOKUP($A306,'1.3.21-28.2.22'!$A$6:$DA$404,90,FALSE)-VLOOKUP($A306,'01-02.2022'!$A$6:$DA$376,90,FALSE)</f>
        <v>0</v>
      </c>
      <c r="CM306" s="566">
        <f>VLOOKUP($A306,'01-02.2021'!$A$6:$CZ$403,91,FALSE)+VLOOKUP($A306,'1.3.21-28.2.22'!$A$6:$DA$404,91,FALSE)-VLOOKUP($A306,'01-02.2022'!$A$6:$DA$376,91,FALSE)</f>
        <v>0</v>
      </c>
      <c r="CN306" s="52">
        <f t="shared" si="360"/>
        <v>0</v>
      </c>
      <c r="CO306" s="39">
        <f t="shared" si="355"/>
        <v>5876.2597214993093</v>
      </c>
      <c r="CP306" s="40">
        <f t="shared" si="361"/>
        <v>4112.929804094998</v>
      </c>
      <c r="CQ306" s="52">
        <f t="shared" si="362"/>
        <v>-1763.3299174043113</v>
      </c>
      <c r="CR306" s="72">
        <f t="shared" si="356"/>
        <v>100923.18638704908</v>
      </c>
      <c r="CS306" s="5">
        <f t="shared" si="356"/>
        <v>149318.54944586995</v>
      </c>
      <c r="CT306" s="52">
        <f t="shared" si="363"/>
        <v>48395.363058820876</v>
      </c>
      <c r="CU306" s="77">
        <f t="shared" si="364"/>
        <v>121107.82366445889</v>
      </c>
      <c r="CV306" s="65">
        <f t="shared" si="365"/>
        <v>179182.25933504393</v>
      </c>
      <c r="CW306" s="35">
        <f t="shared" si="366"/>
        <v>58074.435670585037</v>
      </c>
      <c r="CX306" s="566">
        <f>VLOOKUP($A306,'01-02.2021'!$A$6:$CZ$403,102,FALSE)+VLOOKUP($A306,'1.3.21-28.2.22'!$A$6:$DA$404,102,FALSE)-VLOOKUP($A306,'01-02.2022'!$A$6:$DA$376,102,FALSE)</f>
        <v>3068.6661591384654</v>
      </c>
      <c r="CY306" s="566">
        <f>VLOOKUP($A306,'01-02.2021'!$A$6:$CZ$403,103,FALSE)+VLOOKUP($A306,'1.3.21-28.2.22'!$A$6:$DA$404,103,FALSE)-VLOOKUP($A306,'01-02.2022'!$A$6:$DA$376,103,FALSE)</f>
        <v>-55005.769511446611</v>
      </c>
      <c r="CZ306" s="52">
        <f t="shared" si="367"/>
        <v>-58074.435670585081</v>
      </c>
      <c r="DA306" s="150">
        <f>'[2]побудинковий звіт'!DA306</f>
        <v>55314.925440949584</v>
      </c>
      <c r="DB306" s="2">
        <v>1</v>
      </c>
      <c r="DC306" s="414">
        <f>'[4]побудинковий звіт'!DC306</f>
        <v>8867.0300000000007</v>
      </c>
      <c r="DD306" s="414">
        <f>'[4]побудинковий звіт'!DD306</f>
        <v>0</v>
      </c>
      <c r="DE306" s="557">
        <f>'[4]побудинковий звіт'!DE306</f>
        <v>-2312.7331309650308</v>
      </c>
      <c r="DF306" s="557">
        <f>'[4]побудинковий звіт'!DF306</f>
        <v>0</v>
      </c>
      <c r="DG306" s="321">
        <f>VLOOKUP(A306,'кошти 01.03.2021'!$A$6:$D$401,4,)</f>
        <v>-366.52391802759666</v>
      </c>
      <c r="DH306" s="40">
        <f>'[3]побудинковий звіт'!DJ306</f>
        <v>128102.14754292968</v>
      </c>
      <c r="DI306" s="422">
        <f>'[3]побудинковий звіт'!CU306+'[3]побудинковий звіт'!CX306</f>
        <v>11179.763130965031</v>
      </c>
      <c r="DJ306" s="306">
        <f>'[3]побудинковий звіт'!DM306</f>
        <v>7.0816261043675368</v>
      </c>
      <c r="DK306" s="306">
        <f t="shared" ref="DK306:DK308" si="370">DJ306</f>
        <v>7.0816261043675368</v>
      </c>
      <c r="DL306" s="306">
        <f>'[3]побудинковий звіт'!DO306</f>
        <v>6.3052884635276909</v>
      </c>
      <c r="DM306" s="28">
        <f t="shared" ref="DM306:DM308" si="371">F306*DJ306</f>
        <v>11179.763130965031</v>
      </c>
      <c r="DN306" s="28">
        <f>H306*DL306</f>
        <v>0</v>
      </c>
      <c r="DO306" s="423">
        <f t="shared" si="319"/>
        <v>11179.763130965031</v>
      </c>
      <c r="DP306" s="94">
        <f t="shared" si="320"/>
        <v>0</v>
      </c>
      <c r="DQ306" s="28">
        <f t="shared" si="321"/>
        <v>11179.763130965031</v>
      </c>
      <c r="DR306" s="318"/>
      <c r="DT306" s="8"/>
      <c r="DU306" s="5"/>
      <c r="DX306" s="5">
        <f t="shared" si="322"/>
        <v>36784.404714288547</v>
      </c>
      <c r="DY306" s="5">
        <f t="shared" si="323"/>
        <v>97761.864000000001</v>
      </c>
      <c r="DZ306" s="159">
        <f>'[3]побудинковий звіт'!EA306</f>
        <v>3170.6219241336107</v>
      </c>
    </row>
    <row r="307" spans="1:130" x14ac:dyDescent="0.3">
      <c r="A307" s="325">
        <v>150000837</v>
      </c>
      <c r="B307" s="41" t="s">
        <v>753</v>
      </c>
      <c r="C307" s="42" t="s">
        <v>200</v>
      </c>
      <c r="D307" s="42"/>
      <c r="E307" s="293">
        <f t="shared" si="353"/>
        <v>631.1</v>
      </c>
      <c r="F307" s="305">
        <f>'[3]побудинковий звіт'!F307</f>
        <v>525.20000000000005</v>
      </c>
      <c r="G307" s="508">
        <f>'[3]побудинковий звіт'!G307</f>
        <v>0</v>
      </c>
      <c r="H307" s="560">
        <f>'[3]побудинковий звіт'!H307</f>
        <v>105.9</v>
      </c>
      <c r="I307" s="566">
        <f>VLOOKUP($A307,'01-02.2021'!$A$6:$CZ$403,9,FALSE)+VLOOKUP($A307,'1.3.21-28.2.22'!$A$6:$DA$404,9,FALSE)-VLOOKUP($A307,'01-02.2022'!$A$6:$DA$376,9,FALSE)</f>
        <v>2701.467337021189</v>
      </c>
      <c r="J307" s="566">
        <f>VLOOKUP($A307,'01-02.2021'!$A$6:$CZ$403,10,FALSE)+VLOOKUP($A307,'1.3.21-28.2.22'!$A$6:$DA$404,10,FALSE)-VLOOKUP($A307,'01-02.2022'!$A$6:$DA$376,10,FALSE)</f>
        <v>2340.5408133360011</v>
      </c>
      <c r="K307" s="52">
        <f t="shared" si="357"/>
        <v>-360.92652368518793</v>
      </c>
      <c r="L307" s="566">
        <f>VLOOKUP($A307,'01-02.2021'!$A$6:$CZ$403,12,FALSE)+VLOOKUP($A307,'1.3.21-28.2.22'!$A$6:$DA$404,12,FALSE)-VLOOKUP($A307,'01-02.2022'!$A$6:$DA$376,12,FALSE)</f>
        <v>421.42716444923337</v>
      </c>
      <c r="M307" s="566">
        <f>VLOOKUP($A307,'01-02.2021'!$A$6:$CZ$403,13,FALSE)+VLOOKUP($A307,'1.3.21-28.2.22'!$A$6:$DA$404,13,FALSE)-VLOOKUP($A307,'01-02.2022'!$A$6:$DA$376,13,FALSE)</f>
        <v>380.75919455100774</v>
      </c>
      <c r="N307" s="52">
        <f t="shared" si="358"/>
        <v>-40.667969898225635</v>
      </c>
      <c r="O307" s="566">
        <f>VLOOKUP($A307,'01-02.2021'!$A$6:$CZ$403,15,FALSE)+VLOOKUP($A307,'1.3.21-28.2.22'!$A$6:$DA$404,15,FALSE)-VLOOKUP($A307,'01-02.2022'!$A$6:$DA$376,15,FALSE)</f>
        <v>738.55805138841652</v>
      </c>
      <c r="P307" s="566">
        <f>VLOOKUP($A307,'01-02.2021'!$A$6:$CZ$403,16,FALSE)+VLOOKUP($A307,'1.3.21-28.2.22'!$A$6:$DA$404,16,FALSE)-VLOOKUP($A307,'01-02.2022'!$A$6:$DA$376,16,FALSE)</f>
        <v>738.57999999999993</v>
      </c>
      <c r="Q307" s="70">
        <f t="shared" si="324"/>
        <v>2.1948611583411548E-2</v>
      </c>
      <c r="R307" s="566">
        <f>VLOOKUP($A307,'01-02.2021'!$A$6:$CZ$403,18,FALSE)+VLOOKUP($A307,'1.3.21-28.2.22'!$A$6:$DA$404,18,FALSE)-VLOOKUP($A307,'01-02.2022'!$A$6:$DA$376,18,FALSE)</f>
        <v>0</v>
      </c>
      <c r="S307" s="566">
        <f>VLOOKUP($A307,'01-02.2021'!$A$6:$CZ$403,19,FALSE)+VLOOKUP($A307,'1.3.21-28.2.22'!$A$6:$DA$404,19,FALSE)-VLOOKUP($A307,'01-02.2022'!$A$6:$DA$376,19,FALSE)</f>
        <v>0</v>
      </c>
      <c r="T307" s="70">
        <f t="shared" si="325"/>
        <v>0</v>
      </c>
      <c r="U307" s="566">
        <f>VLOOKUP($A307,'01-02.2021'!$A$6:$CZ$403,21,FALSE)+VLOOKUP($A307,'1.3.21-28.2.22'!$A$6:$DA$404,21,FALSE)-VLOOKUP($A307,'01-02.2022'!$A$6:$DA$376,21,FALSE)</f>
        <v>0</v>
      </c>
      <c r="V307" s="566">
        <f>VLOOKUP($A307,'01-02.2021'!$A$6:$CZ$403,22,FALSE)+VLOOKUP($A307,'1.3.21-28.2.22'!$A$6:$DA$404,22,FALSE)-VLOOKUP($A307,'01-02.2022'!$A$6:$DA$376,22,FALSE)</f>
        <v>0</v>
      </c>
      <c r="W307" s="70">
        <f t="shared" si="326"/>
        <v>0</v>
      </c>
      <c r="X307" s="566">
        <f>VLOOKUP($A307,'01-02.2021'!$A$6:$CZ$403,24,FALSE)+VLOOKUP($A307,'1.3.21-28.2.22'!$A$6:$DA$404,24,FALSE)-VLOOKUP($A307,'01-02.2022'!$A$6:$DA$376,24,FALSE)</f>
        <v>1267.1687582818477</v>
      </c>
      <c r="Y307" s="566">
        <f>VLOOKUP($A307,'01-02.2021'!$A$6:$CZ$403,25,FALSE)+VLOOKUP($A307,'1.3.21-28.2.22'!$A$6:$DA$404,25,FALSE)-VLOOKUP($A307,'01-02.2022'!$A$6:$DA$376,25,FALSE)</f>
        <v>2735.3932620339547</v>
      </c>
      <c r="Z307" s="70">
        <f t="shared" si="327"/>
        <v>1468.224503752107</v>
      </c>
      <c r="AA307" s="566">
        <f>VLOOKUP($A307,'01-02.2021'!$A$6:$CZ$403,27,FALSE)+VLOOKUP($A307,'1.3.21-28.2.22'!$A$6:$DA$404,27,FALSE)-VLOOKUP($A307,'01-02.2022'!$A$6:$DA$376,27,FALSE)</f>
        <v>135.12</v>
      </c>
      <c r="AB307" s="566">
        <f>VLOOKUP($A307,'01-02.2021'!$A$6:$CZ$403,28,FALSE)+VLOOKUP($A307,'1.3.21-28.2.22'!$A$6:$DA$404,28,FALSE)-VLOOKUP($A307,'01-02.2022'!$A$6:$DA$376,28,FALSE)</f>
        <v>0</v>
      </c>
      <c r="AC307" s="70">
        <f t="shared" si="328"/>
        <v>-135.12</v>
      </c>
      <c r="AD307" s="566">
        <f>VLOOKUP($A307,'01-02.2021'!$A$6:$CZ$403,30,FALSE)+VLOOKUP($A307,'1.3.21-28.2.22'!$A$6:$DA$404,30,FALSE)-VLOOKUP($A307,'01-02.2022'!$A$6:$DA$376,30,FALSE)</f>
        <v>2775.9605693845597</v>
      </c>
      <c r="AE307" s="566">
        <f>VLOOKUP($A307,'01-02.2021'!$A$6:$CZ$403,31,FALSE)+VLOOKUP($A307,'1.3.21-28.2.22'!$A$6:$DA$404,31,FALSE)-VLOOKUP($A307,'01-02.2022'!$A$6:$DA$376,31,FALSE)</f>
        <v>2872.7926284391997</v>
      </c>
      <c r="AF307" s="68">
        <f t="shared" si="329"/>
        <v>96.832059054640013</v>
      </c>
      <c r="AG307" s="77">
        <f t="shared" si="354"/>
        <v>8039.7018805252465</v>
      </c>
      <c r="AH307" s="53">
        <f t="shared" si="354"/>
        <v>9068.0658983601625</v>
      </c>
      <c r="AI307" s="52">
        <f t="shared" si="359"/>
        <v>1028.364017834916</v>
      </c>
      <c r="AJ307" s="566">
        <f>VLOOKUP($A307,'01-02.2021'!$A$6:$CZ$403,36,FALSE)+VLOOKUP($A307,'1.3.21-28.2.22'!$A$6:$DA$404,36,FALSE)-VLOOKUP($A307,'01-02.2022'!$A$6:$DA$376,36,FALSE)</f>
        <v>0</v>
      </c>
      <c r="AK307" s="566">
        <f>VLOOKUP($A307,'01-02.2021'!$A$6:$CZ$403,37,FALSE)+VLOOKUP($A307,'1.3.21-28.2.22'!$A$6:$DA$404,37,FALSE)-VLOOKUP($A307,'01-02.2022'!$A$6:$DA$376,37,FALSE)</f>
        <v>0</v>
      </c>
      <c r="AL307" s="70">
        <f t="shared" si="330"/>
        <v>0</v>
      </c>
      <c r="AM307" s="566">
        <f>VLOOKUP($A307,'01-02.2021'!$A$6:$CZ$403,39,FALSE)+VLOOKUP($A307,'1.3.21-28.2.22'!$A$6:$DA$404,39,FALSE)-VLOOKUP($A307,'01-02.2022'!$A$6:$DA$376,39,FALSE)</f>
        <v>0</v>
      </c>
      <c r="AN307" s="566">
        <f>VLOOKUP($A307,'01-02.2021'!$A$6:$CZ$403,40,FALSE)+VLOOKUP($A307,'1.3.21-28.2.22'!$A$6:$DA$404,40,FALSE)-VLOOKUP($A307,'01-02.2022'!$A$6:$DA$376,40,FALSE)</f>
        <v>0</v>
      </c>
      <c r="AO307" s="70">
        <f t="shared" si="331"/>
        <v>0</v>
      </c>
      <c r="AP307" s="566">
        <f>VLOOKUP($A307,'01-02.2021'!$A$6:$CZ$403,42,FALSE)+VLOOKUP($A307,'1.3.21-28.2.22'!$A$6:$DA$404,42,FALSE)-VLOOKUP($A307,'01-02.2022'!$A$6:$DA$376,42,FALSE)</f>
        <v>1431.5397937851376</v>
      </c>
      <c r="AQ307" s="566">
        <f>VLOOKUP($A307,'01-02.2021'!$A$6:$CZ$403,43,FALSE)+VLOOKUP($A307,'1.3.21-28.2.22'!$A$6:$DA$404,43,FALSE)-VLOOKUP($A307,'01-02.2022'!$A$6:$DA$376,43,FALSE)</f>
        <v>1195.5477300505795</v>
      </c>
      <c r="AR307" s="70">
        <f t="shared" si="332"/>
        <v>-235.99206373455809</v>
      </c>
      <c r="AS307" s="566">
        <f>VLOOKUP($A307,'01-02.2021'!$A$6:$CZ$403,45,FALSE)+VLOOKUP($A307,'1.3.21-28.2.22'!$A$6:$DA$404,45,FALSE)-VLOOKUP($A307,'01-02.2022'!$A$6:$DA$376,45,FALSE)</f>
        <v>4800.4361561017095</v>
      </c>
      <c r="AT307" s="566">
        <f>VLOOKUP($A307,'01-02.2021'!$A$6:$CZ$403,46,FALSE)+VLOOKUP($A307,'1.3.21-28.2.22'!$A$6:$DA$404,46,FALSE)-VLOOKUP($A307,'01-02.2022'!$A$6:$DA$376,46,FALSE)</f>
        <v>3272.9700000000003</v>
      </c>
      <c r="AU307" s="78">
        <f t="shared" si="333"/>
        <v>-1527.4661561017092</v>
      </c>
      <c r="AV307" s="566">
        <f>VLOOKUP($A307,'01-02.2021'!$A$6:$CZ$403,48,FALSE)+VLOOKUP($A307,'1.3.21-28.2.22'!$A$6:$DA$404,48,FALSE)-VLOOKUP($A307,'01-02.2022'!$A$6:$DA$376,48,FALSE)</f>
        <v>850.38219779887197</v>
      </c>
      <c r="AW307" s="566">
        <f>VLOOKUP($A307,'01-02.2021'!$A$6:$CZ$403,49,FALSE)+VLOOKUP($A307,'1.3.21-28.2.22'!$A$6:$DA$404,49,FALSE)-VLOOKUP($A307,'01-02.2022'!$A$6:$DA$376,49,FALSE)</f>
        <v>0</v>
      </c>
      <c r="AX307" s="55">
        <f t="shared" si="334"/>
        <v>-850.38219779887197</v>
      </c>
      <c r="AY307" s="566">
        <f>VLOOKUP($A307,'01-02.2021'!$A$6:$CZ$403,51,FALSE)+VLOOKUP($A307,'1.3.21-28.2.22'!$A$6:$DA$404,51,FALSE)-VLOOKUP($A307,'01-02.2022'!$A$6:$DA$376,51,FALSE)</f>
        <v>792.05994287112298</v>
      </c>
      <c r="AZ307" s="566">
        <f>VLOOKUP($A307,'01-02.2021'!$A$6:$CZ$403,52,FALSE)+VLOOKUP($A307,'1.3.21-28.2.22'!$A$6:$DA$404,52,FALSE)-VLOOKUP($A307,'01-02.2022'!$A$6:$DA$376,52,FALSE)</f>
        <v>0</v>
      </c>
      <c r="BA307" s="38">
        <f t="shared" si="335"/>
        <v>-792.05994287112298</v>
      </c>
      <c r="BB307" s="566">
        <f>VLOOKUP($A307,'01-02.2021'!$A$6:$CZ$403,54,FALSE)+VLOOKUP($A307,'1.3.21-28.2.22'!$A$6:$DA$404,54,FALSE)-VLOOKUP($A307,'01-02.2022'!$A$6:$DA$376,54,FALSE)</f>
        <v>309.88320295806011</v>
      </c>
      <c r="BC307" s="566">
        <f>VLOOKUP($A307,'01-02.2021'!$A$6:$CZ$403,55,FALSE)+VLOOKUP($A307,'1.3.21-28.2.22'!$A$6:$DA$404,55,FALSE)-VLOOKUP($A307,'01-02.2022'!$A$6:$DA$376,55,FALSE)</f>
        <v>0</v>
      </c>
      <c r="BD307" s="55">
        <f t="shared" si="336"/>
        <v>-309.88320295806011</v>
      </c>
      <c r="BE307" s="566">
        <f>VLOOKUP($A307,'01-02.2021'!$A$6:$CZ$403,57,FALSE)+VLOOKUP($A307,'1.3.21-28.2.22'!$A$6:$DA$404,57,FALSE)-VLOOKUP($A307,'01-02.2022'!$A$6:$DA$376,57,FALSE)</f>
        <v>0</v>
      </c>
      <c r="BF307" s="566">
        <f>VLOOKUP($A307,'01-02.2021'!$A$6:$CZ$403,58,FALSE)+VLOOKUP($A307,'1.3.21-28.2.22'!$A$6:$DA$404,58,FALSE)-VLOOKUP($A307,'01-02.2022'!$A$6:$DA$376,58,FALSE)</f>
        <v>0</v>
      </c>
      <c r="BG307" s="55">
        <f t="shared" si="337"/>
        <v>0</v>
      </c>
      <c r="BH307" s="566">
        <f>VLOOKUP($A307,'01-02.2021'!$A$6:$CZ$403,60,FALSE)+VLOOKUP($A307,'1.3.21-28.2.22'!$A$6:$DA$404,60,FALSE)-VLOOKUP($A307,'01-02.2022'!$A$6:$DA$376,60,FALSE)</f>
        <v>0</v>
      </c>
      <c r="BI307" s="566">
        <f>VLOOKUP($A307,'01-02.2021'!$A$6:$CZ$403,61,FALSE)+VLOOKUP($A307,'1.3.21-28.2.22'!$A$6:$DA$404,61,FALSE)-VLOOKUP($A307,'01-02.2022'!$A$6:$DA$376,61,FALSE)</f>
        <v>0</v>
      </c>
      <c r="BJ307" s="55">
        <f t="shared" si="338"/>
        <v>0</v>
      </c>
      <c r="BK307" s="566">
        <f>VLOOKUP($A307,'01-02.2021'!$A$6:$CZ$403,63,FALSE)+VLOOKUP($A307,'1.3.21-28.2.22'!$A$6:$DA$404,63,FALSE)-VLOOKUP($A307,'01-02.2022'!$A$6:$DA$376,63,FALSE)</f>
        <v>293.02515800556938</v>
      </c>
      <c r="BL307" s="566">
        <f>VLOOKUP($A307,'01-02.2021'!$A$6:$CZ$403,64,FALSE)+VLOOKUP($A307,'1.3.21-28.2.22'!$A$6:$DA$404,64,FALSE)-VLOOKUP($A307,'01-02.2022'!$A$6:$DA$376,64,FALSE)</f>
        <v>0</v>
      </c>
      <c r="BM307" s="55">
        <f t="shared" si="339"/>
        <v>-293.02515800556938</v>
      </c>
      <c r="BN307" s="566">
        <f>VLOOKUP($A307,'01-02.2021'!$A$6:$CZ$403,66,FALSE)+VLOOKUP($A307,'1.3.21-28.2.22'!$A$6:$DA$404,66,FALSE)-VLOOKUP($A307,'01-02.2022'!$A$6:$DA$376,66,FALSE)</f>
        <v>80.373796279146887</v>
      </c>
      <c r="BO307" s="566">
        <f>VLOOKUP($A307,'01-02.2021'!$A$6:$CZ$403,67,FALSE)+VLOOKUP($A307,'1.3.21-28.2.22'!$A$6:$DA$404,67,FALSE)-VLOOKUP($A307,'01-02.2022'!$A$6:$DA$376,67,FALSE)</f>
        <v>0</v>
      </c>
      <c r="BP307" s="55">
        <f t="shared" si="340"/>
        <v>-80.373796279146887</v>
      </c>
      <c r="BQ307" s="77">
        <f t="shared" si="348"/>
        <v>2325.7242979127714</v>
      </c>
      <c r="BR307" s="40">
        <f t="shared" si="349"/>
        <v>0</v>
      </c>
      <c r="BS307" s="55">
        <f t="shared" si="369"/>
        <v>-2325.7242979127714</v>
      </c>
      <c r="BT307" s="566">
        <f>VLOOKUP($A307,'01-02.2021'!$A$6:$CZ$403,72,FALSE)+VLOOKUP($A307,'1.3.21-28.2.22'!$A$6:$DA$404,72,FALSE)-VLOOKUP($A307,'01-02.2022'!$A$6:$DA$376,72,FALSE)</f>
        <v>7443.9410685812672</v>
      </c>
      <c r="BU307" s="566">
        <f>VLOOKUP($A307,'01-02.2021'!$A$6:$CZ$403,73,FALSE)+VLOOKUP($A307,'1.3.21-28.2.22'!$A$6:$DA$404,73,FALSE)-VLOOKUP($A307,'01-02.2022'!$A$6:$DA$376,73,FALSE)</f>
        <v>8985.9249378393561</v>
      </c>
      <c r="BV307" s="70">
        <f t="shared" si="341"/>
        <v>1541.9838692580888</v>
      </c>
      <c r="BW307" s="566">
        <f>VLOOKUP($A307,'01-02.2021'!$A$6:$CZ$403,75,FALSE)+VLOOKUP($A307,'1.3.21-28.2.22'!$A$6:$DA$404,75,FALSE)-VLOOKUP($A307,'01-02.2022'!$A$6:$DA$376,75,FALSE)</f>
        <v>4062.9909936639015</v>
      </c>
      <c r="BX307" s="566">
        <f>VLOOKUP($A307,'01-02.2021'!$A$6:$CZ$403,76,FALSE)+VLOOKUP($A307,'1.3.21-28.2.22'!$A$6:$DA$404,76,FALSE)-VLOOKUP($A307,'01-02.2022'!$A$6:$DA$376,76,FALSE)</f>
        <v>4572.4512985227357</v>
      </c>
      <c r="BY307" s="70">
        <f t="shared" si="342"/>
        <v>509.46030485883421</v>
      </c>
      <c r="BZ307" s="566">
        <f>VLOOKUP($A307,'01-02.2021'!$A$6:$CZ$403,78,FALSE)+VLOOKUP($A307,'1.3.21-28.2.22'!$A$6:$DA$404,78,FALSE)-VLOOKUP($A307,'01-02.2022'!$A$6:$DA$376,78,FALSE)</f>
        <v>3243.9159047041494</v>
      </c>
      <c r="CA307" s="566">
        <f>VLOOKUP($A307,'01-02.2021'!$A$6:$CZ$403,79,FALSE)+VLOOKUP($A307,'1.3.21-28.2.22'!$A$6:$DA$404,79,FALSE)-VLOOKUP($A307,'01-02.2022'!$A$6:$DA$376,79,FALSE)</f>
        <v>1201.8075537701761</v>
      </c>
      <c r="CB307" s="70">
        <f t="shared" si="343"/>
        <v>-2042.1083509339733</v>
      </c>
      <c r="CC307" s="566">
        <f>VLOOKUP($A307,'01-02.2021'!$A$6:$CZ$403,81,FALSE)+VLOOKUP($A307,'1.3.21-28.2.22'!$A$6:$DA$404,81,FALSE)-VLOOKUP($A307,'01-02.2022'!$A$6:$DA$376,81,FALSE)</f>
        <v>0</v>
      </c>
      <c r="CD307" s="566">
        <f>VLOOKUP($A307,'01-02.2021'!$A$6:$CZ$403,82,FALSE)+VLOOKUP($A307,'1.3.21-28.2.22'!$A$6:$DA$404,82,FALSE)-VLOOKUP($A307,'01-02.2022'!$A$6:$DA$376,82,FALSE)</f>
        <v>0</v>
      </c>
      <c r="CE307" s="70">
        <f t="shared" si="344"/>
        <v>0</v>
      </c>
      <c r="CF307" s="566">
        <f>VLOOKUP($A307,'01-02.2021'!$A$6:$CZ$403,84,FALSE)+VLOOKUP($A307,'1.3.21-28.2.22'!$A$6:$DA$404,84,FALSE)-VLOOKUP($A307,'01-02.2022'!$A$6:$DA$376,84,FALSE)</f>
        <v>0</v>
      </c>
      <c r="CG307" s="566">
        <f>VLOOKUP($A307,'01-02.2021'!$A$6:$CZ$403,85,FALSE)+VLOOKUP($A307,'1.3.21-28.2.22'!$A$6:$DA$404,85,FALSE)-VLOOKUP($A307,'01-02.2022'!$A$6:$DA$376,85,FALSE)</f>
        <v>0</v>
      </c>
      <c r="CH307" s="70">
        <f t="shared" si="345"/>
        <v>0</v>
      </c>
      <c r="CI307" s="566">
        <f>VLOOKUP($A307,'01-02.2021'!$A$6:$CZ$403,87,FALSE)+VLOOKUP($A307,'1.3.21-28.2.22'!$A$6:$DA$404,87,FALSE)-VLOOKUP($A307,'01-02.2022'!$A$6:$DA$376,87,FALSE)</f>
        <v>738.65102154077601</v>
      </c>
      <c r="CJ307" s="566">
        <f>VLOOKUP($A307,'01-02.2021'!$A$6:$CZ$403,88,FALSE)+VLOOKUP($A307,'1.3.21-28.2.22'!$A$6:$DA$404,88,FALSE)-VLOOKUP($A307,'01-02.2022'!$A$6:$DA$376,88,FALSE)</f>
        <v>436.30115654678809</v>
      </c>
      <c r="CK307" s="70">
        <f t="shared" si="346"/>
        <v>-302.34986499398792</v>
      </c>
      <c r="CL307" s="566">
        <f>VLOOKUP($A307,'01-02.2021'!$A$6:$CZ$403,90,FALSE)+VLOOKUP($A307,'1.3.21-28.2.22'!$A$6:$DA$404,90,FALSE)-VLOOKUP($A307,'01-02.2022'!$A$6:$DA$376,90,FALSE)</f>
        <v>0</v>
      </c>
      <c r="CM307" s="566">
        <f>VLOOKUP($A307,'01-02.2021'!$A$6:$CZ$403,91,FALSE)+VLOOKUP($A307,'1.3.21-28.2.22'!$A$6:$DA$404,91,FALSE)-VLOOKUP($A307,'01-02.2022'!$A$6:$DA$376,91,FALSE)</f>
        <v>0</v>
      </c>
      <c r="CN307" s="52">
        <f t="shared" si="360"/>
        <v>0</v>
      </c>
      <c r="CO307" s="39">
        <f t="shared" si="355"/>
        <v>738.65102154077601</v>
      </c>
      <c r="CP307" s="40">
        <f t="shared" si="361"/>
        <v>436.30115654678809</v>
      </c>
      <c r="CQ307" s="52">
        <f t="shared" si="362"/>
        <v>-302.34986499398792</v>
      </c>
      <c r="CR307" s="72">
        <f t="shared" si="356"/>
        <v>32086.901116814963</v>
      </c>
      <c r="CS307" s="5">
        <f t="shared" si="356"/>
        <v>28733.068575089801</v>
      </c>
      <c r="CT307" s="52">
        <f t="shared" si="363"/>
        <v>-3353.8325417251617</v>
      </c>
      <c r="CU307" s="77">
        <f t="shared" si="364"/>
        <v>38504.281340177957</v>
      </c>
      <c r="CV307" s="65">
        <f t="shared" si="365"/>
        <v>34479.682290107761</v>
      </c>
      <c r="CW307" s="35">
        <f t="shared" si="366"/>
        <v>-4024.5990500701955</v>
      </c>
      <c r="CX307" s="566">
        <f>VLOOKUP($A307,'01-02.2021'!$A$6:$CZ$403,102,FALSE)+VLOOKUP($A307,'1.3.21-28.2.22'!$A$6:$DA$404,102,FALSE)-VLOOKUP($A307,'01-02.2022'!$A$6:$DA$376,102,FALSE)</f>
        <v>740.34377866796558</v>
      </c>
      <c r="CY307" s="566">
        <f>VLOOKUP($A307,'01-02.2021'!$A$6:$CZ$403,103,FALSE)+VLOOKUP($A307,'1.3.21-28.2.22'!$A$6:$DA$404,103,FALSE)-VLOOKUP($A307,'01-02.2022'!$A$6:$DA$376,103,FALSE)</f>
        <v>4178.0503739466549</v>
      </c>
      <c r="CZ307" s="52">
        <f t="shared" si="367"/>
        <v>3437.7065952786893</v>
      </c>
      <c r="DA307" s="150">
        <f>'[2]побудинковий звіт'!DA307</f>
        <v>17125.858488191243</v>
      </c>
      <c r="DB307" s="2">
        <v>1</v>
      </c>
      <c r="DC307" s="414">
        <f>'[4]побудинковий звіт'!DC307</f>
        <v>3285.82</v>
      </c>
      <c r="DD307" s="414">
        <f>'[4]побудинковий звіт'!DD307</f>
        <v>1423.23</v>
      </c>
      <c r="DE307" s="557">
        <f>'[4]побудинковий звіт'!DE307</f>
        <v>308.28093611275881</v>
      </c>
      <c r="DF307" s="557">
        <f>'[4]побудинковий звіт'!DF307</f>
        <v>911.5766608259911</v>
      </c>
      <c r="DG307" s="321">
        <f>VLOOKUP(A307,'кошти 01.03.2021'!$A$6:$D$401,4,)</f>
        <v>19326.668867665874</v>
      </c>
      <c r="DH307" s="40">
        <f>'[3]побудинковий звіт'!DJ307</f>
        <v>40273.400144243933</v>
      </c>
      <c r="DI307" s="422">
        <f>'[3]побудинковий звіт'!CU307+'[3]побудинковий звіт'!CX307</f>
        <v>3489.1924030612504</v>
      </c>
      <c r="DJ307" s="306">
        <f>'[3]побудинковий звіт'!DM307</f>
        <v>5.6693432290313046</v>
      </c>
      <c r="DK307" s="306">
        <f t="shared" si="370"/>
        <v>5.6693432290313046</v>
      </c>
      <c r="DL307" s="306">
        <f>'[3]побудинковий звіт'!DO307</f>
        <v>4.8314762905949848</v>
      </c>
      <c r="DM307" s="28">
        <f t="shared" si="371"/>
        <v>2977.5390638872414</v>
      </c>
      <c r="DN307" s="28">
        <f>H307*DL307</f>
        <v>511.65333917400892</v>
      </c>
      <c r="DO307" s="423">
        <f t="shared" si="319"/>
        <v>3489.1924030612504</v>
      </c>
      <c r="DP307" s="94">
        <f t="shared" si="320"/>
        <v>0</v>
      </c>
      <c r="DQ307" s="28">
        <f t="shared" si="321"/>
        <v>3489.1924030612504</v>
      </c>
      <c r="DR307" s="318"/>
      <c r="DT307" s="8"/>
      <c r="DU307" s="5"/>
      <c r="DX307" s="5">
        <f t="shared" si="322"/>
        <v>8551.3925448173759</v>
      </c>
      <c r="DY307" s="5">
        <f t="shared" si="323"/>
        <v>3927.5640000000003</v>
      </c>
      <c r="DZ307" s="159">
        <f>'[3]побудинковий звіт'!EA307</f>
        <v>712.46398598317035</v>
      </c>
    </row>
    <row r="308" spans="1:130" x14ac:dyDescent="0.3">
      <c r="A308" s="325">
        <v>150000839</v>
      </c>
      <c r="B308" s="41" t="s">
        <v>754</v>
      </c>
      <c r="C308" s="42" t="s">
        <v>136</v>
      </c>
      <c r="D308" s="42"/>
      <c r="E308" s="293">
        <f t="shared" si="353"/>
        <v>128.19999999999999</v>
      </c>
      <c r="F308" s="305">
        <f>'[3]побудинковий звіт'!F308</f>
        <v>128.19999999999999</v>
      </c>
      <c r="G308" s="508">
        <f>'[3]побудинковий звіт'!G308</f>
        <v>0</v>
      </c>
      <c r="H308" s="560">
        <f>'[3]побудинковий звіт'!H308</f>
        <v>0</v>
      </c>
      <c r="I308" s="566">
        <f>VLOOKUP($A308,'01-02.2021'!$A$6:$CZ$403,9,FALSE)+VLOOKUP($A308,'1.3.21-28.2.22'!$A$6:$DA$404,9,FALSE)-VLOOKUP($A308,'01-02.2022'!$A$6:$DA$376,9,FALSE)</f>
        <v>0</v>
      </c>
      <c r="J308" s="566">
        <f>VLOOKUP($A308,'01-02.2021'!$A$6:$CZ$403,10,FALSE)+VLOOKUP($A308,'1.3.21-28.2.22'!$A$6:$DA$404,10,FALSE)-VLOOKUP($A308,'01-02.2022'!$A$6:$DA$376,10,FALSE)</f>
        <v>0</v>
      </c>
      <c r="K308" s="52">
        <f t="shared" si="357"/>
        <v>0</v>
      </c>
      <c r="L308" s="566">
        <f>VLOOKUP($A308,'01-02.2021'!$A$6:$CZ$403,12,FALSE)+VLOOKUP($A308,'1.3.21-28.2.22'!$A$6:$DA$404,12,FALSE)-VLOOKUP($A308,'01-02.2022'!$A$6:$DA$376,12,FALSE)</f>
        <v>0</v>
      </c>
      <c r="M308" s="566">
        <f>VLOOKUP($A308,'01-02.2021'!$A$6:$CZ$403,13,FALSE)+VLOOKUP($A308,'1.3.21-28.2.22'!$A$6:$DA$404,13,FALSE)-VLOOKUP($A308,'01-02.2022'!$A$6:$DA$376,13,FALSE)</f>
        <v>0</v>
      </c>
      <c r="N308" s="52">
        <f t="shared" si="358"/>
        <v>0</v>
      </c>
      <c r="O308" s="566">
        <f>VLOOKUP($A308,'01-02.2021'!$A$6:$CZ$403,15,FALSE)+VLOOKUP($A308,'1.3.21-28.2.22'!$A$6:$DA$404,15,FALSE)-VLOOKUP($A308,'01-02.2022'!$A$6:$DA$376,15,FALSE)</f>
        <v>0</v>
      </c>
      <c r="P308" s="566">
        <f>VLOOKUP($A308,'01-02.2021'!$A$6:$CZ$403,16,FALSE)+VLOOKUP($A308,'1.3.21-28.2.22'!$A$6:$DA$404,16,FALSE)-VLOOKUP($A308,'01-02.2022'!$A$6:$DA$376,16,FALSE)</f>
        <v>0</v>
      </c>
      <c r="Q308" s="70">
        <f t="shared" si="324"/>
        <v>0</v>
      </c>
      <c r="R308" s="566">
        <f>VLOOKUP($A308,'01-02.2021'!$A$6:$CZ$403,18,FALSE)+VLOOKUP($A308,'1.3.21-28.2.22'!$A$6:$DA$404,18,FALSE)-VLOOKUP($A308,'01-02.2022'!$A$6:$DA$376,18,FALSE)</f>
        <v>0</v>
      </c>
      <c r="S308" s="566">
        <f>VLOOKUP($A308,'01-02.2021'!$A$6:$CZ$403,19,FALSE)+VLOOKUP($A308,'1.3.21-28.2.22'!$A$6:$DA$404,19,FALSE)-VLOOKUP($A308,'01-02.2022'!$A$6:$DA$376,19,FALSE)</f>
        <v>0</v>
      </c>
      <c r="T308" s="70">
        <f t="shared" si="325"/>
        <v>0</v>
      </c>
      <c r="U308" s="566">
        <f>VLOOKUP($A308,'01-02.2021'!$A$6:$CZ$403,21,FALSE)+VLOOKUP($A308,'1.3.21-28.2.22'!$A$6:$DA$404,21,FALSE)-VLOOKUP($A308,'01-02.2022'!$A$6:$DA$376,21,FALSE)</f>
        <v>0</v>
      </c>
      <c r="V308" s="566">
        <f>VLOOKUP($A308,'01-02.2021'!$A$6:$CZ$403,22,FALSE)+VLOOKUP($A308,'1.3.21-28.2.22'!$A$6:$DA$404,22,FALSE)-VLOOKUP($A308,'01-02.2022'!$A$6:$DA$376,22,FALSE)</f>
        <v>0</v>
      </c>
      <c r="W308" s="70">
        <f t="shared" si="326"/>
        <v>0</v>
      </c>
      <c r="X308" s="566">
        <f>VLOOKUP($A308,'01-02.2021'!$A$6:$CZ$403,24,FALSE)+VLOOKUP($A308,'1.3.21-28.2.22'!$A$6:$DA$404,24,FALSE)-VLOOKUP($A308,'01-02.2022'!$A$6:$DA$376,24,FALSE)</f>
        <v>0</v>
      </c>
      <c r="Y308" s="566">
        <f>VLOOKUP($A308,'01-02.2021'!$A$6:$CZ$403,25,FALSE)+VLOOKUP($A308,'1.3.21-28.2.22'!$A$6:$DA$404,25,FALSE)-VLOOKUP($A308,'01-02.2022'!$A$6:$DA$376,25,FALSE)</f>
        <v>0</v>
      </c>
      <c r="Z308" s="70">
        <f t="shared" si="327"/>
        <v>0</v>
      </c>
      <c r="AA308" s="566">
        <f>VLOOKUP($A308,'01-02.2021'!$A$6:$CZ$403,27,FALSE)+VLOOKUP($A308,'1.3.21-28.2.22'!$A$6:$DA$404,27,FALSE)-VLOOKUP($A308,'01-02.2022'!$A$6:$DA$376,27,FALSE)</f>
        <v>25.639999999999993</v>
      </c>
      <c r="AB308" s="566">
        <f>VLOOKUP($A308,'01-02.2021'!$A$6:$CZ$403,28,FALSE)+VLOOKUP($A308,'1.3.21-28.2.22'!$A$6:$DA$404,28,FALSE)-VLOOKUP($A308,'01-02.2022'!$A$6:$DA$376,28,FALSE)</f>
        <v>0</v>
      </c>
      <c r="AC308" s="70">
        <f t="shared" si="328"/>
        <v>-25.639999999999993</v>
      </c>
      <c r="AD308" s="566">
        <f>VLOOKUP($A308,'01-02.2021'!$A$6:$CZ$403,30,FALSE)+VLOOKUP($A308,'1.3.21-28.2.22'!$A$6:$DA$404,30,FALSE)-VLOOKUP($A308,'01-02.2022'!$A$6:$DA$376,30,FALSE)</f>
        <v>205.25220217988789</v>
      </c>
      <c r="AE308" s="566">
        <f>VLOOKUP($A308,'01-02.2021'!$A$6:$CZ$403,31,FALSE)+VLOOKUP($A308,'1.3.21-28.2.22'!$A$6:$DA$404,31,FALSE)-VLOOKUP($A308,'01-02.2022'!$A$6:$DA$376,31,FALSE)</f>
        <v>583.5715654664956</v>
      </c>
      <c r="AF308" s="68">
        <f t="shared" si="329"/>
        <v>378.31936328660771</v>
      </c>
      <c r="AG308" s="77">
        <f t="shared" si="354"/>
        <v>230.89220217988787</v>
      </c>
      <c r="AH308" s="53">
        <f t="shared" si="354"/>
        <v>583.5715654664956</v>
      </c>
      <c r="AI308" s="52">
        <f t="shared" si="359"/>
        <v>352.67936328660772</v>
      </c>
      <c r="AJ308" s="566">
        <f>VLOOKUP($A308,'01-02.2021'!$A$6:$CZ$403,36,FALSE)+VLOOKUP($A308,'1.3.21-28.2.22'!$A$6:$DA$404,36,FALSE)-VLOOKUP($A308,'01-02.2022'!$A$6:$DA$376,36,FALSE)</f>
        <v>0</v>
      </c>
      <c r="AK308" s="566">
        <f>VLOOKUP($A308,'01-02.2021'!$A$6:$CZ$403,37,FALSE)+VLOOKUP($A308,'1.3.21-28.2.22'!$A$6:$DA$404,37,FALSE)-VLOOKUP($A308,'01-02.2022'!$A$6:$DA$376,37,FALSE)</f>
        <v>0</v>
      </c>
      <c r="AL308" s="70">
        <f t="shared" si="330"/>
        <v>0</v>
      </c>
      <c r="AM308" s="566">
        <f>VLOOKUP($A308,'01-02.2021'!$A$6:$CZ$403,39,FALSE)+VLOOKUP($A308,'1.3.21-28.2.22'!$A$6:$DA$404,39,FALSE)-VLOOKUP($A308,'01-02.2022'!$A$6:$DA$376,39,FALSE)</f>
        <v>0</v>
      </c>
      <c r="AN308" s="566">
        <f>VLOOKUP($A308,'01-02.2021'!$A$6:$CZ$403,40,FALSE)+VLOOKUP($A308,'1.3.21-28.2.22'!$A$6:$DA$404,40,FALSE)-VLOOKUP($A308,'01-02.2022'!$A$6:$DA$376,40,FALSE)</f>
        <v>0</v>
      </c>
      <c r="AO308" s="70">
        <f t="shared" si="331"/>
        <v>0</v>
      </c>
      <c r="AP308" s="566">
        <f>VLOOKUP($A308,'01-02.2021'!$A$6:$CZ$403,42,FALSE)+VLOOKUP($A308,'1.3.21-28.2.22'!$A$6:$DA$404,42,FALSE)-VLOOKUP($A308,'01-02.2022'!$A$6:$DA$376,42,FALSE)</f>
        <v>390.41994375958296</v>
      </c>
      <c r="AQ308" s="566">
        <f>VLOOKUP($A308,'01-02.2021'!$A$6:$CZ$403,43,FALSE)+VLOOKUP($A308,'1.3.21-28.2.22'!$A$6:$DA$404,43,FALSE)-VLOOKUP($A308,'01-02.2022'!$A$6:$DA$376,43,FALSE)</f>
        <v>336.57337442243158</v>
      </c>
      <c r="AR308" s="70">
        <f t="shared" si="332"/>
        <v>-53.846569337151379</v>
      </c>
      <c r="AS308" s="566">
        <f>VLOOKUP($A308,'01-02.2021'!$A$6:$CZ$403,45,FALSE)+VLOOKUP($A308,'1.3.21-28.2.22'!$A$6:$DA$404,45,FALSE)-VLOOKUP($A308,'01-02.2022'!$A$6:$DA$376,45,FALSE)</f>
        <v>1998.0978095933028</v>
      </c>
      <c r="AT308" s="566">
        <f>VLOOKUP($A308,'01-02.2021'!$A$6:$CZ$403,46,FALSE)+VLOOKUP($A308,'1.3.21-28.2.22'!$A$6:$DA$404,46,FALSE)-VLOOKUP($A308,'01-02.2022'!$A$6:$DA$376,46,FALSE)</f>
        <v>0</v>
      </c>
      <c r="AU308" s="78">
        <f t="shared" si="333"/>
        <v>-1998.0978095933028</v>
      </c>
      <c r="AV308" s="566">
        <f>VLOOKUP($A308,'01-02.2021'!$A$6:$CZ$403,48,FALSE)+VLOOKUP($A308,'1.3.21-28.2.22'!$A$6:$DA$404,48,FALSE)-VLOOKUP($A308,'01-02.2022'!$A$6:$DA$376,48,FALSE)</f>
        <v>0</v>
      </c>
      <c r="AW308" s="566">
        <f>VLOOKUP($A308,'01-02.2021'!$A$6:$CZ$403,49,FALSE)+VLOOKUP($A308,'1.3.21-28.2.22'!$A$6:$DA$404,49,FALSE)-VLOOKUP($A308,'01-02.2022'!$A$6:$DA$376,49,FALSE)</f>
        <v>0</v>
      </c>
      <c r="AX308" s="55">
        <f t="shared" si="334"/>
        <v>0</v>
      </c>
      <c r="AY308" s="566">
        <f>VLOOKUP($A308,'01-02.2021'!$A$6:$CZ$403,51,FALSE)+VLOOKUP($A308,'1.3.21-28.2.22'!$A$6:$DA$404,51,FALSE)-VLOOKUP($A308,'01-02.2022'!$A$6:$DA$376,51,FALSE)</f>
        <v>0</v>
      </c>
      <c r="AZ308" s="566">
        <f>VLOOKUP($A308,'01-02.2021'!$A$6:$CZ$403,52,FALSE)+VLOOKUP($A308,'1.3.21-28.2.22'!$A$6:$DA$404,52,FALSE)-VLOOKUP($A308,'01-02.2022'!$A$6:$DA$376,52,FALSE)</f>
        <v>0</v>
      </c>
      <c r="BA308" s="38">
        <f t="shared" si="335"/>
        <v>0</v>
      </c>
      <c r="BB308" s="566">
        <f>VLOOKUP($A308,'01-02.2021'!$A$6:$CZ$403,54,FALSE)+VLOOKUP($A308,'1.3.21-28.2.22'!$A$6:$DA$404,54,FALSE)-VLOOKUP($A308,'01-02.2022'!$A$6:$DA$376,54,FALSE)</f>
        <v>0</v>
      </c>
      <c r="BC308" s="566">
        <f>VLOOKUP($A308,'01-02.2021'!$A$6:$CZ$403,55,FALSE)+VLOOKUP($A308,'1.3.21-28.2.22'!$A$6:$DA$404,55,FALSE)-VLOOKUP($A308,'01-02.2022'!$A$6:$DA$376,55,FALSE)</f>
        <v>0</v>
      </c>
      <c r="BD308" s="55">
        <f t="shared" si="336"/>
        <v>0</v>
      </c>
      <c r="BE308" s="566">
        <f>VLOOKUP($A308,'01-02.2021'!$A$6:$CZ$403,57,FALSE)+VLOOKUP($A308,'1.3.21-28.2.22'!$A$6:$DA$404,57,FALSE)-VLOOKUP($A308,'01-02.2022'!$A$6:$DA$376,57,FALSE)</f>
        <v>0</v>
      </c>
      <c r="BF308" s="566">
        <f>VLOOKUP($A308,'01-02.2021'!$A$6:$CZ$403,58,FALSE)+VLOOKUP($A308,'1.3.21-28.2.22'!$A$6:$DA$404,58,FALSE)-VLOOKUP($A308,'01-02.2022'!$A$6:$DA$376,58,FALSE)</f>
        <v>0</v>
      </c>
      <c r="BG308" s="55">
        <f t="shared" si="337"/>
        <v>0</v>
      </c>
      <c r="BH308" s="566">
        <f>VLOOKUP($A308,'01-02.2021'!$A$6:$CZ$403,60,FALSE)+VLOOKUP($A308,'1.3.21-28.2.22'!$A$6:$DA$404,60,FALSE)-VLOOKUP($A308,'01-02.2022'!$A$6:$DA$376,60,FALSE)</f>
        <v>0</v>
      </c>
      <c r="BI308" s="566">
        <f>VLOOKUP($A308,'01-02.2021'!$A$6:$CZ$403,61,FALSE)+VLOOKUP($A308,'1.3.21-28.2.22'!$A$6:$DA$404,61,FALSE)-VLOOKUP($A308,'01-02.2022'!$A$6:$DA$376,61,FALSE)</f>
        <v>0</v>
      </c>
      <c r="BJ308" s="55">
        <f t="shared" si="338"/>
        <v>0</v>
      </c>
      <c r="BK308" s="566">
        <f>VLOOKUP($A308,'01-02.2021'!$A$6:$CZ$403,63,FALSE)+VLOOKUP($A308,'1.3.21-28.2.22'!$A$6:$DA$404,63,FALSE)-VLOOKUP($A308,'01-02.2022'!$A$6:$DA$376,63,FALSE)</f>
        <v>0</v>
      </c>
      <c r="BL308" s="566">
        <f>VLOOKUP($A308,'01-02.2021'!$A$6:$CZ$403,64,FALSE)+VLOOKUP($A308,'1.3.21-28.2.22'!$A$6:$DA$404,64,FALSE)-VLOOKUP($A308,'01-02.2022'!$A$6:$DA$376,64,FALSE)</f>
        <v>0</v>
      </c>
      <c r="BM308" s="55">
        <f t="shared" si="339"/>
        <v>0</v>
      </c>
      <c r="BN308" s="566">
        <f>VLOOKUP($A308,'01-02.2021'!$A$6:$CZ$403,66,FALSE)+VLOOKUP($A308,'1.3.21-28.2.22'!$A$6:$DA$404,66,FALSE)-VLOOKUP($A308,'01-02.2022'!$A$6:$DA$376,66,FALSE)</f>
        <v>9.5045545474573601</v>
      </c>
      <c r="BO308" s="566">
        <f>VLOOKUP($A308,'01-02.2021'!$A$6:$CZ$403,67,FALSE)+VLOOKUP($A308,'1.3.21-28.2.22'!$A$6:$DA$404,67,FALSE)-VLOOKUP($A308,'01-02.2022'!$A$6:$DA$376,67,FALSE)</f>
        <v>0</v>
      </c>
      <c r="BP308" s="55">
        <f t="shared" si="340"/>
        <v>-9.5045545474573601</v>
      </c>
      <c r="BQ308" s="77">
        <f t="shared" si="348"/>
        <v>9.5045545474573601</v>
      </c>
      <c r="BR308" s="40">
        <f t="shared" si="349"/>
        <v>0</v>
      </c>
      <c r="BS308" s="55">
        <f t="shared" si="369"/>
        <v>-9.5045545474573601</v>
      </c>
      <c r="BT308" s="566">
        <f>VLOOKUP($A308,'01-02.2021'!$A$6:$CZ$403,72,FALSE)+VLOOKUP($A308,'1.3.21-28.2.22'!$A$6:$DA$404,72,FALSE)-VLOOKUP($A308,'01-02.2022'!$A$6:$DA$376,72,FALSE)</f>
        <v>139.57422939948549</v>
      </c>
      <c r="BU308" s="566">
        <f>VLOOKUP($A308,'01-02.2021'!$A$6:$CZ$403,73,FALSE)+VLOOKUP($A308,'1.3.21-28.2.22'!$A$6:$DA$404,73,FALSE)-VLOOKUP($A308,'01-02.2022'!$A$6:$DA$376,73,FALSE)</f>
        <v>216.53901731377118</v>
      </c>
      <c r="BV308" s="70">
        <f t="shared" si="341"/>
        <v>76.964787914285694</v>
      </c>
      <c r="BW308" s="566">
        <f>VLOOKUP($A308,'01-02.2021'!$A$6:$CZ$403,75,FALSE)+VLOOKUP($A308,'1.3.21-28.2.22'!$A$6:$DA$404,75,FALSE)-VLOOKUP($A308,'01-02.2022'!$A$6:$DA$376,75,FALSE)</f>
        <v>0</v>
      </c>
      <c r="BX308" s="566">
        <f>VLOOKUP($A308,'01-02.2021'!$A$6:$CZ$403,76,FALSE)+VLOOKUP($A308,'1.3.21-28.2.22'!$A$6:$DA$404,76,FALSE)-VLOOKUP($A308,'01-02.2022'!$A$6:$DA$376,76,FALSE)</f>
        <v>2.8731659141524108</v>
      </c>
      <c r="BY308" s="70">
        <f t="shared" si="342"/>
        <v>2.8731659141524108</v>
      </c>
      <c r="BZ308" s="566">
        <f>VLOOKUP($A308,'01-02.2021'!$A$6:$CZ$403,78,FALSE)+VLOOKUP($A308,'1.3.21-28.2.22'!$A$6:$DA$404,78,FALSE)-VLOOKUP($A308,'01-02.2022'!$A$6:$DA$376,78,FALSE)</f>
        <v>0</v>
      </c>
      <c r="CA308" s="566">
        <f>VLOOKUP($A308,'01-02.2021'!$A$6:$CZ$403,79,FALSE)+VLOOKUP($A308,'1.3.21-28.2.22'!$A$6:$DA$404,79,FALSE)-VLOOKUP($A308,'01-02.2022'!$A$6:$DA$376,79,FALSE)</f>
        <v>13.204207548642415</v>
      </c>
      <c r="CB308" s="70">
        <f t="shared" si="343"/>
        <v>13.204207548642415</v>
      </c>
      <c r="CC308" s="566">
        <f>VLOOKUP($A308,'01-02.2021'!$A$6:$CZ$403,81,FALSE)+VLOOKUP($A308,'1.3.21-28.2.22'!$A$6:$DA$404,81,FALSE)-VLOOKUP($A308,'01-02.2022'!$A$6:$DA$376,81,FALSE)</f>
        <v>0</v>
      </c>
      <c r="CD308" s="566">
        <f>VLOOKUP($A308,'01-02.2021'!$A$6:$CZ$403,82,FALSE)+VLOOKUP($A308,'1.3.21-28.2.22'!$A$6:$DA$404,82,FALSE)-VLOOKUP($A308,'01-02.2022'!$A$6:$DA$376,82,FALSE)</f>
        <v>0</v>
      </c>
      <c r="CE308" s="70">
        <f t="shared" si="344"/>
        <v>0</v>
      </c>
      <c r="CF308" s="566">
        <f>VLOOKUP($A308,'01-02.2021'!$A$6:$CZ$403,84,FALSE)+VLOOKUP($A308,'1.3.21-28.2.22'!$A$6:$DA$404,84,FALSE)-VLOOKUP($A308,'01-02.2022'!$A$6:$DA$376,84,FALSE)</f>
        <v>0</v>
      </c>
      <c r="CG308" s="566">
        <f>VLOOKUP($A308,'01-02.2021'!$A$6:$CZ$403,85,FALSE)+VLOOKUP($A308,'1.3.21-28.2.22'!$A$6:$DA$404,85,FALSE)-VLOOKUP($A308,'01-02.2022'!$A$6:$DA$376,85,FALSE)</f>
        <v>0</v>
      </c>
      <c r="CH308" s="70">
        <f t="shared" si="345"/>
        <v>0</v>
      </c>
      <c r="CI308" s="566">
        <f>VLOOKUP($A308,'01-02.2021'!$A$6:$CZ$403,87,FALSE)+VLOOKUP($A308,'1.3.21-28.2.22'!$A$6:$DA$404,87,FALSE)-VLOOKUP($A308,'01-02.2022'!$A$6:$DA$376,87,FALSE)</f>
        <v>0</v>
      </c>
      <c r="CJ308" s="566">
        <f>VLOOKUP($A308,'01-02.2021'!$A$6:$CZ$403,88,FALSE)+VLOOKUP($A308,'1.3.21-28.2.22'!$A$6:$DA$404,88,FALSE)-VLOOKUP($A308,'01-02.2022'!$A$6:$DA$376,88,FALSE)</f>
        <v>0</v>
      </c>
      <c r="CK308" s="70">
        <f t="shared" si="346"/>
        <v>0</v>
      </c>
      <c r="CL308" s="566">
        <f>VLOOKUP($A308,'01-02.2021'!$A$6:$CZ$403,90,FALSE)+VLOOKUP($A308,'1.3.21-28.2.22'!$A$6:$DA$404,90,FALSE)-VLOOKUP($A308,'01-02.2022'!$A$6:$DA$376,90,FALSE)</f>
        <v>0</v>
      </c>
      <c r="CM308" s="566">
        <f>VLOOKUP($A308,'01-02.2021'!$A$6:$CZ$403,91,FALSE)+VLOOKUP($A308,'1.3.21-28.2.22'!$A$6:$DA$404,91,FALSE)-VLOOKUP($A308,'01-02.2022'!$A$6:$DA$376,91,FALSE)</f>
        <v>0</v>
      </c>
      <c r="CN308" s="52">
        <f t="shared" si="360"/>
        <v>0</v>
      </c>
      <c r="CO308" s="39">
        <f t="shared" si="355"/>
        <v>0</v>
      </c>
      <c r="CP308" s="40">
        <f t="shared" si="361"/>
        <v>0</v>
      </c>
      <c r="CQ308" s="52">
        <f t="shared" si="362"/>
        <v>0</v>
      </c>
      <c r="CR308" s="72">
        <f t="shared" si="356"/>
        <v>2768.4887394797165</v>
      </c>
      <c r="CS308" s="5">
        <f t="shared" si="356"/>
        <v>1152.7613306654932</v>
      </c>
      <c r="CT308" s="52">
        <f t="shared" si="363"/>
        <v>-1615.7274088142233</v>
      </c>
      <c r="CU308" s="77">
        <f t="shared" si="364"/>
        <v>3322.1864873756599</v>
      </c>
      <c r="CV308" s="65">
        <f t="shared" si="365"/>
        <v>1383.3135967985918</v>
      </c>
      <c r="CW308" s="35">
        <f t="shared" si="366"/>
        <v>-1938.8728905770681</v>
      </c>
      <c r="CX308" s="566">
        <f>VLOOKUP($A308,'01-02.2021'!$A$6:$CZ$403,102,FALSE)+VLOOKUP($A308,'1.3.21-28.2.22'!$A$6:$DA$404,102,FALSE)-VLOOKUP($A308,'01-02.2022'!$A$6:$DA$376,102,FALSE)</f>
        <v>94.358707314348678</v>
      </c>
      <c r="CY308" s="566">
        <f>VLOOKUP($A308,'01-02.2021'!$A$6:$CZ$403,103,FALSE)+VLOOKUP($A308,'1.3.21-28.2.22'!$A$6:$DA$404,103,FALSE)-VLOOKUP($A308,'01-02.2022'!$A$6:$DA$376,103,FALSE)</f>
        <v>2033.231597891416</v>
      </c>
      <c r="CZ308" s="52">
        <f t="shared" si="367"/>
        <v>1938.8728905770672</v>
      </c>
      <c r="DA308" s="150">
        <f>'[2]побудинковий звіт'!DA308</f>
        <v>-3193.0257647512553</v>
      </c>
      <c r="DB308" s="2">
        <v>1</v>
      </c>
      <c r="DC308" s="414">
        <f>'[4]побудинковий звіт'!DC308</f>
        <v>309.92</v>
      </c>
      <c r="DD308" s="414">
        <f>'[4]побудинковий звіт'!DD308</f>
        <v>0</v>
      </c>
      <c r="DE308" s="557">
        <f>'[4]побудинковий звіт'!DE308</f>
        <v>-3.4563439499493143E-3</v>
      </c>
      <c r="DF308" s="557">
        <f>'[4]побудинковий звіт'!DF308</f>
        <v>0</v>
      </c>
      <c r="DG308" s="321">
        <f>VLOOKUP(A308,'кошти 01.03.2021'!$A$6:$D$401,4,)</f>
        <v>-1168.0014358181663</v>
      </c>
      <c r="DH308" s="40">
        <f>'[3]побудинковий звіт'!DJ308</f>
        <v>3535.7506775925663</v>
      </c>
      <c r="DI308" s="422">
        <f>'[3]побудинковий звіт'!CU308+'[3]побудинковий звіт'!CX308</f>
        <v>309.92345634394997</v>
      </c>
      <c r="DJ308" s="306">
        <f>'[3]побудинковий звіт'!DM308</f>
        <v>2.4174996594691889</v>
      </c>
      <c r="DK308" s="306">
        <f t="shared" si="370"/>
        <v>2.4174996594691889</v>
      </c>
      <c r="DL308" s="306">
        <f>'[3]побудинковий звіт'!DO308</f>
        <v>2.4174996594691889</v>
      </c>
      <c r="DM308" s="28">
        <f t="shared" si="371"/>
        <v>309.92345634394997</v>
      </c>
      <c r="DN308" s="28">
        <f>H308*DL308</f>
        <v>0</v>
      </c>
      <c r="DO308" s="423">
        <f t="shared" si="319"/>
        <v>309.92345634394997</v>
      </c>
      <c r="DP308" s="94">
        <f t="shared" si="320"/>
        <v>0</v>
      </c>
      <c r="DQ308" s="28">
        <f t="shared" si="321"/>
        <v>309.92345634394997</v>
      </c>
      <c r="DR308" s="318"/>
      <c r="DT308" s="8"/>
      <c r="DU308" s="5"/>
      <c r="DX308" s="5">
        <f t="shared" si="322"/>
        <v>2409.122836968912</v>
      </c>
      <c r="DY308" s="5">
        <f t="shared" si="323"/>
        <v>0</v>
      </c>
      <c r="DZ308" s="159">
        <f>'[3]побудинковий звіт'!EA308</f>
        <v>238.80050205839609</v>
      </c>
    </row>
    <row r="309" spans="1:130" x14ac:dyDescent="0.3">
      <c r="A309" s="325">
        <v>150000840</v>
      </c>
      <c r="B309" s="41" t="s">
        <v>755</v>
      </c>
      <c r="C309" s="42" t="s">
        <v>394</v>
      </c>
      <c r="D309" s="42"/>
      <c r="E309" s="293">
        <f t="shared" si="353"/>
        <v>4216.5600000000004</v>
      </c>
      <c r="F309" s="305">
        <f>'[3]побудинковий звіт'!F309</f>
        <v>4216.5600000000004</v>
      </c>
      <c r="G309" s="508">
        <f>'[3]побудинковий звіт'!G309</f>
        <v>460.11</v>
      </c>
      <c r="H309" s="560">
        <f>'[3]побудинковий звіт'!H309</f>
        <v>0</v>
      </c>
      <c r="I309" s="566">
        <f>VLOOKUP($A309,'01-02.2021'!$A$6:$CZ$403,9,FALSE)+VLOOKUP($A309,'1.3.21-28.2.22'!$A$6:$DA$404,9,FALSE)-VLOOKUP($A309,'01-02.2022'!$A$6:$DA$376,9,FALSE)</f>
        <v>14944.780400943464</v>
      </c>
      <c r="J309" s="566">
        <f>VLOOKUP($A309,'01-02.2021'!$A$6:$CZ$403,10,FALSE)+VLOOKUP($A309,'1.3.21-28.2.22'!$A$6:$DA$404,10,FALSE)-VLOOKUP($A309,'01-02.2022'!$A$6:$DA$376,10,FALSE)</f>
        <v>13212.194252643958</v>
      </c>
      <c r="K309" s="52">
        <f t="shared" si="357"/>
        <v>-1732.586148299506</v>
      </c>
      <c r="L309" s="566">
        <f>VLOOKUP($A309,'01-02.2021'!$A$6:$CZ$403,12,FALSE)+VLOOKUP($A309,'1.3.21-28.2.22'!$A$6:$DA$404,12,FALSE)-VLOOKUP($A309,'01-02.2022'!$A$6:$DA$376,12,FALSE)</f>
        <v>2372.8295304507392</v>
      </c>
      <c r="M309" s="566">
        <f>VLOOKUP($A309,'01-02.2021'!$A$6:$CZ$403,13,FALSE)+VLOOKUP($A309,'1.3.21-28.2.22'!$A$6:$DA$404,13,FALSE)-VLOOKUP($A309,'01-02.2022'!$A$6:$DA$376,13,FALSE)</f>
        <v>2144.8103026336594</v>
      </c>
      <c r="N309" s="52">
        <f t="shared" si="358"/>
        <v>-228.01922781707981</v>
      </c>
      <c r="O309" s="566">
        <f>VLOOKUP($A309,'01-02.2021'!$A$6:$CZ$403,15,FALSE)+VLOOKUP($A309,'1.3.21-28.2.22'!$A$6:$DA$404,15,FALSE)-VLOOKUP($A309,'01-02.2022'!$A$6:$DA$376,15,FALSE)</f>
        <v>5454.9902021971329</v>
      </c>
      <c r="P309" s="566">
        <f>VLOOKUP($A309,'01-02.2021'!$A$6:$CZ$403,16,FALSE)+VLOOKUP($A309,'1.3.21-28.2.22'!$A$6:$DA$404,16,FALSE)-VLOOKUP($A309,'01-02.2022'!$A$6:$DA$376,16,FALSE)</f>
        <v>5455.0199999999995</v>
      </c>
      <c r="Q309" s="70">
        <f t="shared" si="324"/>
        <v>2.9797802866596612E-2</v>
      </c>
      <c r="R309" s="566">
        <f>VLOOKUP($A309,'01-02.2021'!$A$6:$CZ$403,18,FALSE)+VLOOKUP($A309,'1.3.21-28.2.22'!$A$6:$DA$404,18,FALSE)-VLOOKUP($A309,'01-02.2022'!$A$6:$DA$376,18,FALSE)</f>
        <v>1217.7113196443918</v>
      </c>
      <c r="S309" s="566">
        <f>VLOOKUP($A309,'01-02.2021'!$A$6:$CZ$403,19,FALSE)+VLOOKUP($A309,'1.3.21-28.2.22'!$A$6:$DA$404,19,FALSE)-VLOOKUP($A309,'01-02.2022'!$A$6:$DA$376,19,FALSE)</f>
        <v>1217.7000000000003</v>
      </c>
      <c r="T309" s="70">
        <f t="shared" si="325"/>
        <v>-1.131964439150579E-2</v>
      </c>
      <c r="U309" s="566">
        <f>VLOOKUP($A309,'01-02.2021'!$A$6:$CZ$403,21,FALSE)+VLOOKUP($A309,'1.3.21-28.2.22'!$A$6:$DA$404,21,FALSE)-VLOOKUP($A309,'01-02.2022'!$A$6:$DA$376,21,FALSE)</f>
        <v>671.36656966572173</v>
      </c>
      <c r="V309" s="566">
        <f>VLOOKUP($A309,'01-02.2021'!$A$6:$CZ$403,22,FALSE)+VLOOKUP($A309,'1.3.21-28.2.22'!$A$6:$DA$404,22,FALSE)-VLOOKUP($A309,'01-02.2022'!$A$6:$DA$376,22,FALSE)</f>
        <v>437.37825016120945</v>
      </c>
      <c r="W309" s="70">
        <f t="shared" si="326"/>
        <v>-233.98831950451228</v>
      </c>
      <c r="X309" s="566">
        <f>VLOOKUP($A309,'01-02.2021'!$A$6:$CZ$403,24,FALSE)+VLOOKUP($A309,'1.3.21-28.2.22'!$A$6:$DA$404,24,FALSE)-VLOOKUP($A309,'01-02.2022'!$A$6:$DA$376,24,FALSE)</f>
        <v>5890.0437642738261</v>
      </c>
      <c r="Y309" s="566">
        <f>VLOOKUP($A309,'01-02.2021'!$A$6:$CZ$403,25,FALSE)+VLOOKUP($A309,'1.3.21-28.2.22'!$A$6:$DA$404,25,FALSE)-VLOOKUP($A309,'01-02.2022'!$A$6:$DA$376,25,FALSE)</f>
        <v>4769.2711967408504</v>
      </c>
      <c r="Z309" s="70">
        <f t="shared" si="327"/>
        <v>-1120.7725675329757</v>
      </c>
      <c r="AA309" s="566">
        <f>VLOOKUP($A309,'01-02.2021'!$A$6:$CZ$403,27,FALSE)+VLOOKUP($A309,'1.3.21-28.2.22'!$A$6:$DA$404,27,FALSE)-VLOOKUP($A309,'01-02.2022'!$A$6:$DA$376,27,FALSE)</f>
        <v>843.18799999999987</v>
      </c>
      <c r="AB309" s="566">
        <f>VLOOKUP($A309,'01-02.2021'!$A$6:$CZ$403,28,FALSE)+VLOOKUP($A309,'1.3.21-28.2.22'!$A$6:$DA$404,28,FALSE)-VLOOKUP($A309,'01-02.2022'!$A$6:$DA$376,28,FALSE)</f>
        <v>0</v>
      </c>
      <c r="AC309" s="70">
        <f t="shared" si="328"/>
        <v>-843.18799999999987</v>
      </c>
      <c r="AD309" s="566">
        <f>VLOOKUP($A309,'01-02.2021'!$A$6:$CZ$403,30,FALSE)+VLOOKUP($A309,'1.3.21-28.2.22'!$A$6:$DA$404,30,FALSE)-VLOOKUP($A309,'01-02.2022'!$A$6:$DA$376,30,FALSE)</f>
        <v>18110.185159142959</v>
      </c>
      <c r="AE309" s="566">
        <f>VLOOKUP($A309,'01-02.2021'!$A$6:$CZ$403,31,FALSE)+VLOOKUP($A309,'1.3.21-28.2.22'!$A$6:$DA$404,31,FALSE)-VLOOKUP($A309,'01-02.2022'!$A$6:$DA$376,31,FALSE)</f>
        <v>19192.499618774447</v>
      </c>
      <c r="AF309" s="68">
        <f t="shared" si="329"/>
        <v>1082.3144596314887</v>
      </c>
      <c r="AG309" s="77">
        <f t="shared" si="354"/>
        <v>49505.094946318233</v>
      </c>
      <c r="AH309" s="53">
        <f t="shared" si="354"/>
        <v>46428.873620954124</v>
      </c>
      <c r="AI309" s="52">
        <f t="shared" si="359"/>
        <v>-3076.2213253641094</v>
      </c>
      <c r="AJ309" s="566">
        <f>VLOOKUP($A309,'01-02.2021'!$A$6:$CZ$403,36,FALSE)+VLOOKUP($A309,'1.3.21-28.2.22'!$A$6:$DA$404,36,FALSE)-VLOOKUP($A309,'01-02.2022'!$A$6:$DA$376,36,FALSE)</f>
        <v>31594.925331069629</v>
      </c>
      <c r="AK309" s="566">
        <f>VLOOKUP($A309,'01-02.2021'!$A$6:$CZ$403,37,FALSE)+VLOOKUP($A309,'1.3.21-28.2.22'!$A$6:$DA$404,37,FALSE)-VLOOKUP($A309,'01-02.2022'!$A$6:$DA$376,37,FALSE)</f>
        <v>31387.81398936014</v>
      </c>
      <c r="AL309" s="70">
        <f t="shared" si="330"/>
        <v>-207.11134170948935</v>
      </c>
      <c r="AM309" s="566">
        <f>VLOOKUP($A309,'01-02.2021'!$A$6:$CZ$403,39,FALSE)+VLOOKUP($A309,'1.3.21-28.2.22'!$A$6:$DA$404,39,FALSE)-VLOOKUP($A309,'01-02.2022'!$A$6:$DA$376,39,FALSE)</f>
        <v>1050.749425</v>
      </c>
      <c r="AN309" s="566">
        <f>VLOOKUP($A309,'01-02.2021'!$A$6:$CZ$403,40,FALSE)+VLOOKUP($A309,'1.3.21-28.2.22'!$A$6:$DA$404,40,FALSE)-VLOOKUP($A309,'01-02.2022'!$A$6:$DA$376,40,FALSE)</f>
        <v>0</v>
      </c>
      <c r="AO309" s="70">
        <f t="shared" si="331"/>
        <v>-1050.749425</v>
      </c>
      <c r="AP309" s="566">
        <f>VLOOKUP($A309,'01-02.2021'!$A$6:$CZ$403,42,FALSE)+VLOOKUP($A309,'1.3.21-28.2.22'!$A$6:$DA$404,42,FALSE)-VLOOKUP($A309,'01-02.2022'!$A$6:$DA$376,42,FALSE)</f>
        <v>3123.3595500766637</v>
      </c>
      <c r="AQ309" s="566">
        <f>VLOOKUP($A309,'01-02.2021'!$A$6:$CZ$403,43,FALSE)+VLOOKUP($A309,'1.3.21-28.2.22'!$A$6:$DA$404,43,FALSE)-VLOOKUP($A309,'01-02.2022'!$A$6:$DA$376,43,FALSE)</f>
        <v>2590.033699054622</v>
      </c>
      <c r="AR309" s="70">
        <f t="shared" si="332"/>
        <v>-533.32585102204166</v>
      </c>
      <c r="AS309" s="566">
        <f>VLOOKUP($A309,'01-02.2021'!$A$6:$CZ$403,45,FALSE)+VLOOKUP($A309,'1.3.21-28.2.22'!$A$6:$DA$404,45,FALSE)-VLOOKUP($A309,'01-02.2022'!$A$6:$DA$376,45,FALSE)</f>
        <v>48008.974230481996</v>
      </c>
      <c r="AT309" s="566">
        <f>VLOOKUP($A309,'01-02.2021'!$A$6:$CZ$403,46,FALSE)+VLOOKUP($A309,'1.3.21-28.2.22'!$A$6:$DA$404,46,FALSE)-VLOOKUP($A309,'01-02.2022'!$A$6:$DA$376,46,FALSE)</f>
        <v>42387.401262814288</v>
      </c>
      <c r="AU309" s="78">
        <f t="shared" si="333"/>
        <v>-5621.5729676677074</v>
      </c>
      <c r="AV309" s="566">
        <f>VLOOKUP($A309,'01-02.2021'!$A$6:$CZ$403,48,FALSE)+VLOOKUP($A309,'1.3.21-28.2.22'!$A$6:$DA$404,48,FALSE)-VLOOKUP($A309,'01-02.2022'!$A$6:$DA$376,48,FALSE)</f>
        <v>3165.9825280288642</v>
      </c>
      <c r="AW309" s="566">
        <f>VLOOKUP($A309,'01-02.2021'!$A$6:$CZ$403,49,FALSE)+VLOOKUP($A309,'1.3.21-28.2.22'!$A$6:$DA$404,49,FALSE)-VLOOKUP($A309,'01-02.2022'!$A$6:$DA$376,49,FALSE)</f>
        <v>773.23</v>
      </c>
      <c r="AX309" s="55">
        <f t="shared" si="334"/>
        <v>-2392.7525280288642</v>
      </c>
      <c r="AY309" s="566">
        <f>VLOOKUP($A309,'01-02.2021'!$A$6:$CZ$403,51,FALSE)+VLOOKUP($A309,'1.3.21-28.2.22'!$A$6:$DA$404,51,FALSE)-VLOOKUP($A309,'01-02.2022'!$A$6:$DA$376,51,FALSE)</f>
        <v>3408.9275794985315</v>
      </c>
      <c r="AZ309" s="566">
        <f>VLOOKUP($A309,'01-02.2021'!$A$6:$CZ$403,52,FALSE)+VLOOKUP($A309,'1.3.21-28.2.22'!$A$6:$DA$404,52,FALSE)-VLOOKUP($A309,'01-02.2022'!$A$6:$DA$376,52,FALSE)</f>
        <v>0</v>
      </c>
      <c r="BA309" s="38">
        <f t="shared" si="335"/>
        <v>-3408.9275794985315</v>
      </c>
      <c r="BB309" s="566">
        <f>VLOOKUP($A309,'01-02.2021'!$A$6:$CZ$403,54,FALSE)+VLOOKUP($A309,'1.3.21-28.2.22'!$A$6:$DA$404,54,FALSE)-VLOOKUP($A309,'01-02.2022'!$A$6:$DA$376,54,FALSE)</f>
        <v>1923.9968579421122</v>
      </c>
      <c r="BC309" s="566">
        <f>VLOOKUP($A309,'01-02.2021'!$A$6:$CZ$403,55,FALSE)+VLOOKUP($A309,'1.3.21-28.2.22'!$A$6:$DA$404,55,FALSE)-VLOOKUP($A309,'01-02.2022'!$A$6:$DA$376,55,FALSE)</f>
        <v>0</v>
      </c>
      <c r="BD309" s="55">
        <f t="shared" si="336"/>
        <v>-1923.9968579421122</v>
      </c>
      <c r="BE309" s="566">
        <f>VLOOKUP($A309,'01-02.2021'!$A$6:$CZ$403,57,FALSE)+VLOOKUP($A309,'1.3.21-28.2.22'!$A$6:$DA$404,57,FALSE)-VLOOKUP($A309,'01-02.2022'!$A$6:$DA$376,57,FALSE)</f>
        <v>2562.5006591480969</v>
      </c>
      <c r="BF309" s="566">
        <f>VLOOKUP($A309,'01-02.2021'!$A$6:$CZ$403,58,FALSE)+VLOOKUP($A309,'1.3.21-28.2.22'!$A$6:$DA$404,58,FALSE)-VLOOKUP($A309,'01-02.2022'!$A$6:$DA$376,58,FALSE)</f>
        <v>0</v>
      </c>
      <c r="BG309" s="55">
        <f t="shared" si="337"/>
        <v>-2562.5006591480969</v>
      </c>
      <c r="BH309" s="566">
        <f>VLOOKUP($A309,'01-02.2021'!$A$6:$CZ$403,60,FALSE)+VLOOKUP($A309,'1.3.21-28.2.22'!$A$6:$DA$404,60,FALSE)-VLOOKUP($A309,'01-02.2022'!$A$6:$DA$376,60,FALSE)</f>
        <v>1275.6779514917541</v>
      </c>
      <c r="BI309" s="566">
        <f>VLOOKUP($A309,'01-02.2021'!$A$6:$CZ$403,61,FALSE)+VLOOKUP($A309,'1.3.21-28.2.22'!$A$6:$DA$404,61,FALSE)-VLOOKUP($A309,'01-02.2022'!$A$6:$DA$376,61,FALSE)</f>
        <v>0</v>
      </c>
      <c r="BJ309" s="55">
        <f t="shared" si="338"/>
        <v>-1275.6779514917541</v>
      </c>
      <c r="BK309" s="566">
        <f>VLOOKUP($A309,'01-02.2021'!$A$6:$CZ$403,63,FALSE)+VLOOKUP($A309,'1.3.21-28.2.22'!$A$6:$DA$404,63,FALSE)-VLOOKUP($A309,'01-02.2022'!$A$6:$DA$376,63,FALSE)</f>
        <v>1632.6017123685003</v>
      </c>
      <c r="BL309" s="566">
        <f>VLOOKUP($A309,'01-02.2021'!$A$6:$CZ$403,64,FALSE)+VLOOKUP($A309,'1.3.21-28.2.22'!$A$6:$DA$404,64,FALSE)-VLOOKUP($A309,'01-02.2022'!$A$6:$DA$376,64,FALSE)</f>
        <v>0</v>
      </c>
      <c r="BM309" s="55">
        <f t="shared" si="339"/>
        <v>-1632.6017123685003</v>
      </c>
      <c r="BN309" s="566">
        <f>VLOOKUP($A309,'01-02.2021'!$A$6:$CZ$403,66,FALSE)+VLOOKUP($A309,'1.3.21-28.2.22'!$A$6:$DA$404,66,FALSE)-VLOOKUP($A309,'01-02.2022'!$A$6:$DA$376,66,FALSE)</f>
        <v>538.01150275215673</v>
      </c>
      <c r="BO309" s="566">
        <f>VLOOKUP($A309,'01-02.2021'!$A$6:$CZ$403,67,FALSE)+VLOOKUP($A309,'1.3.21-28.2.22'!$A$6:$DA$404,67,FALSE)-VLOOKUP($A309,'01-02.2022'!$A$6:$DA$376,67,FALSE)</f>
        <v>0</v>
      </c>
      <c r="BP309" s="55">
        <f t="shared" si="340"/>
        <v>-538.01150275215673</v>
      </c>
      <c r="BQ309" s="77">
        <f t="shared" si="348"/>
        <v>14507.698791230016</v>
      </c>
      <c r="BR309" s="40">
        <f t="shared" si="349"/>
        <v>773.23</v>
      </c>
      <c r="BS309" s="55">
        <f t="shared" si="369"/>
        <v>-13734.468791230016</v>
      </c>
      <c r="BT309" s="566">
        <f>VLOOKUP($A309,'01-02.2021'!$A$6:$CZ$403,72,FALSE)+VLOOKUP($A309,'1.3.21-28.2.22'!$A$6:$DA$404,72,FALSE)-VLOOKUP($A309,'01-02.2022'!$A$6:$DA$376,72,FALSE)</f>
        <v>52774.894905475856</v>
      </c>
      <c r="BU309" s="566">
        <f>VLOOKUP($A309,'01-02.2021'!$A$6:$CZ$403,73,FALSE)+VLOOKUP($A309,'1.3.21-28.2.22'!$A$6:$DA$404,73,FALSE)-VLOOKUP($A309,'01-02.2022'!$A$6:$DA$376,73,FALSE)</f>
        <v>59308.054510128328</v>
      </c>
      <c r="BV309" s="70">
        <f t="shared" si="341"/>
        <v>6533.1596046524719</v>
      </c>
      <c r="BW309" s="566">
        <f>VLOOKUP($A309,'01-02.2021'!$A$6:$CZ$403,75,FALSE)+VLOOKUP($A309,'1.3.21-28.2.22'!$A$6:$DA$404,75,FALSE)-VLOOKUP($A309,'01-02.2022'!$A$6:$DA$376,75,FALSE)</f>
        <v>31207.619836345901</v>
      </c>
      <c r="BX309" s="566">
        <f>VLOOKUP($A309,'01-02.2021'!$A$6:$CZ$403,76,FALSE)+VLOOKUP($A309,'1.3.21-28.2.22'!$A$6:$DA$404,76,FALSE)-VLOOKUP($A309,'01-02.2022'!$A$6:$DA$376,76,FALSE)</f>
        <v>30949.070070646267</v>
      </c>
      <c r="BY309" s="70">
        <f t="shared" si="342"/>
        <v>-258.54976569963401</v>
      </c>
      <c r="BZ309" s="566">
        <f>VLOOKUP($A309,'01-02.2021'!$A$6:$CZ$403,78,FALSE)+VLOOKUP($A309,'1.3.21-28.2.22'!$A$6:$DA$404,78,FALSE)-VLOOKUP($A309,'01-02.2022'!$A$6:$DA$376,78,FALSE)</f>
        <v>11451.628088706526</v>
      </c>
      <c r="CA309" s="566">
        <f>VLOOKUP($A309,'01-02.2021'!$A$6:$CZ$403,79,FALSE)+VLOOKUP($A309,'1.3.21-28.2.22'!$A$6:$DA$404,79,FALSE)-VLOOKUP($A309,'01-02.2022'!$A$6:$DA$376,79,FALSE)</f>
        <v>12352.780100505057</v>
      </c>
      <c r="CB309" s="70">
        <f t="shared" si="343"/>
        <v>901.15201179853102</v>
      </c>
      <c r="CC309" s="566">
        <f>VLOOKUP($A309,'01-02.2021'!$A$6:$CZ$403,81,FALSE)+VLOOKUP($A309,'1.3.21-28.2.22'!$A$6:$DA$404,81,FALSE)-VLOOKUP($A309,'01-02.2022'!$A$6:$DA$376,81,FALSE)</f>
        <v>1790.9335261000645</v>
      </c>
      <c r="CD309" s="566">
        <f>VLOOKUP($A309,'01-02.2021'!$A$6:$CZ$403,82,FALSE)+VLOOKUP($A309,'1.3.21-28.2.22'!$A$6:$DA$404,82,FALSE)-VLOOKUP($A309,'01-02.2022'!$A$6:$DA$376,82,FALSE)</f>
        <v>1949.8870409280396</v>
      </c>
      <c r="CE309" s="70">
        <f t="shared" si="344"/>
        <v>158.95351482797514</v>
      </c>
      <c r="CF309" s="566">
        <f>VLOOKUP($A309,'01-02.2021'!$A$6:$CZ$403,84,FALSE)+VLOOKUP($A309,'1.3.21-28.2.22'!$A$6:$DA$404,84,FALSE)-VLOOKUP($A309,'01-02.2022'!$A$6:$DA$376,84,FALSE)</f>
        <v>216.88912730445873</v>
      </c>
      <c r="CG309" s="566">
        <f>VLOOKUP($A309,'01-02.2021'!$A$6:$CZ$403,85,FALSE)+VLOOKUP($A309,'1.3.21-28.2.22'!$A$6:$DA$404,85,FALSE)-VLOOKUP($A309,'01-02.2022'!$A$6:$DA$376,85,FALSE)</f>
        <v>0</v>
      </c>
      <c r="CH309" s="70">
        <f t="shared" si="345"/>
        <v>-216.88912730445873</v>
      </c>
      <c r="CI309" s="566">
        <f>VLOOKUP($A309,'01-02.2021'!$A$6:$CZ$403,87,FALSE)+VLOOKUP($A309,'1.3.21-28.2.22'!$A$6:$DA$404,87,FALSE)-VLOOKUP($A309,'01-02.2022'!$A$6:$DA$376,87,FALSE)</f>
        <v>10315.737471719658</v>
      </c>
      <c r="CJ309" s="566">
        <f>VLOOKUP($A309,'01-02.2021'!$A$6:$CZ$403,88,FALSE)+VLOOKUP($A309,'1.3.21-28.2.22'!$A$6:$DA$404,88,FALSE)-VLOOKUP($A309,'01-02.2022'!$A$6:$DA$376,88,FALSE)</f>
        <v>5057.0517270203891</v>
      </c>
      <c r="CK309" s="70">
        <f t="shared" si="346"/>
        <v>-5258.685744699269</v>
      </c>
      <c r="CL309" s="566">
        <f>VLOOKUP($A309,'01-02.2021'!$A$6:$CZ$403,90,FALSE)+VLOOKUP($A309,'1.3.21-28.2.22'!$A$6:$DA$404,90,FALSE)-VLOOKUP($A309,'01-02.2022'!$A$6:$DA$376,90,FALSE)</f>
        <v>6668.0083220229362</v>
      </c>
      <c r="CM309" s="566">
        <f>VLOOKUP($A309,'01-02.2021'!$A$6:$CZ$403,91,FALSE)+VLOOKUP($A309,'1.3.21-28.2.22'!$A$6:$DA$404,91,FALSE)-VLOOKUP($A309,'01-02.2022'!$A$6:$DA$376,91,FALSE)</f>
        <v>6054.0435914223872</v>
      </c>
      <c r="CN309" s="52">
        <f t="shared" si="360"/>
        <v>-613.96473060054905</v>
      </c>
      <c r="CO309" s="39">
        <f t="shared" si="355"/>
        <v>16983.745793742593</v>
      </c>
      <c r="CP309" s="40">
        <f t="shared" si="361"/>
        <v>11111.095318442776</v>
      </c>
      <c r="CQ309" s="52">
        <f t="shared" si="362"/>
        <v>-5872.6504752998171</v>
      </c>
      <c r="CR309" s="72">
        <f t="shared" si="356"/>
        <v>262216.51355185197</v>
      </c>
      <c r="CS309" s="5">
        <f t="shared" si="356"/>
        <v>239238.2396128336</v>
      </c>
      <c r="CT309" s="52">
        <f t="shared" si="363"/>
        <v>-22978.273939018371</v>
      </c>
      <c r="CU309" s="77">
        <f t="shared" si="364"/>
        <v>314659.81626222236</v>
      </c>
      <c r="CV309" s="65">
        <f t="shared" si="365"/>
        <v>287085.88753540028</v>
      </c>
      <c r="CW309" s="35">
        <f t="shared" si="366"/>
        <v>-27573.92872682208</v>
      </c>
      <c r="CX309" s="566">
        <f>VLOOKUP($A309,'01-02.2021'!$A$6:$CZ$403,102,FALSE)+VLOOKUP($A309,'1.3.21-28.2.22'!$A$6:$DA$404,102,FALSE)-VLOOKUP($A309,'01-02.2022'!$A$6:$DA$376,102,FALSE)</f>
        <v>11017.844946592224</v>
      </c>
      <c r="CY309" s="566">
        <f>VLOOKUP($A309,'01-02.2021'!$A$6:$CZ$403,103,FALSE)+VLOOKUP($A309,'1.3.21-28.2.22'!$A$6:$DA$404,103,FALSE)-VLOOKUP($A309,'01-02.2022'!$A$6:$DA$376,103,FALSE)</f>
        <v>39178.573673414125</v>
      </c>
      <c r="CZ309" s="52">
        <f t="shared" si="367"/>
        <v>28160.728726821901</v>
      </c>
      <c r="DA309" s="150">
        <f>'[2]побудинковий звіт'!DA309</f>
        <v>12759.113673417134</v>
      </c>
      <c r="DB309" s="2">
        <v>1</v>
      </c>
      <c r="DC309" s="414">
        <f>'[4]побудинковий звіт'!DC309</f>
        <v>43931.44</v>
      </c>
      <c r="DD309" s="414">
        <f>'[4]побудинковий звіт'!DD309</f>
        <v>0</v>
      </c>
      <c r="DE309" s="557">
        <f>'[4]побудинковий звіт'!DE309</f>
        <v>14586.595986151369</v>
      </c>
      <c r="DF309" s="557">
        <f>'[4]побудинковий звіт'!DF309</f>
        <v>0</v>
      </c>
      <c r="DG309" s="321">
        <f>VLOOKUP(A309,'кошти 01.03.2021'!$A$6:$D$401,4,)</f>
        <v>44908.53029602782</v>
      </c>
      <c r="DH309" s="40">
        <f>'[3]побудинковий звіт'!DJ309</f>
        <v>336087.39204395749</v>
      </c>
      <c r="DI309" s="422">
        <f>'[3]побудинковий звіт'!CU309+'[3]побудинковий звіт'!CX309</f>
        <v>29344.844013848633</v>
      </c>
      <c r="DJ309" s="306">
        <f>'[3]побудинковий звіт'!DM309</f>
        <v>5.9691141416610618</v>
      </c>
      <c r="DK309" s="306">
        <f>'[3]побудинковий звіт'!DN309</f>
        <v>7.0807264587919336</v>
      </c>
      <c r="DL309" s="306">
        <f>'[3]побудинковий звіт'!DO309</f>
        <v>5.0847417551530754</v>
      </c>
      <c r="DM309" s="28">
        <f>DJ309*G309+(F309-G309)*DK309</f>
        <v>29344.844013848633</v>
      </c>
      <c r="DN309" s="28">
        <f>DL309*H309</f>
        <v>0</v>
      </c>
      <c r="DO309" s="423">
        <f t="shared" si="319"/>
        <v>29344.844013848633</v>
      </c>
      <c r="DP309" s="94">
        <f t="shared" si="320"/>
        <v>0</v>
      </c>
      <c r="DQ309" s="28">
        <f t="shared" si="321"/>
        <v>29344.844013848633</v>
      </c>
      <c r="DR309" s="318"/>
      <c r="DT309" s="8"/>
      <c r="DU309" s="5"/>
      <c r="DX309" s="5">
        <f t="shared" si="322"/>
        <v>75020.007626054416</v>
      </c>
      <c r="DY309" s="5">
        <f t="shared" si="323"/>
        <v>51792.757515377147</v>
      </c>
      <c r="DZ309" s="159">
        <f>'[3]побудинковий звіт'!EA309</f>
        <v>6746.9077301051047</v>
      </c>
    </row>
    <row r="310" spans="1:130" x14ac:dyDescent="0.3">
      <c r="A310" s="325">
        <v>150000841</v>
      </c>
      <c r="B310" s="41" t="s">
        <v>756</v>
      </c>
      <c r="C310" s="42" t="s">
        <v>137</v>
      </c>
      <c r="D310" s="42"/>
      <c r="E310" s="293">
        <f t="shared" si="353"/>
        <v>172.4</v>
      </c>
      <c r="F310" s="305">
        <f>'[3]побудинковий звіт'!F310</f>
        <v>172.4</v>
      </c>
      <c r="G310" s="508">
        <f>'[3]побудинковий звіт'!G310</f>
        <v>0</v>
      </c>
      <c r="H310" s="560">
        <f>'[3]побудинковий звіт'!H310</f>
        <v>0</v>
      </c>
      <c r="I310" s="566">
        <f>VLOOKUP($A310,'01-02.2021'!$A$6:$CZ$403,9,FALSE)+VLOOKUP($A310,'1.3.21-28.2.22'!$A$6:$DA$404,9,FALSE)-VLOOKUP($A310,'01-02.2022'!$A$6:$DA$376,9,FALSE)</f>
        <v>0</v>
      </c>
      <c r="J310" s="566">
        <f>VLOOKUP($A310,'01-02.2021'!$A$6:$CZ$403,10,FALSE)+VLOOKUP($A310,'1.3.21-28.2.22'!$A$6:$DA$404,10,FALSE)-VLOOKUP($A310,'01-02.2022'!$A$6:$DA$376,10,FALSE)</f>
        <v>0</v>
      </c>
      <c r="K310" s="52">
        <f t="shared" si="357"/>
        <v>0</v>
      </c>
      <c r="L310" s="566">
        <f>VLOOKUP($A310,'01-02.2021'!$A$6:$CZ$403,12,FALSE)+VLOOKUP($A310,'1.3.21-28.2.22'!$A$6:$DA$404,12,FALSE)-VLOOKUP($A310,'01-02.2022'!$A$6:$DA$376,12,FALSE)</f>
        <v>0</v>
      </c>
      <c r="M310" s="566">
        <f>VLOOKUP($A310,'01-02.2021'!$A$6:$CZ$403,13,FALSE)+VLOOKUP($A310,'1.3.21-28.2.22'!$A$6:$DA$404,13,FALSE)-VLOOKUP($A310,'01-02.2022'!$A$6:$DA$376,13,FALSE)</f>
        <v>0</v>
      </c>
      <c r="N310" s="52">
        <f t="shared" si="358"/>
        <v>0</v>
      </c>
      <c r="O310" s="566">
        <f>VLOOKUP($A310,'01-02.2021'!$A$6:$CZ$403,15,FALSE)+VLOOKUP($A310,'1.3.21-28.2.22'!$A$6:$DA$404,15,FALSE)-VLOOKUP($A310,'01-02.2022'!$A$6:$DA$376,15,FALSE)</f>
        <v>0</v>
      </c>
      <c r="P310" s="566">
        <f>VLOOKUP($A310,'01-02.2021'!$A$6:$CZ$403,16,FALSE)+VLOOKUP($A310,'1.3.21-28.2.22'!$A$6:$DA$404,16,FALSE)-VLOOKUP($A310,'01-02.2022'!$A$6:$DA$376,16,FALSE)</f>
        <v>0</v>
      </c>
      <c r="Q310" s="70">
        <f t="shared" si="324"/>
        <v>0</v>
      </c>
      <c r="R310" s="566">
        <f>VLOOKUP($A310,'01-02.2021'!$A$6:$CZ$403,18,FALSE)+VLOOKUP($A310,'1.3.21-28.2.22'!$A$6:$DA$404,18,FALSE)-VLOOKUP($A310,'01-02.2022'!$A$6:$DA$376,18,FALSE)</f>
        <v>0</v>
      </c>
      <c r="S310" s="566">
        <f>VLOOKUP($A310,'01-02.2021'!$A$6:$CZ$403,19,FALSE)+VLOOKUP($A310,'1.3.21-28.2.22'!$A$6:$DA$404,19,FALSE)-VLOOKUP($A310,'01-02.2022'!$A$6:$DA$376,19,FALSE)</f>
        <v>0</v>
      </c>
      <c r="T310" s="70">
        <f t="shared" si="325"/>
        <v>0</v>
      </c>
      <c r="U310" s="566">
        <f>VLOOKUP($A310,'01-02.2021'!$A$6:$CZ$403,21,FALSE)+VLOOKUP($A310,'1.3.21-28.2.22'!$A$6:$DA$404,21,FALSE)-VLOOKUP($A310,'01-02.2022'!$A$6:$DA$376,21,FALSE)</f>
        <v>0</v>
      </c>
      <c r="V310" s="566">
        <f>VLOOKUP($A310,'01-02.2021'!$A$6:$CZ$403,22,FALSE)+VLOOKUP($A310,'1.3.21-28.2.22'!$A$6:$DA$404,22,FALSE)-VLOOKUP($A310,'01-02.2022'!$A$6:$DA$376,22,FALSE)</f>
        <v>0</v>
      </c>
      <c r="W310" s="70">
        <f t="shared" si="326"/>
        <v>0</v>
      </c>
      <c r="X310" s="566">
        <f>VLOOKUP($A310,'01-02.2021'!$A$6:$CZ$403,24,FALSE)+VLOOKUP($A310,'1.3.21-28.2.22'!$A$6:$DA$404,24,FALSE)-VLOOKUP($A310,'01-02.2022'!$A$6:$DA$376,24,FALSE)</f>
        <v>0</v>
      </c>
      <c r="Y310" s="566">
        <f>VLOOKUP($A310,'01-02.2021'!$A$6:$CZ$403,25,FALSE)+VLOOKUP($A310,'1.3.21-28.2.22'!$A$6:$DA$404,25,FALSE)-VLOOKUP($A310,'01-02.2022'!$A$6:$DA$376,25,FALSE)</f>
        <v>0</v>
      </c>
      <c r="Z310" s="70">
        <f t="shared" si="327"/>
        <v>0</v>
      </c>
      <c r="AA310" s="566">
        <f>VLOOKUP($A310,'01-02.2021'!$A$6:$CZ$403,27,FALSE)+VLOOKUP($A310,'1.3.21-28.2.22'!$A$6:$DA$404,27,FALSE)-VLOOKUP($A310,'01-02.2022'!$A$6:$DA$376,27,FALSE)</f>
        <v>34.480000000000004</v>
      </c>
      <c r="AB310" s="566">
        <f>VLOOKUP($A310,'01-02.2021'!$A$6:$CZ$403,28,FALSE)+VLOOKUP($A310,'1.3.21-28.2.22'!$A$6:$DA$404,28,FALSE)-VLOOKUP($A310,'01-02.2022'!$A$6:$DA$376,28,FALSE)</f>
        <v>0</v>
      </c>
      <c r="AC310" s="70">
        <f t="shared" si="328"/>
        <v>-34.480000000000004</v>
      </c>
      <c r="AD310" s="566">
        <f>VLOOKUP($A310,'01-02.2021'!$A$6:$CZ$403,30,FALSE)+VLOOKUP($A310,'1.3.21-28.2.22'!$A$6:$DA$404,30,FALSE)-VLOOKUP($A310,'01-02.2022'!$A$6:$DA$376,30,FALSE)</f>
        <v>276.01480694584262</v>
      </c>
      <c r="AE310" s="566">
        <f>VLOOKUP($A310,'01-02.2021'!$A$6:$CZ$403,31,FALSE)+VLOOKUP($A310,'1.3.21-28.2.22'!$A$6:$DA$404,31,FALSE)-VLOOKUP($A310,'01-02.2022'!$A$6:$DA$376,31,FALSE)</f>
        <v>784.7717463839615</v>
      </c>
      <c r="AF310" s="68">
        <f t="shared" si="329"/>
        <v>508.75693943811888</v>
      </c>
      <c r="AG310" s="77">
        <f t="shared" si="354"/>
        <v>310.49480694584264</v>
      </c>
      <c r="AH310" s="53">
        <f t="shared" si="354"/>
        <v>784.7717463839615</v>
      </c>
      <c r="AI310" s="52">
        <f t="shared" si="359"/>
        <v>474.27693943811886</v>
      </c>
      <c r="AJ310" s="566">
        <f>VLOOKUP($A310,'01-02.2021'!$A$6:$CZ$403,36,FALSE)+VLOOKUP($A310,'1.3.21-28.2.22'!$A$6:$DA$404,36,FALSE)-VLOOKUP($A310,'01-02.2022'!$A$6:$DA$376,36,FALSE)</f>
        <v>0</v>
      </c>
      <c r="AK310" s="566">
        <f>VLOOKUP($A310,'01-02.2021'!$A$6:$CZ$403,37,FALSE)+VLOOKUP($A310,'1.3.21-28.2.22'!$A$6:$DA$404,37,FALSE)-VLOOKUP($A310,'01-02.2022'!$A$6:$DA$376,37,FALSE)</f>
        <v>0</v>
      </c>
      <c r="AL310" s="70">
        <f t="shared" si="330"/>
        <v>0</v>
      </c>
      <c r="AM310" s="566">
        <f>VLOOKUP($A310,'01-02.2021'!$A$6:$CZ$403,39,FALSE)+VLOOKUP($A310,'1.3.21-28.2.22'!$A$6:$DA$404,39,FALSE)-VLOOKUP($A310,'01-02.2022'!$A$6:$DA$376,39,FALSE)</f>
        <v>0</v>
      </c>
      <c r="AN310" s="566">
        <f>VLOOKUP($A310,'01-02.2021'!$A$6:$CZ$403,40,FALSE)+VLOOKUP($A310,'1.3.21-28.2.22'!$A$6:$DA$404,40,FALSE)-VLOOKUP($A310,'01-02.2022'!$A$6:$DA$376,40,FALSE)</f>
        <v>0</v>
      </c>
      <c r="AO310" s="70">
        <f t="shared" si="331"/>
        <v>0</v>
      </c>
      <c r="AP310" s="566">
        <f>VLOOKUP($A310,'01-02.2021'!$A$6:$CZ$403,42,FALSE)+VLOOKUP($A310,'1.3.21-28.2.22'!$A$6:$DA$404,42,FALSE)-VLOOKUP($A310,'01-02.2022'!$A$6:$DA$376,42,FALSE)</f>
        <v>260.27996250638864</v>
      </c>
      <c r="AQ310" s="566">
        <f>VLOOKUP($A310,'01-02.2021'!$A$6:$CZ$403,43,FALSE)+VLOOKUP($A310,'1.3.21-28.2.22'!$A$6:$DA$404,43,FALSE)-VLOOKUP($A310,'01-02.2022'!$A$6:$DA$376,43,FALSE)</f>
        <v>224.38224961495439</v>
      </c>
      <c r="AR310" s="70">
        <f t="shared" si="332"/>
        <v>-35.897712891434253</v>
      </c>
      <c r="AS310" s="566">
        <f>VLOOKUP($A310,'01-02.2021'!$A$6:$CZ$403,45,FALSE)+VLOOKUP($A310,'1.3.21-28.2.22'!$A$6:$DA$404,45,FALSE)-VLOOKUP($A310,'01-02.2022'!$A$6:$DA$376,45,FALSE)</f>
        <v>1662.9785248317708</v>
      </c>
      <c r="AT310" s="566">
        <f>VLOOKUP($A310,'01-02.2021'!$A$6:$CZ$403,46,FALSE)+VLOOKUP($A310,'1.3.21-28.2.22'!$A$6:$DA$404,46,FALSE)-VLOOKUP($A310,'01-02.2022'!$A$6:$DA$376,46,FALSE)</f>
        <v>0</v>
      </c>
      <c r="AU310" s="78">
        <f t="shared" si="333"/>
        <v>-1662.9785248317708</v>
      </c>
      <c r="AV310" s="566">
        <f>VLOOKUP($A310,'01-02.2021'!$A$6:$CZ$403,48,FALSE)+VLOOKUP($A310,'1.3.21-28.2.22'!$A$6:$DA$404,48,FALSE)-VLOOKUP($A310,'01-02.2022'!$A$6:$DA$376,48,FALSE)</f>
        <v>0</v>
      </c>
      <c r="AW310" s="566">
        <f>VLOOKUP($A310,'01-02.2021'!$A$6:$CZ$403,49,FALSE)+VLOOKUP($A310,'1.3.21-28.2.22'!$A$6:$DA$404,49,FALSE)-VLOOKUP($A310,'01-02.2022'!$A$6:$DA$376,49,FALSE)</f>
        <v>0</v>
      </c>
      <c r="AX310" s="55">
        <f t="shared" si="334"/>
        <v>0</v>
      </c>
      <c r="AY310" s="566">
        <f>VLOOKUP($A310,'01-02.2021'!$A$6:$CZ$403,51,FALSE)+VLOOKUP($A310,'1.3.21-28.2.22'!$A$6:$DA$404,51,FALSE)-VLOOKUP($A310,'01-02.2022'!$A$6:$DA$376,51,FALSE)</f>
        <v>0</v>
      </c>
      <c r="AZ310" s="566">
        <f>VLOOKUP($A310,'01-02.2021'!$A$6:$CZ$403,52,FALSE)+VLOOKUP($A310,'1.3.21-28.2.22'!$A$6:$DA$404,52,FALSE)-VLOOKUP($A310,'01-02.2022'!$A$6:$DA$376,52,FALSE)</f>
        <v>0</v>
      </c>
      <c r="BA310" s="38">
        <f t="shared" si="335"/>
        <v>0</v>
      </c>
      <c r="BB310" s="566">
        <f>VLOOKUP($A310,'01-02.2021'!$A$6:$CZ$403,54,FALSE)+VLOOKUP($A310,'1.3.21-28.2.22'!$A$6:$DA$404,54,FALSE)-VLOOKUP($A310,'01-02.2022'!$A$6:$DA$376,54,FALSE)</f>
        <v>0</v>
      </c>
      <c r="BC310" s="566">
        <f>VLOOKUP($A310,'01-02.2021'!$A$6:$CZ$403,55,FALSE)+VLOOKUP($A310,'1.3.21-28.2.22'!$A$6:$DA$404,55,FALSE)-VLOOKUP($A310,'01-02.2022'!$A$6:$DA$376,55,FALSE)</f>
        <v>0</v>
      </c>
      <c r="BD310" s="55">
        <f t="shared" si="336"/>
        <v>0</v>
      </c>
      <c r="BE310" s="566">
        <f>VLOOKUP($A310,'01-02.2021'!$A$6:$CZ$403,57,FALSE)+VLOOKUP($A310,'1.3.21-28.2.22'!$A$6:$DA$404,57,FALSE)-VLOOKUP($A310,'01-02.2022'!$A$6:$DA$376,57,FALSE)</f>
        <v>0</v>
      </c>
      <c r="BF310" s="566">
        <f>VLOOKUP($A310,'01-02.2021'!$A$6:$CZ$403,58,FALSE)+VLOOKUP($A310,'1.3.21-28.2.22'!$A$6:$DA$404,58,FALSE)-VLOOKUP($A310,'01-02.2022'!$A$6:$DA$376,58,FALSE)</f>
        <v>0</v>
      </c>
      <c r="BG310" s="55">
        <f t="shared" si="337"/>
        <v>0</v>
      </c>
      <c r="BH310" s="566">
        <f>VLOOKUP($A310,'01-02.2021'!$A$6:$CZ$403,60,FALSE)+VLOOKUP($A310,'1.3.21-28.2.22'!$A$6:$DA$404,60,FALSE)-VLOOKUP($A310,'01-02.2022'!$A$6:$DA$376,60,FALSE)</f>
        <v>0</v>
      </c>
      <c r="BI310" s="566">
        <f>VLOOKUP($A310,'01-02.2021'!$A$6:$CZ$403,61,FALSE)+VLOOKUP($A310,'1.3.21-28.2.22'!$A$6:$DA$404,61,FALSE)-VLOOKUP($A310,'01-02.2022'!$A$6:$DA$376,61,FALSE)</f>
        <v>0</v>
      </c>
      <c r="BJ310" s="55">
        <f t="shared" si="338"/>
        <v>0</v>
      </c>
      <c r="BK310" s="566">
        <f>VLOOKUP($A310,'01-02.2021'!$A$6:$CZ$403,63,FALSE)+VLOOKUP($A310,'1.3.21-28.2.22'!$A$6:$DA$404,63,FALSE)-VLOOKUP($A310,'01-02.2022'!$A$6:$DA$376,63,FALSE)</f>
        <v>0</v>
      </c>
      <c r="BL310" s="566">
        <f>VLOOKUP($A310,'01-02.2021'!$A$6:$CZ$403,64,FALSE)+VLOOKUP($A310,'1.3.21-28.2.22'!$A$6:$DA$404,64,FALSE)-VLOOKUP($A310,'01-02.2022'!$A$6:$DA$376,64,FALSE)</f>
        <v>0</v>
      </c>
      <c r="BM310" s="55">
        <f t="shared" si="339"/>
        <v>0</v>
      </c>
      <c r="BN310" s="566">
        <f>VLOOKUP($A310,'01-02.2021'!$A$6:$CZ$403,66,FALSE)+VLOOKUP($A310,'1.3.21-28.2.22'!$A$6:$DA$404,66,FALSE)-VLOOKUP($A310,'01-02.2022'!$A$6:$DA$376,66,FALSE)</f>
        <v>12.602007714484493</v>
      </c>
      <c r="BO310" s="566">
        <f>VLOOKUP($A310,'01-02.2021'!$A$6:$CZ$403,67,FALSE)+VLOOKUP($A310,'1.3.21-28.2.22'!$A$6:$DA$404,67,FALSE)-VLOOKUP($A310,'01-02.2022'!$A$6:$DA$376,67,FALSE)</f>
        <v>0</v>
      </c>
      <c r="BP310" s="55">
        <f t="shared" si="340"/>
        <v>-12.602007714484493</v>
      </c>
      <c r="BQ310" s="77">
        <f t="shared" si="348"/>
        <v>12.602007714484493</v>
      </c>
      <c r="BR310" s="40">
        <f t="shared" si="349"/>
        <v>0</v>
      </c>
      <c r="BS310" s="55">
        <f t="shared" si="369"/>
        <v>-12.602007714484493</v>
      </c>
      <c r="BT310" s="566">
        <f>VLOOKUP($A310,'01-02.2021'!$A$6:$CZ$403,72,FALSE)+VLOOKUP($A310,'1.3.21-28.2.22'!$A$6:$DA$404,72,FALSE)-VLOOKUP($A310,'01-02.2022'!$A$6:$DA$376,72,FALSE)</f>
        <v>446.63753407835333</v>
      </c>
      <c r="BU310" s="566">
        <f>VLOOKUP($A310,'01-02.2021'!$A$6:$CZ$403,73,FALSE)+VLOOKUP($A310,'1.3.21-28.2.22'!$A$6:$DA$404,73,FALSE)-VLOOKUP($A310,'01-02.2022'!$A$6:$DA$376,73,FALSE)</f>
        <v>693.06917155973076</v>
      </c>
      <c r="BV310" s="70">
        <f t="shared" si="341"/>
        <v>246.43163748137744</v>
      </c>
      <c r="BW310" s="566">
        <f>VLOOKUP($A310,'01-02.2021'!$A$6:$CZ$403,75,FALSE)+VLOOKUP($A310,'1.3.21-28.2.22'!$A$6:$DA$404,75,FALSE)-VLOOKUP($A310,'01-02.2022'!$A$6:$DA$376,75,FALSE)</f>
        <v>0</v>
      </c>
      <c r="BX310" s="566">
        <f>VLOOKUP($A310,'01-02.2021'!$A$6:$CZ$403,76,FALSE)+VLOOKUP($A310,'1.3.21-28.2.22'!$A$6:$DA$404,76,FALSE)-VLOOKUP($A310,'01-02.2022'!$A$6:$DA$376,76,FALSE)</f>
        <v>3.8637582184077672</v>
      </c>
      <c r="BY310" s="70">
        <f t="shared" si="342"/>
        <v>3.8637582184077672</v>
      </c>
      <c r="BZ310" s="566">
        <f>VLOOKUP($A310,'01-02.2021'!$A$6:$CZ$403,78,FALSE)+VLOOKUP($A310,'1.3.21-28.2.22'!$A$6:$DA$404,78,FALSE)-VLOOKUP($A310,'01-02.2022'!$A$6:$DA$376,78,FALSE)</f>
        <v>0</v>
      </c>
      <c r="CA310" s="566">
        <f>VLOOKUP($A310,'01-02.2021'!$A$6:$CZ$403,79,FALSE)+VLOOKUP($A310,'1.3.21-28.2.22'!$A$6:$DA$404,79,FALSE)-VLOOKUP($A310,'01-02.2022'!$A$6:$DA$376,79,FALSE)</f>
        <v>42.259540765496126</v>
      </c>
      <c r="CB310" s="70">
        <f t="shared" si="343"/>
        <v>42.259540765496126</v>
      </c>
      <c r="CC310" s="566">
        <f>VLOOKUP($A310,'01-02.2021'!$A$6:$CZ$403,81,FALSE)+VLOOKUP($A310,'1.3.21-28.2.22'!$A$6:$DA$404,81,FALSE)-VLOOKUP($A310,'01-02.2022'!$A$6:$DA$376,81,FALSE)</f>
        <v>0</v>
      </c>
      <c r="CD310" s="566">
        <f>VLOOKUP($A310,'01-02.2021'!$A$6:$CZ$403,82,FALSE)+VLOOKUP($A310,'1.3.21-28.2.22'!$A$6:$DA$404,82,FALSE)-VLOOKUP($A310,'01-02.2022'!$A$6:$DA$376,82,FALSE)</f>
        <v>0</v>
      </c>
      <c r="CE310" s="70">
        <f t="shared" si="344"/>
        <v>0</v>
      </c>
      <c r="CF310" s="566">
        <f>VLOOKUP($A310,'01-02.2021'!$A$6:$CZ$403,84,FALSE)+VLOOKUP($A310,'1.3.21-28.2.22'!$A$6:$DA$404,84,FALSE)-VLOOKUP($A310,'01-02.2022'!$A$6:$DA$376,84,FALSE)</f>
        <v>0</v>
      </c>
      <c r="CG310" s="566">
        <f>VLOOKUP($A310,'01-02.2021'!$A$6:$CZ$403,85,FALSE)+VLOOKUP($A310,'1.3.21-28.2.22'!$A$6:$DA$404,85,FALSE)-VLOOKUP($A310,'01-02.2022'!$A$6:$DA$376,85,FALSE)</f>
        <v>0</v>
      </c>
      <c r="CH310" s="70">
        <f t="shared" si="345"/>
        <v>0</v>
      </c>
      <c r="CI310" s="566">
        <f>VLOOKUP($A310,'01-02.2021'!$A$6:$CZ$403,87,FALSE)+VLOOKUP($A310,'1.3.21-28.2.22'!$A$6:$DA$404,87,FALSE)-VLOOKUP($A310,'01-02.2022'!$A$6:$DA$376,87,FALSE)</f>
        <v>0</v>
      </c>
      <c r="CJ310" s="566">
        <f>VLOOKUP($A310,'01-02.2021'!$A$6:$CZ$403,88,FALSE)+VLOOKUP($A310,'1.3.21-28.2.22'!$A$6:$DA$404,88,FALSE)-VLOOKUP($A310,'01-02.2022'!$A$6:$DA$376,88,FALSE)</f>
        <v>0</v>
      </c>
      <c r="CK310" s="70">
        <f t="shared" si="346"/>
        <v>0</v>
      </c>
      <c r="CL310" s="566">
        <f>VLOOKUP($A310,'01-02.2021'!$A$6:$CZ$403,90,FALSE)+VLOOKUP($A310,'1.3.21-28.2.22'!$A$6:$DA$404,90,FALSE)-VLOOKUP($A310,'01-02.2022'!$A$6:$DA$376,90,FALSE)</f>
        <v>0</v>
      </c>
      <c r="CM310" s="566">
        <f>VLOOKUP($A310,'01-02.2021'!$A$6:$CZ$403,91,FALSE)+VLOOKUP($A310,'1.3.21-28.2.22'!$A$6:$DA$404,91,FALSE)-VLOOKUP($A310,'01-02.2022'!$A$6:$DA$376,91,FALSE)</f>
        <v>0</v>
      </c>
      <c r="CN310" s="52">
        <f t="shared" si="360"/>
        <v>0</v>
      </c>
      <c r="CO310" s="39">
        <f t="shared" si="355"/>
        <v>0</v>
      </c>
      <c r="CP310" s="40">
        <f t="shared" si="361"/>
        <v>0</v>
      </c>
      <c r="CQ310" s="52">
        <f t="shared" si="362"/>
        <v>0</v>
      </c>
      <c r="CR310" s="72">
        <f t="shared" si="356"/>
        <v>2692.9928360768399</v>
      </c>
      <c r="CS310" s="5">
        <f t="shared" si="356"/>
        <v>1748.3464665425508</v>
      </c>
      <c r="CT310" s="52">
        <f t="shared" si="363"/>
        <v>-944.64636953428908</v>
      </c>
      <c r="CU310" s="77">
        <f t="shared" si="364"/>
        <v>3231.5914032922078</v>
      </c>
      <c r="CV310" s="65">
        <f t="shared" si="365"/>
        <v>2098.0157598510609</v>
      </c>
      <c r="CW310" s="35">
        <f t="shared" si="366"/>
        <v>-1133.5756434411469</v>
      </c>
      <c r="CX310" s="566">
        <f>VLOOKUP($A310,'01-02.2021'!$A$6:$CZ$403,102,FALSE)+VLOOKUP($A310,'1.3.21-28.2.22'!$A$6:$DA$404,102,FALSE)-VLOOKUP($A310,'01-02.2022'!$A$6:$DA$376,102,FALSE)</f>
        <v>91.664634874045333</v>
      </c>
      <c r="CY310" s="566">
        <f>VLOOKUP($A310,'01-02.2021'!$A$6:$CZ$403,103,FALSE)+VLOOKUP($A310,'1.3.21-28.2.22'!$A$6:$DA$404,103,FALSE)-VLOOKUP($A310,'01-02.2022'!$A$6:$DA$376,103,FALSE)</f>
        <v>1225.2402783151933</v>
      </c>
      <c r="CZ310" s="52">
        <f t="shared" si="367"/>
        <v>1133.575643441148</v>
      </c>
      <c r="DA310" s="150">
        <f>'[2]побудинковий звіт'!DA310</f>
        <v>-2921.3518820065328</v>
      </c>
      <c r="DB310" s="2">
        <v>1</v>
      </c>
      <c r="DC310" s="414">
        <f>'[4]побудинковий звіт'!DC310</f>
        <v>301.94</v>
      </c>
      <c r="DD310" s="414">
        <f>'[4]побудинковий звіт'!DD310</f>
        <v>0</v>
      </c>
      <c r="DE310" s="557">
        <f>'[4]побудинковий звіт'!DE310</f>
        <v>1.4583623625412656E-3</v>
      </c>
      <c r="DF310" s="557">
        <f>'[4]побудинковий звіт'!DF310</f>
        <v>0</v>
      </c>
      <c r="DG310" s="321">
        <f>VLOOKUP(A310,'кошти 01.03.2021'!$A$6:$D$401,4,)</f>
        <v>-1901.013038864297</v>
      </c>
      <c r="DH310" s="40">
        <f>'[3]побудинковий звіт'!DJ310</f>
        <v>3441.50383833656</v>
      </c>
      <c r="DI310" s="422">
        <f>'[3]побудинковий звіт'!CU310+'[3]побудинковий звіт'!CX310</f>
        <v>301.93854163763746</v>
      </c>
      <c r="DJ310" s="306">
        <f>'[3]побудинковий звіт'!DM310</f>
        <v>1.7513836521904724</v>
      </c>
      <c r="DK310" s="306">
        <f t="shared" ref="DK310:DK315" si="372">DJ310</f>
        <v>1.7513836521904724</v>
      </c>
      <c r="DL310" s="306">
        <f>'[3]побудинковий звіт'!DO310</f>
        <v>1.7513836521904724</v>
      </c>
      <c r="DM310" s="28">
        <f t="shared" ref="DM310:DM315" si="373">F310*DJ310</f>
        <v>301.93854163763746</v>
      </c>
      <c r="DN310" s="28">
        <f t="shared" ref="DN310:DN315" si="374">H310*DL310</f>
        <v>0</v>
      </c>
      <c r="DO310" s="423">
        <f t="shared" si="319"/>
        <v>301.93854163763746</v>
      </c>
      <c r="DP310" s="94">
        <f t="shared" si="320"/>
        <v>0</v>
      </c>
      <c r="DQ310" s="28">
        <f t="shared" si="321"/>
        <v>301.93854163763746</v>
      </c>
      <c r="DR310" s="318"/>
      <c r="DT310" s="8"/>
      <c r="DU310" s="5"/>
      <c r="DX310" s="5">
        <f t="shared" si="322"/>
        <v>2010.6966390555062</v>
      </c>
      <c r="DY310" s="5">
        <f t="shared" si="323"/>
        <v>0</v>
      </c>
      <c r="DZ310" s="159">
        <f>'[3]побудинковий звіт'!EA310</f>
        <v>192.49943200186436</v>
      </c>
    </row>
    <row r="311" spans="1:130" x14ac:dyDescent="0.3">
      <c r="A311" s="325">
        <v>150000848</v>
      </c>
      <c r="B311" s="41" t="s">
        <v>757</v>
      </c>
      <c r="C311" s="42" t="s">
        <v>187</v>
      </c>
      <c r="D311" s="42"/>
      <c r="E311" s="293">
        <f t="shared" si="353"/>
        <v>261.2</v>
      </c>
      <c r="F311" s="305">
        <f>'[3]побудинковий звіт'!F311</f>
        <v>261.2</v>
      </c>
      <c r="G311" s="508">
        <f>'[3]побудинковий звіт'!G311</f>
        <v>0</v>
      </c>
      <c r="H311" s="560">
        <f>'[3]побудинковий звіт'!H311</f>
        <v>0</v>
      </c>
      <c r="I311" s="566">
        <f>VLOOKUP($A311,'01-02.2021'!$A$6:$CZ$403,9,FALSE)+VLOOKUP($A311,'1.3.21-28.2.22'!$A$6:$DA$404,9,FALSE)-VLOOKUP($A311,'01-02.2022'!$A$6:$DA$376,9,FALSE)</f>
        <v>625.52602964540381</v>
      </c>
      <c r="J311" s="566">
        <f>VLOOKUP($A311,'01-02.2021'!$A$6:$CZ$403,10,FALSE)+VLOOKUP($A311,'1.3.21-28.2.22'!$A$6:$DA$404,10,FALSE)-VLOOKUP($A311,'01-02.2022'!$A$6:$DA$376,10,FALSE)</f>
        <v>706.37130471438968</v>
      </c>
      <c r="K311" s="52">
        <f t="shared" si="357"/>
        <v>80.84527506898587</v>
      </c>
      <c r="L311" s="566">
        <f>VLOOKUP($A311,'01-02.2021'!$A$6:$CZ$403,12,FALSE)+VLOOKUP($A311,'1.3.21-28.2.22'!$A$6:$DA$404,12,FALSE)-VLOOKUP($A311,'01-02.2022'!$A$6:$DA$376,12,FALSE)</f>
        <v>221.08774808439836</v>
      </c>
      <c r="M311" s="566">
        <f>VLOOKUP($A311,'01-02.2021'!$A$6:$CZ$403,13,FALSE)+VLOOKUP($A311,'1.3.21-28.2.22'!$A$6:$DA$404,13,FALSE)-VLOOKUP($A311,'01-02.2022'!$A$6:$DA$376,13,FALSE)</f>
        <v>243.42574500003661</v>
      </c>
      <c r="N311" s="52">
        <f t="shared" si="358"/>
        <v>22.337996915638257</v>
      </c>
      <c r="O311" s="566">
        <f>VLOOKUP($A311,'01-02.2021'!$A$6:$CZ$403,15,FALSE)+VLOOKUP($A311,'1.3.21-28.2.22'!$A$6:$DA$404,15,FALSE)-VLOOKUP($A311,'01-02.2022'!$A$6:$DA$376,15,FALSE)</f>
        <v>130.618998205075</v>
      </c>
      <c r="P311" s="566">
        <f>VLOOKUP($A311,'01-02.2021'!$A$6:$CZ$403,16,FALSE)+VLOOKUP($A311,'1.3.21-28.2.22'!$A$6:$DA$404,16,FALSE)-VLOOKUP($A311,'01-02.2022'!$A$6:$DA$376,16,FALSE)</f>
        <v>0</v>
      </c>
      <c r="Q311" s="70">
        <f t="shared" si="324"/>
        <v>-130.618998205075</v>
      </c>
      <c r="R311" s="566">
        <f>VLOOKUP($A311,'01-02.2021'!$A$6:$CZ$403,18,FALSE)+VLOOKUP($A311,'1.3.21-28.2.22'!$A$6:$DA$404,18,FALSE)-VLOOKUP($A311,'01-02.2022'!$A$6:$DA$376,18,FALSE)</f>
        <v>0</v>
      </c>
      <c r="S311" s="566">
        <f>VLOOKUP($A311,'01-02.2021'!$A$6:$CZ$403,19,FALSE)+VLOOKUP($A311,'1.3.21-28.2.22'!$A$6:$DA$404,19,FALSE)-VLOOKUP($A311,'01-02.2022'!$A$6:$DA$376,19,FALSE)</f>
        <v>0</v>
      </c>
      <c r="T311" s="70">
        <f t="shared" si="325"/>
        <v>0</v>
      </c>
      <c r="U311" s="566">
        <f>VLOOKUP($A311,'01-02.2021'!$A$6:$CZ$403,21,FALSE)+VLOOKUP($A311,'1.3.21-28.2.22'!$A$6:$DA$404,21,FALSE)-VLOOKUP($A311,'01-02.2022'!$A$6:$DA$376,21,FALSE)</f>
        <v>0</v>
      </c>
      <c r="V311" s="566">
        <f>VLOOKUP($A311,'01-02.2021'!$A$6:$CZ$403,22,FALSE)+VLOOKUP($A311,'1.3.21-28.2.22'!$A$6:$DA$404,22,FALSE)-VLOOKUP($A311,'01-02.2022'!$A$6:$DA$376,22,FALSE)</f>
        <v>0</v>
      </c>
      <c r="W311" s="70">
        <f t="shared" si="326"/>
        <v>0</v>
      </c>
      <c r="X311" s="566">
        <f>VLOOKUP($A311,'01-02.2021'!$A$6:$CZ$403,24,FALSE)+VLOOKUP($A311,'1.3.21-28.2.22'!$A$6:$DA$404,24,FALSE)-VLOOKUP($A311,'01-02.2022'!$A$6:$DA$376,24,FALSE)</f>
        <v>492.6805958896561</v>
      </c>
      <c r="Y311" s="566">
        <f>VLOOKUP($A311,'01-02.2021'!$A$6:$CZ$403,25,FALSE)+VLOOKUP($A311,'1.3.21-28.2.22'!$A$6:$DA$404,25,FALSE)-VLOOKUP($A311,'01-02.2022'!$A$6:$DA$376,25,FALSE)</f>
        <v>396.57868032509657</v>
      </c>
      <c r="Z311" s="70">
        <f t="shared" si="327"/>
        <v>-96.101915564559533</v>
      </c>
      <c r="AA311" s="566">
        <f>VLOOKUP($A311,'01-02.2021'!$A$6:$CZ$403,27,FALSE)+VLOOKUP($A311,'1.3.21-28.2.22'!$A$6:$DA$404,27,FALSE)-VLOOKUP($A311,'01-02.2022'!$A$6:$DA$376,27,FALSE)</f>
        <v>52.24</v>
      </c>
      <c r="AB311" s="566">
        <f>VLOOKUP($A311,'01-02.2021'!$A$6:$CZ$403,28,FALSE)+VLOOKUP($A311,'1.3.21-28.2.22'!$A$6:$DA$404,28,FALSE)-VLOOKUP($A311,'01-02.2022'!$A$6:$DA$376,28,FALSE)</f>
        <v>0</v>
      </c>
      <c r="AC311" s="70">
        <f t="shared" si="328"/>
        <v>-52.24</v>
      </c>
      <c r="AD311" s="566">
        <f>VLOOKUP($A311,'01-02.2021'!$A$6:$CZ$403,30,FALSE)+VLOOKUP($A311,'1.3.21-28.2.22'!$A$6:$DA$404,30,FALSE)-VLOOKUP($A311,'01-02.2022'!$A$6:$DA$376,30,FALSE)</f>
        <v>1121.9812356605312</v>
      </c>
      <c r="AE311" s="566">
        <f>VLOOKUP($A311,'01-02.2021'!$A$6:$CZ$403,31,FALSE)+VLOOKUP($A311,'1.3.21-28.2.22'!$A$6:$DA$404,31,FALSE)-VLOOKUP($A311,'01-02.2022'!$A$6:$DA$376,31,FALSE)</f>
        <v>1188.9929243357931</v>
      </c>
      <c r="AF311" s="68">
        <f t="shared" si="329"/>
        <v>67.011688675261894</v>
      </c>
      <c r="AG311" s="77">
        <f t="shared" si="354"/>
        <v>2644.1346074850644</v>
      </c>
      <c r="AH311" s="53">
        <f t="shared" si="354"/>
        <v>2535.3686543753156</v>
      </c>
      <c r="AI311" s="52">
        <f t="shared" si="359"/>
        <v>-108.76595310974881</v>
      </c>
      <c r="AJ311" s="566">
        <f>VLOOKUP($A311,'01-02.2021'!$A$6:$CZ$403,36,FALSE)+VLOOKUP($A311,'1.3.21-28.2.22'!$A$6:$DA$404,36,FALSE)-VLOOKUP($A311,'01-02.2022'!$A$6:$DA$376,36,FALSE)</f>
        <v>0</v>
      </c>
      <c r="AK311" s="566">
        <f>VLOOKUP($A311,'01-02.2021'!$A$6:$CZ$403,37,FALSE)+VLOOKUP($A311,'1.3.21-28.2.22'!$A$6:$DA$404,37,FALSE)-VLOOKUP($A311,'01-02.2022'!$A$6:$DA$376,37,FALSE)</f>
        <v>0</v>
      </c>
      <c r="AL311" s="70">
        <f t="shared" si="330"/>
        <v>0</v>
      </c>
      <c r="AM311" s="566">
        <f>VLOOKUP($A311,'01-02.2021'!$A$6:$CZ$403,39,FALSE)+VLOOKUP($A311,'1.3.21-28.2.22'!$A$6:$DA$404,39,FALSE)-VLOOKUP($A311,'01-02.2022'!$A$6:$DA$376,39,FALSE)</f>
        <v>0</v>
      </c>
      <c r="AN311" s="566">
        <f>VLOOKUP($A311,'01-02.2021'!$A$6:$CZ$403,40,FALSE)+VLOOKUP($A311,'1.3.21-28.2.22'!$A$6:$DA$404,40,FALSE)-VLOOKUP($A311,'01-02.2022'!$A$6:$DA$376,40,FALSE)</f>
        <v>0</v>
      </c>
      <c r="AO311" s="70">
        <f t="shared" si="331"/>
        <v>0</v>
      </c>
      <c r="AP311" s="566">
        <f>VLOOKUP($A311,'01-02.2021'!$A$6:$CZ$403,42,FALSE)+VLOOKUP($A311,'1.3.21-28.2.22'!$A$6:$DA$404,42,FALSE)-VLOOKUP($A311,'01-02.2022'!$A$6:$DA$376,42,FALSE)</f>
        <v>520.55992501277728</v>
      </c>
      <c r="AQ311" s="566">
        <f>VLOOKUP($A311,'01-02.2021'!$A$6:$CZ$403,43,FALSE)+VLOOKUP($A311,'1.3.21-28.2.22'!$A$6:$DA$404,43,FALSE)-VLOOKUP($A311,'01-02.2022'!$A$6:$DA$376,43,FALSE)</f>
        <v>448.76449922990878</v>
      </c>
      <c r="AR311" s="70">
        <f t="shared" si="332"/>
        <v>-71.795425782868506</v>
      </c>
      <c r="AS311" s="566">
        <f>VLOOKUP($A311,'01-02.2021'!$A$6:$CZ$403,45,FALSE)+VLOOKUP($A311,'1.3.21-28.2.22'!$A$6:$DA$404,45,FALSE)-VLOOKUP($A311,'01-02.2022'!$A$6:$DA$376,45,FALSE)</f>
        <v>3288.7089100508069</v>
      </c>
      <c r="AT311" s="566">
        <f>VLOOKUP($A311,'01-02.2021'!$A$6:$CZ$403,46,FALSE)+VLOOKUP($A311,'1.3.21-28.2.22'!$A$6:$DA$404,46,FALSE)-VLOOKUP($A311,'01-02.2022'!$A$6:$DA$376,46,FALSE)</f>
        <v>0</v>
      </c>
      <c r="AU311" s="78">
        <f t="shared" si="333"/>
        <v>-3288.7089100508069</v>
      </c>
      <c r="AV311" s="566">
        <f>VLOOKUP($A311,'01-02.2021'!$A$6:$CZ$403,48,FALSE)+VLOOKUP($A311,'1.3.21-28.2.22'!$A$6:$DA$404,48,FALSE)-VLOOKUP($A311,'01-02.2022'!$A$6:$DA$376,48,FALSE)</f>
        <v>321.44528383117324</v>
      </c>
      <c r="AW311" s="566">
        <f>VLOOKUP($A311,'01-02.2021'!$A$6:$CZ$403,49,FALSE)+VLOOKUP($A311,'1.3.21-28.2.22'!$A$6:$DA$404,49,FALSE)-VLOOKUP($A311,'01-02.2022'!$A$6:$DA$376,49,FALSE)</f>
        <v>0</v>
      </c>
      <c r="AX311" s="55">
        <f t="shared" si="334"/>
        <v>-321.44528383117324</v>
      </c>
      <c r="AY311" s="566">
        <f>VLOOKUP($A311,'01-02.2021'!$A$6:$CZ$403,51,FALSE)+VLOOKUP($A311,'1.3.21-28.2.22'!$A$6:$DA$404,51,FALSE)-VLOOKUP($A311,'01-02.2022'!$A$6:$DA$376,51,FALSE)</f>
        <v>415.87977923242983</v>
      </c>
      <c r="AZ311" s="566">
        <f>VLOOKUP($A311,'01-02.2021'!$A$6:$CZ$403,52,FALSE)+VLOOKUP($A311,'1.3.21-28.2.22'!$A$6:$DA$404,52,FALSE)-VLOOKUP($A311,'01-02.2022'!$A$6:$DA$376,52,FALSE)</f>
        <v>0</v>
      </c>
      <c r="BA311" s="38">
        <f t="shared" si="335"/>
        <v>-415.87977923242983</v>
      </c>
      <c r="BB311" s="566">
        <f>VLOOKUP($A311,'01-02.2021'!$A$6:$CZ$403,54,FALSE)+VLOOKUP($A311,'1.3.21-28.2.22'!$A$6:$DA$404,54,FALSE)-VLOOKUP($A311,'01-02.2022'!$A$6:$DA$376,54,FALSE)</f>
        <v>121.55535217647794</v>
      </c>
      <c r="BC311" s="566">
        <f>VLOOKUP($A311,'01-02.2021'!$A$6:$CZ$403,55,FALSE)+VLOOKUP($A311,'1.3.21-28.2.22'!$A$6:$DA$404,55,FALSE)-VLOOKUP($A311,'01-02.2022'!$A$6:$DA$376,55,FALSE)</f>
        <v>0</v>
      </c>
      <c r="BD311" s="55">
        <f t="shared" si="336"/>
        <v>-121.55535217647794</v>
      </c>
      <c r="BE311" s="566">
        <f>VLOOKUP($A311,'01-02.2021'!$A$6:$CZ$403,57,FALSE)+VLOOKUP($A311,'1.3.21-28.2.22'!$A$6:$DA$404,57,FALSE)-VLOOKUP($A311,'01-02.2022'!$A$6:$DA$376,57,FALSE)</f>
        <v>0</v>
      </c>
      <c r="BF311" s="566">
        <f>VLOOKUP($A311,'01-02.2021'!$A$6:$CZ$403,58,FALSE)+VLOOKUP($A311,'1.3.21-28.2.22'!$A$6:$DA$404,58,FALSE)-VLOOKUP($A311,'01-02.2022'!$A$6:$DA$376,58,FALSE)</f>
        <v>0</v>
      </c>
      <c r="BG311" s="55">
        <f t="shared" si="337"/>
        <v>0</v>
      </c>
      <c r="BH311" s="566">
        <f>VLOOKUP($A311,'01-02.2021'!$A$6:$CZ$403,60,FALSE)+VLOOKUP($A311,'1.3.21-28.2.22'!$A$6:$DA$404,60,FALSE)-VLOOKUP($A311,'01-02.2022'!$A$6:$DA$376,60,FALSE)</f>
        <v>0</v>
      </c>
      <c r="BI311" s="566">
        <f>VLOOKUP($A311,'01-02.2021'!$A$6:$CZ$403,61,FALSE)+VLOOKUP($A311,'1.3.21-28.2.22'!$A$6:$DA$404,61,FALSE)-VLOOKUP($A311,'01-02.2022'!$A$6:$DA$376,61,FALSE)</f>
        <v>0</v>
      </c>
      <c r="BJ311" s="55">
        <f t="shared" si="338"/>
        <v>0</v>
      </c>
      <c r="BK311" s="566">
        <f>VLOOKUP($A311,'01-02.2021'!$A$6:$CZ$403,63,FALSE)+VLOOKUP($A311,'1.3.21-28.2.22'!$A$6:$DA$404,63,FALSE)-VLOOKUP($A311,'01-02.2022'!$A$6:$DA$376,63,FALSE)</f>
        <v>52.121302866423825</v>
      </c>
      <c r="BL311" s="566">
        <f>VLOOKUP($A311,'01-02.2021'!$A$6:$CZ$403,64,FALSE)+VLOOKUP($A311,'1.3.21-28.2.22'!$A$6:$DA$404,64,FALSE)-VLOOKUP($A311,'01-02.2022'!$A$6:$DA$376,64,FALSE)</f>
        <v>0</v>
      </c>
      <c r="BM311" s="55">
        <f t="shared" si="339"/>
        <v>-52.121302866423825</v>
      </c>
      <c r="BN311" s="566">
        <f>VLOOKUP($A311,'01-02.2021'!$A$6:$CZ$403,66,FALSE)+VLOOKUP($A311,'1.3.21-28.2.22'!$A$6:$DA$404,66,FALSE)-VLOOKUP($A311,'01-02.2022'!$A$6:$DA$376,66,FALSE)</f>
        <v>13.06</v>
      </c>
      <c r="BO311" s="566">
        <f>VLOOKUP($A311,'01-02.2021'!$A$6:$CZ$403,67,FALSE)+VLOOKUP($A311,'1.3.21-28.2.22'!$A$6:$DA$404,67,FALSE)-VLOOKUP($A311,'01-02.2022'!$A$6:$DA$376,67,FALSE)</f>
        <v>0</v>
      </c>
      <c r="BP311" s="55">
        <f t="shared" si="340"/>
        <v>-13.06</v>
      </c>
      <c r="BQ311" s="77">
        <f t="shared" si="348"/>
        <v>924.06171810650471</v>
      </c>
      <c r="BR311" s="40">
        <f t="shared" si="349"/>
        <v>0</v>
      </c>
      <c r="BS311" s="55">
        <f t="shared" si="369"/>
        <v>-924.06171810650471</v>
      </c>
      <c r="BT311" s="566">
        <f>VLOOKUP($A311,'01-02.2021'!$A$6:$CZ$403,72,FALSE)+VLOOKUP($A311,'1.3.21-28.2.22'!$A$6:$DA$404,72,FALSE)-VLOOKUP($A311,'01-02.2022'!$A$6:$DA$376,72,FALSE)</f>
        <v>2896.8530729466793</v>
      </c>
      <c r="BU311" s="566">
        <f>VLOOKUP($A311,'01-02.2021'!$A$6:$CZ$403,73,FALSE)+VLOOKUP($A311,'1.3.21-28.2.22'!$A$6:$DA$404,73,FALSE)-VLOOKUP($A311,'01-02.2022'!$A$6:$DA$376,73,FALSE)</f>
        <v>3808.1411570816676</v>
      </c>
      <c r="BV311" s="70">
        <f t="shared" si="341"/>
        <v>911.28808413498837</v>
      </c>
      <c r="BW311" s="566">
        <f>VLOOKUP($A311,'01-02.2021'!$A$6:$CZ$403,75,FALSE)+VLOOKUP($A311,'1.3.21-28.2.22'!$A$6:$DA$404,75,FALSE)-VLOOKUP($A311,'01-02.2022'!$A$6:$DA$376,75,FALSE)</f>
        <v>1909.5760182916331</v>
      </c>
      <c r="BX311" s="566">
        <f>VLOOKUP($A311,'01-02.2021'!$A$6:$CZ$403,76,FALSE)+VLOOKUP($A311,'1.3.21-28.2.22'!$A$6:$DA$404,76,FALSE)-VLOOKUP($A311,'01-02.2022'!$A$6:$DA$376,76,FALSE)</f>
        <v>2223.1278779127088</v>
      </c>
      <c r="BY311" s="70">
        <f t="shared" si="342"/>
        <v>313.55185962107566</v>
      </c>
      <c r="BZ311" s="566">
        <f>VLOOKUP($A311,'01-02.2021'!$A$6:$CZ$403,78,FALSE)+VLOOKUP($A311,'1.3.21-28.2.22'!$A$6:$DA$404,78,FALSE)-VLOOKUP($A311,'01-02.2022'!$A$6:$DA$376,78,FALSE)</f>
        <v>1776.5317854583277</v>
      </c>
      <c r="CA311" s="566">
        <f>VLOOKUP($A311,'01-02.2021'!$A$6:$CZ$403,79,FALSE)+VLOOKUP($A311,'1.3.21-28.2.22'!$A$6:$DA$404,79,FALSE)-VLOOKUP($A311,'01-02.2022'!$A$6:$DA$376,79,FALSE)</f>
        <v>764.24394649707006</v>
      </c>
      <c r="CB311" s="70">
        <f t="shared" si="343"/>
        <v>-1012.2878389612576</v>
      </c>
      <c r="CC311" s="566">
        <f>VLOOKUP($A311,'01-02.2021'!$A$6:$CZ$403,81,FALSE)+VLOOKUP($A311,'1.3.21-28.2.22'!$A$6:$DA$404,81,FALSE)-VLOOKUP($A311,'01-02.2022'!$A$6:$DA$376,81,FALSE)</f>
        <v>0</v>
      </c>
      <c r="CD311" s="566">
        <f>VLOOKUP($A311,'01-02.2021'!$A$6:$CZ$403,82,FALSE)+VLOOKUP($A311,'1.3.21-28.2.22'!$A$6:$DA$404,82,FALSE)-VLOOKUP($A311,'01-02.2022'!$A$6:$DA$376,82,FALSE)</f>
        <v>0</v>
      </c>
      <c r="CE311" s="70">
        <f t="shared" si="344"/>
        <v>0</v>
      </c>
      <c r="CF311" s="566">
        <f>VLOOKUP($A311,'01-02.2021'!$A$6:$CZ$403,84,FALSE)+VLOOKUP($A311,'1.3.21-28.2.22'!$A$6:$DA$404,84,FALSE)-VLOOKUP($A311,'01-02.2022'!$A$6:$DA$376,84,FALSE)</f>
        <v>0</v>
      </c>
      <c r="CG311" s="566">
        <f>VLOOKUP($A311,'01-02.2021'!$A$6:$CZ$403,85,FALSE)+VLOOKUP($A311,'1.3.21-28.2.22'!$A$6:$DA$404,85,FALSE)-VLOOKUP($A311,'01-02.2022'!$A$6:$DA$376,85,FALSE)</f>
        <v>0</v>
      </c>
      <c r="CH311" s="70">
        <f t="shared" si="345"/>
        <v>0</v>
      </c>
      <c r="CI311" s="566">
        <f>VLOOKUP($A311,'01-02.2021'!$A$6:$CZ$403,87,FALSE)+VLOOKUP($A311,'1.3.21-28.2.22'!$A$6:$DA$404,87,FALSE)-VLOOKUP($A311,'01-02.2022'!$A$6:$DA$376,87,FALSE)</f>
        <v>1005.327817668104</v>
      </c>
      <c r="CJ311" s="566">
        <f>VLOOKUP($A311,'01-02.2021'!$A$6:$CZ$403,88,FALSE)+VLOOKUP($A311,'1.3.21-28.2.22'!$A$6:$DA$404,88,FALSE)-VLOOKUP($A311,'01-02.2022'!$A$6:$DA$376,88,FALSE)</f>
        <v>573.09558684416857</v>
      </c>
      <c r="CK311" s="70">
        <f t="shared" si="346"/>
        <v>-432.23223082393542</v>
      </c>
      <c r="CL311" s="566">
        <f>VLOOKUP($A311,'01-02.2021'!$A$6:$CZ$403,90,FALSE)+VLOOKUP($A311,'1.3.21-28.2.22'!$A$6:$DA$404,90,FALSE)-VLOOKUP($A311,'01-02.2022'!$A$6:$DA$376,90,FALSE)</f>
        <v>0</v>
      </c>
      <c r="CM311" s="566">
        <f>VLOOKUP($A311,'01-02.2021'!$A$6:$CZ$403,91,FALSE)+VLOOKUP($A311,'1.3.21-28.2.22'!$A$6:$DA$404,91,FALSE)-VLOOKUP($A311,'01-02.2022'!$A$6:$DA$376,91,FALSE)</f>
        <v>0</v>
      </c>
      <c r="CN311" s="52">
        <f t="shared" si="360"/>
        <v>0</v>
      </c>
      <c r="CO311" s="39">
        <f t="shared" si="355"/>
        <v>1005.327817668104</v>
      </c>
      <c r="CP311" s="40">
        <f t="shared" si="361"/>
        <v>573.09558684416857</v>
      </c>
      <c r="CQ311" s="52">
        <f t="shared" si="362"/>
        <v>-432.23223082393542</v>
      </c>
      <c r="CR311" s="72">
        <f t="shared" si="356"/>
        <v>14965.753855019897</v>
      </c>
      <c r="CS311" s="5">
        <f t="shared" si="356"/>
        <v>10352.74172194084</v>
      </c>
      <c r="CT311" s="52">
        <f t="shared" si="363"/>
        <v>-4613.0121330790571</v>
      </c>
      <c r="CU311" s="77">
        <f t="shared" si="364"/>
        <v>17958.904626023876</v>
      </c>
      <c r="CV311" s="65">
        <f t="shared" si="365"/>
        <v>12423.290066329007</v>
      </c>
      <c r="CW311" s="35">
        <f t="shared" si="366"/>
        <v>-5535.6145596948681</v>
      </c>
      <c r="CX311" s="566">
        <f>VLOOKUP($A311,'01-02.2021'!$A$6:$CZ$403,102,FALSE)+VLOOKUP($A311,'1.3.21-28.2.22'!$A$6:$DA$404,102,FALSE)-VLOOKUP($A311,'01-02.2022'!$A$6:$DA$376,102,FALSE)</f>
        <v>509.02950008120825</v>
      </c>
      <c r="CY311" s="566">
        <f>VLOOKUP($A311,'01-02.2021'!$A$6:$CZ$403,103,FALSE)+VLOOKUP($A311,'1.3.21-28.2.22'!$A$6:$DA$404,103,FALSE)-VLOOKUP($A311,'01-02.2022'!$A$6:$DA$376,103,FALSE)</f>
        <v>6044.6440597760811</v>
      </c>
      <c r="CZ311" s="52">
        <f t="shared" si="367"/>
        <v>5535.6145596948727</v>
      </c>
      <c r="DA311" s="150">
        <f>'[2]побудинковий звіт'!DA311</f>
        <v>-23672.875858121923</v>
      </c>
      <c r="DB311" s="2">
        <v>2</v>
      </c>
      <c r="DC311" s="414">
        <f>'[4]побудинковий звіт'!DC311</f>
        <v>1679.41</v>
      </c>
      <c r="DD311" s="414">
        <f>'[4]побудинковий звіт'!DD311</f>
        <v>0</v>
      </c>
      <c r="DE311" s="557">
        <f>'[4]побудинковий звіт'!DE311</f>
        <v>-9.2282017644720327E-3</v>
      </c>
      <c r="DF311" s="557">
        <f>'[4]побудинковий звіт'!DF311</f>
        <v>0</v>
      </c>
      <c r="DG311" s="321">
        <f>VLOOKUP(A311,'кошти 01.03.2021'!$A$6:$D$401,4,)</f>
        <v>-17980.871588969865</v>
      </c>
      <c r="DH311" s="40">
        <f>'[3]побудинковий звіт'!DJ311</f>
        <v>19132.236269308072</v>
      </c>
      <c r="DI311" s="422">
        <f>'[3]побудинковий звіт'!CU311+'[3]побудинковий звіт'!CX311</f>
        <v>1679.4192282017646</v>
      </c>
      <c r="DJ311" s="306">
        <f>'[3]побудинковий звіт'!DM311</f>
        <v>6.4296295107265111</v>
      </c>
      <c r="DK311" s="306">
        <f t="shared" si="372"/>
        <v>6.4296295107265111</v>
      </c>
      <c r="DL311" s="306">
        <f>'[3]побудинковий звіт'!DO311</f>
        <v>5.5283194960805897</v>
      </c>
      <c r="DM311" s="28">
        <f t="shared" si="373"/>
        <v>1679.4192282017646</v>
      </c>
      <c r="DN311" s="28">
        <f t="shared" si="374"/>
        <v>0</v>
      </c>
      <c r="DO311" s="423">
        <f t="shared" si="319"/>
        <v>1679.4192282017646</v>
      </c>
      <c r="DP311" s="94">
        <f t="shared" si="320"/>
        <v>0</v>
      </c>
      <c r="DQ311" s="28">
        <f t="shared" si="321"/>
        <v>1679.4192282017646</v>
      </c>
      <c r="DR311" s="318"/>
      <c r="DT311" s="8"/>
      <c r="DU311" s="5"/>
      <c r="DX311" s="5">
        <f t="shared" si="322"/>
        <v>5055.3247537887737</v>
      </c>
      <c r="DY311" s="5">
        <f t="shared" si="323"/>
        <v>0</v>
      </c>
      <c r="DZ311" s="159">
        <f>'[3]побудинковий звіт'!EA311</f>
        <v>446.39182655505823</v>
      </c>
    </row>
    <row r="312" spans="1:130" x14ac:dyDescent="0.3">
      <c r="A312" s="325">
        <v>150000835</v>
      </c>
      <c r="B312" s="41" t="s">
        <v>758</v>
      </c>
      <c r="C312" s="42" t="s">
        <v>138</v>
      </c>
      <c r="D312" s="42"/>
      <c r="E312" s="293">
        <f t="shared" si="353"/>
        <v>128.6</v>
      </c>
      <c r="F312" s="305">
        <f>'[3]побудинковий звіт'!F312</f>
        <v>128.6</v>
      </c>
      <c r="G312" s="508">
        <f>'[3]побудинковий звіт'!G312</f>
        <v>0</v>
      </c>
      <c r="H312" s="560">
        <f>'[3]побудинковий звіт'!H312</f>
        <v>0</v>
      </c>
      <c r="I312" s="566">
        <f>VLOOKUP($A312,'01-02.2021'!$A$6:$CZ$403,9,FALSE)+VLOOKUP($A312,'1.3.21-28.2.22'!$A$6:$DA$404,9,FALSE)-VLOOKUP($A312,'01-02.2022'!$A$6:$DA$376,9,FALSE)</f>
        <v>0</v>
      </c>
      <c r="J312" s="566">
        <f>VLOOKUP($A312,'01-02.2021'!$A$6:$CZ$403,10,FALSE)+VLOOKUP($A312,'1.3.21-28.2.22'!$A$6:$DA$404,10,FALSE)-VLOOKUP($A312,'01-02.2022'!$A$6:$DA$376,10,FALSE)</f>
        <v>0</v>
      </c>
      <c r="K312" s="52">
        <f t="shared" si="357"/>
        <v>0</v>
      </c>
      <c r="L312" s="566">
        <f>VLOOKUP($A312,'01-02.2021'!$A$6:$CZ$403,12,FALSE)+VLOOKUP($A312,'1.3.21-28.2.22'!$A$6:$DA$404,12,FALSE)-VLOOKUP($A312,'01-02.2022'!$A$6:$DA$376,12,FALSE)</f>
        <v>0</v>
      </c>
      <c r="M312" s="566">
        <f>VLOOKUP($A312,'01-02.2021'!$A$6:$CZ$403,13,FALSE)+VLOOKUP($A312,'1.3.21-28.2.22'!$A$6:$DA$404,13,FALSE)-VLOOKUP($A312,'01-02.2022'!$A$6:$DA$376,13,FALSE)</f>
        <v>0</v>
      </c>
      <c r="N312" s="52">
        <f t="shared" si="358"/>
        <v>0</v>
      </c>
      <c r="O312" s="566">
        <f>VLOOKUP($A312,'01-02.2021'!$A$6:$CZ$403,15,FALSE)+VLOOKUP($A312,'1.3.21-28.2.22'!$A$6:$DA$404,15,FALSE)-VLOOKUP($A312,'01-02.2022'!$A$6:$DA$376,15,FALSE)</f>
        <v>0</v>
      </c>
      <c r="P312" s="566">
        <f>VLOOKUP($A312,'01-02.2021'!$A$6:$CZ$403,16,FALSE)+VLOOKUP($A312,'1.3.21-28.2.22'!$A$6:$DA$404,16,FALSE)-VLOOKUP($A312,'01-02.2022'!$A$6:$DA$376,16,FALSE)</f>
        <v>0</v>
      </c>
      <c r="Q312" s="70">
        <f t="shared" si="324"/>
        <v>0</v>
      </c>
      <c r="R312" s="566">
        <f>VLOOKUP($A312,'01-02.2021'!$A$6:$CZ$403,18,FALSE)+VLOOKUP($A312,'1.3.21-28.2.22'!$A$6:$DA$404,18,FALSE)-VLOOKUP($A312,'01-02.2022'!$A$6:$DA$376,18,FALSE)</f>
        <v>0</v>
      </c>
      <c r="S312" s="566">
        <f>VLOOKUP($A312,'01-02.2021'!$A$6:$CZ$403,19,FALSE)+VLOOKUP($A312,'1.3.21-28.2.22'!$A$6:$DA$404,19,FALSE)-VLOOKUP($A312,'01-02.2022'!$A$6:$DA$376,19,FALSE)</f>
        <v>0</v>
      </c>
      <c r="T312" s="70">
        <f t="shared" si="325"/>
        <v>0</v>
      </c>
      <c r="U312" s="566">
        <f>VLOOKUP($A312,'01-02.2021'!$A$6:$CZ$403,21,FALSE)+VLOOKUP($A312,'1.3.21-28.2.22'!$A$6:$DA$404,21,FALSE)-VLOOKUP($A312,'01-02.2022'!$A$6:$DA$376,21,FALSE)</f>
        <v>0</v>
      </c>
      <c r="V312" s="566">
        <f>VLOOKUP($A312,'01-02.2021'!$A$6:$CZ$403,22,FALSE)+VLOOKUP($A312,'1.3.21-28.2.22'!$A$6:$DA$404,22,FALSE)-VLOOKUP($A312,'01-02.2022'!$A$6:$DA$376,22,FALSE)</f>
        <v>0</v>
      </c>
      <c r="W312" s="70">
        <f t="shared" si="326"/>
        <v>0</v>
      </c>
      <c r="X312" s="566">
        <f>VLOOKUP($A312,'01-02.2021'!$A$6:$CZ$403,24,FALSE)+VLOOKUP($A312,'1.3.21-28.2.22'!$A$6:$DA$404,24,FALSE)-VLOOKUP($A312,'01-02.2022'!$A$6:$DA$376,24,FALSE)</f>
        <v>0</v>
      </c>
      <c r="Y312" s="566">
        <f>VLOOKUP($A312,'01-02.2021'!$A$6:$CZ$403,25,FALSE)+VLOOKUP($A312,'1.3.21-28.2.22'!$A$6:$DA$404,25,FALSE)-VLOOKUP($A312,'01-02.2022'!$A$6:$DA$376,25,FALSE)</f>
        <v>0</v>
      </c>
      <c r="Z312" s="70">
        <f t="shared" si="327"/>
        <v>0</v>
      </c>
      <c r="AA312" s="566">
        <f>VLOOKUP($A312,'01-02.2021'!$A$6:$CZ$403,27,FALSE)+VLOOKUP($A312,'1.3.21-28.2.22'!$A$6:$DA$404,27,FALSE)-VLOOKUP($A312,'01-02.2022'!$A$6:$DA$376,27,FALSE)</f>
        <v>25.72</v>
      </c>
      <c r="AB312" s="566">
        <f>VLOOKUP($A312,'01-02.2021'!$A$6:$CZ$403,28,FALSE)+VLOOKUP($A312,'1.3.21-28.2.22'!$A$6:$DA$404,28,FALSE)-VLOOKUP($A312,'01-02.2022'!$A$6:$DA$376,28,FALSE)</f>
        <v>0</v>
      </c>
      <c r="AC312" s="70">
        <f t="shared" si="328"/>
        <v>-25.72</v>
      </c>
      <c r="AD312" s="566">
        <f>VLOOKUP($A312,'01-02.2021'!$A$6:$CZ$403,30,FALSE)+VLOOKUP($A312,'1.3.21-28.2.22'!$A$6:$DA$404,30,FALSE)-VLOOKUP($A312,'01-02.2022'!$A$6:$DA$376,30,FALSE)</f>
        <v>205.85327748802206</v>
      </c>
      <c r="AE312" s="566">
        <f>VLOOKUP($A312,'01-02.2021'!$A$6:$CZ$403,31,FALSE)+VLOOKUP($A312,'1.3.21-28.2.22'!$A$6:$DA$404,31,FALSE)-VLOOKUP($A312,'01-02.2022'!$A$6:$DA$376,31,FALSE)</f>
        <v>585.39238158339583</v>
      </c>
      <c r="AF312" s="68">
        <f t="shared" si="329"/>
        <v>379.53910409537377</v>
      </c>
      <c r="AG312" s="77">
        <f t="shared" si="354"/>
        <v>231.57327748802206</v>
      </c>
      <c r="AH312" s="53">
        <f t="shared" si="354"/>
        <v>585.39238158339583</v>
      </c>
      <c r="AI312" s="52">
        <f t="shared" si="359"/>
        <v>353.81910409537375</v>
      </c>
      <c r="AJ312" s="566">
        <f>VLOOKUP($A312,'01-02.2021'!$A$6:$CZ$403,36,FALSE)+VLOOKUP($A312,'1.3.21-28.2.22'!$A$6:$DA$404,36,FALSE)-VLOOKUP($A312,'01-02.2022'!$A$6:$DA$376,36,FALSE)</f>
        <v>0</v>
      </c>
      <c r="AK312" s="566">
        <f>VLOOKUP($A312,'01-02.2021'!$A$6:$CZ$403,37,FALSE)+VLOOKUP($A312,'1.3.21-28.2.22'!$A$6:$DA$404,37,FALSE)-VLOOKUP($A312,'01-02.2022'!$A$6:$DA$376,37,FALSE)</f>
        <v>0</v>
      </c>
      <c r="AL312" s="70">
        <f t="shared" si="330"/>
        <v>0</v>
      </c>
      <c r="AM312" s="566">
        <f>VLOOKUP($A312,'01-02.2021'!$A$6:$CZ$403,39,FALSE)+VLOOKUP($A312,'1.3.21-28.2.22'!$A$6:$DA$404,39,FALSE)-VLOOKUP($A312,'01-02.2022'!$A$6:$DA$376,39,FALSE)</f>
        <v>0</v>
      </c>
      <c r="AN312" s="566">
        <f>VLOOKUP($A312,'01-02.2021'!$A$6:$CZ$403,40,FALSE)+VLOOKUP($A312,'1.3.21-28.2.22'!$A$6:$DA$404,40,FALSE)-VLOOKUP($A312,'01-02.2022'!$A$6:$DA$376,40,FALSE)</f>
        <v>0</v>
      </c>
      <c r="AO312" s="70">
        <f t="shared" si="331"/>
        <v>0</v>
      </c>
      <c r="AP312" s="566">
        <f>VLOOKUP($A312,'01-02.2021'!$A$6:$CZ$403,42,FALSE)+VLOOKUP($A312,'1.3.21-28.2.22'!$A$6:$DA$404,42,FALSE)-VLOOKUP($A312,'01-02.2022'!$A$6:$DA$376,42,FALSE)</f>
        <v>347.03995000851819</v>
      </c>
      <c r="AQ312" s="566">
        <f>VLOOKUP($A312,'01-02.2021'!$A$6:$CZ$403,43,FALSE)+VLOOKUP($A312,'1.3.21-28.2.22'!$A$6:$DA$404,43,FALSE)-VLOOKUP($A312,'01-02.2022'!$A$6:$DA$376,43,FALSE)</f>
        <v>299.17633281993915</v>
      </c>
      <c r="AR312" s="70">
        <f t="shared" si="332"/>
        <v>-47.863617188579042</v>
      </c>
      <c r="AS312" s="566">
        <f>VLOOKUP($A312,'01-02.2021'!$A$6:$CZ$403,45,FALSE)+VLOOKUP($A312,'1.3.21-28.2.22'!$A$6:$DA$404,45,FALSE)-VLOOKUP($A312,'01-02.2022'!$A$6:$DA$376,45,FALSE)</f>
        <v>1539.3441943382065</v>
      </c>
      <c r="AT312" s="566">
        <f>VLOOKUP($A312,'01-02.2021'!$A$6:$CZ$403,46,FALSE)+VLOOKUP($A312,'1.3.21-28.2.22'!$A$6:$DA$404,46,FALSE)-VLOOKUP($A312,'01-02.2022'!$A$6:$DA$376,46,FALSE)</f>
        <v>0</v>
      </c>
      <c r="AU312" s="78">
        <f t="shared" si="333"/>
        <v>-1539.3441943382065</v>
      </c>
      <c r="AV312" s="566">
        <f>VLOOKUP($A312,'01-02.2021'!$A$6:$CZ$403,48,FALSE)+VLOOKUP($A312,'1.3.21-28.2.22'!$A$6:$DA$404,48,FALSE)-VLOOKUP($A312,'01-02.2022'!$A$6:$DA$376,48,FALSE)</f>
        <v>0</v>
      </c>
      <c r="AW312" s="566">
        <f>VLOOKUP($A312,'01-02.2021'!$A$6:$CZ$403,49,FALSE)+VLOOKUP($A312,'1.3.21-28.2.22'!$A$6:$DA$404,49,FALSE)-VLOOKUP($A312,'01-02.2022'!$A$6:$DA$376,49,FALSE)</f>
        <v>0</v>
      </c>
      <c r="AX312" s="55">
        <f t="shared" si="334"/>
        <v>0</v>
      </c>
      <c r="AY312" s="566">
        <f>VLOOKUP($A312,'01-02.2021'!$A$6:$CZ$403,51,FALSE)+VLOOKUP($A312,'1.3.21-28.2.22'!$A$6:$DA$404,51,FALSE)-VLOOKUP($A312,'01-02.2022'!$A$6:$DA$376,51,FALSE)</f>
        <v>0</v>
      </c>
      <c r="AZ312" s="566">
        <f>VLOOKUP($A312,'01-02.2021'!$A$6:$CZ$403,52,FALSE)+VLOOKUP($A312,'1.3.21-28.2.22'!$A$6:$DA$404,52,FALSE)-VLOOKUP($A312,'01-02.2022'!$A$6:$DA$376,52,FALSE)</f>
        <v>0</v>
      </c>
      <c r="BA312" s="38">
        <f t="shared" si="335"/>
        <v>0</v>
      </c>
      <c r="BB312" s="566">
        <f>VLOOKUP($A312,'01-02.2021'!$A$6:$CZ$403,54,FALSE)+VLOOKUP($A312,'1.3.21-28.2.22'!$A$6:$DA$404,54,FALSE)-VLOOKUP($A312,'01-02.2022'!$A$6:$DA$376,54,FALSE)</f>
        <v>0</v>
      </c>
      <c r="BC312" s="566">
        <f>VLOOKUP($A312,'01-02.2021'!$A$6:$CZ$403,55,FALSE)+VLOOKUP($A312,'1.3.21-28.2.22'!$A$6:$DA$404,55,FALSE)-VLOOKUP($A312,'01-02.2022'!$A$6:$DA$376,55,FALSE)</f>
        <v>0</v>
      </c>
      <c r="BD312" s="55">
        <f t="shared" si="336"/>
        <v>0</v>
      </c>
      <c r="BE312" s="566">
        <f>VLOOKUP($A312,'01-02.2021'!$A$6:$CZ$403,57,FALSE)+VLOOKUP($A312,'1.3.21-28.2.22'!$A$6:$DA$404,57,FALSE)-VLOOKUP($A312,'01-02.2022'!$A$6:$DA$376,57,FALSE)</f>
        <v>0</v>
      </c>
      <c r="BF312" s="566">
        <f>VLOOKUP($A312,'01-02.2021'!$A$6:$CZ$403,58,FALSE)+VLOOKUP($A312,'1.3.21-28.2.22'!$A$6:$DA$404,58,FALSE)-VLOOKUP($A312,'01-02.2022'!$A$6:$DA$376,58,FALSE)</f>
        <v>0</v>
      </c>
      <c r="BG312" s="55">
        <f t="shared" si="337"/>
        <v>0</v>
      </c>
      <c r="BH312" s="566">
        <f>VLOOKUP($A312,'01-02.2021'!$A$6:$CZ$403,60,FALSE)+VLOOKUP($A312,'1.3.21-28.2.22'!$A$6:$DA$404,60,FALSE)-VLOOKUP($A312,'01-02.2022'!$A$6:$DA$376,60,FALSE)</f>
        <v>0</v>
      </c>
      <c r="BI312" s="566">
        <f>VLOOKUP($A312,'01-02.2021'!$A$6:$CZ$403,61,FALSE)+VLOOKUP($A312,'1.3.21-28.2.22'!$A$6:$DA$404,61,FALSE)-VLOOKUP($A312,'01-02.2022'!$A$6:$DA$376,61,FALSE)</f>
        <v>0</v>
      </c>
      <c r="BJ312" s="55">
        <f t="shared" si="338"/>
        <v>0</v>
      </c>
      <c r="BK312" s="566">
        <f>VLOOKUP($A312,'01-02.2021'!$A$6:$CZ$403,63,FALSE)+VLOOKUP($A312,'1.3.21-28.2.22'!$A$6:$DA$404,63,FALSE)-VLOOKUP($A312,'01-02.2022'!$A$6:$DA$376,63,FALSE)</f>
        <v>0</v>
      </c>
      <c r="BL312" s="566">
        <f>VLOOKUP($A312,'01-02.2021'!$A$6:$CZ$403,64,FALSE)+VLOOKUP($A312,'1.3.21-28.2.22'!$A$6:$DA$404,64,FALSE)-VLOOKUP($A312,'01-02.2022'!$A$6:$DA$376,64,FALSE)</f>
        <v>0</v>
      </c>
      <c r="BM312" s="55">
        <f t="shared" si="339"/>
        <v>0</v>
      </c>
      <c r="BN312" s="566">
        <f>VLOOKUP($A312,'01-02.2021'!$A$6:$CZ$403,66,FALSE)+VLOOKUP($A312,'1.3.21-28.2.22'!$A$6:$DA$404,66,FALSE)-VLOOKUP($A312,'01-02.2022'!$A$6:$DA$376,66,FALSE)</f>
        <v>6.43</v>
      </c>
      <c r="BO312" s="566">
        <f>VLOOKUP($A312,'01-02.2021'!$A$6:$CZ$403,67,FALSE)+VLOOKUP($A312,'1.3.21-28.2.22'!$A$6:$DA$404,67,FALSE)-VLOOKUP($A312,'01-02.2022'!$A$6:$DA$376,67,FALSE)</f>
        <v>0</v>
      </c>
      <c r="BP312" s="55">
        <f t="shared" si="340"/>
        <v>-6.43</v>
      </c>
      <c r="BQ312" s="77">
        <f t="shared" si="348"/>
        <v>6.43</v>
      </c>
      <c r="BR312" s="40">
        <f t="shared" si="349"/>
        <v>0</v>
      </c>
      <c r="BS312" s="55">
        <f t="shared" si="369"/>
        <v>-6.43</v>
      </c>
      <c r="BT312" s="566">
        <f>VLOOKUP($A312,'01-02.2021'!$A$6:$CZ$403,72,FALSE)+VLOOKUP($A312,'1.3.21-28.2.22'!$A$6:$DA$404,72,FALSE)-VLOOKUP($A312,'01-02.2022'!$A$6:$DA$376,72,FALSE)</f>
        <v>83.744537639691274</v>
      </c>
      <c r="BU312" s="566">
        <f>VLOOKUP($A312,'01-02.2021'!$A$6:$CZ$403,73,FALSE)+VLOOKUP($A312,'1.3.21-28.2.22'!$A$6:$DA$404,73,FALSE)-VLOOKUP($A312,'01-02.2022'!$A$6:$DA$376,73,FALSE)</f>
        <v>129.88203058122053</v>
      </c>
      <c r="BV312" s="70">
        <f t="shared" si="341"/>
        <v>46.13749294152926</v>
      </c>
      <c r="BW312" s="566">
        <f>VLOOKUP($A312,'01-02.2021'!$A$6:$CZ$403,75,FALSE)+VLOOKUP($A312,'1.3.21-28.2.22'!$A$6:$DA$404,75,FALSE)-VLOOKUP($A312,'01-02.2022'!$A$6:$DA$376,75,FALSE)</f>
        <v>0</v>
      </c>
      <c r="BX312" s="566">
        <f>VLOOKUP($A312,'01-02.2021'!$A$6:$CZ$403,76,FALSE)+VLOOKUP($A312,'1.3.21-28.2.22'!$A$6:$DA$404,76,FALSE)-VLOOKUP($A312,'01-02.2022'!$A$6:$DA$376,76,FALSE)</f>
        <v>2.8821305503900163</v>
      </c>
      <c r="BY312" s="70">
        <f t="shared" si="342"/>
        <v>2.8821305503900163</v>
      </c>
      <c r="BZ312" s="566">
        <f>VLOOKUP($A312,'01-02.2021'!$A$6:$CZ$403,78,FALSE)+VLOOKUP($A312,'1.3.21-28.2.22'!$A$6:$DA$404,78,FALSE)-VLOOKUP($A312,'01-02.2022'!$A$6:$DA$376,78,FALSE)</f>
        <v>0</v>
      </c>
      <c r="CA312" s="566">
        <f>VLOOKUP($A312,'01-02.2021'!$A$6:$CZ$403,79,FALSE)+VLOOKUP($A312,'1.3.21-28.2.22'!$A$6:$DA$404,79,FALSE)-VLOOKUP($A312,'01-02.2022'!$A$6:$DA$376,79,FALSE)</f>
        <v>7.9219753390014844</v>
      </c>
      <c r="CB312" s="70">
        <f t="shared" si="343"/>
        <v>7.9219753390014844</v>
      </c>
      <c r="CC312" s="566">
        <f>VLOOKUP($A312,'01-02.2021'!$A$6:$CZ$403,81,FALSE)+VLOOKUP($A312,'1.3.21-28.2.22'!$A$6:$DA$404,81,FALSE)-VLOOKUP($A312,'01-02.2022'!$A$6:$DA$376,81,FALSE)</f>
        <v>0</v>
      </c>
      <c r="CD312" s="566">
        <f>VLOOKUP($A312,'01-02.2021'!$A$6:$CZ$403,82,FALSE)+VLOOKUP($A312,'1.3.21-28.2.22'!$A$6:$DA$404,82,FALSE)-VLOOKUP($A312,'01-02.2022'!$A$6:$DA$376,82,FALSE)</f>
        <v>0</v>
      </c>
      <c r="CE312" s="70">
        <f t="shared" si="344"/>
        <v>0</v>
      </c>
      <c r="CF312" s="566">
        <f>VLOOKUP($A312,'01-02.2021'!$A$6:$CZ$403,84,FALSE)+VLOOKUP($A312,'1.3.21-28.2.22'!$A$6:$DA$404,84,FALSE)-VLOOKUP($A312,'01-02.2022'!$A$6:$DA$376,84,FALSE)</f>
        <v>0</v>
      </c>
      <c r="CG312" s="566">
        <f>VLOOKUP($A312,'01-02.2021'!$A$6:$CZ$403,85,FALSE)+VLOOKUP($A312,'1.3.21-28.2.22'!$A$6:$DA$404,85,FALSE)-VLOOKUP($A312,'01-02.2022'!$A$6:$DA$376,85,FALSE)</f>
        <v>0</v>
      </c>
      <c r="CH312" s="70">
        <f t="shared" si="345"/>
        <v>0</v>
      </c>
      <c r="CI312" s="566">
        <f>VLOOKUP($A312,'01-02.2021'!$A$6:$CZ$403,87,FALSE)+VLOOKUP($A312,'1.3.21-28.2.22'!$A$6:$DA$404,87,FALSE)-VLOOKUP($A312,'01-02.2022'!$A$6:$DA$376,87,FALSE)</f>
        <v>0</v>
      </c>
      <c r="CJ312" s="566">
        <f>VLOOKUP($A312,'01-02.2021'!$A$6:$CZ$403,88,FALSE)+VLOOKUP($A312,'1.3.21-28.2.22'!$A$6:$DA$404,88,FALSE)-VLOOKUP($A312,'01-02.2022'!$A$6:$DA$376,88,FALSE)</f>
        <v>0</v>
      </c>
      <c r="CK312" s="70">
        <f t="shared" si="346"/>
        <v>0</v>
      </c>
      <c r="CL312" s="566">
        <f>VLOOKUP($A312,'01-02.2021'!$A$6:$CZ$403,90,FALSE)+VLOOKUP($A312,'1.3.21-28.2.22'!$A$6:$DA$404,90,FALSE)-VLOOKUP($A312,'01-02.2022'!$A$6:$DA$376,90,FALSE)</f>
        <v>0</v>
      </c>
      <c r="CM312" s="566">
        <f>VLOOKUP($A312,'01-02.2021'!$A$6:$CZ$403,91,FALSE)+VLOOKUP($A312,'1.3.21-28.2.22'!$A$6:$DA$404,91,FALSE)-VLOOKUP($A312,'01-02.2022'!$A$6:$DA$376,91,FALSE)</f>
        <v>0</v>
      </c>
      <c r="CN312" s="52">
        <f t="shared" si="360"/>
        <v>0</v>
      </c>
      <c r="CO312" s="39">
        <f t="shared" si="355"/>
        <v>0</v>
      </c>
      <c r="CP312" s="40">
        <f t="shared" si="361"/>
        <v>0</v>
      </c>
      <c r="CQ312" s="52">
        <f t="shared" si="362"/>
        <v>0</v>
      </c>
      <c r="CR312" s="72">
        <f t="shared" si="356"/>
        <v>2208.1319594744382</v>
      </c>
      <c r="CS312" s="5">
        <f t="shared" si="356"/>
        <v>1025.2548508739469</v>
      </c>
      <c r="CT312" s="52">
        <f t="shared" si="363"/>
        <v>-1182.8771086004913</v>
      </c>
      <c r="CU312" s="77">
        <f t="shared" si="364"/>
        <v>2649.7583513693257</v>
      </c>
      <c r="CV312" s="65">
        <f t="shared" si="365"/>
        <v>1230.3058210487363</v>
      </c>
      <c r="CW312" s="35">
        <f t="shared" si="366"/>
        <v>-1419.4525303205894</v>
      </c>
      <c r="CX312" s="566">
        <f>VLOOKUP($A312,'01-02.2021'!$A$6:$CZ$403,102,FALSE)+VLOOKUP($A312,'1.3.21-28.2.22'!$A$6:$DA$404,102,FALSE)-VLOOKUP($A312,'01-02.2022'!$A$6:$DA$376,102,FALSE)</f>
        <v>75.171951296095045</v>
      </c>
      <c r="CY312" s="566">
        <f>VLOOKUP($A312,'01-02.2021'!$A$6:$CZ$403,103,FALSE)+VLOOKUP($A312,'1.3.21-28.2.22'!$A$6:$DA$404,103,FALSE)-VLOOKUP($A312,'01-02.2022'!$A$6:$DA$376,103,FALSE)</f>
        <v>1494.6244816166836</v>
      </c>
      <c r="CZ312" s="52">
        <f t="shared" si="367"/>
        <v>1419.4525303205885</v>
      </c>
      <c r="DA312" s="150">
        <f>'[2]побудинковий звіт'!DA312</f>
        <v>2716.0946048655273</v>
      </c>
      <c r="DB312" s="2">
        <v>2</v>
      </c>
      <c r="DC312" s="414">
        <f>'[4]побудинковий звіт'!DC312</f>
        <v>2576.11</v>
      </c>
      <c r="DD312" s="414">
        <f>'[4]побудинковий звіт'!DD312</f>
        <v>0</v>
      </c>
      <c r="DE312" s="557">
        <f>'[4]побудинковий звіт'!DE312</f>
        <v>2328.576954855499</v>
      </c>
      <c r="DF312" s="557">
        <f>'[4]побудинковий звіт'!DF312</f>
        <v>0</v>
      </c>
      <c r="DG312" s="321">
        <f>VLOOKUP(A312,'кошти 01.03.2021'!$A$6:$D$401,4,)</f>
        <v>4237.4786455679623</v>
      </c>
      <c r="DH312" s="40">
        <f>'[3]побудинковий звіт'!DJ312</f>
        <v>2821.6775033253512</v>
      </c>
      <c r="DI312" s="422">
        <f>'[3]побудинковий звіт'!CU312+'[3]побудинковий звіт'!CX312</f>
        <v>247.5330451445013</v>
      </c>
      <c r="DJ312" s="306">
        <f>'[3]побудинковий звіт'!DM312</f>
        <v>1.9248292779510208</v>
      </c>
      <c r="DK312" s="306">
        <f t="shared" si="372"/>
        <v>1.9248292779510208</v>
      </c>
      <c r="DL312" s="306">
        <f>'[3]побудинковий звіт'!DO312</f>
        <v>1.9248292779510208</v>
      </c>
      <c r="DM312" s="28">
        <f t="shared" si="373"/>
        <v>247.53304514450127</v>
      </c>
      <c r="DN312" s="28">
        <f t="shared" si="374"/>
        <v>0</v>
      </c>
      <c r="DO312" s="423">
        <f t="shared" si="319"/>
        <v>247.53304514450127</v>
      </c>
      <c r="DP312" s="94">
        <f t="shared" si="320"/>
        <v>0</v>
      </c>
      <c r="DQ312" s="28">
        <f t="shared" si="321"/>
        <v>247.53304514450127</v>
      </c>
      <c r="DR312" s="318"/>
      <c r="DT312" s="8"/>
      <c r="DU312" s="5"/>
      <c r="DX312" s="5">
        <f t="shared" si="322"/>
        <v>1854.9290332058479</v>
      </c>
      <c r="DY312" s="5">
        <f t="shared" si="323"/>
        <v>0</v>
      </c>
      <c r="DZ312" s="159">
        <f>'[3]побудинковий звіт'!EA312</f>
        <v>191.63800915636733</v>
      </c>
    </row>
    <row r="313" spans="1:130" x14ac:dyDescent="0.3">
      <c r="A313" s="325">
        <v>150000845</v>
      </c>
      <c r="B313" s="41" t="s">
        <v>759</v>
      </c>
      <c r="C313" s="42" t="s">
        <v>139</v>
      </c>
      <c r="D313" s="42"/>
      <c r="E313" s="293">
        <f t="shared" si="353"/>
        <v>252.8</v>
      </c>
      <c r="F313" s="305">
        <f>'[3]побудинковий звіт'!F313</f>
        <v>252.8</v>
      </c>
      <c r="G313" s="508">
        <f>'[3]побудинковий звіт'!G313</f>
        <v>0</v>
      </c>
      <c r="H313" s="560">
        <f>'[3]побудинковий звіт'!H313</f>
        <v>0</v>
      </c>
      <c r="I313" s="566">
        <f>VLOOKUP($A313,'01-02.2021'!$A$6:$CZ$403,9,FALSE)+VLOOKUP($A313,'1.3.21-28.2.22'!$A$6:$DA$404,9,FALSE)-VLOOKUP($A313,'01-02.2022'!$A$6:$DA$376,9,FALSE)</f>
        <v>0</v>
      </c>
      <c r="J313" s="566">
        <f>VLOOKUP($A313,'01-02.2021'!$A$6:$CZ$403,10,FALSE)+VLOOKUP($A313,'1.3.21-28.2.22'!$A$6:$DA$404,10,FALSE)-VLOOKUP($A313,'01-02.2022'!$A$6:$DA$376,10,FALSE)</f>
        <v>0</v>
      </c>
      <c r="K313" s="52">
        <f t="shared" si="357"/>
        <v>0</v>
      </c>
      <c r="L313" s="566">
        <f>VLOOKUP($A313,'01-02.2021'!$A$6:$CZ$403,12,FALSE)+VLOOKUP($A313,'1.3.21-28.2.22'!$A$6:$DA$404,12,FALSE)-VLOOKUP($A313,'01-02.2022'!$A$6:$DA$376,12,FALSE)</f>
        <v>0</v>
      </c>
      <c r="M313" s="566">
        <f>VLOOKUP($A313,'01-02.2021'!$A$6:$CZ$403,13,FALSE)+VLOOKUP($A313,'1.3.21-28.2.22'!$A$6:$DA$404,13,FALSE)-VLOOKUP($A313,'01-02.2022'!$A$6:$DA$376,13,FALSE)</f>
        <v>0</v>
      </c>
      <c r="N313" s="52">
        <f t="shared" si="358"/>
        <v>0</v>
      </c>
      <c r="O313" s="566">
        <f>VLOOKUP($A313,'01-02.2021'!$A$6:$CZ$403,15,FALSE)+VLOOKUP($A313,'1.3.21-28.2.22'!$A$6:$DA$404,15,FALSE)-VLOOKUP($A313,'01-02.2022'!$A$6:$DA$376,15,FALSE)</f>
        <v>0</v>
      </c>
      <c r="P313" s="566">
        <f>VLOOKUP($A313,'01-02.2021'!$A$6:$CZ$403,16,FALSE)+VLOOKUP($A313,'1.3.21-28.2.22'!$A$6:$DA$404,16,FALSE)-VLOOKUP($A313,'01-02.2022'!$A$6:$DA$376,16,FALSE)</f>
        <v>0</v>
      </c>
      <c r="Q313" s="70">
        <f t="shared" si="324"/>
        <v>0</v>
      </c>
      <c r="R313" s="566">
        <f>VLOOKUP($A313,'01-02.2021'!$A$6:$CZ$403,18,FALSE)+VLOOKUP($A313,'1.3.21-28.2.22'!$A$6:$DA$404,18,FALSE)-VLOOKUP($A313,'01-02.2022'!$A$6:$DA$376,18,FALSE)</f>
        <v>0</v>
      </c>
      <c r="S313" s="566">
        <f>VLOOKUP($A313,'01-02.2021'!$A$6:$CZ$403,19,FALSE)+VLOOKUP($A313,'1.3.21-28.2.22'!$A$6:$DA$404,19,FALSE)-VLOOKUP($A313,'01-02.2022'!$A$6:$DA$376,19,FALSE)</f>
        <v>0</v>
      </c>
      <c r="T313" s="70">
        <f t="shared" si="325"/>
        <v>0</v>
      </c>
      <c r="U313" s="566">
        <f>VLOOKUP($A313,'01-02.2021'!$A$6:$CZ$403,21,FALSE)+VLOOKUP($A313,'1.3.21-28.2.22'!$A$6:$DA$404,21,FALSE)-VLOOKUP($A313,'01-02.2022'!$A$6:$DA$376,21,FALSE)</f>
        <v>0</v>
      </c>
      <c r="V313" s="566">
        <f>VLOOKUP($A313,'01-02.2021'!$A$6:$CZ$403,22,FALSE)+VLOOKUP($A313,'1.3.21-28.2.22'!$A$6:$DA$404,22,FALSE)-VLOOKUP($A313,'01-02.2022'!$A$6:$DA$376,22,FALSE)</f>
        <v>0</v>
      </c>
      <c r="W313" s="70">
        <f t="shared" si="326"/>
        <v>0</v>
      </c>
      <c r="X313" s="566">
        <f>VLOOKUP($A313,'01-02.2021'!$A$6:$CZ$403,24,FALSE)+VLOOKUP($A313,'1.3.21-28.2.22'!$A$6:$DA$404,24,FALSE)-VLOOKUP($A313,'01-02.2022'!$A$6:$DA$376,24,FALSE)</f>
        <v>0</v>
      </c>
      <c r="Y313" s="566">
        <f>VLOOKUP($A313,'01-02.2021'!$A$6:$CZ$403,25,FALSE)+VLOOKUP($A313,'1.3.21-28.2.22'!$A$6:$DA$404,25,FALSE)-VLOOKUP($A313,'01-02.2022'!$A$6:$DA$376,25,FALSE)</f>
        <v>0</v>
      </c>
      <c r="Z313" s="70">
        <f t="shared" si="327"/>
        <v>0</v>
      </c>
      <c r="AA313" s="566">
        <f>VLOOKUP($A313,'01-02.2021'!$A$6:$CZ$403,27,FALSE)+VLOOKUP($A313,'1.3.21-28.2.22'!$A$6:$DA$404,27,FALSE)-VLOOKUP($A313,'01-02.2022'!$A$6:$DA$376,27,FALSE)</f>
        <v>50.56</v>
      </c>
      <c r="AB313" s="566">
        <f>VLOOKUP($A313,'01-02.2021'!$A$6:$CZ$403,28,FALSE)+VLOOKUP($A313,'1.3.21-28.2.22'!$A$6:$DA$404,28,FALSE)-VLOOKUP($A313,'01-02.2022'!$A$6:$DA$376,28,FALSE)</f>
        <v>0</v>
      </c>
      <c r="AC313" s="70">
        <f t="shared" si="328"/>
        <v>-50.56</v>
      </c>
      <c r="AD313" s="566">
        <f>VLOOKUP($A313,'01-02.2021'!$A$6:$CZ$403,30,FALSE)+VLOOKUP($A313,'1.3.21-28.2.22'!$A$6:$DA$404,30,FALSE)-VLOOKUP($A313,'01-02.2022'!$A$6:$DA$376,30,FALSE)</f>
        <v>404.77688879019308</v>
      </c>
      <c r="AE313" s="566">
        <f>VLOOKUP($A313,'01-02.2021'!$A$6:$CZ$403,31,FALSE)+VLOOKUP($A313,'1.3.21-28.2.22'!$A$6:$DA$404,31,FALSE)-VLOOKUP($A313,'01-02.2022'!$A$6:$DA$376,31,FALSE)</f>
        <v>1150.7557858808898</v>
      </c>
      <c r="AF313" s="68">
        <f t="shared" si="329"/>
        <v>745.97889709069671</v>
      </c>
      <c r="AG313" s="77">
        <f t="shared" si="354"/>
        <v>455.33688879019309</v>
      </c>
      <c r="AH313" s="53">
        <f t="shared" si="354"/>
        <v>1150.7557858808898</v>
      </c>
      <c r="AI313" s="52">
        <f t="shared" si="359"/>
        <v>695.41889709069665</v>
      </c>
      <c r="AJ313" s="566">
        <f>VLOOKUP($A313,'01-02.2021'!$A$6:$CZ$403,36,FALSE)+VLOOKUP($A313,'1.3.21-28.2.22'!$A$6:$DA$404,36,FALSE)-VLOOKUP($A313,'01-02.2022'!$A$6:$DA$376,36,FALSE)</f>
        <v>0</v>
      </c>
      <c r="AK313" s="566">
        <f>VLOOKUP($A313,'01-02.2021'!$A$6:$CZ$403,37,FALSE)+VLOOKUP($A313,'1.3.21-28.2.22'!$A$6:$DA$404,37,FALSE)-VLOOKUP($A313,'01-02.2022'!$A$6:$DA$376,37,FALSE)</f>
        <v>0</v>
      </c>
      <c r="AL313" s="70">
        <f t="shared" si="330"/>
        <v>0</v>
      </c>
      <c r="AM313" s="566">
        <f>VLOOKUP($A313,'01-02.2021'!$A$6:$CZ$403,39,FALSE)+VLOOKUP($A313,'1.3.21-28.2.22'!$A$6:$DA$404,39,FALSE)-VLOOKUP($A313,'01-02.2022'!$A$6:$DA$376,39,FALSE)</f>
        <v>0</v>
      </c>
      <c r="AN313" s="566">
        <f>VLOOKUP($A313,'01-02.2021'!$A$6:$CZ$403,40,FALSE)+VLOOKUP($A313,'1.3.21-28.2.22'!$A$6:$DA$404,40,FALSE)-VLOOKUP($A313,'01-02.2022'!$A$6:$DA$376,40,FALSE)</f>
        <v>0</v>
      </c>
      <c r="AO313" s="70">
        <f t="shared" si="331"/>
        <v>0</v>
      </c>
      <c r="AP313" s="566">
        <f>VLOOKUP($A313,'01-02.2021'!$A$6:$CZ$403,42,FALSE)+VLOOKUP($A313,'1.3.21-28.2.22'!$A$6:$DA$404,42,FALSE)-VLOOKUP($A313,'01-02.2022'!$A$6:$DA$376,42,FALSE)</f>
        <v>347.03995000851819</v>
      </c>
      <c r="AQ313" s="566">
        <f>VLOOKUP($A313,'01-02.2021'!$A$6:$CZ$403,43,FALSE)+VLOOKUP($A313,'1.3.21-28.2.22'!$A$6:$DA$404,43,FALSE)-VLOOKUP($A313,'01-02.2022'!$A$6:$DA$376,43,FALSE)</f>
        <v>299.17633281993915</v>
      </c>
      <c r="AR313" s="70">
        <f t="shared" si="332"/>
        <v>-47.863617188579042</v>
      </c>
      <c r="AS313" s="566">
        <f>VLOOKUP($A313,'01-02.2021'!$A$6:$CZ$403,45,FALSE)+VLOOKUP($A313,'1.3.21-28.2.22'!$A$6:$DA$404,45,FALSE)-VLOOKUP($A313,'01-02.2022'!$A$6:$DA$376,45,FALSE)</f>
        <v>3360.4827525433484</v>
      </c>
      <c r="AT313" s="566">
        <f>VLOOKUP($A313,'01-02.2021'!$A$6:$CZ$403,46,FALSE)+VLOOKUP($A313,'1.3.21-28.2.22'!$A$6:$DA$404,46,FALSE)-VLOOKUP($A313,'01-02.2022'!$A$6:$DA$376,46,FALSE)</f>
        <v>0</v>
      </c>
      <c r="AU313" s="78">
        <f t="shared" si="333"/>
        <v>-3360.4827525433484</v>
      </c>
      <c r="AV313" s="566">
        <f>VLOOKUP($A313,'01-02.2021'!$A$6:$CZ$403,48,FALSE)+VLOOKUP($A313,'1.3.21-28.2.22'!$A$6:$DA$404,48,FALSE)-VLOOKUP($A313,'01-02.2022'!$A$6:$DA$376,48,FALSE)</f>
        <v>0</v>
      </c>
      <c r="AW313" s="566">
        <f>VLOOKUP($A313,'01-02.2021'!$A$6:$CZ$403,49,FALSE)+VLOOKUP($A313,'1.3.21-28.2.22'!$A$6:$DA$404,49,FALSE)-VLOOKUP($A313,'01-02.2022'!$A$6:$DA$376,49,FALSE)</f>
        <v>0</v>
      </c>
      <c r="AX313" s="55">
        <f t="shared" si="334"/>
        <v>0</v>
      </c>
      <c r="AY313" s="566">
        <f>VLOOKUP($A313,'01-02.2021'!$A$6:$CZ$403,51,FALSE)+VLOOKUP($A313,'1.3.21-28.2.22'!$A$6:$DA$404,51,FALSE)-VLOOKUP($A313,'01-02.2022'!$A$6:$DA$376,51,FALSE)</f>
        <v>0</v>
      </c>
      <c r="AZ313" s="566">
        <f>VLOOKUP($A313,'01-02.2021'!$A$6:$CZ$403,52,FALSE)+VLOOKUP($A313,'1.3.21-28.2.22'!$A$6:$DA$404,52,FALSE)-VLOOKUP($A313,'01-02.2022'!$A$6:$DA$376,52,FALSE)</f>
        <v>0</v>
      </c>
      <c r="BA313" s="38">
        <f t="shared" si="335"/>
        <v>0</v>
      </c>
      <c r="BB313" s="566">
        <f>VLOOKUP($A313,'01-02.2021'!$A$6:$CZ$403,54,FALSE)+VLOOKUP($A313,'1.3.21-28.2.22'!$A$6:$DA$404,54,FALSE)-VLOOKUP($A313,'01-02.2022'!$A$6:$DA$376,54,FALSE)</f>
        <v>0</v>
      </c>
      <c r="BC313" s="566">
        <f>VLOOKUP($A313,'01-02.2021'!$A$6:$CZ$403,55,FALSE)+VLOOKUP($A313,'1.3.21-28.2.22'!$A$6:$DA$404,55,FALSE)-VLOOKUP($A313,'01-02.2022'!$A$6:$DA$376,55,FALSE)</f>
        <v>0</v>
      </c>
      <c r="BD313" s="55">
        <f t="shared" si="336"/>
        <v>0</v>
      </c>
      <c r="BE313" s="566">
        <f>VLOOKUP($A313,'01-02.2021'!$A$6:$CZ$403,57,FALSE)+VLOOKUP($A313,'1.3.21-28.2.22'!$A$6:$DA$404,57,FALSE)-VLOOKUP($A313,'01-02.2022'!$A$6:$DA$376,57,FALSE)</f>
        <v>0</v>
      </c>
      <c r="BF313" s="566">
        <f>VLOOKUP($A313,'01-02.2021'!$A$6:$CZ$403,58,FALSE)+VLOOKUP($A313,'1.3.21-28.2.22'!$A$6:$DA$404,58,FALSE)-VLOOKUP($A313,'01-02.2022'!$A$6:$DA$376,58,FALSE)</f>
        <v>0</v>
      </c>
      <c r="BG313" s="55">
        <f t="shared" si="337"/>
        <v>0</v>
      </c>
      <c r="BH313" s="566">
        <f>VLOOKUP($A313,'01-02.2021'!$A$6:$CZ$403,60,FALSE)+VLOOKUP($A313,'1.3.21-28.2.22'!$A$6:$DA$404,60,FALSE)-VLOOKUP($A313,'01-02.2022'!$A$6:$DA$376,60,FALSE)</f>
        <v>0</v>
      </c>
      <c r="BI313" s="566">
        <f>VLOOKUP($A313,'01-02.2021'!$A$6:$CZ$403,61,FALSE)+VLOOKUP($A313,'1.3.21-28.2.22'!$A$6:$DA$404,61,FALSE)-VLOOKUP($A313,'01-02.2022'!$A$6:$DA$376,61,FALSE)</f>
        <v>0</v>
      </c>
      <c r="BJ313" s="55">
        <f t="shared" si="338"/>
        <v>0</v>
      </c>
      <c r="BK313" s="566">
        <f>VLOOKUP($A313,'01-02.2021'!$A$6:$CZ$403,63,FALSE)+VLOOKUP($A313,'1.3.21-28.2.22'!$A$6:$DA$404,63,FALSE)-VLOOKUP($A313,'01-02.2022'!$A$6:$DA$376,63,FALSE)</f>
        <v>0</v>
      </c>
      <c r="BL313" s="566">
        <f>VLOOKUP($A313,'01-02.2021'!$A$6:$CZ$403,64,FALSE)+VLOOKUP($A313,'1.3.21-28.2.22'!$A$6:$DA$404,64,FALSE)-VLOOKUP($A313,'01-02.2022'!$A$6:$DA$376,64,FALSE)</f>
        <v>0</v>
      </c>
      <c r="BM313" s="55">
        <f t="shared" si="339"/>
        <v>0</v>
      </c>
      <c r="BN313" s="566">
        <f>VLOOKUP($A313,'01-02.2021'!$A$6:$CZ$403,66,FALSE)+VLOOKUP($A313,'1.3.21-28.2.22'!$A$6:$DA$404,66,FALSE)-VLOOKUP($A313,'01-02.2022'!$A$6:$DA$376,66,FALSE)</f>
        <v>18.386845172753702</v>
      </c>
      <c r="BO313" s="566">
        <f>VLOOKUP($A313,'01-02.2021'!$A$6:$CZ$403,67,FALSE)+VLOOKUP($A313,'1.3.21-28.2.22'!$A$6:$DA$404,67,FALSE)-VLOOKUP($A313,'01-02.2022'!$A$6:$DA$376,67,FALSE)</f>
        <v>0</v>
      </c>
      <c r="BP313" s="55">
        <f t="shared" si="340"/>
        <v>-18.386845172753702</v>
      </c>
      <c r="BQ313" s="77">
        <f t="shared" si="348"/>
        <v>18.386845172753702</v>
      </c>
      <c r="BR313" s="40">
        <f t="shared" si="349"/>
        <v>0</v>
      </c>
      <c r="BS313" s="55">
        <f t="shared" si="369"/>
        <v>-18.386845172753702</v>
      </c>
      <c r="BT313" s="566">
        <f>VLOOKUP($A313,'01-02.2021'!$A$6:$CZ$403,72,FALSE)+VLOOKUP($A313,'1.3.21-28.2.22'!$A$6:$DA$404,72,FALSE)-VLOOKUP($A313,'01-02.2022'!$A$6:$DA$376,72,FALSE)</f>
        <v>0</v>
      </c>
      <c r="BU313" s="566">
        <f>VLOOKUP($A313,'01-02.2021'!$A$6:$CZ$403,73,FALSE)+VLOOKUP($A313,'1.3.21-28.2.22'!$A$6:$DA$404,73,FALSE)-VLOOKUP($A313,'01-02.2022'!$A$6:$DA$376,73,FALSE)</f>
        <v>0</v>
      </c>
      <c r="BV313" s="70">
        <f t="shared" si="341"/>
        <v>0</v>
      </c>
      <c r="BW313" s="566">
        <f>VLOOKUP($A313,'01-02.2021'!$A$6:$CZ$403,75,FALSE)+VLOOKUP($A313,'1.3.21-28.2.22'!$A$6:$DA$404,75,FALSE)-VLOOKUP($A313,'01-02.2022'!$A$6:$DA$376,75,FALSE)</f>
        <v>0</v>
      </c>
      <c r="BX313" s="566">
        <f>VLOOKUP($A313,'01-02.2021'!$A$6:$CZ$403,76,FALSE)+VLOOKUP($A313,'1.3.21-28.2.22'!$A$6:$DA$404,76,FALSE)-VLOOKUP($A313,'01-02.2022'!$A$6:$DA$376,76,FALSE)</f>
        <v>5.665650102166377</v>
      </c>
      <c r="BY313" s="70">
        <f t="shared" si="342"/>
        <v>5.665650102166377</v>
      </c>
      <c r="BZ313" s="566">
        <f>VLOOKUP($A313,'01-02.2021'!$A$6:$CZ$403,78,FALSE)+VLOOKUP($A313,'1.3.21-28.2.22'!$A$6:$DA$404,78,FALSE)-VLOOKUP($A313,'01-02.2022'!$A$6:$DA$376,78,FALSE)</f>
        <v>0</v>
      </c>
      <c r="CA313" s="566">
        <f>VLOOKUP($A313,'01-02.2021'!$A$6:$CZ$403,79,FALSE)+VLOOKUP($A313,'1.3.21-28.2.22'!$A$6:$DA$404,79,FALSE)-VLOOKUP($A313,'01-02.2022'!$A$6:$DA$376,79,FALSE)</f>
        <v>0</v>
      </c>
      <c r="CB313" s="70">
        <f t="shared" si="343"/>
        <v>0</v>
      </c>
      <c r="CC313" s="566">
        <f>VLOOKUP($A313,'01-02.2021'!$A$6:$CZ$403,81,FALSE)+VLOOKUP($A313,'1.3.21-28.2.22'!$A$6:$DA$404,81,FALSE)-VLOOKUP($A313,'01-02.2022'!$A$6:$DA$376,81,FALSE)</f>
        <v>0</v>
      </c>
      <c r="CD313" s="566">
        <f>VLOOKUP($A313,'01-02.2021'!$A$6:$CZ$403,82,FALSE)+VLOOKUP($A313,'1.3.21-28.2.22'!$A$6:$DA$404,82,FALSE)-VLOOKUP($A313,'01-02.2022'!$A$6:$DA$376,82,FALSE)</f>
        <v>0</v>
      </c>
      <c r="CE313" s="70">
        <f t="shared" si="344"/>
        <v>0</v>
      </c>
      <c r="CF313" s="566">
        <f>VLOOKUP($A313,'01-02.2021'!$A$6:$CZ$403,84,FALSE)+VLOOKUP($A313,'1.3.21-28.2.22'!$A$6:$DA$404,84,FALSE)-VLOOKUP($A313,'01-02.2022'!$A$6:$DA$376,84,FALSE)</f>
        <v>0</v>
      </c>
      <c r="CG313" s="566">
        <f>VLOOKUP($A313,'01-02.2021'!$A$6:$CZ$403,85,FALSE)+VLOOKUP($A313,'1.3.21-28.2.22'!$A$6:$DA$404,85,FALSE)-VLOOKUP($A313,'01-02.2022'!$A$6:$DA$376,85,FALSE)</f>
        <v>0</v>
      </c>
      <c r="CH313" s="70">
        <f t="shared" si="345"/>
        <v>0</v>
      </c>
      <c r="CI313" s="566">
        <f>VLOOKUP($A313,'01-02.2021'!$A$6:$CZ$403,87,FALSE)+VLOOKUP($A313,'1.3.21-28.2.22'!$A$6:$DA$404,87,FALSE)-VLOOKUP($A313,'01-02.2022'!$A$6:$DA$376,87,FALSE)</f>
        <v>0</v>
      </c>
      <c r="CJ313" s="566">
        <f>VLOOKUP($A313,'01-02.2021'!$A$6:$CZ$403,88,FALSE)+VLOOKUP($A313,'1.3.21-28.2.22'!$A$6:$DA$404,88,FALSE)-VLOOKUP($A313,'01-02.2022'!$A$6:$DA$376,88,FALSE)</f>
        <v>0</v>
      </c>
      <c r="CK313" s="70">
        <f t="shared" si="346"/>
        <v>0</v>
      </c>
      <c r="CL313" s="566">
        <f>VLOOKUP($A313,'01-02.2021'!$A$6:$CZ$403,90,FALSE)+VLOOKUP($A313,'1.3.21-28.2.22'!$A$6:$DA$404,90,FALSE)-VLOOKUP($A313,'01-02.2022'!$A$6:$DA$376,90,FALSE)</f>
        <v>0</v>
      </c>
      <c r="CM313" s="566">
        <f>VLOOKUP($A313,'01-02.2021'!$A$6:$CZ$403,91,FALSE)+VLOOKUP($A313,'1.3.21-28.2.22'!$A$6:$DA$404,91,FALSE)-VLOOKUP($A313,'01-02.2022'!$A$6:$DA$376,91,FALSE)</f>
        <v>0</v>
      </c>
      <c r="CN313" s="52">
        <f t="shared" si="360"/>
        <v>0</v>
      </c>
      <c r="CO313" s="39">
        <f t="shared" si="355"/>
        <v>0</v>
      </c>
      <c r="CP313" s="40">
        <f t="shared" si="361"/>
        <v>0</v>
      </c>
      <c r="CQ313" s="52">
        <f t="shared" si="362"/>
        <v>0</v>
      </c>
      <c r="CR313" s="72">
        <f t="shared" si="356"/>
        <v>4181.2464365148135</v>
      </c>
      <c r="CS313" s="5">
        <f t="shared" si="356"/>
        <v>1455.5977688029955</v>
      </c>
      <c r="CT313" s="52">
        <f t="shared" si="363"/>
        <v>-2725.6486677118182</v>
      </c>
      <c r="CU313" s="77">
        <f t="shared" si="364"/>
        <v>5017.4957238177758</v>
      </c>
      <c r="CV313" s="65">
        <f t="shared" si="365"/>
        <v>1746.7173225635945</v>
      </c>
      <c r="CW313" s="35">
        <f t="shared" si="366"/>
        <v>-3270.7784012541815</v>
      </c>
      <c r="CX313" s="566">
        <f>VLOOKUP($A313,'01-02.2021'!$A$6:$CZ$403,102,FALSE)+VLOOKUP($A313,'1.3.21-28.2.22'!$A$6:$DA$404,102,FALSE)-VLOOKUP($A313,'01-02.2022'!$A$6:$DA$376,102,FALSE)</f>
        <v>175.9466269329844</v>
      </c>
      <c r="CY313" s="566">
        <f>VLOOKUP($A313,'01-02.2021'!$A$6:$CZ$403,103,FALSE)+VLOOKUP($A313,'1.3.21-28.2.22'!$A$6:$DA$404,103,FALSE)-VLOOKUP($A313,'01-02.2022'!$A$6:$DA$376,103,FALSE)</f>
        <v>3446.7250281871657</v>
      </c>
      <c r="CZ313" s="52">
        <f t="shared" si="367"/>
        <v>3270.7784012541811</v>
      </c>
      <c r="DA313" s="150">
        <f>'[2]побудинковий звіт'!DA313</f>
        <v>-4080.9123372053864</v>
      </c>
      <c r="DB313" s="2">
        <v>1</v>
      </c>
      <c r="DC313" s="414">
        <f>'[4]побудинковий звіт'!DC313</f>
        <v>107.71</v>
      </c>
      <c r="DD313" s="414">
        <f>'[4]побудинковий звіт'!DD313</f>
        <v>0</v>
      </c>
      <c r="DE313" s="557">
        <f>'[4]побудинковий звіт'!DE313</f>
        <v>-358.84395475959366</v>
      </c>
      <c r="DF313" s="557">
        <f>'[4]побудинковий звіт'!DF313</f>
        <v>0</v>
      </c>
      <c r="DG313" s="321">
        <f>VLOOKUP(A313,'кошти 01.03.2021'!$A$6:$D$401,4,)</f>
        <v>-540.38116103324205</v>
      </c>
      <c r="DH313" s="40">
        <f>'[3]побудинковий звіт'!DJ313</f>
        <v>5352.7282463918018</v>
      </c>
      <c r="DI313" s="422">
        <f>'[3]побудинковий звіт'!CU313+'[3]побудинковий звіт'!CX313</f>
        <v>466.55395475959358</v>
      </c>
      <c r="DJ313" s="306">
        <f>'[3]побудинковий звіт'!DM313</f>
        <v>1.8455457071186456</v>
      </c>
      <c r="DK313" s="306">
        <f t="shared" si="372"/>
        <v>1.8455457071186456</v>
      </c>
      <c r="DL313" s="306">
        <f>'[3]побудинковий звіт'!DO313</f>
        <v>1.8455457071186456</v>
      </c>
      <c r="DM313" s="28">
        <f t="shared" si="373"/>
        <v>466.55395475959364</v>
      </c>
      <c r="DN313" s="28">
        <f t="shared" si="374"/>
        <v>0</v>
      </c>
      <c r="DO313" s="423">
        <f t="shared" si="319"/>
        <v>466.55395475959364</v>
      </c>
      <c r="DP313" s="94">
        <f t="shared" si="320"/>
        <v>0</v>
      </c>
      <c r="DQ313" s="28">
        <f t="shared" si="321"/>
        <v>466.55395475959364</v>
      </c>
      <c r="DR313" s="318"/>
      <c r="DT313" s="8"/>
      <c r="DU313" s="5"/>
      <c r="DX313" s="5">
        <f t="shared" si="322"/>
        <v>4054.6435172593219</v>
      </c>
      <c r="DY313" s="5">
        <f t="shared" si="323"/>
        <v>0</v>
      </c>
      <c r="DZ313" s="159">
        <f>'[3]побудинковий звіт'!EA313</f>
        <v>417.29388429361364</v>
      </c>
    </row>
    <row r="314" spans="1:130" x14ac:dyDescent="0.3">
      <c r="A314" s="325">
        <v>150000846</v>
      </c>
      <c r="B314" s="41" t="s">
        <v>760</v>
      </c>
      <c r="C314" s="42" t="s">
        <v>140</v>
      </c>
      <c r="D314" s="42"/>
      <c r="E314" s="293">
        <f t="shared" si="353"/>
        <v>126.2</v>
      </c>
      <c r="F314" s="305">
        <f>'[3]побудинковий звіт'!F314</f>
        <v>126.2</v>
      </c>
      <c r="G314" s="508">
        <f>'[3]побудинковий звіт'!G314</f>
        <v>0</v>
      </c>
      <c r="H314" s="560">
        <f>'[3]побудинковий звіт'!H314</f>
        <v>0</v>
      </c>
      <c r="I314" s="566">
        <f>VLOOKUP($A314,'01-02.2021'!$A$6:$CZ$403,9,FALSE)+VLOOKUP($A314,'1.3.21-28.2.22'!$A$6:$DA$404,9,FALSE)-VLOOKUP($A314,'01-02.2022'!$A$6:$DA$376,9,FALSE)</f>
        <v>0</v>
      </c>
      <c r="J314" s="566">
        <f>VLOOKUP($A314,'01-02.2021'!$A$6:$CZ$403,10,FALSE)+VLOOKUP($A314,'1.3.21-28.2.22'!$A$6:$DA$404,10,FALSE)-VLOOKUP($A314,'01-02.2022'!$A$6:$DA$376,10,FALSE)</f>
        <v>0</v>
      </c>
      <c r="K314" s="52">
        <f t="shared" si="357"/>
        <v>0</v>
      </c>
      <c r="L314" s="566">
        <f>VLOOKUP($A314,'01-02.2021'!$A$6:$CZ$403,12,FALSE)+VLOOKUP($A314,'1.3.21-28.2.22'!$A$6:$DA$404,12,FALSE)-VLOOKUP($A314,'01-02.2022'!$A$6:$DA$376,12,FALSE)</f>
        <v>0</v>
      </c>
      <c r="M314" s="566">
        <f>VLOOKUP($A314,'01-02.2021'!$A$6:$CZ$403,13,FALSE)+VLOOKUP($A314,'1.3.21-28.2.22'!$A$6:$DA$404,13,FALSE)-VLOOKUP($A314,'01-02.2022'!$A$6:$DA$376,13,FALSE)</f>
        <v>0</v>
      </c>
      <c r="N314" s="52">
        <f t="shared" si="358"/>
        <v>0</v>
      </c>
      <c r="O314" s="566">
        <f>VLOOKUP($A314,'01-02.2021'!$A$6:$CZ$403,15,FALSE)+VLOOKUP($A314,'1.3.21-28.2.22'!$A$6:$DA$404,15,FALSE)-VLOOKUP($A314,'01-02.2022'!$A$6:$DA$376,15,FALSE)</f>
        <v>0</v>
      </c>
      <c r="P314" s="566">
        <f>VLOOKUP($A314,'01-02.2021'!$A$6:$CZ$403,16,FALSE)+VLOOKUP($A314,'1.3.21-28.2.22'!$A$6:$DA$404,16,FALSE)-VLOOKUP($A314,'01-02.2022'!$A$6:$DA$376,16,FALSE)</f>
        <v>0</v>
      </c>
      <c r="Q314" s="70">
        <f t="shared" si="324"/>
        <v>0</v>
      </c>
      <c r="R314" s="566">
        <f>VLOOKUP($A314,'01-02.2021'!$A$6:$CZ$403,18,FALSE)+VLOOKUP($A314,'1.3.21-28.2.22'!$A$6:$DA$404,18,FALSE)-VLOOKUP($A314,'01-02.2022'!$A$6:$DA$376,18,FALSE)</f>
        <v>0</v>
      </c>
      <c r="S314" s="566">
        <f>VLOOKUP($A314,'01-02.2021'!$A$6:$CZ$403,19,FALSE)+VLOOKUP($A314,'1.3.21-28.2.22'!$A$6:$DA$404,19,FALSE)-VLOOKUP($A314,'01-02.2022'!$A$6:$DA$376,19,FALSE)</f>
        <v>0</v>
      </c>
      <c r="T314" s="70">
        <f t="shared" si="325"/>
        <v>0</v>
      </c>
      <c r="U314" s="566">
        <f>VLOOKUP($A314,'01-02.2021'!$A$6:$CZ$403,21,FALSE)+VLOOKUP($A314,'1.3.21-28.2.22'!$A$6:$DA$404,21,FALSE)-VLOOKUP($A314,'01-02.2022'!$A$6:$DA$376,21,FALSE)</f>
        <v>0</v>
      </c>
      <c r="V314" s="566">
        <f>VLOOKUP($A314,'01-02.2021'!$A$6:$CZ$403,22,FALSE)+VLOOKUP($A314,'1.3.21-28.2.22'!$A$6:$DA$404,22,FALSE)-VLOOKUP($A314,'01-02.2022'!$A$6:$DA$376,22,FALSE)</f>
        <v>0</v>
      </c>
      <c r="W314" s="70">
        <f t="shared" si="326"/>
        <v>0</v>
      </c>
      <c r="X314" s="566">
        <f>VLOOKUP($A314,'01-02.2021'!$A$6:$CZ$403,24,FALSE)+VLOOKUP($A314,'1.3.21-28.2.22'!$A$6:$DA$404,24,FALSE)-VLOOKUP($A314,'01-02.2022'!$A$6:$DA$376,24,FALSE)</f>
        <v>0</v>
      </c>
      <c r="Y314" s="566">
        <f>VLOOKUP($A314,'01-02.2021'!$A$6:$CZ$403,25,FALSE)+VLOOKUP($A314,'1.3.21-28.2.22'!$A$6:$DA$404,25,FALSE)-VLOOKUP($A314,'01-02.2022'!$A$6:$DA$376,25,FALSE)</f>
        <v>0</v>
      </c>
      <c r="Z314" s="70">
        <f t="shared" si="327"/>
        <v>0</v>
      </c>
      <c r="AA314" s="566">
        <f>VLOOKUP($A314,'01-02.2021'!$A$6:$CZ$403,27,FALSE)+VLOOKUP($A314,'1.3.21-28.2.22'!$A$6:$DA$404,27,FALSE)-VLOOKUP($A314,'01-02.2022'!$A$6:$DA$376,27,FALSE)</f>
        <v>25.240000000000002</v>
      </c>
      <c r="AB314" s="566">
        <f>VLOOKUP($A314,'01-02.2021'!$A$6:$CZ$403,28,FALSE)+VLOOKUP($A314,'1.3.21-28.2.22'!$A$6:$DA$404,28,FALSE)-VLOOKUP($A314,'01-02.2022'!$A$6:$DA$376,28,FALSE)</f>
        <v>0</v>
      </c>
      <c r="AC314" s="70">
        <f t="shared" si="328"/>
        <v>-25.240000000000002</v>
      </c>
      <c r="AD314" s="566">
        <f>VLOOKUP($A314,'01-02.2021'!$A$6:$CZ$403,30,FALSE)+VLOOKUP($A314,'1.3.21-28.2.22'!$A$6:$DA$404,30,FALSE)-VLOOKUP($A314,'01-02.2022'!$A$6:$DA$376,30,FALSE)</f>
        <v>202.03493377496676</v>
      </c>
      <c r="AE314" s="566">
        <f>VLOOKUP($A314,'01-02.2021'!$A$6:$CZ$403,31,FALSE)+VLOOKUP($A314,'1.3.21-28.2.22'!$A$6:$DA$404,31,FALSE)-VLOOKUP($A314,'01-02.2022'!$A$6:$DA$376,31,FALSE)</f>
        <v>574.46748488199489</v>
      </c>
      <c r="AF314" s="68">
        <f t="shared" si="329"/>
        <v>372.43255110702813</v>
      </c>
      <c r="AG314" s="77">
        <f t="shared" si="354"/>
        <v>227.27493377496677</v>
      </c>
      <c r="AH314" s="53">
        <f t="shared" si="354"/>
        <v>574.46748488199489</v>
      </c>
      <c r="AI314" s="52">
        <f t="shared" si="359"/>
        <v>347.19255110702812</v>
      </c>
      <c r="AJ314" s="566">
        <f>VLOOKUP($A314,'01-02.2021'!$A$6:$CZ$403,36,FALSE)+VLOOKUP($A314,'1.3.21-28.2.22'!$A$6:$DA$404,36,FALSE)-VLOOKUP($A314,'01-02.2022'!$A$6:$DA$376,36,FALSE)</f>
        <v>0</v>
      </c>
      <c r="AK314" s="566">
        <f>VLOOKUP($A314,'01-02.2021'!$A$6:$CZ$403,37,FALSE)+VLOOKUP($A314,'1.3.21-28.2.22'!$A$6:$DA$404,37,FALSE)-VLOOKUP($A314,'01-02.2022'!$A$6:$DA$376,37,FALSE)</f>
        <v>0</v>
      </c>
      <c r="AL314" s="70">
        <f t="shared" si="330"/>
        <v>0</v>
      </c>
      <c r="AM314" s="566">
        <f>VLOOKUP($A314,'01-02.2021'!$A$6:$CZ$403,39,FALSE)+VLOOKUP($A314,'1.3.21-28.2.22'!$A$6:$DA$404,39,FALSE)-VLOOKUP($A314,'01-02.2022'!$A$6:$DA$376,39,FALSE)</f>
        <v>0</v>
      </c>
      <c r="AN314" s="566">
        <f>VLOOKUP($A314,'01-02.2021'!$A$6:$CZ$403,40,FALSE)+VLOOKUP($A314,'1.3.21-28.2.22'!$A$6:$DA$404,40,FALSE)-VLOOKUP($A314,'01-02.2022'!$A$6:$DA$376,40,FALSE)</f>
        <v>0</v>
      </c>
      <c r="AO314" s="70">
        <f t="shared" si="331"/>
        <v>0</v>
      </c>
      <c r="AP314" s="566">
        <f>VLOOKUP($A314,'01-02.2021'!$A$6:$CZ$403,42,FALSE)+VLOOKUP($A314,'1.3.21-28.2.22'!$A$6:$DA$404,42,FALSE)-VLOOKUP($A314,'01-02.2022'!$A$6:$DA$376,42,FALSE)</f>
        <v>260.27996250638864</v>
      </c>
      <c r="AQ314" s="566">
        <f>VLOOKUP($A314,'01-02.2021'!$A$6:$CZ$403,43,FALSE)+VLOOKUP($A314,'1.3.21-28.2.22'!$A$6:$DA$404,43,FALSE)-VLOOKUP($A314,'01-02.2022'!$A$6:$DA$376,43,FALSE)</f>
        <v>224.38224961495439</v>
      </c>
      <c r="AR314" s="70">
        <f t="shared" si="332"/>
        <v>-35.897712891434253</v>
      </c>
      <c r="AS314" s="566">
        <f>VLOOKUP($A314,'01-02.2021'!$A$6:$CZ$403,45,FALSE)+VLOOKUP($A314,'1.3.21-28.2.22'!$A$6:$DA$404,45,FALSE)-VLOOKUP($A314,'01-02.2022'!$A$6:$DA$376,45,FALSE)</f>
        <v>1586.1447373018937</v>
      </c>
      <c r="AT314" s="566">
        <f>VLOOKUP($A314,'01-02.2021'!$A$6:$CZ$403,46,FALSE)+VLOOKUP($A314,'1.3.21-28.2.22'!$A$6:$DA$404,46,FALSE)-VLOOKUP($A314,'01-02.2022'!$A$6:$DA$376,46,FALSE)</f>
        <v>0</v>
      </c>
      <c r="AU314" s="78">
        <f t="shared" si="333"/>
        <v>-1586.1447373018937</v>
      </c>
      <c r="AV314" s="566">
        <f>VLOOKUP($A314,'01-02.2021'!$A$6:$CZ$403,48,FALSE)+VLOOKUP($A314,'1.3.21-28.2.22'!$A$6:$DA$404,48,FALSE)-VLOOKUP($A314,'01-02.2022'!$A$6:$DA$376,48,FALSE)</f>
        <v>0</v>
      </c>
      <c r="AW314" s="566">
        <f>VLOOKUP($A314,'01-02.2021'!$A$6:$CZ$403,49,FALSE)+VLOOKUP($A314,'1.3.21-28.2.22'!$A$6:$DA$404,49,FALSE)-VLOOKUP($A314,'01-02.2022'!$A$6:$DA$376,49,FALSE)</f>
        <v>0</v>
      </c>
      <c r="AX314" s="55">
        <f t="shared" si="334"/>
        <v>0</v>
      </c>
      <c r="AY314" s="566">
        <f>VLOOKUP($A314,'01-02.2021'!$A$6:$CZ$403,51,FALSE)+VLOOKUP($A314,'1.3.21-28.2.22'!$A$6:$DA$404,51,FALSE)-VLOOKUP($A314,'01-02.2022'!$A$6:$DA$376,51,FALSE)</f>
        <v>0</v>
      </c>
      <c r="AZ314" s="566">
        <f>VLOOKUP($A314,'01-02.2021'!$A$6:$CZ$403,52,FALSE)+VLOOKUP($A314,'1.3.21-28.2.22'!$A$6:$DA$404,52,FALSE)-VLOOKUP($A314,'01-02.2022'!$A$6:$DA$376,52,FALSE)</f>
        <v>0</v>
      </c>
      <c r="BA314" s="38">
        <f t="shared" si="335"/>
        <v>0</v>
      </c>
      <c r="BB314" s="566">
        <f>VLOOKUP($A314,'01-02.2021'!$A$6:$CZ$403,54,FALSE)+VLOOKUP($A314,'1.3.21-28.2.22'!$A$6:$DA$404,54,FALSE)-VLOOKUP($A314,'01-02.2022'!$A$6:$DA$376,54,FALSE)</f>
        <v>0</v>
      </c>
      <c r="BC314" s="566">
        <f>VLOOKUP($A314,'01-02.2021'!$A$6:$CZ$403,55,FALSE)+VLOOKUP($A314,'1.3.21-28.2.22'!$A$6:$DA$404,55,FALSE)-VLOOKUP($A314,'01-02.2022'!$A$6:$DA$376,55,FALSE)</f>
        <v>0</v>
      </c>
      <c r="BD314" s="55">
        <f t="shared" si="336"/>
        <v>0</v>
      </c>
      <c r="BE314" s="566">
        <f>VLOOKUP($A314,'01-02.2021'!$A$6:$CZ$403,57,FALSE)+VLOOKUP($A314,'1.3.21-28.2.22'!$A$6:$DA$404,57,FALSE)-VLOOKUP($A314,'01-02.2022'!$A$6:$DA$376,57,FALSE)</f>
        <v>0</v>
      </c>
      <c r="BF314" s="566">
        <f>VLOOKUP($A314,'01-02.2021'!$A$6:$CZ$403,58,FALSE)+VLOOKUP($A314,'1.3.21-28.2.22'!$A$6:$DA$404,58,FALSE)-VLOOKUP($A314,'01-02.2022'!$A$6:$DA$376,58,FALSE)</f>
        <v>0</v>
      </c>
      <c r="BG314" s="55">
        <f t="shared" si="337"/>
        <v>0</v>
      </c>
      <c r="BH314" s="566">
        <f>VLOOKUP($A314,'01-02.2021'!$A$6:$CZ$403,60,FALSE)+VLOOKUP($A314,'1.3.21-28.2.22'!$A$6:$DA$404,60,FALSE)-VLOOKUP($A314,'01-02.2022'!$A$6:$DA$376,60,FALSE)</f>
        <v>0</v>
      </c>
      <c r="BI314" s="566">
        <f>VLOOKUP($A314,'01-02.2021'!$A$6:$CZ$403,61,FALSE)+VLOOKUP($A314,'1.3.21-28.2.22'!$A$6:$DA$404,61,FALSE)-VLOOKUP($A314,'01-02.2022'!$A$6:$DA$376,61,FALSE)</f>
        <v>0</v>
      </c>
      <c r="BJ314" s="55">
        <f t="shared" si="338"/>
        <v>0</v>
      </c>
      <c r="BK314" s="566">
        <f>VLOOKUP($A314,'01-02.2021'!$A$6:$CZ$403,63,FALSE)+VLOOKUP($A314,'1.3.21-28.2.22'!$A$6:$DA$404,63,FALSE)-VLOOKUP($A314,'01-02.2022'!$A$6:$DA$376,63,FALSE)</f>
        <v>0</v>
      </c>
      <c r="BL314" s="566">
        <f>VLOOKUP($A314,'01-02.2021'!$A$6:$CZ$403,64,FALSE)+VLOOKUP($A314,'1.3.21-28.2.22'!$A$6:$DA$404,64,FALSE)-VLOOKUP($A314,'01-02.2022'!$A$6:$DA$376,64,FALSE)</f>
        <v>0</v>
      </c>
      <c r="BM314" s="55">
        <f t="shared" si="339"/>
        <v>0</v>
      </c>
      <c r="BN314" s="566">
        <f>VLOOKUP($A314,'01-02.2021'!$A$6:$CZ$403,66,FALSE)+VLOOKUP($A314,'1.3.21-28.2.22'!$A$6:$DA$404,66,FALSE)-VLOOKUP($A314,'01-02.2022'!$A$6:$DA$376,66,FALSE)</f>
        <v>10.020720946430391</v>
      </c>
      <c r="BO314" s="566">
        <f>VLOOKUP($A314,'01-02.2021'!$A$6:$CZ$403,67,FALSE)+VLOOKUP($A314,'1.3.21-28.2.22'!$A$6:$DA$404,67,FALSE)-VLOOKUP($A314,'01-02.2022'!$A$6:$DA$376,67,FALSE)</f>
        <v>0</v>
      </c>
      <c r="BP314" s="55">
        <f t="shared" si="340"/>
        <v>-10.020720946430391</v>
      </c>
      <c r="BQ314" s="77">
        <f t="shared" si="348"/>
        <v>10.020720946430391</v>
      </c>
      <c r="BR314" s="40">
        <f t="shared" ref="BR314:BR343" si="375">AW314+AZ314+BC314+BF314+BI314+BL314+BO314</f>
        <v>0</v>
      </c>
      <c r="BS314" s="55">
        <f t="shared" si="369"/>
        <v>-10.020720946430391</v>
      </c>
      <c r="BT314" s="566">
        <f>VLOOKUP($A314,'01-02.2021'!$A$6:$CZ$403,72,FALSE)+VLOOKUP($A314,'1.3.21-28.2.22'!$A$6:$DA$404,72,FALSE)-VLOOKUP($A314,'01-02.2022'!$A$6:$DA$376,72,FALSE)</f>
        <v>0</v>
      </c>
      <c r="BU314" s="566">
        <f>VLOOKUP($A314,'01-02.2021'!$A$6:$CZ$403,73,FALSE)+VLOOKUP($A314,'1.3.21-28.2.22'!$A$6:$DA$404,73,FALSE)-VLOOKUP($A314,'01-02.2022'!$A$6:$DA$376,73,FALSE)</f>
        <v>0</v>
      </c>
      <c r="BV314" s="70">
        <f t="shared" si="341"/>
        <v>0</v>
      </c>
      <c r="BW314" s="566">
        <f>VLOOKUP($A314,'01-02.2021'!$A$6:$CZ$403,75,FALSE)+VLOOKUP($A314,'1.3.21-28.2.22'!$A$6:$DA$404,75,FALSE)-VLOOKUP($A314,'01-02.2022'!$A$6:$DA$376,75,FALSE)</f>
        <v>0</v>
      </c>
      <c r="BX314" s="566">
        <f>VLOOKUP($A314,'01-02.2021'!$A$6:$CZ$403,76,FALSE)+VLOOKUP($A314,'1.3.21-28.2.22'!$A$6:$DA$404,76,FALSE)-VLOOKUP($A314,'01-02.2022'!$A$6:$DA$376,76,FALSE)</f>
        <v>2.8283427329643862</v>
      </c>
      <c r="BY314" s="70">
        <f t="shared" si="342"/>
        <v>2.8283427329643862</v>
      </c>
      <c r="BZ314" s="566">
        <f>VLOOKUP($A314,'01-02.2021'!$A$6:$CZ$403,78,FALSE)+VLOOKUP($A314,'1.3.21-28.2.22'!$A$6:$DA$404,78,FALSE)-VLOOKUP($A314,'01-02.2022'!$A$6:$DA$376,78,FALSE)</f>
        <v>0</v>
      </c>
      <c r="CA314" s="566">
        <f>VLOOKUP($A314,'01-02.2021'!$A$6:$CZ$403,79,FALSE)+VLOOKUP($A314,'1.3.21-28.2.22'!$A$6:$DA$404,79,FALSE)-VLOOKUP($A314,'01-02.2022'!$A$6:$DA$376,79,FALSE)</f>
        <v>0</v>
      </c>
      <c r="CB314" s="70">
        <f t="shared" si="343"/>
        <v>0</v>
      </c>
      <c r="CC314" s="566">
        <f>VLOOKUP($A314,'01-02.2021'!$A$6:$CZ$403,81,FALSE)+VLOOKUP($A314,'1.3.21-28.2.22'!$A$6:$DA$404,81,FALSE)-VLOOKUP($A314,'01-02.2022'!$A$6:$DA$376,81,FALSE)</f>
        <v>0</v>
      </c>
      <c r="CD314" s="566">
        <f>VLOOKUP($A314,'01-02.2021'!$A$6:$CZ$403,82,FALSE)+VLOOKUP($A314,'1.3.21-28.2.22'!$A$6:$DA$404,82,FALSE)-VLOOKUP($A314,'01-02.2022'!$A$6:$DA$376,82,FALSE)</f>
        <v>0</v>
      </c>
      <c r="CE314" s="70">
        <f t="shared" si="344"/>
        <v>0</v>
      </c>
      <c r="CF314" s="566">
        <f>VLOOKUP($A314,'01-02.2021'!$A$6:$CZ$403,84,FALSE)+VLOOKUP($A314,'1.3.21-28.2.22'!$A$6:$DA$404,84,FALSE)-VLOOKUP($A314,'01-02.2022'!$A$6:$DA$376,84,FALSE)</f>
        <v>0</v>
      </c>
      <c r="CG314" s="566">
        <f>VLOOKUP($A314,'01-02.2021'!$A$6:$CZ$403,85,FALSE)+VLOOKUP($A314,'1.3.21-28.2.22'!$A$6:$DA$404,85,FALSE)-VLOOKUP($A314,'01-02.2022'!$A$6:$DA$376,85,FALSE)</f>
        <v>0</v>
      </c>
      <c r="CH314" s="70">
        <f t="shared" si="345"/>
        <v>0</v>
      </c>
      <c r="CI314" s="566">
        <f>VLOOKUP($A314,'01-02.2021'!$A$6:$CZ$403,87,FALSE)+VLOOKUP($A314,'1.3.21-28.2.22'!$A$6:$DA$404,87,FALSE)-VLOOKUP($A314,'01-02.2022'!$A$6:$DA$376,87,FALSE)</f>
        <v>0</v>
      </c>
      <c r="CJ314" s="566">
        <f>VLOOKUP($A314,'01-02.2021'!$A$6:$CZ$403,88,FALSE)+VLOOKUP($A314,'1.3.21-28.2.22'!$A$6:$DA$404,88,FALSE)-VLOOKUP($A314,'01-02.2022'!$A$6:$DA$376,88,FALSE)</f>
        <v>0</v>
      </c>
      <c r="CK314" s="70">
        <f t="shared" si="346"/>
        <v>0</v>
      </c>
      <c r="CL314" s="566">
        <f>VLOOKUP($A314,'01-02.2021'!$A$6:$CZ$403,90,FALSE)+VLOOKUP($A314,'1.3.21-28.2.22'!$A$6:$DA$404,90,FALSE)-VLOOKUP($A314,'01-02.2022'!$A$6:$DA$376,90,FALSE)</f>
        <v>0</v>
      </c>
      <c r="CM314" s="566">
        <f>VLOOKUP($A314,'01-02.2021'!$A$6:$CZ$403,91,FALSE)+VLOOKUP($A314,'1.3.21-28.2.22'!$A$6:$DA$404,91,FALSE)-VLOOKUP($A314,'01-02.2022'!$A$6:$DA$376,91,FALSE)</f>
        <v>0</v>
      </c>
      <c r="CN314" s="52">
        <f t="shared" si="360"/>
        <v>0</v>
      </c>
      <c r="CO314" s="39">
        <f t="shared" si="355"/>
        <v>0</v>
      </c>
      <c r="CP314" s="40">
        <f t="shared" si="361"/>
        <v>0</v>
      </c>
      <c r="CQ314" s="52">
        <f t="shared" si="362"/>
        <v>0</v>
      </c>
      <c r="CR314" s="72">
        <f t="shared" si="356"/>
        <v>2083.7203545296793</v>
      </c>
      <c r="CS314" s="5">
        <f t="shared" si="356"/>
        <v>801.6780772299137</v>
      </c>
      <c r="CT314" s="52">
        <f t="shared" si="363"/>
        <v>-1282.0422772997656</v>
      </c>
      <c r="CU314" s="77">
        <f t="shared" si="364"/>
        <v>2500.4644254356149</v>
      </c>
      <c r="CV314" s="65">
        <f t="shared" si="365"/>
        <v>962.01369267589644</v>
      </c>
      <c r="CW314" s="35">
        <f t="shared" si="366"/>
        <v>-1538.4507327597184</v>
      </c>
      <c r="CX314" s="566">
        <f>VLOOKUP($A314,'01-02.2021'!$A$6:$CZ$403,102,FALSE)+VLOOKUP($A314,'1.3.21-28.2.22'!$A$6:$DA$404,102,FALSE)-VLOOKUP($A314,'01-02.2022'!$A$6:$DA$376,102,FALSE)</f>
        <v>87.360521837440587</v>
      </c>
      <c r="CY314" s="566">
        <f>VLOOKUP($A314,'01-02.2021'!$A$6:$CZ$403,103,FALSE)+VLOOKUP($A314,'1.3.21-28.2.22'!$A$6:$DA$404,103,FALSE)-VLOOKUP($A314,'01-02.2022'!$A$6:$DA$376,103,FALSE)</f>
        <v>1625.8112545971592</v>
      </c>
      <c r="CZ314" s="52">
        <f t="shared" si="367"/>
        <v>1538.4507327597187</v>
      </c>
      <c r="DA314" s="150">
        <f>'[2]побудинковий звіт'!DA314</f>
        <v>-5501.7582198197006</v>
      </c>
      <c r="DB314" s="2">
        <v>1</v>
      </c>
      <c r="DC314" s="414">
        <f>'[4]побудинковий звіт'!DC314</f>
        <v>393.21</v>
      </c>
      <c r="DD314" s="414">
        <f>'[4]побудинковий звіт'!DD314</f>
        <v>0</v>
      </c>
      <c r="DE314" s="557">
        <f>'[4]побудинковий звіт'!DE314</f>
        <v>158.99208479523222</v>
      </c>
      <c r="DF314" s="557">
        <f>'[4]побудинковий звіт'!DF314</f>
        <v>0</v>
      </c>
      <c r="DG314" s="321">
        <f>VLOOKUP(A314,'кошти 01.03.2021'!$A$6:$D$401,4,)</f>
        <v>-3820.7840980331075</v>
      </c>
      <c r="DH314" s="40">
        <f>'[3]побудинковий звіт'!DJ314</f>
        <v>2675.5653474071974</v>
      </c>
      <c r="DI314" s="422">
        <f>'[3]побудинковий звіт'!CU314+'[3]побудинковий звіт'!CX314</f>
        <v>234.21791520476776</v>
      </c>
      <c r="DJ314" s="306">
        <f>'[3]побудинковий звіт'!DM314</f>
        <v>1.8559264279300138</v>
      </c>
      <c r="DK314" s="306">
        <f t="shared" si="372"/>
        <v>1.8559264279300138</v>
      </c>
      <c r="DL314" s="306">
        <f>'[3]побудинковий звіт'!DO314</f>
        <v>1.8559264279300138</v>
      </c>
      <c r="DM314" s="28">
        <f t="shared" si="373"/>
        <v>234.21791520476776</v>
      </c>
      <c r="DN314" s="28">
        <f t="shared" si="374"/>
        <v>0</v>
      </c>
      <c r="DO314" s="423">
        <f t="shared" si="319"/>
        <v>234.21791520476776</v>
      </c>
      <c r="DP314" s="94">
        <f t="shared" si="320"/>
        <v>0</v>
      </c>
      <c r="DQ314" s="28">
        <f t="shared" si="321"/>
        <v>234.21791520476776</v>
      </c>
      <c r="DR314" s="318"/>
      <c r="DT314" s="8"/>
      <c r="DU314" s="5"/>
      <c r="DX314" s="5">
        <f t="shared" si="322"/>
        <v>1915.3985498979887</v>
      </c>
      <c r="DY314" s="5">
        <f t="shared" si="323"/>
        <v>0</v>
      </c>
      <c r="DZ314" s="159">
        <f>'[3]побудинковий звіт'!EA314</f>
        <v>200.09475383979321</v>
      </c>
    </row>
    <row r="315" spans="1:130" x14ac:dyDescent="0.3">
      <c r="A315" s="325">
        <v>150000798</v>
      </c>
      <c r="B315" s="41" t="s">
        <v>761</v>
      </c>
      <c r="C315" s="42" t="s">
        <v>226</v>
      </c>
      <c r="D315" s="42"/>
      <c r="E315" s="293">
        <f t="shared" si="353"/>
        <v>1317.9</v>
      </c>
      <c r="F315" s="305">
        <f>'[3]побудинковий звіт'!F315</f>
        <v>996.3</v>
      </c>
      <c r="G315" s="508">
        <f>'[3]побудинковий звіт'!G315</f>
        <v>0</v>
      </c>
      <c r="H315" s="560">
        <f>'[3]побудинковий звіт'!H315</f>
        <v>321.60000000000002</v>
      </c>
      <c r="I315" s="566">
        <f>VLOOKUP($A315,'01-02.2021'!$A$6:$CZ$403,9,FALSE)+VLOOKUP($A315,'1.3.21-28.2.22'!$A$6:$DA$404,9,FALSE)-VLOOKUP($A315,'01-02.2022'!$A$6:$DA$376,9,FALSE)</f>
        <v>3651.1054050794642</v>
      </c>
      <c r="J315" s="566">
        <f>VLOOKUP($A315,'01-02.2021'!$A$6:$CZ$403,10,FALSE)+VLOOKUP($A315,'1.3.21-28.2.22'!$A$6:$DA$404,10,FALSE)-VLOOKUP($A315,'01-02.2022'!$A$6:$DA$376,10,FALSE)</f>
        <v>4014.3734662270499</v>
      </c>
      <c r="K315" s="52">
        <f t="shared" si="357"/>
        <v>363.26806114758574</v>
      </c>
      <c r="L315" s="566">
        <f>VLOOKUP($A315,'01-02.2021'!$A$6:$CZ$403,12,FALSE)+VLOOKUP($A315,'1.3.21-28.2.22'!$A$6:$DA$404,12,FALSE)-VLOOKUP($A315,'01-02.2022'!$A$6:$DA$376,12,FALSE)</f>
        <v>685.0197054037103</v>
      </c>
      <c r="M315" s="566">
        <f>VLOOKUP($A315,'01-02.2021'!$A$6:$CZ$403,13,FALSE)+VLOOKUP($A315,'1.3.21-28.2.22'!$A$6:$DA$404,13,FALSE)-VLOOKUP($A315,'01-02.2022'!$A$6:$DA$376,13,FALSE)</f>
        <v>754.22809868928641</v>
      </c>
      <c r="N315" s="52">
        <f t="shared" si="358"/>
        <v>69.208393285576108</v>
      </c>
      <c r="O315" s="566">
        <f>VLOOKUP($A315,'01-02.2021'!$A$6:$CZ$403,15,FALSE)+VLOOKUP($A315,'1.3.21-28.2.22'!$A$6:$DA$404,15,FALSE)-VLOOKUP($A315,'01-02.2022'!$A$6:$DA$376,15,FALSE)</f>
        <v>1731.8379766438502</v>
      </c>
      <c r="P315" s="566">
        <f>VLOOKUP($A315,'01-02.2021'!$A$6:$CZ$403,16,FALSE)+VLOOKUP($A315,'1.3.21-28.2.22'!$A$6:$DA$404,16,FALSE)-VLOOKUP($A315,'01-02.2022'!$A$6:$DA$376,16,FALSE)</f>
        <v>1731.8300000000004</v>
      </c>
      <c r="Q315" s="70">
        <f t="shared" si="324"/>
        <v>-7.9766438498154457E-3</v>
      </c>
      <c r="R315" s="566">
        <f>VLOOKUP($A315,'01-02.2021'!$A$6:$CZ$403,18,FALSE)+VLOOKUP($A315,'1.3.21-28.2.22'!$A$6:$DA$404,18,FALSE)-VLOOKUP($A315,'01-02.2022'!$A$6:$DA$376,18,FALSE)</f>
        <v>0</v>
      </c>
      <c r="S315" s="566">
        <f>VLOOKUP($A315,'01-02.2021'!$A$6:$CZ$403,19,FALSE)+VLOOKUP($A315,'1.3.21-28.2.22'!$A$6:$DA$404,19,FALSE)-VLOOKUP($A315,'01-02.2022'!$A$6:$DA$376,19,FALSE)</f>
        <v>0</v>
      </c>
      <c r="T315" s="70">
        <f t="shared" si="325"/>
        <v>0</v>
      </c>
      <c r="U315" s="566">
        <f>VLOOKUP($A315,'01-02.2021'!$A$6:$CZ$403,21,FALSE)+VLOOKUP($A315,'1.3.21-28.2.22'!$A$6:$DA$404,21,FALSE)-VLOOKUP($A315,'01-02.2022'!$A$6:$DA$376,21,FALSE)</f>
        <v>0</v>
      </c>
      <c r="V315" s="566">
        <f>VLOOKUP($A315,'01-02.2021'!$A$6:$CZ$403,22,FALSE)+VLOOKUP($A315,'1.3.21-28.2.22'!$A$6:$DA$404,22,FALSE)-VLOOKUP($A315,'01-02.2022'!$A$6:$DA$376,22,FALSE)</f>
        <v>0</v>
      </c>
      <c r="W315" s="70">
        <f t="shared" si="326"/>
        <v>0</v>
      </c>
      <c r="X315" s="566">
        <f>VLOOKUP($A315,'01-02.2021'!$A$6:$CZ$403,24,FALSE)+VLOOKUP($A315,'1.3.21-28.2.22'!$A$6:$DA$404,24,FALSE)-VLOOKUP($A315,'01-02.2022'!$A$6:$DA$376,24,FALSE)</f>
        <v>2541.0215168140135</v>
      </c>
      <c r="Y315" s="566">
        <f>VLOOKUP($A315,'01-02.2021'!$A$6:$CZ$403,25,FALSE)+VLOOKUP($A315,'1.3.21-28.2.22'!$A$6:$DA$404,25,FALSE)-VLOOKUP($A315,'01-02.2022'!$A$6:$DA$376,25,FALSE)</f>
        <v>1935.1390251955977</v>
      </c>
      <c r="Z315" s="70">
        <f t="shared" si="327"/>
        <v>-605.88249161841577</v>
      </c>
      <c r="AA315" s="566">
        <f>VLOOKUP($A315,'01-02.2021'!$A$6:$CZ$403,27,FALSE)+VLOOKUP($A315,'1.3.21-28.2.22'!$A$6:$DA$404,27,FALSE)-VLOOKUP($A315,'01-02.2022'!$A$6:$DA$376,27,FALSE)</f>
        <v>264.68000000000006</v>
      </c>
      <c r="AB315" s="566">
        <f>VLOOKUP($A315,'01-02.2021'!$A$6:$CZ$403,28,FALSE)+VLOOKUP($A315,'1.3.21-28.2.22'!$A$6:$DA$404,28,FALSE)-VLOOKUP($A315,'01-02.2022'!$A$6:$DA$376,28,FALSE)</f>
        <v>0</v>
      </c>
      <c r="AC315" s="70">
        <f t="shared" si="328"/>
        <v>-264.68000000000006</v>
      </c>
      <c r="AD315" s="566">
        <f>VLOOKUP($A315,'01-02.2021'!$A$6:$CZ$403,30,FALSE)+VLOOKUP($A315,'1.3.21-28.2.22'!$A$6:$DA$404,30,FALSE)-VLOOKUP($A315,'01-02.2022'!$A$6:$DA$376,30,FALSE)</f>
        <v>5638.1890047832321</v>
      </c>
      <c r="AE315" s="566">
        <f>VLOOKUP($A315,'01-02.2021'!$A$6:$CZ$403,31,FALSE)+VLOOKUP($A315,'1.3.21-28.2.22'!$A$6:$DA$404,31,FALSE)-VLOOKUP($A315,'01-02.2022'!$A$6:$DA$376,31,FALSE)</f>
        <v>5999.1339011567443</v>
      </c>
      <c r="AF315" s="68">
        <f t="shared" si="329"/>
        <v>360.94489637351217</v>
      </c>
      <c r="AG315" s="77">
        <f t="shared" si="354"/>
        <v>14511.853608724272</v>
      </c>
      <c r="AH315" s="53">
        <f t="shared" si="354"/>
        <v>14434.70449126868</v>
      </c>
      <c r="AI315" s="52">
        <f t="shared" si="359"/>
        <v>-77.149117455592204</v>
      </c>
      <c r="AJ315" s="566">
        <f>VLOOKUP($A315,'01-02.2021'!$A$6:$CZ$403,36,FALSE)+VLOOKUP($A315,'1.3.21-28.2.22'!$A$6:$DA$404,36,FALSE)-VLOOKUP($A315,'01-02.2022'!$A$6:$DA$376,36,FALSE)</f>
        <v>0</v>
      </c>
      <c r="AK315" s="566">
        <f>VLOOKUP($A315,'01-02.2021'!$A$6:$CZ$403,37,FALSE)+VLOOKUP($A315,'1.3.21-28.2.22'!$A$6:$DA$404,37,FALSE)-VLOOKUP($A315,'01-02.2022'!$A$6:$DA$376,37,FALSE)</f>
        <v>0</v>
      </c>
      <c r="AL315" s="70">
        <f t="shared" si="330"/>
        <v>0</v>
      </c>
      <c r="AM315" s="566">
        <f>VLOOKUP($A315,'01-02.2021'!$A$6:$CZ$403,39,FALSE)+VLOOKUP($A315,'1.3.21-28.2.22'!$A$6:$DA$404,39,FALSE)-VLOOKUP($A315,'01-02.2022'!$A$6:$DA$376,39,FALSE)</f>
        <v>0</v>
      </c>
      <c r="AN315" s="566">
        <f>VLOOKUP($A315,'01-02.2021'!$A$6:$CZ$403,40,FALSE)+VLOOKUP($A315,'1.3.21-28.2.22'!$A$6:$DA$404,40,FALSE)-VLOOKUP($A315,'01-02.2022'!$A$6:$DA$376,40,FALSE)</f>
        <v>0</v>
      </c>
      <c r="AO315" s="70">
        <f t="shared" si="331"/>
        <v>0</v>
      </c>
      <c r="AP315" s="566">
        <f>VLOOKUP($A315,'01-02.2021'!$A$6:$CZ$403,42,FALSE)+VLOOKUP($A315,'1.3.21-28.2.22'!$A$6:$DA$404,42,FALSE)-VLOOKUP($A315,'01-02.2022'!$A$6:$DA$376,42,FALSE)</f>
        <v>2342.5196625574986</v>
      </c>
      <c r="AQ315" s="566">
        <f>VLOOKUP($A315,'01-02.2021'!$A$6:$CZ$403,43,FALSE)+VLOOKUP($A315,'1.3.21-28.2.22'!$A$6:$DA$404,43,FALSE)-VLOOKUP($A315,'01-02.2022'!$A$6:$DA$376,43,FALSE)</f>
        <v>2019.4402465345897</v>
      </c>
      <c r="AR315" s="70">
        <f t="shared" si="332"/>
        <v>-323.07941602290884</v>
      </c>
      <c r="AS315" s="566">
        <f>VLOOKUP($A315,'01-02.2021'!$A$6:$CZ$403,45,FALSE)+VLOOKUP($A315,'1.3.21-28.2.22'!$A$6:$DA$404,45,FALSE)-VLOOKUP($A315,'01-02.2022'!$A$6:$DA$376,45,FALSE)</f>
        <v>13136.028381923312</v>
      </c>
      <c r="AT315" s="566">
        <f>VLOOKUP($A315,'01-02.2021'!$A$6:$CZ$403,46,FALSE)+VLOOKUP($A315,'1.3.21-28.2.22'!$A$6:$DA$404,46,FALSE)-VLOOKUP($A315,'01-02.2022'!$A$6:$DA$376,46,FALSE)</f>
        <v>115382</v>
      </c>
      <c r="AU315" s="78">
        <f t="shared" si="333"/>
        <v>102245.97161807668</v>
      </c>
      <c r="AV315" s="566">
        <f>VLOOKUP($A315,'01-02.2021'!$A$6:$CZ$403,48,FALSE)+VLOOKUP($A315,'1.3.21-28.2.22'!$A$6:$DA$404,48,FALSE)-VLOOKUP($A315,'01-02.2022'!$A$6:$DA$376,48,FALSE)</f>
        <v>1185.818416629641</v>
      </c>
      <c r="AW315" s="566">
        <f>VLOOKUP($A315,'01-02.2021'!$A$6:$CZ$403,49,FALSE)+VLOOKUP($A315,'1.3.21-28.2.22'!$A$6:$DA$404,49,FALSE)-VLOOKUP($A315,'01-02.2022'!$A$6:$DA$376,49,FALSE)</f>
        <v>0</v>
      </c>
      <c r="AX315" s="55">
        <f t="shared" si="334"/>
        <v>-1185.818416629641</v>
      </c>
      <c r="AY315" s="566">
        <f>VLOOKUP($A315,'01-02.2021'!$A$6:$CZ$403,51,FALSE)+VLOOKUP($A315,'1.3.21-28.2.22'!$A$6:$DA$404,51,FALSE)-VLOOKUP($A315,'01-02.2022'!$A$6:$DA$376,51,FALSE)</f>
        <v>1287.8412099753812</v>
      </c>
      <c r="AZ315" s="566">
        <f>VLOOKUP($A315,'01-02.2021'!$A$6:$CZ$403,52,FALSE)+VLOOKUP($A315,'1.3.21-28.2.22'!$A$6:$DA$404,52,FALSE)-VLOOKUP($A315,'01-02.2022'!$A$6:$DA$376,52,FALSE)</f>
        <v>0</v>
      </c>
      <c r="BA315" s="38">
        <f t="shared" si="335"/>
        <v>-1287.8412099753812</v>
      </c>
      <c r="BB315" s="566">
        <f>VLOOKUP($A315,'01-02.2021'!$A$6:$CZ$403,54,FALSE)+VLOOKUP($A315,'1.3.21-28.2.22'!$A$6:$DA$404,54,FALSE)-VLOOKUP($A315,'01-02.2022'!$A$6:$DA$376,54,FALSE)</f>
        <v>782.70490975109942</v>
      </c>
      <c r="BC315" s="566">
        <f>VLOOKUP($A315,'01-02.2021'!$A$6:$CZ$403,55,FALSE)+VLOOKUP($A315,'1.3.21-28.2.22'!$A$6:$DA$404,55,FALSE)-VLOOKUP($A315,'01-02.2022'!$A$6:$DA$376,55,FALSE)</f>
        <v>5212</v>
      </c>
      <c r="BD315" s="55">
        <f t="shared" si="336"/>
        <v>4429.295090248901</v>
      </c>
      <c r="BE315" s="566">
        <f>VLOOKUP($A315,'01-02.2021'!$A$6:$CZ$403,57,FALSE)+VLOOKUP($A315,'1.3.21-28.2.22'!$A$6:$DA$404,57,FALSE)-VLOOKUP($A315,'01-02.2022'!$A$6:$DA$376,57,FALSE)</f>
        <v>0</v>
      </c>
      <c r="BF315" s="566">
        <f>VLOOKUP($A315,'01-02.2021'!$A$6:$CZ$403,58,FALSE)+VLOOKUP($A315,'1.3.21-28.2.22'!$A$6:$DA$404,58,FALSE)-VLOOKUP($A315,'01-02.2022'!$A$6:$DA$376,58,FALSE)</f>
        <v>0</v>
      </c>
      <c r="BG315" s="55">
        <f t="shared" si="337"/>
        <v>0</v>
      </c>
      <c r="BH315" s="566">
        <f>VLOOKUP($A315,'01-02.2021'!$A$6:$CZ$403,60,FALSE)+VLOOKUP($A315,'1.3.21-28.2.22'!$A$6:$DA$404,60,FALSE)-VLOOKUP($A315,'01-02.2022'!$A$6:$DA$376,60,FALSE)</f>
        <v>0</v>
      </c>
      <c r="BI315" s="566">
        <f>VLOOKUP($A315,'01-02.2021'!$A$6:$CZ$403,61,FALSE)+VLOOKUP($A315,'1.3.21-28.2.22'!$A$6:$DA$404,61,FALSE)-VLOOKUP($A315,'01-02.2022'!$A$6:$DA$376,61,FALSE)</f>
        <v>0</v>
      </c>
      <c r="BJ315" s="55">
        <f t="shared" si="338"/>
        <v>0</v>
      </c>
      <c r="BK315" s="566">
        <f>VLOOKUP($A315,'01-02.2021'!$A$6:$CZ$403,63,FALSE)+VLOOKUP($A315,'1.3.21-28.2.22'!$A$6:$DA$404,63,FALSE)-VLOOKUP($A315,'01-02.2022'!$A$6:$DA$376,63,FALSE)</f>
        <v>614.58791520735713</v>
      </c>
      <c r="BL315" s="566">
        <f>VLOOKUP($A315,'01-02.2021'!$A$6:$CZ$403,64,FALSE)+VLOOKUP($A315,'1.3.21-28.2.22'!$A$6:$DA$404,64,FALSE)-VLOOKUP($A315,'01-02.2022'!$A$6:$DA$376,64,FALSE)</f>
        <v>0</v>
      </c>
      <c r="BM315" s="55">
        <f t="shared" si="339"/>
        <v>-614.58791520735713</v>
      </c>
      <c r="BN315" s="566">
        <f>VLOOKUP($A315,'01-02.2021'!$A$6:$CZ$403,66,FALSE)+VLOOKUP($A315,'1.3.21-28.2.22'!$A$6:$DA$404,66,FALSE)-VLOOKUP($A315,'01-02.2022'!$A$6:$DA$376,66,FALSE)</f>
        <v>66.170000000000016</v>
      </c>
      <c r="BO315" s="566">
        <f>VLOOKUP($A315,'01-02.2021'!$A$6:$CZ$403,67,FALSE)+VLOOKUP($A315,'1.3.21-28.2.22'!$A$6:$DA$404,67,FALSE)-VLOOKUP($A315,'01-02.2022'!$A$6:$DA$376,67,FALSE)</f>
        <v>0</v>
      </c>
      <c r="BP315" s="55">
        <f t="shared" si="340"/>
        <v>-66.170000000000016</v>
      </c>
      <c r="BQ315" s="77">
        <f t="shared" si="348"/>
        <v>3937.1224515634785</v>
      </c>
      <c r="BR315" s="40">
        <f t="shared" si="375"/>
        <v>5212</v>
      </c>
      <c r="BS315" s="55">
        <f t="shared" si="369"/>
        <v>1274.8775484365215</v>
      </c>
      <c r="BT315" s="566">
        <f>VLOOKUP($A315,'01-02.2021'!$A$6:$CZ$403,72,FALSE)+VLOOKUP($A315,'1.3.21-28.2.22'!$A$6:$DA$404,72,FALSE)-VLOOKUP($A315,'01-02.2022'!$A$6:$DA$376,72,FALSE)</f>
        <v>8345.4872805236628</v>
      </c>
      <c r="BU315" s="566">
        <f>VLOOKUP($A315,'01-02.2021'!$A$6:$CZ$403,73,FALSE)+VLOOKUP($A315,'1.3.21-28.2.22'!$A$6:$DA$404,73,FALSE)-VLOOKUP($A315,'01-02.2022'!$A$6:$DA$376,73,FALSE)</f>
        <v>11649.067448061274</v>
      </c>
      <c r="BV315" s="70">
        <f t="shared" si="341"/>
        <v>3303.5801675376115</v>
      </c>
      <c r="BW315" s="566">
        <f>VLOOKUP($A315,'01-02.2021'!$A$6:$CZ$403,75,FALSE)+VLOOKUP($A315,'1.3.21-28.2.22'!$A$6:$DA$404,75,FALSE)-VLOOKUP($A315,'01-02.2022'!$A$6:$DA$376,75,FALSE)</f>
        <v>7548.7107063618787</v>
      </c>
      <c r="BX315" s="566">
        <f>VLOOKUP($A315,'01-02.2021'!$A$6:$CZ$403,76,FALSE)+VLOOKUP($A315,'1.3.21-28.2.22'!$A$6:$DA$404,76,FALSE)-VLOOKUP($A315,'01-02.2022'!$A$6:$DA$376,76,FALSE)</f>
        <v>7671.3810648129584</v>
      </c>
      <c r="BY315" s="70">
        <f t="shared" si="342"/>
        <v>122.67035845107966</v>
      </c>
      <c r="BZ315" s="566">
        <f>VLOOKUP($A315,'01-02.2021'!$A$6:$CZ$403,78,FALSE)+VLOOKUP($A315,'1.3.21-28.2.22'!$A$6:$DA$404,78,FALSE)-VLOOKUP($A315,'01-02.2022'!$A$6:$DA$376,78,FALSE)</f>
        <v>4783.2480765368136</v>
      </c>
      <c r="CA315" s="566">
        <f>VLOOKUP($A315,'01-02.2021'!$A$6:$CZ$403,79,FALSE)+VLOOKUP($A315,'1.3.21-28.2.22'!$A$6:$DA$404,79,FALSE)-VLOOKUP($A315,'01-02.2022'!$A$6:$DA$376,79,FALSE)</f>
        <v>3583.3467603963372</v>
      </c>
      <c r="CB315" s="70">
        <f t="shared" si="343"/>
        <v>-1199.9013161404764</v>
      </c>
      <c r="CC315" s="566">
        <f>VLOOKUP($A315,'01-02.2021'!$A$6:$CZ$403,81,FALSE)+VLOOKUP($A315,'1.3.21-28.2.22'!$A$6:$DA$404,81,FALSE)-VLOOKUP($A315,'01-02.2022'!$A$6:$DA$376,81,FALSE)</f>
        <v>1276.0829542232202</v>
      </c>
      <c r="CD315" s="566">
        <f>VLOOKUP($A315,'01-02.2021'!$A$6:$CZ$403,82,FALSE)+VLOOKUP($A315,'1.3.21-28.2.22'!$A$6:$DA$404,82,FALSE)-VLOOKUP($A315,'01-02.2022'!$A$6:$DA$376,82,FALSE)</f>
        <v>1394.7497613346839</v>
      </c>
      <c r="CE315" s="70">
        <f t="shared" si="344"/>
        <v>118.66680711146364</v>
      </c>
      <c r="CF315" s="566">
        <f>VLOOKUP($A315,'01-02.2021'!$A$6:$CZ$403,84,FALSE)+VLOOKUP($A315,'1.3.21-28.2.22'!$A$6:$DA$404,84,FALSE)-VLOOKUP($A315,'01-02.2022'!$A$6:$DA$376,84,FALSE)</f>
        <v>155.13416920070418</v>
      </c>
      <c r="CG315" s="566">
        <f>VLOOKUP($A315,'01-02.2021'!$A$6:$CZ$403,85,FALSE)+VLOOKUP($A315,'1.3.21-28.2.22'!$A$6:$DA$404,85,FALSE)-VLOOKUP($A315,'01-02.2022'!$A$6:$DA$376,85,FALSE)</f>
        <v>0</v>
      </c>
      <c r="CH315" s="70">
        <f t="shared" si="345"/>
        <v>-155.13416920070418</v>
      </c>
      <c r="CI315" s="566">
        <f>VLOOKUP($A315,'01-02.2021'!$A$6:$CZ$403,87,FALSE)+VLOOKUP($A315,'1.3.21-28.2.22'!$A$6:$DA$404,87,FALSE)-VLOOKUP($A315,'01-02.2022'!$A$6:$DA$376,87,FALSE)</f>
        <v>3179.8117983047437</v>
      </c>
      <c r="CJ315" s="566">
        <f>VLOOKUP($A315,'01-02.2021'!$A$6:$CZ$403,88,FALSE)+VLOOKUP($A315,'1.3.21-28.2.22'!$A$6:$DA$404,88,FALSE)-VLOOKUP($A315,'01-02.2022'!$A$6:$DA$376,88,FALSE)</f>
        <v>1506.8161141289779</v>
      </c>
      <c r="CK315" s="70">
        <f t="shared" si="346"/>
        <v>-1672.9956841757657</v>
      </c>
      <c r="CL315" s="566">
        <f>VLOOKUP($A315,'01-02.2021'!$A$6:$CZ$403,90,FALSE)+VLOOKUP($A315,'1.3.21-28.2.22'!$A$6:$DA$404,90,FALSE)-VLOOKUP($A315,'01-02.2022'!$A$6:$DA$376,90,FALSE)</f>
        <v>0</v>
      </c>
      <c r="CM315" s="566">
        <f>VLOOKUP($A315,'01-02.2021'!$A$6:$CZ$403,91,FALSE)+VLOOKUP($A315,'1.3.21-28.2.22'!$A$6:$DA$404,91,FALSE)-VLOOKUP($A315,'01-02.2022'!$A$6:$DA$376,91,FALSE)</f>
        <v>0</v>
      </c>
      <c r="CN315" s="52">
        <f t="shared" si="360"/>
        <v>0</v>
      </c>
      <c r="CO315" s="39">
        <f t="shared" si="355"/>
        <v>3179.8117983047437</v>
      </c>
      <c r="CP315" s="40">
        <f t="shared" si="361"/>
        <v>1506.8161141289779</v>
      </c>
      <c r="CQ315" s="52">
        <f t="shared" si="362"/>
        <v>-1672.9956841757657</v>
      </c>
      <c r="CR315" s="72">
        <f t="shared" si="356"/>
        <v>59215.999089919576</v>
      </c>
      <c r="CS315" s="5">
        <f t="shared" si="356"/>
        <v>162853.50588653752</v>
      </c>
      <c r="CT315" s="52">
        <f t="shared" si="363"/>
        <v>103637.50679661793</v>
      </c>
      <c r="CU315" s="77">
        <f t="shared" si="364"/>
        <v>71059.198907903483</v>
      </c>
      <c r="CV315" s="65">
        <f t="shared" si="365"/>
        <v>195424.20706384501</v>
      </c>
      <c r="CW315" s="35">
        <f t="shared" si="366"/>
        <v>124365.00815594153</v>
      </c>
      <c r="CX315" s="566">
        <f>VLOOKUP($A315,'01-02.2021'!$A$6:$CZ$403,102,FALSE)+VLOOKUP($A315,'1.3.21-28.2.22'!$A$6:$DA$404,102,FALSE)-VLOOKUP($A315,'01-02.2022'!$A$6:$DA$376,102,FALSE)</f>
        <v>2482.6849473542766</v>
      </c>
      <c r="CY315" s="566">
        <f>VLOOKUP($A315,'01-02.2021'!$A$6:$CZ$403,103,FALSE)+VLOOKUP($A315,'1.3.21-28.2.22'!$A$6:$DA$404,103,FALSE)-VLOOKUP($A315,'01-02.2022'!$A$6:$DA$376,103,FALSE)</f>
        <v>-121882.3232085872</v>
      </c>
      <c r="CZ315" s="52">
        <f t="shared" si="367"/>
        <v>-124365.00815594148</v>
      </c>
      <c r="DA315" s="150">
        <f>'[2]побудинковий звіт'!DA315</f>
        <v>120755.25065303952</v>
      </c>
      <c r="DB315" s="2">
        <v>2</v>
      </c>
      <c r="DC315" s="414">
        <f>'[4]побудинковий звіт'!DC315</f>
        <v>12872.73</v>
      </c>
      <c r="DD315" s="414">
        <f>'[4]побудинковий звіт'!DD315</f>
        <v>2078.6999999999998</v>
      </c>
      <c r="DE315" s="557">
        <f>'[4]побудинковий звіт'!DE315</f>
        <v>7617.0440338556928</v>
      </c>
      <c r="DF315" s="557">
        <f>'[4]побудинковий звіт'!DF315</f>
        <v>678.49279689145192</v>
      </c>
      <c r="DG315" s="321">
        <f>VLOOKUP(A315,'кошти 01.03.2021'!$A$6:$D$401,4,)</f>
        <v>135584.78882326497</v>
      </c>
      <c r="DH315" s="40">
        <f>'[3]побудинковий звіт'!DJ315</f>
        <v>76034.322637288671</v>
      </c>
      <c r="DI315" s="422">
        <f>'[3]побудинковий звіт'!CU315+'[3]побудинковий звіт'!CX315</f>
        <v>6655.8931692528568</v>
      </c>
      <c r="DJ315" s="306">
        <f>'[3]побудинковий звіт'!DM315</f>
        <v>5.2752042217648372</v>
      </c>
      <c r="DK315" s="306">
        <f t="shared" si="372"/>
        <v>5.2752042217648372</v>
      </c>
      <c r="DL315" s="306">
        <f>'[3]побудинковий звіт'!DO315</f>
        <v>4.3538781191186189</v>
      </c>
      <c r="DM315" s="28">
        <f t="shared" si="373"/>
        <v>5255.6859661443068</v>
      </c>
      <c r="DN315" s="28">
        <f t="shared" si="374"/>
        <v>1400.2072031085479</v>
      </c>
      <c r="DO315" s="423">
        <f t="shared" si="319"/>
        <v>6655.8931692528549</v>
      </c>
      <c r="DP315" s="94">
        <f t="shared" si="320"/>
        <v>0</v>
      </c>
      <c r="DQ315" s="28">
        <f t="shared" si="321"/>
        <v>6655.8931692528549</v>
      </c>
      <c r="DR315" s="318"/>
      <c r="DT315" s="8"/>
      <c r="DU315" s="5"/>
      <c r="DX315" s="5">
        <f t="shared" si="322"/>
        <v>20487.781000184146</v>
      </c>
      <c r="DY315" s="5">
        <f t="shared" si="323"/>
        <v>144712.79999999999</v>
      </c>
      <c r="DZ315" s="159">
        <f>'[3]побудинковий звіт'!EA315</f>
        <v>1863.1711695406009</v>
      </c>
    </row>
    <row r="316" spans="1:130" x14ac:dyDescent="0.3">
      <c r="A316" s="325">
        <v>150000819</v>
      </c>
      <c r="B316" s="41" t="s">
        <v>762</v>
      </c>
      <c r="C316" s="42" t="s">
        <v>424</v>
      </c>
      <c r="D316" s="42"/>
      <c r="E316" s="293">
        <f t="shared" si="353"/>
        <v>6770.3499999999995</v>
      </c>
      <c r="F316" s="305">
        <f>'[3]побудинковий звіт'!F316</f>
        <v>6584.95</v>
      </c>
      <c r="G316" s="508">
        <f>'[3]побудинковий звіт'!G316</f>
        <v>226.3</v>
      </c>
      <c r="H316" s="560">
        <f>'[3]побудинковий звіт'!H316</f>
        <v>185.4</v>
      </c>
      <c r="I316" s="566">
        <f>VLOOKUP($A316,'01-02.2021'!$A$6:$CZ$403,9,FALSE)+VLOOKUP($A316,'1.3.21-28.2.22'!$A$6:$DA$404,9,FALSE)-VLOOKUP($A316,'01-02.2022'!$A$6:$DA$376,9,FALSE)</f>
        <v>25026.451952417119</v>
      </c>
      <c r="J316" s="566">
        <f>VLOOKUP($A316,'01-02.2021'!$A$6:$CZ$403,10,FALSE)+VLOOKUP($A316,'1.3.21-28.2.22'!$A$6:$DA$404,10,FALSE)-VLOOKUP($A316,'01-02.2022'!$A$6:$DA$376,10,FALSE)</f>
        <v>24519.526871996939</v>
      </c>
      <c r="K316" s="52">
        <f t="shared" si="357"/>
        <v>-506.92508042018017</v>
      </c>
      <c r="L316" s="566">
        <f>VLOOKUP($A316,'01-02.2021'!$A$6:$CZ$403,12,FALSE)+VLOOKUP($A316,'1.3.21-28.2.22'!$A$6:$DA$404,12,FALSE)-VLOOKUP($A316,'01-02.2022'!$A$6:$DA$376,12,FALSE)</f>
        <v>4361.8266463446143</v>
      </c>
      <c r="M316" s="566">
        <f>VLOOKUP($A316,'01-02.2021'!$A$6:$CZ$403,13,FALSE)+VLOOKUP($A316,'1.3.21-28.2.22'!$A$6:$DA$404,13,FALSE)-VLOOKUP($A316,'01-02.2022'!$A$6:$DA$376,13,FALSE)</f>
        <v>4355.0870697152886</v>
      </c>
      <c r="N316" s="52">
        <f t="shared" si="358"/>
        <v>-6.7395766293257111</v>
      </c>
      <c r="O316" s="566">
        <f>VLOOKUP($A316,'01-02.2021'!$A$6:$CZ$403,15,FALSE)+VLOOKUP($A316,'1.3.21-28.2.22'!$A$6:$DA$404,15,FALSE)-VLOOKUP($A316,'01-02.2022'!$A$6:$DA$376,15,FALSE)</f>
        <v>7851.3788161336925</v>
      </c>
      <c r="P316" s="566">
        <f>VLOOKUP($A316,'01-02.2021'!$A$6:$CZ$403,16,FALSE)+VLOOKUP($A316,'1.3.21-28.2.22'!$A$6:$DA$404,16,FALSE)-VLOOKUP($A316,'01-02.2022'!$A$6:$DA$376,16,FALSE)</f>
        <v>7852.994999999999</v>
      </c>
      <c r="Q316" s="70">
        <f t="shared" si="324"/>
        <v>1.6161838663065282</v>
      </c>
      <c r="R316" s="566">
        <f>VLOOKUP($A316,'01-02.2021'!$A$6:$CZ$403,18,FALSE)+VLOOKUP($A316,'1.3.21-28.2.22'!$A$6:$DA$404,18,FALSE)-VLOOKUP($A316,'01-02.2022'!$A$6:$DA$376,18,FALSE)</f>
        <v>1991.0912874941168</v>
      </c>
      <c r="S316" s="566">
        <f>VLOOKUP($A316,'01-02.2021'!$A$6:$CZ$403,19,FALSE)+VLOOKUP($A316,'1.3.21-28.2.22'!$A$6:$DA$404,19,FALSE)-VLOOKUP($A316,'01-02.2022'!$A$6:$DA$376,19,FALSE)</f>
        <v>1993.3983333333338</v>
      </c>
      <c r="T316" s="70">
        <f t="shared" si="325"/>
        <v>2.3070458392169257</v>
      </c>
      <c r="U316" s="566">
        <f>VLOOKUP($A316,'01-02.2021'!$A$6:$CZ$403,21,FALSE)+VLOOKUP($A316,'1.3.21-28.2.22'!$A$6:$DA$404,21,FALSE)-VLOOKUP($A316,'01-02.2022'!$A$6:$DA$376,21,FALSE)</f>
        <v>1075.9180300625719</v>
      </c>
      <c r="V316" s="566">
        <f>VLOOKUP($A316,'01-02.2021'!$A$6:$CZ$403,22,FALSE)+VLOOKUP($A316,'1.3.21-28.2.22'!$A$6:$DA$404,22,FALSE)-VLOOKUP($A316,'01-02.2022'!$A$6:$DA$376,22,FALSE)</f>
        <v>914.38917516840229</v>
      </c>
      <c r="W316" s="70">
        <f t="shared" si="326"/>
        <v>-161.52885489416963</v>
      </c>
      <c r="X316" s="566">
        <f>VLOOKUP($A316,'01-02.2021'!$A$6:$CZ$403,24,FALSE)+VLOOKUP($A316,'1.3.21-28.2.22'!$A$6:$DA$404,24,FALSE)-VLOOKUP($A316,'01-02.2022'!$A$6:$DA$376,24,FALSE)</f>
        <v>8734.7443803431688</v>
      </c>
      <c r="Y316" s="566">
        <f>VLOOKUP($A316,'01-02.2021'!$A$6:$CZ$403,25,FALSE)+VLOOKUP($A316,'1.3.21-28.2.22'!$A$6:$DA$404,25,FALSE)-VLOOKUP($A316,'01-02.2022'!$A$6:$DA$376,25,FALSE)</f>
        <v>7483.6049226612067</v>
      </c>
      <c r="Z316" s="70">
        <f t="shared" si="327"/>
        <v>-1251.1394576819621</v>
      </c>
      <c r="AA316" s="566">
        <f>VLOOKUP($A316,'01-02.2021'!$A$6:$CZ$403,27,FALSE)+VLOOKUP($A316,'1.3.21-28.2.22'!$A$6:$DA$404,27,FALSE)-VLOOKUP($A316,'01-02.2022'!$A$6:$DA$376,27,FALSE)</f>
        <v>1354.4499999999998</v>
      </c>
      <c r="AB316" s="566">
        <f>VLOOKUP($A316,'01-02.2021'!$A$6:$CZ$403,28,FALSE)+VLOOKUP($A316,'1.3.21-28.2.22'!$A$6:$DA$404,28,FALSE)-VLOOKUP($A316,'01-02.2022'!$A$6:$DA$376,28,FALSE)</f>
        <v>0</v>
      </c>
      <c r="AC316" s="70">
        <f t="shared" si="328"/>
        <v>-1354.4499999999998</v>
      </c>
      <c r="AD316" s="566">
        <f>VLOOKUP($A316,'01-02.2021'!$A$6:$CZ$403,30,FALSE)+VLOOKUP($A316,'1.3.21-28.2.22'!$A$6:$DA$404,30,FALSE)-VLOOKUP($A316,'01-02.2022'!$A$6:$DA$376,30,FALSE)</f>
        <v>29065.597052634625</v>
      </c>
      <c r="AE316" s="566">
        <f>VLOOKUP($A316,'01-02.2021'!$A$6:$CZ$403,31,FALSE)+VLOOKUP($A316,'1.3.21-28.2.22'!$A$6:$DA$404,31,FALSE)-VLOOKUP($A316,'01-02.2022'!$A$6:$DA$376,31,FALSE)</f>
        <v>30821.949242139977</v>
      </c>
      <c r="AF316" s="68">
        <f t="shared" si="329"/>
        <v>1756.3521895053527</v>
      </c>
      <c r="AG316" s="77">
        <f t="shared" si="354"/>
        <v>79461.458165429896</v>
      </c>
      <c r="AH316" s="53">
        <f t="shared" si="354"/>
        <v>77940.950615015143</v>
      </c>
      <c r="AI316" s="52">
        <f t="shared" si="359"/>
        <v>-1520.5075504147535</v>
      </c>
      <c r="AJ316" s="566">
        <f>VLOOKUP($A316,'01-02.2021'!$A$6:$CZ$403,36,FALSE)+VLOOKUP($A316,'1.3.21-28.2.22'!$A$6:$DA$404,36,FALSE)-VLOOKUP($A316,'01-02.2022'!$A$6:$DA$376,36,FALSE)</f>
        <v>47744.352485601339</v>
      </c>
      <c r="AK316" s="566">
        <f>VLOOKUP($A316,'01-02.2021'!$A$6:$CZ$403,37,FALSE)+VLOOKUP($A316,'1.3.21-28.2.22'!$A$6:$DA$404,37,FALSE)-VLOOKUP($A316,'01-02.2022'!$A$6:$DA$376,37,FALSE)</f>
        <v>47285.192646515519</v>
      </c>
      <c r="AL316" s="70">
        <f t="shared" si="330"/>
        <v>-459.15983908581984</v>
      </c>
      <c r="AM316" s="566">
        <f>VLOOKUP($A316,'01-02.2021'!$A$6:$CZ$403,39,FALSE)+VLOOKUP($A316,'1.3.21-28.2.22'!$A$6:$DA$404,39,FALSE)-VLOOKUP($A316,'01-02.2022'!$A$6:$DA$376,39,FALSE)</f>
        <v>1446.1209718413761</v>
      </c>
      <c r="AN316" s="566">
        <f>VLOOKUP($A316,'01-02.2021'!$A$6:$CZ$403,40,FALSE)+VLOOKUP($A316,'1.3.21-28.2.22'!$A$6:$DA$404,40,FALSE)-VLOOKUP($A316,'01-02.2022'!$A$6:$DA$376,40,FALSE)</f>
        <v>1043.0412335713274</v>
      </c>
      <c r="AO316" s="70">
        <f t="shared" si="331"/>
        <v>-403.07973827004867</v>
      </c>
      <c r="AP316" s="566">
        <f>VLOOKUP($A316,'01-02.2021'!$A$6:$CZ$403,42,FALSE)+VLOOKUP($A316,'1.3.21-28.2.22'!$A$6:$DA$404,42,FALSE)-VLOOKUP($A316,'01-02.2022'!$A$6:$DA$376,42,FALSE)</f>
        <v>4858.5593001192556</v>
      </c>
      <c r="AQ316" s="566">
        <f>VLOOKUP($A316,'01-02.2021'!$A$6:$CZ$403,43,FALSE)+VLOOKUP($A316,'1.3.21-28.2.22'!$A$6:$DA$404,43,FALSE)-VLOOKUP($A316,'01-02.2022'!$A$6:$DA$376,43,FALSE)</f>
        <v>4302.7175180022887</v>
      </c>
      <c r="AR316" s="70">
        <f t="shared" si="332"/>
        <v>-555.8417821169669</v>
      </c>
      <c r="AS316" s="566">
        <f>VLOOKUP($A316,'01-02.2021'!$A$6:$CZ$403,45,FALSE)+VLOOKUP($A316,'1.3.21-28.2.22'!$A$6:$DA$404,45,FALSE)-VLOOKUP($A316,'01-02.2022'!$A$6:$DA$376,45,FALSE)</f>
        <v>78904.622368934681</v>
      </c>
      <c r="AT316" s="566">
        <f>VLOOKUP($A316,'01-02.2021'!$A$6:$CZ$403,46,FALSE)+VLOOKUP($A316,'1.3.21-28.2.22'!$A$6:$DA$404,46,FALSE)-VLOOKUP($A316,'01-02.2022'!$A$6:$DA$376,46,FALSE)</f>
        <v>70544.02</v>
      </c>
      <c r="AU316" s="78">
        <f t="shared" si="333"/>
        <v>-8360.6023689346766</v>
      </c>
      <c r="AV316" s="566">
        <f>VLOOKUP($A316,'01-02.2021'!$A$6:$CZ$403,48,FALSE)+VLOOKUP($A316,'1.3.21-28.2.22'!$A$6:$DA$404,48,FALSE)-VLOOKUP($A316,'01-02.2022'!$A$6:$DA$376,48,FALSE)</f>
        <v>5462.4394688043994</v>
      </c>
      <c r="AW316" s="566">
        <f>VLOOKUP($A316,'01-02.2021'!$A$6:$CZ$403,49,FALSE)+VLOOKUP($A316,'1.3.21-28.2.22'!$A$6:$DA$404,49,FALSE)-VLOOKUP($A316,'01-02.2022'!$A$6:$DA$376,49,FALSE)</f>
        <v>71</v>
      </c>
      <c r="AX316" s="55">
        <f t="shared" si="334"/>
        <v>-5391.4394688043994</v>
      </c>
      <c r="AY316" s="566">
        <f>VLOOKUP($A316,'01-02.2021'!$A$6:$CZ$403,51,FALSE)+VLOOKUP($A316,'1.3.21-28.2.22'!$A$6:$DA$404,51,FALSE)-VLOOKUP($A316,'01-02.2022'!$A$6:$DA$376,51,FALSE)</f>
        <v>6598.3168039834554</v>
      </c>
      <c r="AZ316" s="566">
        <f>VLOOKUP($A316,'01-02.2021'!$A$6:$CZ$403,52,FALSE)+VLOOKUP($A316,'1.3.21-28.2.22'!$A$6:$DA$404,52,FALSE)-VLOOKUP($A316,'01-02.2022'!$A$6:$DA$376,52,FALSE)</f>
        <v>3647</v>
      </c>
      <c r="BA316" s="38">
        <f t="shared" si="335"/>
        <v>-2951.3168039834554</v>
      </c>
      <c r="BB316" s="566">
        <f>VLOOKUP($A316,'01-02.2021'!$A$6:$CZ$403,54,FALSE)+VLOOKUP($A316,'1.3.21-28.2.22'!$A$6:$DA$404,54,FALSE)-VLOOKUP($A316,'01-02.2022'!$A$6:$DA$376,54,FALSE)</f>
        <v>3608.4673849591272</v>
      </c>
      <c r="BC316" s="566">
        <f>VLOOKUP($A316,'01-02.2021'!$A$6:$CZ$403,55,FALSE)+VLOOKUP($A316,'1.3.21-28.2.22'!$A$6:$DA$404,55,FALSE)-VLOOKUP($A316,'01-02.2022'!$A$6:$DA$376,55,FALSE)</f>
        <v>0</v>
      </c>
      <c r="BD316" s="55">
        <f t="shared" si="336"/>
        <v>-3608.4673849591272</v>
      </c>
      <c r="BE316" s="566">
        <f>VLOOKUP($A316,'01-02.2021'!$A$6:$CZ$403,57,FALSE)+VLOOKUP($A316,'1.3.21-28.2.22'!$A$6:$DA$404,57,FALSE)-VLOOKUP($A316,'01-02.2022'!$A$6:$DA$376,57,FALSE)</f>
        <v>4493.5134665874548</v>
      </c>
      <c r="BF316" s="566">
        <f>VLOOKUP($A316,'01-02.2021'!$A$6:$CZ$403,58,FALSE)+VLOOKUP($A316,'1.3.21-28.2.22'!$A$6:$DA$404,58,FALSE)-VLOOKUP($A316,'01-02.2022'!$A$6:$DA$376,58,FALSE)</f>
        <v>590</v>
      </c>
      <c r="BG316" s="55">
        <f t="shared" si="337"/>
        <v>-3903.5134665874548</v>
      </c>
      <c r="BH316" s="566">
        <f>VLOOKUP($A316,'01-02.2021'!$A$6:$CZ$403,60,FALSE)+VLOOKUP($A316,'1.3.21-28.2.22'!$A$6:$DA$404,60,FALSE)-VLOOKUP($A316,'01-02.2022'!$A$6:$DA$376,60,FALSE)</f>
        <v>2044.0317862356446</v>
      </c>
      <c r="BI316" s="566">
        <f>VLOOKUP($A316,'01-02.2021'!$A$6:$CZ$403,61,FALSE)+VLOOKUP($A316,'1.3.21-28.2.22'!$A$6:$DA$404,61,FALSE)-VLOOKUP($A316,'01-02.2022'!$A$6:$DA$376,61,FALSE)</f>
        <v>16</v>
      </c>
      <c r="BJ316" s="55">
        <f t="shared" si="338"/>
        <v>-2028.0317862356446</v>
      </c>
      <c r="BK316" s="566">
        <f>VLOOKUP($A316,'01-02.2021'!$A$6:$CZ$403,63,FALSE)+VLOOKUP($A316,'1.3.21-28.2.22'!$A$6:$DA$404,63,FALSE)-VLOOKUP($A316,'01-02.2022'!$A$6:$DA$376,63,FALSE)</f>
        <v>2376.0917211074056</v>
      </c>
      <c r="BL316" s="566">
        <f>VLOOKUP($A316,'01-02.2021'!$A$6:$CZ$403,64,FALSE)+VLOOKUP($A316,'1.3.21-28.2.22'!$A$6:$DA$404,64,FALSE)-VLOOKUP($A316,'01-02.2022'!$A$6:$DA$376,64,FALSE)</f>
        <v>299</v>
      </c>
      <c r="BM316" s="55">
        <f t="shared" si="339"/>
        <v>-2077.0917211074056</v>
      </c>
      <c r="BN316" s="566">
        <f>VLOOKUP($A316,'01-02.2021'!$A$6:$CZ$403,66,FALSE)+VLOOKUP($A316,'1.3.21-28.2.22'!$A$6:$DA$404,66,FALSE)-VLOOKUP($A316,'01-02.2022'!$A$6:$DA$376,66,FALSE)</f>
        <v>338.61249999999995</v>
      </c>
      <c r="BO316" s="566">
        <f>VLOOKUP($A316,'01-02.2021'!$A$6:$CZ$403,67,FALSE)+VLOOKUP($A316,'1.3.21-28.2.22'!$A$6:$DA$404,67,FALSE)-VLOOKUP($A316,'01-02.2022'!$A$6:$DA$376,67,FALSE)</f>
        <v>0</v>
      </c>
      <c r="BP316" s="55">
        <f t="shared" si="340"/>
        <v>-338.61249999999995</v>
      </c>
      <c r="BQ316" s="77">
        <f t="shared" si="348"/>
        <v>24921.473131677485</v>
      </c>
      <c r="BR316" s="40">
        <f t="shared" si="375"/>
        <v>4623</v>
      </c>
      <c r="BS316" s="55">
        <f t="shared" si="369"/>
        <v>-20298.473131677485</v>
      </c>
      <c r="BT316" s="566">
        <f>VLOOKUP($A316,'01-02.2021'!$A$6:$CZ$403,72,FALSE)+VLOOKUP($A316,'1.3.21-28.2.22'!$A$6:$DA$404,72,FALSE)-VLOOKUP($A316,'01-02.2022'!$A$6:$DA$376,72,FALSE)</f>
        <v>65430.445073017851</v>
      </c>
      <c r="BU316" s="566">
        <f>VLOOKUP($A316,'01-02.2021'!$A$6:$CZ$403,73,FALSE)+VLOOKUP($A316,'1.3.21-28.2.22'!$A$6:$DA$404,73,FALSE)-VLOOKUP($A316,'01-02.2022'!$A$6:$DA$376,73,FALSE)</f>
        <v>59683.008932310397</v>
      </c>
      <c r="BV316" s="70">
        <f t="shared" si="341"/>
        <v>-5747.4361407074539</v>
      </c>
      <c r="BW316" s="566">
        <f>VLOOKUP($A316,'01-02.2021'!$A$6:$CZ$403,75,FALSE)+VLOOKUP($A316,'1.3.21-28.2.22'!$A$6:$DA$404,75,FALSE)-VLOOKUP($A316,'01-02.2022'!$A$6:$DA$376,75,FALSE)</f>
        <v>53535.249220274141</v>
      </c>
      <c r="BX316" s="566">
        <f>VLOOKUP($A316,'01-02.2021'!$A$6:$CZ$403,76,FALSE)+VLOOKUP($A316,'1.3.21-28.2.22'!$A$6:$DA$404,76,FALSE)-VLOOKUP($A316,'01-02.2022'!$A$6:$DA$376,76,FALSE)</f>
        <v>52811.342336483613</v>
      </c>
      <c r="BY316" s="70">
        <f t="shared" si="342"/>
        <v>-723.90688379052881</v>
      </c>
      <c r="BZ316" s="566">
        <f>VLOOKUP($A316,'01-02.2021'!$A$6:$CZ$403,78,FALSE)+VLOOKUP($A316,'1.3.21-28.2.22'!$A$6:$DA$404,78,FALSE)-VLOOKUP($A316,'01-02.2022'!$A$6:$DA$376,78,FALSE)</f>
        <v>6770.5309053452847</v>
      </c>
      <c r="CA316" s="566">
        <f>VLOOKUP($A316,'01-02.2021'!$A$6:$CZ$403,79,FALSE)+VLOOKUP($A316,'1.3.21-28.2.22'!$A$6:$DA$404,79,FALSE)-VLOOKUP($A316,'01-02.2022'!$A$6:$DA$376,79,FALSE)</f>
        <v>13338.99076183531</v>
      </c>
      <c r="CB316" s="70">
        <f t="shared" si="343"/>
        <v>6568.4598564900252</v>
      </c>
      <c r="CC316" s="566">
        <f>VLOOKUP($A316,'01-02.2021'!$A$6:$CZ$403,81,FALSE)+VLOOKUP($A316,'1.3.21-28.2.22'!$A$6:$DA$404,81,FALSE)-VLOOKUP($A316,'01-02.2022'!$A$6:$DA$376,81,FALSE)</f>
        <v>598.25817438587478</v>
      </c>
      <c r="CD316" s="566">
        <f>VLOOKUP($A316,'01-02.2021'!$A$6:$CZ$403,82,FALSE)+VLOOKUP($A316,'1.3.21-28.2.22'!$A$6:$DA$404,82,FALSE)-VLOOKUP($A316,'01-02.2022'!$A$6:$DA$376,82,FALSE)</f>
        <v>642.20374109173395</v>
      </c>
      <c r="CE316" s="70">
        <f t="shared" si="344"/>
        <v>43.945566705859164</v>
      </c>
      <c r="CF316" s="566">
        <f>VLOOKUP($A316,'01-02.2021'!$A$6:$CZ$403,84,FALSE)+VLOOKUP($A316,'1.3.21-28.2.22'!$A$6:$DA$404,84,FALSE)-VLOOKUP($A316,'01-02.2022'!$A$6:$DA$376,84,FALSE)</f>
        <v>71.430550908654084</v>
      </c>
      <c r="CG316" s="566">
        <f>VLOOKUP($A316,'01-02.2021'!$A$6:$CZ$403,85,FALSE)+VLOOKUP($A316,'1.3.21-28.2.22'!$A$6:$DA$404,85,FALSE)-VLOOKUP($A316,'01-02.2022'!$A$6:$DA$376,85,FALSE)</f>
        <v>0</v>
      </c>
      <c r="CH316" s="70">
        <f t="shared" si="345"/>
        <v>-71.430550908654084</v>
      </c>
      <c r="CI316" s="566">
        <f>VLOOKUP($A316,'01-02.2021'!$A$6:$CZ$403,87,FALSE)+VLOOKUP($A316,'1.3.21-28.2.22'!$A$6:$DA$404,87,FALSE)-VLOOKUP($A316,'01-02.2022'!$A$6:$DA$376,87,FALSE)</f>
        <v>14822.425010887076</v>
      </c>
      <c r="CJ316" s="566">
        <f>VLOOKUP($A316,'01-02.2021'!$A$6:$CZ$403,88,FALSE)+VLOOKUP($A316,'1.3.21-28.2.22'!$A$6:$DA$404,88,FALSE)-VLOOKUP($A316,'01-02.2022'!$A$6:$DA$376,88,FALSE)</f>
        <v>12367.474566808984</v>
      </c>
      <c r="CK316" s="70">
        <f t="shared" si="346"/>
        <v>-2454.9504440780929</v>
      </c>
      <c r="CL316" s="566">
        <f>VLOOKUP($A316,'01-02.2021'!$A$6:$CZ$403,90,FALSE)+VLOOKUP($A316,'1.3.21-28.2.22'!$A$6:$DA$404,90,FALSE)-VLOOKUP($A316,'01-02.2022'!$A$6:$DA$376,90,FALSE)</f>
        <v>22233.645766330614</v>
      </c>
      <c r="CM316" s="566">
        <f>VLOOKUP($A316,'01-02.2021'!$A$6:$CZ$403,91,FALSE)+VLOOKUP($A316,'1.3.21-28.2.22'!$A$6:$DA$404,91,FALSE)-VLOOKUP($A316,'01-02.2022'!$A$6:$DA$376,91,FALSE)</f>
        <v>18555.889063315477</v>
      </c>
      <c r="CN316" s="52">
        <f t="shared" si="360"/>
        <v>-3677.7567030151367</v>
      </c>
      <c r="CO316" s="39">
        <f t="shared" si="355"/>
        <v>37056.07077721769</v>
      </c>
      <c r="CP316" s="40">
        <f t="shared" si="361"/>
        <v>30923.363630124462</v>
      </c>
      <c r="CQ316" s="52">
        <f t="shared" si="362"/>
        <v>-6132.7071470932278</v>
      </c>
      <c r="CR316" s="72">
        <f t="shared" si="356"/>
        <v>400798.57112475357</v>
      </c>
      <c r="CS316" s="5">
        <f t="shared" si="356"/>
        <v>363137.83141494979</v>
      </c>
      <c r="CT316" s="52">
        <f t="shared" si="363"/>
        <v>-37660.739709803776</v>
      </c>
      <c r="CU316" s="77">
        <f t="shared" si="364"/>
        <v>480958.28534970427</v>
      </c>
      <c r="CV316" s="65">
        <f t="shared" si="365"/>
        <v>435765.39769793971</v>
      </c>
      <c r="CW316" s="35">
        <f t="shared" si="366"/>
        <v>-45192.887651764555</v>
      </c>
      <c r="CX316" s="566">
        <f>VLOOKUP($A316,'01-02.2021'!$A$6:$CZ$403,102,FALSE)+VLOOKUP($A316,'1.3.21-28.2.22'!$A$6:$DA$404,102,FALSE)-VLOOKUP($A316,'01-02.2022'!$A$6:$DA$376,102,FALSE)</f>
        <v>16838.301882577827</v>
      </c>
      <c r="CY316" s="566">
        <f>VLOOKUP($A316,'01-02.2021'!$A$6:$CZ$403,103,FALSE)+VLOOKUP($A316,'1.3.21-28.2.22'!$A$6:$DA$404,103,FALSE)-VLOOKUP($A316,'01-02.2022'!$A$6:$DA$376,103,FALSE)</f>
        <v>62031.189534342331</v>
      </c>
      <c r="CZ316" s="52">
        <f t="shared" si="367"/>
        <v>45192.887651764504</v>
      </c>
      <c r="DA316" s="150">
        <f>'[2]побудинковий звіт'!DA316</f>
        <v>26474.675394089216</v>
      </c>
      <c r="DB316" s="2">
        <v>3</v>
      </c>
      <c r="DC316" s="414">
        <f>'[4]побудинковий звіт'!DC316</f>
        <v>56078.239999999998</v>
      </c>
      <c r="DD316" s="414">
        <f>'[4]побудинковий звіт'!DD316</f>
        <v>1312.9299999999998</v>
      </c>
      <c r="DE316" s="557">
        <f>'[4]побудинковий звіт'!DE316</f>
        <v>12059.430415005641</v>
      </c>
      <c r="DF316" s="557">
        <f>'[4]побудинковий звіт'!DF316</f>
        <v>464.79945743273663</v>
      </c>
      <c r="DG316" s="321">
        <f>VLOOKUP(A316,'кошти 01.03.2021'!$A$6:$D$401,4,)</f>
        <v>85056.210714647168</v>
      </c>
      <c r="DH316" s="40">
        <f>'[3]побудинковий звіт'!DJ316</f>
        <v>513772.74704701948</v>
      </c>
      <c r="DI316" s="422">
        <f>'[3]побудинковий звіт'!CU316+'[3]побудинковий звіт'!CX316</f>
        <v>44866.940127561618</v>
      </c>
      <c r="DJ316" s="306">
        <f>'[3]побудинковий звіт'!DM316</f>
        <v>5.5386908077964438</v>
      </c>
      <c r="DK316" s="306">
        <f>'[3]побудинковий звіт'!DN316</f>
        <v>6.7255476956885545</v>
      </c>
      <c r="DL316" s="306">
        <f>'[3]побудинковий звіт'!DO316</f>
        <v>4.5745983957241814</v>
      </c>
      <c r="DM316" s="28">
        <f t="shared" ref="DM316:DM317" si="376">DJ316*G316+(F316-G316)*DK316</f>
        <v>44018.809584994357</v>
      </c>
      <c r="DN316" s="28">
        <f>DL316*H316</f>
        <v>848.13054256726321</v>
      </c>
      <c r="DO316" s="423">
        <f t="shared" si="319"/>
        <v>44866.940127561618</v>
      </c>
      <c r="DP316" s="94">
        <f t="shared" si="320"/>
        <v>0</v>
      </c>
      <c r="DQ316" s="28">
        <f t="shared" si="321"/>
        <v>44866.940127561618</v>
      </c>
      <c r="DR316" s="318"/>
      <c r="DT316" s="8"/>
      <c r="DU316" s="5"/>
      <c r="DX316" s="5">
        <f t="shared" si="322"/>
        <v>124591.31460073459</v>
      </c>
      <c r="DY316" s="5">
        <f t="shared" si="323"/>
        <v>90200.423999999999</v>
      </c>
      <c r="DZ316" s="159">
        <f>'[3]побудинковий звіт'!EA316</f>
        <v>11383.169726642836</v>
      </c>
    </row>
    <row r="317" spans="1:130" x14ac:dyDescent="0.3">
      <c r="A317" s="325">
        <v>150000820</v>
      </c>
      <c r="B317" s="41" t="s">
        <v>763</v>
      </c>
      <c r="C317" s="42" t="s">
        <v>395</v>
      </c>
      <c r="D317" s="42"/>
      <c r="E317" s="293">
        <f t="shared" si="353"/>
        <v>4188.63</v>
      </c>
      <c r="F317" s="305">
        <f>'[3]побудинковий звіт'!F317</f>
        <v>4138.63</v>
      </c>
      <c r="G317" s="508">
        <f>'[3]побудинковий звіт'!G317</f>
        <v>406.76</v>
      </c>
      <c r="H317" s="560">
        <f>'[3]побудинковий звіт'!H317</f>
        <v>50</v>
      </c>
      <c r="I317" s="566">
        <f>VLOOKUP($A317,'01-02.2021'!$A$6:$CZ$403,9,FALSE)+VLOOKUP($A317,'1.3.21-28.2.22'!$A$6:$DA$404,9,FALSE)-VLOOKUP($A317,'01-02.2022'!$A$6:$DA$376,9,FALSE)</f>
        <v>13777.945812112877</v>
      </c>
      <c r="J317" s="566">
        <f>VLOOKUP($A317,'01-02.2021'!$A$6:$CZ$403,10,FALSE)+VLOOKUP($A317,'1.3.21-28.2.22'!$A$6:$DA$404,10,FALSE)-VLOOKUP($A317,'01-02.2022'!$A$6:$DA$376,10,FALSE)</f>
        <v>13531.363365152332</v>
      </c>
      <c r="K317" s="52">
        <f t="shared" si="357"/>
        <v>-246.58244696054498</v>
      </c>
      <c r="L317" s="566">
        <f>VLOOKUP($A317,'01-02.2021'!$A$6:$CZ$403,12,FALSE)+VLOOKUP($A317,'1.3.21-28.2.22'!$A$6:$DA$404,12,FALSE)-VLOOKUP($A317,'01-02.2022'!$A$6:$DA$376,12,FALSE)</f>
        <v>2672.4657463854355</v>
      </c>
      <c r="M317" s="566">
        <f>VLOOKUP($A317,'01-02.2021'!$A$6:$CZ$403,13,FALSE)+VLOOKUP($A317,'1.3.21-28.2.22'!$A$6:$DA$404,13,FALSE)-VLOOKUP($A317,'01-02.2022'!$A$6:$DA$376,13,FALSE)</f>
        <v>2668.3167377352411</v>
      </c>
      <c r="N317" s="52">
        <f t="shared" si="358"/>
        <v>-4.1490086501944461</v>
      </c>
      <c r="O317" s="566">
        <f>VLOOKUP($A317,'01-02.2021'!$A$6:$CZ$403,15,FALSE)+VLOOKUP($A317,'1.3.21-28.2.22'!$A$6:$DA$404,15,FALSE)-VLOOKUP($A317,'01-02.2022'!$A$6:$DA$376,15,FALSE)</f>
        <v>5042.618016482309</v>
      </c>
      <c r="P317" s="566">
        <f>VLOOKUP($A317,'01-02.2021'!$A$6:$CZ$403,16,FALSE)+VLOOKUP($A317,'1.3.21-28.2.22'!$A$6:$DA$404,16,FALSE)-VLOOKUP($A317,'01-02.2022'!$A$6:$DA$376,16,FALSE)</f>
        <v>5043.1266666666652</v>
      </c>
      <c r="Q317" s="70">
        <f t="shared" si="324"/>
        <v>0.50865018435615639</v>
      </c>
      <c r="R317" s="566">
        <f>VLOOKUP($A317,'01-02.2021'!$A$6:$CZ$403,18,FALSE)+VLOOKUP($A317,'1.3.21-28.2.22'!$A$6:$DA$404,18,FALSE)-VLOOKUP($A317,'01-02.2022'!$A$6:$DA$376,18,FALSE)</f>
        <v>1371.0231807354753</v>
      </c>
      <c r="S317" s="566">
        <f>VLOOKUP($A317,'01-02.2021'!$A$6:$CZ$403,19,FALSE)+VLOOKUP($A317,'1.3.21-28.2.22'!$A$6:$DA$404,19,FALSE)-VLOOKUP($A317,'01-02.2022'!$A$6:$DA$376,19,FALSE)</f>
        <v>1372.0650000000003</v>
      </c>
      <c r="T317" s="70">
        <f t="shared" si="325"/>
        <v>1.0418192645249746</v>
      </c>
      <c r="U317" s="566">
        <f>VLOOKUP($A317,'01-02.2021'!$A$6:$CZ$403,21,FALSE)+VLOOKUP($A317,'1.3.21-28.2.22'!$A$6:$DA$404,21,FALSE)-VLOOKUP($A317,'01-02.2022'!$A$6:$DA$376,21,FALSE)</f>
        <v>671.36656966572173</v>
      </c>
      <c r="V317" s="566">
        <f>VLOOKUP($A317,'01-02.2021'!$A$6:$CZ$403,22,FALSE)+VLOOKUP($A317,'1.3.21-28.2.22'!$A$6:$DA$404,22,FALSE)-VLOOKUP($A317,'01-02.2022'!$A$6:$DA$376,22,FALSE)</f>
        <v>570.57020852912501</v>
      </c>
      <c r="W317" s="70">
        <f t="shared" si="326"/>
        <v>-100.79636113659672</v>
      </c>
      <c r="X317" s="566">
        <f>VLOOKUP($A317,'01-02.2021'!$A$6:$CZ$403,24,FALSE)+VLOOKUP($A317,'1.3.21-28.2.22'!$A$6:$DA$404,24,FALSE)-VLOOKUP($A317,'01-02.2022'!$A$6:$DA$376,24,FALSE)</f>
        <v>5457.3708068637025</v>
      </c>
      <c r="Y317" s="566">
        <f>VLOOKUP($A317,'01-02.2021'!$A$6:$CZ$403,25,FALSE)+VLOOKUP($A317,'1.3.21-28.2.22'!$A$6:$DA$404,25,FALSE)-VLOOKUP($A317,'01-02.2022'!$A$6:$DA$376,25,FALSE)</f>
        <v>4861.588211024633</v>
      </c>
      <c r="Z317" s="70">
        <f t="shared" si="327"/>
        <v>-595.78259583906947</v>
      </c>
      <c r="AA317" s="566">
        <f>VLOOKUP($A317,'01-02.2021'!$A$6:$CZ$403,27,FALSE)+VLOOKUP($A317,'1.3.21-28.2.22'!$A$6:$DA$404,27,FALSE)-VLOOKUP($A317,'01-02.2022'!$A$6:$DA$376,27,FALSE)</f>
        <v>838.12999999999988</v>
      </c>
      <c r="AB317" s="566">
        <f>VLOOKUP($A317,'01-02.2021'!$A$6:$CZ$403,28,FALSE)+VLOOKUP($A317,'1.3.21-28.2.22'!$A$6:$DA$404,28,FALSE)-VLOOKUP($A317,'01-02.2022'!$A$6:$DA$376,28,FALSE)</f>
        <v>0</v>
      </c>
      <c r="AC317" s="70">
        <f t="shared" si="328"/>
        <v>-838.12999999999988</v>
      </c>
      <c r="AD317" s="566">
        <f>VLOOKUP($A317,'01-02.2021'!$A$6:$CZ$403,30,FALSE)+VLOOKUP($A317,'1.3.21-28.2.22'!$A$6:$DA$404,30,FALSE)-VLOOKUP($A317,'01-02.2022'!$A$6:$DA$376,30,FALSE)</f>
        <v>17989.995965001282</v>
      </c>
      <c r="AE317" s="566">
        <f>VLOOKUP($A317,'01-02.2021'!$A$6:$CZ$403,31,FALSE)+VLOOKUP($A317,'1.3.21-28.2.22'!$A$6:$DA$404,31,FALSE)-VLOOKUP($A317,'01-02.2022'!$A$6:$DA$376,31,FALSE)</f>
        <v>19066.81252932861</v>
      </c>
      <c r="AF317" s="68">
        <f t="shared" si="329"/>
        <v>1076.8165643273278</v>
      </c>
      <c r="AG317" s="77">
        <f t="shared" si="354"/>
        <v>47820.916097246809</v>
      </c>
      <c r="AH317" s="53">
        <f t="shared" si="354"/>
        <v>47113.842718436601</v>
      </c>
      <c r="AI317" s="52">
        <f t="shared" si="359"/>
        <v>-707.07337881020794</v>
      </c>
      <c r="AJ317" s="566">
        <f>VLOOKUP($A317,'01-02.2021'!$A$6:$CZ$403,36,FALSE)+VLOOKUP($A317,'1.3.21-28.2.22'!$A$6:$DA$404,36,FALSE)-VLOOKUP($A317,'01-02.2022'!$A$6:$DA$376,36,FALSE)</f>
        <v>38000.184112803319</v>
      </c>
      <c r="AK317" s="566">
        <f>VLOOKUP($A317,'01-02.2021'!$A$6:$CZ$403,37,FALSE)+VLOOKUP($A317,'1.3.21-28.2.22'!$A$6:$DA$404,37,FALSE)-VLOOKUP($A317,'01-02.2022'!$A$6:$DA$376,37,FALSE)</f>
        <v>37750.952117929199</v>
      </c>
      <c r="AL317" s="70">
        <f t="shared" si="330"/>
        <v>-249.23199487412057</v>
      </c>
      <c r="AM317" s="566">
        <f>VLOOKUP($A317,'01-02.2021'!$A$6:$CZ$403,39,FALSE)+VLOOKUP($A317,'1.3.21-28.2.22'!$A$6:$DA$404,39,FALSE)-VLOOKUP($A317,'01-02.2022'!$A$6:$DA$376,39,FALSE)</f>
        <v>0</v>
      </c>
      <c r="AN317" s="566">
        <f>VLOOKUP($A317,'01-02.2021'!$A$6:$CZ$403,40,FALSE)+VLOOKUP($A317,'1.3.21-28.2.22'!$A$6:$DA$404,40,FALSE)-VLOOKUP($A317,'01-02.2022'!$A$6:$DA$376,40,FALSE)</f>
        <v>0</v>
      </c>
      <c r="AO317" s="70">
        <f t="shared" si="331"/>
        <v>0</v>
      </c>
      <c r="AP317" s="566">
        <f>VLOOKUP($A317,'01-02.2021'!$A$6:$CZ$403,42,FALSE)+VLOOKUP($A317,'1.3.21-28.2.22'!$A$6:$DA$404,42,FALSE)-VLOOKUP($A317,'01-02.2022'!$A$6:$DA$376,42,FALSE)</f>
        <v>3079.9795563256007</v>
      </c>
      <c r="AQ317" s="566">
        <f>VLOOKUP($A317,'01-02.2021'!$A$6:$CZ$403,43,FALSE)+VLOOKUP($A317,'1.3.21-28.2.22'!$A$6:$DA$404,43,FALSE)-VLOOKUP($A317,'01-02.2022'!$A$6:$DA$376,43,FALSE)</f>
        <v>2727.6155694478794</v>
      </c>
      <c r="AR317" s="70">
        <f t="shared" si="332"/>
        <v>-352.36398687772135</v>
      </c>
      <c r="AS317" s="566">
        <f>VLOOKUP($A317,'01-02.2021'!$A$6:$CZ$403,45,FALSE)+VLOOKUP($A317,'1.3.21-28.2.22'!$A$6:$DA$404,45,FALSE)-VLOOKUP($A317,'01-02.2022'!$A$6:$DA$376,45,FALSE)</f>
        <v>55501.611479581181</v>
      </c>
      <c r="AT317" s="566">
        <f>VLOOKUP($A317,'01-02.2021'!$A$6:$CZ$403,46,FALSE)+VLOOKUP($A317,'1.3.21-28.2.22'!$A$6:$DA$404,46,FALSE)-VLOOKUP($A317,'01-02.2022'!$A$6:$DA$376,46,FALSE)</f>
        <v>22352.170000000002</v>
      </c>
      <c r="AU317" s="78">
        <f t="shared" si="333"/>
        <v>-33149.441479581175</v>
      </c>
      <c r="AV317" s="566">
        <f>VLOOKUP($A317,'01-02.2021'!$A$6:$CZ$403,48,FALSE)+VLOOKUP($A317,'1.3.21-28.2.22'!$A$6:$DA$404,48,FALSE)-VLOOKUP($A317,'01-02.2022'!$A$6:$DA$376,48,FALSE)</f>
        <v>2745.2549441424421</v>
      </c>
      <c r="AW317" s="566">
        <f>VLOOKUP($A317,'01-02.2021'!$A$6:$CZ$403,49,FALSE)+VLOOKUP($A317,'1.3.21-28.2.22'!$A$6:$DA$404,49,FALSE)-VLOOKUP($A317,'01-02.2022'!$A$6:$DA$376,49,FALSE)</f>
        <v>0</v>
      </c>
      <c r="AX317" s="55">
        <f t="shared" si="334"/>
        <v>-2745.2549441424421</v>
      </c>
      <c r="AY317" s="566">
        <f>VLOOKUP($A317,'01-02.2021'!$A$6:$CZ$403,51,FALSE)+VLOOKUP($A317,'1.3.21-28.2.22'!$A$6:$DA$404,51,FALSE)-VLOOKUP($A317,'01-02.2022'!$A$6:$DA$376,51,FALSE)</f>
        <v>4047.5829025296157</v>
      </c>
      <c r="AZ317" s="566">
        <f>VLOOKUP($A317,'01-02.2021'!$A$6:$CZ$403,52,FALSE)+VLOOKUP($A317,'1.3.21-28.2.22'!$A$6:$DA$404,52,FALSE)-VLOOKUP($A317,'01-02.2022'!$A$6:$DA$376,52,FALSE)</f>
        <v>5837</v>
      </c>
      <c r="BA317" s="38">
        <f t="shared" si="335"/>
        <v>1789.4170974703843</v>
      </c>
      <c r="BB317" s="566">
        <f>VLOOKUP($A317,'01-02.2021'!$A$6:$CZ$403,54,FALSE)+VLOOKUP($A317,'1.3.21-28.2.22'!$A$6:$DA$404,54,FALSE)-VLOOKUP($A317,'01-02.2022'!$A$6:$DA$376,54,FALSE)</f>
        <v>2265.3489051880779</v>
      </c>
      <c r="BC317" s="566">
        <f>VLOOKUP($A317,'01-02.2021'!$A$6:$CZ$403,55,FALSE)+VLOOKUP($A317,'1.3.21-28.2.22'!$A$6:$DA$404,55,FALSE)-VLOOKUP($A317,'01-02.2022'!$A$6:$DA$376,55,FALSE)</f>
        <v>0</v>
      </c>
      <c r="BD317" s="55">
        <f t="shared" si="336"/>
        <v>-2265.3489051880779</v>
      </c>
      <c r="BE317" s="566">
        <f>VLOOKUP($A317,'01-02.2021'!$A$6:$CZ$403,57,FALSE)+VLOOKUP($A317,'1.3.21-28.2.22'!$A$6:$DA$404,57,FALSE)-VLOOKUP($A317,'01-02.2022'!$A$6:$DA$376,57,FALSE)</f>
        <v>3179.6040412027837</v>
      </c>
      <c r="BF317" s="566">
        <f>VLOOKUP($A317,'01-02.2021'!$A$6:$CZ$403,58,FALSE)+VLOOKUP($A317,'1.3.21-28.2.22'!$A$6:$DA$404,58,FALSE)-VLOOKUP($A317,'01-02.2022'!$A$6:$DA$376,58,FALSE)</f>
        <v>638</v>
      </c>
      <c r="BG317" s="55">
        <f t="shared" si="337"/>
        <v>-2541.6040412027837</v>
      </c>
      <c r="BH317" s="566">
        <f>VLOOKUP($A317,'01-02.2021'!$A$6:$CZ$403,60,FALSE)+VLOOKUP($A317,'1.3.21-28.2.22'!$A$6:$DA$404,60,FALSE)-VLOOKUP($A317,'01-02.2022'!$A$6:$DA$376,60,FALSE)</f>
        <v>1275.6779514917541</v>
      </c>
      <c r="BI317" s="566">
        <f>VLOOKUP($A317,'01-02.2021'!$A$6:$CZ$403,61,FALSE)+VLOOKUP($A317,'1.3.21-28.2.22'!$A$6:$DA$404,61,FALSE)-VLOOKUP($A317,'01-02.2022'!$A$6:$DA$376,61,FALSE)</f>
        <v>0</v>
      </c>
      <c r="BJ317" s="55">
        <f t="shared" si="338"/>
        <v>-1275.6779514917541</v>
      </c>
      <c r="BK317" s="566">
        <f>VLOOKUP($A317,'01-02.2021'!$A$6:$CZ$403,63,FALSE)+VLOOKUP($A317,'1.3.21-28.2.22'!$A$6:$DA$404,63,FALSE)-VLOOKUP($A317,'01-02.2022'!$A$6:$DA$376,63,FALSE)</f>
        <v>1172.4922525628524</v>
      </c>
      <c r="BL317" s="566">
        <f>VLOOKUP($A317,'01-02.2021'!$A$6:$CZ$403,64,FALSE)+VLOOKUP($A317,'1.3.21-28.2.22'!$A$6:$DA$404,64,FALSE)-VLOOKUP($A317,'01-02.2022'!$A$6:$DA$376,64,FALSE)</f>
        <v>299</v>
      </c>
      <c r="BM317" s="55">
        <f t="shared" si="339"/>
        <v>-873.4922525628524</v>
      </c>
      <c r="BN317" s="566">
        <f>VLOOKUP($A317,'01-02.2021'!$A$6:$CZ$403,66,FALSE)+VLOOKUP($A317,'1.3.21-28.2.22'!$A$6:$DA$404,66,FALSE)-VLOOKUP($A317,'01-02.2022'!$A$6:$DA$376,66,FALSE)</f>
        <v>209.53249999999997</v>
      </c>
      <c r="BO317" s="566">
        <f>VLOOKUP($A317,'01-02.2021'!$A$6:$CZ$403,67,FALSE)+VLOOKUP($A317,'1.3.21-28.2.22'!$A$6:$DA$404,67,FALSE)-VLOOKUP($A317,'01-02.2022'!$A$6:$DA$376,67,FALSE)</f>
        <v>0</v>
      </c>
      <c r="BP317" s="55">
        <f t="shared" si="340"/>
        <v>-209.53249999999997</v>
      </c>
      <c r="BQ317" s="77">
        <f t="shared" si="348"/>
        <v>14895.493497117524</v>
      </c>
      <c r="BR317" s="40">
        <f t="shared" si="375"/>
        <v>6774</v>
      </c>
      <c r="BS317" s="55">
        <f t="shared" si="369"/>
        <v>-8121.4934971175244</v>
      </c>
      <c r="BT317" s="566">
        <f>VLOOKUP($A317,'01-02.2021'!$A$6:$CZ$403,72,FALSE)+VLOOKUP($A317,'1.3.21-28.2.22'!$A$6:$DA$404,72,FALSE)-VLOOKUP($A317,'01-02.2022'!$A$6:$DA$376,72,FALSE)</f>
        <v>56420.112226438483</v>
      </c>
      <c r="BU317" s="566">
        <f>VLOOKUP($A317,'01-02.2021'!$A$6:$CZ$403,73,FALSE)+VLOOKUP($A317,'1.3.21-28.2.22'!$A$6:$DA$404,73,FALSE)-VLOOKUP($A317,'01-02.2022'!$A$6:$DA$376,73,FALSE)</f>
        <v>44229.173822517681</v>
      </c>
      <c r="BV317" s="70">
        <f t="shared" si="341"/>
        <v>-12190.938403920802</v>
      </c>
      <c r="BW317" s="566">
        <f>VLOOKUP($A317,'01-02.2021'!$A$6:$CZ$403,75,FALSE)+VLOOKUP($A317,'1.3.21-28.2.22'!$A$6:$DA$404,75,FALSE)-VLOOKUP($A317,'01-02.2022'!$A$6:$DA$376,75,FALSE)</f>
        <v>34607.4677072021</v>
      </c>
      <c r="BX317" s="566">
        <f>VLOOKUP($A317,'01-02.2021'!$A$6:$CZ$403,76,FALSE)+VLOOKUP($A317,'1.3.21-28.2.22'!$A$6:$DA$404,76,FALSE)-VLOOKUP($A317,'01-02.2022'!$A$6:$DA$376,76,FALSE)</f>
        <v>27140.651881620342</v>
      </c>
      <c r="BY317" s="70">
        <f t="shared" si="342"/>
        <v>-7466.815825581758</v>
      </c>
      <c r="BZ317" s="566">
        <f>VLOOKUP($A317,'01-02.2021'!$A$6:$CZ$403,78,FALSE)+VLOOKUP($A317,'1.3.21-28.2.22'!$A$6:$DA$404,78,FALSE)-VLOOKUP($A317,'01-02.2022'!$A$6:$DA$376,78,FALSE)</f>
        <v>5369.3176077424951</v>
      </c>
      <c r="CA317" s="566">
        <f>VLOOKUP($A317,'01-02.2021'!$A$6:$CZ$403,79,FALSE)+VLOOKUP($A317,'1.3.21-28.2.22'!$A$6:$DA$404,79,FALSE)-VLOOKUP($A317,'01-02.2022'!$A$6:$DA$376,79,FALSE)</f>
        <v>10575.583468558718</v>
      </c>
      <c r="CB317" s="70">
        <f t="shared" si="343"/>
        <v>5206.2658608162228</v>
      </c>
      <c r="CC317" s="566">
        <f>VLOOKUP($A317,'01-02.2021'!$A$6:$CZ$403,81,FALSE)+VLOOKUP($A317,'1.3.21-28.2.22'!$A$6:$DA$404,81,FALSE)-VLOOKUP($A317,'01-02.2022'!$A$6:$DA$376,81,FALSE)</f>
        <v>1207.8519094341755</v>
      </c>
      <c r="CD317" s="566">
        <f>VLOOKUP($A317,'01-02.2021'!$A$6:$CZ$403,82,FALSE)+VLOOKUP($A317,'1.3.21-28.2.22'!$A$6:$DA$404,82,FALSE)-VLOOKUP($A317,'01-02.2022'!$A$6:$DA$376,82,FALSE)</f>
        <v>1313.5985613240014</v>
      </c>
      <c r="CE317" s="70">
        <f t="shared" si="344"/>
        <v>105.7466518898259</v>
      </c>
      <c r="CF317" s="566">
        <f>VLOOKUP($A317,'01-02.2021'!$A$6:$CZ$403,84,FALSE)+VLOOKUP($A317,'1.3.21-28.2.22'!$A$6:$DA$404,84,FALSE)-VLOOKUP($A317,'01-02.2022'!$A$6:$DA$376,84,FALSE)</f>
        <v>146.1079450404288</v>
      </c>
      <c r="CG317" s="566">
        <f>VLOOKUP($A317,'01-02.2021'!$A$6:$CZ$403,85,FALSE)+VLOOKUP($A317,'1.3.21-28.2.22'!$A$6:$DA$404,85,FALSE)-VLOOKUP($A317,'01-02.2022'!$A$6:$DA$376,85,FALSE)</f>
        <v>0</v>
      </c>
      <c r="CH317" s="70">
        <f t="shared" si="345"/>
        <v>-146.1079450404288</v>
      </c>
      <c r="CI317" s="566">
        <f>VLOOKUP($A317,'01-02.2021'!$A$6:$CZ$403,87,FALSE)+VLOOKUP($A317,'1.3.21-28.2.22'!$A$6:$DA$404,87,FALSE)-VLOOKUP($A317,'01-02.2022'!$A$6:$DA$376,87,FALSE)</f>
        <v>28998.100515682592</v>
      </c>
      <c r="CJ317" s="566">
        <f>VLOOKUP($A317,'01-02.2021'!$A$6:$CZ$403,88,FALSE)+VLOOKUP($A317,'1.3.21-28.2.22'!$A$6:$DA$404,88,FALSE)-VLOOKUP($A317,'01-02.2022'!$A$6:$DA$376,88,FALSE)</f>
        <v>25991.98138331846</v>
      </c>
      <c r="CK317" s="70">
        <f t="shared" si="346"/>
        <v>-3006.1191323641324</v>
      </c>
      <c r="CL317" s="566">
        <f>VLOOKUP($A317,'01-02.2021'!$A$6:$CZ$403,90,FALSE)+VLOOKUP($A317,'1.3.21-28.2.22'!$A$6:$DA$404,90,FALSE)-VLOOKUP($A317,'01-02.2022'!$A$6:$DA$376,90,FALSE)</f>
        <v>8810.3996377339718</v>
      </c>
      <c r="CM317" s="566">
        <f>VLOOKUP($A317,'01-02.2021'!$A$6:$CZ$403,91,FALSE)+VLOOKUP($A317,'1.3.21-28.2.22'!$A$6:$DA$404,91,FALSE)-VLOOKUP($A317,'01-02.2022'!$A$6:$DA$376,91,FALSE)</f>
        <v>9511.0301106849183</v>
      </c>
      <c r="CN317" s="52">
        <f t="shared" si="360"/>
        <v>700.63047295094657</v>
      </c>
      <c r="CO317" s="39">
        <f t="shared" si="355"/>
        <v>37808.500153416564</v>
      </c>
      <c r="CP317" s="40">
        <f t="shared" si="361"/>
        <v>35503.011494003382</v>
      </c>
      <c r="CQ317" s="52">
        <f t="shared" si="362"/>
        <v>-2305.4886594131822</v>
      </c>
      <c r="CR317" s="72">
        <f t="shared" si="356"/>
        <v>294857.54229234863</v>
      </c>
      <c r="CS317" s="5">
        <f t="shared" si="356"/>
        <v>235480.59963383779</v>
      </c>
      <c r="CT317" s="52">
        <f t="shared" si="363"/>
        <v>-59376.942658510845</v>
      </c>
      <c r="CU317" s="77">
        <f t="shared" si="364"/>
        <v>353829.05075081834</v>
      </c>
      <c r="CV317" s="65">
        <f t="shared" si="365"/>
        <v>282576.71956060536</v>
      </c>
      <c r="CW317" s="35">
        <f t="shared" si="366"/>
        <v>-71252.331190212979</v>
      </c>
      <c r="CX317" s="566">
        <f>VLOOKUP($A317,'01-02.2021'!$A$6:$CZ$403,102,FALSE)+VLOOKUP($A317,'1.3.21-28.2.22'!$A$6:$DA$404,102,FALSE)-VLOOKUP($A317,'01-02.2022'!$A$6:$DA$376,102,FALSE)</f>
        <v>10062.477778398061</v>
      </c>
      <c r="CY317" s="566">
        <f>VLOOKUP($A317,'01-02.2021'!$A$6:$CZ$403,103,FALSE)+VLOOKUP($A317,'1.3.21-28.2.22'!$A$6:$DA$404,103,FALSE)-VLOOKUP($A317,'01-02.2022'!$A$6:$DA$376,103,FALSE)</f>
        <v>81314.808968611163</v>
      </c>
      <c r="CZ317" s="52">
        <f t="shared" si="367"/>
        <v>71252.331190213095</v>
      </c>
      <c r="DA317" s="150">
        <f>'[2]побудинковий звіт'!DA317</f>
        <v>-2862.2315046763397</v>
      </c>
      <c r="DB317" s="2">
        <v>3</v>
      </c>
      <c r="DC317" s="414">
        <f>'[4]побудинковий звіт'!DC317</f>
        <v>43019.03</v>
      </c>
      <c r="DD317" s="414">
        <f>'[4]побудинковий звіт'!DD317</f>
        <v>-0.24</v>
      </c>
      <c r="DE317" s="557">
        <f>'[4]побудинковий звіт'!DE317</f>
        <v>10343.232215074826</v>
      </c>
      <c r="DF317" s="557">
        <f>'[4]побудинковий звіт'!DF317</f>
        <v>-283.35437089148394</v>
      </c>
      <c r="DG317" s="321">
        <f>VLOOKUP(A317,'кошти 01.03.2021'!$A$6:$D$401,4,)</f>
        <v>83435.673630770616</v>
      </c>
      <c r="DH317" s="40">
        <f>'[3]побудинковий звіт'!DJ317</f>
        <v>376344.50430772215</v>
      </c>
      <c r="DI317" s="422">
        <f>'[3]побудинковий звіт'!CU317+'[3]побудинковий звіт'!CX317</f>
        <v>32958.912155816659</v>
      </c>
      <c r="DJ317" s="306">
        <f>'[3]побудинковий звіт'!DM317</f>
        <v>6.6549573341133863</v>
      </c>
      <c r="DK317" s="306">
        <f>'[3]побудинковий звіт'!DN317</f>
        <v>8.03051213994625</v>
      </c>
      <c r="DL317" s="306">
        <f>'[3]побудинковий звіт'!DO317</f>
        <v>5.6622874178296785</v>
      </c>
      <c r="DM317" s="28">
        <f t="shared" si="376"/>
        <v>32675.797784925173</v>
      </c>
      <c r="DN317" s="28">
        <f>DL317*H317</f>
        <v>283.11437089148393</v>
      </c>
      <c r="DO317" s="423">
        <f t="shared" si="319"/>
        <v>32958.912155816659</v>
      </c>
      <c r="DP317" s="94">
        <f t="shared" si="320"/>
        <v>0</v>
      </c>
      <c r="DQ317" s="28">
        <f t="shared" si="321"/>
        <v>32958.912155816659</v>
      </c>
      <c r="DR317" s="318"/>
      <c r="DT317" s="8"/>
      <c r="DU317" s="5"/>
      <c r="DX317" s="5">
        <f t="shared" si="322"/>
        <v>84476.525972038435</v>
      </c>
      <c r="DY317" s="5">
        <f t="shared" si="323"/>
        <v>34951.404000000002</v>
      </c>
      <c r="DZ317" s="159">
        <f>'[3]побудинковий звіт'!EA317</f>
        <v>8006.5759671986898</v>
      </c>
    </row>
    <row r="318" spans="1:130" x14ac:dyDescent="0.3">
      <c r="A318" s="325">
        <v>150000799</v>
      </c>
      <c r="B318" s="41" t="s">
        <v>764</v>
      </c>
      <c r="C318" s="42" t="s">
        <v>293</v>
      </c>
      <c r="D318" s="42"/>
      <c r="E318" s="293">
        <f t="shared" si="353"/>
        <v>2066.5</v>
      </c>
      <c r="F318" s="305">
        <f>'[3]побудинковий звіт'!F318</f>
        <v>1762.3</v>
      </c>
      <c r="G318" s="508">
        <f>'[3]побудинковий звіт'!G318</f>
        <v>0</v>
      </c>
      <c r="H318" s="560">
        <f>'[3]побудинковий звіт'!H318</f>
        <v>304.2</v>
      </c>
      <c r="I318" s="566">
        <f>VLOOKUP($A318,'01-02.2021'!$A$6:$CZ$403,9,FALSE)+VLOOKUP($A318,'1.3.21-28.2.22'!$A$6:$DA$404,9,FALSE)-VLOOKUP($A318,'01-02.2022'!$A$6:$DA$376,9,FALSE)</f>
        <v>6260.4344820391634</v>
      </c>
      <c r="J318" s="566">
        <f>VLOOKUP($A318,'01-02.2021'!$A$6:$CZ$403,10,FALSE)+VLOOKUP($A318,'1.3.21-28.2.22'!$A$6:$DA$404,10,FALSE)-VLOOKUP($A318,'01-02.2022'!$A$6:$DA$376,10,FALSE)</f>
        <v>6883.3874278387821</v>
      </c>
      <c r="K318" s="52">
        <f t="shared" si="357"/>
        <v>622.95294579961865</v>
      </c>
      <c r="L318" s="566">
        <f>VLOOKUP($A318,'01-02.2021'!$A$6:$CZ$403,12,FALSE)+VLOOKUP($A318,'1.3.21-28.2.22'!$A$6:$DA$404,12,FALSE)-VLOOKUP($A318,'01-02.2022'!$A$6:$DA$376,12,FALSE)</f>
        <v>1228.6221804293932</v>
      </c>
      <c r="M318" s="566">
        <f>VLOOKUP($A318,'01-02.2021'!$A$6:$CZ$403,13,FALSE)+VLOOKUP($A318,'1.3.21-28.2.22'!$A$6:$DA$404,13,FALSE)-VLOOKUP($A318,'01-02.2022'!$A$6:$DA$376,13,FALSE)</f>
        <v>1352.7587106619023</v>
      </c>
      <c r="N318" s="52">
        <f t="shared" si="358"/>
        <v>124.13653023250913</v>
      </c>
      <c r="O318" s="566">
        <f>VLOOKUP($A318,'01-02.2021'!$A$6:$CZ$403,15,FALSE)+VLOOKUP($A318,'1.3.21-28.2.22'!$A$6:$DA$404,15,FALSE)-VLOOKUP($A318,'01-02.2022'!$A$6:$DA$376,15,FALSE)</f>
        <v>2533.1954329320502</v>
      </c>
      <c r="P318" s="566">
        <f>VLOOKUP($A318,'01-02.2021'!$A$6:$CZ$403,16,FALSE)+VLOOKUP($A318,'1.3.21-28.2.22'!$A$6:$DA$404,16,FALSE)-VLOOKUP($A318,'01-02.2022'!$A$6:$DA$376,16,FALSE)</f>
        <v>2533.1799999999998</v>
      </c>
      <c r="Q318" s="70">
        <f t="shared" si="324"/>
        <v>-1.5432932050316595E-2</v>
      </c>
      <c r="R318" s="566">
        <f>VLOOKUP($A318,'01-02.2021'!$A$6:$CZ$403,18,FALSE)+VLOOKUP($A318,'1.3.21-28.2.22'!$A$6:$DA$404,18,FALSE)-VLOOKUP($A318,'01-02.2022'!$A$6:$DA$376,18,FALSE)</f>
        <v>0</v>
      </c>
      <c r="S318" s="566">
        <f>VLOOKUP($A318,'01-02.2021'!$A$6:$CZ$403,19,FALSE)+VLOOKUP($A318,'1.3.21-28.2.22'!$A$6:$DA$404,19,FALSE)-VLOOKUP($A318,'01-02.2022'!$A$6:$DA$376,19,FALSE)</f>
        <v>0</v>
      </c>
      <c r="T318" s="70">
        <f t="shared" si="325"/>
        <v>0</v>
      </c>
      <c r="U318" s="566">
        <f>VLOOKUP($A318,'01-02.2021'!$A$6:$CZ$403,21,FALSE)+VLOOKUP($A318,'1.3.21-28.2.22'!$A$6:$DA$404,21,FALSE)-VLOOKUP($A318,'01-02.2022'!$A$6:$DA$376,21,FALSE)</f>
        <v>0</v>
      </c>
      <c r="V318" s="566">
        <f>VLOOKUP($A318,'01-02.2021'!$A$6:$CZ$403,22,FALSE)+VLOOKUP($A318,'1.3.21-28.2.22'!$A$6:$DA$404,22,FALSE)-VLOOKUP($A318,'01-02.2022'!$A$6:$DA$376,22,FALSE)</f>
        <v>0</v>
      </c>
      <c r="W318" s="70">
        <f t="shared" si="326"/>
        <v>0</v>
      </c>
      <c r="X318" s="566">
        <f>VLOOKUP($A318,'01-02.2021'!$A$6:$CZ$403,24,FALSE)+VLOOKUP($A318,'1.3.21-28.2.22'!$A$6:$DA$404,24,FALSE)-VLOOKUP($A318,'01-02.2022'!$A$6:$DA$376,24,FALSE)</f>
        <v>3162.919101647642</v>
      </c>
      <c r="Y318" s="566">
        <f>VLOOKUP($A318,'01-02.2021'!$A$6:$CZ$403,25,FALSE)+VLOOKUP($A318,'1.3.21-28.2.22'!$A$6:$DA$404,25,FALSE)-VLOOKUP($A318,'01-02.2022'!$A$6:$DA$376,25,FALSE)</f>
        <v>2806.8089508447842</v>
      </c>
      <c r="Z318" s="70">
        <f t="shared" si="327"/>
        <v>-356.11015080285779</v>
      </c>
      <c r="AA318" s="566">
        <f>VLOOKUP($A318,'01-02.2021'!$A$6:$CZ$403,27,FALSE)+VLOOKUP($A318,'1.3.21-28.2.22'!$A$6:$DA$404,27,FALSE)-VLOOKUP($A318,'01-02.2022'!$A$6:$DA$376,27,FALSE)</f>
        <v>417.08000000000004</v>
      </c>
      <c r="AB318" s="566">
        <f>VLOOKUP($A318,'01-02.2021'!$A$6:$CZ$403,28,FALSE)+VLOOKUP($A318,'1.3.21-28.2.22'!$A$6:$DA$404,28,FALSE)-VLOOKUP($A318,'01-02.2022'!$A$6:$DA$376,28,FALSE)</f>
        <v>0</v>
      </c>
      <c r="AC318" s="70">
        <f t="shared" si="328"/>
        <v>-417.08000000000004</v>
      </c>
      <c r="AD318" s="566">
        <f>VLOOKUP($A318,'01-02.2021'!$A$6:$CZ$403,30,FALSE)+VLOOKUP($A318,'1.3.21-28.2.22'!$A$6:$DA$404,30,FALSE)-VLOOKUP($A318,'01-02.2022'!$A$6:$DA$376,30,FALSE)</f>
        <v>8878.1917159987079</v>
      </c>
      <c r="AE318" s="566">
        <f>VLOOKUP($A318,'01-02.2021'!$A$6:$CZ$403,31,FALSE)+VLOOKUP($A318,'1.3.21-28.2.22'!$A$6:$DA$404,31,FALSE)-VLOOKUP($A318,'01-02.2022'!$A$6:$DA$376,31,FALSE)</f>
        <v>9406.7912639353617</v>
      </c>
      <c r="AF318" s="68">
        <f t="shared" si="329"/>
        <v>528.59954793665383</v>
      </c>
      <c r="AG318" s="77">
        <f t="shared" si="354"/>
        <v>22480.442913046958</v>
      </c>
      <c r="AH318" s="53">
        <f t="shared" si="354"/>
        <v>22982.926353280833</v>
      </c>
      <c r="AI318" s="52">
        <f t="shared" si="359"/>
        <v>502.48344023387472</v>
      </c>
      <c r="AJ318" s="566">
        <f>VLOOKUP($A318,'01-02.2021'!$A$6:$CZ$403,36,FALSE)+VLOOKUP($A318,'1.3.21-28.2.22'!$A$6:$DA$404,36,FALSE)-VLOOKUP($A318,'01-02.2022'!$A$6:$DA$376,36,FALSE)</f>
        <v>0</v>
      </c>
      <c r="AK318" s="566">
        <f>VLOOKUP($A318,'01-02.2021'!$A$6:$CZ$403,37,FALSE)+VLOOKUP($A318,'1.3.21-28.2.22'!$A$6:$DA$404,37,FALSE)-VLOOKUP($A318,'01-02.2022'!$A$6:$DA$376,37,FALSE)</f>
        <v>0</v>
      </c>
      <c r="AL318" s="70">
        <f t="shared" si="330"/>
        <v>0</v>
      </c>
      <c r="AM318" s="566">
        <f>VLOOKUP($A318,'01-02.2021'!$A$6:$CZ$403,39,FALSE)+VLOOKUP($A318,'1.3.21-28.2.22'!$A$6:$DA$404,39,FALSE)-VLOOKUP($A318,'01-02.2022'!$A$6:$DA$376,39,FALSE)</f>
        <v>0</v>
      </c>
      <c r="AN318" s="566">
        <f>VLOOKUP($A318,'01-02.2021'!$A$6:$CZ$403,40,FALSE)+VLOOKUP($A318,'1.3.21-28.2.22'!$A$6:$DA$404,40,FALSE)-VLOOKUP($A318,'01-02.2022'!$A$6:$DA$376,40,FALSE)</f>
        <v>0</v>
      </c>
      <c r="AO318" s="70">
        <f t="shared" si="331"/>
        <v>0</v>
      </c>
      <c r="AP318" s="566">
        <f>VLOOKUP($A318,'01-02.2021'!$A$6:$CZ$403,42,FALSE)+VLOOKUP($A318,'1.3.21-28.2.22'!$A$6:$DA$404,42,FALSE)-VLOOKUP($A318,'01-02.2022'!$A$6:$DA$376,42,FALSE)</f>
        <v>4685.0393251149972</v>
      </c>
      <c r="AQ318" s="566">
        <f>VLOOKUP($A318,'01-02.2021'!$A$6:$CZ$403,43,FALSE)+VLOOKUP($A318,'1.3.21-28.2.22'!$A$6:$DA$404,43,FALSE)-VLOOKUP($A318,'01-02.2022'!$A$6:$DA$376,43,FALSE)</f>
        <v>4043.640538289254</v>
      </c>
      <c r="AR318" s="70">
        <f t="shared" si="332"/>
        <v>-641.39878682574317</v>
      </c>
      <c r="AS318" s="566">
        <f>VLOOKUP($A318,'01-02.2021'!$A$6:$CZ$403,45,FALSE)+VLOOKUP($A318,'1.3.21-28.2.22'!$A$6:$DA$404,45,FALSE)-VLOOKUP($A318,'01-02.2022'!$A$6:$DA$376,45,FALSE)</f>
        <v>13895.240744397448</v>
      </c>
      <c r="AT318" s="566">
        <f>VLOOKUP($A318,'01-02.2021'!$A$6:$CZ$403,46,FALSE)+VLOOKUP($A318,'1.3.21-28.2.22'!$A$6:$DA$404,46,FALSE)-VLOOKUP($A318,'01-02.2022'!$A$6:$DA$376,46,FALSE)</f>
        <v>34635.5</v>
      </c>
      <c r="AU318" s="78">
        <f t="shared" si="333"/>
        <v>20740.259255602552</v>
      </c>
      <c r="AV318" s="566">
        <f>VLOOKUP($A318,'01-02.2021'!$A$6:$CZ$403,48,FALSE)+VLOOKUP($A318,'1.3.21-28.2.22'!$A$6:$DA$404,48,FALSE)-VLOOKUP($A318,'01-02.2022'!$A$6:$DA$376,48,FALSE)</f>
        <v>1798.9062379981631</v>
      </c>
      <c r="AW318" s="566">
        <f>VLOOKUP($A318,'01-02.2021'!$A$6:$CZ$403,49,FALSE)+VLOOKUP($A318,'1.3.21-28.2.22'!$A$6:$DA$404,49,FALSE)-VLOOKUP($A318,'01-02.2022'!$A$6:$DA$376,49,FALSE)</f>
        <v>0</v>
      </c>
      <c r="AX318" s="55">
        <f t="shared" si="334"/>
        <v>-1798.9062379981631</v>
      </c>
      <c r="AY318" s="566">
        <f>VLOOKUP($A318,'01-02.2021'!$A$6:$CZ$403,51,FALSE)+VLOOKUP($A318,'1.3.21-28.2.22'!$A$6:$DA$404,51,FALSE)-VLOOKUP($A318,'01-02.2022'!$A$6:$DA$376,51,FALSE)</f>
        <v>2309.335362118848</v>
      </c>
      <c r="AZ318" s="566">
        <f>VLOOKUP($A318,'01-02.2021'!$A$6:$CZ$403,52,FALSE)+VLOOKUP($A318,'1.3.21-28.2.22'!$A$6:$DA$404,52,FALSE)-VLOOKUP($A318,'01-02.2022'!$A$6:$DA$376,52,FALSE)</f>
        <v>0</v>
      </c>
      <c r="BA318" s="38">
        <f t="shared" si="335"/>
        <v>-2309.335362118848</v>
      </c>
      <c r="BB318" s="566">
        <f>VLOOKUP($A318,'01-02.2021'!$A$6:$CZ$403,54,FALSE)+VLOOKUP($A318,'1.3.21-28.2.22'!$A$6:$DA$404,54,FALSE)-VLOOKUP($A318,'01-02.2022'!$A$6:$DA$376,54,FALSE)</f>
        <v>1255.0135104161986</v>
      </c>
      <c r="BC318" s="566">
        <f>VLOOKUP($A318,'01-02.2021'!$A$6:$CZ$403,55,FALSE)+VLOOKUP($A318,'1.3.21-28.2.22'!$A$6:$DA$404,55,FALSE)-VLOOKUP($A318,'01-02.2022'!$A$6:$DA$376,55,FALSE)</f>
        <v>0</v>
      </c>
      <c r="BD318" s="55">
        <f t="shared" si="336"/>
        <v>-1255.0135104161986</v>
      </c>
      <c r="BE318" s="566">
        <f>VLOOKUP($A318,'01-02.2021'!$A$6:$CZ$403,57,FALSE)+VLOOKUP($A318,'1.3.21-28.2.22'!$A$6:$DA$404,57,FALSE)-VLOOKUP($A318,'01-02.2022'!$A$6:$DA$376,57,FALSE)</f>
        <v>0</v>
      </c>
      <c r="BF318" s="566">
        <f>VLOOKUP($A318,'01-02.2021'!$A$6:$CZ$403,58,FALSE)+VLOOKUP($A318,'1.3.21-28.2.22'!$A$6:$DA$404,58,FALSE)-VLOOKUP($A318,'01-02.2022'!$A$6:$DA$376,58,FALSE)</f>
        <v>0</v>
      </c>
      <c r="BG318" s="55">
        <f t="shared" si="337"/>
        <v>0</v>
      </c>
      <c r="BH318" s="566">
        <f>VLOOKUP($A318,'01-02.2021'!$A$6:$CZ$403,60,FALSE)+VLOOKUP($A318,'1.3.21-28.2.22'!$A$6:$DA$404,60,FALSE)-VLOOKUP($A318,'01-02.2022'!$A$6:$DA$376,60,FALSE)</f>
        <v>0</v>
      </c>
      <c r="BI318" s="566">
        <f>VLOOKUP($A318,'01-02.2021'!$A$6:$CZ$403,61,FALSE)+VLOOKUP($A318,'1.3.21-28.2.22'!$A$6:$DA$404,61,FALSE)-VLOOKUP($A318,'01-02.2022'!$A$6:$DA$376,61,FALSE)</f>
        <v>0</v>
      </c>
      <c r="BJ318" s="55">
        <f t="shared" si="338"/>
        <v>0</v>
      </c>
      <c r="BK318" s="566">
        <f>VLOOKUP($A318,'01-02.2021'!$A$6:$CZ$403,63,FALSE)+VLOOKUP($A318,'1.3.21-28.2.22'!$A$6:$DA$404,63,FALSE)-VLOOKUP($A318,'01-02.2022'!$A$6:$DA$376,63,FALSE)</f>
        <v>875.8393011174719</v>
      </c>
      <c r="BL318" s="566">
        <f>VLOOKUP($A318,'01-02.2021'!$A$6:$CZ$403,64,FALSE)+VLOOKUP($A318,'1.3.21-28.2.22'!$A$6:$DA$404,64,FALSE)-VLOOKUP($A318,'01-02.2022'!$A$6:$DA$376,64,FALSE)</f>
        <v>1454</v>
      </c>
      <c r="BM318" s="55">
        <f t="shared" si="339"/>
        <v>578.1606988825281</v>
      </c>
      <c r="BN318" s="566">
        <f>VLOOKUP($A318,'01-02.2021'!$A$6:$CZ$403,66,FALSE)+VLOOKUP($A318,'1.3.21-28.2.22'!$A$6:$DA$404,66,FALSE)-VLOOKUP($A318,'01-02.2022'!$A$6:$DA$376,66,FALSE)</f>
        <v>104.27000000000001</v>
      </c>
      <c r="BO318" s="566">
        <f>VLOOKUP($A318,'01-02.2021'!$A$6:$CZ$403,67,FALSE)+VLOOKUP($A318,'1.3.21-28.2.22'!$A$6:$DA$404,67,FALSE)-VLOOKUP($A318,'01-02.2022'!$A$6:$DA$376,67,FALSE)</f>
        <v>0</v>
      </c>
      <c r="BP318" s="55">
        <f t="shared" si="340"/>
        <v>-104.27000000000001</v>
      </c>
      <c r="BQ318" s="77">
        <f t="shared" si="348"/>
        <v>6343.3644116506821</v>
      </c>
      <c r="BR318" s="40">
        <f t="shared" si="375"/>
        <v>1454</v>
      </c>
      <c r="BS318" s="55">
        <f t="shared" si="369"/>
        <v>-4889.3644116506821</v>
      </c>
      <c r="BT318" s="566">
        <f>VLOOKUP($A318,'01-02.2021'!$A$6:$CZ$403,72,FALSE)+VLOOKUP($A318,'1.3.21-28.2.22'!$A$6:$DA$404,72,FALSE)-VLOOKUP($A318,'01-02.2022'!$A$6:$DA$376,72,FALSE)</f>
        <v>5380.2138332411887</v>
      </c>
      <c r="BU318" s="566">
        <f>VLOOKUP($A318,'01-02.2021'!$A$6:$CZ$403,73,FALSE)+VLOOKUP($A318,'1.3.21-28.2.22'!$A$6:$DA$404,73,FALSE)-VLOOKUP($A318,'01-02.2022'!$A$6:$DA$376,73,FALSE)</f>
        <v>7339.9924224491579</v>
      </c>
      <c r="BV318" s="70">
        <f t="shared" si="341"/>
        <v>1959.7785892079692</v>
      </c>
      <c r="BW318" s="566">
        <f>VLOOKUP($A318,'01-02.2021'!$A$6:$CZ$403,75,FALSE)+VLOOKUP($A318,'1.3.21-28.2.22'!$A$6:$DA$404,75,FALSE)-VLOOKUP($A318,'01-02.2022'!$A$6:$DA$376,75,FALSE)</f>
        <v>8689.9148946153873</v>
      </c>
      <c r="BX318" s="566">
        <f>VLOOKUP($A318,'01-02.2021'!$A$6:$CZ$403,76,FALSE)+VLOOKUP($A318,'1.3.21-28.2.22'!$A$6:$DA$404,76,FALSE)-VLOOKUP($A318,'01-02.2022'!$A$6:$DA$376,76,FALSE)</f>
        <v>8308.4977102422672</v>
      </c>
      <c r="BY318" s="70">
        <f t="shared" si="342"/>
        <v>-381.41718437312011</v>
      </c>
      <c r="BZ318" s="566">
        <f>VLOOKUP($A318,'01-02.2021'!$A$6:$CZ$403,78,FALSE)+VLOOKUP($A318,'1.3.21-28.2.22'!$A$6:$DA$404,78,FALSE)-VLOOKUP($A318,'01-02.2022'!$A$6:$DA$376,78,FALSE)</f>
        <v>3381.2202786991784</v>
      </c>
      <c r="CA318" s="566">
        <f>VLOOKUP($A318,'01-02.2021'!$A$6:$CZ$403,79,FALSE)+VLOOKUP($A318,'1.3.21-28.2.22'!$A$6:$DA$404,79,FALSE)-VLOOKUP($A318,'01-02.2022'!$A$6:$DA$376,79,FALSE)</f>
        <v>2306.6888313877771</v>
      </c>
      <c r="CB318" s="70">
        <f t="shared" si="343"/>
        <v>-1074.5314473114013</v>
      </c>
      <c r="CC318" s="566">
        <f>VLOOKUP($A318,'01-02.2021'!$A$6:$CZ$403,81,FALSE)+VLOOKUP($A318,'1.3.21-28.2.22'!$A$6:$DA$404,81,FALSE)-VLOOKUP($A318,'01-02.2022'!$A$6:$DA$376,81,FALSE)</f>
        <v>669.82336734864737</v>
      </c>
      <c r="CD318" s="566">
        <f>VLOOKUP($A318,'01-02.2021'!$A$6:$CZ$403,82,FALSE)+VLOOKUP($A318,'1.3.21-28.2.22'!$A$6:$DA$404,82,FALSE)-VLOOKUP($A318,'01-02.2022'!$A$6:$DA$376,82,FALSE)</f>
        <v>732.11226484457666</v>
      </c>
      <c r="CE318" s="70">
        <f t="shared" si="344"/>
        <v>62.288897495929291</v>
      </c>
      <c r="CF318" s="566">
        <f>VLOOKUP($A318,'01-02.2021'!$A$6:$CZ$403,84,FALSE)+VLOOKUP($A318,'1.3.21-28.2.22'!$A$6:$DA$404,84,FALSE)-VLOOKUP($A318,'01-02.2022'!$A$6:$DA$376,84,FALSE)</f>
        <v>81.430828035865659</v>
      </c>
      <c r="CG318" s="566">
        <f>VLOOKUP($A318,'01-02.2021'!$A$6:$CZ$403,85,FALSE)+VLOOKUP($A318,'1.3.21-28.2.22'!$A$6:$DA$404,85,FALSE)-VLOOKUP($A318,'01-02.2022'!$A$6:$DA$376,85,FALSE)</f>
        <v>0</v>
      </c>
      <c r="CH318" s="70">
        <f t="shared" si="345"/>
        <v>-81.430828035865659</v>
      </c>
      <c r="CI318" s="566">
        <f>VLOOKUP($A318,'01-02.2021'!$A$6:$CZ$403,87,FALSE)+VLOOKUP($A318,'1.3.21-28.2.22'!$A$6:$DA$404,87,FALSE)-VLOOKUP($A318,'01-02.2022'!$A$6:$DA$376,87,FALSE)</f>
        <v>2977.1762347711224</v>
      </c>
      <c r="CJ318" s="566">
        <f>VLOOKUP($A318,'01-02.2021'!$A$6:$CZ$403,88,FALSE)+VLOOKUP($A318,'1.3.21-28.2.22'!$A$6:$DA$404,88,FALSE)-VLOOKUP($A318,'01-02.2022'!$A$6:$DA$376,88,FALSE)</f>
        <v>1870.6804091367183</v>
      </c>
      <c r="CK318" s="70">
        <f t="shared" si="346"/>
        <v>-1106.4958256344041</v>
      </c>
      <c r="CL318" s="566">
        <f>VLOOKUP($A318,'01-02.2021'!$A$6:$CZ$403,90,FALSE)+VLOOKUP($A318,'1.3.21-28.2.22'!$A$6:$DA$404,90,FALSE)-VLOOKUP($A318,'01-02.2022'!$A$6:$DA$376,90,FALSE)</f>
        <v>0</v>
      </c>
      <c r="CM318" s="566">
        <f>VLOOKUP($A318,'01-02.2021'!$A$6:$CZ$403,91,FALSE)+VLOOKUP($A318,'1.3.21-28.2.22'!$A$6:$DA$404,91,FALSE)-VLOOKUP($A318,'01-02.2022'!$A$6:$DA$376,91,FALSE)</f>
        <v>0</v>
      </c>
      <c r="CN318" s="52">
        <f t="shared" si="360"/>
        <v>0</v>
      </c>
      <c r="CO318" s="39">
        <f t="shared" si="355"/>
        <v>2977.1762347711224</v>
      </c>
      <c r="CP318" s="40">
        <f t="shared" si="361"/>
        <v>1870.6804091367183</v>
      </c>
      <c r="CQ318" s="52">
        <f t="shared" si="362"/>
        <v>-1106.4958256344041</v>
      </c>
      <c r="CR318" s="72">
        <f t="shared" si="356"/>
        <v>68583.86683092147</v>
      </c>
      <c r="CS318" s="5">
        <f t="shared" si="356"/>
        <v>83674.03852963059</v>
      </c>
      <c r="CT318" s="52">
        <f t="shared" si="363"/>
        <v>15090.17169870912</v>
      </c>
      <c r="CU318" s="77">
        <f t="shared" si="364"/>
        <v>82300.640197105764</v>
      </c>
      <c r="CV318" s="65">
        <f t="shared" si="365"/>
        <v>100408.8462355567</v>
      </c>
      <c r="CW318" s="35">
        <f t="shared" si="366"/>
        <v>18108.206038450939</v>
      </c>
      <c r="CX318" s="566">
        <f>VLOOKUP($A318,'01-02.2021'!$A$6:$CZ$403,102,FALSE)+VLOOKUP($A318,'1.3.21-28.2.22'!$A$6:$DA$404,102,FALSE)-VLOOKUP($A318,'01-02.2022'!$A$6:$DA$376,102,FALSE)</f>
        <v>2616.0013436083409</v>
      </c>
      <c r="CY318" s="566">
        <f>VLOOKUP($A318,'01-02.2021'!$A$6:$CZ$403,103,FALSE)+VLOOKUP($A318,'1.3.21-28.2.22'!$A$6:$DA$404,103,FALSE)-VLOOKUP($A318,'01-02.2022'!$A$6:$DA$376,103,FALSE)</f>
        <v>-15492.204694842605</v>
      </c>
      <c r="CZ318" s="52">
        <f t="shared" si="367"/>
        <v>-18108.206038450946</v>
      </c>
      <c r="DA318" s="150">
        <f>'[2]побудинковий звіт'!DA318</f>
        <v>7425.3426617015184</v>
      </c>
      <c r="DB318" s="2">
        <v>2</v>
      </c>
      <c r="DC318" s="414">
        <f>'[4]побудинковий звіт'!DC318</f>
        <v>10794.25</v>
      </c>
      <c r="DD318" s="414">
        <f>'[4]побудинковий звіт'!DD318</f>
        <v>0</v>
      </c>
      <c r="DE318" s="557">
        <f>'[4]побудинковий звіт'!DE318</f>
        <v>4112.0151989176084</v>
      </c>
      <c r="DF318" s="557">
        <f>'[4]побудинковий звіт'!DF318</f>
        <v>-972.06034490933939</v>
      </c>
      <c r="DG318" s="321">
        <f>VLOOKUP(A318,'кошти 01.03.2021'!$A$6:$D$401,4,)</f>
        <v>-7239.0395208444561</v>
      </c>
      <c r="DH318" s="40">
        <f>'[3]побудинковий звіт'!DJ318</f>
        <v>87645.144437618757</v>
      </c>
      <c r="DI318" s="422">
        <f>'[3]побудинковий звіт'!CU318+'[3]побудинковий звіт'!CX318</f>
        <v>7654.2951459917304</v>
      </c>
      <c r="DJ318" s="306">
        <f>'[3]побудинковий звіт'!DM318</f>
        <v>3.7917691659095452</v>
      </c>
      <c r="DK318" s="306">
        <f t="shared" ref="DK318:DK358" si="377">DJ318</f>
        <v>3.7917691659095452</v>
      </c>
      <c r="DL318" s="306">
        <f>'[3]побудинковий звіт'!DO318</f>
        <v>3.1954646446723847</v>
      </c>
      <c r="DM318" s="28">
        <f>F318*DJ318</f>
        <v>6682.2348010823916</v>
      </c>
      <c r="DN318" s="28">
        <f t="shared" ref="DN318:DN325" si="378">H318*DL318</f>
        <v>972.06034490933939</v>
      </c>
      <c r="DO318" s="423">
        <f t="shared" si="319"/>
        <v>7654.2951459917313</v>
      </c>
      <c r="DP318" s="94">
        <f t="shared" si="320"/>
        <v>0</v>
      </c>
      <c r="DQ318" s="28">
        <f t="shared" si="321"/>
        <v>7654.2951459917313</v>
      </c>
      <c r="DR318" s="318"/>
      <c r="DT318" s="8"/>
      <c r="DU318" s="5"/>
      <c r="DX318" s="5">
        <f t="shared" si="322"/>
        <v>24286.326187257753</v>
      </c>
      <c r="DY318" s="5">
        <f t="shared" si="323"/>
        <v>43307.4</v>
      </c>
      <c r="DZ318" s="159">
        <f>'[3]побудинковий звіт'!EA318</f>
        <v>2183.8971305450773</v>
      </c>
    </row>
    <row r="319" spans="1:130" x14ac:dyDescent="0.3">
      <c r="A319" s="325">
        <v>150000830</v>
      </c>
      <c r="B319" s="41" t="s">
        <v>765</v>
      </c>
      <c r="C319" s="42" t="s">
        <v>294</v>
      </c>
      <c r="D319" s="42"/>
      <c r="E319" s="293">
        <f t="shared" si="353"/>
        <v>5961.3</v>
      </c>
      <c r="F319" s="305">
        <f>'[3]побудинковий звіт'!F319</f>
        <v>4483.3</v>
      </c>
      <c r="G319" s="508">
        <f>'[3]побудинковий звіт'!G319</f>
        <v>0</v>
      </c>
      <c r="H319" s="560">
        <f>'[3]побудинковий звіт'!H319</f>
        <v>1478</v>
      </c>
      <c r="I319" s="566">
        <f>VLOOKUP($A319,'01-02.2021'!$A$6:$CZ$403,9,FALSE)+VLOOKUP($A319,'1.3.21-28.2.22'!$A$6:$DA$404,9,FALSE)-VLOOKUP($A319,'01-02.2022'!$A$6:$DA$376,9,FALSE)</f>
        <v>15627.759188072338</v>
      </c>
      <c r="J319" s="566">
        <f>VLOOKUP($A319,'01-02.2021'!$A$6:$CZ$403,10,FALSE)+VLOOKUP($A319,'1.3.21-28.2.22'!$A$6:$DA$404,10,FALSE)-VLOOKUP($A319,'01-02.2022'!$A$6:$DA$376,10,FALSE)</f>
        <v>15439.323591531982</v>
      </c>
      <c r="K319" s="52">
        <f t="shared" si="357"/>
        <v>-188.43559654035562</v>
      </c>
      <c r="L319" s="566">
        <f>VLOOKUP($A319,'01-02.2021'!$A$6:$CZ$403,12,FALSE)+VLOOKUP($A319,'1.3.21-28.2.22'!$A$6:$DA$404,12,FALSE)-VLOOKUP($A319,'01-02.2022'!$A$6:$DA$376,12,FALSE)</f>
        <v>3300.9479159951979</v>
      </c>
      <c r="M319" s="566">
        <f>VLOOKUP($A319,'01-02.2021'!$A$6:$CZ$403,13,FALSE)+VLOOKUP($A319,'1.3.21-28.2.22'!$A$6:$DA$404,13,FALSE)-VLOOKUP($A319,'01-02.2022'!$A$6:$DA$376,13,FALSE)</f>
        <v>3295.9066148487254</v>
      </c>
      <c r="N319" s="52">
        <f t="shared" si="358"/>
        <v>-5.0413011464725059</v>
      </c>
      <c r="O319" s="566">
        <f>VLOOKUP($A319,'01-02.2021'!$A$6:$CZ$403,15,FALSE)+VLOOKUP($A319,'1.3.21-28.2.22'!$A$6:$DA$404,15,FALSE)-VLOOKUP($A319,'01-02.2022'!$A$6:$DA$376,15,FALSE)</f>
        <v>6427.0609591006396</v>
      </c>
      <c r="P319" s="566">
        <f>VLOOKUP($A319,'01-02.2021'!$A$6:$CZ$403,16,FALSE)+VLOOKUP($A319,'1.3.21-28.2.22'!$A$6:$DA$404,16,FALSE)-VLOOKUP($A319,'01-02.2022'!$A$6:$DA$376,16,FALSE)</f>
        <v>6426.8033333333342</v>
      </c>
      <c r="Q319" s="70">
        <f t="shared" si="324"/>
        <v>-0.25762576730539877</v>
      </c>
      <c r="R319" s="566">
        <f>VLOOKUP($A319,'01-02.2021'!$A$6:$CZ$403,18,FALSE)+VLOOKUP($A319,'1.3.21-28.2.22'!$A$6:$DA$404,18,FALSE)-VLOOKUP($A319,'01-02.2022'!$A$6:$DA$376,18,FALSE)</f>
        <v>0</v>
      </c>
      <c r="S319" s="566">
        <f>VLOOKUP($A319,'01-02.2021'!$A$6:$CZ$403,19,FALSE)+VLOOKUP($A319,'1.3.21-28.2.22'!$A$6:$DA$404,19,FALSE)-VLOOKUP($A319,'01-02.2022'!$A$6:$DA$376,19,FALSE)</f>
        <v>0</v>
      </c>
      <c r="T319" s="70">
        <f t="shared" si="325"/>
        <v>0</v>
      </c>
      <c r="U319" s="566">
        <f>VLOOKUP($A319,'01-02.2021'!$A$6:$CZ$403,21,FALSE)+VLOOKUP($A319,'1.3.21-28.2.22'!$A$6:$DA$404,21,FALSE)-VLOOKUP($A319,'01-02.2022'!$A$6:$DA$376,21,FALSE)</f>
        <v>1114.1131194327395</v>
      </c>
      <c r="V319" s="566">
        <f>VLOOKUP($A319,'01-02.2021'!$A$6:$CZ$403,22,FALSE)+VLOOKUP($A319,'1.3.21-28.2.22'!$A$6:$DA$404,22,FALSE)-VLOOKUP($A319,'01-02.2022'!$A$6:$DA$376,22,FALSE)</f>
        <v>946.8548966532129</v>
      </c>
      <c r="W319" s="70">
        <f t="shared" si="326"/>
        <v>-167.25822277952659</v>
      </c>
      <c r="X319" s="566">
        <f>VLOOKUP($A319,'01-02.2021'!$A$6:$CZ$403,24,FALSE)+VLOOKUP($A319,'1.3.21-28.2.22'!$A$6:$DA$404,24,FALSE)-VLOOKUP($A319,'01-02.2022'!$A$6:$DA$376,24,FALSE)</f>
        <v>11654.554131009079</v>
      </c>
      <c r="Y319" s="566">
        <f>VLOOKUP($A319,'01-02.2021'!$A$6:$CZ$403,25,FALSE)+VLOOKUP($A319,'1.3.21-28.2.22'!$A$6:$DA$404,25,FALSE)-VLOOKUP($A319,'01-02.2022'!$A$6:$DA$376,25,FALSE)</f>
        <v>11359.788728733767</v>
      </c>
      <c r="Z319" s="70">
        <f t="shared" si="327"/>
        <v>-294.76540227531223</v>
      </c>
      <c r="AA319" s="566">
        <f>VLOOKUP($A319,'01-02.2021'!$A$6:$CZ$403,27,FALSE)+VLOOKUP($A319,'1.3.21-28.2.22'!$A$6:$DA$404,27,FALSE)-VLOOKUP($A319,'01-02.2022'!$A$6:$DA$376,27,FALSE)</f>
        <v>1192.26</v>
      </c>
      <c r="AB319" s="566">
        <f>VLOOKUP($A319,'01-02.2021'!$A$6:$CZ$403,28,FALSE)+VLOOKUP($A319,'1.3.21-28.2.22'!$A$6:$DA$404,28,FALSE)-VLOOKUP($A319,'01-02.2022'!$A$6:$DA$376,28,FALSE)</f>
        <v>0</v>
      </c>
      <c r="AC319" s="70">
        <f t="shared" si="328"/>
        <v>-1192.26</v>
      </c>
      <c r="AD319" s="566">
        <f>VLOOKUP($A319,'01-02.2021'!$A$6:$CZ$403,30,FALSE)+VLOOKUP($A319,'1.3.21-28.2.22'!$A$6:$DA$404,30,FALSE)-VLOOKUP($A319,'01-02.2022'!$A$6:$DA$376,30,FALSE)</f>
        <v>25458.900564130265</v>
      </c>
      <c r="AE319" s="566">
        <f>VLOOKUP($A319,'01-02.2021'!$A$6:$CZ$403,31,FALSE)+VLOOKUP($A319,'1.3.21-28.2.22'!$A$6:$DA$404,31,FALSE)-VLOOKUP($A319,'01-02.2022'!$A$6:$DA$376,31,FALSE)</f>
        <v>27136.077794192042</v>
      </c>
      <c r="AF319" s="68">
        <f t="shared" si="329"/>
        <v>1677.1772300617777</v>
      </c>
      <c r="AG319" s="77">
        <f t="shared" si="354"/>
        <v>64775.595877740263</v>
      </c>
      <c r="AH319" s="53">
        <f t="shared" si="354"/>
        <v>64604.754959293059</v>
      </c>
      <c r="AI319" s="52">
        <f t="shared" si="359"/>
        <v>-170.84091844720388</v>
      </c>
      <c r="AJ319" s="566">
        <f>VLOOKUP($A319,'01-02.2021'!$A$6:$CZ$403,36,FALSE)+VLOOKUP($A319,'1.3.21-28.2.22'!$A$6:$DA$404,36,FALSE)-VLOOKUP($A319,'01-02.2022'!$A$6:$DA$376,36,FALSE)</f>
        <v>0</v>
      </c>
      <c r="AK319" s="566">
        <f>VLOOKUP($A319,'01-02.2021'!$A$6:$CZ$403,37,FALSE)+VLOOKUP($A319,'1.3.21-28.2.22'!$A$6:$DA$404,37,FALSE)-VLOOKUP($A319,'01-02.2022'!$A$6:$DA$376,37,FALSE)</f>
        <v>0</v>
      </c>
      <c r="AL319" s="70">
        <f t="shared" si="330"/>
        <v>0</v>
      </c>
      <c r="AM319" s="566">
        <f>VLOOKUP($A319,'01-02.2021'!$A$6:$CZ$403,39,FALSE)+VLOOKUP($A319,'1.3.21-28.2.22'!$A$6:$DA$404,39,FALSE)-VLOOKUP($A319,'01-02.2022'!$A$6:$DA$376,39,FALSE)</f>
        <v>0</v>
      </c>
      <c r="AN319" s="566">
        <f>VLOOKUP($A319,'01-02.2021'!$A$6:$CZ$403,40,FALSE)+VLOOKUP($A319,'1.3.21-28.2.22'!$A$6:$DA$404,40,FALSE)-VLOOKUP($A319,'01-02.2022'!$A$6:$DA$376,40,FALSE)</f>
        <v>0</v>
      </c>
      <c r="AO319" s="70">
        <f t="shared" si="331"/>
        <v>0</v>
      </c>
      <c r="AP319" s="566">
        <f>VLOOKUP($A319,'01-02.2021'!$A$6:$CZ$403,42,FALSE)+VLOOKUP($A319,'1.3.21-28.2.22'!$A$6:$DA$404,42,FALSE)-VLOOKUP($A319,'01-02.2022'!$A$6:$DA$376,42,FALSE)</f>
        <v>12233.158237800268</v>
      </c>
      <c r="AQ319" s="566">
        <f>VLOOKUP($A319,'01-02.2021'!$A$6:$CZ$403,43,FALSE)+VLOOKUP($A319,'1.3.21-28.2.22'!$A$6:$DA$404,43,FALSE)-VLOOKUP($A319,'01-02.2022'!$A$6:$DA$376,43,FALSE)</f>
        <v>10545.965731902856</v>
      </c>
      <c r="AR319" s="70">
        <f t="shared" si="332"/>
        <v>-1687.192505897412</v>
      </c>
      <c r="AS319" s="566">
        <f>VLOOKUP($A319,'01-02.2021'!$A$6:$CZ$403,45,FALSE)+VLOOKUP($A319,'1.3.21-28.2.22'!$A$6:$DA$404,45,FALSE)-VLOOKUP($A319,'01-02.2022'!$A$6:$DA$376,45,FALSE)</f>
        <v>56737.955665185094</v>
      </c>
      <c r="AT319" s="566">
        <f>VLOOKUP($A319,'01-02.2021'!$A$6:$CZ$403,46,FALSE)+VLOOKUP($A319,'1.3.21-28.2.22'!$A$6:$DA$404,46,FALSE)-VLOOKUP($A319,'01-02.2022'!$A$6:$DA$376,46,FALSE)</f>
        <v>36656</v>
      </c>
      <c r="AU319" s="78">
        <f t="shared" si="333"/>
        <v>-20081.955665185094</v>
      </c>
      <c r="AV319" s="566">
        <f>VLOOKUP($A319,'01-02.2021'!$A$6:$CZ$403,48,FALSE)+VLOOKUP($A319,'1.3.21-28.2.22'!$A$6:$DA$404,48,FALSE)-VLOOKUP($A319,'01-02.2022'!$A$6:$DA$376,48,FALSE)</f>
        <v>4310.7576453325801</v>
      </c>
      <c r="AW319" s="566">
        <f>VLOOKUP($A319,'01-02.2021'!$A$6:$CZ$403,49,FALSE)+VLOOKUP($A319,'1.3.21-28.2.22'!$A$6:$DA$404,49,FALSE)-VLOOKUP($A319,'01-02.2022'!$A$6:$DA$376,49,FALSE)</f>
        <v>3967</v>
      </c>
      <c r="AX319" s="55">
        <f t="shared" si="334"/>
        <v>-343.75764533258007</v>
      </c>
      <c r="AY319" s="566">
        <f>VLOOKUP($A319,'01-02.2021'!$A$6:$CZ$403,51,FALSE)+VLOOKUP($A319,'1.3.21-28.2.22'!$A$6:$DA$404,51,FALSE)-VLOOKUP($A319,'01-02.2022'!$A$6:$DA$376,51,FALSE)</f>
        <v>6205.1745026100452</v>
      </c>
      <c r="AZ319" s="566">
        <f>VLOOKUP($A319,'01-02.2021'!$A$6:$CZ$403,52,FALSE)+VLOOKUP($A319,'1.3.21-28.2.22'!$A$6:$DA$404,52,FALSE)-VLOOKUP($A319,'01-02.2022'!$A$6:$DA$376,52,FALSE)</f>
        <v>6819</v>
      </c>
      <c r="BA319" s="38">
        <f t="shared" si="335"/>
        <v>613.82549738995476</v>
      </c>
      <c r="BB319" s="566">
        <f>VLOOKUP($A319,'01-02.2021'!$A$6:$CZ$403,54,FALSE)+VLOOKUP($A319,'1.3.21-28.2.22'!$A$6:$DA$404,54,FALSE)-VLOOKUP($A319,'01-02.2022'!$A$6:$DA$376,54,FALSE)</f>
        <v>2252.7810255729241</v>
      </c>
      <c r="BC319" s="566">
        <f>VLOOKUP($A319,'01-02.2021'!$A$6:$CZ$403,55,FALSE)+VLOOKUP($A319,'1.3.21-28.2.22'!$A$6:$DA$404,55,FALSE)-VLOOKUP($A319,'01-02.2022'!$A$6:$DA$376,55,FALSE)</f>
        <v>0</v>
      </c>
      <c r="BD319" s="55">
        <f t="shared" si="336"/>
        <v>-2252.7810255729241</v>
      </c>
      <c r="BE319" s="566">
        <f>VLOOKUP($A319,'01-02.2021'!$A$6:$CZ$403,57,FALSE)+VLOOKUP($A319,'1.3.21-28.2.22'!$A$6:$DA$404,57,FALSE)-VLOOKUP($A319,'01-02.2022'!$A$6:$DA$376,57,FALSE)</f>
        <v>0</v>
      </c>
      <c r="BF319" s="566">
        <f>VLOOKUP($A319,'01-02.2021'!$A$6:$CZ$403,58,FALSE)+VLOOKUP($A319,'1.3.21-28.2.22'!$A$6:$DA$404,58,FALSE)-VLOOKUP($A319,'01-02.2022'!$A$6:$DA$376,58,FALSE)</f>
        <v>0</v>
      </c>
      <c r="BG319" s="55">
        <f t="shared" si="337"/>
        <v>0</v>
      </c>
      <c r="BH319" s="566">
        <f>VLOOKUP($A319,'01-02.2021'!$A$6:$CZ$403,60,FALSE)+VLOOKUP($A319,'1.3.21-28.2.22'!$A$6:$DA$404,60,FALSE)-VLOOKUP($A319,'01-02.2022'!$A$6:$DA$376,60,FALSE)</f>
        <v>2499.474500414512</v>
      </c>
      <c r="BI319" s="566">
        <f>VLOOKUP($A319,'01-02.2021'!$A$6:$CZ$403,61,FALSE)+VLOOKUP($A319,'1.3.21-28.2.22'!$A$6:$DA$404,61,FALSE)-VLOOKUP($A319,'01-02.2022'!$A$6:$DA$376,61,FALSE)</f>
        <v>0</v>
      </c>
      <c r="BJ319" s="55">
        <f t="shared" si="338"/>
        <v>-2499.474500414512</v>
      </c>
      <c r="BK319" s="566">
        <f>VLOOKUP($A319,'01-02.2021'!$A$6:$CZ$403,63,FALSE)+VLOOKUP($A319,'1.3.21-28.2.22'!$A$6:$DA$404,63,FALSE)-VLOOKUP($A319,'01-02.2022'!$A$6:$DA$376,63,FALSE)</f>
        <v>3988.9851113534432</v>
      </c>
      <c r="BL319" s="566">
        <f>VLOOKUP($A319,'01-02.2021'!$A$6:$CZ$403,64,FALSE)+VLOOKUP($A319,'1.3.21-28.2.22'!$A$6:$DA$404,64,FALSE)-VLOOKUP($A319,'01-02.2022'!$A$6:$DA$376,64,FALSE)</f>
        <v>1755</v>
      </c>
      <c r="BM319" s="55">
        <f t="shared" si="339"/>
        <v>-2233.9851113534432</v>
      </c>
      <c r="BN319" s="566">
        <f>VLOOKUP($A319,'01-02.2021'!$A$6:$CZ$403,66,FALSE)+VLOOKUP($A319,'1.3.21-28.2.22'!$A$6:$DA$404,66,FALSE)-VLOOKUP($A319,'01-02.2022'!$A$6:$DA$376,66,FALSE)</f>
        <v>298.065</v>
      </c>
      <c r="BO319" s="566">
        <f>VLOOKUP($A319,'01-02.2021'!$A$6:$CZ$403,67,FALSE)+VLOOKUP($A319,'1.3.21-28.2.22'!$A$6:$DA$404,67,FALSE)-VLOOKUP($A319,'01-02.2022'!$A$6:$DA$376,67,FALSE)</f>
        <v>0</v>
      </c>
      <c r="BP319" s="55">
        <f t="shared" si="340"/>
        <v>-298.065</v>
      </c>
      <c r="BQ319" s="77">
        <f t="shared" si="348"/>
        <v>19555.237785283502</v>
      </c>
      <c r="BR319" s="40">
        <f t="shared" si="375"/>
        <v>12541</v>
      </c>
      <c r="BS319" s="55">
        <f t="shared" si="369"/>
        <v>-7014.2377852835016</v>
      </c>
      <c r="BT319" s="566">
        <f>VLOOKUP($A319,'01-02.2021'!$A$6:$CZ$403,72,FALSE)+VLOOKUP($A319,'1.3.21-28.2.22'!$A$6:$DA$404,72,FALSE)-VLOOKUP($A319,'01-02.2022'!$A$6:$DA$376,72,FALSE)</f>
        <v>34621.990820332547</v>
      </c>
      <c r="BU319" s="566">
        <f>VLOOKUP($A319,'01-02.2021'!$A$6:$CZ$403,73,FALSE)+VLOOKUP($A319,'1.3.21-28.2.22'!$A$6:$DA$404,73,FALSE)-VLOOKUP($A319,'01-02.2022'!$A$6:$DA$376,73,FALSE)</f>
        <v>44743.503911777145</v>
      </c>
      <c r="BV319" s="70">
        <f t="shared" si="341"/>
        <v>10121.513091444598</v>
      </c>
      <c r="BW319" s="566">
        <f>VLOOKUP($A319,'01-02.2021'!$A$6:$CZ$403,75,FALSE)+VLOOKUP($A319,'1.3.21-28.2.22'!$A$6:$DA$404,75,FALSE)-VLOOKUP($A319,'01-02.2022'!$A$6:$DA$376,75,FALSE)</f>
        <v>22677.408145455134</v>
      </c>
      <c r="BX319" s="566">
        <f>VLOOKUP($A319,'01-02.2021'!$A$6:$CZ$403,76,FALSE)+VLOOKUP($A319,'1.3.21-28.2.22'!$A$6:$DA$404,76,FALSE)-VLOOKUP($A319,'01-02.2022'!$A$6:$DA$376,76,FALSE)</f>
        <v>22744.108800885821</v>
      </c>
      <c r="BY319" s="70">
        <f t="shared" si="342"/>
        <v>66.700655430686311</v>
      </c>
      <c r="BZ319" s="566">
        <f>VLOOKUP($A319,'01-02.2021'!$A$6:$CZ$403,78,FALSE)+VLOOKUP($A319,'1.3.21-28.2.22'!$A$6:$DA$404,78,FALSE)-VLOOKUP($A319,'01-02.2022'!$A$6:$DA$376,78,FALSE)</f>
        <v>9802.8503545706571</v>
      </c>
      <c r="CA319" s="566">
        <f>VLOOKUP($A319,'01-02.2021'!$A$6:$CZ$403,79,FALSE)+VLOOKUP($A319,'1.3.21-28.2.22'!$A$6:$DA$404,79,FALSE)-VLOOKUP($A319,'01-02.2022'!$A$6:$DA$376,79,FALSE)</f>
        <v>9299.8992073016598</v>
      </c>
      <c r="CB319" s="70">
        <f t="shared" si="343"/>
        <v>-502.95114726899737</v>
      </c>
      <c r="CC319" s="566">
        <f>VLOOKUP($A319,'01-02.2021'!$A$6:$CZ$403,81,FALSE)+VLOOKUP($A319,'1.3.21-28.2.22'!$A$6:$DA$404,81,FALSE)-VLOOKUP($A319,'01-02.2022'!$A$6:$DA$376,81,FALSE)</f>
        <v>974.82268374105342</v>
      </c>
      <c r="CD319" s="566">
        <f>VLOOKUP($A319,'01-02.2021'!$A$6:$CZ$403,82,FALSE)+VLOOKUP($A319,'1.3.21-28.2.22'!$A$6:$DA$404,82,FALSE)-VLOOKUP($A319,'01-02.2022'!$A$6:$DA$376,82,FALSE)</f>
        <v>1065.4743886294675</v>
      </c>
      <c r="CE319" s="70">
        <f t="shared" si="344"/>
        <v>90.651704888414088</v>
      </c>
      <c r="CF319" s="566">
        <f>VLOOKUP($A319,'01-02.2021'!$A$6:$CZ$403,84,FALSE)+VLOOKUP($A319,'1.3.21-28.2.22'!$A$6:$DA$404,84,FALSE)-VLOOKUP($A319,'01-02.2022'!$A$6:$DA$376,84,FALSE)</f>
        <v>118.50977764390336</v>
      </c>
      <c r="CG319" s="566">
        <f>VLOOKUP($A319,'01-02.2021'!$A$6:$CZ$403,85,FALSE)+VLOOKUP($A319,'1.3.21-28.2.22'!$A$6:$DA$404,85,FALSE)-VLOOKUP($A319,'01-02.2022'!$A$6:$DA$376,85,FALSE)</f>
        <v>0</v>
      </c>
      <c r="CH319" s="70">
        <f t="shared" si="345"/>
        <v>-118.50977764390336</v>
      </c>
      <c r="CI319" s="566">
        <f>VLOOKUP($A319,'01-02.2021'!$A$6:$CZ$403,87,FALSE)+VLOOKUP($A319,'1.3.21-28.2.22'!$A$6:$DA$404,87,FALSE)-VLOOKUP($A319,'01-02.2022'!$A$6:$DA$376,87,FALSE)</f>
        <v>4202.6948248483623</v>
      </c>
      <c r="CJ319" s="566">
        <f>VLOOKUP($A319,'01-02.2021'!$A$6:$CZ$403,88,FALSE)+VLOOKUP($A319,'1.3.21-28.2.22'!$A$6:$DA$404,88,FALSE)-VLOOKUP($A319,'01-02.2022'!$A$6:$DA$376,88,FALSE)</f>
        <v>1306.7118279149829</v>
      </c>
      <c r="CK319" s="70">
        <f t="shared" si="346"/>
        <v>-2895.9829969333796</v>
      </c>
      <c r="CL319" s="566">
        <f>VLOOKUP($A319,'01-02.2021'!$A$6:$CZ$403,90,FALSE)+VLOOKUP($A319,'1.3.21-28.2.22'!$A$6:$DA$404,90,FALSE)-VLOOKUP($A319,'01-02.2022'!$A$6:$DA$376,90,FALSE)</f>
        <v>0</v>
      </c>
      <c r="CM319" s="566">
        <f>VLOOKUP($A319,'01-02.2021'!$A$6:$CZ$403,91,FALSE)+VLOOKUP($A319,'1.3.21-28.2.22'!$A$6:$DA$404,91,FALSE)-VLOOKUP($A319,'01-02.2022'!$A$6:$DA$376,91,FALSE)</f>
        <v>0</v>
      </c>
      <c r="CN319" s="52">
        <f t="shared" si="360"/>
        <v>0</v>
      </c>
      <c r="CO319" s="39">
        <f t="shared" si="355"/>
        <v>4202.6948248483623</v>
      </c>
      <c r="CP319" s="40">
        <f t="shared" si="361"/>
        <v>1306.7118279149829</v>
      </c>
      <c r="CQ319" s="52">
        <f t="shared" si="362"/>
        <v>-2895.9829969333796</v>
      </c>
      <c r="CR319" s="72">
        <f t="shared" si="356"/>
        <v>225700.22417260075</v>
      </c>
      <c r="CS319" s="5">
        <f t="shared" si="356"/>
        <v>203507.418827705</v>
      </c>
      <c r="CT319" s="52">
        <f t="shared" si="363"/>
        <v>-22192.805344895751</v>
      </c>
      <c r="CU319" s="77">
        <f t="shared" si="364"/>
        <v>270840.26900712086</v>
      </c>
      <c r="CV319" s="65">
        <f t="shared" si="365"/>
        <v>244208.90259324599</v>
      </c>
      <c r="CW319" s="35">
        <f t="shared" si="366"/>
        <v>-26631.366413874872</v>
      </c>
      <c r="CX319" s="566">
        <f>VLOOKUP($A319,'01-02.2021'!$A$6:$CZ$403,102,FALSE)+VLOOKUP($A319,'1.3.21-28.2.22'!$A$6:$DA$404,102,FALSE)-VLOOKUP($A319,'01-02.2022'!$A$6:$DA$376,102,FALSE)</f>
        <v>12070.780584184657</v>
      </c>
      <c r="CY319" s="566">
        <f>VLOOKUP($A319,'01-02.2021'!$A$6:$CZ$403,103,FALSE)+VLOOKUP($A319,'1.3.21-28.2.22'!$A$6:$DA$404,103,FALSE)-VLOOKUP($A319,'01-02.2022'!$A$6:$DA$376,103,FALSE)</f>
        <v>38702.146998059558</v>
      </c>
      <c r="CZ319" s="52">
        <f t="shared" si="367"/>
        <v>26631.366413874901</v>
      </c>
      <c r="DA319" s="150">
        <f>'[2]побудинковий звіт'!DA319</f>
        <v>-48554.365750803372</v>
      </c>
      <c r="DB319" s="2">
        <v>3</v>
      </c>
      <c r="DC319" s="414">
        <f>'[4]побудинковий звіт'!DC319</f>
        <v>32484.89</v>
      </c>
      <c r="DD319" s="414">
        <f>'[4]побудинковий звіт'!DD319</f>
        <v>127151.63999999998</v>
      </c>
      <c r="DE319" s="557">
        <f>'[4]побудинковий звіт'!DE319</f>
        <v>12530.890148570747</v>
      </c>
      <c r="DF319" s="557">
        <f>'[4]побудинковий звіт'!DF319</f>
        <v>121475.93256778005</v>
      </c>
      <c r="DG319" s="321">
        <f>VLOOKUP(A319,'кошти 01.03.2021'!$A$6:$D$401,4,)</f>
        <v>-70653.594603351448</v>
      </c>
      <c r="DH319" s="40">
        <f>'[3]побудинковий звіт'!DJ319</f>
        <v>292619.08196172246</v>
      </c>
      <c r="DI319" s="422">
        <f>'[3]побудинковий звіт'!CU319+'[3]побудинковий звіт'!CX319</f>
        <v>25629.707283649186</v>
      </c>
      <c r="DJ319" s="306">
        <f>'[3]побудинковий звіт'!DM319</f>
        <v>4.4507393775632353</v>
      </c>
      <c r="DK319" s="306">
        <f t="shared" si="377"/>
        <v>4.4507393775632353</v>
      </c>
      <c r="DL319" s="306">
        <f>'[3]побудинковий звіт'!DO319</f>
        <v>3.8401268147631495</v>
      </c>
      <c r="DM319" s="28">
        <f t="shared" ref="DM319:DM358" si="379">F319*DJ319</f>
        <v>19953.999851429253</v>
      </c>
      <c r="DN319" s="28">
        <f t="shared" si="378"/>
        <v>5675.7074322199351</v>
      </c>
      <c r="DO319" s="423">
        <f t="shared" si="319"/>
        <v>25629.707283649186</v>
      </c>
      <c r="DP319" s="94">
        <f t="shared" si="320"/>
        <v>0</v>
      </c>
      <c r="DQ319" s="28">
        <f t="shared" si="321"/>
        <v>25629.707283649186</v>
      </c>
      <c r="DR319" s="318"/>
      <c r="DT319" s="8"/>
      <c r="DU319" s="5"/>
      <c r="DX319" s="5">
        <f t="shared" si="322"/>
        <v>91551.832140562314</v>
      </c>
      <c r="DY319" s="5">
        <f t="shared" si="323"/>
        <v>59036.399999999994</v>
      </c>
      <c r="DZ319" s="159">
        <f>'[3]побудинковий звіт'!EA319</f>
        <v>8420.7669106810426</v>
      </c>
    </row>
    <row r="320" spans="1:130" x14ac:dyDescent="0.3">
      <c r="A320" s="325">
        <v>150000800</v>
      </c>
      <c r="B320" s="41" t="s">
        <v>766</v>
      </c>
      <c r="C320" s="42" t="s">
        <v>227</v>
      </c>
      <c r="D320" s="42"/>
      <c r="E320" s="293">
        <f t="shared" si="353"/>
        <v>1452.8</v>
      </c>
      <c r="F320" s="305">
        <f>'[3]побудинковий звіт'!F320</f>
        <v>1452.8</v>
      </c>
      <c r="G320" s="508">
        <f>'[3]побудинковий звіт'!G320</f>
        <v>0</v>
      </c>
      <c r="H320" s="560">
        <f>'[3]побудинковий звіт'!H320</f>
        <v>0</v>
      </c>
      <c r="I320" s="566">
        <f>VLOOKUP($A320,'01-02.2021'!$A$6:$CZ$403,9,FALSE)+VLOOKUP($A320,'1.3.21-28.2.22'!$A$6:$DA$404,9,FALSE)-VLOOKUP($A320,'01-02.2022'!$A$6:$DA$376,9,FALSE)</f>
        <v>4426.4400487799385</v>
      </c>
      <c r="J320" s="566">
        <f>VLOOKUP($A320,'01-02.2021'!$A$6:$CZ$403,10,FALSE)+VLOOKUP($A320,'1.3.21-28.2.22'!$A$6:$DA$404,10,FALSE)-VLOOKUP($A320,'01-02.2022'!$A$6:$DA$376,10,FALSE)</f>
        <v>4872.6635540205516</v>
      </c>
      <c r="K320" s="52">
        <f t="shared" si="357"/>
        <v>446.22350524061312</v>
      </c>
      <c r="L320" s="566">
        <f>VLOOKUP($A320,'01-02.2021'!$A$6:$CZ$403,12,FALSE)+VLOOKUP($A320,'1.3.21-28.2.22'!$A$6:$DA$404,12,FALSE)-VLOOKUP($A320,'01-02.2022'!$A$6:$DA$376,12,FALSE)</f>
        <v>694.60304558000075</v>
      </c>
      <c r="M320" s="566">
        <f>VLOOKUP($A320,'01-02.2021'!$A$6:$CZ$403,13,FALSE)+VLOOKUP($A320,'1.3.21-28.2.22'!$A$6:$DA$404,13,FALSE)-VLOOKUP($A320,'01-02.2022'!$A$6:$DA$376,13,FALSE)</f>
        <v>764.78793753877972</v>
      </c>
      <c r="N320" s="52">
        <f t="shared" si="358"/>
        <v>70.184891958778962</v>
      </c>
      <c r="O320" s="566">
        <f>VLOOKUP($A320,'01-02.2021'!$A$6:$CZ$403,15,FALSE)+VLOOKUP($A320,'1.3.21-28.2.22'!$A$6:$DA$404,15,FALSE)-VLOOKUP($A320,'01-02.2022'!$A$6:$DA$376,15,FALSE)</f>
        <v>1900.467705533325</v>
      </c>
      <c r="P320" s="566">
        <f>VLOOKUP($A320,'01-02.2021'!$A$6:$CZ$403,16,FALSE)+VLOOKUP($A320,'1.3.21-28.2.22'!$A$6:$DA$404,16,FALSE)-VLOOKUP($A320,'01-02.2022'!$A$6:$DA$376,16,FALSE)</f>
        <v>1900.4899999999998</v>
      </c>
      <c r="Q320" s="70">
        <f t="shared" si="324"/>
        <v>2.2294466674793512E-2</v>
      </c>
      <c r="R320" s="566">
        <f>VLOOKUP($A320,'01-02.2021'!$A$6:$CZ$403,18,FALSE)+VLOOKUP($A320,'1.3.21-28.2.22'!$A$6:$DA$404,18,FALSE)-VLOOKUP($A320,'01-02.2022'!$A$6:$DA$376,18,FALSE)</f>
        <v>0</v>
      </c>
      <c r="S320" s="566">
        <f>VLOOKUP($A320,'01-02.2021'!$A$6:$CZ$403,19,FALSE)+VLOOKUP($A320,'1.3.21-28.2.22'!$A$6:$DA$404,19,FALSE)-VLOOKUP($A320,'01-02.2022'!$A$6:$DA$376,19,FALSE)</f>
        <v>0</v>
      </c>
      <c r="T320" s="70">
        <f t="shared" si="325"/>
        <v>0</v>
      </c>
      <c r="U320" s="566">
        <f>VLOOKUP($A320,'01-02.2021'!$A$6:$CZ$403,21,FALSE)+VLOOKUP($A320,'1.3.21-28.2.22'!$A$6:$DA$404,21,FALSE)-VLOOKUP($A320,'01-02.2022'!$A$6:$DA$376,21,FALSE)</f>
        <v>0</v>
      </c>
      <c r="V320" s="566">
        <f>VLOOKUP($A320,'01-02.2021'!$A$6:$CZ$403,22,FALSE)+VLOOKUP($A320,'1.3.21-28.2.22'!$A$6:$DA$404,22,FALSE)-VLOOKUP($A320,'01-02.2022'!$A$6:$DA$376,22,FALSE)</f>
        <v>0</v>
      </c>
      <c r="W320" s="70">
        <f t="shared" si="326"/>
        <v>0</v>
      </c>
      <c r="X320" s="566">
        <f>VLOOKUP($A320,'01-02.2021'!$A$6:$CZ$403,24,FALSE)+VLOOKUP($A320,'1.3.21-28.2.22'!$A$6:$DA$404,24,FALSE)-VLOOKUP($A320,'01-02.2022'!$A$6:$DA$376,24,FALSE)</f>
        <v>2572.1485048667842</v>
      </c>
      <c r="Y320" s="566">
        <f>VLOOKUP($A320,'01-02.2021'!$A$6:$CZ$403,25,FALSE)+VLOOKUP($A320,'1.3.21-28.2.22'!$A$6:$DA$404,25,FALSE)-VLOOKUP($A320,'01-02.2022'!$A$6:$DA$376,25,FALSE)</f>
        <v>1966.1509084353188</v>
      </c>
      <c r="Z320" s="70">
        <f t="shared" si="327"/>
        <v>-605.99759643146535</v>
      </c>
      <c r="AA320" s="566">
        <f>VLOOKUP($A320,'01-02.2021'!$A$6:$CZ$403,27,FALSE)+VLOOKUP($A320,'1.3.21-28.2.22'!$A$6:$DA$404,27,FALSE)-VLOOKUP($A320,'01-02.2022'!$A$6:$DA$376,27,FALSE)</f>
        <v>290.56</v>
      </c>
      <c r="AB320" s="566">
        <f>VLOOKUP($A320,'01-02.2021'!$A$6:$CZ$403,28,FALSE)+VLOOKUP($A320,'1.3.21-28.2.22'!$A$6:$DA$404,28,FALSE)-VLOOKUP($A320,'01-02.2022'!$A$6:$DA$376,28,FALSE)</f>
        <v>0</v>
      </c>
      <c r="AC320" s="70">
        <f t="shared" si="328"/>
        <v>-290.56</v>
      </c>
      <c r="AD320" s="566">
        <f>VLOOKUP($A320,'01-02.2021'!$A$6:$CZ$403,30,FALSE)+VLOOKUP($A320,'1.3.21-28.2.22'!$A$6:$DA$404,30,FALSE)-VLOOKUP($A320,'01-02.2022'!$A$6:$DA$376,30,FALSE)</f>
        <v>6240.2112782526938</v>
      </c>
      <c r="AE320" s="566">
        <f>VLOOKUP($A320,'01-02.2021'!$A$6:$CZ$403,31,FALSE)+VLOOKUP($A320,'1.3.21-28.2.22'!$A$6:$DA$404,31,FALSE)-VLOOKUP($A320,'01-02.2022'!$A$6:$DA$376,31,FALSE)</f>
        <v>6613.2041365813175</v>
      </c>
      <c r="AF320" s="68">
        <f t="shared" si="329"/>
        <v>372.9928583286237</v>
      </c>
      <c r="AG320" s="77">
        <f t="shared" si="354"/>
        <v>16124.430583012741</v>
      </c>
      <c r="AH320" s="53">
        <f t="shared" si="354"/>
        <v>16117.296536575966</v>
      </c>
      <c r="AI320" s="52">
        <f t="shared" si="359"/>
        <v>-7.1340464367749519</v>
      </c>
      <c r="AJ320" s="566">
        <f>VLOOKUP($A320,'01-02.2021'!$A$6:$CZ$403,36,FALSE)+VLOOKUP($A320,'1.3.21-28.2.22'!$A$6:$DA$404,36,FALSE)-VLOOKUP($A320,'01-02.2022'!$A$6:$DA$376,36,FALSE)</f>
        <v>0</v>
      </c>
      <c r="AK320" s="566">
        <f>VLOOKUP($A320,'01-02.2021'!$A$6:$CZ$403,37,FALSE)+VLOOKUP($A320,'1.3.21-28.2.22'!$A$6:$DA$404,37,FALSE)-VLOOKUP($A320,'01-02.2022'!$A$6:$DA$376,37,FALSE)</f>
        <v>0</v>
      </c>
      <c r="AL320" s="70">
        <f t="shared" si="330"/>
        <v>0</v>
      </c>
      <c r="AM320" s="566">
        <f>VLOOKUP($A320,'01-02.2021'!$A$6:$CZ$403,39,FALSE)+VLOOKUP($A320,'1.3.21-28.2.22'!$A$6:$DA$404,39,FALSE)-VLOOKUP($A320,'01-02.2022'!$A$6:$DA$376,39,FALSE)</f>
        <v>0</v>
      </c>
      <c r="AN320" s="566">
        <f>VLOOKUP($A320,'01-02.2021'!$A$6:$CZ$403,40,FALSE)+VLOOKUP($A320,'1.3.21-28.2.22'!$A$6:$DA$404,40,FALSE)-VLOOKUP($A320,'01-02.2022'!$A$6:$DA$376,40,FALSE)</f>
        <v>0</v>
      </c>
      <c r="AO320" s="70">
        <f t="shared" si="331"/>
        <v>0</v>
      </c>
      <c r="AP320" s="566">
        <f>VLOOKUP($A320,'01-02.2021'!$A$6:$CZ$403,42,FALSE)+VLOOKUP($A320,'1.3.21-28.2.22'!$A$6:$DA$404,42,FALSE)-VLOOKUP($A320,'01-02.2022'!$A$6:$DA$376,42,FALSE)</f>
        <v>4164.4794001022183</v>
      </c>
      <c r="AQ320" s="566">
        <f>VLOOKUP($A320,'01-02.2021'!$A$6:$CZ$403,43,FALSE)+VLOOKUP($A320,'1.3.21-28.2.22'!$A$6:$DA$404,43,FALSE)-VLOOKUP($A320,'01-02.2022'!$A$6:$DA$376,43,FALSE)</f>
        <v>3590.1159938392702</v>
      </c>
      <c r="AR320" s="70">
        <f t="shared" si="332"/>
        <v>-574.36340626294805</v>
      </c>
      <c r="AS320" s="566">
        <f>VLOOKUP($A320,'01-02.2021'!$A$6:$CZ$403,45,FALSE)+VLOOKUP($A320,'1.3.21-28.2.22'!$A$6:$DA$404,45,FALSE)-VLOOKUP($A320,'01-02.2022'!$A$6:$DA$376,45,FALSE)</f>
        <v>13248.059226829093</v>
      </c>
      <c r="AT320" s="566">
        <f>VLOOKUP($A320,'01-02.2021'!$A$6:$CZ$403,46,FALSE)+VLOOKUP($A320,'1.3.21-28.2.22'!$A$6:$DA$404,46,FALSE)-VLOOKUP($A320,'01-02.2022'!$A$6:$DA$376,46,FALSE)</f>
        <v>5181</v>
      </c>
      <c r="AU320" s="78">
        <f t="shared" si="333"/>
        <v>-8067.0592268290929</v>
      </c>
      <c r="AV320" s="566">
        <f>VLOOKUP($A320,'01-02.2021'!$A$6:$CZ$403,48,FALSE)+VLOOKUP($A320,'1.3.21-28.2.22'!$A$6:$DA$404,48,FALSE)-VLOOKUP($A320,'01-02.2022'!$A$6:$DA$376,48,FALSE)</f>
        <v>1151.2451173013362</v>
      </c>
      <c r="AW320" s="566">
        <f>VLOOKUP($A320,'01-02.2021'!$A$6:$CZ$403,49,FALSE)+VLOOKUP($A320,'1.3.21-28.2.22'!$A$6:$DA$404,49,FALSE)-VLOOKUP($A320,'01-02.2022'!$A$6:$DA$376,49,FALSE)</f>
        <v>0</v>
      </c>
      <c r="AX320" s="55">
        <f t="shared" si="334"/>
        <v>-1151.2451173013362</v>
      </c>
      <c r="AY320" s="566">
        <f>VLOOKUP($A320,'01-02.2021'!$A$6:$CZ$403,51,FALSE)+VLOOKUP($A320,'1.3.21-28.2.22'!$A$6:$DA$404,51,FALSE)-VLOOKUP($A320,'01-02.2022'!$A$6:$DA$376,51,FALSE)</f>
        <v>1305.8343108666145</v>
      </c>
      <c r="AZ320" s="566">
        <f>VLOOKUP($A320,'01-02.2021'!$A$6:$CZ$403,52,FALSE)+VLOOKUP($A320,'1.3.21-28.2.22'!$A$6:$DA$404,52,FALSE)-VLOOKUP($A320,'01-02.2022'!$A$6:$DA$376,52,FALSE)</f>
        <v>0</v>
      </c>
      <c r="BA320" s="38">
        <f t="shared" si="335"/>
        <v>-1305.8343108666145</v>
      </c>
      <c r="BB320" s="566">
        <f>VLOOKUP($A320,'01-02.2021'!$A$6:$CZ$403,54,FALSE)+VLOOKUP($A320,'1.3.21-28.2.22'!$A$6:$DA$404,54,FALSE)-VLOOKUP($A320,'01-02.2022'!$A$6:$DA$376,54,FALSE)</f>
        <v>857.09513709753833</v>
      </c>
      <c r="BC320" s="566">
        <f>VLOOKUP($A320,'01-02.2021'!$A$6:$CZ$403,55,FALSE)+VLOOKUP($A320,'1.3.21-28.2.22'!$A$6:$DA$404,55,FALSE)-VLOOKUP($A320,'01-02.2022'!$A$6:$DA$376,55,FALSE)</f>
        <v>1874</v>
      </c>
      <c r="BD320" s="55">
        <f t="shared" si="336"/>
        <v>1016.9048629024617</v>
      </c>
      <c r="BE320" s="566">
        <f>VLOOKUP($A320,'01-02.2021'!$A$6:$CZ$403,57,FALSE)+VLOOKUP($A320,'1.3.21-28.2.22'!$A$6:$DA$404,57,FALSE)-VLOOKUP($A320,'01-02.2022'!$A$6:$DA$376,57,FALSE)</f>
        <v>0</v>
      </c>
      <c r="BF320" s="566">
        <f>VLOOKUP($A320,'01-02.2021'!$A$6:$CZ$403,58,FALSE)+VLOOKUP($A320,'1.3.21-28.2.22'!$A$6:$DA$404,58,FALSE)-VLOOKUP($A320,'01-02.2022'!$A$6:$DA$376,58,FALSE)</f>
        <v>0</v>
      </c>
      <c r="BG320" s="55">
        <f t="shared" si="337"/>
        <v>0</v>
      </c>
      <c r="BH320" s="566">
        <f>VLOOKUP($A320,'01-02.2021'!$A$6:$CZ$403,60,FALSE)+VLOOKUP($A320,'1.3.21-28.2.22'!$A$6:$DA$404,60,FALSE)-VLOOKUP($A320,'01-02.2022'!$A$6:$DA$376,60,FALSE)</f>
        <v>0</v>
      </c>
      <c r="BI320" s="566">
        <f>VLOOKUP($A320,'01-02.2021'!$A$6:$CZ$403,61,FALSE)+VLOOKUP($A320,'1.3.21-28.2.22'!$A$6:$DA$404,61,FALSE)-VLOOKUP($A320,'01-02.2022'!$A$6:$DA$376,61,FALSE)</f>
        <v>0</v>
      </c>
      <c r="BJ320" s="55">
        <f t="shared" si="338"/>
        <v>0</v>
      </c>
      <c r="BK320" s="566">
        <f>VLOOKUP($A320,'01-02.2021'!$A$6:$CZ$403,63,FALSE)+VLOOKUP($A320,'1.3.21-28.2.22'!$A$6:$DA$404,63,FALSE)-VLOOKUP($A320,'01-02.2022'!$A$6:$DA$376,63,FALSE)</f>
        <v>629.82638253536959</v>
      </c>
      <c r="BL320" s="566">
        <f>VLOOKUP($A320,'01-02.2021'!$A$6:$CZ$403,64,FALSE)+VLOOKUP($A320,'1.3.21-28.2.22'!$A$6:$DA$404,64,FALSE)-VLOOKUP($A320,'01-02.2022'!$A$6:$DA$376,64,FALSE)</f>
        <v>442</v>
      </c>
      <c r="BM320" s="55">
        <f t="shared" si="339"/>
        <v>-187.82638253536959</v>
      </c>
      <c r="BN320" s="566">
        <f>VLOOKUP($A320,'01-02.2021'!$A$6:$CZ$403,66,FALSE)+VLOOKUP($A320,'1.3.21-28.2.22'!$A$6:$DA$404,66,FALSE)-VLOOKUP($A320,'01-02.2022'!$A$6:$DA$376,66,FALSE)</f>
        <v>72.64</v>
      </c>
      <c r="BO320" s="566">
        <f>VLOOKUP($A320,'01-02.2021'!$A$6:$CZ$403,67,FALSE)+VLOOKUP($A320,'1.3.21-28.2.22'!$A$6:$DA$404,67,FALSE)-VLOOKUP($A320,'01-02.2022'!$A$6:$DA$376,67,FALSE)</f>
        <v>0</v>
      </c>
      <c r="BP320" s="55">
        <f t="shared" si="340"/>
        <v>-72.64</v>
      </c>
      <c r="BQ320" s="77">
        <f t="shared" si="348"/>
        <v>4016.6409478008586</v>
      </c>
      <c r="BR320" s="40">
        <f t="shared" si="375"/>
        <v>2316</v>
      </c>
      <c r="BS320" s="55">
        <f t="shared" si="369"/>
        <v>-1700.6409478008586</v>
      </c>
      <c r="BT320" s="566">
        <f>VLOOKUP($A320,'01-02.2021'!$A$6:$CZ$403,72,FALSE)+VLOOKUP($A320,'1.3.21-28.2.22'!$A$6:$DA$404,72,FALSE)-VLOOKUP($A320,'01-02.2022'!$A$6:$DA$376,72,FALSE)</f>
        <v>7950.1681481957694</v>
      </c>
      <c r="BU320" s="566">
        <f>VLOOKUP($A320,'01-02.2021'!$A$6:$CZ$403,73,FALSE)+VLOOKUP($A320,'1.3.21-28.2.22'!$A$6:$DA$404,73,FALSE)-VLOOKUP($A320,'01-02.2022'!$A$6:$DA$376,73,FALSE)</f>
        <v>11274.331321253281</v>
      </c>
      <c r="BV320" s="70">
        <f t="shared" si="341"/>
        <v>3324.1631730575118</v>
      </c>
      <c r="BW320" s="566">
        <f>VLOOKUP($A320,'01-02.2021'!$A$6:$CZ$403,75,FALSE)+VLOOKUP($A320,'1.3.21-28.2.22'!$A$6:$DA$404,75,FALSE)-VLOOKUP($A320,'01-02.2022'!$A$6:$DA$376,75,FALSE)</f>
        <v>8067.9489230549607</v>
      </c>
      <c r="BX320" s="566">
        <f>VLOOKUP($A320,'01-02.2021'!$A$6:$CZ$403,76,FALSE)+VLOOKUP($A320,'1.3.21-28.2.22'!$A$6:$DA$404,76,FALSE)-VLOOKUP($A320,'01-02.2022'!$A$6:$DA$376,76,FALSE)</f>
        <v>8446.7522043975914</v>
      </c>
      <c r="BY320" s="70">
        <f t="shared" si="342"/>
        <v>378.80328134263073</v>
      </c>
      <c r="BZ320" s="566">
        <f>VLOOKUP($A320,'01-02.2021'!$A$6:$CZ$403,78,FALSE)+VLOOKUP($A320,'1.3.21-28.2.22'!$A$6:$DA$404,78,FALSE)-VLOOKUP($A320,'01-02.2022'!$A$6:$DA$376,78,FALSE)</f>
        <v>4713.5294298279478</v>
      </c>
      <c r="CA320" s="566">
        <f>VLOOKUP($A320,'01-02.2021'!$A$6:$CZ$403,79,FALSE)+VLOOKUP($A320,'1.3.21-28.2.22'!$A$6:$DA$404,79,FALSE)-VLOOKUP($A320,'01-02.2022'!$A$6:$DA$376,79,FALSE)</f>
        <v>2563.3007189149475</v>
      </c>
      <c r="CB320" s="70">
        <f t="shared" si="343"/>
        <v>-2150.2287109130002</v>
      </c>
      <c r="CC320" s="566">
        <f>VLOOKUP($A320,'01-02.2021'!$A$6:$CZ$403,81,FALSE)+VLOOKUP($A320,'1.3.21-28.2.22'!$A$6:$DA$404,81,FALSE)-VLOOKUP($A320,'01-02.2022'!$A$6:$DA$376,81,FALSE)</f>
        <v>1315.3429362807365</v>
      </c>
      <c r="CD320" s="566">
        <f>VLOOKUP($A320,'01-02.2021'!$A$6:$CZ$403,82,FALSE)+VLOOKUP($A320,'1.3.21-28.2.22'!$A$6:$DA$404,82,FALSE)-VLOOKUP($A320,'01-02.2022'!$A$6:$DA$376,82,FALSE)</f>
        <v>1437.6606476712682</v>
      </c>
      <c r="CE320" s="70">
        <f t="shared" si="344"/>
        <v>122.31771139053171</v>
      </c>
      <c r="CF320" s="566">
        <f>VLOOKUP($A320,'01-02.2021'!$A$6:$CZ$403,84,FALSE)+VLOOKUP($A320,'1.3.21-28.2.22'!$A$6:$DA$404,84,FALSE)-VLOOKUP($A320,'01-02.2022'!$A$6:$DA$376,84,FALSE)</f>
        <v>159.90702873869157</v>
      </c>
      <c r="CG320" s="566">
        <f>VLOOKUP($A320,'01-02.2021'!$A$6:$CZ$403,85,FALSE)+VLOOKUP($A320,'1.3.21-28.2.22'!$A$6:$DA$404,85,FALSE)-VLOOKUP($A320,'01-02.2022'!$A$6:$DA$376,85,FALSE)</f>
        <v>0</v>
      </c>
      <c r="CH320" s="70">
        <f t="shared" si="345"/>
        <v>-159.90702873869157</v>
      </c>
      <c r="CI320" s="566">
        <f>VLOOKUP($A320,'01-02.2021'!$A$6:$CZ$403,87,FALSE)+VLOOKUP($A320,'1.3.21-28.2.22'!$A$6:$DA$404,87,FALSE)-VLOOKUP($A320,'01-02.2022'!$A$6:$DA$376,87,FALSE)</f>
        <v>2936.8989110114676</v>
      </c>
      <c r="CJ320" s="566">
        <f>VLOOKUP($A320,'01-02.2021'!$A$6:$CZ$403,88,FALSE)+VLOOKUP($A320,'1.3.21-28.2.22'!$A$6:$DA$404,88,FALSE)-VLOOKUP($A320,'01-02.2022'!$A$6:$DA$376,88,FALSE)</f>
        <v>2920.6216136009757</v>
      </c>
      <c r="CK320" s="70">
        <f t="shared" si="346"/>
        <v>-16.277297410491883</v>
      </c>
      <c r="CL320" s="566">
        <f>VLOOKUP($A320,'01-02.2021'!$A$6:$CZ$403,90,FALSE)+VLOOKUP($A320,'1.3.21-28.2.22'!$A$6:$DA$404,90,FALSE)-VLOOKUP($A320,'01-02.2022'!$A$6:$DA$376,90,FALSE)</f>
        <v>0</v>
      </c>
      <c r="CM320" s="566">
        <f>VLOOKUP($A320,'01-02.2021'!$A$6:$CZ$403,91,FALSE)+VLOOKUP($A320,'1.3.21-28.2.22'!$A$6:$DA$404,91,FALSE)-VLOOKUP($A320,'01-02.2022'!$A$6:$DA$376,91,FALSE)</f>
        <v>0</v>
      </c>
      <c r="CN320" s="52">
        <f t="shared" si="360"/>
        <v>0</v>
      </c>
      <c r="CO320" s="39">
        <f t="shared" si="355"/>
        <v>2936.8989110114676</v>
      </c>
      <c r="CP320" s="40">
        <f t="shared" si="361"/>
        <v>2920.6216136009757</v>
      </c>
      <c r="CQ320" s="52">
        <f t="shared" si="362"/>
        <v>-16.277297410491883</v>
      </c>
      <c r="CR320" s="72">
        <f t="shared" si="356"/>
        <v>62697.405534854486</v>
      </c>
      <c r="CS320" s="5">
        <f t="shared" si="356"/>
        <v>53847.079036253308</v>
      </c>
      <c r="CT320" s="52">
        <f t="shared" si="363"/>
        <v>-8850.3264986011782</v>
      </c>
      <c r="CU320" s="77">
        <f t="shared" si="364"/>
        <v>75236.886641825375</v>
      </c>
      <c r="CV320" s="65">
        <f t="shared" si="365"/>
        <v>64616.49484350397</v>
      </c>
      <c r="CW320" s="35">
        <f t="shared" si="366"/>
        <v>-10620.391798321405</v>
      </c>
      <c r="CX320" s="566">
        <f>VLOOKUP($A320,'01-02.2021'!$A$6:$CZ$403,102,FALSE)+VLOOKUP($A320,'1.3.21-28.2.22'!$A$6:$DA$404,102,FALSE)-VLOOKUP($A320,'01-02.2022'!$A$6:$DA$376,102,FALSE)</f>
        <v>2135.0598410028665</v>
      </c>
      <c r="CY320" s="566">
        <f>VLOOKUP($A320,'01-02.2021'!$A$6:$CZ$403,103,FALSE)+VLOOKUP($A320,'1.3.21-28.2.22'!$A$6:$DA$404,103,FALSE)-VLOOKUP($A320,'01-02.2022'!$A$6:$DA$376,103,FALSE)</f>
        <v>12755.451639324285</v>
      </c>
      <c r="CZ320" s="52">
        <f t="shared" si="367"/>
        <v>10620.391798321418</v>
      </c>
      <c r="DA320" s="150">
        <f>'[2]побудинковий звіт'!DA320</f>
        <v>-844.73761043426748</v>
      </c>
      <c r="DB320" s="2">
        <v>2</v>
      </c>
      <c r="DC320" s="414">
        <f>'[4]побудинковий звіт'!DC320</f>
        <v>7568.82</v>
      </c>
      <c r="DD320" s="414">
        <f>'[4]побудинковий звіт'!DD320</f>
        <v>0</v>
      </c>
      <c r="DE320" s="557">
        <f>'[4]побудинковий звіт'!DE320</f>
        <v>542.8590280155604</v>
      </c>
      <c r="DF320" s="557">
        <f>'[4]побудинковий звіт'!DF320</f>
        <v>0</v>
      </c>
      <c r="DG320" s="321">
        <f>VLOOKUP(A320,'кошти 01.03.2021'!$A$6:$D$401,4,)</f>
        <v>12922.681996204466</v>
      </c>
      <c r="DH320" s="40">
        <f>'[3]побудинковий звіт'!DJ320</f>
        <v>80106.887506688057</v>
      </c>
      <c r="DI320" s="422">
        <f>'[3]побудинковий звіт'!CU320+'[3]побудинковий звіт'!CX320</f>
        <v>7025.9609719844393</v>
      </c>
      <c r="DJ320" s="306">
        <f>'[3]побудинковий звіт'!DM320</f>
        <v>4.8361515500994212</v>
      </c>
      <c r="DK320" s="306">
        <f t="shared" si="377"/>
        <v>4.8361515500994212</v>
      </c>
      <c r="DL320" s="306">
        <f>'[3]побудинковий звіт'!DO320</f>
        <v>4.1680281540345065</v>
      </c>
      <c r="DM320" s="28">
        <f t="shared" si="379"/>
        <v>7025.9609719844393</v>
      </c>
      <c r="DN320" s="28">
        <f t="shared" si="378"/>
        <v>0</v>
      </c>
      <c r="DO320" s="423">
        <f t="shared" si="319"/>
        <v>7025.9609719844393</v>
      </c>
      <c r="DP320" s="94">
        <f t="shared" si="320"/>
        <v>0</v>
      </c>
      <c r="DQ320" s="28">
        <f t="shared" si="321"/>
        <v>7025.9609719844393</v>
      </c>
      <c r="DR320" s="318"/>
      <c r="DT320" s="8"/>
      <c r="DU320" s="5"/>
      <c r="DX320" s="5">
        <f t="shared" si="322"/>
        <v>20717.640209555939</v>
      </c>
      <c r="DY320" s="5">
        <f t="shared" si="323"/>
        <v>8996.4</v>
      </c>
      <c r="DZ320" s="159">
        <f>'[3]побудинковий звіт'!EA320</f>
        <v>1946.6111988979978</v>
      </c>
    </row>
    <row r="321" spans="1:130" x14ac:dyDescent="0.3">
      <c r="A321" s="325">
        <v>150000801</v>
      </c>
      <c r="B321" s="41" t="s">
        <v>767</v>
      </c>
      <c r="C321" s="42" t="s">
        <v>295</v>
      </c>
      <c r="D321" s="42"/>
      <c r="E321" s="293">
        <f t="shared" si="353"/>
        <v>4212.1099999999997</v>
      </c>
      <c r="F321" s="305">
        <f>'[3]побудинковий звіт'!F321</f>
        <v>3766.2</v>
      </c>
      <c r="G321" s="508">
        <f>'[3]побудинковий звіт'!G321</f>
        <v>0</v>
      </c>
      <c r="H321" s="560">
        <f>'[3]побудинковий звіт'!H321</f>
        <v>445.91</v>
      </c>
      <c r="I321" s="566">
        <f>VLOOKUP($A321,'01-02.2021'!$A$6:$CZ$403,9,FALSE)+VLOOKUP($A321,'1.3.21-28.2.22'!$A$6:$DA$404,9,FALSE)-VLOOKUP($A321,'01-02.2022'!$A$6:$DA$376,9,FALSE)</f>
        <v>13813.151704414886</v>
      </c>
      <c r="J321" s="566">
        <f>VLOOKUP($A321,'01-02.2021'!$A$6:$CZ$403,10,FALSE)+VLOOKUP($A321,'1.3.21-28.2.22'!$A$6:$DA$404,10,FALSE)-VLOOKUP($A321,'01-02.2022'!$A$6:$DA$376,10,FALSE)</f>
        <v>15207.591419691566</v>
      </c>
      <c r="K321" s="52">
        <f t="shared" si="357"/>
        <v>1394.4397152766796</v>
      </c>
      <c r="L321" s="566">
        <f>VLOOKUP($A321,'01-02.2021'!$A$6:$CZ$403,12,FALSE)+VLOOKUP($A321,'1.3.21-28.2.22'!$A$6:$DA$404,12,FALSE)-VLOOKUP($A321,'01-02.2022'!$A$6:$DA$376,12,FALSE)</f>
        <v>2769.7304538079898</v>
      </c>
      <c r="M321" s="566">
        <f>VLOOKUP($A321,'01-02.2021'!$A$6:$CZ$403,13,FALSE)+VLOOKUP($A321,'1.3.21-28.2.22'!$A$6:$DA$404,13,FALSE)-VLOOKUP($A321,'01-02.2022'!$A$6:$DA$376,13,FALSE)</f>
        <v>3049.5722700664674</v>
      </c>
      <c r="N321" s="52">
        <f t="shared" si="358"/>
        <v>279.84181625847759</v>
      </c>
      <c r="O321" s="566">
        <f>VLOOKUP($A321,'01-02.2021'!$A$6:$CZ$403,15,FALSE)+VLOOKUP($A321,'1.3.21-28.2.22'!$A$6:$DA$404,15,FALSE)-VLOOKUP($A321,'01-02.2022'!$A$6:$DA$376,15,FALSE)</f>
        <v>5068.7815952175006</v>
      </c>
      <c r="P321" s="566">
        <f>VLOOKUP($A321,'01-02.2021'!$A$6:$CZ$403,16,FALSE)+VLOOKUP($A321,'1.3.21-28.2.22'!$A$6:$DA$404,16,FALSE)-VLOOKUP($A321,'01-02.2022'!$A$6:$DA$376,16,FALSE)</f>
        <v>5068.7500000000009</v>
      </c>
      <c r="Q321" s="70">
        <f t="shared" si="324"/>
        <v>-3.159521749967098E-2</v>
      </c>
      <c r="R321" s="566">
        <f>VLOOKUP($A321,'01-02.2021'!$A$6:$CZ$403,18,FALSE)+VLOOKUP($A321,'1.3.21-28.2.22'!$A$6:$DA$404,18,FALSE)-VLOOKUP($A321,'01-02.2022'!$A$6:$DA$376,18,FALSE)</f>
        <v>0</v>
      </c>
      <c r="S321" s="566">
        <f>VLOOKUP($A321,'01-02.2021'!$A$6:$CZ$403,19,FALSE)+VLOOKUP($A321,'1.3.21-28.2.22'!$A$6:$DA$404,19,FALSE)-VLOOKUP($A321,'01-02.2022'!$A$6:$DA$376,19,FALSE)</f>
        <v>0</v>
      </c>
      <c r="T321" s="70">
        <f t="shared" si="325"/>
        <v>0</v>
      </c>
      <c r="U321" s="566">
        <f>VLOOKUP($A321,'01-02.2021'!$A$6:$CZ$403,21,FALSE)+VLOOKUP($A321,'1.3.21-28.2.22'!$A$6:$DA$404,21,FALSE)-VLOOKUP($A321,'01-02.2022'!$A$6:$DA$376,21,FALSE)</f>
        <v>0</v>
      </c>
      <c r="V321" s="566">
        <f>VLOOKUP($A321,'01-02.2021'!$A$6:$CZ$403,22,FALSE)+VLOOKUP($A321,'1.3.21-28.2.22'!$A$6:$DA$404,22,FALSE)-VLOOKUP($A321,'01-02.2022'!$A$6:$DA$376,22,FALSE)</f>
        <v>0</v>
      </c>
      <c r="W321" s="70">
        <f t="shared" si="326"/>
        <v>0</v>
      </c>
      <c r="X321" s="566">
        <f>VLOOKUP($A321,'01-02.2021'!$A$6:$CZ$403,24,FALSE)+VLOOKUP($A321,'1.3.21-28.2.22'!$A$6:$DA$404,24,FALSE)-VLOOKUP($A321,'01-02.2022'!$A$6:$DA$376,24,FALSE)</f>
        <v>8987.0882038242817</v>
      </c>
      <c r="Y321" s="566">
        <f>VLOOKUP($A321,'01-02.2021'!$A$6:$CZ$403,25,FALSE)+VLOOKUP($A321,'1.3.21-28.2.22'!$A$6:$DA$404,25,FALSE)-VLOOKUP($A321,'01-02.2022'!$A$6:$DA$376,25,FALSE)</f>
        <v>7432.0372414904805</v>
      </c>
      <c r="Z321" s="70">
        <f t="shared" si="327"/>
        <v>-1555.0509623338012</v>
      </c>
      <c r="AA321" s="566">
        <f>VLOOKUP($A321,'01-02.2021'!$A$6:$CZ$403,27,FALSE)+VLOOKUP($A321,'1.3.21-28.2.22'!$A$6:$DA$404,27,FALSE)-VLOOKUP($A321,'01-02.2022'!$A$6:$DA$376,27,FALSE)</f>
        <v>844.48199999999997</v>
      </c>
      <c r="AB321" s="566">
        <f>VLOOKUP($A321,'01-02.2021'!$A$6:$CZ$403,28,FALSE)+VLOOKUP($A321,'1.3.21-28.2.22'!$A$6:$DA$404,28,FALSE)-VLOOKUP($A321,'01-02.2022'!$A$6:$DA$376,28,FALSE)</f>
        <v>0</v>
      </c>
      <c r="AC321" s="70">
        <f t="shared" si="328"/>
        <v>-844.48199999999997</v>
      </c>
      <c r="AD321" s="566">
        <f>VLOOKUP($A321,'01-02.2021'!$A$6:$CZ$403,30,FALSE)+VLOOKUP($A321,'1.3.21-28.2.22'!$A$6:$DA$404,30,FALSE)-VLOOKUP($A321,'01-02.2022'!$A$6:$DA$376,30,FALSE)</f>
        <v>18071.062782923047</v>
      </c>
      <c r="AE321" s="566">
        <f>VLOOKUP($A321,'01-02.2021'!$A$6:$CZ$403,31,FALSE)+VLOOKUP($A321,'1.3.21-28.2.22'!$A$6:$DA$404,31,FALSE)-VLOOKUP($A321,'01-02.2022'!$A$6:$DA$376,31,FALSE)</f>
        <v>19172.968737432289</v>
      </c>
      <c r="AF321" s="68">
        <f t="shared" si="329"/>
        <v>1101.9059545092423</v>
      </c>
      <c r="AG321" s="77">
        <f t="shared" si="354"/>
        <v>49554.29674018771</v>
      </c>
      <c r="AH321" s="53">
        <f t="shared" si="354"/>
        <v>49930.919668680799</v>
      </c>
      <c r="AI321" s="52">
        <f t="shared" si="359"/>
        <v>376.62292849308869</v>
      </c>
      <c r="AJ321" s="566">
        <f>VLOOKUP($A321,'01-02.2021'!$A$6:$CZ$403,36,FALSE)+VLOOKUP($A321,'1.3.21-28.2.22'!$A$6:$DA$404,36,FALSE)-VLOOKUP($A321,'01-02.2022'!$A$6:$DA$376,36,FALSE)</f>
        <v>0</v>
      </c>
      <c r="AK321" s="566">
        <f>VLOOKUP($A321,'01-02.2021'!$A$6:$CZ$403,37,FALSE)+VLOOKUP($A321,'1.3.21-28.2.22'!$A$6:$DA$404,37,FALSE)-VLOOKUP($A321,'01-02.2022'!$A$6:$DA$376,37,FALSE)</f>
        <v>0</v>
      </c>
      <c r="AL321" s="70">
        <f t="shared" si="330"/>
        <v>0</v>
      </c>
      <c r="AM321" s="566">
        <f>VLOOKUP($A321,'01-02.2021'!$A$6:$CZ$403,39,FALSE)+VLOOKUP($A321,'1.3.21-28.2.22'!$A$6:$DA$404,39,FALSE)-VLOOKUP($A321,'01-02.2022'!$A$6:$DA$376,39,FALSE)</f>
        <v>0</v>
      </c>
      <c r="AN321" s="566">
        <f>VLOOKUP($A321,'01-02.2021'!$A$6:$CZ$403,40,FALSE)+VLOOKUP($A321,'1.3.21-28.2.22'!$A$6:$DA$404,40,FALSE)-VLOOKUP($A321,'01-02.2022'!$A$6:$DA$376,40,FALSE)</f>
        <v>0</v>
      </c>
      <c r="AO321" s="70">
        <f t="shared" si="331"/>
        <v>0</v>
      </c>
      <c r="AP321" s="566">
        <f>VLOOKUP($A321,'01-02.2021'!$A$6:$CZ$403,42,FALSE)+VLOOKUP($A321,'1.3.21-28.2.22'!$A$6:$DA$404,42,FALSE)-VLOOKUP($A321,'01-02.2022'!$A$6:$DA$376,42,FALSE)</f>
        <v>11712.598312787495</v>
      </c>
      <c r="AQ321" s="566">
        <f>VLOOKUP($A321,'01-02.2021'!$A$6:$CZ$403,43,FALSE)+VLOOKUP($A321,'1.3.21-28.2.22'!$A$6:$DA$404,43,FALSE)-VLOOKUP($A321,'01-02.2022'!$A$6:$DA$376,43,FALSE)</f>
        <v>10097.201232672949</v>
      </c>
      <c r="AR321" s="70">
        <f t="shared" si="332"/>
        <v>-1615.397080114546</v>
      </c>
      <c r="AS321" s="566">
        <f>VLOOKUP($A321,'01-02.2021'!$A$6:$CZ$403,45,FALSE)+VLOOKUP($A321,'1.3.21-28.2.22'!$A$6:$DA$404,45,FALSE)-VLOOKUP($A321,'01-02.2022'!$A$6:$DA$376,45,FALSE)</f>
        <v>41130.547374394868</v>
      </c>
      <c r="AT321" s="566">
        <f>VLOOKUP($A321,'01-02.2021'!$A$6:$CZ$403,46,FALSE)+VLOOKUP($A321,'1.3.21-28.2.22'!$A$6:$DA$404,46,FALSE)-VLOOKUP($A321,'01-02.2022'!$A$6:$DA$376,46,FALSE)</f>
        <v>75665.89123441893</v>
      </c>
      <c r="AU321" s="78">
        <f t="shared" si="333"/>
        <v>34535.343860024062</v>
      </c>
      <c r="AV321" s="566">
        <f>VLOOKUP($A321,'01-02.2021'!$A$6:$CZ$403,48,FALSE)+VLOOKUP($A321,'1.3.21-28.2.22'!$A$6:$DA$404,48,FALSE)-VLOOKUP($A321,'01-02.2022'!$A$6:$DA$376,48,FALSE)</f>
        <v>3671.0054013215668</v>
      </c>
      <c r="AW321" s="566">
        <f>VLOOKUP($A321,'01-02.2021'!$A$6:$CZ$403,49,FALSE)+VLOOKUP($A321,'1.3.21-28.2.22'!$A$6:$DA$404,49,FALSE)-VLOOKUP($A321,'01-02.2022'!$A$6:$DA$376,49,FALSE)</f>
        <v>1145</v>
      </c>
      <c r="AX321" s="55">
        <f t="shared" si="334"/>
        <v>-2526.0054013215668</v>
      </c>
      <c r="AY321" s="566">
        <f>VLOOKUP($A321,'01-02.2021'!$A$6:$CZ$403,51,FALSE)+VLOOKUP($A321,'1.3.21-28.2.22'!$A$6:$DA$404,51,FALSE)-VLOOKUP($A321,'01-02.2022'!$A$6:$DA$376,51,FALSE)</f>
        <v>5206.5043256300778</v>
      </c>
      <c r="AZ321" s="566">
        <f>VLOOKUP($A321,'01-02.2021'!$A$6:$CZ$403,52,FALSE)+VLOOKUP($A321,'1.3.21-28.2.22'!$A$6:$DA$404,52,FALSE)-VLOOKUP($A321,'01-02.2022'!$A$6:$DA$376,52,FALSE)</f>
        <v>90</v>
      </c>
      <c r="BA321" s="38">
        <f t="shared" si="335"/>
        <v>-5116.5043256300778</v>
      </c>
      <c r="BB321" s="566">
        <f>VLOOKUP($A321,'01-02.2021'!$A$6:$CZ$403,54,FALSE)+VLOOKUP($A321,'1.3.21-28.2.22'!$A$6:$DA$404,54,FALSE)-VLOOKUP($A321,'01-02.2022'!$A$6:$DA$376,54,FALSE)</f>
        <v>2338.7450210501247</v>
      </c>
      <c r="BC321" s="566">
        <f>VLOOKUP($A321,'01-02.2021'!$A$6:$CZ$403,55,FALSE)+VLOOKUP($A321,'1.3.21-28.2.22'!$A$6:$DA$404,55,FALSE)-VLOOKUP($A321,'01-02.2022'!$A$6:$DA$376,55,FALSE)</f>
        <v>1051</v>
      </c>
      <c r="BD321" s="55">
        <f t="shared" si="336"/>
        <v>-1287.7450210501247</v>
      </c>
      <c r="BE321" s="566">
        <f>VLOOKUP($A321,'01-02.2021'!$A$6:$CZ$403,57,FALSE)+VLOOKUP($A321,'1.3.21-28.2.22'!$A$6:$DA$404,57,FALSE)-VLOOKUP($A321,'01-02.2022'!$A$6:$DA$376,57,FALSE)</f>
        <v>0</v>
      </c>
      <c r="BF321" s="566">
        <f>VLOOKUP($A321,'01-02.2021'!$A$6:$CZ$403,58,FALSE)+VLOOKUP($A321,'1.3.21-28.2.22'!$A$6:$DA$404,58,FALSE)-VLOOKUP($A321,'01-02.2022'!$A$6:$DA$376,58,FALSE)</f>
        <v>0</v>
      </c>
      <c r="BG321" s="55">
        <f t="shared" si="337"/>
        <v>0</v>
      </c>
      <c r="BH321" s="566">
        <f>VLOOKUP($A321,'01-02.2021'!$A$6:$CZ$403,60,FALSE)+VLOOKUP($A321,'1.3.21-28.2.22'!$A$6:$DA$404,60,FALSE)-VLOOKUP($A321,'01-02.2022'!$A$6:$DA$376,60,FALSE)</f>
        <v>0</v>
      </c>
      <c r="BI321" s="566">
        <f>VLOOKUP($A321,'01-02.2021'!$A$6:$CZ$403,61,FALSE)+VLOOKUP($A321,'1.3.21-28.2.22'!$A$6:$DA$404,61,FALSE)-VLOOKUP($A321,'01-02.2022'!$A$6:$DA$376,61,FALSE)</f>
        <v>0</v>
      </c>
      <c r="BJ321" s="55">
        <f t="shared" si="338"/>
        <v>0</v>
      </c>
      <c r="BK321" s="566">
        <f>VLOOKUP($A321,'01-02.2021'!$A$6:$CZ$403,63,FALSE)+VLOOKUP($A321,'1.3.21-28.2.22'!$A$6:$DA$404,63,FALSE)-VLOOKUP($A321,'01-02.2022'!$A$6:$DA$376,63,FALSE)</f>
        <v>2943.980302743837</v>
      </c>
      <c r="BL321" s="566">
        <f>VLOOKUP($A321,'01-02.2021'!$A$6:$CZ$403,64,FALSE)+VLOOKUP($A321,'1.3.21-28.2.22'!$A$6:$DA$404,64,FALSE)-VLOOKUP($A321,'01-02.2022'!$A$6:$DA$376,64,FALSE)</f>
        <v>1016</v>
      </c>
      <c r="BM321" s="55">
        <f t="shared" si="339"/>
        <v>-1927.980302743837</v>
      </c>
      <c r="BN321" s="566">
        <f>VLOOKUP($A321,'01-02.2021'!$A$6:$CZ$403,66,FALSE)+VLOOKUP($A321,'1.3.21-28.2.22'!$A$6:$DA$404,66,FALSE)-VLOOKUP($A321,'01-02.2022'!$A$6:$DA$376,66,FALSE)</f>
        <v>211.12049999999999</v>
      </c>
      <c r="BO321" s="566">
        <f>VLOOKUP($A321,'01-02.2021'!$A$6:$CZ$403,67,FALSE)+VLOOKUP($A321,'1.3.21-28.2.22'!$A$6:$DA$404,67,FALSE)-VLOOKUP($A321,'01-02.2022'!$A$6:$DA$376,67,FALSE)</f>
        <v>1787</v>
      </c>
      <c r="BP321" s="55">
        <f t="shared" si="340"/>
        <v>1575.8795</v>
      </c>
      <c r="BQ321" s="77">
        <f t="shared" si="348"/>
        <v>14371.355550745608</v>
      </c>
      <c r="BR321" s="40">
        <f t="shared" si="375"/>
        <v>5089</v>
      </c>
      <c r="BS321" s="55">
        <f t="shared" si="369"/>
        <v>-9282.3555507456076</v>
      </c>
      <c r="BT321" s="566">
        <f>VLOOKUP($A321,'01-02.2021'!$A$6:$CZ$403,72,FALSE)+VLOOKUP($A321,'1.3.21-28.2.22'!$A$6:$DA$404,72,FALSE)-VLOOKUP($A321,'01-02.2022'!$A$6:$DA$376,72,FALSE)</f>
        <v>27725.30315892832</v>
      </c>
      <c r="BU321" s="566">
        <f>VLOOKUP($A321,'01-02.2021'!$A$6:$CZ$403,73,FALSE)+VLOOKUP($A321,'1.3.21-28.2.22'!$A$6:$DA$404,73,FALSE)-VLOOKUP($A321,'01-02.2022'!$A$6:$DA$376,73,FALSE)</f>
        <v>33884.375577284933</v>
      </c>
      <c r="BV321" s="70">
        <f t="shared" si="341"/>
        <v>6159.0724183566126</v>
      </c>
      <c r="BW321" s="566">
        <f>VLOOKUP($A321,'01-02.2021'!$A$6:$CZ$403,75,FALSE)+VLOOKUP($A321,'1.3.21-28.2.22'!$A$6:$DA$404,75,FALSE)-VLOOKUP($A321,'01-02.2022'!$A$6:$DA$376,75,FALSE)</f>
        <v>18023.623981338074</v>
      </c>
      <c r="BX321" s="566">
        <f>VLOOKUP($A321,'01-02.2021'!$A$6:$CZ$403,76,FALSE)+VLOOKUP($A321,'1.3.21-28.2.22'!$A$6:$DA$404,76,FALSE)-VLOOKUP($A321,'01-02.2022'!$A$6:$DA$376,76,FALSE)</f>
        <v>17043.922337249685</v>
      </c>
      <c r="BY321" s="70">
        <f t="shared" si="342"/>
        <v>-979.701644088389</v>
      </c>
      <c r="BZ321" s="566">
        <f>VLOOKUP($A321,'01-02.2021'!$A$6:$CZ$403,78,FALSE)+VLOOKUP($A321,'1.3.21-28.2.22'!$A$6:$DA$404,78,FALSE)-VLOOKUP($A321,'01-02.2022'!$A$6:$DA$376,78,FALSE)</f>
        <v>13303.749828724895</v>
      </c>
      <c r="CA321" s="566">
        <f>VLOOKUP($A321,'01-02.2021'!$A$6:$CZ$403,79,FALSE)+VLOOKUP($A321,'1.3.21-28.2.22'!$A$6:$DA$404,79,FALSE)-VLOOKUP($A321,'01-02.2022'!$A$6:$DA$376,79,FALSE)</f>
        <v>8679.0283111655808</v>
      </c>
      <c r="CB321" s="70">
        <f t="shared" si="343"/>
        <v>-4624.7215175593137</v>
      </c>
      <c r="CC321" s="566">
        <f>VLOOKUP($A321,'01-02.2021'!$A$6:$CZ$403,81,FALSE)+VLOOKUP($A321,'1.3.21-28.2.22'!$A$6:$DA$404,81,FALSE)-VLOOKUP($A321,'01-02.2022'!$A$6:$DA$376,81,FALSE)</f>
        <v>701.6052575856844</v>
      </c>
      <c r="CD321" s="566">
        <f>VLOOKUP($A321,'01-02.2021'!$A$6:$CZ$403,82,FALSE)+VLOOKUP($A321,'1.3.21-28.2.22'!$A$6:$DA$404,82,FALSE)-VLOOKUP($A321,'01-02.2022'!$A$6:$DA$376,82,FALSE)</f>
        <v>766.84964902181139</v>
      </c>
      <c r="CE321" s="70">
        <f t="shared" si="344"/>
        <v>65.244391436126989</v>
      </c>
      <c r="CF321" s="566">
        <f>VLOOKUP($A321,'01-02.2021'!$A$6:$CZ$403,84,FALSE)+VLOOKUP($A321,'1.3.21-28.2.22'!$A$6:$DA$404,84,FALSE)-VLOOKUP($A321,'01-02.2022'!$A$6:$DA$376,84,FALSE)</f>
        <v>85.294571471379228</v>
      </c>
      <c r="CG321" s="566">
        <f>VLOOKUP($A321,'01-02.2021'!$A$6:$CZ$403,85,FALSE)+VLOOKUP($A321,'1.3.21-28.2.22'!$A$6:$DA$404,85,FALSE)-VLOOKUP($A321,'01-02.2022'!$A$6:$DA$376,85,FALSE)</f>
        <v>0</v>
      </c>
      <c r="CH321" s="70">
        <f t="shared" si="345"/>
        <v>-85.294571471379228</v>
      </c>
      <c r="CI321" s="566">
        <f>VLOOKUP($A321,'01-02.2021'!$A$6:$CZ$403,87,FALSE)+VLOOKUP($A321,'1.3.21-28.2.22'!$A$6:$DA$404,87,FALSE)-VLOOKUP($A321,'01-02.2022'!$A$6:$DA$376,87,FALSE)</f>
        <v>4012.3695104463814</v>
      </c>
      <c r="CJ321" s="566">
        <f>VLOOKUP($A321,'01-02.2021'!$A$6:$CZ$403,88,FALSE)+VLOOKUP($A321,'1.3.21-28.2.22'!$A$6:$DA$404,88,FALSE)-VLOOKUP($A321,'01-02.2022'!$A$6:$DA$376,88,FALSE)</f>
        <v>4623.0057124378236</v>
      </c>
      <c r="CK321" s="70">
        <f t="shared" si="346"/>
        <v>610.63620199144225</v>
      </c>
      <c r="CL321" s="566">
        <f>VLOOKUP($A321,'01-02.2021'!$A$6:$CZ$403,90,FALSE)+VLOOKUP($A321,'1.3.21-28.2.22'!$A$6:$DA$404,90,FALSE)-VLOOKUP($A321,'01-02.2022'!$A$6:$DA$376,90,FALSE)</f>
        <v>0</v>
      </c>
      <c r="CM321" s="566">
        <f>VLOOKUP($A321,'01-02.2021'!$A$6:$CZ$403,91,FALSE)+VLOOKUP($A321,'1.3.21-28.2.22'!$A$6:$DA$404,91,FALSE)-VLOOKUP($A321,'01-02.2022'!$A$6:$DA$376,91,FALSE)</f>
        <v>0</v>
      </c>
      <c r="CN321" s="52">
        <f t="shared" si="360"/>
        <v>0</v>
      </c>
      <c r="CO321" s="39">
        <f t="shared" si="355"/>
        <v>4012.3695104463814</v>
      </c>
      <c r="CP321" s="40">
        <f t="shared" si="361"/>
        <v>4623.0057124378236</v>
      </c>
      <c r="CQ321" s="52">
        <f t="shared" si="362"/>
        <v>610.63620199144225</v>
      </c>
      <c r="CR321" s="72">
        <f t="shared" si="356"/>
        <v>180620.7442866104</v>
      </c>
      <c r="CS321" s="5">
        <f t="shared" si="356"/>
        <v>205780.19372293248</v>
      </c>
      <c r="CT321" s="52">
        <f t="shared" si="363"/>
        <v>25159.449436322087</v>
      </c>
      <c r="CU321" s="77">
        <f t="shared" si="364"/>
        <v>216744.89314393248</v>
      </c>
      <c r="CV321" s="65">
        <f t="shared" si="365"/>
        <v>246936.23246751897</v>
      </c>
      <c r="CW321" s="35">
        <f t="shared" si="366"/>
        <v>30191.339323586493</v>
      </c>
      <c r="CX321" s="566">
        <f>VLOOKUP($A321,'01-02.2021'!$A$6:$CZ$403,102,FALSE)+VLOOKUP($A321,'1.3.21-28.2.22'!$A$6:$DA$404,102,FALSE)-VLOOKUP($A321,'01-02.2022'!$A$6:$DA$376,102,FALSE)</f>
        <v>4025.7872255297411</v>
      </c>
      <c r="CY321" s="566">
        <f>VLOOKUP($A321,'01-02.2021'!$A$6:$CZ$403,103,FALSE)+VLOOKUP($A321,'1.3.21-28.2.22'!$A$6:$DA$404,103,FALSE)-VLOOKUP($A321,'01-02.2022'!$A$6:$DA$376,103,FALSE)</f>
        <v>-26165.552098056796</v>
      </c>
      <c r="CZ321" s="52">
        <f t="shared" si="367"/>
        <v>-30191.339323586537</v>
      </c>
      <c r="DA321" s="150">
        <f>'[2]побудинковий звіт'!DA321</f>
        <v>77819.925730482297</v>
      </c>
      <c r="DB321" s="2">
        <v>2</v>
      </c>
      <c r="DC321" s="414">
        <f>'[4]побудинковий звіт'!DC321</f>
        <v>40410.18</v>
      </c>
      <c r="DD321" s="414">
        <f>'[4]побудинковий звіт'!DD321</f>
        <v>6163.7000000000007</v>
      </c>
      <c r="DE321" s="557">
        <f>'[4]побудинковий звіт'!DE321</f>
        <v>22277.728652788919</v>
      </c>
      <c r="DF321" s="557">
        <f>'[4]побудинковий звіт'!DF321</f>
        <v>4270.1434176796456</v>
      </c>
      <c r="DG321" s="321">
        <f>VLOOKUP(A321,'кошти 01.03.2021'!$A$6:$D$401,4,)</f>
        <v>-31278.559536726407</v>
      </c>
      <c r="DH321" s="40">
        <f>'[3]побудинковий звіт'!DJ321</f>
        <v>228470.34352121671</v>
      </c>
      <c r="DI321" s="422">
        <f>'[3]побудинковий звіт'!CU321+'[3]побудинковий звіт'!CX321</f>
        <v>20026.007929531435</v>
      </c>
      <c r="DJ321" s="306">
        <f>'[3]побудинковий звіт'!DM321</f>
        <v>4.8145216258326915</v>
      </c>
      <c r="DK321" s="306">
        <f t="shared" si="377"/>
        <v>4.8145216258326915</v>
      </c>
      <c r="DL321" s="306">
        <f>'[3]побудинковий звіт'!DO321</f>
        <v>4.2464994781914625</v>
      </c>
      <c r="DM321" s="28">
        <f t="shared" si="379"/>
        <v>18132.451347211081</v>
      </c>
      <c r="DN321" s="28">
        <f t="shared" si="378"/>
        <v>1893.5565823203551</v>
      </c>
      <c r="DO321" s="423">
        <f t="shared" si="319"/>
        <v>20026.007929531435</v>
      </c>
      <c r="DP321" s="94">
        <f t="shared" si="320"/>
        <v>0</v>
      </c>
      <c r="DQ321" s="28">
        <f t="shared" si="321"/>
        <v>20026.007929531435</v>
      </c>
      <c r="DR321" s="318"/>
      <c r="DT321" s="8"/>
      <c r="DU321" s="5"/>
      <c r="DX321" s="5">
        <f t="shared" si="322"/>
        <v>66602.283510168563</v>
      </c>
      <c r="DY321" s="5">
        <f t="shared" si="323"/>
        <v>96905.86948130271</v>
      </c>
      <c r="DZ321" s="159">
        <f>'[3]побудинковий звіт'!EA321</f>
        <v>6340.2909340228734</v>
      </c>
    </row>
    <row r="322" spans="1:130" x14ac:dyDescent="0.3">
      <c r="A322" s="325">
        <v>150000802</v>
      </c>
      <c r="B322" s="41" t="s">
        <v>768</v>
      </c>
      <c r="C322" s="42" t="s">
        <v>296</v>
      </c>
      <c r="D322" s="42"/>
      <c r="E322" s="293">
        <f t="shared" si="353"/>
        <v>3203.6</v>
      </c>
      <c r="F322" s="305">
        <f>'[3]побудинковий звіт'!F322</f>
        <v>3203.6</v>
      </c>
      <c r="G322" s="508">
        <f>'[3]побудинковий звіт'!G322</f>
        <v>0</v>
      </c>
      <c r="H322" s="560">
        <f>'[3]побудинковий звіт'!H322</f>
        <v>0</v>
      </c>
      <c r="I322" s="566">
        <f>VLOOKUP($A322,'01-02.2021'!$A$6:$CZ$403,9,FALSE)+VLOOKUP($A322,'1.3.21-28.2.22'!$A$6:$DA$404,9,FALSE)-VLOOKUP($A322,'01-02.2022'!$A$6:$DA$376,9,FALSE)</f>
        <v>11418.550376626266</v>
      </c>
      <c r="J322" s="566">
        <f>VLOOKUP($A322,'01-02.2021'!$A$6:$CZ$403,10,FALSE)+VLOOKUP($A322,'1.3.21-28.2.22'!$A$6:$DA$404,10,FALSE)-VLOOKUP($A322,'01-02.2022'!$A$6:$DA$376,10,FALSE)</f>
        <v>12539.988834880947</v>
      </c>
      <c r="K322" s="52">
        <f t="shared" si="357"/>
        <v>1121.4384582546809</v>
      </c>
      <c r="L322" s="566">
        <f>VLOOKUP($A322,'01-02.2021'!$A$6:$CZ$403,12,FALSE)+VLOOKUP($A322,'1.3.21-28.2.22'!$A$6:$DA$404,12,FALSE)-VLOOKUP($A322,'01-02.2022'!$A$6:$DA$376,12,FALSE)</f>
        <v>2218.0513364412768</v>
      </c>
      <c r="M322" s="566">
        <f>VLOOKUP($A322,'01-02.2021'!$A$6:$CZ$403,13,FALSE)+VLOOKUP($A322,'1.3.21-28.2.22'!$A$6:$DA$404,13,FALSE)-VLOOKUP($A322,'01-02.2022'!$A$6:$DA$376,13,FALSE)</f>
        <v>2442.1509382981772</v>
      </c>
      <c r="N322" s="52">
        <f t="shared" si="358"/>
        <v>224.09960185690034</v>
      </c>
      <c r="O322" s="566">
        <f>VLOOKUP($A322,'01-02.2021'!$A$6:$CZ$403,15,FALSE)+VLOOKUP($A322,'1.3.21-28.2.22'!$A$6:$DA$404,15,FALSE)-VLOOKUP($A322,'01-02.2022'!$A$6:$DA$376,15,FALSE)</f>
        <v>3811.6032179664594</v>
      </c>
      <c r="P322" s="566">
        <f>VLOOKUP($A322,'01-02.2021'!$A$6:$CZ$403,16,FALSE)+VLOOKUP($A322,'1.3.21-28.2.22'!$A$6:$DA$404,16,FALSE)-VLOOKUP($A322,'01-02.2022'!$A$6:$DA$376,16,FALSE)</f>
        <v>3811.6200000000013</v>
      </c>
      <c r="Q322" s="70">
        <f t="shared" si="324"/>
        <v>1.6782033541858254E-2</v>
      </c>
      <c r="R322" s="566">
        <f>VLOOKUP($A322,'01-02.2021'!$A$6:$CZ$403,18,FALSE)+VLOOKUP($A322,'1.3.21-28.2.22'!$A$6:$DA$404,18,FALSE)-VLOOKUP($A322,'01-02.2022'!$A$6:$DA$376,18,FALSE)</f>
        <v>0</v>
      </c>
      <c r="S322" s="566">
        <f>VLOOKUP($A322,'01-02.2021'!$A$6:$CZ$403,19,FALSE)+VLOOKUP($A322,'1.3.21-28.2.22'!$A$6:$DA$404,19,FALSE)-VLOOKUP($A322,'01-02.2022'!$A$6:$DA$376,19,FALSE)</f>
        <v>0</v>
      </c>
      <c r="T322" s="70">
        <f t="shared" si="325"/>
        <v>0</v>
      </c>
      <c r="U322" s="566">
        <f>VLOOKUP($A322,'01-02.2021'!$A$6:$CZ$403,21,FALSE)+VLOOKUP($A322,'1.3.21-28.2.22'!$A$6:$DA$404,21,FALSE)-VLOOKUP($A322,'01-02.2022'!$A$6:$DA$376,21,FALSE)</f>
        <v>0</v>
      </c>
      <c r="V322" s="566">
        <f>VLOOKUP($A322,'01-02.2021'!$A$6:$CZ$403,22,FALSE)+VLOOKUP($A322,'1.3.21-28.2.22'!$A$6:$DA$404,22,FALSE)-VLOOKUP($A322,'01-02.2022'!$A$6:$DA$376,22,FALSE)</f>
        <v>0</v>
      </c>
      <c r="W322" s="70">
        <f t="shared" si="326"/>
        <v>0</v>
      </c>
      <c r="X322" s="566">
        <f>VLOOKUP($A322,'01-02.2021'!$A$6:$CZ$403,24,FALSE)+VLOOKUP($A322,'1.3.21-28.2.22'!$A$6:$DA$404,24,FALSE)-VLOOKUP($A322,'01-02.2022'!$A$6:$DA$376,24,FALSE)</f>
        <v>6446.6161225930518</v>
      </c>
      <c r="Y322" s="566">
        <f>VLOOKUP($A322,'01-02.2021'!$A$6:$CZ$403,25,FALSE)+VLOOKUP($A322,'1.3.21-28.2.22'!$A$6:$DA$404,25,FALSE)-VLOOKUP($A322,'01-02.2022'!$A$6:$DA$376,25,FALSE)</f>
        <v>5143.0727023462296</v>
      </c>
      <c r="Z322" s="70">
        <f t="shared" si="327"/>
        <v>-1303.5434202468223</v>
      </c>
      <c r="AA322" s="566">
        <f>VLOOKUP($A322,'01-02.2021'!$A$6:$CZ$403,27,FALSE)+VLOOKUP($A322,'1.3.21-28.2.22'!$A$6:$DA$404,27,FALSE)-VLOOKUP($A322,'01-02.2022'!$A$6:$DA$376,27,FALSE)</f>
        <v>640.98</v>
      </c>
      <c r="AB322" s="566">
        <f>VLOOKUP($A322,'01-02.2021'!$A$6:$CZ$403,28,FALSE)+VLOOKUP($A322,'1.3.21-28.2.22'!$A$6:$DA$404,28,FALSE)-VLOOKUP($A322,'01-02.2022'!$A$6:$DA$376,28,FALSE)</f>
        <v>0</v>
      </c>
      <c r="AC322" s="70">
        <f t="shared" si="328"/>
        <v>-640.98</v>
      </c>
      <c r="AD322" s="566">
        <f>VLOOKUP($A322,'01-02.2021'!$A$6:$CZ$403,30,FALSE)+VLOOKUP($A322,'1.3.21-28.2.22'!$A$6:$DA$404,30,FALSE)-VLOOKUP($A322,'01-02.2022'!$A$6:$DA$376,30,FALSE)</f>
        <v>13762.719200170131</v>
      </c>
      <c r="AE322" s="566">
        <f>VLOOKUP($A322,'01-02.2021'!$A$6:$CZ$403,31,FALSE)+VLOOKUP($A322,'1.3.21-28.2.22'!$A$6:$DA$404,31,FALSE)-VLOOKUP($A322,'01-02.2022'!$A$6:$DA$376,31,FALSE)</f>
        <v>14582.916280253243</v>
      </c>
      <c r="AF322" s="68">
        <f t="shared" si="329"/>
        <v>820.19708008311136</v>
      </c>
      <c r="AG322" s="77">
        <f t="shared" si="354"/>
        <v>38298.520253797185</v>
      </c>
      <c r="AH322" s="53">
        <f t="shared" si="354"/>
        <v>38519.748755778601</v>
      </c>
      <c r="AI322" s="52">
        <f t="shared" si="359"/>
        <v>221.22850198141532</v>
      </c>
      <c r="AJ322" s="566">
        <f>VLOOKUP($A322,'01-02.2021'!$A$6:$CZ$403,36,FALSE)+VLOOKUP($A322,'1.3.21-28.2.22'!$A$6:$DA$404,36,FALSE)-VLOOKUP($A322,'01-02.2022'!$A$6:$DA$376,36,FALSE)</f>
        <v>0</v>
      </c>
      <c r="AK322" s="566">
        <f>VLOOKUP($A322,'01-02.2021'!$A$6:$CZ$403,37,FALSE)+VLOOKUP($A322,'1.3.21-28.2.22'!$A$6:$DA$404,37,FALSE)-VLOOKUP($A322,'01-02.2022'!$A$6:$DA$376,37,FALSE)</f>
        <v>0</v>
      </c>
      <c r="AL322" s="70">
        <f t="shared" si="330"/>
        <v>0</v>
      </c>
      <c r="AM322" s="566">
        <f>VLOOKUP($A322,'01-02.2021'!$A$6:$CZ$403,39,FALSE)+VLOOKUP($A322,'1.3.21-28.2.22'!$A$6:$DA$404,39,FALSE)-VLOOKUP($A322,'01-02.2022'!$A$6:$DA$376,39,FALSE)</f>
        <v>0</v>
      </c>
      <c r="AN322" s="566">
        <f>VLOOKUP($A322,'01-02.2021'!$A$6:$CZ$403,40,FALSE)+VLOOKUP($A322,'1.3.21-28.2.22'!$A$6:$DA$404,40,FALSE)-VLOOKUP($A322,'01-02.2022'!$A$6:$DA$376,40,FALSE)</f>
        <v>0</v>
      </c>
      <c r="AO322" s="70">
        <f t="shared" si="331"/>
        <v>0</v>
      </c>
      <c r="AP322" s="566">
        <f>VLOOKUP($A322,'01-02.2021'!$A$6:$CZ$403,42,FALSE)+VLOOKUP($A322,'1.3.21-28.2.22'!$A$6:$DA$404,42,FALSE)-VLOOKUP($A322,'01-02.2022'!$A$6:$DA$376,42,FALSE)</f>
        <v>10411.198500255552</v>
      </c>
      <c r="AQ322" s="566">
        <f>VLOOKUP($A322,'01-02.2021'!$A$6:$CZ$403,43,FALSE)+VLOOKUP($A322,'1.3.21-28.2.22'!$A$6:$DA$404,43,FALSE)-VLOOKUP($A322,'01-02.2022'!$A$6:$DA$376,43,FALSE)</f>
        <v>8934.2871209209534</v>
      </c>
      <c r="AR322" s="70">
        <f t="shared" si="332"/>
        <v>-1476.9113793345987</v>
      </c>
      <c r="AS322" s="566">
        <f>VLOOKUP($A322,'01-02.2021'!$A$6:$CZ$403,45,FALSE)+VLOOKUP($A322,'1.3.21-28.2.22'!$A$6:$DA$404,45,FALSE)-VLOOKUP($A322,'01-02.2022'!$A$6:$DA$376,45,FALSE)</f>
        <v>30703.122600908595</v>
      </c>
      <c r="AT322" s="566">
        <f>VLOOKUP($A322,'01-02.2021'!$A$6:$CZ$403,46,FALSE)+VLOOKUP($A322,'1.3.21-28.2.22'!$A$6:$DA$404,46,FALSE)-VLOOKUP($A322,'01-02.2022'!$A$6:$DA$376,46,FALSE)</f>
        <v>12466</v>
      </c>
      <c r="AU322" s="78">
        <f t="shared" si="333"/>
        <v>-18237.122600908595</v>
      </c>
      <c r="AV322" s="566">
        <f>VLOOKUP($A322,'01-02.2021'!$A$6:$CZ$403,48,FALSE)+VLOOKUP($A322,'1.3.21-28.2.22'!$A$6:$DA$404,48,FALSE)-VLOOKUP($A322,'01-02.2022'!$A$6:$DA$376,48,FALSE)</f>
        <v>2982.5788399715248</v>
      </c>
      <c r="AW322" s="566">
        <f>VLOOKUP($A322,'01-02.2021'!$A$6:$CZ$403,49,FALSE)+VLOOKUP($A322,'1.3.21-28.2.22'!$A$6:$DA$404,49,FALSE)-VLOOKUP($A322,'01-02.2022'!$A$6:$DA$376,49,FALSE)</f>
        <v>2545</v>
      </c>
      <c r="AX322" s="55">
        <f t="shared" si="334"/>
        <v>-437.57883997152476</v>
      </c>
      <c r="AY322" s="566">
        <f>VLOOKUP($A322,'01-02.2021'!$A$6:$CZ$403,51,FALSE)+VLOOKUP($A322,'1.3.21-28.2.22'!$A$6:$DA$404,51,FALSE)-VLOOKUP($A322,'01-02.2022'!$A$6:$DA$376,51,FALSE)</f>
        <v>4169.3580910405672</v>
      </c>
      <c r="AZ322" s="566">
        <f>VLOOKUP($A322,'01-02.2021'!$A$6:$CZ$403,52,FALSE)+VLOOKUP($A322,'1.3.21-28.2.22'!$A$6:$DA$404,52,FALSE)-VLOOKUP($A322,'01-02.2022'!$A$6:$DA$376,52,FALSE)</f>
        <v>0</v>
      </c>
      <c r="BA322" s="38">
        <f t="shared" si="335"/>
        <v>-4169.3580910405672</v>
      </c>
      <c r="BB322" s="566">
        <f>VLOOKUP($A322,'01-02.2021'!$A$6:$CZ$403,54,FALSE)+VLOOKUP($A322,'1.3.21-28.2.22'!$A$6:$DA$404,54,FALSE)-VLOOKUP($A322,'01-02.2022'!$A$6:$DA$376,54,FALSE)</f>
        <v>1984.1001576537346</v>
      </c>
      <c r="BC322" s="566">
        <f>VLOOKUP($A322,'01-02.2021'!$A$6:$CZ$403,55,FALSE)+VLOOKUP($A322,'1.3.21-28.2.22'!$A$6:$DA$404,55,FALSE)-VLOOKUP($A322,'01-02.2022'!$A$6:$DA$376,55,FALSE)</f>
        <v>1033</v>
      </c>
      <c r="BD322" s="55">
        <f t="shared" si="336"/>
        <v>-951.10015765373464</v>
      </c>
      <c r="BE322" s="566">
        <f>VLOOKUP($A322,'01-02.2021'!$A$6:$CZ$403,57,FALSE)+VLOOKUP($A322,'1.3.21-28.2.22'!$A$6:$DA$404,57,FALSE)-VLOOKUP($A322,'01-02.2022'!$A$6:$DA$376,57,FALSE)</f>
        <v>0</v>
      </c>
      <c r="BF322" s="566">
        <f>VLOOKUP($A322,'01-02.2021'!$A$6:$CZ$403,58,FALSE)+VLOOKUP($A322,'1.3.21-28.2.22'!$A$6:$DA$404,58,FALSE)-VLOOKUP($A322,'01-02.2022'!$A$6:$DA$376,58,FALSE)</f>
        <v>0</v>
      </c>
      <c r="BG322" s="55">
        <f t="shared" si="337"/>
        <v>0</v>
      </c>
      <c r="BH322" s="566">
        <f>VLOOKUP($A322,'01-02.2021'!$A$6:$CZ$403,60,FALSE)+VLOOKUP($A322,'1.3.21-28.2.22'!$A$6:$DA$404,60,FALSE)-VLOOKUP($A322,'01-02.2022'!$A$6:$DA$376,60,FALSE)</f>
        <v>0</v>
      </c>
      <c r="BI322" s="566">
        <f>VLOOKUP($A322,'01-02.2021'!$A$6:$CZ$403,61,FALSE)+VLOOKUP($A322,'1.3.21-28.2.22'!$A$6:$DA$404,61,FALSE)-VLOOKUP($A322,'01-02.2022'!$A$6:$DA$376,61,FALSE)</f>
        <v>0</v>
      </c>
      <c r="BJ322" s="55">
        <f t="shared" si="338"/>
        <v>0</v>
      </c>
      <c r="BK322" s="566">
        <f>VLOOKUP($A322,'01-02.2021'!$A$6:$CZ$403,63,FALSE)+VLOOKUP($A322,'1.3.21-28.2.22'!$A$6:$DA$404,63,FALSE)-VLOOKUP($A322,'01-02.2022'!$A$6:$DA$376,63,FALSE)</f>
        <v>2020.7501523782907</v>
      </c>
      <c r="BL322" s="566">
        <f>VLOOKUP($A322,'01-02.2021'!$A$6:$CZ$403,64,FALSE)+VLOOKUP($A322,'1.3.21-28.2.22'!$A$6:$DA$404,64,FALSE)-VLOOKUP($A322,'01-02.2022'!$A$6:$DA$376,64,FALSE)</f>
        <v>0</v>
      </c>
      <c r="BM322" s="55">
        <f t="shared" si="339"/>
        <v>-2020.7501523782907</v>
      </c>
      <c r="BN322" s="566">
        <f>VLOOKUP($A322,'01-02.2021'!$A$6:$CZ$403,66,FALSE)+VLOOKUP($A322,'1.3.21-28.2.22'!$A$6:$DA$404,66,FALSE)-VLOOKUP($A322,'01-02.2022'!$A$6:$DA$376,66,FALSE)</f>
        <v>160.245</v>
      </c>
      <c r="BO322" s="566">
        <f>VLOOKUP($A322,'01-02.2021'!$A$6:$CZ$403,67,FALSE)+VLOOKUP($A322,'1.3.21-28.2.22'!$A$6:$DA$404,67,FALSE)-VLOOKUP($A322,'01-02.2022'!$A$6:$DA$376,67,FALSE)</f>
        <v>0</v>
      </c>
      <c r="BP322" s="55">
        <f t="shared" si="340"/>
        <v>-160.245</v>
      </c>
      <c r="BQ322" s="77">
        <f t="shared" si="348"/>
        <v>11317.032241044119</v>
      </c>
      <c r="BR322" s="40">
        <f t="shared" si="375"/>
        <v>3578</v>
      </c>
      <c r="BS322" s="55">
        <f t="shared" si="369"/>
        <v>-7739.0322410441186</v>
      </c>
      <c r="BT322" s="566">
        <f>VLOOKUP($A322,'01-02.2021'!$A$6:$CZ$403,72,FALSE)+VLOOKUP($A322,'1.3.21-28.2.22'!$A$6:$DA$404,72,FALSE)-VLOOKUP($A322,'01-02.2022'!$A$6:$DA$376,72,FALSE)</f>
        <v>27872.981064860236</v>
      </c>
      <c r="BU322" s="566">
        <f>VLOOKUP($A322,'01-02.2021'!$A$6:$CZ$403,73,FALSE)+VLOOKUP($A322,'1.3.21-28.2.22'!$A$6:$DA$404,73,FALSE)-VLOOKUP($A322,'01-02.2022'!$A$6:$DA$376,73,FALSE)</f>
        <v>34293.429970098536</v>
      </c>
      <c r="BV322" s="70">
        <f t="shared" si="341"/>
        <v>6420.4489052382996</v>
      </c>
      <c r="BW322" s="566">
        <f>VLOOKUP($A322,'01-02.2021'!$A$6:$CZ$403,75,FALSE)+VLOOKUP($A322,'1.3.21-28.2.22'!$A$6:$DA$404,75,FALSE)-VLOOKUP($A322,'01-02.2022'!$A$6:$DA$376,75,FALSE)</f>
        <v>14783.935614744485</v>
      </c>
      <c r="BX322" s="566">
        <f>VLOOKUP($A322,'01-02.2021'!$A$6:$CZ$403,76,FALSE)+VLOOKUP($A322,'1.3.21-28.2.22'!$A$6:$DA$404,76,FALSE)-VLOOKUP($A322,'01-02.2022'!$A$6:$DA$376,76,FALSE)</f>
        <v>12772.182678245486</v>
      </c>
      <c r="BY322" s="70">
        <f t="shared" si="342"/>
        <v>-2011.7529364989987</v>
      </c>
      <c r="BZ322" s="566">
        <f>VLOOKUP($A322,'01-02.2021'!$A$6:$CZ$403,78,FALSE)+VLOOKUP($A322,'1.3.21-28.2.22'!$A$6:$DA$404,78,FALSE)-VLOOKUP($A322,'01-02.2022'!$A$6:$DA$376,78,FALSE)</f>
        <v>10241.009387029375</v>
      </c>
      <c r="CA322" s="566">
        <f>VLOOKUP($A322,'01-02.2021'!$A$6:$CZ$403,79,FALSE)+VLOOKUP($A322,'1.3.21-28.2.22'!$A$6:$DA$404,79,FALSE)-VLOOKUP($A322,'01-02.2022'!$A$6:$DA$376,79,FALSE)</f>
        <v>7512.4740799864312</v>
      </c>
      <c r="CB322" s="70">
        <f t="shared" si="343"/>
        <v>-2728.5353070429437</v>
      </c>
      <c r="CC322" s="566">
        <f>VLOOKUP($A322,'01-02.2021'!$A$6:$CZ$403,81,FALSE)+VLOOKUP($A322,'1.3.21-28.2.22'!$A$6:$DA$404,81,FALSE)-VLOOKUP($A322,'01-02.2022'!$A$6:$DA$376,81,FALSE)</f>
        <v>1888.2181846710264</v>
      </c>
      <c r="CD322" s="566">
        <f>VLOOKUP($A322,'01-02.2021'!$A$6:$CZ$403,82,FALSE)+VLOOKUP($A322,'1.3.21-28.2.22'!$A$6:$DA$404,82,FALSE)-VLOOKUP($A322,'01-02.2022'!$A$6:$DA$376,82,FALSE)</f>
        <v>2063.8092952357083</v>
      </c>
      <c r="CE322" s="70">
        <f t="shared" si="344"/>
        <v>175.59111056468191</v>
      </c>
      <c r="CF322" s="566">
        <f>VLOOKUP($A322,'01-02.2021'!$A$6:$CZ$403,84,FALSE)+VLOOKUP($A322,'1.3.21-28.2.22'!$A$6:$DA$404,84,FALSE)-VLOOKUP($A322,'01-02.2022'!$A$6:$DA$376,84,FALSE)</f>
        <v>229.55181587462926</v>
      </c>
      <c r="CG322" s="566">
        <f>VLOOKUP($A322,'01-02.2021'!$A$6:$CZ$403,85,FALSE)+VLOOKUP($A322,'1.3.21-28.2.22'!$A$6:$DA$404,85,FALSE)-VLOOKUP($A322,'01-02.2022'!$A$6:$DA$376,85,FALSE)</f>
        <v>0</v>
      </c>
      <c r="CH322" s="70">
        <f t="shared" si="345"/>
        <v>-229.55181587462926</v>
      </c>
      <c r="CI322" s="566">
        <f>VLOOKUP($A322,'01-02.2021'!$A$6:$CZ$403,87,FALSE)+VLOOKUP($A322,'1.3.21-28.2.22'!$A$6:$DA$404,87,FALSE)-VLOOKUP($A322,'01-02.2022'!$A$6:$DA$376,87,FALSE)</f>
        <v>3054.9334530043134</v>
      </c>
      <c r="CJ322" s="566">
        <f>VLOOKUP($A322,'01-02.2021'!$A$6:$CZ$403,88,FALSE)+VLOOKUP($A322,'1.3.21-28.2.22'!$A$6:$DA$404,88,FALSE)-VLOOKUP($A322,'01-02.2022'!$A$6:$DA$376,88,FALSE)</f>
        <v>2798.5188662970768</v>
      </c>
      <c r="CK322" s="70">
        <f t="shared" si="346"/>
        <v>-256.41458670723659</v>
      </c>
      <c r="CL322" s="566">
        <f>VLOOKUP($A322,'01-02.2021'!$A$6:$CZ$403,90,FALSE)+VLOOKUP($A322,'1.3.21-28.2.22'!$A$6:$DA$404,90,FALSE)-VLOOKUP($A322,'01-02.2022'!$A$6:$DA$376,90,FALSE)</f>
        <v>0</v>
      </c>
      <c r="CM322" s="566">
        <f>VLOOKUP($A322,'01-02.2021'!$A$6:$CZ$403,91,FALSE)+VLOOKUP($A322,'1.3.21-28.2.22'!$A$6:$DA$404,91,FALSE)-VLOOKUP($A322,'01-02.2022'!$A$6:$DA$376,91,FALSE)</f>
        <v>0</v>
      </c>
      <c r="CN322" s="52">
        <f t="shared" si="360"/>
        <v>0</v>
      </c>
      <c r="CO322" s="39">
        <f t="shared" si="355"/>
        <v>3054.9334530043134</v>
      </c>
      <c r="CP322" s="40">
        <f t="shared" si="361"/>
        <v>2798.5188662970768</v>
      </c>
      <c r="CQ322" s="52">
        <f t="shared" si="362"/>
        <v>-256.41458670723659</v>
      </c>
      <c r="CR322" s="72">
        <f t="shared" si="356"/>
        <v>148800.5031161895</v>
      </c>
      <c r="CS322" s="5">
        <f t="shared" si="356"/>
        <v>122938.4507665628</v>
      </c>
      <c r="CT322" s="52">
        <f t="shared" si="363"/>
        <v>-25862.052349626698</v>
      </c>
      <c r="CU322" s="77">
        <f t="shared" si="364"/>
        <v>178560.6037394274</v>
      </c>
      <c r="CV322" s="65">
        <f t="shared" si="365"/>
        <v>147526.14091987535</v>
      </c>
      <c r="CW322" s="35">
        <f t="shared" si="366"/>
        <v>-31034.462819552049</v>
      </c>
      <c r="CX322" s="566">
        <f>VLOOKUP($A322,'01-02.2021'!$A$6:$CZ$403,102,FALSE)+VLOOKUP($A322,'1.3.21-28.2.22'!$A$6:$DA$404,102,FALSE)-VLOOKUP($A322,'01-02.2022'!$A$6:$DA$376,102,FALSE)</f>
        <v>3301.2138829457722</v>
      </c>
      <c r="CY322" s="566">
        <f>VLOOKUP($A322,'01-02.2021'!$A$6:$CZ$403,103,FALSE)+VLOOKUP($A322,'1.3.21-28.2.22'!$A$6:$DA$404,103,FALSE)-VLOOKUP($A322,'01-02.2022'!$A$6:$DA$376,103,FALSE)</f>
        <v>34335.676702497818</v>
      </c>
      <c r="CZ322" s="52">
        <f t="shared" si="367"/>
        <v>31034.462819552045</v>
      </c>
      <c r="DA322" s="150">
        <f>'[2]побудинковий звіт'!DA322</f>
        <v>-7241.0869742869363</v>
      </c>
      <c r="DB322" s="2">
        <v>2</v>
      </c>
      <c r="DC322" s="414">
        <f>'[4]побудинковий звіт'!DC322</f>
        <v>27543.27</v>
      </c>
      <c r="DD322" s="414">
        <f>'[4]побудинковий звіт'!DD322</f>
        <v>0</v>
      </c>
      <c r="DE322" s="557">
        <f>'[4]побудинковий звіт'!DE322</f>
        <v>11003.587594687731</v>
      </c>
      <c r="DF322" s="557">
        <f>'[4]побудинковий звіт'!DF322</f>
        <v>0</v>
      </c>
      <c r="DG322" s="321">
        <f>VLOOKUP(A322,'кошти 01.03.2021'!$A$6:$D$401,4,)</f>
        <v>27618.538994640363</v>
      </c>
      <c r="DH322" s="40">
        <f>'[3]побудинковий звіт'!DJ322</f>
        <v>188411.70386889629</v>
      </c>
      <c r="DI322" s="422">
        <f>'[3]побудинковий звіт'!CU322+'[3]побудинковий звіт'!CX322</f>
        <v>16539.682405312273</v>
      </c>
      <c r="DJ322" s="306">
        <f>'[3]побудинковий звіт'!DM322</f>
        <v>5.1628425537870744</v>
      </c>
      <c r="DK322" s="306">
        <f t="shared" si="377"/>
        <v>5.1628425537870744</v>
      </c>
      <c r="DL322" s="306">
        <f>'[3]побудинковий звіт'!DO322</f>
        <v>4.6165674077947267</v>
      </c>
      <c r="DM322" s="28">
        <f t="shared" si="379"/>
        <v>16539.682405312269</v>
      </c>
      <c r="DN322" s="28">
        <f t="shared" si="378"/>
        <v>0</v>
      </c>
      <c r="DO322" s="423">
        <f t="shared" si="319"/>
        <v>16539.682405312269</v>
      </c>
      <c r="DP322" s="94">
        <f t="shared" si="320"/>
        <v>0</v>
      </c>
      <c r="DQ322" s="28">
        <f t="shared" si="321"/>
        <v>16539.682405312269</v>
      </c>
      <c r="DR322" s="318"/>
      <c r="DT322" s="8"/>
      <c r="DU322" s="5"/>
      <c r="DX322" s="5">
        <f t="shared" si="322"/>
        <v>50424.185810343253</v>
      </c>
      <c r="DY322" s="5">
        <f t="shared" si="323"/>
        <v>19252.8</v>
      </c>
      <c r="DZ322" s="159">
        <f>'[3]побудинковий звіт'!EA322</f>
        <v>4851.5609324248608</v>
      </c>
    </row>
    <row r="323" spans="1:130" x14ac:dyDescent="0.3">
      <c r="A323" s="325">
        <v>150000803</v>
      </c>
      <c r="B323" s="41" t="s">
        <v>769</v>
      </c>
      <c r="C323" s="42" t="s">
        <v>228</v>
      </c>
      <c r="D323" s="42"/>
      <c r="E323" s="293">
        <f t="shared" si="353"/>
        <v>1607.2</v>
      </c>
      <c r="F323" s="305">
        <f>'[3]побудинковий звіт'!F323</f>
        <v>1311.9</v>
      </c>
      <c r="G323" s="508">
        <f>'[3]побудинковий звіт'!G323</f>
        <v>0</v>
      </c>
      <c r="H323" s="560">
        <f>'[3]побудинковий звіт'!H323</f>
        <v>295.3</v>
      </c>
      <c r="I323" s="566">
        <f>VLOOKUP($A323,'01-02.2021'!$A$6:$CZ$403,9,FALSE)+VLOOKUP($A323,'1.3.21-28.2.22'!$A$6:$DA$404,9,FALSE)-VLOOKUP($A323,'01-02.2022'!$A$6:$DA$376,9,FALSE)</f>
        <v>4716.1056209858043</v>
      </c>
      <c r="J323" s="566">
        <f>VLOOKUP($A323,'01-02.2021'!$A$6:$CZ$403,10,FALSE)+VLOOKUP($A323,'1.3.21-28.2.22'!$A$6:$DA$404,10,FALSE)-VLOOKUP($A323,'01-02.2022'!$A$6:$DA$376,10,FALSE)</f>
        <v>5208.9199783827362</v>
      </c>
      <c r="K323" s="52">
        <f t="shared" si="357"/>
        <v>492.81435739693188</v>
      </c>
      <c r="L323" s="566">
        <f>VLOOKUP($A323,'01-02.2021'!$A$6:$CZ$403,12,FALSE)+VLOOKUP($A323,'1.3.21-28.2.22'!$A$6:$DA$404,12,FALSE)-VLOOKUP($A323,'01-02.2022'!$A$6:$DA$376,12,FALSE)</f>
        <v>864.33479982979293</v>
      </c>
      <c r="M323" s="566">
        <f>VLOOKUP($A323,'01-02.2021'!$A$6:$CZ$403,13,FALSE)+VLOOKUP($A323,'1.3.21-28.2.22'!$A$6:$DA$404,13,FALSE)-VLOOKUP($A323,'01-02.2022'!$A$6:$DA$376,13,FALSE)</f>
        <v>951.6578886864861</v>
      </c>
      <c r="N323" s="52">
        <f t="shared" si="358"/>
        <v>87.323088856693175</v>
      </c>
      <c r="O323" s="566">
        <f>VLOOKUP($A323,'01-02.2021'!$A$6:$CZ$403,15,FALSE)+VLOOKUP($A323,'1.3.21-28.2.22'!$A$6:$DA$404,15,FALSE)-VLOOKUP($A323,'01-02.2022'!$A$6:$DA$376,15,FALSE)</f>
        <v>2120.9006860955415</v>
      </c>
      <c r="P323" s="566">
        <f>VLOOKUP($A323,'01-02.2021'!$A$6:$CZ$403,16,FALSE)+VLOOKUP($A323,'1.3.21-28.2.22'!$A$6:$DA$404,16,FALSE)-VLOOKUP($A323,'01-02.2022'!$A$6:$DA$376,16,FALSE)</f>
        <v>2120.9199999999996</v>
      </c>
      <c r="Q323" s="70">
        <f t="shared" si="324"/>
        <v>1.9313904458158504E-2</v>
      </c>
      <c r="R323" s="566">
        <f>VLOOKUP($A323,'01-02.2021'!$A$6:$CZ$403,18,FALSE)+VLOOKUP($A323,'1.3.21-28.2.22'!$A$6:$DA$404,18,FALSE)-VLOOKUP($A323,'01-02.2022'!$A$6:$DA$376,18,FALSE)</f>
        <v>0</v>
      </c>
      <c r="S323" s="566">
        <f>VLOOKUP($A323,'01-02.2021'!$A$6:$CZ$403,19,FALSE)+VLOOKUP($A323,'1.3.21-28.2.22'!$A$6:$DA$404,19,FALSE)-VLOOKUP($A323,'01-02.2022'!$A$6:$DA$376,19,FALSE)</f>
        <v>0</v>
      </c>
      <c r="T323" s="70">
        <f t="shared" si="325"/>
        <v>0</v>
      </c>
      <c r="U323" s="566">
        <f>VLOOKUP($A323,'01-02.2021'!$A$6:$CZ$403,21,FALSE)+VLOOKUP($A323,'1.3.21-28.2.22'!$A$6:$DA$404,21,FALSE)-VLOOKUP($A323,'01-02.2022'!$A$6:$DA$376,21,FALSE)</f>
        <v>0</v>
      </c>
      <c r="V323" s="566">
        <f>VLOOKUP($A323,'01-02.2021'!$A$6:$CZ$403,22,FALSE)+VLOOKUP($A323,'1.3.21-28.2.22'!$A$6:$DA$404,22,FALSE)-VLOOKUP($A323,'01-02.2022'!$A$6:$DA$376,22,FALSE)</f>
        <v>0</v>
      </c>
      <c r="W323" s="70">
        <f t="shared" si="326"/>
        <v>0</v>
      </c>
      <c r="X323" s="566">
        <f>VLOOKUP($A323,'01-02.2021'!$A$6:$CZ$403,24,FALSE)+VLOOKUP($A323,'1.3.21-28.2.22'!$A$6:$DA$404,24,FALSE)-VLOOKUP($A323,'01-02.2022'!$A$6:$DA$376,24,FALSE)</f>
        <v>2443.2840433098472</v>
      </c>
      <c r="Y323" s="566">
        <f>VLOOKUP($A323,'01-02.2021'!$A$6:$CZ$403,25,FALSE)+VLOOKUP($A323,'1.3.21-28.2.22'!$A$6:$DA$404,25,FALSE)-VLOOKUP($A323,'01-02.2022'!$A$6:$DA$376,25,FALSE)</f>
        <v>1874.6516517752191</v>
      </c>
      <c r="Z323" s="70">
        <f t="shared" si="327"/>
        <v>-568.63239153462814</v>
      </c>
      <c r="AA323" s="566">
        <f>VLOOKUP($A323,'01-02.2021'!$A$6:$CZ$403,27,FALSE)+VLOOKUP($A323,'1.3.21-28.2.22'!$A$6:$DA$404,27,FALSE)-VLOOKUP($A323,'01-02.2022'!$A$6:$DA$376,27,FALSE)</f>
        <v>326.58000000000004</v>
      </c>
      <c r="AB323" s="566">
        <f>VLOOKUP($A323,'01-02.2021'!$A$6:$CZ$403,28,FALSE)+VLOOKUP($A323,'1.3.21-28.2.22'!$A$6:$DA$404,28,FALSE)-VLOOKUP($A323,'01-02.2022'!$A$6:$DA$376,28,FALSE)</f>
        <v>0</v>
      </c>
      <c r="AC323" s="70">
        <f t="shared" si="328"/>
        <v>-326.58000000000004</v>
      </c>
      <c r="AD323" s="566">
        <f>VLOOKUP($A323,'01-02.2021'!$A$6:$CZ$403,30,FALSE)+VLOOKUP($A323,'1.3.21-28.2.22'!$A$6:$DA$404,30,FALSE)-VLOOKUP($A323,'01-02.2022'!$A$6:$DA$376,30,FALSE)</f>
        <v>6922.2109531409278</v>
      </c>
      <c r="AE323" s="566">
        <f>VLOOKUP($A323,'01-02.2021'!$A$6:$CZ$403,31,FALSE)+VLOOKUP($A323,'1.3.21-28.2.22'!$A$6:$DA$404,31,FALSE)-VLOOKUP($A323,'01-02.2022'!$A$6:$DA$376,31,FALSE)</f>
        <v>7210.227713454181</v>
      </c>
      <c r="AF323" s="68">
        <f t="shared" si="329"/>
        <v>288.01676031325314</v>
      </c>
      <c r="AG323" s="77">
        <f t="shared" si="354"/>
        <v>17393.416103361913</v>
      </c>
      <c r="AH323" s="53">
        <f t="shared" si="354"/>
        <v>17366.377232298622</v>
      </c>
      <c r="AI323" s="52">
        <f t="shared" si="359"/>
        <v>-27.038871063290571</v>
      </c>
      <c r="AJ323" s="566">
        <f>VLOOKUP($A323,'01-02.2021'!$A$6:$CZ$403,36,FALSE)+VLOOKUP($A323,'1.3.21-28.2.22'!$A$6:$DA$404,36,FALSE)-VLOOKUP($A323,'01-02.2022'!$A$6:$DA$376,36,FALSE)</f>
        <v>0</v>
      </c>
      <c r="AK323" s="566">
        <f>VLOOKUP($A323,'01-02.2021'!$A$6:$CZ$403,37,FALSE)+VLOOKUP($A323,'1.3.21-28.2.22'!$A$6:$DA$404,37,FALSE)-VLOOKUP($A323,'01-02.2022'!$A$6:$DA$376,37,FALSE)</f>
        <v>0</v>
      </c>
      <c r="AL323" s="70">
        <f t="shared" si="330"/>
        <v>0</v>
      </c>
      <c r="AM323" s="566">
        <f>VLOOKUP($A323,'01-02.2021'!$A$6:$CZ$403,39,FALSE)+VLOOKUP($A323,'1.3.21-28.2.22'!$A$6:$DA$404,39,FALSE)-VLOOKUP($A323,'01-02.2022'!$A$6:$DA$376,39,FALSE)</f>
        <v>0</v>
      </c>
      <c r="AN323" s="566">
        <f>VLOOKUP($A323,'01-02.2021'!$A$6:$CZ$403,40,FALSE)+VLOOKUP($A323,'1.3.21-28.2.22'!$A$6:$DA$404,40,FALSE)-VLOOKUP($A323,'01-02.2022'!$A$6:$DA$376,40,FALSE)</f>
        <v>0</v>
      </c>
      <c r="AO323" s="70">
        <f t="shared" si="331"/>
        <v>0</v>
      </c>
      <c r="AP323" s="566">
        <f>VLOOKUP($A323,'01-02.2021'!$A$6:$CZ$403,42,FALSE)+VLOOKUP($A323,'1.3.21-28.2.22'!$A$6:$DA$404,42,FALSE)-VLOOKUP($A323,'01-02.2022'!$A$6:$DA$376,42,FALSE)</f>
        <v>3513.7794938362481</v>
      </c>
      <c r="AQ323" s="566">
        <f>VLOOKUP($A323,'01-02.2021'!$A$6:$CZ$403,43,FALSE)+VLOOKUP($A323,'1.3.21-28.2.22'!$A$6:$DA$404,43,FALSE)-VLOOKUP($A323,'01-02.2022'!$A$6:$DA$376,43,FALSE)</f>
        <v>2960.2929161669117</v>
      </c>
      <c r="AR323" s="70">
        <f t="shared" si="332"/>
        <v>-553.48657766933638</v>
      </c>
      <c r="AS323" s="566">
        <f>VLOOKUP($A323,'01-02.2021'!$A$6:$CZ$403,45,FALSE)+VLOOKUP($A323,'1.3.21-28.2.22'!$A$6:$DA$404,45,FALSE)-VLOOKUP($A323,'01-02.2022'!$A$6:$DA$376,45,FALSE)</f>
        <v>12154.647964900567</v>
      </c>
      <c r="AT323" s="566">
        <f>VLOOKUP($A323,'01-02.2021'!$A$6:$CZ$403,46,FALSE)+VLOOKUP($A323,'1.3.21-28.2.22'!$A$6:$DA$404,46,FALSE)-VLOOKUP($A323,'01-02.2022'!$A$6:$DA$376,46,FALSE)</f>
        <v>266</v>
      </c>
      <c r="AU323" s="78">
        <f t="shared" si="333"/>
        <v>-11888.647964900567</v>
      </c>
      <c r="AV323" s="566">
        <f>VLOOKUP($A323,'01-02.2021'!$A$6:$CZ$403,48,FALSE)+VLOOKUP($A323,'1.3.21-28.2.22'!$A$6:$DA$404,48,FALSE)-VLOOKUP($A323,'01-02.2022'!$A$6:$DA$376,48,FALSE)</f>
        <v>1281.3107160045015</v>
      </c>
      <c r="AW323" s="566">
        <f>VLOOKUP($A323,'01-02.2021'!$A$6:$CZ$403,49,FALSE)+VLOOKUP($A323,'1.3.21-28.2.22'!$A$6:$DA$404,49,FALSE)-VLOOKUP($A323,'01-02.2022'!$A$6:$DA$376,49,FALSE)</f>
        <v>963</v>
      </c>
      <c r="AX323" s="55">
        <f t="shared" si="334"/>
        <v>-318.3107160045015</v>
      </c>
      <c r="AY323" s="566">
        <f>VLOOKUP($A323,'01-02.2021'!$A$6:$CZ$403,51,FALSE)+VLOOKUP($A323,'1.3.21-28.2.22'!$A$6:$DA$404,51,FALSE)-VLOOKUP($A323,'01-02.2022'!$A$6:$DA$376,51,FALSE)</f>
        <v>1624.7675066093168</v>
      </c>
      <c r="AZ323" s="566">
        <f>VLOOKUP($A323,'01-02.2021'!$A$6:$CZ$403,52,FALSE)+VLOOKUP($A323,'1.3.21-28.2.22'!$A$6:$DA$404,52,FALSE)-VLOOKUP($A323,'01-02.2022'!$A$6:$DA$376,52,FALSE)</f>
        <v>0</v>
      </c>
      <c r="BA323" s="38">
        <f t="shared" si="335"/>
        <v>-1624.7675066093168</v>
      </c>
      <c r="BB323" s="566">
        <f>VLOOKUP($A323,'01-02.2021'!$A$6:$CZ$403,54,FALSE)+VLOOKUP($A323,'1.3.21-28.2.22'!$A$6:$DA$404,54,FALSE)-VLOOKUP($A323,'01-02.2022'!$A$6:$DA$376,54,FALSE)</f>
        <v>802.85084755681692</v>
      </c>
      <c r="BC323" s="566">
        <f>VLOOKUP($A323,'01-02.2021'!$A$6:$CZ$403,55,FALSE)+VLOOKUP($A323,'1.3.21-28.2.22'!$A$6:$DA$404,55,FALSE)-VLOOKUP($A323,'01-02.2022'!$A$6:$DA$376,55,FALSE)</f>
        <v>0</v>
      </c>
      <c r="BD323" s="55">
        <f t="shared" si="336"/>
        <v>-802.85084755681692</v>
      </c>
      <c r="BE323" s="566">
        <f>VLOOKUP($A323,'01-02.2021'!$A$6:$CZ$403,57,FALSE)+VLOOKUP($A323,'1.3.21-28.2.22'!$A$6:$DA$404,57,FALSE)-VLOOKUP($A323,'01-02.2022'!$A$6:$DA$376,57,FALSE)</f>
        <v>0</v>
      </c>
      <c r="BF323" s="566">
        <f>VLOOKUP($A323,'01-02.2021'!$A$6:$CZ$403,58,FALSE)+VLOOKUP($A323,'1.3.21-28.2.22'!$A$6:$DA$404,58,FALSE)-VLOOKUP($A323,'01-02.2022'!$A$6:$DA$376,58,FALSE)</f>
        <v>0</v>
      </c>
      <c r="BG323" s="55">
        <f t="shared" si="337"/>
        <v>0</v>
      </c>
      <c r="BH323" s="566">
        <f>VLOOKUP($A323,'01-02.2021'!$A$6:$CZ$403,60,FALSE)+VLOOKUP($A323,'1.3.21-28.2.22'!$A$6:$DA$404,60,FALSE)-VLOOKUP($A323,'01-02.2022'!$A$6:$DA$376,60,FALSE)</f>
        <v>0</v>
      </c>
      <c r="BI323" s="566">
        <f>VLOOKUP($A323,'01-02.2021'!$A$6:$CZ$403,61,FALSE)+VLOOKUP($A323,'1.3.21-28.2.22'!$A$6:$DA$404,61,FALSE)-VLOOKUP($A323,'01-02.2022'!$A$6:$DA$376,61,FALSE)</f>
        <v>0</v>
      </c>
      <c r="BJ323" s="55">
        <f t="shared" si="338"/>
        <v>0</v>
      </c>
      <c r="BK323" s="566">
        <f>VLOOKUP($A323,'01-02.2021'!$A$6:$CZ$403,63,FALSE)+VLOOKUP($A323,'1.3.21-28.2.22'!$A$6:$DA$404,63,FALSE)-VLOOKUP($A323,'01-02.2022'!$A$6:$DA$376,63,FALSE)</f>
        <v>566.55876797118265</v>
      </c>
      <c r="BL323" s="566">
        <f>VLOOKUP($A323,'01-02.2021'!$A$6:$CZ$403,64,FALSE)+VLOOKUP($A323,'1.3.21-28.2.22'!$A$6:$DA$404,64,FALSE)-VLOOKUP($A323,'01-02.2022'!$A$6:$DA$376,64,FALSE)</f>
        <v>1707</v>
      </c>
      <c r="BM323" s="55">
        <f t="shared" si="339"/>
        <v>1140.4412320288175</v>
      </c>
      <c r="BN323" s="566">
        <f>VLOOKUP($A323,'01-02.2021'!$A$6:$CZ$403,66,FALSE)+VLOOKUP($A323,'1.3.21-28.2.22'!$A$6:$DA$404,66,FALSE)-VLOOKUP($A323,'01-02.2022'!$A$6:$DA$376,66,FALSE)</f>
        <v>81.64500000000001</v>
      </c>
      <c r="BO323" s="566">
        <f>VLOOKUP($A323,'01-02.2021'!$A$6:$CZ$403,67,FALSE)+VLOOKUP($A323,'1.3.21-28.2.22'!$A$6:$DA$404,67,FALSE)-VLOOKUP($A323,'01-02.2022'!$A$6:$DA$376,67,FALSE)</f>
        <v>0</v>
      </c>
      <c r="BP323" s="55">
        <f t="shared" si="340"/>
        <v>-81.64500000000001</v>
      </c>
      <c r="BQ323" s="77">
        <f t="shared" si="348"/>
        <v>4357.132838141818</v>
      </c>
      <c r="BR323" s="40">
        <f t="shared" si="375"/>
        <v>2670</v>
      </c>
      <c r="BS323" s="55">
        <f t="shared" si="369"/>
        <v>-1687.132838141818</v>
      </c>
      <c r="BT323" s="566">
        <f>VLOOKUP($A323,'01-02.2021'!$A$6:$CZ$403,72,FALSE)+VLOOKUP($A323,'1.3.21-28.2.22'!$A$6:$DA$404,72,FALSE)-VLOOKUP($A323,'01-02.2022'!$A$6:$DA$376,72,FALSE)</f>
        <v>4473.5366102967255</v>
      </c>
      <c r="BU323" s="566">
        <f>VLOOKUP($A323,'01-02.2021'!$A$6:$CZ$403,73,FALSE)+VLOOKUP($A323,'1.3.21-28.2.22'!$A$6:$DA$404,73,FALSE)-VLOOKUP($A323,'01-02.2022'!$A$6:$DA$376,73,FALSE)</f>
        <v>5958.5855157529541</v>
      </c>
      <c r="BV323" s="70">
        <f t="shared" si="341"/>
        <v>1485.0489054562286</v>
      </c>
      <c r="BW323" s="566">
        <f>VLOOKUP($A323,'01-02.2021'!$A$6:$CZ$403,75,FALSE)+VLOOKUP($A323,'1.3.21-28.2.22'!$A$6:$DA$404,75,FALSE)-VLOOKUP($A323,'01-02.2022'!$A$6:$DA$376,75,FALSE)</f>
        <v>9472.2727741121544</v>
      </c>
      <c r="BX323" s="566">
        <f>VLOOKUP($A323,'01-02.2021'!$A$6:$CZ$403,76,FALSE)+VLOOKUP($A323,'1.3.21-28.2.22'!$A$6:$DA$404,76,FALSE)-VLOOKUP($A323,'01-02.2022'!$A$6:$DA$376,76,FALSE)</f>
        <v>8794.5497827597828</v>
      </c>
      <c r="BY323" s="70">
        <f t="shared" si="342"/>
        <v>-677.72299135237154</v>
      </c>
      <c r="BZ323" s="566">
        <f>VLOOKUP($A323,'01-02.2021'!$A$6:$CZ$403,78,FALSE)+VLOOKUP($A323,'1.3.21-28.2.22'!$A$6:$DA$404,78,FALSE)-VLOOKUP($A323,'01-02.2022'!$A$6:$DA$376,78,FALSE)</f>
        <v>2924.6654761160844</v>
      </c>
      <c r="CA323" s="566">
        <f>VLOOKUP($A323,'01-02.2021'!$A$6:$CZ$403,79,FALSE)+VLOOKUP($A323,'1.3.21-28.2.22'!$A$6:$DA$404,79,FALSE)-VLOOKUP($A323,'01-02.2022'!$A$6:$DA$376,79,FALSE)</f>
        <v>1398.8905050548542</v>
      </c>
      <c r="CB323" s="70">
        <f t="shared" si="343"/>
        <v>-1525.7749710612302</v>
      </c>
      <c r="CC323" s="566">
        <f>VLOOKUP($A323,'01-02.2021'!$A$6:$CZ$403,81,FALSE)+VLOOKUP($A323,'1.3.21-28.2.22'!$A$6:$DA$404,81,FALSE)-VLOOKUP($A323,'01-02.2022'!$A$6:$DA$376,81,FALSE)</f>
        <v>1334.572315247683</v>
      </c>
      <c r="CD323" s="566">
        <f>VLOOKUP($A323,'01-02.2021'!$A$6:$CZ$403,82,FALSE)+VLOOKUP($A323,'1.3.21-28.2.22'!$A$6:$DA$404,82,FALSE)-VLOOKUP($A323,'01-02.2022'!$A$6:$DA$376,82,FALSE)</f>
        <v>1458.6782246524522</v>
      </c>
      <c r="CE323" s="70">
        <f t="shared" si="344"/>
        <v>124.10590940476914</v>
      </c>
      <c r="CF323" s="566">
        <f>VLOOKUP($A323,'01-02.2021'!$A$6:$CZ$403,84,FALSE)+VLOOKUP($A323,'1.3.21-28.2.22'!$A$6:$DA$404,84,FALSE)-VLOOKUP($A323,'01-02.2022'!$A$6:$DA$376,84,FALSE)</f>
        <v>162.24475585933834</v>
      </c>
      <c r="CG323" s="566">
        <f>VLOOKUP($A323,'01-02.2021'!$A$6:$CZ$403,85,FALSE)+VLOOKUP($A323,'1.3.21-28.2.22'!$A$6:$DA$404,85,FALSE)-VLOOKUP($A323,'01-02.2022'!$A$6:$DA$376,85,FALSE)</f>
        <v>0</v>
      </c>
      <c r="CH323" s="70">
        <f t="shared" si="345"/>
        <v>-162.24475585933834</v>
      </c>
      <c r="CI323" s="566">
        <f>VLOOKUP($A323,'01-02.2021'!$A$6:$CZ$403,87,FALSE)+VLOOKUP($A323,'1.3.21-28.2.22'!$A$6:$DA$404,87,FALSE)-VLOOKUP($A323,'01-02.2022'!$A$6:$DA$376,87,FALSE)</f>
        <v>927.38503590129369</v>
      </c>
      <c r="CJ323" s="566">
        <f>VLOOKUP($A323,'01-02.2021'!$A$6:$CZ$403,88,FALSE)+VLOOKUP($A323,'1.3.21-28.2.22'!$A$6:$DA$404,88,FALSE)-VLOOKUP($A323,'01-02.2022'!$A$6:$DA$376,88,FALSE)</f>
        <v>834.35439715759389</v>
      </c>
      <c r="CK323" s="70">
        <f t="shared" si="346"/>
        <v>-93.030638743699797</v>
      </c>
      <c r="CL323" s="566">
        <f>VLOOKUP($A323,'01-02.2021'!$A$6:$CZ$403,90,FALSE)+VLOOKUP($A323,'1.3.21-28.2.22'!$A$6:$DA$404,90,FALSE)-VLOOKUP($A323,'01-02.2022'!$A$6:$DA$376,90,FALSE)</f>
        <v>0</v>
      </c>
      <c r="CM323" s="566">
        <f>VLOOKUP($A323,'01-02.2021'!$A$6:$CZ$403,91,FALSE)+VLOOKUP($A323,'1.3.21-28.2.22'!$A$6:$DA$404,91,FALSE)-VLOOKUP($A323,'01-02.2022'!$A$6:$DA$376,91,FALSE)</f>
        <v>0</v>
      </c>
      <c r="CN323" s="52">
        <f t="shared" si="360"/>
        <v>0</v>
      </c>
      <c r="CO323" s="39">
        <f t="shared" si="355"/>
        <v>927.38503590129369</v>
      </c>
      <c r="CP323" s="40">
        <f t="shared" si="361"/>
        <v>834.35439715759389</v>
      </c>
      <c r="CQ323" s="52">
        <f t="shared" si="362"/>
        <v>-93.030638743699797</v>
      </c>
      <c r="CR323" s="72">
        <f t="shared" si="356"/>
        <v>56713.653367773833</v>
      </c>
      <c r="CS323" s="5">
        <f t="shared" si="356"/>
        <v>41707.728573843175</v>
      </c>
      <c r="CT323" s="52">
        <f t="shared" si="363"/>
        <v>-15005.924793930659</v>
      </c>
      <c r="CU323" s="77">
        <f t="shared" si="364"/>
        <v>68056.384041328594</v>
      </c>
      <c r="CV323" s="65">
        <f t="shared" si="365"/>
        <v>50049.274288611807</v>
      </c>
      <c r="CW323" s="35">
        <f t="shared" si="366"/>
        <v>-18007.109752716788</v>
      </c>
      <c r="CX323" s="566">
        <f>VLOOKUP($A323,'01-02.2021'!$A$6:$CZ$403,102,FALSE)+VLOOKUP($A323,'1.3.21-28.2.22'!$A$6:$DA$404,102,FALSE)-VLOOKUP($A323,'01-02.2022'!$A$6:$DA$376,102,FALSE)</f>
        <v>2389.8788802374843</v>
      </c>
      <c r="CY323" s="566">
        <f>VLOOKUP($A323,'01-02.2021'!$A$6:$CZ$403,103,FALSE)+VLOOKUP($A323,'1.3.21-28.2.22'!$A$6:$DA$404,103,FALSE)-VLOOKUP($A323,'01-02.2022'!$A$6:$DA$376,103,FALSE)</f>
        <v>20396.988632954264</v>
      </c>
      <c r="CZ323" s="52">
        <f t="shared" si="367"/>
        <v>18007.10975271678</v>
      </c>
      <c r="DA323" s="150">
        <f>'[2]побудинковий звіт'!DA323</f>
        <v>53974.275329544442</v>
      </c>
      <c r="DB323" s="2">
        <v>2</v>
      </c>
      <c r="DC323" s="414">
        <f>'[4]побудинковий звіт'!DC323</f>
        <v>24074.71</v>
      </c>
      <c r="DD323" s="414">
        <f>'[4]побудинковий звіт'!DD323</f>
        <v>-541.03</v>
      </c>
      <c r="DE323" s="557">
        <f>'[4]побудинковий звіт'!DE323</f>
        <v>18712.850080612548</v>
      </c>
      <c r="DF323" s="557">
        <f>'[4]побудинковий звіт'!DF323</f>
        <v>-1489.5232015455063</v>
      </c>
      <c r="DG323" s="321">
        <f>VLOOKUP(A323,'кошти 01.03.2021'!$A$6:$D$401,4,)</f>
        <v>71089.828255784378</v>
      </c>
      <c r="DH323" s="40">
        <f>'[3]побудинковий звіт'!DJ323</f>
        <v>72519.339677689801</v>
      </c>
      <c r="DI323" s="422">
        <f>'[3]побудинковий звіт'!CU323+'[3]побудинковий звіт'!CX323</f>
        <v>6310.3531209329558</v>
      </c>
      <c r="DJ323" s="306">
        <f>'[3]побудинковий звіт'!DM323</f>
        <v>4.0870949915294226</v>
      </c>
      <c r="DK323" s="306">
        <f t="shared" si="377"/>
        <v>4.0870949915294226</v>
      </c>
      <c r="DL323" s="306">
        <f>'[3]побудинковий звіт'!DO323</f>
        <v>3.2119647868117376</v>
      </c>
      <c r="DM323" s="28">
        <f t="shared" si="379"/>
        <v>5361.8599193874497</v>
      </c>
      <c r="DN323" s="28">
        <f t="shared" si="378"/>
        <v>948.49320154550617</v>
      </c>
      <c r="DO323" s="423">
        <f t="shared" si="319"/>
        <v>6310.3531209329558</v>
      </c>
      <c r="DP323" s="94">
        <f t="shared" si="320"/>
        <v>0</v>
      </c>
      <c r="DQ323" s="28">
        <f t="shared" si="321"/>
        <v>6310.3531209329558</v>
      </c>
      <c r="DR323" s="318"/>
      <c r="DT323" s="8"/>
      <c r="DU323" s="5"/>
      <c r="DX323" s="5">
        <f t="shared" si="322"/>
        <v>19814.136963650861</v>
      </c>
      <c r="DY323" s="5">
        <f t="shared" si="323"/>
        <v>3523.2</v>
      </c>
      <c r="DZ323" s="159">
        <f>'[3]побудинковий звіт'!EA323</f>
        <v>1719.9755912815019</v>
      </c>
    </row>
    <row r="324" spans="1:130" x14ac:dyDescent="0.3">
      <c r="A324" s="325">
        <v>150000805</v>
      </c>
      <c r="B324" s="41" t="s">
        <v>770</v>
      </c>
      <c r="C324" s="42" t="s">
        <v>297</v>
      </c>
      <c r="D324" s="42"/>
      <c r="E324" s="293">
        <f t="shared" si="353"/>
        <v>3709.9399999999996</v>
      </c>
      <c r="F324" s="305">
        <f>'[3]побудинковий звіт'!F324</f>
        <v>2920.74</v>
      </c>
      <c r="G324" s="508">
        <f>'[3]побудинковий звіт'!G324</f>
        <v>0</v>
      </c>
      <c r="H324" s="560">
        <f>'[3]побудинковий звіт'!H324</f>
        <v>789.2</v>
      </c>
      <c r="I324" s="566">
        <f>VLOOKUP($A324,'01-02.2021'!$A$6:$CZ$403,9,FALSE)+VLOOKUP($A324,'1.3.21-28.2.22'!$A$6:$DA$404,9,FALSE)-VLOOKUP($A324,'01-02.2022'!$A$6:$DA$376,9,FALSE)</f>
        <v>10911.497244685264</v>
      </c>
      <c r="J324" s="566">
        <f>VLOOKUP($A324,'01-02.2021'!$A$6:$CZ$403,10,FALSE)+VLOOKUP($A324,'1.3.21-28.2.22'!$A$6:$DA$404,10,FALSE)-VLOOKUP($A324,'01-02.2022'!$A$6:$DA$376,10,FALSE)</f>
        <v>10677.851786317804</v>
      </c>
      <c r="K324" s="52">
        <f t="shared" si="357"/>
        <v>-233.64545836746038</v>
      </c>
      <c r="L324" s="566">
        <f>VLOOKUP($A324,'01-02.2021'!$A$6:$CZ$403,12,FALSE)+VLOOKUP($A324,'1.3.21-28.2.22'!$A$6:$DA$404,12,FALSE)-VLOOKUP($A324,'01-02.2022'!$A$6:$DA$376,12,FALSE)</f>
        <v>2232.1237949877955</v>
      </c>
      <c r="M324" s="566">
        <f>VLOOKUP($A324,'01-02.2021'!$A$6:$CZ$403,13,FALSE)+VLOOKUP($A324,'1.3.21-28.2.22'!$A$6:$DA$404,13,FALSE)-VLOOKUP($A324,'01-02.2022'!$A$6:$DA$376,13,FALSE)</f>
        <v>2228.7118849178728</v>
      </c>
      <c r="N324" s="52">
        <f t="shared" si="358"/>
        <v>-3.4119100699226692</v>
      </c>
      <c r="O324" s="566">
        <f>VLOOKUP($A324,'01-02.2021'!$A$6:$CZ$403,15,FALSE)+VLOOKUP($A324,'1.3.21-28.2.22'!$A$6:$DA$404,15,FALSE)-VLOOKUP($A324,'01-02.2022'!$A$6:$DA$376,15,FALSE)</f>
        <v>4750.7863636395832</v>
      </c>
      <c r="P324" s="566">
        <f>VLOOKUP($A324,'01-02.2021'!$A$6:$CZ$403,16,FALSE)+VLOOKUP($A324,'1.3.21-28.2.22'!$A$6:$DA$404,16,FALSE)-VLOOKUP($A324,'01-02.2022'!$A$6:$DA$376,16,FALSE)</f>
        <v>4750.4549999999999</v>
      </c>
      <c r="Q324" s="70">
        <f t="shared" si="324"/>
        <v>-0.33136363958328729</v>
      </c>
      <c r="R324" s="566">
        <f>VLOOKUP($A324,'01-02.2021'!$A$6:$CZ$403,18,FALSE)+VLOOKUP($A324,'1.3.21-28.2.22'!$A$6:$DA$404,18,FALSE)-VLOOKUP($A324,'01-02.2022'!$A$6:$DA$376,18,FALSE)</f>
        <v>0</v>
      </c>
      <c r="S324" s="566">
        <f>VLOOKUP($A324,'01-02.2021'!$A$6:$CZ$403,19,FALSE)+VLOOKUP($A324,'1.3.21-28.2.22'!$A$6:$DA$404,19,FALSE)-VLOOKUP($A324,'01-02.2022'!$A$6:$DA$376,19,FALSE)</f>
        <v>0</v>
      </c>
      <c r="T324" s="70">
        <f t="shared" si="325"/>
        <v>0</v>
      </c>
      <c r="U324" s="566">
        <f>VLOOKUP($A324,'01-02.2021'!$A$6:$CZ$403,21,FALSE)+VLOOKUP($A324,'1.3.21-28.2.22'!$A$6:$DA$404,21,FALSE)-VLOOKUP($A324,'01-02.2022'!$A$6:$DA$376,21,FALSE)</f>
        <v>0</v>
      </c>
      <c r="V324" s="566">
        <f>VLOOKUP($A324,'01-02.2021'!$A$6:$CZ$403,22,FALSE)+VLOOKUP($A324,'1.3.21-28.2.22'!$A$6:$DA$404,22,FALSE)-VLOOKUP($A324,'01-02.2022'!$A$6:$DA$376,22,FALSE)</f>
        <v>0</v>
      </c>
      <c r="W324" s="70">
        <f t="shared" si="326"/>
        <v>0</v>
      </c>
      <c r="X324" s="566">
        <f>VLOOKUP($A324,'01-02.2021'!$A$6:$CZ$403,24,FALSE)+VLOOKUP($A324,'1.3.21-28.2.22'!$A$6:$DA$404,24,FALSE)-VLOOKUP($A324,'01-02.2022'!$A$6:$DA$376,24,FALSE)</f>
        <v>6912.2378482313052</v>
      </c>
      <c r="Y324" s="566">
        <f>VLOOKUP($A324,'01-02.2021'!$A$6:$CZ$403,25,FALSE)+VLOOKUP($A324,'1.3.21-28.2.22'!$A$6:$DA$404,25,FALSE)-VLOOKUP($A324,'01-02.2022'!$A$6:$DA$376,25,FALSE)</f>
        <v>5717.351445047012</v>
      </c>
      <c r="Z324" s="70">
        <f t="shared" si="327"/>
        <v>-1194.8864031842932</v>
      </c>
      <c r="AA324" s="566">
        <f>VLOOKUP($A324,'01-02.2021'!$A$6:$CZ$403,27,FALSE)+VLOOKUP($A324,'1.3.21-28.2.22'!$A$6:$DA$404,27,FALSE)-VLOOKUP($A324,'01-02.2022'!$A$6:$DA$376,27,FALSE)</f>
        <v>721.4079999999999</v>
      </c>
      <c r="AB324" s="566">
        <f>VLOOKUP($A324,'01-02.2021'!$A$6:$CZ$403,28,FALSE)+VLOOKUP($A324,'1.3.21-28.2.22'!$A$6:$DA$404,28,FALSE)-VLOOKUP($A324,'01-02.2022'!$A$6:$DA$376,28,FALSE)</f>
        <v>0</v>
      </c>
      <c r="AC324" s="70">
        <f t="shared" si="328"/>
        <v>-721.4079999999999</v>
      </c>
      <c r="AD324" s="566">
        <f>VLOOKUP($A324,'01-02.2021'!$A$6:$CZ$403,30,FALSE)+VLOOKUP($A324,'1.3.21-28.2.22'!$A$6:$DA$404,30,FALSE)-VLOOKUP($A324,'01-02.2022'!$A$6:$DA$376,30,FALSE)</f>
        <v>15681.814719539863</v>
      </c>
      <c r="AE324" s="566">
        <f>VLOOKUP($A324,'01-02.2021'!$A$6:$CZ$403,31,FALSE)+VLOOKUP($A324,'1.3.21-28.2.22'!$A$6:$DA$404,31,FALSE)-VLOOKUP($A324,'01-02.2022'!$A$6:$DA$376,31,FALSE)</f>
        <v>16888.247014402925</v>
      </c>
      <c r="AF324" s="68">
        <f t="shared" si="329"/>
        <v>1206.4322948630615</v>
      </c>
      <c r="AG324" s="77">
        <f t="shared" si="354"/>
        <v>41209.867971083819</v>
      </c>
      <c r="AH324" s="53">
        <f t="shared" si="354"/>
        <v>40262.617130685612</v>
      </c>
      <c r="AI324" s="52">
        <f t="shared" si="359"/>
        <v>-947.25084039820649</v>
      </c>
      <c r="AJ324" s="566">
        <f>VLOOKUP($A324,'01-02.2021'!$A$6:$CZ$403,36,FALSE)+VLOOKUP($A324,'1.3.21-28.2.22'!$A$6:$DA$404,36,FALSE)-VLOOKUP($A324,'01-02.2022'!$A$6:$DA$376,36,FALSE)</f>
        <v>0</v>
      </c>
      <c r="AK324" s="566">
        <f>VLOOKUP($A324,'01-02.2021'!$A$6:$CZ$403,37,FALSE)+VLOOKUP($A324,'1.3.21-28.2.22'!$A$6:$DA$404,37,FALSE)-VLOOKUP($A324,'01-02.2022'!$A$6:$DA$376,37,FALSE)</f>
        <v>0</v>
      </c>
      <c r="AL324" s="70">
        <f t="shared" si="330"/>
        <v>0</v>
      </c>
      <c r="AM324" s="566">
        <f>VLOOKUP($A324,'01-02.2021'!$A$6:$CZ$403,39,FALSE)+VLOOKUP($A324,'1.3.21-28.2.22'!$A$6:$DA$404,39,FALSE)-VLOOKUP($A324,'01-02.2022'!$A$6:$DA$376,39,FALSE)</f>
        <v>0</v>
      </c>
      <c r="AN324" s="566">
        <f>VLOOKUP($A324,'01-02.2021'!$A$6:$CZ$403,40,FALSE)+VLOOKUP($A324,'1.3.21-28.2.22'!$A$6:$DA$404,40,FALSE)-VLOOKUP($A324,'01-02.2022'!$A$6:$DA$376,40,FALSE)</f>
        <v>0</v>
      </c>
      <c r="AO324" s="70">
        <f t="shared" si="331"/>
        <v>0</v>
      </c>
      <c r="AP324" s="566">
        <f>VLOOKUP($A324,'01-02.2021'!$A$6:$CZ$403,42,FALSE)+VLOOKUP($A324,'1.3.21-28.2.22'!$A$6:$DA$404,42,FALSE)-VLOOKUP($A324,'01-02.2022'!$A$6:$DA$376,42,FALSE)</f>
        <v>8589.2387627108292</v>
      </c>
      <c r="AQ324" s="566">
        <f>VLOOKUP($A324,'01-02.2021'!$A$6:$CZ$403,43,FALSE)+VLOOKUP($A324,'1.3.21-28.2.22'!$A$6:$DA$404,43,FALSE)-VLOOKUP($A324,'01-02.2022'!$A$6:$DA$376,43,FALSE)</f>
        <v>7413.3409868636327</v>
      </c>
      <c r="AR324" s="70">
        <f t="shared" si="332"/>
        <v>-1175.8977758471965</v>
      </c>
      <c r="AS324" s="566">
        <f>VLOOKUP($A324,'01-02.2021'!$A$6:$CZ$403,45,FALSE)+VLOOKUP($A324,'1.3.21-28.2.22'!$A$6:$DA$404,45,FALSE)-VLOOKUP($A324,'01-02.2022'!$A$6:$DA$376,45,FALSE)</f>
        <v>29985.99715367176</v>
      </c>
      <c r="AT324" s="566">
        <f>VLOOKUP($A324,'01-02.2021'!$A$6:$CZ$403,46,FALSE)+VLOOKUP($A324,'1.3.21-28.2.22'!$A$6:$DA$404,46,FALSE)-VLOOKUP($A324,'01-02.2022'!$A$6:$DA$376,46,FALSE)</f>
        <v>13356.374581289901</v>
      </c>
      <c r="AU324" s="78">
        <f t="shared" si="333"/>
        <v>-16629.622572381857</v>
      </c>
      <c r="AV324" s="566">
        <f>VLOOKUP($A324,'01-02.2021'!$A$6:$CZ$403,48,FALSE)+VLOOKUP($A324,'1.3.21-28.2.22'!$A$6:$DA$404,48,FALSE)-VLOOKUP($A324,'01-02.2022'!$A$6:$DA$376,48,FALSE)</f>
        <v>2967.6684232875946</v>
      </c>
      <c r="AW324" s="566">
        <f>VLOOKUP($A324,'01-02.2021'!$A$6:$CZ$403,49,FALSE)+VLOOKUP($A324,'1.3.21-28.2.22'!$A$6:$DA$404,49,FALSE)-VLOOKUP($A324,'01-02.2022'!$A$6:$DA$376,49,FALSE)</f>
        <v>0</v>
      </c>
      <c r="AX324" s="55">
        <f t="shared" si="334"/>
        <v>-2967.6684232875946</v>
      </c>
      <c r="AY324" s="566">
        <f>VLOOKUP($A324,'01-02.2021'!$A$6:$CZ$403,51,FALSE)+VLOOKUP($A324,'1.3.21-28.2.22'!$A$6:$DA$404,51,FALSE)-VLOOKUP($A324,'01-02.2022'!$A$6:$DA$376,51,FALSE)</f>
        <v>4195.7889449838121</v>
      </c>
      <c r="AZ324" s="566">
        <f>VLOOKUP($A324,'01-02.2021'!$A$6:$CZ$403,52,FALSE)+VLOOKUP($A324,'1.3.21-28.2.22'!$A$6:$DA$404,52,FALSE)-VLOOKUP($A324,'01-02.2022'!$A$6:$DA$376,52,FALSE)</f>
        <v>0</v>
      </c>
      <c r="BA324" s="38">
        <f t="shared" si="335"/>
        <v>-4195.7889449838121</v>
      </c>
      <c r="BB324" s="566">
        <f>VLOOKUP($A324,'01-02.2021'!$A$6:$CZ$403,54,FALSE)+VLOOKUP($A324,'1.3.21-28.2.22'!$A$6:$DA$404,54,FALSE)-VLOOKUP($A324,'01-02.2022'!$A$6:$DA$376,54,FALSE)</f>
        <v>1722.7691050269748</v>
      </c>
      <c r="BC324" s="566">
        <f>VLOOKUP($A324,'01-02.2021'!$A$6:$CZ$403,55,FALSE)+VLOOKUP($A324,'1.3.21-28.2.22'!$A$6:$DA$404,55,FALSE)-VLOOKUP($A324,'01-02.2022'!$A$6:$DA$376,55,FALSE)</f>
        <v>671</v>
      </c>
      <c r="BD324" s="55">
        <f t="shared" si="336"/>
        <v>-1051.7691050269748</v>
      </c>
      <c r="BE324" s="566">
        <f>VLOOKUP($A324,'01-02.2021'!$A$6:$CZ$403,57,FALSE)+VLOOKUP($A324,'1.3.21-28.2.22'!$A$6:$DA$404,57,FALSE)-VLOOKUP($A324,'01-02.2022'!$A$6:$DA$376,57,FALSE)</f>
        <v>0</v>
      </c>
      <c r="BF324" s="566">
        <f>VLOOKUP($A324,'01-02.2021'!$A$6:$CZ$403,58,FALSE)+VLOOKUP($A324,'1.3.21-28.2.22'!$A$6:$DA$404,58,FALSE)-VLOOKUP($A324,'01-02.2022'!$A$6:$DA$376,58,FALSE)</f>
        <v>0</v>
      </c>
      <c r="BG324" s="55">
        <f t="shared" si="337"/>
        <v>0</v>
      </c>
      <c r="BH324" s="566">
        <f>VLOOKUP($A324,'01-02.2021'!$A$6:$CZ$403,60,FALSE)+VLOOKUP($A324,'1.3.21-28.2.22'!$A$6:$DA$404,60,FALSE)-VLOOKUP($A324,'01-02.2022'!$A$6:$DA$376,60,FALSE)</f>
        <v>0</v>
      </c>
      <c r="BI324" s="566">
        <f>VLOOKUP($A324,'01-02.2021'!$A$6:$CZ$403,61,FALSE)+VLOOKUP($A324,'1.3.21-28.2.22'!$A$6:$DA$404,61,FALSE)-VLOOKUP($A324,'01-02.2022'!$A$6:$DA$376,61,FALSE)</f>
        <v>0</v>
      </c>
      <c r="BJ324" s="55">
        <f t="shared" si="338"/>
        <v>0</v>
      </c>
      <c r="BK324" s="566">
        <f>VLOOKUP($A324,'01-02.2021'!$A$6:$CZ$403,63,FALSE)+VLOOKUP($A324,'1.3.21-28.2.22'!$A$6:$DA$404,63,FALSE)-VLOOKUP($A324,'01-02.2022'!$A$6:$DA$376,63,FALSE)</f>
        <v>2352.071764329155</v>
      </c>
      <c r="BL324" s="566">
        <f>VLOOKUP($A324,'01-02.2021'!$A$6:$CZ$403,64,FALSE)+VLOOKUP($A324,'1.3.21-28.2.22'!$A$6:$DA$404,64,FALSE)-VLOOKUP($A324,'01-02.2022'!$A$6:$DA$376,64,FALSE)</f>
        <v>0</v>
      </c>
      <c r="BM324" s="55">
        <f t="shared" si="339"/>
        <v>-2352.071764329155</v>
      </c>
      <c r="BN324" s="566">
        <f>VLOOKUP($A324,'01-02.2021'!$A$6:$CZ$403,66,FALSE)+VLOOKUP($A324,'1.3.21-28.2.22'!$A$6:$DA$404,66,FALSE)-VLOOKUP($A324,'01-02.2022'!$A$6:$DA$376,66,FALSE)</f>
        <v>180.35199999999998</v>
      </c>
      <c r="BO324" s="566">
        <f>VLOOKUP($A324,'01-02.2021'!$A$6:$CZ$403,67,FALSE)+VLOOKUP($A324,'1.3.21-28.2.22'!$A$6:$DA$404,67,FALSE)-VLOOKUP($A324,'01-02.2022'!$A$6:$DA$376,67,FALSE)</f>
        <v>0</v>
      </c>
      <c r="BP324" s="55">
        <f t="shared" si="340"/>
        <v>-180.35199999999998</v>
      </c>
      <c r="BQ324" s="77">
        <f t="shared" si="348"/>
        <v>11418.650237627538</v>
      </c>
      <c r="BR324" s="40">
        <f t="shared" si="375"/>
        <v>671</v>
      </c>
      <c r="BS324" s="55">
        <f t="shared" si="369"/>
        <v>-10747.650237627538</v>
      </c>
      <c r="BT324" s="566">
        <f>VLOOKUP($A324,'01-02.2021'!$A$6:$CZ$403,72,FALSE)+VLOOKUP($A324,'1.3.21-28.2.22'!$A$6:$DA$404,72,FALSE)-VLOOKUP($A324,'01-02.2022'!$A$6:$DA$376,72,FALSE)</f>
        <v>22075.267652333154</v>
      </c>
      <c r="BU324" s="566">
        <f>VLOOKUP($A324,'01-02.2021'!$A$6:$CZ$403,73,FALSE)+VLOOKUP($A324,'1.3.21-28.2.22'!$A$6:$DA$404,73,FALSE)-VLOOKUP($A324,'01-02.2022'!$A$6:$DA$376,73,FALSE)</f>
        <v>29233.200808781705</v>
      </c>
      <c r="BV324" s="70">
        <f t="shared" si="341"/>
        <v>7157.933156448551</v>
      </c>
      <c r="BW324" s="566">
        <f>VLOOKUP($A324,'01-02.2021'!$A$6:$CZ$403,75,FALSE)+VLOOKUP($A324,'1.3.21-28.2.22'!$A$6:$DA$404,75,FALSE)-VLOOKUP($A324,'01-02.2022'!$A$6:$DA$376,75,FALSE)</f>
        <v>14481.876654993319</v>
      </c>
      <c r="BX324" s="566">
        <f>VLOOKUP($A324,'01-02.2021'!$A$6:$CZ$403,76,FALSE)+VLOOKUP($A324,'1.3.21-28.2.22'!$A$6:$DA$404,76,FALSE)-VLOOKUP($A324,'01-02.2022'!$A$6:$DA$376,76,FALSE)</f>
        <v>15134.465836850532</v>
      </c>
      <c r="BY324" s="70">
        <f t="shared" si="342"/>
        <v>652.58918185721268</v>
      </c>
      <c r="BZ324" s="566">
        <f>VLOOKUP($A324,'01-02.2021'!$A$6:$CZ$403,78,FALSE)+VLOOKUP($A324,'1.3.21-28.2.22'!$A$6:$DA$404,78,FALSE)-VLOOKUP($A324,'01-02.2022'!$A$6:$DA$376,78,FALSE)</f>
        <v>7187.6411797662568</v>
      </c>
      <c r="CA324" s="566">
        <f>VLOOKUP($A324,'01-02.2021'!$A$6:$CZ$403,79,FALSE)+VLOOKUP($A324,'1.3.21-28.2.22'!$A$6:$DA$404,79,FALSE)-VLOOKUP($A324,'01-02.2022'!$A$6:$DA$376,79,FALSE)</f>
        <v>5419.1782151119814</v>
      </c>
      <c r="CB324" s="70">
        <f t="shared" si="343"/>
        <v>-1768.4629646542753</v>
      </c>
      <c r="CC324" s="566">
        <f>VLOOKUP($A324,'01-02.2021'!$A$6:$CZ$403,81,FALSE)+VLOOKUP($A324,'1.3.21-28.2.22'!$A$6:$DA$404,81,FALSE)-VLOOKUP($A324,'01-02.2022'!$A$6:$DA$376,81,FALSE)</f>
        <v>1133.3315228644278</v>
      </c>
      <c r="CD324" s="566">
        <f>VLOOKUP($A324,'01-02.2021'!$A$6:$CZ$403,82,FALSE)+VLOOKUP($A324,'1.3.21-28.2.22'!$A$6:$DA$404,82,FALSE)-VLOOKUP($A324,'01-02.2022'!$A$6:$DA$376,82,FALSE)</f>
        <v>1238.723443328533</v>
      </c>
      <c r="CE324" s="70">
        <f t="shared" si="344"/>
        <v>105.39192046410517</v>
      </c>
      <c r="CF324" s="566">
        <f>VLOOKUP($A324,'01-02.2021'!$A$6:$CZ$403,84,FALSE)+VLOOKUP($A324,'1.3.21-28.2.22'!$A$6:$DA$404,84,FALSE)-VLOOKUP($A324,'01-02.2022'!$A$6:$DA$376,84,FALSE)</f>
        <v>137.77979217312438</v>
      </c>
      <c r="CG324" s="566">
        <f>VLOOKUP($A324,'01-02.2021'!$A$6:$CZ$403,85,FALSE)+VLOOKUP($A324,'1.3.21-28.2.22'!$A$6:$DA$404,85,FALSE)-VLOOKUP($A324,'01-02.2022'!$A$6:$DA$376,85,FALSE)</f>
        <v>0</v>
      </c>
      <c r="CH324" s="70">
        <f t="shared" si="345"/>
        <v>-137.77979217312438</v>
      </c>
      <c r="CI324" s="566">
        <f>VLOOKUP($A324,'01-02.2021'!$A$6:$CZ$403,87,FALSE)+VLOOKUP($A324,'1.3.21-28.2.22'!$A$6:$DA$404,87,FALSE)-VLOOKUP($A324,'01-02.2022'!$A$6:$DA$376,87,FALSE)</f>
        <v>3290.417467364829</v>
      </c>
      <c r="CJ324" s="566">
        <f>VLOOKUP($A324,'01-02.2021'!$A$6:$CZ$403,88,FALSE)+VLOOKUP($A324,'1.3.21-28.2.22'!$A$6:$DA$404,88,FALSE)-VLOOKUP($A324,'01-02.2022'!$A$6:$DA$376,88,FALSE)</f>
        <v>3557.5687827065058</v>
      </c>
      <c r="CK324" s="70">
        <f t="shared" si="346"/>
        <v>267.15131534167676</v>
      </c>
      <c r="CL324" s="566">
        <f>VLOOKUP($A324,'01-02.2021'!$A$6:$CZ$403,90,FALSE)+VLOOKUP($A324,'1.3.21-28.2.22'!$A$6:$DA$404,90,FALSE)-VLOOKUP($A324,'01-02.2022'!$A$6:$DA$376,90,FALSE)</f>
        <v>0</v>
      </c>
      <c r="CM324" s="566">
        <f>VLOOKUP($A324,'01-02.2021'!$A$6:$CZ$403,91,FALSE)+VLOOKUP($A324,'1.3.21-28.2.22'!$A$6:$DA$404,91,FALSE)-VLOOKUP($A324,'01-02.2022'!$A$6:$DA$376,91,FALSE)</f>
        <v>0</v>
      </c>
      <c r="CN324" s="52">
        <f t="shared" si="360"/>
        <v>0</v>
      </c>
      <c r="CO324" s="39">
        <f t="shared" si="355"/>
        <v>3290.417467364829</v>
      </c>
      <c r="CP324" s="40">
        <f t="shared" si="361"/>
        <v>3557.5687827065058</v>
      </c>
      <c r="CQ324" s="52">
        <f t="shared" si="362"/>
        <v>267.15131534167676</v>
      </c>
      <c r="CR324" s="72">
        <f t="shared" si="356"/>
        <v>139510.06839458909</v>
      </c>
      <c r="CS324" s="5">
        <f t="shared" si="356"/>
        <v>116286.46978561841</v>
      </c>
      <c r="CT324" s="52">
        <f t="shared" si="363"/>
        <v>-23223.598608970686</v>
      </c>
      <c r="CU324" s="77">
        <f t="shared" si="364"/>
        <v>167412.0820735069</v>
      </c>
      <c r="CV324" s="65">
        <f t="shared" si="365"/>
        <v>139543.76374274207</v>
      </c>
      <c r="CW324" s="35">
        <f t="shared" si="366"/>
        <v>-27868.318330764829</v>
      </c>
      <c r="CX324" s="566">
        <f>VLOOKUP($A324,'01-02.2021'!$A$6:$CZ$403,102,FALSE)+VLOOKUP($A324,'1.3.21-28.2.22'!$A$6:$DA$404,102,FALSE)-VLOOKUP($A324,'01-02.2022'!$A$6:$DA$376,102,FALSE)</f>
        <v>8526.35680229432</v>
      </c>
      <c r="CY324" s="566">
        <f>VLOOKUP($A324,'01-02.2021'!$A$6:$CZ$403,103,FALSE)+VLOOKUP($A324,'1.3.21-28.2.22'!$A$6:$DA$404,103,FALSE)-VLOOKUP($A324,'01-02.2022'!$A$6:$DA$376,103,FALSE)</f>
        <v>36394.675133059092</v>
      </c>
      <c r="CZ324" s="52">
        <f t="shared" si="367"/>
        <v>27868.318330764771</v>
      </c>
      <c r="DA324" s="150">
        <f>'[2]побудинковий звіт'!DA324</f>
        <v>-65436.914433825121</v>
      </c>
      <c r="DB324" s="2">
        <v>3</v>
      </c>
      <c r="DC324" s="414">
        <f>'[4]побудинковий звіт'!DC324</f>
        <v>12824.35</v>
      </c>
      <c r="DD324" s="414">
        <f>'[4]побудинковий звіт'!DD324</f>
        <v>1516.7199999999998</v>
      </c>
      <c r="DE324" s="557">
        <f>'[4]побудинковий звіт'!DE324</f>
        <v>-203.99218397755976</v>
      </c>
      <c r="DF324" s="557">
        <f>'[4]побудинковий звіт'!DF324</f>
        <v>-1516.5481178228106</v>
      </c>
      <c r="DG324" s="321">
        <f>VLOOKUP(A324,'кошти 01.03.2021'!$A$6:$D$401,4,)</f>
        <v>-29989.108665796601</v>
      </c>
      <c r="DH324" s="40">
        <f>'[3]побудинковий звіт'!DJ324</f>
        <v>182566.6685664258</v>
      </c>
      <c r="DI324" s="422">
        <f>'[3]побудинковий звіт'!CU324+'[3]побудинковий звіт'!CX324</f>
        <v>16061.610301800369</v>
      </c>
      <c r="DJ324" s="306">
        <f>'[3]побудинковий звіт'!DM324</f>
        <v>4.4606305881309396</v>
      </c>
      <c r="DK324" s="306">
        <f t="shared" si="377"/>
        <v>4.4606305881309396</v>
      </c>
      <c r="DL324" s="306">
        <f>'[3]побудинковий звіт'!DO324</f>
        <v>3.8434720195423342</v>
      </c>
      <c r="DM324" s="28">
        <f t="shared" si="379"/>
        <v>13028.34218397756</v>
      </c>
      <c r="DN324" s="28">
        <f t="shared" si="378"/>
        <v>3033.2681178228104</v>
      </c>
      <c r="DO324" s="423">
        <f t="shared" si="319"/>
        <v>16061.610301800371</v>
      </c>
      <c r="DP324" s="94">
        <f t="shared" si="320"/>
        <v>0</v>
      </c>
      <c r="DQ324" s="28">
        <f t="shared" si="321"/>
        <v>16061.610301800371</v>
      </c>
      <c r="DR324" s="318"/>
      <c r="DT324" s="8"/>
      <c r="DU324" s="5"/>
      <c r="DX324" s="5">
        <f t="shared" si="322"/>
        <v>49685.576869559154</v>
      </c>
      <c r="DY324" s="5">
        <f t="shared" si="323"/>
        <v>16832.849497547882</v>
      </c>
      <c r="DZ324" s="159">
        <f>'[3]побудинковий звіт'!EA324</f>
        <v>4774.8652555298386</v>
      </c>
    </row>
    <row r="325" spans="1:130" ht="15" customHeight="1" x14ac:dyDescent="0.3">
      <c r="A325" s="325">
        <v>150000806</v>
      </c>
      <c r="B325" s="41" t="s">
        <v>771</v>
      </c>
      <c r="C325" s="42" t="s">
        <v>229</v>
      </c>
      <c r="D325" s="42"/>
      <c r="E325" s="293">
        <f t="shared" si="353"/>
        <v>2716</v>
      </c>
      <c r="F325" s="305">
        <f>'[3]побудинковий звіт'!F325</f>
        <v>2014</v>
      </c>
      <c r="G325" s="508">
        <f>'[3]побудинковий звіт'!G325</f>
        <v>0</v>
      </c>
      <c r="H325" s="560">
        <f>'[3]побудинковий звіт'!H325</f>
        <v>702</v>
      </c>
      <c r="I325" s="566">
        <f>VLOOKUP($A325,'01-02.2021'!$A$6:$CZ$403,9,FALSE)+VLOOKUP($A325,'1.3.21-28.2.22'!$A$6:$DA$404,9,FALSE)-VLOOKUP($A325,'01-02.2022'!$A$6:$DA$376,9,FALSE)</f>
        <v>7726.5541089710614</v>
      </c>
      <c r="J325" s="566">
        <f>VLOOKUP($A325,'01-02.2021'!$A$6:$CZ$403,10,FALSE)+VLOOKUP($A325,'1.3.21-28.2.22'!$A$6:$DA$404,10,FALSE)-VLOOKUP($A325,'01-02.2022'!$A$6:$DA$376,10,FALSE)</f>
        <v>8464.6042343603331</v>
      </c>
      <c r="K325" s="52">
        <f t="shared" si="357"/>
        <v>738.05012538927167</v>
      </c>
      <c r="L325" s="566">
        <f>VLOOKUP($A325,'01-02.2021'!$A$6:$CZ$403,12,FALSE)+VLOOKUP($A325,'1.3.21-28.2.22'!$A$6:$DA$404,12,FALSE)-VLOOKUP($A325,'01-02.2022'!$A$6:$DA$376,12,FALSE)</f>
        <v>1661.8828147870606</v>
      </c>
      <c r="M325" s="566">
        <f>VLOOKUP($A325,'01-02.2021'!$A$6:$CZ$403,13,FALSE)+VLOOKUP($A325,'1.3.21-28.2.22'!$A$6:$DA$404,13,FALSE)-VLOOKUP($A325,'01-02.2022'!$A$6:$DA$376,13,FALSE)</f>
        <v>1829.7940672516256</v>
      </c>
      <c r="N325" s="52">
        <f t="shared" si="358"/>
        <v>167.911252464565</v>
      </c>
      <c r="O325" s="566">
        <f>VLOOKUP($A325,'01-02.2021'!$A$6:$CZ$403,15,FALSE)+VLOOKUP($A325,'1.3.21-28.2.22'!$A$6:$DA$404,15,FALSE)-VLOOKUP($A325,'01-02.2022'!$A$6:$DA$376,15,FALSE)</f>
        <v>2988.1418145089756</v>
      </c>
      <c r="P325" s="566">
        <f>VLOOKUP($A325,'01-02.2021'!$A$6:$CZ$403,16,FALSE)+VLOOKUP($A325,'1.3.21-28.2.22'!$A$6:$DA$404,16,FALSE)-VLOOKUP($A325,'01-02.2022'!$A$6:$DA$376,16,FALSE)</f>
        <v>2988.1500000000005</v>
      </c>
      <c r="Q325" s="70">
        <f t="shared" si="324"/>
        <v>8.1854910249603563E-3</v>
      </c>
      <c r="R325" s="566">
        <f>VLOOKUP($A325,'01-02.2021'!$A$6:$CZ$403,18,FALSE)+VLOOKUP($A325,'1.3.21-28.2.22'!$A$6:$DA$404,18,FALSE)-VLOOKUP($A325,'01-02.2022'!$A$6:$DA$376,18,FALSE)</f>
        <v>0</v>
      </c>
      <c r="S325" s="566">
        <f>VLOOKUP($A325,'01-02.2021'!$A$6:$CZ$403,19,FALSE)+VLOOKUP($A325,'1.3.21-28.2.22'!$A$6:$DA$404,19,FALSE)-VLOOKUP($A325,'01-02.2022'!$A$6:$DA$376,19,FALSE)</f>
        <v>0</v>
      </c>
      <c r="T325" s="70">
        <f t="shared" si="325"/>
        <v>0</v>
      </c>
      <c r="U325" s="566">
        <f>VLOOKUP($A325,'01-02.2021'!$A$6:$CZ$403,21,FALSE)+VLOOKUP($A325,'1.3.21-28.2.22'!$A$6:$DA$404,21,FALSE)-VLOOKUP($A325,'01-02.2022'!$A$6:$DA$376,21,FALSE)</f>
        <v>0</v>
      </c>
      <c r="V325" s="566">
        <f>VLOOKUP($A325,'01-02.2021'!$A$6:$CZ$403,22,FALSE)+VLOOKUP($A325,'1.3.21-28.2.22'!$A$6:$DA$404,22,FALSE)-VLOOKUP($A325,'01-02.2022'!$A$6:$DA$376,22,FALSE)</f>
        <v>0</v>
      </c>
      <c r="W325" s="70">
        <f t="shared" si="326"/>
        <v>0</v>
      </c>
      <c r="X325" s="566">
        <f>VLOOKUP($A325,'01-02.2021'!$A$6:$CZ$403,24,FALSE)+VLOOKUP($A325,'1.3.21-28.2.22'!$A$6:$DA$404,24,FALSE)-VLOOKUP($A325,'01-02.2022'!$A$6:$DA$376,24,FALSE)</f>
        <v>6433.3617186213669</v>
      </c>
      <c r="Y325" s="566">
        <f>VLOOKUP($A325,'01-02.2021'!$A$6:$CZ$403,25,FALSE)+VLOOKUP($A325,'1.3.21-28.2.22'!$A$6:$DA$404,25,FALSE)-VLOOKUP($A325,'01-02.2022'!$A$6:$DA$376,25,FALSE)</f>
        <v>5121.8553437615965</v>
      </c>
      <c r="Z325" s="70">
        <f t="shared" si="327"/>
        <v>-1311.5063748597704</v>
      </c>
      <c r="AA325" s="566">
        <f>VLOOKUP($A325,'01-02.2021'!$A$6:$CZ$403,27,FALSE)+VLOOKUP($A325,'1.3.21-28.2.22'!$A$6:$DA$404,27,FALSE)-VLOOKUP($A325,'01-02.2022'!$A$6:$DA$376,27,FALSE)</f>
        <v>489.98000000000008</v>
      </c>
      <c r="AB325" s="566">
        <f>VLOOKUP($A325,'01-02.2021'!$A$6:$CZ$403,28,FALSE)+VLOOKUP($A325,'1.3.21-28.2.22'!$A$6:$DA$404,28,FALSE)-VLOOKUP($A325,'01-02.2022'!$A$6:$DA$376,28,FALSE)</f>
        <v>0</v>
      </c>
      <c r="AC325" s="70">
        <f t="shared" si="328"/>
        <v>-489.98000000000008</v>
      </c>
      <c r="AD325" s="566">
        <f>VLOOKUP($A325,'01-02.2021'!$A$6:$CZ$403,30,FALSE)+VLOOKUP($A325,'1.3.21-28.2.22'!$A$6:$DA$404,30,FALSE)-VLOOKUP($A325,'01-02.2022'!$A$6:$DA$376,30,FALSE)</f>
        <v>11143.671948757916</v>
      </c>
      <c r="AE325" s="566">
        <f>VLOOKUP($A325,'01-02.2021'!$A$6:$CZ$403,31,FALSE)+VLOOKUP($A325,'1.3.21-28.2.22'!$A$6:$DA$404,31,FALSE)-VLOOKUP($A325,'01-02.2022'!$A$6:$DA$376,31,FALSE)</f>
        <v>12364.980106561157</v>
      </c>
      <c r="AF325" s="68">
        <f t="shared" si="329"/>
        <v>1221.3081578032416</v>
      </c>
      <c r="AG325" s="77">
        <f t="shared" si="354"/>
        <v>30443.592405646377</v>
      </c>
      <c r="AH325" s="53">
        <f t="shared" si="354"/>
        <v>30769.383751934711</v>
      </c>
      <c r="AI325" s="52">
        <f t="shared" si="359"/>
        <v>325.79134628833344</v>
      </c>
      <c r="AJ325" s="566">
        <f>VLOOKUP($A325,'01-02.2021'!$A$6:$CZ$403,36,FALSE)+VLOOKUP($A325,'1.3.21-28.2.22'!$A$6:$DA$404,36,FALSE)-VLOOKUP($A325,'01-02.2022'!$A$6:$DA$376,36,FALSE)</f>
        <v>0</v>
      </c>
      <c r="AK325" s="566">
        <f>VLOOKUP($A325,'01-02.2021'!$A$6:$CZ$403,37,FALSE)+VLOOKUP($A325,'1.3.21-28.2.22'!$A$6:$DA$404,37,FALSE)-VLOOKUP($A325,'01-02.2022'!$A$6:$DA$376,37,FALSE)</f>
        <v>0</v>
      </c>
      <c r="AL325" s="70">
        <f t="shared" si="330"/>
        <v>0</v>
      </c>
      <c r="AM325" s="566">
        <f>VLOOKUP($A325,'01-02.2021'!$A$6:$CZ$403,39,FALSE)+VLOOKUP($A325,'1.3.21-28.2.22'!$A$6:$DA$404,39,FALSE)-VLOOKUP($A325,'01-02.2022'!$A$6:$DA$376,39,FALSE)</f>
        <v>0</v>
      </c>
      <c r="AN325" s="566">
        <f>VLOOKUP($A325,'01-02.2021'!$A$6:$CZ$403,40,FALSE)+VLOOKUP($A325,'1.3.21-28.2.22'!$A$6:$DA$404,40,FALSE)-VLOOKUP($A325,'01-02.2022'!$A$6:$DA$376,40,FALSE)</f>
        <v>0</v>
      </c>
      <c r="AO325" s="70">
        <f t="shared" si="331"/>
        <v>0</v>
      </c>
      <c r="AP325" s="566">
        <f>VLOOKUP($A325,'01-02.2021'!$A$6:$CZ$403,42,FALSE)+VLOOKUP($A325,'1.3.21-28.2.22'!$A$6:$DA$404,42,FALSE)-VLOOKUP($A325,'01-02.2022'!$A$6:$DA$376,42,FALSE)</f>
        <v>4294.6193813554146</v>
      </c>
      <c r="AQ325" s="566">
        <f>VLOOKUP($A325,'01-02.2021'!$A$6:$CZ$403,43,FALSE)+VLOOKUP($A325,'1.3.21-28.2.22'!$A$6:$DA$404,43,FALSE)-VLOOKUP($A325,'01-02.2022'!$A$6:$DA$376,43,FALSE)</f>
        <v>3359.8964969754375</v>
      </c>
      <c r="AR325" s="70">
        <f t="shared" si="332"/>
        <v>-934.72288437997713</v>
      </c>
      <c r="AS325" s="566">
        <f>VLOOKUP($A325,'01-02.2021'!$A$6:$CZ$403,45,FALSE)+VLOOKUP($A325,'1.3.21-28.2.22'!$A$6:$DA$404,45,FALSE)-VLOOKUP($A325,'01-02.2022'!$A$6:$DA$376,45,FALSE)</f>
        <v>24310.796528658349</v>
      </c>
      <c r="AT325" s="566">
        <f>VLOOKUP($A325,'01-02.2021'!$A$6:$CZ$403,46,FALSE)+VLOOKUP($A325,'1.3.21-28.2.22'!$A$6:$DA$404,46,FALSE)-VLOOKUP($A325,'01-02.2022'!$A$6:$DA$376,46,FALSE)</f>
        <v>14169.580000000002</v>
      </c>
      <c r="AU325" s="78">
        <f t="shared" si="333"/>
        <v>-10141.216528658348</v>
      </c>
      <c r="AV325" s="566">
        <f>VLOOKUP($A325,'01-02.2021'!$A$6:$CZ$403,48,FALSE)+VLOOKUP($A325,'1.3.21-28.2.22'!$A$6:$DA$404,48,FALSE)-VLOOKUP($A325,'01-02.2022'!$A$6:$DA$376,48,FALSE)</f>
        <v>2345.7821325615751</v>
      </c>
      <c r="AW325" s="566">
        <f>VLOOKUP($A325,'01-02.2021'!$A$6:$CZ$403,49,FALSE)+VLOOKUP($A325,'1.3.21-28.2.22'!$A$6:$DA$404,49,FALSE)-VLOOKUP($A325,'01-02.2022'!$A$6:$DA$376,49,FALSE)</f>
        <v>0</v>
      </c>
      <c r="AX325" s="55">
        <f t="shared" si="334"/>
        <v>-2345.7821325615751</v>
      </c>
      <c r="AY325" s="566">
        <f>VLOOKUP($A325,'01-02.2021'!$A$6:$CZ$403,51,FALSE)+VLOOKUP($A325,'1.3.21-28.2.22'!$A$6:$DA$404,51,FALSE)-VLOOKUP($A325,'01-02.2022'!$A$6:$DA$376,51,FALSE)</f>
        <v>3124.0496733747405</v>
      </c>
      <c r="AZ325" s="566">
        <f>VLOOKUP($A325,'01-02.2021'!$A$6:$CZ$403,52,FALSE)+VLOOKUP($A325,'1.3.21-28.2.22'!$A$6:$DA$404,52,FALSE)-VLOOKUP($A325,'01-02.2022'!$A$6:$DA$376,52,FALSE)</f>
        <v>0</v>
      </c>
      <c r="BA325" s="38">
        <f t="shared" si="335"/>
        <v>-3124.0496733747405</v>
      </c>
      <c r="BB325" s="566">
        <f>VLOOKUP($A325,'01-02.2021'!$A$6:$CZ$403,54,FALSE)+VLOOKUP($A325,'1.3.21-28.2.22'!$A$6:$DA$404,54,FALSE)-VLOOKUP($A325,'01-02.2022'!$A$6:$DA$376,54,FALSE)</f>
        <v>1181.5196001343716</v>
      </c>
      <c r="BC325" s="566">
        <f>VLOOKUP($A325,'01-02.2021'!$A$6:$CZ$403,55,FALSE)+VLOOKUP($A325,'1.3.21-28.2.22'!$A$6:$DA$404,55,FALSE)-VLOOKUP($A325,'01-02.2022'!$A$6:$DA$376,55,FALSE)</f>
        <v>1489</v>
      </c>
      <c r="BD325" s="55">
        <f t="shared" si="336"/>
        <v>307.48039986562844</v>
      </c>
      <c r="BE325" s="566">
        <f>VLOOKUP($A325,'01-02.2021'!$A$6:$CZ$403,57,FALSE)+VLOOKUP($A325,'1.3.21-28.2.22'!$A$6:$DA$404,57,FALSE)-VLOOKUP($A325,'01-02.2022'!$A$6:$DA$376,57,FALSE)</f>
        <v>0</v>
      </c>
      <c r="BF325" s="566">
        <f>VLOOKUP($A325,'01-02.2021'!$A$6:$CZ$403,58,FALSE)+VLOOKUP($A325,'1.3.21-28.2.22'!$A$6:$DA$404,58,FALSE)-VLOOKUP($A325,'01-02.2022'!$A$6:$DA$376,58,FALSE)</f>
        <v>0</v>
      </c>
      <c r="BG325" s="55">
        <f t="shared" si="337"/>
        <v>0</v>
      </c>
      <c r="BH325" s="566">
        <f>VLOOKUP($A325,'01-02.2021'!$A$6:$CZ$403,60,FALSE)+VLOOKUP($A325,'1.3.21-28.2.22'!$A$6:$DA$404,60,FALSE)-VLOOKUP($A325,'01-02.2022'!$A$6:$DA$376,60,FALSE)</f>
        <v>0</v>
      </c>
      <c r="BI325" s="566">
        <f>VLOOKUP($A325,'01-02.2021'!$A$6:$CZ$403,61,FALSE)+VLOOKUP($A325,'1.3.21-28.2.22'!$A$6:$DA$404,61,FALSE)-VLOOKUP($A325,'01-02.2022'!$A$6:$DA$376,61,FALSE)</f>
        <v>0</v>
      </c>
      <c r="BJ325" s="55">
        <f t="shared" si="338"/>
        <v>0</v>
      </c>
      <c r="BK325" s="566">
        <f>VLOOKUP($A325,'01-02.2021'!$A$6:$CZ$403,63,FALSE)+VLOOKUP($A325,'1.3.21-28.2.22'!$A$6:$DA$404,63,FALSE)-VLOOKUP($A325,'01-02.2022'!$A$6:$DA$376,63,FALSE)</f>
        <v>2096.8311076226573</v>
      </c>
      <c r="BL325" s="566">
        <f>VLOOKUP($A325,'01-02.2021'!$A$6:$CZ$403,64,FALSE)+VLOOKUP($A325,'1.3.21-28.2.22'!$A$6:$DA$404,64,FALSE)-VLOOKUP($A325,'01-02.2022'!$A$6:$DA$376,64,FALSE)</f>
        <v>0</v>
      </c>
      <c r="BM325" s="55">
        <f t="shared" si="339"/>
        <v>-2096.8311076226573</v>
      </c>
      <c r="BN325" s="566">
        <f>VLOOKUP($A325,'01-02.2021'!$A$6:$CZ$403,66,FALSE)+VLOOKUP($A325,'1.3.21-28.2.22'!$A$6:$DA$404,66,FALSE)-VLOOKUP($A325,'01-02.2022'!$A$6:$DA$376,66,FALSE)</f>
        <v>122.49500000000002</v>
      </c>
      <c r="BO325" s="566">
        <f>VLOOKUP($A325,'01-02.2021'!$A$6:$CZ$403,67,FALSE)+VLOOKUP($A325,'1.3.21-28.2.22'!$A$6:$DA$404,67,FALSE)-VLOOKUP($A325,'01-02.2022'!$A$6:$DA$376,67,FALSE)</f>
        <v>0</v>
      </c>
      <c r="BP325" s="55">
        <f t="shared" si="340"/>
        <v>-122.49500000000002</v>
      </c>
      <c r="BQ325" s="77">
        <f t="shared" si="348"/>
        <v>8870.6775136933447</v>
      </c>
      <c r="BR325" s="40">
        <f t="shared" si="375"/>
        <v>1489</v>
      </c>
      <c r="BS325" s="55">
        <f t="shared" si="369"/>
        <v>-7381.6775136933447</v>
      </c>
      <c r="BT325" s="566">
        <f>VLOOKUP($A325,'01-02.2021'!$A$6:$CZ$403,72,FALSE)+VLOOKUP($A325,'1.3.21-28.2.22'!$A$6:$DA$404,72,FALSE)-VLOOKUP($A325,'01-02.2022'!$A$6:$DA$376,72,FALSE)</f>
        <v>16718.033638817502</v>
      </c>
      <c r="BU325" s="566">
        <f>VLOOKUP($A325,'01-02.2021'!$A$6:$CZ$403,73,FALSE)+VLOOKUP($A325,'1.3.21-28.2.22'!$A$6:$DA$404,73,FALSE)-VLOOKUP($A325,'01-02.2022'!$A$6:$DA$376,73,FALSE)</f>
        <v>21563.862357563143</v>
      </c>
      <c r="BV325" s="70">
        <f t="shared" si="341"/>
        <v>4845.8287187456408</v>
      </c>
      <c r="BW325" s="566">
        <f>VLOOKUP($A325,'01-02.2021'!$A$6:$CZ$403,75,FALSE)+VLOOKUP($A325,'1.3.21-28.2.22'!$A$6:$DA$404,75,FALSE)-VLOOKUP($A325,'01-02.2022'!$A$6:$DA$376,75,FALSE)</f>
        <v>12484.157021656809</v>
      </c>
      <c r="BX325" s="566">
        <f>VLOOKUP($A325,'01-02.2021'!$A$6:$CZ$403,76,FALSE)+VLOOKUP($A325,'1.3.21-28.2.22'!$A$6:$DA$404,76,FALSE)-VLOOKUP($A325,'01-02.2022'!$A$6:$DA$376,76,FALSE)</f>
        <v>13145.143520705156</v>
      </c>
      <c r="BY325" s="70">
        <f t="shared" si="342"/>
        <v>660.98649904834747</v>
      </c>
      <c r="BZ325" s="566">
        <f>VLOOKUP($A325,'01-02.2021'!$A$6:$CZ$403,78,FALSE)+VLOOKUP($A325,'1.3.21-28.2.22'!$A$6:$DA$404,78,FALSE)-VLOOKUP($A325,'01-02.2022'!$A$6:$DA$376,78,FALSE)</f>
        <v>9287.8539669910388</v>
      </c>
      <c r="CA325" s="566">
        <f>VLOOKUP($A325,'01-02.2021'!$A$6:$CZ$403,79,FALSE)+VLOOKUP($A325,'1.3.21-28.2.22'!$A$6:$DA$404,79,FALSE)-VLOOKUP($A325,'01-02.2022'!$A$6:$DA$376,79,FALSE)</f>
        <v>5167.9198892719123</v>
      </c>
      <c r="CB325" s="70">
        <f t="shared" si="343"/>
        <v>-4119.9340777191264</v>
      </c>
      <c r="CC325" s="566">
        <f>VLOOKUP($A325,'01-02.2021'!$A$6:$CZ$403,81,FALSE)+VLOOKUP($A325,'1.3.21-28.2.22'!$A$6:$DA$404,81,FALSE)-VLOOKUP($A325,'01-02.2022'!$A$6:$DA$376,81,FALSE)</f>
        <v>1601.6470231219444</v>
      </c>
      <c r="CD325" s="566">
        <f>VLOOKUP($A325,'01-02.2021'!$A$6:$CZ$403,82,FALSE)+VLOOKUP($A325,'1.3.21-28.2.22'!$A$6:$DA$404,82,FALSE)-VLOOKUP($A325,'01-02.2022'!$A$6:$DA$376,82,FALSE)</f>
        <v>1750.5890160577853</v>
      </c>
      <c r="CE325" s="70">
        <f t="shared" si="344"/>
        <v>148.94199293584097</v>
      </c>
      <c r="CF325" s="566">
        <f>VLOOKUP($A325,'01-02.2021'!$A$6:$CZ$403,84,FALSE)+VLOOKUP($A325,'1.3.21-28.2.22'!$A$6:$DA$404,84,FALSE)-VLOOKUP($A325,'01-02.2022'!$A$6:$DA$376,84,FALSE)</f>
        <v>194.7131880905448</v>
      </c>
      <c r="CG325" s="566">
        <f>VLOOKUP($A325,'01-02.2021'!$A$6:$CZ$403,85,FALSE)+VLOOKUP($A325,'1.3.21-28.2.22'!$A$6:$DA$404,85,FALSE)-VLOOKUP($A325,'01-02.2022'!$A$6:$DA$376,85,FALSE)</f>
        <v>0</v>
      </c>
      <c r="CH325" s="70">
        <f t="shared" si="345"/>
        <v>-194.7131880905448</v>
      </c>
      <c r="CI325" s="566">
        <f>VLOOKUP($A325,'01-02.2021'!$A$6:$CZ$403,87,FALSE)+VLOOKUP($A325,'1.3.21-28.2.22'!$A$6:$DA$404,87,FALSE)-VLOOKUP($A325,'01-02.2022'!$A$6:$DA$376,87,FALSE)</f>
        <v>4847.3607430400889</v>
      </c>
      <c r="CJ325" s="566">
        <f>VLOOKUP($A325,'01-02.2021'!$A$6:$CZ$403,88,FALSE)+VLOOKUP($A325,'1.3.21-28.2.22'!$A$6:$DA$404,88,FALSE)-VLOOKUP($A325,'01-02.2022'!$A$6:$DA$376,88,FALSE)</f>
        <v>4319.7321942510334</v>
      </c>
      <c r="CK325" s="70">
        <f t="shared" si="346"/>
        <v>-527.62854878905546</v>
      </c>
      <c r="CL325" s="566">
        <f>VLOOKUP($A325,'01-02.2021'!$A$6:$CZ$403,90,FALSE)+VLOOKUP($A325,'1.3.21-28.2.22'!$A$6:$DA$404,90,FALSE)-VLOOKUP($A325,'01-02.2022'!$A$6:$DA$376,90,FALSE)</f>
        <v>0</v>
      </c>
      <c r="CM325" s="566">
        <f>VLOOKUP($A325,'01-02.2021'!$A$6:$CZ$403,91,FALSE)+VLOOKUP($A325,'1.3.21-28.2.22'!$A$6:$DA$404,91,FALSE)-VLOOKUP($A325,'01-02.2022'!$A$6:$DA$376,91,FALSE)</f>
        <v>0</v>
      </c>
      <c r="CN325" s="52">
        <f t="shared" si="360"/>
        <v>0</v>
      </c>
      <c r="CO325" s="39">
        <f t="shared" si="355"/>
        <v>4847.3607430400889</v>
      </c>
      <c r="CP325" s="40">
        <f t="shared" si="361"/>
        <v>4319.7321942510334</v>
      </c>
      <c r="CQ325" s="52">
        <f t="shared" si="362"/>
        <v>-527.62854878905546</v>
      </c>
      <c r="CR325" s="72">
        <f t="shared" si="356"/>
        <v>113053.45141107142</v>
      </c>
      <c r="CS325" s="5">
        <f t="shared" si="356"/>
        <v>95735.107226759166</v>
      </c>
      <c r="CT325" s="52">
        <f t="shared" si="363"/>
        <v>-17318.344184312256</v>
      </c>
      <c r="CU325" s="77">
        <f t="shared" si="364"/>
        <v>135664.1416932857</v>
      </c>
      <c r="CV325" s="65">
        <f t="shared" si="365"/>
        <v>114882.12867211099</v>
      </c>
      <c r="CW325" s="35">
        <f t="shared" si="366"/>
        <v>-20782.013021174702</v>
      </c>
      <c r="CX325" s="566">
        <f>VLOOKUP($A325,'01-02.2021'!$A$6:$CZ$403,102,FALSE)+VLOOKUP($A325,'1.3.21-28.2.22'!$A$6:$DA$404,102,FALSE)-VLOOKUP($A325,'01-02.2022'!$A$6:$DA$376,102,FALSE)</f>
        <v>4544.6125314420387</v>
      </c>
      <c r="CY325" s="566">
        <f>VLOOKUP($A325,'01-02.2021'!$A$6:$CZ$403,103,FALSE)+VLOOKUP($A325,'1.3.21-28.2.22'!$A$6:$DA$404,103,FALSE)-VLOOKUP($A325,'01-02.2022'!$A$6:$DA$376,103,FALSE)</f>
        <v>25326.625552616715</v>
      </c>
      <c r="CZ325" s="52">
        <f t="shared" si="367"/>
        <v>20782.013021174676</v>
      </c>
      <c r="DA325" s="150">
        <f>'[2]побудинковий звіт'!DA325</f>
        <v>-28377.338371283957</v>
      </c>
      <c r="DB325" s="2">
        <v>2</v>
      </c>
      <c r="DC325" s="414">
        <f>'[4]побудинковий звіт'!DC325</f>
        <v>35640.370000000003</v>
      </c>
      <c r="DD325" s="414">
        <f>'[4]побудинковий звіт'!DD325</f>
        <v>4186.28</v>
      </c>
      <c r="DE325" s="557">
        <f>'[4]побудинковий звіт'!DE325</f>
        <v>25764.098292682833</v>
      </c>
      <c r="DF325" s="557">
        <f>'[4]побудинковий звіт'!DF325</f>
        <v>1272.9309888392941</v>
      </c>
      <c r="DG325" s="321">
        <f>VLOOKUP(A325,'кошти 01.03.2021'!$A$6:$D$401,4,)</f>
        <v>-14939.391499250927</v>
      </c>
      <c r="DH325" s="40">
        <f>'[3]побудинковий звіт'!DJ325</f>
        <v>145441.91296347266</v>
      </c>
      <c r="DI325" s="422">
        <f>'[3]побудинковий звіт'!CU325+'[3]побудинковий звіт'!CX325</f>
        <v>12789.620718477872</v>
      </c>
      <c r="DJ325" s="306">
        <f>'[3]побудинковий звіт'!DM325</f>
        <v>4.903809189333252</v>
      </c>
      <c r="DK325" s="306">
        <f t="shared" si="377"/>
        <v>4.903809189333252</v>
      </c>
      <c r="DL325" s="306">
        <f>'[3]побудинковий звіт'!DO325</f>
        <v>4.1500698164682417</v>
      </c>
      <c r="DM325" s="28">
        <f t="shared" si="379"/>
        <v>9876.2717073171698</v>
      </c>
      <c r="DN325" s="28">
        <f t="shared" si="378"/>
        <v>2913.3490111607057</v>
      </c>
      <c r="DO325" s="423">
        <f t="shared" si="319"/>
        <v>12789.620718477876</v>
      </c>
      <c r="DP325" s="94">
        <f t="shared" si="320"/>
        <v>0</v>
      </c>
      <c r="DQ325" s="28">
        <f t="shared" si="321"/>
        <v>12789.620718477876</v>
      </c>
      <c r="DR325" s="318"/>
      <c r="DT325" s="8"/>
      <c r="DU325" s="5"/>
      <c r="DX325" s="5">
        <f t="shared" si="322"/>
        <v>39817.768850822031</v>
      </c>
      <c r="DY325" s="5">
        <f t="shared" si="323"/>
        <v>18790.296000000002</v>
      </c>
      <c r="DZ325" s="159">
        <f>'[3]побудинковий звіт'!EA325</f>
        <v>3637.0682260074068</v>
      </c>
    </row>
    <row r="326" spans="1:130" x14ac:dyDescent="0.3">
      <c r="A326" s="325">
        <v>150000807</v>
      </c>
      <c r="B326" s="41" t="s">
        <v>772</v>
      </c>
      <c r="C326" s="42" t="s">
        <v>188</v>
      </c>
      <c r="D326" s="42"/>
      <c r="E326" s="293">
        <f t="shared" si="353"/>
        <v>300.7</v>
      </c>
      <c r="F326" s="305">
        <f>'[3]побудинковий звіт'!F326</f>
        <v>194.4</v>
      </c>
      <c r="G326" s="508">
        <f>'[3]побудинковий звіт'!G326</f>
        <v>0</v>
      </c>
      <c r="H326" s="560">
        <f>'[3]побудинковий звіт'!H326</f>
        <v>106.3</v>
      </c>
      <c r="I326" s="566">
        <f>VLOOKUP($A326,'01-02.2021'!$A$6:$CZ$403,9,FALSE)+VLOOKUP($A326,'1.3.21-28.2.22'!$A$6:$DA$404,9,FALSE)-VLOOKUP($A326,'01-02.2022'!$A$6:$DA$376,9,FALSE)</f>
        <v>1798.7021191101987</v>
      </c>
      <c r="J326" s="566">
        <f>VLOOKUP($A326,'01-02.2021'!$A$6:$CZ$403,10,FALSE)+VLOOKUP($A326,'1.3.21-28.2.22'!$A$6:$DA$404,10,FALSE)-VLOOKUP($A326,'01-02.2022'!$A$6:$DA$376,10,FALSE)</f>
        <v>1723.1442097000925</v>
      </c>
      <c r="K326" s="52">
        <f t="shared" si="357"/>
        <v>-75.557909410106276</v>
      </c>
      <c r="L326" s="566">
        <f>VLOOKUP($A326,'01-02.2021'!$A$6:$CZ$403,12,FALSE)+VLOOKUP($A326,'1.3.21-28.2.22'!$A$6:$DA$404,12,FALSE)-VLOOKUP($A326,'01-02.2022'!$A$6:$DA$376,12,FALSE)</f>
        <v>324.76485667342763</v>
      </c>
      <c r="M326" s="566">
        <f>VLOOKUP($A326,'01-02.2021'!$A$6:$CZ$403,13,FALSE)+VLOOKUP($A326,'1.3.21-28.2.22'!$A$6:$DA$404,13,FALSE)-VLOOKUP($A326,'01-02.2022'!$A$6:$DA$376,13,FALSE)</f>
        <v>324.25700137615104</v>
      </c>
      <c r="N326" s="52">
        <f t="shared" si="358"/>
        <v>-0.50785529727659195</v>
      </c>
      <c r="O326" s="566">
        <f>VLOOKUP($A326,'01-02.2021'!$A$6:$CZ$403,15,FALSE)+VLOOKUP($A326,'1.3.21-28.2.22'!$A$6:$DA$404,15,FALSE)-VLOOKUP($A326,'01-02.2022'!$A$6:$DA$376,15,FALSE)</f>
        <v>0</v>
      </c>
      <c r="P326" s="566">
        <f>VLOOKUP($A326,'01-02.2021'!$A$6:$CZ$403,16,FALSE)+VLOOKUP($A326,'1.3.21-28.2.22'!$A$6:$DA$404,16,FALSE)-VLOOKUP($A326,'01-02.2022'!$A$6:$DA$376,16,FALSE)</f>
        <v>0</v>
      </c>
      <c r="Q326" s="70">
        <f t="shared" si="324"/>
        <v>0</v>
      </c>
      <c r="R326" s="566">
        <f>VLOOKUP($A326,'01-02.2021'!$A$6:$CZ$403,18,FALSE)+VLOOKUP($A326,'1.3.21-28.2.22'!$A$6:$DA$404,18,FALSE)-VLOOKUP($A326,'01-02.2022'!$A$6:$DA$376,18,FALSE)</f>
        <v>0</v>
      </c>
      <c r="S326" s="566">
        <f>VLOOKUP($A326,'01-02.2021'!$A$6:$CZ$403,19,FALSE)+VLOOKUP($A326,'1.3.21-28.2.22'!$A$6:$DA$404,19,FALSE)-VLOOKUP($A326,'01-02.2022'!$A$6:$DA$376,19,FALSE)</f>
        <v>0</v>
      </c>
      <c r="T326" s="70">
        <f t="shared" si="325"/>
        <v>0</v>
      </c>
      <c r="U326" s="566">
        <f>VLOOKUP($A326,'01-02.2021'!$A$6:$CZ$403,21,FALSE)+VLOOKUP($A326,'1.3.21-28.2.22'!$A$6:$DA$404,21,FALSE)-VLOOKUP($A326,'01-02.2022'!$A$6:$DA$376,21,FALSE)</f>
        <v>0</v>
      </c>
      <c r="V326" s="566">
        <f>VLOOKUP($A326,'01-02.2021'!$A$6:$CZ$403,22,FALSE)+VLOOKUP($A326,'1.3.21-28.2.22'!$A$6:$DA$404,22,FALSE)-VLOOKUP($A326,'01-02.2022'!$A$6:$DA$376,22,FALSE)</f>
        <v>0</v>
      </c>
      <c r="W326" s="70">
        <f t="shared" si="326"/>
        <v>0</v>
      </c>
      <c r="X326" s="566">
        <f>VLOOKUP($A326,'01-02.2021'!$A$6:$CZ$403,24,FALSE)+VLOOKUP($A326,'1.3.21-28.2.22'!$A$6:$DA$404,24,FALSE)-VLOOKUP($A326,'01-02.2022'!$A$6:$DA$376,24,FALSE)</f>
        <v>331.75088776964122</v>
      </c>
      <c r="Y326" s="566">
        <f>VLOOKUP($A326,'01-02.2021'!$A$6:$CZ$403,25,FALSE)+VLOOKUP($A326,'1.3.21-28.2.22'!$A$6:$DA$404,25,FALSE)-VLOOKUP($A326,'01-02.2022'!$A$6:$DA$376,25,FALSE)</f>
        <v>273.10623314520581</v>
      </c>
      <c r="Z326" s="70">
        <f t="shared" si="327"/>
        <v>-58.644654624435418</v>
      </c>
      <c r="AA326" s="566">
        <f>VLOOKUP($A326,'01-02.2021'!$A$6:$CZ$403,27,FALSE)+VLOOKUP($A326,'1.3.21-28.2.22'!$A$6:$DA$404,27,FALSE)-VLOOKUP($A326,'01-02.2022'!$A$6:$DA$376,27,FALSE)</f>
        <v>60.14</v>
      </c>
      <c r="AB326" s="566">
        <f>VLOOKUP($A326,'01-02.2021'!$A$6:$CZ$403,28,FALSE)+VLOOKUP($A326,'1.3.21-28.2.22'!$A$6:$DA$404,28,FALSE)-VLOOKUP($A326,'01-02.2022'!$A$6:$DA$376,28,FALSE)</f>
        <v>0</v>
      </c>
      <c r="AC326" s="70">
        <f t="shared" si="328"/>
        <v>-60.14</v>
      </c>
      <c r="AD326" s="566">
        <f>VLOOKUP($A326,'01-02.2021'!$A$6:$CZ$403,30,FALSE)+VLOOKUP($A326,'1.3.21-28.2.22'!$A$6:$DA$404,30,FALSE)-VLOOKUP($A326,'01-02.2022'!$A$6:$DA$376,30,FALSE)</f>
        <v>1231.486733772256</v>
      </c>
      <c r="AE326" s="566">
        <f>VLOOKUP($A326,'01-02.2021'!$A$6:$CZ$403,31,FALSE)+VLOOKUP($A326,'1.3.21-28.2.22'!$A$6:$DA$404,31,FALSE)-VLOOKUP($A326,'01-02.2022'!$A$6:$DA$376,31,FALSE)</f>
        <v>1368.7985158796816</v>
      </c>
      <c r="AF326" s="68">
        <f t="shared" si="329"/>
        <v>137.31178210742564</v>
      </c>
      <c r="AG326" s="77">
        <f t="shared" si="354"/>
        <v>3746.8445973255239</v>
      </c>
      <c r="AH326" s="53">
        <f t="shared" si="354"/>
        <v>3689.3059601011309</v>
      </c>
      <c r="AI326" s="52">
        <f t="shared" si="359"/>
        <v>-57.538637224392915</v>
      </c>
      <c r="AJ326" s="566">
        <f>VLOOKUP($A326,'01-02.2021'!$A$6:$CZ$403,36,FALSE)+VLOOKUP($A326,'1.3.21-28.2.22'!$A$6:$DA$404,36,FALSE)-VLOOKUP($A326,'01-02.2022'!$A$6:$DA$376,36,FALSE)</f>
        <v>0</v>
      </c>
      <c r="AK326" s="566">
        <f>VLOOKUP($A326,'01-02.2021'!$A$6:$CZ$403,37,FALSE)+VLOOKUP($A326,'1.3.21-28.2.22'!$A$6:$DA$404,37,FALSE)-VLOOKUP($A326,'01-02.2022'!$A$6:$DA$376,37,FALSE)</f>
        <v>0</v>
      </c>
      <c r="AL326" s="70">
        <f t="shared" si="330"/>
        <v>0</v>
      </c>
      <c r="AM326" s="566">
        <f>VLOOKUP($A326,'01-02.2021'!$A$6:$CZ$403,39,FALSE)+VLOOKUP($A326,'1.3.21-28.2.22'!$A$6:$DA$404,39,FALSE)-VLOOKUP($A326,'01-02.2022'!$A$6:$DA$376,39,FALSE)</f>
        <v>0</v>
      </c>
      <c r="AN326" s="566">
        <f>VLOOKUP($A326,'01-02.2021'!$A$6:$CZ$403,40,FALSE)+VLOOKUP($A326,'1.3.21-28.2.22'!$A$6:$DA$404,40,FALSE)-VLOOKUP($A326,'01-02.2022'!$A$6:$DA$376,40,FALSE)</f>
        <v>0</v>
      </c>
      <c r="AO326" s="70">
        <f t="shared" si="331"/>
        <v>0</v>
      </c>
      <c r="AP326" s="566">
        <f>VLOOKUP($A326,'01-02.2021'!$A$6:$CZ$403,42,FALSE)+VLOOKUP($A326,'1.3.21-28.2.22'!$A$6:$DA$404,42,FALSE)-VLOOKUP($A326,'01-02.2022'!$A$6:$DA$376,42,FALSE)</f>
        <v>867.59987502129582</v>
      </c>
      <c r="AQ326" s="566">
        <f>VLOOKUP($A326,'01-02.2021'!$A$6:$CZ$403,43,FALSE)+VLOOKUP($A326,'1.3.21-28.2.22'!$A$6:$DA$404,43,FALSE)-VLOOKUP($A326,'01-02.2022'!$A$6:$DA$376,43,FALSE)</f>
        <v>673.09742088463361</v>
      </c>
      <c r="AR326" s="70">
        <f t="shared" si="332"/>
        <v>-194.50245413666221</v>
      </c>
      <c r="AS326" s="566">
        <f>VLOOKUP($A326,'01-02.2021'!$A$6:$CZ$403,45,FALSE)+VLOOKUP($A326,'1.3.21-28.2.22'!$A$6:$DA$404,45,FALSE)-VLOOKUP($A326,'01-02.2022'!$A$6:$DA$376,45,FALSE)</f>
        <v>3255.1296874740087</v>
      </c>
      <c r="AT326" s="566">
        <f>VLOOKUP($A326,'01-02.2021'!$A$6:$CZ$403,46,FALSE)+VLOOKUP($A326,'1.3.21-28.2.22'!$A$6:$DA$404,46,FALSE)-VLOOKUP($A326,'01-02.2022'!$A$6:$DA$376,46,FALSE)</f>
        <v>753</v>
      </c>
      <c r="AU326" s="78">
        <f t="shared" si="333"/>
        <v>-2502.1296874740087</v>
      </c>
      <c r="AV326" s="566">
        <f>VLOOKUP($A326,'01-02.2021'!$A$6:$CZ$403,48,FALSE)+VLOOKUP($A326,'1.3.21-28.2.22'!$A$6:$DA$404,48,FALSE)-VLOOKUP($A326,'01-02.2022'!$A$6:$DA$376,48,FALSE)</f>
        <v>569.52728896113979</v>
      </c>
      <c r="AW326" s="566">
        <f>VLOOKUP($A326,'01-02.2021'!$A$6:$CZ$403,49,FALSE)+VLOOKUP($A326,'1.3.21-28.2.22'!$A$6:$DA$404,49,FALSE)-VLOOKUP($A326,'01-02.2022'!$A$6:$DA$376,49,FALSE)</f>
        <v>0</v>
      </c>
      <c r="AX326" s="55">
        <f t="shared" si="334"/>
        <v>-569.52728896113979</v>
      </c>
      <c r="AY326" s="566">
        <f>VLOOKUP($A326,'01-02.2021'!$A$6:$CZ$403,51,FALSE)+VLOOKUP($A326,'1.3.21-28.2.22'!$A$6:$DA$404,51,FALSE)-VLOOKUP($A326,'01-02.2022'!$A$6:$DA$376,51,FALSE)</f>
        <v>610.55119311542865</v>
      </c>
      <c r="AZ326" s="566">
        <f>VLOOKUP($A326,'01-02.2021'!$A$6:$CZ$403,52,FALSE)+VLOOKUP($A326,'1.3.21-28.2.22'!$A$6:$DA$404,52,FALSE)-VLOOKUP($A326,'01-02.2022'!$A$6:$DA$376,52,FALSE)</f>
        <v>0</v>
      </c>
      <c r="BA326" s="38">
        <f t="shared" si="335"/>
        <v>-610.55119311542865</v>
      </c>
      <c r="BB326" s="566">
        <f>VLOOKUP($A326,'01-02.2021'!$A$6:$CZ$403,54,FALSE)+VLOOKUP($A326,'1.3.21-28.2.22'!$A$6:$DA$404,54,FALSE)-VLOOKUP($A326,'01-02.2022'!$A$6:$DA$376,54,FALSE)</f>
        <v>0</v>
      </c>
      <c r="BC326" s="566">
        <f>VLOOKUP($A326,'01-02.2021'!$A$6:$CZ$403,55,FALSE)+VLOOKUP($A326,'1.3.21-28.2.22'!$A$6:$DA$404,55,FALSE)-VLOOKUP($A326,'01-02.2022'!$A$6:$DA$376,55,FALSE)</f>
        <v>0</v>
      </c>
      <c r="BD326" s="55">
        <f t="shared" si="336"/>
        <v>0</v>
      </c>
      <c r="BE326" s="566">
        <f>VLOOKUP($A326,'01-02.2021'!$A$6:$CZ$403,57,FALSE)+VLOOKUP($A326,'1.3.21-28.2.22'!$A$6:$DA$404,57,FALSE)-VLOOKUP($A326,'01-02.2022'!$A$6:$DA$376,57,FALSE)</f>
        <v>0</v>
      </c>
      <c r="BF326" s="566">
        <f>VLOOKUP($A326,'01-02.2021'!$A$6:$CZ$403,58,FALSE)+VLOOKUP($A326,'1.3.21-28.2.22'!$A$6:$DA$404,58,FALSE)-VLOOKUP($A326,'01-02.2022'!$A$6:$DA$376,58,FALSE)</f>
        <v>0</v>
      </c>
      <c r="BG326" s="55">
        <f t="shared" si="337"/>
        <v>0</v>
      </c>
      <c r="BH326" s="566">
        <f>VLOOKUP($A326,'01-02.2021'!$A$6:$CZ$403,60,FALSE)+VLOOKUP($A326,'1.3.21-28.2.22'!$A$6:$DA$404,60,FALSE)-VLOOKUP($A326,'01-02.2022'!$A$6:$DA$376,60,FALSE)</f>
        <v>0</v>
      </c>
      <c r="BI326" s="566">
        <f>VLOOKUP($A326,'01-02.2021'!$A$6:$CZ$403,61,FALSE)+VLOOKUP($A326,'1.3.21-28.2.22'!$A$6:$DA$404,61,FALSE)-VLOOKUP($A326,'01-02.2022'!$A$6:$DA$376,61,FALSE)</f>
        <v>0</v>
      </c>
      <c r="BJ326" s="55">
        <f t="shared" si="338"/>
        <v>0</v>
      </c>
      <c r="BK326" s="566">
        <f>VLOOKUP($A326,'01-02.2021'!$A$6:$CZ$403,63,FALSE)+VLOOKUP($A326,'1.3.21-28.2.22'!$A$6:$DA$404,63,FALSE)-VLOOKUP($A326,'01-02.2022'!$A$6:$DA$376,63,FALSE)</f>
        <v>52.121310516416102</v>
      </c>
      <c r="BL326" s="566">
        <f>VLOOKUP($A326,'01-02.2021'!$A$6:$CZ$403,64,FALSE)+VLOOKUP($A326,'1.3.21-28.2.22'!$A$6:$DA$404,64,FALSE)-VLOOKUP($A326,'01-02.2022'!$A$6:$DA$376,64,FALSE)</f>
        <v>0</v>
      </c>
      <c r="BM326" s="55">
        <f t="shared" si="339"/>
        <v>-52.121310516416102</v>
      </c>
      <c r="BN326" s="566">
        <f>VLOOKUP($A326,'01-02.2021'!$A$6:$CZ$403,66,FALSE)+VLOOKUP($A326,'1.3.21-28.2.22'!$A$6:$DA$404,66,FALSE)-VLOOKUP($A326,'01-02.2022'!$A$6:$DA$376,66,FALSE)</f>
        <v>15.035</v>
      </c>
      <c r="BO326" s="566">
        <f>VLOOKUP($A326,'01-02.2021'!$A$6:$CZ$403,67,FALSE)+VLOOKUP($A326,'1.3.21-28.2.22'!$A$6:$DA$404,67,FALSE)-VLOOKUP($A326,'01-02.2022'!$A$6:$DA$376,67,FALSE)</f>
        <v>0</v>
      </c>
      <c r="BP326" s="55">
        <f t="shared" si="340"/>
        <v>-15.035</v>
      </c>
      <c r="BQ326" s="77">
        <f t="shared" si="348"/>
        <v>1247.2347925929846</v>
      </c>
      <c r="BR326" s="40">
        <f t="shared" si="375"/>
        <v>0</v>
      </c>
      <c r="BS326" s="55">
        <f t="shared" si="369"/>
        <v>-1247.2347925929846</v>
      </c>
      <c r="BT326" s="566">
        <f>VLOOKUP($A326,'01-02.2021'!$A$6:$CZ$403,72,FALSE)+VLOOKUP($A326,'1.3.21-28.2.22'!$A$6:$DA$404,72,FALSE)-VLOOKUP($A326,'01-02.2022'!$A$6:$DA$376,72,FALSE)</f>
        <v>3210.954268151725</v>
      </c>
      <c r="BU326" s="566">
        <f>VLOOKUP($A326,'01-02.2021'!$A$6:$CZ$403,73,FALSE)+VLOOKUP($A326,'1.3.21-28.2.22'!$A$6:$DA$404,73,FALSE)-VLOOKUP($A326,'01-02.2022'!$A$6:$DA$376,73,FALSE)</f>
        <v>3211.5852374865062</v>
      </c>
      <c r="BV326" s="70">
        <f t="shared" si="341"/>
        <v>0.63096933478118444</v>
      </c>
      <c r="BW326" s="566">
        <f>VLOOKUP($A326,'01-02.2021'!$A$6:$CZ$403,75,FALSE)+VLOOKUP($A326,'1.3.21-28.2.22'!$A$6:$DA$404,75,FALSE)-VLOOKUP($A326,'01-02.2022'!$A$6:$DA$376,75,FALSE)</f>
        <v>1907.6587177912529</v>
      </c>
      <c r="BX326" s="566">
        <f>VLOOKUP($A326,'01-02.2021'!$A$6:$CZ$403,76,FALSE)+VLOOKUP($A326,'1.3.21-28.2.22'!$A$6:$DA$404,76,FALSE)-VLOOKUP($A326,'01-02.2022'!$A$6:$DA$376,76,FALSE)</f>
        <v>2043.4070940315582</v>
      </c>
      <c r="BY326" s="70">
        <f t="shared" si="342"/>
        <v>135.74837624030533</v>
      </c>
      <c r="BZ326" s="566">
        <f>VLOOKUP($A326,'01-02.2021'!$A$6:$CZ$403,78,FALSE)+VLOOKUP($A326,'1.3.21-28.2.22'!$A$6:$DA$404,78,FALSE)-VLOOKUP($A326,'01-02.2022'!$A$6:$DA$376,78,FALSE)</f>
        <v>356.2744442019607</v>
      </c>
      <c r="CA326" s="566">
        <f>VLOOKUP($A326,'01-02.2021'!$A$6:$CZ$403,79,FALSE)+VLOOKUP($A326,'1.3.21-28.2.22'!$A$6:$DA$404,79,FALSE)-VLOOKUP($A326,'01-02.2022'!$A$6:$DA$376,79,FALSE)</f>
        <v>751.85607678309816</v>
      </c>
      <c r="CB326" s="70">
        <f t="shared" si="343"/>
        <v>395.58163258113746</v>
      </c>
      <c r="CC326" s="566">
        <f>VLOOKUP($A326,'01-02.2021'!$A$6:$CZ$403,81,FALSE)+VLOOKUP($A326,'1.3.21-28.2.22'!$A$6:$DA$404,81,FALSE)-VLOOKUP($A326,'01-02.2022'!$A$6:$DA$376,81,FALSE)</f>
        <v>0</v>
      </c>
      <c r="CD326" s="566">
        <f>VLOOKUP($A326,'01-02.2021'!$A$6:$CZ$403,82,FALSE)+VLOOKUP($A326,'1.3.21-28.2.22'!$A$6:$DA$404,82,FALSE)-VLOOKUP($A326,'01-02.2022'!$A$6:$DA$376,82,FALSE)</f>
        <v>0</v>
      </c>
      <c r="CE326" s="70">
        <f t="shared" si="344"/>
        <v>0</v>
      </c>
      <c r="CF326" s="566">
        <f>VLOOKUP($A326,'01-02.2021'!$A$6:$CZ$403,84,FALSE)+VLOOKUP($A326,'1.3.21-28.2.22'!$A$6:$DA$404,84,FALSE)-VLOOKUP($A326,'01-02.2022'!$A$6:$DA$376,84,FALSE)</f>
        <v>0</v>
      </c>
      <c r="CG326" s="566">
        <f>VLOOKUP($A326,'01-02.2021'!$A$6:$CZ$403,85,FALSE)+VLOOKUP($A326,'1.3.21-28.2.22'!$A$6:$DA$404,85,FALSE)-VLOOKUP($A326,'01-02.2022'!$A$6:$DA$376,85,FALSE)</f>
        <v>0</v>
      </c>
      <c r="CH326" s="70">
        <f t="shared" si="345"/>
        <v>0</v>
      </c>
      <c r="CI326" s="566">
        <f>VLOOKUP($A326,'01-02.2021'!$A$6:$CZ$403,87,FALSE)+VLOOKUP($A326,'1.3.21-28.2.22'!$A$6:$DA$404,87,FALSE)-VLOOKUP($A326,'01-02.2022'!$A$6:$DA$376,87,FALSE)</f>
        <v>0</v>
      </c>
      <c r="CJ326" s="566">
        <f>VLOOKUP($A326,'01-02.2021'!$A$6:$CZ$403,88,FALSE)+VLOOKUP($A326,'1.3.21-28.2.22'!$A$6:$DA$404,88,FALSE)-VLOOKUP($A326,'01-02.2022'!$A$6:$DA$376,88,FALSE)</f>
        <v>0</v>
      </c>
      <c r="CK326" s="70">
        <f t="shared" si="346"/>
        <v>0</v>
      </c>
      <c r="CL326" s="566">
        <f>VLOOKUP($A326,'01-02.2021'!$A$6:$CZ$403,90,FALSE)+VLOOKUP($A326,'1.3.21-28.2.22'!$A$6:$DA$404,90,FALSE)-VLOOKUP($A326,'01-02.2022'!$A$6:$DA$376,90,FALSE)</f>
        <v>0</v>
      </c>
      <c r="CM326" s="566">
        <f>VLOOKUP($A326,'01-02.2021'!$A$6:$CZ$403,91,FALSE)+VLOOKUP($A326,'1.3.21-28.2.22'!$A$6:$DA$404,91,FALSE)-VLOOKUP($A326,'01-02.2022'!$A$6:$DA$376,91,FALSE)</f>
        <v>0</v>
      </c>
      <c r="CN326" s="52">
        <f t="shared" si="360"/>
        <v>0</v>
      </c>
      <c r="CO326" s="39">
        <f t="shared" si="355"/>
        <v>0</v>
      </c>
      <c r="CP326" s="40">
        <f t="shared" si="361"/>
        <v>0</v>
      </c>
      <c r="CQ326" s="52">
        <f t="shared" si="362"/>
        <v>0</v>
      </c>
      <c r="CR326" s="72">
        <f t="shared" si="356"/>
        <v>14591.696382558752</v>
      </c>
      <c r="CS326" s="5">
        <f t="shared" si="356"/>
        <v>11122.251789286927</v>
      </c>
      <c r="CT326" s="52">
        <f t="shared" si="363"/>
        <v>-3469.4445932718245</v>
      </c>
      <c r="CU326" s="77">
        <f t="shared" si="364"/>
        <v>17510.035659070501</v>
      </c>
      <c r="CV326" s="65">
        <f t="shared" si="365"/>
        <v>13346.702147144313</v>
      </c>
      <c r="CW326" s="35">
        <f t="shared" si="366"/>
        <v>-4163.3335119261883</v>
      </c>
      <c r="CX326" s="566">
        <f>VLOOKUP($A326,'01-02.2021'!$A$6:$CZ$403,102,FALSE)+VLOOKUP($A326,'1.3.21-28.2.22'!$A$6:$DA$404,102,FALSE)-VLOOKUP($A326,'01-02.2022'!$A$6:$DA$376,102,FALSE)</f>
        <v>619.16647252988946</v>
      </c>
      <c r="CY326" s="566">
        <f>VLOOKUP($A326,'01-02.2021'!$A$6:$CZ$403,103,FALSE)+VLOOKUP($A326,'1.3.21-28.2.22'!$A$6:$DA$404,103,FALSE)-VLOOKUP($A326,'01-02.2022'!$A$6:$DA$376,103,FALSE)</f>
        <v>4782.4999844560771</v>
      </c>
      <c r="CZ326" s="52">
        <f t="shared" si="367"/>
        <v>4163.3335119261874</v>
      </c>
      <c r="DA326" s="150">
        <f>'[2]побудинковий звіт'!DA326</f>
        <v>-3141.7565598164047</v>
      </c>
      <c r="DB326" s="2">
        <v>3</v>
      </c>
      <c r="DC326" s="414">
        <f>'[4]побудинковий звіт'!DC326</f>
        <v>10063.469999999999</v>
      </c>
      <c r="DD326" s="414">
        <f>'[4]побудинковий звіт'!DD326</f>
        <v>0</v>
      </c>
      <c r="DE326" s="557">
        <f>'[4]побудинковий звіт'!DE326</f>
        <v>8949.0575775947364</v>
      </c>
      <c r="DF326" s="557">
        <f>'[4]побудинковий звіт'!DF326</f>
        <v>-432.34</v>
      </c>
      <c r="DG326" s="321">
        <f>VLOOKUP(A326,'кошти 01.03.2021'!$A$6:$D$401,4,)</f>
        <v>1866.8418065933158</v>
      </c>
      <c r="DH326" s="40">
        <f>'[3]побудинковий звіт'!DJ326</f>
        <v>18551.529716607976</v>
      </c>
      <c r="DI326" s="422">
        <f>'[3]побудинковий звіт'!CU326+'[3]побудинковий звіт'!CX326</f>
        <v>1600.8440510773012</v>
      </c>
      <c r="DJ326" s="306">
        <f>'[3]побудинковий звіт'!DM326</f>
        <v>5.732574189327484</v>
      </c>
      <c r="DK326" s="306">
        <f t="shared" si="377"/>
        <v>5.732574189327484</v>
      </c>
      <c r="DL326" s="306">
        <f>'[3]побудинковий звіт'!DO326</f>
        <v>4.5760266102731739</v>
      </c>
      <c r="DM326" s="28">
        <f t="shared" si="379"/>
        <v>1114.412422405263</v>
      </c>
      <c r="DN326" s="28">
        <v>432.34</v>
      </c>
      <c r="DO326" s="423">
        <f t="shared" si="319"/>
        <v>1546.7524224052629</v>
      </c>
      <c r="DP326" s="94">
        <f t="shared" si="320"/>
        <v>54.091628672038269</v>
      </c>
      <c r="DQ326" s="28">
        <f t="shared" si="321"/>
        <v>1546.7524224052629</v>
      </c>
      <c r="DR326" s="318"/>
      <c r="DT326" s="8"/>
      <c r="DU326" s="5"/>
      <c r="DX326" s="5">
        <f t="shared" si="322"/>
        <v>5402.8373760803925</v>
      </c>
      <c r="DY326" s="5">
        <f t="shared" si="323"/>
        <v>903.6</v>
      </c>
      <c r="DZ326" s="159">
        <f>'[3]побудинковий звіт'!EA326</f>
        <v>437.4673221053468</v>
      </c>
    </row>
    <row r="327" spans="1:130" x14ac:dyDescent="0.3">
      <c r="A327" s="325">
        <v>150000808</v>
      </c>
      <c r="B327" s="41" t="s">
        <v>773</v>
      </c>
      <c r="C327" s="42" t="s">
        <v>298</v>
      </c>
      <c r="D327" s="42"/>
      <c r="E327" s="293">
        <f t="shared" si="353"/>
        <v>1950.8</v>
      </c>
      <c r="F327" s="305">
        <f>'[3]побудинковий звіт'!F327</f>
        <v>1754.6</v>
      </c>
      <c r="G327" s="508">
        <f>'[3]побудинковий звіт'!G327</f>
        <v>0</v>
      </c>
      <c r="H327" s="560">
        <f>'[3]побудинковий звіт'!H327</f>
        <v>196.2</v>
      </c>
      <c r="I327" s="566">
        <f>VLOOKUP($A327,'01-02.2021'!$A$6:$CZ$403,9,FALSE)+VLOOKUP($A327,'1.3.21-28.2.22'!$A$6:$DA$404,9,FALSE)-VLOOKUP($A327,'01-02.2022'!$A$6:$DA$376,9,FALSE)</f>
        <v>5818.1190139303417</v>
      </c>
      <c r="J327" s="566">
        <f>VLOOKUP($A327,'01-02.2021'!$A$6:$CZ$403,10,FALSE)+VLOOKUP($A327,'1.3.21-28.2.22'!$A$6:$DA$404,10,FALSE)-VLOOKUP($A327,'01-02.2022'!$A$6:$DA$376,10,FALSE)</f>
        <v>6418.4851154229436</v>
      </c>
      <c r="K327" s="52">
        <f t="shared" si="357"/>
        <v>600.36610149260196</v>
      </c>
      <c r="L327" s="566">
        <f>VLOOKUP($A327,'01-02.2021'!$A$6:$CZ$403,12,FALSE)+VLOOKUP($A327,'1.3.21-28.2.22'!$A$6:$DA$404,12,FALSE)-VLOOKUP($A327,'01-02.2022'!$A$6:$DA$376,12,FALSE)</f>
        <v>1133.1913209601216</v>
      </c>
      <c r="M327" s="566">
        <f>VLOOKUP($A327,'01-02.2021'!$A$6:$CZ$403,13,FALSE)+VLOOKUP($A327,'1.3.21-28.2.22'!$A$6:$DA$404,13,FALSE)-VLOOKUP($A327,'01-02.2022'!$A$6:$DA$376,13,FALSE)</f>
        <v>1247.6842470214362</v>
      </c>
      <c r="N327" s="52">
        <f t="shared" si="358"/>
        <v>114.49292606131462</v>
      </c>
      <c r="O327" s="566">
        <f>VLOOKUP($A327,'01-02.2021'!$A$6:$CZ$403,15,FALSE)+VLOOKUP($A327,'1.3.21-28.2.22'!$A$6:$DA$404,15,FALSE)-VLOOKUP($A327,'01-02.2022'!$A$6:$DA$376,15,FALSE)</f>
        <v>2510.5364088982165</v>
      </c>
      <c r="P327" s="566">
        <f>VLOOKUP($A327,'01-02.2021'!$A$6:$CZ$403,16,FALSE)+VLOOKUP($A327,'1.3.21-28.2.22'!$A$6:$DA$404,16,FALSE)-VLOOKUP($A327,'01-02.2022'!$A$6:$DA$376,16,FALSE)</f>
        <v>2510.5099999999998</v>
      </c>
      <c r="Q327" s="70">
        <f t="shared" si="324"/>
        <v>-2.6408898216686794E-2</v>
      </c>
      <c r="R327" s="566">
        <f>VLOOKUP($A327,'01-02.2021'!$A$6:$CZ$403,18,FALSE)+VLOOKUP($A327,'1.3.21-28.2.22'!$A$6:$DA$404,18,FALSE)-VLOOKUP($A327,'01-02.2022'!$A$6:$DA$376,18,FALSE)</f>
        <v>0</v>
      </c>
      <c r="S327" s="566">
        <f>VLOOKUP($A327,'01-02.2021'!$A$6:$CZ$403,19,FALSE)+VLOOKUP($A327,'1.3.21-28.2.22'!$A$6:$DA$404,19,FALSE)-VLOOKUP($A327,'01-02.2022'!$A$6:$DA$376,19,FALSE)</f>
        <v>0</v>
      </c>
      <c r="T327" s="70">
        <f t="shared" si="325"/>
        <v>0</v>
      </c>
      <c r="U327" s="566">
        <f>VLOOKUP($A327,'01-02.2021'!$A$6:$CZ$403,21,FALSE)+VLOOKUP($A327,'1.3.21-28.2.22'!$A$6:$DA$404,21,FALSE)-VLOOKUP($A327,'01-02.2022'!$A$6:$DA$376,21,FALSE)</f>
        <v>0</v>
      </c>
      <c r="V327" s="566">
        <f>VLOOKUP($A327,'01-02.2021'!$A$6:$CZ$403,22,FALSE)+VLOOKUP($A327,'1.3.21-28.2.22'!$A$6:$DA$404,22,FALSE)-VLOOKUP($A327,'01-02.2022'!$A$6:$DA$376,22,FALSE)</f>
        <v>0</v>
      </c>
      <c r="W327" s="70">
        <f t="shared" si="326"/>
        <v>0</v>
      </c>
      <c r="X327" s="566">
        <f>VLOOKUP($A327,'01-02.2021'!$A$6:$CZ$403,24,FALSE)+VLOOKUP($A327,'1.3.21-28.2.22'!$A$6:$DA$404,24,FALSE)-VLOOKUP($A327,'01-02.2022'!$A$6:$DA$376,24,FALSE)</f>
        <v>2837.3989419450309</v>
      </c>
      <c r="Y327" s="566">
        <f>VLOOKUP($A327,'01-02.2021'!$A$6:$CZ$403,25,FALSE)+VLOOKUP($A327,'1.3.21-28.2.22'!$A$6:$DA$404,25,FALSE)-VLOOKUP($A327,'01-02.2022'!$A$6:$DA$376,25,FALSE)</f>
        <v>2214.5683992587219</v>
      </c>
      <c r="Z327" s="70">
        <f t="shared" si="327"/>
        <v>-622.83054268630895</v>
      </c>
      <c r="AA327" s="566">
        <f>VLOOKUP($A327,'01-02.2021'!$A$6:$CZ$403,27,FALSE)+VLOOKUP($A327,'1.3.21-28.2.22'!$A$6:$DA$404,27,FALSE)-VLOOKUP($A327,'01-02.2022'!$A$6:$DA$376,27,FALSE)</f>
        <v>390.44000000000005</v>
      </c>
      <c r="AB327" s="566">
        <f>VLOOKUP($A327,'01-02.2021'!$A$6:$CZ$403,28,FALSE)+VLOOKUP($A327,'1.3.21-28.2.22'!$A$6:$DA$404,28,FALSE)-VLOOKUP($A327,'01-02.2022'!$A$6:$DA$376,28,FALSE)</f>
        <v>0</v>
      </c>
      <c r="AC327" s="70">
        <f t="shared" si="328"/>
        <v>-390.44000000000005</v>
      </c>
      <c r="AD327" s="566">
        <f>VLOOKUP($A327,'01-02.2021'!$A$6:$CZ$403,30,FALSE)+VLOOKUP($A327,'1.3.21-28.2.22'!$A$6:$DA$404,30,FALSE)-VLOOKUP($A327,'01-02.2022'!$A$6:$DA$376,30,FALSE)</f>
        <v>8362.2582761801532</v>
      </c>
      <c r="AE327" s="566">
        <f>VLOOKUP($A327,'01-02.2021'!$A$6:$CZ$403,31,FALSE)+VLOOKUP($A327,'1.3.21-28.2.22'!$A$6:$DA$404,31,FALSE)-VLOOKUP($A327,'01-02.2022'!$A$6:$DA$376,31,FALSE)</f>
        <v>8880.1202021219942</v>
      </c>
      <c r="AF327" s="68">
        <f t="shared" si="329"/>
        <v>517.86192594184104</v>
      </c>
      <c r="AG327" s="77">
        <f t="shared" si="354"/>
        <v>21051.943961913865</v>
      </c>
      <c r="AH327" s="53">
        <f t="shared" si="354"/>
        <v>21271.367963825098</v>
      </c>
      <c r="AI327" s="52">
        <f t="shared" si="359"/>
        <v>219.42400191123306</v>
      </c>
      <c r="AJ327" s="566">
        <f>VLOOKUP($A327,'01-02.2021'!$A$6:$CZ$403,36,FALSE)+VLOOKUP($A327,'1.3.21-28.2.22'!$A$6:$DA$404,36,FALSE)-VLOOKUP($A327,'01-02.2022'!$A$6:$DA$376,36,FALSE)</f>
        <v>0</v>
      </c>
      <c r="AK327" s="566">
        <f>VLOOKUP($A327,'01-02.2021'!$A$6:$CZ$403,37,FALSE)+VLOOKUP($A327,'1.3.21-28.2.22'!$A$6:$DA$404,37,FALSE)-VLOOKUP($A327,'01-02.2022'!$A$6:$DA$376,37,FALSE)</f>
        <v>0</v>
      </c>
      <c r="AL327" s="70">
        <f t="shared" si="330"/>
        <v>0</v>
      </c>
      <c r="AM327" s="566">
        <f>VLOOKUP($A327,'01-02.2021'!$A$6:$CZ$403,39,FALSE)+VLOOKUP($A327,'1.3.21-28.2.22'!$A$6:$DA$404,39,FALSE)-VLOOKUP($A327,'01-02.2022'!$A$6:$DA$376,39,FALSE)</f>
        <v>0</v>
      </c>
      <c r="AN327" s="566">
        <f>VLOOKUP($A327,'01-02.2021'!$A$6:$CZ$403,40,FALSE)+VLOOKUP($A327,'1.3.21-28.2.22'!$A$6:$DA$404,40,FALSE)-VLOOKUP($A327,'01-02.2022'!$A$6:$DA$376,40,FALSE)</f>
        <v>0</v>
      </c>
      <c r="AO327" s="70">
        <f t="shared" si="331"/>
        <v>0</v>
      </c>
      <c r="AP327" s="566">
        <f>VLOOKUP($A327,'01-02.2021'!$A$6:$CZ$403,42,FALSE)+VLOOKUP($A327,'1.3.21-28.2.22'!$A$6:$DA$404,42,FALSE)-VLOOKUP($A327,'01-02.2022'!$A$6:$DA$376,42,FALSE)</f>
        <v>4945.3192876213852</v>
      </c>
      <c r="AQ327" s="566">
        <f>VLOOKUP($A327,'01-02.2021'!$A$6:$CZ$403,43,FALSE)+VLOOKUP($A327,'1.3.21-28.2.22'!$A$6:$DA$404,43,FALSE)-VLOOKUP($A327,'01-02.2022'!$A$6:$DA$376,43,FALSE)</f>
        <v>4263.2627426841336</v>
      </c>
      <c r="AR327" s="70">
        <f t="shared" si="332"/>
        <v>-682.0565449372516</v>
      </c>
      <c r="AS327" s="566">
        <f>VLOOKUP($A327,'01-02.2021'!$A$6:$CZ$403,45,FALSE)+VLOOKUP($A327,'1.3.21-28.2.22'!$A$6:$DA$404,45,FALSE)-VLOOKUP($A327,'01-02.2022'!$A$6:$DA$376,45,FALSE)</f>
        <v>12013.416710694673</v>
      </c>
      <c r="AT327" s="566">
        <f>VLOOKUP($A327,'01-02.2021'!$A$6:$CZ$403,46,FALSE)+VLOOKUP($A327,'1.3.21-28.2.22'!$A$6:$DA$404,46,FALSE)-VLOOKUP($A327,'01-02.2022'!$A$6:$DA$376,46,FALSE)</f>
        <v>5906</v>
      </c>
      <c r="AU327" s="78">
        <f t="shared" si="333"/>
        <v>-6107.4167106946734</v>
      </c>
      <c r="AV327" s="566">
        <f>VLOOKUP($A327,'01-02.2021'!$A$6:$CZ$403,48,FALSE)+VLOOKUP($A327,'1.3.21-28.2.22'!$A$6:$DA$404,48,FALSE)-VLOOKUP($A327,'01-02.2022'!$A$6:$DA$376,48,FALSE)</f>
        <v>1584.1137835435466</v>
      </c>
      <c r="AW327" s="566">
        <f>VLOOKUP($A327,'01-02.2021'!$A$6:$CZ$403,49,FALSE)+VLOOKUP($A327,'1.3.21-28.2.22'!$A$6:$DA$404,49,FALSE)-VLOOKUP($A327,'01-02.2022'!$A$6:$DA$376,49,FALSE)</f>
        <v>122</v>
      </c>
      <c r="AX327" s="55">
        <f t="shared" si="334"/>
        <v>-1462.1137835435466</v>
      </c>
      <c r="AY327" s="566">
        <f>VLOOKUP($A327,'01-02.2021'!$A$6:$CZ$403,51,FALSE)+VLOOKUP($A327,'1.3.21-28.2.22'!$A$6:$DA$404,51,FALSE)-VLOOKUP($A327,'01-02.2022'!$A$6:$DA$376,51,FALSE)</f>
        <v>2130.2100674849212</v>
      </c>
      <c r="AZ327" s="566">
        <f>VLOOKUP($A327,'01-02.2021'!$A$6:$CZ$403,52,FALSE)+VLOOKUP($A327,'1.3.21-28.2.22'!$A$6:$DA$404,52,FALSE)-VLOOKUP($A327,'01-02.2022'!$A$6:$DA$376,52,FALSE)</f>
        <v>90</v>
      </c>
      <c r="BA327" s="38">
        <f t="shared" si="335"/>
        <v>-2040.2100674849212</v>
      </c>
      <c r="BB327" s="566">
        <f>VLOOKUP($A327,'01-02.2021'!$A$6:$CZ$403,54,FALSE)+VLOOKUP($A327,'1.3.21-28.2.22'!$A$6:$DA$404,54,FALSE)-VLOOKUP($A327,'01-02.2022'!$A$6:$DA$376,54,FALSE)</f>
        <v>1248.0397033727445</v>
      </c>
      <c r="BC327" s="566">
        <f>VLOOKUP($A327,'01-02.2021'!$A$6:$CZ$403,55,FALSE)+VLOOKUP($A327,'1.3.21-28.2.22'!$A$6:$DA$404,55,FALSE)-VLOOKUP($A327,'01-02.2022'!$A$6:$DA$376,55,FALSE)</f>
        <v>0</v>
      </c>
      <c r="BD327" s="55">
        <f t="shared" si="336"/>
        <v>-1248.0397033727445</v>
      </c>
      <c r="BE327" s="566">
        <f>VLOOKUP($A327,'01-02.2021'!$A$6:$CZ$403,57,FALSE)+VLOOKUP($A327,'1.3.21-28.2.22'!$A$6:$DA$404,57,FALSE)-VLOOKUP($A327,'01-02.2022'!$A$6:$DA$376,57,FALSE)</f>
        <v>0</v>
      </c>
      <c r="BF327" s="566">
        <f>VLOOKUP($A327,'01-02.2021'!$A$6:$CZ$403,58,FALSE)+VLOOKUP($A327,'1.3.21-28.2.22'!$A$6:$DA$404,58,FALSE)-VLOOKUP($A327,'01-02.2022'!$A$6:$DA$376,58,FALSE)</f>
        <v>0</v>
      </c>
      <c r="BG327" s="55">
        <f t="shared" si="337"/>
        <v>0</v>
      </c>
      <c r="BH327" s="566">
        <f>VLOOKUP($A327,'01-02.2021'!$A$6:$CZ$403,60,FALSE)+VLOOKUP($A327,'1.3.21-28.2.22'!$A$6:$DA$404,60,FALSE)-VLOOKUP($A327,'01-02.2022'!$A$6:$DA$376,60,FALSE)</f>
        <v>0</v>
      </c>
      <c r="BI327" s="566">
        <f>VLOOKUP($A327,'01-02.2021'!$A$6:$CZ$403,61,FALSE)+VLOOKUP($A327,'1.3.21-28.2.22'!$A$6:$DA$404,61,FALSE)-VLOOKUP($A327,'01-02.2022'!$A$6:$DA$376,61,FALSE)</f>
        <v>0</v>
      </c>
      <c r="BJ327" s="55">
        <f t="shared" si="338"/>
        <v>0</v>
      </c>
      <c r="BK327" s="566">
        <f>VLOOKUP($A327,'01-02.2021'!$A$6:$CZ$403,63,FALSE)+VLOOKUP($A327,'1.3.21-28.2.22'!$A$6:$DA$404,63,FALSE)-VLOOKUP($A327,'01-02.2022'!$A$6:$DA$376,63,FALSE)</f>
        <v>715.91788474878854</v>
      </c>
      <c r="BL327" s="566">
        <f>VLOOKUP($A327,'01-02.2021'!$A$6:$CZ$403,64,FALSE)+VLOOKUP($A327,'1.3.21-28.2.22'!$A$6:$DA$404,64,FALSE)-VLOOKUP($A327,'01-02.2022'!$A$6:$DA$376,64,FALSE)</f>
        <v>0</v>
      </c>
      <c r="BM327" s="55">
        <f t="shared" si="339"/>
        <v>-715.91788474878854</v>
      </c>
      <c r="BN327" s="566">
        <f>VLOOKUP($A327,'01-02.2021'!$A$6:$CZ$403,66,FALSE)+VLOOKUP($A327,'1.3.21-28.2.22'!$A$6:$DA$404,66,FALSE)-VLOOKUP($A327,'01-02.2022'!$A$6:$DA$376,66,FALSE)</f>
        <v>97.610000000000014</v>
      </c>
      <c r="BO327" s="566">
        <f>VLOOKUP($A327,'01-02.2021'!$A$6:$CZ$403,67,FALSE)+VLOOKUP($A327,'1.3.21-28.2.22'!$A$6:$DA$404,67,FALSE)-VLOOKUP($A327,'01-02.2022'!$A$6:$DA$376,67,FALSE)</f>
        <v>0</v>
      </c>
      <c r="BP327" s="55">
        <f t="shared" si="340"/>
        <v>-97.610000000000014</v>
      </c>
      <c r="BQ327" s="77">
        <f t="shared" si="348"/>
        <v>5775.8914391500002</v>
      </c>
      <c r="BR327" s="40">
        <f t="shared" si="375"/>
        <v>212</v>
      </c>
      <c r="BS327" s="55">
        <f t="shared" si="369"/>
        <v>-5563.8914391500002</v>
      </c>
      <c r="BT327" s="566">
        <f>VLOOKUP($A327,'01-02.2021'!$A$6:$CZ$403,72,FALSE)+VLOOKUP($A327,'1.3.21-28.2.22'!$A$6:$DA$404,72,FALSE)-VLOOKUP($A327,'01-02.2022'!$A$6:$DA$376,72,FALSE)</f>
        <v>17779.28992920067</v>
      </c>
      <c r="BU327" s="566">
        <f>VLOOKUP($A327,'01-02.2021'!$A$6:$CZ$403,73,FALSE)+VLOOKUP($A327,'1.3.21-28.2.22'!$A$6:$DA$404,73,FALSE)-VLOOKUP($A327,'01-02.2022'!$A$6:$DA$376,73,FALSE)</f>
        <v>21329.226586147364</v>
      </c>
      <c r="BV327" s="70">
        <f t="shared" si="341"/>
        <v>3549.9366569466947</v>
      </c>
      <c r="BW327" s="566">
        <f>VLOOKUP($A327,'01-02.2021'!$A$6:$CZ$403,75,FALSE)+VLOOKUP($A327,'1.3.21-28.2.22'!$A$6:$DA$404,75,FALSE)-VLOOKUP($A327,'01-02.2022'!$A$6:$DA$376,75,FALSE)</f>
        <v>7636.3114585117946</v>
      </c>
      <c r="BX327" s="566">
        <f>VLOOKUP($A327,'01-02.2021'!$A$6:$CZ$403,76,FALSE)+VLOOKUP($A327,'1.3.21-28.2.22'!$A$6:$DA$404,76,FALSE)-VLOOKUP($A327,'01-02.2022'!$A$6:$DA$376,76,FALSE)</f>
        <v>7732.1217719537544</v>
      </c>
      <c r="BY327" s="70">
        <f t="shared" si="342"/>
        <v>95.810313441959806</v>
      </c>
      <c r="BZ327" s="566">
        <f>VLOOKUP($A327,'01-02.2021'!$A$6:$CZ$403,78,FALSE)+VLOOKUP($A327,'1.3.21-28.2.22'!$A$6:$DA$404,78,FALSE)-VLOOKUP($A327,'01-02.2022'!$A$6:$DA$376,78,FALSE)</f>
        <v>6323.6847709358044</v>
      </c>
      <c r="CA327" s="566">
        <f>VLOOKUP($A327,'01-02.2021'!$A$6:$CZ$403,79,FALSE)+VLOOKUP($A327,'1.3.21-28.2.22'!$A$6:$DA$404,79,FALSE)-VLOOKUP($A327,'01-02.2022'!$A$6:$DA$376,79,FALSE)</f>
        <v>4680.5454127298017</v>
      </c>
      <c r="CB327" s="70">
        <f t="shared" si="343"/>
        <v>-1643.1393582060027</v>
      </c>
      <c r="CC327" s="566">
        <f>VLOOKUP($A327,'01-02.2021'!$A$6:$CZ$403,81,FALSE)+VLOOKUP($A327,'1.3.21-28.2.22'!$A$6:$DA$404,81,FALSE)-VLOOKUP($A327,'01-02.2022'!$A$6:$DA$376,81,FALSE)</f>
        <v>755.82142328415921</v>
      </c>
      <c r="CD327" s="566">
        <f>VLOOKUP($A327,'01-02.2021'!$A$6:$CZ$403,82,FALSE)+VLOOKUP($A327,'1.3.21-28.2.22'!$A$6:$DA$404,82,FALSE)-VLOOKUP($A327,'01-02.2022'!$A$6:$DA$376,82,FALSE)</f>
        <v>826.107539677094</v>
      </c>
      <c r="CE327" s="70">
        <f t="shared" si="344"/>
        <v>70.286116392934787</v>
      </c>
      <c r="CF327" s="566">
        <f>VLOOKUP($A327,'01-02.2021'!$A$6:$CZ$403,84,FALSE)+VLOOKUP($A327,'1.3.21-28.2.22'!$A$6:$DA$404,84,FALSE)-VLOOKUP($A327,'01-02.2022'!$A$6:$DA$376,84,FALSE)</f>
        <v>91.885663214314093</v>
      </c>
      <c r="CG327" s="566">
        <f>VLOOKUP($A327,'01-02.2021'!$A$6:$CZ$403,85,FALSE)+VLOOKUP($A327,'1.3.21-28.2.22'!$A$6:$DA$404,85,FALSE)-VLOOKUP($A327,'01-02.2022'!$A$6:$DA$376,85,FALSE)</f>
        <v>0</v>
      </c>
      <c r="CH327" s="70">
        <f t="shared" si="345"/>
        <v>-91.885663214314093</v>
      </c>
      <c r="CI327" s="566">
        <f>VLOOKUP($A327,'01-02.2021'!$A$6:$CZ$403,87,FALSE)+VLOOKUP($A327,'1.3.21-28.2.22'!$A$6:$DA$404,87,FALSE)-VLOOKUP($A327,'01-02.2022'!$A$6:$DA$376,87,FALSE)</f>
        <v>5329.4828579242294</v>
      </c>
      <c r="CJ327" s="566">
        <f>VLOOKUP($A327,'01-02.2021'!$A$6:$CZ$403,88,FALSE)+VLOOKUP($A327,'1.3.21-28.2.22'!$A$6:$DA$404,88,FALSE)-VLOOKUP($A327,'01-02.2022'!$A$6:$DA$376,88,FALSE)</f>
        <v>7474.9703242604601</v>
      </c>
      <c r="CK327" s="70">
        <f t="shared" si="346"/>
        <v>2145.4874663362307</v>
      </c>
      <c r="CL327" s="566">
        <f>VLOOKUP($A327,'01-02.2021'!$A$6:$CZ$403,90,FALSE)+VLOOKUP($A327,'1.3.21-28.2.22'!$A$6:$DA$404,90,FALSE)-VLOOKUP($A327,'01-02.2022'!$A$6:$DA$376,90,FALSE)</f>
        <v>0</v>
      </c>
      <c r="CM327" s="566">
        <f>VLOOKUP($A327,'01-02.2021'!$A$6:$CZ$403,91,FALSE)+VLOOKUP($A327,'1.3.21-28.2.22'!$A$6:$DA$404,91,FALSE)-VLOOKUP($A327,'01-02.2022'!$A$6:$DA$376,91,FALSE)</f>
        <v>0</v>
      </c>
      <c r="CN327" s="52">
        <f t="shared" si="360"/>
        <v>0</v>
      </c>
      <c r="CO327" s="39">
        <f t="shared" si="355"/>
        <v>5329.4828579242294</v>
      </c>
      <c r="CP327" s="40">
        <f t="shared" si="361"/>
        <v>7474.9703242604601</v>
      </c>
      <c r="CQ327" s="52">
        <f t="shared" si="362"/>
        <v>2145.4874663362307</v>
      </c>
      <c r="CR327" s="72">
        <f t="shared" si="356"/>
        <v>81703.047502450892</v>
      </c>
      <c r="CS327" s="5">
        <f t="shared" si="356"/>
        <v>73695.602341277699</v>
      </c>
      <c r="CT327" s="52">
        <f t="shared" si="363"/>
        <v>-8007.4451611731929</v>
      </c>
      <c r="CU327" s="77">
        <f t="shared" si="364"/>
        <v>98043.657002941065</v>
      </c>
      <c r="CV327" s="65">
        <f t="shared" si="365"/>
        <v>88434.722809533239</v>
      </c>
      <c r="CW327" s="35">
        <f t="shared" si="366"/>
        <v>-9608.9341934078257</v>
      </c>
      <c r="CX327" s="566">
        <f>VLOOKUP($A327,'01-02.2021'!$A$6:$CZ$403,102,FALSE)+VLOOKUP($A327,'1.3.21-28.2.22'!$A$6:$DA$404,102,FALSE)-VLOOKUP($A327,'01-02.2022'!$A$6:$DA$376,102,FALSE)</f>
        <v>3101.5126650174052</v>
      </c>
      <c r="CY327" s="566">
        <f>VLOOKUP($A327,'01-02.2021'!$A$6:$CZ$403,103,FALSE)+VLOOKUP($A327,'1.3.21-28.2.22'!$A$6:$DA$404,103,FALSE)-VLOOKUP($A327,'01-02.2022'!$A$6:$DA$376,103,FALSE)</f>
        <v>12710.446858425228</v>
      </c>
      <c r="CZ327" s="52">
        <f t="shared" si="367"/>
        <v>9608.934193407822</v>
      </c>
      <c r="DA327" s="150">
        <f>'[2]побудинковий звіт'!DA327</f>
        <v>-19498.435532379255</v>
      </c>
      <c r="DB327" s="2">
        <v>2</v>
      </c>
      <c r="DC327" s="414">
        <f>'[4]побудинковий звіт'!DC327</f>
        <v>11998.26</v>
      </c>
      <c r="DD327" s="414">
        <f>'[4]побудинковий звіт'!DD327</f>
        <v>0</v>
      </c>
      <c r="DE327" s="557">
        <f>'[4]побудинковий звіт'!DE327</f>
        <v>3644.0758656892976</v>
      </c>
      <c r="DF327" s="557">
        <f>'[4]побудинковий звіт'!DF327</f>
        <v>-830.89033624733327</v>
      </c>
      <c r="DG327" s="321">
        <f>VLOOKUP(A327,'кошти 01.03.2021'!$A$6:$D$401,4,)</f>
        <v>-4975.2096711543345</v>
      </c>
      <c r="DH327" s="40">
        <f>'[3]побудинковий звіт'!DJ327</f>
        <v>104722.00474662648</v>
      </c>
      <c r="DI327" s="422">
        <f>'[3]побудинковий звіт'!CU327+'[3]побудинковий звіт'!CX327</f>
        <v>9185.0744705580346</v>
      </c>
      <c r="DJ327" s="306">
        <f>'[3]побудинковий звіт'!DM327</f>
        <v>4.7613040774596502</v>
      </c>
      <c r="DK327" s="306">
        <f t="shared" si="377"/>
        <v>4.7613040774596502</v>
      </c>
      <c r="DL327" s="306">
        <f>'[3]побудинковий звіт'!DO327</f>
        <v>4.2349150675195375</v>
      </c>
      <c r="DM327" s="28">
        <f t="shared" si="379"/>
        <v>8354.1841343107026</v>
      </c>
      <c r="DN327" s="28">
        <f t="shared" ref="DN327:DN358" si="380">H327*DL327</f>
        <v>830.89033624733327</v>
      </c>
      <c r="DO327" s="423">
        <f t="shared" si="319"/>
        <v>9185.0744705580364</v>
      </c>
      <c r="DP327" s="94">
        <f t="shared" si="320"/>
        <v>0</v>
      </c>
      <c r="DQ327" s="28">
        <f t="shared" si="321"/>
        <v>9185.0744705580364</v>
      </c>
      <c r="DR327" s="318"/>
      <c r="DT327" s="8"/>
      <c r="DU327" s="5"/>
      <c r="DX327" s="5">
        <f t="shared" si="322"/>
        <v>21347.169779813608</v>
      </c>
      <c r="DY327" s="5">
        <f t="shared" si="323"/>
        <v>7341.5999999999995</v>
      </c>
      <c r="DZ327" s="159">
        <f>'[3]побудинковий звіт'!EA327</f>
        <v>1806.563715287444</v>
      </c>
    </row>
    <row r="328" spans="1:130" x14ac:dyDescent="0.3">
      <c r="A328" s="325">
        <v>150000827</v>
      </c>
      <c r="B328" s="41" t="s">
        <v>774</v>
      </c>
      <c r="C328" s="42" t="s">
        <v>299</v>
      </c>
      <c r="D328" s="42"/>
      <c r="E328" s="293">
        <f t="shared" si="353"/>
        <v>4420.7</v>
      </c>
      <c r="F328" s="305">
        <f>'[3]побудинковий звіт'!F328</f>
        <v>3727.2</v>
      </c>
      <c r="G328" s="508">
        <f>'[3]побудинковий звіт'!G328</f>
        <v>0</v>
      </c>
      <c r="H328" s="560">
        <f>'[3]побудинковий звіт'!H328</f>
        <v>693.5</v>
      </c>
      <c r="I328" s="566">
        <f>VLOOKUP($A328,'01-02.2021'!$A$6:$CZ$403,9,FALSE)+VLOOKUP($A328,'1.3.21-28.2.22'!$A$6:$DA$404,9,FALSE)-VLOOKUP($A328,'01-02.2022'!$A$6:$DA$376,9,FALSE)</f>
        <v>13813.151704414886</v>
      </c>
      <c r="J328" s="566">
        <f>VLOOKUP($A328,'01-02.2021'!$A$6:$CZ$403,10,FALSE)+VLOOKUP($A328,'1.3.21-28.2.22'!$A$6:$DA$404,10,FALSE)-VLOOKUP($A328,'01-02.2022'!$A$6:$DA$376,10,FALSE)</f>
        <v>15230.072207532958</v>
      </c>
      <c r="K328" s="52">
        <f t="shared" si="357"/>
        <v>1416.9205031180718</v>
      </c>
      <c r="L328" s="566">
        <f>VLOOKUP($A328,'01-02.2021'!$A$6:$CZ$403,12,FALSE)+VLOOKUP($A328,'1.3.21-28.2.22'!$A$6:$DA$404,12,FALSE)-VLOOKUP($A328,'01-02.2022'!$A$6:$DA$376,12,FALSE)</f>
        <v>2772.9247489423569</v>
      </c>
      <c r="M328" s="566">
        <f>VLOOKUP($A328,'01-02.2021'!$A$6:$CZ$403,13,FALSE)+VLOOKUP($A328,'1.3.21-28.2.22'!$A$6:$DA$404,13,FALSE)-VLOOKUP($A328,'01-02.2022'!$A$6:$DA$376,13,FALSE)</f>
        <v>3053.0922163496325</v>
      </c>
      <c r="N328" s="52">
        <f t="shared" si="358"/>
        <v>280.16746740727558</v>
      </c>
      <c r="O328" s="566">
        <f>VLOOKUP($A328,'01-02.2021'!$A$6:$CZ$403,15,FALSE)+VLOOKUP($A328,'1.3.21-28.2.22'!$A$6:$DA$404,15,FALSE)-VLOOKUP($A328,'01-02.2022'!$A$6:$DA$376,15,FALSE)</f>
        <v>5284.6279325406749</v>
      </c>
      <c r="P328" s="566">
        <f>VLOOKUP($A328,'01-02.2021'!$A$6:$CZ$403,16,FALSE)+VLOOKUP($A328,'1.3.21-28.2.22'!$A$6:$DA$404,16,FALSE)-VLOOKUP($A328,'01-02.2022'!$A$6:$DA$376,16,FALSE)</f>
        <v>5284.64</v>
      </c>
      <c r="Q328" s="70">
        <f t="shared" si="324"/>
        <v>1.2067459325407981E-2</v>
      </c>
      <c r="R328" s="566">
        <f>VLOOKUP($A328,'01-02.2021'!$A$6:$CZ$403,18,FALSE)+VLOOKUP($A328,'1.3.21-28.2.22'!$A$6:$DA$404,18,FALSE)-VLOOKUP($A328,'01-02.2022'!$A$6:$DA$376,18,FALSE)</f>
        <v>0</v>
      </c>
      <c r="S328" s="566">
        <f>VLOOKUP($A328,'01-02.2021'!$A$6:$CZ$403,19,FALSE)+VLOOKUP($A328,'1.3.21-28.2.22'!$A$6:$DA$404,19,FALSE)-VLOOKUP($A328,'01-02.2022'!$A$6:$DA$376,19,FALSE)</f>
        <v>0</v>
      </c>
      <c r="T328" s="70">
        <f t="shared" si="325"/>
        <v>0</v>
      </c>
      <c r="U328" s="566">
        <f>VLOOKUP($A328,'01-02.2021'!$A$6:$CZ$403,21,FALSE)+VLOOKUP($A328,'1.3.21-28.2.22'!$A$6:$DA$404,21,FALSE)-VLOOKUP($A328,'01-02.2022'!$A$6:$DA$376,21,FALSE)</f>
        <v>0</v>
      </c>
      <c r="V328" s="566">
        <f>VLOOKUP($A328,'01-02.2021'!$A$6:$CZ$403,22,FALSE)+VLOOKUP($A328,'1.3.21-28.2.22'!$A$6:$DA$404,22,FALSE)-VLOOKUP($A328,'01-02.2022'!$A$6:$DA$376,22,FALSE)</f>
        <v>0</v>
      </c>
      <c r="W328" s="70">
        <f t="shared" si="326"/>
        <v>0</v>
      </c>
      <c r="X328" s="566">
        <f>VLOOKUP($A328,'01-02.2021'!$A$6:$CZ$403,24,FALSE)+VLOOKUP($A328,'1.3.21-28.2.22'!$A$6:$DA$404,24,FALSE)-VLOOKUP($A328,'01-02.2022'!$A$6:$DA$376,24,FALSE)</f>
        <v>8751.4476433984055</v>
      </c>
      <c r="Y328" s="566">
        <f>VLOOKUP($A328,'01-02.2021'!$A$6:$CZ$403,25,FALSE)+VLOOKUP($A328,'1.3.21-28.2.22'!$A$6:$DA$404,25,FALSE)-VLOOKUP($A328,'01-02.2022'!$A$6:$DA$376,25,FALSE)</f>
        <v>7190.5940248146526</v>
      </c>
      <c r="Z328" s="70">
        <f t="shared" si="327"/>
        <v>-1560.8536185837529</v>
      </c>
      <c r="AA328" s="566">
        <f>VLOOKUP($A328,'01-02.2021'!$A$6:$CZ$403,27,FALSE)+VLOOKUP($A328,'1.3.21-28.2.22'!$A$6:$DA$404,27,FALSE)-VLOOKUP($A328,'01-02.2022'!$A$6:$DA$376,27,FALSE)</f>
        <v>880.88000000000011</v>
      </c>
      <c r="AB328" s="566">
        <f>VLOOKUP($A328,'01-02.2021'!$A$6:$CZ$403,28,FALSE)+VLOOKUP($A328,'1.3.21-28.2.22'!$A$6:$DA$404,28,FALSE)-VLOOKUP($A328,'01-02.2022'!$A$6:$DA$376,28,FALSE)</f>
        <v>0</v>
      </c>
      <c r="AC328" s="70">
        <f t="shared" si="328"/>
        <v>-880.88000000000011</v>
      </c>
      <c r="AD328" s="566">
        <f>VLOOKUP($A328,'01-02.2021'!$A$6:$CZ$403,30,FALSE)+VLOOKUP($A328,'1.3.21-28.2.22'!$A$6:$DA$404,30,FALSE)-VLOOKUP($A328,'01-02.2022'!$A$6:$DA$376,30,FALSE)</f>
        <v>18891.450346665988</v>
      </c>
      <c r="AE328" s="566">
        <f>VLOOKUP($A328,'01-02.2021'!$A$6:$CZ$403,31,FALSE)+VLOOKUP($A328,'1.3.21-28.2.22'!$A$6:$DA$404,31,FALSE)-VLOOKUP($A328,'01-02.2022'!$A$6:$DA$376,31,FALSE)</f>
        <v>20073.810239559833</v>
      </c>
      <c r="AF328" s="68">
        <f t="shared" si="329"/>
        <v>1182.3598928938445</v>
      </c>
      <c r="AG328" s="77">
        <f t="shared" si="354"/>
        <v>50394.48237596231</v>
      </c>
      <c r="AH328" s="53">
        <f t="shared" si="354"/>
        <v>50832.208688257073</v>
      </c>
      <c r="AI328" s="52">
        <f t="shared" si="359"/>
        <v>437.72631229476247</v>
      </c>
      <c r="AJ328" s="566">
        <f>VLOOKUP($A328,'01-02.2021'!$A$6:$CZ$403,36,FALSE)+VLOOKUP($A328,'1.3.21-28.2.22'!$A$6:$DA$404,36,FALSE)-VLOOKUP($A328,'01-02.2022'!$A$6:$DA$376,36,FALSE)</f>
        <v>0</v>
      </c>
      <c r="AK328" s="566">
        <f>VLOOKUP($A328,'01-02.2021'!$A$6:$CZ$403,37,FALSE)+VLOOKUP($A328,'1.3.21-28.2.22'!$A$6:$DA$404,37,FALSE)-VLOOKUP($A328,'01-02.2022'!$A$6:$DA$376,37,FALSE)</f>
        <v>0</v>
      </c>
      <c r="AL328" s="70">
        <f t="shared" si="330"/>
        <v>0</v>
      </c>
      <c r="AM328" s="566">
        <f>VLOOKUP($A328,'01-02.2021'!$A$6:$CZ$403,39,FALSE)+VLOOKUP($A328,'1.3.21-28.2.22'!$A$6:$DA$404,39,FALSE)-VLOOKUP($A328,'01-02.2022'!$A$6:$DA$376,39,FALSE)</f>
        <v>0</v>
      </c>
      <c r="AN328" s="566">
        <f>VLOOKUP($A328,'01-02.2021'!$A$6:$CZ$403,40,FALSE)+VLOOKUP($A328,'1.3.21-28.2.22'!$A$6:$DA$404,40,FALSE)-VLOOKUP($A328,'01-02.2022'!$A$6:$DA$376,40,FALSE)</f>
        <v>0</v>
      </c>
      <c r="AO328" s="70">
        <f t="shared" si="331"/>
        <v>0</v>
      </c>
      <c r="AP328" s="566">
        <f>VLOOKUP($A328,'01-02.2021'!$A$6:$CZ$403,42,FALSE)+VLOOKUP($A328,'1.3.21-28.2.22'!$A$6:$DA$404,42,FALSE)-VLOOKUP($A328,'01-02.2022'!$A$6:$DA$376,42,FALSE)</f>
        <v>11582.458331534295</v>
      </c>
      <c r="AQ328" s="566">
        <f>VLOOKUP($A328,'01-02.2021'!$A$6:$CZ$403,43,FALSE)+VLOOKUP($A328,'1.3.21-28.2.22'!$A$6:$DA$404,43,FALSE)-VLOOKUP($A328,'01-02.2022'!$A$6:$DA$376,43,FALSE)</f>
        <v>9211.2434198827923</v>
      </c>
      <c r="AR328" s="70">
        <f t="shared" si="332"/>
        <v>-2371.2149116515029</v>
      </c>
      <c r="AS328" s="566">
        <f>VLOOKUP($A328,'01-02.2021'!$A$6:$CZ$403,45,FALSE)+VLOOKUP($A328,'1.3.21-28.2.22'!$A$6:$DA$404,45,FALSE)-VLOOKUP($A328,'01-02.2022'!$A$6:$DA$376,45,FALSE)</f>
        <v>37790.115084997698</v>
      </c>
      <c r="AT328" s="566">
        <f>VLOOKUP($A328,'01-02.2021'!$A$6:$CZ$403,46,FALSE)+VLOOKUP($A328,'1.3.21-28.2.22'!$A$6:$DA$404,46,FALSE)-VLOOKUP($A328,'01-02.2022'!$A$6:$DA$376,46,FALSE)</f>
        <v>52349.09</v>
      </c>
      <c r="AU328" s="78">
        <f t="shared" si="333"/>
        <v>14558.974915002298</v>
      </c>
      <c r="AV328" s="566">
        <f>VLOOKUP($A328,'01-02.2021'!$A$6:$CZ$403,48,FALSE)+VLOOKUP($A328,'1.3.21-28.2.22'!$A$6:$DA$404,48,FALSE)-VLOOKUP($A328,'01-02.2022'!$A$6:$DA$376,48,FALSE)</f>
        <v>3671.0054013215668</v>
      </c>
      <c r="AW328" s="566">
        <f>VLOOKUP($A328,'01-02.2021'!$A$6:$CZ$403,49,FALSE)+VLOOKUP($A328,'1.3.21-28.2.22'!$A$6:$DA$404,49,FALSE)-VLOOKUP($A328,'01-02.2022'!$A$6:$DA$376,49,FALSE)</f>
        <v>783</v>
      </c>
      <c r="AX328" s="55">
        <f t="shared" si="334"/>
        <v>-2888.0054013215668</v>
      </c>
      <c r="AY328" s="566">
        <f>VLOOKUP($A328,'01-02.2021'!$A$6:$CZ$403,51,FALSE)+VLOOKUP($A328,'1.3.21-28.2.22'!$A$6:$DA$404,51,FALSE)-VLOOKUP($A328,'01-02.2022'!$A$6:$DA$376,51,FALSE)</f>
        <v>5212.3889995167492</v>
      </c>
      <c r="AZ328" s="566">
        <f>VLOOKUP($A328,'01-02.2021'!$A$6:$CZ$403,52,FALSE)+VLOOKUP($A328,'1.3.21-28.2.22'!$A$6:$DA$404,52,FALSE)-VLOOKUP($A328,'01-02.2022'!$A$6:$DA$376,52,FALSE)</f>
        <v>33</v>
      </c>
      <c r="BA328" s="38">
        <f t="shared" si="335"/>
        <v>-5179.3889995167492</v>
      </c>
      <c r="BB328" s="566">
        <f>VLOOKUP($A328,'01-02.2021'!$A$6:$CZ$403,54,FALSE)+VLOOKUP($A328,'1.3.21-28.2.22'!$A$6:$DA$404,54,FALSE)-VLOOKUP($A328,'01-02.2022'!$A$6:$DA$376,54,FALSE)</f>
        <v>2364.5619236537773</v>
      </c>
      <c r="BC328" s="566">
        <f>VLOOKUP($A328,'01-02.2021'!$A$6:$CZ$403,55,FALSE)+VLOOKUP($A328,'1.3.21-28.2.22'!$A$6:$DA$404,55,FALSE)-VLOOKUP($A328,'01-02.2022'!$A$6:$DA$376,55,FALSE)</f>
        <v>0</v>
      </c>
      <c r="BD328" s="55">
        <f t="shared" si="336"/>
        <v>-2364.5619236537773</v>
      </c>
      <c r="BE328" s="566">
        <f>VLOOKUP($A328,'01-02.2021'!$A$6:$CZ$403,57,FALSE)+VLOOKUP($A328,'1.3.21-28.2.22'!$A$6:$DA$404,57,FALSE)-VLOOKUP($A328,'01-02.2022'!$A$6:$DA$376,57,FALSE)</f>
        <v>0</v>
      </c>
      <c r="BF328" s="566">
        <f>VLOOKUP($A328,'01-02.2021'!$A$6:$CZ$403,58,FALSE)+VLOOKUP($A328,'1.3.21-28.2.22'!$A$6:$DA$404,58,FALSE)-VLOOKUP($A328,'01-02.2022'!$A$6:$DA$376,58,FALSE)</f>
        <v>0</v>
      </c>
      <c r="BG328" s="55">
        <f t="shared" si="337"/>
        <v>0</v>
      </c>
      <c r="BH328" s="566">
        <f>VLOOKUP($A328,'01-02.2021'!$A$6:$CZ$403,60,FALSE)+VLOOKUP($A328,'1.3.21-28.2.22'!$A$6:$DA$404,60,FALSE)-VLOOKUP($A328,'01-02.2022'!$A$6:$DA$376,60,FALSE)</f>
        <v>0</v>
      </c>
      <c r="BI328" s="566">
        <f>VLOOKUP($A328,'01-02.2021'!$A$6:$CZ$403,61,FALSE)+VLOOKUP($A328,'1.3.21-28.2.22'!$A$6:$DA$404,61,FALSE)-VLOOKUP($A328,'01-02.2022'!$A$6:$DA$376,61,FALSE)</f>
        <v>0</v>
      </c>
      <c r="BJ328" s="55">
        <f t="shared" si="338"/>
        <v>0</v>
      </c>
      <c r="BK328" s="566">
        <f>VLOOKUP($A328,'01-02.2021'!$A$6:$CZ$403,63,FALSE)+VLOOKUP($A328,'1.3.21-28.2.22'!$A$6:$DA$404,63,FALSE)-VLOOKUP($A328,'01-02.2022'!$A$6:$DA$376,63,FALSE)</f>
        <v>2943.9798346941702</v>
      </c>
      <c r="BL328" s="566">
        <f>VLOOKUP($A328,'01-02.2021'!$A$6:$CZ$403,64,FALSE)+VLOOKUP($A328,'1.3.21-28.2.22'!$A$6:$DA$404,64,FALSE)-VLOOKUP($A328,'01-02.2022'!$A$6:$DA$376,64,FALSE)</f>
        <v>841</v>
      </c>
      <c r="BM328" s="55">
        <f t="shared" si="339"/>
        <v>-2102.9798346941702</v>
      </c>
      <c r="BN328" s="566">
        <f>VLOOKUP($A328,'01-02.2021'!$A$6:$CZ$403,66,FALSE)+VLOOKUP($A328,'1.3.21-28.2.22'!$A$6:$DA$404,66,FALSE)-VLOOKUP($A328,'01-02.2022'!$A$6:$DA$376,66,FALSE)</f>
        <v>220.22000000000003</v>
      </c>
      <c r="BO328" s="566">
        <f>VLOOKUP($A328,'01-02.2021'!$A$6:$CZ$403,67,FALSE)+VLOOKUP($A328,'1.3.21-28.2.22'!$A$6:$DA$404,67,FALSE)-VLOOKUP($A328,'01-02.2022'!$A$6:$DA$376,67,FALSE)</f>
        <v>0</v>
      </c>
      <c r="BP328" s="55">
        <f t="shared" si="340"/>
        <v>-220.22000000000003</v>
      </c>
      <c r="BQ328" s="77">
        <f t="shared" si="348"/>
        <v>14412.156159186261</v>
      </c>
      <c r="BR328" s="40">
        <f t="shared" si="375"/>
        <v>1657</v>
      </c>
      <c r="BS328" s="55">
        <f t="shared" si="369"/>
        <v>-12755.156159186261</v>
      </c>
      <c r="BT328" s="566">
        <f>VLOOKUP($A328,'01-02.2021'!$A$6:$CZ$403,72,FALSE)+VLOOKUP($A328,'1.3.21-28.2.22'!$A$6:$DA$404,72,FALSE)-VLOOKUP($A328,'01-02.2022'!$A$6:$DA$376,72,FALSE)</f>
        <v>25386.290029544562</v>
      </c>
      <c r="BU328" s="566">
        <f>VLOOKUP($A328,'01-02.2021'!$A$6:$CZ$403,73,FALSE)+VLOOKUP($A328,'1.3.21-28.2.22'!$A$6:$DA$404,73,FALSE)-VLOOKUP($A328,'01-02.2022'!$A$6:$DA$376,73,FALSE)</f>
        <v>37397.586317062269</v>
      </c>
      <c r="BV328" s="70">
        <f t="shared" si="341"/>
        <v>12011.296287517707</v>
      </c>
      <c r="BW328" s="566">
        <f>VLOOKUP($A328,'01-02.2021'!$A$6:$CZ$403,75,FALSE)+VLOOKUP($A328,'1.3.21-28.2.22'!$A$6:$DA$404,75,FALSE)-VLOOKUP($A328,'01-02.2022'!$A$6:$DA$376,75,FALSE)</f>
        <v>18174.118014607557</v>
      </c>
      <c r="BX328" s="566">
        <f>VLOOKUP($A328,'01-02.2021'!$A$6:$CZ$403,76,FALSE)+VLOOKUP($A328,'1.3.21-28.2.22'!$A$6:$DA$404,76,FALSE)-VLOOKUP($A328,'01-02.2022'!$A$6:$DA$376,76,FALSE)</f>
        <v>19408.877081189465</v>
      </c>
      <c r="BY328" s="70">
        <f t="shared" si="342"/>
        <v>1234.759066581908</v>
      </c>
      <c r="BZ328" s="566">
        <f>VLOOKUP($A328,'01-02.2021'!$A$6:$CZ$403,78,FALSE)+VLOOKUP($A328,'1.3.21-28.2.22'!$A$6:$DA$404,78,FALSE)-VLOOKUP($A328,'01-02.2022'!$A$6:$DA$376,78,FALSE)</f>
        <v>12520.860026863764</v>
      </c>
      <c r="CA328" s="566">
        <f>VLOOKUP($A328,'01-02.2021'!$A$6:$CZ$403,79,FALSE)+VLOOKUP($A328,'1.3.21-28.2.22'!$A$6:$DA$404,79,FALSE)-VLOOKUP($A328,'01-02.2022'!$A$6:$DA$376,79,FALSE)</f>
        <v>8635.2081119348877</v>
      </c>
      <c r="CB328" s="70">
        <f t="shared" si="343"/>
        <v>-3885.6519149288761</v>
      </c>
      <c r="CC328" s="566">
        <f>VLOOKUP($A328,'01-02.2021'!$A$6:$CZ$403,81,FALSE)+VLOOKUP($A328,'1.3.21-28.2.22'!$A$6:$DA$404,81,FALSE)-VLOOKUP($A328,'01-02.2022'!$A$6:$DA$376,81,FALSE)</f>
        <v>1840.9459613772829</v>
      </c>
      <c r="CD328" s="566">
        <f>VLOOKUP($A328,'01-02.2021'!$A$6:$CZ$403,82,FALSE)+VLOOKUP($A328,'1.3.21-28.2.22'!$A$6:$DA$404,82,FALSE)-VLOOKUP($A328,'01-02.2022'!$A$6:$DA$376,82,FALSE)</f>
        <v>2012.141085156964</v>
      </c>
      <c r="CE328" s="70">
        <f t="shared" si="344"/>
        <v>171.19512377968113</v>
      </c>
      <c r="CF328" s="566">
        <f>VLOOKUP($A328,'01-02.2021'!$A$6:$CZ$403,84,FALSE)+VLOOKUP($A328,'1.3.21-28.2.22'!$A$6:$DA$404,84,FALSE)-VLOOKUP($A328,'01-02.2022'!$A$6:$DA$376,84,FALSE)</f>
        <v>223.80490336970584</v>
      </c>
      <c r="CG328" s="566">
        <f>VLOOKUP($A328,'01-02.2021'!$A$6:$CZ$403,85,FALSE)+VLOOKUP($A328,'1.3.21-28.2.22'!$A$6:$DA$404,85,FALSE)-VLOOKUP($A328,'01-02.2022'!$A$6:$DA$376,85,FALSE)</f>
        <v>0</v>
      </c>
      <c r="CH328" s="70">
        <f t="shared" si="345"/>
        <v>-223.80490336970584</v>
      </c>
      <c r="CI328" s="566">
        <f>VLOOKUP($A328,'01-02.2021'!$A$6:$CZ$403,87,FALSE)+VLOOKUP($A328,'1.3.21-28.2.22'!$A$6:$DA$404,87,FALSE)-VLOOKUP($A328,'01-02.2022'!$A$6:$DA$376,87,FALSE)</f>
        <v>6044.7266949556924</v>
      </c>
      <c r="CJ328" s="566">
        <f>VLOOKUP($A328,'01-02.2021'!$A$6:$CZ$403,88,FALSE)+VLOOKUP($A328,'1.3.21-28.2.22'!$A$6:$DA$404,88,FALSE)-VLOOKUP($A328,'01-02.2022'!$A$6:$DA$376,88,FALSE)</f>
        <v>5682.0248509681223</v>
      </c>
      <c r="CK328" s="70">
        <f t="shared" si="346"/>
        <v>-362.7018439875701</v>
      </c>
      <c r="CL328" s="566">
        <f>VLOOKUP($A328,'01-02.2021'!$A$6:$CZ$403,90,FALSE)+VLOOKUP($A328,'1.3.21-28.2.22'!$A$6:$DA$404,90,FALSE)-VLOOKUP($A328,'01-02.2022'!$A$6:$DA$376,90,FALSE)</f>
        <v>0</v>
      </c>
      <c r="CM328" s="566">
        <f>VLOOKUP($A328,'01-02.2021'!$A$6:$CZ$403,91,FALSE)+VLOOKUP($A328,'1.3.21-28.2.22'!$A$6:$DA$404,91,FALSE)-VLOOKUP($A328,'01-02.2022'!$A$6:$DA$376,91,FALSE)</f>
        <v>0</v>
      </c>
      <c r="CN328" s="52">
        <f t="shared" si="360"/>
        <v>0</v>
      </c>
      <c r="CO328" s="39">
        <f t="shared" si="355"/>
        <v>6044.7266949556924</v>
      </c>
      <c r="CP328" s="40">
        <f t="shared" si="361"/>
        <v>5682.0248509681223</v>
      </c>
      <c r="CQ328" s="52">
        <f t="shared" si="362"/>
        <v>-362.7018439875701</v>
      </c>
      <c r="CR328" s="72">
        <f t="shared" si="356"/>
        <v>178369.95758239913</v>
      </c>
      <c r="CS328" s="5">
        <f t="shared" si="356"/>
        <v>187185.37955445156</v>
      </c>
      <c r="CT328" s="52">
        <f t="shared" si="363"/>
        <v>8815.421972052427</v>
      </c>
      <c r="CU328" s="77">
        <f t="shared" si="364"/>
        <v>214043.94909887895</v>
      </c>
      <c r="CV328" s="65">
        <f t="shared" si="365"/>
        <v>224622.45546534186</v>
      </c>
      <c r="CW328" s="35">
        <f t="shared" si="366"/>
        <v>10578.506366462912</v>
      </c>
      <c r="CX328" s="566">
        <f>VLOOKUP($A328,'01-02.2021'!$A$6:$CZ$403,102,FALSE)+VLOOKUP($A328,'1.3.21-28.2.22'!$A$6:$DA$404,102,FALSE)-VLOOKUP($A328,'01-02.2022'!$A$6:$DA$376,102,FALSE)</f>
        <v>10903.467429923465</v>
      </c>
      <c r="CY328" s="566">
        <f>VLOOKUP($A328,'01-02.2021'!$A$6:$CZ$403,103,FALSE)+VLOOKUP($A328,'1.3.21-28.2.22'!$A$6:$DA$404,103,FALSE)-VLOOKUP($A328,'01-02.2022'!$A$6:$DA$376,103,FALSE)</f>
        <v>324.96106346055603</v>
      </c>
      <c r="CZ328" s="52">
        <f t="shared" si="367"/>
        <v>-10578.506366462909</v>
      </c>
      <c r="DA328" s="150">
        <f>'[2]побудинковий звіт'!DA328</f>
        <v>33437.540079090824</v>
      </c>
      <c r="DB328" s="2">
        <v>2</v>
      </c>
      <c r="DC328" s="414">
        <f>'[4]побудинковий звіт'!DC328</f>
        <v>50447.72</v>
      </c>
      <c r="DD328" s="414">
        <f>'[4]побудинковий звіт'!DD328</f>
        <v>15522.480000000001</v>
      </c>
      <c r="DE328" s="557">
        <f>'[4]побудинковий звіт'!DE328</f>
        <v>32883.097968242393</v>
      </c>
      <c r="DF328" s="557">
        <f>'[4]побудинковий звіт'!DF328</f>
        <v>12675.548970305639</v>
      </c>
      <c r="DG328" s="321">
        <f>VLOOKUP(A328,'кошти 01.03.2021'!$A$6:$D$401,4,)</f>
        <v>-46386.646048295814</v>
      </c>
      <c r="DH328" s="40">
        <f>'[3]побудинковий звіт'!DJ328</f>
        <v>232824.85796238531</v>
      </c>
      <c r="DI328" s="422">
        <f>'[3]побудинковий звіт'!CU328+'[3]побудинковий звіт'!CX328</f>
        <v>20411.553061451967</v>
      </c>
      <c r="DJ328" s="306">
        <f>'[3]побудинковий звіт'!DM328</f>
        <v>4.7125515217207568</v>
      </c>
      <c r="DK328" s="306">
        <f t="shared" si="377"/>
        <v>4.7125515217207568</v>
      </c>
      <c r="DL328" s="306">
        <f>'[3]побудинковий звіт'!DO328</f>
        <v>4.1051637053992236</v>
      </c>
      <c r="DM328" s="28">
        <f t="shared" si="379"/>
        <v>17564.622031757604</v>
      </c>
      <c r="DN328" s="28">
        <f t="shared" si="380"/>
        <v>2846.9310296943618</v>
      </c>
      <c r="DO328" s="423">
        <f t="shared" ref="DO328:DO391" si="381">DM328+DN328</f>
        <v>20411.553061451967</v>
      </c>
      <c r="DP328" s="94">
        <f t="shared" ref="DP328:DP391" si="382">DI328-DO328</f>
        <v>0</v>
      </c>
      <c r="DQ328" s="28">
        <f t="shared" ref="DQ328:DQ391" si="383">DM328+DN328</f>
        <v>20411.553061451967</v>
      </c>
      <c r="DR328" s="318"/>
      <c r="DT328" s="8"/>
      <c r="DU328" s="5"/>
      <c r="DX328" s="5">
        <f t="shared" ref="DX328:DX391" si="384">(AS328+BQ328)*1.2</f>
        <v>62642.725493020749</v>
      </c>
      <c r="DY328" s="5">
        <f t="shared" ref="DY328:DY391" si="385">(AT328+BR328)*1.2</f>
        <v>64807.30799999999</v>
      </c>
      <c r="DZ328" s="159">
        <f>'[3]побудинковий звіт'!EA328</f>
        <v>5789.1320623746678</v>
      </c>
    </row>
    <row r="329" spans="1:130" x14ac:dyDescent="0.3">
      <c r="A329" s="325">
        <v>150000809</v>
      </c>
      <c r="B329" s="41" t="s">
        <v>775</v>
      </c>
      <c r="C329" s="42" t="s">
        <v>300</v>
      </c>
      <c r="D329" s="42"/>
      <c r="E329" s="293">
        <f t="shared" si="353"/>
        <v>2543.14</v>
      </c>
      <c r="F329" s="305">
        <f>'[3]побудинковий звіт'!F329</f>
        <v>2104.64</v>
      </c>
      <c r="G329" s="508">
        <f>'[3]побудинковий звіт'!G329</f>
        <v>0</v>
      </c>
      <c r="H329" s="560">
        <f>'[3]побудинковий звіт'!H329</f>
        <v>438.5</v>
      </c>
      <c r="I329" s="566">
        <f>VLOOKUP($A329,'01-02.2021'!$A$6:$CZ$403,9,FALSE)+VLOOKUP($A329,'1.3.21-28.2.22'!$A$6:$DA$404,9,FALSE)-VLOOKUP($A329,'01-02.2022'!$A$6:$DA$376,9,FALSE)</f>
        <v>7850.1858607167269</v>
      </c>
      <c r="J329" s="566">
        <f>VLOOKUP($A329,'01-02.2021'!$A$6:$CZ$403,10,FALSE)+VLOOKUP($A329,'1.3.21-28.2.22'!$A$6:$DA$404,10,FALSE)-VLOOKUP($A329,'01-02.2022'!$A$6:$DA$376,10,FALSE)</f>
        <v>8649.6085382154142</v>
      </c>
      <c r="K329" s="52">
        <f t="shared" si="357"/>
        <v>799.42267749868734</v>
      </c>
      <c r="L329" s="566">
        <f>VLOOKUP($A329,'01-02.2021'!$A$6:$CZ$403,12,FALSE)+VLOOKUP($A329,'1.3.21-28.2.22'!$A$6:$DA$404,12,FALSE)-VLOOKUP($A329,'01-02.2022'!$A$6:$DA$376,12,FALSE)</f>
        <v>1493.6154905518563</v>
      </c>
      <c r="M329" s="566">
        <f>VLOOKUP($A329,'01-02.2021'!$A$6:$CZ$403,13,FALSE)+VLOOKUP($A329,'1.3.21-28.2.22'!$A$6:$DA$404,13,FALSE)-VLOOKUP($A329,'01-02.2022'!$A$6:$DA$376,13,FALSE)</f>
        <v>1644.5214172745441</v>
      </c>
      <c r="N329" s="52">
        <f t="shared" si="358"/>
        <v>150.90592672268781</v>
      </c>
      <c r="O329" s="566">
        <f>VLOOKUP($A329,'01-02.2021'!$A$6:$CZ$403,15,FALSE)+VLOOKUP($A329,'1.3.21-28.2.22'!$A$6:$DA$404,15,FALSE)-VLOOKUP($A329,'01-02.2022'!$A$6:$DA$376,15,FALSE)</f>
        <v>3198.6891823486835</v>
      </c>
      <c r="P329" s="566">
        <f>VLOOKUP($A329,'01-02.2021'!$A$6:$CZ$403,16,FALSE)+VLOOKUP($A329,'1.3.21-28.2.22'!$A$6:$DA$404,16,FALSE)-VLOOKUP($A329,'01-02.2022'!$A$6:$DA$376,16,FALSE)</f>
        <v>3199.7566666666662</v>
      </c>
      <c r="Q329" s="70">
        <f t="shared" si="324"/>
        <v>1.0674843179826894</v>
      </c>
      <c r="R329" s="566">
        <f>VLOOKUP($A329,'01-02.2021'!$A$6:$CZ$403,18,FALSE)+VLOOKUP($A329,'1.3.21-28.2.22'!$A$6:$DA$404,18,FALSE)-VLOOKUP($A329,'01-02.2022'!$A$6:$DA$376,18,FALSE)</f>
        <v>0</v>
      </c>
      <c r="S329" s="566">
        <f>VLOOKUP($A329,'01-02.2021'!$A$6:$CZ$403,19,FALSE)+VLOOKUP($A329,'1.3.21-28.2.22'!$A$6:$DA$404,19,FALSE)-VLOOKUP($A329,'01-02.2022'!$A$6:$DA$376,19,FALSE)</f>
        <v>0</v>
      </c>
      <c r="T329" s="70">
        <f t="shared" si="325"/>
        <v>0</v>
      </c>
      <c r="U329" s="566">
        <f>VLOOKUP($A329,'01-02.2021'!$A$6:$CZ$403,21,FALSE)+VLOOKUP($A329,'1.3.21-28.2.22'!$A$6:$DA$404,21,FALSE)-VLOOKUP($A329,'01-02.2022'!$A$6:$DA$376,21,FALSE)</f>
        <v>0</v>
      </c>
      <c r="V329" s="566">
        <f>VLOOKUP($A329,'01-02.2021'!$A$6:$CZ$403,22,FALSE)+VLOOKUP($A329,'1.3.21-28.2.22'!$A$6:$DA$404,22,FALSE)-VLOOKUP($A329,'01-02.2022'!$A$6:$DA$376,22,FALSE)</f>
        <v>0</v>
      </c>
      <c r="W329" s="70">
        <f t="shared" si="326"/>
        <v>0</v>
      </c>
      <c r="X329" s="566">
        <f>VLOOKUP($A329,'01-02.2021'!$A$6:$CZ$403,24,FALSE)+VLOOKUP($A329,'1.3.21-28.2.22'!$A$6:$DA$404,24,FALSE)-VLOOKUP($A329,'01-02.2022'!$A$6:$DA$376,24,FALSE)</f>
        <v>4155.9259717210234</v>
      </c>
      <c r="Y329" s="566">
        <f>VLOOKUP($A329,'01-02.2021'!$A$6:$CZ$403,25,FALSE)+VLOOKUP($A329,'1.3.21-28.2.22'!$A$6:$DA$404,25,FALSE)-VLOOKUP($A329,'01-02.2022'!$A$6:$DA$376,25,FALSE)</f>
        <v>3966.7809392142717</v>
      </c>
      <c r="Z329" s="70">
        <f t="shared" si="327"/>
        <v>-189.1450325067517</v>
      </c>
      <c r="AA329" s="566">
        <f>VLOOKUP($A329,'01-02.2021'!$A$6:$CZ$403,27,FALSE)+VLOOKUP($A329,'1.3.21-28.2.22'!$A$6:$DA$404,27,FALSE)-VLOOKUP($A329,'01-02.2022'!$A$6:$DA$376,27,FALSE)</f>
        <v>511.04</v>
      </c>
      <c r="AB329" s="566">
        <f>VLOOKUP($A329,'01-02.2021'!$A$6:$CZ$403,28,FALSE)+VLOOKUP($A329,'1.3.21-28.2.22'!$A$6:$DA$404,28,FALSE)-VLOOKUP($A329,'01-02.2022'!$A$6:$DA$376,28,FALSE)</f>
        <v>0</v>
      </c>
      <c r="AC329" s="70">
        <f t="shared" si="328"/>
        <v>-511.04</v>
      </c>
      <c r="AD329" s="566">
        <f>VLOOKUP($A329,'01-02.2021'!$A$6:$CZ$403,30,FALSE)+VLOOKUP($A329,'1.3.21-28.2.22'!$A$6:$DA$404,30,FALSE)-VLOOKUP($A329,'01-02.2022'!$A$6:$DA$376,30,FALSE)</f>
        <v>10900.604112972826</v>
      </c>
      <c r="AE329" s="566">
        <f>VLOOKUP($A329,'01-02.2021'!$A$6:$CZ$403,31,FALSE)+VLOOKUP($A329,'1.3.21-28.2.22'!$A$6:$DA$404,31,FALSE)-VLOOKUP($A329,'01-02.2022'!$A$6:$DA$376,31,FALSE)</f>
        <v>11442.875670854519</v>
      </c>
      <c r="AF329" s="68">
        <f t="shared" si="329"/>
        <v>542.2715578816933</v>
      </c>
      <c r="AG329" s="77">
        <f t="shared" si="354"/>
        <v>28110.060618311116</v>
      </c>
      <c r="AH329" s="53">
        <f t="shared" si="354"/>
        <v>28903.543232225413</v>
      </c>
      <c r="AI329" s="52">
        <f t="shared" si="359"/>
        <v>793.48261391429696</v>
      </c>
      <c r="AJ329" s="566">
        <f>VLOOKUP($A329,'01-02.2021'!$A$6:$CZ$403,36,FALSE)+VLOOKUP($A329,'1.3.21-28.2.22'!$A$6:$DA$404,36,FALSE)-VLOOKUP($A329,'01-02.2022'!$A$6:$DA$376,36,FALSE)</f>
        <v>0</v>
      </c>
      <c r="AK329" s="566">
        <f>VLOOKUP($A329,'01-02.2021'!$A$6:$CZ$403,37,FALSE)+VLOOKUP($A329,'1.3.21-28.2.22'!$A$6:$DA$404,37,FALSE)-VLOOKUP($A329,'01-02.2022'!$A$6:$DA$376,37,FALSE)</f>
        <v>0</v>
      </c>
      <c r="AL329" s="70">
        <f t="shared" si="330"/>
        <v>0</v>
      </c>
      <c r="AM329" s="566">
        <f>VLOOKUP($A329,'01-02.2021'!$A$6:$CZ$403,39,FALSE)+VLOOKUP($A329,'1.3.21-28.2.22'!$A$6:$DA$404,39,FALSE)-VLOOKUP($A329,'01-02.2022'!$A$6:$DA$376,39,FALSE)</f>
        <v>0</v>
      </c>
      <c r="AN329" s="566">
        <f>VLOOKUP($A329,'01-02.2021'!$A$6:$CZ$403,40,FALSE)+VLOOKUP($A329,'1.3.21-28.2.22'!$A$6:$DA$404,40,FALSE)-VLOOKUP($A329,'01-02.2022'!$A$6:$DA$376,40,FALSE)</f>
        <v>0</v>
      </c>
      <c r="AO329" s="70">
        <f t="shared" si="331"/>
        <v>0</v>
      </c>
      <c r="AP329" s="566">
        <f>VLOOKUP($A329,'01-02.2021'!$A$6:$CZ$403,42,FALSE)+VLOOKUP($A329,'1.3.21-28.2.22'!$A$6:$DA$404,42,FALSE)-VLOOKUP($A329,'01-02.2022'!$A$6:$DA$376,42,FALSE)</f>
        <v>5986.4391376469403</v>
      </c>
      <c r="AQ329" s="566">
        <f>VLOOKUP($A329,'01-02.2021'!$A$6:$CZ$403,43,FALSE)+VLOOKUP($A329,'1.3.21-28.2.22'!$A$6:$DA$404,43,FALSE)-VLOOKUP($A329,'01-02.2022'!$A$6:$DA$376,43,FALSE)</f>
        <v>5229.4753839990371</v>
      </c>
      <c r="AR329" s="70">
        <f t="shared" si="332"/>
        <v>-756.9637536479031</v>
      </c>
      <c r="AS329" s="566">
        <f>VLOOKUP($A329,'01-02.2021'!$A$6:$CZ$403,45,FALSE)+VLOOKUP($A329,'1.3.21-28.2.22'!$A$6:$DA$404,45,FALSE)-VLOOKUP($A329,'01-02.2022'!$A$6:$DA$376,45,FALSE)</f>
        <v>30162.802709795265</v>
      </c>
      <c r="AT329" s="566">
        <f>VLOOKUP($A329,'01-02.2021'!$A$6:$CZ$403,46,FALSE)+VLOOKUP($A329,'1.3.21-28.2.22'!$A$6:$DA$404,46,FALSE)-VLOOKUP($A329,'01-02.2022'!$A$6:$DA$376,46,FALSE)</f>
        <v>21796.18</v>
      </c>
      <c r="AU329" s="78">
        <f t="shared" si="333"/>
        <v>-8366.6227097952651</v>
      </c>
      <c r="AV329" s="566">
        <f>VLOOKUP($A329,'01-02.2021'!$A$6:$CZ$403,48,FALSE)+VLOOKUP($A329,'1.3.21-28.2.22'!$A$6:$DA$404,48,FALSE)-VLOOKUP($A329,'01-02.2022'!$A$6:$DA$376,48,FALSE)</f>
        <v>2200.2388391266572</v>
      </c>
      <c r="AW329" s="566">
        <f>VLOOKUP($A329,'01-02.2021'!$A$6:$CZ$403,49,FALSE)+VLOOKUP($A329,'1.3.21-28.2.22'!$A$6:$DA$404,49,FALSE)-VLOOKUP($A329,'01-02.2022'!$A$6:$DA$376,49,FALSE)</f>
        <v>832</v>
      </c>
      <c r="AX329" s="55">
        <f t="shared" si="334"/>
        <v>-1368.2388391266572</v>
      </c>
      <c r="AY329" s="566">
        <f>VLOOKUP($A329,'01-02.2021'!$A$6:$CZ$403,51,FALSE)+VLOOKUP($A329,'1.3.21-28.2.22'!$A$6:$DA$404,51,FALSE)-VLOOKUP($A329,'01-02.2022'!$A$6:$DA$376,51,FALSE)</f>
        <v>2807.5000843448779</v>
      </c>
      <c r="AZ329" s="566">
        <f>VLOOKUP($A329,'01-02.2021'!$A$6:$CZ$403,52,FALSE)+VLOOKUP($A329,'1.3.21-28.2.22'!$A$6:$DA$404,52,FALSE)-VLOOKUP($A329,'01-02.2022'!$A$6:$DA$376,52,FALSE)</f>
        <v>639</v>
      </c>
      <c r="BA329" s="38">
        <f t="shared" si="335"/>
        <v>-2168.5000843448779</v>
      </c>
      <c r="BB329" s="566">
        <f>VLOOKUP($A329,'01-02.2021'!$A$6:$CZ$403,54,FALSE)+VLOOKUP($A329,'1.3.21-28.2.22'!$A$6:$DA$404,54,FALSE)-VLOOKUP($A329,'01-02.2022'!$A$6:$DA$376,54,FALSE)</f>
        <v>1436.7060796429073</v>
      </c>
      <c r="BC329" s="566">
        <f>VLOOKUP($A329,'01-02.2021'!$A$6:$CZ$403,55,FALSE)+VLOOKUP($A329,'1.3.21-28.2.22'!$A$6:$DA$404,55,FALSE)-VLOOKUP($A329,'01-02.2022'!$A$6:$DA$376,55,FALSE)</f>
        <v>0</v>
      </c>
      <c r="BD329" s="55">
        <f t="shared" si="336"/>
        <v>-1436.7060796429073</v>
      </c>
      <c r="BE329" s="566">
        <f>VLOOKUP($A329,'01-02.2021'!$A$6:$CZ$403,57,FALSE)+VLOOKUP($A329,'1.3.21-28.2.22'!$A$6:$DA$404,57,FALSE)-VLOOKUP($A329,'01-02.2022'!$A$6:$DA$376,57,FALSE)</f>
        <v>0</v>
      </c>
      <c r="BF329" s="566">
        <f>VLOOKUP($A329,'01-02.2021'!$A$6:$CZ$403,58,FALSE)+VLOOKUP($A329,'1.3.21-28.2.22'!$A$6:$DA$404,58,FALSE)-VLOOKUP($A329,'01-02.2022'!$A$6:$DA$376,58,FALSE)</f>
        <v>0</v>
      </c>
      <c r="BG329" s="55">
        <f t="shared" si="337"/>
        <v>0</v>
      </c>
      <c r="BH329" s="566">
        <f>VLOOKUP($A329,'01-02.2021'!$A$6:$CZ$403,60,FALSE)+VLOOKUP($A329,'1.3.21-28.2.22'!$A$6:$DA$404,60,FALSE)-VLOOKUP($A329,'01-02.2022'!$A$6:$DA$376,60,FALSE)</f>
        <v>0</v>
      </c>
      <c r="BI329" s="566">
        <f>VLOOKUP($A329,'01-02.2021'!$A$6:$CZ$403,61,FALSE)+VLOOKUP($A329,'1.3.21-28.2.22'!$A$6:$DA$404,61,FALSE)-VLOOKUP($A329,'01-02.2022'!$A$6:$DA$376,61,FALSE)</f>
        <v>0</v>
      </c>
      <c r="BJ329" s="55">
        <f t="shared" si="338"/>
        <v>0</v>
      </c>
      <c r="BK329" s="566">
        <f>VLOOKUP($A329,'01-02.2021'!$A$6:$CZ$403,63,FALSE)+VLOOKUP($A329,'1.3.21-28.2.22'!$A$6:$DA$404,63,FALSE)-VLOOKUP($A329,'01-02.2022'!$A$6:$DA$376,63,FALSE)</f>
        <v>1177.9589104207669</v>
      </c>
      <c r="BL329" s="566">
        <f>VLOOKUP($A329,'01-02.2021'!$A$6:$CZ$403,64,FALSE)+VLOOKUP($A329,'1.3.21-28.2.22'!$A$6:$DA$404,64,FALSE)-VLOOKUP($A329,'01-02.2022'!$A$6:$DA$376,64,FALSE)</f>
        <v>278</v>
      </c>
      <c r="BM329" s="55">
        <f t="shared" si="339"/>
        <v>-899.95891042076687</v>
      </c>
      <c r="BN329" s="566">
        <f>VLOOKUP($A329,'01-02.2021'!$A$6:$CZ$403,66,FALSE)+VLOOKUP($A329,'1.3.21-28.2.22'!$A$6:$DA$404,66,FALSE)-VLOOKUP($A329,'01-02.2022'!$A$6:$DA$376,66,FALSE)</f>
        <v>127.76</v>
      </c>
      <c r="BO329" s="566">
        <f>VLOOKUP($A329,'01-02.2021'!$A$6:$CZ$403,67,FALSE)+VLOOKUP($A329,'1.3.21-28.2.22'!$A$6:$DA$404,67,FALSE)-VLOOKUP($A329,'01-02.2022'!$A$6:$DA$376,67,FALSE)</f>
        <v>0</v>
      </c>
      <c r="BP329" s="55">
        <f t="shared" si="340"/>
        <v>-127.76</v>
      </c>
      <c r="BQ329" s="77">
        <f t="shared" si="348"/>
        <v>7750.1639135352098</v>
      </c>
      <c r="BR329" s="40">
        <f t="shared" si="375"/>
        <v>1749</v>
      </c>
      <c r="BS329" s="55">
        <f t="shared" si="369"/>
        <v>-6001.1639135352098</v>
      </c>
      <c r="BT329" s="566">
        <f>VLOOKUP($A329,'01-02.2021'!$A$6:$CZ$403,72,FALSE)+VLOOKUP($A329,'1.3.21-28.2.22'!$A$6:$DA$404,72,FALSE)-VLOOKUP($A329,'01-02.2022'!$A$6:$DA$376,72,FALSE)</f>
        <v>18011.731227063949</v>
      </c>
      <c r="BU329" s="566">
        <f>VLOOKUP($A329,'01-02.2021'!$A$6:$CZ$403,73,FALSE)+VLOOKUP($A329,'1.3.21-28.2.22'!$A$6:$DA$404,73,FALSE)-VLOOKUP($A329,'01-02.2022'!$A$6:$DA$376,73,FALSE)</f>
        <v>25576.051940850608</v>
      </c>
      <c r="BV329" s="70">
        <f t="shared" si="341"/>
        <v>7564.3207137866593</v>
      </c>
      <c r="BW329" s="566">
        <f>VLOOKUP($A329,'01-02.2021'!$A$6:$CZ$403,75,FALSE)+VLOOKUP($A329,'1.3.21-28.2.22'!$A$6:$DA$404,75,FALSE)-VLOOKUP($A329,'01-02.2022'!$A$6:$DA$376,75,FALSE)</f>
        <v>8065.5164505108123</v>
      </c>
      <c r="BX329" s="566">
        <f>VLOOKUP($A329,'01-02.2021'!$A$6:$CZ$403,76,FALSE)+VLOOKUP($A329,'1.3.21-28.2.22'!$A$6:$DA$404,76,FALSE)-VLOOKUP($A329,'01-02.2022'!$A$6:$DA$376,76,FALSE)</f>
        <v>9027.8997782580263</v>
      </c>
      <c r="BY329" s="70">
        <f t="shared" si="342"/>
        <v>962.38332774721403</v>
      </c>
      <c r="BZ329" s="566">
        <f>VLOOKUP($A329,'01-02.2021'!$A$6:$CZ$403,78,FALSE)+VLOOKUP($A329,'1.3.21-28.2.22'!$A$6:$DA$404,78,FALSE)-VLOOKUP($A329,'01-02.2022'!$A$6:$DA$376,78,FALSE)</f>
        <v>10237.03812883938</v>
      </c>
      <c r="CA329" s="566">
        <f>VLOOKUP($A329,'01-02.2021'!$A$6:$CZ$403,79,FALSE)+VLOOKUP($A329,'1.3.21-28.2.22'!$A$6:$DA$404,79,FALSE)-VLOOKUP($A329,'01-02.2022'!$A$6:$DA$376,79,FALSE)</f>
        <v>5597.736503113978</v>
      </c>
      <c r="CB329" s="70">
        <f t="shared" si="343"/>
        <v>-4639.3016257254021</v>
      </c>
      <c r="CC329" s="566">
        <f>VLOOKUP($A329,'01-02.2021'!$A$6:$CZ$403,81,FALSE)+VLOOKUP($A329,'1.3.21-28.2.22'!$A$6:$DA$404,81,FALSE)-VLOOKUP($A329,'01-02.2022'!$A$6:$DA$376,81,FALSE)</f>
        <v>0</v>
      </c>
      <c r="CD329" s="566">
        <f>VLOOKUP($A329,'01-02.2021'!$A$6:$CZ$403,82,FALSE)+VLOOKUP($A329,'1.3.21-28.2.22'!$A$6:$DA$404,82,FALSE)-VLOOKUP($A329,'01-02.2022'!$A$6:$DA$376,82,FALSE)</f>
        <v>0</v>
      </c>
      <c r="CE329" s="70">
        <f t="shared" si="344"/>
        <v>0</v>
      </c>
      <c r="CF329" s="566">
        <f>VLOOKUP($A329,'01-02.2021'!$A$6:$CZ$403,84,FALSE)+VLOOKUP($A329,'1.3.21-28.2.22'!$A$6:$DA$404,84,FALSE)-VLOOKUP($A329,'01-02.2022'!$A$6:$DA$376,84,FALSE)</f>
        <v>0</v>
      </c>
      <c r="CG329" s="566">
        <f>VLOOKUP($A329,'01-02.2021'!$A$6:$CZ$403,85,FALSE)+VLOOKUP($A329,'1.3.21-28.2.22'!$A$6:$DA$404,85,FALSE)-VLOOKUP($A329,'01-02.2022'!$A$6:$DA$376,85,FALSE)</f>
        <v>0</v>
      </c>
      <c r="CH329" s="70">
        <f t="shared" si="345"/>
        <v>0</v>
      </c>
      <c r="CI329" s="566">
        <f>VLOOKUP($A329,'01-02.2021'!$A$6:$CZ$403,87,FALSE)+VLOOKUP($A329,'1.3.21-28.2.22'!$A$6:$DA$404,87,FALSE)-VLOOKUP($A329,'01-02.2022'!$A$6:$DA$376,87,FALSE)</f>
        <v>6334.7107093162103</v>
      </c>
      <c r="CJ329" s="566">
        <f>VLOOKUP($A329,'01-02.2021'!$A$6:$CZ$403,88,FALSE)+VLOOKUP($A329,'1.3.21-28.2.22'!$A$6:$DA$404,88,FALSE)-VLOOKUP($A329,'01-02.2022'!$A$6:$DA$376,88,FALSE)</f>
        <v>4933.4772970890153</v>
      </c>
      <c r="CK329" s="70">
        <f t="shared" si="346"/>
        <v>-1401.233412227195</v>
      </c>
      <c r="CL329" s="566">
        <f>VLOOKUP($A329,'01-02.2021'!$A$6:$CZ$403,90,FALSE)+VLOOKUP($A329,'1.3.21-28.2.22'!$A$6:$DA$404,90,FALSE)-VLOOKUP($A329,'01-02.2022'!$A$6:$DA$376,90,FALSE)</f>
        <v>0</v>
      </c>
      <c r="CM329" s="566">
        <f>VLOOKUP($A329,'01-02.2021'!$A$6:$CZ$403,91,FALSE)+VLOOKUP($A329,'1.3.21-28.2.22'!$A$6:$DA$404,91,FALSE)-VLOOKUP($A329,'01-02.2022'!$A$6:$DA$376,91,FALSE)</f>
        <v>0</v>
      </c>
      <c r="CN329" s="52">
        <f t="shared" si="360"/>
        <v>0</v>
      </c>
      <c r="CO329" s="39">
        <f t="shared" si="355"/>
        <v>6334.7107093162103</v>
      </c>
      <c r="CP329" s="40">
        <f t="shared" si="361"/>
        <v>4933.4772970890153</v>
      </c>
      <c r="CQ329" s="52">
        <f t="shared" si="362"/>
        <v>-1401.233412227195</v>
      </c>
      <c r="CR329" s="72">
        <f t="shared" si="356"/>
        <v>114658.46289501889</v>
      </c>
      <c r="CS329" s="5">
        <f t="shared" si="356"/>
        <v>102813.36413553607</v>
      </c>
      <c r="CT329" s="52">
        <f t="shared" si="363"/>
        <v>-11845.098759482818</v>
      </c>
      <c r="CU329" s="77">
        <f t="shared" si="364"/>
        <v>137590.15547402267</v>
      </c>
      <c r="CV329" s="65">
        <f t="shared" si="365"/>
        <v>123376.03696264328</v>
      </c>
      <c r="CW329" s="35">
        <f t="shared" si="366"/>
        <v>-14214.118511379391</v>
      </c>
      <c r="CX329" s="566">
        <f>VLOOKUP($A329,'01-02.2021'!$A$6:$CZ$403,102,FALSE)+VLOOKUP($A329,'1.3.21-28.2.22'!$A$6:$DA$404,102,FALSE)-VLOOKUP($A329,'01-02.2022'!$A$6:$DA$376,102,FALSE)</f>
        <v>5446.7313881208847</v>
      </c>
      <c r="CY329" s="566">
        <f>VLOOKUP($A329,'01-02.2021'!$A$6:$CZ$403,103,FALSE)+VLOOKUP($A329,'1.3.21-28.2.22'!$A$6:$DA$404,103,FALSE)-VLOOKUP($A329,'01-02.2022'!$A$6:$DA$376,103,FALSE)</f>
        <v>19660.849899500226</v>
      </c>
      <c r="CZ329" s="52">
        <f t="shared" si="367"/>
        <v>14214.118511379342</v>
      </c>
      <c r="DA329" s="150">
        <f>'[2]побудинковий звіт'!DA329</f>
        <v>15908.832238422656</v>
      </c>
      <c r="DB329" s="2">
        <v>2</v>
      </c>
      <c r="DC329" s="414">
        <f>'[4]побудинковий звіт'!DC329</f>
        <v>25973.22</v>
      </c>
      <c r="DD329" s="414">
        <f>'[4]побудинковий звіт'!DD329</f>
        <v>642.7299999999999</v>
      </c>
      <c r="DE329" s="557">
        <f>'[4]побудинковий звіт'!DE329</f>
        <v>15203.373486370539</v>
      </c>
      <c r="DF329" s="557">
        <f>'[4]побудинковий звіт'!DF329</f>
        <v>-1394.8972939858636</v>
      </c>
      <c r="DG329" s="321">
        <f>VLOOKUP(A329,'кошти 01.03.2021'!$A$6:$D$401,4,)</f>
        <v>31149.143245342166</v>
      </c>
      <c r="DH329" s="40">
        <f>'[3]побудинковий звіт'!DJ329</f>
        <v>147220.56613812721</v>
      </c>
      <c r="DI329" s="422">
        <f>'[3]побудинковий звіт'!CU329+'[3]побудинковий звіт'!CX329</f>
        <v>12807.473807615323</v>
      </c>
      <c r="DJ329" s="306">
        <f>'[3]побудинковий звіт'!DM329</f>
        <v>5.1171917827416857</v>
      </c>
      <c r="DK329" s="306">
        <f t="shared" si="377"/>
        <v>5.1171917827416857</v>
      </c>
      <c r="DL329" s="306">
        <f>'[3]побудинковий звіт'!DO329</f>
        <v>4.6468125290441584</v>
      </c>
      <c r="DM329" s="28">
        <f t="shared" si="379"/>
        <v>10769.846513629462</v>
      </c>
      <c r="DN329" s="28">
        <f t="shared" si="380"/>
        <v>2037.6272939858634</v>
      </c>
      <c r="DO329" s="423">
        <f t="shared" si="381"/>
        <v>12807.473807615324</v>
      </c>
      <c r="DP329" s="94">
        <f t="shared" si="382"/>
        <v>0</v>
      </c>
      <c r="DQ329" s="28">
        <f t="shared" si="383"/>
        <v>12807.473807615324</v>
      </c>
      <c r="DR329" s="318"/>
      <c r="DT329" s="8"/>
      <c r="DU329" s="5"/>
      <c r="DX329" s="5">
        <f t="shared" si="384"/>
        <v>45495.559947996568</v>
      </c>
      <c r="DY329" s="5">
        <f t="shared" si="385"/>
        <v>28254.216</v>
      </c>
      <c r="DZ329" s="159">
        <f>'[3]побудинковий звіт'!EA329</f>
        <v>4269.5822424234848</v>
      </c>
    </row>
    <row r="330" spans="1:130" x14ac:dyDescent="0.3">
      <c r="A330" s="325">
        <v>150000810</v>
      </c>
      <c r="B330" s="41" t="s">
        <v>776</v>
      </c>
      <c r="C330" s="42" t="s">
        <v>301</v>
      </c>
      <c r="D330" s="42"/>
      <c r="E330" s="293">
        <f t="shared" si="353"/>
        <v>2998.76</v>
      </c>
      <c r="F330" s="305">
        <f>'[3]побудинковий звіт'!F330</f>
        <v>2552.36</v>
      </c>
      <c r="G330" s="508">
        <f>'[3]побудинковий звіт'!G330</f>
        <v>0</v>
      </c>
      <c r="H330" s="560">
        <f>'[3]побудинковий звіт'!H330</f>
        <v>446.4</v>
      </c>
      <c r="I330" s="566">
        <f>VLOOKUP($A330,'01-02.2021'!$A$6:$CZ$403,9,FALSE)+VLOOKUP($A330,'1.3.21-28.2.22'!$A$6:$DA$404,9,FALSE)-VLOOKUP($A330,'01-02.2022'!$A$6:$DA$376,9,FALSE)</f>
        <v>9518.2472959409424</v>
      </c>
      <c r="J330" s="566">
        <f>VLOOKUP($A330,'01-02.2021'!$A$6:$CZ$403,10,FALSE)+VLOOKUP($A330,'1.3.21-28.2.22'!$A$6:$DA$404,10,FALSE)-VLOOKUP($A330,'01-02.2022'!$A$6:$DA$376,10,FALSE)</f>
        <v>10510.612872505251</v>
      </c>
      <c r="K330" s="52">
        <f t="shared" si="357"/>
        <v>992.36557656430887</v>
      </c>
      <c r="L330" s="566">
        <f>VLOOKUP($A330,'01-02.2021'!$A$6:$CZ$403,12,FALSE)+VLOOKUP($A330,'1.3.21-28.2.22'!$A$6:$DA$404,12,FALSE)-VLOOKUP($A330,'01-02.2022'!$A$6:$DA$376,12,FALSE)</f>
        <v>1920.0304933666889</v>
      </c>
      <c r="M330" s="566">
        <f>VLOOKUP($A330,'01-02.2021'!$A$6:$CZ$403,13,FALSE)+VLOOKUP($A330,'1.3.21-28.2.22'!$A$6:$DA$404,13,FALSE)-VLOOKUP($A330,'01-02.2022'!$A$6:$DA$376,13,FALSE)</f>
        <v>2145.4446081779147</v>
      </c>
      <c r="N330" s="52">
        <f t="shared" si="358"/>
        <v>225.41411481122577</v>
      </c>
      <c r="O330" s="566">
        <f>VLOOKUP($A330,'01-02.2021'!$A$6:$CZ$403,15,FALSE)+VLOOKUP($A330,'1.3.21-28.2.22'!$A$6:$DA$404,15,FALSE)-VLOOKUP($A330,'01-02.2022'!$A$6:$DA$376,15,FALSE)</f>
        <v>3346.7468258846498</v>
      </c>
      <c r="P330" s="566">
        <f>VLOOKUP($A330,'01-02.2021'!$A$6:$CZ$403,16,FALSE)+VLOOKUP($A330,'1.3.21-28.2.22'!$A$6:$DA$404,16,FALSE)-VLOOKUP($A330,'01-02.2022'!$A$6:$DA$376,16,FALSE)</f>
        <v>3346.2866666666664</v>
      </c>
      <c r="Q330" s="70">
        <f t="shared" ref="Q330:Q393" si="386">P330-O330</f>
        <v>-0.46015921798334602</v>
      </c>
      <c r="R330" s="566">
        <f>VLOOKUP($A330,'01-02.2021'!$A$6:$CZ$403,18,FALSE)+VLOOKUP($A330,'1.3.21-28.2.22'!$A$6:$DA$404,18,FALSE)-VLOOKUP($A330,'01-02.2022'!$A$6:$DA$376,18,FALSE)</f>
        <v>0</v>
      </c>
      <c r="S330" s="566">
        <f>VLOOKUP($A330,'01-02.2021'!$A$6:$CZ$403,19,FALSE)+VLOOKUP($A330,'1.3.21-28.2.22'!$A$6:$DA$404,19,FALSE)-VLOOKUP($A330,'01-02.2022'!$A$6:$DA$376,19,FALSE)</f>
        <v>0</v>
      </c>
      <c r="T330" s="70">
        <f t="shared" ref="T330:T393" si="387">S330-R330</f>
        <v>0</v>
      </c>
      <c r="U330" s="566">
        <f>VLOOKUP($A330,'01-02.2021'!$A$6:$CZ$403,21,FALSE)+VLOOKUP($A330,'1.3.21-28.2.22'!$A$6:$DA$404,21,FALSE)-VLOOKUP($A330,'01-02.2022'!$A$6:$DA$376,21,FALSE)</f>
        <v>0</v>
      </c>
      <c r="V330" s="566">
        <f>VLOOKUP($A330,'01-02.2021'!$A$6:$CZ$403,22,FALSE)+VLOOKUP($A330,'1.3.21-28.2.22'!$A$6:$DA$404,22,FALSE)-VLOOKUP($A330,'01-02.2022'!$A$6:$DA$376,22,FALSE)</f>
        <v>0</v>
      </c>
      <c r="W330" s="70">
        <f t="shared" ref="W330:W393" si="388">V330-U330</f>
        <v>0</v>
      </c>
      <c r="X330" s="566">
        <f>VLOOKUP($A330,'01-02.2021'!$A$6:$CZ$403,24,FALSE)+VLOOKUP($A330,'1.3.21-28.2.22'!$A$6:$DA$404,24,FALSE)-VLOOKUP($A330,'01-02.2022'!$A$6:$DA$376,24,FALSE)</f>
        <v>5579.6320261560941</v>
      </c>
      <c r="Y330" s="566">
        <f>VLOOKUP($A330,'01-02.2021'!$A$6:$CZ$403,25,FALSE)+VLOOKUP($A330,'1.3.21-28.2.22'!$A$6:$DA$404,25,FALSE)-VLOOKUP($A330,'01-02.2022'!$A$6:$DA$376,25,FALSE)</f>
        <v>5127.9197752411328</v>
      </c>
      <c r="Z330" s="70">
        <f t="shared" ref="Z330:Z393" si="389">Y330-X330</f>
        <v>-451.71225091496126</v>
      </c>
      <c r="AA330" s="566">
        <f>VLOOKUP($A330,'01-02.2021'!$A$6:$CZ$403,27,FALSE)+VLOOKUP($A330,'1.3.21-28.2.22'!$A$6:$DA$404,27,FALSE)-VLOOKUP($A330,'01-02.2022'!$A$6:$DA$376,27,FALSE)</f>
        <v>599.83000000000004</v>
      </c>
      <c r="AB330" s="566">
        <f>VLOOKUP($A330,'01-02.2021'!$A$6:$CZ$403,28,FALSE)+VLOOKUP($A330,'1.3.21-28.2.22'!$A$6:$DA$404,28,FALSE)-VLOOKUP($A330,'01-02.2022'!$A$6:$DA$376,28,FALSE)</f>
        <v>0</v>
      </c>
      <c r="AC330" s="70">
        <f t="shared" ref="AC330:AC393" si="390">AB330-AA330</f>
        <v>-599.83000000000004</v>
      </c>
      <c r="AD330" s="566">
        <f>VLOOKUP($A330,'01-02.2021'!$A$6:$CZ$403,30,FALSE)+VLOOKUP($A330,'1.3.21-28.2.22'!$A$6:$DA$404,30,FALSE)-VLOOKUP($A330,'01-02.2022'!$A$6:$DA$376,30,FALSE)</f>
        <v>12836.992400263487</v>
      </c>
      <c r="AE330" s="566">
        <f>VLOOKUP($A330,'01-02.2021'!$A$6:$CZ$403,31,FALSE)+VLOOKUP($A330,'1.3.21-28.2.22'!$A$6:$DA$404,31,FALSE)-VLOOKUP($A330,'01-02.2022'!$A$6:$DA$376,31,FALSE)</f>
        <v>13650.476346788681</v>
      </c>
      <c r="AF330" s="68">
        <f t="shared" ref="AF330:AF393" si="391">AE330-AD330</f>
        <v>813.48394652519346</v>
      </c>
      <c r="AG330" s="77">
        <f t="shared" si="354"/>
        <v>33801.479041611863</v>
      </c>
      <c r="AH330" s="53">
        <f t="shared" si="354"/>
        <v>34780.740269379647</v>
      </c>
      <c r="AI330" s="52">
        <f t="shared" si="359"/>
        <v>979.26122776778357</v>
      </c>
      <c r="AJ330" s="566">
        <f>VLOOKUP($A330,'01-02.2021'!$A$6:$CZ$403,36,FALSE)+VLOOKUP($A330,'1.3.21-28.2.22'!$A$6:$DA$404,36,FALSE)-VLOOKUP($A330,'01-02.2022'!$A$6:$DA$376,36,FALSE)</f>
        <v>0</v>
      </c>
      <c r="AK330" s="566">
        <f>VLOOKUP($A330,'01-02.2021'!$A$6:$CZ$403,37,FALSE)+VLOOKUP($A330,'1.3.21-28.2.22'!$A$6:$DA$404,37,FALSE)-VLOOKUP($A330,'01-02.2022'!$A$6:$DA$376,37,FALSE)</f>
        <v>0</v>
      </c>
      <c r="AL330" s="70">
        <f t="shared" ref="AL330:AL393" si="392">AK330-AJ330</f>
        <v>0</v>
      </c>
      <c r="AM330" s="566">
        <f>VLOOKUP($A330,'01-02.2021'!$A$6:$CZ$403,39,FALSE)+VLOOKUP($A330,'1.3.21-28.2.22'!$A$6:$DA$404,39,FALSE)-VLOOKUP($A330,'01-02.2022'!$A$6:$DA$376,39,FALSE)</f>
        <v>0</v>
      </c>
      <c r="AN330" s="566">
        <f>VLOOKUP($A330,'01-02.2021'!$A$6:$CZ$403,40,FALSE)+VLOOKUP($A330,'1.3.21-28.2.22'!$A$6:$DA$404,40,FALSE)-VLOOKUP($A330,'01-02.2022'!$A$6:$DA$376,40,FALSE)</f>
        <v>0</v>
      </c>
      <c r="AO330" s="70">
        <f t="shared" ref="AO330:AO393" si="393">AN330-AM330</f>
        <v>0</v>
      </c>
      <c r="AP330" s="566">
        <f>VLOOKUP($A330,'01-02.2021'!$A$6:$CZ$403,42,FALSE)+VLOOKUP($A330,'1.3.21-28.2.22'!$A$6:$DA$404,42,FALSE)-VLOOKUP($A330,'01-02.2022'!$A$6:$DA$376,42,FALSE)</f>
        <v>8328.9588002044366</v>
      </c>
      <c r="AQ330" s="566">
        <f>VLOOKUP($A330,'01-02.2021'!$A$6:$CZ$403,43,FALSE)+VLOOKUP($A330,'1.3.21-28.2.22'!$A$6:$DA$404,43,FALSE)-VLOOKUP($A330,'01-02.2022'!$A$6:$DA$376,43,FALSE)</f>
        <v>6907.3385392603923</v>
      </c>
      <c r="AR330" s="70">
        <f t="shared" ref="AR330:AR393" si="394">AQ330-AP330</f>
        <v>-1421.6202609440443</v>
      </c>
      <c r="AS330" s="566">
        <f>VLOOKUP($A330,'01-02.2021'!$A$6:$CZ$403,45,FALSE)+VLOOKUP($A330,'1.3.21-28.2.22'!$A$6:$DA$404,45,FALSE)-VLOOKUP($A330,'01-02.2022'!$A$6:$DA$376,45,FALSE)</f>
        <v>26752.127773534281</v>
      </c>
      <c r="AT330" s="566">
        <f>VLOOKUP($A330,'01-02.2021'!$A$6:$CZ$403,46,FALSE)+VLOOKUP($A330,'1.3.21-28.2.22'!$A$6:$DA$404,46,FALSE)-VLOOKUP($A330,'01-02.2022'!$A$6:$DA$376,46,FALSE)</f>
        <v>46097.369729445963</v>
      </c>
      <c r="AU330" s="78">
        <f t="shared" ref="AU330:AU393" si="395">AT330-AS330</f>
        <v>19345.241955911682</v>
      </c>
      <c r="AV330" s="566">
        <f>VLOOKUP($A330,'01-02.2021'!$A$6:$CZ$403,48,FALSE)+VLOOKUP($A330,'1.3.21-28.2.22'!$A$6:$DA$404,48,FALSE)-VLOOKUP($A330,'01-02.2022'!$A$6:$DA$376,48,FALSE)</f>
        <v>2520.0422278734272</v>
      </c>
      <c r="AW330" s="566">
        <f>VLOOKUP($A330,'01-02.2021'!$A$6:$CZ$403,49,FALSE)+VLOOKUP($A330,'1.3.21-28.2.22'!$A$6:$DA$404,49,FALSE)-VLOOKUP($A330,'01-02.2022'!$A$6:$DA$376,49,FALSE)</f>
        <v>8874.42</v>
      </c>
      <c r="AX330" s="55">
        <f t="shared" ref="AX330:AX393" si="396">AW330-AV330</f>
        <v>6354.3777721265724</v>
      </c>
      <c r="AY330" s="566">
        <f>VLOOKUP($A330,'01-02.2021'!$A$6:$CZ$403,51,FALSE)+VLOOKUP($A330,'1.3.21-28.2.22'!$A$6:$DA$404,51,FALSE)-VLOOKUP($A330,'01-02.2022'!$A$6:$DA$376,51,FALSE)</f>
        <v>3609.1155266462838</v>
      </c>
      <c r="AZ330" s="566">
        <f>VLOOKUP($A330,'01-02.2021'!$A$6:$CZ$403,52,FALSE)+VLOOKUP($A330,'1.3.21-28.2.22'!$A$6:$DA$404,52,FALSE)-VLOOKUP($A330,'01-02.2022'!$A$6:$DA$376,52,FALSE)</f>
        <v>0</v>
      </c>
      <c r="BA330" s="38">
        <f t="shared" ref="BA330:BA393" si="397">AZ330-AY330</f>
        <v>-3609.1155266462838</v>
      </c>
      <c r="BB330" s="566">
        <f>VLOOKUP($A330,'01-02.2021'!$A$6:$CZ$403,54,FALSE)+VLOOKUP($A330,'1.3.21-28.2.22'!$A$6:$DA$404,54,FALSE)-VLOOKUP($A330,'01-02.2022'!$A$6:$DA$376,54,FALSE)</f>
        <v>1384.9955110947824</v>
      </c>
      <c r="BC330" s="566">
        <f>VLOOKUP($A330,'01-02.2021'!$A$6:$CZ$403,55,FALSE)+VLOOKUP($A330,'1.3.21-28.2.22'!$A$6:$DA$404,55,FALSE)-VLOOKUP($A330,'01-02.2022'!$A$6:$DA$376,55,FALSE)</f>
        <v>583</v>
      </c>
      <c r="BD330" s="55">
        <f t="shared" ref="BD330:BD393" si="398">BC330-BB330</f>
        <v>-801.99551109478239</v>
      </c>
      <c r="BE330" s="566">
        <f>VLOOKUP($A330,'01-02.2021'!$A$6:$CZ$403,57,FALSE)+VLOOKUP($A330,'1.3.21-28.2.22'!$A$6:$DA$404,57,FALSE)-VLOOKUP($A330,'01-02.2022'!$A$6:$DA$376,57,FALSE)</f>
        <v>0</v>
      </c>
      <c r="BF330" s="566">
        <f>VLOOKUP($A330,'01-02.2021'!$A$6:$CZ$403,58,FALSE)+VLOOKUP($A330,'1.3.21-28.2.22'!$A$6:$DA$404,58,FALSE)-VLOOKUP($A330,'01-02.2022'!$A$6:$DA$376,58,FALSE)</f>
        <v>0</v>
      </c>
      <c r="BG330" s="55">
        <f t="shared" ref="BG330:BG393" si="399">BF330-BE330</f>
        <v>0</v>
      </c>
      <c r="BH330" s="566">
        <f>VLOOKUP($A330,'01-02.2021'!$A$6:$CZ$403,60,FALSE)+VLOOKUP($A330,'1.3.21-28.2.22'!$A$6:$DA$404,60,FALSE)-VLOOKUP($A330,'01-02.2022'!$A$6:$DA$376,60,FALSE)</f>
        <v>0</v>
      </c>
      <c r="BI330" s="566">
        <f>VLOOKUP($A330,'01-02.2021'!$A$6:$CZ$403,61,FALSE)+VLOOKUP($A330,'1.3.21-28.2.22'!$A$6:$DA$404,61,FALSE)-VLOOKUP($A330,'01-02.2022'!$A$6:$DA$376,61,FALSE)</f>
        <v>0</v>
      </c>
      <c r="BJ330" s="55">
        <f t="shared" ref="BJ330:BJ393" si="400">BI330-BH330</f>
        <v>0</v>
      </c>
      <c r="BK330" s="566">
        <f>VLOOKUP($A330,'01-02.2021'!$A$6:$CZ$403,63,FALSE)+VLOOKUP($A330,'1.3.21-28.2.22'!$A$6:$DA$404,63,FALSE)-VLOOKUP($A330,'01-02.2022'!$A$6:$DA$376,63,FALSE)</f>
        <v>1657.9996589027887</v>
      </c>
      <c r="BL330" s="566">
        <f>VLOOKUP($A330,'01-02.2021'!$A$6:$CZ$403,64,FALSE)+VLOOKUP($A330,'1.3.21-28.2.22'!$A$6:$DA$404,64,FALSE)-VLOOKUP($A330,'01-02.2022'!$A$6:$DA$376,64,FALSE)</f>
        <v>0</v>
      </c>
      <c r="BM330" s="55">
        <f t="shared" ref="BM330:BM393" si="401">BL330-BK330</f>
        <v>-1657.9996589027887</v>
      </c>
      <c r="BN330" s="566">
        <f>VLOOKUP($A330,'01-02.2021'!$A$6:$CZ$403,66,FALSE)+VLOOKUP($A330,'1.3.21-28.2.22'!$A$6:$DA$404,66,FALSE)-VLOOKUP($A330,'01-02.2022'!$A$6:$DA$376,66,FALSE)</f>
        <v>149.95750000000001</v>
      </c>
      <c r="BO330" s="566">
        <f>VLOOKUP($A330,'01-02.2021'!$A$6:$CZ$403,67,FALSE)+VLOOKUP($A330,'1.3.21-28.2.22'!$A$6:$DA$404,67,FALSE)-VLOOKUP($A330,'01-02.2022'!$A$6:$DA$376,67,FALSE)</f>
        <v>0</v>
      </c>
      <c r="BP330" s="55">
        <f t="shared" ref="BP330:BP393" si="402">BO330-BN330</f>
        <v>-149.95750000000001</v>
      </c>
      <c r="BQ330" s="77">
        <f t="shared" si="348"/>
        <v>9322.1104245172828</v>
      </c>
      <c r="BR330" s="40">
        <f t="shared" si="375"/>
        <v>9457.42</v>
      </c>
      <c r="BS330" s="55">
        <f t="shared" si="369"/>
        <v>135.30957548271726</v>
      </c>
      <c r="BT330" s="566">
        <f>VLOOKUP($A330,'01-02.2021'!$A$6:$CZ$403,72,FALSE)+VLOOKUP($A330,'1.3.21-28.2.22'!$A$6:$DA$404,72,FALSE)-VLOOKUP($A330,'01-02.2022'!$A$6:$DA$376,72,FALSE)</f>
        <v>20055.735195653193</v>
      </c>
      <c r="BU330" s="566">
        <f>VLOOKUP($A330,'01-02.2021'!$A$6:$CZ$403,73,FALSE)+VLOOKUP($A330,'1.3.21-28.2.22'!$A$6:$DA$404,73,FALSE)-VLOOKUP($A330,'01-02.2022'!$A$6:$DA$376,73,FALSE)</f>
        <v>29465.650539053611</v>
      </c>
      <c r="BV330" s="70">
        <f t="shared" ref="BV330:BV393" si="403">BU330-BT330</f>
        <v>9409.9153434004184</v>
      </c>
      <c r="BW330" s="566">
        <f>VLOOKUP($A330,'01-02.2021'!$A$6:$CZ$403,75,FALSE)+VLOOKUP($A330,'1.3.21-28.2.22'!$A$6:$DA$404,75,FALSE)-VLOOKUP($A330,'01-02.2022'!$A$6:$DA$376,75,FALSE)</f>
        <v>10607.176721261894</v>
      </c>
      <c r="BX330" s="566">
        <f>VLOOKUP($A330,'01-02.2021'!$A$6:$CZ$403,76,FALSE)+VLOOKUP($A330,'1.3.21-28.2.22'!$A$6:$DA$404,76,FALSE)-VLOOKUP($A330,'01-02.2022'!$A$6:$DA$376,76,FALSE)</f>
        <v>11174.398145427425</v>
      </c>
      <c r="BY330" s="70">
        <f t="shared" ref="BY330:BY393" si="404">BX330-BW330</f>
        <v>567.22142416553106</v>
      </c>
      <c r="BZ330" s="566">
        <f>VLOOKUP($A330,'01-02.2021'!$A$6:$CZ$403,78,FALSE)+VLOOKUP($A330,'1.3.21-28.2.22'!$A$6:$DA$404,78,FALSE)-VLOOKUP($A330,'01-02.2022'!$A$6:$DA$376,78,FALSE)</f>
        <v>10905.556098242319</v>
      </c>
      <c r="CA330" s="566">
        <f>VLOOKUP($A330,'01-02.2021'!$A$6:$CZ$403,79,FALSE)+VLOOKUP($A330,'1.3.21-28.2.22'!$A$6:$DA$404,79,FALSE)-VLOOKUP($A330,'01-02.2022'!$A$6:$DA$376,79,FALSE)</f>
        <v>7305.606641514737</v>
      </c>
      <c r="CB330" s="70">
        <f t="shared" ref="CB330:CB393" si="405">CA330-BZ330</f>
        <v>-3599.9494567275824</v>
      </c>
      <c r="CC330" s="566">
        <f>VLOOKUP($A330,'01-02.2021'!$A$6:$CZ$403,81,FALSE)+VLOOKUP($A330,'1.3.21-28.2.22'!$A$6:$DA$404,81,FALSE)-VLOOKUP($A330,'01-02.2022'!$A$6:$DA$376,81,FALSE)</f>
        <v>0</v>
      </c>
      <c r="CD330" s="566">
        <f>VLOOKUP($A330,'01-02.2021'!$A$6:$CZ$403,82,FALSE)+VLOOKUP($A330,'1.3.21-28.2.22'!$A$6:$DA$404,82,FALSE)-VLOOKUP($A330,'01-02.2022'!$A$6:$DA$376,82,FALSE)</f>
        <v>0</v>
      </c>
      <c r="CE330" s="70">
        <f t="shared" ref="CE330:CE393" si="406">CD330-CC330</f>
        <v>0</v>
      </c>
      <c r="CF330" s="566">
        <f>VLOOKUP($A330,'01-02.2021'!$A$6:$CZ$403,84,FALSE)+VLOOKUP($A330,'1.3.21-28.2.22'!$A$6:$DA$404,84,FALSE)-VLOOKUP($A330,'01-02.2022'!$A$6:$DA$376,84,FALSE)</f>
        <v>0</v>
      </c>
      <c r="CG330" s="566">
        <f>VLOOKUP($A330,'01-02.2021'!$A$6:$CZ$403,85,FALSE)+VLOOKUP($A330,'1.3.21-28.2.22'!$A$6:$DA$404,85,FALSE)-VLOOKUP($A330,'01-02.2022'!$A$6:$DA$376,85,FALSE)</f>
        <v>0</v>
      </c>
      <c r="CH330" s="70">
        <f t="shared" ref="CH330:CH393" si="407">CG330-CF330</f>
        <v>0</v>
      </c>
      <c r="CI330" s="566">
        <f>VLOOKUP($A330,'01-02.2021'!$A$6:$CZ$403,87,FALSE)+VLOOKUP($A330,'1.3.21-28.2.22'!$A$6:$DA$404,87,FALSE)-VLOOKUP($A330,'01-02.2022'!$A$6:$DA$376,87,FALSE)</f>
        <v>4127.428277852674</v>
      </c>
      <c r="CJ330" s="566">
        <f>VLOOKUP($A330,'01-02.2021'!$A$6:$CZ$403,88,FALSE)+VLOOKUP($A330,'1.3.21-28.2.22'!$A$6:$DA$404,88,FALSE)-VLOOKUP($A330,'01-02.2022'!$A$6:$DA$376,88,FALSE)</f>
        <v>2869.4723749192426</v>
      </c>
      <c r="CK330" s="70">
        <f t="shared" ref="CK330:CK393" si="408">CJ330-CI330</f>
        <v>-1257.9559029334314</v>
      </c>
      <c r="CL330" s="566">
        <f>VLOOKUP($A330,'01-02.2021'!$A$6:$CZ$403,90,FALSE)+VLOOKUP($A330,'1.3.21-28.2.22'!$A$6:$DA$404,90,FALSE)-VLOOKUP($A330,'01-02.2022'!$A$6:$DA$376,90,FALSE)</f>
        <v>0</v>
      </c>
      <c r="CM330" s="566">
        <f>VLOOKUP($A330,'01-02.2021'!$A$6:$CZ$403,91,FALSE)+VLOOKUP($A330,'1.3.21-28.2.22'!$A$6:$DA$404,91,FALSE)-VLOOKUP($A330,'01-02.2022'!$A$6:$DA$376,91,FALSE)</f>
        <v>0</v>
      </c>
      <c r="CN330" s="52">
        <f t="shared" si="360"/>
        <v>0</v>
      </c>
      <c r="CO330" s="39">
        <f t="shared" si="355"/>
        <v>4127.428277852674</v>
      </c>
      <c r="CP330" s="40">
        <f t="shared" si="361"/>
        <v>2869.4723749192426</v>
      </c>
      <c r="CQ330" s="52">
        <f t="shared" si="362"/>
        <v>-1257.9559029334314</v>
      </c>
      <c r="CR330" s="72">
        <f t="shared" si="356"/>
        <v>123900.57233287794</v>
      </c>
      <c r="CS330" s="5">
        <f t="shared" si="356"/>
        <v>148057.99623900105</v>
      </c>
      <c r="CT330" s="52">
        <f t="shared" si="363"/>
        <v>24157.423906123106</v>
      </c>
      <c r="CU330" s="77">
        <f t="shared" si="364"/>
        <v>148680.68679945351</v>
      </c>
      <c r="CV330" s="65">
        <f t="shared" si="365"/>
        <v>177669.59548680126</v>
      </c>
      <c r="CW330" s="35">
        <f t="shared" si="366"/>
        <v>28988.90868734775</v>
      </c>
      <c r="CX330" s="566">
        <f>VLOOKUP($A330,'01-02.2021'!$A$6:$CZ$403,102,FALSE)+VLOOKUP($A330,'1.3.21-28.2.22'!$A$6:$DA$404,102,FALSE)-VLOOKUP($A330,'01-02.2022'!$A$6:$DA$376,102,FALSE)</f>
        <v>7111.9296251135966</v>
      </c>
      <c r="CY330" s="566">
        <f>VLOOKUP($A330,'01-02.2021'!$A$6:$CZ$403,103,FALSE)+VLOOKUP($A330,'1.3.21-28.2.22'!$A$6:$DA$404,103,FALSE)-VLOOKUP($A330,'01-02.2022'!$A$6:$DA$376,103,FALSE)</f>
        <v>-21876.979062234062</v>
      </c>
      <c r="CZ330" s="52">
        <f t="shared" si="367"/>
        <v>-28988.908687347659</v>
      </c>
      <c r="DA330" s="150">
        <f>'[2]побудинковий звіт'!DA330</f>
        <v>36067.962297287406</v>
      </c>
      <c r="DB330" s="2">
        <v>2</v>
      </c>
      <c r="DC330" s="414">
        <f>'[4]побудинковий звіт'!DC330</f>
        <v>45672.82</v>
      </c>
      <c r="DD330" s="414">
        <f>'[4]побудинковий звіт'!DD330</f>
        <v>1881.29</v>
      </c>
      <c r="DE330" s="557">
        <f>'[4]побудинковий звіт'!DE330</f>
        <v>33645.979403502788</v>
      </c>
      <c r="DF330" s="557">
        <f>'[4]побудинковий звіт'!DF330</f>
        <v>7.9552883469409608</v>
      </c>
      <c r="DG330" s="321">
        <f>VLOOKUP(A330,'кошти 01.03.2021'!$A$6:$D$401,4,)</f>
        <v>3329.8891254563732</v>
      </c>
      <c r="DH330" s="40">
        <f>'[3]побудинковий звіт'!DJ330</f>
        <v>160111.56306920131</v>
      </c>
      <c r="DI330" s="422">
        <f>'[3]побудинковий звіт'!CU330+'[3]побудинковий звіт'!CX330</f>
        <v>13900.175308150268</v>
      </c>
      <c r="DJ330" s="306">
        <f>'[3]побудинковий звіт'!DM330</f>
        <v>4.712047123641339</v>
      </c>
      <c r="DK330" s="306">
        <f t="shared" si="377"/>
        <v>4.712047123641339</v>
      </c>
      <c r="DL330" s="306">
        <f>'[3]побудинковий звіт'!DO330</f>
        <v>4.1965383325561358</v>
      </c>
      <c r="DM330" s="28">
        <f t="shared" si="379"/>
        <v>12026.840596497208</v>
      </c>
      <c r="DN330" s="28">
        <f t="shared" si="380"/>
        <v>1873.334711653059</v>
      </c>
      <c r="DO330" s="423">
        <f t="shared" si="381"/>
        <v>13900.175308150267</v>
      </c>
      <c r="DP330" s="94">
        <f t="shared" si="382"/>
        <v>0</v>
      </c>
      <c r="DQ330" s="28">
        <f t="shared" si="383"/>
        <v>13900.175308150267</v>
      </c>
      <c r="DR330" s="318"/>
      <c r="DT330" s="8"/>
      <c r="DU330" s="5"/>
      <c r="DX330" s="5">
        <f t="shared" si="384"/>
        <v>43289.085837661878</v>
      </c>
      <c r="DY330" s="5">
        <f t="shared" si="385"/>
        <v>66665.747675335151</v>
      </c>
      <c r="DZ330" s="159">
        <f>'[3]побудинковий звіт'!EA330</f>
        <v>4061.6590294047523</v>
      </c>
    </row>
    <row r="331" spans="1:130" x14ac:dyDescent="0.3">
      <c r="A331" s="325">
        <v>150000811</v>
      </c>
      <c r="B331" s="41" t="s">
        <v>777</v>
      </c>
      <c r="C331" s="42" t="s">
        <v>302</v>
      </c>
      <c r="D331" s="42"/>
      <c r="E331" s="293">
        <f t="shared" si="353"/>
        <v>2604</v>
      </c>
      <c r="F331" s="305">
        <f>'[3]побудинковий звіт'!F331</f>
        <v>2562</v>
      </c>
      <c r="G331" s="508">
        <f>'[3]побудинковий звіт'!G331</f>
        <v>0</v>
      </c>
      <c r="H331" s="560">
        <f>'[3]побудинковий звіт'!H331</f>
        <v>42</v>
      </c>
      <c r="I331" s="566">
        <f>VLOOKUP($A331,'01-02.2021'!$A$6:$CZ$403,9,FALSE)+VLOOKUP($A331,'1.3.21-28.2.22'!$A$6:$DA$404,9,FALSE)-VLOOKUP($A331,'01-02.2022'!$A$6:$DA$376,9,FALSE)</f>
        <v>8675.1560706182499</v>
      </c>
      <c r="J331" s="566">
        <f>VLOOKUP($A331,'01-02.2021'!$A$6:$CZ$403,10,FALSE)+VLOOKUP($A331,'1.3.21-28.2.22'!$A$6:$DA$404,10,FALSE)-VLOOKUP($A331,'01-02.2022'!$A$6:$DA$376,10,FALSE)</f>
        <v>9543.3327086339305</v>
      </c>
      <c r="K331" s="52">
        <f t="shared" si="357"/>
        <v>868.17663801568051</v>
      </c>
      <c r="L331" s="566">
        <f>VLOOKUP($A331,'01-02.2021'!$A$6:$CZ$403,12,FALSE)+VLOOKUP($A331,'1.3.21-28.2.22'!$A$6:$DA$404,12,FALSE)-VLOOKUP($A331,'01-02.2022'!$A$6:$DA$376,12,FALSE)</f>
        <v>1503.761363161183</v>
      </c>
      <c r="M331" s="566">
        <f>VLOOKUP($A331,'01-02.2021'!$A$6:$CZ$403,13,FALSE)+VLOOKUP($A331,'1.3.21-28.2.22'!$A$6:$DA$404,13,FALSE)-VLOOKUP($A331,'01-02.2022'!$A$6:$DA$376,13,FALSE)</f>
        <v>1655.6981985338202</v>
      </c>
      <c r="N331" s="52">
        <f t="shared" si="358"/>
        <v>151.93683537263723</v>
      </c>
      <c r="O331" s="566">
        <f>VLOOKUP($A331,'01-02.2021'!$A$6:$CZ$403,15,FALSE)+VLOOKUP($A331,'1.3.21-28.2.22'!$A$6:$DA$404,15,FALSE)-VLOOKUP($A331,'01-02.2022'!$A$6:$DA$376,15,FALSE)</f>
        <v>3255.0173381902664</v>
      </c>
      <c r="P331" s="566">
        <f>VLOOKUP($A331,'01-02.2021'!$A$6:$CZ$403,16,FALSE)+VLOOKUP($A331,'1.3.21-28.2.22'!$A$6:$DA$404,16,FALSE)-VLOOKUP($A331,'01-02.2022'!$A$6:$DA$376,16,FALSE)</f>
        <v>3255.5800000000004</v>
      </c>
      <c r="Q331" s="70">
        <f t="shared" si="386"/>
        <v>0.5626618097339815</v>
      </c>
      <c r="R331" s="566">
        <f>VLOOKUP($A331,'01-02.2021'!$A$6:$CZ$403,18,FALSE)+VLOOKUP($A331,'1.3.21-28.2.22'!$A$6:$DA$404,18,FALSE)-VLOOKUP($A331,'01-02.2022'!$A$6:$DA$376,18,FALSE)</f>
        <v>0</v>
      </c>
      <c r="S331" s="566">
        <f>VLOOKUP($A331,'01-02.2021'!$A$6:$CZ$403,19,FALSE)+VLOOKUP($A331,'1.3.21-28.2.22'!$A$6:$DA$404,19,FALSE)-VLOOKUP($A331,'01-02.2022'!$A$6:$DA$376,19,FALSE)</f>
        <v>0</v>
      </c>
      <c r="T331" s="70">
        <f t="shared" si="387"/>
        <v>0</v>
      </c>
      <c r="U331" s="566">
        <f>VLOOKUP($A331,'01-02.2021'!$A$6:$CZ$403,21,FALSE)+VLOOKUP($A331,'1.3.21-28.2.22'!$A$6:$DA$404,21,FALSE)-VLOOKUP($A331,'01-02.2022'!$A$6:$DA$376,21,FALSE)</f>
        <v>0</v>
      </c>
      <c r="V331" s="566">
        <f>VLOOKUP($A331,'01-02.2021'!$A$6:$CZ$403,22,FALSE)+VLOOKUP($A331,'1.3.21-28.2.22'!$A$6:$DA$404,22,FALSE)-VLOOKUP($A331,'01-02.2022'!$A$6:$DA$376,22,FALSE)</f>
        <v>0</v>
      </c>
      <c r="W331" s="70">
        <f t="shared" si="388"/>
        <v>0</v>
      </c>
      <c r="X331" s="566">
        <f>VLOOKUP($A331,'01-02.2021'!$A$6:$CZ$403,24,FALSE)+VLOOKUP($A331,'1.3.21-28.2.22'!$A$6:$DA$404,24,FALSE)-VLOOKUP($A331,'01-02.2022'!$A$6:$DA$376,24,FALSE)</f>
        <v>4494.3387327873043</v>
      </c>
      <c r="Y331" s="566">
        <f>VLOOKUP($A331,'01-02.2021'!$A$6:$CZ$403,25,FALSE)+VLOOKUP($A331,'1.3.21-28.2.22'!$A$6:$DA$404,25,FALSE)-VLOOKUP($A331,'01-02.2022'!$A$6:$DA$376,25,FALSE)</f>
        <v>3549.2196036816722</v>
      </c>
      <c r="Z331" s="70">
        <f t="shared" si="389"/>
        <v>-945.11912910563206</v>
      </c>
      <c r="AA331" s="566">
        <f>VLOOKUP($A331,'01-02.2021'!$A$6:$CZ$403,27,FALSE)+VLOOKUP($A331,'1.3.21-28.2.22'!$A$6:$DA$404,27,FALSE)-VLOOKUP($A331,'01-02.2022'!$A$6:$DA$376,27,FALSE)</f>
        <v>519.96</v>
      </c>
      <c r="AB331" s="566">
        <f>VLOOKUP($A331,'01-02.2021'!$A$6:$CZ$403,28,FALSE)+VLOOKUP($A331,'1.3.21-28.2.22'!$A$6:$DA$404,28,FALSE)-VLOOKUP($A331,'01-02.2022'!$A$6:$DA$376,28,FALSE)</f>
        <v>0</v>
      </c>
      <c r="AC331" s="70">
        <f t="shared" si="390"/>
        <v>-519.96</v>
      </c>
      <c r="AD331" s="566">
        <f>VLOOKUP($A331,'01-02.2021'!$A$6:$CZ$403,30,FALSE)+VLOOKUP($A331,'1.3.21-28.2.22'!$A$6:$DA$404,30,FALSE)-VLOOKUP($A331,'01-02.2022'!$A$6:$DA$376,30,FALSE)</f>
        <v>11173.225319267189</v>
      </c>
      <c r="AE331" s="566">
        <f>VLOOKUP($A331,'01-02.2021'!$A$6:$CZ$403,31,FALSE)+VLOOKUP($A331,'1.3.21-28.2.22'!$A$6:$DA$404,31,FALSE)-VLOOKUP($A331,'01-02.2022'!$A$6:$DA$376,31,FALSE)</f>
        <v>11843.680884164782</v>
      </c>
      <c r="AF331" s="68">
        <f t="shared" si="391"/>
        <v>670.45556489759292</v>
      </c>
      <c r="AG331" s="77">
        <f t="shared" si="354"/>
        <v>29621.45882402419</v>
      </c>
      <c r="AH331" s="53">
        <f t="shared" si="354"/>
        <v>29847.511395014204</v>
      </c>
      <c r="AI331" s="52">
        <f t="shared" si="359"/>
        <v>226.05257099001392</v>
      </c>
      <c r="AJ331" s="566">
        <f>VLOOKUP($A331,'01-02.2021'!$A$6:$CZ$403,36,FALSE)+VLOOKUP($A331,'1.3.21-28.2.22'!$A$6:$DA$404,36,FALSE)-VLOOKUP($A331,'01-02.2022'!$A$6:$DA$376,36,FALSE)</f>
        <v>0</v>
      </c>
      <c r="AK331" s="566">
        <f>VLOOKUP($A331,'01-02.2021'!$A$6:$CZ$403,37,FALSE)+VLOOKUP($A331,'1.3.21-28.2.22'!$A$6:$DA$404,37,FALSE)-VLOOKUP($A331,'01-02.2022'!$A$6:$DA$376,37,FALSE)</f>
        <v>0</v>
      </c>
      <c r="AL331" s="70">
        <f t="shared" si="392"/>
        <v>0</v>
      </c>
      <c r="AM331" s="566">
        <f>VLOOKUP($A331,'01-02.2021'!$A$6:$CZ$403,39,FALSE)+VLOOKUP($A331,'1.3.21-28.2.22'!$A$6:$DA$404,39,FALSE)-VLOOKUP($A331,'01-02.2022'!$A$6:$DA$376,39,FALSE)</f>
        <v>0</v>
      </c>
      <c r="AN331" s="566">
        <f>VLOOKUP($A331,'01-02.2021'!$A$6:$CZ$403,40,FALSE)+VLOOKUP($A331,'1.3.21-28.2.22'!$A$6:$DA$404,40,FALSE)-VLOOKUP($A331,'01-02.2022'!$A$6:$DA$376,40,FALSE)</f>
        <v>0</v>
      </c>
      <c r="AO331" s="70">
        <f t="shared" si="393"/>
        <v>0</v>
      </c>
      <c r="AP331" s="566">
        <f>VLOOKUP($A331,'01-02.2021'!$A$6:$CZ$403,42,FALSE)+VLOOKUP($A331,'1.3.21-28.2.22'!$A$6:$DA$404,42,FALSE)-VLOOKUP($A331,'01-02.2022'!$A$6:$DA$376,42,FALSE)</f>
        <v>7678.2588939384641</v>
      </c>
      <c r="AQ331" s="566">
        <f>VLOOKUP($A331,'01-02.2021'!$A$6:$CZ$403,43,FALSE)+VLOOKUP($A331,'1.3.21-28.2.22'!$A$6:$DA$404,43,FALSE)-VLOOKUP($A331,'01-02.2022'!$A$6:$DA$376,43,FALSE)</f>
        <v>2434.9491852055648</v>
      </c>
      <c r="AR331" s="70">
        <f t="shared" si="394"/>
        <v>-5243.3097087328988</v>
      </c>
      <c r="AS331" s="566">
        <f>VLOOKUP($A331,'01-02.2021'!$A$6:$CZ$403,45,FALSE)+VLOOKUP($A331,'1.3.21-28.2.22'!$A$6:$DA$404,45,FALSE)-VLOOKUP($A331,'01-02.2022'!$A$6:$DA$376,45,FALSE)</f>
        <v>33898.028509830692</v>
      </c>
      <c r="AT331" s="566">
        <f>VLOOKUP($A331,'01-02.2021'!$A$6:$CZ$403,46,FALSE)+VLOOKUP($A331,'1.3.21-28.2.22'!$A$6:$DA$404,46,FALSE)-VLOOKUP($A331,'01-02.2022'!$A$6:$DA$376,46,FALSE)</f>
        <v>36577.567396793085</v>
      </c>
      <c r="AU331" s="78">
        <f t="shared" si="395"/>
        <v>2679.538886962393</v>
      </c>
      <c r="AV331" s="566">
        <f>VLOOKUP($A331,'01-02.2021'!$A$6:$CZ$403,48,FALSE)+VLOOKUP($A331,'1.3.21-28.2.22'!$A$6:$DA$404,48,FALSE)-VLOOKUP($A331,'01-02.2022'!$A$6:$DA$376,48,FALSE)</f>
        <v>2287.0605343267393</v>
      </c>
      <c r="AW331" s="566">
        <f>VLOOKUP($A331,'01-02.2021'!$A$6:$CZ$403,49,FALSE)+VLOOKUP($A331,'1.3.21-28.2.22'!$A$6:$DA$404,49,FALSE)-VLOOKUP($A331,'01-02.2022'!$A$6:$DA$376,49,FALSE)</f>
        <v>0</v>
      </c>
      <c r="AX331" s="55">
        <f t="shared" si="396"/>
        <v>-2287.0605343267393</v>
      </c>
      <c r="AY331" s="566">
        <f>VLOOKUP($A331,'01-02.2021'!$A$6:$CZ$403,51,FALSE)+VLOOKUP($A331,'1.3.21-28.2.22'!$A$6:$DA$404,51,FALSE)-VLOOKUP($A331,'01-02.2022'!$A$6:$DA$376,51,FALSE)</f>
        <v>2826.5471364415648</v>
      </c>
      <c r="AZ331" s="566">
        <f>VLOOKUP($A331,'01-02.2021'!$A$6:$CZ$403,52,FALSE)+VLOOKUP($A331,'1.3.21-28.2.22'!$A$6:$DA$404,52,FALSE)-VLOOKUP($A331,'01-02.2022'!$A$6:$DA$376,52,FALSE)</f>
        <v>951</v>
      </c>
      <c r="BA331" s="38">
        <f t="shared" si="397"/>
        <v>-1875.5471364415648</v>
      </c>
      <c r="BB331" s="566">
        <f>VLOOKUP($A331,'01-02.2021'!$A$6:$CZ$403,54,FALSE)+VLOOKUP($A331,'1.3.21-28.2.22'!$A$6:$DA$404,54,FALSE)-VLOOKUP($A331,'01-02.2022'!$A$6:$DA$376,54,FALSE)</f>
        <v>1596.9664436704575</v>
      </c>
      <c r="BC331" s="566">
        <f>VLOOKUP($A331,'01-02.2021'!$A$6:$CZ$403,55,FALSE)+VLOOKUP($A331,'1.3.21-28.2.22'!$A$6:$DA$404,55,FALSE)-VLOOKUP($A331,'01-02.2022'!$A$6:$DA$376,55,FALSE)</f>
        <v>0</v>
      </c>
      <c r="BD331" s="55">
        <f t="shared" si="398"/>
        <v>-1596.9664436704575</v>
      </c>
      <c r="BE331" s="566">
        <f>VLOOKUP($A331,'01-02.2021'!$A$6:$CZ$403,57,FALSE)+VLOOKUP($A331,'1.3.21-28.2.22'!$A$6:$DA$404,57,FALSE)-VLOOKUP($A331,'01-02.2022'!$A$6:$DA$376,57,FALSE)</f>
        <v>0</v>
      </c>
      <c r="BF331" s="566">
        <f>VLOOKUP($A331,'01-02.2021'!$A$6:$CZ$403,58,FALSE)+VLOOKUP($A331,'1.3.21-28.2.22'!$A$6:$DA$404,58,FALSE)-VLOOKUP($A331,'01-02.2022'!$A$6:$DA$376,58,FALSE)</f>
        <v>0</v>
      </c>
      <c r="BG331" s="55">
        <f t="shared" si="399"/>
        <v>0</v>
      </c>
      <c r="BH331" s="566">
        <f>VLOOKUP($A331,'01-02.2021'!$A$6:$CZ$403,60,FALSE)+VLOOKUP($A331,'1.3.21-28.2.22'!$A$6:$DA$404,60,FALSE)-VLOOKUP($A331,'01-02.2022'!$A$6:$DA$376,60,FALSE)</f>
        <v>0</v>
      </c>
      <c r="BI331" s="566">
        <f>VLOOKUP($A331,'01-02.2021'!$A$6:$CZ$403,61,FALSE)+VLOOKUP($A331,'1.3.21-28.2.22'!$A$6:$DA$404,61,FALSE)-VLOOKUP($A331,'01-02.2022'!$A$6:$DA$376,61,FALSE)</f>
        <v>0</v>
      </c>
      <c r="BJ331" s="55">
        <f t="shared" si="400"/>
        <v>0</v>
      </c>
      <c r="BK331" s="566">
        <f>VLOOKUP($A331,'01-02.2021'!$A$6:$CZ$403,63,FALSE)+VLOOKUP($A331,'1.3.21-28.2.22'!$A$6:$DA$404,63,FALSE)-VLOOKUP($A331,'01-02.2022'!$A$6:$DA$376,63,FALSE)</f>
        <v>1295.7160192907688</v>
      </c>
      <c r="BL331" s="566">
        <f>VLOOKUP($A331,'01-02.2021'!$A$6:$CZ$403,64,FALSE)+VLOOKUP($A331,'1.3.21-28.2.22'!$A$6:$DA$404,64,FALSE)-VLOOKUP($A331,'01-02.2022'!$A$6:$DA$376,64,FALSE)</f>
        <v>828</v>
      </c>
      <c r="BM331" s="55">
        <f t="shared" si="401"/>
        <v>-467.71601929076883</v>
      </c>
      <c r="BN331" s="566">
        <f>VLOOKUP($A331,'01-02.2021'!$A$6:$CZ$403,66,FALSE)+VLOOKUP($A331,'1.3.21-28.2.22'!$A$6:$DA$404,66,FALSE)-VLOOKUP($A331,'01-02.2022'!$A$6:$DA$376,66,FALSE)</f>
        <v>129.99</v>
      </c>
      <c r="BO331" s="566">
        <f>VLOOKUP($A331,'01-02.2021'!$A$6:$CZ$403,67,FALSE)+VLOOKUP($A331,'1.3.21-28.2.22'!$A$6:$DA$404,67,FALSE)-VLOOKUP($A331,'01-02.2022'!$A$6:$DA$376,67,FALSE)</f>
        <v>0</v>
      </c>
      <c r="BP331" s="55">
        <f t="shared" si="402"/>
        <v>-129.99</v>
      </c>
      <c r="BQ331" s="77">
        <f t="shared" si="348"/>
        <v>8136.2801337295296</v>
      </c>
      <c r="BR331" s="40">
        <f t="shared" si="375"/>
        <v>1779</v>
      </c>
      <c r="BS331" s="55">
        <f t="shared" si="369"/>
        <v>-6357.2801337295296</v>
      </c>
      <c r="BT331" s="566">
        <f>VLOOKUP($A331,'01-02.2021'!$A$6:$CZ$403,72,FALSE)+VLOOKUP($A331,'1.3.21-28.2.22'!$A$6:$DA$404,72,FALSE)-VLOOKUP($A331,'01-02.2022'!$A$6:$DA$376,72,FALSE)</f>
        <v>25007.77843732664</v>
      </c>
      <c r="BU331" s="566">
        <f>VLOOKUP($A331,'01-02.2021'!$A$6:$CZ$403,73,FALSE)+VLOOKUP($A331,'1.3.21-28.2.22'!$A$6:$DA$404,73,FALSE)-VLOOKUP($A331,'01-02.2022'!$A$6:$DA$376,73,FALSE)</f>
        <v>33538.707432645548</v>
      </c>
      <c r="BV331" s="70">
        <f t="shared" si="403"/>
        <v>8530.9289953189073</v>
      </c>
      <c r="BW331" s="566">
        <f>VLOOKUP($A331,'01-02.2021'!$A$6:$CZ$403,75,FALSE)+VLOOKUP($A331,'1.3.21-28.2.22'!$A$6:$DA$404,75,FALSE)-VLOOKUP($A331,'01-02.2022'!$A$6:$DA$376,75,FALSE)</f>
        <v>11771.189678581892</v>
      </c>
      <c r="BX331" s="566">
        <f>VLOOKUP($A331,'01-02.2021'!$A$6:$CZ$403,76,FALSE)+VLOOKUP($A331,'1.3.21-28.2.22'!$A$6:$DA$404,76,FALSE)-VLOOKUP($A331,'01-02.2022'!$A$6:$DA$376,76,FALSE)</f>
        <v>11788.910570997352</v>
      </c>
      <c r="BY331" s="70">
        <f t="shared" si="404"/>
        <v>17.720892415460185</v>
      </c>
      <c r="BZ331" s="566">
        <f>VLOOKUP($A331,'01-02.2021'!$A$6:$CZ$403,78,FALSE)+VLOOKUP($A331,'1.3.21-28.2.22'!$A$6:$DA$404,78,FALSE)-VLOOKUP($A331,'01-02.2022'!$A$6:$DA$376,78,FALSE)</f>
        <v>12185.036880856016</v>
      </c>
      <c r="CA331" s="566">
        <f>VLOOKUP($A331,'01-02.2021'!$A$6:$CZ$403,79,FALSE)+VLOOKUP($A331,'1.3.21-28.2.22'!$A$6:$DA$404,79,FALSE)-VLOOKUP($A331,'01-02.2022'!$A$6:$DA$376,79,FALSE)</f>
        <v>6255.4545489305692</v>
      </c>
      <c r="CB331" s="70">
        <f t="shared" si="405"/>
        <v>-5929.5823319254469</v>
      </c>
      <c r="CC331" s="566">
        <f>VLOOKUP($A331,'01-02.2021'!$A$6:$CZ$403,81,FALSE)+VLOOKUP($A331,'1.3.21-28.2.22'!$A$6:$DA$404,81,FALSE)-VLOOKUP($A331,'01-02.2022'!$A$6:$DA$376,81,FALSE)</f>
        <v>1238.4254204129495</v>
      </c>
      <c r="CD331" s="566">
        <f>VLOOKUP($A331,'01-02.2021'!$A$6:$CZ$403,82,FALSE)+VLOOKUP($A331,'1.3.21-28.2.22'!$A$6:$DA$404,82,FALSE)-VLOOKUP($A331,'01-02.2022'!$A$6:$DA$376,82,FALSE)</f>
        <v>1353.5903397465318</v>
      </c>
      <c r="CE331" s="70">
        <f t="shared" si="406"/>
        <v>115.16491933358225</v>
      </c>
      <c r="CF331" s="566">
        <f>VLOOKUP($A331,'01-02.2021'!$A$6:$CZ$403,84,FALSE)+VLOOKUP($A331,'1.3.21-28.2.22'!$A$6:$DA$404,84,FALSE)-VLOOKUP($A331,'01-02.2022'!$A$6:$DA$376,84,FALSE)</f>
        <v>150.55612025610415</v>
      </c>
      <c r="CG331" s="566">
        <f>VLOOKUP($A331,'01-02.2021'!$A$6:$CZ$403,85,FALSE)+VLOOKUP($A331,'1.3.21-28.2.22'!$A$6:$DA$404,85,FALSE)-VLOOKUP($A331,'01-02.2022'!$A$6:$DA$376,85,FALSE)</f>
        <v>0</v>
      </c>
      <c r="CH331" s="70">
        <f t="shared" si="407"/>
        <v>-150.55612025610415</v>
      </c>
      <c r="CI331" s="566">
        <f>VLOOKUP($A331,'01-02.2021'!$A$6:$CZ$403,87,FALSE)+VLOOKUP($A331,'1.3.21-28.2.22'!$A$6:$DA$404,87,FALSE)-VLOOKUP($A331,'01-02.2022'!$A$6:$DA$376,87,FALSE)</f>
        <v>2916.2963402975884</v>
      </c>
      <c r="CJ331" s="566">
        <f>VLOOKUP($A331,'01-02.2021'!$A$6:$CZ$403,88,FALSE)+VLOOKUP($A331,'1.3.21-28.2.22'!$A$6:$DA$404,88,FALSE)-VLOOKUP($A331,'01-02.2022'!$A$6:$DA$376,88,FALSE)</f>
        <v>1888.1101555081505</v>
      </c>
      <c r="CK331" s="70">
        <f t="shared" si="408"/>
        <v>-1028.1861847894379</v>
      </c>
      <c r="CL331" s="566">
        <f>VLOOKUP($A331,'01-02.2021'!$A$6:$CZ$403,90,FALSE)+VLOOKUP($A331,'1.3.21-28.2.22'!$A$6:$DA$404,90,FALSE)-VLOOKUP($A331,'01-02.2022'!$A$6:$DA$376,90,FALSE)</f>
        <v>0</v>
      </c>
      <c r="CM331" s="566">
        <f>VLOOKUP($A331,'01-02.2021'!$A$6:$CZ$403,91,FALSE)+VLOOKUP($A331,'1.3.21-28.2.22'!$A$6:$DA$404,91,FALSE)-VLOOKUP($A331,'01-02.2022'!$A$6:$DA$376,91,FALSE)</f>
        <v>0</v>
      </c>
      <c r="CN331" s="52">
        <f t="shared" si="360"/>
        <v>0</v>
      </c>
      <c r="CO331" s="39">
        <f t="shared" si="355"/>
        <v>2916.2963402975884</v>
      </c>
      <c r="CP331" s="40">
        <f t="shared" si="361"/>
        <v>1888.1101555081505</v>
      </c>
      <c r="CQ331" s="52">
        <f t="shared" si="362"/>
        <v>-1028.1861847894379</v>
      </c>
      <c r="CR331" s="72">
        <f t="shared" si="356"/>
        <v>132603.30923925407</v>
      </c>
      <c r="CS331" s="5">
        <f t="shared" si="356"/>
        <v>125463.80102484101</v>
      </c>
      <c r="CT331" s="52">
        <f t="shared" si="363"/>
        <v>-7139.5082144130574</v>
      </c>
      <c r="CU331" s="77">
        <f t="shared" si="364"/>
        <v>159123.97108710487</v>
      </c>
      <c r="CV331" s="65">
        <f t="shared" si="365"/>
        <v>150556.56122980922</v>
      </c>
      <c r="CW331" s="35">
        <f t="shared" si="366"/>
        <v>-8567.4098572956573</v>
      </c>
      <c r="CX331" s="566">
        <f>VLOOKUP($A331,'01-02.2021'!$A$6:$CZ$403,102,FALSE)+VLOOKUP($A331,'1.3.21-28.2.22'!$A$6:$DA$404,102,FALSE)-VLOOKUP($A331,'01-02.2022'!$A$6:$DA$376,102,FALSE)</f>
        <v>3988.6190561033081</v>
      </c>
      <c r="CY331" s="566">
        <f>VLOOKUP($A331,'01-02.2021'!$A$6:$CZ$403,103,FALSE)+VLOOKUP($A331,'1.3.21-28.2.22'!$A$6:$DA$404,103,FALSE)-VLOOKUP($A331,'01-02.2022'!$A$6:$DA$376,103,FALSE)</f>
        <v>12556.028913399025</v>
      </c>
      <c r="CZ331" s="52">
        <f t="shared" si="367"/>
        <v>8567.4098572957155</v>
      </c>
      <c r="DA331" s="150">
        <f>'[2]побудинковий звіт'!DA331</f>
        <v>68429.687443128147</v>
      </c>
      <c r="DB331" s="2">
        <v>2</v>
      </c>
      <c r="DC331" s="414">
        <f>'[4]побудинковий звіт'!DC331</f>
        <v>27384.080000000002</v>
      </c>
      <c r="DD331" s="414">
        <f>'[4]побудинковий звіт'!DD331</f>
        <v>8531.56</v>
      </c>
      <c r="DE331" s="557">
        <f>'[4]побудинковий звіт'!DE331</f>
        <v>12764.909403023783</v>
      </c>
      <c r="DF331" s="557">
        <f>'[4]побудинковий звіт'!DF331</f>
        <v>8314.8430956542961</v>
      </c>
      <c r="DG331" s="321">
        <f>VLOOKUP(A331,'кошти 01.03.2021'!$A$6:$D$401,4,)</f>
        <v>82696.611723652633</v>
      </c>
      <c r="DH331" s="40">
        <f>'[3]побудинковий звіт'!DJ331</f>
        <v>168993.8488738579</v>
      </c>
      <c r="DI331" s="422">
        <f>'[3]побудинковий звіт'!CU331+'[3]побудинковий звіт'!CX331</f>
        <v>14835.88750132192</v>
      </c>
      <c r="DJ331" s="306">
        <f>'[3]побудинковий звіт'!DM331</f>
        <v>5.7061555803966506</v>
      </c>
      <c r="DK331" s="306">
        <f t="shared" si="377"/>
        <v>5.7061555803966506</v>
      </c>
      <c r="DL331" s="306">
        <f>'[3]побудинковий звіт'!DO331</f>
        <v>5.1599262939453032</v>
      </c>
      <c r="DM331" s="28">
        <f t="shared" si="379"/>
        <v>14619.170596976219</v>
      </c>
      <c r="DN331" s="28">
        <f t="shared" si="380"/>
        <v>216.71690434570274</v>
      </c>
      <c r="DO331" s="423">
        <f t="shared" si="381"/>
        <v>14835.887501321922</v>
      </c>
      <c r="DP331" s="94">
        <f t="shared" si="382"/>
        <v>0</v>
      </c>
      <c r="DQ331" s="28">
        <f t="shared" si="383"/>
        <v>14835.887501321922</v>
      </c>
      <c r="DR331" s="318"/>
      <c r="DT331" s="8"/>
      <c r="DU331" s="5"/>
      <c r="DX331" s="5">
        <f t="shared" si="384"/>
        <v>50441.170372272267</v>
      </c>
      <c r="DY331" s="5">
        <f t="shared" si="385"/>
        <v>46027.880876151699</v>
      </c>
      <c r="DZ331" s="159">
        <f>'[3]побудинковий звіт'!EA331</f>
        <v>4486.1129598243033</v>
      </c>
    </row>
    <row r="332" spans="1:130" x14ac:dyDescent="0.3">
      <c r="A332" s="325">
        <v>150000812</v>
      </c>
      <c r="B332" s="41" t="s">
        <v>778</v>
      </c>
      <c r="C332" s="42" t="s">
        <v>303</v>
      </c>
      <c r="D332" s="42"/>
      <c r="E332" s="293">
        <f t="shared" si="353"/>
        <v>2780.9</v>
      </c>
      <c r="F332" s="305">
        <f>'[3]побудинковий звіт'!F332</f>
        <v>2295.3000000000002</v>
      </c>
      <c r="G332" s="508">
        <f>'[3]побудинковий звіт'!G332</f>
        <v>0</v>
      </c>
      <c r="H332" s="560">
        <f>'[3]побудинковий звіт'!H332</f>
        <v>485.6</v>
      </c>
      <c r="I332" s="566">
        <f>VLOOKUP($A332,'01-02.2021'!$A$6:$CZ$403,9,FALSE)+VLOOKUP($A332,'1.3.21-28.2.22'!$A$6:$DA$404,9,FALSE)-VLOOKUP($A332,'01-02.2022'!$A$6:$DA$376,9,FALSE)</f>
        <v>5569.4122636616248</v>
      </c>
      <c r="J332" s="566">
        <f>VLOOKUP($A332,'01-02.2021'!$A$6:$CZ$403,10,FALSE)+VLOOKUP($A332,'1.3.21-28.2.22'!$A$6:$DA$404,10,FALSE)-VLOOKUP($A332,'01-02.2022'!$A$6:$DA$376,10,FALSE)</f>
        <v>6264.952360224559</v>
      </c>
      <c r="K332" s="52">
        <f t="shared" si="357"/>
        <v>695.5400965629342</v>
      </c>
      <c r="L332" s="566">
        <f>VLOOKUP($A332,'01-02.2021'!$A$6:$CZ$403,12,FALSE)+VLOOKUP($A332,'1.3.21-28.2.22'!$A$6:$DA$404,12,FALSE)-VLOOKUP($A332,'01-02.2022'!$A$6:$DA$376,12,FALSE)</f>
        <v>1129.9967226436286</v>
      </c>
      <c r="M332" s="566">
        <f>VLOOKUP($A332,'01-02.2021'!$A$6:$CZ$403,13,FALSE)+VLOOKUP($A332,'1.3.21-28.2.22'!$A$6:$DA$404,13,FALSE)-VLOOKUP($A332,'01-02.2022'!$A$6:$DA$376,13,FALSE)</f>
        <v>1244.1643007382718</v>
      </c>
      <c r="N332" s="52">
        <f t="shared" si="358"/>
        <v>114.1675780946432</v>
      </c>
      <c r="O332" s="566">
        <f>VLOOKUP($A332,'01-02.2021'!$A$6:$CZ$403,15,FALSE)+VLOOKUP($A332,'1.3.21-28.2.22'!$A$6:$DA$404,15,FALSE)-VLOOKUP($A332,'01-02.2022'!$A$6:$DA$376,15,FALSE)</f>
        <v>3824.3811685735091</v>
      </c>
      <c r="P332" s="566">
        <f>VLOOKUP($A332,'01-02.2021'!$A$6:$CZ$403,16,FALSE)+VLOOKUP($A332,'1.3.21-28.2.22'!$A$6:$DA$404,16,FALSE)-VLOOKUP($A332,'01-02.2022'!$A$6:$DA$376,16,FALSE)</f>
        <v>3823.9516666666677</v>
      </c>
      <c r="Q332" s="70">
        <f t="shared" si="386"/>
        <v>-0.42950190684132394</v>
      </c>
      <c r="R332" s="566">
        <f>VLOOKUP($A332,'01-02.2021'!$A$6:$CZ$403,18,FALSE)+VLOOKUP($A332,'1.3.21-28.2.22'!$A$6:$DA$404,18,FALSE)-VLOOKUP($A332,'01-02.2022'!$A$6:$DA$376,18,FALSE)</f>
        <v>0</v>
      </c>
      <c r="S332" s="566">
        <f>VLOOKUP($A332,'01-02.2021'!$A$6:$CZ$403,19,FALSE)+VLOOKUP($A332,'1.3.21-28.2.22'!$A$6:$DA$404,19,FALSE)-VLOOKUP($A332,'01-02.2022'!$A$6:$DA$376,19,FALSE)</f>
        <v>0</v>
      </c>
      <c r="T332" s="70">
        <f t="shared" si="387"/>
        <v>0</v>
      </c>
      <c r="U332" s="566">
        <f>VLOOKUP($A332,'01-02.2021'!$A$6:$CZ$403,21,FALSE)+VLOOKUP($A332,'1.3.21-28.2.22'!$A$6:$DA$404,21,FALSE)-VLOOKUP($A332,'01-02.2022'!$A$6:$DA$376,21,FALSE)</f>
        <v>0</v>
      </c>
      <c r="V332" s="566">
        <f>VLOOKUP($A332,'01-02.2021'!$A$6:$CZ$403,22,FALSE)+VLOOKUP($A332,'1.3.21-28.2.22'!$A$6:$DA$404,22,FALSE)-VLOOKUP($A332,'01-02.2022'!$A$6:$DA$376,22,FALSE)</f>
        <v>0</v>
      </c>
      <c r="W332" s="70">
        <f t="shared" si="388"/>
        <v>0</v>
      </c>
      <c r="X332" s="566">
        <f>VLOOKUP($A332,'01-02.2021'!$A$6:$CZ$403,24,FALSE)+VLOOKUP($A332,'1.3.21-28.2.22'!$A$6:$DA$404,24,FALSE)-VLOOKUP($A332,'01-02.2022'!$A$6:$DA$376,24,FALSE)</f>
        <v>4311.2256589146446</v>
      </c>
      <c r="Y332" s="566">
        <f>VLOOKUP($A332,'01-02.2021'!$A$6:$CZ$403,25,FALSE)+VLOOKUP($A332,'1.3.21-28.2.22'!$A$6:$DA$404,25,FALSE)-VLOOKUP($A332,'01-02.2022'!$A$6:$DA$376,25,FALSE)</f>
        <v>4116.5536660897033</v>
      </c>
      <c r="Z332" s="70">
        <f t="shared" si="389"/>
        <v>-194.6719928249413</v>
      </c>
      <c r="AA332" s="566">
        <f>VLOOKUP($A332,'01-02.2021'!$A$6:$CZ$403,27,FALSE)+VLOOKUP($A332,'1.3.21-28.2.22'!$A$6:$DA$404,27,FALSE)-VLOOKUP($A332,'01-02.2022'!$A$6:$DA$376,27,FALSE)</f>
        <v>611.22</v>
      </c>
      <c r="AB332" s="566">
        <f>VLOOKUP($A332,'01-02.2021'!$A$6:$CZ$403,28,FALSE)+VLOOKUP($A332,'1.3.21-28.2.22'!$A$6:$DA$404,28,FALSE)-VLOOKUP($A332,'01-02.2022'!$A$6:$DA$376,28,FALSE)</f>
        <v>0</v>
      </c>
      <c r="AC332" s="70">
        <f t="shared" si="390"/>
        <v>-611.22</v>
      </c>
      <c r="AD332" s="566">
        <f>VLOOKUP($A332,'01-02.2021'!$A$6:$CZ$403,30,FALSE)+VLOOKUP($A332,'1.3.21-28.2.22'!$A$6:$DA$404,30,FALSE)-VLOOKUP($A332,'01-02.2022'!$A$6:$DA$376,30,FALSE)</f>
        <v>12382.915629482919</v>
      </c>
      <c r="AE332" s="566">
        <f>VLOOKUP($A332,'01-02.2021'!$A$6:$CZ$403,31,FALSE)+VLOOKUP($A332,'1.3.21-28.2.22'!$A$6:$DA$404,31,FALSE)-VLOOKUP($A332,'01-02.2022'!$A$6:$DA$376,31,FALSE)</f>
        <v>12870.625833335796</v>
      </c>
      <c r="AF332" s="68">
        <f t="shared" si="391"/>
        <v>487.71020385287738</v>
      </c>
      <c r="AG332" s="77">
        <f t="shared" si="354"/>
        <v>27829.151443276329</v>
      </c>
      <c r="AH332" s="53">
        <f t="shared" si="354"/>
        <v>28320.247827054998</v>
      </c>
      <c r="AI332" s="52">
        <f t="shared" si="359"/>
        <v>491.09638377866941</v>
      </c>
      <c r="AJ332" s="566">
        <f>VLOOKUP($A332,'01-02.2021'!$A$6:$CZ$403,36,FALSE)+VLOOKUP($A332,'1.3.21-28.2.22'!$A$6:$DA$404,36,FALSE)-VLOOKUP($A332,'01-02.2022'!$A$6:$DA$376,36,FALSE)</f>
        <v>0</v>
      </c>
      <c r="AK332" s="566">
        <f>VLOOKUP($A332,'01-02.2021'!$A$6:$CZ$403,37,FALSE)+VLOOKUP($A332,'1.3.21-28.2.22'!$A$6:$DA$404,37,FALSE)-VLOOKUP($A332,'01-02.2022'!$A$6:$DA$376,37,FALSE)</f>
        <v>0</v>
      </c>
      <c r="AL332" s="70">
        <f t="shared" si="392"/>
        <v>0</v>
      </c>
      <c r="AM332" s="566">
        <f>VLOOKUP($A332,'01-02.2021'!$A$6:$CZ$403,39,FALSE)+VLOOKUP($A332,'1.3.21-28.2.22'!$A$6:$DA$404,39,FALSE)-VLOOKUP($A332,'01-02.2022'!$A$6:$DA$376,39,FALSE)</f>
        <v>0</v>
      </c>
      <c r="AN332" s="566">
        <f>VLOOKUP($A332,'01-02.2021'!$A$6:$CZ$403,40,FALSE)+VLOOKUP($A332,'1.3.21-28.2.22'!$A$6:$DA$404,40,FALSE)-VLOOKUP($A332,'01-02.2022'!$A$6:$DA$376,40,FALSE)</f>
        <v>0</v>
      </c>
      <c r="AO332" s="70">
        <f t="shared" si="393"/>
        <v>0</v>
      </c>
      <c r="AP332" s="566">
        <f>VLOOKUP($A332,'01-02.2021'!$A$6:$CZ$403,42,FALSE)+VLOOKUP($A332,'1.3.21-28.2.22'!$A$6:$DA$404,42,FALSE)-VLOOKUP($A332,'01-02.2022'!$A$6:$DA$376,42,FALSE)</f>
        <v>1127.8798375276845</v>
      </c>
      <c r="AQ332" s="566">
        <f>VLOOKUP($A332,'01-02.2021'!$A$6:$CZ$403,43,FALSE)+VLOOKUP($A332,'1.3.21-28.2.22'!$A$6:$DA$404,43,FALSE)-VLOOKUP($A332,'01-02.2022'!$A$6:$DA$376,43,FALSE)</f>
        <v>925.78047353774252</v>
      </c>
      <c r="AR332" s="70">
        <f t="shared" si="394"/>
        <v>-202.09936398994193</v>
      </c>
      <c r="AS332" s="566">
        <f>VLOOKUP($A332,'01-02.2021'!$A$6:$CZ$403,45,FALSE)+VLOOKUP($A332,'1.3.21-28.2.22'!$A$6:$DA$404,45,FALSE)-VLOOKUP($A332,'01-02.2022'!$A$6:$DA$376,45,FALSE)</f>
        <v>23468.361112534381</v>
      </c>
      <c r="AT332" s="566">
        <f>VLOOKUP($A332,'01-02.2021'!$A$6:$CZ$403,46,FALSE)+VLOOKUP($A332,'1.3.21-28.2.22'!$A$6:$DA$404,46,FALSE)-VLOOKUP($A332,'01-02.2022'!$A$6:$DA$376,46,FALSE)</f>
        <v>7560</v>
      </c>
      <c r="AU332" s="78">
        <f t="shared" si="395"/>
        <v>-15908.361112534381</v>
      </c>
      <c r="AV332" s="566">
        <f>VLOOKUP($A332,'01-02.2021'!$A$6:$CZ$403,48,FALSE)+VLOOKUP($A332,'1.3.21-28.2.22'!$A$6:$DA$404,48,FALSE)-VLOOKUP($A332,'01-02.2022'!$A$6:$DA$376,48,FALSE)</f>
        <v>1688.9449893250589</v>
      </c>
      <c r="AW332" s="566">
        <f>VLOOKUP($A332,'01-02.2021'!$A$6:$CZ$403,49,FALSE)+VLOOKUP($A332,'1.3.21-28.2.22'!$A$6:$DA$404,49,FALSE)-VLOOKUP($A332,'01-02.2022'!$A$6:$DA$376,49,FALSE)</f>
        <v>0</v>
      </c>
      <c r="AX332" s="55">
        <f t="shared" si="396"/>
        <v>-1688.9449893250589</v>
      </c>
      <c r="AY332" s="566">
        <f>VLOOKUP($A332,'01-02.2021'!$A$6:$CZ$403,51,FALSE)+VLOOKUP($A332,'1.3.21-28.2.22'!$A$6:$DA$404,51,FALSE)-VLOOKUP($A332,'01-02.2022'!$A$6:$DA$376,51,FALSE)</f>
        <v>2124.1557868195282</v>
      </c>
      <c r="AZ332" s="566">
        <f>VLOOKUP($A332,'01-02.2021'!$A$6:$CZ$403,52,FALSE)+VLOOKUP($A332,'1.3.21-28.2.22'!$A$6:$DA$404,52,FALSE)-VLOOKUP($A332,'01-02.2022'!$A$6:$DA$376,52,FALSE)</f>
        <v>33</v>
      </c>
      <c r="BA332" s="38">
        <f t="shared" si="397"/>
        <v>-2091.1557868195282</v>
      </c>
      <c r="BB332" s="566">
        <f>VLOOKUP($A332,'01-02.2021'!$A$6:$CZ$403,54,FALSE)+VLOOKUP($A332,'1.3.21-28.2.22'!$A$6:$DA$404,54,FALSE)-VLOOKUP($A332,'01-02.2022'!$A$6:$DA$376,54,FALSE)</f>
        <v>1660.3996529778581</v>
      </c>
      <c r="BC332" s="566">
        <f>VLOOKUP($A332,'01-02.2021'!$A$6:$CZ$403,55,FALSE)+VLOOKUP($A332,'1.3.21-28.2.22'!$A$6:$DA$404,55,FALSE)-VLOOKUP($A332,'01-02.2022'!$A$6:$DA$376,55,FALSE)</f>
        <v>0</v>
      </c>
      <c r="BD332" s="55">
        <f t="shared" si="398"/>
        <v>-1660.3996529778581</v>
      </c>
      <c r="BE332" s="566">
        <f>VLOOKUP($A332,'01-02.2021'!$A$6:$CZ$403,57,FALSE)+VLOOKUP($A332,'1.3.21-28.2.22'!$A$6:$DA$404,57,FALSE)-VLOOKUP($A332,'01-02.2022'!$A$6:$DA$376,57,FALSE)</f>
        <v>0</v>
      </c>
      <c r="BF332" s="566">
        <f>VLOOKUP($A332,'01-02.2021'!$A$6:$CZ$403,58,FALSE)+VLOOKUP($A332,'1.3.21-28.2.22'!$A$6:$DA$404,58,FALSE)-VLOOKUP($A332,'01-02.2022'!$A$6:$DA$376,58,FALSE)</f>
        <v>0</v>
      </c>
      <c r="BG332" s="55">
        <f t="shared" si="399"/>
        <v>0</v>
      </c>
      <c r="BH332" s="566">
        <f>VLOOKUP($A332,'01-02.2021'!$A$6:$CZ$403,60,FALSE)+VLOOKUP($A332,'1.3.21-28.2.22'!$A$6:$DA$404,60,FALSE)-VLOOKUP($A332,'01-02.2022'!$A$6:$DA$376,60,FALSE)</f>
        <v>0</v>
      </c>
      <c r="BI332" s="566">
        <f>VLOOKUP($A332,'01-02.2021'!$A$6:$CZ$403,61,FALSE)+VLOOKUP($A332,'1.3.21-28.2.22'!$A$6:$DA$404,61,FALSE)-VLOOKUP($A332,'01-02.2022'!$A$6:$DA$376,61,FALSE)</f>
        <v>0</v>
      </c>
      <c r="BJ332" s="55">
        <f t="shared" si="400"/>
        <v>0</v>
      </c>
      <c r="BK332" s="566">
        <f>VLOOKUP($A332,'01-02.2021'!$A$6:$CZ$403,63,FALSE)+VLOOKUP($A332,'1.3.21-28.2.22'!$A$6:$DA$404,63,FALSE)-VLOOKUP($A332,'01-02.2022'!$A$6:$DA$376,63,FALSE)</f>
        <v>1254.2956207892023</v>
      </c>
      <c r="BL332" s="566">
        <f>VLOOKUP($A332,'01-02.2021'!$A$6:$CZ$403,64,FALSE)+VLOOKUP($A332,'1.3.21-28.2.22'!$A$6:$DA$404,64,FALSE)-VLOOKUP($A332,'01-02.2022'!$A$6:$DA$376,64,FALSE)</f>
        <v>266</v>
      </c>
      <c r="BM332" s="55">
        <f t="shared" si="401"/>
        <v>-988.2956207892023</v>
      </c>
      <c r="BN332" s="566">
        <f>VLOOKUP($A332,'01-02.2021'!$A$6:$CZ$403,66,FALSE)+VLOOKUP($A332,'1.3.21-28.2.22'!$A$6:$DA$404,66,FALSE)-VLOOKUP($A332,'01-02.2022'!$A$6:$DA$376,66,FALSE)</f>
        <v>152.80500000000001</v>
      </c>
      <c r="BO332" s="566">
        <f>VLOOKUP($A332,'01-02.2021'!$A$6:$CZ$403,67,FALSE)+VLOOKUP($A332,'1.3.21-28.2.22'!$A$6:$DA$404,67,FALSE)-VLOOKUP($A332,'01-02.2022'!$A$6:$DA$376,67,FALSE)</f>
        <v>0</v>
      </c>
      <c r="BP332" s="55">
        <f t="shared" si="402"/>
        <v>-152.80500000000001</v>
      </c>
      <c r="BQ332" s="77">
        <f t="shared" si="348"/>
        <v>6880.6010499116474</v>
      </c>
      <c r="BR332" s="40">
        <f t="shared" si="375"/>
        <v>299</v>
      </c>
      <c r="BS332" s="55">
        <f t="shared" si="369"/>
        <v>-6581.6010499116474</v>
      </c>
      <c r="BT332" s="566">
        <f>VLOOKUP($A332,'01-02.2021'!$A$6:$CZ$403,72,FALSE)+VLOOKUP($A332,'1.3.21-28.2.22'!$A$6:$DA$404,72,FALSE)-VLOOKUP($A332,'01-02.2022'!$A$6:$DA$376,72,FALSE)</f>
        <v>29306.219469674412</v>
      </c>
      <c r="BU332" s="566">
        <f>VLOOKUP($A332,'01-02.2021'!$A$6:$CZ$403,73,FALSE)+VLOOKUP($A332,'1.3.21-28.2.22'!$A$6:$DA$404,73,FALSE)-VLOOKUP($A332,'01-02.2022'!$A$6:$DA$376,73,FALSE)</f>
        <v>39196.938479334203</v>
      </c>
      <c r="BV332" s="70">
        <f t="shared" si="403"/>
        <v>9890.7190096597915</v>
      </c>
      <c r="BW332" s="566">
        <f>VLOOKUP($A332,'01-02.2021'!$A$6:$CZ$403,75,FALSE)+VLOOKUP($A332,'1.3.21-28.2.22'!$A$6:$DA$404,75,FALSE)-VLOOKUP($A332,'01-02.2022'!$A$6:$DA$376,75,FALSE)</f>
        <v>10116.879932400616</v>
      </c>
      <c r="BX332" s="566">
        <f>VLOOKUP($A332,'01-02.2021'!$A$6:$CZ$403,76,FALSE)+VLOOKUP($A332,'1.3.21-28.2.22'!$A$6:$DA$404,76,FALSE)-VLOOKUP($A332,'01-02.2022'!$A$6:$DA$376,76,FALSE)</f>
        <v>11510.845652352929</v>
      </c>
      <c r="BY332" s="70">
        <f t="shared" si="404"/>
        <v>1393.9657199523135</v>
      </c>
      <c r="BZ332" s="566">
        <f>VLOOKUP($A332,'01-02.2021'!$A$6:$CZ$403,78,FALSE)+VLOOKUP($A332,'1.3.21-28.2.22'!$A$6:$DA$404,78,FALSE)-VLOOKUP($A332,'01-02.2022'!$A$6:$DA$376,78,FALSE)</f>
        <v>15578.677634626192</v>
      </c>
      <c r="CA332" s="566">
        <f>VLOOKUP($A332,'01-02.2021'!$A$6:$CZ$403,79,FALSE)+VLOOKUP($A332,'1.3.21-28.2.22'!$A$6:$DA$404,79,FALSE)-VLOOKUP($A332,'01-02.2022'!$A$6:$DA$376,79,FALSE)</f>
        <v>8593.398010210869</v>
      </c>
      <c r="CB332" s="70">
        <f t="shared" si="405"/>
        <v>-6985.2796244153233</v>
      </c>
      <c r="CC332" s="566">
        <f>VLOOKUP($A332,'01-02.2021'!$A$6:$CZ$403,81,FALSE)+VLOOKUP($A332,'1.3.21-28.2.22'!$A$6:$DA$404,81,FALSE)-VLOOKUP($A332,'01-02.2022'!$A$6:$DA$376,81,FALSE)</f>
        <v>0</v>
      </c>
      <c r="CD332" s="566">
        <f>VLOOKUP($A332,'01-02.2021'!$A$6:$CZ$403,82,FALSE)+VLOOKUP($A332,'1.3.21-28.2.22'!$A$6:$DA$404,82,FALSE)-VLOOKUP($A332,'01-02.2022'!$A$6:$DA$376,82,FALSE)</f>
        <v>0</v>
      </c>
      <c r="CE332" s="70">
        <f t="shared" si="406"/>
        <v>0</v>
      </c>
      <c r="CF332" s="566">
        <f>VLOOKUP($A332,'01-02.2021'!$A$6:$CZ$403,84,FALSE)+VLOOKUP($A332,'1.3.21-28.2.22'!$A$6:$DA$404,84,FALSE)-VLOOKUP($A332,'01-02.2022'!$A$6:$DA$376,84,FALSE)</f>
        <v>0</v>
      </c>
      <c r="CG332" s="566">
        <f>VLOOKUP($A332,'01-02.2021'!$A$6:$CZ$403,85,FALSE)+VLOOKUP($A332,'1.3.21-28.2.22'!$A$6:$DA$404,85,FALSE)-VLOOKUP($A332,'01-02.2022'!$A$6:$DA$376,85,FALSE)</f>
        <v>0</v>
      </c>
      <c r="CH332" s="70">
        <f t="shared" si="407"/>
        <v>0</v>
      </c>
      <c r="CI332" s="566">
        <f>VLOOKUP($A332,'01-02.2021'!$A$6:$CZ$403,87,FALSE)+VLOOKUP($A332,'1.3.21-28.2.22'!$A$6:$DA$404,87,FALSE)-VLOOKUP($A332,'01-02.2022'!$A$6:$DA$376,87,FALSE)</f>
        <v>5649.1395822489676</v>
      </c>
      <c r="CJ332" s="566">
        <f>VLOOKUP($A332,'01-02.2021'!$A$6:$CZ$403,88,FALSE)+VLOOKUP($A332,'1.3.21-28.2.22'!$A$6:$DA$404,88,FALSE)-VLOOKUP($A332,'01-02.2022'!$A$6:$DA$376,88,FALSE)</f>
        <v>5799.6734916103906</v>
      </c>
      <c r="CK332" s="70">
        <f t="shared" si="408"/>
        <v>150.53390936142296</v>
      </c>
      <c r="CL332" s="566">
        <f>VLOOKUP($A332,'01-02.2021'!$A$6:$CZ$403,90,FALSE)+VLOOKUP($A332,'1.3.21-28.2.22'!$A$6:$DA$404,90,FALSE)-VLOOKUP($A332,'01-02.2022'!$A$6:$DA$376,90,FALSE)</f>
        <v>0</v>
      </c>
      <c r="CM332" s="566">
        <f>VLOOKUP($A332,'01-02.2021'!$A$6:$CZ$403,91,FALSE)+VLOOKUP($A332,'1.3.21-28.2.22'!$A$6:$DA$404,91,FALSE)-VLOOKUP($A332,'01-02.2022'!$A$6:$DA$376,91,FALSE)</f>
        <v>0</v>
      </c>
      <c r="CN332" s="52">
        <f t="shared" si="360"/>
        <v>0</v>
      </c>
      <c r="CO332" s="39">
        <f t="shared" si="355"/>
        <v>5649.1395822489676</v>
      </c>
      <c r="CP332" s="40">
        <f t="shared" si="361"/>
        <v>5799.6734916103906</v>
      </c>
      <c r="CQ332" s="52">
        <f t="shared" si="362"/>
        <v>150.53390936142296</v>
      </c>
      <c r="CR332" s="72">
        <f t="shared" si="356"/>
        <v>119956.91006220022</v>
      </c>
      <c r="CS332" s="5">
        <f t="shared" si="356"/>
        <v>102205.88393410112</v>
      </c>
      <c r="CT332" s="52">
        <f t="shared" si="363"/>
        <v>-17751.026128099096</v>
      </c>
      <c r="CU332" s="77">
        <f t="shared" si="364"/>
        <v>143948.29207464025</v>
      </c>
      <c r="CV332" s="65">
        <f t="shared" si="365"/>
        <v>122647.06072092133</v>
      </c>
      <c r="CW332" s="35">
        <f t="shared" si="366"/>
        <v>-21301.231353718918</v>
      </c>
      <c r="CX332" s="566">
        <f>VLOOKUP($A332,'01-02.2021'!$A$6:$CZ$403,102,FALSE)+VLOOKUP($A332,'1.3.21-28.2.22'!$A$6:$DA$404,102,FALSE)-VLOOKUP($A332,'01-02.2022'!$A$6:$DA$376,102,FALSE)</f>
        <v>3975.4361106264219</v>
      </c>
      <c r="CY332" s="566">
        <f>VLOOKUP($A332,'01-02.2021'!$A$6:$CZ$403,103,FALSE)+VLOOKUP($A332,'1.3.21-28.2.22'!$A$6:$DA$404,103,FALSE)-VLOOKUP($A332,'01-02.2022'!$A$6:$DA$376,103,FALSE)</f>
        <v>25276.667464345326</v>
      </c>
      <c r="CZ332" s="52">
        <f t="shared" si="367"/>
        <v>21301.231353718904</v>
      </c>
      <c r="DA332" s="150">
        <f>'[2]побудинковий звіт'!DA332</f>
        <v>8826.2512316097891</v>
      </c>
      <c r="DB332" s="2">
        <v>2</v>
      </c>
      <c r="DC332" s="414">
        <f>'[4]побудинковий звіт'!DC332</f>
        <v>38665.1</v>
      </c>
      <c r="DD332" s="414">
        <f>'[4]побудинковий звіт'!DD332</f>
        <v>1041.3999999999999</v>
      </c>
      <c r="DE332" s="557">
        <f>'[4]побудинковий звіт'!DE332</f>
        <v>27838.947819240806</v>
      </c>
      <c r="DF332" s="557">
        <f>'[4]побудинковий звіт'!DF332</f>
        <v>-995.63535343318404</v>
      </c>
      <c r="DG332" s="321">
        <f>VLOOKUP(A332,'кошти 01.03.2021'!$A$6:$D$401,4,)</f>
        <v>32651.784563930796</v>
      </c>
      <c r="DH332" s="40">
        <f>'[3]побудинковий звіт'!DJ332</f>
        <v>149730.64076385598</v>
      </c>
      <c r="DI332" s="422">
        <f>'[3]побудинковий звіт'!CU332+'[3]побудинковий звіт'!CX332</f>
        <v>12863.187534192373</v>
      </c>
      <c r="DJ332" s="306">
        <f>'[3]побудинковий звіт'!DM332</f>
        <v>4.716661081670888</v>
      </c>
      <c r="DK332" s="306">
        <f t="shared" si="377"/>
        <v>4.716661081670888</v>
      </c>
      <c r="DL332" s="306">
        <f>'[3]побудинковий звіт'!DO332</f>
        <v>4.1948833472676768</v>
      </c>
      <c r="DM332" s="28">
        <f t="shared" si="379"/>
        <v>10826.152180759191</v>
      </c>
      <c r="DN332" s="28">
        <f t="shared" si="380"/>
        <v>2037.0353534331839</v>
      </c>
      <c r="DO332" s="423">
        <f t="shared" si="381"/>
        <v>12863.187534192375</v>
      </c>
      <c r="DP332" s="94">
        <f t="shared" si="382"/>
        <v>0</v>
      </c>
      <c r="DQ332" s="28">
        <f t="shared" si="383"/>
        <v>12863.187534192375</v>
      </c>
      <c r="DR332" s="318"/>
      <c r="DT332" s="8"/>
      <c r="DU332" s="5"/>
      <c r="DX332" s="5">
        <f t="shared" si="384"/>
        <v>36418.754594935228</v>
      </c>
      <c r="DY332" s="5">
        <f t="shared" si="385"/>
        <v>9430.7999999999993</v>
      </c>
      <c r="DZ332" s="159">
        <f>'[3]побудинковий звіт'!EA332</f>
        <v>3244.7610930881874</v>
      </c>
    </row>
    <row r="333" spans="1:130" x14ac:dyDescent="0.3">
      <c r="A333" s="325">
        <v>150000828</v>
      </c>
      <c r="B333" s="41" t="s">
        <v>779</v>
      </c>
      <c r="C333" s="42" t="s">
        <v>304</v>
      </c>
      <c r="D333" s="42"/>
      <c r="E333" s="293">
        <f t="shared" si="353"/>
        <v>2595.52</v>
      </c>
      <c r="F333" s="305">
        <f>'[3]побудинковий звіт'!F333</f>
        <v>2595.52</v>
      </c>
      <c r="G333" s="508">
        <f>'[3]побудинковий звіт'!G333</f>
        <v>0</v>
      </c>
      <c r="H333" s="560">
        <f>'[3]побудинковий звіт'!H333</f>
        <v>0</v>
      </c>
      <c r="I333" s="566">
        <f>VLOOKUP($A333,'01-02.2021'!$A$6:$CZ$403,9,FALSE)+VLOOKUP($A333,'1.3.21-28.2.22'!$A$6:$DA$404,9,FALSE)-VLOOKUP($A333,'01-02.2022'!$A$6:$DA$376,9,FALSE)</f>
        <v>8675.1560706182499</v>
      </c>
      <c r="J333" s="566">
        <f>VLOOKUP($A333,'01-02.2021'!$A$6:$CZ$403,10,FALSE)+VLOOKUP($A333,'1.3.21-28.2.22'!$A$6:$DA$404,10,FALSE)-VLOOKUP($A333,'01-02.2022'!$A$6:$DA$376,10,FALSE)</f>
        <v>9542.8114032631693</v>
      </c>
      <c r="K333" s="52">
        <f t="shared" si="357"/>
        <v>867.65533264491933</v>
      </c>
      <c r="L333" s="566">
        <f>VLOOKUP($A333,'01-02.2021'!$A$6:$CZ$403,12,FALSE)+VLOOKUP($A333,'1.3.21-28.2.22'!$A$6:$DA$404,12,FALSE)-VLOOKUP($A333,'01-02.2022'!$A$6:$DA$376,12,FALSE)</f>
        <v>1503.761363161183</v>
      </c>
      <c r="M333" s="566">
        <f>VLOOKUP($A333,'01-02.2021'!$A$6:$CZ$403,13,FALSE)+VLOOKUP($A333,'1.3.21-28.2.22'!$A$6:$DA$404,13,FALSE)-VLOOKUP($A333,'01-02.2022'!$A$6:$DA$376,13,FALSE)</f>
        <v>1655.6981985338202</v>
      </c>
      <c r="N333" s="52">
        <f t="shared" si="358"/>
        <v>151.93683537263723</v>
      </c>
      <c r="O333" s="566">
        <f>VLOOKUP($A333,'01-02.2021'!$A$6:$CZ$403,15,FALSE)+VLOOKUP($A333,'1.3.21-28.2.22'!$A$6:$DA$404,15,FALSE)-VLOOKUP($A333,'01-02.2022'!$A$6:$DA$376,15,FALSE)</f>
        <v>3251.0520923383506</v>
      </c>
      <c r="P333" s="566">
        <f>VLOOKUP($A333,'01-02.2021'!$A$6:$CZ$403,16,FALSE)+VLOOKUP($A333,'1.3.21-28.2.22'!$A$6:$DA$404,16,FALSE)-VLOOKUP($A333,'01-02.2022'!$A$6:$DA$376,16,FALSE)</f>
        <v>3250.2616666666668</v>
      </c>
      <c r="Q333" s="70">
        <f t="shared" si="386"/>
        <v>-0.79042567168380629</v>
      </c>
      <c r="R333" s="566">
        <f>VLOOKUP($A333,'01-02.2021'!$A$6:$CZ$403,18,FALSE)+VLOOKUP($A333,'1.3.21-28.2.22'!$A$6:$DA$404,18,FALSE)-VLOOKUP($A333,'01-02.2022'!$A$6:$DA$376,18,FALSE)</f>
        <v>0</v>
      </c>
      <c r="S333" s="566">
        <f>VLOOKUP($A333,'01-02.2021'!$A$6:$CZ$403,19,FALSE)+VLOOKUP($A333,'1.3.21-28.2.22'!$A$6:$DA$404,19,FALSE)-VLOOKUP($A333,'01-02.2022'!$A$6:$DA$376,19,FALSE)</f>
        <v>0</v>
      </c>
      <c r="T333" s="70">
        <f t="shared" si="387"/>
        <v>0</v>
      </c>
      <c r="U333" s="566">
        <f>VLOOKUP($A333,'01-02.2021'!$A$6:$CZ$403,21,FALSE)+VLOOKUP($A333,'1.3.21-28.2.22'!$A$6:$DA$404,21,FALSE)-VLOOKUP($A333,'01-02.2022'!$A$6:$DA$376,21,FALSE)</f>
        <v>0</v>
      </c>
      <c r="V333" s="566">
        <f>VLOOKUP($A333,'01-02.2021'!$A$6:$CZ$403,22,FALSE)+VLOOKUP($A333,'1.3.21-28.2.22'!$A$6:$DA$404,22,FALSE)-VLOOKUP($A333,'01-02.2022'!$A$6:$DA$376,22,FALSE)</f>
        <v>0</v>
      </c>
      <c r="W333" s="70">
        <f t="shared" si="388"/>
        <v>0</v>
      </c>
      <c r="X333" s="566">
        <f>VLOOKUP($A333,'01-02.2021'!$A$6:$CZ$403,24,FALSE)+VLOOKUP($A333,'1.3.21-28.2.22'!$A$6:$DA$404,24,FALSE)-VLOOKUP($A333,'01-02.2022'!$A$6:$DA$376,24,FALSE)</f>
        <v>4418.4305320648673</v>
      </c>
      <c r="Y333" s="566">
        <f>VLOOKUP($A333,'01-02.2021'!$A$6:$CZ$403,25,FALSE)+VLOOKUP($A333,'1.3.21-28.2.22'!$A$6:$DA$404,25,FALSE)-VLOOKUP($A333,'01-02.2022'!$A$6:$DA$376,25,FALSE)</f>
        <v>4192.1964619257515</v>
      </c>
      <c r="Z333" s="70">
        <f t="shared" si="389"/>
        <v>-226.23407013911583</v>
      </c>
      <c r="AA333" s="566">
        <f>VLOOKUP($A333,'01-02.2021'!$A$6:$CZ$403,27,FALSE)+VLOOKUP($A333,'1.3.21-28.2.22'!$A$6:$DA$404,27,FALSE)-VLOOKUP($A333,'01-02.2022'!$A$6:$DA$376,27,FALSE)</f>
        <v>519.10400000000004</v>
      </c>
      <c r="AB333" s="566">
        <f>VLOOKUP($A333,'01-02.2021'!$A$6:$CZ$403,28,FALSE)+VLOOKUP($A333,'1.3.21-28.2.22'!$A$6:$DA$404,28,FALSE)-VLOOKUP($A333,'01-02.2022'!$A$6:$DA$376,28,FALSE)</f>
        <v>0</v>
      </c>
      <c r="AC333" s="70">
        <f t="shared" si="390"/>
        <v>-519.10400000000004</v>
      </c>
      <c r="AD333" s="566">
        <f>VLOOKUP($A333,'01-02.2021'!$A$6:$CZ$403,30,FALSE)+VLOOKUP($A333,'1.3.21-28.2.22'!$A$6:$DA$404,30,FALSE)-VLOOKUP($A333,'01-02.2022'!$A$6:$DA$376,30,FALSE)</f>
        <v>11148.54933064824</v>
      </c>
      <c r="AE333" s="566">
        <f>VLOOKUP($A333,'01-02.2021'!$A$6:$CZ$403,31,FALSE)+VLOOKUP($A333,'1.3.21-28.2.22'!$A$6:$DA$404,31,FALSE)-VLOOKUP($A333,'01-02.2022'!$A$6:$DA$376,31,FALSE)</f>
        <v>11814.911619341641</v>
      </c>
      <c r="AF333" s="68">
        <f t="shared" si="391"/>
        <v>666.36228869340084</v>
      </c>
      <c r="AG333" s="77">
        <f t="shared" si="354"/>
        <v>29516.053388830886</v>
      </c>
      <c r="AH333" s="53">
        <f t="shared" si="354"/>
        <v>30455.879349731051</v>
      </c>
      <c r="AI333" s="52">
        <f t="shared" si="359"/>
        <v>939.82596090016523</v>
      </c>
      <c r="AJ333" s="566">
        <f>VLOOKUP($A333,'01-02.2021'!$A$6:$CZ$403,36,FALSE)+VLOOKUP($A333,'1.3.21-28.2.22'!$A$6:$DA$404,36,FALSE)-VLOOKUP($A333,'01-02.2022'!$A$6:$DA$376,36,FALSE)</f>
        <v>0</v>
      </c>
      <c r="AK333" s="566">
        <f>VLOOKUP($A333,'01-02.2021'!$A$6:$CZ$403,37,FALSE)+VLOOKUP($A333,'1.3.21-28.2.22'!$A$6:$DA$404,37,FALSE)-VLOOKUP($A333,'01-02.2022'!$A$6:$DA$376,37,FALSE)</f>
        <v>0</v>
      </c>
      <c r="AL333" s="70">
        <f t="shared" si="392"/>
        <v>0</v>
      </c>
      <c r="AM333" s="566">
        <f>VLOOKUP($A333,'01-02.2021'!$A$6:$CZ$403,39,FALSE)+VLOOKUP($A333,'1.3.21-28.2.22'!$A$6:$DA$404,39,FALSE)-VLOOKUP($A333,'01-02.2022'!$A$6:$DA$376,39,FALSE)</f>
        <v>0</v>
      </c>
      <c r="AN333" s="566">
        <f>VLOOKUP($A333,'01-02.2021'!$A$6:$CZ$403,40,FALSE)+VLOOKUP($A333,'1.3.21-28.2.22'!$A$6:$DA$404,40,FALSE)-VLOOKUP($A333,'01-02.2022'!$A$6:$DA$376,40,FALSE)</f>
        <v>0</v>
      </c>
      <c r="AO333" s="70">
        <f t="shared" si="393"/>
        <v>0</v>
      </c>
      <c r="AP333" s="566">
        <f>VLOOKUP($A333,'01-02.2021'!$A$6:$CZ$403,42,FALSE)+VLOOKUP($A333,'1.3.21-28.2.22'!$A$6:$DA$404,42,FALSE)-VLOOKUP($A333,'01-02.2022'!$A$6:$DA$376,42,FALSE)</f>
        <v>7808.3988751916631</v>
      </c>
      <c r="AQ333" s="566">
        <f>VLOOKUP($A333,'01-02.2021'!$A$6:$CZ$403,43,FALSE)+VLOOKUP($A333,'1.3.21-28.2.22'!$A$6:$DA$404,43,FALSE)-VLOOKUP($A333,'01-02.2022'!$A$6:$DA$376,43,FALSE)</f>
        <v>2724.9500540836075</v>
      </c>
      <c r="AR333" s="70">
        <f t="shared" si="394"/>
        <v>-5083.4488211080552</v>
      </c>
      <c r="AS333" s="566">
        <f>VLOOKUP($A333,'01-02.2021'!$A$6:$CZ$403,45,FALSE)+VLOOKUP($A333,'1.3.21-28.2.22'!$A$6:$DA$404,45,FALSE)-VLOOKUP($A333,'01-02.2022'!$A$6:$DA$376,45,FALSE)</f>
        <v>35178.905215199178</v>
      </c>
      <c r="AT333" s="566">
        <f>VLOOKUP($A333,'01-02.2021'!$A$6:$CZ$403,46,FALSE)+VLOOKUP($A333,'1.3.21-28.2.22'!$A$6:$DA$404,46,FALSE)-VLOOKUP($A333,'01-02.2022'!$A$6:$DA$376,46,FALSE)</f>
        <v>41425</v>
      </c>
      <c r="AU333" s="78">
        <f t="shared" si="395"/>
        <v>6246.0947848008218</v>
      </c>
      <c r="AV333" s="566">
        <f>VLOOKUP($A333,'01-02.2021'!$A$6:$CZ$403,48,FALSE)+VLOOKUP($A333,'1.3.21-28.2.22'!$A$6:$DA$404,48,FALSE)-VLOOKUP($A333,'01-02.2022'!$A$6:$DA$376,48,FALSE)</f>
        <v>2287.0605343267393</v>
      </c>
      <c r="AW333" s="566">
        <f>VLOOKUP($A333,'01-02.2021'!$A$6:$CZ$403,49,FALSE)+VLOOKUP($A333,'1.3.21-28.2.22'!$A$6:$DA$404,49,FALSE)-VLOOKUP($A333,'01-02.2022'!$A$6:$DA$376,49,FALSE)</f>
        <v>316</v>
      </c>
      <c r="AX333" s="55">
        <f t="shared" si="396"/>
        <v>-1971.0605343267393</v>
      </c>
      <c r="AY333" s="566">
        <f>VLOOKUP($A333,'01-02.2021'!$A$6:$CZ$403,51,FALSE)+VLOOKUP($A333,'1.3.21-28.2.22'!$A$6:$DA$404,51,FALSE)-VLOOKUP($A333,'01-02.2022'!$A$6:$DA$376,51,FALSE)</f>
        <v>2826.5471364415648</v>
      </c>
      <c r="AZ333" s="566">
        <f>VLOOKUP($A333,'01-02.2021'!$A$6:$CZ$403,52,FALSE)+VLOOKUP($A333,'1.3.21-28.2.22'!$A$6:$DA$404,52,FALSE)-VLOOKUP($A333,'01-02.2022'!$A$6:$DA$376,52,FALSE)</f>
        <v>0</v>
      </c>
      <c r="BA333" s="38">
        <f t="shared" si="397"/>
        <v>-2826.5471364415648</v>
      </c>
      <c r="BB333" s="566">
        <f>VLOOKUP($A333,'01-02.2021'!$A$6:$CZ$403,54,FALSE)+VLOOKUP($A333,'1.3.21-28.2.22'!$A$6:$DA$404,54,FALSE)-VLOOKUP($A333,'01-02.2022'!$A$6:$DA$376,54,FALSE)</f>
        <v>1595.3389326694928</v>
      </c>
      <c r="BC333" s="566">
        <f>VLOOKUP($A333,'01-02.2021'!$A$6:$CZ$403,55,FALSE)+VLOOKUP($A333,'1.3.21-28.2.22'!$A$6:$DA$404,55,FALSE)-VLOOKUP($A333,'01-02.2022'!$A$6:$DA$376,55,FALSE)</f>
        <v>0</v>
      </c>
      <c r="BD333" s="55">
        <f t="shared" si="398"/>
        <v>-1595.3389326694928</v>
      </c>
      <c r="BE333" s="566">
        <f>VLOOKUP($A333,'01-02.2021'!$A$6:$CZ$403,57,FALSE)+VLOOKUP($A333,'1.3.21-28.2.22'!$A$6:$DA$404,57,FALSE)-VLOOKUP($A333,'01-02.2022'!$A$6:$DA$376,57,FALSE)</f>
        <v>0</v>
      </c>
      <c r="BF333" s="566">
        <f>VLOOKUP($A333,'01-02.2021'!$A$6:$CZ$403,58,FALSE)+VLOOKUP($A333,'1.3.21-28.2.22'!$A$6:$DA$404,58,FALSE)-VLOOKUP($A333,'01-02.2022'!$A$6:$DA$376,58,FALSE)</f>
        <v>0</v>
      </c>
      <c r="BG333" s="55">
        <f t="shared" si="399"/>
        <v>0</v>
      </c>
      <c r="BH333" s="566">
        <f>VLOOKUP($A333,'01-02.2021'!$A$6:$CZ$403,60,FALSE)+VLOOKUP($A333,'1.3.21-28.2.22'!$A$6:$DA$404,60,FALSE)-VLOOKUP($A333,'01-02.2022'!$A$6:$DA$376,60,FALSE)</f>
        <v>0</v>
      </c>
      <c r="BI333" s="566">
        <f>VLOOKUP($A333,'01-02.2021'!$A$6:$CZ$403,61,FALSE)+VLOOKUP($A333,'1.3.21-28.2.22'!$A$6:$DA$404,61,FALSE)-VLOOKUP($A333,'01-02.2022'!$A$6:$DA$376,61,FALSE)</f>
        <v>0</v>
      </c>
      <c r="BJ333" s="55">
        <f t="shared" si="400"/>
        <v>0</v>
      </c>
      <c r="BK333" s="566">
        <f>VLOOKUP($A333,'01-02.2021'!$A$6:$CZ$403,63,FALSE)+VLOOKUP($A333,'1.3.21-28.2.22'!$A$6:$DA$404,63,FALSE)-VLOOKUP($A333,'01-02.2022'!$A$6:$DA$376,63,FALSE)</f>
        <v>1295.7161908225987</v>
      </c>
      <c r="BL333" s="566">
        <f>VLOOKUP($A333,'01-02.2021'!$A$6:$CZ$403,64,FALSE)+VLOOKUP($A333,'1.3.21-28.2.22'!$A$6:$DA$404,64,FALSE)-VLOOKUP($A333,'01-02.2022'!$A$6:$DA$376,64,FALSE)</f>
        <v>0</v>
      </c>
      <c r="BM333" s="55">
        <f t="shared" si="401"/>
        <v>-1295.7161908225987</v>
      </c>
      <c r="BN333" s="566">
        <f>VLOOKUP($A333,'01-02.2021'!$A$6:$CZ$403,66,FALSE)+VLOOKUP($A333,'1.3.21-28.2.22'!$A$6:$DA$404,66,FALSE)-VLOOKUP($A333,'01-02.2022'!$A$6:$DA$376,66,FALSE)</f>
        <v>129.77600000000001</v>
      </c>
      <c r="BO333" s="566">
        <f>VLOOKUP($A333,'01-02.2021'!$A$6:$CZ$403,67,FALSE)+VLOOKUP($A333,'1.3.21-28.2.22'!$A$6:$DA$404,67,FALSE)-VLOOKUP($A333,'01-02.2022'!$A$6:$DA$376,67,FALSE)</f>
        <v>3160</v>
      </c>
      <c r="BP333" s="55">
        <f t="shared" si="402"/>
        <v>3030.2240000000002</v>
      </c>
      <c r="BQ333" s="77">
        <f t="shared" si="348"/>
        <v>8134.4387942603953</v>
      </c>
      <c r="BR333" s="40">
        <f t="shared" si="375"/>
        <v>3476</v>
      </c>
      <c r="BS333" s="55">
        <f t="shared" si="369"/>
        <v>-4658.4387942603953</v>
      </c>
      <c r="BT333" s="566">
        <f>VLOOKUP($A333,'01-02.2021'!$A$6:$CZ$403,72,FALSE)+VLOOKUP($A333,'1.3.21-28.2.22'!$A$6:$DA$404,72,FALSE)-VLOOKUP($A333,'01-02.2022'!$A$6:$DA$376,72,FALSE)</f>
        <v>20008.128042041277</v>
      </c>
      <c r="BU333" s="566">
        <f>VLOOKUP($A333,'01-02.2021'!$A$6:$CZ$403,73,FALSE)+VLOOKUP($A333,'1.3.21-28.2.22'!$A$6:$DA$404,73,FALSE)-VLOOKUP($A333,'01-02.2022'!$A$6:$DA$376,73,FALSE)</f>
        <v>27304.474752833601</v>
      </c>
      <c r="BV333" s="70">
        <f t="shared" si="403"/>
        <v>7296.3467107923243</v>
      </c>
      <c r="BW333" s="566">
        <f>VLOOKUP($A333,'01-02.2021'!$A$6:$CZ$403,75,FALSE)+VLOOKUP($A333,'1.3.21-28.2.22'!$A$6:$DA$404,75,FALSE)-VLOOKUP($A333,'01-02.2022'!$A$6:$DA$376,75,FALSE)</f>
        <v>12004.160788231946</v>
      </c>
      <c r="BX333" s="566">
        <f>VLOOKUP($A333,'01-02.2021'!$A$6:$CZ$403,76,FALSE)+VLOOKUP($A333,'1.3.21-28.2.22'!$A$6:$DA$404,76,FALSE)-VLOOKUP($A333,'01-02.2022'!$A$6:$DA$376,76,FALSE)</f>
        <v>12619.185566909277</v>
      </c>
      <c r="BY333" s="70">
        <f t="shared" si="404"/>
        <v>615.02477867733069</v>
      </c>
      <c r="BZ333" s="566">
        <f>VLOOKUP($A333,'01-02.2021'!$A$6:$CZ$403,78,FALSE)+VLOOKUP($A333,'1.3.21-28.2.22'!$A$6:$DA$404,78,FALSE)-VLOOKUP($A333,'01-02.2022'!$A$6:$DA$376,78,FALSE)</f>
        <v>10565.816547156162</v>
      </c>
      <c r="CA333" s="566">
        <f>VLOOKUP($A333,'01-02.2021'!$A$6:$CZ$403,79,FALSE)+VLOOKUP($A333,'1.3.21-28.2.22'!$A$6:$DA$404,79,FALSE)-VLOOKUP($A333,'01-02.2022'!$A$6:$DA$376,79,FALSE)</f>
        <v>4918.2989162287713</v>
      </c>
      <c r="CB333" s="70">
        <f t="shared" si="405"/>
        <v>-5647.5176309273911</v>
      </c>
      <c r="CC333" s="566">
        <f>VLOOKUP($A333,'01-02.2021'!$A$6:$CZ$403,81,FALSE)+VLOOKUP($A333,'1.3.21-28.2.22'!$A$6:$DA$404,81,FALSE)-VLOOKUP($A333,'01-02.2022'!$A$6:$DA$376,81,FALSE)</f>
        <v>1495.2978744464137</v>
      </c>
      <c r="CD333" s="566">
        <f>VLOOKUP($A333,'01-02.2021'!$A$6:$CZ$403,82,FALSE)+VLOOKUP($A333,'1.3.21-28.2.22'!$A$6:$DA$404,82,FALSE)-VLOOKUP($A333,'01-02.2022'!$A$6:$DA$376,82,FALSE)</f>
        <v>1634.3501389201815</v>
      </c>
      <c r="CE333" s="70">
        <f t="shared" si="406"/>
        <v>139.05226447376776</v>
      </c>
      <c r="CF333" s="566">
        <f>VLOOKUP($A333,'01-02.2021'!$A$6:$CZ$403,84,FALSE)+VLOOKUP($A333,'1.3.21-28.2.22'!$A$6:$DA$404,84,FALSE)-VLOOKUP($A333,'01-02.2022'!$A$6:$DA$376,84,FALSE)</f>
        <v>181.78425837607844</v>
      </c>
      <c r="CG333" s="566">
        <f>VLOOKUP($A333,'01-02.2021'!$A$6:$CZ$403,85,FALSE)+VLOOKUP($A333,'1.3.21-28.2.22'!$A$6:$DA$404,85,FALSE)-VLOOKUP($A333,'01-02.2022'!$A$6:$DA$376,85,FALSE)</f>
        <v>0</v>
      </c>
      <c r="CH333" s="70">
        <f t="shared" si="407"/>
        <v>-181.78425837607844</v>
      </c>
      <c r="CI333" s="566">
        <f>VLOOKUP($A333,'01-02.2021'!$A$6:$CZ$403,87,FALSE)+VLOOKUP($A333,'1.3.21-28.2.22'!$A$6:$DA$404,87,FALSE)-VLOOKUP($A333,'01-02.2022'!$A$6:$DA$376,87,FALSE)</f>
        <v>4517.2349684535366</v>
      </c>
      <c r="CJ333" s="566">
        <f>VLOOKUP($A333,'01-02.2021'!$A$6:$CZ$403,88,FALSE)+VLOOKUP($A333,'1.3.21-28.2.22'!$A$6:$DA$404,88,FALSE)-VLOOKUP($A333,'01-02.2022'!$A$6:$DA$376,88,FALSE)</f>
        <v>4103.6749202941428</v>
      </c>
      <c r="CK333" s="70">
        <f t="shared" si="408"/>
        <v>-413.56004815939377</v>
      </c>
      <c r="CL333" s="566">
        <f>VLOOKUP($A333,'01-02.2021'!$A$6:$CZ$403,90,FALSE)+VLOOKUP($A333,'1.3.21-28.2.22'!$A$6:$DA$404,90,FALSE)-VLOOKUP($A333,'01-02.2022'!$A$6:$DA$376,90,FALSE)</f>
        <v>0</v>
      </c>
      <c r="CM333" s="566">
        <f>VLOOKUP($A333,'01-02.2021'!$A$6:$CZ$403,91,FALSE)+VLOOKUP($A333,'1.3.21-28.2.22'!$A$6:$DA$404,91,FALSE)-VLOOKUP($A333,'01-02.2022'!$A$6:$DA$376,91,FALSE)</f>
        <v>0</v>
      </c>
      <c r="CN333" s="52">
        <f t="shared" si="360"/>
        <v>0</v>
      </c>
      <c r="CO333" s="39">
        <f t="shared" si="355"/>
        <v>4517.2349684535366</v>
      </c>
      <c r="CP333" s="40">
        <f t="shared" si="361"/>
        <v>4103.6749202941428</v>
      </c>
      <c r="CQ333" s="52">
        <f t="shared" si="362"/>
        <v>-413.56004815939377</v>
      </c>
      <c r="CR333" s="72">
        <f t="shared" si="356"/>
        <v>129410.21875218756</v>
      </c>
      <c r="CS333" s="5">
        <f t="shared" si="356"/>
        <v>128661.81369900063</v>
      </c>
      <c r="CT333" s="52">
        <f t="shared" si="363"/>
        <v>-748.40505318692885</v>
      </c>
      <c r="CU333" s="77">
        <f t="shared" si="364"/>
        <v>155292.26250262506</v>
      </c>
      <c r="CV333" s="65">
        <f t="shared" si="365"/>
        <v>154394.17643880076</v>
      </c>
      <c r="CW333" s="35">
        <f t="shared" si="366"/>
        <v>-898.08606382430298</v>
      </c>
      <c r="CX333" s="566">
        <f>VLOOKUP($A333,'01-02.2021'!$A$6:$CZ$403,102,FALSE)+VLOOKUP($A333,'1.3.21-28.2.22'!$A$6:$DA$404,102,FALSE)-VLOOKUP($A333,'01-02.2022'!$A$6:$DA$376,102,FALSE)</f>
        <v>4919.9361433907934</v>
      </c>
      <c r="CY333" s="566">
        <f>VLOOKUP($A333,'01-02.2021'!$A$6:$CZ$403,103,FALSE)+VLOOKUP($A333,'1.3.21-28.2.22'!$A$6:$DA$404,103,FALSE)-VLOOKUP($A333,'01-02.2022'!$A$6:$DA$376,103,FALSE)</f>
        <v>5818.0222072151264</v>
      </c>
      <c r="CZ333" s="52">
        <f t="shared" si="367"/>
        <v>898.086063824333</v>
      </c>
      <c r="DA333" s="150">
        <f>'[2]побудинковий звіт'!DA333</f>
        <v>-24608.111075132394</v>
      </c>
      <c r="DB333" s="2">
        <v>2</v>
      </c>
      <c r="DC333" s="414">
        <f>'[4]побудинковий звіт'!DC333</f>
        <v>35848.03</v>
      </c>
      <c r="DD333" s="414">
        <f>'[4]побудинковий звіт'!DD333</f>
        <v>0</v>
      </c>
      <c r="DE333" s="557">
        <f>'[4]побудинковий звіт'!DE333</f>
        <v>21332.895278001</v>
      </c>
      <c r="DF333" s="557">
        <f>'[4]побудинковий звіт'!DF333</f>
        <v>0</v>
      </c>
      <c r="DG333" s="321">
        <f>VLOOKUP(A333,'кошти 01.03.2021'!$A$6:$D$401,4,)</f>
        <v>-18745.9761639481</v>
      </c>
      <c r="DH333" s="40">
        <f>'[3]побудинковий звіт'!DJ333</f>
        <v>165714.95096216703</v>
      </c>
      <c r="DI333" s="422">
        <f>'[3]побудинковий звіт'!CU333+'[3]побудинковий звіт'!CX333</f>
        <v>14515.134721998995</v>
      </c>
      <c r="DJ333" s="306">
        <f>'[3]побудинковий звіт'!DM333</f>
        <v>5.5923802251568073</v>
      </c>
      <c r="DK333" s="306">
        <f t="shared" si="377"/>
        <v>5.5923802251568073</v>
      </c>
      <c r="DL333" s="306">
        <f>'[3]побудинковий звіт'!DO333</f>
        <v>5.0369452414504492</v>
      </c>
      <c r="DM333" s="28">
        <f t="shared" si="379"/>
        <v>14515.134721998997</v>
      </c>
      <c r="DN333" s="28">
        <f t="shared" si="380"/>
        <v>0</v>
      </c>
      <c r="DO333" s="423">
        <f t="shared" si="381"/>
        <v>14515.134721998997</v>
      </c>
      <c r="DP333" s="94">
        <f t="shared" si="382"/>
        <v>0</v>
      </c>
      <c r="DQ333" s="28">
        <f t="shared" si="383"/>
        <v>14515.134721998997</v>
      </c>
      <c r="DR333" s="318"/>
      <c r="DT333" s="8"/>
      <c r="DU333" s="5"/>
      <c r="DX333" s="5">
        <f t="shared" si="384"/>
        <v>51976.012811351487</v>
      </c>
      <c r="DY333" s="5">
        <f t="shared" si="385"/>
        <v>53881.2</v>
      </c>
      <c r="DZ333" s="159">
        <f>'[3]побудинковий звіт'!EA333</f>
        <v>4600.111980455692</v>
      </c>
    </row>
    <row r="334" spans="1:130" x14ac:dyDescent="0.3">
      <c r="A334" s="325">
        <v>150000813</v>
      </c>
      <c r="B334" s="41" t="s">
        <v>780</v>
      </c>
      <c r="C334" s="42" t="s">
        <v>189</v>
      </c>
      <c r="D334" s="42"/>
      <c r="E334" s="293">
        <f t="shared" si="353"/>
        <v>373.3</v>
      </c>
      <c r="F334" s="305">
        <f>'[3]побудинковий звіт'!F334</f>
        <v>373.3</v>
      </c>
      <c r="G334" s="508">
        <f>'[3]побудинковий звіт'!G334</f>
        <v>0</v>
      </c>
      <c r="H334" s="560">
        <f>'[3]побудинковий звіт'!H334</f>
        <v>0</v>
      </c>
      <c r="I334" s="566">
        <f>VLOOKUP($A334,'01-02.2021'!$A$6:$CZ$403,9,FALSE)+VLOOKUP($A334,'1.3.21-28.2.22'!$A$6:$DA$404,9,FALSE)-VLOOKUP($A334,'01-02.2022'!$A$6:$DA$376,9,FALSE)</f>
        <v>1267.4767046505483</v>
      </c>
      <c r="J334" s="566">
        <f>VLOOKUP($A334,'01-02.2021'!$A$6:$CZ$403,10,FALSE)+VLOOKUP($A334,'1.3.21-28.2.22'!$A$6:$DA$404,10,FALSE)-VLOOKUP($A334,'01-02.2022'!$A$6:$DA$376,10,FALSE)</f>
        <v>1311.9917199982553</v>
      </c>
      <c r="K334" s="52">
        <f t="shared" si="357"/>
        <v>44.515015347707049</v>
      </c>
      <c r="L334" s="566">
        <f>VLOOKUP($A334,'01-02.2021'!$A$6:$CZ$403,12,FALSE)+VLOOKUP($A334,'1.3.21-28.2.22'!$A$6:$DA$404,12,FALSE)-VLOOKUP($A334,'01-02.2022'!$A$6:$DA$376,12,FALSE)</f>
        <v>331.7165684745982</v>
      </c>
      <c r="M334" s="566">
        <f>VLOOKUP($A334,'01-02.2021'!$A$6:$CZ$403,13,FALSE)+VLOOKUP($A334,'1.3.21-28.2.22'!$A$6:$DA$404,13,FALSE)-VLOOKUP($A334,'01-02.2022'!$A$6:$DA$376,13,FALSE)</f>
        <v>331.20624763929487</v>
      </c>
      <c r="N334" s="52">
        <f t="shared" si="358"/>
        <v>-0.51032083530333239</v>
      </c>
      <c r="O334" s="566">
        <f>VLOOKUP($A334,'01-02.2021'!$A$6:$CZ$403,15,FALSE)+VLOOKUP($A334,'1.3.21-28.2.22'!$A$6:$DA$404,15,FALSE)-VLOOKUP($A334,'01-02.2022'!$A$6:$DA$376,15,FALSE)</f>
        <v>0</v>
      </c>
      <c r="P334" s="566">
        <f>VLOOKUP($A334,'01-02.2021'!$A$6:$CZ$403,16,FALSE)+VLOOKUP($A334,'1.3.21-28.2.22'!$A$6:$DA$404,16,FALSE)-VLOOKUP($A334,'01-02.2022'!$A$6:$DA$376,16,FALSE)</f>
        <v>0</v>
      </c>
      <c r="Q334" s="70">
        <f t="shared" si="386"/>
        <v>0</v>
      </c>
      <c r="R334" s="566">
        <f>VLOOKUP($A334,'01-02.2021'!$A$6:$CZ$403,18,FALSE)+VLOOKUP($A334,'1.3.21-28.2.22'!$A$6:$DA$404,18,FALSE)-VLOOKUP($A334,'01-02.2022'!$A$6:$DA$376,18,FALSE)</f>
        <v>0</v>
      </c>
      <c r="S334" s="566">
        <f>VLOOKUP($A334,'01-02.2021'!$A$6:$CZ$403,19,FALSE)+VLOOKUP($A334,'1.3.21-28.2.22'!$A$6:$DA$404,19,FALSE)-VLOOKUP($A334,'01-02.2022'!$A$6:$DA$376,19,FALSE)</f>
        <v>0</v>
      </c>
      <c r="T334" s="70">
        <f t="shared" si="387"/>
        <v>0</v>
      </c>
      <c r="U334" s="566">
        <f>VLOOKUP($A334,'01-02.2021'!$A$6:$CZ$403,21,FALSE)+VLOOKUP($A334,'1.3.21-28.2.22'!$A$6:$DA$404,21,FALSE)-VLOOKUP($A334,'01-02.2022'!$A$6:$DA$376,21,FALSE)</f>
        <v>0</v>
      </c>
      <c r="V334" s="566">
        <f>VLOOKUP($A334,'01-02.2021'!$A$6:$CZ$403,22,FALSE)+VLOOKUP($A334,'1.3.21-28.2.22'!$A$6:$DA$404,22,FALSE)-VLOOKUP($A334,'01-02.2022'!$A$6:$DA$376,22,FALSE)</f>
        <v>0</v>
      </c>
      <c r="W334" s="70">
        <f t="shared" si="388"/>
        <v>0</v>
      </c>
      <c r="X334" s="566">
        <f>VLOOKUP($A334,'01-02.2021'!$A$6:$CZ$403,24,FALSE)+VLOOKUP($A334,'1.3.21-28.2.22'!$A$6:$DA$404,24,FALSE)-VLOOKUP($A334,'01-02.2022'!$A$6:$DA$376,24,FALSE)</f>
        <v>657.58545285764296</v>
      </c>
      <c r="Y334" s="566">
        <f>VLOOKUP($A334,'01-02.2021'!$A$6:$CZ$403,25,FALSE)+VLOOKUP($A334,'1.3.21-28.2.22'!$A$6:$DA$404,25,FALSE)-VLOOKUP($A334,'01-02.2022'!$A$6:$DA$376,25,FALSE)</f>
        <v>581.5701694173581</v>
      </c>
      <c r="Z334" s="70">
        <f t="shared" si="389"/>
        <v>-76.015283440284861</v>
      </c>
      <c r="AA334" s="566">
        <f>VLOOKUP($A334,'01-02.2021'!$A$6:$CZ$403,27,FALSE)+VLOOKUP($A334,'1.3.21-28.2.22'!$A$6:$DA$404,27,FALSE)-VLOOKUP($A334,'01-02.2022'!$A$6:$DA$376,27,FALSE)</f>
        <v>74.66</v>
      </c>
      <c r="AB334" s="566">
        <f>VLOOKUP($A334,'01-02.2021'!$A$6:$CZ$403,28,FALSE)+VLOOKUP($A334,'1.3.21-28.2.22'!$A$6:$DA$404,28,FALSE)-VLOOKUP($A334,'01-02.2022'!$A$6:$DA$376,28,FALSE)</f>
        <v>0</v>
      </c>
      <c r="AC334" s="70">
        <f t="shared" si="390"/>
        <v>-74.66</v>
      </c>
      <c r="AD334" s="566">
        <f>VLOOKUP($A334,'01-02.2021'!$A$6:$CZ$403,30,FALSE)+VLOOKUP($A334,'1.3.21-28.2.22'!$A$6:$DA$404,30,FALSE)-VLOOKUP($A334,'01-02.2022'!$A$6:$DA$376,30,FALSE)</f>
        <v>1528.761745082179</v>
      </c>
      <c r="AE334" s="566">
        <f>VLOOKUP($A334,'01-02.2021'!$A$6:$CZ$403,31,FALSE)+VLOOKUP($A334,'1.3.21-28.2.22'!$A$6:$DA$404,31,FALSE)-VLOOKUP($A334,'01-02.2022'!$A$6:$DA$376,31,FALSE)</f>
        <v>1699.276641097058</v>
      </c>
      <c r="AF334" s="68">
        <f t="shared" si="391"/>
        <v>170.51489601487901</v>
      </c>
      <c r="AG334" s="77">
        <f t="shared" si="354"/>
        <v>3860.2004710649685</v>
      </c>
      <c r="AH334" s="53">
        <f t="shared" si="354"/>
        <v>3924.0447781519661</v>
      </c>
      <c r="AI334" s="52">
        <f t="shared" si="359"/>
        <v>63.84430708699756</v>
      </c>
      <c r="AJ334" s="566">
        <f>VLOOKUP($A334,'01-02.2021'!$A$6:$CZ$403,36,FALSE)+VLOOKUP($A334,'1.3.21-28.2.22'!$A$6:$DA$404,36,FALSE)-VLOOKUP($A334,'01-02.2022'!$A$6:$DA$376,36,FALSE)</f>
        <v>0</v>
      </c>
      <c r="AK334" s="566">
        <f>VLOOKUP($A334,'01-02.2021'!$A$6:$CZ$403,37,FALSE)+VLOOKUP($A334,'1.3.21-28.2.22'!$A$6:$DA$404,37,FALSE)-VLOOKUP($A334,'01-02.2022'!$A$6:$DA$376,37,FALSE)</f>
        <v>0</v>
      </c>
      <c r="AL334" s="70">
        <f t="shared" si="392"/>
        <v>0</v>
      </c>
      <c r="AM334" s="566">
        <f>VLOOKUP($A334,'01-02.2021'!$A$6:$CZ$403,39,FALSE)+VLOOKUP($A334,'1.3.21-28.2.22'!$A$6:$DA$404,39,FALSE)-VLOOKUP($A334,'01-02.2022'!$A$6:$DA$376,39,FALSE)</f>
        <v>0</v>
      </c>
      <c r="AN334" s="566">
        <f>VLOOKUP($A334,'01-02.2021'!$A$6:$CZ$403,40,FALSE)+VLOOKUP($A334,'1.3.21-28.2.22'!$A$6:$DA$404,40,FALSE)-VLOOKUP($A334,'01-02.2022'!$A$6:$DA$376,40,FALSE)</f>
        <v>0</v>
      </c>
      <c r="AO334" s="70">
        <f t="shared" si="393"/>
        <v>0</v>
      </c>
      <c r="AP334" s="566">
        <f>VLOOKUP($A334,'01-02.2021'!$A$6:$CZ$403,42,FALSE)+VLOOKUP($A334,'1.3.21-28.2.22'!$A$6:$DA$404,42,FALSE)-VLOOKUP($A334,'01-02.2022'!$A$6:$DA$376,42,FALSE)</f>
        <v>347.03995000851819</v>
      </c>
      <c r="AQ334" s="566">
        <f>VLOOKUP($A334,'01-02.2021'!$A$6:$CZ$403,43,FALSE)+VLOOKUP($A334,'1.3.21-28.2.22'!$A$6:$DA$404,43,FALSE)-VLOOKUP($A334,'01-02.2022'!$A$6:$DA$376,43,FALSE)</f>
        <v>299.17633281993915</v>
      </c>
      <c r="AR334" s="70">
        <f t="shared" si="394"/>
        <v>-47.863617188579042</v>
      </c>
      <c r="AS334" s="566">
        <f>VLOOKUP($A334,'01-02.2021'!$A$6:$CZ$403,45,FALSE)+VLOOKUP($A334,'1.3.21-28.2.22'!$A$6:$DA$404,45,FALSE)-VLOOKUP($A334,'01-02.2022'!$A$6:$DA$376,45,FALSE)</f>
        <v>3984.5238805364811</v>
      </c>
      <c r="AT334" s="566">
        <f>VLOOKUP($A334,'01-02.2021'!$A$6:$CZ$403,46,FALSE)+VLOOKUP($A334,'1.3.21-28.2.22'!$A$6:$DA$404,46,FALSE)-VLOOKUP($A334,'01-02.2022'!$A$6:$DA$376,46,FALSE)</f>
        <v>1406</v>
      </c>
      <c r="AU334" s="78">
        <f t="shared" si="395"/>
        <v>-2578.5238805364811</v>
      </c>
      <c r="AV334" s="566">
        <f>VLOOKUP($A334,'01-02.2021'!$A$6:$CZ$403,48,FALSE)+VLOOKUP($A334,'1.3.21-28.2.22'!$A$6:$DA$404,48,FALSE)-VLOOKUP($A334,'01-02.2022'!$A$6:$DA$376,48,FALSE)</f>
        <v>560.71518057746709</v>
      </c>
      <c r="AW334" s="566">
        <f>VLOOKUP($A334,'01-02.2021'!$A$6:$CZ$403,49,FALSE)+VLOOKUP($A334,'1.3.21-28.2.22'!$A$6:$DA$404,49,FALSE)-VLOOKUP($A334,'01-02.2022'!$A$6:$DA$376,49,FALSE)</f>
        <v>0</v>
      </c>
      <c r="AX334" s="55">
        <f t="shared" si="396"/>
        <v>-560.71518057746709</v>
      </c>
      <c r="AY334" s="566">
        <f>VLOOKUP($A334,'01-02.2021'!$A$6:$CZ$403,51,FALSE)+VLOOKUP($A334,'1.3.21-28.2.22'!$A$6:$DA$404,51,FALSE)-VLOOKUP($A334,'01-02.2022'!$A$6:$DA$376,51,FALSE)</f>
        <v>623.54396454673031</v>
      </c>
      <c r="AZ334" s="566">
        <f>VLOOKUP($A334,'01-02.2021'!$A$6:$CZ$403,52,FALSE)+VLOOKUP($A334,'1.3.21-28.2.22'!$A$6:$DA$404,52,FALSE)-VLOOKUP($A334,'01-02.2022'!$A$6:$DA$376,52,FALSE)</f>
        <v>0</v>
      </c>
      <c r="BA334" s="38">
        <f t="shared" si="397"/>
        <v>-623.54396454673031</v>
      </c>
      <c r="BB334" s="566">
        <f>VLOOKUP($A334,'01-02.2021'!$A$6:$CZ$403,54,FALSE)+VLOOKUP($A334,'1.3.21-28.2.22'!$A$6:$DA$404,54,FALSE)-VLOOKUP($A334,'01-02.2022'!$A$6:$DA$376,54,FALSE)</f>
        <v>0</v>
      </c>
      <c r="BC334" s="566">
        <f>VLOOKUP($A334,'01-02.2021'!$A$6:$CZ$403,55,FALSE)+VLOOKUP($A334,'1.3.21-28.2.22'!$A$6:$DA$404,55,FALSE)-VLOOKUP($A334,'01-02.2022'!$A$6:$DA$376,55,FALSE)</f>
        <v>0</v>
      </c>
      <c r="BD334" s="55">
        <f t="shared" si="398"/>
        <v>0</v>
      </c>
      <c r="BE334" s="566">
        <f>VLOOKUP($A334,'01-02.2021'!$A$6:$CZ$403,57,FALSE)+VLOOKUP($A334,'1.3.21-28.2.22'!$A$6:$DA$404,57,FALSE)-VLOOKUP($A334,'01-02.2022'!$A$6:$DA$376,57,FALSE)</f>
        <v>0</v>
      </c>
      <c r="BF334" s="566">
        <f>VLOOKUP($A334,'01-02.2021'!$A$6:$CZ$403,58,FALSE)+VLOOKUP($A334,'1.3.21-28.2.22'!$A$6:$DA$404,58,FALSE)-VLOOKUP($A334,'01-02.2022'!$A$6:$DA$376,58,FALSE)</f>
        <v>0</v>
      </c>
      <c r="BG334" s="55">
        <f t="shared" si="399"/>
        <v>0</v>
      </c>
      <c r="BH334" s="566">
        <f>VLOOKUP($A334,'01-02.2021'!$A$6:$CZ$403,60,FALSE)+VLOOKUP($A334,'1.3.21-28.2.22'!$A$6:$DA$404,60,FALSE)-VLOOKUP($A334,'01-02.2022'!$A$6:$DA$376,60,FALSE)</f>
        <v>0</v>
      </c>
      <c r="BI334" s="566">
        <f>VLOOKUP($A334,'01-02.2021'!$A$6:$CZ$403,61,FALSE)+VLOOKUP($A334,'1.3.21-28.2.22'!$A$6:$DA$404,61,FALSE)-VLOOKUP($A334,'01-02.2022'!$A$6:$DA$376,61,FALSE)</f>
        <v>0</v>
      </c>
      <c r="BJ334" s="55">
        <f t="shared" si="400"/>
        <v>0</v>
      </c>
      <c r="BK334" s="566">
        <f>VLOOKUP($A334,'01-02.2021'!$A$6:$CZ$403,63,FALSE)+VLOOKUP($A334,'1.3.21-28.2.22'!$A$6:$DA$404,63,FALSE)-VLOOKUP($A334,'01-02.2022'!$A$6:$DA$376,63,FALSE)</f>
        <v>159.83734092754833</v>
      </c>
      <c r="BL334" s="566">
        <f>VLOOKUP($A334,'01-02.2021'!$A$6:$CZ$403,64,FALSE)+VLOOKUP($A334,'1.3.21-28.2.22'!$A$6:$DA$404,64,FALSE)-VLOOKUP($A334,'01-02.2022'!$A$6:$DA$376,64,FALSE)</f>
        <v>0</v>
      </c>
      <c r="BM334" s="55">
        <f t="shared" si="401"/>
        <v>-159.83734092754833</v>
      </c>
      <c r="BN334" s="566">
        <f>VLOOKUP($A334,'01-02.2021'!$A$6:$CZ$403,66,FALSE)+VLOOKUP($A334,'1.3.21-28.2.22'!$A$6:$DA$404,66,FALSE)-VLOOKUP($A334,'01-02.2022'!$A$6:$DA$376,66,FALSE)</f>
        <v>18.664999999999999</v>
      </c>
      <c r="BO334" s="566">
        <f>VLOOKUP($A334,'01-02.2021'!$A$6:$CZ$403,67,FALSE)+VLOOKUP($A334,'1.3.21-28.2.22'!$A$6:$DA$404,67,FALSE)-VLOOKUP($A334,'01-02.2022'!$A$6:$DA$376,67,FALSE)</f>
        <v>0</v>
      </c>
      <c r="BP334" s="55">
        <f t="shared" si="402"/>
        <v>-18.664999999999999</v>
      </c>
      <c r="BQ334" s="77">
        <f t="shared" si="348"/>
        <v>1362.7614860517456</v>
      </c>
      <c r="BR334" s="40">
        <f t="shared" si="375"/>
        <v>0</v>
      </c>
      <c r="BS334" s="55">
        <f t="shared" si="369"/>
        <v>-1362.7614860517456</v>
      </c>
      <c r="BT334" s="566">
        <f>VLOOKUP($A334,'01-02.2021'!$A$6:$CZ$403,72,FALSE)+VLOOKUP($A334,'1.3.21-28.2.22'!$A$6:$DA$404,72,FALSE)-VLOOKUP($A334,'01-02.2022'!$A$6:$DA$376,72,FALSE)</f>
        <v>2441.4421260524755</v>
      </c>
      <c r="BU334" s="566">
        <f>VLOOKUP($A334,'01-02.2021'!$A$6:$CZ$403,73,FALSE)+VLOOKUP($A334,'1.3.21-28.2.22'!$A$6:$DA$404,73,FALSE)-VLOOKUP($A334,'01-02.2022'!$A$6:$DA$376,73,FALSE)</f>
        <v>2841.3829181346773</v>
      </c>
      <c r="BV334" s="70">
        <f t="shared" si="403"/>
        <v>399.94079208220182</v>
      </c>
      <c r="BW334" s="566">
        <f>VLOOKUP($A334,'01-02.2021'!$A$6:$CZ$403,75,FALSE)+VLOOKUP($A334,'1.3.21-28.2.22'!$A$6:$DA$404,75,FALSE)-VLOOKUP($A334,'01-02.2022'!$A$6:$DA$376,75,FALSE)</f>
        <v>2114.2193544205929</v>
      </c>
      <c r="BX334" s="566">
        <f>VLOOKUP($A334,'01-02.2021'!$A$6:$CZ$403,76,FALSE)+VLOOKUP($A334,'1.3.21-28.2.22'!$A$6:$DA$404,76,FALSE)-VLOOKUP($A334,'01-02.2022'!$A$6:$DA$376,76,FALSE)</f>
        <v>2397.9182322775187</v>
      </c>
      <c r="BY334" s="70">
        <f t="shared" si="404"/>
        <v>283.69887785692572</v>
      </c>
      <c r="BZ334" s="566">
        <f>VLOOKUP($A334,'01-02.2021'!$A$6:$CZ$403,78,FALSE)+VLOOKUP($A334,'1.3.21-28.2.22'!$A$6:$DA$404,78,FALSE)-VLOOKUP($A334,'01-02.2022'!$A$6:$DA$376,78,FALSE)</f>
        <v>898.26152118146626</v>
      </c>
      <c r="CA334" s="566">
        <f>VLOOKUP($A334,'01-02.2021'!$A$6:$CZ$403,79,FALSE)+VLOOKUP($A334,'1.3.21-28.2.22'!$A$6:$DA$404,79,FALSE)-VLOOKUP($A334,'01-02.2022'!$A$6:$DA$376,79,FALSE)</f>
        <v>361.70533884116549</v>
      </c>
      <c r="CB334" s="70">
        <f t="shared" si="405"/>
        <v>-536.55618234030078</v>
      </c>
      <c r="CC334" s="566">
        <f>VLOOKUP($A334,'01-02.2021'!$A$6:$CZ$403,81,FALSE)+VLOOKUP($A334,'1.3.21-28.2.22'!$A$6:$DA$404,81,FALSE)-VLOOKUP($A334,'01-02.2022'!$A$6:$DA$376,81,FALSE)</f>
        <v>0</v>
      </c>
      <c r="CD334" s="566">
        <f>VLOOKUP($A334,'01-02.2021'!$A$6:$CZ$403,82,FALSE)+VLOOKUP($A334,'1.3.21-28.2.22'!$A$6:$DA$404,82,FALSE)-VLOOKUP($A334,'01-02.2022'!$A$6:$DA$376,82,FALSE)</f>
        <v>0</v>
      </c>
      <c r="CE334" s="70">
        <f t="shared" si="406"/>
        <v>0</v>
      </c>
      <c r="CF334" s="566">
        <f>VLOOKUP($A334,'01-02.2021'!$A$6:$CZ$403,84,FALSE)+VLOOKUP($A334,'1.3.21-28.2.22'!$A$6:$DA$404,84,FALSE)-VLOOKUP($A334,'01-02.2022'!$A$6:$DA$376,84,FALSE)</f>
        <v>0</v>
      </c>
      <c r="CG334" s="566">
        <f>VLOOKUP($A334,'01-02.2021'!$A$6:$CZ$403,85,FALSE)+VLOOKUP($A334,'1.3.21-28.2.22'!$A$6:$DA$404,85,FALSE)-VLOOKUP($A334,'01-02.2022'!$A$6:$DA$376,85,FALSE)</f>
        <v>0</v>
      </c>
      <c r="CH334" s="70">
        <f t="shared" si="407"/>
        <v>0</v>
      </c>
      <c r="CI334" s="566">
        <f>VLOOKUP($A334,'01-02.2021'!$A$6:$CZ$403,87,FALSE)+VLOOKUP($A334,'1.3.21-28.2.22'!$A$6:$DA$404,87,FALSE)-VLOOKUP($A334,'01-02.2022'!$A$6:$DA$376,87,FALSE)</f>
        <v>888.52781766810403</v>
      </c>
      <c r="CJ334" s="566">
        <f>VLOOKUP($A334,'01-02.2021'!$A$6:$CZ$403,88,FALSE)+VLOOKUP($A334,'1.3.21-28.2.22'!$A$6:$DA$404,88,FALSE)-VLOOKUP($A334,'01-02.2022'!$A$6:$DA$376,88,FALSE)</f>
        <v>642.52777888869264</v>
      </c>
      <c r="CK334" s="70">
        <f t="shared" si="408"/>
        <v>-246.0000387794114</v>
      </c>
      <c r="CL334" s="566">
        <f>VLOOKUP($A334,'01-02.2021'!$A$6:$CZ$403,90,FALSE)+VLOOKUP($A334,'1.3.21-28.2.22'!$A$6:$DA$404,90,FALSE)-VLOOKUP($A334,'01-02.2022'!$A$6:$DA$376,90,FALSE)</f>
        <v>0</v>
      </c>
      <c r="CM334" s="566">
        <f>VLOOKUP($A334,'01-02.2021'!$A$6:$CZ$403,91,FALSE)+VLOOKUP($A334,'1.3.21-28.2.22'!$A$6:$DA$404,91,FALSE)-VLOOKUP($A334,'01-02.2022'!$A$6:$DA$376,91,FALSE)</f>
        <v>0</v>
      </c>
      <c r="CN334" s="52">
        <f t="shared" si="360"/>
        <v>0</v>
      </c>
      <c r="CO334" s="39">
        <f t="shared" si="355"/>
        <v>888.52781766810403</v>
      </c>
      <c r="CP334" s="40">
        <f t="shared" si="361"/>
        <v>642.52777888869264</v>
      </c>
      <c r="CQ334" s="52">
        <f t="shared" si="362"/>
        <v>-246.0000387794114</v>
      </c>
      <c r="CR334" s="72">
        <f t="shared" si="356"/>
        <v>15896.976606984354</v>
      </c>
      <c r="CS334" s="5">
        <f t="shared" si="356"/>
        <v>11872.755379113962</v>
      </c>
      <c r="CT334" s="52">
        <f t="shared" si="363"/>
        <v>-4024.2212278703919</v>
      </c>
      <c r="CU334" s="77">
        <f t="shared" si="364"/>
        <v>19076.371928381224</v>
      </c>
      <c r="CV334" s="65">
        <f t="shared" si="365"/>
        <v>14247.306454936754</v>
      </c>
      <c r="CW334" s="35">
        <f t="shared" si="366"/>
        <v>-4829.0654734444706</v>
      </c>
      <c r="CX334" s="566">
        <f>VLOOKUP($A334,'01-02.2021'!$A$6:$CZ$403,102,FALSE)+VLOOKUP($A334,'1.3.21-28.2.22'!$A$6:$DA$404,102,FALSE)-VLOOKUP($A334,'01-02.2022'!$A$6:$DA$376,102,FALSE)</f>
        <v>541.13811045451723</v>
      </c>
      <c r="CY334" s="566">
        <f>VLOOKUP($A334,'01-02.2021'!$A$6:$CZ$403,103,FALSE)+VLOOKUP($A334,'1.3.21-28.2.22'!$A$6:$DA$404,103,FALSE)-VLOOKUP($A334,'01-02.2022'!$A$6:$DA$376,103,FALSE)</f>
        <v>5370.2035838989905</v>
      </c>
      <c r="CZ334" s="52">
        <f t="shared" si="367"/>
        <v>4829.0654734444734</v>
      </c>
      <c r="DA334" s="150">
        <f>'[2]побудинковий звіт'!DA334</f>
        <v>-6783.8290392756098</v>
      </c>
      <c r="DB334" s="2">
        <v>3</v>
      </c>
      <c r="DC334" s="414">
        <f>'[4]побудинковий звіт'!DC334</f>
        <v>15536.38</v>
      </c>
      <c r="DD334" s="414">
        <f>'[4]побудинковий звіт'!DD334</f>
        <v>0</v>
      </c>
      <c r="DE334" s="557">
        <f>'[4]побудинковий звіт'!DE334</f>
        <v>13754.139549900738</v>
      </c>
      <c r="DF334" s="557">
        <f>'[4]побудинковий звіт'!DF334</f>
        <v>0</v>
      </c>
      <c r="DG334" s="321">
        <f>VLOOKUP(A334,'кошти 01.03.2021'!$A$6:$D$401,4,)</f>
        <v>-1447.2722773284599</v>
      </c>
      <c r="DH334" s="40">
        <f>'[3]побудинковий звіт'!DJ334</f>
        <v>20314.900169670676</v>
      </c>
      <c r="DI334" s="422">
        <f>'[3]побудинковий звіт'!CU334+'[3]побудинковий звіт'!CX334</f>
        <v>1782.2404500992623</v>
      </c>
      <c r="DJ334" s="306">
        <f>'[3]побудинковий звіт'!DM334</f>
        <v>4.7742846238930143</v>
      </c>
      <c r="DK334" s="306">
        <f t="shared" si="377"/>
        <v>4.7742846238930143</v>
      </c>
      <c r="DL334" s="306">
        <f>'[3]побудинковий звіт'!DO334</f>
        <v>4.0822833867114667</v>
      </c>
      <c r="DM334" s="28">
        <f t="shared" si="379"/>
        <v>1782.2404500992623</v>
      </c>
      <c r="DN334" s="28">
        <f t="shared" si="380"/>
        <v>0</v>
      </c>
      <c r="DO334" s="423">
        <f t="shared" si="381"/>
        <v>1782.2404500992623</v>
      </c>
      <c r="DP334" s="94">
        <f t="shared" si="382"/>
        <v>0</v>
      </c>
      <c r="DQ334" s="28">
        <f t="shared" si="383"/>
        <v>1782.2404500992623</v>
      </c>
      <c r="DR334" s="318"/>
      <c r="DT334" s="8"/>
      <c r="DU334" s="5"/>
      <c r="DX334" s="5">
        <f t="shared" si="384"/>
        <v>6416.7424399058718</v>
      </c>
      <c r="DY334" s="5">
        <f t="shared" si="385"/>
        <v>1687.2</v>
      </c>
      <c r="DZ334" s="159">
        <f>'[3]побудинковий звіт'!EA334</f>
        <v>567.52339962650842</v>
      </c>
    </row>
    <row r="335" spans="1:130" x14ac:dyDescent="0.3">
      <c r="A335" s="325">
        <v>150000814</v>
      </c>
      <c r="B335" s="41" t="s">
        <v>781</v>
      </c>
      <c r="C335" s="42" t="s">
        <v>305</v>
      </c>
      <c r="D335" s="42"/>
      <c r="E335" s="293">
        <f t="shared" si="353"/>
        <v>3235</v>
      </c>
      <c r="F335" s="305">
        <f>'[3]побудинковий звіт'!F335</f>
        <v>2559.3000000000002</v>
      </c>
      <c r="G335" s="508">
        <f>'[3]побудинковий звіт'!G335</f>
        <v>0</v>
      </c>
      <c r="H335" s="560">
        <f>'[3]побудинковий звіт'!H335</f>
        <v>675.7</v>
      </c>
      <c r="I335" s="566">
        <f>VLOOKUP($A335,'01-02.2021'!$A$6:$CZ$403,9,FALSE)+VLOOKUP($A335,'1.3.21-28.2.22'!$A$6:$DA$404,9,FALSE)-VLOOKUP($A335,'01-02.2022'!$A$6:$DA$376,9,FALSE)</f>
        <v>10003.651689260016</v>
      </c>
      <c r="J335" s="566">
        <f>VLOOKUP($A335,'01-02.2021'!$A$6:$CZ$403,10,FALSE)+VLOOKUP($A335,'1.3.21-28.2.22'!$A$6:$DA$404,10,FALSE)-VLOOKUP($A335,'01-02.2022'!$A$6:$DA$376,10,FALSE)</f>
        <v>12643.516397602232</v>
      </c>
      <c r="K335" s="52">
        <f t="shared" si="357"/>
        <v>2639.8647083422165</v>
      </c>
      <c r="L335" s="566">
        <f>VLOOKUP($A335,'01-02.2021'!$A$6:$CZ$403,12,FALSE)+VLOOKUP($A335,'1.3.21-28.2.22'!$A$6:$DA$404,12,FALSE)-VLOOKUP($A335,'01-02.2022'!$A$6:$DA$376,12,FALSE)</f>
        <v>2137.3614138836842</v>
      </c>
      <c r="M335" s="566">
        <f>VLOOKUP($A335,'01-02.2021'!$A$6:$CZ$403,13,FALSE)+VLOOKUP($A335,'1.3.21-28.2.22'!$A$6:$DA$404,13,FALSE)-VLOOKUP($A335,'01-02.2022'!$A$6:$DA$376,13,FALSE)</f>
        <v>2367.0259076426373</v>
      </c>
      <c r="N335" s="52">
        <f t="shared" si="358"/>
        <v>229.66449375895309</v>
      </c>
      <c r="O335" s="566">
        <f>VLOOKUP($A335,'01-02.2021'!$A$6:$CZ$403,15,FALSE)+VLOOKUP($A335,'1.3.21-28.2.22'!$A$6:$DA$404,15,FALSE)-VLOOKUP($A335,'01-02.2022'!$A$6:$DA$376,15,FALSE)</f>
        <v>3513.0773051076412</v>
      </c>
      <c r="P335" s="566">
        <f>VLOOKUP($A335,'01-02.2021'!$A$6:$CZ$403,16,FALSE)+VLOOKUP($A335,'1.3.21-28.2.22'!$A$6:$DA$404,16,FALSE)-VLOOKUP($A335,'01-02.2022'!$A$6:$DA$376,16,FALSE)</f>
        <v>3514.4150000000013</v>
      </c>
      <c r="Q335" s="70">
        <f t="shared" si="386"/>
        <v>1.3376948923601049</v>
      </c>
      <c r="R335" s="566">
        <f>VLOOKUP($A335,'01-02.2021'!$A$6:$CZ$403,18,FALSE)+VLOOKUP($A335,'1.3.21-28.2.22'!$A$6:$DA$404,18,FALSE)-VLOOKUP($A335,'01-02.2022'!$A$6:$DA$376,18,FALSE)</f>
        <v>0</v>
      </c>
      <c r="S335" s="566">
        <f>VLOOKUP($A335,'01-02.2021'!$A$6:$CZ$403,19,FALSE)+VLOOKUP($A335,'1.3.21-28.2.22'!$A$6:$DA$404,19,FALSE)-VLOOKUP($A335,'01-02.2022'!$A$6:$DA$376,19,FALSE)</f>
        <v>0</v>
      </c>
      <c r="T335" s="70">
        <f t="shared" si="387"/>
        <v>0</v>
      </c>
      <c r="U335" s="566">
        <f>VLOOKUP($A335,'01-02.2021'!$A$6:$CZ$403,21,FALSE)+VLOOKUP($A335,'1.3.21-28.2.22'!$A$6:$DA$404,21,FALSE)-VLOOKUP($A335,'01-02.2022'!$A$6:$DA$376,21,FALSE)</f>
        <v>0</v>
      </c>
      <c r="V335" s="566">
        <f>VLOOKUP($A335,'01-02.2021'!$A$6:$CZ$403,22,FALSE)+VLOOKUP($A335,'1.3.21-28.2.22'!$A$6:$DA$404,22,FALSE)-VLOOKUP($A335,'01-02.2022'!$A$6:$DA$376,22,FALSE)</f>
        <v>0</v>
      </c>
      <c r="W335" s="70">
        <f t="shared" si="388"/>
        <v>0</v>
      </c>
      <c r="X335" s="566">
        <f>VLOOKUP($A335,'01-02.2021'!$A$6:$CZ$403,24,FALSE)+VLOOKUP($A335,'1.3.21-28.2.22'!$A$6:$DA$404,24,FALSE)-VLOOKUP($A335,'01-02.2022'!$A$6:$DA$376,24,FALSE)</f>
        <v>5728.825416022084</v>
      </c>
      <c r="Y335" s="566">
        <f>VLOOKUP($A335,'01-02.2021'!$A$6:$CZ$403,25,FALSE)+VLOOKUP($A335,'1.3.21-28.2.22'!$A$6:$DA$404,25,FALSE)-VLOOKUP($A335,'01-02.2022'!$A$6:$DA$376,25,FALSE)</f>
        <v>4602.9334037040562</v>
      </c>
      <c r="Z335" s="70">
        <f t="shared" si="389"/>
        <v>-1125.8920123180278</v>
      </c>
      <c r="AA335" s="566">
        <f>VLOOKUP($A335,'01-02.2021'!$A$6:$CZ$403,27,FALSE)+VLOOKUP($A335,'1.3.21-28.2.22'!$A$6:$DA$404,27,FALSE)-VLOOKUP($A335,'01-02.2022'!$A$6:$DA$376,27,FALSE)</f>
        <v>646.48</v>
      </c>
      <c r="AB335" s="566">
        <f>VLOOKUP($A335,'01-02.2021'!$A$6:$CZ$403,28,FALSE)+VLOOKUP($A335,'1.3.21-28.2.22'!$A$6:$DA$404,28,FALSE)-VLOOKUP($A335,'01-02.2022'!$A$6:$DA$376,28,FALSE)</f>
        <v>0</v>
      </c>
      <c r="AC335" s="70">
        <f t="shared" si="390"/>
        <v>-646.48</v>
      </c>
      <c r="AD335" s="566">
        <f>VLOOKUP($A335,'01-02.2021'!$A$6:$CZ$403,30,FALSE)+VLOOKUP($A335,'1.3.21-28.2.22'!$A$6:$DA$404,30,FALSE)-VLOOKUP($A335,'01-02.2022'!$A$6:$DA$376,30,FALSE)</f>
        <v>13823.553192694764</v>
      </c>
      <c r="AE335" s="566">
        <f>VLOOKUP($A335,'01-02.2021'!$A$6:$CZ$403,31,FALSE)+VLOOKUP($A335,'1.3.21-28.2.22'!$A$6:$DA$404,31,FALSE)-VLOOKUP($A335,'01-02.2022'!$A$6:$DA$376,31,FALSE)</f>
        <v>15600.433433306473</v>
      </c>
      <c r="AF335" s="68">
        <f t="shared" si="391"/>
        <v>1776.8802406117084</v>
      </c>
      <c r="AG335" s="77">
        <f t="shared" si="354"/>
        <v>35852.949016968189</v>
      </c>
      <c r="AH335" s="53">
        <f t="shared" si="354"/>
        <v>38728.324142255398</v>
      </c>
      <c r="AI335" s="52">
        <f t="shared" si="359"/>
        <v>2875.3751252872098</v>
      </c>
      <c r="AJ335" s="566">
        <f>VLOOKUP($A335,'01-02.2021'!$A$6:$CZ$403,36,FALSE)+VLOOKUP($A335,'1.3.21-28.2.22'!$A$6:$DA$404,36,FALSE)-VLOOKUP($A335,'01-02.2022'!$A$6:$DA$376,36,FALSE)</f>
        <v>0</v>
      </c>
      <c r="AK335" s="566">
        <f>VLOOKUP($A335,'01-02.2021'!$A$6:$CZ$403,37,FALSE)+VLOOKUP($A335,'1.3.21-28.2.22'!$A$6:$DA$404,37,FALSE)-VLOOKUP($A335,'01-02.2022'!$A$6:$DA$376,37,FALSE)</f>
        <v>0</v>
      </c>
      <c r="AL335" s="70">
        <f t="shared" si="392"/>
        <v>0</v>
      </c>
      <c r="AM335" s="566">
        <f>VLOOKUP($A335,'01-02.2021'!$A$6:$CZ$403,39,FALSE)+VLOOKUP($A335,'1.3.21-28.2.22'!$A$6:$DA$404,39,FALSE)-VLOOKUP($A335,'01-02.2022'!$A$6:$DA$376,39,FALSE)</f>
        <v>0</v>
      </c>
      <c r="AN335" s="566">
        <f>VLOOKUP($A335,'01-02.2021'!$A$6:$CZ$403,40,FALSE)+VLOOKUP($A335,'1.3.21-28.2.22'!$A$6:$DA$404,40,FALSE)-VLOOKUP($A335,'01-02.2022'!$A$6:$DA$376,40,FALSE)</f>
        <v>0</v>
      </c>
      <c r="AO335" s="70">
        <f t="shared" si="393"/>
        <v>0</v>
      </c>
      <c r="AP335" s="566">
        <f>VLOOKUP($A335,'01-02.2021'!$A$6:$CZ$403,42,FALSE)+VLOOKUP($A335,'1.3.21-28.2.22'!$A$6:$DA$404,42,FALSE)-VLOOKUP($A335,'01-02.2022'!$A$6:$DA$376,42,FALSE)</f>
        <v>8328.9588002044366</v>
      </c>
      <c r="AQ335" s="566">
        <f>VLOOKUP($A335,'01-02.2021'!$A$6:$CZ$403,43,FALSE)+VLOOKUP($A335,'1.3.21-28.2.22'!$A$6:$DA$404,43,FALSE)-VLOOKUP($A335,'01-02.2022'!$A$6:$DA$376,43,FALSE)</f>
        <v>6666.9617145683915</v>
      </c>
      <c r="AR335" s="70">
        <f t="shared" si="394"/>
        <v>-1661.9970856360451</v>
      </c>
      <c r="AS335" s="566">
        <f>VLOOKUP($A335,'01-02.2021'!$A$6:$CZ$403,45,FALSE)+VLOOKUP($A335,'1.3.21-28.2.22'!$A$6:$DA$404,45,FALSE)-VLOOKUP($A335,'01-02.2022'!$A$6:$DA$376,45,FALSE)</f>
        <v>25304.9893670331</v>
      </c>
      <c r="AT335" s="566">
        <f>VLOOKUP($A335,'01-02.2021'!$A$6:$CZ$403,46,FALSE)+VLOOKUP($A335,'1.3.21-28.2.22'!$A$6:$DA$404,46,FALSE)-VLOOKUP($A335,'01-02.2022'!$A$6:$DA$376,46,FALSE)</f>
        <v>71653.395328556886</v>
      </c>
      <c r="AU335" s="78">
        <f t="shared" si="395"/>
        <v>46348.405961523786</v>
      </c>
      <c r="AV335" s="566">
        <f>VLOOKUP($A335,'01-02.2021'!$A$6:$CZ$403,48,FALSE)+VLOOKUP($A335,'1.3.21-28.2.22'!$A$6:$DA$404,48,FALSE)-VLOOKUP($A335,'01-02.2022'!$A$6:$DA$376,48,FALSE)</f>
        <v>2713.9319573265257</v>
      </c>
      <c r="AW335" s="566">
        <f>VLOOKUP($A335,'01-02.2021'!$A$6:$CZ$403,49,FALSE)+VLOOKUP($A335,'1.3.21-28.2.22'!$A$6:$DA$404,49,FALSE)-VLOOKUP($A335,'01-02.2022'!$A$6:$DA$376,49,FALSE)</f>
        <v>3494</v>
      </c>
      <c r="AX335" s="55">
        <f t="shared" si="396"/>
        <v>780.06804267347434</v>
      </c>
      <c r="AY335" s="566">
        <f>VLOOKUP($A335,'01-02.2021'!$A$6:$CZ$403,51,FALSE)+VLOOKUP($A335,'1.3.21-28.2.22'!$A$6:$DA$404,51,FALSE)-VLOOKUP($A335,'01-02.2022'!$A$6:$DA$376,51,FALSE)</f>
        <v>4017.7173156380713</v>
      </c>
      <c r="AZ335" s="566">
        <f>VLOOKUP($A335,'01-02.2021'!$A$6:$CZ$403,52,FALSE)+VLOOKUP($A335,'1.3.21-28.2.22'!$A$6:$DA$404,52,FALSE)-VLOOKUP($A335,'01-02.2022'!$A$6:$DA$376,52,FALSE)</f>
        <v>1831</v>
      </c>
      <c r="BA335" s="38">
        <f t="shared" si="397"/>
        <v>-2186.7173156380713</v>
      </c>
      <c r="BB335" s="566">
        <f>VLOOKUP($A335,'01-02.2021'!$A$6:$CZ$403,54,FALSE)+VLOOKUP($A335,'1.3.21-28.2.22'!$A$6:$DA$404,54,FALSE)-VLOOKUP($A335,'01-02.2022'!$A$6:$DA$376,54,FALSE)</f>
        <v>1548.5847989834226</v>
      </c>
      <c r="BC335" s="566">
        <f>VLOOKUP($A335,'01-02.2021'!$A$6:$CZ$403,55,FALSE)+VLOOKUP($A335,'1.3.21-28.2.22'!$A$6:$DA$404,55,FALSE)-VLOOKUP($A335,'01-02.2022'!$A$6:$DA$376,55,FALSE)</f>
        <v>633</v>
      </c>
      <c r="BD335" s="55">
        <f t="shared" si="398"/>
        <v>-915.58479898342262</v>
      </c>
      <c r="BE335" s="566">
        <f>VLOOKUP($A335,'01-02.2021'!$A$6:$CZ$403,57,FALSE)+VLOOKUP($A335,'1.3.21-28.2.22'!$A$6:$DA$404,57,FALSE)-VLOOKUP($A335,'01-02.2022'!$A$6:$DA$376,57,FALSE)</f>
        <v>0</v>
      </c>
      <c r="BF335" s="566">
        <f>VLOOKUP($A335,'01-02.2021'!$A$6:$CZ$403,58,FALSE)+VLOOKUP($A335,'1.3.21-28.2.22'!$A$6:$DA$404,58,FALSE)-VLOOKUP($A335,'01-02.2022'!$A$6:$DA$376,58,FALSE)</f>
        <v>0</v>
      </c>
      <c r="BG335" s="55">
        <f t="shared" si="399"/>
        <v>0</v>
      </c>
      <c r="BH335" s="566">
        <f>VLOOKUP($A335,'01-02.2021'!$A$6:$CZ$403,60,FALSE)+VLOOKUP($A335,'1.3.21-28.2.22'!$A$6:$DA$404,60,FALSE)-VLOOKUP($A335,'01-02.2022'!$A$6:$DA$376,60,FALSE)</f>
        <v>0</v>
      </c>
      <c r="BI335" s="566">
        <f>VLOOKUP($A335,'01-02.2021'!$A$6:$CZ$403,61,FALSE)+VLOOKUP($A335,'1.3.21-28.2.22'!$A$6:$DA$404,61,FALSE)-VLOOKUP($A335,'01-02.2022'!$A$6:$DA$376,61,FALSE)</f>
        <v>0</v>
      </c>
      <c r="BJ335" s="55">
        <f t="shared" si="400"/>
        <v>0</v>
      </c>
      <c r="BK335" s="566">
        <f>VLOOKUP($A335,'01-02.2021'!$A$6:$CZ$403,63,FALSE)+VLOOKUP($A335,'1.3.21-28.2.22'!$A$6:$DA$404,63,FALSE)-VLOOKUP($A335,'01-02.2022'!$A$6:$DA$376,63,FALSE)</f>
        <v>1717.5477077716002</v>
      </c>
      <c r="BL335" s="566">
        <f>VLOOKUP($A335,'01-02.2021'!$A$6:$CZ$403,64,FALSE)+VLOOKUP($A335,'1.3.21-28.2.22'!$A$6:$DA$404,64,FALSE)-VLOOKUP($A335,'01-02.2022'!$A$6:$DA$376,64,FALSE)</f>
        <v>0</v>
      </c>
      <c r="BM335" s="55">
        <f t="shared" si="401"/>
        <v>-1717.5477077716002</v>
      </c>
      <c r="BN335" s="566">
        <f>VLOOKUP($A335,'01-02.2021'!$A$6:$CZ$403,66,FALSE)+VLOOKUP($A335,'1.3.21-28.2.22'!$A$6:$DA$404,66,FALSE)-VLOOKUP($A335,'01-02.2022'!$A$6:$DA$376,66,FALSE)</f>
        <v>161.62</v>
      </c>
      <c r="BO335" s="566">
        <f>VLOOKUP($A335,'01-02.2021'!$A$6:$CZ$403,67,FALSE)+VLOOKUP($A335,'1.3.21-28.2.22'!$A$6:$DA$404,67,FALSE)-VLOOKUP($A335,'01-02.2022'!$A$6:$DA$376,67,FALSE)</f>
        <v>0</v>
      </c>
      <c r="BP335" s="55">
        <f t="shared" si="402"/>
        <v>-161.62</v>
      </c>
      <c r="BQ335" s="77">
        <f t="shared" si="348"/>
        <v>10159.401779719621</v>
      </c>
      <c r="BR335" s="40">
        <f t="shared" si="375"/>
        <v>5958</v>
      </c>
      <c r="BS335" s="55">
        <f t="shared" si="369"/>
        <v>-4201.4017797196211</v>
      </c>
      <c r="BT335" s="566">
        <f>VLOOKUP($A335,'01-02.2021'!$A$6:$CZ$403,72,FALSE)+VLOOKUP($A335,'1.3.21-28.2.22'!$A$6:$DA$404,72,FALSE)-VLOOKUP($A335,'01-02.2022'!$A$6:$DA$376,72,FALSE)</f>
        <v>28598.834026314787</v>
      </c>
      <c r="BU335" s="566">
        <f>VLOOKUP($A335,'01-02.2021'!$A$6:$CZ$403,73,FALSE)+VLOOKUP($A335,'1.3.21-28.2.22'!$A$6:$DA$404,73,FALSE)-VLOOKUP($A335,'01-02.2022'!$A$6:$DA$376,73,FALSE)</f>
        <v>31393.555109744782</v>
      </c>
      <c r="BV335" s="70">
        <f t="shared" si="403"/>
        <v>2794.7210834299949</v>
      </c>
      <c r="BW335" s="566">
        <f>VLOOKUP($A335,'01-02.2021'!$A$6:$CZ$403,75,FALSE)+VLOOKUP($A335,'1.3.21-28.2.22'!$A$6:$DA$404,75,FALSE)-VLOOKUP($A335,'01-02.2022'!$A$6:$DA$376,75,FALSE)</f>
        <v>10969.352008015958</v>
      </c>
      <c r="BX335" s="566">
        <f>VLOOKUP($A335,'01-02.2021'!$A$6:$CZ$403,76,FALSE)+VLOOKUP($A335,'1.3.21-28.2.22'!$A$6:$DA$404,76,FALSE)-VLOOKUP($A335,'01-02.2022'!$A$6:$DA$376,76,FALSE)</f>
        <v>11394.146527114659</v>
      </c>
      <c r="BY335" s="70">
        <f t="shared" si="404"/>
        <v>424.79451909870113</v>
      </c>
      <c r="BZ335" s="566">
        <f>VLOOKUP($A335,'01-02.2021'!$A$6:$CZ$403,78,FALSE)+VLOOKUP($A335,'1.3.21-28.2.22'!$A$6:$DA$404,78,FALSE)-VLOOKUP($A335,'01-02.2022'!$A$6:$DA$376,78,FALSE)</f>
        <v>12288.628422137526</v>
      </c>
      <c r="CA335" s="566">
        <f>VLOOKUP($A335,'01-02.2021'!$A$6:$CZ$403,79,FALSE)+VLOOKUP($A335,'1.3.21-28.2.22'!$A$6:$DA$404,79,FALSE)-VLOOKUP($A335,'01-02.2022'!$A$6:$DA$376,79,FALSE)</f>
        <v>6912.9771989179844</v>
      </c>
      <c r="CB335" s="70">
        <f t="shared" si="405"/>
        <v>-5375.6512232195419</v>
      </c>
      <c r="CC335" s="566">
        <f>VLOOKUP($A335,'01-02.2021'!$A$6:$CZ$403,81,FALSE)+VLOOKUP($A335,'1.3.21-28.2.22'!$A$6:$DA$404,81,FALSE)-VLOOKUP($A335,'01-02.2022'!$A$6:$DA$376,81,FALSE)</f>
        <v>33.384338484282665</v>
      </c>
      <c r="CD335" s="566">
        <f>VLOOKUP($A335,'01-02.2021'!$A$6:$CZ$403,82,FALSE)+VLOOKUP($A335,'1.3.21-28.2.22'!$A$6:$DA$404,82,FALSE)-VLOOKUP($A335,'01-02.2022'!$A$6:$DA$376,82,FALSE)</f>
        <v>36.488848925666701</v>
      </c>
      <c r="CE335" s="70">
        <f t="shared" si="406"/>
        <v>3.1045104413840363</v>
      </c>
      <c r="CF335" s="566">
        <f>VLOOKUP($A335,'01-02.2021'!$A$6:$CZ$403,84,FALSE)+VLOOKUP($A335,'1.3.21-28.2.22'!$A$6:$DA$404,84,FALSE)-VLOOKUP($A335,'01-02.2022'!$A$6:$DA$376,84,FALSE)</f>
        <v>4.0585540289008026</v>
      </c>
      <c r="CG335" s="566">
        <f>VLOOKUP($A335,'01-02.2021'!$A$6:$CZ$403,85,FALSE)+VLOOKUP($A335,'1.3.21-28.2.22'!$A$6:$DA$404,85,FALSE)-VLOOKUP($A335,'01-02.2022'!$A$6:$DA$376,85,FALSE)</f>
        <v>0</v>
      </c>
      <c r="CH335" s="70">
        <f t="shared" si="407"/>
        <v>-4.0585540289008026</v>
      </c>
      <c r="CI335" s="566">
        <f>VLOOKUP($A335,'01-02.2021'!$A$6:$CZ$403,87,FALSE)+VLOOKUP($A335,'1.3.21-28.2.22'!$A$6:$DA$404,87,FALSE)-VLOOKUP($A335,'01-02.2022'!$A$6:$DA$376,87,FALSE)</f>
        <v>6111.9364839027603</v>
      </c>
      <c r="CJ335" s="566">
        <f>VLOOKUP($A335,'01-02.2021'!$A$6:$CZ$403,88,FALSE)+VLOOKUP($A335,'1.3.21-28.2.22'!$A$6:$DA$404,88,FALSE)-VLOOKUP($A335,'01-02.2022'!$A$6:$DA$376,88,FALSE)</f>
        <v>5446.3334938215421</v>
      </c>
      <c r="CK335" s="70">
        <f t="shared" si="408"/>
        <v>-665.60299008121819</v>
      </c>
      <c r="CL335" s="566">
        <f>VLOOKUP($A335,'01-02.2021'!$A$6:$CZ$403,90,FALSE)+VLOOKUP($A335,'1.3.21-28.2.22'!$A$6:$DA$404,90,FALSE)-VLOOKUP($A335,'01-02.2022'!$A$6:$DA$376,90,FALSE)</f>
        <v>0</v>
      </c>
      <c r="CM335" s="566">
        <f>VLOOKUP($A335,'01-02.2021'!$A$6:$CZ$403,91,FALSE)+VLOOKUP($A335,'1.3.21-28.2.22'!$A$6:$DA$404,91,FALSE)-VLOOKUP($A335,'01-02.2022'!$A$6:$DA$376,91,FALSE)</f>
        <v>0</v>
      </c>
      <c r="CN335" s="52">
        <f t="shared" si="360"/>
        <v>0</v>
      </c>
      <c r="CO335" s="39">
        <f t="shared" si="355"/>
        <v>6111.9364839027603</v>
      </c>
      <c r="CP335" s="40">
        <f t="shared" si="361"/>
        <v>5446.3334938215421</v>
      </c>
      <c r="CQ335" s="52">
        <f t="shared" si="362"/>
        <v>-665.60299008121819</v>
      </c>
      <c r="CR335" s="72">
        <f t="shared" si="356"/>
        <v>137652.49279680959</v>
      </c>
      <c r="CS335" s="5">
        <f t="shared" si="356"/>
        <v>178190.1823639053</v>
      </c>
      <c r="CT335" s="52">
        <f t="shared" si="363"/>
        <v>40537.689567095716</v>
      </c>
      <c r="CU335" s="77">
        <f t="shared" si="364"/>
        <v>165182.99135617149</v>
      </c>
      <c r="CV335" s="65">
        <f t="shared" si="365"/>
        <v>213828.21883668637</v>
      </c>
      <c r="CW335" s="35">
        <f t="shared" si="366"/>
        <v>48645.227480514877</v>
      </c>
      <c r="CX335" s="566">
        <f>VLOOKUP($A335,'01-02.2021'!$A$6:$CZ$403,102,FALSE)+VLOOKUP($A335,'1.3.21-28.2.22'!$A$6:$DA$404,102,FALSE)-VLOOKUP($A335,'01-02.2022'!$A$6:$DA$376,102,FALSE)</f>
        <v>7905.3027597786095</v>
      </c>
      <c r="CY335" s="566">
        <f>VLOOKUP($A335,'01-02.2021'!$A$6:$CZ$403,103,FALSE)+VLOOKUP($A335,'1.3.21-28.2.22'!$A$6:$DA$404,103,FALSE)-VLOOKUP($A335,'01-02.2022'!$A$6:$DA$376,103,FALSE)</f>
        <v>-40739.92472073625</v>
      </c>
      <c r="CZ335" s="52">
        <f t="shared" si="367"/>
        <v>-48645.227480514863</v>
      </c>
      <c r="DA335" s="150">
        <f>'[2]побудинковий звіт'!DA335</f>
        <v>27180.176049860012</v>
      </c>
      <c r="DB335" s="2">
        <v>2</v>
      </c>
      <c r="DC335" s="414">
        <f>'[4]побудинковий звіт'!DC335</f>
        <v>28557.37</v>
      </c>
      <c r="DD335" s="414">
        <f>'[4]побудинковий звіт'!DD335</f>
        <v>4222.16</v>
      </c>
      <c r="DE335" s="557">
        <f>'[4]побудинковий звіт'!DE335</f>
        <v>16202.445452159822</v>
      </c>
      <c r="DF335" s="557">
        <f>'[4]побудинковий звіт'!DF335</f>
        <v>1303.9087133943817</v>
      </c>
      <c r="DG335" s="321">
        <f>VLOOKUP(A335,'кошти 01.03.2021'!$A$6:$D$401,4,)</f>
        <v>-19589.414053425076</v>
      </c>
      <c r="DH335" s="40">
        <f>'[3]побудинковий звіт'!DJ335</f>
        <v>174170.44363807936</v>
      </c>
      <c r="DI335" s="422">
        <f>'[3]побудинковий звіт'!CU335+'[3]побудинковий звіт'!CX335</f>
        <v>15273.175834445792</v>
      </c>
      <c r="DJ335" s="306">
        <f>'[3]побудинковий звіт'!DM335</f>
        <v>4.8274624107530091</v>
      </c>
      <c r="DK335" s="306">
        <f t="shared" si="377"/>
        <v>4.8274624107530091</v>
      </c>
      <c r="DL335" s="306">
        <f>'[3]побудинковий звіт'!DO335</f>
        <v>4.3188564253450021</v>
      </c>
      <c r="DM335" s="28">
        <f t="shared" si="379"/>
        <v>12354.924547840177</v>
      </c>
      <c r="DN335" s="28">
        <f t="shared" si="380"/>
        <v>2918.2512866056181</v>
      </c>
      <c r="DO335" s="423">
        <f t="shared" si="381"/>
        <v>15273.175834445796</v>
      </c>
      <c r="DP335" s="94">
        <f t="shared" si="382"/>
        <v>0</v>
      </c>
      <c r="DQ335" s="28">
        <f t="shared" si="383"/>
        <v>15273.175834445796</v>
      </c>
      <c r="DR335" s="318"/>
      <c r="DT335" s="8"/>
      <c r="DU335" s="5"/>
      <c r="DX335" s="5">
        <f t="shared" si="384"/>
        <v>42557.269376103264</v>
      </c>
      <c r="DY335" s="5">
        <f t="shared" si="385"/>
        <v>93133.674394268266</v>
      </c>
      <c r="DZ335" s="159">
        <f>'[3]побудинковий звіт'!EA335</f>
        <v>3844.6214091436009</v>
      </c>
    </row>
    <row r="336" spans="1:130" x14ac:dyDescent="0.3">
      <c r="A336" s="325">
        <v>150000816</v>
      </c>
      <c r="B336" s="41" t="s">
        <v>782</v>
      </c>
      <c r="C336" s="42" t="s">
        <v>230</v>
      </c>
      <c r="D336" s="42"/>
      <c r="E336" s="293">
        <f t="shared" si="353"/>
        <v>2488.34</v>
      </c>
      <c r="F336" s="305">
        <f>'[3]побудинковий звіт'!F336</f>
        <v>2100.34</v>
      </c>
      <c r="G336" s="508">
        <f>'[3]побудинковий звіт'!G336</f>
        <v>0</v>
      </c>
      <c r="H336" s="560">
        <f>'[3]побудинковий звіт'!H336</f>
        <v>388</v>
      </c>
      <c r="I336" s="566">
        <f>VLOOKUP($A336,'01-02.2021'!$A$6:$CZ$403,9,FALSE)+VLOOKUP($A336,'1.3.21-28.2.22'!$A$6:$DA$404,9,FALSE)-VLOOKUP($A336,'01-02.2022'!$A$6:$DA$376,9,FALSE)</f>
        <v>8787.3276858547906</v>
      </c>
      <c r="J336" s="566">
        <f>VLOOKUP($A336,'01-02.2021'!$A$6:$CZ$403,10,FALSE)+VLOOKUP($A336,'1.3.21-28.2.22'!$A$6:$DA$404,10,FALSE)-VLOOKUP($A336,'01-02.2022'!$A$6:$DA$376,10,FALSE)</f>
        <v>9642.204473591948</v>
      </c>
      <c r="K336" s="52">
        <f t="shared" si="357"/>
        <v>854.87678773715743</v>
      </c>
      <c r="L336" s="566">
        <f>VLOOKUP($A336,'01-02.2021'!$A$6:$CZ$403,12,FALSE)+VLOOKUP($A336,'1.3.21-28.2.22'!$A$6:$DA$404,12,FALSE)-VLOOKUP($A336,'01-02.2022'!$A$6:$DA$376,12,FALSE)</f>
        <v>1460.588091925943</v>
      </c>
      <c r="M336" s="566">
        <f>VLOOKUP($A336,'01-02.2021'!$A$6:$CZ$403,13,FALSE)+VLOOKUP($A336,'1.3.21-28.2.22'!$A$6:$DA$404,13,FALSE)-VLOOKUP($A336,'01-02.2022'!$A$6:$DA$376,13,FALSE)</f>
        <v>1608.159887506527</v>
      </c>
      <c r="N336" s="52">
        <f t="shared" si="358"/>
        <v>147.57179558058397</v>
      </c>
      <c r="O336" s="566">
        <f>VLOOKUP($A336,'01-02.2021'!$A$6:$CZ$403,15,FALSE)+VLOOKUP($A336,'1.3.21-28.2.22'!$A$6:$DA$404,15,FALSE)-VLOOKUP($A336,'01-02.2022'!$A$6:$DA$376,15,FALSE)</f>
        <v>3161.8546586952752</v>
      </c>
      <c r="P336" s="566">
        <f>VLOOKUP($A336,'01-02.2021'!$A$6:$CZ$403,16,FALSE)+VLOOKUP($A336,'1.3.21-28.2.22'!$A$6:$DA$404,16,FALSE)-VLOOKUP($A336,'01-02.2022'!$A$6:$DA$376,16,FALSE)</f>
        <v>3161.6583333333328</v>
      </c>
      <c r="Q336" s="70">
        <f t="shared" si="386"/>
        <v>-0.19632536194239947</v>
      </c>
      <c r="R336" s="566">
        <f>VLOOKUP($A336,'01-02.2021'!$A$6:$CZ$403,18,FALSE)+VLOOKUP($A336,'1.3.21-28.2.22'!$A$6:$DA$404,18,FALSE)-VLOOKUP($A336,'01-02.2022'!$A$6:$DA$376,18,FALSE)</f>
        <v>816.42000170380015</v>
      </c>
      <c r="S336" s="566">
        <f>VLOOKUP($A336,'01-02.2021'!$A$6:$CZ$403,19,FALSE)+VLOOKUP($A336,'1.3.21-28.2.22'!$A$6:$DA$404,19,FALSE)-VLOOKUP($A336,'01-02.2022'!$A$6:$DA$376,19,FALSE)</f>
        <v>816.36000000000013</v>
      </c>
      <c r="T336" s="70">
        <f t="shared" si="387"/>
        <v>-6.0001703800026007E-2</v>
      </c>
      <c r="U336" s="566">
        <f>VLOOKUP($A336,'01-02.2021'!$A$6:$CZ$403,21,FALSE)+VLOOKUP($A336,'1.3.21-28.2.22'!$A$6:$DA$404,21,FALSE)-VLOOKUP($A336,'01-02.2022'!$A$6:$DA$376,21,FALSE)</f>
        <v>0</v>
      </c>
      <c r="V336" s="566">
        <f>VLOOKUP($A336,'01-02.2021'!$A$6:$CZ$403,22,FALSE)+VLOOKUP($A336,'1.3.21-28.2.22'!$A$6:$DA$404,22,FALSE)-VLOOKUP($A336,'01-02.2022'!$A$6:$DA$376,22,FALSE)</f>
        <v>0</v>
      </c>
      <c r="W336" s="70">
        <f t="shared" si="388"/>
        <v>0</v>
      </c>
      <c r="X336" s="566">
        <f>VLOOKUP($A336,'01-02.2021'!$A$6:$CZ$403,24,FALSE)+VLOOKUP($A336,'1.3.21-28.2.22'!$A$6:$DA$404,24,FALSE)-VLOOKUP($A336,'01-02.2022'!$A$6:$DA$376,24,FALSE)</f>
        <v>5094.3743647522806</v>
      </c>
      <c r="Y336" s="566">
        <f>VLOOKUP($A336,'01-02.2021'!$A$6:$CZ$403,25,FALSE)+VLOOKUP($A336,'1.3.21-28.2.22'!$A$6:$DA$404,25,FALSE)-VLOOKUP($A336,'01-02.2022'!$A$6:$DA$376,25,FALSE)</f>
        <v>4055.5482895985815</v>
      </c>
      <c r="Z336" s="70">
        <f t="shared" si="389"/>
        <v>-1038.8260751536991</v>
      </c>
      <c r="AA336" s="566">
        <f>VLOOKUP($A336,'01-02.2021'!$A$6:$CZ$403,27,FALSE)+VLOOKUP($A336,'1.3.21-28.2.22'!$A$6:$DA$404,27,FALSE)-VLOOKUP($A336,'01-02.2022'!$A$6:$DA$376,27,FALSE)</f>
        <v>489.45200000000011</v>
      </c>
      <c r="AB336" s="566">
        <f>VLOOKUP($A336,'01-02.2021'!$A$6:$CZ$403,28,FALSE)+VLOOKUP($A336,'1.3.21-28.2.22'!$A$6:$DA$404,28,FALSE)-VLOOKUP($A336,'01-02.2022'!$A$6:$DA$376,28,FALSE)</f>
        <v>0</v>
      </c>
      <c r="AC336" s="70">
        <f t="shared" si="390"/>
        <v>-489.45200000000011</v>
      </c>
      <c r="AD336" s="566">
        <f>VLOOKUP($A336,'01-02.2021'!$A$6:$CZ$403,30,FALSE)+VLOOKUP($A336,'1.3.21-28.2.22'!$A$6:$DA$404,30,FALSE)-VLOOKUP($A336,'01-02.2022'!$A$6:$DA$376,30,FALSE)</f>
        <v>10579.841917273476</v>
      </c>
      <c r="AE336" s="566">
        <f>VLOOKUP($A336,'01-02.2021'!$A$6:$CZ$403,31,FALSE)+VLOOKUP($A336,'1.3.21-28.2.22'!$A$6:$DA$404,31,FALSE)-VLOOKUP($A336,'01-02.2022'!$A$6:$DA$376,31,FALSE)</f>
        <v>11571.139370164528</v>
      </c>
      <c r="AF336" s="68">
        <f t="shared" si="391"/>
        <v>991.29745289105267</v>
      </c>
      <c r="AG336" s="77">
        <f t="shared" si="354"/>
        <v>30389.858720205568</v>
      </c>
      <c r="AH336" s="53">
        <f t="shared" si="354"/>
        <v>30855.070354194919</v>
      </c>
      <c r="AI336" s="52">
        <f t="shared" si="359"/>
        <v>465.21163398935096</v>
      </c>
      <c r="AJ336" s="566">
        <f>VLOOKUP($A336,'01-02.2021'!$A$6:$CZ$403,36,FALSE)+VLOOKUP($A336,'1.3.21-28.2.22'!$A$6:$DA$404,36,FALSE)-VLOOKUP($A336,'01-02.2022'!$A$6:$DA$376,36,FALSE)</f>
        <v>0</v>
      </c>
      <c r="AK336" s="566">
        <f>VLOOKUP($A336,'01-02.2021'!$A$6:$CZ$403,37,FALSE)+VLOOKUP($A336,'1.3.21-28.2.22'!$A$6:$DA$404,37,FALSE)-VLOOKUP($A336,'01-02.2022'!$A$6:$DA$376,37,FALSE)</f>
        <v>0</v>
      </c>
      <c r="AL336" s="70">
        <f t="shared" si="392"/>
        <v>0</v>
      </c>
      <c r="AM336" s="566">
        <f>VLOOKUP($A336,'01-02.2021'!$A$6:$CZ$403,39,FALSE)+VLOOKUP($A336,'1.3.21-28.2.22'!$A$6:$DA$404,39,FALSE)-VLOOKUP($A336,'01-02.2022'!$A$6:$DA$376,39,FALSE)</f>
        <v>0</v>
      </c>
      <c r="AN336" s="566">
        <f>VLOOKUP($A336,'01-02.2021'!$A$6:$CZ$403,40,FALSE)+VLOOKUP($A336,'1.3.21-28.2.22'!$A$6:$DA$404,40,FALSE)-VLOOKUP($A336,'01-02.2022'!$A$6:$DA$376,40,FALSE)</f>
        <v>0</v>
      </c>
      <c r="AO336" s="70">
        <f t="shared" si="393"/>
        <v>0</v>
      </c>
      <c r="AP336" s="566">
        <f>VLOOKUP($A336,'01-02.2021'!$A$6:$CZ$403,42,FALSE)+VLOOKUP($A336,'1.3.21-28.2.22'!$A$6:$DA$404,42,FALSE)-VLOOKUP($A336,'01-02.2022'!$A$6:$DA$376,42,FALSE)</f>
        <v>2299.1396688064337</v>
      </c>
      <c r="AQ336" s="566">
        <f>VLOOKUP($A336,'01-02.2021'!$A$6:$CZ$403,43,FALSE)+VLOOKUP($A336,'1.3.21-28.2.22'!$A$6:$DA$404,43,FALSE)-VLOOKUP($A336,'01-02.2022'!$A$6:$DA$376,43,FALSE)</f>
        <v>2019.3995664739884</v>
      </c>
      <c r="AR336" s="70">
        <f t="shared" si="394"/>
        <v>-279.7401023324453</v>
      </c>
      <c r="AS336" s="566">
        <f>VLOOKUP($A336,'01-02.2021'!$A$6:$CZ$403,45,FALSE)+VLOOKUP($A336,'1.3.21-28.2.22'!$A$6:$DA$404,45,FALSE)-VLOOKUP($A336,'01-02.2022'!$A$6:$DA$376,45,FALSE)</f>
        <v>20375.336671120291</v>
      </c>
      <c r="AT336" s="566">
        <f>VLOOKUP($A336,'01-02.2021'!$A$6:$CZ$403,46,FALSE)+VLOOKUP($A336,'1.3.21-28.2.22'!$A$6:$DA$404,46,FALSE)-VLOOKUP($A336,'01-02.2022'!$A$6:$DA$376,46,FALSE)</f>
        <v>8877.3751095189618</v>
      </c>
      <c r="AU336" s="78">
        <f t="shared" si="395"/>
        <v>-11497.961561601329</v>
      </c>
      <c r="AV336" s="566">
        <f>VLOOKUP($A336,'01-02.2021'!$A$6:$CZ$403,48,FALSE)+VLOOKUP($A336,'1.3.21-28.2.22'!$A$6:$DA$404,48,FALSE)-VLOOKUP($A336,'01-02.2022'!$A$6:$DA$376,48,FALSE)</f>
        <v>2354.8539887812008</v>
      </c>
      <c r="AW336" s="566">
        <f>VLOOKUP($A336,'01-02.2021'!$A$6:$CZ$403,49,FALSE)+VLOOKUP($A336,'1.3.21-28.2.22'!$A$6:$DA$404,49,FALSE)-VLOOKUP($A336,'01-02.2022'!$A$6:$DA$376,49,FALSE)</f>
        <v>3412</v>
      </c>
      <c r="AX336" s="55">
        <f t="shared" si="396"/>
        <v>1057.1460112187992</v>
      </c>
      <c r="AY336" s="566">
        <f>VLOOKUP($A336,'01-02.2021'!$A$6:$CZ$403,51,FALSE)+VLOOKUP($A336,'1.3.21-28.2.22'!$A$6:$DA$404,51,FALSE)-VLOOKUP($A336,'01-02.2022'!$A$6:$DA$376,51,FALSE)</f>
        <v>2745.4220905855509</v>
      </c>
      <c r="AZ336" s="566">
        <f>VLOOKUP($A336,'01-02.2021'!$A$6:$CZ$403,52,FALSE)+VLOOKUP($A336,'1.3.21-28.2.22'!$A$6:$DA$404,52,FALSE)-VLOOKUP($A336,'01-02.2022'!$A$6:$DA$376,52,FALSE)</f>
        <v>4205</v>
      </c>
      <c r="BA336" s="38">
        <f t="shared" si="397"/>
        <v>1459.5779094144491</v>
      </c>
      <c r="BB336" s="566">
        <f>VLOOKUP($A336,'01-02.2021'!$A$6:$CZ$403,54,FALSE)+VLOOKUP($A336,'1.3.21-28.2.22'!$A$6:$DA$404,54,FALSE)-VLOOKUP($A336,'01-02.2022'!$A$6:$DA$376,54,FALSE)</f>
        <v>1495.8344478383201</v>
      </c>
      <c r="BC336" s="566">
        <f>VLOOKUP($A336,'01-02.2021'!$A$6:$CZ$403,55,FALSE)+VLOOKUP($A336,'1.3.21-28.2.22'!$A$6:$DA$404,55,FALSE)-VLOOKUP($A336,'01-02.2022'!$A$6:$DA$376,55,FALSE)</f>
        <v>0</v>
      </c>
      <c r="BD336" s="55">
        <f t="shared" si="398"/>
        <v>-1495.8344478383201</v>
      </c>
      <c r="BE336" s="566">
        <f>VLOOKUP($A336,'01-02.2021'!$A$6:$CZ$403,57,FALSE)+VLOOKUP($A336,'1.3.21-28.2.22'!$A$6:$DA$404,57,FALSE)-VLOOKUP($A336,'01-02.2022'!$A$6:$DA$376,57,FALSE)</f>
        <v>1828.6850312098413</v>
      </c>
      <c r="BF336" s="566">
        <f>VLOOKUP($A336,'01-02.2021'!$A$6:$CZ$403,58,FALSE)+VLOOKUP($A336,'1.3.21-28.2.22'!$A$6:$DA$404,58,FALSE)-VLOOKUP($A336,'01-02.2022'!$A$6:$DA$376,58,FALSE)</f>
        <v>0</v>
      </c>
      <c r="BG336" s="55">
        <f t="shared" si="399"/>
        <v>-1828.6850312098413</v>
      </c>
      <c r="BH336" s="566">
        <f>VLOOKUP($A336,'01-02.2021'!$A$6:$CZ$403,60,FALSE)+VLOOKUP($A336,'1.3.21-28.2.22'!$A$6:$DA$404,60,FALSE)-VLOOKUP($A336,'01-02.2022'!$A$6:$DA$376,60,FALSE)</f>
        <v>0</v>
      </c>
      <c r="BI336" s="566">
        <f>VLOOKUP($A336,'01-02.2021'!$A$6:$CZ$403,61,FALSE)+VLOOKUP($A336,'1.3.21-28.2.22'!$A$6:$DA$404,61,FALSE)-VLOOKUP($A336,'01-02.2022'!$A$6:$DA$376,61,FALSE)</f>
        <v>0</v>
      </c>
      <c r="BJ336" s="55">
        <f t="shared" si="400"/>
        <v>0</v>
      </c>
      <c r="BK336" s="566">
        <f>VLOOKUP($A336,'01-02.2021'!$A$6:$CZ$403,63,FALSE)+VLOOKUP($A336,'1.3.21-28.2.22'!$A$6:$DA$404,63,FALSE)-VLOOKUP($A336,'01-02.2022'!$A$6:$DA$376,63,FALSE)</f>
        <v>1488.4291350134579</v>
      </c>
      <c r="BL336" s="566">
        <f>VLOOKUP($A336,'01-02.2021'!$A$6:$CZ$403,64,FALSE)+VLOOKUP($A336,'1.3.21-28.2.22'!$A$6:$DA$404,64,FALSE)-VLOOKUP($A336,'01-02.2022'!$A$6:$DA$376,64,FALSE)</f>
        <v>4402</v>
      </c>
      <c r="BM336" s="55">
        <f t="shared" si="401"/>
        <v>2913.5708649865419</v>
      </c>
      <c r="BN336" s="566">
        <f>VLOOKUP($A336,'01-02.2021'!$A$6:$CZ$403,66,FALSE)+VLOOKUP($A336,'1.3.21-28.2.22'!$A$6:$DA$404,66,FALSE)-VLOOKUP($A336,'01-02.2022'!$A$6:$DA$376,66,FALSE)</f>
        <v>122.36300000000003</v>
      </c>
      <c r="BO336" s="566">
        <f>VLOOKUP($A336,'01-02.2021'!$A$6:$CZ$403,67,FALSE)+VLOOKUP($A336,'1.3.21-28.2.22'!$A$6:$DA$404,67,FALSE)-VLOOKUP($A336,'01-02.2022'!$A$6:$DA$376,67,FALSE)</f>
        <v>0</v>
      </c>
      <c r="BP336" s="55">
        <f t="shared" si="402"/>
        <v>-122.36300000000003</v>
      </c>
      <c r="BQ336" s="77">
        <f t="shared" si="348"/>
        <v>10035.58769342837</v>
      </c>
      <c r="BR336" s="40">
        <f t="shared" si="375"/>
        <v>12019</v>
      </c>
      <c r="BS336" s="55">
        <f t="shared" si="369"/>
        <v>1983.4123065716303</v>
      </c>
      <c r="BT336" s="566">
        <f>VLOOKUP($A336,'01-02.2021'!$A$6:$CZ$403,72,FALSE)+VLOOKUP($A336,'1.3.21-28.2.22'!$A$6:$DA$404,72,FALSE)-VLOOKUP($A336,'01-02.2022'!$A$6:$DA$376,72,FALSE)</f>
        <v>27387.219948934497</v>
      </c>
      <c r="BU336" s="566">
        <f>VLOOKUP($A336,'01-02.2021'!$A$6:$CZ$403,73,FALSE)+VLOOKUP($A336,'1.3.21-28.2.22'!$A$6:$DA$404,73,FALSE)-VLOOKUP($A336,'01-02.2022'!$A$6:$DA$376,73,FALSE)</f>
        <v>35617.725476094005</v>
      </c>
      <c r="BV336" s="70">
        <f t="shared" si="403"/>
        <v>8230.5055271595083</v>
      </c>
      <c r="BW336" s="566">
        <f>VLOOKUP($A336,'01-02.2021'!$A$6:$CZ$403,75,FALSE)+VLOOKUP($A336,'1.3.21-28.2.22'!$A$6:$DA$404,75,FALSE)-VLOOKUP($A336,'01-02.2022'!$A$6:$DA$376,75,FALSE)</f>
        <v>11917.111456972612</v>
      </c>
      <c r="BX336" s="566">
        <f>VLOOKUP($A336,'01-02.2021'!$A$6:$CZ$403,76,FALSE)+VLOOKUP($A336,'1.3.21-28.2.22'!$A$6:$DA$404,76,FALSE)-VLOOKUP($A336,'01-02.2022'!$A$6:$DA$376,76,FALSE)</f>
        <v>13489.912283995673</v>
      </c>
      <c r="BY336" s="70">
        <f t="shared" si="404"/>
        <v>1572.8008270230603</v>
      </c>
      <c r="BZ336" s="566">
        <f>VLOOKUP($A336,'01-02.2021'!$A$6:$CZ$403,78,FALSE)+VLOOKUP($A336,'1.3.21-28.2.22'!$A$6:$DA$404,78,FALSE)-VLOOKUP($A336,'01-02.2022'!$A$6:$DA$376,78,FALSE)</f>
        <v>13864.590264314094</v>
      </c>
      <c r="CA336" s="566">
        <f>VLOOKUP($A336,'01-02.2021'!$A$6:$CZ$403,79,FALSE)+VLOOKUP($A336,'1.3.21-28.2.22'!$A$6:$DA$404,79,FALSE)-VLOOKUP($A336,'01-02.2022'!$A$6:$DA$376,79,FALSE)</f>
        <v>7621.6173349529399</v>
      </c>
      <c r="CB336" s="70">
        <f t="shared" si="405"/>
        <v>-6242.9729293611545</v>
      </c>
      <c r="CC336" s="566">
        <f>VLOOKUP($A336,'01-02.2021'!$A$6:$CZ$403,81,FALSE)+VLOOKUP($A336,'1.3.21-28.2.22'!$A$6:$DA$404,81,FALSE)-VLOOKUP($A336,'01-02.2022'!$A$6:$DA$376,81,FALSE)</f>
        <v>0</v>
      </c>
      <c r="CD336" s="566">
        <f>VLOOKUP($A336,'01-02.2021'!$A$6:$CZ$403,82,FALSE)+VLOOKUP($A336,'1.3.21-28.2.22'!$A$6:$DA$404,82,FALSE)-VLOOKUP($A336,'01-02.2022'!$A$6:$DA$376,82,FALSE)</f>
        <v>0</v>
      </c>
      <c r="CE336" s="70">
        <f t="shared" si="406"/>
        <v>0</v>
      </c>
      <c r="CF336" s="566">
        <f>VLOOKUP($A336,'01-02.2021'!$A$6:$CZ$403,84,FALSE)+VLOOKUP($A336,'1.3.21-28.2.22'!$A$6:$DA$404,84,FALSE)-VLOOKUP($A336,'01-02.2022'!$A$6:$DA$376,84,FALSE)</f>
        <v>0</v>
      </c>
      <c r="CG336" s="566">
        <f>VLOOKUP($A336,'01-02.2021'!$A$6:$CZ$403,85,FALSE)+VLOOKUP($A336,'1.3.21-28.2.22'!$A$6:$DA$404,85,FALSE)-VLOOKUP($A336,'01-02.2022'!$A$6:$DA$376,85,FALSE)</f>
        <v>0</v>
      </c>
      <c r="CH336" s="70">
        <f t="shared" si="407"/>
        <v>0</v>
      </c>
      <c r="CI336" s="566">
        <f>VLOOKUP($A336,'01-02.2021'!$A$6:$CZ$403,87,FALSE)+VLOOKUP($A336,'1.3.21-28.2.22'!$A$6:$DA$404,87,FALSE)-VLOOKUP($A336,'01-02.2022'!$A$6:$DA$376,87,FALSE)</f>
        <v>2666.867994997157</v>
      </c>
      <c r="CJ336" s="566">
        <f>VLOOKUP($A336,'01-02.2021'!$A$6:$CZ$403,88,FALSE)+VLOOKUP($A336,'1.3.21-28.2.22'!$A$6:$DA$404,88,FALSE)-VLOOKUP($A336,'01-02.2022'!$A$6:$DA$376,88,FALSE)</f>
        <v>2119.2157399289194</v>
      </c>
      <c r="CK336" s="70">
        <f t="shared" si="408"/>
        <v>-547.65225506823754</v>
      </c>
      <c r="CL336" s="566">
        <f>VLOOKUP($A336,'01-02.2021'!$A$6:$CZ$403,90,FALSE)+VLOOKUP($A336,'1.3.21-28.2.22'!$A$6:$DA$404,90,FALSE)-VLOOKUP($A336,'01-02.2022'!$A$6:$DA$376,90,FALSE)</f>
        <v>0</v>
      </c>
      <c r="CM336" s="566">
        <f>VLOOKUP($A336,'01-02.2021'!$A$6:$CZ$403,91,FALSE)+VLOOKUP($A336,'1.3.21-28.2.22'!$A$6:$DA$404,91,FALSE)-VLOOKUP($A336,'01-02.2022'!$A$6:$DA$376,91,FALSE)</f>
        <v>0</v>
      </c>
      <c r="CN336" s="52">
        <f t="shared" si="360"/>
        <v>0</v>
      </c>
      <c r="CO336" s="39">
        <f t="shared" si="355"/>
        <v>2666.867994997157</v>
      </c>
      <c r="CP336" s="40">
        <f t="shared" si="361"/>
        <v>2119.2157399289194</v>
      </c>
      <c r="CQ336" s="52">
        <f t="shared" si="362"/>
        <v>-547.65225506823754</v>
      </c>
      <c r="CR336" s="72">
        <f t="shared" si="356"/>
        <v>118935.712418779</v>
      </c>
      <c r="CS336" s="5">
        <f t="shared" si="356"/>
        <v>112619.31586515938</v>
      </c>
      <c r="CT336" s="52">
        <f t="shared" si="363"/>
        <v>-6316.3965536196192</v>
      </c>
      <c r="CU336" s="77">
        <f t="shared" si="364"/>
        <v>142722.8549025348</v>
      </c>
      <c r="CV336" s="65">
        <f t="shared" si="365"/>
        <v>135143.17903819124</v>
      </c>
      <c r="CW336" s="35">
        <f t="shared" si="366"/>
        <v>-7579.6758643435605</v>
      </c>
      <c r="CX336" s="566">
        <f>VLOOKUP($A336,'01-02.2021'!$A$6:$CZ$403,102,FALSE)+VLOOKUP($A336,'1.3.21-28.2.22'!$A$6:$DA$404,102,FALSE)-VLOOKUP($A336,'01-02.2022'!$A$6:$DA$376,102,FALSE)</f>
        <v>7973.0589345906228</v>
      </c>
      <c r="CY336" s="566">
        <f>VLOOKUP($A336,'01-02.2021'!$A$6:$CZ$403,103,FALSE)+VLOOKUP($A336,'1.3.21-28.2.22'!$A$6:$DA$404,103,FALSE)-VLOOKUP($A336,'01-02.2022'!$A$6:$DA$376,103,FALSE)</f>
        <v>15552.734798934174</v>
      </c>
      <c r="CZ336" s="52">
        <f t="shared" si="367"/>
        <v>7579.6758643435514</v>
      </c>
      <c r="DA336" s="150">
        <f>'[2]побудинковий звіт'!DA336</f>
        <v>34722.789309778913</v>
      </c>
      <c r="DB336" s="2">
        <v>2</v>
      </c>
      <c r="DC336" s="414">
        <f>'[4]побудинковий звіт'!DC336</f>
        <v>14325.65</v>
      </c>
      <c r="DD336" s="414">
        <f>'[4]побудинковий звіт'!DD336</f>
        <v>9538.5</v>
      </c>
      <c r="DE336" s="557">
        <f>'[4]побудинковий звіт'!DE336</f>
        <v>2724.7291455546601</v>
      </c>
      <c r="DF336" s="557">
        <f>'[4]побудинковий звіт'!DF336</f>
        <v>7662.4499398120342</v>
      </c>
      <c r="DG336" s="321">
        <f>VLOOKUP(A336,'кошти 01.03.2021'!$A$6:$D$401,4,)</f>
        <v>54568.116918804633</v>
      </c>
      <c r="DH336" s="40">
        <f>'[3]побудинковий звіт'!DJ336</f>
        <v>153225.40633746501</v>
      </c>
      <c r="DI336" s="422">
        <f>'[3]побудинковий звіт'!CU336+'[3]побудинковий звіт'!CX336</f>
        <v>13476.970914633306</v>
      </c>
      <c r="DJ336" s="306">
        <f>'[3]побудинковий звіт'!DM336</f>
        <v>5.5233537686495229</v>
      </c>
      <c r="DK336" s="306">
        <f t="shared" si="377"/>
        <v>5.5233537686495229</v>
      </c>
      <c r="DL336" s="306">
        <f>'[3]побудинковий звіт'!DO336</f>
        <v>4.8351805674947572</v>
      </c>
      <c r="DM336" s="28">
        <f t="shared" si="379"/>
        <v>11600.92085444534</v>
      </c>
      <c r="DN336" s="28">
        <f t="shared" si="380"/>
        <v>1876.0500601879658</v>
      </c>
      <c r="DO336" s="423">
        <f t="shared" si="381"/>
        <v>13476.970914633304</v>
      </c>
      <c r="DP336" s="94">
        <f t="shared" si="382"/>
        <v>0</v>
      </c>
      <c r="DQ336" s="28">
        <f t="shared" si="383"/>
        <v>13476.970914633304</v>
      </c>
      <c r="DR336" s="318"/>
      <c r="DT336" s="8"/>
      <c r="DU336" s="5"/>
      <c r="DX336" s="5">
        <f t="shared" si="384"/>
        <v>36493.10923745839</v>
      </c>
      <c r="DY336" s="5">
        <f t="shared" si="385"/>
        <v>25075.650131422753</v>
      </c>
      <c r="DZ336" s="159">
        <f>'[3]побудинковий звіт'!EA336</f>
        <v>3160.4535275517987</v>
      </c>
    </row>
    <row r="337" spans="1:130" x14ac:dyDescent="0.3">
      <c r="A337" s="325">
        <v>150000829</v>
      </c>
      <c r="B337" s="41" t="s">
        <v>783</v>
      </c>
      <c r="C337" s="42" t="s">
        <v>231</v>
      </c>
      <c r="D337" s="42"/>
      <c r="E337" s="293">
        <f t="shared" si="353"/>
        <v>2581.1999999999998</v>
      </c>
      <c r="F337" s="305">
        <f>'[3]побудинковий звіт'!F337</f>
        <v>2581.1999999999998</v>
      </c>
      <c r="G337" s="508">
        <f>'[3]побудинковий звіт'!G337</f>
        <v>0</v>
      </c>
      <c r="H337" s="560">
        <f>'[3]побудинковий звіт'!H337</f>
        <v>0</v>
      </c>
      <c r="I337" s="566">
        <f>VLOOKUP($A337,'01-02.2021'!$A$6:$CZ$403,9,FALSE)+VLOOKUP($A337,'1.3.21-28.2.22'!$A$6:$DA$404,9,FALSE)-VLOOKUP($A337,'01-02.2022'!$A$6:$DA$376,9,FALSE)</f>
        <v>9209.2306923740289</v>
      </c>
      <c r="J337" s="566">
        <f>VLOOKUP($A337,'01-02.2021'!$A$6:$CZ$403,10,FALSE)+VLOOKUP($A337,'1.3.21-28.2.22'!$A$6:$DA$404,10,FALSE)-VLOOKUP($A337,'01-02.2022'!$A$6:$DA$376,10,FALSE)</f>
        <v>10114.32143691515</v>
      </c>
      <c r="K337" s="52">
        <f t="shared" si="357"/>
        <v>905.09074454112124</v>
      </c>
      <c r="L337" s="566">
        <f>VLOOKUP($A337,'01-02.2021'!$A$6:$CZ$403,12,FALSE)+VLOOKUP($A337,'1.3.21-28.2.22'!$A$6:$DA$404,12,FALSE)-VLOOKUP($A337,'01-02.2022'!$A$6:$DA$376,12,FALSE)</f>
        <v>1466.1389002329161</v>
      </c>
      <c r="M337" s="566">
        <f>VLOOKUP($A337,'01-02.2021'!$A$6:$CZ$403,13,FALSE)+VLOOKUP($A337,'1.3.21-28.2.22'!$A$6:$DA$404,13,FALSE)-VLOOKUP($A337,'01-02.2022'!$A$6:$DA$376,13,FALSE)</f>
        <v>1614.2743664581824</v>
      </c>
      <c r="N337" s="52">
        <f t="shared" si="358"/>
        <v>148.13546622526633</v>
      </c>
      <c r="O337" s="566">
        <f>VLOOKUP($A337,'01-02.2021'!$A$6:$CZ$403,15,FALSE)+VLOOKUP($A337,'1.3.21-28.2.22'!$A$6:$DA$404,15,FALSE)-VLOOKUP($A337,'01-02.2022'!$A$6:$DA$376,15,FALSE)</f>
        <v>3490.62922929055</v>
      </c>
      <c r="P337" s="566">
        <f>VLOOKUP($A337,'01-02.2021'!$A$6:$CZ$403,16,FALSE)+VLOOKUP($A337,'1.3.21-28.2.22'!$A$6:$DA$404,16,FALSE)-VLOOKUP($A337,'01-02.2022'!$A$6:$DA$376,16,FALSE)</f>
        <v>3491.6066666666666</v>
      </c>
      <c r="Q337" s="70">
        <f t="shared" si="386"/>
        <v>0.97743737611654069</v>
      </c>
      <c r="R337" s="566">
        <f>VLOOKUP($A337,'01-02.2021'!$A$6:$CZ$403,18,FALSE)+VLOOKUP($A337,'1.3.21-28.2.22'!$A$6:$DA$404,18,FALSE)-VLOOKUP($A337,'01-02.2022'!$A$6:$DA$376,18,FALSE)</f>
        <v>0</v>
      </c>
      <c r="S337" s="566">
        <f>VLOOKUP($A337,'01-02.2021'!$A$6:$CZ$403,19,FALSE)+VLOOKUP($A337,'1.3.21-28.2.22'!$A$6:$DA$404,19,FALSE)-VLOOKUP($A337,'01-02.2022'!$A$6:$DA$376,19,FALSE)</f>
        <v>0</v>
      </c>
      <c r="T337" s="70">
        <f t="shared" si="387"/>
        <v>0</v>
      </c>
      <c r="U337" s="566">
        <f>VLOOKUP($A337,'01-02.2021'!$A$6:$CZ$403,21,FALSE)+VLOOKUP($A337,'1.3.21-28.2.22'!$A$6:$DA$404,21,FALSE)-VLOOKUP($A337,'01-02.2022'!$A$6:$DA$376,21,FALSE)</f>
        <v>0</v>
      </c>
      <c r="V337" s="566">
        <f>VLOOKUP($A337,'01-02.2021'!$A$6:$CZ$403,22,FALSE)+VLOOKUP($A337,'1.3.21-28.2.22'!$A$6:$DA$404,22,FALSE)-VLOOKUP($A337,'01-02.2022'!$A$6:$DA$376,22,FALSE)</f>
        <v>0</v>
      </c>
      <c r="W337" s="70">
        <f t="shared" si="388"/>
        <v>0</v>
      </c>
      <c r="X337" s="566">
        <f>VLOOKUP($A337,'01-02.2021'!$A$6:$CZ$403,24,FALSE)+VLOOKUP($A337,'1.3.21-28.2.22'!$A$6:$DA$404,24,FALSE)-VLOOKUP($A337,'01-02.2022'!$A$6:$DA$376,24,FALSE)</f>
        <v>5080.142890223543</v>
      </c>
      <c r="Y337" s="566">
        <f>VLOOKUP($A337,'01-02.2021'!$A$6:$CZ$403,25,FALSE)+VLOOKUP($A337,'1.3.21-28.2.22'!$A$6:$DA$404,25,FALSE)-VLOOKUP($A337,'01-02.2022'!$A$6:$DA$376,25,FALSE)</f>
        <v>4035.7461647389873</v>
      </c>
      <c r="Z337" s="70">
        <f t="shared" si="389"/>
        <v>-1044.3967254845556</v>
      </c>
      <c r="AA337" s="566">
        <f>VLOOKUP($A337,'01-02.2021'!$A$6:$CZ$403,27,FALSE)+VLOOKUP($A337,'1.3.21-28.2.22'!$A$6:$DA$404,27,FALSE)-VLOOKUP($A337,'01-02.2022'!$A$6:$DA$376,27,FALSE)</f>
        <v>516.48</v>
      </c>
      <c r="AB337" s="566">
        <f>VLOOKUP($A337,'01-02.2021'!$A$6:$CZ$403,28,FALSE)+VLOOKUP($A337,'1.3.21-28.2.22'!$A$6:$DA$404,28,FALSE)-VLOOKUP($A337,'01-02.2022'!$A$6:$DA$376,28,FALSE)</f>
        <v>0</v>
      </c>
      <c r="AC337" s="70">
        <f t="shared" si="390"/>
        <v>-516.48</v>
      </c>
      <c r="AD337" s="566">
        <f>VLOOKUP($A337,'01-02.2021'!$A$6:$CZ$403,30,FALSE)+VLOOKUP($A337,'1.3.21-28.2.22'!$A$6:$DA$404,30,FALSE)-VLOOKUP($A337,'01-02.2022'!$A$6:$DA$376,30,FALSE)</f>
        <v>11089.200074095477</v>
      </c>
      <c r="AE337" s="566">
        <f>VLOOKUP($A337,'01-02.2021'!$A$6:$CZ$403,31,FALSE)+VLOOKUP($A337,'1.3.21-28.2.22'!$A$6:$DA$404,31,FALSE)-VLOOKUP($A337,'01-02.2022'!$A$6:$DA$376,31,FALSE)</f>
        <v>11749.726402356619</v>
      </c>
      <c r="AF337" s="68">
        <f t="shared" si="391"/>
        <v>660.52632826114132</v>
      </c>
      <c r="AG337" s="77">
        <f t="shared" si="354"/>
        <v>30851.821786216511</v>
      </c>
      <c r="AH337" s="53">
        <f t="shared" si="354"/>
        <v>31005.675037135603</v>
      </c>
      <c r="AI337" s="52">
        <f t="shared" si="359"/>
        <v>153.85325091909181</v>
      </c>
      <c r="AJ337" s="566">
        <f>VLOOKUP($A337,'01-02.2021'!$A$6:$CZ$403,36,FALSE)+VLOOKUP($A337,'1.3.21-28.2.22'!$A$6:$DA$404,36,FALSE)-VLOOKUP($A337,'01-02.2022'!$A$6:$DA$376,36,FALSE)</f>
        <v>0</v>
      </c>
      <c r="AK337" s="566">
        <f>VLOOKUP($A337,'01-02.2021'!$A$6:$CZ$403,37,FALSE)+VLOOKUP($A337,'1.3.21-28.2.22'!$A$6:$DA$404,37,FALSE)-VLOOKUP($A337,'01-02.2022'!$A$6:$DA$376,37,FALSE)</f>
        <v>0</v>
      </c>
      <c r="AL337" s="70">
        <f t="shared" si="392"/>
        <v>0</v>
      </c>
      <c r="AM337" s="566">
        <f>VLOOKUP($A337,'01-02.2021'!$A$6:$CZ$403,39,FALSE)+VLOOKUP($A337,'1.3.21-28.2.22'!$A$6:$DA$404,39,FALSE)-VLOOKUP($A337,'01-02.2022'!$A$6:$DA$376,39,FALSE)</f>
        <v>0</v>
      </c>
      <c r="AN337" s="566">
        <f>VLOOKUP($A337,'01-02.2021'!$A$6:$CZ$403,40,FALSE)+VLOOKUP($A337,'1.3.21-28.2.22'!$A$6:$DA$404,40,FALSE)-VLOOKUP($A337,'01-02.2022'!$A$6:$DA$376,40,FALSE)</f>
        <v>0</v>
      </c>
      <c r="AO337" s="70">
        <f t="shared" si="393"/>
        <v>0</v>
      </c>
      <c r="AP337" s="566">
        <f>VLOOKUP($A337,'01-02.2021'!$A$6:$CZ$403,42,FALSE)+VLOOKUP($A337,'1.3.21-28.2.22'!$A$6:$DA$404,42,FALSE)-VLOOKUP($A337,'01-02.2022'!$A$6:$DA$376,42,FALSE)</f>
        <v>8328.9588002044366</v>
      </c>
      <c r="AQ337" s="566">
        <f>VLOOKUP($A337,'01-02.2021'!$A$6:$CZ$403,43,FALSE)+VLOOKUP($A337,'1.3.21-28.2.22'!$A$6:$DA$404,43,FALSE)-VLOOKUP($A337,'01-02.2022'!$A$6:$DA$376,43,FALSE)</f>
        <v>5870.156499676943</v>
      </c>
      <c r="AR337" s="70">
        <f t="shared" si="394"/>
        <v>-2458.8023005274936</v>
      </c>
      <c r="AS337" s="566">
        <f>VLOOKUP($A337,'01-02.2021'!$A$6:$CZ$403,45,FALSE)+VLOOKUP($A337,'1.3.21-28.2.22'!$A$6:$DA$404,45,FALSE)-VLOOKUP($A337,'01-02.2022'!$A$6:$DA$376,45,FALSE)</f>
        <v>22065.247050187467</v>
      </c>
      <c r="AT337" s="566">
        <f>VLOOKUP($A337,'01-02.2021'!$A$6:$CZ$403,46,FALSE)+VLOOKUP($A337,'1.3.21-28.2.22'!$A$6:$DA$404,46,FALSE)-VLOOKUP($A337,'01-02.2022'!$A$6:$DA$376,46,FALSE)</f>
        <v>10888.108807915503</v>
      </c>
      <c r="AU337" s="78">
        <f t="shared" si="395"/>
        <v>-11177.138242271963</v>
      </c>
      <c r="AV337" s="566">
        <f>VLOOKUP($A337,'01-02.2021'!$A$6:$CZ$403,48,FALSE)+VLOOKUP($A337,'1.3.21-28.2.22'!$A$6:$DA$404,48,FALSE)-VLOOKUP($A337,'01-02.2022'!$A$6:$DA$376,48,FALSE)</f>
        <v>2393.4079246279407</v>
      </c>
      <c r="AW337" s="566">
        <f>VLOOKUP($A337,'01-02.2021'!$A$6:$CZ$403,49,FALSE)+VLOOKUP($A337,'1.3.21-28.2.22'!$A$6:$DA$404,49,FALSE)-VLOOKUP($A337,'01-02.2022'!$A$6:$DA$376,49,FALSE)</f>
        <v>465</v>
      </c>
      <c r="AX337" s="55">
        <f t="shared" si="396"/>
        <v>-1928.4079246279407</v>
      </c>
      <c r="AY337" s="566">
        <f>VLOOKUP($A337,'01-02.2021'!$A$6:$CZ$403,51,FALSE)+VLOOKUP($A337,'1.3.21-28.2.22'!$A$6:$DA$404,51,FALSE)-VLOOKUP($A337,'01-02.2022'!$A$6:$DA$376,51,FALSE)</f>
        <v>2756.1373528272075</v>
      </c>
      <c r="AZ337" s="566">
        <f>VLOOKUP($A337,'01-02.2021'!$A$6:$CZ$403,52,FALSE)+VLOOKUP($A337,'1.3.21-28.2.22'!$A$6:$DA$404,52,FALSE)-VLOOKUP($A337,'01-02.2022'!$A$6:$DA$376,52,FALSE)</f>
        <v>0</v>
      </c>
      <c r="BA337" s="38">
        <f t="shared" si="397"/>
        <v>-2756.1373528272075</v>
      </c>
      <c r="BB337" s="566">
        <f>VLOOKUP($A337,'01-02.2021'!$A$6:$CZ$403,54,FALSE)+VLOOKUP($A337,'1.3.21-28.2.22'!$A$6:$DA$404,54,FALSE)-VLOOKUP($A337,'01-02.2022'!$A$6:$DA$376,54,FALSE)</f>
        <v>1455.9145252807402</v>
      </c>
      <c r="BC337" s="566">
        <f>VLOOKUP($A337,'01-02.2021'!$A$6:$CZ$403,55,FALSE)+VLOOKUP($A337,'1.3.21-28.2.22'!$A$6:$DA$404,55,FALSE)-VLOOKUP($A337,'01-02.2022'!$A$6:$DA$376,55,FALSE)</f>
        <v>0</v>
      </c>
      <c r="BD337" s="55">
        <f t="shared" si="398"/>
        <v>-1455.9145252807402</v>
      </c>
      <c r="BE337" s="566">
        <f>VLOOKUP($A337,'01-02.2021'!$A$6:$CZ$403,57,FALSE)+VLOOKUP($A337,'1.3.21-28.2.22'!$A$6:$DA$404,57,FALSE)-VLOOKUP($A337,'01-02.2022'!$A$6:$DA$376,57,FALSE)</f>
        <v>0</v>
      </c>
      <c r="BF337" s="566">
        <f>VLOOKUP($A337,'01-02.2021'!$A$6:$CZ$403,58,FALSE)+VLOOKUP($A337,'1.3.21-28.2.22'!$A$6:$DA$404,58,FALSE)-VLOOKUP($A337,'01-02.2022'!$A$6:$DA$376,58,FALSE)</f>
        <v>0</v>
      </c>
      <c r="BG337" s="55">
        <f t="shared" si="399"/>
        <v>0</v>
      </c>
      <c r="BH337" s="566">
        <f>VLOOKUP($A337,'01-02.2021'!$A$6:$CZ$403,60,FALSE)+VLOOKUP($A337,'1.3.21-28.2.22'!$A$6:$DA$404,60,FALSE)-VLOOKUP($A337,'01-02.2022'!$A$6:$DA$376,60,FALSE)</f>
        <v>0</v>
      </c>
      <c r="BI337" s="566">
        <f>VLOOKUP($A337,'01-02.2021'!$A$6:$CZ$403,61,FALSE)+VLOOKUP($A337,'1.3.21-28.2.22'!$A$6:$DA$404,61,FALSE)-VLOOKUP($A337,'01-02.2022'!$A$6:$DA$376,61,FALSE)</f>
        <v>0</v>
      </c>
      <c r="BJ337" s="55">
        <f t="shared" si="400"/>
        <v>0</v>
      </c>
      <c r="BK337" s="566">
        <f>VLOOKUP($A337,'01-02.2021'!$A$6:$CZ$403,63,FALSE)+VLOOKUP($A337,'1.3.21-28.2.22'!$A$6:$DA$404,63,FALSE)-VLOOKUP($A337,'01-02.2022'!$A$6:$DA$376,63,FALSE)</f>
        <v>1494.8268140015869</v>
      </c>
      <c r="BL337" s="566">
        <f>VLOOKUP($A337,'01-02.2021'!$A$6:$CZ$403,64,FALSE)+VLOOKUP($A337,'1.3.21-28.2.22'!$A$6:$DA$404,64,FALSE)-VLOOKUP($A337,'01-02.2022'!$A$6:$DA$376,64,FALSE)</f>
        <v>511</v>
      </c>
      <c r="BM337" s="55">
        <f t="shared" si="401"/>
        <v>-983.82681400158685</v>
      </c>
      <c r="BN337" s="566">
        <f>VLOOKUP($A337,'01-02.2021'!$A$6:$CZ$403,66,FALSE)+VLOOKUP($A337,'1.3.21-28.2.22'!$A$6:$DA$404,66,FALSE)-VLOOKUP($A337,'01-02.2022'!$A$6:$DA$376,66,FALSE)</f>
        <v>129.12</v>
      </c>
      <c r="BO337" s="566">
        <f>VLOOKUP($A337,'01-02.2021'!$A$6:$CZ$403,67,FALSE)+VLOOKUP($A337,'1.3.21-28.2.22'!$A$6:$DA$404,67,FALSE)-VLOOKUP($A337,'01-02.2022'!$A$6:$DA$376,67,FALSE)</f>
        <v>0</v>
      </c>
      <c r="BP337" s="55">
        <f t="shared" si="402"/>
        <v>-129.12</v>
      </c>
      <c r="BQ337" s="77">
        <f t="shared" si="348"/>
        <v>8229.4066167374767</v>
      </c>
      <c r="BR337" s="40">
        <f t="shared" si="375"/>
        <v>976</v>
      </c>
      <c r="BS337" s="55">
        <f t="shared" si="369"/>
        <v>-7253.4066167374767</v>
      </c>
      <c r="BT337" s="566">
        <f>VLOOKUP($A337,'01-02.2021'!$A$6:$CZ$403,72,FALSE)+VLOOKUP($A337,'1.3.21-28.2.22'!$A$6:$DA$404,72,FALSE)-VLOOKUP($A337,'01-02.2022'!$A$6:$DA$376,72,FALSE)</f>
        <v>27816.657931953025</v>
      </c>
      <c r="BU337" s="566">
        <f>VLOOKUP($A337,'01-02.2021'!$A$6:$CZ$403,73,FALSE)+VLOOKUP($A337,'1.3.21-28.2.22'!$A$6:$DA$404,73,FALSE)-VLOOKUP($A337,'01-02.2022'!$A$6:$DA$376,73,FALSE)</f>
        <v>29128.056528365913</v>
      </c>
      <c r="BV337" s="70">
        <f t="shared" si="403"/>
        <v>1311.3985964128879</v>
      </c>
      <c r="BW337" s="566">
        <f>VLOOKUP($A337,'01-02.2021'!$A$6:$CZ$403,75,FALSE)+VLOOKUP($A337,'1.3.21-28.2.22'!$A$6:$DA$404,75,FALSE)-VLOOKUP($A337,'01-02.2022'!$A$6:$DA$376,75,FALSE)</f>
        <v>11551.100826055554</v>
      </c>
      <c r="BX337" s="566">
        <f>VLOOKUP($A337,'01-02.2021'!$A$6:$CZ$403,76,FALSE)+VLOOKUP($A337,'1.3.21-28.2.22'!$A$6:$DA$404,76,FALSE)-VLOOKUP($A337,'01-02.2022'!$A$6:$DA$376,76,FALSE)</f>
        <v>12039.256908173296</v>
      </c>
      <c r="BY337" s="70">
        <f t="shared" si="404"/>
        <v>488.1560821177427</v>
      </c>
      <c r="BZ337" s="566">
        <f>VLOOKUP($A337,'01-02.2021'!$A$6:$CZ$403,78,FALSE)+VLOOKUP($A337,'1.3.21-28.2.22'!$A$6:$DA$404,78,FALSE)-VLOOKUP($A337,'01-02.2022'!$A$6:$DA$376,78,FALSE)</f>
        <v>9882.8606737558584</v>
      </c>
      <c r="CA337" s="566">
        <f>VLOOKUP($A337,'01-02.2021'!$A$6:$CZ$403,79,FALSE)+VLOOKUP($A337,'1.3.21-28.2.22'!$A$6:$DA$404,79,FALSE)-VLOOKUP($A337,'01-02.2022'!$A$6:$DA$376,79,FALSE)</f>
        <v>7601.491800643681</v>
      </c>
      <c r="CB337" s="70">
        <f t="shared" si="405"/>
        <v>-2281.3688731121774</v>
      </c>
      <c r="CC337" s="566">
        <f>VLOOKUP($A337,'01-02.2021'!$A$6:$CZ$403,81,FALSE)+VLOOKUP($A337,'1.3.21-28.2.22'!$A$6:$DA$404,81,FALSE)-VLOOKUP($A337,'01-02.2022'!$A$6:$DA$376,81,FALSE)</f>
        <v>0</v>
      </c>
      <c r="CD337" s="566">
        <f>VLOOKUP($A337,'01-02.2021'!$A$6:$CZ$403,82,FALSE)+VLOOKUP($A337,'1.3.21-28.2.22'!$A$6:$DA$404,82,FALSE)-VLOOKUP($A337,'01-02.2022'!$A$6:$DA$376,82,FALSE)</f>
        <v>0</v>
      </c>
      <c r="CE337" s="70">
        <f t="shared" si="406"/>
        <v>0</v>
      </c>
      <c r="CF337" s="566">
        <f>VLOOKUP($A337,'01-02.2021'!$A$6:$CZ$403,84,FALSE)+VLOOKUP($A337,'1.3.21-28.2.22'!$A$6:$DA$404,84,FALSE)-VLOOKUP($A337,'01-02.2022'!$A$6:$DA$376,84,FALSE)</f>
        <v>0</v>
      </c>
      <c r="CG337" s="566">
        <f>VLOOKUP($A337,'01-02.2021'!$A$6:$CZ$403,85,FALSE)+VLOOKUP($A337,'1.3.21-28.2.22'!$A$6:$DA$404,85,FALSE)-VLOOKUP($A337,'01-02.2022'!$A$6:$DA$376,85,FALSE)</f>
        <v>0</v>
      </c>
      <c r="CH337" s="70">
        <f t="shared" si="407"/>
        <v>0</v>
      </c>
      <c r="CI337" s="566">
        <f>VLOOKUP($A337,'01-02.2021'!$A$6:$CZ$403,87,FALSE)+VLOOKUP($A337,'1.3.21-28.2.22'!$A$6:$DA$404,87,FALSE)-VLOOKUP($A337,'01-02.2022'!$A$6:$DA$376,87,FALSE)</f>
        <v>4845.7978557468132</v>
      </c>
      <c r="CJ337" s="566">
        <f>VLOOKUP($A337,'01-02.2021'!$A$6:$CZ$403,88,FALSE)+VLOOKUP($A337,'1.3.21-28.2.22'!$A$6:$DA$404,88,FALSE)-VLOOKUP($A337,'01-02.2022'!$A$6:$DA$376,88,FALSE)</f>
        <v>3556.6711295961331</v>
      </c>
      <c r="CK337" s="70">
        <f t="shared" si="408"/>
        <v>-1289.12672615068</v>
      </c>
      <c r="CL337" s="566">
        <f>VLOOKUP($A337,'01-02.2021'!$A$6:$CZ$403,90,FALSE)+VLOOKUP($A337,'1.3.21-28.2.22'!$A$6:$DA$404,90,FALSE)-VLOOKUP($A337,'01-02.2022'!$A$6:$DA$376,90,FALSE)</f>
        <v>0</v>
      </c>
      <c r="CM337" s="566">
        <f>VLOOKUP($A337,'01-02.2021'!$A$6:$CZ$403,91,FALSE)+VLOOKUP($A337,'1.3.21-28.2.22'!$A$6:$DA$404,91,FALSE)-VLOOKUP($A337,'01-02.2022'!$A$6:$DA$376,91,FALSE)</f>
        <v>0</v>
      </c>
      <c r="CN337" s="52">
        <f t="shared" si="360"/>
        <v>0</v>
      </c>
      <c r="CO337" s="39">
        <f t="shared" si="355"/>
        <v>4845.7978557468132</v>
      </c>
      <c r="CP337" s="40">
        <f t="shared" si="361"/>
        <v>3556.6711295961331</v>
      </c>
      <c r="CQ337" s="52">
        <f t="shared" si="362"/>
        <v>-1289.12672615068</v>
      </c>
      <c r="CR337" s="72">
        <f t="shared" si="356"/>
        <v>123571.85154085714</v>
      </c>
      <c r="CS337" s="5">
        <f t="shared" si="356"/>
        <v>101065.41671150706</v>
      </c>
      <c r="CT337" s="52">
        <f t="shared" si="363"/>
        <v>-22506.434829350081</v>
      </c>
      <c r="CU337" s="77">
        <f t="shared" si="364"/>
        <v>148286.22184902857</v>
      </c>
      <c r="CV337" s="65">
        <f t="shared" si="365"/>
        <v>121278.50005380847</v>
      </c>
      <c r="CW337" s="35">
        <f t="shared" si="366"/>
        <v>-27007.721795220103</v>
      </c>
      <c r="CX337" s="566">
        <f>VLOOKUP($A337,'01-02.2021'!$A$6:$CZ$403,102,FALSE)+VLOOKUP($A337,'1.3.21-28.2.22'!$A$6:$DA$404,102,FALSE)-VLOOKUP($A337,'01-02.2022'!$A$6:$DA$376,102,FALSE)</f>
        <v>4207.6291802194155</v>
      </c>
      <c r="CY337" s="566">
        <f>VLOOKUP($A337,'01-02.2021'!$A$6:$CZ$403,103,FALSE)+VLOOKUP($A337,'1.3.21-28.2.22'!$A$6:$DA$404,103,FALSE)-VLOOKUP($A337,'01-02.2022'!$A$6:$DA$376,103,FALSE)</f>
        <v>31215.35097543948</v>
      </c>
      <c r="CZ337" s="52">
        <f t="shared" si="367"/>
        <v>27007.721795220066</v>
      </c>
      <c r="DA337" s="150">
        <f>'[2]побудинковий звіт'!DA337</f>
        <v>32726.404552003296</v>
      </c>
      <c r="DB337" s="2">
        <v>2</v>
      </c>
      <c r="DC337" s="414">
        <f>'[4]побудинковий звіт'!DC337</f>
        <v>22923.65</v>
      </c>
      <c r="DD337" s="414">
        <f>'[4]побудинковий звіт'!DD337</f>
        <v>0</v>
      </c>
      <c r="DE337" s="557">
        <f>'[4]побудинковий звіт'!DE337</f>
        <v>9074.4198458961291</v>
      </c>
      <c r="DF337" s="557">
        <f>'[4]побудинковий звіт'!DF337</f>
        <v>0</v>
      </c>
      <c r="DG337" s="321">
        <f>VLOOKUP(A337,'кошти 01.03.2021'!$A$6:$D$401,4,)</f>
        <v>66467.476085377319</v>
      </c>
      <c r="DH337" s="40">
        <f>'[3]побудинковий звіт'!DJ337</f>
        <v>157892.03500735277</v>
      </c>
      <c r="DI337" s="422">
        <f>'[3]побудинковий звіт'!CU337+'[3]побудинковий звіт'!CX337</f>
        <v>13849.230154103872</v>
      </c>
      <c r="DJ337" s="306">
        <f>'[3]побудинковий звіт'!DM337</f>
        <v>5.3654231187447206</v>
      </c>
      <c r="DK337" s="306">
        <f t="shared" si="377"/>
        <v>5.3654231187447206</v>
      </c>
      <c r="DL337" s="306">
        <f>'[3]побудинковий звіт'!DO337</f>
        <v>4.8258439438760563</v>
      </c>
      <c r="DM337" s="28">
        <f t="shared" si="379"/>
        <v>13849.230154103872</v>
      </c>
      <c r="DN337" s="28">
        <f t="shared" si="380"/>
        <v>0</v>
      </c>
      <c r="DO337" s="423">
        <f t="shared" si="381"/>
        <v>13849.230154103872</v>
      </c>
      <c r="DP337" s="94">
        <f t="shared" si="382"/>
        <v>0</v>
      </c>
      <c r="DQ337" s="28">
        <f t="shared" si="383"/>
        <v>13849.230154103872</v>
      </c>
      <c r="DR337" s="318"/>
      <c r="DT337" s="8"/>
      <c r="DU337" s="5"/>
      <c r="DX337" s="5">
        <f t="shared" si="384"/>
        <v>36353.584400309934</v>
      </c>
      <c r="DY337" s="5">
        <f t="shared" si="385"/>
        <v>14236.930569498603</v>
      </c>
      <c r="DZ337" s="159">
        <f>'[3]побудинковий звіт'!EA337</f>
        <v>3434.8903495949749</v>
      </c>
    </row>
    <row r="338" spans="1:130" x14ac:dyDescent="0.3">
      <c r="A338" s="325">
        <v>150000797</v>
      </c>
      <c r="B338" s="41" t="s">
        <v>784</v>
      </c>
      <c r="C338" s="42" t="s">
        <v>232</v>
      </c>
      <c r="D338" s="42"/>
      <c r="E338" s="293">
        <f t="shared" si="353"/>
        <v>5513</v>
      </c>
      <c r="F338" s="305">
        <f>'[3]побудинковий звіт'!F338</f>
        <v>3993</v>
      </c>
      <c r="G338" s="508">
        <f>'[3]побудинковий звіт'!G338</f>
        <v>0</v>
      </c>
      <c r="H338" s="560">
        <f>'[3]побудинковий звіт'!H338</f>
        <v>1520</v>
      </c>
      <c r="I338" s="566">
        <f>VLOOKUP($A338,'01-02.2021'!$A$6:$CZ$403,9,FALSE)+VLOOKUP($A338,'1.3.21-28.2.22'!$A$6:$DA$404,9,FALSE)-VLOOKUP($A338,'01-02.2022'!$A$6:$DA$376,9,FALSE)</f>
        <v>16233.122337268773</v>
      </c>
      <c r="J338" s="566">
        <f>VLOOKUP($A338,'01-02.2021'!$A$6:$CZ$403,10,FALSE)+VLOOKUP($A338,'1.3.21-28.2.22'!$A$6:$DA$404,10,FALSE)-VLOOKUP($A338,'01-02.2022'!$A$6:$DA$376,10,FALSE)</f>
        <v>17740.216290842243</v>
      </c>
      <c r="K338" s="52">
        <f t="shared" si="357"/>
        <v>1507.0939535734706</v>
      </c>
      <c r="L338" s="566">
        <f>VLOOKUP($A338,'01-02.2021'!$A$6:$CZ$403,12,FALSE)+VLOOKUP($A338,'1.3.21-28.2.22'!$A$6:$DA$404,12,FALSE)-VLOOKUP($A338,'01-02.2022'!$A$6:$DA$376,12,FALSE)</f>
        <v>3593.9168223492479</v>
      </c>
      <c r="M338" s="566">
        <f>VLOOKUP($A338,'01-02.2021'!$A$6:$CZ$403,13,FALSE)+VLOOKUP($A338,'1.3.21-28.2.22'!$A$6:$DA$404,13,FALSE)-VLOOKUP($A338,'01-02.2022'!$A$6:$DA$376,13,FALSE)</f>
        <v>3957.0300858332957</v>
      </c>
      <c r="N338" s="52">
        <f t="shared" si="358"/>
        <v>363.11326348404782</v>
      </c>
      <c r="O338" s="566">
        <f>VLOOKUP($A338,'01-02.2021'!$A$6:$CZ$403,15,FALSE)+VLOOKUP($A338,'1.3.21-28.2.22'!$A$6:$DA$404,15,FALSE)-VLOOKUP($A338,'01-02.2022'!$A$6:$DA$376,15,FALSE)</f>
        <v>5430.1380903812651</v>
      </c>
      <c r="P338" s="566">
        <f>VLOOKUP($A338,'01-02.2021'!$A$6:$CZ$403,16,FALSE)+VLOOKUP($A338,'1.3.21-28.2.22'!$A$6:$DA$404,16,FALSE)-VLOOKUP($A338,'01-02.2022'!$A$6:$DA$376,16,FALSE)</f>
        <v>5430.1499999999987</v>
      </c>
      <c r="Q338" s="70">
        <f t="shared" si="386"/>
        <v>1.1909618733625393E-2</v>
      </c>
      <c r="R338" s="566">
        <f>VLOOKUP($A338,'01-02.2021'!$A$6:$CZ$403,18,FALSE)+VLOOKUP($A338,'1.3.21-28.2.22'!$A$6:$DA$404,18,FALSE)-VLOOKUP($A338,'01-02.2022'!$A$6:$DA$376,18,FALSE)</f>
        <v>0</v>
      </c>
      <c r="S338" s="566">
        <f>VLOOKUP($A338,'01-02.2021'!$A$6:$CZ$403,19,FALSE)+VLOOKUP($A338,'1.3.21-28.2.22'!$A$6:$DA$404,19,FALSE)-VLOOKUP($A338,'01-02.2022'!$A$6:$DA$376,19,FALSE)</f>
        <v>0</v>
      </c>
      <c r="T338" s="70">
        <f t="shared" si="387"/>
        <v>0</v>
      </c>
      <c r="U338" s="566">
        <f>VLOOKUP($A338,'01-02.2021'!$A$6:$CZ$403,21,FALSE)+VLOOKUP($A338,'1.3.21-28.2.22'!$A$6:$DA$404,21,FALSE)-VLOOKUP($A338,'01-02.2022'!$A$6:$DA$376,21,FALSE)</f>
        <v>0</v>
      </c>
      <c r="V338" s="566">
        <f>VLOOKUP($A338,'01-02.2021'!$A$6:$CZ$403,22,FALSE)+VLOOKUP($A338,'1.3.21-28.2.22'!$A$6:$DA$404,22,FALSE)-VLOOKUP($A338,'01-02.2022'!$A$6:$DA$376,22,FALSE)</f>
        <v>0</v>
      </c>
      <c r="W338" s="70">
        <f t="shared" si="388"/>
        <v>0</v>
      </c>
      <c r="X338" s="566">
        <f>VLOOKUP($A338,'01-02.2021'!$A$6:$CZ$403,24,FALSE)+VLOOKUP($A338,'1.3.21-28.2.22'!$A$6:$DA$404,24,FALSE)-VLOOKUP($A338,'01-02.2022'!$A$6:$DA$376,24,FALSE)</f>
        <v>17550.902303018192</v>
      </c>
      <c r="Y338" s="566">
        <f>VLOOKUP($A338,'01-02.2021'!$A$6:$CZ$403,25,FALSE)+VLOOKUP($A338,'1.3.21-28.2.22'!$A$6:$DA$404,25,FALSE)-VLOOKUP($A338,'01-02.2022'!$A$6:$DA$376,25,FALSE)</f>
        <v>14557.793277477855</v>
      </c>
      <c r="Z338" s="70">
        <f t="shared" si="389"/>
        <v>-2993.1090255403378</v>
      </c>
      <c r="AA338" s="566">
        <f>VLOOKUP($A338,'01-02.2021'!$A$6:$CZ$403,27,FALSE)+VLOOKUP($A338,'1.3.21-28.2.22'!$A$6:$DA$404,27,FALSE)-VLOOKUP($A338,'01-02.2022'!$A$6:$DA$376,27,FALSE)</f>
        <v>908.78</v>
      </c>
      <c r="AB338" s="566">
        <f>VLOOKUP($A338,'01-02.2021'!$A$6:$CZ$403,28,FALSE)+VLOOKUP($A338,'1.3.21-28.2.22'!$A$6:$DA$404,28,FALSE)-VLOOKUP($A338,'01-02.2022'!$A$6:$DA$376,28,FALSE)</f>
        <v>0</v>
      </c>
      <c r="AC338" s="70">
        <f t="shared" si="390"/>
        <v>-908.78</v>
      </c>
      <c r="AD338" s="566">
        <f>VLOOKUP($A338,'01-02.2021'!$A$6:$CZ$403,30,FALSE)+VLOOKUP($A338,'1.3.21-28.2.22'!$A$6:$DA$404,30,FALSE)-VLOOKUP($A338,'01-02.2022'!$A$6:$DA$376,30,FALSE)</f>
        <v>20500.799604078213</v>
      </c>
      <c r="AE338" s="566">
        <f>VLOOKUP($A338,'01-02.2021'!$A$6:$CZ$403,31,FALSE)+VLOOKUP($A338,'1.3.21-28.2.22'!$A$6:$DA$404,31,FALSE)-VLOOKUP($A338,'01-02.2022'!$A$6:$DA$376,31,FALSE)</f>
        <v>25291.804772163479</v>
      </c>
      <c r="AF338" s="68">
        <f t="shared" si="391"/>
        <v>4791.0051680852666</v>
      </c>
      <c r="AG338" s="77">
        <f t="shared" si="354"/>
        <v>64217.659157095695</v>
      </c>
      <c r="AH338" s="53">
        <f t="shared" si="354"/>
        <v>66976.994426316873</v>
      </c>
      <c r="AI338" s="52">
        <f t="shared" si="359"/>
        <v>2759.3352692211774</v>
      </c>
      <c r="AJ338" s="566">
        <f>VLOOKUP($A338,'01-02.2021'!$A$6:$CZ$403,36,FALSE)+VLOOKUP($A338,'1.3.21-28.2.22'!$A$6:$DA$404,36,FALSE)-VLOOKUP($A338,'01-02.2022'!$A$6:$DA$376,36,FALSE)</f>
        <v>0</v>
      </c>
      <c r="AK338" s="566">
        <f>VLOOKUP($A338,'01-02.2021'!$A$6:$CZ$403,37,FALSE)+VLOOKUP($A338,'1.3.21-28.2.22'!$A$6:$DA$404,37,FALSE)-VLOOKUP($A338,'01-02.2022'!$A$6:$DA$376,37,FALSE)</f>
        <v>0</v>
      </c>
      <c r="AL338" s="70">
        <f t="shared" si="392"/>
        <v>0</v>
      </c>
      <c r="AM338" s="566">
        <f>VLOOKUP($A338,'01-02.2021'!$A$6:$CZ$403,39,FALSE)+VLOOKUP($A338,'1.3.21-28.2.22'!$A$6:$DA$404,39,FALSE)-VLOOKUP($A338,'01-02.2022'!$A$6:$DA$376,39,FALSE)</f>
        <v>0</v>
      </c>
      <c r="AN338" s="566">
        <f>VLOOKUP($A338,'01-02.2021'!$A$6:$CZ$403,40,FALSE)+VLOOKUP($A338,'1.3.21-28.2.22'!$A$6:$DA$404,40,FALSE)-VLOOKUP($A338,'01-02.2022'!$A$6:$DA$376,40,FALSE)</f>
        <v>0</v>
      </c>
      <c r="AO338" s="70">
        <f t="shared" si="393"/>
        <v>0</v>
      </c>
      <c r="AP338" s="566">
        <f>VLOOKUP($A338,'01-02.2021'!$A$6:$CZ$403,42,FALSE)+VLOOKUP($A338,'1.3.21-28.2.22'!$A$6:$DA$404,42,FALSE)-VLOOKUP($A338,'01-02.2022'!$A$6:$DA$376,42,FALSE)</f>
        <v>9630.3586127363851</v>
      </c>
      <c r="AQ338" s="566">
        <f>VLOOKUP($A338,'01-02.2021'!$A$6:$CZ$403,43,FALSE)+VLOOKUP($A338,'1.3.21-28.2.22'!$A$6:$DA$404,43,FALSE)-VLOOKUP($A338,'01-02.2022'!$A$6:$DA$376,43,FALSE)</f>
        <v>8311.9277731501334</v>
      </c>
      <c r="AR338" s="70">
        <f t="shared" si="394"/>
        <v>-1318.4308395862518</v>
      </c>
      <c r="AS338" s="566">
        <f>VLOOKUP($A338,'01-02.2021'!$A$6:$CZ$403,45,FALSE)+VLOOKUP($A338,'1.3.21-28.2.22'!$A$6:$DA$404,45,FALSE)-VLOOKUP($A338,'01-02.2022'!$A$6:$DA$376,45,FALSE)</f>
        <v>61983.877061130006</v>
      </c>
      <c r="AT338" s="566">
        <f>VLOOKUP($A338,'01-02.2021'!$A$6:$CZ$403,46,FALSE)+VLOOKUP($A338,'1.3.21-28.2.22'!$A$6:$DA$404,46,FALSE)-VLOOKUP($A338,'01-02.2022'!$A$6:$DA$376,46,FALSE)</f>
        <v>28419.061741237248</v>
      </c>
      <c r="AU338" s="78">
        <f t="shared" si="395"/>
        <v>-33564.815319892761</v>
      </c>
      <c r="AV338" s="566">
        <f>VLOOKUP($A338,'01-02.2021'!$A$6:$CZ$403,48,FALSE)+VLOOKUP($A338,'1.3.21-28.2.22'!$A$6:$DA$404,48,FALSE)-VLOOKUP($A338,'01-02.2022'!$A$6:$DA$376,48,FALSE)</f>
        <v>4833.9932791211149</v>
      </c>
      <c r="AW338" s="566">
        <f>VLOOKUP($A338,'01-02.2021'!$A$6:$CZ$403,49,FALSE)+VLOOKUP($A338,'1.3.21-28.2.22'!$A$6:$DA$404,49,FALSE)-VLOOKUP($A338,'01-02.2022'!$A$6:$DA$376,49,FALSE)</f>
        <v>4036</v>
      </c>
      <c r="AX338" s="55">
        <f t="shared" si="396"/>
        <v>-797.99327912111494</v>
      </c>
      <c r="AY338" s="566">
        <f>VLOOKUP($A338,'01-02.2021'!$A$6:$CZ$403,51,FALSE)+VLOOKUP($A338,'1.3.21-28.2.22'!$A$6:$DA$404,51,FALSE)-VLOOKUP($A338,'01-02.2022'!$A$6:$DA$376,51,FALSE)</f>
        <v>6755.9255143379251</v>
      </c>
      <c r="AZ338" s="566">
        <f>VLOOKUP($A338,'01-02.2021'!$A$6:$CZ$403,52,FALSE)+VLOOKUP($A338,'1.3.21-28.2.22'!$A$6:$DA$404,52,FALSE)-VLOOKUP($A338,'01-02.2022'!$A$6:$DA$376,52,FALSE)</f>
        <v>104</v>
      </c>
      <c r="BA338" s="38">
        <f t="shared" si="397"/>
        <v>-6651.9255143379251</v>
      </c>
      <c r="BB338" s="566">
        <f>VLOOKUP($A338,'01-02.2021'!$A$6:$CZ$403,54,FALSE)+VLOOKUP($A338,'1.3.21-28.2.22'!$A$6:$DA$404,54,FALSE)-VLOOKUP($A338,'01-02.2022'!$A$6:$DA$376,54,FALSE)</f>
        <v>2417.9260475356568</v>
      </c>
      <c r="BC338" s="566">
        <f>VLOOKUP($A338,'01-02.2021'!$A$6:$CZ$403,55,FALSE)+VLOOKUP($A338,'1.3.21-28.2.22'!$A$6:$DA$404,55,FALSE)-VLOOKUP($A338,'01-02.2022'!$A$6:$DA$376,55,FALSE)</f>
        <v>12012</v>
      </c>
      <c r="BD338" s="55">
        <f t="shared" si="398"/>
        <v>9594.0739524643432</v>
      </c>
      <c r="BE338" s="566">
        <f>VLOOKUP($A338,'01-02.2021'!$A$6:$CZ$403,57,FALSE)+VLOOKUP($A338,'1.3.21-28.2.22'!$A$6:$DA$404,57,FALSE)-VLOOKUP($A338,'01-02.2022'!$A$6:$DA$376,57,FALSE)</f>
        <v>0</v>
      </c>
      <c r="BF338" s="566">
        <f>VLOOKUP($A338,'01-02.2021'!$A$6:$CZ$403,58,FALSE)+VLOOKUP($A338,'1.3.21-28.2.22'!$A$6:$DA$404,58,FALSE)-VLOOKUP($A338,'01-02.2022'!$A$6:$DA$376,58,FALSE)</f>
        <v>1667</v>
      </c>
      <c r="BG338" s="55">
        <f t="shared" si="399"/>
        <v>1667</v>
      </c>
      <c r="BH338" s="566">
        <f>VLOOKUP($A338,'01-02.2021'!$A$6:$CZ$403,60,FALSE)+VLOOKUP($A338,'1.3.21-28.2.22'!$A$6:$DA$404,60,FALSE)-VLOOKUP($A338,'01-02.2022'!$A$6:$DA$376,60,FALSE)</f>
        <v>0</v>
      </c>
      <c r="BI338" s="566">
        <f>VLOOKUP($A338,'01-02.2021'!$A$6:$CZ$403,61,FALSE)+VLOOKUP($A338,'1.3.21-28.2.22'!$A$6:$DA$404,61,FALSE)-VLOOKUP($A338,'01-02.2022'!$A$6:$DA$376,61,FALSE)</f>
        <v>0</v>
      </c>
      <c r="BJ338" s="55">
        <f t="shared" si="400"/>
        <v>0</v>
      </c>
      <c r="BK338" s="566">
        <f>VLOOKUP($A338,'01-02.2021'!$A$6:$CZ$403,63,FALSE)+VLOOKUP($A338,'1.3.21-28.2.22'!$A$6:$DA$404,63,FALSE)-VLOOKUP($A338,'01-02.2022'!$A$6:$DA$376,63,FALSE)</f>
        <v>6948.7693332827012</v>
      </c>
      <c r="BL338" s="566">
        <f>VLOOKUP($A338,'01-02.2021'!$A$6:$CZ$403,64,FALSE)+VLOOKUP($A338,'1.3.21-28.2.22'!$A$6:$DA$404,64,FALSE)-VLOOKUP($A338,'01-02.2022'!$A$6:$DA$376,64,FALSE)</f>
        <v>2104</v>
      </c>
      <c r="BM338" s="55">
        <f t="shared" si="401"/>
        <v>-4844.7693332827012</v>
      </c>
      <c r="BN338" s="566">
        <f>VLOOKUP($A338,'01-02.2021'!$A$6:$CZ$403,66,FALSE)+VLOOKUP($A338,'1.3.21-28.2.22'!$A$6:$DA$404,66,FALSE)-VLOOKUP($A338,'01-02.2022'!$A$6:$DA$376,66,FALSE)</f>
        <v>227.19499999999999</v>
      </c>
      <c r="BO338" s="566">
        <f>VLOOKUP($A338,'01-02.2021'!$A$6:$CZ$403,67,FALSE)+VLOOKUP($A338,'1.3.21-28.2.22'!$A$6:$DA$404,67,FALSE)-VLOOKUP($A338,'01-02.2022'!$A$6:$DA$376,67,FALSE)</f>
        <v>0</v>
      </c>
      <c r="BP338" s="55">
        <f t="shared" si="402"/>
        <v>-227.19499999999999</v>
      </c>
      <c r="BQ338" s="77">
        <f t="shared" si="348"/>
        <v>21183.809174277398</v>
      </c>
      <c r="BR338" s="40">
        <f t="shared" si="375"/>
        <v>19923</v>
      </c>
      <c r="BS338" s="55">
        <f t="shared" si="369"/>
        <v>-1260.8091742773977</v>
      </c>
      <c r="BT338" s="566">
        <f>VLOOKUP($A338,'01-02.2021'!$A$6:$CZ$403,72,FALSE)+VLOOKUP($A338,'1.3.21-28.2.22'!$A$6:$DA$404,72,FALSE)-VLOOKUP($A338,'01-02.2022'!$A$6:$DA$376,72,FALSE)</f>
        <v>21268.404759954399</v>
      </c>
      <c r="BU338" s="566">
        <f>VLOOKUP($A338,'01-02.2021'!$A$6:$CZ$403,73,FALSE)+VLOOKUP($A338,'1.3.21-28.2.22'!$A$6:$DA$404,73,FALSE)-VLOOKUP($A338,'01-02.2022'!$A$6:$DA$376,73,FALSE)</f>
        <v>30528.652837566646</v>
      </c>
      <c r="BV338" s="70">
        <f t="shared" si="403"/>
        <v>9260.2480776122466</v>
      </c>
      <c r="BW338" s="566">
        <f>VLOOKUP($A338,'01-02.2021'!$A$6:$CZ$403,75,FALSE)+VLOOKUP($A338,'1.3.21-28.2.22'!$A$6:$DA$404,75,FALSE)-VLOOKUP($A338,'01-02.2022'!$A$6:$DA$376,75,FALSE)</f>
        <v>39658.241734719879</v>
      </c>
      <c r="BX338" s="566">
        <f>VLOOKUP($A338,'01-02.2021'!$A$6:$CZ$403,76,FALSE)+VLOOKUP($A338,'1.3.21-28.2.22'!$A$6:$DA$404,76,FALSE)-VLOOKUP($A338,'01-02.2022'!$A$6:$DA$376,76,FALSE)</f>
        <v>37099.152299385496</v>
      </c>
      <c r="BY338" s="70">
        <f t="shared" si="404"/>
        <v>-2559.0894353343829</v>
      </c>
      <c r="BZ338" s="566">
        <f>VLOOKUP($A338,'01-02.2021'!$A$6:$CZ$403,78,FALSE)+VLOOKUP($A338,'1.3.21-28.2.22'!$A$6:$DA$404,78,FALSE)-VLOOKUP($A338,'01-02.2022'!$A$6:$DA$376,78,FALSE)</f>
        <v>12152.429248435936</v>
      </c>
      <c r="CA338" s="566">
        <f>VLOOKUP($A338,'01-02.2021'!$A$6:$CZ$403,79,FALSE)+VLOOKUP($A338,'1.3.21-28.2.22'!$A$6:$DA$404,79,FALSE)-VLOOKUP($A338,'01-02.2022'!$A$6:$DA$376,79,FALSE)</f>
        <v>7409.3859833469969</v>
      </c>
      <c r="CB338" s="70">
        <f t="shared" si="405"/>
        <v>-4743.0432650889388</v>
      </c>
      <c r="CC338" s="566">
        <f>VLOOKUP($A338,'01-02.2021'!$A$6:$CZ$403,81,FALSE)+VLOOKUP($A338,'1.3.21-28.2.22'!$A$6:$DA$404,81,FALSE)-VLOOKUP($A338,'01-02.2022'!$A$6:$DA$376,81,FALSE)</f>
        <v>747.80918204793159</v>
      </c>
      <c r="CD338" s="566">
        <f>VLOOKUP($A338,'01-02.2021'!$A$6:$CZ$403,82,FALSE)+VLOOKUP($A338,'1.3.21-28.2.22'!$A$6:$DA$404,82,FALSE)-VLOOKUP($A338,'01-02.2022'!$A$6:$DA$376,82,FALSE)</f>
        <v>817.35021593493411</v>
      </c>
      <c r="CE338" s="70">
        <f t="shared" si="406"/>
        <v>69.541033887002527</v>
      </c>
      <c r="CF338" s="566">
        <f>VLOOKUP($A338,'01-02.2021'!$A$6:$CZ$403,84,FALSE)+VLOOKUP($A338,'1.3.21-28.2.22'!$A$6:$DA$404,84,FALSE)-VLOOKUP($A338,'01-02.2022'!$A$6:$DA$376,84,FALSE)</f>
        <v>90.911610247377922</v>
      </c>
      <c r="CG338" s="566">
        <f>VLOOKUP($A338,'01-02.2021'!$A$6:$CZ$403,85,FALSE)+VLOOKUP($A338,'1.3.21-28.2.22'!$A$6:$DA$404,85,FALSE)-VLOOKUP($A338,'01-02.2022'!$A$6:$DA$376,85,FALSE)</f>
        <v>0</v>
      </c>
      <c r="CH338" s="70">
        <f t="shared" si="407"/>
        <v>-90.911610247377922</v>
      </c>
      <c r="CI338" s="566">
        <f>VLOOKUP($A338,'01-02.2021'!$A$6:$CZ$403,87,FALSE)+VLOOKUP($A338,'1.3.21-28.2.22'!$A$6:$DA$404,87,FALSE)-VLOOKUP($A338,'01-02.2022'!$A$6:$DA$376,87,FALSE)</f>
        <v>5562.3834192804343</v>
      </c>
      <c r="CJ338" s="566">
        <f>VLOOKUP($A338,'01-02.2021'!$A$6:$CZ$403,88,FALSE)+VLOOKUP($A338,'1.3.21-28.2.22'!$A$6:$DA$404,88,FALSE)-VLOOKUP($A338,'01-02.2022'!$A$6:$DA$376,88,FALSE)</f>
        <v>7256.9148958498681</v>
      </c>
      <c r="CK338" s="70">
        <f t="shared" si="408"/>
        <v>1694.5314765694338</v>
      </c>
      <c r="CL338" s="566">
        <f>VLOOKUP($A338,'01-02.2021'!$A$6:$CZ$403,90,FALSE)+VLOOKUP($A338,'1.3.21-28.2.22'!$A$6:$DA$404,90,FALSE)-VLOOKUP($A338,'01-02.2022'!$A$6:$DA$376,90,FALSE)</f>
        <v>0</v>
      </c>
      <c r="CM338" s="566">
        <f>VLOOKUP($A338,'01-02.2021'!$A$6:$CZ$403,91,FALSE)+VLOOKUP($A338,'1.3.21-28.2.22'!$A$6:$DA$404,91,FALSE)-VLOOKUP($A338,'01-02.2022'!$A$6:$DA$376,91,FALSE)</f>
        <v>0</v>
      </c>
      <c r="CN338" s="52">
        <f t="shared" si="360"/>
        <v>0</v>
      </c>
      <c r="CO338" s="39">
        <f t="shared" si="355"/>
        <v>5562.3834192804343</v>
      </c>
      <c r="CP338" s="40">
        <f t="shared" si="361"/>
        <v>7256.9148958498681</v>
      </c>
      <c r="CQ338" s="52">
        <f t="shared" si="362"/>
        <v>1694.5314765694338</v>
      </c>
      <c r="CR338" s="72">
        <f t="shared" si="356"/>
        <v>236495.88395992541</v>
      </c>
      <c r="CS338" s="5">
        <f t="shared" si="356"/>
        <v>206742.44017278819</v>
      </c>
      <c r="CT338" s="52">
        <f t="shared" si="363"/>
        <v>-29753.443787137221</v>
      </c>
      <c r="CU338" s="77">
        <f t="shared" si="364"/>
        <v>283795.0607519105</v>
      </c>
      <c r="CV338" s="65">
        <f t="shared" si="365"/>
        <v>248090.92820734583</v>
      </c>
      <c r="CW338" s="35">
        <f t="shared" si="366"/>
        <v>-35704.132544564665</v>
      </c>
      <c r="CX338" s="566">
        <f>VLOOKUP($A338,'01-02.2021'!$A$6:$CZ$403,102,FALSE)+VLOOKUP($A338,'1.3.21-28.2.22'!$A$6:$DA$404,102,FALSE)-VLOOKUP($A338,'01-02.2022'!$A$6:$DA$376,102,FALSE)</f>
        <v>23598.385611500682</v>
      </c>
      <c r="CY338" s="566">
        <f>VLOOKUP($A338,'01-02.2021'!$A$6:$CZ$403,103,FALSE)+VLOOKUP($A338,'1.3.21-28.2.22'!$A$6:$DA$404,103,FALSE)-VLOOKUP($A338,'01-02.2022'!$A$6:$DA$376,103,FALSE)</f>
        <v>59302.518156065351</v>
      </c>
      <c r="CZ338" s="52">
        <f t="shared" si="367"/>
        <v>35704.132544564665</v>
      </c>
      <c r="DA338" s="150">
        <f>'[2]побудинковий звіт'!DA338</f>
        <v>-26980.91188308553</v>
      </c>
      <c r="DB338" s="2">
        <v>2</v>
      </c>
      <c r="DC338" s="414">
        <f>'[4]побудинковий звіт'!DC338</f>
        <v>50281.33</v>
      </c>
      <c r="DD338" s="414">
        <f>'[4]побудинковий звіт'!DD338</f>
        <v>21701.06</v>
      </c>
      <c r="DE338" s="557">
        <f>'[4]побудинковий звіт'!DE338</f>
        <v>27506.716563720307</v>
      </c>
      <c r="DF338" s="557">
        <f>'[4]побудинковий звіт'!DF338</f>
        <v>14840.459987130242</v>
      </c>
      <c r="DG338" s="321">
        <f>VLOOKUP(A338,'кошти 01.03.2021'!$A$6:$D$401,4,)</f>
        <v>11797.15834985567</v>
      </c>
      <c r="DH338" s="40">
        <f>'[3]побудинковий звіт'!DJ338</f>
        <v>324460.9881084002</v>
      </c>
      <c r="DI338" s="422">
        <f>'[3]побудинковий звіт'!CU338+'[3]побудинковий звіт'!CX338</f>
        <v>29287.240194468079</v>
      </c>
      <c r="DJ338" s="306">
        <f>'[3]побудинковий звіт'!DM338</f>
        <v>5.7036347198296253</v>
      </c>
      <c r="DK338" s="306">
        <f t="shared" si="377"/>
        <v>5.7036347198296253</v>
      </c>
      <c r="DL338" s="306">
        <f>'[3]побудинковий звіт'!DO338</f>
        <v>4.5135526400458943</v>
      </c>
      <c r="DM338" s="28">
        <f t="shared" si="379"/>
        <v>22774.613436279695</v>
      </c>
      <c r="DN338" s="28">
        <f t="shared" si="380"/>
        <v>6860.6000128697597</v>
      </c>
      <c r="DO338" s="423">
        <f t="shared" si="381"/>
        <v>29635.213449149454</v>
      </c>
      <c r="DP338" s="94">
        <f t="shared" si="382"/>
        <v>-347.97325468137569</v>
      </c>
      <c r="DQ338" s="28">
        <f t="shared" si="383"/>
        <v>29635.213449149454</v>
      </c>
      <c r="DR338" s="318"/>
      <c r="DT338" s="8"/>
      <c r="DU338" s="5"/>
      <c r="DX338" s="5">
        <f t="shared" si="384"/>
        <v>99801.223482488873</v>
      </c>
      <c r="DY338" s="5">
        <f t="shared" si="385"/>
        <v>58010.474089484698</v>
      </c>
      <c r="DZ338" s="159">
        <f>'[3]побудинковий звіт'!EA338</f>
        <v>9917.5223342570589</v>
      </c>
    </row>
    <row r="339" spans="1:130" x14ac:dyDescent="0.3">
      <c r="A339" s="325">
        <v>150000705</v>
      </c>
      <c r="B339" s="41" t="s">
        <v>785</v>
      </c>
      <c r="C339" s="42" t="s">
        <v>142</v>
      </c>
      <c r="D339" s="42"/>
      <c r="E339" s="293">
        <f t="shared" si="353"/>
        <v>240.6</v>
      </c>
      <c r="F339" s="305">
        <f>'[3]побудинковий звіт'!F339</f>
        <v>240.6</v>
      </c>
      <c r="G339" s="508">
        <f>'[3]побудинковий звіт'!G339</f>
        <v>0</v>
      </c>
      <c r="H339" s="560">
        <f>'[3]побудинковий звіт'!H339</f>
        <v>0</v>
      </c>
      <c r="I339" s="566"/>
      <c r="J339" s="566"/>
      <c r="K339" s="52">
        <f t="shared" si="357"/>
        <v>0</v>
      </c>
      <c r="L339" s="566"/>
      <c r="M339" s="566"/>
      <c r="N339" s="52">
        <f t="shared" si="358"/>
        <v>0</v>
      </c>
      <c r="O339" s="566"/>
      <c r="P339" s="566"/>
      <c r="Q339" s="70"/>
      <c r="R339" s="566"/>
      <c r="S339" s="566"/>
      <c r="T339" s="70"/>
      <c r="U339" s="566"/>
      <c r="V339" s="566"/>
      <c r="W339" s="70"/>
      <c r="X339" s="566"/>
      <c r="Y339" s="566"/>
      <c r="Z339" s="70"/>
      <c r="AA339" s="566"/>
      <c r="AB339" s="566"/>
      <c r="AC339" s="70"/>
      <c r="AD339" s="566"/>
      <c r="AE339" s="566"/>
      <c r="AF339" s="68"/>
      <c r="AG339" s="77">
        <f t="shared" si="354"/>
        <v>0</v>
      </c>
      <c r="AH339" s="53">
        <f t="shared" si="354"/>
        <v>0</v>
      </c>
      <c r="AI339" s="52">
        <f t="shared" si="359"/>
        <v>0</v>
      </c>
      <c r="AJ339" s="566"/>
      <c r="AK339" s="566"/>
      <c r="AL339" s="70"/>
      <c r="AM339" s="566"/>
      <c r="AN339" s="566"/>
      <c r="AO339" s="70"/>
      <c r="AP339" s="566"/>
      <c r="AQ339" s="566"/>
      <c r="AR339" s="70"/>
      <c r="AS339" s="566"/>
      <c r="AT339" s="566"/>
      <c r="AU339" s="78"/>
      <c r="AV339" s="566"/>
      <c r="AW339" s="566"/>
      <c r="AX339" s="55"/>
      <c r="AY339" s="566"/>
      <c r="AZ339" s="566"/>
      <c r="BA339" s="38"/>
      <c r="BB339" s="566"/>
      <c r="BC339" s="566"/>
      <c r="BD339" s="55"/>
      <c r="BE339" s="566"/>
      <c r="BF339" s="566"/>
      <c r="BG339" s="55"/>
      <c r="BH339" s="566"/>
      <c r="BI339" s="566"/>
      <c r="BJ339" s="55"/>
      <c r="BK339" s="566"/>
      <c r="BL339" s="566"/>
      <c r="BM339" s="55"/>
      <c r="BN339" s="566"/>
      <c r="BO339" s="566"/>
      <c r="BP339" s="55"/>
      <c r="BQ339" s="77">
        <f t="shared" si="348"/>
        <v>0</v>
      </c>
      <c r="BR339" s="40">
        <f t="shared" si="375"/>
        <v>0</v>
      </c>
      <c r="BS339" s="55">
        <f t="shared" si="369"/>
        <v>0</v>
      </c>
      <c r="BT339" s="566"/>
      <c r="BU339" s="566"/>
      <c r="BV339" s="70"/>
      <c r="BW339" s="566"/>
      <c r="BX339" s="566"/>
      <c r="BY339" s="70"/>
      <c r="BZ339" s="566"/>
      <c r="CA339" s="566"/>
      <c r="CB339" s="70"/>
      <c r="CC339" s="566"/>
      <c r="CD339" s="566"/>
      <c r="CE339" s="70"/>
      <c r="CF339" s="566"/>
      <c r="CG339" s="566"/>
      <c r="CH339" s="70"/>
      <c r="CI339" s="566"/>
      <c r="CJ339" s="566"/>
      <c r="CK339" s="70"/>
      <c r="CL339" s="566"/>
      <c r="CM339" s="566"/>
      <c r="CN339" s="52">
        <f t="shared" si="360"/>
        <v>0</v>
      </c>
      <c r="CO339" s="39">
        <f t="shared" si="355"/>
        <v>0</v>
      </c>
      <c r="CP339" s="40">
        <f t="shared" si="361"/>
        <v>0</v>
      </c>
      <c r="CQ339" s="52">
        <f t="shared" si="362"/>
        <v>0</v>
      </c>
      <c r="CR339" s="72">
        <f t="shared" si="356"/>
        <v>0</v>
      </c>
      <c r="CS339" s="5">
        <f t="shared" si="356"/>
        <v>0</v>
      </c>
      <c r="CT339" s="52">
        <f t="shared" si="363"/>
        <v>0</v>
      </c>
      <c r="CU339" s="77">
        <f t="shared" si="364"/>
        <v>0</v>
      </c>
      <c r="CV339" s="65">
        <f t="shared" si="365"/>
        <v>0</v>
      </c>
      <c r="CW339" s="35">
        <f t="shared" si="366"/>
        <v>0</v>
      </c>
      <c r="CX339" s="566"/>
      <c r="CY339" s="566"/>
      <c r="CZ339" s="52">
        <f t="shared" si="367"/>
        <v>0</v>
      </c>
      <c r="DA339" s="150">
        <f>'[2]побудинковий звіт'!DA339</f>
        <v>-192.08342267031912</v>
      </c>
      <c r="DB339" s="2">
        <v>3</v>
      </c>
      <c r="DC339" s="414">
        <f>'[4]побудинковий звіт'!DC339</f>
        <v>3269.98</v>
      </c>
      <c r="DD339" s="414">
        <f>'[4]побудинковий звіт'!DD339</f>
        <v>0</v>
      </c>
      <c r="DE339" s="557">
        <f>'[4]побудинковий звіт'!DE339</f>
        <v>2904.7681838912526</v>
      </c>
      <c r="DF339" s="557">
        <f>'[4]побудинковий звіт'!DF339</f>
        <v>0</v>
      </c>
      <c r="DG339" s="321">
        <f>VLOOKUP(A339,'кошти 01.03.2021'!$A$6:$D$401,4,)</f>
        <v>1344.5065575335061</v>
      </c>
      <c r="DH339" s="40">
        <f>'[3]побудинковий звіт'!DJ339</f>
        <v>4161.8286795848844</v>
      </c>
      <c r="DI339" s="422">
        <f>'[3]побудинковий звіт'!CU339+'[3]побудинковий звіт'!CX339</f>
        <v>365.21181610874731</v>
      </c>
      <c r="DJ339" s="306">
        <f>'[3]побудинковий звіт'!DM339</f>
        <v>1.5179210977088418</v>
      </c>
      <c r="DK339" s="306">
        <f t="shared" si="377"/>
        <v>1.5179210977088418</v>
      </c>
      <c r="DL339" s="306">
        <f>'[3]побудинковий звіт'!DO339</f>
        <v>1.5179210977088418</v>
      </c>
      <c r="DM339" s="28">
        <f t="shared" si="379"/>
        <v>365.21181610874731</v>
      </c>
      <c r="DN339" s="28">
        <f t="shared" si="380"/>
        <v>0</v>
      </c>
      <c r="DO339" s="423">
        <f t="shared" si="381"/>
        <v>365.21181610874731</v>
      </c>
      <c r="DP339" s="94">
        <f t="shared" si="382"/>
        <v>0</v>
      </c>
      <c r="DQ339" s="28">
        <f t="shared" si="383"/>
        <v>365.21181610874731</v>
      </c>
      <c r="DR339" s="318"/>
      <c r="DT339" s="8"/>
      <c r="DU339" s="5"/>
      <c r="DX339" s="5">
        <f t="shared" si="384"/>
        <v>0</v>
      </c>
      <c r="DY339" s="5">
        <f t="shared" si="385"/>
        <v>0</v>
      </c>
      <c r="DZ339" s="159">
        <f>'[3]побудинковий звіт'!EA339</f>
        <v>282.7342447362451</v>
      </c>
    </row>
    <row r="340" spans="1:130" x14ac:dyDescent="0.3">
      <c r="A340" s="325">
        <v>150000709</v>
      </c>
      <c r="B340" s="41" t="s">
        <v>786</v>
      </c>
      <c r="C340" s="42" t="s">
        <v>143</v>
      </c>
      <c r="D340" s="42"/>
      <c r="E340" s="293">
        <f t="shared" si="353"/>
        <v>201.1</v>
      </c>
      <c r="F340" s="305">
        <f>'[3]побудинковий звіт'!F340</f>
        <v>201.1</v>
      </c>
      <c r="G340" s="508">
        <f>'[3]побудинковий звіт'!G340</f>
        <v>0</v>
      </c>
      <c r="H340" s="560">
        <f>'[3]побудинковий звіт'!H340</f>
        <v>0</v>
      </c>
      <c r="I340" s="566">
        <f>VLOOKUP($A340,'01-02.2021'!$A$6:$CZ$403,9,FALSE)+VLOOKUP($A340,'1.3.21-28.2.22'!$A$6:$DA$404,9,FALSE)-VLOOKUP($A340,'01-02.2022'!$A$6:$DA$376,9,FALSE)</f>
        <v>0</v>
      </c>
      <c r="J340" s="566">
        <f>VLOOKUP($A340,'01-02.2021'!$A$6:$CZ$403,10,FALSE)+VLOOKUP($A340,'1.3.21-28.2.22'!$A$6:$DA$404,10,FALSE)-VLOOKUP($A340,'01-02.2022'!$A$6:$DA$376,10,FALSE)</f>
        <v>0</v>
      </c>
      <c r="K340" s="52">
        <f t="shared" si="357"/>
        <v>0</v>
      </c>
      <c r="L340" s="566">
        <f>VLOOKUP($A340,'01-02.2021'!$A$6:$CZ$403,12,FALSE)+VLOOKUP($A340,'1.3.21-28.2.22'!$A$6:$DA$404,12,FALSE)-VLOOKUP($A340,'01-02.2022'!$A$6:$DA$376,12,FALSE)</f>
        <v>0</v>
      </c>
      <c r="M340" s="566">
        <f>VLOOKUP($A340,'01-02.2021'!$A$6:$CZ$403,13,FALSE)+VLOOKUP($A340,'1.3.21-28.2.22'!$A$6:$DA$404,13,FALSE)-VLOOKUP($A340,'01-02.2022'!$A$6:$DA$376,13,FALSE)</f>
        <v>0</v>
      </c>
      <c r="N340" s="52">
        <f t="shared" si="358"/>
        <v>0</v>
      </c>
      <c r="O340" s="566">
        <f>VLOOKUP($A340,'01-02.2021'!$A$6:$CZ$403,15,FALSE)+VLOOKUP($A340,'1.3.21-28.2.22'!$A$6:$DA$404,15,FALSE)-VLOOKUP($A340,'01-02.2022'!$A$6:$DA$376,15,FALSE)</f>
        <v>0</v>
      </c>
      <c r="P340" s="566">
        <f>VLOOKUP($A340,'01-02.2021'!$A$6:$CZ$403,16,FALSE)+VLOOKUP($A340,'1.3.21-28.2.22'!$A$6:$DA$404,16,FALSE)-VLOOKUP($A340,'01-02.2022'!$A$6:$DA$376,16,FALSE)</f>
        <v>0</v>
      </c>
      <c r="Q340" s="70">
        <f t="shared" si="386"/>
        <v>0</v>
      </c>
      <c r="R340" s="566">
        <f>VLOOKUP($A340,'01-02.2021'!$A$6:$CZ$403,18,FALSE)+VLOOKUP($A340,'1.3.21-28.2.22'!$A$6:$DA$404,18,FALSE)-VLOOKUP($A340,'01-02.2022'!$A$6:$DA$376,18,FALSE)</f>
        <v>0</v>
      </c>
      <c r="S340" s="566">
        <f>VLOOKUP($A340,'01-02.2021'!$A$6:$CZ$403,19,FALSE)+VLOOKUP($A340,'1.3.21-28.2.22'!$A$6:$DA$404,19,FALSE)-VLOOKUP($A340,'01-02.2022'!$A$6:$DA$376,19,FALSE)</f>
        <v>0</v>
      </c>
      <c r="T340" s="70">
        <f t="shared" si="387"/>
        <v>0</v>
      </c>
      <c r="U340" s="566">
        <f>VLOOKUP($A340,'01-02.2021'!$A$6:$CZ$403,21,FALSE)+VLOOKUP($A340,'1.3.21-28.2.22'!$A$6:$DA$404,21,FALSE)-VLOOKUP($A340,'01-02.2022'!$A$6:$DA$376,21,FALSE)</f>
        <v>0</v>
      </c>
      <c r="V340" s="566">
        <f>VLOOKUP($A340,'01-02.2021'!$A$6:$CZ$403,22,FALSE)+VLOOKUP($A340,'1.3.21-28.2.22'!$A$6:$DA$404,22,FALSE)-VLOOKUP($A340,'01-02.2022'!$A$6:$DA$376,22,FALSE)</f>
        <v>0</v>
      </c>
      <c r="W340" s="70">
        <f t="shared" si="388"/>
        <v>0</v>
      </c>
      <c r="X340" s="566">
        <f>VLOOKUP($A340,'01-02.2021'!$A$6:$CZ$403,24,FALSE)+VLOOKUP($A340,'1.3.21-28.2.22'!$A$6:$DA$404,24,FALSE)-VLOOKUP($A340,'01-02.2022'!$A$6:$DA$376,24,FALSE)</f>
        <v>0</v>
      </c>
      <c r="Y340" s="566">
        <f>VLOOKUP($A340,'01-02.2021'!$A$6:$CZ$403,25,FALSE)+VLOOKUP($A340,'1.3.21-28.2.22'!$A$6:$DA$404,25,FALSE)-VLOOKUP($A340,'01-02.2022'!$A$6:$DA$376,25,FALSE)</f>
        <v>0</v>
      </c>
      <c r="Z340" s="70">
        <f t="shared" si="389"/>
        <v>0</v>
      </c>
      <c r="AA340" s="566">
        <f>VLOOKUP($A340,'01-02.2021'!$A$6:$CZ$403,27,FALSE)+VLOOKUP($A340,'1.3.21-28.2.22'!$A$6:$DA$404,27,FALSE)-VLOOKUP($A340,'01-02.2022'!$A$6:$DA$376,27,FALSE)</f>
        <v>40.22</v>
      </c>
      <c r="AB340" s="566">
        <f>VLOOKUP($A340,'01-02.2021'!$A$6:$CZ$403,28,FALSE)+VLOOKUP($A340,'1.3.21-28.2.22'!$A$6:$DA$404,28,FALSE)-VLOOKUP($A340,'01-02.2022'!$A$6:$DA$376,28,FALSE)</f>
        <v>0</v>
      </c>
      <c r="AC340" s="70">
        <f t="shared" si="390"/>
        <v>-40.22</v>
      </c>
      <c r="AD340" s="566">
        <f>VLOOKUP($A340,'01-02.2021'!$A$6:$CZ$403,30,FALSE)+VLOOKUP($A340,'1.3.21-28.2.22'!$A$6:$DA$404,30,FALSE)-VLOOKUP($A340,'01-02.2022'!$A$6:$DA$376,30,FALSE)</f>
        <v>302.00603333697313</v>
      </c>
      <c r="AE340" s="566">
        <f>VLOOKUP($A340,'01-02.2021'!$A$6:$CZ$403,31,FALSE)+VLOOKUP($A340,'1.3.21-28.2.22'!$A$6:$DA$404,31,FALSE)-VLOOKUP($A340,'01-02.2022'!$A$6:$DA$376,31,FALSE)</f>
        <v>915.41530277154664</v>
      </c>
      <c r="AF340" s="68">
        <f t="shared" si="391"/>
        <v>613.4092694345735</v>
      </c>
      <c r="AG340" s="77">
        <f t="shared" si="354"/>
        <v>342.22603333697316</v>
      </c>
      <c r="AH340" s="53">
        <f t="shared" si="354"/>
        <v>915.41530277154664</v>
      </c>
      <c r="AI340" s="52">
        <f t="shared" si="359"/>
        <v>573.18926943457348</v>
      </c>
      <c r="AJ340" s="566">
        <f>VLOOKUP($A340,'01-02.2021'!$A$6:$CZ$403,36,FALSE)+VLOOKUP($A340,'1.3.21-28.2.22'!$A$6:$DA$404,36,FALSE)-VLOOKUP($A340,'01-02.2022'!$A$6:$DA$376,36,FALSE)</f>
        <v>0</v>
      </c>
      <c r="AK340" s="566">
        <f>VLOOKUP($A340,'01-02.2021'!$A$6:$CZ$403,37,FALSE)+VLOOKUP($A340,'1.3.21-28.2.22'!$A$6:$DA$404,37,FALSE)-VLOOKUP($A340,'01-02.2022'!$A$6:$DA$376,37,FALSE)</f>
        <v>0</v>
      </c>
      <c r="AL340" s="70">
        <f t="shared" si="392"/>
        <v>0</v>
      </c>
      <c r="AM340" s="566">
        <f>VLOOKUP($A340,'01-02.2021'!$A$6:$CZ$403,39,FALSE)+VLOOKUP($A340,'1.3.21-28.2.22'!$A$6:$DA$404,39,FALSE)-VLOOKUP($A340,'01-02.2022'!$A$6:$DA$376,39,FALSE)</f>
        <v>0</v>
      </c>
      <c r="AN340" s="566">
        <f>VLOOKUP($A340,'01-02.2021'!$A$6:$CZ$403,40,FALSE)+VLOOKUP($A340,'1.3.21-28.2.22'!$A$6:$DA$404,40,FALSE)-VLOOKUP($A340,'01-02.2022'!$A$6:$DA$376,40,FALSE)</f>
        <v>0</v>
      </c>
      <c r="AO340" s="70">
        <f t="shared" si="393"/>
        <v>0</v>
      </c>
      <c r="AP340" s="566">
        <f>VLOOKUP($A340,'01-02.2021'!$A$6:$CZ$403,42,FALSE)+VLOOKUP($A340,'1.3.21-28.2.22'!$A$6:$DA$404,42,FALSE)-VLOOKUP($A340,'01-02.2022'!$A$6:$DA$376,42,FALSE)</f>
        <v>347.03995000851819</v>
      </c>
      <c r="AQ340" s="566">
        <f>VLOOKUP($A340,'01-02.2021'!$A$6:$CZ$403,43,FALSE)+VLOOKUP($A340,'1.3.21-28.2.22'!$A$6:$DA$404,43,FALSE)-VLOOKUP($A340,'01-02.2022'!$A$6:$DA$376,43,FALSE)</f>
        <v>299.17633281993915</v>
      </c>
      <c r="AR340" s="70">
        <f t="shared" si="394"/>
        <v>-47.863617188579042</v>
      </c>
      <c r="AS340" s="566">
        <f>VLOOKUP($A340,'01-02.2021'!$A$6:$CZ$403,45,FALSE)+VLOOKUP($A340,'1.3.21-28.2.22'!$A$6:$DA$404,45,FALSE)-VLOOKUP($A340,'01-02.2022'!$A$6:$DA$376,45,FALSE)</f>
        <v>1925.2558053888908</v>
      </c>
      <c r="AT340" s="566">
        <f>VLOOKUP($A340,'01-02.2021'!$A$6:$CZ$403,46,FALSE)+VLOOKUP($A340,'1.3.21-28.2.22'!$A$6:$DA$404,46,FALSE)-VLOOKUP($A340,'01-02.2022'!$A$6:$DA$376,46,FALSE)</f>
        <v>0</v>
      </c>
      <c r="AU340" s="78">
        <f t="shared" si="395"/>
        <v>-1925.2558053888908</v>
      </c>
      <c r="AV340" s="566">
        <f>VLOOKUP($A340,'01-02.2021'!$A$6:$CZ$403,48,FALSE)+VLOOKUP($A340,'1.3.21-28.2.22'!$A$6:$DA$404,48,FALSE)-VLOOKUP($A340,'01-02.2022'!$A$6:$DA$376,48,FALSE)</f>
        <v>0</v>
      </c>
      <c r="AW340" s="566">
        <f>VLOOKUP($A340,'01-02.2021'!$A$6:$CZ$403,49,FALSE)+VLOOKUP($A340,'1.3.21-28.2.22'!$A$6:$DA$404,49,FALSE)-VLOOKUP($A340,'01-02.2022'!$A$6:$DA$376,49,FALSE)</f>
        <v>0</v>
      </c>
      <c r="AX340" s="55">
        <f t="shared" si="396"/>
        <v>0</v>
      </c>
      <c r="AY340" s="566">
        <f>VLOOKUP($A340,'01-02.2021'!$A$6:$CZ$403,51,FALSE)+VLOOKUP($A340,'1.3.21-28.2.22'!$A$6:$DA$404,51,FALSE)-VLOOKUP($A340,'01-02.2022'!$A$6:$DA$376,51,FALSE)</f>
        <v>0</v>
      </c>
      <c r="AZ340" s="566">
        <f>VLOOKUP($A340,'01-02.2021'!$A$6:$CZ$403,52,FALSE)+VLOOKUP($A340,'1.3.21-28.2.22'!$A$6:$DA$404,52,FALSE)-VLOOKUP($A340,'01-02.2022'!$A$6:$DA$376,52,FALSE)</f>
        <v>0</v>
      </c>
      <c r="BA340" s="38">
        <f t="shared" si="397"/>
        <v>0</v>
      </c>
      <c r="BB340" s="566">
        <f>VLOOKUP($A340,'01-02.2021'!$A$6:$CZ$403,54,FALSE)+VLOOKUP($A340,'1.3.21-28.2.22'!$A$6:$DA$404,54,FALSE)-VLOOKUP($A340,'01-02.2022'!$A$6:$DA$376,54,FALSE)</f>
        <v>0</v>
      </c>
      <c r="BC340" s="566">
        <f>VLOOKUP($A340,'01-02.2021'!$A$6:$CZ$403,55,FALSE)+VLOOKUP($A340,'1.3.21-28.2.22'!$A$6:$DA$404,55,FALSE)-VLOOKUP($A340,'01-02.2022'!$A$6:$DA$376,55,FALSE)</f>
        <v>0</v>
      </c>
      <c r="BD340" s="55">
        <f t="shared" si="398"/>
        <v>0</v>
      </c>
      <c r="BE340" s="566">
        <f>VLOOKUP($A340,'01-02.2021'!$A$6:$CZ$403,57,FALSE)+VLOOKUP($A340,'1.3.21-28.2.22'!$A$6:$DA$404,57,FALSE)-VLOOKUP($A340,'01-02.2022'!$A$6:$DA$376,57,FALSE)</f>
        <v>0</v>
      </c>
      <c r="BF340" s="566">
        <f>VLOOKUP($A340,'01-02.2021'!$A$6:$CZ$403,58,FALSE)+VLOOKUP($A340,'1.3.21-28.2.22'!$A$6:$DA$404,58,FALSE)-VLOOKUP($A340,'01-02.2022'!$A$6:$DA$376,58,FALSE)</f>
        <v>0</v>
      </c>
      <c r="BG340" s="55">
        <f t="shared" si="399"/>
        <v>0</v>
      </c>
      <c r="BH340" s="566">
        <f>VLOOKUP($A340,'01-02.2021'!$A$6:$CZ$403,60,FALSE)+VLOOKUP($A340,'1.3.21-28.2.22'!$A$6:$DA$404,60,FALSE)-VLOOKUP($A340,'01-02.2022'!$A$6:$DA$376,60,FALSE)</f>
        <v>0</v>
      </c>
      <c r="BI340" s="566">
        <f>VLOOKUP($A340,'01-02.2021'!$A$6:$CZ$403,61,FALSE)+VLOOKUP($A340,'1.3.21-28.2.22'!$A$6:$DA$404,61,FALSE)-VLOOKUP($A340,'01-02.2022'!$A$6:$DA$376,61,FALSE)</f>
        <v>0</v>
      </c>
      <c r="BJ340" s="55">
        <f t="shared" si="400"/>
        <v>0</v>
      </c>
      <c r="BK340" s="566">
        <f>VLOOKUP($A340,'01-02.2021'!$A$6:$CZ$403,63,FALSE)+VLOOKUP($A340,'1.3.21-28.2.22'!$A$6:$DA$404,63,FALSE)-VLOOKUP($A340,'01-02.2022'!$A$6:$DA$376,63,FALSE)</f>
        <v>0</v>
      </c>
      <c r="BL340" s="566">
        <f>VLOOKUP($A340,'01-02.2021'!$A$6:$CZ$403,64,FALSE)+VLOOKUP($A340,'1.3.21-28.2.22'!$A$6:$DA$404,64,FALSE)-VLOOKUP($A340,'01-02.2022'!$A$6:$DA$376,64,FALSE)</f>
        <v>0</v>
      </c>
      <c r="BM340" s="55">
        <f t="shared" si="401"/>
        <v>0</v>
      </c>
      <c r="BN340" s="566">
        <f>VLOOKUP($A340,'01-02.2021'!$A$6:$CZ$403,66,FALSE)+VLOOKUP($A340,'1.3.21-28.2.22'!$A$6:$DA$404,66,FALSE)-VLOOKUP($A340,'01-02.2022'!$A$6:$DA$376,66,FALSE)</f>
        <v>10.055</v>
      </c>
      <c r="BO340" s="566">
        <f>VLOOKUP($A340,'01-02.2021'!$A$6:$CZ$403,67,FALSE)+VLOOKUP($A340,'1.3.21-28.2.22'!$A$6:$DA$404,67,FALSE)-VLOOKUP($A340,'01-02.2022'!$A$6:$DA$376,67,FALSE)</f>
        <v>0</v>
      </c>
      <c r="BP340" s="55">
        <f t="shared" si="402"/>
        <v>-10.055</v>
      </c>
      <c r="BQ340" s="77">
        <f t="shared" si="348"/>
        <v>10.055</v>
      </c>
      <c r="BR340" s="40">
        <f t="shared" si="375"/>
        <v>0</v>
      </c>
      <c r="BS340" s="55">
        <f t="shared" si="369"/>
        <v>-10.055</v>
      </c>
      <c r="BT340" s="566">
        <f>VLOOKUP($A340,'01-02.2021'!$A$6:$CZ$403,72,FALSE)+VLOOKUP($A340,'1.3.21-28.2.22'!$A$6:$DA$404,72,FALSE)-VLOOKUP($A340,'01-02.2022'!$A$6:$DA$376,72,FALSE)</f>
        <v>111.65938351958833</v>
      </c>
      <c r="BU340" s="566">
        <f>VLOOKUP($A340,'01-02.2021'!$A$6:$CZ$403,73,FALSE)+VLOOKUP($A340,'1.3.21-28.2.22'!$A$6:$DA$404,73,FALSE)-VLOOKUP($A340,'01-02.2022'!$A$6:$DA$376,73,FALSE)</f>
        <v>173.20043558022763</v>
      </c>
      <c r="BV340" s="70">
        <f t="shared" si="403"/>
        <v>61.541052060639302</v>
      </c>
      <c r="BW340" s="566">
        <f>VLOOKUP($A340,'01-02.2021'!$A$6:$CZ$403,75,FALSE)+VLOOKUP($A340,'1.3.21-28.2.22'!$A$6:$DA$404,75,FALSE)-VLOOKUP($A340,'01-02.2022'!$A$6:$DA$376,75,FALSE)</f>
        <v>0</v>
      </c>
      <c r="BX340" s="566">
        <f>VLOOKUP($A340,'01-02.2021'!$A$6:$CZ$403,76,FALSE)+VLOOKUP($A340,'1.3.21-28.2.22'!$A$6:$DA$404,76,FALSE)-VLOOKUP($A340,'01-02.2022'!$A$6:$DA$376,76,FALSE)</f>
        <v>4.5069708684559275</v>
      </c>
      <c r="BY340" s="70">
        <f t="shared" si="404"/>
        <v>4.5069708684559275</v>
      </c>
      <c r="BZ340" s="566">
        <f>VLOOKUP($A340,'01-02.2021'!$A$6:$CZ$403,78,FALSE)+VLOOKUP($A340,'1.3.21-28.2.22'!$A$6:$DA$404,78,FALSE)-VLOOKUP($A340,'01-02.2022'!$A$6:$DA$376,78,FALSE)</f>
        <v>0</v>
      </c>
      <c r="CA340" s="566">
        <f>VLOOKUP($A340,'01-02.2021'!$A$6:$CZ$403,79,FALSE)+VLOOKUP($A340,'1.3.21-28.2.22'!$A$6:$DA$404,79,FALSE)-VLOOKUP($A340,'01-02.2022'!$A$6:$DA$376,79,FALSE)</f>
        <v>10.560876924177705</v>
      </c>
      <c r="CB340" s="70">
        <f t="shared" si="405"/>
        <v>10.560876924177705</v>
      </c>
      <c r="CC340" s="566">
        <f>VLOOKUP($A340,'01-02.2021'!$A$6:$CZ$403,81,FALSE)+VLOOKUP($A340,'1.3.21-28.2.22'!$A$6:$DA$404,81,FALSE)-VLOOKUP($A340,'01-02.2022'!$A$6:$DA$376,81,FALSE)</f>
        <v>0</v>
      </c>
      <c r="CD340" s="566">
        <f>VLOOKUP($A340,'01-02.2021'!$A$6:$CZ$403,82,FALSE)+VLOOKUP($A340,'1.3.21-28.2.22'!$A$6:$DA$404,82,FALSE)-VLOOKUP($A340,'01-02.2022'!$A$6:$DA$376,82,FALSE)</f>
        <v>0</v>
      </c>
      <c r="CE340" s="70">
        <f t="shared" si="406"/>
        <v>0</v>
      </c>
      <c r="CF340" s="566">
        <f>VLOOKUP($A340,'01-02.2021'!$A$6:$CZ$403,84,FALSE)+VLOOKUP($A340,'1.3.21-28.2.22'!$A$6:$DA$404,84,FALSE)-VLOOKUP($A340,'01-02.2022'!$A$6:$DA$376,84,FALSE)</f>
        <v>0</v>
      </c>
      <c r="CG340" s="566">
        <f>VLOOKUP($A340,'01-02.2021'!$A$6:$CZ$403,85,FALSE)+VLOOKUP($A340,'1.3.21-28.2.22'!$A$6:$DA$404,85,FALSE)-VLOOKUP($A340,'01-02.2022'!$A$6:$DA$376,85,FALSE)</f>
        <v>0</v>
      </c>
      <c r="CH340" s="70">
        <f t="shared" si="407"/>
        <v>0</v>
      </c>
      <c r="CI340" s="566">
        <f>VLOOKUP($A340,'01-02.2021'!$A$6:$CZ$403,87,FALSE)+VLOOKUP($A340,'1.3.21-28.2.22'!$A$6:$DA$404,87,FALSE)-VLOOKUP($A340,'01-02.2022'!$A$6:$DA$376,87,FALSE)</f>
        <v>0</v>
      </c>
      <c r="CJ340" s="566">
        <f>VLOOKUP($A340,'01-02.2021'!$A$6:$CZ$403,88,FALSE)+VLOOKUP($A340,'1.3.21-28.2.22'!$A$6:$DA$404,88,FALSE)-VLOOKUP($A340,'01-02.2022'!$A$6:$DA$376,88,FALSE)</f>
        <v>0</v>
      </c>
      <c r="CK340" s="70">
        <f t="shared" si="408"/>
        <v>0</v>
      </c>
      <c r="CL340" s="566">
        <f>VLOOKUP($A340,'01-02.2021'!$A$6:$CZ$403,90,FALSE)+VLOOKUP($A340,'1.3.21-28.2.22'!$A$6:$DA$404,90,FALSE)-VLOOKUP($A340,'01-02.2022'!$A$6:$DA$376,90,FALSE)</f>
        <v>0</v>
      </c>
      <c r="CM340" s="566">
        <f>VLOOKUP($A340,'01-02.2021'!$A$6:$CZ$403,91,FALSE)+VLOOKUP($A340,'1.3.21-28.2.22'!$A$6:$DA$404,91,FALSE)-VLOOKUP($A340,'01-02.2022'!$A$6:$DA$376,91,FALSE)</f>
        <v>0</v>
      </c>
      <c r="CN340" s="52">
        <f t="shared" si="360"/>
        <v>0</v>
      </c>
      <c r="CO340" s="39">
        <f t="shared" si="355"/>
        <v>0</v>
      </c>
      <c r="CP340" s="40">
        <f t="shared" si="361"/>
        <v>0</v>
      </c>
      <c r="CQ340" s="52">
        <f t="shared" si="362"/>
        <v>0</v>
      </c>
      <c r="CR340" s="72">
        <f t="shared" si="356"/>
        <v>2736.2361722539704</v>
      </c>
      <c r="CS340" s="5">
        <f t="shared" si="356"/>
        <v>1402.8599189643469</v>
      </c>
      <c r="CT340" s="52">
        <f t="shared" si="363"/>
        <v>-1333.3762532896235</v>
      </c>
      <c r="CU340" s="77">
        <f t="shared" si="364"/>
        <v>3283.4834067047645</v>
      </c>
      <c r="CV340" s="65">
        <f t="shared" si="365"/>
        <v>1683.4319027572162</v>
      </c>
      <c r="CW340" s="35">
        <f t="shared" si="366"/>
        <v>-1600.0515039475483</v>
      </c>
      <c r="CX340" s="566">
        <f>VLOOKUP($A340,'01-02.2021'!$A$6:$CZ$403,102,FALSE)+VLOOKUP($A340,'1.3.21-28.2.22'!$A$6:$DA$404,102,FALSE)-VLOOKUP($A340,'01-02.2022'!$A$6:$DA$376,102,FALSE)</f>
        <v>114.71928661907798</v>
      </c>
      <c r="CY340" s="566">
        <f>VLOOKUP($A340,'01-02.2021'!$A$6:$CZ$403,103,FALSE)+VLOOKUP($A340,'1.3.21-28.2.22'!$A$6:$DA$404,103,FALSE)-VLOOKUP($A340,'01-02.2022'!$A$6:$DA$376,103,FALSE)</f>
        <v>1714.7707905666271</v>
      </c>
      <c r="CZ340" s="52">
        <f t="shared" si="367"/>
        <v>1600.051503947549</v>
      </c>
      <c r="DA340" s="150">
        <f>'[2]побудинковий звіт'!DA340</f>
        <v>-5815.3344799862643</v>
      </c>
      <c r="DB340" s="2">
        <v>3</v>
      </c>
      <c r="DC340" s="414">
        <f>'[4]побудинковий звіт'!DC340</f>
        <v>310.56</v>
      </c>
      <c r="DD340" s="414">
        <f>'[4]побудинковий звіт'!DD340</f>
        <v>0</v>
      </c>
      <c r="DE340" s="557">
        <f>'[4]побудинковий звіт'!DE340</f>
        <v>3.0067987214263781</v>
      </c>
      <c r="DF340" s="557">
        <f>'[4]побудинковий звіт'!DF340</f>
        <v>0</v>
      </c>
      <c r="DG340" s="321">
        <f>VLOOKUP(A340,'кошти 01.03.2021'!$A$6:$D$401,4,)</f>
        <v>-4097.3489553289846</v>
      </c>
      <c r="DH340" s="40">
        <f>'[3]побудинковий звіт'!DJ340</f>
        <v>3513.3704920671739</v>
      </c>
      <c r="DI340" s="422">
        <f>'[3]побудинковий звіт'!CU340+'[3]побудинковий звіт'!CX340</f>
        <v>307.55320127857362</v>
      </c>
      <c r="DJ340" s="306">
        <f>'[3]побудинковий звіт'!DM340</f>
        <v>1.5293545563330364</v>
      </c>
      <c r="DK340" s="306">
        <f t="shared" si="377"/>
        <v>1.5293545563330364</v>
      </c>
      <c r="DL340" s="306">
        <f>'[3]побудинковий звіт'!DO340</f>
        <v>1.5293545563330364</v>
      </c>
      <c r="DM340" s="28">
        <f t="shared" si="379"/>
        <v>307.55320127857362</v>
      </c>
      <c r="DN340" s="28">
        <f t="shared" si="380"/>
        <v>0</v>
      </c>
      <c r="DO340" s="423">
        <f t="shared" si="381"/>
        <v>307.55320127857362</v>
      </c>
      <c r="DP340" s="94">
        <f t="shared" si="382"/>
        <v>0</v>
      </c>
      <c r="DQ340" s="28">
        <f t="shared" si="383"/>
        <v>307.55320127857362</v>
      </c>
      <c r="DR340" s="318"/>
      <c r="DT340" s="8"/>
      <c r="DU340" s="5"/>
      <c r="DX340" s="5">
        <f t="shared" si="384"/>
        <v>2322.3729664666689</v>
      </c>
      <c r="DY340" s="5">
        <f t="shared" si="385"/>
        <v>0</v>
      </c>
      <c r="DZ340" s="159">
        <f>'[3]побудинковий звіт'!EA340</f>
        <v>243.02958936730931</v>
      </c>
    </row>
    <row r="341" spans="1:130" x14ac:dyDescent="0.3">
      <c r="A341" s="325">
        <v>150000706</v>
      </c>
      <c r="B341" s="41" t="s">
        <v>787</v>
      </c>
      <c r="C341" s="42" t="s">
        <v>144</v>
      </c>
      <c r="D341" s="42"/>
      <c r="E341" s="293">
        <f t="shared" si="353"/>
        <v>243.32</v>
      </c>
      <c r="F341" s="305">
        <f>'[3]побудинковий звіт'!F341</f>
        <v>243.32</v>
      </c>
      <c r="G341" s="508">
        <f>'[3]побудинковий звіт'!G341</f>
        <v>0</v>
      </c>
      <c r="H341" s="560">
        <f>'[3]побудинковий звіт'!H341</f>
        <v>0</v>
      </c>
      <c r="I341" s="566">
        <f>VLOOKUP($A341,'01-02.2021'!$A$6:$CZ$403,9,FALSE)+VLOOKUP($A341,'1.3.21-28.2.22'!$A$6:$DA$404,9,FALSE)-VLOOKUP($A341,'01-02.2022'!$A$6:$DA$376,9,FALSE)</f>
        <v>0</v>
      </c>
      <c r="J341" s="566">
        <f>VLOOKUP($A341,'01-02.2021'!$A$6:$CZ$403,10,FALSE)+VLOOKUP($A341,'1.3.21-28.2.22'!$A$6:$DA$404,10,FALSE)-VLOOKUP($A341,'01-02.2022'!$A$6:$DA$376,10,FALSE)</f>
        <v>0</v>
      </c>
      <c r="K341" s="52">
        <f t="shared" si="357"/>
        <v>0</v>
      </c>
      <c r="L341" s="566">
        <f>VLOOKUP($A341,'01-02.2021'!$A$6:$CZ$403,12,FALSE)+VLOOKUP($A341,'1.3.21-28.2.22'!$A$6:$DA$404,12,FALSE)-VLOOKUP($A341,'01-02.2022'!$A$6:$DA$376,12,FALSE)</f>
        <v>0</v>
      </c>
      <c r="M341" s="566">
        <f>VLOOKUP($A341,'01-02.2021'!$A$6:$CZ$403,13,FALSE)+VLOOKUP($A341,'1.3.21-28.2.22'!$A$6:$DA$404,13,FALSE)-VLOOKUP($A341,'01-02.2022'!$A$6:$DA$376,13,FALSE)</f>
        <v>0</v>
      </c>
      <c r="N341" s="52">
        <f t="shared" si="358"/>
        <v>0</v>
      </c>
      <c r="O341" s="566">
        <f>VLOOKUP($A341,'01-02.2021'!$A$6:$CZ$403,15,FALSE)+VLOOKUP($A341,'1.3.21-28.2.22'!$A$6:$DA$404,15,FALSE)-VLOOKUP($A341,'01-02.2022'!$A$6:$DA$376,15,FALSE)</f>
        <v>0</v>
      </c>
      <c r="P341" s="566">
        <f>VLOOKUP($A341,'01-02.2021'!$A$6:$CZ$403,16,FALSE)+VLOOKUP($A341,'1.3.21-28.2.22'!$A$6:$DA$404,16,FALSE)-VLOOKUP($A341,'01-02.2022'!$A$6:$DA$376,16,FALSE)</f>
        <v>0</v>
      </c>
      <c r="Q341" s="70">
        <f t="shared" si="386"/>
        <v>0</v>
      </c>
      <c r="R341" s="566">
        <f>VLOOKUP($A341,'01-02.2021'!$A$6:$CZ$403,18,FALSE)+VLOOKUP($A341,'1.3.21-28.2.22'!$A$6:$DA$404,18,FALSE)-VLOOKUP($A341,'01-02.2022'!$A$6:$DA$376,18,FALSE)</f>
        <v>0</v>
      </c>
      <c r="S341" s="566">
        <f>VLOOKUP($A341,'01-02.2021'!$A$6:$CZ$403,19,FALSE)+VLOOKUP($A341,'1.3.21-28.2.22'!$A$6:$DA$404,19,FALSE)-VLOOKUP($A341,'01-02.2022'!$A$6:$DA$376,19,FALSE)</f>
        <v>0</v>
      </c>
      <c r="T341" s="70">
        <f t="shared" si="387"/>
        <v>0</v>
      </c>
      <c r="U341" s="566">
        <f>VLOOKUP($A341,'01-02.2021'!$A$6:$CZ$403,21,FALSE)+VLOOKUP($A341,'1.3.21-28.2.22'!$A$6:$DA$404,21,FALSE)-VLOOKUP($A341,'01-02.2022'!$A$6:$DA$376,21,FALSE)</f>
        <v>0</v>
      </c>
      <c r="V341" s="566">
        <f>VLOOKUP($A341,'01-02.2021'!$A$6:$CZ$403,22,FALSE)+VLOOKUP($A341,'1.3.21-28.2.22'!$A$6:$DA$404,22,FALSE)-VLOOKUP($A341,'01-02.2022'!$A$6:$DA$376,22,FALSE)</f>
        <v>0</v>
      </c>
      <c r="W341" s="70">
        <f t="shared" si="388"/>
        <v>0</v>
      </c>
      <c r="X341" s="566">
        <f>VLOOKUP($A341,'01-02.2021'!$A$6:$CZ$403,24,FALSE)+VLOOKUP($A341,'1.3.21-28.2.22'!$A$6:$DA$404,24,FALSE)-VLOOKUP($A341,'01-02.2022'!$A$6:$DA$376,24,FALSE)</f>
        <v>0</v>
      </c>
      <c r="Y341" s="566">
        <f>VLOOKUP($A341,'01-02.2021'!$A$6:$CZ$403,25,FALSE)+VLOOKUP($A341,'1.3.21-28.2.22'!$A$6:$DA$404,25,FALSE)-VLOOKUP($A341,'01-02.2022'!$A$6:$DA$376,25,FALSE)</f>
        <v>0</v>
      </c>
      <c r="Z341" s="70">
        <f t="shared" si="389"/>
        <v>0</v>
      </c>
      <c r="AA341" s="566">
        <f>VLOOKUP($A341,'01-02.2021'!$A$6:$CZ$403,27,FALSE)+VLOOKUP($A341,'1.3.21-28.2.22'!$A$6:$DA$404,27,FALSE)-VLOOKUP($A341,'01-02.2022'!$A$6:$DA$376,27,FALSE)</f>
        <v>48.664000000000001</v>
      </c>
      <c r="AB341" s="566">
        <f>VLOOKUP($A341,'01-02.2021'!$A$6:$CZ$403,28,FALSE)+VLOOKUP($A341,'1.3.21-28.2.22'!$A$6:$DA$404,28,FALSE)-VLOOKUP($A341,'01-02.2022'!$A$6:$DA$376,28,FALSE)</f>
        <v>0</v>
      </c>
      <c r="AC341" s="70">
        <f t="shared" si="390"/>
        <v>-48.664000000000001</v>
      </c>
      <c r="AD341" s="566">
        <f>VLOOKUP($A341,'01-02.2021'!$A$6:$CZ$403,30,FALSE)+VLOOKUP($A341,'1.3.21-28.2.22'!$A$6:$DA$404,30,FALSE)-VLOOKUP($A341,'01-02.2022'!$A$6:$DA$376,30,FALSE)</f>
        <v>365.46854273272231</v>
      </c>
      <c r="AE341" s="566">
        <f>VLOOKUP($A341,'01-02.2021'!$A$6:$CZ$403,31,FALSE)+VLOOKUP($A341,'1.3.21-28.2.22'!$A$6:$DA$404,31,FALSE)-VLOOKUP($A341,'01-02.2022'!$A$6:$DA$376,31,FALSE)</f>
        <v>1107.6024439103564</v>
      </c>
      <c r="AF341" s="68">
        <f t="shared" si="391"/>
        <v>742.13390117763413</v>
      </c>
      <c r="AG341" s="77">
        <f t="shared" si="354"/>
        <v>414.1325427327223</v>
      </c>
      <c r="AH341" s="53">
        <f t="shared" si="354"/>
        <v>1107.6024439103564</v>
      </c>
      <c r="AI341" s="52">
        <f t="shared" si="359"/>
        <v>693.46990117763414</v>
      </c>
      <c r="AJ341" s="566">
        <f>VLOOKUP($A341,'01-02.2021'!$A$6:$CZ$403,36,FALSE)+VLOOKUP($A341,'1.3.21-28.2.22'!$A$6:$DA$404,36,FALSE)-VLOOKUP($A341,'01-02.2022'!$A$6:$DA$376,36,FALSE)</f>
        <v>0</v>
      </c>
      <c r="AK341" s="566">
        <f>VLOOKUP($A341,'01-02.2021'!$A$6:$CZ$403,37,FALSE)+VLOOKUP($A341,'1.3.21-28.2.22'!$A$6:$DA$404,37,FALSE)-VLOOKUP($A341,'01-02.2022'!$A$6:$DA$376,37,FALSE)</f>
        <v>0</v>
      </c>
      <c r="AL341" s="70">
        <f t="shared" si="392"/>
        <v>0</v>
      </c>
      <c r="AM341" s="566">
        <f>VLOOKUP($A341,'01-02.2021'!$A$6:$CZ$403,39,FALSE)+VLOOKUP($A341,'1.3.21-28.2.22'!$A$6:$DA$404,39,FALSE)-VLOOKUP($A341,'01-02.2022'!$A$6:$DA$376,39,FALSE)</f>
        <v>0</v>
      </c>
      <c r="AN341" s="566">
        <f>VLOOKUP($A341,'01-02.2021'!$A$6:$CZ$403,40,FALSE)+VLOOKUP($A341,'1.3.21-28.2.22'!$A$6:$DA$404,40,FALSE)-VLOOKUP($A341,'01-02.2022'!$A$6:$DA$376,40,FALSE)</f>
        <v>0</v>
      </c>
      <c r="AO341" s="70">
        <f t="shared" si="393"/>
        <v>0</v>
      </c>
      <c r="AP341" s="566">
        <f>VLOOKUP($A341,'01-02.2021'!$A$6:$CZ$403,42,FALSE)+VLOOKUP($A341,'1.3.21-28.2.22'!$A$6:$DA$404,42,FALSE)-VLOOKUP($A341,'01-02.2022'!$A$6:$DA$376,42,FALSE)</f>
        <v>520.55992501277728</v>
      </c>
      <c r="AQ341" s="566">
        <f>VLOOKUP($A341,'01-02.2021'!$A$6:$CZ$403,43,FALSE)+VLOOKUP($A341,'1.3.21-28.2.22'!$A$6:$DA$404,43,FALSE)-VLOOKUP($A341,'01-02.2022'!$A$6:$DA$376,43,FALSE)</f>
        <v>448.76449922990878</v>
      </c>
      <c r="AR341" s="70">
        <f t="shared" si="394"/>
        <v>-71.795425782868506</v>
      </c>
      <c r="AS341" s="566">
        <f>VLOOKUP($A341,'01-02.2021'!$A$6:$CZ$403,45,FALSE)+VLOOKUP($A341,'1.3.21-28.2.22'!$A$6:$DA$404,45,FALSE)-VLOOKUP($A341,'01-02.2022'!$A$6:$DA$376,45,FALSE)</f>
        <v>2290.7506050717902</v>
      </c>
      <c r="AT341" s="566">
        <f>VLOOKUP($A341,'01-02.2021'!$A$6:$CZ$403,46,FALSE)+VLOOKUP($A341,'1.3.21-28.2.22'!$A$6:$DA$404,46,FALSE)-VLOOKUP($A341,'01-02.2022'!$A$6:$DA$376,46,FALSE)</f>
        <v>0</v>
      </c>
      <c r="AU341" s="78">
        <f t="shared" si="395"/>
        <v>-2290.7506050717902</v>
      </c>
      <c r="AV341" s="566">
        <f>VLOOKUP($A341,'01-02.2021'!$A$6:$CZ$403,48,FALSE)+VLOOKUP($A341,'1.3.21-28.2.22'!$A$6:$DA$404,48,FALSE)-VLOOKUP($A341,'01-02.2022'!$A$6:$DA$376,48,FALSE)</f>
        <v>0</v>
      </c>
      <c r="AW341" s="566">
        <f>VLOOKUP($A341,'01-02.2021'!$A$6:$CZ$403,49,FALSE)+VLOOKUP($A341,'1.3.21-28.2.22'!$A$6:$DA$404,49,FALSE)-VLOOKUP($A341,'01-02.2022'!$A$6:$DA$376,49,FALSE)</f>
        <v>0</v>
      </c>
      <c r="AX341" s="55">
        <f t="shared" si="396"/>
        <v>0</v>
      </c>
      <c r="AY341" s="566">
        <f>VLOOKUP($A341,'01-02.2021'!$A$6:$CZ$403,51,FALSE)+VLOOKUP($A341,'1.3.21-28.2.22'!$A$6:$DA$404,51,FALSE)-VLOOKUP($A341,'01-02.2022'!$A$6:$DA$376,51,FALSE)</f>
        <v>0</v>
      </c>
      <c r="AZ341" s="566">
        <f>VLOOKUP($A341,'01-02.2021'!$A$6:$CZ$403,52,FALSE)+VLOOKUP($A341,'1.3.21-28.2.22'!$A$6:$DA$404,52,FALSE)-VLOOKUP($A341,'01-02.2022'!$A$6:$DA$376,52,FALSE)</f>
        <v>0</v>
      </c>
      <c r="BA341" s="38">
        <f t="shared" si="397"/>
        <v>0</v>
      </c>
      <c r="BB341" s="566">
        <f>VLOOKUP($A341,'01-02.2021'!$A$6:$CZ$403,54,FALSE)+VLOOKUP($A341,'1.3.21-28.2.22'!$A$6:$DA$404,54,FALSE)-VLOOKUP($A341,'01-02.2022'!$A$6:$DA$376,54,FALSE)</f>
        <v>0</v>
      </c>
      <c r="BC341" s="566">
        <f>VLOOKUP($A341,'01-02.2021'!$A$6:$CZ$403,55,FALSE)+VLOOKUP($A341,'1.3.21-28.2.22'!$A$6:$DA$404,55,FALSE)-VLOOKUP($A341,'01-02.2022'!$A$6:$DA$376,55,FALSE)</f>
        <v>0</v>
      </c>
      <c r="BD341" s="55">
        <f t="shared" si="398"/>
        <v>0</v>
      </c>
      <c r="BE341" s="566">
        <f>VLOOKUP($A341,'01-02.2021'!$A$6:$CZ$403,57,FALSE)+VLOOKUP($A341,'1.3.21-28.2.22'!$A$6:$DA$404,57,FALSE)-VLOOKUP($A341,'01-02.2022'!$A$6:$DA$376,57,FALSE)</f>
        <v>0</v>
      </c>
      <c r="BF341" s="566">
        <f>VLOOKUP($A341,'01-02.2021'!$A$6:$CZ$403,58,FALSE)+VLOOKUP($A341,'1.3.21-28.2.22'!$A$6:$DA$404,58,FALSE)-VLOOKUP($A341,'01-02.2022'!$A$6:$DA$376,58,FALSE)</f>
        <v>0</v>
      </c>
      <c r="BG341" s="55">
        <f t="shared" si="399"/>
        <v>0</v>
      </c>
      <c r="BH341" s="566">
        <f>VLOOKUP($A341,'01-02.2021'!$A$6:$CZ$403,60,FALSE)+VLOOKUP($A341,'1.3.21-28.2.22'!$A$6:$DA$404,60,FALSE)-VLOOKUP($A341,'01-02.2022'!$A$6:$DA$376,60,FALSE)</f>
        <v>0</v>
      </c>
      <c r="BI341" s="566">
        <f>VLOOKUP($A341,'01-02.2021'!$A$6:$CZ$403,61,FALSE)+VLOOKUP($A341,'1.3.21-28.2.22'!$A$6:$DA$404,61,FALSE)-VLOOKUP($A341,'01-02.2022'!$A$6:$DA$376,61,FALSE)</f>
        <v>0</v>
      </c>
      <c r="BJ341" s="55">
        <f t="shared" si="400"/>
        <v>0</v>
      </c>
      <c r="BK341" s="566">
        <f>VLOOKUP($A341,'01-02.2021'!$A$6:$CZ$403,63,FALSE)+VLOOKUP($A341,'1.3.21-28.2.22'!$A$6:$DA$404,63,FALSE)-VLOOKUP($A341,'01-02.2022'!$A$6:$DA$376,63,FALSE)</f>
        <v>0</v>
      </c>
      <c r="BL341" s="566">
        <f>VLOOKUP($A341,'01-02.2021'!$A$6:$CZ$403,64,FALSE)+VLOOKUP($A341,'1.3.21-28.2.22'!$A$6:$DA$404,64,FALSE)-VLOOKUP($A341,'01-02.2022'!$A$6:$DA$376,64,FALSE)</f>
        <v>0</v>
      </c>
      <c r="BM341" s="55">
        <f t="shared" si="401"/>
        <v>0</v>
      </c>
      <c r="BN341" s="566">
        <f>VLOOKUP($A341,'01-02.2021'!$A$6:$CZ$403,66,FALSE)+VLOOKUP($A341,'1.3.21-28.2.22'!$A$6:$DA$404,66,FALSE)-VLOOKUP($A341,'01-02.2022'!$A$6:$DA$376,66,FALSE)</f>
        <v>12.166</v>
      </c>
      <c r="BO341" s="566">
        <f>VLOOKUP($A341,'01-02.2021'!$A$6:$CZ$403,67,FALSE)+VLOOKUP($A341,'1.3.21-28.2.22'!$A$6:$DA$404,67,FALSE)-VLOOKUP($A341,'01-02.2022'!$A$6:$DA$376,67,FALSE)</f>
        <v>0</v>
      </c>
      <c r="BP341" s="55">
        <f t="shared" si="402"/>
        <v>-12.166</v>
      </c>
      <c r="BQ341" s="77">
        <f t="shared" si="348"/>
        <v>12.166</v>
      </c>
      <c r="BR341" s="40">
        <f t="shared" si="375"/>
        <v>0</v>
      </c>
      <c r="BS341" s="55">
        <f t="shared" si="369"/>
        <v>-12.166</v>
      </c>
      <c r="BT341" s="566">
        <f>VLOOKUP($A341,'01-02.2021'!$A$6:$CZ$403,72,FALSE)+VLOOKUP($A341,'1.3.21-28.2.22'!$A$6:$DA$404,72,FALSE)-VLOOKUP($A341,'01-02.2022'!$A$6:$DA$376,72,FALSE)</f>
        <v>69.787114699742745</v>
      </c>
      <c r="BU341" s="566">
        <f>VLOOKUP($A341,'01-02.2021'!$A$6:$CZ$403,73,FALSE)+VLOOKUP($A341,'1.3.21-28.2.22'!$A$6:$DA$404,73,FALSE)-VLOOKUP($A341,'01-02.2022'!$A$6:$DA$376,73,FALSE)</f>
        <v>108.3262775993224</v>
      </c>
      <c r="BV341" s="70">
        <f t="shared" si="403"/>
        <v>38.539162899579651</v>
      </c>
      <c r="BW341" s="566">
        <f>VLOOKUP($A341,'01-02.2021'!$A$6:$CZ$403,75,FALSE)+VLOOKUP($A341,'1.3.21-28.2.22'!$A$6:$DA$404,75,FALSE)-VLOOKUP($A341,'01-02.2022'!$A$6:$DA$376,75,FALSE)</f>
        <v>0</v>
      </c>
      <c r="BX341" s="566">
        <f>VLOOKUP($A341,'01-02.2021'!$A$6:$CZ$403,76,FALSE)+VLOOKUP($A341,'1.3.21-28.2.22'!$A$6:$DA$404,76,FALSE)-VLOOKUP($A341,'01-02.2022'!$A$6:$DA$376,76,FALSE)</f>
        <v>5.453188223335137</v>
      </c>
      <c r="BY341" s="70">
        <f t="shared" si="404"/>
        <v>5.453188223335137</v>
      </c>
      <c r="BZ341" s="566">
        <f>VLOOKUP($A341,'01-02.2021'!$A$6:$CZ$403,78,FALSE)+VLOOKUP($A341,'1.3.21-28.2.22'!$A$6:$DA$404,78,FALSE)-VLOOKUP($A341,'01-02.2022'!$A$6:$DA$376,78,FALSE)</f>
        <v>0</v>
      </c>
      <c r="CA341" s="566">
        <f>VLOOKUP($A341,'01-02.2021'!$A$6:$CZ$403,79,FALSE)+VLOOKUP($A341,'1.3.21-28.2.22'!$A$6:$DA$404,79,FALSE)-VLOOKUP($A341,'01-02.2022'!$A$6:$DA$376,79,FALSE)</f>
        <v>6.6038975218732787</v>
      </c>
      <c r="CB341" s="70">
        <f t="shared" si="405"/>
        <v>6.6038975218732787</v>
      </c>
      <c r="CC341" s="566">
        <f>VLOOKUP($A341,'01-02.2021'!$A$6:$CZ$403,81,FALSE)+VLOOKUP($A341,'1.3.21-28.2.22'!$A$6:$DA$404,81,FALSE)-VLOOKUP($A341,'01-02.2022'!$A$6:$DA$376,81,FALSE)</f>
        <v>0</v>
      </c>
      <c r="CD341" s="566">
        <f>VLOOKUP($A341,'01-02.2021'!$A$6:$CZ$403,82,FALSE)+VLOOKUP($A341,'1.3.21-28.2.22'!$A$6:$DA$404,82,FALSE)-VLOOKUP($A341,'01-02.2022'!$A$6:$DA$376,82,FALSE)</f>
        <v>0</v>
      </c>
      <c r="CE341" s="70">
        <f t="shared" si="406"/>
        <v>0</v>
      </c>
      <c r="CF341" s="566">
        <f>VLOOKUP($A341,'01-02.2021'!$A$6:$CZ$403,84,FALSE)+VLOOKUP($A341,'1.3.21-28.2.22'!$A$6:$DA$404,84,FALSE)-VLOOKUP($A341,'01-02.2022'!$A$6:$DA$376,84,FALSE)</f>
        <v>0</v>
      </c>
      <c r="CG341" s="566">
        <f>VLOOKUP($A341,'01-02.2021'!$A$6:$CZ$403,85,FALSE)+VLOOKUP($A341,'1.3.21-28.2.22'!$A$6:$DA$404,85,FALSE)-VLOOKUP($A341,'01-02.2022'!$A$6:$DA$376,85,FALSE)</f>
        <v>0</v>
      </c>
      <c r="CH341" s="70">
        <f t="shared" si="407"/>
        <v>0</v>
      </c>
      <c r="CI341" s="566">
        <f>VLOOKUP($A341,'01-02.2021'!$A$6:$CZ$403,87,FALSE)+VLOOKUP($A341,'1.3.21-28.2.22'!$A$6:$DA$404,87,FALSE)-VLOOKUP($A341,'01-02.2022'!$A$6:$DA$376,87,FALSE)</f>
        <v>0</v>
      </c>
      <c r="CJ341" s="566">
        <f>VLOOKUP($A341,'01-02.2021'!$A$6:$CZ$403,88,FALSE)+VLOOKUP($A341,'1.3.21-28.2.22'!$A$6:$DA$404,88,FALSE)-VLOOKUP($A341,'01-02.2022'!$A$6:$DA$376,88,FALSE)</f>
        <v>0</v>
      </c>
      <c r="CK341" s="70">
        <f t="shared" si="408"/>
        <v>0</v>
      </c>
      <c r="CL341" s="566">
        <f>VLOOKUP($A341,'01-02.2021'!$A$6:$CZ$403,90,FALSE)+VLOOKUP($A341,'1.3.21-28.2.22'!$A$6:$DA$404,90,FALSE)-VLOOKUP($A341,'01-02.2022'!$A$6:$DA$376,90,FALSE)</f>
        <v>0</v>
      </c>
      <c r="CM341" s="566">
        <f>VLOOKUP($A341,'01-02.2021'!$A$6:$CZ$403,91,FALSE)+VLOOKUP($A341,'1.3.21-28.2.22'!$A$6:$DA$404,91,FALSE)-VLOOKUP($A341,'01-02.2022'!$A$6:$DA$376,91,FALSE)</f>
        <v>0</v>
      </c>
      <c r="CN341" s="52">
        <f t="shared" si="360"/>
        <v>0</v>
      </c>
      <c r="CO341" s="39">
        <f t="shared" si="355"/>
        <v>0</v>
      </c>
      <c r="CP341" s="40">
        <f t="shared" si="361"/>
        <v>0</v>
      </c>
      <c r="CQ341" s="52">
        <f t="shared" si="362"/>
        <v>0</v>
      </c>
      <c r="CR341" s="72">
        <f t="shared" si="356"/>
        <v>3307.3961875170326</v>
      </c>
      <c r="CS341" s="5">
        <f t="shared" si="356"/>
        <v>1676.7503064847961</v>
      </c>
      <c r="CT341" s="52">
        <f t="shared" si="363"/>
        <v>-1630.6458810322365</v>
      </c>
      <c r="CU341" s="77">
        <f t="shared" si="364"/>
        <v>3968.8754250204388</v>
      </c>
      <c r="CV341" s="65">
        <f t="shared" si="365"/>
        <v>2012.1003677817553</v>
      </c>
      <c r="CW341" s="35">
        <f t="shared" si="366"/>
        <v>-1956.7750572386835</v>
      </c>
      <c r="CX341" s="566">
        <f>VLOOKUP($A341,'01-02.2021'!$A$6:$CZ$403,102,FALSE)+VLOOKUP($A341,'1.3.21-28.2.22'!$A$6:$DA$404,102,FALSE)-VLOOKUP($A341,'01-02.2022'!$A$6:$DA$376,102,FALSE)</f>
        <v>138.31427819148561</v>
      </c>
      <c r="CY341" s="566">
        <f>VLOOKUP($A341,'01-02.2021'!$A$6:$CZ$403,103,FALSE)+VLOOKUP($A341,'1.3.21-28.2.22'!$A$6:$DA$404,103,FALSE)-VLOOKUP($A341,'01-02.2022'!$A$6:$DA$376,103,FALSE)</f>
        <v>2095.0893354301688</v>
      </c>
      <c r="CZ341" s="52">
        <f t="shared" si="367"/>
        <v>1956.7750572386833</v>
      </c>
      <c r="DA341" s="150">
        <f>'[2]побудинковий звіт'!DA341</f>
        <v>-806.27559591888712</v>
      </c>
      <c r="DB341" s="2">
        <v>3</v>
      </c>
      <c r="DC341" s="414">
        <f>'[4]побудинковий звіт'!DC341</f>
        <v>373.62</v>
      </c>
      <c r="DD341" s="414">
        <f>'[4]побудинковий звіт'!DD341</f>
        <v>0</v>
      </c>
      <c r="DE341" s="557">
        <f>'[4]побудинковий звіт'!DE341</f>
        <v>2.6279936518562863E-3</v>
      </c>
      <c r="DF341" s="557">
        <f>'[4]побудинковий звіт'!DF341</f>
        <v>0</v>
      </c>
      <c r="DG341" s="321">
        <f>VLOOKUP(A341,'кошти 01.03.2021'!$A$6:$D$401,4,)</f>
        <v>1349.7687771307296</v>
      </c>
      <c r="DH341" s="40">
        <f>'[3]побудинковий звіт'!DJ341</f>
        <v>4255.5130869767745</v>
      </c>
      <c r="DI341" s="422">
        <f>'[3]побудинковий звіт'!CU341+'[3]побудинковий звіт'!CX341</f>
        <v>373.61737200634815</v>
      </c>
      <c r="DJ341" s="306">
        <f>'[3]побудинковий звіт'!DM341</f>
        <v>1.5354979944367424</v>
      </c>
      <c r="DK341" s="306">
        <f t="shared" si="377"/>
        <v>1.5354979944367424</v>
      </c>
      <c r="DL341" s="306">
        <f>'[3]побудинковий звіт'!DO341</f>
        <v>1.5354979944367424</v>
      </c>
      <c r="DM341" s="28">
        <f t="shared" si="379"/>
        <v>373.61737200634815</v>
      </c>
      <c r="DN341" s="28">
        <f t="shared" si="380"/>
        <v>0</v>
      </c>
      <c r="DO341" s="423">
        <f t="shared" si="381"/>
        <v>373.61737200634815</v>
      </c>
      <c r="DP341" s="94">
        <f t="shared" si="382"/>
        <v>0</v>
      </c>
      <c r="DQ341" s="28">
        <f t="shared" si="383"/>
        <v>373.61737200634815</v>
      </c>
      <c r="DR341" s="318"/>
      <c r="DT341" s="8"/>
      <c r="DU341" s="5"/>
      <c r="DX341" s="5">
        <f t="shared" si="384"/>
        <v>2763.4999260861482</v>
      </c>
      <c r="DY341" s="5">
        <f t="shared" si="385"/>
        <v>0</v>
      </c>
      <c r="DZ341" s="159">
        <f>'[3]побудинковий звіт'!EA341</f>
        <v>295.72018922620731</v>
      </c>
    </row>
    <row r="342" spans="1:130" x14ac:dyDescent="0.3">
      <c r="A342" s="325">
        <v>150000707</v>
      </c>
      <c r="B342" s="41" t="s">
        <v>788</v>
      </c>
      <c r="C342" s="42" t="s">
        <v>145</v>
      </c>
      <c r="D342" s="42"/>
      <c r="E342" s="293">
        <f t="shared" si="353"/>
        <v>326.10000000000002</v>
      </c>
      <c r="F342" s="305">
        <f>'[3]побудинковий звіт'!F342</f>
        <v>326.10000000000002</v>
      </c>
      <c r="G342" s="508">
        <f>'[3]побудинковий звіт'!G342</f>
        <v>0</v>
      </c>
      <c r="H342" s="560">
        <f>'[3]побудинковий звіт'!H342</f>
        <v>0</v>
      </c>
      <c r="I342" s="566">
        <f>VLOOKUP($A342,'01-02.2021'!$A$6:$CZ$403,9,FALSE)+VLOOKUP($A342,'1.3.21-28.2.22'!$A$6:$DA$404,9,FALSE)-VLOOKUP($A342,'01-02.2022'!$A$6:$DA$376,9,FALSE)</f>
        <v>0</v>
      </c>
      <c r="J342" s="566">
        <f>VLOOKUP($A342,'01-02.2021'!$A$6:$CZ$403,10,FALSE)+VLOOKUP($A342,'1.3.21-28.2.22'!$A$6:$DA$404,10,FALSE)-VLOOKUP($A342,'01-02.2022'!$A$6:$DA$376,10,FALSE)</f>
        <v>0</v>
      </c>
      <c r="K342" s="52">
        <f t="shared" si="357"/>
        <v>0</v>
      </c>
      <c r="L342" s="566">
        <f>VLOOKUP($A342,'01-02.2021'!$A$6:$CZ$403,12,FALSE)+VLOOKUP($A342,'1.3.21-28.2.22'!$A$6:$DA$404,12,FALSE)-VLOOKUP($A342,'01-02.2022'!$A$6:$DA$376,12,FALSE)</f>
        <v>0</v>
      </c>
      <c r="M342" s="566">
        <f>VLOOKUP($A342,'01-02.2021'!$A$6:$CZ$403,13,FALSE)+VLOOKUP($A342,'1.3.21-28.2.22'!$A$6:$DA$404,13,FALSE)-VLOOKUP($A342,'01-02.2022'!$A$6:$DA$376,13,FALSE)</f>
        <v>0</v>
      </c>
      <c r="N342" s="52">
        <f t="shared" si="358"/>
        <v>0</v>
      </c>
      <c r="O342" s="566">
        <f>VLOOKUP($A342,'01-02.2021'!$A$6:$CZ$403,15,FALSE)+VLOOKUP($A342,'1.3.21-28.2.22'!$A$6:$DA$404,15,FALSE)-VLOOKUP($A342,'01-02.2022'!$A$6:$DA$376,15,FALSE)</f>
        <v>0</v>
      </c>
      <c r="P342" s="566">
        <f>VLOOKUP($A342,'01-02.2021'!$A$6:$CZ$403,16,FALSE)+VLOOKUP($A342,'1.3.21-28.2.22'!$A$6:$DA$404,16,FALSE)-VLOOKUP($A342,'01-02.2022'!$A$6:$DA$376,16,FALSE)</f>
        <v>0</v>
      </c>
      <c r="Q342" s="70">
        <f t="shared" si="386"/>
        <v>0</v>
      </c>
      <c r="R342" s="566">
        <f>VLOOKUP($A342,'01-02.2021'!$A$6:$CZ$403,18,FALSE)+VLOOKUP($A342,'1.3.21-28.2.22'!$A$6:$DA$404,18,FALSE)-VLOOKUP($A342,'01-02.2022'!$A$6:$DA$376,18,FALSE)</f>
        <v>0</v>
      </c>
      <c r="S342" s="566">
        <f>VLOOKUP($A342,'01-02.2021'!$A$6:$CZ$403,19,FALSE)+VLOOKUP($A342,'1.3.21-28.2.22'!$A$6:$DA$404,19,FALSE)-VLOOKUP($A342,'01-02.2022'!$A$6:$DA$376,19,FALSE)</f>
        <v>0</v>
      </c>
      <c r="T342" s="70">
        <f t="shared" si="387"/>
        <v>0</v>
      </c>
      <c r="U342" s="566">
        <f>VLOOKUP($A342,'01-02.2021'!$A$6:$CZ$403,21,FALSE)+VLOOKUP($A342,'1.3.21-28.2.22'!$A$6:$DA$404,21,FALSE)-VLOOKUP($A342,'01-02.2022'!$A$6:$DA$376,21,FALSE)</f>
        <v>0</v>
      </c>
      <c r="V342" s="566">
        <f>VLOOKUP($A342,'01-02.2021'!$A$6:$CZ$403,22,FALSE)+VLOOKUP($A342,'1.3.21-28.2.22'!$A$6:$DA$404,22,FALSE)-VLOOKUP($A342,'01-02.2022'!$A$6:$DA$376,22,FALSE)</f>
        <v>0</v>
      </c>
      <c r="W342" s="70">
        <f t="shared" si="388"/>
        <v>0</v>
      </c>
      <c r="X342" s="566">
        <f>VLOOKUP($A342,'01-02.2021'!$A$6:$CZ$403,24,FALSE)+VLOOKUP($A342,'1.3.21-28.2.22'!$A$6:$DA$404,24,FALSE)-VLOOKUP($A342,'01-02.2022'!$A$6:$DA$376,24,FALSE)</f>
        <v>0</v>
      </c>
      <c r="Y342" s="566">
        <f>VLOOKUP($A342,'01-02.2021'!$A$6:$CZ$403,25,FALSE)+VLOOKUP($A342,'1.3.21-28.2.22'!$A$6:$DA$404,25,FALSE)-VLOOKUP($A342,'01-02.2022'!$A$6:$DA$376,25,FALSE)</f>
        <v>0</v>
      </c>
      <c r="Z342" s="70">
        <f t="shared" si="389"/>
        <v>0</v>
      </c>
      <c r="AA342" s="566">
        <f>VLOOKUP($A342,'01-02.2021'!$A$6:$CZ$403,27,FALSE)+VLOOKUP($A342,'1.3.21-28.2.22'!$A$6:$DA$404,27,FALSE)-VLOOKUP($A342,'01-02.2022'!$A$6:$DA$376,27,FALSE)</f>
        <v>65.22</v>
      </c>
      <c r="AB342" s="566">
        <f>VLOOKUP($A342,'01-02.2021'!$A$6:$CZ$403,28,FALSE)+VLOOKUP($A342,'1.3.21-28.2.22'!$A$6:$DA$404,28,FALSE)-VLOOKUP($A342,'01-02.2022'!$A$6:$DA$376,28,FALSE)</f>
        <v>0</v>
      </c>
      <c r="AC342" s="70">
        <f t="shared" si="390"/>
        <v>-65.22</v>
      </c>
      <c r="AD342" s="566">
        <f>VLOOKUP($A342,'01-02.2021'!$A$6:$CZ$403,30,FALSE)+VLOOKUP($A342,'1.3.21-28.2.22'!$A$6:$DA$404,30,FALSE)-VLOOKUP($A342,'01-02.2022'!$A$6:$DA$376,30,FALSE)</f>
        <v>489.73529216689218</v>
      </c>
      <c r="AE342" s="566">
        <f>VLOOKUP($A342,'01-02.2021'!$A$6:$CZ$403,31,FALSE)+VLOOKUP($A342,'1.3.21-28.2.22'!$A$6:$DA$404,31,FALSE)-VLOOKUP($A342,'01-02.2022'!$A$6:$DA$376,31,FALSE)</f>
        <v>1484.4203393028411</v>
      </c>
      <c r="AF342" s="68">
        <f t="shared" si="391"/>
        <v>994.68504713594893</v>
      </c>
      <c r="AG342" s="77">
        <f t="shared" si="354"/>
        <v>554.95529216689215</v>
      </c>
      <c r="AH342" s="53">
        <f t="shared" si="354"/>
        <v>1484.4203393028411</v>
      </c>
      <c r="AI342" s="52">
        <f t="shared" si="359"/>
        <v>929.46504713594891</v>
      </c>
      <c r="AJ342" s="566">
        <f>VLOOKUP($A342,'01-02.2021'!$A$6:$CZ$403,36,FALSE)+VLOOKUP($A342,'1.3.21-28.2.22'!$A$6:$DA$404,36,FALSE)-VLOOKUP($A342,'01-02.2022'!$A$6:$DA$376,36,FALSE)</f>
        <v>0</v>
      </c>
      <c r="AK342" s="566">
        <f>VLOOKUP($A342,'01-02.2021'!$A$6:$CZ$403,37,FALSE)+VLOOKUP($A342,'1.3.21-28.2.22'!$A$6:$DA$404,37,FALSE)-VLOOKUP($A342,'01-02.2022'!$A$6:$DA$376,37,FALSE)</f>
        <v>0</v>
      </c>
      <c r="AL342" s="70">
        <f t="shared" si="392"/>
        <v>0</v>
      </c>
      <c r="AM342" s="566">
        <f>VLOOKUP($A342,'01-02.2021'!$A$6:$CZ$403,39,FALSE)+VLOOKUP($A342,'1.3.21-28.2.22'!$A$6:$DA$404,39,FALSE)-VLOOKUP($A342,'01-02.2022'!$A$6:$DA$376,39,FALSE)</f>
        <v>0</v>
      </c>
      <c r="AN342" s="566">
        <f>VLOOKUP($A342,'01-02.2021'!$A$6:$CZ$403,40,FALSE)+VLOOKUP($A342,'1.3.21-28.2.22'!$A$6:$DA$404,40,FALSE)-VLOOKUP($A342,'01-02.2022'!$A$6:$DA$376,40,FALSE)</f>
        <v>0</v>
      </c>
      <c r="AO342" s="70">
        <f t="shared" si="393"/>
        <v>0</v>
      </c>
      <c r="AP342" s="566">
        <f>VLOOKUP($A342,'01-02.2021'!$A$6:$CZ$403,42,FALSE)+VLOOKUP($A342,'1.3.21-28.2.22'!$A$6:$DA$404,42,FALSE)-VLOOKUP($A342,'01-02.2022'!$A$6:$DA$376,42,FALSE)</f>
        <v>433.79993751064791</v>
      </c>
      <c r="AQ342" s="566">
        <f>VLOOKUP($A342,'01-02.2021'!$A$6:$CZ$403,43,FALSE)+VLOOKUP($A342,'1.3.21-28.2.22'!$A$6:$DA$404,43,FALSE)-VLOOKUP($A342,'01-02.2022'!$A$6:$DA$376,43,FALSE)</f>
        <v>373.97041602492402</v>
      </c>
      <c r="AR342" s="70">
        <f t="shared" si="394"/>
        <v>-59.829521485723888</v>
      </c>
      <c r="AS342" s="566">
        <f>VLOOKUP($A342,'01-02.2021'!$A$6:$CZ$403,45,FALSE)+VLOOKUP($A342,'1.3.21-28.2.22'!$A$6:$DA$404,45,FALSE)-VLOOKUP($A342,'01-02.2022'!$A$6:$DA$376,45,FALSE)</f>
        <v>3089.1923337274129</v>
      </c>
      <c r="AT342" s="566">
        <f>VLOOKUP($A342,'01-02.2021'!$A$6:$CZ$403,46,FALSE)+VLOOKUP($A342,'1.3.21-28.2.22'!$A$6:$DA$404,46,FALSE)-VLOOKUP($A342,'01-02.2022'!$A$6:$DA$376,46,FALSE)</f>
        <v>0</v>
      </c>
      <c r="AU342" s="78">
        <f t="shared" si="395"/>
        <v>-3089.1923337274129</v>
      </c>
      <c r="AV342" s="566">
        <f>VLOOKUP($A342,'01-02.2021'!$A$6:$CZ$403,48,FALSE)+VLOOKUP($A342,'1.3.21-28.2.22'!$A$6:$DA$404,48,FALSE)-VLOOKUP($A342,'01-02.2022'!$A$6:$DA$376,48,FALSE)</f>
        <v>0</v>
      </c>
      <c r="AW342" s="566">
        <f>VLOOKUP($A342,'01-02.2021'!$A$6:$CZ$403,49,FALSE)+VLOOKUP($A342,'1.3.21-28.2.22'!$A$6:$DA$404,49,FALSE)-VLOOKUP($A342,'01-02.2022'!$A$6:$DA$376,49,FALSE)</f>
        <v>0</v>
      </c>
      <c r="AX342" s="55">
        <f t="shared" si="396"/>
        <v>0</v>
      </c>
      <c r="AY342" s="566">
        <f>VLOOKUP($A342,'01-02.2021'!$A$6:$CZ$403,51,FALSE)+VLOOKUP($A342,'1.3.21-28.2.22'!$A$6:$DA$404,51,FALSE)-VLOOKUP($A342,'01-02.2022'!$A$6:$DA$376,51,FALSE)</f>
        <v>0</v>
      </c>
      <c r="AZ342" s="566">
        <f>VLOOKUP($A342,'01-02.2021'!$A$6:$CZ$403,52,FALSE)+VLOOKUP($A342,'1.3.21-28.2.22'!$A$6:$DA$404,52,FALSE)-VLOOKUP($A342,'01-02.2022'!$A$6:$DA$376,52,FALSE)</f>
        <v>0</v>
      </c>
      <c r="BA342" s="38">
        <f t="shared" si="397"/>
        <v>0</v>
      </c>
      <c r="BB342" s="566">
        <f>VLOOKUP($A342,'01-02.2021'!$A$6:$CZ$403,54,FALSE)+VLOOKUP($A342,'1.3.21-28.2.22'!$A$6:$DA$404,54,FALSE)-VLOOKUP($A342,'01-02.2022'!$A$6:$DA$376,54,FALSE)</f>
        <v>0</v>
      </c>
      <c r="BC342" s="566">
        <f>VLOOKUP($A342,'01-02.2021'!$A$6:$CZ$403,55,FALSE)+VLOOKUP($A342,'1.3.21-28.2.22'!$A$6:$DA$404,55,FALSE)-VLOOKUP($A342,'01-02.2022'!$A$6:$DA$376,55,FALSE)</f>
        <v>0</v>
      </c>
      <c r="BD342" s="55">
        <f t="shared" si="398"/>
        <v>0</v>
      </c>
      <c r="BE342" s="566">
        <f>VLOOKUP($A342,'01-02.2021'!$A$6:$CZ$403,57,FALSE)+VLOOKUP($A342,'1.3.21-28.2.22'!$A$6:$DA$404,57,FALSE)-VLOOKUP($A342,'01-02.2022'!$A$6:$DA$376,57,FALSE)</f>
        <v>0</v>
      </c>
      <c r="BF342" s="566">
        <f>VLOOKUP($A342,'01-02.2021'!$A$6:$CZ$403,58,FALSE)+VLOOKUP($A342,'1.3.21-28.2.22'!$A$6:$DA$404,58,FALSE)-VLOOKUP($A342,'01-02.2022'!$A$6:$DA$376,58,FALSE)</f>
        <v>0</v>
      </c>
      <c r="BG342" s="55">
        <f t="shared" si="399"/>
        <v>0</v>
      </c>
      <c r="BH342" s="566">
        <f>VLOOKUP($A342,'01-02.2021'!$A$6:$CZ$403,60,FALSE)+VLOOKUP($A342,'1.3.21-28.2.22'!$A$6:$DA$404,60,FALSE)-VLOOKUP($A342,'01-02.2022'!$A$6:$DA$376,60,FALSE)</f>
        <v>0</v>
      </c>
      <c r="BI342" s="566">
        <f>VLOOKUP($A342,'01-02.2021'!$A$6:$CZ$403,61,FALSE)+VLOOKUP($A342,'1.3.21-28.2.22'!$A$6:$DA$404,61,FALSE)-VLOOKUP($A342,'01-02.2022'!$A$6:$DA$376,61,FALSE)</f>
        <v>0</v>
      </c>
      <c r="BJ342" s="55">
        <f t="shared" si="400"/>
        <v>0</v>
      </c>
      <c r="BK342" s="566">
        <f>VLOOKUP($A342,'01-02.2021'!$A$6:$CZ$403,63,FALSE)+VLOOKUP($A342,'1.3.21-28.2.22'!$A$6:$DA$404,63,FALSE)-VLOOKUP($A342,'01-02.2022'!$A$6:$DA$376,63,FALSE)</f>
        <v>0</v>
      </c>
      <c r="BL342" s="566">
        <f>VLOOKUP($A342,'01-02.2021'!$A$6:$CZ$403,64,FALSE)+VLOOKUP($A342,'1.3.21-28.2.22'!$A$6:$DA$404,64,FALSE)-VLOOKUP($A342,'01-02.2022'!$A$6:$DA$376,64,FALSE)</f>
        <v>0</v>
      </c>
      <c r="BM342" s="55">
        <f t="shared" si="401"/>
        <v>0</v>
      </c>
      <c r="BN342" s="566">
        <f>VLOOKUP($A342,'01-02.2021'!$A$6:$CZ$403,66,FALSE)+VLOOKUP($A342,'1.3.21-28.2.22'!$A$6:$DA$404,66,FALSE)-VLOOKUP($A342,'01-02.2022'!$A$6:$DA$376,66,FALSE)</f>
        <v>16.305</v>
      </c>
      <c r="BO342" s="566">
        <f>VLOOKUP($A342,'01-02.2021'!$A$6:$CZ$403,67,FALSE)+VLOOKUP($A342,'1.3.21-28.2.22'!$A$6:$DA$404,67,FALSE)-VLOOKUP($A342,'01-02.2022'!$A$6:$DA$376,67,FALSE)</f>
        <v>0</v>
      </c>
      <c r="BP342" s="55">
        <f t="shared" si="402"/>
        <v>-16.305</v>
      </c>
      <c r="BQ342" s="77">
        <f t="shared" si="348"/>
        <v>16.305</v>
      </c>
      <c r="BR342" s="40">
        <f t="shared" si="375"/>
        <v>0</v>
      </c>
      <c r="BS342" s="55">
        <f t="shared" si="369"/>
        <v>-16.305</v>
      </c>
      <c r="BT342" s="566">
        <f>VLOOKUP($A342,'01-02.2021'!$A$6:$CZ$403,72,FALSE)+VLOOKUP($A342,'1.3.21-28.2.22'!$A$6:$DA$404,72,FALSE)-VLOOKUP($A342,'01-02.2022'!$A$6:$DA$376,72,FALSE)</f>
        <v>307.06330467886812</v>
      </c>
      <c r="BU342" s="566">
        <f>VLOOKUP($A342,'01-02.2021'!$A$6:$CZ$403,73,FALSE)+VLOOKUP($A342,'1.3.21-28.2.22'!$A$6:$DA$404,73,FALSE)-VLOOKUP($A342,'01-02.2022'!$A$6:$DA$376,73,FALSE)</f>
        <v>476.41661636108591</v>
      </c>
      <c r="BV342" s="70">
        <f t="shared" si="403"/>
        <v>169.35331168221779</v>
      </c>
      <c r="BW342" s="566">
        <f>VLOOKUP($A342,'01-02.2021'!$A$6:$CZ$403,75,FALSE)+VLOOKUP($A342,'1.3.21-28.2.22'!$A$6:$DA$404,75,FALSE)-VLOOKUP($A342,'01-02.2022'!$A$6:$DA$376,75,FALSE)</f>
        <v>0</v>
      </c>
      <c r="BX342" s="566">
        <f>VLOOKUP($A342,'01-02.2021'!$A$6:$CZ$403,76,FALSE)+VLOOKUP($A342,'1.3.21-28.2.22'!$A$6:$DA$404,76,FALSE)-VLOOKUP($A342,'01-02.2022'!$A$6:$DA$376,76,FALSE)</f>
        <v>7.3084196927075</v>
      </c>
      <c r="BY342" s="70">
        <f t="shared" si="404"/>
        <v>7.3084196927075</v>
      </c>
      <c r="BZ342" s="566">
        <f>VLOOKUP($A342,'01-02.2021'!$A$6:$CZ$403,78,FALSE)+VLOOKUP($A342,'1.3.21-28.2.22'!$A$6:$DA$404,78,FALSE)-VLOOKUP($A342,'01-02.2022'!$A$6:$DA$376,78,FALSE)</f>
        <v>0</v>
      </c>
      <c r="CA342" s="566">
        <f>VLOOKUP($A342,'01-02.2021'!$A$6:$CZ$403,79,FALSE)+VLOOKUP($A342,'1.3.21-28.2.22'!$A$6:$DA$404,79,FALSE)-VLOOKUP($A342,'01-02.2022'!$A$6:$DA$376,79,FALSE)</f>
        <v>29.051745721749541</v>
      </c>
      <c r="CB342" s="70">
        <f t="shared" si="405"/>
        <v>29.051745721749541</v>
      </c>
      <c r="CC342" s="566">
        <f>VLOOKUP($A342,'01-02.2021'!$A$6:$CZ$403,81,FALSE)+VLOOKUP($A342,'1.3.21-28.2.22'!$A$6:$DA$404,81,FALSE)-VLOOKUP($A342,'01-02.2022'!$A$6:$DA$376,81,FALSE)</f>
        <v>0</v>
      </c>
      <c r="CD342" s="566">
        <f>VLOOKUP($A342,'01-02.2021'!$A$6:$CZ$403,82,FALSE)+VLOOKUP($A342,'1.3.21-28.2.22'!$A$6:$DA$404,82,FALSE)-VLOOKUP($A342,'01-02.2022'!$A$6:$DA$376,82,FALSE)</f>
        <v>0</v>
      </c>
      <c r="CE342" s="70">
        <f t="shared" si="406"/>
        <v>0</v>
      </c>
      <c r="CF342" s="566">
        <f>VLOOKUP($A342,'01-02.2021'!$A$6:$CZ$403,84,FALSE)+VLOOKUP($A342,'1.3.21-28.2.22'!$A$6:$DA$404,84,FALSE)-VLOOKUP($A342,'01-02.2022'!$A$6:$DA$376,84,FALSE)</f>
        <v>0</v>
      </c>
      <c r="CG342" s="566">
        <f>VLOOKUP($A342,'01-02.2021'!$A$6:$CZ$403,85,FALSE)+VLOOKUP($A342,'1.3.21-28.2.22'!$A$6:$DA$404,85,FALSE)-VLOOKUP($A342,'01-02.2022'!$A$6:$DA$376,85,FALSE)</f>
        <v>0</v>
      </c>
      <c r="CH342" s="70">
        <f t="shared" si="407"/>
        <v>0</v>
      </c>
      <c r="CI342" s="566">
        <f>VLOOKUP($A342,'01-02.2021'!$A$6:$CZ$403,87,FALSE)+VLOOKUP($A342,'1.3.21-28.2.22'!$A$6:$DA$404,87,FALSE)-VLOOKUP($A342,'01-02.2022'!$A$6:$DA$376,87,FALSE)</f>
        <v>0</v>
      </c>
      <c r="CJ342" s="566">
        <f>VLOOKUP($A342,'01-02.2021'!$A$6:$CZ$403,88,FALSE)+VLOOKUP($A342,'1.3.21-28.2.22'!$A$6:$DA$404,88,FALSE)-VLOOKUP($A342,'01-02.2022'!$A$6:$DA$376,88,FALSE)</f>
        <v>0</v>
      </c>
      <c r="CK342" s="70">
        <f t="shared" si="408"/>
        <v>0</v>
      </c>
      <c r="CL342" s="566">
        <f>VLOOKUP($A342,'01-02.2021'!$A$6:$CZ$403,90,FALSE)+VLOOKUP($A342,'1.3.21-28.2.22'!$A$6:$DA$404,90,FALSE)-VLOOKUP($A342,'01-02.2022'!$A$6:$DA$376,90,FALSE)</f>
        <v>0</v>
      </c>
      <c r="CM342" s="566">
        <f>VLOOKUP($A342,'01-02.2021'!$A$6:$CZ$403,91,FALSE)+VLOOKUP($A342,'1.3.21-28.2.22'!$A$6:$DA$404,91,FALSE)-VLOOKUP($A342,'01-02.2022'!$A$6:$DA$376,91,FALSE)</f>
        <v>0</v>
      </c>
      <c r="CN342" s="52">
        <f t="shared" si="360"/>
        <v>0</v>
      </c>
      <c r="CO342" s="39">
        <f t="shared" si="355"/>
        <v>0</v>
      </c>
      <c r="CP342" s="40">
        <f t="shared" si="361"/>
        <v>0</v>
      </c>
      <c r="CQ342" s="52">
        <f t="shared" si="362"/>
        <v>0</v>
      </c>
      <c r="CR342" s="72">
        <f t="shared" si="356"/>
        <v>4401.3158680838214</v>
      </c>
      <c r="CS342" s="5">
        <f t="shared" si="356"/>
        <v>2371.167537103308</v>
      </c>
      <c r="CT342" s="52">
        <f t="shared" si="363"/>
        <v>-2030.1483309805135</v>
      </c>
      <c r="CU342" s="77">
        <f t="shared" si="364"/>
        <v>5281.5790417005855</v>
      </c>
      <c r="CV342" s="65">
        <f t="shared" si="365"/>
        <v>2845.4010445239696</v>
      </c>
      <c r="CW342" s="35">
        <f t="shared" si="366"/>
        <v>-2436.1779971766159</v>
      </c>
      <c r="CX342" s="566">
        <f>VLOOKUP($A342,'01-02.2021'!$A$6:$CZ$403,102,FALSE)+VLOOKUP($A342,'1.3.21-28.2.22'!$A$6:$DA$404,102,FALSE)-VLOOKUP($A342,'01-02.2022'!$A$6:$DA$376,102,FALSE)</f>
        <v>184.09961987101138</v>
      </c>
      <c r="CY342" s="566">
        <f>VLOOKUP($A342,'01-02.2021'!$A$6:$CZ$403,103,FALSE)+VLOOKUP($A342,'1.3.21-28.2.22'!$A$6:$DA$404,103,FALSE)-VLOOKUP($A342,'01-02.2022'!$A$6:$DA$376,103,FALSE)</f>
        <v>2620.2776170476263</v>
      </c>
      <c r="CZ342" s="52">
        <f t="shared" si="367"/>
        <v>2436.177997176615</v>
      </c>
      <c r="DA342" s="150">
        <f>'[2]побудинковий звіт'!DA342</f>
        <v>-9466.7869535530099</v>
      </c>
      <c r="DB342" s="2">
        <v>3</v>
      </c>
      <c r="DC342" s="414">
        <f>'[4]побудинковий звіт'!DC342</f>
        <v>655.75</v>
      </c>
      <c r="DD342" s="414">
        <f>'[4]побудинковий звіт'!DD342</f>
        <v>0</v>
      </c>
      <c r="DE342" s="557">
        <f>'[4]побудинковий звіт'!DE342</f>
        <v>158.76039908284974</v>
      </c>
      <c r="DF342" s="557">
        <f>'[4]побудинковий звіт'!DF342</f>
        <v>0</v>
      </c>
      <c r="DG342" s="321">
        <f>VLOOKUP(A342,'кошти 01.03.2021'!$A$6:$D$401,4,)</f>
        <v>-6922.9796687066801</v>
      </c>
      <c r="DH342" s="40">
        <f>'[3]побудинковий звіт'!DJ342</f>
        <v>5662.0752774231314</v>
      </c>
      <c r="DI342" s="422">
        <f>'[3]побудинковий звіт'!CU342+'[3]побудинковий звіт'!CX342</f>
        <v>496.98960091715043</v>
      </c>
      <c r="DJ342" s="306">
        <f>'[3]побудинковий звіт'!DM342</f>
        <v>1.5240404811933463</v>
      </c>
      <c r="DK342" s="306">
        <f t="shared" si="377"/>
        <v>1.5240404811933463</v>
      </c>
      <c r="DL342" s="306">
        <f>'[3]побудинковий звіт'!DO342</f>
        <v>1.5240404811933463</v>
      </c>
      <c r="DM342" s="28">
        <f t="shared" si="379"/>
        <v>496.98960091715026</v>
      </c>
      <c r="DN342" s="28">
        <f t="shared" si="380"/>
        <v>0</v>
      </c>
      <c r="DO342" s="423">
        <f t="shared" si="381"/>
        <v>496.98960091715026</v>
      </c>
      <c r="DP342" s="94">
        <f t="shared" si="382"/>
        <v>0</v>
      </c>
      <c r="DQ342" s="28">
        <f t="shared" si="383"/>
        <v>496.98960091715026</v>
      </c>
      <c r="DR342" s="318"/>
      <c r="DT342" s="8"/>
      <c r="DU342" s="5"/>
      <c r="DX342" s="5">
        <f t="shared" si="384"/>
        <v>3726.5968004728952</v>
      </c>
      <c r="DY342" s="5">
        <f t="shared" si="385"/>
        <v>0</v>
      </c>
      <c r="DZ342" s="159">
        <f>'[3]побудинковий звіт'!EA342</f>
        <v>384.87759752988825</v>
      </c>
    </row>
    <row r="343" spans="1:130" x14ac:dyDescent="0.3">
      <c r="A343" s="325">
        <v>150000708</v>
      </c>
      <c r="B343" s="41" t="s">
        <v>789</v>
      </c>
      <c r="C343" s="42" t="s">
        <v>146</v>
      </c>
      <c r="D343" s="42"/>
      <c r="E343" s="293">
        <f t="shared" si="353"/>
        <v>241.4</v>
      </c>
      <c r="F343" s="305">
        <f>'[3]побудинковий звіт'!F343</f>
        <v>241.4</v>
      </c>
      <c r="G343" s="508">
        <f>'[3]побудинковий звіт'!G343</f>
        <v>0</v>
      </c>
      <c r="H343" s="560">
        <f>'[3]побудинковий звіт'!H343</f>
        <v>0</v>
      </c>
      <c r="I343" s="566">
        <f>VLOOKUP($A343,'01-02.2021'!$A$6:$CZ$403,9,FALSE)+VLOOKUP($A343,'1.3.21-28.2.22'!$A$6:$DA$404,9,FALSE)-VLOOKUP($A343,'01-02.2022'!$A$6:$DA$376,9,FALSE)</f>
        <v>0</v>
      </c>
      <c r="J343" s="566">
        <f>VLOOKUP($A343,'01-02.2021'!$A$6:$CZ$403,10,FALSE)+VLOOKUP($A343,'1.3.21-28.2.22'!$A$6:$DA$404,10,FALSE)-VLOOKUP($A343,'01-02.2022'!$A$6:$DA$376,10,FALSE)</f>
        <v>0</v>
      </c>
      <c r="K343" s="52">
        <f t="shared" si="357"/>
        <v>0</v>
      </c>
      <c r="L343" s="566">
        <f>VLOOKUP($A343,'01-02.2021'!$A$6:$CZ$403,12,FALSE)+VLOOKUP($A343,'1.3.21-28.2.22'!$A$6:$DA$404,12,FALSE)-VLOOKUP($A343,'01-02.2022'!$A$6:$DA$376,12,FALSE)</f>
        <v>0</v>
      </c>
      <c r="M343" s="566">
        <f>VLOOKUP($A343,'01-02.2021'!$A$6:$CZ$403,13,FALSE)+VLOOKUP($A343,'1.3.21-28.2.22'!$A$6:$DA$404,13,FALSE)-VLOOKUP($A343,'01-02.2022'!$A$6:$DA$376,13,FALSE)</f>
        <v>0</v>
      </c>
      <c r="N343" s="52">
        <f t="shared" si="358"/>
        <v>0</v>
      </c>
      <c r="O343" s="566">
        <f>VLOOKUP($A343,'01-02.2021'!$A$6:$CZ$403,15,FALSE)+VLOOKUP($A343,'1.3.21-28.2.22'!$A$6:$DA$404,15,FALSE)-VLOOKUP($A343,'01-02.2022'!$A$6:$DA$376,15,FALSE)</f>
        <v>0</v>
      </c>
      <c r="P343" s="566">
        <f>VLOOKUP($A343,'01-02.2021'!$A$6:$CZ$403,16,FALSE)+VLOOKUP($A343,'1.3.21-28.2.22'!$A$6:$DA$404,16,FALSE)-VLOOKUP($A343,'01-02.2022'!$A$6:$DA$376,16,FALSE)</f>
        <v>0</v>
      </c>
      <c r="Q343" s="70">
        <f t="shared" si="386"/>
        <v>0</v>
      </c>
      <c r="R343" s="566">
        <f>VLOOKUP($A343,'01-02.2021'!$A$6:$CZ$403,18,FALSE)+VLOOKUP($A343,'1.3.21-28.2.22'!$A$6:$DA$404,18,FALSE)-VLOOKUP($A343,'01-02.2022'!$A$6:$DA$376,18,FALSE)</f>
        <v>0</v>
      </c>
      <c r="S343" s="566">
        <f>VLOOKUP($A343,'01-02.2021'!$A$6:$CZ$403,19,FALSE)+VLOOKUP($A343,'1.3.21-28.2.22'!$A$6:$DA$404,19,FALSE)-VLOOKUP($A343,'01-02.2022'!$A$6:$DA$376,19,FALSE)</f>
        <v>0</v>
      </c>
      <c r="T343" s="70">
        <f t="shared" si="387"/>
        <v>0</v>
      </c>
      <c r="U343" s="566">
        <f>VLOOKUP($A343,'01-02.2021'!$A$6:$CZ$403,21,FALSE)+VLOOKUP($A343,'1.3.21-28.2.22'!$A$6:$DA$404,21,FALSE)-VLOOKUP($A343,'01-02.2022'!$A$6:$DA$376,21,FALSE)</f>
        <v>0</v>
      </c>
      <c r="V343" s="566">
        <f>VLOOKUP($A343,'01-02.2021'!$A$6:$CZ$403,22,FALSE)+VLOOKUP($A343,'1.3.21-28.2.22'!$A$6:$DA$404,22,FALSE)-VLOOKUP($A343,'01-02.2022'!$A$6:$DA$376,22,FALSE)</f>
        <v>0</v>
      </c>
      <c r="W343" s="70">
        <f t="shared" si="388"/>
        <v>0</v>
      </c>
      <c r="X343" s="566">
        <f>VLOOKUP($A343,'01-02.2021'!$A$6:$CZ$403,24,FALSE)+VLOOKUP($A343,'1.3.21-28.2.22'!$A$6:$DA$404,24,FALSE)-VLOOKUP($A343,'01-02.2022'!$A$6:$DA$376,24,FALSE)</f>
        <v>0</v>
      </c>
      <c r="Y343" s="566">
        <f>VLOOKUP($A343,'01-02.2021'!$A$6:$CZ$403,25,FALSE)+VLOOKUP($A343,'1.3.21-28.2.22'!$A$6:$DA$404,25,FALSE)-VLOOKUP($A343,'01-02.2022'!$A$6:$DA$376,25,FALSE)</f>
        <v>0</v>
      </c>
      <c r="Z343" s="70">
        <f t="shared" si="389"/>
        <v>0</v>
      </c>
      <c r="AA343" s="566">
        <f>VLOOKUP($A343,'01-02.2021'!$A$6:$CZ$403,27,FALSE)+VLOOKUP($A343,'1.3.21-28.2.22'!$A$6:$DA$404,27,FALSE)-VLOOKUP($A343,'01-02.2022'!$A$6:$DA$376,27,FALSE)</f>
        <v>48.28</v>
      </c>
      <c r="AB343" s="566">
        <f>VLOOKUP($A343,'01-02.2021'!$A$6:$CZ$403,28,FALSE)+VLOOKUP($A343,'1.3.21-28.2.22'!$A$6:$DA$404,28,FALSE)-VLOOKUP($A343,'01-02.2022'!$A$6:$DA$376,28,FALSE)</f>
        <v>0</v>
      </c>
      <c r="AC343" s="70">
        <f t="shared" si="390"/>
        <v>-48.28</v>
      </c>
      <c r="AD343" s="566">
        <f>VLOOKUP($A343,'01-02.2021'!$A$6:$CZ$403,30,FALSE)+VLOOKUP($A343,'1.3.21-28.2.22'!$A$6:$DA$404,30,FALSE)-VLOOKUP($A343,'01-02.2022'!$A$6:$DA$376,30,FALSE)</f>
        <v>362.54071049044296</v>
      </c>
      <c r="AE343" s="566">
        <f>VLOOKUP($A343,'01-02.2021'!$A$6:$CZ$403,31,FALSE)+VLOOKUP($A343,'1.3.21-28.2.22'!$A$6:$DA$404,31,FALSE)-VLOOKUP($A343,'01-02.2022'!$A$6:$DA$376,31,FALSE)</f>
        <v>1098.862526549236</v>
      </c>
      <c r="AF343" s="68">
        <f t="shared" si="391"/>
        <v>736.32181605879305</v>
      </c>
      <c r="AG343" s="77">
        <f t="shared" si="354"/>
        <v>410.82071049044293</v>
      </c>
      <c r="AH343" s="53">
        <f t="shared" si="354"/>
        <v>1098.862526549236</v>
      </c>
      <c r="AI343" s="52">
        <f t="shared" si="359"/>
        <v>688.04181605879307</v>
      </c>
      <c r="AJ343" s="566">
        <f>VLOOKUP($A343,'01-02.2021'!$A$6:$CZ$403,36,FALSE)+VLOOKUP($A343,'1.3.21-28.2.22'!$A$6:$DA$404,36,FALSE)-VLOOKUP($A343,'01-02.2022'!$A$6:$DA$376,36,FALSE)</f>
        <v>0</v>
      </c>
      <c r="AK343" s="566">
        <f>VLOOKUP($A343,'01-02.2021'!$A$6:$CZ$403,37,FALSE)+VLOOKUP($A343,'1.3.21-28.2.22'!$A$6:$DA$404,37,FALSE)-VLOOKUP($A343,'01-02.2022'!$A$6:$DA$376,37,FALSE)</f>
        <v>0</v>
      </c>
      <c r="AL343" s="70">
        <f t="shared" si="392"/>
        <v>0</v>
      </c>
      <c r="AM343" s="566">
        <f>VLOOKUP($A343,'01-02.2021'!$A$6:$CZ$403,39,FALSE)+VLOOKUP($A343,'1.3.21-28.2.22'!$A$6:$DA$404,39,FALSE)-VLOOKUP($A343,'01-02.2022'!$A$6:$DA$376,39,FALSE)</f>
        <v>0</v>
      </c>
      <c r="AN343" s="566">
        <f>VLOOKUP($A343,'01-02.2021'!$A$6:$CZ$403,40,FALSE)+VLOOKUP($A343,'1.3.21-28.2.22'!$A$6:$DA$404,40,FALSE)-VLOOKUP($A343,'01-02.2022'!$A$6:$DA$376,40,FALSE)</f>
        <v>0</v>
      </c>
      <c r="AO343" s="70">
        <f t="shared" si="393"/>
        <v>0</v>
      </c>
      <c r="AP343" s="566">
        <f>VLOOKUP($A343,'01-02.2021'!$A$6:$CZ$403,42,FALSE)+VLOOKUP($A343,'1.3.21-28.2.22'!$A$6:$DA$404,42,FALSE)-VLOOKUP($A343,'01-02.2022'!$A$6:$DA$376,42,FALSE)</f>
        <v>477.17993126171268</v>
      </c>
      <c r="AQ343" s="566">
        <f>VLOOKUP($A343,'01-02.2021'!$A$6:$CZ$403,43,FALSE)+VLOOKUP($A343,'1.3.21-28.2.22'!$A$6:$DA$404,43,FALSE)-VLOOKUP($A343,'01-02.2022'!$A$6:$DA$376,43,FALSE)</f>
        <v>411.3674576274164</v>
      </c>
      <c r="AR343" s="70">
        <f t="shared" si="394"/>
        <v>-65.812473634296282</v>
      </c>
      <c r="AS343" s="566">
        <f>VLOOKUP($A343,'01-02.2021'!$A$6:$CZ$403,45,FALSE)+VLOOKUP($A343,'1.3.21-28.2.22'!$A$6:$DA$404,45,FALSE)-VLOOKUP($A343,'01-02.2022'!$A$6:$DA$376,45,FALSE)</f>
        <v>2274.8073048560605</v>
      </c>
      <c r="AT343" s="566">
        <f>VLOOKUP($A343,'01-02.2021'!$A$6:$CZ$403,46,FALSE)+VLOOKUP($A343,'1.3.21-28.2.22'!$A$6:$DA$404,46,FALSE)-VLOOKUP($A343,'01-02.2022'!$A$6:$DA$376,46,FALSE)</f>
        <v>0</v>
      </c>
      <c r="AU343" s="78">
        <f t="shared" si="395"/>
        <v>-2274.8073048560605</v>
      </c>
      <c r="AV343" s="566">
        <f>VLOOKUP($A343,'01-02.2021'!$A$6:$CZ$403,48,FALSE)+VLOOKUP($A343,'1.3.21-28.2.22'!$A$6:$DA$404,48,FALSE)-VLOOKUP($A343,'01-02.2022'!$A$6:$DA$376,48,FALSE)</f>
        <v>0</v>
      </c>
      <c r="AW343" s="566">
        <f>VLOOKUP($A343,'01-02.2021'!$A$6:$CZ$403,49,FALSE)+VLOOKUP($A343,'1.3.21-28.2.22'!$A$6:$DA$404,49,FALSE)-VLOOKUP($A343,'01-02.2022'!$A$6:$DA$376,49,FALSE)</f>
        <v>0</v>
      </c>
      <c r="AX343" s="55">
        <f t="shared" si="396"/>
        <v>0</v>
      </c>
      <c r="AY343" s="566">
        <f>VLOOKUP($A343,'01-02.2021'!$A$6:$CZ$403,51,FALSE)+VLOOKUP($A343,'1.3.21-28.2.22'!$A$6:$DA$404,51,FALSE)-VLOOKUP($A343,'01-02.2022'!$A$6:$DA$376,51,FALSE)</f>
        <v>0</v>
      </c>
      <c r="AZ343" s="566">
        <f>VLOOKUP($A343,'01-02.2021'!$A$6:$CZ$403,52,FALSE)+VLOOKUP($A343,'1.3.21-28.2.22'!$A$6:$DA$404,52,FALSE)-VLOOKUP($A343,'01-02.2022'!$A$6:$DA$376,52,FALSE)</f>
        <v>0</v>
      </c>
      <c r="BA343" s="38">
        <f t="shared" si="397"/>
        <v>0</v>
      </c>
      <c r="BB343" s="566">
        <f>VLOOKUP($A343,'01-02.2021'!$A$6:$CZ$403,54,FALSE)+VLOOKUP($A343,'1.3.21-28.2.22'!$A$6:$DA$404,54,FALSE)-VLOOKUP($A343,'01-02.2022'!$A$6:$DA$376,54,FALSE)</f>
        <v>0</v>
      </c>
      <c r="BC343" s="566">
        <f>VLOOKUP($A343,'01-02.2021'!$A$6:$CZ$403,55,FALSE)+VLOOKUP($A343,'1.3.21-28.2.22'!$A$6:$DA$404,55,FALSE)-VLOOKUP($A343,'01-02.2022'!$A$6:$DA$376,55,FALSE)</f>
        <v>0</v>
      </c>
      <c r="BD343" s="55">
        <f t="shared" si="398"/>
        <v>0</v>
      </c>
      <c r="BE343" s="566">
        <f>VLOOKUP($A343,'01-02.2021'!$A$6:$CZ$403,57,FALSE)+VLOOKUP($A343,'1.3.21-28.2.22'!$A$6:$DA$404,57,FALSE)-VLOOKUP($A343,'01-02.2022'!$A$6:$DA$376,57,FALSE)</f>
        <v>0</v>
      </c>
      <c r="BF343" s="566">
        <f>VLOOKUP($A343,'01-02.2021'!$A$6:$CZ$403,58,FALSE)+VLOOKUP($A343,'1.3.21-28.2.22'!$A$6:$DA$404,58,FALSE)-VLOOKUP($A343,'01-02.2022'!$A$6:$DA$376,58,FALSE)</f>
        <v>0</v>
      </c>
      <c r="BG343" s="55">
        <f t="shared" si="399"/>
        <v>0</v>
      </c>
      <c r="BH343" s="566">
        <f>VLOOKUP($A343,'01-02.2021'!$A$6:$CZ$403,60,FALSE)+VLOOKUP($A343,'1.3.21-28.2.22'!$A$6:$DA$404,60,FALSE)-VLOOKUP($A343,'01-02.2022'!$A$6:$DA$376,60,FALSE)</f>
        <v>0</v>
      </c>
      <c r="BI343" s="566">
        <f>VLOOKUP($A343,'01-02.2021'!$A$6:$CZ$403,61,FALSE)+VLOOKUP($A343,'1.3.21-28.2.22'!$A$6:$DA$404,61,FALSE)-VLOOKUP($A343,'01-02.2022'!$A$6:$DA$376,61,FALSE)</f>
        <v>0</v>
      </c>
      <c r="BJ343" s="55">
        <f t="shared" si="400"/>
        <v>0</v>
      </c>
      <c r="BK343" s="566">
        <f>VLOOKUP($A343,'01-02.2021'!$A$6:$CZ$403,63,FALSE)+VLOOKUP($A343,'1.3.21-28.2.22'!$A$6:$DA$404,63,FALSE)-VLOOKUP($A343,'01-02.2022'!$A$6:$DA$376,63,FALSE)</f>
        <v>0</v>
      </c>
      <c r="BL343" s="566">
        <f>VLOOKUP($A343,'01-02.2021'!$A$6:$CZ$403,64,FALSE)+VLOOKUP($A343,'1.3.21-28.2.22'!$A$6:$DA$404,64,FALSE)-VLOOKUP($A343,'01-02.2022'!$A$6:$DA$376,64,FALSE)</f>
        <v>0</v>
      </c>
      <c r="BM343" s="55">
        <f t="shared" si="401"/>
        <v>0</v>
      </c>
      <c r="BN343" s="566">
        <f>VLOOKUP($A343,'01-02.2021'!$A$6:$CZ$403,66,FALSE)+VLOOKUP($A343,'1.3.21-28.2.22'!$A$6:$DA$404,66,FALSE)-VLOOKUP($A343,'01-02.2022'!$A$6:$DA$376,66,FALSE)</f>
        <v>12.07</v>
      </c>
      <c r="BO343" s="566">
        <f>VLOOKUP($A343,'01-02.2021'!$A$6:$CZ$403,67,FALSE)+VLOOKUP($A343,'1.3.21-28.2.22'!$A$6:$DA$404,67,FALSE)-VLOOKUP($A343,'01-02.2022'!$A$6:$DA$376,67,FALSE)</f>
        <v>0</v>
      </c>
      <c r="BP343" s="55">
        <f t="shared" si="402"/>
        <v>-12.07</v>
      </c>
      <c r="BQ343" s="77">
        <f t="shared" si="348"/>
        <v>12.07</v>
      </c>
      <c r="BR343" s="40">
        <f t="shared" si="375"/>
        <v>0</v>
      </c>
      <c r="BS343" s="55">
        <f t="shared" si="369"/>
        <v>-12.07</v>
      </c>
      <c r="BT343" s="566">
        <f>VLOOKUP($A343,'01-02.2021'!$A$6:$CZ$403,72,FALSE)+VLOOKUP($A343,'1.3.21-28.2.22'!$A$6:$DA$404,72,FALSE)-VLOOKUP($A343,'01-02.2022'!$A$6:$DA$376,72,FALSE)</f>
        <v>69.787114699742745</v>
      </c>
      <c r="BU343" s="566">
        <f>VLOOKUP($A343,'01-02.2021'!$A$6:$CZ$403,73,FALSE)+VLOOKUP($A343,'1.3.21-28.2.22'!$A$6:$DA$404,73,FALSE)-VLOOKUP($A343,'01-02.2022'!$A$6:$DA$376,73,FALSE)</f>
        <v>108.3262775993224</v>
      </c>
      <c r="BV343" s="70">
        <f t="shared" si="403"/>
        <v>38.539162899579651</v>
      </c>
      <c r="BW343" s="566">
        <f>VLOOKUP($A343,'01-02.2021'!$A$6:$CZ$403,75,FALSE)+VLOOKUP($A343,'1.3.21-28.2.22'!$A$6:$DA$404,75,FALSE)-VLOOKUP($A343,'01-02.2022'!$A$6:$DA$376,75,FALSE)</f>
        <v>0</v>
      </c>
      <c r="BX343" s="566">
        <f>VLOOKUP($A343,'01-02.2021'!$A$6:$CZ$403,76,FALSE)+VLOOKUP($A343,'1.3.21-28.2.22'!$A$6:$DA$404,76,FALSE)-VLOOKUP($A343,'01-02.2022'!$A$6:$DA$376,76,FALSE)</f>
        <v>5.4101579693946338</v>
      </c>
      <c r="BY343" s="70">
        <f t="shared" si="404"/>
        <v>5.4101579693946338</v>
      </c>
      <c r="BZ343" s="566">
        <f>VLOOKUP($A343,'01-02.2021'!$A$6:$CZ$403,78,FALSE)+VLOOKUP($A343,'1.3.21-28.2.22'!$A$6:$DA$404,78,FALSE)-VLOOKUP($A343,'01-02.2022'!$A$6:$DA$376,78,FALSE)</f>
        <v>0</v>
      </c>
      <c r="CA343" s="566">
        <f>VLOOKUP($A343,'01-02.2021'!$A$6:$CZ$403,79,FALSE)+VLOOKUP($A343,'1.3.21-28.2.22'!$A$6:$DA$404,79,FALSE)-VLOOKUP($A343,'01-02.2022'!$A$6:$DA$376,79,FALSE)</f>
        <v>6.6038975218732787</v>
      </c>
      <c r="CB343" s="70">
        <f t="shared" si="405"/>
        <v>6.6038975218732787</v>
      </c>
      <c r="CC343" s="566">
        <f>VLOOKUP($A343,'01-02.2021'!$A$6:$CZ$403,81,FALSE)+VLOOKUP($A343,'1.3.21-28.2.22'!$A$6:$DA$404,81,FALSE)-VLOOKUP($A343,'01-02.2022'!$A$6:$DA$376,81,FALSE)</f>
        <v>0</v>
      </c>
      <c r="CD343" s="566">
        <f>VLOOKUP($A343,'01-02.2021'!$A$6:$CZ$403,82,FALSE)+VLOOKUP($A343,'1.3.21-28.2.22'!$A$6:$DA$404,82,FALSE)-VLOOKUP($A343,'01-02.2022'!$A$6:$DA$376,82,FALSE)</f>
        <v>0</v>
      </c>
      <c r="CE343" s="70">
        <f t="shared" si="406"/>
        <v>0</v>
      </c>
      <c r="CF343" s="566">
        <f>VLOOKUP($A343,'01-02.2021'!$A$6:$CZ$403,84,FALSE)+VLOOKUP($A343,'1.3.21-28.2.22'!$A$6:$DA$404,84,FALSE)-VLOOKUP($A343,'01-02.2022'!$A$6:$DA$376,84,FALSE)</f>
        <v>0</v>
      </c>
      <c r="CG343" s="566">
        <f>VLOOKUP($A343,'01-02.2021'!$A$6:$CZ$403,85,FALSE)+VLOOKUP($A343,'1.3.21-28.2.22'!$A$6:$DA$404,85,FALSE)-VLOOKUP($A343,'01-02.2022'!$A$6:$DA$376,85,FALSE)</f>
        <v>0</v>
      </c>
      <c r="CH343" s="70">
        <f t="shared" si="407"/>
        <v>0</v>
      </c>
      <c r="CI343" s="566">
        <f>VLOOKUP($A343,'01-02.2021'!$A$6:$CZ$403,87,FALSE)+VLOOKUP($A343,'1.3.21-28.2.22'!$A$6:$DA$404,87,FALSE)-VLOOKUP($A343,'01-02.2022'!$A$6:$DA$376,87,FALSE)</f>
        <v>0</v>
      </c>
      <c r="CJ343" s="566">
        <f>VLOOKUP($A343,'01-02.2021'!$A$6:$CZ$403,88,FALSE)+VLOOKUP($A343,'1.3.21-28.2.22'!$A$6:$DA$404,88,FALSE)-VLOOKUP($A343,'01-02.2022'!$A$6:$DA$376,88,FALSE)</f>
        <v>0</v>
      </c>
      <c r="CK343" s="70">
        <f t="shared" si="408"/>
        <v>0</v>
      </c>
      <c r="CL343" s="566">
        <f>VLOOKUP($A343,'01-02.2021'!$A$6:$CZ$403,90,FALSE)+VLOOKUP($A343,'1.3.21-28.2.22'!$A$6:$DA$404,90,FALSE)-VLOOKUP($A343,'01-02.2022'!$A$6:$DA$376,90,FALSE)</f>
        <v>0</v>
      </c>
      <c r="CM343" s="566">
        <f>VLOOKUP($A343,'01-02.2021'!$A$6:$CZ$403,91,FALSE)+VLOOKUP($A343,'1.3.21-28.2.22'!$A$6:$DA$404,91,FALSE)-VLOOKUP($A343,'01-02.2022'!$A$6:$DA$376,91,FALSE)</f>
        <v>0</v>
      </c>
      <c r="CN343" s="52">
        <f t="shared" si="360"/>
        <v>0</v>
      </c>
      <c r="CO343" s="39">
        <f t="shared" si="355"/>
        <v>0</v>
      </c>
      <c r="CP343" s="40">
        <f t="shared" si="361"/>
        <v>0</v>
      </c>
      <c r="CQ343" s="52">
        <f t="shared" si="362"/>
        <v>0</v>
      </c>
      <c r="CR343" s="72">
        <f t="shared" si="356"/>
        <v>3244.6650613079591</v>
      </c>
      <c r="CS343" s="5">
        <f t="shared" si="356"/>
        <v>1630.5703172672427</v>
      </c>
      <c r="CT343" s="52">
        <f t="shared" si="363"/>
        <v>-1614.0947440407165</v>
      </c>
      <c r="CU343" s="77">
        <f t="shared" si="364"/>
        <v>3893.5980735695507</v>
      </c>
      <c r="CV343" s="65">
        <f t="shared" si="365"/>
        <v>1956.684380720691</v>
      </c>
      <c r="CW343" s="35">
        <f t="shared" si="366"/>
        <v>-1936.9136928488597</v>
      </c>
      <c r="CX343" s="566">
        <f>VLOOKUP($A343,'01-02.2021'!$A$6:$CZ$403,102,FALSE)+VLOOKUP($A343,'1.3.21-28.2.22'!$A$6:$DA$404,102,FALSE)-VLOOKUP($A343,'01-02.2022'!$A$6:$DA$376,102,FALSE)</f>
        <v>135.75248922723677</v>
      </c>
      <c r="CY343" s="566">
        <f>VLOOKUP($A343,'01-02.2021'!$A$6:$CZ$403,103,FALSE)+VLOOKUP($A343,'1.3.21-28.2.22'!$A$6:$DA$404,103,FALSE)-VLOOKUP($A343,'01-02.2022'!$A$6:$DA$376,103,FALSE)</f>
        <v>2072.666182076096</v>
      </c>
      <c r="CZ343" s="52">
        <f t="shared" si="367"/>
        <v>1936.9136928488592</v>
      </c>
      <c r="DA343" s="150">
        <f>'[2]побудинковий звіт'!DA343</f>
        <v>-5089.4108605811325</v>
      </c>
      <c r="DB343" s="2">
        <v>3</v>
      </c>
      <c r="DC343" s="414">
        <f>'[4]побудинковий звіт'!DC343</f>
        <v>435.58</v>
      </c>
      <c r="DD343" s="414">
        <f>'[4]побудинковий звіт'!DD343</f>
        <v>0</v>
      </c>
      <c r="DE343" s="557">
        <f>'[4]побудинковий звіт'!DE343</f>
        <v>69.376068851762795</v>
      </c>
      <c r="DF343" s="557">
        <f>'[4]побудинковий звіт'!DF343</f>
        <v>0</v>
      </c>
      <c r="DG343" s="321">
        <f>VLOOKUP(A343,'кошти 01.03.2021'!$A$6:$D$401,4,)</f>
        <v>-2958.5315860964242</v>
      </c>
      <c r="DH343" s="40">
        <f>'[3]побудинковий звіт'!DJ343</f>
        <v>4173.2627227953963</v>
      </c>
      <c r="DI343" s="422">
        <f>'[3]побудинковий звіт'!CU343+'[3]побудинковий звіт'!CX343</f>
        <v>366.20393114823719</v>
      </c>
      <c r="DJ343" s="306">
        <f>'[3]побудинковий звіт'!DM343</f>
        <v>1.5170005432818441</v>
      </c>
      <c r="DK343" s="306">
        <f t="shared" si="377"/>
        <v>1.5170005432818441</v>
      </c>
      <c r="DL343" s="306">
        <f>'[3]побудинковий звіт'!DO343</f>
        <v>1.5170005432818441</v>
      </c>
      <c r="DM343" s="28">
        <f t="shared" si="379"/>
        <v>366.20393114823719</v>
      </c>
      <c r="DN343" s="28">
        <f t="shared" si="380"/>
        <v>0</v>
      </c>
      <c r="DO343" s="423">
        <f t="shared" si="381"/>
        <v>366.20393114823719</v>
      </c>
      <c r="DP343" s="94">
        <f t="shared" si="382"/>
        <v>0</v>
      </c>
      <c r="DQ343" s="28">
        <f t="shared" si="383"/>
        <v>366.20393114823719</v>
      </c>
      <c r="DR343" s="318"/>
      <c r="DT343" s="8"/>
      <c r="DU343" s="5"/>
      <c r="DX343" s="5">
        <f t="shared" si="384"/>
        <v>2744.2527658272725</v>
      </c>
      <c r="DY343" s="5">
        <f t="shared" si="385"/>
        <v>0</v>
      </c>
      <c r="DZ343" s="159">
        <f>'[3]побудинковий звіт'!EA343</f>
        <v>293.22265221325023</v>
      </c>
    </row>
    <row r="344" spans="1:130" x14ac:dyDescent="0.3">
      <c r="A344" s="325">
        <v>150000591</v>
      </c>
      <c r="B344" s="41" t="s">
        <v>790</v>
      </c>
      <c r="C344" s="42" t="s">
        <v>192</v>
      </c>
      <c r="D344" s="42"/>
      <c r="E344" s="293">
        <f t="shared" si="353"/>
        <v>148.4</v>
      </c>
      <c r="F344" s="305">
        <f>'[3]побудинковий звіт'!F344</f>
        <v>148.4</v>
      </c>
      <c r="G344" s="508">
        <f>'[3]побудинковий звіт'!G344</f>
        <v>0</v>
      </c>
      <c r="H344" s="560">
        <f>'[3]побудинковий звіт'!H344</f>
        <v>0</v>
      </c>
      <c r="I344" s="566">
        <f>VLOOKUP($A344,'01-02.2021'!$A$6:$CZ$403,9,FALSE)+VLOOKUP($A344,'1.3.21-28.2.22'!$A$6:$DA$404,9,FALSE)-VLOOKUP($A344,'01-02.2022'!$A$6:$DA$376,9,FALSE)</f>
        <v>873.80646444161857</v>
      </c>
      <c r="J344" s="566">
        <f>VLOOKUP($A344,'01-02.2021'!$A$6:$CZ$403,10,FALSE)+VLOOKUP($A344,'1.3.21-28.2.22'!$A$6:$DA$404,10,FALSE)-VLOOKUP($A344,'01-02.2022'!$A$6:$DA$376,10,FALSE)</f>
        <v>833.71055099034902</v>
      </c>
      <c r="K344" s="52">
        <f t="shared" si="357"/>
        <v>-40.095913451269553</v>
      </c>
      <c r="L344" s="566">
        <f>VLOOKUP($A344,'01-02.2021'!$A$6:$CZ$403,12,FALSE)+VLOOKUP($A344,'1.3.21-28.2.22'!$A$6:$DA$404,12,FALSE)-VLOOKUP($A344,'01-02.2022'!$A$6:$DA$376,12,FALSE)</f>
        <v>158.95968836082818</v>
      </c>
      <c r="M344" s="566">
        <f>VLOOKUP($A344,'01-02.2021'!$A$6:$CZ$403,13,FALSE)+VLOOKUP($A344,'1.3.21-28.2.22'!$A$6:$DA$404,13,FALSE)-VLOOKUP($A344,'01-02.2022'!$A$6:$DA$376,13,FALSE)</f>
        <v>158.71725907118429</v>
      </c>
      <c r="N344" s="52">
        <f t="shared" si="358"/>
        <v>-0.24242928964389421</v>
      </c>
      <c r="O344" s="566">
        <f>VLOOKUP($A344,'01-02.2021'!$A$6:$CZ$403,15,FALSE)+VLOOKUP($A344,'1.3.21-28.2.22'!$A$6:$DA$404,15,FALSE)-VLOOKUP($A344,'01-02.2022'!$A$6:$DA$376,15,FALSE)</f>
        <v>227.05326177909157</v>
      </c>
      <c r="P344" s="566">
        <f>VLOOKUP($A344,'01-02.2021'!$A$6:$CZ$403,16,FALSE)+VLOOKUP($A344,'1.3.21-28.2.22'!$A$6:$DA$404,16,FALSE)-VLOOKUP($A344,'01-02.2022'!$A$6:$DA$376,16,FALSE)</f>
        <v>227.02166666666656</v>
      </c>
      <c r="Q344" s="70">
        <f t="shared" si="386"/>
        <v>-3.159511242500912E-2</v>
      </c>
      <c r="R344" s="566">
        <f>VLOOKUP($A344,'01-02.2021'!$A$6:$CZ$403,18,FALSE)+VLOOKUP($A344,'1.3.21-28.2.22'!$A$6:$DA$404,18,FALSE)-VLOOKUP($A344,'01-02.2022'!$A$6:$DA$376,18,FALSE)</f>
        <v>68.434474553141669</v>
      </c>
      <c r="S344" s="566">
        <f>VLOOKUP($A344,'01-02.2021'!$A$6:$CZ$403,19,FALSE)+VLOOKUP($A344,'1.3.21-28.2.22'!$A$6:$DA$404,19,FALSE)-VLOOKUP($A344,'01-02.2022'!$A$6:$DA$376,19,FALSE)</f>
        <v>68.456666666666663</v>
      </c>
      <c r="T344" s="70">
        <f t="shared" si="387"/>
        <v>2.2192113524994284E-2</v>
      </c>
      <c r="U344" s="566">
        <f>VLOOKUP($A344,'01-02.2021'!$A$6:$CZ$403,21,FALSE)+VLOOKUP($A344,'1.3.21-28.2.22'!$A$6:$DA$404,21,FALSE)-VLOOKUP($A344,'01-02.2022'!$A$6:$DA$376,21,FALSE)</f>
        <v>0</v>
      </c>
      <c r="V344" s="566">
        <f>VLOOKUP($A344,'01-02.2021'!$A$6:$CZ$403,22,FALSE)+VLOOKUP($A344,'1.3.21-28.2.22'!$A$6:$DA$404,22,FALSE)-VLOOKUP($A344,'01-02.2022'!$A$6:$DA$376,22,FALSE)</f>
        <v>0</v>
      </c>
      <c r="W344" s="70">
        <f t="shared" si="388"/>
        <v>0</v>
      </c>
      <c r="X344" s="566">
        <f>VLOOKUP($A344,'01-02.2021'!$A$6:$CZ$403,24,FALSE)+VLOOKUP($A344,'1.3.21-28.2.22'!$A$6:$DA$404,24,FALSE)-VLOOKUP($A344,'01-02.2022'!$A$6:$DA$376,24,FALSE)</f>
        <v>419.06341843068293</v>
      </c>
      <c r="Y344" s="566">
        <f>VLOOKUP($A344,'01-02.2021'!$A$6:$CZ$403,25,FALSE)+VLOOKUP($A344,'1.3.21-28.2.22'!$A$6:$DA$404,25,FALSE)-VLOOKUP($A344,'01-02.2022'!$A$6:$DA$376,25,FALSE)</f>
        <v>289.89384833722352</v>
      </c>
      <c r="Z344" s="70">
        <f t="shared" si="389"/>
        <v>-129.16957009345941</v>
      </c>
      <c r="AA344" s="566">
        <f>VLOOKUP($A344,'01-02.2021'!$A$6:$CZ$403,27,FALSE)+VLOOKUP($A344,'1.3.21-28.2.22'!$A$6:$DA$404,27,FALSE)-VLOOKUP($A344,'01-02.2022'!$A$6:$DA$376,27,FALSE)</f>
        <v>29.68</v>
      </c>
      <c r="AB344" s="566">
        <f>VLOOKUP($A344,'01-02.2021'!$A$6:$CZ$403,28,FALSE)+VLOOKUP($A344,'1.3.21-28.2.22'!$A$6:$DA$404,28,FALSE)-VLOOKUP($A344,'01-02.2022'!$A$6:$DA$376,28,FALSE)</f>
        <v>0</v>
      </c>
      <c r="AC344" s="70">
        <f t="shared" si="390"/>
        <v>-29.68</v>
      </c>
      <c r="AD344" s="566">
        <f>VLOOKUP($A344,'01-02.2021'!$A$6:$CZ$403,30,FALSE)+VLOOKUP($A344,'1.3.21-28.2.22'!$A$6:$DA$404,30,FALSE)-VLOOKUP($A344,'01-02.2022'!$A$6:$DA$376,30,FALSE)</f>
        <v>637.44396100873519</v>
      </c>
      <c r="AE344" s="566">
        <f>VLOOKUP($A344,'01-02.2021'!$A$6:$CZ$403,31,FALSE)+VLOOKUP($A344,'1.3.21-28.2.22'!$A$6:$DA$404,31,FALSE)-VLOOKUP($A344,'01-02.2022'!$A$6:$DA$376,31,FALSE)</f>
        <v>675.5227793699529</v>
      </c>
      <c r="AF344" s="68">
        <f t="shared" si="391"/>
        <v>38.078818361217714</v>
      </c>
      <c r="AG344" s="77">
        <f t="shared" si="354"/>
        <v>2414.4412685740981</v>
      </c>
      <c r="AH344" s="53">
        <f t="shared" si="354"/>
        <v>2253.3227711020431</v>
      </c>
      <c r="AI344" s="52">
        <f t="shared" si="359"/>
        <v>-161.11849747205497</v>
      </c>
      <c r="AJ344" s="566">
        <f>VLOOKUP($A344,'01-02.2021'!$A$6:$CZ$403,36,FALSE)+VLOOKUP($A344,'1.3.21-28.2.22'!$A$6:$DA$404,36,FALSE)-VLOOKUP($A344,'01-02.2022'!$A$6:$DA$376,36,FALSE)</f>
        <v>0</v>
      </c>
      <c r="AK344" s="566">
        <f>VLOOKUP($A344,'01-02.2021'!$A$6:$CZ$403,37,FALSE)+VLOOKUP($A344,'1.3.21-28.2.22'!$A$6:$DA$404,37,FALSE)-VLOOKUP($A344,'01-02.2022'!$A$6:$DA$376,37,FALSE)</f>
        <v>0</v>
      </c>
      <c r="AL344" s="70">
        <f t="shared" si="392"/>
        <v>0</v>
      </c>
      <c r="AM344" s="566">
        <f>VLOOKUP($A344,'01-02.2021'!$A$6:$CZ$403,39,FALSE)+VLOOKUP($A344,'1.3.21-28.2.22'!$A$6:$DA$404,39,FALSE)-VLOOKUP($A344,'01-02.2022'!$A$6:$DA$376,39,FALSE)</f>
        <v>0</v>
      </c>
      <c r="AN344" s="566">
        <f>VLOOKUP($A344,'01-02.2021'!$A$6:$CZ$403,40,FALSE)+VLOOKUP($A344,'1.3.21-28.2.22'!$A$6:$DA$404,40,FALSE)-VLOOKUP($A344,'01-02.2022'!$A$6:$DA$376,40,FALSE)</f>
        <v>0</v>
      </c>
      <c r="AO344" s="70">
        <f t="shared" si="393"/>
        <v>0</v>
      </c>
      <c r="AP344" s="566">
        <f>VLOOKUP($A344,'01-02.2021'!$A$6:$CZ$403,42,FALSE)+VLOOKUP($A344,'1.3.21-28.2.22'!$A$6:$DA$404,42,FALSE)-VLOOKUP($A344,'01-02.2022'!$A$6:$DA$376,42,FALSE)</f>
        <v>173.51997500425909</v>
      </c>
      <c r="AQ344" s="566">
        <f>VLOOKUP($A344,'01-02.2021'!$A$6:$CZ$403,43,FALSE)+VLOOKUP($A344,'1.3.21-28.2.22'!$A$6:$DA$404,43,FALSE)-VLOOKUP($A344,'01-02.2022'!$A$6:$DA$376,43,FALSE)</f>
        <v>149.47267709291629</v>
      </c>
      <c r="AR344" s="70">
        <f t="shared" si="394"/>
        <v>-24.04729791134281</v>
      </c>
      <c r="AS344" s="566">
        <f>VLOOKUP($A344,'01-02.2021'!$A$6:$CZ$403,45,FALSE)+VLOOKUP($A344,'1.3.21-28.2.22'!$A$6:$DA$404,45,FALSE)-VLOOKUP($A344,'01-02.2022'!$A$6:$DA$376,45,FALSE)</f>
        <v>2648.5777909087869</v>
      </c>
      <c r="AT344" s="566">
        <f>VLOOKUP($A344,'01-02.2021'!$A$6:$CZ$403,46,FALSE)+VLOOKUP($A344,'1.3.21-28.2.22'!$A$6:$DA$404,46,FALSE)-VLOOKUP($A344,'01-02.2022'!$A$6:$DA$376,46,FALSE)</f>
        <v>178</v>
      </c>
      <c r="AU344" s="78">
        <f t="shared" si="395"/>
        <v>-2470.5777909087869</v>
      </c>
      <c r="AV344" s="566">
        <f>VLOOKUP($A344,'01-02.2021'!$A$6:$CZ$403,48,FALSE)+VLOOKUP($A344,'1.3.21-28.2.22'!$A$6:$DA$404,48,FALSE)-VLOOKUP($A344,'01-02.2022'!$A$6:$DA$376,48,FALSE)</f>
        <v>304.09834176106551</v>
      </c>
      <c r="AW344" s="566">
        <f>VLOOKUP($A344,'01-02.2021'!$A$6:$CZ$403,49,FALSE)+VLOOKUP($A344,'1.3.21-28.2.22'!$A$6:$DA$404,49,FALSE)-VLOOKUP($A344,'01-02.2022'!$A$6:$DA$376,49,FALSE)</f>
        <v>0</v>
      </c>
      <c r="AX344" s="55">
        <f t="shared" si="396"/>
        <v>-304.09834176106551</v>
      </c>
      <c r="AY344" s="566">
        <f>VLOOKUP($A344,'01-02.2021'!$A$6:$CZ$403,51,FALSE)+VLOOKUP($A344,'1.3.21-28.2.22'!$A$6:$DA$404,51,FALSE)-VLOOKUP($A344,'01-02.2022'!$A$6:$DA$376,51,FALSE)</f>
        <v>298.55648813863661</v>
      </c>
      <c r="AZ344" s="566">
        <f>VLOOKUP($A344,'01-02.2021'!$A$6:$CZ$403,52,FALSE)+VLOOKUP($A344,'1.3.21-28.2.22'!$A$6:$DA$404,52,FALSE)-VLOOKUP($A344,'01-02.2022'!$A$6:$DA$376,52,FALSE)</f>
        <v>0</v>
      </c>
      <c r="BA344" s="38">
        <f t="shared" si="397"/>
        <v>-298.55648813863661</v>
      </c>
      <c r="BB344" s="566">
        <f>VLOOKUP($A344,'01-02.2021'!$A$6:$CZ$403,54,FALSE)+VLOOKUP($A344,'1.3.21-28.2.22'!$A$6:$DA$404,54,FALSE)-VLOOKUP($A344,'01-02.2022'!$A$6:$DA$376,54,FALSE)</f>
        <v>55.645431510339691</v>
      </c>
      <c r="BC344" s="566">
        <f>VLOOKUP($A344,'01-02.2021'!$A$6:$CZ$403,55,FALSE)+VLOOKUP($A344,'1.3.21-28.2.22'!$A$6:$DA$404,55,FALSE)-VLOOKUP($A344,'01-02.2022'!$A$6:$DA$376,55,FALSE)</f>
        <v>0</v>
      </c>
      <c r="BD344" s="55">
        <f t="shared" si="398"/>
        <v>-55.645431510339691</v>
      </c>
      <c r="BE344" s="566">
        <f>VLOOKUP($A344,'01-02.2021'!$A$6:$CZ$403,57,FALSE)+VLOOKUP($A344,'1.3.21-28.2.22'!$A$6:$DA$404,57,FALSE)-VLOOKUP($A344,'01-02.2022'!$A$6:$DA$376,57,FALSE)</f>
        <v>183.41150166856823</v>
      </c>
      <c r="BF344" s="566">
        <f>VLOOKUP($A344,'01-02.2021'!$A$6:$CZ$403,58,FALSE)+VLOOKUP($A344,'1.3.21-28.2.22'!$A$6:$DA$404,58,FALSE)-VLOOKUP($A344,'01-02.2022'!$A$6:$DA$376,58,FALSE)</f>
        <v>0</v>
      </c>
      <c r="BG344" s="55">
        <f t="shared" si="399"/>
        <v>-183.41150166856823</v>
      </c>
      <c r="BH344" s="566">
        <f>VLOOKUP($A344,'01-02.2021'!$A$6:$CZ$403,60,FALSE)+VLOOKUP($A344,'1.3.21-28.2.22'!$A$6:$DA$404,60,FALSE)-VLOOKUP($A344,'01-02.2022'!$A$6:$DA$376,60,FALSE)</f>
        <v>0</v>
      </c>
      <c r="BI344" s="566">
        <f>VLOOKUP($A344,'01-02.2021'!$A$6:$CZ$403,61,FALSE)+VLOOKUP($A344,'1.3.21-28.2.22'!$A$6:$DA$404,61,FALSE)-VLOOKUP($A344,'01-02.2022'!$A$6:$DA$376,61,FALSE)</f>
        <v>0</v>
      </c>
      <c r="BJ344" s="55">
        <f t="shared" si="400"/>
        <v>0</v>
      </c>
      <c r="BK344" s="566">
        <f>VLOOKUP($A344,'01-02.2021'!$A$6:$CZ$403,63,FALSE)+VLOOKUP($A344,'1.3.21-28.2.22'!$A$6:$DA$404,63,FALSE)-VLOOKUP($A344,'01-02.2022'!$A$6:$DA$376,63,FALSE)</f>
        <v>52.12124284250914</v>
      </c>
      <c r="BL344" s="566">
        <f>VLOOKUP($A344,'01-02.2021'!$A$6:$CZ$403,64,FALSE)+VLOOKUP($A344,'1.3.21-28.2.22'!$A$6:$DA$404,64,FALSE)-VLOOKUP($A344,'01-02.2022'!$A$6:$DA$376,64,FALSE)</f>
        <v>0</v>
      </c>
      <c r="BM344" s="55">
        <f t="shared" si="401"/>
        <v>-52.12124284250914</v>
      </c>
      <c r="BN344" s="566">
        <f>VLOOKUP($A344,'01-02.2021'!$A$6:$CZ$403,66,FALSE)+VLOOKUP($A344,'1.3.21-28.2.22'!$A$6:$DA$404,66,FALSE)-VLOOKUP($A344,'01-02.2022'!$A$6:$DA$376,66,FALSE)</f>
        <v>7.42</v>
      </c>
      <c r="BO344" s="566">
        <f>VLOOKUP($A344,'01-02.2021'!$A$6:$CZ$403,67,FALSE)+VLOOKUP($A344,'1.3.21-28.2.22'!$A$6:$DA$404,67,FALSE)-VLOOKUP($A344,'01-02.2022'!$A$6:$DA$376,67,FALSE)</f>
        <v>0</v>
      </c>
      <c r="BP344" s="55">
        <f t="shared" si="402"/>
        <v>-7.42</v>
      </c>
      <c r="BQ344" s="77">
        <f t="shared" ref="BQ344:BQ403" si="409">AV344+AY344+BB344+BE344+BH344+BK344+BN344</f>
        <v>901.2530059211191</v>
      </c>
      <c r="BR344" s="40">
        <f t="shared" ref="BR344:BR372" si="410">AW344+AZ344+BC344+BF344+BI344+BL344+BO344</f>
        <v>0</v>
      </c>
      <c r="BS344" s="55">
        <f t="shared" si="369"/>
        <v>-901.2530059211191</v>
      </c>
      <c r="BT344" s="566">
        <f>VLOOKUP($A344,'01-02.2021'!$A$6:$CZ$403,72,FALSE)+VLOOKUP($A344,'1.3.21-28.2.22'!$A$6:$DA$404,72,FALSE)-VLOOKUP($A344,'01-02.2022'!$A$6:$DA$376,72,FALSE)</f>
        <v>0</v>
      </c>
      <c r="BU344" s="566">
        <f>VLOOKUP($A344,'01-02.2021'!$A$6:$CZ$403,73,FALSE)+VLOOKUP($A344,'1.3.21-28.2.22'!$A$6:$DA$404,73,FALSE)-VLOOKUP($A344,'01-02.2022'!$A$6:$DA$376,73,FALSE)</f>
        <v>0</v>
      </c>
      <c r="BV344" s="70">
        <f t="shared" si="403"/>
        <v>0</v>
      </c>
      <c r="BW344" s="566">
        <f>VLOOKUP($A344,'01-02.2021'!$A$6:$CZ$403,75,FALSE)+VLOOKUP($A344,'1.3.21-28.2.22'!$A$6:$DA$404,75,FALSE)-VLOOKUP($A344,'01-02.2022'!$A$6:$DA$376,75,FALSE)</f>
        <v>106.06589882483937</v>
      </c>
      <c r="BX344" s="566">
        <f>VLOOKUP($A344,'01-02.2021'!$A$6:$CZ$403,76,FALSE)+VLOOKUP($A344,'1.3.21-28.2.22'!$A$6:$DA$404,76,FALSE)-VLOOKUP($A344,'01-02.2022'!$A$6:$DA$376,76,FALSE)</f>
        <v>3.7166272959989586</v>
      </c>
      <c r="BY344" s="70">
        <f t="shared" si="404"/>
        <v>-102.3492715288404</v>
      </c>
      <c r="BZ344" s="566">
        <f>VLOOKUP($A344,'01-02.2021'!$A$6:$CZ$403,78,FALSE)+VLOOKUP($A344,'1.3.21-28.2.22'!$A$6:$DA$404,78,FALSE)-VLOOKUP($A344,'01-02.2022'!$A$6:$DA$376,78,FALSE)</f>
        <v>0</v>
      </c>
      <c r="CA344" s="566">
        <f>VLOOKUP($A344,'01-02.2021'!$A$6:$CZ$403,79,FALSE)+VLOOKUP($A344,'1.3.21-28.2.22'!$A$6:$DA$404,79,FALSE)-VLOOKUP($A344,'01-02.2022'!$A$6:$DA$376,79,FALSE)</f>
        <v>0</v>
      </c>
      <c r="CB344" s="70">
        <f t="shared" si="405"/>
        <v>0</v>
      </c>
      <c r="CC344" s="566">
        <f>VLOOKUP($A344,'01-02.2021'!$A$6:$CZ$403,81,FALSE)+VLOOKUP($A344,'1.3.21-28.2.22'!$A$6:$DA$404,81,FALSE)-VLOOKUP($A344,'01-02.2022'!$A$6:$DA$376,81,FALSE)</f>
        <v>0</v>
      </c>
      <c r="CD344" s="566">
        <f>VLOOKUP($A344,'01-02.2021'!$A$6:$CZ$403,82,FALSE)+VLOOKUP($A344,'1.3.21-28.2.22'!$A$6:$DA$404,82,FALSE)-VLOOKUP($A344,'01-02.2022'!$A$6:$DA$376,82,FALSE)</f>
        <v>0</v>
      </c>
      <c r="CE344" s="70">
        <f t="shared" si="406"/>
        <v>0</v>
      </c>
      <c r="CF344" s="566">
        <f>VLOOKUP($A344,'01-02.2021'!$A$6:$CZ$403,84,FALSE)+VLOOKUP($A344,'1.3.21-28.2.22'!$A$6:$DA$404,84,FALSE)-VLOOKUP($A344,'01-02.2022'!$A$6:$DA$376,84,FALSE)</f>
        <v>0</v>
      </c>
      <c r="CG344" s="566">
        <f>VLOOKUP($A344,'01-02.2021'!$A$6:$CZ$403,85,FALSE)+VLOOKUP($A344,'1.3.21-28.2.22'!$A$6:$DA$404,85,FALSE)-VLOOKUP($A344,'01-02.2022'!$A$6:$DA$376,85,FALSE)</f>
        <v>0</v>
      </c>
      <c r="CH344" s="70">
        <f t="shared" si="407"/>
        <v>0</v>
      </c>
      <c r="CI344" s="566">
        <f>VLOOKUP($A344,'01-02.2021'!$A$6:$CZ$403,87,FALSE)+VLOOKUP($A344,'1.3.21-28.2.22'!$A$6:$DA$404,87,FALSE)-VLOOKUP($A344,'01-02.2022'!$A$6:$DA$376,87,FALSE)</f>
        <v>197.86133812017249</v>
      </c>
      <c r="CJ344" s="566">
        <f>VLOOKUP($A344,'01-02.2021'!$A$6:$CZ$403,88,FALSE)+VLOOKUP($A344,'1.3.21-28.2.22'!$A$6:$DA$404,88,FALSE)-VLOOKUP($A344,'01-02.2022'!$A$6:$DA$376,88,FALSE)</f>
        <v>61.782164244156306</v>
      </c>
      <c r="CK344" s="70">
        <f t="shared" si="408"/>
        <v>-136.07917387601617</v>
      </c>
      <c r="CL344" s="566">
        <f>VLOOKUP($A344,'01-02.2021'!$A$6:$CZ$403,90,FALSE)+VLOOKUP($A344,'1.3.21-28.2.22'!$A$6:$DA$404,90,FALSE)-VLOOKUP($A344,'01-02.2022'!$A$6:$DA$376,90,FALSE)</f>
        <v>0</v>
      </c>
      <c r="CM344" s="566">
        <f>VLOOKUP($A344,'01-02.2021'!$A$6:$CZ$403,91,FALSE)+VLOOKUP($A344,'1.3.21-28.2.22'!$A$6:$DA$404,91,FALSE)-VLOOKUP($A344,'01-02.2022'!$A$6:$DA$376,91,FALSE)</f>
        <v>0</v>
      </c>
      <c r="CN344" s="52">
        <f t="shared" si="360"/>
        <v>0</v>
      </c>
      <c r="CO344" s="39">
        <f t="shared" si="355"/>
        <v>197.86133812017249</v>
      </c>
      <c r="CP344" s="40">
        <f t="shared" si="361"/>
        <v>61.782164244156306</v>
      </c>
      <c r="CQ344" s="52">
        <f t="shared" si="362"/>
        <v>-136.07917387601617</v>
      </c>
      <c r="CR344" s="72">
        <f t="shared" si="356"/>
        <v>6441.7192773532761</v>
      </c>
      <c r="CS344" s="5">
        <f t="shared" si="356"/>
        <v>2646.2942397351148</v>
      </c>
      <c r="CT344" s="52">
        <f t="shared" si="363"/>
        <v>-3795.4250376181612</v>
      </c>
      <c r="CU344" s="77">
        <f t="shared" si="364"/>
        <v>7730.0631328239306</v>
      </c>
      <c r="CV344" s="65">
        <f t="shared" si="365"/>
        <v>3175.5530876821376</v>
      </c>
      <c r="CW344" s="35">
        <f t="shared" si="366"/>
        <v>-4554.5100451417929</v>
      </c>
      <c r="CX344" s="566">
        <f>VLOOKUP($A344,'01-02.2021'!$A$6:$CZ$403,102,FALSE)+VLOOKUP($A344,'1.3.21-28.2.22'!$A$6:$DA$404,102,FALSE)-VLOOKUP($A344,'01-02.2022'!$A$6:$DA$376,102,FALSE)</f>
        <v>143.35744625657904</v>
      </c>
      <c r="CY344" s="566">
        <f>VLOOKUP($A344,'01-02.2021'!$A$6:$CZ$403,103,FALSE)+VLOOKUP($A344,'1.3.21-28.2.22'!$A$6:$DA$404,103,FALSE)-VLOOKUP($A344,'01-02.2022'!$A$6:$DA$376,103,FALSE)</f>
        <v>4697.8674913983705</v>
      </c>
      <c r="CZ344" s="52">
        <f t="shared" si="367"/>
        <v>4554.5100451417911</v>
      </c>
      <c r="DA344" s="150">
        <f>'[2]побудинковий звіт'!DA344</f>
        <v>-12943.824782495911</v>
      </c>
      <c r="DB344" s="2">
        <v>3</v>
      </c>
      <c r="DC344" s="414">
        <f>'[4]побудинковий звіт'!DC344</f>
        <v>587.9</v>
      </c>
      <c r="DD344" s="414">
        <f>'[4]побудинковий звіт'!DD344</f>
        <v>0</v>
      </c>
      <c r="DE344" s="557">
        <f>'[4]побудинковий звіт'!DE344</f>
        <v>-126.91091425123921</v>
      </c>
      <c r="DF344" s="557">
        <f>'[4]побудинковий звіт'!DF344</f>
        <v>0</v>
      </c>
      <c r="DG344" s="321">
        <f>VLOOKUP(A344,'кошти 01.03.2021'!$A$6:$D$401,4,)</f>
        <v>-8004.6311837788617</v>
      </c>
      <c r="DH344" s="40">
        <f>'[3]побудинковий звіт'!DJ344</f>
        <v>8150.9818527925991</v>
      </c>
      <c r="DI344" s="422">
        <f>'[3]побудинковий звіт'!CU344+'[3]побудинковий звіт'!CX344</f>
        <v>714.8109142512393</v>
      </c>
      <c r="DJ344" s="306">
        <f>'[3]побудинковий звіт'!DM344</f>
        <v>4.8167851364638761</v>
      </c>
      <c r="DK344" s="306">
        <f t="shared" si="377"/>
        <v>4.8167851364638761</v>
      </c>
      <c r="DL344" s="306">
        <f>'[3]побудинковий звіт'!DO344</f>
        <v>4.6942600319299839</v>
      </c>
      <c r="DM344" s="28">
        <f t="shared" si="379"/>
        <v>714.81091425123918</v>
      </c>
      <c r="DN344" s="28">
        <f t="shared" si="380"/>
        <v>0</v>
      </c>
      <c r="DO344" s="423">
        <f t="shared" si="381"/>
        <v>714.81091425123918</v>
      </c>
      <c r="DP344" s="94">
        <f t="shared" si="382"/>
        <v>0</v>
      </c>
      <c r="DQ344" s="28">
        <f t="shared" si="383"/>
        <v>714.81091425123918</v>
      </c>
      <c r="DR344" s="318"/>
      <c r="DT344" s="8"/>
      <c r="DU344" s="5"/>
      <c r="DX344" s="5">
        <f t="shared" si="384"/>
        <v>4259.7969561958871</v>
      </c>
      <c r="DY344" s="5">
        <f t="shared" si="385"/>
        <v>213.6</v>
      </c>
      <c r="DZ344" s="159">
        <f>'[3]побудинковий звіт'!EA344</f>
        <v>411.77521911867626</v>
      </c>
    </row>
    <row r="345" spans="1:130" x14ac:dyDescent="0.3">
      <c r="A345" s="325">
        <v>150000861</v>
      </c>
      <c r="B345" s="41" t="s">
        <v>791</v>
      </c>
      <c r="C345" s="42" t="s">
        <v>233</v>
      </c>
      <c r="D345" s="42"/>
      <c r="E345" s="293">
        <f t="shared" si="353"/>
        <v>3401.3999999999996</v>
      </c>
      <c r="F345" s="305">
        <f>'[3]побудинковий звіт'!F345</f>
        <v>2784.6</v>
      </c>
      <c r="G345" s="508">
        <f>'[3]побудинковий звіт'!G345</f>
        <v>0</v>
      </c>
      <c r="H345" s="560">
        <f>'[3]побудинковий звіт'!H345</f>
        <v>616.79999999999995</v>
      </c>
      <c r="I345" s="566">
        <f>VLOOKUP($A345,'01-02.2021'!$A$6:$CZ$403,9,FALSE)+VLOOKUP($A345,'1.3.21-28.2.22'!$A$6:$DA$404,9,FALSE)-VLOOKUP($A345,'01-02.2022'!$A$6:$DA$376,9,FALSE)</f>
        <v>11176.46878653087</v>
      </c>
      <c r="J345" s="566">
        <f>VLOOKUP($A345,'01-02.2021'!$A$6:$CZ$403,10,FALSE)+VLOOKUP($A345,'1.3.21-28.2.22'!$A$6:$DA$404,10,FALSE)-VLOOKUP($A345,'01-02.2022'!$A$6:$DA$376,10,FALSE)</f>
        <v>12213.585761578859</v>
      </c>
      <c r="K345" s="52">
        <f t="shared" si="357"/>
        <v>1037.1169750479894</v>
      </c>
      <c r="L345" s="566">
        <f>VLOOKUP($A345,'01-02.2021'!$A$6:$CZ$403,12,FALSE)+VLOOKUP($A345,'1.3.21-28.2.22'!$A$6:$DA$404,12,FALSE)-VLOOKUP($A345,'01-02.2022'!$A$6:$DA$376,12,FALSE)</f>
        <v>2372.5216205146016</v>
      </c>
      <c r="M345" s="566">
        <f>VLOOKUP($A345,'01-02.2021'!$A$6:$CZ$403,13,FALSE)+VLOOKUP($A345,'1.3.21-28.2.22'!$A$6:$DA$404,13,FALSE)-VLOOKUP($A345,'01-02.2022'!$A$6:$DA$376,13,FALSE)</f>
        <v>2612.2366813523972</v>
      </c>
      <c r="N345" s="52">
        <f t="shared" si="358"/>
        <v>239.71506083779559</v>
      </c>
      <c r="O345" s="566">
        <f>VLOOKUP($A345,'01-02.2021'!$A$6:$CZ$403,15,FALSE)+VLOOKUP($A345,'1.3.21-28.2.22'!$A$6:$DA$404,15,FALSE)-VLOOKUP($A345,'01-02.2022'!$A$6:$DA$376,15,FALSE)</f>
        <v>4219.8231987441914</v>
      </c>
      <c r="P345" s="566">
        <f>VLOOKUP($A345,'01-02.2021'!$A$6:$CZ$403,16,FALSE)+VLOOKUP($A345,'1.3.21-28.2.22'!$A$6:$DA$404,16,FALSE)-VLOOKUP($A345,'01-02.2022'!$A$6:$DA$376,16,FALSE)</f>
        <v>4219.84</v>
      </c>
      <c r="Q345" s="70">
        <f t="shared" si="386"/>
        <v>1.6801255808786664E-2</v>
      </c>
      <c r="R345" s="566">
        <f>VLOOKUP($A345,'01-02.2021'!$A$6:$CZ$403,18,FALSE)+VLOOKUP($A345,'1.3.21-28.2.22'!$A$6:$DA$404,18,FALSE)-VLOOKUP($A345,'01-02.2022'!$A$6:$DA$376,18,FALSE)</f>
        <v>0</v>
      </c>
      <c r="S345" s="566">
        <f>VLOOKUP($A345,'01-02.2021'!$A$6:$CZ$403,19,FALSE)+VLOOKUP($A345,'1.3.21-28.2.22'!$A$6:$DA$404,19,FALSE)-VLOOKUP($A345,'01-02.2022'!$A$6:$DA$376,19,FALSE)</f>
        <v>0</v>
      </c>
      <c r="T345" s="70">
        <f t="shared" si="387"/>
        <v>0</v>
      </c>
      <c r="U345" s="566">
        <f>VLOOKUP($A345,'01-02.2021'!$A$6:$CZ$403,21,FALSE)+VLOOKUP($A345,'1.3.21-28.2.22'!$A$6:$DA$404,21,FALSE)-VLOOKUP($A345,'01-02.2022'!$A$6:$DA$376,21,FALSE)</f>
        <v>0</v>
      </c>
      <c r="V345" s="566">
        <f>VLOOKUP($A345,'01-02.2021'!$A$6:$CZ$403,22,FALSE)+VLOOKUP($A345,'1.3.21-28.2.22'!$A$6:$DA$404,22,FALSE)-VLOOKUP($A345,'01-02.2022'!$A$6:$DA$376,22,FALSE)</f>
        <v>0</v>
      </c>
      <c r="W345" s="70">
        <f t="shared" si="388"/>
        <v>0</v>
      </c>
      <c r="X345" s="566">
        <f>VLOOKUP($A345,'01-02.2021'!$A$6:$CZ$403,24,FALSE)+VLOOKUP($A345,'1.3.21-28.2.22'!$A$6:$DA$404,24,FALSE)-VLOOKUP($A345,'01-02.2022'!$A$6:$DA$376,24,FALSE)</f>
        <v>9527.5819078614441</v>
      </c>
      <c r="Y345" s="566">
        <f>VLOOKUP($A345,'01-02.2021'!$A$6:$CZ$403,25,FALSE)+VLOOKUP($A345,'1.3.21-28.2.22'!$A$6:$DA$404,25,FALSE)-VLOOKUP($A345,'01-02.2022'!$A$6:$DA$376,25,FALSE)</f>
        <v>7989.9786957802971</v>
      </c>
      <c r="Z345" s="70">
        <f t="shared" si="389"/>
        <v>-1537.6032120811469</v>
      </c>
      <c r="AA345" s="566">
        <f>VLOOKUP($A345,'01-02.2021'!$A$6:$CZ$403,27,FALSE)+VLOOKUP($A345,'1.3.21-28.2.22'!$A$6:$DA$404,27,FALSE)-VLOOKUP($A345,'01-02.2022'!$A$6:$DA$376,27,FALSE)</f>
        <v>661.81999999999994</v>
      </c>
      <c r="AB345" s="566">
        <f>VLOOKUP($A345,'01-02.2021'!$A$6:$CZ$403,28,FALSE)+VLOOKUP($A345,'1.3.21-28.2.22'!$A$6:$DA$404,28,FALSE)-VLOOKUP($A345,'01-02.2022'!$A$6:$DA$376,28,FALSE)</f>
        <v>0</v>
      </c>
      <c r="AC345" s="70">
        <f t="shared" si="390"/>
        <v>-661.81999999999994</v>
      </c>
      <c r="AD345" s="566">
        <f>VLOOKUP($A345,'01-02.2021'!$A$6:$CZ$403,30,FALSE)+VLOOKUP($A345,'1.3.21-28.2.22'!$A$6:$DA$404,30,FALSE)-VLOOKUP($A345,'01-02.2022'!$A$6:$DA$376,30,FALSE)</f>
        <v>14391.611283431588</v>
      </c>
      <c r="AE345" s="566">
        <f>VLOOKUP($A345,'01-02.2021'!$A$6:$CZ$403,31,FALSE)+VLOOKUP($A345,'1.3.21-28.2.22'!$A$6:$DA$404,31,FALSE)-VLOOKUP($A345,'01-02.2022'!$A$6:$DA$376,31,FALSE)</f>
        <v>15483.309850060359</v>
      </c>
      <c r="AF345" s="68">
        <f t="shared" si="391"/>
        <v>1091.698566628771</v>
      </c>
      <c r="AG345" s="77">
        <f t="shared" si="354"/>
        <v>42349.826797082693</v>
      </c>
      <c r="AH345" s="53">
        <f t="shared" si="354"/>
        <v>42518.950988771918</v>
      </c>
      <c r="AI345" s="52">
        <f t="shared" si="359"/>
        <v>169.12419168922497</v>
      </c>
      <c r="AJ345" s="566">
        <f>VLOOKUP($A345,'01-02.2021'!$A$6:$CZ$403,36,FALSE)+VLOOKUP($A345,'1.3.21-28.2.22'!$A$6:$DA$404,36,FALSE)-VLOOKUP($A345,'01-02.2022'!$A$6:$DA$376,36,FALSE)</f>
        <v>0</v>
      </c>
      <c r="AK345" s="566">
        <f>VLOOKUP($A345,'01-02.2021'!$A$6:$CZ$403,37,FALSE)+VLOOKUP($A345,'1.3.21-28.2.22'!$A$6:$DA$404,37,FALSE)-VLOOKUP($A345,'01-02.2022'!$A$6:$DA$376,37,FALSE)</f>
        <v>0</v>
      </c>
      <c r="AL345" s="70">
        <f t="shared" si="392"/>
        <v>0</v>
      </c>
      <c r="AM345" s="566">
        <f>VLOOKUP($A345,'01-02.2021'!$A$6:$CZ$403,39,FALSE)+VLOOKUP($A345,'1.3.21-28.2.22'!$A$6:$DA$404,39,FALSE)-VLOOKUP($A345,'01-02.2022'!$A$6:$DA$376,39,FALSE)</f>
        <v>0</v>
      </c>
      <c r="AN345" s="566">
        <f>VLOOKUP($A345,'01-02.2021'!$A$6:$CZ$403,40,FALSE)+VLOOKUP($A345,'1.3.21-28.2.22'!$A$6:$DA$404,40,FALSE)-VLOOKUP($A345,'01-02.2022'!$A$6:$DA$376,40,FALSE)</f>
        <v>0</v>
      </c>
      <c r="AO345" s="70">
        <f t="shared" si="393"/>
        <v>0</v>
      </c>
      <c r="AP345" s="566">
        <f>VLOOKUP($A345,'01-02.2021'!$A$6:$CZ$403,42,FALSE)+VLOOKUP($A345,'1.3.21-28.2.22'!$A$6:$DA$404,42,FALSE)-VLOOKUP($A345,'01-02.2022'!$A$6:$DA$376,42,FALSE)</f>
        <v>3904.1994375958316</v>
      </c>
      <c r="AQ345" s="566">
        <f>VLOOKUP($A345,'01-02.2021'!$A$6:$CZ$403,43,FALSE)+VLOOKUP($A345,'1.3.21-28.2.22'!$A$6:$DA$404,43,FALSE)-VLOOKUP($A345,'01-02.2022'!$A$6:$DA$376,43,FALSE)</f>
        <v>4387.6628335720179</v>
      </c>
      <c r="AR345" s="70">
        <f t="shared" si="394"/>
        <v>483.46339597618635</v>
      </c>
      <c r="AS345" s="566">
        <f>VLOOKUP($A345,'01-02.2021'!$A$6:$CZ$403,45,FALSE)+VLOOKUP($A345,'1.3.21-28.2.22'!$A$6:$DA$404,45,FALSE)-VLOOKUP($A345,'01-02.2022'!$A$6:$DA$376,45,FALSE)</f>
        <v>32182.598508019644</v>
      </c>
      <c r="AT345" s="566">
        <f>VLOOKUP($A345,'01-02.2021'!$A$6:$CZ$403,46,FALSE)+VLOOKUP($A345,'1.3.21-28.2.22'!$A$6:$DA$404,46,FALSE)-VLOOKUP($A345,'01-02.2022'!$A$6:$DA$376,46,FALSE)</f>
        <v>6017</v>
      </c>
      <c r="AU345" s="78">
        <f t="shared" si="395"/>
        <v>-26165.598508019644</v>
      </c>
      <c r="AV345" s="566">
        <f>VLOOKUP($A345,'01-02.2021'!$A$6:$CZ$403,48,FALSE)+VLOOKUP($A345,'1.3.21-28.2.22'!$A$6:$DA$404,48,FALSE)-VLOOKUP($A345,'01-02.2022'!$A$6:$DA$376,48,FALSE)</f>
        <v>3427.86505534555</v>
      </c>
      <c r="AW345" s="566">
        <f>VLOOKUP($A345,'01-02.2021'!$A$6:$CZ$403,49,FALSE)+VLOOKUP($A345,'1.3.21-28.2.22'!$A$6:$DA$404,49,FALSE)-VLOOKUP($A345,'01-02.2022'!$A$6:$DA$376,49,FALSE)</f>
        <v>625</v>
      </c>
      <c r="AX345" s="55">
        <f t="shared" si="396"/>
        <v>-2802.86505534555</v>
      </c>
      <c r="AY345" s="566">
        <f>VLOOKUP($A345,'01-02.2021'!$A$6:$CZ$403,51,FALSE)+VLOOKUP($A345,'1.3.21-28.2.22'!$A$6:$DA$404,51,FALSE)-VLOOKUP($A345,'01-02.2022'!$A$6:$DA$376,51,FALSE)</f>
        <v>4459.7525304291094</v>
      </c>
      <c r="AZ345" s="566">
        <f>VLOOKUP($A345,'01-02.2021'!$A$6:$CZ$403,52,FALSE)+VLOOKUP($A345,'1.3.21-28.2.22'!$A$6:$DA$404,52,FALSE)-VLOOKUP($A345,'01-02.2022'!$A$6:$DA$376,52,FALSE)</f>
        <v>0</v>
      </c>
      <c r="BA345" s="38">
        <f t="shared" si="397"/>
        <v>-4459.7525304291094</v>
      </c>
      <c r="BB345" s="566">
        <f>VLOOKUP($A345,'01-02.2021'!$A$6:$CZ$403,54,FALSE)+VLOOKUP($A345,'1.3.21-28.2.22'!$A$6:$DA$404,54,FALSE)-VLOOKUP($A345,'01-02.2022'!$A$6:$DA$376,54,FALSE)</f>
        <v>1908.9119762922851</v>
      </c>
      <c r="BC345" s="566">
        <f>VLOOKUP($A345,'01-02.2021'!$A$6:$CZ$403,55,FALSE)+VLOOKUP($A345,'1.3.21-28.2.22'!$A$6:$DA$404,55,FALSE)-VLOOKUP($A345,'01-02.2022'!$A$6:$DA$376,55,FALSE)</f>
        <v>4320</v>
      </c>
      <c r="BD345" s="55">
        <f t="shared" si="398"/>
        <v>2411.0880237077149</v>
      </c>
      <c r="BE345" s="566">
        <f>VLOOKUP($A345,'01-02.2021'!$A$6:$CZ$403,57,FALSE)+VLOOKUP($A345,'1.3.21-28.2.22'!$A$6:$DA$404,57,FALSE)-VLOOKUP($A345,'01-02.2022'!$A$6:$DA$376,57,FALSE)</f>
        <v>0</v>
      </c>
      <c r="BF345" s="566">
        <f>VLOOKUP($A345,'01-02.2021'!$A$6:$CZ$403,58,FALSE)+VLOOKUP($A345,'1.3.21-28.2.22'!$A$6:$DA$404,58,FALSE)-VLOOKUP($A345,'01-02.2022'!$A$6:$DA$376,58,FALSE)</f>
        <v>0</v>
      </c>
      <c r="BG345" s="55">
        <f t="shared" si="399"/>
        <v>0</v>
      </c>
      <c r="BH345" s="566">
        <f>VLOOKUP($A345,'01-02.2021'!$A$6:$CZ$403,60,FALSE)+VLOOKUP($A345,'1.3.21-28.2.22'!$A$6:$DA$404,60,FALSE)-VLOOKUP($A345,'01-02.2022'!$A$6:$DA$376,60,FALSE)</f>
        <v>0</v>
      </c>
      <c r="BI345" s="566">
        <f>VLOOKUP($A345,'01-02.2021'!$A$6:$CZ$403,61,FALSE)+VLOOKUP($A345,'1.3.21-28.2.22'!$A$6:$DA$404,61,FALSE)-VLOOKUP($A345,'01-02.2022'!$A$6:$DA$376,61,FALSE)</f>
        <v>0</v>
      </c>
      <c r="BJ345" s="55">
        <f t="shared" si="400"/>
        <v>0</v>
      </c>
      <c r="BK345" s="566">
        <f>VLOOKUP($A345,'01-02.2021'!$A$6:$CZ$403,63,FALSE)+VLOOKUP($A345,'1.3.21-28.2.22'!$A$6:$DA$404,63,FALSE)-VLOOKUP($A345,'01-02.2022'!$A$6:$DA$376,63,FALSE)</f>
        <v>3539.1294209445177</v>
      </c>
      <c r="BL345" s="566">
        <f>VLOOKUP($A345,'01-02.2021'!$A$6:$CZ$403,64,FALSE)+VLOOKUP($A345,'1.3.21-28.2.22'!$A$6:$DA$404,64,FALSE)-VLOOKUP($A345,'01-02.2022'!$A$6:$DA$376,64,FALSE)</f>
        <v>3766</v>
      </c>
      <c r="BM345" s="55">
        <f t="shared" si="401"/>
        <v>226.87057905548227</v>
      </c>
      <c r="BN345" s="566">
        <f>VLOOKUP($A345,'01-02.2021'!$A$6:$CZ$403,66,FALSE)+VLOOKUP($A345,'1.3.21-28.2.22'!$A$6:$DA$404,66,FALSE)-VLOOKUP($A345,'01-02.2022'!$A$6:$DA$376,66,FALSE)</f>
        <v>165.45499999999998</v>
      </c>
      <c r="BO345" s="566">
        <f>VLOOKUP($A345,'01-02.2021'!$A$6:$CZ$403,67,FALSE)+VLOOKUP($A345,'1.3.21-28.2.22'!$A$6:$DA$404,67,FALSE)-VLOOKUP($A345,'01-02.2022'!$A$6:$DA$376,67,FALSE)</f>
        <v>0</v>
      </c>
      <c r="BP345" s="55">
        <f t="shared" si="402"/>
        <v>-165.45499999999998</v>
      </c>
      <c r="BQ345" s="77">
        <f t="shared" si="409"/>
        <v>13501.113983011461</v>
      </c>
      <c r="BR345" s="40">
        <f t="shared" si="410"/>
        <v>8711</v>
      </c>
      <c r="BS345" s="55">
        <f t="shared" si="369"/>
        <v>-4790.1139830114607</v>
      </c>
      <c r="BT345" s="566">
        <f>VLOOKUP($A345,'01-02.2021'!$A$6:$CZ$403,72,FALSE)+VLOOKUP($A345,'1.3.21-28.2.22'!$A$6:$DA$404,72,FALSE)-VLOOKUP($A345,'01-02.2022'!$A$6:$DA$376,72,FALSE)</f>
        <v>29297.961050842197</v>
      </c>
      <c r="BU345" s="566">
        <f>VLOOKUP($A345,'01-02.2021'!$A$6:$CZ$403,73,FALSE)+VLOOKUP($A345,'1.3.21-28.2.22'!$A$6:$DA$404,73,FALSE)-VLOOKUP($A345,'01-02.2022'!$A$6:$DA$376,73,FALSE)</f>
        <v>37905.269811151506</v>
      </c>
      <c r="BV345" s="70">
        <f t="shared" si="403"/>
        <v>8607.3087603093081</v>
      </c>
      <c r="BW345" s="566">
        <f>VLOOKUP($A345,'01-02.2021'!$A$6:$CZ$403,75,FALSE)+VLOOKUP($A345,'1.3.21-28.2.22'!$A$6:$DA$404,75,FALSE)-VLOOKUP($A345,'01-02.2022'!$A$6:$DA$376,75,FALSE)</f>
        <v>22327.936900009801</v>
      </c>
      <c r="BX345" s="566">
        <f>VLOOKUP($A345,'01-02.2021'!$A$6:$CZ$403,76,FALSE)+VLOOKUP($A345,'1.3.21-28.2.22'!$A$6:$DA$404,76,FALSE)-VLOOKUP($A345,'01-02.2022'!$A$6:$DA$376,76,FALSE)</f>
        <v>20954.756487108742</v>
      </c>
      <c r="BY345" s="70">
        <f t="shared" si="404"/>
        <v>-1373.1804129010598</v>
      </c>
      <c r="BZ345" s="566">
        <f>VLOOKUP($A345,'01-02.2021'!$A$6:$CZ$403,78,FALSE)+VLOOKUP($A345,'1.3.21-28.2.22'!$A$6:$DA$404,78,FALSE)-VLOOKUP($A345,'01-02.2022'!$A$6:$DA$376,78,FALSE)</f>
        <v>13418.219882603064</v>
      </c>
      <c r="CA345" s="566">
        <f>VLOOKUP($A345,'01-02.2021'!$A$6:$CZ$403,79,FALSE)+VLOOKUP($A345,'1.3.21-28.2.22'!$A$6:$DA$404,79,FALSE)-VLOOKUP($A345,'01-02.2022'!$A$6:$DA$376,79,FALSE)</f>
        <v>8735.9038022795557</v>
      </c>
      <c r="CB345" s="70">
        <f t="shared" si="405"/>
        <v>-4682.3160803235078</v>
      </c>
      <c r="CC345" s="566">
        <f>VLOOKUP($A345,'01-02.2021'!$A$6:$CZ$403,81,FALSE)+VLOOKUP($A345,'1.3.21-28.2.22'!$A$6:$DA$404,81,FALSE)-VLOOKUP($A345,'01-02.2022'!$A$6:$DA$376,81,FALSE)</f>
        <v>1969.7560929850395</v>
      </c>
      <c r="CD345" s="566">
        <f>VLOOKUP($A345,'01-02.2021'!$A$6:$CZ$403,82,FALSE)+VLOOKUP($A345,'1.3.21-28.2.22'!$A$6:$DA$404,82,FALSE)-VLOOKUP($A345,'01-02.2022'!$A$6:$DA$376,82,FALSE)</f>
        <v>2152.9296598517572</v>
      </c>
      <c r="CE345" s="70">
        <f t="shared" si="406"/>
        <v>183.17356686671769</v>
      </c>
      <c r="CF345" s="566">
        <f>VLOOKUP($A345,'01-02.2021'!$A$6:$CZ$403,84,FALSE)+VLOOKUP($A345,'1.3.21-28.2.22'!$A$6:$DA$404,84,FALSE)-VLOOKUP($A345,'01-02.2022'!$A$6:$DA$376,84,FALSE)</f>
        <v>239.46442823481658</v>
      </c>
      <c r="CG345" s="566">
        <f>VLOOKUP($A345,'01-02.2021'!$A$6:$CZ$403,85,FALSE)+VLOOKUP($A345,'1.3.21-28.2.22'!$A$6:$DA$404,85,FALSE)-VLOOKUP($A345,'01-02.2022'!$A$6:$DA$376,85,FALSE)</f>
        <v>2201.2767989768927</v>
      </c>
      <c r="CH345" s="70">
        <f t="shared" si="407"/>
        <v>1961.8123707420762</v>
      </c>
      <c r="CI345" s="566">
        <f>VLOOKUP($A345,'01-02.2021'!$A$6:$CZ$403,87,FALSE)+VLOOKUP($A345,'1.3.21-28.2.22'!$A$6:$DA$404,87,FALSE)-VLOOKUP($A345,'01-02.2022'!$A$6:$DA$376,87,FALSE)</f>
        <v>7232.3658507439704</v>
      </c>
      <c r="CJ345" s="566">
        <f>VLOOKUP($A345,'01-02.2021'!$A$6:$CZ$403,88,FALSE)+VLOOKUP($A345,'1.3.21-28.2.22'!$A$6:$DA$404,88,FALSE)-VLOOKUP($A345,'01-02.2022'!$A$6:$DA$376,88,FALSE)</f>
        <v>4850.2283909840062</v>
      </c>
      <c r="CK345" s="70">
        <f t="shared" si="408"/>
        <v>-2382.1374597599643</v>
      </c>
      <c r="CL345" s="566">
        <f>VLOOKUP($A345,'01-02.2021'!$A$6:$CZ$403,90,FALSE)+VLOOKUP($A345,'1.3.21-28.2.22'!$A$6:$DA$404,90,FALSE)-VLOOKUP($A345,'01-02.2022'!$A$6:$DA$376,90,FALSE)</f>
        <v>0</v>
      </c>
      <c r="CM345" s="566">
        <f>VLOOKUP($A345,'01-02.2021'!$A$6:$CZ$403,91,FALSE)+VLOOKUP($A345,'1.3.21-28.2.22'!$A$6:$DA$404,91,FALSE)-VLOOKUP($A345,'01-02.2022'!$A$6:$DA$376,91,FALSE)</f>
        <v>0</v>
      </c>
      <c r="CN345" s="52">
        <f t="shared" si="360"/>
        <v>0</v>
      </c>
      <c r="CO345" s="39">
        <f t="shared" si="355"/>
        <v>7232.3658507439704</v>
      </c>
      <c r="CP345" s="40">
        <f t="shared" si="361"/>
        <v>4850.2283909840062</v>
      </c>
      <c r="CQ345" s="52">
        <f t="shared" si="362"/>
        <v>-2382.1374597599643</v>
      </c>
      <c r="CR345" s="72">
        <f t="shared" si="356"/>
        <v>166423.44293112855</v>
      </c>
      <c r="CS345" s="5">
        <f t="shared" si="356"/>
        <v>138434.9787726964</v>
      </c>
      <c r="CT345" s="52">
        <f t="shared" si="363"/>
        <v>-27988.464158432151</v>
      </c>
      <c r="CU345" s="77">
        <f t="shared" si="364"/>
        <v>199708.13151735425</v>
      </c>
      <c r="CV345" s="65">
        <f t="shared" si="365"/>
        <v>166121.97452723567</v>
      </c>
      <c r="CW345" s="35">
        <f t="shared" si="366"/>
        <v>-33586.156990118587</v>
      </c>
      <c r="CX345" s="566">
        <f>VLOOKUP($A345,'01-02.2021'!$A$6:$CZ$403,102,FALSE)+VLOOKUP($A345,'1.3.21-28.2.22'!$A$6:$DA$404,102,FALSE)-VLOOKUP($A345,'01-02.2022'!$A$6:$DA$376,102,FALSE)</f>
        <v>6948.8570314284043</v>
      </c>
      <c r="CY345" s="566">
        <f>VLOOKUP($A345,'01-02.2021'!$A$6:$CZ$403,103,FALSE)+VLOOKUP($A345,'1.3.21-28.2.22'!$A$6:$DA$404,103,FALSE)-VLOOKUP($A345,'01-02.2022'!$A$6:$DA$376,103,FALSE)</f>
        <v>40535.014021546973</v>
      </c>
      <c r="CZ345" s="52">
        <f t="shared" si="367"/>
        <v>33586.156990118572</v>
      </c>
      <c r="DA345" s="150">
        <f>'[2]побудинковий звіт'!DA345</f>
        <v>22766.714205542907</v>
      </c>
      <c r="DB345" s="2">
        <v>2</v>
      </c>
      <c r="DC345" s="414">
        <f>'[4]побудинковий звіт'!DC345</f>
        <v>33136.089999999997</v>
      </c>
      <c r="DD345" s="414">
        <f>'[4]побудинковий звіт'!DD345</f>
        <v>10327.470000000001</v>
      </c>
      <c r="DE345" s="557">
        <f>'[4]побудинковий звіт'!DE345</f>
        <v>17206.399132593444</v>
      </c>
      <c r="DF345" s="557">
        <f>'[4]побудинковий звіт'!DF345</f>
        <v>7399.2983336829302</v>
      </c>
      <c r="DG345" s="321">
        <f>VLOOKUP(A345,'кошти 01.03.2021'!$A$6:$D$401,4,)</f>
        <v>-17553.061402469677</v>
      </c>
      <c r="DH345" s="40">
        <f>'[3]побудинковий звіт'!DJ345</f>
        <v>214403.64233482812</v>
      </c>
      <c r="DI345" s="422">
        <f>'[3]побудинковий звіт'!CU345+'[3]побудинковий звіт'!CX345</f>
        <v>18857.862533723623</v>
      </c>
      <c r="DJ345" s="306">
        <f>'[3]побудинковий звіт'!DM345</f>
        <v>5.7206388233162944</v>
      </c>
      <c r="DK345" s="306">
        <f t="shared" si="377"/>
        <v>5.7206388233162944</v>
      </c>
      <c r="DL345" s="306">
        <f>'[3]побудинковий звіт'!DO345</f>
        <v>4.7473600296969378</v>
      </c>
      <c r="DM345" s="28">
        <f t="shared" si="379"/>
        <v>15929.690867406553</v>
      </c>
      <c r="DN345" s="28">
        <f t="shared" si="380"/>
        <v>2928.171666317071</v>
      </c>
      <c r="DO345" s="423">
        <f t="shared" si="381"/>
        <v>18857.862533723623</v>
      </c>
      <c r="DP345" s="94">
        <f t="shared" si="382"/>
        <v>0</v>
      </c>
      <c r="DQ345" s="28">
        <f t="shared" si="383"/>
        <v>18857.862533723623</v>
      </c>
      <c r="DR345" s="318"/>
      <c r="DT345" s="8"/>
      <c r="DU345" s="5"/>
      <c r="DX345" s="5">
        <f t="shared" si="384"/>
        <v>54820.454989237325</v>
      </c>
      <c r="DY345" s="5">
        <f t="shared" si="385"/>
        <v>17673.599999999999</v>
      </c>
      <c r="DZ345" s="159">
        <f>'[3]побудинковий звіт'!EA345</f>
        <v>4827.0266799038445</v>
      </c>
    </row>
    <row r="346" spans="1:130" x14ac:dyDescent="0.3">
      <c r="A346" s="325">
        <v>150000872</v>
      </c>
      <c r="B346" s="41" t="s">
        <v>792</v>
      </c>
      <c r="C346" s="42" t="s">
        <v>234</v>
      </c>
      <c r="D346" s="42"/>
      <c r="E346" s="293">
        <f t="shared" si="353"/>
        <v>1210.4000000000001</v>
      </c>
      <c r="F346" s="305">
        <f>'[3]побудинковий звіт'!F346</f>
        <v>1113.4000000000001</v>
      </c>
      <c r="G346" s="508">
        <f>'[3]побудинковий звіт'!G346</f>
        <v>0</v>
      </c>
      <c r="H346" s="560">
        <f>'[3]побудинковий звіт'!H346</f>
        <v>97</v>
      </c>
      <c r="I346" s="566">
        <f>VLOOKUP($A346,'01-02.2021'!$A$6:$CZ$403,9,FALSE)+VLOOKUP($A346,'1.3.21-28.2.22'!$A$6:$DA$404,9,FALSE)-VLOOKUP($A346,'01-02.2022'!$A$6:$DA$376,9,FALSE)</f>
        <v>7107.9825064911656</v>
      </c>
      <c r="J346" s="566">
        <f>VLOOKUP($A346,'01-02.2021'!$A$6:$CZ$403,10,FALSE)+VLOOKUP($A346,'1.3.21-28.2.22'!$A$6:$DA$404,10,FALSE)-VLOOKUP($A346,'01-02.2022'!$A$6:$DA$376,10,FALSE)</f>
        <v>7688.1052378884715</v>
      </c>
      <c r="K346" s="52">
        <f t="shared" si="357"/>
        <v>580.12273139730587</v>
      </c>
      <c r="L346" s="566">
        <f>VLOOKUP($A346,'01-02.2021'!$A$6:$CZ$403,12,FALSE)+VLOOKUP($A346,'1.3.21-28.2.22'!$A$6:$DA$404,12,FALSE)-VLOOKUP($A346,'01-02.2022'!$A$6:$DA$376,12,FALSE)</f>
        <v>1815.6850580035618</v>
      </c>
      <c r="M346" s="566">
        <f>VLOOKUP($A346,'01-02.2021'!$A$6:$CZ$403,13,FALSE)+VLOOKUP($A346,'1.3.21-28.2.22'!$A$6:$DA$404,13,FALSE)-VLOOKUP($A346,'01-02.2022'!$A$6:$DA$376,13,FALSE)</f>
        <v>1999.1361048667015</v>
      </c>
      <c r="N346" s="52">
        <f t="shared" si="358"/>
        <v>183.45104686313971</v>
      </c>
      <c r="O346" s="566">
        <f>VLOOKUP($A346,'01-02.2021'!$A$6:$CZ$403,15,FALSE)+VLOOKUP($A346,'1.3.21-28.2.22'!$A$6:$DA$404,15,FALSE)-VLOOKUP($A346,'01-02.2022'!$A$6:$DA$376,15,FALSE)</f>
        <v>1533.1800116401255</v>
      </c>
      <c r="P346" s="566">
        <f>VLOOKUP($A346,'01-02.2021'!$A$6:$CZ$403,16,FALSE)+VLOOKUP($A346,'1.3.21-28.2.22'!$A$6:$DA$404,16,FALSE)-VLOOKUP($A346,'01-02.2022'!$A$6:$DA$376,16,FALSE)</f>
        <v>1533.1600000000005</v>
      </c>
      <c r="Q346" s="70">
        <f t="shared" si="386"/>
        <v>-2.0011640124948826E-2</v>
      </c>
      <c r="R346" s="566">
        <f>VLOOKUP($A346,'01-02.2021'!$A$6:$CZ$403,18,FALSE)+VLOOKUP($A346,'1.3.21-28.2.22'!$A$6:$DA$404,18,FALSE)-VLOOKUP($A346,'01-02.2022'!$A$6:$DA$376,18,FALSE)</f>
        <v>373.67791035468338</v>
      </c>
      <c r="S346" s="566">
        <f>VLOOKUP($A346,'01-02.2021'!$A$6:$CZ$403,19,FALSE)+VLOOKUP($A346,'1.3.21-28.2.22'!$A$6:$DA$404,19,FALSE)-VLOOKUP($A346,'01-02.2022'!$A$6:$DA$376,19,FALSE)</f>
        <v>373.69000000000011</v>
      </c>
      <c r="T346" s="70">
        <f t="shared" si="387"/>
        <v>1.2089645316734732E-2</v>
      </c>
      <c r="U346" s="566">
        <f>VLOOKUP($A346,'01-02.2021'!$A$6:$CZ$403,21,FALSE)+VLOOKUP($A346,'1.3.21-28.2.22'!$A$6:$DA$404,21,FALSE)-VLOOKUP($A346,'01-02.2022'!$A$6:$DA$376,21,FALSE)</f>
        <v>0</v>
      </c>
      <c r="V346" s="566">
        <f>VLOOKUP($A346,'01-02.2021'!$A$6:$CZ$403,22,FALSE)+VLOOKUP($A346,'1.3.21-28.2.22'!$A$6:$DA$404,22,FALSE)-VLOOKUP($A346,'01-02.2022'!$A$6:$DA$376,22,FALSE)</f>
        <v>0</v>
      </c>
      <c r="W346" s="70">
        <f t="shared" si="388"/>
        <v>0</v>
      </c>
      <c r="X346" s="566">
        <f>VLOOKUP($A346,'01-02.2021'!$A$6:$CZ$403,24,FALSE)+VLOOKUP($A346,'1.3.21-28.2.22'!$A$6:$DA$404,24,FALSE)-VLOOKUP($A346,'01-02.2022'!$A$6:$DA$376,24,FALSE)</f>
        <v>2569.6031070608233</v>
      </c>
      <c r="Y346" s="566">
        <f>VLOOKUP($A346,'01-02.2021'!$A$6:$CZ$403,25,FALSE)+VLOOKUP($A346,'1.3.21-28.2.22'!$A$6:$DA$404,25,FALSE)-VLOOKUP($A346,'01-02.2022'!$A$6:$DA$376,25,FALSE)</f>
        <v>2220.7373661381866</v>
      </c>
      <c r="Z346" s="70">
        <f t="shared" si="389"/>
        <v>-348.86574092263663</v>
      </c>
      <c r="AA346" s="566">
        <f>VLOOKUP($A346,'01-02.2021'!$A$6:$CZ$403,27,FALSE)+VLOOKUP($A346,'1.3.21-28.2.22'!$A$6:$DA$404,27,FALSE)-VLOOKUP($A346,'01-02.2022'!$A$6:$DA$376,27,FALSE)</f>
        <v>241.87800000000001</v>
      </c>
      <c r="AB346" s="566">
        <f>VLOOKUP($A346,'01-02.2021'!$A$6:$CZ$403,28,FALSE)+VLOOKUP($A346,'1.3.21-28.2.22'!$A$6:$DA$404,28,FALSE)-VLOOKUP($A346,'01-02.2022'!$A$6:$DA$376,28,FALSE)</f>
        <v>0</v>
      </c>
      <c r="AC346" s="70">
        <f t="shared" si="390"/>
        <v>-241.87800000000001</v>
      </c>
      <c r="AD346" s="566">
        <f>VLOOKUP($A346,'01-02.2021'!$A$6:$CZ$403,30,FALSE)+VLOOKUP($A346,'1.3.21-28.2.22'!$A$6:$DA$404,30,FALSE)-VLOOKUP($A346,'01-02.2022'!$A$6:$DA$376,30,FALSE)</f>
        <v>5187.7099361531136</v>
      </c>
      <c r="AE346" s="566">
        <f>VLOOKUP($A346,'01-02.2021'!$A$6:$CZ$403,31,FALSE)+VLOOKUP($A346,'1.3.21-28.2.22'!$A$6:$DA$404,31,FALSE)-VLOOKUP($A346,'01-02.2022'!$A$6:$DA$376,31,FALSE)</f>
        <v>5509.7895697398317</v>
      </c>
      <c r="AF346" s="68">
        <f t="shared" si="391"/>
        <v>322.07963358671805</v>
      </c>
      <c r="AG346" s="77">
        <f t="shared" si="354"/>
        <v>18829.716529703473</v>
      </c>
      <c r="AH346" s="53">
        <f t="shared" si="354"/>
        <v>19324.618278633192</v>
      </c>
      <c r="AI346" s="52">
        <f t="shared" si="359"/>
        <v>494.90174892971845</v>
      </c>
      <c r="AJ346" s="566">
        <f>VLOOKUP($A346,'01-02.2021'!$A$6:$CZ$403,36,FALSE)+VLOOKUP($A346,'1.3.21-28.2.22'!$A$6:$DA$404,36,FALSE)-VLOOKUP($A346,'01-02.2022'!$A$6:$DA$376,36,FALSE)</f>
        <v>0</v>
      </c>
      <c r="AK346" s="566">
        <f>VLOOKUP($A346,'01-02.2021'!$A$6:$CZ$403,37,FALSE)+VLOOKUP($A346,'1.3.21-28.2.22'!$A$6:$DA$404,37,FALSE)-VLOOKUP($A346,'01-02.2022'!$A$6:$DA$376,37,FALSE)</f>
        <v>0</v>
      </c>
      <c r="AL346" s="70">
        <f t="shared" si="392"/>
        <v>0</v>
      </c>
      <c r="AM346" s="566">
        <f>VLOOKUP($A346,'01-02.2021'!$A$6:$CZ$403,39,FALSE)+VLOOKUP($A346,'1.3.21-28.2.22'!$A$6:$DA$404,39,FALSE)-VLOOKUP($A346,'01-02.2022'!$A$6:$DA$376,39,FALSE)</f>
        <v>0</v>
      </c>
      <c r="AN346" s="566">
        <f>VLOOKUP($A346,'01-02.2021'!$A$6:$CZ$403,40,FALSE)+VLOOKUP($A346,'1.3.21-28.2.22'!$A$6:$DA$404,40,FALSE)-VLOOKUP($A346,'01-02.2022'!$A$6:$DA$376,40,FALSE)</f>
        <v>0</v>
      </c>
      <c r="AO346" s="70">
        <f t="shared" si="393"/>
        <v>0</v>
      </c>
      <c r="AP346" s="566">
        <f>VLOOKUP($A346,'01-02.2021'!$A$6:$CZ$403,42,FALSE)+VLOOKUP($A346,'1.3.21-28.2.22'!$A$6:$DA$404,42,FALSE)-VLOOKUP($A346,'01-02.2022'!$A$6:$DA$376,42,FALSE)</f>
        <v>910.97986877236031</v>
      </c>
      <c r="AQ346" s="566">
        <f>VLOOKUP($A346,'01-02.2021'!$A$6:$CZ$403,43,FALSE)+VLOOKUP($A346,'1.3.21-28.2.22'!$A$6:$DA$404,43,FALSE)-VLOOKUP($A346,'01-02.2022'!$A$6:$DA$376,43,FALSE)</f>
        <v>780.77835433654559</v>
      </c>
      <c r="AR346" s="70">
        <f t="shared" si="394"/>
        <v>-130.20151443581472</v>
      </c>
      <c r="AS346" s="566">
        <f>VLOOKUP($A346,'01-02.2021'!$A$6:$CZ$403,45,FALSE)+VLOOKUP($A346,'1.3.21-28.2.22'!$A$6:$DA$404,45,FALSE)-VLOOKUP($A346,'01-02.2022'!$A$6:$DA$376,45,FALSE)</f>
        <v>10297.121617232984</v>
      </c>
      <c r="AT346" s="566">
        <f>VLOOKUP($A346,'01-02.2021'!$A$6:$CZ$403,46,FALSE)+VLOOKUP($A346,'1.3.21-28.2.22'!$A$6:$DA$404,46,FALSE)-VLOOKUP($A346,'01-02.2022'!$A$6:$DA$376,46,FALSE)</f>
        <v>6471.1</v>
      </c>
      <c r="AU346" s="78">
        <f t="shared" si="395"/>
        <v>-3826.0216172329838</v>
      </c>
      <c r="AV346" s="566">
        <f>VLOOKUP($A346,'01-02.2021'!$A$6:$CZ$403,48,FALSE)+VLOOKUP($A346,'1.3.21-28.2.22'!$A$6:$DA$404,48,FALSE)-VLOOKUP($A346,'01-02.2022'!$A$6:$DA$376,48,FALSE)</f>
        <v>2300.2859335451026</v>
      </c>
      <c r="AW346" s="566">
        <f>VLOOKUP($A346,'01-02.2021'!$A$6:$CZ$403,49,FALSE)+VLOOKUP($A346,'1.3.21-28.2.22'!$A$6:$DA$404,49,FALSE)-VLOOKUP($A346,'01-02.2022'!$A$6:$DA$376,49,FALSE)</f>
        <v>0</v>
      </c>
      <c r="AX346" s="55">
        <f t="shared" si="396"/>
        <v>-2300.2859335451026</v>
      </c>
      <c r="AY346" s="566">
        <f>VLOOKUP($A346,'01-02.2021'!$A$6:$CZ$403,51,FALSE)+VLOOKUP($A346,'1.3.21-28.2.22'!$A$6:$DA$404,51,FALSE)-VLOOKUP($A346,'01-02.2022'!$A$6:$DA$376,51,FALSE)</f>
        <v>3413.2205547790995</v>
      </c>
      <c r="AZ346" s="566">
        <f>VLOOKUP($A346,'01-02.2021'!$A$6:$CZ$403,52,FALSE)+VLOOKUP($A346,'1.3.21-28.2.22'!$A$6:$DA$404,52,FALSE)-VLOOKUP($A346,'01-02.2022'!$A$6:$DA$376,52,FALSE)</f>
        <v>0</v>
      </c>
      <c r="BA346" s="38">
        <f t="shared" si="397"/>
        <v>-3413.2205547790995</v>
      </c>
      <c r="BB346" s="566">
        <f>VLOOKUP($A346,'01-02.2021'!$A$6:$CZ$403,54,FALSE)+VLOOKUP($A346,'1.3.21-28.2.22'!$A$6:$DA$404,54,FALSE)-VLOOKUP($A346,'01-02.2022'!$A$6:$DA$376,54,FALSE)</f>
        <v>780.15211334689764</v>
      </c>
      <c r="BC346" s="566">
        <f>VLOOKUP($A346,'01-02.2021'!$A$6:$CZ$403,55,FALSE)+VLOOKUP($A346,'1.3.21-28.2.22'!$A$6:$DA$404,55,FALSE)-VLOOKUP($A346,'01-02.2022'!$A$6:$DA$376,55,FALSE)</f>
        <v>1402</v>
      </c>
      <c r="BD346" s="55">
        <f t="shared" si="398"/>
        <v>621.84788665310236</v>
      </c>
      <c r="BE346" s="566">
        <f>VLOOKUP($A346,'01-02.2021'!$A$6:$CZ$403,57,FALSE)+VLOOKUP($A346,'1.3.21-28.2.22'!$A$6:$DA$404,57,FALSE)-VLOOKUP($A346,'01-02.2022'!$A$6:$DA$376,57,FALSE)</f>
        <v>880.19422265456149</v>
      </c>
      <c r="BF346" s="566">
        <f>VLOOKUP($A346,'01-02.2021'!$A$6:$CZ$403,58,FALSE)+VLOOKUP($A346,'1.3.21-28.2.22'!$A$6:$DA$404,58,FALSE)-VLOOKUP($A346,'01-02.2022'!$A$6:$DA$376,58,FALSE)</f>
        <v>0</v>
      </c>
      <c r="BG346" s="55">
        <f t="shared" si="399"/>
        <v>-880.19422265456149</v>
      </c>
      <c r="BH346" s="566">
        <f>VLOOKUP($A346,'01-02.2021'!$A$6:$CZ$403,60,FALSE)+VLOOKUP($A346,'1.3.21-28.2.22'!$A$6:$DA$404,60,FALSE)-VLOOKUP($A346,'01-02.2022'!$A$6:$DA$376,60,FALSE)</f>
        <v>0</v>
      </c>
      <c r="BI346" s="566">
        <f>VLOOKUP($A346,'01-02.2021'!$A$6:$CZ$403,61,FALSE)+VLOOKUP($A346,'1.3.21-28.2.22'!$A$6:$DA$404,61,FALSE)-VLOOKUP($A346,'01-02.2022'!$A$6:$DA$376,61,FALSE)</f>
        <v>0</v>
      </c>
      <c r="BJ346" s="55">
        <f t="shared" si="400"/>
        <v>0</v>
      </c>
      <c r="BK346" s="566">
        <f>VLOOKUP($A346,'01-02.2021'!$A$6:$CZ$403,63,FALSE)+VLOOKUP($A346,'1.3.21-28.2.22'!$A$6:$DA$404,63,FALSE)-VLOOKUP($A346,'01-02.2022'!$A$6:$DA$376,63,FALSE)</f>
        <v>578.77864261316813</v>
      </c>
      <c r="BL346" s="566">
        <f>VLOOKUP($A346,'01-02.2021'!$A$6:$CZ$403,64,FALSE)+VLOOKUP($A346,'1.3.21-28.2.22'!$A$6:$DA$404,64,FALSE)-VLOOKUP($A346,'01-02.2022'!$A$6:$DA$376,64,FALSE)</f>
        <v>709</v>
      </c>
      <c r="BM346" s="55">
        <f t="shared" si="401"/>
        <v>130.22135738683187</v>
      </c>
      <c r="BN346" s="566">
        <f>VLOOKUP($A346,'01-02.2021'!$A$6:$CZ$403,66,FALSE)+VLOOKUP($A346,'1.3.21-28.2.22'!$A$6:$DA$404,66,FALSE)-VLOOKUP($A346,'01-02.2022'!$A$6:$DA$376,66,FALSE)</f>
        <v>60.469500000000004</v>
      </c>
      <c r="BO346" s="566">
        <f>VLOOKUP($A346,'01-02.2021'!$A$6:$CZ$403,67,FALSE)+VLOOKUP($A346,'1.3.21-28.2.22'!$A$6:$DA$404,67,FALSE)-VLOOKUP($A346,'01-02.2022'!$A$6:$DA$376,67,FALSE)</f>
        <v>0</v>
      </c>
      <c r="BP346" s="55">
        <f t="shared" si="402"/>
        <v>-60.469500000000004</v>
      </c>
      <c r="BQ346" s="77">
        <f t="shared" si="409"/>
        <v>8013.1009669388295</v>
      </c>
      <c r="BR346" s="40">
        <f t="shared" si="410"/>
        <v>2111</v>
      </c>
      <c r="BS346" s="55">
        <f t="shared" si="369"/>
        <v>-5902.1009669388295</v>
      </c>
      <c r="BT346" s="566">
        <f>VLOOKUP($A346,'01-02.2021'!$A$6:$CZ$403,72,FALSE)+VLOOKUP($A346,'1.3.21-28.2.22'!$A$6:$DA$404,72,FALSE)-VLOOKUP($A346,'01-02.2022'!$A$6:$DA$376,72,FALSE)</f>
        <v>15285.008956263833</v>
      </c>
      <c r="BU346" s="566">
        <f>VLOOKUP($A346,'01-02.2021'!$A$6:$CZ$403,73,FALSE)+VLOOKUP($A346,'1.3.21-28.2.22'!$A$6:$DA$404,73,FALSE)-VLOOKUP($A346,'01-02.2022'!$A$6:$DA$376,73,FALSE)</f>
        <v>17882.497715773985</v>
      </c>
      <c r="BV346" s="70">
        <f t="shared" si="403"/>
        <v>2597.4887595101518</v>
      </c>
      <c r="BW346" s="566">
        <f>VLOOKUP($A346,'01-02.2021'!$A$6:$CZ$403,75,FALSE)+VLOOKUP($A346,'1.3.21-28.2.22'!$A$6:$DA$404,75,FALSE)-VLOOKUP($A346,'01-02.2022'!$A$6:$DA$376,75,FALSE)</f>
        <v>6726.1144851506524</v>
      </c>
      <c r="BX346" s="566">
        <f>VLOOKUP($A346,'01-02.2021'!$A$6:$CZ$403,76,FALSE)+VLOOKUP($A346,'1.3.21-28.2.22'!$A$6:$DA$404,76,FALSE)-VLOOKUP($A346,'01-02.2022'!$A$6:$DA$376,76,FALSE)</f>
        <v>6218.5726651157074</v>
      </c>
      <c r="BY346" s="70">
        <f t="shared" si="404"/>
        <v>-507.54182003494498</v>
      </c>
      <c r="BZ346" s="566">
        <f>VLOOKUP($A346,'01-02.2021'!$A$6:$CZ$403,78,FALSE)+VLOOKUP($A346,'1.3.21-28.2.22'!$A$6:$DA$404,78,FALSE)-VLOOKUP($A346,'01-02.2022'!$A$6:$DA$376,78,FALSE)</f>
        <v>4321.0874503723844</v>
      </c>
      <c r="CA346" s="566">
        <f>VLOOKUP($A346,'01-02.2021'!$A$6:$CZ$403,79,FALSE)+VLOOKUP($A346,'1.3.21-28.2.22'!$A$6:$DA$404,79,FALSE)-VLOOKUP($A346,'01-02.2022'!$A$6:$DA$376,79,FALSE)</f>
        <v>3391.3396816896538</v>
      </c>
      <c r="CB346" s="70">
        <f t="shared" si="405"/>
        <v>-929.74776868273057</v>
      </c>
      <c r="CC346" s="566">
        <f>VLOOKUP($A346,'01-02.2021'!$A$6:$CZ$403,81,FALSE)+VLOOKUP($A346,'1.3.21-28.2.22'!$A$6:$DA$404,81,FALSE)-VLOOKUP($A346,'01-02.2022'!$A$6:$DA$376,81,FALSE)</f>
        <v>832.47186444407225</v>
      </c>
      <c r="CD346" s="566">
        <f>VLOOKUP($A346,'01-02.2021'!$A$6:$CZ$403,82,FALSE)+VLOOKUP($A346,'1.3.21-28.2.22'!$A$6:$DA$404,82,FALSE)-VLOOKUP($A346,'01-02.2022'!$A$6:$DA$376,82,FALSE)</f>
        <v>909.88593681042494</v>
      </c>
      <c r="CE346" s="70">
        <f t="shared" si="406"/>
        <v>77.414072366352684</v>
      </c>
      <c r="CF346" s="566">
        <f>VLOOKUP($A346,'01-02.2021'!$A$6:$CZ$403,84,FALSE)+VLOOKUP($A346,'1.3.21-28.2.22'!$A$6:$DA$404,84,FALSE)-VLOOKUP($A346,'01-02.2022'!$A$6:$DA$376,84,FALSE)</f>
        <v>101.20410326467039</v>
      </c>
      <c r="CG346" s="566">
        <f>VLOOKUP($A346,'01-02.2021'!$A$6:$CZ$403,85,FALSE)+VLOOKUP($A346,'1.3.21-28.2.22'!$A$6:$DA$404,85,FALSE)-VLOOKUP($A346,'01-02.2022'!$A$6:$DA$376,85,FALSE)</f>
        <v>0</v>
      </c>
      <c r="CH346" s="70">
        <f t="shared" si="407"/>
        <v>-101.20410326467039</v>
      </c>
      <c r="CI346" s="566">
        <f>VLOOKUP($A346,'01-02.2021'!$A$6:$CZ$403,87,FALSE)+VLOOKUP($A346,'1.3.21-28.2.22'!$A$6:$DA$404,87,FALSE)-VLOOKUP($A346,'01-02.2022'!$A$6:$DA$376,87,FALSE)</f>
        <v>1334.354613795432</v>
      </c>
      <c r="CJ346" s="566">
        <f>VLOOKUP($A346,'01-02.2021'!$A$6:$CZ$403,88,FALSE)+VLOOKUP($A346,'1.3.21-28.2.22'!$A$6:$DA$404,88,FALSE)-VLOOKUP($A346,'01-02.2022'!$A$6:$DA$376,88,FALSE)</f>
        <v>1312.5848019680595</v>
      </c>
      <c r="CK346" s="70">
        <f t="shared" si="408"/>
        <v>-21.76981182737245</v>
      </c>
      <c r="CL346" s="566">
        <f>VLOOKUP($A346,'01-02.2021'!$A$6:$CZ$403,90,FALSE)+VLOOKUP($A346,'1.3.21-28.2.22'!$A$6:$DA$404,90,FALSE)-VLOOKUP($A346,'01-02.2022'!$A$6:$DA$376,90,FALSE)</f>
        <v>0</v>
      </c>
      <c r="CM346" s="566">
        <f>VLOOKUP($A346,'01-02.2021'!$A$6:$CZ$403,91,FALSE)+VLOOKUP($A346,'1.3.21-28.2.22'!$A$6:$DA$404,91,FALSE)-VLOOKUP($A346,'01-02.2022'!$A$6:$DA$376,91,FALSE)</f>
        <v>0</v>
      </c>
      <c r="CN346" s="52">
        <f t="shared" si="360"/>
        <v>0</v>
      </c>
      <c r="CO346" s="39">
        <f t="shared" si="355"/>
        <v>1334.354613795432</v>
      </c>
      <c r="CP346" s="40">
        <f t="shared" si="361"/>
        <v>1312.5848019680595</v>
      </c>
      <c r="CQ346" s="52">
        <f t="shared" si="362"/>
        <v>-21.76981182737245</v>
      </c>
      <c r="CR346" s="72">
        <f t="shared" si="356"/>
        <v>66651.160455938691</v>
      </c>
      <c r="CS346" s="5">
        <f t="shared" si="356"/>
        <v>58402.377434327565</v>
      </c>
      <c r="CT346" s="52">
        <f t="shared" si="363"/>
        <v>-8248.7830216111252</v>
      </c>
      <c r="CU346" s="77">
        <f t="shared" si="364"/>
        <v>79981.392547126423</v>
      </c>
      <c r="CV346" s="65">
        <f t="shared" si="365"/>
        <v>70082.852921193073</v>
      </c>
      <c r="CW346" s="35">
        <f t="shared" si="366"/>
        <v>-9898.5396259333502</v>
      </c>
      <c r="CX346" s="566">
        <f>VLOOKUP($A346,'01-02.2021'!$A$6:$CZ$403,102,FALSE)+VLOOKUP($A346,'1.3.21-28.2.22'!$A$6:$DA$404,102,FALSE)-VLOOKUP($A346,'01-02.2022'!$A$6:$DA$376,102,FALSE)</f>
        <v>2788.4417971724556</v>
      </c>
      <c r="CY346" s="566">
        <f>VLOOKUP($A346,'01-02.2021'!$A$6:$CZ$403,103,FALSE)+VLOOKUP($A346,'1.3.21-28.2.22'!$A$6:$DA$404,103,FALSE)-VLOOKUP($A346,'01-02.2022'!$A$6:$DA$376,103,FALSE)</f>
        <v>12686.981423105803</v>
      </c>
      <c r="CZ346" s="52">
        <f t="shared" si="367"/>
        <v>9898.5396259333465</v>
      </c>
      <c r="DA346" s="150">
        <f>'[2]побудинковий звіт'!DA346</f>
        <v>-8772.0280179964102</v>
      </c>
      <c r="DB346" s="2">
        <v>2</v>
      </c>
      <c r="DC346" s="414">
        <f>'[4]побудинковий звіт'!DC346</f>
        <v>10025.35</v>
      </c>
      <c r="DD346" s="414">
        <f>'[4]побудинковий звіт'!DD346</f>
        <v>-1.55</v>
      </c>
      <c r="DE346" s="557">
        <f>'[4]побудинковий звіт'!DE346</f>
        <v>3039.2881201728924</v>
      </c>
      <c r="DF346" s="557">
        <f>'[4]побудинковий звіт'!DF346</f>
        <v>-538.78488966219379</v>
      </c>
      <c r="DG346" s="321">
        <f>VLOOKUP(A346,'кошти 01.03.2021'!$A$6:$D$401,4,)</f>
        <v>-717.85689472333343</v>
      </c>
      <c r="DH346" s="40">
        <f>'[3]побудинковий звіт'!DJ346</f>
        <v>85730.051901142389</v>
      </c>
      <c r="DI346" s="422">
        <f>'[3]побудинковий звіт'!CU346+'[3]побудинковий звіт'!CX346</f>
        <v>7523.2967694893014</v>
      </c>
      <c r="DJ346" s="306">
        <f>'[3]побудинковий звіт'!DM346</f>
        <v>6.2745301597153826</v>
      </c>
      <c r="DK346" s="306">
        <f t="shared" si="377"/>
        <v>6.2745301597153826</v>
      </c>
      <c r="DL346" s="306">
        <f>'[3]побудинковий звіт'!DO346</f>
        <v>5.5385040171360194</v>
      </c>
      <c r="DM346" s="28">
        <f t="shared" si="379"/>
        <v>6986.061879827108</v>
      </c>
      <c r="DN346" s="28">
        <f t="shared" si="380"/>
        <v>537.23488966219384</v>
      </c>
      <c r="DO346" s="423">
        <f t="shared" si="381"/>
        <v>7523.2967694893014</v>
      </c>
      <c r="DP346" s="94">
        <f t="shared" si="382"/>
        <v>0</v>
      </c>
      <c r="DQ346" s="28">
        <f t="shared" si="383"/>
        <v>7523.2967694893014</v>
      </c>
      <c r="DR346" s="318"/>
      <c r="DT346" s="8"/>
      <c r="DU346" s="5"/>
      <c r="DX346" s="5">
        <f t="shared" si="384"/>
        <v>21972.267101006175</v>
      </c>
      <c r="DY346" s="5">
        <f t="shared" si="385"/>
        <v>10298.52</v>
      </c>
      <c r="DZ346" s="159">
        <f>'[3]побудинковий звіт'!EA346</f>
        <v>1816.30793498253</v>
      </c>
    </row>
    <row r="347" spans="1:130" x14ac:dyDescent="0.3">
      <c r="A347" s="325">
        <v>150000862</v>
      </c>
      <c r="B347" s="41" t="s">
        <v>793</v>
      </c>
      <c r="C347" s="42" t="s">
        <v>235</v>
      </c>
      <c r="D347" s="42"/>
      <c r="E347" s="293">
        <f t="shared" si="353"/>
        <v>4486.1000000000004</v>
      </c>
      <c r="F347" s="305">
        <f>'[3]побудинковий звіт'!F347</f>
        <v>3517.1</v>
      </c>
      <c r="G347" s="508">
        <f>'[3]побудинковий звіт'!G347</f>
        <v>0</v>
      </c>
      <c r="H347" s="560">
        <f>'[3]побудинковий звіт'!H347</f>
        <v>969</v>
      </c>
      <c r="I347" s="566">
        <f>VLOOKUP($A347,'01-02.2021'!$A$6:$CZ$403,9,FALSE)+VLOOKUP($A347,'1.3.21-28.2.22'!$A$6:$DA$404,9,FALSE)-VLOOKUP($A347,'01-02.2022'!$A$6:$DA$376,9,FALSE)</f>
        <v>13323.86972490522</v>
      </c>
      <c r="J347" s="566">
        <f>VLOOKUP($A347,'01-02.2021'!$A$6:$CZ$403,10,FALSE)+VLOOKUP($A347,'1.3.21-28.2.22'!$A$6:$DA$404,10,FALSE)-VLOOKUP($A347,'01-02.2022'!$A$6:$DA$376,10,FALSE)</f>
        <v>14629.901839557073</v>
      </c>
      <c r="K347" s="52">
        <f t="shared" si="357"/>
        <v>1306.0321146518527</v>
      </c>
      <c r="L347" s="566">
        <f>VLOOKUP($A347,'01-02.2021'!$A$6:$CZ$403,12,FALSE)+VLOOKUP($A347,'1.3.21-28.2.22'!$A$6:$DA$404,12,FALSE)-VLOOKUP($A347,'01-02.2022'!$A$6:$DA$376,12,FALSE)</f>
        <v>2783.8027607634458</v>
      </c>
      <c r="M347" s="566">
        <f>VLOOKUP($A347,'01-02.2021'!$A$6:$CZ$403,13,FALSE)+VLOOKUP($A347,'1.3.21-28.2.22'!$A$6:$DA$404,13,FALSE)-VLOOKUP($A347,'01-02.2022'!$A$6:$DA$376,13,FALSE)</f>
        <v>3065.0676481942214</v>
      </c>
      <c r="N347" s="52">
        <f t="shared" si="358"/>
        <v>281.26488743077562</v>
      </c>
      <c r="O347" s="566">
        <f>VLOOKUP($A347,'01-02.2021'!$A$6:$CZ$403,15,FALSE)+VLOOKUP($A347,'1.3.21-28.2.22'!$A$6:$DA$404,15,FALSE)-VLOOKUP($A347,'01-02.2022'!$A$6:$DA$376,15,FALSE)</f>
        <v>4985.1088814976329</v>
      </c>
      <c r="P347" s="566">
        <f>VLOOKUP($A347,'01-02.2021'!$A$6:$CZ$403,16,FALSE)+VLOOKUP($A347,'1.3.21-28.2.22'!$A$6:$DA$404,16,FALSE)-VLOOKUP($A347,'01-02.2022'!$A$6:$DA$376,16,FALSE)</f>
        <v>4985.08</v>
      </c>
      <c r="Q347" s="70">
        <f t="shared" si="386"/>
        <v>-2.888149763293768E-2</v>
      </c>
      <c r="R347" s="566">
        <f>VLOOKUP($A347,'01-02.2021'!$A$6:$CZ$403,18,FALSE)+VLOOKUP($A347,'1.3.21-28.2.22'!$A$6:$DA$404,18,FALSE)-VLOOKUP($A347,'01-02.2022'!$A$6:$DA$376,18,FALSE)</f>
        <v>0</v>
      </c>
      <c r="S347" s="566">
        <f>VLOOKUP($A347,'01-02.2021'!$A$6:$CZ$403,19,FALSE)+VLOOKUP($A347,'1.3.21-28.2.22'!$A$6:$DA$404,19,FALSE)-VLOOKUP($A347,'01-02.2022'!$A$6:$DA$376,19,FALSE)</f>
        <v>0</v>
      </c>
      <c r="T347" s="70">
        <f t="shared" si="387"/>
        <v>0</v>
      </c>
      <c r="U347" s="566">
        <f>VLOOKUP($A347,'01-02.2021'!$A$6:$CZ$403,21,FALSE)+VLOOKUP($A347,'1.3.21-28.2.22'!$A$6:$DA$404,21,FALSE)-VLOOKUP($A347,'01-02.2022'!$A$6:$DA$376,21,FALSE)</f>
        <v>0</v>
      </c>
      <c r="V347" s="566">
        <f>VLOOKUP($A347,'01-02.2021'!$A$6:$CZ$403,22,FALSE)+VLOOKUP($A347,'1.3.21-28.2.22'!$A$6:$DA$404,22,FALSE)-VLOOKUP($A347,'01-02.2022'!$A$6:$DA$376,22,FALSE)</f>
        <v>0</v>
      </c>
      <c r="W347" s="70">
        <f t="shared" si="388"/>
        <v>0</v>
      </c>
      <c r="X347" s="566">
        <f>VLOOKUP($A347,'01-02.2021'!$A$6:$CZ$403,24,FALSE)+VLOOKUP($A347,'1.3.21-28.2.22'!$A$6:$DA$404,24,FALSE)-VLOOKUP($A347,'01-02.2022'!$A$6:$DA$376,24,FALSE)</f>
        <v>12103.215968173947</v>
      </c>
      <c r="Y347" s="566">
        <f>VLOOKUP($A347,'01-02.2021'!$A$6:$CZ$403,25,FALSE)+VLOOKUP($A347,'1.3.21-28.2.22'!$A$6:$DA$404,25,FALSE)-VLOOKUP($A347,'01-02.2022'!$A$6:$DA$376,25,FALSE)</f>
        <v>12178.335406646431</v>
      </c>
      <c r="Z347" s="70">
        <f t="shared" si="389"/>
        <v>75.119438472484035</v>
      </c>
      <c r="AA347" s="566">
        <f>VLOOKUP($A347,'01-02.2021'!$A$6:$CZ$403,27,FALSE)+VLOOKUP($A347,'1.3.21-28.2.22'!$A$6:$DA$404,27,FALSE)-VLOOKUP($A347,'01-02.2022'!$A$6:$DA$376,27,FALSE)</f>
        <v>870.22</v>
      </c>
      <c r="AB347" s="566">
        <f>VLOOKUP($A347,'01-02.2021'!$A$6:$CZ$403,28,FALSE)+VLOOKUP($A347,'1.3.21-28.2.22'!$A$6:$DA$404,28,FALSE)-VLOOKUP($A347,'01-02.2022'!$A$6:$DA$376,28,FALSE)</f>
        <v>0</v>
      </c>
      <c r="AC347" s="70">
        <f t="shared" si="390"/>
        <v>-870.22</v>
      </c>
      <c r="AD347" s="566">
        <f>VLOOKUP($A347,'01-02.2021'!$A$6:$CZ$403,30,FALSE)+VLOOKUP($A347,'1.3.21-28.2.22'!$A$6:$DA$404,30,FALSE)-VLOOKUP($A347,'01-02.2022'!$A$6:$DA$376,30,FALSE)</f>
        <v>18943.213964581351</v>
      </c>
      <c r="AE347" s="566">
        <f>VLOOKUP($A347,'01-02.2021'!$A$6:$CZ$403,31,FALSE)+VLOOKUP($A347,'1.3.21-28.2.22'!$A$6:$DA$404,31,FALSE)-VLOOKUP($A347,'01-02.2022'!$A$6:$DA$376,31,FALSE)</f>
        <v>19718.853704383953</v>
      </c>
      <c r="AF347" s="68">
        <f t="shared" si="391"/>
        <v>775.63973980260198</v>
      </c>
      <c r="AG347" s="77">
        <f t="shared" si="354"/>
        <v>53009.431299921598</v>
      </c>
      <c r="AH347" s="53">
        <f t="shared" si="354"/>
        <v>54577.238598781682</v>
      </c>
      <c r="AI347" s="52">
        <f t="shared" si="359"/>
        <v>1567.8072988600834</v>
      </c>
      <c r="AJ347" s="566">
        <f>VLOOKUP($A347,'01-02.2021'!$A$6:$CZ$403,36,FALSE)+VLOOKUP($A347,'1.3.21-28.2.22'!$A$6:$DA$404,36,FALSE)-VLOOKUP($A347,'01-02.2022'!$A$6:$DA$376,36,FALSE)</f>
        <v>0</v>
      </c>
      <c r="AK347" s="566">
        <f>VLOOKUP($A347,'01-02.2021'!$A$6:$CZ$403,37,FALSE)+VLOOKUP($A347,'1.3.21-28.2.22'!$A$6:$DA$404,37,FALSE)-VLOOKUP($A347,'01-02.2022'!$A$6:$DA$376,37,FALSE)</f>
        <v>0</v>
      </c>
      <c r="AL347" s="70">
        <f t="shared" si="392"/>
        <v>0</v>
      </c>
      <c r="AM347" s="566">
        <f>VLOOKUP($A347,'01-02.2021'!$A$6:$CZ$403,39,FALSE)+VLOOKUP($A347,'1.3.21-28.2.22'!$A$6:$DA$404,39,FALSE)-VLOOKUP($A347,'01-02.2022'!$A$6:$DA$376,39,FALSE)</f>
        <v>0</v>
      </c>
      <c r="AN347" s="566">
        <f>VLOOKUP($A347,'01-02.2021'!$A$6:$CZ$403,40,FALSE)+VLOOKUP($A347,'1.3.21-28.2.22'!$A$6:$DA$404,40,FALSE)-VLOOKUP($A347,'01-02.2022'!$A$6:$DA$376,40,FALSE)</f>
        <v>0</v>
      </c>
      <c r="AO347" s="70">
        <f t="shared" si="393"/>
        <v>0</v>
      </c>
      <c r="AP347" s="566">
        <f>VLOOKUP($A347,'01-02.2021'!$A$6:$CZ$403,42,FALSE)+VLOOKUP($A347,'1.3.21-28.2.22'!$A$6:$DA$404,42,FALSE)-VLOOKUP($A347,'01-02.2022'!$A$6:$DA$376,42,FALSE)</f>
        <v>8198.8188189512457</v>
      </c>
      <c r="AQ347" s="566">
        <f>VLOOKUP($A347,'01-02.2021'!$A$6:$CZ$403,43,FALSE)+VLOOKUP($A347,'1.3.21-28.2.22'!$A$6:$DA$404,43,FALSE)-VLOOKUP($A347,'01-02.2022'!$A$6:$DA$376,43,FALSE)</f>
        <v>5983.861648833692</v>
      </c>
      <c r="AR347" s="70">
        <f t="shared" si="394"/>
        <v>-2214.9571701175537</v>
      </c>
      <c r="AS347" s="566">
        <f>VLOOKUP($A347,'01-02.2021'!$A$6:$CZ$403,45,FALSE)+VLOOKUP($A347,'1.3.21-28.2.22'!$A$6:$DA$404,45,FALSE)-VLOOKUP($A347,'01-02.2022'!$A$6:$DA$376,45,FALSE)</f>
        <v>35525.222636332874</v>
      </c>
      <c r="AT347" s="566">
        <f>VLOOKUP($A347,'01-02.2021'!$A$6:$CZ$403,46,FALSE)+VLOOKUP($A347,'1.3.21-28.2.22'!$A$6:$DA$404,46,FALSE)-VLOOKUP($A347,'01-02.2022'!$A$6:$DA$376,46,FALSE)</f>
        <v>6118.1017412372521</v>
      </c>
      <c r="AU347" s="78">
        <f t="shared" si="395"/>
        <v>-29407.120895095621</v>
      </c>
      <c r="AV347" s="566">
        <f>VLOOKUP($A347,'01-02.2021'!$A$6:$CZ$403,48,FALSE)+VLOOKUP($A347,'1.3.21-28.2.22'!$A$6:$DA$404,48,FALSE)-VLOOKUP($A347,'01-02.2022'!$A$6:$DA$376,48,FALSE)</f>
        <v>4018.7957539454055</v>
      </c>
      <c r="AW347" s="566">
        <f>VLOOKUP($A347,'01-02.2021'!$A$6:$CZ$403,49,FALSE)+VLOOKUP($A347,'1.3.21-28.2.22'!$A$6:$DA$404,49,FALSE)-VLOOKUP($A347,'01-02.2022'!$A$6:$DA$376,49,FALSE)</f>
        <v>289</v>
      </c>
      <c r="AX347" s="55">
        <f t="shared" si="396"/>
        <v>-3729.7957539454055</v>
      </c>
      <c r="AY347" s="566">
        <f>VLOOKUP($A347,'01-02.2021'!$A$6:$CZ$403,51,FALSE)+VLOOKUP($A347,'1.3.21-28.2.22'!$A$6:$DA$404,51,FALSE)-VLOOKUP($A347,'01-02.2022'!$A$6:$DA$376,51,FALSE)</f>
        <v>5232.6594752714127</v>
      </c>
      <c r="AZ347" s="566">
        <f>VLOOKUP($A347,'01-02.2021'!$A$6:$CZ$403,52,FALSE)+VLOOKUP($A347,'1.3.21-28.2.22'!$A$6:$DA$404,52,FALSE)-VLOOKUP($A347,'01-02.2022'!$A$6:$DA$376,52,FALSE)</f>
        <v>1887</v>
      </c>
      <c r="BA347" s="38">
        <f t="shared" si="397"/>
        <v>-3345.6594752714127</v>
      </c>
      <c r="BB347" s="566">
        <f>VLOOKUP($A347,'01-02.2021'!$A$6:$CZ$403,54,FALSE)+VLOOKUP($A347,'1.3.21-28.2.22'!$A$6:$DA$404,54,FALSE)-VLOOKUP($A347,'01-02.2022'!$A$6:$DA$376,54,FALSE)</f>
        <v>2091.2777663224097</v>
      </c>
      <c r="BC347" s="566">
        <f>VLOOKUP($A347,'01-02.2021'!$A$6:$CZ$403,55,FALSE)+VLOOKUP($A347,'1.3.21-28.2.22'!$A$6:$DA$404,55,FALSE)-VLOOKUP($A347,'01-02.2022'!$A$6:$DA$376,55,FALSE)</f>
        <v>1405</v>
      </c>
      <c r="BD347" s="55">
        <f t="shared" si="398"/>
        <v>-686.27776632240966</v>
      </c>
      <c r="BE347" s="566">
        <f>VLOOKUP($A347,'01-02.2021'!$A$6:$CZ$403,57,FALSE)+VLOOKUP($A347,'1.3.21-28.2.22'!$A$6:$DA$404,57,FALSE)-VLOOKUP($A347,'01-02.2022'!$A$6:$DA$376,57,FALSE)</f>
        <v>0</v>
      </c>
      <c r="BF347" s="566">
        <f>VLOOKUP($A347,'01-02.2021'!$A$6:$CZ$403,58,FALSE)+VLOOKUP($A347,'1.3.21-28.2.22'!$A$6:$DA$404,58,FALSE)-VLOOKUP($A347,'01-02.2022'!$A$6:$DA$376,58,FALSE)</f>
        <v>0</v>
      </c>
      <c r="BG347" s="55">
        <f t="shared" si="399"/>
        <v>0</v>
      </c>
      <c r="BH347" s="566">
        <f>VLOOKUP($A347,'01-02.2021'!$A$6:$CZ$403,60,FALSE)+VLOOKUP($A347,'1.3.21-28.2.22'!$A$6:$DA$404,60,FALSE)-VLOOKUP($A347,'01-02.2022'!$A$6:$DA$376,60,FALSE)</f>
        <v>0</v>
      </c>
      <c r="BI347" s="566">
        <f>VLOOKUP($A347,'01-02.2021'!$A$6:$CZ$403,61,FALSE)+VLOOKUP($A347,'1.3.21-28.2.22'!$A$6:$DA$404,61,FALSE)-VLOOKUP($A347,'01-02.2022'!$A$6:$DA$376,61,FALSE)</f>
        <v>0</v>
      </c>
      <c r="BJ347" s="55">
        <f t="shared" si="400"/>
        <v>0</v>
      </c>
      <c r="BK347" s="566">
        <f>VLOOKUP($A347,'01-02.2021'!$A$6:$CZ$403,63,FALSE)+VLOOKUP($A347,'1.3.21-28.2.22'!$A$6:$DA$404,63,FALSE)-VLOOKUP($A347,'01-02.2022'!$A$6:$DA$376,63,FALSE)</f>
        <v>3406.7825140009791</v>
      </c>
      <c r="BL347" s="566">
        <f>VLOOKUP($A347,'01-02.2021'!$A$6:$CZ$403,64,FALSE)+VLOOKUP($A347,'1.3.21-28.2.22'!$A$6:$DA$404,64,FALSE)-VLOOKUP($A347,'01-02.2022'!$A$6:$DA$376,64,FALSE)</f>
        <v>7177</v>
      </c>
      <c r="BM347" s="55">
        <f t="shared" si="401"/>
        <v>3770.2174859990209</v>
      </c>
      <c r="BN347" s="566">
        <f>VLOOKUP($A347,'01-02.2021'!$A$6:$CZ$403,66,FALSE)+VLOOKUP($A347,'1.3.21-28.2.22'!$A$6:$DA$404,66,FALSE)-VLOOKUP($A347,'01-02.2022'!$A$6:$DA$376,66,FALSE)</f>
        <v>217.55500000000001</v>
      </c>
      <c r="BO347" s="566">
        <f>VLOOKUP($A347,'01-02.2021'!$A$6:$CZ$403,67,FALSE)+VLOOKUP($A347,'1.3.21-28.2.22'!$A$6:$DA$404,67,FALSE)-VLOOKUP($A347,'01-02.2022'!$A$6:$DA$376,67,FALSE)</f>
        <v>0</v>
      </c>
      <c r="BP347" s="55">
        <f t="shared" si="402"/>
        <v>-217.55500000000001</v>
      </c>
      <c r="BQ347" s="77">
        <f t="shared" si="409"/>
        <v>14967.070509540208</v>
      </c>
      <c r="BR347" s="40">
        <f t="shared" si="410"/>
        <v>10758</v>
      </c>
      <c r="BS347" s="55">
        <f t="shared" si="369"/>
        <v>-4209.0705095402081</v>
      </c>
      <c r="BT347" s="566">
        <f>VLOOKUP($A347,'01-02.2021'!$A$6:$CZ$403,72,FALSE)+VLOOKUP($A347,'1.3.21-28.2.22'!$A$6:$DA$404,72,FALSE)-VLOOKUP($A347,'01-02.2022'!$A$6:$DA$376,72,FALSE)</f>
        <v>62738.804578148061</v>
      </c>
      <c r="BU347" s="566">
        <f>VLOOKUP($A347,'01-02.2021'!$A$6:$CZ$403,73,FALSE)+VLOOKUP($A347,'1.3.21-28.2.22'!$A$6:$DA$404,73,FALSE)-VLOOKUP($A347,'01-02.2022'!$A$6:$DA$376,73,FALSE)</f>
        <v>63830.413654771619</v>
      </c>
      <c r="BV347" s="70">
        <f t="shared" si="403"/>
        <v>1091.6090766235575</v>
      </c>
      <c r="BW347" s="566">
        <f>VLOOKUP($A347,'01-02.2021'!$A$6:$CZ$403,75,FALSE)+VLOOKUP($A347,'1.3.21-28.2.22'!$A$6:$DA$404,75,FALSE)-VLOOKUP($A347,'01-02.2022'!$A$6:$DA$376,75,FALSE)</f>
        <v>25544.587252000769</v>
      </c>
      <c r="BX347" s="566">
        <f>VLOOKUP($A347,'01-02.2021'!$A$6:$CZ$403,76,FALSE)+VLOOKUP($A347,'1.3.21-28.2.22'!$A$6:$DA$404,76,FALSE)-VLOOKUP($A347,'01-02.2022'!$A$6:$DA$376,76,FALSE)</f>
        <v>23829.682421427824</v>
      </c>
      <c r="BY347" s="70">
        <f t="shared" si="404"/>
        <v>-1714.9048305729448</v>
      </c>
      <c r="BZ347" s="566">
        <f>VLOOKUP($A347,'01-02.2021'!$A$6:$CZ$403,78,FALSE)+VLOOKUP($A347,'1.3.21-28.2.22'!$A$6:$DA$404,78,FALSE)-VLOOKUP($A347,'01-02.2022'!$A$6:$DA$376,78,FALSE)</f>
        <v>13675.695435210635</v>
      </c>
      <c r="CA347" s="566">
        <f>VLOOKUP($A347,'01-02.2021'!$A$6:$CZ$403,79,FALSE)+VLOOKUP($A347,'1.3.21-28.2.22'!$A$6:$DA$404,79,FALSE)-VLOOKUP($A347,'01-02.2022'!$A$6:$DA$376,79,FALSE)</f>
        <v>14108.916492918344</v>
      </c>
      <c r="CB347" s="70">
        <f t="shared" si="405"/>
        <v>433.22105770770941</v>
      </c>
      <c r="CC347" s="566">
        <f>VLOOKUP($A347,'01-02.2021'!$A$6:$CZ$403,81,FALSE)+VLOOKUP($A347,'1.3.21-28.2.22'!$A$6:$DA$404,81,FALSE)-VLOOKUP($A347,'01-02.2022'!$A$6:$DA$376,81,FALSE)</f>
        <v>1061.6219638001885</v>
      </c>
      <c r="CD347" s="566">
        <f>VLOOKUP($A347,'01-02.2021'!$A$6:$CZ$403,82,FALSE)+VLOOKUP($A347,'1.3.21-28.2.22'!$A$6:$DA$404,82,FALSE)-VLOOKUP($A347,'01-02.2022'!$A$6:$DA$376,82,FALSE)</f>
        <v>1160.3453958362011</v>
      </c>
      <c r="CE347" s="70">
        <f t="shared" si="406"/>
        <v>98.723432036012582</v>
      </c>
      <c r="CF347" s="566">
        <f>VLOOKUP($A347,'01-02.2021'!$A$6:$CZ$403,84,FALSE)+VLOOKUP($A347,'1.3.21-28.2.22'!$A$6:$DA$404,84,FALSE)-VLOOKUP($A347,'01-02.2022'!$A$6:$DA$376,84,FALSE)</f>
        <v>129.06201811904546</v>
      </c>
      <c r="CG347" s="566">
        <f>VLOOKUP($A347,'01-02.2021'!$A$6:$CZ$403,85,FALSE)+VLOOKUP($A347,'1.3.21-28.2.22'!$A$6:$DA$404,85,FALSE)-VLOOKUP($A347,'01-02.2022'!$A$6:$DA$376,85,FALSE)</f>
        <v>1108.6979482829281</v>
      </c>
      <c r="CH347" s="70">
        <f t="shared" si="407"/>
        <v>979.63593016388268</v>
      </c>
      <c r="CI347" s="566">
        <f>VLOOKUP($A347,'01-02.2021'!$A$6:$CZ$403,87,FALSE)+VLOOKUP($A347,'1.3.21-28.2.22'!$A$6:$DA$404,87,FALSE)-VLOOKUP($A347,'01-02.2022'!$A$6:$DA$376,87,FALSE)</f>
        <v>2777.0597552231911</v>
      </c>
      <c r="CJ347" s="566">
        <f>VLOOKUP($A347,'01-02.2021'!$A$6:$CZ$403,88,FALSE)+VLOOKUP($A347,'1.3.21-28.2.22'!$A$6:$DA$404,88,FALSE)-VLOOKUP($A347,'01-02.2022'!$A$6:$DA$376,88,FALSE)</f>
        <v>3630.8819769512274</v>
      </c>
      <c r="CK347" s="70">
        <f t="shared" si="408"/>
        <v>853.82222172803631</v>
      </c>
      <c r="CL347" s="566">
        <f>VLOOKUP($A347,'01-02.2021'!$A$6:$CZ$403,90,FALSE)+VLOOKUP($A347,'1.3.21-28.2.22'!$A$6:$DA$404,90,FALSE)-VLOOKUP($A347,'01-02.2022'!$A$6:$DA$376,90,FALSE)</f>
        <v>0</v>
      </c>
      <c r="CM347" s="566">
        <f>VLOOKUP($A347,'01-02.2021'!$A$6:$CZ$403,91,FALSE)+VLOOKUP($A347,'1.3.21-28.2.22'!$A$6:$DA$404,91,FALSE)-VLOOKUP($A347,'01-02.2022'!$A$6:$DA$376,91,FALSE)</f>
        <v>0</v>
      </c>
      <c r="CN347" s="52">
        <f t="shared" si="360"/>
        <v>0</v>
      </c>
      <c r="CO347" s="39">
        <f t="shared" si="355"/>
        <v>2777.0597552231911</v>
      </c>
      <c r="CP347" s="40">
        <f t="shared" si="361"/>
        <v>3630.8819769512274</v>
      </c>
      <c r="CQ347" s="52">
        <f t="shared" si="362"/>
        <v>853.82222172803631</v>
      </c>
      <c r="CR347" s="72">
        <f t="shared" si="356"/>
        <v>217627.37426724777</v>
      </c>
      <c r="CS347" s="5">
        <f t="shared" si="356"/>
        <v>185106.13987904077</v>
      </c>
      <c r="CT347" s="52">
        <f t="shared" si="363"/>
        <v>-32521.234388206998</v>
      </c>
      <c r="CU347" s="77">
        <f t="shared" si="364"/>
        <v>261152.8491206973</v>
      </c>
      <c r="CV347" s="65">
        <f t="shared" si="365"/>
        <v>222127.36785484891</v>
      </c>
      <c r="CW347" s="35">
        <f t="shared" si="366"/>
        <v>-39025.481265848386</v>
      </c>
      <c r="CX347" s="566">
        <f>VLOOKUP($A347,'01-02.2021'!$A$6:$CZ$403,102,FALSE)+VLOOKUP($A347,'1.3.21-28.2.22'!$A$6:$DA$404,102,FALSE)-VLOOKUP($A347,'01-02.2022'!$A$6:$DA$376,102,FALSE)</f>
        <v>9073.0162297494899</v>
      </c>
      <c r="CY347" s="566">
        <f>VLOOKUP($A347,'01-02.2021'!$A$6:$CZ$403,103,FALSE)+VLOOKUP($A347,'1.3.21-28.2.22'!$A$6:$DA$404,103,FALSE)-VLOOKUP($A347,'01-02.2022'!$A$6:$DA$376,103,FALSE)</f>
        <v>48098.49749559792</v>
      </c>
      <c r="CZ347" s="52">
        <f t="shared" si="367"/>
        <v>39025.48126584843</v>
      </c>
      <c r="DA347" s="150">
        <f>'[2]побудинковий звіт'!DA347</f>
        <v>231065.41077556132</v>
      </c>
      <c r="DB347" s="2">
        <v>2</v>
      </c>
      <c r="DC347" s="414">
        <f>'[4]побудинковий звіт'!DC347</f>
        <v>33696.04</v>
      </c>
      <c r="DD347" s="414">
        <f>'[4]побудинковий звіт'!DD347</f>
        <v>978.09999999999991</v>
      </c>
      <c r="DE347" s="557">
        <f>'[4]побудинковий звіт'!DE347</f>
        <v>13633.776753734979</v>
      </c>
      <c r="DF347" s="557">
        <f>'[4]побудинковий звіт'!DF347</f>
        <v>-3692.8824400995859</v>
      </c>
      <c r="DG347" s="321">
        <f>VLOOKUP(A347,'кошти 01.03.2021'!$A$6:$D$401,4,)</f>
        <v>280958.73857345473</v>
      </c>
      <c r="DH347" s="40">
        <f>'[3]побудинковий звіт'!DJ347</f>
        <v>280714.2540999726</v>
      </c>
      <c r="DI347" s="422">
        <f>'[3]побудинковий звіт'!CU347+'[3]побудинковий звіт'!CX347</f>
        <v>24733.245686364611</v>
      </c>
      <c r="DJ347" s="306">
        <f>'[3]побудинковий звіт'!DM347</f>
        <v>5.7042060920261077</v>
      </c>
      <c r="DK347" s="306">
        <f t="shared" si="377"/>
        <v>5.7042060920261077</v>
      </c>
      <c r="DL347" s="306">
        <f>'[3]побудинковий звіт'!DO347</f>
        <v>4.820415314860254</v>
      </c>
      <c r="DM347" s="28">
        <f t="shared" si="379"/>
        <v>20062.263246265022</v>
      </c>
      <c r="DN347" s="28">
        <f t="shared" si="380"/>
        <v>4670.9824400995858</v>
      </c>
      <c r="DO347" s="423">
        <f t="shared" si="381"/>
        <v>24733.245686364608</v>
      </c>
      <c r="DP347" s="94">
        <f t="shared" si="382"/>
        <v>0</v>
      </c>
      <c r="DQ347" s="28">
        <f t="shared" si="383"/>
        <v>24733.245686364608</v>
      </c>
      <c r="DR347" s="318"/>
      <c r="DT347" s="8"/>
      <c r="DU347" s="5"/>
      <c r="DX347" s="5">
        <f t="shared" si="384"/>
        <v>60590.751775047698</v>
      </c>
      <c r="DY347" s="5">
        <f t="shared" si="385"/>
        <v>20251.322089484704</v>
      </c>
      <c r="DZ347" s="159">
        <f>'[3]побудинковий звіт'!EA347</f>
        <v>5185.8177130339809</v>
      </c>
    </row>
    <row r="348" spans="1:130" x14ac:dyDescent="0.3">
      <c r="A348" s="325">
        <v>150000863</v>
      </c>
      <c r="B348" s="41" t="s">
        <v>794</v>
      </c>
      <c r="C348" s="42" t="s">
        <v>236</v>
      </c>
      <c r="D348" s="42"/>
      <c r="E348" s="293">
        <f t="shared" si="353"/>
        <v>3322.9</v>
      </c>
      <c r="F348" s="305">
        <f>'[3]побудинковий звіт'!F348</f>
        <v>2278.4</v>
      </c>
      <c r="G348" s="508">
        <f>'[3]побудинковий звіт'!G348</f>
        <v>0</v>
      </c>
      <c r="H348" s="560">
        <f>'[3]побудинковий звіт'!H348</f>
        <v>1044.5</v>
      </c>
      <c r="I348" s="566">
        <f>VLOOKUP($A348,'01-02.2021'!$A$6:$CZ$403,9,FALSE)+VLOOKUP($A348,'1.3.21-28.2.22'!$A$6:$DA$404,9,FALSE)-VLOOKUP($A348,'01-02.2022'!$A$6:$DA$376,9,FALSE)</f>
        <v>10088.458372599433</v>
      </c>
      <c r="J348" s="566">
        <f>VLOOKUP($A348,'01-02.2021'!$A$6:$CZ$403,10,FALSE)+VLOOKUP($A348,'1.3.21-28.2.22'!$A$6:$DA$404,10,FALSE)-VLOOKUP($A348,'01-02.2022'!$A$6:$DA$376,10,FALSE)</f>
        <v>11054.318467771538</v>
      </c>
      <c r="K348" s="52">
        <f t="shared" si="357"/>
        <v>965.8600951721055</v>
      </c>
      <c r="L348" s="566">
        <f>VLOOKUP($A348,'01-02.2021'!$A$6:$CZ$403,12,FALSE)+VLOOKUP($A348,'1.3.21-28.2.22'!$A$6:$DA$404,12,FALSE)-VLOOKUP($A348,'01-02.2022'!$A$6:$DA$376,12,FALSE)</f>
        <v>2232.6863274208308</v>
      </c>
      <c r="M348" s="566">
        <f>VLOOKUP($A348,'01-02.2021'!$A$6:$CZ$403,13,FALSE)+VLOOKUP($A348,'1.3.21-28.2.22'!$A$6:$DA$404,13,FALSE)-VLOOKUP($A348,'01-02.2022'!$A$6:$DA$376,13,FALSE)</f>
        <v>2458.2632588357114</v>
      </c>
      <c r="N348" s="52">
        <f t="shared" si="358"/>
        <v>225.57693141488062</v>
      </c>
      <c r="O348" s="566">
        <f>VLOOKUP($A348,'01-02.2021'!$A$6:$CZ$403,15,FALSE)+VLOOKUP($A348,'1.3.21-28.2.22'!$A$6:$DA$404,15,FALSE)-VLOOKUP($A348,'01-02.2022'!$A$6:$DA$376,15,FALSE)</f>
        <v>3749.2229900457755</v>
      </c>
      <c r="P348" s="566">
        <f>VLOOKUP($A348,'01-02.2021'!$A$6:$CZ$403,16,FALSE)+VLOOKUP($A348,'1.3.21-28.2.22'!$A$6:$DA$404,16,FALSE)-VLOOKUP($A348,'01-02.2022'!$A$6:$DA$376,16,FALSE)</f>
        <v>3749.2300000000009</v>
      </c>
      <c r="Q348" s="70">
        <f t="shared" si="386"/>
        <v>7.0099542253956315E-3</v>
      </c>
      <c r="R348" s="566">
        <f>VLOOKUP($A348,'01-02.2021'!$A$6:$CZ$403,18,FALSE)+VLOOKUP($A348,'1.3.21-28.2.22'!$A$6:$DA$404,18,FALSE)-VLOOKUP($A348,'01-02.2022'!$A$6:$DA$376,18,FALSE)</f>
        <v>1079.4149512085667</v>
      </c>
      <c r="S348" s="566">
        <f>VLOOKUP($A348,'01-02.2021'!$A$6:$CZ$403,19,FALSE)+VLOOKUP($A348,'1.3.21-28.2.22'!$A$6:$DA$404,19,FALSE)-VLOOKUP($A348,'01-02.2022'!$A$6:$DA$376,19,FALSE)</f>
        <v>1079.4100000000001</v>
      </c>
      <c r="T348" s="70">
        <f t="shared" si="387"/>
        <v>-4.9512085665810446E-3</v>
      </c>
      <c r="U348" s="566">
        <f>VLOOKUP($A348,'01-02.2021'!$A$6:$CZ$403,21,FALSE)+VLOOKUP($A348,'1.3.21-28.2.22'!$A$6:$DA$404,21,FALSE)-VLOOKUP($A348,'01-02.2022'!$A$6:$DA$376,21,FALSE)</f>
        <v>0</v>
      </c>
      <c r="V348" s="566">
        <f>VLOOKUP($A348,'01-02.2021'!$A$6:$CZ$403,22,FALSE)+VLOOKUP($A348,'1.3.21-28.2.22'!$A$6:$DA$404,22,FALSE)-VLOOKUP($A348,'01-02.2022'!$A$6:$DA$376,22,FALSE)</f>
        <v>0</v>
      </c>
      <c r="W348" s="70">
        <f t="shared" si="388"/>
        <v>0</v>
      </c>
      <c r="X348" s="566">
        <f>VLOOKUP($A348,'01-02.2021'!$A$6:$CZ$403,24,FALSE)+VLOOKUP($A348,'1.3.21-28.2.22'!$A$6:$DA$404,24,FALSE)-VLOOKUP($A348,'01-02.2022'!$A$6:$DA$376,24,FALSE)</f>
        <v>8920.7613273047409</v>
      </c>
      <c r="Y348" s="566">
        <f>VLOOKUP($A348,'01-02.2021'!$A$6:$CZ$403,25,FALSE)+VLOOKUP($A348,'1.3.21-28.2.22'!$A$6:$DA$404,25,FALSE)-VLOOKUP($A348,'01-02.2022'!$A$6:$DA$376,25,FALSE)</f>
        <v>7318.0851603575566</v>
      </c>
      <c r="Z348" s="70">
        <f t="shared" si="389"/>
        <v>-1602.6761669471844</v>
      </c>
      <c r="AA348" s="566">
        <f>VLOOKUP($A348,'01-02.2021'!$A$6:$CZ$403,27,FALSE)+VLOOKUP($A348,'1.3.21-28.2.22'!$A$6:$DA$404,27,FALSE)-VLOOKUP($A348,'01-02.2022'!$A$6:$DA$376,27,FALSE)</f>
        <v>640.95000000000005</v>
      </c>
      <c r="AB348" s="566">
        <f>VLOOKUP($A348,'01-02.2021'!$A$6:$CZ$403,28,FALSE)+VLOOKUP($A348,'1.3.21-28.2.22'!$A$6:$DA$404,28,FALSE)-VLOOKUP($A348,'01-02.2022'!$A$6:$DA$376,28,FALSE)</f>
        <v>0</v>
      </c>
      <c r="AC348" s="70">
        <f t="shared" si="390"/>
        <v>-640.95000000000005</v>
      </c>
      <c r="AD348" s="566">
        <f>VLOOKUP($A348,'01-02.2021'!$A$6:$CZ$403,30,FALSE)+VLOOKUP($A348,'1.3.21-28.2.22'!$A$6:$DA$404,30,FALSE)-VLOOKUP($A348,'01-02.2022'!$A$6:$DA$376,30,FALSE)</f>
        <v>13963.077161833293</v>
      </c>
      <c r="AE348" s="566">
        <f>VLOOKUP($A348,'01-02.2021'!$A$6:$CZ$403,31,FALSE)+VLOOKUP($A348,'1.3.21-28.2.22'!$A$6:$DA$404,31,FALSE)-VLOOKUP($A348,'01-02.2022'!$A$6:$DA$376,31,FALSE)</f>
        <v>15008.692533203781</v>
      </c>
      <c r="AF348" s="68">
        <f t="shared" si="391"/>
        <v>1045.615371370488</v>
      </c>
      <c r="AG348" s="77">
        <f t="shared" si="354"/>
        <v>40674.571130412638</v>
      </c>
      <c r="AH348" s="53">
        <f t="shared" si="354"/>
        <v>40667.999420168591</v>
      </c>
      <c r="AI348" s="52">
        <f t="shared" si="359"/>
        <v>-6.5717102440466988</v>
      </c>
      <c r="AJ348" s="566">
        <f>VLOOKUP($A348,'01-02.2021'!$A$6:$CZ$403,36,FALSE)+VLOOKUP($A348,'1.3.21-28.2.22'!$A$6:$DA$404,36,FALSE)-VLOOKUP($A348,'01-02.2022'!$A$6:$DA$376,36,FALSE)</f>
        <v>0</v>
      </c>
      <c r="AK348" s="566">
        <f>VLOOKUP($A348,'01-02.2021'!$A$6:$CZ$403,37,FALSE)+VLOOKUP($A348,'1.3.21-28.2.22'!$A$6:$DA$404,37,FALSE)-VLOOKUP($A348,'01-02.2022'!$A$6:$DA$376,37,FALSE)</f>
        <v>0</v>
      </c>
      <c r="AL348" s="70">
        <f t="shared" si="392"/>
        <v>0</v>
      </c>
      <c r="AM348" s="566">
        <f>VLOOKUP($A348,'01-02.2021'!$A$6:$CZ$403,39,FALSE)+VLOOKUP($A348,'1.3.21-28.2.22'!$A$6:$DA$404,39,FALSE)-VLOOKUP($A348,'01-02.2022'!$A$6:$DA$376,39,FALSE)</f>
        <v>0</v>
      </c>
      <c r="AN348" s="566">
        <f>VLOOKUP($A348,'01-02.2021'!$A$6:$CZ$403,40,FALSE)+VLOOKUP($A348,'1.3.21-28.2.22'!$A$6:$DA$404,40,FALSE)-VLOOKUP($A348,'01-02.2022'!$A$6:$DA$376,40,FALSE)</f>
        <v>0</v>
      </c>
      <c r="AO348" s="70">
        <f t="shared" si="393"/>
        <v>0</v>
      </c>
      <c r="AP348" s="566">
        <f>VLOOKUP($A348,'01-02.2021'!$A$6:$CZ$403,42,FALSE)+VLOOKUP($A348,'1.3.21-28.2.22'!$A$6:$DA$404,42,FALSE)-VLOOKUP($A348,'01-02.2022'!$A$6:$DA$376,42,FALSE)</f>
        <v>1691.8197562915266</v>
      </c>
      <c r="AQ348" s="566">
        <f>VLOOKUP($A348,'01-02.2021'!$A$6:$CZ$403,43,FALSE)+VLOOKUP($A348,'1.3.21-28.2.22'!$A$6:$DA$404,43,FALSE)-VLOOKUP($A348,'01-02.2022'!$A$6:$DA$376,43,FALSE)</f>
        <v>1485.9732658959538</v>
      </c>
      <c r="AR348" s="70">
        <f t="shared" si="394"/>
        <v>-205.8464903955728</v>
      </c>
      <c r="AS348" s="566">
        <f>VLOOKUP($A348,'01-02.2021'!$A$6:$CZ$403,45,FALSE)+VLOOKUP($A348,'1.3.21-28.2.22'!$A$6:$DA$404,45,FALSE)-VLOOKUP($A348,'01-02.2022'!$A$6:$DA$376,45,FALSE)</f>
        <v>31743.230589096696</v>
      </c>
      <c r="AT348" s="566">
        <f>VLOOKUP($A348,'01-02.2021'!$A$6:$CZ$403,46,FALSE)+VLOOKUP($A348,'1.3.21-28.2.22'!$A$6:$DA$404,46,FALSE)-VLOOKUP($A348,'01-02.2022'!$A$6:$DA$376,46,FALSE)</f>
        <v>17505.795547594815</v>
      </c>
      <c r="AU348" s="78">
        <f t="shared" si="395"/>
        <v>-14237.435041501882</v>
      </c>
      <c r="AV348" s="566">
        <f>VLOOKUP($A348,'01-02.2021'!$A$6:$CZ$403,48,FALSE)+VLOOKUP($A348,'1.3.21-28.2.22'!$A$6:$DA$404,48,FALSE)-VLOOKUP($A348,'01-02.2022'!$A$6:$DA$376,48,FALSE)</f>
        <v>3159.704514626088</v>
      </c>
      <c r="AW348" s="566">
        <f>VLOOKUP($A348,'01-02.2021'!$A$6:$CZ$403,49,FALSE)+VLOOKUP($A348,'1.3.21-28.2.22'!$A$6:$DA$404,49,FALSE)-VLOOKUP($A348,'01-02.2022'!$A$6:$DA$376,49,FALSE)</f>
        <v>67</v>
      </c>
      <c r="AX348" s="55">
        <f t="shared" si="396"/>
        <v>-3092.704514626088</v>
      </c>
      <c r="AY348" s="566">
        <f>VLOOKUP($A348,'01-02.2021'!$A$6:$CZ$403,51,FALSE)+VLOOKUP($A348,'1.3.21-28.2.22'!$A$6:$DA$404,51,FALSE)-VLOOKUP($A348,'01-02.2022'!$A$6:$DA$376,51,FALSE)</f>
        <v>4196.8428961892732</v>
      </c>
      <c r="AZ348" s="566">
        <f>VLOOKUP($A348,'01-02.2021'!$A$6:$CZ$403,52,FALSE)+VLOOKUP($A348,'1.3.21-28.2.22'!$A$6:$DA$404,52,FALSE)-VLOOKUP($A348,'01-02.2022'!$A$6:$DA$376,52,FALSE)</f>
        <v>33</v>
      </c>
      <c r="BA348" s="38">
        <f t="shared" si="397"/>
        <v>-4163.8428961892732</v>
      </c>
      <c r="BB348" s="566">
        <f>VLOOKUP($A348,'01-02.2021'!$A$6:$CZ$403,54,FALSE)+VLOOKUP($A348,'1.3.21-28.2.22'!$A$6:$DA$404,54,FALSE)-VLOOKUP($A348,'01-02.2022'!$A$6:$DA$376,54,FALSE)</f>
        <v>1909.4677539086476</v>
      </c>
      <c r="BC348" s="566">
        <f>VLOOKUP($A348,'01-02.2021'!$A$6:$CZ$403,55,FALSE)+VLOOKUP($A348,'1.3.21-28.2.22'!$A$6:$DA$404,55,FALSE)-VLOOKUP($A348,'01-02.2022'!$A$6:$DA$376,55,FALSE)</f>
        <v>712</v>
      </c>
      <c r="BD348" s="55">
        <f t="shared" si="398"/>
        <v>-1197.4677539086476</v>
      </c>
      <c r="BE348" s="566">
        <f>VLOOKUP($A348,'01-02.2021'!$A$6:$CZ$403,57,FALSE)+VLOOKUP($A348,'1.3.21-28.2.22'!$A$6:$DA$404,57,FALSE)-VLOOKUP($A348,'01-02.2022'!$A$6:$DA$376,57,FALSE)</f>
        <v>2535.239074774744</v>
      </c>
      <c r="BF348" s="566">
        <f>VLOOKUP($A348,'01-02.2021'!$A$6:$CZ$403,58,FALSE)+VLOOKUP($A348,'1.3.21-28.2.22'!$A$6:$DA$404,58,FALSE)-VLOOKUP($A348,'01-02.2022'!$A$6:$DA$376,58,FALSE)</f>
        <v>0</v>
      </c>
      <c r="BG348" s="55">
        <f t="shared" si="399"/>
        <v>-2535.239074774744</v>
      </c>
      <c r="BH348" s="566">
        <f>VLOOKUP($A348,'01-02.2021'!$A$6:$CZ$403,60,FALSE)+VLOOKUP($A348,'1.3.21-28.2.22'!$A$6:$DA$404,60,FALSE)-VLOOKUP($A348,'01-02.2022'!$A$6:$DA$376,60,FALSE)</f>
        <v>0</v>
      </c>
      <c r="BI348" s="566">
        <f>VLOOKUP($A348,'01-02.2021'!$A$6:$CZ$403,61,FALSE)+VLOOKUP($A348,'1.3.21-28.2.22'!$A$6:$DA$404,61,FALSE)-VLOOKUP($A348,'01-02.2022'!$A$6:$DA$376,61,FALSE)</f>
        <v>0</v>
      </c>
      <c r="BJ348" s="55">
        <f t="shared" si="400"/>
        <v>0</v>
      </c>
      <c r="BK348" s="566">
        <f>VLOOKUP($A348,'01-02.2021'!$A$6:$CZ$403,63,FALSE)+VLOOKUP($A348,'1.3.21-28.2.22'!$A$6:$DA$404,63,FALSE)-VLOOKUP($A348,'01-02.2022'!$A$6:$DA$376,63,FALSE)</f>
        <v>3091.7112759827642</v>
      </c>
      <c r="BL348" s="566">
        <f>VLOOKUP($A348,'01-02.2021'!$A$6:$CZ$403,64,FALSE)+VLOOKUP($A348,'1.3.21-28.2.22'!$A$6:$DA$404,64,FALSE)-VLOOKUP($A348,'01-02.2022'!$A$6:$DA$376,64,FALSE)</f>
        <v>727</v>
      </c>
      <c r="BM348" s="55">
        <f t="shared" si="401"/>
        <v>-2364.7112759827642</v>
      </c>
      <c r="BN348" s="566">
        <f>VLOOKUP($A348,'01-02.2021'!$A$6:$CZ$403,66,FALSE)+VLOOKUP($A348,'1.3.21-28.2.22'!$A$6:$DA$404,66,FALSE)-VLOOKUP($A348,'01-02.2022'!$A$6:$DA$376,66,FALSE)</f>
        <v>160.23750000000001</v>
      </c>
      <c r="BO348" s="566">
        <f>VLOOKUP($A348,'01-02.2021'!$A$6:$CZ$403,67,FALSE)+VLOOKUP($A348,'1.3.21-28.2.22'!$A$6:$DA$404,67,FALSE)-VLOOKUP($A348,'01-02.2022'!$A$6:$DA$376,67,FALSE)</f>
        <v>0</v>
      </c>
      <c r="BP348" s="55">
        <f t="shared" si="402"/>
        <v>-160.23750000000001</v>
      </c>
      <c r="BQ348" s="77">
        <f t="shared" si="409"/>
        <v>15053.203015481518</v>
      </c>
      <c r="BR348" s="40">
        <f t="shared" si="410"/>
        <v>1539</v>
      </c>
      <c r="BS348" s="55">
        <f t="shared" si="369"/>
        <v>-13514.203015481518</v>
      </c>
      <c r="BT348" s="566">
        <f>VLOOKUP($A348,'01-02.2021'!$A$6:$CZ$403,72,FALSE)+VLOOKUP($A348,'1.3.21-28.2.22'!$A$6:$DA$404,72,FALSE)-VLOOKUP($A348,'01-02.2022'!$A$6:$DA$376,72,FALSE)</f>
        <v>41443.241715645636</v>
      </c>
      <c r="BU348" s="566">
        <f>VLOOKUP($A348,'01-02.2021'!$A$6:$CZ$403,73,FALSE)+VLOOKUP($A348,'1.3.21-28.2.22'!$A$6:$DA$404,73,FALSE)-VLOOKUP($A348,'01-02.2022'!$A$6:$DA$376,73,FALSE)</f>
        <v>49889.837869948431</v>
      </c>
      <c r="BV348" s="70">
        <f t="shared" si="403"/>
        <v>8446.5961543027952</v>
      </c>
      <c r="BW348" s="566">
        <f>VLOOKUP($A348,'01-02.2021'!$A$6:$CZ$403,75,FALSE)+VLOOKUP($A348,'1.3.21-28.2.22'!$A$6:$DA$404,75,FALSE)-VLOOKUP($A348,'01-02.2022'!$A$6:$DA$376,75,FALSE)</f>
        <v>23763.316754369473</v>
      </c>
      <c r="BX348" s="566">
        <f>VLOOKUP($A348,'01-02.2021'!$A$6:$CZ$403,76,FALSE)+VLOOKUP($A348,'1.3.21-28.2.22'!$A$6:$DA$404,76,FALSE)-VLOOKUP($A348,'01-02.2022'!$A$6:$DA$376,76,FALSE)</f>
        <v>20012.838462380587</v>
      </c>
      <c r="BY348" s="70">
        <f t="shared" si="404"/>
        <v>-3750.4782919888858</v>
      </c>
      <c r="BZ348" s="566">
        <f>VLOOKUP($A348,'01-02.2021'!$A$6:$CZ$403,78,FALSE)+VLOOKUP($A348,'1.3.21-28.2.22'!$A$6:$DA$404,78,FALSE)-VLOOKUP($A348,'01-02.2022'!$A$6:$DA$376,78,FALSE)</f>
        <v>20177.484610584135</v>
      </c>
      <c r="CA348" s="566">
        <f>VLOOKUP($A348,'01-02.2021'!$A$6:$CZ$403,79,FALSE)+VLOOKUP($A348,'1.3.21-28.2.22'!$A$6:$DA$404,79,FALSE)-VLOOKUP($A348,'01-02.2022'!$A$6:$DA$376,79,FALSE)</f>
        <v>10334.797366696022</v>
      </c>
      <c r="CB348" s="70">
        <f t="shared" si="405"/>
        <v>-9842.6872438881128</v>
      </c>
      <c r="CC348" s="566">
        <f>VLOOKUP($A348,'01-02.2021'!$A$6:$CZ$403,81,FALSE)+VLOOKUP($A348,'1.3.21-28.2.22'!$A$6:$DA$404,81,FALSE)-VLOOKUP($A348,'01-02.2022'!$A$6:$DA$376,81,FALSE)</f>
        <v>988.17641913476666</v>
      </c>
      <c r="CD348" s="566">
        <f>VLOOKUP($A348,'01-02.2021'!$A$6:$CZ$403,82,FALSE)+VLOOKUP($A348,'1.3.21-28.2.22'!$A$6:$DA$404,82,FALSE)-VLOOKUP($A348,'01-02.2022'!$A$6:$DA$376,82,FALSE)</f>
        <v>1080.0699281997345</v>
      </c>
      <c r="CE348" s="70">
        <f t="shared" si="406"/>
        <v>91.893509064967816</v>
      </c>
      <c r="CF348" s="566">
        <f>VLOOKUP($A348,'01-02.2021'!$A$6:$CZ$403,84,FALSE)+VLOOKUP($A348,'1.3.21-28.2.22'!$A$6:$DA$404,84,FALSE)-VLOOKUP($A348,'01-02.2022'!$A$6:$DA$376,84,FALSE)</f>
        <v>120.13319925546374</v>
      </c>
      <c r="CG348" s="566">
        <f>VLOOKUP($A348,'01-02.2021'!$A$6:$CZ$403,85,FALSE)+VLOOKUP($A348,'1.3.21-28.2.22'!$A$6:$DA$404,85,FALSE)-VLOOKUP($A348,'01-02.2022'!$A$6:$DA$376,85,FALSE)</f>
        <v>0</v>
      </c>
      <c r="CH348" s="70">
        <f t="shared" si="407"/>
        <v>-120.13319925546374</v>
      </c>
      <c r="CI348" s="566">
        <f>VLOOKUP($A348,'01-02.2021'!$A$6:$CZ$403,87,FALSE)+VLOOKUP($A348,'1.3.21-28.2.22'!$A$6:$DA$404,87,FALSE)-VLOOKUP($A348,'01-02.2022'!$A$6:$DA$376,87,FALSE)</f>
        <v>5318.6926805951771</v>
      </c>
      <c r="CJ348" s="566">
        <f>VLOOKUP($A348,'01-02.2021'!$A$6:$CZ$403,88,FALSE)+VLOOKUP($A348,'1.3.21-28.2.22'!$A$6:$DA$404,88,FALSE)-VLOOKUP($A348,'01-02.2022'!$A$6:$DA$376,88,FALSE)</f>
        <v>4821.0486479878182</v>
      </c>
      <c r="CK348" s="70">
        <f t="shared" si="408"/>
        <v>-497.64403260735889</v>
      </c>
      <c r="CL348" s="566">
        <f>VLOOKUP($A348,'01-02.2021'!$A$6:$CZ$403,90,FALSE)+VLOOKUP($A348,'1.3.21-28.2.22'!$A$6:$DA$404,90,FALSE)-VLOOKUP($A348,'01-02.2022'!$A$6:$DA$376,90,FALSE)</f>
        <v>0</v>
      </c>
      <c r="CM348" s="566">
        <f>VLOOKUP($A348,'01-02.2021'!$A$6:$CZ$403,91,FALSE)+VLOOKUP($A348,'1.3.21-28.2.22'!$A$6:$DA$404,91,FALSE)-VLOOKUP($A348,'01-02.2022'!$A$6:$DA$376,91,FALSE)</f>
        <v>0</v>
      </c>
      <c r="CN348" s="52">
        <f t="shared" si="360"/>
        <v>0</v>
      </c>
      <c r="CO348" s="39">
        <f t="shared" si="355"/>
        <v>5318.6926805951771</v>
      </c>
      <c r="CP348" s="40">
        <f t="shared" si="361"/>
        <v>4821.0486479878182</v>
      </c>
      <c r="CQ348" s="52">
        <f t="shared" si="362"/>
        <v>-497.64403260735889</v>
      </c>
      <c r="CR348" s="72">
        <f t="shared" si="356"/>
        <v>180973.86987086703</v>
      </c>
      <c r="CS348" s="5">
        <f t="shared" si="356"/>
        <v>147337.36050887196</v>
      </c>
      <c r="CT348" s="52">
        <f t="shared" si="363"/>
        <v>-33636.509361995064</v>
      </c>
      <c r="CU348" s="77">
        <f t="shared" si="364"/>
        <v>217168.64384504044</v>
      </c>
      <c r="CV348" s="65">
        <f t="shared" si="365"/>
        <v>176804.83261064635</v>
      </c>
      <c r="CW348" s="35">
        <f t="shared" si="366"/>
        <v>-40363.811234394088</v>
      </c>
      <c r="CX348" s="566">
        <f>VLOOKUP($A348,'01-02.2021'!$A$6:$CZ$403,102,FALSE)+VLOOKUP($A348,'1.3.21-28.2.22'!$A$6:$DA$404,102,FALSE)-VLOOKUP($A348,'01-02.2022'!$A$6:$DA$376,102,FALSE)</f>
        <v>6119.8029844046514</v>
      </c>
      <c r="CY348" s="566">
        <f>VLOOKUP($A348,'01-02.2021'!$A$6:$CZ$403,103,FALSE)+VLOOKUP($A348,'1.3.21-28.2.22'!$A$6:$DA$404,103,FALSE)-VLOOKUP($A348,'01-02.2022'!$A$6:$DA$376,103,FALSE)</f>
        <v>46483.614218798772</v>
      </c>
      <c r="CZ348" s="52">
        <f t="shared" si="367"/>
        <v>40363.811234394117</v>
      </c>
      <c r="DA348" s="150">
        <f>'[2]побудинковий звіт'!DA348</f>
        <v>-27356.616846693047</v>
      </c>
      <c r="DB348" s="2">
        <v>2</v>
      </c>
      <c r="DC348" s="414">
        <f>'[4]побудинковий звіт'!DC348</f>
        <v>38895.339999999997</v>
      </c>
      <c r="DD348" s="414">
        <f>'[4]побудинковий звіт'!DD348</f>
        <v>10916.610000000002</v>
      </c>
      <c r="DE348" s="557">
        <f>'[4]побудинковий звіт'!DE348</f>
        <v>23980.66876096819</v>
      </c>
      <c r="DF348" s="557">
        <f>'[4]побудинковий звіт'!DF348</f>
        <v>5385.2898585184039</v>
      </c>
      <c r="DG348" s="321">
        <f>VLOOKUP(A348,'кошти 01.03.2021'!$A$6:$D$401,4,)</f>
        <v>10405.818363821083</v>
      </c>
      <c r="DH348" s="40">
        <f>'[3]побудинковий звіт'!DJ348</f>
        <v>231997.53629058076</v>
      </c>
      <c r="DI348" s="422">
        <f>'[3]побудинковий звіт'!CU348+'[3]побудинковий звіт'!CX348</f>
        <v>20445.991380513406</v>
      </c>
      <c r="DJ348" s="306">
        <f>'[3]побудинковий звіт'!DM348</f>
        <v>6.5461162390413481</v>
      </c>
      <c r="DK348" s="306">
        <f t="shared" si="377"/>
        <v>6.5461162390413481</v>
      </c>
      <c r="DL348" s="306">
        <f>'[3]побудинковий звіт'!DO348</f>
        <v>5.2956631321030141</v>
      </c>
      <c r="DM348" s="28">
        <f t="shared" si="379"/>
        <v>14914.671239031808</v>
      </c>
      <c r="DN348" s="28">
        <f t="shared" si="380"/>
        <v>5531.3201414815985</v>
      </c>
      <c r="DO348" s="423">
        <f t="shared" si="381"/>
        <v>20445.991380513406</v>
      </c>
      <c r="DP348" s="94">
        <f t="shared" si="382"/>
        <v>0</v>
      </c>
      <c r="DQ348" s="28">
        <f t="shared" si="383"/>
        <v>20445.991380513406</v>
      </c>
      <c r="DR348" s="318"/>
      <c r="DT348" s="8"/>
      <c r="DU348" s="5"/>
      <c r="DX348" s="5">
        <f t="shared" si="384"/>
        <v>56155.72032549385</v>
      </c>
      <c r="DY348" s="5">
        <f t="shared" si="385"/>
        <v>22853.754657113775</v>
      </c>
      <c r="DZ348" s="159">
        <f>'[3]побудинковий звіт'!EA348</f>
        <v>5001.0936742978056</v>
      </c>
    </row>
    <row r="349" spans="1:130" x14ac:dyDescent="0.3">
      <c r="A349" s="325">
        <v>150000864</v>
      </c>
      <c r="B349" s="41" t="s">
        <v>795</v>
      </c>
      <c r="C349" s="42" t="s">
        <v>201</v>
      </c>
      <c r="D349" s="42"/>
      <c r="E349" s="293">
        <f t="shared" si="353"/>
        <v>3973.0600000000004</v>
      </c>
      <c r="F349" s="305">
        <f>'[3]побудинковий звіт'!F349</f>
        <v>3022.76</v>
      </c>
      <c r="G349" s="508">
        <f>'[3]побудинковий звіт'!G349</f>
        <v>0</v>
      </c>
      <c r="H349" s="560">
        <f>'[3]побудинковий звіт'!H349</f>
        <v>950.3</v>
      </c>
      <c r="I349" s="566">
        <f>VLOOKUP($A349,'01-02.2021'!$A$6:$CZ$403,9,FALSE)+VLOOKUP($A349,'1.3.21-28.2.22'!$A$6:$DA$404,9,FALSE)-VLOOKUP($A349,'01-02.2022'!$A$6:$DA$376,9,FALSE)</f>
        <v>10041.116103566534</v>
      </c>
      <c r="J349" s="566">
        <f>VLOOKUP($A349,'01-02.2021'!$A$6:$CZ$403,10,FALSE)+VLOOKUP($A349,'1.3.21-28.2.22'!$A$6:$DA$404,10,FALSE)-VLOOKUP($A349,'01-02.2022'!$A$6:$DA$376,10,FALSE)</f>
        <v>11074.4592181382</v>
      </c>
      <c r="K349" s="52">
        <f t="shared" si="357"/>
        <v>1033.3431145716659</v>
      </c>
      <c r="L349" s="566">
        <f>VLOOKUP($A349,'01-02.2021'!$A$6:$CZ$403,12,FALSE)+VLOOKUP($A349,'1.3.21-28.2.22'!$A$6:$DA$404,12,FALSE)-VLOOKUP($A349,'01-02.2022'!$A$6:$DA$376,12,FALSE)</f>
        <v>1940.3860510230063</v>
      </c>
      <c r="M349" s="566">
        <f>VLOOKUP($A349,'01-02.2021'!$A$6:$CZ$403,13,FALSE)+VLOOKUP($A349,'1.3.21-28.2.22'!$A$6:$DA$404,13,FALSE)-VLOOKUP($A349,'01-02.2022'!$A$6:$DA$376,13,FALSE)</f>
        <v>2136.4352095822373</v>
      </c>
      <c r="N349" s="52">
        <f t="shared" si="358"/>
        <v>196.04915855923105</v>
      </c>
      <c r="O349" s="566">
        <f>VLOOKUP($A349,'01-02.2021'!$A$6:$CZ$403,15,FALSE)+VLOOKUP($A349,'1.3.21-28.2.22'!$A$6:$DA$404,15,FALSE)-VLOOKUP($A349,'01-02.2022'!$A$6:$DA$376,15,FALSE)</f>
        <v>4222.6943953699256</v>
      </c>
      <c r="P349" s="566">
        <f>VLOOKUP($A349,'01-02.2021'!$A$6:$CZ$403,16,FALSE)+VLOOKUP($A349,'1.3.21-28.2.22'!$A$6:$DA$404,16,FALSE)-VLOOKUP($A349,'01-02.2022'!$A$6:$DA$376,16,FALSE)</f>
        <v>4222.66</v>
      </c>
      <c r="Q349" s="70">
        <f t="shared" si="386"/>
        <v>-3.4395369925732666E-2</v>
      </c>
      <c r="R349" s="566">
        <f>VLOOKUP($A349,'01-02.2021'!$A$6:$CZ$403,18,FALSE)+VLOOKUP($A349,'1.3.21-28.2.22'!$A$6:$DA$404,18,FALSE)-VLOOKUP($A349,'01-02.2022'!$A$6:$DA$376,18,FALSE)</f>
        <v>0</v>
      </c>
      <c r="S349" s="566">
        <f>VLOOKUP($A349,'01-02.2021'!$A$6:$CZ$403,19,FALSE)+VLOOKUP($A349,'1.3.21-28.2.22'!$A$6:$DA$404,19,FALSE)-VLOOKUP($A349,'01-02.2022'!$A$6:$DA$376,19,FALSE)</f>
        <v>0</v>
      </c>
      <c r="T349" s="70">
        <f t="shared" si="387"/>
        <v>0</v>
      </c>
      <c r="U349" s="566">
        <f>VLOOKUP($A349,'01-02.2021'!$A$6:$CZ$403,21,FALSE)+VLOOKUP($A349,'1.3.21-28.2.22'!$A$6:$DA$404,21,FALSE)-VLOOKUP($A349,'01-02.2022'!$A$6:$DA$376,21,FALSE)</f>
        <v>0</v>
      </c>
      <c r="V349" s="566">
        <f>VLOOKUP($A349,'01-02.2021'!$A$6:$CZ$403,22,FALSE)+VLOOKUP($A349,'1.3.21-28.2.22'!$A$6:$DA$404,22,FALSE)-VLOOKUP($A349,'01-02.2022'!$A$6:$DA$376,22,FALSE)</f>
        <v>0</v>
      </c>
      <c r="W349" s="70">
        <f t="shared" si="388"/>
        <v>0</v>
      </c>
      <c r="X349" s="566">
        <f>VLOOKUP($A349,'01-02.2021'!$A$6:$CZ$403,24,FALSE)+VLOOKUP($A349,'1.3.21-28.2.22'!$A$6:$DA$404,24,FALSE)-VLOOKUP($A349,'01-02.2022'!$A$6:$DA$376,24,FALSE)</f>
        <v>11786.274839827522</v>
      </c>
      <c r="Y349" s="566">
        <f>VLOOKUP($A349,'01-02.2021'!$A$6:$CZ$403,25,FALSE)+VLOOKUP($A349,'1.3.21-28.2.22'!$A$6:$DA$404,25,FALSE)-VLOOKUP($A349,'01-02.2022'!$A$6:$DA$376,25,FALSE)</f>
        <v>9567.7973508281902</v>
      </c>
      <c r="Z349" s="70">
        <f t="shared" si="389"/>
        <v>-2218.4774889993314</v>
      </c>
      <c r="AA349" s="566">
        <f>VLOOKUP($A349,'01-02.2021'!$A$6:$CZ$403,27,FALSE)+VLOOKUP($A349,'1.3.21-28.2.22'!$A$6:$DA$404,27,FALSE)-VLOOKUP($A349,'01-02.2022'!$A$6:$DA$376,27,FALSE)</f>
        <v>781.53199999999993</v>
      </c>
      <c r="AB349" s="566">
        <f>VLOOKUP($A349,'01-02.2021'!$A$6:$CZ$403,28,FALSE)+VLOOKUP($A349,'1.3.21-28.2.22'!$A$6:$DA$404,28,FALSE)-VLOOKUP($A349,'01-02.2022'!$A$6:$DA$376,28,FALSE)</f>
        <v>0</v>
      </c>
      <c r="AC349" s="70">
        <f t="shared" si="390"/>
        <v>-781.53199999999993</v>
      </c>
      <c r="AD349" s="566">
        <f>VLOOKUP($A349,'01-02.2021'!$A$6:$CZ$403,30,FALSE)+VLOOKUP($A349,'1.3.21-28.2.22'!$A$6:$DA$404,30,FALSE)-VLOOKUP($A349,'01-02.2022'!$A$6:$DA$376,30,FALSE)</f>
        <v>16859.679331281804</v>
      </c>
      <c r="AE349" s="566">
        <f>VLOOKUP($A349,'01-02.2021'!$A$6:$CZ$403,31,FALSE)+VLOOKUP($A349,'1.3.21-28.2.22'!$A$6:$DA$404,31,FALSE)-VLOOKUP($A349,'01-02.2022'!$A$6:$DA$376,31,FALSE)</f>
        <v>18085.5292035282</v>
      </c>
      <c r="AF349" s="68">
        <f t="shared" si="391"/>
        <v>1225.8498722463955</v>
      </c>
      <c r="AG349" s="77">
        <f t="shared" si="354"/>
        <v>45631.682721068792</v>
      </c>
      <c r="AH349" s="53">
        <f t="shared" si="354"/>
        <v>45086.880982076829</v>
      </c>
      <c r="AI349" s="52">
        <f t="shared" si="359"/>
        <v>-544.80173899196234</v>
      </c>
      <c r="AJ349" s="566">
        <f>VLOOKUP($A349,'01-02.2021'!$A$6:$CZ$403,36,FALSE)+VLOOKUP($A349,'1.3.21-28.2.22'!$A$6:$DA$404,36,FALSE)-VLOOKUP($A349,'01-02.2022'!$A$6:$DA$376,36,FALSE)</f>
        <v>0</v>
      </c>
      <c r="AK349" s="566">
        <f>VLOOKUP($A349,'01-02.2021'!$A$6:$CZ$403,37,FALSE)+VLOOKUP($A349,'1.3.21-28.2.22'!$A$6:$DA$404,37,FALSE)-VLOOKUP($A349,'01-02.2022'!$A$6:$DA$376,37,FALSE)</f>
        <v>0</v>
      </c>
      <c r="AL349" s="70">
        <f t="shared" si="392"/>
        <v>0</v>
      </c>
      <c r="AM349" s="566">
        <f>VLOOKUP($A349,'01-02.2021'!$A$6:$CZ$403,39,FALSE)+VLOOKUP($A349,'1.3.21-28.2.22'!$A$6:$DA$404,39,FALSE)-VLOOKUP($A349,'01-02.2022'!$A$6:$DA$376,39,FALSE)</f>
        <v>0</v>
      </c>
      <c r="AN349" s="566">
        <f>VLOOKUP($A349,'01-02.2021'!$A$6:$CZ$403,40,FALSE)+VLOOKUP($A349,'1.3.21-28.2.22'!$A$6:$DA$404,40,FALSE)-VLOOKUP($A349,'01-02.2022'!$A$6:$DA$376,40,FALSE)</f>
        <v>0</v>
      </c>
      <c r="AO349" s="70">
        <f t="shared" si="393"/>
        <v>0</v>
      </c>
      <c r="AP349" s="566">
        <f>VLOOKUP($A349,'01-02.2021'!$A$6:$CZ$403,42,FALSE)+VLOOKUP($A349,'1.3.21-28.2.22'!$A$6:$DA$404,42,FALSE)-VLOOKUP($A349,'01-02.2022'!$A$6:$DA$376,42,FALSE)</f>
        <v>6767.2790251661063</v>
      </c>
      <c r="AQ349" s="566">
        <f>VLOOKUP($A349,'01-02.2021'!$A$6:$CZ$403,43,FALSE)+VLOOKUP($A349,'1.3.21-28.2.22'!$A$6:$DA$404,43,FALSE)-VLOOKUP($A349,'01-02.2022'!$A$6:$DA$376,43,FALSE)</f>
        <v>5840.8141108622567</v>
      </c>
      <c r="AR349" s="70">
        <f t="shared" si="394"/>
        <v>-926.46491430384958</v>
      </c>
      <c r="AS349" s="566">
        <f>VLOOKUP($A349,'01-02.2021'!$A$6:$CZ$403,45,FALSE)+VLOOKUP($A349,'1.3.21-28.2.22'!$A$6:$DA$404,45,FALSE)-VLOOKUP($A349,'01-02.2022'!$A$6:$DA$376,45,FALSE)</f>
        <v>35955.453334252597</v>
      </c>
      <c r="AT349" s="566">
        <f>VLOOKUP($A349,'01-02.2021'!$A$6:$CZ$403,46,FALSE)+VLOOKUP($A349,'1.3.21-28.2.22'!$A$6:$DA$404,46,FALSE)-VLOOKUP($A349,'01-02.2022'!$A$6:$DA$376,46,FALSE)</f>
        <v>78409.504619927</v>
      </c>
      <c r="AU349" s="78">
        <f t="shared" si="395"/>
        <v>42454.051285674403</v>
      </c>
      <c r="AV349" s="566">
        <f>VLOOKUP($A349,'01-02.2021'!$A$6:$CZ$403,48,FALSE)+VLOOKUP($A349,'1.3.21-28.2.22'!$A$6:$DA$404,48,FALSE)-VLOOKUP($A349,'01-02.2022'!$A$6:$DA$376,48,FALSE)</f>
        <v>2913.4248426332615</v>
      </c>
      <c r="AW349" s="566">
        <f>VLOOKUP($A349,'01-02.2021'!$A$6:$CZ$403,49,FALSE)+VLOOKUP($A349,'1.3.21-28.2.22'!$A$6:$DA$404,49,FALSE)-VLOOKUP($A349,'01-02.2022'!$A$6:$DA$376,49,FALSE)</f>
        <v>0</v>
      </c>
      <c r="AX349" s="55">
        <f t="shared" si="396"/>
        <v>-2913.4248426332615</v>
      </c>
      <c r="AY349" s="566">
        <f>VLOOKUP($A349,'01-02.2021'!$A$6:$CZ$403,51,FALSE)+VLOOKUP($A349,'1.3.21-28.2.22'!$A$6:$DA$404,51,FALSE)-VLOOKUP($A349,'01-02.2022'!$A$6:$DA$376,51,FALSE)</f>
        <v>3647.3158799539146</v>
      </c>
      <c r="AZ349" s="566">
        <f>VLOOKUP($A349,'01-02.2021'!$A$6:$CZ$403,52,FALSE)+VLOOKUP($A349,'1.3.21-28.2.22'!$A$6:$DA$404,52,FALSE)-VLOOKUP($A349,'01-02.2022'!$A$6:$DA$376,52,FALSE)</f>
        <v>0</v>
      </c>
      <c r="BA349" s="38">
        <f t="shared" si="397"/>
        <v>-3647.3158799539146</v>
      </c>
      <c r="BB349" s="566">
        <f>VLOOKUP($A349,'01-02.2021'!$A$6:$CZ$403,54,FALSE)+VLOOKUP($A349,'1.3.21-28.2.22'!$A$6:$DA$404,54,FALSE)-VLOOKUP($A349,'01-02.2022'!$A$6:$DA$376,54,FALSE)</f>
        <v>2467.0025091019661</v>
      </c>
      <c r="BC349" s="566">
        <f>VLOOKUP($A349,'01-02.2021'!$A$6:$CZ$403,55,FALSE)+VLOOKUP($A349,'1.3.21-28.2.22'!$A$6:$DA$404,55,FALSE)-VLOOKUP($A349,'01-02.2022'!$A$6:$DA$376,55,FALSE)</f>
        <v>0</v>
      </c>
      <c r="BD349" s="55">
        <f t="shared" si="398"/>
        <v>-2467.0025091019661</v>
      </c>
      <c r="BE349" s="566">
        <f>VLOOKUP($A349,'01-02.2021'!$A$6:$CZ$403,57,FALSE)+VLOOKUP($A349,'1.3.21-28.2.22'!$A$6:$DA$404,57,FALSE)-VLOOKUP($A349,'01-02.2022'!$A$6:$DA$376,57,FALSE)</f>
        <v>0</v>
      </c>
      <c r="BF349" s="566">
        <f>VLOOKUP($A349,'01-02.2021'!$A$6:$CZ$403,58,FALSE)+VLOOKUP($A349,'1.3.21-28.2.22'!$A$6:$DA$404,58,FALSE)-VLOOKUP($A349,'01-02.2022'!$A$6:$DA$376,58,FALSE)</f>
        <v>0</v>
      </c>
      <c r="BG349" s="55">
        <f t="shared" si="399"/>
        <v>0</v>
      </c>
      <c r="BH349" s="566">
        <f>VLOOKUP($A349,'01-02.2021'!$A$6:$CZ$403,60,FALSE)+VLOOKUP($A349,'1.3.21-28.2.22'!$A$6:$DA$404,60,FALSE)-VLOOKUP($A349,'01-02.2022'!$A$6:$DA$376,60,FALSE)</f>
        <v>0</v>
      </c>
      <c r="BI349" s="566">
        <f>VLOOKUP($A349,'01-02.2021'!$A$6:$CZ$403,61,FALSE)+VLOOKUP($A349,'1.3.21-28.2.22'!$A$6:$DA$404,61,FALSE)-VLOOKUP($A349,'01-02.2022'!$A$6:$DA$376,61,FALSE)</f>
        <v>0</v>
      </c>
      <c r="BJ349" s="55">
        <f t="shared" si="400"/>
        <v>0</v>
      </c>
      <c r="BK349" s="566">
        <f>VLOOKUP($A349,'01-02.2021'!$A$6:$CZ$403,63,FALSE)+VLOOKUP($A349,'1.3.21-28.2.22'!$A$6:$DA$404,63,FALSE)-VLOOKUP($A349,'01-02.2022'!$A$6:$DA$376,63,FALSE)</f>
        <v>4418.0793563943889</v>
      </c>
      <c r="BL349" s="566">
        <f>VLOOKUP($A349,'01-02.2021'!$A$6:$CZ$403,64,FALSE)+VLOOKUP($A349,'1.3.21-28.2.22'!$A$6:$DA$404,64,FALSE)-VLOOKUP($A349,'01-02.2022'!$A$6:$DA$376,64,FALSE)</f>
        <v>354</v>
      </c>
      <c r="BM349" s="55">
        <f t="shared" si="401"/>
        <v>-4064.0793563943889</v>
      </c>
      <c r="BN349" s="566">
        <f>VLOOKUP($A349,'01-02.2021'!$A$6:$CZ$403,66,FALSE)+VLOOKUP($A349,'1.3.21-28.2.22'!$A$6:$DA$404,66,FALSE)-VLOOKUP($A349,'01-02.2022'!$A$6:$DA$376,66,FALSE)</f>
        <v>195.38299999999998</v>
      </c>
      <c r="BO349" s="566">
        <f>VLOOKUP($A349,'01-02.2021'!$A$6:$CZ$403,67,FALSE)+VLOOKUP($A349,'1.3.21-28.2.22'!$A$6:$DA$404,67,FALSE)-VLOOKUP($A349,'01-02.2022'!$A$6:$DA$376,67,FALSE)</f>
        <v>0</v>
      </c>
      <c r="BP349" s="55">
        <f t="shared" si="402"/>
        <v>-195.38299999999998</v>
      </c>
      <c r="BQ349" s="77">
        <f t="shared" si="409"/>
        <v>13641.205588083531</v>
      </c>
      <c r="BR349" s="40">
        <f t="shared" si="410"/>
        <v>354</v>
      </c>
      <c r="BS349" s="55">
        <f t="shared" si="369"/>
        <v>-13287.205588083531</v>
      </c>
      <c r="BT349" s="566">
        <f>VLOOKUP($A349,'01-02.2021'!$A$6:$CZ$403,72,FALSE)+VLOOKUP($A349,'1.3.21-28.2.22'!$A$6:$DA$404,72,FALSE)-VLOOKUP($A349,'01-02.2022'!$A$6:$DA$376,72,FALSE)</f>
        <v>44438.372820639648</v>
      </c>
      <c r="BU349" s="566">
        <f>VLOOKUP($A349,'01-02.2021'!$A$6:$CZ$403,73,FALSE)+VLOOKUP($A349,'1.3.21-28.2.22'!$A$6:$DA$404,73,FALSE)-VLOOKUP($A349,'01-02.2022'!$A$6:$DA$376,73,FALSE)</f>
        <v>54974.87160505107</v>
      </c>
      <c r="BV349" s="70">
        <f t="shared" si="403"/>
        <v>10536.498784411422</v>
      </c>
      <c r="BW349" s="566">
        <f>VLOOKUP($A349,'01-02.2021'!$A$6:$CZ$403,75,FALSE)+VLOOKUP($A349,'1.3.21-28.2.22'!$A$6:$DA$404,75,FALSE)-VLOOKUP($A349,'01-02.2022'!$A$6:$DA$376,75,FALSE)</f>
        <v>33425.793386155907</v>
      </c>
      <c r="BX349" s="566">
        <f>VLOOKUP($A349,'01-02.2021'!$A$6:$CZ$403,76,FALSE)+VLOOKUP($A349,'1.3.21-28.2.22'!$A$6:$DA$404,76,FALSE)-VLOOKUP($A349,'01-02.2022'!$A$6:$DA$376,76,FALSE)</f>
        <v>32028.678420478078</v>
      </c>
      <c r="BY349" s="70">
        <f t="shared" si="404"/>
        <v>-1397.1149656778289</v>
      </c>
      <c r="BZ349" s="566">
        <f>VLOOKUP($A349,'01-02.2021'!$A$6:$CZ$403,78,FALSE)+VLOOKUP($A349,'1.3.21-28.2.22'!$A$6:$DA$404,78,FALSE)-VLOOKUP($A349,'01-02.2022'!$A$6:$DA$376,78,FALSE)</f>
        <v>17800.366010026573</v>
      </c>
      <c r="CA349" s="566">
        <f>VLOOKUP($A349,'01-02.2021'!$A$6:$CZ$403,79,FALSE)+VLOOKUP($A349,'1.3.21-28.2.22'!$A$6:$DA$404,79,FALSE)-VLOOKUP($A349,'01-02.2022'!$A$6:$DA$376,79,FALSE)</f>
        <v>12661.354501327005</v>
      </c>
      <c r="CB349" s="70">
        <f t="shared" si="405"/>
        <v>-5139.0115086995684</v>
      </c>
      <c r="CC349" s="566">
        <f>VLOOKUP($A349,'01-02.2021'!$A$6:$CZ$403,81,FALSE)+VLOOKUP($A349,'1.3.21-28.2.22'!$A$6:$DA$404,81,FALSE)-VLOOKUP($A349,'01-02.2022'!$A$6:$DA$376,81,FALSE)</f>
        <v>747.80918204793159</v>
      </c>
      <c r="CD349" s="566">
        <f>VLOOKUP($A349,'01-02.2021'!$A$6:$CZ$403,82,FALSE)+VLOOKUP($A349,'1.3.21-28.2.22'!$A$6:$DA$404,82,FALSE)-VLOOKUP($A349,'01-02.2022'!$A$6:$DA$376,82,FALSE)</f>
        <v>817.35021593493411</v>
      </c>
      <c r="CE349" s="70">
        <f t="shared" si="406"/>
        <v>69.541033887002527</v>
      </c>
      <c r="CF349" s="566">
        <f>VLOOKUP($A349,'01-02.2021'!$A$6:$CZ$403,84,FALSE)+VLOOKUP($A349,'1.3.21-28.2.22'!$A$6:$DA$404,84,FALSE)-VLOOKUP($A349,'01-02.2022'!$A$6:$DA$376,84,FALSE)</f>
        <v>90.911610247377922</v>
      </c>
      <c r="CG349" s="566">
        <f>VLOOKUP($A349,'01-02.2021'!$A$6:$CZ$403,85,FALSE)+VLOOKUP($A349,'1.3.21-28.2.22'!$A$6:$DA$404,85,FALSE)-VLOOKUP($A349,'01-02.2022'!$A$6:$DA$376,85,FALSE)</f>
        <v>0</v>
      </c>
      <c r="CH349" s="70">
        <f t="shared" si="407"/>
        <v>-90.911610247377922</v>
      </c>
      <c r="CI349" s="566">
        <f>VLOOKUP($A349,'01-02.2021'!$A$6:$CZ$403,87,FALSE)+VLOOKUP($A349,'1.3.21-28.2.22'!$A$6:$DA$404,87,FALSE)-VLOOKUP($A349,'01-02.2022'!$A$6:$DA$376,87,FALSE)</f>
        <v>3777.6633474778464</v>
      </c>
      <c r="CJ349" s="566">
        <f>VLOOKUP($A349,'01-02.2021'!$A$6:$CZ$403,88,FALSE)+VLOOKUP($A349,'1.3.21-28.2.22'!$A$6:$DA$404,88,FALSE)-VLOOKUP($A349,'01-02.2022'!$A$6:$DA$376,88,FALSE)</f>
        <v>3127.8277309550176</v>
      </c>
      <c r="CK349" s="70">
        <f t="shared" si="408"/>
        <v>-649.83561652282879</v>
      </c>
      <c r="CL349" s="566">
        <f>VLOOKUP($A349,'01-02.2021'!$A$6:$CZ$403,90,FALSE)+VLOOKUP($A349,'1.3.21-28.2.22'!$A$6:$DA$404,90,FALSE)-VLOOKUP($A349,'01-02.2022'!$A$6:$DA$376,90,FALSE)</f>
        <v>0</v>
      </c>
      <c r="CM349" s="566">
        <f>VLOOKUP($A349,'01-02.2021'!$A$6:$CZ$403,91,FALSE)+VLOOKUP($A349,'1.3.21-28.2.22'!$A$6:$DA$404,91,FALSE)-VLOOKUP($A349,'01-02.2022'!$A$6:$DA$376,91,FALSE)</f>
        <v>0</v>
      </c>
      <c r="CN349" s="52">
        <f t="shared" si="360"/>
        <v>0</v>
      </c>
      <c r="CO349" s="39">
        <f t="shared" si="355"/>
        <v>3777.6633474778464</v>
      </c>
      <c r="CP349" s="40">
        <f t="shared" si="361"/>
        <v>3127.8277309550176</v>
      </c>
      <c r="CQ349" s="52">
        <f t="shared" si="362"/>
        <v>-649.83561652282879</v>
      </c>
      <c r="CR349" s="72">
        <f t="shared" si="356"/>
        <v>202276.5370251663</v>
      </c>
      <c r="CS349" s="5">
        <f t="shared" si="356"/>
        <v>233301.2821866122</v>
      </c>
      <c r="CT349" s="52">
        <f t="shared" si="363"/>
        <v>31024.745161445899</v>
      </c>
      <c r="CU349" s="77">
        <f t="shared" si="364"/>
        <v>242731.84443019953</v>
      </c>
      <c r="CV349" s="65">
        <f t="shared" si="365"/>
        <v>279961.53862393461</v>
      </c>
      <c r="CW349" s="35">
        <f t="shared" si="366"/>
        <v>37229.694193735078</v>
      </c>
      <c r="CX349" s="566">
        <f>VLOOKUP($A349,'01-02.2021'!$A$6:$CZ$403,102,FALSE)+VLOOKUP($A349,'1.3.21-28.2.22'!$A$6:$DA$404,102,FALSE)-VLOOKUP($A349,'01-02.2022'!$A$6:$DA$376,102,FALSE)</f>
        <v>8453.2162042373184</v>
      </c>
      <c r="CY349" s="566">
        <f>VLOOKUP($A349,'01-02.2021'!$A$6:$CZ$403,103,FALSE)+VLOOKUP($A349,'1.3.21-28.2.22'!$A$6:$DA$404,103,FALSE)-VLOOKUP($A349,'01-02.2022'!$A$6:$DA$376,103,FALSE)</f>
        <v>-28776.477989497718</v>
      </c>
      <c r="CZ349" s="52">
        <f t="shared" si="367"/>
        <v>-37229.694193735035</v>
      </c>
      <c r="DA349" s="150">
        <f>'[2]побудинковий звіт'!DA349</f>
        <v>25684.656235379196</v>
      </c>
      <c r="DB349" s="2">
        <v>2</v>
      </c>
      <c r="DC349" s="414">
        <f>'[4]побудинковий звіт'!DC349</f>
        <v>48042.51</v>
      </c>
      <c r="DD349" s="414">
        <f>'[4]побудинковий звіт'!DD349</f>
        <v>20391.32</v>
      </c>
      <c r="DE349" s="557">
        <f>'[4]побудинковий звіт'!DE349</f>
        <v>29664.211457943413</v>
      </c>
      <c r="DF349" s="557">
        <f>'[4]побудинковий звіт'!DF349</f>
        <v>15888.152428769237</v>
      </c>
      <c r="DG349" s="321">
        <f>VLOOKUP(A349,'кошти 01.03.2021'!$A$6:$D$401,4,)</f>
        <v>-5763.6015599863404</v>
      </c>
      <c r="DH349" s="40">
        <f>'[3]побудинковий звіт'!DJ349</f>
        <v>260410.04663888307</v>
      </c>
      <c r="DI349" s="422">
        <f>'[3]побудинковий звіт'!CU349+'[3]побудинковий звіт'!CX349</f>
        <v>22881.466113287352</v>
      </c>
      <c r="DJ349" s="306">
        <f>'[3]побудинковий звіт'!DM349</f>
        <v>6.0799727871404237</v>
      </c>
      <c r="DK349" s="306">
        <f t="shared" si="377"/>
        <v>6.0799727871404237</v>
      </c>
      <c r="DL349" s="306">
        <f>'[3]побудинковий звіт'!DO349</f>
        <v>4.7386799655169565</v>
      </c>
      <c r="DM349" s="28">
        <f t="shared" si="379"/>
        <v>18378.298542056589</v>
      </c>
      <c r="DN349" s="28">
        <f t="shared" si="380"/>
        <v>4503.1675712307633</v>
      </c>
      <c r="DO349" s="423">
        <f t="shared" si="381"/>
        <v>22881.466113287352</v>
      </c>
      <c r="DP349" s="94">
        <f t="shared" si="382"/>
        <v>0</v>
      </c>
      <c r="DQ349" s="28">
        <f t="shared" si="383"/>
        <v>22881.466113287352</v>
      </c>
      <c r="DR349" s="318"/>
      <c r="DT349" s="8"/>
      <c r="DU349" s="5"/>
      <c r="DX349" s="5">
        <f t="shared" si="384"/>
        <v>59515.99070680335</v>
      </c>
      <c r="DY349" s="5">
        <f t="shared" si="385"/>
        <v>94516.205543912394</v>
      </c>
      <c r="DZ349" s="159">
        <f>'[3]побудинковий звіт'!EA349</f>
        <v>5401.1380257790815</v>
      </c>
    </row>
    <row r="350" spans="1:130" x14ac:dyDescent="0.3">
      <c r="A350" s="325">
        <v>150000865</v>
      </c>
      <c r="B350" s="41" t="s">
        <v>796</v>
      </c>
      <c r="C350" s="42" t="s">
        <v>306</v>
      </c>
      <c r="D350" s="42"/>
      <c r="E350" s="293">
        <f t="shared" si="353"/>
        <v>9098.1</v>
      </c>
      <c r="F350" s="305">
        <f>'[3]побудинковий звіт'!F350</f>
        <v>6585.6</v>
      </c>
      <c r="G350" s="508">
        <f>'[3]побудинковий звіт'!G350</f>
        <v>0</v>
      </c>
      <c r="H350" s="560">
        <f>'[3]побудинковий звіт'!H350</f>
        <v>2512.5</v>
      </c>
      <c r="I350" s="566">
        <f>VLOOKUP($A350,'01-02.2021'!$A$6:$CZ$403,9,FALSE)+VLOOKUP($A350,'1.3.21-28.2.22'!$A$6:$DA$404,9,FALSE)-VLOOKUP($A350,'01-02.2022'!$A$6:$DA$376,9,FALSE)</f>
        <v>26136.717289012107</v>
      </c>
      <c r="J350" s="566">
        <f>VLOOKUP($A350,'01-02.2021'!$A$6:$CZ$403,10,FALSE)+VLOOKUP($A350,'1.3.21-28.2.22'!$A$6:$DA$404,10,FALSE)-VLOOKUP($A350,'01-02.2022'!$A$6:$DA$376,10,FALSE)</f>
        <v>28899.670621919377</v>
      </c>
      <c r="K350" s="52">
        <f t="shared" si="357"/>
        <v>2762.9533329072692</v>
      </c>
      <c r="L350" s="566">
        <f>VLOOKUP($A350,'01-02.2021'!$A$6:$CZ$403,12,FALSE)+VLOOKUP($A350,'1.3.21-28.2.22'!$A$6:$DA$404,12,FALSE)-VLOOKUP($A350,'01-02.2022'!$A$6:$DA$376,12,FALSE)</f>
        <v>5559.8161620901728</v>
      </c>
      <c r="M350" s="566">
        <f>VLOOKUP($A350,'01-02.2021'!$A$6:$CZ$403,13,FALSE)+VLOOKUP($A350,'1.3.21-28.2.22'!$A$6:$DA$404,13,FALSE)-VLOOKUP($A350,'01-02.2022'!$A$6:$DA$376,13,FALSE)</f>
        <v>6135.2633972156882</v>
      </c>
      <c r="N350" s="52">
        <f t="shared" si="358"/>
        <v>575.44723512551536</v>
      </c>
      <c r="O350" s="566">
        <f>VLOOKUP($A350,'01-02.2021'!$A$6:$CZ$403,15,FALSE)+VLOOKUP($A350,'1.3.21-28.2.22'!$A$6:$DA$404,15,FALSE)-VLOOKUP($A350,'01-02.2022'!$A$6:$DA$376,15,FALSE)</f>
        <v>11385.981079436009</v>
      </c>
      <c r="P350" s="566">
        <f>VLOOKUP($A350,'01-02.2021'!$A$6:$CZ$403,16,FALSE)+VLOOKUP($A350,'1.3.21-28.2.22'!$A$6:$DA$404,16,FALSE)-VLOOKUP($A350,'01-02.2022'!$A$6:$DA$376,16,FALSE)</f>
        <v>11385.98</v>
      </c>
      <c r="Q350" s="70">
        <f t="shared" si="386"/>
        <v>-1.079436009604251E-3</v>
      </c>
      <c r="R350" s="566">
        <f>VLOOKUP($A350,'01-02.2021'!$A$6:$CZ$403,18,FALSE)+VLOOKUP($A350,'1.3.21-28.2.22'!$A$6:$DA$404,18,FALSE)-VLOOKUP($A350,'01-02.2022'!$A$6:$DA$376,18,FALSE)</f>
        <v>0</v>
      </c>
      <c r="S350" s="566">
        <f>VLOOKUP($A350,'01-02.2021'!$A$6:$CZ$403,19,FALSE)+VLOOKUP($A350,'1.3.21-28.2.22'!$A$6:$DA$404,19,FALSE)-VLOOKUP($A350,'01-02.2022'!$A$6:$DA$376,19,FALSE)</f>
        <v>0</v>
      </c>
      <c r="T350" s="70">
        <f t="shared" si="387"/>
        <v>0</v>
      </c>
      <c r="U350" s="566">
        <f>VLOOKUP($A350,'01-02.2021'!$A$6:$CZ$403,21,FALSE)+VLOOKUP($A350,'1.3.21-28.2.22'!$A$6:$DA$404,21,FALSE)-VLOOKUP($A350,'01-02.2022'!$A$6:$DA$376,21,FALSE)</f>
        <v>0</v>
      </c>
      <c r="V350" s="566">
        <f>VLOOKUP($A350,'01-02.2021'!$A$6:$CZ$403,22,FALSE)+VLOOKUP($A350,'1.3.21-28.2.22'!$A$6:$DA$404,22,FALSE)-VLOOKUP($A350,'01-02.2022'!$A$6:$DA$376,22,FALSE)</f>
        <v>0</v>
      </c>
      <c r="W350" s="70">
        <f t="shared" si="388"/>
        <v>0</v>
      </c>
      <c r="X350" s="566">
        <f>VLOOKUP($A350,'01-02.2021'!$A$6:$CZ$403,24,FALSE)+VLOOKUP($A350,'1.3.21-28.2.22'!$A$6:$DA$404,24,FALSE)-VLOOKUP($A350,'01-02.2022'!$A$6:$DA$376,24,FALSE)</f>
        <v>26645.136752282935</v>
      </c>
      <c r="Y350" s="566">
        <f>VLOOKUP($A350,'01-02.2021'!$A$6:$CZ$403,25,FALSE)+VLOOKUP($A350,'1.3.21-28.2.22'!$A$6:$DA$404,25,FALSE)-VLOOKUP($A350,'01-02.2022'!$A$6:$DA$376,25,FALSE)</f>
        <v>22669.702519361817</v>
      </c>
      <c r="Z350" s="70">
        <f t="shared" si="389"/>
        <v>-3975.4342329211177</v>
      </c>
      <c r="AA350" s="566">
        <f>VLOOKUP($A350,'01-02.2021'!$A$6:$CZ$403,27,FALSE)+VLOOKUP($A350,'1.3.21-28.2.22'!$A$6:$DA$404,27,FALSE)-VLOOKUP($A350,'01-02.2022'!$A$6:$DA$376,27,FALSE)</f>
        <v>1834.088</v>
      </c>
      <c r="AB350" s="566">
        <f>VLOOKUP($A350,'01-02.2021'!$A$6:$CZ$403,28,FALSE)+VLOOKUP($A350,'1.3.21-28.2.22'!$A$6:$DA$404,28,FALSE)-VLOOKUP($A350,'01-02.2022'!$A$6:$DA$376,28,FALSE)</f>
        <v>12890.198947820956</v>
      </c>
      <c r="AC350" s="70">
        <f t="shared" si="390"/>
        <v>11056.110947820956</v>
      </c>
      <c r="AD350" s="566">
        <f>VLOOKUP($A350,'01-02.2021'!$A$6:$CZ$403,30,FALSE)+VLOOKUP($A350,'1.3.21-28.2.22'!$A$6:$DA$404,30,FALSE)-VLOOKUP($A350,'01-02.2022'!$A$6:$DA$376,30,FALSE)</f>
        <v>38952.956577251207</v>
      </c>
      <c r="AE350" s="566">
        <f>VLOOKUP($A350,'01-02.2021'!$A$6:$CZ$403,31,FALSE)+VLOOKUP($A350,'1.3.21-28.2.22'!$A$6:$DA$404,31,FALSE)-VLOOKUP($A350,'01-02.2022'!$A$6:$DA$376,31,FALSE)</f>
        <v>41505.981171890839</v>
      </c>
      <c r="AF350" s="68">
        <f t="shared" si="391"/>
        <v>2553.0245946396317</v>
      </c>
      <c r="AG350" s="77">
        <f t="shared" si="354"/>
        <v>110514.69586007245</v>
      </c>
      <c r="AH350" s="53">
        <f t="shared" si="354"/>
        <v>123486.79665820868</v>
      </c>
      <c r="AI350" s="52">
        <f t="shared" si="359"/>
        <v>12972.100798136235</v>
      </c>
      <c r="AJ350" s="566">
        <f>VLOOKUP($A350,'01-02.2021'!$A$6:$CZ$403,36,FALSE)+VLOOKUP($A350,'1.3.21-28.2.22'!$A$6:$DA$404,36,FALSE)-VLOOKUP($A350,'01-02.2022'!$A$6:$DA$376,36,FALSE)</f>
        <v>0</v>
      </c>
      <c r="AK350" s="566">
        <f>VLOOKUP($A350,'01-02.2021'!$A$6:$CZ$403,37,FALSE)+VLOOKUP($A350,'1.3.21-28.2.22'!$A$6:$DA$404,37,FALSE)-VLOOKUP($A350,'01-02.2022'!$A$6:$DA$376,37,FALSE)</f>
        <v>0</v>
      </c>
      <c r="AL350" s="70">
        <f t="shared" si="392"/>
        <v>0</v>
      </c>
      <c r="AM350" s="566">
        <f>VLOOKUP($A350,'01-02.2021'!$A$6:$CZ$403,39,FALSE)+VLOOKUP($A350,'1.3.21-28.2.22'!$A$6:$DA$404,39,FALSE)-VLOOKUP($A350,'01-02.2022'!$A$6:$DA$376,39,FALSE)</f>
        <v>0</v>
      </c>
      <c r="AN350" s="566">
        <f>VLOOKUP($A350,'01-02.2021'!$A$6:$CZ$403,40,FALSE)+VLOOKUP($A350,'1.3.21-28.2.22'!$A$6:$DA$404,40,FALSE)-VLOOKUP($A350,'01-02.2022'!$A$6:$DA$376,40,FALSE)</f>
        <v>0</v>
      </c>
      <c r="AO350" s="70">
        <f t="shared" si="393"/>
        <v>0</v>
      </c>
      <c r="AP350" s="566">
        <f>VLOOKUP($A350,'01-02.2021'!$A$6:$CZ$403,42,FALSE)+VLOOKUP($A350,'1.3.21-28.2.22'!$A$6:$DA$404,42,FALSE)-VLOOKUP($A350,'01-02.2022'!$A$6:$DA$376,42,FALSE)</f>
        <v>20952.53698176429</v>
      </c>
      <c r="AQ350" s="566">
        <f>VLOOKUP($A350,'01-02.2021'!$A$6:$CZ$403,43,FALSE)+VLOOKUP($A350,'1.3.21-28.2.22'!$A$6:$DA$404,43,FALSE)-VLOOKUP($A350,'01-02.2022'!$A$6:$DA$376,43,FALSE)</f>
        <v>18084.05907401583</v>
      </c>
      <c r="AR350" s="70">
        <f t="shared" si="394"/>
        <v>-2868.47790774846</v>
      </c>
      <c r="AS350" s="566">
        <f>VLOOKUP($A350,'01-02.2021'!$A$6:$CZ$403,45,FALSE)+VLOOKUP($A350,'1.3.21-28.2.22'!$A$6:$DA$404,45,FALSE)-VLOOKUP($A350,'01-02.2022'!$A$6:$DA$376,45,FALSE)</f>
        <v>81479.539346016129</v>
      </c>
      <c r="AT350" s="566">
        <f>VLOOKUP($A350,'01-02.2021'!$A$6:$CZ$403,46,FALSE)+VLOOKUP($A350,'1.3.21-28.2.22'!$A$6:$DA$404,46,FALSE)-VLOOKUP($A350,'01-02.2022'!$A$6:$DA$376,46,FALSE)</f>
        <v>92074.81</v>
      </c>
      <c r="AU350" s="78">
        <f t="shared" si="395"/>
        <v>10595.270653983869</v>
      </c>
      <c r="AV350" s="566">
        <f>VLOOKUP($A350,'01-02.2021'!$A$6:$CZ$403,48,FALSE)+VLOOKUP($A350,'1.3.21-28.2.22'!$A$6:$DA$404,48,FALSE)-VLOOKUP($A350,'01-02.2022'!$A$6:$DA$376,48,FALSE)</f>
        <v>7211.8835706926357</v>
      </c>
      <c r="AW350" s="566">
        <f>VLOOKUP($A350,'01-02.2021'!$A$6:$CZ$403,49,FALSE)+VLOOKUP($A350,'1.3.21-28.2.22'!$A$6:$DA$404,49,FALSE)-VLOOKUP($A350,'01-02.2022'!$A$6:$DA$376,49,FALSE)</f>
        <v>0</v>
      </c>
      <c r="AX350" s="55">
        <f t="shared" si="396"/>
        <v>-7211.8835706926357</v>
      </c>
      <c r="AY350" s="566">
        <f>VLOOKUP($A350,'01-02.2021'!$A$6:$CZ$403,51,FALSE)+VLOOKUP($A350,'1.3.21-28.2.22'!$A$6:$DA$404,51,FALSE)-VLOOKUP($A350,'01-02.2022'!$A$6:$DA$376,51,FALSE)</f>
        <v>10451.10275545355</v>
      </c>
      <c r="AZ350" s="566">
        <f>VLOOKUP($A350,'01-02.2021'!$A$6:$CZ$403,52,FALSE)+VLOOKUP($A350,'1.3.21-28.2.22'!$A$6:$DA$404,52,FALSE)-VLOOKUP($A350,'01-02.2022'!$A$6:$DA$376,52,FALSE)</f>
        <v>1410</v>
      </c>
      <c r="BA350" s="38">
        <f t="shared" si="397"/>
        <v>-9041.1027554535503</v>
      </c>
      <c r="BB350" s="566">
        <f>VLOOKUP($A350,'01-02.2021'!$A$6:$CZ$403,54,FALSE)+VLOOKUP($A350,'1.3.21-28.2.22'!$A$6:$DA$404,54,FALSE)-VLOOKUP($A350,'01-02.2022'!$A$6:$DA$376,54,FALSE)</f>
        <v>5188.5161865847858</v>
      </c>
      <c r="BC350" s="566">
        <f>VLOOKUP($A350,'01-02.2021'!$A$6:$CZ$403,55,FALSE)+VLOOKUP($A350,'1.3.21-28.2.22'!$A$6:$DA$404,55,FALSE)-VLOOKUP($A350,'01-02.2022'!$A$6:$DA$376,55,FALSE)</f>
        <v>731</v>
      </c>
      <c r="BD350" s="55">
        <f t="shared" si="398"/>
        <v>-4457.5161865847858</v>
      </c>
      <c r="BE350" s="566">
        <f>VLOOKUP($A350,'01-02.2021'!$A$6:$CZ$403,57,FALSE)+VLOOKUP($A350,'1.3.21-28.2.22'!$A$6:$DA$404,57,FALSE)-VLOOKUP($A350,'01-02.2022'!$A$6:$DA$376,57,FALSE)</f>
        <v>0</v>
      </c>
      <c r="BF350" s="566">
        <f>VLOOKUP($A350,'01-02.2021'!$A$6:$CZ$403,58,FALSE)+VLOOKUP($A350,'1.3.21-28.2.22'!$A$6:$DA$404,58,FALSE)-VLOOKUP($A350,'01-02.2022'!$A$6:$DA$376,58,FALSE)</f>
        <v>0</v>
      </c>
      <c r="BG350" s="55">
        <f t="shared" si="399"/>
        <v>0</v>
      </c>
      <c r="BH350" s="566">
        <f>VLOOKUP($A350,'01-02.2021'!$A$6:$CZ$403,60,FALSE)+VLOOKUP($A350,'1.3.21-28.2.22'!$A$6:$DA$404,60,FALSE)-VLOOKUP($A350,'01-02.2022'!$A$6:$DA$376,60,FALSE)</f>
        <v>0</v>
      </c>
      <c r="BI350" s="566">
        <f>VLOOKUP($A350,'01-02.2021'!$A$6:$CZ$403,61,FALSE)+VLOOKUP($A350,'1.3.21-28.2.22'!$A$6:$DA$404,61,FALSE)-VLOOKUP($A350,'01-02.2022'!$A$6:$DA$376,61,FALSE)</f>
        <v>0</v>
      </c>
      <c r="BJ350" s="55">
        <f t="shared" si="400"/>
        <v>0</v>
      </c>
      <c r="BK350" s="566">
        <f>VLOOKUP($A350,'01-02.2021'!$A$6:$CZ$403,63,FALSE)+VLOOKUP($A350,'1.3.21-28.2.22'!$A$6:$DA$404,63,FALSE)-VLOOKUP($A350,'01-02.2022'!$A$6:$DA$376,63,FALSE)</f>
        <v>10210.95336677504</v>
      </c>
      <c r="BL350" s="566">
        <f>VLOOKUP($A350,'01-02.2021'!$A$6:$CZ$403,64,FALSE)+VLOOKUP($A350,'1.3.21-28.2.22'!$A$6:$DA$404,64,FALSE)-VLOOKUP($A350,'01-02.2022'!$A$6:$DA$376,64,FALSE)</f>
        <v>0</v>
      </c>
      <c r="BM350" s="55">
        <f t="shared" si="401"/>
        <v>-10210.95336677504</v>
      </c>
      <c r="BN350" s="566">
        <f>VLOOKUP($A350,'01-02.2021'!$A$6:$CZ$403,66,FALSE)+VLOOKUP($A350,'1.3.21-28.2.22'!$A$6:$DA$404,66,FALSE)-VLOOKUP($A350,'01-02.2022'!$A$6:$DA$376,66,FALSE)</f>
        <v>458.52199999999999</v>
      </c>
      <c r="BO350" s="566">
        <f>VLOOKUP($A350,'01-02.2021'!$A$6:$CZ$403,67,FALSE)+VLOOKUP($A350,'1.3.21-28.2.22'!$A$6:$DA$404,67,FALSE)-VLOOKUP($A350,'01-02.2022'!$A$6:$DA$376,67,FALSE)</f>
        <v>1264</v>
      </c>
      <c r="BP350" s="55">
        <f t="shared" si="402"/>
        <v>805.47800000000007</v>
      </c>
      <c r="BQ350" s="77">
        <f t="shared" si="409"/>
        <v>33520.977879506012</v>
      </c>
      <c r="BR350" s="40">
        <f t="shared" si="410"/>
        <v>3405</v>
      </c>
      <c r="BS350" s="55">
        <f t="shared" si="369"/>
        <v>-30115.977879506012</v>
      </c>
      <c r="BT350" s="566">
        <f>VLOOKUP($A350,'01-02.2021'!$A$6:$CZ$403,72,FALSE)+VLOOKUP($A350,'1.3.21-28.2.22'!$A$6:$DA$404,72,FALSE)-VLOOKUP($A350,'01-02.2022'!$A$6:$DA$376,72,FALSE)</f>
        <v>69966.621558655243</v>
      </c>
      <c r="BU350" s="566">
        <f>VLOOKUP($A350,'01-02.2021'!$A$6:$CZ$403,73,FALSE)+VLOOKUP($A350,'1.3.21-28.2.22'!$A$6:$DA$404,73,FALSE)-VLOOKUP($A350,'01-02.2022'!$A$6:$DA$376,73,FALSE)</f>
        <v>83837.205829441722</v>
      </c>
      <c r="BV350" s="70">
        <f t="shared" si="403"/>
        <v>13870.584270786479</v>
      </c>
      <c r="BW350" s="566">
        <f>VLOOKUP($A350,'01-02.2021'!$A$6:$CZ$403,75,FALSE)+VLOOKUP($A350,'1.3.21-28.2.22'!$A$6:$DA$404,75,FALSE)-VLOOKUP($A350,'01-02.2022'!$A$6:$DA$376,75,FALSE)</f>
        <v>46205.361592944319</v>
      </c>
      <c r="BX350" s="566">
        <f>VLOOKUP($A350,'01-02.2021'!$A$6:$CZ$403,76,FALSE)+VLOOKUP($A350,'1.3.21-28.2.22'!$A$6:$DA$404,76,FALSE)-VLOOKUP($A350,'01-02.2022'!$A$6:$DA$376,76,FALSE)</f>
        <v>42143.792073299905</v>
      </c>
      <c r="BY350" s="70">
        <f t="shared" si="404"/>
        <v>-4061.569519644414</v>
      </c>
      <c r="BZ350" s="566">
        <f>VLOOKUP($A350,'01-02.2021'!$A$6:$CZ$403,78,FALSE)+VLOOKUP($A350,'1.3.21-28.2.22'!$A$6:$DA$404,78,FALSE)-VLOOKUP($A350,'01-02.2022'!$A$6:$DA$376,78,FALSE)</f>
        <v>28127.438247711547</v>
      </c>
      <c r="CA350" s="566">
        <f>VLOOKUP($A350,'01-02.2021'!$A$6:$CZ$403,79,FALSE)+VLOOKUP($A350,'1.3.21-28.2.22'!$A$6:$DA$404,79,FALSE)-VLOOKUP($A350,'01-02.2022'!$A$6:$DA$376,79,FALSE)</f>
        <v>22388.00011206566</v>
      </c>
      <c r="CB350" s="70">
        <f t="shared" si="405"/>
        <v>-5739.4381356458871</v>
      </c>
      <c r="CC350" s="566">
        <f>VLOOKUP($A350,'01-02.2021'!$A$6:$CZ$403,81,FALSE)+VLOOKUP($A350,'1.3.21-28.2.22'!$A$6:$DA$404,81,FALSE)-VLOOKUP($A350,'01-02.2022'!$A$6:$DA$376,81,FALSE)</f>
        <v>825.26084733146729</v>
      </c>
      <c r="CD350" s="566">
        <f>VLOOKUP($A350,'01-02.2021'!$A$6:$CZ$403,82,FALSE)+VLOOKUP($A350,'1.3.21-28.2.22'!$A$6:$DA$404,82,FALSE)-VLOOKUP($A350,'01-02.2022'!$A$6:$DA$376,82,FALSE)</f>
        <v>902.0043454424806</v>
      </c>
      <c r="CE350" s="70">
        <f t="shared" si="406"/>
        <v>76.743498111013309</v>
      </c>
      <c r="CF350" s="566">
        <f>VLOOKUP($A350,'01-02.2021'!$A$6:$CZ$403,84,FALSE)+VLOOKUP($A350,'1.3.21-28.2.22'!$A$6:$DA$404,84,FALSE)-VLOOKUP($A350,'01-02.2022'!$A$6:$DA$376,84,FALSE)</f>
        <v>100.32745559442782</v>
      </c>
      <c r="CG350" s="566">
        <f>VLOOKUP($A350,'01-02.2021'!$A$6:$CZ$403,85,FALSE)+VLOOKUP($A350,'1.3.21-28.2.22'!$A$6:$DA$404,85,FALSE)-VLOOKUP($A350,'01-02.2022'!$A$6:$DA$376,85,FALSE)</f>
        <v>0</v>
      </c>
      <c r="CH350" s="70">
        <f t="shared" si="407"/>
        <v>-100.32745559442782</v>
      </c>
      <c r="CI350" s="566">
        <f>VLOOKUP($A350,'01-02.2021'!$A$6:$CZ$403,87,FALSE)+VLOOKUP($A350,'1.3.21-28.2.22'!$A$6:$DA$404,87,FALSE)-VLOOKUP($A350,'01-02.2022'!$A$6:$DA$376,87,FALSE)</f>
        <v>14887.529624682511</v>
      </c>
      <c r="CJ350" s="566">
        <f>VLOOKUP($A350,'01-02.2021'!$A$6:$CZ$403,88,FALSE)+VLOOKUP($A350,'1.3.21-28.2.22'!$A$6:$DA$404,88,FALSE)-VLOOKUP($A350,'01-02.2022'!$A$6:$DA$376,88,FALSE)</f>
        <v>27329.582377131253</v>
      </c>
      <c r="CK350" s="70">
        <f t="shared" si="408"/>
        <v>12442.052752448742</v>
      </c>
      <c r="CL350" s="566">
        <f>VLOOKUP($A350,'01-02.2021'!$A$6:$CZ$403,90,FALSE)+VLOOKUP($A350,'1.3.21-28.2.22'!$A$6:$DA$404,90,FALSE)-VLOOKUP($A350,'01-02.2022'!$A$6:$DA$376,90,FALSE)</f>
        <v>0</v>
      </c>
      <c r="CM350" s="566">
        <f>VLOOKUP($A350,'01-02.2021'!$A$6:$CZ$403,91,FALSE)+VLOOKUP($A350,'1.3.21-28.2.22'!$A$6:$DA$404,91,FALSE)-VLOOKUP($A350,'01-02.2022'!$A$6:$DA$376,91,FALSE)</f>
        <v>0</v>
      </c>
      <c r="CN350" s="52">
        <f t="shared" si="360"/>
        <v>0</v>
      </c>
      <c r="CO350" s="39">
        <f t="shared" si="355"/>
        <v>14887.529624682511</v>
      </c>
      <c r="CP350" s="40">
        <f t="shared" si="361"/>
        <v>27329.582377131253</v>
      </c>
      <c r="CQ350" s="52">
        <f t="shared" si="362"/>
        <v>12442.052752448742</v>
      </c>
      <c r="CR350" s="72">
        <f t="shared" si="356"/>
        <v>406580.28939427843</v>
      </c>
      <c r="CS350" s="5">
        <f t="shared" si="356"/>
        <v>413651.2504696055</v>
      </c>
      <c r="CT350" s="52">
        <f t="shared" si="363"/>
        <v>7070.9610753270681</v>
      </c>
      <c r="CU350" s="77">
        <f t="shared" si="364"/>
        <v>487896.3472731341</v>
      </c>
      <c r="CV350" s="65">
        <f t="shared" si="365"/>
        <v>496381.50056352658</v>
      </c>
      <c r="CW350" s="35">
        <f t="shared" si="366"/>
        <v>8485.1532903924817</v>
      </c>
      <c r="CX350" s="566">
        <f>VLOOKUP($A350,'01-02.2021'!$A$6:$CZ$403,102,FALSE)+VLOOKUP($A350,'1.3.21-28.2.22'!$A$6:$DA$404,102,FALSE)-VLOOKUP($A350,'01-02.2022'!$A$6:$DA$376,102,FALSE)</f>
        <v>16492.058738870757</v>
      </c>
      <c r="CY350" s="566">
        <f>VLOOKUP($A350,'01-02.2021'!$A$6:$CZ$403,103,FALSE)+VLOOKUP($A350,'1.3.21-28.2.22'!$A$6:$DA$404,103,FALSE)-VLOOKUP($A350,'01-02.2022'!$A$6:$DA$376,103,FALSE)</f>
        <v>8006.9054484782428</v>
      </c>
      <c r="CZ350" s="52">
        <f t="shared" si="367"/>
        <v>-8485.1532903925145</v>
      </c>
      <c r="DA350" s="150">
        <f>'[2]побудинковий звіт'!DA350</f>
        <v>63388.098353681649</v>
      </c>
      <c r="DB350" s="2">
        <v>2</v>
      </c>
      <c r="DC350" s="414">
        <f>'[4]побудинковий звіт'!DC350</f>
        <v>87773.37</v>
      </c>
      <c r="DD350" s="414">
        <f>'[4]побудинковий звіт'!DD350</f>
        <v>16262.63</v>
      </c>
      <c r="DE350" s="557">
        <f>'[4]побудинковий звіт'!DE350</f>
        <v>53469.047711493666</v>
      </c>
      <c r="DF350" s="557">
        <f>'[4]побудинковий звіт'!DF350</f>
        <v>5302.2176463019823</v>
      </c>
      <c r="DG350" s="321">
        <f>VLOOKUP(A350,'кошти 01.03.2021'!$A$6:$D$401,4,)</f>
        <v>78158.722023741138</v>
      </c>
      <c r="DH350" s="40">
        <f>'[3]побудинковий звіт'!DJ350</f>
        <v>519631.72913521709</v>
      </c>
      <c r="DI350" s="422">
        <f>'[3]побудинковий звіт'!CU350+'[3]побудинковий звіт'!CX350</f>
        <v>45264.734642204348</v>
      </c>
      <c r="DJ350" s="306">
        <f>'[3]побудинковий звіт'!DM350</f>
        <v>5.2089896575112862</v>
      </c>
      <c r="DK350" s="306">
        <f t="shared" si="377"/>
        <v>5.2089896575112862</v>
      </c>
      <c r="DL350" s="306">
        <f>'[3]побудинковий звіт'!DO350</f>
        <v>4.3623531756012008</v>
      </c>
      <c r="DM350" s="28">
        <f t="shared" si="379"/>
        <v>34304.32228850633</v>
      </c>
      <c r="DN350" s="28">
        <f t="shared" si="380"/>
        <v>10960.412353698017</v>
      </c>
      <c r="DO350" s="423">
        <f t="shared" si="381"/>
        <v>45264.734642204348</v>
      </c>
      <c r="DP350" s="94">
        <f t="shared" si="382"/>
        <v>0</v>
      </c>
      <c r="DQ350" s="28">
        <f t="shared" si="383"/>
        <v>45264.734642204348</v>
      </c>
      <c r="DR350" s="318"/>
      <c r="DT350" s="8"/>
      <c r="DU350" s="5"/>
      <c r="DX350" s="5">
        <f t="shared" si="384"/>
        <v>138000.62067062655</v>
      </c>
      <c r="DY350" s="5">
        <f t="shared" si="385"/>
        <v>114575.772</v>
      </c>
      <c r="DZ350" s="159">
        <f>'[3]побудинковий звіт'!EA350</f>
        <v>12981.560320015666</v>
      </c>
    </row>
    <row r="351" spans="1:130" x14ac:dyDescent="0.3">
      <c r="A351" s="325">
        <v>150000873</v>
      </c>
      <c r="B351" s="41" t="s">
        <v>797</v>
      </c>
      <c r="C351" s="42" t="s">
        <v>307</v>
      </c>
      <c r="D351" s="42"/>
      <c r="E351" s="293">
        <f t="shared" si="353"/>
        <v>2609.46</v>
      </c>
      <c r="F351" s="305">
        <f>'[3]побудинковий звіт'!F351</f>
        <v>2468.86</v>
      </c>
      <c r="G351" s="508">
        <f>'[3]побудинковий звіт'!G351</f>
        <v>0</v>
      </c>
      <c r="H351" s="560">
        <f>'[3]побудинковий звіт'!H351</f>
        <v>140.6</v>
      </c>
      <c r="I351" s="566">
        <f>VLOOKUP($A351,'01-02.2021'!$A$6:$CZ$403,9,FALSE)+VLOOKUP($A351,'1.3.21-28.2.22'!$A$6:$DA$404,9,FALSE)-VLOOKUP($A351,'01-02.2022'!$A$6:$DA$376,9,FALSE)</f>
        <v>8574.5546905081901</v>
      </c>
      <c r="J351" s="566">
        <f>VLOOKUP($A351,'01-02.2021'!$A$6:$CZ$403,10,FALSE)+VLOOKUP($A351,'1.3.21-28.2.22'!$A$6:$DA$404,10,FALSE)-VLOOKUP($A351,'01-02.2022'!$A$6:$DA$376,10,FALSE)</f>
        <v>9434.8913800663613</v>
      </c>
      <c r="K351" s="52">
        <f t="shared" si="357"/>
        <v>860.3366895581712</v>
      </c>
      <c r="L351" s="566">
        <f>VLOOKUP($A351,'01-02.2021'!$A$6:$CZ$403,12,FALSE)+VLOOKUP($A351,'1.3.21-28.2.22'!$A$6:$DA$404,12,FALSE)-VLOOKUP($A351,'01-02.2022'!$A$6:$DA$376,12,FALSE)</f>
        <v>1677.9188608518759</v>
      </c>
      <c r="M351" s="566">
        <f>VLOOKUP($A351,'01-02.2021'!$A$6:$CZ$403,13,FALSE)+VLOOKUP($A351,'1.3.21-28.2.22'!$A$6:$DA$404,13,FALSE)-VLOOKUP($A351,'01-02.2022'!$A$6:$DA$376,13,FALSE)</f>
        <v>1847.4487438136168</v>
      </c>
      <c r="N351" s="52">
        <f t="shared" si="358"/>
        <v>169.5298829617409</v>
      </c>
      <c r="O351" s="566">
        <f>VLOOKUP($A351,'01-02.2021'!$A$6:$CZ$403,15,FALSE)+VLOOKUP($A351,'1.3.21-28.2.22'!$A$6:$DA$404,15,FALSE)-VLOOKUP($A351,'01-02.2022'!$A$6:$DA$376,15,FALSE)</f>
        <v>3230.4948611714826</v>
      </c>
      <c r="P351" s="566">
        <f>VLOOKUP($A351,'01-02.2021'!$A$6:$CZ$403,16,FALSE)+VLOOKUP($A351,'1.3.21-28.2.22'!$A$6:$DA$404,16,FALSE)-VLOOKUP($A351,'01-02.2022'!$A$6:$DA$376,16,FALSE)</f>
        <v>3230.4599999999996</v>
      </c>
      <c r="Q351" s="70">
        <f t="shared" si="386"/>
        <v>-3.4861171483044018E-2</v>
      </c>
      <c r="R351" s="566">
        <f>VLOOKUP($A351,'01-02.2021'!$A$6:$CZ$403,18,FALSE)+VLOOKUP($A351,'1.3.21-28.2.22'!$A$6:$DA$404,18,FALSE)-VLOOKUP($A351,'01-02.2022'!$A$6:$DA$376,18,FALSE)</f>
        <v>0</v>
      </c>
      <c r="S351" s="566">
        <f>VLOOKUP($A351,'01-02.2021'!$A$6:$CZ$403,19,FALSE)+VLOOKUP($A351,'1.3.21-28.2.22'!$A$6:$DA$404,19,FALSE)-VLOOKUP($A351,'01-02.2022'!$A$6:$DA$376,19,FALSE)</f>
        <v>0</v>
      </c>
      <c r="T351" s="70">
        <f t="shared" si="387"/>
        <v>0</v>
      </c>
      <c r="U351" s="566">
        <f>VLOOKUP($A351,'01-02.2021'!$A$6:$CZ$403,21,FALSE)+VLOOKUP($A351,'1.3.21-28.2.22'!$A$6:$DA$404,21,FALSE)-VLOOKUP($A351,'01-02.2022'!$A$6:$DA$376,21,FALSE)</f>
        <v>0</v>
      </c>
      <c r="V351" s="566">
        <f>VLOOKUP($A351,'01-02.2021'!$A$6:$CZ$403,22,FALSE)+VLOOKUP($A351,'1.3.21-28.2.22'!$A$6:$DA$404,22,FALSE)-VLOOKUP($A351,'01-02.2022'!$A$6:$DA$376,22,FALSE)</f>
        <v>0</v>
      </c>
      <c r="W351" s="70">
        <f t="shared" si="388"/>
        <v>0</v>
      </c>
      <c r="X351" s="566">
        <f>VLOOKUP($A351,'01-02.2021'!$A$6:$CZ$403,24,FALSE)+VLOOKUP($A351,'1.3.21-28.2.22'!$A$6:$DA$404,24,FALSE)-VLOOKUP($A351,'01-02.2022'!$A$6:$DA$376,24,FALSE)</f>
        <v>4586.0012281854506</v>
      </c>
      <c r="Y351" s="566">
        <f>VLOOKUP($A351,'01-02.2021'!$A$6:$CZ$403,25,FALSE)+VLOOKUP($A351,'1.3.21-28.2.22'!$A$6:$DA$404,25,FALSE)-VLOOKUP($A351,'01-02.2022'!$A$6:$DA$376,25,FALSE)</f>
        <v>3605.3730679563805</v>
      </c>
      <c r="Z351" s="70">
        <f t="shared" si="389"/>
        <v>-980.62816022907009</v>
      </c>
      <c r="AA351" s="566">
        <f>VLOOKUP($A351,'01-02.2021'!$A$6:$CZ$403,27,FALSE)+VLOOKUP($A351,'1.3.21-28.2.22'!$A$6:$DA$404,27,FALSE)-VLOOKUP($A351,'01-02.2022'!$A$6:$DA$376,27,FALSE)</f>
        <v>521.89200000000005</v>
      </c>
      <c r="AB351" s="566">
        <f>VLOOKUP($A351,'01-02.2021'!$A$6:$CZ$403,28,FALSE)+VLOOKUP($A351,'1.3.21-28.2.22'!$A$6:$DA$404,28,FALSE)-VLOOKUP($A351,'01-02.2022'!$A$6:$DA$376,28,FALSE)</f>
        <v>0</v>
      </c>
      <c r="AC351" s="70">
        <f t="shared" si="390"/>
        <v>-521.89200000000005</v>
      </c>
      <c r="AD351" s="566">
        <f>VLOOKUP($A351,'01-02.2021'!$A$6:$CZ$403,30,FALSE)+VLOOKUP($A351,'1.3.21-28.2.22'!$A$6:$DA$404,30,FALSE)-VLOOKUP($A351,'01-02.2022'!$A$6:$DA$376,30,FALSE)</f>
        <v>11194.477557737999</v>
      </c>
      <c r="AE351" s="566">
        <f>VLOOKUP($A351,'01-02.2021'!$A$6:$CZ$403,31,FALSE)+VLOOKUP($A351,'1.3.21-28.2.22'!$A$6:$DA$404,31,FALSE)-VLOOKUP($A351,'01-02.2022'!$A$6:$DA$376,31,FALSE)</f>
        <v>11878.507518684972</v>
      </c>
      <c r="AF351" s="68">
        <f t="shared" si="391"/>
        <v>684.02996094697301</v>
      </c>
      <c r="AG351" s="77">
        <f t="shared" si="354"/>
        <v>29785.339198454996</v>
      </c>
      <c r="AH351" s="53">
        <f t="shared" si="354"/>
        <v>29996.68071052133</v>
      </c>
      <c r="AI351" s="52">
        <f t="shared" si="359"/>
        <v>211.34151206633396</v>
      </c>
      <c r="AJ351" s="566">
        <f>VLOOKUP($A351,'01-02.2021'!$A$6:$CZ$403,36,FALSE)+VLOOKUP($A351,'1.3.21-28.2.22'!$A$6:$DA$404,36,FALSE)-VLOOKUP($A351,'01-02.2022'!$A$6:$DA$376,36,FALSE)</f>
        <v>0</v>
      </c>
      <c r="AK351" s="566">
        <f>VLOOKUP($A351,'01-02.2021'!$A$6:$CZ$403,37,FALSE)+VLOOKUP($A351,'1.3.21-28.2.22'!$A$6:$DA$404,37,FALSE)-VLOOKUP($A351,'01-02.2022'!$A$6:$DA$376,37,FALSE)</f>
        <v>0</v>
      </c>
      <c r="AL351" s="70">
        <f t="shared" si="392"/>
        <v>0</v>
      </c>
      <c r="AM351" s="566">
        <f>VLOOKUP($A351,'01-02.2021'!$A$6:$CZ$403,39,FALSE)+VLOOKUP($A351,'1.3.21-28.2.22'!$A$6:$DA$404,39,FALSE)-VLOOKUP($A351,'01-02.2022'!$A$6:$DA$376,39,FALSE)</f>
        <v>0</v>
      </c>
      <c r="AN351" s="566">
        <f>VLOOKUP($A351,'01-02.2021'!$A$6:$CZ$403,40,FALSE)+VLOOKUP($A351,'1.3.21-28.2.22'!$A$6:$DA$404,40,FALSE)-VLOOKUP($A351,'01-02.2022'!$A$6:$DA$376,40,FALSE)</f>
        <v>0</v>
      </c>
      <c r="AO351" s="70">
        <f t="shared" si="393"/>
        <v>0</v>
      </c>
      <c r="AP351" s="566">
        <f>VLOOKUP($A351,'01-02.2021'!$A$6:$CZ$403,42,FALSE)+VLOOKUP($A351,'1.3.21-28.2.22'!$A$6:$DA$404,42,FALSE)-VLOOKUP($A351,'01-02.2022'!$A$6:$DA$376,42,FALSE)</f>
        <v>7548.1189126852732</v>
      </c>
      <c r="AQ351" s="566">
        <f>VLOOKUP($A351,'01-02.2021'!$A$6:$CZ$403,43,FALSE)+VLOOKUP($A351,'1.3.21-28.2.22'!$A$6:$DA$404,43,FALSE)-VLOOKUP($A351,'01-02.2022'!$A$6:$DA$376,43,FALSE)</f>
        <v>6593.6863537379159</v>
      </c>
      <c r="AR351" s="70">
        <f t="shared" si="394"/>
        <v>-954.43255894735739</v>
      </c>
      <c r="AS351" s="566">
        <f>VLOOKUP($A351,'01-02.2021'!$A$6:$CZ$403,45,FALSE)+VLOOKUP($A351,'1.3.21-28.2.22'!$A$6:$DA$404,45,FALSE)-VLOOKUP($A351,'01-02.2022'!$A$6:$DA$376,45,FALSE)</f>
        <v>21959.837473621781</v>
      </c>
      <c r="AT351" s="566">
        <f>VLOOKUP($A351,'01-02.2021'!$A$6:$CZ$403,46,FALSE)+VLOOKUP($A351,'1.3.21-28.2.22'!$A$6:$DA$404,46,FALSE)-VLOOKUP($A351,'01-02.2022'!$A$6:$DA$376,46,FALSE)</f>
        <v>4576</v>
      </c>
      <c r="AU351" s="78">
        <f t="shared" si="395"/>
        <v>-17383.837473621781</v>
      </c>
      <c r="AV351" s="566">
        <f>VLOOKUP($A351,'01-02.2021'!$A$6:$CZ$403,48,FALSE)+VLOOKUP($A351,'1.3.21-28.2.22'!$A$6:$DA$404,48,FALSE)-VLOOKUP($A351,'01-02.2022'!$A$6:$DA$376,48,FALSE)</f>
        <v>2284.120708089953</v>
      </c>
      <c r="AW351" s="566">
        <f>VLOOKUP($A351,'01-02.2021'!$A$6:$CZ$403,49,FALSE)+VLOOKUP($A351,'1.3.21-28.2.22'!$A$6:$DA$404,49,FALSE)-VLOOKUP($A351,'01-02.2022'!$A$6:$DA$376,49,FALSE)</f>
        <v>0</v>
      </c>
      <c r="AX351" s="55">
        <f t="shared" si="396"/>
        <v>-2284.120708089953</v>
      </c>
      <c r="AY351" s="566">
        <f>VLOOKUP($A351,'01-02.2021'!$A$6:$CZ$403,51,FALSE)+VLOOKUP($A351,'1.3.21-28.2.22'!$A$6:$DA$404,51,FALSE)-VLOOKUP($A351,'01-02.2022'!$A$6:$DA$376,51,FALSE)</f>
        <v>3153.9182195624944</v>
      </c>
      <c r="AZ351" s="566">
        <f>VLOOKUP($A351,'01-02.2021'!$A$6:$CZ$403,52,FALSE)+VLOOKUP($A351,'1.3.21-28.2.22'!$A$6:$DA$404,52,FALSE)-VLOOKUP($A351,'01-02.2022'!$A$6:$DA$376,52,FALSE)</f>
        <v>0</v>
      </c>
      <c r="BA351" s="38">
        <f t="shared" si="397"/>
        <v>-3153.9182195624944</v>
      </c>
      <c r="BB351" s="566">
        <f>VLOOKUP($A351,'01-02.2021'!$A$6:$CZ$403,54,FALSE)+VLOOKUP($A351,'1.3.21-28.2.22'!$A$6:$DA$404,54,FALSE)-VLOOKUP($A351,'01-02.2022'!$A$6:$DA$376,54,FALSE)</f>
        <v>1500.205238407766</v>
      </c>
      <c r="BC351" s="566">
        <f>VLOOKUP($A351,'01-02.2021'!$A$6:$CZ$403,55,FALSE)+VLOOKUP($A351,'1.3.21-28.2.22'!$A$6:$DA$404,55,FALSE)-VLOOKUP($A351,'01-02.2022'!$A$6:$DA$376,55,FALSE)</f>
        <v>756</v>
      </c>
      <c r="BD351" s="55">
        <f t="shared" si="398"/>
        <v>-744.20523840776605</v>
      </c>
      <c r="BE351" s="566">
        <f>VLOOKUP($A351,'01-02.2021'!$A$6:$CZ$403,57,FALSE)+VLOOKUP($A351,'1.3.21-28.2.22'!$A$6:$DA$404,57,FALSE)-VLOOKUP($A351,'01-02.2022'!$A$6:$DA$376,57,FALSE)</f>
        <v>0</v>
      </c>
      <c r="BF351" s="566">
        <f>VLOOKUP($A351,'01-02.2021'!$A$6:$CZ$403,58,FALSE)+VLOOKUP($A351,'1.3.21-28.2.22'!$A$6:$DA$404,58,FALSE)-VLOOKUP($A351,'01-02.2022'!$A$6:$DA$376,58,FALSE)</f>
        <v>0</v>
      </c>
      <c r="BG351" s="55">
        <f t="shared" si="399"/>
        <v>0</v>
      </c>
      <c r="BH351" s="566">
        <f>VLOOKUP($A351,'01-02.2021'!$A$6:$CZ$403,60,FALSE)+VLOOKUP($A351,'1.3.21-28.2.22'!$A$6:$DA$404,60,FALSE)-VLOOKUP($A351,'01-02.2022'!$A$6:$DA$376,60,FALSE)</f>
        <v>0</v>
      </c>
      <c r="BI351" s="566">
        <f>VLOOKUP($A351,'01-02.2021'!$A$6:$CZ$403,61,FALSE)+VLOOKUP($A351,'1.3.21-28.2.22'!$A$6:$DA$404,61,FALSE)-VLOOKUP($A351,'01-02.2022'!$A$6:$DA$376,61,FALSE)</f>
        <v>0</v>
      </c>
      <c r="BJ351" s="55">
        <f t="shared" si="400"/>
        <v>0</v>
      </c>
      <c r="BK351" s="566">
        <f>VLOOKUP($A351,'01-02.2021'!$A$6:$CZ$403,63,FALSE)+VLOOKUP($A351,'1.3.21-28.2.22'!$A$6:$DA$404,63,FALSE)-VLOOKUP($A351,'01-02.2022'!$A$6:$DA$376,63,FALSE)</f>
        <v>1303.5151915848417</v>
      </c>
      <c r="BL351" s="566">
        <f>VLOOKUP($A351,'01-02.2021'!$A$6:$CZ$403,64,FALSE)+VLOOKUP($A351,'1.3.21-28.2.22'!$A$6:$DA$404,64,FALSE)-VLOOKUP($A351,'01-02.2022'!$A$6:$DA$376,64,FALSE)</f>
        <v>0</v>
      </c>
      <c r="BM351" s="55">
        <f t="shared" si="401"/>
        <v>-1303.5151915848417</v>
      </c>
      <c r="BN351" s="566">
        <f>VLOOKUP($A351,'01-02.2021'!$A$6:$CZ$403,66,FALSE)+VLOOKUP($A351,'1.3.21-28.2.22'!$A$6:$DA$404,66,FALSE)-VLOOKUP($A351,'01-02.2022'!$A$6:$DA$376,66,FALSE)</f>
        <v>130.47300000000001</v>
      </c>
      <c r="BO351" s="566">
        <f>VLOOKUP($A351,'01-02.2021'!$A$6:$CZ$403,67,FALSE)+VLOOKUP($A351,'1.3.21-28.2.22'!$A$6:$DA$404,67,FALSE)-VLOOKUP($A351,'01-02.2022'!$A$6:$DA$376,67,FALSE)</f>
        <v>0</v>
      </c>
      <c r="BP351" s="55">
        <f t="shared" si="402"/>
        <v>-130.47300000000001</v>
      </c>
      <c r="BQ351" s="77">
        <f t="shared" si="409"/>
        <v>8372.2323576450544</v>
      </c>
      <c r="BR351" s="40">
        <f t="shared" si="410"/>
        <v>756</v>
      </c>
      <c r="BS351" s="55">
        <f t="shared" si="369"/>
        <v>-7616.2323576450544</v>
      </c>
      <c r="BT351" s="566">
        <f>VLOOKUP($A351,'01-02.2021'!$A$6:$CZ$403,72,FALSE)+VLOOKUP($A351,'1.3.21-28.2.22'!$A$6:$DA$404,72,FALSE)-VLOOKUP($A351,'01-02.2022'!$A$6:$DA$376,72,FALSE)</f>
        <v>29295.901076846916</v>
      </c>
      <c r="BU351" s="566">
        <f>VLOOKUP($A351,'01-02.2021'!$A$6:$CZ$403,73,FALSE)+VLOOKUP($A351,'1.3.21-28.2.22'!$A$6:$DA$404,73,FALSE)-VLOOKUP($A351,'01-02.2022'!$A$6:$DA$376,73,FALSE)</f>
        <v>33190.485550172933</v>
      </c>
      <c r="BV351" s="70">
        <f t="shared" si="403"/>
        <v>3894.5844733260165</v>
      </c>
      <c r="BW351" s="566">
        <f>VLOOKUP($A351,'01-02.2021'!$A$6:$CZ$403,75,FALSE)+VLOOKUP($A351,'1.3.21-28.2.22'!$A$6:$DA$404,75,FALSE)-VLOOKUP($A351,'01-02.2022'!$A$6:$DA$376,75,FALSE)</f>
        <v>11132.153135869081</v>
      </c>
      <c r="BX351" s="566">
        <f>VLOOKUP($A351,'01-02.2021'!$A$6:$CZ$403,76,FALSE)+VLOOKUP($A351,'1.3.21-28.2.22'!$A$6:$DA$404,76,FALSE)-VLOOKUP($A351,'01-02.2022'!$A$6:$DA$376,76,FALSE)</f>
        <v>10143.57874687502</v>
      </c>
      <c r="BY351" s="70">
        <f t="shared" si="404"/>
        <v>-988.57438899406043</v>
      </c>
      <c r="BZ351" s="566">
        <f>VLOOKUP($A351,'01-02.2021'!$A$6:$CZ$403,78,FALSE)+VLOOKUP($A351,'1.3.21-28.2.22'!$A$6:$DA$404,78,FALSE)-VLOOKUP($A351,'01-02.2022'!$A$6:$DA$376,78,FALSE)</f>
        <v>9216.5940286209479</v>
      </c>
      <c r="CA351" s="566">
        <f>VLOOKUP($A351,'01-02.2021'!$A$6:$CZ$403,79,FALSE)+VLOOKUP($A351,'1.3.21-28.2.22'!$A$6:$DA$404,79,FALSE)-VLOOKUP($A351,'01-02.2022'!$A$6:$DA$376,79,FALSE)</f>
        <v>7009.2210331737397</v>
      </c>
      <c r="CB351" s="70">
        <f t="shared" si="405"/>
        <v>-2207.3729954472083</v>
      </c>
      <c r="CC351" s="566">
        <f>VLOOKUP($A351,'01-02.2021'!$A$6:$CZ$403,81,FALSE)+VLOOKUP($A351,'1.3.21-28.2.22'!$A$6:$DA$404,81,FALSE)-VLOOKUP($A351,'01-02.2022'!$A$6:$DA$376,81,FALSE)</f>
        <v>619.61332226828608</v>
      </c>
      <c r="CD351" s="566">
        <f>VLOOKUP($A351,'01-02.2021'!$A$6:$CZ$403,82,FALSE)+VLOOKUP($A351,'1.3.21-28.2.22'!$A$6:$DA$404,82,FALSE)-VLOOKUP($A351,'01-02.2022'!$A$6:$DA$376,82,FALSE)</f>
        <v>677.23303606037382</v>
      </c>
      <c r="CE351" s="70">
        <f t="shared" si="406"/>
        <v>57.619713792087737</v>
      </c>
      <c r="CF351" s="566">
        <f>VLOOKUP($A351,'01-02.2021'!$A$6:$CZ$403,84,FALSE)+VLOOKUP($A351,'1.3.21-28.2.22'!$A$6:$DA$404,84,FALSE)-VLOOKUP($A351,'01-02.2022'!$A$6:$DA$376,84,FALSE)</f>
        <v>75.326762776398851</v>
      </c>
      <c r="CG351" s="566">
        <f>VLOOKUP($A351,'01-02.2021'!$A$6:$CZ$403,85,FALSE)+VLOOKUP($A351,'1.3.21-28.2.22'!$A$6:$DA$404,85,FALSE)-VLOOKUP($A351,'01-02.2022'!$A$6:$DA$376,85,FALSE)</f>
        <v>0</v>
      </c>
      <c r="CH351" s="70">
        <f t="shared" si="407"/>
        <v>-75.326762776398851</v>
      </c>
      <c r="CI351" s="566">
        <f>VLOOKUP($A351,'01-02.2021'!$A$6:$CZ$403,87,FALSE)+VLOOKUP($A351,'1.3.21-28.2.22'!$A$6:$DA$404,87,FALSE)-VLOOKUP($A351,'01-02.2022'!$A$6:$DA$376,87,FALSE)</f>
        <v>6353.5648292031929</v>
      </c>
      <c r="CJ351" s="566">
        <f>VLOOKUP($A351,'01-02.2021'!$A$6:$CZ$403,88,FALSE)+VLOOKUP($A351,'1.3.21-28.2.22'!$A$6:$DA$404,88,FALSE)-VLOOKUP($A351,'01-02.2022'!$A$6:$DA$376,88,FALSE)</f>
        <v>5836.2637173099974</v>
      </c>
      <c r="CK351" s="70">
        <f t="shared" si="408"/>
        <v>-517.30111189319541</v>
      </c>
      <c r="CL351" s="566">
        <f>VLOOKUP($A351,'01-02.2021'!$A$6:$CZ$403,90,FALSE)+VLOOKUP($A351,'1.3.21-28.2.22'!$A$6:$DA$404,90,FALSE)-VLOOKUP($A351,'01-02.2022'!$A$6:$DA$376,90,FALSE)</f>
        <v>0</v>
      </c>
      <c r="CM351" s="566">
        <f>VLOOKUP($A351,'01-02.2021'!$A$6:$CZ$403,91,FALSE)+VLOOKUP($A351,'1.3.21-28.2.22'!$A$6:$DA$404,91,FALSE)-VLOOKUP($A351,'01-02.2022'!$A$6:$DA$376,91,FALSE)</f>
        <v>0</v>
      </c>
      <c r="CN351" s="52">
        <f t="shared" si="360"/>
        <v>0</v>
      </c>
      <c r="CO351" s="39">
        <f t="shared" si="355"/>
        <v>6353.5648292031929</v>
      </c>
      <c r="CP351" s="40">
        <f t="shared" si="361"/>
        <v>5836.2637173099974</v>
      </c>
      <c r="CQ351" s="52">
        <f t="shared" si="362"/>
        <v>-517.30111189319541</v>
      </c>
      <c r="CR351" s="72">
        <f t="shared" si="356"/>
        <v>124358.68109799194</v>
      </c>
      <c r="CS351" s="5">
        <f t="shared" si="356"/>
        <v>98779.14914785132</v>
      </c>
      <c r="CT351" s="52">
        <f t="shared" si="363"/>
        <v>-25579.531950140619</v>
      </c>
      <c r="CU351" s="77">
        <f t="shared" si="364"/>
        <v>149230.41731759033</v>
      </c>
      <c r="CV351" s="65">
        <f t="shared" si="365"/>
        <v>118534.97897742158</v>
      </c>
      <c r="CW351" s="35">
        <f t="shared" si="366"/>
        <v>-30695.438340168752</v>
      </c>
      <c r="CX351" s="566">
        <f>VLOOKUP($A351,'01-02.2021'!$A$6:$CZ$403,102,FALSE)+VLOOKUP($A351,'1.3.21-28.2.22'!$A$6:$DA$404,102,FALSE)-VLOOKUP($A351,'01-02.2022'!$A$6:$DA$376,102,FALSE)</f>
        <v>4718.6966100758254</v>
      </c>
      <c r="CY351" s="566">
        <f>VLOOKUP($A351,'01-02.2021'!$A$6:$CZ$403,103,FALSE)+VLOOKUP($A351,'1.3.21-28.2.22'!$A$6:$DA$404,103,FALSE)-VLOOKUP($A351,'01-02.2022'!$A$6:$DA$376,103,FALSE)</f>
        <v>35414.134950244596</v>
      </c>
      <c r="CZ351" s="52">
        <f t="shared" si="367"/>
        <v>30695.43834016877</v>
      </c>
      <c r="DA351" s="150">
        <f>'[2]побудинковий звіт'!DA351</f>
        <v>20895.973818567662</v>
      </c>
      <c r="DB351" s="2">
        <v>2</v>
      </c>
      <c r="DC351" s="414">
        <f>'[4]побудинковий звіт'!DC351</f>
        <v>21821.42</v>
      </c>
      <c r="DD351" s="414">
        <f>'[4]побудинковий звіт'!DD351</f>
        <v>1832.81</v>
      </c>
      <c r="DE351" s="557">
        <f>'[4]побудинковий звіт'!DE351</f>
        <v>8513.0591954552146</v>
      </c>
      <c r="DF351" s="557">
        <f>'[4]побудинковий звіт'!DF351</f>
        <v>1151.5374245333267</v>
      </c>
      <c r="DG351" s="321">
        <f>VLOOKUP(A351,'кошти 01.03.2021'!$A$6:$D$401,4,)</f>
        <v>54111.003668444391</v>
      </c>
      <c r="DH351" s="40">
        <f>'[3]побудинковий звіт'!DJ351</f>
        <v>159438.44290354254</v>
      </c>
      <c r="DI351" s="422">
        <f>'[3]побудинковий звіт'!CU351+'[3]побудинковий звіт'!CX351</f>
        <v>13989.633380011459</v>
      </c>
      <c r="DJ351" s="306">
        <f>'[3]побудинковий звіт'!DM351</f>
        <v>5.3904882433774226</v>
      </c>
      <c r="DK351" s="306">
        <f t="shared" si="377"/>
        <v>5.3904882433774226</v>
      </c>
      <c r="DL351" s="306">
        <f>'[3]побудинковий звіт'!DO351</f>
        <v>4.8454663973447607</v>
      </c>
      <c r="DM351" s="28">
        <f t="shared" si="379"/>
        <v>13308.360804544784</v>
      </c>
      <c r="DN351" s="28">
        <f t="shared" si="380"/>
        <v>681.27257546667329</v>
      </c>
      <c r="DO351" s="423">
        <f t="shared" si="381"/>
        <v>13989.633380011457</v>
      </c>
      <c r="DP351" s="94">
        <f t="shared" si="382"/>
        <v>0</v>
      </c>
      <c r="DQ351" s="28">
        <f t="shared" si="383"/>
        <v>13989.633380011457</v>
      </c>
      <c r="DR351" s="318"/>
      <c r="DT351" s="8"/>
      <c r="DU351" s="5"/>
      <c r="DX351" s="5">
        <f t="shared" si="384"/>
        <v>36398.483797520203</v>
      </c>
      <c r="DY351" s="5">
        <f t="shared" si="385"/>
        <v>6398.4</v>
      </c>
      <c r="DZ351" s="159">
        <f>'[3]побудинковий звіт'!EA351</f>
        <v>3427.2426472750444</v>
      </c>
    </row>
    <row r="352" spans="1:130" x14ac:dyDescent="0.3">
      <c r="A352" s="325">
        <v>150000874</v>
      </c>
      <c r="B352" s="41" t="s">
        <v>798</v>
      </c>
      <c r="C352" s="42" t="s">
        <v>308</v>
      </c>
      <c r="D352" s="42"/>
      <c r="E352" s="293">
        <f t="shared" si="353"/>
        <v>2619.3000000000002</v>
      </c>
      <c r="F352" s="305">
        <f>'[3]побудинковий звіт'!F352</f>
        <v>2004.8</v>
      </c>
      <c r="G352" s="508">
        <f>'[3]побудинковий звіт'!G352</f>
        <v>0</v>
      </c>
      <c r="H352" s="560">
        <f>'[3]побудинковий звіт'!H352</f>
        <v>614.5</v>
      </c>
      <c r="I352" s="566">
        <f>VLOOKUP($A352,'01-02.2021'!$A$6:$CZ$403,9,FALSE)+VLOOKUP($A352,'1.3.21-28.2.22'!$A$6:$DA$404,9,FALSE)-VLOOKUP($A352,'01-02.2022'!$A$6:$DA$376,9,FALSE)</f>
        <v>7694.2623346534983</v>
      </c>
      <c r="J352" s="566">
        <f>VLOOKUP($A352,'01-02.2021'!$A$6:$CZ$403,10,FALSE)+VLOOKUP($A352,'1.3.21-28.2.22'!$A$6:$DA$404,10,FALSE)-VLOOKUP($A352,'01-02.2022'!$A$6:$DA$376,10,FALSE)</f>
        <v>8442.5988809607661</v>
      </c>
      <c r="K352" s="52">
        <f t="shared" si="357"/>
        <v>748.33654630726778</v>
      </c>
      <c r="L352" s="566">
        <f>VLOOKUP($A352,'01-02.2021'!$A$6:$CZ$403,12,FALSE)+VLOOKUP($A352,'1.3.21-28.2.22'!$A$6:$DA$404,12,FALSE)-VLOOKUP($A352,'01-02.2022'!$A$6:$DA$376,12,FALSE)</f>
        <v>1677.9188608518759</v>
      </c>
      <c r="M352" s="566">
        <f>VLOOKUP($A352,'01-02.2021'!$A$6:$CZ$403,13,FALSE)+VLOOKUP($A352,'1.3.21-28.2.22'!$A$6:$DA$404,13,FALSE)-VLOOKUP($A352,'01-02.2022'!$A$6:$DA$376,13,FALSE)</f>
        <v>1872.5830688219351</v>
      </c>
      <c r="N352" s="52">
        <f t="shared" si="358"/>
        <v>194.66420797005912</v>
      </c>
      <c r="O352" s="566">
        <f>VLOOKUP($A352,'01-02.2021'!$A$6:$CZ$403,15,FALSE)+VLOOKUP($A352,'1.3.21-28.2.22'!$A$6:$DA$404,15,FALSE)-VLOOKUP($A352,'01-02.2022'!$A$6:$DA$376,15,FALSE)</f>
        <v>2929.0675501695246</v>
      </c>
      <c r="P352" s="566">
        <f>VLOOKUP($A352,'01-02.2021'!$A$6:$CZ$403,16,FALSE)+VLOOKUP($A352,'1.3.21-28.2.22'!$A$6:$DA$404,16,FALSE)-VLOOKUP($A352,'01-02.2022'!$A$6:$DA$376,16,FALSE)</f>
        <v>2929.1099999999997</v>
      </c>
      <c r="Q352" s="70">
        <f t="shared" si="386"/>
        <v>4.2449830475106864E-2</v>
      </c>
      <c r="R352" s="566">
        <f>VLOOKUP($A352,'01-02.2021'!$A$6:$CZ$403,18,FALSE)+VLOOKUP($A352,'1.3.21-28.2.22'!$A$6:$DA$404,18,FALSE)-VLOOKUP($A352,'01-02.2022'!$A$6:$DA$376,18,FALSE)</f>
        <v>663.17574773050831</v>
      </c>
      <c r="S352" s="566">
        <f>VLOOKUP($A352,'01-02.2021'!$A$6:$CZ$403,19,FALSE)+VLOOKUP($A352,'1.3.21-28.2.22'!$A$6:$DA$404,19,FALSE)-VLOOKUP($A352,'01-02.2022'!$A$6:$DA$376,19,FALSE)</f>
        <v>663.18</v>
      </c>
      <c r="T352" s="70">
        <f t="shared" si="387"/>
        <v>4.252269491644256E-3</v>
      </c>
      <c r="U352" s="566">
        <f>VLOOKUP($A352,'01-02.2021'!$A$6:$CZ$403,21,FALSE)+VLOOKUP($A352,'1.3.21-28.2.22'!$A$6:$DA$404,21,FALSE)-VLOOKUP($A352,'01-02.2022'!$A$6:$DA$376,21,FALSE)</f>
        <v>457.79129681017355</v>
      </c>
      <c r="V352" s="566">
        <f>VLOOKUP($A352,'01-02.2021'!$A$6:$CZ$403,22,FALSE)+VLOOKUP($A352,'1.3.21-28.2.22'!$A$6:$DA$404,22,FALSE)-VLOOKUP($A352,'01-02.2022'!$A$6:$DA$376,22,FALSE)</f>
        <v>1607.4652424139581</v>
      </c>
      <c r="W352" s="70">
        <f t="shared" si="388"/>
        <v>1149.6739456037844</v>
      </c>
      <c r="X352" s="566">
        <f>VLOOKUP($A352,'01-02.2021'!$A$6:$CZ$403,24,FALSE)+VLOOKUP($A352,'1.3.21-28.2.22'!$A$6:$DA$404,24,FALSE)-VLOOKUP($A352,'01-02.2022'!$A$6:$DA$376,24,FALSE)</f>
        <v>4737.9257204412324</v>
      </c>
      <c r="Y352" s="566">
        <f>VLOOKUP($A352,'01-02.2021'!$A$6:$CZ$403,25,FALSE)+VLOOKUP($A352,'1.3.21-28.2.22'!$A$6:$DA$404,25,FALSE)-VLOOKUP($A352,'01-02.2022'!$A$6:$DA$376,25,FALSE)</f>
        <v>4450.1229068682969</v>
      </c>
      <c r="Z352" s="70">
        <f t="shared" si="389"/>
        <v>-287.80281357293552</v>
      </c>
      <c r="AA352" s="566">
        <f>VLOOKUP($A352,'01-02.2021'!$A$6:$CZ$403,27,FALSE)+VLOOKUP($A352,'1.3.21-28.2.22'!$A$6:$DA$404,27,FALSE)-VLOOKUP($A352,'01-02.2022'!$A$6:$DA$376,27,FALSE)</f>
        <v>455.82000000000005</v>
      </c>
      <c r="AB352" s="566">
        <f>VLOOKUP($A352,'01-02.2021'!$A$6:$CZ$403,28,FALSE)+VLOOKUP($A352,'1.3.21-28.2.22'!$A$6:$DA$404,28,FALSE)-VLOOKUP($A352,'01-02.2022'!$A$6:$DA$376,28,FALSE)</f>
        <v>0</v>
      </c>
      <c r="AC352" s="70">
        <f t="shared" si="390"/>
        <v>-455.82000000000005</v>
      </c>
      <c r="AD352" s="566">
        <f>VLOOKUP($A352,'01-02.2021'!$A$6:$CZ$403,30,FALSE)+VLOOKUP($A352,'1.3.21-28.2.22'!$A$6:$DA$404,30,FALSE)-VLOOKUP($A352,'01-02.2022'!$A$6:$DA$376,30,FALSE)</f>
        <v>10610.672465325417</v>
      </c>
      <c r="AE352" s="566">
        <f>VLOOKUP($A352,'01-02.2021'!$A$6:$CZ$403,31,FALSE)+VLOOKUP($A352,'1.3.21-28.2.22'!$A$6:$DA$404,31,FALSE)-VLOOKUP($A352,'01-02.2022'!$A$6:$DA$376,31,FALSE)</f>
        <v>12614.679062969781</v>
      </c>
      <c r="AF352" s="68">
        <f t="shared" si="391"/>
        <v>2004.0065976443639</v>
      </c>
      <c r="AG352" s="77">
        <f t="shared" si="354"/>
        <v>29226.633975982229</v>
      </c>
      <c r="AH352" s="53">
        <f t="shared" si="354"/>
        <v>32579.739162034741</v>
      </c>
      <c r="AI352" s="52">
        <f t="shared" si="359"/>
        <v>3353.1051860525113</v>
      </c>
      <c r="AJ352" s="566">
        <f>VLOOKUP($A352,'01-02.2021'!$A$6:$CZ$403,36,FALSE)+VLOOKUP($A352,'1.3.21-28.2.22'!$A$6:$DA$404,36,FALSE)-VLOOKUP($A352,'01-02.2022'!$A$6:$DA$376,36,FALSE)</f>
        <v>0</v>
      </c>
      <c r="AK352" s="566">
        <f>VLOOKUP($A352,'01-02.2021'!$A$6:$CZ$403,37,FALSE)+VLOOKUP($A352,'1.3.21-28.2.22'!$A$6:$DA$404,37,FALSE)-VLOOKUP($A352,'01-02.2022'!$A$6:$DA$376,37,FALSE)</f>
        <v>0</v>
      </c>
      <c r="AL352" s="70">
        <f t="shared" si="392"/>
        <v>0</v>
      </c>
      <c r="AM352" s="566">
        <f>VLOOKUP($A352,'01-02.2021'!$A$6:$CZ$403,39,FALSE)+VLOOKUP($A352,'1.3.21-28.2.22'!$A$6:$DA$404,39,FALSE)-VLOOKUP($A352,'01-02.2022'!$A$6:$DA$376,39,FALSE)</f>
        <v>0</v>
      </c>
      <c r="AN352" s="566">
        <f>VLOOKUP($A352,'01-02.2021'!$A$6:$CZ$403,40,FALSE)+VLOOKUP($A352,'1.3.21-28.2.22'!$A$6:$DA$404,40,FALSE)-VLOOKUP($A352,'01-02.2022'!$A$6:$DA$376,40,FALSE)</f>
        <v>0</v>
      </c>
      <c r="AO352" s="70">
        <f t="shared" si="393"/>
        <v>0</v>
      </c>
      <c r="AP352" s="566">
        <f>VLOOKUP($A352,'01-02.2021'!$A$6:$CZ$403,42,FALSE)+VLOOKUP($A352,'1.3.21-28.2.22'!$A$6:$DA$404,42,FALSE)-VLOOKUP($A352,'01-02.2022'!$A$6:$DA$376,42,FALSE)</f>
        <v>1735.1997500425916</v>
      </c>
      <c r="AQ352" s="566">
        <f>VLOOKUP($A352,'01-02.2021'!$A$6:$CZ$403,43,FALSE)+VLOOKUP($A352,'1.3.21-28.2.22'!$A$6:$DA$404,43,FALSE)-VLOOKUP($A352,'01-02.2022'!$A$6:$DA$376,43,FALSE)</f>
        <v>1388.2261912263641</v>
      </c>
      <c r="AR352" s="70">
        <f t="shared" si="394"/>
        <v>-346.97355881622752</v>
      </c>
      <c r="AS352" s="566">
        <f>VLOOKUP($A352,'01-02.2021'!$A$6:$CZ$403,45,FALSE)+VLOOKUP($A352,'1.3.21-28.2.22'!$A$6:$DA$404,45,FALSE)-VLOOKUP($A352,'01-02.2022'!$A$6:$DA$376,45,FALSE)</f>
        <v>22827.115253639538</v>
      </c>
      <c r="AT352" s="566">
        <f>VLOOKUP($A352,'01-02.2021'!$A$6:$CZ$403,46,FALSE)+VLOOKUP($A352,'1.3.21-28.2.22'!$A$6:$DA$404,46,FALSE)-VLOOKUP($A352,'01-02.2022'!$A$6:$DA$376,46,FALSE)</f>
        <v>38633.700000000004</v>
      </c>
      <c r="AU352" s="78">
        <f t="shared" si="395"/>
        <v>15806.584746360466</v>
      </c>
      <c r="AV352" s="566">
        <f>VLOOKUP($A352,'01-02.2021'!$A$6:$CZ$403,48,FALSE)+VLOOKUP($A352,'1.3.21-28.2.22'!$A$6:$DA$404,48,FALSE)-VLOOKUP($A352,'01-02.2022'!$A$6:$DA$376,48,FALSE)</f>
        <v>2211.2386840667364</v>
      </c>
      <c r="AW352" s="566">
        <f>VLOOKUP($A352,'01-02.2021'!$A$6:$CZ$403,49,FALSE)+VLOOKUP($A352,'1.3.21-28.2.22'!$A$6:$DA$404,49,FALSE)-VLOOKUP($A352,'01-02.2022'!$A$6:$DA$376,49,FALSE)</f>
        <v>204</v>
      </c>
      <c r="AX352" s="55">
        <f t="shared" si="396"/>
        <v>-2007.2386840667364</v>
      </c>
      <c r="AY352" s="566">
        <f>VLOOKUP($A352,'01-02.2021'!$A$6:$CZ$403,51,FALSE)+VLOOKUP($A352,'1.3.21-28.2.22'!$A$6:$DA$404,51,FALSE)-VLOOKUP($A352,'01-02.2022'!$A$6:$DA$376,51,FALSE)</f>
        <v>3153.9182195624944</v>
      </c>
      <c r="AZ352" s="566">
        <f>VLOOKUP($A352,'01-02.2021'!$A$6:$CZ$403,52,FALSE)+VLOOKUP($A352,'1.3.21-28.2.22'!$A$6:$DA$404,52,FALSE)-VLOOKUP($A352,'01-02.2022'!$A$6:$DA$376,52,FALSE)</f>
        <v>306</v>
      </c>
      <c r="BA352" s="38">
        <f t="shared" si="397"/>
        <v>-2847.9182195624944</v>
      </c>
      <c r="BB352" s="566">
        <f>VLOOKUP($A352,'01-02.2021'!$A$6:$CZ$403,54,FALSE)+VLOOKUP($A352,'1.3.21-28.2.22'!$A$6:$DA$404,54,FALSE)-VLOOKUP($A352,'01-02.2022'!$A$6:$DA$376,54,FALSE)</f>
        <v>1346.8586017960797</v>
      </c>
      <c r="BC352" s="566">
        <f>VLOOKUP($A352,'01-02.2021'!$A$6:$CZ$403,55,FALSE)+VLOOKUP($A352,'1.3.21-28.2.22'!$A$6:$DA$404,55,FALSE)-VLOOKUP($A352,'01-02.2022'!$A$6:$DA$376,55,FALSE)</f>
        <v>0</v>
      </c>
      <c r="BD352" s="55">
        <f t="shared" si="398"/>
        <v>-1346.8586017960797</v>
      </c>
      <c r="BE352" s="566">
        <f>VLOOKUP($A352,'01-02.2021'!$A$6:$CZ$403,57,FALSE)+VLOOKUP($A352,'1.3.21-28.2.22'!$A$6:$DA$404,57,FALSE)-VLOOKUP($A352,'01-02.2022'!$A$6:$DA$376,57,FALSE)</f>
        <v>1648.4899743529306</v>
      </c>
      <c r="BF352" s="566">
        <f>VLOOKUP($A352,'01-02.2021'!$A$6:$CZ$403,58,FALSE)+VLOOKUP($A352,'1.3.21-28.2.22'!$A$6:$DA$404,58,FALSE)-VLOOKUP($A352,'01-02.2022'!$A$6:$DA$376,58,FALSE)</f>
        <v>0</v>
      </c>
      <c r="BG352" s="55">
        <f t="shared" si="399"/>
        <v>-1648.4899743529306</v>
      </c>
      <c r="BH352" s="566">
        <f>VLOOKUP($A352,'01-02.2021'!$A$6:$CZ$403,60,FALSE)+VLOOKUP($A352,'1.3.21-28.2.22'!$A$6:$DA$404,60,FALSE)-VLOOKUP($A352,'01-02.2022'!$A$6:$DA$376,60,FALSE)</f>
        <v>1027.219662045015</v>
      </c>
      <c r="BI352" s="566">
        <f>VLOOKUP($A352,'01-02.2021'!$A$6:$CZ$403,61,FALSE)+VLOOKUP($A352,'1.3.21-28.2.22'!$A$6:$DA$404,61,FALSE)-VLOOKUP($A352,'01-02.2022'!$A$6:$DA$376,61,FALSE)</f>
        <v>4431</v>
      </c>
      <c r="BJ352" s="55">
        <f t="shared" si="400"/>
        <v>3403.780337954985</v>
      </c>
      <c r="BK352" s="566">
        <f>VLOOKUP($A352,'01-02.2021'!$A$6:$CZ$403,63,FALSE)+VLOOKUP($A352,'1.3.21-28.2.22'!$A$6:$DA$404,63,FALSE)-VLOOKUP($A352,'01-02.2022'!$A$6:$DA$376,63,FALSE)</f>
        <v>1303.5152675807733</v>
      </c>
      <c r="BL352" s="566">
        <f>VLOOKUP($A352,'01-02.2021'!$A$6:$CZ$403,64,FALSE)+VLOOKUP($A352,'1.3.21-28.2.22'!$A$6:$DA$404,64,FALSE)-VLOOKUP($A352,'01-02.2022'!$A$6:$DA$376,64,FALSE)</f>
        <v>0</v>
      </c>
      <c r="BM352" s="55">
        <f t="shared" si="401"/>
        <v>-1303.5152675807733</v>
      </c>
      <c r="BN352" s="566">
        <f>VLOOKUP($A352,'01-02.2021'!$A$6:$CZ$403,66,FALSE)+VLOOKUP($A352,'1.3.21-28.2.22'!$A$6:$DA$404,66,FALSE)-VLOOKUP($A352,'01-02.2022'!$A$6:$DA$376,66,FALSE)</f>
        <v>113.95500000000001</v>
      </c>
      <c r="BO352" s="566">
        <f>VLOOKUP($A352,'01-02.2021'!$A$6:$CZ$403,67,FALSE)+VLOOKUP($A352,'1.3.21-28.2.22'!$A$6:$DA$404,67,FALSE)-VLOOKUP($A352,'01-02.2022'!$A$6:$DA$376,67,FALSE)</f>
        <v>0</v>
      </c>
      <c r="BP352" s="55">
        <f t="shared" si="402"/>
        <v>-113.95500000000001</v>
      </c>
      <c r="BQ352" s="77">
        <f t="shared" si="409"/>
        <v>10805.195409404028</v>
      </c>
      <c r="BR352" s="40">
        <f t="shared" si="410"/>
        <v>4941</v>
      </c>
      <c r="BS352" s="55">
        <f t="shared" si="369"/>
        <v>-5864.1954094040284</v>
      </c>
      <c r="BT352" s="566">
        <f>VLOOKUP($A352,'01-02.2021'!$A$6:$CZ$403,72,FALSE)+VLOOKUP($A352,'1.3.21-28.2.22'!$A$6:$DA$404,72,FALSE)-VLOOKUP($A352,'01-02.2022'!$A$6:$DA$376,72,FALSE)</f>
        <v>36503.45282926751</v>
      </c>
      <c r="BU352" s="566">
        <f>VLOOKUP($A352,'01-02.2021'!$A$6:$CZ$403,73,FALSE)+VLOOKUP($A352,'1.3.21-28.2.22'!$A$6:$DA$404,73,FALSE)-VLOOKUP($A352,'01-02.2022'!$A$6:$DA$376,73,FALSE)</f>
        <v>40606.182495338289</v>
      </c>
      <c r="BV352" s="70">
        <f t="shared" si="403"/>
        <v>4102.7296660707798</v>
      </c>
      <c r="BW352" s="566">
        <f>VLOOKUP($A352,'01-02.2021'!$A$6:$CZ$403,75,FALSE)+VLOOKUP($A352,'1.3.21-28.2.22'!$A$6:$DA$404,75,FALSE)-VLOOKUP($A352,'01-02.2022'!$A$6:$DA$376,75,FALSE)</f>
        <v>15354.800961656547</v>
      </c>
      <c r="BX352" s="566">
        <f>VLOOKUP($A352,'01-02.2021'!$A$6:$CZ$403,76,FALSE)+VLOOKUP($A352,'1.3.21-28.2.22'!$A$6:$DA$404,76,FALSE)-VLOOKUP($A352,'01-02.2022'!$A$6:$DA$376,76,FALSE)</f>
        <v>13832.628814252172</v>
      </c>
      <c r="BY352" s="70">
        <f t="shared" si="404"/>
        <v>-1522.1721474043752</v>
      </c>
      <c r="BZ352" s="566">
        <f>VLOOKUP($A352,'01-02.2021'!$A$6:$CZ$403,78,FALSE)+VLOOKUP($A352,'1.3.21-28.2.22'!$A$6:$DA$404,78,FALSE)-VLOOKUP($A352,'01-02.2022'!$A$6:$DA$376,78,FALSE)</f>
        <v>11466.191962199935</v>
      </c>
      <c r="CA352" s="566">
        <f>VLOOKUP($A352,'01-02.2021'!$A$6:$CZ$403,79,FALSE)+VLOOKUP($A352,'1.3.21-28.2.22'!$A$6:$DA$404,79,FALSE)-VLOOKUP($A352,'01-02.2022'!$A$6:$DA$376,79,FALSE)</f>
        <v>7346.4803176847308</v>
      </c>
      <c r="CB352" s="70">
        <f t="shared" si="405"/>
        <v>-4119.7116445152042</v>
      </c>
      <c r="CC352" s="566">
        <f>VLOOKUP($A352,'01-02.2021'!$A$6:$CZ$403,81,FALSE)+VLOOKUP($A352,'1.3.21-28.2.22'!$A$6:$DA$404,81,FALSE)-VLOOKUP($A352,'01-02.2022'!$A$6:$DA$376,81,FALSE)</f>
        <v>320.48964944911347</v>
      </c>
      <c r="CD352" s="566">
        <f>VLOOKUP($A352,'01-02.2021'!$A$6:$CZ$403,82,FALSE)+VLOOKUP($A352,'1.3.21-28.2.22'!$A$6:$DA$404,82,FALSE)-VLOOKUP($A352,'01-02.2022'!$A$6:$DA$376,82,FALSE)</f>
        <v>350.29294968640039</v>
      </c>
      <c r="CE352" s="70">
        <f t="shared" si="406"/>
        <v>29.803300237286919</v>
      </c>
      <c r="CF352" s="566">
        <f>VLOOKUP($A352,'01-02.2021'!$A$6:$CZ$403,84,FALSE)+VLOOKUP($A352,'1.3.21-28.2.22'!$A$6:$DA$404,84,FALSE)-VLOOKUP($A352,'01-02.2022'!$A$6:$DA$376,84,FALSE)</f>
        <v>38.962118677447677</v>
      </c>
      <c r="CG352" s="566">
        <f>VLOOKUP($A352,'01-02.2021'!$A$6:$CZ$403,85,FALSE)+VLOOKUP($A352,'1.3.21-28.2.22'!$A$6:$DA$404,85,FALSE)-VLOOKUP($A352,'01-02.2022'!$A$6:$DA$376,85,FALSE)</f>
        <v>0</v>
      </c>
      <c r="CH352" s="70">
        <f t="shared" si="407"/>
        <v>-38.962118677447677</v>
      </c>
      <c r="CI352" s="566">
        <f>VLOOKUP($A352,'01-02.2021'!$A$6:$CZ$403,87,FALSE)+VLOOKUP($A352,'1.3.21-28.2.22'!$A$6:$DA$404,87,FALSE)-VLOOKUP($A352,'01-02.2022'!$A$6:$DA$376,87,FALSE)</f>
        <v>5377.2746518741396</v>
      </c>
      <c r="CJ352" s="566">
        <f>VLOOKUP($A352,'01-02.2021'!$A$6:$CZ$403,88,FALSE)+VLOOKUP($A352,'1.3.21-28.2.22'!$A$6:$DA$404,88,FALSE)-VLOOKUP($A352,'01-02.2022'!$A$6:$DA$376,88,FALSE)</f>
        <v>3388.2183506777442</v>
      </c>
      <c r="CK352" s="70">
        <f t="shared" si="408"/>
        <v>-1989.0563011963955</v>
      </c>
      <c r="CL352" s="566">
        <f>VLOOKUP($A352,'01-02.2021'!$A$6:$CZ$403,90,FALSE)+VLOOKUP($A352,'1.3.21-28.2.22'!$A$6:$DA$404,90,FALSE)-VLOOKUP($A352,'01-02.2022'!$A$6:$DA$376,90,FALSE)</f>
        <v>0</v>
      </c>
      <c r="CM352" s="566">
        <f>VLOOKUP($A352,'01-02.2021'!$A$6:$CZ$403,91,FALSE)+VLOOKUP($A352,'1.3.21-28.2.22'!$A$6:$DA$404,91,FALSE)-VLOOKUP($A352,'01-02.2022'!$A$6:$DA$376,91,FALSE)</f>
        <v>0</v>
      </c>
      <c r="CN352" s="52">
        <f t="shared" si="360"/>
        <v>0</v>
      </c>
      <c r="CO352" s="39">
        <f t="shared" si="355"/>
        <v>5377.2746518741396</v>
      </c>
      <c r="CP352" s="40">
        <f t="shared" si="361"/>
        <v>3388.2183506777442</v>
      </c>
      <c r="CQ352" s="52">
        <f t="shared" si="362"/>
        <v>-1989.0563011963955</v>
      </c>
      <c r="CR352" s="72">
        <f t="shared" si="356"/>
        <v>133655.3165621931</v>
      </c>
      <c r="CS352" s="5">
        <f t="shared" si="356"/>
        <v>143066.46828090047</v>
      </c>
      <c r="CT352" s="52">
        <f t="shared" si="363"/>
        <v>9411.1517187073769</v>
      </c>
      <c r="CU352" s="77">
        <f t="shared" si="364"/>
        <v>160386.3798746317</v>
      </c>
      <c r="CV352" s="65">
        <f t="shared" si="365"/>
        <v>171679.76193708056</v>
      </c>
      <c r="CW352" s="35">
        <f t="shared" si="366"/>
        <v>11293.382062448858</v>
      </c>
      <c r="CX352" s="566">
        <f>VLOOKUP($A352,'01-02.2021'!$A$6:$CZ$403,102,FALSE)+VLOOKUP($A352,'1.3.21-28.2.22'!$A$6:$DA$404,102,FALSE)-VLOOKUP($A352,'01-02.2022'!$A$6:$DA$376,102,FALSE)</f>
        <v>4931.7192251572233</v>
      </c>
      <c r="CY352" s="566">
        <f>VLOOKUP($A352,'01-02.2021'!$A$6:$CZ$403,103,FALSE)+VLOOKUP($A352,'1.3.21-28.2.22'!$A$6:$DA$404,103,FALSE)-VLOOKUP($A352,'01-02.2022'!$A$6:$DA$376,103,FALSE)</f>
        <v>-6361.6628372916039</v>
      </c>
      <c r="CZ352" s="52">
        <f t="shared" si="367"/>
        <v>-11293.382062448827</v>
      </c>
      <c r="DA352" s="150">
        <f>'[2]побудинковий звіт'!DA352</f>
        <v>38412.322487030659</v>
      </c>
      <c r="DB352" s="2">
        <v>2</v>
      </c>
      <c r="DC352" s="414">
        <f>'[4]побудинковий звіт'!DC352</f>
        <v>32607.41</v>
      </c>
      <c r="DD352" s="414">
        <f>'[4]побудинковий звіт'!DD352</f>
        <v>400.03</v>
      </c>
      <c r="DE352" s="557">
        <f>'[4]побудинковий звіт'!DE352</f>
        <v>20194.193699959455</v>
      </c>
      <c r="DF352" s="557">
        <f>'[4]побудинковий звіт'!DF352</f>
        <v>-2847.1254236365585</v>
      </c>
      <c r="DG352" s="321">
        <f>VLOOKUP(A352,'кошти 01.03.2021'!$A$6:$D$401,4,)</f>
        <v>35164.782710220992</v>
      </c>
      <c r="DH352" s="40">
        <f>'[3]побудинковий звіт'!DJ352</f>
        <v>174279.85122146469</v>
      </c>
      <c r="DI352" s="422">
        <f>'[3]побудинковий звіт'!CU352+'[3]побудинковий звіт'!CX352</f>
        <v>15660.371723677103</v>
      </c>
      <c r="DJ352" s="306">
        <f>'[3]побудинковий звіт'!DM352</f>
        <v>6.1917479549284433</v>
      </c>
      <c r="DK352" s="306">
        <f t="shared" si="377"/>
        <v>6.1917479549284433</v>
      </c>
      <c r="DL352" s="306">
        <f>'[3]побудинковий звіт'!DO352</f>
        <v>5.2842236348845537</v>
      </c>
      <c r="DM352" s="28">
        <f t="shared" si="379"/>
        <v>12413.216300040544</v>
      </c>
      <c r="DN352" s="28">
        <f t="shared" si="380"/>
        <v>3247.1554236365582</v>
      </c>
      <c r="DO352" s="423">
        <f t="shared" si="381"/>
        <v>15660.371723677101</v>
      </c>
      <c r="DP352" s="94">
        <f t="shared" si="382"/>
        <v>0</v>
      </c>
      <c r="DQ352" s="28">
        <f t="shared" si="383"/>
        <v>15660.371723677101</v>
      </c>
      <c r="DR352" s="318"/>
      <c r="DT352" s="8"/>
      <c r="DU352" s="5"/>
      <c r="DX352" s="5">
        <f t="shared" si="384"/>
        <v>40358.772795652279</v>
      </c>
      <c r="DY352" s="5">
        <f t="shared" si="385"/>
        <v>52289.640000000007</v>
      </c>
      <c r="DZ352" s="159">
        <f>'[3]побудинковий звіт'!EA352</f>
        <v>3697.1715080320787</v>
      </c>
    </row>
    <row r="353" spans="1:130" x14ac:dyDescent="0.3">
      <c r="A353" s="325">
        <v>150000866</v>
      </c>
      <c r="B353" s="41" t="s">
        <v>799</v>
      </c>
      <c r="C353" s="42" t="s">
        <v>309</v>
      </c>
      <c r="D353" s="42"/>
      <c r="E353" s="293">
        <f t="shared" si="353"/>
        <v>5026.5</v>
      </c>
      <c r="F353" s="305">
        <f>'[3]побудинковий звіт'!F353</f>
        <v>3834.8</v>
      </c>
      <c r="G353" s="508">
        <f>'[3]побудинковий звіт'!G353</f>
        <v>0</v>
      </c>
      <c r="H353" s="560">
        <f>'[3]побудинковий звіт'!H353</f>
        <v>1191.7</v>
      </c>
      <c r="I353" s="566">
        <f>VLOOKUP($A353,'01-02.2021'!$A$6:$CZ$403,9,FALSE)+VLOOKUP($A353,'1.3.21-28.2.22'!$A$6:$DA$404,9,FALSE)-VLOOKUP($A353,'01-02.2022'!$A$6:$DA$376,9,FALSE)</f>
        <v>16614.945419646559</v>
      </c>
      <c r="J353" s="566">
        <f>VLOOKUP($A353,'01-02.2021'!$A$6:$CZ$403,10,FALSE)+VLOOKUP($A353,'1.3.21-28.2.22'!$A$6:$DA$404,10,FALSE)-VLOOKUP($A353,'01-02.2022'!$A$6:$DA$376,10,FALSE)</f>
        <v>14625.069033386657</v>
      </c>
      <c r="K353" s="52">
        <f t="shared" si="357"/>
        <v>-1989.8763862599026</v>
      </c>
      <c r="L353" s="566">
        <f>VLOOKUP($A353,'01-02.2021'!$A$6:$CZ$403,12,FALSE)+VLOOKUP($A353,'1.3.21-28.2.22'!$A$6:$DA$404,12,FALSE)-VLOOKUP($A353,'01-02.2022'!$A$6:$DA$376,12,FALSE)</f>
        <v>3327.1302721776783</v>
      </c>
      <c r="M353" s="566">
        <f>VLOOKUP($A353,'01-02.2021'!$A$6:$CZ$403,13,FALSE)+VLOOKUP($A353,'1.3.21-28.2.22'!$A$6:$DA$404,13,FALSE)-VLOOKUP($A353,'01-02.2022'!$A$6:$DA$376,13,FALSE)</f>
        <v>3004.8943754901466</v>
      </c>
      <c r="N353" s="52">
        <f t="shared" si="358"/>
        <v>-322.23589668753175</v>
      </c>
      <c r="O353" s="566">
        <f>VLOOKUP($A353,'01-02.2021'!$A$6:$CZ$403,15,FALSE)+VLOOKUP($A353,'1.3.21-28.2.22'!$A$6:$DA$404,15,FALSE)-VLOOKUP($A353,'01-02.2022'!$A$6:$DA$376,15,FALSE)</f>
        <v>6992.684430784675</v>
      </c>
      <c r="P353" s="566">
        <f>VLOOKUP($A353,'01-02.2021'!$A$6:$CZ$403,16,FALSE)+VLOOKUP($A353,'1.3.21-28.2.22'!$A$6:$DA$404,16,FALSE)-VLOOKUP($A353,'01-02.2022'!$A$6:$DA$376,16,FALSE)</f>
        <v>6992.77</v>
      </c>
      <c r="Q353" s="70">
        <f t="shared" si="386"/>
        <v>8.5569215325449477E-2</v>
      </c>
      <c r="R353" s="566">
        <f>VLOOKUP($A353,'01-02.2021'!$A$6:$CZ$403,18,FALSE)+VLOOKUP($A353,'1.3.21-28.2.22'!$A$6:$DA$404,18,FALSE)-VLOOKUP($A353,'01-02.2022'!$A$6:$DA$376,18,FALSE)</f>
        <v>0</v>
      </c>
      <c r="S353" s="566">
        <f>VLOOKUP($A353,'01-02.2021'!$A$6:$CZ$403,19,FALSE)+VLOOKUP($A353,'1.3.21-28.2.22'!$A$6:$DA$404,19,FALSE)-VLOOKUP($A353,'01-02.2022'!$A$6:$DA$376,19,FALSE)</f>
        <v>0</v>
      </c>
      <c r="T353" s="70">
        <f t="shared" si="387"/>
        <v>0</v>
      </c>
      <c r="U353" s="566">
        <f>VLOOKUP($A353,'01-02.2021'!$A$6:$CZ$403,21,FALSE)+VLOOKUP($A353,'1.3.21-28.2.22'!$A$6:$DA$404,21,FALSE)-VLOOKUP($A353,'01-02.2022'!$A$6:$DA$376,21,FALSE)</f>
        <v>0</v>
      </c>
      <c r="V353" s="566">
        <f>VLOOKUP($A353,'01-02.2021'!$A$6:$CZ$403,22,FALSE)+VLOOKUP($A353,'1.3.21-28.2.22'!$A$6:$DA$404,22,FALSE)-VLOOKUP($A353,'01-02.2022'!$A$6:$DA$376,22,FALSE)</f>
        <v>0</v>
      </c>
      <c r="W353" s="70">
        <f t="shared" si="388"/>
        <v>0</v>
      </c>
      <c r="X353" s="566">
        <f>VLOOKUP($A353,'01-02.2021'!$A$6:$CZ$403,24,FALSE)+VLOOKUP($A353,'1.3.21-28.2.22'!$A$6:$DA$404,24,FALSE)-VLOOKUP($A353,'01-02.2022'!$A$6:$DA$376,24,FALSE)</f>
        <v>12281.093525906024</v>
      </c>
      <c r="Y353" s="566">
        <f>VLOOKUP($A353,'01-02.2021'!$A$6:$CZ$403,25,FALSE)+VLOOKUP($A353,'1.3.21-28.2.22'!$A$6:$DA$404,25,FALSE)-VLOOKUP($A353,'01-02.2022'!$A$6:$DA$376,25,FALSE)</f>
        <v>10158.284698406154</v>
      </c>
      <c r="Z353" s="70">
        <f t="shared" si="389"/>
        <v>-2122.8088274998699</v>
      </c>
      <c r="AA353" s="566">
        <f>VLOOKUP($A353,'01-02.2021'!$A$6:$CZ$403,27,FALSE)+VLOOKUP($A353,'1.3.21-28.2.22'!$A$6:$DA$404,27,FALSE)-VLOOKUP($A353,'01-02.2022'!$A$6:$DA$376,27,FALSE)</f>
        <v>1005.3860000000001</v>
      </c>
      <c r="AB353" s="566">
        <f>VLOOKUP($A353,'01-02.2021'!$A$6:$CZ$403,28,FALSE)+VLOOKUP($A353,'1.3.21-28.2.22'!$A$6:$DA$404,28,FALSE)-VLOOKUP($A353,'01-02.2022'!$A$6:$DA$376,28,FALSE)</f>
        <v>0</v>
      </c>
      <c r="AC353" s="70">
        <f t="shared" si="390"/>
        <v>-1005.3860000000001</v>
      </c>
      <c r="AD353" s="566">
        <f>VLOOKUP($A353,'01-02.2021'!$A$6:$CZ$403,30,FALSE)+VLOOKUP($A353,'1.3.21-28.2.22'!$A$6:$DA$404,30,FALSE)-VLOOKUP($A353,'01-02.2022'!$A$6:$DA$376,30,FALSE)</f>
        <v>21472.838941772818</v>
      </c>
      <c r="AE353" s="566">
        <f>VLOOKUP($A353,'01-02.2021'!$A$6:$CZ$403,31,FALSE)+VLOOKUP($A353,'1.3.21-28.2.22'!$A$6:$DA$404,31,FALSE)-VLOOKUP($A353,'01-02.2022'!$A$6:$DA$376,31,FALSE)</f>
        <v>22880.830528996412</v>
      </c>
      <c r="AF353" s="68">
        <f t="shared" si="391"/>
        <v>1407.9915872235943</v>
      </c>
      <c r="AG353" s="77">
        <f t="shared" si="354"/>
        <v>61694.078590287754</v>
      </c>
      <c r="AH353" s="53">
        <f t="shared" si="354"/>
        <v>57661.84863627937</v>
      </c>
      <c r="AI353" s="52">
        <f t="shared" si="359"/>
        <v>-4032.2299540083841</v>
      </c>
      <c r="AJ353" s="566">
        <f>VLOOKUP($A353,'01-02.2021'!$A$6:$CZ$403,36,FALSE)+VLOOKUP($A353,'1.3.21-28.2.22'!$A$6:$DA$404,36,FALSE)-VLOOKUP($A353,'01-02.2022'!$A$6:$DA$376,36,FALSE)</f>
        <v>0</v>
      </c>
      <c r="AK353" s="566">
        <f>VLOOKUP($A353,'01-02.2021'!$A$6:$CZ$403,37,FALSE)+VLOOKUP($A353,'1.3.21-28.2.22'!$A$6:$DA$404,37,FALSE)-VLOOKUP($A353,'01-02.2022'!$A$6:$DA$376,37,FALSE)</f>
        <v>0</v>
      </c>
      <c r="AL353" s="70">
        <f t="shared" si="392"/>
        <v>0</v>
      </c>
      <c r="AM353" s="566">
        <f>VLOOKUP($A353,'01-02.2021'!$A$6:$CZ$403,39,FALSE)+VLOOKUP($A353,'1.3.21-28.2.22'!$A$6:$DA$404,39,FALSE)-VLOOKUP($A353,'01-02.2022'!$A$6:$DA$376,39,FALSE)</f>
        <v>0</v>
      </c>
      <c r="AN353" s="566">
        <f>VLOOKUP($A353,'01-02.2021'!$A$6:$CZ$403,40,FALSE)+VLOOKUP($A353,'1.3.21-28.2.22'!$A$6:$DA$404,40,FALSE)-VLOOKUP($A353,'01-02.2022'!$A$6:$DA$376,40,FALSE)</f>
        <v>0</v>
      </c>
      <c r="AO353" s="70">
        <f t="shared" si="393"/>
        <v>0</v>
      </c>
      <c r="AP353" s="566">
        <f>VLOOKUP($A353,'01-02.2021'!$A$6:$CZ$403,42,FALSE)+VLOOKUP($A353,'1.3.21-28.2.22'!$A$6:$DA$404,42,FALSE)-VLOOKUP($A353,'01-02.2022'!$A$6:$DA$376,42,FALSE)</f>
        <v>11972.878275293881</v>
      </c>
      <c r="AQ353" s="566">
        <f>VLOOKUP($A353,'01-02.2021'!$A$6:$CZ$403,43,FALSE)+VLOOKUP($A353,'1.3.21-28.2.22'!$A$6:$DA$404,43,FALSE)-VLOOKUP($A353,'01-02.2022'!$A$6:$DA$376,43,FALSE)</f>
        <v>9448.8173776348085</v>
      </c>
      <c r="AR353" s="70">
        <f t="shared" si="394"/>
        <v>-2524.060897659072</v>
      </c>
      <c r="AS353" s="566">
        <f>VLOOKUP($A353,'01-02.2021'!$A$6:$CZ$403,45,FALSE)+VLOOKUP($A353,'1.3.21-28.2.22'!$A$6:$DA$404,45,FALSE)-VLOOKUP($A353,'01-02.2022'!$A$6:$DA$376,45,FALSE)</f>
        <v>43294.645500103958</v>
      </c>
      <c r="AT353" s="566">
        <f>VLOOKUP($A353,'01-02.2021'!$A$6:$CZ$403,46,FALSE)+VLOOKUP($A353,'1.3.21-28.2.22'!$A$6:$DA$404,46,FALSE)-VLOOKUP($A353,'01-02.2022'!$A$6:$DA$376,46,FALSE)</f>
        <v>66243</v>
      </c>
      <c r="AU353" s="78">
        <f t="shared" si="395"/>
        <v>22948.354499896042</v>
      </c>
      <c r="AV353" s="566">
        <f>VLOOKUP($A353,'01-02.2021'!$A$6:$CZ$403,48,FALSE)+VLOOKUP($A353,'1.3.21-28.2.22'!$A$6:$DA$404,48,FALSE)-VLOOKUP($A353,'01-02.2022'!$A$6:$DA$376,48,FALSE)</f>
        <v>4932.9226134645714</v>
      </c>
      <c r="AW353" s="566">
        <f>VLOOKUP($A353,'01-02.2021'!$A$6:$CZ$403,49,FALSE)+VLOOKUP($A353,'1.3.21-28.2.22'!$A$6:$DA$404,49,FALSE)-VLOOKUP($A353,'01-02.2022'!$A$6:$DA$376,49,FALSE)</f>
        <v>1688.5299999999997</v>
      </c>
      <c r="AX353" s="55">
        <f t="shared" si="396"/>
        <v>-3244.3926134645717</v>
      </c>
      <c r="AY353" s="566">
        <f>VLOOKUP($A353,'01-02.2021'!$A$6:$CZ$403,51,FALSE)+VLOOKUP($A353,'1.3.21-28.2.22'!$A$6:$DA$404,51,FALSE)-VLOOKUP($A353,'01-02.2022'!$A$6:$DA$376,51,FALSE)</f>
        <v>6254.0899665682718</v>
      </c>
      <c r="AZ353" s="566">
        <f>VLOOKUP($A353,'01-02.2021'!$A$6:$CZ$403,52,FALSE)+VLOOKUP($A353,'1.3.21-28.2.22'!$A$6:$DA$404,52,FALSE)-VLOOKUP($A353,'01-02.2022'!$A$6:$DA$376,52,FALSE)</f>
        <v>0</v>
      </c>
      <c r="BA353" s="38">
        <f t="shared" si="397"/>
        <v>-6254.0899665682718</v>
      </c>
      <c r="BB353" s="566">
        <f>VLOOKUP($A353,'01-02.2021'!$A$6:$CZ$403,54,FALSE)+VLOOKUP($A353,'1.3.21-28.2.22'!$A$6:$DA$404,54,FALSE)-VLOOKUP($A353,'01-02.2022'!$A$6:$DA$376,54,FALSE)</f>
        <v>2465.1162802738058</v>
      </c>
      <c r="BC353" s="566">
        <f>VLOOKUP($A353,'01-02.2021'!$A$6:$CZ$403,55,FALSE)+VLOOKUP($A353,'1.3.21-28.2.22'!$A$6:$DA$404,55,FALSE)-VLOOKUP($A353,'01-02.2022'!$A$6:$DA$376,55,FALSE)</f>
        <v>0</v>
      </c>
      <c r="BD353" s="55">
        <f t="shared" si="398"/>
        <v>-2465.1162802738058</v>
      </c>
      <c r="BE353" s="566">
        <f>VLOOKUP($A353,'01-02.2021'!$A$6:$CZ$403,57,FALSE)+VLOOKUP($A353,'1.3.21-28.2.22'!$A$6:$DA$404,57,FALSE)-VLOOKUP($A353,'01-02.2022'!$A$6:$DA$376,57,FALSE)</f>
        <v>0</v>
      </c>
      <c r="BF353" s="566">
        <f>VLOOKUP($A353,'01-02.2021'!$A$6:$CZ$403,58,FALSE)+VLOOKUP($A353,'1.3.21-28.2.22'!$A$6:$DA$404,58,FALSE)-VLOOKUP($A353,'01-02.2022'!$A$6:$DA$376,58,FALSE)</f>
        <v>0</v>
      </c>
      <c r="BG353" s="55">
        <f t="shared" si="399"/>
        <v>0</v>
      </c>
      <c r="BH353" s="566">
        <f>VLOOKUP($A353,'01-02.2021'!$A$6:$CZ$403,60,FALSE)+VLOOKUP($A353,'1.3.21-28.2.22'!$A$6:$DA$404,60,FALSE)-VLOOKUP($A353,'01-02.2022'!$A$6:$DA$376,60,FALSE)</f>
        <v>0</v>
      </c>
      <c r="BI353" s="566">
        <f>VLOOKUP($A353,'01-02.2021'!$A$6:$CZ$403,61,FALSE)+VLOOKUP($A353,'1.3.21-28.2.22'!$A$6:$DA$404,61,FALSE)-VLOOKUP($A353,'01-02.2022'!$A$6:$DA$376,61,FALSE)</f>
        <v>0</v>
      </c>
      <c r="BJ353" s="55">
        <f t="shared" si="400"/>
        <v>0</v>
      </c>
      <c r="BK353" s="566">
        <f>VLOOKUP($A353,'01-02.2021'!$A$6:$CZ$403,63,FALSE)+VLOOKUP($A353,'1.3.21-28.2.22'!$A$6:$DA$404,63,FALSE)-VLOOKUP($A353,'01-02.2022'!$A$6:$DA$376,63,FALSE)</f>
        <v>4034.5480078310047</v>
      </c>
      <c r="BL353" s="566">
        <f>VLOOKUP($A353,'01-02.2021'!$A$6:$CZ$403,64,FALSE)+VLOOKUP($A353,'1.3.21-28.2.22'!$A$6:$DA$404,64,FALSE)-VLOOKUP($A353,'01-02.2022'!$A$6:$DA$376,64,FALSE)</f>
        <v>1014</v>
      </c>
      <c r="BM353" s="55">
        <f t="shared" si="401"/>
        <v>-3020.5480078310047</v>
      </c>
      <c r="BN353" s="566">
        <f>VLOOKUP($A353,'01-02.2021'!$A$6:$CZ$403,66,FALSE)+VLOOKUP($A353,'1.3.21-28.2.22'!$A$6:$DA$404,66,FALSE)-VLOOKUP($A353,'01-02.2022'!$A$6:$DA$376,66,FALSE)</f>
        <v>1249.4791213740759</v>
      </c>
      <c r="BO353" s="566">
        <f>VLOOKUP($A353,'01-02.2021'!$A$6:$CZ$403,67,FALSE)+VLOOKUP($A353,'1.3.21-28.2.22'!$A$6:$DA$404,67,FALSE)-VLOOKUP($A353,'01-02.2022'!$A$6:$DA$376,67,FALSE)</f>
        <v>0</v>
      </c>
      <c r="BP353" s="55">
        <f t="shared" si="402"/>
        <v>-1249.4791213740759</v>
      </c>
      <c r="BQ353" s="77">
        <f t="shared" si="409"/>
        <v>18936.155989511728</v>
      </c>
      <c r="BR353" s="40">
        <f t="shared" si="410"/>
        <v>2702.5299999999997</v>
      </c>
      <c r="BS353" s="55">
        <f t="shared" si="369"/>
        <v>-16233.625989511729</v>
      </c>
      <c r="BT353" s="566">
        <f>VLOOKUP($A353,'01-02.2021'!$A$6:$CZ$403,72,FALSE)+VLOOKUP($A353,'1.3.21-28.2.22'!$A$6:$DA$404,72,FALSE)-VLOOKUP($A353,'01-02.2022'!$A$6:$DA$376,72,FALSE)</f>
        <v>36348.89048044799</v>
      </c>
      <c r="BU353" s="566">
        <f>VLOOKUP($A353,'01-02.2021'!$A$6:$CZ$403,73,FALSE)+VLOOKUP($A353,'1.3.21-28.2.22'!$A$6:$DA$404,73,FALSE)-VLOOKUP($A353,'01-02.2022'!$A$6:$DA$376,73,FALSE)</f>
        <v>49936.77738060322</v>
      </c>
      <c r="BV353" s="70">
        <f t="shared" si="403"/>
        <v>13587.88690015523</v>
      </c>
      <c r="BW353" s="566">
        <f>VLOOKUP($A353,'01-02.2021'!$A$6:$CZ$403,75,FALSE)+VLOOKUP($A353,'1.3.21-28.2.22'!$A$6:$DA$404,75,FALSE)-VLOOKUP($A353,'01-02.2022'!$A$6:$DA$376,75,FALSE)</f>
        <v>21082.448273950919</v>
      </c>
      <c r="BX353" s="566">
        <f>VLOOKUP($A353,'01-02.2021'!$A$6:$CZ$403,76,FALSE)+VLOOKUP($A353,'1.3.21-28.2.22'!$A$6:$DA$404,76,FALSE)-VLOOKUP($A353,'01-02.2022'!$A$6:$DA$376,76,FALSE)</f>
        <v>23024.650897001571</v>
      </c>
      <c r="BY353" s="70">
        <f t="shared" si="404"/>
        <v>1942.2026230506526</v>
      </c>
      <c r="BZ353" s="566">
        <f>VLOOKUP($A353,'01-02.2021'!$A$6:$CZ$403,78,FALSE)+VLOOKUP($A353,'1.3.21-28.2.22'!$A$6:$DA$404,78,FALSE)-VLOOKUP($A353,'01-02.2022'!$A$6:$DA$376,78,FALSE)</f>
        <v>20377.471619116954</v>
      </c>
      <c r="CA353" s="566">
        <f>VLOOKUP($A353,'01-02.2021'!$A$6:$CZ$403,79,FALSE)+VLOOKUP($A353,'1.3.21-28.2.22'!$A$6:$DA$404,79,FALSE)-VLOOKUP($A353,'01-02.2022'!$A$6:$DA$376,79,FALSE)</f>
        <v>12089.864426540567</v>
      </c>
      <c r="CB353" s="70">
        <f t="shared" si="405"/>
        <v>-8287.6071925763863</v>
      </c>
      <c r="CC353" s="566">
        <f>VLOOKUP($A353,'01-02.2021'!$A$6:$CZ$403,81,FALSE)+VLOOKUP($A353,'1.3.21-28.2.22'!$A$6:$DA$404,81,FALSE)-VLOOKUP($A353,'01-02.2022'!$A$6:$DA$376,81,FALSE)</f>
        <v>85.463906519763597</v>
      </c>
      <c r="CD353" s="566">
        <f>VLOOKUP($A353,'01-02.2021'!$A$6:$CZ$403,82,FALSE)+VLOOKUP($A353,'1.3.21-28.2.22'!$A$6:$DA$404,82,FALSE)-VLOOKUP($A353,'01-02.2022'!$A$6:$DA$376,82,FALSE)</f>
        <v>93.411453249706739</v>
      </c>
      <c r="CE353" s="70">
        <f t="shared" si="406"/>
        <v>7.9475467299431415</v>
      </c>
      <c r="CF353" s="566">
        <f>VLOOKUP($A353,'01-02.2021'!$A$6:$CZ$403,84,FALSE)+VLOOKUP($A353,'1.3.21-28.2.22'!$A$6:$DA$404,84,FALSE)-VLOOKUP($A353,'01-02.2022'!$A$6:$DA$376,84,FALSE)</f>
        <v>10.389898313986048</v>
      </c>
      <c r="CG353" s="566">
        <f>VLOOKUP($A353,'01-02.2021'!$A$6:$CZ$403,85,FALSE)+VLOOKUP($A353,'1.3.21-28.2.22'!$A$6:$DA$404,85,FALSE)-VLOOKUP($A353,'01-02.2022'!$A$6:$DA$376,85,FALSE)</f>
        <v>0</v>
      </c>
      <c r="CH353" s="70">
        <f t="shared" si="407"/>
        <v>-10.389898313986048</v>
      </c>
      <c r="CI353" s="566">
        <f>VLOOKUP($A353,'01-02.2021'!$A$6:$CZ$403,87,FALSE)+VLOOKUP($A353,'1.3.21-28.2.22'!$A$6:$DA$404,87,FALSE)-VLOOKUP($A353,'01-02.2022'!$A$6:$DA$376,87,FALSE)</f>
        <v>11148.81627720466</v>
      </c>
      <c r="CJ353" s="566">
        <f>VLOOKUP($A353,'01-02.2021'!$A$6:$CZ$403,88,FALSE)+VLOOKUP($A353,'1.3.21-28.2.22'!$A$6:$DA$404,88,FALSE)-VLOOKUP($A353,'01-02.2022'!$A$6:$DA$376,88,FALSE)</f>
        <v>8390.9398360057839</v>
      </c>
      <c r="CK353" s="70">
        <f t="shared" si="408"/>
        <v>-2757.8764411988759</v>
      </c>
      <c r="CL353" s="566">
        <f>VLOOKUP($A353,'01-02.2021'!$A$6:$CZ$403,90,FALSE)+VLOOKUP($A353,'1.3.21-28.2.22'!$A$6:$DA$404,90,FALSE)-VLOOKUP($A353,'01-02.2022'!$A$6:$DA$376,90,FALSE)</f>
        <v>0</v>
      </c>
      <c r="CM353" s="566">
        <f>VLOOKUP($A353,'01-02.2021'!$A$6:$CZ$403,91,FALSE)+VLOOKUP($A353,'1.3.21-28.2.22'!$A$6:$DA$404,91,FALSE)-VLOOKUP($A353,'01-02.2022'!$A$6:$DA$376,91,FALSE)</f>
        <v>0</v>
      </c>
      <c r="CN353" s="52">
        <f t="shared" si="360"/>
        <v>0</v>
      </c>
      <c r="CO353" s="39">
        <f t="shared" si="355"/>
        <v>11148.81627720466</v>
      </c>
      <c r="CP353" s="40">
        <f t="shared" si="361"/>
        <v>8390.9398360057839</v>
      </c>
      <c r="CQ353" s="52">
        <f t="shared" si="362"/>
        <v>-2757.8764411988759</v>
      </c>
      <c r="CR353" s="72">
        <f t="shared" si="356"/>
        <v>224951.23881075162</v>
      </c>
      <c r="CS353" s="5">
        <f t="shared" si="356"/>
        <v>229591.84000731501</v>
      </c>
      <c r="CT353" s="52">
        <f t="shared" si="363"/>
        <v>4640.6011965633952</v>
      </c>
      <c r="CU353" s="77">
        <f t="shared" si="364"/>
        <v>269941.48657290195</v>
      </c>
      <c r="CV353" s="65">
        <f t="shared" si="365"/>
        <v>275510.20800877799</v>
      </c>
      <c r="CW353" s="35">
        <f t="shared" si="366"/>
        <v>5568.7214358760393</v>
      </c>
      <c r="CX353" s="566">
        <f>VLOOKUP($A353,'01-02.2021'!$A$6:$CZ$403,102,FALSE)+VLOOKUP($A353,'1.3.21-28.2.22'!$A$6:$DA$404,102,FALSE)-VLOOKUP($A353,'01-02.2022'!$A$6:$DA$376,102,FALSE)</f>
        <v>8548.3539113675197</v>
      </c>
      <c r="CY353" s="566">
        <f>VLOOKUP($A353,'01-02.2021'!$A$6:$CZ$403,103,FALSE)+VLOOKUP($A353,'1.3.21-28.2.22'!$A$6:$DA$404,103,FALSE)-VLOOKUP($A353,'01-02.2022'!$A$6:$DA$376,103,FALSE)</f>
        <v>2979.6324754914476</v>
      </c>
      <c r="CZ353" s="52">
        <f t="shared" si="367"/>
        <v>-5568.7214358760721</v>
      </c>
      <c r="DA353" s="150">
        <f>'[2]побудинковий звіт'!DA353</f>
        <v>-11251.572779578764</v>
      </c>
      <c r="DB353" s="2">
        <v>1</v>
      </c>
      <c r="DC353" s="414">
        <f>'[4]побудинковий звіт'!DC353</f>
        <v>66567.199999999997</v>
      </c>
      <c r="DD353" s="414">
        <f>'[4]побудинковий звіт'!DD353</f>
        <v>426.6</v>
      </c>
      <c r="DE353" s="557">
        <f>'[4]побудинковий звіт'!DE353</f>
        <v>46713.47730967823</v>
      </c>
      <c r="DF353" s="557">
        <f>'[4]побудинковий звіт'!DF353</f>
        <v>-4968.3778812594246</v>
      </c>
      <c r="DG353" s="321">
        <f>VLOOKUP(A353,'кошти 01.03.2021'!$A$6:$D$401,4,)</f>
        <v>-4697.4471182156976</v>
      </c>
      <c r="DH353" s="40">
        <f>'[3]побудинковий звіт'!DJ353</f>
        <v>288140.06888680457</v>
      </c>
      <c r="DI353" s="422">
        <f>'[3]побудинковий звіт'!CU353+'[3]побудинковий звіт'!CX353</f>
        <v>25248.700571581194</v>
      </c>
      <c r="DJ353" s="306">
        <f>'[3]побудинковий звіт'!DM353</f>
        <v>5.1772511448632956</v>
      </c>
      <c r="DK353" s="306">
        <f t="shared" si="377"/>
        <v>5.1772511448632956</v>
      </c>
      <c r="DL353" s="306">
        <f>'[3]побудинковий звіт'!DO353</f>
        <v>4.527127533153835</v>
      </c>
      <c r="DM353" s="28">
        <f t="shared" si="379"/>
        <v>19853.722690321767</v>
      </c>
      <c r="DN353" s="28">
        <f t="shared" si="380"/>
        <v>5394.977881259425</v>
      </c>
      <c r="DO353" s="423">
        <f t="shared" si="381"/>
        <v>25248.70057158119</v>
      </c>
      <c r="DP353" s="94">
        <f t="shared" si="382"/>
        <v>0</v>
      </c>
      <c r="DQ353" s="28">
        <f t="shared" si="383"/>
        <v>25248.70057158119</v>
      </c>
      <c r="DR353" s="318"/>
      <c r="DT353" s="8"/>
      <c r="DU353" s="5"/>
      <c r="DX353" s="5">
        <f t="shared" si="384"/>
        <v>74676.961787538821</v>
      </c>
      <c r="DY353" s="5">
        <f t="shared" si="385"/>
        <v>82734.635999999999</v>
      </c>
      <c r="DZ353" s="159">
        <f>'[3]побудинковий звіт'!EA353</f>
        <v>6938.3351570094319</v>
      </c>
    </row>
    <row r="354" spans="1:130" x14ac:dyDescent="0.3">
      <c r="A354" s="325">
        <v>150000867</v>
      </c>
      <c r="B354" s="41" t="s">
        <v>800</v>
      </c>
      <c r="C354" s="42" t="s">
        <v>310</v>
      </c>
      <c r="D354" s="42"/>
      <c r="E354" s="293">
        <f t="shared" si="353"/>
        <v>2840.51</v>
      </c>
      <c r="F354" s="305">
        <f>'[3]побудинковий звіт'!F354</f>
        <v>2289.0100000000002</v>
      </c>
      <c r="G354" s="508">
        <f>'[3]побудинковий звіт'!G354</f>
        <v>0</v>
      </c>
      <c r="H354" s="560">
        <f>'[3]побудинковий звіт'!H354</f>
        <v>551.5</v>
      </c>
      <c r="I354" s="566">
        <f>VLOOKUP($A354,'01-02.2021'!$A$6:$CZ$403,9,FALSE)+VLOOKUP($A354,'1.3.21-28.2.22'!$A$6:$DA$404,9,FALSE)-VLOOKUP($A354,'01-02.2022'!$A$6:$DA$376,9,FALSE)</f>
        <v>8214.8174522935333</v>
      </c>
      <c r="J354" s="566">
        <f>VLOOKUP($A354,'01-02.2021'!$A$6:$CZ$403,10,FALSE)+VLOOKUP($A354,'1.3.21-28.2.22'!$A$6:$DA$404,10,FALSE)-VLOOKUP($A354,'01-02.2022'!$A$6:$DA$376,10,FALSE)</f>
        <v>7297.2478500830221</v>
      </c>
      <c r="K354" s="52">
        <f t="shared" si="357"/>
        <v>-917.56960221051122</v>
      </c>
      <c r="L354" s="566">
        <f>VLOOKUP($A354,'01-02.2021'!$A$6:$CZ$403,12,FALSE)+VLOOKUP($A354,'1.3.21-28.2.22'!$A$6:$DA$404,12,FALSE)-VLOOKUP($A354,'01-02.2022'!$A$6:$DA$376,12,FALSE)</f>
        <v>1706.4567035992234</v>
      </c>
      <c r="M354" s="566">
        <f>VLOOKUP($A354,'01-02.2021'!$A$6:$CZ$403,13,FALSE)+VLOOKUP($A354,'1.3.21-28.2.22'!$A$6:$DA$404,13,FALSE)-VLOOKUP($A354,'01-02.2022'!$A$6:$DA$376,13,FALSE)</f>
        <v>1542.2790215366888</v>
      </c>
      <c r="N354" s="52">
        <f t="shared" si="358"/>
        <v>-164.17768206253459</v>
      </c>
      <c r="O354" s="566">
        <f>VLOOKUP($A354,'01-02.2021'!$A$6:$CZ$403,15,FALSE)+VLOOKUP($A354,'1.3.21-28.2.22'!$A$6:$DA$404,15,FALSE)-VLOOKUP($A354,'01-02.2022'!$A$6:$DA$376,15,FALSE)</f>
        <v>4272.5053740282328</v>
      </c>
      <c r="P354" s="566">
        <f>VLOOKUP($A354,'01-02.2021'!$A$6:$CZ$403,16,FALSE)+VLOOKUP($A354,'1.3.21-28.2.22'!$A$6:$DA$404,16,FALSE)-VLOOKUP($A354,'01-02.2022'!$A$6:$DA$376,16,FALSE)</f>
        <v>4272.59</v>
      </c>
      <c r="Q354" s="70">
        <f t="shared" si="386"/>
        <v>8.4625971767309238E-2</v>
      </c>
      <c r="R354" s="566">
        <f>VLOOKUP($A354,'01-02.2021'!$A$6:$CZ$403,18,FALSE)+VLOOKUP($A354,'1.3.21-28.2.22'!$A$6:$DA$404,18,FALSE)-VLOOKUP($A354,'01-02.2022'!$A$6:$DA$376,18,FALSE)</f>
        <v>0</v>
      </c>
      <c r="S354" s="566">
        <f>VLOOKUP($A354,'01-02.2021'!$A$6:$CZ$403,19,FALSE)+VLOOKUP($A354,'1.3.21-28.2.22'!$A$6:$DA$404,19,FALSE)-VLOOKUP($A354,'01-02.2022'!$A$6:$DA$376,19,FALSE)</f>
        <v>0</v>
      </c>
      <c r="T354" s="70">
        <f t="shared" si="387"/>
        <v>0</v>
      </c>
      <c r="U354" s="566">
        <f>VLOOKUP($A354,'01-02.2021'!$A$6:$CZ$403,21,FALSE)+VLOOKUP($A354,'1.3.21-28.2.22'!$A$6:$DA$404,21,FALSE)-VLOOKUP($A354,'01-02.2022'!$A$6:$DA$376,21,FALSE)</f>
        <v>0</v>
      </c>
      <c r="V354" s="566">
        <f>VLOOKUP($A354,'01-02.2021'!$A$6:$CZ$403,22,FALSE)+VLOOKUP($A354,'1.3.21-28.2.22'!$A$6:$DA$404,22,FALSE)-VLOOKUP($A354,'01-02.2022'!$A$6:$DA$376,22,FALSE)</f>
        <v>0</v>
      </c>
      <c r="W354" s="70">
        <f t="shared" si="388"/>
        <v>0</v>
      </c>
      <c r="X354" s="566">
        <f>VLOOKUP($A354,'01-02.2021'!$A$6:$CZ$403,24,FALSE)+VLOOKUP($A354,'1.3.21-28.2.22'!$A$6:$DA$404,24,FALSE)-VLOOKUP($A354,'01-02.2022'!$A$6:$DA$376,24,FALSE)</f>
        <v>4883.953017549592</v>
      </c>
      <c r="Y354" s="566">
        <f>VLOOKUP($A354,'01-02.2021'!$A$6:$CZ$403,25,FALSE)+VLOOKUP($A354,'1.3.21-28.2.22'!$A$6:$DA$404,25,FALSE)-VLOOKUP($A354,'01-02.2022'!$A$6:$DA$376,25,FALSE)</f>
        <v>4794.1628314115333</v>
      </c>
      <c r="Z354" s="70">
        <f t="shared" si="389"/>
        <v>-89.790186138058743</v>
      </c>
      <c r="AA354" s="566">
        <f>VLOOKUP($A354,'01-02.2021'!$A$6:$CZ$403,27,FALSE)+VLOOKUP($A354,'1.3.21-28.2.22'!$A$6:$DA$404,27,FALSE)-VLOOKUP($A354,'01-02.2022'!$A$6:$DA$376,27,FALSE)</f>
        <v>567.98200000000008</v>
      </c>
      <c r="AB354" s="566">
        <f>VLOOKUP($A354,'01-02.2021'!$A$6:$CZ$403,28,FALSE)+VLOOKUP($A354,'1.3.21-28.2.22'!$A$6:$DA$404,28,FALSE)-VLOOKUP($A354,'01-02.2022'!$A$6:$DA$376,28,FALSE)</f>
        <v>0</v>
      </c>
      <c r="AC354" s="70">
        <f t="shared" si="390"/>
        <v>-567.98200000000008</v>
      </c>
      <c r="AD354" s="566">
        <f>VLOOKUP($A354,'01-02.2021'!$A$6:$CZ$403,30,FALSE)+VLOOKUP($A354,'1.3.21-28.2.22'!$A$6:$DA$404,30,FALSE)-VLOOKUP($A354,'01-02.2022'!$A$6:$DA$376,30,FALSE)</f>
        <v>12145.057768777013</v>
      </c>
      <c r="AE354" s="566">
        <f>VLOOKUP($A354,'01-02.2021'!$A$6:$CZ$403,31,FALSE)+VLOOKUP($A354,'1.3.21-28.2.22'!$A$6:$DA$404,31,FALSE)-VLOOKUP($A354,'01-02.2022'!$A$6:$DA$376,31,FALSE)</f>
        <v>12930.115970540057</v>
      </c>
      <c r="AF354" s="68">
        <f t="shared" si="391"/>
        <v>785.05820176304405</v>
      </c>
      <c r="AG354" s="77">
        <f t="shared" si="354"/>
        <v>31790.772316247596</v>
      </c>
      <c r="AH354" s="53">
        <f t="shared" si="354"/>
        <v>30836.3956735713</v>
      </c>
      <c r="AI354" s="52">
        <f t="shared" si="359"/>
        <v>-954.37664267629589</v>
      </c>
      <c r="AJ354" s="566">
        <f>VLOOKUP($A354,'01-02.2021'!$A$6:$CZ$403,36,FALSE)+VLOOKUP($A354,'1.3.21-28.2.22'!$A$6:$DA$404,36,FALSE)-VLOOKUP($A354,'01-02.2022'!$A$6:$DA$376,36,FALSE)</f>
        <v>0</v>
      </c>
      <c r="AK354" s="566">
        <f>VLOOKUP($A354,'01-02.2021'!$A$6:$CZ$403,37,FALSE)+VLOOKUP($A354,'1.3.21-28.2.22'!$A$6:$DA$404,37,FALSE)-VLOOKUP($A354,'01-02.2022'!$A$6:$DA$376,37,FALSE)</f>
        <v>0</v>
      </c>
      <c r="AL354" s="70">
        <f t="shared" si="392"/>
        <v>0</v>
      </c>
      <c r="AM354" s="566">
        <f>VLOOKUP($A354,'01-02.2021'!$A$6:$CZ$403,39,FALSE)+VLOOKUP($A354,'1.3.21-28.2.22'!$A$6:$DA$404,39,FALSE)-VLOOKUP($A354,'01-02.2022'!$A$6:$DA$376,39,FALSE)</f>
        <v>0</v>
      </c>
      <c r="AN354" s="566">
        <f>VLOOKUP($A354,'01-02.2021'!$A$6:$CZ$403,40,FALSE)+VLOOKUP($A354,'1.3.21-28.2.22'!$A$6:$DA$404,40,FALSE)-VLOOKUP($A354,'01-02.2022'!$A$6:$DA$376,40,FALSE)</f>
        <v>0</v>
      </c>
      <c r="AO354" s="70">
        <f t="shared" si="393"/>
        <v>0</v>
      </c>
      <c r="AP354" s="566">
        <f>VLOOKUP($A354,'01-02.2021'!$A$6:$CZ$403,42,FALSE)+VLOOKUP($A354,'1.3.21-28.2.22'!$A$6:$DA$404,42,FALSE)-VLOOKUP($A354,'01-02.2022'!$A$6:$DA$376,42,FALSE)</f>
        <v>6376.8590814065237</v>
      </c>
      <c r="AQ354" s="566">
        <f>VLOOKUP($A354,'01-02.2021'!$A$6:$CZ$403,43,FALSE)+VLOOKUP($A354,'1.3.21-28.2.22'!$A$6:$DA$404,43,FALSE)-VLOOKUP($A354,'01-02.2022'!$A$6:$DA$376,43,FALSE)</f>
        <v>4948.1348209450734</v>
      </c>
      <c r="AR354" s="70">
        <f t="shared" si="394"/>
        <v>-1428.7242604614503</v>
      </c>
      <c r="AS354" s="566">
        <f>VLOOKUP($A354,'01-02.2021'!$A$6:$CZ$403,45,FALSE)+VLOOKUP($A354,'1.3.21-28.2.22'!$A$6:$DA$404,45,FALSE)-VLOOKUP($A354,'01-02.2022'!$A$6:$DA$376,45,FALSE)</f>
        <v>18846.126990883586</v>
      </c>
      <c r="AT354" s="566">
        <f>VLOOKUP($A354,'01-02.2021'!$A$6:$CZ$403,46,FALSE)+VLOOKUP($A354,'1.3.21-28.2.22'!$A$6:$DA$404,46,FALSE)-VLOOKUP($A354,'01-02.2022'!$A$6:$DA$376,46,FALSE)</f>
        <v>5132</v>
      </c>
      <c r="AU354" s="78">
        <f t="shared" si="395"/>
        <v>-13714.126990883586</v>
      </c>
      <c r="AV354" s="566">
        <f>VLOOKUP($A354,'01-02.2021'!$A$6:$CZ$403,48,FALSE)+VLOOKUP($A354,'1.3.21-28.2.22'!$A$6:$DA$404,48,FALSE)-VLOOKUP($A354,'01-02.2022'!$A$6:$DA$376,48,FALSE)</f>
        <v>2376.2764337042063</v>
      </c>
      <c r="AW354" s="566">
        <f>VLOOKUP($A354,'01-02.2021'!$A$6:$CZ$403,49,FALSE)+VLOOKUP($A354,'1.3.21-28.2.22'!$A$6:$DA$404,49,FALSE)-VLOOKUP($A354,'01-02.2022'!$A$6:$DA$376,49,FALSE)</f>
        <v>1506</v>
      </c>
      <c r="AX354" s="55">
        <f t="shared" si="396"/>
        <v>-870.27643370420628</v>
      </c>
      <c r="AY354" s="566">
        <f>VLOOKUP($A354,'01-02.2021'!$A$6:$CZ$403,51,FALSE)+VLOOKUP($A354,'1.3.21-28.2.22'!$A$6:$DA$404,51,FALSE)-VLOOKUP($A354,'01-02.2022'!$A$6:$DA$376,51,FALSE)</f>
        <v>3207.8337270633783</v>
      </c>
      <c r="AZ354" s="566">
        <f>VLOOKUP($A354,'01-02.2021'!$A$6:$CZ$403,52,FALSE)+VLOOKUP($A354,'1.3.21-28.2.22'!$A$6:$DA$404,52,FALSE)-VLOOKUP($A354,'01-02.2022'!$A$6:$DA$376,52,FALSE)</f>
        <v>1847</v>
      </c>
      <c r="BA354" s="38">
        <f t="shared" si="397"/>
        <v>-1360.8337270633783</v>
      </c>
      <c r="BB354" s="566">
        <f>VLOOKUP($A354,'01-02.2021'!$A$6:$CZ$403,54,FALSE)+VLOOKUP($A354,'1.3.21-28.2.22'!$A$6:$DA$404,54,FALSE)-VLOOKUP($A354,'01-02.2022'!$A$6:$DA$376,54,FALSE)</f>
        <v>1469.8910562124684</v>
      </c>
      <c r="BC354" s="566">
        <f>VLOOKUP($A354,'01-02.2021'!$A$6:$CZ$403,55,FALSE)+VLOOKUP($A354,'1.3.21-28.2.22'!$A$6:$DA$404,55,FALSE)-VLOOKUP($A354,'01-02.2022'!$A$6:$DA$376,55,FALSE)</f>
        <v>0</v>
      </c>
      <c r="BD354" s="55">
        <f t="shared" si="398"/>
        <v>-1469.8910562124684</v>
      </c>
      <c r="BE354" s="566">
        <f>VLOOKUP($A354,'01-02.2021'!$A$6:$CZ$403,57,FALSE)+VLOOKUP($A354,'1.3.21-28.2.22'!$A$6:$DA$404,57,FALSE)-VLOOKUP($A354,'01-02.2022'!$A$6:$DA$376,57,FALSE)</f>
        <v>0</v>
      </c>
      <c r="BF354" s="566">
        <f>VLOOKUP($A354,'01-02.2021'!$A$6:$CZ$403,58,FALSE)+VLOOKUP($A354,'1.3.21-28.2.22'!$A$6:$DA$404,58,FALSE)-VLOOKUP($A354,'01-02.2022'!$A$6:$DA$376,58,FALSE)</f>
        <v>0</v>
      </c>
      <c r="BG354" s="55">
        <f t="shared" si="399"/>
        <v>0</v>
      </c>
      <c r="BH354" s="566">
        <f>VLOOKUP($A354,'01-02.2021'!$A$6:$CZ$403,60,FALSE)+VLOOKUP($A354,'1.3.21-28.2.22'!$A$6:$DA$404,60,FALSE)-VLOOKUP($A354,'01-02.2022'!$A$6:$DA$376,60,FALSE)</f>
        <v>0</v>
      </c>
      <c r="BI354" s="566">
        <f>VLOOKUP($A354,'01-02.2021'!$A$6:$CZ$403,61,FALSE)+VLOOKUP($A354,'1.3.21-28.2.22'!$A$6:$DA$404,61,FALSE)-VLOOKUP($A354,'01-02.2022'!$A$6:$DA$376,61,FALSE)</f>
        <v>0</v>
      </c>
      <c r="BJ354" s="55">
        <f t="shared" si="400"/>
        <v>0</v>
      </c>
      <c r="BK354" s="566">
        <f>VLOOKUP($A354,'01-02.2021'!$A$6:$CZ$403,63,FALSE)+VLOOKUP($A354,'1.3.21-28.2.22'!$A$6:$DA$404,63,FALSE)-VLOOKUP($A354,'01-02.2022'!$A$6:$DA$376,63,FALSE)</f>
        <v>1380.9366615376341</v>
      </c>
      <c r="BL354" s="566">
        <f>VLOOKUP($A354,'01-02.2021'!$A$6:$CZ$403,64,FALSE)+VLOOKUP($A354,'1.3.21-28.2.22'!$A$6:$DA$404,64,FALSE)-VLOOKUP($A354,'01-02.2022'!$A$6:$DA$376,64,FALSE)</f>
        <v>0</v>
      </c>
      <c r="BM354" s="55">
        <f t="shared" si="401"/>
        <v>-1380.9366615376341</v>
      </c>
      <c r="BN354" s="566">
        <f>VLOOKUP($A354,'01-02.2021'!$A$6:$CZ$403,66,FALSE)+VLOOKUP($A354,'1.3.21-28.2.22'!$A$6:$DA$404,66,FALSE)-VLOOKUP($A354,'01-02.2022'!$A$6:$DA$376,66,FALSE)</f>
        <v>627.38151687870914</v>
      </c>
      <c r="BO354" s="566">
        <f>VLOOKUP($A354,'01-02.2021'!$A$6:$CZ$403,67,FALSE)+VLOOKUP($A354,'1.3.21-28.2.22'!$A$6:$DA$404,67,FALSE)-VLOOKUP($A354,'01-02.2022'!$A$6:$DA$376,67,FALSE)</f>
        <v>0</v>
      </c>
      <c r="BP354" s="55">
        <f t="shared" si="402"/>
        <v>-627.38151687870914</v>
      </c>
      <c r="BQ354" s="77">
        <f t="shared" si="409"/>
        <v>9062.3193953963964</v>
      </c>
      <c r="BR354" s="40">
        <f t="shared" si="410"/>
        <v>3353</v>
      </c>
      <c r="BS354" s="55">
        <f t="shared" si="369"/>
        <v>-5709.3193953963964</v>
      </c>
      <c r="BT354" s="566">
        <f>VLOOKUP($A354,'01-02.2021'!$A$6:$CZ$403,72,FALSE)+VLOOKUP($A354,'1.3.21-28.2.22'!$A$6:$DA$404,72,FALSE)-VLOOKUP($A354,'01-02.2022'!$A$6:$DA$376,72,FALSE)</f>
        <v>13256.971928318366</v>
      </c>
      <c r="BU354" s="566">
        <f>VLOOKUP($A354,'01-02.2021'!$A$6:$CZ$403,73,FALSE)+VLOOKUP($A354,'1.3.21-28.2.22'!$A$6:$DA$404,73,FALSE)-VLOOKUP($A354,'01-02.2022'!$A$6:$DA$376,73,FALSE)</f>
        <v>19397.364984919692</v>
      </c>
      <c r="BV354" s="70">
        <f t="shared" si="403"/>
        <v>6140.393056601326</v>
      </c>
      <c r="BW354" s="566">
        <f>VLOOKUP($A354,'01-02.2021'!$A$6:$CZ$403,75,FALSE)+VLOOKUP($A354,'1.3.21-28.2.22'!$A$6:$DA$404,75,FALSE)-VLOOKUP($A354,'01-02.2022'!$A$6:$DA$376,75,FALSE)</f>
        <v>11925.13593559853</v>
      </c>
      <c r="BX354" s="566">
        <f>VLOOKUP($A354,'01-02.2021'!$A$6:$CZ$403,76,FALSE)+VLOOKUP($A354,'1.3.21-28.2.22'!$A$6:$DA$404,76,FALSE)-VLOOKUP($A354,'01-02.2022'!$A$6:$DA$376,76,FALSE)</f>
        <v>14234.789196450831</v>
      </c>
      <c r="BY354" s="70">
        <f t="shared" si="404"/>
        <v>2309.6532608523012</v>
      </c>
      <c r="BZ354" s="566">
        <f>VLOOKUP($A354,'01-02.2021'!$A$6:$CZ$403,78,FALSE)+VLOOKUP($A354,'1.3.21-28.2.22'!$A$6:$DA$404,78,FALSE)-VLOOKUP($A354,'01-02.2022'!$A$6:$DA$376,78,FALSE)</f>
        <v>9265.0400756754061</v>
      </c>
      <c r="CA354" s="566">
        <f>VLOOKUP($A354,'01-02.2021'!$A$6:$CZ$403,79,FALSE)+VLOOKUP($A354,'1.3.21-28.2.22'!$A$6:$DA$404,79,FALSE)-VLOOKUP($A354,'01-02.2022'!$A$6:$DA$376,79,FALSE)</f>
        <v>3554.9638327383609</v>
      </c>
      <c r="CB354" s="70">
        <f t="shared" si="405"/>
        <v>-5710.0762429370452</v>
      </c>
      <c r="CC354" s="566">
        <f>VLOOKUP($A354,'01-02.2021'!$A$6:$CZ$403,81,FALSE)+VLOOKUP($A354,'1.3.21-28.2.22'!$A$6:$DA$404,81,FALSE)-VLOOKUP($A354,'01-02.2022'!$A$6:$DA$376,81,FALSE)</f>
        <v>627.62556350451393</v>
      </c>
      <c r="CD354" s="566">
        <f>VLOOKUP($A354,'01-02.2021'!$A$6:$CZ$403,82,FALSE)+VLOOKUP($A354,'1.3.21-28.2.22'!$A$6:$DA$404,82,FALSE)-VLOOKUP($A354,'01-02.2022'!$A$6:$DA$376,82,FALSE)</f>
        <v>685.99035980253382</v>
      </c>
      <c r="CE354" s="70">
        <f t="shared" si="406"/>
        <v>58.364796298019883</v>
      </c>
      <c r="CF354" s="566">
        <f>VLOOKUP($A354,'01-02.2021'!$A$6:$CZ$403,84,FALSE)+VLOOKUP($A354,'1.3.21-28.2.22'!$A$6:$DA$404,84,FALSE)-VLOOKUP($A354,'01-02.2022'!$A$6:$DA$376,84,FALSE)</f>
        <v>76.30081574333505</v>
      </c>
      <c r="CG354" s="566">
        <f>VLOOKUP($A354,'01-02.2021'!$A$6:$CZ$403,85,FALSE)+VLOOKUP($A354,'1.3.21-28.2.22'!$A$6:$DA$404,85,FALSE)-VLOOKUP($A354,'01-02.2022'!$A$6:$DA$376,85,FALSE)</f>
        <v>0</v>
      </c>
      <c r="CH354" s="70">
        <f t="shared" si="407"/>
        <v>-76.30081574333505</v>
      </c>
      <c r="CI354" s="566">
        <f>VLOOKUP($A354,'01-02.2021'!$A$6:$CZ$403,87,FALSE)+VLOOKUP($A354,'1.3.21-28.2.22'!$A$6:$DA$404,87,FALSE)-VLOOKUP($A354,'01-02.2022'!$A$6:$DA$376,87,FALSE)</f>
        <v>3345.1958126652607</v>
      </c>
      <c r="CJ354" s="566">
        <f>VLOOKUP($A354,'01-02.2021'!$A$6:$CZ$403,88,FALSE)+VLOOKUP($A354,'1.3.21-28.2.22'!$A$6:$DA$404,88,FALSE)-VLOOKUP($A354,'01-02.2022'!$A$6:$DA$376,88,FALSE)</f>
        <v>2931.5069535304146</v>
      </c>
      <c r="CK354" s="70">
        <f t="shared" si="408"/>
        <v>-413.6888591348461</v>
      </c>
      <c r="CL354" s="566">
        <f>VLOOKUP($A354,'01-02.2021'!$A$6:$CZ$403,90,FALSE)+VLOOKUP($A354,'1.3.21-28.2.22'!$A$6:$DA$404,90,FALSE)-VLOOKUP($A354,'01-02.2022'!$A$6:$DA$376,90,FALSE)</f>
        <v>0</v>
      </c>
      <c r="CM354" s="566">
        <f>VLOOKUP($A354,'01-02.2021'!$A$6:$CZ$403,91,FALSE)+VLOOKUP($A354,'1.3.21-28.2.22'!$A$6:$DA$404,91,FALSE)-VLOOKUP($A354,'01-02.2022'!$A$6:$DA$376,91,FALSE)</f>
        <v>0</v>
      </c>
      <c r="CN354" s="52">
        <f t="shared" si="360"/>
        <v>0</v>
      </c>
      <c r="CO354" s="39">
        <f t="shared" si="355"/>
        <v>3345.1958126652607</v>
      </c>
      <c r="CP354" s="40">
        <f t="shared" si="361"/>
        <v>2931.5069535304146</v>
      </c>
      <c r="CQ354" s="52">
        <f t="shared" si="362"/>
        <v>-413.6888591348461</v>
      </c>
      <c r="CR354" s="72">
        <f t="shared" si="356"/>
        <v>104572.34791543952</v>
      </c>
      <c r="CS354" s="5">
        <f t="shared" si="356"/>
        <v>85074.145821958198</v>
      </c>
      <c r="CT354" s="52">
        <f t="shared" si="363"/>
        <v>-19498.202093481319</v>
      </c>
      <c r="CU354" s="77">
        <f t="shared" si="364"/>
        <v>125486.81749852741</v>
      </c>
      <c r="CV354" s="65">
        <f t="shared" si="365"/>
        <v>102088.97498634983</v>
      </c>
      <c r="CW354" s="35">
        <f t="shared" si="366"/>
        <v>-23397.84251217758</v>
      </c>
      <c r="CX354" s="566">
        <f>VLOOKUP($A354,'01-02.2021'!$A$6:$CZ$403,102,FALSE)+VLOOKUP($A354,'1.3.21-28.2.22'!$A$6:$DA$404,102,FALSE)-VLOOKUP($A354,'01-02.2022'!$A$6:$DA$376,102,FALSE)</f>
        <v>6392.6172546920079</v>
      </c>
      <c r="CY354" s="566">
        <f>VLOOKUP($A354,'01-02.2021'!$A$6:$CZ$403,103,FALSE)+VLOOKUP($A354,'1.3.21-28.2.22'!$A$6:$DA$404,103,FALSE)-VLOOKUP($A354,'01-02.2022'!$A$6:$DA$376,103,FALSE)</f>
        <v>29790.459766869553</v>
      </c>
      <c r="CZ354" s="52">
        <f t="shared" si="367"/>
        <v>23397.842512177544</v>
      </c>
      <c r="DA354" s="150">
        <f>'[2]побудинковий звіт'!DA354</f>
        <v>-19392.160406753417</v>
      </c>
      <c r="DB354" s="2">
        <v>1</v>
      </c>
      <c r="DC354" s="414">
        <f>'[4]побудинковий звіт'!DC354</f>
        <v>18116.87</v>
      </c>
      <c r="DD354" s="414">
        <f>'[4]побудинковий звіт'!DD354</f>
        <v>502.31</v>
      </c>
      <c r="DE354" s="557">
        <f>'[4]побудинковий звіт'!DE354</f>
        <v>8210.9947597666433</v>
      </c>
      <c r="DF354" s="557">
        <f>'[4]побудинковий звіт'!DF354</f>
        <v>-1542.2429493282273</v>
      </c>
      <c r="DG354" s="321">
        <f>VLOOKUP(A354,'кошти 01.03.2021'!$A$6:$D$401,4,)</f>
        <v>7864.917207108876</v>
      </c>
      <c r="DH354" s="40">
        <f>'[3]побудинковий звіт'!DJ354</f>
        <v>136419.75835132541</v>
      </c>
      <c r="DI354" s="422">
        <f>'[3]побудинковий звіт'!CU354+'[3]побудинковий звіт'!CX354</f>
        <v>11950.428189561584</v>
      </c>
      <c r="DJ354" s="306">
        <f>'[3]побудинковий звіт'!DM354</f>
        <v>4.3275805873427178</v>
      </c>
      <c r="DK354" s="306">
        <f t="shared" si="377"/>
        <v>4.3275805873427178</v>
      </c>
      <c r="DL354" s="306">
        <f>'[3]побудинковий звіт'!DO354</f>
        <v>3.7072582943394874</v>
      </c>
      <c r="DM354" s="28">
        <f t="shared" si="379"/>
        <v>9905.8752402333557</v>
      </c>
      <c r="DN354" s="28">
        <f t="shared" si="380"/>
        <v>2044.5529493282272</v>
      </c>
      <c r="DO354" s="423">
        <f t="shared" si="381"/>
        <v>11950.428189561582</v>
      </c>
      <c r="DP354" s="94">
        <f t="shared" si="382"/>
        <v>0</v>
      </c>
      <c r="DQ354" s="28">
        <f t="shared" si="383"/>
        <v>11950.428189561582</v>
      </c>
      <c r="DR354" s="318"/>
      <c r="DT354" s="8"/>
      <c r="DU354" s="5"/>
      <c r="DX354" s="5">
        <f t="shared" si="384"/>
        <v>33490.135663535977</v>
      </c>
      <c r="DY354" s="5">
        <f t="shared" si="385"/>
        <v>10182</v>
      </c>
      <c r="DZ354" s="159">
        <f>'[3]побудинковий звіт'!EA354</f>
        <v>2965.3155443241235</v>
      </c>
    </row>
    <row r="355" spans="1:130" x14ac:dyDescent="0.3">
      <c r="A355" s="325">
        <v>150000868</v>
      </c>
      <c r="B355" s="41" t="s">
        <v>801</v>
      </c>
      <c r="C355" s="42" t="s">
        <v>311</v>
      </c>
      <c r="D355" s="42"/>
      <c r="E355" s="293">
        <f t="shared" si="353"/>
        <v>3295.38</v>
      </c>
      <c r="F355" s="305">
        <f>'[3]побудинковий звіт'!F355</f>
        <v>2609.98</v>
      </c>
      <c r="G355" s="508">
        <f>'[3]побудинковий звіт'!G355</f>
        <v>0</v>
      </c>
      <c r="H355" s="560">
        <f>'[3]побудинковий звіт'!H355</f>
        <v>685.4</v>
      </c>
      <c r="I355" s="566">
        <f>VLOOKUP($A355,'01-02.2021'!$A$6:$CZ$403,9,FALSE)+VLOOKUP($A355,'1.3.21-28.2.22'!$A$6:$DA$404,9,FALSE)-VLOOKUP($A355,'01-02.2022'!$A$6:$DA$376,9,FALSE)</f>
        <v>10531.376192215655</v>
      </c>
      <c r="J355" s="566">
        <f>VLOOKUP($A355,'01-02.2021'!$A$6:$CZ$403,10,FALSE)+VLOOKUP($A355,'1.3.21-28.2.22'!$A$6:$DA$404,10,FALSE)-VLOOKUP($A355,'01-02.2022'!$A$6:$DA$376,10,FALSE)</f>
        <v>9311.6290666551831</v>
      </c>
      <c r="K355" s="52">
        <f t="shared" si="357"/>
        <v>-1219.7471255604723</v>
      </c>
      <c r="L355" s="566">
        <f>VLOOKUP($A355,'01-02.2021'!$A$6:$CZ$403,12,FALSE)+VLOOKUP($A355,'1.3.21-28.2.22'!$A$6:$DA$404,12,FALSE)-VLOOKUP($A355,'01-02.2022'!$A$6:$DA$376,12,FALSE)</f>
        <v>2227.6346766175666</v>
      </c>
      <c r="M355" s="566">
        <f>VLOOKUP($A355,'01-02.2021'!$A$6:$CZ$403,13,FALSE)+VLOOKUP($A355,'1.3.21-28.2.22'!$A$6:$DA$404,13,FALSE)-VLOOKUP($A355,'01-02.2022'!$A$6:$DA$376,13,FALSE)</f>
        <v>2011.6221195050202</v>
      </c>
      <c r="N355" s="52">
        <f t="shared" si="358"/>
        <v>-216.01255711254635</v>
      </c>
      <c r="O355" s="566">
        <f>VLOOKUP($A355,'01-02.2021'!$A$6:$CZ$403,15,FALSE)+VLOOKUP($A355,'1.3.21-28.2.22'!$A$6:$DA$404,15,FALSE)-VLOOKUP($A355,'01-02.2022'!$A$6:$DA$376,15,FALSE)</f>
        <v>4793.146732757139</v>
      </c>
      <c r="P355" s="566">
        <f>VLOOKUP($A355,'01-02.2021'!$A$6:$CZ$403,16,FALSE)+VLOOKUP($A355,'1.3.21-28.2.22'!$A$6:$DA$404,16,FALSE)-VLOOKUP($A355,'01-02.2022'!$A$6:$DA$376,16,FALSE)</f>
        <v>4793.0799999999981</v>
      </c>
      <c r="Q355" s="70">
        <f t="shared" si="386"/>
        <v>-6.6732757140925969E-2</v>
      </c>
      <c r="R355" s="566">
        <f>VLOOKUP($A355,'01-02.2021'!$A$6:$CZ$403,18,FALSE)+VLOOKUP($A355,'1.3.21-28.2.22'!$A$6:$DA$404,18,FALSE)-VLOOKUP($A355,'01-02.2022'!$A$6:$DA$376,18,FALSE)</f>
        <v>0</v>
      </c>
      <c r="S355" s="566">
        <f>VLOOKUP($A355,'01-02.2021'!$A$6:$CZ$403,19,FALSE)+VLOOKUP($A355,'1.3.21-28.2.22'!$A$6:$DA$404,19,FALSE)-VLOOKUP($A355,'01-02.2022'!$A$6:$DA$376,19,FALSE)</f>
        <v>0</v>
      </c>
      <c r="T355" s="70">
        <f t="shared" si="387"/>
        <v>0</v>
      </c>
      <c r="U355" s="566">
        <f>VLOOKUP($A355,'01-02.2021'!$A$6:$CZ$403,21,FALSE)+VLOOKUP($A355,'1.3.21-28.2.22'!$A$6:$DA$404,21,FALSE)-VLOOKUP($A355,'01-02.2022'!$A$6:$DA$376,21,FALSE)</f>
        <v>0</v>
      </c>
      <c r="V355" s="566">
        <f>VLOOKUP($A355,'01-02.2021'!$A$6:$CZ$403,22,FALSE)+VLOOKUP($A355,'1.3.21-28.2.22'!$A$6:$DA$404,22,FALSE)-VLOOKUP($A355,'01-02.2022'!$A$6:$DA$376,22,FALSE)</f>
        <v>0</v>
      </c>
      <c r="W355" s="70">
        <f t="shared" si="388"/>
        <v>0</v>
      </c>
      <c r="X355" s="566">
        <f>VLOOKUP($A355,'01-02.2021'!$A$6:$CZ$403,24,FALSE)+VLOOKUP($A355,'1.3.21-28.2.22'!$A$6:$DA$404,24,FALSE)-VLOOKUP($A355,'01-02.2022'!$A$6:$DA$376,24,FALSE)</f>
        <v>6550.5128333319972</v>
      </c>
      <c r="Y355" s="566">
        <f>VLOOKUP($A355,'01-02.2021'!$A$6:$CZ$403,25,FALSE)+VLOOKUP($A355,'1.3.21-28.2.22'!$A$6:$DA$404,25,FALSE)-VLOOKUP($A355,'01-02.2022'!$A$6:$DA$376,25,FALSE)</f>
        <v>5326.4926655304416</v>
      </c>
      <c r="Z355" s="70">
        <f t="shared" si="389"/>
        <v>-1224.0201678015555</v>
      </c>
      <c r="AA355" s="566">
        <f>VLOOKUP($A355,'01-02.2021'!$A$6:$CZ$403,27,FALSE)+VLOOKUP($A355,'1.3.21-28.2.22'!$A$6:$DA$404,27,FALSE)-VLOOKUP($A355,'01-02.2022'!$A$6:$DA$376,27,FALSE)</f>
        <v>659.22799999999995</v>
      </c>
      <c r="AB355" s="566">
        <f>VLOOKUP($A355,'01-02.2021'!$A$6:$CZ$403,28,FALSE)+VLOOKUP($A355,'1.3.21-28.2.22'!$A$6:$DA$404,28,FALSE)-VLOOKUP($A355,'01-02.2022'!$A$6:$DA$376,28,FALSE)</f>
        <v>0</v>
      </c>
      <c r="AC355" s="70">
        <f t="shared" si="390"/>
        <v>-659.22799999999995</v>
      </c>
      <c r="AD355" s="566">
        <f>VLOOKUP($A355,'01-02.2021'!$A$6:$CZ$403,30,FALSE)+VLOOKUP($A355,'1.3.21-28.2.22'!$A$6:$DA$404,30,FALSE)-VLOOKUP($A355,'01-02.2022'!$A$6:$DA$376,30,FALSE)</f>
        <v>14087.962702793779</v>
      </c>
      <c r="AE355" s="566">
        <f>VLOOKUP($A355,'01-02.2021'!$A$6:$CZ$403,31,FALSE)+VLOOKUP($A355,'1.3.21-28.2.22'!$A$6:$DA$404,31,FALSE)-VLOOKUP($A355,'01-02.2022'!$A$6:$DA$376,31,FALSE)</f>
        <v>15000.70253827598</v>
      </c>
      <c r="AF355" s="68">
        <f t="shared" si="391"/>
        <v>912.73983548220167</v>
      </c>
      <c r="AG355" s="77">
        <f t="shared" si="354"/>
        <v>38849.861137716136</v>
      </c>
      <c r="AH355" s="53">
        <f t="shared" si="354"/>
        <v>36443.526389966624</v>
      </c>
      <c r="AI355" s="52">
        <f t="shared" si="359"/>
        <v>-2406.3347477495117</v>
      </c>
      <c r="AJ355" s="566">
        <f>VLOOKUP($A355,'01-02.2021'!$A$6:$CZ$403,36,FALSE)+VLOOKUP($A355,'1.3.21-28.2.22'!$A$6:$DA$404,36,FALSE)-VLOOKUP($A355,'01-02.2022'!$A$6:$DA$376,36,FALSE)</f>
        <v>0</v>
      </c>
      <c r="AK355" s="566">
        <f>VLOOKUP($A355,'01-02.2021'!$A$6:$CZ$403,37,FALSE)+VLOOKUP($A355,'1.3.21-28.2.22'!$A$6:$DA$404,37,FALSE)-VLOOKUP($A355,'01-02.2022'!$A$6:$DA$376,37,FALSE)</f>
        <v>0</v>
      </c>
      <c r="AL355" s="70">
        <f t="shared" si="392"/>
        <v>0</v>
      </c>
      <c r="AM355" s="566">
        <f>VLOOKUP($A355,'01-02.2021'!$A$6:$CZ$403,39,FALSE)+VLOOKUP($A355,'1.3.21-28.2.22'!$A$6:$DA$404,39,FALSE)-VLOOKUP($A355,'01-02.2022'!$A$6:$DA$376,39,FALSE)</f>
        <v>0</v>
      </c>
      <c r="AN355" s="566">
        <f>VLOOKUP($A355,'01-02.2021'!$A$6:$CZ$403,40,FALSE)+VLOOKUP($A355,'1.3.21-28.2.22'!$A$6:$DA$404,40,FALSE)-VLOOKUP($A355,'01-02.2022'!$A$6:$DA$376,40,FALSE)</f>
        <v>0</v>
      </c>
      <c r="AO355" s="70">
        <f t="shared" si="393"/>
        <v>0</v>
      </c>
      <c r="AP355" s="566">
        <f>VLOOKUP($A355,'01-02.2021'!$A$6:$CZ$403,42,FALSE)+VLOOKUP($A355,'1.3.21-28.2.22'!$A$6:$DA$404,42,FALSE)-VLOOKUP($A355,'01-02.2022'!$A$6:$DA$376,42,FALSE)</f>
        <v>8328.9588002044366</v>
      </c>
      <c r="AQ355" s="566">
        <f>VLOOKUP($A355,'01-02.2021'!$A$6:$CZ$403,43,FALSE)+VLOOKUP($A355,'1.3.21-28.2.22'!$A$6:$DA$404,43,FALSE)-VLOOKUP($A355,'01-02.2022'!$A$6:$DA$376,43,FALSE)</f>
        <v>6718.8607047008754</v>
      </c>
      <c r="AR355" s="70">
        <f t="shared" si="394"/>
        <v>-1610.0980955035611</v>
      </c>
      <c r="AS355" s="566">
        <f>VLOOKUP($A355,'01-02.2021'!$A$6:$CZ$403,45,FALSE)+VLOOKUP($A355,'1.3.21-28.2.22'!$A$6:$DA$404,45,FALSE)-VLOOKUP($A355,'01-02.2022'!$A$6:$DA$376,45,FALSE)</f>
        <v>23992.651291083246</v>
      </c>
      <c r="AT355" s="566">
        <f>VLOOKUP($A355,'01-02.2021'!$A$6:$CZ$403,46,FALSE)+VLOOKUP($A355,'1.3.21-28.2.22'!$A$6:$DA$404,46,FALSE)-VLOOKUP($A355,'01-02.2022'!$A$6:$DA$376,46,FALSE)</f>
        <v>7667.1273409524802</v>
      </c>
      <c r="AU355" s="78">
        <f t="shared" si="395"/>
        <v>-16325.523950130766</v>
      </c>
      <c r="AV355" s="566">
        <f>VLOOKUP($A355,'01-02.2021'!$A$6:$CZ$403,48,FALSE)+VLOOKUP($A355,'1.3.21-28.2.22'!$A$6:$DA$404,48,FALSE)-VLOOKUP($A355,'01-02.2022'!$A$6:$DA$376,48,FALSE)</f>
        <v>2995.7846464032655</v>
      </c>
      <c r="AW355" s="566">
        <f>VLOOKUP($A355,'01-02.2021'!$A$6:$CZ$403,49,FALSE)+VLOOKUP($A355,'1.3.21-28.2.22'!$A$6:$DA$404,49,FALSE)-VLOOKUP($A355,'01-02.2022'!$A$6:$DA$376,49,FALSE)</f>
        <v>0</v>
      </c>
      <c r="AX355" s="55">
        <f t="shared" si="396"/>
        <v>-2995.7846464032655</v>
      </c>
      <c r="AY355" s="566">
        <f>VLOOKUP($A355,'01-02.2021'!$A$6:$CZ$403,51,FALSE)+VLOOKUP($A355,'1.3.21-28.2.22'!$A$6:$DA$404,51,FALSE)-VLOOKUP($A355,'01-02.2022'!$A$6:$DA$376,51,FALSE)</f>
        <v>4187.457289454991</v>
      </c>
      <c r="AZ355" s="566">
        <f>VLOOKUP($A355,'01-02.2021'!$A$6:$CZ$403,52,FALSE)+VLOOKUP($A355,'1.3.21-28.2.22'!$A$6:$DA$404,52,FALSE)-VLOOKUP($A355,'01-02.2022'!$A$6:$DA$376,52,FALSE)</f>
        <v>0</v>
      </c>
      <c r="BA355" s="38">
        <f t="shared" si="397"/>
        <v>-4187.457289454991</v>
      </c>
      <c r="BB355" s="566">
        <f>VLOOKUP($A355,'01-02.2021'!$A$6:$CZ$403,54,FALSE)+VLOOKUP($A355,'1.3.21-28.2.22'!$A$6:$DA$404,54,FALSE)-VLOOKUP($A355,'01-02.2022'!$A$6:$DA$376,54,FALSE)</f>
        <v>1539.1891837522232</v>
      </c>
      <c r="BC355" s="566">
        <f>VLOOKUP($A355,'01-02.2021'!$A$6:$CZ$403,55,FALSE)+VLOOKUP($A355,'1.3.21-28.2.22'!$A$6:$DA$404,55,FALSE)-VLOOKUP($A355,'01-02.2022'!$A$6:$DA$376,55,FALSE)</f>
        <v>0</v>
      </c>
      <c r="BD355" s="55">
        <f t="shared" si="398"/>
        <v>-1539.1891837522232</v>
      </c>
      <c r="BE355" s="566">
        <f>VLOOKUP($A355,'01-02.2021'!$A$6:$CZ$403,57,FALSE)+VLOOKUP($A355,'1.3.21-28.2.22'!$A$6:$DA$404,57,FALSE)-VLOOKUP($A355,'01-02.2022'!$A$6:$DA$376,57,FALSE)</f>
        <v>0</v>
      </c>
      <c r="BF355" s="566">
        <f>VLOOKUP($A355,'01-02.2021'!$A$6:$CZ$403,58,FALSE)+VLOOKUP($A355,'1.3.21-28.2.22'!$A$6:$DA$404,58,FALSE)-VLOOKUP($A355,'01-02.2022'!$A$6:$DA$376,58,FALSE)</f>
        <v>0</v>
      </c>
      <c r="BG355" s="55">
        <f t="shared" si="399"/>
        <v>0</v>
      </c>
      <c r="BH355" s="566">
        <f>VLOOKUP($A355,'01-02.2021'!$A$6:$CZ$403,60,FALSE)+VLOOKUP($A355,'1.3.21-28.2.22'!$A$6:$DA$404,60,FALSE)-VLOOKUP($A355,'01-02.2022'!$A$6:$DA$376,60,FALSE)</f>
        <v>0</v>
      </c>
      <c r="BI355" s="566">
        <f>VLOOKUP($A355,'01-02.2021'!$A$6:$CZ$403,61,FALSE)+VLOOKUP($A355,'1.3.21-28.2.22'!$A$6:$DA$404,61,FALSE)-VLOOKUP($A355,'01-02.2022'!$A$6:$DA$376,61,FALSE)</f>
        <v>0</v>
      </c>
      <c r="BJ355" s="55">
        <f t="shared" si="400"/>
        <v>0</v>
      </c>
      <c r="BK355" s="566">
        <f>VLOOKUP($A355,'01-02.2021'!$A$6:$CZ$403,63,FALSE)+VLOOKUP($A355,'1.3.21-28.2.22'!$A$6:$DA$404,63,FALSE)-VLOOKUP($A355,'01-02.2022'!$A$6:$DA$376,63,FALSE)</f>
        <v>2056.3469338541718</v>
      </c>
      <c r="BL355" s="566">
        <f>VLOOKUP($A355,'01-02.2021'!$A$6:$CZ$403,64,FALSE)+VLOOKUP($A355,'1.3.21-28.2.22'!$A$6:$DA$404,64,FALSE)-VLOOKUP($A355,'01-02.2022'!$A$6:$DA$376,64,FALSE)</f>
        <v>597</v>
      </c>
      <c r="BM355" s="55">
        <f t="shared" si="401"/>
        <v>-1459.3469338541718</v>
      </c>
      <c r="BN355" s="566">
        <f>VLOOKUP($A355,'01-02.2021'!$A$6:$CZ$403,66,FALSE)+VLOOKUP($A355,'1.3.21-28.2.22'!$A$6:$DA$404,66,FALSE)-VLOOKUP($A355,'01-02.2022'!$A$6:$DA$376,66,FALSE)</f>
        <v>562.78601187684046</v>
      </c>
      <c r="BO355" s="566">
        <f>VLOOKUP($A355,'01-02.2021'!$A$6:$CZ$403,67,FALSE)+VLOOKUP($A355,'1.3.21-28.2.22'!$A$6:$DA$404,67,FALSE)-VLOOKUP($A355,'01-02.2022'!$A$6:$DA$376,67,FALSE)</f>
        <v>0</v>
      </c>
      <c r="BP355" s="55">
        <f t="shared" si="402"/>
        <v>-562.78601187684046</v>
      </c>
      <c r="BQ355" s="77">
        <f t="shared" si="409"/>
        <v>11341.564065341492</v>
      </c>
      <c r="BR355" s="40">
        <f t="shared" si="410"/>
        <v>597</v>
      </c>
      <c r="BS355" s="55">
        <f t="shared" si="369"/>
        <v>-10744.564065341492</v>
      </c>
      <c r="BT355" s="566">
        <f>VLOOKUP($A355,'01-02.2021'!$A$6:$CZ$403,72,FALSE)+VLOOKUP($A355,'1.3.21-28.2.22'!$A$6:$DA$404,72,FALSE)-VLOOKUP($A355,'01-02.2022'!$A$6:$DA$376,72,FALSE)</f>
        <v>33472.288846693882</v>
      </c>
      <c r="BU355" s="566">
        <f>VLOOKUP($A355,'01-02.2021'!$A$6:$CZ$403,73,FALSE)+VLOOKUP($A355,'1.3.21-28.2.22'!$A$6:$DA$404,73,FALSE)-VLOOKUP($A355,'01-02.2022'!$A$6:$DA$376,73,FALSE)</f>
        <v>44187.866097625229</v>
      </c>
      <c r="BV355" s="70">
        <f t="shared" si="403"/>
        <v>10715.577250931346</v>
      </c>
      <c r="BW355" s="566">
        <f>VLOOKUP($A355,'01-02.2021'!$A$6:$CZ$403,75,FALSE)+VLOOKUP($A355,'1.3.21-28.2.22'!$A$6:$DA$404,75,FALSE)-VLOOKUP($A355,'01-02.2022'!$A$6:$DA$376,75,FALSE)</f>
        <v>13385.094022718999</v>
      </c>
      <c r="BX355" s="566">
        <f>VLOOKUP($A355,'01-02.2021'!$A$6:$CZ$403,76,FALSE)+VLOOKUP($A355,'1.3.21-28.2.22'!$A$6:$DA$404,76,FALSE)-VLOOKUP($A355,'01-02.2022'!$A$6:$DA$376,76,FALSE)</f>
        <v>14752.228664461149</v>
      </c>
      <c r="BY355" s="70">
        <f t="shared" si="404"/>
        <v>1367.1346417421501</v>
      </c>
      <c r="BZ355" s="566">
        <f>VLOOKUP($A355,'01-02.2021'!$A$6:$CZ$403,78,FALSE)+VLOOKUP($A355,'1.3.21-28.2.22'!$A$6:$DA$404,78,FALSE)-VLOOKUP($A355,'01-02.2022'!$A$6:$DA$376,78,FALSE)</f>
        <v>19908.642881855834</v>
      </c>
      <c r="CA355" s="566">
        <f>VLOOKUP($A355,'01-02.2021'!$A$6:$CZ$403,79,FALSE)+VLOOKUP($A355,'1.3.21-28.2.22'!$A$6:$DA$404,79,FALSE)-VLOOKUP($A355,'01-02.2022'!$A$6:$DA$376,79,FALSE)</f>
        <v>10281.350950683553</v>
      </c>
      <c r="CB355" s="70">
        <f t="shared" si="405"/>
        <v>-9627.2919311722817</v>
      </c>
      <c r="CC355" s="566">
        <f>VLOOKUP($A355,'01-02.2021'!$A$6:$CZ$403,81,FALSE)+VLOOKUP($A355,'1.3.21-28.2.22'!$A$6:$DA$404,81,FALSE)-VLOOKUP($A355,'01-02.2022'!$A$6:$DA$376,81,FALSE)</f>
        <v>1071.5037279915359</v>
      </c>
      <c r="CD355" s="566">
        <f>VLOOKUP($A355,'01-02.2021'!$A$6:$CZ$403,82,FALSE)+VLOOKUP($A355,'1.3.21-28.2.22'!$A$6:$DA$404,82,FALSE)-VLOOKUP($A355,'01-02.2022'!$A$6:$DA$376,82,FALSE)</f>
        <v>1171.1460951181982</v>
      </c>
      <c r="CE355" s="70">
        <f t="shared" si="406"/>
        <v>99.642367126662293</v>
      </c>
      <c r="CF355" s="566">
        <f>VLOOKUP($A355,'01-02.2021'!$A$6:$CZ$403,84,FALSE)+VLOOKUP($A355,'1.3.21-28.2.22'!$A$6:$DA$404,84,FALSE)-VLOOKUP($A355,'01-02.2022'!$A$6:$DA$376,84,FALSE)</f>
        <v>130.26335011160012</v>
      </c>
      <c r="CG355" s="566">
        <f>VLOOKUP($A355,'01-02.2021'!$A$6:$CZ$403,85,FALSE)+VLOOKUP($A355,'1.3.21-28.2.22'!$A$6:$DA$404,85,FALSE)-VLOOKUP($A355,'01-02.2022'!$A$6:$DA$376,85,FALSE)</f>
        <v>0</v>
      </c>
      <c r="CH355" s="70">
        <f t="shared" si="407"/>
        <v>-130.26335011160012</v>
      </c>
      <c r="CI355" s="566">
        <f>VLOOKUP($A355,'01-02.2021'!$A$6:$CZ$403,87,FALSE)+VLOOKUP($A355,'1.3.21-28.2.22'!$A$6:$DA$404,87,FALSE)-VLOOKUP($A355,'01-02.2022'!$A$6:$DA$376,87,FALSE)</f>
        <v>8353.6730352532795</v>
      </c>
      <c r="CJ355" s="566">
        <f>VLOOKUP($A355,'01-02.2021'!$A$6:$CZ$403,88,FALSE)+VLOOKUP($A355,'1.3.21-28.2.22'!$A$6:$DA$404,88,FALSE)-VLOOKUP($A355,'01-02.2022'!$A$6:$DA$376,88,FALSE)</f>
        <v>7722.052535128556</v>
      </c>
      <c r="CK355" s="70">
        <f t="shared" si="408"/>
        <v>-631.62050012472355</v>
      </c>
      <c r="CL355" s="566">
        <f>VLOOKUP($A355,'01-02.2021'!$A$6:$CZ$403,90,FALSE)+VLOOKUP($A355,'1.3.21-28.2.22'!$A$6:$DA$404,90,FALSE)-VLOOKUP($A355,'01-02.2022'!$A$6:$DA$376,90,FALSE)</f>
        <v>0</v>
      </c>
      <c r="CM355" s="566">
        <f>VLOOKUP($A355,'01-02.2021'!$A$6:$CZ$403,91,FALSE)+VLOOKUP($A355,'1.3.21-28.2.22'!$A$6:$DA$404,91,FALSE)-VLOOKUP($A355,'01-02.2022'!$A$6:$DA$376,91,FALSE)</f>
        <v>0</v>
      </c>
      <c r="CN355" s="52">
        <f t="shared" si="360"/>
        <v>0</v>
      </c>
      <c r="CO355" s="39">
        <f t="shared" si="355"/>
        <v>8353.6730352532795</v>
      </c>
      <c r="CP355" s="40">
        <f t="shared" si="361"/>
        <v>7722.052535128556</v>
      </c>
      <c r="CQ355" s="52">
        <f t="shared" si="362"/>
        <v>-631.62050012472355</v>
      </c>
      <c r="CR355" s="72">
        <f t="shared" si="356"/>
        <v>158834.50115897044</v>
      </c>
      <c r="CS355" s="5">
        <f t="shared" si="356"/>
        <v>129541.15877863667</v>
      </c>
      <c r="CT355" s="52">
        <f t="shared" si="363"/>
        <v>-29293.342380333765</v>
      </c>
      <c r="CU355" s="77">
        <f t="shared" si="364"/>
        <v>190601.40139076451</v>
      </c>
      <c r="CV355" s="65">
        <f t="shared" si="365"/>
        <v>155449.39053436401</v>
      </c>
      <c r="CW355" s="35">
        <f t="shared" si="366"/>
        <v>-35152.010856400506</v>
      </c>
      <c r="CX355" s="566">
        <f>VLOOKUP($A355,'01-02.2021'!$A$6:$CZ$403,102,FALSE)+VLOOKUP($A355,'1.3.21-28.2.22'!$A$6:$DA$404,102,FALSE)-VLOOKUP($A355,'01-02.2022'!$A$6:$DA$376,102,FALSE)</f>
        <v>3535.4468942617345</v>
      </c>
      <c r="CY355" s="566">
        <f>VLOOKUP($A355,'01-02.2021'!$A$6:$CZ$403,103,FALSE)+VLOOKUP($A355,'1.3.21-28.2.22'!$A$6:$DA$404,103,FALSE)-VLOOKUP($A355,'01-02.2022'!$A$6:$DA$376,103,FALSE)</f>
        <v>38687.457750662317</v>
      </c>
      <c r="CZ355" s="52">
        <f t="shared" si="367"/>
        <v>35152.010856400586</v>
      </c>
      <c r="DA355" s="150">
        <f>'[2]побудинковий звіт'!DA355</f>
        <v>-24176.743571174084</v>
      </c>
      <c r="DB355" s="2">
        <v>1</v>
      </c>
      <c r="DC355" s="414">
        <f>'[4]побудинковий звіт'!DC355</f>
        <v>20484.830000000002</v>
      </c>
      <c r="DD355" s="414">
        <f>'[4]побудинковий звіт'!DD355</f>
        <v>3336.3900000000003</v>
      </c>
      <c r="DE355" s="557">
        <f>'[4]побудинковий звіт'!DE355</f>
        <v>6197.7916974966029</v>
      </c>
      <c r="DF355" s="557">
        <f>'[4]побудинковий звіт'!DF355</f>
        <v>1.3036142226155789E-2</v>
      </c>
      <c r="DG355" s="321">
        <f>VLOOKUP(A355,'кошти 01.03.2021'!$A$6:$D$401,4,)</f>
        <v>15981.882848130803</v>
      </c>
      <c r="DH355" s="40">
        <f>'[3]побудинковий звіт'!DJ355</f>
        <v>200971.83822772274</v>
      </c>
      <c r="DI355" s="422">
        <f>'[3]побудинковий звіт'!CU355+'[3]побудинковий звіт'!CX355</f>
        <v>17623.415266361175</v>
      </c>
      <c r="DJ355" s="306">
        <f>'[3]побудинковий звіт'!DM355</f>
        <v>5.4740029818249178</v>
      </c>
      <c r="DK355" s="306">
        <f t="shared" si="377"/>
        <v>5.4740029818249178</v>
      </c>
      <c r="DL355" s="306">
        <f>'[3]побудинковий звіт'!DO355</f>
        <v>4.8677808051616198</v>
      </c>
      <c r="DM355" s="28">
        <f t="shared" si="379"/>
        <v>14287.038302503399</v>
      </c>
      <c r="DN355" s="28">
        <f t="shared" si="380"/>
        <v>3336.3769638577742</v>
      </c>
      <c r="DO355" s="423">
        <f t="shared" si="381"/>
        <v>17623.415266361175</v>
      </c>
      <c r="DP355" s="94">
        <f t="shared" si="382"/>
        <v>0</v>
      </c>
      <c r="DQ355" s="28">
        <f t="shared" si="383"/>
        <v>17623.415266361175</v>
      </c>
      <c r="DR355" s="318"/>
      <c r="DT355" s="8"/>
      <c r="DU355" s="5"/>
      <c r="DX355" s="5">
        <f t="shared" si="384"/>
        <v>42401.058427709686</v>
      </c>
      <c r="DY355" s="5">
        <f t="shared" si="385"/>
        <v>9916.9528091429765</v>
      </c>
      <c r="DZ355" s="159">
        <f>'[3]побудинковий звіт'!EA355</f>
        <v>3671.7705256276427</v>
      </c>
    </row>
    <row r="356" spans="1:130" x14ac:dyDescent="0.3">
      <c r="A356" s="325">
        <v>150000869</v>
      </c>
      <c r="B356" s="41" t="s">
        <v>802</v>
      </c>
      <c r="C356" s="42" t="s">
        <v>312</v>
      </c>
      <c r="D356" s="42"/>
      <c r="E356" s="293">
        <f t="shared" si="353"/>
        <v>5761.1900000000005</v>
      </c>
      <c r="F356" s="305">
        <f>'[3]побудинковий звіт'!F356</f>
        <v>4602.8900000000003</v>
      </c>
      <c r="G356" s="508">
        <f>'[3]побудинковий звіт'!G356</f>
        <v>0</v>
      </c>
      <c r="H356" s="560">
        <f>'[3]побудинковий звіт'!H356</f>
        <v>1158.3</v>
      </c>
      <c r="I356" s="566">
        <f>VLOOKUP($A356,'01-02.2021'!$A$6:$CZ$403,9,FALSE)+VLOOKUP($A356,'1.3.21-28.2.22'!$A$6:$DA$404,9,FALSE)-VLOOKUP($A356,'01-02.2022'!$A$6:$DA$376,9,FALSE)</f>
        <v>16985.611946830508</v>
      </c>
      <c r="J356" s="566">
        <f>VLOOKUP($A356,'01-02.2021'!$A$6:$CZ$403,10,FALSE)+VLOOKUP($A356,'1.3.21-28.2.22'!$A$6:$DA$404,10,FALSE)-VLOOKUP($A356,'01-02.2022'!$A$6:$DA$376,10,FALSE)</f>
        <v>15039.159303080261</v>
      </c>
      <c r="K356" s="52">
        <f t="shared" si="357"/>
        <v>-1946.4526437502464</v>
      </c>
      <c r="L356" s="566">
        <f>VLOOKUP($A356,'01-02.2021'!$A$6:$CZ$403,12,FALSE)+VLOOKUP($A356,'1.3.21-28.2.22'!$A$6:$DA$404,12,FALSE)-VLOOKUP($A356,'01-02.2022'!$A$6:$DA$376,12,FALSE)</f>
        <v>3978.5364078196221</v>
      </c>
      <c r="M356" s="566">
        <f>VLOOKUP($A356,'01-02.2021'!$A$6:$CZ$403,13,FALSE)+VLOOKUP($A356,'1.3.21-28.2.22'!$A$6:$DA$404,13,FALSE)-VLOOKUP($A356,'01-02.2022'!$A$6:$DA$376,13,FALSE)</f>
        <v>3591.690608949315</v>
      </c>
      <c r="N356" s="52">
        <f t="shared" si="358"/>
        <v>-386.84579887030714</v>
      </c>
      <c r="O356" s="566">
        <f>VLOOKUP($A356,'01-02.2021'!$A$6:$CZ$403,15,FALSE)+VLOOKUP($A356,'1.3.21-28.2.22'!$A$6:$DA$404,15,FALSE)-VLOOKUP($A356,'01-02.2022'!$A$6:$DA$376,15,FALSE)</f>
        <v>7231.4947003228244</v>
      </c>
      <c r="P356" s="566">
        <f>VLOOKUP($A356,'01-02.2021'!$A$6:$CZ$403,16,FALSE)+VLOOKUP($A356,'1.3.21-28.2.22'!$A$6:$DA$404,16,FALSE)-VLOOKUP($A356,'01-02.2022'!$A$6:$DA$376,16,FALSE)</f>
        <v>7231.5199999999986</v>
      </c>
      <c r="Q356" s="70">
        <f t="shared" si="386"/>
        <v>2.5299677174189128E-2</v>
      </c>
      <c r="R356" s="566">
        <f>VLOOKUP($A356,'01-02.2021'!$A$6:$CZ$403,18,FALSE)+VLOOKUP($A356,'1.3.21-28.2.22'!$A$6:$DA$404,18,FALSE)-VLOOKUP($A356,'01-02.2022'!$A$6:$DA$376,18,FALSE)</f>
        <v>1640.7721014743088</v>
      </c>
      <c r="S356" s="566">
        <f>VLOOKUP($A356,'01-02.2021'!$A$6:$CZ$403,19,FALSE)+VLOOKUP($A356,'1.3.21-28.2.22'!$A$6:$DA$404,19,FALSE)-VLOOKUP($A356,'01-02.2022'!$A$6:$DA$376,19,FALSE)</f>
        <v>1640.7700000000004</v>
      </c>
      <c r="T356" s="70">
        <f t="shared" si="387"/>
        <v>-2.1014743083469511E-3</v>
      </c>
      <c r="U356" s="566">
        <f>VLOOKUP($A356,'01-02.2021'!$A$6:$CZ$403,21,FALSE)+VLOOKUP($A356,'1.3.21-28.2.22'!$A$6:$DA$404,21,FALSE)-VLOOKUP($A356,'01-02.2022'!$A$6:$DA$376,21,FALSE)</f>
        <v>1068.2574426772308</v>
      </c>
      <c r="V356" s="566">
        <f>VLOOKUP($A356,'01-02.2021'!$A$6:$CZ$403,22,FALSE)+VLOOKUP($A356,'1.3.21-28.2.22'!$A$6:$DA$404,22,FALSE)-VLOOKUP($A356,'01-02.2022'!$A$6:$DA$376,22,FALSE)</f>
        <v>695.92906544269522</v>
      </c>
      <c r="W356" s="70">
        <f t="shared" si="388"/>
        <v>-372.32837723453554</v>
      </c>
      <c r="X356" s="566">
        <f>VLOOKUP($A356,'01-02.2021'!$A$6:$CZ$403,24,FALSE)+VLOOKUP($A356,'1.3.21-28.2.22'!$A$6:$DA$404,24,FALSE)-VLOOKUP($A356,'01-02.2022'!$A$6:$DA$376,24,FALSE)</f>
        <v>15435.583243986039</v>
      </c>
      <c r="Y356" s="566">
        <f>VLOOKUP($A356,'01-02.2021'!$A$6:$CZ$403,25,FALSE)+VLOOKUP($A356,'1.3.21-28.2.22'!$A$6:$DA$404,25,FALSE)-VLOOKUP($A356,'01-02.2022'!$A$6:$DA$376,25,FALSE)</f>
        <v>13233.763840808415</v>
      </c>
      <c r="Z356" s="70">
        <f t="shared" si="389"/>
        <v>-2201.8194031776238</v>
      </c>
      <c r="AA356" s="566">
        <f>VLOOKUP($A356,'01-02.2021'!$A$6:$CZ$403,27,FALSE)+VLOOKUP($A356,'1.3.21-28.2.22'!$A$6:$DA$404,27,FALSE)-VLOOKUP($A356,'01-02.2022'!$A$6:$DA$376,27,FALSE)</f>
        <v>1152.4520000000002</v>
      </c>
      <c r="AB356" s="566">
        <f>VLOOKUP($A356,'01-02.2021'!$A$6:$CZ$403,28,FALSE)+VLOOKUP($A356,'1.3.21-28.2.22'!$A$6:$DA$404,28,FALSE)-VLOOKUP($A356,'01-02.2022'!$A$6:$DA$376,28,FALSE)</f>
        <v>0</v>
      </c>
      <c r="AC356" s="70">
        <f t="shared" si="390"/>
        <v>-1152.4520000000002</v>
      </c>
      <c r="AD356" s="566">
        <f>VLOOKUP($A356,'01-02.2021'!$A$6:$CZ$403,30,FALSE)+VLOOKUP($A356,'1.3.21-28.2.22'!$A$6:$DA$404,30,FALSE)-VLOOKUP($A356,'01-02.2022'!$A$6:$DA$376,30,FALSE)</f>
        <v>24633.044979154187</v>
      </c>
      <c r="AE356" s="566">
        <f>VLOOKUP($A356,'01-02.2021'!$A$6:$CZ$403,31,FALSE)+VLOOKUP($A356,'1.3.21-28.2.22'!$A$6:$DA$404,31,FALSE)-VLOOKUP($A356,'01-02.2022'!$A$6:$DA$376,31,FALSE)</f>
        <v>26225.16901130983</v>
      </c>
      <c r="AF356" s="68">
        <f t="shared" si="391"/>
        <v>1592.1240321556434</v>
      </c>
      <c r="AG356" s="77">
        <f t="shared" si="354"/>
        <v>72125.752822264709</v>
      </c>
      <c r="AH356" s="53">
        <f t="shared" si="354"/>
        <v>67658.001829590503</v>
      </c>
      <c r="AI356" s="52">
        <f t="shared" si="359"/>
        <v>-4467.7509926742059</v>
      </c>
      <c r="AJ356" s="566">
        <f>VLOOKUP($A356,'01-02.2021'!$A$6:$CZ$403,36,FALSE)+VLOOKUP($A356,'1.3.21-28.2.22'!$A$6:$DA$404,36,FALSE)-VLOOKUP($A356,'01-02.2022'!$A$6:$DA$376,36,FALSE)</f>
        <v>0</v>
      </c>
      <c r="AK356" s="566">
        <f>VLOOKUP($A356,'01-02.2021'!$A$6:$CZ$403,37,FALSE)+VLOOKUP($A356,'1.3.21-28.2.22'!$A$6:$DA$404,37,FALSE)-VLOOKUP($A356,'01-02.2022'!$A$6:$DA$376,37,FALSE)</f>
        <v>0</v>
      </c>
      <c r="AL356" s="70">
        <f t="shared" si="392"/>
        <v>0</v>
      </c>
      <c r="AM356" s="566">
        <f>VLOOKUP($A356,'01-02.2021'!$A$6:$CZ$403,39,FALSE)+VLOOKUP($A356,'1.3.21-28.2.22'!$A$6:$DA$404,39,FALSE)-VLOOKUP($A356,'01-02.2022'!$A$6:$DA$376,39,FALSE)</f>
        <v>0</v>
      </c>
      <c r="AN356" s="566">
        <f>VLOOKUP($A356,'01-02.2021'!$A$6:$CZ$403,40,FALSE)+VLOOKUP($A356,'1.3.21-28.2.22'!$A$6:$DA$404,40,FALSE)-VLOOKUP($A356,'01-02.2022'!$A$6:$DA$376,40,FALSE)</f>
        <v>0</v>
      </c>
      <c r="AO356" s="70">
        <f t="shared" si="393"/>
        <v>0</v>
      </c>
      <c r="AP356" s="566">
        <f>VLOOKUP($A356,'01-02.2021'!$A$6:$CZ$403,42,FALSE)+VLOOKUP($A356,'1.3.21-28.2.22'!$A$6:$DA$404,42,FALSE)-VLOOKUP($A356,'01-02.2022'!$A$6:$DA$376,42,FALSE)</f>
        <v>3687.2994688405061</v>
      </c>
      <c r="AQ356" s="566">
        <f>VLOOKUP($A356,'01-02.2021'!$A$6:$CZ$403,43,FALSE)+VLOOKUP($A356,'1.3.21-28.2.22'!$A$6:$DA$404,43,FALSE)-VLOOKUP($A356,'01-02.2022'!$A$6:$DA$376,43,FALSE)</f>
        <v>3160.2933389812556</v>
      </c>
      <c r="AR356" s="70">
        <f t="shared" si="394"/>
        <v>-527.00612985925045</v>
      </c>
      <c r="AS356" s="566">
        <f>VLOOKUP($A356,'01-02.2021'!$A$6:$CZ$403,45,FALSE)+VLOOKUP($A356,'1.3.21-28.2.22'!$A$6:$DA$404,45,FALSE)-VLOOKUP($A356,'01-02.2022'!$A$6:$DA$376,45,FALSE)</f>
        <v>65628.521736734707</v>
      </c>
      <c r="AT356" s="566">
        <f>VLOOKUP($A356,'01-02.2021'!$A$6:$CZ$403,46,FALSE)+VLOOKUP($A356,'1.3.21-28.2.22'!$A$6:$DA$404,46,FALSE)-VLOOKUP($A356,'01-02.2022'!$A$6:$DA$376,46,FALSE)</f>
        <v>16191.13</v>
      </c>
      <c r="AU356" s="78">
        <f t="shared" si="395"/>
        <v>-49437.391736734709</v>
      </c>
      <c r="AV356" s="566">
        <f>VLOOKUP($A356,'01-02.2021'!$A$6:$CZ$403,48,FALSE)+VLOOKUP($A356,'1.3.21-28.2.22'!$A$6:$DA$404,48,FALSE)-VLOOKUP($A356,'01-02.2022'!$A$6:$DA$376,48,FALSE)</f>
        <v>5061.7016266547862</v>
      </c>
      <c r="AW356" s="566">
        <f>VLOOKUP($A356,'01-02.2021'!$A$6:$CZ$403,49,FALSE)+VLOOKUP($A356,'1.3.21-28.2.22'!$A$6:$DA$404,49,FALSE)-VLOOKUP($A356,'01-02.2022'!$A$6:$DA$376,49,FALSE)</f>
        <v>1108.52</v>
      </c>
      <c r="AX356" s="55">
        <f t="shared" si="396"/>
        <v>-3953.1816266547862</v>
      </c>
      <c r="AY356" s="566">
        <f>VLOOKUP($A356,'01-02.2021'!$A$6:$CZ$403,51,FALSE)+VLOOKUP($A356,'1.3.21-28.2.22'!$A$6:$DA$404,51,FALSE)-VLOOKUP($A356,'01-02.2022'!$A$6:$DA$376,51,FALSE)</f>
        <v>7290.6562390056733</v>
      </c>
      <c r="AZ356" s="566">
        <f>VLOOKUP($A356,'01-02.2021'!$A$6:$CZ$403,52,FALSE)+VLOOKUP($A356,'1.3.21-28.2.22'!$A$6:$DA$404,52,FALSE)-VLOOKUP($A356,'01-02.2022'!$A$6:$DA$376,52,FALSE)</f>
        <v>2971</v>
      </c>
      <c r="BA356" s="38">
        <f t="shared" si="397"/>
        <v>-4319.6562390056733</v>
      </c>
      <c r="BB356" s="566">
        <f>VLOOKUP($A356,'01-02.2021'!$A$6:$CZ$403,54,FALSE)+VLOOKUP($A356,'1.3.21-28.2.22'!$A$6:$DA$404,54,FALSE)-VLOOKUP($A356,'01-02.2022'!$A$6:$DA$376,54,FALSE)</f>
        <v>2511.4195336910693</v>
      </c>
      <c r="BC356" s="566">
        <f>VLOOKUP($A356,'01-02.2021'!$A$6:$CZ$403,55,FALSE)+VLOOKUP($A356,'1.3.21-28.2.22'!$A$6:$DA$404,55,FALSE)-VLOOKUP($A356,'01-02.2022'!$A$6:$DA$376,55,FALSE)</f>
        <v>9892</v>
      </c>
      <c r="BD356" s="55">
        <f t="shared" si="398"/>
        <v>7380.5804663089311</v>
      </c>
      <c r="BE356" s="566">
        <f>VLOOKUP($A356,'01-02.2021'!$A$6:$CZ$403,57,FALSE)+VLOOKUP($A356,'1.3.21-28.2.22'!$A$6:$DA$404,57,FALSE)-VLOOKUP($A356,'01-02.2022'!$A$6:$DA$376,57,FALSE)</f>
        <v>3592.7277006074996</v>
      </c>
      <c r="BF356" s="566">
        <f>VLOOKUP($A356,'01-02.2021'!$A$6:$CZ$403,58,FALSE)+VLOOKUP($A356,'1.3.21-28.2.22'!$A$6:$DA$404,58,FALSE)-VLOOKUP($A356,'01-02.2022'!$A$6:$DA$376,58,FALSE)</f>
        <v>0</v>
      </c>
      <c r="BG356" s="55">
        <f t="shared" si="399"/>
        <v>-3592.7277006074996</v>
      </c>
      <c r="BH356" s="566">
        <f>VLOOKUP($A356,'01-02.2021'!$A$6:$CZ$403,60,FALSE)+VLOOKUP($A356,'1.3.21-28.2.22'!$A$6:$DA$404,60,FALSE)-VLOOKUP($A356,'01-02.2022'!$A$6:$DA$376,60,FALSE)</f>
        <v>2396.7820829322213</v>
      </c>
      <c r="BI356" s="566">
        <f>VLOOKUP($A356,'01-02.2021'!$A$6:$CZ$403,61,FALSE)+VLOOKUP($A356,'1.3.21-28.2.22'!$A$6:$DA$404,61,FALSE)-VLOOKUP($A356,'01-02.2022'!$A$6:$DA$376,61,FALSE)</f>
        <v>1318</v>
      </c>
      <c r="BJ356" s="55">
        <f t="shared" si="400"/>
        <v>-1078.7820829322213</v>
      </c>
      <c r="BK356" s="566">
        <f>VLOOKUP($A356,'01-02.2021'!$A$6:$CZ$403,63,FALSE)+VLOOKUP($A356,'1.3.21-28.2.22'!$A$6:$DA$404,63,FALSE)-VLOOKUP($A356,'01-02.2022'!$A$6:$DA$376,63,FALSE)</f>
        <v>5585.6256085418954</v>
      </c>
      <c r="BL356" s="566">
        <f>VLOOKUP($A356,'01-02.2021'!$A$6:$CZ$403,64,FALSE)+VLOOKUP($A356,'1.3.21-28.2.22'!$A$6:$DA$404,64,FALSE)-VLOOKUP($A356,'01-02.2022'!$A$6:$DA$376,64,FALSE)</f>
        <v>8938</v>
      </c>
      <c r="BM356" s="55">
        <f t="shared" si="401"/>
        <v>3352.3743914581046</v>
      </c>
      <c r="BN356" s="566">
        <f>VLOOKUP($A356,'01-02.2021'!$A$6:$CZ$403,66,FALSE)+VLOOKUP($A356,'1.3.21-28.2.22'!$A$6:$DA$404,66,FALSE)-VLOOKUP($A356,'01-02.2022'!$A$6:$DA$376,66,FALSE)</f>
        <v>1219.9164679069763</v>
      </c>
      <c r="BO356" s="566">
        <f>VLOOKUP($A356,'01-02.2021'!$A$6:$CZ$403,67,FALSE)+VLOOKUP($A356,'1.3.21-28.2.22'!$A$6:$DA$404,67,FALSE)-VLOOKUP($A356,'01-02.2022'!$A$6:$DA$376,67,FALSE)</f>
        <v>0</v>
      </c>
      <c r="BP356" s="55">
        <f t="shared" si="402"/>
        <v>-1219.9164679069763</v>
      </c>
      <c r="BQ356" s="77">
        <f t="shared" si="409"/>
        <v>27658.829259340124</v>
      </c>
      <c r="BR356" s="40">
        <f t="shared" si="410"/>
        <v>24227.52</v>
      </c>
      <c r="BS356" s="55">
        <f t="shared" si="369"/>
        <v>-3431.3092593401234</v>
      </c>
      <c r="BT356" s="566">
        <f>VLOOKUP($A356,'01-02.2021'!$A$6:$CZ$403,72,FALSE)+VLOOKUP($A356,'1.3.21-28.2.22'!$A$6:$DA$404,72,FALSE)-VLOOKUP($A356,'01-02.2022'!$A$6:$DA$376,72,FALSE)</f>
        <v>37434.695546732321</v>
      </c>
      <c r="BU356" s="566">
        <f>VLOOKUP($A356,'01-02.2021'!$A$6:$CZ$403,73,FALSE)+VLOOKUP($A356,'1.3.21-28.2.22'!$A$6:$DA$404,73,FALSE)-VLOOKUP($A356,'01-02.2022'!$A$6:$DA$376,73,FALSE)</f>
        <v>45383.396502156837</v>
      </c>
      <c r="BV356" s="70">
        <f t="shared" si="403"/>
        <v>7948.700955424516</v>
      </c>
      <c r="BW356" s="566">
        <f>VLOOKUP($A356,'01-02.2021'!$A$6:$CZ$403,75,FALSE)+VLOOKUP($A356,'1.3.21-28.2.22'!$A$6:$DA$404,75,FALSE)-VLOOKUP($A356,'01-02.2022'!$A$6:$DA$376,75,FALSE)</f>
        <v>29190.333374490368</v>
      </c>
      <c r="BX356" s="566">
        <f>VLOOKUP($A356,'01-02.2021'!$A$6:$CZ$403,76,FALSE)+VLOOKUP($A356,'1.3.21-28.2.22'!$A$6:$DA$404,76,FALSE)-VLOOKUP($A356,'01-02.2022'!$A$6:$DA$376,76,FALSE)</f>
        <v>27620.801567530201</v>
      </c>
      <c r="BY356" s="70">
        <f t="shared" si="404"/>
        <v>-1569.5318069601672</v>
      </c>
      <c r="BZ356" s="566">
        <f>VLOOKUP($A356,'01-02.2021'!$A$6:$CZ$403,78,FALSE)+VLOOKUP($A356,'1.3.21-28.2.22'!$A$6:$DA$404,78,FALSE)-VLOOKUP($A356,'01-02.2022'!$A$6:$DA$376,78,FALSE)</f>
        <v>20671.949855873649</v>
      </c>
      <c r="CA356" s="566">
        <f>VLOOKUP($A356,'01-02.2021'!$A$6:$CZ$403,79,FALSE)+VLOOKUP($A356,'1.3.21-28.2.22'!$A$6:$DA$404,79,FALSE)-VLOOKUP($A356,'01-02.2022'!$A$6:$DA$376,79,FALSE)</f>
        <v>12847.221657931113</v>
      </c>
      <c r="CB356" s="70">
        <f t="shared" si="405"/>
        <v>-7824.7281979425352</v>
      </c>
      <c r="CC356" s="566">
        <f>VLOOKUP($A356,'01-02.2021'!$A$6:$CZ$403,81,FALSE)+VLOOKUP($A356,'1.3.21-28.2.22'!$A$6:$DA$404,81,FALSE)-VLOOKUP($A356,'01-02.2022'!$A$6:$DA$376,81,FALSE)</f>
        <v>2351.8598775407445</v>
      </c>
      <c r="CD356" s="566">
        <f>VLOOKUP($A356,'01-02.2021'!$A$6:$CZ$403,82,FALSE)+VLOOKUP($A356,'1.3.21-28.2.22'!$A$6:$DA$404,82,FALSE)-VLOOKUP($A356,'01-02.2022'!$A$6:$DA$376,82,FALSE)</f>
        <v>2570.566429115368</v>
      </c>
      <c r="CE356" s="70">
        <f t="shared" si="406"/>
        <v>218.70655157462352</v>
      </c>
      <c r="CF356" s="566">
        <f>VLOOKUP($A356,'01-02.2021'!$A$6:$CZ$403,84,FALSE)+VLOOKUP($A356,'1.3.21-28.2.22'!$A$6:$DA$404,84,FALSE)-VLOOKUP($A356,'01-02.2022'!$A$6:$DA$376,84,FALSE)</f>
        <v>285.91701422800361</v>
      </c>
      <c r="CG356" s="566">
        <f>VLOOKUP($A356,'01-02.2021'!$A$6:$CZ$403,85,FALSE)+VLOOKUP($A356,'1.3.21-28.2.22'!$A$6:$DA$404,85,FALSE)-VLOOKUP($A356,'01-02.2022'!$A$6:$DA$376,85,FALSE)</f>
        <v>0</v>
      </c>
      <c r="CH356" s="70">
        <f t="shared" si="407"/>
        <v>-285.91701422800361</v>
      </c>
      <c r="CI356" s="566">
        <f>VLOOKUP($A356,'01-02.2021'!$A$6:$CZ$403,87,FALSE)+VLOOKUP($A356,'1.3.21-28.2.22'!$A$6:$DA$404,87,FALSE)-VLOOKUP($A356,'01-02.2022'!$A$6:$DA$376,87,FALSE)</f>
        <v>14440.561068329142</v>
      </c>
      <c r="CJ356" s="566">
        <f>VLOOKUP($A356,'01-02.2021'!$A$6:$CZ$403,88,FALSE)+VLOOKUP($A356,'1.3.21-28.2.22'!$A$6:$DA$404,88,FALSE)-VLOOKUP($A356,'01-02.2022'!$A$6:$DA$376,88,FALSE)</f>
        <v>11993.920750572915</v>
      </c>
      <c r="CK356" s="70">
        <f t="shared" si="408"/>
        <v>-2446.6403177562261</v>
      </c>
      <c r="CL356" s="566">
        <f>VLOOKUP($A356,'01-02.2021'!$A$6:$CZ$403,90,FALSE)+VLOOKUP($A356,'1.3.21-28.2.22'!$A$6:$DA$404,90,FALSE)-VLOOKUP($A356,'01-02.2022'!$A$6:$DA$376,90,FALSE)</f>
        <v>0</v>
      </c>
      <c r="CM356" s="566">
        <f>VLOOKUP($A356,'01-02.2021'!$A$6:$CZ$403,91,FALSE)+VLOOKUP($A356,'1.3.21-28.2.22'!$A$6:$DA$404,91,FALSE)-VLOOKUP($A356,'01-02.2022'!$A$6:$DA$376,91,FALSE)</f>
        <v>0</v>
      </c>
      <c r="CN356" s="52">
        <f t="shared" si="360"/>
        <v>0</v>
      </c>
      <c r="CO356" s="39">
        <f t="shared" si="355"/>
        <v>14440.561068329142</v>
      </c>
      <c r="CP356" s="40">
        <f t="shared" si="361"/>
        <v>11993.920750572915</v>
      </c>
      <c r="CQ356" s="52">
        <f t="shared" si="362"/>
        <v>-2446.6403177562261</v>
      </c>
      <c r="CR356" s="72">
        <f t="shared" si="356"/>
        <v>273475.72002437431</v>
      </c>
      <c r="CS356" s="5">
        <f t="shared" si="356"/>
        <v>211652.85207587821</v>
      </c>
      <c r="CT356" s="52">
        <f t="shared" si="363"/>
        <v>-61822.867948496103</v>
      </c>
      <c r="CU356" s="77">
        <f t="shared" si="364"/>
        <v>328170.86402924918</v>
      </c>
      <c r="CV356" s="65">
        <f t="shared" si="365"/>
        <v>253983.42249105385</v>
      </c>
      <c r="CW356" s="35">
        <f t="shared" si="366"/>
        <v>-74187.441538195329</v>
      </c>
      <c r="CX356" s="566">
        <f>VLOOKUP($A356,'01-02.2021'!$A$6:$CZ$403,102,FALSE)+VLOOKUP($A356,'1.3.21-28.2.22'!$A$6:$DA$404,102,FALSE)-VLOOKUP($A356,'01-02.2022'!$A$6:$DA$376,102,FALSE)</f>
        <v>16725.910247352393</v>
      </c>
      <c r="CY356" s="566">
        <f>VLOOKUP($A356,'01-02.2021'!$A$6:$CZ$403,103,FALSE)+VLOOKUP($A356,'1.3.21-28.2.22'!$A$6:$DA$404,103,FALSE)-VLOOKUP($A356,'01-02.2022'!$A$6:$DA$376,103,FALSE)</f>
        <v>90913.351785547653</v>
      </c>
      <c r="CZ356" s="52">
        <f t="shared" si="367"/>
        <v>74187.441538195257</v>
      </c>
      <c r="DA356" s="150">
        <f>'[2]побудинковий звіт'!DA356</f>
        <v>-16915.401711987535</v>
      </c>
      <c r="DB356" s="2">
        <v>1</v>
      </c>
      <c r="DC356" s="414">
        <f>'[4]побудинковий звіт'!DC356</f>
        <v>54738.67</v>
      </c>
      <c r="DD356" s="414">
        <f>'[4]побудинковий звіт'!DD356</f>
        <v>7224.8200000000006</v>
      </c>
      <c r="DE356" s="557">
        <f>'[4]побудинковий звіт'!DE356</f>
        <v>29427.576231452487</v>
      </c>
      <c r="DF356" s="557">
        <f>'[4]побудинковий звіт'!DF356</f>
        <v>1751.2864828521415</v>
      </c>
      <c r="DG356" s="321">
        <f>VLOOKUP(A356,'кошти 01.03.2021'!$A$6:$D$401,4,)</f>
        <v>66882.643127756834</v>
      </c>
      <c r="DH356" s="40">
        <f>'[3]побудинковий звіт'!DJ356</f>
        <v>354516.56008895731</v>
      </c>
      <c r="DI356" s="422">
        <f>'[3]побудинковий звіт'!CU356+'[3]побудинковий звіт'!CX356</f>
        <v>30784.627285695369</v>
      </c>
      <c r="DJ356" s="306">
        <f>'[3]побудинковий звіт'!DM356</f>
        <v>5.4989569093650967</v>
      </c>
      <c r="DK356" s="306">
        <f t="shared" si="377"/>
        <v>5.4989569093650967</v>
      </c>
      <c r="DL356" s="306">
        <f>'[3]побудинковий звіт'!DO356</f>
        <v>4.7254886619596475</v>
      </c>
      <c r="DM356" s="28">
        <f t="shared" si="379"/>
        <v>25311.093768547511</v>
      </c>
      <c r="DN356" s="28">
        <f t="shared" si="380"/>
        <v>5473.5335171478591</v>
      </c>
      <c r="DO356" s="423">
        <f t="shared" si="381"/>
        <v>30784.627285695369</v>
      </c>
      <c r="DP356" s="94">
        <f t="shared" si="382"/>
        <v>0</v>
      </c>
      <c r="DQ356" s="28">
        <f t="shared" si="383"/>
        <v>30784.627285695369</v>
      </c>
      <c r="DR356" s="318"/>
      <c r="DT356" s="8"/>
      <c r="DU356" s="5"/>
      <c r="DX356" s="5">
        <f t="shared" si="384"/>
        <v>111944.8211952898</v>
      </c>
      <c r="DY356" s="5">
        <f t="shared" si="385"/>
        <v>48502.38</v>
      </c>
      <c r="DZ356" s="159">
        <f>'[3]побудинковий звіт'!EA356</f>
        <v>9902.4525298028402</v>
      </c>
    </row>
    <row r="357" spans="1:130" x14ac:dyDescent="0.3">
      <c r="A357" s="325">
        <v>150000875</v>
      </c>
      <c r="B357" s="41" t="s">
        <v>803</v>
      </c>
      <c r="C357" s="42" t="s">
        <v>313</v>
      </c>
      <c r="D357" s="42"/>
      <c r="E357" s="293">
        <f t="shared" si="353"/>
        <v>3190.1</v>
      </c>
      <c r="F357" s="305">
        <f>'[3]побудинковий звіт'!F357</f>
        <v>3190.1</v>
      </c>
      <c r="G357" s="508">
        <f>'[3]побудинковий звіт'!G357</f>
        <v>0</v>
      </c>
      <c r="H357" s="560">
        <f>'[3]побудинковий звіт'!H357</f>
        <v>0</v>
      </c>
      <c r="I357" s="566">
        <f>VLOOKUP($A357,'01-02.2021'!$A$6:$CZ$403,9,FALSE)+VLOOKUP($A357,'1.3.21-28.2.22'!$A$6:$DA$404,9,FALSE)-VLOOKUP($A357,'01-02.2022'!$A$6:$DA$376,9,FALSE)</f>
        <v>12231.195217062974</v>
      </c>
      <c r="J357" s="566">
        <f>VLOOKUP($A357,'01-02.2021'!$A$6:$CZ$403,10,FALSE)+VLOOKUP($A357,'1.3.21-28.2.22'!$A$6:$DA$404,10,FALSE)-VLOOKUP($A357,'01-02.2022'!$A$6:$DA$376,10,FALSE)</f>
        <v>10782.768816420643</v>
      </c>
      <c r="K357" s="52">
        <f t="shared" si="357"/>
        <v>-1448.4264006423309</v>
      </c>
      <c r="L357" s="566">
        <f>VLOOKUP($A357,'01-02.2021'!$A$6:$CZ$403,12,FALSE)+VLOOKUP($A357,'1.3.21-28.2.22'!$A$6:$DA$404,12,FALSE)-VLOOKUP($A357,'01-02.2022'!$A$6:$DA$376,12,FALSE)</f>
        <v>2504.0686653203661</v>
      </c>
      <c r="M357" s="566">
        <f>VLOOKUP($A357,'01-02.2021'!$A$6:$CZ$403,13,FALSE)+VLOOKUP($A357,'1.3.21-28.2.22'!$A$6:$DA$404,13,FALSE)-VLOOKUP($A357,'01-02.2022'!$A$6:$DA$376,13,FALSE)</f>
        <v>2259.097501330009</v>
      </c>
      <c r="N357" s="52">
        <f t="shared" si="358"/>
        <v>-244.97116399035713</v>
      </c>
      <c r="O357" s="566">
        <f>VLOOKUP($A357,'01-02.2021'!$A$6:$CZ$403,15,FALSE)+VLOOKUP($A357,'1.3.21-28.2.22'!$A$6:$DA$404,15,FALSE)-VLOOKUP($A357,'01-02.2022'!$A$6:$DA$376,15,FALSE)</f>
        <v>4527.0314794100004</v>
      </c>
      <c r="P357" s="566">
        <f>VLOOKUP($A357,'01-02.2021'!$A$6:$CZ$403,16,FALSE)+VLOOKUP($A357,'1.3.21-28.2.22'!$A$6:$DA$404,16,FALSE)-VLOOKUP($A357,'01-02.2022'!$A$6:$DA$376,16,FALSE)</f>
        <v>4527.0000000000009</v>
      </c>
      <c r="Q357" s="70">
        <f t="shared" si="386"/>
        <v>-3.1479409999519703E-2</v>
      </c>
      <c r="R357" s="566">
        <f>VLOOKUP($A357,'01-02.2021'!$A$6:$CZ$403,18,FALSE)+VLOOKUP($A357,'1.3.21-28.2.22'!$A$6:$DA$404,18,FALSE)-VLOOKUP($A357,'01-02.2022'!$A$6:$DA$376,18,FALSE)</f>
        <v>0</v>
      </c>
      <c r="S357" s="566">
        <f>VLOOKUP($A357,'01-02.2021'!$A$6:$CZ$403,19,FALSE)+VLOOKUP($A357,'1.3.21-28.2.22'!$A$6:$DA$404,19,FALSE)-VLOOKUP($A357,'01-02.2022'!$A$6:$DA$376,19,FALSE)</f>
        <v>0</v>
      </c>
      <c r="T357" s="70">
        <f t="shared" si="387"/>
        <v>0</v>
      </c>
      <c r="U357" s="566">
        <f>VLOOKUP($A357,'01-02.2021'!$A$6:$CZ$403,21,FALSE)+VLOOKUP($A357,'1.3.21-28.2.22'!$A$6:$DA$404,21,FALSE)-VLOOKUP($A357,'01-02.2022'!$A$6:$DA$376,21,FALSE)</f>
        <v>0</v>
      </c>
      <c r="V357" s="566">
        <f>VLOOKUP($A357,'01-02.2021'!$A$6:$CZ$403,22,FALSE)+VLOOKUP($A357,'1.3.21-28.2.22'!$A$6:$DA$404,22,FALSE)-VLOOKUP($A357,'01-02.2022'!$A$6:$DA$376,22,FALSE)</f>
        <v>0</v>
      </c>
      <c r="W357" s="70">
        <f t="shared" si="388"/>
        <v>0</v>
      </c>
      <c r="X357" s="566">
        <f>VLOOKUP($A357,'01-02.2021'!$A$6:$CZ$403,24,FALSE)+VLOOKUP($A357,'1.3.21-28.2.22'!$A$6:$DA$404,24,FALSE)-VLOOKUP($A357,'01-02.2022'!$A$6:$DA$376,24,FALSE)</f>
        <v>6478.0354441207428</v>
      </c>
      <c r="Y357" s="566">
        <f>VLOOKUP($A357,'01-02.2021'!$A$6:$CZ$403,25,FALSE)+VLOOKUP($A357,'1.3.21-28.2.22'!$A$6:$DA$404,25,FALSE)-VLOOKUP($A357,'01-02.2022'!$A$6:$DA$376,25,FALSE)</f>
        <v>5235.5114800362799</v>
      </c>
      <c r="Z357" s="70">
        <f t="shared" si="389"/>
        <v>-1242.5239640844629</v>
      </c>
      <c r="AA357" s="566">
        <f>VLOOKUP($A357,'01-02.2021'!$A$6:$CZ$403,27,FALSE)+VLOOKUP($A357,'1.3.21-28.2.22'!$A$6:$DA$404,27,FALSE)-VLOOKUP($A357,'01-02.2022'!$A$6:$DA$376,27,FALSE)</f>
        <v>638.04999999999995</v>
      </c>
      <c r="AB357" s="566">
        <f>VLOOKUP($A357,'01-02.2021'!$A$6:$CZ$403,28,FALSE)+VLOOKUP($A357,'1.3.21-28.2.22'!$A$6:$DA$404,28,FALSE)-VLOOKUP($A357,'01-02.2022'!$A$6:$DA$376,28,FALSE)</f>
        <v>0</v>
      </c>
      <c r="AC357" s="70">
        <f t="shared" si="390"/>
        <v>-638.04999999999995</v>
      </c>
      <c r="AD357" s="566">
        <f>VLOOKUP($A357,'01-02.2021'!$A$6:$CZ$403,30,FALSE)+VLOOKUP($A357,'1.3.21-28.2.22'!$A$6:$DA$404,30,FALSE)-VLOOKUP($A357,'01-02.2022'!$A$6:$DA$376,30,FALSE)</f>
        <v>13702.698860085078</v>
      </c>
      <c r="AE357" s="566">
        <f>VLOOKUP($A357,'01-02.2021'!$A$6:$CZ$403,31,FALSE)+VLOOKUP($A357,'1.3.21-28.2.22'!$A$6:$DA$404,31,FALSE)-VLOOKUP($A357,'01-02.2022'!$A$6:$DA$376,31,FALSE)</f>
        <v>14521.463736307862</v>
      </c>
      <c r="AF357" s="68">
        <f t="shared" si="391"/>
        <v>818.76487622278364</v>
      </c>
      <c r="AG357" s="77">
        <f t="shared" si="354"/>
        <v>40081.079665999161</v>
      </c>
      <c r="AH357" s="53">
        <f t="shared" si="354"/>
        <v>37325.841534094798</v>
      </c>
      <c r="AI357" s="52">
        <f t="shared" si="359"/>
        <v>-2755.2381319043634</v>
      </c>
      <c r="AJ357" s="566">
        <f>VLOOKUP($A357,'01-02.2021'!$A$6:$CZ$403,36,FALSE)+VLOOKUP($A357,'1.3.21-28.2.22'!$A$6:$DA$404,36,FALSE)-VLOOKUP($A357,'01-02.2022'!$A$6:$DA$376,36,FALSE)</f>
        <v>0</v>
      </c>
      <c r="AK357" s="566">
        <f>VLOOKUP($A357,'01-02.2021'!$A$6:$CZ$403,37,FALSE)+VLOOKUP($A357,'1.3.21-28.2.22'!$A$6:$DA$404,37,FALSE)-VLOOKUP($A357,'01-02.2022'!$A$6:$DA$376,37,FALSE)</f>
        <v>0</v>
      </c>
      <c r="AL357" s="70">
        <f t="shared" si="392"/>
        <v>0</v>
      </c>
      <c r="AM357" s="566">
        <f>VLOOKUP($A357,'01-02.2021'!$A$6:$CZ$403,39,FALSE)+VLOOKUP($A357,'1.3.21-28.2.22'!$A$6:$DA$404,39,FALSE)-VLOOKUP($A357,'01-02.2022'!$A$6:$DA$376,39,FALSE)</f>
        <v>0</v>
      </c>
      <c r="AN357" s="566">
        <f>VLOOKUP($A357,'01-02.2021'!$A$6:$CZ$403,40,FALSE)+VLOOKUP($A357,'1.3.21-28.2.22'!$A$6:$DA$404,40,FALSE)-VLOOKUP($A357,'01-02.2022'!$A$6:$DA$376,40,FALSE)</f>
        <v>0</v>
      </c>
      <c r="AO357" s="70">
        <f t="shared" si="393"/>
        <v>0</v>
      </c>
      <c r="AP357" s="566">
        <f>VLOOKUP($A357,'01-02.2021'!$A$6:$CZ$403,42,FALSE)+VLOOKUP($A357,'1.3.21-28.2.22'!$A$6:$DA$404,42,FALSE)-VLOOKUP($A357,'01-02.2022'!$A$6:$DA$376,42,FALSE)</f>
        <v>9109.7986877236053</v>
      </c>
      <c r="AQ357" s="566">
        <f>VLOOKUP($A357,'01-02.2021'!$A$6:$CZ$403,43,FALSE)+VLOOKUP($A357,'1.3.21-28.2.22'!$A$6:$DA$404,43,FALSE)-VLOOKUP($A357,'01-02.2022'!$A$6:$DA$376,43,FALSE)</f>
        <v>7909.4999451867825</v>
      </c>
      <c r="AR357" s="70">
        <f t="shared" si="394"/>
        <v>-1200.2987425368228</v>
      </c>
      <c r="AS357" s="566">
        <f>VLOOKUP($A357,'01-02.2021'!$A$6:$CZ$403,45,FALSE)+VLOOKUP($A357,'1.3.21-28.2.22'!$A$6:$DA$404,45,FALSE)-VLOOKUP($A357,'01-02.2022'!$A$6:$DA$376,45,FALSE)</f>
        <v>25284.871101984951</v>
      </c>
      <c r="AT357" s="566">
        <f>VLOOKUP($A357,'01-02.2021'!$A$6:$CZ$403,46,FALSE)+VLOOKUP($A357,'1.3.21-28.2.22'!$A$6:$DA$404,46,FALSE)-VLOOKUP($A357,'01-02.2022'!$A$6:$DA$376,46,FALSE)</f>
        <v>15569.17</v>
      </c>
      <c r="AU357" s="78">
        <f t="shared" si="395"/>
        <v>-9715.7011019849506</v>
      </c>
      <c r="AV357" s="566">
        <f>VLOOKUP($A357,'01-02.2021'!$A$6:$CZ$403,48,FALSE)+VLOOKUP($A357,'1.3.21-28.2.22'!$A$6:$DA$404,48,FALSE)-VLOOKUP($A357,'01-02.2022'!$A$6:$DA$376,48,FALSE)</f>
        <v>3216.6819504441664</v>
      </c>
      <c r="AW357" s="566">
        <f>VLOOKUP($A357,'01-02.2021'!$A$6:$CZ$403,49,FALSE)+VLOOKUP($A357,'1.3.21-28.2.22'!$A$6:$DA$404,49,FALSE)-VLOOKUP($A357,'01-02.2022'!$A$6:$DA$376,49,FALSE)</f>
        <v>0</v>
      </c>
      <c r="AX357" s="55">
        <f t="shared" si="396"/>
        <v>-3216.6819504441664</v>
      </c>
      <c r="AY357" s="566">
        <f>VLOOKUP($A357,'01-02.2021'!$A$6:$CZ$403,51,FALSE)+VLOOKUP($A357,'1.3.21-28.2.22'!$A$6:$DA$404,51,FALSE)-VLOOKUP($A357,'01-02.2022'!$A$6:$DA$376,51,FALSE)</f>
        <v>4707.1160454198634</v>
      </c>
      <c r="AZ357" s="566">
        <f>VLOOKUP($A357,'01-02.2021'!$A$6:$CZ$403,52,FALSE)+VLOOKUP($A357,'1.3.21-28.2.22'!$A$6:$DA$404,52,FALSE)-VLOOKUP($A357,'01-02.2022'!$A$6:$DA$376,52,FALSE)</f>
        <v>11112</v>
      </c>
      <c r="BA357" s="38">
        <f t="shared" si="397"/>
        <v>6404.8839545801366</v>
      </c>
      <c r="BB357" s="566">
        <f>VLOOKUP($A357,'01-02.2021'!$A$6:$CZ$403,54,FALSE)+VLOOKUP($A357,'1.3.21-28.2.22'!$A$6:$DA$404,54,FALSE)-VLOOKUP($A357,'01-02.2022'!$A$6:$DA$376,54,FALSE)</f>
        <v>1643.5918716767901</v>
      </c>
      <c r="BC357" s="566">
        <f>VLOOKUP($A357,'01-02.2021'!$A$6:$CZ$403,55,FALSE)+VLOOKUP($A357,'1.3.21-28.2.22'!$A$6:$DA$404,55,FALSE)-VLOOKUP($A357,'01-02.2022'!$A$6:$DA$376,55,FALSE)</f>
        <v>0</v>
      </c>
      <c r="BD357" s="55">
        <f t="shared" si="398"/>
        <v>-1643.5918716767901</v>
      </c>
      <c r="BE357" s="566">
        <f>VLOOKUP($A357,'01-02.2021'!$A$6:$CZ$403,57,FALSE)+VLOOKUP($A357,'1.3.21-28.2.22'!$A$6:$DA$404,57,FALSE)-VLOOKUP($A357,'01-02.2022'!$A$6:$DA$376,57,FALSE)</f>
        <v>0</v>
      </c>
      <c r="BF357" s="566">
        <f>VLOOKUP($A357,'01-02.2021'!$A$6:$CZ$403,58,FALSE)+VLOOKUP($A357,'1.3.21-28.2.22'!$A$6:$DA$404,58,FALSE)-VLOOKUP($A357,'01-02.2022'!$A$6:$DA$376,58,FALSE)</f>
        <v>0</v>
      </c>
      <c r="BG357" s="55">
        <f t="shared" si="399"/>
        <v>0</v>
      </c>
      <c r="BH357" s="566">
        <f>VLOOKUP($A357,'01-02.2021'!$A$6:$CZ$403,60,FALSE)+VLOOKUP($A357,'1.3.21-28.2.22'!$A$6:$DA$404,60,FALSE)-VLOOKUP($A357,'01-02.2022'!$A$6:$DA$376,60,FALSE)</f>
        <v>0</v>
      </c>
      <c r="BI357" s="566">
        <f>VLOOKUP($A357,'01-02.2021'!$A$6:$CZ$403,61,FALSE)+VLOOKUP($A357,'1.3.21-28.2.22'!$A$6:$DA$404,61,FALSE)-VLOOKUP($A357,'01-02.2022'!$A$6:$DA$376,61,FALSE)</f>
        <v>0</v>
      </c>
      <c r="BJ357" s="55">
        <f t="shared" si="400"/>
        <v>0</v>
      </c>
      <c r="BK357" s="566">
        <f>VLOOKUP($A357,'01-02.2021'!$A$6:$CZ$403,63,FALSE)+VLOOKUP($A357,'1.3.21-28.2.22'!$A$6:$DA$404,63,FALSE)-VLOOKUP($A357,'01-02.2022'!$A$6:$DA$376,63,FALSE)</f>
        <v>2020.7501220261693</v>
      </c>
      <c r="BL357" s="566">
        <f>VLOOKUP($A357,'01-02.2021'!$A$6:$CZ$403,64,FALSE)+VLOOKUP($A357,'1.3.21-28.2.22'!$A$6:$DA$404,64,FALSE)-VLOOKUP($A357,'01-02.2022'!$A$6:$DA$376,64,FALSE)</f>
        <v>0</v>
      </c>
      <c r="BM357" s="55">
        <f t="shared" si="401"/>
        <v>-2020.7501220261693</v>
      </c>
      <c r="BN357" s="566">
        <f>VLOOKUP($A357,'01-02.2021'!$A$6:$CZ$403,66,FALSE)+VLOOKUP($A357,'1.3.21-28.2.22'!$A$6:$DA$404,66,FALSE)-VLOOKUP($A357,'01-02.2022'!$A$6:$DA$376,66,FALSE)</f>
        <v>1056.0021059899213</v>
      </c>
      <c r="BO357" s="566">
        <f>VLOOKUP($A357,'01-02.2021'!$A$6:$CZ$403,67,FALSE)+VLOOKUP($A357,'1.3.21-28.2.22'!$A$6:$DA$404,67,FALSE)-VLOOKUP($A357,'01-02.2022'!$A$6:$DA$376,67,FALSE)</f>
        <v>0</v>
      </c>
      <c r="BP357" s="55">
        <f t="shared" si="402"/>
        <v>-1056.0021059899213</v>
      </c>
      <c r="BQ357" s="77">
        <f t="shared" si="409"/>
        <v>12644.14209555691</v>
      </c>
      <c r="BR357" s="40">
        <f t="shared" si="410"/>
        <v>11112</v>
      </c>
      <c r="BS357" s="55">
        <f t="shared" si="369"/>
        <v>-1532.1420955569101</v>
      </c>
      <c r="BT357" s="566">
        <f>VLOOKUP($A357,'01-02.2021'!$A$6:$CZ$403,72,FALSE)+VLOOKUP($A357,'1.3.21-28.2.22'!$A$6:$DA$404,72,FALSE)-VLOOKUP($A357,'01-02.2022'!$A$6:$DA$376,72,FALSE)</f>
        <v>22729.406032630461</v>
      </c>
      <c r="BU357" s="566">
        <f>VLOOKUP($A357,'01-02.2021'!$A$6:$CZ$403,73,FALSE)+VLOOKUP($A357,'1.3.21-28.2.22'!$A$6:$DA$404,73,FALSE)-VLOOKUP($A357,'01-02.2022'!$A$6:$DA$376,73,FALSE)</f>
        <v>26817.169339367236</v>
      </c>
      <c r="BV357" s="70">
        <f t="shared" si="403"/>
        <v>4087.7633067367751</v>
      </c>
      <c r="BW357" s="566">
        <f>VLOOKUP($A357,'01-02.2021'!$A$6:$CZ$403,75,FALSE)+VLOOKUP($A357,'1.3.21-28.2.22'!$A$6:$DA$404,75,FALSE)-VLOOKUP($A357,'01-02.2022'!$A$6:$DA$376,75,FALSE)</f>
        <v>14505.958222239093</v>
      </c>
      <c r="BX357" s="566">
        <f>VLOOKUP($A357,'01-02.2021'!$A$6:$CZ$403,76,FALSE)+VLOOKUP($A357,'1.3.21-28.2.22'!$A$6:$DA$404,76,FALSE)-VLOOKUP($A357,'01-02.2022'!$A$6:$DA$376,76,FALSE)</f>
        <v>14185.833852798638</v>
      </c>
      <c r="BY357" s="70">
        <f t="shared" si="404"/>
        <v>-320.12436944045476</v>
      </c>
      <c r="BZ357" s="566">
        <f>VLOOKUP($A357,'01-02.2021'!$A$6:$CZ$403,78,FALSE)+VLOOKUP($A357,'1.3.21-28.2.22'!$A$6:$DA$404,78,FALSE)-VLOOKUP($A357,'01-02.2022'!$A$6:$DA$376,78,FALSE)</f>
        <v>11861.232759810466</v>
      </c>
      <c r="CA357" s="566">
        <f>VLOOKUP($A357,'01-02.2021'!$A$6:$CZ$403,79,FALSE)+VLOOKUP($A357,'1.3.21-28.2.22'!$A$6:$DA$404,79,FALSE)-VLOOKUP($A357,'01-02.2022'!$A$6:$DA$376,79,FALSE)</f>
        <v>7207.7261935377019</v>
      </c>
      <c r="CB357" s="70">
        <f t="shared" si="405"/>
        <v>-4653.5065662727638</v>
      </c>
      <c r="CC357" s="566">
        <f>VLOOKUP($A357,'01-02.2021'!$A$6:$CZ$403,81,FALSE)+VLOOKUP($A357,'1.3.21-28.2.22'!$A$6:$DA$404,81,FALSE)-VLOOKUP($A357,'01-02.2022'!$A$6:$DA$376,81,FALSE)</f>
        <v>787.87038822907084</v>
      </c>
      <c r="CD357" s="566">
        <f>VLOOKUP($A357,'01-02.2021'!$A$6:$CZ$403,82,FALSE)+VLOOKUP($A357,'1.3.21-28.2.22'!$A$6:$DA$404,82,FALSE)-VLOOKUP($A357,'01-02.2022'!$A$6:$DA$376,82,FALSE)</f>
        <v>861.1368346457341</v>
      </c>
      <c r="CE357" s="70">
        <f t="shared" si="406"/>
        <v>73.266446416663257</v>
      </c>
      <c r="CF357" s="566">
        <f>VLOOKUP($A357,'01-02.2021'!$A$6:$CZ$403,84,FALSE)+VLOOKUP($A357,'1.3.21-28.2.22'!$A$6:$DA$404,84,FALSE)-VLOOKUP($A357,'01-02.2022'!$A$6:$DA$376,84,FALSE)</f>
        <v>95.78187508205886</v>
      </c>
      <c r="CG357" s="566">
        <f>VLOOKUP($A357,'01-02.2021'!$A$6:$CZ$403,85,FALSE)+VLOOKUP($A357,'1.3.21-28.2.22'!$A$6:$DA$404,85,FALSE)-VLOOKUP($A357,'01-02.2022'!$A$6:$DA$376,85,FALSE)</f>
        <v>0</v>
      </c>
      <c r="CH357" s="70">
        <f t="shared" si="407"/>
        <v>-95.78187508205886</v>
      </c>
      <c r="CI357" s="566">
        <f>VLOOKUP($A357,'01-02.2021'!$A$6:$CZ$403,87,FALSE)+VLOOKUP($A357,'1.3.21-28.2.22'!$A$6:$DA$404,87,FALSE)-VLOOKUP($A357,'01-02.2022'!$A$6:$DA$376,87,FALSE)</f>
        <v>7209.6081386023288</v>
      </c>
      <c r="CJ357" s="566">
        <f>VLOOKUP($A357,'01-02.2021'!$A$6:$CZ$403,88,FALSE)+VLOOKUP($A357,'1.3.21-28.2.22'!$A$6:$DA$404,88,FALSE)-VLOOKUP($A357,'01-02.2022'!$A$6:$DA$376,88,FALSE)</f>
        <v>5121.1552238242039</v>
      </c>
      <c r="CK357" s="70">
        <f t="shared" si="408"/>
        <v>-2088.452914778125</v>
      </c>
      <c r="CL357" s="566">
        <f>VLOOKUP($A357,'01-02.2021'!$A$6:$CZ$403,90,FALSE)+VLOOKUP($A357,'1.3.21-28.2.22'!$A$6:$DA$404,90,FALSE)-VLOOKUP($A357,'01-02.2022'!$A$6:$DA$376,90,FALSE)</f>
        <v>0</v>
      </c>
      <c r="CM357" s="566">
        <f>VLOOKUP($A357,'01-02.2021'!$A$6:$CZ$403,91,FALSE)+VLOOKUP($A357,'1.3.21-28.2.22'!$A$6:$DA$404,91,FALSE)-VLOOKUP($A357,'01-02.2022'!$A$6:$DA$376,91,FALSE)</f>
        <v>0</v>
      </c>
      <c r="CN357" s="52">
        <f t="shared" si="360"/>
        <v>0</v>
      </c>
      <c r="CO357" s="39">
        <f t="shared" si="355"/>
        <v>7209.6081386023288</v>
      </c>
      <c r="CP357" s="40">
        <f t="shared" si="361"/>
        <v>5121.1552238242039</v>
      </c>
      <c r="CQ357" s="52">
        <f t="shared" si="362"/>
        <v>-2088.452914778125</v>
      </c>
      <c r="CR357" s="72">
        <f t="shared" si="356"/>
        <v>144309.74896785809</v>
      </c>
      <c r="CS357" s="5">
        <f t="shared" si="356"/>
        <v>126109.53292345509</v>
      </c>
      <c r="CT357" s="52">
        <f t="shared" si="363"/>
        <v>-18200.216044403001</v>
      </c>
      <c r="CU357" s="77">
        <f t="shared" si="364"/>
        <v>173171.6987614297</v>
      </c>
      <c r="CV357" s="65">
        <f t="shared" si="365"/>
        <v>151331.43950814611</v>
      </c>
      <c r="CW357" s="35">
        <f t="shared" si="366"/>
        <v>-21840.259253283584</v>
      </c>
      <c r="CX357" s="566">
        <f>VLOOKUP($A357,'01-02.2021'!$A$6:$CZ$403,102,FALSE)+VLOOKUP($A357,'1.3.21-28.2.22'!$A$6:$DA$404,102,FALSE)-VLOOKUP($A357,'01-02.2022'!$A$6:$DA$376,102,FALSE)</f>
        <v>5486.3934109579604</v>
      </c>
      <c r="CY357" s="566">
        <f>VLOOKUP($A357,'01-02.2021'!$A$6:$CZ$403,103,FALSE)+VLOOKUP($A357,'1.3.21-28.2.22'!$A$6:$DA$404,103,FALSE)-VLOOKUP($A357,'01-02.2022'!$A$6:$DA$376,103,FALSE)</f>
        <v>27326.65266424157</v>
      </c>
      <c r="CZ357" s="52">
        <f t="shared" si="367"/>
        <v>21840.25925328361</v>
      </c>
      <c r="DA357" s="150">
        <f>'[2]побудинковий звіт'!DA357</f>
        <v>16258.553921092898</v>
      </c>
      <c r="DB357" s="2">
        <v>1</v>
      </c>
      <c r="DC357" s="414">
        <f>'[4]побудинковий звіт'!DC357</f>
        <v>26889.22</v>
      </c>
      <c r="DD357" s="414">
        <f>'[4]побудинковий звіт'!DD357</f>
        <v>0</v>
      </c>
      <c r="DE357" s="557">
        <f>'[4]побудинковий звіт'!DE357</f>
        <v>10702.919661335229</v>
      </c>
      <c r="DF357" s="557">
        <f>'[4]побудинковий звіт'!DF357</f>
        <v>0</v>
      </c>
      <c r="DG357" s="321">
        <f>VLOOKUP(A357,'кошти 01.03.2021'!$A$6:$D$401,4,)</f>
        <v>49912.219687200894</v>
      </c>
      <c r="DH357" s="40">
        <f>'[3]побудинковий звіт'!DJ357</f>
        <v>184794.2936991337</v>
      </c>
      <c r="DI357" s="422">
        <f>'[3]побудинковий звіт'!CU357+'[3]побудинковий звіт'!CX357</f>
        <v>16186.300338664772</v>
      </c>
      <c r="DJ357" s="306">
        <f>'[3]побудинковий звіт'!DM357</f>
        <v>5.0739162843374102</v>
      </c>
      <c r="DK357" s="306">
        <f t="shared" si="377"/>
        <v>5.0739162843374102</v>
      </c>
      <c r="DL357" s="306">
        <f>'[3]побудинковий звіт'!DO357</f>
        <v>4.5259470896596294</v>
      </c>
      <c r="DM357" s="28">
        <f t="shared" si="379"/>
        <v>16186.300338664772</v>
      </c>
      <c r="DN357" s="28">
        <f t="shared" si="380"/>
        <v>0</v>
      </c>
      <c r="DO357" s="423">
        <f t="shared" si="381"/>
        <v>16186.300338664772</v>
      </c>
      <c r="DP357" s="94">
        <f t="shared" si="382"/>
        <v>0</v>
      </c>
      <c r="DQ357" s="28">
        <f t="shared" si="383"/>
        <v>16186.300338664772</v>
      </c>
      <c r="DR357" s="318"/>
      <c r="DT357" s="8"/>
      <c r="DU357" s="5"/>
      <c r="DX357" s="5">
        <f t="shared" si="384"/>
        <v>45514.815837050235</v>
      </c>
      <c r="DY357" s="5">
        <f t="shared" si="385"/>
        <v>32017.403999999995</v>
      </c>
      <c r="DZ357" s="159">
        <f>'[3]побудинковий звіт'!EA357</f>
        <v>4531.5900667123778</v>
      </c>
    </row>
    <row r="358" spans="1:130" x14ac:dyDescent="0.3">
      <c r="A358" s="325">
        <v>150000871</v>
      </c>
      <c r="B358" s="41" t="s">
        <v>804</v>
      </c>
      <c r="C358" s="42" t="s">
        <v>141</v>
      </c>
      <c r="D358" s="42"/>
      <c r="E358" s="293">
        <f t="shared" si="353"/>
        <v>152.6</v>
      </c>
      <c r="F358" s="305">
        <f>'[3]побудинковий звіт'!F358</f>
        <v>152.6</v>
      </c>
      <c r="G358" s="508">
        <f>'[3]побудинковий звіт'!G358</f>
        <v>0</v>
      </c>
      <c r="H358" s="560">
        <f>'[3]побудинковий звіт'!H358</f>
        <v>0</v>
      </c>
      <c r="I358" s="566">
        <f>VLOOKUP($A358,'01-02.2021'!$A$6:$CZ$403,9,FALSE)+VLOOKUP($A358,'1.3.21-28.2.22'!$A$6:$DA$404,9,FALSE)-VLOOKUP($A358,'01-02.2022'!$A$6:$DA$376,9,FALSE)</f>
        <v>0</v>
      </c>
      <c r="J358" s="566">
        <f>VLOOKUP($A358,'01-02.2021'!$A$6:$CZ$403,10,FALSE)+VLOOKUP($A358,'1.3.21-28.2.22'!$A$6:$DA$404,10,FALSE)-VLOOKUP($A358,'01-02.2022'!$A$6:$DA$376,10,FALSE)</f>
        <v>0</v>
      </c>
      <c r="K358" s="52">
        <f t="shared" si="357"/>
        <v>0</v>
      </c>
      <c r="L358" s="566">
        <f>VLOOKUP($A358,'01-02.2021'!$A$6:$CZ$403,12,FALSE)+VLOOKUP($A358,'1.3.21-28.2.22'!$A$6:$DA$404,12,FALSE)-VLOOKUP($A358,'01-02.2022'!$A$6:$DA$376,12,FALSE)</f>
        <v>0</v>
      </c>
      <c r="M358" s="566">
        <f>VLOOKUP($A358,'01-02.2021'!$A$6:$CZ$403,13,FALSE)+VLOOKUP($A358,'1.3.21-28.2.22'!$A$6:$DA$404,13,FALSE)-VLOOKUP($A358,'01-02.2022'!$A$6:$DA$376,13,FALSE)</f>
        <v>0</v>
      </c>
      <c r="N358" s="52">
        <f t="shared" si="358"/>
        <v>0</v>
      </c>
      <c r="O358" s="566">
        <f>VLOOKUP($A358,'01-02.2021'!$A$6:$CZ$403,15,FALSE)+VLOOKUP($A358,'1.3.21-28.2.22'!$A$6:$DA$404,15,FALSE)-VLOOKUP($A358,'01-02.2022'!$A$6:$DA$376,15,FALSE)</f>
        <v>0</v>
      </c>
      <c r="P358" s="566">
        <f>VLOOKUP($A358,'01-02.2021'!$A$6:$CZ$403,16,FALSE)+VLOOKUP($A358,'1.3.21-28.2.22'!$A$6:$DA$404,16,FALSE)-VLOOKUP($A358,'01-02.2022'!$A$6:$DA$376,16,FALSE)</f>
        <v>0</v>
      </c>
      <c r="Q358" s="70">
        <f t="shared" si="386"/>
        <v>0</v>
      </c>
      <c r="R358" s="566">
        <f>VLOOKUP($A358,'01-02.2021'!$A$6:$CZ$403,18,FALSE)+VLOOKUP($A358,'1.3.21-28.2.22'!$A$6:$DA$404,18,FALSE)-VLOOKUP($A358,'01-02.2022'!$A$6:$DA$376,18,FALSE)</f>
        <v>0</v>
      </c>
      <c r="S358" s="566">
        <f>VLOOKUP($A358,'01-02.2021'!$A$6:$CZ$403,19,FALSE)+VLOOKUP($A358,'1.3.21-28.2.22'!$A$6:$DA$404,19,FALSE)-VLOOKUP($A358,'01-02.2022'!$A$6:$DA$376,19,FALSE)</f>
        <v>0</v>
      </c>
      <c r="T358" s="70">
        <f t="shared" si="387"/>
        <v>0</v>
      </c>
      <c r="U358" s="566">
        <f>VLOOKUP($A358,'01-02.2021'!$A$6:$CZ$403,21,FALSE)+VLOOKUP($A358,'1.3.21-28.2.22'!$A$6:$DA$404,21,FALSE)-VLOOKUP($A358,'01-02.2022'!$A$6:$DA$376,21,FALSE)</f>
        <v>0</v>
      </c>
      <c r="V358" s="566">
        <f>VLOOKUP($A358,'01-02.2021'!$A$6:$CZ$403,22,FALSE)+VLOOKUP($A358,'1.3.21-28.2.22'!$A$6:$DA$404,22,FALSE)-VLOOKUP($A358,'01-02.2022'!$A$6:$DA$376,22,FALSE)</f>
        <v>0</v>
      </c>
      <c r="W358" s="70">
        <f t="shared" si="388"/>
        <v>0</v>
      </c>
      <c r="X358" s="566">
        <f>VLOOKUP($A358,'01-02.2021'!$A$6:$CZ$403,24,FALSE)+VLOOKUP($A358,'1.3.21-28.2.22'!$A$6:$DA$404,24,FALSE)-VLOOKUP($A358,'01-02.2022'!$A$6:$DA$376,24,FALSE)</f>
        <v>0</v>
      </c>
      <c r="Y358" s="566">
        <f>VLOOKUP($A358,'01-02.2021'!$A$6:$CZ$403,25,FALSE)+VLOOKUP($A358,'1.3.21-28.2.22'!$A$6:$DA$404,25,FALSE)-VLOOKUP($A358,'01-02.2022'!$A$6:$DA$376,25,FALSE)</f>
        <v>0</v>
      </c>
      <c r="Z358" s="70">
        <f t="shared" si="389"/>
        <v>0</v>
      </c>
      <c r="AA358" s="566">
        <f>VLOOKUP($A358,'01-02.2021'!$A$6:$CZ$403,27,FALSE)+VLOOKUP($A358,'1.3.21-28.2.22'!$A$6:$DA$404,27,FALSE)-VLOOKUP($A358,'01-02.2022'!$A$6:$DA$376,27,FALSE)</f>
        <v>29.599999999999998</v>
      </c>
      <c r="AB358" s="566">
        <f>VLOOKUP($A358,'01-02.2021'!$A$6:$CZ$403,28,FALSE)+VLOOKUP($A358,'1.3.21-28.2.22'!$A$6:$DA$404,28,FALSE)-VLOOKUP($A358,'01-02.2022'!$A$6:$DA$376,28,FALSE)</f>
        <v>0</v>
      </c>
      <c r="AC358" s="70">
        <f t="shared" si="390"/>
        <v>-29.599999999999998</v>
      </c>
      <c r="AD358" s="566">
        <f>VLOOKUP($A358,'01-02.2021'!$A$6:$CZ$403,30,FALSE)+VLOOKUP($A358,'1.3.21-28.2.22'!$A$6:$DA$404,30,FALSE)-VLOOKUP($A358,'01-02.2022'!$A$6:$DA$376,30,FALSE)</f>
        <v>236.91245671078113</v>
      </c>
      <c r="AE358" s="566">
        <f>VLOOKUP($A358,'01-02.2021'!$A$6:$CZ$403,31,FALSE)+VLOOKUP($A358,'1.3.21-28.2.22'!$A$6:$DA$404,31,FALSE)-VLOOKUP($A358,'01-02.2022'!$A$6:$DA$376,31,FALSE)</f>
        <v>694.6413485974042</v>
      </c>
      <c r="AF358" s="68">
        <f t="shared" si="391"/>
        <v>457.72889188662305</v>
      </c>
      <c r="AG358" s="77">
        <f t="shared" si="354"/>
        <v>266.51245671078112</v>
      </c>
      <c r="AH358" s="53">
        <f t="shared" si="354"/>
        <v>694.6413485974042</v>
      </c>
      <c r="AI358" s="52">
        <f t="shared" si="359"/>
        <v>428.12889188662308</v>
      </c>
      <c r="AJ358" s="566">
        <f>VLOOKUP($A358,'01-02.2021'!$A$6:$CZ$403,36,FALSE)+VLOOKUP($A358,'1.3.21-28.2.22'!$A$6:$DA$404,36,FALSE)-VLOOKUP($A358,'01-02.2022'!$A$6:$DA$376,36,FALSE)</f>
        <v>0</v>
      </c>
      <c r="AK358" s="566">
        <f>VLOOKUP($A358,'01-02.2021'!$A$6:$CZ$403,37,FALSE)+VLOOKUP($A358,'1.3.21-28.2.22'!$A$6:$DA$404,37,FALSE)-VLOOKUP($A358,'01-02.2022'!$A$6:$DA$376,37,FALSE)</f>
        <v>0</v>
      </c>
      <c r="AL358" s="70">
        <f t="shared" si="392"/>
        <v>0</v>
      </c>
      <c r="AM358" s="566">
        <f>VLOOKUP($A358,'01-02.2021'!$A$6:$CZ$403,39,FALSE)+VLOOKUP($A358,'1.3.21-28.2.22'!$A$6:$DA$404,39,FALSE)-VLOOKUP($A358,'01-02.2022'!$A$6:$DA$376,39,FALSE)</f>
        <v>0</v>
      </c>
      <c r="AN358" s="566">
        <f>VLOOKUP($A358,'01-02.2021'!$A$6:$CZ$403,40,FALSE)+VLOOKUP($A358,'1.3.21-28.2.22'!$A$6:$DA$404,40,FALSE)-VLOOKUP($A358,'01-02.2022'!$A$6:$DA$376,40,FALSE)</f>
        <v>0</v>
      </c>
      <c r="AO358" s="70">
        <f t="shared" si="393"/>
        <v>0</v>
      </c>
      <c r="AP358" s="566">
        <f>VLOOKUP($A358,'01-02.2021'!$A$6:$CZ$403,42,FALSE)+VLOOKUP($A358,'1.3.21-28.2.22'!$A$6:$DA$404,42,FALSE)-VLOOKUP($A358,'01-02.2022'!$A$6:$DA$376,42,FALSE)</f>
        <v>260.27996250638864</v>
      </c>
      <c r="AQ358" s="566">
        <f>VLOOKUP($A358,'01-02.2021'!$A$6:$CZ$403,43,FALSE)+VLOOKUP($A358,'1.3.21-28.2.22'!$A$6:$DA$404,43,FALSE)-VLOOKUP($A358,'01-02.2022'!$A$6:$DA$376,43,FALSE)</f>
        <v>224.38224961495439</v>
      </c>
      <c r="AR358" s="70">
        <f t="shared" si="394"/>
        <v>-35.897712891434253</v>
      </c>
      <c r="AS358" s="566">
        <f>VLOOKUP($A358,'01-02.2021'!$A$6:$CZ$403,45,FALSE)+VLOOKUP($A358,'1.3.21-28.2.22'!$A$6:$DA$404,45,FALSE)-VLOOKUP($A358,'01-02.2022'!$A$6:$DA$376,45,FALSE)</f>
        <v>1722.5099826255457</v>
      </c>
      <c r="AT358" s="566">
        <f>VLOOKUP($A358,'01-02.2021'!$A$6:$CZ$403,46,FALSE)+VLOOKUP($A358,'1.3.21-28.2.22'!$A$6:$DA$404,46,FALSE)-VLOOKUP($A358,'01-02.2022'!$A$6:$DA$376,46,FALSE)</f>
        <v>356.27</v>
      </c>
      <c r="AU358" s="78">
        <f t="shared" si="395"/>
        <v>-1366.2399826255457</v>
      </c>
      <c r="AV358" s="566">
        <f>VLOOKUP($A358,'01-02.2021'!$A$6:$CZ$403,48,FALSE)+VLOOKUP($A358,'1.3.21-28.2.22'!$A$6:$DA$404,48,FALSE)-VLOOKUP($A358,'01-02.2022'!$A$6:$DA$376,48,FALSE)</f>
        <v>0</v>
      </c>
      <c r="AW358" s="566">
        <f>VLOOKUP($A358,'01-02.2021'!$A$6:$CZ$403,49,FALSE)+VLOOKUP($A358,'1.3.21-28.2.22'!$A$6:$DA$404,49,FALSE)-VLOOKUP($A358,'01-02.2022'!$A$6:$DA$376,49,FALSE)</f>
        <v>0</v>
      </c>
      <c r="AX358" s="55">
        <f t="shared" si="396"/>
        <v>0</v>
      </c>
      <c r="AY358" s="566">
        <f>VLOOKUP($A358,'01-02.2021'!$A$6:$CZ$403,51,FALSE)+VLOOKUP($A358,'1.3.21-28.2.22'!$A$6:$DA$404,51,FALSE)-VLOOKUP($A358,'01-02.2022'!$A$6:$DA$376,51,FALSE)</f>
        <v>0</v>
      </c>
      <c r="AZ358" s="566">
        <f>VLOOKUP($A358,'01-02.2021'!$A$6:$CZ$403,52,FALSE)+VLOOKUP($A358,'1.3.21-28.2.22'!$A$6:$DA$404,52,FALSE)-VLOOKUP($A358,'01-02.2022'!$A$6:$DA$376,52,FALSE)</f>
        <v>0</v>
      </c>
      <c r="BA358" s="38">
        <f t="shared" si="397"/>
        <v>0</v>
      </c>
      <c r="BB358" s="566">
        <f>VLOOKUP($A358,'01-02.2021'!$A$6:$CZ$403,54,FALSE)+VLOOKUP($A358,'1.3.21-28.2.22'!$A$6:$DA$404,54,FALSE)-VLOOKUP($A358,'01-02.2022'!$A$6:$DA$376,54,FALSE)</f>
        <v>0</v>
      </c>
      <c r="BC358" s="566">
        <f>VLOOKUP($A358,'01-02.2021'!$A$6:$CZ$403,55,FALSE)+VLOOKUP($A358,'1.3.21-28.2.22'!$A$6:$DA$404,55,FALSE)-VLOOKUP($A358,'01-02.2022'!$A$6:$DA$376,55,FALSE)</f>
        <v>0</v>
      </c>
      <c r="BD358" s="55">
        <f t="shared" si="398"/>
        <v>0</v>
      </c>
      <c r="BE358" s="566">
        <f>VLOOKUP($A358,'01-02.2021'!$A$6:$CZ$403,57,FALSE)+VLOOKUP($A358,'1.3.21-28.2.22'!$A$6:$DA$404,57,FALSE)-VLOOKUP($A358,'01-02.2022'!$A$6:$DA$376,57,FALSE)</f>
        <v>0</v>
      </c>
      <c r="BF358" s="566">
        <f>VLOOKUP($A358,'01-02.2021'!$A$6:$CZ$403,58,FALSE)+VLOOKUP($A358,'1.3.21-28.2.22'!$A$6:$DA$404,58,FALSE)-VLOOKUP($A358,'01-02.2022'!$A$6:$DA$376,58,FALSE)</f>
        <v>0</v>
      </c>
      <c r="BG358" s="55">
        <f t="shared" si="399"/>
        <v>0</v>
      </c>
      <c r="BH358" s="566">
        <f>VLOOKUP($A358,'01-02.2021'!$A$6:$CZ$403,60,FALSE)+VLOOKUP($A358,'1.3.21-28.2.22'!$A$6:$DA$404,60,FALSE)-VLOOKUP($A358,'01-02.2022'!$A$6:$DA$376,60,FALSE)</f>
        <v>0</v>
      </c>
      <c r="BI358" s="566">
        <f>VLOOKUP($A358,'01-02.2021'!$A$6:$CZ$403,61,FALSE)+VLOOKUP($A358,'1.3.21-28.2.22'!$A$6:$DA$404,61,FALSE)-VLOOKUP($A358,'01-02.2022'!$A$6:$DA$376,61,FALSE)</f>
        <v>0</v>
      </c>
      <c r="BJ358" s="55">
        <f t="shared" si="400"/>
        <v>0</v>
      </c>
      <c r="BK358" s="566">
        <f>VLOOKUP($A358,'01-02.2021'!$A$6:$CZ$403,63,FALSE)+VLOOKUP($A358,'1.3.21-28.2.22'!$A$6:$DA$404,63,FALSE)-VLOOKUP($A358,'01-02.2022'!$A$6:$DA$376,63,FALSE)</f>
        <v>0</v>
      </c>
      <c r="BL358" s="566">
        <f>VLOOKUP($A358,'01-02.2021'!$A$6:$CZ$403,64,FALSE)+VLOOKUP($A358,'1.3.21-28.2.22'!$A$6:$DA$404,64,FALSE)-VLOOKUP($A358,'01-02.2022'!$A$6:$DA$376,64,FALSE)</f>
        <v>0</v>
      </c>
      <c r="BM358" s="55">
        <f t="shared" si="401"/>
        <v>0</v>
      </c>
      <c r="BN358" s="566">
        <f>VLOOKUP($A358,'01-02.2021'!$A$6:$CZ$403,66,FALSE)+VLOOKUP($A358,'1.3.21-28.2.22'!$A$6:$DA$404,66,FALSE)-VLOOKUP($A358,'01-02.2022'!$A$6:$DA$376,66,FALSE)</f>
        <v>7.3999999999999995</v>
      </c>
      <c r="BO358" s="566">
        <f>VLOOKUP($A358,'01-02.2021'!$A$6:$CZ$403,67,FALSE)+VLOOKUP($A358,'1.3.21-28.2.22'!$A$6:$DA$404,67,FALSE)-VLOOKUP($A358,'01-02.2022'!$A$6:$DA$376,67,FALSE)</f>
        <v>0</v>
      </c>
      <c r="BP358" s="55">
        <f t="shared" si="402"/>
        <v>-7.3999999999999995</v>
      </c>
      <c r="BQ358" s="77">
        <f t="shared" si="409"/>
        <v>7.3999999999999995</v>
      </c>
      <c r="BR358" s="40">
        <f t="shared" si="410"/>
        <v>0</v>
      </c>
      <c r="BS358" s="55">
        <f t="shared" si="369"/>
        <v>-7.3999999999999995</v>
      </c>
      <c r="BT358" s="566">
        <f>VLOOKUP($A358,'01-02.2021'!$A$6:$CZ$403,72,FALSE)+VLOOKUP($A358,'1.3.21-28.2.22'!$A$6:$DA$404,72,FALSE)-VLOOKUP($A358,'01-02.2022'!$A$6:$DA$376,72,FALSE)</f>
        <v>0</v>
      </c>
      <c r="BU358" s="566">
        <f>VLOOKUP($A358,'01-02.2021'!$A$6:$CZ$403,73,FALSE)+VLOOKUP($A358,'1.3.21-28.2.22'!$A$6:$DA$404,73,FALSE)-VLOOKUP($A358,'01-02.2022'!$A$6:$DA$376,73,FALSE)</f>
        <v>0</v>
      </c>
      <c r="BV358" s="70">
        <f t="shared" si="403"/>
        <v>0</v>
      </c>
      <c r="BW358" s="566">
        <f>VLOOKUP($A358,'01-02.2021'!$A$6:$CZ$403,75,FALSE)+VLOOKUP($A358,'1.3.21-28.2.22'!$A$6:$DA$404,75,FALSE)-VLOOKUP($A358,'01-02.2022'!$A$6:$DA$376,75,FALSE)</f>
        <v>0</v>
      </c>
      <c r="BX358" s="566">
        <f>VLOOKUP($A358,'01-02.2021'!$A$6:$CZ$403,76,FALSE)+VLOOKUP($A358,'1.3.21-28.2.22'!$A$6:$DA$404,76,FALSE)-VLOOKUP($A358,'01-02.2022'!$A$6:$DA$376,76,FALSE)</f>
        <v>3.4200087246463182</v>
      </c>
      <c r="BY358" s="70">
        <f t="shared" si="404"/>
        <v>3.4200087246463182</v>
      </c>
      <c r="BZ358" s="566">
        <f>VLOOKUP($A358,'01-02.2021'!$A$6:$CZ$403,78,FALSE)+VLOOKUP($A358,'1.3.21-28.2.22'!$A$6:$DA$404,78,FALSE)-VLOOKUP($A358,'01-02.2022'!$A$6:$DA$376,78,FALSE)</f>
        <v>0</v>
      </c>
      <c r="CA358" s="566">
        <f>VLOOKUP($A358,'01-02.2021'!$A$6:$CZ$403,79,FALSE)+VLOOKUP($A358,'1.3.21-28.2.22'!$A$6:$DA$404,79,FALSE)-VLOOKUP($A358,'01-02.2022'!$A$6:$DA$376,79,FALSE)</f>
        <v>0</v>
      </c>
      <c r="CB358" s="70">
        <f t="shared" si="405"/>
        <v>0</v>
      </c>
      <c r="CC358" s="566">
        <f>VLOOKUP($A358,'01-02.2021'!$A$6:$CZ$403,81,FALSE)+VLOOKUP($A358,'1.3.21-28.2.22'!$A$6:$DA$404,81,FALSE)-VLOOKUP($A358,'01-02.2022'!$A$6:$DA$376,81,FALSE)</f>
        <v>0</v>
      </c>
      <c r="CD358" s="566">
        <f>VLOOKUP($A358,'01-02.2021'!$A$6:$CZ$403,82,FALSE)+VLOOKUP($A358,'1.3.21-28.2.22'!$A$6:$DA$404,82,FALSE)-VLOOKUP($A358,'01-02.2022'!$A$6:$DA$376,82,FALSE)</f>
        <v>0</v>
      </c>
      <c r="CE358" s="70">
        <f t="shared" si="406"/>
        <v>0</v>
      </c>
      <c r="CF358" s="566">
        <f>VLOOKUP($A358,'01-02.2021'!$A$6:$CZ$403,84,FALSE)+VLOOKUP($A358,'1.3.21-28.2.22'!$A$6:$DA$404,84,FALSE)-VLOOKUP($A358,'01-02.2022'!$A$6:$DA$376,84,FALSE)</f>
        <v>0</v>
      </c>
      <c r="CG358" s="566">
        <f>VLOOKUP($A358,'01-02.2021'!$A$6:$CZ$403,85,FALSE)+VLOOKUP($A358,'1.3.21-28.2.22'!$A$6:$DA$404,85,FALSE)-VLOOKUP($A358,'01-02.2022'!$A$6:$DA$376,85,FALSE)</f>
        <v>0</v>
      </c>
      <c r="CH358" s="70">
        <f t="shared" si="407"/>
        <v>0</v>
      </c>
      <c r="CI358" s="566">
        <f>VLOOKUP($A358,'01-02.2021'!$A$6:$CZ$403,87,FALSE)+VLOOKUP($A358,'1.3.21-28.2.22'!$A$6:$DA$404,87,FALSE)-VLOOKUP($A358,'01-02.2022'!$A$6:$DA$376,87,FALSE)</f>
        <v>0</v>
      </c>
      <c r="CJ358" s="566">
        <f>VLOOKUP($A358,'01-02.2021'!$A$6:$CZ$403,88,FALSE)+VLOOKUP($A358,'1.3.21-28.2.22'!$A$6:$DA$404,88,FALSE)-VLOOKUP($A358,'01-02.2022'!$A$6:$DA$376,88,FALSE)</f>
        <v>0</v>
      </c>
      <c r="CK358" s="70">
        <f t="shared" si="408"/>
        <v>0</v>
      </c>
      <c r="CL358" s="566">
        <f>VLOOKUP($A358,'01-02.2021'!$A$6:$CZ$403,90,FALSE)+VLOOKUP($A358,'1.3.21-28.2.22'!$A$6:$DA$404,90,FALSE)-VLOOKUP($A358,'01-02.2022'!$A$6:$DA$376,90,FALSE)</f>
        <v>0</v>
      </c>
      <c r="CM358" s="566">
        <f>VLOOKUP($A358,'01-02.2021'!$A$6:$CZ$403,91,FALSE)+VLOOKUP($A358,'1.3.21-28.2.22'!$A$6:$DA$404,91,FALSE)-VLOOKUP($A358,'01-02.2022'!$A$6:$DA$376,91,FALSE)</f>
        <v>0</v>
      </c>
      <c r="CN358" s="52">
        <f t="shared" si="360"/>
        <v>0</v>
      </c>
      <c r="CO358" s="39">
        <f t="shared" si="355"/>
        <v>0</v>
      </c>
      <c r="CP358" s="40">
        <f t="shared" si="361"/>
        <v>0</v>
      </c>
      <c r="CQ358" s="52">
        <f t="shared" si="362"/>
        <v>0</v>
      </c>
      <c r="CR358" s="72">
        <f t="shared" si="356"/>
        <v>2256.7024018427155</v>
      </c>
      <c r="CS358" s="5">
        <f t="shared" si="356"/>
        <v>1278.7136069370049</v>
      </c>
      <c r="CT358" s="52">
        <f t="shared" si="363"/>
        <v>-977.98879490571062</v>
      </c>
      <c r="CU358" s="77">
        <f t="shared" si="364"/>
        <v>2708.0428822112585</v>
      </c>
      <c r="CV358" s="65">
        <f t="shared" si="365"/>
        <v>1534.4563283244058</v>
      </c>
      <c r="CW358" s="35">
        <f t="shared" si="366"/>
        <v>-1173.5865538868527</v>
      </c>
      <c r="CX358" s="566">
        <f>VLOOKUP($A358,'01-02.2021'!$A$6:$CZ$403,102,FALSE)+VLOOKUP($A358,'1.3.21-28.2.22'!$A$6:$DA$404,102,FALSE)-VLOOKUP($A358,'01-02.2022'!$A$6:$DA$376,102,FALSE)</f>
        <v>93.852462838728513</v>
      </c>
      <c r="CY358" s="566">
        <f>VLOOKUP($A358,'01-02.2021'!$A$6:$CZ$403,103,FALSE)+VLOOKUP($A358,'1.3.21-28.2.22'!$A$6:$DA$404,103,FALSE)-VLOOKUP($A358,'01-02.2022'!$A$6:$DA$376,103,FALSE)</f>
        <v>1267.439016725581</v>
      </c>
      <c r="CZ358" s="52">
        <f t="shared" si="367"/>
        <v>1173.5865538868525</v>
      </c>
      <c r="DA358" s="150">
        <f>'[2]побудинковий звіт'!DA358</f>
        <v>-3884.5141914928699</v>
      </c>
      <c r="DB358" s="2">
        <v>2</v>
      </c>
      <c r="DC358" s="414">
        <f>'[4]побудинковий звіт'!DC358</f>
        <v>241.89</v>
      </c>
      <c r="DD358" s="414">
        <f>'[4]побудинковий звіт'!DD358</f>
        <v>0</v>
      </c>
      <c r="DE358" s="557">
        <f>'[4]побудинковий звіт'!DE358</f>
        <v>-15.808538806030413</v>
      </c>
      <c r="DF358" s="557">
        <f>'[4]побудинковий звіт'!DF358</f>
        <v>0</v>
      </c>
      <c r="DG358" s="321">
        <f>VLOOKUP(A358,'кошти 01.03.2021'!$A$6:$D$401,4,)</f>
        <v>-2531.8790761818664</v>
      </c>
      <c r="DH358" s="40">
        <f>'[3]побудинковий звіт'!DJ358</f>
        <v>2916.6424752316234</v>
      </c>
      <c r="DI358" s="422">
        <f>'[3]побудинковий звіт'!CU358+'[3]побудинковий звіт'!CX358</f>
        <v>257.6985388060304</v>
      </c>
      <c r="DJ358" s="306">
        <f>'[3]побудинковий звіт'!DM358</f>
        <v>1.6887191271692688</v>
      </c>
      <c r="DK358" s="306">
        <f t="shared" si="377"/>
        <v>1.6887191271692688</v>
      </c>
      <c r="DL358" s="306">
        <f>'[3]побудинковий звіт'!DO358</f>
        <v>1.6887191271692688</v>
      </c>
      <c r="DM358" s="28">
        <f t="shared" si="379"/>
        <v>257.6985388060304</v>
      </c>
      <c r="DN358" s="28">
        <f t="shared" si="380"/>
        <v>0</v>
      </c>
      <c r="DO358" s="423">
        <f t="shared" si="381"/>
        <v>257.6985388060304</v>
      </c>
      <c r="DP358" s="94">
        <f t="shared" si="382"/>
        <v>0</v>
      </c>
      <c r="DQ358" s="28">
        <f t="shared" si="383"/>
        <v>257.6985388060304</v>
      </c>
      <c r="DR358" s="318"/>
      <c r="DT358" s="8"/>
      <c r="DU358" s="5"/>
      <c r="DX358" s="5">
        <f t="shared" si="384"/>
        <v>2075.8919791506551</v>
      </c>
      <c r="DY358" s="5">
        <f t="shared" si="385"/>
        <v>427.52399999999994</v>
      </c>
      <c r="DZ358" s="159">
        <f>'[3]побудинковий звіт'!EA358</f>
        <v>223.00267930443968</v>
      </c>
    </row>
    <row r="359" spans="1:130" x14ac:dyDescent="0.3">
      <c r="A359" s="325">
        <v>150000886</v>
      </c>
      <c r="B359" s="41" t="s">
        <v>805</v>
      </c>
      <c r="C359" s="42" t="s">
        <v>397</v>
      </c>
      <c r="D359" s="42"/>
      <c r="E359" s="293">
        <f t="shared" si="353"/>
        <v>2133.27</v>
      </c>
      <c r="F359" s="305">
        <f>'[3]побудинковий звіт'!F359</f>
        <v>2133.27</v>
      </c>
      <c r="G359" s="508">
        <f>'[3]побудинковий звіт'!G359</f>
        <v>0</v>
      </c>
      <c r="H359" s="560">
        <f>'[3]побудинковий звіт'!H359</f>
        <v>0</v>
      </c>
      <c r="I359" s="566">
        <f>VLOOKUP($A359,'01-02.2021'!$A$6:$CZ$403,9,FALSE)+VLOOKUP($A359,'1.3.21-28.2.22'!$A$6:$DA$404,9,FALSE)-VLOOKUP($A359,'01-02.2022'!$A$6:$DA$376,9,FALSE)</f>
        <v>6499.3926967129655</v>
      </c>
      <c r="J359" s="566">
        <f>VLOOKUP($A359,'01-02.2021'!$A$6:$CZ$403,10,FALSE)+VLOOKUP($A359,'1.3.21-28.2.22'!$A$6:$DA$404,10,FALSE)-VLOOKUP($A359,'01-02.2022'!$A$6:$DA$376,10,FALSE)</f>
        <v>7184.5623555657821</v>
      </c>
      <c r="K359" s="52">
        <f t="shared" si="357"/>
        <v>685.16965885281661</v>
      </c>
      <c r="L359" s="566">
        <f>VLOOKUP($A359,'01-02.2021'!$A$6:$CZ$403,12,FALSE)+VLOOKUP($A359,'1.3.21-28.2.22'!$A$6:$DA$404,12,FALSE)-VLOOKUP($A359,'01-02.2022'!$A$6:$DA$376,12,FALSE)</f>
        <v>966.72009594677036</v>
      </c>
      <c r="M359" s="566">
        <f>VLOOKUP($A359,'01-02.2021'!$A$6:$CZ$403,13,FALSE)+VLOOKUP($A359,'1.3.21-28.2.22'!$A$6:$DA$404,13,FALSE)-VLOOKUP($A359,'01-02.2022'!$A$6:$DA$376,13,FALSE)</f>
        <v>1064.3891873030634</v>
      </c>
      <c r="N359" s="52">
        <f t="shared" si="358"/>
        <v>97.669091356293052</v>
      </c>
      <c r="O359" s="566">
        <f>VLOOKUP($A359,'01-02.2021'!$A$6:$CZ$403,15,FALSE)+VLOOKUP($A359,'1.3.21-28.2.22'!$A$6:$DA$404,15,FALSE)-VLOOKUP($A359,'01-02.2022'!$A$6:$DA$376,15,FALSE)</f>
        <v>2645.9498976624582</v>
      </c>
      <c r="P359" s="566">
        <f>VLOOKUP($A359,'01-02.2021'!$A$6:$CZ$403,16,FALSE)+VLOOKUP($A359,'1.3.21-28.2.22'!$A$6:$DA$404,16,FALSE)-VLOOKUP($A359,'01-02.2022'!$A$6:$DA$376,16,FALSE)</f>
        <v>2645.93</v>
      </c>
      <c r="Q359" s="70">
        <f t="shared" si="386"/>
        <v>-1.9897662458333798E-2</v>
      </c>
      <c r="R359" s="566">
        <f>VLOOKUP($A359,'01-02.2021'!$A$6:$CZ$403,18,FALSE)+VLOOKUP($A359,'1.3.21-28.2.22'!$A$6:$DA$404,18,FALSE)-VLOOKUP($A359,'01-02.2022'!$A$6:$DA$376,18,FALSE)</f>
        <v>669.69722067441671</v>
      </c>
      <c r="S359" s="566">
        <f>VLOOKUP($A359,'01-02.2021'!$A$6:$CZ$403,19,FALSE)+VLOOKUP($A359,'1.3.21-28.2.22'!$A$6:$DA$404,19,FALSE)-VLOOKUP($A359,'01-02.2022'!$A$6:$DA$376,19,FALSE)</f>
        <v>669.66</v>
      </c>
      <c r="T359" s="70">
        <f t="shared" si="387"/>
        <v>-3.7220674416744259E-2</v>
      </c>
      <c r="U359" s="566">
        <f>VLOOKUP($A359,'01-02.2021'!$A$6:$CZ$403,21,FALSE)+VLOOKUP($A359,'1.3.21-28.2.22'!$A$6:$DA$404,21,FALSE)-VLOOKUP($A359,'01-02.2022'!$A$6:$DA$376,21,FALSE)</f>
        <v>335.82127994245559</v>
      </c>
      <c r="V359" s="566">
        <f>VLOOKUP($A359,'01-02.2021'!$A$6:$CZ$403,22,FALSE)+VLOOKUP($A359,'1.3.21-28.2.22'!$A$6:$DA$404,22,FALSE)-VLOOKUP($A359,'01-02.2022'!$A$6:$DA$376,22,FALSE)</f>
        <v>1111.1976517046032</v>
      </c>
      <c r="W359" s="70">
        <f t="shared" si="388"/>
        <v>775.37637176214764</v>
      </c>
      <c r="X359" s="566">
        <f>VLOOKUP($A359,'01-02.2021'!$A$6:$CZ$403,24,FALSE)+VLOOKUP($A359,'1.3.21-28.2.22'!$A$6:$DA$404,24,FALSE)-VLOOKUP($A359,'01-02.2022'!$A$6:$DA$376,24,FALSE)</f>
        <v>3514.1727574891211</v>
      </c>
      <c r="Y359" s="566">
        <f>VLOOKUP($A359,'01-02.2021'!$A$6:$CZ$403,25,FALSE)+VLOOKUP($A359,'1.3.21-28.2.22'!$A$6:$DA$404,25,FALSE)-VLOOKUP($A359,'01-02.2022'!$A$6:$DA$376,25,FALSE)</f>
        <v>5353.1830621241352</v>
      </c>
      <c r="Z359" s="70">
        <f t="shared" si="389"/>
        <v>1839.0103046350141</v>
      </c>
      <c r="AA359" s="566">
        <f>VLOOKUP($A359,'01-02.2021'!$A$6:$CZ$403,27,FALSE)+VLOOKUP($A359,'1.3.21-28.2.22'!$A$6:$DA$404,27,FALSE)-VLOOKUP($A359,'01-02.2022'!$A$6:$DA$376,27,FALSE)</f>
        <v>426.654</v>
      </c>
      <c r="AB359" s="566">
        <f>VLOOKUP($A359,'01-02.2021'!$A$6:$CZ$403,28,FALSE)+VLOOKUP($A359,'1.3.21-28.2.22'!$A$6:$DA$404,28,FALSE)-VLOOKUP($A359,'01-02.2022'!$A$6:$DA$376,28,FALSE)</f>
        <v>0</v>
      </c>
      <c r="AC359" s="70">
        <f t="shared" si="390"/>
        <v>-426.654</v>
      </c>
      <c r="AD359" s="566">
        <f>VLOOKUP($A359,'01-02.2021'!$A$6:$CZ$403,30,FALSE)+VLOOKUP($A359,'1.3.21-28.2.22'!$A$6:$DA$404,30,FALSE)-VLOOKUP($A359,'01-02.2022'!$A$6:$DA$376,30,FALSE)</f>
        <v>9163.0442293572487</v>
      </c>
      <c r="AE359" s="566">
        <f>VLOOKUP($A359,'01-02.2021'!$A$6:$CZ$403,31,FALSE)+VLOOKUP($A359,'1.3.21-28.2.22'!$A$6:$DA$404,31,FALSE)-VLOOKUP($A359,'01-02.2022'!$A$6:$DA$376,31,FALSE)</f>
        <v>9710.7309942489155</v>
      </c>
      <c r="AF359" s="68">
        <f t="shared" si="391"/>
        <v>547.68676489166683</v>
      </c>
      <c r="AG359" s="77">
        <f t="shared" si="354"/>
        <v>24221.452177785439</v>
      </c>
      <c r="AH359" s="53">
        <f t="shared" si="354"/>
        <v>27739.6532509465</v>
      </c>
      <c r="AI359" s="52">
        <f t="shared" si="359"/>
        <v>3518.2010731610608</v>
      </c>
      <c r="AJ359" s="566">
        <f>VLOOKUP($A359,'01-02.2021'!$A$6:$CZ$403,36,FALSE)+VLOOKUP($A359,'1.3.21-28.2.22'!$A$6:$DA$404,36,FALSE)-VLOOKUP($A359,'01-02.2022'!$A$6:$DA$376,36,FALSE)</f>
        <v>26388.980874377139</v>
      </c>
      <c r="AK359" s="566">
        <f>VLOOKUP($A359,'01-02.2021'!$A$6:$CZ$403,37,FALSE)+VLOOKUP($A359,'1.3.21-28.2.22'!$A$6:$DA$404,37,FALSE)-VLOOKUP($A359,'01-02.2022'!$A$6:$DA$376,37,FALSE)</f>
        <v>26215.995513774727</v>
      </c>
      <c r="AL359" s="70">
        <f t="shared" si="392"/>
        <v>-172.98536060241167</v>
      </c>
      <c r="AM359" s="566">
        <f>VLOOKUP($A359,'01-02.2021'!$A$6:$CZ$403,39,FALSE)+VLOOKUP($A359,'1.3.21-28.2.22'!$A$6:$DA$404,39,FALSE)-VLOOKUP($A359,'01-02.2022'!$A$6:$DA$376,39,FALSE)</f>
        <v>0</v>
      </c>
      <c r="AN359" s="566">
        <f>VLOOKUP($A359,'01-02.2021'!$A$6:$CZ$403,40,FALSE)+VLOOKUP($A359,'1.3.21-28.2.22'!$A$6:$DA$404,40,FALSE)-VLOOKUP($A359,'01-02.2022'!$A$6:$DA$376,40,FALSE)</f>
        <v>0</v>
      </c>
      <c r="AO359" s="70">
        <f t="shared" si="393"/>
        <v>0</v>
      </c>
      <c r="AP359" s="566">
        <f>VLOOKUP($A359,'01-02.2021'!$A$6:$CZ$403,42,FALSE)+VLOOKUP($A359,'1.3.21-28.2.22'!$A$6:$DA$404,42,FALSE)-VLOOKUP($A359,'01-02.2022'!$A$6:$DA$376,42,FALSE)</f>
        <v>2082.2397000511091</v>
      </c>
      <c r="AQ359" s="566">
        <f>VLOOKUP($A359,'01-02.2021'!$A$6:$CZ$403,43,FALSE)+VLOOKUP($A359,'1.3.21-28.2.22'!$A$6:$DA$404,43,FALSE)-VLOOKUP($A359,'01-02.2022'!$A$6:$DA$376,43,FALSE)</f>
        <v>1636.4552108717389</v>
      </c>
      <c r="AR359" s="70">
        <f t="shared" si="394"/>
        <v>-445.78448917937021</v>
      </c>
      <c r="AS359" s="566">
        <f>VLOOKUP($A359,'01-02.2021'!$A$6:$CZ$403,45,FALSE)+VLOOKUP($A359,'1.3.21-28.2.22'!$A$6:$DA$404,45,FALSE)-VLOOKUP($A359,'01-02.2022'!$A$6:$DA$376,45,FALSE)</f>
        <v>25394.059466834817</v>
      </c>
      <c r="AT359" s="566">
        <f>VLOOKUP($A359,'01-02.2021'!$A$6:$CZ$403,46,FALSE)+VLOOKUP($A359,'1.3.21-28.2.22'!$A$6:$DA$404,46,FALSE)-VLOOKUP($A359,'01-02.2022'!$A$6:$DA$376,46,FALSE)</f>
        <v>14063.882582981929</v>
      </c>
      <c r="AU359" s="78">
        <f t="shared" si="395"/>
        <v>-11330.176883852888</v>
      </c>
      <c r="AV359" s="566">
        <f>VLOOKUP($A359,'01-02.2021'!$A$6:$CZ$403,48,FALSE)+VLOOKUP($A359,'1.3.21-28.2.22'!$A$6:$DA$404,48,FALSE)-VLOOKUP($A359,'01-02.2022'!$A$6:$DA$376,48,FALSE)</f>
        <v>1301.8447479891206</v>
      </c>
      <c r="AW359" s="566">
        <f>VLOOKUP($A359,'01-02.2021'!$A$6:$CZ$403,49,FALSE)+VLOOKUP($A359,'1.3.21-28.2.22'!$A$6:$DA$404,49,FALSE)-VLOOKUP($A359,'01-02.2022'!$A$6:$DA$376,49,FALSE)</f>
        <v>0</v>
      </c>
      <c r="AX359" s="55">
        <f t="shared" si="396"/>
        <v>-1301.8447479891206</v>
      </c>
      <c r="AY359" s="566">
        <f>VLOOKUP($A359,'01-02.2021'!$A$6:$CZ$403,51,FALSE)+VLOOKUP($A359,'1.3.21-28.2.22'!$A$6:$DA$404,51,FALSE)-VLOOKUP($A359,'01-02.2022'!$A$6:$DA$376,51,FALSE)</f>
        <v>1361.4661905334121</v>
      </c>
      <c r="AZ359" s="566">
        <f>VLOOKUP($A359,'01-02.2021'!$A$6:$CZ$403,52,FALSE)+VLOOKUP($A359,'1.3.21-28.2.22'!$A$6:$DA$404,52,FALSE)-VLOOKUP($A359,'01-02.2022'!$A$6:$DA$376,52,FALSE)</f>
        <v>1153</v>
      </c>
      <c r="BA359" s="38">
        <f t="shared" si="397"/>
        <v>-208.46619053341215</v>
      </c>
      <c r="BB359" s="566">
        <f>VLOOKUP($A359,'01-02.2021'!$A$6:$CZ$403,54,FALSE)+VLOOKUP($A359,'1.3.21-28.2.22'!$A$6:$DA$404,54,FALSE)-VLOOKUP($A359,'01-02.2022'!$A$6:$DA$376,54,FALSE)</f>
        <v>772.4208031066529</v>
      </c>
      <c r="BC359" s="566">
        <f>VLOOKUP($A359,'01-02.2021'!$A$6:$CZ$403,55,FALSE)+VLOOKUP($A359,'1.3.21-28.2.22'!$A$6:$DA$404,55,FALSE)-VLOOKUP($A359,'01-02.2022'!$A$6:$DA$376,55,FALSE)</f>
        <v>0</v>
      </c>
      <c r="BD359" s="55">
        <f t="shared" si="398"/>
        <v>-772.4208031066529</v>
      </c>
      <c r="BE359" s="566">
        <f>VLOOKUP($A359,'01-02.2021'!$A$6:$CZ$403,57,FALSE)+VLOOKUP($A359,'1.3.21-28.2.22'!$A$6:$DA$404,57,FALSE)-VLOOKUP($A359,'01-02.2022'!$A$6:$DA$376,57,FALSE)</f>
        <v>1445.9666652551932</v>
      </c>
      <c r="BF359" s="566">
        <f>VLOOKUP($A359,'01-02.2021'!$A$6:$CZ$403,58,FALSE)+VLOOKUP($A359,'1.3.21-28.2.22'!$A$6:$DA$404,58,FALSE)-VLOOKUP($A359,'01-02.2022'!$A$6:$DA$376,58,FALSE)</f>
        <v>0</v>
      </c>
      <c r="BG359" s="55">
        <f t="shared" si="399"/>
        <v>-1445.9666652551932</v>
      </c>
      <c r="BH359" s="566">
        <f>VLOOKUP($A359,'01-02.2021'!$A$6:$CZ$403,60,FALSE)+VLOOKUP($A359,'1.3.21-28.2.22'!$A$6:$DA$404,60,FALSE)-VLOOKUP($A359,'01-02.2022'!$A$6:$DA$376,60,FALSE)</f>
        <v>614.80544055602377</v>
      </c>
      <c r="BI359" s="566">
        <f>VLOOKUP($A359,'01-02.2021'!$A$6:$CZ$403,61,FALSE)+VLOOKUP($A359,'1.3.21-28.2.22'!$A$6:$DA$404,61,FALSE)-VLOOKUP($A359,'01-02.2022'!$A$6:$DA$376,61,FALSE)</f>
        <v>0</v>
      </c>
      <c r="BJ359" s="55">
        <f t="shared" si="400"/>
        <v>-614.80544055602377</v>
      </c>
      <c r="BK359" s="566">
        <f>VLOOKUP($A359,'01-02.2021'!$A$6:$CZ$403,63,FALSE)+VLOOKUP($A359,'1.3.21-28.2.22'!$A$6:$DA$404,63,FALSE)-VLOOKUP($A359,'01-02.2022'!$A$6:$DA$376,63,FALSE)</f>
        <v>662.82723993551519</v>
      </c>
      <c r="BL359" s="566">
        <f>VLOOKUP($A359,'01-02.2021'!$A$6:$CZ$403,64,FALSE)+VLOOKUP($A359,'1.3.21-28.2.22'!$A$6:$DA$404,64,FALSE)-VLOOKUP($A359,'01-02.2022'!$A$6:$DA$376,64,FALSE)</f>
        <v>0</v>
      </c>
      <c r="BM359" s="55">
        <f t="shared" si="401"/>
        <v>-662.82723993551519</v>
      </c>
      <c r="BN359" s="566">
        <f>VLOOKUP($A359,'01-02.2021'!$A$6:$CZ$403,66,FALSE)+VLOOKUP($A359,'1.3.21-28.2.22'!$A$6:$DA$404,66,FALSE)-VLOOKUP($A359,'01-02.2022'!$A$6:$DA$376,66,FALSE)</f>
        <v>106.6635</v>
      </c>
      <c r="BO359" s="566">
        <f>VLOOKUP($A359,'01-02.2021'!$A$6:$CZ$403,67,FALSE)+VLOOKUP($A359,'1.3.21-28.2.22'!$A$6:$DA$404,67,FALSE)-VLOOKUP($A359,'01-02.2022'!$A$6:$DA$376,67,FALSE)</f>
        <v>0</v>
      </c>
      <c r="BP359" s="55">
        <f t="shared" si="402"/>
        <v>-106.6635</v>
      </c>
      <c r="BQ359" s="77">
        <f t="shared" si="409"/>
        <v>6265.9945873759179</v>
      </c>
      <c r="BR359" s="40">
        <f t="shared" si="410"/>
        <v>1153</v>
      </c>
      <c r="BS359" s="55">
        <f t="shared" si="369"/>
        <v>-5112.9945873759179</v>
      </c>
      <c r="BT359" s="566">
        <f>VLOOKUP($A359,'01-02.2021'!$A$6:$CZ$403,72,FALSE)+VLOOKUP($A359,'1.3.21-28.2.22'!$A$6:$DA$404,72,FALSE)-VLOOKUP($A359,'01-02.2022'!$A$6:$DA$376,72,FALSE)</f>
        <v>34795.393185291032</v>
      </c>
      <c r="BU359" s="566">
        <f>VLOOKUP($A359,'01-02.2021'!$A$6:$CZ$403,73,FALSE)+VLOOKUP($A359,'1.3.21-28.2.22'!$A$6:$DA$404,73,FALSE)-VLOOKUP($A359,'01-02.2022'!$A$6:$DA$376,73,FALSE)</f>
        <v>33880.069208111403</v>
      </c>
      <c r="BV359" s="70">
        <f t="shared" si="403"/>
        <v>-915.32397717962886</v>
      </c>
      <c r="BW359" s="566">
        <f>VLOOKUP($A359,'01-02.2021'!$A$6:$CZ$403,75,FALSE)+VLOOKUP($A359,'1.3.21-28.2.22'!$A$6:$DA$404,75,FALSE)-VLOOKUP($A359,'01-02.2022'!$A$6:$DA$376,75,FALSE)</f>
        <v>16458.287210285969</v>
      </c>
      <c r="BX359" s="566">
        <f>VLOOKUP($A359,'01-02.2021'!$A$6:$CZ$403,76,FALSE)+VLOOKUP($A359,'1.3.21-28.2.22'!$A$6:$DA$404,76,FALSE)-VLOOKUP($A359,'01-02.2022'!$A$6:$DA$376,76,FALSE)</f>
        <v>15904.623373387802</v>
      </c>
      <c r="BY359" s="70">
        <f t="shared" si="404"/>
        <v>-553.66383689816757</v>
      </c>
      <c r="BZ359" s="566">
        <f>VLOOKUP($A359,'01-02.2021'!$A$6:$CZ$403,78,FALSE)+VLOOKUP($A359,'1.3.21-28.2.22'!$A$6:$DA$404,78,FALSE)-VLOOKUP($A359,'01-02.2022'!$A$6:$DA$376,78,FALSE)</f>
        <v>5086.1317657765403</v>
      </c>
      <c r="CA359" s="566">
        <f>VLOOKUP($A359,'01-02.2021'!$A$6:$CZ$403,79,FALSE)+VLOOKUP($A359,'1.3.21-28.2.22'!$A$6:$DA$404,79,FALSE)-VLOOKUP($A359,'01-02.2022'!$A$6:$DA$376,79,FALSE)</f>
        <v>7058.2839268335974</v>
      </c>
      <c r="CB359" s="70">
        <f t="shared" si="405"/>
        <v>1972.1521610570571</v>
      </c>
      <c r="CC359" s="566">
        <f>VLOOKUP($A359,'01-02.2021'!$A$6:$CZ$403,81,FALSE)+VLOOKUP($A359,'1.3.21-28.2.22'!$A$6:$DA$404,81,FALSE)-VLOOKUP($A359,'01-02.2022'!$A$6:$DA$376,81,FALSE)</f>
        <v>149.00548449963071</v>
      </c>
      <c r="CD359" s="566">
        <f>VLOOKUP($A359,'01-02.2021'!$A$6:$CZ$403,82,FALSE)+VLOOKUP($A359,'1.3.21-28.2.22'!$A$6:$DA$404,82,FALSE)-VLOOKUP($A359,'01-02.2022'!$A$6:$DA$376,82,FALSE)</f>
        <v>145.95539570266681</v>
      </c>
      <c r="CE359" s="70">
        <f t="shared" si="406"/>
        <v>-3.0500887969639052</v>
      </c>
      <c r="CF359" s="566">
        <f>VLOOKUP($A359,'01-02.2021'!$A$6:$CZ$403,84,FALSE)+VLOOKUP($A359,'1.3.21-28.2.22'!$A$6:$DA$404,84,FALSE)-VLOOKUP($A359,'01-02.2022'!$A$6:$DA$376,84,FALSE)</f>
        <v>16.234216115603211</v>
      </c>
      <c r="CG359" s="566">
        <f>VLOOKUP($A359,'01-02.2021'!$A$6:$CZ$403,85,FALSE)+VLOOKUP($A359,'1.3.21-28.2.22'!$A$6:$DA$404,85,FALSE)-VLOOKUP($A359,'01-02.2022'!$A$6:$DA$376,85,FALSE)</f>
        <v>0</v>
      </c>
      <c r="CH359" s="70">
        <f t="shared" si="407"/>
        <v>-16.234216115603211</v>
      </c>
      <c r="CI359" s="566">
        <f>VLOOKUP($A359,'01-02.2021'!$A$6:$CZ$403,87,FALSE)+VLOOKUP($A359,'1.3.21-28.2.22'!$A$6:$DA$404,87,FALSE)-VLOOKUP($A359,'01-02.2022'!$A$6:$DA$376,87,FALSE)</f>
        <v>10159.445183861297</v>
      </c>
      <c r="CJ359" s="566">
        <f>VLOOKUP($A359,'01-02.2021'!$A$6:$CZ$403,88,FALSE)+VLOOKUP($A359,'1.3.21-28.2.22'!$A$6:$DA$404,88,FALSE)-VLOOKUP($A359,'01-02.2022'!$A$6:$DA$376,88,FALSE)</f>
        <v>6284.1311689686991</v>
      </c>
      <c r="CK359" s="70">
        <f t="shared" si="408"/>
        <v>-3875.3140148925977</v>
      </c>
      <c r="CL359" s="566">
        <f>VLOOKUP($A359,'01-02.2021'!$A$6:$CZ$403,90,FALSE)+VLOOKUP($A359,'1.3.21-28.2.22'!$A$6:$DA$404,90,FALSE)-VLOOKUP($A359,'01-02.2022'!$A$6:$DA$376,90,FALSE)</f>
        <v>3244.1824734563797</v>
      </c>
      <c r="CM359" s="566">
        <f>VLOOKUP($A359,'01-02.2021'!$A$6:$CZ$403,91,FALSE)+VLOOKUP($A359,'1.3.21-28.2.22'!$A$6:$DA$404,91,FALSE)-VLOOKUP($A359,'01-02.2022'!$A$6:$DA$376,91,FALSE)</f>
        <v>4007.4825833390123</v>
      </c>
      <c r="CN359" s="52">
        <f t="shared" si="360"/>
        <v>763.30010988263257</v>
      </c>
      <c r="CO359" s="39">
        <f t="shared" si="355"/>
        <v>13403.627657317676</v>
      </c>
      <c r="CP359" s="40">
        <f t="shared" si="361"/>
        <v>10291.613752307712</v>
      </c>
      <c r="CQ359" s="52">
        <f t="shared" si="362"/>
        <v>-3112.0139050099642</v>
      </c>
      <c r="CR359" s="72">
        <f t="shared" si="356"/>
        <v>154261.40632571088</v>
      </c>
      <c r="CS359" s="5">
        <f t="shared" si="356"/>
        <v>138089.53221491809</v>
      </c>
      <c r="CT359" s="52">
        <f t="shared" si="363"/>
        <v>-16171.874110792793</v>
      </c>
      <c r="CU359" s="77">
        <f t="shared" si="364"/>
        <v>185113.68759085305</v>
      </c>
      <c r="CV359" s="65">
        <f t="shared" si="365"/>
        <v>165707.43865790169</v>
      </c>
      <c r="CW359" s="35">
        <f t="shared" si="366"/>
        <v>-19406.248932951363</v>
      </c>
      <c r="CX359" s="566">
        <f>VLOOKUP($A359,'01-02.2021'!$A$6:$CZ$403,102,FALSE)+VLOOKUP($A359,'1.3.21-28.2.22'!$A$6:$DA$404,102,FALSE)-VLOOKUP($A359,'01-02.2022'!$A$6:$DA$376,102,FALSE)</f>
        <v>5298.3781205204577</v>
      </c>
      <c r="CY359" s="566">
        <f>VLOOKUP($A359,'01-02.2021'!$A$6:$CZ$403,103,FALSE)+VLOOKUP($A359,'1.3.21-28.2.22'!$A$6:$DA$404,103,FALSE)-VLOOKUP($A359,'01-02.2022'!$A$6:$DA$376,103,FALSE)</f>
        <v>24704.627053471791</v>
      </c>
      <c r="CZ359" s="52">
        <f t="shared" si="367"/>
        <v>19406.248932951334</v>
      </c>
      <c r="DA359" s="150">
        <f>'[2]побудинковий звіт'!DA359</f>
        <v>90537.27148318346</v>
      </c>
      <c r="DB359" s="2">
        <v>2</v>
      </c>
      <c r="DC359" s="414">
        <f>'[4]побудинковий звіт'!DC359</f>
        <v>68253.42</v>
      </c>
      <c r="DD359" s="414">
        <f>'[4]побудинковий звіт'!DD359</f>
        <v>0</v>
      </c>
      <c r="DE359" s="557">
        <f>'[4]побудинковий звіт'!DE359</f>
        <v>51141.263906328</v>
      </c>
      <c r="DF359" s="557">
        <f>'[4]побудинковий звіт'!DF359</f>
        <v>0</v>
      </c>
      <c r="DG359" s="321">
        <f>VLOOKUP(A359,'кошти 01.03.2021'!$A$6:$D$401,4,)</f>
        <v>117975.85539581731</v>
      </c>
      <c r="DH359" s="40">
        <f>'[3]побудинковий звіт'!DJ359</f>
        <v>196283.13639796863</v>
      </c>
      <c r="DI359" s="422">
        <f>'[3]побудинковий звіт'!CU359+'[3]побудинковий звіт'!CX359</f>
        <v>17112.156093671998</v>
      </c>
      <c r="DJ359" s="306">
        <f>'[3]побудинковий звіт'!DM359</f>
        <v>6.5566543950479614</v>
      </c>
      <c r="DK359" s="306">
        <f>'[3]побудинковий звіт'!DN359</f>
        <v>8.0215613090101101</v>
      </c>
      <c r="DL359" s="306">
        <f>'[3]побудинковий звіт'!DO359</f>
        <v>5.6380448354316508</v>
      </c>
      <c r="DM359" s="28">
        <f t="shared" ref="DM359:DM360" si="411">DJ359*G359+(F359-G359)*DK359</f>
        <v>17112.156093671998</v>
      </c>
      <c r="DN359" s="28">
        <f>DL359*H359</f>
        <v>0</v>
      </c>
      <c r="DO359" s="423">
        <f t="shared" si="381"/>
        <v>17112.156093671998</v>
      </c>
      <c r="DP359" s="94">
        <f t="shared" si="382"/>
        <v>0</v>
      </c>
      <c r="DQ359" s="28">
        <f t="shared" si="383"/>
        <v>17112.156093671998</v>
      </c>
      <c r="DR359" s="318"/>
      <c r="DT359" s="8"/>
      <c r="DU359" s="5"/>
      <c r="DX359" s="5">
        <f t="shared" si="384"/>
        <v>37992.064865052882</v>
      </c>
      <c r="DY359" s="5">
        <f t="shared" si="385"/>
        <v>18260.259099578314</v>
      </c>
      <c r="DZ359" s="159">
        <f>'[3]побудинковий звіт'!EA359</f>
        <v>3393.8779802331305</v>
      </c>
    </row>
    <row r="360" spans="1:130" x14ac:dyDescent="0.3">
      <c r="A360" s="325">
        <v>150000887</v>
      </c>
      <c r="B360" s="41" t="s">
        <v>806</v>
      </c>
      <c r="C360" s="42" t="s">
        <v>398</v>
      </c>
      <c r="D360" s="42"/>
      <c r="E360" s="293">
        <f t="shared" si="353"/>
        <v>6420.63</v>
      </c>
      <c r="F360" s="305">
        <f>'[3]побудинковий звіт'!F360</f>
        <v>6420.63</v>
      </c>
      <c r="G360" s="508">
        <f>'[3]побудинковий звіт'!G360</f>
        <v>653.79999999999995</v>
      </c>
      <c r="H360" s="560">
        <f>'[3]побудинковий звіт'!H360</f>
        <v>0</v>
      </c>
      <c r="I360" s="566">
        <f>VLOOKUP($A360,'01-02.2021'!$A$6:$CZ$403,9,FALSE)+VLOOKUP($A360,'1.3.21-28.2.22'!$A$6:$DA$404,9,FALSE)-VLOOKUP($A360,'01-02.2022'!$A$6:$DA$376,9,FALSE)</f>
        <v>22158.613673341923</v>
      </c>
      <c r="J360" s="566">
        <f>VLOOKUP($A360,'01-02.2021'!$A$6:$CZ$403,10,FALSE)+VLOOKUP($A360,'1.3.21-28.2.22'!$A$6:$DA$404,10,FALSE)-VLOOKUP($A360,'01-02.2022'!$A$6:$DA$376,10,FALSE)</f>
        <v>24416.512923978837</v>
      </c>
      <c r="K360" s="52">
        <f t="shared" si="357"/>
        <v>2257.8992506369141</v>
      </c>
      <c r="L360" s="566">
        <f>VLOOKUP($A360,'01-02.2021'!$A$6:$CZ$403,12,FALSE)+VLOOKUP($A360,'1.3.21-28.2.22'!$A$6:$DA$404,12,FALSE)-VLOOKUP($A360,'01-02.2022'!$A$6:$DA$376,12,FALSE)</f>
        <v>3497.9481470984574</v>
      </c>
      <c r="M360" s="566">
        <f>VLOOKUP($A360,'01-02.2021'!$A$6:$CZ$403,13,FALSE)+VLOOKUP($A360,'1.3.21-28.2.22'!$A$6:$DA$404,13,FALSE)-VLOOKUP($A360,'01-02.2022'!$A$6:$DA$376,13,FALSE)</f>
        <v>3851.3218070460248</v>
      </c>
      <c r="N360" s="52">
        <f t="shared" si="358"/>
        <v>353.37365994756738</v>
      </c>
      <c r="O360" s="566">
        <f>VLOOKUP($A360,'01-02.2021'!$A$6:$CZ$403,15,FALSE)+VLOOKUP($A360,'1.3.21-28.2.22'!$A$6:$DA$404,15,FALSE)-VLOOKUP($A360,'01-02.2022'!$A$6:$DA$376,15,FALSE)</f>
        <v>8756.0981879203009</v>
      </c>
      <c r="P360" s="566">
        <f>VLOOKUP($A360,'01-02.2021'!$A$6:$CZ$403,16,FALSE)+VLOOKUP($A360,'1.3.21-28.2.22'!$A$6:$DA$404,16,FALSE)-VLOOKUP($A360,'01-02.2022'!$A$6:$DA$376,16,FALSE)</f>
        <v>8756.0700000000015</v>
      </c>
      <c r="Q360" s="70">
        <f t="shared" si="386"/>
        <v>-2.818792029938777E-2</v>
      </c>
      <c r="R360" s="566">
        <f>VLOOKUP($A360,'01-02.2021'!$A$6:$CZ$403,18,FALSE)+VLOOKUP($A360,'1.3.21-28.2.22'!$A$6:$DA$404,18,FALSE)-VLOOKUP($A360,'01-02.2022'!$A$6:$DA$376,18,FALSE)</f>
        <v>1857.7981882444744</v>
      </c>
      <c r="S360" s="566">
        <f>VLOOKUP($A360,'01-02.2021'!$A$6:$CZ$403,19,FALSE)+VLOOKUP($A360,'1.3.21-28.2.22'!$A$6:$DA$404,19,FALSE)-VLOOKUP($A360,'01-02.2022'!$A$6:$DA$376,19,FALSE)</f>
        <v>1857.8299999999997</v>
      </c>
      <c r="T360" s="70">
        <f t="shared" si="387"/>
        <v>3.1811755525268381E-2</v>
      </c>
      <c r="U360" s="566">
        <f>VLOOKUP($A360,'01-02.2021'!$A$6:$CZ$403,21,FALSE)+VLOOKUP($A360,'1.3.21-28.2.22'!$A$6:$DA$404,21,FALSE)-VLOOKUP($A360,'01-02.2022'!$A$6:$DA$376,21,FALSE)</f>
        <v>1007.187849608177</v>
      </c>
      <c r="V360" s="566">
        <f>VLOOKUP($A360,'01-02.2021'!$A$6:$CZ$403,22,FALSE)+VLOOKUP($A360,'1.3.21-28.2.22'!$A$6:$DA$404,22,FALSE)-VLOOKUP($A360,'01-02.2022'!$A$6:$DA$376,22,FALSE)</f>
        <v>3332.7124816084361</v>
      </c>
      <c r="W360" s="70">
        <f t="shared" si="388"/>
        <v>2325.5246320002589</v>
      </c>
      <c r="X360" s="566">
        <f>VLOOKUP($A360,'01-02.2021'!$A$6:$CZ$403,24,FALSE)+VLOOKUP($A360,'1.3.21-28.2.22'!$A$6:$DA$404,24,FALSE)-VLOOKUP($A360,'01-02.2022'!$A$6:$DA$376,24,FALSE)</f>
        <v>8969.4382996020067</v>
      </c>
      <c r="Y360" s="566">
        <f>VLOOKUP($A360,'01-02.2021'!$A$6:$CZ$403,25,FALSE)+VLOOKUP($A360,'1.3.21-28.2.22'!$A$6:$DA$404,25,FALSE)-VLOOKUP($A360,'01-02.2022'!$A$6:$DA$376,25,FALSE)</f>
        <v>8742.9968042580167</v>
      </c>
      <c r="Z360" s="70">
        <f t="shared" si="389"/>
        <v>-226.44149534399003</v>
      </c>
      <c r="AA360" s="566">
        <f>VLOOKUP($A360,'01-02.2021'!$A$6:$CZ$403,27,FALSE)+VLOOKUP($A360,'1.3.21-28.2.22'!$A$6:$DA$404,27,FALSE)-VLOOKUP($A360,'01-02.2022'!$A$6:$DA$376,27,FALSE)</f>
        <v>1284.3120000000004</v>
      </c>
      <c r="AB360" s="566">
        <f>VLOOKUP($A360,'01-02.2021'!$A$6:$CZ$403,28,FALSE)+VLOOKUP($A360,'1.3.21-28.2.22'!$A$6:$DA$404,28,FALSE)-VLOOKUP($A360,'01-02.2022'!$A$6:$DA$376,28,FALSE)</f>
        <v>0</v>
      </c>
      <c r="AC360" s="70">
        <f t="shared" si="390"/>
        <v>-1284.3120000000004</v>
      </c>
      <c r="AD360" s="566">
        <f>VLOOKUP($A360,'01-02.2021'!$A$6:$CZ$403,30,FALSE)+VLOOKUP($A360,'1.3.21-28.2.22'!$A$6:$DA$404,30,FALSE)-VLOOKUP($A360,'01-02.2022'!$A$6:$DA$376,30,FALSE)</f>
        <v>27580.082618149641</v>
      </c>
      <c r="AE360" s="566">
        <f>VLOOKUP($A360,'01-02.2021'!$A$6:$CZ$403,31,FALSE)+VLOOKUP($A360,'1.3.21-28.2.22'!$A$6:$DA$404,31,FALSE)-VLOOKUP($A360,'01-02.2022'!$A$6:$DA$376,31,FALSE)</f>
        <v>29226.9664616314</v>
      </c>
      <c r="AF360" s="68">
        <f t="shared" si="391"/>
        <v>1646.883843481759</v>
      </c>
      <c r="AG360" s="77">
        <f t="shared" si="354"/>
        <v>75111.478963964983</v>
      </c>
      <c r="AH360" s="53">
        <f t="shared" si="354"/>
        <v>80184.41047852271</v>
      </c>
      <c r="AI360" s="52">
        <f t="shared" si="359"/>
        <v>5072.9315145577275</v>
      </c>
      <c r="AJ360" s="566">
        <f>VLOOKUP($A360,'01-02.2021'!$A$6:$CZ$403,36,FALSE)+VLOOKUP($A360,'1.3.21-28.2.22'!$A$6:$DA$404,36,FALSE)-VLOOKUP($A360,'01-02.2022'!$A$6:$DA$376,36,FALSE)</f>
        <v>79166.942623131428</v>
      </c>
      <c r="AK360" s="566">
        <f>VLOOKUP($A360,'01-02.2021'!$A$6:$CZ$403,37,FALSE)+VLOOKUP($A360,'1.3.21-28.2.22'!$A$6:$DA$404,37,FALSE)-VLOOKUP($A360,'01-02.2022'!$A$6:$DA$376,37,FALSE)</f>
        <v>78647.853845374411</v>
      </c>
      <c r="AL360" s="70">
        <f t="shared" si="392"/>
        <v>-519.08877775701694</v>
      </c>
      <c r="AM360" s="566">
        <f>VLOOKUP($A360,'01-02.2021'!$A$6:$CZ$403,39,FALSE)+VLOOKUP($A360,'1.3.21-28.2.22'!$A$6:$DA$404,39,FALSE)-VLOOKUP($A360,'01-02.2022'!$A$6:$DA$376,39,FALSE)</f>
        <v>0</v>
      </c>
      <c r="AN360" s="566">
        <f>VLOOKUP($A360,'01-02.2021'!$A$6:$CZ$403,40,FALSE)+VLOOKUP($A360,'1.3.21-28.2.22'!$A$6:$DA$404,40,FALSE)-VLOOKUP($A360,'01-02.2022'!$A$6:$DA$376,40,FALSE)</f>
        <v>0</v>
      </c>
      <c r="AO360" s="70">
        <f t="shared" si="393"/>
        <v>0</v>
      </c>
      <c r="AP360" s="566">
        <f>VLOOKUP($A360,'01-02.2021'!$A$6:$CZ$403,42,FALSE)+VLOOKUP($A360,'1.3.21-28.2.22'!$A$6:$DA$404,42,FALSE)-VLOOKUP($A360,'01-02.2022'!$A$6:$DA$376,42,FALSE)</f>
        <v>4685.0393251149972</v>
      </c>
      <c r="AQ360" s="566">
        <f>VLOOKUP($A360,'01-02.2021'!$A$6:$CZ$403,43,FALSE)+VLOOKUP($A360,'1.3.21-28.2.22'!$A$6:$DA$404,43,FALSE)-VLOOKUP($A360,'01-02.2022'!$A$6:$DA$376,43,FALSE)</f>
        <v>4036.2167832167834</v>
      </c>
      <c r="AR360" s="70">
        <f t="shared" si="394"/>
        <v>-648.82254189821379</v>
      </c>
      <c r="AS360" s="566">
        <f>VLOOKUP($A360,'01-02.2021'!$A$6:$CZ$403,45,FALSE)+VLOOKUP($A360,'1.3.21-28.2.22'!$A$6:$DA$404,45,FALSE)-VLOOKUP($A360,'01-02.2022'!$A$6:$DA$376,45,FALSE)</f>
        <v>75004.284800880443</v>
      </c>
      <c r="AT360" s="566">
        <f>VLOOKUP($A360,'01-02.2021'!$A$6:$CZ$403,46,FALSE)+VLOOKUP($A360,'1.3.21-28.2.22'!$A$6:$DA$404,46,FALSE)-VLOOKUP($A360,'01-02.2022'!$A$6:$DA$376,46,FALSE)</f>
        <v>39302.887547715676</v>
      </c>
      <c r="AU360" s="78">
        <f t="shared" si="395"/>
        <v>-35701.397253164767</v>
      </c>
      <c r="AV360" s="566">
        <f>VLOOKUP($A360,'01-02.2021'!$A$6:$CZ$403,48,FALSE)+VLOOKUP($A360,'1.3.21-28.2.22'!$A$6:$DA$404,48,FALSE)-VLOOKUP($A360,'01-02.2022'!$A$6:$DA$376,48,FALSE)</f>
        <v>4051.7332211781477</v>
      </c>
      <c r="AW360" s="566">
        <f>VLOOKUP($A360,'01-02.2021'!$A$6:$CZ$403,49,FALSE)+VLOOKUP($A360,'1.3.21-28.2.22'!$A$6:$DA$404,49,FALSE)-VLOOKUP($A360,'01-02.2022'!$A$6:$DA$376,49,FALSE)</f>
        <v>1898</v>
      </c>
      <c r="AX360" s="55">
        <f t="shared" si="396"/>
        <v>-2153.7332211781477</v>
      </c>
      <c r="AY360" s="566">
        <f>VLOOKUP($A360,'01-02.2021'!$A$6:$CZ$403,51,FALSE)+VLOOKUP($A360,'1.3.21-28.2.22'!$A$6:$DA$404,51,FALSE)-VLOOKUP($A360,'01-02.2022'!$A$6:$DA$376,51,FALSE)</f>
        <v>4472.6309334654125</v>
      </c>
      <c r="AZ360" s="566">
        <f>VLOOKUP($A360,'01-02.2021'!$A$6:$CZ$403,52,FALSE)+VLOOKUP($A360,'1.3.21-28.2.22'!$A$6:$DA$404,52,FALSE)-VLOOKUP($A360,'01-02.2022'!$A$6:$DA$376,52,FALSE)</f>
        <v>1653</v>
      </c>
      <c r="BA360" s="38">
        <f t="shared" si="397"/>
        <v>-2819.6309334654125</v>
      </c>
      <c r="BB360" s="566">
        <f>VLOOKUP($A360,'01-02.2021'!$A$6:$CZ$403,54,FALSE)+VLOOKUP($A360,'1.3.21-28.2.22'!$A$6:$DA$404,54,FALSE)-VLOOKUP($A360,'01-02.2022'!$A$6:$DA$376,54,FALSE)</f>
        <v>1796.4717155015451</v>
      </c>
      <c r="BC360" s="566">
        <f>VLOOKUP($A360,'01-02.2021'!$A$6:$CZ$403,55,FALSE)+VLOOKUP($A360,'1.3.21-28.2.22'!$A$6:$DA$404,55,FALSE)-VLOOKUP($A360,'01-02.2022'!$A$6:$DA$376,55,FALSE)</f>
        <v>859</v>
      </c>
      <c r="BD360" s="55">
        <f t="shared" si="398"/>
        <v>-937.47171550154508</v>
      </c>
      <c r="BE360" s="566">
        <f>VLOOKUP($A360,'01-02.2021'!$A$6:$CZ$403,57,FALSE)+VLOOKUP($A360,'1.3.21-28.2.22'!$A$6:$DA$404,57,FALSE)-VLOOKUP($A360,'01-02.2022'!$A$6:$DA$376,57,FALSE)</f>
        <v>3584.0324456362605</v>
      </c>
      <c r="BF360" s="566">
        <f>VLOOKUP($A360,'01-02.2021'!$A$6:$CZ$403,58,FALSE)+VLOOKUP($A360,'1.3.21-28.2.22'!$A$6:$DA$404,58,FALSE)-VLOOKUP($A360,'01-02.2022'!$A$6:$DA$376,58,FALSE)</f>
        <v>0</v>
      </c>
      <c r="BG360" s="55">
        <f t="shared" si="399"/>
        <v>-3584.0324456362605</v>
      </c>
      <c r="BH360" s="566">
        <f>VLOOKUP($A360,'01-02.2021'!$A$6:$CZ$403,60,FALSE)+VLOOKUP($A360,'1.3.21-28.2.22'!$A$6:$DA$404,60,FALSE)-VLOOKUP($A360,'01-02.2022'!$A$6:$DA$376,60,FALSE)</f>
        <v>1705.7918759812496</v>
      </c>
      <c r="BI360" s="566">
        <f>VLOOKUP($A360,'01-02.2021'!$A$6:$CZ$403,61,FALSE)+VLOOKUP($A360,'1.3.21-28.2.22'!$A$6:$DA$404,61,FALSE)-VLOOKUP($A360,'01-02.2022'!$A$6:$DA$376,61,FALSE)</f>
        <v>0</v>
      </c>
      <c r="BJ360" s="55">
        <f t="shared" si="400"/>
        <v>-1705.7918759812496</v>
      </c>
      <c r="BK360" s="566">
        <f>VLOOKUP($A360,'01-02.2021'!$A$6:$CZ$403,63,FALSE)+VLOOKUP($A360,'1.3.21-28.2.22'!$A$6:$DA$404,63,FALSE)-VLOOKUP($A360,'01-02.2022'!$A$6:$DA$376,63,FALSE)</f>
        <v>2617.6707090553928</v>
      </c>
      <c r="BL360" s="566">
        <f>VLOOKUP($A360,'01-02.2021'!$A$6:$CZ$403,64,FALSE)+VLOOKUP($A360,'1.3.21-28.2.22'!$A$6:$DA$404,64,FALSE)-VLOOKUP($A360,'01-02.2022'!$A$6:$DA$376,64,FALSE)</f>
        <v>0</v>
      </c>
      <c r="BM360" s="55">
        <f t="shared" si="401"/>
        <v>-2617.6707090553928</v>
      </c>
      <c r="BN360" s="566">
        <f>VLOOKUP($A360,'01-02.2021'!$A$6:$CZ$403,66,FALSE)+VLOOKUP($A360,'1.3.21-28.2.22'!$A$6:$DA$404,66,FALSE)-VLOOKUP($A360,'01-02.2022'!$A$6:$DA$376,66,FALSE)</f>
        <v>321.07800000000009</v>
      </c>
      <c r="BO360" s="566">
        <f>VLOOKUP($A360,'01-02.2021'!$A$6:$CZ$403,67,FALSE)+VLOOKUP($A360,'1.3.21-28.2.22'!$A$6:$DA$404,67,FALSE)-VLOOKUP($A360,'01-02.2022'!$A$6:$DA$376,67,FALSE)</f>
        <v>0</v>
      </c>
      <c r="BP360" s="55">
        <f t="shared" si="402"/>
        <v>-321.07800000000009</v>
      </c>
      <c r="BQ360" s="77">
        <f t="shared" si="409"/>
        <v>18549.408900818013</v>
      </c>
      <c r="BR360" s="40">
        <f t="shared" si="410"/>
        <v>4410</v>
      </c>
      <c r="BS360" s="55">
        <f t="shared" si="369"/>
        <v>-14139.408900818013</v>
      </c>
      <c r="BT360" s="566">
        <f>VLOOKUP($A360,'01-02.2021'!$A$6:$CZ$403,72,FALSE)+VLOOKUP($A360,'1.3.21-28.2.22'!$A$6:$DA$404,72,FALSE)-VLOOKUP($A360,'01-02.2022'!$A$6:$DA$376,72,FALSE)</f>
        <v>54450.847758367323</v>
      </c>
      <c r="BU360" s="566">
        <f>VLOOKUP($A360,'01-02.2021'!$A$6:$CZ$403,73,FALSE)+VLOOKUP($A360,'1.3.21-28.2.22'!$A$6:$DA$404,73,FALSE)-VLOOKUP($A360,'01-02.2022'!$A$6:$DA$376,73,FALSE)</f>
        <v>57254.931047619175</v>
      </c>
      <c r="BV360" s="70">
        <f t="shared" si="403"/>
        <v>2804.083289251852</v>
      </c>
      <c r="BW360" s="566">
        <f>VLOOKUP($A360,'01-02.2021'!$A$6:$CZ$403,75,FALSE)+VLOOKUP($A360,'1.3.21-28.2.22'!$A$6:$DA$404,75,FALSE)-VLOOKUP($A360,'01-02.2022'!$A$6:$DA$376,75,FALSE)</f>
        <v>45125.504136013202</v>
      </c>
      <c r="BX360" s="566">
        <f>VLOOKUP($A360,'01-02.2021'!$A$6:$CZ$403,76,FALSE)+VLOOKUP($A360,'1.3.21-28.2.22'!$A$6:$DA$404,76,FALSE)-VLOOKUP($A360,'01-02.2022'!$A$6:$DA$376,76,FALSE)</f>
        <v>44059.565807939209</v>
      </c>
      <c r="BY360" s="70">
        <f t="shared" si="404"/>
        <v>-1065.938328073993</v>
      </c>
      <c r="BZ360" s="566">
        <f>VLOOKUP($A360,'01-02.2021'!$A$6:$CZ$403,78,FALSE)+VLOOKUP($A360,'1.3.21-28.2.22'!$A$6:$DA$404,78,FALSE)-VLOOKUP($A360,'01-02.2022'!$A$6:$DA$376,78,FALSE)</f>
        <v>13785.911303710029</v>
      </c>
      <c r="CA360" s="566">
        <f>VLOOKUP($A360,'01-02.2021'!$A$6:$CZ$403,79,FALSE)+VLOOKUP($A360,'1.3.21-28.2.22'!$A$6:$DA$404,79,FALSE)-VLOOKUP($A360,'01-02.2022'!$A$6:$DA$376,79,FALSE)</f>
        <v>12750.701911165304</v>
      </c>
      <c r="CB360" s="70">
        <f t="shared" si="405"/>
        <v>-1035.2093925447243</v>
      </c>
      <c r="CC360" s="566">
        <f>VLOOKUP($A360,'01-02.2021'!$A$6:$CZ$403,81,FALSE)+VLOOKUP($A360,'1.3.21-28.2.22'!$A$6:$DA$404,81,FALSE)-VLOOKUP($A360,'01-02.2022'!$A$6:$DA$376,81,FALSE)</f>
        <v>943.16039970115685</v>
      </c>
      <c r="CD360" s="566">
        <f>VLOOKUP($A360,'01-02.2021'!$A$6:$CZ$403,82,FALSE)+VLOOKUP($A360,'1.3.21-28.2.22'!$A$6:$DA$404,82,FALSE)-VLOOKUP($A360,'01-02.2022'!$A$6:$DA$376,82,FALSE)</f>
        <v>1024.606877832721</v>
      </c>
      <c r="CE360" s="70">
        <f t="shared" si="406"/>
        <v>81.446478131564163</v>
      </c>
      <c r="CF360" s="566">
        <f>VLOOKUP($A360,'01-02.2021'!$A$6:$CZ$403,84,FALSE)+VLOOKUP($A360,'1.3.21-28.2.22'!$A$6:$DA$404,84,FALSE)-VLOOKUP($A360,'01-02.2022'!$A$6:$DA$376,84,FALSE)</f>
        <v>113.96419713153449</v>
      </c>
      <c r="CG360" s="566">
        <f>VLOOKUP($A360,'01-02.2021'!$A$6:$CZ$403,85,FALSE)+VLOOKUP($A360,'1.3.21-28.2.22'!$A$6:$DA$404,85,FALSE)-VLOOKUP($A360,'01-02.2022'!$A$6:$DA$376,85,FALSE)</f>
        <v>0</v>
      </c>
      <c r="CH360" s="70">
        <f t="shared" si="407"/>
        <v>-113.96419713153449</v>
      </c>
      <c r="CI360" s="566">
        <f>VLOOKUP($A360,'01-02.2021'!$A$6:$CZ$403,87,FALSE)+VLOOKUP($A360,'1.3.21-28.2.22'!$A$6:$DA$404,87,FALSE)-VLOOKUP($A360,'01-02.2022'!$A$6:$DA$376,87,FALSE)</f>
        <v>10973.334339649575</v>
      </c>
      <c r="CJ360" s="566">
        <f>VLOOKUP($A360,'01-02.2021'!$A$6:$CZ$403,88,FALSE)+VLOOKUP($A360,'1.3.21-28.2.22'!$A$6:$DA$404,88,FALSE)-VLOOKUP($A360,'01-02.2022'!$A$6:$DA$376,88,FALSE)</f>
        <v>8987.0454388230864</v>
      </c>
      <c r="CK360" s="70">
        <f t="shared" si="408"/>
        <v>-1986.2889008264883</v>
      </c>
      <c r="CL360" s="566">
        <f>VLOOKUP($A360,'01-02.2021'!$A$6:$CZ$403,90,FALSE)+VLOOKUP($A360,'1.3.21-28.2.22'!$A$6:$DA$404,90,FALSE)-VLOOKUP($A360,'01-02.2022'!$A$6:$DA$376,90,FALSE)</f>
        <v>12571.955631862767</v>
      </c>
      <c r="CM360" s="566">
        <f>VLOOKUP($A360,'01-02.2021'!$A$6:$CZ$403,91,FALSE)+VLOOKUP($A360,'1.3.21-28.2.22'!$A$6:$DA$404,91,FALSE)-VLOOKUP($A360,'01-02.2022'!$A$6:$DA$376,91,FALSE)</f>
        <v>14086.040127356786</v>
      </c>
      <c r="CN360" s="52">
        <f t="shared" si="360"/>
        <v>1514.0844954940185</v>
      </c>
      <c r="CO360" s="39">
        <f t="shared" si="355"/>
        <v>23545.289971512342</v>
      </c>
      <c r="CP360" s="40">
        <f t="shared" si="361"/>
        <v>23073.085566179871</v>
      </c>
      <c r="CQ360" s="52">
        <f t="shared" si="362"/>
        <v>-472.20440533247165</v>
      </c>
      <c r="CR360" s="72">
        <f t="shared" si="356"/>
        <v>390481.83238034544</v>
      </c>
      <c r="CS360" s="5">
        <f t="shared" si="356"/>
        <v>344744.25986556592</v>
      </c>
      <c r="CT360" s="52">
        <f t="shared" si="363"/>
        <v>-45737.572514779516</v>
      </c>
      <c r="CU360" s="77">
        <f t="shared" si="364"/>
        <v>468578.19885641453</v>
      </c>
      <c r="CV360" s="65">
        <f t="shared" si="365"/>
        <v>413693.11183867912</v>
      </c>
      <c r="CW360" s="35">
        <f t="shared" si="366"/>
        <v>-54885.087017735408</v>
      </c>
      <c r="CX360" s="566">
        <f>VLOOKUP($A360,'01-02.2021'!$A$6:$CZ$403,102,FALSE)+VLOOKUP($A360,'1.3.21-28.2.22'!$A$6:$DA$404,102,FALSE)-VLOOKUP($A360,'01-02.2022'!$A$6:$DA$376,102,FALSE)</f>
        <v>16347.198549380548</v>
      </c>
      <c r="CY360" s="566">
        <f>VLOOKUP($A360,'01-02.2021'!$A$6:$CZ$403,103,FALSE)+VLOOKUP($A360,'1.3.21-28.2.22'!$A$6:$DA$404,103,FALSE)-VLOOKUP($A360,'01-02.2022'!$A$6:$DA$376,103,FALSE)</f>
        <v>71232.285567116123</v>
      </c>
      <c r="CZ360" s="52">
        <f t="shared" si="367"/>
        <v>54885.087017735576</v>
      </c>
      <c r="DA360" s="150">
        <f>'[2]побудинковий звіт'!DA360</f>
        <v>121690.95623329563</v>
      </c>
      <c r="DB360" s="2">
        <v>2</v>
      </c>
      <c r="DC360" s="414">
        <f>'[4]побудинковий звіт'!DC360</f>
        <v>88091.77</v>
      </c>
      <c r="DD360" s="414">
        <f>'[4]побудинковий звіт'!DD360</f>
        <v>0</v>
      </c>
      <c r="DE360" s="557">
        <f>'[4]побудинковий звіт'!DE360</f>
        <v>44073.517509448408</v>
      </c>
      <c r="DF360" s="557">
        <f>'[4]побудинковий звіт'!DF360</f>
        <v>0</v>
      </c>
      <c r="DG360" s="321">
        <f>VLOOKUP(A360,'кошти 01.03.2021'!$A$6:$D$401,4,)</f>
        <v>181910.55035985139</v>
      </c>
      <c r="DH360" s="40">
        <f>'[3]побудинковий звіт'!DJ360</f>
        <v>501986.38577509177</v>
      </c>
      <c r="DI360" s="422">
        <f>'[3]побудинковий звіт'!CU360+'[3]побудинковий звіт'!CX360</f>
        <v>44018.252490551604</v>
      </c>
      <c r="DJ360" s="306">
        <f>'[3]побудинковий звіт'!DM360</f>
        <v>5.2395745962922504</v>
      </c>
      <c r="DK360" s="306">
        <f>'[3]побудинковий звіт'!DN360</f>
        <v>7.0389830495256023</v>
      </c>
      <c r="DL360" s="306">
        <f>'[3]побудинковий звіт'!DO360</f>
        <v>4.40626019608266</v>
      </c>
      <c r="DM360" s="28">
        <f t="shared" si="411"/>
        <v>44018.252490551597</v>
      </c>
      <c r="DN360" s="28">
        <f>DL360*H360</f>
        <v>0</v>
      </c>
      <c r="DO360" s="423">
        <f t="shared" si="381"/>
        <v>44018.252490551597</v>
      </c>
      <c r="DP360" s="94">
        <f t="shared" si="382"/>
        <v>0</v>
      </c>
      <c r="DQ360" s="28">
        <f t="shared" si="383"/>
        <v>44018.252490551597</v>
      </c>
      <c r="DR360" s="318"/>
      <c r="DT360" s="8"/>
      <c r="DU360" s="5"/>
      <c r="DX360" s="5">
        <f t="shared" si="384"/>
        <v>112264.43244203815</v>
      </c>
      <c r="DY360" s="5">
        <f t="shared" si="385"/>
        <v>52455.465057258807</v>
      </c>
      <c r="DZ360" s="159">
        <f>'[3]побудинковий звіт'!EA360</f>
        <v>9889.3621150638628</v>
      </c>
    </row>
    <row r="361" spans="1:130" x14ac:dyDescent="0.3">
      <c r="A361" s="325">
        <v>150000888</v>
      </c>
      <c r="B361" s="41" t="s">
        <v>807</v>
      </c>
      <c r="C361" s="42" t="s">
        <v>314</v>
      </c>
      <c r="D361" s="42"/>
      <c r="E361" s="293">
        <f t="shared" si="353"/>
        <v>3374.56</v>
      </c>
      <c r="F361" s="305">
        <f>'[3]побудинковий звіт'!F361</f>
        <v>2586.9899999999998</v>
      </c>
      <c r="G361" s="508">
        <f>'[3]побудинковий звіт'!G361</f>
        <v>0</v>
      </c>
      <c r="H361" s="560">
        <f>'[3]побудинковий звіт'!H361</f>
        <v>787.57</v>
      </c>
      <c r="I361" s="566">
        <f>VLOOKUP($A361,'01-02.2021'!$A$6:$CZ$403,9,FALSE)+VLOOKUP($A361,'1.3.21-28.2.22'!$A$6:$DA$404,9,FALSE)-VLOOKUP($A361,'01-02.2022'!$A$6:$DA$376,9,FALSE)</f>
        <v>10479.546593858748</v>
      </c>
      <c r="J361" s="566">
        <f>VLOOKUP($A361,'01-02.2021'!$A$6:$CZ$403,10,FALSE)+VLOOKUP($A361,'1.3.21-28.2.22'!$A$6:$DA$404,10,FALSE)-VLOOKUP($A361,'01-02.2022'!$A$6:$DA$376,10,FALSE)</f>
        <v>11643.692057905875</v>
      </c>
      <c r="K361" s="52">
        <f t="shared" si="357"/>
        <v>1164.1454640471275</v>
      </c>
      <c r="L361" s="566">
        <f>VLOOKUP($A361,'01-02.2021'!$A$6:$CZ$403,12,FALSE)+VLOOKUP($A361,'1.3.21-28.2.22'!$A$6:$DA$404,12,FALSE)-VLOOKUP($A361,'01-02.2022'!$A$6:$DA$376,12,FALSE)</f>
        <v>2218.0513364412768</v>
      </c>
      <c r="M361" s="566">
        <f>VLOOKUP($A361,'01-02.2021'!$A$6:$CZ$403,13,FALSE)+VLOOKUP($A361,'1.3.21-28.2.22'!$A$6:$DA$404,13,FALSE)-VLOOKUP($A361,'01-02.2022'!$A$6:$DA$376,13,FALSE)</f>
        <v>2462.7164624252232</v>
      </c>
      <c r="N361" s="52">
        <f t="shared" si="358"/>
        <v>244.66512598394638</v>
      </c>
      <c r="O361" s="566">
        <f>VLOOKUP($A361,'01-02.2021'!$A$6:$CZ$403,15,FALSE)+VLOOKUP($A361,'1.3.21-28.2.22'!$A$6:$DA$404,15,FALSE)-VLOOKUP($A361,'01-02.2022'!$A$6:$DA$376,15,FALSE)</f>
        <v>4208.1686627800091</v>
      </c>
      <c r="P361" s="566">
        <f>VLOOKUP($A361,'01-02.2021'!$A$6:$CZ$403,16,FALSE)+VLOOKUP($A361,'1.3.21-28.2.22'!$A$6:$DA$404,16,FALSE)-VLOOKUP($A361,'01-02.2022'!$A$6:$DA$376,16,FALSE)</f>
        <v>4208.17</v>
      </c>
      <c r="Q361" s="70">
        <f t="shared" si="386"/>
        <v>1.3372199910008931E-3</v>
      </c>
      <c r="R361" s="566">
        <f>VLOOKUP($A361,'01-02.2021'!$A$6:$CZ$403,18,FALSE)+VLOOKUP($A361,'1.3.21-28.2.22'!$A$6:$DA$404,18,FALSE)-VLOOKUP($A361,'01-02.2022'!$A$6:$DA$376,18,FALSE)</f>
        <v>0</v>
      </c>
      <c r="S361" s="566">
        <f>VLOOKUP($A361,'01-02.2021'!$A$6:$CZ$403,19,FALSE)+VLOOKUP($A361,'1.3.21-28.2.22'!$A$6:$DA$404,19,FALSE)-VLOOKUP($A361,'01-02.2022'!$A$6:$DA$376,19,FALSE)</f>
        <v>0</v>
      </c>
      <c r="T361" s="70">
        <f t="shared" si="387"/>
        <v>0</v>
      </c>
      <c r="U361" s="566">
        <f>VLOOKUP($A361,'01-02.2021'!$A$6:$CZ$403,21,FALSE)+VLOOKUP($A361,'1.3.21-28.2.22'!$A$6:$DA$404,21,FALSE)-VLOOKUP($A361,'01-02.2022'!$A$6:$DA$376,21,FALSE)</f>
        <v>0</v>
      </c>
      <c r="V361" s="566">
        <f>VLOOKUP($A361,'01-02.2021'!$A$6:$CZ$403,22,FALSE)+VLOOKUP($A361,'1.3.21-28.2.22'!$A$6:$DA$404,22,FALSE)-VLOOKUP($A361,'01-02.2022'!$A$6:$DA$376,22,FALSE)</f>
        <v>0</v>
      </c>
      <c r="W361" s="70">
        <f t="shared" si="388"/>
        <v>0</v>
      </c>
      <c r="X361" s="566">
        <f>VLOOKUP($A361,'01-02.2021'!$A$6:$CZ$403,24,FALSE)+VLOOKUP($A361,'1.3.21-28.2.22'!$A$6:$DA$404,24,FALSE)-VLOOKUP($A361,'01-02.2022'!$A$6:$DA$376,24,FALSE)</f>
        <v>6573.2160000524209</v>
      </c>
      <c r="Y361" s="566">
        <f>VLOOKUP($A361,'01-02.2021'!$A$6:$CZ$403,25,FALSE)+VLOOKUP($A361,'1.3.21-28.2.22'!$A$6:$DA$404,25,FALSE)-VLOOKUP($A361,'01-02.2022'!$A$6:$DA$376,25,FALSE)</f>
        <v>5645.2375284669561</v>
      </c>
      <c r="Z361" s="70">
        <f t="shared" si="389"/>
        <v>-927.97847158546483</v>
      </c>
      <c r="AA361" s="566">
        <f>VLOOKUP($A361,'01-02.2021'!$A$6:$CZ$403,27,FALSE)+VLOOKUP($A361,'1.3.21-28.2.22'!$A$6:$DA$404,27,FALSE)-VLOOKUP($A361,'01-02.2022'!$A$6:$DA$376,27,FALSE)</f>
        <v>674.99</v>
      </c>
      <c r="AB361" s="566">
        <f>VLOOKUP($A361,'01-02.2021'!$A$6:$CZ$403,28,FALSE)+VLOOKUP($A361,'1.3.21-28.2.22'!$A$6:$DA$404,28,FALSE)-VLOOKUP($A361,'01-02.2022'!$A$6:$DA$376,28,FALSE)</f>
        <v>0</v>
      </c>
      <c r="AC361" s="70">
        <f t="shared" si="390"/>
        <v>-674.99</v>
      </c>
      <c r="AD361" s="566">
        <f>VLOOKUP($A361,'01-02.2021'!$A$6:$CZ$403,30,FALSE)+VLOOKUP($A361,'1.3.21-28.2.22'!$A$6:$DA$404,30,FALSE)-VLOOKUP($A361,'01-02.2022'!$A$6:$DA$376,30,FALSE)</f>
        <v>14417.336798834724</v>
      </c>
      <c r="AE361" s="566">
        <f>VLOOKUP($A361,'01-02.2021'!$A$6:$CZ$403,31,FALSE)+VLOOKUP($A361,'1.3.21-28.2.22'!$A$6:$DA$404,31,FALSE)-VLOOKUP($A361,'01-02.2022'!$A$6:$DA$376,31,FALSE)</f>
        <v>15361.13308861636</v>
      </c>
      <c r="AF361" s="68">
        <f t="shared" si="391"/>
        <v>943.79628978163601</v>
      </c>
      <c r="AG361" s="77">
        <f t="shared" si="354"/>
        <v>38571.309391967181</v>
      </c>
      <c r="AH361" s="53">
        <f t="shared" si="354"/>
        <v>39320.949137414413</v>
      </c>
      <c r="AI361" s="52">
        <f t="shared" si="359"/>
        <v>749.63974544723169</v>
      </c>
      <c r="AJ361" s="566">
        <f>VLOOKUP($A361,'01-02.2021'!$A$6:$CZ$403,36,FALSE)+VLOOKUP($A361,'1.3.21-28.2.22'!$A$6:$DA$404,36,FALSE)-VLOOKUP($A361,'01-02.2022'!$A$6:$DA$376,36,FALSE)</f>
        <v>0</v>
      </c>
      <c r="AK361" s="566">
        <f>VLOOKUP($A361,'01-02.2021'!$A$6:$CZ$403,37,FALSE)+VLOOKUP($A361,'1.3.21-28.2.22'!$A$6:$DA$404,37,FALSE)-VLOOKUP($A361,'01-02.2022'!$A$6:$DA$376,37,FALSE)</f>
        <v>0</v>
      </c>
      <c r="AL361" s="70">
        <f t="shared" si="392"/>
        <v>0</v>
      </c>
      <c r="AM361" s="566">
        <f>VLOOKUP($A361,'01-02.2021'!$A$6:$CZ$403,39,FALSE)+VLOOKUP($A361,'1.3.21-28.2.22'!$A$6:$DA$404,39,FALSE)-VLOOKUP($A361,'01-02.2022'!$A$6:$DA$376,39,FALSE)</f>
        <v>0</v>
      </c>
      <c r="AN361" s="566">
        <f>VLOOKUP($A361,'01-02.2021'!$A$6:$CZ$403,40,FALSE)+VLOOKUP($A361,'1.3.21-28.2.22'!$A$6:$DA$404,40,FALSE)-VLOOKUP($A361,'01-02.2022'!$A$6:$DA$376,40,FALSE)</f>
        <v>0</v>
      </c>
      <c r="AO361" s="70">
        <f t="shared" si="393"/>
        <v>0</v>
      </c>
      <c r="AP361" s="566">
        <f>VLOOKUP($A361,'01-02.2021'!$A$6:$CZ$403,42,FALSE)+VLOOKUP($A361,'1.3.21-28.2.22'!$A$6:$DA$404,42,FALSE)-VLOOKUP($A361,'01-02.2022'!$A$6:$DA$376,42,FALSE)</f>
        <v>8328.9588002044366</v>
      </c>
      <c r="AQ361" s="566">
        <f>VLOOKUP($A361,'01-02.2021'!$A$6:$CZ$403,43,FALSE)+VLOOKUP($A361,'1.3.21-28.2.22'!$A$6:$DA$404,43,FALSE)-VLOOKUP($A361,'01-02.2022'!$A$6:$DA$376,43,FALSE)</f>
        <v>7275.7918386073561</v>
      </c>
      <c r="AR361" s="70">
        <f t="shared" si="394"/>
        <v>-1053.1669615970804</v>
      </c>
      <c r="AS361" s="566">
        <f>VLOOKUP($A361,'01-02.2021'!$A$6:$CZ$403,45,FALSE)+VLOOKUP($A361,'1.3.21-28.2.22'!$A$6:$DA$404,45,FALSE)-VLOOKUP($A361,'01-02.2022'!$A$6:$DA$376,45,FALSE)</f>
        <v>26810.684153351991</v>
      </c>
      <c r="AT361" s="566">
        <f>VLOOKUP($A361,'01-02.2021'!$A$6:$CZ$403,46,FALSE)+VLOOKUP($A361,'1.3.21-28.2.22'!$A$6:$DA$404,46,FALSE)-VLOOKUP($A361,'01-02.2022'!$A$6:$DA$376,46,FALSE)</f>
        <v>114794</v>
      </c>
      <c r="AU361" s="78">
        <f t="shared" si="395"/>
        <v>87983.315846648009</v>
      </c>
      <c r="AV361" s="566">
        <f>VLOOKUP($A361,'01-02.2021'!$A$6:$CZ$403,48,FALSE)+VLOOKUP($A361,'1.3.21-28.2.22'!$A$6:$DA$404,48,FALSE)-VLOOKUP($A361,'01-02.2022'!$A$6:$DA$376,48,FALSE)</f>
        <v>2904.7545948665816</v>
      </c>
      <c r="AW361" s="566">
        <f>VLOOKUP($A361,'01-02.2021'!$A$6:$CZ$403,49,FALSE)+VLOOKUP($A361,'1.3.21-28.2.22'!$A$6:$DA$404,49,FALSE)-VLOOKUP($A361,'01-02.2022'!$A$6:$DA$376,49,FALSE)</f>
        <v>359</v>
      </c>
      <c r="AX361" s="55">
        <f t="shared" si="396"/>
        <v>-2545.7545948665816</v>
      </c>
      <c r="AY361" s="566">
        <f>VLOOKUP($A361,'01-02.2021'!$A$6:$CZ$403,51,FALSE)+VLOOKUP($A361,'1.3.21-28.2.22'!$A$6:$DA$404,51,FALSE)-VLOOKUP($A361,'01-02.2022'!$A$6:$DA$376,51,FALSE)</f>
        <v>4169.3580910405672</v>
      </c>
      <c r="AZ361" s="566">
        <f>VLOOKUP($A361,'01-02.2021'!$A$6:$CZ$403,52,FALSE)+VLOOKUP($A361,'1.3.21-28.2.22'!$A$6:$DA$404,52,FALSE)-VLOOKUP($A361,'01-02.2022'!$A$6:$DA$376,52,FALSE)</f>
        <v>3526</v>
      </c>
      <c r="BA361" s="38">
        <f t="shared" si="397"/>
        <v>-643.35809104056716</v>
      </c>
      <c r="BB361" s="566">
        <f>VLOOKUP($A361,'01-02.2021'!$A$6:$CZ$403,54,FALSE)+VLOOKUP($A361,'1.3.21-28.2.22'!$A$6:$DA$404,54,FALSE)-VLOOKUP($A361,'01-02.2022'!$A$6:$DA$376,54,FALSE)</f>
        <v>1987.5141841054058</v>
      </c>
      <c r="BC361" s="566">
        <f>VLOOKUP($A361,'01-02.2021'!$A$6:$CZ$403,55,FALSE)+VLOOKUP($A361,'1.3.21-28.2.22'!$A$6:$DA$404,55,FALSE)-VLOOKUP($A361,'01-02.2022'!$A$6:$DA$376,55,FALSE)</f>
        <v>1665</v>
      </c>
      <c r="BD361" s="55">
        <f t="shared" si="398"/>
        <v>-322.51418410540577</v>
      </c>
      <c r="BE361" s="566">
        <f>VLOOKUP($A361,'01-02.2021'!$A$6:$CZ$403,57,FALSE)+VLOOKUP($A361,'1.3.21-28.2.22'!$A$6:$DA$404,57,FALSE)-VLOOKUP($A361,'01-02.2022'!$A$6:$DA$376,57,FALSE)</f>
        <v>0</v>
      </c>
      <c r="BF361" s="566">
        <f>VLOOKUP($A361,'01-02.2021'!$A$6:$CZ$403,58,FALSE)+VLOOKUP($A361,'1.3.21-28.2.22'!$A$6:$DA$404,58,FALSE)-VLOOKUP($A361,'01-02.2022'!$A$6:$DA$376,58,FALSE)</f>
        <v>0</v>
      </c>
      <c r="BG361" s="55">
        <f t="shared" si="399"/>
        <v>0</v>
      </c>
      <c r="BH361" s="566">
        <f>VLOOKUP($A361,'01-02.2021'!$A$6:$CZ$403,60,FALSE)+VLOOKUP($A361,'1.3.21-28.2.22'!$A$6:$DA$404,60,FALSE)-VLOOKUP($A361,'01-02.2022'!$A$6:$DA$376,60,FALSE)</f>
        <v>0</v>
      </c>
      <c r="BI361" s="566">
        <f>VLOOKUP($A361,'01-02.2021'!$A$6:$CZ$403,61,FALSE)+VLOOKUP($A361,'1.3.21-28.2.22'!$A$6:$DA$404,61,FALSE)-VLOOKUP($A361,'01-02.2022'!$A$6:$DA$376,61,FALSE)</f>
        <v>0</v>
      </c>
      <c r="BJ361" s="55">
        <f t="shared" si="400"/>
        <v>0</v>
      </c>
      <c r="BK361" s="566">
        <f>VLOOKUP($A361,'01-02.2021'!$A$6:$CZ$403,63,FALSE)+VLOOKUP($A361,'1.3.21-28.2.22'!$A$6:$DA$404,63,FALSE)-VLOOKUP($A361,'01-02.2022'!$A$6:$DA$376,63,FALSE)</f>
        <v>2020.7501361118241</v>
      </c>
      <c r="BL361" s="566">
        <f>VLOOKUP($A361,'01-02.2021'!$A$6:$CZ$403,64,FALSE)+VLOOKUP($A361,'1.3.21-28.2.22'!$A$6:$DA$404,64,FALSE)-VLOOKUP($A361,'01-02.2022'!$A$6:$DA$376,64,FALSE)</f>
        <v>1454</v>
      </c>
      <c r="BM361" s="55">
        <f t="shared" si="401"/>
        <v>-566.75013611182408</v>
      </c>
      <c r="BN361" s="566">
        <f>VLOOKUP($A361,'01-02.2021'!$A$6:$CZ$403,66,FALSE)+VLOOKUP($A361,'1.3.21-28.2.22'!$A$6:$DA$404,66,FALSE)-VLOOKUP($A361,'01-02.2022'!$A$6:$DA$376,66,FALSE)</f>
        <v>168.7475</v>
      </c>
      <c r="BO361" s="566">
        <f>VLOOKUP($A361,'01-02.2021'!$A$6:$CZ$403,67,FALSE)+VLOOKUP($A361,'1.3.21-28.2.22'!$A$6:$DA$404,67,FALSE)-VLOOKUP($A361,'01-02.2022'!$A$6:$DA$376,67,FALSE)</f>
        <v>0</v>
      </c>
      <c r="BP361" s="55">
        <f t="shared" si="402"/>
        <v>-168.7475</v>
      </c>
      <c r="BQ361" s="77">
        <f t="shared" si="409"/>
        <v>11251.124506124379</v>
      </c>
      <c r="BR361" s="40">
        <f t="shared" si="410"/>
        <v>7004</v>
      </c>
      <c r="BS361" s="55">
        <f t="shared" si="369"/>
        <v>-4247.124506124379</v>
      </c>
      <c r="BT361" s="566">
        <f>VLOOKUP($A361,'01-02.2021'!$A$6:$CZ$403,72,FALSE)+VLOOKUP($A361,'1.3.21-28.2.22'!$A$6:$DA$404,72,FALSE)-VLOOKUP($A361,'01-02.2022'!$A$6:$DA$376,72,FALSE)</f>
        <v>29182.424691296648</v>
      </c>
      <c r="BU361" s="566">
        <f>VLOOKUP($A361,'01-02.2021'!$A$6:$CZ$403,73,FALSE)+VLOOKUP($A361,'1.3.21-28.2.22'!$A$6:$DA$404,73,FALSE)-VLOOKUP($A361,'01-02.2022'!$A$6:$DA$376,73,FALSE)</f>
        <v>35264.024868777604</v>
      </c>
      <c r="BV361" s="70">
        <f t="shared" si="403"/>
        <v>6081.6001774809556</v>
      </c>
      <c r="BW361" s="566">
        <f>VLOOKUP($A361,'01-02.2021'!$A$6:$CZ$403,75,FALSE)+VLOOKUP($A361,'1.3.21-28.2.22'!$A$6:$DA$404,75,FALSE)-VLOOKUP($A361,'01-02.2022'!$A$6:$DA$376,75,FALSE)</f>
        <v>20108.604297559305</v>
      </c>
      <c r="BX361" s="566">
        <f>VLOOKUP($A361,'01-02.2021'!$A$6:$CZ$403,76,FALSE)+VLOOKUP($A361,'1.3.21-28.2.22'!$A$6:$DA$404,76,FALSE)-VLOOKUP($A361,'01-02.2022'!$A$6:$DA$376,76,FALSE)</f>
        <v>18003.046000602917</v>
      </c>
      <c r="BY361" s="70">
        <f t="shared" si="404"/>
        <v>-2105.5582969563875</v>
      </c>
      <c r="BZ361" s="566">
        <f>VLOOKUP($A361,'01-02.2021'!$A$6:$CZ$403,78,FALSE)+VLOOKUP($A361,'1.3.21-28.2.22'!$A$6:$DA$404,78,FALSE)-VLOOKUP($A361,'01-02.2022'!$A$6:$DA$376,78,FALSE)</f>
        <v>12358.544850859267</v>
      </c>
      <c r="CA361" s="566">
        <f>VLOOKUP($A361,'01-02.2021'!$A$6:$CZ$403,79,FALSE)+VLOOKUP($A361,'1.3.21-28.2.22'!$A$6:$DA$404,79,FALSE)-VLOOKUP($A361,'01-02.2022'!$A$6:$DA$376,79,FALSE)</f>
        <v>7955.7549455654698</v>
      </c>
      <c r="CB361" s="70">
        <f t="shared" si="405"/>
        <v>-4402.7899052937973</v>
      </c>
      <c r="CC361" s="566">
        <f>VLOOKUP($A361,'01-02.2021'!$A$6:$CZ$403,81,FALSE)+VLOOKUP($A361,'1.3.21-28.2.22'!$A$6:$DA$404,81,FALSE)-VLOOKUP($A361,'01-02.2022'!$A$6:$DA$376,81,FALSE)</f>
        <v>710.41872294553514</v>
      </c>
      <c r="CD361" s="566">
        <f>VLOOKUP($A361,'01-02.2021'!$A$6:$CZ$403,82,FALSE)+VLOOKUP($A361,'1.3.21-28.2.22'!$A$6:$DA$404,82,FALSE)-VLOOKUP($A361,'01-02.2022'!$A$6:$DA$376,82,FALSE)</f>
        <v>776.48270513818727</v>
      </c>
      <c r="CE361" s="70">
        <f t="shared" si="406"/>
        <v>66.063982192652134</v>
      </c>
      <c r="CF361" s="566">
        <f>VLOOKUP($A361,'01-02.2021'!$A$6:$CZ$403,84,FALSE)+VLOOKUP($A361,'1.3.21-28.2.22'!$A$6:$DA$404,84,FALSE)-VLOOKUP($A361,'01-02.2022'!$A$6:$DA$376,84,FALSE)</f>
        <v>86.36602973500905</v>
      </c>
      <c r="CG361" s="566">
        <f>VLOOKUP($A361,'01-02.2021'!$A$6:$CZ$403,85,FALSE)+VLOOKUP($A361,'1.3.21-28.2.22'!$A$6:$DA$404,85,FALSE)-VLOOKUP($A361,'01-02.2022'!$A$6:$DA$376,85,FALSE)</f>
        <v>0</v>
      </c>
      <c r="CH361" s="70">
        <f t="shared" si="407"/>
        <v>-86.36602973500905</v>
      </c>
      <c r="CI361" s="566">
        <f>VLOOKUP($A361,'01-02.2021'!$A$6:$CZ$403,87,FALSE)+VLOOKUP($A361,'1.3.21-28.2.22'!$A$6:$DA$404,87,FALSE)-VLOOKUP($A361,'01-02.2022'!$A$6:$DA$376,87,FALSE)</f>
        <v>6976.7003927368123</v>
      </c>
      <c r="CJ361" s="566">
        <f>VLOOKUP($A361,'01-02.2021'!$A$6:$CZ$403,88,FALSE)+VLOOKUP($A361,'1.3.21-28.2.22'!$A$6:$DA$404,88,FALSE)-VLOOKUP($A361,'01-02.2022'!$A$6:$DA$376,88,FALSE)</f>
        <v>2760.504389360799</v>
      </c>
      <c r="CK361" s="70">
        <f t="shared" si="408"/>
        <v>-4216.1960033760133</v>
      </c>
      <c r="CL361" s="566">
        <f>VLOOKUP($A361,'01-02.2021'!$A$6:$CZ$403,90,FALSE)+VLOOKUP($A361,'1.3.21-28.2.22'!$A$6:$DA$404,90,FALSE)-VLOOKUP($A361,'01-02.2022'!$A$6:$DA$376,90,FALSE)</f>
        <v>0</v>
      </c>
      <c r="CM361" s="566">
        <f>VLOOKUP($A361,'01-02.2021'!$A$6:$CZ$403,91,FALSE)+VLOOKUP($A361,'1.3.21-28.2.22'!$A$6:$DA$404,91,FALSE)-VLOOKUP($A361,'01-02.2022'!$A$6:$DA$376,91,FALSE)</f>
        <v>0</v>
      </c>
      <c r="CN361" s="52">
        <f t="shared" si="360"/>
        <v>0</v>
      </c>
      <c r="CO361" s="39">
        <f t="shared" si="355"/>
        <v>6976.7003927368123</v>
      </c>
      <c r="CP361" s="40">
        <f t="shared" si="361"/>
        <v>2760.504389360799</v>
      </c>
      <c r="CQ361" s="52">
        <f t="shared" si="362"/>
        <v>-4216.1960033760133</v>
      </c>
      <c r="CR361" s="72">
        <f t="shared" si="356"/>
        <v>154385.13583678057</v>
      </c>
      <c r="CS361" s="5">
        <f t="shared" si="356"/>
        <v>233154.55388546677</v>
      </c>
      <c r="CT361" s="52">
        <f t="shared" si="363"/>
        <v>78769.418048686202</v>
      </c>
      <c r="CU361" s="77">
        <f t="shared" si="364"/>
        <v>185262.16300413667</v>
      </c>
      <c r="CV361" s="65">
        <f t="shared" si="365"/>
        <v>279785.46466256009</v>
      </c>
      <c r="CW361" s="35">
        <f t="shared" si="366"/>
        <v>94523.301658423414</v>
      </c>
      <c r="CX361" s="566">
        <f>VLOOKUP($A361,'01-02.2021'!$A$6:$CZ$403,102,FALSE)+VLOOKUP($A361,'1.3.21-28.2.22'!$A$6:$DA$404,102,FALSE)-VLOOKUP($A361,'01-02.2022'!$A$6:$DA$376,102,FALSE)</f>
        <v>5873.7115932007709</v>
      </c>
      <c r="CY361" s="566">
        <f>VLOOKUP($A361,'01-02.2021'!$A$6:$CZ$403,103,FALSE)+VLOOKUP($A361,'1.3.21-28.2.22'!$A$6:$DA$404,103,FALSE)-VLOOKUP($A361,'01-02.2022'!$A$6:$DA$376,103,FALSE)</f>
        <v>-88649.590065222685</v>
      </c>
      <c r="CZ361" s="52">
        <f t="shared" si="367"/>
        <v>-94523.301658423457</v>
      </c>
      <c r="DA361" s="150">
        <f>'[2]побудинковий звіт'!DA361</f>
        <v>76000.589844673988</v>
      </c>
      <c r="DB361" s="2">
        <v>2</v>
      </c>
      <c r="DC361" s="414">
        <f>'[4]побудинковий звіт'!DC361</f>
        <v>30808.37</v>
      </c>
      <c r="DD361" s="414">
        <f>'[4]побудинковий звіт'!DD361</f>
        <v>7600.5100000000011</v>
      </c>
      <c r="DE361" s="557">
        <f>'[4]побудинковий звіт'!DE361</f>
        <v>16983.458859426893</v>
      </c>
      <c r="DF361" s="557">
        <f>'[4]побудинковий звіт'!DF361</f>
        <v>4128.1274988958048</v>
      </c>
      <c r="DG361" s="321">
        <f>VLOOKUP(A361,'кошти 01.03.2021'!$A$6:$D$401,4,)</f>
        <v>116151.35955946791</v>
      </c>
      <c r="DH361" s="40">
        <f>'[3]побудинковий звіт'!DJ361</f>
        <v>197606.91193290331</v>
      </c>
      <c r="DI361" s="422">
        <f>'[3]побудинковий звіт'!CU361+'[3]побудинковий звіт'!CX361</f>
        <v>17297.293641677301</v>
      </c>
      <c r="DJ361" s="306">
        <f>'[3]побудинковий звіт'!DM361</f>
        <v>5.344014140206613</v>
      </c>
      <c r="DK361" s="306">
        <f>DJ361</f>
        <v>5.344014140206613</v>
      </c>
      <c r="DL361" s="306">
        <f>'[3]побудинковий звіт'!DO361</f>
        <v>4.4089826950038677</v>
      </c>
      <c r="DM361" s="28">
        <f>F361*DJ361</f>
        <v>13824.911140573106</v>
      </c>
      <c r="DN361" s="28">
        <f>H361*DL361</f>
        <v>3472.3825011041963</v>
      </c>
      <c r="DO361" s="423">
        <f t="shared" si="381"/>
        <v>17297.293641677301</v>
      </c>
      <c r="DP361" s="94">
        <f t="shared" si="382"/>
        <v>0</v>
      </c>
      <c r="DQ361" s="28">
        <f t="shared" si="383"/>
        <v>17297.293641677301</v>
      </c>
      <c r="DR361" s="318"/>
      <c r="DT361" s="8"/>
      <c r="DU361" s="5"/>
      <c r="DX361" s="5">
        <f t="shared" si="384"/>
        <v>45674.170391371648</v>
      </c>
      <c r="DY361" s="5">
        <f t="shared" si="385"/>
        <v>146157.6</v>
      </c>
      <c r="DZ361" s="159">
        <f>'[3]побудинковий звіт'!EA361</f>
        <v>4066.7017664842301</v>
      </c>
    </row>
    <row r="362" spans="1:130" x14ac:dyDescent="0.3">
      <c r="A362" s="325">
        <v>150000889</v>
      </c>
      <c r="B362" s="41" t="s">
        <v>808</v>
      </c>
      <c r="C362" s="42" t="s">
        <v>428</v>
      </c>
      <c r="D362" s="42"/>
      <c r="E362" s="293">
        <f t="shared" ref="E362:E403" si="412">F362+H362</f>
        <v>5256.18</v>
      </c>
      <c r="F362" s="305">
        <f>'[3]побудинковий звіт'!F362</f>
        <v>4414.38</v>
      </c>
      <c r="G362" s="508">
        <f>'[3]побудинковий звіт'!G362</f>
        <v>0</v>
      </c>
      <c r="H362" s="560">
        <f>'[3]побудинковий звіт'!H362</f>
        <v>841.8</v>
      </c>
      <c r="I362" s="566">
        <f>VLOOKUP($A362,'01-02.2021'!$A$6:$CZ$403,9,FALSE)+VLOOKUP($A362,'1.3.21-28.2.22'!$A$6:$DA$404,9,FALSE)-VLOOKUP($A362,'01-02.2022'!$A$6:$DA$376,9,FALSE)</f>
        <v>20927.62788956604</v>
      </c>
      <c r="J362" s="566">
        <f>VLOOKUP($A362,'01-02.2021'!$A$6:$CZ$403,10,FALSE)+VLOOKUP($A362,'1.3.21-28.2.22'!$A$6:$DA$404,10,FALSE)-VLOOKUP($A362,'01-02.2022'!$A$6:$DA$376,10,FALSE)</f>
        <v>22993.260533281082</v>
      </c>
      <c r="K362" s="52">
        <f t="shared" si="357"/>
        <v>2065.6326437150419</v>
      </c>
      <c r="L362" s="566">
        <f>VLOOKUP($A362,'01-02.2021'!$A$6:$CZ$403,12,FALSE)+VLOOKUP($A362,'1.3.21-28.2.22'!$A$6:$DA$404,12,FALSE)-VLOOKUP($A362,'01-02.2022'!$A$6:$DA$376,12,FALSE)</f>
        <v>3424.4234822357275</v>
      </c>
      <c r="M362" s="566">
        <f>VLOOKUP($A362,'01-02.2021'!$A$6:$CZ$403,13,FALSE)+VLOOKUP($A362,'1.3.21-28.2.22'!$A$6:$DA$404,13,FALSE)-VLOOKUP($A362,'01-02.2022'!$A$6:$DA$376,13,FALSE)</f>
        <v>3787.5347247798268</v>
      </c>
      <c r="N362" s="52">
        <f t="shared" si="358"/>
        <v>363.11124254409924</v>
      </c>
      <c r="O362" s="566">
        <f>VLOOKUP($A362,'01-02.2021'!$A$6:$CZ$403,15,FALSE)+VLOOKUP($A362,'1.3.21-28.2.22'!$A$6:$DA$404,15,FALSE)-VLOOKUP($A362,'01-02.2022'!$A$6:$DA$376,15,FALSE)</f>
        <v>6257.6638497430504</v>
      </c>
      <c r="P362" s="566">
        <f>VLOOKUP($A362,'01-02.2021'!$A$6:$CZ$403,16,FALSE)+VLOOKUP($A362,'1.3.21-28.2.22'!$A$6:$DA$404,16,FALSE)-VLOOKUP($A362,'01-02.2022'!$A$6:$DA$376,16,FALSE)</f>
        <v>6257.6600000000008</v>
      </c>
      <c r="Q362" s="70">
        <f t="shared" si="386"/>
        <v>-3.8497430496136076E-3</v>
      </c>
      <c r="R362" s="566">
        <f>VLOOKUP($A362,'01-02.2021'!$A$6:$CZ$403,18,FALSE)+VLOOKUP($A362,'1.3.21-28.2.22'!$A$6:$DA$404,18,FALSE)-VLOOKUP($A362,'01-02.2022'!$A$6:$DA$376,18,FALSE)</f>
        <v>1451.88244810485</v>
      </c>
      <c r="S362" s="566">
        <f>VLOOKUP($A362,'01-02.2021'!$A$6:$CZ$403,19,FALSE)+VLOOKUP($A362,'1.3.21-28.2.22'!$A$6:$DA$404,19,FALSE)-VLOOKUP($A362,'01-02.2022'!$A$6:$DA$376,19,FALSE)</f>
        <v>1451.88</v>
      </c>
      <c r="T362" s="70">
        <f t="shared" si="387"/>
        <v>-2.4481048499183089E-3</v>
      </c>
      <c r="U362" s="566">
        <f>VLOOKUP($A362,'01-02.2021'!$A$6:$CZ$403,21,FALSE)+VLOOKUP($A362,'1.3.21-28.2.22'!$A$6:$DA$404,21,FALSE)-VLOOKUP($A362,'01-02.2022'!$A$6:$DA$376,21,FALSE)</f>
        <v>762.9712538190023</v>
      </c>
      <c r="V362" s="566">
        <f>VLOOKUP($A362,'01-02.2021'!$A$6:$CZ$403,22,FALSE)+VLOOKUP($A362,'1.3.21-28.2.22'!$A$6:$DA$404,22,FALSE)-VLOOKUP($A362,'01-02.2022'!$A$6:$DA$376,22,FALSE)</f>
        <v>2524.7225774413691</v>
      </c>
      <c r="W362" s="70">
        <f t="shared" si="388"/>
        <v>1761.7513236223667</v>
      </c>
      <c r="X362" s="566">
        <f>VLOOKUP($A362,'01-02.2021'!$A$6:$CZ$403,24,FALSE)+VLOOKUP($A362,'1.3.21-28.2.22'!$A$6:$DA$404,24,FALSE)-VLOOKUP($A362,'01-02.2022'!$A$6:$DA$376,24,FALSE)</f>
        <v>5840.1945484402622</v>
      </c>
      <c r="Y362" s="566">
        <f>VLOOKUP($A362,'01-02.2021'!$A$6:$CZ$403,25,FALSE)+VLOOKUP($A362,'1.3.21-28.2.22'!$A$6:$DA$404,25,FALSE)-VLOOKUP($A362,'01-02.2022'!$A$6:$DA$376,25,FALSE)</f>
        <v>4961.3514092434343</v>
      </c>
      <c r="Z362" s="70">
        <f t="shared" si="389"/>
        <v>-878.84313919682791</v>
      </c>
      <c r="AA362" s="566">
        <f>VLOOKUP($A362,'01-02.2021'!$A$6:$CZ$403,27,FALSE)+VLOOKUP($A362,'1.3.21-28.2.22'!$A$6:$DA$404,27,FALSE)-VLOOKUP($A362,'01-02.2022'!$A$6:$DA$376,27,FALSE)</f>
        <v>0</v>
      </c>
      <c r="AB362" s="566">
        <f>VLOOKUP($A362,'01-02.2021'!$A$6:$CZ$403,28,FALSE)+VLOOKUP($A362,'1.3.21-28.2.22'!$A$6:$DA$404,28,FALSE)-VLOOKUP($A362,'01-02.2022'!$A$6:$DA$376,28,FALSE)</f>
        <v>0</v>
      </c>
      <c r="AC362" s="70">
        <f t="shared" si="390"/>
        <v>0</v>
      </c>
      <c r="AD362" s="566">
        <f>VLOOKUP($A362,'01-02.2021'!$A$6:$CZ$403,30,FALSE)+VLOOKUP($A362,'1.3.21-28.2.22'!$A$6:$DA$404,30,FALSE)-VLOOKUP($A362,'01-02.2022'!$A$6:$DA$376,30,FALSE)</f>
        <v>22496.875701050965</v>
      </c>
      <c r="AE362" s="566">
        <f>VLOOKUP($A362,'01-02.2021'!$A$6:$CZ$403,31,FALSE)+VLOOKUP($A362,'1.3.21-28.2.22'!$A$6:$DA$404,31,FALSE)-VLOOKUP($A362,'01-02.2022'!$A$6:$DA$376,31,FALSE)</f>
        <v>23926.343143320482</v>
      </c>
      <c r="AF362" s="68">
        <f t="shared" si="391"/>
        <v>1429.4674422695171</v>
      </c>
      <c r="AG362" s="77">
        <f t="shared" ref="AG362:AH403" si="413">I362+L362+O362+R362+U362+X362+AA362+AD362</f>
        <v>61161.639172959898</v>
      </c>
      <c r="AH362" s="53">
        <f t="shared" si="413"/>
        <v>65902.75238806619</v>
      </c>
      <c r="AI362" s="52">
        <f t="shared" si="359"/>
        <v>4741.113215106292</v>
      </c>
      <c r="AJ362" s="566">
        <f>VLOOKUP($A362,'01-02.2021'!$A$6:$CZ$403,36,FALSE)+VLOOKUP($A362,'1.3.21-28.2.22'!$A$6:$DA$404,36,FALSE)-VLOOKUP($A362,'01-02.2022'!$A$6:$DA$376,36,FALSE)</f>
        <v>42976.319901860756</v>
      </c>
      <c r="AK362" s="566">
        <f>VLOOKUP($A362,'01-02.2021'!$A$6:$CZ$403,37,FALSE)+VLOOKUP($A362,'1.3.21-28.2.22'!$A$6:$DA$404,37,FALSE)-VLOOKUP($A362,'01-02.2022'!$A$6:$DA$376,37,FALSE)</f>
        <v>42694.617264458386</v>
      </c>
      <c r="AL362" s="70">
        <f t="shared" si="392"/>
        <v>-281.70263740236987</v>
      </c>
      <c r="AM362" s="566">
        <f>VLOOKUP($A362,'01-02.2021'!$A$6:$CZ$403,39,FALSE)+VLOOKUP($A362,'1.3.21-28.2.22'!$A$6:$DA$404,39,FALSE)-VLOOKUP($A362,'01-02.2022'!$A$6:$DA$376,39,FALSE)</f>
        <v>1050.749425</v>
      </c>
      <c r="AN362" s="566">
        <f>VLOOKUP($A362,'01-02.2021'!$A$6:$CZ$403,40,FALSE)+VLOOKUP($A362,'1.3.21-28.2.22'!$A$6:$DA$404,40,FALSE)-VLOOKUP($A362,'01-02.2022'!$A$6:$DA$376,40,FALSE)</f>
        <v>0</v>
      </c>
      <c r="AO362" s="70">
        <f t="shared" si="393"/>
        <v>-1050.749425</v>
      </c>
      <c r="AP362" s="566">
        <f>VLOOKUP($A362,'01-02.2021'!$A$6:$CZ$403,42,FALSE)+VLOOKUP($A362,'1.3.21-28.2.22'!$A$6:$DA$404,42,FALSE)-VLOOKUP($A362,'01-02.2022'!$A$6:$DA$376,42,FALSE)</f>
        <v>3904.1994375958316</v>
      </c>
      <c r="AQ362" s="566">
        <f>VLOOKUP($A362,'01-02.2021'!$A$6:$CZ$403,43,FALSE)+VLOOKUP($A362,'1.3.21-28.2.22'!$A$6:$DA$404,43,FALSE)-VLOOKUP($A362,'01-02.2022'!$A$6:$DA$376,43,FALSE)</f>
        <v>3457.5408626804106</v>
      </c>
      <c r="AR362" s="70">
        <f t="shared" si="394"/>
        <v>-446.65857491542101</v>
      </c>
      <c r="AS362" s="566">
        <f>VLOOKUP($A362,'01-02.2021'!$A$6:$CZ$403,45,FALSE)+VLOOKUP($A362,'1.3.21-28.2.22'!$A$6:$DA$404,45,FALSE)-VLOOKUP($A362,'01-02.2022'!$A$6:$DA$376,45,FALSE)</f>
        <v>57648.497460879444</v>
      </c>
      <c r="AT362" s="566">
        <f>VLOOKUP($A362,'01-02.2021'!$A$6:$CZ$403,46,FALSE)+VLOOKUP($A362,'1.3.21-28.2.22'!$A$6:$DA$404,46,FALSE)-VLOOKUP($A362,'01-02.2022'!$A$6:$DA$376,46,FALSE)</f>
        <v>30396.68</v>
      </c>
      <c r="AU362" s="78">
        <f t="shared" si="395"/>
        <v>-27251.817460879443</v>
      </c>
      <c r="AV362" s="566">
        <f>VLOOKUP($A362,'01-02.2021'!$A$6:$CZ$403,48,FALSE)+VLOOKUP($A362,'1.3.21-28.2.22'!$A$6:$DA$404,48,FALSE)-VLOOKUP($A362,'01-02.2022'!$A$6:$DA$376,48,FALSE)</f>
        <v>4614.0034818462846</v>
      </c>
      <c r="AW362" s="566">
        <f>VLOOKUP($A362,'01-02.2021'!$A$6:$CZ$403,49,FALSE)+VLOOKUP($A362,'1.3.21-28.2.22'!$A$6:$DA$404,49,FALSE)-VLOOKUP($A362,'01-02.2022'!$A$6:$DA$376,49,FALSE)</f>
        <v>4282</v>
      </c>
      <c r="AX362" s="55">
        <f t="shared" si="396"/>
        <v>-332.00348184628456</v>
      </c>
      <c r="AY362" s="566">
        <f>VLOOKUP($A362,'01-02.2021'!$A$6:$CZ$403,51,FALSE)+VLOOKUP($A362,'1.3.21-28.2.22'!$A$6:$DA$404,51,FALSE)-VLOOKUP($A362,'01-02.2022'!$A$6:$DA$376,51,FALSE)</f>
        <v>5139.1678594421364</v>
      </c>
      <c r="AZ362" s="566">
        <f>VLOOKUP($A362,'01-02.2021'!$A$6:$CZ$403,52,FALSE)+VLOOKUP($A362,'1.3.21-28.2.22'!$A$6:$DA$404,52,FALSE)-VLOOKUP($A362,'01-02.2022'!$A$6:$DA$376,52,FALSE)</f>
        <v>4519</v>
      </c>
      <c r="BA362" s="38">
        <f t="shared" si="397"/>
        <v>-620.16785944213643</v>
      </c>
      <c r="BB362" s="566">
        <f>VLOOKUP($A362,'01-02.2021'!$A$6:$CZ$403,54,FALSE)+VLOOKUP($A362,'1.3.21-28.2.22'!$A$6:$DA$404,54,FALSE)-VLOOKUP($A362,'01-02.2022'!$A$6:$DA$376,54,FALSE)</f>
        <v>2479.6148816266818</v>
      </c>
      <c r="BC362" s="566">
        <f>VLOOKUP($A362,'01-02.2021'!$A$6:$CZ$403,55,FALSE)+VLOOKUP($A362,'1.3.21-28.2.22'!$A$6:$DA$404,55,FALSE)-VLOOKUP($A362,'01-02.2022'!$A$6:$DA$376,55,FALSE)</f>
        <v>5467</v>
      </c>
      <c r="BD362" s="55">
        <f t="shared" si="398"/>
        <v>2987.3851183733182</v>
      </c>
      <c r="BE362" s="566">
        <f>VLOOKUP($A362,'01-02.2021'!$A$6:$CZ$403,57,FALSE)+VLOOKUP($A362,'1.3.21-28.2.22'!$A$6:$DA$404,57,FALSE)-VLOOKUP($A362,'01-02.2022'!$A$6:$DA$376,57,FALSE)</f>
        <v>3354.807458244702</v>
      </c>
      <c r="BF362" s="566">
        <f>VLOOKUP($A362,'01-02.2021'!$A$6:$CZ$403,58,FALSE)+VLOOKUP($A362,'1.3.21-28.2.22'!$A$6:$DA$404,58,FALSE)-VLOOKUP($A362,'01-02.2022'!$A$6:$DA$376,58,FALSE)</f>
        <v>0</v>
      </c>
      <c r="BG362" s="55">
        <f t="shared" si="399"/>
        <v>-3354.807458244702</v>
      </c>
      <c r="BH362" s="566">
        <f>VLOOKUP($A362,'01-02.2021'!$A$6:$CZ$403,60,FALSE)+VLOOKUP($A362,'1.3.21-28.2.22'!$A$6:$DA$404,60,FALSE)-VLOOKUP($A362,'01-02.2022'!$A$6:$DA$376,60,FALSE)</f>
        <v>1449.5636060458335</v>
      </c>
      <c r="BI362" s="566">
        <f>VLOOKUP($A362,'01-02.2021'!$A$6:$CZ$403,61,FALSE)+VLOOKUP($A362,'1.3.21-28.2.22'!$A$6:$DA$404,61,FALSE)-VLOOKUP($A362,'01-02.2022'!$A$6:$DA$376,61,FALSE)</f>
        <v>0</v>
      </c>
      <c r="BJ362" s="55">
        <f t="shared" si="400"/>
        <v>-1449.5636060458335</v>
      </c>
      <c r="BK362" s="566">
        <f>VLOOKUP($A362,'01-02.2021'!$A$6:$CZ$403,63,FALSE)+VLOOKUP($A362,'1.3.21-28.2.22'!$A$6:$DA$404,63,FALSE)-VLOOKUP($A362,'01-02.2022'!$A$6:$DA$376,63,FALSE)</f>
        <v>2641.5435539508517</v>
      </c>
      <c r="BL362" s="566">
        <f>VLOOKUP($A362,'01-02.2021'!$A$6:$CZ$403,64,FALSE)+VLOOKUP($A362,'1.3.21-28.2.22'!$A$6:$DA$404,64,FALSE)-VLOOKUP($A362,'01-02.2022'!$A$6:$DA$376,64,FALSE)</f>
        <v>342</v>
      </c>
      <c r="BM362" s="55">
        <f t="shared" si="401"/>
        <v>-2299.5435539508517</v>
      </c>
      <c r="BN362" s="566">
        <f>VLOOKUP($A362,'01-02.2021'!$A$6:$CZ$403,66,FALSE)+VLOOKUP($A362,'1.3.21-28.2.22'!$A$6:$DA$404,66,FALSE)-VLOOKUP($A362,'01-02.2022'!$A$6:$DA$376,66,FALSE)</f>
        <v>0</v>
      </c>
      <c r="BO362" s="566">
        <f>VLOOKUP($A362,'01-02.2021'!$A$6:$CZ$403,67,FALSE)+VLOOKUP($A362,'1.3.21-28.2.22'!$A$6:$DA$404,67,FALSE)-VLOOKUP($A362,'01-02.2022'!$A$6:$DA$376,67,FALSE)</f>
        <v>0</v>
      </c>
      <c r="BP362" s="55">
        <f t="shared" si="402"/>
        <v>0</v>
      </c>
      <c r="BQ362" s="77">
        <f t="shared" si="409"/>
        <v>19678.700841156489</v>
      </c>
      <c r="BR362" s="40">
        <f t="shared" si="410"/>
        <v>14610</v>
      </c>
      <c r="BS362" s="55">
        <f t="shared" si="369"/>
        <v>-5068.7008411564893</v>
      </c>
      <c r="BT362" s="566">
        <f>VLOOKUP($A362,'01-02.2021'!$A$6:$CZ$403,72,FALSE)+VLOOKUP($A362,'1.3.21-28.2.22'!$A$6:$DA$404,72,FALSE)-VLOOKUP($A362,'01-02.2022'!$A$6:$DA$376,72,FALSE)</f>
        <v>46017.901769631571</v>
      </c>
      <c r="BU362" s="566">
        <f>VLOOKUP($A362,'01-02.2021'!$A$6:$CZ$403,73,FALSE)+VLOOKUP($A362,'1.3.21-28.2.22'!$A$6:$DA$404,73,FALSE)-VLOOKUP($A362,'01-02.2022'!$A$6:$DA$376,73,FALSE)</f>
        <v>38831.626840516881</v>
      </c>
      <c r="BV362" s="70">
        <f t="shared" si="403"/>
        <v>-7186.2749291146902</v>
      </c>
      <c r="BW362" s="566">
        <f>VLOOKUP($A362,'01-02.2021'!$A$6:$CZ$403,75,FALSE)+VLOOKUP($A362,'1.3.21-28.2.22'!$A$6:$DA$404,75,FALSE)-VLOOKUP($A362,'01-02.2022'!$A$6:$DA$376,75,FALSE)</f>
        <v>53193.113743125286</v>
      </c>
      <c r="BX362" s="566">
        <f>VLOOKUP($A362,'01-02.2021'!$A$6:$CZ$403,76,FALSE)+VLOOKUP($A362,'1.3.21-28.2.22'!$A$6:$DA$404,76,FALSE)-VLOOKUP($A362,'01-02.2022'!$A$6:$DA$376,76,FALSE)</f>
        <v>45611.983147040803</v>
      </c>
      <c r="BY362" s="70">
        <f t="shared" si="404"/>
        <v>-7581.1305960844838</v>
      </c>
      <c r="BZ362" s="566">
        <f>VLOOKUP($A362,'01-02.2021'!$A$6:$CZ$403,78,FALSE)+VLOOKUP($A362,'1.3.21-28.2.22'!$A$6:$DA$404,78,FALSE)-VLOOKUP($A362,'01-02.2022'!$A$6:$DA$376,78,FALSE)</f>
        <v>5298.9125446852377</v>
      </c>
      <c r="CA362" s="566">
        <f>VLOOKUP($A362,'01-02.2021'!$A$6:$CZ$403,79,FALSE)+VLOOKUP($A362,'1.3.21-28.2.22'!$A$6:$DA$404,79,FALSE)-VLOOKUP($A362,'01-02.2022'!$A$6:$DA$376,79,FALSE)</f>
        <v>9373.2170659663007</v>
      </c>
      <c r="CB362" s="70">
        <f t="shared" si="405"/>
        <v>4074.304521281063</v>
      </c>
      <c r="CC362" s="566">
        <f>VLOOKUP($A362,'01-02.2021'!$A$6:$CZ$403,81,FALSE)+VLOOKUP($A362,'1.3.21-28.2.22'!$A$6:$DA$404,81,FALSE)-VLOOKUP($A362,'01-02.2022'!$A$6:$DA$376,81,FALSE)</f>
        <v>753.40580185796091</v>
      </c>
      <c r="CD362" s="566">
        <f>VLOOKUP($A362,'01-02.2021'!$A$6:$CZ$403,82,FALSE)+VLOOKUP($A362,'1.3.21-28.2.22'!$A$6:$DA$404,82,FALSE)-VLOOKUP($A362,'01-02.2022'!$A$6:$DA$376,82,FALSE)</f>
        <v>805.67378427872063</v>
      </c>
      <c r="CE362" s="70">
        <f t="shared" si="406"/>
        <v>52.267982420759722</v>
      </c>
      <c r="CF362" s="566">
        <f>VLOOKUP($A362,'01-02.2021'!$A$6:$CZ$403,84,FALSE)+VLOOKUP($A362,'1.3.21-28.2.22'!$A$6:$DA$404,84,FALSE)-VLOOKUP($A362,'01-02.2022'!$A$6:$DA$376,84,FALSE)</f>
        <v>89.612872958129699</v>
      </c>
      <c r="CG362" s="566">
        <f>VLOOKUP($A362,'01-02.2021'!$A$6:$CZ$403,85,FALSE)+VLOOKUP($A362,'1.3.21-28.2.22'!$A$6:$DA$404,85,FALSE)-VLOOKUP($A362,'01-02.2022'!$A$6:$DA$376,85,FALSE)</f>
        <v>0</v>
      </c>
      <c r="CH362" s="70">
        <f t="shared" si="407"/>
        <v>-89.612872958129699</v>
      </c>
      <c r="CI362" s="566">
        <f>VLOOKUP($A362,'01-02.2021'!$A$6:$CZ$403,87,FALSE)+VLOOKUP($A362,'1.3.21-28.2.22'!$A$6:$DA$404,87,FALSE)-VLOOKUP($A362,'01-02.2022'!$A$6:$DA$376,87,FALSE)</f>
        <v>16192.974977163192</v>
      </c>
      <c r="CJ362" s="566">
        <f>VLOOKUP($A362,'01-02.2021'!$A$6:$CZ$403,88,FALSE)+VLOOKUP($A362,'1.3.21-28.2.22'!$A$6:$DA$404,88,FALSE)-VLOOKUP($A362,'01-02.2022'!$A$6:$DA$376,88,FALSE)</f>
        <v>14990.062281470266</v>
      </c>
      <c r="CK362" s="70">
        <f t="shared" si="408"/>
        <v>-1202.9126956929267</v>
      </c>
      <c r="CL362" s="566">
        <f>VLOOKUP($A362,'01-02.2021'!$A$6:$CZ$403,90,FALSE)+VLOOKUP($A362,'1.3.21-28.2.22'!$A$6:$DA$404,90,FALSE)-VLOOKUP($A362,'01-02.2022'!$A$6:$DA$376,90,FALSE)</f>
        <v>36732.720958681239</v>
      </c>
      <c r="CM362" s="566">
        <f>VLOOKUP($A362,'01-02.2021'!$A$6:$CZ$403,91,FALSE)+VLOOKUP($A362,'1.3.21-28.2.22'!$A$6:$DA$404,91,FALSE)-VLOOKUP($A362,'01-02.2022'!$A$6:$DA$376,91,FALSE)</f>
        <v>30357.286132421657</v>
      </c>
      <c r="CN362" s="52">
        <f t="shared" si="360"/>
        <v>-6375.4348262595813</v>
      </c>
      <c r="CO362" s="39">
        <f t="shared" ref="CO362:CO403" si="414">CI362+CL362</f>
        <v>52925.695935844429</v>
      </c>
      <c r="CP362" s="40">
        <f t="shared" si="361"/>
        <v>45347.348413891923</v>
      </c>
      <c r="CQ362" s="52">
        <f t="shared" si="362"/>
        <v>-7578.3475219525062</v>
      </c>
      <c r="CR362" s="72">
        <f t="shared" ref="CR362:CS403" si="415">AG362+AJ362+AM362+AP362+AS362+BQ362+BT362+BW362+BZ362+CC362+CF362+CO362</f>
        <v>344698.74890755501</v>
      </c>
      <c r="CS362" s="5">
        <f t="shared" si="415"/>
        <v>297031.43976689962</v>
      </c>
      <c r="CT362" s="52">
        <f t="shared" si="363"/>
        <v>-47667.309140655387</v>
      </c>
      <c r="CU362" s="77">
        <f t="shared" si="364"/>
        <v>413638.49868906598</v>
      </c>
      <c r="CV362" s="65">
        <f t="shared" si="365"/>
        <v>356437.72772027954</v>
      </c>
      <c r="CW362" s="35">
        <f t="shared" si="366"/>
        <v>-57200.770968786441</v>
      </c>
      <c r="CX362" s="566">
        <f>VLOOKUP($A362,'01-02.2021'!$A$6:$CZ$403,102,FALSE)+VLOOKUP($A362,'1.3.21-28.2.22'!$A$6:$DA$404,102,FALSE)-VLOOKUP($A362,'01-02.2022'!$A$6:$DA$376,102,FALSE)</f>
        <v>14540.654126074645</v>
      </c>
      <c r="CY362" s="566">
        <f>VLOOKUP($A362,'01-02.2021'!$A$6:$CZ$403,103,FALSE)+VLOOKUP($A362,'1.3.21-28.2.22'!$A$6:$DA$404,103,FALSE)-VLOOKUP($A362,'01-02.2022'!$A$6:$DA$376,103,FALSE)</f>
        <v>71741.425094861101</v>
      </c>
      <c r="CZ362" s="52">
        <f t="shared" si="367"/>
        <v>57200.770968786455</v>
      </c>
      <c r="DA362" s="150">
        <f>'[2]побудинковий звіт'!DA362</f>
        <v>37841.829112294268</v>
      </c>
      <c r="DB362" s="2">
        <v>2</v>
      </c>
      <c r="DC362" s="414">
        <f>'[4]побудинковий звіт'!DC362</f>
        <v>68408.929999999993</v>
      </c>
      <c r="DD362" s="414">
        <f>'[4]побудинковий звіт'!DD362</f>
        <v>2926.4</v>
      </c>
      <c r="DE362" s="557">
        <f>'[4]побудинковий звіт'!DE362</f>
        <v>33880.820742803982</v>
      </c>
      <c r="DF362" s="557">
        <f>'[4]побудинковий звіт'!DF362</f>
        <v>-818.05051647967912</v>
      </c>
      <c r="DG362" s="321">
        <f>VLOOKUP(A362,'кошти 01.03.2021'!$A$6:$D$401,4,)</f>
        <v>98375.139791385343</v>
      </c>
      <c r="DH362" s="40">
        <f>'[3]побудинковий звіт'!DJ362</f>
        <v>440383.28735428839</v>
      </c>
      <c r="DI362" s="422">
        <f>'[3]побудинковий звіт'!CU362+'[3]побудинковий звіт'!CX362</f>
        <v>38272.559773675683</v>
      </c>
      <c r="DJ362" s="306">
        <f>'[3]побудинковий звіт'!DM362</f>
        <v>5.9076034224481102</v>
      </c>
      <c r="DK362" s="306">
        <f>'[3]побудинковий звіт'!DN362</f>
        <v>7.8217347072966099</v>
      </c>
      <c r="DL362" s="306">
        <f>'[3]побудинковий звіт'!DO362</f>
        <v>4.4481474417672597</v>
      </c>
      <c r="DM362" s="28">
        <f t="shared" ref="DM362:DM363" si="416">DJ362*G362+(F362-G362)*DK362</f>
        <v>34528.109257196011</v>
      </c>
      <c r="DN362" s="28">
        <f>DL362*H362</f>
        <v>3744.4505164796792</v>
      </c>
      <c r="DO362" s="423">
        <f t="shared" si="381"/>
        <v>38272.55977367569</v>
      </c>
      <c r="DP362" s="94">
        <f t="shared" si="382"/>
        <v>0</v>
      </c>
      <c r="DQ362" s="28">
        <f t="shared" si="383"/>
        <v>38272.55977367569</v>
      </c>
      <c r="DR362" s="318"/>
      <c r="DT362" s="8"/>
      <c r="DU362" s="5"/>
      <c r="DX362" s="5">
        <f t="shared" si="384"/>
        <v>92792.637962443114</v>
      </c>
      <c r="DY362" s="5">
        <f t="shared" si="385"/>
        <v>54008.015999999996</v>
      </c>
      <c r="DZ362" s="159">
        <f>'[3]побудинковий звіт'!EA362</f>
        <v>8637.862394071637</v>
      </c>
    </row>
    <row r="363" spans="1:130" x14ac:dyDescent="0.3">
      <c r="A363" s="325">
        <v>150000890</v>
      </c>
      <c r="B363" s="41" t="s">
        <v>809</v>
      </c>
      <c r="C363" s="42" t="s">
        <v>399</v>
      </c>
      <c r="D363" s="42"/>
      <c r="E363" s="293">
        <f t="shared" si="412"/>
        <v>8449.6999999999989</v>
      </c>
      <c r="F363" s="305">
        <f>'[3]побудинковий звіт'!F363</f>
        <v>8324.4</v>
      </c>
      <c r="G363" s="508">
        <f>'[3]побудинковий звіт'!G363</f>
        <v>801.12</v>
      </c>
      <c r="H363" s="560">
        <f>'[3]побудинковий звіт'!H363</f>
        <v>125.3</v>
      </c>
      <c r="I363" s="566">
        <f>VLOOKUP($A363,'01-02.2021'!$A$6:$CZ$403,9,FALSE)+VLOOKUP($A363,'1.3.21-28.2.22'!$A$6:$DA$404,9,FALSE)-VLOOKUP($A363,'01-02.2022'!$A$6:$DA$376,9,FALSE)</f>
        <v>19482.763712154207</v>
      </c>
      <c r="J363" s="566">
        <f>VLOOKUP($A363,'01-02.2021'!$A$6:$CZ$403,10,FALSE)+VLOOKUP($A363,'1.3.21-28.2.22'!$A$6:$DA$404,10,FALSE)-VLOOKUP($A363,'01-02.2022'!$A$6:$DA$376,10,FALSE)</f>
        <v>21742.613641453489</v>
      </c>
      <c r="K363" s="52">
        <f t="shared" ref="K363:K403" si="417">J363-I363</f>
        <v>2259.8499292992819</v>
      </c>
      <c r="L363" s="566">
        <f>VLOOKUP($A363,'01-02.2021'!$A$6:$CZ$403,12,FALSE)+VLOOKUP($A363,'1.3.21-28.2.22'!$A$6:$DA$404,12,FALSE)-VLOOKUP($A363,'01-02.2022'!$A$6:$DA$376,12,FALSE)</f>
        <v>3963.1762709157474</v>
      </c>
      <c r="M363" s="566">
        <f>VLOOKUP($A363,'01-02.2021'!$A$6:$CZ$403,13,FALSE)+VLOOKUP($A363,'1.3.21-28.2.22'!$A$6:$DA$404,13,FALSE)-VLOOKUP($A363,'01-02.2022'!$A$6:$DA$376,13,FALSE)</f>
        <v>4405.4266527550999</v>
      </c>
      <c r="N363" s="52">
        <f t="shared" ref="N363:N403" si="418">M363-L363</f>
        <v>442.25038183935249</v>
      </c>
      <c r="O363" s="566">
        <f>VLOOKUP($A363,'01-02.2021'!$A$6:$CZ$403,15,FALSE)+VLOOKUP($A363,'1.3.21-28.2.22'!$A$6:$DA$404,15,FALSE)-VLOOKUP($A363,'01-02.2022'!$A$6:$DA$376,15,FALSE)</f>
        <v>11492.595079016235</v>
      </c>
      <c r="P363" s="566">
        <f>VLOOKUP($A363,'01-02.2021'!$A$6:$CZ$403,16,FALSE)+VLOOKUP($A363,'1.3.21-28.2.22'!$A$6:$DA$404,16,FALSE)-VLOOKUP($A363,'01-02.2022'!$A$6:$DA$376,16,FALSE)</f>
        <v>11492.610000000002</v>
      </c>
      <c r="Q363" s="70">
        <f t="shared" si="386"/>
        <v>1.4920983767297002E-2</v>
      </c>
      <c r="R363" s="566">
        <f>VLOOKUP($A363,'01-02.2021'!$A$6:$CZ$403,18,FALSE)+VLOOKUP($A363,'1.3.21-28.2.22'!$A$6:$DA$404,18,FALSE)-VLOOKUP($A363,'01-02.2022'!$A$6:$DA$376,18,FALSE)</f>
        <v>2707.6639413436505</v>
      </c>
      <c r="S363" s="566">
        <f>VLOOKUP($A363,'01-02.2021'!$A$6:$CZ$403,19,FALSE)+VLOOKUP($A363,'1.3.21-28.2.22'!$A$6:$DA$404,19,FALSE)-VLOOKUP($A363,'01-02.2022'!$A$6:$DA$376,19,FALSE)</f>
        <v>2707.7000000000003</v>
      </c>
      <c r="T363" s="70">
        <f t="shared" si="387"/>
        <v>3.6058656349723606E-2</v>
      </c>
      <c r="U363" s="566">
        <f>VLOOKUP($A363,'01-02.2021'!$A$6:$CZ$403,21,FALSE)+VLOOKUP($A363,'1.3.21-28.2.22'!$A$6:$DA$404,21,FALSE)-VLOOKUP($A363,'01-02.2022'!$A$6:$DA$376,21,FALSE)</f>
        <v>1343.0086920422948</v>
      </c>
      <c r="V363" s="566">
        <f>VLOOKUP($A363,'01-02.2021'!$A$6:$CZ$403,22,FALSE)+VLOOKUP($A363,'1.3.21-28.2.22'!$A$6:$DA$404,22,FALSE)-VLOOKUP($A363,'01-02.2022'!$A$6:$DA$376,22,FALSE)</f>
        <v>4558.0308968181971</v>
      </c>
      <c r="W363" s="70">
        <f t="shared" si="388"/>
        <v>3215.0222047759025</v>
      </c>
      <c r="X363" s="566">
        <f>VLOOKUP($A363,'01-02.2021'!$A$6:$CZ$403,24,FALSE)+VLOOKUP($A363,'1.3.21-28.2.22'!$A$6:$DA$404,24,FALSE)-VLOOKUP($A363,'01-02.2022'!$A$6:$DA$376,24,FALSE)</f>
        <v>12748.647630908643</v>
      </c>
      <c r="Y363" s="566">
        <f>VLOOKUP($A363,'01-02.2021'!$A$6:$CZ$403,25,FALSE)+VLOOKUP($A363,'1.3.21-28.2.22'!$A$6:$DA$404,25,FALSE)-VLOOKUP($A363,'01-02.2022'!$A$6:$DA$376,25,FALSE)</f>
        <v>10737.411255431296</v>
      </c>
      <c r="Z363" s="70">
        <f t="shared" si="389"/>
        <v>-2011.2363754773469</v>
      </c>
      <c r="AA363" s="566">
        <f>VLOOKUP($A363,'01-02.2021'!$A$6:$CZ$403,27,FALSE)+VLOOKUP($A363,'1.3.21-28.2.22'!$A$6:$DA$404,27,FALSE)-VLOOKUP($A363,'01-02.2022'!$A$6:$DA$376,27,FALSE)</f>
        <v>1664.5320000000002</v>
      </c>
      <c r="AB363" s="566">
        <f>VLOOKUP($A363,'01-02.2021'!$A$6:$CZ$403,28,FALSE)+VLOOKUP($A363,'1.3.21-28.2.22'!$A$6:$DA$404,28,FALSE)-VLOOKUP($A363,'01-02.2022'!$A$6:$DA$376,28,FALSE)</f>
        <v>0</v>
      </c>
      <c r="AC363" s="70">
        <f t="shared" si="390"/>
        <v>-1664.5320000000002</v>
      </c>
      <c r="AD363" s="566">
        <f>VLOOKUP($A363,'01-02.2021'!$A$6:$CZ$403,30,FALSE)+VLOOKUP($A363,'1.3.21-28.2.22'!$A$6:$DA$404,30,FALSE)-VLOOKUP($A363,'01-02.2022'!$A$6:$DA$376,30,FALSE)</f>
        <v>36065.088367346849</v>
      </c>
      <c r="AE363" s="566">
        <f>VLOOKUP($A363,'01-02.2021'!$A$6:$CZ$403,31,FALSE)+VLOOKUP($A363,'1.3.21-28.2.22'!$A$6:$DA$404,31,FALSE)-VLOOKUP($A363,'01-02.2022'!$A$6:$DA$376,31,FALSE)</f>
        <v>38544.840305656158</v>
      </c>
      <c r="AF363" s="68">
        <f t="shared" si="391"/>
        <v>2479.7519383093095</v>
      </c>
      <c r="AG363" s="77">
        <f t="shared" si="413"/>
        <v>89467.475693727625</v>
      </c>
      <c r="AH363" s="53">
        <f t="shared" si="413"/>
        <v>94188.632752114238</v>
      </c>
      <c r="AI363" s="52">
        <f t="shared" ref="AI363:AI403" si="419">AH363-AG363</f>
        <v>4721.1570583866123</v>
      </c>
      <c r="AJ363" s="566">
        <f>VLOOKUP($A363,'01-02.2021'!$A$6:$CZ$403,36,FALSE)+VLOOKUP($A363,'1.3.21-28.2.22'!$A$6:$DA$404,36,FALSE)-VLOOKUP($A363,'01-02.2022'!$A$6:$DA$376,36,FALSE)</f>
        <v>65344.089111374487</v>
      </c>
      <c r="AK363" s="566">
        <f>VLOOKUP($A363,'01-02.2021'!$A$6:$CZ$403,37,FALSE)+VLOOKUP($A363,'1.3.21-28.2.22'!$A$6:$DA$404,37,FALSE)-VLOOKUP($A363,'01-02.2022'!$A$6:$DA$376,37,FALSE)</f>
        <v>64773.469846520995</v>
      </c>
      <c r="AL363" s="70">
        <f t="shared" si="392"/>
        <v>-570.6192648534925</v>
      </c>
      <c r="AM363" s="566">
        <f>VLOOKUP($A363,'01-02.2021'!$A$6:$CZ$403,39,FALSE)+VLOOKUP($A363,'1.3.21-28.2.22'!$A$6:$DA$404,39,FALSE)-VLOOKUP($A363,'01-02.2022'!$A$6:$DA$376,39,FALSE)</f>
        <v>2101.4988499999999</v>
      </c>
      <c r="AN363" s="566">
        <f>VLOOKUP($A363,'01-02.2021'!$A$6:$CZ$403,40,FALSE)+VLOOKUP($A363,'1.3.21-28.2.22'!$A$6:$DA$404,40,FALSE)-VLOOKUP($A363,'01-02.2022'!$A$6:$DA$376,40,FALSE)</f>
        <v>0</v>
      </c>
      <c r="AO363" s="70">
        <f t="shared" si="393"/>
        <v>-2101.4988499999999</v>
      </c>
      <c r="AP363" s="566">
        <f>VLOOKUP($A363,'01-02.2021'!$A$6:$CZ$403,42,FALSE)+VLOOKUP($A363,'1.3.21-28.2.22'!$A$6:$DA$404,42,FALSE)-VLOOKUP($A363,'01-02.2022'!$A$6:$DA$376,42,FALSE)</f>
        <v>6159.9591126512014</v>
      </c>
      <c r="AQ363" s="566">
        <f>VLOOKUP($A363,'01-02.2021'!$A$6:$CZ$403,43,FALSE)+VLOOKUP($A363,'1.3.21-28.2.22'!$A$6:$DA$404,43,FALSE)-VLOOKUP($A363,'01-02.2022'!$A$6:$DA$376,43,FALSE)</f>
        <v>7182.4037685429385</v>
      </c>
      <c r="AR363" s="70">
        <f t="shared" si="394"/>
        <v>1022.4446558917371</v>
      </c>
      <c r="AS363" s="566">
        <f>VLOOKUP($A363,'01-02.2021'!$A$6:$CZ$403,45,FALSE)+VLOOKUP($A363,'1.3.21-28.2.22'!$A$6:$DA$404,45,FALSE)-VLOOKUP($A363,'01-02.2022'!$A$6:$DA$376,45,FALSE)</f>
        <v>92863.586372842285</v>
      </c>
      <c r="AT363" s="566">
        <f>VLOOKUP($A363,'01-02.2021'!$A$6:$CZ$403,46,FALSE)+VLOOKUP($A363,'1.3.21-28.2.22'!$A$6:$DA$404,46,FALSE)-VLOOKUP($A363,'01-02.2022'!$A$6:$DA$376,46,FALSE)</f>
        <v>62606.05</v>
      </c>
      <c r="AU363" s="78">
        <f t="shared" si="395"/>
        <v>-30257.536372842282</v>
      </c>
      <c r="AV363" s="566">
        <f>VLOOKUP($A363,'01-02.2021'!$A$6:$CZ$403,48,FALSE)+VLOOKUP($A363,'1.3.21-28.2.22'!$A$6:$DA$404,48,FALSE)-VLOOKUP($A363,'01-02.2022'!$A$6:$DA$376,48,FALSE)</f>
        <v>4406.6801826582741</v>
      </c>
      <c r="AW363" s="566">
        <f>VLOOKUP($A363,'01-02.2021'!$A$6:$CZ$403,49,FALSE)+VLOOKUP($A363,'1.3.21-28.2.22'!$A$6:$DA$404,49,FALSE)-VLOOKUP($A363,'01-02.2022'!$A$6:$DA$376,49,FALSE)</f>
        <v>6521.55</v>
      </c>
      <c r="AX363" s="55">
        <f t="shared" si="396"/>
        <v>2114.869817341726</v>
      </c>
      <c r="AY363" s="566">
        <f>VLOOKUP($A363,'01-02.2021'!$A$6:$CZ$403,51,FALSE)+VLOOKUP($A363,'1.3.21-28.2.22'!$A$6:$DA$404,51,FALSE)-VLOOKUP($A363,'01-02.2022'!$A$6:$DA$376,51,FALSE)</f>
        <v>6032.4423470841175</v>
      </c>
      <c r="AZ363" s="566">
        <f>VLOOKUP($A363,'01-02.2021'!$A$6:$CZ$403,52,FALSE)+VLOOKUP($A363,'1.3.21-28.2.22'!$A$6:$DA$404,52,FALSE)-VLOOKUP($A363,'01-02.2022'!$A$6:$DA$376,52,FALSE)</f>
        <v>3255</v>
      </c>
      <c r="BA363" s="38">
        <f t="shared" si="397"/>
        <v>-2777.4423470841175</v>
      </c>
      <c r="BB363" s="566">
        <f>VLOOKUP($A363,'01-02.2021'!$A$6:$CZ$403,54,FALSE)+VLOOKUP($A363,'1.3.21-28.2.22'!$A$6:$DA$404,54,FALSE)-VLOOKUP($A363,'01-02.2022'!$A$6:$DA$376,54,FALSE)</f>
        <v>3433.7267939837784</v>
      </c>
      <c r="BC363" s="566">
        <f>VLOOKUP($A363,'01-02.2021'!$A$6:$CZ$403,55,FALSE)+VLOOKUP($A363,'1.3.21-28.2.22'!$A$6:$DA$404,55,FALSE)-VLOOKUP($A363,'01-02.2022'!$A$6:$DA$376,55,FALSE)</f>
        <v>0</v>
      </c>
      <c r="BD363" s="55">
        <f t="shared" si="398"/>
        <v>-3433.7267939837784</v>
      </c>
      <c r="BE363" s="566">
        <f>VLOOKUP($A363,'01-02.2021'!$A$6:$CZ$403,57,FALSE)+VLOOKUP($A363,'1.3.21-28.2.22'!$A$6:$DA$404,57,FALSE)-VLOOKUP($A363,'01-02.2022'!$A$6:$DA$376,57,FALSE)</f>
        <v>6010.7236461983966</v>
      </c>
      <c r="BF363" s="566">
        <f>VLOOKUP($A363,'01-02.2021'!$A$6:$CZ$403,58,FALSE)+VLOOKUP($A363,'1.3.21-28.2.22'!$A$6:$DA$404,58,FALSE)-VLOOKUP($A363,'01-02.2022'!$A$6:$DA$376,58,FALSE)</f>
        <v>566</v>
      </c>
      <c r="BG363" s="55">
        <f t="shared" si="399"/>
        <v>-5444.7236461983966</v>
      </c>
      <c r="BH363" s="566">
        <f>VLOOKUP($A363,'01-02.2021'!$A$6:$CZ$403,60,FALSE)+VLOOKUP($A363,'1.3.21-28.2.22'!$A$6:$DA$404,60,FALSE)-VLOOKUP($A363,'01-02.2022'!$A$6:$DA$376,60,FALSE)</f>
        <v>2551.3557600248669</v>
      </c>
      <c r="BI363" s="566">
        <f>VLOOKUP($A363,'01-02.2021'!$A$6:$CZ$403,61,FALSE)+VLOOKUP($A363,'1.3.21-28.2.22'!$A$6:$DA$404,61,FALSE)-VLOOKUP($A363,'01-02.2022'!$A$6:$DA$376,61,FALSE)</f>
        <v>0</v>
      </c>
      <c r="BJ363" s="55">
        <f t="shared" si="400"/>
        <v>-2551.3557600248669</v>
      </c>
      <c r="BK363" s="566">
        <f>VLOOKUP($A363,'01-02.2021'!$A$6:$CZ$403,63,FALSE)+VLOOKUP($A363,'1.3.21-28.2.22'!$A$6:$DA$404,63,FALSE)-VLOOKUP($A363,'01-02.2022'!$A$6:$DA$376,63,FALSE)</f>
        <v>4836.2614642385588</v>
      </c>
      <c r="BL363" s="566">
        <f>VLOOKUP($A363,'01-02.2021'!$A$6:$CZ$403,64,FALSE)+VLOOKUP($A363,'1.3.21-28.2.22'!$A$6:$DA$404,64,FALSE)-VLOOKUP($A363,'01-02.2022'!$A$6:$DA$376,64,FALSE)</f>
        <v>1247</v>
      </c>
      <c r="BM363" s="55">
        <f t="shared" si="401"/>
        <v>-3589.2614642385588</v>
      </c>
      <c r="BN363" s="566">
        <f>VLOOKUP($A363,'01-02.2021'!$A$6:$CZ$403,66,FALSE)+VLOOKUP($A363,'1.3.21-28.2.22'!$A$6:$DA$404,66,FALSE)-VLOOKUP($A363,'01-02.2022'!$A$6:$DA$376,66,FALSE)</f>
        <v>416.13300000000004</v>
      </c>
      <c r="BO363" s="566">
        <f>VLOOKUP($A363,'01-02.2021'!$A$6:$CZ$403,67,FALSE)+VLOOKUP($A363,'1.3.21-28.2.22'!$A$6:$DA$404,67,FALSE)-VLOOKUP($A363,'01-02.2022'!$A$6:$DA$376,67,FALSE)</f>
        <v>0</v>
      </c>
      <c r="BP363" s="55">
        <f t="shared" si="402"/>
        <v>-416.13300000000004</v>
      </c>
      <c r="BQ363" s="77">
        <f t="shared" si="409"/>
        <v>27687.323194187997</v>
      </c>
      <c r="BR363" s="40">
        <f t="shared" si="410"/>
        <v>11589.55</v>
      </c>
      <c r="BS363" s="55">
        <f t="shared" si="369"/>
        <v>-16097.773194187997</v>
      </c>
      <c r="BT363" s="566">
        <f>VLOOKUP($A363,'01-02.2021'!$A$6:$CZ$403,72,FALSE)+VLOOKUP($A363,'1.3.21-28.2.22'!$A$6:$DA$404,72,FALSE)-VLOOKUP($A363,'01-02.2022'!$A$6:$DA$376,72,FALSE)</f>
        <v>116766.55159886795</v>
      </c>
      <c r="BU363" s="566">
        <f>VLOOKUP($A363,'01-02.2021'!$A$6:$CZ$403,73,FALSE)+VLOOKUP($A363,'1.3.21-28.2.22'!$A$6:$DA$404,73,FALSE)-VLOOKUP($A363,'01-02.2022'!$A$6:$DA$376,73,FALSE)</f>
        <v>114308.6796279674</v>
      </c>
      <c r="BV363" s="70">
        <f t="shared" si="403"/>
        <v>-2457.8719709005527</v>
      </c>
      <c r="BW363" s="566">
        <f>VLOOKUP($A363,'01-02.2021'!$A$6:$CZ$403,75,FALSE)+VLOOKUP($A363,'1.3.21-28.2.22'!$A$6:$DA$404,75,FALSE)-VLOOKUP($A363,'01-02.2022'!$A$6:$DA$376,75,FALSE)</f>
        <v>68887.340629938451</v>
      </c>
      <c r="BX363" s="566">
        <f>VLOOKUP($A363,'01-02.2021'!$A$6:$CZ$403,76,FALSE)+VLOOKUP($A363,'1.3.21-28.2.22'!$A$6:$DA$404,76,FALSE)-VLOOKUP($A363,'01-02.2022'!$A$6:$DA$376,76,FALSE)</f>
        <v>66204.022502188411</v>
      </c>
      <c r="BY363" s="70">
        <f t="shared" si="404"/>
        <v>-2683.3181277500407</v>
      </c>
      <c r="BZ363" s="566">
        <f>VLOOKUP($A363,'01-02.2021'!$A$6:$CZ$403,78,FALSE)+VLOOKUP($A363,'1.3.21-28.2.22'!$A$6:$DA$404,78,FALSE)-VLOOKUP($A363,'01-02.2022'!$A$6:$DA$376,78,FALSE)</f>
        <v>12190.408025776931</v>
      </c>
      <c r="CA363" s="566">
        <f>VLOOKUP($A363,'01-02.2021'!$A$6:$CZ$403,79,FALSE)+VLOOKUP($A363,'1.3.21-28.2.22'!$A$6:$DA$404,79,FALSE)-VLOOKUP($A363,'01-02.2022'!$A$6:$DA$376,79,FALSE)</f>
        <v>24384.607216896529</v>
      </c>
      <c r="CB363" s="70">
        <f t="shared" si="405"/>
        <v>12194.199191119598</v>
      </c>
      <c r="CC363" s="566">
        <f>VLOOKUP($A363,'01-02.2021'!$A$6:$CZ$403,81,FALSE)+VLOOKUP($A363,'1.3.21-28.2.22'!$A$6:$DA$404,81,FALSE)-VLOOKUP($A363,'01-02.2022'!$A$6:$DA$376,81,FALSE)</f>
        <v>1644.0458391904785</v>
      </c>
      <c r="CD363" s="566">
        <f>VLOOKUP($A363,'01-02.2021'!$A$6:$CZ$403,82,FALSE)+VLOOKUP($A363,'1.3.21-28.2.22'!$A$6:$DA$404,82,FALSE)-VLOOKUP($A363,'01-02.2022'!$A$6:$DA$376,82,FALSE)</f>
        <v>1786.4940434006417</v>
      </c>
      <c r="CE363" s="70">
        <f t="shared" si="406"/>
        <v>142.44820421016311</v>
      </c>
      <c r="CF363" s="566">
        <f>VLOOKUP($A363,'01-02.2021'!$A$6:$CZ$403,84,FALSE)+VLOOKUP($A363,'1.3.21-28.2.22'!$A$6:$DA$404,84,FALSE)-VLOOKUP($A363,'01-02.2022'!$A$6:$DA$376,84,FALSE)</f>
        <v>198.70680525498324</v>
      </c>
      <c r="CG363" s="566">
        <f>VLOOKUP($A363,'01-02.2021'!$A$6:$CZ$403,85,FALSE)+VLOOKUP($A363,'1.3.21-28.2.22'!$A$6:$DA$404,85,FALSE)-VLOOKUP($A363,'01-02.2022'!$A$6:$DA$376,85,FALSE)</f>
        <v>0</v>
      </c>
      <c r="CH363" s="70">
        <f t="shared" si="407"/>
        <v>-198.70680525498324</v>
      </c>
      <c r="CI363" s="566">
        <f>VLOOKUP($A363,'01-02.2021'!$A$6:$CZ$403,87,FALSE)+VLOOKUP($A363,'1.3.21-28.2.22'!$A$6:$DA$404,87,FALSE)-VLOOKUP($A363,'01-02.2022'!$A$6:$DA$376,87,FALSE)</f>
        <v>13133.731207579487</v>
      </c>
      <c r="CJ363" s="566">
        <f>VLOOKUP($A363,'01-02.2021'!$A$6:$CZ$403,88,FALSE)+VLOOKUP($A363,'1.3.21-28.2.22'!$A$6:$DA$404,88,FALSE)-VLOOKUP($A363,'01-02.2022'!$A$6:$DA$376,88,FALSE)</f>
        <v>10148.255684320273</v>
      </c>
      <c r="CK363" s="70">
        <f t="shared" si="408"/>
        <v>-2985.4755232592142</v>
      </c>
      <c r="CL363" s="566">
        <f>VLOOKUP($A363,'01-02.2021'!$A$6:$CZ$403,90,FALSE)+VLOOKUP($A363,'1.3.21-28.2.22'!$A$6:$DA$404,90,FALSE)-VLOOKUP($A363,'01-02.2022'!$A$6:$DA$376,90,FALSE)</f>
        <v>17139.345914718288</v>
      </c>
      <c r="CM363" s="566">
        <f>VLOOKUP($A363,'01-02.2021'!$A$6:$CZ$403,91,FALSE)+VLOOKUP($A363,'1.3.21-28.2.22'!$A$6:$DA$404,91,FALSE)-VLOOKUP($A363,'01-02.2022'!$A$6:$DA$376,91,FALSE)</f>
        <v>15135.094257853714</v>
      </c>
      <c r="CN363" s="52">
        <f t="shared" ref="CN363:CN403" si="420">CM363-CL363</f>
        <v>-2004.2516568645733</v>
      </c>
      <c r="CO363" s="39">
        <f t="shared" si="414"/>
        <v>30273.077122297775</v>
      </c>
      <c r="CP363" s="40">
        <f t="shared" ref="CP363:CP403" si="421">CJ363+CM363</f>
        <v>25283.349942173987</v>
      </c>
      <c r="CQ363" s="52">
        <f t="shared" ref="CQ363:CQ403" si="422">CP363-CO363</f>
        <v>-4989.7271801237875</v>
      </c>
      <c r="CR363" s="72">
        <f t="shared" si="415"/>
        <v>513584.0623561102</v>
      </c>
      <c r="CS363" s="5">
        <f t="shared" si="415"/>
        <v>472307.25969980517</v>
      </c>
      <c r="CT363" s="52">
        <f t="shared" ref="CT363:CT403" si="423">CS363-CR363</f>
        <v>-41276.802656305023</v>
      </c>
      <c r="CU363" s="77">
        <f t="shared" ref="CU363:CU403" si="424">CR363*1.2</f>
        <v>616300.87482733221</v>
      </c>
      <c r="CV363" s="65">
        <f t="shared" ref="CV363:CV403" si="425">CS363*1.2</f>
        <v>566768.71163976623</v>
      </c>
      <c r="CW363" s="35">
        <f t="shared" ref="CW363:CW403" si="426">CV363-CU363</f>
        <v>-49532.16318756598</v>
      </c>
      <c r="CX363" s="566">
        <f>VLOOKUP($A363,'01-02.2021'!$A$6:$CZ$403,102,FALSE)+VLOOKUP($A363,'1.3.21-28.2.22'!$A$6:$DA$404,102,FALSE)-VLOOKUP($A363,'01-02.2022'!$A$6:$DA$376,102,FALSE)</f>
        <v>21547.112163029647</v>
      </c>
      <c r="CY363" s="566">
        <f>VLOOKUP($A363,'01-02.2021'!$A$6:$CZ$403,103,FALSE)+VLOOKUP($A363,'1.3.21-28.2.22'!$A$6:$DA$404,103,FALSE)-VLOOKUP($A363,'01-02.2022'!$A$6:$DA$376,103,FALSE)</f>
        <v>71079.27535059565</v>
      </c>
      <c r="CZ363" s="52">
        <f t="shared" ref="CZ363:CZ404" si="427">CY363-CX363</f>
        <v>49532.163187566002</v>
      </c>
      <c r="DA363" s="150">
        <f>'[2]побудинковий звіт'!DA363</f>
        <v>-50735.241211770073</v>
      </c>
      <c r="DB363" s="2">
        <v>2</v>
      </c>
      <c r="DC363" s="414">
        <f>'[4]побудинковий звіт'!DC363</f>
        <v>90836.97</v>
      </c>
      <c r="DD363" s="414">
        <f>'[4]побудинковий звіт'!DD363</f>
        <v>5963.619999999999</v>
      </c>
      <c r="DE363" s="557">
        <f>'[4]побудинковий звіт'!DE363</f>
        <v>33788.548996393234</v>
      </c>
      <c r="DF363" s="557">
        <f>'[4]побудинковий звіт'!DF363</f>
        <v>5472.2799999999988</v>
      </c>
      <c r="DG363" s="321">
        <f>VLOOKUP(A363,'кошти 01.03.2021'!$A$6:$D$401,4,)</f>
        <v>3211.801866671678</v>
      </c>
      <c r="DH363" s="40">
        <f>'[3]побудинковий звіт'!DJ363</f>
        <v>659085.57684399129</v>
      </c>
      <c r="DI363" s="422">
        <f>'[3]побудинковий звіт'!CU363+'[3]побудинковий звіт'!CX363</f>
        <v>57649.305622060274</v>
      </c>
      <c r="DJ363" s="306">
        <f>'[3]побудинковий звіт'!DM363</f>
        <v>5.7748612903465926</v>
      </c>
      <c r="DK363" s="306">
        <f>'[3]побудинковий звіт'!DN363</f>
        <v>6.967979940489295</v>
      </c>
      <c r="DL363" s="306">
        <f>'[3]побудинковий звіт'!DO363</f>
        <v>4.7955675854231004</v>
      </c>
      <c r="DM363" s="28">
        <f t="shared" si="416"/>
        <v>57048.421003606767</v>
      </c>
      <c r="DN363" s="28">
        <v>491.34</v>
      </c>
      <c r="DO363" s="423">
        <f t="shared" si="381"/>
        <v>57539.761003606764</v>
      </c>
      <c r="DP363" s="94">
        <f t="shared" si="382"/>
        <v>109.54461845351034</v>
      </c>
      <c r="DQ363" s="28">
        <f t="shared" si="383"/>
        <v>57539.761003606764</v>
      </c>
      <c r="DR363" s="318"/>
      <c r="DT363" s="8"/>
      <c r="DU363" s="5"/>
      <c r="DX363" s="5">
        <f t="shared" si="384"/>
        <v>144661.09148043633</v>
      </c>
      <c r="DY363" s="5">
        <f t="shared" si="385"/>
        <v>89034.72</v>
      </c>
      <c r="DZ363" s="159">
        <f>'[3]побудинковий звіт'!EA363</f>
        <v>12763.767167332593</v>
      </c>
    </row>
    <row r="364" spans="1:130" x14ac:dyDescent="0.3">
      <c r="A364" s="325">
        <v>150000891</v>
      </c>
      <c r="B364" s="41" t="s">
        <v>810</v>
      </c>
      <c r="C364" s="42" t="s">
        <v>190</v>
      </c>
      <c r="D364" s="42"/>
      <c r="E364" s="293">
        <f t="shared" si="412"/>
        <v>294.26</v>
      </c>
      <c r="F364" s="305">
        <f>'[3]побудинковий звіт'!F364</f>
        <v>232.46</v>
      </c>
      <c r="G364" s="508">
        <f>'[3]побудинковий звіт'!G364</f>
        <v>0</v>
      </c>
      <c r="H364" s="560">
        <f>'[3]побудинковий звіт'!H364</f>
        <v>61.8</v>
      </c>
      <c r="I364" s="566">
        <f>VLOOKUP($A364,'01-02.2021'!$A$6:$CZ$403,9,FALSE)+VLOOKUP($A364,'1.3.21-28.2.22'!$A$6:$DA$404,9,FALSE)-VLOOKUP($A364,'01-02.2022'!$A$6:$DA$376,9,FALSE)</f>
        <v>1144.0590811734564</v>
      </c>
      <c r="J364" s="566">
        <f>VLOOKUP($A364,'01-02.2021'!$A$6:$CZ$403,10,FALSE)+VLOOKUP($A364,'1.3.21-28.2.22'!$A$6:$DA$404,10,FALSE)-VLOOKUP($A364,'01-02.2022'!$A$6:$DA$376,10,FALSE)</f>
        <v>1336.5585713692371</v>
      </c>
      <c r="K364" s="52">
        <f t="shared" si="417"/>
        <v>192.49949019578071</v>
      </c>
      <c r="L364" s="566">
        <f>VLOOKUP($A364,'01-02.2021'!$A$6:$CZ$403,12,FALSE)+VLOOKUP($A364,'1.3.21-28.2.22'!$A$6:$DA$404,12,FALSE)-VLOOKUP($A364,'01-02.2022'!$A$6:$DA$376,12,FALSE)</f>
        <v>297.45787313321415</v>
      </c>
      <c r="M364" s="566">
        <f>VLOOKUP($A364,'01-02.2021'!$A$6:$CZ$403,13,FALSE)+VLOOKUP($A364,'1.3.21-28.2.22'!$A$6:$DA$404,13,FALSE)-VLOOKUP($A364,'01-02.2022'!$A$6:$DA$376,13,FALSE)</f>
        <v>327.50729397087679</v>
      </c>
      <c r="N364" s="52">
        <f t="shared" si="418"/>
        <v>30.049420837662637</v>
      </c>
      <c r="O364" s="566">
        <f>VLOOKUP($A364,'01-02.2021'!$A$6:$CZ$403,15,FALSE)+VLOOKUP($A364,'1.3.21-28.2.22'!$A$6:$DA$404,15,FALSE)-VLOOKUP($A364,'01-02.2022'!$A$6:$DA$376,15,FALSE)</f>
        <v>0</v>
      </c>
      <c r="P364" s="566">
        <f>VLOOKUP($A364,'01-02.2021'!$A$6:$CZ$403,16,FALSE)+VLOOKUP($A364,'1.3.21-28.2.22'!$A$6:$DA$404,16,FALSE)-VLOOKUP($A364,'01-02.2022'!$A$6:$DA$376,16,FALSE)</f>
        <v>0</v>
      </c>
      <c r="Q364" s="70">
        <f t="shared" si="386"/>
        <v>0</v>
      </c>
      <c r="R364" s="566">
        <f>VLOOKUP($A364,'01-02.2021'!$A$6:$CZ$403,18,FALSE)+VLOOKUP($A364,'1.3.21-28.2.22'!$A$6:$DA$404,18,FALSE)-VLOOKUP($A364,'01-02.2022'!$A$6:$DA$376,18,FALSE)</f>
        <v>0</v>
      </c>
      <c r="S364" s="566">
        <f>VLOOKUP($A364,'01-02.2021'!$A$6:$CZ$403,19,FALSE)+VLOOKUP($A364,'1.3.21-28.2.22'!$A$6:$DA$404,19,FALSE)-VLOOKUP($A364,'01-02.2022'!$A$6:$DA$376,19,FALSE)</f>
        <v>0</v>
      </c>
      <c r="T364" s="70">
        <f t="shared" si="387"/>
        <v>0</v>
      </c>
      <c r="U364" s="566">
        <f>VLOOKUP($A364,'01-02.2021'!$A$6:$CZ$403,21,FALSE)+VLOOKUP($A364,'1.3.21-28.2.22'!$A$6:$DA$404,21,FALSE)-VLOOKUP($A364,'01-02.2022'!$A$6:$DA$376,21,FALSE)</f>
        <v>0</v>
      </c>
      <c r="V364" s="566">
        <f>VLOOKUP($A364,'01-02.2021'!$A$6:$CZ$403,22,FALSE)+VLOOKUP($A364,'1.3.21-28.2.22'!$A$6:$DA$404,22,FALSE)-VLOOKUP($A364,'01-02.2022'!$A$6:$DA$376,22,FALSE)</f>
        <v>0</v>
      </c>
      <c r="W364" s="70">
        <f t="shared" si="388"/>
        <v>0</v>
      </c>
      <c r="X364" s="566">
        <f>VLOOKUP($A364,'01-02.2021'!$A$6:$CZ$403,24,FALSE)+VLOOKUP($A364,'1.3.21-28.2.22'!$A$6:$DA$404,24,FALSE)-VLOOKUP($A364,'01-02.2022'!$A$6:$DA$376,24,FALSE)</f>
        <v>228.80810371131099</v>
      </c>
      <c r="Y364" s="566">
        <f>VLOOKUP($A364,'01-02.2021'!$A$6:$CZ$403,25,FALSE)+VLOOKUP($A364,'1.3.21-28.2.22'!$A$6:$DA$404,25,FALSE)-VLOOKUP($A364,'01-02.2022'!$A$6:$DA$376,25,FALSE)</f>
        <v>242.92102747072602</v>
      </c>
      <c r="Z364" s="70">
        <f t="shared" si="389"/>
        <v>14.112923759415025</v>
      </c>
      <c r="AA364" s="566">
        <f>VLOOKUP($A364,'01-02.2021'!$A$6:$CZ$403,27,FALSE)+VLOOKUP($A364,'1.3.21-28.2.22'!$A$6:$DA$404,27,FALSE)-VLOOKUP($A364,'01-02.2022'!$A$6:$DA$376,27,FALSE)</f>
        <v>144.21200000000002</v>
      </c>
      <c r="AB364" s="566">
        <f>VLOOKUP($A364,'01-02.2021'!$A$6:$CZ$403,28,FALSE)+VLOOKUP($A364,'1.3.21-28.2.22'!$A$6:$DA$404,28,FALSE)-VLOOKUP($A364,'01-02.2022'!$A$6:$DA$376,28,FALSE)</f>
        <v>0</v>
      </c>
      <c r="AC364" s="70">
        <f t="shared" si="390"/>
        <v>-144.21200000000002</v>
      </c>
      <c r="AD364" s="566">
        <f>VLOOKUP($A364,'01-02.2021'!$A$6:$CZ$403,30,FALSE)+VLOOKUP($A364,'1.3.21-28.2.22'!$A$6:$DA$404,30,FALSE)-VLOOKUP($A364,'01-02.2022'!$A$6:$DA$376,30,FALSE)</f>
        <v>1839.9149851809145</v>
      </c>
      <c r="AE364" s="566">
        <f>VLOOKUP($A364,'01-02.2021'!$A$6:$CZ$403,31,FALSE)+VLOOKUP($A364,'1.3.21-28.2.22'!$A$6:$DA$404,31,FALSE)-VLOOKUP($A364,'01-02.2022'!$A$6:$DA$376,31,FALSE)</f>
        <v>1339.4833763975898</v>
      </c>
      <c r="AF364" s="68">
        <f t="shared" si="391"/>
        <v>-500.43160878332469</v>
      </c>
      <c r="AG364" s="77">
        <f t="shared" si="413"/>
        <v>3654.4520431988958</v>
      </c>
      <c r="AH364" s="53">
        <f t="shared" si="413"/>
        <v>3246.4702692084297</v>
      </c>
      <c r="AI364" s="52">
        <f t="shared" si="419"/>
        <v>-407.98177399046608</v>
      </c>
      <c r="AJ364" s="566">
        <f>VLOOKUP($A364,'01-02.2021'!$A$6:$CZ$403,36,FALSE)+VLOOKUP($A364,'1.3.21-28.2.22'!$A$6:$DA$404,36,FALSE)-VLOOKUP($A364,'01-02.2022'!$A$6:$DA$376,36,FALSE)</f>
        <v>0</v>
      </c>
      <c r="AK364" s="566">
        <f>VLOOKUP($A364,'01-02.2021'!$A$6:$CZ$403,37,FALSE)+VLOOKUP($A364,'1.3.21-28.2.22'!$A$6:$DA$404,37,FALSE)-VLOOKUP($A364,'01-02.2022'!$A$6:$DA$376,37,FALSE)</f>
        <v>0</v>
      </c>
      <c r="AL364" s="70">
        <f t="shared" si="392"/>
        <v>0</v>
      </c>
      <c r="AM364" s="566">
        <f>VLOOKUP($A364,'01-02.2021'!$A$6:$CZ$403,39,FALSE)+VLOOKUP($A364,'1.3.21-28.2.22'!$A$6:$DA$404,39,FALSE)-VLOOKUP($A364,'01-02.2022'!$A$6:$DA$376,39,FALSE)</f>
        <v>0</v>
      </c>
      <c r="AN364" s="566">
        <f>VLOOKUP($A364,'01-02.2021'!$A$6:$CZ$403,40,FALSE)+VLOOKUP($A364,'1.3.21-28.2.22'!$A$6:$DA$404,40,FALSE)-VLOOKUP($A364,'01-02.2022'!$A$6:$DA$376,40,FALSE)</f>
        <v>0</v>
      </c>
      <c r="AO364" s="70">
        <f t="shared" si="393"/>
        <v>0</v>
      </c>
      <c r="AP364" s="566">
        <f>VLOOKUP($A364,'01-02.2021'!$A$6:$CZ$403,42,FALSE)+VLOOKUP($A364,'1.3.21-28.2.22'!$A$6:$DA$404,42,FALSE)-VLOOKUP($A364,'01-02.2022'!$A$6:$DA$376,42,FALSE)</f>
        <v>520.55992501277728</v>
      </c>
      <c r="AQ364" s="566">
        <f>VLOOKUP($A364,'01-02.2021'!$A$6:$CZ$403,43,FALSE)+VLOOKUP($A364,'1.3.21-28.2.22'!$A$6:$DA$404,43,FALSE)-VLOOKUP($A364,'01-02.2022'!$A$6:$DA$376,43,FALSE)</f>
        <v>448.76449922990878</v>
      </c>
      <c r="AR364" s="70">
        <f t="shared" si="394"/>
        <v>-71.795425782868506</v>
      </c>
      <c r="AS364" s="566">
        <f>VLOOKUP($A364,'01-02.2021'!$A$6:$CZ$403,45,FALSE)+VLOOKUP($A364,'1.3.21-28.2.22'!$A$6:$DA$404,45,FALSE)-VLOOKUP($A364,'01-02.2022'!$A$6:$DA$376,45,FALSE)</f>
        <v>2810.2517900905227</v>
      </c>
      <c r="AT364" s="566">
        <f>VLOOKUP($A364,'01-02.2021'!$A$6:$CZ$403,46,FALSE)+VLOOKUP($A364,'1.3.21-28.2.22'!$A$6:$DA$404,46,FALSE)-VLOOKUP($A364,'01-02.2022'!$A$6:$DA$376,46,FALSE)</f>
        <v>0</v>
      </c>
      <c r="AU364" s="78">
        <f t="shared" si="395"/>
        <v>-2810.2517900905227</v>
      </c>
      <c r="AV364" s="566">
        <f>VLOOKUP($A364,'01-02.2021'!$A$6:$CZ$403,48,FALSE)+VLOOKUP($A364,'1.3.21-28.2.22'!$A$6:$DA$404,48,FALSE)-VLOOKUP($A364,'01-02.2022'!$A$6:$DA$376,48,FALSE)</f>
        <v>459.12531950527773</v>
      </c>
      <c r="AW364" s="566">
        <f>VLOOKUP($A364,'01-02.2021'!$A$6:$CZ$403,49,FALSE)+VLOOKUP($A364,'1.3.21-28.2.22'!$A$6:$DA$404,49,FALSE)-VLOOKUP($A364,'01-02.2022'!$A$6:$DA$376,49,FALSE)</f>
        <v>0</v>
      </c>
      <c r="AX364" s="55">
        <f t="shared" si="396"/>
        <v>-459.12531950527773</v>
      </c>
      <c r="AY364" s="566">
        <f>VLOOKUP($A364,'01-02.2021'!$A$6:$CZ$403,51,FALSE)+VLOOKUP($A364,'1.3.21-28.2.22'!$A$6:$DA$404,51,FALSE)-VLOOKUP($A364,'01-02.2022'!$A$6:$DA$376,51,FALSE)</f>
        <v>559.18861318882705</v>
      </c>
      <c r="AZ364" s="566">
        <f>VLOOKUP($A364,'01-02.2021'!$A$6:$CZ$403,52,FALSE)+VLOOKUP($A364,'1.3.21-28.2.22'!$A$6:$DA$404,52,FALSE)-VLOOKUP($A364,'01-02.2022'!$A$6:$DA$376,52,FALSE)</f>
        <v>0</v>
      </c>
      <c r="BA364" s="38">
        <f t="shared" si="397"/>
        <v>-559.18861318882705</v>
      </c>
      <c r="BB364" s="566">
        <f>VLOOKUP($A364,'01-02.2021'!$A$6:$CZ$403,54,FALSE)+VLOOKUP($A364,'1.3.21-28.2.22'!$A$6:$DA$404,54,FALSE)-VLOOKUP($A364,'01-02.2022'!$A$6:$DA$376,54,FALSE)</f>
        <v>0</v>
      </c>
      <c r="BC364" s="566">
        <f>VLOOKUP($A364,'01-02.2021'!$A$6:$CZ$403,55,FALSE)+VLOOKUP($A364,'1.3.21-28.2.22'!$A$6:$DA$404,55,FALSE)-VLOOKUP($A364,'01-02.2022'!$A$6:$DA$376,55,FALSE)</f>
        <v>0</v>
      </c>
      <c r="BD364" s="55">
        <f t="shared" si="398"/>
        <v>0</v>
      </c>
      <c r="BE364" s="566">
        <f>VLOOKUP($A364,'01-02.2021'!$A$6:$CZ$403,57,FALSE)+VLOOKUP($A364,'1.3.21-28.2.22'!$A$6:$DA$404,57,FALSE)-VLOOKUP($A364,'01-02.2022'!$A$6:$DA$376,57,FALSE)</f>
        <v>0</v>
      </c>
      <c r="BF364" s="566">
        <f>VLOOKUP($A364,'01-02.2021'!$A$6:$CZ$403,58,FALSE)+VLOOKUP($A364,'1.3.21-28.2.22'!$A$6:$DA$404,58,FALSE)-VLOOKUP($A364,'01-02.2022'!$A$6:$DA$376,58,FALSE)</f>
        <v>0</v>
      </c>
      <c r="BG364" s="55">
        <f t="shared" si="399"/>
        <v>0</v>
      </c>
      <c r="BH364" s="566">
        <f>VLOOKUP($A364,'01-02.2021'!$A$6:$CZ$403,60,FALSE)+VLOOKUP($A364,'1.3.21-28.2.22'!$A$6:$DA$404,60,FALSE)-VLOOKUP($A364,'01-02.2022'!$A$6:$DA$376,60,FALSE)</f>
        <v>0</v>
      </c>
      <c r="BI364" s="566">
        <f>VLOOKUP($A364,'01-02.2021'!$A$6:$CZ$403,61,FALSE)+VLOOKUP($A364,'1.3.21-28.2.22'!$A$6:$DA$404,61,FALSE)-VLOOKUP($A364,'01-02.2022'!$A$6:$DA$376,61,FALSE)</f>
        <v>0</v>
      </c>
      <c r="BJ364" s="55">
        <f t="shared" si="400"/>
        <v>0</v>
      </c>
      <c r="BK364" s="566">
        <f>VLOOKUP($A364,'01-02.2021'!$A$6:$CZ$403,63,FALSE)+VLOOKUP($A364,'1.3.21-28.2.22'!$A$6:$DA$404,63,FALSE)-VLOOKUP($A364,'01-02.2022'!$A$6:$DA$376,63,FALSE)</f>
        <v>84.722706587096042</v>
      </c>
      <c r="BL364" s="566">
        <f>VLOOKUP($A364,'01-02.2021'!$A$6:$CZ$403,64,FALSE)+VLOOKUP($A364,'1.3.21-28.2.22'!$A$6:$DA$404,64,FALSE)-VLOOKUP($A364,'01-02.2022'!$A$6:$DA$376,64,FALSE)</f>
        <v>0</v>
      </c>
      <c r="BM364" s="55">
        <f t="shared" si="401"/>
        <v>-84.722706587096042</v>
      </c>
      <c r="BN364" s="566">
        <f>VLOOKUP($A364,'01-02.2021'!$A$6:$CZ$403,66,FALSE)+VLOOKUP($A364,'1.3.21-28.2.22'!$A$6:$DA$404,66,FALSE)-VLOOKUP($A364,'01-02.2022'!$A$6:$DA$376,66,FALSE)</f>
        <v>36.053000000000004</v>
      </c>
      <c r="BO364" s="566">
        <f>VLOOKUP($A364,'01-02.2021'!$A$6:$CZ$403,67,FALSE)+VLOOKUP($A364,'1.3.21-28.2.22'!$A$6:$DA$404,67,FALSE)-VLOOKUP($A364,'01-02.2022'!$A$6:$DA$376,67,FALSE)</f>
        <v>0</v>
      </c>
      <c r="BP364" s="55">
        <f t="shared" si="402"/>
        <v>-36.053000000000004</v>
      </c>
      <c r="BQ364" s="77">
        <f t="shared" si="409"/>
        <v>1139.089639281201</v>
      </c>
      <c r="BR364" s="40">
        <f t="shared" si="410"/>
        <v>0</v>
      </c>
      <c r="BS364" s="55">
        <f t="shared" ref="BS364:BS403" si="428">BR364-BQ364</f>
        <v>-1139.089639281201</v>
      </c>
      <c r="BT364" s="566">
        <f>VLOOKUP($A364,'01-02.2021'!$A$6:$CZ$403,72,FALSE)+VLOOKUP($A364,'1.3.21-28.2.22'!$A$6:$DA$404,72,FALSE)-VLOOKUP($A364,'01-02.2022'!$A$6:$DA$376,72,FALSE)</f>
        <v>3098.1247957130345</v>
      </c>
      <c r="BU364" s="566">
        <f>VLOOKUP($A364,'01-02.2021'!$A$6:$CZ$403,73,FALSE)+VLOOKUP($A364,'1.3.21-28.2.22'!$A$6:$DA$404,73,FALSE)-VLOOKUP($A364,'01-02.2022'!$A$6:$DA$376,73,FALSE)</f>
        <v>4746.7699203373495</v>
      </c>
      <c r="BV364" s="70">
        <f t="shared" si="403"/>
        <v>1648.645124624315</v>
      </c>
      <c r="BW364" s="566">
        <f>VLOOKUP($A364,'01-02.2021'!$A$6:$CZ$403,75,FALSE)+VLOOKUP($A364,'1.3.21-28.2.22'!$A$6:$DA$404,75,FALSE)-VLOOKUP($A364,'01-02.2022'!$A$6:$DA$376,75,FALSE)</f>
        <v>50.507570868971129</v>
      </c>
      <c r="BX364" s="566">
        <f>VLOOKUP($A364,'01-02.2021'!$A$6:$CZ$403,76,FALSE)+VLOOKUP($A364,'1.3.21-28.2.22'!$A$6:$DA$404,76,FALSE)-VLOOKUP($A364,'01-02.2022'!$A$6:$DA$376,76,FALSE)</f>
        <v>516.32434768491362</v>
      </c>
      <c r="BY364" s="70">
        <f t="shared" si="404"/>
        <v>465.81677681594249</v>
      </c>
      <c r="BZ364" s="566">
        <f>VLOOKUP($A364,'01-02.2021'!$A$6:$CZ$403,78,FALSE)+VLOOKUP($A364,'1.3.21-28.2.22'!$A$6:$DA$404,78,FALSE)-VLOOKUP($A364,'01-02.2022'!$A$6:$DA$376,78,FALSE)</f>
        <v>1814.4566554956805</v>
      </c>
      <c r="CA364" s="566">
        <f>VLOOKUP($A364,'01-02.2021'!$A$6:$CZ$403,79,FALSE)+VLOOKUP($A364,'1.3.21-28.2.22'!$A$6:$DA$404,79,FALSE)-VLOOKUP($A364,'01-02.2022'!$A$6:$DA$376,79,FALSE)</f>
        <v>2156.338089645139</v>
      </c>
      <c r="CB364" s="70">
        <f t="shared" si="405"/>
        <v>341.88143414945853</v>
      </c>
      <c r="CC364" s="566">
        <f>VLOOKUP($A364,'01-02.2021'!$A$6:$CZ$403,81,FALSE)+VLOOKUP($A364,'1.3.21-28.2.22'!$A$6:$DA$404,81,FALSE)-VLOOKUP($A364,'01-02.2022'!$A$6:$DA$376,81,FALSE)</f>
        <v>0</v>
      </c>
      <c r="CD364" s="566">
        <f>VLOOKUP($A364,'01-02.2021'!$A$6:$CZ$403,82,FALSE)+VLOOKUP($A364,'1.3.21-28.2.22'!$A$6:$DA$404,82,FALSE)-VLOOKUP($A364,'01-02.2022'!$A$6:$DA$376,82,FALSE)</f>
        <v>0</v>
      </c>
      <c r="CE364" s="70">
        <f t="shared" si="406"/>
        <v>0</v>
      </c>
      <c r="CF364" s="566">
        <f>VLOOKUP($A364,'01-02.2021'!$A$6:$CZ$403,84,FALSE)+VLOOKUP($A364,'1.3.21-28.2.22'!$A$6:$DA$404,84,FALSE)-VLOOKUP($A364,'01-02.2022'!$A$6:$DA$376,84,FALSE)</f>
        <v>0</v>
      </c>
      <c r="CG364" s="566">
        <f>VLOOKUP($A364,'01-02.2021'!$A$6:$CZ$403,85,FALSE)+VLOOKUP($A364,'1.3.21-28.2.22'!$A$6:$DA$404,85,FALSE)-VLOOKUP($A364,'01-02.2022'!$A$6:$DA$376,85,FALSE)</f>
        <v>0</v>
      </c>
      <c r="CH364" s="70">
        <f t="shared" si="407"/>
        <v>0</v>
      </c>
      <c r="CI364" s="566">
        <f>VLOOKUP($A364,'01-02.2021'!$A$6:$CZ$403,87,FALSE)+VLOOKUP($A364,'1.3.21-28.2.22'!$A$6:$DA$404,87,FALSE)-VLOOKUP($A364,'01-02.2022'!$A$6:$DA$376,87,FALSE)</f>
        <v>0</v>
      </c>
      <c r="CJ364" s="566">
        <f>VLOOKUP($A364,'01-02.2021'!$A$6:$CZ$403,88,FALSE)+VLOOKUP($A364,'1.3.21-28.2.22'!$A$6:$DA$404,88,FALSE)-VLOOKUP($A364,'01-02.2022'!$A$6:$DA$376,88,FALSE)</f>
        <v>0</v>
      </c>
      <c r="CK364" s="70">
        <f t="shared" si="408"/>
        <v>0</v>
      </c>
      <c r="CL364" s="566">
        <f>VLOOKUP($A364,'01-02.2021'!$A$6:$CZ$403,90,FALSE)+VLOOKUP($A364,'1.3.21-28.2.22'!$A$6:$DA$404,90,FALSE)-VLOOKUP($A364,'01-02.2022'!$A$6:$DA$376,90,FALSE)</f>
        <v>0</v>
      </c>
      <c r="CM364" s="566">
        <f>VLOOKUP($A364,'01-02.2021'!$A$6:$CZ$403,91,FALSE)+VLOOKUP($A364,'1.3.21-28.2.22'!$A$6:$DA$404,91,FALSE)-VLOOKUP($A364,'01-02.2022'!$A$6:$DA$376,91,FALSE)</f>
        <v>0</v>
      </c>
      <c r="CN364" s="52">
        <f t="shared" si="420"/>
        <v>0</v>
      </c>
      <c r="CO364" s="39">
        <f t="shared" si="414"/>
        <v>0</v>
      </c>
      <c r="CP364" s="40">
        <f t="shared" si="421"/>
        <v>0</v>
      </c>
      <c r="CQ364" s="52">
        <f t="shared" si="422"/>
        <v>0</v>
      </c>
      <c r="CR364" s="72">
        <f t="shared" si="415"/>
        <v>13087.442419661082</v>
      </c>
      <c r="CS364" s="5">
        <f t="shared" si="415"/>
        <v>11114.667126105738</v>
      </c>
      <c r="CT364" s="52">
        <f t="shared" si="423"/>
        <v>-1972.7752935553435</v>
      </c>
      <c r="CU364" s="77">
        <f t="shared" si="424"/>
        <v>15704.930903593297</v>
      </c>
      <c r="CV364" s="65">
        <f t="shared" si="425"/>
        <v>13337.600551326885</v>
      </c>
      <c r="CW364" s="35">
        <f t="shared" si="426"/>
        <v>-2367.3303522664119</v>
      </c>
      <c r="CX364" s="566">
        <f>VLOOKUP($A364,'01-02.2021'!$A$6:$CZ$403,102,FALSE)+VLOOKUP($A364,'1.3.21-28.2.22'!$A$6:$DA$404,102,FALSE)-VLOOKUP($A364,'01-02.2022'!$A$6:$DA$376,102,FALSE)</f>
        <v>574.80820101541963</v>
      </c>
      <c r="CY364" s="566">
        <f>VLOOKUP($A364,'01-02.2021'!$A$6:$CZ$403,103,FALSE)+VLOOKUP($A364,'1.3.21-28.2.22'!$A$6:$DA$404,103,FALSE)-VLOOKUP($A364,'01-02.2022'!$A$6:$DA$376,103,FALSE)</f>
        <v>2942.1385532818313</v>
      </c>
      <c r="CZ364" s="52">
        <f t="shared" si="427"/>
        <v>2367.3303522664119</v>
      </c>
      <c r="DA364" s="150">
        <f>'[2]побудинковий звіт'!DA364</f>
        <v>-9785.2049577854996</v>
      </c>
      <c r="DB364" s="2">
        <v>2</v>
      </c>
      <c r="DC364" s="414">
        <f>'[4]побудинковий звіт'!DC364</f>
        <v>5508.89</v>
      </c>
      <c r="DD364" s="414">
        <f>'[4]побудинковий звіт'!DD364</f>
        <v>174.69</v>
      </c>
      <c r="DE364" s="557">
        <f>'[4]побудинковий звіт'!DE364</f>
        <v>4742.0631002791733</v>
      </c>
      <c r="DF364" s="557">
        <f>'[4]побудинковий звіт'!DF364</f>
        <v>-26.836216947771248</v>
      </c>
      <c r="DG364" s="321">
        <f>VLOOKUP(A364,'кошти 01.03.2021'!$A$6:$D$401,4,)</f>
        <v>-7088.7568108412834</v>
      </c>
      <c r="DH364" s="40">
        <f>'[3]побудинковий звіт'!DJ364</f>
        <v>14402.155777986107</v>
      </c>
      <c r="DI364" s="422">
        <f>'[3]побудинковий звіт'!CU364+'[3]побудинковий звіт'!CX364</f>
        <v>968.35311666859855</v>
      </c>
      <c r="DJ364" s="306">
        <f>'[3]побудинковий звіт'!DM364</f>
        <v>3.2987477403459833</v>
      </c>
      <c r="DK364" s="306">
        <f>DJ364</f>
        <v>3.2987477403459833</v>
      </c>
      <c r="DL364" s="306">
        <f>'[3]побудинковий звіт'!DO364</f>
        <v>3.2609420218085963</v>
      </c>
      <c r="DM364" s="28">
        <f>F364*DJ364</f>
        <v>766.82689972082733</v>
      </c>
      <c r="DN364" s="28">
        <f>H364*DL364</f>
        <v>201.52621694777125</v>
      </c>
      <c r="DO364" s="423">
        <f t="shared" si="381"/>
        <v>968.35311666859855</v>
      </c>
      <c r="DP364" s="94">
        <f t="shared" si="382"/>
        <v>0</v>
      </c>
      <c r="DQ364" s="28">
        <f t="shared" si="383"/>
        <v>968.35311666859855</v>
      </c>
      <c r="DR364" s="318"/>
      <c r="DT364" s="8"/>
      <c r="DU364" s="5"/>
      <c r="DX364" s="5">
        <f t="shared" si="384"/>
        <v>4739.2097152460683</v>
      </c>
      <c r="DY364" s="5">
        <f t="shared" si="385"/>
        <v>0</v>
      </c>
      <c r="DZ364" s="159">
        <f>'[3]побудинковий звіт'!EA364</f>
        <v>268.85110182227044</v>
      </c>
    </row>
    <row r="365" spans="1:130" x14ac:dyDescent="0.3">
      <c r="A365" s="325">
        <v>150001561</v>
      </c>
      <c r="B365" s="41" t="s">
        <v>811</v>
      </c>
      <c r="C365" s="42" t="s">
        <v>400</v>
      </c>
      <c r="D365" s="42"/>
      <c r="E365" s="293">
        <f t="shared" si="412"/>
        <v>3516.6</v>
      </c>
      <c r="F365" s="305">
        <f>'[3]побудинковий звіт'!F365</f>
        <v>3516.6</v>
      </c>
      <c r="G365" s="508">
        <f>'[3]побудинковий звіт'!G365</f>
        <v>191</v>
      </c>
      <c r="H365" s="560">
        <f>'[3]побудинковий звіт'!H365</f>
        <v>0</v>
      </c>
      <c r="I365" s="566">
        <f>VLOOKUP($A365,'01-02.2021'!$A$6:$CZ$403,9,FALSE)+VLOOKUP($A365,'1.3.21-28.2.22'!$A$6:$DA$404,9,FALSE)-VLOOKUP($A365,'01-02.2022'!$A$6:$DA$376,9,FALSE)</f>
        <v>18603.139544709466</v>
      </c>
      <c r="J365" s="566">
        <f>VLOOKUP($A365,'01-02.2021'!$A$6:$CZ$403,10,FALSE)+VLOOKUP($A365,'1.3.21-28.2.22'!$A$6:$DA$404,10,FALSE)-VLOOKUP($A365,'01-02.2022'!$A$6:$DA$376,10,FALSE)</f>
        <v>20335.19833123299</v>
      </c>
      <c r="K365" s="52">
        <f t="shared" si="417"/>
        <v>1732.0587865235248</v>
      </c>
      <c r="L365" s="566">
        <f>VLOOKUP($A365,'01-02.2021'!$A$6:$CZ$403,12,FALSE)+VLOOKUP($A365,'1.3.21-28.2.22'!$A$6:$DA$404,12,FALSE)-VLOOKUP($A365,'01-02.2022'!$A$6:$DA$376,12,FALSE)</f>
        <v>3012.4046187558388</v>
      </c>
      <c r="M365" s="566">
        <f>VLOOKUP($A365,'01-02.2021'!$A$6:$CZ$403,13,FALSE)+VLOOKUP($A365,'1.3.21-28.2.22'!$A$6:$DA$404,13,FALSE)-VLOOKUP($A365,'01-02.2022'!$A$6:$DA$376,13,FALSE)</f>
        <v>3316.7671705801522</v>
      </c>
      <c r="N365" s="52">
        <f t="shared" si="418"/>
        <v>304.36255182431341</v>
      </c>
      <c r="O365" s="566">
        <f>VLOOKUP($A365,'01-02.2021'!$A$6:$CZ$403,15,FALSE)+VLOOKUP($A365,'1.3.21-28.2.22'!$A$6:$DA$404,15,FALSE)-VLOOKUP($A365,'01-02.2022'!$A$6:$DA$376,15,FALSE)</f>
        <v>0</v>
      </c>
      <c r="P365" s="566">
        <f>VLOOKUP($A365,'01-02.2021'!$A$6:$CZ$403,16,FALSE)+VLOOKUP($A365,'1.3.21-28.2.22'!$A$6:$DA$404,16,FALSE)-VLOOKUP($A365,'01-02.2022'!$A$6:$DA$376,16,FALSE)</f>
        <v>0</v>
      </c>
      <c r="Q365" s="70">
        <f t="shared" si="386"/>
        <v>0</v>
      </c>
      <c r="R365" s="566">
        <f>VLOOKUP($A365,'01-02.2021'!$A$6:$CZ$403,18,FALSE)+VLOOKUP($A365,'1.3.21-28.2.22'!$A$6:$DA$404,18,FALSE)-VLOOKUP($A365,'01-02.2022'!$A$6:$DA$376,18,FALSE)</f>
        <v>0</v>
      </c>
      <c r="S365" s="566">
        <f>VLOOKUP($A365,'01-02.2021'!$A$6:$CZ$403,19,FALSE)+VLOOKUP($A365,'1.3.21-28.2.22'!$A$6:$DA$404,19,FALSE)-VLOOKUP($A365,'01-02.2022'!$A$6:$DA$376,19,FALSE)</f>
        <v>0</v>
      </c>
      <c r="T365" s="70">
        <f t="shared" si="387"/>
        <v>0</v>
      </c>
      <c r="U365" s="566">
        <f>VLOOKUP($A365,'01-02.2021'!$A$6:$CZ$403,21,FALSE)+VLOOKUP($A365,'1.3.21-28.2.22'!$A$6:$DA$404,21,FALSE)-VLOOKUP($A365,'01-02.2022'!$A$6:$DA$376,21,FALSE)</f>
        <v>228.8958585268299</v>
      </c>
      <c r="V365" s="566">
        <f>VLOOKUP($A365,'01-02.2021'!$A$6:$CZ$403,22,FALSE)+VLOOKUP($A365,'1.3.21-28.2.22'!$A$6:$DA$404,22,FALSE)-VLOOKUP($A365,'01-02.2022'!$A$6:$DA$376,22,FALSE)</f>
        <v>918.56370259280698</v>
      </c>
      <c r="W365" s="70">
        <f t="shared" si="388"/>
        <v>689.66784406597708</v>
      </c>
      <c r="X365" s="566">
        <f>VLOOKUP($A365,'01-02.2021'!$A$6:$CZ$403,24,FALSE)+VLOOKUP($A365,'1.3.21-28.2.22'!$A$6:$DA$404,24,FALSE)-VLOOKUP($A365,'01-02.2022'!$A$6:$DA$376,24,FALSE)</f>
        <v>6342.3632617878447</v>
      </c>
      <c r="Y365" s="566">
        <f>VLOOKUP($A365,'01-02.2021'!$A$6:$CZ$403,25,FALSE)+VLOOKUP($A365,'1.3.21-28.2.22'!$A$6:$DA$404,25,FALSE)-VLOOKUP($A365,'01-02.2022'!$A$6:$DA$376,25,FALSE)</f>
        <v>4775.9647305309654</v>
      </c>
      <c r="Z365" s="70">
        <f t="shared" si="389"/>
        <v>-1566.3985312568793</v>
      </c>
      <c r="AA365" s="566">
        <f>VLOOKUP($A365,'01-02.2021'!$A$6:$CZ$403,27,FALSE)+VLOOKUP($A365,'1.3.21-28.2.22'!$A$6:$DA$404,27,FALSE)-VLOOKUP($A365,'01-02.2022'!$A$6:$DA$376,27,FALSE)</f>
        <v>702.24</v>
      </c>
      <c r="AB365" s="566">
        <f>VLOOKUP($A365,'01-02.2021'!$A$6:$CZ$403,28,FALSE)+VLOOKUP($A365,'1.3.21-28.2.22'!$A$6:$DA$404,28,FALSE)-VLOOKUP($A365,'01-02.2022'!$A$6:$DA$376,28,FALSE)</f>
        <v>0</v>
      </c>
      <c r="AC365" s="70">
        <f t="shared" si="390"/>
        <v>-702.24</v>
      </c>
      <c r="AD365" s="566">
        <f>VLOOKUP($A365,'01-02.2021'!$A$6:$CZ$403,30,FALSE)+VLOOKUP($A365,'1.3.21-28.2.22'!$A$6:$DA$404,30,FALSE)-VLOOKUP($A365,'01-02.2022'!$A$6:$DA$376,30,FALSE)</f>
        <v>14392.849809167628</v>
      </c>
      <c r="AE365" s="566">
        <f>VLOOKUP($A365,'01-02.2021'!$A$6:$CZ$403,31,FALSE)+VLOOKUP($A365,'1.3.21-28.2.22'!$A$6:$DA$404,31,FALSE)-VLOOKUP($A365,'01-02.2022'!$A$6:$DA$376,31,FALSE)</f>
        <v>15995.063701485269</v>
      </c>
      <c r="AF365" s="68">
        <f t="shared" si="391"/>
        <v>1602.2138923176408</v>
      </c>
      <c r="AG365" s="77">
        <f t="shared" si="413"/>
        <v>43281.893092947605</v>
      </c>
      <c r="AH365" s="53">
        <f t="shared" si="413"/>
        <v>45341.557636422185</v>
      </c>
      <c r="AI365" s="52">
        <f t="shared" si="419"/>
        <v>2059.6645434745806</v>
      </c>
      <c r="AJ365" s="566">
        <f>VLOOKUP($A365,'01-02.2021'!$A$6:$CZ$403,36,FALSE)+VLOOKUP($A365,'1.3.21-28.2.22'!$A$6:$DA$404,36,FALSE)-VLOOKUP($A365,'01-02.2022'!$A$6:$DA$376,36,FALSE)</f>
        <v>10173.951337194439</v>
      </c>
      <c r="AK365" s="566">
        <f>VLOOKUP($A365,'01-02.2021'!$A$6:$CZ$403,37,FALSE)+VLOOKUP($A365,'1.3.21-28.2.22'!$A$6:$DA$404,37,FALSE)-VLOOKUP($A365,'01-02.2022'!$A$6:$DA$376,37,FALSE)</f>
        <v>8598.6975465361247</v>
      </c>
      <c r="AL365" s="70">
        <f t="shared" si="392"/>
        <v>-1575.2537906583148</v>
      </c>
      <c r="AM365" s="566">
        <f>VLOOKUP($A365,'01-02.2021'!$A$6:$CZ$403,39,FALSE)+VLOOKUP($A365,'1.3.21-28.2.22'!$A$6:$DA$404,39,FALSE)-VLOOKUP($A365,'01-02.2022'!$A$6:$DA$376,39,FALSE)</f>
        <v>1427.3711029787571</v>
      </c>
      <c r="AN365" s="566">
        <f>VLOOKUP($A365,'01-02.2021'!$A$6:$CZ$403,40,FALSE)+VLOOKUP($A365,'1.3.21-28.2.22'!$A$6:$DA$404,40,FALSE)-VLOOKUP($A365,'01-02.2022'!$A$6:$DA$376,40,FALSE)</f>
        <v>1326.8672336606073</v>
      </c>
      <c r="AO365" s="70">
        <f t="shared" si="393"/>
        <v>-100.50386931814978</v>
      </c>
      <c r="AP365" s="566">
        <f>VLOOKUP($A365,'01-02.2021'!$A$6:$CZ$403,42,FALSE)+VLOOKUP($A365,'1.3.21-28.2.22'!$A$6:$DA$404,42,FALSE)-VLOOKUP($A365,'01-02.2022'!$A$6:$DA$376,42,FALSE)</f>
        <v>4294.6193813554146</v>
      </c>
      <c r="AQ365" s="566">
        <f>VLOOKUP($A365,'01-02.2021'!$A$6:$CZ$403,43,FALSE)+VLOOKUP($A365,'1.3.21-28.2.22'!$A$6:$DA$404,43,FALSE)-VLOOKUP($A365,'01-02.2022'!$A$6:$DA$376,43,FALSE)</f>
        <v>3704.7488526781103</v>
      </c>
      <c r="AR365" s="70">
        <f t="shared" si="394"/>
        <v>-589.87052867730426</v>
      </c>
      <c r="AS365" s="566">
        <f>VLOOKUP($A365,'01-02.2021'!$A$6:$CZ$403,45,FALSE)+VLOOKUP($A365,'1.3.21-28.2.22'!$A$6:$DA$404,45,FALSE)-VLOOKUP($A365,'01-02.2022'!$A$6:$DA$376,45,FALSE)</f>
        <v>30581.412835560237</v>
      </c>
      <c r="AT365" s="566">
        <f>VLOOKUP($A365,'01-02.2021'!$A$6:$CZ$403,46,FALSE)+VLOOKUP($A365,'1.3.21-28.2.22'!$A$6:$DA$404,46,FALSE)-VLOOKUP($A365,'01-02.2022'!$A$6:$DA$376,46,FALSE)</f>
        <v>3972.6800000000003</v>
      </c>
      <c r="AU365" s="78">
        <f t="shared" si="395"/>
        <v>-26608.732835560237</v>
      </c>
      <c r="AV365" s="566">
        <f>VLOOKUP($A365,'01-02.2021'!$A$6:$CZ$403,48,FALSE)+VLOOKUP($A365,'1.3.21-28.2.22'!$A$6:$DA$404,48,FALSE)-VLOOKUP($A365,'01-02.2022'!$A$6:$DA$376,48,FALSE)</f>
        <v>3916.7584460864973</v>
      </c>
      <c r="AW365" s="566">
        <f>VLOOKUP($A365,'01-02.2021'!$A$6:$CZ$403,49,FALSE)+VLOOKUP($A365,'1.3.21-28.2.22'!$A$6:$DA$404,49,FALSE)-VLOOKUP($A365,'01-02.2022'!$A$6:$DA$376,49,FALSE)</f>
        <v>393</v>
      </c>
      <c r="AX365" s="55">
        <f t="shared" si="396"/>
        <v>-3523.7584460864973</v>
      </c>
      <c r="AY365" s="566">
        <f>VLOOKUP($A365,'01-02.2021'!$A$6:$CZ$403,51,FALSE)+VLOOKUP($A365,'1.3.21-28.2.22'!$A$6:$DA$404,51,FALSE)-VLOOKUP($A365,'01-02.2022'!$A$6:$DA$376,51,FALSE)</f>
        <v>4497.1783886307821</v>
      </c>
      <c r="AZ365" s="566">
        <f>VLOOKUP($A365,'01-02.2021'!$A$6:$CZ$403,52,FALSE)+VLOOKUP($A365,'1.3.21-28.2.22'!$A$6:$DA$404,52,FALSE)-VLOOKUP($A365,'01-02.2022'!$A$6:$DA$376,52,FALSE)</f>
        <v>272</v>
      </c>
      <c r="BA365" s="38">
        <f t="shared" si="397"/>
        <v>-4225.1783886307821</v>
      </c>
      <c r="BB365" s="566">
        <f>VLOOKUP($A365,'01-02.2021'!$A$6:$CZ$403,54,FALSE)+VLOOKUP($A365,'1.3.21-28.2.22'!$A$6:$DA$404,54,FALSE)-VLOOKUP($A365,'01-02.2022'!$A$6:$DA$376,54,FALSE)</f>
        <v>0</v>
      </c>
      <c r="BC365" s="566">
        <f>VLOOKUP($A365,'01-02.2021'!$A$6:$CZ$403,55,FALSE)+VLOOKUP($A365,'1.3.21-28.2.22'!$A$6:$DA$404,55,FALSE)-VLOOKUP($A365,'01-02.2022'!$A$6:$DA$376,55,FALSE)</f>
        <v>0</v>
      </c>
      <c r="BD365" s="55">
        <f t="shared" si="398"/>
        <v>0</v>
      </c>
      <c r="BE365" s="566">
        <f>VLOOKUP($A365,'01-02.2021'!$A$6:$CZ$403,57,FALSE)+VLOOKUP($A365,'1.3.21-28.2.22'!$A$6:$DA$404,57,FALSE)-VLOOKUP($A365,'01-02.2022'!$A$6:$DA$376,57,FALSE)</f>
        <v>0</v>
      </c>
      <c r="BF365" s="566">
        <f>VLOOKUP($A365,'01-02.2021'!$A$6:$CZ$403,58,FALSE)+VLOOKUP($A365,'1.3.21-28.2.22'!$A$6:$DA$404,58,FALSE)-VLOOKUP($A365,'01-02.2022'!$A$6:$DA$376,58,FALSE)</f>
        <v>0</v>
      </c>
      <c r="BG365" s="55">
        <f t="shared" si="399"/>
        <v>0</v>
      </c>
      <c r="BH365" s="566">
        <f>VLOOKUP($A365,'01-02.2021'!$A$6:$CZ$403,60,FALSE)+VLOOKUP($A365,'1.3.21-28.2.22'!$A$6:$DA$404,60,FALSE)-VLOOKUP($A365,'01-02.2022'!$A$6:$DA$376,60,FALSE)</f>
        <v>434.89452455704367</v>
      </c>
      <c r="BI365" s="566">
        <f>VLOOKUP($A365,'01-02.2021'!$A$6:$CZ$403,61,FALSE)+VLOOKUP($A365,'1.3.21-28.2.22'!$A$6:$DA$404,61,FALSE)-VLOOKUP($A365,'01-02.2022'!$A$6:$DA$376,61,FALSE)</f>
        <v>0</v>
      </c>
      <c r="BJ365" s="55">
        <f t="shared" si="400"/>
        <v>-434.89452455704367</v>
      </c>
      <c r="BK365" s="566">
        <f>VLOOKUP($A365,'01-02.2021'!$A$6:$CZ$403,63,FALSE)+VLOOKUP($A365,'1.3.21-28.2.22'!$A$6:$DA$404,63,FALSE)-VLOOKUP($A365,'01-02.2022'!$A$6:$DA$376,63,FALSE)</f>
        <v>546.41086938650096</v>
      </c>
      <c r="BL365" s="566">
        <f>VLOOKUP($A365,'01-02.2021'!$A$6:$CZ$403,64,FALSE)+VLOOKUP($A365,'1.3.21-28.2.22'!$A$6:$DA$404,64,FALSE)-VLOOKUP($A365,'01-02.2022'!$A$6:$DA$376,64,FALSE)</f>
        <v>193</v>
      </c>
      <c r="BM365" s="55">
        <f t="shared" si="401"/>
        <v>-353.41086938650096</v>
      </c>
      <c r="BN365" s="566">
        <f>VLOOKUP($A365,'01-02.2021'!$A$6:$CZ$403,66,FALSE)+VLOOKUP($A365,'1.3.21-28.2.22'!$A$6:$DA$404,66,FALSE)-VLOOKUP($A365,'01-02.2022'!$A$6:$DA$376,66,FALSE)</f>
        <v>175.56</v>
      </c>
      <c r="BO365" s="566">
        <f>VLOOKUP($A365,'01-02.2021'!$A$6:$CZ$403,67,FALSE)+VLOOKUP($A365,'1.3.21-28.2.22'!$A$6:$DA$404,67,FALSE)-VLOOKUP($A365,'01-02.2022'!$A$6:$DA$376,67,FALSE)</f>
        <v>0</v>
      </c>
      <c r="BP365" s="55">
        <f t="shared" si="402"/>
        <v>-175.56</v>
      </c>
      <c r="BQ365" s="77">
        <f t="shared" si="409"/>
        <v>9570.8022286608229</v>
      </c>
      <c r="BR365" s="40">
        <f t="shared" si="410"/>
        <v>858</v>
      </c>
      <c r="BS365" s="55">
        <f t="shared" si="428"/>
        <v>-8712.8022286608229</v>
      </c>
      <c r="BT365" s="566">
        <f>VLOOKUP($A365,'01-02.2021'!$A$6:$CZ$403,72,FALSE)+VLOOKUP($A365,'1.3.21-28.2.22'!$A$6:$DA$404,72,FALSE)-VLOOKUP($A365,'01-02.2022'!$A$6:$DA$376,72,FALSE)</f>
        <v>17744.521872348418</v>
      </c>
      <c r="BU365" s="566">
        <f>VLOOKUP($A365,'01-02.2021'!$A$6:$CZ$403,73,FALSE)+VLOOKUP($A365,'1.3.21-28.2.22'!$A$6:$DA$404,73,FALSE)-VLOOKUP($A365,'01-02.2022'!$A$6:$DA$376,73,FALSE)</f>
        <v>23446.231722461882</v>
      </c>
      <c r="BV365" s="70">
        <f t="shared" si="403"/>
        <v>5701.7098501134642</v>
      </c>
      <c r="BW365" s="566">
        <f>VLOOKUP($A365,'01-02.2021'!$A$6:$CZ$403,75,FALSE)+VLOOKUP($A365,'1.3.21-28.2.22'!$A$6:$DA$404,75,FALSE)-VLOOKUP($A365,'01-02.2022'!$A$6:$DA$376,75,FALSE)</f>
        <v>24503.213606992405</v>
      </c>
      <c r="BX365" s="566">
        <f>VLOOKUP($A365,'01-02.2021'!$A$6:$CZ$403,76,FALSE)+VLOOKUP($A365,'1.3.21-28.2.22'!$A$6:$DA$404,76,FALSE)-VLOOKUP($A365,'01-02.2022'!$A$6:$DA$376,76,FALSE)</f>
        <v>22197.397349372561</v>
      </c>
      <c r="BY365" s="70">
        <f t="shared" si="404"/>
        <v>-2305.8162576198447</v>
      </c>
      <c r="BZ365" s="566">
        <f>VLOOKUP($A365,'01-02.2021'!$A$6:$CZ$403,78,FALSE)+VLOOKUP($A365,'1.3.21-28.2.22'!$A$6:$DA$404,78,FALSE)-VLOOKUP($A365,'01-02.2022'!$A$6:$DA$376,78,FALSE)</f>
        <v>10495.483916724366</v>
      </c>
      <c r="CA365" s="566">
        <f>VLOOKUP($A365,'01-02.2021'!$A$6:$CZ$403,79,FALSE)+VLOOKUP($A365,'1.3.21-28.2.22'!$A$6:$DA$404,79,FALSE)-VLOOKUP($A365,'01-02.2022'!$A$6:$DA$376,79,FALSE)</f>
        <v>5558.8571923049531</v>
      </c>
      <c r="CB365" s="70">
        <f t="shared" si="405"/>
        <v>-4936.6267244194132</v>
      </c>
      <c r="CC365" s="566">
        <f>VLOOKUP($A365,'01-02.2021'!$A$6:$CZ$403,81,FALSE)+VLOOKUP($A365,'1.3.21-28.2.22'!$A$6:$DA$404,81,FALSE)-VLOOKUP($A365,'01-02.2022'!$A$6:$DA$376,81,FALSE)</f>
        <v>91.072475385123099</v>
      </c>
      <c r="CD365" s="566">
        <f>VLOOKUP($A365,'01-02.2021'!$A$6:$CZ$403,82,FALSE)+VLOOKUP($A365,'1.3.21-28.2.22'!$A$6:$DA$404,82,FALSE)-VLOOKUP($A365,'01-02.2022'!$A$6:$DA$376,82,FALSE)</f>
        <v>99.541579869218722</v>
      </c>
      <c r="CE365" s="70">
        <f t="shared" si="406"/>
        <v>8.4691044840956238</v>
      </c>
      <c r="CF365" s="566">
        <f>VLOOKUP($A365,'01-02.2021'!$A$6:$CZ$403,84,FALSE)+VLOOKUP($A365,'1.3.21-28.2.22'!$A$6:$DA$404,84,FALSE)-VLOOKUP($A365,'01-02.2022'!$A$6:$DA$376,84,FALSE)</f>
        <v>11.071735390841383</v>
      </c>
      <c r="CG365" s="566">
        <f>VLOOKUP($A365,'01-02.2021'!$A$6:$CZ$403,85,FALSE)+VLOOKUP($A365,'1.3.21-28.2.22'!$A$6:$DA$404,85,FALSE)-VLOOKUP($A365,'01-02.2022'!$A$6:$DA$376,85,FALSE)</f>
        <v>0</v>
      </c>
      <c r="CH365" s="70">
        <f t="shared" si="407"/>
        <v>-11.071735390841383</v>
      </c>
      <c r="CI365" s="566">
        <f>VLOOKUP($A365,'01-02.2021'!$A$6:$CZ$403,87,FALSE)+VLOOKUP($A365,'1.3.21-28.2.22'!$A$6:$DA$404,87,FALSE)-VLOOKUP($A365,'01-02.2022'!$A$6:$DA$376,87,FALSE)</f>
        <v>3855.2850021774157</v>
      </c>
      <c r="CJ365" s="566">
        <f>VLOOKUP($A365,'01-02.2021'!$A$6:$CZ$403,88,FALSE)+VLOOKUP($A365,'1.3.21-28.2.22'!$A$6:$DA$404,88,FALSE)-VLOOKUP($A365,'01-02.2022'!$A$6:$DA$376,88,FALSE)</f>
        <v>3551.6169308958911</v>
      </c>
      <c r="CK365" s="70">
        <f t="shared" si="408"/>
        <v>-303.66807128152459</v>
      </c>
      <c r="CL365" s="566">
        <f>VLOOKUP($A365,'01-02.2021'!$A$6:$CZ$403,90,FALSE)+VLOOKUP($A365,'1.3.21-28.2.22'!$A$6:$DA$404,90,FALSE)-VLOOKUP($A365,'01-02.2022'!$A$6:$DA$376,90,FALSE)</f>
        <v>8299.8409798784505</v>
      </c>
      <c r="CM365" s="566">
        <f>VLOOKUP($A365,'01-02.2021'!$A$6:$CZ$403,91,FALSE)+VLOOKUP($A365,'1.3.21-28.2.22'!$A$6:$DA$404,91,FALSE)-VLOOKUP($A365,'01-02.2022'!$A$6:$DA$376,91,FALSE)</f>
        <v>8466.2581755728206</v>
      </c>
      <c r="CN365" s="52">
        <f t="shared" si="420"/>
        <v>166.41719569437009</v>
      </c>
      <c r="CO365" s="39">
        <f t="shared" si="414"/>
        <v>12155.125982055866</v>
      </c>
      <c r="CP365" s="40">
        <f t="shared" si="421"/>
        <v>12017.875106468711</v>
      </c>
      <c r="CQ365" s="52">
        <f t="shared" si="422"/>
        <v>-137.25087558715495</v>
      </c>
      <c r="CR365" s="72">
        <f t="shared" si="415"/>
        <v>164330.5395675943</v>
      </c>
      <c r="CS365" s="5">
        <f t="shared" si="415"/>
        <v>127122.45421977436</v>
      </c>
      <c r="CT365" s="52">
        <f t="shared" si="423"/>
        <v>-37208.085347819942</v>
      </c>
      <c r="CU365" s="77">
        <f t="shared" si="424"/>
        <v>197196.64748111315</v>
      </c>
      <c r="CV365" s="65">
        <f t="shared" si="425"/>
        <v>152546.94506372922</v>
      </c>
      <c r="CW365" s="35">
        <f t="shared" si="426"/>
        <v>-44649.702417383931</v>
      </c>
      <c r="CX365" s="566">
        <f>VLOOKUP($A365,'01-02.2021'!$A$6:$CZ$403,102,FALSE)+VLOOKUP($A365,'1.3.21-28.2.22'!$A$6:$DA$404,102,FALSE)-VLOOKUP($A365,'01-02.2022'!$A$6:$DA$376,102,FALSE)</f>
        <v>5608.0963149176378</v>
      </c>
      <c r="CY365" s="566">
        <f>VLOOKUP($A365,'01-02.2021'!$A$6:$CZ$403,103,FALSE)+VLOOKUP($A365,'1.3.21-28.2.22'!$A$6:$DA$404,103,FALSE)-VLOOKUP($A365,'01-02.2022'!$A$6:$DA$376,103,FALSE)</f>
        <v>50257.79873230154</v>
      </c>
      <c r="CZ365" s="52">
        <f t="shared" si="427"/>
        <v>44649.702417383902</v>
      </c>
      <c r="DA365" s="150">
        <f>'[2]побудинковий звіт'!DA365</f>
        <v>-124601.53280215811</v>
      </c>
      <c r="DB365" s="2">
        <v>2</v>
      </c>
      <c r="DC365" s="414">
        <f>'[4]побудинковий звіт'!DC365</f>
        <v>53328.47</v>
      </c>
      <c r="DD365" s="414">
        <f>'[4]побудинковий звіт'!DD365</f>
        <v>0</v>
      </c>
      <c r="DE365" s="557">
        <f>'[4]побудинковий звіт'!DE365</f>
        <v>34959.973050953609</v>
      </c>
      <c r="DF365" s="557">
        <f>'[4]побудинковий звіт'!DF365</f>
        <v>0</v>
      </c>
      <c r="DG365" s="321">
        <f>VLOOKUP(A365,'кошти 01.03.2021'!$A$6:$D$401,4,)</f>
        <v>-77636.643556349445</v>
      </c>
      <c r="DH365" s="40">
        <f>'[3]побудинковий звіт'!DJ365</f>
        <v>209743.95963172568</v>
      </c>
      <c r="DI365" s="422">
        <f>'[3]побудинковий звіт'!CU365+'[3]побудинковий звіт'!CX365</f>
        <v>18368.496949046392</v>
      </c>
      <c r="DJ365" s="306">
        <f>'[3]побудинковий звіт'!DM365</f>
        <v>4.6285575368843217</v>
      </c>
      <c r="DK365" s="306">
        <f>'[3]побудинковий звіт'!DN365</f>
        <v>5.2575302079328505</v>
      </c>
      <c r="DL365" s="306">
        <f>'[3]побудинковий звіт'!DO365</f>
        <v>3.7346500935356937</v>
      </c>
      <c r="DM365" s="28">
        <f t="shared" ref="DM365:DM366" si="429">DJ365*G365+(F365-G365)*DK365</f>
        <v>18368.496949046392</v>
      </c>
      <c r="DN365" s="28">
        <f>DL365*H365</f>
        <v>0</v>
      </c>
      <c r="DO365" s="423">
        <f t="shared" si="381"/>
        <v>18368.496949046392</v>
      </c>
      <c r="DP365" s="94">
        <f t="shared" si="382"/>
        <v>0</v>
      </c>
      <c r="DQ365" s="28">
        <f t="shared" si="383"/>
        <v>18368.496949046392</v>
      </c>
      <c r="DR365" s="318"/>
      <c r="DT365" s="8"/>
      <c r="DU365" s="5"/>
      <c r="DX365" s="5">
        <f t="shared" si="384"/>
        <v>48182.658077065273</v>
      </c>
      <c r="DY365" s="5">
        <f t="shared" si="385"/>
        <v>5796.8159999999998</v>
      </c>
      <c r="DZ365" s="159">
        <f>'[3]побудинковий звіт'!EA365</f>
        <v>4405.8526757562668</v>
      </c>
    </row>
    <row r="366" spans="1:130" x14ac:dyDescent="0.3">
      <c r="A366" s="325">
        <v>150000892</v>
      </c>
      <c r="B366" s="41" t="s">
        <v>812</v>
      </c>
      <c r="C366" s="42" t="s">
        <v>401</v>
      </c>
      <c r="D366" s="42"/>
      <c r="E366" s="293">
        <f t="shared" si="412"/>
        <v>4153.8999999999996</v>
      </c>
      <c r="F366" s="305">
        <f>'[3]побудинковий звіт'!F366</f>
        <v>4153.8999999999996</v>
      </c>
      <c r="G366" s="508">
        <f>'[3]побудинковий звіт'!G366</f>
        <v>391.15</v>
      </c>
      <c r="H366" s="560">
        <f>'[3]побудинковий звіт'!H366</f>
        <v>0</v>
      </c>
      <c r="I366" s="566">
        <f>VLOOKUP($A366,'01-02.2021'!$A$6:$CZ$403,9,FALSE)+VLOOKUP($A366,'1.3.21-28.2.22'!$A$6:$DA$404,9,FALSE)-VLOOKUP($A366,'01-02.2022'!$A$6:$DA$376,9,FALSE)</f>
        <v>15779.946827844329</v>
      </c>
      <c r="J366" s="566">
        <f>VLOOKUP($A366,'01-02.2021'!$A$6:$CZ$403,10,FALSE)+VLOOKUP($A366,'1.3.21-28.2.22'!$A$6:$DA$404,10,FALSE)-VLOOKUP($A366,'01-02.2022'!$A$6:$DA$376,10,FALSE)</f>
        <v>15577.978058457207</v>
      </c>
      <c r="K366" s="52">
        <f t="shared" si="417"/>
        <v>-201.96876938712194</v>
      </c>
      <c r="L366" s="566">
        <f>VLOOKUP($A366,'01-02.2021'!$A$6:$CZ$403,12,FALSE)+VLOOKUP($A366,'1.3.21-28.2.22'!$A$6:$DA$404,12,FALSE)-VLOOKUP($A366,'01-02.2022'!$A$6:$DA$376,12,FALSE)</f>
        <v>2645.1587628452207</v>
      </c>
      <c r="M366" s="566">
        <f>VLOOKUP($A366,'01-02.2021'!$A$6:$CZ$403,13,FALSE)+VLOOKUP($A366,'1.3.21-28.2.22'!$A$6:$DA$404,13,FALSE)-VLOOKUP($A366,'01-02.2022'!$A$6:$DA$376,13,FALSE)</f>
        <v>2641.0522670832388</v>
      </c>
      <c r="N366" s="52">
        <f t="shared" si="418"/>
        <v>-4.1064957619819324</v>
      </c>
      <c r="O366" s="566">
        <f>VLOOKUP($A366,'01-02.2021'!$A$6:$CZ$403,15,FALSE)+VLOOKUP($A366,'1.3.21-28.2.22'!$A$6:$DA$404,15,FALSE)-VLOOKUP($A366,'01-02.2022'!$A$6:$DA$376,15,FALSE)</f>
        <v>4945.1683962193265</v>
      </c>
      <c r="P366" s="566">
        <f>VLOOKUP($A366,'01-02.2021'!$A$6:$CZ$403,16,FALSE)+VLOOKUP($A366,'1.3.21-28.2.22'!$A$6:$DA$404,16,FALSE)-VLOOKUP($A366,'01-02.2022'!$A$6:$DA$376,16,FALSE)</f>
        <v>4945.911666666666</v>
      </c>
      <c r="Q366" s="70">
        <f t="shared" si="386"/>
        <v>0.74327044733945513</v>
      </c>
      <c r="R366" s="566">
        <f>VLOOKUP($A366,'01-02.2021'!$A$6:$CZ$403,18,FALSE)+VLOOKUP($A366,'1.3.21-28.2.22'!$A$6:$DA$404,18,FALSE)-VLOOKUP($A366,'01-02.2022'!$A$6:$DA$376,18,FALSE)</f>
        <v>1223.659987759175</v>
      </c>
      <c r="S366" s="566">
        <f>VLOOKUP($A366,'01-02.2021'!$A$6:$CZ$403,19,FALSE)+VLOOKUP($A366,'1.3.21-28.2.22'!$A$6:$DA$404,19,FALSE)-VLOOKUP($A366,'01-02.2022'!$A$6:$DA$376,19,FALSE)</f>
        <v>1222.6733333333334</v>
      </c>
      <c r="T366" s="70">
        <f t="shared" si="387"/>
        <v>-0.98665442584160701</v>
      </c>
      <c r="U366" s="566">
        <f>VLOOKUP($A366,'01-02.2021'!$A$6:$CZ$403,21,FALSE)+VLOOKUP($A366,'1.3.21-28.2.22'!$A$6:$DA$404,21,FALSE)-VLOOKUP($A366,'01-02.2022'!$A$6:$DA$376,21,FALSE)</f>
        <v>671.36656966572173</v>
      </c>
      <c r="V366" s="566">
        <f>VLOOKUP($A366,'01-02.2021'!$A$6:$CZ$403,22,FALSE)+VLOOKUP($A366,'1.3.21-28.2.22'!$A$6:$DA$404,22,FALSE)-VLOOKUP($A366,'01-02.2022'!$A$6:$DA$376,22,FALSE)</f>
        <v>570.57020852912501</v>
      </c>
      <c r="W366" s="70">
        <f t="shared" si="388"/>
        <v>-100.79636113659672</v>
      </c>
      <c r="X366" s="566">
        <f>VLOOKUP($A366,'01-02.2021'!$A$6:$CZ$403,24,FALSE)+VLOOKUP($A366,'1.3.21-28.2.22'!$A$6:$DA$404,24,FALSE)-VLOOKUP($A366,'01-02.2022'!$A$6:$DA$376,24,FALSE)</f>
        <v>5072.7206788487147</v>
      </c>
      <c r="Y366" s="566">
        <f>VLOOKUP($A366,'01-02.2021'!$A$6:$CZ$403,25,FALSE)+VLOOKUP($A366,'1.3.21-28.2.22'!$A$6:$DA$404,25,FALSE)-VLOOKUP($A366,'01-02.2022'!$A$6:$DA$376,25,FALSE)</f>
        <v>4234.9658321268062</v>
      </c>
      <c r="Z366" s="70">
        <f t="shared" si="389"/>
        <v>-837.75484672190851</v>
      </c>
      <c r="AA366" s="566">
        <f>VLOOKUP($A366,'01-02.2021'!$A$6:$CZ$403,27,FALSE)+VLOOKUP($A366,'1.3.21-28.2.22'!$A$6:$DA$404,27,FALSE)-VLOOKUP($A366,'01-02.2022'!$A$6:$DA$376,27,FALSE)</f>
        <v>830.78</v>
      </c>
      <c r="AB366" s="566">
        <f>VLOOKUP($A366,'01-02.2021'!$A$6:$CZ$403,28,FALSE)+VLOOKUP($A366,'1.3.21-28.2.22'!$A$6:$DA$404,28,FALSE)-VLOOKUP($A366,'01-02.2022'!$A$6:$DA$376,28,FALSE)</f>
        <v>0</v>
      </c>
      <c r="AC366" s="70">
        <f t="shared" si="390"/>
        <v>-830.78</v>
      </c>
      <c r="AD366" s="566">
        <f>VLOOKUP($A366,'01-02.2021'!$A$6:$CZ$403,30,FALSE)+VLOOKUP($A366,'1.3.21-28.2.22'!$A$6:$DA$404,30,FALSE)-VLOOKUP($A366,'01-02.2022'!$A$6:$DA$376,30,FALSE)</f>
        <v>17842.180313422876</v>
      </c>
      <c r="AE366" s="566">
        <f>VLOOKUP($A366,'01-02.2021'!$A$6:$CZ$403,31,FALSE)+VLOOKUP($A366,'1.3.21-28.2.22'!$A$6:$DA$404,31,FALSE)-VLOOKUP($A366,'01-02.2022'!$A$6:$DA$376,31,FALSE)</f>
        <v>18908.720169978747</v>
      </c>
      <c r="AF366" s="68">
        <f t="shared" si="391"/>
        <v>1066.5398565558717</v>
      </c>
      <c r="AG366" s="77">
        <f t="shared" si="413"/>
        <v>49010.981536605366</v>
      </c>
      <c r="AH366" s="53">
        <f t="shared" si="413"/>
        <v>48101.871536175124</v>
      </c>
      <c r="AI366" s="52">
        <f t="shared" si="419"/>
        <v>-909.11000043024251</v>
      </c>
      <c r="AJ366" s="566">
        <f>VLOOKUP($A366,'01-02.2021'!$A$6:$CZ$403,36,FALSE)+VLOOKUP($A366,'1.3.21-28.2.22'!$A$6:$DA$404,36,FALSE)-VLOOKUP($A366,'01-02.2022'!$A$6:$DA$376,36,FALSE)</f>
        <v>52777.88872375428</v>
      </c>
      <c r="AK366" s="566">
        <f>VLOOKUP($A366,'01-02.2021'!$A$6:$CZ$403,37,FALSE)+VLOOKUP($A366,'1.3.21-28.2.22'!$A$6:$DA$404,37,FALSE)-VLOOKUP($A366,'01-02.2022'!$A$6:$DA$376,37,FALSE)</f>
        <v>52431.85833159968</v>
      </c>
      <c r="AL366" s="70">
        <f t="shared" si="392"/>
        <v>-346.03039215460012</v>
      </c>
      <c r="AM366" s="566">
        <f>VLOOKUP($A366,'01-02.2021'!$A$6:$CZ$403,39,FALSE)+VLOOKUP($A366,'1.3.21-28.2.22'!$A$6:$DA$404,39,FALSE)-VLOOKUP($A366,'01-02.2022'!$A$6:$DA$376,39,FALSE)</f>
        <v>0</v>
      </c>
      <c r="AN366" s="566">
        <f>VLOOKUP($A366,'01-02.2021'!$A$6:$CZ$403,40,FALSE)+VLOOKUP($A366,'1.3.21-28.2.22'!$A$6:$DA$404,40,FALSE)-VLOOKUP($A366,'01-02.2022'!$A$6:$DA$376,40,FALSE)</f>
        <v>0</v>
      </c>
      <c r="AO366" s="70">
        <f t="shared" si="393"/>
        <v>0</v>
      </c>
      <c r="AP366" s="566">
        <f>VLOOKUP($A366,'01-02.2021'!$A$6:$CZ$403,42,FALSE)+VLOOKUP($A366,'1.3.21-28.2.22'!$A$6:$DA$404,42,FALSE)-VLOOKUP($A366,'01-02.2022'!$A$6:$DA$376,42,FALSE)</f>
        <v>3079.9795563256007</v>
      </c>
      <c r="AQ366" s="566">
        <f>VLOOKUP($A366,'01-02.2021'!$A$6:$CZ$403,43,FALSE)+VLOOKUP($A366,'1.3.21-28.2.22'!$A$6:$DA$404,43,FALSE)-VLOOKUP($A366,'01-02.2022'!$A$6:$DA$376,43,FALSE)</f>
        <v>2681.7371101197455</v>
      </c>
      <c r="AR366" s="70">
        <f t="shared" si="394"/>
        <v>-398.24244620585523</v>
      </c>
      <c r="AS366" s="566">
        <f>VLOOKUP($A366,'01-02.2021'!$A$6:$CZ$403,45,FALSE)+VLOOKUP($A366,'1.3.21-28.2.22'!$A$6:$DA$404,45,FALSE)-VLOOKUP($A366,'01-02.2022'!$A$6:$DA$376,45,FALSE)</f>
        <v>44597.243715638644</v>
      </c>
      <c r="AT366" s="566">
        <f>VLOOKUP($A366,'01-02.2021'!$A$6:$CZ$403,46,FALSE)+VLOOKUP($A366,'1.3.21-28.2.22'!$A$6:$DA$404,46,FALSE)-VLOOKUP($A366,'01-02.2022'!$A$6:$DA$376,46,FALSE)</f>
        <v>54299.868431817624</v>
      </c>
      <c r="AU366" s="78">
        <f t="shared" si="395"/>
        <v>9702.6247161789797</v>
      </c>
      <c r="AV366" s="566">
        <f>VLOOKUP($A366,'01-02.2021'!$A$6:$CZ$403,48,FALSE)+VLOOKUP($A366,'1.3.21-28.2.22'!$A$6:$DA$404,48,FALSE)-VLOOKUP($A366,'01-02.2022'!$A$6:$DA$376,48,FALSE)</f>
        <v>3449.0449652990133</v>
      </c>
      <c r="AW366" s="566">
        <f>VLOOKUP($A366,'01-02.2021'!$A$6:$CZ$403,49,FALSE)+VLOOKUP($A366,'1.3.21-28.2.22'!$A$6:$DA$404,49,FALSE)-VLOOKUP($A366,'01-02.2022'!$A$6:$DA$376,49,FALSE)</f>
        <v>301</v>
      </c>
      <c r="AX366" s="55">
        <f t="shared" si="396"/>
        <v>-3148.0449652990133</v>
      </c>
      <c r="AY366" s="566">
        <f>VLOOKUP($A366,'01-02.2021'!$A$6:$CZ$403,51,FALSE)+VLOOKUP($A366,'1.3.21-28.2.22'!$A$6:$DA$404,51,FALSE)-VLOOKUP($A366,'01-02.2022'!$A$6:$DA$376,51,FALSE)</f>
        <v>4006.8081772313899</v>
      </c>
      <c r="AZ366" s="566">
        <f>VLOOKUP($A366,'01-02.2021'!$A$6:$CZ$403,52,FALSE)+VLOOKUP($A366,'1.3.21-28.2.22'!$A$6:$DA$404,52,FALSE)-VLOOKUP($A366,'01-02.2022'!$A$6:$DA$376,52,FALSE)</f>
        <v>2020</v>
      </c>
      <c r="BA366" s="38">
        <f t="shared" si="397"/>
        <v>-1986.8081772313899</v>
      </c>
      <c r="BB366" s="566">
        <f>VLOOKUP($A366,'01-02.2021'!$A$6:$CZ$403,54,FALSE)+VLOOKUP($A366,'1.3.21-28.2.22'!$A$6:$DA$404,54,FALSE)-VLOOKUP($A366,'01-02.2022'!$A$6:$DA$376,54,FALSE)</f>
        <v>2258.8306512459767</v>
      </c>
      <c r="BC366" s="566">
        <f>VLOOKUP($A366,'01-02.2021'!$A$6:$CZ$403,55,FALSE)+VLOOKUP($A366,'1.3.21-28.2.22'!$A$6:$DA$404,55,FALSE)-VLOOKUP($A366,'01-02.2022'!$A$6:$DA$376,55,FALSE)</f>
        <v>0</v>
      </c>
      <c r="BD366" s="55">
        <f t="shared" si="398"/>
        <v>-2258.8306512459767</v>
      </c>
      <c r="BE366" s="566">
        <f>VLOOKUP($A366,'01-02.2021'!$A$6:$CZ$403,57,FALSE)+VLOOKUP($A366,'1.3.21-28.2.22'!$A$6:$DA$404,57,FALSE)-VLOOKUP($A366,'01-02.2022'!$A$6:$DA$376,57,FALSE)</f>
        <v>2732.2375804730909</v>
      </c>
      <c r="BF366" s="566">
        <f>VLOOKUP($A366,'01-02.2021'!$A$6:$CZ$403,58,FALSE)+VLOOKUP($A366,'1.3.21-28.2.22'!$A$6:$DA$404,58,FALSE)-VLOOKUP($A366,'01-02.2022'!$A$6:$DA$376,58,FALSE)</f>
        <v>380</v>
      </c>
      <c r="BG366" s="55">
        <f t="shared" si="399"/>
        <v>-2352.2375804730909</v>
      </c>
      <c r="BH366" s="566">
        <f>VLOOKUP($A366,'01-02.2021'!$A$6:$CZ$403,60,FALSE)+VLOOKUP($A366,'1.3.21-28.2.22'!$A$6:$DA$404,60,FALSE)-VLOOKUP($A366,'01-02.2022'!$A$6:$DA$376,60,FALSE)</f>
        <v>1275.6779514917541</v>
      </c>
      <c r="BI366" s="566">
        <f>VLOOKUP($A366,'01-02.2021'!$A$6:$CZ$403,61,FALSE)+VLOOKUP($A366,'1.3.21-28.2.22'!$A$6:$DA$404,61,FALSE)-VLOOKUP($A366,'01-02.2022'!$A$6:$DA$376,61,FALSE)</f>
        <v>39</v>
      </c>
      <c r="BJ366" s="55">
        <f t="shared" si="400"/>
        <v>-1236.6779514917541</v>
      </c>
      <c r="BK366" s="566">
        <f>VLOOKUP($A366,'01-02.2021'!$A$6:$CZ$403,63,FALSE)+VLOOKUP($A366,'1.3.21-28.2.22'!$A$6:$DA$404,63,FALSE)-VLOOKUP($A366,'01-02.2022'!$A$6:$DA$376,63,FALSE)</f>
        <v>1512.6887771176289</v>
      </c>
      <c r="BL366" s="566">
        <f>VLOOKUP($A366,'01-02.2021'!$A$6:$CZ$403,64,FALSE)+VLOOKUP($A366,'1.3.21-28.2.22'!$A$6:$DA$404,64,FALSE)-VLOOKUP($A366,'01-02.2022'!$A$6:$DA$376,64,FALSE)</f>
        <v>0</v>
      </c>
      <c r="BM366" s="55">
        <f t="shared" si="401"/>
        <v>-1512.6887771176289</v>
      </c>
      <c r="BN366" s="566">
        <f>VLOOKUP($A366,'01-02.2021'!$A$6:$CZ$403,66,FALSE)+VLOOKUP($A366,'1.3.21-28.2.22'!$A$6:$DA$404,66,FALSE)-VLOOKUP($A366,'01-02.2022'!$A$6:$DA$376,66,FALSE)</f>
        <v>207.69499999999999</v>
      </c>
      <c r="BO366" s="566">
        <f>VLOOKUP($A366,'01-02.2021'!$A$6:$CZ$403,67,FALSE)+VLOOKUP($A366,'1.3.21-28.2.22'!$A$6:$DA$404,67,FALSE)-VLOOKUP($A366,'01-02.2022'!$A$6:$DA$376,67,FALSE)</f>
        <v>0</v>
      </c>
      <c r="BP366" s="55">
        <f t="shared" si="402"/>
        <v>-207.69499999999999</v>
      </c>
      <c r="BQ366" s="77">
        <f t="shared" si="409"/>
        <v>15442.983102858852</v>
      </c>
      <c r="BR366" s="40">
        <f t="shared" si="410"/>
        <v>2740</v>
      </c>
      <c r="BS366" s="55">
        <f t="shared" si="428"/>
        <v>-12702.983102858852</v>
      </c>
      <c r="BT366" s="566">
        <f>VLOOKUP($A366,'01-02.2021'!$A$6:$CZ$403,72,FALSE)+VLOOKUP($A366,'1.3.21-28.2.22'!$A$6:$DA$404,72,FALSE)-VLOOKUP($A366,'01-02.2022'!$A$6:$DA$376,72,FALSE)</f>
        <v>50772.71560585656</v>
      </c>
      <c r="BU366" s="566">
        <f>VLOOKUP($A366,'01-02.2021'!$A$6:$CZ$403,73,FALSE)+VLOOKUP($A366,'1.3.21-28.2.22'!$A$6:$DA$404,73,FALSE)-VLOOKUP($A366,'01-02.2022'!$A$6:$DA$376,73,FALSE)</f>
        <v>48445.588083725532</v>
      </c>
      <c r="BV366" s="70">
        <f t="shared" si="403"/>
        <v>-2327.1275221310279</v>
      </c>
      <c r="BW366" s="566">
        <f>VLOOKUP($A366,'01-02.2021'!$A$6:$CZ$403,75,FALSE)+VLOOKUP($A366,'1.3.21-28.2.22'!$A$6:$DA$404,75,FALSE)-VLOOKUP($A366,'01-02.2022'!$A$6:$DA$376,75,FALSE)</f>
        <v>33992.175059466506</v>
      </c>
      <c r="BX366" s="566">
        <f>VLOOKUP($A366,'01-02.2021'!$A$6:$CZ$403,76,FALSE)+VLOOKUP($A366,'1.3.21-28.2.22'!$A$6:$DA$404,76,FALSE)-VLOOKUP($A366,'01-02.2022'!$A$6:$DA$376,76,FALSE)</f>
        <v>35183.566733022606</v>
      </c>
      <c r="BY366" s="70">
        <f t="shared" si="404"/>
        <v>1191.3916735560997</v>
      </c>
      <c r="BZ366" s="566">
        <f>VLOOKUP($A366,'01-02.2021'!$A$6:$CZ$403,78,FALSE)+VLOOKUP($A366,'1.3.21-28.2.22'!$A$6:$DA$404,78,FALSE)-VLOOKUP($A366,'01-02.2022'!$A$6:$DA$376,78,FALSE)</f>
        <v>7756.3133533414239</v>
      </c>
      <c r="CA366" s="566">
        <f>VLOOKUP($A366,'01-02.2021'!$A$6:$CZ$403,79,FALSE)+VLOOKUP($A366,'1.3.21-28.2.22'!$A$6:$DA$404,79,FALSE)-VLOOKUP($A366,'01-02.2022'!$A$6:$DA$376,79,FALSE)</f>
        <v>12269.262107273202</v>
      </c>
      <c r="CB366" s="70">
        <f t="shared" si="405"/>
        <v>4512.9487539317779</v>
      </c>
      <c r="CC366" s="566">
        <f>VLOOKUP($A366,'01-02.2021'!$A$6:$CZ$403,81,FALSE)+VLOOKUP($A366,'1.3.21-28.2.22'!$A$6:$DA$404,81,FALSE)-VLOOKUP($A366,'01-02.2022'!$A$6:$DA$376,81,FALSE)</f>
        <v>1310.0565158076492</v>
      </c>
      <c r="CD366" s="566">
        <f>VLOOKUP($A366,'01-02.2021'!$A$6:$CZ$403,82,FALSE)+VLOOKUP($A366,'1.3.21-28.2.22'!$A$6:$DA$404,82,FALSE)-VLOOKUP($A366,'01-02.2022'!$A$6:$DA$376,82,FALSE)</f>
        <v>1417.8982870931272</v>
      </c>
      <c r="CE366" s="70">
        <f t="shared" si="406"/>
        <v>107.84177128547799</v>
      </c>
      <c r="CF366" s="566">
        <f>VLOOKUP($A366,'01-02.2021'!$A$6:$CZ$403,84,FALSE)+VLOOKUP($A366,'1.3.21-28.2.22'!$A$6:$DA$404,84,FALSE)-VLOOKUP($A366,'01-02.2022'!$A$6:$DA$376,84,FALSE)</f>
        <v>157.70891587663891</v>
      </c>
      <c r="CG366" s="566">
        <f>VLOOKUP($A366,'01-02.2021'!$A$6:$CZ$403,85,FALSE)+VLOOKUP($A366,'1.3.21-28.2.22'!$A$6:$DA$404,85,FALSE)-VLOOKUP($A366,'01-02.2022'!$A$6:$DA$376,85,FALSE)</f>
        <v>0</v>
      </c>
      <c r="CH366" s="70">
        <f t="shared" si="407"/>
        <v>-157.70891587663891</v>
      </c>
      <c r="CI366" s="566">
        <f>VLOOKUP($A366,'01-02.2021'!$A$6:$CZ$403,87,FALSE)+VLOOKUP($A366,'1.3.21-28.2.22'!$A$6:$DA$404,87,FALSE)-VLOOKUP($A366,'01-02.2022'!$A$6:$DA$376,87,FALSE)</f>
        <v>11182.299797656729</v>
      </c>
      <c r="CJ366" s="566">
        <f>VLOOKUP($A366,'01-02.2021'!$A$6:$CZ$403,88,FALSE)+VLOOKUP($A366,'1.3.21-28.2.22'!$A$6:$DA$404,88,FALSE)-VLOOKUP($A366,'01-02.2022'!$A$6:$DA$376,88,FALSE)</f>
        <v>11953.679185577714</v>
      </c>
      <c r="CK366" s="70">
        <f t="shared" si="408"/>
        <v>771.3793879209843</v>
      </c>
      <c r="CL366" s="566">
        <f>VLOOKUP($A366,'01-02.2021'!$A$6:$CZ$403,90,FALSE)+VLOOKUP($A366,'1.3.21-28.2.22'!$A$6:$DA$404,90,FALSE)-VLOOKUP($A366,'01-02.2022'!$A$6:$DA$376,90,FALSE)</f>
        <v>7693.4885515708665</v>
      </c>
      <c r="CM366" s="566">
        <f>VLOOKUP($A366,'01-02.2021'!$A$6:$CZ$403,91,FALSE)+VLOOKUP($A366,'1.3.21-28.2.22'!$A$6:$DA$404,91,FALSE)-VLOOKUP($A366,'01-02.2022'!$A$6:$DA$376,91,FALSE)</f>
        <v>6156.8227222283303</v>
      </c>
      <c r="CN366" s="52">
        <f t="shared" si="420"/>
        <v>-1536.6658293425362</v>
      </c>
      <c r="CO366" s="39">
        <f t="shared" si="414"/>
        <v>18875.788349227594</v>
      </c>
      <c r="CP366" s="40">
        <f t="shared" si="421"/>
        <v>18110.501907806043</v>
      </c>
      <c r="CQ366" s="52">
        <f t="shared" si="422"/>
        <v>-765.28644142155099</v>
      </c>
      <c r="CR366" s="72">
        <f t="shared" si="415"/>
        <v>277773.8344347591</v>
      </c>
      <c r="CS366" s="5">
        <f t="shared" si="415"/>
        <v>275682.15252863267</v>
      </c>
      <c r="CT366" s="52">
        <f t="shared" si="423"/>
        <v>-2091.6819061264396</v>
      </c>
      <c r="CU366" s="77">
        <f t="shared" si="424"/>
        <v>333328.60132171091</v>
      </c>
      <c r="CV366" s="65">
        <f t="shared" si="425"/>
        <v>330818.58303435921</v>
      </c>
      <c r="CW366" s="35">
        <f t="shared" si="426"/>
        <v>-2510.0182873517042</v>
      </c>
      <c r="CX366" s="566">
        <f>VLOOKUP($A366,'01-02.2021'!$A$6:$CZ$403,102,FALSE)+VLOOKUP($A366,'1.3.21-28.2.22'!$A$6:$DA$404,102,FALSE)-VLOOKUP($A366,'01-02.2022'!$A$6:$DA$376,102,FALSE)</f>
        <v>8387.9450841823746</v>
      </c>
      <c r="CY366" s="566">
        <f>VLOOKUP($A366,'01-02.2021'!$A$6:$CZ$403,103,FALSE)+VLOOKUP($A366,'1.3.21-28.2.22'!$A$6:$DA$404,103,FALSE)-VLOOKUP($A366,'01-02.2022'!$A$6:$DA$376,103,FALSE)</f>
        <v>10897.963371534075</v>
      </c>
      <c r="CZ366" s="52">
        <f t="shared" si="427"/>
        <v>2510.0182873517006</v>
      </c>
      <c r="DA366" s="150">
        <f>'[2]побудинковий звіт'!DA366</f>
        <v>104540.12976557334</v>
      </c>
      <c r="DB366" s="2">
        <v>3</v>
      </c>
      <c r="DC366" s="414">
        <f>'[4]побудинковий звіт'!DC366</f>
        <v>60053.14</v>
      </c>
      <c r="DD366" s="414">
        <f>'[4]побудинковий звіт'!DD366</f>
        <v>0</v>
      </c>
      <c r="DE366" s="557">
        <f>'[4]побудинковий звіт'!DE366</f>
        <v>29086.103831007436</v>
      </c>
      <c r="DF366" s="557">
        <f>'[4]побудинковий звіт'!DF366</f>
        <v>0</v>
      </c>
      <c r="DG366" s="321">
        <f>VLOOKUP(A366,'кошти 01.03.2021'!$A$6:$D$401,4,)</f>
        <v>117679.25194875145</v>
      </c>
      <c r="DH366" s="40">
        <f>'[3]побудинковий звіт'!DJ366</f>
        <v>353490.45151113207</v>
      </c>
      <c r="DI366" s="422">
        <f>'[3]побудинковий звіт'!CU366+'[3]побудинковий звіт'!CX366</f>
        <v>30967.036168992563</v>
      </c>
      <c r="DJ366" s="306">
        <f>'[3]побудинковий звіт'!DM366</f>
        <v>5.8821644209143864</v>
      </c>
      <c r="DK366" s="306">
        <f>'[3]побудинковий звіт'!DN366</f>
        <v>7.6184247042062072</v>
      </c>
      <c r="DL366" s="306">
        <f>'[3]побудинковий звіт'!DO366</f>
        <v>4.9164996750464756</v>
      </c>
      <c r="DM366" s="28">
        <f t="shared" si="429"/>
        <v>30967.036168992563</v>
      </c>
      <c r="DN366" s="28">
        <f>DL366*H366</f>
        <v>0</v>
      </c>
      <c r="DO366" s="423">
        <f t="shared" si="381"/>
        <v>30967.036168992563</v>
      </c>
      <c r="DP366" s="94">
        <f t="shared" si="382"/>
        <v>0</v>
      </c>
      <c r="DQ366" s="28">
        <f t="shared" si="383"/>
        <v>30967.036168992563</v>
      </c>
      <c r="DR366" s="318"/>
      <c r="DT366" s="8"/>
      <c r="DU366" s="5"/>
      <c r="DX366" s="5">
        <f t="shared" si="384"/>
        <v>72048.27218219699</v>
      </c>
      <c r="DY366" s="5">
        <f t="shared" si="385"/>
        <v>68447.842118181143</v>
      </c>
      <c r="DZ366" s="159">
        <f>'[3]побудинковий звіт'!EA366</f>
        <v>7159.3174538635067</v>
      </c>
    </row>
    <row r="367" spans="1:130" x14ac:dyDescent="0.3">
      <c r="A367" s="325">
        <v>150000893</v>
      </c>
      <c r="B367" s="41" t="s">
        <v>813</v>
      </c>
      <c r="C367" s="42" t="s">
        <v>315</v>
      </c>
      <c r="D367" s="42"/>
      <c r="E367" s="293">
        <f t="shared" si="412"/>
        <v>2749.1</v>
      </c>
      <c r="F367" s="305">
        <f>'[3]побудинковий звіт'!F367</f>
        <v>2749.1</v>
      </c>
      <c r="G367" s="508">
        <f>'[3]побудинковий звіт'!G367</f>
        <v>0</v>
      </c>
      <c r="H367" s="560">
        <f>'[3]побудинковий звіт'!H367</f>
        <v>0</v>
      </c>
      <c r="I367" s="566">
        <f>VLOOKUP($A367,'01-02.2021'!$A$6:$CZ$403,9,FALSE)+VLOOKUP($A367,'1.3.21-28.2.22'!$A$6:$DA$404,9,FALSE)-VLOOKUP($A367,'01-02.2022'!$A$6:$DA$376,9,FALSE)</f>
        <v>9939.7048725647419</v>
      </c>
      <c r="J367" s="566">
        <f>VLOOKUP($A367,'01-02.2021'!$A$6:$CZ$403,10,FALSE)+VLOOKUP($A367,'1.3.21-28.2.22'!$A$6:$DA$404,10,FALSE)-VLOOKUP($A367,'01-02.2022'!$A$6:$DA$376,10,FALSE)</f>
        <v>9740.507895017854</v>
      </c>
      <c r="K367" s="52">
        <f t="shared" si="417"/>
        <v>-199.19697754688787</v>
      </c>
      <c r="L367" s="566">
        <f>VLOOKUP($A367,'01-02.2021'!$A$6:$CZ$403,12,FALSE)+VLOOKUP($A367,'1.3.21-28.2.22'!$A$6:$DA$404,12,FALSE)-VLOOKUP($A367,'01-02.2022'!$A$6:$DA$376,12,FALSE)</f>
        <v>1937.7541367306121</v>
      </c>
      <c r="M367" s="566">
        <f>VLOOKUP($A367,'01-02.2021'!$A$6:$CZ$403,13,FALSE)+VLOOKUP($A367,'1.3.21-28.2.22'!$A$6:$DA$404,13,FALSE)-VLOOKUP($A367,'01-02.2022'!$A$6:$DA$376,13,FALSE)</f>
        <v>1934.7882259540827</v>
      </c>
      <c r="N367" s="52">
        <f t="shared" si="418"/>
        <v>-2.9659107765294266</v>
      </c>
      <c r="O367" s="566">
        <f>VLOOKUP($A367,'01-02.2021'!$A$6:$CZ$403,15,FALSE)+VLOOKUP($A367,'1.3.21-28.2.22'!$A$6:$DA$404,15,FALSE)-VLOOKUP($A367,'01-02.2022'!$A$6:$DA$376,15,FALSE)</f>
        <v>3657.1630771851928</v>
      </c>
      <c r="P367" s="566">
        <f>VLOOKUP($A367,'01-02.2021'!$A$6:$CZ$403,16,FALSE)+VLOOKUP($A367,'1.3.21-28.2.22'!$A$6:$DA$404,16,FALSE)-VLOOKUP($A367,'01-02.2022'!$A$6:$DA$376,16,FALSE)</f>
        <v>3657.5266666666676</v>
      </c>
      <c r="Q367" s="70">
        <f t="shared" si="386"/>
        <v>0.36358948147471892</v>
      </c>
      <c r="R367" s="566">
        <f>VLOOKUP($A367,'01-02.2021'!$A$6:$CZ$403,18,FALSE)+VLOOKUP($A367,'1.3.21-28.2.22'!$A$6:$DA$404,18,FALSE)-VLOOKUP($A367,'01-02.2022'!$A$6:$DA$376,18,FALSE)</f>
        <v>0</v>
      </c>
      <c r="S367" s="566">
        <f>VLOOKUP($A367,'01-02.2021'!$A$6:$CZ$403,19,FALSE)+VLOOKUP($A367,'1.3.21-28.2.22'!$A$6:$DA$404,19,FALSE)-VLOOKUP($A367,'01-02.2022'!$A$6:$DA$376,19,FALSE)</f>
        <v>0</v>
      </c>
      <c r="T367" s="70">
        <f t="shared" si="387"/>
        <v>0</v>
      </c>
      <c r="U367" s="566">
        <f>VLOOKUP($A367,'01-02.2021'!$A$6:$CZ$403,21,FALSE)+VLOOKUP($A367,'1.3.21-28.2.22'!$A$6:$DA$404,21,FALSE)-VLOOKUP($A367,'01-02.2022'!$A$6:$DA$376,21,FALSE)</f>
        <v>610.46629745812027</v>
      </c>
      <c r="V367" s="566">
        <f>VLOOKUP($A367,'01-02.2021'!$A$6:$CZ$403,22,FALSE)+VLOOKUP($A367,'1.3.21-28.2.22'!$A$6:$DA$404,22,FALSE)-VLOOKUP($A367,'01-02.2022'!$A$6:$DA$376,22,FALSE)</f>
        <v>518.78454313363841</v>
      </c>
      <c r="W367" s="70">
        <f t="shared" si="388"/>
        <v>-91.681754324481858</v>
      </c>
      <c r="X367" s="566">
        <f>VLOOKUP($A367,'01-02.2021'!$A$6:$CZ$403,24,FALSE)+VLOOKUP($A367,'1.3.21-28.2.22'!$A$6:$DA$404,24,FALSE)-VLOOKUP($A367,'01-02.2022'!$A$6:$DA$376,24,FALSE)</f>
        <v>6166.878147705519</v>
      </c>
      <c r="Y367" s="566">
        <f>VLOOKUP($A367,'01-02.2021'!$A$6:$CZ$403,25,FALSE)+VLOOKUP($A367,'1.3.21-28.2.22'!$A$6:$DA$404,25,FALSE)-VLOOKUP($A367,'01-02.2022'!$A$6:$DA$376,25,FALSE)</f>
        <v>5183.4139834331763</v>
      </c>
      <c r="Z367" s="70">
        <f t="shared" si="389"/>
        <v>-983.46416427234271</v>
      </c>
      <c r="AA367" s="566">
        <f>VLOOKUP($A367,'01-02.2021'!$A$6:$CZ$403,27,FALSE)+VLOOKUP($A367,'1.3.21-28.2.22'!$A$6:$DA$404,27,FALSE)-VLOOKUP($A367,'01-02.2022'!$A$6:$DA$376,27,FALSE)</f>
        <v>549.94000000000005</v>
      </c>
      <c r="AB367" s="566">
        <f>VLOOKUP($A367,'01-02.2021'!$A$6:$CZ$403,28,FALSE)+VLOOKUP($A367,'1.3.21-28.2.22'!$A$6:$DA$404,28,FALSE)-VLOOKUP($A367,'01-02.2022'!$A$6:$DA$376,28,FALSE)</f>
        <v>0</v>
      </c>
      <c r="AC367" s="70">
        <f t="shared" si="390"/>
        <v>-549.94000000000005</v>
      </c>
      <c r="AD367" s="566">
        <f>VLOOKUP($A367,'01-02.2021'!$A$6:$CZ$403,30,FALSE)+VLOOKUP($A367,'1.3.21-28.2.22'!$A$6:$DA$404,30,FALSE)-VLOOKUP($A367,'01-02.2022'!$A$6:$DA$376,30,FALSE)</f>
        <v>11809.21053498382</v>
      </c>
      <c r="AE367" s="566">
        <f>VLOOKUP($A367,'01-02.2021'!$A$6:$CZ$403,31,FALSE)+VLOOKUP($A367,'1.3.21-28.2.22'!$A$6:$DA$404,31,FALSE)-VLOOKUP($A367,'01-02.2022'!$A$6:$DA$376,31,FALSE)</f>
        <v>12514.013967425451</v>
      </c>
      <c r="AF367" s="68">
        <f t="shared" si="391"/>
        <v>704.80343244163123</v>
      </c>
      <c r="AG367" s="77">
        <f t="shared" si="413"/>
        <v>34671.117066628009</v>
      </c>
      <c r="AH367" s="53">
        <f t="shared" si="413"/>
        <v>33549.035281630873</v>
      </c>
      <c r="AI367" s="52">
        <f t="shared" si="419"/>
        <v>-1122.0817849971354</v>
      </c>
      <c r="AJ367" s="566">
        <f>VLOOKUP($A367,'01-02.2021'!$A$6:$CZ$403,36,FALSE)+VLOOKUP($A367,'1.3.21-28.2.22'!$A$6:$DA$404,36,FALSE)-VLOOKUP($A367,'01-02.2022'!$A$6:$DA$376,36,FALSE)</f>
        <v>0</v>
      </c>
      <c r="AK367" s="566">
        <f>VLOOKUP($A367,'01-02.2021'!$A$6:$CZ$403,37,FALSE)+VLOOKUP($A367,'1.3.21-28.2.22'!$A$6:$DA$404,37,FALSE)-VLOOKUP($A367,'01-02.2022'!$A$6:$DA$376,37,FALSE)</f>
        <v>0</v>
      </c>
      <c r="AL367" s="70">
        <f t="shared" si="392"/>
        <v>0</v>
      </c>
      <c r="AM367" s="566">
        <f>VLOOKUP($A367,'01-02.2021'!$A$6:$CZ$403,39,FALSE)+VLOOKUP($A367,'1.3.21-28.2.22'!$A$6:$DA$404,39,FALSE)-VLOOKUP($A367,'01-02.2022'!$A$6:$DA$376,39,FALSE)</f>
        <v>0</v>
      </c>
      <c r="AN367" s="566">
        <f>VLOOKUP($A367,'01-02.2021'!$A$6:$CZ$403,40,FALSE)+VLOOKUP($A367,'1.3.21-28.2.22'!$A$6:$DA$404,40,FALSE)-VLOOKUP($A367,'01-02.2022'!$A$6:$DA$376,40,FALSE)</f>
        <v>0</v>
      </c>
      <c r="AO367" s="70">
        <f t="shared" si="393"/>
        <v>0</v>
      </c>
      <c r="AP367" s="566">
        <f>VLOOKUP($A367,'01-02.2021'!$A$6:$CZ$403,42,FALSE)+VLOOKUP($A367,'1.3.21-28.2.22'!$A$6:$DA$404,42,FALSE)-VLOOKUP($A367,'01-02.2022'!$A$6:$DA$376,42,FALSE)</f>
        <v>4685.0393251149972</v>
      </c>
      <c r="AQ367" s="566">
        <f>VLOOKUP($A367,'01-02.2021'!$A$6:$CZ$403,43,FALSE)+VLOOKUP($A367,'1.3.21-28.2.22'!$A$6:$DA$404,43,FALSE)-VLOOKUP($A367,'01-02.2022'!$A$6:$DA$376,43,FALSE)</f>
        <v>4062.4465394234576</v>
      </c>
      <c r="AR367" s="70">
        <f t="shared" si="394"/>
        <v>-622.59278569153958</v>
      </c>
      <c r="AS367" s="566">
        <f>VLOOKUP($A367,'01-02.2021'!$A$6:$CZ$403,45,FALSE)+VLOOKUP($A367,'1.3.21-28.2.22'!$A$6:$DA$404,45,FALSE)-VLOOKUP($A367,'01-02.2022'!$A$6:$DA$376,45,FALSE)</f>
        <v>44014.12790212196</v>
      </c>
      <c r="AT367" s="566">
        <f>VLOOKUP($A367,'01-02.2021'!$A$6:$CZ$403,46,FALSE)+VLOOKUP($A367,'1.3.21-28.2.22'!$A$6:$DA$404,46,FALSE)-VLOOKUP($A367,'01-02.2022'!$A$6:$DA$376,46,FALSE)</f>
        <v>34631.30977240752</v>
      </c>
      <c r="AU367" s="78">
        <f t="shared" si="395"/>
        <v>-9382.8181297144401</v>
      </c>
      <c r="AV367" s="566">
        <f>VLOOKUP($A367,'01-02.2021'!$A$6:$CZ$403,48,FALSE)+VLOOKUP($A367,'1.3.21-28.2.22'!$A$6:$DA$404,48,FALSE)-VLOOKUP($A367,'01-02.2022'!$A$6:$DA$376,48,FALSE)</f>
        <v>2764.352242149399</v>
      </c>
      <c r="AW367" s="566">
        <f>VLOOKUP($A367,'01-02.2021'!$A$6:$CZ$403,49,FALSE)+VLOOKUP($A367,'1.3.21-28.2.22'!$A$6:$DA$404,49,FALSE)-VLOOKUP($A367,'01-02.2022'!$A$6:$DA$376,49,FALSE)</f>
        <v>0</v>
      </c>
      <c r="AX367" s="55">
        <f t="shared" si="396"/>
        <v>-2764.352242149399</v>
      </c>
      <c r="AY367" s="566">
        <f>VLOOKUP($A367,'01-02.2021'!$A$6:$CZ$403,51,FALSE)+VLOOKUP($A367,'1.3.21-28.2.22'!$A$6:$DA$404,51,FALSE)-VLOOKUP($A367,'01-02.2022'!$A$6:$DA$376,51,FALSE)</f>
        <v>3642.5911032048411</v>
      </c>
      <c r="AZ367" s="566">
        <f>VLOOKUP($A367,'01-02.2021'!$A$6:$CZ$403,52,FALSE)+VLOOKUP($A367,'1.3.21-28.2.22'!$A$6:$DA$404,52,FALSE)-VLOOKUP($A367,'01-02.2022'!$A$6:$DA$376,52,FALSE)</f>
        <v>0</v>
      </c>
      <c r="BA367" s="38">
        <f t="shared" si="397"/>
        <v>-3642.5911032048411</v>
      </c>
      <c r="BB367" s="566">
        <f>VLOOKUP($A367,'01-02.2021'!$A$6:$CZ$403,54,FALSE)+VLOOKUP($A367,'1.3.21-28.2.22'!$A$6:$DA$404,54,FALSE)-VLOOKUP($A367,'01-02.2022'!$A$6:$DA$376,54,FALSE)</f>
        <v>1376.9702500418862</v>
      </c>
      <c r="BC367" s="566">
        <f>VLOOKUP($A367,'01-02.2021'!$A$6:$CZ$403,55,FALSE)+VLOOKUP($A367,'1.3.21-28.2.22'!$A$6:$DA$404,55,FALSE)-VLOOKUP($A367,'01-02.2022'!$A$6:$DA$376,55,FALSE)</f>
        <v>0</v>
      </c>
      <c r="BD367" s="55">
        <f t="shared" si="398"/>
        <v>-1376.9702500418862</v>
      </c>
      <c r="BE367" s="566">
        <f>VLOOKUP($A367,'01-02.2021'!$A$6:$CZ$403,57,FALSE)+VLOOKUP($A367,'1.3.21-28.2.22'!$A$6:$DA$404,57,FALSE)-VLOOKUP($A367,'01-02.2022'!$A$6:$DA$376,57,FALSE)</f>
        <v>0</v>
      </c>
      <c r="BF367" s="566">
        <f>VLOOKUP($A367,'01-02.2021'!$A$6:$CZ$403,58,FALSE)+VLOOKUP($A367,'1.3.21-28.2.22'!$A$6:$DA$404,58,FALSE)-VLOOKUP($A367,'01-02.2022'!$A$6:$DA$376,58,FALSE)</f>
        <v>0</v>
      </c>
      <c r="BG367" s="55">
        <f t="shared" si="399"/>
        <v>0</v>
      </c>
      <c r="BH367" s="566">
        <f>VLOOKUP($A367,'01-02.2021'!$A$6:$CZ$403,60,FALSE)+VLOOKUP($A367,'1.3.21-28.2.22'!$A$6:$DA$404,60,FALSE)-VLOOKUP($A367,'01-02.2022'!$A$6:$DA$376,60,FALSE)</f>
        <v>1369.6262160600197</v>
      </c>
      <c r="BI367" s="566">
        <f>VLOOKUP($A367,'01-02.2021'!$A$6:$CZ$403,61,FALSE)+VLOOKUP($A367,'1.3.21-28.2.22'!$A$6:$DA$404,61,FALSE)-VLOOKUP($A367,'01-02.2022'!$A$6:$DA$376,61,FALSE)</f>
        <v>0</v>
      </c>
      <c r="BJ367" s="55">
        <f t="shared" si="400"/>
        <v>-1369.6262160600197</v>
      </c>
      <c r="BK367" s="566">
        <f>VLOOKUP($A367,'01-02.2021'!$A$6:$CZ$403,63,FALSE)+VLOOKUP($A367,'1.3.21-28.2.22'!$A$6:$DA$404,63,FALSE)-VLOOKUP($A367,'01-02.2022'!$A$6:$DA$376,63,FALSE)</f>
        <v>1933.0228263276026</v>
      </c>
      <c r="BL367" s="566">
        <f>VLOOKUP($A367,'01-02.2021'!$A$6:$CZ$403,64,FALSE)+VLOOKUP($A367,'1.3.21-28.2.22'!$A$6:$DA$404,64,FALSE)-VLOOKUP($A367,'01-02.2022'!$A$6:$DA$376,64,FALSE)</f>
        <v>0</v>
      </c>
      <c r="BM367" s="55">
        <f t="shared" si="401"/>
        <v>-1933.0228263276026</v>
      </c>
      <c r="BN367" s="566">
        <f>VLOOKUP($A367,'01-02.2021'!$A$6:$CZ$403,66,FALSE)+VLOOKUP($A367,'1.3.21-28.2.22'!$A$6:$DA$404,66,FALSE)-VLOOKUP($A367,'01-02.2022'!$A$6:$DA$376,66,FALSE)</f>
        <v>137.48500000000001</v>
      </c>
      <c r="BO367" s="566">
        <f>VLOOKUP($A367,'01-02.2021'!$A$6:$CZ$403,67,FALSE)+VLOOKUP($A367,'1.3.21-28.2.22'!$A$6:$DA$404,67,FALSE)-VLOOKUP($A367,'01-02.2022'!$A$6:$DA$376,67,FALSE)</f>
        <v>0</v>
      </c>
      <c r="BP367" s="55">
        <f t="shared" si="402"/>
        <v>-137.48500000000001</v>
      </c>
      <c r="BQ367" s="77">
        <f t="shared" si="409"/>
        <v>11224.047637783749</v>
      </c>
      <c r="BR367" s="40">
        <f t="shared" si="410"/>
        <v>0</v>
      </c>
      <c r="BS367" s="55">
        <f t="shared" si="428"/>
        <v>-11224.047637783749</v>
      </c>
      <c r="BT367" s="566">
        <f>VLOOKUP($A367,'01-02.2021'!$A$6:$CZ$403,72,FALSE)+VLOOKUP($A367,'1.3.21-28.2.22'!$A$6:$DA$404,72,FALSE)-VLOOKUP($A367,'01-02.2022'!$A$6:$DA$376,72,FALSE)</f>
        <v>26090.793217265636</v>
      </c>
      <c r="BU367" s="566">
        <f>VLOOKUP($A367,'01-02.2021'!$A$6:$CZ$403,73,FALSE)+VLOOKUP($A367,'1.3.21-28.2.22'!$A$6:$DA$404,73,FALSE)-VLOOKUP($A367,'01-02.2022'!$A$6:$DA$376,73,FALSE)</f>
        <v>19116.337768218</v>
      </c>
      <c r="BV367" s="70">
        <f t="shared" si="403"/>
        <v>-6974.4554490476366</v>
      </c>
      <c r="BW367" s="566">
        <f>VLOOKUP($A367,'01-02.2021'!$A$6:$CZ$403,75,FALSE)+VLOOKUP($A367,'1.3.21-28.2.22'!$A$6:$DA$404,75,FALSE)-VLOOKUP($A367,'01-02.2022'!$A$6:$DA$376,75,FALSE)</f>
        <v>15390.716796198594</v>
      </c>
      <c r="BX367" s="566">
        <f>VLOOKUP($A367,'01-02.2021'!$A$6:$CZ$403,76,FALSE)+VLOOKUP($A367,'1.3.21-28.2.22'!$A$6:$DA$404,76,FALSE)-VLOOKUP($A367,'01-02.2022'!$A$6:$DA$376,76,FALSE)</f>
        <v>11593.461339731468</v>
      </c>
      <c r="BY367" s="70">
        <f t="shared" si="404"/>
        <v>-3797.2554564671264</v>
      </c>
      <c r="BZ367" s="566">
        <f>VLOOKUP($A367,'01-02.2021'!$A$6:$CZ$403,78,FALSE)+VLOOKUP($A367,'1.3.21-28.2.22'!$A$6:$DA$404,78,FALSE)-VLOOKUP($A367,'01-02.2022'!$A$6:$DA$376,78,FALSE)</f>
        <v>6339.1035146103768</v>
      </c>
      <c r="CA367" s="566">
        <f>VLOOKUP($A367,'01-02.2021'!$A$6:$CZ$403,79,FALSE)+VLOOKUP($A367,'1.3.21-28.2.22'!$A$6:$DA$404,79,FALSE)-VLOOKUP($A367,'01-02.2022'!$A$6:$DA$376,79,FALSE)</f>
        <v>6732.8892930678039</v>
      </c>
      <c r="CB367" s="70">
        <f t="shared" si="405"/>
        <v>393.78577845742711</v>
      </c>
      <c r="CC367" s="566">
        <f>VLOOKUP($A367,'01-02.2021'!$A$6:$CZ$403,81,FALSE)+VLOOKUP($A367,'1.3.21-28.2.22'!$A$6:$DA$404,81,FALSE)-VLOOKUP($A367,'01-02.2022'!$A$6:$DA$376,81,FALSE)</f>
        <v>1585.3554659416145</v>
      </c>
      <c r="CD367" s="566">
        <f>VLOOKUP($A367,'01-02.2021'!$A$6:$CZ$403,82,FALSE)+VLOOKUP($A367,'1.3.21-28.2.22'!$A$6:$DA$404,82,FALSE)-VLOOKUP($A367,'01-02.2022'!$A$6:$DA$376,82,FALSE)</f>
        <v>1732.7824577820604</v>
      </c>
      <c r="CE367" s="70">
        <f t="shared" si="406"/>
        <v>147.42699184044591</v>
      </c>
      <c r="CF367" s="566">
        <f>VLOOKUP($A367,'01-02.2021'!$A$6:$CZ$403,84,FALSE)+VLOOKUP($A367,'1.3.21-28.2.22'!$A$6:$DA$404,84,FALSE)-VLOOKUP($A367,'01-02.2022'!$A$6:$DA$376,84,FALSE)</f>
        <v>192.73261372444119</v>
      </c>
      <c r="CG367" s="566">
        <f>VLOOKUP($A367,'01-02.2021'!$A$6:$CZ$403,85,FALSE)+VLOOKUP($A367,'1.3.21-28.2.22'!$A$6:$DA$404,85,FALSE)-VLOOKUP($A367,'01-02.2022'!$A$6:$DA$376,85,FALSE)</f>
        <v>0</v>
      </c>
      <c r="CH367" s="70">
        <f t="shared" si="407"/>
        <v>-192.73261372444119</v>
      </c>
      <c r="CI367" s="566">
        <f>VLOOKUP($A367,'01-02.2021'!$A$6:$CZ$403,87,FALSE)+VLOOKUP($A367,'1.3.21-28.2.22'!$A$6:$DA$404,87,FALSE)-VLOOKUP($A367,'01-02.2022'!$A$6:$DA$376,87,FALSE)</f>
        <v>3664.859721499311</v>
      </c>
      <c r="CJ367" s="566">
        <f>VLOOKUP($A367,'01-02.2021'!$A$6:$CZ$403,88,FALSE)+VLOOKUP($A367,'1.3.21-28.2.22'!$A$6:$DA$404,88,FALSE)-VLOOKUP($A367,'01-02.2022'!$A$6:$DA$376,88,FALSE)</f>
        <v>4492.5977597228584</v>
      </c>
      <c r="CK367" s="70">
        <f t="shared" si="408"/>
        <v>827.73803822354739</v>
      </c>
      <c r="CL367" s="566">
        <f>VLOOKUP($A367,'01-02.2021'!$A$6:$CZ$403,90,FALSE)+VLOOKUP($A367,'1.3.21-28.2.22'!$A$6:$DA$404,90,FALSE)-VLOOKUP($A367,'01-02.2022'!$A$6:$DA$376,90,FALSE)</f>
        <v>0</v>
      </c>
      <c r="CM367" s="566">
        <f>VLOOKUP($A367,'01-02.2021'!$A$6:$CZ$403,91,FALSE)+VLOOKUP($A367,'1.3.21-28.2.22'!$A$6:$DA$404,91,FALSE)-VLOOKUP($A367,'01-02.2022'!$A$6:$DA$376,91,FALSE)</f>
        <v>0</v>
      </c>
      <c r="CN367" s="52">
        <f t="shared" si="420"/>
        <v>0</v>
      </c>
      <c r="CO367" s="39">
        <f t="shared" si="414"/>
        <v>3664.859721499311</v>
      </c>
      <c r="CP367" s="40">
        <f t="shared" si="421"/>
        <v>4492.5977597228584</v>
      </c>
      <c r="CQ367" s="52">
        <f t="shared" si="422"/>
        <v>827.73803822354739</v>
      </c>
      <c r="CR367" s="72">
        <f t="shared" si="415"/>
        <v>147857.89326088873</v>
      </c>
      <c r="CS367" s="5">
        <f t="shared" si="415"/>
        <v>115910.86021198404</v>
      </c>
      <c r="CT367" s="52">
        <f t="shared" si="423"/>
        <v>-31947.03304890469</v>
      </c>
      <c r="CU367" s="77">
        <f t="shared" si="424"/>
        <v>177429.47191306646</v>
      </c>
      <c r="CV367" s="65">
        <f t="shared" si="425"/>
        <v>139093.03225438084</v>
      </c>
      <c r="CW367" s="35">
        <f t="shared" si="426"/>
        <v>-38336.439658685616</v>
      </c>
      <c r="CX367" s="566">
        <f>VLOOKUP($A367,'01-02.2021'!$A$6:$CZ$403,102,FALSE)+VLOOKUP($A367,'1.3.21-28.2.22'!$A$6:$DA$404,102,FALSE)-VLOOKUP($A367,'01-02.2022'!$A$6:$DA$376,102,FALSE)</f>
        <v>9037.8116553206455</v>
      </c>
      <c r="CY367" s="566">
        <f>VLOOKUP($A367,'01-02.2021'!$A$6:$CZ$403,103,FALSE)+VLOOKUP($A367,'1.3.21-28.2.22'!$A$6:$DA$404,103,FALSE)-VLOOKUP($A367,'01-02.2022'!$A$6:$DA$376,103,FALSE)</f>
        <v>47374.2513140062</v>
      </c>
      <c r="CZ367" s="52">
        <f t="shared" si="427"/>
        <v>38336.439658685558</v>
      </c>
      <c r="DA367" s="150">
        <f>'[2]побудинковий звіт'!DA367</f>
        <v>-120991.93457685801</v>
      </c>
      <c r="DB367" s="2">
        <v>3</v>
      </c>
      <c r="DC367" s="414">
        <f>'[4]побудинковий звіт'!DC367</f>
        <v>37818.14</v>
      </c>
      <c r="DD367" s="414">
        <f>'[4]побудинковий звіт'!DD367</f>
        <v>0</v>
      </c>
      <c r="DE367" s="557">
        <f>'[4]побудинковий звіт'!DE367</f>
        <v>20868.996637828823</v>
      </c>
      <c r="DF367" s="557">
        <f>'[4]побудинковий звіт'!DF367</f>
        <v>0</v>
      </c>
      <c r="DG367" s="321">
        <f>VLOOKUP(A367,'кошти 01.03.2021'!$A$6:$D$401,4,)</f>
        <v>-74975.907398062656</v>
      </c>
      <c r="DH367" s="40">
        <f>'[3]побудинковий звіт'!DJ367</f>
        <v>193137.87306948629</v>
      </c>
      <c r="DI367" s="422">
        <f>'[3]побудинковий звіт'!CU367+'[3]побудинковий звіт'!CX367</f>
        <v>16949.14336217118</v>
      </c>
      <c r="DJ367" s="306">
        <f>'[3]побудинковий звіт'!DM367</f>
        <v>6.165342607461052</v>
      </c>
      <c r="DK367" s="306">
        <f t="shared" ref="DK367:DK369" si="430">DJ367</f>
        <v>6.165342607461052</v>
      </c>
      <c r="DL367" s="306">
        <f>'[3]побудинковий звіт'!DO367</f>
        <v>5.4818204994810511</v>
      </c>
      <c r="DM367" s="28">
        <f t="shared" ref="DM367:DM369" si="431">F367*DJ367</f>
        <v>16949.143362171177</v>
      </c>
      <c r="DN367" s="28">
        <f>H367*DL367</f>
        <v>0</v>
      </c>
      <c r="DO367" s="423">
        <f t="shared" si="381"/>
        <v>16949.143362171177</v>
      </c>
      <c r="DP367" s="94">
        <f t="shared" si="382"/>
        <v>0</v>
      </c>
      <c r="DQ367" s="28">
        <f t="shared" si="383"/>
        <v>16949.143362171177</v>
      </c>
      <c r="DR367" s="318"/>
      <c r="DT367" s="8"/>
      <c r="DU367" s="5"/>
      <c r="DX367" s="5">
        <f t="shared" si="384"/>
        <v>66285.810647886843</v>
      </c>
      <c r="DY367" s="5">
        <f t="shared" si="385"/>
        <v>41557.571726889022</v>
      </c>
      <c r="DZ367" s="159">
        <f>'[3]побудинковий звіт'!EA367</f>
        <v>6110.1845753544367</v>
      </c>
    </row>
    <row r="368" spans="1:130" x14ac:dyDescent="0.3">
      <c r="A368" s="325">
        <v>150000894</v>
      </c>
      <c r="B368" s="41" t="s">
        <v>814</v>
      </c>
      <c r="C368" s="42" t="s">
        <v>316</v>
      </c>
      <c r="D368" s="42"/>
      <c r="E368" s="293">
        <f t="shared" si="412"/>
        <v>4228.09</v>
      </c>
      <c r="F368" s="305">
        <f>'[3]побудинковий звіт'!F368</f>
        <v>3582</v>
      </c>
      <c r="G368" s="508">
        <f>'[3]побудинковий звіт'!G368</f>
        <v>0</v>
      </c>
      <c r="H368" s="560">
        <f>'[3]побудинковий звіт'!H368</f>
        <v>646.09</v>
      </c>
      <c r="I368" s="566">
        <f>VLOOKUP($A368,'01-02.2021'!$A$6:$CZ$403,9,FALSE)+VLOOKUP($A368,'1.3.21-28.2.22'!$A$6:$DA$404,9,FALSE)-VLOOKUP($A368,'01-02.2022'!$A$6:$DA$376,9,FALSE)</f>
        <v>13736.351449580472</v>
      </c>
      <c r="J368" s="566">
        <f>VLOOKUP($A368,'01-02.2021'!$A$6:$CZ$403,10,FALSE)+VLOOKUP($A368,'1.3.21-28.2.22'!$A$6:$DA$404,10,FALSE)-VLOOKUP($A368,'01-02.2022'!$A$6:$DA$376,10,FALSE)</f>
        <v>13374.120628313714</v>
      </c>
      <c r="K368" s="52">
        <f t="shared" si="417"/>
        <v>-362.23082126675763</v>
      </c>
      <c r="L368" s="566">
        <f>VLOOKUP($A368,'01-02.2021'!$A$6:$CZ$403,12,FALSE)+VLOOKUP($A368,'1.3.21-28.2.22'!$A$6:$DA$404,12,FALSE)-VLOOKUP($A368,'01-02.2022'!$A$6:$DA$376,12,FALSE)</f>
        <v>3304.9808853728546</v>
      </c>
      <c r="M368" s="566">
        <f>VLOOKUP($A368,'01-02.2021'!$A$6:$CZ$403,13,FALSE)+VLOOKUP($A368,'1.3.21-28.2.22'!$A$6:$DA$404,13,FALSE)-VLOOKUP($A368,'01-02.2022'!$A$6:$DA$376,13,FALSE)</f>
        <v>3299.9392146639993</v>
      </c>
      <c r="N368" s="52">
        <f t="shared" si="418"/>
        <v>-5.0416707088552357</v>
      </c>
      <c r="O368" s="566">
        <f>VLOOKUP($A368,'01-02.2021'!$A$6:$CZ$403,15,FALSE)+VLOOKUP($A368,'1.3.21-28.2.22'!$A$6:$DA$404,15,FALSE)-VLOOKUP($A368,'01-02.2022'!$A$6:$DA$376,15,FALSE)</f>
        <v>5154.0443004115095</v>
      </c>
      <c r="P368" s="566">
        <f>VLOOKUP($A368,'01-02.2021'!$A$6:$CZ$403,16,FALSE)+VLOOKUP($A368,'1.3.21-28.2.22'!$A$6:$DA$404,16,FALSE)-VLOOKUP($A368,'01-02.2022'!$A$6:$DA$376,16,FALSE)</f>
        <v>5154.7616666666663</v>
      </c>
      <c r="Q368" s="70">
        <f t="shared" si="386"/>
        <v>0.71736625515677588</v>
      </c>
      <c r="R368" s="566">
        <f>VLOOKUP($A368,'01-02.2021'!$A$6:$CZ$403,18,FALSE)+VLOOKUP($A368,'1.3.21-28.2.22'!$A$6:$DA$404,18,FALSE)-VLOOKUP($A368,'01-02.2022'!$A$6:$DA$376,18,FALSE)</f>
        <v>0</v>
      </c>
      <c r="S368" s="566">
        <f>VLOOKUP($A368,'01-02.2021'!$A$6:$CZ$403,19,FALSE)+VLOOKUP($A368,'1.3.21-28.2.22'!$A$6:$DA$404,19,FALSE)-VLOOKUP($A368,'01-02.2022'!$A$6:$DA$376,19,FALSE)</f>
        <v>0</v>
      </c>
      <c r="T368" s="70">
        <f t="shared" si="387"/>
        <v>0</v>
      </c>
      <c r="U368" s="566">
        <f>VLOOKUP($A368,'01-02.2021'!$A$6:$CZ$403,21,FALSE)+VLOOKUP($A368,'1.3.21-28.2.22'!$A$6:$DA$404,21,FALSE)-VLOOKUP($A368,'01-02.2022'!$A$6:$DA$376,21,FALSE)</f>
        <v>915.58259362034687</v>
      </c>
      <c r="V368" s="566">
        <f>VLOOKUP($A368,'01-02.2021'!$A$6:$CZ$403,22,FALSE)+VLOOKUP($A368,'1.3.21-28.2.22'!$A$6:$DA$404,22,FALSE)-VLOOKUP($A368,'01-02.2022'!$A$6:$DA$376,22,FALSE)</f>
        <v>778.15969862780162</v>
      </c>
      <c r="W368" s="70">
        <f t="shared" si="388"/>
        <v>-137.42289499254525</v>
      </c>
      <c r="X368" s="566">
        <f>VLOOKUP($A368,'01-02.2021'!$A$6:$CZ$403,24,FALSE)+VLOOKUP($A368,'1.3.21-28.2.22'!$A$6:$DA$404,24,FALSE)-VLOOKUP($A368,'01-02.2022'!$A$6:$DA$376,24,FALSE)</f>
        <v>11294.313297342404</v>
      </c>
      <c r="Y368" s="566">
        <f>VLOOKUP($A368,'01-02.2021'!$A$6:$CZ$403,25,FALSE)+VLOOKUP($A368,'1.3.21-28.2.22'!$A$6:$DA$404,25,FALSE)-VLOOKUP($A368,'01-02.2022'!$A$6:$DA$376,25,FALSE)</f>
        <v>9822.0729166682668</v>
      </c>
      <c r="Z368" s="70">
        <f t="shared" si="389"/>
        <v>-1472.2403806741368</v>
      </c>
      <c r="AA368" s="566">
        <f>VLOOKUP($A368,'01-02.2021'!$A$6:$CZ$403,27,FALSE)+VLOOKUP($A368,'1.3.21-28.2.22'!$A$6:$DA$404,27,FALSE)-VLOOKUP($A368,'01-02.2022'!$A$6:$DA$376,27,FALSE)</f>
        <v>835.11800000000017</v>
      </c>
      <c r="AB368" s="566">
        <f>VLOOKUP($A368,'01-02.2021'!$A$6:$CZ$403,28,FALSE)+VLOOKUP($A368,'1.3.21-28.2.22'!$A$6:$DA$404,28,FALSE)-VLOOKUP($A368,'01-02.2022'!$A$6:$DA$376,28,FALSE)</f>
        <v>0</v>
      </c>
      <c r="AC368" s="70">
        <f t="shared" si="390"/>
        <v>-835.11800000000017</v>
      </c>
      <c r="AD368" s="566">
        <f>VLOOKUP($A368,'01-02.2021'!$A$6:$CZ$403,30,FALSE)+VLOOKUP($A368,'1.3.21-28.2.22'!$A$6:$DA$404,30,FALSE)-VLOOKUP($A368,'01-02.2022'!$A$6:$DA$376,30,FALSE)</f>
        <v>18007.47918253655</v>
      </c>
      <c r="AE368" s="566">
        <f>VLOOKUP($A368,'01-02.2021'!$A$6:$CZ$403,31,FALSE)+VLOOKUP($A368,'1.3.21-28.2.22'!$A$6:$DA$404,31,FALSE)-VLOOKUP($A368,'01-02.2022'!$A$6:$DA$376,31,FALSE)</f>
        <v>19651.211632742437</v>
      </c>
      <c r="AF368" s="68">
        <f t="shared" si="391"/>
        <v>1643.7324502058873</v>
      </c>
      <c r="AG368" s="77">
        <f t="shared" si="413"/>
        <v>53247.869708864149</v>
      </c>
      <c r="AH368" s="53">
        <f t="shared" si="413"/>
        <v>52080.265757682886</v>
      </c>
      <c r="AI368" s="52">
        <f t="shared" si="419"/>
        <v>-1167.6039511812633</v>
      </c>
      <c r="AJ368" s="566">
        <f>VLOOKUP($A368,'01-02.2021'!$A$6:$CZ$403,36,FALSE)+VLOOKUP($A368,'1.3.21-28.2.22'!$A$6:$DA$404,36,FALSE)-VLOOKUP($A368,'01-02.2022'!$A$6:$DA$376,36,FALSE)</f>
        <v>0</v>
      </c>
      <c r="AK368" s="566">
        <f>VLOOKUP($A368,'01-02.2021'!$A$6:$CZ$403,37,FALSE)+VLOOKUP($A368,'1.3.21-28.2.22'!$A$6:$DA$404,37,FALSE)-VLOOKUP($A368,'01-02.2022'!$A$6:$DA$376,37,FALSE)</f>
        <v>0</v>
      </c>
      <c r="AL368" s="70">
        <f t="shared" si="392"/>
        <v>0</v>
      </c>
      <c r="AM368" s="566">
        <f>VLOOKUP($A368,'01-02.2021'!$A$6:$CZ$403,39,FALSE)+VLOOKUP($A368,'1.3.21-28.2.22'!$A$6:$DA$404,39,FALSE)-VLOOKUP($A368,'01-02.2022'!$A$6:$DA$376,39,FALSE)</f>
        <v>0</v>
      </c>
      <c r="AN368" s="566">
        <f>VLOOKUP($A368,'01-02.2021'!$A$6:$CZ$403,40,FALSE)+VLOOKUP($A368,'1.3.21-28.2.22'!$A$6:$DA$404,40,FALSE)-VLOOKUP($A368,'01-02.2022'!$A$6:$DA$376,40,FALSE)</f>
        <v>0</v>
      </c>
      <c r="AO368" s="70">
        <f t="shared" si="393"/>
        <v>0</v>
      </c>
      <c r="AP368" s="566">
        <f>VLOOKUP($A368,'01-02.2021'!$A$6:$CZ$403,42,FALSE)+VLOOKUP($A368,'1.3.21-28.2.22'!$A$6:$DA$404,42,FALSE)-VLOOKUP($A368,'01-02.2022'!$A$6:$DA$376,42,FALSE)</f>
        <v>7808.3988751916631</v>
      </c>
      <c r="AQ368" s="566">
        <f>VLOOKUP($A368,'01-02.2021'!$A$6:$CZ$403,43,FALSE)+VLOOKUP($A368,'1.3.21-28.2.22'!$A$6:$DA$404,43,FALSE)-VLOOKUP($A368,'01-02.2022'!$A$6:$DA$376,43,FALSE)</f>
        <v>7023.9862022927755</v>
      </c>
      <c r="AR368" s="70">
        <f t="shared" si="394"/>
        <v>-784.41267289888765</v>
      </c>
      <c r="AS368" s="566">
        <f>VLOOKUP($A368,'01-02.2021'!$A$6:$CZ$403,45,FALSE)+VLOOKUP($A368,'1.3.21-28.2.22'!$A$6:$DA$404,45,FALSE)-VLOOKUP($A368,'01-02.2022'!$A$6:$DA$376,45,FALSE)</f>
        <v>45159.983655880511</v>
      </c>
      <c r="AT368" s="566">
        <f>VLOOKUP($A368,'01-02.2021'!$A$6:$CZ$403,46,FALSE)+VLOOKUP($A368,'1.3.21-28.2.22'!$A$6:$DA$404,46,FALSE)-VLOOKUP($A368,'01-02.2022'!$A$6:$DA$376,46,FALSE)</f>
        <v>74494.87</v>
      </c>
      <c r="AU368" s="78">
        <f t="shared" si="395"/>
        <v>29334.886344119484</v>
      </c>
      <c r="AV368" s="566">
        <f>VLOOKUP($A368,'01-02.2021'!$A$6:$CZ$403,48,FALSE)+VLOOKUP($A368,'1.3.21-28.2.22'!$A$6:$DA$404,48,FALSE)-VLOOKUP($A368,'01-02.2022'!$A$6:$DA$376,48,FALSE)</f>
        <v>4113.1338002932071</v>
      </c>
      <c r="AW368" s="566">
        <f>VLOOKUP($A368,'01-02.2021'!$A$6:$CZ$403,49,FALSE)+VLOOKUP($A368,'1.3.21-28.2.22'!$A$6:$DA$404,49,FALSE)-VLOOKUP($A368,'01-02.2022'!$A$6:$DA$376,49,FALSE)</f>
        <v>0</v>
      </c>
      <c r="AX368" s="55">
        <f t="shared" si="396"/>
        <v>-4113.1338002932071</v>
      </c>
      <c r="AY368" s="566">
        <f>VLOOKUP($A368,'01-02.2021'!$A$6:$CZ$403,51,FALSE)+VLOOKUP($A368,'1.3.21-28.2.22'!$A$6:$DA$404,51,FALSE)-VLOOKUP($A368,'01-02.2022'!$A$6:$DA$376,51,FALSE)</f>
        <v>6212.2828860719692</v>
      </c>
      <c r="AZ368" s="566">
        <f>VLOOKUP($A368,'01-02.2021'!$A$6:$CZ$403,52,FALSE)+VLOOKUP($A368,'1.3.21-28.2.22'!$A$6:$DA$404,52,FALSE)-VLOOKUP($A368,'01-02.2022'!$A$6:$DA$376,52,FALSE)</f>
        <v>0</v>
      </c>
      <c r="BA368" s="38">
        <f t="shared" si="397"/>
        <v>-6212.2828860719692</v>
      </c>
      <c r="BB368" s="566">
        <f>VLOOKUP($A368,'01-02.2021'!$A$6:$CZ$403,54,FALSE)+VLOOKUP($A368,'1.3.21-28.2.22'!$A$6:$DA$404,54,FALSE)-VLOOKUP($A368,'01-02.2022'!$A$6:$DA$376,54,FALSE)</f>
        <v>1819.7018982941006</v>
      </c>
      <c r="BC368" s="566">
        <f>VLOOKUP($A368,'01-02.2021'!$A$6:$CZ$403,55,FALSE)+VLOOKUP($A368,'1.3.21-28.2.22'!$A$6:$DA$404,55,FALSE)-VLOOKUP($A368,'01-02.2022'!$A$6:$DA$376,55,FALSE)</f>
        <v>981</v>
      </c>
      <c r="BD368" s="55">
        <f t="shared" si="398"/>
        <v>-838.7018982941006</v>
      </c>
      <c r="BE368" s="566">
        <f>VLOOKUP($A368,'01-02.2021'!$A$6:$CZ$403,57,FALSE)+VLOOKUP($A368,'1.3.21-28.2.22'!$A$6:$DA$404,57,FALSE)-VLOOKUP($A368,'01-02.2022'!$A$6:$DA$376,57,FALSE)</f>
        <v>0</v>
      </c>
      <c r="BF368" s="566">
        <f>VLOOKUP($A368,'01-02.2021'!$A$6:$CZ$403,58,FALSE)+VLOOKUP($A368,'1.3.21-28.2.22'!$A$6:$DA$404,58,FALSE)-VLOOKUP($A368,'01-02.2022'!$A$6:$DA$376,58,FALSE)</f>
        <v>0</v>
      </c>
      <c r="BG368" s="55">
        <f t="shared" si="399"/>
        <v>0</v>
      </c>
      <c r="BH368" s="566">
        <f>VLOOKUP($A368,'01-02.2021'!$A$6:$CZ$403,60,FALSE)+VLOOKUP($A368,'1.3.21-28.2.22'!$A$6:$DA$404,60,FALSE)-VLOOKUP($A368,'01-02.2022'!$A$6:$DA$376,60,FALSE)</f>
        <v>2054.3755289172145</v>
      </c>
      <c r="BI368" s="566">
        <f>VLOOKUP($A368,'01-02.2021'!$A$6:$CZ$403,61,FALSE)+VLOOKUP($A368,'1.3.21-28.2.22'!$A$6:$DA$404,61,FALSE)-VLOOKUP($A368,'01-02.2022'!$A$6:$DA$376,61,FALSE)</f>
        <v>0</v>
      </c>
      <c r="BJ368" s="55">
        <f t="shared" si="400"/>
        <v>-2054.3755289172145</v>
      </c>
      <c r="BK368" s="566">
        <f>VLOOKUP($A368,'01-02.2021'!$A$6:$CZ$403,63,FALSE)+VLOOKUP($A368,'1.3.21-28.2.22'!$A$6:$DA$404,63,FALSE)-VLOOKUP($A368,'01-02.2022'!$A$6:$DA$376,63,FALSE)</f>
        <v>3975.9786267393351</v>
      </c>
      <c r="BL368" s="566">
        <f>VLOOKUP($A368,'01-02.2021'!$A$6:$CZ$403,64,FALSE)+VLOOKUP($A368,'1.3.21-28.2.22'!$A$6:$DA$404,64,FALSE)-VLOOKUP($A368,'01-02.2022'!$A$6:$DA$376,64,FALSE)</f>
        <v>0</v>
      </c>
      <c r="BM368" s="55">
        <f t="shared" si="401"/>
        <v>-3975.9786267393351</v>
      </c>
      <c r="BN368" s="566">
        <f>VLOOKUP($A368,'01-02.2021'!$A$6:$CZ$403,66,FALSE)+VLOOKUP($A368,'1.3.21-28.2.22'!$A$6:$DA$404,66,FALSE)-VLOOKUP($A368,'01-02.2022'!$A$6:$DA$376,66,FALSE)</f>
        <v>208.77950000000004</v>
      </c>
      <c r="BO368" s="566">
        <f>VLOOKUP($A368,'01-02.2021'!$A$6:$CZ$403,67,FALSE)+VLOOKUP($A368,'1.3.21-28.2.22'!$A$6:$DA$404,67,FALSE)-VLOOKUP($A368,'01-02.2022'!$A$6:$DA$376,67,FALSE)</f>
        <v>0</v>
      </c>
      <c r="BP368" s="55">
        <f t="shared" si="402"/>
        <v>-208.77950000000004</v>
      </c>
      <c r="BQ368" s="77">
        <f t="shared" si="409"/>
        <v>18384.252240315829</v>
      </c>
      <c r="BR368" s="40">
        <f t="shared" si="410"/>
        <v>981</v>
      </c>
      <c r="BS368" s="55">
        <f t="shared" si="428"/>
        <v>-17403.252240315829</v>
      </c>
      <c r="BT368" s="566">
        <f>VLOOKUP($A368,'01-02.2021'!$A$6:$CZ$403,72,FALSE)+VLOOKUP($A368,'1.3.21-28.2.22'!$A$6:$DA$404,72,FALSE)-VLOOKUP($A368,'01-02.2022'!$A$6:$DA$376,72,FALSE)</f>
        <v>30141.954490148768</v>
      </c>
      <c r="BU368" s="566">
        <f>VLOOKUP($A368,'01-02.2021'!$A$6:$CZ$403,73,FALSE)+VLOOKUP($A368,'1.3.21-28.2.22'!$A$6:$DA$404,73,FALSE)-VLOOKUP($A368,'01-02.2022'!$A$6:$DA$376,73,FALSE)</f>
        <v>33959.810410832441</v>
      </c>
      <c r="BV368" s="70">
        <f t="shared" si="403"/>
        <v>3817.8559206836726</v>
      </c>
      <c r="BW368" s="566">
        <f>VLOOKUP($A368,'01-02.2021'!$A$6:$CZ$403,75,FALSE)+VLOOKUP($A368,'1.3.21-28.2.22'!$A$6:$DA$404,75,FALSE)-VLOOKUP($A368,'01-02.2022'!$A$6:$DA$376,75,FALSE)</f>
        <v>23510.699506362056</v>
      </c>
      <c r="BX368" s="566">
        <f>VLOOKUP($A368,'01-02.2021'!$A$6:$CZ$403,76,FALSE)+VLOOKUP($A368,'1.3.21-28.2.22'!$A$6:$DA$404,76,FALSE)-VLOOKUP($A368,'01-02.2022'!$A$6:$DA$376,76,FALSE)</f>
        <v>24941.020689202342</v>
      </c>
      <c r="BY368" s="70">
        <f t="shared" si="404"/>
        <v>1430.3211828402855</v>
      </c>
      <c r="BZ368" s="566">
        <f>VLOOKUP($A368,'01-02.2021'!$A$6:$CZ$403,78,FALSE)+VLOOKUP($A368,'1.3.21-28.2.22'!$A$6:$DA$404,78,FALSE)-VLOOKUP($A368,'01-02.2022'!$A$6:$DA$376,78,FALSE)</f>
        <v>7201.3302217155197</v>
      </c>
      <c r="CA368" s="566">
        <f>VLOOKUP($A368,'01-02.2021'!$A$6:$CZ$403,79,FALSE)+VLOOKUP($A368,'1.3.21-28.2.22'!$A$6:$DA$404,79,FALSE)-VLOOKUP($A368,'01-02.2022'!$A$6:$DA$376,79,FALSE)</f>
        <v>7884.1871511008158</v>
      </c>
      <c r="CB368" s="70">
        <f t="shared" si="405"/>
        <v>682.8569293852961</v>
      </c>
      <c r="CC368" s="566">
        <f>VLOOKUP($A368,'01-02.2021'!$A$6:$CZ$403,81,FALSE)+VLOOKUP($A368,'1.3.21-28.2.22'!$A$6:$DA$404,81,FALSE)-VLOOKUP($A368,'01-02.2022'!$A$6:$DA$376,81,FALSE)</f>
        <v>2184.3773282327952</v>
      </c>
      <c r="CD368" s="566">
        <f>VLOOKUP($A368,'01-02.2021'!$A$6:$CZ$403,82,FALSE)+VLOOKUP($A368,'1.3.21-28.2.22'!$A$6:$DA$404,82,FALSE)-VLOOKUP($A368,'01-02.2022'!$A$6:$DA$376,82,FALSE)</f>
        <v>2387.5091718250828</v>
      </c>
      <c r="CE368" s="70">
        <f t="shared" si="406"/>
        <v>203.13184359228762</v>
      </c>
      <c r="CF368" s="566">
        <f>VLOOKUP($A368,'01-02.2021'!$A$6:$CZ$403,84,FALSE)+VLOOKUP($A368,'1.3.21-28.2.22'!$A$6:$DA$404,84,FALSE)-VLOOKUP($A368,'01-02.2022'!$A$6:$DA$376,84,FALSE)</f>
        <v>265.55606037581407</v>
      </c>
      <c r="CG368" s="566">
        <f>VLOOKUP($A368,'01-02.2021'!$A$6:$CZ$403,85,FALSE)+VLOOKUP($A368,'1.3.21-28.2.22'!$A$6:$DA$404,85,FALSE)-VLOOKUP($A368,'01-02.2022'!$A$6:$DA$376,85,FALSE)</f>
        <v>0</v>
      </c>
      <c r="CH368" s="70">
        <f t="shared" si="407"/>
        <v>-265.55606037581407</v>
      </c>
      <c r="CI368" s="566">
        <f>VLOOKUP($A368,'01-02.2021'!$A$6:$CZ$403,87,FALSE)+VLOOKUP($A368,'1.3.21-28.2.22'!$A$6:$DA$404,87,FALSE)-VLOOKUP($A368,'01-02.2022'!$A$6:$DA$376,87,FALSE)</f>
        <v>10431.217332469318</v>
      </c>
      <c r="CJ368" s="566">
        <f>VLOOKUP($A368,'01-02.2021'!$A$6:$CZ$403,88,FALSE)+VLOOKUP($A368,'1.3.21-28.2.22'!$A$6:$DA$404,88,FALSE)-VLOOKUP($A368,'01-02.2022'!$A$6:$DA$376,88,FALSE)</f>
        <v>9584.5136178053472</v>
      </c>
      <c r="CK368" s="70">
        <f t="shared" si="408"/>
        <v>-846.70371466397046</v>
      </c>
      <c r="CL368" s="566">
        <f>VLOOKUP($A368,'01-02.2021'!$A$6:$CZ$403,90,FALSE)+VLOOKUP($A368,'1.3.21-28.2.22'!$A$6:$DA$404,90,FALSE)-VLOOKUP($A368,'01-02.2022'!$A$6:$DA$376,90,FALSE)</f>
        <v>0</v>
      </c>
      <c r="CM368" s="566">
        <f>VLOOKUP($A368,'01-02.2021'!$A$6:$CZ$403,91,FALSE)+VLOOKUP($A368,'1.3.21-28.2.22'!$A$6:$DA$404,91,FALSE)-VLOOKUP($A368,'01-02.2022'!$A$6:$DA$376,91,FALSE)</f>
        <v>0</v>
      </c>
      <c r="CN368" s="52">
        <f t="shared" si="420"/>
        <v>0</v>
      </c>
      <c r="CO368" s="39">
        <f t="shared" si="414"/>
        <v>10431.217332469318</v>
      </c>
      <c r="CP368" s="40">
        <f t="shared" si="421"/>
        <v>9584.5136178053472</v>
      </c>
      <c r="CQ368" s="52">
        <f t="shared" si="422"/>
        <v>-846.70371466397046</v>
      </c>
      <c r="CR368" s="72">
        <f t="shared" si="415"/>
        <v>198335.63941955645</v>
      </c>
      <c r="CS368" s="5">
        <f t="shared" si="415"/>
        <v>213337.16300074168</v>
      </c>
      <c r="CT368" s="52">
        <f t="shared" si="423"/>
        <v>15001.523581185233</v>
      </c>
      <c r="CU368" s="77">
        <f t="shared" si="424"/>
        <v>238002.76730346773</v>
      </c>
      <c r="CV368" s="65">
        <f t="shared" si="425"/>
        <v>256004.59560089</v>
      </c>
      <c r="CW368" s="35">
        <f t="shared" si="426"/>
        <v>18001.828297422267</v>
      </c>
      <c r="CX368" s="566">
        <f>VLOOKUP($A368,'01-02.2021'!$A$6:$CZ$403,102,FALSE)+VLOOKUP($A368,'1.3.21-28.2.22'!$A$6:$DA$404,102,FALSE)-VLOOKUP($A368,'01-02.2022'!$A$6:$DA$376,102,FALSE)</f>
        <v>13802.572220314447</v>
      </c>
      <c r="CY368" s="566">
        <f>VLOOKUP($A368,'01-02.2021'!$A$6:$CZ$403,103,FALSE)+VLOOKUP($A368,'1.3.21-28.2.22'!$A$6:$DA$404,103,FALSE)-VLOOKUP($A368,'01-02.2022'!$A$6:$DA$376,103,FALSE)</f>
        <v>-4199.2560771078824</v>
      </c>
      <c r="CZ368" s="52">
        <f t="shared" si="427"/>
        <v>-18001.828297422329</v>
      </c>
      <c r="DA368" s="150">
        <f>'[2]побудинковий звіт'!DA368</f>
        <v>-93264.232318330716</v>
      </c>
      <c r="DB368" s="2">
        <v>3</v>
      </c>
      <c r="DC368" s="414">
        <f>'[4]побудинковий звіт'!DC368</f>
        <v>30861.08</v>
      </c>
      <c r="DD368" s="414">
        <f>'[4]побудинковий звіт'!DD368</f>
        <v>31619.279999999999</v>
      </c>
      <c r="DE368" s="557">
        <f>'[4]побудинковий звіт'!DE368</f>
        <v>11128.447912576768</v>
      </c>
      <c r="DF368" s="557">
        <f>'[4]побудинковий звіт'!DF368</f>
        <v>28577.418148788885</v>
      </c>
      <c r="DG368" s="321">
        <f>VLOOKUP(A368,'кошти 01.03.2021'!$A$6:$D$401,4,)</f>
        <v>-110851.83852368144</v>
      </c>
      <c r="DH368" s="40">
        <f>'[3]побудинковий звіт'!DJ368</f>
        <v>259261.21017768828</v>
      </c>
      <c r="DI368" s="422">
        <f>'[3]побудинковий звіт'!CU368+'[3]побудинковий звіт'!CX368</f>
        <v>22774.49393863435</v>
      </c>
      <c r="DJ368" s="306">
        <f>'[3]побудинковий звіт'!DM368</f>
        <v>5.5088308451767816</v>
      </c>
      <c r="DK368" s="306">
        <f t="shared" si="430"/>
        <v>5.5088308451767816</v>
      </c>
      <c r="DL368" s="306">
        <f>'[3]побудинковий звіт'!DO368</f>
        <v>4.7081085471236435</v>
      </c>
      <c r="DM368" s="28">
        <f t="shared" si="431"/>
        <v>19732.632087423233</v>
      </c>
      <c r="DN368" s="28">
        <f>H368*DL368</f>
        <v>3041.8618512111148</v>
      </c>
      <c r="DO368" s="423">
        <f t="shared" si="381"/>
        <v>22774.493938634347</v>
      </c>
      <c r="DP368" s="94">
        <f t="shared" si="382"/>
        <v>0</v>
      </c>
      <c r="DQ368" s="28">
        <f t="shared" si="383"/>
        <v>22774.493938634347</v>
      </c>
      <c r="DR368" s="318"/>
      <c r="DT368" s="8"/>
      <c r="DU368" s="5"/>
      <c r="DX368" s="5">
        <f t="shared" si="384"/>
        <v>76253.083075435599</v>
      </c>
      <c r="DY368" s="5">
        <f t="shared" si="385"/>
        <v>90571.043999999994</v>
      </c>
      <c r="DZ368" s="159">
        <f>'[3]побудинковий звіт'!EA368</f>
        <v>6895.5645793234262</v>
      </c>
    </row>
    <row r="369" spans="1:130" x14ac:dyDescent="0.3">
      <c r="A369" s="325">
        <v>150000895</v>
      </c>
      <c r="B369" s="41" t="s">
        <v>815</v>
      </c>
      <c r="C369" s="42" t="s">
        <v>317</v>
      </c>
      <c r="D369" s="42"/>
      <c r="E369" s="293">
        <f t="shared" si="412"/>
        <v>2741.4</v>
      </c>
      <c r="F369" s="305">
        <f>'[3]побудинковий звіт'!F369</f>
        <v>2741.4</v>
      </c>
      <c r="G369" s="508">
        <f>'[3]побудинковий звіт'!G369</f>
        <v>0</v>
      </c>
      <c r="H369" s="560">
        <f>'[3]побудинковий звіт'!H369</f>
        <v>0</v>
      </c>
      <c r="I369" s="566">
        <f>VLOOKUP($A369,'01-02.2021'!$A$6:$CZ$403,9,FALSE)+VLOOKUP($A369,'1.3.21-28.2.22'!$A$6:$DA$404,9,FALSE)-VLOOKUP($A369,'01-02.2022'!$A$6:$DA$376,9,FALSE)</f>
        <v>9856.4011789454726</v>
      </c>
      <c r="J369" s="566">
        <f>VLOOKUP($A369,'01-02.2021'!$A$6:$CZ$403,10,FALSE)+VLOOKUP($A369,'1.3.21-28.2.22'!$A$6:$DA$404,10,FALSE)-VLOOKUP($A369,'01-02.2022'!$A$6:$DA$376,10,FALSE)</f>
        <v>9615.8668085942245</v>
      </c>
      <c r="K369" s="52">
        <f t="shared" si="417"/>
        <v>-240.53437035124807</v>
      </c>
      <c r="L369" s="566">
        <f>VLOOKUP($A369,'01-02.2021'!$A$6:$CZ$403,12,FALSE)+VLOOKUP($A369,'1.3.21-28.2.22'!$A$6:$DA$404,12,FALSE)-VLOOKUP($A369,'01-02.2022'!$A$6:$DA$376,12,FALSE)</f>
        <v>1916.8360466412591</v>
      </c>
      <c r="M369" s="566">
        <f>VLOOKUP($A369,'01-02.2021'!$A$6:$CZ$403,13,FALSE)+VLOOKUP($A369,'1.3.21-28.2.22'!$A$6:$DA$404,13,FALSE)-VLOOKUP($A369,'01-02.2022'!$A$6:$DA$376,13,FALSE)</f>
        <v>1913.9150248815233</v>
      </c>
      <c r="N369" s="52">
        <f t="shared" si="418"/>
        <v>-2.9210217597358223</v>
      </c>
      <c r="O369" s="566">
        <f>VLOOKUP($A369,'01-02.2021'!$A$6:$CZ$403,15,FALSE)+VLOOKUP($A369,'1.3.21-28.2.22'!$A$6:$DA$404,15,FALSE)-VLOOKUP($A369,'01-02.2022'!$A$6:$DA$376,15,FALSE)</f>
        <v>3634.6340148994668</v>
      </c>
      <c r="P369" s="566">
        <f>VLOOKUP($A369,'01-02.2021'!$A$6:$CZ$403,16,FALSE)+VLOOKUP($A369,'1.3.21-28.2.22'!$A$6:$DA$404,16,FALSE)-VLOOKUP($A369,'01-02.2022'!$A$6:$DA$376,16,FALSE)</f>
        <v>3634.0749999999989</v>
      </c>
      <c r="Q369" s="70">
        <f t="shared" si="386"/>
        <v>-0.55901489946791116</v>
      </c>
      <c r="R369" s="566">
        <f>VLOOKUP($A369,'01-02.2021'!$A$6:$CZ$403,18,FALSE)+VLOOKUP($A369,'1.3.21-28.2.22'!$A$6:$DA$404,18,FALSE)-VLOOKUP($A369,'01-02.2022'!$A$6:$DA$376,18,FALSE)</f>
        <v>0</v>
      </c>
      <c r="S369" s="566">
        <f>VLOOKUP($A369,'01-02.2021'!$A$6:$CZ$403,19,FALSE)+VLOOKUP($A369,'1.3.21-28.2.22'!$A$6:$DA$404,19,FALSE)-VLOOKUP($A369,'01-02.2022'!$A$6:$DA$376,19,FALSE)</f>
        <v>0</v>
      </c>
      <c r="T369" s="70">
        <f t="shared" si="387"/>
        <v>0</v>
      </c>
      <c r="U369" s="566">
        <f>VLOOKUP($A369,'01-02.2021'!$A$6:$CZ$403,21,FALSE)+VLOOKUP($A369,'1.3.21-28.2.22'!$A$6:$DA$404,21,FALSE)-VLOOKUP($A369,'01-02.2022'!$A$6:$DA$376,21,FALSE)</f>
        <v>0</v>
      </c>
      <c r="V369" s="566">
        <f>VLOOKUP($A369,'01-02.2021'!$A$6:$CZ$403,22,FALSE)+VLOOKUP($A369,'1.3.21-28.2.22'!$A$6:$DA$404,22,FALSE)-VLOOKUP($A369,'01-02.2022'!$A$6:$DA$376,22,FALSE)</f>
        <v>0</v>
      </c>
      <c r="W369" s="70">
        <f t="shared" si="388"/>
        <v>0</v>
      </c>
      <c r="X369" s="566">
        <f>VLOOKUP($A369,'01-02.2021'!$A$6:$CZ$403,24,FALSE)+VLOOKUP($A369,'1.3.21-28.2.22'!$A$6:$DA$404,24,FALSE)-VLOOKUP($A369,'01-02.2022'!$A$6:$DA$376,24,FALSE)</f>
        <v>5956.5196630673881</v>
      </c>
      <c r="Y369" s="566">
        <f>VLOOKUP($A369,'01-02.2021'!$A$6:$CZ$403,25,FALSE)+VLOOKUP($A369,'1.3.21-28.2.22'!$A$6:$DA$404,25,FALSE)-VLOOKUP($A369,'01-02.2022'!$A$6:$DA$376,25,FALSE)</f>
        <v>5150.9091961209288</v>
      </c>
      <c r="Z369" s="70">
        <f t="shared" si="389"/>
        <v>-805.61046694645938</v>
      </c>
      <c r="AA369" s="566">
        <f>VLOOKUP($A369,'01-02.2021'!$A$6:$CZ$403,27,FALSE)+VLOOKUP($A369,'1.3.21-28.2.22'!$A$6:$DA$404,27,FALSE)-VLOOKUP($A369,'01-02.2022'!$A$6:$DA$376,27,FALSE)</f>
        <v>548.29999999999995</v>
      </c>
      <c r="AB369" s="566">
        <f>VLOOKUP($A369,'01-02.2021'!$A$6:$CZ$403,28,FALSE)+VLOOKUP($A369,'1.3.21-28.2.22'!$A$6:$DA$404,28,FALSE)-VLOOKUP($A369,'01-02.2022'!$A$6:$DA$376,28,FALSE)</f>
        <v>0</v>
      </c>
      <c r="AC369" s="70">
        <f t="shared" si="390"/>
        <v>-548.29999999999995</v>
      </c>
      <c r="AD369" s="566">
        <f>VLOOKUP($A369,'01-02.2021'!$A$6:$CZ$403,30,FALSE)+VLOOKUP($A369,'1.3.21-28.2.22'!$A$6:$DA$404,30,FALSE)-VLOOKUP($A369,'01-02.2022'!$A$6:$DA$376,30,FALSE)</f>
        <v>11775.301259672211</v>
      </c>
      <c r="AE369" s="566">
        <f>VLOOKUP($A369,'01-02.2021'!$A$6:$CZ$403,31,FALSE)+VLOOKUP($A369,'1.3.21-28.2.22'!$A$6:$DA$404,31,FALSE)-VLOOKUP($A369,'01-02.2022'!$A$6:$DA$376,31,FALSE)</f>
        <v>12478.963257175124</v>
      </c>
      <c r="AF369" s="68">
        <f t="shared" si="391"/>
        <v>703.66199750291344</v>
      </c>
      <c r="AG369" s="77">
        <f t="shared" si="413"/>
        <v>33687.992163225797</v>
      </c>
      <c r="AH369" s="53">
        <f t="shared" si="413"/>
        <v>32793.729286771806</v>
      </c>
      <c r="AI369" s="52">
        <f t="shared" si="419"/>
        <v>-894.26287645399134</v>
      </c>
      <c r="AJ369" s="566">
        <f>VLOOKUP($A369,'01-02.2021'!$A$6:$CZ$403,36,FALSE)+VLOOKUP($A369,'1.3.21-28.2.22'!$A$6:$DA$404,36,FALSE)-VLOOKUP($A369,'01-02.2022'!$A$6:$DA$376,36,FALSE)</f>
        <v>0</v>
      </c>
      <c r="AK369" s="566">
        <f>VLOOKUP($A369,'01-02.2021'!$A$6:$CZ$403,37,FALSE)+VLOOKUP($A369,'1.3.21-28.2.22'!$A$6:$DA$404,37,FALSE)-VLOOKUP($A369,'01-02.2022'!$A$6:$DA$376,37,FALSE)</f>
        <v>0</v>
      </c>
      <c r="AL369" s="70">
        <f t="shared" si="392"/>
        <v>0</v>
      </c>
      <c r="AM369" s="566">
        <f>VLOOKUP($A369,'01-02.2021'!$A$6:$CZ$403,39,FALSE)+VLOOKUP($A369,'1.3.21-28.2.22'!$A$6:$DA$404,39,FALSE)-VLOOKUP($A369,'01-02.2022'!$A$6:$DA$376,39,FALSE)</f>
        <v>0</v>
      </c>
      <c r="AN369" s="566">
        <f>VLOOKUP($A369,'01-02.2021'!$A$6:$CZ$403,40,FALSE)+VLOOKUP($A369,'1.3.21-28.2.22'!$A$6:$DA$404,40,FALSE)-VLOOKUP($A369,'01-02.2022'!$A$6:$DA$376,40,FALSE)</f>
        <v>0</v>
      </c>
      <c r="AO369" s="70">
        <f t="shared" si="393"/>
        <v>0</v>
      </c>
      <c r="AP369" s="566">
        <f>VLOOKUP($A369,'01-02.2021'!$A$6:$CZ$403,42,FALSE)+VLOOKUP($A369,'1.3.21-28.2.22'!$A$6:$DA$404,42,FALSE)-VLOOKUP($A369,'01-02.2022'!$A$6:$DA$376,42,FALSE)</f>
        <v>3904.1994375958316</v>
      </c>
      <c r="AQ369" s="566">
        <f>VLOOKUP($A369,'01-02.2021'!$A$6:$CZ$403,43,FALSE)+VLOOKUP($A369,'1.3.21-28.2.22'!$A$6:$DA$404,43,FALSE)-VLOOKUP($A369,'01-02.2022'!$A$6:$DA$376,43,FALSE)</f>
        <v>3393.2079499921329</v>
      </c>
      <c r="AR369" s="70">
        <f t="shared" si="394"/>
        <v>-510.99148760369872</v>
      </c>
      <c r="AS369" s="566">
        <f>VLOOKUP($A369,'01-02.2021'!$A$6:$CZ$403,45,FALSE)+VLOOKUP($A369,'1.3.21-28.2.22'!$A$6:$DA$404,45,FALSE)-VLOOKUP($A369,'01-02.2022'!$A$6:$DA$376,45,FALSE)</f>
        <v>38762.220209207728</v>
      </c>
      <c r="AT369" s="566">
        <f>VLOOKUP($A369,'01-02.2021'!$A$6:$CZ$403,46,FALSE)+VLOOKUP($A369,'1.3.21-28.2.22'!$A$6:$DA$404,46,FALSE)-VLOOKUP($A369,'01-02.2022'!$A$6:$DA$376,46,FALSE)</f>
        <v>28931.96</v>
      </c>
      <c r="AU369" s="78">
        <f t="shared" si="395"/>
        <v>-9830.2602092077286</v>
      </c>
      <c r="AV369" s="566">
        <f>VLOOKUP($A369,'01-02.2021'!$A$6:$CZ$403,48,FALSE)+VLOOKUP($A369,'1.3.21-28.2.22'!$A$6:$DA$404,48,FALSE)-VLOOKUP($A369,'01-02.2022'!$A$6:$DA$376,48,FALSE)</f>
        <v>2732.0244065824954</v>
      </c>
      <c r="AW369" s="566">
        <f>VLOOKUP($A369,'01-02.2021'!$A$6:$CZ$403,49,FALSE)+VLOOKUP($A369,'1.3.21-28.2.22'!$A$6:$DA$404,49,FALSE)-VLOOKUP($A369,'01-02.2022'!$A$6:$DA$376,49,FALSE)</f>
        <v>0</v>
      </c>
      <c r="AX369" s="55">
        <f t="shared" si="396"/>
        <v>-2732.0244065824954</v>
      </c>
      <c r="AY369" s="566">
        <f>VLOOKUP($A369,'01-02.2021'!$A$6:$CZ$403,51,FALSE)+VLOOKUP($A369,'1.3.21-28.2.22'!$A$6:$DA$404,51,FALSE)-VLOOKUP($A369,'01-02.2022'!$A$6:$DA$376,51,FALSE)</f>
        <v>3603.0612459808917</v>
      </c>
      <c r="AZ369" s="566">
        <f>VLOOKUP($A369,'01-02.2021'!$A$6:$CZ$403,52,FALSE)+VLOOKUP($A369,'1.3.21-28.2.22'!$A$6:$DA$404,52,FALSE)-VLOOKUP($A369,'01-02.2022'!$A$6:$DA$376,52,FALSE)</f>
        <v>2605</v>
      </c>
      <c r="BA369" s="38">
        <f t="shared" si="397"/>
        <v>-998.06124598089173</v>
      </c>
      <c r="BB369" s="566">
        <f>VLOOKUP($A369,'01-02.2021'!$A$6:$CZ$403,54,FALSE)+VLOOKUP($A369,'1.3.21-28.2.22'!$A$6:$DA$404,54,FALSE)-VLOOKUP($A369,'01-02.2022'!$A$6:$DA$376,54,FALSE)</f>
        <v>1323.5654639666325</v>
      </c>
      <c r="BC369" s="566">
        <f>VLOOKUP($A369,'01-02.2021'!$A$6:$CZ$403,55,FALSE)+VLOOKUP($A369,'1.3.21-28.2.22'!$A$6:$DA$404,55,FALSE)-VLOOKUP($A369,'01-02.2022'!$A$6:$DA$376,55,FALSE)</f>
        <v>2251</v>
      </c>
      <c r="BD369" s="55">
        <f t="shared" si="398"/>
        <v>927.43453603336752</v>
      </c>
      <c r="BE369" s="566">
        <f>VLOOKUP($A369,'01-02.2021'!$A$6:$CZ$403,57,FALSE)+VLOOKUP($A369,'1.3.21-28.2.22'!$A$6:$DA$404,57,FALSE)-VLOOKUP($A369,'01-02.2022'!$A$6:$DA$376,57,FALSE)</f>
        <v>0</v>
      </c>
      <c r="BF369" s="566">
        <f>VLOOKUP($A369,'01-02.2021'!$A$6:$CZ$403,58,FALSE)+VLOOKUP($A369,'1.3.21-28.2.22'!$A$6:$DA$404,58,FALSE)-VLOOKUP($A369,'01-02.2022'!$A$6:$DA$376,58,FALSE)</f>
        <v>0</v>
      </c>
      <c r="BG369" s="55">
        <f t="shared" si="399"/>
        <v>0</v>
      </c>
      <c r="BH369" s="566">
        <f>VLOOKUP($A369,'01-02.2021'!$A$6:$CZ$403,60,FALSE)+VLOOKUP($A369,'1.3.21-28.2.22'!$A$6:$DA$404,60,FALSE)-VLOOKUP($A369,'01-02.2022'!$A$6:$DA$376,60,FALSE)</f>
        <v>0</v>
      </c>
      <c r="BI369" s="566">
        <f>VLOOKUP($A369,'01-02.2021'!$A$6:$CZ$403,61,FALSE)+VLOOKUP($A369,'1.3.21-28.2.22'!$A$6:$DA$404,61,FALSE)-VLOOKUP($A369,'01-02.2022'!$A$6:$DA$376,61,FALSE)</f>
        <v>0</v>
      </c>
      <c r="BJ369" s="55">
        <f t="shared" si="400"/>
        <v>0</v>
      </c>
      <c r="BK369" s="566">
        <f>VLOOKUP($A369,'01-02.2021'!$A$6:$CZ$403,63,FALSE)+VLOOKUP($A369,'1.3.21-28.2.22'!$A$6:$DA$404,63,FALSE)-VLOOKUP($A369,'01-02.2022'!$A$6:$DA$376,63,FALSE)</f>
        <v>1854.4118401154058</v>
      </c>
      <c r="BL369" s="566">
        <f>VLOOKUP($A369,'01-02.2021'!$A$6:$CZ$403,64,FALSE)+VLOOKUP($A369,'1.3.21-28.2.22'!$A$6:$DA$404,64,FALSE)-VLOOKUP($A369,'01-02.2022'!$A$6:$DA$376,64,FALSE)</f>
        <v>0</v>
      </c>
      <c r="BM369" s="55">
        <f t="shared" si="401"/>
        <v>-1854.4118401154058</v>
      </c>
      <c r="BN369" s="566">
        <f>VLOOKUP($A369,'01-02.2021'!$A$6:$CZ$403,66,FALSE)+VLOOKUP($A369,'1.3.21-28.2.22'!$A$6:$DA$404,66,FALSE)-VLOOKUP($A369,'01-02.2022'!$A$6:$DA$376,66,FALSE)</f>
        <v>137.07499999999999</v>
      </c>
      <c r="BO369" s="566">
        <f>VLOOKUP($A369,'01-02.2021'!$A$6:$CZ$403,67,FALSE)+VLOOKUP($A369,'1.3.21-28.2.22'!$A$6:$DA$404,67,FALSE)-VLOOKUP($A369,'01-02.2022'!$A$6:$DA$376,67,FALSE)</f>
        <v>0</v>
      </c>
      <c r="BP369" s="55">
        <f t="shared" si="402"/>
        <v>-137.07499999999999</v>
      </c>
      <c r="BQ369" s="77">
        <f t="shared" si="409"/>
        <v>9650.137956645427</v>
      </c>
      <c r="BR369" s="40">
        <f t="shared" si="410"/>
        <v>4856</v>
      </c>
      <c r="BS369" s="55">
        <f t="shared" si="428"/>
        <v>-4794.137956645427</v>
      </c>
      <c r="BT369" s="566">
        <f>VLOOKUP($A369,'01-02.2021'!$A$6:$CZ$403,72,FALSE)+VLOOKUP($A369,'1.3.21-28.2.22'!$A$6:$DA$404,72,FALSE)-VLOOKUP($A369,'01-02.2022'!$A$6:$DA$376,72,FALSE)</f>
        <v>22234.451730356843</v>
      </c>
      <c r="BU369" s="566">
        <f>VLOOKUP($A369,'01-02.2021'!$A$6:$CZ$403,73,FALSE)+VLOOKUP($A369,'1.3.21-28.2.22'!$A$6:$DA$404,73,FALSE)-VLOOKUP($A369,'01-02.2022'!$A$6:$DA$376,73,FALSE)</f>
        <v>28750.852740444945</v>
      </c>
      <c r="BV369" s="70">
        <f t="shared" si="403"/>
        <v>6516.4010100881023</v>
      </c>
      <c r="BW369" s="566">
        <f>VLOOKUP($A369,'01-02.2021'!$A$6:$CZ$403,75,FALSE)+VLOOKUP($A369,'1.3.21-28.2.22'!$A$6:$DA$404,75,FALSE)-VLOOKUP($A369,'01-02.2022'!$A$6:$DA$376,75,FALSE)</f>
        <v>15241.904024366682</v>
      </c>
      <c r="BX369" s="566">
        <f>VLOOKUP($A369,'01-02.2021'!$A$6:$CZ$403,76,FALSE)+VLOOKUP($A369,'1.3.21-28.2.22'!$A$6:$DA$404,76,FALSE)-VLOOKUP($A369,'01-02.2022'!$A$6:$DA$376,76,FALSE)</f>
        <v>16749.264778586301</v>
      </c>
      <c r="BY369" s="70">
        <f t="shared" si="404"/>
        <v>1507.3607542196187</v>
      </c>
      <c r="BZ369" s="566">
        <f>VLOOKUP($A369,'01-02.2021'!$A$6:$CZ$403,78,FALSE)+VLOOKUP($A369,'1.3.21-28.2.22'!$A$6:$DA$404,78,FALSE)-VLOOKUP($A369,'01-02.2022'!$A$6:$DA$376,78,FALSE)</f>
        <v>5920.748671714824</v>
      </c>
      <c r="CA369" s="566">
        <f>VLOOKUP($A369,'01-02.2021'!$A$6:$CZ$403,79,FALSE)+VLOOKUP($A369,'1.3.21-28.2.22'!$A$6:$DA$404,79,FALSE)-VLOOKUP($A369,'01-02.2022'!$A$6:$DA$376,79,FALSE)</f>
        <v>5994.4727032980063</v>
      </c>
      <c r="CB369" s="70">
        <f t="shared" si="405"/>
        <v>73.724031583182295</v>
      </c>
      <c r="CC369" s="566">
        <f>VLOOKUP($A369,'01-02.2021'!$A$6:$CZ$403,81,FALSE)+VLOOKUP($A369,'1.3.21-28.2.22'!$A$6:$DA$404,81,FALSE)-VLOOKUP($A369,'01-02.2022'!$A$6:$DA$376,81,FALSE)</f>
        <v>1579.9605568425543</v>
      </c>
      <c r="CD369" s="566">
        <f>VLOOKUP($A369,'01-02.2021'!$A$6:$CZ$403,82,FALSE)+VLOOKUP($A369,'1.3.21-28.2.22'!$A$6:$DA$404,82,FALSE)-VLOOKUP($A369,'01-02.2022'!$A$6:$DA$376,82,FALSE)</f>
        <v>1726.8858597956726</v>
      </c>
      <c r="CE369" s="70">
        <f t="shared" si="406"/>
        <v>146.92530295311826</v>
      </c>
      <c r="CF369" s="566">
        <f>VLOOKUP($A369,'01-02.2021'!$A$6:$CZ$403,84,FALSE)+VLOOKUP($A369,'1.3.21-28.2.22'!$A$6:$DA$404,84,FALSE)-VLOOKUP($A369,'01-02.2022'!$A$6:$DA$376,84,FALSE)</f>
        <v>192.07675139337087</v>
      </c>
      <c r="CG369" s="566">
        <f>VLOOKUP($A369,'01-02.2021'!$A$6:$CZ$403,85,FALSE)+VLOOKUP($A369,'1.3.21-28.2.22'!$A$6:$DA$404,85,FALSE)-VLOOKUP($A369,'01-02.2022'!$A$6:$DA$376,85,FALSE)</f>
        <v>0</v>
      </c>
      <c r="CH369" s="70">
        <f t="shared" si="407"/>
        <v>-192.07675139337087</v>
      </c>
      <c r="CI369" s="566">
        <f>VLOOKUP($A369,'01-02.2021'!$A$6:$CZ$403,87,FALSE)+VLOOKUP($A369,'1.3.21-28.2.22'!$A$6:$DA$404,87,FALSE)-VLOOKUP($A369,'01-02.2022'!$A$6:$DA$376,87,FALSE)</f>
        <v>8808.8127186738839</v>
      </c>
      <c r="CJ369" s="566">
        <f>VLOOKUP($A369,'01-02.2021'!$A$6:$CZ$403,88,FALSE)+VLOOKUP($A369,'1.3.21-28.2.22'!$A$6:$DA$404,88,FALSE)-VLOOKUP($A369,'01-02.2022'!$A$6:$DA$376,88,FALSE)</f>
        <v>8593.4546269191469</v>
      </c>
      <c r="CK369" s="70">
        <f t="shared" si="408"/>
        <v>-215.35809175473696</v>
      </c>
      <c r="CL369" s="566">
        <f>VLOOKUP($A369,'01-02.2021'!$A$6:$CZ$403,90,FALSE)+VLOOKUP($A369,'1.3.21-28.2.22'!$A$6:$DA$404,90,FALSE)-VLOOKUP($A369,'01-02.2022'!$A$6:$DA$376,90,FALSE)</f>
        <v>0</v>
      </c>
      <c r="CM369" s="566">
        <f>VLOOKUP($A369,'01-02.2021'!$A$6:$CZ$403,91,FALSE)+VLOOKUP($A369,'1.3.21-28.2.22'!$A$6:$DA$404,91,FALSE)-VLOOKUP($A369,'01-02.2022'!$A$6:$DA$376,91,FALSE)</f>
        <v>0</v>
      </c>
      <c r="CN369" s="52">
        <f t="shared" si="420"/>
        <v>0</v>
      </c>
      <c r="CO369" s="39">
        <f t="shared" si="414"/>
        <v>8808.8127186738839</v>
      </c>
      <c r="CP369" s="40">
        <f t="shared" si="421"/>
        <v>8593.4546269191469</v>
      </c>
      <c r="CQ369" s="52">
        <f t="shared" si="422"/>
        <v>-215.35809175473696</v>
      </c>
      <c r="CR369" s="72">
        <f t="shared" si="415"/>
        <v>139982.50422002294</v>
      </c>
      <c r="CS369" s="5">
        <f t="shared" si="415"/>
        <v>131789.82794580801</v>
      </c>
      <c r="CT369" s="52">
        <f t="shared" si="423"/>
        <v>-8192.6762742149294</v>
      </c>
      <c r="CU369" s="77">
        <f t="shared" si="424"/>
        <v>167979.00506402753</v>
      </c>
      <c r="CV369" s="65">
        <f t="shared" si="425"/>
        <v>158147.79353496959</v>
      </c>
      <c r="CW369" s="35">
        <f t="shared" si="426"/>
        <v>-9831.2115290579386</v>
      </c>
      <c r="CX369" s="566">
        <f>VLOOKUP($A369,'01-02.2021'!$A$6:$CZ$403,102,FALSE)+VLOOKUP($A369,'1.3.21-28.2.22'!$A$6:$DA$404,102,FALSE)-VLOOKUP($A369,'01-02.2022'!$A$6:$DA$376,102,FALSE)</f>
        <v>8558.0511923821105</v>
      </c>
      <c r="CY369" s="566">
        <f>VLOOKUP($A369,'01-02.2021'!$A$6:$CZ$403,103,FALSE)+VLOOKUP($A369,'1.3.21-28.2.22'!$A$6:$DA$404,103,FALSE)-VLOOKUP($A369,'01-02.2022'!$A$6:$DA$376,103,FALSE)</f>
        <v>18389.262721440024</v>
      </c>
      <c r="CZ369" s="52">
        <f t="shared" si="427"/>
        <v>9831.2115290579131</v>
      </c>
      <c r="DA369" s="150">
        <f>'[2]побудинковий звіт'!DA369</f>
        <v>-63804.84757589022</v>
      </c>
      <c r="DB369" s="2">
        <v>3</v>
      </c>
      <c r="DC369" s="414">
        <f>'[4]побудинковий звіт'!DC369</f>
        <v>27656.81</v>
      </c>
      <c r="DD369" s="414">
        <f>'[4]побудинковий звіт'!DD369</f>
        <v>0</v>
      </c>
      <c r="DE369" s="557">
        <f>'[4]побудинковий звіт'!DE369</f>
        <v>11704.714883221712</v>
      </c>
      <c r="DF369" s="557">
        <f>'[4]побудинковий звіт'!DF369</f>
        <v>0</v>
      </c>
      <c r="DG369" s="321">
        <f>VLOOKUP(A369,'кошти 01.03.2021'!$A$6:$D$401,4,)</f>
        <v>-51313.634301084814</v>
      </c>
      <c r="DH369" s="40">
        <f>'[3]побудинковий звіт'!DJ369</f>
        <v>182398.18569792368</v>
      </c>
      <c r="DI369" s="422">
        <f>'[3]побудинковий звіт'!CU369+'[3]побудинковий звіт'!CX369</f>
        <v>15952.09511677829</v>
      </c>
      <c r="DJ369" s="306">
        <f>'[3]побудинковий звіт'!DM369</f>
        <v>5.8189593334713248</v>
      </c>
      <c r="DK369" s="306">
        <f t="shared" si="430"/>
        <v>5.8189593334713248</v>
      </c>
      <c r="DL369" s="306">
        <f>'[3]побудинковий звіт'!DO369</f>
        <v>5.1320772158934558</v>
      </c>
      <c r="DM369" s="28">
        <f t="shared" si="431"/>
        <v>15952.09511677829</v>
      </c>
      <c r="DN369" s="28">
        <f>H369*DL369</f>
        <v>0</v>
      </c>
      <c r="DO369" s="423">
        <f t="shared" si="381"/>
        <v>15952.09511677829</v>
      </c>
      <c r="DP369" s="94">
        <f t="shared" si="382"/>
        <v>0</v>
      </c>
      <c r="DQ369" s="28">
        <f t="shared" si="383"/>
        <v>15952.09511677829</v>
      </c>
      <c r="DR369" s="318"/>
      <c r="DT369" s="8"/>
      <c r="DU369" s="5"/>
      <c r="DX369" s="5">
        <f t="shared" si="384"/>
        <v>58094.829799023784</v>
      </c>
      <c r="DY369" s="5">
        <f t="shared" si="385"/>
        <v>40545.551999999996</v>
      </c>
      <c r="DZ369" s="159">
        <f>'[3]побудинковий звіт'!EA369</f>
        <v>5176.6723239282301</v>
      </c>
    </row>
    <row r="370" spans="1:130" x14ac:dyDescent="0.3">
      <c r="A370" s="325">
        <v>150000922</v>
      </c>
      <c r="B370" s="41" t="s">
        <v>816</v>
      </c>
      <c r="C370" s="42" t="s">
        <v>402</v>
      </c>
      <c r="D370" s="42"/>
      <c r="E370" s="293">
        <f t="shared" si="412"/>
        <v>4247.05</v>
      </c>
      <c r="F370" s="305">
        <f>'[3]побудинковий звіт'!F370</f>
        <v>4247.05</v>
      </c>
      <c r="G370" s="508">
        <f>'[3]побудинковий звіт'!G370</f>
        <v>410.5</v>
      </c>
      <c r="H370" s="560">
        <f>'[3]побудинковий звіт'!H370</f>
        <v>0</v>
      </c>
      <c r="I370" s="566">
        <f>VLOOKUP($A370,'01-02.2021'!$A$6:$CZ$403,9,FALSE)+VLOOKUP($A370,'1.3.21-28.2.22'!$A$6:$DA$404,9,FALSE)-VLOOKUP($A370,'01-02.2022'!$A$6:$DA$376,9,FALSE)</f>
        <v>15836.156081131394</v>
      </c>
      <c r="J370" s="566">
        <f>VLOOKUP($A370,'01-02.2021'!$A$6:$CZ$403,10,FALSE)+VLOOKUP($A370,'1.3.21-28.2.22'!$A$6:$DA$404,10,FALSE)-VLOOKUP($A370,'01-02.2022'!$A$6:$DA$376,10,FALSE)</f>
        <v>15587.918820324629</v>
      </c>
      <c r="K370" s="52">
        <f t="shared" si="417"/>
        <v>-248.23726080676533</v>
      </c>
      <c r="L370" s="566">
        <f>VLOOKUP($A370,'01-02.2021'!$A$6:$CZ$403,12,FALSE)+VLOOKUP($A370,'1.3.21-28.2.22'!$A$6:$DA$404,12,FALSE)-VLOOKUP($A370,'01-02.2022'!$A$6:$DA$376,12,FALSE)</f>
        <v>2664.782181289776</v>
      </c>
      <c r="M370" s="566">
        <f>VLOOKUP($A370,'01-02.2021'!$A$6:$CZ$403,13,FALSE)+VLOOKUP($A370,'1.3.21-28.2.22'!$A$6:$DA$404,13,FALSE)-VLOOKUP($A370,'01-02.2022'!$A$6:$DA$376,13,FALSE)</f>
        <v>2660.6572894759056</v>
      </c>
      <c r="N370" s="52">
        <f t="shared" si="418"/>
        <v>-4.124891813870363</v>
      </c>
      <c r="O370" s="566">
        <f>VLOOKUP($A370,'01-02.2021'!$A$6:$CZ$403,15,FALSE)+VLOOKUP($A370,'1.3.21-28.2.22'!$A$6:$DA$404,15,FALSE)-VLOOKUP($A370,'01-02.2022'!$A$6:$DA$376,15,FALSE)</f>
        <v>5049.6720609230424</v>
      </c>
      <c r="P370" s="566">
        <f>VLOOKUP($A370,'01-02.2021'!$A$6:$CZ$403,16,FALSE)+VLOOKUP($A370,'1.3.21-28.2.22'!$A$6:$DA$404,16,FALSE)-VLOOKUP($A370,'01-02.2022'!$A$6:$DA$376,16,FALSE)</f>
        <v>5051.5249999999996</v>
      </c>
      <c r="Q370" s="70">
        <f t="shared" si="386"/>
        <v>1.8529390769572274</v>
      </c>
      <c r="R370" s="566">
        <f>VLOOKUP($A370,'01-02.2021'!$A$6:$CZ$403,18,FALSE)+VLOOKUP($A370,'1.3.21-28.2.22'!$A$6:$DA$404,18,FALSE)-VLOOKUP($A370,'01-02.2022'!$A$6:$DA$376,18,FALSE)</f>
        <v>1258.5251038893416</v>
      </c>
      <c r="S370" s="566">
        <f>VLOOKUP($A370,'01-02.2021'!$A$6:$CZ$403,19,FALSE)+VLOOKUP($A370,'1.3.21-28.2.22'!$A$6:$DA$404,19,FALSE)-VLOOKUP($A370,'01-02.2022'!$A$6:$DA$376,19,FALSE)</f>
        <v>1258.1216666666669</v>
      </c>
      <c r="T370" s="70">
        <f t="shared" si="387"/>
        <v>-0.40343722267471094</v>
      </c>
      <c r="U370" s="566">
        <f>VLOOKUP($A370,'01-02.2021'!$A$6:$CZ$403,21,FALSE)+VLOOKUP($A370,'1.3.21-28.2.22'!$A$6:$DA$404,21,FALSE)-VLOOKUP($A370,'01-02.2022'!$A$6:$DA$376,21,FALSE)</f>
        <v>671.36656966572173</v>
      </c>
      <c r="V370" s="566">
        <f>VLOOKUP($A370,'01-02.2021'!$A$6:$CZ$403,22,FALSE)+VLOOKUP($A370,'1.3.21-28.2.22'!$A$6:$DA$404,22,FALSE)-VLOOKUP($A370,'01-02.2022'!$A$6:$DA$376,22,FALSE)</f>
        <v>570.57020852912501</v>
      </c>
      <c r="W370" s="70">
        <f t="shared" si="388"/>
        <v>-100.79636113659672</v>
      </c>
      <c r="X370" s="566">
        <f>VLOOKUP($A370,'01-02.2021'!$A$6:$CZ$403,24,FALSE)+VLOOKUP($A370,'1.3.21-28.2.22'!$A$6:$DA$404,24,FALSE)-VLOOKUP($A370,'01-02.2022'!$A$6:$DA$376,24,FALSE)</f>
        <v>5145.2199775882827</v>
      </c>
      <c r="Y370" s="566">
        <f>VLOOKUP($A370,'01-02.2021'!$A$6:$CZ$403,25,FALSE)+VLOOKUP($A370,'1.3.21-28.2.22'!$A$6:$DA$404,25,FALSE)-VLOOKUP($A370,'01-02.2022'!$A$6:$DA$376,25,FALSE)</f>
        <v>4680.6673633344117</v>
      </c>
      <c r="Z370" s="70">
        <f t="shared" si="389"/>
        <v>-464.55261425387107</v>
      </c>
      <c r="AA370" s="566">
        <f>VLOOKUP($A370,'01-02.2021'!$A$6:$CZ$403,27,FALSE)+VLOOKUP($A370,'1.3.21-28.2.22'!$A$6:$DA$404,27,FALSE)-VLOOKUP($A370,'01-02.2022'!$A$6:$DA$376,27,FALSE)</f>
        <v>863.68999999999994</v>
      </c>
      <c r="AB370" s="566">
        <f>VLOOKUP($A370,'01-02.2021'!$A$6:$CZ$403,28,FALSE)+VLOOKUP($A370,'1.3.21-28.2.22'!$A$6:$DA$404,28,FALSE)-VLOOKUP($A370,'01-02.2022'!$A$6:$DA$376,28,FALSE)</f>
        <v>0</v>
      </c>
      <c r="AC370" s="70">
        <f t="shared" si="390"/>
        <v>-863.68999999999994</v>
      </c>
      <c r="AD370" s="566">
        <f>VLOOKUP($A370,'01-02.2021'!$A$6:$CZ$403,30,FALSE)+VLOOKUP($A370,'1.3.21-28.2.22'!$A$6:$DA$404,30,FALSE)-VLOOKUP($A370,'01-02.2022'!$A$6:$DA$376,30,FALSE)</f>
        <v>18363.887277632217</v>
      </c>
      <c r="AE370" s="566">
        <f>VLOOKUP($A370,'01-02.2021'!$A$6:$CZ$403,31,FALSE)+VLOOKUP($A370,'1.3.21-28.2.22'!$A$6:$DA$404,31,FALSE)-VLOOKUP($A370,'01-02.2022'!$A$6:$DA$376,31,FALSE)</f>
        <v>19332.742723201874</v>
      </c>
      <c r="AF370" s="68">
        <f t="shared" si="391"/>
        <v>968.8554455696576</v>
      </c>
      <c r="AG370" s="77">
        <f t="shared" si="413"/>
        <v>49853.299252119774</v>
      </c>
      <c r="AH370" s="53">
        <f t="shared" si="413"/>
        <v>49142.203071532611</v>
      </c>
      <c r="AI370" s="52">
        <f t="shared" si="419"/>
        <v>-711.09618058716296</v>
      </c>
      <c r="AJ370" s="566">
        <f>VLOOKUP($A370,'01-02.2021'!$A$6:$CZ$403,36,FALSE)+VLOOKUP($A370,'1.3.21-28.2.22'!$A$6:$DA$404,36,FALSE)-VLOOKUP($A370,'01-02.2022'!$A$6:$DA$376,36,FALSE)</f>
        <v>52777.961748754278</v>
      </c>
      <c r="AK370" s="566">
        <f>VLOOKUP($A370,'01-02.2021'!$A$6:$CZ$403,37,FALSE)+VLOOKUP($A370,'1.3.21-28.2.22'!$A$6:$DA$404,37,FALSE)-VLOOKUP($A370,'01-02.2022'!$A$6:$DA$376,37,FALSE)</f>
        <v>52431.847138335579</v>
      </c>
      <c r="AL370" s="70">
        <f t="shared" si="392"/>
        <v>-346.11461041869916</v>
      </c>
      <c r="AM370" s="566">
        <f>VLOOKUP($A370,'01-02.2021'!$A$6:$CZ$403,39,FALSE)+VLOOKUP($A370,'1.3.21-28.2.22'!$A$6:$DA$404,39,FALSE)-VLOOKUP($A370,'01-02.2022'!$A$6:$DA$376,39,FALSE)</f>
        <v>0</v>
      </c>
      <c r="AN370" s="566">
        <f>VLOOKUP($A370,'01-02.2021'!$A$6:$CZ$403,40,FALSE)+VLOOKUP($A370,'1.3.21-28.2.22'!$A$6:$DA$404,40,FALSE)-VLOOKUP($A370,'01-02.2022'!$A$6:$DA$376,40,FALSE)</f>
        <v>0</v>
      </c>
      <c r="AO370" s="70">
        <f t="shared" si="393"/>
        <v>0</v>
      </c>
      <c r="AP370" s="566">
        <f>VLOOKUP($A370,'01-02.2021'!$A$6:$CZ$403,42,FALSE)+VLOOKUP($A370,'1.3.21-28.2.22'!$A$6:$DA$404,42,FALSE)-VLOOKUP($A370,'01-02.2022'!$A$6:$DA$376,42,FALSE)</f>
        <v>3036.5995625745354</v>
      </c>
      <c r="AQ370" s="566">
        <f>VLOOKUP($A370,'01-02.2021'!$A$6:$CZ$403,43,FALSE)+VLOOKUP($A370,'1.3.21-28.2.22'!$A$6:$DA$404,43,FALSE)-VLOOKUP($A370,'01-02.2022'!$A$6:$DA$376,43,FALSE)</f>
        <v>2639.1617388827704</v>
      </c>
      <c r="AR370" s="70">
        <f t="shared" si="394"/>
        <v>-397.43782369176506</v>
      </c>
      <c r="AS370" s="566">
        <f>VLOOKUP($A370,'01-02.2021'!$A$6:$CZ$403,45,FALSE)+VLOOKUP($A370,'1.3.21-28.2.22'!$A$6:$DA$404,45,FALSE)-VLOOKUP($A370,'01-02.2022'!$A$6:$DA$376,45,FALSE)</f>
        <v>52142.593125835003</v>
      </c>
      <c r="AT370" s="566">
        <f>VLOOKUP($A370,'01-02.2021'!$A$6:$CZ$403,46,FALSE)+VLOOKUP($A370,'1.3.21-28.2.22'!$A$6:$DA$404,46,FALSE)-VLOOKUP($A370,'01-02.2022'!$A$6:$DA$376,46,FALSE)</f>
        <v>5524.5</v>
      </c>
      <c r="AU370" s="78">
        <f t="shared" si="395"/>
        <v>-46618.093125835003</v>
      </c>
      <c r="AV370" s="566">
        <f>VLOOKUP($A370,'01-02.2021'!$A$6:$CZ$403,48,FALSE)+VLOOKUP($A370,'1.3.21-28.2.22'!$A$6:$DA$404,48,FALSE)-VLOOKUP($A370,'01-02.2022'!$A$6:$DA$376,48,FALSE)</f>
        <v>3482.8608643067523</v>
      </c>
      <c r="AW370" s="566">
        <f>VLOOKUP($A370,'01-02.2021'!$A$6:$CZ$403,49,FALSE)+VLOOKUP($A370,'1.3.21-28.2.22'!$A$6:$DA$404,49,FALSE)-VLOOKUP($A370,'01-02.2022'!$A$6:$DA$376,49,FALSE)</f>
        <v>301</v>
      </c>
      <c r="AX370" s="55">
        <f t="shared" si="396"/>
        <v>-3181.8608643067523</v>
      </c>
      <c r="AY370" s="566">
        <f>VLOOKUP($A370,'01-02.2021'!$A$6:$CZ$403,51,FALSE)+VLOOKUP($A370,'1.3.21-28.2.22'!$A$6:$DA$404,51,FALSE)-VLOOKUP($A370,'01-02.2022'!$A$6:$DA$376,51,FALSE)</f>
        <v>4036.2049418317501</v>
      </c>
      <c r="AZ370" s="566">
        <f>VLOOKUP($A370,'01-02.2021'!$A$6:$CZ$403,52,FALSE)+VLOOKUP($A370,'1.3.21-28.2.22'!$A$6:$DA$404,52,FALSE)-VLOOKUP($A370,'01-02.2022'!$A$6:$DA$376,52,FALSE)</f>
        <v>0</v>
      </c>
      <c r="BA370" s="38">
        <f t="shared" si="397"/>
        <v>-4036.2049418317501</v>
      </c>
      <c r="BB370" s="566">
        <f>VLOOKUP($A370,'01-02.2021'!$A$6:$CZ$403,54,FALSE)+VLOOKUP($A370,'1.3.21-28.2.22'!$A$6:$DA$404,54,FALSE)-VLOOKUP($A370,'01-02.2022'!$A$6:$DA$376,54,FALSE)</f>
        <v>2314.9954764163017</v>
      </c>
      <c r="BC370" s="566">
        <f>VLOOKUP($A370,'01-02.2021'!$A$6:$CZ$403,55,FALSE)+VLOOKUP($A370,'1.3.21-28.2.22'!$A$6:$DA$404,55,FALSE)-VLOOKUP($A370,'01-02.2022'!$A$6:$DA$376,55,FALSE)</f>
        <v>1411</v>
      </c>
      <c r="BD370" s="55">
        <f t="shared" si="398"/>
        <v>-903.9954764163017</v>
      </c>
      <c r="BE370" s="566">
        <f>VLOOKUP($A370,'01-02.2021'!$A$6:$CZ$403,57,FALSE)+VLOOKUP($A370,'1.3.21-28.2.22'!$A$6:$DA$404,57,FALSE)-VLOOKUP($A370,'01-02.2022'!$A$6:$DA$376,57,FALSE)</f>
        <v>2811.8319982329058</v>
      </c>
      <c r="BF370" s="566">
        <f>VLOOKUP($A370,'01-02.2021'!$A$6:$CZ$403,58,FALSE)+VLOOKUP($A370,'1.3.21-28.2.22'!$A$6:$DA$404,58,FALSE)-VLOOKUP($A370,'01-02.2022'!$A$6:$DA$376,58,FALSE)</f>
        <v>0</v>
      </c>
      <c r="BG370" s="55">
        <f t="shared" si="399"/>
        <v>-2811.8319982329058</v>
      </c>
      <c r="BH370" s="566">
        <f>VLOOKUP($A370,'01-02.2021'!$A$6:$CZ$403,60,FALSE)+VLOOKUP($A370,'1.3.21-28.2.22'!$A$6:$DA$404,60,FALSE)-VLOOKUP($A370,'01-02.2022'!$A$6:$DA$376,60,FALSE)</f>
        <v>1275.6779514917541</v>
      </c>
      <c r="BI370" s="566">
        <f>VLOOKUP($A370,'01-02.2021'!$A$6:$CZ$403,61,FALSE)+VLOOKUP($A370,'1.3.21-28.2.22'!$A$6:$DA$404,61,FALSE)-VLOOKUP($A370,'01-02.2022'!$A$6:$DA$376,61,FALSE)</f>
        <v>39</v>
      </c>
      <c r="BJ370" s="55">
        <f t="shared" si="400"/>
        <v>-1236.6779514917541</v>
      </c>
      <c r="BK370" s="566">
        <f>VLOOKUP($A370,'01-02.2021'!$A$6:$CZ$403,63,FALSE)+VLOOKUP($A370,'1.3.21-28.2.22'!$A$6:$DA$404,63,FALSE)-VLOOKUP($A370,'01-02.2022'!$A$6:$DA$376,63,FALSE)</f>
        <v>1435.5981888962262</v>
      </c>
      <c r="BL370" s="566">
        <f>VLOOKUP($A370,'01-02.2021'!$A$6:$CZ$403,64,FALSE)+VLOOKUP($A370,'1.3.21-28.2.22'!$A$6:$DA$404,64,FALSE)-VLOOKUP($A370,'01-02.2022'!$A$6:$DA$376,64,FALSE)</f>
        <v>0</v>
      </c>
      <c r="BM370" s="55">
        <f t="shared" si="401"/>
        <v>-1435.5981888962262</v>
      </c>
      <c r="BN370" s="566">
        <f>VLOOKUP($A370,'01-02.2021'!$A$6:$CZ$403,66,FALSE)+VLOOKUP($A370,'1.3.21-28.2.22'!$A$6:$DA$404,66,FALSE)-VLOOKUP($A370,'01-02.2022'!$A$6:$DA$376,66,FALSE)</f>
        <v>215.92249999999999</v>
      </c>
      <c r="BO370" s="566">
        <f>VLOOKUP($A370,'01-02.2021'!$A$6:$CZ$403,67,FALSE)+VLOOKUP($A370,'1.3.21-28.2.22'!$A$6:$DA$404,67,FALSE)-VLOOKUP($A370,'01-02.2022'!$A$6:$DA$376,67,FALSE)</f>
        <v>0</v>
      </c>
      <c r="BP370" s="55">
        <f t="shared" si="402"/>
        <v>-215.92249999999999</v>
      </c>
      <c r="BQ370" s="77">
        <f t="shared" si="409"/>
        <v>15573.091921175692</v>
      </c>
      <c r="BR370" s="40">
        <f t="shared" si="410"/>
        <v>1751</v>
      </c>
      <c r="BS370" s="55">
        <f t="shared" si="428"/>
        <v>-13822.091921175692</v>
      </c>
      <c r="BT370" s="566">
        <f>VLOOKUP($A370,'01-02.2021'!$A$6:$CZ$403,72,FALSE)+VLOOKUP($A370,'1.3.21-28.2.22'!$A$6:$DA$404,72,FALSE)-VLOOKUP($A370,'01-02.2022'!$A$6:$DA$376,72,FALSE)</f>
        <v>44278.858550160345</v>
      </c>
      <c r="BU370" s="566">
        <f>VLOOKUP($A370,'01-02.2021'!$A$6:$CZ$403,73,FALSE)+VLOOKUP($A370,'1.3.21-28.2.22'!$A$6:$DA$404,73,FALSE)-VLOOKUP($A370,'01-02.2022'!$A$6:$DA$376,73,FALSE)</f>
        <v>40591.256345454625</v>
      </c>
      <c r="BV370" s="70">
        <f t="shared" si="403"/>
        <v>-3687.6022047057195</v>
      </c>
      <c r="BW370" s="566">
        <f>VLOOKUP($A370,'01-02.2021'!$A$6:$CZ$403,75,FALSE)+VLOOKUP($A370,'1.3.21-28.2.22'!$A$6:$DA$404,75,FALSE)-VLOOKUP($A370,'01-02.2022'!$A$6:$DA$376,75,FALSE)</f>
        <v>33287.804943290146</v>
      </c>
      <c r="BX370" s="566">
        <f>VLOOKUP($A370,'01-02.2021'!$A$6:$CZ$403,76,FALSE)+VLOOKUP($A370,'1.3.21-28.2.22'!$A$6:$DA$404,76,FALSE)-VLOOKUP($A370,'01-02.2022'!$A$6:$DA$376,76,FALSE)</f>
        <v>34385.219867703803</v>
      </c>
      <c r="BY370" s="70">
        <f t="shared" si="404"/>
        <v>1097.414924413657</v>
      </c>
      <c r="BZ370" s="566">
        <f>VLOOKUP($A370,'01-02.2021'!$A$6:$CZ$403,78,FALSE)+VLOOKUP($A370,'1.3.21-28.2.22'!$A$6:$DA$404,78,FALSE)-VLOOKUP($A370,'01-02.2022'!$A$6:$DA$376,78,FALSE)</f>
        <v>5960.9549968567444</v>
      </c>
      <c r="CA370" s="566">
        <f>VLOOKUP($A370,'01-02.2021'!$A$6:$CZ$403,79,FALSE)+VLOOKUP($A370,'1.3.21-28.2.22'!$A$6:$DA$404,79,FALSE)-VLOOKUP($A370,'01-02.2022'!$A$6:$DA$376,79,FALSE)</f>
        <v>10105.323073833826</v>
      </c>
      <c r="CB370" s="70">
        <f t="shared" si="405"/>
        <v>4144.3680769770817</v>
      </c>
      <c r="CC370" s="566">
        <f>VLOOKUP($A370,'01-02.2021'!$A$6:$CZ$403,81,FALSE)+VLOOKUP($A370,'1.3.21-28.2.22'!$A$6:$DA$404,81,FALSE)-VLOOKUP($A370,'01-02.2022'!$A$6:$DA$376,81,FALSE)</f>
        <v>1680.005849339133</v>
      </c>
      <c r="CD370" s="566">
        <f>VLOOKUP($A370,'01-02.2021'!$A$6:$CZ$403,82,FALSE)+VLOOKUP($A370,'1.3.21-28.2.22'!$A$6:$DA$404,82,FALSE)-VLOOKUP($A370,'01-02.2022'!$A$6:$DA$376,82,FALSE)</f>
        <v>1824.4424462833349</v>
      </c>
      <c r="CE370" s="70">
        <f t="shared" si="406"/>
        <v>144.43659694420194</v>
      </c>
      <c r="CF370" s="566">
        <f>VLOOKUP($A370,'01-02.2021'!$A$6:$CZ$403,84,FALSE)+VLOOKUP($A370,'1.3.21-28.2.22'!$A$6:$DA$404,84,FALSE)-VLOOKUP($A370,'01-02.2022'!$A$6:$DA$376,84,FALSE)</f>
        <v>202.92770144503999</v>
      </c>
      <c r="CG370" s="566">
        <f>VLOOKUP($A370,'01-02.2021'!$A$6:$CZ$403,85,FALSE)+VLOOKUP($A370,'1.3.21-28.2.22'!$A$6:$DA$404,85,FALSE)-VLOOKUP($A370,'01-02.2022'!$A$6:$DA$376,85,FALSE)</f>
        <v>0</v>
      </c>
      <c r="CH370" s="70">
        <f t="shared" si="407"/>
        <v>-202.92770144503999</v>
      </c>
      <c r="CI370" s="566">
        <f>VLOOKUP($A370,'01-02.2021'!$A$6:$CZ$403,87,FALSE)+VLOOKUP($A370,'1.3.21-28.2.22'!$A$6:$DA$404,87,FALSE)-VLOOKUP($A370,'01-02.2022'!$A$6:$DA$376,87,FALSE)</f>
        <v>16789.591984343457</v>
      </c>
      <c r="CJ370" s="566">
        <f>VLOOKUP($A370,'01-02.2021'!$A$6:$CZ$403,88,FALSE)+VLOOKUP($A370,'1.3.21-28.2.22'!$A$6:$DA$404,88,FALSE)-VLOOKUP($A370,'01-02.2022'!$A$6:$DA$376,88,FALSE)</f>
        <v>13449.766679809887</v>
      </c>
      <c r="CK370" s="70">
        <f t="shared" si="408"/>
        <v>-3339.8253045335696</v>
      </c>
      <c r="CL370" s="566">
        <f>VLOOKUP($A370,'01-02.2021'!$A$6:$CZ$403,90,FALSE)+VLOOKUP($A370,'1.3.21-28.2.22'!$A$6:$DA$404,90,FALSE)-VLOOKUP($A370,'01-02.2022'!$A$6:$DA$376,90,FALSE)</f>
        <v>7221.4096971331091</v>
      </c>
      <c r="CM370" s="566">
        <f>VLOOKUP($A370,'01-02.2021'!$A$6:$CZ$403,91,FALSE)+VLOOKUP($A370,'1.3.21-28.2.22'!$A$6:$DA$404,91,FALSE)-VLOOKUP($A370,'01-02.2022'!$A$6:$DA$376,91,FALSE)</f>
        <v>11139.563052263264</v>
      </c>
      <c r="CN370" s="52">
        <f t="shared" si="420"/>
        <v>3918.1533551301545</v>
      </c>
      <c r="CO370" s="39">
        <f t="shared" si="414"/>
        <v>24011.001681476566</v>
      </c>
      <c r="CP370" s="40">
        <f t="shared" si="421"/>
        <v>24589.329732073151</v>
      </c>
      <c r="CQ370" s="52">
        <f t="shared" si="422"/>
        <v>578.32805059658494</v>
      </c>
      <c r="CR370" s="72">
        <f t="shared" si="415"/>
        <v>282805.0993330272</v>
      </c>
      <c r="CS370" s="5">
        <f t="shared" si="415"/>
        <v>222984.28341409969</v>
      </c>
      <c r="CT370" s="52">
        <f t="shared" si="423"/>
        <v>-59820.815918927517</v>
      </c>
      <c r="CU370" s="77">
        <f t="shared" si="424"/>
        <v>339366.11919963261</v>
      </c>
      <c r="CV370" s="65">
        <f t="shared" si="425"/>
        <v>267581.14009691961</v>
      </c>
      <c r="CW370" s="35">
        <f t="shared" si="426"/>
        <v>-71784.979102712998</v>
      </c>
      <c r="CX370" s="566">
        <f>VLOOKUP($A370,'01-02.2021'!$A$6:$CZ$403,102,FALSE)+VLOOKUP($A370,'1.3.21-28.2.22'!$A$6:$DA$404,102,FALSE)-VLOOKUP($A370,'01-02.2022'!$A$6:$DA$376,102,FALSE)</f>
        <v>9672.2051656643871</v>
      </c>
      <c r="CY370" s="566">
        <f>VLOOKUP($A370,'01-02.2021'!$A$6:$CZ$403,103,FALSE)+VLOOKUP($A370,'1.3.21-28.2.22'!$A$6:$DA$404,103,FALSE)-VLOOKUP($A370,'01-02.2022'!$A$6:$DA$376,103,FALSE)</f>
        <v>81457.184268377445</v>
      </c>
      <c r="CZ370" s="52">
        <f t="shared" si="427"/>
        <v>71784.979102713056</v>
      </c>
      <c r="DA370" s="150">
        <f>'[2]побудинковий звіт'!DA370</f>
        <v>-71721.614168663626</v>
      </c>
      <c r="DB370" s="2">
        <v>3</v>
      </c>
      <c r="DC370" s="414">
        <f>'[4]побудинковий звіт'!DC370</f>
        <v>44358.69</v>
      </c>
      <c r="DD370" s="414">
        <f>'[4]побудинковий звіт'!DD370</f>
        <v>0</v>
      </c>
      <c r="DE370" s="557">
        <f>'[4]побудинковий звіт'!DE370</f>
        <v>12828.151887680491</v>
      </c>
      <c r="DF370" s="557">
        <f>'[4]побудинковий звіт'!DF370</f>
        <v>0</v>
      </c>
      <c r="DG370" s="321">
        <f>VLOOKUP(A370,'кошти 01.03.2021'!$A$6:$D$401,4,)</f>
        <v>6727.5767095224619</v>
      </c>
      <c r="DH370" s="40">
        <f>'[3]побудинковий звіт'!DJ370</f>
        <v>360583.42851722683</v>
      </c>
      <c r="DI370" s="422">
        <f>'[3]побудинковий звіт'!CU370+'[3]побудинковий звіт'!CX370</f>
        <v>31530.538112319511</v>
      </c>
      <c r="DJ370" s="306">
        <f>'[3]побудинковий звіт'!DM370</f>
        <v>5.8433255881341406</v>
      </c>
      <c r="DK370" s="306">
        <f>'[3]побудинковий звіт'!DN370</f>
        <v>7.593242094691961</v>
      </c>
      <c r="DL370" s="306">
        <f>'[3]побудинковий звіт'!DO370</f>
        <v>4.9145443183519957</v>
      </c>
      <c r="DM370" s="28">
        <f>DJ370*G370+(F370-G370)*DK370</f>
        <v>31530.538112319511</v>
      </c>
      <c r="DN370" s="28">
        <f>DL370*H370</f>
        <v>0</v>
      </c>
      <c r="DO370" s="423">
        <f t="shared" si="381"/>
        <v>31530.538112319511</v>
      </c>
      <c r="DP370" s="94">
        <f t="shared" si="382"/>
        <v>0</v>
      </c>
      <c r="DQ370" s="28">
        <f t="shared" si="383"/>
        <v>31530.538112319511</v>
      </c>
      <c r="DR370" s="318"/>
      <c r="DT370" s="8"/>
      <c r="DU370" s="5"/>
      <c r="DX370" s="5">
        <f t="shared" si="384"/>
        <v>81258.822056412828</v>
      </c>
      <c r="DY370" s="5">
        <f t="shared" si="385"/>
        <v>8730.6</v>
      </c>
      <c r="DZ370" s="159">
        <f>'[3]побудинковий звіт'!EA370</f>
        <v>7493.3141367556545</v>
      </c>
    </row>
    <row r="371" spans="1:130" x14ac:dyDescent="0.3">
      <c r="A371" s="325">
        <v>150000896</v>
      </c>
      <c r="B371" s="41" t="s">
        <v>817</v>
      </c>
      <c r="C371" s="42" t="s">
        <v>318</v>
      </c>
      <c r="D371" s="42"/>
      <c r="E371" s="293">
        <f t="shared" si="412"/>
        <v>2712.05</v>
      </c>
      <c r="F371" s="305">
        <f>'[3]побудинковий звіт'!F371</f>
        <v>2712.05</v>
      </c>
      <c r="G371" s="508">
        <f>'[3]побудинковий звіт'!G371</f>
        <v>0</v>
      </c>
      <c r="H371" s="560">
        <f>'[3]побудинковий звіт'!H371</f>
        <v>0</v>
      </c>
      <c r="I371" s="566">
        <f>VLOOKUP($A371,'01-02.2021'!$A$6:$CZ$403,9,FALSE)+VLOOKUP($A371,'1.3.21-28.2.22'!$A$6:$DA$404,9,FALSE)-VLOOKUP($A371,'01-02.2022'!$A$6:$DA$376,9,FALSE)</f>
        <v>9976.9443808434316</v>
      </c>
      <c r="J371" s="566">
        <f>VLOOKUP($A371,'01-02.2021'!$A$6:$CZ$403,10,FALSE)+VLOOKUP($A371,'1.3.21-28.2.22'!$A$6:$DA$404,10,FALSE)-VLOOKUP($A371,'01-02.2022'!$A$6:$DA$376,10,FALSE)</f>
        <v>9873.4240856391007</v>
      </c>
      <c r="K371" s="52">
        <f t="shared" si="417"/>
        <v>-103.52029520433098</v>
      </c>
      <c r="L371" s="566">
        <f>VLOOKUP($A371,'01-02.2021'!$A$6:$CZ$403,12,FALSE)+VLOOKUP($A371,'1.3.21-28.2.22'!$A$6:$DA$404,12,FALSE)-VLOOKUP($A371,'01-02.2022'!$A$6:$DA$376,12,FALSE)</f>
        <v>1937.7541367306121</v>
      </c>
      <c r="M371" s="566">
        <f>VLOOKUP($A371,'01-02.2021'!$A$6:$CZ$403,13,FALSE)+VLOOKUP($A371,'1.3.21-28.2.22'!$A$6:$DA$404,13,FALSE)-VLOOKUP($A371,'01-02.2022'!$A$6:$DA$376,13,FALSE)</f>
        <v>1934.7882259540827</v>
      </c>
      <c r="N371" s="52">
        <f t="shared" si="418"/>
        <v>-2.9659107765294266</v>
      </c>
      <c r="O371" s="566">
        <f>VLOOKUP($A371,'01-02.2021'!$A$6:$CZ$403,15,FALSE)+VLOOKUP($A371,'1.3.21-28.2.22'!$A$6:$DA$404,15,FALSE)-VLOOKUP($A371,'01-02.2022'!$A$6:$DA$376,15,FALSE)</f>
        <v>3734.1581531333263</v>
      </c>
      <c r="P371" s="566">
        <f>VLOOKUP($A371,'01-02.2021'!$A$6:$CZ$403,16,FALSE)+VLOOKUP($A371,'1.3.21-28.2.22'!$A$6:$DA$404,16,FALSE)-VLOOKUP($A371,'01-02.2022'!$A$6:$DA$376,16,FALSE)</f>
        <v>3734.6233333333344</v>
      </c>
      <c r="Q371" s="70">
        <f t="shared" si="386"/>
        <v>0.46518020000803517</v>
      </c>
      <c r="R371" s="566">
        <f>VLOOKUP($A371,'01-02.2021'!$A$6:$CZ$403,18,FALSE)+VLOOKUP($A371,'1.3.21-28.2.22'!$A$6:$DA$404,18,FALSE)-VLOOKUP($A371,'01-02.2022'!$A$6:$DA$376,18,FALSE)</f>
        <v>0</v>
      </c>
      <c r="S371" s="566">
        <f>VLOOKUP($A371,'01-02.2021'!$A$6:$CZ$403,19,FALSE)+VLOOKUP($A371,'1.3.21-28.2.22'!$A$6:$DA$404,19,FALSE)-VLOOKUP($A371,'01-02.2022'!$A$6:$DA$376,19,FALSE)</f>
        <v>0</v>
      </c>
      <c r="T371" s="70">
        <f t="shared" si="387"/>
        <v>0</v>
      </c>
      <c r="U371" s="566">
        <f>VLOOKUP($A371,'01-02.2021'!$A$6:$CZ$403,21,FALSE)+VLOOKUP($A371,'1.3.21-28.2.22'!$A$6:$DA$404,21,FALSE)-VLOOKUP($A371,'01-02.2022'!$A$6:$DA$376,21,FALSE)</f>
        <v>0</v>
      </c>
      <c r="V371" s="566">
        <f>VLOOKUP($A371,'01-02.2021'!$A$6:$CZ$403,22,FALSE)+VLOOKUP($A371,'1.3.21-28.2.22'!$A$6:$DA$404,22,FALSE)-VLOOKUP($A371,'01-02.2022'!$A$6:$DA$376,22,FALSE)</f>
        <v>0</v>
      </c>
      <c r="W371" s="70">
        <f t="shared" si="388"/>
        <v>0</v>
      </c>
      <c r="X371" s="566">
        <f>VLOOKUP($A371,'01-02.2021'!$A$6:$CZ$403,24,FALSE)+VLOOKUP($A371,'1.3.21-28.2.22'!$A$6:$DA$404,24,FALSE)-VLOOKUP($A371,'01-02.2022'!$A$6:$DA$376,24,FALSE)</f>
        <v>6130.7501774817429</v>
      </c>
      <c r="Y371" s="566">
        <f>VLOOKUP($A371,'01-02.2021'!$A$6:$CZ$403,25,FALSE)+VLOOKUP($A371,'1.3.21-28.2.22'!$A$6:$DA$404,25,FALSE)-VLOOKUP($A371,'01-02.2022'!$A$6:$DA$376,25,FALSE)</f>
        <v>5411.7643344117996</v>
      </c>
      <c r="Z371" s="70">
        <f t="shared" si="389"/>
        <v>-718.98584306994326</v>
      </c>
      <c r="AA371" s="566">
        <f>VLOOKUP($A371,'01-02.2021'!$A$6:$CZ$403,27,FALSE)+VLOOKUP($A371,'1.3.21-28.2.22'!$A$6:$DA$404,27,FALSE)-VLOOKUP($A371,'01-02.2022'!$A$6:$DA$376,27,FALSE)</f>
        <v>542.43000000000006</v>
      </c>
      <c r="AB371" s="566">
        <f>VLOOKUP($A371,'01-02.2021'!$A$6:$CZ$403,28,FALSE)+VLOOKUP($A371,'1.3.21-28.2.22'!$A$6:$DA$404,28,FALSE)-VLOOKUP($A371,'01-02.2022'!$A$6:$DA$376,28,FALSE)</f>
        <v>0</v>
      </c>
      <c r="AC371" s="70">
        <f t="shared" si="390"/>
        <v>-542.43000000000006</v>
      </c>
      <c r="AD371" s="566">
        <f>VLOOKUP($A371,'01-02.2021'!$A$6:$CZ$403,30,FALSE)+VLOOKUP($A371,'1.3.21-28.2.22'!$A$6:$DA$404,30,FALSE)-VLOOKUP($A371,'01-02.2022'!$A$6:$DA$376,30,FALSE)</f>
        <v>11649.181560280003</v>
      </c>
      <c r="AE371" s="566">
        <f>VLOOKUP($A371,'01-02.2021'!$A$6:$CZ$403,31,FALSE)+VLOOKUP($A371,'1.3.21-28.2.22'!$A$6:$DA$404,31,FALSE)-VLOOKUP($A371,'01-02.2022'!$A$6:$DA$376,31,FALSE)</f>
        <v>12345.360874597578</v>
      </c>
      <c r="AF371" s="68">
        <f t="shared" si="391"/>
        <v>696.17931431757461</v>
      </c>
      <c r="AG371" s="77">
        <f t="shared" si="413"/>
        <v>33971.218408469118</v>
      </c>
      <c r="AH371" s="53">
        <f t="shared" si="413"/>
        <v>33299.960853935896</v>
      </c>
      <c r="AI371" s="52">
        <f t="shared" si="419"/>
        <v>-671.25755453322199</v>
      </c>
      <c r="AJ371" s="566">
        <f>VLOOKUP($A371,'01-02.2021'!$A$6:$CZ$403,36,FALSE)+VLOOKUP($A371,'1.3.21-28.2.22'!$A$6:$DA$404,36,FALSE)-VLOOKUP($A371,'01-02.2022'!$A$6:$DA$376,36,FALSE)</f>
        <v>0</v>
      </c>
      <c r="AK371" s="566">
        <f>VLOOKUP($A371,'01-02.2021'!$A$6:$CZ$403,37,FALSE)+VLOOKUP($A371,'1.3.21-28.2.22'!$A$6:$DA$404,37,FALSE)-VLOOKUP($A371,'01-02.2022'!$A$6:$DA$376,37,FALSE)</f>
        <v>0</v>
      </c>
      <c r="AL371" s="70">
        <f t="shared" si="392"/>
        <v>0</v>
      </c>
      <c r="AM371" s="566">
        <f>VLOOKUP($A371,'01-02.2021'!$A$6:$CZ$403,39,FALSE)+VLOOKUP($A371,'1.3.21-28.2.22'!$A$6:$DA$404,39,FALSE)-VLOOKUP($A371,'01-02.2022'!$A$6:$DA$376,39,FALSE)</f>
        <v>0</v>
      </c>
      <c r="AN371" s="566">
        <f>VLOOKUP($A371,'01-02.2021'!$A$6:$CZ$403,40,FALSE)+VLOOKUP($A371,'1.3.21-28.2.22'!$A$6:$DA$404,40,FALSE)-VLOOKUP($A371,'01-02.2022'!$A$6:$DA$376,40,FALSE)</f>
        <v>0</v>
      </c>
      <c r="AO371" s="70">
        <f t="shared" si="393"/>
        <v>0</v>
      </c>
      <c r="AP371" s="566">
        <f>VLOOKUP($A371,'01-02.2021'!$A$6:$CZ$403,42,FALSE)+VLOOKUP($A371,'1.3.21-28.2.22'!$A$6:$DA$404,42,FALSE)-VLOOKUP($A371,'01-02.2022'!$A$6:$DA$376,42,FALSE)</f>
        <v>3904.1994375958316</v>
      </c>
      <c r="AQ371" s="566">
        <f>VLOOKUP($A371,'01-02.2021'!$A$6:$CZ$403,43,FALSE)+VLOOKUP($A371,'1.3.21-28.2.22'!$A$6:$DA$404,43,FALSE)-VLOOKUP($A371,'01-02.2022'!$A$6:$DA$376,43,FALSE)</f>
        <v>3332.8097047358729</v>
      </c>
      <c r="AR371" s="70">
        <f t="shared" si="394"/>
        <v>-571.38973285995871</v>
      </c>
      <c r="AS371" s="566">
        <f>VLOOKUP($A371,'01-02.2021'!$A$6:$CZ$403,45,FALSE)+VLOOKUP($A371,'1.3.21-28.2.22'!$A$6:$DA$404,45,FALSE)-VLOOKUP($A371,'01-02.2022'!$A$6:$DA$376,45,FALSE)</f>
        <v>38388.709981708547</v>
      </c>
      <c r="AT371" s="566">
        <f>VLOOKUP($A371,'01-02.2021'!$A$6:$CZ$403,46,FALSE)+VLOOKUP($A371,'1.3.21-28.2.22'!$A$6:$DA$404,46,FALSE)-VLOOKUP($A371,'01-02.2022'!$A$6:$DA$376,46,FALSE)</f>
        <v>146589.43325971643</v>
      </c>
      <c r="AU371" s="78">
        <f t="shared" si="395"/>
        <v>108200.72327800788</v>
      </c>
      <c r="AV371" s="566">
        <f>VLOOKUP($A371,'01-02.2021'!$A$6:$CZ$403,48,FALSE)+VLOOKUP($A371,'1.3.21-28.2.22'!$A$6:$DA$404,48,FALSE)-VLOOKUP($A371,'01-02.2022'!$A$6:$DA$376,48,FALSE)</f>
        <v>2780.4943008364789</v>
      </c>
      <c r="AW371" s="566">
        <f>VLOOKUP($A371,'01-02.2021'!$A$6:$CZ$403,49,FALSE)+VLOOKUP($A371,'1.3.21-28.2.22'!$A$6:$DA$404,49,FALSE)-VLOOKUP($A371,'01-02.2022'!$A$6:$DA$376,49,FALSE)</f>
        <v>449</v>
      </c>
      <c r="AX371" s="55">
        <f t="shared" si="396"/>
        <v>-2331.4943008364789</v>
      </c>
      <c r="AY371" s="566">
        <f>VLOOKUP($A371,'01-02.2021'!$A$6:$CZ$403,51,FALSE)+VLOOKUP($A371,'1.3.21-28.2.22'!$A$6:$DA$404,51,FALSE)-VLOOKUP($A371,'01-02.2022'!$A$6:$DA$376,51,FALSE)</f>
        <v>3642.5911032048411</v>
      </c>
      <c r="AZ371" s="566">
        <f>VLOOKUP($A371,'01-02.2021'!$A$6:$CZ$403,52,FALSE)+VLOOKUP($A371,'1.3.21-28.2.22'!$A$6:$DA$404,52,FALSE)-VLOOKUP($A371,'01-02.2022'!$A$6:$DA$376,52,FALSE)</f>
        <v>13551</v>
      </c>
      <c r="BA371" s="38">
        <f t="shared" si="397"/>
        <v>9908.4088967951593</v>
      </c>
      <c r="BB371" s="566">
        <f>VLOOKUP($A371,'01-02.2021'!$A$6:$CZ$403,54,FALSE)+VLOOKUP($A371,'1.3.21-28.2.22'!$A$6:$DA$404,54,FALSE)-VLOOKUP($A371,'01-02.2022'!$A$6:$DA$376,54,FALSE)</f>
        <v>1577.2257746118366</v>
      </c>
      <c r="BC371" s="566">
        <f>VLOOKUP($A371,'01-02.2021'!$A$6:$CZ$403,55,FALSE)+VLOOKUP($A371,'1.3.21-28.2.22'!$A$6:$DA$404,55,FALSE)-VLOOKUP($A371,'01-02.2022'!$A$6:$DA$376,55,FALSE)</f>
        <v>981</v>
      </c>
      <c r="BD371" s="55">
        <f t="shared" si="398"/>
        <v>-596.22577461183664</v>
      </c>
      <c r="BE371" s="566">
        <f>VLOOKUP($A371,'01-02.2021'!$A$6:$CZ$403,57,FALSE)+VLOOKUP($A371,'1.3.21-28.2.22'!$A$6:$DA$404,57,FALSE)-VLOOKUP($A371,'01-02.2022'!$A$6:$DA$376,57,FALSE)</f>
        <v>0</v>
      </c>
      <c r="BF371" s="566">
        <f>VLOOKUP($A371,'01-02.2021'!$A$6:$CZ$403,58,FALSE)+VLOOKUP($A371,'1.3.21-28.2.22'!$A$6:$DA$404,58,FALSE)-VLOOKUP($A371,'01-02.2022'!$A$6:$DA$376,58,FALSE)</f>
        <v>648</v>
      </c>
      <c r="BG371" s="55">
        <f t="shared" si="399"/>
        <v>648</v>
      </c>
      <c r="BH371" s="566">
        <f>VLOOKUP($A371,'01-02.2021'!$A$6:$CZ$403,60,FALSE)+VLOOKUP($A371,'1.3.21-28.2.22'!$A$6:$DA$404,60,FALSE)-VLOOKUP($A371,'01-02.2022'!$A$6:$DA$376,60,FALSE)</f>
        <v>0</v>
      </c>
      <c r="BI371" s="566">
        <f>VLOOKUP($A371,'01-02.2021'!$A$6:$CZ$403,61,FALSE)+VLOOKUP($A371,'1.3.21-28.2.22'!$A$6:$DA$404,61,FALSE)-VLOOKUP($A371,'01-02.2022'!$A$6:$DA$376,61,FALSE)</f>
        <v>0</v>
      </c>
      <c r="BJ371" s="55">
        <f t="shared" si="400"/>
        <v>0</v>
      </c>
      <c r="BK371" s="566">
        <f>VLOOKUP($A371,'01-02.2021'!$A$6:$CZ$403,63,FALSE)+VLOOKUP($A371,'1.3.21-28.2.22'!$A$6:$DA$404,63,FALSE)-VLOOKUP($A371,'01-02.2022'!$A$6:$DA$376,63,FALSE)</f>
        <v>2105.8888362315165</v>
      </c>
      <c r="BL371" s="566">
        <f>VLOOKUP($A371,'01-02.2021'!$A$6:$CZ$403,64,FALSE)+VLOOKUP($A371,'1.3.21-28.2.22'!$A$6:$DA$404,64,FALSE)-VLOOKUP($A371,'01-02.2022'!$A$6:$DA$376,64,FALSE)</f>
        <v>860</v>
      </c>
      <c r="BM371" s="55">
        <f t="shared" si="401"/>
        <v>-1245.8888362315165</v>
      </c>
      <c r="BN371" s="566">
        <f>VLOOKUP($A371,'01-02.2021'!$A$6:$CZ$403,66,FALSE)+VLOOKUP($A371,'1.3.21-28.2.22'!$A$6:$DA$404,66,FALSE)-VLOOKUP($A371,'01-02.2022'!$A$6:$DA$376,66,FALSE)</f>
        <v>135.60750000000002</v>
      </c>
      <c r="BO371" s="566">
        <f>VLOOKUP($A371,'01-02.2021'!$A$6:$CZ$403,67,FALSE)+VLOOKUP($A371,'1.3.21-28.2.22'!$A$6:$DA$404,67,FALSE)-VLOOKUP($A371,'01-02.2022'!$A$6:$DA$376,67,FALSE)</f>
        <v>0</v>
      </c>
      <c r="BP371" s="55">
        <f t="shared" si="402"/>
        <v>-135.60750000000002</v>
      </c>
      <c r="BQ371" s="77">
        <f t="shared" si="409"/>
        <v>10241.807514884673</v>
      </c>
      <c r="BR371" s="40">
        <f t="shared" si="410"/>
        <v>16489</v>
      </c>
      <c r="BS371" s="55">
        <f t="shared" si="428"/>
        <v>6247.1924851153271</v>
      </c>
      <c r="BT371" s="566">
        <f>VLOOKUP($A371,'01-02.2021'!$A$6:$CZ$403,72,FALSE)+VLOOKUP($A371,'1.3.21-28.2.22'!$A$6:$DA$404,72,FALSE)-VLOOKUP($A371,'01-02.2022'!$A$6:$DA$376,72,FALSE)</f>
        <v>26375.365860976177</v>
      </c>
      <c r="BU371" s="566">
        <f>VLOOKUP($A371,'01-02.2021'!$A$6:$CZ$403,73,FALSE)+VLOOKUP($A371,'1.3.21-28.2.22'!$A$6:$DA$404,73,FALSE)-VLOOKUP($A371,'01-02.2022'!$A$6:$DA$376,73,FALSE)</f>
        <v>30632.2235512525</v>
      </c>
      <c r="BV371" s="70">
        <f t="shared" si="403"/>
        <v>4256.8576902763234</v>
      </c>
      <c r="BW371" s="566">
        <f>VLOOKUP($A371,'01-02.2021'!$A$6:$CZ$403,75,FALSE)+VLOOKUP($A371,'1.3.21-28.2.22'!$A$6:$DA$404,75,FALSE)-VLOOKUP($A371,'01-02.2022'!$A$6:$DA$376,75,FALSE)</f>
        <v>15388.345429902607</v>
      </c>
      <c r="BX371" s="566">
        <f>VLOOKUP($A371,'01-02.2021'!$A$6:$CZ$403,76,FALSE)+VLOOKUP($A371,'1.3.21-28.2.22'!$A$6:$DA$404,76,FALSE)-VLOOKUP($A371,'01-02.2022'!$A$6:$DA$376,76,FALSE)</f>
        <v>16507.393213671086</v>
      </c>
      <c r="BY371" s="70">
        <f t="shared" si="404"/>
        <v>1119.0477837684793</v>
      </c>
      <c r="BZ371" s="566">
        <f>VLOOKUP($A371,'01-02.2021'!$A$6:$CZ$403,78,FALSE)+VLOOKUP($A371,'1.3.21-28.2.22'!$A$6:$DA$404,78,FALSE)-VLOOKUP($A371,'01-02.2022'!$A$6:$DA$376,78,FALSE)</f>
        <v>6551.567859867374</v>
      </c>
      <c r="CA371" s="566">
        <f>VLOOKUP($A371,'01-02.2021'!$A$6:$CZ$403,79,FALSE)+VLOOKUP($A371,'1.3.21-28.2.22'!$A$6:$DA$404,79,FALSE)-VLOOKUP($A371,'01-02.2022'!$A$6:$DA$376,79,FALSE)</f>
        <v>7092.8665897875899</v>
      </c>
      <c r="CB371" s="70">
        <f t="shared" si="405"/>
        <v>541.29872992021592</v>
      </c>
      <c r="CC371" s="566">
        <f>VLOOKUP($A371,'01-02.2021'!$A$6:$CZ$403,81,FALSE)+VLOOKUP($A371,'1.3.21-28.2.22'!$A$6:$DA$404,81,FALSE)-VLOOKUP($A371,'01-02.2022'!$A$6:$DA$376,81,FALSE)</f>
        <v>1580.9487332616898</v>
      </c>
      <c r="CD371" s="566">
        <f>VLOOKUP($A371,'01-02.2021'!$A$6:$CZ$403,82,FALSE)+VLOOKUP($A371,'1.3.21-28.2.22'!$A$6:$DA$404,82,FALSE)-VLOOKUP($A371,'01-02.2022'!$A$6:$DA$376,82,FALSE)</f>
        <v>1727.9659297238723</v>
      </c>
      <c r="CE371" s="70">
        <f t="shared" si="406"/>
        <v>147.01719646218248</v>
      </c>
      <c r="CF371" s="566">
        <f>VLOOKUP($A371,'01-02.2021'!$A$6:$CZ$403,84,FALSE)+VLOOKUP($A371,'1.3.21-28.2.22'!$A$6:$DA$404,84,FALSE)-VLOOKUP($A371,'01-02.2022'!$A$6:$DA$376,84,FALSE)</f>
        <v>192.19688459262639</v>
      </c>
      <c r="CG371" s="566">
        <f>VLOOKUP($A371,'01-02.2021'!$A$6:$CZ$403,85,FALSE)+VLOOKUP($A371,'1.3.21-28.2.22'!$A$6:$DA$404,85,FALSE)-VLOOKUP($A371,'01-02.2022'!$A$6:$DA$376,85,FALSE)</f>
        <v>0</v>
      </c>
      <c r="CH371" s="70">
        <f t="shared" si="407"/>
        <v>-192.19688459262639</v>
      </c>
      <c r="CI371" s="566">
        <f>VLOOKUP($A371,'01-02.2021'!$A$6:$CZ$403,87,FALSE)+VLOOKUP($A371,'1.3.21-28.2.22'!$A$6:$DA$404,87,FALSE)-VLOOKUP($A371,'01-02.2022'!$A$6:$DA$376,87,FALSE)</f>
        <v>12906.239941261903</v>
      </c>
      <c r="CJ371" s="566">
        <f>VLOOKUP($A371,'01-02.2021'!$A$6:$CZ$403,88,FALSE)+VLOOKUP($A371,'1.3.21-28.2.22'!$A$6:$DA$404,88,FALSE)-VLOOKUP($A371,'01-02.2022'!$A$6:$DA$376,88,FALSE)</f>
        <v>5525.2710839278307</v>
      </c>
      <c r="CK371" s="70">
        <f t="shared" si="408"/>
        <v>-7380.9688573340727</v>
      </c>
      <c r="CL371" s="566">
        <f>VLOOKUP($A371,'01-02.2021'!$A$6:$CZ$403,90,FALSE)+VLOOKUP($A371,'1.3.21-28.2.22'!$A$6:$DA$404,90,FALSE)-VLOOKUP($A371,'01-02.2022'!$A$6:$DA$376,90,FALSE)</f>
        <v>0</v>
      </c>
      <c r="CM371" s="566">
        <f>VLOOKUP($A371,'01-02.2021'!$A$6:$CZ$403,91,FALSE)+VLOOKUP($A371,'1.3.21-28.2.22'!$A$6:$DA$404,91,FALSE)-VLOOKUP($A371,'01-02.2022'!$A$6:$DA$376,91,FALSE)</f>
        <v>0</v>
      </c>
      <c r="CN371" s="52">
        <f t="shared" si="420"/>
        <v>0</v>
      </c>
      <c r="CO371" s="39">
        <f t="shared" si="414"/>
        <v>12906.239941261903</v>
      </c>
      <c r="CP371" s="40">
        <f t="shared" si="421"/>
        <v>5525.2710839278307</v>
      </c>
      <c r="CQ371" s="52">
        <f t="shared" si="422"/>
        <v>-7380.9688573340727</v>
      </c>
      <c r="CR371" s="72">
        <f t="shared" si="415"/>
        <v>149500.60005252055</v>
      </c>
      <c r="CS371" s="5">
        <f t="shared" si="415"/>
        <v>261196.92418675107</v>
      </c>
      <c r="CT371" s="52">
        <f t="shared" si="423"/>
        <v>111696.32413423053</v>
      </c>
      <c r="CU371" s="77">
        <f t="shared" si="424"/>
        <v>179400.72006302464</v>
      </c>
      <c r="CV371" s="65">
        <f t="shared" si="425"/>
        <v>313436.3090241013</v>
      </c>
      <c r="CW371" s="35">
        <f t="shared" si="426"/>
        <v>134035.58896107666</v>
      </c>
      <c r="CX371" s="566">
        <f>VLOOKUP($A371,'01-02.2021'!$A$6:$CZ$403,102,FALSE)+VLOOKUP($A371,'1.3.21-28.2.22'!$A$6:$DA$404,102,FALSE)-VLOOKUP($A371,'01-02.2022'!$A$6:$DA$376,102,FALSE)</f>
        <v>9139.9592843155842</v>
      </c>
      <c r="CY371" s="566">
        <f>VLOOKUP($A371,'01-02.2021'!$A$6:$CZ$403,103,FALSE)+VLOOKUP($A371,'1.3.21-28.2.22'!$A$6:$DA$404,103,FALSE)-VLOOKUP($A371,'01-02.2022'!$A$6:$DA$376,103,FALSE)</f>
        <v>-124895.62967676097</v>
      </c>
      <c r="CZ371" s="52">
        <f t="shared" si="427"/>
        <v>-134035.58896107657</v>
      </c>
      <c r="DA371" s="150">
        <f>'[2]побудинковий звіт'!DA371</f>
        <v>48821.975209226337</v>
      </c>
      <c r="DB371" s="2">
        <v>3</v>
      </c>
      <c r="DC371" s="414">
        <f>'[4]побудинковий звіт'!DC371</f>
        <v>48139.48</v>
      </c>
      <c r="DD371" s="414">
        <f>'[4]побудинковий звіт'!DD371</f>
        <v>0</v>
      </c>
      <c r="DE371" s="557">
        <f>'[4]побудинковий звіт'!DE371</f>
        <v>31102.973117483394</v>
      </c>
      <c r="DF371" s="557">
        <f>'[4]побудинковий звіт'!DF371</f>
        <v>0</v>
      </c>
      <c r="DG371" s="321">
        <f>VLOOKUP(A371,'кошти 01.03.2021'!$A$6:$D$401,4,)</f>
        <v>-76890.464205070923</v>
      </c>
      <c r="DH371" s="40">
        <f>'[3]побудинковий звіт'!DJ371</f>
        <v>194799.13485687773</v>
      </c>
      <c r="DI371" s="422">
        <f>'[3]побудинковий звіт'!CU371+'[3]побудинковий звіт'!CX371</f>
        <v>17036.506882516609</v>
      </c>
      <c r="DJ371" s="306">
        <f>'[3]побудинковий звіт'!DM371</f>
        <v>6.2817820034721361</v>
      </c>
      <c r="DK371" s="306">
        <f t="shared" ref="DK371:DK372" si="432">DJ371</f>
        <v>6.2817820034721361</v>
      </c>
      <c r="DL371" s="306">
        <f>'[3]побудинковий звіт'!DO371</f>
        <v>5.580869867366494</v>
      </c>
      <c r="DM371" s="28">
        <f t="shared" ref="DM371:DM372" si="433">F371*DJ371</f>
        <v>17036.506882516609</v>
      </c>
      <c r="DN371" s="28">
        <f>H371*DL371</f>
        <v>0</v>
      </c>
      <c r="DO371" s="423">
        <f t="shared" si="381"/>
        <v>17036.506882516609</v>
      </c>
      <c r="DP371" s="94">
        <f t="shared" si="382"/>
        <v>0</v>
      </c>
      <c r="DQ371" s="28">
        <f t="shared" si="383"/>
        <v>17036.506882516609</v>
      </c>
      <c r="DR371" s="318"/>
      <c r="DT371" s="8"/>
      <c r="DU371" s="5"/>
      <c r="DX371" s="5">
        <f t="shared" si="384"/>
        <v>58356.620995911864</v>
      </c>
      <c r="DY371" s="5">
        <f t="shared" si="385"/>
        <v>195694.11991165971</v>
      </c>
      <c r="DZ371" s="159">
        <f>'[3]побудинковий звіт'!EA371</f>
        <v>5208.4909810918098</v>
      </c>
    </row>
    <row r="372" spans="1:130" x14ac:dyDescent="0.3">
      <c r="A372" s="325">
        <v>150000898</v>
      </c>
      <c r="B372" s="41" t="s">
        <v>818</v>
      </c>
      <c r="C372" s="42" t="s">
        <v>191</v>
      </c>
      <c r="D372" s="42"/>
      <c r="E372" s="293">
        <f t="shared" si="412"/>
        <v>472.1</v>
      </c>
      <c r="F372" s="305">
        <f>'[3]побудинковий звіт'!F372</f>
        <v>472.1</v>
      </c>
      <c r="G372" s="508">
        <f>'[3]побудинковий звіт'!G372</f>
        <v>0</v>
      </c>
      <c r="H372" s="560">
        <f>'[3]побудинковий звіт'!H372</f>
        <v>0</v>
      </c>
      <c r="I372" s="566">
        <f>VLOOKUP($A372,'01-02.2021'!$A$6:$CZ$403,9,FALSE)+VLOOKUP($A372,'1.3.21-28.2.22'!$A$6:$DA$404,9,FALSE)-VLOOKUP($A372,'01-02.2022'!$A$6:$DA$376,9,FALSE)</f>
        <v>1817.9430393805233</v>
      </c>
      <c r="J372" s="566">
        <f>VLOOKUP($A372,'01-02.2021'!$A$6:$CZ$403,10,FALSE)+VLOOKUP($A372,'1.3.21-28.2.22'!$A$6:$DA$404,10,FALSE)-VLOOKUP($A372,'01-02.2022'!$A$6:$DA$376,10,FALSE)</f>
        <v>1771.6410609306072</v>
      </c>
      <c r="K372" s="52">
        <f t="shared" si="417"/>
        <v>-46.301978449916078</v>
      </c>
      <c r="L372" s="566">
        <f>VLOOKUP($A372,'01-02.2021'!$A$6:$CZ$403,12,FALSE)+VLOOKUP($A372,'1.3.21-28.2.22'!$A$6:$DA$404,12,FALSE)-VLOOKUP($A372,'01-02.2022'!$A$6:$DA$376,12,FALSE)</f>
        <v>428.37859033312952</v>
      </c>
      <c r="M372" s="566">
        <f>VLOOKUP($A372,'01-02.2021'!$A$6:$CZ$403,13,FALSE)+VLOOKUP($A372,'1.3.21-28.2.22'!$A$6:$DA$404,13,FALSE)-VLOOKUP($A372,'01-02.2022'!$A$6:$DA$376,13,FALSE)</f>
        <v>424.31251535438855</v>
      </c>
      <c r="N372" s="52">
        <f t="shared" si="418"/>
        <v>-4.0660749787409713</v>
      </c>
      <c r="O372" s="566">
        <f>VLOOKUP($A372,'01-02.2021'!$A$6:$CZ$403,15,FALSE)+VLOOKUP($A372,'1.3.21-28.2.22'!$A$6:$DA$404,15,FALSE)-VLOOKUP($A372,'01-02.2022'!$A$6:$DA$376,15,FALSE)</f>
        <v>589.724923028175</v>
      </c>
      <c r="P372" s="566">
        <f>VLOOKUP($A372,'01-02.2021'!$A$6:$CZ$403,16,FALSE)+VLOOKUP($A372,'1.3.21-28.2.22'!$A$6:$DA$404,16,FALSE)-VLOOKUP($A372,'01-02.2022'!$A$6:$DA$376,16,FALSE)</f>
        <v>589.75666666666666</v>
      </c>
      <c r="Q372" s="70">
        <f t="shared" si="386"/>
        <v>3.1743638491661841E-2</v>
      </c>
      <c r="R372" s="566">
        <f>VLOOKUP($A372,'01-02.2021'!$A$6:$CZ$403,18,FALSE)+VLOOKUP($A372,'1.3.21-28.2.22'!$A$6:$DA$404,18,FALSE)-VLOOKUP($A372,'01-02.2022'!$A$6:$DA$376,18,FALSE)</f>
        <v>0</v>
      </c>
      <c r="S372" s="566">
        <f>VLOOKUP($A372,'01-02.2021'!$A$6:$CZ$403,19,FALSE)+VLOOKUP($A372,'1.3.21-28.2.22'!$A$6:$DA$404,19,FALSE)-VLOOKUP($A372,'01-02.2022'!$A$6:$DA$376,19,FALSE)</f>
        <v>0</v>
      </c>
      <c r="T372" s="70">
        <f t="shared" si="387"/>
        <v>0</v>
      </c>
      <c r="U372" s="566">
        <f>VLOOKUP($A372,'01-02.2021'!$A$6:$CZ$403,21,FALSE)+VLOOKUP($A372,'1.3.21-28.2.22'!$A$6:$DA$404,21,FALSE)-VLOOKUP($A372,'01-02.2022'!$A$6:$DA$376,21,FALSE)</f>
        <v>0</v>
      </c>
      <c r="V372" s="566">
        <f>VLOOKUP($A372,'01-02.2021'!$A$6:$CZ$403,22,FALSE)+VLOOKUP($A372,'1.3.21-28.2.22'!$A$6:$DA$404,22,FALSE)-VLOOKUP($A372,'01-02.2022'!$A$6:$DA$376,22,FALSE)</f>
        <v>0</v>
      </c>
      <c r="W372" s="70">
        <f t="shared" si="388"/>
        <v>0</v>
      </c>
      <c r="X372" s="566">
        <f>VLOOKUP($A372,'01-02.2021'!$A$6:$CZ$403,24,FALSE)+VLOOKUP($A372,'1.3.21-28.2.22'!$A$6:$DA$404,24,FALSE)-VLOOKUP($A372,'01-02.2022'!$A$6:$DA$376,24,FALSE)</f>
        <v>645.01667648160401</v>
      </c>
      <c r="Y372" s="566">
        <f>VLOOKUP($A372,'01-02.2021'!$A$6:$CZ$403,25,FALSE)+VLOOKUP($A372,'1.3.21-28.2.22'!$A$6:$DA$404,25,FALSE)-VLOOKUP($A372,'01-02.2022'!$A$6:$DA$376,25,FALSE)</f>
        <v>505.0412793511465</v>
      </c>
      <c r="Z372" s="70">
        <f t="shared" si="389"/>
        <v>-139.97539713045751</v>
      </c>
      <c r="AA372" s="566">
        <f>VLOOKUP($A372,'01-02.2021'!$A$6:$CZ$403,27,FALSE)+VLOOKUP($A372,'1.3.21-28.2.22'!$A$6:$DA$404,27,FALSE)-VLOOKUP($A372,'01-02.2022'!$A$6:$DA$376,27,FALSE)</f>
        <v>94.42</v>
      </c>
      <c r="AB372" s="566">
        <f>VLOOKUP($A372,'01-02.2021'!$A$6:$CZ$403,28,FALSE)+VLOOKUP($A372,'1.3.21-28.2.22'!$A$6:$DA$404,28,FALSE)-VLOOKUP($A372,'01-02.2022'!$A$6:$DA$376,28,FALSE)</f>
        <v>0</v>
      </c>
      <c r="AC372" s="70">
        <f t="shared" si="390"/>
        <v>-94.42</v>
      </c>
      <c r="AD372" s="566">
        <f>VLOOKUP($A372,'01-02.2021'!$A$6:$CZ$403,30,FALSE)+VLOOKUP($A372,'1.3.21-28.2.22'!$A$6:$DA$404,30,FALSE)-VLOOKUP($A372,'01-02.2022'!$A$6:$DA$376,30,FALSE)</f>
        <v>2027.8247959771534</v>
      </c>
      <c r="AE372" s="566">
        <f>VLOOKUP($A372,'01-02.2021'!$A$6:$CZ$403,31,FALSE)+VLOOKUP($A372,'1.3.21-28.2.22'!$A$6:$DA$404,31,FALSE)-VLOOKUP($A372,'01-02.2022'!$A$6:$DA$376,31,FALSE)</f>
        <v>2149.0182219713934</v>
      </c>
      <c r="AF372" s="68">
        <f t="shared" si="391"/>
        <v>121.19342599423999</v>
      </c>
      <c r="AG372" s="77">
        <f t="shared" si="413"/>
        <v>5603.3080252005857</v>
      </c>
      <c r="AH372" s="53">
        <f t="shared" si="413"/>
        <v>5439.7697442742019</v>
      </c>
      <c r="AI372" s="52">
        <f t="shared" si="419"/>
        <v>-163.53828092638378</v>
      </c>
      <c r="AJ372" s="566">
        <f>VLOOKUP($A372,'01-02.2021'!$A$6:$CZ$403,36,FALSE)+VLOOKUP($A372,'1.3.21-28.2.22'!$A$6:$DA$404,36,FALSE)-VLOOKUP($A372,'01-02.2022'!$A$6:$DA$376,36,FALSE)</f>
        <v>0</v>
      </c>
      <c r="AK372" s="566">
        <f>VLOOKUP($A372,'01-02.2021'!$A$6:$CZ$403,37,FALSE)+VLOOKUP($A372,'1.3.21-28.2.22'!$A$6:$DA$404,37,FALSE)-VLOOKUP($A372,'01-02.2022'!$A$6:$DA$376,37,FALSE)</f>
        <v>0</v>
      </c>
      <c r="AL372" s="70">
        <f t="shared" si="392"/>
        <v>0</v>
      </c>
      <c r="AM372" s="566">
        <f>VLOOKUP($A372,'01-02.2021'!$A$6:$CZ$403,39,FALSE)+VLOOKUP($A372,'1.3.21-28.2.22'!$A$6:$DA$404,39,FALSE)-VLOOKUP($A372,'01-02.2022'!$A$6:$DA$376,39,FALSE)</f>
        <v>0</v>
      </c>
      <c r="AN372" s="566">
        <f>VLOOKUP($A372,'01-02.2021'!$A$6:$CZ$403,40,FALSE)+VLOOKUP($A372,'1.3.21-28.2.22'!$A$6:$DA$404,40,FALSE)-VLOOKUP($A372,'01-02.2022'!$A$6:$DA$376,40,FALSE)</f>
        <v>0</v>
      </c>
      <c r="AO372" s="70">
        <f t="shared" si="393"/>
        <v>0</v>
      </c>
      <c r="AP372" s="566">
        <f>VLOOKUP($A372,'01-02.2021'!$A$6:$CZ$403,42,FALSE)+VLOOKUP($A372,'1.3.21-28.2.22'!$A$6:$DA$404,42,FALSE)-VLOOKUP($A372,'01-02.2022'!$A$6:$DA$376,42,FALSE)</f>
        <v>1388.1598000340728</v>
      </c>
      <c r="AQ372" s="566">
        <f>VLOOKUP($A372,'01-02.2021'!$A$6:$CZ$403,43,FALSE)+VLOOKUP($A372,'1.3.21-28.2.22'!$A$6:$DA$404,43,FALSE)-VLOOKUP($A372,'01-02.2022'!$A$6:$DA$376,43,FALSE)</f>
        <v>1049.1846781911522</v>
      </c>
      <c r="AR372" s="70">
        <f t="shared" si="394"/>
        <v>-338.97512184292054</v>
      </c>
      <c r="AS372" s="566">
        <f>VLOOKUP($A372,'01-02.2021'!$A$6:$CZ$403,45,FALSE)+VLOOKUP($A372,'1.3.21-28.2.22'!$A$6:$DA$404,45,FALSE)-VLOOKUP($A372,'01-02.2022'!$A$6:$DA$376,45,FALSE)</f>
        <v>6142.9365484948721</v>
      </c>
      <c r="AT372" s="566">
        <f>VLOOKUP($A372,'01-02.2021'!$A$6:$CZ$403,46,FALSE)+VLOOKUP($A372,'1.3.21-28.2.22'!$A$6:$DA$404,46,FALSE)-VLOOKUP($A372,'01-02.2022'!$A$6:$DA$376,46,FALSE)</f>
        <v>357</v>
      </c>
      <c r="AU372" s="78">
        <f t="shared" si="395"/>
        <v>-5785.9365484948721</v>
      </c>
      <c r="AV372" s="566">
        <f>VLOOKUP($A372,'01-02.2021'!$A$6:$CZ$403,48,FALSE)+VLOOKUP($A372,'1.3.21-28.2.22'!$A$6:$DA$404,48,FALSE)-VLOOKUP($A372,'01-02.2022'!$A$6:$DA$376,48,FALSE)</f>
        <v>550.82149087406754</v>
      </c>
      <c r="AW372" s="566">
        <f>VLOOKUP($A372,'01-02.2021'!$A$6:$CZ$403,49,FALSE)+VLOOKUP($A372,'1.3.21-28.2.22'!$A$6:$DA$404,49,FALSE)-VLOOKUP($A372,'01-02.2022'!$A$6:$DA$376,49,FALSE)</f>
        <v>0</v>
      </c>
      <c r="AX372" s="55">
        <f t="shared" si="396"/>
        <v>-550.82149087406754</v>
      </c>
      <c r="AY372" s="566">
        <f>VLOOKUP($A372,'01-02.2021'!$A$6:$CZ$403,51,FALSE)+VLOOKUP($A372,'1.3.21-28.2.22'!$A$6:$DA$404,51,FALSE)-VLOOKUP($A372,'01-02.2022'!$A$6:$DA$376,51,FALSE)</f>
        <v>805.22275858948956</v>
      </c>
      <c r="AZ372" s="566">
        <f>VLOOKUP($A372,'01-02.2021'!$A$6:$CZ$403,52,FALSE)+VLOOKUP($A372,'1.3.21-28.2.22'!$A$6:$DA$404,52,FALSE)-VLOOKUP($A372,'01-02.2022'!$A$6:$DA$376,52,FALSE)</f>
        <v>0</v>
      </c>
      <c r="BA372" s="38">
        <f t="shared" si="397"/>
        <v>-805.22275858948956</v>
      </c>
      <c r="BB372" s="566">
        <f>VLOOKUP($A372,'01-02.2021'!$A$6:$CZ$403,54,FALSE)+VLOOKUP($A372,'1.3.21-28.2.22'!$A$6:$DA$404,54,FALSE)-VLOOKUP($A372,'01-02.2022'!$A$6:$DA$376,54,FALSE)</f>
        <v>158.41137829700853</v>
      </c>
      <c r="BC372" s="566">
        <f>VLOOKUP($A372,'01-02.2021'!$A$6:$CZ$403,55,FALSE)+VLOOKUP($A372,'1.3.21-28.2.22'!$A$6:$DA$404,55,FALSE)-VLOOKUP($A372,'01-02.2022'!$A$6:$DA$376,55,FALSE)</f>
        <v>0</v>
      </c>
      <c r="BD372" s="55">
        <f t="shared" si="398"/>
        <v>-158.41137829700853</v>
      </c>
      <c r="BE372" s="566">
        <f>VLOOKUP($A372,'01-02.2021'!$A$6:$CZ$403,57,FALSE)+VLOOKUP($A372,'1.3.21-28.2.22'!$A$6:$DA$404,57,FALSE)-VLOOKUP($A372,'01-02.2022'!$A$6:$DA$376,57,FALSE)</f>
        <v>0</v>
      </c>
      <c r="BF372" s="566">
        <f>VLOOKUP($A372,'01-02.2021'!$A$6:$CZ$403,58,FALSE)+VLOOKUP($A372,'1.3.21-28.2.22'!$A$6:$DA$404,58,FALSE)-VLOOKUP($A372,'01-02.2022'!$A$6:$DA$376,58,FALSE)</f>
        <v>0</v>
      </c>
      <c r="BG372" s="55">
        <f t="shared" si="399"/>
        <v>0</v>
      </c>
      <c r="BH372" s="566">
        <f>VLOOKUP($A372,'01-02.2021'!$A$6:$CZ$403,60,FALSE)+VLOOKUP($A372,'1.3.21-28.2.22'!$A$6:$DA$404,60,FALSE)-VLOOKUP($A372,'01-02.2022'!$A$6:$DA$376,60,FALSE)</f>
        <v>0</v>
      </c>
      <c r="BI372" s="566">
        <f>VLOOKUP($A372,'01-02.2021'!$A$6:$CZ$403,61,FALSE)+VLOOKUP($A372,'1.3.21-28.2.22'!$A$6:$DA$404,61,FALSE)-VLOOKUP($A372,'01-02.2022'!$A$6:$DA$376,61,FALSE)</f>
        <v>0</v>
      </c>
      <c r="BJ372" s="55">
        <f t="shared" si="400"/>
        <v>0</v>
      </c>
      <c r="BK372" s="566">
        <f>VLOOKUP($A372,'01-02.2021'!$A$6:$CZ$403,63,FALSE)+VLOOKUP($A372,'1.3.21-28.2.22'!$A$6:$DA$404,63,FALSE)-VLOOKUP($A372,'01-02.2022'!$A$6:$DA$376,63,FALSE)</f>
        <v>52.121331844015991</v>
      </c>
      <c r="BL372" s="566">
        <f>VLOOKUP($A372,'01-02.2021'!$A$6:$CZ$403,64,FALSE)+VLOOKUP($A372,'1.3.21-28.2.22'!$A$6:$DA$404,64,FALSE)-VLOOKUP($A372,'01-02.2022'!$A$6:$DA$376,64,FALSE)</f>
        <v>0</v>
      </c>
      <c r="BM372" s="55">
        <f t="shared" si="401"/>
        <v>-52.121331844015991</v>
      </c>
      <c r="BN372" s="566">
        <f>VLOOKUP($A372,'01-02.2021'!$A$6:$CZ$403,66,FALSE)+VLOOKUP($A372,'1.3.21-28.2.22'!$A$6:$DA$404,66,FALSE)-VLOOKUP($A372,'01-02.2022'!$A$6:$DA$376,66,FALSE)</f>
        <v>23.605</v>
      </c>
      <c r="BO372" s="566">
        <f>VLOOKUP($A372,'01-02.2021'!$A$6:$CZ$403,67,FALSE)+VLOOKUP($A372,'1.3.21-28.2.22'!$A$6:$DA$404,67,FALSE)-VLOOKUP($A372,'01-02.2022'!$A$6:$DA$376,67,FALSE)</f>
        <v>0</v>
      </c>
      <c r="BP372" s="55">
        <f t="shared" si="402"/>
        <v>-23.605</v>
      </c>
      <c r="BQ372" s="77">
        <f t="shared" si="409"/>
        <v>1590.1819596045816</v>
      </c>
      <c r="BR372" s="40">
        <f t="shared" si="410"/>
        <v>0</v>
      </c>
      <c r="BS372" s="55">
        <f t="shared" si="428"/>
        <v>-1590.1819596045816</v>
      </c>
      <c r="BT372" s="566">
        <f>VLOOKUP($A372,'01-02.2021'!$A$6:$CZ$403,72,FALSE)+VLOOKUP($A372,'1.3.21-28.2.22'!$A$6:$DA$404,72,FALSE)-VLOOKUP($A372,'01-02.2022'!$A$6:$DA$376,72,FALSE)</f>
        <v>3569.7995190481861</v>
      </c>
      <c r="BU372" s="566">
        <f>VLOOKUP($A372,'01-02.2021'!$A$6:$CZ$403,73,FALSE)+VLOOKUP($A372,'1.3.21-28.2.22'!$A$6:$DA$404,73,FALSE)-VLOOKUP($A372,'01-02.2022'!$A$6:$DA$376,73,FALSE)</f>
        <v>3971.637738094958</v>
      </c>
      <c r="BV372" s="70">
        <f t="shared" si="403"/>
        <v>401.83821904677188</v>
      </c>
      <c r="BW372" s="566">
        <f>VLOOKUP($A372,'01-02.2021'!$A$6:$CZ$403,75,FALSE)+VLOOKUP($A372,'1.3.21-28.2.22'!$A$6:$DA$404,75,FALSE)-VLOOKUP($A372,'01-02.2022'!$A$6:$DA$376,75,FALSE)</f>
        <v>3061.7542127345364</v>
      </c>
      <c r="BX372" s="566">
        <f>VLOOKUP($A372,'01-02.2021'!$A$6:$CZ$403,76,FALSE)+VLOOKUP($A372,'1.3.21-28.2.22'!$A$6:$DA$404,76,FALSE)-VLOOKUP($A372,'01-02.2022'!$A$6:$DA$376,76,FALSE)</f>
        <v>4694.0214629449556</v>
      </c>
      <c r="BY372" s="70">
        <f t="shared" si="404"/>
        <v>1632.2672502104192</v>
      </c>
      <c r="BZ372" s="566">
        <f>VLOOKUP($A372,'01-02.2021'!$A$6:$CZ$403,78,FALSE)+VLOOKUP($A372,'1.3.21-28.2.22'!$A$6:$DA$404,78,FALSE)-VLOOKUP($A372,'01-02.2022'!$A$6:$DA$376,78,FALSE)</f>
        <v>532.82676704402274</v>
      </c>
      <c r="CA372" s="566">
        <f>VLOOKUP($A372,'01-02.2021'!$A$6:$CZ$403,79,FALSE)+VLOOKUP($A372,'1.3.21-28.2.22'!$A$6:$DA$404,79,FALSE)-VLOOKUP($A372,'01-02.2022'!$A$6:$DA$376,79,FALSE)</f>
        <v>841.60205625537219</v>
      </c>
      <c r="CB372" s="70">
        <f t="shared" si="405"/>
        <v>308.77528921134945</v>
      </c>
      <c r="CC372" s="566">
        <f>VLOOKUP($A372,'01-02.2021'!$A$6:$CZ$403,81,FALSE)+VLOOKUP($A372,'1.3.21-28.2.22'!$A$6:$DA$404,81,FALSE)-VLOOKUP($A372,'01-02.2022'!$A$6:$DA$376,81,FALSE)</f>
        <v>0</v>
      </c>
      <c r="CD372" s="566">
        <f>VLOOKUP($A372,'01-02.2021'!$A$6:$CZ$403,82,FALSE)+VLOOKUP($A372,'1.3.21-28.2.22'!$A$6:$DA$404,82,FALSE)-VLOOKUP($A372,'01-02.2022'!$A$6:$DA$376,82,FALSE)</f>
        <v>0</v>
      </c>
      <c r="CE372" s="70">
        <f t="shared" si="406"/>
        <v>0</v>
      </c>
      <c r="CF372" s="566">
        <f>VLOOKUP($A372,'01-02.2021'!$A$6:$CZ$403,84,FALSE)+VLOOKUP($A372,'1.3.21-28.2.22'!$A$6:$DA$404,84,FALSE)-VLOOKUP($A372,'01-02.2022'!$A$6:$DA$376,84,FALSE)</f>
        <v>0</v>
      </c>
      <c r="CG372" s="566">
        <f>VLOOKUP($A372,'01-02.2021'!$A$6:$CZ$403,85,FALSE)+VLOOKUP($A372,'1.3.21-28.2.22'!$A$6:$DA$404,85,FALSE)-VLOOKUP($A372,'01-02.2022'!$A$6:$DA$376,85,FALSE)</f>
        <v>0</v>
      </c>
      <c r="CH372" s="70">
        <f t="shared" si="407"/>
        <v>0</v>
      </c>
      <c r="CI372" s="566">
        <f>VLOOKUP($A372,'01-02.2021'!$A$6:$CZ$403,87,FALSE)+VLOOKUP($A372,'1.3.21-28.2.22'!$A$6:$DA$404,87,FALSE)-VLOOKUP($A372,'01-02.2022'!$A$6:$DA$376,87,FALSE)</f>
        <v>1352.9303883819832</v>
      </c>
      <c r="CJ372" s="566">
        <f>VLOOKUP($A372,'01-02.2021'!$A$6:$CZ$403,88,FALSE)+VLOOKUP($A372,'1.3.21-28.2.22'!$A$6:$DA$404,88,FALSE)-VLOOKUP($A372,'01-02.2022'!$A$6:$DA$376,88,FALSE)</f>
        <v>833.62177806751401</v>
      </c>
      <c r="CK372" s="70">
        <f t="shared" si="408"/>
        <v>-519.30861031446921</v>
      </c>
      <c r="CL372" s="566">
        <f>VLOOKUP($A372,'01-02.2021'!$A$6:$CZ$403,90,FALSE)+VLOOKUP($A372,'1.3.21-28.2.22'!$A$6:$DA$404,90,FALSE)-VLOOKUP($A372,'01-02.2022'!$A$6:$DA$376,90,FALSE)</f>
        <v>0</v>
      </c>
      <c r="CM372" s="566">
        <f>VLOOKUP($A372,'01-02.2021'!$A$6:$CZ$403,91,FALSE)+VLOOKUP($A372,'1.3.21-28.2.22'!$A$6:$DA$404,91,FALSE)-VLOOKUP($A372,'01-02.2022'!$A$6:$DA$376,91,FALSE)</f>
        <v>0</v>
      </c>
      <c r="CN372" s="52">
        <f t="shared" si="420"/>
        <v>0</v>
      </c>
      <c r="CO372" s="39">
        <f t="shared" si="414"/>
        <v>1352.9303883819832</v>
      </c>
      <c r="CP372" s="40">
        <f t="shared" si="421"/>
        <v>833.62177806751401</v>
      </c>
      <c r="CQ372" s="52">
        <f t="shared" si="422"/>
        <v>-519.30861031446921</v>
      </c>
      <c r="CR372" s="72">
        <f t="shared" si="415"/>
        <v>23241.89722054284</v>
      </c>
      <c r="CS372" s="5">
        <f t="shared" si="415"/>
        <v>17186.837457828155</v>
      </c>
      <c r="CT372" s="52">
        <f t="shared" si="423"/>
        <v>-6055.0597627146853</v>
      </c>
      <c r="CU372" s="77">
        <f t="shared" si="424"/>
        <v>27890.276664651406</v>
      </c>
      <c r="CV372" s="65">
        <f t="shared" si="425"/>
        <v>20624.204949393785</v>
      </c>
      <c r="CW372" s="35">
        <f t="shared" si="426"/>
        <v>-7266.0717152576217</v>
      </c>
      <c r="CX372" s="566">
        <f>VLOOKUP($A372,'01-02.2021'!$A$6:$CZ$403,102,FALSE)+VLOOKUP($A372,'1.3.21-28.2.22'!$A$6:$DA$404,102,FALSE)-VLOOKUP($A372,'01-02.2022'!$A$6:$DA$376,102,FALSE)</f>
        <v>516.07831307913307</v>
      </c>
      <c r="CY372" s="566">
        <f>VLOOKUP($A372,'01-02.2021'!$A$6:$CZ$403,103,FALSE)+VLOOKUP($A372,'1.3.21-28.2.22'!$A$6:$DA$404,103,FALSE)-VLOOKUP($A372,'01-02.2022'!$A$6:$DA$376,103,FALSE)</f>
        <v>7782.1500283367541</v>
      </c>
      <c r="CZ372" s="52">
        <f t="shared" si="427"/>
        <v>7266.0717152576208</v>
      </c>
      <c r="DA372" s="150">
        <f>'[2]побудинковий звіт'!DA372</f>
        <v>-23931.27816513112</v>
      </c>
      <c r="DB372" s="2">
        <v>3</v>
      </c>
      <c r="DC372" s="414">
        <f>'[4]побудинковий звіт'!DC372</f>
        <v>2920.23</v>
      </c>
      <c r="DD372" s="414">
        <f>'[4]побудинковий звіт'!DD372</f>
        <v>0</v>
      </c>
      <c r="DE372" s="557">
        <f>'[4]побудинковий звіт'!DE372</f>
        <v>338.02343502528311</v>
      </c>
      <c r="DF372" s="557">
        <f>'[4]побудинковий звіт'!DF372</f>
        <v>0</v>
      </c>
      <c r="DG372" s="321">
        <f>VLOOKUP(A372,'кошти 01.03.2021'!$A$6:$D$401,4,)</f>
        <v>-15391.793295873751</v>
      </c>
      <c r="DH372" s="40">
        <f>'[3]побудинковий звіт'!DJ372</f>
        <v>29423.418366131766</v>
      </c>
      <c r="DI372" s="422">
        <f>'[3]побудинковий звіт'!CU372+'[3]побудинковий звіт'!CX372</f>
        <v>2582.206564974716</v>
      </c>
      <c r="DJ372" s="306">
        <f>'[3]побудинковий звіт'!DM372</f>
        <v>5.4696178033779219</v>
      </c>
      <c r="DK372" s="306">
        <f t="shared" si="432"/>
        <v>5.4696178033779219</v>
      </c>
      <c r="DL372" s="306">
        <f>'[3]побудинковий звіт'!DO372</f>
        <v>4.6881384371343771</v>
      </c>
      <c r="DM372" s="28">
        <f t="shared" si="433"/>
        <v>2582.2065649747169</v>
      </c>
      <c r="DN372" s="28">
        <f>H372*DL372</f>
        <v>0</v>
      </c>
      <c r="DO372" s="423">
        <f t="shared" si="381"/>
        <v>2582.2065649747169</v>
      </c>
      <c r="DP372" s="94">
        <f t="shared" si="382"/>
        <v>0</v>
      </c>
      <c r="DQ372" s="28">
        <f t="shared" si="383"/>
        <v>2582.2065649747169</v>
      </c>
      <c r="DR372" s="318"/>
      <c r="DT372" s="8"/>
      <c r="DU372" s="5"/>
      <c r="DX372" s="5">
        <f t="shared" si="384"/>
        <v>9279.7422097193448</v>
      </c>
      <c r="DY372" s="5">
        <f t="shared" si="385"/>
        <v>428.4</v>
      </c>
      <c r="DZ372" s="159">
        <f>'[3]побудинковий звіт'!EA372</f>
        <v>821.26203687638804</v>
      </c>
    </row>
    <row r="373" spans="1:130" x14ac:dyDescent="0.3">
      <c r="A373" s="325">
        <v>150000899</v>
      </c>
      <c r="B373" s="41" t="s">
        <v>819</v>
      </c>
      <c r="C373" s="42" t="s">
        <v>403</v>
      </c>
      <c r="D373" s="42"/>
      <c r="E373" s="293">
        <f t="shared" si="412"/>
        <v>6212</v>
      </c>
      <c r="F373" s="305">
        <f>'[3]побудинковий звіт'!F373</f>
        <v>6212</v>
      </c>
      <c r="G373" s="508">
        <f>'[3]побудинковий звіт'!G373</f>
        <v>656.15</v>
      </c>
      <c r="H373" s="560">
        <f>'[3]побудинковий звіт'!H373</f>
        <v>0</v>
      </c>
      <c r="I373" s="566">
        <f>VLOOKUP($A373,'01-02.2021'!$A$6:$CZ$403,9,FALSE)+VLOOKUP($A373,'1.3.21-28.2.22'!$A$6:$DA$404,9,FALSE)-VLOOKUP($A373,'01-02.2022'!$A$6:$DA$376,9,FALSE)</f>
        <v>24176.881348552201</v>
      </c>
      <c r="J373" s="566">
        <f>VLOOKUP($A373,'01-02.2021'!$A$6:$CZ$403,10,FALSE)+VLOOKUP($A373,'1.3.21-28.2.22'!$A$6:$DA$404,10,FALSE)-VLOOKUP($A373,'01-02.2022'!$A$6:$DA$376,10,FALSE)</f>
        <v>23814.337821507754</v>
      </c>
      <c r="K373" s="52">
        <f t="shared" si="417"/>
        <v>-362.54352704444682</v>
      </c>
      <c r="L373" s="566">
        <f>VLOOKUP($A373,'01-02.2021'!$A$6:$CZ$403,12,FALSE)+VLOOKUP($A373,'1.3.21-28.2.22'!$A$6:$DA$404,12,FALSE)-VLOOKUP($A373,'01-02.2022'!$A$6:$DA$376,12,FALSE)</f>
        <v>4014.0744693135393</v>
      </c>
      <c r="M373" s="566">
        <f>VLOOKUP($A373,'01-02.2021'!$A$6:$CZ$403,13,FALSE)+VLOOKUP($A373,'1.3.21-28.2.22'!$A$6:$DA$404,13,FALSE)-VLOOKUP($A373,'01-02.2022'!$A$6:$DA$376,13,FALSE)</f>
        <v>4007.8771858442601</v>
      </c>
      <c r="N373" s="52">
        <f t="shared" si="418"/>
        <v>-6.1972834692792276</v>
      </c>
      <c r="O373" s="566">
        <f>VLOOKUP($A373,'01-02.2021'!$A$6:$CZ$403,15,FALSE)+VLOOKUP($A373,'1.3.21-28.2.22'!$A$6:$DA$404,15,FALSE)-VLOOKUP($A373,'01-02.2022'!$A$6:$DA$376,15,FALSE)</f>
        <v>7332.6169706813516</v>
      </c>
      <c r="P373" s="566">
        <f>VLOOKUP($A373,'01-02.2021'!$A$6:$CZ$403,16,FALSE)+VLOOKUP($A373,'1.3.21-28.2.22'!$A$6:$DA$404,16,FALSE)-VLOOKUP($A373,'01-02.2022'!$A$6:$DA$376,16,FALSE)</f>
        <v>7332.0216666666684</v>
      </c>
      <c r="Q373" s="70">
        <f t="shared" si="386"/>
        <v>-0.59530401468327909</v>
      </c>
      <c r="R373" s="566">
        <f>VLOOKUP($A373,'01-02.2021'!$A$6:$CZ$403,18,FALSE)+VLOOKUP($A373,'1.3.21-28.2.22'!$A$6:$DA$404,18,FALSE)-VLOOKUP($A373,'01-02.2022'!$A$6:$DA$376,18,FALSE)</f>
        <v>1794.9988627225171</v>
      </c>
      <c r="S373" s="566">
        <f>VLOOKUP($A373,'01-02.2021'!$A$6:$CZ$403,19,FALSE)+VLOOKUP($A373,'1.3.21-28.2.22'!$A$6:$DA$404,19,FALSE)-VLOOKUP($A373,'01-02.2022'!$A$6:$DA$376,19,FALSE)</f>
        <v>1793.4466666666667</v>
      </c>
      <c r="T373" s="70">
        <f t="shared" si="387"/>
        <v>-1.5521960558503451</v>
      </c>
      <c r="U373" s="566">
        <f>VLOOKUP($A373,'01-02.2021'!$A$6:$CZ$403,21,FALSE)+VLOOKUP($A373,'1.3.21-28.2.22'!$A$6:$DA$404,21,FALSE)-VLOOKUP($A373,'01-02.2022'!$A$6:$DA$376,21,FALSE)</f>
        <v>1007.187849608177</v>
      </c>
      <c r="V373" s="566">
        <f>VLOOKUP($A373,'01-02.2021'!$A$6:$CZ$403,22,FALSE)+VLOOKUP($A373,'1.3.21-28.2.22'!$A$6:$DA$404,22,FALSE)-VLOOKUP($A373,'01-02.2022'!$A$6:$DA$376,22,FALSE)</f>
        <v>894.90793478035198</v>
      </c>
      <c r="W373" s="70">
        <f t="shared" si="388"/>
        <v>-112.279914827825</v>
      </c>
      <c r="X373" s="566">
        <f>VLOOKUP($A373,'01-02.2021'!$A$6:$CZ$403,24,FALSE)+VLOOKUP($A373,'1.3.21-28.2.22'!$A$6:$DA$404,24,FALSE)-VLOOKUP($A373,'01-02.2022'!$A$6:$DA$376,24,FALSE)</f>
        <v>8484.2184872296093</v>
      </c>
      <c r="Y373" s="566">
        <f>VLOOKUP($A373,'01-02.2021'!$A$6:$CZ$403,25,FALSE)+VLOOKUP($A373,'1.3.21-28.2.22'!$A$6:$DA$404,25,FALSE)-VLOOKUP($A373,'01-02.2022'!$A$6:$DA$376,25,FALSE)</f>
        <v>7625.4216100984222</v>
      </c>
      <c r="Z373" s="70">
        <f t="shared" si="389"/>
        <v>-858.7968771311871</v>
      </c>
      <c r="AA373" s="566">
        <f>VLOOKUP($A373,'01-02.2021'!$A$6:$CZ$403,27,FALSE)+VLOOKUP($A373,'1.3.21-28.2.22'!$A$6:$DA$404,27,FALSE)-VLOOKUP($A373,'01-02.2022'!$A$6:$DA$376,27,FALSE)</f>
        <v>1242.19</v>
      </c>
      <c r="AB373" s="566">
        <f>VLOOKUP($A373,'01-02.2021'!$A$6:$CZ$403,28,FALSE)+VLOOKUP($A373,'1.3.21-28.2.22'!$A$6:$DA$404,28,FALSE)-VLOOKUP($A373,'01-02.2022'!$A$6:$DA$376,28,FALSE)</f>
        <v>0</v>
      </c>
      <c r="AC373" s="70">
        <f t="shared" si="390"/>
        <v>-1242.19</v>
      </c>
      <c r="AD373" s="566">
        <f>VLOOKUP($A373,'01-02.2021'!$A$6:$CZ$403,30,FALSE)+VLOOKUP($A373,'1.3.21-28.2.22'!$A$6:$DA$404,30,FALSE)-VLOOKUP($A373,'01-02.2022'!$A$6:$DA$376,30,FALSE)</f>
        <v>26680.463615875862</v>
      </c>
      <c r="AE373" s="566">
        <f>VLOOKUP($A373,'01-02.2021'!$A$6:$CZ$403,31,FALSE)+VLOOKUP($A373,'1.3.21-28.2.22'!$A$6:$DA$404,31,FALSE)-VLOOKUP($A373,'01-02.2022'!$A$6:$DA$376,31,FALSE)</f>
        <v>28277.391343517007</v>
      </c>
      <c r="AF373" s="68">
        <f t="shared" si="391"/>
        <v>1596.9277276411449</v>
      </c>
      <c r="AG373" s="77">
        <f t="shared" si="413"/>
        <v>74732.63160398326</v>
      </c>
      <c r="AH373" s="53">
        <f t="shared" si="413"/>
        <v>73745.404229081134</v>
      </c>
      <c r="AI373" s="52">
        <f t="shared" si="419"/>
        <v>-987.22737490212603</v>
      </c>
      <c r="AJ373" s="566">
        <f>VLOOKUP($A373,'01-02.2021'!$A$6:$CZ$403,36,FALSE)+VLOOKUP($A373,'1.3.21-28.2.22'!$A$6:$DA$404,36,FALSE)-VLOOKUP($A373,'01-02.2022'!$A$6:$DA$376,36,FALSE)</f>
        <v>79698.258953209152</v>
      </c>
      <c r="AK373" s="566">
        <f>VLOOKUP($A373,'01-02.2021'!$A$6:$CZ$403,37,FALSE)+VLOOKUP($A373,'1.3.21-28.2.22'!$A$6:$DA$404,37,FALSE)-VLOOKUP($A373,'01-02.2022'!$A$6:$DA$376,37,FALSE)</f>
        <v>79175.687359130272</v>
      </c>
      <c r="AL373" s="70">
        <f t="shared" si="392"/>
        <v>-522.57159407887957</v>
      </c>
      <c r="AM373" s="566">
        <f>VLOOKUP($A373,'01-02.2021'!$A$6:$CZ$403,39,FALSE)+VLOOKUP($A373,'1.3.21-28.2.22'!$A$6:$DA$404,39,FALSE)-VLOOKUP($A373,'01-02.2022'!$A$6:$DA$376,39,FALSE)</f>
        <v>0</v>
      </c>
      <c r="AN373" s="566">
        <f>VLOOKUP($A373,'01-02.2021'!$A$6:$CZ$403,40,FALSE)+VLOOKUP($A373,'1.3.21-28.2.22'!$A$6:$DA$404,40,FALSE)-VLOOKUP($A373,'01-02.2022'!$A$6:$DA$376,40,FALSE)</f>
        <v>0</v>
      </c>
      <c r="AO373" s="70">
        <f t="shared" si="393"/>
        <v>0</v>
      </c>
      <c r="AP373" s="566">
        <f>VLOOKUP($A373,'01-02.2021'!$A$6:$CZ$403,42,FALSE)+VLOOKUP($A373,'1.3.21-28.2.22'!$A$6:$DA$404,42,FALSE)-VLOOKUP($A373,'01-02.2022'!$A$6:$DA$376,42,FALSE)</f>
        <v>4858.5593001192556</v>
      </c>
      <c r="AQ373" s="566">
        <f>VLOOKUP($A373,'01-02.2021'!$A$6:$CZ$403,43,FALSE)+VLOOKUP($A373,'1.3.21-28.2.22'!$A$6:$DA$404,43,FALSE)-VLOOKUP($A373,'01-02.2022'!$A$6:$DA$376,43,FALSE)</f>
        <v>4185.2349586016562</v>
      </c>
      <c r="AR373" s="70">
        <f t="shared" si="394"/>
        <v>-673.32434151759935</v>
      </c>
      <c r="AS373" s="566">
        <f>VLOOKUP($A373,'01-02.2021'!$A$6:$CZ$403,45,FALSE)+VLOOKUP($A373,'1.3.21-28.2.22'!$A$6:$DA$404,45,FALSE)-VLOOKUP($A373,'01-02.2022'!$A$6:$DA$376,45,FALSE)</f>
        <v>76027.85563801034</v>
      </c>
      <c r="AT373" s="566">
        <f>VLOOKUP($A373,'01-02.2021'!$A$6:$CZ$403,46,FALSE)+VLOOKUP($A373,'1.3.21-28.2.22'!$A$6:$DA$404,46,FALSE)-VLOOKUP($A373,'01-02.2022'!$A$6:$DA$376,46,FALSE)</f>
        <v>49089</v>
      </c>
      <c r="AU373" s="78">
        <f t="shared" si="395"/>
        <v>-26938.85563801034</v>
      </c>
      <c r="AV373" s="566">
        <f>VLOOKUP($A373,'01-02.2021'!$A$6:$CZ$403,48,FALSE)+VLOOKUP($A373,'1.3.21-28.2.22'!$A$6:$DA$404,48,FALSE)-VLOOKUP($A373,'01-02.2022'!$A$6:$DA$376,48,FALSE)</f>
        <v>5248.6237937545748</v>
      </c>
      <c r="AW373" s="566">
        <f>VLOOKUP($A373,'01-02.2021'!$A$6:$CZ$403,49,FALSE)+VLOOKUP($A373,'1.3.21-28.2.22'!$A$6:$DA$404,49,FALSE)-VLOOKUP($A373,'01-02.2022'!$A$6:$DA$376,49,FALSE)</f>
        <v>1773</v>
      </c>
      <c r="AX373" s="55">
        <f t="shared" si="396"/>
        <v>-3475.6237937545748</v>
      </c>
      <c r="AY373" s="566">
        <f>VLOOKUP($A373,'01-02.2021'!$A$6:$CZ$403,51,FALSE)+VLOOKUP($A373,'1.3.21-28.2.22'!$A$6:$DA$404,51,FALSE)-VLOOKUP($A373,'01-02.2022'!$A$6:$DA$376,51,FALSE)</f>
        <v>6079.4746241162775</v>
      </c>
      <c r="AZ373" s="566">
        <f>VLOOKUP($A373,'01-02.2021'!$A$6:$CZ$403,52,FALSE)+VLOOKUP($A373,'1.3.21-28.2.22'!$A$6:$DA$404,52,FALSE)-VLOOKUP($A373,'01-02.2022'!$A$6:$DA$376,52,FALSE)</f>
        <v>0</v>
      </c>
      <c r="BA373" s="38">
        <f t="shared" si="397"/>
        <v>-6079.4746241162775</v>
      </c>
      <c r="BB373" s="566">
        <f>VLOOKUP($A373,'01-02.2021'!$A$6:$CZ$403,54,FALSE)+VLOOKUP($A373,'1.3.21-28.2.22'!$A$6:$DA$404,54,FALSE)-VLOOKUP($A373,'01-02.2022'!$A$6:$DA$376,54,FALSE)</f>
        <v>3339.2890393289281</v>
      </c>
      <c r="BC373" s="566">
        <f>VLOOKUP($A373,'01-02.2021'!$A$6:$CZ$403,55,FALSE)+VLOOKUP($A373,'1.3.21-28.2.22'!$A$6:$DA$404,55,FALSE)-VLOOKUP($A373,'01-02.2022'!$A$6:$DA$376,55,FALSE)</f>
        <v>1308</v>
      </c>
      <c r="BD373" s="55">
        <f t="shared" si="398"/>
        <v>-2031.2890393289281</v>
      </c>
      <c r="BE373" s="566">
        <f>VLOOKUP($A373,'01-02.2021'!$A$6:$CZ$403,57,FALSE)+VLOOKUP($A373,'1.3.21-28.2.22'!$A$6:$DA$404,57,FALSE)-VLOOKUP($A373,'01-02.2022'!$A$6:$DA$376,57,FALSE)</f>
        <v>4024.0457941839663</v>
      </c>
      <c r="BF373" s="566">
        <f>VLOOKUP($A373,'01-02.2021'!$A$6:$CZ$403,58,FALSE)+VLOOKUP($A373,'1.3.21-28.2.22'!$A$6:$DA$404,58,FALSE)-VLOOKUP($A373,'01-02.2022'!$A$6:$DA$376,58,FALSE)</f>
        <v>0</v>
      </c>
      <c r="BG373" s="55">
        <f t="shared" si="399"/>
        <v>-4024.0457941839663</v>
      </c>
      <c r="BH373" s="566">
        <f>VLOOKUP($A373,'01-02.2021'!$A$6:$CZ$403,60,FALSE)+VLOOKUP($A373,'1.3.21-28.2.22'!$A$6:$DA$404,60,FALSE)-VLOOKUP($A373,'01-02.2022'!$A$6:$DA$376,60,FALSE)</f>
        <v>1913.5696814495238</v>
      </c>
      <c r="BI373" s="566">
        <f>VLOOKUP($A373,'01-02.2021'!$A$6:$CZ$403,61,FALSE)+VLOOKUP($A373,'1.3.21-28.2.22'!$A$6:$DA$404,61,FALSE)-VLOOKUP($A373,'01-02.2022'!$A$6:$DA$376,61,FALSE)</f>
        <v>17</v>
      </c>
      <c r="BJ373" s="55">
        <f t="shared" si="400"/>
        <v>-1896.5696814495238</v>
      </c>
      <c r="BK373" s="566">
        <f>VLOOKUP($A373,'01-02.2021'!$A$6:$CZ$403,63,FALSE)+VLOOKUP($A373,'1.3.21-28.2.22'!$A$6:$DA$404,63,FALSE)-VLOOKUP($A373,'01-02.2022'!$A$6:$DA$376,63,FALSE)</f>
        <v>2323.2640810232656</v>
      </c>
      <c r="BL373" s="566">
        <f>VLOOKUP($A373,'01-02.2021'!$A$6:$CZ$403,64,FALSE)+VLOOKUP($A373,'1.3.21-28.2.22'!$A$6:$DA$404,64,FALSE)-VLOOKUP($A373,'01-02.2022'!$A$6:$DA$376,64,FALSE)</f>
        <v>0</v>
      </c>
      <c r="BM373" s="55">
        <f t="shared" si="401"/>
        <v>-2323.2640810232656</v>
      </c>
      <c r="BN373" s="566">
        <f>VLOOKUP($A373,'01-02.2021'!$A$6:$CZ$403,66,FALSE)+VLOOKUP($A373,'1.3.21-28.2.22'!$A$6:$DA$404,66,FALSE)-VLOOKUP($A373,'01-02.2022'!$A$6:$DA$376,66,FALSE)</f>
        <v>310.54750000000001</v>
      </c>
      <c r="BO373" s="566">
        <f>VLOOKUP($A373,'01-02.2021'!$A$6:$CZ$403,67,FALSE)+VLOOKUP($A373,'1.3.21-28.2.22'!$A$6:$DA$404,67,FALSE)-VLOOKUP($A373,'01-02.2022'!$A$6:$DA$376,67,FALSE)</f>
        <v>0</v>
      </c>
      <c r="BP373" s="55">
        <f t="shared" si="402"/>
        <v>-310.54750000000001</v>
      </c>
      <c r="BQ373" s="77">
        <f t="shared" si="409"/>
        <v>23238.814513856538</v>
      </c>
      <c r="BR373" s="40">
        <f t="shared" ref="BR373:BR403" si="434">AW373+AZ373+BC373+BF373+BI373+BL373+BO373</f>
        <v>3098</v>
      </c>
      <c r="BS373" s="55">
        <f t="shared" si="428"/>
        <v>-20140.814513856538</v>
      </c>
      <c r="BT373" s="566">
        <f>VLOOKUP($A373,'01-02.2021'!$A$6:$CZ$403,72,FALSE)+VLOOKUP($A373,'1.3.21-28.2.22'!$A$6:$DA$404,72,FALSE)-VLOOKUP($A373,'01-02.2022'!$A$6:$DA$376,72,FALSE)</f>
        <v>79729.365834675496</v>
      </c>
      <c r="BU373" s="566">
        <f>VLOOKUP($A373,'01-02.2021'!$A$6:$CZ$403,73,FALSE)+VLOOKUP($A373,'1.3.21-28.2.22'!$A$6:$DA$404,73,FALSE)-VLOOKUP($A373,'01-02.2022'!$A$6:$DA$376,73,FALSE)</f>
        <v>69619.639970785793</v>
      </c>
      <c r="BV373" s="70">
        <f t="shared" si="403"/>
        <v>-10109.725863889704</v>
      </c>
      <c r="BW373" s="566">
        <f>VLOOKUP($A373,'01-02.2021'!$A$6:$CZ$403,75,FALSE)+VLOOKUP($A373,'1.3.21-28.2.22'!$A$6:$DA$404,75,FALSE)-VLOOKUP($A373,'01-02.2022'!$A$6:$DA$376,75,FALSE)</f>
        <v>42229.088032030268</v>
      </c>
      <c r="BX373" s="566">
        <f>VLOOKUP($A373,'01-02.2021'!$A$6:$CZ$403,76,FALSE)+VLOOKUP($A373,'1.3.21-28.2.22'!$A$6:$DA$404,76,FALSE)-VLOOKUP($A373,'01-02.2022'!$A$6:$DA$376,76,FALSE)</f>
        <v>43388.088099557775</v>
      </c>
      <c r="BY373" s="70">
        <f t="shared" si="404"/>
        <v>1159.0000675275078</v>
      </c>
      <c r="BZ373" s="566">
        <f>VLOOKUP($A373,'01-02.2021'!$A$6:$CZ$403,78,FALSE)+VLOOKUP($A373,'1.3.21-28.2.22'!$A$6:$DA$404,78,FALSE)-VLOOKUP($A373,'01-02.2022'!$A$6:$DA$376,78,FALSE)</f>
        <v>6752.8672589661219</v>
      </c>
      <c r="CA373" s="566">
        <f>VLOOKUP($A373,'01-02.2021'!$A$6:$CZ$403,79,FALSE)+VLOOKUP($A373,'1.3.21-28.2.22'!$A$6:$DA$404,79,FALSE)-VLOOKUP($A373,'01-02.2022'!$A$6:$DA$376,79,FALSE)</f>
        <v>16967.741373377074</v>
      </c>
      <c r="CB373" s="70">
        <f t="shared" si="405"/>
        <v>10214.874114410952</v>
      </c>
      <c r="CC373" s="566">
        <f>VLOOKUP($A373,'01-02.2021'!$A$6:$CZ$403,81,FALSE)+VLOOKUP($A373,'1.3.21-28.2.22'!$A$6:$DA$404,81,FALSE)-VLOOKUP($A373,'01-02.2022'!$A$6:$DA$376,81,FALSE)</f>
        <v>1775.8275703751387</v>
      </c>
      <c r="CD373" s="566">
        <f>VLOOKUP($A373,'01-02.2021'!$A$6:$CZ$403,82,FALSE)+VLOOKUP($A373,'1.3.21-28.2.22'!$A$6:$DA$404,82,FALSE)-VLOOKUP($A373,'01-02.2022'!$A$6:$DA$376,82,FALSE)</f>
        <v>1920.7730074470953</v>
      </c>
      <c r="CE373" s="70">
        <f t="shared" si="406"/>
        <v>144.94543707195658</v>
      </c>
      <c r="CF373" s="566">
        <f>VLOOKUP($A373,'01-02.2021'!$A$6:$CZ$403,84,FALSE)+VLOOKUP($A373,'1.3.21-28.2.22'!$A$6:$DA$404,84,FALSE)-VLOOKUP($A373,'01-02.2022'!$A$6:$DA$376,84,FALSE)</f>
        <v>213.64228408133815</v>
      </c>
      <c r="CG373" s="566">
        <f>VLOOKUP($A373,'01-02.2021'!$A$6:$CZ$403,85,FALSE)+VLOOKUP($A373,'1.3.21-28.2.22'!$A$6:$DA$404,85,FALSE)-VLOOKUP($A373,'01-02.2022'!$A$6:$DA$376,85,FALSE)</f>
        <v>0</v>
      </c>
      <c r="CH373" s="70">
        <f t="shared" si="407"/>
        <v>-213.64228408133815</v>
      </c>
      <c r="CI373" s="566">
        <f>VLOOKUP($A373,'01-02.2021'!$A$6:$CZ$403,87,FALSE)+VLOOKUP($A373,'1.3.21-28.2.22'!$A$6:$DA$404,87,FALSE)-VLOOKUP($A373,'01-02.2022'!$A$6:$DA$376,87,FALSE)</f>
        <v>35602.792141013124</v>
      </c>
      <c r="CJ373" s="566">
        <f>VLOOKUP($A373,'01-02.2021'!$A$6:$CZ$403,88,FALSE)+VLOOKUP($A373,'1.3.21-28.2.22'!$A$6:$DA$404,88,FALSE)-VLOOKUP($A373,'01-02.2022'!$A$6:$DA$376,88,FALSE)</f>
        <v>36611.976927818883</v>
      </c>
      <c r="CK373" s="70">
        <f t="shared" si="408"/>
        <v>1009.1847868057594</v>
      </c>
      <c r="CL373" s="566">
        <f>VLOOKUP($A373,'01-02.2021'!$A$6:$CZ$403,90,FALSE)+VLOOKUP($A373,'1.3.21-28.2.22'!$A$6:$DA$404,90,FALSE)-VLOOKUP($A373,'01-02.2022'!$A$6:$DA$376,90,FALSE)</f>
        <v>14637.020425922852</v>
      </c>
      <c r="CM373" s="566">
        <f>VLOOKUP($A373,'01-02.2021'!$A$6:$CZ$403,91,FALSE)+VLOOKUP($A373,'1.3.21-28.2.22'!$A$6:$DA$404,91,FALSE)-VLOOKUP($A373,'01-02.2022'!$A$6:$DA$376,91,FALSE)</f>
        <v>14481.27527301736</v>
      </c>
      <c r="CN373" s="52">
        <f t="shared" si="420"/>
        <v>-155.74515290549243</v>
      </c>
      <c r="CO373" s="39">
        <f t="shared" si="414"/>
        <v>50239.812566935972</v>
      </c>
      <c r="CP373" s="40">
        <f t="shared" si="421"/>
        <v>51093.252200836243</v>
      </c>
      <c r="CQ373" s="52">
        <f t="shared" si="422"/>
        <v>853.43963390027056</v>
      </c>
      <c r="CR373" s="72">
        <f t="shared" si="415"/>
        <v>439496.72355624282</v>
      </c>
      <c r="CS373" s="5">
        <f t="shared" si="415"/>
        <v>392282.82119881705</v>
      </c>
      <c r="CT373" s="52">
        <f t="shared" si="423"/>
        <v>-47213.902357425774</v>
      </c>
      <c r="CU373" s="77">
        <f t="shared" si="424"/>
        <v>527396.06826749141</v>
      </c>
      <c r="CV373" s="65">
        <f t="shared" si="425"/>
        <v>470739.38543858047</v>
      </c>
      <c r="CW373" s="35">
        <f t="shared" si="426"/>
        <v>-56656.68282891094</v>
      </c>
      <c r="CX373" s="566">
        <f>VLOOKUP($A373,'01-02.2021'!$A$6:$CZ$403,102,FALSE)+VLOOKUP($A373,'1.3.21-28.2.22'!$A$6:$DA$404,102,FALSE)-VLOOKUP($A373,'01-02.2022'!$A$6:$DA$376,102,FALSE)</f>
        <v>15021.239297386326</v>
      </c>
      <c r="CY373" s="566">
        <f>VLOOKUP($A373,'01-02.2021'!$A$6:$CZ$403,103,FALSE)+VLOOKUP($A373,'1.3.21-28.2.22'!$A$6:$DA$404,103,FALSE)-VLOOKUP($A373,'01-02.2022'!$A$6:$DA$376,103,FALSE)</f>
        <v>71677.922126297315</v>
      </c>
      <c r="CZ373" s="52">
        <f t="shared" si="427"/>
        <v>56656.682828910991</v>
      </c>
      <c r="DA373" s="150">
        <f>'[2]побудинковий звіт'!DA373</f>
        <v>-7668.7701873527476</v>
      </c>
      <c r="DB373" s="2">
        <v>3</v>
      </c>
      <c r="DC373" s="414">
        <f>'[4]побудинковий звіт'!DC373</f>
        <v>106282.81</v>
      </c>
      <c r="DD373" s="414">
        <f>'[4]побудинковий звіт'!DD373</f>
        <v>0</v>
      </c>
      <c r="DE373" s="557">
        <f>'[4]побудинковий звіт'!DE373</f>
        <v>57243.926679028526</v>
      </c>
      <c r="DF373" s="557">
        <f>'[4]побудинковий звіт'!DF373</f>
        <v>0</v>
      </c>
      <c r="DG373" s="321">
        <f>VLOOKUP(A373,'кошти 01.03.2021'!$A$6:$D$401,4,)</f>
        <v>63954.151173899438</v>
      </c>
      <c r="DH373" s="40">
        <f>'[3]побудинковий звіт'!DJ373</f>
        <v>560548.14233085734</v>
      </c>
      <c r="DI373" s="422">
        <f>'[3]побудинковий звіт'!CU373+'[3]побудинковий звіт'!CX373</f>
        <v>49038.883320971472</v>
      </c>
      <c r="DJ373" s="306">
        <f>'[3]побудинковий звіт'!DM373</f>
        <v>6.2296637976742595</v>
      </c>
      <c r="DK373" s="306">
        <f>'[3]побудинковий звіт'!DN373</f>
        <v>8.0908032830489489</v>
      </c>
      <c r="DL373" s="306">
        <f>'[3]побудинковий звіт'!DO373</f>
        <v>5.4072836861622067</v>
      </c>
      <c r="DM373" s="28">
        <f t="shared" ref="DM373:DM384" si="435">DJ373*G373+(F373-G373)*DK373</f>
        <v>49038.883320971472</v>
      </c>
      <c r="DN373" s="28">
        <f t="shared" ref="DN373:DN384" si="436">DL373*H373</f>
        <v>0</v>
      </c>
      <c r="DO373" s="423">
        <f t="shared" si="381"/>
        <v>49038.883320971472</v>
      </c>
      <c r="DP373" s="94">
        <f t="shared" si="382"/>
        <v>0</v>
      </c>
      <c r="DQ373" s="28">
        <f t="shared" si="383"/>
        <v>49038.883320971472</v>
      </c>
      <c r="DR373" s="318"/>
      <c r="DT373" s="8"/>
      <c r="DU373" s="5"/>
      <c r="DX373" s="5">
        <f t="shared" si="384"/>
        <v>119120.00418224026</v>
      </c>
      <c r="DY373" s="5">
        <f t="shared" si="385"/>
        <v>62624.399999999994</v>
      </c>
      <c r="DZ373" s="159">
        <f>'[3]побудинковий звіт'!EA373</f>
        <v>11098.119906206777</v>
      </c>
    </row>
    <row r="374" spans="1:130" x14ac:dyDescent="0.3">
      <c r="A374" s="325">
        <v>150000900</v>
      </c>
      <c r="B374" s="41" t="s">
        <v>820</v>
      </c>
      <c r="C374" s="42" t="s">
        <v>426</v>
      </c>
      <c r="D374" s="42"/>
      <c r="E374" s="293">
        <f t="shared" si="412"/>
        <v>4357.8100000000004</v>
      </c>
      <c r="F374" s="305">
        <f>'[3]побудинковий звіт'!F374</f>
        <v>3895.01</v>
      </c>
      <c r="G374" s="508">
        <f>'[3]побудинковий звіт'!G374</f>
        <v>0</v>
      </c>
      <c r="H374" s="560">
        <f>'[3]побудинковий звіт'!H374</f>
        <v>462.8</v>
      </c>
      <c r="I374" s="566">
        <f>VLOOKUP($A374,'01-02.2021'!$A$6:$CZ$403,9,FALSE)+VLOOKUP($A374,'1.3.21-28.2.22'!$A$6:$DA$404,9,FALSE)-VLOOKUP($A374,'01-02.2022'!$A$6:$DA$376,9,FALSE)</f>
        <v>10695.384631265757</v>
      </c>
      <c r="J374" s="566">
        <f>VLOOKUP($A374,'01-02.2021'!$A$6:$CZ$403,10,FALSE)+VLOOKUP($A374,'1.3.21-28.2.22'!$A$6:$DA$404,10,FALSE)-VLOOKUP($A374,'01-02.2022'!$A$6:$DA$376,10,FALSE)</f>
        <v>10498.775673758704</v>
      </c>
      <c r="K374" s="52">
        <f t="shared" si="417"/>
        <v>-196.60895750705276</v>
      </c>
      <c r="L374" s="566">
        <f>VLOOKUP($A374,'01-02.2021'!$A$6:$CZ$403,12,FALSE)+VLOOKUP($A374,'1.3.21-28.2.22'!$A$6:$DA$404,12,FALSE)-VLOOKUP($A374,'01-02.2022'!$A$6:$DA$376,12,FALSE)</f>
        <v>1425.5584681077858</v>
      </c>
      <c r="M374" s="566">
        <f>VLOOKUP($A374,'01-02.2021'!$A$6:$CZ$403,13,FALSE)+VLOOKUP($A374,'1.3.21-28.2.22'!$A$6:$DA$404,13,FALSE)-VLOOKUP($A374,'01-02.2022'!$A$6:$DA$376,13,FALSE)</f>
        <v>1422.9021238593323</v>
      </c>
      <c r="N374" s="52">
        <f t="shared" si="418"/>
        <v>-2.6563442484534789</v>
      </c>
      <c r="O374" s="566">
        <f>VLOOKUP($A374,'01-02.2021'!$A$6:$CZ$403,15,FALSE)+VLOOKUP($A374,'1.3.21-28.2.22'!$A$6:$DA$404,15,FALSE)-VLOOKUP($A374,'01-02.2022'!$A$6:$DA$376,15,FALSE)</f>
        <v>4716.6914774135412</v>
      </c>
      <c r="P374" s="566">
        <f>VLOOKUP($A374,'01-02.2021'!$A$6:$CZ$403,16,FALSE)+VLOOKUP($A374,'1.3.21-28.2.22'!$A$6:$DA$404,16,FALSE)-VLOOKUP($A374,'01-02.2022'!$A$6:$DA$376,16,FALSE)</f>
        <v>4717.1433333333334</v>
      </c>
      <c r="Q374" s="70">
        <f t="shared" si="386"/>
        <v>0.45185591979225137</v>
      </c>
      <c r="R374" s="566">
        <f>VLOOKUP($A374,'01-02.2021'!$A$6:$CZ$403,18,FALSE)+VLOOKUP($A374,'1.3.21-28.2.22'!$A$6:$DA$404,18,FALSE)-VLOOKUP($A374,'01-02.2022'!$A$6:$DA$376,18,FALSE)</f>
        <v>1199.5560536702083</v>
      </c>
      <c r="S374" s="566">
        <f>VLOOKUP($A374,'01-02.2021'!$A$6:$CZ$403,19,FALSE)+VLOOKUP($A374,'1.3.21-28.2.22'!$A$6:$DA$404,19,FALSE)-VLOOKUP($A374,'01-02.2022'!$A$6:$DA$376,19,FALSE)</f>
        <v>1198.5933333333337</v>
      </c>
      <c r="T374" s="70">
        <f t="shared" si="387"/>
        <v>-0.96272033687455405</v>
      </c>
      <c r="U374" s="566">
        <f>VLOOKUP($A374,'01-02.2021'!$A$6:$CZ$403,21,FALSE)+VLOOKUP($A374,'1.3.21-28.2.22'!$A$6:$DA$404,21,FALSE)-VLOOKUP($A374,'01-02.2022'!$A$6:$DA$376,21,FALSE)</f>
        <v>686.6873069280665</v>
      </c>
      <c r="V374" s="566">
        <f>VLOOKUP($A374,'01-02.2021'!$A$6:$CZ$403,22,FALSE)+VLOOKUP($A374,'1.3.21-28.2.22'!$A$6:$DA$404,22,FALSE)-VLOOKUP($A374,'01-02.2022'!$A$6:$DA$376,22,FALSE)</f>
        <v>583.61977397085127</v>
      </c>
      <c r="W374" s="70">
        <f t="shared" si="388"/>
        <v>-103.06753295721524</v>
      </c>
      <c r="X374" s="566">
        <f>VLOOKUP($A374,'01-02.2021'!$A$6:$CZ$403,24,FALSE)+VLOOKUP($A374,'1.3.21-28.2.22'!$A$6:$DA$404,24,FALSE)-VLOOKUP($A374,'01-02.2022'!$A$6:$DA$376,24,FALSE)</f>
        <v>4853.2322165771011</v>
      </c>
      <c r="Y374" s="566">
        <f>VLOOKUP($A374,'01-02.2021'!$A$6:$CZ$403,25,FALSE)+VLOOKUP($A374,'1.3.21-28.2.22'!$A$6:$DA$404,25,FALSE)-VLOOKUP($A374,'01-02.2022'!$A$6:$DA$376,25,FALSE)</f>
        <v>4010.0291475733547</v>
      </c>
      <c r="Z374" s="70">
        <f t="shared" si="389"/>
        <v>-843.20306900374635</v>
      </c>
      <c r="AA374" s="566">
        <f>VLOOKUP($A374,'01-02.2021'!$A$6:$CZ$403,27,FALSE)+VLOOKUP($A374,'1.3.21-28.2.22'!$A$6:$DA$404,27,FALSE)-VLOOKUP($A374,'01-02.2022'!$A$6:$DA$376,27,FALSE)</f>
        <v>0</v>
      </c>
      <c r="AB374" s="566">
        <f>VLOOKUP($A374,'01-02.2021'!$A$6:$CZ$403,28,FALSE)+VLOOKUP($A374,'1.3.21-28.2.22'!$A$6:$DA$404,28,FALSE)-VLOOKUP($A374,'01-02.2022'!$A$6:$DA$376,28,FALSE)</f>
        <v>0</v>
      </c>
      <c r="AC374" s="70">
        <f t="shared" si="390"/>
        <v>0</v>
      </c>
      <c r="AD374" s="566">
        <f>VLOOKUP($A374,'01-02.2021'!$A$6:$CZ$403,30,FALSE)+VLOOKUP($A374,'1.3.21-28.2.22'!$A$6:$DA$404,30,FALSE)-VLOOKUP($A374,'01-02.2022'!$A$6:$DA$376,30,FALSE)</f>
        <v>18646.31970797653</v>
      </c>
      <c r="AE374" s="566">
        <f>VLOOKUP($A374,'01-02.2021'!$A$6:$CZ$403,31,FALSE)+VLOOKUP($A374,'1.3.21-28.2.22'!$A$6:$DA$404,31,FALSE)-VLOOKUP($A374,'01-02.2022'!$A$6:$DA$376,31,FALSE)</f>
        <v>19836.926705971531</v>
      </c>
      <c r="AF374" s="68">
        <f t="shared" si="391"/>
        <v>1190.6069979950007</v>
      </c>
      <c r="AG374" s="77">
        <f t="shared" si="413"/>
        <v>42223.429861938988</v>
      </c>
      <c r="AH374" s="53">
        <f t="shared" si="413"/>
        <v>42267.990091800442</v>
      </c>
      <c r="AI374" s="52">
        <f t="shared" si="419"/>
        <v>44.56022986145399</v>
      </c>
      <c r="AJ374" s="566">
        <f>VLOOKUP($A374,'01-02.2021'!$A$6:$CZ$403,36,FALSE)+VLOOKUP($A374,'1.3.21-28.2.22'!$A$6:$DA$404,36,FALSE)-VLOOKUP($A374,'01-02.2022'!$A$6:$DA$376,36,FALSE)</f>
        <v>34668.307338345068</v>
      </c>
      <c r="AK374" s="566">
        <f>VLOOKUP($A374,'01-02.2021'!$A$6:$CZ$403,37,FALSE)+VLOOKUP($A374,'1.3.21-28.2.22'!$A$6:$DA$404,37,FALSE)-VLOOKUP($A374,'01-02.2022'!$A$6:$DA$376,37,FALSE)</f>
        <v>34441.020057599118</v>
      </c>
      <c r="AL374" s="70">
        <f t="shared" si="392"/>
        <v>-227.28728074594983</v>
      </c>
      <c r="AM374" s="566">
        <f>VLOOKUP($A374,'01-02.2021'!$A$6:$CZ$403,39,FALSE)+VLOOKUP($A374,'1.3.21-28.2.22'!$A$6:$DA$404,39,FALSE)-VLOOKUP($A374,'01-02.2022'!$A$6:$DA$376,39,FALSE)</f>
        <v>525.37471249999999</v>
      </c>
      <c r="AN374" s="566">
        <f>VLOOKUP($A374,'01-02.2021'!$A$6:$CZ$403,40,FALSE)+VLOOKUP($A374,'1.3.21-28.2.22'!$A$6:$DA$404,40,FALSE)-VLOOKUP($A374,'01-02.2022'!$A$6:$DA$376,40,FALSE)</f>
        <v>0</v>
      </c>
      <c r="AO374" s="70">
        <f t="shared" si="393"/>
        <v>-525.37471249999999</v>
      </c>
      <c r="AP374" s="566">
        <f>VLOOKUP($A374,'01-02.2021'!$A$6:$CZ$403,42,FALSE)+VLOOKUP($A374,'1.3.21-28.2.22'!$A$6:$DA$404,42,FALSE)-VLOOKUP($A374,'01-02.2022'!$A$6:$DA$376,42,FALSE)</f>
        <v>2776.3196000681455</v>
      </c>
      <c r="AQ374" s="566">
        <f>VLOOKUP($A374,'01-02.2021'!$A$6:$CZ$403,43,FALSE)+VLOOKUP($A374,'1.3.21-28.2.22'!$A$6:$DA$404,43,FALSE)-VLOOKUP($A374,'01-02.2022'!$A$6:$DA$376,43,FALSE)</f>
        <v>2412.9478755499613</v>
      </c>
      <c r="AR374" s="70">
        <f t="shared" si="394"/>
        <v>-363.37172451818424</v>
      </c>
      <c r="AS374" s="566">
        <f>VLOOKUP($A374,'01-02.2021'!$A$6:$CZ$403,45,FALSE)+VLOOKUP($A374,'1.3.21-28.2.22'!$A$6:$DA$404,45,FALSE)-VLOOKUP($A374,'01-02.2022'!$A$6:$DA$376,45,FALSE)</f>
        <v>49088.77874166557</v>
      </c>
      <c r="AT374" s="566">
        <f>VLOOKUP($A374,'01-02.2021'!$A$6:$CZ$403,46,FALSE)+VLOOKUP($A374,'1.3.21-28.2.22'!$A$6:$DA$404,46,FALSE)-VLOOKUP($A374,'01-02.2022'!$A$6:$DA$376,46,FALSE)</f>
        <v>15743</v>
      </c>
      <c r="AU374" s="78">
        <f t="shared" si="395"/>
        <v>-33345.77874166557</v>
      </c>
      <c r="AV374" s="566">
        <f>VLOOKUP($A374,'01-02.2021'!$A$6:$CZ$403,48,FALSE)+VLOOKUP($A374,'1.3.21-28.2.22'!$A$6:$DA$404,48,FALSE)-VLOOKUP($A374,'01-02.2022'!$A$6:$DA$376,48,FALSE)</f>
        <v>5324.9186622102288</v>
      </c>
      <c r="AW374" s="566">
        <f>VLOOKUP($A374,'01-02.2021'!$A$6:$CZ$403,49,FALSE)+VLOOKUP($A374,'1.3.21-28.2.22'!$A$6:$DA$404,49,FALSE)-VLOOKUP($A374,'01-02.2022'!$A$6:$DA$376,49,FALSE)</f>
        <v>0</v>
      </c>
      <c r="AX374" s="55">
        <f t="shared" si="396"/>
        <v>-5324.9186622102288</v>
      </c>
      <c r="AY374" s="566">
        <f>VLOOKUP($A374,'01-02.2021'!$A$6:$CZ$403,51,FALSE)+VLOOKUP($A374,'1.3.21-28.2.22'!$A$6:$DA$404,51,FALSE)-VLOOKUP($A374,'01-02.2022'!$A$6:$DA$376,51,FALSE)</f>
        <v>1969.1446835132626</v>
      </c>
      <c r="AZ374" s="566">
        <f>VLOOKUP($A374,'01-02.2021'!$A$6:$CZ$403,52,FALSE)+VLOOKUP($A374,'1.3.21-28.2.22'!$A$6:$DA$404,52,FALSE)-VLOOKUP($A374,'01-02.2022'!$A$6:$DA$376,52,FALSE)</f>
        <v>0</v>
      </c>
      <c r="BA374" s="38">
        <f t="shared" si="397"/>
        <v>-1969.1446835132626</v>
      </c>
      <c r="BB374" s="566">
        <f>VLOOKUP($A374,'01-02.2021'!$A$6:$CZ$403,54,FALSE)+VLOOKUP($A374,'1.3.21-28.2.22'!$A$6:$DA$404,54,FALSE)-VLOOKUP($A374,'01-02.2022'!$A$6:$DA$376,54,FALSE)</f>
        <v>2137.2855455103268</v>
      </c>
      <c r="BC374" s="566">
        <f>VLOOKUP($A374,'01-02.2021'!$A$6:$CZ$403,55,FALSE)+VLOOKUP($A374,'1.3.21-28.2.22'!$A$6:$DA$404,55,FALSE)-VLOOKUP($A374,'01-02.2022'!$A$6:$DA$376,55,FALSE)</f>
        <v>2321</v>
      </c>
      <c r="BD374" s="55">
        <f t="shared" si="398"/>
        <v>183.71445448967324</v>
      </c>
      <c r="BE374" s="566">
        <f>VLOOKUP($A374,'01-02.2021'!$A$6:$CZ$403,57,FALSE)+VLOOKUP($A374,'1.3.21-28.2.22'!$A$6:$DA$404,57,FALSE)-VLOOKUP($A374,'01-02.2022'!$A$6:$DA$376,57,FALSE)</f>
        <v>2760.7196953728685</v>
      </c>
      <c r="BF374" s="566">
        <f>VLOOKUP($A374,'01-02.2021'!$A$6:$CZ$403,58,FALSE)+VLOOKUP($A374,'1.3.21-28.2.22'!$A$6:$DA$404,58,FALSE)-VLOOKUP($A374,'01-02.2022'!$A$6:$DA$376,58,FALSE)</f>
        <v>0</v>
      </c>
      <c r="BG374" s="55">
        <f t="shared" si="399"/>
        <v>-2760.7196953728685</v>
      </c>
      <c r="BH374" s="566">
        <f>VLOOKUP($A374,'01-02.2021'!$A$6:$CZ$403,60,FALSE)+VLOOKUP($A374,'1.3.21-28.2.22'!$A$6:$DA$404,60,FALSE)-VLOOKUP($A374,'01-02.2022'!$A$6:$DA$376,60,FALSE)</f>
        <v>1304.6835650387052</v>
      </c>
      <c r="BI374" s="566">
        <f>VLOOKUP($A374,'01-02.2021'!$A$6:$CZ$403,61,FALSE)+VLOOKUP($A374,'1.3.21-28.2.22'!$A$6:$DA$404,61,FALSE)-VLOOKUP($A374,'01-02.2022'!$A$6:$DA$376,61,FALSE)</f>
        <v>16.5</v>
      </c>
      <c r="BJ374" s="55">
        <f t="shared" si="400"/>
        <v>-1288.1835650387052</v>
      </c>
      <c r="BK374" s="566">
        <f>VLOOKUP($A374,'01-02.2021'!$A$6:$CZ$403,63,FALSE)+VLOOKUP($A374,'1.3.21-28.2.22'!$A$6:$DA$404,63,FALSE)-VLOOKUP($A374,'01-02.2022'!$A$6:$DA$376,63,FALSE)</f>
        <v>1121.0895013642294</v>
      </c>
      <c r="BL374" s="566">
        <f>VLOOKUP($A374,'01-02.2021'!$A$6:$CZ$403,64,FALSE)+VLOOKUP($A374,'1.3.21-28.2.22'!$A$6:$DA$404,64,FALSE)-VLOOKUP($A374,'01-02.2022'!$A$6:$DA$376,64,FALSE)</f>
        <v>0</v>
      </c>
      <c r="BM374" s="55">
        <f t="shared" si="401"/>
        <v>-1121.0895013642294</v>
      </c>
      <c r="BN374" s="566">
        <f>VLOOKUP($A374,'01-02.2021'!$A$6:$CZ$403,66,FALSE)+VLOOKUP($A374,'1.3.21-28.2.22'!$A$6:$DA$404,66,FALSE)-VLOOKUP($A374,'01-02.2022'!$A$6:$DA$376,66,FALSE)</f>
        <v>0</v>
      </c>
      <c r="BO374" s="566">
        <f>VLOOKUP($A374,'01-02.2021'!$A$6:$CZ$403,67,FALSE)+VLOOKUP($A374,'1.3.21-28.2.22'!$A$6:$DA$404,67,FALSE)-VLOOKUP($A374,'01-02.2022'!$A$6:$DA$376,67,FALSE)</f>
        <v>0</v>
      </c>
      <c r="BP374" s="55">
        <f t="shared" si="402"/>
        <v>0</v>
      </c>
      <c r="BQ374" s="77">
        <f t="shared" si="409"/>
        <v>14617.841653009622</v>
      </c>
      <c r="BR374" s="40">
        <f t="shared" si="434"/>
        <v>2337.5</v>
      </c>
      <c r="BS374" s="55">
        <f t="shared" si="428"/>
        <v>-12280.341653009622</v>
      </c>
      <c r="BT374" s="566">
        <f>VLOOKUP($A374,'01-02.2021'!$A$6:$CZ$403,72,FALSE)+VLOOKUP($A374,'1.3.21-28.2.22'!$A$6:$DA$404,72,FALSE)-VLOOKUP($A374,'01-02.2022'!$A$6:$DA$376,72,FALSE)</f>
        <v>36917.77363329308</v>
      </c>
      <c r="BU374" s="566">
        <f>VLOOKUP($A374,'01-02.2021'!$A$6:$CZ$403,73,FALSE)+VLOOKUP($A374,'1.3.21-28.2.22'!$A$6:$DA$404,73,FALSE)-VLOOKUP($A374,'01-02.2022'!$A$6:$DA$376,73,FALSE)</f>
        <v>31410.553051852232</v>
      </c>
      <c r="BV374" s="70">
        <f t="shared" si="403"/>
        <v>-5507.220581440848</v>
      </c>
      <c r="BW374" s="566">
        <f>VLOOKUP($A374,'01-02.2021'!$A$6:$CZ$403,75,FALSE)+VLOOKUP($A374,'1.3.21-28.2.22'!$A$6:$DA$404,75,FALSE)-VLOOKUP($A374,'01-02.2022'!$A$6:$DA$376,75,FALSE)</f>
        <v>29521.026336577394</v>
      </c>
      <c r="BX374" s="566">
        <f>VLOOKUP($A374,'01-02.2021'!$A$6:$CZ$403,76,FALSE)+VLOOKUP($A374,'1.3.21-28.2.22'!$A$6:$DA$404,76,FALSE)-VLOOKUP($A374,'01-02.2022'!$A$6:$DA$376,76,FALSE)</f>
        <v>30613.495202664904</v>
      </c>
      <c r="BY374" s="70">
        <f t="shared" si="404"/>
        <v>1092.4688660875108</v>
      </c>
      <c r="BZ374" s="566">
        <f>VLOOKUP($A374,'01-02.2021'!$A$6:$CZ$403,78,FALSE)+VLOOKUP($A374,'1.3.21-28.2.22'!$A$6:$DA$404,78,FALSE)-VLOOKUP($A374,'01-02.2022'!$A$6:$DA$376,78,FALSE)</f>
        <v>2344.1542961231316</v>
      </c>
      <c r="CA374" s="566">
        <f>VLOOKUP($A374,'01-02.2021'!$A$6:$CZ$403,79,FALSE)+VLOOKUP($A374,'1.3.21-28.2.22'!$A$6:$DA$404,79,FALSE)-VLOOKUP($A374,'01-02.2022'!$A$6:$DA$376,79,FALSE)</f>
        <v>7709.7137686963642</v>
      </c>
      <c r="CB374" s="70">
        <f t="shared" si="405"/>
        <v>5365.5594725732326</v>
      </c>
      <c r="CC374" s="566">
        <f>VLOOKUP($A374,'01-02.2021'!$A$6:$CZ$403,81,FALSE)+VLOOKUP($A374,'1.3.21-28.2.22'!$A$6:$DA$404,81,FALSE)-VLOOKUP($A374,'01-02.2022'!$A$6:$DA$376,81,FALSE)</f>
        <v>1066.9811241958466</v>
      </c>
      <c r="CD374" s="566">
        <f>VLOOKUP($A374,'01-02.2021'!$A$6:$CZ$403,82,FALSE)+VLOOKUP($A374,'1.3.21-28.2.22'!$A$6:$DA$404,82,FALSE)-VLOOKUP($A374,'01-02.2022'!$A$6:$DA$376,82,FALSE)</f>
        <v>1147.2094102229612</v>
      </c>
      <c r="CE374" s="70">
        <f t="shared" si="406"/>
        <v>80.228286027114564</v>
      </c>
      <c r="CF374" s="566">
        <f>VLOOKUP($A374,'01-02.2021'!$A$6:$CZ$403,84,FALSE)+VLOOKUP($A374,'1.3.21-28.2.22'!$A$6:$DA$404,84,FALSE)-VLOOKUP($A374,'01-02.2022'!$A$6:$DA$376,84,FALSE)</f>
        <v>127.60093866864116</v>
      </c>
      <c r="CG374" s="566">
        <f>VLOOKUP($A374,'01-02.2021'!$A$6:$CZ$403,85,FALSE)+VLOOKUP($A374,'1.3.21-28.2.22'!$A$6:$DA$404,85,FALSE)-VLOOKUP($A374,'01-02.2022'!$A$6:$DA$376,85,FALSE)</f>
        <v>0</v>
      </c>
      <c r="CH374" s="70">
        <f t="shared" si="407"/>
        <v>-127.60093866864116</v>
      </c>
      <c r="CI374" s="566">
        <f>VLOOKUP($A374,'01-02.2021'!$A$6:$CZ$403,87,FALSE)+VLOOKUP($A374,'1.3.21-28.2.22'!$A$6:$DA$404,87,FALSE)-VLOOKUP($A374,'01-02.2022'!$A$6:$DA$376,87,FALSE)</f>
        <v>14938.40437772828</v>
      </c>
      <c r="CJ374" s="566">
        <f>VLOOKUP($A374,'01-02.2021'!$A$6:$CZ$403,88,FALSE)+VLOOKUP($A374,'1.3.21-28.2.22'!$A$6:$DA$404,88,FALSE)-VLOOKUP($A374,'01-02.2022'!$A$6:$DA$376,88,FALSE)</f>
        <v>12390.644666304073</v>
      </c>
      <c r="CK374" s="70">
        <f t="shared" si="408"/>
        <v>-2547.7597114242071</v>
      </c>
      <c r="CL374" s="566">
        <f>VLOOKUP($A374,'01-02.2021'!$A$6:$CZ$403,90,FALSE)+VLOOKUP($A374,'1.3.21-28.2.22'!$A$6:$DA$404,90,FALSE)-VLOOKUP($A374,'01-02.2022'!$A$6:$DA$376,90,FALSE)</f>
        <v>22407.597566592423</v>
      </c>
      <c r="CM374" s="566">
        <f>VLOOKUP($A374,'01-02.2021'!$A$6:$CZ$403,91,FALSE)+VLOOKUP($A374,'1.3.21-28.2.22'!$A$6:$DA$404,91,FALSE)-VLOOKUP($A374,'01-02.2022'!$A$6:$DA$376,91,FALSE)</f>
        <v>18589.81114856543</v>
      </c>
      <c r="CN374" s="52">
        <f t="shared" si="420"/>
        <v>-3817.7864180269935</v>
      </c>
      <c r="CO374" s="39">
        <f t="shared" si="414"/>
        <v>37346.001944320706</v>
      </c>
      <c r="CP374" s="40">
        <f t="shared" si="421"/>
        <v>30980.455814869503</v>
      </c>
      <c r="CQ374" s="52">
        <f t="shared" si="422"/>
        <v>-6365.5461294512024</v>
      </c>
      <c r="CR374" s="72">
        <f t="shared" si="415"/>
        <v>251223.5901807062</v>
      </c>
      <c r="CS374" s="5">
        <f t="shared" si="415"/>
        <v>199063.88527325547</v>
      </c>
      <c r="CT374" s="52">
        <f t="shared" si="423"/>
        <v>-52159.704907450738</v>
      </c>
      <c r="CU374" s="77">
        <f t="shared" si="424"/>
        <v>301468.30821684742</v>
      </c>
      <c r="CV374" s="65">
        <f t="shared" si="425"/>
        <v>238876.66232790655</v>
      </c>
      <c r="CW374" s="35">
        <f t="shared" si="426"/>
        <v>-62591.645888940868</v>
      </c>
      <c r="CX374" s="566">
        <f>VLOOKUP($A374,'01-02.2021'!$A$6:$CZ$403,102,FALSE)+VLOOKUP($A374,'1.3.21-28.2.22'!$A$6:$DA$404,102,FALSE)-VLOOKUP($A374,'01-02.2022'!$A$6:$DA$376,102,FALSE)</f>
        <v>10532.038895711701</v>
      </c>
      <c r="CY374" s="566">
        <f>VLOOKUP($A374,'01-02.2021'!$A$6:$CZ$403,103,FALSE)+VLOOKUP($A374,'1.3.21-28.2.22'!$A$6:$DA$404,103,FALSE)-VLOOKUP($A374,'01-02.2022'!$A$6:$DA$376,103,FALSE)</f>
        <v>73123.684784652534</v>
      </c>
      <c r="CZ374" s="52">
        <f t="shared" si="427"/>
        <v>62591.645888940831</v>
      </c>
      <c r="DA374" s="150">
        <f>'[2]побудинковий звіт'!DA374</f>
        <v>-2572.9854891959985</v>
      </c>
      <c r="DB374" s="2">
        <v>3</v>
      </c>
      <c r="DC374" s="414">
        <f>'[4]побудинковий звіт'!DC374</f>
        <v>56423.519999999997</v>
      </c>
      <c r="DD374" s="414">
        <f>'[4]побудинковий звіт'!DD374</f>
        <v>3489.9700000000003</v>
      </c>
      <c r="DE374" s="557">
        <f>'[4]побудинковий звіт'!DE374</f>
        <v>30201.88199984872</v>
      </c>
      <c r="DF374" s="557">
        <f>'[4]побудинковий звіт'!DF374</f>
        <v>1470.0847283786263</v>
      </c>
      <c r="DG374" s="321">
        <f>VLOOKUP(A374,'кошти 01.03.2021'!$A$6:$D$401,4,)</f>
        <v>71086.533956946834</v>
      </c>
      <c r="DH374" s="40">
        <f>'[3]побудинковий звіт'!DJ374</f>
        <v>322593.70106330304</v>
      </c>
      <c r="DI374" s="422">
        <f>'[3]побудинковий звіт'!CU374+'[3]побудинковий звіт'!CX374</f>
        <v>28241.52327177265</v>
      </c>
      <c r="DJ374" s="306">
        <f>'[3]побудинковий звіт'!DM374</f>
        <v>5.1806639281683786</v>
      </c>
      <c r="DK374" s="306">
        <f>'[3]побудинковий звіт'!DN374</f>
        <v>6.7321105722838386</v>
      </c>
      <c r="DL374" s="306">
        <f>'[3]побудинковий звіт'!DO374</f>
        <v>4.364488486649468</v>
      </c>
      <c r="DM374" s="28">
        <f t="shared" si="435"/>
        <v>26221.638000151277</v>
      </c>
      <c r="DN374" s="28">
        <f t="shared" si="436"/>
        <v>2019.8852716213739</v>
      </c>
      <c r="DO374" s="423">
        <f t="shared" si="381"/>
        <v>28241.52327177265</v>
      </c>
      <c r="DP374" s="94">
        <f t="shared" si="382"/>
        <v>0</v>
      </c>
      <c r="DQ374" s="28">
        <f t="shared" si="383"/>
        <v>28241.52327177265</v>
      </c>
      <c r="DR374" s="318"/>
      <c r="DT374" s="8"/>
      <c r="DU374" s="5"/>
      <c r="DX374" s="5">
        <f t="shared" si="384"/>
        <v>76447.94447361023</v>
      </c>
      <c r="DY374" s="5">
        <f t="shared" si="385"/>
        <v>21696.6</v>
      </c>
      <c r="DZ374" s="159">
        <f>'[3]побудинковий звіт'!EA374</f>
        <v>7567.3547484545852</v>
      </c>
    </row>
    <row r="375" spans="1:130" x14ac:dyDescent="0.3">
      <c r="A375" s="325">
        <v>150000901</v>
      </c>
      <c r="B375" s="41" t="s">
        <v>821</v>
      </c>
      <c r="C375" s="42" t="s">
        <v>425</v>
      </c>
      <c r="D375" s="45"/>
      <c r="E375" s="293">
        <f t="shared" si="412"/>
        <v>9955.5999999999985</v>
      </c>
      <c r="F375" s="305">
        <f>'[3]побудинковий звіт'!F375</f>
        <v>8350.2999999999993</v>
      </c>
      <c r="G375" s="508">
        <f>'[3]побудинковий звіт'!G375</f>
        <v>0</v>
      </c>
      <c r="H375" s="560">
        <f>'[3]побудинковий звіт'!H375</f>
        <v>1605.3</v>
      </c>
      <c r="I375" s="566">
        <f>VLOOKUP($A375,'01-02.2021'!$A$6:$CZ$403,9,FALSE)+VLOOKUP($A375,'1.3.21-28.2.22'!$A$6:$DA$404,9,FALSE)-VLOOKUP($A375,'01-02.2022'!$A$6:$DA$376,9,FALSE)</f>
        <v>32437.980567950588</v>
      </c>
      <c r="J375" s="566">
        <f>VLOOKUP($A375,'01-02.2021'!$A$6:$CZ$403,10,FALSE)+VLOOKUP($A375,'1.3.21-28.2.22'!$A$6:$DA$404,10,FALSE)-VLOOKUP($A375,'01-02.2022'!$A$6:$DA$376,10,FALSE)</f>
        <v>31917.233780830069</v>
      </c>
      <c r="K375" s="52">
        <f t="shared" si="417"/>
        <v>-520.746787120519</v>
      </c>
      <c r="L375" s="566">
        <f>VLOOKUP($A375,'01-02.2021'!$A$6:$CZ$403,12,FALSE)+VLOOKUP($A375,'1.3.21-28.2.22'!$A$6:$DA$404,12,FALSE)-VLOOKUP($A375,'01-02.2022'!$A$6:$DA$376,12,FALSE)</f>
        <v>5815.7510635364151</v>
      </c>
      <c r="M375" s="566">
        <f>VLOOKUP($A375,'01-02.2021'!$A$6:$CZ$403,13,FALSE)+VLOOKUP($A375,'1.3.21-28.2.22'!$A$6:$DA$404,13,FALSE)-VLOOKUP($A375,'01-02.2022'!$A$6:$DA$376,13,FALSE)</f>
        <v>5806.7742721926743</v>
      </c>
      <c r="N375" s="52">
        <f t="shared" si="418"/>
        <v>-8.9767913437408424</v>
      </c>
      <c r="O375" s="566">
        <f>VLOOKUP($A375,'01-02.2021'!$A$6:$CZ$403,15,FALSE)+VLOOKUP($A375,'1.3.21-28.2.22'!$A$6:$DA$404,15,FALSE)-VLOOKUP($A375,'01-02.2022'!$A$6:$DA$376,15,FALSE)</f>
        <v>10708.26426454083</v>
      </c>
      <c r="P375" s="566">
        <f>VLOOKUP($A375,'01-02.2021'!$A$6:$CZ$403,16,FALSE)+VLOOKUP($A375,'1.3.21-28.2.22'!$A$6:$DA$404,16,FALSE)-VLOOKUP($A375,'01-02.2022'!$A$6:$DA$376,16,FALSE)</f>
        <v>10706.188333333334</v>
      </c>
      <c r="Q375" s="70">
        <f t="shared" si="386"/>
        <v>-2.0759312074969785</v>
      </c>
      <c r="R375" s="566">
        <f>VLOOKUP($A375,'01-02.2021'!$A$6:$CZ$403,18,FALSE)+VLOOKUP($A375,'1.3.21-28.2.22'!$A$6:$DA$404,18,FALSE)-VLOOKUP($A375,'01-02.2022'!$A$6:$DA$376,18,FALSE)</f>
        <v>2641.5377275055325</v>
      </c>
      <c r="S375" s="566">
        <f>VLOOKUP($A375,'01-02.2021'!$A$6:$CZ$403,19,FALSE)+VLOOKUP($A375,'1.3.21-28.2.22'!$A$6:$DA$404,19,FALSE)-VLOOKUP($A375,'01-02.2022'!$A$6:$DA$376,19,FALSE)</f>
        <v>2637.4733333333334</v>
      </c>
      <c r="T375" s="70">
        <f t="shared" si="387"/>
        <v>-4.0643941721991723</v>
      </c>
      <c r="U375" s="566">
        <f>VLOOKUP($A375,'01-02.2021'!$A$6:$CZ$403,21,FALSE)+VLOOKUP($A375,'1.3.21-28.2.22'!$A$6:$DA$404,21,FALSE)-VLOOKUP($A375,'01-02.2022'!$A$6:$DA$376,21,FALSE)</f>
        <v>1434.4437694168491</v>
      </c>
      <c r="V375" s="566">
        <f>VLOOKUP($A375,'01-02.2021'!$A$6:$CZ$403,22,FALSE)+VLOOKUP($A375,'1.3.21-28.2.22'!$A$6:$DA$404,22,FALSE)-VLOOKUP($A375,'01-02.2022'!$A$6:$DA$376,22,FALSE)</f>
        <v>1258.0577732977001</v>
      </c>
      <c r="W375" s="70">
        <f t="shared" si="388"/>
        <v>-176.38599611914901</v>
      </c>
      <c r="X375" s="566">
        <f>VLOOKUP($A375,'01-02.2021'!$A$6:$CZ$403,24,FALSE)+VLOOKUP($A375,'1.3.21-28.2.22'!$A$6:$DA$404,24,FALSE)-VLOOKUP($A375,'01-02.2022'!$A$6:$DA$376,24,FALSE)</f>
        <v>12592.25260151821</v>
      </c>
      <c r="Y375" s="566">
        <f>VLOOKUP($A375,'01-02.2021'!$A$6:$CZ$403,25,FALSE)+VLOOKUP($A375,'1.3.21-28.2.22'!$A$6:$DA$404,25,FALSE)-VLOOKUP($A375,'01-02.2022'!$A$6:$DA$376,25,FALSE)</f>
        <v>11711.257919936341</v>
      </c>
      <c r="Z375" s="70">
        <f t="shared" si="389"/>
        <v>-880.99468158186937</v>
      </c>
      <c r="AA375" s="566">
        <f>VLOOKUP($A375,'01-02.2021'!$A$6:$CZ$403,27,FALSE)+VLOOKUP($A375,'1.3.21-28.2.22'!$A$6:$DA$404,27,FALSE)-VLOOKUP($A375,'01-02.2022'!$A$6:$DA$376,27,FALSE)</f>
        <v>1984.3199999999997</v>
      </c>
      <c r="AB375" s="566">
        <f>VLOOKUP($A375,'01-02.2021'!$A$6:$CZ$403,28,FALSE)+VLOOKUP($A375,'1.3.21-28.2.22'!$A$6:$DA$404,28,FALSE)-VLOOKUP($A375,'01-02.2022'!$A$6:$DA$376,28,FALSE)</f>
        <v>0</v>
      </c>
      <c r="AC375" s="70">
        <f t="shared" si="390"/>
        <v>-1984.3199999999997</v>
      </c>
      <c r="AD375" s="566">
        <f>VLOOKUP($A375,'01-02.2021'!$A$6:$CZ$403,30,FALSE)+VLOOKUP($A375,'1.3.21-28.2.22'!$A$6:$DA$404,30,FALSE)-VLOOKUP($A375,'01-02.2022'!$A$6:$DA$376,30,FALSE)</f>
        <v>42544.938322962393</v>
      </c>
      <c r="AE375" s="566">
        <f>VLOOKUP($A375,'01-02.2021'!$A$6:$CZ$403,31,FALSE)+VLOOKUP($A375,'1.3.21-28.2.22'!$A$6:$DA$404,31,FALSE)-VLOOKUP($A375,'01-02.2022'!$A$6:$DA$376,31,FALSE)</f>
        <v>45324.500394041825</v>
      </c>
      <c r="AF375" s="68">
        <f t="shared" si="391"/>
        <v>2779.5620710794319</v>
      </c>
      <c r="AG375" s="77">
        <f t="shared" si="413"/>
        <v>110159.48831743082</v>
      </c>
      <c r="AH375" s="53">
        <f t="shared" si="413"/>
        <v>109361.48580696527</v>
      </c>
      <c r="AI375" s="52">
        <f t="shared" si="419"/>
        <v>-798.00251046555059</v>
      </c>
      <c r="AJ375" s="566">
        <f>VLOOKUP($A375,'01-02.2021'!$A$6:$CZ$403,36,FALSE)+VLOOKUP($A375,'1.3.21-28.2.22'!$A$6:$DA$404,36,FALSE)-VLOOKUP($A375,'01-02.2022'!$A$6:$DA$376,36,FALSE)</f>
        <v>76007.46706721271</v>
      </c>
      <c r="AK375" s="566">
        <f>VLOOKUP($A375,'01-02.2021'!$A$6:$CZ$403,37,FALSE)+VLOOKUP($A375,'1.3.21-28.2.22'!$A$6:$DA$404,37,FALSE)-VLOOKUP($A375,'01-02.2022'!$A$6:$DA$376,37,FALSE)</f>
        <v>75509.150071516706</v>
      </c>
      <c r="AL375" s="70">
        <f t="shared" si="392"/>
        <v>-498.3169956960046</v>
      </c>
      <c r="AM375" s="566">
        <f>VLOOKUP($A375,'01-02.2021'!$A$6:$CZ$403,39,FALSE)+VLOOKUP($A375,'1.3.21-28.2.22'!$A$6:$DA$404,39,FALSE)-VLOOKUP($A375,'01-02.2022'!$A$6:$DA$376,39,FALSE)</f>
        <v>0</v>
      </c>
      <c r="AN375" s="566">
        <f>VLOOKUP($A375,'01-02.2021'!$A$6:$CZ$403,40,FALSE)+VLOOKUP($A375,'1.3.21-28.2.22'!$A$6:$DA$404,40,FALSE)-VLOOKUP($A375,'01-02.2022'!$A$6:$DA$376,40,FALSE)</f>
        <v>0</v>
      </c>
      <c r="AO375" s="70">
        <f t="shared" si="393"/>
        <v>0</v>
      </c>
      <c r="AP375" s="566">
        <f>VLOOKUP($A375,'01-02.2021'!$A$6:$CZ$403,42,FALSE)+VLOOKUP($A375,'1.3.21-28.2.22'!$A$6:$DA$404,42,FALSE)-VLOOKUP($A375,'01-02.2022'!$A$6:$DA$376,42,FALSE)</f>
        <v>5726.1591751405504</v>
      </c>
      <c r="AQ375" s="566">
        <f>VLOOKUP($A375,'01-02.2021'!$A$6:$CZ$403,43,FALSE)+VLOOKUP($A375,'1.3.21-28.2.22'!$A$6:$DA$404,43,FALSE)-VLOOKUP($A375,'01-02.2022'!$A$6:$DA$376,43,FALSE)</f>
        <v>4932.5983440662376</v>
      </c>
      <c r="AR375" s="70">
        <f t="shared" si="394"/>
        <v>-793.56083107431277</v>
      </c>
      <c r="AS375" s="566">
        <f>VLOOKUP($A375,'01-02.2021'!$A$6:$CZ$403,45,FALSE)+VLOOKUP($A375,'1.3.21-28.2.22'!$A$6:$DA$404,45,FALSE)-VLOOKUP($A375,'01-02.2022'!$A$6:$DA$376,45,FALSE)</f>
        <v>114797.04701970285</v>
      </c>
      <c r="AT375" s="566">
        <f>VLOOKUP($A375,'01-02.2021'!$A$6:$CZ$403,46,FALSE)+VLOOKUP($A375,'1.3.21-28.2.22'!$A$6:$DA$404,46,FALSE)-VLOOKUP($A375,'01-02.2022'!$A$6:$DA$376,46,FALSE)</f>
        <v>46364.509999999995</v>
      </c>
      <c r="AU375" s="78">
        <f t="shared" si="395"/>
        <v>-68432.537019702853</v>
      </c>
      <c r="AV375" s="566">
        <f>VLOOKUP($A375,'01-02.2021'!$A$6:$CZ$403,48,FALSE)+VLOOKUP($A375,'1.3.21-28.2.22'!$A$6:$DA$404,48,FALSE)-VLOOKUP($A375,'01-02.2022'!$A$6:$DA$376,48,FALSE)</f>
        <v>7370.3359527133407</v>
      </c>
      <c r="AW375" s="566">
        <f>VLOOKUP($A375,'01-02.2021'!$A$6:$CZ$403,49,FALSE)+VLOOKUP($A375,'1.3.21-28.2.22'!$A$6:$DA$404,49,FALSE)-VLOOKUP($A375,'01-02.2022'!$A$6:$DA$376,49,FALSE)</f>
        <v>5349</v>
      </c>
      <c r="AX375" s="55">
        <f t="shared" si="396"/>
        <v>-2021.3359527133407</v>
      </c>
      <c r="AY375" s="566">
        <f>VLOOKUP($A375,'01-02.2021'!$A$6:$CZ$403,51,FALSE)+VLOOKUP($A375,'1.3.21-28.2.22'!$A$6:$DA$404,51,FALSE)-VLOOKUP($A375,'01-02.2022'!$A$6:$DA$376,51,FALSE)</f>
        <v>8798.1082836991027</v>
      </c>
      <c r="AZ375" s="566">
        <f>VLOOKUP($A375,'01-02.2021'!$A$6:$CZ$403,52,FALSE)+VLOOKUP($A375,'1.3.21-28.2.22'!$A$6:$DA$404,52,FALSE)-VLOOKUP($A375,'01-02.2022'!$A$6:$DA$376,52,FALSE)</f>
        <v>3769.01</v>
      </c>
      <c r="BA375" s="38">
        <f t="shared" si="397"/>
        <v>-5029.0982836991025</v>
      </c>
      <c r="BB375" s="566">
        <f>VLOOKUP($A375,'01-02.2021'!$A$6:$CZ$403,54,FALSE)+VLOOKUP($A375,'1.3.21-28.2.22'!$A$6:$DA$404,54,FALSE)-VLOOKUP($A375,'01-02.2022'!$A$6:$DA$376,54,FALSE)</f>
        <v>4636.9662495249941</v>
      </c>
      <c r="BC375" s="566">
        <f>VLOOKUP($A375,'01-02.2021'!$A$6:$CZ$403,55,FALSE)+VLOOKUP($A375,'1.3.21-28.2.22'!$A$6:$DA$404,55,FALSE)-VLOOKUP($A375,'01-02.2022'!$A$6:$DA$376,55,FALSE)</f>
        <v>9470</v>
      </c>
      <c r="BD375" s="55">
        <f t="shared" si="398"/>
        <v>4833.0337504750059</v>
      </c>
      <c r="BE375" s="566">
        <f>VLOOKUP($A375,'01-02.2021'!$A$6:$CZ$403,57,FALSE)+VLOOKUP($A375,'1.3.21-28.2.22'!$A$6:$DA$404,57,FALSE)-VLOOKUP($A375,'01-02.2022'!$A$6:$DA$376,57,FALSE)</f>
        <v>5919.9083917529633</v>
      </c>
      <c r="BF375" s="566">
        <f>VLOOKUP($A375,'01-02.2021'!$A$6:$CZ$403,58,FALSE)+VLOOKUP($A375,'1.3.21-28.2.22'!$A$6:$DA$404,58,FALSE)-VLOOKUP($A375,'01-02.2022'!$A$6:$DA$376,58,FALSE)</f>
        <v>0</v>
      </c>
      <c r="BG375" s="55">
        <f t="shared" si="399"/>
        <v>-5919.9083917529633</v>
      </c>
      <c r="BH375" s="566">
        <f>VLOOKUP($A375,'01-02.2021'!$A$6:$CZ$403,60,FALSE)+VLOOKUP($A375,'1.3.21-28.2.22'!$A$6:$DA$404,60,FALSE)-VLOOKUP($A375,'01-02.2022'!$A$6:$DA$376,60,FALSE)</f>
        <v>2725.3475034697099</v>
      </c>
      <c r="BI375" s="566">
        <f>VLOOKUP($A375,'01-02.2021'!$A$6:$CZ$403,61,FALSE)+VLOOKUP($A375,'1.3.21-28.2.22'!$A$6:$DA$404,61,FALSE)-VLOOKUP($A375,'01-02.2022'!$A$6:$DA$376,61,FALSE)</f>
        <v>3420.5</v>
      </c>
      <c r="BJ375" s="55">
        <f t="shared" si="400"/>
        <v>695.15249653029014</v>
      </c>
      <c r="BK375" s="566">
        <f>VLOOKUP($A375,'01-02.2021'!$A$6:$CZ$403,63,FALSE)+VLOOKUP($A375,'1.3.21-28.2.22'!$A$6:$DA$404,63,FALSE)-VLOOKUP($A375,'01-02.2022'!$A$6:$DA$376,63,FALSE)</f>
        <v>3553.5353436636301</v>
      </c>
      <c r="BL375" s="566">
        <f>VLOOKUP($A375,'01-02.2021'!$A$6:$CZ$403,64,FALSE)+VLOOKUP($A375,'1.3.21-28.2.22'!$A$6:$DA$404,64,FALSE)-VLOOKUP($A375,'01-02.2022'!$A$6:$DA$376,64,FALSE)</f>
        <v>0</v>
      </c>
      <c r="BM375" s="55">
        <f t="shared" si="401"/>
        <v>-3553.5353436636301</v>
      </c>
      <c r="BN375" s="566">
        <f>VLOOKUP($A375,'01-02.2021'!$A$6:$CZ$403,66,FALSE)+VLOOKUP($A375,'1.3.21-28.2.22'!$A$6:$DA$404,66,FALSE)-VLOOKUP($A375,'01-02.2022'!$A$6:$DA$376,66,FALSE)</f>
        <v>496.07999999999993</v>
      </c>
      <c r="BO375" s="566">
        <f>VLOOKUP($A375,'01-02.2021'!$A$6:$CZ$403,67,FALSE)+VLOOKUP($A375,'1.3.21-28.2.22'!$A$6:$DA$404,67,FALSE)-VLOOKUP($A375,'01-02.2022'!$A$6:$DA$376,67,FALSE)</f>
        <v>0</v>
      </c>
      <c r="BP375" s="55">
        <f t="shared" si="402"/>
        <v>-496.07999999999993</v>
      </c>
      <c r="BQ375" s="77">
        <f t="shared" si="409"/>
        <v>33500.281724823748</v>
      </c>
      <c r="BR375" s="40">
        <f t="shared" si="434"/>
        <v>22008.510000000002</v>
      </c>
      <c r="BS375" s="55">
        <f t="shared" si="428"/>
        <v>-11491.771724823746</v>
      </c>
      <c r="BT375" s="566">
        <f>VLOOKUP($A375,'01-02.2021'!$A$6:$CZ$403,72,FALSE)+VLOOKUP($A375,'1.3.21-28.2.22'!$A$6:$DA$404,72,FALSE)-VLOOKUP($A375,'01-02.2022'!$A$6:$DA$376,72,FALSE)</f>
        <v>99327.053017929822</v>
      </c>
      <c r="BU375" s="566">
        <f>VLOOKUP($A375,'01-02.2021'!$A$6:$CZ$403,73,FALSE)+VLOOKUP($A375,'1.3.21-28.2.22'!$A$6:$DA$404,73,FALSE)-VLOOKUP($A375,'01-02.2022'!$A$6:$DA$376,73,FALSE)</f>
        <v>86538.344110913516</v>
      </c>
      <c r="BV375" s="70">
        <f t="shared" si="403"/>
        <v>-12788.708907016306</v>
      </c>
      <c r="BW375" s="566">
        <f>VLOOKUP($A375,'01-02.2021'!$A$6:$CZ$403,75,FALSE)+VLOOKUP($A375,'1.3.21-28.2.22'!$A$6:$DA$404,75,FALSE)-VLOOKUP($A375,'01-02.2022'!$A$6:$DA$376,75,FALSE)</f>
        <v>70117.560962116142</v>
      </c>
      <c r="BX375" s="566">
        <f>VLOOKUP($A375,'01-02.2021'!$A$6:$CZ$403,76,FALSE)+VLOOKUP($A375,'1.3.21-28.2.22'!$A$6:$DA$404,76,FALSE)-VLOOKUP($A375,'01-02.2022'!$A$6:$DA$376,76,FALSE)</f>
        <v>72293.313567606398</v>
      </c>
      <c r="BY375" s="70">
        <f t="shared" si="404"/>
        <v>2175.7526054902555</v>
      </c>
      <c r="BZ375" s="566">
        <f>VLOOKUP($A375,'01-02.2021'!$A$6:$CZ$403,78,FALSE)+VLOOKUP($A375,'1.3.21-28.2.22'!$A$6:$DA$404,78,FALSE)-VLOOKUP($A375,'01-02.2022'!$A$6:$DA$376,78,FALSE)</f>
        <v>6737.8491782346064</v>
      </c>
      <c r="CA375" s="566">
        <f>VLOOKUP($A375,'01-02.2021'!$A$6:$CZ$403,79,FALSE)+VLOOKUP($A375,'1.3.21-28.2.22'!$A$6:$DA$404,79,FALSE)-VLOOKUP($A375,'01-02.2022'!$A$6:$DA$376,79,FALSE)</f>
        <v>20151.294511416825</v>
      </c>
      <c r="CB375" s="70">
        <f t="shared" si="405"/>
        <v>13413.445333182219</v>
      </c>
      <c r="CC375" s="566">
        <f>VLOOKUP($A375,'01-02.2021'!$A$6:$CZ$403,81,FALSE)+VLOOKUP($A375,'1.3.21-28.2.22'!$A$6:$DA$404,81,FALSE)-VLOOKUP($A375,'01-02.2022'!$A$6:$DA$376,81,FALSE)</f>
        <v>2235.1203790744512</v>
      </c>
      <c r="CD375" s="566">
        <f>VLOOKUP($A375,'01-02.2021'!$A$6:$CZ$403,82,FALSE)+VLOOKUP($A375,'1.3.21-28.2.22'!$A$6:$DA$404,82,FALSE)-VLOOKUP($A375,'01-02.2022'!$A$6:$DA$376,82,FALSE)</f>
        <v>2390.1655600268709</v>
      </c>
      <c r="CE375" s="70">
        <f t="shared" si="406"/>
        <v>155.04518095241974</v>
      </c>
      <c r="CF375" s="566">
        <f>VLOOKUP($A375,'01-02.2021'!$A$6:$CZ$403,84,FALSE)+VLOOKUP($A375,'1.3.21-28.2.22'!$A$6:$DA$404,84,FALSE)-VLOOKUP($A375,'01-02.2022'!$A$6:$DA$376,84,FALSE)</f>
        <v>265.85152310911803</v>
      </c>
      <c r="CG375" s="566">
        <f>VLOOKUP($A375,'01-02.2021'!$A$6:$CZ$403,85,FALSE)+VLOOKUP($A375,'1.3.21-28.2.22'!$A$6:$DA$404,85,FALSE)-VLOOKUP($A375,'01-02.2022'!$A$6:$DA$376,85,FALSE)</f>
        <v>0</v>
      </c>
      <c r="CH375" s="70">
        <f t="shared" si="407"/>
        <v>-265.85152310911803</v>
      </c>
      <c r="CI375" s="566">
        <f>VLOOKUP($A375,'01-02.2021'!$A$6:$CZ$403,87,FALSE)+VLOOKUP($A375,'1.3.21-28.2.22'!$A$6:$DA$404,87,FALSE)-VLOOKUP($A375,'01-02.2022'!$A$6:$DA$376,87,FALSE)</f>
        <v>20853.207374902853</v>
      </c>
      <c r="CJ375" s="566">
        <f>VLOOKUP($A375,'01-02.2021'!$A$6:$CZ$403,88,FALSE)+VLOOKUP($A375,'1.3.21-28.2.22'!$A$6:$DA$404,88,FALSE)-VLOOKUP($A375,'01-02.2022'!$A$6:$DA$376,88,FALSE)</f>
        <v>15165.814811725657</v>
      </c>
      <c r="CK375" s="70">
        <f t="shared" si="408"/>
        <v>-5687.3925631771963</v>
      </c>
      <c r="CL375" s="566">
        <f>VLOOKUP($A375,'01-02.2021'!$A$6:$CZ$403,90,FALSE)+VLOOKUP($A375,'1.3.21-28.2.22'!$A$6:$DA$404,90,FALSE)-VLOOKUP($A375,'01-02.2022'!$A$6:$DA$376,90,FALSE)</f>
        <v>16710.422845093115</v>
      </c>
      <c r="CM375" s="566">
        <f>VLOOKUP($A375,'01-02.2021'!$A$6:$CZ$403,91,FALSE)+VLOOKUP($A375,'1.3.21-28.2.22'!$A$6:$DA$404,91,FALSE)-VLOOKUP($A375,'01-02.2022'!$A$6:$DA$376,91,FALSE)</f>
        <v>17833.597341797555</v>
      </c>
      <c r="CN375" s="52">
        <f t="shared" si="420"/>
        <v>1123.1744967044397</v>
      </c>
      <c r="CO375" s="39">
        <f t="shared" si="414"/>
        <v>37563.630219995968</v>
      </c>
      <c r="CP375" s="40">
        <f t="shared" si="421"/>
        <v>32999.412153523212</v>
      </c>
      <c r="CQ375" s="52">
        <f t="shared" si="422"/>
        <v>-4564.2180664727566</v>
      </c>
      <c r="CR375" s="72">
        <f t="shared" si="415"/>
        <v>556437.50858477084</v>
      </c>
      <c r="CS375" s="5">
        <f t="shared" si="415"/>
        <v>472548.78412603505</v>
      </c>
      <c r="CT375" s="52">
        <f t="shared" si="423"/>
        <v>-83888.724458735785</v>
      </c>
      <c r="CU375" s="77">
        <f t="shared" si="424"/>
        <v>667725.01030172501</v>
      </c>
      <c r="CV375" s="65">
        <f t="shared" si="425"/>
        <v>567058.54095124209</v>
      </c>
      <c r="CW375" s="35">
        <f t="shared" si="426"/>
        <v>-100666.46935048292</v>
      </c>
      <c r="CX375" s="566">
        <f>VLOOKUP($A375,'01-02.2021'!$A$6:$CZ$403,102,FALSE)+VLOOKUP($A375,'1.3.21-28.2.22'!$A$6:$DA$404,102,FALSE)-VLOOKUP($A375,'01-02.2022'!$A$6:$DA$376,102,FALSE)</f>
        <v>14555.143980987819</v>
      </c>
      <c r="CY375" s="566">
        <f>VLOOKUP($A375,'01-02.2021'!$A$6:$CZ$403,103,FALSE)+VLOOKUP($A375,'1.3.21-28.2.22'!$A$6:$DA$404,103,FALSE)-VLOOKUP($A375,'01-02.2022'!$A$6:$DA$376,103,FALSE)</f>
        <v>115221.61333147074</v>
      </c>
      <c r="CZ375" s="52">
        <f t="shared" si="427"/>
        <v>100666.46935048292</v>
      </c>
      <c r="DA375" s="150">
        <f>'[2]побудинковий звіт'!DA375</f>
        <v>-55450.05800001559</v>
      </c>
      <c r="DB375" s="2">
        <v>3</v>
      </c>
      <c r="DC375" s="414">
        <f>'[4]побудинковий звіт'!DC375</f>
        <v>127391.65</v>
      </c>
      <c r="DD375" s="414">
        <f>'[4]побудинковий звіт'!DD375</f>
        <v>75486.58</v>
      </c>
      <c r="DE375" s="557">
        <f>'[4]побудинковий звіт'!DE375</f>
        <v>72440.263835043617</v>
      </c>
      <c r="DF375" s="557">
        <f>'[4]побудинковий звіт'!DF375</f>
        <v>68416.23856264104</v>
      </c>
      <c r="DG375" s="321">
        <f>VLOOKUP(A375,'кошти 01.03.2021'!$A$6:$D$401,4,)</f>
        <v>69105.04676830786</v>
      </c>
      <c r="DH375" s="40">
        <f>'[3]побудинковий звіт'!DJ375</f>
        <v>706712.44771511387</v>
      </c>
      <c r="DI375" s="422">
        <f>'[3]побудинковий звіт'!CU375+'[3]побудинковий звіт'!CX375</f>
        <v>62021.727602315339</v>
      </c>
      <c r="DJ375" s="306">
        <f>'[3]побудинковий звіт'!DM375</f>
        <v>5.374989922114926</v>
      </c>
      <c r="DK375" s="306">
        <f>'[3]побудинковий звіт'!DN375</f>
        <v>6.5807678963577816</v>
      </c>
      <c r="DL375" s="306">
        <f>'[3]побудинковий звіт'!DO375</f>
        <v>4.4043739097732315</v>
      </c>
      <c r="DM375" s="28">
        <f t="shared" si="435"/>
        <v>54951.386164956377</v>
      </c>
      <c r="DN375" s="28">
        <f t="shared" si="436"/>
        <v>7070.3414373589685</v>
      </c>
      <c r="DO375" s="423">
        <f t="shared" si="381"/>
        <v>62021.727602315346</v>
      </c>
      <c r="DP375" s="94">
        <f t="shared" si="382"/>
        <v>0</v>
      </c>
      <c r="DQ375" s="28">
        <f t="shared" si="383"/>
        <v>62021.727602315346</v>
      </c>
      <c r="DR375" s="318"/>
      <c r="DT375" s="8"/>
      <c r="DU375" s="5"/>
      <c r="DX375" s="5">
        <f t="shared" si="384"/>
        <v>177956.79449343192</v>
      </c>
      <c r="DY375" s="5">
        <f t="shared" si="385"/>
        <v>82047.623999999982</v>
      </c>
      <c r="DZ375" s="159">
        <f>'[3]побудинковий звіт'!EA375</f>
        <v>16829.789875082162</v>
      </c>
    </row>
    <row r="376" spans="1:130" x14ac:dyDescent="0.3">
      <c r="A376" s="325">
        <v>150000902</v>
      </c>
      <c r="B376" s="41" t="s">
        <v>822</v>
      </c>
      <c r="C376" s="42" t="s">
        <v>404</v>
      </c>
      <c r="D376" s="27"/>
      <c r="E376" s="293">
        <f t="shared" si="412"/>
        <v>3581.3</v>
      </c>
      <c r="F376" s="305">
        <f>'[3]побудинковий звіт'!F376</f>
        <v>3581.3</v>
      </c>
      <c r="G376" s="508">
        <f>'[3]побудинковий звіт'!G376</f>
        <v>455.7</v>
      </c>
      <c r="H376" s="560">
        <f>'[3]побудинковий звіт'!H376</f>
        <v>0</v>
      </c>
      <c r="I376" s="566">
        <f>VLOOKUP($A376,'01-02.2021'!$A$6:$CZ$403,9,FALSE)+VLOOKUP($A376,'1.3.21-28.2.22'!$A$6:$DA$404,9,FALSE)-VLOOKUP($A376,'01-02.2022'!$A$6:$DA$376,9,FALSE)</f>
        <v>10232.295216515377</v>
      </c>
      <c r="J376" s="566">
        <f>VLOOKUP($A376,'01-02.2021'!$A$6:$CZ$403,10,FALSE)+VLOOKUP($A376,'1.3.21-28.2.22'!$A$6:$DA$404,10,FALSE)-VLOOKUP($A376,'01-02.2022'!$A$6:$DA$376,10,FALSE)</f>
        <v>10183.335615887112</v>
      </c>
      <c r="K376" s="52">
        <f t="shared" si="417"/>
        <v>-48.959600628264525</v>
      </c>
      <c r="L376" s="566">
        <f>VLOOKUP($A376,'01-02.2021'!$A$6:$CZ$403,12,FALSE)+VLOOKUP($A376,'1.3.21-28.2.22'!$A$6:$DA$404,12,FALSE)-VLOOKUP($A376,'01-02.2022'!$A$6:$DA$376,12,FALSE)</f>
        <v>2648.3533611617154</v>
      </c>
      <c r="M376" s="566">
        <f>VLOOKUP($A376,'01-02.2021'!$A$6:$CZ$403,13,FALSE)+VLOOKUP($A376,'1.3.21-28.2.22'!$A$6:$DA$404,13,FALSE)-VLOOKUP($A376,'01-02.2022'!$A$6:$DA$376,13,FALSE)</f>
        <v>2644.24790187296</v>
      </c>
      <c r="N376" s="52">
        <f t="shared" si="418"/>
        <v>-4.1054592887553554</v>
      </c>
      <c r="O376" s="566">
        <f>VLOOKUP($A376,'01-02.2021'!$A$6:$CZ$403,15,FALSE)+VLOOKUP($A376,'1.3.21-28.2.22'!$A$6:$DA$404,15,FALSE)-VLOOKUP($A376,'01-02.2022'!$A$6:$DA$376,15,FALSE)</f>
        <v>4251.403266946716</v>
      </c>
      <c r="P376" s="566">
        <f>VLOOKUP($A376,'01-02.2021'!$A$6:$CZ$403,16,FALSE)+VLOOKUP($A376,'1.3.21-28.2.22'!$A$6:$DA$404,16,FALSE)-VLOOKUP($A376,'01-02.2022'!$A$6:$DA$376,16,FALSE)</f>
        <v>4251.2766666666666</v>
      </c>
      <c r="Q376" s="70">
        <f t="shared" si="386"/>
        <v>-0.12660028004938795</v>
      </c>
      <c r="R376" s="566">
        <f>VLOOKUP($A376,'01-02.2021'!$A$6:$CZ$403,18,FALSE)+VLOOKUP($A376,'1.3.21-28.2.22'!$A$6:$DA$404,18,FALSE)-VLOOKUP($A376,'01-02.2022'!$A$6:$DA$376,18,FALSE)</f>
        <v>1048.6247843473586</v>
      </c>
      <c r="S376" s="566">
        <f>VLOOKUP($A376,'01-02.2021'!$A$6:$CZ$403,19,FALSE)+VLOOKUP($A376,'1.3.21-28.2.22'!$A$6:$DA$404,19,FALSE)-VLOOKUP($A376,'01-02.2022'!$A$6:$DA$376,19,FALSE)</f>
        <v>1048.4000000000001</v>
      </c>
      <c r="T376" s="70">
        <f t="shared" si="387"/>
        <v>-0.22478434735853625</v>
      </c>
      <c r="U376" s="566">
        <f>VLOOKUP($A376,'01-02.2021'!$A$6:$CZ$403,21,FALSE)+VLOOKUP($A376,'1.3.21-28.2.22'!$A$6:$DA$404,21,FALSE)-VLOOKUP($A376,'01-02.2022'!$A$6:$DA$376,21,FALSE)</f>
        <v>671.36656966572173</v>
      </c>
      <c r="V376" s="566">
        <f>VLOOKUP($A376,'01-02.2021'!$A$6:$CZ$403,22,FALSE)+VLOOKUP($A376,'1.3.21-28.2.22'!$A$6:$DA$404,22,FALSE)-VLOOKUP($A376,'01-02.2022'!$A$6:$DA$376,22,FALSE)</f>
        <v>609.50655635722785</v>
      </c>
      <c r="W376" s="70">
        <f t="shared" si="388"/>
        <v>-61.860013308493876</v>
      </c>
      <c r="X376" s="566">
        <f>VLOOKUP($A376,'01-02.2021'!$A$6:$CZ$403,24,FALSE)+VLOOKUP($A376,'1.3.21-28.2.22'!$A$6:$DA$404,24,FALSE)-VLOOKUP($A376,'01-02.2022'!$A$6:$DA$376,24,FALSE)</f>
        <v>7978.9396494201201</v>
      </c>
      <c r="Y376" s="566">
        <f>VLOOKUP($A376,'01-02.2021'!$A$6:$CZ$403,25,FALSE)+VLOOKUP($A376,'1.3.21-28.2.22'!$A$6:$DA$404,25,FALSE)-VLOOKUP($A376,'01-02.2022'!$A$6:$DA$376,25,FALSE)</f>
        <v>6822.7325243148935</v>
      </c>
      <c r="Z376" s="70">
        <f t="shared" si="389"/>
        <v>-1156.2071251052266</v>
      </c>
      <c r="AA376" s="566">
        <f>VLOOKUP($A376,'01-02.2021'!$A$6:$CZ$403,27,FALSE)+VLOOKUP($A376,'1.3.21-28.2.22'!$A$6:$DA$404,27,FALSE)-VLOOKUP($A376,'01-02.2022'!$A$6:$DA$376,27,FALSE)</f>
        <v>716.26</v>
      </c>
      <c r="AB376" s="566">
        <f>VLOOKUP($A376,'01-02.2021'!$A$6:$CZ$403,28,FALSE)+VLOOKUP($A376,'1.3.21-28.2.22'!$A$6:$DA$404,28,FALSE)-VLOOKUP($A376,'01-02.2022'!$A$6:$DA$376,28,FALSE)</f>
        <v>0</v>
      </c>
      <c r="AC376" s="70">
        <f t="shared" si="390"/>
        <v>-716.26</v>
      </c>
      <c r="AD376" s="566">
        <f>VLOOKUP($A376,'01-02.2021'!$A$6:$CZ$403,30,FALSE)+VLOOKUP($A376,'1.3.21-28.2.22'!$A$6:$DA$404,30,FALSE)-VLOOKUP($A376,'01-02.2022'!$A$6:$DA$376,30,FALSE)</f>
        <v>15382.65877798922</v>
      </c>
      <c r="AE376" s="566">
        <f>VLOOKUP($A376,'01-02.2021'!$A$6:$CZ$403,31,FALSE)+VLOOKUP($A376,'1.3.21-28.2.22'!$A$6:$DA$404,31,FALSE)-VLOOKUP($A376,'01-02.2022'!$A$6:$DA$376,31,FALSE)</f>
        <v>16302.2218986362</v>
      </c>
      <c r="AF376" s="68">
        <f t="shared" si="391"/>
        <v>919.56312064698068</v>
      </c>
      <c r="AG376" s="77">
        <f t="shared" si="413"/>
        <v>42929.901626046223</v>
      </c>
      <c r="AH376" s="53">
        <f t="shared" si="413"/>
        <v>41861.721163735063</v>
      </c>
      <c r="AI376" s="52">
        <f t="shared" si="419"/>
        <v>-1068.1804623111602</v>
      </c>
      <c r="AJ376" s="566">
        <f>VLOOKUP($A376,'01-02.2021'!$A$6:$CZ$403,36,FALSE)+VLOOKUP($A376,'1.3.21-28.2.22'!$A$6:$DA$404,36,FALSE)-VLOOKUP($A376,'01-02.2022'!$A$6:$DA$376,36,FALSE)</f>
        <v>31566.240494021866</v>
      </c>
      <c r="AK376" s="566">
        <f>VLOOKUP($A376,'01-02.2021'!$A$6:$CZ$403,37,FALSE)+VLOOKUP($A376,'1.3.21-28.2.22'!$A$6:$DA$404,37,FALSE)-VLOOKUP($A376,'01-02.2022'!$A$6:$DA$376,37,FALSE)</f>
        <v>31359.35146806822</v>
      </c>
      <c r="AL376" s="70">
        <f t="shared" si="392"/>
        <v>-206.88902595364561</v>
      </c>
      <c r="AM376" s="566">
        <f>VLOOKUP($A376,'01-02.2021'!$A$6:$CZ$403,39,FALSE)+VLOOKUP($A376,'1.3.21-28.2.22'!$A$6:$DA$404,39,FALSE)-VLOOKUP($A376,'01-02.2022'!$A$6:$DA$376,39,FALSE)</f>
        <v>525.37471249999999</v>
      </c>
      <c r="AN376" s="566">
        <f>VLOOKUP($A376,'01-02.2021'!$A$6:$CZ$403,40,FALSE)+VLOOKUP($A376,'1.3.21-28.2.22'!$A$6:$DA$404,40,FALSE)-VLOOKUP($A376,'01-02.2022'!$A$6:$DA$376,40,FALSE)</f>
        <v>0</v>
      </c>
      <c r="AO376" s="70">
        <f t="shared" si="393"/>
        <v>-525.37471249999999</v>
      </c>
      <c r="AP376" s="566">
        <f>VLOOKUP($A376,'01-02.2021'!$A$6:$CZ$403,42,FALSE)+VLOOKUP($A376,'1.3.21-28.2.22'!$A$6:$DA$404,42,FALSE)-VLOOKUP($A376,'01-02.2022'!$A$6:$DA$376,42,FALSE)</f>
        <v>2776.3196000681455</v>
      </c>
      <c r="AQ376" s="566">
        <f>VLOOKUP($A376,'01-02.2021'!$A$6:$CZ$403,43,FALSE)+VLOOKUP($A376,'1.3.21-28.2.22'!$A$6:$DA$404,43,FALSE)-VLOOKUP($A376,'01-02.2022'!$A$6:$DA$376,43,FALSE)</f>
        <v>2379.5149846447102</v>
      </c>
      <c r="AR376" s="70">
        <f t="shared" si="394"/>
        <v>-396.80461542343528</v>
      </c>
      <c r="AS376" s="566">
        <f>VLOOKUP($A376,'01-02.2021'!$A$6:$CZ$403,45,FALSE)+VLOOKUP($A376,'1.3.21-28.2.22'!$A$6:$DA$404,45,FALSE)-VLOOKUP($A376,'01-02.2022'!$A$6:$DA$376,45,FALSE)</f>
        <v>50546.528820138643</v>
      </c>
      <c r="AT376" s="566">
        <f>VLOOKUP($A376,'01-02.2021'!$A$6:$CZ$403,46,FALSE)+VLOOKUP($A376,'1.3.21-28.2.22'!$A$6:$DA$404,46,FALSE)-VLOOKUP($A376,'01-02.2022'!$A$6:$DA$376,46,FALSE)</f>
        <v>1470.34</v>
      </c>
      <c r="AU376" s="78">
        <f t="shared" si="395"/>
        <v>-49076.188820138646</v>
      </c>
      <c r="AV376" s="566">
        <f>VLOOKUP($A376,'01-02.2021'!$A$6:$CZ$403,48,FALSE)+VLOOKUP($A376,'1.3.21-28.2.22'!$A$6:$DA$404,48,FALSE)-VLOOKUP($A376,'01-02.2022'!$A$6:$DA$376,48,FALSE)</f>
        <v>2225.009779815181</v>
      </c>
      <c r="AW376" s="566">
        <f>VLOOKUP($A376,'01-02.2021'!$A$6:$CZ$403,49,FALSE)+VLOOKUP($A376,'1.3.21-28.2.22'!$A$6:$DA$404,49,FALSE)-VLOOKUP($A376,'01-02.2022'!$A$6:$DA$376,49,FALSE)</f>
        <v>301</v>
      </c>
      <c r="AX376" s="55">
        <f t="shared" si="396"/>
        <v>-1924.009779815181</v>
      </c>
      <c r="AY376" s="566">
        <f>VLOOKUP($A376,'01-02.2021'!$A$6:$CZ$403,51,FALSE)+VLOOKUP($A376,'1.3.21-28.2.22'!$A$6:$DA$404,51,FALSE)-VLOOKUP($A376,'01-02.2022'!$A$6:$DA$376,51,FALSE)</f>
        <v>4011.503070970497</v>
      </c>
      <c r="AZ376" s="566">
        <f>VLOOKUP($A376,'01-02.2021'!$A$6:$CZ$403,52,FALSE)+VLOOKUP($A376,'1.3.21-28.2.22'!$A$6:$DA$404,52,FALSE)-VLOOKUP($A376,'01-02.2022'!$A$6:$DA$376,52,FALSE)</f>
        <v>0</v>
      </c>
      <c r="BA376" s="38">
        <f t="shared" si="397"/>
        <v>-4011.503070970497</v>
      </c>
      <c r="BB376" s="566">
        <f>VLOOKUP($A376,'01-02.2021'!$A$6:$CZ$403,54,FALSE)+VLOOKUP($A376,'1.3.21-28.2.22'!$A$6:$DA$404,54,FALSE)-VLOOKUP($A376,'01-02.2022'!$A$6:$DA$376,54,FALSE)</f>
        <v>1886.6588366497024</v>
      </c>
      <c r="BC376" s="566">
        <f>VLOOKUP($A376,'01-02.2021'!$A$6:$CZ$403,55,FALSE)+VLOOKUP($A376,'1.3.21-28.2.22'!$A$6:$DA$404,55,FALSE)-VLOOKUP($A376,'01-02.2022'!$A$6:$DA$376,55,FALSE)</f>
        <v>0</v>
      </c>
      <c r="BD376" s="55">
        <f t="shared" si="398"/>
        <v>-1886.6588366497024</v>
      </c>
      <c r="BE376" s="566">
        <f>VLOOKUP($A376,'01-02.2021'!$A$6:$CZ$403,57,FALSE)+VLOOKUP($A376,'1.3.21-28.2.22'!$A$6:$DA$404,57,FALSE)-VLOOKUP($A376,'01-02.2022'!$A$6:$DA$376,57,FALSE)</f>
        <v>2359.5064525556872</v>
      </c>
      <c r="BF376" s="566">
        <f>VLOOKUP($A376,'01-02.2021'!$A$6:$CZ$403,58,FALSE)+VLOOKUP($A376,'1.3.21-28.2.22'!$A$6:$DA$404,58,FALSE)-VLOOKUP($A376,'01-02.2022'!$A$6:$DA$376,58,FALSE)</f>
        <v>760</v>
      </c>
      <c r="BG376" s="55">
        <f t="shared" si="399"/>
        <v>-1599.5064525556872</v>
      </c>
      <c r="BH376" s="566">
        <f>VLOOKUP($A376,'01-02.2021'!$A$6:$CZ$403,60,FALSE)+VLOOKUP($A376,'1.3.21-28.2.22'!$A$6:$DA$404,60,FALSE)-VLOOKUP($A376,'01-02.2022'!$A$6:$DA$376,60,FALSE)</f>
        <v>1275.6779514917541</v>
      </c>
      <c r="BI376" s="566">
        <f>VLOOKUP($A376,'01-02.2021'!$A$6:$CZ$403,61,FALSE)+VLOOKUP($A376,'1.3.21-28.2.22'!$A$6:$DA$404,61,FALSE)-VLOOKUP($A376,'01-02.2022'!$A$6:$DA$376,61,FALSE)</f>
        <v>39</v>
      </c>
      <c r="BJ376" s="55">
        <f t="shared" si="400"/>
        <v>-1236.6779514917541</v>
      </c>
      <c r="BK376" s="566">
        <f>VLOOKUP($A376,'01-02.2021'!$A$6:$CZ$403,63,FALSE)+VLOOKUP($A376,'1.3.21-28.2.22'!$A$6:$DA$404,63,FALSE)-VLOOKUP($A376,'01-02.2022'!$A$6:$DA$376,63,FALSE)</f>
        <v>2602.6409373951092</v>
      </c>
      <c r="BL376" s="566">
        <f>VLOOKUP($A376,'01-02.2021'!$A$6:$CZ$403,64,FALSE)+VLOOKUP($A376,'1.3.21-28.2.22'!$A$6:$DA$404,64,FALSE)-VLOOKUP($A376,'01-02.2022'!$A$6:$DA$376,64,FALSE)</f>
        <v>124</v>
      </c>
      <c r="BM376" s="55">
        <f t="shared" si="401"/>
        <v>-2478.6409373951092</v>
      </c>
      <c r="BN376" s="566">
        <f>VLOOKUP($A376,'01-02.2021'!$A$6:$CZ$403,66,FALSE)+VLOOKUP($A376,'1.3.21-28.2.22'!$A$6:$DA$404,66,FALSE)-VLOOKUP($A376,'01-02.2022'!$A$6:$DA$376,66,FALSE)</f>
        <v>179.065</v>
      </c>
      <c r="BO376" s="566">
        <f>VLOOKUP($A376,'01-02.2021'!$A$6:$CZ$403,67,FALSE)+VLOOKUP($A376,'1.3.21-28.2.22'!$A$6:$DA$404,67,FALSE)-VLOOKUP($A376,'01-02.2022'!$A$6:$DA$376,67,FALSE)</f>
        <v>0</v>
      </c>
      <c r="BP376" s="55">
        <f t="shared" si="402"/>
        <v>-179.065</v>
      </c>
      <c r="BQ376" s="77">
        <f t="shared" si="409"/>
        <v>14540.062028877934</v>
      </c>
      <c r="BR376" s="40">
        <f t="shared" si="434"/>
        <v>1224</v>
      </c>
      <c r="BS376" s="55">
        <f t="shared" si="428"/>
        <v>-13316.062028877934</v>
      </c>
      <c r="BT376" s="566">
        <f>VLOOKUP($A376,'01-02.2021'!$A$6:$CZ$403,72,FALSE)+VLOOKUP($A376,'1.3.21-28.2.22'!$A$6:$DA$404,72,FALSE)-VLOOKUP($A376,'01-02.2022'!$A$6:$DA$376,72,FALSE)</f>
        <v>35027.326021146859</v>
      </c>
      <c r="BU376" s="566">
        <f>VLOOKUP($A376,'01-02.2021'!$A$6:$CZ$403,73,FALSE)+VLOOKUP($A376,'1.3.21-28.2.22'!$A$6:$DA$404,73,FALSE)-VLOOKUP($A376,'01-02.2022'!$A$6:$DA$376,73,FALSE)</f>
        <v>36753.262696906735</v>
      </c>
      <c r="BV376" s="70">
        <f t="shared" si="403"/>
        <v>1725.9366757598764</v>
      </c>
      <c r="BW376" s="566">
        <f>VLOOKUP($A376,'01-02.2021'!$A$6:$CZ$403,75,FALSE)+VLOOKUP($A376,'1.3.21-28.2.22'!$A$6:$DA$404,75,FALSE)-VLOOKUP($A376,'01-02.2022'!$A$6:$DA$376,75,FALSE)</f>
        <v>38744.615391682208</v>
      </c>
      <c r="BX376" s="566">
        <f>VLOOKUP($A376,'01-02.2021'!$A$6:$CZ$403,76,FALSE)+VLOOKUP($A376,'1.3.21-28.2.22'!$A$6:$DA$404,76,FALSE)-VLOOKUP($A376,'01-02.2022'!$A$6:$DA$376,76,FALSE)</f>
        <v>38079.187025822634</v>
      </c>
      <c r="BY376" s="70">
        <f t="shared" si="404"/>
        <v>-665.42836585957411</v>
      </c>
      <c r="BZ376" s="566">
        <f>VLOOKUP($A376,'01-02.2021'!$A$6:$CZ$403,78,FALSE)+VLOOKUP($A376,'1.3.21-28.2.22'!$A$6:$DA$404,78,FALSE)-VLOOKUP($A376,'01-02.2022'!$A$6:$DA$376,78,FALSE)</f>
        <v>6006.1816640012148</v>
      </c>
      <c r="CA376" s="566">
        <f>VLOOKUP($A376,'01-02.2021'!$A$6:$CZ$403,79,FALSE)+VLOOKUP($A376,'1.3.21-28.2.22'!$A$6:$DA$404,79,FALSE)-VLOOKUP($A376,'01-02.2022'!$A$6:$DA$376,79,FALSE)</f>
        <v>8264.2150022263486</v>
      </c>
      <c r="CB376" s="70">
        <f t="shared" si="405"/>
        <v>2258.0333382251338</v>
      </c>
      <c r="CC376" s="566">
        <f>VLOOKUP($A376,'01-02.2021'!$A$6:$CZ$403,81,FALSE)+VLOOKUP($A376,'1.3.21-28.2.22'!$A$6:$DA$404,81,FALSE)-VLOOKUP($A376,'01-02.2022'!$A$6:$DA$376,81,FALSE)</f>
        <v>1323.5892209831018</v>
      </c>
      <c r="CD376" s="566">
        <f>VLOOKUP($A376,'01-02.2021'!$A$6:$CZ$403,82,FALSE)+VLOOKUP($A376,'1.3.21-28.2.22'!$A$6:$DA$404,82,FALSE)-VLOOKUP($A376,'01-02.2022'!$A$6:$DA$376,82,FALSE)</f>
        <v>1441.4554879595373</v>
      </c>
      <c r="CE376" s="70">
        <f t="shared" si="406"/>
        <v>117.86626697643555</v>
      </c>
      <c r="CF376" s="566">
        <f>VLOOKUP($A376,'01-02.2021'!$A$6:$CZ$403,84,FALSE)+VLOOKUP($A376,'1.3.21-28.2.22'!$A$6:$DA$404,84,FALSE)-VLOOKUP($A376,'01-02.2022'!$A$6:$DA$376,84,FALSE)</f>
        <v>160.32911835769721</v>
      </c>
      <c r="CG376" s="566">
        <f>VLOOKUP($A376,'01-02.2021'!$A$6:$CZ$403,85,FALSE)+VLOOKUP($A376,'1.3.21-28.2.22'!$A$6:$DA$404,85,FALSE)-VLOOKUP($A376,'01-02.2022'!$A$6:$DA$376,85,FALSE)</f>
        <v>0</v>
      </c>
      <c r="CH376" s="70">
        <f t="shared" si="407"/>
        <v>-160.32911835769721</v>
      </c>
      <c r="CI376" s="566">
        <f>VLOOKUP($A376,'01-02.2021'!$A$6:$CZ$403,87,FALSE)+VLOOKUP($A376,'1.3.21-28.2.22'!$A$6:$DA$404,87,FALSE)-VLOOKUP($A376,'01-02.2022'!$A$6:$DA$376,87,FALSE)</f>
        <v>3641.5953804422352</v>
      </c>
      <c r="CJ376" s="566">
        <f>VLOOKUP($A376,'01-02.2021'!$A$6:$CZ$403,88,FALSE)+VLOOKUP($A376,'1.3.21-28.2.22'!$A$6:$DA$404,88,FALSE)-VLOOKUP($A376,'01-02.2022'!$A$6:$DA$376,88,FALSE)</f>
        <v>6747.4017995310705</v>
      </c>
      <c r="CK376" s="70">
        <f t="shared" si="408"/>
        <v>3105.8064190888354</v>
      </c>
      <c r="CL376" s="566">
        <f>VLOOKUP($A376,'01-02.2021'!$A$6:$CZ$403,90,FALSE)+VLOOKUP($A376,'1.3.21-28.2.22'!$A$6:$DA$404,90,FALSE)-VLOOKUP($A376,'01-02.2022'!$A$6:$DA$376,90,FALSE)</f>
        <v>8246.4791805951754</v>
      </c>
      <c r="CM376" s="566">
        <f>VLOOKUP($A376,'01-02.2021'!$A$6:$CZ$403,91,FALSE)+VLOOKUP($A376,'1.3.21-28.2.22'!$A$6:$DA$404,91,FALSE)-VLOOKUP($A376,'01-02.2022'!$A$6:$DA$376,91,FALSE)</f>
        <v>4742.2333569170114</v>
      </c>
      <c r="CN376" s="52">
        <f t="shared" si="420"/>
        <v>-3504.245823678164</v>
      </c>
      <c r="CO376" s="39">
        <f t="shared" si="414"/>
        <v>11888.074561037411</v>
      </c>
      <c r="CP376" s="40">
        <f t="shared" si="421"/>
        <v>11489.635156448083</v>
      </c>
      <c r="CQ376" s="52">
        <f t="shared" si="422"/>
        <v>-398.43940458932775</v>
      </c>
      <c r="CR376" s="72">
        <f t="shared" si="415"/>
        <v>236034.54325886129</v>
      </c>
      <c r="CS376" s="5">
        <f t="shared" si="415"/>
        <v>174322.68298581132</v>
      </c>
      <c r="CT376" s="52">
        <f t="shared" si="423"/>
        <v>-61711.86027304997</v>
      </c>
      <c r="CU376" s="77">
        <f t="shared" si="424"/>
        <v>283241.45191063354</v>
      </c>
      <c r="CV376" s="65">
        <f t="shared" si="425"/>
        <v>209187.21958297357</v>
      </c>
      <c r="CW376" s="35">
        <f t="shared" si="426"/>
        <v>-74054.232327659964</v>
      </c>
      <c r="CX376" s="566">
        <f>VLOOKUP($A376,'01-02.2021'!$A$6:$CZ$403,102,FALSE)+VLOOKUP($A376,'1.3.21-28.2.22'!$A$6:$DA$404,102,FALSE)-VLOOKUP($A376,'01-02.2022'!$A$6:$DA$376,102,FALSE)</f>
        <v>9895.6127371196999</v>
      </c>
      <c r="CY376" s="566">
        <f>VLOOKUP($A376,'01-02.2021'!$A$6:$CZ$403,103,FALSE)+VLOOKUP($A376,'1.3.21-28.2.22'!$A$6:$DA$404,103,FALSE)-VLOOKUP($A376,'01-02.2022'!$A$6:$DA$376,103,FALSE)</f>
        <v>83949.845064779773</v>
      </c>
      <c r="CZ376" s="52">
        <f t="shared" si="427"/>
        <v>74054.23232766008</v>
      </c>
      <c r="DA376" s="150">
        <f>'[2]побудинковий звіт'!DA376</f>
        <v>123068.435091391</v>
      </c>
      <c r="DB376" s="2">
        <v>3</v>
      </c>
      <c r="DC376" s="414">
        <f>'[4]побудинковий звіт'!DC376</f>
        <v>55226.87</v>
      </c>
      <c r="DD376" s="414">
        <f>'[4]побудинковий звіт'!DD376</f>
        <v>0</v>
      </c>
      <c r="DE376" s="557">
        <f>'[4]побудинковий звіт'!DE376</f>
        <v>28694.662113794991</v>
      </c>
      <c r="DF376" s="557">
        <f>'[4]побудинковий звіт'!DF376</f>
        <v>0</v>
      </c>
      <c r="DG376" s="321">
        <f>VLOOKUP(A376,'кошти 01.03.2021'!$A$6:$D$401,4,)</f>
        <v>200073.75226736773</v>
      </c>
      <c r="DH376" s="40">
        <f>'[3]побудинковий звіт'!DJ376</f>
        <v>303081.02415824228</v>
      </c>
      <c r="DI376" s="422">
        <f>'[3]побудинковий звіт'!CU376+'[3]побудинковий звіт'!CX376</f>
        <v>26532.207886205015</v>
      </c>
      <c r="DJ376" s="306">
        <f>'[3]побудинковий звіт'!DM376</f>
        <v>6.263815729270541</v>
      </c>
      <c r="DK376" s="306">
        <f>'[3]побудинковий звіт'!DN376</f>
        <v>7.5754373747045127</v>
      </c>
      <c r="DL376" s="306">
        <f>'[3]побудинковий звіт'!DO376</f>
        <v>4.8720094565163663</v>
      </c>
      <c r="DM376" s="28">
        <f t="shared" si="435"/>
        <v>26532.207886205011</v>
      </c>
      <c r="DN376" s="28">
        <f t="shared" si="436"/>
        <v>0</v>
      </c>
      <c r="DO376" s="423">
        <f t="shared" si="381"/>
        <v>26532.207886205011</v>
      </c>
      <c r="DP376" s="94">
        <f t="shared" si="382"/>
        <v>0</v>
      </c>
      <c r="DQ376" s="28">
        <f t="shared" si="383"/>
        <v>26532.207886205011</v>
      </c>
      <c r="DR376" s="318"/>
      <c r="DT376" s="8"/>
      <c r="DU376" s="5"/>
      <c r="DX376" s="5">
        <f t="shared" si="384"/>
        <v>78103.90901881989</v>
      </c>
      <c r="DY376" s="5">
        <f t="shared" si="385"/>
        <v>3233.2080000000001</v>
      </c>
      <c r="DZ376" s="159">
        <f>'[3]побудинковий звіт'!EA376</f>
        <v>7464.6693275397756</v>
      </c>
    </row>
    <row r="377" spans="1:130" x14ac:dyDescent="0.3">
      <c r="A377" s="325">
        <v>150000903</v>
      </c>
      <c r="B377" s="41" t="s">
        <v>823</v>
      </c>
      <c r="C377" s="42" t="s">
        <v>405</v>
      </c>
      <c r="D377" s="27"/>
      <c r="E377" s="293">
        <f t="shared" si="412"/>
        <v>4073.8</v>
      </c>
      <c r="F377" s="305">
        <f>'[3]побудинковий звіт'!F377</f>
        <v>4073.8</v>
      </c>
      <c r="G377" s="508">
        <f>'[3]побудинковий звіт'!G377</f>
        <v>501.2</v>
      </c>
      <c r="H377" s="560">
        <f>'[3]побудинковий звіт'!H377</f>
        <v>0</v>
      </c>
      <c r="I377" s="566">
        <f>VLOOKUP($A377,'01-02.2021'!$A$6:$CZ$403,9,FALSE)+VLOOKUP($A377,'1.3.21-28.2.22'!$A$6:$DA$404,9,FALSE)-VLOOKUP($A377,'01-02.2022'!$A$6:$DA$376,9,FALSE)</f>
        <v>10302.695125751743</v>
      </c>
      <c r="J377" s="566">
        <f>VLOOKUP($A377,'01-02.2021'!$A$6:$CZ$403,10,FALSE)+VLOOKUP($A377,'1.3.21-28.2.22'!$A$6:$DA$404,10,FALSE)-VLOOKUP($A377,'01-02.2022'!$A$6:$DA$376,10,FALSE)</f>
        <v>10311.70813033667</v>
      </c>
      <c r="K377" s="52">
        <f t="shared" si="417"/>
        <v>9.0130045849273301</v>
      </c>
      <c r="L377" s="566">
        <f>VLOOKUP($A377,'01-02.2021'!$A$6:$CZ$403,12,FALSE)+VLOOKUP($A377,'1.3.21-28.2.22'!$A$6:$DA$404,12,FALSE)-VLOOKUP($A377,'01-02.2022'!$A$6:$DA$376,12,FALSE)</f>
        <v>1516.3933369170641</v>
      </c>
      <c r="M377" s="566">
        <f>VLOOKUP($A377,'01-02.2021'!$A$6:$CZ$403,13,FALSE)+VLOOKUP($A377,'1.3.21-28.2.22'!$A$6:$DA$404,13,FALSE)-VLOOKUP($A377,'01-02.2022'!$A$6:$DA$376,13,FALSE)</f>
        <v>1514.0278173532151</v>
      </c>
      <c r="N377" s="52">
        <f t="shared" si="418"/>
        <v>-2.3655195638489204</v>
      </c>
      <c r="O377" s="566">
        <f>VLOOKUP($A377,'01-02.2021'!$A$6:$CZ$403,15,FALSE)+VLOOKUP($A377,'1.3.21-28.2.22'!$A$6:$DA$404,15,FALSE)-VLOOKUP($A377,'01-02.2022'!$A$6:$DA$376,15,FALSE)</f>
        <v>4893.889967930083</v>
      </c>
      <c r="P377" s="566">
        <f>VLOOKUP($A377,'01-02.2021'!$A$6:$CZ$403,16,FALSE)+VLOOKUP($A377,'1.3.21-28.2.22'!$A$6:$DA$404,16,FALSE)-VLOOKUP($A377,'01-02.2022'!$A$6:$DA$376,16,FALSE)</f>
        <v>4895.4450000000015</v>
      </c>
      <c r="Q377" s="70">
        <f t="shared" si="386"/>
        <v>1.5550320699185249</v>
      </c>
      <c r="R377" s="566">
        <f>VLOOKUP($A377,'01-02.2021'!$A$6:$CZ$403,18,FALSE)+VLOOKUP($A377,'1.3.21-28.2.22'!$A$6:$DA$404,18,FALSE)-VLOOKUP($A377,'01-02.2022'!$A$6:$DA$376,18,FALSE)</f>
        <v>1263.7997627156835</v>
      </c>
      <c r="S377" s="566">
        <f>VLOOKUP($A377,'01-02.2021'!$A$6:$CZ$403,19,FALSE)+VLOOKUP($A377,'1.3.21-28.2.22'!$A$6:$DA$404,19,FALSE)-VLOOKUP($A377,'01-02.2022'!$A$6:$DA$376,19,FALSE)</f>
        <v>1263.0683333333334</v>
      </c>
      <c r="T377" s="70">
        <f t="shared" si="387"/>
        <v>-0.73142938235014299</v>
      </c>
      <c r="U377" s="566">
        <f>VLOOKUP($A377,'01-02.2021'!$A$6:$CZ$403,21,FALSE)+VLOOKUP($A377,'1.3.21-28.2.22'!$A$6:$DA$404,21,FALSE)-VLOOKUP($A377,'01-02.2022'!$A$6:$DA$376,21,FALSE)</f>
        <v>671.36656966572173</v>
      </c>
      <c r="V377" s="566">
        <f>VLOOKUP($A377,'01-02.2021'!$A$6:$CZ$403,22,FALSE)+VLOOKUP($A377,'1.3.21-28.2.22'!$A$6:$DA$404,22,FALSE)-VLOOKUP($A377,'01-02.2022'!$A$6:$DA$376,22,FALSE)</f>
        <v>609.50655635722785</v>
      </c>
      <c r="W377" s="70">
        <f t="shared" si="388"/>
        <v>-61.860013308493876</v>
      </c>
      <c r="X377" s="566">
        <f>VLOOKUP($A377,'01-02.2021'!$A$6:$CZ$403,24,FALSE)+VLOOKUP($A377,'1.3.21-28.2.22'!$A$6:$DA$404,24,FALSE)-VLOOKUP($A377,'01-02.2022'!$A$6:$DA$376,24,FALSE)</f>
        <v>8040.8326014214108</v>
      </c>
      <c r="Y377" s="566">
        <f>VLOOKUP($A377,'01-02.2021'!$A$6:$CZ$403,25,FALSE)+VLOOKUP($A377,'1.3.21-28.2.22'!$A$6:$DA$404,25,FALSE)-VLOOKUP($A377,'01-02.2022'!$A$6:$DA$376,25,FALSE)</f>
        <v>7424.7918787553408</v>
      </c>
      <c r="Z377" s="70">
        <f t="shared" si="389"/>
        <v>-616.04072266607</v>
      </c>
      <c r="AA377" s="566">
        <f>VLOOKUP($A377,'01-02.2021'!$A$6:$CZ$403,27,FALSE)+VLOOKUP($A377,'1.3.21-28.2.22'!$A$6:$DA$404,27,FALSE)-VLOOKUP($A377,'01-02.2022'!$A$6:$DA$376,27,FALSE)</f>
        <v>814.66000000000008</v>
      </c>
      <c r="AB377" s="566">
        <f>VLOOKUP($A377,'01-02.2021'!$A$6:$CZ$403,28,FALSE)+VLOOKUP($A377,'1.3.21-28.2.22'!$A$6:$DA$404,28,FALSE)-VLOOKUP($A377,'01-02.2022'!$A$6:$DA$376,28,FALSE)</f>
        <v>0</v>
      </c>
      <c r="AC377" s="70">
        <f t="shared" si="390"/>
        <v>-814.66000000000008</v>
      </c>
      <c r="AD377" s="566">
        <f>VLOOKUP($A377,'01-02.2021'!$A$6:$CZ$403,30,FALSE)+VLOOKUP($A377,'1.3.21-28.2.22'!$A$6:$DA$404,30,FALSE)-VLOOKUP($A377,'01-02.2022'!$A$6:$DA$376,30,FALSE)</f>
        <v>17497.209465535499</v>
      </c>
      <c r="AE377" s="566">
        <f>VLOOKUP($A377,'01-02.2021'!$A$6:$CZ$403,31,FALSE)+VLOOKUP($A377,'1.3.21-28.2.22'!$A$6:$DA$404,31,FALSE)-VLOOKUP($A377,'01-02.2022'!$A$6:$DA$376,31,FALSE)</f>
        <v>18544.101742569503</v>
      </c>
      <c r="AF377" s="68">
        <f t="shared" si="391"/>
        <v>1046.8922770340032</v>
      </c>
      <c r="AG377" s="77">
        <f t="shared" si="413"/>
        <v>45000.846829937203</v>
      </c>
      <c r="AH377" s="53">
        <f t="shared" si="413"/>
        <v>44562.649458705288</v>
      </c>
      <c r="AI377" s="52">
        <f t="shared" si="419"/>
        <v>-438.19737123191589</v>
      </c>
      <c r="AJ377" s="566">
        <f>VLOOKUP($A377,'01-02.2021'!$A$6:$CZ$403,36,FALSE)+VLOOKUP($A377,'1.3.21-28.2.22'!$A$6:$DA$404,36,FALSE)-VLOOKUP($A377,'01-02.2022'!$A$6:$DA$376,36,FALSE)</f>
        <v>38000.132837803321</v>
      </c>
      <c r="AK377" s="566">
        <f>VLOOKUP($A377,'01-02.2021'!$A$6:$CZ$403,37,FALSE)+VLOOKUP($A377,'1.3.21-28.2.22'!$A$6:$DA$404,37,FALSE)-VLOOKUP($A377,'01-02.2022'!$A$6:$DA$376,37,FALSE)</f>
        <v>37750.952117929199</v>
      </c>
      <c r="AL377" s="70">
        <f t="shared" si="392"/>
        <v>-249.18071987412259</v>
      </c>
      <c r="AM377" s="566">
        <f>VLOOKUP($A377,'01-02.2021'!$A$6:$CZ$403,39,FALSE)+VLOOKUP($A377,'1.3.21-28.2.22'!$A$6:$DA$404,39,FALSE)-VLOOKUP($A377,'01-02.2022'!$A$6:$DA$376,39,FALSE)</f>
        <v>0</v>
      </c>
      <c r="AN377" s="566">
        <f>VLOOKUP($A377,'01-02.2021'!$A$6:$CZ$403,40,FALSE)+VLOOKUP($A377,'1.3.21-28.2.22'!$A$6:$DA$404,40,FALSE)-VLOOKUP($A377,'01-02.2022'!$A$6:$DA$376,40,FALSE)</f>
        <v>0</v>
      </c>
      <c r="AO377" s="70">
        <f t="shared" si="393"/>
        <v>0</v>
      </c>
      <c r="AP377" s="566">
        <f>VLOOKUP($A377,'01-02.2021'!$A$6:$CZ$403,42,FALSE)+VLOOKUP($A377,'1.3.21-28.2.22'!$A$6:$DA$404,42,FALSE)-VLOOKUP($A377,'01-02.2022'!$A$6:$DA$376,42,FALSE)</f>
        <v>2776.3196000681455</v>
      </c>
      <c r="AQ377" s="566">
        <f>VLOOKUP($A377,'01-02.2021'!$A$6:$CZ$403,43,FALSE)+VLOOKUP($A377,'1.3.21-28.2.22'!$A$6:$DA$404,43,FALSE)-VLOOKUP($A377,'01-02.2022'!$A$6:$DA$376,43,FALSE)</f>
        <v>2379.5149846447102</v>
      </c>
      <c r="AR377" s="70">
        <f t="shared" si="394"/>
        <v>-396.80461542343528</v>
      </c>
      <c r="AS377" s="566">
        <f>VLOOKUP($A377,'01-02.2021'!$A$6:$CZ$403,45,FALSE)+VLOOKUP($A377,'1.3.21-28.2.22'!$A$6:$DA$404,45,FALSE)-VLOOKUP($A377,'01-02.2022'!$A$6:$DA$376,45,FALSE)</f>
        <v>56433.181553100432</v>
      </c>
      <c r="AT377" s="566">
        <f>VLOOKUP($A377,'01-02.2021'!$A$6:$CZ$403,46,FALSE)+VLOOKUP($A377,'1.3.21-28.2.22'!$A$6:$DA$404,46,FALSE)-VLOOKUP($A377,'01-02.2022'!$A$6:$DA$376,46,FALSE)</f>
        <v>23087.35</v>
      </c>
      <c r="AU377" s="78">
        <f t="shared" si="395"/>
        <v>-33345.831553100434</v>
      </c>
      <c r="AV377" s="566">
        <f>VLOOKUP($A377,'01-02.2021'!$A$6:$CZ$403,48,FALSE)+VLOOKUP($A377,'1.3.21-28.2.22'!$A$6:$DA$404,48,FALSE)-VLOOKUP($A377,'01-02.2022'!$A$6:$DA$376,48,FALSE)</f>
        <v>2248.0158606194091</v>
      </c>
      <c r="AW377" s="566">
        <f>VLOOKUP($A377,'01-02.2021'!$A$6:$CZ$403,49,FALSE)+VLOOKUP($A377,'1.3.21-28.2.22'!$A$6:$DA$404,49,FALSE)-VLOOKUP($A377,'01-02.2022'!$A$6:$DA$376,49,FALSE)</f>
        <v>829</v>
      </c>
      <c r="AX377" s="55">
        <f t="shared" si="396"/>
        <v>-1419.0158606194091</v>
      </c>
      <c r="AY377" s="566">
        <f>VLOOKUP($A377,'01-02.2021'!$A$6:$CZ$403,51,FALSE)+VLOOKUP($A377,'1.3.21-28.2.22'!$A$6:$DA$404,51,FALSE)-VLOOKUP($A377,'01-02.2022'!$A$6:$DA$376,51,FALSE)</f>
        <v>2321.717033484289</v>
      </c>
      <c r="AZ377" s="566">
        <f>VLOOKUP($A377,'01-02.2021'!$A$6:$CZ$403,52,FALSE)+VLOOKUP($A377,'1.3.21-28.2.22'!$A$6:$DA$404,52,FALSE)-VLOOKUP($A377,'01-02.2022'!$A$6:$DA$376,52,FALSE)</f>
        <v>0</v>
      </c>
      <c r="BA377" s="38">
        <f t="shared" si="397"/>
        <v>-2321.717033484289</v>
      </c>
      <c r="BB377" s="566">
        <f>VLOOKUP($A377,'01-02.2021'!$A$6:$CZ$403,54,FALSE)+VLOOKUP($A377,'1.3.21-28.2.22'!$A$6:$DA$404,54,FALSE)-VLOOKUP($A377,'01-02.2022'!$A$6:$DA$376,54,FALSE)</f>
        <v>2135.1333396542504</v>
      </c>
      <c r="BC377" s="566">
        <f>VLOOKUP($A377,'01-02.2021'!$A$6:$CZ$403,55,FALSE)+VLOOKUP($A377,'1.3.21-28.2.22'!$A$6:$DA$404,55,FALSE)-VLOOKUP($A377,'01-02.2022'!$A$6:$DA$376,55,FALSE)</f>
        <v>0</v>
      </c>
      <c r="BD377" s="55">
        <f t="shared" si="398"/>
        <v>-2135.1333396542504</v>
      </c>
      <c r="BE377" s="566">
        <f>VLOOKUP($A377,'01-02.2021'!$A$6:$CZ$403,57,FALSE)+VLOOKUP($A377,'1.3.21-28.2.22'!$A$6:$DA$404,57,FALSE)-VLOOKUP($A377,'01-02.2022'!$A$6:$DA$376,57,FALSE)</f>
        <v>2876.959891771523</v>
      </c>
      <c r="BF377" s="566">
        <f>VLOOKUP($A377,'01-02.2021'!$A$6:$CZ$403,58,FALSE)+VLOOKUP($A377,'1.3.21-28.2.22'!$A$6:$DA$404,58,FALSE)-VLOOKUP($A377,'01-02.2022'!$A$6:$DA$376,58,FALSE)</f>
        <v>0</v>
      </c>
      <c r="BG377" s="55">
        <f t="shared" si="399"/>
        <v>-2876.959891771523</v>
      </c>
      <c r="BH377" s="566">
        <f>VLOOKUP($A377,'01-02.2021'!$A$6:$CZ$403,60,FALSE)+VLOOKUP($A377,'1.3.21-28.2.22'!$A$6:$DA$404,60,FALSE)-VLOOKUP($A377,'01-02.2022'!$A$6:$DA$376,60,FALSE)</f>
        <v>1275.6779514917541</v>
      </c>
      <c r="BI377" s="566">
        <f>VLOOKUP($A377,'01-02.2021'!$A$6:$CZ$403,61,FALSE)+VLOOKUP($A377,'1.3.21-28.2.22'!$A$6:$DA$404,61,FALSE)-VLOOKUP($A377,'01-02.2022'!$A$6:$DA$376,61,FALSE)</f>
        <v>8274.5</v>
      </c>
      <c r="BJ377" s="55">
        <f t="shared" si="400"/>
        <v>6998.8220485082456</v>
      </c>
      <c r="BK377" s="566">
        <f>VLOOKUP($A377,'01-02.2021'!$A$6:$CZ$403,63,FALSE)+VLOOKUP($A377,'1.3.21-28.2.22'!$A$6:$DA$404,63,FALSE)-VLOOKUP($A377,'01-02.2022'!$A$6:$DA$376,63,FALSE)</f>
        <v>2411.8451677208777</v>
      </c>
      <c r="BL377" s="566">
        <f>VLOOKUP($A377,'01-02.2021'!$A$6:$CZ$403,64,FALSE)+VLOOKUP($A377,'1.3.21-28.2.22'!$A$6:$DA$404,64,FALSE)-VLOOKUP($A377,'01-02.2022'!$A$6:$DA$376,64,FALSE)</f>
        <v>479</v>
      </c>
      <c r="BM377" s="55">
        <f t="shared" si="401"/>
        <v>-1932.8451677208777</v>
      </c>
      <c r="BN377" s="566">
        <f>VLOOKUP($A377,'01-02.2021'!$A$6:$CZ$403,66,FALSE)+VLOOKUP($A377,'1.3.21-28.2.22'!$A$6:$DA$404,66,FALSE)-VLOOKUP($A377,'01-02.2022'!$A$6:$DA$376,66,FALSE)</f>
        <v>203.66500000000002</v>
      </c>
      <c r="BO377" s="566">
        <f>VLOOKUP($A377,'01-02.2021'!$A$6:$CZ$403,67,FALSE)+VLOOKUP($A377,'1.3.21-28.2.22'!$A$6:$DA$404,67,FALSE)-VLOOKUP($A377,'01-02.2022'!$A$6:$DA$376,67,FALSE)</f>
        <v>0</v>
      </c>
      <c r="BP377" s="55">
        <f t="shared" si="402"/>
        <v>-203.66500000000002</v>
      </c>
      <c r="BQ377" s="77">
        <f t="shared" si="409"/>
        <v>13473.014244742104</v>
      </c>
      <c r="BR377" s="40">
        <f t="shared" si="434"/>
        <v>9582.5</v>
      </c>
      <c r="BS377" s="55">
        <f t="shared" si="428"/>
        <v>-3890.514244742104</v>
      </c>
      <c r="BT377" s="566">
        <f>VLOOKUP($A377,'01-02.2021'!$A$6:$CZ$403,72,FALSE)+VLOOKUP($A377,'1.3.21-28.2.22'!$A$6:$DA$404,72,FALSE)-VLOOKUP($A377,'01-02.2022'!$A$6:$DA$376,72,FALSE)</f>
        <v>46260.667948695671</v>
      </c>
      <c r="BU377" s="566">
        <f>VLOOKUP($A377,'01-02.2021'!$A$6:$CZ$403,73,FALSE)+VLOOKUP($A377,'1.3.21-28.2.22'!$A$6:$DA$404,73,FALSE)-VLOOKUP($A377,'01-02.2022'!$A$6:$DA$376,73,FALSE)</f>
        <v>39699.136538887229</v>
      </c>
      <c r="BV377" s="70">
        <f t="shared" si="403"/>
        <v>-6561.5314098084418</v>
      </c>
      <c r="BW377" s="566">
        <f>VLOOKUP($A377,'01-02.2021'!$A$6:$CZ$403,75,FALSE)+VLOOKUP($A377,'1.3.21-28.2.22'!$A$6:$DA$404,75,FALSE)-VLOOKUP($A377,'01-02.2022'!$A$6:$DA$376,75,FALSE)</f>
        <v>36365.259757670137</v>
      </c>
      <c r="BX377" s="566">
        <f>VLOOKUP($A377,'01-02.2021'!$A$6:$CZ$403,76,FALSE)+VLOOKUP($A377,'1.3.21-28.2.22'!$A$6:$DA$404,76,FALSE)-VLOOKUP($A377,'01-02.2022'!$A$6:$DA$376,76,FALSE)</f>
        <v>28926.343695423748</v>
      </c>
      <c r="BY377" s="70">
        <f t="shared" si="404"/>
        <v>-7438.9160622463896</v>
      </c>
      <c r="BZ377" s="566">
        <f>VLOOKUP($A377,'01-02.2021'!$A$6:$CZ$403,78,FALSE)+VLOOKUP($A377,'1.3.21-28.2.22'!$A$6:$DA$404,78,FALSE)-VLOOKUP($A377,'01-02.2022'!$A$6:$DA$376,78,FALSE)</f>
        <v>8628.9909739362702</v>
      </c>
      <c r="CA377" s="566">
        <f>VLOOKUP($A377,'01-02.2021'!$A$6:$CZ$403,79,FALSE)+VLOOKUP($A377,'1.3.21-28.2.22'!$A$6:$DA$404,79,FALSE)-VLOOKUP($A377,'01-02.2022'!$A$6:$DA$376,79,FALSE)</f>
        <v>11068.32445171528</v>
      </c>
      <c r="CB377" s="70">
        <f t="shared" si="405"/>
        <v>2439.3334777790096</v>
      </c>
      <c r="CC377" s="566">
        <f>VLOOKUP($A377,'01-02.2021'!$A$6:$CZ$403,81,FALSE)+VLOOKUP($A377,'1.3.21-28.2.22'!$A$6:$DA$404,81,FALSE)-VLOOKUP($A377,'01-02.2022'!$A$6:$DA$376,81,FALSE)</f>
        <v>1545.5283032266134</v>
      </c>
      <c r="CD377" s="566">
        <f>VLOOKUP($A377,'01-02.2021'!$A$6:$CZ$403,82,FALSE)+VLOOKUP($A377,'1.3.21-28.2.22'!$A$6:$DA$404,82,FALSE)-VLOOKUP($A377,'01-02.2022'!$A$6:$DA$376,82,FALSE)</f>
        <v>1684.0333556173696</v>
      </c>
      <c r="CE377" s="70">
        <f t="shared" si="406"/>
        <v>138.50505239075619</v>
      </c>
      <c r="CF377" s="566">
        <f>VLOOKUP($A377,'01-02.2021'!$A$6:$CZ$403,84,FALSE)+VLOOKUP($A377,'1.3.21-28.2.22'!$A$6:$DA$404,84,FALSE)-VLOOKUP($A377,'01-02.2022'!$A$6:$DA$376,84,FALSE)</f>
        <v>187.31038554182973</v>
      </c>
      <c r="CG377" s="566">
        <f>VLOOKUP($A377,'01-02.2021'!$A$6:$CZ$403,85,FALSE)+VLOOKUP($A377,'1.3.21-28.2.22'!$A$6:$DA$404,85,FALSE)-VLOOKUP($A377,'01-02.2022'!$A$6:$DA$376,85,FALSE)</f>
        <v>0</v>
      </c>
      <c r="CH377" s="70">
        <f t="shared" si="407"/>
        <v>-187.31038554182973</v>
      </c>
      <c r="CI377" s="566">
        <f>VLOOKUP($A377,'01-02.2021'!$A$6:$CZ$403,87,FALSE)+VLOOKUP($A377,'1.3.21-28.2.22'!$A$6:$DA$404,87,FALSE)-VLOOKUP($A377,'01-02.2022'!$A$6:$DA$376,87,FALSE)</f>
        <v>7387.4807811187966</v>
      </c>
      <c r="CJ377" s="566">
        <f>VLOOKUP($A377,'01-02.2021'!$A$6:$CZ$403,88,FALSE)+VLOOKUP($A377,'1.3.21-28.2.22'!$A$6:$DA$404,88,FALSE)-VLOOKUP($A377,'01-02.2022'!$A$6:$DA$376,88,FALSE)</f>
        <v>7131.7017657029774</v>
      </c>
      <c r="CK377" s="70">
        <f t="shared" si="408"/>
        <v>-255.77901541581923</v>
      </c>
      <c r="CL377" s="566">
        <f>VLOOKUP($A377,'01-02.2021'!$A$6:$CZ$403,90,FALSE)+VLOOKUP($A377,'1.3.21-28.2.22'!$A$6:$DA$404,90,FALSE)-VLOOKUP($A377,'01-02.2022'!$A$6:$DA$376,90,FALSE)</f>
        <v>7856.1761684120747</v>
      </c>
      <c r="CM377" s="566">
        <f>VLOOKUP($A377,'01-02.2021'!$A$6:$CZ$403,91,FALSE)+VLOOKUP($A377,'1.3.21-28.2.22'!$A$6:$DA$404,91,FALSE)-VLOOKUP($A377,'01-02.2022'!$A$6:$DA$376,91,FALSE)</f>
        <v>9033.3541347044338</v>
      </c>
      <c r="CN377" s="52">
        <f t="shared" si="420"/>
        <v>1177.1779662923591</v>
      </c>
      <c r="CO377" s="39">
        <f t="shared" si="414"/>
        <v>15243.656949530872</v>
      </c>
      <c r="CP377" s="40">
        <f t="shared" si="421"/>
        <v>16165.055900407411</v>
      </c>
      <c r="CQ377" s="52">
        <f t="shared" si="422"/>
        <v>921.39895087653895</v>
      </c>
      <c r="CR377" s="72">
        <f t="shared" si="415"/>
        <v>263914.90938425262</v>
      </c>
      <c r="CS377" s="5">
        <f t="shared" si="415"/>
        <v>214905.86050333022</v>
      </c>
      <c r="CT377" s="52">
        <f t="shared" si="423"/>
        <v>-49009.048880922404</v>
      </c>
      <c r="CU377" s="77">
        <f t="shared" si="424"/>
        <v>316697.89126110316</v>
      </c>
      <c r="CV377" s="65">
        <f t="shared" si="425"/>
        <v>257887.03260399625</v>
      </c>
      <c r="CW377" s="35">
        <f t="shared" si="426"/>
        <v>-58810.858657106903</v>
      </c>
      <c r="CX377" s="566">
        <f>VLOOKUP($A377,'01-02.2021'!$A$6:$CZ$403,102,FALSE)+VLOOKUP($A377,'1.3.21-28.2.22'!$A$6:$DA$404,102,FALSE)-VLOOKUP($A377,'01-02.2022'!$A$6:$DA$376,102,FALSE)</f>
        <v>7942.9066895777723</v>
      </c>
      <c r="CY377" s="566">
        <f>VLOOKUP($A377,'01-02.2021'!$A$6:$CZ$403,103,FALSE)+VLOOKUP($A377,'1.3.21-28.2.22'!$A$6:$DA$404,103,FALSE)-VLOOKUP($A377,'01-02.2022'!$A$6:$DA$376,103,FALSE)</f>
        <v>66753.765346684639</v>
      </c>
      <c r="CZ377" s="52">
        <f t="shared" si="427"/>
        <v>58810.858657106866</v>
      </c>
      <c r="DA377" s="150">
        <f>'[2]побудинковий звіт'!DA377</f>
        <v>-40343.838918660498</v>
      </c>
      <c r="DB377" s="2">
        <v>3</v>
      </c>
      <c r="DC377" s="414">
        <f>'[4]побудинковий звіт'!DC377</f>
        <v>43314.45</v>
      </c>
      <c r="DD377" s="414">
        <f>'[4]побудинковий звіт'!DD377</f>
        <v>0</v>
      </c>
      <c r="DE377" s="557">
        <f>'[4]побудинковий звіт'!DE377</f>
        <v>13802.517369521749</v>
      </c>
      <c r="DF377" s="557">
        <f>'[4]побудинковий звіт'!DF377</f>
        <v>0</v>
      </c>
      <c r="DG377" s="321">
        <f>VLOOKUP(A377,'кошти 01.03.2021'!$A$6:$D$401,4,)</f>
        <v>33681.031998342201</v>
      </c>
      <c r="DH377" s="40">
        <f>'[3]побудинковий звіт'!DJ377</f>
        <v>336270.5001986961</v>
      </c>
      <c r="DI377" s="422">
        <f>'[3]побудинковий звіт'!CU377+'[3]побудинковий звіт'!CX377</f>
        <v>29511.932630478244</v>
      </c>
      <c r="DJ377" s="306">
        <f>'[3]побудинковий звіт'!DM377</f>
        <v>6.0210613147364924</v>
      </c>
      <c r="DK377" s="306">
        <f>'[3]побудинковий звіт'!DN377</f>
        <v>7.4159370485171348</v>
      </c>
      <c r="DL377" s="306">
        <f>'[3]побудинковий звіт'!DO377</f>
        <v>4.902761195731947</v>
      </c>
      <c r="DM377" s="28">
        <f t="shared" si="435"/>
        <v>29511.932630478248</v>
      </c>
      <c r="DN377" s="28">
        <f t="shared" si="436"/>
        <v>0</v>
      </c>
      <c r="DO377" s="423">
        <f t="shared" si="381"/>
        <v>29511.932630478248</v>
      </c>
      <c r="DP377" s="94">
        <f t="shared" si="382"/>
        <v>0</v>
      </c>
      <c r="DQ377" s="28">
        <f t="shared" si="383"/>
        <v>29511.932630478248</v>
      </c>
      <c r="DR377" s="318"/>
      <c r="DT377" s="8"/>
      <c r="DU377" s="5"/>
      <c r="DX377" s="5">
        <f t="shared" si="384"/>
        <v>83887.434957411038</v>
      </c>
      <c r="DY377" s="5">
        <f t="shared" si="385"/>
        <v>39203.82</v>
      </c>
      <c r="DZ377" s="159">
        <f>'[3]побудинковий звіт'!EA377</f>
        <v>8054.7618654086627</v>
      </c>
    </row>
    <row r="378" spans="1:130" x14ac:dyDescent="0.3">
      <c r="A378" s="325">
        <v>150000904</v>
      </c>
      <c r="B378" s="41" t="s">
        <v>824</v>
      </c>
      <c r="C378" s="42" t="s">
        <v>406</v>
      </c>
      <c r="D378" s="27"/>
      <c r="E378" s="293">
        <f t="shared" si="412"/>
        <v>4387.3</v>
      </c>
      <c r="F378" s="305">
        <f>'[3]побудинковий звіт'!F378</f>
        <v>4387.3</v>
      </c>
      <c r="G378" s="508">
        <f>'[3]побудинковий звіт'!G378</f>
        <v>446.3</v>
      </c>
      <c r="H378" s="560">
        <f>'[3]побудинковий звіт'!H378</f>
        <v>0</v>
      </c>
      <c r="I378" s="566">
        <f>VLOOKUP($A378,'01-02.2021'!$A$6:$CZ$403,9,FALSE)+VLOOKUP($A378,'1.3.21-28.2.22'!$A$6:$DA$404,9,FALSE)-VLOOKUP($A378,'01-02.2022'!$A$6:$DA$376,9,FALSE)</f>
        <v>15315.746512816813</v>
      </c>
      <c r="J378" s="566">
        <f>VLOOKUP($A378,'01-02.2021'!$A$6:$CZ$403,10,FALSE)+VLOOKUP($A378,'1.3.21-28.2.22'!$A$6:$DA$404,10,FALSE)-VLOOKUP($A378,'01-02.2022'!$A$6:$DA$376,10,FALSE)</f>
        <v>15003.408162559168</v>
      </c>
      <c r="K378" s="52">
        <f t="shared" si="417"/>
        <v>-312.33835025764529</v>
      </c>
      <c r="L378" s="566">
        <f>VLOOKUP($A378,'01-02.2021'!$A$6:$CZ$403,12,FALSE)+VLOOKUP($A378,'1.3.21-28.2.22'!$A$6:$DA$404,12,FALSE)-VLOOKUP($A378,'01-02.2022'!$A$6:$DA$376,12,FALSE)</f>
        <v>2682.6116189947616</v>
      </c>
      <c r="M378" s="566">
        <f>VLOOKUP($A378,'01-02.2021'!$A$6:$CZ$403,13,FALSE)+VLOOKUP($A378,'1.3.21-28.2.22'!$A$6:$DA$404,13,FALSE)-VLOOKUP($A378,'01-02.2022'!$A$6:$DA$376,13,FALSE)</f>
        <v>2678.4616187881047</v>
      </c>
      <c r="N378" s="52">
        <f t="shared" si="418"/>
        <v>-4.1500002066568413</v>
      </c>
      <c r="O378" s="566">
        <f>VLOOKUP($A378,'01-02.2021'!$A$6:$CZ$403,15,FALSE)+VLOOKUP($A378,'1.3.21-28.2.22'!$A$6:$DA$404,15,FALSE)-VLOOKUP($A378,'01-02.2022'!$A$6:$DA$376,15,FALSE)</f>
        <v>5204.8525224072673</v>
      </c>
      <c r="P378" s="566">
        <f>VLOOKUP($A378,'01-02.2021'!$A$6:$CZ$403,16,FALSE)+VLOOKUP($A378,'1.3.21-28.2.22'!$A$6:$DA$404,16,FALSE)-VLOOKUP($A378,'01-02.2022'!$A$6:$DA$376,16,FALSE)</f>
        <v>5203.7416666666668</v>
      </c>
      <c r="Q378" s="70">
        <f t="shared" si="386"/>
        <v>-1.1108557406005275</v>
      </c>
      <c r="R378" s="566">
        <f>VLOOKUP($A378,'01-02.2021'!$A$6:$CZ$403,18,FALSE)+VLOOKUP($A378,'1.3.21-28.2.22'!$A$6:$DA$404,18,FALSE)-VLOOKUP($A378,'01-02.2022'!$A$6:$DA$376,18,FALSE)</f>
        <v>1254.7543922194914</v>
      </c>
      <c r="S378" s="566">
        <f>VLOOKUP($A378,'01-02.2021'!$A$6:$CZ$403,19,FALSE)+VLOOKUP($A378,'1.3.21-28.2.22'!$A$6:$DA$404,19,FALSE)-VLOOKUP($A378,'01-02.2022'!$A$6:$DA$376,19,FALSE)</f>
        <v>1255.4899999999998</v>
      </c>
      <c r="T378" s="70">
        <f t="shared" si="387"/>
        <v>0.73560778050841691</v>
      </c>
      <c r="U378" s="566">
        <f>VLOOKUP($A378,'01-02.2021'!$A$6:$CZ$403,21,FALSE)+VLOOKUP($A378,'1.3.21-28.2.22'!$A$6:$DA$404,21,FALSE)-VLOOKUP($A378,'01-02.2022'!$A$6:$DA$376,21,FALSE)</f>
        <v>671.36656966572173</v>
      </c>
      <c r="V378" s="566">
        <f>VLOOKUP($A378,'01-02.2021'!$A$6:$CZ$403,22,FALSE)+VLOOKUP($A378,'1.3.21-28.2.22'!$A$6:$DA$404,22,FALSE)-VLOOKUP($A378,'01-02.2022'!$A$6:$DA$376,22,FALSE)</f>
        <v>609.50655635722785</v>
      </c>
      <c r="W378" s="70">
        <f t="shared" si="388"/>
        <v>-61.860013308493876</v>
      </c>
      <c r="X378" s="566">
        <f>VLOOKUP($A378,'01-02.2021'!$A$6:$CZ$403,24,FALSE)+VLOOKUP($A378,'1.3.21-28.2.22'!$A$6:$DA$404,24,FALSE)-VLOOKUP($A378,'01-02.2022'!$A$6:$DA$376,24,FALSE)</f>
        <v>5307.5775584348348</v>
      </c>
      <c r="Y378" s="566">
        <f>VLOOKUP($A378,'01-02.2021'!$A$6:$CZ$403,25,FALSE)+VLOOKUP($A378,'1.3.21-28.2.22'!$A$6:$DA$404,25,FALSE)-VLOOKUP($A378,'01-02.2022'!$A$6:$DA$376,25,FALSE)</f>
        <v>4554.6028540072639</v>
      </c>
      <c r="Z378" s="70">
        <f t="shared" si="389"/>
        <v>-752.97470442757094</v>
      </c>
      <c r="AA378" s="566">
        <f>VLOOKUP($A378,'01-02.2021'!$A$6:$CZ$403,27,FALSE)+VLOOKUP($A378,'1.3.21-28.2.22'!$A$6:$DA$404,27,FALSE)-VLOOKUP($A378,'01-02.2022'!$A$6:$DA$376,27,FALSE)</f>
        <v>877.46000000000015</v>
      </c>
      <c r="AB378" s="566">
        <f>VLOOKUP($A378,'01-02.2021'!$A$6:$CZ$403,28,FALSE)+VLOOKUP($A378,'1.3.21-28.2.22'!$A$6:$DA$404,28,FALSE)-VLOOKUP($A378,'01-02.2022'!$A$6:$DA$376,28,FALSE)</f>
        <v>0</v>
      </c>
      <c r="AC378" s="70">
        <f t="shared" si="390"/>
        <v>-877.46000000000015</v>
      </c>
      <c r="AD378" s="566">
        <f>VLOOKUP($A378,'01-02.2021'!$A$6:$CZ$403,30,FALSE)+VLOOKUP($A378,'1.3.21-28.2.22'!$A$6:$DA$404,30,FALSE)-VLOOKUP($A378,'01-02.2022'!$A$6:$DA$376,30,FALSE)</f>
        <v>18844.732486236033</v>
      </c>
      <c r="AE378" s="566">
        <f>VLOOKUP($A378,'01-02.2021'!$A$6:$CZ$403,31,FALSE)+VLOOKUP($A378,'1.3.21-28.2.22'!$A$6:$DA$404,31,FALSE)-VLOOKUP($A378,'01-02.2022'!$A$6:$DA$376,31,FALSE)</f>
        <v>19971.166374189987</v>
      </c>
      <c r="AF378" s="68">
        <f t="shared" si="391"/>
        <v>1126.4338879539537</v>
      </c>
      <c r="AG378" s="77">
        <f t="shared" si="413"/>
        <v>50159.101660774919</v>
      </c>
      <c r="AH378" s="53">
        <f t="shared" si="413"/>
        <v>49276.377232568411</v>
      </c>
      <c r="AI378" s="52">
        <f t="shared" si="419"/>
        <v>-882.72442820650758</v>
      </c>
      <c r="AJ378" s="566">
        <f>VLOOKUP($A378,'01-02.2021'!$A$6:$CZ$403,36,FALSE)+VLOOKUP($A378,'1.3.21-28.2.22'!$A$6:$DA$404,36,FALSE)-VLOOKUP($A378,'01-02.2022'!$A$6:$DA$376,36,FALSE)</f>
        <v>24981.592844019076</v>
      </c>
      <c r="AK378" s="566">
        <f>VLOOKUP($A378,'01-02.2021'!$A$6:$CZ$403,37,FALSE)+VLOOKUP($A378,'1.3.21-28.2.22'!$A$6:$DA$404,37,FALSE)-VLOOKUP($A378,'01-02.2022'!$A$6:$DA$376,37,FALSE)</f>
        <v>24817.81684244678</v>
      </c>
      <c r="AL378" s="70">
        <f t="shared" si="392"/>
        <v>-163.77600157229608</v>
      </c>
      <c r="AM378" s="566">
        <f>VLOOKUP($A378,'01-02.2021'!$A$6:$CZ$403,39,FALSE)+VLOOKUP($A378,'1.3.21-28.2.22'!$A$6:$DA$404,39,FALSE)-VLOOKUP($A378,'01-02.2022'!$A$6:$DA$376,39,FALSE)</f>
        <v>920.74625934137634</v>
      </c>
      <c r="AN378" s="566">
        <f>VLOOKUP($A378,'01-02.2021'!$A$6:$CZ$403,40,FALSE)+VLOOKUP($A378,'1.3.21-28.2.22'!$A$6:$DA$404,40,FALSE)-VLOOKUP($A378,'01-02.2022'!$A$6:$DA$376,40,FALSE)</f>
        <v>1304.5391614457599</v>
      </c>
      <c r="AO378" s="70">
        <f t="shared" si="393"/>
        <v>383.79290210438353</v>
      </c>
      <c r="AP378" s="566">
        <f>VLOOKUP($A378,'01-02.2021'!$A$6:$CZ$403,42,FALSE)+VLOOKUP($A378,'1.3.21-28.2.22'!$A$6:$DA$404,42,FALSE)-VLOOKUP($A378,'01-02.2022'!$A$6:$DA$376,42,FALSE)</f>
        <v>3253.4995313298587</v>
      </c>
      <c r="AQ378" s="566">
        <f>VLOOKUP($A378,'01-02.2021'!$A$6:$CZ$403,43,FALSE)+VLOOKUP($A378,'1.3.21-28.2.22'!$A$6:$DA$404,43,FALSE)-VLOOKUP($A378,'01-02.2022'!$A$6:$DA$376,43,FALSE)</f>
        <v>2857.6408959537571</v>
      </c>
      <c r="AR378" s="70">
        <f t="shared" si="394"/>
        <v>-395.85863537610157</v>
      </c>
      <c r="AS378" s="566">
        <f>VLOOKUP($A378,'01-02.2021'!$A$6:$CZ$403,45,FALSE)+VLOOKUP($A378,'1.3.21-28.2.22'!$A$6:$DA$404,45,FALSE)-VLOOKUP($A378,'01-02.2022'!$A$6:$DA$376,45,FALSE)</f>
        <v>55435.016768563029</v>
      </c>
      <c r="AT378" s="566">
        <f>VLOOKUP($A378,'01-02.2021'!$A$6:$CZ$403,46,FALSE)+VLOOKUP($A378,'1.3.21-28.2.22'!$A$6:$DA$404,46,FALSE)-VLOOKUP($A378,'01-02.2022'!$A$6:$DA$376,46,FALSE)</f>
        <v>54781.69</v>
      </c>
      <c r="AU378" s="78">
        <f t="shared" si="395"/>
        <v>-653.32676856302714</v>
      </c>
      <c r="AV378" s="566">
        <f>VLOOKUP($A378,'01-02.2021'!$A$6:$CZ$403,48,FALSE)+VLOOKUP($A378,'1.3.21-28.2.22'!$A$6:$DA$404,48,FALSE)-VLOOKUP($A378,'01-02.2022'!$A$6:$DA$376,48,FALSE)</f>
        <v>3248.5655254425019</v>
      </c>
      <c r="AW378" s="566">
        <f>VLOOKUP($A378,'01-02.2021'!$A$6:$CZ$403,49,FALSE)+VLOOKUP($A378,'1.3.21-28.2.22'!$A$6:$DA$404,49,FALSE)-VLOOKUP($A378,'01-02.2022'!$A$6:$DA$376,49,FALSE)</f>
        <v>1472</v>
      </c>
      <c r="AX378" s="55">
        <f t="shared" si="396"/>
        <v>-1776.5655254425019</v>
      </c>
      <c r="AY378" s="566">
        <f>VLOOKUP($A378,'01-02.2021'!$A$6:$CZ$403,51,FALSE)+VLOOKUP($A378,'1.3.21-28.2.22'!$A$6:$DA$404,51,FALSE)-VLOOKUP($A378,'01-02.2022'!$A$6:$DA$376,51,FALSE)</f>
        <v>4062.8101738908535</v>
      </c>
      <c r="AZ378" s="566">
        <f>VLOOKUP($A378,'01-02.2021'!$A$6:$CZ$403,52,FALSE)+VLOOKUP($A378,'1.3.21-28.2.22'!$A$6:$DA$404,52,FALSE)-VLOOKUP($A378,'01-02.2022'!$A$6:$DA$376,52,FALSE)</f>
        <v>0</v>
      </c>
      <c r="BA378" s="38">
        <f t="shared" si="397"/>
        <v>-4062.8101738908535</v>
      </c>
      <c r="BB378" s="566">
        <f>VLOOKUP($A378,'01-02.2021'!$A$6:$CZ$403,54,FALSE)+VLOOKUP($A378,'1.3.21-28.2.22'!$A$6:$DA$404,54,FALSE)-VLOOKUP($A378,'01-02.2022'!$A$6:$DA$376,54,FALSE)</f>
        <v>2397.1109511547274</v>
      </c>
      <c r="BC378" s="566">
        <f>VLOOKUP($A378,'01-02.2021'!$A$6:$CZ$403,55,FALSE)+VLOOKUP($A378,'1.3.21-28.2.22'!$A$6:$DA$404,55,FALSE)-VLOOKUP($A378,'01-02.2022'!$A$6:$DA$376,55,FALSE)</f>
        <v>403</v>
      </c>
      <c r="BD378" s="55">
        <f t="shared" si="398"/>
        <v>-1994.1109511547274</v>
      </c>
      <c r="BE378" s="566">
        <f>VLOOKUP($A378,'01-02.2021'!$A$6:$CZ$403,57,FALSE)+VLOOKUP($A378,'1.3.21-28.2.22'!$A$6:$DA$404,57,FALSE)-VLOOKUP($A378,'01-02.2022'!$A$6:$DA$376,57,FALSE)</f>
        <v>2882.6800719665562</v>
      </c>
      <c r="BF378" s="566">
        <f>VLOOKUP($A378,'01-02.2021'!$A$6:$CZ$403,58,FALSE)+VLOOKUP($A378,'1.3.21-28.2.22'!$A$6:$DA$404,58,FALSE)-VLOOKUP($A378,'01-02.2022'!$A$6:$DA$376,58,FALSE)</f>
        <v>1953</v>
      </c>
      <c r="BG378" s="55">
        <f t="shared" si="399"/>
        <v>-929.68007196655617</v>
      </c>
      <c r="BH378" s="566">
        <f>VLOOKUP($A378,'01-02.2021'!$A$6:$CZ$403,60,FALSE)+VLOOKUP($A378,'1.3.21-28.2.22'!$A$6:$DA$404,60,FALSE)-VLOOKUP($A378,'01-02.2022'!$A$6:$DA$376,60,FALSE)</f>
        <v>1275.6779514917541</v>
      </c>
      <c r="BI378" s="566">
        <f>VLOOKUP($A378,'01-02.2021'!$A$6:$CZ$403,61,FALSE)+VLOOKUP($A378,'1.3.21-28.2.22'!$A$6:$DA$404,61,FALSE)-VLOOKUP($A378,'01-02.2022'!$A$6:$DA$376,61,FALSE)</f>
        <v>0</v>
      </c>
      <c r="BJ378" s="55">
        <f t="shared" si="400"/>
        <v>-1275.6779514917541</v>
      </c>
      <c r="BK378" s="566">
        <f>VLOOKUP($A378,'01-02.2021'!$A$6:$CZ$403,63,FALSE)+VLOOKUP($A378,'1.3.21-28.2.22'!$A$6:$DA$404,63,FALSE)-VLOOKUP($A378,'01-02.2022'!$A$6:$DA$376,63,FALSE)</f>
        <v>1821.0060268740276</v>
      </c>
      <c r="BL378" s="566">
        <f>VLOOKUP($A378,'01-02.2021'!$A$6:$CZ$403,64,FALSE)+VLOOKUP($A378,'1.3.21-28.2.22'!$A$6:$DA$404,64,FALSE)-VLOOKUP($A378,'01-02.2022'!$A$6:$DA$376,64,FALSE)</f>
        <v>371</v>
      </c>
      <c r="BM378" s="55">
        <f t="shared" si="401"/>
        <v>-1450.0060268740276</v>
      </c>
      <c r="BN378" s="566">
        <f>VLOOKUP($A378,'01-02.2021'!$A$6:$CZ$403,66,FALSE)+VLOOKUP($A378,'1.3.21-28.2.22'!$A$6:$DA$404,66,FALSE)-VLOOKUP($A378,'01-02.2022'!$A$6:$DA$376,66,FALSE)</f>
        <v>219.36500000000004</v>
      </c>
      <c r="BO378" s="566">
        <f>VLOOKUP($A378,'01-02.2021'!$A$6:$CZ$403,67,FALSE)+VLOOKUP($A378,'1.3.21-28.2.22'!$A$6:$DA$404,67,FALSE)-VLOOKUP($A378,'01-02.2022'!$A$6:$DA$376,67,FALSE)</f>
        <v>0</v>
      </c>
      <c r="BP378" s="55">
        <f t="shared" si="402"/>
        <v>-219.36500000000004</v>
      </c>
      <c r="BQ378" s="77">
        <f t="shared" si="409"/>
        <v>15907.215700820421</v>
      </c>
      <c r="BR378" s="40">
        <f t="shared" si="434"/>
        <v>4199</v>
      </c>
      <c r="BS378" s="55">
        <f t="shared" si="428"/>
        <v>-11708.215700820421</v>
      </c>
      <c r="BT378" s="566">
        <f>VLOOKUP($A378,'01-02.2021'!$A$6:$CZ$403,72,FALSE)+VLOOKUP($A378,'1.3.21-28.2.22'!$A$6:$DA$404,72,FALSE)-VLOOKUP($A378,'01-02.2022'!$A$6:$DA$376,72,FALSE)</f>
        <v>47547.39609891249</v>
      </c>
      <c r="BU378" s="566">
        <f>VLOOKUP($A378,'01-02.2021'!$A$6:$CZ$403,73,FALSE)+VLOOKUP($A378,'1.3.21-28.2.22'!$A$6:$DA$404,73,FALSE)-VLOOKUP($A378,'01-02.2022'!$A$6:$DA$376,73,FALSE)</f>
        <v>27444.632449937541</v>
      </c>
      <c r="BV378" s="70">
        <f t="shared" si="403"/>
        <v>-20102.763648974949</v>
      </c>
      <c r="BW378" s="566">
        <f>VLOOKUP($A378,'01-02.2021'!$A$6:$CZ$403,75,FALSE)+VLOOKUP($A378,'1.3.21-28.2.22'!$A$6:$DA$404,75,FALSE)-VLOOKUP($A378,'01-02.2022'!$A$6:$DA$376,75,FALSE)</f>
        <v>29301.326855575957</v>
      </c>
      <c r="BX378" s="566">
        <f>VLOOKUP($A378,'01-02.2021'!$A$6:$CZ$403,76,FALSE)+VLOOKUP($A378,'1.3.21-28.2.22'!$A$6:$DA$404,76,FALSE)-VLOOKUP($A378,'01-02.2022'!$A$6:$DA$376,76,FALSE)</f>
        <v>18880.184725760933</v>
      </c>
      <c r="BY378" s="70">
        <f t="shared" si="404"/>
        <v>-10421.142129815024</v>
      </c>
      <c r="BZ378" s="566">
        <f>VLOOKUP($A378,'01-02.2021'!$A$6:$CZ$403,78,FALSE)+VLOOKUP($A378,'1.3.21-28.2.22'!$A$6:$DA$404,78,FALSE)-VLOOKUP($A378,'01-02.2022'!$A$6:$DA$376,78,FALSE)</f>
        <v>7485.2763990418425</v>
      </c>
      <c r="CA378" s="566">
        <f>VLOOKUP($A378,'01-02.2021'!$A$6:$CZ$403,79,FALSE)+VLOOKUP($A378,'1.3.21-28.2.22'!$A$6:$DA$404,79,FALSE)-VLOOKUP($A378,'01-02.2022'!$A$6:$DA$376,79,FALSE)</f>
        <v>9973.6995112935765</v>
      </c>
      <c r="CB378" s="70">
        <f t="shared" si="405"/>
        <v>2488.423112251734</v>
      </c>
      <c r="CC378" s="566">
        <f>VLOOKUP($A378,'01-02.2021'!$A$6:$CZ$403,81,FALSE)+VLOOKUP($A378,'1.3.21-28.2.22'!$A$6:$DA$404,81,FALSE)-VLOOKUP($A378,'01-02.2022'!$A$6:$DA$376,81,FALSE)</f>
        <v>1452.7442880210106</v>
      </c>
      <c r="CD378" s="566">
        <f>VLOOKUP($A378,'01-02.2021'!$A$6:$CZ$403,82,FALSE)+VLOOKUP($A378,'1.3.21-28.2.22'!$A$6:$DA$404,82,FALSE)-VLOOKUP($A378,'01-02.2022'!$A$6:$DA$376,82,FALSE)</f>
        <v>1576.3182735888015</v>
      </c>
      <c r="CE378" s="70">
        <f t="shared" si="406"/>
        <v>123.57398556779094</v>
      </c>
      <c r="CF378" s="566">
        <f>VLOOKUP($A378,'01-02.2021'!$A$6:$CZ$403,84,FALSE)+VLOOKUP($A378,'1.3.21-28.2.22'!$A$6:$DA$404,84,FALSE)-VLOOKUP($A378,'01-02.2022'!$A$6:$DA$376,84,FALSE)</f>
        <v>175.32953404851452</v>
      </c>
      <c r="CG378" s="566">
        <f>VLOOKUP($A378,'01-02.2021'!$A$6:$CZ$403,85,FALSE)+VLOOKUP($A378,'1.3.21-28.2.22'!$A$6:$DA$404,85,FALSE)-VLOOKUP($A378,'01-02.2022'!$A$6:$DA$376,85,FALSE)</f>
        <v>0</v>
      </c>
      <c r="CH378" s="70">
        <f t="shared" si="407"/>
        <v>-175.32953404851452</v>
      </c>
      <c r="CI378" s="566">
        <f>VLOOKUP($A378,'01-02.2021'!$A$6:$CZ$403,87,FALSE)+VLOOKUP($A378,'1.3.21-28.2.22'!$A$6:$DA$404,87,FALSE)-VLOOKUP($A378,'01-02.2022'!$A$6:$DA$376,87,FALSE)</f>
        <v>7105.9318363834536</v>
      </c>
      <c r="CJ378" s="566">
        <f>VLOOKUP($A378,'01-02.2021'!$A$6:$CZ$403,88,FALSE)+VLOOKUP($A378,'1.3.21-28.2.22'!$A$6:$DA$404,88,FALSE)-VLOOKUP($A378,'01-02.2022'!$A$6:$DA$376,88,FALSE)</f>
        <v>6615.7307891750361</v>
      </c>
      <c r="CK378" s="70">
        <f t="shared" si="408"/>
        <v>-490.20104720841755</v>
      </c>
      <c r="CL378" s="566">
        <f>VLOOKUP($A378,'01-02.2021'!$A$6:$CZ$403,90,FALSE)+VLOOKUP($A378,'1.3.21-28.2.22'!$A$6:$DA$404,90,FALSE)-VLOOKUP($A378,'01-02.2022'!$A$6:$DA$376,90,FALSE)</f>
        <v>7502.6999593162109</v>
      </c>
      <c r="CM378" s="566">
        <f>VLOOKUP($A378,'01-02.2021'!$A$6:$CZ$403,91,FALSE)+VLOOKUP($A378,'1.3.21-28.2.22'!$A$6:$DA$404,91,FALSE)-VLOOKUP($A378,'01-02.2022'!$A$6:$DA$376,91,FALSE)</f>
        <v>5619.9256260929178</v>
      </c>
      <c r="CN378" s="52">
        <f t="shared" si="420"/>
        <v>-1882.7743332232931</v>
      </c>
      <c r="CO378" s="39">
        <f t="shared" si="414"/>
        <v>14608.631795699665</v>
      </c>
      <c r="CP378" s="40">
        <f t="shared" si="421"/>
        <v>12235.656415267953</v>
      </c>
      <c r="CQ378" s="52">
        <f t="shared" si="422"/>
        <v>-2372.9753804317115</v>
      </c>
      <c r="CR378" s="72">
        <f t="shared" si="415"/>
        <v>251227.87773614813</v>
      </c>
      <c r="CS378" s="5">
        <f t="shared" si="415"/>
        <v>207347.55550826353</v>
      </c>
      <c r="CT378" s="52">
        <f t="shared" si="423"/>
        <v>-43880.322227884608</v>
      </c>
      <c r="CU378" s="77">
        <f t="shared" si="424"/>
        <v>301473.45328337775</v>
      </c>
      <c r="CV378" s="65">
        <f t="shared" si="425"/>
        <v>248817.06660991622</v>
      </c>
      <c r="CW378" s="35">
        <f t="shared" si="426"/>
        <v>-52656.386673461529</v>
      </c>
      <c r="CX378" s="566">
        <f>VLOOKUP($A378,'01-02.2021'!$A$6:$CZ$403,102,FALSE)+VLOOKUP($A378,'1.3.21-28.2.22'!$A$6:$DA$404,102,FALSE)-VLOOKUP($A378,'01-02.2022'!$A$6:$DA$376,102,FALSE)</f>
        <v>8678.3635075999555</v>
      </c>
      <c r="CY378" s="566">
        <f>VLOOKUP($A378,'01-02.2021'!$A$6:$CZ$403,103,FALSE)+VLOOKUP($A378,'1.3.21-28.2.22'!$A$6:$DA$404,103,FALSE)-VLOOKUP($A378,'01-02.2022'!$A$6:$DA$376,103,FALSE)</f>
        <v>61334.750181061492</v>
      </c>
      <c r="CZ378" s="52">
        <f t="shared" si="427"/>
        <v>52656.386673461537</v>
      </c>
      <c r="DA378" s="150">
        <f>'[2]побудинковий звіт'!DA378</f>
        <v>16370.349451368951</v>
      </c>
      <c r="DB378" s="2">
        <v>3</v>
      </c>
      <c r="DC378" s="414">
        <f>'[4]побудинковий звіт'!DC378</f>
        <v>45343.86</v>
      </c>
      <c r="DD378" s="414">
        <f>'[4]побудинковий звіт'!DD378</f>
        <v>0</v>
      </c>
      <c r="DE378" s="557">
        <f>'[4]побудинковий звіт'!DE378</f>
        <v>17666.245285587058</v>
      </c>
      <c r="DF378" s="557">
        <f>'[4]побудинковий звіт'!DF378</f>
        <v>0</v>
      </c>
      <c r="DG378" s="321">
        <f>VLOOKUP(A378,'кошти 01.03.2021'!$A$6:$D$401,4,)</f>
        <v>91139.624672042381</v>
      </c>
      <c r="DH378" s="40">
        <f>'[3]побудинковий звіт'!DJ378</f>
        <v>318774.77720932179</v>
      </c>
      <c r="DI378" s="422">
        <f>'[3]побудинковий звіт'!CU378+'[3]побудинковий звіт'!CX378</f>
        <v>27677.614714412943</v>
      </c>
      <c r="DJ378" s="306">
        <f>'[3]побудинковий звіт'!DM378</f>
        <v>5.4974410792531181</v>
      </c>
      <c r="DK378" s="306">
        <f>'[3]побудинковий звіт'!DN378</f>
        <v>6.4004330780873575</v>
      </c>
      <c r="DL378" s="306">
        <f>'[3]побудинковий звіт'!DO378</f>
        <v>4.7058646823917085</v>
      </c>
      <c r="DM378" s="28">
        <f t="shared" si="435"/>
        <v>27677.614714412943</v>
      </c>
      <c r="DN378" s="28">
        <f t="shared" si="436"/>
        <v>0</v>
      </c>
      <c r="DO378" s="423">
        <f t="shared" si="381"/>
        <v>27677.614714412943</v>
      </c>
      <c r="DP378" s="94">
        <f t="shared" si="382"/>
        <v>0</v>
      </c>
      <c r="DQ378" s="28">
        <f t="shared" si="383"/>
        <v>27677.614714412943</v>
      </c>
      <c r="DR378" s="318"/>
      <c r="DT378" s="8"/>
      <c r="DU378" s="5"/>
      <c r="DX378" s="5">
        <f t="shared" si="384"/>
        <v>85610.678963260143</v>
      </c>
      <c r="DY378" s="5">
        <f t="shared" si="385"/>
        <v>70776.827999999994</v>
      </c>
      <c r="DZ378" s="159">
        <f>'[3]побудинковий звіт'!EA378</f>
        <v>7683.0959897263838</v>
      </c>
    </row>
    <row r="379" spans="1:130" x14ac:dyDescent="0.3">
      <c r="A379" s="325">
        <v>150000905</v>
      </c>
      <c r="B379" s="41" t="s">
        <v>825</v>
      </c>
      <c r="C379" s="42" t="s">
        <v>427</v>
      </c>
      <c r="D379" s="27"/>
      <c r="E379" s="293">
        <f t="shared" si="412"/>
        <v>5222.9000000000005</v>
      </c>
      <c r="F379" s="305">
        <f>'[3]побудинковий звіт'!F379</f>
        <v>5047.1000000000004</v>
      </c>
      <c r="G379" s="508">
        <f>'[3]побудинковий звіт'!G379</f>
        <v>0</v>
      </c>
      <c r="H379" s="560">
        <f>'[3]побудинковий звіт'!H379</f>
        <v>175.8</v>
      </c>
      <c r="I379" s="566">
        <f>VLOOKUP($A379,'01-02.2021'!$A$6:$CZ$403,9,FALSE)+VLOOKUP($A379,'1.3.21-28.2.22'!$A$6:$DA$404,9,FALSE)-VLOOKUP($A379,'01-02.2022'!$A$6:$DA$376,9,FALSE)</f>
        <v>11007.911910852123</v>
      </c>
      <c r="J379" s="566">
        <f>VLOOKUP($A379,'01-02.2021'!$A$6:$CZ$403,10,FALSE)+VLOOKUP($A379,'1.3.21-28.2.22'!$A$6:$DA$404,10,FALSE)-VLOOKUP($A379,'01-02.2022'!$A$6:$DA$376,10,FALSE)</f>
        <v>10892.131668812963</v>
      </c>
      <c r="K379" s="52">
        <f t="shared" si="417"/>
        <v>-115.78024203915993</v>
      </c>
      <c r="L379" s="566">
        <f>VLOOKUP($A379,'01-02.2021'!$A$6:$CZ$403,12,FALSE)+VLOOKUP($A379,'1.3.21-28.2.22'!$A$6:$DA$404,12,FALSE)-VLOOKUP($A379,'01-02.2022'!$A$6:$DA$376,12,FALSE)</f>
        <v>1943.0880851979587</v>
      </c>
      <c r="M379" s="566">
        <f>VLOOKUP($A379,'01-02.2021'!$A$6:$CZ$403,13,FALSE)+VLOOKUP($A379,'1.3.21-28.2.22'!$A$6:$DA$404,13,FALSE)-VLOOKUP($A379,'01-02.2022'!$A$6:$DA$376,13,FALSE)</f>
        <v>1940.0890044492503</v>
      </c>
      <c r="N379" s="52">
        <f t="shared" si="418"/>
        <v>-2.9990807487083657</v>
      </c>
      <c r="O379" s="566">
        <f>VLOOKUP($A379,'01-02.2021'!$A$6:$CZ$403,15,FALSE)+VLOOKUP($A379,'1.3.21-28.2.22'!$A$6:$DA$404,15,FALSE)-VLOOKUP($A379,'01-02.2022'!$A$6:$DA$376,15,FALSE)</f>
        <v>6123.0339775255679</v>
      </c>
      <c r="P379" s="566">
        <f>VLOOKUP($A379,'01-02.2021'!$A$6:$CZ$403,16,FALSE)+VLOOKUP($A379,'1.3.21-28.2.22'!$A$6:$DA$404,16,FALSE)-VLOOKUP($A379,'01-02.2022'!$A$6:$DA$376,16,FALSE)</f>
        <v>6122.9400000000005</v>
      </c>
      <c r="Q379" s="70">
        <f t="shared" si="386"/>
        <v>-9.3977525567424891E-2</v>
      </c>
      <c r="R379" s="566">
        <f>VLOOKUP($A379,'01-02.2021'!$A$6:$CZ$403,18,FALSE)+VLOOKUP($A379,'1.3.21-28.2.22'!$A$6:$DA$404,18,FALSE)-VLOOKUP($A379,'01-02.2022'!$A$6:$DA$376,18,FALSE)</f>
        <v>1422.6285290694248</v>
      </c>
      <c r="S379" s="566">
        <f>VLOOKUP($A379,'01-02.2021'!$A$6:$CZ$403,19,FALSE)+VLOOKUP($A379,'1.3.21-28.2.22'!$A$6:$DA$404,19,FALSE)-VLOOKUP($A379,'01-02.2022'!$A$6:$DA$376,19,FALSE)</f>
        <v>1422.8483333333334</v>
      </c>
      <c r="T379" s="70">
        <f t="shared" si="387"/>
        <v>0.21980426390859975</v>
      </c>
      <c r="U379" s="566">
        <f>VLOOKUP($A379,'01-02.2021'!$A$6:$CZ$403,21,FALSE)+VLOOKUP($A379,'1.3.21-28.2.22'!$A$6:$DA$404,21,FALSE)-VLOOKUP($A379,'01-02.2022'!$A$6:$DA$376,21,FALSE)</f>
        <v>686.6873069280665</v>
      </c>
      <c r="V379" s="566">
        <f>VLOOKUP($A379,'01-02.2021'!$A$6:$CZ$403,22,FALSE)+VLOOKUP($A379,'1.3.21-28.2.22'!$A$6:$DA$404,22,FALSE)-VLOOKUP($A379,'01-02.2022'!$A$6:$DA$376,22,FALSE)</f>
        <v>583.61977397085127</v>
      </c>
      <c r="W379" s="70">
        <f t="shared" si="388"/>
        <v>-103.06753295721524</v>
      </c>
      <c r="X379" s="566">
        <f>VLOOKUP($A379,'01-02.2021'!$A$6:$CZ$403,24,FALSE)+VLOOKUP($A379,'1.3.21-28.2.22'!$A$6:$DA$404,24,FALSE)-VLOOKUP($A379,'01-02.2022'!$A$6:$DA$376,24,FALSE)</f>
        <v>6587.0918552664743</v>
      </c>
      <c r="Y379" s="566">
        <f>VLOOKUP($A379,'01-02.2021'!$A$6:$CZ$403,25,FALSE)+VLOOKUP($A379,'1.3.21-28.2.22'!$A$6:$DA$404,25,FALSE)-VLOOKUP($A379,'01-02.2022'!$A$6:$DA$376,25,FALSE)</f>
        <v>5817.6283847398354</v>
      </c>
      <c r="Z379" s="70">
        <f t="shared" si="389"/>
        <v>-769.46347052663896</v>
      </c>
      <c r="AA379" s="566">
        <f>VLOOKUP($A379,'01-02.2021'!$A$6:$CZ$403,27,FALSE)+VLOOKUP($A379,'1.3.21-28.2.22'!$A$6:$DA$404,27,FALSE)-VLOOKUP($A379,'01-02.2022'!$A$6:$DA$376,27,FALSE)</f>
        <v>0</v>
      </c>
      <c r="AB379" s="566">
        <f>VLOOKUP($A379,'01-02.2021'!$A$6:$CZ$403,28,FALSE)+VLOOKUP($A379,'1.3.21-28.2.22'!$A$6:$DA$404,28,FALSE)-VLOOKUP($A379,'01-02.2022'!$A$6:$DA$376,28,FALSE)</f>
        <v>0</v>
      </c>
      <c r="AC379" s="70">
        <f t="shared" si="390"/>
        <v>0</v>
      </c>
      <c r="AD379" s="566">
        <f>VLOOKUP($A379,'01-02.2021'!$A$6:$CZ$403,30,FALSE)+VLOOKUP($A379,'1.3.21-28.2.22'!$A$6:$DA$404,30,FALSE)-VLOOKUP($A379,'01-02.2022'!$A$6:$DA$376,30,FALSE)</f>
        <v>22416.461223315113</v>
      </c>
      <c r="AE379" s="566">
        <f>VLOOKUP($A379,'01-02.2021'!$A$6:$CZ$403,31,FALSE)+VLOOKUP($A379,'1.3.21-28.2.22'!$A$6:$DA$404,31,FALSE)-VLOOKUP($A379,'01-02.2022'!$A$6:$DA$376,31,FALSE)</f>
        <v>23774.851242394387</v>
      </c>
      <c r="AF379" s="68">
        <f t="shared" si="391"/>
        <v>1358.3900190792738</v>
      </c>
      <c r="AG379" s="77">
        <f t="shared" si="413"/>
        <v>50186.902888154727</v>
      </c>
      <c r="AH379" s="53">
        <f t="shared" si="413"/>
        <v>50554.108407700624</v>
      </c>
      <c r="AI379" s="52">
        <f t="shared" si="419"/>
        <v>367.2055195458961</v>
      </c>
      <c r="AJ379" s="566">
        <f>VLOOKUP($A379,'01-02.2021'!$A$6:$CZ$403,36,FALSE)+VLOOKUP($A379,'1.3.21-28.2.22'!$A$6:$DA$404,36,FALSE)-VLOOKUP($A379,'01-02.2022'!$A$6:$DA$376,36,FALSE)</f>
        <v>34359.495334296305</v>
      </c>
      <c r="AK379" s="566">
        <f>VLOOKUP($A379,'01-02.2021'!$A$6:$CZ$403,37,FALSE)+VLOOKUP($A379,'1.3.21-28.2.22'!$A$6:$DA$404,37,FALSE)-VLOOKUP($A379,'01-02.2022'!$A$6:$DA$376,37,FALSE)</f>
        <v>33864.780027002525</v>
      </c>
      <c r="AL379" s="70">
        <f t="shared" si="392"/>
        <v>-494.71530729377992</v>
      </c>
      <c r="AM379" s="566">
        <f>VLOOKUP($A379,'01-02.2021'!$A$6:$CZ$403,39,FALSE)+VLOOKUP($A379,'1.3.21-28.2.22'!$A$6:$DA$404,39,FALSE)-VLOOKUP($A379,'01-02.2022'!$A$6:$DA$376,39,FALSE)</f>
        <v>0</v>
      </c>
      <c r="AN379" s="566">
        <f>VLOOKUP($A379,'01-02.2021'!$A$6:$CZ$403,40,FALSE)+VLOOKUP($A379,'1.3.21-28.2.22'!$A$6:$DA$404,40,FALSE)-VLOOKUP($A379,'01-02.2022'!$A$6:$DA$376,40,FALSE)</f>
        <v>0</v>
      </c>
      <c r="AO379" s="70">
        <f t="shared" si="393"/>
        <v>0</v>
      </c>
      <c r="AP379" s="566">
        <f>VLOOKUP($A379,'01-02.2021'!$A$6:$CZ$403,42,FALSE)+VLOOKUP($A379,'1.3.21-28.2.22'!$A$6:$DA$404,42,FALSE)-VLOOKUP($A379,'01-02.2022'!$A$6:$DA$376,42,FALSE)</f>
        <v>2906.45958132134</v>
      </c>
      <c r="AQ379" s="566">
        <f>VLOOKUP($A379,'01-02.2021'!$A$6:$CZ$403,43,FALSE)+VLOOKUP($A379,'1.3.21-28.2.22'!$A$6:$DA$404,43,FALSE)-VLOOKUP($A379,'01-02.2022'!$A$6:$DA$376,43,FALSE)</f>
        <v>2526.0548072163656</v>
      </c>
      <c r="AR379" s="70">
        <f t="shared" si="394"/>
        <v>-380.40477410497442</v>
      </c>
      <c r="AS379" s="566">
        <f>VLOOKUP($A379,'01-02.2021'!$A$6:$CZ$403,45,FALSE)+VLOOKUP($A379,'1.3.21-28.2.22'!$A$6:$DA$404,45,FALSE)-VLOOKUP($A379,'01-02.2022'!$A$6:$DA$376,45,FALSE)</f>
        <v>58811.88604028416</v>
      </c>
      <c r="AT379" s="566">
        <f>VLOOKUP($A379,'01-02.2021'!$A$6:$CZ$403,46,FALSE)+VLOOKUP($A379,'1.3.21-28.2.22'!$A$6:$DA$404,46,FALSE)-VLOOKUP($A379,'01-02.2022'!$A$6:$DA$376,46,FALSE)</f>
        <v>59190.25</v>
      </c>
      <c r="AU379" s="78">
        <f t="shared" si="395"/>
        <v>378.36395971583988</v>
      </c>
      <c r="AV379" s="566">
        <f>VLOOKUP($A379,'01-02.2021'!$A$6:$CZ$403,48,FALSE)+VLOOKUP($A379,'1.3.21-28.2.22'!$A$6:$DA$404,48,FALSE)-VLOOKUP($A379,'01-02.2022'!$A$6:$DA$376,48,FALSE)</f>
        <v>2675.1497470713457</v>
      </c>
      <c r="AW379" s="566">
        <f>VLOOKUP($A379,'01-02.2021'!$A$6:$CZ$403,49,FALSE)+VLOOKUP($A379,'1.3.21-28.2.22'!$A$6:$DA$404,49,FALSE)-VLOOKUP($A379,'01-02.2022'!$A$6:$DA$376,49,FALSE)</f>
        <v>0</v>
      </c>
      <c r="AX379" s="55">
        <f t="shared" si="396"/>
        <v>-2675.1497470713457</v>
      </c>
      <c r="AY379" s="566">
        <f>VLOOKUP($A379,'01-02.2021'!$A$6:$CZ$403,51,FALSE)+VLOOKUP($A379,'1.3.21-28.2.22'!$A$6:$DA$404,51,FALSE)-VLOOKUP($A379,'01-02.2022'!$A$6:$DA$376,51,FALSE)</f>
        <v>2926.9823647194194</v>
      </c>
      <c r="AZ379" s="566">
        <f>VLOOKUP($A379,'01-02.2021'!$A$6:$CZ$403,52,FALSE)+VLOOKUP($A379,'1.3.21-28.2.22'!$A$6:$DA$404,52,FALSE)-VLOOKUP($A379,'01-02.2022'!$A$6:$DA$376,52,FALSE)</f>
        <v>0</v>
      </c>
      <c r="BA379" s="38">
        <f t="shared" si="397"/>
        <v>-2926.9823647194194</v>
      </c>
      <c r="BB379" s="566">
        <f>VLOOKUP($A379,'01-02.2021'!$A$6:$CZ$403,54,FALSE)+VLOOKUP($A379,'1.3.21-28.2.22'!$A$6:$DA$404,54,FALSE)-VLOOKUP($A379,'01-02.2022'!$A$6:$DA$376,54,FALSE)</f>
        <v>3157.4368778457624</v>
      </c>
      <c r="BC379" s="566">
        <f>VLOOKUP($A379,'01-02.2021'!$A$6:$CZ$403,55,FALSE)+VLOOKUP($A379,'1.3.21-28.2.22'!$A$6:$DA$404,55,FALSE)-VLOOKUP($A379,'01-02.2022'!$A$6:$DA$376,55,FALSE)</f>
        <v>540</v>
      </c>
      <c r="BD379" s="55">
        <f t="shared" si="398"/>
        <v>-2617.4368778457624</v>
      </c>
      <c r="BE379" s="566">
        <f>VLOOKUP($A379,'01-02.2021'!$A$6:$CZ$403,57,FALSE)+VLOOKUP($A379,'1.3.21-28.2.22'!$A$6:$DA$404,57,FALSE)-VLOOKUP($A379,'01-02.2022'!$A$6:$DA$376,57,FALSE)</f>
        <v>3248.0083007927674</v>
      </c>
      <c r="BF379" s="566">
        <f>VLOOKUP($A379,'01-02.2021'!$A$6:$CZ$403,58,FALSE)+VLOOKUP($A379,'1.3.21-28.2.22'!$A$6:$DA$404,58,FALSE)-VLOOKUP($A379,'01-02.2022'!$A$6:$DA$376,58,FALSE)</f>
        <v>1176</v>
      </c>
      <c r="BG379" s="55">
        <f t="shared" si="399"/>
        <v>-2072.0083007927674</v>
      </c>
      <c r="BH379" s="566">
        <f>VLOOKUP($A379,'01-02.2021'!$A$6:$CZ$403,60,FALSE)+VLOOKUP($A379,'1.3.21-28.2.22'!$A$6:$DA$404,60,FALSE)-VLOOKUP($A379,'01-02.2022'!$A$6:$DA$376,60,FALSE)</f>
        <v>1304.6835650387052</v>
      </c>
      <c r="BI379" s="566">
        <f>VLOOKUP($A379,'01-02.2021'!$A$6:$CZ$403,61,FALSE)+VLOOKUP($A379,'1.3.21-28.2.22'!$A$6:$DA$404,61,FALSE)-VLOOKUP($A379,'01-02.2022'!$A$6:$DA$376,61,FALSE)</f>
        <v>0</v>
      </c>
      <c r="BJ379" s="55">
        <f t="shared" si="400"/>
        <v>-1304.6835650387052</v>
      </c>
      <c r="BK379" s="566">
        <f>VLOOKUP($A379,'01-02.2021'!$A$6:$CZ$403,63,FALSE)+VLOOKUP($A379,'1.3.21-28.2.22'!$A$6:$DA$404,63,FALSE)-VLOOKUP($A379,'01-02.2022'!$A$6:$DA$376,63,FALSE)</f>
        <v>2027.2465923623852</v>
      </c>
      <c r="BL379" s="566">
        <f>VLOOKUP($A379,'01-02.2021'!$A$6:$CZ$403,64,FALSE)+VLOOKUP($A379,'1.3.21-28.2.22'!$A$6:$DA$404,64,FALSE)-VLOOKUP($A379,'01-02.2022'!$A$6:$DA$376,64,FALSE)</f>
        <v>0</v>
      </c>
      <c r="BM379" s="55">
        <f t="shared" si="401"/>
        <v>-2027.2465923623852</v>
      </c>
      <c r="BN379" s="566">
        <f>VLOOKUP($A379,'01-02.2021'!$A$6:$CZ$403,66,FALSE)+VLOOKUP($A379,'1.3.21-28.2.22'!$A$6:$DA$404,66,FALSE)-VLOOKUP($A379,'01-02.2022'!$A$6:$DA$376,66,FALSE)</f>
        <v>0</v>
      </c>
      <c r="BO379" s="566">
        <f>VLOOKUP($A379,'01-02.2021'!$A$6:$CZ$403,67,FALSE)+VLOOKUP($A379,'1.3.21-28.2.22'!$A$6:$DA$404,67,FALSE)-VLOOKUP($A379,'01-02.2022'!$A$6:$DA$376,67,FALSE)</f>
        <v>0</v>
      </c>
      <c r="BP379" s="55">
        <f t="shared" si="402"/>
        <v>0</v>
      </c>
      <c r="BQ379" s="77">
        <f t="shared" si="409"/>
        <v>15339.507447830387</v>
      </c>
      <c r="BR379" s="40">
        <f t="shared" si="434"/>
        <v>1716</v>
      </c>
      <c r="BS379" s="55">
        <f t="shared" si="428"/>
        <v>-13623.507447830387</v>
      </c>
      <c r="BT379" s="566">
        <f>VLOOKUP($A379,'01-02.2021'!$A$6:$CZ$403,72,FALSE)+VLOOKUP($A379,'1.3.21-28.2.22'!$A$6:$DA$404,72,FALSE)-VLOOKUP($A379,'01-02.2022'!$A$6:$DA$376,72,FALSE)</f>
        <v>40808.819396011662</v>
      </c>
      <c r="BU379" s="566">
        <f>VLOOKUP($A379,'01-02.2021'!$A$6:$CZ$403,73,FALSE)+VLOOKUP($A379,'1.3.21-28.2.22'!$A$6:$DA$404,73,FALSE)-VLOOKUP($A379,'01-02.2022'!$A$6:$DA$376,73,FALSE)</f>
        <v>38109.048485603911</v>
      </c>
      <c r="BV379" s="70">
        <f t="shared" si="403"/>
        <v>-2699.7709104077512</v>
      </c>
      <c r="BW379" s="566">
        <f>VLOOKUP($A379,'01-02.2021'!$A$6:$CZ$403,75,FALSE)+VLOOKUP($A379,'1.3.21-28.2.22'!$A$6:$DA$404,75,FALSE)-VLOOKUP($A379,'01-02.2022'!$A$6:$DA$376,75,FALSE)</f>
        <v>46678.387492365851</v>
      </c>
      <c r="BX379" s="566">
        <f>VLOOKUP($A379,'01-02.2021'!$A$6:$CZ$403,76,FALSE)+VLOOKUP($A379,'1.3.21-28.2.22'!$A$6:$DA$404,76,FALSE)-VLOOKUP($A379,'01-02.2022'!$A$6:$DA$376,76,FALSE)</f>
        <v>45151.345851341859</v>
      </c>
      <c r="BY379" s="70">
        <f t="shared" si="404"/>
        <v>-1527.0416410239923</v>
      </c>
      <c r="BZ379" s="566">
        <f>VLOOKUP($A379,'01-02.2021'!$A$6:$CZ$403,78,FALSE)+VLOOKUP($A379,'1.3.21-28.2.22'!$A$6:$DA$404,78,FALSE)-VLOOKUP($A379,'01-02.2022'!$A$6:$DA$376,78,FALSE)</f>
        <v>3711.030078101629</v>
      </c>
      <c r="CA379" s="566">
        <f>VLOOKUP($A379,'01-02.2021'!$A$6:$CZ$403,79,FALSE)+VLOOKUP($A379,'1.3.21-28.2.22'!$A$6:$DA$404,79,FALSE)-VLOOKUP($A379,'01-02.2022'!$A$6:$DA$376,79,FALSE)</f>
        <v>8605.1621616334269</v>
      </c>
      <c r="CB379" s="70">
        <f t="shared" si="405"/>
        <v>4894.1320835317983</v>
      </c>
      <c r="CC379" s="566">
        <f>VLOOKUP($A379,'01-02.2021'!$A$6:$CZ$403,81,FALSE)+VLOOKUP($A379,'1.3.21-28.2.22'!$A$6:$DA$404,81,FALSE)-VLOOKUP($A379,'01-02.2022'!$A$6:$DA$376,81,FALSE)</f>
        <v>1158.3118935236946</v>
      </c>
      <c r="CD379" s="566">
        <f>VLOOKUP($A379,'01-02.2021'!$A$6:$CZ$403,82,FALSE)+VLOOKUP($A379,'1.3.21-28.2.22'!$A$6:$DA$404,82,FALSE)-VLOOKUP($A379,'01-02.2022'!$A$6:$DA$376,82,FALSE)</f>
        <v>1256.6759569999608</v>
      </c>
      <c r="CE379" s="70">
        <f t="shared" si="406"/>
        <v>98.36406347626621</v>
      </c>
      <c r="CF379" s="566">
        <f>VLOOKUP($A379,'01-02.2021'!$A$6:$CZ$403,84,FALSE)+VLOOKUP($A379,'1.3.21-28.2.22'!$A$6:$DA$404,84,FALSE)-VLOOKUP($A379,'01-02.2022'!$A$6:$DA$376,84,FALSE)</f>
        <v>139.77660075534357</v>
      </c>
      <c r="CG379" s="566">
        <f>VLOOKUP($A379,'01-02.2021'!$A$6:$CZ$403,85,FALSE)+VLOOKUP($A379,'1.3.21-28.2.22'!$A$6:$DA$404,85,FALSE)-VLOOKUP($A379,'01-02.2022'!$A$6:$DA$376,85,FALSE)</f>
        <v>0</v>
      </c>
      <c r="CH379" s="70">
        <f t="shared" si="407"/>
        <v>-139.77660075534357</v>
      </c>
      <c r="CI379" s="566">
        <f>VLOOKUP($A379,'01-02.2021'!$A$6:$CZ$403,87,FALSE)+VLOOKUP($A379,'1.3.21-28.2.22'!$A$6:$DA$404,87,FALSE)-VLOOKUP($A379,'01-02.2022'!$A$6:$DA$376,87,FALSE)</f>
        <v>18268.064200399229</v>
      </c>
      <c r="CJ379" s="566">
        <f>VLOOKUP($A379,'01-02.2021'!$A$6:$CZ$403,88,FALSE)+VLOOKUP($A379,'1.3.21-28.2.22'!$A$6:$DA$404,88,FALSE)-VLOOKUP($A379,'01-02.2022'!$A$6:$DA$376,88,FALSE)</f>
        <v>12880.611253945954</v>
      </c>
      <c r="CK379" s="70">
        <f t="shared" si="408"/>
        <v>-5387.4529464532752</v>
      </c>
      <c r="CL379" s="566">
        <f>VLOOKUP($A379,'01-02.2021'!$A$6:$CZ$403,90,FALSE)+VLOOKUP($A379,'1.3.21-28.2.22'!$A$6:$DA$404,90,FALSE)-VLOOKUP($A379,'01-02.2022'!$A$6:$DA$376,90,FALSE)</f>
        <v>12569.363428858453</v>
      </c>
      <c r="CM379" s="566">
        <f>VLOOKUP($A379,'01-02.2021'!$A$6:$CZ$403,91,FALSE)+VLOOKUP($A379,'1.3.21-28.2.22'!$A$6:$DA$404,91,FALSE)-VLOOKUP($A379,'01-02.2022'!$A$6:$DA$376,91,FALSE)</f>
        <v>11573.962663904575</v>
      </c>
      <c r="CN379" s="52">
        <f t="shared" si="420"/>
        <v>-995.40076495387802</v>
      </c>
      <c r="CO379" s="39">
        <f t="shared" si="414"/>
        <v>30837.427629257683</v>
      </c>
      <c r="CP379" s="40">
        <f t="shared" si="421"/>
        <v>24454.573917850528</v>
      </c>
      <c r="CQ379" s="52">
        <f t="shared" si="422"/>
        <v>-6382.8537114071551</v>
      </c>
      <c r="CR379" s="72">
        <f t="shared" si="415"/>
        <v>284938.00438190275</v>
      </c>
      <c r="CS379" s="5">
        <f t="shared" si="415"/>
        <v>265427.99961534922</v>
      </c>
      <c r="CT379" s="52">
        <f t="shared" si="423"/>
        <v>-19510.004766553524</v>
      </c>
      <c r="CU379" s="77">
        <f t="shared" si="424"/>
        <v>341925.60525828326</v>
      </c>
      <c r="CV379" s="65">
        <f t="shared" si="425"/>
        <v>318513.59953841905</v>
      </c>
      <c r="CW379" s="35">
        <f t="shared" si="426"/>
        <v>-23412.005719864217</v>
      </c>
      <c r="CX379" s="566">
        <f>VLOOKUP($A379,'01-02.2021'!$A$6:$CZ$403,102,FALSE)+VLOOKUP($A379,'1.3.21-28.2.22'!$A$6:$DA$404,102,FALSE)-VLOOKUP($A379,'01-02.2022'!$A$6:$DA$376,102,FALSE)</f>
        <v>11965.950285286719</v>
      </c>
      <c r="CY379" s="566">
        <f>VLOOKUP($A379,'01-02.2021'!$A$6:$CZ$403,103,FALSE)+VLOOKUP($A379,'1.3.21-28.2.22'!$A$6:$DA$404,103,FALSE)-VLOOKUP($A379,'01-02.2022'!$A$6:$DA$376,103,FALSE)</f>
        <v>35377.956005151034</v>
      </c>
      <c r="CZ379" s="52">
        <f t="shared" si="427"/>
        <v>23412.005719864315</v>
      </c>
      <c r="DA379" s="150">
        <f>'[2]побудинковий звіт'!DA379</f>
        <v>25942.102633211078</v>
      </c>
      <c r="DB379" s="2">
        <v>3</v>
      </c>
      <c r="DC379" s="414">
        <f>'[4]побудинковий звіт'!DC379</f>
        <v>52606.47</v>
      </c>
      <c r="DD379" s="414">
        <f>'[4]побудинковий звіт'!DD379</f>
        <v>713.43</v>
      </c>
      <c r="DE379" s="557">
        <f>'[4]побудинковий звіт'!DE379</f>
        <v>21397.181108311379</v>
      </c>
      <c r="DF379" s="557">
        <f>'[4]побудинковий звіт'!DF379</f>
        <v>9.2572871641323218E-3</v>
      </c>
      <c r="DG379" s="321">
        <f>VLOOKUP(A379,'кошти 01.03.2021'!$A$6:$D$401,4,)</f>
        <v>72224.540053846722</v>
      </c>
      <c r="DH379" s="40">
        <f>'[3]побудинковий звіт'!DJ379</f>
        <v>365374.73259748612</v>
      </c>
      <c r="DI379" s="422">
        <f>'[3]побудинковий звіт'!CU379+'[3]побудинковий звіт'!CX379</f>
        <v>31922.709634401461</v>
      </c>
      <c r="DJ379" s="306">
        <f>'[3]побудинковий звіт'!DM379</f>
        <v>5.1778941873449247</v>
      </c>
      <c r="DK379" s="306">
        <f>'[3]побудинковий звіт'!DN379</f>
        <v>6.1836081891955024</v>
      </c>
      <c r="DL379" s="306">
        <f>'[3]побудинковий звіт'!DO379</f>
        <v>4.0581384682186332</v>
      </c>
      <c r="DM379" s="28">
        <f t="shared" si="435"/>
        <v>31209.288891688622</v>
      </c>
      <c r="DN379" s="28">
        <f t="shared" si="436"/>
        <v>713.42074271283582</v>
      </c>
      <c r="DO379" s="423">
        <f t="shared" si="381"/>
        <v>31922.709634401457</v>
      </c>
      <c r="DP379" s="94">
        <f t="shared" si="382"/>
        <v>0</v>
      </c>
      <c r="DQ379" s="28">
        <f t="shared" si="383"/>
        <v>31922.709634401457</v>
      </c>
      <c r="DR379" s="318"/>
      <c r="DT379" s="8"/>
      <c r="DU379" s="5"/>
      <c r="DX379" s="5">
        <f t="shared" si="384"/>
        <v>88981.672185737465</v>
      </c>
      <c r="DY379" s="5">
        <f t="shared" si="385"/>
        <v>73087.5</v>
      </c>
      <c r="DZ379" s="159">
        <f>'[3]побудинковий звіт'!EA379</f>
        <v>8362.9482201724859</v>
      </c>
    </row>
    <row r="380" spans="1:130" x14ac:dyDescent="0.3">
      <c r="A380" s="325">
        <v>150000906</v>
      </c>
      <c r="B380" s="41" t="s">
        <v>826</v>
      </c>
      <c r="C380" s="42" t="s">
        <v>407</v>
      </c>
      <c r="D380" s="27"/>
      <c r="E380" s="293">
        <f t="shared" si="412"/>
        <v>3936.36</v>
      </c>
      <c r="F380" s="305">
        <f>'[3]побудинковий звіт'!F380</f>
        <v>3936.36</v>
      </c>
      <c r="G380" s="508">
        <f>'[3]побудинковий звіт'!G380</f>
        <v>436.6</v>
      </c>
      <c r="H380" s="560">
        <f>'[3]побудинковий звіт'!H380</f>
        <v>0</v>
      </c>
      <c r="I380" s="566">
        <f>VLOOKUP($A380,'01-02.2021'!$A$6:$CZ$403,9,FALSE)+VLOOKUP($A380,'1.3.21-28.2.22'!$A$6:$DA$404,9,FALSE)-VLOOKUP($A380,'01-02.2022'!$A$6:$DA$376,9,FALSE)</f>
        <v>10106.468509046777</v>
      </c>
      <c r="J380" s="566">
        <f>VLOOKUP($A380,'01-02.2021'!$A$6:$CZ$403,10,FALSE)+VLOOKUP($A380,'1.3.21-28.2.22'!$A$6:$DA$404,10,FALSE)-VLOOKUP($A380,'01-02.2022'!$A$6:$DA$376,10,FALSE)</f>
        <v>9969.4792788675331</v>
      </c>
      <c r="K380" s="52">
        <f t="shared" si="417"/>
        <v>-136.98923017924426</v>
      </c>
      <c r="L380" s="566">
        <f>VLOOKUP($A380,'01-02.2021'!$A$6:$CZ$403,12,FALSE)+VLOOKUP($A380,'1.3.21-28.2.22'!$A$6:$DA$404,12,FALSE)-VLOOKUP($A380,'01-02.2022'!$A$6:$DA$376,12,FALSE)</f>
        <v>2643.8640912004234</v>
      </c>
      <c r="M380" s="566">
        <f>VLOOKUP($A380,'01-02.2021'!$A$6:$CZ$403,13,FALSE)+VLOOKUP($A380,'1.3.21-28.2.22'!$A$6:$DA$404,13,FALSE)-VLOOKUP($A380,'01-02.2022'!$A$6:$DA$376,13,FALSE)</f>
        <v>2639.7840884033449</v>
      </c>
      <c r="N380" s="52">
        <f t="shared" si="418"/>
        <v>-4.0800027970785777</v>
      </c>
      <c r="O380" s="566">
        <f>VLOOKUP($A380,'01-02.2021'!$A$6:$CZ$403,15,FALSE)+VLOOKUP($A380,'1.3.21-28.2.22'!$A$6:$DA$404,15,FALSE)-VLOOKUP($A380,'01-02.2022'!$A$6:$DA$376,15,FALSE)</f>
        <v>4607.5874317648831</v>
      </c>
      <c r="P380" s="566">
        <f>VLOOKUP($A380,'01-02.2021'!$A$6:$CZ$403,16,FALSE)+VLOOKUP($A380,'1.3.21-28.2.22'!$A$6:$DA$404,16,FALSE)-VLOOKUP($A380,'01-02.2022'!$A$6:$DA$376,16,FALSE)</f>
        <v>4607.6566666666668</v>
      </c>
      <c r="Q380" s="70">
        <f t="shared" si="386"/>
        <v>6.9234901783602254E-2</v>
      </c>
      <c r="R380" s="566">
        <f>VLOOKUP($A380,'01-02.2021'!$A$6:$CZ$403,18,FALSE)+VLOOKUP($A380,'1.3.21-28.2.22'!$A$6:$DA$404,18,FALSE)-VLOOKUP($A380,'01-02.2022'!$A$6:$DA$376,18,FALSE)</f>
        <v>1118.6035398640583</v>
      </c>
      <c r="S380" s="566">
        <f>VLOOKUP($A380,'01-02.2021'!$A$6:$CZ$403,19,FALSE)+VLOOKUP($A380,'1.3.21-28.2.22'!$A$6:$DA$404,19,FALSE)-VLOOKUP($A380,'01-02.2022'!$A$6:$DA$376,19,FALSE)</f>
        <v>1118.3566666666668</v>
      </c>
      <c r="T380" s="70">
        <f t="shared" si="387"/>
        <v>-0.246873197391551</v>
      </c>
      <c r="U380" s="566">
        <f>VLOOKUP($A380,'01-02.2021'!$A$6:$CZ$403,21,FALSE)+VLOOKUP($A380,'1.3.21-28.2.22'!$A$6:$DA$404,21,FALSE)-VLOOKUP($A380,'01-02.2022'!$A$6:$DA$376,21,FALSE)</f>
        <v>671.36656966572173</v>
      </c>
      <c r="V380" s="566">
        <f>VLOOKUP($A380,'01-02.2021'!$A$6:$CZ$403,22,FALSE)+VLOOKUP($A380,'1.3.21-28.2.22'!$A$6:$DA$404,22,FALSE)-VLOOKUP($A380,'01-02.2022'!$A$6:$DA$376,22,FALSE)</f>
        <v>609.49562838983297</v>
      </c>
      <c r="W380" s="70">
        <f t="shared" si="388"/>
        <v>-61.870941275888754</v>
      </c>
      <c r="X380" s="566">
        <f>VLOOKUP($A380,'01-02.2021'!$A$6:$CZ$403,24,FALSE)+VLOOKUP($A380,'1.3.21-28.2.22'!$A$6:$DA$404,24,FALSE)-VLOOKUP($A380,'01-02.2022'!$A$6:$DA$376,24,FALSE)</f>
        <v>7959.5960029930866</v>
      </c>
      <c r="Y380" s="566">
        <f>VLOOKUP($A380,'01-02.2021'!$A$6:$CZ$403,25,FALSE)+VLOOKUP($A380,'1.3.21-28.2.22'!$A$6:$DA$404,25,FALSE)-VLOOKUP($A380,'01-02.2022'!$A$6:$DA$376,25,FALSE)</f>
        <v>6776.9587473954798</v>
      </c>
      <c r="Z380" s="70">
        <f t="shared" si="389"/>
        <v>-1182.6372555976068</v>
      </c>
      <c r="AA380" s="566">
        <f>VLOOKUP($A380,'01-02.2021'!$A$6:$CZ$403,27,FALSE)+VLOOKUP($A380,'1.3.21-28.2.22'!$A$6:$DA$404,27,FALSE)-VLOOKUP($A380,'01-02.2022'!$A$6:$DA$376,27,FALSE)</f>
        <v>787.12799999999993</v>
      </c>
      <c r="AB380" s="566">
        <f>VLOOKUP($A380,'01-02.2021'!$A$6:$CZ$403,28,FALSE)+VLOOKUP($A380,'1.3.21-28.2.22'!$A$6:$DA$404,28,FALSE)-VLOOKUP($A380,'01-02.2022'!$A$6:$DA$376,28,FALSE)</f>
        <v>0</v>
      </c>
      <c r="AC380" s="70">
        <f t="shared" si="390"/>
        <v>-787.12799999999993</v>
      </c>
      <c r="AD380" s="566">
        <f>VLOOKUP($A380,'01-02.2021'!$A$6:$CZ$403,30,FALSE)+VLOOKUP($A380,'1.3.21-28.2.22'!$A$6:$DA$404,30,FALSE)-VLOOKUP($A380,'01-02.2022'!$A$6:$DA$376,30,FALSE)</f>
        <v>16906.544003479274</v>
      </c>
      <c r="AE380" s="566">
        <f>VLOOKUP($A380,'01-02.2021'!$A$6:$CZ$403,31,FALSE)+VLOOKUP($A380,'1.3.21-28.2.22'!$A$6:$DA$404,31,FALSE)-VLOOKUP($A380,'01-02.2022'!$A$6:$DA$376,31,FALSE)</f>
        <v>17916.783832770299</v>
      </c>
      <c r="AF380" s="68">
        <f t="shared" si="391"/>
        <v>1010.2398292910257</v>
      </c>
      <c r="AG380" s="77">
        <f t="shared" si="413"/>
        <v>44801.158148014227</v>
      </c>
      <c r="AH380" s="53">
        <f t="shared" si="413"/>
        <v>43638.514909159821</v>
      </c>
      <c r="AI380" s="52">
        <f t="shared" si="419"/>
        <v>-1162.6432388544054</v>
      </c>
      <c r="AJ380" s="566">
        <f>VLOOKUP($A380,'01-02.2021'!$A$6:$CZ$403,36,FALSE)+VLOOKUP($A380,'1.3.21-28.2.22'!$A$6:$DA$404,36,FALSE)-VLOOKUP($A380,'01-02.2022'!$A$6:$DA$376,36,FALSE)</f>
        <v>38000.184112803319</v>
      </c>
      <c r="AK380" s="566">
        <f>VLOOKUP($A380,'01-02.2021'!$A$6:$CZ$403,37,FALSE)+VLOOKUP($A380,'1.3.21-28.2.22'!$A$6:$DA$404,37,FALSE)-VLOOKUP($A380,'01-02.2022'!$A$6:$DA$376,37,FALSE)</f>
        <v>37750.952117929199</v>
      </c>
      <c r="AL380" s="70">
        <f t="shared" si="392"/>
        <v>-249.23199487412057</v>
      </c>
      <c r="AM380" s="566">
        <f>VLOOKUP($A380,'01-02.2021'!$A$6:$CZ$403,39,FALSE)+VLOOKUP($A380,'1.3.21-28.2.22'!$A$6:$DA$404,39,FALSE)-VLOOKUP($A380,'01-02.2022'!$A$6:$DA$376,39,FALSE)</f>
        <v>0</v>
      </c>
      <c r="AN380" s="566">
        <f>VLOOKUP($A380,'01-02.2021'!$A$6:$CZ$403,40,FALSE)+VLOOKUP($A380,'1.3.21-28.2.22'!$A$6:$DA$404,40,FALSE)-VLOOKUP($A380,'01-02.2022'!$A$6:$DA$376,40,FALSE)</f>
        <v>0</v>
      </c>
      <c r="AO380" s="70">
        <f t="shared" si="393"/>
        <v>0</v>
      </c>
      <c r="AP380" s="566">
        <f>VLOOKUP($A380,'01-02.2021'!$A$6:$CZ$403,42,FALSE)+VLOOKUP($A380,'1.3.21-28.2.22'!$A$6:$DA$404,42,FALSE)-VLOOKUP($A380,'01-02.2022'!$A$6:$DA$376,42,FALSE)</f>
        <v>3123.3595500766637</v>
      </c>
      <c r="AQ380" s="566">
        <f>VLOOKUP($A380,'01-02.2021'!$A$6:$CZ$403,43,FALSE)+VLOOKUP($A380,'1.3.21-28.2.22'!$A$6:$DA$404,43,FALSE)-VLOOKUP($A380,'01-02.2022'!$A$6:$DA$376,43,FALSE)</f>
        <v>2714.5663599937066</v>
      </c>
      <c r="AR380" s="70">
        <f t="shared" si="394"/>
        <v>-408.79319008295715</v>
      </c>
      <c r="AS380" s="566">
        <f>VLOOKUP($A380,'01-02.2021'!$A$6:$CZ$403,45,FALSE)+VLOOKUP($A380,'1.3.21-28.2.22'!$A$6:$DA$404,45,FALSE)-VLOOKUP($A380,'01-02.2022'!$A$6:$DA$376,45,FALSE)</f>
        <v>60925.565638463384</v>
      </c>
      <c r="AT380" s="566">
        <f>VLOOKUP($A380,'01-02.2021'!$A$6:$CZ$403,46,FALSE)+VLOOKUP($A380,'1.3.21-28.2.22'!$A$6:$DA$404,46,FALSE)-VLOOKUP($A380,'01-02.2022'!$A$6:$DA$376,46,FALSE)</f>
        <v>11843</v>
      </c>
      <c r="AU380" s="78">
        <f t="shared" si="395"/>
        <v>-49082.565638463384</v>
      </c>
      <c r="AV380" s="566">
        <f>VLOOKUP($A380,'01-02.2021'!$A$6:$CZ$403,48,FALSE)+VLOOKUP($A380,'1.3.21-28.2.22'!$A$6:$DA$404,48,FALSE)-VLOOKUP($A380,'01-02.2022'!$A$6:$DA$376,48,FALSE)</f>
        <v>1859.481512591947</v>
      </c>
      <c r="AW380" s="566">
        <f>VLOOKUP($A380,'01-02.2021'!$A$6:$CZ$403,49,FALSE)+VLOOKUP($A380,'1.3.21-28.2.22'!$A$6:$DA$404,49,FALSE)-VLOOKUP($A380,'01-02.2022'!$A$6:$DA$376,49,FALSE)</f>
        <v>831</v>
      </c>
      <c r="AX380" s="55">
        <f t="shared" si="396"/>
        <v>-1028.481512591947</v>
      </c>
      <c r="AY380" s="566">
        <f>VLOOKUP($A380,'01-02.2021'!$A$6:$CZ$403,51,FALSE)+VLOOKUP($A380,'1.3.21-28.2.22'!$A$6:$DA$404,51,FALSE)-VLOOKUP($A380,'01-02.2022'!$A$6:$DA$376,51,FALSE)</f>
        <v>3584.8375155931858</v>
      </c>
      <c r="AZ380" s="566">
        <f>VLOOKUP($A380,'01-02.2021'!$A$6:$CZ$403,52,FALSE)+VLOOKUP($A380,'1.3.21-28.2.22'!$A$6:$DA$404,52,FALSE)-VLOOKUP($A380,'01-02.2022'!$A$6:$DA$376,52,FALSE)</f>
        <v>0</v>
      </c>
      <c r="BA380" s="38">
        <f t="shared" si="397"/>
        <v>-3584.8375155931858</v>
      </c>
      <c r="BB380" s="566">
        <f>VLOOKUP($A380,'01-02.2021'!$A$6:$CZ$403,54,FALSE)+VLOOKUP($A380,'1.3.21-28.2.22'!$A$6:$DA$404,54,FALSE)-VLOOKUP($A380,'01-02.2022'!$A$6:$DA$376,54,FALSE)</f>
        <v>1604.5511227561876</v>
      </c>
      <c r="BC380" s="566">
        <f>VLOOKUP($A380,'01-02.2021'!$A$6:$CZ$403,55,FALSE)+VLOOKUP($A380,'1.3.21-28.2.22'!$A$6:$DA$404,55,FALSE)-VLOOKUP($A380,'01-02.2022'!$A$6:$DA$376,55,FALSE)</f>
        <v>0</v>
      </c>
      <c r="BD380" s="55">
        <f t="shared" si="398"/>
        <v>-1604.5511227561876</v>
      </c>
      <c r="BE380" s="566">
        <f>VLOOKUP($A380,'01-02.2021'!$A$6:$CZ$403,57,FALSE)+VLOOKUP($A380,'1.3.21-28.2.22'!$A$6:$DA$404,57,FALSE)-VLOOKUP($A380,'01-02.2022'!$A$6:$DA$376,57,FALSE)</f>
        <v>2407.38183264085</v>
      </c>
      <c r="BF380" s="566">
        <f>VLOOKUP($A380,'01-02.2021'!$A$6:$CZ$403,58,FALSE)+VLOOKUP($A380,'1.3.21-28.2.22'!$A$6:$DA$404,58,FALSE)-VLOOKUP($A380,'01-02.2022'!$A$6:$DA$376,58,FALSE)</f>
        <v>0</v>
      </c>
      <c r="BG380" s="55">
        <f t="shared" si="399"/>
        <v>-2407.38183264085</v>
      </c>
      <c r="BH380" s="566">
        <f>VLOOKUP($A380,'01-02.2021'!$A$6:$CZ$403,60,FALSE)+VLOOKUP($A380,'1.3.21-28.2.22'!$A$6:$DA$404,60,FALSE)-VLOOKUP($A380,'01-02.2022'!$A$6:$DA$376,60,FALSE)</f>
        <v>1183.3322220502187</v>
      </c>
      <c r="BI380" s="566">
        <f>VLOOKUP($A380,'01-02.2021'!$A$6:$CZ$403,61,FALSE)+VLOOKUP($A380,'1.3.21-28.2.22'!$A$6:$DA$404,61,FALSE)-VLOOKUP($A380,'01-02.2022'!$A$6:$DA$376,61,FALSE)</f>
        <v>4296</v>
      </c>
      <c r="BJ380" s="55">
        <f t="shared" si="400"/>
        <v>3112.6677779497813</v>
      </c>
      <c r="BK380" s="566">
        <f>VLOOKUP($A380,'01-02.2021'!$A$6:$CZ$403,63,FALSE)+VLOOKUP($A380,'1.3.21-28.2.22'!$A$6:$DA$404,63,FALSE)-VLOOKUP($A380,'01-02.2022'!$A$6:$DA$376,63,FALSE)</f>
        <v>2383.4053456571173</v>
      </c>
      <c r="BL380" s="566">
        <f>VLOOKUP($A380,'01-02.2021'!$A$6:$CZ$403,64,FALSE)+VLOOKUP($A380,'1.3.21-28.2.22'!$A$6:$DA$404,64,FALSE)-VLOOKUP($A380,'01-02.2022'!$A$6:$DA$376,64,FALSE)</f>
        <v>130</v>
      </c>
      <c r="BM380" s="55">
        <f t="shared" si="401"/>
        <v>-2253.4053456571173</v>
      </c>
      <c r="BN380" s="566">
        <f>VLOOKUP($A380,'01-02.2021'!$A$6:$CZ$403,66,FALSE)+VLOOKUP($A380,'1.3.21-28.2.22'!$A$6:$DA$404,66,FALSE)-VLOOKUP($A380,'01-02.2022'!$A$6:$DA$376,66,FALSE)</f>
        <v>196.78199999999998</v>
      </c>
      <c r="BO380" s="566">
        <f>VLOOKUP($A380,'01-02.2021'!$A$6:$CZ$403,67,FALSE)+VLOOKUP($A380,'1.3.21-28.2.22'!$A$6:$DA$404,67,FALSE)-VLOOKUP($A380,'01-02.2022'!$A$6:$DA$376,67,FALSE)</f>
        <v>0</v>
      </c>
      <c r="BP380" s="55">
        <f t="shared" si="402"/>
        <v>-196.78199999999998</v>
      </c>
      <c r="BQ380" s="77">
        <f t="shared" si="409"/>
        <v>13219.771551289505</v>
      </c>
      <c r="BR380" s="40">
        <f t="shared" si="434"/>
        <v>5257</v>
      </c>
      <c r="BS380" s="55">
        <f t="shared" si="428"/>
        <v>-7962.7715512895047</v>
      </c>
      <c r="BT380" s="566">
        <f>VLOOKUP($A380,'01-02.2021'!$A$6:$CZ$403,72,FALSE)+VLOOKUP($A380,'1.3.21-28.2.22'!$A$6:$DA$404,72,FALSE)-VLOOKUP($A380,'01-02.2022'!$A$6:$DA$376,72,FALSE)</f>
        <v>41916.087370918474</v>
      </c>
      <c r="BU380" s="566">
        <f>VLOOKUP($A380,'01-02.2021'!$A$6:$CZ$403,73,FALSE)+VLOOKUP($A380,'1.3.21-28.2.22'!$A$6:$DA$404,73,FALSE)-VLOOKUP($A380,'01-02.2022'!$A$6:$DA$376,73,FALSE)</f>
        <v>44294.237251577557</v>
      </c>
      <c r="BV380" s="70">
        <f t="shared" si="403"/>
        <v>2378.1498806590826</v>
      </c>
      <c r="BW380" s="566">
        <f>VLOOKUP($A380,'01-02.2021'!$A$6:$CZ$403,75,FALSE)+VLOOKUP($A380,'1.3.21-28.2.22'!$A$6:$DA$404,75,FALSE)-VLOOKUP($A380,'01-02.2022'!$A$6:$DA$376,75,FALSE)</f>
        <v>38435.494201053327</v>
      </c>
      <c r="BX380" s="566">
        <f>VLOOKUP($A380,'01-02.2021'!$A$6:$CZ$403,76,FALSE)+VLOOKUP($A380,'1.3.21-28.2.22'!$A$6:$DA$404,76,FALSE)-VLOOKUP($A380,'01-02.2022'!$A$6:$DA$376,76,FALSE)</f>
        <v>38291.808571860907</v>
      </c>
      <c r="BY380" s="70">
        <f t="shared" si="404"/>
        <v>-143.68562919241958</v>
      </c>
      <c r="BZ380" s="566">
        <f>VLOOKUP($A380,'01-02.2021'!$A$6:$CZ$403,78,FALSE)+VLOOKUP($A380,'1.3.21-28.2.22'!$A$6:$DA$404,78,FALSE)-VLOOKUP($A380,'01-02.2022'!$A$6:$DA$376,78,FALSE)</f>
        <v>8237.0781834666977</v>
      </c>
      <c r="CA380" s="566">
        <f>VLOOKUP($A380,'01-02.2021'!$A$6:$CZ$403,79,FALSE)+VLOOKUP($A380,'1.3.21-28.2.22'!$A$6:$DA$404,79,FALSE)-VLOOKUP($A380,'01-02.2022'!$A$6:$DA$376,79,FALSE)</f>
        <v>9315.6024089330367</v>
      </c>
      <c r="CB380" s="70">
        <f t="shared" si="405"/>
        <v>1078.524225466339</v>
      </c>
      <c r="CC380" s="566">
        <f>VLOOKUP($A380,'01-02.2021'!$A$6:$CZ$403,81,FALSE)+VLOOKUP($A380,'1.3.21-28.2.22'!$A$6:$DA$404,81,FALSE)-VLOOKUP($A380,'01-02.2022'!$A$6:$DA$376,81,FALSE)</f>
        <v>1288.2396952936992</v>
      </c>
      <c r="CD380" s="566">
        <f>VLOOKUP($A380,'01-02.2021'!$A$6:$CZ$403,82,FALSE)+VLOOKUP($A380,'1.3.21-28.2.22'!$A$6:$DA$404,82,FALSE)-VLOOKUP($A380,'01-02.2022'!$A$6:$DA$376,82,FALSE)</f>
        <v>1402.9232634940331</v>
      </c>
      <c r="CE380" s="70">
        <f t="shared" si="406"/>
        <v>114.68356820033387</v>
      </c>
      <c r="CF380" s="566">
        <f>VLOOKUP($A380,'01-02.2021'!$A$6:$CZ$403,84,FALSE)+VLOOKUP($A380,'1.3.21-28.2.22'!$A$6:$DA$404,84,FALSE)-VLOOKUP($A380,'01-02.2022'!$A$6:$DA$376,84,FALSE)</f>
        <v>156.04328530317804</v>
      </c>
      <c r="CG380" s="566">
        <f>VLOOKUP($A380,'01-02.2021'!$A$6:$CZ$403,85,FALSE)+VLOOKUP($A380,'1.3.21-28.2.22'!$A$6:$DA$404,85,FALSE)-VLOOKUP($A380,'01-02.2022'!$A$6:$DA$376,85,FALSE)</f>
        <v>0</v>
      </c>
      <c r="CH380" s="70">
        <f t="shared" si="407"/>
        <v>-156.04328530317804</v>
      </c>
      <c r="CI380" s="566">
        <f>VLOOKUP($A380,'01-02.2021'!$A$6:$CZ$403,87,FALSE)+VLOOKUP($A380,'1.3.21-28.2.22'!$A$6:$DA$404,87,FALSE)-VLOOKUP($A380,'01-02.2022'!$A$6:$DA$376,87,FALSE)</f>
        <v>5240.5643352947445</v>
      </c>
      <c r="CJ380" s="566">
        <f>VLOOKUP($A380,'01-02.2021'!$A$6:$CZ$403,88,FALSE)+VLOOKUP($A380,'1.3.21-28.2.22'!$A$6:$DA$404,88,FALSE)-VLOOKUP($A380,'01-02.2022'!$A$6:$DA$376,88,FALSE)</f>
        <v>5642.6671794039921</v>
      </c>
      <c r="CK380" s="70">
        <f t="shared" si="408"/>
        <v>402.1028441092476</v>
      </c>
      <c r="CL380" s="566">
        <f>VLOOKUP($A380,'01-02.2021'!$A$6:$CZ$403,90,FALSE)+VLOOKUP($A380,'1.3.21-28.2.22'!$A$6:$DA$404,90,FALSE)-VLOOKUP($A380,'01-02.2022'!$A$6:$DA$376,90,FALSE)</f>
        <v>6275.6315474363801</v>
      </c>
      <c r="CM380" s="566">
        <f>VLOOKUP($A380,'01-02.2021'!$A$6:$CZ$403,91,FALSE)+VLOOKUP($A380,'1.3.21-28.2.22'!$A$6:$DA$404,91,FALSE)-VLOOKUP($A380,'01-02.2022'!$A$6:$DA$376,91,FALSE)</f>
        <v>6894.5614704137461</v>
      </c>
      <c r="CN380" s="52">
        <f t="shared" si="420"/>
        <v>618.929922977366</v>
      </c>
      <c r="CO380" s="39">
        <f t="shared" si="414"/>
        <v>11516.195882731125</v>
      </c>
      <c r="CP380" s="40">
        <f t="shared" si="421"/>
        <v>12537.228649817738</v>
      </c>
      <c r="CQ380" s="52">
        <f t="shared" si="422"/>
        <v>1021.0327670866136</v>
      </c>
      <c r="CR380" s="72">
        <f t="shared" si="415"/>
        <v>261619.17761941359</v>
      </c>
      <c r="CS380" s="5">
        <f t="shared" si="415"/>
        <v>207045.833532766</v>
      </c>
      <c r="CT380" s="52">
        <f t="shared" si="423"/>
        <v>-54573.344086647587</v>
      </c>
      <c r="CU380" s="77">
        <f t="shared" si="424"/>
        <v>313943.0131432963</v>
      </c>
      <c r="CV380" s="65">
        <f t="shared" si="425"/>
        <v>248455.0002393192</v>
      </c>
      <c r="CW380" s="35">
        <f t="shared" si="426"/>
        <v>-65488.012903977098</v>
      </c>
      <c r="CX380" s="566">
        <f>VLOOKUP($A380,'01-02.2021'!$A$6:$CZ$403,102,FALSE)+VLOOKUP($A380,'1.3.21-28.2.22'!$A$6:$DA$404,102,FALSE)-VLOOKUP($A380,'01-02.2022'!$A$6:$DA$376,102,FALSE)</f>
        <v>8935.5056316273713</v>
      </c>
      <c r="CY380" s="566">
        <f>VLOOKUP($A380,'01-02.2021'!$A$6:$CZ$403,103,FALSE)+VLOOKUP($A380,'1.3.21-28.2.22'!$A$6:$DA$404,103,FALSE)-VLOOKUP($A380,'01-02.2022'!$A$6:$DA$376,103,FALSE)</f>
        <v>74423.518535604468</v>
      </c>
      <c r="CZ380" s="52">
        <f t="shared" si="427"/>
        <v>65488.012903977098</v>
      </c>
      <c r="DA380" s="150">
        <f>'[2]побудинковий звіт'!DA380</f>
        <v>8723.3393959803652</v>
      </c>
      <c r="DB380" s="2">
        <v>3</v>
      </c>
      <c r="DC380" s="414">
        <f>'[4]побудинковий звіт'!DC380</f>
        <v>47829.49</v>
      </c>
      <c r="DD380" s="414">
        <f>'[4]побудинковий звіт'!DD380</f>
        <v>0</v>
      </c>
      <c r="DE380" s="557">
        <f>'[4]побудинковий звіт'!DE380</f>
        <v>18614.249864977952</v>
      </c>
      <c r="DF380" s="557">
        <f>'[4]побудинковий звіт'!DF380</f>
        <v>0</v>
      </c>
      <c r="DG380" s="321">
        <f>VLOOKUP(A380,'кошти 01.03.2021'!$A$6:$D$401,4,)</f>
        <v>73992.135470797977</v>
      </c>
      <c r="DH380" s="40">
        <f>'[3]побудинковий звіт'!DJ380</f>
        <v>333788.55239876232</v>
      </c>
      <c r="DI380" s="422">
        <f>'[3]побудинковий звіт'!CU380+'[3]побудинковий звіт'!CX380</f>
        <v>29215.240135022046</v>
      </c>
      <c r="DJ380" s="306">
        <f>'[3]побудинковий звіт'!DM380</f>
        <v>6.1892263626777879</v>
      </c>
      <c r="DK380" s="306">
        <f>'[3]побудинковий звіт'!DN380</f>
        <v>7.5756691616216321</v>
      </c>
      <c r="DL380" s="306">
        <f>'[3]побудинковий звіт'!DO380</f>
        <v>5.0288090620344281</v>
      </c>
      <c r="DM380" s="28">
        <f t="shared" si="435"/>
        <v>29215.240135022046</v>
      </c>
      <c r="DN380" s="28">
        <f t="shared" si="436"/>
        <v>0</v>
      </c>
      <c r="DO380" s="423">
        <f t="shared" si="381"/>
        <v>29215.240135022046</v>
      </c>
      <c r="DP380" s="94">
        <f t="shared" si="382"/>
        <v>0</v>
      </c>
      <c r="DQ380" s="28">
        <f t="shared" si="383"/>
        <v>29215.240135022046</v>
      </c>
      <c r="DR380" s="318"/>
      <c r="DT380" s="8"/>
      <c r="DU380" s="5"/>
      <c r="DX380" s="5">
        <f t="shared" si="384"/>
        <v>88974.404627703465</v>
      </c>
      <c r="DY380" s="5">
        <f t="shared" si="385"/>
        <v>20520</v>
      </c>
      <c r="DZ380" s="159">
        <f>'[3]побудинковий звіт'!EA380</f>
        <v>8379.8695414520753</v>
      </c>
    </row>
    <row r="381" spans="1:130" x14ac:dyDescent="0.3">
      <c r="A381" s="325">
        <v>150000907</v>
      </c>
      <c r="B381" s="41" t="s">
        <v>827</v>
      </c>
      <c r="C381" s="42" t="s">
        <v>408</v>
      </c>
      <c r="D381" s="27"/>
      <c r="E381" s="293">
        <f t="shared" si="412"/>
        <v>6307.74</v>
      </c>
      <c r="F381" s="305">
        <f>'[3]побудинковий звіт'!F381</f>
        <v>6307.74</v>
      </c>
      <c r="G381" s="508">
        <f>'[3]побудинковий звіт'!G381</f>
        <v>689.99</v>
      </c>
      <c r="H381" s="560">
        <f>'[3]побудинковий звіт'!H381</f>
        <v>0</v>
      </c>
      <c r="I381" s="566">
        <f>VLOOKUP($A381,'01-02.2021'!$A$6:$CZ$403,9,FALSE)+VLOOKUP($A381,'1.3.21-28.2.22'!$A$6:$DA$404,9,FALSE)-VLOOKUP($A381,'01-02.2022'!$A$6:$DA$376,9,FALSE)</f>
        <v>23984.335100692893</v>
      </c>
      <c r="J381" s="566">
        <f>VLOOKUP($A381,'01-02.2021'!$A$6:$CZ$403,10,FALSE)+VLOOKUP($A381,'1.3.21-28.2.22'!$A$6:$DA$404,10,FALSE)-VLOOKUP($A381,'01-02.2022'!$A$6:$DA$376,10,FALSE)</f>
        <v>23568.903406919886</v>
      </c>
      <c r="K381" s="52">
        <f t="shared" si="417"/>
        <v>-415.43169377300728</v>
      </c>
      <c r="L381" s="566">
        <f>VLOOKUP($A381,'01-02.2021'!$A$6:$CZ$403,12,FALSE)+VLOOKUP($A381,'1.3.21-28.2.22'!$A$6:$DA$404,12,FALSE)-VLOOKUP($A381,'01-02.2022'!$A$6:$DA$376,12,FALSE)</f>
        <v>4021.0891185356973</v>
      </c>
      <c r="M381" s="566">
        <f>VLOOKUP($A381,'01-02.2021'!$A$6:$CZ$403,13,FALSE)+VLOOKUP($A381,'1.3.21-28.2.22'!$A$6:$DA$404,13,FALSE)-VLOOKUP($A381,'01-02.2022'!$A$6:$DA$376,13,FALSE)</f>
        <v>4947.6554913388536</v>
      </c>
      <c r="N381" s="52">
        <f t="shared" si="418"/>
        <v>926.56637280315636</v>
      </c>
      <c r="O381" s="566">
        <f>VLOOKUP($A381,'01-02.2021'!$A$6:$CZ$403,15,FALSE)+VLOOKUP($A381,'1.3.21-28.2.22'!$A$6:$DA$404,15,FALSE)-VLOOKUP($A381,'01-02.2022'!$A$6:$DA$376,15,FALSE)</f>
        <v>7529.9363763801175</v>
      </c>
      <c r="P381" s="566">
        <f>VLOOKUP($A381,'01-02.2021'!$A$6:$CZ$403,16,FALSE)+VLOOKUP($A381,'1.3.21-28.2.22'!$A$6:$DA$404,16,FALSE)-VLOOKUP($A381,'01-02.2022'!$A$6:$DA$376,16,FALSE)</f>
        <v>7529.7600000000011</v>
      </c>
      <c r="Q381" s="70">
        <f t="shared" si="386"/>
        <v>-0.17637638011638046</v>
      </c>
      <c r="R381" s="566">
        <f>VLOOKUP($A381,'01-02.2021'!$A$6:$CZ$403,18,FALSE)+VLOOKUP($A381,'1.3.21-28.2.22'!$A$6:$DA$404,18,FALSE)-VLOOKUP($A381,'01-02.2022'!$A$6:$DA$376,18,FALSE)</f>
        <v>1773.6506218143249</v>
      </c>
      <c r="S381" s="566">
        <f>VLOOKUP($A381,'01-02.2021'!$A$6:$CZ$403,19,FALSE)+VLOOKUP($A381,'1.3.21-28.2.22'!$A$6:$DA$404,19,FALSE)-VLOOKUP($A381,'01-02.2022'!$A$6:$DA$376,19,FALSE)</f>
        <v>1773.618333333334</v>
      </c>
      <c r="T381" s="70">
        <f t="shared" si="387"/>
        <v>-3.2288480990928292E-2</v>
      </c>
      <c r="U381" s="566">
        <f>VLOOKUP($A381,'01-02.2021'!$A$6:$CZ$403,21,FALSE)+VLOOKUP($A381,'1.3.21-28.2.22'!$A$6:$DA$404,21,FALSE)-VLOOKUP($A381,'01-02.2022'!$A$6:$DA$376,21,FALSE)</f>
        <v>1007.187849608177</v>
      </c>
      <c r="V381" s="566">
        <f>VLOOKUP($A381,'01-02.2021'!$A$6:$CZ$403,22,FALSE)+VLOOKUP($A381,'1.3.21-28.2.22'!$A$6:$DA$404,22,FALSE)-VLOOKUP($A381,'01-02.2022'!$A$6:$DA$376,22,FALSE)</f>
        <v>894.90793478035198</v>
      </c>
      <c r="W381" s="70">
        <f t="shared" si="388"/>
        <v>-112.279914827825</v>
      </c>
      <c r="X381" s="566">
        <f>VLOOKUP($A381,'01-02.2021'!$A$6:$CZ$403,24,FALSE)+VLOOKUP($A381,'1.3.21-28.2.22'!$A$6:$DA$404,24,FALSE)-VLOOKUP($A381,'01-02.2022'!$A$6:$DA$376,24,FALSE)</f>
        <v>8533.5321512218106</v>
      </c>
      <c r="Y381" s="566">
        <f>VLOOKUP($A381,'01-02.2021'!$A$6:$CZ$403,25,FALSE)+VLOOKUP($A381,'1.3.21-28.2.22'!$A$6:$DA$404,25,FALSE)-VLOOKUP($A381,'01-02.2022'!$A$6:$DA$376,25,FALSE)</f>
        <v>7332.052511795142</v>
      </c>
      <c r="Z381" s="70">
        <f t="shared" si="389"/>
        <v>-1201.4796394266687</v>
      </c>
      <c r="AA381" s="566">
        <f>VLOOKUP($A381,'01-02.2021'!$A$6:$CZ$403,27,FALSE)+VLOOKUP($A381,'1.3.21-28.2.22'!$A$6:$DA$404,27,FALSE)-VLOOKUP($A381,'01-02.2022'!$A$6:$DA$376,27,FALSE)</f>
        <v>1261.6199999999999</v>
      </c>
      <c r="AB381" s="566">
        <f>VLOOKUP($A381,'01-02.2021'!$A$6:$CZ$403,28,FALSE)+VLOOKUP($A381,'1.3.21-28.2.22'!$A$6:$DA$404,28,FALSE)-VLOOKUP($A381,'01-02.2022'!$A$6:$DA$376,28,FALSE)</f>
        <v>0</v>
      </c>
      <c r="AC381" s="70">
        <f t="shared" si="390"/>
        <v>-1261.6199999999999</v>
      </c>
      <c r="AD381" s="566">
        <f>VLOOKUP($A381,'01-02.2021'!$A$6:$CZ$403,30,FALSE)+VLOOKUP($A381,'1.3.21-28.2.22'!$A$6:$DA$404,30,FALSE)-VLOOKUP($A381,'01-02.2022'!$A$6:$DA$376,30,FALSE)</f>
        <v>27094.186493490728</v>
      </c>
      <c r="AE381" s="566">
        <f>VLOOKUP($A381,'01-02.2021'!$A$6:$CZ$403,31,FALSE)+VLOOKUP($A381,'1.3.21-28.2.22'!$A$6:$DA$404,31,FALSE)-VLOOKUP($A381,'01-02.2022'!$A$6:$DA$376,31,FALSE)</f>
        <v>28712.992994593023</v>
      </c>
      <c r="AF381" s="68">
        <f t="shared" si="391"/>
        <v>1618.8065011022954</v>
      </c>
      <c r="AG381" s="77">
        <f t="shared" si="413"/>
        <v>75205.537711743746</v>
      </c>
      <c r="AH381" s="53">
        <f t="shared" si="413"/>
        <v>74759.890672760579</v>
      </c>
      <c r="AI381" s="52">
        <f t="shared" si="419"/>
        <v>-445.64703898316657</v>
      </c>
      <c r="AJ381" s="566">
        <f>VLOOKUP($A381,'01-02.2021'!$A$6:$CZ$403,36,FALSE)+VLOOKUP($A381,'1.3.21-28.2.22'!$A$6:$DA$404,36,FALSE)-VLOOKUP($A381,'01-02.2022'!$A$6:$DA$376,36,FALSE)</f>
        <v>79166.942623131428</v>
      </c>
      <c r="AK381" s="566">
        <f>VLOOKUP($A381,'01-02.2021'!$A$6:$CZ$403,37,FALSE)+VLOOKUP($A381,'1.3.21-28.2.22'!$A$6:$DA$404,37,FALSE)-VLOOKUP($A381,'01-02.2022'!$A$6:$DA$376,37,FALSE)</f>
        <v>78647.853845374411</v>
      </c>
      <c r="AL381" s="70">
        <f t="shared" si="392"/>
        <v>-519.08877775701694</v>
      </c>
      <c r="AM381" s="566">
        <f>VLOOKUP($A381,'01-02.2021'!$A$6:$CZ$403,39,FALSE)+VLOOKUP($A381,'1.3.21-28.2.22'!$A$6:$DA$404,39,FALSE)-VLOOKUP($A381,'01-02.2022'!$A$6:$DA$376,39,FALSE)</f>
        <v>0</v>
      </c>
      <c r="AN381" s="566">
        <f>VLOOKUP($A381,'01-02.2021'!$A$6:$CZ$403,40,FALSE)+VLOOKUP($A381,'1.3.21-28.2.22'!$A$6:$DA$404,40,FALSE)-VLOOKUP($A381,'01-02.2022'!$A$6:$DA$376,40,FALSE)</f>
        <v>0</v>
      </c>
      <c r="AO381" s="70">
        <f t="shared" si="393"/>
        <v>0</v>
      </c>
      <c r="AP381" s="566">
        <f>VLOOKUP($A381,'01-02.2021'!$A$6:$CZ$403,42,FALSE)+VLOOKUP($A381,'1.3.21-28.2.22'!$A$6:$DA$404,42,FALSE)-VLOOKUP($A381,'01-02.2022'!$A$6:$DA$376,42,FALSE)</f>
        <v>4685.0393251149972</v>
      </c>
      <c r="AQ381" s="566">
        <f>VLOOKUP($A381,'01-02.2021'!$A$6:$CZ$403,43,FALSE)+VLOOKUP($A381,'1.3.21-28.2.22'!$A$6:$DA$404,43,FALSE)-VLOOKUP($A381,'01-02.2022'!$A$6:$DA$376,43,FALSE)</f>
        <v>3999.3716456830475</v>
      </c>
      <c r="AR381" s="70">
        <f t="shared" si="394"/>
        <v>-685.66767943194964</v>
      </c>
      <c r="AS381" s="566">
        <f>VLOOKUP($A381,'01-02.2021'!$A$6:$CZ$403,45,FALSE)+VLOOKUP($A381,'1.3.21-28.2.22'!$A$6:$DA$404,45,FALSE)-VLOOKUP($A381,'01-02.2022'!$A$6:$DA$376,45,FALSE)</f>
        <v>88984.767551864235</v>
      </c>
      <c r="AT381" s="566">
        <f>VLOOKUP($A381,'01-02.2021'!$A$6:$CZ$403,46,FALSE)+VLOOKUP($A381,'1.3.21-28.2.22'!$A$6:$DA$404,46,FALSE)-VLOOKUP($A381,'01-02.2022'!$A$6:$DA$376,46,FALSE)</f>
        <v>79445.42823993518</v>
      </c>
      <c r="AU381" s="78">
        <f t="shared" si="395"/>
        <v>-9539.3393119290558</v>
      </c>
      <c r="AV381" s="566">
        <f>VLOOKUP($A381,'01-02.2021'!$A$6:$CZ$403,48,FALSE)+VLOOKUP($A381,'1.3.21-28.2.22'!$A$6:$DA$404,48,FALSE)-VLOOKUP($A381,'01-02.2022'!$A$6:$DA$376,48,FALSE)</f>
        <v>5246.8690771420343</v>
      </c>
      <c r="AW381" s="566">
        <f>VLOOKUP($A381,'01-02.2021'!$A$6:$CZ$403,49,FALSE)+VLOOKUP($A381,'1.3.21-28.2.22'!$A$6:$DA$404,49,FALSE)-VLOOKUP($A381,'01-02.2022'!$A$6:$DA$376,49,FALSE)</f>
        <v>759.95</v>
      </c>
      <c r="AX381" s="55">
        <f t="shared" si="396"/>
        <v>-4486.9190771420344</v>
      </c>
      <c r="AY381" s="566">
        <f>VLOOKUP($A381,'01-02.2021'!$A$6:$CZ$403,51,FALSE)+VLOOKUP($A381,'1.3.21-28.2.22'!$A$6:$DA$404,51,FALSE)-VLOOKUP($A381,'01-02.2022'!$A$6:$DA$376,51,FALSE)</f>
        <v>6089.8161008258512</v>
      </c>
      <c r="AZ381" s="566">
        <f>VLOOKUP($A381,'01-02.2021'!$A$6:$CZ$403,52,FALSE)+VLOOKUP($A381,'1.3.21-28.2.22'!$A$6:$DA$404,52,FALSE)-VLOOKUP($A381,'01-02.2022'!$A$6:$DA$376,52,FALSE)</f>
        <v>16657.34</v>
      </c>
      <c r="BA381" s="38">
        <f t="shared" si="397"/>
        <v>10567.52389917415</v>
      </c>
      <c r="BB381" s="566">
        <f>VLOOKUP($A381,'01-02.2021'!$A$6:$CZ$403,54,FALSE)+VLOOKUP($A381,'1.3.21-28.2.22'!$A$6:$DA$404,54,FALSE)-VLOOKUP($A381,'01-02.2022'!$A$6:$DA$376,54,FALSE)</f>
        <v>5479.3443960709237</v>
      </c>
      <c r="BC381" s="566">
        <f>VLOOKUP($A381,'01-02.2021'!$A$6:$CZ$403,55,FALSE)+VLOOKUP($A381,'1.3.21-28.2.22'!$A$6:$DA$404,55,FALSE)-VLOOKUP($A381,'01-02.2022'!$A$6:$DA$376,55,FALSE)</f>
        <v>8069</v>
      </c>
      <c r="BD381" s="55">
        <f t="shared" si="398"/>
        <v>2589.6556039290763</v>
      </c>
      <c r="BE381" s="566">
        <f>VLOOKUP($A381,'01-02.2021'!$A$6:$CZ$403,57,FALSE)+VLOOKUP($A381,'1.3.21-28.2.22'!$A$6:$DA$404,57,FALSE)-VLOOKUP($A381,'01-02.2022'!$A$6:$DA$376,57,FALSE)</f>
        <v>4685.2176621081953</v>
      </c>
      <c r="BF381" s="566">
        <f>VLOOKUP($A381,'01-02.2021'!$A$6:$CZ$403,58,FALSE)+VLOOKUP($A381,'1.3.21-28.2.22'!$A$6:$DA$404,58,FALSE)-VLOOKUP($A381,'01-02.2022'!$A$6:$DA$376,58,FALSE)</f>
        <v>1266</v>
      </c>
      <c r="BG381" s="55">
        <f t="shared" si="399"/>
        <v>-3419.2176621081953</v>
      </c>
      <c r="BH381" s="566">
        <f>VLOOKUP($A381,'01-02.2021'!$A$6:$CZ$403,60,FALSE)+VLOOKUP($A381,'1.3.21-28.2.22'!$A$6:$DA$404,60,FALSE)-VLOOKUP($A381,'01-02.2022'!$A$6:$DA$376,60,FALSE)</f>
        <v>1913.5696814495238</v>
      </c>
      <c r="BI381" s="566">
        <f>VLOOKUP($A381,'01-02.2021'!$A$6:$CZ$403,61,FALSE)+VLOOKUP($A381,'1.3.21-28.2.22'!$A$6:$DA$404,61,FALSE)-VLOOKUP($A381,'01-02.2022'!$A$6:$DA$376,61,FALSE)</f>
        <v>15</v>
      </c>
      <c r="BJ381" s="55">
        <f t="shared" si="400"/>
        <v>-1898.5696814495238</v>
      </c>
      <c r="BK381" s="566">
        <f>VLOOKUP($A381,'01-02.2021'!$A$6:$CZ$403,63,FALSE)+VLOOKUP($A381,'1.3.21-28.2.22'!$A$6:$DA$404,63,FALSE)-VLOOKUP($A381,'01-02.2022'!$A$6:$DA$376,63,FALSE)</f>
        <v>3430.0881943770382</v>
      </c>
      <c r="BL381" s="566">
        <f>VLOOKUP($A381,'01-02.2021'!$A$6:$CZ$403,64,FALSE)+VLOOKUP($A381,'1.3.21-28.2.22'!$A$6:$DA$404,64,FALSE)-VLOOKUP($A381,'01-02.2022'!$A$6:$DA$376,64,FALSE)</f>
        <v>1732</v>
      </c>
      <c r="BM381" s="55">
        <f t="shared" si="401"/>
        <v>-1698.0881943770382</v>
      </c>
      <c r="BN381" s="566">
        <f>VLOOKUP($A381,'01-02.2021'!$A$6:$CZ$403,66,FALSE)+VLOOKUP($A381,'1.3.21-28.2.22'!$A$6:$DA$404,66,FALSE)-VLOOKUP($A381,'01-02.2022'!$A$6:$DA$376,66,FALSE)</f>
        <v>315.40499999999997</v>
      </c>
      <c r="BO381" s="566">
        <f>VLOOKUP($A381,'01-02.2021'!$A$6:$CZ$403,67,FALSE)+VLOOKUP($A381,'1.3.21-28.2.22'!$A$6:$DA$404,67,FALSE)-VLOOKUP($A381,'01-02.2022'!$A$6:$DA$376,67,FALSE)</f>
        <v>0</v>
      </c>
      <c r="BP381" s="55">
        <f t="shared" si="402"/>
        <v>-315.40499999999997</v>
      </c>
      <c r="BQ381" s="77">
        <f t="shared" si="409"/>
        <v>27160.310111973566</v>
      </c>
      <c r="BR381" s="40">
        <f t="shared" si="434"/>
        <v>28499.29</v>
      </c>
      <c r="BS381" s="55">
        <f t="shared" si="428"/>
        <v>1338.9798880264352</v>
      </c>
      <c r="BT381" s="566">
        <f>VLOOKUP($A381,'01-02.2021'!$A$6:$CZ$403,72,FALSE)+VLOOKUP($A381,'1.3.21-28.2.22'!$A$6:$DA$404,72,FALSE)-VLOOKUP($A381,'01-02.2022'!$A$6:$DA$376,72,FALSE)</f>
        <v>43010.013563892047</v>
      </c>
      <c r="BU381" s="566">
        <f>VLOOKUP($A381,'01-02.2021'!$A$6:$CZ$403,73,FALSE)+VLOOKUP($A381,'1.3.21-28.2.22'!$A$6:$DA$404,73,FALSE)-VLOOKUP($A381,'01-02.2022'!$A$6:$DA$376,73,FALSE)</f>
        <v>41143.380405418051</v>
      </c>
      <c r="BV381" s="70">
        <f t="shared" si="403"/>
        <v>-1866.6331584739964</v>
      </c>
      <c r="BW381" s="566">
        <f>VLOOKUP($A381,'01-02.2021'!$A$6:$CZ$403,75,FALSE)+VLOOKUP($A381,'1.3.21-28.2.22'!$A$6:$DA$404,75,FALSE)-VLOOKUP($A381,'01-02.2022'!$A$6:$DA$376,75,FALSE)</f>
        <v>32813.273510335246</v>
      </c>
      <c r="BX381" s="566">
        <f>VLOOKUP($A381,'01-02.2021'!$A$6:$CZ$403,76,FALSE)+VLOOKUP($A381,'1.3.21-28.2.22'!$A$6:$DA$404,76,FALSE)-VLOOKUP($A381,'01-02.2022'!$A$6:$DA$376,76,FALSE)</f>
        <v>31632.812798935924</v>
      </c>
      <c r="BY381" s="70">
        <f t="shared" si="404"/>
        <v>-1180.4607113993225</v>
      </c>
      <c r="BZ381" s="566">
        <f>VLOOKUP($A381,'01-02.2021'!$A$6:$CZ$403,78,FALSE)+VLOOKUP($A381,'1.3.21-28.2.22'!$A$6:$DA$404,78,FALSE)-VLOOKUP($A381,'01-02.2022'!$A$6:$DA$376,78,FALSE)</f>
        <v>9353.9813949754152</v>
      </c>
      <c r="CA381" s="566">
        <f>VLOOKUP($A381,'01-02.2021'!$A$6:$CZ$403,79,FALSE)+VLOOKUP($A381,'1.3.21-28.2.22'!$A$6:$DA$404,79,FALSE)-VLOOKUP($A381,'01-02.2022'!$A$6:$DA$376,79,FALSE)</f>
        <v>8583.7864866769596</v>
      </c>
      <c r="CB381" s="70">
        <f t="shared" si="405"/>
        <v>-770.19490829845563</v>
      </c>
      <c r="CC381" s="566">
        <f>VLOOKUP($A381,'01-02.2021'!$A$6:$CZ$403,81,FALSE)+VLOOKUP($A381,'1.3.21-28.2.22'!$A$6:$DA$404,81,FALSE)-VLOOKUP($A381,'01-02.2022'!$A$6:$DA$376,81,FALSE)</f>
        <v>2119.2548843848062</v>
      </c>
      <c r="CD381" s="566">
        <f>VLOOKUP($A381,'01-02.2021'!$A$6:$CZ$403,82,FALSE)+VLOOKUP($A381,'1.3.21-28.2.22'!$A$6:$DA$404,82,FALSE)-VLOOKUP($A381,'01-02.2022'!$A$6:$DA$376,82,FALSE)</f>
        <v>2298.7974823170016</v>
      </c>
      <c r="CE381" s="70">
        <f t="shared" si="406"/>
        <v>179.54259793219535</v>
      </c>
      <c r="CF381" s="566">
        <f>VLOOKUP($A381,'01-02.2021'!$A$6:$CZ$403,84,FALSE)+VLOOKUP($A381,'1.3.21-28.2.22'!$A$6:$DA$404,84,FALSE)-VLOOKUP($A381,'01-02.2022'!$A$6:$DA$376,84,FALSE)</f>
        <v>255.6889038207504</v>
      </c>
      <c r="CG381" s="566">
        <f>VLOOKUP($A381,'01-02.2021'!$A$6:$CZ$403,85,FALSE)+VLOOKUP($A381,'1.3.21-28.2.22'!$A$6:$DA$404,85,FALSE)-VLOOKUP($A381,'01-02.2022'!$A$6:$DA$376,85,FALSE)</f>
        <v>0</v>
      </c>
      <c r="CH381" s="70">
        <f t="shared" si="407"/>
        <v>-255.6889038207504</v>
      </c>
      <c r="CI381" s="566">
        <f>VLOOKUP($A381,'01-02.2021'!$A$6:$CZ$403,87,FALSE)+VLOOKUP($A381,'1.3.21-28.2.22'!$A$6:$DA$404,87,FALSE)-VLOOKUP($A381,'01-02.2022'!$A$6:$DA$376,87,FALSE)</f>
        <v>32413.660270905802</v>
      </c>
      <c r="CJ381" s="566">
        <f>VLOOKUP($A381,'01-02.2021'!$A$6:$CZ$403,88,FALSE)+VLOOKUP($A381,'1.3.21-28.2.22'!$A$6:$DA$404,88,FALSE)-VLOOKUP($A381,'01-02.2022'!$A$6:$DA$376,88,FALSE)</f>
        <v>22649.290002407331</v>
      </c>
      <c r="CK381" s="70">
        <f t="shared" si="408"/>
        <v>-9764.370268498471</v>
      </c>
      <c r="CL381" s="566">
        <f>VLOOKUP($A381,'01-02.2021'!$A$6:$CZ$403,90,FALSE)+VLOOKUP($A381,'1.3.21-28.2.22'!$A$6:$DA$404,90,FALSE)-VLOOKUP($A381,'01-02.2022'!$A$6:$DA$376,90,FALSE)</f>
        <v>11933.560076377762</v>
      </c>
      <c r="CM381" s="566">
        <f>VLOOKUP($A381,'01-02.2021'!$A$6:$CZ$403,91,FALSE)+VLOOKUP($A381,'1.3.21-28.2.22'!$A$6:$DA$404,91,FALSE)-VLOOKUP($A381,'01-02.2022'!$A$6:$DA$376,91,FALSE)</f>
        <v>12145.121461073308</v>
      </c>
      <c r="CN381" s="52">
        <f t="shared" si="420"/>
        <v>211.56138469554571</v>
      </c>
      <c r="CO381" s="39">
        <f t="shared" si="414"/>
        <v>44347.220347283568</v>
      </c>
      <c r="CP381" s="40">
        <f t="shared" si="421"/>
        <v>34794.411463480639</v>
      </c>
      <c r="CQ381" s="52">
        <f t="shared" si="422"/>
        <v>-9552.8088838029289</v>
      </c>
      <c r="CR381" s="72">
        <f t="shared" si="415"/>
        <v>407102.0299285198</v>
      </c>
      <c r="CS381" s="5">
        <f t="shared" si="415"/>
        <v>383805.02304058173</v>
      </c>
      <c r="CT381" s="52">
        <f t="shared" si="423"/>
        <v>-23297.006887938071</v>
      </c>
      <c r="CU381" s="77">
        <f t="shared" si="424"/>
        <v>488522.43591422372</v>
      </c>
      <c r="CV381" s="65">
        <f t="shared" si="425"/>
        <v>460566.02764869807</v>
      </c>
      <c r="CW381" s="35">
        <f t="shared" si="426"/>
        <v>-27956.40826552565</v>
      </c>
      <c r="CX381" s="566">
        <f>VLOOKUP($A381,'01-02.2021'!$A$6:$CZ$403,102,FALSE)+VLOOKUP($A381,'1.3.21-28.2.22'!$A$6:$DA$404,102,FALSE)-VLOOKUP($A381,'01-02.2022'!$A$6:$DA$376,102,FALSE)</f>
        <v>14304.262023241678</v>
      </c>
      <c r="CY381" s="566">
        <f>VLOOKUP($A381,'01-02.2021'!$A$6:$CZ$403,103,FALSE)+VLOOKUP($A381,'1.3.21-28.2.22'!$A$6:$DA$404,103,FALSE)-VLOOKUP($A381,'01-02.2022'!$A$6:$DA$376,103,FALSE)</f>
        <v>42260.670288767244</v>
      </c>
      <c r="CZ381" s="52">
        <f t="shared" si="427"/>
        <v>27956.408265525566</v>
      </c>
      <c r="DA381" s="150">
        <f>'[2]побудинковий звіт'!DA381</f>
        <v>46583.368831912274</v>
      </c>
      <c r="DB381" s="2">
        <v>3</v>
      </c>
      <c r="DC381" s="414">
        <f>'[4]побудинковий звіт'!DC381</f>
        <v>77586.75</v>
      </c>
      <c r="DD381" s="414">
        <f>'[4]побудинковий звіт'!DD381</f>
        <v>0</v>
      </c>
      <c r="DE381" s="557">
        <f>'[4]побудинковий звіт'!DE381</f>
        <v>33668.024196640261</v>
      </c>
      <c r="DF381" s="557">
        <f>'[4]побудинковий звіт'!DF381</f>
        <v>0</v>
      </c>
      <c r="DG381" s="321">
        <f>VLOOKUP(A381,'кошти 01.03.2021'!$A$6:$D$401,4,)</f>
        <v>97792.34859583911</v>
      </c>
      <c r="DH381" s="40">
        <f>'[3]побудинковий звіт'!DJ381</f>
        <v>512222.45954674657</v>
      </c>
      <c r="DI381" s="422">
        <f>'[3]побудинковий звіт'!CU381+'[3]побудинковий звіт'!CX381</f>
        <v>43918.725803359739</v>
      </c>
      <c r="DJ381" s="306">
        <f>'[3]побудинковий звіт'!DM381</f>
        <v>5.3860259371296442</v>
      </c>
      <c r="DK381" s="306">
        <f>'[3]побудинковий звіт'!DN381</f>
        <v>7.1563209055226125</v>
      </c>
      <c r="DL381" s="306">
        <f>'[3]побудинковий звіт'!DO381</f>
        <v>4.8064439073401326</v>
      </c>
      <c r="DM381" s="28">
        <f t="shared" si="435"/>
        <v>43918.725803359739</v>
      </c>
      <c r="DN381" s="28">
        <f t="shared" si="436"/>
        <v>0</v>
      </c>
      <c r="DO381" s="423">
        <f t="shared" si="381"/>
        <v>43918.725803359739</v>
      </c>
      <c r="DP381" s="94">
        <f t="shared" si="382"/>
        <v>0</v>
      </c>
      <c r="DQ381" s="28">
        <f t="shared" si="383"/>
        <v>43918.725803359739</v>
      </c>
      <c r="DR381" s="318"/>
      <c r="DT381" s="8"/>
      <c r="DU381" s="5"/>
      <c r="DX381" s="5">
        <f t="shared" si="384"/>
        <v>139374.09319660536</v>
      </c>
      <c r="DY381" s="5">
        <f t="shared" si="385"/>
        <v>129533.66188792221</v>
      </c>
      <c r="DZ381" s="159">
        <f>'[3]побудинковий звіт'!EA381</f>
        <v>13662.146429443661</v>
      </c>
    </row>
    <row r="382" spans="1:130" x14ac:dyDescent="0.3">
      <c r="A382" s="325">
        <v>150000908</v>
      </c>
      <c r="B382" s="41" t="s">
        <v>828</v>
      </c>
      <c r="C382" s="42" t="s">
        <v>409</v>
      </c>
      <c r="D382" s="27"/>
      <c r="E382" s="293">
        <f t="shared" si="412"/>
        <v>6324.72</v>
      </c>
      <c r="F382" s="305">
        <f>'[3]побудинковий звіт'!F382</f>
        <v>6280.52</v>
      </c>
      <c r="G382" s="508">
        <f>'[3]побудинковий звіт'!G382</f>
        <v>653.29</v>
      </c>
      <c r="H382" s="560">
        <f>'[3]побудинковий звіт'!H382</f>
        <v>44.2</v>
      </c>
      <c r="I382" s="566">
        <f>VLOOKUP($A382,'01-02.2021'!$A$6:$CZ$403,9,FALSE)+VLOOKUP($A382,'1.3.21-28.2.22'!$A$6:$DA$404,9,FALSE)-VLOOKUP($A382,'01-02.2022'!$A$6:$DA$376,9,FALSE)</f>
        <v>23914.132912764457</v>
      </c>
      <c r="J382" s="566">
        <f>VLOOKUP($A382,'01-02.2021'!$A$6:$CZ$403,10,FALSE)+VLOOKUP($A382,'1.3.21-28.2.22'!$A$6:$DA$404,10,FALSE)-VLOOKUP($A382,'01-02.2022'!$A$6:$DA$376,10,FALSE)</f>
        <v>23400.368682262826</v>
      </c>
      <c r="K382" s="52">
        <f t="shared" si="417"/>
        <v>-513.76423050163066</v>
      </c>
      <c r="L382" s="566">
        <f>VLOOKUP($A382,'01-02.2021'!$A$6:$CZ$403,12,FALSE)+VLOOKUP($A382,'1.3.21-28.2.22'!$A$6:$DA$404,12,FALSE)-VLOOKUP($A382,'01-02.2022'!$A$6:$DA$376,12,FALSE)</f>
        <v>4029.2718411350675</v>
      </c>
      <c r="M382" s="566">
        <f>VLOOKUP($A382,'01-02.2021'!$A$6:$CZ$403,13,FALSE)+VLOOKUP($A382,'1.3.21-28.2.22'!$A$6:$DA$404,13,FALSE)-VLOOKUP($A382,'01-02.2022'!$A$6:$DA$376,13,FALSE)</f>
        <v>4023.0438570504407</v>
      </c>
      <c r="N382" s="52">
        <f t="shared" si="418"/>
        <v>-6.2279840846267689</v>
      </c>
      <c r="O382" s="566">
        <f>VLOOKUP($A382,'01-02.2021'!$A$6:$CZ$403,15,FALSE)+VLOOKUP($A382,'1.3.21-28.2.22'!$A$6:$DA$404,15,FALSE)-VLOOKUP($A382,'01-02.2022'!$A$6:$DA$376,15,FALSE)</f>
        <v>7548.0805287751509</v>
      </c>
      <c r="P382" s="566">
        <f>VLOOKUP($A382,'01-02.2021'!$A$6:$CZ$403,16,FALSE)+VLOOKUP($A382,'1.3.21-28.2.22'!$A$6:$DA$404,16,FALSE)-VLOOKUP($A382,'01-02.2022'!$A$6:$DA$376,16,FALSE)</f>
        <v>7550.2183333333351</v>
      </c>
      <c r="Q382" s="70">
        <f t="shared" si="386"/>
        <v>2.1378045581841434</v>
      </c>
      <c r="R382" s="566">
        <f>VLOOKUP($A382,'01-02.2021'!$A$6:$CZ$403,18,FALSE)+VLOOKUP($A382,'1.3.21-28.2.22'!$A$6:$DA$404,18,FALSE)-VLOOKUP($A382,'01-02.2022'!$A$6:$DA$376,18,FALSE)</f>
        <v>1772.7540507124756</v>
      </c>
      <c r="S382" s="566">
        <f>VLOOKUP($A382,'01-02.2021'!$A$6:$CZ$403,19,FALSE)+VLOOKUP($A382,'1.3.21-28.2.22'!$A$6:$DA$404,19,FALSE)-VLOOKUP($A382,'01-02.2022'!$A$6:$DA$376,19,FALSE)</f>
        <v>1772.3933333333327</v>
      </c>
      <c r="T382" s="70">
        <f t="shared" si="387"/>
        <v>-0.3607173791428977</v>
      </c>
      <c r="U382" s="566">
        <f>VLOOKUP($A382,'01-02.2021'!$A$6:$CZ$403,21,FALSE)+VLOOKUP($A382,'1.3.21-28.2.22'!$A$6:$DA$404,21,FALSE)-VLOOKUP($A382,'01-02.2022'!$A$6:$DA$376,21,FALSE)</f>
        <v>1007.187849608177</v>
      </c>
      <c r="V382" s="566">
        <f>VLOOKUP($A382,'01-02.2021'!$A$6:$CZ$403,22,FALSE)+VLOOKUP($A382,'1.3.21-28.2.22'!$A$6:$DA$404,22,FALSE)-VLOOKUP($A382,'01-02.2022'!$A$6:$DA$376,22,FALSE)</f>
        <v>894.91886274774697</v>
      </c>
      <c r="W382" s="70">
        <f t="shared" si="388"/>
        <v>-112.26898686043</v>
      </c>
      <c r="X382" s="566">
        <f>VLOOKUP($A382,'01-02.2021'!$A$6:$CZ$403,24,FALSE)+VLOOKUP($A382,'1.3.21-28.2.22'!$A$6:$DA$404,24,FALSE)-VLOOKUP($A382,'01-02.2022'!$A$6:$DA$376,24,FALSE)</f>
        <v>8591.6503687439872</v>
      </c>
      <c r="Y382" s="566">
        <f>VLOOKUP($A382,'01-02.2021'!$A$6:$CZ$403,25,FALSE)+VLOOKUP($A382,'1.3.21-28.2.22'!$A$6:$DA$404,25,FALSE)-VLOOKUP($A382,'01-02.2022'!$A$6:$DA$376,25,FALSE)</f>
        <v>7384.0836356946029</v>
      </c>
      <c r="Z382" s="70">
        <f t="shared" si="389"/>
        <v>-1207.5667330493843</v>
      </c>
      <c r="AA382" s="566">
        <f>VLOOKUP($A382,'01-02.2021'!$A$6:$CZ$403,27,FALSE)+VLOOKUP($A382,'1.3.21-28.2.22'!$A$6:$DA$404,27,FALSE)-VLOOKUP($A382,'01-02.2022'!$A$6:$DA$376,27,FALSE)</f>
        <v>1263.366</v>
      </c>
      <c r="AB382" s="566">
        <f>VLOOKUP($A382,'01-02.2021'!$A$6:$CZ$403,28,FALSE)+VLOOKUP($A382,'1.3.21-28.2.22'!$A$6:$DA$404,28,FALSE)-VLOOKUP($A382,'01-02.2022'!$A$6:$DA$376,28,FALSE)</f>
        <v>0</v>
      </c>
      <c r="AC382" s="70">
        <f t="shared" si="390"/>
        <v>-1263.366</v>
      </c>
      <c r="AD382" s="566">
        <f>VLOOKUP($A382,'01-02.2021'!$A$6:$CZ$403,30,FALSE)+VLOOKUP($A382,'1.3.21-28.2.22'!$A$6:$DA$404,30,FALSE)-VLOOKUP($A382,'01-02.2022'!$A$6:$DA$376,30,FALSE)</f>
        <v>27148.675828088773</v>
      </c>
      <c r="AE382" s="566">
        <f>VLOOKUP($A382,'01-02.2021'!$A$6:$CZ$403,31,FALSE)+VLOOKUP($A382,'1.3.21-28.2.22'!$A$6:$DA$404,31,FALSE)-VLOOKUP($A382,'01-02.2022'!$A$6:$DA$376,31,FALSE)</f>
        <v>28790.380277201672</v>
      </c>
      <c r="AF382" s="68">
        <f t="shared" si="391"/>
        <v>1641.7044491128981</v>
      </c>
      <c r="AG382" s="77">
        <f t="shared" si="413"/>
        <v>75275.119379828102</v>
      </c>
      <c r="AH382" s="53">
        <f t="shared" si="413"/>
        <v>73815.406981623964</v>
      </c>
      <c r="AI382" s="52">
        <f t="shared" si="419"/>
        <v>-1459.7123982041376</v>
      </c>
      <c r="AJ382" s="566">
        <f>VLOOKUP($A382,'01-02.2021'!$A$6:$CZ$403,36,FALSE)+VLOOKUP($A382,'1.3.21-28.2.22'!$A$6:$DA$404,36,FALSE)-VLOOKUP($A382,'01-02.2022'!$A$6:$DA$376,36,FALSE)</f>
        <v>79166.942623131428</v>
      </c>
      <c r="AK382" s="566">
        <f>VLOOKUP($A382,'01-02.2021'!$A$6:$CZ$403,37,FALSE)+VLOOKUP($A382,'1.3.21-28.2.22'!$A$6:$DA$404,37,FALSE)-VLOOKUP($A382,'01-02.2022'!$A$6:$DA$376,37,FALSE)</f>
        <v>78098.161343973959</v>
      </c>
      <c r="AL382" s="70">
        <f t="shared" si="392"/>
        <v>-1068.7812791574688</v>
      </c>
      <c r="AM382" s="566">
        <f>VLOOKUP($A382,'01-02.2021'!$A$6:$CZ$403,39,FALSE)+VLOOKUP($A382,'1.3.21-28.2.22'!$A$6:$DA$404,39,FALSE)-VLOOKUP($A382,'01-02.2022'!$A$6:$DA$376,39,FALSE)</f>
        <v>0</v>
      </c>
      <c r="AN382" s="566">
        <f>VLOOKUP($A382,'01-02.2021'!$A$6:$CZ$403,40,FALSE)+VLOOKUP($A382,'1.3.21-28.2.22'!$A$6:$DA$404,40,FALSE)-VLOOKUP($A382,'01-02.2022'!$A$6:$DA$376,40,FALSE)</f>
        <v>0</v>
      </c>
      <c r="AO382" s="70">
        <f t="shared" si="393"/>
        <v>0</v>
      </c>
      <c r="AP382" s="566">
        <f>VLOOKUP($A382,'01-02.2021'!$A$6:$CZ$403,42,FALSE)+VLOOKUP($A382,'1.3.21-28.2.22'!$A$6:$DA$404,42,FALSE)-VLOOKUP($A382,'01-02.2022'!$A$6:$DA$376,42,FALSE)</f>
        <v>4598.2793376128675</v>
      </c>
      <c r="AQ382" s="566">
        <f>VLOOKUP($A382,'01-02.2021'!$A$6:$CZ$403,43,FALSE)+VLOOKUP($A382,'1.3.21-28.2.22'!$A$6:$DA$404,43,FALSE)-VLOOKUP($A382,'01-02.2022'!$A$6:$DA$376,43,FALSE)</f>
        <v>3925.3092078000282</v>
      </c>
      <c r="AR382" s="70">
        <f t="shared" si="394"/>
        <v>-672.97012981283933</v>
      </c>
      <c r="AS382" s="566">
        <f>VLOOKUP($A382,'01-02.2021'!$A$6:$CZ$403,45,FALSE)+VLOOKUP($A382,'1.3.21-28.2.22'!$A$6:$DA$404,45,FALSE)-VLOOKUP($A382,'01-02.2022'!$A$6:$DA$376,45,FALSE)</f>
        <v>87887.257921460594</v>
      </c>
      <c r="AT382" s="566">
        <f>VLOOKUP($A382,'01-02.2021'!$A$6:$CZ$403,46,FALSE)+VLOOKUP($A382,'1.3.21-28.2.22'!$A$6:$DA$404,46,FALSE)-VLOOKUP($A382,'01-02.2022'!$A$6:$DA$376,46,FALSE)</f>
        <v>52803.791200827865</v>
      </c>
      <c r="AU382" s="78">
        <f t="shared" si="395"/>
        <v>-35083.466720632729</v>
      </c>
      <c r="AV382" s="566">
        <f>VLOOKUP($A382,'01-02.2021'!$A$6:$CZ$403,48,FALSE)+VLOOKUP($A382,'1.3.21-28.2.22'!$A$6:$DA$404,48,FALSE)-VLOOKUP($A382,'01-02.2022'!$A$6:$DA$376,48,FALSE)</f>
        <v>5254.7427869351868</v>
      </c>
      <c r="AW382" s="566">
        <f>VLOOKUP($A382,'01-02.2021'!$A$6:$CZ$403,49,FALSE)+VLOOKUP($A382,'1.3.21-28.2.22'!$A$6:$DA$404,49,FALSE)-VLOOKUP($A382,'01-02.2022'!$A$6:$DA$376,49,FALSE)</f>
        <v>71</v>
      </c>
      <c r="AX382" s="55">
        <f t="shared" si="396"/>
        <v>-5183.7427869351868</v>
      </c>
      <c r="AY382" s="566">
        <f>VLOOKUP($A382,'01-02.2021'!$A$6:$CZ$403,51,FALSE)+VLOOKUP($A382,'1.3.21-28.2.22'!$A$6:$DA$404,51,FALSE)-VLOOKUP($A382,'01-02.2022'!$A$6:$DA$376,51,FALSE)</f>
        <v>6102.1670362564746</v>
      </c>
      <c r="AZ382" s="566">
        <f>VLOOKUP($A382,'01-02.2021'!$A$6:$CZ$403,52,FALSE)+VLOOKUP($A382,'1.3.21-28.2.22'!$A$6:$DA$404,52,FALSE)-VLOOKUP($A382,'01-02.2022'!$A$6:$DA$376,52,FALSE)</f>
        <v>0</v>
      </c>
      <c r="BA382" s="38">
        <f t="shared" si="397"/>
        <v>-6102.1670362564746</v>
      </c>
      <c r="BB382" s="566">
        <f>VLOOKUP($A382,'01-02.2021'!$A$6:$CZ$403,54,FALSE)+VLOOKUP($A382,'1.3.21-28.2.22'!$A$6:$DA$404,54,FALSE)-VLOOKUP($A382,'01-02.2022'!$A$6:$DA$376,54,FALSE)</f>
        <v>5334.4686663939128</v>
      </c>
      <c r="BC382" s="566">
        <f>VLOOKUP($A382,'01-02.2021'!$A$6:$CZ$403,55,FALSE)+VLOOKUP($A382,'1.3.21-28.2.22'!$A$6:$DA$404,55,FALSE)-VLOOKUP($A382,'01-02.2022'!$A$6:$DA$376,55,FALSE)</f>
        <v>934</v>
      </c>
      <c r="BD382" s="55">
        <f t="shared" si="398"/>
        <v>-4400.4686663939128</v>
      </c>
      <c r="BE382" s="566">
        <f>VLOOKUP($A382,'01-02.2021'!$A$6:$CZ$403,57,FALSE)+VLOOKUP($A382,'1.3.21-28.2.22'!$A$6:$DA$404,57,FALSE)-VLOOKUP($A382,'01-02.2022'!$A$6:$DA$376,57,FALSE)</f>
        <v>4686.3250054995733</v>
      </c>
      <c r="BF382" s="566">
        <f>VLOOKUP($A382,'01-02.2021'!$A$6:$CZ$403,58,FALSE)+VLOOKUP($A382,'1.3.21-28.2.22'!$A$6:$DA$404,58,FALSE)-VLOOKUP($A382,'01-02.2022'!$A$6:$DA$376,58,FALSE)</f>
        <v>0</v>
      </c>
      <c r="BG382" s="55">
        <f t="shared" si="399"/>
        <v>-4686.3250054995733</v>
      </c>
      <c r="BH382" s="566">
        <f>VLOOKUP($A382,'01-02.2021'!$A$6:$CZ$403,60,FALSE)+VLOOKUP($A382,'1.3.21-28.2.22'!$A$6:$DA$404,60,FALSE)-VLOOKUP($A382,'01-02.2022'!$A$6:$DA$376,60,FALSE)</f>
        <v>1913.5696814495238</v>
      </c>
      <c r="BI382" s="566">
        <f>VLOOKUP($A382,'01-02.2021'!$A$6:$CZ$403,61,FALSE)+VLOOKUP($A382,'1.3.21-28.2.22'!$A$6:$DA$404,61,FALSE)-VLOOKUP($A382,'01-02.2022'!$A$6:$DA$376,61,FALSE)</f>
        <v>16</v>
      </c>
      <c r="BJ382" s="55">
        <f t="shared" si="400"/>
        <v>-1897.5696814495238</v>
      </c>
      <c r="BK382" s="566">
        <f>VLOOKUP($A382,'01-02.2021'!$A$6:$CZ$403,63,FALSE)+VLOOKUP($A382,'1.3.21-28.2.22'!$A$6:$DA$404,63,FALSE)-VLOOKUP($A382,'01-02.2022'!$A$6:$DA$376,63,FALSE)</f>
        <v>3458.651203762533</v>
      </c>
      <c r="BL382" s="566">
        <f>VLOOKUP($A382,'01-02.2021'!$A$6:$CZ$403,64,FALSE)+VLOOKUP($A382,'1.3.21-28.2.22'!$A$6:$DA$404,64,FALSE)-VLOOKUP($A382,'01-02.2022'!$A$6:$DA$376,64,FALSE)</f>
        <v>459</v>
      </c>
      <c r="BM382" s="55">
        <f t="shared" si="401"/>
        <v>-2999.651203762533</v>
      </c>
      <c r="BN382" s="566">
        <f>VLOOKUP($A382,'01-02.2021'!$A$6:$CZ$403,66,FALSE)+VLOOKUP($A382,'1.3.21-28.2.22'!$A$6:$DA$404,66,FALSE)-VLOOKUP($A382,'01-02.2022'!$A$6:$DA$376,66,FALSE)</f>
        <v>315.8415</v>
      </c>
      <c r="BO382" s="566">
        <f>VLOOKUP($A382,'01-02.2021'!$A$6:$CZ$403,67,FALSE)+VLOOKUP($A382,'1.3.21-28.2.22'!$A$6:$DA$404,67,FALSE)-VLOOKUP($A382,'01-02.2022'!$A$6:$DA$376,67,FALSE)</f>
        <v>0</v>
      </c>
      <c r="BP382" s="55">
        <f t="shared" si="402"/>
        <v>-315.8415</v>
      </c>
      <c r="BQ382" s="77">
        <f t="shared" si="409"/>
        <v>27065.765880297204</v>
      </c>
      <c r="BR382" s="40">
        <f t="shared" si="434"/>
        <v>1480</v>
      </c>
      <c r="BS382" s="55">
        <f t="shared" si="428"/>
        <v>-25585.765880297204</v>
      </c>
      <c r="BT382" s="566">
        <f>VLOOKUP($A382,'01-02.2021'!$A$6:$CZ$403,72,FALSE)+VLOOKUP($A382,'1.3.21-28.2.22'!$A$6:$DA$404,72,FALSE)-VLOOKUP($A382,'01-02.2022'!$A$6:$DA$376,72,FALSE)</f>
        <v>44072.737893498197</v>
      </c>
      <c r="BU382" s="566">
        <f>VLOOKUP($A382,'01-02.2021'!$A$6:$CZ$403,73,FALSE)+VLOOKUP($A382,'1.3.21-28.2.22'!$A$6:$DA$404,73,FALSE)-VLOOKUP($A382,'01-02.2022'!$A$6:$DA$376,73,FALSE)</f>
        <v>41005.523367303031</v>
      </c>
      <c r="BV382" s="70">
        <f t="shared" si="403"/>
        <v>-3067.2145261951664</v>
      </c>
      <c r="BW382" s="566">
        <f>VLOOKUP($A382,'01-02.2021'!$A$6:$CZ$403,75,FALSE)+VLOOKUP($A382,'1.3.21-28.2.22'!$A$6:$DA$404,75,FALSE)-VLOOKUP($A382,'01-02.2022'!$A$6:$DA$376,75,FALSE)</f>
        <v>35988.579862661143</v>
      </c>
      <c r="BX382" s="566">
        <f>VLOOKUP($A382,'01-02.2021'!$A$6:$CZ$403,76,FALSE)+VLOOKUP($A382,'1.3.21-28.2.22'!$A$6:$DA$404,76,FALSE)-VLOOKUP($A382,'01-02.2022'!$A$6:$DA$376,76,FALSE)</f>
        <v>33959.175824492224</v>
      </c>
      <c r="BY382" s="70">
        <f t="shared" si="404"/>
        <v>-2029.4040381689192</v>
      </c>
      <c r="BZ382" s="566">
        <f>VLOOKUP($A382,'01-02.2021'!$A$6:$CZ$403,78,FALSE)+VLOOKUP($A382,'1.3.21-28.2.22'!$A$6:$DA$404,78,FALSE)-VLOOKUP($A382,'01-02.2022'!$A$6:$DA$376,78,FALSE)</f>
        <v>9247.5406480458805</v>
      </c>
      <c r="CA382" s="566">
        <f>VLOOKUP($A382,'01-02.2021'!$A$6:$CZ$403,79,FALSE)+VLOOKUP($A382,'1.3.21-28.2.22'!$A$6:$DA$404,79,FALSE)-VLOOKUP($A382,'01-02.2022'!$A$6:$DA$376,79,FALSE)</f>
        <v>9125.6532896320077</v>
      </c>
      <c r="CB382" s="70">
        <f t="shared" si="405"/>
        <v>-121.88735841387279</v>
      </c>
      <c r="CC382" s="566">
        <f>VLOOKUP($A382,'01-02.2021'!$A$6:$CZ$403,81,FALSE)+VLOOKUP($A382,'1.3.21-28.2.22'!$A$6:$DA$404,81,FALSE)-VLOOKUP($A382,'01-02.2022'!$A$6:$DA$376,81,FALSE)</f>
        <v>2243.4446235463388</v>
      </c>
      <c r="CD382" s="566">
        <f>VLOOKUP($A382,'01-02.2021'!$A$6:$CZ$403,82,FALSE)+VLOOKUP($A382,'1.3.21-28.2.22'!$A$6:$DA$404,82,FALSE)-VLOOKUP($A382,'01-02.2022'!$A$6:$DA$376,82,FALSE)</f>
        <v>2434.5360003204823</v>
      </c>
      <c r="CE382" s="70">
        <f t="shared" si="406"/>
        <v>191.09137677414355</v>
      </c>
      <c r="CF382" s="566">
        <f>VLOOKUP($A382,'01-02.2021'!$A$6:$CZ$403,84,FALSE)+VLOOKUP($A382,'1.3.21-28.2.22'!$A$6:$DA$404,84,FALSE)-VLOOKUP($A382,'01-02.2022'!$A$6:$DA$376,84,FALSE)</f>
        <v>270.78672480826145</v>
      </c>
      <c r="CG382" s="566">
        <f>VLOOKUP($A382,'01-02.2021'!$A$6:$CZ$403,85,FALSE)+VLOOKUP($A382,'1.3.21-28.2.22'!$A$6:$DA$404,85,FALSE)-VLOOKUP($A382,'01-02.2022'!$A$6:$DA$376,85,FALSE)</f>
        <v>0</v>
      </c>
      <c r="CH382" s="70">
        <f t="shared" si="407"/>
        <v>-270.78672480826145</v>
      </c>
      <c r="CI382" s="566">
        <f>VLOOKUP($A382,'01-02.2021'!$A$6:$CZ$403,87,FALSE)+VLOOKUP($A382,'1.3.21-28.2.22'!$A$6:$DA$404,87,FALSE)-VLOOKUP($A382,'01-02.2022'!$A$6:$DA$376,87,FALSE)</f>
        <v>18789.850156669665</v>
      </c>
      <c r="CJ382" s="566">
        <f>VLOOKUP($A382,'01-02.2021'!$A$6:$CZ$403,88,FALSE)+VLOOKUP($A382,'1.3.21-28.2.22'!$A$6:$DA$404,88,FALSE)-VLOOKUP($A382,'01-02.2022'!$A$6:$DA$376,88,FALSE)</f>
        <v>19132.977216220865</v>
      </c>
      <c r="CK382" s="70">
        <f t="shared" si="408"/>
        <v>343.12705955119964</v>
      </c>
      <c r="CL382" s="566">
        <f>VLOOKUP($A382,'01-02.2021'!$A$6:$CZ$403,90,FALSE)+VLOOKUP($A382,'1.3.21-28.2.22'!$A$6:$DA$404,90,FALSE)-VLOOKUP($A382,'01-02.2022'!$A$6:$DA$376,90,FALSE)</f>
        <v>11260.173547656728</v>
      </c>
      <c r="CM382" s="566">
        <f>VLOOKUP($A382,'01-02.2021'!$A$6:$CZ$403,91,FALSE)+VLOOKUP($A382,'1.3.21-28.2.22'!$A$6:$DA$404,91,FALSE)-VLOOKUP($A382,'01-02.2022'!$A$6:$DA$376,91,FALSE)</f>
        <v>10950.230794399235</v>
      </c>
      <c r="CN382" s="52">
        <f t="shared" si="420"/>
        <v>-309.94275325749368</v>
      </c>
      <c r="CO382" s="39">
        <f t="shared" si="414"/>
        <v>30050.023704326391</v>
      </c>
      <c r="CP382" s="40">
        <f t="shared" si="421"/>
        <v>30083.208010620099</v>
      </c>
      <c r="CQ382" s="52">
        <f t="shared" si="422"/>
        <v>33.184306293707778</v>
      </c>
      <c r="CR382" s="72">
        <f t="shared" si="415"/>
        <v>395866.47859921644</v>
      </c>
      <c r="CS382" s="5">
        <f t="shared" si="415"/>
        <v>326730.76522659359</v>
      </c>
      <c r="CT382" s="52">
        <f t="shared" si="423"/>
        <v>-69135.713372622849</v>
      </c>
      <c r="CU382" s="77">
        <f t="shared" si="424"/>
        <v>475039.77431905968</v>
      </c>
      <c r="CV382" s="65">
        <f t="shared" si="425"/>
        <v>392076.91827191232</v>
      </c>
      <c r="CW382" s="35">
        <f t="shared" si="426"/>
        <v>-82962.856047147361</v>
      </c>
      <c r="CX382" s="566">
        <f>VLOOKUP($A382,'01-02.2021'!$A$6:$CZ$403,102,FALSE)+VLOOKUP($A382,'1.3.21-28.2.22'!$A$6:$DA$404,102,FALSE)-VLOOKUP($A382,'01-02.2022'!$A$6:$DA$376,102,FALSE)</f>
        <v>13829.852106958466</v>
      </c>
      <c r="CY382" s="566">
        <f>VLOOKUP($A382,'01-02.2021'!$A$6:$CZ$403,103,FALSE)+VLOOKUP($A382,'1.3.21-28.2.22'!$A$6:$DA$404,103,FALSE)-VLOOKUP($A382,'01-02.2022'!$A$6:$DA$376,103,FALSE)</f>
        <v>96792.708154105829</v>
      </c>
      <c r="CZ382" s="52">
        <f t="shared" si="427"/>
        <v>82962.856047147361</v>
      </c>
      <c r="DA382" s="150">
        <f>'[2]побудинковий звіт'!DA382</f>
        <v>14003.480093074919</v>
      </c>
      <c r="DB382" s="2">
        <v>3</v>
      </c>
      <c r="DC382" s="414">
        <f>'[4]побудинковий звіт'!DC382</f>
        <v>59236.19</v>
      </c>
      <c r="DD382" s="414">
        <f>'[4]побудинковий звіт'!DD382</f>
        <v>203.48</v>
      </c>
      <c r="DE382" s="557">
        <f>'[4]побудинковий звіт'!DE382</f>
        <v>16425.828495927351</v>
      </c>
      <c r="DF382" s="557">
        <f>'[4]побудинковий звіт'!DF382</f>
        <v>-7.3613529476972417E-3</v>
      </c>
      <c r="DG382" s="321">
        <f>VLOOKUP(A382,'кошти 01.03.2021'!$A$6:$D$401,4,)</f>
        <v>78367.711052253653</v>
      </c>
      <c r="DH382" s="40">
        <f>'[3]побудинковий звіт'!DJ382</f>
        <v>499515.86524973973</v>
      </c>
      <c r="DI382" s="422">
        <f>'[3]побудинковий звіт'!CU382+'[3]побудинковий звіт'!CX382</f>
        <v>43013.848865425593</v>
      </c>
      <c r="DJ382" s="306">
        <f>'[3]побудинковий звіт'!DM382</f>
        <v>5.2437824865425959</v>
      </c>
      <c r="DK382" s="306">
        <f>'[3]побудинковий звіт'!DN382</f>
        <v>6.9989410142182269</v>
      </c>
      <c r="DL382" s="306">
        <f>'[3]побудинковий звіт'!DO382</f>
        <v>4.6037864559490425</v>
      </c>
      <c r="DM382" s="28">
        <f t="shared" si="435"/>
        <v>42810.361504072651</v>
      </c>
      <c r="DN382" s="28">
        <f t="shared" si="436"/>
        <v>203.48736135294769</v>
      </c>
      <c r="DO382" s="423">
        <f t="shared" si="381"/>
        <v>43013.8488654256</v>
      </c>
      <c r="DP382" s="94">
        <f t="shared" si="382"/>
        <v>0</v>
      </c>
      <c r="DQ382" s="28">
        <f t="shared" si="383"/>
        <v>43013.8488654256</v>
      </c>
      <c r="DR382" s="318"/>
      <c r="DT382" s="8"/>
      <c r="DU382" s="5"/>
      <c r="DX382" s="5">
        <f t="shared" si="384"/>
        <v>137943.62856210934</v>
      </c>
      <c r="DY382" s="5">
        <f t="shared" si="385"/>
        <v>65140.549440993433</v>
      </c>
      <c r="DZ382" s="159">
        <f>'[3]побудинковий звіт'!EA382</f>
        <v>13452.785799583355</v>
      </c>
    </row>
    <row r="383" spans="1:130" x14ac:dyDescent="0.3">
      <c r="A383" s="325">
        <v>150000909</v>
      </c>
      <c r="B383" s="41" t="s">
        <v>829</v>
      </c>
      <c r="C383" s="42" t="s">
        <v>410</v>
      </c>
      <c r="D383" s="27"/>
      <c r="E383" s="293">
        <f t="shared" si="412"/>
        <v>6335.19</v>
      </c>
      <c r="F383" s="305">
        <f>'[3]побудинковий звіт'!F383</f>
        <v>6335.19</v>
      </c>
      <c r="G383" s="508">
        <f>'[3]побудинковий звіт'!G383</f>
        <v>691.97</v>
      </c>
      <c r="H383" s="560">
        <f>'[3]побудинковий звіт'!H383</f>
        <v>0</v>
      </c>
      <c r="I383" s="566">
        <f>VLOOKUP($A383,'01-02.2021'!$A$6:$CZ$403,9,FALSE)+VLOOKUP($A383,'1.3.21-28.2.22'!$A$6:$DA$404,9,FALSE)-VLOOKUP($A383,'01-02.2022'!$A$6:$DA$376,9,FALSE)</f>
        <v>23901.396011280798</v>
      </c>
      <c r="J383" s="566">
        <f>VLOOKUP($A383,'01-02.2021'!$A$6:$CZ$403,10,FALSE)+VLOOKUP($A383,'1.3.21-28.2.22'!$A$6:$DA$404,10,FALSE)-VLOOKUP($A383,'01-02.2022'!$A$6:$DA$376,10,FALSE)</f>
        <v>23397.33701378285</v>
      </c>
      <c r="K383" s="52">
        <f t="shared" si="417"/>
        <v>-504.05899749794844</v>
      </c>
      <c r="L383" s="566">
        <f>VLOOKUP($A383,'01-02.2021'!$A$6:$CZ$403,12,FALSE)+VLOOKUP($A383,'1.3.21-28.2.22'!$A$6:$DA$404,12,FALSE)-VLOOKUP($A383,'01-02.2022'!$A$6:$DA$376,12,FALSE)</f>
        <v>4007.1227575123671</v>
      </c>
      <c r="M383" s="566">
        <f>VLOOKUP($A383,'01-02.2021'!$A$6:$CZ$403,13,FALSE)+VLOOKUP($A383,'1.3.21-28.2.22'!$A$6:$DA$404,13,FALSE)-VLOOKUP($A383,'01-02.2022'!$A$6:$DA$376,13,FALSE)</f>
        <v>4000.9279395811163</v>
      </c>
      <c r="N383" s="52">
        <f t="shared" si="418"/>
        <v>-6.1948179312507818</v>
      </c>
      <c r="O383" s="566">
        <f>VLOOKUP($A383,'01-02.2021'!$A$6:$CZ$403,15,FALSE)+VLOOKUP($A383,'1.3.21-28.2.22'!$A$6:$DA$404,15,FALSE)-VLOOKUP($A383,'01-02.2022'!$A$6:$DA$376,15,FALSE)</f>
        <v>7568.4435737890999</v>
      </c>
      <c r="P383" s="566">
        <f>VLOOKUP($A383,'01-02.2021'!$A$6:$CZ$403,16,FALSE)+VLOOKUP($A383,'1.3.21-28.2.22'!$A$6:$DA$404,16,FALSE)-VLOOKUP($A383,'01-02.2022'!$A$6:$DA$376,16,FALSE)</f>
        <v>7568.8016666666672</v>
      </c>
      <c r="Q383" s="70">
        <f t="shared" si="386"/>
        <v>0.35809287756728736</v>
      </c>
      <c r="R383" s="566">
        <f>VLOOKUP($A383,'01-02.2021'!$A$6:$CZ$403,18,FALSE)+VLOOKUP($A383,'1.3.21-28.2.22'!$A$6:$DA$404,18,FALSE)-VLOOKUP($A383,'01-02.2022'!$A$6:$DA$376,18,FALSE)</f>
        <v>1831.5098737736748</v>
      </c>
      <c r="S383" s="566">
        <f>VLOOKUP($A383,'01-02.2021'!$A$6:$CZ$403,19,FALSE)+VLOOKUP($A383,'1.3.21-28.2.22'!$A$6:$DA$404,19,FALSE)-VLOOKUP($A383,'01-02.2022'!$A$6:$DA$376,19,FALSE)</f>
        <v>1829.4199999999996</v>
      </c>
      <c r="T383" s="70">
        <f t="shared" si="387"/>
        <v>-2.0898737736752082</v>
      </c>
      <c r="U383" s="566">
        <f>VLOOKUP($A383,'01-02.2021'!$A$6:$CZ$403,21,FALSE)+VLOOKUP($A383,'1.3.21-28.2.22'!$A$6:$DA$404,21,FALSE)-VLOOKUP($A383,'01-02.2022'!$A$6:$DA$376,21,FALSE)</f>
        <v>1007.187849608177</v>
      </c>
      <c r="V383" s="566">
        <f>VLOOKUP($A383,'01-02.2021'!$A$6:$CZ$403,22,FALSE)+VLOOKUP($A383,'1.3.21-28.2.22'!$A$6:$DA$404,22,FALSE)-VLOOKUP($A383,'01-02.2022'!$A$6:$DA$376,22,FALSE)</f>
        <v>894.91886274774697</v>
      </c>
      <c r="W383" s="70">
        <f t="shared" si="388"/>
        <v>-112.26898686043</v>
      </c>
      <c r="X383" s="566">
        <f>VLOOKUP($A383,'01-02.2021'!$A$6:$CZ$403,24,FALSE)+VLOOKUP($A383,'1.3.21-28.2.22'!$A$6:$DA$404,24,FALSE)-VLOOKUP($A383,'01-02.2022'!$A$6:$DA$376,24,FALSE)</f>
        <v>8431.7673287520338</v>
      </c>
      <c r="Y383" s="566">
        <f>VLOOKUP($A383,'01-02.2021'!$A$6:$CZ$403,25,FALSE)+VLOOKUP($A383,'1.3.21-28.2.22'!$A$6:$DA$404,25,FALSE)-VLOOKUP($A383,'01-02.2022'!$A$6:$DA$376,25,FALSE)</f>
        <v>7209.8214495399579</v>
      </c>
      <c r="Z383" s="70">
        <f t="shared" si="389"/>
        <v>-1221.9458792120759</v>
      </c>
      <c r="AA383" s="566">
        <f>VLOOKUP($A383,'01-02.2021'!$A$6:$CZ$403,27,FALSE)+VLOOKUP($A383,'1.3.21-28.2.22'!$A$6:$DA$404,27,FALSE)-VLOOKUP($A383,'01-02.2022'!$A$6:$DA$376,27,FALSE)</f>
        <v>1267.104</v>
      </c>
      <c r="AB383" s="566">
        <f>VLOOKUP($A383,'01-02.2021'!$A$6:$CZ$403,28,FALSE)+VLOOKUP($A383,'1.3.21-28.2.22'!$A$6:$DA$404,28,FALSE)-VLOOKUP($A383,'01-02.2022'!$A$6:$DA$376,28,FALSE)</f>
        <v>0</v>
      </c>
      <c r="AC383" s="70">
        <f t="shared" si="390"/>
        <v>-1267.104</v>
      </c>
      <c r="AD383" s="566">
        <f>VLOOKUP($A383,'01-02.2021'!$A$6:$CZ$403,30,FALSE)+VLOOKUP($A383,'1.3.21-28.2.22'!$A$6:$DA$404,30,FALSE)-VLOOKUP($A383,'01-02.2022'!$A$6:$DA$376,30,FALSE)</f>
        <v>27212.063768744363</v>
      </c>
      <c r="AE383" s="566">
        <f>VLOOKUP($A383,'01-02.2021'!$A$6:$CZ$403,31,FALSE)+VLOOKUP($A383,'1.3.21-28.2.22'!$A$6:$DA$404,31,FALSE)-VLOOKUP($A383,'01-02.2022'!$A$6:$DA$376,31,FALSE)</f>
        <v>28838.601969738964</v>
      </c>
      <c r="AF383" s="68">
        <f t="shared" si="391"/>
        <v>1626.5382009946006</v>
      </c>
      <c r="AG383" s="77">
        <f t="shared" si="413"/>
        <v>75226.595163460515</v>
      </c>
      <c r="AH383" s="53">
        <f t="shared" si="413"/>
        <v>73739.828902057314</v>
      </c>
      <c r="AI383" s="52">
        <f t="shared" si="419"/>
        <v>-1486.7662614032015</v>
      </c>
      <c r="AJ383" s="566">
        <f>VLOOKUP($A383,'01-02.2021'!$A$6:$CZ$403,36,FALSE)+VLOOKUP($A383,'1.3.21-28.2.22'!$A$6:$DA$404,36,FALSE)-VLOOKUP($A383,'01-02.2022'!$A$6:$DA$376,36,FALSE)</f>
        <v>47392.387996604455</v>
      </c>
      <c r="AK383" s="566">
        <f>VLOOKUP($A383,'01-02.2021'!$A$6:$CZ$403,37,FALSE)+VLOOKUP($A383,'1.3.21-28.2.22'!$A$6:$DA$404,37,FALSE)-VLOOKUP($A383,'01-02.2022'!$A$6:$DA$376,37,FALSE)</f>
        <v>47081.720984040207</v>
      </c>
      <c r="AL383" s="70">
        <f t="shared" si="392"/>
        <v>-310.66701256424858</v>
      </c>
      <c r="AM383" s="566">
        <f>VLOOKUP($A383,'01-02.2021'!$A$6:$CZ$403,39,FALSE)+VLOOKUP($A383,'1.3.21-28.2.22'!$A$6:$DA$404,39,FALSE)-VLOOKUP($A383,'01-02.2022'!$A$6:$DA$376,39,FALSE)</f>
        <v>1576.1241375</v>
      </c>
      <c r="AN383" s="566">
        <f>VLOOKUP($A383,'01-02.2021'!$A$6:$CZ$403,40,FALSE)+VLOOKUP($A383,'1.3.21-28.2.22'!$A$6:$DA$404,40,FALSE)-VLOOKUP($A383,'01-02.2022'!$A$6:$DA$376,40,FALSE)</f>
        <v>0</v>
      </c>
      <c r="AO383" s="70">
        <f t="shared" si="393"/>
        <v>-1576.1241375</v>
      </c>
      <c r="AP383" s="566">
        <f>VLOOKUP($A383,'01-02.2021'!$A$6:$CZ$403,42,FALSE)+VLOOKUP($A383,'1.3.21-28.2.22'!$A$6:$DA$404,42,FALSE)-VLOOKUP($A383,'01-02.2022'!$A$6:$DA$376,42,FALSE)</f>
        <v>4685.0393251149972</v>
      </c>
      <c r="AQ383" s="566">
        <f>VLOOKUP($A383,'01-02.2021'!$A$6:$CZ$403,43,FALSE)+VLOOKUP($A383,'1.3.21-28.2.22'!$A$6:$DA$404,43,FALSE)-VLOOKUP($A383,'01-02.2022'!$A$6:$DA$376,43,FALSE)</f>
        <v>4149.0490352164925</v>
      </c>
      <c r="AR383" s="70">
        <f t="shared" si="394"/>
        <v>-535.99028989850467</v>
      </c>
      <c r="AS383" s="566">
        <f>VLOOKUP($A383,'01-02.2021'!$A$6:$CZ$403,45,FALSE)+VLOOKUP($A383,'1.3.21-28.2.22'!$A$6:$DA$404,45,FALSE)-VLOOKUP($A383,'01-02.2022'!$A$6:$DA$376,45,FALSE)</f>
        <v>87672.760521467309</v>
      </c>
      <c r="AT383" s="566">
        <f>VLOOKUP($A383,'01-02.2021'!$A$6:$CZ$403,46,FALSE)+VLOOKUP($A383,'1.3.21-28.2.22'!$A$6:$DA$404,46,FALSE)-VLOOKUP($A383,'01-02.2022'!$A$6:$DA$376,46,FALSE)</f>
        <v>82108.713959886154</v>
      </c>
      <c r="AU383" s="78">
        <f t="shared" si="395"/>
        <v>-5564.0465615811554</v>
      </c>
      <c r="AV383" s="566">
        <f>VLOOKUP($A383,'01-02.2021'!$A$6:$CZ$403,48,FALSE)+VLOOKUP($A383,'1.3.21-28.2.22'!$A$6:$DA$404,48,FALSE)-VLOOKUP($A383,'01-02.2022'!$A$6:$DA$376,48,FALSE)</f>
        <v>5219.7442412490818</v>
      </c>
      <c r="AW383" s="566">
        <f>VLOOKUP($A383,'01-02.2021'!$A$6:$CZ$403,49,FALSE)+VLOOKUP($A383,'1.3.21-28.2.22'!$A$6:$DA$404,49,FALSE)-VLOOKUP($A383,'01-02.2022'!$A$6:$DA$376,49,FALSE)</f>
        <v>308.95000000000005</v>
      </c>
      <c r="AX383" s="55">
        <f t="shared" si="396"/>
        <v>-4910.794241249082</v>
      </c>
      <c r="AY383" s="566">
        <f>VLOOKUP($A383,'01-02.2021'!$A$6:$CZ$403,51,FALSE)+VLOOKUP($A383,'1.3.21-28.2.22'!$A$6:$DA$404,51,FALSE)-VLOOKUP($A383,'01-02.2022'!$A$6:$DA$376,51,FALSE)</f>
        <v>6068.9421035355062</v>
      </c>
      <c r="AZ383" s="566">
        <f>VLOOKUP($A383,'01-02.2021'!$A$6:$CZ$403,52,FALSE)+VLOOKUP($A383,'1.3.21-28.2.22'!$A$6:$DA$404,52,FALSE)-VLOOKUP($A383,'01-02.2022'!$A$6:$DA$376,52,FALSE)</f>
        <v>3133.6</v>
      </c>
      <c r="BA383" s="38">
        <f t="shared" si="397"/>
        <v>-2935.3421035355063</v>
      </c>
      <c r="BB383" s="566">
        <f>VLOOKUP($A383,'01-02.2021'!$A$6:$CZ$403,54,FALSE)+VLOOKUP($A383,'1.3.21-28.2.22'!$A$6:$DA$404,54,FALSE)-VLOOKUP($A383,'01-02.2022'!$A$6:$DA$376,54,FALSE)</f>
        <v>5511.9075965388038</v>
      </c>
      <c r="BC383" s="566">
        <f>VLOOKUP($A383,'01-02.2021'!$A$6:$CZ$403,55,FALSE)+VLOOKUP($A383,'1.3.21-28.2.22'!$A$6:$DA$404,55,FALSE)-VLOOKUP($A383,'01-02.2022'!$A$6:$DA$376,55,FALSE)</f>
        <v>4456</v>
      </c>
      <c r="BD383" s="55">
        <f t="shared" si="398"/>
        <v>-1055.9075965388038</v>
      </c>
      <c r="BE383" s="566">
        <f>VLOOKUP($A383,'01-02.2021'!$A$6:$CZ$403,57,FALSE)+VLOOKUP($A383,'1.3.21-28.2.22'!$A$6:$DA$404,57,FALSE)-VLOOKUP($A383,'01-02.2022'!$A$6:$DA$376,57,FALSE)</f>
        <v>4746.0403715975317</v>
      </c>
      <c r="BF383" s="566">
        <f>VLOOKUP($A383,'01-02.2021'!$A$6:$CZ$403,58,FALSE)+VLOOKUP($A383,'1.3.21-28.2.22'!$A$6:$DA$404,58,FALSE)-VLOOKUP($A383,'01-02.2022'!$A$6:$DA$376,58,FALSE)</f>
        <v>5509.27</v>
      </c>
      <c r="BG383" s="55">
        <f t="shared" si="399"/>
        <v>763.22962840246873</v>
      </c>
      <c r="BH383" s="566">
        <f>VLOOKUP($A383,'01-02.2021'!$A$6:$CZ$403,60,FALSE)+VLOOKUP($A383,'1.3.21-28.2.22'!$A$6:$DA$404,60,FALSE)-VLOOKUP($A383,'01-02.2022'!$A$6:$DA$376,60,FALSE)</f>
        <v>1913.5696814495238</v>
      </c>
      <c r="BI383" s="566">
        <f>VLOOKUP($A383,'01-02.2021'!$A$6:$CZ$403,61,FALSE)+VLOOKUP($A383,'1.3.21-28.2.22'!$A$6:$DA$404,61,FALSE)-VLOOKUP($A383,'01-02.2022'!$A$6:$DA$376,61,FALSE)</f>
        <v>32.5</v>
      </c>
      <c r="BJ383" s="55">
        <f t="shared" si="400"/>
        <v>-1881.0696814495238</v>
      </c>
      <c r="BK383" s="566">
        <f>VLOOKUP($A383,'01-02.2021'!$A$6:$CZ$403,63,FALSE)+VLOOKUP($A383,'1.3.21-28.2.22'!$A$6:$DA$404,63,FALSE)-VLOOKUP($A383,'01-02.2022'!$A$6:$DA$376,63,FALSE)</f>
        <v>3380.1459286468835</v>
      </c>
      <c r="BL383" s="566">
        <f>VLOOKUP($A383,'01-02.2021'!$A$6:$CZ$403,64,FALSE)+VLOOKUP($A383,'1.3.21-28.2.22'!$A$6:$DA$404,64,FALSE)-VLOOKUP($A383,'01-02.2022'!$A$6:$DA$376,64,FALSE)</f>
        <v>0</v>
      </c>
      <c r="BM383" s="55">
        <f t="shared" si="401"/>
        <v>-3380.1459286468835</v>
      </c>
      <c r="BN383" s="566">
        <f>VLOOKUP($A383,'01-02.2021'!$A$6:$CZ$403,66,FALSE)+VLOOKUP($A383,'1.3.21-28.2.22'!$A$6:$DA$404,66,FALSE)-VLOOKUP($A383,'01-02.2022'!$A$6:$DA$376,66,FALSE)</f>
        <v>316.77600000000001</v>
      </c>
      <c r="BO383" s="566">
        <f>VLOOKUP($A383,'01-02.2021'!$A$6:$CZ$403,67,FALSE)+VLOOKUP($A383,'1.3.21-28.2.22'!$A$6:$DA$404,67,FALSE)-VLOOKUP($A383,'01-02.2022'!$A$6:$DA$376,67,FALSE)</f>
        <v>0</v>
      </c>
      <c r="BP383" s="55">
        <f t="shared" si="402"/>
        <v>-316.77600000000001</v>
      </c>
      <c r="BQ383" s="77">
        <f t="shared" si="409"/>
        <v>27157.125923017335</v>
      </c>
      <c r="BR383" s="40">
        <f t="shared" si="434"/>
        <v>13440.32</v>
      </c>
      <c r="BS383" s="55">
        <f t="shared" si="428"/>
        <v>-13716.805923017335</v>
      </c>
      <c r="BT383" s="566">
        <f>VLOOKUP($A383,'01-02.2021'!$A$6:$CZ$403,72,FALSE)+VLOOKUP($A383,'1.3.21-28.2.22'!$A$6:$DA$404,72,FALSE)-VLOOKUP($A383,'01-02.2022'!$A$6:$DA$376,72,FALSE)</f>
        <v>43806.880765518545</v>
      </c>
      <c r="BU383" s="566">
        <f>VLOOKUP($A383,'01-02.2021'!$A$6:$CZ$403,73,FALSE)+VLOOKUP($A383,'1.3.21-28.2.22'!$A$6:$DA$404,73,FALSE)-VLOOKUP($A383,'01-02.2022'!$A$6:$DA$376,73,FALSE)</f>
        <v>43680.958632730908</v>
      </c>
      <c r="BV383" s="70">
        <f t="shared" si="403"/>
        <v>-125.92213278763666</v>
      </c>
      <c r="BW383" s="566">
        <f>VLOOKUP($A383,'01-02.2021'!$A$6:$CZ$403,75,FALSE)+VLOOKUP($A383,'1.3.21-28.2.22'!$A$6:$DA$404,75,FALSE)-VLOOKUP($A383,'01-02.2022'!$A$6:$DA$376,75,FALSE)</f>
        <v>36943.485083022286</v>
      </c>
      <c r="BX383" s="566">
        <f>VLOOKUP($A383,'01-02.2021'!$A$6:$CZ$403,76,FALSE)+VLOOKUP($A383,'1.3.21-28.2.22'!$A$6:$DA$404,76,FALSE)-VLOOKUP($A383,'01-02.2022'!$A$6:$DA$376,76,FALSE)</f>
        <v>35678.675826311053</v>
      </c>
      <c r="BY383" s="70">
        <f t="shared" si="404"/>
        <v>-1264.8092567112326</v>
      </c>
      <c r="BZ383" s="566">
        <f>VLOOKUP($A383,'01-02.2021'!$A$6:$CZ$403,78,FALSE)+VLOOKUP($A383,'1.3.21-28.2.22'!$A$6:$DA$404,78,FALSE)-VLOOKUP($A383,'01-02.2022'!$A$6:$DA$376,78,FALSE)</f>
        <v>9867.397406979846</v>
      </c>
      <c r="CA383" s="566">
        <f>VLOOKUP($A383,'01-02.2021'!$A$6:$CZ$403,79,FALSE)+VLOOKUP($A383,'1.3.21-28.2.22'!$A$6:$DA$404,79,FALSE)-VLOOKUP($A383,'01-02.2022'!$A$6:$DA$376,79,FALSE)</f>
        <v>9515.3599442487994</v>
      </c>
      <c r="CB383" s="70">
        <f t="shared" si="405"/>
        <v>-352.03746273104662</v>
      </c>
      <c r="CC383" s="566">
        <f>VLOOKUP($A383,'01-02.2021'!$A$6:$CZ$403,81,FALSE)+VLOOKUP($A383,'1.3.21-28.2.22'!$A$6:$DA$404,81,FALSE)-VLOOKUP($A383,'01-02.2022'!$A$6:$DA$376,81,FALSE)</f>
        <v>2242.6518469430903</v>
      </c>
      <c r="CD383" s="566">
        <f>VLOOKUP($A383,'01-02.2021'!$A$6:$CZ$403,82,FALSE)+VLOOKUP($A383,'1.3.21-28.2.22'!$A$6:$DA$404,82,FALSE)-VLOOKUP($A383,'01-02.2022'!$A$6:$DA$376,82,FALSE)</f>
        <v>2433.9521787376716</v>
      </c>
      <c r="CE383" s="70">
        <f t="shared" si="406"/>
        <v>191.30033179458133</v>
      </c>
      <c r="CF383" s="566">
        <f>VLOOKUP($A383,'01-02.2021'!$A$6:$CZ$403,84,FALSE)+VLOOKUP($A383,'1.3.21-28.2.22'!$A$6:$DA$404,84,FALSE)-VLOOKUP($A383,'01-02.2022'!$A$6:$DA$376,84,FALSE)</f>
        <v>270.72178794379897</v>
      </c>
      <c r="CG383" s="566">
        <f>VLOOKUP($A383,'01-02.2021'!$A$6:$CZ$403,85,FALSE)+VLOOKUP($A383,'1.3.21-28.2.22'!$A$6:$DA$404,85,FALSE)-VLOOKUP($A383,'01-02.2022'!$A$6:$DA$376,85,FALSE)</f>
        <v>0</v>
      </c>
      <c r="CH383" s="70">
        <f t="shared" si="407"/>
        <v>-270.72178794379897</v>
      </c>
      <c r="CI383" s="566">
        <f>VLOOKUP($A383,'01-02.2021'!$A$6:$CZ$403,87,FALSE)+VLOOKUP($A383,'1.3.21-28.2.22'!$A$6:$DA$404,87,FALSE)-VLOOKUP($A383,'01-02.2022'!$A$6:$DA$376,87,FALSE)</f>
        <v>12906.332723028714</v>
      </c>
      <c r="CJ383" s="566">
        <f>VLOOKUP($A383,'01-02.2021'!$A$6:$CZ$403,88,FALSE)+VLOOKUP($A383,'1.3.21-28.2.22'!$A$6:$DA$404,88,FALSE)-VLOOKUP($A383,'01-02.2022'!$A$6:$DA$376,88,FALSE)</f>
        <v>13280.215284818067</v>
      </c>
      <c r="CK383" s="70">
        <f t="shared" si="408"/>
        <v>373.88256178935262</v>
      </c>
      <c r="CL383" s="566">
        <f>VLOOKUP($A383,'01-02.2021'!$A$6:$CZ$403,90,FALSE)+VLOOKUP($A383,'1.3.21-28.2.22'!$A$6:$DA$404,90,FALSE)-VLOOKUP($A383,'01-02.2022'!$A$6:$DA$376,90,FALSE)</f>
        <v>17707.95362501303</v>
      </c>
      <c r="CM383" s="566">
        <f>VLOOKUP($A383,'01-02.2021'!$A$6:$CZ$403,91,FALSE)+VLOOKUP($A383,'1.3.21-28.2.22'!$A$6:$DA$404,91,FALSE)-VLOOKUP($A383,'01-02.2022'!$A$6:$DA$376,91,FALSE)</f>
        <v>19916.4821185976</v>
      </c>
      <c r="CN383" s="52">
        <f t="shared" si="420"/>
        <v>2208.5284935845702</v>
      </c>
      <c r="CO383" s="39">
        <f t="shared" si="414"/>
        <v>30614.286348041744</v>
      </c>
      <c r="CP383" s="40">
        <f t="shared" si="421"/>
        <v>33196.697403415666</v>
      </c>
      <c r="CQ383" s="52">
        <f t="shared" si="422"/>
        <v>2582.4110553739229</v>
      </c>
      <c r="CR383" s="72">
        <f t="shared" si="415"/>
        <v>367455.45630561386</v>
      </c>
      <c r="CS383" s="5">
        <f t="shared" si="415"/>
        <v>345025.27686664427</v>
      </c>
      <c r="CT383" s="52">
        <f t="shared" si="423"/>
        <v>-22430.179438969586</v>
      </c>
      <c r="CU383" s="77">
        <f t="shared" si="424"/>
        <v>440946.54756673664</v>
      </c>
      <c r="CV383" s="65">
        <f t="shared" si="425"/>
        <v>414030.33223997313</v>
      </c>
      <c r="CW383" s="35">
        <f t="shared" si="426"/>
        <v>-26916.215326763515</v>
      </c>
      <c r="CX383" s="566">
        <f>VLOOKUP($A383,'01-02.2021'!$A$6:$CZ$403,102,FALSE)+VLOOKUP($A383,'1.3.21-28.2.22'!$A$6:$DA$404,102,FALSE)-VLOOKUP($A383,'01-02.2022'!$A$6:$DA$376,102,FALSE)</f>
        <v>12707.427535151552</v>
      </c>
      <c r="CY383" s="566">
        <f>VLOOKUP($A383,'01-02.2021'!$A$6:$CZ$403,103,FALSE)+VLOOKUP($A383,'1.3.21-28.2.22'!$A$6:$DA$404,103,FALSE)-VLOOKUP($A383,'01-02.2022'!$A$6:$DA$376,103,FALSE)</f>
        <v>39623.642861915127</v>
      </c>
      <c r="CZ383" s="52">
        <f t="shared" si="427"/>
        <v>26916.215326763573</v>
      </c>
      <c r="DA383" s="150">
        <f>'[2]побудинковий звіт'!DA383</f>
        <v>-11472.69495300881</v>
      </c>
      <c r="DB383" s="2">
        <v>3</v>
      </c>
      <c r="DC383" s="414">
        <f>'[4]побудинковий звіт'!DC383</f>
        <v>82404.960000000006</v>
      </c>
      <c r="DD383" s="414">
        <f>'[4]побудинковий звіт'!DD383</f>
        <v>0</v>
      </c>
      <c r="DE383" s="557">
        <f>'[4]побудинковий звіт'!DE383</f>
        <v>41977.116815888614</v>
      </c>
      <c r="DF383" s="557">
        <f>'[4]побудинковий звіт'!DF383</f>
        <v>0</v>
      </c>
      <c r="DG383" s="321">
        <f>VLOOKUP(A383,'кошти 01.03.2021'!$A$6:$D$401,4,)</f>
        <v>28859.433807562353</v>
      </c>
      <c r="DH383" s="40">
        <f>'[3]побудинковий звіт'!DJ383</f>
        <v>465998.47238163109</v>
      </c>
      <c r="DI383" s="422">
        <f>'[3]побудинковий звіт'!CU383+'[3]побудинковий звіт'!CX383</f>
        <v>40427.8431841114</v>
      </c>
      <c r="DJ383" s="306">
        <f>'[3]побудинковий звіт'!DM383</f>
        <v>5.2080976301342128</v>
      </c>
      <c r="DK383" s="306">
        <f>'[3]побудинковий звіт'!DN383</f>
        <v>6.5253518145646332</v>
      </c>
      <c r="DL383" s="306">
        <f>'[3]побудинковий звіт'!DO383</f>
        <v>4.551304042874766</v>
      </c>
      <c r="DM383" s="28">
        <f t="shared" si="435"/>
        <v>40427.843184111392</v>
      </c>
      <c r="DN383" s="28">
        <f t="shared" si="436"/>
        <v>0</v>
      </c>
      <c r="DO383" s="423">
        <f t="shared" si="381"/>
        <v>40427.843184111392</v>
      </c>
      <c r="DP383" s="94">
        <f t="shared" si="382"/>
        <v>0</v>
      </c>
      <c r="DQ383" s="28">
        <f t="shared" si="383"/>
        <v>40427.843184111392</v>
      </c>
      <c r="DR383" s="318"/>
      <c r="DT383" s="8"/>
      <c r="DU383" s="5"/>
      <c r="DX383" s="5">
        <f t="shared" si="384"/>
        <v>137795.86373338156</v>
      </c>
      <c r="DY383" s="5">
        <f t="shared" si="385"/>
        <v>114658.84075186338</v>
      </c>
      <c r="DZ383" s="159">
        <f>'[3]побудинковий звіт'!EA383</f>
        <v>13422.098385278203</v>
      </c>
    </row>
    <row r="384" spans="1:130" x14ac:dyDescent="0.3">
      <c r="A384" s="325">
        <v>150000910</v>
      </c>
      <c r="B384" s="41" t="s">
        <v>830</v>
      </c>
      <c r="C384" s="42" t="s">
        <v>411</v>
      </c>
      <c r="D384" s="27"/>
      <c r="E384" s="293">
        <f t="shared" si="412"/>
        <v>6347.35</v>
      </c>
      <c r="F384" s="305">
        <f>'[3]побудинковий звіт'!F384</f>
        <v>6232.25</v>
      </c>
      <c r="G384" s="508">
        <f>'[3]побудинковий звіт'!G384</f>
        <v>576.05999999999995</v>
      </c>
      <c r="H384" s="560">
        <f>'[3]побудинковий звіт'!H384</f>
        <v>115.1</v>
      </c>
      <c r="I384" s="566">
        <f>VLOOKUP($A384,'01-02.2021'!$A$6:$CZ$403,9,FALSE)+VLOOKUP($A384,'1.3.21-28.2.22'!$A$6:$DA$404,9,FALSE)-VLOOKUP($A384,'01-02.2022'!$A$6:$DA$376,9,FALSE)</f>
        <v>23784.097819568629</v>
      </c>
      <c r="J384" s="566">
        <f>VLOOKUP($A384,'01-02.2021'!$A$6:$CZ$403,10,FALSE)+VLOOKUP($A384,'1.3.21-28.2.22'!$A$6:$DA$404,10,FALSE)-VLOOKUP($A384,'01-02.2022'!$A$6:$DA$376,10,FALSE)</f>
        <v>23256.388397001803</v>
      </c>
      <c r="K384" s="52">
        <f t="shared" si="417"/>
        <v>-527.70942256682611</v>
      </c>
      <c r="L384" s="566">
        <f>VLOOKUP($A384,'01-02.2021'!$A$6:$CZ$403,12,FALSE)+VLOOKUP($A384,'1.3.21-28.2.22'!$A$6:$DA$404,12,FALSE)-VLOOKUP($A384,'01-02.2022'!$A$6:$DA$376,12,FALSE)</f>
        <v>4014.0744693135393</v>
      </c>
      <c r="M384" s="566">
        <f>VLOOKUP($A384,'01-02.2021'!$A$6:$CZ$403,13,FALSE)+VLOOKUP($A384,'1.3.21-28.2.22'!$A$6:$DA$404,13,FALSE)-VLOOKUP($A384,'01-02.2022'!$A$6:$DA$376,13,FALSE)</f>
        <v>4007.8771858442601</v>
      </c>
      <c r="N384" s="52">
        <f t="shared" si="418"/>
        <v>-6.1972834692792276</v>
      </c>
      <c r="O384" s="566">
        <f>VLOOKUP($A384,'01-02.2021'!$A$6:$CZ$403,15,FALSE)+VLOOKUP($A384,'1.3.21-28.2.22'!$A$6:$DA$404,15,FALSE)-VLOOKUP($A384,'01-02.2022'!$A$6:$DA$376,15,FALSE)</f>
        <v>7568.4435737890999</v>
      </c>
      <c r="P384" s="566">
        <f>VLOOKUP($A384,'01-02.2021'!$A$6:$CZ$403,16,FALSE)+VLOOKUP($A384,'1.3.21-28.2.22'!$A$6:$DA$404,16,FALSE)-VLOOKUP($A384,'01-02.2022'!$A$6:$DA$376,16,FALSE)</f>
        <v>7570.1749999999984</v>
      </c>
      <c r="Q384" s="70">
        <f t="shared" si="386"/>
        <v>1.7314262108984622</v>
      </c>
      <c r="R384" s="566">
        <f>VLOOKUP($A384,'01-02.2021'!$A$6:$CZ$403,18,FALSE)+VLOOKUP($A384,'1.3.21-28.2.22'!$A$6:$DA$404,18,FALSE)-VLOOKUP($A384,'01-02.2022'!$A$6:$DA$376,18,FALSE)</f>
        <v>1785.5222835000163</v>
      </c>
      <c r="S384" s="566">
        <f>VLOOKUP($A384,'01-02.2021'!$A$6:$CZ$403,19,FALSE)+VLOOKUP($A384,'1.3.21-28.2.22'!$A$6:$DA$404,19,FALSE)-VLOOKUP($A384,'01-02.2022'!$A$6:$DA$376,19,FALSE)</f>
        <v>1787.243333333334</v>
      </c>
      <c r="T384" s="70">
        <f t="shared" si="387"/>
        <v>1.7210498333176929</v>
      </c>
      <c r="U384" s="566">
        <f>VLOOKUP($A384,'01-02.2021'!$A$6:$CZ$403,21,FALSE)+VLOOKUP($A384,'1.3.21-28.2.22'!$A$6:$DA$404,21,FALSE)-VLOOKUP($A384,'01-02.2022'!$A$6:$DA$376,21,FALSE)</f>
        <v>1007.187849608177</v>
      </c>
      <c r="V384" s="566">
        <f>VLOOKUP($A384,'01-02.2021'!$A$6:$CZ$403,22,FALSE)+VLOOKUP($A384,'1.3.21-28.2.22'!$A$6:$DA$404,22,FALSE)-VLOOKUP($A384,'01-02.2022'!$A$6:$DA$376,22,FALSE)</f>
        <v>894.91886274774697</v>
      </c>
      <c r="W384" s="70">
        <f t="shared" si="388"/>
        <v>-112.26898686043</v>
      </c>
      <c r="X384" s="566">
        <f>VLOOKUP($A384,'01-02.2021'!$A$6:$CZ$403,24,FALSE)+VLOOKUP($A384,'1.3.21-28.2.22'!$A$6:$DA$404,24,FALSE)-VLOOKUP($A384,'01-02.2022'!$A$6:$DA$376,24,FALSE)</f>
        <v>8482.5642247848864</v>
      </c>
      <c r="Y384" s="566">
        <f>VLOOKUP($A384,'01-02.2021'!$A$6:$CZ$403,25,FALSE)+VLOOKUP($A384,'1.3.21-28.2.22'!$A$6:$DA$404,25,FALSE)-VLOOKUP($A384,'01-02.2022'!$A$6:$DA$376,25,FALSE)</f>
        <v>7992.2825145369534</v>
      </c>
      <c r="Z384" s="70">
        <f t="shared" si="389"/>
        <v>-490.28171024793301</v>
      </c>
      <c r="AA384" s="566">
        <f>VLOOKUP($A384,'01-02.2021'!$A$6:$CZ$403,27,FALSE)+VLOOKUP($A384,'1.3.21-28.2.22'!$A$6:$DA$404,27,FALSE)-VLOOKUP($A384,'01-02.2022'!$A$6:$DA$376,27,FALSE)</f>
        <v>1269.45</v>
      </c>
      <c r="AB384" s="566">
        <f>VLOOKUP($A384,'01-02.2021'!$A$6:$CZ$403,28,FALSE)+VLOOKUP($A384,'1.3.21-28.2.22'!$A$6:$DA$404,28,FALSE)-VLOOKUP($A384,'01-02.2022'!$A$6:$DA$376,28,FALSE)</f>
        <v>0</v>
      </c>
      <c r="AC384" s="70">
        <f t="shared" si="390"/>
        <v>-1269.45</v>
      </c>
      <c r="AD384" s="566">
        <f>VLOOKUP($A384,'01-02.2021'!$A$6:$CZ$403,30,FALSE)+VLOOKUP($A384,'1.3.21-28.2.22'!$A$6:$DA$404,30,FALSE)-VLOOKUP($A384,'01-02.2022'!$A$6:$DA$376,30,FALSE)</f>
        <v>27252.12220300367</v>
      </c>
      <c r="AE384" s="566">
        <f>VLOOKUP($A384,'01-02.2021'!$A$6:$CZ$403,31,FALSE)+VLOOKUP($A384,'1.3.21-28.2.22'!$A$6:$DA$404,31,FALSE)-VLOOKUP($A384,'01-02.2022'!$A$6:$DA$376,31,FALSE)</f>
        <v>28893.392949015295</v>
      </c>
      <c r="AF384" s="68">
        <f t="shared" si="391"/>
        <v>1641.2707460116253</v>
      </c>
      <c r="AG384" s="77">
        <f t="shared" si="413"/>
        <v>75163.462423568024</v>
      </c>
      <c r="AH384" s="53">
        <f t="shared" si="413"/>
        <v>74402.278242479384</v>
      </c>
      <c r="AI384" s="52">
        <f t="shared" si="419"/>
        <v>-761.18418108863989</v>
      </c>
      <c r="AJ384" s="566">
        <f>VLOOKUP($A384,'01-02.2021'!$A$6:$CZ$403,36,FALSE)+VLOOKUP($A384,'1.3.21-28.2.22'!$A$6:$DA$404,36,FALSE)-VLOOKUP($A384,'01-02.2022'!$A$6:$DA$376,36,FALSE)</f>
        <v>47392.387996604455</v>
      </c>
      <c r="AK384" s="566">
        <f>VLOOKUP($A384,'01-02.2021'!$A$6:$CZ$403,37,FALSE)+VLOOKUP($A384,'1.3.21-28.2.22'!$A$6:$DA$404,37,FALSE)-VLOOKUP($A384,'01-02.2022'!$A$6:$DA$376,37,FALSE)</f>
        <v>47081.720984040207</v>
      </c>
      <c r="AL384" s="70">
        <f t="shared" si="392"/>
        <v>-310.66701256424858</v>
      </c>
      <c r="AM384" s="566">
        <f>VLOOKUP($A384,'01-02.2021'!$A$6:$CZ$403,39,FALSE)+VLOOKUP($A384,'1.3.21-28.2.22'!$A$6:$DA$404,39,FALSE)-VLOOKUP($A384,'01-02.2022'!$A$6:$DA$376,39,FALSE)</f>
        <v>1576.1241375</v>
      </c>
      <c r="AN384" s="566">
        <f>VLOOKUP($A384,'01-02.2021'!$A$6:$CZ$403,40,FALSE)+VLOOKUP($A384,'1.3.21-28.2.22'!$A$6:$DA$404,40,FALSE)-VLOOKUP($A384,'01-02.2022'!$A$6:$DA$376,40,FALSE)</f>
        <v>132.1700624485191</v>
      </c>
      <c r="AO384" s="70">
        <f t="shared" si="393"/>
        <v>-1443.9540750514809</v>
      </c>
      <c r="AP384" s="566">
        <f>VLOOKUP($A384,'01-02.2021'!$A$6:$CZ$403,42,FALSE)+VLOOKUP($A384,'1.3.21-28.2.22'!$A$6:$DA$404,42,FALSE)-VLOOKUP($A384,'01-02.2022'!$A$6:$DA$376,42,FALSE)</f>
        <v>4598.2793376128675</v>
      </c>
      <c r="AQ384" s="566">
        <f>VLOOKUP($A384,'01-02.2021'!$A$6:$CZ$403,43,FALSE)+VLOOKUP($A384,'1.3.21-28.2.22'!$A$6:$DA$404,43,FALSE)-VLOOKUP($A384,'01-02.2022'!$A$6:$DA$376,43,FALSE)</f>
        <v>4072.2147938235948</v>
      </c>
      <c r="AR384" s="70">
        <f t="shared" si="394"/>
        <v>-526.06454378927265</v>
      </c>
      <c r="AS384" s="566">
        <f>VLOOKUP($A384,'01-02.2021'!$A$6:$CZ$403,45,FALSE)+VLOOKUP($A384,'1.3.21-28.2.22'!$A$6:$DA$404,45,FALSE)-VLOOKUP($A384,'01-02.2022'!$A$6:$DA$376,45,FALSE)</f>
        <v>87583.336708528368</v>
      </c>
      <c r="AT384" s="566">
        <f>VLOOKUP($A384,'01-02.2021'!$A$6:$CZ$403,46,FALSE)+VLOOKUP($A384,'1.3.21-28.2.22'!$A$6:$DA$404,46,FALSE)-VLOOKUP($A384,'01-02.2022'!$A$6:$DA$376,46,FALSE)</f>
        <v>47642.107259448239</v>
      </c>
      <c r="AU384" s="78">
        <f t="shared" si="395"/>
        <v>-39941.229449080129</v>
      </c>
      <c r="AV384" s="566">
        <f>VLOOKUP($A384,'01-02.2021'!$A$6:$CZ$403,48,FALSE)+VLOOKUP($A384,'1.3.21-28.2.22'!$A$6:$DA$404,48,FALSE)-VLOOKUP($A384,'01-02.2022'!$A$6:$DA$376,48,FALSE)</f>
        <v>5211.9707556091189</v>
      </c>
      <c r="AW384" s="566">
        <f>VLOOKUP($A384,'01-02.2021'!$A$6:$CZ$403,49,FALSE)+VLOOKUP($A384,'1.3.21-28.2.22'!$A$6:$DA$404,49,FALSE)-VLOOKUP($A384,'01-02.2022'!$A$6:$DA$376,49,FALSE)</f>
        <v>6644.62</v>
      </c>
      <c r="AX384" s="55">
        <f t="shared" si="396"/>
        <v>1432.649244390881</v>
      </c>
      <c r="AY384" s="566">
        <f>VLOOKUP($A384,'01-02.2021'!$A$6:$CZ$403,51,FALSE)+VLOOKUP($A384,'1.3.21-28.2.22'!$A$6:$DA$404,51,FALSE)-VLOOKUP($A384,'01-02.2022'!$A$6:$DA$376,51,FALSE)</f>
        <v>6079.4746241162775</v>
      </c>
      <c r="AZ384" s="566">
        <f>VLOOKUP($A384,'01-02.2021'!$A$6:$CZ$403,52,FALSE)+VLOOKUP($A384,'1.3.21-28.2.22'!$A$6:$DA$404,52,FALSE)-VLOOKUP($A384,'01-02.2022'!$A$6:$DA$376,52,FALSE)</f>
        <v>12474.33</v>
      </c>
      <c r="BA384" s="38">
        <f t="shared" si="397"/>
        <v>6394.8553758837224</v>
      </c>
      <c r="BB384" s="566">
        <f>VLOOKUP($A384,'01-02.2021'!$A$6:$CZ$403,54,FALSE)+VLOOKUP($A384,'1.3.21-28.2.22'!$A$6:$DA$404,54,FALSE)-VLOOKUP($A384,'01-02.2022'!$A$6:$DA$376,54,FALSE)</f>
        <v>5511.9075965388038</v>
      </c>
      <c r="BC384" s="566">
        <f>VLOOKUP($A384,'01-02.2021'!$A$6:$CZ$403,55,FALSE)+VLOOKUP($A384,'1.3.21-28.2.22'!$A$6:$DA$404,55,FALSE)-VLOOKUP($A384,'01-02.2022'!$A$6:$DA$376,55,FALSE)</f>
        <v>3075</v>
      </c>
      <c r="BD384" s="55">
        <f t="shared" si="398"/>
        <v>-2436.9075965388038</v>
      </c>
      <c r="BE384" s="566">
        <f>VLOOKUP($A384,'01-02.2021'!$A$6:$CZ$403,57,FALSE)+VLOOKUP($A384,'1.3.21-28.2.22'!$A$6:$DA$404,57,FALSE)-VLOOKUP($A384,'01-02.2022'!$A$6:$DA$376,57,FALSE)</f>
        <v>4717.3979243343847</v>
      </c>
      <c r="BF384" s="566">
        <f>VLOOKUP($A384,'01-02.2021'!$A$6:$CZ$403,58,FALSE)+VLOOKUP($A384,'1.3.21-28.2.22'!$A$6:$DA$404,58,FALSE)-VLOOKUP($A384,'01-02.2022'!$A$6:$DA$376,58,FALSE)</f>
        <v>12383.4</v>
      </c>
      <c r="BG384" s="55">
        <f t="shared" si="399"/>
        <v>7666.0020756656149</v>
      </c>
      <c r="BH384" s="566">
        <f>VLOOKUP($A384,'01-02.2021'!$A$6:$CZ$403,60,FALSE)+VLOOKUP($A384,'1.3.21-28.2.22'!$A$6:$DA$404,60,FALSE)-VLOOKUP($A384,'01-02.2022'!$A$6:$DA$376,60,FALSE)</f>
        <v>1913.5696814495238</v>
      </c>
      <c r="BI384" s="566">
        <f>VLOOKUP($A384,'01-02.2021'!$A$6:$CZ$403,61,FALSE)+VLOOKUP($A384,'1.3.21-28.2.22'!$A$6:$DA$404,61,FALSE)-VLOOKUP($A384,'01-02.2022'!$A$6:$DA$376,61,FALSE)</f>
        <v>0</v>
      </c>
      <c r="BJ384" s="55">
        <f t="shared" si="400"/>
        <v>-1913.5696814495238</v>
      </c>
      <c r="BK384" s="566">
        <f>VLOOKUP($A384,'01-02.2021'!$A$6:$CZ$403,63,FALSE)+VLOOKUP($A384,'1.3.21-28.2.22'!$A$6:$DA$404,63,FALSE)-VLOOKUP($A384,'01-02.2022'!$A$6:$DA$376,63,FALSE)</f>
        <v>3404.9901594341027</v>
      </c>
      <c r="BL384" s="566">
        <f>VLOOKUP($A384,'01-02.2021'!$A$6:$CZ$403,64,FALSE)+VLOOKUP($A384,'1.3.21-28.2.22'!$A$6:$DA$404,64,FALSE)-VLOOKUP($A384,'01-02.2022'!$A$6:$DA$376,64,FALSE)</f>
        <v>2919</v>
      </c>
      <c r="BM384" s="55">
        <f t="shared" si="401"/>
        <v>-485.99015943410268</v>
      </c>
      <c r="BN384" s="566">
        <f>VLOOKUP($A384,'01-02.2021'!$A$6:$CZ$403,66,FALSE)+VLOOKUP($A384,'1.3.21-28.2.22'!$A$6:$DA$404,66,FALSE)-VLOOKUP($A384,'01-02.2022'!$A$6:$DA$376,66,FALSE)</f>
        <v>317.36250000000001</v>
      </c>
      <c r="BO384" s="566">
        <f>VLOOKUP($A384,'01-02.2021'!$A$6:$CZ$403,67,FALSE)+VLOOKUP($A384,'1.3.21-28.2.22'!$A$6:$DA$404,67,FALSE)-VLOOKUP($A384,'01-02.2022'!$A$6:$DA$376,67,FALSE)</f>
        <v>0</v>
      </c>
      <c r="BP384" s="55">
        <f t="shared" si="402"/>
        <v>-317.36250000000001</v>
      </c>
      <c r="BQ384" s="77">
        <f t="shared" si="409"/>
        <v>27156.673241482211</v>
      </c>
      <c r="BR384" s="40">
        <f t="shared" si="434"/>
        <v>37496.35</v>
      </c>
      <c r="BS384" s="55">
        <f t="shared" si="428"/>
        <v>10339.676758517788</v>
      </c>
      <c r="BT384" s="566">
        <f>VLOOKUP($A384,'01-02.2021'!$A$6:$CZ$403,72,FALSE)+VLOOKUP($A384,'1.3.21-28.2.22'!$A$6:$DA$404,72,FALSE)-VLOOKUP($A384,'01-02.2022'!$A$6:$DA$376,72,FALSE)</f>
        <v>43747.725874448843</v>
      </c>
      <c r="BU384" s="566">
        <f>VLOOKUP($A384,'01-02.2021'!$A$6:$CZ$403,73,FALSE)+VLOOKUP($A384,'1.3.21-28.2.22'!$A$6:$DA$404,73,FALSE)-VLOOKUP($A384,'01-02.2022'!$A$6:$DA$376,73,FALSE)</f>
        <v>43616.511997031383</v>
      </c>
      <c r="BV384" s="70">
        <f t="shared" si="403"/>
        <v>-131.21387741746003</v>
      </c>
      <c r="BW384" s="566">
        <f>VLOOKUP($A384,'01-02.2021'!$A$6:$CZ$403,75,FALSE)+VLOOKUP($A384,'1.3.21-28.2.22'!$A$6:$DA$404,75,FALSE)-VLOOKUP($A384,'01-02.2022'!$A$6:$DA$376,75,FALSE)</f>
        <v>32272.479204006613</v>
      </c>
      <c r="BX384" s="566">
        <f>VLOOKUP($A384,'01-02.2021'!$A$6:$CZ$403,76,FALSE)+VLOOKUP($A384,'1.3.21-28.2.22'!$A$6:$DA$404,76,FALSE)-VLOOKUP($A384,'01-02.2022'!$A$6:$DA$376,76,FALSE)</f>
        <v>31016.331163101808</v>
      </c>
      <c r="BY384" s="70">
        <f t="shared" si="404"/>
        <v>-1256.1480409048054</v>
      </c>
      <c r="BZ384" s="566">
        <f>VLOOKUP($A384,'01-02.2021'!$A$6:$CZ$403,78,FALSE)+VLOOKUP($A384,'1.3.21-28.2.22'!$A$6:$DA$404,78,FALSE)-VLOOKUP($A384,'01-02.2022'!$A$6:$DA$376,78,FALSE)</f>
        <v>9933.5209858627622</v>
      </c>
      <c r="CA384" s="566">
        <f>VLOOKUP($A384,'01-02.2021'!$A$6:$CZ$403,79,FALSE)+VLOOKUP($A384,'1.3.21-28.2.22'!$A$6:$DA$404,79,FALSE)-VLOOKUP($A384,'01-02.2022'!$A$6:$DA$376,79,FALSE)</f>
        <v>9449.3235194955378</v>
      </c>
      <c r="CB384" s="70">
        <f t="shared" si="405"/>
        <v>-484.19746636722448</v>
      </c>
      <c r="CC384" s="566">
        <f>VLOOKUP($A384,'01-02.2021'!$A$6:$CZ$403,81,FALSE)+VLOOKUP($A384,'1.3.21-28.2.22'!$A$6:$DA$404,81,FALSE)-VLOOKUP($A384,'01-02.2022'!$A$6:$DA$376,81,FALSE)</f>
        <v>2087.9217327523966</v>
      </c>
      <c r="CD384" s="566">
        <f>VLOOKUP($A384,'01-02.2021'!$A$6:$CZ$403,82,FALSE)+VLOOKUP($A384,'1.3.21-28.2.22'!$A$6:$DA$404,82,FALSE)-VLOOKUP($A384,'01-02.2022'!$A$6:$DA$376,82,FALSE)</f>
        <v>2263.7681873483621</v>
      </c>
      <c r="CE384" s="70">
        <f t="shared" si="406"/>
        <v>175.8464545959655</v>
      </c>
      <c r="CF384" s="566">
        <f>VLOOKUP($A384,'01-02.2021'!$A$6:$CZ$403,84,FALSE)+VLOOKUP($A384,'1.3.21-28.2.22'!$A$6:$DA$404,84,FALSE)-VLOOKUP($A384,'01-02.2022'!$A$6:$DA$376,84,FALSE)</f>
        <v>251.79269195300566</v>
      </c>
      <c r="CG384" s="566">
        <f>VLOOKUP($A384,'01-02.2021'!$A$6:$CZ$403,85,FALSE)+VLOOKUP($A384,'1.3.21-28.2.22'!$A$6:$DA$404,85,FALSE)-VLOOKUP($A384,'01-02.2022'!$A$6:$DA$376,85,FALSE)</f>
        <v>0</v>
      </c>
      <c r="CH384" s="70">
        <f t="shared" si="407"/>
        <v>-251.79269195300566</v>
      </c>
      <c r="CI384" s="566">
        <f>VLOOKUP($A384,'01-02.2021'!$A$6:$CZ$403,87,FALSE)+VLOOKUP($A384,'1.3.21-28.2.22'!$A$6:$DA$404,87,FALSE)-VLOOKUP($A384,'01-02.2022'!$A$6:$DA$376,87,FALSE)</f>
        <v>27302.826885349241</v>
      </c>
      <c r="CJ384" s="566">
        <f>VLOOKUP($A384,'01-02.2021'!$A$6:$CZ$403,88,FALSE)+VLOOKUP($A384,'1.3.21-28.2.22'!$A$6:$DA$404,88,FALSE)-VLOOKUP($A384,'01-02.2022'!$A$6:$DA$376,88,FALSE)</f>
        <v>19932.401725719101</v>
      </c>
      <c r="CK384" s="70">
        <f t="shared" si="408"/>
        <v>-7370.4251596301401</v>
      </c>
      <c r="CL384" s="566">
        <f>VLOOKUP($A384,'01-02.2021'!$A$6:$CZ$403,90,FALSE)+VLOOKUP($A384,'1.3.21-28.2.22'!$A$6:$DA$404,90,FALSE)-VLOOKUP($A384,'01-02.2022'!$A$6:$DA$376,90,FALSE)</f>
        <v>12120.698296678198</v>
      </c>
      <c r="CM384" s="566">
        <f>VLOOKUP($A384,'01-02.2021'!$A$6:$CZ$403,91,FALSE)+VLOOKUP($A384,'1.3.21-28.2.22'!$A$6:$DA$404,91,FALSE)-VLOOKUP($A384,'01-02.2022'!$A$6:$DA$376,91,FALSE)</f>
        <v>12449.969412857228</v>
      </c>
      <c r="CN384" s="52">
        <f t="shared" si="420"/>
        <v>329.27111617903029</v>
      </c>
      <c r="CO384" s="39">
        <f t="shared" si="414"/>
        <v>39423.525182027442</v>
      </c>
      <c r="CP384" s="40">
        <f t="shared" si="421"/>
        <v>32382.371138576331</v>
      </c>
      <c r="CQ384" s="52">
        <f t="shared" si="422"/>
        <v>-7041.1540434511116</v>
      </c>
      <c r="CR384" s="72">
        <f t="shared" si="415"/>
        <v>371187.229516347</v>
      </c>
      <c r="CS384" s="5">
        <f t="shared" si="415"/>
        <v>329555.14734779345</v>
      </c>
      <c r="CT384" s="52">
        <f t="shared" si="423"/>
        <v>-41632.082168553548</v>
      </c>
      <c r="CU384" s="77">
        <f t="shared" si="424"/>
        <v>445424.6754196164</v>
      </c>
      <c r="CV384" s="65">
        <f t="shared" si="425"/>
        <v>395466.17681735213</v>
      </c>
      <c r="CW384" s="35">
        <f t="shared" si="426"/>
        <v>-49958.49860226427</v>
      </c>
      <c r="CX384" s="566">
        <f>VLOOKUP($A384,'01-02.2021'!$A$6:$CZ$403,102,FALSE)+VLOOKUP($A384,'1.3.21-28.2.22'!$A$6:$DA$404,102,FALSE)-VLOOKUP($A384,'01-02.2022'!$A$6:$DA$376,102,FALSE)</f>
        <v>13107.18026850312</v>
      </c>
      <c r="CY384" s="566">
        <f>VLOOKUP($A384,'01-02.2021'!$A$6:$CZ$403,103,FALSE)+VLOOKUP($A384,'1.3.21-28.2.22'!$A$6:$DA$404,103,FALSE)-VLOOKUP($A384,'01-02.2022'!$A$6:$DA$376,103,FALSE)</f>
        <v>63065.678870767457</v>
      </c>
      <c r="CZ384" s="52">
        <f t="shared" si="427"/>
        <v>49958.498602264335</v>
      </c>
      <c r="DA384" s="150">
        <f>'[2]побудинковий звіт'!DA384</f>
        <v>60645.641803115417</v>
      </c>
      <c r="DB384" s="2">
        <v>3</v>
      </c>
      <c r="DC384" s="414">
        <f>'[4]побудинковий звіт'!DC384</f>
        <v>95888.28</v>
      </c>
      <c r="DD384" s="414">
        <f>'[4]побудинковий звіт'!DD384</f>
        <v>0</v>
      </c>
      <c r="DE384" s="557">
        <f>'[4]побудинковий звіт'!DE384</f>
        <v>56633.722547168298</v>
      </c>
      <c r="DF384" s="557">
        <f>'[4]побудинковий звіт'!DF384</f>
        <v>-539.42319360739111</v>
      </c>
      <c r="DG384" s="321">
        <f>VLOOKUP(A384,'кошти 01.03.2021'!$A$6:$D$401,4,)</f>
        <v>14144.398401101116</v>
      </c>
      <c r="DH384" s="40">
        <f>'[3]побудинковий звіт'!DJ384</f>
        <v>465869.14822761173</v>
      </c>
      <c r="DI384" s="422">
        <f>'[3]побудинковий звіт'!CU384+'[3]побудинковий звіт'!CX384</f>
        <v>39793.980646439093</v>
      </c>
      <c r="DJ384" s="306">
        <f>'[3]побудинковий звіт'!DM384</f>
        <v>5.2631576008344529</v>
      </c>
      <c r="DK384" s="306">
        <f>'[3]побудинковий звіт'!DN384</f>
        <v>6.404074630678072</v>
      </c>
      <c r="DL384" s="306">
        <f>'[3]побудинковий звіт'!DO384</f>
        <v>4.6865611955464042</v>
      </c>
      <c r="DM384" s="28">
        <f t="shared" si="435"/>
        <v>39254.557452831701</v>
      </c>
      <c r="DN384" s="28">
        <f t="shared" si="436"/>
        <v>539.42319360739111</v>
      </c>
      <c r="DO384" s="423">
        <f t="shared" si="381"/>
        <v>39793.980646439093</v>
      </c>
      <c r="DP384" s="94">
        <f t="shared" si="382"/>
        <v>0</v>
      </c>
      <c r="DQ384" s="28">
        <f t="shared" si="383"/>
        <v>39793.980646439093</v>
      </c>
      <c r="DR384" s="318"/>
      <c r="DT384" s="8"/>
      <c r="DU384" s="5"/>
      <c r="DX384" s="5">
        <f t="shared" si="384"/>
        <v>137688.01194001269</v>
      </c>
      <c r="DY384" s="5">
        <f t="shared" si="385"/>
        <v>102166.1487113379</v>
      </c>
      <c r="DZ384" s="159">
        <f>'[3]побудинковий звіт'!EA384</f>
        <v>13463.837393296897</v>
      </c>
    </row>
    <row r="385" spans="1:130" x14ac:dyDescent="0.3">
      <c r="A385" s="325">
        <v>150000911</v>
      </c>
      <c r="B385" s="41" t="s">
        <v>831</v>
      </c>
      <c r="C385" s="42" t="s">
        <v>319</v>
      </c>
      <c r="D385" s="27"/>
      <c r="E385" s="293">
        <f t="shared" si="412"/>
        <v>5864.08</v>
      </c>
      <c r="F385" s="305">
        <f>'[3]побудинковий звіт'!F385</f>
        <v>5864.08</v>
      </c>
      <c r="G385" s="508">
        <f>'[3]побудинковий звіт'!G385</f>
        <v>0</v>
      </c>
      <c r="H385" s="560">
        <f>'[3]побудинковий звіт'!H385</f>
        <v>0</v>
      </c>
      <c r="I385" s="566">
        <f>VLOOKUP($A385,'01-02.2021'!$A$6:$CZ$403,9,FALSE)+VLOOKUP($A385,'1.3.21-28.2.22'!$A$6:$DA$404,9,FALSE)-VLOOKUP($A385,'01-02.2022'!$A$6:$DA$376,9,FALSE)</f>
        <v>19104.25988044039</v>
      </c>
      <c r="J385" s="566">
        <f>VLOOKUP($A385,'01-02.2021'!$A$6:$CZ$403,10,FALSE)+VLOOKUP($A385,'1.3.21-28.2.22'!$A$6:$DA$404,10,FALSE)-VLOOKUP($A385,'01-02.2022'!$A$6:$DA$376,10,FALSE)</f>
        <v>18693.958826698159</v>
      </c>
      <c r="K385" s="52">
        <f t="shared" si="417"/>
        <v>-410.30105374223058</v>
      </c>
      <c r="L385" s="566">
        <f>VLOOKUP($A385,'01-02.2021'!$A$6:$CZ$403,12,FALSE)+VLOOKUP($A385,'1.3.21-28.2.22'!$A$6:$DA$404,12,FALSE)-VLOOKUP($A385,'01-02.2022'!$A$6:$DA$376,12,FALSE)</f>
        <v>3905.4475915373173</v>
      </c>
      <c r="M385" s="566">
        <f>VLOOKUP($A385,'01-02.2021'!$A$6:$CZ$403,13,FALSE)+VLOOKUP($A385,'1.3.21-28.2.22'!$A$6:$DA$404,13,FALSE)-VLOOKUP($A385,'01-02.2022'!$A$6:$DA$376,13,FALSE)</f>
        <v>3899.4785806661876</v>
      </c>
      <c r="N385" s="52">
        <f t="shared" si="418"/>
        <v>-5.9690108711297398</v>
      </c>
      <c r="O385" s="566">
        <f>VLOOKUP($A385,'01-02.2021'!$A$6:$CZ$403,15,FALSE)+VLOOKUP($A385,'1.3.21-28.2.22'!$A$6:$DA$404,15,FALSE)-VLOOKUP($A385,'01-02.2022'!$A$6:$DA$376,15,FALSE)</f>
        <v>8023.3980597051732</v>
      </c>
      <c r="P385" s="566">
        <f>VLOOKUP($A385,'01-02.2021'!$A$6:$CZ$403,16,FALSE)+VLOOKUP($A385,'1.3.21-28.2.22'!$A$6:$DA$404,16,FALSE)-VLOOKUP($A385,'01-02.2022'!$A$6:$DA$376,16,FALSE)</f>
        <v>8024.505000000001</v>
      </c>
      <c r="Q385" s="70">
        <f t="shared" si="386"/>
        <v>1.1069402948278366</v>
      </c>
      <c r="R385" s="566">
        <f>VLOOKUP($A385,'01-02.2021'!$A$6:$CZ$403,18,FALSE)+VLOOKUP($A385,'1.3.21-28.2.22'!$A$6:$DA$404,18,FALSE)-VLOOKUP($A385,'01-02.2022'!$A$6:$DA$376,18,FALSE)</f>
        <v>0</v>
      </c>
      <c r="S385" s="566">
        <f>VLOOKUP($A385,'01-02.2021'!$A$6:$CZ$403,19,FALSE)+VLOOKUP($A385,'1.3.21-28.2.22'!$A$6:$DA$404,19,FALSE)-VLOOKUP($A385,'01-02.2022'!$A$6:$DA$376,19,FALSE)</f>
        <v>0</v>
      </c>
      <c r="T385" s="70">
        <f t="shared" si="387"/>
        <v>0</v>
      </c>
      <c r="U385" s="566">
        <f>VLOOKUP($A385,'01-02.2021'!$A$6:$CZ$403,21,FALSE)+VLOOKUP($A385,'1.3.21-28.2.22'!$A$6:$DA$404,21,FALSE)-VLOOKUP($A385,'01-02.2022'!$A$6:$DA$376,21,FALSE)</f>
        <v>1724.4098101121328</v>
      </c>
      <c r="V385" s="566">
        <f>VLOOKUP($A385,'01-02.2021'!$A$6:$CZ$403,22,FALSE)+VLOOKUP($A385,'1.3.21-28.2.22'!$A$6:$DA$404,22,FALSE)-VLOOKUP($A385,'01-02.2022'!$A$6:$DA$376,22,FALSE)</f>
        <v>1465.5432276544427</v>
      </c>
      <c r="W385" s="70">
        <f t="shared" si="388"/>
        <v>-258.86658245769013</v>
      </c>
      <c r="X385" s="566">
        <f>VLOOKUP($A385,'01-02.2021'!$A$6:$CZ$403,24,FALSE)+VLOOKUP($A385,'1.3.21-28.2.22'!$A$6:$DA$404,24,FALSE)-VLOOKUP($A385,'01-02.2022'!$A$6:$DA$376,24,FALSE)</f>
        <v>16620.631423892748</v>
      </c>
      <c r="Y385" s="566">
        <f>VLOOKUP($A385,'01-02.2021'!$A$6:$CZ$403,25,FALSE)+VLOOKUP($A385,'1.3.21-28.2.22'!$A$6:$DA$404,25,FALSE)-VLOOKUP($A385,'01-02.2022'!$A$6:$DA$376,25,FALSE)</f>
        <v>14685.815994914035</v>
      </c>
      <c r="Z385" s="70">
        <f t="shared" si="389"/>
        <v>-1934.8154289787126</v>
      </c>
      <c r="AA385" s="566">
        <f>VLOOKUP($A385,'01-02.2021'!$A$6:$CZ$403,27,FALSE)+VLOOKUP($A385,'1.3.21-28.2.22'!$A$6:$DA$404,27,FALSE)-VLOOKUP($A385,'01-02.2022'!$A$6:$DA$376,27,FALSE)</f>
        <v>1172.8159999999998</v>
      </c>
      <c r="AB385" s="566">
        <f>VLOOKUP($A385,'01-02.2021'!$A$6:$CZ$403,28,FALSE)+VLOOKUP($A385,'1.3.21-28.2.22'!$A$6:$DA$404,28,FALSE)-VLOOKUP($A385,'01-02.2022'!$A$6:$DA$376,28,FALSE)</f>
        <v>0</v>
      </c>
      <c r="AC385" s="70">
        <f t="shared" si="390"/>
        <v>-1172.8159999999998</v>
      </c>
      <c r="AD385" s="566">
        <f>VLOOKUP($A385,'01-02.2021'!$A$6:$CZ$403,30,FALSE)+VLOOKUP($A385,'1.3.21-28.2.22'!$A$6:$DA$404,30,FALSE)-VLOOKUP($A385,'01-02.2022'!$A$6:$DA$376,30,FALSE)</f>
        <v>25187.842634329267</v>
      </c>
      <c r="AE385" s="566">
        <f>VLOOKUP($A385,'01-02.2021'!$A$6:$CZ$403,31,FALSE)+VLOOKUP($A385,'1.3.21-28.2.22'!$A$6:$DA$404,31,FALSE)-VLOOKUP($A385,'01-02.2022'!$A$6:$DA$376,31,FALSE)</f>
        <v>26693.528436979464</v>
      </c>
      <c r="AF385" s="68">
        <f t="shared" si="391"/>
        <v>1505.6858026501977</v>
      </c>
      <c r="AG385" s="77">
        <f t="shared" si="413"/>
        <v>75738.805400017038</v>
      </c>
      <c r="AH385" s="53">
        <f t="shared" si="413"/>
        <v>73462.830066912298</v>
      </c>
      <c r="AI385" s="52">
        <f t="shared" si="419"/>
        <v>-2275.9753331047395</v>
      </c>
      <c r="AJ385" s="566">
        <f>VLOOKUP($A385,'01-02.2021'!$A$6:$CZ$403,36,FALSE)+VLOOKUP($A385,'1.3.21-28.2.22'!$A$6:$DA$404,36,FALSE)-VLOOKUP($A385,'01-02.2022'!$A$6:$DA$376,36,FALSE)</f>
        <v>0</v>
      </c>
      <c r="AK385" s="566">
        <f>VLOOKUP($A385,'01-02.2021'!$A$6:$CZ$403,37,FALSE)+VLOOKUP($A385,'1.3.21-28.2.22'!$A$6:$DA$404,37,FALSE)-VLOOKUP($A385,'01-02.2022'!$A$6:$DA$376,37,FALSE)</f>
        <v>0</v>
      </c>
      <c r="AL385" s="70">
        <f t="shared" si="392"/>
        <v>0</v>
      </c>
      <c r="AM385" s="566">
        <f>VLOOKUP($A385,'01-02.2021'!$A$6:$CZ$403,39,FALSE)+VLOOKUP($A385,'1.3.21-28.2.22'!$A$6:$DA$404,39,FALSE)-VLOOKUP($A385,'01-02.2022'!$A$6:$DA$376,39,FALSE)</f>
        <v>0</v>
      </c>
      <c r="AN385" s="566">
        <f>VLOOKUP($A385,'01-02.2021'!$A$6:$CZ$403,40,FALSE)+VLOOKUP($A385,'1.3.21-28.2.22'!$A$6:$DA$404,40,FALSE)-VLOOKUP($A385,'01-02.2022'!$A$6:$DA$376,40,FALSE)</f>
        <v>0</v>
      </c>
      <c r="AO385" s="70">
        <f t="shared" si="393"/>
        <v>0</v>
      </c>
      <c r="AP385" s="566">
        <f>VLOOKUP($A385,'01-02.2021'!$A$6:$CZ$403,42,FALSE)+VLOOKUP($A385,'1.3.21-28.2.22'!$A$6:$DA$404,42,FALSE)-VLOOKUP($A385,'01-02.2022'!$A$6:$DA$376,42,FALSE)</f>
        <v>9305.008659603398</v>
      </c>
      <c r="AQ385" s="566">
        <f>VLOOKUP($A385,'01-02.2021'!$A$6:$CZ$403,43,FALSE)+VLOOKUP($A385,'1.3.21-28.2.22'!$A$6:$DA$404,43,FALSE)-VLOOKUP($A385,'01-02.2022'!$A$6:$DA$376,43,FALSE)</f>
        <v>8068.3396130137126</v>
      </c>
      <c r="AR385" s="70">
        <f t="shared" si="394"/>
        <v>-1236.6690465896854</v>
      </c>
      <c r="AS385" s="566">
        <f>VLOOKUP($A385,'01-02.2021'!$A$6:$CZ$403,45,FALSE)+VLOOKUP($A385,'1.3.21-28.2.22'!$A$6:$DA$404,45,FALSE)-VLOOKUP($A385,'01-02.2022'!$A$6:$DA$376,45,FALSE)</f>
        <v>85179.625983137812</v>
      </c>
      <c r="AT385" s="566">
        <f>VLOOKUP($A385,'01-02.2021'!$A$6:$CZ$403,46,FALSE)+VLOOKUP($A385,'1.3.21-28.2.22'!$A$6:$DA$404,46,FALSE)-VLOOKUP($A385,'01-02.2022'!$A$6:$DA$376,46,FALSE)</f>
        <v>87270.392198933798</v>
      </c>
      <c r="AU385" s="78">
        <f t="shared" si="395"/>
        <v>2090.7662157959858</v>
      </c>
      <c r="AV385" s="566">
        <f>VLOOKUP($A385,'01-02.2021'!$A$6:$CZ$403,48,FALSE)+VLOOKUP($A385,'1.3.21-28.2.22'!$A$6:$DA$404,48,FALSE)-VLOOKUP($A385,'01-02.2022'!$A$6:$DA$376,48,FALSE)</f>
        <v>5216.1142217944152</v>
      </c>
      <c r="AW385" s="566">
        <f>VLOOKUP($A385,'01-02.2021'!$A$6:$CZ$403,49,FALSE)+VLOOKUP($A385,'1.3.21-28.2.22'!$A$6:$DA$404,49,FALSE)-VLOOKUP($A385,'01-02.2022'!$A$6:$DA$376,49,FALSE)</f>
        <v>6827</v>
      </c>
      <c r="AX385" s="55">
        <f t="shared" si="396"/>
        <v>1610.8857782055848</v>
      </c>
      <c r="AY385" s="566">
        <f>VLOOKUP($A385,'01-02.2021'!$A$6:$CZ$403,51,FALSE)+VLOOKUP($A385,'1.3.21-28.2.22'!$A$6:$DA$404,51,FALSE)-VLOOKUP($A385,'01-02.2022'!$A$6:$DA$376,51,FALSE)</f>
        <v>7341.2692771680877</v>
      </c>
      <c r="AZ385" s="566">
        <f>VLOOKUP($A385,'01-02.2021'!$A$6:$CZ$403,52,FALSE)+VLOOKUP($A385,'1.3.21-28.2.22'!$A$6:$DA$404,52,FALSE)-VLOOKUP($A385,'01-02.2022'!$A$6:$DA$376,52,FALSE)</f>
        <v>7539</v>
      </c>
      <c r="BA385" s="38">
        <f t="shared" si="397"/>
        <v>197.73072283191232</v>
      </c>
      <c r="BB385" s="566">
        <f>VLOOKUP($A385,'01-02.2021'!$A$6:$CZ$403,54,FALSE)+VLOOKUP($A385,'1.3.21-28.2.22'!$A$6:$DA$404,54,FALSE)-VLOOKUP($A385,'01-02.2022'!$A$6:$DA$376,54,FALSE)</f>
        <v>2825.8561856077667</v>
      </c>
      <c r="BC385" s="566">
        <f>VLOOKUP($A385,'01-02.2021'!$A$6:$CZ$403,55,FALSE)+VLOOKUP($A385,'1.3.21-28.2.22'!$A$6:$DA$404,55,FALSE)-VLOOKUP($A385,'01-02.2022'!$A$6:$DA$376,55,FALSE)</f>
        <v>981</v>
      </c>
      <c r="BD385" s="55">
        <f t="shared" si="398"/>
        <v>-1844.8561856077667</v>
      </c>
      <c r="BE385" s="566">
        <f>VLOOKUP($A385,'01-02.2021'!$A$6:$CZ$403,57,FALSE)+VLOOKUP($A385,'1.3.21-28.2.22'!$A$6:$DA$404,57,FALSE)-VLOOKUP($A385,'01-02.2022'!$A$6:$DA$376,57,FALSE)</f>
        <v>0</v>
      </c>
      <c r="BF385" s="566">
        <f>VLOOKUP($A385,'01-02.2021'!$A$6:$CZ$403,58,FALSE)+VLOOKUP($A385,'1.3.21-28.2.22'!$A$6:$DA$404,58,FALSE)-VLOOKUP($A385,'01-02.2022'!$A$6:$DA$376,58,FALSE)</f>
        <v>0</v>
      </c>
      <c r="BG385" s="55">
        <f t="shared" si="399"/>
        <v>0</v>
      </c>
      <c r="BH385" s="566">
        <f>VLOOKUP($A385,'01-02.2021'!$A$6:$CZ$403,60,FALSE)+VLOOKUP($A385,'1.3.21-28.2.22'!$A$6:$DA$404,60,FALSE)-VLOOKUP($A385,'01-02.2022'!$A$6:$DA$376,60,FALSE)</f>
        <v>3869.2065280804436</v>
      </c>
      <c r="BI385" s="566">
        <f>VLOOKUP($A385,'01-02.2021'!$A$6:$CZ$403,61,FALSE)+VLOOKUP($A385,'1.3.21-28.2.22'!$A$6:$DA$404,61,FALSE)-VLOOKUP($A385,'01-02.2022'!$A$6:$DA$376,61,FALSE)</f>
        <v>0</v>
      </c>
      <c r="BJ385" s="55">
        <f t="shared" si="400"/>
        <v>-3869.2065280804436</v>
      </c>
      <c r="BK385" s="566">
        <f>VLOOKUP($A385,'01-02.2021'!$A$6:$CZ$403,63,FALSE)+VLOOKUP($A385,'1.3.21-28.2.22'!$A$6:$DA$404,63,FALSE)-VLOOKUP($A385,'01-02.2022'!$A$6:$DA$376,63,FALSE)</f>
        <v>6278.8886380364165</v>
      </c>
      <c r="BL385" s="566">
        <f>VLOOKUP($A385,'01-02.2021'!$A$6:$CZ$403,64,FALSE)+VLOOKUP($A385,'1.3.21-28.2.22'!$A$6:$DA$404,64,FALSE)-VLOOKUP($A385,'01-02.2022'!$A$6:$DA$376,64,FALSE)</f>
        <v>231</v>
      </c>
      <c r="BM385" s="55">
        <f t="shared" si="401"/>
        <v>-6047.8886380364165</v>
      </c>
      <c r="BN385" s="566">
        <f>VLOOKUP($A385,'01-02.2021'!$A$6:$CZ$403,66,FALSE)+VLOOKUP($A385,'1.3.21-28.2.22'!$A$6:$DA$404,66,FALSE)-VLOOKUP($A385,'01-02.2022'!$A$6:$DA$376,66,FALSE)</f>
        <v>293.20399999999995</v>
      </c>
      <c r="BO385" s="566">
        <f>VLOOKUP($A385,'01-02.2021'!$A$6:$CZ$403,67,FALSE)+VLOOKUP($A385,'1.3.21-28.2.22'!$A$6:$DA$404,67,FALSE)-VLOOKUP($A385,'01-02.2022'!$A$6:$DA$376,67,FALSE)</f>
        <v>1087.03</v>
      </c>
      <c r="BP385" s="55">
        <f t="shared" si="402"/>
        <v>793.82600000000002</v>
      </c>
      <c r="BQ385" s="77">
        <f t="shared" si="409"/>
        <v>25824.538850687131</v>
      </c>
      <c r="BR385" s="40">
        <f t="shared" si="434"/>
        <v>16665.03</v>
      </c>
      <c r="BS385" s="55">
        <f t="shared" si="428"/>
        <v>-9159.5088506871325</v>
      </c>
      <c r="BT385" s="566">
        <f>VLOOKUP($A385,'01-02.2021'!$A$6:$CZ$403,72,FALSE)+VLOOKUP($A385,'1.3.21-28.2.22'!$A$6:$DA$404,72,FALSE)-VLOOKUP($A385,'01-02.2022'!$A$6:$DA$376,72,FALSE)</f>
        <v>43461.51025220142</v>
      </c>
      <c r="BU385" s="566">
        <f>VLOOKUP($A385,'01-02.2021'!$A$6:$CZ$403,73,FALSE)+VLOOKUP($A385,'1.3.21-28.2.22'!$A$6:$DA$404,73,FALSE)-VLOOKUP($A385,'01-02.2022'!$A$6:$DA$376,73,FALSE)</f>
        <v>65616.863825236273</v>
      </c>
      <c r="BV385" s="70">
        <f t="shared" si="403"/>
        <v>22155.353573034852</v>
      </c>
      <c r="BW385" s="566">
        <f>VLOOKUP($A385,'01-02.2021'!$A$6:$CZ$403,75,FALSE)+VLOOKUP($A385,'1.3.21-28.2.22'!$A$6:$DA$404,75,FALSE)-VLOOKUP($A385,'01-02.2022'!$A$6:$DA$376,75,FALSE)</f>
        <v>30965.056348259604</v>
      </c>
      <c r="BX385" s="566">
        <f>VLOOKUP($A385,'01-02.2021'!$A$6:$CZ$403,76,FALSE)+VLOOKUP($A385,'1.3.21-28.2.22'!$A$6:$DA$404,76,FALSE)-VLOOKUP($A385,'01-02.2022'!$A$6:$DA$376,76,FALSE)</f>
        <v>31486.705411359821</v>
      </c>
      <c r="BY385" s="70">
        <f t="shared" si="404"/>
        <v>521.64906310021615</v>
      </c>
      <c r="BZ385" s="566">
        <f>VLOOKUP($A385,'01-02.2021'!$A$6:$CZ$403,78,FALSE)+VLOOKUP($A385,'1.3.21-28.2.22'!$A$6:$DA$404,78,FALSE)-VLOOKUP($A385,'01-02.2022'!$A$6:$DA$376,78,FALSE)</f>
        <v>9633.739661466092</v>
      </c>
      <c r="CA385" s="566">
        <f>VLOOKUP($A385,'01-02.2021'!$A$6:$CZ$403,79,FALSE)+VLOOKUP($A385,'1.3.21-28.2.22'!$A$6:$DA$404,79,FALSE)-VLOOKUP($A385,'01-02.2022'!$A$6:$DA$376,79,FALSE)</f>
        <v>9800.9977940975332</v>
      </c>
      <c r="CB385" s="70">
        <f t="shared" si="405"/>
        <v>167.25813263144119</v>
      </c>
      <c r="CC385" s="566">
        <f>VLOOKUP($A385,'01-02.2021'!$A$6:$CZ$403,81,FALSE)+VLOOKUP($A385,'1.3.21-28.2.22'!$A$6:$DA$404,81,FALSE)-VLOOKUP($A385,'01-02.2022'!$A$6:$DA$376,81,FALSE)</f>
        <v>2376.1636759573025</v>
      </c>
      <c r="CD385" s="566">
        <f>VLOOKUP($A385,'01-02.2021'!$A$6:$CZ$403,82,FALSE)+VLOOKUP($A385,'1.3.21-28.2.22'!$A$6:$DA$404,82,FALSE)-VLOOKUP($A385,'01-02.2022'!$A$6:$DA$376,82,FALSE)</f>
        <v>2597.1303111332536</v>
      </c>
      <c r="CE385" s="70">
        <f t="shared" si="406"/>
        <v>220.96663517595107</v>
      </c>
      <c r="CF385" s="566">
        <f>VLOOKUP($A385,'01-02.2021'!$A$6:$CZ$403,84,FALSE)+VLOOKUP($A385,'1.3.21-28.2.22'!$A$6:$DA$404,84,FALSE)-VLOOKUP($A385,'01-02.2022'!$A$6:$DA$376,84,FALSE)</f>
        <v>288.87164156104342</v>
      </c>
      <c r="CG385" s="566">
        <f>VLOOKUP($A385,'01-02.2021'!$A$6:$CZ$403,85,FALSE)+VLOOKUP($A385,'1.3.21-28.2.22'!$A$6:$DA$404,85,FALSE)-VLOOKUP($A385,'01-02.2022'!$A$6:$DA$376,85,FALSE)</f>
        <v>564.95765730072071</v>
      </c>
      <c r="CH385" s="70">
        <f t="shared" si="407"/>
        <v>276.08601573967729</v>
      </c>
      <c r="CI385" s="566">
        <f>VLOOKUP($A385,'01-02.2021'!$A$6:$CZ$403,87,FALSE)+VLOOKUP($A385,'1.3.21-28.2.22'!$A$6:$DA$404,87,FALSE)-VLOOKUP($A385,'01-02.2022'!$A$6:$DA$376,87,FALSE)</f>
        <v>13112.172440173195</v>
      </c>
      <c r="CJ385" s="566">
        <f>VLOOKUP($A385,'01-02.2021'!$A$6:$CZ$403,88,FALSE)+VLOOKUP($A385,'1.3.21-28.2.22'!$A$6:$DA$404,88,FALSE)-VLOOKUP($A385,'01-02.2022'!$A$6:$DA$376,88,FALSE)</f>
        <v>11435.351841765792</v>
      </c>
      <c r="CK385" s="70">
        <f t="shared" si="408"/>
        <v>-1676.8205984074029</v>
      </c>
      <c r="CL385" s="566">
        <f>VLOOKUP($A385,'01-02.2021'!$A$6:$CZ$403,90,FALSE)+VLOOKUP($A385,'1.3.21-28.2.22'!$A$6:$DA$404,90,FALSE)-VLOOKUP($A385,'01-02.2022'!$A$6:$DA$376,90,FALSE)</f>
        <v>0</v>
      </c>
      <c r="CM385" s="566">
        <f>VLOOKUP($A385,'01-02.2021'!$A$6:$CZ$403,91,FALSE)+VLOOKUP($A385,'1.3.21-28.2.22'!$A$6:$DA$404,91,FALSE)-VLOOKUP($A385,'01-02.2022'!$A$6:$DA$376,91,FALSE)</f>
        <v>0</v>
      </c>
      <c r="CN385" s="52">
        <f t="shared" si="420"/>
        <v>0</v>
      </c>
      <c r="CO385" s="39">
        <f t="shared" si="414"/>
        <v>13112.172440173195</v>
      </c>
      <c r="CP385" s="40">
        <f t="shared" si="421"/>
        <v>11435.351841765792</v>
      </c>
      <c r="CQ385" s="52">
        <f t="shared" si="422"/>
        <v>-1676.8205984074029</v>
      </c>
      <c r="CR385" s="72">
        <f t="shared" si="415"/>
        <v>295885.49291306408</v>
      </c>
      <c r="CS385" s="5">
        <f t="shared" si="415"/>
        <v>306968.59871975321</v>
      </c>
      <c r="CT385" s="52">
        <f t="shared" si="423"/>
        <v>11083.105806689127</v>
      </c>
      <c r="CU385" s="77">
        <f t="shared" si="424"/>
        <v>355062.5914956769</v>
      </c>
      <c r="CV385" s="65">
        <f t="shared" si="425"/>
        <v>368362.31846370385</v>
      </c>
      <c r="CW385" s="35">
        <f t="shared" si="426"/>
        <v>13299.726968026953</v>
      </c>
      <c r="CX385" s="566">
        <f>VLOOKUP($A385,'01-02.2021'!$A$6:$CZ$403,102,FALSE)+VLOOKUP($A385,'1.3.21-28.2.22'!$A$6:$DA$404,102,FALSE)-VLOOKUP($A385,'01-02.2022'!$A$6:$DA$376,102,FALSE)</f>
        <v>17448.63896446794</v>
      </c>
      <c r="CY385" s="566">
        <f>VLOOKUP($A385,'01-02.2021'!$A$6:$CZ$403,103,FALSE)+VLOOKUP($A385,'1.3.21-28.2.22'!$A$6:$DA$404,103,FALSE)-VLOOKUP($A385,'01-02.2022'!$A$6:$DA$376,103,FALSE)</f>
        <v>4148.9119964409838</v>
      </c>
      <c r="CZ385" s="52">
        <f t="shared" si="427"/>
        <v>-13299.726968026956</v>
      </c>
      <c r="DA385" s="150">
        <f>'[2]побудинковий звіт'!DA385</f>
        <v>-18942.634411369298</v>
      </c>
      <c r="DB385" s="2">
        <v>3</v>
      </c>
      <c r="DC385" s="414">
        <f>'[4]побудинковий звіт'!DC385</f>
        <v>61473.66</v>
      </c>
      <c r="DD385" s="414">
        <f>'[4]побудинковий звіт'!DD385</f>
        <v>0</v>
      </c>
      <c r="DE385" s="557">
        <f>'[4]побудинковий звіт'!DE385</f>
        <v>28751.461710944099</v>
      </c>
      <c r="DF385" s="557">
        <f>'[4]побудинковий звіт'!DF385</f>
        <v>0</v>
      </c>
      <c r="DG385" s="321">
        <f>VLOOKUP(A385,'кошти 01.03.2021'!$A$6:$D$401,4,)</f>
        <v>-18286.723491804951</v>
      </c>
      <c r="DH385" s="40">
        <f>'[3]побудинковий звіт'!DJ385</f>
        <v>380365.1914111115</v>
      </c>
      <c r="DI385" s="422">
        <f>'[3]побудинковий звіт'!CU385+'[3]побудинковий звіт'!CX385</f>
        <v>32722.198289055912</v>
      </c>
      <c r="DJ385" s="306">
        <f>'[3]побудинковий звіт'!DM385</f>
        <v>5.580107755872346</v>
      </c>
      <c r="DK385" s="306">
        <f t="shared" ref="DK385:DK398" si="437">DJ385</f>
        <v>5.580107755872346</v>
      </c>
      <c r="DL385" s="306">
        <f>'[3]побудинковий звіт'!DO385</f>
        <v>4.9377507063391226</v>
      </c>
      <c r="DM385" s="28">
        <f t="shared" ref="DM385:DM398" si="438">F385*DJ385</f>
        <v>32722.198289055905</v>
      </c>
      <c r="DN385" s="28">
        <f t="shared" ref="DN385:DN398" si="439">H385*DL385</f>
        <v>0</v>
      </c>
      <c r="DO385" s="423">
        <f t="shared" si="381"/>
        <v>32722.198289055905</v>
      </c>
      <c r="DP385" s="94">
        <f t="shared" si="382"/>
        <v>0</v>
      </c>
      <c r="DQ385" s="28">
        <f t="shared" si="383"/>
        <v>32722.198289055905</v>
      </c>
      <c r="DR385" s="318"/>
      <c r="DT385" s="8"/>
      <c r="DU385" s="5"/>
      <c r="DX385" s="5">
        <f t="shared" si="384"/>
        <v>133204.99780058992</v>
      </c>
      <c r="DY385" s="5">
        <f t="shared" si="385"/>
        <v>124722.50663872054</v>
      </c>
      <c r="DZ385" s="159">
        <f>'[3]побудинковий звіт'!EA385</f>
        <v>11129.744163601941</v>
      </c>
    </row>
    <row r="386" spans="1:130" x14ac:dyDescent="0.3">
      <c r="A386" s="325">
        <v>150000912</v>
      </c>
      <c r="B386" s="41" t="s">
        <v>832</v>
      </c>
      <c r="C386" s="42" t="s">
        <v>320</v>
      </c>
      <c r="D386" s="27"/>
      <c r="E386" s="293">
        <f t="shared" si="412"/>
        <v>4467.5200000000004</v>
      </c>
      <c r="F386" s="305">
        <f>'[3]побудинковий звіт'!F386</f>
        <v>4467.5200000000004</v>
      </c>
      <c r="G386" s="508">
        <f>'[3]побудинковий звіт'!G386</f>
        <v>0</v>
      </c>
      <c r="H386" s="560">
        <f>'[3]побудинковий звіт'!H386</f>
        <v>0</v>
      </c>
      <c r="I386" s="566">
        <f>VLOOKUP($A386,'01-02.2021'!$A$6:$CZ$403,9,FALSE)+VLOOKUP($A386,'1.3.21-28.2.22'!$A$6:$DA$404,9,FALSE)-VLOOKUP($A386,'01-02.2022'!$A$6:$DA$376,9,FALSE)</f>
        <v>14972.593216053043</v>
      </c>
      <c r="J386" s="566">
        <f>VLOOKUP($A386,'01-02.2021'!$A$6:$CZ$403,10,FALSE)+VLOOKUP($A386,'1.3.21-28.2.22'!$A$6:$DA$404,10,FALSE)-VLOOKUP($A386,'01-02.2022'!$A$6:$DA$376,10,FALSE)</f>
        <v>14618.45575069241</v>
      </c>
      <c r="K386" s="52">
        <f t="shared" si="417"/>
        <v>-354.13746536063263</v>
      </c>
      <c r="L386" s="566">
        <f>VLOOKUP($A386,'01-02.2021'!$A$6:$CZ$403,12,FALSE)+VLOOKUP($A386,'1.3.21-28.2.22'!$A$6:$DA$404,12,FALSE)-VLOOKUP($A386,'01-02.2022'!$A$6:$DA$376,12,FALSE)</f>
        <v>2932.4471213272855</v>
      </c>
      <c r="M386" s="566">
        <f>VLOOKUP($A386,'01-02.2021'!$A$6:$CZ$403,13,FALSE)+VLOOKUP($A386,'1.3.21-28.2.22'!$A$6:$DA$404,13,FALSE)-VLOOKUP($A386,'01-02.2022'!$A$6:$DA$376,13,FALSE)</f>
        <v>2927.9757552176275</v>
      </c>
      <c r="N386" s="52">
        <f t="shared" si="418"/>
        <v>-4.4713661096579926</v>
      </c>
      <c r="O386" s="566">
        <f>VLOOKUP($A386,'01-02.2021'!$A$6:$CZ$403,15,FALSE)+VLOOKUP($A386,'1.3.21-28.2.22'!$A$6:$DA$404,15,FALSE)-VLOOKUP($A386,'01-02.2022'!$A$6:$DA$376,15,FALSE)</f>
        <v>5745.6496614138832</v>
      </c>
      <c r="P386" s="566">
        <f>VLOOKUP($A386,'01-02.2021'!$A$6:$CZ$403,16,FALSE)+VLOOKUP($A386,'1.3.21-28.2.22'!$A$6:$DA$404,16,FALSE)-VLOOKUP($A386,'01-02.2022'!$A$6:$DA$376,16,FALSE)</f>
        <v>5744.7399999999989</v>
      </c>
      <c r="Q386" s="70">
        <f t="shared" si="386"/>
        <v>-0.90966141388435062</v>
      </c>
      <c r="R386" s="566">
        <f>VLOOKUP($A386,'01-02.2021'!$A$6:$CZ$403,18,FALSE)+VLOOKUP($A386,'1.3.21-28.2.22'!$A$6:$DA$404,18,FALSE)-VLOOKUP($A386,'01-02.2022'!$A$6:$DA$376,18,FALSE)</f>
        <v>0</v>
      </c>
      <c r="S386" s="566">
        <f>VLOOKUP($A386,'01-02.2021'!$A$6:$CZ$403,19,FALSE)+VLOOKUP($A386,'1.3.21-28.2.22'!$A$6:$DA$404,19,FALSE)-VLOOKUP($A386,'01-02.2022'!$A$6:$DA$376,19,FALSE)</f>
        <v>0</v>
      </c>
      <c r="T386" s="70">
        <f t="shared" si="387"/>
        <v>0</v>
      </c>
      <c r="U386" s="566">
        <f>VLOOKUP($A386,'01-02.2021'!$A$6:$CZ$403,21,FALSE)+VLOOKUP($A386,'1.3.21-28.2.22'!$A$6:$DA$404,21,FALSE)-VLOOKUP($A386,'01-02.2022'!$A$6:$DA$376,21,FALSE)</f>
        <v>824.04113280533022</v>
      </c>
      <c r="V386" s="566">
        <f>VLOOKUP($A386,'01-02.2021'!$A$6:$CZ$403,22,FALSE)+VLOOKUP($A386,'1.3.21-28.2.22'!$A$6:$DA$404,22,FALSE)-VLOOKUP($A386,'01-02.2022'!$A$6:$DA$376,22,FALSE)</f>
        <v>700.2749023488625</v>
      </c>
      <c r="W386" s="70">
        <f t="shared" si="388"/>
        <v>-123.76623045646772</v>
      </c>
      <c r="X386" s="566">
        <f>VLOOKUP($A386,'01-02.2021'!$A$6:$CZ$403,24,FALSE)+VLOOKUP($A386,'1.3.21-28.2.22'!$A$6:$DA$404,24,FALSE)-VLOOKUP($A386,'01-02.2022'!$A$6:$DA$376,24,FALSE)</f>
        <v>10724.170468863626</v>
      </c>
      <c r="Y386" s="566">
        <f>VLOOKUP($A386,'01-02.2021'!$A$6:$CZ$403,25,FALSE)+VLOOKUP($A386,'1.3.21-28.2.22'!$A$6:$DA$404,25,FALSE)-VLOOKUP($A386,'01-02.2022'!$A$6:$DA$376,25,FALSE)</f>
        <v>9557.9808696743639</v>
      </c>
      <c r="Z386" s="70">
        <f t="shared" si="389"/>
        <v>-1166.1895991892616</v>
      </c>
      <c r="AA386" s="566">
        <f>VLOOKUP($A386,'01-02.2021'!$A$6:$CZ$403,27,FALSE)+VLOOKUP($A386,'1.3.21-28.2.22'!$A$6:$DA$404,27,FALSE)-VLOOKUP($A386,'01-02.2022'!$A$6:$DA$376,27,FALSE)</f>
        <v>893.48400000000004</v>
      </c>
      <c r="AB386" s="566">
        <f>VLOOKUP($A386,'01-02.2021'!$A$6:$CZ$403,28,FALSE)+VLOOKUP($A386,'1.3.21-28.2.22'!$A$6:$DA$404,28,FALSE)-VLOOKUP($A386,'01-02.2022'!$A$6:$DA$376,28,FALSE)</f>
        <v>0</v>
      </c>
      <c r="AC386" s="70">
        <f t="shared" si="390"/>
        <v>-893.48400000000004</v>
      </c>
      <c r="AD386" s="566">
        <f>VLOOKUP($A386,'01-02.2021'!$A$6:$CZ$403,30,FALSE)+VLOOKUP($A386,'1.3.21-28.2.22'!$A$6:$DA$404,30,FALSE)-VLOOKUP($A386,'01-02.2022'!$A$6:$DA$376,30,FALSE)</f>
        <v>19189.100595215274</v>
      </c>
      <c r="AE386" s="566">
        <f>VLOOKUP($A386,'01-02.2021'!$A$6:$CZ$403,31,FALSE)+VLOOKUP($A386,'1.3.21-28.2.22'!$A$6:$DA$404,31,FALSE)-VLOOKUP($A386,'01-02.2022'!$A$6:$DA$376,31,FALSE)</f>
        <v>20336.096950318708</v>
      </c>
      <c r="AF386" s="68">
        <f t="shared" si="391"/>
        <v>1146.9963551034343</v>
      </c>
      <c r="AG386" s="77">
        <f t="shared" si="413"/>
        <v>55281.48619567843</v>
      </c>
      <c r="AH386" s="53">
        <f t="shared" si="413"/>
        <v>53885.524228251968</v>
      </c>
      <c r="AI386" s="52">
        <f t="shared" si="419"/>
        <v>-1395.9619674264613</v>
      </c>
      <c r="AJ386" s="566">
        <f>VLOOKUP($A386,'01-02.2021'!$A$6:$CZ$403,36,FALSE)+VLOOKUP($A386,'1.3.21-28.2.22'!$A$6:$DA$404,36,FALSE)-VLOOKUP($A386,'01-02.2022'!$A$6:$DA$376,36,FALSE)</f>
        <v>0</v>
      </c>
      <c r="AK386" s="566">
        <f>VLOOKUP($A386,'01-02.2021'!$A$6:$CZ$403,37,FALSE)+VLOOKUP($A386,'1.3.21-28.2.22'!$A$6:$DA$404,37,FALSE)-VLOOKUP($A386,'01-02.2022'!$A$6:$DA$376,37,FALSE)</f>
        <v>0</v>
      </c>
      <c r="AL386" s="70">
        <f t="shared" si="392"/>
        <v>0</v>
      </c>
      <c r="AM386" s="566">
        <f>VLOOKUP($A386,'01-02.2021'!$A$6:$CZ$403,39,FALSE)+VLOOKUP($A386,'1.3.21-28.2.22'!$A$6:$DA$404,39,FALSE)-VLOOKUP($A386,'01-02.2022'!$A$6:$DA$376,39,FALSE)</f>
        <v>0</v>
      </c>
      <c r="AN386" s="566">
        <f>VLOOKUP($A386,'01-02.2021'!$A$6:$CZ$403,40,FALSE)+VLOOKUP($A386,'1.3.21-28.2.22'!$A$6:$DA$404,40,FALSE)-VLOOKUP($A386,'01-02.2022'!$A$6:$DA$376,40,FALSE)</f>
        <v>0</v>
      </c>
      <c r="AO386" s="70">
        <f t="shared" si="393"/>
        <v>0</v>
      </c>
      <c r="AP386" s="566">
        <f>VLOOKUP($A386,'01-02.2021'!$A$6:$CZ$403,42,FALSE)+VLOOKUP($A386,'1.3.21-28.2.22'!$A$6:$DA$404,42,FALSE)-VLOOKUP($A386,'01-02.2022'!$A$6:$DA$376,42,FALSE)</f>
        <v>7027.5589876724962</v>
      </c>
      <c r="AQ386" s="566">
        <f>VLOOKUP($A386,'01-02.2021'!$A$6:$CZ$403,43,FALSE)+VLOOKUP($A386,'1.3.21-28.2.22'!$A$6:$DA$404,43,FALSE)-VLOOKUP($A386,'01-02.2022'!$A$6:$DA$376,43,FALSE)</f>
        <v>6093.6698091351882</v>
      </c>
      <c r="AR386" s="70">
        <f t="shared" si="394"/>
        <v>-933.889178537308</v>
      </c>
      <c r="AS386" s="566">
        <f>VLOOKUP($A386,'01-02.2021'!$A$6:$CZ$403,45,FALSE)+VLOOKUP($A386,'1.3.21-28.2.22'!$A$6:$DA$404,45,FALSE)-VLOOKUP($A386,'01-02.2022'!$A$6:$DA$376,45,FALSE)</f>
        <v>67426.943377910313</v>
      </c>
      <c r="AT386" s="566">
        <f>VLOOKUP($A386,'01-02.2021'!$A$6:$CZ$403,46,FALSE)+VLOOKUP($A386,'1.3.21-28.2.22'!$A$6:$DA$404,46,FALSE)-VLOOKUP($A386,'01-02.2022'!$A$6:$DA$376,46,FALSE)</f>
        <v>75514.14483896493</v>
      </c>
      <c r="AU386" s="78">
        <f t="shared" si="395"/>
        <v>8087.2014610546175</v>
      </c>
      <c r="AV386" s="566">
        <f>VLOOKUP($A386,'01-02.2021'!$A$6:$CZ$403,48,FALSE)+VLOOKUP($A386,'1.3.21-28.2.22'!$A$6:$DA$404,48,FALSE)-VLOOKUP($A386,'01-02.2022'!$A$6:$DA$376,48,FALSE)</f>
        <v>4160.8420968953997</v>
      </c>
      <c r="AW386" s="566">
        <f>VLOOKUP($A386,'01-02.2021'!$A$6:$CZ$403,49,FALSE)+VLOOKUP($A386,'1.3.21-28.2.22'!$A$6:$DA$404,49,FALSE)-VLOOKUP($A386,'01-02.2022'!$A$6:$DA$376,49,FALSE)</f>
        <v>2905</v>
      </c>
      <c r="AX386" s="55">
        <f t="shared" si="396"/>
        <v>-1255.8420968953997</v>
      </c>
      <c r="AY386" s="566">
        <f>VLOOKUP($A386,'01-02.2021'!$A$6:$CZ$403,51,FALSE)+VLOOKUP($A386,'1.3.21-28.2.22'!$A$6:$DA$404,51,FALSE)-VLOOKUP($A386,'01-02.2022'!$A$6:$DA$376,51,FALSE)</f>
        <v>5512.1690456395745</v>
      </c>
      <c r="AZ386" s="566">
        <f>VLOOKUP($A386,'01-02.2021'!$A$6:$CZ$403,52,FALSE)+VLOOKUP($A386,'1.3.21-28.2.22'!$A$6:$DA$404,52,FALSE)-VLOOKUP($A386,'01-02.2022'!$A$6:$DA$376,52,FALSE)</f>
        <v>0</v>
      </c>
      <c r="BA386" s="38">
        <f t="shared" si="397"/>
        <v>-5512.1690456395745</v>
      </c>
      <c r="BB386" s="566">
        <f>VLOOKUP($A386,'01-02.2021'!$A$6:$CZ$403,54,FALSE)+VLOOKUP($A386,'1.3.21-28.2.22'!$A$6:$DA$404,54,FALSE)-VLOOKUP($A386,'01-02.2022'!$A$6:$DA$376,54,FALSE)</f>
        <v>2183.3657449026846</v>
      </c>
      <c r="BC386" s="566">
        <f>VLOOKUP($A386,'01-02.2021'!$A$6:$CZ$403,55,FALSE)+VLOOKUP($A386,'1.3.21-28.2.22'!$A$6:$DA$404,55,FALSE)-VLOOKUP($A386,'01-02.2022'!$A$6:$DA$376,55,FALSE)</f>
        <v>0</v>
      </c>
      <c r="BD386" s="55">
        <f t="shared" si="398"/>
        <v>-2183.3657449026846</v>
      </c>
      <c r="BE386" s="566">
        <f>VLOOKUP($A386,'01-02.2021'!$A$6:$CZ$403,57,FALSE)+VLOOKUP($A386,'1.3.21-28.2.22'!$A$6:$DA$404,57,FALSE)-VLOOKUP($A386,'01-02.2022'!$A$6:$DA$376,57,FALSE)</f>
        <v>0</v>
      </c>
      <c r="BF386" s="566">
        <f>VLOOKUP($A386,'01-02.2021'!$A$6:$CZ$403,58,FALSE)+VLOOKUP($A386,'1.3.21-28.2.22'!$A$6:$DA$404,58,FALSE)-VLOOKUP($A386,'01-02.2022'!$A$6:$DA$376,58,FALSE)</f>
        <v>0</v>
      </c>
      <c r="BG386" s="55">
        <f t="shared" si="399"/>
        <v>0</v>
      </c>
      <c r="BH386" s="566">
        <f>VLOOKUP($A386,'01-02.2021'!$A$6:$CZ$403,60,FALSE)+VLOOKUP($A386,'1.3.21-28.2.22'!$A$6:$DA$404,60,FALSE)-VLOOKUP($A386,'01-02.2022'!$A$6:$DA$376,60,FALSE)</f>
        <v>1848.9485431933244</v>
      </c>
      <c r="BI386" s="566">
        <f>VLOOKUP($A386,'01-02.2021'!$A$6:$CZ$403,61,FALSE)+VLOOKUP($A386,'1.3.21-28.2.22'!$A$6:$DA$404,61,FALSE)-VLOOKUP($A386,'01-02.2022'!$A$6:$DA$376,61,FALSE)</f>
        <v>0</v>
      </c>
      <c r="BJ386" s="55">
        <f t="shared" si="400"/>
        <v>-1848.9485431933244</v>
      </c>
      <c r="BK386" s="566">
        <f>VLOOKUP($A386,'01-02.2021'!$A$6:$CZ$403,63,FALSE)+VLOOKUP($A386,'1.3.21-28.2.22'!$A$6:$DA$404,63,FALSE)-VLOOKUP($A386,'01-02.2022'!$A$6:$DA$376,63,FALSE)</f>
        <v>3841.2412878832238</v>
      </c>
      <c r="BL386" s="566">
        <f>VLOOKUP($A386,'01-02.2021'!$A$6:$CZ$403,64,FALSE)+VLOOKUP($A386,'1.3.21-28.2.22'!$A$6:$DA$404,64,FALSE)-VLOOKUP($A386,'01-02.2022'!$A$6:$DA$376,64,FALSE)</f>
        <v>0</v>
      </c>
      <c r="BM386" s="55">
        <f t="shared" si="401"/>
        <v>-3841.2412878832238</v>
      </c>
      <c r="BN386" s="566">
        <f>VLOOKUP($A386,'01-02.2021'!$A$6:$CZ$403,66,FALSE)+VLOOKUP($A386,'1.3.21-28.2.22'!$A$6:$DA$404,66,FALSE)-VLOOKUP($A386,'01-02.2022'!$A$6:$DA$376,66,FALSE)</f>
        <v>223.37100000000001</v>
      </c>
      <c r="BO386" s="566">
        <f>VLOOKUP($A386,'01-02.2021'!$A$6:$CZ$403,67,FALSE)+VLOOKUP($A386,'1.3.21-28.2.22'!$A$6:$DA$404,67,FALSE)-VLOOKUP($A386,'01-02.2022'!$A$6:$DA$376,67,FALSE)</f>
        <v>0</v>
      </c>
      <c r="BP386" s="55">
        <f t="shared" si="402"/>
        <v>-223.37100000000001</v>
      </c>
      <c r="BQ386" s="77">
        <f t="shared" si="409"/>
        <v>17769.937718514208</v>
      </c>
      <c r="BR386" s="40">
        <f t="shared" si="434"/>
        <v>2905</v>
      </c>
      <c r="BS386" s="55">
        <f t="shared" si="428"/>
        <v>-14864.937718514208</v>
      </c>
      <c r="BT386" s="566">
        <f>VLOOKUP($A386,'01-02.2021'!$A$6:$CZ$403,72,FALSE)+VLOOKUP($A386,'1.3.21-28.2.22'!$A$6:$DA$404,72,FALSE)-VLOOKUP($A386,'01-02.2022'!$A$6:$DA$376,72,FALSE)</f>
        <v>34686.312787158655</v>
      </c>
      <c r="BU386" s="566">
        <f>VLOOKUP($A386,'01-02.2021'!$A$6:$CZ$403,73,FALSE)+VLOOKUP($A386,'1.3.21-28.2.22'!$A$6:$DA$404,73,FALSE)-VLOOKUP($A386,'01-02.2022'!$A$6:$DA$376,73,FALSE)</f>
        <v>46529.023052812234</v>
      </c>
      <c r="BV386" s="70">
        <f t="shared" si="403"/>
        <v>11842.710265653579</v>
      </c>
      <c r="BW386" s="566">
        <f>VLOOKUP($A386,'01-02.2021'!$A$6:$CZ$403,75,FALSE)+VLOOKUP($A386,'1.3.21-28.2.22'!$A$6:$DA$404,75,FALSE)-VLOOKUP($A386,'01-02.2022'!$A$6:$DA$376,75,FALSE)</f>
        <v>22586.25211481435</v>
      </c>
      <c r="BX386" s="566">
        <f>VLOOKUP($A386,'01-02.2021'!$A$6:$CZ$403,76,FALSE)+VLOOKUP($A386,'1.3.21-28.2.22'!$A$6:$DA$404,76,FALSE)-VLOOKUP($A386,'01-02.2022'!$A$6:$DA$376,76,FALSE)</f>
        <v>23099.779513752368</v>
      </c>
      <c r="BY386" s="70">
        <f t="shared" si="404"/>
        <v>513.52739893801845</v>
      </c>
      <c r="BZ386" s="566">
        <f>VLOOKUP($A386,'01-02.2021'!$A$6:$CZ$403,78,FALSE)+VLOOKUP($A386,'1.3.21-28.2.22'!$A$6:$DA$404,78,FALSE)-VLOOKUP($A386,'01-02.2022'!$A$6:$DA$376,78,FALSE)</f>
        <v>8931.5863797267102</v>
      </c>
      <c r="CA386" s="566">
        <f>VLOOKUP($A386,'01-02.2021'!$A$6:$CZ$403,79,FALSE)+VLOOKUP($A386,'1.3.21-28.2.22'!$A$6:$DA$404,79,FALSE)-VLOOKUP($A386,'01-02.2022'!$A$6:$DA$376,79,FALSE)</f>
        <v>7447.5396090760314</v>
      </c>
      <c r="CB386" s="70">
        <f t="shared" si="405"/>
        <v>-1484.0467706506788</v>
      </c>
      <c r="CC386" s="566">
        <f>VLOOKUP($A386,'01-02.2021'!$A$6:$CZ$403,81,FALSE)+VLOOKUP($A386,'1.3.21-28.2.22'!$A$6:$DA$404,81,FALSE)-VLOOKUP($A386,'01-02.2022'!$A$6:$DA$376,81,FALSE)</f>
        <v>2236.4836037390637</v>
      </c>
      <c r="CD386" s="566">
        <f>VLOOKUP($A386,'01-02.2021'!$A$6:$CZ$403,82,FALSE)+VLOOKUP($A386,'1.3.21-28.2.22'!$A$6:$DA$404,82,FALSE)-VLOOKUP($A386,'01-02.2022'!$A$6:$DA$376,82,FALSE)</f>
        <v>2444.4609672282636</v>
      </c>
      <c r="CE386" s="70">
        <f t="shared" si="406"/>
        <v>207.97736348919989</v>
      </c>
      <c r="CF386" s="566">
        <f>VLOOKUP($A386,'01-02.2021'!$A$6:$CZ$403,84,FALSE)+VLOOKUP($A386,'1.3.21-28.2.22'!$A$6:$DA$404,84,FALSE)-VLOOKUP($A386,'01-02.2022'!$A$6:$DA$376,84,FALSE)</f>
        <v>271.8906515041225</v>
      </c>
      <c r="CG386" s="566">
        <f>VLOOKUP($A386,'01-02.2021'!$A$6:$CZ$403,85,FALSE)+VLOOKUP($A386,'1.3.21-28.2.22'!$A$6:$DA$404,85,FALSE)-VLOOKUP($A386,'01-02.2022'!$A$6:$DA$376,85,FALSE)</f>
        <v>554.44574346276681</v>
      </c>
      <c r="CH386" s="70">
        <f t="shared" si="407"/>
        <v>282.55509195864431</v>
      </c>
      <c r="CI386" s="566">
        <f>VLOOKUP($A386,'01-02.2021'!$A$6:$CZ$403,87,FALSE)+VLOOKUP($A386,'1.3.21-28.2.22'!$A$6:$DA$404,87,FALSE)-VLOOKUP($A386,'01-02.2022'!$A$6:$DA$376,87,FALSE)</f>
        <v>9087.507049613796</v>
      </c>
      <c r="CJ386" s="566">
        <f>VLOOKUP($A386,'01-02.2021'!$A$6:$CZ$403,88,FALSE)+VLOOKUP($A386,'1.3.21-28.2.22'!$A$6:$DA$404,88,FALSE)-VLOOKUP($A386,'01-02.2022'!$A$6:$DA$376,88,FALSE)</f>
        <v>5982.3638141774327</v>
      </c>
      <c r="CK386" s="70">
        <f t="shared" si="408"/>
        <v>-3105.1432354363633</v>
      </c>
      <c r="CL386" s="566">
        <f>VLOOKUP($A386,'01-02.2021'!$A$6:$CZ$403,90,FALSE)+VLOOKUP($A386,'1.3.21-28.2.22'!$A$6:$DA$404,90,FALSE)-VLOOKUP($A386,'01-02.2022'!$A$6:$DA$376,90,FALSE)</f>
        <v>0</v>
      </c>
      <c r="CM386" s="566">
        <f>VLOOKUP($A386,'01-02.2021'!$A$6:$CZ$403,91,FALSE)+VLOOKUP($A386,'1.3.21-28.2.22'!$A$6:$DA$404,91,FALSE)-VLOOKUP($A386,'01-02.2022'!$A$6:$DA$376,91,FALSE)</f>
        <v>0</v>
      </c>
      <c r="CN386" s="52">
        <f t="shared" si="420"/>
        <v>0</v>
      </c>
      <c r="CO386" s="39">
        <f t="shared" si="414"/>
        <v>9087.507049613796</v>
      </c>
      <c r="CP386" s="40">
        <f t="shared" si="421"/>
        <v>5982.3638141774327</v>
      </c>
      <c r="CQ386" s="52">
        <f t="shared" si="422"/>
        <v>-3105.1432354363633</v>
      </c>
      <c r="CR386" s="72">
        <f t="shared" si="415"/>
        <v>225305.95886633216</v>
      </c>
      <c r="CS386" s="5">
        <f t="shared" si="415"/>
        <v>224455.95157686117</v>
      </c>
      <c r="CT386" s="52">
        <f t="shared" si="423"/>
        <v>-850.00728947098833</v>
      </c>
      <c r="CU386" s="77">
        <f t="shared" si="424"/>
        <v>270367.15063959861</v>
      </c>
      <c r="CV386" s="65">
        <f t="shared" si="425"/>
        <v>269347.1418922334</v>
      </c>
      <c r="CW386" s="35">
        <f t="shared" si="426"/>
        <v>-1020.0087473652093</v>
      </c>
      <c r="CX386" s="566">
        <f>VLOOKUP($A386,'01-02.2021'!$A$6:$CZ$403,102,FALSE)+VLOOKUP($A386,'1.3.21-28.2.22'!$A$6:$DA$404,102,FALSE)-VLOOKUP($A386,'01-02.2022'!$A$6:$DA$376,102,FALSE)</f>
        <v>13772.95948021555</v>
      </c>
      <c r="CY386" s="566">
        <f>VLOOKUP($A386,'01-02.2021'!$A$6:$CZ$403,103,FALSE)+VLOOKUP($A386,'1.3.21-28.2.22'!$A$6:$DA$404,103,FALSE)-VLOOKUP($A386,'01-02.2022'!$A$6:$DA$376,103,FALSE)</f>
        <v>14792.968227580714</v>
      </c>
      <c r="CZ386" s="52">
        <f t="shared" si="427"/>
        <v>1020.0087473651638</v>
      </c>
      <c r="DA386" s="150">
        <f>'[2]побудинковий звіт'!DA386</f>
        <v>-99.255069787403045</v>
      </c>
      <c r="DB386" s="2">
        <v>3</v>
      </c>
      <c r="DC386" s="414">
        <f>'[4]побудинковий звіт'!DC386</f>
        <v>44787.19</v>
      </c>
      <c r="DD386" s="414">
        <f>'[4]побудинковий звіт'!DD386</f>
        <v>0</v>
      </c>
      <c r="DE386" s="557">
        <f>'[4]побудинковий звіт'!DE386</f>
        <v>19026.076570775123</v>
      </c>
      <c r="DF386" s="557">
        <f>'[4]побудинковий звіт'!DF386</f>
        <v>0</v>
      </c>
      <c r="DG386" s="321">
        <f>VLOOKUP(A386,'кошти 01.03.2021'!$A$6:$D$401,4,)</f>
        <v>18877.928722338071</v>
      </c>
      <c r="DH386" s="40">
        <f>'[3]побудинковий звіт'!DJ386</f>
        <v>293986.81922320696</v>
      </c>
      <c r="DI386" s="422">
        <f>'[3]побудинковий звіт'!CU386+'[3]побудинковий звіт'!CX386</f>
        <v>25761.113429224879</v>
      </c>
      <c r="DJ386" s="306">
        <f>'[3]побудинковий звіт'!DM386</f>
        <v>5.7663118305513743</v>
      </c>
      <c r="DK386" s="306">
        <f t="shared" si="437"/>
        <v>5.7663118305513743</v>
      </c>
      <c r="DL386" s="306">
        <f>'[3]побудинковий звіт'!DO386</f>
        <v>5.1495663880205864</v>
      </c>
      <c r="DM386" s="28">
        <f t="shared" si="438"/>
        <v>25761.113429224879</v>
      </c>
      <c r="DN386" s="28">
        <f t="shared" si="439"/>
        <v>0</v>
      </c>
      <c r="DO386" s="423">
        <f t="shared" si="381"/>
        <v>25761.113429224879</v>
      </c>
      <c r="DP386" s="94">
        <f t="shared" si="382"/>
        <v>0</v>
      </c>
      <c r="DQ386" s="28">
        <f t="shared" si="383"/>
        <v>25761.113429224879</v>
      </c>
      <c r="DR386" s="318"/>
      <c r="DT386" s="8"/>
      <c r="DU386" s="5"/>
      <c r="DX386" s="5">
        <f t="shared" si="384"/>
        <v>102236.25731570942</v>
      </c>
      <c r="DY386" s="5">
        <f t="shared" si="385"/>
        <v>94102.973806757916</v>
      </c>
      <c r="DZ386" s="159">
        <f>'[3]побудинковий звіт'!EA386</f>
        <v>8874.7476090434902</v>
      </c>
    </row>
    <row r="387" spans="1:130" x14ac:dyDescent="0.3">
      <c r="A387" s="325">
        <v>150000913</v>
      </c>
      <c r="B387" s="41" t="s">
        <v>833</v>
      </c>
      <c r="C387" s="42" t="s">
        <v>321</v>
      </c>
      <c r="D387" s="27"/>
      <c r="E387" s="293">
        <f t="shared" si="412"/>
        <v>2779.82</v>
      </c>
      <c r="F387" s="305">
        <f>'[3]побудинковий звіт'!F387</f>
        <v>2779.82</v>
      </c>
      <c r="G387" s="508">
        <f>'[3]побудинковий звіт'!G387</f>
        <v>0</v>
      </c>
      <c r="H387" s="560">
        <f>'[3]побудинковий звіт'!H387</f>
        <v>0</v>
      </c>
      <c r="I387" s="566">
        <f>VLOOKUP($A387,'01-02.2021'!$A$6:$CZ$403,9,FALSE)+VLOOKUP($A387,'1.3.21-28.2.22'!$A$6:$DA$404,9,FALSE)-VLOOKUP($A387,'01-02.2022'!$A$6:$DA$376,9,FALSE)</f>
        <v>9938.8353159683902</v>
      </c>
      <c r="J387" s="566">
        <f>VLOOKUP($A387,'01-02.2021'!$A$6:$CZ$403,10,FALSE)+VLOOKUP($A387,'1.3.21-28.2.22'!$A$6:$DA$404,10,FALSE)-VLOOKUP($A387,'01-02.2022'!$A$6:$DA$376,10,FALSE)</f>
        <v>9789.3261468625278</v>
      </c>
      <c r="K387" s="52">
        <f t="shared" si="417"/>
        <v>-149.50916910586238</v>
      </c>
      <c r="L387" s="566">
        <f>VLOOKUP($A387,'01-02.2021'!$A$6:$CZ$403,12,FALSE)+VLOOKUP($A387,'1.3.21-28.2.22'!$A$6:$DA$404,12,FALSE)-VLOOKUP($A387,'01-02.2022'!$A$6:$DA$376,12,FALSE)</f>
        <v>1937.7541367306121</v>
      </c>
      <c r="M387" s="566">
        <f>VLOOKUP($A387,'01-02.2021'!$A$6:$CZ$403,13,FALSE)+VLOOKUP($A387,'1.3.21-28.2.22'!$A$6:$DA$404,13,FALSE)-VLOOKUP($A387,'01-02.2022'!$A$6:$DA$376,13,FALSE)</f>
        <v>1934.7882259540827</v>
      </c>
      <c r="N387" s="52">
        <f t="shared" si="418"/>
        <v>-2.9659107765294266</v>
      </c>
      <c r="O387" s="566">
        <f>VLOOKUP($A387,'01-02.2021'!$A$6:$CZ$403,15,FALSE)+VLOOKUP($A387,'1.3.21-28.2.22'!$A$6:$DA$404,15,FALSE)-VLOOKUP($A387,'01-02.2022'!$A$6:$DA$376,15,FALSE)</f>
        <v>3789.8167930916984</v>
      </c>
      <c r="P387" s="566">
        <f>VLOOKUP($A387,'01-02.2021'!$A$6:$CZ$403,16,FALSE)+VLOOKUP($A387,'1.3.21-28.2.22'!$A$6:$DA$404,16,FALSE)-VLOOKUP($A387,'01-02.2022'!$A$6:$DA$376,16,FALSE)</f>
        <v>3789.288333333333</v>
      </c>
      <c r="Q387" s="70">
        <f t="shared" si="386"/>
        <v>-0.52845975836544312</v>
      </c>
      <c r="R387" s="566">
        <f>VLOOKUP($A387,'01-02.2021'!$A$6:$CZ$403,18,FALSE)+VLOOKUP($A387,'1.3.21-28.2.22'!$A$6:$DA$404,18,FALSE)-VLOOKUP($A387,'01-02.2022'!$A$6:$DA$376,18,FALSE)</f>
        <v>0</v>
      </c>
      <c r="S387" s="566">
        <f>VLOOKUP($A387,'01-02.2021'!$A$6:$CZ$403,19,FALSE)+VLOOKUP($A387,'1.3.21-28.2.22'!$A$6:$DA$404,19,FALSE)-VLOOKUP($A387,'01-02.2022'!$A$6:$DA$376,19,FALSE)</f>
        <v>0</v>
      </c>
      <c r="T387" s="70">
        <f t="shared" si="387"/>
        <v>0</v>
      </c>
      <c r="U387" s="566">
        <f>VLOOKUP($A387,'01-02.2021'!$A$6:$CZ$403,21,FALSE)+VLOOKUP($A387,'1.3.21-28.2.22'!$A$6:$DA$404,21,FALSE)-VLOOKUP($A387,'01-02.2022'!$A$6:$DA$376,21,FALSE)</f>
        <v>824.04113280533022</v>
      </c>
      <c r="V387" s="566">
        <f>VLOOKUP($A387,'01-02.2021'!$A$6:$CZ$403,22,FALSE)+VLOOKUP($A387,'1.3.21-28.2.22'!$A$6:$DA$404,22,FALSE)-VLOOKUP($A387,'01-02.2022'!$A$6:$DA$376,22,FALSE)</f>
        <v>700.2749023488625</v>
      </c>
      <c r="W387" s="70">
        <f t="shared" si="388"/>
        <v>-123.76623045646772</v>
      </c>
      <c r="X387" s="566">
        <f>VLOOKUP($A387,'01-02.2021'!$A$6:$CZ$403,24,FALSE)+VLOOKUP($A387,'1.3.21-28.2.22'!$A$6:$DA$404,24,FALSE)-VLOOKUP($A387,'01-02.2022'!$A$6:$DA$376,24,FALSE)</f>
        <v>6162.6870269360697</v>
      </c>
      <c r="Y387" s="566">
        <f>VLOOKUP($A387,'01-02.2021'!$A$6:$CZ$403,25,FALSE)+VLOOKUP($A387,'1.3.21-28.2.22'!$A$6:$DA$404,25,FALSE)-VLOOKUP($A387,'01-02.2022'!$A$6:$DA$376,25,FALSE)</f>
        <v>5419.8565835789059</v>
      </c>
      <c r="Z387" s="70">
        <f t="shared" si="389"/>
        <v>-742.83044335716386</v>
      </c>
      <c r="AA387" s="566">
        <f>VLOOKUP($A387,'01-02.2021'!$A$6:$CZ$403,27,FALSE)+VLOOKUP($A387,'1.3.21-28.2.22'!$A$6:$DA$404,27,FALSE)-VLOOKUP($A387,'01-02.2022'!$A$6:$DA$376,27,FALSE)</f>
        <v>555.92399999999998</v>
      </c>
      <c r="AB387" s="566">
        <f>VLOOKUP($A387,'01-02.2021'!$A$6:$CZ$403,28,FALSE)+VLOOKUP($A387,'1.3.21-28.2.22'!$A$6:$DA$404,28,FALSE)-VLOOKUP($A387,'01-02.2022'!$A$6:$DA$376,28,FALSE)</f>
        <v>0</v>
      </c>
      <c r="AC387" s="70">
        <f t="shared" si="390"/>
        <v>-555.92399999999998</v>
      </c>
      <c r="AD387" s="566">
        <f>VLOOKUP($A387,'01-02.2021'!$A$6:$CZ$403,30,FALSE)+VLOOKUP($A387,'1.3.21-28.2.22'!$A$6:$DA$404,30,FALSE)-VLOOKUP($A387,'01-02.2022'!$A$6:$DA$376,30,FALSE)</f>
        <v>11939.765544393194</v>
      </c>
      <c r="AE387" s="566">
        <f>VLOOKUP($A387,'01-02.2021'!$A$6:$CZ$403,31,FALSE)+VLOOKUP($A387,'1.3.21-28.2.22'!$A$6:$DA$404,31,FALSE)-VLOOKUP($A387,'01-02.2022'!$A$6:$DA$376,31,FALSE)</f>
        <v>12653.852645203382</v>
      </c>
      <c r="AF387" s="68">
        <f t="shared" si="391"/>
        <v>714.08710081018762</v>
      </c>
      <c r="AG387" s="77">
        <f t="shared" si="413"/>
        <v>35148.823949925296</v>
      </c>
      <c r="AH387" s="53">
        <f t="shared" si="413"/>
        <v>34287.386837281098</v>
      </c>
      <c r="AI387" s="52">
        <f t="shared" si="419"/>
        <v>-861.43711264419835</v>
      </c>
      <c r="AJ387" s="566">
        <f>VLOOKUP($A387,'01-02.2021'!$A$6:$CZ$403,36,FALSE)+VLOOKUP($A387,'1.3.21-28.2.22'!$A$6:$DA$404,36,FALSE)-VLOOKUP($A387,'01-02.2022'!$A$6:$DA$376,36,FALSE)</f>
        <v>0</v>
      </c>
      <c r="AK387" s="566">
        <f>VLOOKUP($A387,'01-02.2021'!$A$6:$CZ$403,37,FALSE)+VLOOKUP($A387,'1.3.21-28.2.22'!$A$6:$DA$404,37,FALSE)-VLOOKUP($A387,'01-02.2022'!$A$6:$DA$376,37,FALSE)</f>
        <v>0</v>
      </c>
      <c r="AL387" s="70">
        <f t="shared" si="392"/>
        <v>0</v>
      </c>
      <c r="AM387" s="566">
        <f>VLOOKUP($A387,'01-02.2021'!$A$6:$CZ$403,39,FALSE)+VLOOKUP($A387,'1.3.21-28.2.22'!$A$6:$DA$404,39,FALSE)-VLOOKUP($A387,'01-02.2022'!$A$6:$DA$376,39,FALSE)</f>
        <v>0</v>
      </c>
      <c r="AN387" s="566">
        <f>VLOOKUP($A387,'01-02.2021'!$A$6:$CZ$403,40,FALSE)+VLOOKUP($A387,'1.3.21-28.2.22'!$A$6:$DA$404,40,FALSE)-VLOOKUP($A387,'01-02.2022'!$A$6:$DA$376,40,FALSE)</f>
        <v>0</v>
      </c>
      <c r="AO387" s="70">
        <f t="shared" si="393"/>
        <v>0</v>
      </c>
      <c r="AP387" s="566">
        <f>VLOOKUP($A387,'01-02.2021'!$A$6:$CZ$403,42,FALSE)+VLOOKUP($A387,'1.3.21-28.2.22'!$A$6:$DA$404,42,FALSE)-VLOOKUP($A387,'01-02.2022'!$A$6:$DA$376,42,FALSE)</f>
        <v>4685.0393251149972</v>
      </c>
      <c r="AQ387" s="566">
        <f>VLOOKUP($A387,'01-02.2021'!$A$6:$CZ$403,43,FALSE)+VLOOKUP($A387,'1.3.21-28.2.22'!$A$6:$DA$404,43,FALSE)-VLOOKUP($A387,'01-02.2022'!$A$6:$DA$376,43,FALSE)</f>
        <v>4017.8374674263682</v>
      </c>
      <c r="AR387" s="70">
        <f t="shared" si="394"/>
        <v>-667.20185768862893</v>
      </c>
      <c r="AS387" s="566">
        <f>VLOOKUP($A387,'01-02.2021'!$A$6:$CZ$403,45,FALSE)+VLOOKUP($A387,'1.3.21-28.2.22'!$A$6:$DA$404,45,FALSE)-VLOOKUP($A387,'01-02.2022'!$A$6:$DA$376,45,FALSE)</f>
        <v>43380.77816675014</v>
      </c>
      <c r="AT387" s="566">
        <f>VLOOKUP($A387,'01-02.2021'!$A$6:$CZ$403,46,FALSE)+VLOOKUP($A387,'1.3.21-28.2.22'!$A$6:$DA$404,46,FALSE)-VLOOKUP($A387,'01-02.2022'!$A$6:$DA$376,46,FALSE)</f>
        <v>22570.497177755158</v>
      </c>
      <c r="AU387" s="78">
        <f t="shared" si="395"/>
        <v>-20810.280988994982</v>
      </c>
      <c r="AV387" s="566">
        <f>VLOOKUP($A387,'01-02.2021'!$A$6:$CZ$403,48,FALSE)+VLOOKUP($A387,'1.3.21-28.2.22'!$A$6:$DA$404,48,FALSE)-VLOOKUP($A387,'01-02.2022'!$A$6:$DA$376,48,FALSE)</f>
        <v>2764.1579468722607</v>
      </c>
      <c r="AW387" s="566">
        <f>VLOOKUP($A387,'01-02.2021'!$A$6:$CZ$403,49,FALSE)+VLOOKUP($A387,'1.3.21-28.2.22'!$A$6:$DA$404,49,FALSE)-VLOOKUP($A387,'01-02.2022'!$A$6:$DA$376,49,FALSE)</f>
        <v>505</v>
      </c>
      <c r="AX387" s="55">
        <f t="shared" si="396"/>
        <v>-2259.1579468722607</v>
      </c>
      <c r="AY387" s="566">
        <f>VLOOKUP($A387,'01-02.2021'!$A$6:$CZ$403,51,FALSE)+VLOOKUP($A387,'1.3.21-28.2.22'!$A$6:$DA$404,51,FALSE)-VLOOKUP($A387,'01-02.2022'!$A$6:$DA$376,51,FALSE)</f>
        <v>3642.5911032048411</v>
      </c>
      <c r="AZ387" s="566">
        <f>VLOOKUP($A387,'01-02.2021'!$A$6:$CZ$403,52,FALSE)+VLOOKUP($A387,'1.3.21-28.2.22'!$A$6:$DA$404,52,FALSE)-VLOOKUP($A387,'01-02.2022'!$A$6:$DA$376,52,FALSE)</f>
        <v>3795</v>
      </c>
      <c r="BA387" s="38">
        <f t="shared" si="397"/>
        <v>152.40889679515885</v>
      </c>
      <c r="BB387" s="566">
        <f>VLOOKUP($A387,'01-02.2021'!$A$6:$CZ$403,54,FALSE)+VLOOKUP($A387,'1.3.21-28.2.22'!$A$6:$DA$404,54,FALSE)-VLOOKUP($A387,'01-02.2022'!$A$6:$DA$376,54,FALSE)</f>
        <v>1294.4254765574256</v>
      </c>
      <c r="BC387" s="566">
        <f>VLOOKUP($A387,'01-02.2021'!$A$6:$CZ$403,55,FALSE)+VLOOKUP($A387,'1.3.21-28.2.22'!$A$6:$DA$404,55,FALSE)-VLOOKUP($A387,'01-02.2022'!$A$6:$DA$376,55,FALSE)</f>
        <v>4329</v>
      </c>
      <c r="BD387" s="55">
        <f t="shared" si="398"/>
        <v>3034.5745234425744</v>
      </c>
      <c r="BE387" s="566">
        <f>VLOOKUP($A387,'01-02.2021'!$A$6:$CZ$403,57,FALSE)+VLOOKUP($A387,'1.3.21-28.2.22'!$A$6:$DA$404,57,FALSE)-VLOOKUP($A387,'01-02.2022'!$A$6:$DA$376,57,FALSE)</f>
        <v>0</v>
      </c>
      <c r="BF387" s="566">
        <f>VLOOKUP($A387,'01-02.2021'!$A$6:$CZ$403,58,FALSE)+VLOOKUP($A387,'1.3.21-28.2.22'!$A$6:$DA$404,58,FALSE)-VLOOKUP($A387,'01-02.2022'!$A$6:$DA$376,58,FALSE)</f>
        <v>0</v>
      </c>
      <c r="BG387" s="55">
        <f t="shared" si="399"/>
        <v>0</v>
      </c>
      <c r="BH387" s="566">
        <f>VLOOKUP($A387,'01-02.2021'!$A$6:$CZ$403,60,FALSE)+VLOOKUP($A387,'1.3.21-28.2.22'!$A$6:$DA$404,60,FALSE)-VLOOKUP($A387,'01-02.2022'!$A$6:$DA$376,60,FALSE)</f>
        <v>1848.9485431933244</v>
      </c>
      <c r="BI387" s="566">
        <f>VLOOKUP($A387,'01-02.2021'!$A$6:$CZ$403,61,FALSE)+VLOOKUP($A387,'1.3.21-28.2.22'!$A$6:$DA$404,61,FALSE)-VLOOKUP($A387,'01-02.2022'!$A$6:$DA$376,61,FALSE)</f>
        <v>0</v>
      </c>
      <c r="BJ387" s="55">
        <f t="shared" si="400"/>
        <v>-1848.9485431933244</v>
      </c>
      <c r="BK387" s="566">
        <f>VLOOKUP($A387,'01-02.2021'!$A$6:$CZ$403,63,FALSE)+VLOOKUP($A387,'1.3.21-28.2.22'!$A$6:$DA$404,63,FALSE)-VLOOKUP($A387,'01-02.2022'!$A$6:$DA$376,63,FALSE)</f>
        <v>1897.7236626515578</v>
      </c>
      <c r="BL387" s="566">
        <f>VLOOKUP($A387,'01-02.2021'!$A$6:$CZ$403,64,FALSE)+VLOOKUP($A387,'1.3.21-28.2.22'!$A$6:$DA$404,64,FALSE)-VLOOKUP($A387,'01-02.2022'!$A$6:$DA$376,64,FALSE)</f>
        <v>1901</v>
      </c>
      <c r="BM387" s="55">
        <f t="shared" si="401"/>
        <v>3.2763373484422118</v>
      </c>
      <c r="BN387" s="566">
        <f>VLOOKUP($A387,'01-02.2021'!$A$6:$CZ$403,66,FALSE)+VLOOKUP($A387,'1.3.21-28.2.22'!$A$6:$DA$404,66,FALSE)-VLOOKUP($A387,'01-02.2022'!$A$6:$DA$376,66,FALSE)</f>
        <v>138.98099999999999</v>
      </c>
      <c r="BO387" s="566">
        <f>VLOOKUP($A387,'01-02.2021'!$A$6:$CZ$403,67,FALSE)+VLOOKUP($A387,'1.3.21-28.2.22'!$A$6:$DA$404,67,FALSE)-VLOOKUP($A387,'01-02.2022'!$A$6:$DA$376,67,FALSE)</f>
        <v>3505.16</v>
      </c>
      <c r="BP387" s="55">
        <f t="shared" si="402"/>
        <v>3366.1790000000001</v>
      </c>
      <c r="BQ387" s="77">
        <f t="shared" si="409"/>
        <v>11586.827732479411</v>
      </c>
      <c r="BR387" s="40">
        <f t="shared" si="434"/>
        <v>14035.16</v>
      </c>
      <c r="BS387" s="55">
        <f t="shared" si="428"/>
        <v>2448.3322675205891</v>
      </c>
      <c r="BT387" s="566">
        <f>VLOOKUP($A387,'01-02.2021'!$A$6:$CZ$403,72,FALSE)+VLOOKUP($A387,'1.3.21-28.2.22'!$A$6:$DA$404,72,FALSE)-VLOOKUP($A387,'01-02.2022'!$A$6:$DA$376,72,FALSE)</f>
        <v>25159.557343105062</v>
      </c>
      <c r="BU387" s="566">
        <f>VLOOKUP($A387,'01-02.2021'!$A$6:$CZ$403,73,FALSE)+VLOOKUP($A387,'1.3.21-28.2.22'!$A$6:$DA$404,73,FALSE)-VLOOKUP($A387,'01-02.2022'!$A$6:$DA$376,73,FALSE)</f>
        <v>32117.728209499568</v>
      </c>
      <c r="BV387" s="70">
        <f t="shared" si="403"/>
        <v>6958.1708663945064</v>
      </c>
      <c r="BW387" s="566">
        <f>VLOOKUP($A387,'01-02.2021'!$A$6:$CZ$403,75,FALSE)+VLOOKUP($A387,'1.3.21-28.2.22'!$A$6:$DA$404,75,FALSE)-VLOOKUP($A387,'01-02.2022'!$A$6:$DA$376,75,FALSE)</f>
        <v>15207.601197663953</v>
      </c>
      <c r="BX387" s="566">
        <f>VLOOKUP($A387,'01-02.2021'!$A$6:$CZ$403,76,FALSE)+VLOOKUP($A387,'1.3.21-28.2.22'!$A$6:$DA$404,76,FALSE)-VLOOKUP($A387,'01-02.2022'!$A$6:$DA$376,76,FALSE)</f>
        <v>14607.148580466346</v>
      </c>
      <c r="BY387" s="70">
        <f t="shared" si="404"/>
        <v>-600.45261719760674</v>
      </c>
      <c r="BZ387" s="566">
        <f>VLOOKUP($A387,'01-02.2021'!$A$6:$CZ$403,78,FALSE)+VLOOKUP($A387,'1.3.21-28.2.22'!$A$6:$DA$404,78,FALSE)-VLOOKUP($A387,'01-02.2022'!$A$6:$DA$376,78,FALSE)</f>
        <v>8951.8612973185827</v>
      </c>
      <c r="CA387" s="566">
        <f>VLOOKUP($A387,'01-02.2021'!$A$6:$CZ$403,79,FALSE)+VLOOKUP($A387,'1.3.21-28.2.22'!$A$6:$DA$404,79,FALSE)-VLOOKUP($A387,'01-02.2022'!$A$6:$DA$376,79,FALSE)</f>
        <v>7740.7369891847975</v>
      </c>
      <c r="CB387" s="70">
        <f t="shared" si="405"/>
        <v>-1211.1243081337852</v>
      </c>
      <c r="CC387" s="566">
        <f>VLOOKUP($A387,'01-02.2021'!$A$6:$CZ$403,81,FALSE)+VLOOKUP($A387,'1.3.21-28.2.22'!$A$6:$DA$404,81,FALSE)-VLOOKUP($A387,'01-02.2022'!$A$6:$DA$376,81,FALSE)</f>
        <v>1573.337104087273</v>
      </c>
      <c r="CD387" s="566">
        <f>VLOOKUP($A387,'01-02.2021'!$A$6:$CZ$403,82,FALSE)+VLOOKUP($A387,'1.3.21-28.2.22'!$A$6:$DA$404,82,FALSE)-VLOOKUP($A387,'01-02.2022'!$A$6:$DA$376,82,FALSE)</f>
        <v>1719.6464721688199</v>
      </c>
      <c r="CE387" s="70">
        <f t="shared" si="406"/>
        <v>146.30936808154684</v>
      </c>
      <c r="CF387" s="566">
        <f>VLOOKUP($A387,'01-02.2021'!$A$6:$CZ$403,84,FALSE)+VLOOKUP($A387,'1.3.21-28.2.22'!$A$6:$DA$404,84,FALSE)-VLOOKUP($A387,'01-02.2022'!$A$6:$DA$376,84,FALSE)</f>
        <v>191.2715342740369</v>
      </c>
      <c r="CG387" s="566">
        <f>VLOOKUP($A387,'01-02.2021'!$A$6:$CZ$403,85,FALSE)+VLOOKUP($A387,'1.3.21-28.2.22'!$A$6:$DA$404,85,FALSE)-VLOOKUP($A387,'01-02.2022'!$A$6:$DA$376,85,FALSE)</f>
        <v>0</v>
      </c>
      <c r="CH387" s="70">
        <f t="shared" si="407"/>
        <v>-191.2715342740369</v>
      </c>
      <c r="CI387" s="566">
        <f>VLOOKUP($A387,'01-02.2021'!$A$6:$CZ$403,87,FALSE)+VLOOKUP($A387,'1.3.21-28.2.22'!$A$6:$DA$404,87,FALSE)-VLOOKUP($A387,'01-02.2022'!$A$6:$DA$376,87,FALSE)</f>
        <v>5025.4973281144848</v>
      </c>
      <c r="CJ387" s="566">
        <f>VLOOKUP($A387,'01-02.2021'!$A$6:$CZ$403,88,FALSE)+VLOOKUP($A387,'1.3.21-28.2.22'!$A$6:$DA$404,88,FALSE)-VLOOKUP($A387,'01-02.2022'!$A$6:$DA$376,88,FALSE)</f>
        <v>5026.6093510045039</v>
      </c>
      <c r="CK387" s="70">
        <f t="shared" si="408"/>
        <v>1.1120228900190341</v>
      </c>
      <c r="CL387" s="566">
        <f>VLOOKUP($A387,'01-02.2021'!$A$6:$CZ$403,90,FALSE)+VLOOKUP($A387,'1.3.21-28.2.22'!$A$6:$DA$404,90,FALSE)-VLOOKUP($A387,'01-02.2022'!$A$6:$DA$376,90,FALSE)</f>
        <v>0</v>
      </c>
      <c r="CM387" s="566">
        <f>VLOOKUP($A387,'01-02.2021'!$A$6:$CZ$403,91,FALSE)+VLOOKUP($A387,'1.3.21-28.2.22'!$A$6:$DA$404,91,FALSE)-VLOOKUP($A387,'01-02.2022'!$A$6:$DA$376,91,FALSE)</f>
        <v>0</v>
      </c>
      <c r="CN387" s="52">
        <f t="shared" si="420"/>
        <v>0</v>
      </c>
      <c r="CO387" s="39">
        <f t="shared" si="414"/>
        <v>5025.4973281144848</v>
      </c>
      <c r="CP387" s="40">
        <f t="shared" si="421"/>
        <v>5026.6093510045039</v>
      </c>
      <c r="CQ387" s="52">
        <f t="shared" si="422"/>
        <v>1.1120228900190341</v>
      </c>
      <c r="CR387" s="72">
        <f t="shared" si="415"/>
        <v>150910.59497883325</v>
      </c>
      <c r="CS387" s="5">
        <f t="shared" si="415"/>
        <v>136122.75108478664</v>
      </c>
      <c r="CT387" s="52">
        <f t="shared" si="423"/>
        <v>-14787.843894046615</v>
      </c>
      <c r="CU387" s="77">
        <f t="shared" si="424"/>
        <v>181092.7139745999</v>
      </c>
      <c r="CV387" s="65">
        <f t="shared" si="425"/>
        <v>163347.30130174395</v>
      </c>
      <c r="CW387" s="35">
        <f t="shared" si="426"/>
        <v>-17745.412672855949</v>
      </c>
      <c r="CX387" s="566">
        <f>VLOOKUP($A387,'01-02.2021'!$A$6:$CZ$403,102,FALSE)+VLOOKUP($A387,'1.3.21-28.2.22'!$A$6:$DA$404,102,FALSE)-VLOOKUP($A387,'01-02.2022'!$A$6:$DA$376,102,FALSE)</f>
        <v>8889.6987138425266</v>
      </c>
      <c r="CY387" s="566">
        <f>VLOOKUP($A387,'01-02.2021'!$A$6:$CZ$403,103,FALSE)+VLOOKUP($A387,'1.3.21-28.2.22'!$A$6:$DA$404,103,FALSE)-VLOOKUP($A387,'01-02.2022'!$A$6:$DA$376,103,FALSE)</f>
        <v>26635.111386698438</v>
      </c>
      <c r="CZ387" s="52">
        <f t="shared" si="427"/>
        <v>17745.412672855913</v>
      </c>
      <c r="DA387" s="150">
        <f>'[2]побудинковий звіт'!DA387</f>
        <v>-25538.636908463635</v>
      </c>
      <c r="DB387" s="2">
        <v>3</v>
      </c>
      <c r="DC387" s="414">
        <f>'[4]побудинковий звіт'!DC387</f>
        <v>24992.22</v>
      </c>
      <c r="DD387" s="414">
        <f>'[4]побудинковий звіт'!DD387</f>
        <v>0</v>
      </c>
      <c r="DE387" s="557">
        <f>'[4]побудинковий звіт'!DE387</f>
        <v>8044.6398414233299</v>
      </c>
      <c r="DF387" s="557">
        <f>'[4]побудинковий звіт'!DF387</f>
        <v>0</v>
      </c>
      <c r="DG387" s="321">
        <f>VLOOKUP(A387,'кошти 01.03.2021'!$A$6:$D$401,4,)</f>
        <v>26519.014402607474</v>
      </c>
      <c r="DH387" s="40">
        <f>'[3]побудинковий звіт'!DJ387</f>
        <v>195234.33220537312</v>
      </c>
      <c r="DI387" s="422">
        <f>'[3]побудинковий звіт'!CU387+'[3]побудинковий звіт'!CX387</f>
        <v>16947.580158576668</v>
      </c>
      <c r="DJ387" s="306">
        <f>'[3]побудинковий звіт'!DM387</f>
        <v>6.0966466025054391</v>
      </c>
      <c r="DK387" s="306">
        <f t="shared" si="437"/>
        <v>6.0966466025054391</v>
      </c>
      <c r="DL387" s="306">
        <f>'[3]побудинковий звіт'!DO387</f>
        <v>5.4299600760667888</v>
      </c>
      <c r="DM387" s="28">
        <f t="shared" si="438"/>
        <v>16947.580158576671</v>
      </c>
      <c r="DN387" s="28">
        <f t="shared" si="439"/>
        <v>0</v>
      </c>
      <c r="DO387" s="423">
        <f t="shared" si="381"/>
        <v>16947.580158576671</v>
      </c>
      <c r="DP387" s="94">
        <f t="shared" si="382"/>
        <v>0</v>
      </c>
      <c r="DQ387" s="28">
        <f t="shared" si="383"/>
        <v>16947.580158576671</v>
      </c>
      <c r="DR387" s="318"/>
      <c r="DT387" s="8"/>
      <c r="DU387" s="5"/>
      <c r="DX387" s="5">
        <f t="shared" si="384"/>
        <v>65961.127079075464</v>
      </c>
      <c r="DY387" s="5">
        <f t="shared" si="385"/>
        <v>43926.788613306191</v>
      </c>
      <c r="DZ387" s="159">
        <f>'[3]побудинковий звіт'!EA387</f>
        <v>5845.684545467815</v>
      </c>
    </row>
    <row r="388" spans="1:130" x14ac:dyDescent="0.3">
      <c r="A388" s="325">
        <v>150000914</v>
      </c>
      <c r="B388" s="41" t="s">
        <v>834</v>
      </c>
      <c r="C388" s="42" t="s">
        <v>322</v>
      </c>
      <c r="D388" s="27"/>
      <c r="E388" s="293">
        <f t="shared" si="412"/>
        <v>2762.3</v>
      </c>
      <c r="F388" s="305">
        <f>'[3]побудинковий звіт'!F388</f>
        <v>2762.3</v>
      </c>
      <c r="G388" s="508">
        <f>'[3]побудинковий звіт'!G388</f>
        <v>0</v>
      </c>
      <c r="H388" s="560">
        <f>'[3]побудинковий звіт'!H388</f>
        <v>0</v>
      </c>
      <c r="I388" s="566">
        <f>VLOOKUP($A388,'01-02.2021'!$A$6:$CZ$403,9,FALSE)+VLOOKUP($A388,'1.3.21-28.2.22'!$A$6:$DA$404,9,FALSE)-VLOOKUP($A388,'01-02.2022'!$A$6:$DA$376,9,FALSE)</f>
        <v>9938.8353159683902</v>
      </c>
      <c r="J388" s="566">
        <f>VLOOKUP($A388,'01-02.2021'!$A$6:$CZ$403,10,FALSE)+VLOOKUP($A388,'1.3.21-28.2.22'!$A$6:$DA$404,10,FALSE)-VLOOKUP($A388,'01-02.2022'!$A$6:$DA$376,10,FALSE)</f>
        <v>9691.8106086689804</v>
      </c>
      <c r="K388" s="52">
        <f t="shared" si="417"/>
        <v>-247.02470729940978</v>
      </c>
      <c r="L388" s="566">
        <f>VLOOKUP($A388,'01-02.2021'!$A$6:$CZ$403,12,FALSE)+VLOOKUP($A388,'1.3.21-28.2.22'!$A$6:$DA$404,12,FALSE)-VLOOKUP($A388,'01-02.2022'!$A$6:$DA$376,12,FALSE)</f>
        <v>1937.7541367306121</v>
      </c>
      <c r="M388" s="566">
        <f>VLOOKUP($A388,'01-02.2021'!$A$6:$CZ$403,13,FALSE)+VLOOKUP($A388,'1.3.21-28.2.22'!$A$6:$DA$404,13,FALSE)-VLOOKUP($A388,'01-02.2022'!$A$6:$DA$376,13,FALSE)</f>
        <v>1934.7882259540827</v>
      </c>
      <c r="N388" s="52">
        <f t="shared" si="418"/>
        <v>-2.9659107765294266</v>
      </c>
      <c r="O388" s="566">
        <f>VLOOKUP($A388,'01-02.2021'!$A$6:$CZ$403,15,FALSE)+VLOOKUP($A388,'1.3.21-28.2.22'!$A$6:$DA$404,15,FALSE)-VLOOKUP($A388,'01-02.2022'!$A$6:$DA$376,15,FALSE)</f>
        <v>3789.8167930916984</v>
      </c>
      <c r="P388" s="566">
        <f>VLOOKUP($A388,'01-02.2021'!$A$6:$CZ$403,16,FALSE)+VLOOKUP($A388,'1.3.21-28.2.22'!$A$6:$DA$404,16,FALSE)-VLOOKUP($A388,'01-02.2022'!$A$6:$DA$376,16,FALSE)</f>
        <v>3789.9083333333328</v>
      </c>
      <c r="Q388" s="70">
        <f t="shared" si="386"/>
        <v>9.1540241634447739E-2</v>
      </c>
      <c r="R388" s="566">
        <f>VLOOKUP($A388,'01-02.2021'!$A$6:$CZ$403,18,FALSE)+VLOOKUP($A388,'1.3.21-28.2.22'!$A$6:$DA$404,18,FALSE)-VLOOKUP($A388,'01-02.2022'!$A$6:$DA$376,18,FALSE)</f>
        <v>0</v>
      </c>
      <c r="S388" s="566">
        <f>VLOOKUP($A388,'01-02.2021'!$A$6:$CZ$403,19,FALSE)+VLOOKUP($A388,'1.3.21-28.2.22'!$A$6:$DA$404,19,FALSE)-VLOOKUP($A388,'01-02.2022'!$A$6:$DA$376,19,FALSE)</f>
        <v>0</v>
      </c>
      <c r="T388" s="70">
        <f t="shared" si="387"/>
        <v>0</v>
      </c>
      <c r="U388" s="566">
        <f>VLOOKUP($A388,'01-02.2021'!$A$6:$CZ$403,21,FALSE)+VLOOKUP($A388,'1.3.21-28.2.22'!$A$6:$DA$404,21,FALSE)-VLOOKUP($A388,'01-02.2022'!$A$6:$DA$376,21,FALSE)</f>
        <v>824.04113280533022</v>
      </c>
      <c r="V388" s="566">
        <f>VLOOKUP($A388,'01-02.2021'!$A$6:$CZ$403,22,FALSE)+VLOOKUP($A388,'1.3.21-28.2.22'!$A$6:$DA$404,22,FALSE)-VLOOKUP($A388,'01-02.2022'!$A$6:$DA$376,22,FALSE)</f>
        <v>700.2749023488625</v>
      </c>
      <c r="W388" s="70">
        <f t="shared" si="388"/>
        <v>-123.76623045646772</v>
      </c>
      <c r="X388" s="566">
        <f>VLOOKUP($A388,'01-02.2021'!$A$6:$CZ$403,24,FALSE)+VLOOKUP($A388,'1.3.21-28.2.22'!$A$6:$DA$404,24,FALSE)-VLOOKUP($A388,'01-02.2022'!$A$6:$DA$376,24,FALSE)</f>
        <v>6162.6870269360697</v>
      </c>
      <c r="Y388" s="566">
        <f>VLOOKUP($A388,'01-02.2021'!$A$6:$CZ$403,25,FALSE)+VLOOKUP($A388,'1.3.21-28.2.22'!$A$6:$DA$404,25,FALSE)-VLOOKUP($A388,'01-02.2022'!$A$6:$DA$376,25,FALSE)</f>
        <v>5194.4316516933832</v>
      </c>
      <c r="Z388" s="70">
        <f t="shared" si="389"/>
        <v>-968.25537524268657</v>
      </c>
      <c r="AA388" s="566">
        <f>VLOOKUP($A388,'01-02.2021'!$A$6:$CZ$403,27,FALSE)+VLOOKUP($A388,'1.3.21-28.2.22'!$A$6:$DA$404,27,FALSE)-VLOOKUP($A388,'01-02.2022'!$A$6:$DA$376,27,FALSE)</f>
        <v>552.46</v>
      </c>
      <c r="AB388" s="566">
        <f>VLOOKUP($A388,'01-02.2021'!$A$6:$CZ$403,28,FALSE)+VLOOKUP($A388,'1.3.21-28.2.22'!$A$6:$DA$404,28,FALSE)-VLOOKUP($A388,'01-02.2022'!$A$6:$DA$376,28,FALSE)</f>
        <v>0</v>
      </c>
      <c r="AC388" s="70">
        <f t="shared" si="390"/>
        <v>-552.46</v>
      </c>
      <c r="AD388" s="566">
        <f>VLOOKUP($A388,'01-02.2021'!$A$6:$CZ$403,30,FALSE)+VLOOKUP($A388,'1.3.21-28.2.22'!$A$6:$DA$404,30,FALSE)-VLOOKUP($A388,'01-02.2022'!$A$6:$DA$376,30,FALSE)</f>
        <v>11864.859661181217</v>
      </c>
      <c r="AE388" s="566">
        <f>VLOOKUP($A388,'01-02.2021'!$A$6:$CZ$403,31,FALSE)+VLOOKUP($A388,'1.3.21-28.2.22'!$A$6:$DA$404,31,FALSE)-VLOOKUP($A388,'01-02.2022'!$A$6:$DA$376,31,FALSE)</f>
        <v>12574.100899283158</v>
      </c>
      <c r="AF388" s="68">
        <f t="shared" si="391"/>
        <v>709.24123810194033</v>
      </c>
      <c r="AG388" s="77">
        <f t="shared" si="413"/>
        <v>35070.454066713311</v>
      </c>
      <c r="AH388" s="53">
        <f t="shared" si="413"/>
        <v>33885.314621281796</v>
      </c>
      <c r="AI388" s="52">
        <f t="shared" si="419"/>
        <v>-1185.1394454315159</v>
      </c>
      <c r="AJ388" s="566">
        <f>VLOOKUP($A388,'01-02.2021'!$A$6:$CZ$403,36,FALSE)+VLOOKUP($A388,'1.3.21-28.2.22'!$A$6:$DA$404,36,FALSE)-VLOOKUP($A388,'01-02.2022'!$A$6:$DA$376,36,FALSE)</f>
        <v>0</v>
      </c>
      <c r="AK388" s="566">
        <f>VLOOKUP($A388,'01-02.2021'!$A$6:$CZ$403,37,FALSE)+VLOOKUP($A388,'1.3.21-28.2.22'!$A$6:$DA$404,37,FALSE)-VLOOKUP($A388,'01-02.2022'!$A$6:$DA$376,37,FALSE)</f>
        <v>0</v>
      </c>
      <c r="AL388" s="70">
        <f t="shared" si="392"/>
        <v>0</v>
      </c>
      <c r="AM388" s="566">
        <f>VLOOKUP($A388,'01-02.2021'!$A$6:$CZ$403,39,FALSE)+VLOOKUP($A388,'1.3.21-28.2.22'!$A$6:$DA$404,39,FALSE)-VLOOKUP($A388,'01-02.2022'!$A$6:$DA$376,39,FALSE)</f>
        <v>0</v>
      </c>
      <c r="AN388" s="566">
        <f>VLOOKUP($A388,'01-02.2021'!$A$6:$CZ$403,40,FALSE)+VLOOKUP($A388,'1.3.21-28.2.22'!$A$6:$DA$404,40,FALSE)-VLOOKUP($A388,'01-02.2022'!$A$6:$DA$376,40,FALSE)</f>
        <v>0</v>
      </c>
      <c r="AO388" s="70">
        <f t="shared" si="393"/>
        <v>0</v>
      </c>
      <c r="AP388" s="566">
        <f>VLOOKUP($A388,'01-02.2021'!$A$6:$CZ$403,42,FALSE)+VLOOKUP($A388,'1.3.21-28.2.22'!$A$6:$DA$404,42,FALSE)-VLOOKUP($A388,'01-02.2022'!$A$6:$DA$376,42,FALSE)</f>
        <v>4685.0393251149972</v>
      </c>
      <c r="AQ388" s="566">
        <f>VLOOKUP($A388,'01-02.2021'!$A$6:$CZ$403,43,FALSE)+VLOOKUP($A388,'1.3.21-28.2.22'!$A$6:$DA$404,43,FALSE)-VLOOKUP($A388,'01-02.2022'!$A$6:$DA$376,43,FALSE)</f>
        <v>4017.8374674263682</v>
      </c>
      <c r="AR388" s="70">
        <f t="shared" si="394"/>
        <v>-667.20185768862893</v>
      </c>
      <c r="AS388" s="566">
        <f>VLOOKUP($A388,'01-02.2021'!$A$6:$CZ$403,45,FALSE)+VLOOKUP($A388,'1.3.21-28.2.22'!$A$6:$DA$404,45,FALSE)-VLOOKUP($A388,'01-02.2022'!$A$6:$DA$376,45,FALSE)</f>
        <v>43518.044092066266</v>
      </c>
      <c r="AT388" s="566">
        <f>VLOOKUP($A388,'01-02.2021'!$A$6:$CZ$403,46,FALSE)+VLOOKUP($A388,'1.3.21-28.2.22'!$A$6:$DA$404,46,FALSE)-VLOOKUP($A388,'01-02.2022'!$A$6:$DA$376,46,FALSE)</f>
        <v>24041.977880247683</v>
      </c>
      <c r="AU388" s="78">
        <f t="shared" si="395"/>
        <v>-19476.066211818583</v>
      </c>
      <c r="AV388" s="566">
        <f>VLOOKUP($A388,'01-02.2021'!$A$6:$CZ$403,48,FALSE)+VLOOKUP($A388,'1.3.21-28.2.22'!$A$6:$DA$404,48,FALSE)-VLOOKUP($A388,'01-02.2022'!$A$6:$DA$376,48,FALSE)</f>
        <v>2764.1579468722607</v>
      </c>
      <c r="AW388" s="566">
        <f>VLOOKUP($A388,'01-02.2021'!$A$6:$CZ$403,49,FALSE)+VLOOKUP($A388,'1.3.21-28.2.22'!$A$6:$DA$404,49,FALSE)-VLOOKUP($A388,'01-02.2022'!$A$6:$DA$376,49,FALSE)</f>
        <v>0</v>
      </c>
      <c r="AX388" s="55">
        <f t="shared" si="396"/>
        <v>-2764.1579468722607</v>
      </c>
      <c r="AY388" s="566">
        <f>VLOOKUP($A388,'01-02.2021'!$A$6:$CZ$403,51,FALSE)+VLOOKUP($A388,'1.3.21-28.2.22'!$A$6:$DA$404,51,FALSE)-VLOOKUP($A388,'01-02.2022'!$A$6:$DA$376,51,FALSE)</f>
        <v>3642.5911032048411</v>
      </c>
      <c r="AZ388" s="566">
        <f>VLOOKUP($A388,'01-02.2021'!$A$6:$CZ$403,52,FALSE)+VLOOKUP($A388,'1.3.21-28.2.22'!$A$6:$DA$404,52,FALSE)-VLOOKUP($A388,'01-02.2022'!$A$6:$DA$376,52,FALSE)</f>
        <v>4203</v>
      </c>
      <c r="BA388" s="38">
        <f t="shared" si="397"/>
        <v>560.40889679515885</v>
      </c>
      <c r="BB388" s="566">
        <f>VLOOKUP($A388,'01-02.2021'!$A$6:$CZ$403,54,FALSE)+VLOOKUP($A388,'1.3.21-28.2.22'!$A$6:$DA$404,54,FALSE)-VLOOKUP($A388,'01-02.2022'!$A$6:$DA$376,54,FALSE)</f>
        <v>1294.4254765574256</v>
      </c>
      <c r="BC388" s="566">
        <f>VLOOKUP($A388,'01-02.2021'!$A$6:$CZ$403,55,FALSE)+VLOOKUP($A388,'1.3.21-28.2.22'!$A$6:$DA$404,55,FALSE)-VLOOKUP($A388,'01-02.2022'!$A$6:$DA$376,55,FALSE)</f>
        <v>0</v>
      </c>
      <c r="BD388" s="55">
        <f t="shared" si="398"/>
        <v>-1294.4254765574256</v>
      </c>
      <c r="BE388" s="566">
        <f>VLOOKUP($A388,'01-02.2021'!$A$6:$CZ$403,57,FALSE)+VLOOKUP($A388,'1.3.21-28.2.22'!$A$6:$DA$404,57,FALSE)-VLOOKUP($A388,'01-02.2022'!$A$6:$DA$376,57,FALSE)</f>
        <v>0</v>
      </c>
      <c r="BF388" s="566">
        <f>VLOOKUP($A388,'01-02.2021'!$A$6:$CZ$403,58,FALSE)+VLOOKUP($A388,'1.3.21-28.2.22'!$A$6:$DA$404,58,FALSE)-VLOOKUP($A388,'01-02.2022'!$A$6:$DA$376,58,FALSE)</f>
        <v>0</v>
      </c>
      <c r="BG388" s="55">
        <f t="shared" si="399"/>
        <v>0</v>
      </c>
      <c r="BH388" s="566">
        <f>VLOOKUP($A388,'01-02.2021'!$A$6:$CZ$403,60,FALSE)+VLOOKUP($A388,'1.3.21-28.2.22'!$A$6:$DA$404,60,FALSE)-VLOOKUP($A388,'01-02.2022'!$A$6:$DA$376,60,FALSE)</f>
        <v>1848.9485431933244</v>
      </c>
      <c r="BI388" s="566">
        <f>VLOOKUP($A388,'01-02.2021'!$A$6:$CZ$403,61,FALSE)+VLOOKUP($A388,'1.3.21-28.2.22'!$A$6:$DA$404,61,FALSE)-VLOOKUP($A388,'01-02.2022'!$A$6:$DA$376,61,FALSE)</f>
        <v>0</v>
      </c>
      <c r="BJ388" s="55">
        <f t="shared" si="400"/>
        <v>-1848.9485431933244</v>
      </c>
      <c r="BK388" s="566">
        <f>VLOOKUP($A388,'01-02.2021'!$A$6:$CZ$403,63,FALSE)+VLOOKUP($A388,'1.3.21-28.2.22'!$A$6:$DA$404,63,FALSE)-VLOOKUP($A388,'01-02.2022'!$A$6:$DA$376,63,FALSE)</f>
        <v>1897.7236626515578</v>
      </c>
      <c r="BL388" s="566">
        <f>VLOOKUP($A388,'01-02.2021'!$A$6:$CZ$403,64,FALSE)+VLOOKUP($A388,'1.3.21-28.2.22'!$A$6:$DA$404,64,FALSE)-VLOOKUP($A388,'01-02.2022'!$A$6:$DA$376,64,FALSE)</f>
        <v>0</v>
      </c>
      <c r="BM388" s="55">
        <f t="shared" si="401"/>
        <v>-1897.7236626515578</v>
      </c>
      <c r="BN388" s="566">
        <f>VLOOKUP($A388,'01-02.2021'!$A$6:$CZ$403,66,FALSE)+VLOOKUP($A388,'1.3.21-28.2.22'!$A$6:$DA$404,66,FALSE)-VLOOKUP($A388,'01-02.2022'!$A$6:$DA$376,66,FALSE)</f>
        <v>138.11500000000001</v>
      </c>
      <c r="BO388" s="566">
        <f>VLOOKUP($A388,'01-02.2021'!$A$6:$CZ$403,67,FALSE)+VLOOKUP($A388,'1.3.21-28.2.22'!$A$6:$DA$404,67,FALSE)-VLOOKUP($A388,'01-02.2022'!$A$6:$DA$376,67,FALSE)</f>
        <v>3397.65</v>
      </c>
      <c r="BP388" s="55">
        <f t="shared" si="402"/>
        <v>3259.5349999999999</v>
      </c>
      <c r="BQ388" s="77">
        <f t="shared" si="409"/>
        <v>11585.961732479411</v>
      </c>
      <c r="BR388" s="40">
        <f t="shared" si="434"/>
        <v>7600.65</v>
      </c>
      <c r="BS388" s="55">
        <f t="shared" si="428"/>
        <v>-3985.3117324794111</v>
      </c>
      <c r="BT388" s="566">
        <f>VLOOKUP($A388,'01-02.2021'!$A$6:$CZ$403,72,FALSE)+VLOOKUP($A388,'1.3.21-28.2.22'!$A$6:$DA$404,72,FALSE)-VLOOKUP($A388,'01-02.2022'!$A$6:$DA$376,72,FALSE)</f>
        <v>23579.38172499989</v>
      </c>
      <c r="BU388" s="566">
        <f>VLOOKUP($A388,'01-02.2021'!$A$6:$CZ$403,73,FALSE)+VLOOKUP($A388,'1.3.21-28.2.22'!$A$6:$DA$404,73,FALSE)-VLOOKUP($A388,'01-02.2022'!$A$6:$DA$376,73,FALSE)</f>
        <v>31286.900910116645</v>
      </c>
      <c r="BV388" s="70">
        <f t="shared" si="403"/>
        <v>7707.5191851167547</v>
      </c>
      <c r="BW388" s="566">
        <f>VLOOKUP($A388,'01-02.2021'!$A$6:$CZ$403,75,FALSE)+VLOOKUP($A388,'1.3.21-28.2.22'!$A$6:$DA$404,75,FALSE)-VLOOKUP($A388,'01-02.2022'!$A$6:$DA$376,75,FALSE)</f>
        <v>15215.012909699955</v>
      </c>
      <c r="BX388" s="566">
        <f>VLOOKUP($A388,'01-02.2021'!$A$6:$CZ$403,76,FALSE)+VLOOKUP($A388,'1.3.21-28.2.22'!$A$6:$DA$404,76,FALSE)-VLOOKUP($A388,'01-02.2022'!$A$6:$DA$376,76,FALSE)</f>
        <v>15504.187421065228</v>
      </c>
      <c r="BY388" s="70">
        <f t="shared" si="404"/>
        <v>289.17451136527234</v>
      </c>
      <c r="BZ388" s="566">
        <f>VLOOKUP($A388,'01-02.2021'!$A$6:$CZ$403,78,FALSE)+VLOOKUP($A388,'1.3.21-28.2.22'!$A$6:$DA$404,78,FALSE)-VLOOKUP($A388,'01-02.2022'!$A$6:$DA$376,78,FALSE)</f>
        <v>8438.3382629636071</v>
      </c>
      <c r="CA388" s="566">
        <f>VLOOKUP($A388,'01-02.2021'!$A$6:$CZ$403,79,FALSE)+VLOOKUP($A388,'1.3.21-28.2.22'!$A$6:$DA$404,79,FALSE)-VLOOKUP($A388,'01-02.2022'!$A$6:$DA$376,79,FALSE)</f>
        <v>7375.2197258874639</v>
      </c>
      <c r="CB388" s="70">
        <f t="shared" si="405"/>
        <v>-1063.1185370761432</v>
      </c>
      <c r="CC388" s="566">
        <f>VLOOKUP($A388,'01-02.2021'!$A$6:$CZ$403,81,FALSE)+VLOOKUP($A388,'1.3.21-28.2.22'!$A$6:$DA$404,81,FALSE)-VLOOKUP($A388,'01-02.2022'!$A$6:$DA$376,81,FALSE)</f>
        <v>1397.6019463060086</v>
      </c>
      <c r="CD388" s="566">
        <f>VLOOKUP($A388,'01-02.2021'!$A$6:$CZ$403,82,FALSE)+VLOOKUP($A388,'1.3.21-28.2.22'!$A$6:$DA$404,82,FALSE)-VLOOKUP($A388,'01-02.2022'!$A$6:$DA$376,82,FALSE)</f>
        <v>1527.5691714241102</v>
      </c>
      <c r="CE388" s="70">
        <f t="shared" si="406"/>
        <v>129.96722511810162</v>
      </c>
      <c r="CF388" s="566">
        <f>VLOOKUP($A388,'01-02.2021'!$A$6:$CZ$403,84,FALSE)+VLOOKUP($A388,'1.3.21-28.2.22'!$A$6:$DA$404,84,FALSE)-VLOOKUP($A388,'01-02.2022'!$A$6:$DA$376,84,FALSE)</f>
        <v>169.90730586590311</v>
      </c>
      <c r="CG388" s="566">
        <f>VLOOKUP($A388,'01-02.2021'!$A$6:$CZ$403,85,FALSE)+VLOOKUP($A388,'1.3.21-28.2.22'!$A$6:$DA$404,85,FALSE)-VLOOKUP($A388,'01-02.2022'!$A$6:$DA$376,85,FALSE)</f>
        <v>0</v>
      </c>
      <c r="CH388" s="70">
        <f t="shared" si="407"/>
        <v>-169.90730586590311</v>
      </c>
      <c r="CI388" s="566">
        <f>VLOOKUP($A388,'01-02.2021'!$A$6:$CZ$403,87,FALSE)+VLOOKUP($A388,'1.3.21-28.2.22'!$A$6:$DA$404,87,FALSE)-VLOOKUP($A388,'01-02.2022'!$A$6:$DA$376,87,FALSE)</f>
        <v>6907.5138076624162</v>
      </c>
      <c r="CJ388" s="566">
        <f>VLOOKUP($A388,'01-02.2021'!$A$6:$CZ$403,88,FALSE)+VLOOKUP($A388,'1.3.21-28.2.22'!$A$6:$DA$404,88,FALSE)-VLOOKUP($A388,'01-02.2022'!$A$6:$DA$376,88,FALSE)</f>
        <v>9171.8514634543717</v>
      </c>
      <c r="CK388" s="70">
        <f t="shared" si="408"/>
        <v>2264.3376557919555</v>
      </c>
      <c r="CL388" s="566">
        <f>VLOOKUP($A388,'01-02.2021'!$A$6:$CZ$403,90,FALSE)+VLOOKUP($A388,'1.3.21-28.2.22'!$A$6:$DA$404,90,FALSE)-VLOOKUP($A388,'01-02.2022'!$A$6:$DA$376,90,FALSE)</f>
        <v>0</v>
      </c>
      <c r="CM388" s="566">
        <f>VLOOKUP($A388,'01-02.2021'!$A$6:$CZ$403,91,FALSE)+VLOOKUP($A388,'1.3.21-28.2.22'!$A$6:$DA$404,91,FALSE)-VLOOKUP($A388,'01-02.2022'!$A$6:$DA$376,91,FALSE)</f>
        <v>0</v>
      </c>
      <c r="CN388" s="52">
        <f t="shared" si="420"/>
        <v>0</v>
      </c>
      <c r="CO388" s="39">
        <f t="shared" si="414"/>
        <v>6907.5138076624162</v>
      </c>
      <c r="CP388" s="40">
        <f t="shared" si="421"/>
        <v>9171.8514634543717</v>
      </c>
      <c r="CQ388" s="52">
        <f t="shared" si="422"/>
        <v>2264.3376557919555</v>
      </c>
      <c r="CR388" s="72">
        <f t="shared" si="415"/>
        <v>150567.25517387176</v>
      </c>
      <c r="CS388" s="5">
        <f t="shared" si="415"/>
        <v>134411.50866090367</v>
      </c>
      <c r="CT388" s="52">
        <f t="shared" si="423"/>
        <v>-16155.746512968093</v>
      </c>
      <c r="CU388" s="77">
        <f t="shared" si="424"/>
        <v>180680.70620864609</v>
      </c>
      <c r="CV388" s="65">
        <f t="shared" si="425"/>
        <v>161293.81039308439</v>
      </c>
      <c r="CW388" s="35">
        <f t="shared" si="426"/>
        <v>-19386.8958155617</v>
      </c>
      <c r="CX388" s="566">
        <f>VLOOKUP($A388,'01-02.2021'!$A$6:$CZ$403,102,FALSE)+VLOOKUP($A388,'1.3.21-28.2.22'!$A$6:$DA$404,102,FALSE)-VLOOKUP($A388,'01-02.2022'!$A$6:$DA$376,102,FALSE)</f>
        <v>9209.8233921582996</v>
      </c>
      <c r="CY388" s="566">
        <f>VLOOKUP($A388,'01-02.2021'!$A$6:$CZ$403,103,FALSE)+VLOOKUP($A388,'1.3.21-28.2.22'!$A$6:$DA$404,103,FALSE)-VLOOKUP($A388,'01-02.2022'!$A$6:$DA$376,103,FALSE)</f>
        <v>28596.719207720045</v>
      </c>
      <c r="CZ388" s="52">
        <f t="shared" si="427"/>
        <v>19386.895815561744</v>
      </c>
      <c r="DA388" s="150">
        <f>'[2]побудинковий звіт'!DA388</f>
        <v>-36053.695603485728</v>
      </c>
      <c r="DB388" s="2">
        <v>3</v>
      </c>
      <c r="DC388" s="414">
        <f>'[4]побудинковий звіт'!DC388</f>
        <v>23592.77</v>
      </c>
      <c r="DD388" s="414">
        <f>'[4]побудинковий звіт'!DD388</f>
        <v>0</v>
      </c>
      <c r="DE388" s="557">
        <f>'[4]побудинковий звіт'!DE388</f>
        <v>6705.0466414661496</v>
      </c>
      <c r="DF388" s="557">
        <f>'[4]побудинковий звіт'!DF388</f>
        <v>0</v>
      </c>
      <c r="DG388" s="321">
        <f>VLOOKUP(A388,'кошти 01.03.2021'!$A$6:$D$401,4,)</f>
        <v>-14520.01050015032</v>
      </c>
      <c r="DH388" s="40">
        <f>'[3]побудинковий звіт'!DJ388</f>
        <v>194891.41519660747</v>
      </c>
      <c r="DI388" s="422">
        <f>'[3]побудинковий звіт'!CU388+'[3]побудинковий звіт'!CX388</f>
        <v>16887.723358533847</v>
      </c>
      <c r="DJ388" s="306">
        <f>'[3]побудинковий звіт'!DM388</f>
        <v>6.1136456425927124</v>
      </c>
      <c r="DK388" s="306">
        <f t="shared" si="437"/>
        <v>6.1136456425927124</v>
      </c>
      <c r="DL388" s="306">
        <f>'[3]побудинковий звіт'!DO388</f>
        <v>5.4404742435281017</v>
      </c>
      <c r="DM388" s="28">
        <f t="shared" si="438"/>
        <v>16887.723358533851</v>
      </c>
      <c r="DN388" s="28">
        <f t="shared" si="439"/>
        <v>0</v>
      </c>
      <c r="DO388" s="423">
        <f t="shared" si="381"/>
        <v>16887.723358533851</v>
      </c>
      <c r="DP388" s="94">
        <f t="shared" si="382"/>
        <v>0</v>
      </c>
      <c r="DQ388" s="28">
        <f t="shared" si="383"/>
        <v>16887.723358533851</v>
      </c>
      <c r="DR388" s="318"/>
      <c r="DT388" s="8"/>
      <c r="DU388" s="5"/>
      <c r="DX388" s="5">
        <f t="shared" si="384"/>
        <v>66124.80698945481</v>
      </c>
      <c r="DY388" s="5">
        <f t="shared" si="385"/>
        <v>37971.153456297216</v>
      </c>
      <c r="DZ388" s="159">
        <f>'[3]побудинковий звіт'!EA388</f>
        <v>5867.445327900452</v>
      </c>
    </row>
    <row r="389" spans="1:130" x14ac:dyDescent="0.3">
      <c r="A389" s="325">
        <v>150000915</v>
      </c>
      <c r="B389" s="41" t="s">
        <v>835</v>
      </c>
      <c r="C389" s="42" t="s">
        <v>323</v>
      </c>
      <c r="D389" s="27"/>
      <c r="E389" s="293">
        <f t="shared" si="412"/>
        <v>2743.4</v>
      </c>
      <c r="F389" s="305">
        <f>'[3]побудинковий звіт'!F389</f>
        <v>2743.4</v>
      </c>
      <c r="G389" s="508">
        <f>'[3]побудинковий звіт'!G389</f>
        <v>0</v>
      </c>
      <c r="H389" s="560">
        <f>'[3]побудинковий звіт'!H389</f>
        <v>0</v>
      </c>
      <c r="I389" s="566">
        <f>VLOOKUP($A389,'01-02.2021'!$A$6:$CZ$403,9,FALSE)+VLOOKUP($A389,'1.3.21-28.2.22'!$A$6:$DA$404,9,FALSE)-VLOOKUP($A389,'01-02.2022'!$A$6:$DA$376,9,FALSE)</f>
        <v>9937.7786333313106</v>
      </c>
      <c r="J389" s="566">
        <f>VLOOKUP($A389,'01-02.2021'!$A$6:$CZ$403,10,FALSE)+VLOOKUP($A389,'1.3.21-28.2.22'!$A$6:$DA$404,10,FALSE)-VLOOKUP($A389,'01-02.2022'!$A$6:$DA$376,10,FALSE)</f>
        <v>9689.5854569675976</v>
      </c>
      <c r="K389" s="52">
        <f t="shared" si="417"/>
        <v>-248.19317636371306</v>
      </c>
      <c r="L389" s="566">
        <f>VLOOKUP($A389,'01-02.2021'!$A$6:$CZ$403,12,FALSE)+VLOOKUP($A389,'1.3.21-28.2.22'!$A$6:$DA$404,12,FALSE)-VLOOKUP($A389,'01-02.2022'!$A$6:$DA$376,12,FALSE)</f>
        <v>1937.7541367306121</v>
      </c>
      <c r="M389" s="566">
        <f>VLOOKUP($A389,'01-02.2021'!$A$6:$CZ$403,13,FALSE)+VLOOKUP($A389,'1.3.21-28.2.22'!$A$6:$DA$404,13,FALSE)-VLOOKUP($A389,'01-02.2022'!$A$6:$DA$376,13,FALSE)</f>
        <v>1934.7882259540827</v>
      </c>
      <c r="N389" s="52">
        <f t="shared" si="418"/>
        <v>-2.9659107765294266</v>
      </c>
      <c r="O389" s="566">
        <f>VLOOKUP($A389,'01-02.2021'!$A$6:$CZ$403,15,FALSE)+VLOOKUP($A389,'1.3.21-28.2.22'!$A$6:$DA$404,15,FALSE)-VLOOKUP($A389,'01-02.2022'!$A$6:$DA$376,15,FALSE)</f>
        <v>3789.8167930916984</v>
      </c>
      <c r="P389" s="566">
        <f>VLOOKUP($A389,'01-02.2021'!$A$6:$CZ$403,16,FALSE)+VLOOKUP($A389,'1.3.21-28.2.22'!$A$6:$DA$404,16,FALSE)-VLOOKUP($A389,'01-02.2022'!$A$6:$DA$376,16,FALSE)</f>
        <v>3790.2516666666656</v>
      </c>
      <c r="Q389" s="70">
        <f t="shared" si="386"/>
        <v>0.43487357496724144</v>
      </c>
      <c r="R389" s="566">
        <f>VLOOKUP($A389,'01-02.2021'!$A$6:$CZ$403,18,FALSE)+VLOOKUP($A389,'1.3.21-28.2.22'!$A$6:$DA$404,18,FALSE)-VLOOKUP($A389,'01-02.2022'!$A$6:$DA$376,18,FALSE)</f>
        <v>0</v>
      </c>
      <c r="S389" s="566">
        <f>VLOOKUP($A389,'01-02.2021'!$A$6:$CZ$403,19,FALSE)+VLOOKUP($A389,'1.3.21-28.2.22'!$A$6:$DA$404,19,FALSE)-VLOOKUP($A389,'01-02.2022'!$A$6:$DA$376,19,FALSE)</f>
        <v>0</v>
      </c>
      <c r="T389" s="70">
        <f t="shared" si="387"/>
        <v>0</v>
      </c>
      <c r="U389" s="566">
        <f>VLOOKUP($A389,'01-02.2021'!$A$6:$CZ$403,21,FALSE)+VLOOKUP($A389,'1.3.21-28.2.22'!$A$6:$DA$404,21,FALSE)-VLOOKUP($A389,'01-02.2022'!$A$6:$DA$376,21,FALSE)</f>
        <v>824.04113280533022</v>
      </c>
      <c r="V389" s="566">
        <f>VLOOKUP($A389,'01-02.2021'!$A$6:$CZ$403,22,FALSE)+VLOOKUP($A389,'1.3.21-28.2.22'!$A$6:$DA$404,22,FALSE)-VLOOKUP($A389,'01-02.2022'!$A$6:$DA$376,22,FALSE)</f>
        <v>700.2749023488625</v>
      </c>
      <c r="W389" s="70">
        <f t="shared" si="388"/>
        <v>-123.76623045646772</v>
      </c>
      <c r="X389" s="566">
        <f>VLOOKUP($A389,'01-02.2021'!$A$6:$CZ$403,24,FALSE)+VLOOKUP($A389,'1.3.21-28.2.22'!$A$6:$DA$404,24,FALSE)-VLOOKUP($A389,'01-02.2022'!$A$6:$DA$376,24,FALSE)</f>
        <v>6161.6793144513376</v>
      </c>
      <c r="Y389" s="566">
        <f>VLOOKUP($A389,'01-02.2021'!$A$6:$CZ$403,25,FALSE)+VLOOKUP($A389,'1.3.21-28.2.22'!$A$6:$DA$404,25,FALSE)-VLOOKUP($A389,'01-02.2022'!$A$6:$DA$376,25,FALSE)</f>
        <v>5474.4926193301017</v>
      </c>
      <c r="Z389" s="70">
        <f t="shared" si="389"/>
        <v>-687.18669512123597</v>
      </c>
      <c r="AA389" s="566">
        <f>VLOOKUP($A389,'01-02.2021'!$A$6:$CZ$403,27,FALSE)+VLOOKUP($A389,'1.3.21-28.2.22'!$A$6:$DA$404,27,FALSE)-VLOOKUP($A389,'01-02.2022'!$A$6:$DA$376,27,FALSE)</f>
        <v>548.68000000000006</v>
      </c>
      <c r="AB389" s="566">
        <f>VLOOKUP($A389,'01-02.2021'!$A$6:$CZ$403,28,FALSE)+VLOOKUP($A389,'1.3.21-28.2.22'!$A$6:$DA$404,28,FALSE)-VLOOKUP($A389,'01-02.2022'!$A$6:$DA$376,28,FALSE)</f>
        <v>0</v>
      </c>
      <c r="AC389" s="70">
        <f t="shared" si="390"/>
        <v>-548.68000000000006</v>
      </c>
      <c r="AD389" s="566">
        <f>VLOOKUP($A389,'01-02.2021'!$A$6:$CZ$403,30,FALSE)+VLOOKUP($A389,'1.3.21-28.2.22'!$A$6:$DA$404,30,FALSE)-VLOOKUP($A389,'01-02.2022'!$A$6:$DA$376,30,FALSE)</f>
        <v>11783.683756406112</v>
      </c>
      <c r="AE389" s="566">
        <f>VLOOKUP($A389,'01-02.2021'!$A$6:$CZ$403,31,FALSE)+VLOOKUP($A389,'1.3.21-28.2.22'!$A$6:$DA$404,31,FALSE)-VLOOKUP($A389,'01-02.2022'!$A$6:$DA$376,31,FALSE)</f>
        <v>12488.067337759627</v>
      </c>
      <c r="AF389" s="68">
        <f t="shared" si="391"/>
        <v>704.38358135351518</v>
      </c>
      <c r="AG389" s="77">
        <f t="shared" si="413"/>
        <v>34983.433766816401</v>
      </c>
      <c r="AH389" s="53">
        <f t="shared" si="413"/>
        <v>34077.460209026933</v>
      </c>
      <c r="AI389" s="52">
        <f t="shared" si="419"/>
        <v>-905.97355778946803</v>
      </c>
      <c r="AJ389" s="566">
        <f>VLOOKUP($A389,'01-02.2021'!$A$6:$CZ$403,36,FALSE)+VLOOKUP($A389,'1.3.21-28.2.22'!$A$6:$DA$404,36,FALSE)-VLOOKUP($A389,'01-02.2022'!$A$6:$DA$376,36,FALSE)</f>
        <v>0</v>
      </c>
      <c r="AK389" s="566">
        <f>VLOOKUP($A389,'01-02.2021'!$A$6:$CZ$403,37,FALSE)+VLOOKUP($A389,'1.3.21-28.2.22'!$A$6:$DA$404,37,FALSE)-VLOOKUP($A389,'01-02.2022'!$A$6:$DA$376,37,FALSE)</f>
        <v>0</v>
      </c>
      <c r="AL389" s="70">
        <f t="shared" si="392"/>
        <v>0</v>
      </c>
      <c r="AM389" s="566">
        <f>VLOOKUP($A389,'01-02.2021'!$A$6:$CZ$403,39,FALSE)+VLOOKUP($A389,'1.3.21-28.2.22'!$A$6:$DA$404,39,FALSE)-VLOOKUP($A389,'01-02.2022'!$A$6:$DA$376,39,FALSE)</f>
        <v>0</v>
      </c>
      <c r="AN389" s="566">
        <f>VLOOKUP($A389,'01-02.2021'!$A$6:$CZ$403,40,FALSE)+VLOOKUP($A389,'1.3.21-28.2.22'!$A$6:$DA$404,40,FALSE)-VLOOKUP($A389,'01-02.2022'!$A$6:$DA$376,40,FALSE)</f>
        <v>0</v>
      </c>
      <c r="AO389" s="70">
        <f t="shared" si="393"/>
        <v>0</v>
      </c>
      <c r="AP389" s="566">
        <f>VLOOKUP($A389,'01-02.2021'!$A$6:$CZ$403,42,FALSE)+VLOOKUP($A389,'1.3.21-28.2.22'!$A$6:$DA$404,42,FALSE)-VLOOKUP($A389,'01-02.2022'!$A$6:$DA$376,42,FALSE)</f>
        <v>4685.0393251149972</v>
      </c>
      <c r="AQ389" s="566">
        <f>VLOOKUP($A389,'01-02.2021'!$A$6:$CZ$403,43,FALSE)+VLOOKUP($A389,'1.3.21-28.2.22'!$A$6:$DA$404,43,FALSE)-VLOOKUP($A389,'01-02.2022'!$A$6:$DA$376,43,FALSE)</f>
        <v>4062.4465394234585</v>
      </c>
      <c r="AR389" s="70">
        <f t="shared" si="394"/>
        <v>-622.59278569153867</v>
      </c>
      <c r="AS389" s="566">
        <f>VLOOKUP($A389,'01-02.2021'!$A$6:$CZ$403,45,FALSE)+VLOOKUP($A389,'1.3.21-28.2.22'!$A$6:$DA$404,45,FALSE)-VLOOKUP($A389,'01-02.2022'!$A$6:$DA$376,45,FALSE)</f>
        <v>39156.422053976683</v>
      </c>
      <c r="AT389" s="566">
        <f>VLOOKUP($A389,'01-02.2021'!$A$6:$CZ$403,46,FALSE)+VLOOKUP($A389,'1.3.21-28.2.22'!$A$6:$DA$404,46,FALSE)-VLOOKUP($A389,'01-02.2022'!$A$6:$DA$376,46,FALSE)</f>
        <v>19795.404838964918</v>
      </c>
      <c r="AU389" s="78">
        <f t="shared" si="395"/>
        <v>-19361.017215011765</v>
      </c>
      <c r="AV389" s="566">
        <f>VLOOKUP($A389,'01-02.2021'!$A$6:$CZ$403,48,FALSE)+VLOOKUP($A389,'1.3.21-28.2.22'!$A$6:$DA$404,48,FALSE)-VLOOKUP($A389,'01-02.2022'!$A$6:$DA$376,48,FALSE)</f>
        <v>2763.6584650006916</v>
      </c>
      <c r="AW389" s="566">
        <f>VLOOKUP($A389,'01-02.2021'!$A$6:$CZ$403,49,FALSE)+VLOOKUP($A389,'1.3.21-28.2.22'!$A$6:$DA$404,49,FALSE)-VLOOKUP($A389,'01-02.2022'!$A$6:$DA$376,49,FALSE)</f>
        <v>1476.3600000000001</v>
      </c>
      <c r="AX389" s="55">
        <f t="shared" si="396"/>
        <v>-1287.2984650006915</v>
      </c>
      <c r="AY389" s="566">
        <f>VLOOKUP($A389,'01-02.2021'!$A$6:$CZ$403,51,FALSE)+VLOOKUP($A389,'1.3.21-28.2.22'!$A$6:$DA$404,51,FALSE)-VLOOKUP($A389,'01-02.2022'!$A$6:$DA$376,51,FALSE)</f>
        <v>3642.5911032048411</v>
      </c>
      <c r="AZ389" s="566">
        <f>VLOOKUP($A389,'01-02.2021'!$A$6:$CZ$403,52,FALSE)+VLOOKUP($A389,'1.3.21-28.2.22'!$A$6:$DA$404,52,FALSE)-VLOOKUP($A389,'01-02.2022'!$A$6:$DA$376,52,FALSE)</f>
        <v>1953.72</v>
      </c>
      <c r="BA389" s="38">
        <f t="shared" si="397"/>
        <v>-1688.8711032048411</v>
      </c>
      <c r="BB389" s="566">
        <f>VLOOKUP($A389,'01-02.2021'!$A$6:$CZ$403,54,FALSE)+VLOOKUP($A389,'1.3.21-28.2.22'!$A$6:$DA$404,54,FALSE)-VLOOKUP($A389,'01-02.2022'!$A$6:$DA$376,54,FALSE)</f>
        <v>1294.4254765574256</v>
      </c>
      <c r="BC389" s="566">
        <f>VLOOKUP($A389,'01-02.2021'!$A$6:$CZ$403,55,FALSE)+VLOOKUP($A389,'1.3.21-28.2.22'!$A$6:$DA$404,55,FALSE)-VLOOKUP($A389,'01-02.2022'!$A$6:$DA$376,55,FALSE)</f>
        <v>0</v>
      </c>
      <c r="BD389" s="55">
        <f t="shared" si="398"/>
        <v>-1294.4254765574256</v>
      </c>
      <c r="BE389" s="566">
        <f>VLOOKUP($A389,'01-02.2021'!$A$6:$CZ$403,57,FALSE)+VLOOKUP($A389,'1.3.21-28.2.22'!$A$6:$DA$404,57,FALSE)-VLOOKUP($A389,'01-02.2022'!$A$6:$DA$376,57,FALSE)</f>
        <v>0</v>
      </c>
      <c r="BF389" s="566">
        <f>VLOOKUP($A389,'01-02.2021'!$A$6:$CZ$403,58,FALSE)+VLOOKUP($A389,'1.3.21-28.2.22'!$A$6:$DA$404,58,FALSE)-VLOOKUP($A389,'01-02.2022'!$A$6:$DA$376,58,FALSE)</f>
        <v>0</v>
      </c>
      <c r="BG389" s="55">
        <f t="shared" si="399"/>
        <v>0</v>
      </c>
      <c r="BH389" s="566">
        <f>VLOOKUP($A389,'01-02.2021'!$A$6:$CZ$403,60,FALSE)+VLOOKUP($A389,'1.3.21-28.2.22'!$A$6:$DA$404,60,FALSE)-VLOOKUP($A389,'01-02.2022'!$A$6:$DA$376,60,FALSE)</f>
        <v>1848.9485431933244</v>
      </c>
      <c r="BI389" s="566">
        <f>VLOOKUP($A389,'01-02.2021'!$A$6:$CZ$403,61,FALSE)+VLOOKUP($A389,'1.3.21-28.2.22'!$A$6:$DA$404,61,FALSE)-VLOOKUP($A389,'01-02.2022'!$A$6:$DA$376,61,FALSE)</f>
        <v>0</v>
      </c>
      <c r="BJ389" s="55">
        <f t="shared" si="400"/>
        <v>-1848.9485431933244</v>
      </c>
      <c r="BK389" s="566">
        <f>VLOOKUP($A389,'01-02.2021'!$A$6:$CZ$403,63,FALSE)+VLOOKUP($A389,'1.3.21-28.2.22'!$A$6:$DA$404,63,FALSE)-VLOOKUP($A389,'01-02.2022'!$A$6:$DA$376,63,FALSE)</f>
        <v>1897.2341180353085</v>
      </c>
      <c r="BL389" s="566">
        <f>VLOOKUP($A389,'01-02.2021'!$A$6:$CZ$403,64,FALSE)+VLOOKUP($A389,'1.3.21-28.2.22'!$A$6:$DA$404,64,FALSE)-VLOOKUP($A389,'01-02.2022'!$A$6:$DA$376,64,FALSE)</f>
        <v>939</v>
      </c>
      <c r="BM389" s="55">
        <f t="shared" si="401"/>
        <v>-958.23411803530848</v>
      </c>
      <c r="BN389" s="566">
        <f>VLOOKUP($A389,'01-02.2021'!$A$6:$CZ$403,66,FALSE)+VLOOKUP($A389,'1.3.21-28.2.22'!$A$6:$DA$404,66,FALSE)-VLOOKUP($A389,'01-02.2022'!$A$6:$DA$376,66,FALSE)</f>
        <v>137.17000000000002</v>
      </c>
      <c r="BO389" s="566">
        <f>VLOOKUP($A389,'01-02.2021'!$A$6:$CZ$403,67,FALSE)+VLOOKUP($A389,'1.3.21-28.2.22'!$A$6:$DA$404,67,FALSE)-VLOOKUP($A389,'01-02.2022'!$A$6:$DA$376,67,FALSE)</f>
        <v>3532</v>
      </c>
      <c r="BP389" s="55">
        <f t="shared" si="402"/>
        <v>3394.83</v>
      </c>
      <c r="BQ389" s="77">
        <f t="shared" si="409"/>
        <v>11584.027705991592</v>
      </c>
      <c r="BR389" s="40">
        <f t="shared" si="434"/>
        <v>7901.08</v>
      </c>
      <c r="BS389" s="55">
        <f t="shared" si="428"/>
        <v>-3682.9477059915916</v>
      </c>
      <c r="BT389" s="566">
        <f>VLOOKUP($A389,'01-02.2021'!$A$6:$CZ$403,72,FALSE)+VLOOKUP($A389,'1.3.21-28.2.22'!$A$6:$DA$404,72,FALSE)-VLOOKUP($A389,'01-02.2022'!$A$6:$DA$376,72,FALSE)</f>
        <v>31286.601969942305</v>
      </c>
      <c r="BU389" s="566">
        <f>VLOOKUP($A389,'01-02.2021'!$A$6:$CZ$403,73,FALSE)+VLOOKUP($A389,'1.3.21-28.2.22'!$A$6:$DA$404,73,FALSE)-VLOOKUP($A389,'01-02.2022'!$A$6:$DA$376,73,FALSE)</f>
        <v>31166.955262587242</v>
      </c>
      <c r="BV389" s="70">
        <f t="shared" si="403"/>
        <v>-119.64670735506297</v>
      </c>
      <c r="BW389" s="566">
        <f>VLOOKUP($A389,'01-02.2021'!$A$6:$CZ$403,75,FALSE)+VLOOKUP($A389,'1.3.21-28.2.22'!$A$6:$DA$404,75,FALSE)-VLOOKUP($A389,'01-02.2022'!$A$6:$DA$376,75,FALSE)</f>
        <v>14974.260048904793</v>
      </c>
      <c r="BX389" s="566">
        <f>VLOOKUP($A389,'01-02.2021'!$A$6:$CZ$403,76,FALSE)+VLOOKUP($A389,'1.3.21-28.2.22'!$A$6:$DA$404,76,FALSE)-VLOOKUP($A389,'01-02.2022'!$A$6:$DA$376,76,FALSE)</f>
        <v>13438.745871933688</v>
      </c>
      <c r="BY389" s="70">
        <f t="shared" si="404"/>
        <v>-1535.5141769711045</v>
      </c>
      <c r="BZ389" s="566">
        <f>VLOOKUP($A389,'01-02.2021'!$A$6:$CZ$403,78,FALSE)+VLOOKUP($A389,'1.3.21-28.2.22'!$A$6:$DA$404,78,FALSE)-VLOOKUP($A389,'01-02.2022'!$A$6:$DA$376,78,FALSE)</f>
        <v>8648.8295190280969</v>
      </c>
      <c r="CA389" s="566">
        <f>VLOOKUP($A389,'01-02.2021'!$A$6:$CZ$403,79,FALSE)+VLOOKUP($A389,'1.3.21-28.2.22'!$A$6:$DA$404,79,FALSE)-VLOOKUP($A389,'01-02.2022'!$A$6:$DA$376,79,FALSE)</f>
        <v>7614.7934268182544</v>
      </c>
      <c r="CB389" s="70">
        <f t="shared" si="405"/>
        <v>-1034.0360922098425</v>
      </c>
      <c r="CC389" s="566">
        <f>VLOOKUP($A389,'01-02.2021'!$A$6:$CZ$403,81,FALSE)+VLOOKUP($A389,'1.3.21-28.2.22'!$A$6:$DA$404,81,FALSE)-VLOOKUP($A389,'01-02.2022'!$A$6:$DA$376,81,FALSE)</f>
        <v>1397.3348715981351</v>
      </c>
      <c r="CD389" s="566">
        <f>VLOOKUP($A389,'01-02.2021'!$A$6:$CZ$403,82,FALSE)+VLOOKUP($A389,'1.3.21-28.2.22'!$A$6:$DA$404,82,FALSE)-VLOOKUP($A389,'01-02.2022'!$A$6:$DA$376,82,FALSE)</f>
        <v>1527.2772606327055</v>
      </c>
      <c r="CE389" s="70">
        <f t="shared" si="406"/>
        <v>129.9423890345704</v>
      </c>
      <c r="CF389" s="566">
        <f>VLOOKUP($A389,'01-02.2021'!$A$6:$CZ$403,84,FALSE)+VLOOKUP($A389,'1.3.21-28.2.22'!$A$6:$DA$404,84,FALSE)-VLOOKUP($A389,'01-02.2022'!$A$6:$DA$376,84,FALSE)</f>
        <v>169.87483743367187</v>
      </c>
      <c r="CG389" s="566">
        <f>VLOOKUP($A389,'01-02.2021'!$A$6:$CZ$403,85,FALSE)+VLOOKUP($A389,'1.3.21-28.2.22'!$A$6:$DA$404,85,FALSE)-VLOOKUP($A389,'01-02.2022'!$A$6:$DA$376,85,FALSE)</f>
        <v>1694.8729719021621</v>
      </c>
      <c r="CH389" s="70">
        <f t="shared" si="407"/>
        <v>1524.9981344684902</v>
      </c>
      <c r="CI389" s="566">
        <f>VLOOKUP($A389,'01-02.2021'!$A$6:$CZ$403,87,FALSE)+VLOOKUP($A389,'1.3.21-28.2.22'!$A$6:$DA$404,87,FALSE)-VLOOKUP($A389,'01-02.2022'!$A$6:$DA$376,87,FALSE)</f>
        <v>6579.2292656695727</v>
      </c>
      <c r="CJ389" s="566">
        <f>VLOOKUP($A389,'01-02.2021'!$A$6:$CZ$403,88,FALSE)+VLOOKUP($A389,'1.3.21-28.2.22'!$A$6:$DA$404,88,FALSE)-VLOOKUP($A389,'01-02.2022'!$A$6:$DA$376,88,FALSE)</f>
        <v>6578.6491017704866</v>
      </c>
      <c r="CK389" s="70">
        <f t="shared" si="408"/>
        <v>-0.5801638990860738</v>
      </c>
      <c r="CL389" s="566">
        <f>VLOOKUP($A389,'01-02.2021'!$A$6:$CZ$403,90,FALSE)+VLOOKUP($A389,'1.3.21-28.2.22'!$A$6:$DA$404,90,FALSE)-VLOOKUP($A389,'01-02.2022'!$A$6:$DA$376,90,FALSE)</f>
        <v>0</v>
      </c>
      <c r="CM389" s="566">
        <f>VLOOKUP($A389,'01-02.2021'!$A$6:$CZ$403,91,FALSE)+VLOOKUP($A389,'1.3.21-28.2.22'!$A$6:$DA$404,91,FALSE)-VLOOKUP($A389,'01-02.2022'!$A$6:$DA$376,91,FALSE)</f>
        <v>0</v>
      </c>
      <c r="CN389" s="52">
        <f t="shared" si="420"/>
        <v>0</v>
      </c>
      <c r="CO389" s="39">
        <f t="shared" si="414"/>
        <v>6579.2292656695727</v>
      </c>
      <c r="CP389" s="40">
        <f t="shared" si="421"/>
        <v>6578.6491017704866</v>
      </c>
      <c r="CQ389" s="52">
        <f t="shared" si="422"/>
        <v>-0.5801638990860738</v>
      </c>
      <c r="CR389" s="72">
        <f t="shared" si="415"/>
        <v>153465.05336447625</v>
      </c>
      <c r="CS389" s="5">
        <f t="shared" si="415"/>
        <v>127857.68548305985</v>
      </c>
      <c r="CT389" s="52">
        <f t="shared" si="423"/>
        <v>-25607.367881416401</v>
      </c>
      <c r="CU389" s="77">
        <f t="shared" si="424"/>
        <v>184158.06403737149</v>
      </c>
      <c r="CV389" s="65">
        <f t="shared" si="425"/>
        <v>153429.2225796718</v>
      </c>
      <c r="CW389" s="35">
        <f t="shared" si="426"/>
        <v>-30728.841457699687</v>
      </c>
      <c r="CX389" s="566">
        <f>VLOOKUP($A389,'01-02.2021'!$A$6:$CZ$403,102,FALSE)+VLOOKUP($A389,'1.3.21-28.2.22'!$A$6:$DA$404,102,FALSE)-VLOOKUP($A389,'01-02.2022'!$A$6:$DA$376,102,FALSE)</f>
        <v>5828.364205050435</v>
      </c>
      <c r="CY389" s="566">
        <f>VLOOKUP($A389,'01-02.2021'!$A$6:$CZ$403,103,FALSE)+VLOOKUP($A389,'1.3.21-28.2.22'!$A$6:$DA$404,103,FALSE)-VLOOKUP($A389,'01-02.2022'!$A$6:$DA$376,103,FALSE)</f>
        <v>36557.205662750144</v>
      </c>
      <c r="CZ389" s="52">
        <f t="shared" si="427"/>
        <v>30728.841457699709</v>
      </c>
      <c r="DA389" s="150">
        <f>'[2]побудинковий звіт'!DA389</f>
        <v>3886.4424901766179</v>
      </c>
      <c r="DB389" s="2">
        <v>3</v>
      </c>
      <c r="DC389" s="414">
        <f>'[4]побудинковий звіт'!DC389</f>
        <v>29593.57</v>
      </c>
      <c r="DD389" s="414">
        <f>'[4]побудинковий звіт'!DD389</f>
        <v>0</v>
      </c>
      <c r="DE389" s="557">
        <f>'[4]побудинковий звіт'!DE389</f>
        <v>12353.109364242922</v>
      </c>
      <c r="DF389" s="557">
        <f>'[4]побудинковий звіт'!DF389</f>
        <v>0</v>
      </c>
      <c r="DG389" s="321">
        <f>VLOOKUP(A389,'кошти 01.03.2021'!$A$6:$D$401,4,)</f>
        <v>45875.167066612725</v>
      </c>
      <c r="DH389" s="40">
        <f>'[3]побудинковий звіт'!DJ389</f>
        <v>196645.53599313245</v>
      </c>
      <c r="DI389" s="422">
        <f>'[3]побудинковий звіт'!CU389+'[3]побудинковий звіт'!CX389</f>
        <v>17240.460635757081</v>
      </c>
      <c r="DJ389" s="306">
        <f>'[3]побудинковий звіт'!DM389</f>
        <v>6.2843408309969666</v>
      </c>
      <c r="DK389" s="306">
        <f t="shared" si="437"/>
        <v>6.2843408309969666</v>
      </c>
      <c r="DL389" s="306">
        <f>'[3]побудинковий звіт'!DO389</f>
        <v>5.6363329424725261</v>
      </c>
      <c r="DM389" s="28">
        <f t="shared" si="438"/>
        <v>17240.460635757077</v>
      </c>
      <c r="DN389" s="28">
        <f t="shared" si="439"/>
        <v>0</v>
      </c>
      <c r="DO389" s="423">
        <f t="shared" si="381"/>
        <v>17240.460635757077</v>
      </c>
      <c r="DP389" s="94">
        <f t="shared" si="382"/>
        <v>0</v>
      </c>
      <c r="DQ389" s="28">
        <f t="shared" si="383"/>
        <v>17240.460635757077</v>
      </c>
      <c r="DR389" s="318"/>
      <c r="DT389" s="8"/>
      <c r="DU389" s="5"/>
      <c r="DX389" s="5">
        <f t="shared" si="384"/>
        <v>60888.539711961923</v>
      </c>
      <c r="DY389" s="5">
        <f t="shared" si="385"/>
        <v>33235.781806757899</v>
      </c>
      <c r="DZ389" s="159">
        <f>'[3]побудинковий звіт'!EA389</f>
        <v>5633.1009975854986</v>
      </c>
    </row>
    <row r="390" spans="1:130" x14ac:dyDescent="0.3">
      <c r="A390" s="325">
        <v>150000916</v>
      </c>
      <c r="B390" s="41" t="s">
        <v>836</v>
      </c>
      <c r="C390" s="42" t="s">
        <v>324</v>
      </c>
      <c r="D390" s="27"/>
      <c r="E390" s="293">
        <f t="shared" si="412"/>
        <v>5790.5899999999992</v>
      </c>
      <c r="F390" s="305">
        <f>'[3]побудинковий звіт'!F390</f>
        <v>5601.9</v>
      </c>
      <c r="G390" s="508">
        <f>'[3]побудинковий звіт'!G390</f>
        <v>0</v>
      </c>
      <c r="H390" s="560">
        <f>'[3]побудинковий звіт'!H390</f>
        <v>188.69</v>
      </c>
      <c r="I390" s="566">
        <f>VLOOKUP($A390,'01-02.2021'!$A$6:$CZ$403,9,FALSE)+VLOOKUP($A390,'1.3.21-28.2.22'!$A$6:$DA$404,9,FALSE)-VLOOKUP($A390,'01-02.2022'!$A$6:$DA$376,9,FALSE)</f>
        <v>19576.91502238905</v>
      </c>
      <c r="J390" s="566">
        <f>VLOOKUP($A390,'01-02.2021'!$A$6:$CZ$403,10,FALSE)+VLOOKUP($A390,'1.3.21-28.2.22'!$A$6:$DA$404,10,FALSE)-VLOOKUP($A390,'01-02.2022'!$A$6:$DA$376,10,FALSE)</f>
        <v>19110.994103916993</v>
      </c>
      <c r="K390" s="52">
        <f t="shared" si="417"/>
        <v>-465.92091847205666</v>
      </c>
      <c r="L390" s="566">
        <f>VLOOKUP($A390,'01-02.2021'!$A$6:$CZ$403,12,FALSE)+VLOOKUP($A390,'1.3.21-28.2.22'!$A$6:$DA$404,12,FALSE)-VLOOKUP($A390,'01-02.2022'!$A$6:$DA$376,12,FALSE)</f>
        <v>3904.1526339752454</v>
      </c>
      <c r="M390" s="566">
        <f>VLOOKUP($A390,'01-02.2021'!$A$6:$CZ$403,13,FALSE)+VLOOKUP($A390,'1.3.21-28.2.22'!$A$6:$DA$404,13,FALSE)-VLOOKUP($A390,'01-02.2022'!$A$6:$DA$376,13,FALSE)</f>
        <v>3898.2104019862936</v>
      </c>
      <c r="N390" s="52">
        <f t="shared" si="418"/>
        <v>-5.9422319889517894</v>
      </c>
      <c r="O390" s="566">
        <f>VLOOKUP($A390,'01-02.2021'!$A$6:$CZ$403,15,FALSE)+VLOOKUP($A390,'1.3.21-28.2.22'!$A$6:$DA$404,15,FALSE)-VLOOKUP($A390,'01-02.2022'!$A$6:$DA$376,15,FALSE)</f>
        <v>7944.5192579636632</v>
      </c>
      <c r="P390" s="566">
        <f>VLOOKUP($A390,'01-02.2021'!$A$6:$CZ$403,16,FALSE)+VLOOKUP($A390,'1.3.21-28.2.22'!$A$6:$DA$404,16,FALSE)-VLOOKUP($A390,'01-02.2022'!$A$6:$DA$376,16,FALSE)</f>
        <v>7945.9899999999989</v>
      </c>
      <c r="Q390" s="70">
        <f t="shared" si="386"/>
        <v>1.4707420363356505</v>
      </c>
      <c r="R390" s="566">
        <f>VLOOKUP($A390,'01-02.2021'!$A$6:$CZ$403,18,FALSE)+VLOOKUP($A390,'1.3.21-28.2.22'!$A$6:$DA$404,18,FALSE)-VLOOKUP($A390,'01-02.2022'!$A$6:$DA$376,18,FALSE)</f>
        <v>0</v>
      </c>
      <c r="S390" s="566">
        <f>VLOOKUP($A390,'01-02.2021'!$A$6:$CZ$403,19,FALSE)+VLOOKUP($A390,'1.3.21-28.2.22'!$A$6:$DA$404,19,FALSE)-VLOOKUP($A390,'01-02.2022'!$A$6:$DA$376,19,FALSE)</f>
        <v>0</v>
      </c>
      <c r="T390" s="70">
        <f t="shared" si="387"/>
        <v>0</v>
      </c>
      <c r="U390" s="566">
        <f>VLOOKUP($A390,'01-02.2021'!$A$6:$CZ$403,21,FALSE)+VLOOKUP($A390,'1.3.21-28.2.22'!$A$6:$DA$404,21,FALSE)-VLOOKUP($A390,'01-02.2022'!$A$6:$DA$376,21,FALSE)</f>
        <v>1724.4098101121328</v>
      </c>
      <c r="V390" s="566">
        <f>VLOOKUP($A390,'01-02.2021'!$A$6:$CZ$403,22,FALSE)+VLOOKUP($A390,'1.3.21-28.2.22'!$A$6:$DA$404,22,FALSE)-VLOOKUP($A390,'01-02.2022'!$A$6:$DA$376,22,FALSE)</f>
        <v>1465.5432276544427</v>
      </c>
      <c r="W390" s="70">
        <f t="shared" si="388"/>
        <v>-258.86658245769013</v>
      </c>
      <c r="X390" s="566">
        <f>VLOOKUP($A390,'01-02.2021'!$A$6:$CZ$403,24,FALSE)+VLOOKUP($A390,'1.3.21-28.2.22'!$A$6:$DA$404,24,FALSE)-VLOOKUP($A390,'01-02.2022'!$A$6:$DA$376,24,FALSE)</f>
        <v>16860.153086596249</v>
      </c>
      <c r="Y390" s="566">
        <f>VLOOKUP($A390,'01-02.2021'!$A$6:$CZ$403,25,FALSE)+VLOOKUP($A390,'1.3.21-28.2.22'!$A$6:$DA$404,25,FALSE)-VLOOKUP($A390,'01-02.2022'!$A$6:$DA$376,25,FALSE)</f>
        <v>15122.171512852852</v>
      </c>
      <c r="Z390" s="70">
        <f t="shared" si="389"/>
        <v>-1737.9815737433964</v>
      </c>
      <c r="AA390" s="566">
        <f>VLOOKUP($A390,'01-02.2021'!$A$6:$CZ$403,27,FALSE)+VLOOKUP($A390,'1.3.21-28.2.22'!$A$6:$DA$404,27,FALSE)-VLOOKUP($A390,'01-02.2022'!$A$6:$DA$376,27,FALSE)</f>
        <v>1170.54</v>
      </c>
      <c r="AB390" s="566">
        <f>VLOOKUP($A390,'01-02.2021'!$A$6:$CZ$403,28,FALSE)+VLOOKUP($A390,'1.3.21-28.2.22'!$A$6:$DA$404,28,FALSE)-VLOOKUP($A390,'01-02.2022'!$A$6:$DA$376,28,FALSE)</f>
        <v>0</v>
      </c>
      <c r="AC390" s="70">
        <f t="shared" si="390"/>
        <v>-1170.54</v>
      </c>
      <c r="AD390" s="566">
        <f>VLOOKUP($A390,'01-02.2021'!$A$6:$CZ$403,30,FALSE)+VLOOKUP($A390,'1.3.21-28.2.22'!$A$6:$DA$404,30,FALSE)-VLOOKUP($A390,'01-02.2022'!$A$6:$DA$376,30,FALSE)</f>
        <v>24959.201120279649</v>
      </c>
      <c r="AE390" s="566">
        <f>VLOOKUP($A390,'01-02.2021'!$A$6:$CZ$403,31,FALSE)+VLOOKUP($A390,'1.3.21-28.2.22'!$A$6:$DA$404,31,FALSE)-VLOOKUP($A390,'01-02.2022'!$A$6:$DA$376,31,FALSE)</f>
        <v>26358.788309397951</v>
      </c>
      <c r="AF390" s="68">
        <f t="shared" si="391"/>
        <v>1399.5871891183015</v>
      </c>
      <c r="AG390" s="77">
        <f t="shared" si="413"/>
        <v>76139.890931315982</v>
      </c>
      <c r="AH390" s="53">
        <f t="shared" si="413"/>
        <v>73901.697555808525</v>
      </c>
      <c r="AI390" s="52">
        <f t="shared" si="419"/>
        <v>-2238.1933755074569</v>
      </c>
      <c r="AJ390" s="566">
        <f>VLOOKUP($A390,'01-02.2021'!$A$6:$CZ$403,36,FALSE)+VLOOKUP($A390,'1.3.21-28.2.22'!$A$6:$DA$404,36,FALSE)-VLOOKUP($A390,'01-02.2022'!$A$6:$DA$376,36,FALSE)</f>
        <v>0</v>
      </c>
      <c r="AK390" s="566">
        <f>VLOOKUP($A390,'01-02.2021'!$A$6:$CZ$403,37,FALSE)+VLOOKUP($A390,'1.3.21-28.2.22'!$A$6:$DA$404,37,FALSE)-VLOOKUP($A390,'01-02.2022'!$A$6:$DA$376,37,FALSE)</f>
        <v>0</v>
      </c>
      <c r="AL390" s="70">
        <f t="shared" si="392"/>
        <v>0</v>
      </c>
      <c r="AM390" s="566">
        <f>VLOOKUP($A390,'01-02.2021'!$A$6:$CZ$403,39,FALSE)+VLOOKUP($A390,'1.3.21-28.2.22'!$A$6:$DA$404,39,FALSE)-VLOOKUP($A390,'01-02.2022'!$A$6:$DA$376,39,FALSE)</f>
        <v>0</v>
      </c>
      <c r="AN390" s="566">
        <f>VLOOKUP($A390,'01-02.2021'!$A$6:$CZ$403,40,FALSE)+VLOOKUP($A390,'1.3.21-28.2.22'!$A$6:$DA$404,40,FALSE)-VLOOKUP($A390,'01-02.2022'!$A$6:$DA$376,40,FALSE)</f>
        <v>0</v>
      </c>
      <c r="AO390" s="70">
        <f t="shared" si="393"/>
        <v>0</v>
      </c>
      <c r="AP390" s="566">
        <f>VLOOKUP($A390,'01-02.2021'!$A$6:$CZ$403,42,FALSE)+VLOOKUP($A390,'1.3.21-28.2.22'!$A$6:$DA$404,42,FALSE)-VLOOKUP($A390,'01-02.2022'!$A$6:$DA$376,42,FALSE)</f>
        <v>8979.6587064704108</v>
      </c>
      <c r="AQ390" s="566">
        <f>VLOOKUP($A390,'01-02.2021'!$A$6:$CZ$403,43,FALSE)+VLOOKUP($A390,'1.3.21-28.2.22'!$A$6:$DA$404,43,FALSE)-VLOOKUP($A390,'01-02.2022'!$A$6:$DA$376,43,FALSE)</f>
        <v>7715.0497795944393</v>
      </c>
      <c r="AR390" s="70">
        <f t="shared" si="394"/>
        <v>-1264.6089268759715</v>
      </c>
      <c r="AS390" s="566">
        <f>VLOOKUP($A390,'01-02.2021'!$A$6:$CZ$403,45,FALSE)+VLOOKUP($A390,'1.3.21-28.2.22'!$A$6:$DA$404,45,FALSE)-VLOOKUP($A390,'01-02.2022'!$A$6:$DA$376,45,FALSE)</f>
        <v>86040.618414322133</v>
      </c>
      <c r="AT390" s="566">
        <f>VLOOKUP($A390,'01-02.2021'!$A$6:$CZ$403,46,FALSE)+VLOOKUP($A390,'1.3.21-28.2.22'!$A$6:$DA$404,46,FALSE)-VLOOKUP($A390,'01-02.2022'!$A$6:$DA$376,46,FALSE)</f>
        <v>39134.092643147007</v>
      </c>
      <c r="AU390" s="78">
        <f t="shared" si="395"/>
        <v>-46906.525771175126</v>
      </c>
      <c r="AV390" s="566">
        <f>VLOOKUP($A390,'01-02.2021'!$A$6:$CZ$403,48,FALSE)+VLOOKUP($A390,'1.3.21-28.2.22'!$A$6:$DA$404,48,FALSE)-VLOOKUP($A390,'01-02.2022'!$A$6:$DA$376,48,FALSE)</f>
        <v>5478.7962848294492</v>
      </c>
      <c r="AW390" s="566">
        <f>VLOOKUP($A390,'01-02.2021'!$A$6:$CZ$403,49,FALSE)+VLOOKUP($A390,'1.3.21-28.2.22'!$A$6:$DA$404,49,FALSE)-VLOOKUP($A390,'01-02.2022'!$A$6:$DA$376,49,FALSE)</f>
        <v>1785.05</v>
      </c>
      <c r="AX390" s="55">
        <f t="shared" si="396"/>
        <v>-3693.746284829449</v>
      </c>
      <c r="AY390" s="566">
        <f>VLOOKUP($A390,'01-02.2021'!$A$6:$CZ$403,51,FALSE)+VLOOKUP($A390,'1.3.21-28.2.22'!$A$6:$DA$404,51,FALSE)-VLOOKUP($A390,'01-02.2022'!$A$6:$DA$376,51,FALSE)</f>
        <v>7338.9919023046414</v>
      </c>
      <c r="AZ390" s="566">
        <f>VLOOKUP($A390,'01-02.2021'!$A$6:$CZ$403,52,FALSE)+VLOOKUP($A390,'1.3.21-28.2.22'!$A$6:$DA$404,52,FALSE)-VLOOKUP($A390,'01-02.2022'!$A$6:$DA$376,52,FALSE)</f>
        <v>2114.0300000000002</v>
      </c>
      <c r="BA390" s="38">
        <f t="shared" si="397"/>
        <v>-5224.9619023046416</v>
      </c>
      <c r="BB390" s="566">
        <f>VLOOKUP($A390,'01-02.2021'!$A$6:$CZ$403,54,FALSE)+VLOOKUP($A390,'1.3.21-28.2.22'!$A$6:$DA$404,54,FALSE)-VLOOKUP($A390,'01-02.2022'!$A$6:$DA$376,54,FALSE)</f>
        <v>2814.3264235380948</v>
      </c>
      <c r="BC390" s="566">
        <f>VLOOKUP($A390,'01-02.2021'!$A$6:$CZ$403,55,FALSE)+VLOOKUP($A390,'1.3.21-28.2.22'!$A$6:$DA$404,55,FALSE)-VLOOKUP($A390,'01-02.2022'!$A$6:$DA$376,55,FALSE)</f>
        <v>7432</v>
      </c>
      <c r="BD390" s="55">
        <f t="shared" si="398"/>
        <v>4617.6735764619052</v>
      </c>
      <c r="BE390" s="566">
        <f>VLOOKUP($A390,'01-02.2021'!$A$6:$CZ$403,57,FALSE)+VLOOKUP($A390,'1.3.21-28.2.22'!$A$6:$DA$404,57,FALSE)-VLOOKUP($A390,'01-02.2022'!$A$6:$DA$376,57,FALSE)</f>
        <v>0</v>
      </c>
      <c r="BF390" s="566">
        <f>VLOOKUP($A390,'01-02.2021'!$A$6:$CZ$403,58,FALSE)+VLOOKUP($A390,'1.3.21-28.2.22'!$A$6:$DA$404,58,FALSE)-VLOOKUP($A390,'01-02.2022'!$A$6:$DA$376,58,FALSE)</f>
        <v>0</v>
      </c>
      <c r="BG390" s="55">
        <f t="shared" si="399"/>
        <v>0</v>
      </c>
      <c r="BH390" s="566">
        <f>VLOOKUP($A390,'01-02.2021'!$A$6:$CZ$403,60,FALSE)+VLOOKUP($A390,'1.3.21-28.2.22'!$A$6:$DA$404,60,FALSE)-VLOOKUP($A390,'01-02.2022'!$A$6:$DA$376,60,FALSE)</f>
        <v>3869.2065280804436</v>
      </c>
      <c r="BI390" s="566">
        <f>VLOOKUP($A390,'01-02.2021'!$A$6:$CZ$403,61,FALSE)+VLOOKUP($A390,'1.3.21-28.2.22'!$A$6:$DA$404,61,FALSE)-VLOOKUP($A390,'01-02.2022'!$A$6:$DA$376,61,FALSE)</f>
        <v>0</v>
      </c>
      <c r="BJ390" s="55">
        <f t="shared" si="400"/>
        <v>-3869.2065280804436</v>
      </c>
      <c r="BK390" s="566">
        <f>VLOOKUP($A390,'01-02.2021'!$A$6:$CZ$403,63,FALSE)+VLOOKUP($A390,'1.3.21-28.2.22'!$A$6:$DA$404,63,FALSE)-VLOOKUP($A390,'01-02.2022'!$A$6:$DA$376,63,FALSE)</f>
        <v>6272.0247945478668</v>
      </c>
      <c r="BL390" s="566">
        <f>VLOOKUP($A390,'01-02.2021'!$A$6:$CZ$403,64,FALSE)+VLOOKUP($A390,'1.3.21-28.2.22'!$A$6:$DA$404,64,FALSE)-VLOOKUP($A390,'01-02.2022'!$A$6:$DA$376,64,FALSE)</f>
        <v>0</v>
      </c>
      <c r="BM390" s="55">
        <f t="shared" si="401"/>
        <v>-6272.0247945478668</v>
      </c>
      <c r="BN390" s="566">
        <f>VLOOKUP($A390,'01-02.2021'!$A$6:$CZ$403,66,FALSE)+VLOOKUP($A390,'1.3.21-28.2.22'!$A$6:$DA$404,66,FALSE)-VLOOKUP($A390,'01-02.2022'!$A$6:$DA$376,66,FALSE)</f>
        <v>292.63499999999999</v>
      </c>
      <c r="BO390" s="566">
        <f>VLOOKUP($A390,'01-02.2021'!$A$6:$CZ$403,67,FALSE)+VLOOKUP($A390,'1.3.21-28.2.22'!$A$6:$DA$404,67,FALSE)-VLOOKUP($A390,'01-02.2022'!$A$6:$DA$376,67,FALSE)</f>
        <v>0</v>
      </c>
      <c r="BP390" s="55">
        <f t="shared" si="402"/>
        <v>-292.63499999999999</v>
      </c>
      <c r="BQ390" s="77">
        <f t="shared" si="409"/>
        <v>26065.980933300496</v>
      </c>
      <c r="BR390" s="40">
        <f t="shared" si="434"/>
        <v>11331.08</v>
      </c>
      <c r="BS390" s="55">
        <f t="shared" si="428"/>
        <v>-14734.900933300496</v>
      </c>
      <c r="BT390" s="566">
        <f>VLOOKUP($A390,'01-02.2021'!$A$6:$CZ$403,72,FALSE)+VLOOKUP($A390,'1.3.21-28.2.22'!$A$6:$DA$404,72,FALSE)-VLOOKUP($A390,'01-02.2022'!$A$6:$DA$376,72,FALSE)</f>
        <v>44205.899047632542</v>
      </c>
      <c r="BU390" s="566">
        <f>VLOOKUP($A390,'01-02.2021'!$A$6:$CZ$403,73,FALSE)+VLOOKUP($A390,'1.3.21-28.2.22'!$A$6:$DA$404,73,FALSE)-VLOOKUP($A390,'01-02.2022'!$A$6:$DA$376,73,FALSE)</f>
        <v>56311.584551367006</v>
      </c>
      <c r="BV390" s="70">
        <f t="shared" si="403"/>
        <v>12105.685503734465</v>
      </c>
      <c r="BW390" s="566">
        <f>VLOOKUP($A390,'01-02.2021'!$A$6:$CZ$403,75,FALSE)+VLOOKUP($A390,'1.3.21-28.2.22'!$A$6:$DA$404,75,FALSE)-VLOOKUP($A390,'01-02.2022'!$A$6:$DA$376,75,FALSE)</f>
        <v>31286.233051238476</v>
      </c>
      <c r="BX390" s="566">
        <f>VLOOKUP($A390,'01-02.2021'!$A$6:$CZ$403,76,FALSE)+VLOOKUP($A390,'1.3.21-28.2.22'!$A$6:$DA$404,76,FALSE)-VLOOKUP($A390,'01-02.2022'!$A$6:$DA$376,76,FALSE)</f>
        <v>33283.408341642324</v>
      </c>
      <c r="BY390" s="70">
        <f t="shared" si="404"/>
        <v>1997.1752904038476</v>
      </c>
      <c r="BZ390" s="566">
        <f>VLOOKUP($A390,'01-02.2021'!$A$6:$CZ$403,78,FALSE)+VLOOKUP($A390,'1.3.21-28.2.22'!$A$6:$DA$404,78,FALSE)-VLOOKUP($A390,'01-02.2022'!$A$6:$DA$376,78,FALSE)</f>
        <v>9410.3743257166734</v>
      </c>
      <c r="CA390" s="566">
        <f>VLOOKUP($A390,'01-02.2021'!$A$6:$CZ$403,79,FALSE)+VLOOKUP($A390,'1.3.21-28.2.22'!$A$6:$DA$404,79,FALSE)-VLOOKUP($A390,'01-02.2022'!$A$6:$DA$376,79,FALSE)</f>
        <v>9577.5690115550096</v>
      </c>
      <c r="CB390" s="70">
        <f t="shared" si="405"/>
        <v>167.19468583833623</v>
      </c>
      <c r="CC390" s="566">
        <f>VLOOKUP($A390,'01-02.2021'!$A$6:$CZ$403,81,FALSE)+VLOOKUP($A390,'1.3.21-28.2.22'!$A$6:$DA$404,81,FALSE)-VLOOKUP($A390,'01-02.2022'!$A$6:$DA$376,81,FALSE)</f>
        <v>2113.8963128247779</v>
      </c>
      <c r="CD390" s="566">
        <f>VLOOKUP($A390,'01-02.2021'!$A$6:$CZ$403,82,FALSE)+VLOOKUP($A390,'1.3.21-28.2.22'!$A$6:$DA$404,82,FALSE)-VLOOKUP($A390,'01-02.2022'!$A$6:$DA$376,82,FALSE)</f>
        <v>2310.4739139732151</v>
      </c>
      <c r="CE390" s="70">
        <f t="shared" si="406"/>
        <v>196.57760114843722</v>
      </c>
      <c r="CF390" s="566">
        <f>VLOOKUP($A390,'01-02.2021'!$A$6:$CZ$403,84,FALSE)+VLOOKUP($A390,'1.3.21-28.2.22'!$A$6:$DA$404,84,FALSE)-VLOOKUP($A390,'01-02.2022'!$A$6:$DA$376,84,FALSE)</f>
        <v>256.98764110999866</v>
      </c>
      <c r="CG390" s="566">
        <f>VLOOKUP($A390,'01-02.2021'!$A$6:$CZ$403,85,FALSE)+VLOOKUP($A390,'1.3.21-28.2.22'!$A$6:$DA$404,85,FALSE)-VLOOKUP($A390,'01-02.2022'!$A$6:$DA$376,85,FALSE)</f>
        <v>1129.9153146014414</v>
      </c>
      <c r="CH390" s="70">
        <f t="shared" si="407"/>
        <v>872.92767349144276</v>
      </c>
      <c r="CI390" s="566">
        <f>VLOOKUP($A390,'01-02.2021'!$A$6:$CZ$403,87,FALSE)+VLOOKUP($A390,'1.3.21-28.2.22'!$A$6:$DA$404,87,FALSE)-VLOOKUP($A390,'01-02.2022'!$A$6:$DA$376,87,FALSE)</f>
        <v>3542.9287717611232</v>
      </c>
      <c r="CJ390" s="566">
        <f>VLOOKUP($A390,'01-02.2021'!$A$6:$CZ$403,88,FALSE)+VLOOKUP($A390,'1.3.21-28.2.22'!$A$6:$DA$404,88,FALSE)-VLOOKUP($A390,'01-02.2022'!$A$6:$DA$376,88,FALSE)</f>
        <v>8450.2871758519668</v>
      </c>
      <c r="CK390" s="70">
        <f t="shared" si="408"/>
        <v>4907.3584040908436</v>
      </c>
      <c r="CL390" s="566">
        <f>VLOOKUP($A390,'01-02.2021'!$A$6:$CZ$403,90,FALSE)+VLOOKUP($A390,'1.3.21-28.2.22'!$A$6:$DA$404,90,FALSE)-VLOOKUP($A390,'01-02.2022'!$A$6:$DA$376,90,FALSE)</f>
        <v>0</v>
      </c>
      <c r="CM390" s="566">
        <f>VLOOKUP($A390,'01-02.2021'!$A$6:$CZ$403,91,FALSE)+VLOOKUP($A390,'1.3.21-28.2.22'!$A$6:$DA$404,91,FALSE)-VLOOKUP($A390,'01-02.2022'!$A$6:$DA$376,91,FALSE)</f>
        <v>0</v>
      </c>
      <c r="CN390" s="52">
        <f t="shared" si="420"/>
        <v>0</v>
      </c>
      <c r="CO390" s="39">
        <f t="shared" si="414"/>
        <v>3542.9287717611232</v>
      </c>
      <c r="CP390" s="40">
        <f t="shared" si="421"/>
        <v>8450.2871758519668</v>
      </c>
      <c r="CQ390" s="52">
        <f t="shared" si="422"/>
        <v>4907.3584040908436</v>
      </c>
      <c r="CR390" s="72">
        <f t="shared" si="415"/>
        <v>288042.46813569264</v>
      </c>
      <c r="CS390" s="5">
        <f t="shared" si="415"/>
        <v>243145.15828754095</v>
      </c>
      <c r="CT390" s="52">
        <f t="shared" si="423"/>
        <v>-44897.309848151694</v>
      </c>
      <c r="CU390" s="77">
        <f t="shared" si="424"/>
        <v>345650.96176283114</v>
      </c>
      <c r="CV390" s="65">
        <f t="shared" si="425"/>
        <v>291774.18994504912</v>
      </c>
      <c r="CW390" s="35">
        <f t="shared" si="426"/>
        <v>-53876.771817782021</v>
      </c>
      <c r="CX390" s="566">
        <f>VLOOKUP($A390,'01-02.2021'!$A$6:$CZ$403,102,FALSE)+VLOOKUP($A390,'1.3.21-28.2.22'!$A$6:$DA$404,102,FALSE)-VLOOKUP($A390,'01-02.2022'!$A$6:$DA$376,102,FALSE)</f>
        <v>16971.561796689693</v>
      </c>
      <c r="CY390" s="566">
        <f>VLOOKUP($A390,'01-02.2021'!$A$6:$CZ$403,103,FALSE)+VLOOKUP($A390,'1.3.21-28.2.22'!$A$6:$DA$404,103,FALSE)-VLOOKUP($A390,'01-02.2022'!$A$6:$DA$376,103,FALSE)</f>
        <v>70848.333614471703</v>
      </c>
      <c r="CZ390" s="52">
        <f t="shared" si="427"/>
        <v>53876.771817782006</v>
      </c>
      <c r="DA390" s="150">
        <f>'[2]побудинковий звіт'!DA390</f>
        <v>-60142.92910513105</v>
      </c>
      <c r="DB390" s="2">
        <v>3</v>
      </c>
      <c r="DC390" s="414">
        <f>'[4]побудинковий звіт'!DC390</f>
        <v>70811.88</v>
      </c>
      <c r="DD390" s="414">
        <f>'[4]побудинковий звіт'!DD390</f>
        <v>1003.49</v>
      </c>
      <c r="DE390" s="557">
        <f>'[4]побудинковий звіт'!DE390</f>
        <v>39493.418738236665</v>
      </c>
      <c r="DF390" s="557">
        <f>'[4]побудинковий звіт'!DF390</f>
        <v>76.760529649612181</v>
      </c>
      <c r="DG390" s="321">
        <f>VLOOKUP(A390,'кошти 01.03.2021'!$A$6:$D$401,4,)</f>
        <v>-2701.8264079962901</v>
      </c>
      <c r="DH390" s="40">
        <f>'[3]побудинковий звіт'!DJ390</f>
        <v>372151.83199889801</v>
      </c>
      <c r="DI390" s="422">
        <f>'[3]побудинковий звіт'!CU390+'[3]побудинковий звіт'!CX390</f>
        <v>32245.190732113726</v>
      </c>
      <c r="DJ390" s="306">
        <f>'[3]побудинковий звіт'!DM390</f>
        <v>5.5906855284391614</v>
      </c>
      <c r="DK390" s="306">
        <f t="shared" si="437"/>
        <v>5.5906855284391614</v>
      </c>
      <c r="DL390" s="306">
        <f>'[3]побудинковий звіт'!DO390</f>
        <v>4.9113862438411564</v>
      </c>
      <c r="DM390" s="28">
        <f t="shared" si="438"/>
        <v>31318.461261763336</v>
      </c>
      <c r="DN390" s="28">
        <f t="shared" si="439"/>
        <v>926.72947035038783</v>
      </c>
      <c r="DO390" s="423">
        <f t="shared" si="381"/>
        <v>32245.190732113722</v>
      </c>
      <c r="DP390" s="94">
        <f t="shared" si="382"/>
        <v>0</v>
      </c>
      <c r="DQ390" s="28">
        <f t="shared" si="383"/>
        <v>32245.190732113722</v>
      </c>
      <c r="DR390" s="318"/>
      <c r="DT390" s="8"/>
      <c r="DU390" s="5"/>
      <c r="DX390" s="5">
        <f t="shared" si="384"/>
        <v>134527.91921714714</v>
      </c>
      <c r="DY390" s="5">
        <f t="shared" si="385"/>
        <v>60558.207171776405</v>
      </c>
      <c r="DZ390" s="159">
        <f>'[3]побудинковий звіт'!EA390</f>
        <v>11334.048642883639</v>
      </c>
    </row>
    <row r="391" spans="1:130" x14ac:dyDescent="0.3">
      <c r="A391" s="325">
        <v>150000917</v>
      </c>
      <c r="B391" s="41" t="s">
        <v>837</v>
      </c>
      <c r="C391" s="42" t="s">
        <v>325</v>
      </c>
      <c r="D391" s="27"/>
      <c r="E391" s="293">
        <f t="shared" si="412"/>
        <v>4445.5</v>
      </c>
      <c r="F391" s="305">
        <f>'[3]побудинковий звіт'!F391</f>
        <v>4445.5</v>
      </c>
      <c r="G391" s="508">
        <f>'[3]побудинковий звіт'!G391</f>
        <v>0</v>
      </c>
      <c r="H391" s="560">
        <f>'[3]побудинковий звіт'!H391</f>
        <v>0</v>
      </c>
      <c r="I391" s="566">
        <f>VLOOKUP($A391,'01-02.2021'!$A$6:$CZ$403,9,FALSE)+VLOOKUP($A391,'1.3.21-28.2.22'!$A$6:$DA$404,9,FALSE)-VLOOKUP($A391,'01-02.2022'!$A$6:$DA$376,9,FALSE)</f>
        <v>14994.969762581582</v>
      </c>
      <c r="J391" s="566">
        <f>VLOOKUP($A391,'01-02.2021'!$A$6:$CZ$403,10,FALSE)+VLOOKUP($A391,'1.3.21-28.2.22'!$A$6:$DA$404,10,FALSE)-VLOOKUP($A391,'01-02.2022'!$A$6:$DA$376,10,FALSE)</f>
        <v>14637.578590456826</v>
      </c>
      <c r="K391" s="52">
        <f t="shared" si="417"/>
        <v>-357.39117212475685</v>
      </c>
      <c r="L391" s="566">
        <f>VLOOKUP($A391,'01-02.2021'!$A$6:$CZ$403,12,FALSE)+VLOOKUP($A391,'1.3.21-28.2.22'!$A$6:$DA$404,12,FALSE)-VLOOKUP($A391,'01-02.2022'!$A$6:$DA$376,12,FALSE)</f>
        <v>2936.2043864030252</v>
      </c>
      <c r="M391" s="566">
        <f>VLOOKUP($A391,'01-02.2021'!$A$6:$CZ$403,13,FALSE)+VLOOKUP($A391,'1.3.21-28.2.22'!$A$6:$DA$404,13,FALSE)-VLOOKUP($A391,'01-02.2022'!$A$6:$DA$376,13,FALSE)</f>
        <v>2931.72936669105</v>
      </c>
      <c r="N391" s="52">
        <f t="shared" si="418"/>
        <v>-4.4750197119751647</v>
      </c>
      <c r="O391" s="566">
        <f>VLOOKUP($A391,'01-02.2021'!$A$6:$CZ$403,15,FALSE)+VLOOKUP($A391,'1.3.21-28.2.22'!$A$6:$DA$404,15,FALSE)-VLOOKUP($A391,'01-02.2022'!$A$6:$DA$376,15,FALSE)</f>
        <v>5941.5586659109586</v>
      </c>
      <c r="P391" s="566">
        <f>VLOOKUP($A391,'01-02.2021'!$A$6:$CZ$403,16,FALSE)+VLOOKUP($A391,'1.3.21-28.2.22'!$A$6:$DA$404,16,FALSE)-VLOOKUP($A391,'01-02.2022'!$A$6:$DA$376,16,FALSE)</f>
        <v>5940.9249999999993</v>
      </c>
      <c r="Q391" s="70">
        <f t="shared" si="386"/>
        <v>-0.63366591095928015</v>
      </c>
      <c r="R391" s="566">
        <f>VLOOKUP($A391,'01-02.2021'!$A$6:$CZ$403,18,FALSE)+VLOOKUP($A391,'1.3.21-28.2.22'!$A$6:$DA$404,18,FALSE)-VLOOKUP($A391,'01-02.2022'!$A$6:$DA$376,18,FALSE)</f>
        <v>0</v>
      </c>
      <c r="S391" s="566">
        <f>VLOOKUP($A391,'01-02.2021'!$A$6:$CZ$403,19,FALSE)+VLOOKUP($A391,'1.3.21-28.2.22'!$A$6:$DA$404,19,FALSE)-VLOOKUP($A391,'01-02.2022'!$A$6:$DA$376,19,FALSE)</f>
        <v>0</v>
      </c>
      <c r="T391" s="70">
        <f t="shared" si="387"/>
        <v>0</v>
      </c>
      <c r="U391" s="566">
        <f>VLOOKUP($A391,'01-02.2021'!$A$6:$CZ$403,21,FALSE)+VLOOKUP($A391,'1.3.21-28.2.22'!$A$6:$DA$404,21,FALSE)-VLOOKUP($A391,'01-02.2022'!$A$6:$DA$376,21,FALSE)</f>
        <v>1114.1131194327395</v>
      </c>
      <c r="V391" s="566">
        <f>VLOOKUP($A391,'01-02.2021'!$A$6:$CZ$403,22,FALSE)+VLOOKUP($A391,'1.3.21-28.2.22'!$A$6:$DA$404,22,FALSE)-VLOOKUP($A391,'01-02.2022'!$A$6:$DA$376,22,FALSE)</f>
        <v>946.8548966532129</v>
      </c>
      <c r="W391" s="70">
        <f t="shared" si="388"/>
        <v>-167.25822277952659</v>
      </c>
      <c r="X391" s="566">
        <f>VLOOKUP($A391,'01-02.2021'!$A$6:$CZ$403,24,FALSE)+VLOOKUP($A391,'1.3.21-28.2.22'!$A$6:$DA$404,24,FALSE)-VLOOKUP($A391,'01-02.2022'!$A$6:$DA$376,24,FALSE)</f>
        <v>10770.38909069162</v>
      </c>
      <c r="Y391" s="566">
        <f>VLOOKUP($A391,'01-02.2021'!$A$6:$CZ$403,25,FALSE)+VLOOKUP($A391,'1.3.21-28.2.22'!$A$6:$DA$404,25,FALSE)-VLOOKUP($A391,'01-02.2022'!$A$6:$DA$376,25,FALSE)</f>
        <v>9432.5945278514155</v>
      </c>
      <c r="Z391" s="70">
        <f t="shared" si="389"/>
        <v>-1337.7945628402049</v>
      </c>
      <c r="AA391" s="566">
        <f>VLOOKUP($A391,'01-02.2021'!$A$6:$CZ$403,27,FALSE)+VLOOKUP($A391,'1.3.21-28.2.22'!$A$6:$DA$404,27,FALSE)-VLOOKUP($A391,'01-02.2022'!$A$6:$DA$376,27,FALSE)</f>
        <v>889.1400000000001</v>
      </c>
      <c r="AB391" s="566">
        <f>VLOOKUP($A391,'01-02.2021'!$A$6:$CZ$403,28,FALSE)+VLOOKUP($A391,'1.3.21-28.2.22'!$A$6:$DA$404,28,FALSE)-VLOOKUP($A391,'01-02.2022'!$A$6:$DA$376,28,FALSE)</f>
        <v>0</v>
      </c>
      <c r="AC391" s="70">
        <f t="shared" si="390"/>
        <v>-889.1400000000001</v>
      </c>
      <c r="AD391" s="566">
        <f>VLOOKUP($A391,'01-02.2021'!$A$6:$CZ$403,30,FALSE)+VLOOKUP($A391,'1.3.21-28.2.22'!$A$6:$DA$404,30,FALSE)-VLOOKUP($A391,'01-02.2022'!$A$6:$DA$376,30,FALSE)</f>
        <v>19095.055042110653</v>
      </c>
      <c r="AE391" s="566">
        <f>VLOOKUP($A391,'01-02.2021'!$A$6:$CZ$403,31,FALSE)+VLOOKUP($A391,'1.3.21-28.2.22'!$A$6:$DA$404,31,FALSE)-VLOOKUP($A391,'01-02.2022'!$A$6:$DA$376,31,FALSE)</f>
        <v>20236.095119198959</v>
      </c>
      <c r="AF391" s="68">
        <f t="shared" si="391"/>
        <v>1141.0400770883061</v>
      </c>
      <c r="AG391" s="77">
        <f t="shared" si="413"/>
        <v>55741.430067130575</v>
      </c>
      <c r="AH391" s="53">
        <f t="shared" si="413"/>
        <v>54125.777500851458</v>
      </c>
      <c r="AI391" s="52">
        <f t="shared" si="419"/>
        <v>-1615.6525662791173</v>
      </c>
      <c r="AJ391" s="566">
        <f>VLOOKUP($A391,'01-02.2021'!$A$6:$CZ$403,36,FALSE)+VLOOKUP($A391,'1.3.21-28.2.22'!$A$6:$DA$404,36,FALSE)-VLOOKUP($A391,'01-02.2022'!$A$6:$DA$376,36,FALSE)</f>
        <v>0</v>
      </c>
      <c r="AK391" s="566">
        <f>VLOOKUP($A391,'01-02.2021'!$A$6:$CZ$403,37,FALSE)+VLOOKUP($A391,'1.3.21-28.2.22'!$A$6:$DA$404,37,FALSE)-VLOOKUP($A391,'01-02.2022'!$A$6:$DA$376,37,FALSE)</f>
        <v>0</v>
      </c>
      <c r="AL391" s="70">
        <f t="shared" si="392"/>
        <v>0</v>
      </c>
      <c r="AM391" s="566">
        <f>VLOOKUP($A391,'01-02.2021'!$A$6:$CZ$403,39,FALSE)+VLOOKUP($A391,'1.3.21-28.2.22'!$A$6:$DA$404,39,FALSE)-VLOOKUP($A391,'01-02.2022'!$A$6:$DA$376,39,FALSE)</f>
        <v>0</v>
      </c>
      <c r="AN391" s="566">
        <f>VLOOKUP($A391,'01-02.2021'!$A$6:$CZ$403,40,FALSE)+VLOOKUP($A391,'1.3.21-28.2.22'!$A$6:$DA$404,40,FALSE)-VLOOKUP($A391,'01-02.2022'!$A$6:$DA$376,40,FALSE)</f>
        <v>0</v>
      </c>
      <c r="AO391" s="70">
        <f t="shared" si="393"/>
        <v>0</v>
      </c>
      <c r="AP391" s="566">
        <f>VLOOKUP($A391,'01-02.2021'!$A$6:$CZ$403,42,FALSE)+VLOOKUP($A391,'1.3.21-28.2.22'!$A$6:$DA$404,42,FALSE)-VLOOKUP($A391,'01-02.2022'!$A$6:$DA$376,42,FALSE)</f>
        <v>7027.5589876724962</v>
      </c>
      <c r="AQ391" s="566">
        <f>VLOOKUP($A391,'01-02.2021'!$A$6:$CZ$403,43,FALSE)+VLOOKUP($A391,'1.3.21-28.2.22'!$A$6:$DA$404,43,FALSE)-VLOOKUP($A391,'01-02.2022'!$A$6:$DA$376,43,FALSE)</f>
        <v>6037.251805732576</v>
      </c>
      <c r="AR391" s="70">
        <f t="shared" si="394"/>
        <v>-990.30718193992016</v>
      </c>
      <c r="AS391" s="566">
        <f>VLOOKUP($A391,'01-02.2021'!$A$6:$CZ$403,45,FALSE)+VLOOKUP($A391,'1.3.21-28.2.22'!$A$6:$DA$404,45,FALSE)-VLOOKUP($A391,'01-02.2022'!$A$6:$DA$376,45,FALSE)</f>
        <v>60813.608729000523</v>
      </c>
      <c r="AT391" s="566">
        <f>VLOOKUP($A391,'01-02.2021'!$A$6:$CZ$403,46,FALSE)+VLOOKUP($A391,'1.3.21-28.2.22'!$A$6:$DA$404,46,FALSE)-VLOOKUP($A391,'01-02.2022'!$A$6:$DA$376,46,FALSE)</f>
        <v>36258.94</v>
      </c>
      <c r="AU391" s="78">
        <f t="shared" si="395"/>
        <v>-24554.668729000521</v>
      </c>
      <c r="AV391" s="566">
        <f>VLOOKUP($A391,'01-02.2021'!$A$6:$CZ$403,48,FALSE)+VLOOKUP($A391,'1.3.21-28.2.22'!$A$6:$DA$404,48,FALSE)-VLOOKUP($A391,'01-02.2022'!$A$6:$DA$376,48,FALSE)</f>
        <v>4169.8824064458504</v>
      </c>
      <c r="AW391" s="566">
        <f>VLOOKUP($A391,'01-02.2021'!$A$6:$CZ$403,49,FALSE)+VLOOKUP($A391,'1.3.21-28.2.22'!$A$6:$DA$404,49,FALSE)-VLOOKUP($A391,'01-02.2022'!$A$6:$DA$376,49,FALSE)</f>
        <v>3114</v>
      </c>
      <c r="AX391" s="55">
        <f t="shared" si="396"/>
        <v>-1055.8824064458504</v>
      </c>
      <c r="AY391" s="566">
        <f>VLOOKUP($A391,'01-02.2021'!$A$6:$CZ$403,51,FALSE)+VLOOKUP($A391,'1.3.21-28.2.22'!$A$6:$DA$404,51,FALSE)-VLOOKUP($A391,'01-02.2022'!$A$6:$DA$376,51,FALSE)</f>
        <v>5519.4467499629318</v>
      </c>
      <c r="AZ391" s="566">
        <f>VLOOKUP($A391,'01-02.2021'!$A$6:$CZ$403,52,FALSE)+VLOOKUP($A391,'1.3.21-28.2.22'!$A$6:$DA$404,52,FALSE)-VLOOKUP($A391,'01-02.2022'!$A$6:$DA$376,52,FALSE)</f>
        <v>2590</v>
      </c>
      <c r="BA391" s="38">
        <f t="shared" si="397"/>
        <v>-2929.4467499629318</v>
      </c>
      <c r="BB391" s="566">
        <f>VLOOKUP($A391,'01-02.2021'!$A$6:$CZ$403,54,FALSE)+VLOOKUP($A391,'1.3.21-28.2.22'!$A$6:$DA$404,54,FALSE)-VLOOKUP($A391,'01-02.2022'!$A$6:$DA$376,54,FALSE)</f>
        <v>2171.8896770839106</v>
      </c>
      <c r="BC391" s="566">
        <f>VLOOKUP($A391,'01-02.2021'!$A$6:$CZ$403,55,FALSE)+VLOOKUP($A391,'1.3.21-28.2.22'!$A$6:$DA$404,55,FALSE)-VLOOKUP($A391,'01-02.2022'!$A$6:$DA$376,55,FALSE)</f>
        <v>0</v>
      </c>
      <c r="BD391" s="55">
        <f t="shared" si="398"/>
        <v>-2171.8896770839106</v>
      </c>
      <c r="BE391" s="566">
        <f>VLOOKUP($A391,'01-02.2021'!$A$6:$CZ$403,57,FALSE)+VLOOKUP($A391,'1.3.21-28.2.22'!$A$6:$DA$404,57,FALSE)-VLOOKUP($A391,'01-02.2022'!$A$6:$DA$376,57,FALSE)</f>
        <v>0</v>
      </c>
      <c r="BF391" s="566">
        <f>VLOOKUP($A391,'01-02.2021'!$A$6:$CZ$403,58,FALSE)+VLOOKUP($A391,'1.3.21-28.2.22'!$A$6:$DA$404,58,FALSE)-VLOOKUP($A391,'01-02.2022'!$A$6:$DA$376,58,FALSE)</f>
        <v>0</v>
      </c>
      <c r="BG391" s="55">
        <f t="shared" si="399"/>
        <v>0</v>
      </c>
      <c r="BH391" s="566">
        <f>VLOOKUP($A391,'01-02.2021'!$A$6:$CZ$403,60,FALSE)+VLOOKUP($A391,'1.3.21-28.2.22'!$A$6:$DA$404,60,FALSE)-VLOOKUP($A391,'01-02.2022'!$A$6:$DA$376,60,FALSE)</f>
        <v>2499.474500414512</v>
      </c>
      <c r="BI391" s="566">
        <f>VLOOKUP($A391,'01-02.2021'!$A$6:$CZ$403,61,FALSE)+VLOOKUP($A391,'1.3.21-28.2.22'!$A$6:$DA$404,61,FALSE)-VLOOKUP($A391,'01-02.2022'!$A$6:$DA$376,61,FALSE)</f>
        <v>16.5</v>
      </c>
      <c r="BJ391" s="55">
        <f t="shared" si="400"/>
        <v>-2482.974500414512</v>
      </c>
      <c r="BK391" s="566">
        <f>VLOOKUP($A391,'01-02.2021'!$A$6:$CZ$403,63,FALSE)+VLOOKUP($A391,'1.3.21-28.2.22'!$A$6:$DA$404,63,FALSE)-VLOOKUP($A391,'01-02.2022'!$A$6:$DA$376,63,FALSE)</f>
        <v>3863.9177118242865</v>
      </c>
      <c r="BL391" s="566">
        <f>VLOOKUP($A391,'01-02.2021'!$A$6:$CZ$403,64,FALSE)+VLOOKUP($A391,'1.3.21-28.2.22'!$A$6:$DA$404,64,FALSE)-VLOOKUP($A391,'01-02.2022'!$A$6:$DA$376,64,FALSE)</f>
        <v>459</v>
      </c>
      <c r="BM391" s="55">
        <f t="shared" si="401"/>
        <v>-3404.9177118242865</v>
      </c>
      <c r="BN391" s="566">
        <f>VLOOKUP($A391,'01-02.2021'!$A$6:$CZ$403,66,FALSE)+VLOOKUP($A391,'1.3.21-28.2.22'!$A$6:$DA$404,66,FALSE)-VLOOKUP($A391,'01-02.2022'!$A$6:$DA$376,66,FALSE)</f>
        <v>222.28500000000003</v>
      </c>
      <c r="BO391" s="566">
        <f>VLOOKUP($A391,'01-02.2021'!$A$6:$CZ$403,67,FALSE)+VLOOKUP($A391,'1.3.21-28.2.22'!$A$6:$DA$404,67,FALSE)-VLOOKUP($A391,'01-02.2022'!$A$6:$DA$376,67,FALSE)</f>
        <v>5059.13</v>
      </c>
      <c r="BP391" s="55">
        <f t="shared" si="402"/>
        <v>4836.8450000000003</v>
      </c>
      <c r="BQ391" s="77">
        <f t="shared" si="409"/>
        <v>18446.89604573149</v>
      </c>
      <c r="BR391" s="40">
        <f t="shared" si="434"/>
        <v>11238.630000000001</v>
      </c>
      <c r="BS391" s="55">
        <f t="shared" si="428"/>
        <v>-7208.2660457314887</v>
      </c>
      <c r="BT391" s="566">
        <f>VLOOKUP($A391,'01-02.2021'!$A$6:$CZ$403,72,FALSE)+VLOOKUP($A391,'1.3.21-28.2.22'!$A$6:$DA$404,72,FALSE)-VLOOKUP($A391,'01-02.2022'!$A$6:$DA$376,72,FALSE)</f>
        <v>44692.170972056025</v>
      </c>
      <c r="BU391" s="566">
        <f>VLOOKUP($A391,'01-02.2021'!$A$6:$CZ$403,73,FALSE)+VLOOKUP($A391,'1.3.21-28.2.22'!$A$6:$DA$404,73,FALSE)-VLOOKUP($A391,'01-02.2022'!$A$6:$DA$376,73,FALSE)</f>
        <v>51562.679705662871</v>
      </c>
      <c r="BV391" s="70">
        <f t="shared" si="403"/>
        <v>6870.5087336068464</v>
      </c>
      <c r="BW391" s="566">
        <f>VLOOKUP($A391,'01-02.2021'!$A$6:$CZ$403,75,FALSE)+VLOOKUP($A391,'1.3.21-28.2.22'!$A$6:$DA$404,75,FALSE)-VLOOKUP($A391,'01-02.2022'!$A$6:$DA$376,75,FALSE)</f>
        <v>22663.858607575254</v>
      </c>
      <c r="BX391" s="566">
        <f>VLOOKUP($A391,'01-02.2021'!$A$6:$CZ$403,76,FALSE)+VLOOKUP($A391,'1.3.21-28.2.22'!$A$6:$DA$404,76,FALSE)-VLOOKUP($A391,'01-02.2022'!$A$6:$DA$376,76,FALSE)</f>
        <v>23874.28389314995</v>
      </c>
      <c r="BY391" s="70">
        <f t="shared" si="404"/>
        <v>1210.4252855746963</v>
      </c>
      <c r="BZ391" s="566">
        <f>VLOOKUP($A391,'01-02.2021'!$A$6:$CZ$403,78,FALSE)+VLOOKUP($A391,'1.3.21-28.2.22'!$A$6:$DA$404,78,FALSE)-VLOOKUP($A391,'01-02.2022'!$A$6:$DA$376,78,FALSE)</f>
        <v>8670.0941782898226</v>
      </c>
      <c r="CA391" s="566">
        <f>VLOOKUP($A391,'01-02.2021'!$A$6:$CZ$403,79,FALSE)+VLOOKUP($A391,'1.3.21-28.2.22'!$A$6:$DA$404,79,FALSE)-VLOOKUP($A391,'01-02.2022'!$A$6:$DA$376,79,FALSE)</f>
        <v>10227.293702253508</v>
      </c>
      <c r="CB391" s="70">
        <f t="shared" si="405"/>
        <v>1557.1995239636854</v>
      </c>
      <c r="CC391" s="566">
        <f>VLOOKUP($A391,'01-02.2021'!$A$6:$CZ$403,81,FALSE)+VLOOKUP($A391,'1.3.21-28.2.22'!$A$6:$DA$404,81,FALSE)-VLOOKUP($A391,'01-02.2022'!$A$6:$DA$376,81,FALSE)</f>
        <v>2508.3656563550621</v>
      </c>
      <c r="CD391" s="566">
        <f>VLOOKUP($A391,'01-02.2021'!$A$6:$CZ$403,82,FALSE)+VLOOKUP($A391,'1.3.21-28.2.22'!$A$6:$DA$404,82,FALSE)-VLOOKUP($A391,'01-02.2022'!$A$6:$DA$376,82,FALSE)</f>
        <v>2741.6261528788937</v>
      </c>
      <c r="CE391" s="70">
        <f t="shared" si="406"/>
        <v>233.26049652383153</v>
      </c>
      <c r="CF391" s="566">
        <f>VLOOKUP($A391,'01-02.2021'!$A$6:$CZ$403,84,FALSE)+VLOOKUP($A391,'1.3.21-28.2.22'!$A$6:$DA$404,84,FALSE)-VLOOKUP($A391,'01-02.2022'!$A$6:$DA$376,84,FALSE)</f>
        <v>304.94351551549056</v>
      </c>
      <c r="CG391" s="566">
        <f>VLOOKUP($A391,'01-02.2021'!$A$6:$CZ$403,85,FALSE)+VLOOKUP($A391,'1.3.21-28.2.22'!$A$6:$DA$404,85,FALSE)-VLOOKUP($A391,'01-02.2022'!$A$6:$DA$376,85,FALSE)</f>
        <v>0</v>
      </c>
      <c r="CH391" s="70">
        <f t="shared" si="407"/>
        <v>-304.94351551549056</v>
      </c>
      <c r="CI391" s="566">
        <f>VLOOKUP($A391,'01-02.2021'!$A$6:$CZ$403,87,FALSE)+VLOOKUP($A391,'1.3.21-28.2.22'!$A$6:$DA$404,87,FALSE)-VLOOKUP($A391,'01-02.2022'!$A$6:$DA$376,87,FALSE)</f>
        <v>5523.1194767225043</v>
      </c>
      <c r="CJ391" s="566">
        <f>VLOOKUP($A391,'01-02.2021'!$A$6:$CZ$403,88,FALSE)+VLOOKUP($A391,'1.3.21-28.2.22'!$A$6:$DA$404,88,FALSE)-VLOOKUP($A391,'01-02.2022'!$A$6:$DA$376,88,FALSE)</f>
        <v>4353.1668124417502</v>
      </c>
      <c r="CK391" s="70">
        <f t="shared" si="408"/>
        <v>-1169.9526642807541</v>
      </c>
      <c r="CL391" s="566">
        <f>VLOOKUP($A391,'01-02.2021'!$A$6:$CZ$403,90,FALSE)+VLOOKUP($A391,'1.3.21-28.2.22'!$A$6:$DA$404,90,FALSE)-VLOOKUP($A391,'01-02.2022'!$A$6:$DA$376,90,FALSE)</f>
        <v>0</v>
      </c>
      <c r="CM391" s="566">
        <f>VLOOKUP($A391,'01-02.2021'!$A$6:$CZ$403,91,FALSE)+VLOOKUP($A391,'1.3.21-28.2.22'!$A$6:$DA$404,91,FALSE)-VLOOKUP($A391,'01-02.2022'!$A$6:$DA$376,91,FALSE)</f>
        <v>0</v>
      </c>
      <c r="CN391" s="52">
        <f t="shared" si="420"/>
        <v>0</v>
      </c>
      <c r="CO391" s="39">
        <f t="shared" si="414"/>
        <v>5523.1194767225043</v>
      </c>
      <c r="CP391" s="40">
        <f t="shared" si="421"/>
        <v>4353.1668124417502</v>
      </c>
      <c r="CQ391" s="52">
        <f t="shared" si="422"/>
        <v>-1169.9526642807541</v>
      </c>
      <c r="CR391" s="72">
        <f>AG391+AJ391+AM391+AP391+AS391+BQ391+BT391+BW391+BZ391+CC391+CF391+CO391</f>
        <v>226392.04623604924</v>
      </c>
      <c r="CS391" s="5">
        <f t="shared" si="415"/>
        <v>200419.64957297104</v>
      </c>
      <c r="CT391" s="52">
        <f t="shared" si="423"/>
        <v>-25972.396663078194</v>
      </c>
      <c r="CU391" s="77">
        <f t="shared" si="424"/>
        <v>271670.45548325905</v>
      </c>
      <c r="CV391" s="65">
        <f t="shared" si="425"/>
        <v>240503.57948756524</v>
      </c>
      <c r="CW391" s="35">
        <f t="shared" si="426"/>
        <v>-31166.875995693816</v>
      </c>
      <c r="CX391" s="566">
        <f>VLOOKUP($A391,'01-02.2021'!$A$6:$CZ$403,102,FALSE)+VLOOKUP($A391,'1.3.21-28.2.22'!$A$6:$DA$404,102,FALSE)-VLOOKUP($A391,'01-02.2022'!$A$6:$DA$376,102,FALSE)</f>
        <v>13839.121496530377</v>
      </c>
      <c r="CY391" s="566">
        <f>VLOOKUP($A391,'01-02.2021'!$A$6:$CZ$403,103,FALSE)+VLOOKUP($A391,'1.3.21-28.2.22'!$A$6:$DA$404,103,FALSE)-VLOOKUP($A391,'01-02.2022'!$A$6:$DA$376,103,FALSE)</f>
        <v>45005.997492224305</v>
      </c>
      <c r="CZ391" s="52">
        <f t="shared" si="427"/>
        <v>31166.875995693928</v>
      </c>
      <c r="DA391" s="150">
        <f>'[2]побудинковий звіт'!DA391</f>
        <v>-64585.012926534902</v>
      </c>
      <c r="DB391" s="2">
        <v>3</v>
      </c>
      <c r="DC391" s="414">
        <f>'[4]побудинковий звіт'!DC391</f>
        <v>96564.57</v>
      </c>
      <c r="DD391" s="414">
        <f>'[4]побудинковий звіт'!DD391</f>
        <v>0</v>
      </c>
      <c r="DE391" s="557">
        <f>'[4]побудинковий звіт'!DE391</f>
        <v>70665.879630419106</v>
      </c>
      <c r="DF391" s="557">
        <f>'[4]побудинковий звіт'!DF391</f>
        <v>0</v>
      </c>
      <c r="DG391" s="321">
        <f>VLOOKUP(A391,'кошти 01.03.2021'!$A$6:$D$401,4,)</f>
        <v>-27717.606036241588</v>
      </c>
      <c r="DH391" s="40">
        <f>'[3]побудинковий звіт'!DJ391</f>
        <v>295468.27908348775</v>
      </c>
      <c r="DI391" s="422">
        <f>'[3]побудинковий звіт'!CU391+'[3]побудинковий звіт'!CX391</f>
        <v>25898.690369580901</v>
      </c>
      <c r="DJ391" s="306">
        <f>'[3]побудинковий звіт'!DM391</f>
        <v>5.8258217005018338</v>
      </c>
      <c r="DK391" s="306">
        <f t="shared" si="437"/>
        <v>5.8258217005018338</v>
      </c>
      <c r="DL391" s="306">
        <f>'[3]побудинковий звіт'!DO391</f>
        <v>5.2027302836150042</v>
      </c>
      <c r="DM391" s="28">
        <f t="shared" si="438"/>
        <v>25898.690369580901</v>
      </c>
      <c r="DN391" s="28">
        <f t="shared" si="439"/>
        <v>0</v>
      </c>
      <c r="DO391" s="423">
        <f t="shared" si="381"/>
        <v>25898.690369580901</v>
      </c>
      <c r="DP391" s="94">
        <f t="shared" si="382"/>
        <v>0</v>
      </c>
      <c r="DQ391" s="28">
        <f t="shared" si="383"/>
        <v>25898.690369580901</v>
      </c>
      <c r="DR391" s="318"/>
      <c r="DT391" s="8"/>
      <c r="DU391" s="5"/>
      <c r="DX391" s="5">
        <f t="shared" si="384"/>
        <v>95112.605729678427</v>
      </c>
      <c r="DY391" s="5">
        <f t="shared" si="385"/>
        <v>56997.08400000001</v>
      </c>
      <c r="DZ391" s="159">
        <f>'[3]побудинковий звіт'!EA391</f>
        <v>8321.9536839918783</v>
      </c>
    </row>
    <row r="392" spans="1:130" x14ac:dyDescent="0.3">
      <c r="A392" s="325">
        <v>150000918</v>
      </c>
      <c r="B392" s="41" t="s">
        <v>838</v>
      </c>
      <c r="C392" s="42" t="s">
        <v>326</v>
      </c>
      <c r="D392" s="27"/>
      <c r="E392" s="293">
        <f t="shared" si="412"/>
        <v>4591.2</v>
      </c>
      <c r="F392" s="305">
        <f>'[3]побудинковий звіт'!F392</f>
        <v>4591.2</v>
      </c>
      <c r="G392" s="508">
        <f>'[3]побудинковий звіт'!G392</f>
        <v>0</v>
      </c>
      <c r="H392" s="560">
        <f>'[3]побудинковий звіт'!H392</f>
        <v>0</v>
      </c>
      <c r="I392" s="566">
        <f>VLOOKUP($A392,'01-02.2021'!$A$6:$CZ$403,9,FALSE)+VLOOKUP($A392,'1.3.21-28.2.22'!$A$6:$DA$404,9,FALSE)-VLOOKUP($A392,'01-02.2022'!$A$6:$DA$376,9,FALSE)</f>
        <v>15603.025188616853</v>
      </c>
      <c r="J392" s="566">
        <f>VLOOKUP($A392,'01-02.2021'!$A$6:$CZ$403,10,FALSE)+VLOOKUP($A392,'1.3.21-28.2.22'!$A$6:$DA$404,10,FALSE)-VLOOKUP($A392,'01-02.2022'!$A$6:$DA$376,10,FALSE)</f>
        <v>15235.41816552377</v>
      </c>
      <c r="K392" s="52">
        <f t="shared" si="417"/>
        <v>-367.60702309308363</v>
      </c>
      <c r="L392" s="566">
        <f>VLOOKUP($A392,'01-02.2021'!$A$6:$CZ$403,12,FALSE)+VLOOKUP($A392,'1.3.21-28.2.22'!$A$6:$DA$404,12,FALSE)-VLOOKUP($A392,'01-02.2022'!$A$6:$DA$376,12,FALSE)</f>
        <v>3303.579981878655</v>
      </c>
      <c r="M392" s="566">
        <f>VLOOKUP($A392,'01-02.2021'!$A$6:$CZ$403,13,FALSE)+VLOOKUP($A392,'1.3.21-28.2.22'!$A$6:$DA$404,13,FALSE)-VLOOKUP($A392,'01-02.2022'!$A$6:$DA$376,13,FALSE)</f>
        <v>3298.5442729547449</v>
      </c>
      <c r="N392" s="52">
        <f t="shared" si="418"/>
        <v>-5.0357089239100787</v>
      </c>
      <c r="O392" s="566">
        <f>VLOOKUP($A392,'01-02.2021'!$A$6:$CZ$403,15,FALSE)+VLOOKUP($A392,'1.3.21-28.2.22'!$A$6:$DA$404,15,FALSE)-VLOOKUP($A392,'01-02.2022'!$A$6:$DA$376,15,FALSE)</f>
        <v>6155.9443679108344</v>
      </c>
      <c r="P392" s="566">
        <f>VLOOKUP($A392,'01-02.2021'!$A$6:$CZ$403,16,FALSE)+VLOOKUP($A392,'1.3.21-28.2.22'!$A$6:$DA$404,16,FALSE)-VLOOKUP($A392,'01-02.2022'!$A$6:$DA$376,16,FALSE)</f>
        <v>6157.5449999999983</v>
      </c>
      <c r="Q392" s="70">
        <f t="shared" si="386"/>
        <v>1.6006320891638097</v>
      </c>
      <c r="R392" s="566">
        <f>VLOOKUP($A392,'01-02.2021'!$A$6:$CZ$403,18,FALSE)+VLOOKUP($A392,'1.3.21-28.2.22'!$A$6:$DA$404,18,FALSE)-VLOOKUP($A392,'01-02.2022'!$A$6:$DA$376,18,FALSE)</f>
        <v>0</v>
      </c>
      <c r="S392" s="566">
        <f>VLOOKUP($A392,'01-02.2021'!$A$6:$CZ$403,19,FALSE)+VLOOKUP($A392,'1.3.21-28.2.22'!$A$6:$DA$404,19,FALSE)-VLOOKUP($A392,'01-02.2022'!$A$6:$DA$376,19,FALSE)</f>
        <v>0</v>
      </c>
      <c r="T392" s="70">
        <f t="shared" si="387"/>
        <v>0</v>
      </c>
      <c r="U392" s="566">
        <f>VLOOKUP($A392,'01-02.2021'!$A$6:$CZ$403,21,FALSE)+VLOOKUP($A392,'1.3.21-28.2.22'!$A$6:$DA$404,21,FALSE)-VLOOKUP($A392,'01-02.2022'!$A$6:$DA$376,21,FALSE)</f>
        <v>1114.1131194327395</v>
      </c>
      <c r="V392" s="566">
        <f>VLOOKUP($A392,'01-02.2021'!$A$6:$CZ$403,22,FALSE)+VLOOKUP($A392,'1.3.21-28.2.22'!$A$6:$DA$404,22,FALSE)-VLOOKUP($A392,'01-02.2022'!$A$6:$DA$376,22,FALSE)</f>
        <v>946.8548966532129</v>
      </c>
      <c r="W392" s="70">
        <f t="shared" si="388"/>
        <v>-167.25822277952659</v>
      </c>
      <c r="X392" s="566">
        <f>VLOOKUP($A392,'01-02.2021'!$A$6:$CZ$403,24,FALSE)+VLOOKUP($A392,'1.3.21-28.2.22'!$A$6:$DA$404,24,FALSE)-VLOOKUP($A392,'01-02.2022'!$A$6:$DA$376,24,FALSE)</f>
        <v>11048.405777710685</v>
      </c>
      <c r="Y392" s="566">
        <f>VLOOKUP($A392,'01-02.2021'!$A$6:$CZ$403,25,FALSE)+VLOOKUP($A392,'1.3.21-28.2.22'!$A$6:$DA$404,25,FALSE)-VLOOKUP($A392,'01-02.2022'!$A$6:$DA$376,25,FALSE)</f>
        <v>10447.930071872608</v>
      </c>
      <c r="Z392" s="70">
        <f t="shared" si="389"/>
        <v>-600.47570583807646</v>
      </c>
      <c r="AA392" s="566">
        <f>VLOOKUP($A392,'01-02.2021'!$A$6:$CZ$403,27,FALSE)+VLOOKUP($A392,'1.3.21-28.2.22'!$A$6:$DA$404,27,FALSE)-VLOOKUP($A392,'01-02.2022'!$A$6:$DA$376,27,FALSE)</f>
        <v>917.72</v>
      </c>
      <c r="AB392" s="566">
        <f>VLOOKUP($A392,'01-02.2021'!$A$6:$CZ$403,28,FALSE)+VLOOKUP($A392,'1.3.21-28.2.22'!$A$6:$DA$404,28,FALSE)-VLOOKUP($A392,'01-02.2022'!$A$6:$DA$376,28,FALSE)</f>
        <v>0</v>
      </c>
      <c r="AC392" s="70">
        <f t="shared" si="390"/>
        <v>-917.72</v>
      </c>
      <c r="AD392" s="566">
        <f>VLOOKUP($A392,'01-02.2021'!$A$6:$CZ$403,30,FALSE)+VLOOKUP($A392,'1.3.21-28.2.22'!$A$6:$DA$404,30,FALSE)-VLOOKUP($A392,'01-02.2022'!$A$6:$DA$376,30,FALSE)</f>
        <v>19715.817080341058</v>
      </c>
      <c r="AE392" s="566">
        <f>VLOOKUP($A392,'01-02.2021'!$A$6:$CZ$403,31,FALSE)+VLOOKUP($A392,'1.3.21-28.2.22'!$A$6:$DA$404,31,FALSE)-VLOOKUP($A392,'01-02.2022'!$A$6:$DA$376,31,FALSE)</f>
        <v>20896.752332508244</v>
      </c>
      <c r="AF392" s="68">
        <f t="shared" si="391"/>
        <v>1180.9352521671863</v>
      </c>
      <c r="AG392" s="77">
        <f t="shared" si="413"/>
        <v>57858.605515890828</v>
      </c>
      <c r="AH392" s="53">
        <f t="shared" si="413"/>
        <v>56983.044739512581</v>
      </c>
      <c r="AI392" s="52">
        <f t="shared" si="419"/>
        <v>-875.56077637824637</v>
      </c>
      <c r="AJ392" s="566">
        <f>VLOOKUP($A392,'01-02.2021'!$A$6:$CZ$403,36,FALSE)+VLOOKUP($A392,'1.3.21-28.2.22'!$A$6:$DA$404,36,FALSE)-VLOOKUP($A392,'01-02.2022'!$A$6:$DA$376,36,FALSE)</f>
        <v>0</v>
      </c>
      <c r="AK392" s="566">
        <f>VLOOKUP($A392,'01-02.2021'!$A$6:$CZ$403,37,FALSE)+VLOOKUP($A392,'1.3.21-28.2.22'!$A$6:$DA$404,37,FALSE)-VLOOKUP($A392,'01-02.2022'!$A$6:$DA$376,37,FALSE)</f>
        <v>0</v>
      </c>
      <c r="AL392" s="70">
        <f t="shared" si="392"/>
        <v>0</v>
      </c>
      <c r="AM392" s="566">
        <f>VLOOKUP($A392,'01-02.2021'!$A$6:$CZ$403,39,FALSE)+VLOOKUP($A392,'1.3.21-28.2.22'!$A$6:$DA$404,39,FALSE)-VLOOKUP($A392,'01-02.2022'!$A$6:$DA$376,39,FALSE)</f>
        <v>0</v>
      </c>
      <c r="AN392" s="566">
        <f>VLOOKUP($A392,'01-02.2021'!$A$6:$CZ$403,40,FALSE)+VLOOKUP($A392,'1.3.21-28.2.22'!$A$6:$DA$404,40,FALSE)-VLOOKUP($A392,'01-02.2022'!$A$6:$DA$376,40,FALSE)</f>
        <v>0</v>
      </c>
      <c r="AO392" s="70">
        <f t="shared" si="393"/>
        <v>0</v>
      </c>
      <c r="AP392" s="566">
        <f>VLOOKUP($A392,'01-02.2021'!$A$6:$CZ$403,42,FALSE)+VLOOKUP($A392,'1.3.21-28.2.22'!$A$6:$DA$404,42,FALSE)-VLOOKUP($A392,'01-02.2022'!$A$6:$DA$376,42,FALSE)</f>
        <v>12753.718162813047</v>
      </c>
      <c r="AQ392" s="566">
        <f>VLOOKUP($A392,'01-02.2021'!$A$6:$CZ$403,43,FALSE)+VLOOKUP($A392,'1.3.21-28.2.22'!$A$6:$DA$404,43,FALSE)-VLOOKUP($A392,'01-02.2022'!$A$6:$DA$376,43,FALSE)</f>
        <v>11007.688132009636</v>
      </c>
      <c r="AR392" s="70">
        <f t="shared" si="394"/>
        <v>-1746.0300308034111</v>
      </c>
      <c r="AS392" s="566">
        <f>VLOOKUP($A392,'01-02.2021'!$A$6:$CZ$403,45,FALSE)+VLOOKUP($A392,'1.3.21-28.2.22'!$A$6:$DA$404,45,FALSE)-VLOOKUP($A392,'01-02.2022'!$A$6:$DA$376,45,FALSE)</f>
        <v>51061.281786497333</v>
      </c>
      <c r="AT392" s="566">
        <f>VLOOKUP($A392,'01-02.2021'!$A$6:$CZ$403,46,FALSE)+VLOOKUP($A392,'1.3.21-28.2.22'!$A$6:$DA$404,46,FALSE)-VLOOKUP($A392,'01-02.2022'!$A$6:$DA$376,46,FALSE)</f>
        <v>100127.98131483186</v>
      </c>
      <c r="AU392" s="78">
        <f t="shared" si="395"/>
        <v>49066.699528334531</v>
      </c>
      <c r="AV392" s="566">
        <f>VLOOKUP($A392,'01-02.2021'!$A$6:$CZ$403,48,FALSE)+VLOOKUP($A392,'1.3.21-28.2.22'!$A$6:$DA$404,48,FALSE)-VLOOKUP($A392,'01-02.2022'!$A$6:$DA$376,48,FALSE)</f>
        <v>4264.3394349609189</v>
      </c>
      <c r="AW392" s="566">
        <f>VLOOKUP($A392,'01-02.2021'!$A$6:$CZ$403,49,FALSE)+VLOOKUP($A392,'1.3.21-28.2.22'!$A$6:$DA$404,49,FALSE)-VLOOKUP($A392,'01-02.2022'!$A$6:$DA$376,49,FALSE)</f>
        <v>1459</v>
      </c>
      <c r="AX392" s="55">
        <f t="shared" si="396"/>
        <v>-2805.3394349609189</v>
      </c>
      <c r="AY392" s="566">
        <f>VLOOKUP($A392,'01-02.2021'!$A$6:$CZ$403,51,FALSE)+VLOOKUP($A392,'1.3.21-28.2.22'!$A$6:$DA$404,51,FALSE)-VLOOKUP($A392,'01-02.2022'!$A$6:$DA$376,51,FALSE)</f>
        <v>6210.0053768823118</v>
      </c>
      <c r="AZ392" s="566">
        <f>VLOOKUP($A392,'01-02.2021'!$A$6:$CZ$403,52,FALSE)+VLOOKUP($A392,'1.3.21-28.2.22'!$A$6:$DA$404,52,FALSE)-VLOOKUP($A392,'01-02.2022'!$A$6:$DA$376,52,FALSE)</f>
        <v>9201.9500000000007</v>
      </c>
      <c r="BA392" s="38">
        <f t="shared" si="397"/>
        <v>2991.9446231176889</v>
      </c>
      <c r="BB392" s="566">
        <f>VLOOKUP($A392,'01-02.2021'!$A$6:$CZ$403,54,FALSE)+VLOOKUP($A392,'1.3.21-28.2.22'!$A$6:$DA$404,54,FALSE)-VLOOKUP($A392,'01-02.2022'!$A$6:$DA$376,54,FALSE)</f>
        <v>2264.8137463942139</v>
      </c>
      <c r="BC392" s="566">
        <f>VLOOKUP($A392,'01-02.2021'!$A$6:$CZ$403,55,FALSE)+VLOOKUP($A392,'1.3.21-28.2.22'!$A$6:$DA$404,55,FALSE)-VLOOKUP($A392,'01-02.2022'!$A$6:$DA$376,55,FALSE)</f>
        <v>4176</v>
      </c>
      <c r="BD392" s="55">
        <f t="shared" si="398"/>
        <v>1911.1862536057861</v>
      </c>
      <c r="BE392" s="566">
        <f>VLOOKUP($A392,'01-02.2021'!$A$6:$CZ$403,57,FALSE)+VLOOKUP($A392,'1.3.21-28.2.22'!$A$6:$DA$404,57,FALSE)-VLOOKUP($A392,'01-02.2022'!$A$6:$DA$376,57,FALSE)</f>
        <v>0</v>
      </c>
      <c r="BF392" s="566">
        <f>VLOOKUP($A392,'01-02.2021'!$A$6:$CZ$403,58,FALSE)+VLOOKUP($A392,'1.3.21-28.2.22'!$A$6:$DA$404,58,FALSE)-VLOOKUP($A392,'01-02.2022'!$A$6:$DA$376,58,FALSE)</f>
        <v>0</v>
      </c>
      <c r="BG392" s="55">
        <f t="shared" si="399"/>
        <v>0</v>
      </c>
      <c r="BH392" s="566">
        <f>VLOOKUP($A392,'01-02.2021'!$A$6:$CZ$403,60,FALSE)+VLOOKUP($A392,'1.3.21-28.2.22'!$A$6:$DA$404,60,FALSE)-VLOOKUP($A392,'01-02.2022'!$A$6:$DA$376,60,FALSE)</f>
        <v>2499.474500414512</v>
      </c>
      <c r="BI392" s="566">
        <f>VLOOKUP($A392,'01-02.2021'!$A$6:$CZ$403,61,FALSE)+VLOOKUP($A392,'1.3.21-28.2.22'!$A$6:$DA$404,61,FALSE)-VLOOKUP($A392,'01-02.2022'!$A$6:$DA$376,61,FALSE)</f>
        <v>16.5</v>
      </c>
      <c r="BJ392" s="55">
        <f t="shared" si="400"/>
        <v>-2482.974500414512</v>
      </c>
      <c r="BK392" s="566">
        <f>VLOOKUP($A392,'01-02.2021'!$A$6:$CZ$403,63,FALSE)+VLOOKUP($A392,'1.3.21-28.2.22'!$A$6:$DA$404,63,FALSE)-VLOOKUP($A392,'01-02.2022'!$A$6:$DA$376,63,FALSE)</f>
        <v>4000.631100042368</v>
      </c>
      <c r="BL392" s="566">
        <f>VLOOKUP($A392,'01-02.2021'!$A$6:$CZ$403,64,FALSE)+VLOOKUP($A392,'1.3.21-28.2.22'!$A$6:$DA$404,64,FALSE)-VLOOKUP($A392,'01-02.2022'!$A$6:$DA$376,64,FALSE)</f>
        <v>1069</v>
      </c>
      <c r="BM392" s="55">
        <f t="shared" si="401"/>
        <v>-2931.631100042368</v>
      </c>
      <c r="BN392" s="566">
        <f>VLOOKUP($A392,'01-02.2021'!$A$6:$CZ$403,66,FALSE)+VLOOKUP($A392,'1.3.21-28.2.22'!$A$6:$DA$404,66,FALSE)-VLOOKUP($A392,'01-02.2022'!$A$6:$DA$376,66,FALSE)</f>
        <v>229.43</v>
      </c>
      <c r="BO392" s="566">
        <f>VLOOKUP($A392,'01-02.2021'!$A$6:$CZ$403,67,FALSE)+VLOOKUP($A392,'1.3.21-28.2.22'!$A$6:$DA$404,67,FALSE)-VLOOKUP($A392,'01-02.2022'!$A$6:$DA$376,67,FALSE)</f>
        <v>0</v>
      </c>
      <c r="BP392" s="55">
        <f t="shared" si="402"/>
        <v>-229.43</v>
      </c>
      <c r="BQ392" s="77">
        <f t="shared" si="409"/>
        <v>19468.694158694325</v>
      </c>
      <c r="BR392" s="40">
        <f t="shared" si="434"/>
        <v>15922.45</v>
      </c>
      <c r="BS392" s="55">
        <f t="shared" si="428"/>
        <v>-3546.2441586943241</v>
      </c>
      <c r="BT392" s="566">
        <f>VLOOKUP($A392,'01-02.2021'!$A$6:$CZ$403,72,FALSE)+VLOOKUP($A392,'1.3.21-28.2.22'!$A$6:$DA$404,72,FALSE)-VLOOKUP($A392,'01-02.2022'!$A$6:$DA$376,72,FALSE)</f>
        <v>37354.347094528479</v>
      </c>
      <c r="BU392" s="566">
        <f>VLOOKUP($A392,'01-02.2021'!$A$6:$CZ$403,73,FALSE)+VLOOKUP($A392,'1.3.21-28.2.22'!$A$6:$DA$404,73,FALSE)-VLOOKUP($A392,'01-02.2022'!$A$6:$DA$376,73,FALSE)</f>
        <v>43147.717308768115</v>
      </c>
      <c r="BV392" s="70">
        <f t="shared" si="403"/>
        <v>5793.370214239636</v>
      </c>
      <c r="BW392" s="566">
        <f>VLOOKUP($A392,'01-02.2021'!$A$6:$CZ$403,75,FALSE)+VLOOKUP($A392,'1.3.21-28.2.22'!$A$6:$DA$404,75,FALSE)-VLOOKUP($A392,'01-02.2022'!$A$6:$DA$376,75,FALSE)</f>
        <v>22292.761377797957</v>
      </c>
      <c r="BX392" s="566">
        <f>VLOOKUP($A392,'01-02.2021'!$A$6:$CZ$403,76,FALSE)+VLOOKUP($A392,'1.3.21-28.2.22'!$A$6:$DA$404,76,FALSE)-VLOOKUP($A392,'01-02.2022'!$A$6:$DA$376,76,FALSE)</f>
        <v>24170.231849509728</v>
      </c>
      <c r="BY392" s="70">
        <f t="shared" si="404"/>
        <v>1877.4704717117711</v>
      </c>
      <c r="BZ392" s="566">
        <f>VLOOKUP($A392,'01-02.2021'!$A$6:$CZ$403,78,FALSE)+VLOOKUP($A392,'1.3.21-28.2.22'!$A$6:$DA$404,78,FALSE)-VLOOKUP($A392,'01-02.2022'!$A$6:$DA$376,78,FALSE)</f>
        <v>9764.8221547303328</v>
      </c>
      <c r="CA392" s="566">
        <f>VLOOKUP($A392,'01-02.2021'!$A$6:$CZ$403,79,FALSE)+VLOOKUP($A392,'1.3.21-28.2.22'!$A$6:$DA$404,79,FALSE)-VLOOKUP($A392,'01-02.2022'!$A$6:$DA$376,79,FALSE)</f>
        <v>10355.33822496115</v>
      </c>
      <c r="CB392" s="70">
        <f t="shared" si="405"/>
        <v>590.51607023081669</v>
      </c>
      <c r="CC392" s="566">
        <f>VLOOKUP($A392,'01-02.2021'!$A$6:$CZ$403,81,FALSE)+VLOOKUP($A392,'1.3.21-28.2.22'!$A$6:$DA$404,81,FALSE)-VLOOKUP($A392,'01-02.2022'!$A$6:$DA$376,81,FALSE)</f>
        <v>1459.8303532407122</v>
      </c>
      <c r="CD392" s="566">
        <f>VLOOKUP($A392,'01-02.2021'!$A$6:$CZ$403,82,FALSE)+VLOOKUP($A392,'1.3.21-28.2.22'!$A$6:$DA$404,82,FALSE)-VLOOKUP($A392,'01-02.2022'!$A$6:$DA$376,82,FALSE)</f>
        <v>1595.5843858215533</v>
      </c>
      <c r="CE392" s="70">
        <f t="shared" si="406"/>
        <v>135.75403258084111</v>
      </c>
      <c r="CF392" s="566">
        <f>VLOOKUP($A392,'01-02.2021'!$A$6:$CZ$403,84,FALSE)+VLOOKUP($A392,'1.3.21-28.2.22'!$A$6:$DA$404,84,FALSE)-VLOOKUP($A392,'01-02.2022'!$A$6:$DA$376,84,FALSE)</f>
        <v>177.47245057577422</v>
      </c>
      <c r="CG392" s="566">
        <f>VLOOKUP($A392,'01-02.2021'!$A$6:$CZ$403,85,FALSE)+VLOOKUP($A392,'1.3.21-28.2.22'!$A$6:$DA$404,85,FALSE)-VLOOKUP($A392,'01-02.2022'!$A$6:$DA$376,85,FALSE)</f>
        <v>0</v>
      </c>
      <c r="CH392" s="70">
        <f t="shared" si="407"/>
        <v>-177.47245057577422</v>
      </c>
      <c r="CI392" s="566">
        <f>VLOOKUP($A392,'01-02.2021'!$A$6:$CZ$403,87,FALSE)+VLOOKUP($A392,'1.3.21-28.2.22'!$A$6:$DA$404,87,FALSE)-VLOOKUP($A392,'01-02.2022'!$A$6:$DA$376,87,FALSE)</f>
        <v>7993.7673999170711</v>
      </c>
      <c r="CJ392" s="566">
        <f>VLOOKUP($A392,'01-02.2021'!$A$6:$CZ$403,88,FALSE)+VLOOKUP($A392,'1.3.21-28.2.22'!$A$6:$DA$404,88,FALSE)-VLOOKUP($A392,'01-02.2022'!$A$6:$DA$376,88,FALSE)</f>
        <v>9147.8728669742177</v>
      </c>
      <c r="CK392" s="70">
        <f t="shared" si="408"/>
        <v>1154.1054670571466</v>
      </c>
      <c r="CL392" s="566">
        <f>VLOOKUP($A392,'01-02.2021'!$A$6:$CZ$403,90,FALSE)+VLOOKUP($A392,'1.3.21-28.2.22'!$A$6:$DA$404,90,FALSE)-VLOOKUP($A392,'01-02.2022'!$A$6:$DA$376,90,FALSE)</f>
        <v>0</v>
      </c>
      <c r="CM392" s="566">
        <f>VLOOKUP($A392,'01-02.2021'!$A$6:$CZ$403,91,FALSE)+VLOOKUP($A392,'1.3.21-28.2.22'!$A$6:$DA$404,91,FALSE)-VLOOKUP($A392,'01-02.2022'!$A$6:$DA$376,91,FALSE)</f>
        <v>0</v>
      </c>
      <c r="CN392" s="52">
        <f t="shared" si="420"/>
        <v>0</v>
      </c>
      <c r="CO392" s="39">
        <f t="shared" si="414"/>
        <v>7993.7673999170711</v>
      </c>
      <c r="CP392" s="40">
        <f t="shared" si="421"/>
        <v>9147.8728669742177</v>
      </c>
      <c r="CQ392" s="52">
        <f t="shared" si="422"/>
        <v>1154.1054670571466</v>
      </c>
      <c r="CR392" s="72">
        <f t="shared" si="415"/>
        <v>220185.30045468581</v>
      </c>
      <c r="CS392" s="5">
        <f t="shared" si="415"/>
        <v>272457.90882238885</v>
      </c>
      <c r="CT392" s="52">
        <f t="shared" si="423"/>
        <v>52272.60836770304</v>
      </c>
      <c r="CU392" s="77">
        <f t="shared" si="424"/>
        <v>264222.36054562294</v>
      </c>
      <c r="CV392" s="65">
        <f t="shared" si="425"/>
        <v>326949.49058686662</v>
      </c>
      <c r="CW392" s="35">
        <f t="shared" si="426"/>
        <v>62727.130041243683</v>
      </c>
      <c r="CX392" s="566">
        <f>VLOOKUP($A392,'01-02.2021'!$A$6:$CZ$403,102,FALSE)+VLOOKUP($A392,'1.3.21-28.2.22'!$A$6:$DA$404,102,FALSE)-VLOOKUP($A392,'01-02.2022'!$A$6:$DA$376,102,FALSE)</f>
        <v>12973.956322905467</v>
      </c>
      <c r="CY392" s="566">
        <f>VLOOKUP($A392,'01-02.2021'!$A$6:$CZ$403,103,FALSE)+VLOOKUP($A392,'1.3.21-28.2.22'!$A$6:$DA$404,103,FALSE)-VLOOKUP($A392,'01-02.2022'!$A$6:$DA$376,103,FALSE)</f>
        <v>-49753.173718338163</v>
      </c>
      <c r="CZ392" s="52">
        <f t="shared" si="427"/>
        <v>-62727.130041243632</v>
      </c>
      <c r="DA392" s="150">
        <f>'[2]побудинковий звіт'!DA392</f>
        <v>-63419.804061388742</v>
      </c>
      <c r="DB392" s="2">
        <v>3</v>
      </c>
      <c r="DC392" s="414">
        <f>'[4]побудинковий звіт'!DC392</f>
        <v>64331.74</v>
      </c>
      <c r="DD392" s="414">
        <f>'[4]побудинковий звіт'!DD392</f>
        <v>0</v>
      </c>
      <c r="DE392" s="557">
        <f>'[4]побудинковий звіт'!DE392</f>
        <v>39697.953583759197</v>
      </c>
      <c r="DF392" s="557">
        <f>'[4]побудинковий звіт'!DF392</f>
        <v>0</v>
      </c>
      <c r="DG392" s="321">
        <f>VLOOKUP(A392,'кошти 01.03.2021'!$A$6:$D$401,4,)</f>
        <v>-110576.39425946859</v>
      </c>
      <c r="DH392" s="40">
        <f>'[3]побудинковий звіт'!DJ392</f>
        <v>284407.99916203041</v>
      </c>
      <c r="DI392" s="422">
        <f>'[3]побудинковий звіт'!CU392+'[3]побудинковий звіт'!CX392</f>
        <v>24633.786416240797</v>
      </c>
      <c r="DJ392" s="306">
        <f>'[3]побудинковий звіт'!DM392</f>
        <v>5.365435271005575</v>
      </c>
      <c r="DK392" s="306">
        <f t="shared" si="437"/>
        <v>5.365435271005575</v>
      </c>
      <c r="DL392" s="306">
        <f>'[3]побудинковий звіт'!DO392</f>
        <v>4.7751047071439183</v>
      </c>
      <c r="DM392" s="28">
        <f t="shared" si="438"/>
        <v>24633.786416240797</v>
      </c>
      <c r="DN392" s="28">
        <f t="shared" si="439"/>
        <v>0</v>
      </c>
      <c r="DO392" s="423">
        <f t="shared" ref="DO392:DO403" si="440">DM392+DN392</f>
        <v>24633.786416240797</v>
      </c>
      <c r="DP392" s="94">
        <f t="shared" ref="DP392:DP403" si="441">DI392-DO392</f>
        <v>0</v>
      </c>
      <c r="DQ392" s="28">
        <f t="shared" ref="DQ392:DQ403" si="442">DM392+DN392</f>
        <v>24633.786416240797</v>
      </c>
      <c r="DR392" s="318"/>
      <c r="DT392" s="8"/>
      <c r="DU392" s="5"/>
      <c r="DX392" s="5">
        <f t="shared" ref="DX392:DX403" si="443">(AS392+BQ392)*1.2</f>
        <v>84635.971134229985</v>
      </c>
      <c r="DY392" s="5">
        <f t="shared" ref="DY392:DY403" si="444">(AT392+BR392)*1.2</f>
        <v>139260.51757779822</v>
      </c>
      <c r="DZ392" s="159">
        <f>'[3]побудинковий звіт'!EA392</f>
        <v>7603.8520521586397</v>
      </c>
    </row>
    <row r="393" spans="1:130" x14ac:dyDescent="0.3">
      <c r="A393" s="325">
        <v>150000919</v>
      </c>
      <c r="B393" s="41" t="s">
        <v>839</v>
      </c>
      <c r="C393" s="42" t="s">
        <v>327</v>
      </c>
      <c r="D393" s="27"/>
      <c r="E393" s="293">
        <f t="shared" si="412"/>
        <v>4566.7</v>
      </c>
      <c r="F393" s="305">
        <f>'[3]побудинковий звіт'!F393</f>
        <v>4566.7</v>
      </c>
      <c r="G393" s="508">
        <f>'[3]побудинковий звіт'!G393</f>
        <v>0</v>
      </c>
      <c r="H393" s="560">
        <f>'[3]побудинковий звіт'!H393</f>
        <v>0</v>
      </c>
      <c r="I393" s="566">
        <f>VLOOKUP($A393,'01-02.2021'!$A$6:$CZ$403,9,FALSE)+VLOOKUP($A393,'1.3.21-28.2.22'!$A$6:$DA$404,9,FALSE)-VLOOKUP($A393,'01-02.2022'!$A$6:$DA$376,9,FALSE)</f>
        <v>15717.59839661084</v>
      </c>
      <c r="J393" s="566">
        <f>VLOOKUP($A393,'01-02.2021'!$A$6:$CZ$403,10,FALSE)+VLOOKUP($A393,'1.3.21-28.2.22'!$A$6:$DA$404,10,FALSE)-VLOOKUP($A393,'01-02.2022'!$A$6:$DA$376,10,FALSE)</f>
        <v>15443.144327641101</v>
      </c>
      <c r="K393" s="52">
        <f t="shared" si="417"/>
        <v>-274.45406896973873</v>
      </c>
      <c r="L393" s="566">
        <f>VLOOKUP($A393,'01-02.2021'!$A$6:$CZ$403,12,FALSE)+VLOOKUP($A393,'1.3.21-28.2.22'!$A$6:$DA$404,12,FALSE)-VLOOKUP($A393,'01-02.2022'!$A$6:$DA$376,12,FALSE)</f>
        <v>3303.0174494456219</v>
      </c>
      <c r="M393" s="566">
        <f>VLOOKUP($A393,'01-02.2021'!$A$6:$CZ$403,13,FALSE)+VLOOKUP($A393,'1.3.21-28.2.22'!$A$6:$DA$404,13,FALSE)-VLOOKUP($A393,'01-02.2022'!$A$6:$DA$376,13,FALSE)</f>
        <v>3297.986296271044</v>
      </c>
      <c r="N393" s="52">
        <f t="shared" si="418"/>
        <v>-5.0311531745778666</v>
      </c>
      <c r="O393" s="566">
        <f>VLOOKUP($A393,'01-02.2021'!$A$6:$CZ$403,15,FALSE)+VLOOKUP($A393,'1.3.21-28.2.22'!$A$6:$DA$404,15,FALSE)-VLOOKUP($A393,'01-02.2022'!$A$6:$DA$376,15,FALSE)</f>
        <v>6052.3126533311415</v>
      </c>
      <c r="P393" s="566">
        <f>VLOOKUP($A393,'01-02.2021'!$A$6:$CZ$403,16,FALSE)+VLOOKUP($A393,'1.3.21-28.2.22'!$A$6:$DA$404,16,FALSE)-VLOOKUP($A393,'01-02.2022'!$A$6:$DA$376,16,FALSE)</f>
        <v>6053.7949999999973</v>
      </c>
      <c r="Q393" s="70">
        <f t="shared" si="386"/>
        <v>1.4823466688558256</v>
      </c>
      <c r="R393" s="566">
        <f>VLOOKUP($A393,'01-02.2021'!$A$6:$CZ$403,18,FALSE)+VLOOKUP($A393,'1.3.21-28.2.22'!$A$6:$DA$404,18,FALSE)-VLOOKUP($A393,'01-02.2022'!$A$6:$DA$376,18,FALSE)</f>
        <v>0</v>
      </c>
      <c r="S393" s="566">
        <f>VLOOKUP($A393,'01-02.2021'!$A$6:$CZ$403,19,FALSE)+VLOOKUP($A393,'1.3.21-28.2.22'!$A$6:$DA$404,19,FALSE)-VLOOKUP($A393,'01-02.2022'!$A$6:$DA$376,19,FALSE)</f>
        <v>0</v>
      </c>
      <c r="T393" s="70">
        <f t="shared" si="387"/>
        <v>0</v>
      </c>
      <c r="U393" s="566">
        <f>VLOOKUP($A393,'01-02.2021'!$A$6:$CZ$403,21,FALSE)+VLOOKUP($A393,'1.3.21-28.2.22'!$A$6:$DA$404,21,FALSE)-VLOOKUP($A393,'01-02.2022'!$A$6:$DA$376,21,FALSE)</f>
        <v>1114.1131194327395</v>
      </c>
      <c r="V393" s="566">
        <f>VLOOKUP($A393,'01-02.2021'!$A$6:$CZ$403,22,FALSE)+VLOOKUP($A393,'1.3.21-28.2.22'!$A$6:$DA$404,22,FALSE)-VLOOKUP($A393,'01-02.2022'!$A$6:$DA$376,22,FALSE)</f>
        <v>946.8548966532129</v>
      </c>
      <c r="W393" s="70">
        <f t="shared" si="388"/>
        <v>-167.25822277952659</v>
      </c>
      <c r="X393" s="566">
        <f>VLOOKUP($A393,'01-02.2021'!$A$6:$CZ$403,24,FALSE)+VLOOKUP($A393,'1.3.21-28.2.22'!$A$6:$DA$404,24,FALSE)-VLOOKUP($A393,'01-02.2022'!$A$6:$DA$376,24,FALSE)</f>
        <v>11295.807153694901</v>
      </c>
      <c r="Y393" s="566">
        <f>VLOOKUP($A393,'01-02.2021'!$A$6:$CZ$403,25,FALSE)+VLOOKUP($A393,'1.3.21-28.2.22'!$A$6:$DA$404,25,FALSE)-VLOOKUP($A393,'01-02.2022'!$A$6:$DA$376,25,FALSE)</f>
        <v>9781.6591384862477</v>
      </c>
      <c r="Z393" s="70">
        <f t="shared" si="389"/>
        <v>-1514.1480152086533</v>
      </c>
      <c r="AA393" s="566">
        <f>VLOOKUP($A393,'01-02.2021'!$A$6:$CZ$403,27,FALSE)+VLOOKUP($A393,'1.3.21-28.2.22'!$A$6:$DA$404,27,FALSE)-VLOOKUP($A393,'01-02.2022'!$A$6:$DA$376,27,FALSE)</f>
        <v>913.38</v>
      </c>
      <c r="AB393" s="566">
        <f>VLOOKUP($A393,'01-02.2021'!$A$6:$CZ$403,28,FALSE)+VLOOKUP($A393,'1.3.21-28.2.22'!$A$6:$DA$404,28,FALSE)-VLOOKUP($A393,'01-02.2022'!$A$6:$DA$376,28,FALSE)</f>
        <v>0</v>
      </c>
      <c r="AC393" s="70">
        <f t="shared" si="390"/>
        <v>-913.38</v>
      </c>
      <c r="AD393" s="566">
        <f>VLOOKUP($A393,'01-02.2021'!$A$6:$CZ$403,30,FALSE)+VLOOKUP($A393,'1.3.21-28.2.22'!$A$6:$DA$404,30,FALSE)-VLOOKUP($A393,'01-02.2022'!$A$6:$DA$376,30,FALSE)</f>
        <v>19615.588094270839</v>
      </c>
      <c r="AE393" s="566">
        <f>VLOOKUP($A393,'01-02.2021'!$A$6:$CZ$403,31,FALSE)+VLOOKUP($A393,'1.3.21-28.2.22'!$A$6:$DA$404,31,FALSE)-VLOOKUP($A393,'01-02.2022'!$A$6:$DA$376,31,FALSE)</f>
        <v>20788.036498735295</v>
      </c>
      <c r="AF393" s="68">
        <f t="shared" si="391"/>
        <v>1172.448404464456</v>
      </c>
      <c r="AG393" s="77">
        <f t="shared" si="413"/>
        <v>58011.816866786081</v>
      </c>
      <c r="AH393" s="53">
        <f t="shared" si="413"/>
        <v>56311.476157786899</v>
      </c>
      <c r="AI393" s="52">
        <f t="shared" si="419"/>
        <v>-1700.3407089991815</v>
      </c>
      <c r="AJ393" s="566">
        <f>VLOOKUP($A393,'01-02.2021'!$A$6:$CZ$403,36,FALSE)+VLOOKUP($A393,'1.3.21-28.2.22'!$A$6:$DA$404,36,FALSE)-VLOOKUP($A393,'01-02.2022'!$A$6:$DA$376,36,FALSE)</f>
        <v>0</v>
      </c>
      <c r="AK393" s="566">
        <f>VLOOKUP($A393,'01-02.2021'!$A$6:$CZ$403,37,FALSE)+VLOOKUP($A393,'1.3.21-28.2.22'!$A$6:$DA$404,37,FALSE)-VLOOKUP($A393,'01-02.2022'!$A$6:$DA$376,37,FALSE)</f>
        <v>0</v>
      </c>
      <c r="AL393" s="70">
        <f t="shared" si="392"/>
        <v>0</v>
      </c>
      <c r="AM393" s="566">
        <f>VLOOKUP($A393,'01-02.2021'!$A$6:$CZ$403,39,FALSE)+VLOOKUP($A393,'1.3.21-28.2.22'!$A$6:$DA$404,39,FALSE)-VLOOKUP($A393,'01-02.2022'!$A$6:$DA$376,39,FALSE)</f>
        <v>0</v>
      </c>
      <c r="AN393" s="566">
        <f>VLOOKUP($A393,'01-02.2021'!$A$6:$CZ$403,40,FALSE)+VLOOKUP($A393,'1.3.21-28.2.22'!$A$6:$DA$404,40,FALSE)-VLOOKUP($A393,'01-02.2022'!$A$6:$DA$376,40,FALSE)</f>
        <v>0</v>
      </c>
      <c r="AO393" s="70">
        <f t="shared" si="393"/>
        <v>0</v>
      </c>
      <c r="AP393" s="566">
        <f>VLOOKUP($A393,'01-02.2021'!$A$6:$CZ$403,42,FALSE)+VLOOKUP($A393,'1.3.21-28.2.22'!$A$6:$DA$404,42,FALSE)-VLOOKUP($A393,'01-02.2022'!$A$6:$DA$376,42,FALSE)</f>
        <v>13013.998125319435</v>
      </c>
      <c r="AQ393" s="566">
        <f>VLOOKUP($A393,'01-02.2021'!$A$6:$CZ$403,43,FALSE)+VLOOKUP($A393,'1.3.21-28.2.22'!$A$6:$DA$404,43,FALSE)-VLOOKUP($A393,'01-02.2022'!$A$6:$DA$376,43,FALSE)</f>
        <v>11368.424747823992</v>
      </c>
      <c r="AR393" s="70">
        <f t="shared" si="394"/>
        <v>-1645.5733774954424</v>
      </c>
      <c r="AS393" s="566">
        <f>VLOOKUP($A393,'01-02.2021'!$A$6:$CZ$403,45,FALSE)+VLOOKUP($A393,'1.3.21-28.2.22'!$A$6:$DA$404,45,FALSE)-VLOOKUP($A393,'01-02.2022'!$A$6:$DA$376,45,FALSE)</f>
        <v>50952.612069860545</v>
      </c>
      <c r="AT393" s="566">
        <f>VLOOKUP($A393,'01-02.2021'!$A$6:$CZ$403,46,FALSE)+VLOOKUP($A393,'1.3.21-28.2.22'!$A$6:$DA$404,46,FALSE)-VLOOKUP($A393,'01-02.2022'!$A$6:$DA$376,46,FALSE)</f>
        <v>65251.384419905473</v>
      </c>
      <c r="AU393" s="78">
        <f t="shared" si="395"/>
        <v>14298.772350044928</v>
      </c>
      <c r="AV393" s="566">
        <f>VLOOKUP($A393,'01-02.2021'!$A$6:$CZ$403,48,FALSE)+VLOOKUP($A393,'1.3.21-28.2.22'!$A$6:$DA$404,48,FALSE)-VLOOKUP($A393,'01-02.2022'!$A$6:$DA$376,48,FALSE)</f>
        <v>4272.9928292138375</v>
      </c>
      <c r="AW393" s="566">
        <f>VLOOKUP($A393,'01-02.2021'!$A$6:$CZ$403,49,FALSE)+VLOOKUP($A393,'1.3.21-28.2.22'!$A$6:$DA$404,49,FALSE)-VLOOKUP($A393,'01-02.2022'!$A$6:$DA$376,49,FALSE)</f>
        <v>410</v>
      </c>
      <c r="AX393" s="55">
        <f t="shared" si="396"/>
        <v>-3862.9928292138375</v>
      </c>
      <c r="AY393" s="566">
        <f>VLOOKUP($A393,'01-02.2021'!$A$6:$CZ$403,51,FALSE)+VLOOKUP($A393,'1.3.21-28.2.22'!$A$6:$DA$404,51,FALSE)-VLOOKUP($A393,'01-02.2022'!$A$6:$DA$376,51,FALSE)</f>
        <v>6208.7816673070647</v>
      </c>
      <c r="AZ393" s="566">
        <f>VLOOKUP($A393,'01-02.2021'!$A$6:$CZ$403,52,FALSE)+VLOOKUP($A393,'1.3.21-28.2.22'!$A$6:$DA$404,52,FALSE)-VLOOKUP($A393,'01-02.2022'!$A$6:$DA$376,52,FALSE)</f>
        <v>1151</v>
      </c>
      <c r="BA393" s="38">
        <f t="shared" si="397"/>
        <v>-5057.7816673070647</v>
      </c>
      <c r="BB393" s="566">
        <f>VLOOKUP($A393,'01-02.2021'!$A$6:$CZ$403,54,FALSE)+VLOOKUP($A393,'1.3.21-28.2.22'!$A$6:$DA$404,54,FALSE)-VLOOKUP($A393,'01-02.2022'!$A$6:$DA$376,54,FALSE)</f>
        <v>2254.1583544316127</v>
      </c>
      <c r="BC393" s="566">
        <f>VLOOKUP($A393,'01-02.2021'!$A$6:$CZ$403,55,FALSE)+VLOOKUP($A393,'1.3.21-28.2.22'!$A$6:$DA$404,55,FALSE)-VLOOKUP($A393,'01-02.2022'!$A$6:$DA$376,55,FALSE)</f>
        <v>7374</v>
      </c>
      <c r="BD393" s="55">
        <f t="shared" si="398"/>
        <v>5119.8416455683873</v>
      </c>
      <c r="BE393" s="566">
        <f>VLOOKUP($A393,'01-02.2021'!$A$6:$CZ$403,57,FALSE)+VLOOKUP($A393,'1.3.21-28.2.22'!$A$6:$DA$404,57,FALSE)-VLOOKUP($A393,'01-02.2022'!$A$6:$DA$376,57,FALSE)</f>
        <v>0</v>
      </c>
      <c r="BF393" s="566">
        <f>VLOOKUP($A393,'01-02.2021'!$A$6:$CZ$403,58,FALSE)+VLOOKUP($A393,'1.3.21-28.2.22'!$A$6:$DA$404,58,FALSE)-VLOOKUP($A393,'01-02.2022'!$A$6:$DA$376,58,FALSE)</f>
        <v>0</v>
      </c>
      <c r="BG393" s="55">
        <f t="shared" si="399"/>
        <v>0</v>
      </c>
      <c r="BH393" s="566">
        <f>VLOOKUP($A393,'01-02.2021'!$A$6:$CZ$403,60,FALSE)+VLOOKUP($A393,'1.3.21-28.2.22'!$A$6:$DA$404,60,FALSE)-VLOOKUP($A393,'01-02.2022'!$A$6:$DA$376,60,FALSE)</f>
        <v>2499.474500414512</v>
      </c>
      <c r="BI393" s="566">
        <f>VLOOKUP($A393,'01-02.2021'!$A$6:$CZ$403,61,FALSE)+VLOOKUP($A393,'1.3.21-28.2.22'!$A$6:$DA$404,61,FALSE)-VLOOKUP($A393,'01-02.2022'!$A$6:$DA$376,61,FALSE)</f>
        <v>0</v>
      </c>
      <c r="BJ393" s="55">
        <f t="shared" si="400"/>
        <v>-2499.474500414512</v>
      </c>
      <c r="BK393" s="566">
        <f>VLOOKUP($A393,'01-02.2021'!$A$6:$CZ$403,63,FALSE)+VLOOKUP($A393,'1.3.21-28.2.22'!$A$6:$DA$404,63,FALSE)-VLOOKUP($A393,'01-02.2022'!$A$6:$DA$376,63,FALSE)</f>
        <v>3997.805138263182</v>
      </c>
      <c r="BL393" s="566">
        <f>VLOOKUP($A393,'01-02.2021'!$A$6:$CZ$403,64,FALSE)+VLOOKUP($A393,'1.3.21-28.2.22'!$A$6:$DA$404,64,FALSE)-VLOOKUP($A393,'01-02.2022'!$A$6:$DA$376,64,FALSE)</f>
        <v>142</v>
      </c>
      <c r="BM393" s="55">
        <f t="shared" si="401"/>
        <v>-3855.805138263182</v>
      </c>
      <c r="BN393" s="566">
        <f>VLOOKUP($A393,'01-02.2021'!$A$6:$CZ$403,66,FALSE)+VLOOKUP($A393,'1.3.21-28.2.22'!$A$6:$DA$404,66,FALSE)-VLOOKUP($A393,'01-02.2022'!$A$6:$DA$376,66,FALSE)</f>
        <v>228.345</v>
      </c>
      <c r="BO393" s="566">
        <f>VLOOKUP($A393,'01-02.2021'!$A$6:$CZ$403,67,FALSE)+VLOOKUP($A393,'1.3.21-28.2.22'!$A$6:$DA$404,67,FALSE)-VLOOKUP($A393,'01-02.2022'!$A$6:$DA$376,67,FALSE)</f>
        <v>4627.84</v>
      </c>
      <c r="BP393" s="55">
        <f t="shared" si="402"/>
        <v>4399.4949999999999</v>
      </c>
      <c r="BQ393" s="77">
        <f t="shared" si="409"/>
        <v>19461.55748963021</v>
      </c>
      <c r="BR393" s="40">
        <f t="shared" si="434"/>
        <v>13704.84</v>
      </c>
      <c r="BS393" s="55">
        <f t="shared" si="428"/>
        <v>-5756.7174896302095</v>
      </c>
      <c r="BT393" s="566">
        <f>VLOOKUP($A393,'01-02.2021'!$A$6:$CZ$403,72,FALSE)+VLOOKUP($A393,'1.3.21-28.2.22'!$A$6:$DA$404,72,FALSE)-VLOOKUP($A393,'01-02.2022'!$A$6:$DA$376,72,FALSE)</f>
        <v>33837.835335217671</v>
      </c>
      <c r="BU393" s="566">
        <f>VLOOKUP($A393,'01-02.2021'!$A$6:$CZ$403,73,FALSE)+VLOOKUP($A393,'1.3.21-28.2.22'!$A$6:$DA$404,73,FALSE)-VLOOKUP($A393,'01-02.2022'!$A$6:$DA$376,73,FALSE)</f>
        <v>36817.68859278765</v>
      </c>
      <c r="BV393" s="70">
        <f t="shared" si="403"/>
        <v>2979.8532575699792</v>
      </c>
      <c r="BW393" s="566">
        <f>VLOOKUP($A393,'01-02.2021'!$A$6:$CZ$403,75,FALSE)+VLOOKUP($A393,'1.3.21-28.2.22'!$A$6:$DA$404,75,FALSE)-VLOOKUP($A393,'01-02.2022'!$A$6:$DA$376,75,FALSE)</f>
        <v>22177.862205959413</v>
      </c>
      <c r="BX393" s="566">
        <f>VLOOKUP($A393,'01-02.2021'!$A$6:$CZ$403,76,FALSE)+VLOOKUP($A393,'1.3.21-28.2.22'!$A$6:$DA$404,76,FALSE)-VLOOKUP($A393,'01-02.2022'!$A$6:$DA$376,76,FALSE)</f>
        <v>23188.941009476854</v>
      </c>
      <c r="BY393" s="70">
        <f t="shared" si="404"/>
        <v>1011.078803517441</v>
      </c>
      <c r="BZ393" s="566">
        <f>VLOOKUP($A393,'01-02.2021'!$A$6:$CZ$403,78,FALSE)+VLOOKUP($A393,'1.3.21-28.2.22'!$A$6:$DA$404,78,FALSE)-VLOOKUP($A393,'01-02.2022'!$A$6:$DA$376,78,FALSE)</f>
        <v>7620.9179604622932</v>
      </c>
      <c r="CA393" s="566">
        <f>VLOOKUP($A393,'01-02.2021'!$A$6:$CZ$403,79,FALSE)+VLOOKUP($A393,'1.3.21-28.2.22'!$A$6:$DA$404,79,FALSE)-VLOOKUP($A393,'01-02.2022'!$A$6:$DA$376,79,FALSE)</f>
        <v>8638.7233890710086</v>
      </c>
      <c r="CB393" s="70">
        <f t="shared" si="405"/>
        <v>1017.8054286087154</v>
      </c>
      <c r="CC393" s="566">
        <f>VLOOKUP($A393,'01-02.2021'!$A$6:$CZ$403,81,FALSE)+VLOOKUP($A393,'1.3.21-28.2.22'!$A$6:$DA$404,81,FALSE)-VLOOKUP($A393,'01-02.2022'!$A$6:$DA$376,81,FALSE)</f>
        <v>2905.7728216719629</v>
      </c>
      <c r="CD393" s="566">
        <f>VLOOKUP($A393,'01-02.2021'!$A$6:$CZ$403,82,FALSE)+VLOOKUP($A393,'1.3.21-28.2.22'!$A$6:$DA$404,82,FALSE)-VLOOKUP($A393,'01-02.2022'!$A$6:$DA$376,82,FALSE)</f>
        <v>3175.9894104900295</v>
      </c>
      <c r="CE393" s="70">
        <f t="shared" si="406"/>
        <v>270.21658881806661</v>
      </c>
      <c r="CF393" s="566">
        <f>VLOOKUP($A393,'01-02.2021'!$A$6:$CZ$403,84,FALSE)+VLOOKUP($A393,'1.3.21-28.2.22'!$A$6:$DA$404,84,FALSE)-VLOOKUP($A393,'01-02.2022'!$A$6:$DA$376,84,FALSE)</f>
        <v>353.25654267552574</v>
      </c>
      <c r="CG393" s="566">
        <f>VLOOKUP($A393,'01-02.2021'!$A$6:$CZ$403,85,FALSE)+VLOOKUP($A393,'1.3.21-28.2.22'!$A$6:$DA$404,85,FALSE)-VLOOKUP($A393,'01-02.2022'!$A$6:$DA$376,85,FALSE)</f>
        <v>0</v>
      </c>
      <c r="CH393" s="70">
        <f t="shared" si="407"/>
        <v>-353.25654267552574</v>
      </c>
      <c r="CI393" s="566">
        <f>VLOOKUP($A393,'01-02.2021'!$A$6:$CZ$403,87,FALSE)+VLOOKUP($A393,'1.3.21-28.2.22'!$A$6:$DA$404,87,FALSE)-VLOOKUP($A393,'01-02.2022'!$A$6:$DA$376,87,FALSE)</f>
        <v>8290.9591264192277</v>
      </c>
      <c r="CJ393" s="566">
        <f>VLOOKUP($A393,'01-02.2021'!$A$6:$CZ$403,88,FALSE)+VLOOKUP($A393,'1.3.21-28.2.22'!$A$6:$DA$404,88,FALSE)-VLOOKUP($A393,'01-02.2022'!$A$6:$DA$376,88,FALSE)</f>
        <v>7610.2309890089</v>
      </c>
      <c r="CK393" s="70">
        <f t="shared" si="408"/>
        <v>-680.72813741032769</v>
      </c>
      <c r="CL393" s="566">
        <f>VLOOKUP($A393,'01-02.2021'!$A$6:$CZ$403,90,FALSE)+VLOOKUP($A393,'1.3.21-28.2.22'!$A$6:$DA$404,90,FALSE)-VLOOKUP($A393,'01-02.2022'!$A$6:$DA$376,90,FALSE)</f>
        <v>0</v>
      </c>
      <c r="CM393" s="566">
        <f>VLOOKUP($A393,'01-02.2021'!$A$6:$CZ$403,91,FALSE)+VLOOKUP($A393,'1.3.21-28.2.22'!$A$6:$DA$404,91,FALSE)-VLOOKUP($A393,'01-02.2022'!$A$6:$DA$376,91,FALSE)</f>
        <v>0</v>
      </c>
      <c r="CN393" s="52">
        <f t="shared" si="420"/>
        <v>0</v>
      </c>
      <c r="CO393" s="39">
        <f t="shared" si="414"/>
        <v>8290.9591264192277</v>
      </c>
      <c r="CP393" s="40">
        <f t="shared" si="421"/>
        <v>7610.2309890089</v>
      </c>
      <c r="CQ393" s="52">
        <f t="shared" si="422"/>
        <v>-680.72813741032769</v>
      </c>
      <c r="CR393" s="72">
        <f t="shared" si="415"/>
        <v>216626.58854400238</v>
      </c>
      <c r="CS393" s="5">
        <f t="shared" si="415"/>
        <v>226067.69871635083</v>
      </c>
      <c r="CT393" s="52">
        <f t="shared" si="423"/>
        <v>9441.1101723484462</v>
      </c>
      <c r="CU393" s="77">
        <f t="shared" si="424"/>
        <v>259951.90625280284</v>
      </c>
      <c r="CV393" s="65">
        <f t="shared" si="425"/>
        <v>271281.23845962097</v>
      </c>
      <c r="CW393" s="35">
        <f t="shared" si="426"/>
        <v>11329.33220681813</v>
      </c>
      <c r="CX393" s="566">
        <f>VLOOKUP($A393,'01-02.2021'!$A$6:$CZ$403,102,FALSE)+VLOOKUP($A393,'1.3.21-28.2.22'!$A$6:$DA$404,102,FALSE)-VLOOKUP($A393,'01-02.2022'!$A$6:$DA$376,102,FALSE)</f>
        <v>13241.607519284255</v>
      </c>
      <c r="CY393" s="566">
        <f>VLOOKUP($A393,'01-02.2021'!$A$6:$CZ$403,103,FALSE)+VLOOKUP($A393,'1.3.21-28.2.22'!$A$6:$DA$404,103,FALSE)-VLOOKUP($A393,'01-02.2022'!$A$6:$DA$376,103,FALSE)</f>
        <v>1912.2753124661976</v>
      </c>
      <c r="CZ393" s="52">
        <f t="shared" si="427"/>
        <v>-11329.332206818057</v>
      </c>
      <c r="DA393" s="150">
        <f>'[2]побудинковий звіт'!DA393</f>
        <v>-62016.008962805201</v>
      </c>
      <c r="DB393" s="2">
        <v>3</v>
      </c>
      <c r="DC393" s="414">
        <f>'[4]побудинковий звіт'!DC393</f>
        <v>39038.85</v>
      </c>
      <c r="DD393" s="414">
        <f>'[4]побудинковий звіт'!DD393</f>
        <v>0</v>
      </c>
      <c r="DE393" s="557">
        <f>'[4]побудинковий звіт'!DE393</f>
        <v>14224.69327638606</v>
      </c>
      <c r="DF393" s="557">
        <f>'[4]побудинковий звіт'!DF393</f>
        <v>0</v>
      </c>
      <c r="DG393" s="321">
        <f>VLOOKUP(A393,'кошти 01.03.2021'!$A$6:$D$401,4,)</f>
        <v>-67926.417935143108</v>
      </c>
      <c r="DH393" s="40">
        <f>'[3]побудинковий звіт'!DJ393</f>
        <v>282879.73282090161</v>
      </c>
      <c r="DI393" s="422">
        <f>'[3]побудинковий звіт'!CU393+'[3]побудинковий звіт'!CX393</f>
        <v>24814.156723613934</v>
      </c>
      <c r="DJ393" s="306">
        <f>'[3]побудинковий звіт'!DM393</f>
        <v>5.4337172846068142</v>
      </c>
      <c r="DK393" s="306">
        <f t="shared" si="437"/>
        <v>5.4337172846068142</v>
      </c>
      <c r="DL393" s="306">
        <f>'[3]побудинковий звіт'!DO393</f>
        <v>4.8415828141983965</v>
      </c>
      <c r="DM393" s="28">
        <f t="shared" si="438"/>
        <v>24814.156723613938</v>
      </c>
      <c r="DN393" s="28">
        <f t="shared" si="439"/>
        <v>0</v>
      </c>
      <c r="DO393" s="423">
        <f t="shared" si="440"/>
        <v>24814.156723613938</v>
      </c>
      <c r="DP393" s="94">
        <f t="shared" si="441"/>
        <v>0</v>
      </c>
      <c r="DQ393" s="28">
        <f t="shared" si="442"/>
        <v>24814.156723613938</v>
      </c>
      <c r="DR393" s="318"/>
      <c r="DT393" s="8"/>
      <c r="DU393" s="5"/>
      <c r="DX393" s="5">
        <f t="shared" si="443"/>
        <v>84497.003471388904</v>
      </c>
      <c r="DY393" s="5">
        <f t="shared" si="444"/>
        <v>94747.469303886566</v>
      </c>
      <c r="DZ393" s="159">
        <f>'[3]побудинковий звіт'!EA393</f>
        <v>7582.1956440806407</v>
      </c>
    </row>
    <row r="394" spans="1:130" x14ac:dyDescent="0.3">
      <c r="A394" s="325">
        <v>150000920</v>
      </c>
      <c r="B394" s="41" t="s">
        <v>840</v>
      </c>
      <c r="C394" s="42" t="s">
        <v>328</v>
      </c>
      <c r="D394" s="27"/>
      <c r="E394" s="293">
        <f t="shared" si="412"/>
        <v>4553.8</v>
      </c>
      <c r="F394" s="305">
        <f>'[3]побудинковий звіт'!F394</f>
        <v>4553.8</v>
      </c>
      <c r="G394" s="508">
        <f>'[3]побудинковий звіт'!G394</f>
        <v>0</v>
      </c>
      <c r="H394" s="560">
        <f>'[3]побудинковий звіт'!H394</f>
        <v>0</v>
      </c>
      <c r="I394" s="566">
        <f>VLOOKUP($A394,'01-02.2021'!$A$6:$CZ$403,9,FALSE)+VLOOKUP($A394,'1.3.21-28.2.22'!$A$6:$DA$404,9,FALSE)-VLOOKUP($A394,'01-02.2022'!$A$6:$DA$376,9,FALSE)</f>
        <v>15720.599522139277</v>
      </c>
      <c r="J394" s="566">
        <f>VLOOKUP($A394,'01-02.2021'!$A$6:$CZ$403,10,FALSE)+VLOOKUP($A394,'1.3.21-28.2.22'!$A$6:$DA$404,10,FALSE)-VLOOKUP($A394,'01-02.2022'!$A$6:$DA$376,10,FALSE)</f>
        <v>15348.635441999919</v>
      </c>
      <c r="K394" s="52">
        <f t="shared" si="417"/>
        <v>-371.96408013935797</v>
      </c>
      <c r="L394" s="566">
        <f>VLOOKUP($A394,'01-02.2021'!$A$6:$CZ$403,12,FALSE)+VLOOKUP($A394,'1.3.21-28.2.22'!$A$6:$DA$404,12,FALSE)-VLOOKUP($A394,'01-02.2022'!$A$6:$DA$376,12,FALSE)</f>
        <v>3303.579981878655</v>
      </c>
      <c r="M394" s="566">
        <f>VLOOKUP($A394,'01-02.2021'!$A$6:$CZ$403,13,FALSE)+VLOOKUP($A394,'1.3.21-28.2.22'!$A$6:$DA$404,13,FALSE)-VLOOKUP($A394,'01-02.2022'!$A$6:$DA$376,13,FALSE)</f>
        <v>3298.5442729547449</v>
      </c>
      <c r="N394" s="52">
        <f t="shared" si="418"/>
        <v>-5.0357089239100787</v>
      </c>
      <c r="O394" s="566">
        <f>VLOOKUP($A394,'01-02.2021'!$A$6:$CZ$403,15,FALSE)+VLOOKUP($A394,'1.3.21-28.2.22'!$A$6:$DA$404,15,FALSE)-VLOOKUP($A394,'01-02.2022'!$A$6:$DA$376,15,FALSE)</f>
        <v>6092.9031099430231</v>
      </c>
      <c r="P394" s="566">
        <f>VLOOKUP($A394,'01-02.2021'!$A$6:$CZ$403,16,FALSE)+VLOOKUP($A394,'1.3.21-28.2.22'!$A$6:$DA$404,16,FALSE)-VLOOKUP($A394,'01-02.2022'!$A$6:$DA$376,16,FALSE)</f>
        <v>6094.6699999999973</v>
      </c>
      <c r="Q394" s="70">
        <f t="shared" ref="Q394:Q402" si="445">P394-O394</f>
        <v>1.7668900569742618</v>
      </c>
      <c r="R394" s="566">
        <f>VLOOKUP($A394,'01-02.2021'!$A$6:$CZ$403,18,FALSE)+VLOOKUP($A394,'1.3.21-28.2.22'!$A$6:$DA$404,18,FALSE)-VLOOKUP($A394,'01-02.2022'!$A$6:$DA$376,18,FALSE)</f>
        <v>0</v>
      </c>
      <c r="S394" s="566">
        <f>VLOOKUP($A394,'01-02.2021'!$A$6:$CZ$403,19,FALSE)+VLOOKUP($A394,'1.3.21-28.2.22'!$A$6:$DA$404,19,FALSE)-VLOOKUP($A394,'01-02.2022'!$A$6:$DA$376,19,FALSE)</f>
        <v>0</v>
      </c>
      <c r="T394" s="70">
        <f t="shared" ref="T394:T402" si="446">S394-R394</f>
        <v>0</v>
      </c>
      <c r="U394" s="566">
        <f>VLOOKUP($A394,'01-02.2021'!$A$6:$CZ$403,21,FALSE)+VLOOKUP($A394,'1.3.21-28.2.22'!$A$6:$DA$404,21,FALSE)-VLOOKUP($A394,'01-02.2022'!$A$6:$DA$376,21,FALSE)</f>
        <v>1114.1131194327395</v>
      </c>
      <c r="V394" s="566">
        <f>VLOOKUP($A394,'01-02.2021'!$A$6:$CZ$403,22,FALSE)+VLOOKUP($A394,'1.3.21-28.2.22'!$A$6:$DA$404,22,FALSE)-VLOOKUP($A394,'01-02.2022'!$A$6:$DA$376,22,FALSE)</f>
        <v>946.8548966532129</v>
      </c>
      <c r="W394" s="70">
        <f t="shared" ref="W394:W402" si="447">V394-U394</f>
        <v>-167.25822277952659</v>
      </c>
      <c r="X394" s="566">
        <f>VLOOKUP($A394,'01-02.2021'!$A$6:$CZ$403,24,FALSE)+VLOOKUP($A394,'1.3.21-28.2.22'!$A$6:$DA$404,24,FALSE)-VLOOKUP($A394,'01-02.2022'!$A$6:$DA$376,24,FALSE)</f>
        <v>11304.966748172948</v>
      </c>
      <c r="Y394" s="566">
        <f>VLOOKUP($A394,'01-02.2021'!$A$6:$CZ$403,25,FALSE)+VLOOKUP($A394,'1.3.21-28.2.22'!$A$6:$DA$404,25,FALSE)-VLOOKUP($A394,'01-02.2022'!$A$6:$DA$376,25,FALSE)</f>
        <v>10181.869477234672</v>
      </c>
      <c r="Z394" s="70">
        <f t="shared" ref="Z394:Z402" si="448">Y394-X394</f>
        <v>-1123.0972709382768</v>
      </c>
      <c r="AA394" s="566">
        <f>VLOOKUP($A394,'01-02.2021'!$A$6:$CZ$403,27,FALSE)+VLOOKUP($A394,'1.3.21-28.2.22'!$A$6:$DA$404,27,FALSE)-VLOOKUP($A394,'01-02.2022'!$A$6:$DA$376,27,FALSE)</f>
        <v>910.78</v>
      </c>
      <c r="AB394" s="566">
        <f>VLOOKUP($A394,'01-02.2021'!$A$6:$CZ$403,28,FALSE)+VLOOKUP($A394,'1.3.21-28.2.22'!$A$6:$DA$404,28,FALSE)-VLOOKUP($A394,'01-02.2022'!$A$6:$DA$376,28,FALSE)</f>
        <v>0</v>
      </c>
      <c r="AC394" s="70">
        <f t="shared" ref="AC394:AC402" si="449">AB394-AA394</f>
        <v>-910.78</v>
      </c>
      <c r="AD394" s="566">
        <f>VLOOKUP($A394,'01-02.2021'!$A$6:$CZ$403,30,FALSE)+VLOOKUP($A394,'1.3.21-28.2.22'!$A$6:$DA$404,30,FALSE)-VLOOKUP($A394,'01-02.2022'!$A$6:$DA$376,30,FALSE)</f>
        <v>19560.006163283626</v>
      </c>
      <c r="AE394" s="566">
        <f>VLOOKUP($A394,'01-02.2021'!$A$6:$CZ$403,31,FALSE)+VLOOKUP($A394,'1.3.21-28.2.22'!$A$6:$DA$404,31,FALSE)-VLOOKUP($A394,'01-02.2022'!$A$6:$DA$376,31,FALSE)</f>
        <v>20729.081082849669</v>
      </c>
      <c r="AF394" s="68">
        <f t="shared" ref="AF394:AF402" si="450">AE394-AD394</f>
        <v>1169.0749195660428</v>
      </c>
      <c r="AG394" s="77">
        <f t="shared" si="413"/>
        <v>58006.948644850272</v>
      </c>
      <c r="AH394" s="53">
        <f t="shared" si="413"/>
        <v>56599.655171692219</v>
      </c>
      <c r="AI394" s="52">
        <f t="shared" si="419"/>
        <v>-1407.2934731580535</v>
      </c>
      <c r="AJ394" s="566">
        <f>VLOOKUP($A394,'01-02.2021'!$A$6:$CZ$403,36,FALSE)+VLOOKUP($A394,'1.3.21-28.2.22'!$A$6:$DA$404,36,FALSE)-VLOOKUP($A394,'01-02.2022'!$A$6:$DA$376,36,FALSE)</f>
        <v>0</v>
      </c>
      <c r="AK394" s="566">
        <f>VLOOKUP($A394,'01-02.2021'!$A$6:$CZ$403,37,FALSE)+VLOOKUP($A394,'1.3.21-28.2.22'!$A$6:$DA$404,37,FALSE)-VLOOKUP($A394,'01-02.2022'!$A$6:$DA$376,37,FALSE)</f>
        <v>0</v>
      </c>
      <c r="AL394" s="70">
        <f t="shared" ref="AL394:AL403" si="451">AK394-AJ394</f>
        <v>0</v>
      </c>
      <c r="AM394" s="566">
        <f>VLOOKUP($A394,'01-02.2021'!$A$6:$CZ$403,39,FALSE)+VLOOKUP($A394,'1.3.21-28.2.22'!$A$6:$DA$404,39,FALSE)-VLOOKUP($A394,'01-02.2022'!$A$6:$DA$376,39,FALSE)</f>
        <v>0</v>
      </c>
      <c r="AN394" s="566">
        <f>VLOOKUP($A394,'01-02.2021'!$A$6:$CZ$403,40,FALSE)+VLOOKUP($A394,'1.3.21-28.2.22'!$A$6:$DA$404,40,FALSE)-VLOOKUP($A394,'01-02.2022'!$A$6:$DA$376,40,FALSE)</f>
        <v>0</v>
      </c>
      <c r="AO394" s="70">
        <f t="shared" ref="AO394:AO403" si="452">AN394-AM394</f>
        <v>0</v>
      </c>
      <c r="AP394" s="566">
        <f>VLOOKUP($A394,'01-02.2021'!$A$6:$CZ$403,42,FALSE)+VLOOKUP($A394,'1.3.21-28.2.22'!$A$6:$DA$404,42,FALSE)-VLOOKUP($A394,'01-02.2022'!$A$6:$DA$376,42,FALSE)</f>
        <v>13013.998125319435</v>
      </c>
      <c r="AQ394" s="566">
        <f>VLOOKUP($A394,'01-02.2021'!$A$6:$CZ$403,43,FALSE)+VLOOKUP($A394,'1.3.21-28.2.22'!$A$6:$DA$404,43,FALSE)-VLOOKUP($A394,'01-02.2022'!$A$6:$DA$376,43,FALSE)</f>
        <v>11232.334828581261</v>
      </c>
      <c r="AR394" s="70">
        <f t="shared" ref="AR394:AR403" si="453">AQ394-AP394</f>
        <v>-1781.6632967381738</v>
      </c>
      <c r="AS394" s="566">
        <f>VLOOKUP($A394,'01-02.2021'!$A$6:$CZ$403,45,FALSE)+VLOOKUP($A394,'1.3.21-28.2.22'!$A$6:$DA$404,45,FALSE)-VLOOKUP($A394,'01-02.2022'!$A$6:$DA$376,45,FALSE)</f>
        <v>58545.465503361964</v>
      </c>
      <c r="AT394" s="566">
        <f>VLOOKUP($A394,'01-02.2021'!$A$6:$CZ$403,46,FALSE)+VLOOKUP($A394,'1.3.21-28.2.22'!$A$6:$DA$404,46,FALSE)-VLOOKUP($A394,'01-02.2022'!$A$6:$DA$376,46,FALSE)</f>
        <v>82058.335985670667</v>
      </c>
      <c r="AU394" s="78">
        <f t="shared" ref="AU394:AU403" si="454">AT394-AS394</f>
        <v>23512.870482308703</v>
      </c>
      <c r="AV394" s="566">
        <f>VLOOKUP($A394,'01-02.2021'!$A$6:$CZ$403,48,FALSE)+VLOOKUP($A394,'1.3.21-28.2.22'!$A$6:$DA$404,48,FALSE)-VLOOKUP($A394,'01-02.2022'!$A$6:$DA$376,48,FALSE)</f>
        <v>4274.1599130956447</v>
      </c>
      <c r="AW394" s="566">
        <f>VLOOKUP($A394,'01-02.2021'!$A$6:$CZ$403,49,FALSE)+VLOOKUP($A394,'1.3.21-28.2.22'!$A$6:$DA$404,49,FALSE)-VLOOKUP($A394,'01-02.2022'!$A$6:$DA$376,49,FALSE)</f>
        <v>0</v>
      </c>
      <c r="AX394" s="55">
        <f t="shared" ref="AX394:AX403" si="455">AW394-AV394</f>
        <v>-4274.1599130956447</v>
      </c>
      <c r="AY394" s="566">
        <f>VLOOKUP($A394,'01-02.2021'!$A$6:$CZ$403,51,FALSE)+VLOOKUP($A394,'1.3.21-28.2.22'!$A$6:$DA$404,51,FALSE)-VLOOKUP($A394,'01-02.2022'!$A$6:$DA$376,51,FALSE)</f>
        <v>6210.0053768823118</v>
      </c>
      <c r="AZ394" s="566">
        <f>VLOOKUP($A394,'01-02.2021'!$A$6:$CZ$403,52,FALSE)+VLOOKUP($A394,'1.3.21-28.2.22'!$A$6:$DA$404,52,FALSE)-VLOOKUP($A394,'01-02.2022'!$A$6:$DA$376,52,FALSE)</f>
        <v>2020</v>
      </c>
      <c r="BA394" s="38">
        <f t="shared" ref="BA394:BA403" si="456">AZ394-AY394</f>
        <v>-4190.0053768823118</v>
      </c>
      <c r="BB394" s="566">
        <f>VLOOKUP($A394,'01-02.2021'!$A$6:$CZ$403,54,FALSE)+VLOOKUP($A394,'1.3.21-28.2.22'!$A$6:$DA$404,54,FALSE)-VLOOKUP($A394,'01-02.2022'!$A$6:$DA$376,54,FALSE)</f>
        <v>2315.8320754246724</v>
      </c>
      <c r="BC394" s="566">
        <f>VLOOKUP($A394,'01-02.2021'!$A$6:$CZ$403,55,FALSE)+VLOOKUP($A394,'1.3.21-28.2.22'!$A$6:$DA$404,55,FALSE)-VLOOKUP($A394,'01-02.2022'!$A$6:$DA$376,55,FALSE)</f>
        <v>2190.89</v>
      </c>
      <c r="BD394" s="55">
        <f t="shared" ref="BD394:BD403" si="457">BC394-BB394</f>
        <v>-124.94207542467257</v>
      </c>
      <c r="BE394" s="566">
        <f>VLOOKUP($A394,'01-02.2021'!$A$6:$CZ$403,57,FALSE)+VLOOKUP($A394,'1.3.21-28.2.22'!$A$6:$DA$404,57,FALSE)-VLOOKUP($A394,'01-02.2022'!$A$6:$DA$376,57,FALSE)</f>
        <v>0</v>
      </c>
      <c r="BF394" s="566">
        <f>VLOOKUP($A394,'01-02.2021'!$A$6:$CZ$403,58,FALSE)+VLOOKUP($A394,'1.3.21-28.2.22'!$A$6:$DA$404,58,FALSE)-VLOOKUP($A394,'01-02.2022'!$A$6:$DA$376,58,FALSE)</f>
        <v>0</v>
      </c>
      <c r="BG394" s="55">
        <f t="shared" ref="BG394:BG403" si="458">BF394-BE394</f>
        <v>0</v>
      </c>
      <c r="BH394" s="566">
        <f>VLOOKUP($A394,'01-02.2021'!$A$6:$CZ$403,60,FALSE)+VLOOKUP($A394,'1.3.21-28.2.22'!$A$6:$DA$404,60,FALSE)-VLOOKUP($A394,'01-02.2022'!$A$6:$DA$376,60,FALSE)</f>
        <v>2499.474500414512</v>
      </c>
      <c r="BI394" s="566">
        <f>VLOOKUP($A394,'01-02.2021'!$A$6:$CZ$403,61,FALSE)+VLOOKUP($A394,'1.3.21-28.2.22'!$A$6:$DA$404,61,FALSE)-VLOOKUP($A394,'01-02.2022'!$A$6:$DA$376,61,FALSE)</f>
        <v>0</v>
      </c>
      <c r="BJ394" s="55">
        <f t="shared" ref="BJ394:BJ403" si="459">BI394-BH394</f>
        <v>-2499.474500414512</v>
      </c>
      <c r="BK394" s="566">
        <f>VLOOKUP($A394,'01-02.2021'!$A$6:$CZ$403,63,FALSE)+VLOOKUP($A394,'1.3.21-28.2.22'!$A$6:$DA$404,63,FALSE)-VLOOKUP($A394,'01-02.2022'!$A$6:$DA$376,63,FALSE)</f>
        <v>4002.24674785656</v>
      </c>
      <c r="BL394" s="566">
        <f>VLOOKUP($A394,'01-02.2021'!$A$6:$CZ$403,64,FALSE)+VLOOKUP($A394,'1.3.21-28.2.22'!$A$6:$DA$404,64,FALSE)-VLOOKUP($A394,'01-02.2022'!$A$6:$DA$376,64,FALSE)</f>
        <v>0</v>
      </c>
      <c r="BM394" s="55">
        <f t="shared" ref="BM394:BM403" si="460">BL394-BK394</f>
        <v>-4002.24674785656</v>
      </c>
      <c r="BN394" s="566">
        <f>VLOOKUP($A394,'01-02.2021'!$A$6:$CZ$403,66,FALSE)+VLOOKUP($A394,'1.3.21-28.2.22'!$A$6:$DA$404,66,FALSE)-VLOOKUP($A394,'01-02.2022'!$A$6:$DA$376,66,FALSE)</f>
        <v>227.69499999999999</v>
      </c>
      <c r="BO394" s="566">
        <f>VLOOKUP($A394,'01-02.2021'!$A$6:$CZ$403,67,FALSE)+VLOOKUP($A394,'1.3.21-28.2.22'!$A$6:$DA$404,67,FALSE)-VLOOKUP($A394,'01-02.2022'!$A$6:$DA$376,67,FALSE)</f>
        <v>0</v>
      </c>
      <c r="BP394" s="55">
        <f t="shared" ref="BP394:BP403" si="461">BO394-BN394</f>
        <v>-227.69499999999999</v>
      </c>
      <c r="BQ394" s="77">
        <f t="shared" si="409"/>
        <v>19529.4136136737</v>
      </c>
      <c r="BR394" s="40">
        <f t="shared" si="434"/>
        <v>4210.8899999999994</v>
      </c>
      <c r="BS394" s="55">
        <f t="shared" si="428"/>
        <v>-15318.5236136737</v>
      </c>
      <c r="BT394" s="566">
        <f>VLOOKUP($A394,'01-02.2021'!$A$6:$CZ$403,72,FALSE)+VLOOKUP($A394,'1.3.21-28.2.22'!$A$6:$DA$404,72,FALSE)-VLOOKUP($A394,'01-02.2022'!$A$6:$DA$376,72,FALSE)</f>
        <v>33683.855815693096</v>
      </c>
      <c r="BU394" s="566">
        <f>VLOOKUP($A394,'01-02.2021'!$A$6:$CZ$403,73,FALSE)+VLOOKUP($A394,'1.3.21-28.2.22'!$A$6:$DA$404,73,FALSE)-VLOOKUP($A394,'01-02.2022'!$A$6:$DA$376,73,FALSE)</f>
        <v>40949.360247868914</v>
      </c>
      <c r="BV394" s="70">
        <f t="shared" ref="BV394:BV403" si="462">BU394-BT394</f>
        <v>7265.5044321758178</v>
      </c>
      <c r="BW394" s="566">
        <f>VLOOKUP($A394,'01-02.2021'!$A$6:$CZ$403,75,FALSE)+VLOOKUP($A394,'1.3.21-28.2.22'!$A$6:$DA$404,75,FALSE)-VLOOKUP($A394,'01-02.2022'!$A$6:$DA$376,75,FALSE)</f>
        <v>22363.534812813228</v>
      </c>
      <c r="BX394" s="566">
        <f>VLOOKUP($A394,'01-02.2021'!$A$6:$CZ$403,76,FALSE)+VLOOKUP($A394,'1.3.21-28.2.22'!$A$6:$DA$404,76,FALSE)-VLOOKUP($A394,'01-02.2022'!$A$6:$DA$376,76,FALSE)</f>
        <v>24500.304791740546</v>
      </c>
      <c r="BY394" s="70">
        <f t="shared" ref="BY394:BY403" si="463">BX394-BW394</f>
        <v>2136.7699789273174</v>
      </c>
      <c r="BZ394" s="566">
        <f>VLOOKUP($A394,'01-02.2021'!$A$6:$CZ$403,78,FALSE)+VLOOKUP($A394,'1.3.21-28.2.22'!$A$6:$DA$404,78,FALSE)-VLOOKUP($A394,'01-02.2022'!$A$6:$DA$376,78,FALSE)</f>
        <v>7826.7471244902263</v>
      </c>
      <c r="CA394" s="566">
        <f>VLOOKUP($A394,'01-02.2021'!$A$6:$CZ$403,79,FALSE)+VLOOKUP($A394,'1.3.21-28.2.22'!$A$6:$DA$404,79,FALSE)-VLOOKUP($A394,'01-02.2022'!$A$6:$DA$376,79,FALSE)</f>
        <v>6546.2981225240655</v>
      </c>
      <c r="CB394" s="70">
        <f t="shared" ref="CB394:CB403" si="464">CA394-BZ394</f>
        <v>-1280.4490019661607</v>
      </c>
      <c r="CC394" s="566">
        <f>VLOOKUP($A394,'01-02.2021'!$A$6:$CZ$403,81,FALSE)+VLOOKUP($A394,'1.3.21-28.2.22'!$A$6:$DA$404,81,FALSE)-VLOOKUP($A394,'01-02.2022'!$A$6:$DA$376,81,FALSE)</f>
        <v>2909.5118675822032</v>
      </c>
      <c r="CD394" s="566">
        <f>VLOOKUP($A394,'01-02.2021'!$A$6:$CZ$403,82,FALSE)+VLOOKUP($A394,'1.3.21-28.2.22'!$A$6:$DA$404,82,FALSE)-VLOOKUP($A394,'01-02.2022'!$A$6:$DA$376,82,FALSE)</f>
        <v>3180.0761615697047</v>
      </c>
      <c r="CE394" s="70">
        <f t="shared" ref="CE394:CE403" si="465">CD394-CC394</f>
        <v>270.56429398750151</v>
      </c>
      <c r="CF394" s="566">
        <f>VLOOKUP($A394,'01-02.2021'!$A$6:$CZ$403,84,FALSE)+VLOOKUP($A394,'1.3.21-28.2.22'!$A$6:$DA$404,84,FALSE)-VLOOKUP($A394,'01-02.2022'!$A$6:$DA$376,84,FALSE)</f>
        <v>353.71110072676254</v>
      </c>
      <c r="CG394" s="566">
        <f>VLOOKUP($A394,'01-02.2021'!$A$6:$CZ$403,85,FALSE)+VLOOKUP($A394,'1.3.21-28.2.22'!$A$6:$DA$404,85,FALSE)-VLOOKUP($A394,'01-02.2022'!$A$6:$DA$376,85,FALSE)</f>
        <v>0</v>
      </c>
      <c r="CH394" s="70">
        <f t="shared" ref="CH394:CH403" si="466">CG394-CF394</f>
        <v>-353.71110072676254</v>
      </c>
      <c r="CI394" s="566">
        <f>VLOOKUP($A394,'01-02.2021'!$A$6:$CZ$403,87,FALSE)+VLOOKUP($A394,'1.3.21-28.2.22'!$A$6:$DA$404,87,FALSE)-VLOOKUP($A394,'01-02.2022'!$A$6:$DA$376,87,FALSE)</f>
        <v>10890.017860101641</v>
      </c>
      <c r="CJ394" s="566">
        <f>VLOOKUP($A394,'01-02.2021'!$A$6:$CZ$403,88,FALSE)+VLOOKUP($A394,'1.3.21-28.2.22'!$A$6:$DA$404,88,FALSE)-VLOOKUP($A394,'01-02.2022'!$A$6:$DA$376,88,FALSE)</f>
        <v>10269.257026635172</v>
      </c>
      <c r="CK394" s="70">
        <f t="shared" ref="CK394:CK403" si="467">CJ394-CI394</f>
        <v>-620.76083346646919</v>
      </c>
      <c r="CL394" s="566">
        <f>VLOOKUP($A394,'01-02.2021'!$A$6:$CZ$403,90,FALSE)+VLOOKUP($A394,'1.3.21-28.2.22'!$A$6:$DA$404,90,FALSE)-VLOOKUP($A394,'01-02.2022'!$A$6:$DA$376,90,FALSE)</f>
        <v>0</v>
      </c>
      <c r="CM394" s="566">
        <f>VLOOKUP($A394,'01-02.2021'!$A$6:$CZ$403,91,FALSE)+VLOOKUP($A394,'1.3.21-28.2.22'!$A$6:$DA$404,91,FALSE)-VLOOKUP($A394,'01-02.2022'!$A$6:$DA$376,91,FALSE)</f>
        <v>0</v>
      </c>
      <c r="CN394" s="52">
        <f t="shared" si="420"/>
        <v>0</v>
      </c>
      <c r="CO394" s="39">
        <f t="shared" si="414"/>
        <v>10890.017860101641</v>
      </c>
      <c r="CP394" s="40">
        <f t="shared" si="421"/>
        <v>10269.257026635172</v>
      </c>
      <c r="CQ394" s="52">
        <f t="shared" si="422"/>
        <v>-620.76083346646919</v>
      </c>
      <c r="CR394" s="72">
        <f t="shared" si="415"/>
        <v>227123.20446861253</v>
      </c>
      <c r="CS394" s="5">
        <f t="shared" si="415"/>
        <v>239546.51233628255</v>
      </c>
      <c r="CT394" s="52">
        <f t="shared" si="423"/>
        <v>12423.307867670024</v>
      </c>
      <c r="CU394" s="77">
        <f t="shared" si="424"/>
        <v>272547.84536233504</v>
      </c>
      <c r="CV394" s="65">
        <f t="shared" si="425"/>
        <v>287455.81480353908</v>
      </c>
      <c r="CW394" s="35">
        <f t="shared" si="426"/>
        <v>14907.969441204041</v>
      </c>
      <c r="CX394" s="566">
        <f>VLOOKUP($A394,'01-02.2021'!$A$6:$CZ$403,102,FALSE)+VLOOKUP($A394,'1.3.21-28.2.22'!$A$6:$DA$404,102,FALSE)-VLOOKUP($A394,'01-02.2022'!$A$6:$DA$376,102,FALSE)</f>
        <v>8629.3041469658856</v>
      </c>
      <c r="CY394" s="566">
        <f>VLOOKUP($A394,'01-02.2021'!$A$6:$CZ$403,103,FALSE)+VLOOKUP($A394,'1.3.21-28.2.22'!$A$6:$DA$404,103,FALSE)-VLOOKUP($A394,'01-02.2022'!$A$6:$DA$376,103,FALSE)</f>
        <v>-6278.6652942381206</v>
      </c>
      <c r="CZ394" s="52">
        <f t="shared" si="427"/>
        <v>-14907.969441204006</v>
      </c>
      <c r="DA394" s="150">
        <f>'[2]побудинковий звіт'!DA394</f>
        <v>-2765.6901258967828</v>
      </c>
      <c r="DB394" s="2">
        <v>3</v>
      </c>
      <c r="DC394" s="414">
        <f>'[4]побудинковий звіт'!DC394</f>
        <v>40203.54</v>
      </c>
      <c r="DD394" s="414">
        <f>'[4]побудинковий звіт'!DD394</f>
        <v>0</v>
      </c>
      <c r="DE394" s="557">
        <f>'[4]побудинковий звіт'!DE394</f>
        <v>14703.961211563128</v>
      </c>
      <c r="DF394" s="557">
        <f>'[4]побудинковий звіт'!DF394</f>
        <v>0</v>
      </c>
      <c r="DG394" s="321">
        <f>VLOOKUP(A394,'кошти 01.03.2021'!$A$6:$D$401,4,)</f>
        <v>-6096.2931041121519</v>
      </c>
      <c r="DH394" s="40">
        <f>'[3]побудинковий звіт'!DJ394</f>
        <v>290955.31898941507</v>
      </c>
      <c r="DI394" s="422">
        <f>'[3]побудинковий звіт'!CU394+'[3]побудинковий звіт'!CX394</f>
        <v>25499.578788436869</v>
      </c>
      <c r="DJ394" s="306">
        <f>'[3]побудинковий звіт'!DM394</f>
        <v>5.5996264193501846</v>
      </c>
      <c r="DK394" s="306">
        <f t="shared" si="437"/>
        <v>5.5996264193501846</v>
      </c>
      <c r="DL394" s="306">
        <f>'[3]побудинковий звіт'!DO394</f>
        <v>5.0142062075803944</v>
      </c>
      <c r="DM394" s="28">
        <f t="shared" si="438"/>
        <v>25499.578788436873</v>
      </c>
      <c r="DN394" s="28">
        <f t="shared" si="439"/>
        <v>0</v>
      </c>
      <c r="DO394" s="423">
        <f t="shared" si="440"/>
        <v>25499.578788436873</v>
      </c>
      <c r="DP394" s="94">
        <f t="shared" si="441"/>
        <v>0</v>
      </c>
      <c r="DQ394" s="28">
        <f t="shared" si="442"/>
        <v>25499.578788436873</v>
      </c>
      <c r="DR394" s="318"/>
      <c r="DT394" s="8"/>
      <c r="DU394" s="5"/>
      <c r="DX394" s="5">
        <f t="shared" si="443"/>
        <v>93689.85494044279</v>
      </c>
      <c r="DY394" s="5">
        <f t="shared" si="444"/>
        <v>103523.07118280479</v>
      </c>
      <c r="DZ394" s="159">
        <f>'[3]побудинковий звіт'!EA394</f>
        <v>8890.1407781721391</v>
      </c>
    </row>
    <row r="395" spans="1:130" x14ac:dyDescent="0.3">
      <c r="A395" s="325">
        <v>150000921</v>
      </c>
      <c r="B395" s="41" t="s">
        <v>841</v>
      </c>
      <c r="C395" s="42" t="s">
        <v>329</v>
      </c>
      <c r="D395" s="27"/>
      <c r="E395" s="293">
        <f t="shared" si="412"/>
        <v>6174.2300000000005</v>
      </c>
      <c r="F395" s="305">
        <f>'[3]побудинковий звіт'!F395</f>
        <v>6129.13</v>
      </c>
      <c r="G395" s="508">
        <f>'[3]побудинковий звіт'!G395</f>
        <v>0</v>
      </c>
      <c r="H395" s="560">
        <f>'[3]побудинковий звіт'!H395</f>
        <v>45.1</v>
      </c>
      <c r="I395" s="566">
        <f>VLOOKUP($A395,'01-02.2021'!$A$6:$CZ$403,9,FALSE)+VLOOKUP($A395,'1.3.21-28.2.22'!$A$6:$DA$404,9,FALSE)-VLOOKUP($A395,'01-02.2022'!$A$6:$DA$376,9,FALSE)</f>
        <v>20629.922634109316</v>
      </c>
      <c r="J395" s="566">
        <f>VLOOKUP($A395,'01-02.2021'!$A$6:$CZ$403,10,FALSE)+VLOOKUP($A395,'1.3.21-28.2.22'!$A$6:$DA$404,10,FALSE)-VLOOKUP($A395,'01-02.2022'!$A$6:$DA$376,10,FALSE)</f>
        <v>20147.940607994944</v>
      </c>
      <c r="K395" s="52">
        <f t="shared" si="417"/>
        <v>-481.98202611437227</v>
      </c>
      <c r="L395" s="566">
        <f>VLOOKUP($A395,'01-02.2021'!$A$6:$CZ$403,12,FALSE)+VLOOKUP($A395,'1.3.21-28.2.22'!$A$6:$DA$404,12,FALSE)-VLOOKUP($A395,'01-02.2022'!$A$6:$DA$376,12,FALSE)</f>
        <v>4411.42731771746</v>
      </c>
      <c r="M395" s="566">
        <f>VLOOKUP($A395,'01-02.2021'!$A$6:$CZ$403,13,FALSE)+VLOOKUP($A395,'1.3.21-28.2.22'!$A$6:$DA$404,13,FALSE)-VLOOKUP($A395,'01-02.2022'!$A$6:$DA$376,13,FALSE)</f>
        <v>4404.6955216122078</v>
      </c>
      <c r="N395" s="52">
        <f t="shared" si="418"/>
        <v>-6.7317961052522151</v>
      </c>
      <c r="O395" s="566">
        <f>VLOOKUP($A395,'01-02.2021'!$A$6:$CZ$403,15,FALSE)+VLOOKUP($A395,'1.3.21-28.2.22'!$A$6:$DA$404,15,FALSE)-VLOOKUP($A395,'01-02.2022'!$A$6:$DA$376,15,FALSE)</f>
        <v>8395.8704191652159</v>
      </c>
      <c r="P395" s="566">
        <f>VLOOKUP($A395,'01-02.2021'!$A$6:$CZ$403,16,FALSE)+VLOOKUP($A395,'1.3.21-28.2.22'!$A$6:$DA$404,16,FALSE)-VLOOKUP($A395,'01-02.2022'!$A$6:$DA$376,16,FALSE)</f>
        <v>8397.9583333333339</v>
      </c>
      <c r="Q395" s="70">
        <f t="shared" si="445"/>
        <v>2.0879141681180045</v>
      </c>
      <c r="R395" s="566">
        <f>VLOOKUP($A395,'01-02.2021'!$A$6:$CZ$403,18,FALSE)+VLOOKUP($A395,'1.3.21-28.2.22'!$A$6:$DA$404,18,FALSE)-VLOOKUP($A395,'01-02.2022'!$A$6:$DA$376,18,FALSE)</f>
        <v>0</v>
      </c>
      <c r="S395" s="566">
        <f>VLOOKUP($A395,'01-02.2021'!$A$6:$CZ$403,19,FALSE)+VLOOKUP($A395,'1.3.21-28.2.22'!$A$6:$DA$404,19,FALSE)-VLOOKUP($A395,'01-02.2022'!$A$6:$DA$376,19,FALSE)</f>
        <v>0</v>
      </c>
      <c r="T395" s="70">
        <f t="shared" si="446"/>
        <v>0</v>
      </c>
      <c r="U395" s="566">
        <f>VLOOKUP($A395,'01-02.2021'!$A$6:$CZ$403,21,FALSE)+VLOOKUP($A395,'1.3.21-28.2.22'!$A$6:$DA$404,21,FALSE)-VLOOKUP($A395,'01-02.2022'!$A$6:$DA$376,21,FALSE)</f>
        <v>1724.4098101121328</v>
      </c>
      <c r="V395" s="566">
        <f>VLOOKUP($A395,'01-02.2021'!$A$6:$CZ$403,22,FALSE)+VLOOKUP($A395,'1.3.21-28.2.22'!$A$6:$DA$404,22,FALSE)-VLOOKUP($A395,'01-02.2022'!$A$6:$DA$376,22,FALSE)</f>
        <v>1465.5432276544427</v>
      </c>
      <c r="W395" s="70">
        <f t="shared" si="447"/>
        <v>-258.86658245769013</v>
      </c>
      <c r="X395" s="566">
        <f>VLOOKUP($A395,'01-02.2021'!$A$6:$CZ$403,24,FALSE)+VLOOKUP($A395,'1.3.21-28.2.22'!$A$6:$DA$404,24,FALSE)-VLOOKUP($A395,'01-02.2022'!$A$6:$DA$376,24,FALSE)</f>
        <v>18045.233159592721</v>
      </c>
      <c r="Y395" s="566">
        <f>VLOOKUP($A395,'01-02.2021'!$A$6:$CZ$403,25,FALSE)+VLOOKUP($A395,'1.3.21-28.2.22'!$A$6:$DA$404,25,FALSE)-VLOOKUP($A395,'01-02.2022'!$A$6:$DA$376,25,FALSE)</f>
        <v>16000.009617428976</v>
      </c>
      <c r="Z395" s="70">
        <f t="shared" si="448"/>
        <v>-2045.2235421637452</v>
      </c>
      <c r="AA395" s="566">
        <f>VLOOKUP($A395,'01-02.2021'!$A$6:$CZ$403,27,FALSE)+VLOOKUP($A395,'1.3.21-28.2.22'!$A$6:$DA$404,27,FALSE)-VLOOKUP($A395,'01-02.2022'!$A$6:$DA$376,27,FALSE)</f>
        <v>1234.7660000000001</v>
      </c>
      <c r="AB395" s="566">
        <f>VLOOKUP($A395,'01-02.2021'!$A$6:$CZ$403,28,FALSE)+VLOOKUP($A395,'1.3.21-28.2.22'!$A$6:$DA$404,28,FALSE)-VLOOKUP($A395,'01-02.2022'!$A$6:$DA$376,28,FALSE)</f>
        <v>0</v>
      </c>
      <c r="AC395" s="70">
        <f t="shared" si="449"/>
        <v>-1234.7660000000001</v>
      </c>
      <c r="AD395" s="566">
        <f>VLOOKUP($A395,'01-02.2021'!$A$6:$CZ$403,30,FALSE)+VLOOKUP($A395,'1.3.21-28.2.22'!$A$6:$DA$404,30,FALSE)-VLOOKUP($A395,'01-02.2022'!$A$6:$DA$376,30,FALSE)</f>
        <v>26514.850613900548</v>
      </c>
      <c r="AE395" s="566">
        <f>VLOOKUP($A395,'01-02.2021'!$A$6:$CZ$403,31,FALSE)+VLOOKUP($A395,'1.3.21-28.2.22'!$A$6:$DA$404,31,FALSE)-VLOOKUP($A395,'01-02.2022'!$A$6:$DA$376,31,FALSE)</f>
        <v>28105.343733620917</v>
      </c>
      <c r="AF395" s="68">
        <f t="shared" si="450"/>
        <v>1590.4931197203696</v>
      </c>
      <c r="AG395" s="77">
        <f t="shared" si="413"/>
        <v>80956.479954597395</v>
      </c>
      <c r="AH395" s="53">
        <f t="shared" si="413"/>
        <v>78521.491041644826</v>
      </c>
      <c r="AI395" s="52">
        <f t="shared" si="419"/>
        <v>-2434.9889129525691</v>
      </c>
      <c r="AJ395" s="566">
        <f>VLOOKUP($A395,'01-02.2021'!$A$6:$CZ$403,36,FALSE)+VLOOKUP($A395,'1.3.21-28.2.22'!$A$6:$DA$404,36,FALSE)-VLOOKUP($A395,'01-02.2022'!$A$6:$DA$376,36,FALSE)</f>
        <v>0</v>
      </c>
      <c r="AK395" s="566">
        <f>VLOOKUP($A395,'01-02.2021'!$A$6:$CZ$403,37,FALSE)+VLOOKUP($A395,'1.3.21-28.2.22'!$A$6:$DA$404,37,FALSE)-VLOOKUP($A395,'01-02.2022'!$A$6:$DA$376,37,FALSE)</f>
        <v>0</v>
      </c>
      <c r="AL395" s="70">
        <f t="shared" si="451"/>
        <v>0</v>
      </c>
      <c r="AM395" s="566">
        <f>VLOOKUP($A395,'01-02.2021'!$A$6:$CZ$403,39,FALSE)+VLOOKUP($A395,'1.3.21-28.2.22'!$A$6:$DA$404,39,FALSE)-VLOOKUP($A395,'01-02.2022'!$A$6:$DA$376,39,FALSE)</f>
        <v>0</v>
      </c>
      <c r="AN395" s="566">
        <f>VLOOKUP($A395,'01-02.2021'!$A$6:$CZ$403,40,FALSE)+VLOOKUP($A395,'1.3.21-28.2.22'!$A$6:$DA$404,40,FALSE)-VLOOKUP($A395,'01-02.2022'!$A$6:$DA$376,40,FALSE)</f>
        <v>0</v>
      </c>
      <c r="AO395" s="70">
        <f t="shared" si="452"/>
        <v>0</v>
      </c>
      <c r="AP395" s="566">
        <f>VLOOKUP($A395,'01-02.2021'!$A$6:$CZ$403,42,FALSE)+VLOOKUP($A395,'1.3.21-28.2.22'!$A$6:$DA$404,42,FALSE)-VLOOKUP($A395,'01-02.2022'!$A$6:$DA$376,42,FALSE)</f>
        <v>16657.917600408873</v>
      </c>
      <c r="AQ395" s="566">
        <f>VLOOKUP($A395,'01-02.2021'!$A$6:$CZ$403,43,FALSE)+VLOOKUP($A395,'1.3.21-28.2.22'!$A$6:$DA$404,43,FALSE)-VLOOKUP($A395,'01-02.2022'!$A$6:$DA$376,43,FALSE)</f>
        <v>14377.388580584016</v>
      </c>
      <c r="AR395" s="70">
        <f t="shared" si="453"/>
        <v>-2280.5290198248567</v>
      </c>
      <c r="AS395" s="566">
        <f>VLOOKUP($A395,'01-02.2021'!$A$6:$CZ$403,45,FALSE)+VLOOKUP($A395,'1.3.21-28.2.22'!$A$6:$DA$404,45,FALSE)-VLOOKUP($A395,'01-02.2022'!$A$6:$DA$376,45,FALSE)</f>
        <v>52258.304296541181</v>
      </c>
      <c r="AT395" s="566">
        <f>VLOOKUP($A395,'01-02.2021'!$A$6:$CZ$403,46,FALSE)+VLOOKUP($A395,'1.3.21-28.2.22'!$A$6:$DA$404,46,FALSE)-VLOOKUP($A395,'01-02.2022'!$A$6:$DA$376,46,FALSE)</f>
        <v>33204.130000000005</v>
      </c>
      <c r="AU395" s="78">
        <f t="shared" si="454"/>
        <v>-19054.174296541176</v>
      </c>
      <c r="AV395" s="566">
        <f>VLOOKUP($A395,'01-02.2021'!$A$6:$CZ$403,48,FALSE)+VLOOKUP($A395,'1.3.21-28.2.22'!$A$6:$DA$404,48,FALSE)-VLOOKUP($A395,'01-02.2022'!$A$6:$DA$376,48,FALSE)</f>
        <v>5658.3345083942613</v>
      </c>
      <c r="AW395" s="566">
        <f>VLOOKUP($A395,'01-02.2021'!$A$6:$CZ$403,49,FALSE)+VLOOKUP($A395,'1.3.21-28.2.22'!$A$6:$DA$404,49,FALSE)-VLOOKUP($A395,'01-02.2022'!$A$6:$DA$376,49,FALSE)</f>
        <v>1090.67</v>
      </c>
      <c r="AX395" s="55">
        <f t="shared" si="455"/>
        <v>-4567.6645083942612</v>
      </c>
      <c r="AY395" s="566">
        <f>VLOOKUP($A395,'01-02.2021'!$A$6:$CZ$403,51,FALSE)+VLOOKUP($A395,'1.3.21-28.2.22'!$A$6:$DA$404,51,FALSE)-VLOOKUP($A395,'01-02.2022'!$A$6:$DA$376,51,FALSE)</f>
        <v>8292.3539316144634</v>
      </c>
      <c r="AZ395" s="566">
        <f>VLOOKUP($A395,'01-02.2021'!$A$6:$CZ$403,52,FALSE)+VLOOKUP($A395,'1.3.21-28.2.22'!$A$6:$DA$404,52,FALSE)-VLOOKUP($A395,'01-02.2022'!$A$6:$DA$376,52,FALSE)</f>
        <v>185.96</v>
      </c>
      <c r="BA395" s="38">
        <f t="shared" si="456"/>
        <v>-8106.3939316144633</v>
      </c>
      <c r="BB395" s="566">
        <f>VLOOKUP($A395,'01-02.2021'!$A$6:$CZ$403,54,FALSE)+VLOOKUP($A395,'1.3.21-28.2.22'!$A$6:$DA$404,54,FALSE)-VLOOKUP($A395,'01-02.2022'!$A$6:$DA$376,54,FALSE)</f>
        <v>2986.3793345133136</v>
      </c>
      <c r="BC395" s="566">
        <f>VLOOKUP($A395,'01-02.2021'!$A$6:$CZ$403,55,FALSE)+VLOOKUP($A395,'1.3.21-28.2.22'!$A$6:$DA$404,55,FALSE)-VLOOKUP($A395,'01-02.2022'!$A$6:$DA$376,55,FALSE)</f>
        <v>0</v>
      </c>
      <c r="BD395" s="55">
        <f t="shared" si="457"/>
        <v>-2986.3793345133136</v>
      </c>
      <c r="BE395" s="566">
        <f>VLOOKUP($A395,'01-02.2021'!$A$6:$CZ$403,57,FALSE)+VLOOKUP($A395,'1.3.21-28.2.22'!$A$6:$DA$404,57,FALSE)-VLOOKUP($A395,'01-02.2022'!$A$6:$DA$376,57,FALSE)</f>
        <v>0</v>
      </c>
      <c r="BF395" s="566">
        <f>VLOOKUP($A395,'01-02.2021'!$A$6:$CZ$403,58,FALSE)+VLOOKUP($A395,'1.3.21-28.2.22'!$A$6:$DA$404,58,FALSE)-VLOOKUP($A395,'01-02.2022'!$A$6:$DA$376,58,FALSE)</f>
        <v>0</v>
      </c>
      <c r="BG395" s="55">
        <f t="shared" si="458"/>
        <v>0</v>
      </c>
      <c r="BH395" s="566">
        <f>VLOOKUP($A395,'01-02.2021'!$A$6:$CZ$403,60,FALSE)+VLOOKUP($A395,'1.3.21-28.2.22'!$A$6:$DA$404,60,FALSE)-VLOOKUP($A395,'01-02.2022'!$A$6:$DA$376,60,FALSE)</f>
        <v>3869.2065280804436</v>
      </c>
      <c r="BI395" s="566">
        <f>VLOOKUP($A395,'01-02.2021'!$A$6:$CZ$403,61,FALSE)+VLOOKUP($A395,'1.3.21-28.2.22'!$A$6:$DA$404,61,FALSE)-VLOOKUP($A395,'01-02.2022'!$A$6:$DA$376,61,FALSE)</f>
        <v>0</v>
      </c>
      <c r="BJ395" s="55">
        <f t="shared" si="459"/>
        <v>-3869.2065280804436</v>
      </c>
      <c r="BK395" s="566">
        <f>VLOOKUP($A395,'01-02.2021'!$A$6:$CZ$403,63,FALSE)+VLOOKUP($A395,'1.3.21-28.2.22'!$A$6:$DA$404,63,FALSE)-VLOOKUP($A395,'01-02.2022'!$A$6:$DA$376,63,FALSE)</f>
        <v>6765.5613466504119</v>
      </c>
      <c r="BL395" s="566">
        <f>VLOOKUP($A395,'01-02.2021'!$A$6:$CZ$403,64,FALSE)+VLOOKUP($A395,'1.3.21-28.2.22'!$A$6:$DA$404,64,FALSE)-VLOOKUP($A395,'01-02.2022'!$A$6:$DA$376,64,FALSE)</f>
        <v>943</v>
      </c>
      <c r="BM395" s="55">
        <f t="shared" si="460"/>
        <v>-5822.5613466504119</v>
      </c>
      <c r="BN395" s="566">
        <f>VLOOKUP($A395,'01-02.2021'!$A$6:$CZ$403,66,FALSE)+VLOOKUP($A395,'1.3.21-28.2.22'!$A$6:$DA$404,66,FALSE)-VLOOKUP($A395,'01-02.2022'!$A$6:$DA$376,66,FALSE)</f>
        <v>308.69150000000002</v>
      </c>
      <c r="BO395" s="566">
        <f>VLOOKUP($A395,'01-02.2021'!$A$6:$CZ$403,67,FALSE)+VLOOKUP($A395,'1.3.21-28.2.22'!$A$6:$DA$404,67,FALSE)-VLOOKUP($A395,'01-02.2022'!$A$6:$DA$376,67,FALSE)</f>
        <v>0</v>
      </c>
      <c r="BP395" s="55">
        <f t="shared" si="461"/>
        <v>-308.69150000000002</v>
      </c>
      <c r="BQ395" s="77">
        <f t="shared" si="409"/>
        <v>27880.527149252895</v>
      </c>
      <c r="BR395" s="40">
        <f t="shared" si="434"/>
        <v>2219.63</v>
      </c>
      <c r="BS395" s="55">
        <f t="shared" si="428"/>
        <v>-25660.897149252894</v>
      </c>
      <c r="BT395" s="566">
        <f>VLOOKUP($A395,'01-02.2021'!$A$6:$CZ$403,72,FALSE)+VLOOKUP($A395,'1.3.21-28.2.22'!$A$6:$DA$404,72,FALSE)-VLOOKUP($A395,'01-02.2022'!$A$6:$DA$376,72,FALSE)</f>
        <v>48339.448361918519</v>
      </c>
      <c r="BU395" s="566">
        <f>VLOOKUP($A395,'01-02.2021'!$A$6:$CZ$403,73,FALSE)+VLOOKUP($A395,'1.3.21-28.2.22'!$A$6:$DA$404,73,FALSE)-VLOOKUP($A395,'01-02.2022'!$A$6:$DA$376,73,FALSE)</f>
        <v>59676.25168435814</v>
      </c>
      <c r="BV395" s="70">
        <f t="shared" si="462"/>
        <v>11336.80332243962</v>
      </c>
      <c r="BW395" s="566">
        <f>VLOOKUP($A395,'01-02.2021'!$A$6:$CZ$403,75,FALSE)+VLOOKUP($A395,'1.3.21-28.2.22'!$A$6:$DA$404,75,FALSE)-VLOOKUP($A395,'01-02.2022'!$A$6:$DA$376,75,FALSE)</f>
        <v>30192.472925477654</v>
      </c>
      <c r="BX395" s="566">
        <f>VLOOKUP($A395,'01-02.2021'!$A$6:$CZ$403,76,FALSE)+VLOOKUP($A395,'1.3.21-28.2.22'!$A$6:$DA$404,76,FALSE)-VLOOKUP($A395,'01-02.2022'!$A$6:$DA$376,76,FALSE)</f>
        <v>32444.45821338275</v>
      </c>
      <c r="BY395" s="70">
        <f t="shared" si="463"/>
        <v>2251.9852879050959</v>
      </c>
      <c r="BZ395" s="566">
        <f>VLOOKUP($A395,'01-02.2021'!$A$6:$CZ$403,78,FALSE)+VLOOKUP($A395,'1.3.21-28.2.22'!$A$6:$DA$404,78,FALSE)-VLOOKUP($A395,'01-02.2022'!$A$6:$DA$376,78,FALSE)</f>
        <v>9637.9522147645275</v>
      </c>
      <c r="CA395" s="566">
        <f>VLOOKUP($A395,'01-02.2021'!$A$6:$CZ$403,79,FALSE)+VLOOKUP($A395,'1.3.21-28.2.22'!$A$6:$DA$404,79,FALSE)-VLOOKUP($A395,'01-02.2022'!$A$6:$DA$376,79,FALSE)</f>
        <v>11116.687685938552</v>
      </c>
      <c r="CB395" s="70">
        <f t="shared" si="464"/>
        <v>1478.7354711740245</v>
      </c>
      <c r="CC395" s="566">
        <f>VLOOKUP($A395,'01-02.2021'!$A$6:$CZ$403,81,FALSE)+VLOOKUP($A395,'1.3.21-28.2.22'!$A$6:$DA$404,81,FALSE)-VLOOKUP($A395,'01-02.2022'!$A$6:$DA$376,81,FALSE)</f>
        <v>3422.2953067007829</v>
      </c>
      <c r="CD395" s="566">
        <f>VLOOKUP($A395,'01-02.2021'!$A$6:$CZ$403,82,FALSE)+VLOOKUP($A395,'1.3.21-28.2.22'!$A$6:$DA$404,82,FALSE)-VLOOKUP($A395,'01-02.2022'!$A$6:$DA$376,82,FALSE)</f>
        <v>3740.5448810679445</v>
      </c>
      <c r="CE395" s="70">
        <f t="shared" si="465"/>
        <v>318.24957436716159</v>
      </c>
      <c r="CF395" s="566">
        <f>VLOOKUP($A395,'01-02.2021'!$A$6:$CZ$403,84,FALSE)+VLOOKUP($A395,'1.3.21-28.2.22'!$A$6:$DA$404,84,FALSE)-VLOOKUP($A395,'01-02.2022'!$A$6:$DA$376,84,FALSE)</f>
        <v>416.05049061067882</v>
      </c>
      <c r="CG395" s="566">
        <f>VLOOKUP($A395,'01-02.2021'!$A$6:$CZ$403,85,FALSE)+VLOOKUP($A395,'1.3.21-28.2.22'!$A$6:$DA$404,85,FALSE)-VLOOKUP($A395,'01-02.2022'!$A$6:$DA$376,85,FALSE)</f>
        <v>0</v>
      </c>
      <c r="CH395" s="70">
        <f t="shared" si="466"/>
        <v>-416.05049061067882</v>
      </c>
      <c r="CI395" s="566">
        <f>VLOOKUP($A395,'01-02.2021'!$A$6:$CZ$403,87,FALSE)+VLOOKUP($A395,'1.3.21-28.2.22'!$A$6:$DA$404,87,FALSE)-VLOOKUP($A395,'01-02.2022'!$A$6:$DA$376,87,FALSE)</f>
        <v>10047.96888164242</v>
      </c>
      <c r="CJ395" s="566">
        <f>VLOOKUP($A395,'01-02.2021'!$A$6:$CZ$403,88,FALSE)+VLOOKUP($A395,'1.3.21-28.2.22'!$A$6:$DA$404,88,FALSE)-VLOOKUP($A395,'01-02.2022'!$A$6:$DA$376,88,FALSE)</f>
        <v>7841.3469979384417</v>
      </c>
      <c r="CK395" s="70">
        <f t="shared" si="467"/>
        <v>-2206.6218837039787</v>
      </c>
      <c r="CL395" s="566">
        <f>VLOOKUP($A395,'01-02.2021'!$A$6:$CZ$403,90,FALSE)+VLOOKUP($A395,'1.3.21-28.2.22'!$A$6:$DA$404,90,FALSE)-VLOOKUP($A395,'01-02.2022'!$A$6:$DA$376,90,FALSE)</f>
        <v>0</v>
      </c>
      <c r="CM395" s="566">
        <f>VLOOKUP($A395,'01-02.2021'!$A$6:$CZ$403,91,FALSE)+VLOOKUP($A395,'1.3.21-28.2.22'!$A$6:$DA$404,91,FALSE)-VLOOKUP($A395,'01-02.2022'!$A$6:$DA$376,91,FALSE)</f>
        <v>0</v>
      </c>
      <c r="CN395" s="52">
        <f t="shared" si="420"/>
        <v>0</v>
      </c>
      <c r="CO395" s="39">
        <f t="shared" si="414"/>
        <v>10047.96888164242</v>
      </c>
      <c r="CP395" s="40">
        <f t="shared" si="421"/>
        <v>7841.3469979384417</v>
      </c>
      <c r="CQ395" s="52">
        <f t="shared" si="422"/>
        <v>-2206.6218837039787</v>
      </c>
      <c r="CR395" s="72">
        <f t="shared" si="415"/>
        <v>279809.41718191496</v>
      </c>
      <c r="CS395" s="5">
        <f t="shared" si="415"/>
        <v>243141.92908491465</v>
      </c>
      <c r="CT395" s="52">
        <f t="shared" si="423"/>
        <v>-36667.488097000314</v>
      </c>
      <c r="CU395" s="77">
        <f t="shared" si="424"/>
        <v>335771.30061829794</v>
      </c>
      <c r="CV395" s="65">
        <f t="shared" si="425"/>
        <v>291770.31490189757</v>
      </c>
      <c r="CW395" s="35">
        <f t="shared" si="426"/>
        <v>-44000.985716400377</v>
      </c>
      <c r="CX395" s="566">
        <f>VLOOKUP($A395,'01-02.2021'!$A$6:$CZ$403,102,FALSE)+VLOOKUP($A395,'1.3.21-28.2.22'!$A$6:$DA$404,102,FALSE)-VLOOKUP($A395,'01-02.2022'!$A$6:$DA$376,102,FALSE)</f>
        <v>17103.979994981531</v>
      </c>
      <c r="CY395" s="566">
        <f>VLOOKUP($A395,'01-02.2021'!$A$6:$CZ$403,103,FALSE)+VLOOKUP($A395,'1.3.21-28.2.22'!$A$6:$DA$404,103,FALSE)-VLOOKUP($A395,'01-02.2022'!$A$6:$DA$376,103,FALSE)</f>
        <v>61104.965711381876</v>
      </c>
      <c r="CZ395" s="52">
        <f t="shared" si="427"/>
        <v>44000.985716400348</v>
      </c>
      <c r="DA395" s="150">
        <f>'[2]побудинковий звіт'!DA395</f>
        <v>-9859.7904681904547</v>
      </c>
      <c r="DB395" s="2">
        <v>3</v>
      </c>
      <c r="DC395" s="414">
        <f>'[4]побудинковий звіт'!DC395</f>
        <v>48099.72</v>
      </c>
      <c r="DD395" s="414">
        <f>'[4]побудинковий звіт'!DD395</f>
        <v>207.14</v>
      </c>
      <c r="DE395" s="557">
        <f>'[4]побудинковий звіт'!DE395</f>
        <v>16268.733147527113</v>
      </c>
      <c r="DF395" s="557">
        <f>'[4]побудинковий звіт'!DF395</f>
        <v>5.9645188656816117E-3</v>
      </c>
      <c r="DG395" s="321">
        <f>VLOOKUP(A395,'кошти 01.03.2021'!$A$6:$D$401,4,)</f>
        <v>49477.896181768578</v>
      </c>
      <c r="DH395" s="40">
        <f>'[3]побудинковий звіт'!DJ395</f>
        <v>365321.58779416815</v>
      </c>
      <c r="DI395" s="422">
        <f>'[3]побудинковий звіт'!CU395+'[3]побудинковий звіт'!CX395</f>
        <v>32038.120887954021</v>
      </c>
      <c r="DJ395" s="306">
        <f>'[3]побудинковий звіт'!DM395</f>
        <v>5.1933939812784011</v>
      </c>
      <c r="DK395" s="306">
        <f t="shared" si="437"/>
        <v>5.1933939812784011</v>
      </c>
      <c r="DL395" s="306">
        <f>'[3]побудинковий звіт'!DO395</f>
        <v>4.5927724053466585</v>
      </c>
      <c r="DM395" s="28">
        <f t="shared" si="438"/>
        <v>31830.986852472888</v>
      </c>
      <c r="DN395" s="28">
        <f t="shared" si="439"/>
        <v>207.1340354811343</v>
      </c>
      <c r="DO395" s="423">
        <f t="shared" si="440"/>
        <v>32038.120887954021</v>
      </c>
      <c r="DP395" s="94">
        <f t="shared" si="441"/>
        <v>0</v>
      </c>
      <c r="DQ395" s="28">
        <f t="shared" si="442"/>
        <v>32038.120887954021</v>
      </c>
      <c r="DR395" s="318"/>
      <c r="DT395" s="8"/>
      <c r="DU395" s="5"/>
      <c r="DX395" s="5">
        <f t="shared" si="443"/>
        <v>96166.597734952884</v>
      </c>
      <c r="DY395" s="5">
        <f t="shared" si="444"/>
        <v>42508.512000000002</v>
      </c>
      <c r="DZ395" s="159">
        <f>'[3]побудинковий звіт'!EA395</f>
        <v>8624.1359199145463</v>
      </c>
    </row>
    <row r="396" spans="1:130" x14ac:dyDescent="0.3">
      <c r="A396" s="325">
        <v>150000878</v>
      </c>
      <c r="B396" s="41" t="s">
        <v>842</v>
      </c>
      <c r="C396" s="42" t="s">
        <v>237</v>
      </c>
      <c r="D396" s="27"/>
      <c r="E396" s="293">
        <f t="shared" si="412"/>
        <v>2396.4899999999998</v>
      </c>
      <c r="F396" s="305">
        <f>'[3]побудинковий звіт'!F396</f>
        <v>1686.26</v>
      </c>
      <c r="G396" s="508">
        <f>'[3]побудинковий звіт'!G396</f>
        <v>0</v>
      </c>
      <c r="H396" s="560">
        <f>'[3]побудинковий звіт'!H396</f>
        <v>710.23</v>
      </c>
      <c r="I396" s="566">
        <f>VLOOKUP($A396,'01-02.2021'!$A$6:$CZ$403,9,FALSE)+VLOOKUP($A396,'1.3.21-28.2.22'!$A$6:$DA$404,9,FALSE)-VLOOKUP($A396,'01-02.2022'!$A$6:$DA$376,9,FALSE)</f>
        <v>6318.4560099683913</v>
      </c>
      <c r="J396" s="566">
        <f>VLOOKUP($A396,'01-02.2021'!$A$6:$CZ$403,10,FALSE)+VLOOKUP($A396,'1.3.21-28.2.22'!$A$6:$DA$404,10,FALSE)-VLOOKUP($A396,'01-02.2022'!$A$6:$DA$376,10,FALSE)</f>
        <v>6954.4047507379764</v>
      </c>
      <c r="K396" s="52">
        <f t="shared" si="417"/>
        <v>635.94874076958513</v>
      </c>
      <c r="L396" s="566">
        <f>VLOOKUP($A396,'01-02.2021'!$A$6:$CZ$403,12,FALSE)+VLOOKUP($A396,'1.3.21-28.2.22'!$A$6:$DA$404,12,FALSE)-VLOOKUP($A396,'01-02.2022'!$A$6:$DA$376,12,FALSE)</f>
        <v>1069.6624920685649</v>
      </c>
      <c r="M396" s="566">
        <f>VLOOKUP($A396,'01-02.2021'!$A$6:$CZ$403,13,FALSE)+VLOOKUP($A396,'1.3.21-28.2.22'!$A$6:$DA$404,13,FALSE)-VLOOKUP($A396,'01-02.2022'!$A$6:$DA$376,13,FALSE)</f>
        <v>1177.737428329423</v>
      </c>
      <c r="N396" s="52">
        <f t="shared" si="418"/>
        <v>108.07493626085807</v>
      </c>
      <c r="O396" s="566">
        <f>VLOOKUP($A396,'01-02.2021'!$A$6:$CZ$403,15,FALSE)+VLOOKUP($A396,'1.3.21-28.2.22'!$A$6:$DA$404,15,FALSE)-VLOOKUP($A396,'01-02.2022'!$A$6:$DA$376,15,FALSE)</f>
        <v>3145.2487493084741</v>
      </c>
      <c r="P396" s="566">
        <f>VLOOKUP($A396,'01-02.2021'!$A$6:$CZ$403,16,FALSE)+VLOOKUP($A396,'1.3.21-28.2.22'!$A$6:$DA$404,16,FALSE)-VLOOKUP($A396,'01-02.2022'!$A$6:$DA$376,16,FALSE)</f>
        <v>3145.2599999999993</v>
      </c>
      <c r="Q396" s="70">
        <f t="shared" si="445"/>
        <v>1.1250691525219736E-2</v>
      </c>
      <c r="R396" s="566">
        <f>VLOOKUP($A396,'01-02.2021'!$A$6:$CZ$403,18,FALSE)+VLOOKUP($A396,'1.3.21-28.2.22'!$A$6:$DA$404,18,FALSE)-VLOOKUP($A396,'01-02.2022'!$A$6:$DA$376,18,FALSE)</f>
        <v>0</v>
      </c>
      <c r="S396" s="566">
        <f>VLOOKUP($A396,'01-02.2021'!$A$6:$CZ$403,19,FALSE)+VLOOKUP($A396,'1.3.21-28.2.22'!$A$6:$DA$404,19,FALSE)-VLOOKUP($A396,'01-02.2022'!$A$6:$DA$376,19,FALSE)</f>
        <v>0</v>
      </c>
      <c r="T396" s="70">
        <f t="shared" si="446"/>
        <v>0</v>
      </c>
      <c r="U396" s="566">
        <f>VLOOKUP($A396,'01-02.2021'!$A$6:$CZ$403,21,FALSE)+VLOOKUP($A396,'1.3.21-28.2.22'!$A$6:$DA$404,21,FALSE)-VLOOKUP($A396,'01-02.2022'!$A$6:$DA$376,21,FALSE)</f>
        <v>0</v>
      </c>
      <c r="V396" s="566">
        <f>VLOOKUP($A396,'01-02.2021'!$A$6:$CZ$403,22,FALSE)+VLOOKUP($A396,'1.3.21-28.2.22'!$A$6:$DA$404,22,FALSE)-VLOOKUP($A396,'01-02.2022'!$A$6:$DA$376,22,FALSE)</f>
        <v>0</v>
      </c>
      <c r="W396" s="70">
        <f t="shared" si="447"/>
        <v>0</v>
      </c>
      <c r="X396" s="566">
        <f>VLOOKUP($A396,'01-02.2021'!$A$6:$CZ$403,24,FALSE)+VLOOKUP($A396,'1.3.21-28.2.22'!$A$6:$DA$404,24,FALSE)-VLOOKUP($A396,'01-02.2022'!$A$6:$DA$376,24,FALSE)</f>
        <v>4325.2590498417876</v>
      </c>
      <c r="Y396" s="566">
        <f>VLOOKUP($A396,'01-02.2021'!$A$6:$CZ$403,25,FALSE)+VLOOKUP($A396,'1.3.21-28.2.22'!$A$6:$DA$404,25,FALSE)-VLOOKUP($A396,'01-02.2022'!$A$6:$DA$376,25,FALSE)</f>
        <v>3368.5585726556501</v>
      </c>
      <c r="Z396" s="70">
        <f t="shared" si="448"/>
        <v>-956.7004771861375</v>
      </c>
      <c r="AA396" s="566">
        <f>VLOOKUP($A396,'01-02.2021'!$A$6:$CZ$403,27,FALSE)+VLOOKUP($A396,'1.3.21-28.2.22'!$A$6:$DA$404,27,FALSE)-VLOOKUP($A396,'01-02.2022'!$A$6:$DA$376,27,FALSE)</f>
        <v>485.73200000000003</v>
      </c>
      <c r="AB396" s="566">
        <f>VLOOKUP($A396,'01-02.2021'!$A$6:$CZ$403,28,FALSE)+VLOOKUP($A396,'1.3.21-28.2.22'!$A$6:$DA$404,28,FALSE)-VLOOKUP($A396,'01-02.2022'!$A$6:$DA$376,28,FALSE)</f>
        <v>0</v>
      </c>
      <c r="AC396" s="70">
        <f t="shared" si="449"/>
        <v>-485.73200000000003</v>
      </c>
      <c r="AD396" s="566">
        <f>VLOOKUP($A396,'01-02.2021'!$A$6:$CZ$403,30,FALSE)+VLOOKUP($A396,'1.3.21-28.2.22'!$A$6:$DA$404,30,FALSE)-VLOOKUP($A396,'01-02.2022'!$A$6:$DA$376,30,FALSE)</f>
        <v>10277.953636446196</v>
      </c>
      <c r="AE396" s="566">
        <f>VLOOKUP($A396,'01-02.2021'!$A$6:$CZ$403,31,FALSE)+VLOOKUP($A396,'1.3.21-28.2.22'!$A$6:$DA$404,31,FALSE)-VLOOKUP($A396,'01-02.2022'!$A$6:$DA$376,31,FALSE)</f>
        <v>10253.449916298821</v>
      </c>
      <c r="AF396" s="68">
        <f t="shared" si="450"/>
        <v>-24.503720147375134</v>
      </c>
      <c r="AG396" s="77">
        <f t="shared" si="413"/>
        <v>25622.311937633414</v>
      </c>
      <c r="AH396" s="53">
        <f t="shared" si="413"/>
        <v>24899.410668021868</v>
      </c>
      <c r="AI396" s="52">
        <f t="shared" si="419"/>
        <v>-722.90126961154601</v>
      </c>
      <c r="AJ396" s="566">
        <f>VLOOKUP($A396,'01-02.2021'!$A$6:$CZ$403,36,FALSE)+VLOOKUP($A396,'1.3.21-28.2.22'!$A$6:$DA$404,36,FALSE)-VLOOKUP($A396,'01-02.2022'!$A$6:$DA$376,36,FALSE)</f>
        <v>0</v>
      </c>
      <c r="AK396" s="566">
        <f>VLOOKUP($A396,'01-02.2021'!$A$6:$CZ$403,37,FALSE)+VLOOKUP($A396,'1.3.21-28.2.22'!$A$6:$DA$404,37,FALSE)-VLOOKUP($A396,'01-02.2022'!$A$6:$DA$376,37,FALSE)</f>
        <v>0</v>
      </c>
      <c r="AL396" s="70">
        <f t="shared" si="451"/>
        <v>0</v>
      </c>
      <c r="AM396" s="566">
        <f>VLOOKUP($A396,'01-02.2021'!$A$6:$CZ$403,39,FALSE)+VLOOKUP($A396,'1.3.21-28.2.22'!$A$6:$DA$404,39,FALSE)-VLOOKUP($A396,'01-02.2022'!$A$6:$DA$376,39,FALSE)</f>
        <v>0</v>
      </c>
      <c r="AN396" s="566">
        <f>VLOOKUP($A396,'01-02.2021'!$A$6:$CZ$403,40,FALSE)+VLOOKUP($A396,'1.3.21-28.2.22'!$A$6:$DA$404,40,FALSE)-VLOOKUP($A396,'01-02.2022'!$A$6:$DA$376,40,FALSE)</f>
        <v>0</v>
      </c>
      <c r="AO396" s="70">
        <f t="shared" si="452"/>
        <v>0</v>
      </c>
      <c r="AP396" s="566">
        <f>VLOOKUP($A396,'01-02.2021'!$A$6:$CZ$403,42,FALSE)+VLOOKUP($A396,'1.3.21-28.2.22'!$A$6:$DA$404,42,FALSE)-VLOOKUP($A396,'01-02.2022'!$A$6:$DA$376,42,FALSE)</f>
        <v>3643.9194750894412</v>
      </c>
      <c r="AQ396" s="566">
        <f>VLOOKUP($A396,'01-02.2021'!$A$6:$CZ$403,43,FALSE)+VLOOKUP($A396,'1.3.21-28.2.22'!$A$6:$DA$404,43,FALSE)-VLOOKUP($A396,'01-02.2022'!$A$6:$DA$376,43,FALSE)</f>
        <v>2921.2894054482249</v>
      </c>
      <c r="AR396" s="70">
        <f t="shared" si="453"/>
        <v>-722.63006964121632</v>
      </c>
      <c r="AS396" s="566">
        <f>VLOOKUP($A396,'01-02.2021'!$A$6:$CZ$403,45,FALSE)+VLOOKUP($A396,'1.3.21-28.2.22'!$A$6:$DA$404,45,FALSE)-VLOOKUP($A396,'01-02.2022'!$A$6:$DA$376,45,FALSE)</f>
        <v>18602.736086781362</v>
      </c>
      <c r="AT396" s="566">
        <f>VLOOKUP($A396,'01-02.2021'!$A$6:$CZ$403,46,FALSE)+VLOOKUP($A396,'1.3.21-28.2.22'!$A$6:$DA$404,46,FALSE)-VLOOKUP($A396,'01-02.2022'!$A$6:$DA$376,46,FALSE)</f>
        <v>31730.810372472108</v>
      </c>
      <c r="AU396" s="78">
        <f t="shared" si="454"/>
        <v>13128.074285690745</v>
      </c>
      <c r="AV396" s="566">
        <f>VLOOKUP($A396,'01-02.2021'!$A$6:$CZ$403,48,FALSE)+VLOOKUP($A396,'1.3.21-28.2.22'!$A$6:$DA$404,48,FALSE)-VLOOKUP($A396,'01-02.2022'!$A$6:$DA$376,48,FALSE)</f>
        <v>1945.1038497040731</v>
      </c>
      <c r="AW396" s="566">
        <f>VLOOKUP($A396,'01-02.2021'!$A$6:$CZ$403,49,FALSE)+VLOOKUP($A396,'1.3.21-28.2.22'!$A$6:$DA$404,49,FALSE)-VLOOKUP($A396,'01-02.2022'!$A$6:$DA$376,49,FALSE)</f>
        <v>184</v>
      </c>
      <c r="AX396" s="55">
        <f t="shared" si="455"/>
        <v>-1761.1038497040731</v>
      </c>
      <c r="AY396" s="566">
        <f>VLOOKUP($A396,'01-02.2021'!$A$6:$CZ$403,51,FALSE)+VLOOKUP($A396,'1.3.21-28.2.22'!$A$6:$DA$404,51,FALSE)-VLOOKUP($A396,'01-02.2022'!$A$6:$DA$376,51,FALSE)</f>
        <v>2010.6092672014852</v>
      </c>
      <c r="AZ396" s="566">
        <f>VLOOKUP($A396,'01-02.2021'!$A$6:$CZ$403,52,FALSE)+VLOOKUP($A396,'1.3.21-28.2.22'!$A$6:$DA$404,52,FALSE)-VLOOKUP($A396,'01-02.2022'!$A$6:$DA$376,52,FALSE)</f>
        <v>0</v>
      </c>
      <c r="BA396" s="38">
        <f t="shared" si="456"/>
        <v>-2010.6092672014852</v>
      </c>
      <c r="BB396" s="566">
        <f>VLOOKUP($A396,'01-02.2021'!$A$6:$CZ$403,54,FALSE)+VLOOKUP($A396,'1.3.21-28.2.22'!$A$6:$DA$404,54,FALSE)-VLOOKUP($A396,'01-02.2022'!$A$6:$DA$376,54,FALSE)</f>
        <v>1614.0423252504795</v>
      </c>
      <c r="BC396" s="566">
        <f>VLOOKUP($A396,'01-02.2021'!$A$6:$CZ$403,55,FALSE)+VLOOKUP($A396,'1.3.21-28.2.22'!$A$6:$DA$404,55,FALSE)-VLOOKUP($A396,'01-02.2022'!$A$6:$DA$376,55,FALSE)</f>
        <v>1153</v>
      </c>
      <c r="BD396" s="55">
        <f t="shared" si="457"/>
        <v>-461.04232525047951</v>
      </c>
      <c r="BE396" s="566">
        <f>VLOOKUP($A396,'01-02.2021'!$A$6:$CZ$403,57,FALSE)+VLOOKUP($A396,'1.3.21-28.2.22'!$A$6:$DA$404,57,FALSE)-VLOOKUP($A396,'01-02.2022'!$A$6:$DA$376,57,FALSE)</f>
        <v>0</v>
      </c>
      <c r="BF396" s="566">
        <f>VLOOKUP($A396,'01-02.2021'!$A$6:$CZ$403,58,FALSE)+VLOOKUP($A396,'1.3.21-28.2.22'!$A$6:$DA$404,58,FALSE)-VLOOKUP($A396,'01-02.2022'!$A$6:$DA$376,58,FALSE)</f>
        <v>0</v>
      </c>
      <c r="BG396" s="55">
        <f t="shared" si="458"/>
        <v>0</v>
      </c>
      <c r="BH396" s="566">
        <f>VLOOKUP($A396,'01-02.2021'!$A$6:$CZ$403,60,FALSE)+VLOOKUP($A396,'1.3.21-28.2.22'!$A$6:$DA$404,60,FALSE)-VLOOKUP($A396,'01-02.2022'!$A$6:$DA$376,60,FALSE)</f>
        <v>0</v>
      </c>
      <c r="BI396" s="566">
        <f>VLOOKUP($A396,'01-02.2021'!$A$6:$CZ$403,61,FALSE)+VLOOKUP($A396,'1.3.21-28.2.22'!$A$6:$DA$404,61,FALSE)-VLOOKUP($A396,'01-02.2022'!$A$6:$DA$376,61,FALSE)</f>
        <v>0</v>
      </c>
      <c r="BJ396" s="55">
        <f t="shared" si="459"/>
        <v>0</v>
      </c>
      <c r="BK396" s="566">
        <f>VLOOKUP($A396,'01-02.2021'!$A$6:$CZ$403,63,FALSE)+VLOOKUP($A396,'1.3.21-28.2.22'!$A$6:$DA$404,63,FALSE)-VLOOKUP($A396,'01-02.2022'!$A$6:$DA$376,63,FALSE)</f>
        <v>1238.8129310316122</v>
      </c>
      <c r="BL396" s="566">
        <f>VLOOKUP($A396,'01-02.2021'!$A$6:$CZ$403,64,FALSE)+VLOOKUP($A396,'1.3.21-28.2.22'!$A$6:$DA$404,64,FALSE)-VLOOKUP($A396,'01-02.2022'!$A$6:$DA$376,64,FALSE)</f>
        <v>0</v>
      </c>
      <c r="BM396" s="55">
        <f t="shared" si="460"/>
        <v>-1238.8129310316122</v>
      </c>
      <c r="BN396" s="566">
        <f>VLOOKUP($A396,'01-02.2021'!$A$6:$CZ$403,66,FALSE)+VLOOKUP($A396,'1.3.21-28.2.22'!$A$6:$DA$404,66,FALSE)-VLOOKUP($A396,'01-02.2022'!$A$6:$DA$376,66,FALSE)</f>
        <v>121.43300000000001</v>
      </c>
      <c r="BO396" s="566">
        <f>VLOOKUP($A396,'01-02.2021'!$A$6:$CZ$403,67,FALSE)+VLOOKUP($A396,'1.3.21-28.2.22'!$A$6:$DA$404,67,FALSE)-VLOOKUP($A396,'01-02.2022'!$A$6:$DA$376,67,FALSE)</f>
        <v>0</v>
      </c>
      <c r="BP396" s="55">
        <f t="shared" si="461"/>
        <v>-121.43300000000001</v>
      </c>
      <c r="BQ396" s="77">
        <f t="shared" si="409"/>
        <v>6930.0013731876506</v>
      </c>
      <c r="BR396" s="40">
        <f t="shared" si="434"/>
        <v>1337</v>
      </c>
      <c r="BS396" s="55">
        <f t="shared" si="428"/>
        <v>-5593.0013731876506</v>
      </c>
      <c r="BT396" s="566">
        <f>VLOOKUP($A396,'01-02.2021'!$A$6:$CZ$403,72,FALSE)+VLOOKUP($A396,'1.3.21-28.2.22'!$A$6:$DA$404,72,FALSE)-VLOOKUP($A396,'01-02.2022'!$A$6:$DA$376,72,FALSE)</f>
        <v>28354.568524666447</v>
      </c>
      <c r="BU396" s="566">
        <f>VLOOKUP($A396,'01-02.2021'!$A$6:$CZ$403,73,FALSE)+VLOOKUP($A396,'1.3.21-28.2.22'!$A$6:$DA$404,73,FALSE)-VLOOKUP($A396,'01-02.2022'!$A$6:$DA$376,73,FALSE)</f>
        <v>30144.98834506268</v>
      </c>
      <c r="BV396" s="70">
        <f t="shared" si="462"/>
        <v>1790.4198203962333</v>
      </c>
      <c r="BW396" s="566">
        <f>VLOOKUP($A396,'01-02.2021'!$A$6:$CZ$403,75,FALSE)+VLOOKUP($A396,'1.3.21-28.2.22'!$A$6:$DA$404,75,FALSE)-VLOOKUP($A396,'01-02.2022'!$A$6:$DA$376,75,FALSE)</f>
        <v>19550.686981701794</v>
      </c>
      <c r="BX396" s="566">
        <f>VLOOKUP($A396,'01-02.2021'!$A$6:$CZ$403,76,FALSE)+VLOOKUP($A396,'1.3.21-28.2.22'!$A$6:$DA$404,76,FALSE)-VLOOKUP($A396,'01-02.2022'!$A$6:$DA$376,76,FALSE)</f>
        <v>17503.175100720597</v>
      </c>
      <c r="BY396" s="70">
        <f t="shared" si="463"/>
        <v>-2047.5118809811975</v>
      </c>
      <c r="BZ396" s="566">
        <f>VLOOKUP($A396,'01-02.2021'!$A$6:$CZ$403,78,FALSE)+VLOOKUP($A396,'1.3.21-28.2.22'!$A$6:$DA$404,78,FALSE)-VLOOKUP($A396,'01-02.2022'!$A$6:$DA$376,78,FALSE)</f>
        <v>7671.8644283324793</v>
      </c>
      <c r="CA396" s="566">
        <f>VLOOKUP($A396,'01-02.2021'!$A$6:$CZ$403,79,FALSE)+VLOOKUP($A396,'1.3.21-28.2.22'!$A$6:$DA$404,79,FALSE)-VLOOKUP($A396,'01-02.2022'!$A$6:$DA$376,79,FALSE)</f>
        <v>7530.1320060399294</v>
      </c>
      <c r="CB396" s="70">
        <f t="shared" si="464"/>
        <v>-141.73242229254993</v>
      </c>
      <c r="CC396" s="566">
        <f>VLOOKUP($A396,'01-02.2021'!$A$6:$CZ$403,81,FALSE)+VLOOKUP($A396,'1.3.21-28.2.22'!$A$6:$DA$404,81,FALSE)-VLOOKUP($A396,'01-02.2022'!$A$6:$DA$376,81,FALSE)</f>
        <v>491.41746248864081</v>
      </c>
      <c r="CD396" s="566">
        <f>VLOOKUP($A396,'01-02.2021'!$A$6:$CZ$403,82,FALSE)+VLOOKUP($A396,'1.3.21-28.2.22'!$A$6:$DA$404,82,FALSE)-VLOOKUP($A396,'01-02.2022'!$A$6:$DA$376,82,FALSE)</f>
        <v>537.11585618581375</v>
      </c>
      <c r="CE396" s="70">
        <f t="shared" si="465"/>
        <v>45.698393697172946</v>
      </c>
      <c r="CF396" s="566">
        <f>VLOOKUP($A396,'01-02.2021'!$A$6:$CZ$403,84,FALSE)+VLOOKUP($A396,'1.3.21-28.2.22'!$A$6:$DA$404,84,FALSE)-VLOOKUP($A396,'01-02.2022'!$A$6:$DA$376,84,FALSE)</f>
        <v>59.741915305419781</v>
      </c>
      <c r="CG396" s="566">
        <f>VLOOKUP($A396,'01-02.2021'!$A$6:$CZ$403,85,FALSE)+VLOOKUP($A396,'1.3.21-28.2.22'!$A$6:$DA$404,85,FALSE)-VLOOKUP($A396,'01-02.2022'!$A$6:$DA$376,85,FALSE)</f>
        <v>0</v>
      </c>
      <c r="CH396" s="70">
        <f t="shared" si="466"/>
        <v>-59.741915305419781</v>
      </c>
      <c r="CI396" s="566">
        <f>VLOOKUP($A396,'01-02.2021'!$A$6:$CZ$403,87,FALSE)+VLOOKUP($A396,'1.3.21-28.2.22'!$A$6:$DA$404,87,FALSE)-VLOOKUP($A396,'01-02.2022'!$A$6:$DA$376,87,FALSE)</f>
        <v>2634.1123259370702</v>
      </c>
      <c r="CJ396" s="566">
        <f>VLOOKUP($A396,'01-02.2021'!$A$6:$CZ$403,88,FALSE)+VLOOKUP($A396,'1.3.21-28.2.22'!$A$6:$DA$404,88,FALSE)-VLOOKUP($A396,'01-02.2022'!$A$6:$DA$376,88,FALSE)</f>
        <v>2020.7881628519644</v>
      </c>
      <c r="CK396" s="70">
        <f t="shared" si="467"/>
        <v>-613.32416308510574</v>
      </c>
      <c r="CL396" s="566">
        <f>VLOOKUP($A396,'01-02.2021'!$A$6:$CZ$403,90,FALSE)+VLOOKUP($A396,'1.3.21-28.2.22'!$A$6:$DA$404,90,FALSE)-VLOOKUP($A396,'01-02.2022'!$A$6:$DA$376,90,FALSE)</f>
        <v>0</v>
      </c>
      <c r="CM396" s="566">
        <f>VLOOKUP($A396,'01-02.2021'!$A$6:$CZ$403,91,FALSE)+VLOOKUP($A396,'1.3.21-28.2.22'!$A$6:$DA$404,91,FALSE)-VLOOKUP($A396,'01-02.2022'!$A$6:$DA$376,91,FALSE)</f>
        <v>0</v>
      </c>
      <c r="CN396" s="52">
        <f t="shared" si="420"/>
        <v>0</v>
      </c>
      <c r="CO396" s="39">
        <f t="shared" si="414"/>
        <v>2634.1123259370702</v>
      </c>
      <c r="CP396" s="40">
        <f t="shared" si="421"/>
        <v>2020.7881628519644</v>
      </c>
      <c r="CQ396" s="52">
        <f t="shared" si="422"/>
        <v>-613.32416308510574</v>
      </c>
      <c r="CR396" s="72">
        <f t="shared" si="415"/>
        <v>113561.36051112373</v>
      </c>
      <c r="CS396" s="5">
        <f t="shared" si="415"/>
        <v>118624.7099168032</v>
      </c>
      <c r="CT396" s="52">
        <f t="shared" si="423"/>
        <v>5063.3494056794734</v>
      </c>
      <c r="CU396" s="77">
        <f t="shared" si="424"/>
        <v>136273.63261334845</v>
      </c>
      <c r="CV396" s="65">
        <f t="shared" si="425"/>
        <v>142349.65190016382</v>
      </c>
      <c r="CW396" s="35">
        <f t="shared" si="426"/>
        <v>6076.0192868153681</v>
      </c>
      <c r="CX396" s="566">
        <f>VLOOKUP($A396,'01-02.2021'!$A$6:$CZ$403,102,FALSE)+VLOOKUP($A396,'1.3.21-28.2.22'!$A$6:$DA$404,102,FALSE)-VLOOKUP($A396,'01-02.2022'!$A$6:$DA$376,102,FALSE)</f>
        <v>4776.5555144416903</v>
      </c>
      <c r="CY396" s="566">
        <f>VLOOKUP($A396,'01-02.2021'!$A$6:$CZ$403,103,FALSE)+VLOOKUP($A396,'1.3.21-28.2.22'!$A$6:$DA$404,103,FALSE)-VLOOKUP($A396,'01-02.2022'!$A$6:$DA$376,103,FALSE)</f>
        <v>-1299.4637723736632</v>
      </c>
      <c r="CZ396" s="52">
        <f t="shared" si="427"/>
        <v>-6076.0192868153536</v>
      </c>
      <c r="DA396" s="150">
        <f>'[2]побудинковий звіт'!DA396</f>
        <v>-6494.8981430024214</v>
      </c>
      <c r="DB396" s="2">
        <v>2</v>
      </c>
      <c r="DC396" s="414">
        <f>'[4]побудинковий звіт'!DC396</f>
        <v>24269.32</v>
      </c>
      <c r="DD396" s="414">
        <f>'[4]побудинковий звіт'!DD396</f>
        <v>3809.85</v>
      </c>
      <c r="DE396" s="557">
        <f>'[4]побудинковий звіт'!DE396</f>
        <v>14645.810651365682</v>
      </c>
      <c r="DF396" s="557">
        <f>'[4]побудинковий звіт'!DF396</f>
        <v>750.74686708436957</v>
      </c>
      <c r="DG396" s="321">
        <f>VLOOKUP(A396,'кошти 01.03.2021'!$A$6:$D$401,4,)</f>
        <v>-17120.273036514373</v>
      </c>
      <c r="DH396" s="40">
        <f>'[3]побудинковий звіт'!DJ396</f>
        <v>145430.8265831756</v>
      </c>
      <c r="DI396" s="422">
        <f>'[3]побудинковий звіт'!CU396+'[3]побудинковий звіт'!CX396</f>
        <v>12682.612481549946</v>
      </c>
      <c r="DJ396" s="306">
        <f>'[3]побудинковий звіт'!DM396</f>
        <v>5.7070139531473894</v>
      </c>
      <c r="DK396" s="306">
        <f t="shared" si="437"/>
        <v>5.7070139531473894</v>
      </c>
      <c r="DL396" s="306">
        <f>'[3]побудинковий звіт'!DO396</f>
        <v>4.3072006714946287</v>
      </c>
      <c r="DM396" s="28">
        <f t="shared" si="438"/>
        <v>9623.5093486343176</v>
      </c>
      <c r="DN396" s="28">
        <f t="shared" si="439"/>
        <v>3059.1031329156303</v>
      </c>
      <c r="DO396" s="423">
        <f t="shared" si="440"/>
        <v>12682.612481549948</v>
      </c>
      <c r="DP396" s="94">
        <f t="shared" si="441"/>
        <v>0</v>
      </c>
      <c r="DQ396" s="28">
        <f t="shared" si="442"/>
        <v>12682.612481549948</v>
      </c>
      <c r="DR396" s="318"/>
      <c r="DT396" s="8"/>
      <c r="DU396" s="5"/>
      <c r="DX396" s="5">
        <f t="shared" si="443"/>
        <v>30639.284951962814</v>
      </c>
      <c r="DY396" s="5">
        <f t="shared" si="444"/>
        <v>39681.372446966525</v>
      </c>
      <c r="DZ396" s="159">
        <f>'[3]побудинковий звіт'!EA396</f>
        <v>2733.4426424775993</v>
      </c>
    </row>
    <row r="397" spans="1:130" x14ac:dyDescent="0.3">
      <c r="A397" s="325">
        <v>150000879</v>
      </c>
      <c r="B397" s="41" t="s">
        <v>843</v>
      </c>
      <c r="C397" s="42" t="s">
        <v>330</v>
      </c>
      <c r="D397" s="27"/>
      <c r="E397" s="293">
        <f t="shared" si="412"/>
        <v>4494.13</v>
      </c>
      <c r="F397" s="305">
        <f>'[3]побудинковий звіт'!F397</f>
        <v>3611.53</v>
      </c>
      <c r="G397" s="508">
        <f>'[3]побудинковий звіт'!G397</f>
        <v>0</v>
      </c>
      <c r="H397" s="560">
        <f>'[3]побудинковий звіт'!H397</f>
        <v>882.6</v>
      </c>
      <c r="I397" s="566">
        <f>VLOOKUP($A397,'01-02.2021'!$A$6:$CZ$403,9,FALSE)+VLOOKUP($A397,'1.3.21-28.2.22'!$A$6:$DA$404,9,FALSE)-VLOOKUP($A397,'01-02.2022'!$A$6:$DA$376,9,FALSE)</f>
        <v>12304.848532704618</v>
      </c>
      <c r="J397" s="566">
        <f>VLOOKUP($A397,'01-02.2021'!$A$6:$CZ$403,10,FALSE)+VLOOKUP($A397,'1.3.21-28.2.22'!$A$6:$DA$404,10,FALSE)-VLOOKUP($A397,'01-02.2022'!$A$6:$DA$376,10,FALSE)</f>
        <v>13663.722226630813</v>
      </c>
      <c r="K397" s="52">
        <f t="shared" si="417"/>
        <v>1358.8736939261944</v>
      </c>
      <c r="L397" s="566">
        <f>VLOOKUP($A397,'01-02.2021'!$A$6:$CZ$403,12,FALSE)+VLOOKUP($A397,'1.3.21-28.2.22'!$A$6:$DA$404,12,FALSE)-VLOOKUP($A397,'01-02.2022'!$A$6:$DA$376,12,FALSE)</f>
        <v>2338.8257435235282</v>
      </c>
      <c r="M397" s="566">
        <f>VLOOKUP($A397,'01-02.2021'!$A$6:$CZ$403,13,FALSE)+VLOOKUP($A397,'1.3.21-28.2.22'!$A$6:$DA$404,13,FALSE)-VLOOKUP($A397,'01-02.2022'!$A$6:$DA$376,13,FALSE)</f>
        <v>2575.1314461452362</v>
      </c>
      <c r="N397" s="52">
        <f t="shared" si="418"/>
        <v>236.30570262170795</v>
      </c>
      <c r="O397" s="566">
        <f>VLOOKUP($A397,'01-02.2021'!$A$6:$CZ$403,15,FALSE)+VLOOKUP($A397,'1.3.21-28.2.22'!$A$6:$DA$404,15,FALSE)-VLOOKUP($A397,'01-02.2022'!$A$6:$DA$376,15,FALSE)</f>
        <v>6016.7864301169157</v>
      </c>
      <c r="P397" s="566">
        <f>VLOOKUP($A397,'01-02.2021'!$A$6:$CZ$403,16,FALSE)+VLOOKUP($A397,'1.3.21-28.2.22'!$A$6:$DA$404,16,FALSE)-VLOOKUP($A397,'01-02.2022'!$A$6:$DA$376,16,FALSE)</f>
        <v>6016.7599999999993</v>
      </c>
      <c r="Q397" s="70">
        <f t="shared" si="445"/>
        <v>-2.6430116916344559E-2</v>
      </c>
      <c r="R397" s="566">
        <f>VLOOKUP($A397,'01-02.2021'!$A$6:$CZ$403,18,FALSE)+VLOOKUP($A397,'1.3.21-28.2.22'!$A$6:$DA$404,18,FALSE)-VLOOKUP($A397,'01-02.2022'!$A$6:$DA$376,18,FALSE)</f>
        <v>0</v>
      </c>
      <c r="S397" s="566">
        <f>VLOOKUP($A397,'01-02.2021'!$A$6:$CZ$403,19,FALSE)+VLOOKUP($A397,'1.3.21-28.2.22'!$A$6:$DA$404,19,FALSE)-VLOOKUP($A397,'01-02.2022'!$A$6:$DA$376,19,FALSE)</f>
        <v>0</v>
      </c>
      <c r="T397" s="70">
        <f t="shared" si="446"/>
        <v>0</v>
      </c>
      <c r="U397" s="566">
        <f>VLOOKUP($A397,'01-02.2021'!$A$6:$CZ$403,21,FALSE)+VLOOKUP($A397,'1.3.21-28.2.22'!$A$6:$DA$404,21,FALSE)-VLOOKUP($A397,'01-02.2022'!$A$6:$DA$376,21,FALSE)</f>
        <v>0</v>
      </c>
      <c r="V397" s="566">
        <f>VLOOKUP($A397,'01-02.2021'!$A$6:$CZ$403,22,FALSE)+VLOOKUP($A397,'1.3.21-28.2.22'!$A$6:$DA$404,22,FALSE)-VLOOKUP($A397,'01-02.2022'!$A$6:$DA$376,22,FALSE)</f>
        <v>0</v>
      </c>
      <c r="W397" s="70">
        <f t="shared" si="447"/>
        <v>0</v>
      </c>
      <c r="X397" s="566">
        <f>VLOOKUP($A397,'01-02.2021'!$A$6:$CZ$403,24,FALSE)+VLOOKUP($A397,'1.3.21-28.2.22'!$A$6:$DA$404,24,FALSE)-VLOOKUP($A397,'01-02.2022'!$A$6:$DA$376,24,FALSE)</f>
        <v>9030.850943998641</v>
      </c>
      <c r="Y397" s="566">
        <f>VLOOKUP($A397,'01-02.2021'!$A$6:$CZ$403,25,FALSE)+VLOOKUP($A397,'1.3.21-28.2.22'!$A$6:$DA$404,25,FALSE)-VLOOKUP($A397,'01-02.2022'!$A$6:$DA$376,25,FALSE)</f>
        <v>7940.0518046442567</v>
      </c>
      <c r="Z397" s="70">
        <f t="shared" si="448"/>
        <v>-1090.7991393543844</v>
      </c>
      <c r="AA397" s="566">
        <f>VLOOKUP($A397,'01-02.2021'!$A$6:$CZ$403,27,FALSE)+VLOOKUP($A397,'1.3.21-28.2.22'!$A$6:$DA$404,27,FALSE)-VLOOKUP($A397,'01-02.2022'!$A$6:$DA$376,27,FALSE)</f>
        <v>910.846</v>
      </c>
      <c r="AB397" s="566">
        <f>VLOOKUP($A397,'01-02.2021'!$A$6:$CZ$403,28,FALSE)+VLOOKUP($A397,'1.3.21-28.2.22'!$A$6:$DA$404,28,FALSE)-VLOOKUP($A397,'01-02.2022'!$A$6:$DA$376,28,FALSE)</f>
        <v>0</v>
      </c>
      <c r="AC397" s="70">
        <f t="shared" si="449"/>
        <v>-910.846</v>
      </c>
      <c r="AD397" s="566">
        <f>VLOOKUP($A397,'01-02.2021'!$A$6:$CZ$403,30,FALSE)+VLOOKUP($A397,'1.3.21-28.2.22'!$A$6:$DA$404,30,FALSE)-VLOOKUP($A397,'01-02.2022'!$A$6:$DA$376,30,FALSE)</f>
        <v>19318.418323071997</v>
      </c>
      <c r="AE397" s="566">
        <f>VLOOKUP($A397,'01-02.2021'!$A$6:$CZ$403,31,FALSE)+VLOOKUP($A397,'1.3.21-28.2.22'!$A$6:$DA$404,31,FALSE)-VLOOKUP($A397,'01-02.2022'!$A$6:$DA$376,31,FALSE)</f>
        <v>20451.865425413805</v>
      </c>
      <c r="AF397" s="68">
        <f t="shared" si="450"/>
        <v>1133.4471023418082</v>
      </c>
      <c r="AG397" s="77">
        <f t="shared" si="413"/>
        <v>49920.575973415704</v>
      </c>
      <c r="AH397" s="53">
        <f t="shared" si="413"/>
        <v>50647.530902834114</v>
      </c>
      <c r="AI397" s="52">
        <f t="shared" si="419"/>
        <v>726.95492941841076</v>
      </c>
      <c r="AJ397" s="566">
        <f>VLOOKUP($A397,'01-02.2021'!$A$6:$CZ$403,36,FALSE)+VLOOKUP($A397,'1.3.21-28.2.22'!$A$6:$DA$404,36,FALSE)-VLOOKUP($A397,'01-02.2022'!$A$6:$DA$376,36,FALSE)</f>
        <v>0</v>
      </c>
      <c r="AK397" s="566">
        <f>VLOOKUP($A397,'01-02.2021'!$A$6:$CZ$403,37,FALSE)+VLOOKUP($A397,'1.3.21-28.2.22'!$A$6:$DA$404,37,FALSE)-VLOOKUP($A397,'01-02.2022'!$A$6:$DA$376,37,FALSE)</f>
        <v>0</v>
      </c>
      <c r="AL397" s="70">
        <f t="shared" si="451"/>
        <v>0</v>
      </c>
      <c r="AM397" s="566">
        <f>VLOOKUP($A397,'01-02.2021'!$A$6:$CZ$403,39,FALSE)+VLOOKUP($A397,'1.3.21-28.2.22'!$A$6:$DA$404,39,FALSE)-VLOOKUP($A397,'01-02.2022'!$A$6:$DA$376,39,FALSE)</f>
        <v>0</v>
      </c>
      <c r="AN397" s="566">
        <f>VLOOKUP($A397,'01-02.2021'!$A$6:$CZ$403,40,FALSE)+VLOOKUP($A397,'1.3.21-28.2.22'!$A$6:$DA$404,40,FALSE)-VLOOKUP($A397,'01-02.2022'!$A$6:$DA$376,40,FALSE)</f>
        <v>0</v>
      </c>
      <c r="AO397" s="70">
        <f t="shared" si="452"/>
        <v>0</v>
      </c>
      <c r="AP397" s="566">
        <f>VLOOKUP($A397,'01-02.2021'!$A$6:$CZ$403,42,FALSE)+VLOOKUP($A397,'1.3.21-28.2.22'!$A$6:$DA$404,42,FALSE)-VLOOKUP($A397,'01-02.2022'!$A$6:$DA$376,42,FALSE)</f>
        <v>10801.61844401513</v>
      </c>
      <c r="AQ397" s="566">
        <f>VLOOKUP($A397,'01-02.2021'!$A$6:$CZ$403,43,FALSE)+VLOOKUP($A397,'1.3.21-28.2.22'!$A$6:$DA$404,43,FALSE)-VLOOKUP($A397,'01-02.2022'!$A$6:$DA$376,43,FALSE)</f>
        <v>9103.2724839872299</v>
      </c>
      <c r="AR397" s="70">
        <f t="shared" si="453"/>
        <v>-1698.3459600279002</v>
      </c>
      <c r="AS397" s="566">
        <f>VLOOKUP($A397,'01-02.2021'!$A$6:$CZ$403,45,FALSE)+VLOOKUP($A397,'1.3.21-28.2.22'!$A$6:$DA$404,45,FALSE)-VLOOKUP($A397,'01-02.2022'!$A$6:$DA$376,45,FALSE)</f>
        <v>31795.495528373041</v>
      </c>
      <c r="AT397" s="566">
        <f>VLOOKUP($A397,'01-02.2021'!$A$6:$CZ$403,46,FALSE)+VLOOKUP($A397,'1.3.21-28.2.22'!$A$6:$DA$404,46,FALSE)-VLOOKUP($A397,'01-02.2022'!$A$6:$DA$376,46,FALSE)</f>
        <v>14109.51</v>
      </c>
      <c r="AU397" s="78">
        <f t="shared" si="454"/>
        <v>-17685.985528373043</v>
      </c>
      <c r="AV397" s="566">
        <f>VLOOKUP($A397,'01-02.2021'!$A$6:$CZ$403,48,FALSE)+VLOOKUP($A397,'1.3.21-28.2.22'!$A$6:$DA$404,48,FALSE)-VLOOKUP($A397,'01-02.2022'!$A$6:$DA$376,48,FALSE)</f>
        <v>3292.313075525944</v>
      </c>
      <c r="AW397" s="566">
        <f>VLOOKUP($A397,'01-02.2021'!$A$6:$CZ$403,49,FALSE)+VLOOKUP($A397,'1.3.21-28.2.22'!$A$6:$DA$404,49,FALSE)-VLOOKUP($A397,'01-02.2022'!$A$6:$DA$376,49,FALSE)</f>
        <v>2596</v>
      </c>
      <c r="AX397" s="55">
        <f t="shared" si="455"/>
        <v>-696.31307552594399</v>
      </c>
      <c r="AY397" s="566">
        <f>VLOOKUP($A397,'01-02.2021'!$A$6:$CZ$403,51,FALSE)+VLOOKUP($A397,'1.3.21-28.2.22'!$A$6:$DA$404,51,FALSE)-VLOOKUP($A397,'01-02.2022'!$A$6:$DA$376,51,FALSE)</f>
        <v>4396.4511302766605</v>
      </c>
      <c r="AZ397" s="566">
        <f>VLOOKUP($A397,'01-02.2021'!$A$6:$CZ$403,52,FALSE)+VLOOKUP($A397,'1.3.21-28.2.22'!$A$6:$DA$404,52,FALSE)-VLOOKUP($A397,'01-02.2022'!$A$6:$DA$376,52,FALSE)</f>
        <v>0</v>
      </c>
      <c r="BA397" s="38">
        <f t="shared" si="456"/>
        <v>-4396.4511302766605</v>
      </c>
      <c r="BB397" s="566">
        <f>VLOOKUP($A397,'01-02.2021'!$A$6:$CZ$403,54,FALSE)+VLOOKUP($A397,'1.3.21-28.2.22'!$A$6:$DA$404,54,FALSE)-VLOOKUP($A397,'01-02.2022'!$A$6:$DA$376,54,FALSE)</f>
        <v>2328.3719348885666</v>
      </c>
      <c r="BC397" s="566">
        <f>VLOOKUP($A397,'01-02.2021'!$A$6:$CZ$403,55,FALSE)+VLOOKUP($A397,'1.3.21-28.2.22'!$A$6:$DA$404,55,FALSE)-VLOOKUP($A397,'01-02.2022'!$A$6:$DA$376,55,FALSE)</f>
        <v>0</v>
      </c>
      <c r="BD397" s="55">
        <f t="shared" si="457"/>
        <v>-2328.3719348885666</v>
      </c>
      <c r="BE397" s="566">
        <f>VLOOKUP($A397,'01-02.2021'!$A$6:$CZ$403,57,FALSE)+VLOOKUP($A397,'1.3.21-28.2.22'!$A$6:$DA$404,57,FALSE)-VLOOKUP($A397,'01-02.2022'!$A$6:$DA$376,57,FALSE)</f>
        <v>0</v>
      </c>
      <c r="BF397" s="566">
        <f>VLOOKUP($A397,'01-02.2021'!$A$6:$CZ$403,58,FALSE)+VLOOKUP($A397,'1.3.21-28.2.22'!$A$6:$DA$404,58,FALSE)-VLOOKUP($A397,'01-02.2022'!$A$6:$DA$376,58,FALSE)</f>
        <v>0</v>
      </c>
      <c r="BG397" s="55">
        <f t="shared" si="458"/>
        <v>0</v>
      </c>
      <c r="BH397" s="566">
        <f>VLOOKUP($A397,'01-02.2021'!$A$6:$CZ$403,60,FALSE)+VLOOKUP($A397,'1.3.21-28.2.22'!$A$6:$DA$404,60,FALSE)-VLOOKUP($A397,'01-02.2022'!$A$6:$DA$376,60,FALSE)</f>
        <v>0</v>
      </c>
      <c r="BI397" s="566">
        <f>VLOOKUP($A397,'01-02.2021'!$A$6:$CZ$403,61,FALSE)+VLOOKUP($A397,'1.3.21-28.2.22'!$A$6:$DA$404,61,FALSE)-VLOOKUP($A397,'01-02.2022'!$A$6:$DA$376,61,FALSE)</f>
        <v>0</v>
      </c>
      <c r="BJ397" s="55">
        <f t="shared" si="459"/>
        <v>0</v>
      </c>
      <c r="BK397" s="566">
        <f>VLOOKUP($A397,'01-02.2021'!$A$6:$CZ$403,63,FALSE)+VLOOKUP($A397,'1.3.21-28.2.22'!$A$6:$DA$404,63,FALSE)-VLOOKUP($A397,'01-02.2022'!$A$6:$DA$376,63,FALSE)</f>
        <v>2943.9800152165722</v>
      </c>
      <c r="BL397" s="566">
        <f>VLOOKUP($A397,'01-02.2021'!$A$6:$CZ$403,64,FALSE)+VLOOKUP($A397,'1.3.21-28.2.22'!$A$6:$DA$404,64,FALSE)-VLOOKUP($A397,'01-02.2022'!$A$6:$DA$376,64,FALSE)</f>
        <v>0</v>
      </c>
      <c r="BM397" s="55">
        <f t="shared" si="460"/>
        <v>-2943.9800152165722</v>
      </c>
      <c r="BN397" s="566">
        <f>VLOOKUP($A397,'01-02.2021'!$A$6:$CZ$403,66,FALSE)+VLOOKUP($A397,'1.3.21-28.2.22'!$A$6:$DA$404,66,FALSE)-VLOOKUP($A397,'01-02.2022'!$A$6:$DA$376,66,FALSE)</f>
        <v>227.7115</v>
      </c>
      <c r="BO397" s="566">
        <f>VLOOKUP($A397,'01-02.2021'!$A$6:$CZ$403,67,FALSE)+VLOOKUP($A397,'1.3.21-28.2.22'!$A$6:$DA$404,67,FALSE)-VLOOKUP($A397,'01-02.2022'!$A$6:$DA$376,67,FALSE)</f>
        <v>0</v>
      </c>
      <c r="BP397" s="55">
        <f t="shared" si="461"/>
        <v>-227.7115</v>
      </c>
      <c r="BQ397" s="77">
        <f t="shared" si="409"/>
        <v>13188.827655907742</v>
      </c>
      <c r="BR397" s="40">
        <f t="shared" si="434"/>
        <v>2596</v>
      </c>
      <c r="BS397" s="55">
        <f t="shared" si="428"/>
        <v>-10592.827655907742</v>
      </c>
      <c r="BT397" s="566">
        <f>VLOOKUP($A397,'01-02.2021'!$A$6:$CZ$403,72,FALSE)+VLOOKUP($A397,'1.3.21-28.2.22'!$A$6:$DA$404,72,FALSE)-VLOOKUP($A397,'01-02.2022'!$A$6:$DA$376,72,FALSE)</f>
        <v>29934.518966439246</v>
      </c>
      <c r="BU397" s="566">
        <f>VLOOKUP($A397,'01-02.2021'!$A$6:$CZ$403,73,FALSE)+VLOOKUP($A397,'1.3.21-28.2.22'!$A$6:$DA$404,73,FALSE)-VLOOKUP($A397,'01-02.2022'!$A$6:$DA$376,73,FALSE)</f>
        <v>37543.797886480352</v>
      </c>
      <c r="BV397" s="70">
        <f t="shared" si="462"/>
        <v>7609.2789200411062</v>
      </c>
      <c r="BW397" s="566">
        <f>VLOOKUP($A397,'01-02.2021'!$A$6:$CZ$403,75,FALSE)+VLOOKUP($A397,'1.3.21-28.2.22'!$A$6:$DA$404,75,FALSE)-VLOOKUP($A397,'01-02.2022'!$A$6:$DA$376,75,FALSE)</f>
        <v>18036.436871500857</v>
      </c>
      <c r="BX397" s="566">
        <f>VLOOKUP($A397,'01-02.2021'!$A$6:$CZ$403,76,FALSE)+VLOOKUP($A397,'1.3.21-28.2.22'!$A$6:$DA$404,76,FALSE)-VLOOKUP($A397,'01-02.2022'!$A$6:$DA$376,76,FALSE)</f>
        <v>17184.521320535234</v>
      </c>
      <c r="BY397" s="70">
        <f t="shared" si="463"/>
        <v>-851.91555096562297</v>
      </c>
      <c r="BZ397" s="566">
        <f>VLOOKUP($A397,'01-02.2021'!$A$6:$CZ$403,78,FALSE)+VLOOKUP($A397,'1.3.21-28.2.22'!$A$6:$DA$404,78,FALSE)-VLOOKUP($A397,'01-02.2022'!$A$6:$DA$376,78,FALSE)</f>
        <v>11960.970265533953</v>
      </c>
      <c r="CA397" s="566">
        <f>VLOOKUP($A397,'01-02.2021'!$A$6:$CZ$403,79,FALSE)+VLOOKUP($A397,'1.3.21-28.2.22'!$A$6:$DA$404,79,FALSE)-VLOOKUP($A397,'01-02.2022'!$A$6:$DA$376,79,FALSE)</f>
        <v>9255.8704924673784</v>
      </c>
      <c r="CB397" s="70">
        <f t="shared" si="464"/>
        <v>-2705.0997730665749</v>
      </c>
      <c r="CC397" s="566">
        <f>VLOOKUP($A397,'01-02.2021'!$A$6:$CZ$403,81,FALSE)+VLOOKUP($A397,'1.3.21-28.2.22'!$A$6:$DA$404,81,FALSE)-VLOOKUP($A397,'01-02.2022'!$A$6:$DA$376,81,FALSE)</f>
        <v>0</v>
      </c>
      <c r="CD397" s="566">
        <f>VLOOKUP($A397,'01-02.2021'!$A$6:$CZ$403,82,FALSE)+VLOOKUP($A397,'1.3.21-28.2.22'!$A$6:$DA$404,82,FALSE)-VLOOKUP($A397,'01-02.2022'!$A$6:$DA$376,82,FALSE)</f>
        <v>0</v>
      </c>
      <c r="CE397" s="70">
        <f t="shared" si="465"/>
        <v>0</v>
      </c>
      <c r="CF397" s="566">
        <f>VLOOKUP($A397,'01-02.2021'!$A$6:$CZ$403,84,FALSE)+VLOOKUP($A397,'1.3.21-28.2.22'!$A$6:$DA$404,84,FALSE)-VLOOKUP($A397,'01-02.2022'!$A$6:$DA$376,84,FALSE)</f>
        <v>0</v>
      </c>
      <c r="CG397" s="566">
        <f>VLOOKUP($A397,'01-02.2021'!$A$6:$CZ$403,85,FALSE)+VLOOKUP($A397,'1.3.21-28.2.22'!$A$6:$DA$404,85,FALSE)-VLOOKUP($A397,'01-02.2022'!$A$6:$DA$376,85,FALSE)</f>
        <v>0</v>
      </c>
      <c r="CH397" s="70">
        <f t="shared" si="466"/>
        <v>0</v>
      </c>
      <c r="CI397" s="566">
        <f>VLOOKUP($A397,'01-02.2021'!$A$6:$CZ$403,87,FALSE)+VLOOKUP($A397,'1.3.21-28.2.22'!$A$6:$DA$404,87,FALSE)-VLOOKUP($A397,'01-02.2022'!$A$6:$DA$376,87,FALSE)</f>
        <v>4531.0437358598301</v>
      </c>
      <c r="CJ397" s="566">
        <f>VLOOKUP($A397,'01-02.2021'!$A$6:$CZ$403,88,FALSE)+VLOOKUP($A397,'1.3.21-28.2.22'!$A$6:$DA$404,88,FALSE)-VLOOKUP($A397,'01-02.2022'!$A$6:$DA$376,88,FALSE)</f>
        <v>3976.8092616248668</v>
      </c>
      <c r="CK397" s="70">
        <f t="shared" si="467"/>
        <v>-554.23447423496327</v>
      </c>
      <c r="CL397" s="566">
        <f>VLOOKUP($A397,'01-02.2021'!$A$6:$CZ$403,90,FALSE)+VLOOKUP($A397,'1.3.21-28.2.22'!$A$6:$DA$404,90,FALSE)-VLOOKUP($A397,'01-02.2022'!$A$6:$DA$376,90,FALSE)</f>
        <v>0</v>
      </c>
      <c r="CM397" s="566">
        <f>VLOOKUP($A397,'01-02.2021'!$A$6:$CZ$403,91,FALSE)+VLOOKUP($A397,'1.3.21-28.2.22'!$A$6:$DA$404,91,FALSE)-VLOOKUP($A397,'01-02.2022'!$A$6:$DA$376,91,FALSE)</f>
        <v>0</v>
      </c>
      <c r="CN397" s="52">
        <f t="shared" si="420"/>
        <v>0</v>
      </c>
      <c r="CO397" s="39">
        <f t="shared" si="414"/>
        <v>4531.0437358598301</v>
      </c>
      <c r="CP397" s="40">
        <f t="shared" si="421"/>
        <v>3976.8092616248668</v>
      </c>
      <c r="CQ397" s="52">
        <f t="shared" si="422"/>
        <v>-554.23447423496327</v>
      </c>
      <c r="CR397" s="72">
        <f t="shared" si="415"/>
        <v>170169.48744104549</v>
      </c>
      <c r="CS397" s="5">
        <f t="shared" si="415"/>
        <v>144417.31234792917</v>
      </c>
      <c r="CT397" s="52">
        <f t="shared" si="423"/>
        <v>-25752.175093116326</v>
      </c>
      <c r="CU397" s="77">
        <f t="shared" si="424"/>
        <v>204203.38492925459</v>
      </c>
      <c r="CV397" s="65">
        <f t="shared" si="425"/>
        <v>173300.77481751499</v>
      </c>
      <c r="CW397" s="35">
        <f t="shared" si="426"/>
        <v>-30902.610111739603</v>
      </c>
      <c r="CX397" s="566">
        <f>VLOOKUP($A397,'01-02.2021'!$A$6:$CZ$403,102,FALSE)+VLOOKUP($A397,'1.3.21-28.2.22'!$A$6:$DA$404,102,FALSE)-VLOOKUP($A397,'01-02.2022'!$A$6:$DA$376,102,FALSE)</f>
        <v>5168.9163406298812</v>
      </c>
      <c r="CY397" s="566">
        <f>VLOOKUP($A397,'01-02.2021'!$A$6:$CZ$403,103,FALSE)+VLOOKUP($A397,'1.3.21-28.2.22'!$A$6:$DA$404,103,FALSE)-VLOOKUP($A397,'01-02.2022'!$A$6:$DA$376,103,FALSE)</f>
        <v>36071.526452369464</v>
      </c>
      <c r="CZ397" s="52">
        <f t="shared" si="427"/>
        <v>30902.610111739581</v>
      </c>
      <c r="DA397" s="150">
        <f>'[2]побудинковий звіт'!DA397</f>
        <v>-12342.010875037973</v>
      </c>
      <c r="DB397" s="2">
        <v>2</v>
      </c>
      <c r="DC397" s="414">
        <f>'[4]побудинковий звіт'!DC397</f>
        <v>32376.89</v>
      </c>
      <c r="DD397" s="414">
        <f>'[4]побудинковий звіт'!DD397</f>
        <v>4850.93</v>
      </c>
      <c r="DE397" s="557">
        <f>'[4]побудинковий звіт'!DE397</f>
        <v>16788.18664534697</v>
      </c>
      <c r="DF397" s="557">
        <f>'[4]побудинковий звіт'!DF397</f>
        <v>1571.3239697324666</v>
      </c>
      <c r="DG397" s="321">
        <f>VLOOKUP(A397,'кошти 01.03.2021'!$A$6:$D$401,4,)</f>
        <v>30780.813721437975</v>
      </c>
      <c r="DH397" s="40">
        <f>'[3]побудинковий звіт'!DJ397</f>
        <v>216079.14207041237</v>
      </c>
      <c r="DI397" s="422">
        <f>'[3]побудинковий звіт'!CU397+'[3]побудинковий звіт'!CX397</f>
        <v>18868.309384920562</v>
      </c>
      <c r="DJ397" s="306">
        <f>'[3]побудинковий звіт'!DM397</f>
        <v>4.3163709991757031</v>
      </c>
      <c r="DK397" s="306">
        <f t="shared" si="437"/>
        <v>4.3163709991757031</v>
      </c>
      <c r="DL397" s="306">
        <f>'[3]побудинковий звіт'!DO397</f>
        <v>3.7158463973119575</v>
      </c>
      <c r="DM397" s="28">
        <f t="shared" si="438"/>
        <v>15588.703354653027</v>
      </c>
      <c r="DN397" s="28">
        <f t="shared" si="439"/>
        <v>3279.6060302675337</v>
      </c>
      <c r="DO397" s="423">
        <f t="shared" si="440"/>
        <v>18868.309384920562</v>
      </c>
      <c r="DP397" s="94">
        <f t="shared" si="441"/>
        <v>0</v>
      </c>
      <c r="DQ397" s="28">
        <f t="shared" si="442"/>
        <v>18868.309384920562</v>
      </c>
      <c r="DR397" s="318"/>
      <c r="DT397" s="8"/>
      <c r="DU397" s="5"/>
      <c r="DX397" s="5">
        <f t="shared" si="443"/>
        <v>53981.18782113694</v>
      </c>
      <c r="DY397" s="5">
        <f t="shared" si="444"/>
        <v>20046.612000000001</v>
      </c>
      <c r="DZ397" s="159">
        <f>'[3]побудинковий звіт'!EA397</f>
        <v>5266.8503971631335</v>
      </c>
    </row>
    <row r="398" spans="1:130" x14ac:dyDescent="0.3">
      <c r="A398" s="325">
        <v>150000880</v>
      </c>
      <c r="B398" s="41" t="s">
        <v>844</v>
      </c>
      <c r="C398" s="42" t="s">
        <v>238</v>
      </c>
      <c r="D398" s="27"/>
      <c r="E398" s="293">
        <f t="shared" si="412"/>
        <v>2726.35</v>
      </c>
      <c r="F398" s="305">
        <f>'[3]побудинковий звіт'!F398</f>
        <v>1891.75</v>
      </c>
      <c r="G398" s="508">
        <f>'[3]побудинковий звіт'!G398</f>
        <v>0</v>
      </c>
      <c r="H398" s="560">
        <f>'[3]побудинковий звіт'!H398</f>
        <v>834.6</v>
      </c>
      <c r="I398" s="566">
        <f>VLOOKUP($A398,'01-02.2021'!$A$6:$CZ$403,9,FALSE)+VLOOKUP($A398,'1.3.21-28.2.22'!$A$6:$DA$404,9,FALSE)-VLOOKUP($A398,'01-02.2022'!$A$6:$DA$376,9,FALSE)</f>
        <v>8282.9307459461616</v>
      </c>
      <c r="J398" s="566">
        <f>VLOOKUP($A398,'01-02.2021'!$A$6:$CZ$403,10,FALSE)+VLOOKUP($A398,'1.3.21-28.2.22'!$A$6:$DA$404,10,FALSE)-VLOOKUP($A398,'01-02.2022'!$A$6:$DA$376,10,FALSE)</f>
        <v>9045.6284198704543</v>
      </c>
      <c r="K398" s="52">
        <f t="shared" si="417"/>
        <v>762.69767392429276</v>
      </c>
      <c r="L398" s="566">
        <f>VLOOKUP($A398,'01-02.2021'!$A$6:$CZ$403,12,FALSE)+VLOOKUP($A398,'1.3.21-28.2.22'!$A$6:$DA$404,12,FALSE)-VLOOKUP($A398,'01-02.2022'!$A$6:$DA$376,12,FALSE)</f>
        <v>1655.5998672683245</v>
      </c>
      <c r="M398" s="566">
        <f>VLOOKUP($A398,'01-02.2021'!$A$6:$CZ$403,13,FALSE)+VLOOKUP($A398,'1.3.21-28.2.22'!$A$6:$DA$404,13,FALSE)-VLOOKUP($A398,'01-02.2022'!$A$6:$DA$376,13,FALSE)</f>
        <v>1822.8809377146579</v>
      </c>
      <c r="N398" s="52">
        <f t="shared" si="418"/>
        <v>167.28107044633339</v>
      </c>
      <c r="O398" s="566">
        <f>VLOOKUP($A398,'01-02.2021'!$A$6:$CZ$403,15,FALSE)+VLOOKUP($A398,'1.3.21-28.2.22'!$A$6:$DA$404,15,FALSE)-VLOOKUP($A398,'01-02.2022'!$A$6:$DA$376,15,FALSE)</f>
        <v>3619.532411352609</v>
      </c>
      <c r="P398" s="566">
        <f>VLOOKUP($A398,'01-02.2021'!$A$6:$CZ$403,16,FALSE)+VLOOKUP($A398,'1.3.21-28.2.22'!$A$6:$DA$404,16,FALSE)-VLOOKUP($A398,'01-02.2022'!$A$6:$DA$376,16,FALSE)</f>
        <v>3619.5000000000005</v>
      </c>
      <c r="Q398" s="70">
        <f t="shared" si="445"/>
        <v>-3.2411352608505695E-2</v>
      </c>
      <c r="R398" s="566">
        <f>VLOOKUP($A398,'01-02.2021'!$A$6:$CZ$403,18,FALSE)+VLOOKUP($A398,'1.3.21-28.2.22'!$A$6:$DA$404,18,FALSE)-VLOOKUP($A398,'01-02.2022'!$A$6:$DA$376,18,FALSE)</f>
        <v>0</v>
      </c>
      <c r="S398" s="566">
        <f>VLOOKUP($A398,'01-02.2021'!$A$6:$CZ$403,19,FALSE)+VLOOKUP($A398,'1.3.21-28.2.22'!$A$6:$DA$404,19,FALSE)-VLOOKUP($A398,'01-02.2022'!$A$6:$DA$376,19,FALSE)</f>
        <v>0</v>
      </c>
      <c r="T398" s="70">
        <f t="shared" si="446"/>
        <v>0</v>
      </c>
      <c r="U398" s="566">
        <f>VLOOKUP($A398,'01-02.2021'!$A$6:$CZ$403,21,FALSE)+VLOOKUP($A398,'1.3.21-28.2.22'!$A$6:$DA$404,21,FALSE)-VLOOKUP($A398,'01-02.2022'!$A$6:$DA$376,21,FALSE)</f>
        <v>0</v>
      </c>
      <c r="V398" s="566">
        <f>VLOOKUP($A398,'01-02.2021'!$A$6:$CZ$403,22,FALSE)+VLOOKUP($A398,'1.3.21-28.2.22'!$A$6:$DA$404,22,FALSE)-VLOOKUP($A398,'01-02.2022'!$A$6:$DA$376,22,FALSE)</f>
        <v>0</v>
      </c>
      <c r="W398" s="70">
        <f t="shared" si="447"/>
        <v>0</v>
      </c>
      <c r="X398" s="566">
        <f>VLOOKUP($A398,'01-02.2021'!$A$6:$CZ$403,24,FALSE)+VLOOKUP($A398,'1.3.21-28.2.22'!$A$6:$DA$404,24,FALSE)-VLOOKUP($A398,'01-02.2022'!$A$6:$DA$376,24,FALSE)</f>
        <v>6483.9471420588216</v>
      </c>
      <c r="Y398" s="566">
        <f>VLOOKUP($A398,'01-02.2021'!$A$6:$CZ$403,25,FALSE)+VLOOKUP($A398,'1.3.21-28.2.22'!$A$6:$DA$404,25,FALSE)-VLOOKUP($A398,'01-02.2022'!$A$6:$DA$376,25,FALSE)</f>
        <v>5142.0479177373663</v>
      </c>
      <c r="Z398" s="70">
        <f t="shared" si="448"/>
        <v>-1341.8992243214552</v>
      </c>
      <c r="AA398" s="566">
        <f>VLOOKUP($A398,'01-02.2021'!$A$6:$CZ$403,27,FALSE)+VLOOKUP($A398,'1.3.21-28.2.22'!$A$6:$DA$404,27,FALSE)-VLOOKUP($A398,'01-02.2022'!$A$6:$DA$376,27,FALSE)</f>
        <v>545.27</v>
      </c>
      <c r="AB398" s="566">
        <f>VLOOKUP($A398,'01-02.2021'!$A$6:$CZ$403,28,FALSE)+VLOOKUP($A398,'1.3.21-28.2.22'!$A$6:$DA$404,28,FALSE)-VLOOKUP($A398,'01-02.2022'!$A$6:$DA$376,28,FALSE)</f>
        <v>0</v>
      </c>
      <c r="AC398" s="70">
        <f t="shared" si="449"/>
        <v>-545.27</v>
      </c>
      <c r="AD398" s="566">
        <f>VLOOKUP($A398,'01-02.2021'!$A$6:$CZ$403,30,FALSE)+VLOOKUP($A398,'1.3.21-28.2.22'!$A$6:$DA$404,30,FALSE)-VLOOKUP($A398,'01-02.2022'!$A$6:$DA$376,30,FALSE)</f>
        <v>11627.635620387773</v>
      </c>
      <c r="AE398" s="566">
        <f>VLOOKUP($A398,'01-02.2021'!$A$6:$CZ$403,31,FALSE)+VLOOKUP($A398,'1.3.21-28.2.22'!$A$6:$DA$404,31,FALSE)-VLOOKUP($A398,'01-02.2022'!$A$6:$DA$376,31,FALSE)</f>
        <v>12410.455050776756</v>
      </c>
      <c r="AF398" s="68">
        <f t="shared" si="450"/>
        <v>782.81943038898316</v>
      </c>
      <c r="AG398" s="77">
        <f t="shared" si="413"/>
        <v>32214.915787013691</v>
      </c>
      <c r="AH398" s="53">
        <f t="shared" si="413"/>
        <v>32040.512326099233</v>
      </c>
      <c r="AI398" s="52">
        <f t="shared" si="419"/>
        <v>-174.40346091445826</v>
      </c>
      <c r="AJ398" s="566">
        <f>VLOOKUP($A398,'01-02.2021'!$A$6:$CZ$403,36,FALSE)+VLOOKUP($A398,'1.3.21-28.2.22'!$A$6:$DA$404,36,FALSE)-VLOOKUP($A398,'01-02.2022'!$A$6:$DA$376,36,FALSE)</f>
        <v>0</v>
      </c>
      <c r="AK398" s="566">
        <f>VLOOKUP($A398,'01-02.2021'!$A$6:$CZ$403,37,FALSE)+VLOOKUP($A398,'1.3.21-28.2.22'!$A$6:$DA$404,37,FALSE)-VLOOKUP($A398,'01-02.2022'!$A$6:$DA$376,37,FALSE)</f>
        <v>0</v>
      </c>
      <c r="AL398" s="70">
        <f t="shared" si="451"/>
        <v>0</v>
      </c>
      <c r="AM398" s="566">
        <f>VLOOKUP($A398,'01-02.2021'!$A$6:$CZ$403,39,FALSE)+VLOOKUP($A398,'1.3.21-28.2.22'!$A$6:$DA$404,39,FALSE)-VLOOKUP($A398,'01-02.2022'!$A$6:$DA$376,39,FALSE)</f>
        <v>0</v>
      </c>
      <c r="AN398" s="566">
        <f>VLOOKUP($A398,'01-02.2021'!$A$6:$CZ$403,40,FALSE)+VLOOKUP($A398,'1.3.21-28.2.22'!$A$6:$DA$404,40,FALSE)-VLOOKUP($A398,'01-02.2022'!$A$6:$DA$376,40,FALSE)</f>
        <v>0</v>
      </c>
      <c r="AO398" s="70">
        <f t="shared" si="452"/>
        <v>0</v>
      </c>
      <c r="AP398" s="566">
        <f>VLOOKUP($A398,'01-02.2021'!$A$6:$CZ$403,42,FALSE)+VLOOKUP($A398,'1.3.21-28.2.22'!$A$6:$DA$404,42,FALSE)-VLOOKUP($A398,'01-02.2022'!$A$6:$DA$376,42,FALSE)</f>
        <v>3904.1994375958316</v>
      </c>
      <c r="AQ398" s="566">
        <f>VLOOKUP($A398,'01-02.2021'!$A$6:$CZ$403,43,FALSE)+VLOOKUP($A398,'1.3.21-28.2.22'!$A$6:$DA$404,43,FALSE)-VLOOKUP($A398,'01-02.2022'!$A$6:$DA$376,43,FALSE)</f>
        <v>3369.7004485743787</v>
      </c>
      <c r="AR398" s="70">
        <f t="shared" si="453"/>
        <v>-534.49898902145287</v>
      </c>
      <c r="AS398" s="566">
        <f>VLOOKUP($A398,'01-02.2021'!$A$6:$CZ$403,45,FALSE)+VLOOKUP($A398,'1.3.21-28.2.22'!$A$6:$DA$404,45,FALSE)-VLOOKUP($A398,'01-02.2022'!$A$6:$DA$376,45,FALSE)</f>
        <v>24210.164364034263</v>
      </c>
      <c r="AT398" s="566">
        <f>VLOOKUP($A398,'01-02.2021'!$A$6:$CZ$403,46,FALSE)+VLOOKUP($A398,'1.3.21-28.2.22'!$A$6:$DA$404,46,FALSE)-VLOOKUP($A398,'01-02.2022'!$A$6:$DA$376,46,FALSE)</f>
        <v>1891.5297539954245</v>
      </c>
      <c r="AU398" s="78">
        <f t="shared" si="454"/>
        <v>-22318.63461003884</v>
      </c>
      <c r="AV398" s="566">
        <f>VLOOKUP($A398,'01-02.2021'!$A$6:$CZ$403,48,FALSE)+VLOOKUP($A398,'1.3.21-28.2.22'!$A$6:$DA$404,48,FALSE)-VLOOKUP($A398,'01-02.2022'!$A$6:$DA$376,48,FALSE)</f>
        <v>2697.8614646218493</v>
      </c>
      <c r="AW398" s="566">
        <f>VLOOKUP($A398,'01-02.2021'!$A$6:$CZ$403,49,FALSE)+VLOOKUP($A398,'1.3.21-28.2.22'!$A$6:$DA$404,49,FALSE)-VLOOKUP($A398,'01-02.2022'!$A$6:$DA$376,49,FALSE)</f>
        <v>93</v>
      </c>
      <c r="AX398" s="55">
        <f t="shared" si="455"/>
        <v>-2604.8614646218493</v>
      </c>
      <c r="AY398" s="566">
        <f>VLOOKUP($A398,'01-02.2021'!$A$6:$CZ$403,51,FALSE)+VLOOKUP($A398,'1.3.21-28.2.22'!$A$6:$DA$404,51,FALSE)-VLOOKUP($A398,'01-02.2022'!$A$6:$DA$376,51,FALSE)</f>
        <v>3112.1108531489017</v>
      </c>
      <c r="AZ398" s="566">
        <f>VLOOKUP($A398,'01-02.2021'!$A$6:$CZ$403,52,FALSE)+VLOOKUP($A398,'1.3.21-28.2.22'!$A$6:$DA$404,52,FALSE)-VLOOKUP($A398,'01-02.2022'!$A$6:$DA$376,52,FALSE)</f>
        <v>0</v>
      </c>
      <c r="BA398" s="38">
        <f t="shared" si="456"/>
        <v>-3112.1108531489017</v>
      </c>
      <c r="BB398" s="566">
        <f>VLOOKUP($A398,'01-02.2021'!$A$6:$CZ$403,54,FALSE)+VLOOKUP($A398,'1.3.21-28.2.22'!$A$6:$DA$404,54,FALSE)-VLOOKUP($A398,'01-02.2022'!$A$6:$DA$376,54,FALSE)</f>
        <v>1499.9264375037053</v>
      </c>
      <c r="BC398" s="566">
        <f>VLOOKUP($A398,'01-02.2021'!$A$6:$CZ$403,55,FALSE)+VLOOKUP($A398,'1.3.21-28.2.22'!$A$6:$DA$404,55,FALSE)-VLOOKUP($A398,'01-02.2022'!$A$6:$DA$376,55,FALSE)</f>
        <v>0</v>
      </c>
      <c r="BD398" s="55">
        <f t="shared" si="457"/>
        <v>-1499.9264375037053</v>
      </c>
      <c r="BE398" s="566">
        <f>VLOOKUP($A398,'01-02.2021'!$A$6:$CZ$403,57,FALSE)+VLOOKUP($A398,'1.3.21-28.2.22'!$A$6:$DA$404,57,FALSE)-VLOOKUP($A398,'01-02.2022'!$A$6:$DA$376,57,FALSE)</f>
        <v>0</v>
      </c>
      <c r="BF398" s="566">
        <f>VLOOKUP($A398,'01-02.2021'!$A$6:$CZ$403,58,FALSE)+VLOOKUP($A398,'1.3.21-28.2.22'!$A$6:$DA$404,58,FALSE)-VLOOKUP($A398,'01-02.2022'!$A$6:$DA$376,58,FALSE)</f>
        <v>0</v>
      </c>
      <c r="BG398" s="55">
        <f t="shared" si="458"/>
        <v>0</v>
      </c>
      <c r="BH398" s="566">
        <f>VLOOKUP($A398,'01-02.2021'!$A$6:$CZ$403,60,FALSE)+VLOOKUP($A398,'1.3.21-28.2.22'!$A$6:$DA$404,60,FALSE)-VLOOKUP($A398,'01-02.2022'!$A$6:$DA$376,60,FALSE)</f>
        <v>0</v>
      </c>
      <c r="BI398" s="566">
        <f>VLOOKUP($A398,'01-02.2021'!$A$6:$CZ$403,61,FALSE)+VLOOKUP($A398,'1.3.21-28.2.22'!$A$6:$DA$404,61,FALSE)-VLOOKUP($A398,'01-02.2022'!$A$6:$DA$376,61,FALSE)</f>
        <v>0</v>
      </c>
      <c r="BJ398" s="55">
        <f t="shared" si="459"/>
        <v>0</v>
      </c>
      <c r="BK398" s="566">
        <f>VLOOKUP($A398,'01-02.2021'!$A$6:$CZ$403,63,FALSE)+VLOOKUP($A398,'1.3.21-28.2.22'!$A$6:$DA$404,63,FALSE)-VLOOKUP($A398,'01-02.2022'!$A$6:$DA$376,63,FALSE)</f>
        <v>2096.8312607874682</v>
      </c>
      <c r="BL398" s="566">
        <f>VLOOKUP($A398,'01-02.2021'!$A$6:$CZ$403,64,FALSE)+VLOOKUP($A398,'1.3.21-28.2.22'!$A$6:$DA$404,64,FALSE)-VLOOKUP($A398,'01-02.2022'!$A$6:$DA$376,64,FALSE)</f>
        <v>624</v>
      </c>
      <c r="BM398" s="55">
        <f t="shared" si="460"/>
        <v>-1472.8312607874682</v>
      </c>
      <c r="BN398" s="566">
        <f>VLOOKUP($A398,'01-02.2021'!$A$6:$CZ$403,66,FALSE)+VLOOKUP($A398,'1.3.21-28.2.22'!$A$6:$DA$404,66,FALSE)-VLOOKUP($A398,'01-02.2022'!$A$6:$DA$376,66,FALSE)</f>
        <v>136.3175</v>
      </c>
      <c r="BO398" s="566">
        <f>VLOOKUP($A398,'01-02.2021'!$A$6:$CZ$403,67,FALSE)+VLOOKUP($A398,'1.3.21-28.2.22'!$A$6:$DA$404,67,FALSE)-VLOOKUP($A398,'01-02.2022'!$A$6:$DA$376,67,FALSE)</f>
        <v>0</v>
      </c>
      <c r="BP398" s="55">
        <f t="shared" si="461"/>
        <v>-136.3175</v>
      </c>
      <c r="BQ398" s="77">
        <f t="shared" si="409"/>
        <v>9543.0475160619244</v>
      </c>
      <c r="BR398" s="40">
        <f t="shared" si="434"/>
        <v>717</v>
      </c>
      <c r="BS398" s="55">
        <f t="shared" si="428"/>
        <v>-8826.0475160619244</v>
      </c>
      <c r="BT398" s="566">
        <f>VLOOKUP($A398,'01-02.2021'!$A$6:$CZ$403,72,FALSE)+VLOOKUP($A398,'1.3.21-28.2.22'!$A$6:$DA$404,72,FALSE)-VLOOKUP($A398,'01-02.2022'!$A$6:$DA$376,72,FALSE)</f>
        <v>20874.311588248736</v>
      </c>
      <c r="BU398" s="566">
        <f>VLOOKUP($A398,'01-02.2021'!$A$6:$CZ$403,73,FALSE)+VLOOKUP($A398,'1.3.21-28.2.22'!$A$6:$DA$404,73,FALSE)-VLOOKUP($A398,'01-02.2022'!$A$6:$DA$376,73,FALSE)</f>
        <v>26980.743260696028</v>
      </c>
      <c r="BV398" s="70">
        <f t="shared" si="462"/>
        <v>6106.4316724472919</v>
      </c>
      <c r="BW398" s="566">
        <f>VLOOKUP($A398,'01-02.2021'!$A$6:$CZ$403,75,FALSE)+VLOOKUP($A398,'1.3.21-28.2.22'!$A$6:$DA$404,75,FALSE)-VLOOKUP($A398,'01-02.2022'!$A$6:$DA$376,75,FALSE)</f>
        <v>15768.424797479107</v>
      </c>
      <c r="BX398" s="566">
        <f>VLOOKUP($A398,'01-02.2021'!$A$6:$CZ$403,76,FALSE)+VLOOKUP($A398,'1.3.21-28.2.22'!$A$6:$DA$404,76,FALSE)-VLOOKUP($A398,'01-02.2022'!$A$6:$DA$376,76,FALSE)</f>
        <v>14507.090634083603</v>
      </c>
      <c r="BY398" s="70">
        <f t="shared" si="463"/>
        <v>-1261.3341633955042</v>
      </c>
      <c r="BZ398" s="566">
        <f>VLOOKUP($A398,'01-02.2021'!$A$6:$CZ$403,78,FALSE)+VLOOKUP($A398,'1.3.21-28.2.22'!$A$6:$DA$404,78,FALSE)-VLOOKUP($A398,'01-02.2022'!$A$6:$DA$376,78,FALSE)</f>
        <v>12077.403065800087</v>
      </c>
      <c r="CA398" s="566">
        <f>VLOOKUP($A398,'01-02.2021'!$A$6:$CZ$403,79,FALSE)+VLOOKUP($A398,'1.3.21-28.2.22'!$A$6:$DA$404,79,FALSE)-VLOOKUP($A398,'01-02.2022'!$A$6:$DA$376,79,FALSE)</f>
        <v>6473.4992688662369</v>
      </c>
      <c r="CB398" s="70">
        <f t="shared" si="464"/>
        <v>-5603.9037969338497</v>
      </c>
      <c r="CC398" s="566">
        <f>VLOOKUP($A398,'01-02.2021'!$A$6:$CZ$403,81,FALSE)+VLOOKUP($A398,'1.3.21-28.2.22'!$A$6:$DA$404,81,FALSE)-VLOOKUP($A398,'01-02.2022'!$A$6:$DA$376,81,FALSE)</f>
        <v>867.99280059134924</v>
      </c>
      <c r="CD398" s="566">
        <f>VLOOKUP($A398,'01-02.2021'!$A$6:$CZ$403,82,FALSE)+VLOOKUP($A398,'1.3.21-28.2.22'!$A$6:$DA$404,82,FALSE)-VLOOKUP($A398,'01-02.2022'!$A$6:$DA$376,82,FALSE)</f>
        <v>948.71007206733384</v>
      </c>
      <c r="CE398" s="70">
        <f t="shared" si="465"/>
        <v>80.717271475984603</v>
      </c>
      <c r="CF398" s="566">
        <f>VLOOKUP($A398,'01-02.2021'!$A$6:$CZ$403,84,FALSE)+VLOOKUP($A398,'1.3.21-28.2.22'!$A$6:$DA$404,84,FALSE)-VLOOKUP($A398,'01-02.2022'!$A$6:$DA$376,84,FALSE)</f>
        <v>105.52240475142079</v>
      </c>
      <c r="CG398" s="566">
        <f>VLOOKUP($A398,'01-02.2021'!$A$6:$CZ$403,85,FALSE)+VLOOKUP($A398,'1.3.21-28.2.22'!$A$6:$DA$404,85,FALSE)-VLOOKUP($A398,'01-02.2022'!$A$6:$DA$376,85,FALSE)</f>
        <v>0</v>
      </c>
      <c r="CH398" s="70">
        <f t="shared" si="466"/>
        <v>-105.52240475142079</v>
      </c>
      <c r="CI398" s="566">
        <f>VLOOKUP($A398,'01-02.2021'!$A$6:$CZ$403,87,FALSE)+VLOOKUP($A398,'1.3.21-28.2.22'!$A$6:$DA$404,87,FALSE)-VLOOKUP($A398,'01-02.2022'!$A$6:$DA$376,87,FALSE)</f>
        <v>7107.6302872103506</v>
      </c>
      <c r="CJ398" s="566">
        <f>VLOOKUP($A398,'01-02.2021'!$A$6:$CZ$403,88,FALSE)+VLOOKUP($A398,'1.3.21-28.2.22'!$A$6:$DA$404,88,FALSE)-VLOOKUP($A398,'01-02.2022'!$A$6:$DA$376,88,FALSE)</f>
        <v>6213.5114494183053</v>
      </c>
      <c r="CK398" s="70">
        <f t="shared" si="467"/>
        <v>-894.11883779204527</v>
      </c>
      <c r="CL398" s="566">
        <f>VLOOKUP($A398,'01-02.2021'!$A$6:$CZ$403,90,FALSE)+VLOOKUP($A398,'1.3.21-28.2.22'!$A$6:$DA$404,90,FALSE)-VLOOKUP($A398,'01-02.2022'!$A$6:$DA$376,90,FALSE)</f>
        <v>0</v>
      </c>
      <c r="CM398" s="566">
        <f>VLOOKUP($A398,'01-02.2021'!$A$6:$CZ$403,91,FALSE)+VLOOKUP($A398,'1.3.21-28.2.22'!$A$6:$DA$404,91,FALSE)-VLOOKUP($A398,'01-02.2022'!$A$6:$DA$376,91,FALSE)</f>
        <v>0</v>
      </c>
      <c r="CN398" s="52">
        <f t="shared" si="420"/>
        <v>0</v>
      </c>
      <c r="CO398" s="39">
        <f t="shared" si="414"/>
        <v>7107.6302872103506</v>
      </c>
      <c r="CP398" s="40">
        <f t="shared" si="421"/>
        <v>6213.5114494183053</v>
      </c>
      <c r="CQ398" s="52">
        <f t="shared" si="422"/>
        <v>-894.11883779204527</v>
      </c>
      <c r="CR398" s="72">
        <f t="shared" si="415"/>
        <v>126673.61204878676</v>
      </c>
      <c r="CS398" s="5">
        <f t="shared" si="415"/>
        <v>93142.297213800543</v>
      </c>
      <c r="CT398" s="52">
        <f t="shared" si="423"/>
        <v>-33531.314834986217</v>
      </c>
      <c r="CU398" s="77">
        <f t="shared" si="424"/>
        <v>152008.33445854409</v>
      </c>
      <c r="CV398" s="65">
        <f t="shared" si="425"/>
        <v>111770.75665656065</v>
      </c>
      <c r="CW398" s="35">
        <f t="shared" si="426"/>
        <v>-40237.57780198344</v>
      </c>
      <c r="CX398" s="566">
        <f>VLOOKUP($A398,'01-02.2021'!$A$6:$CZ$403,102,FALSE)+VLOOKUP($A398,'1.3.21-28.2.22'!$A$6:$DA$404,102,FALSE)-VLOOKUP($A398,'01-02.2022'!$A$6:$DA$376,102,FALSE)</f>
        <v>4328.6436481934998</v>
      </c>
      <c r="CY398" s="566">
        <f>VLOOKUP($A398,'01-02.2021'!$A$6:$CZ$403,103,FALSE)+VLOOKUP($A398,'1.3.21-28.2.22'!$A$6:$DA$404,103,FALSE)-VLOOKUP($A398,'01-02.2022'!$A$6:$DA$376,103,FALSE)</f>
        <v>44566.221450176941</v>
      </c>
      <c r="CZ398" s="52">
        <f t="shared" si="427"/>
        <v>40237.57780198344</v>
      </c>
      <c r="DA398" s="150">
        <f>'[2]побудинковий звіт'!DA398</f>
        <v>-3901.4694645168347</v>
      </c>
      <c r="DB398" s="2">
        <v>2</v>
      </c>
      <c r="DC398" s="414">
        <f>'[4]побудинковий звіт'!DC398</f>
        <v>9509.8799999999992</v>
      </c>
      <c r="DD398" s="414">
        <f>'[4]побудинковий звіт'!DD398</f>
        <v>12781.15</v>
      </c>
      <c r="DE398" s="557">
        <f>'[4]побудинковий звіт'!DE398</f>
        <v>-880.14415109286347</v>
      </c>
      <c r="DF398" s="557">
        <f>'[4]побудинковий звіт'!DF398</f>
        <v>9033.7313092962286</v>
      </c>
      <c r="DG398" s="321">
        <f>VLOOKUP(A398,'кошти 01.03.2021'!$A$6:$D$401,4,)</f>
        <v>35498.219433735721</v>
      </c>
      <c r="DH398" s="40">
        <f>'[3]побудинковий звіт'!DJ398</f>
        <v>161578.68386345048</v>
      </c>
      <c r="DI398" s="422">
        <f>'[3]побудинковий звіт'!CU398+'[3]побудинковий звіт'!CX398</f>
        <v>14137.442841796632</v>
      </c>
      <c r="DJ398" s="306">
        <f>'[3]побудинковий звіт'!DM398</f>
        <v>5.4922818295720166</v>
      </c>
      <c r="DK398" s="306">
        <f t="shared" si="437"/>
        <v>5.4922818295720166</v>
      </c>
      <c r="DL398" s="306">
        <f>'[3]побудинковий звіт'!DO398</f>
        <v>4.4900775110277635</v>
      </c>
      <c r="DM398" s="28">
        <f t="shared" si="438"/>
        <v>10390.024151092863</v>
      </c>
      <c r="DN398" s="28">
        <f t="shared" si="439"/>
        <v>3747.4186907037715</v>
      </c>
      <c r="DO398" s="423">
        <f t="shared" si="440"/>
        <v>14137.442841796634</v>
      </c>
      <c r="DP398" s="94">
        <f t="shared" si="441"/>
        <v>0</v>
      </c>
      <c r="DQ398" s="28">
        <f t="shared" si="442"/>
        <v>14137.442841796634</v>
      </c>
      <c r="DR398" s="318"/>
      <c r="DT398" s="8"/>
      <c r="DU398" s="5"/>
      <c r="DX398" s="5">
        <f t="shared" si="443"/>
        <v>40503.854256115425</v>
      </c>
      <c r="DY398" s="5">
        <f t="shared" si="444"/>
        <v>3130.2357047945093</v>
      </c>
      <c r="DZ398" s="159">
        <f>'[3]побудинковий звіт'!EA398</f>
        <v>3716.6343506687726</v>
      </c>
    </row>
    <row r="399" spans="1:130" x14ac:dyDescent="0.3">
      <c r="A399" s="325">
        <v>150000881</v>
      </c>
      <c r="B399" s="41" t="s">
        <v>845</v>
      </c>
      <c r="C399" s="42" t="s">
        <v>412</v>
      </c>
      <c r="D399" s="27"/>
      <c r="E399" s="293">
        <f t="shared" si="412"/>
        <v>2405.4</v>
      </c>
      <c r="F399" s="305">
        <f>'[3]побудинковий звіт'!F399</f>
        <v>2076.5</v>
      </c>
      <c r="G399" s="508">
        <f>'[3]побудинковий звіт'!G399</f>
        <v>0</v>
      </c>
      <c r="H399" s="560">
        <f>'[3]побудинковий звіт'!H399</f>
        <v>328.9</v>
      </c>
      <c r="I399" s="566">
        <f>VLOOKUP($A399,'01-02.2021'!$A$6:$CZ$403,9,FALSE)+VLOOKUP($A399,'1.3.21-28.2.22'!$A$6:$DA$404,9,FALSE)-VLOOKUP($A399,'01-02.2022'!$A$6:$DA$376,9,FALSE)</f>
        <v>6499.3926967129655</v>
      </c>
      <c r="J399" s="566">
        <f>VLOOKUP($A399,'01-02.2021'!$A$6:$CZ$403,10,FALSE)+VLOOKUP($A399,'1.3.21-28.2.22'!$A$6:$DA$404,10,FALSE)-VLOOKUP($A399,'01-02.2022'!$A$6:$DA$376,10,FALSE)</f>
        <v>7218.2149709517089</v>
      </c>
      <c r="K399" s="52">
        <f t="shared" si="417"/>
        <v>718.82227423874338</v>
      </c>
      <c r="L399" s="566">
        <f>VLOOKUP($A399,'01-02.2021'!$A$6:$CZ$403,12,FALSE)+VLOOKUP($A399,'1.3.21-28.2.22'!$A$6:$DA$404,12,FALSE)-VLOOKUP($A399,'01-02.2022'!$A$6:$DA$376,12,FALSE)</f>
        <v>967.17531812811421</v>
      </c>
      <c r="M399" s="566">
        <f>VLOOKUP($A399,'01-02.2021'!$A$6:$CZ$403,13,FALSE)+VLOOKUP($A399,'1.3.21-28.2.22'!$A$6:$DA$404,13,FALSE)-VLOOKUP($A399,'01-02.2022'!$A$6:$DA$376,13,FALSE)</f>
        <v>1064.8793666834845</v>
      </c>
      <c r="N399" s="52">
        <f t="shared" si="418"/>
        <v>97.704048555370264</v>
      </c>
      <c r="O399" s="566">
        <f>VLOOKUP($A399,'01-02.2021'!$A$6:$CZ$403,15,FALSE)+VLOOKUP($A399,'1.3.21-28.2.22'!$A$6:$DA$404,15,FALSE)-VLOOKUP($A399,'01-02.2022'!$A$6:$DA$376,15,FALSE)</f>
        <v>3038.4359949648592</v>
      </c>
      <c r="P399" s="566">
        <f>VLOOKUP($A399,'01-02.2021'!$A$6:$CZ$403,16,FALSE)+VLOOKUP($A399,'1.3.21-28.2.22'!$A$6:$DA$404,16,FALSE)-VLOOKUP($A399,'01-02.2022'!$A$6:$DA$376,16,FALSE)</f>
        <v>3038.51</v>
      </c>
      <c r="Q399" s="70">
        <f t="shared" si="445"/>
        <v>7.4005035140999098E-2</v>
      </c>
      <c r="R399" s="566">
        <f>VLOOKUP($A399,'01-02.2021'!$A$6:$CZ$403,18,FALSE)+VLOOKUP($A399,'1.3.21-28.2.22'!$A$6:$DA$404,18,FALSE)-VLOOKUP($A399,'01-02.2022'!$A$6:$DA$376,18,FALSE)</f>
        <v>704.43207109024991</v>
      </c>
      <c r="S399" s="566">
        <f>VLOOKUP($A399,'01-02.2021'!$A$6:$CZ$403,19,FALSE)+VLOOKUP($A399,'1.3.21-28.2.22'!$A$6:$DA$404,19,FALSE)-VLOOKUP($A399,'01-02.2022'!$A$6:$DA$376,19,FALSE)</f>
        <v>704.43</v>
      </c>
      <c r="T399" s="70">
        <f t="shared" si="446"/>
        <v>-2.071090249955887E-3</v>
      </c>
      <c r="U399" s="566">
        <f>VLOOKUP($A399,'01-02.2021'!$A$6:$CZ$403,21,FALSE)+VLOOKUP($A399,'1.3.21-28.2.22'!$A$6:$DA$404,21,FALSE)-VLOOKUP($A399,'01-02.2022'!$A$6:$DA$376,21,FALSE)</f>
        <v>335.82127994245559</v>
      </c>
      <c r="V399" s="566">
        <f>VLOOKUP($A399,'01-02.2021'!$A$6:$CZ$403,22,FALSE)+VLOOKUP($A399,'1.3.21-28.2.22'!$A$6:$DA$404,22,FALSE)-VLOOKUP($A399,'01-02.2022'!$A$6:$DA$376,22,FALSE)</f>
        <v>1111.1976517046032</v>
      </c>
      <c r="W399" s="70">
        <f t="shared" si="447"/>
        <v>775.37637176214764</v>
      </c>
      <c r="X399" s="566">
        <f>VLOOKUP($A399,'01-02.2021'!$A$6:$CZ$403,24,FALSE)+VLOOKUP($A399,'1.3.21-28.2.22'!$A$6:$DA$404,24,FALSE)-VLOOKUP($A399,'01-02.2022'!$A$6:$DA$376,24,FALSE)</f>
        <v>3526.9158072565215</v>
      </c>
      <c r="Y399" s="566">
        <f>VLOOKUP($A399,'01-02.2021'!$A$6:$CZ$403,25,FALSE)+VLOOKUP($A399,'1.3.21-28.2.22'!$A$6:$DA$404,25,FALSE)-VLOOKUP($A399,'01-02.2022'!$A$6:$DA$376,25,FALSE)</f>
        <v>2710.6715142341777</v>
      </c>
      <c r="Z399" s="70">
        <f t="shared" si="448"/>
        <v>-816.24429302234375</v>
      </c>
      <c r="AA399" s="566">
        <f>VLOOKUP($A399,'01-02.2021'!$A$6:$CZ$403,27,FALSE)+VLOOKUP($A399,'1.3.21-28.2.22'!$A$6:$DA$404,27,FALSE)-VLOOKUP($A399,'01-02.2022'!$A$6:$DA$376,27,FALSE)</f>
        <v>481.08000000000004</v>
      </c>
      <c r="AB399" s="566">
        <f>VLOOKUP($A399,'01-02.2021'!$A$6:$CZ$403,28,FALSE)+VLOOKUP($A399,'1.3.21-28.2.22'!$A$6:$DA$404,28,FALSE)-VLOOKUP($A399,'01-02.2022'!$A$6:$DA$376,28,FALSE)</f>
        <v>0</v>
      </c>
      <c r="AC399" s="70">
        <f t="shared" si="449"/>
        <v>-481.08000000000004</v>
      </c>
      <c r="AD399" s="566">
        <f>VLOOKUP($A399,'01-02.2021'!$A$6:$CZ$403,30,FALSE)+VLOOKUP($A399,'1.3.21-28.2.22'!$A$6:$DA$404,30,FALSE)-VLOOKUP($A399,'01-02.2022'!$A$6:$DA$376,30,FALSE)</f>
        <v>10299.238968788886</v>
      </c>
      <c r="AE399" s="566">
        <f>VLOOKUP($A399,'01-02.2021'!$A$6:$CZ$403,31,FALSE)+VLOOKUP($A399,'1.3.21-28.2.22'!$A$6:$DA$404,31,FALSE)-VLOOKUP($A399,'01-02.2022'!$A$6:$DA$376,31,FALSE)</f>
        <v>10949.477718979009</v>
      </c>
      <c r="AF399" s="68">
        <f t="shared" si="450"/>
        <v>650.23875019012303</v>
      </c>
      <c r="AG399" s="77">
        <f t="shared" si="413"/>
        <v>25852.492136884051</v>
      </c>
      <c r="AH399" s="53">
        <f t="shared" si="413"/>
        <v>26797.381222552984</v>
      </c>
      <c r="AI399" s="52">
        <f t="shared" si="419"/>
        <v>944.88908566893224</v>
      </c>
      <c r="AJ399" s="566">
        <f>VLOOKUP($A399,'01-02.2021'!$A$6:$CZ$403,36,FALSE)+VLOOKUP($A399,'1.3.21-28.2.22'!$A$6:$DA$404,36,FALSE)-VLOOKUP($A399,'01-02.2022'!$A$6:$DA$376,36,FALSE)</f>
        <v>17951.702677270045</v>
      </c>
      <c r="AK399" s="566">
        <f>VLOOKUP($A399,'01-02.2021'!$A$6:$CZ$403,37,FALSE)+VLOOKUP($A399,'1.3.21-28.2.22'!$A$6:$DA$404,37,FALSE)-VLOOKUP($A399,'01-02.2022'!$A$6:$DA$376,37,FALSE)</f>
        <v>17834.012840502412</v>
      </c>
      <c r="AL399" s="70">
        <f t="shared" si="451"/>
        <v>-117.6898367676331</v>
      </c>
      <c r="AM399" s="566">
        <f>VLOOKUP($A399,'01-02.2021'!$A$6:$CZ$403,39,FALSE)+VLOOKUP($A399,'1.3.21-28.2.22'!$A$6:$DA$404,39,FALSE)-VLOOKUP($A399,'01-02.2022'!$A$6:$DA$376,39,FALSE)</f>
        <v>525.37471249999999</v>
      </c>
      <c r="AN399" s="566">
        <f>VLOOKUP($A399,'01-02.2021'!$A$6:$CZ$403,40,FALSE)+VLOOKUP($A399,'1.3.21-28.2.22'!$A$6:$DA$404,40,FALSE)-VLOOKUP($A399,'01-02.2022'!$A$6:$DA$376,40,FALSE)</f>
        <v>0</v>
      </c>
      <c r="AO399" s="70">
        <f t="shared" si="452"/>
        <v>-525.37471249999999</v>
      </c>
      <c r="AP399" s="566">
        <f>VLOOKUP($A399,'01-02.2021'!$A$6:$CZ$403,42,FALSE)+VLOOKUP($A399,'1.3.21-28.2.22'!$A$6:$DA$404,42,FALSE)-VLOOKUP($A399,'01-02.2022'!$A$6:$DA$376,42,FALSE)</f>
        <v>2082.2397000511091</v>
      </c>
      <c r="AQ399" s="566">
        <f>VLOOKUP($A399,'01-02.2021'!$A$6:$CZ$403,43,FALSE)+VLOOKUP($A399,'1.3.21-28.2.22'!$A$6:$DA$404,43,FALSE)-VLOOKUP($A399,'01-02.2022'!$A$6:$DA$376,43,FALSE)</f>
        <v>1784.6362384835329</v>
      </c>
      <c r="AR399" s="70">
        <f t="shared" si="453"/>
        <v>-297.60346156757623</v>
      </c>
      <c r="AS399" s="566">
        <f>VLOOKUP($A399,'01-02.2021'!$A$6:$CZ$403,45,FALSE)+VLOOKUP($A399,'1.3.21-28.2.22'!$A$6:$DA$404,45,FALSE)-VLOOKUP($A399,'01-02.2022'!$A$6:$DA$376,45,FALSE)</f>
        <v>24590.888851448639</v>
      </c>
      <c r="AT399" s="566">
        <f>VLOOKUP($A399,'01-02.2021'!$A$6:$CZ$403,46,FALSE)+VLOOKUP($A399,'1.3.21-28.2.22'!$A$6:$DA$404,46,FALSE)-VLOOKUP($A399,'01-02.2022'!$A$6:$DA$376,46,FALSE)</f>
        <v>6755</v>
      </c>
      <c r="AU399" s="78">
        <f t="shared" si="454"/>
        <v>-17835.888851448639</v>
      </c>
      <c r="AV399" s="566">
        <f>VLOOKUP($A399,'01-02.2021'!$A$6:$CZ$403,48,FALSE)+VLOOKUP($A399,'1.3.21-28.2.22'!$A$6:$DA$404,48,FALSE)-VLOOKUP($A399,'01-02.2022'!$A$6:$DA$376,48,FALSE)</f>
        <v>1175.5904797461553</v>
      </c>
      <c r="AW399" s="566">
        <f>VLOOKUP($A399,'01-02.2021'!$A$6:$CZ$403,49,FALSE)+VLOOKUP($A399,'1.3.21-28.2.22'!$A$6:$DA$404,49,FALSE)-VLOOKUP($A399,'01-02.2022'!$A$6:$DA$376,49,FALSE)</f>
        <v>0</v>
      </c>
      <c r="AX399" s="55">
        <f t="shared" si="455"/>
        <v>-1175.5904797461553</v>
      </c>
      <c r="AY399" s="566">
        <f>VLOOKUP($A399,'01-02.2021'!$A$6:$CZ$403,51,FALSE)+VLOOKUP($A399,'1.3.21-28.2.22'!$A$6:$DA$404,51,FALSE)-VLOOKUP($A399,'01-02.2022'!$A$6:$DA$376,51,FALSE)</f>
        <v>1240.4099944039133</v>
      </c>
      <c r="AZ399" s="566">
        <f>VLOOKUP($A399,'01-02.2021'!$A$6:$CZ$403,52,FALSE)+VLOOKUP($A399,'1.3.21-28.2.22'!$A$6:$DA$404,52,FALSE)-VLOOKUP($A399,'01-02.2022'!$A$6:$DA$376,52,FALSE)</f>
        <v>0</v>
      </c>
      <c r="BA399" s="38">
        <f t="shared" si="456"/>
        <v>-1240.4099944039133</v>
      </c>
      <c r="BB399" s="566">
        <f>VLOOKUP($A399,'01-02.2021'!$A$6:$CZ$403,54,FALSE)+VLOOKUP($A399,'1.3.21-28.2.22'!$A$6:$DA$404,54,FALSE)-VLOOKUP($A399,'01-02.2022'!$A$6:$DA$376,54,FALSE)</f>
        <v>628.90054197808843</v>
      </c>
      <c r="BC399" s="566">
        <f>VLOOKUP($A399,'01-02.2021'!$A$6:$CZ$403,55,FALSE)+VLOOKUP($A399,'1.3.21-28.2.22'!$A$6:$DA$404,55,FALSE)-VLOOKUP($A399,'01-02.2022'!$A$6:$DA$376,55,FALSE)</f>
        <v>1953</v>
      </c>
      <c r="BD399" s="55">
        <f t="shared" si="457"/>
        <v>1324.0994580219117</v>
      </c>
      <c r="BE399" s="566">
        <f>VLOOKUP($A399,'01-02.2021'!$A$6:$CZ$403,57,FALSE)+VLOOKUP($A399,'1.3.21-28.2.22'!$A$6:$DA$404,57,FALSE)-VLOOKUP($A399,'01-02.2022'!$A$6:$DA$376,57,FALSE)</f>
        <v>1377.4121657623421</v>
      </c>
      <c r="BF399" s="566">
        <f>VLOOKUP($A399,'01-02.2021'!$A$6:$CZ$403,58,FALSE)+VLOOKUP($A399,'1.3.21-28.2.22'!$A$6:$DA$404,58,FALSE)-VLOOKUP($A399,'01-02.2022'!$A$6:$DA$376,58,FALSE)</f>
        <v>0</v>
      </c>
      <c r="BG399" s="55">
        <f t="shared" si="458"/>
        <v>-1377.4121657623421</v>
      </c>
      <c r="BH399" s="566">
        <f>VLOOKUP($A399,'01-02.2021'!$A$6:$CZ$403,60,FALSE)+VLOOKUP($A399,'1.3.21-28.2.22'!$A$6:$DA$404,60,FALSE)-VLOOKUP($A399,'01-02.2022'!$A$6:$DA$376,60,FALSE)</f>
        <v>568.63257583525615</v>
      </c>
      <c r="BI399" s="566">
        <f>VLOOKUP($A399,'01-02.2021'!$A$6:$CZ$403,61,FALSE)+VLOOKUP($A399,'1.3.21-28.2.22'!$A$6:$DA$404,61,FALSE)-VLOOKUP($A399,'01-02.2022'!$A$6:$DA$376,61,FALSE)</f>
        <v>0</v>
      </c>
      <c r="BJ399" s="55">
        <f t="shared" si="459"/>
        <v>-568.63257583525615</v>
      </c>
      <c r="BK399" s="566">
        <f>VLOOKUP($A399,'01-02.2021'!$A$6:$CZ$403,63,FALSE)+VLOOKUP($A399,'1.3.21-28.2.22'!$A$6:$DA$404,63,FALSE)-VLOOKUP($A399,'01-02.2022'!$A$6:$DA$376,63,FALSE)</f>
        <v>533.54345389823436</v>
      </c>
      <c r="BL399" s="566">
        <f>VLOOKUP($A399,'01-02.2021'!$A$6:$CZ$403,64,FALSE)+VLOOKUP($A399,'1.3.21-28.2.22'!$A$6:$DA$404,64,FALSE)-VLOOKUP($A399,'01-02.2022'!$A$6:$DA$376,64,FALSE)</f>
        <v>8899</v>
      </c>
      <c r="BM399" s="55">
        <f t="shared" si="460"/>
        <v>8365.4565461017664</v>
      </c>
      <c r="BN399" s="566">
        <f>VLOOKUP($A399,'01-02.2021'!$A$6:$CZ$403,66,FALSE)+VLOOKUP($A399,'1.3.21-28.2.22'!$A$6:$DA$404,66,FALSE)-VLOOKUP($A399,'01-02.2022'!$A$6:$DA$376,66,FALSE)</f>
        <v>120.27000000000001</v>
      </c>
      <c r="BO399" s="566">
        <f>VLOOKUP($A399,'01-02.2021'!$A$6:$CZ$403,67,FALSE)+VLOOKUP($A399,'1.3.21-28.2.22'!$A$6:$DA$404,67,FALSE)-VLOOKUP($A399,'01-02.2022'!$A$6:$DA$376,67,FALSE)</f>
        <v>0</v>
      </c>
      <c r="BP399" s="55">
        <f t="shared" si="461"/>
        <v>-120.27000000000001</v>
      </c>
      <c r="BQ399" s="77">
        <f t="shared" si="409"/>
        <v>5644.7592116239903</v>
      </c>
      <c r="BR399" s="40">
        <f t="shared" si="434"/>
        <v>10852</v>
      </c>
      <c r="BS399" s="55">
        <f t="shared" si="428"/>
        <v>5207.2407883760097</v>
      </c>
      <c r="BT399" s="566">
        <f>VLOOKUP($A399,'01-02.2021'!$A$6:$CZ$403,72,FALSE)+VLOOKUP($A399,'1.3.21-28.2.22'!$A$6:$DA$404,72,FALSE)-VLOOKUP($A399,'01-02.2022'!$A$6:$DA$376,72,FALSE)</f>
        <v>33422.775015728323</v>
      </c>
      <c r="BU399" s="566">
        <f>VLOOKUP($A399,'01-02.2021'!$A$6:$CZ$403,73,FALSE)+VLOOKUP($A399,'1.3.21-28.2.22'!$A$6:$DA$404,73,FALSE)-VLOOKUP($A399,'01-02.2022'!$A$6:$DA$376,73,FALSE)</f>
        <v>32103.580621249217</v>
      </c>
      <c r="BV399" s="70">
        <f t="shared" si="462"/>
        <v>-1319.1943944791055</v>
      </c>
      <c r="BW399" s="566">
        <f>VLOOKUP($A399,'01-02.2021'!$A$6:$CZ$403,75,FALSE)+VLOOKUP($A399,'1.3.21-28.2.22'!$A$6:$DA$404,75,FALSE)-VLOOKUP($A399,'01-02.2022'!$A$6:$DA$376,75,FALSE)</f>
        <v>20143.847885330088</v>
      </c>
      <c r="BX399" s="566">
        <f>VLOOKUP($A399,'01-02.2021'!$A$6:$CZ$403,76,FALSE)+VLOOKUP($A399,'1.3.21-28.2.22'!$A$6:$DA$404,76,FALSE)-VLOOKUP($A399,'01-02.2022'!$A$6:$DA$376,76,FALSE)</f>
        <v>18778.679667124372</v>
      </c>
      <c r="BY399" s="70">
        <f t="shared" si="463"/>
        <v>-1365.1682182057157</v>
      </c>
      <c r="BZ399" s="566">
        <f>VLOOKUP($A399,'01-02.2021'!$A$6:$CZ$403,78,FALSE)+VLOOKUP($A399,'1.3.21-28.2.22'!$A$6:$DA$404,78,FALSE)-VLOOKUP($A399,'01-02.2022'!$A$6:$DA$376,78,FALSE)</f>
        <v>7732.5690712075111</v>
      </c>
      <c r="CA399" s="566">
        <f>VLOOKUP($A399,'01-02.2021'!$A$6:$CZ$403,79,FALSE)+VLOOKUP($A399,'1.3.21-28.2.22'!$A$6:$DA$404,79,FALSE)-VLOOKUP($A399,'01-02.2022'!$A$6:$DA$376,79,FALSE)</f>
        <v>7557.8310567523258</v>
      </c>
      <c r="CB399" s="70">
        <f t="shared" si="464"/>
        <v>-174.73801445518529</v>
      </c>
      <c r="CC399" s="566">
        <f>VLOOKUP($A399,'01-02.2021'!$A$6:$CZ$403,81,FALSE)+VLOOKUP($A399,'1.3.21-28.2.22'!$A$6:$DA$404,81,FALSE)-VLOOKUP($A399,'01-02.2022'!$A$6:$DA$376,81,FALSE)</f>
        <v>22.724152687500002</v>
      </c>
      <c r="CD399" s="566">
        <f>VLOOKUP($A399,'01-02.2021'!$A$6:$CZ$403,82,FALSE)+VLOOKUP($A399,'1.3.21-28.2.22'!$A$6:$DA$404,82,FALSE)-VLOOKUP($A399,'01-02.2022'!$A$6:$DA$376,82,FALSE)</f>
        <v>0</v>
      </c>
      <c r="CE399" s="70">
        <f t="shared" si="465"/>
        <v>-22.724152687500002</v>
      </c>
      <c r="CF399" s="566">
        <f>VLOOKUP($A399,'01-02.2021'!$A$6:$CZ$403,84,FALSE)+VLOOKUP($A399,'1.3.21-28.2.22'!$A$6:$DA$404,84,FALSE)-VLOOKUP($A399,'01-02.2022'!$A$6:$DA$376,84,FALSE)</f>
        <v>0</v>
      </c>
      <c r="CG399" s="566">
        <f>VLOOKUP($A399,'01-02.2021'!$A$6:$CZ$403,85,FALSE)+VLOOKUP($A399,'1.3.21-28.2.22'!$A$6:$DA$404,85,FALSE)-VLOOKUP($A399,'01-02.2022'!$A$6:$DA$376,85,FALSE)</f>
        <v>0</v>
      </c>
      <c r="CH399" s="70">
        <f t="shared" si="466"/>
        <v>0</v>
      </c>
      <c r="CI399" s="566">
        <f>VLOOKUP($A399,'01-02.2021'!$A$6:$CZ$403,87,FALSE)+VLOOKUP($A399,'1.3.21-28.2.22'!$A$6:$DA$404,87,FALSE)-VLOOKUP($A399,'01-02.2022'!$A$6:$DA$376,87,FALSE)</f>
        <v>4370.3839469127597</v>
      </c>
      <c r="CJ399" s="566">
        <f>VLOOKUP($A399,'01-02.2021'!$A$6:$CZ$403,88,FALSE)+VLOOKUP($A399,'1.3.21-28.2.22'!$A$6:$DA$404,88,FALSE)-VLOOKUP($A399,'01-02.2022'!$A$6:$DA$376,88,FALSE)</f>
        <v>3554.4741172474423</v>
      </c>
      <c r="CK399" s="70">
        <f t="shared" si="467"/>
        <v>-815.90982966531737</v>
      </c>
      <c r="CL399" s="566">
        <f>VLOOKUP($A399,'01-02.2021'!$A$6:$CZ$403,90,FALSE)+VLOOKUP($A399,'1.3.21-28.2.22'!$A$6:$DA$404,90,FALSE)-VLOOKUP($A399,'01-02.2022'!$A$6:$DA$376,90,FALSE)</f>
        <v>7524.1375976981953</v>
      </c>
      <c r="CM399" s="566">
        <f>VLOOKUP($A399,'01-02.2021'!$A$6:$CZ$403,91,FALSE)+VLOOKUP($A399,'1.3.21-28.2.22'!$A$6:$DA$404,91,FALSE)-VLOOKUP($A399,'01-02.2022'!$A$6:$DA$376,91,FALSE)</f>
        <v>7060.7864765176473</v>
      </c>
      <c r="CN399" s="52">
        <f t="shared" si="420"/>
        <v>-463.35112118054803</v>
      </c>
      <c r="CO399" s="39">
        <f t="shared" si="414"/>
        <v>11894.521544610954</v>
      </c>
      <c r="CP399" s="40">
        <f t="shared" si="421"/>
        <v>10615.26059376509</v>
      </c>
      <c r="CQ399" s="52">
        <f t="shared" si="422"/>
        <v>-1279.2609508458645</v>
      </c>
      <c r="CR399" s="72">
        <f t="shared" si="415"/>
        <v>149863.89495934223</v>
      </c>
      <c r="CS399" s="5">
        <f t="shared" si="415"/>
        <v>133078.38224042996</v>
      </c>
      <c r="CT399" s="52">
        <f t="shared" si="423"/>
        <v>-16785.512718912272</v>
      </c>
      <c r="CU399" s="77">
        <f t="shared" si="424"/>
        <v>179836.67395121066</v>
      </c>
      <c r="CV399" s="65">
        <f t="shared" si="425"/>
        <v>159694.05868851594</v>
      </c>
      <c r="CW399" s="35">
        <f t="shared" si="426"/>
        <v>-20142.615262694715</v>
      </c>
      <c r="CX399" s="566">
        <f>VLOOKUP($A399,'01-02.2021'!$A$6:$CZ$403,102,FALSE)+VLOOKUP($A399,'1.3.21-28.2.22'!$A$6:$DA$404,102,FALSE)-VLOOKUP($A399,'01-02.2022'!$A$6:$DA$376,102,FALSE)</f>
        <v>6271.7593568247157</v>
      </c>
      <c r="CY399" s="566">
        <f>VLOOKUP($A399,'01-02.2021'!$A$6:$CZ$403,103,FALSE)+VLOOKUP($A399,'1.3.21-28.2.22'!$A$6:$DA$404,103,FALSE)-VLOOKUP($A399,'01-02.2022'!$A$6:$DA$376,103,FALSE)</f>
        <v>26414.37461951944</v>
      </c>
      <c r="CZ399" s="52">
        <f t="shared" si="427"/>
        <v>20142.615262694722</v>
      </c>
      <c r="DA399" s="150">
        <f>'[2]побудинковий звіт'!DA399</f>
        <v>97576.624640427326</v>
      </c>
      <c r="DB399" s="2">
        <v>2</v>
      </c>
      <c r="DC399" s="414">
        <f>'[4]побудинковий звіт'!DC399</f>
        <v>20319.54</v>
      </c>
      <c r="DD399" s="414">
        <f>'[4]побудинковий звіт'!DD399</f>
        <v>2923.2400000000002</v>
      </c>
      <c r="DE399" s="557">
        <f>'[4]побудинковий звіт'!DE399</f>
        <v>5013.9365036978634</v>
      </c>
      <c r="DF399" s="557">
        <f>'[4]побудинковий звіт'!DF399</f>
        <v>1323.4675608112623</v>
      </c>
      <c r="DG399" s="321">
        <f>VLOOKUP(A399,'кошти 01.03.2021'!$A$6:$D$401,4,)</f>
        <v>123712.01452998961</v>
      </c>
      <c r="DH399" s="40">
        <f>'[3]побудинковий звіт'!DJ399</f>
        <v>192712.55539078149</v>
      </c>
      <c r="DI399" s="422">
        <f>'[3]побудинковий звіт'!CU399+'[3]побудинковий звіт'!CX399</f>
        <v>16905.375935490876</v>
      </c>
      <c r="DJ399" s="306">
        <f>'[3]побудинковий звіт'!DM399</f>
        <v>6.0331237061610556</v>
      </c>
      <c r="DK399" s="306">
        <f>'[3]побудинковий звіт'!DN399</f>
        <v>7.3708661190956599</v>
      </c>
      <c r="DL399" s="306">
        <f>'[3]побудинковий звіт'!DO399</f>
        <v>4.8640086323768257</v>
      </c>
      <c r="DM399" s="28">
        <f t="shared" ref="DM399" si="468">DJ399*G399+(F399-G399)*DK399</f>
        <v>15305.603496302138</v>
      </c>
      <c r="DN399" s="28">
        <f>DL399*H399</f>
        <v>1599.772439188738</v>
      </c>
      <c r="DO399" s="423">
        <f t="shared" si="440"/>
        <v>16905.375935490876</v>
      </c>
      <c r="DP399" s="94">
        <f t="shared" si="441"/>
        <v>0</v>
      </c>
      <c r="DQ399" s="28">
        <f t="shared" si="442"/>
        <v>16905.375935490876</v>
      </c>
      <c r="DR399" s="318"/>
      <c r="DT399" s="8"/>
      <c r="DU399" s="5"/>
      <c r="DX399" s="5">
        <f t="shared" si="443"/>
        <v>36282.777675687154</v>
      </c>
      <c r="DY399" s="5">
        <f t="shared" si="444"/>
        <v>21128.399999999998</v>
      </c>
      <c r="DZ399" s="159">
        <f>'[3]побудинковий звіт'!EA399</f>
        <v>3288.5325115308519</v>
      </c>
    </row>
    <row r="400" spans="1:130" x14ac:dyDescent="0.3">
      <c r="A400" s="325">
        <v>150000882</v>
      </c>
      <c r="B400" s="41" t="s">
        <v>846</v>
      </c>
      <c r="C400" s="42" t="s">
        <v>331</v>
      </c>
      <c r="D400" s="27"/>
      <c r="E400" s="293">
        <f t="shared" si="412"/>
        <v>3009.77</v>
      </c>
      <c r="F400" s="305">
        <f>'[3]побудинковий звіт'!F400</f>
        <v>2322.87</v>
      </c>
      <c r="G400" s="508">
        <f>'[3]побудинковий звіт'!G400</f>
        <v>0</v>
      </c>
      <c r="H400" s="560">
        <f>'[3]побудинковий звіт'!H400</f>
        <v>686.9</v>
      </c>
      <c r="I400" s="566">
        <f>VLOOKUP($A400,'01-02.2021'!$A$6:$CZ$403,9,FALSE)+VLOOKUP($A400,'1.3.21-28.2.22'!$A$6:$DA$404,9,FALSE)-VLOOKUP($A400,'01-02.2022'!$A$6:$DA$376,9,FALSE)</f>
        <v>8158.3156499167526</v>
      </c>
      <c r="J400" s="566">
        <f>VLOOKUP($A400,'01-02.2021'!$A$6:$CZ$403,10,FALSE)+VLOOKUP($A400,'1.3.21-28.2.22'!$A$6:$DA$404,10,FALSE)-VLOOKUP($A400,'01-02.2022'!$A$6:$DA$376,10,FALSE)</f>
        <v>9035.1535071426079</v>
      </c>
      <c r="K400" s="52">
        <f t="shared" si="417"/>
        <v>876.83785722585526</v>
      </c>
      <c r="L400" s="566">
        <f>VLOOKUP($A400,'01-02.2021'!$A$6:$CZ$403,12,FALSE)+VLOOKUP($A400,'1.3.21-28.2.22'!$A$6:$DA$404,12,FALSE)-VLOOKUP($A400,'01-02.2022'!$A$6:$DA$376,12,FALSE)</f>
        <v>1696.8736493402075</v>
      </c>
      <c r="M400" s="566">
        <f>VLOOKUP($A400,'01-02.2021'!$A$6:$CZ$403,13,FALSE)+VLOOKUP($A400,'1.3.21-28.2.22'!$A$6:$DA$404,13,FALSE)-VLOOKUP($A400,'01-02.2022'!$A$6:$DA$376,13,FALSE)</f>
        <v>1868.3148954538806</v>
      </c>
      <c r="N400" s="52">
        <f t="shared" si="418"/>
        <v>171.44124611367306</v>
      </c>
      <c r="O400" s="566">
        <f>VLOOKUP($A400,'01-02.2021'!$A$6:$CZ$403,15,FALSE)+VLOOKUP($A400,'1.3.21-28.2.22'!$A$6:$DA$404,15,FALSE)-VLOOKUP($A400,'01-02.2022'!$A$6:$DA$376,15,FALSE)</f>
        <v>3969.4512911305674</v>
      </c>
      <c r="P400" s="566">
        <f>VLOOKUP($A400,'01-02.2021'!$A$6:$CZ$403,16,FALSE)+VLOOKUP($A400,'1.3.21-28.2.22'!$A$6:$DA$404,16,FALSE)-VLOOKUP($A400,'01-02.2022'!$A$6:$DA$376,16,FALSE)</f>
        <v>3969.4899999999989</v>
      </c>
      <c r="Q400" s="70">
        <f t="shared" si="445"/>
        <v>3.8708869431502535E-2</v>
      </c>
      <c r="R400" s="566">
        <f>VLOOKUP($A400,'01-02.2021'!$A$6:$CZ$403,18,FALSE)+VLOOKUP($A400,'1.3.21-28.2.22'!$A$6:$DA$404,18,FALSE)-VLOOKUP($A400,'01-02.2022'!$A$6:$DA$376,18,FALSE)</f>
        <v>0</v>
      </c>
      <c r="S400" s="566">
        <f>VLOOKUP($A400,'01-02.2021'!$A$6:$CZ$403,19,FALSE)+VLOOKUP($A400,'1.3.21-28.2.22'!$A$6:$DA$404,19,FALSE)-VLOOKUP($A400,'01-02.2022'!$A$6:$DA$376,19,FALSE)</f>
        <v>0</v>
      </c>
      <c r="T400" s="70">
        <f t="shared" si="446"/>
        <v>0</v>
      </c>
      <c r="U400" s="566">
        <f>VLOOKUP($A400,'01-02.2021'!$A$6:$CZ$403,21,FALSE)+VLOOKUP($A400,'1.3.21-28.2.22'!$A$6:$DA$404,21,FALSE)-VLOOKUP($A400,'01-02.2022'!$A$6:$DA$376,21,FALSE)</f>
        <v>0</v>
      </c>
      <c r="V400" s="566">
        <f>VLOOKUP($A400,'01-02.2021'!$A$6:$CZ$403,22,FALSE)+VLOOKUP($A400,'1.3.21-28.2.22'!$A$6:$DA$404,22,FALSE)-VLOOKUP($A400,'01-02.2022'!$A$6:$DA$376,22,FALSE)</f>
        <v>0</v>
      </c>
      <c r="W400" s="70">
        <f t="shared" si="447"/>
        <v>0</v>
      </c>
      <c r="X400" s="566">
        <f>VLOOKUP($A400,'01-02.2021'!$A$6:$CZ$403,24,FALSE)+VLOOKUP($A400,'1.3.21-28.2.22'!$A$6:$DA$404,24,FALSE)-VLOOKUP($A400,'01-02.2022'!$A$6:$DA$376,24,FALSE)</f>
        <v>5078.6240657468215</v>
      </c>
      <c r="Y400" s="566">
        <f>VLOOKUP($A400,'01-02.2021'!$A$6:$CZ$403,25,FALSE)+VLOOKUP($A400,'1.3.21-28.2.22'!$A$6:$DA$404,25,FALSE)-VLOOKUP($A400,'01-02.2022'!$A$6:$DA$376,25,FALSE)</f>
        <v>4115.3690417155267</v>
      </c>
      <c r="Z400" s="70">
        <f t="shared" si="448"/>
        <v>-963.25502403129485</v>
      </c>
      <c r="AA400" s="566">
        <f>VLOOKUP($A400,'01-02.2021'!$A$6:$CZ$403,27,FALSE)+VLOOKUP($A400,'1.3.21-28.2.22'!$A$6:$DA$404,27,FALSE)-VLOOKUP($A400,'01-02.2022'!$A$6:$DA$376,27,FALSE)</f>
        <v>612.71399999999994</v>
      </c>
      <c r="AB400" s="566">
        <f>VLOOKUP($A400,'01-02.2021'!$A$6:$CZ$403,28,FALSE)+VLOOKUP($A400,'1.3.21-28.2.22'!$A$6:$DA$404,28,FALSE)-VLOOKUP($A400,'01-02.2022'!$A$6:$DA$376,28,FALSE)</f>
        <v>0</v>
      </c>
      <c r="AC400" s="70">
        <f t="shared" si="449"/>
        <v>-612.71399999999994</v>
      </c>
      <c r="AD400" s="566">
        <f>VLOOKUP($A400,'01-02.2021'!$A$6:$CZ$403,30,FALSE)+VLOOKUP($A400,'1.3.21-28.2.22'!$A$6:$DA$404,30,FALSE)-VLOOKUP($A400,'01-02.2022'!$A$6:$DA$376,30,FALSE)</f>
        <v>12951.279751936752</v>
      </c>
      <c r="AE400" s="566">
        <f>VLOOKUP($A400,'01-02.2021'!$A$6:$CZ$403,31,FALSE)+VLOOKUP($A400,'1.3.21-28.2.22'!$A$6:$DA$404,31,FALSE)-VLOOKUP($A400,'01-02.2022'!$A$6:$DA$376,31,FALSE)</f>
        <v>13700.594310406354</v>
      </c>
      <c r="AF400" s="68">
        <f t="shared" si="450"/>
        <v>749.31455846960125</v>
      </c>
      <c r="AG400" s="77">
        <f t="shared" si="413"/>
        <v>32467.258408071102</v>
      </c>
      <c r="AH400" s="53">
        <f t="shared" si="413"/>
        <v>32688.921754718365</v>
      </c>
      <c r="AI400" s="52">
        <f t="shared" si="419"/>
        <v>221.6633466472631</v>
      </c>
      <c r="AJ400" s="566">
        <f>VLOOKUP($A400,'01-02.2021'!$A$6:$CZ$403,36,FALSE)+VLOOKUP($A400,'1.3.21-28.2.22'!$A$6:$DA$404,36,FALSE)-VLOOKUP($A400,'01-02.2022'!$A$6:$DA$376,36,FALSE)</f>
        <v>0</v>
      </c>
      <c r="AK400" s="566">
        <f>VLOOKUP($A400,'01-02.2021'!$A$6:$CZ$403,37,FALSE)+VLOOKUP($A400,'1.3.21-28.2.22'!$A$6:$DA$404,37,FALSE)-VLOOKUP($A400,'01-02.2022'!$A$6:$DA$376,37,FALSE)</f>
        <v>0</v>
      </c>
      <c r="AL400" s="70">
        <f t="shared" si="451"/>
        <v>0</v>
      </c>
      <c r="AM400" s="566">
        <f>VLOOKUP($A400,'01-02.2021'!$A$6:$CZ$403,39,FALSE)+VLOOKUP($A400,'1.3.21-28.2.22'!$A$6:$DA$404,39,FALSE)-VLOOKUP($A400,'01-02.2022'!$A$6:$DA$376,39,FALSE)</f>
        <v>0</v>
      </c>
      <c r="AN400" s="566">
        <f>VLOOKUP($A400,'01-02.2021'!$A$6:$CZ$403,40,FALSE)+VLOOKUP($A400,'1.3.21-28.2.22'!$A$6:$DA$404,40,FALSE)-VLOOKUP($A400,'01-02.2022'!$A$6:$DA$376,40,FALSE)</f>
        <v>0</v>
      </c>
      <c r="AO400" s="70">
        <f t="shared" si="452"/>
        <v>0</v>
      </c>
      <c r="AP400" s="566">
        <f>VLOOKUP($A400,'01-02.2021'!$A$6:$CZ$403,42,FALSE)+VLOOKUP($A400,'1.3.21-28.2.22'!$A$6:$DA$404,42,FALSE)-VLOOKUP($A400,'01-02.2022'!$A$6:$DA$376,42,FALSE)</f>
        <v>6376.8590814065237</v>
      </c>
      <c r="AQ400" s="566">
        <f>VLOOKUP($A400,'01-02.2021'!$A$6:$CZ$403,43,FALSE)+VLOOKUP($A400,'1.3.21-28.2.22'!$A$6:$DA$404,43,FALSE)-VLOOKUP($A400,'01-02.2022'!$A$6:$DA$376,43,FALSE)</f>
        <v>5336.8703410825401</v>
      </c>
      <c r="AR400" s="70">
        <f t="shared" si="453"/>
        <v>-1039.9887403239836</v>
      </c>
      <c r="AS400" s="566">
        <f>VLOOKUP($A400,'01-02.2021'!$A$6:$CZ$403,45,FALSE)+VLOOKUP($A400,'1.3.21-28.2.22'!$A$6:$DA$404,45,FALSE)-VLOOKUP($A400,'01-02.2022'!$A$6:$DA$376,45,FALSE)</f>
        <v>25819.308471426477</v>
      </c>
      <c r="AT400" s="566">
        <f>VLOOKUP($A400,'01-02.2021'!$A$6:$CZ$403,46,FALSE)+VLOOKUP($A400,'1.3.21-28.2.22'!$A$6:$DA$404,46,FALSE)-VLOOKUP($A400,'01-02.2022'!$A$6:$DA$376,46,FALSE)</f>
        <v>3148.764588031564</v>
      </c>
      <c r="AU400" s="78">
        <f t="shared" si="454"/>
        <v>-22670.543883394912</v>
      </c>
      <c r="AV400" s="566">
        <f>VLOOKUP($A400,'01-02.2021'!$A$6:$CZ$403,48,FALSE)+VLOOKUP($A400,'1.3.21-28.2.22'!$A$6:$DA$404,48,FALSE)-VLOOKUP($A400,'01-02.2022'!$A$6:$DA$376,48,FALSE)</f>
        <v>2285.2463821675246</v>
      </c>
      <c r="AW400" s="566">
        <f>VLOOKUP($A400,'01-02.2021'!$A$6:$CZ$403,49,FALSE)+VLOOKUP($A400,'1.3.21-28.2.22'!$A$6:$DA$404,49,FALSE)-VLOOKUP($A400,'01-02.2022'!$A$6:$DA$376,49,FALSE)</f>
        <v>389</v>
      </c>
      <c r="AX400" s="55">
        <f t="shared" si="455"/>
        <v>-1896.2463821675246</v>
      </c>
      <c r="AY400" s="566">
        <f>VLOOKUP($A400,'01-02.2021'!$A$6:$CZ$403,51,FALSE)+VLOOKUP($A400,'1.3.21-28.2.22'!$A$6:$DA$404,51,FALSE)-VLOOKUP($A400,'01-02.2022'!$A$6:$DA$376,51,FALSE)</f>
        <v>3189.7346802400225</v>
      </c>
      <c r="AZ400" s="566">
        <f>VLOOKUP($A400,'01-02.2021'!$A$6:$CZ$403,52,FALSE)+VLOOKUP($A400,'1.3.21-28.2.22'!$A$6:$DA$404,52,FALSE)-VLOOKUP($A400,'01-02.2022'!$A$6:$DA$376,52,FALSE)</f>
        <v>26</v>
      </c>
      <c r="BA400" s="38">
        <f t="shared" si="456"/>
        <v>-3163.7346802400225</v>
      </c>
      <c r="BB400" s="566">
        <f>VLOOKUP($A400,'01-02.2021'!$A$6:$CZ$403,54,FALSE)+VLOOKUP($A400,'1.3.21-28.2.22'!$A$6:$DA$404,54,FALSE)-VLOOKUP($A400,'01-02.2022'!$A$6:$DA$376,54,FALSE)</f>
        <v>1808.2866384662022</v>
      </c>
      <c r="BC400" s="566">
        <f>VLOOKUP($A400,'01-02.2021'!$A$6:$CZ$403,55,FALSE)+VLOOKUP($A400,'1.3.21-28.2.22'!$A$6:$DA$404,55,FALSE)-VLOOKUP($A400,'01-02.2022'!$A$6:$DA$376,55,FALSE)</f>
        <v>2811</v>
      </c>
      <c r="BD400" s="55">
        <f t="shared" si="457"/>
        <v>1002.7133615337978</v>
      </c>
      <c r="BE400" s="566">
        <f>VLOOKUP($A400,'01-02.2021'!$A$6:$CZ$403,57,FALSE)+VLOOKUP($A400,'1.3.21-28.2.22'!$A$6:$DA$404,57,FALSE)-VLOOKUP($A400,'01-02.2022'!$A$6:$DA$376,57,FALSE)</f>
        <v>0</v>
      </c>
      <c r="BF400" s="566">
        <f>VLOOKUP($A400,'01-02.2021'!$A$6:$CZ$403,58,FALSE)+VLOOKUP($A400,'1.3.21-28.2.22'!$A$6:$DA$404,58,FALSE)-VLOOKUP($A400,'01-02.2022'!$A$6:$DA$376,58,FALSE)</f>
        <v>0</v>
      </c>
      <c r="BG400" s="55">
        <f t="shared" si="458"/>
        <v>0</v>
      </c>
      <c r="BH400" s="566">
        <f>VLOOKUP($A400,'01-02.2021'!$A$6:$CZ$403,60,FALSE)+VLOOKUP($A400,'1.3.21-28.2.22'!$A$6:$DA$404,60,FALSE)-VLOOKUP($A400,'01-02.2022'!$A$6:$DA$376,60,FALSE)</f>
        <v>0</v>
      </c>
      <c r="BI400" s="566">
        <f>VLOOKUP($A400,'01-02.2021'!$A$6:$CZ$403,61,FALSE)+VLOOKUP($A400,'1.3.21-28.2.22'!$A$6:$DA$404,61,FALSE)-VLOOKUP($A400,'01-02.2022'!$A$6:$DA$376,61,FALSE)</f>
        <v>0</v>
      </c>
      <c r="BJ400" s="55">
        <f t="shared" si="459"/>
        <v>0</v>
      </c>
      <c r="BK400" s="566">
        <f>VLOOKUP($A400,'01-02.2021'!$A$6:$CZ$403,63,FALSE)+VLOOKUP($A400,'1.3.21-28.2.22'!$A$6:$DA$404,63,FALSE)-VLOOKUP($A400,'01-02.2022'!$A$6:$DA$376,63,FALSE)</f>
        <v>1355.0936940506106</v>
      </c>
      <c r="BL400" s="566">
        <f>VLOOKUP($A400,'01-02.2021'!$A$6:$CZ$403,64,FALSE)+VLOOKUP($A400,'1.3.21-28.2.22'!$A$6:$DA$404,64,FALSE)-VLOOKUP($A400,'01-02.2022'!$A$6:$DA$376,64,FALSE)</f>
        <v>727</v>
      </c>
      <c r="BM400" s="55">
        <f t="shared" si="460"/>
        <v>-628.09369405061057</v>
      </c>
      <c r="BN400" s="566">
        <f>VLOOKUP($A400,'01-02.2021'!$A$6:$CZ$403,66,FALSE)+VLOOKUP($A400,'1.3.21-28.2.22'!$A$6:$DA$404,66,FALSE)-VLOOKUP($A400,'01-02.2022'!$A$6:$DA$376,66,FALSE)</f>
        <v>153.17849999999999</v>
      </c>
      <c r="BO400" s="566">
        <f>VLOOKUP($A400,'01-02.2021'!$A$6:$CZ$403,67,FALSE)+VLOOKUP($A400,'1.3.21-28.2.22'!$A$6:$DA$404,67,FALSE)-VLOOKUP($A400,'01-02.2022'!$A$6:$DA$376,67,FALSE)</f>
        <v>0</v>
      </c>
      <c r="BP400" s="55">
        <f t="shared" si="461"/>
        <v>-153.17849999999999</v>
      </c>
      <c r="BQ400" s="77">
        <f t="shared" si="409"/>
        <v>8791.539894924359</v>
      </c>
      <c r="BR400" s="40">
        <f t="shared" si="434"/>
        <v>3953</v>
      </c>
      <c r="BS400" s="55">
        <f t="shared" si="428"/>
        <v>-4838.539894924359</v>
      </c>
      <c r="BT400" s="566">
        <f>VLOOKUP($A400,'01-02.2021'!$A$6:$CZ$403,72,FALSE)+VLOOKUP($A400,'1.3.21-28.2.22'!$A$6:$DA$404,72,FALSE)-VLOOKUP($A400,'01-02.2022'!$A$6:$DA$376,72,FALSE)</f>
        <v>23172.454255423785</v>
      </c>
      <c r="BU400" s="566">
        <f>VLOOKUP($A400,'01-02.2021'!$A$6:$CZ$403,73,FALSE)+VLOOKUP($A400,'1.3.21-28.2.22'!$A$6:$DA$404,73,FALSE)-VLOOKUP($A400,'01-02.2022'!$A$6:$DA$376,73,FALSE)</f>
        <v>28591.187872562929</v>
      </c>
      <c r="BV400" s="70">
        <f t="shared" si="462"/>
        <v>5418.7336171391435</v>
      </c>
      <c r="BW400" s="566">
        <f>VLOOKUP($A400,'01-02.2021'!$A$6:$CZ$403,75,FALSE)+VLOOKUP($A400,'1.3.21-28.2.22'!$A$6:$DA$404,75,FALSE)-VLOOKUP($A400,'01-02.2022'!$A$6:$DA$376,75,FALSE)</f>
        <v>11109.324485645491</v>
      </c>
      <c r="BX400" s="566">
        <f>VLOOKUP($A400,'01-02.2021'!$A$6:$CZ$403,76,FALSE)+VLOOKUP($A400,'1.3.21-28.2.22'!$A$6:$DA$404,76,FALSE)-VLOOKUP($A400,'01-02.2022'!$A$6:$DA$376,76,FALSE)</f>
        <v>10163.146703642866</v>
      </c>
      <c r="BY400" s="70">
        <f t="shared" si="463"/>
        <v>-946.17778200262546</v>
      </c>
      <c r="BZ400" s="566">
        <f>VLOOKUP($A400,'01-02.2021'!$A$6:$CZ$403,78,FALSE)+VLOOKUP($A400,'1.3.21-28.2.22'!$A$6:$DA$404,78,FALSE)-VLOOKUP($A400,'01-02.2022'!$A$6:$DA$376,78,FALSE)</f>
        <v>9687.8246603890329</v>
      </c>
      <c r="CA400" s="566">
        <f>VLOOKUP($A400,'01-02.2021'!$A$6:$CZ$403,79,FALSE)+VLOOKUP($A400,'1.3.21-28.2.22'!$A$6:$DA$404,79,FALSE)-VLOOKUP($A400,'01-02.2022'!$A$6:$DA$376,79,FALSE)</f>
        <v>6380.974601608481</v>
      </c>
      <c r="CB400" s="70">
        <f t="shared" si="464"/>
        <v>-3306.850058780552</v>
      </c>
      <c r="CC400" s="566">
        <f>VLOOKUP($A400,'01-02.2021'!$A$6:$CZ$403,81,FALSE)+VLOOKUP($A400,'1.3.21-28.2.22'!$A$6:$DA$404,81,FALSE)-VLOOKUP($A400,'01-02.2022'!$A$6:$DA$376,81,FALSE)</f>
        <v>478.06372709492757</v>
      </c>
      <c r="CD400" s="566">
        <f>VLOOKUP($A400,'01-02.2021'!$A$6:$CZ$403,82,FALSE)+VLOOKUP($A400,'1.3.21-28.2.22'!$A$6:$DA$404,82,FALSE)-VLOOKUP($A400,'01-02.2022'!$A$6:$DA$376,82,FALSE)</f>
        <v>522.52031661554702</v>
      </c>
      <c r="CE400" s="70">
        <f t="shared" si="465"/>
        <v>44.456589520619445</v>
      </c>
      <c r="CF400" s="566">
        <f>VLOOKUP($A400,'01-02.2021'!$A$6:$CZ$403,84,FALSE)+VLOOKUP($A400,'1.3.21-28.2.22'!$A$6:$DA$404,84,FALSE)-VLOOKUP($A400,'01-02.2022'!$A$6:$DA$376,84,FALSE)</f>
        <v>58.118493693859484</v>
      </c>
      <c r="CG400" s="566">
        <f>VLOOKUP($A400,'01-02.2021'!$A$6:$CZ$403,85,FALSE)+VLOOKUP($A400,'1.3.21-28.2.22'!$A$6:$DA$404,85,FALSE)-VLOOKUP($A400,'01-02.2022'!$A$6:$DA$376,85,FALSE)</f>
        <v>0</v>
      </c>
      <c r="CH400" s="70">
        <f t="shared" si="466"/>
        <v>-58.118493693859484</v>
      </c>
      <c r="CI400" s="566">
        <f>VLOOKUP($A400,'01-02.2021'!$A$6:$CZ$403,87,FALSE)+VLOOKUP($A400,'1.3.21-28.2.22'!$A$6:$DA$404,87,FALSE)-VLOOKUP($A400,'01-02.2022'!$A$6:$DA$376,87,FALSE)</f>
        <v>5272.2138413862949</v>
      </c>
      <c r="CJ400" s="566">
        <f>VLOOKUP($A400,'01-02.2021'!$A$6:$CZ$403,88,FALSE)+VLOOKUP($A400,'1.3.21-28.2.22'!$A$6:$DA$404,88,FALSE)-VLOOKUP($A400,'01-02.2022'!$A$6:$DA$376,88,FALSE)</f>
        <v>2317.8555802016153</v>
      </c>
      <c r="CK400" s="70">
        <f t="shared" si="467"/>
        <v>-2954.3582611846796</v>
      </c>
      <c r="CL400" s="566">
        <f>VLOOKUP($A400,'01-02.2021'!$A$6:$CZ$403,90,FALSE)+VLOOKUP($A400,'1.3.21-28.2.22'!$A$6:$DA$404,90,FALSE)-VLOOKUP($A400,'01-02.2022'!$A$6:$DA$376,90,FALSE)</f>
        <v>0</v>
      </c>
      <c r="CM400" s="566">
        <f>VLOOKUP($A400,'01-02.2021'!$A$6:$CZ$403,91,FALSE)+VLOOKUP($A400,'1.3.21-28.2.22'!$A$6:$DA$404,91,FALSE)-VLOOKUP($A400,'01-02.2022'!$A$6:$DA$376,91,FALSE)</f>
        <v>0</v>
      </c>
      <c r="CN400" s="52">
        <f t="shared" si="420"/>
        <v>0</v>
      </c>
      <c r="CO400" s="39">
        <f t="shared" si="414"/>
        <v>5272.2138413862949</v>
      </c>
      <c r="CP400" s="40">
        <f t="shared" si="421"/>
        <v>2317.8555802016153</v>
      </c>
      <c r="CQ400" s="52">
        <f t="shared" si="422"/>
        <v>-2954.3582611846796</v>
      </c>
      <c r="CR400" s="72">
        <f t="shared" si="415"/>
        <v>123232.96531946186</v>
      </c>
      <c r="CS400" s="5">
        <f t="shared" si="415"/>
        <v>93103.241758463904</v>
      </c>
      <c r="CT400" s="52">
        <f t="shared" si="423"/>
        <v>-30129.723560997954</v>
      </c>
      <c r="CU400" s="77">
        <f t="shared" si="424"/>
        <v>147879.55838335422</v>
      </c>
      <c r="CV400" s="65">
        <f t="shared" si="425"/>
        <v>111723.89011015669</v>
      </c>
      <c r="CW400" s="35">
        <f t="shared" si="426"/>
        <v>-36155.668273197531</v>
      </c>
      <c r="CX400" s="566">
        <f>VLOOKUP($A400,'01-02.2021'!$A$6:$CZ$403,102,FALSE)+VLOOKUP($A400,'1.3.21-28.2.22'!$A$6:$DA$404,102,FALSE)-VLOOKUP($A400,'01-02.2022'!$A$6:$DA$376,102,FALSE)</f>
        <v>7534.9539741533254</v>
      </c>
      <c r="CY400" s="566">
        <f>VLOOKUP($A400,'01-02.2021'!$A$6:$CZ$403,103,FALSE)+VLOOKUP($A400,'1.3.21-28.2.22'!$A$6:$DA$404,103,FALSE)-VLOOKUP($A400,'01-02.2022'!$A$6:$DA$376,103,FALSE)</f>
        <v>43690.622247350868</v>
      </c>
      <c r="CZ400" s="52">
        <f t="shared" si="427"/>
        <v>36155.668273197545</v>
      </c>
      <c r="DA400" s="150">
        <f>'[2]побудинковий звіт'!DA400</f>
        <v>-35050.125965198305</v>
      </c>
      <c r="DB400" s="2">
        <v>2</v>
      </c>
      <c r="DC400" s="414">
        <f>'[4]побудинковий звіт'!DC400</f>
        <v>24376.66</v>
      </c>
      <c r="DD400" s="414">
        <f>'[4]побудинковий звіт'!DD400</f>
        <v>11148.06</v>
      </c>
      <c r="DE400" s="557">
        <f>'[4]побудинковий звіт'!DE400</f>
        <v>13262.873455301255</v>
      </c>
      <c r="DF400" s="557">
        <f>'[4]побудинковий звіт'!DF400</f>
        <v>8271.499754203267</v>
      </c>
      <c r="DG400" s="321">
        <f>VLOOKUP(A400,'кошти 01.03.2021'!$A$6:$D$401,4,)</f>
        <v>3019.3918686539819</v>
      </c>
      <c r="DH400" s="40">
        <f>'[3]побудинковий звіт'!DJ400</f>
        <v>160318.98785255742</v>
      </c>
      <c r="DI400" s="422">
        <f>'[3]побудинковий звіт'!CU400+'[3]побудинковий звіт'!CX400</f>
        <v>13990.34679049548</v>
      </c>
      <c r="DJ400" s="306">
        <f>'[3]побудинковий звіт'!DM400</f>
        <v>4.7845064703142004</v>
      </c>
      <c r="DK400" s="306">
        <f t="shared" ref="DK400:DK403" si="469">DJ400</f>
        <v>4.7845064703142004</v>
      </c>
      <c r="DL400" s="306">
        <f>'[3]побудинковий звіт'!DO400</f>
        <v>4.1877423872422943</v>
      </c>
      <c r="DM400" s="28">
        <f t="shared" ref="DM400:DM403" si="470">F400*DJ400</f>
        <v>11113.786544698745</v>
      </c>
      <c r="DN400" s="28">
        <f>H400*DL400</f>
        <v>2876.560245796732</v>
      </c>
      <c r="DO400" s="423">
        <f t="shared" si="440"/>
        <v>13990.346790495478</v>
      </c>
      <c r="DP400" s="94">
        <f t="shared" si="441"/>
        <v>0</v>
      </c>
      <c r="DQ400" s="28">
        <f t="shared" si="442"/>
        <v>13990.346790495478</v>
      </c>
      <c r="DR400" s="318"/>
      <c r="DT400" s="8"/>
      <c r="DU400" s="5"/>
      <c r="DX400" s="5">
        <f t="shared" si="443"/>
        <v>41533.018039621005</v>
      </c>
      <c r="DY400" s="5">
        <f t="shared" si="444"/>
        <v>8522.1175056378761</v>
      </c>
      <c r="DZ400" s="159">
        <f>'[3]побудинковий звіт'!EA400</f>
        <v>3931.4985010942983</v>
      </c>
    </row>
    <row r="401" spans="1:130" x14ac:dyDescent="0.3">
      <c r="A401" s="325">
        <v>150000883</v>
      </c>
      <c r="B401" s="41" t="s">
        <v>847</v>
      </c>
      <c r="C401" s="42" t="s">
        <v>332</v>
      </c>
      <c r="D401" s="27"/>
      <c r="E401" s="293">
        <f t="shared" si="412"/>
        <v>1851.94</v>
      </c>
      <c r="F401" s="305">
        <f>'[3]побудинковий звіт'!F401</f>
        <v>1851.94</v>
      </c>
      <c r="G401" s="508">
        <f>'[3]побудинковий звіт'!G401</f>
        <v>0</v>
      </c>
      <c r="H401" s="560">
        <f>'[3]побудинковий звіт'!H401</f>
        <v>0</v>
      </c>
      <c r="I401" s="566">
        <f>VLOOKUP($A401,'01-02.2021'!$A$6:$CZ$403,9,FALSE)+VLOOKUP($A401,'1.3.21-28.2.22'!$A$6:$DA$404,9,FALSE)-VLOOKUP($A401,'01-02.2022'!$A$6:$DA$376,9,FALSE)</f>
        <v>5881.3943129769759</v>
      </c>
      <c r="J401" s="566">
        <f>VLOOKUP($A401,'01-02.2021'!$A$6:$CZ$403,10,FALSE)+VLOOKUP($A401,'1.3.21-28.2.22'!$A$6:$DA$404,10,FALSE)-VLOOKUP($A401,'01-02.2022'!$A$6:$DA$376,10,FALSE)</f>
        <v>6477.2438433636535</v>
      </c>
      <c r="K401" s="52">
        <f t="shared" si="417"/>
        <v>595.84953038667754</v>
      </c>
      <c r="L401" s="566">
        <f>VLOOKUP($A401,'01-02.2021'!$A$6:$CZ$403,12,FALSE)+VLOOKUP($A401,'1.3.21-28.2.22'!$A$6:$DA$404,12,FALSE)-VLOOKUP($A401,'01-02.2022'!$A$6:$DA$376,12,FALSE)</f>
        <v>1009.3279755762268</v>
      </c>
      <c r="M401" s="566">
        <f>VLOOKUP($A401,'01-02.2021'!$A$6:$CZ$403,13,FALSE)+VLOOKUP($A401,'1.3.21-28.2.22'!$A$6:$DA$404,13,FALSE)-VLOOKUP($A401,'01-02.2022'!$A$6:$DA$376,13,FALSE)</f>
        <v>1111.310555920574</v>
      </c>
      <c r="N401" s="52">
        <f t="shared" si="418"/>
        <v>101.98258034434718</v>
      </c>
      <c r="O401" s="566">
        <f>VLOOKUP($A401,'01-02.2021'!$A$6:$CZ$403,15,FALSE)+VLOOKUP($A401,'1.3.21-28.2.22'!$A$6:$DA$404,15,FALSE)-VLOOKUP($A401,'01-02.2022'!$A$6:$DA$376,15,FALSE)</f>
        <v>2518.0111232799582</v>
      </c>
      <c r="P401" s="566">
        <f>VLOOKUP($A401,'01-02.2021'!$A$6:$CZ$403,16,FALSE)+VLOOKUP($A401,'1.3.21-28.2.22'!$A$6:$DA$404,16,FALSE)-VLOOKUP($A401,'01-02.2022'!$A$6:$DA$376,16,FALSE)</f>
        <v>2518.09</v>
      </c>
      <c r="Q401" s="70">
        <f t="shared" si="445"/>
        <v>7.8876720041989756E-2</v>
      </c>
      <c r="R401" s="566">
        <f>VLOOKUP($A401,'01-02.2021'!$A$6:$CZ$403,18,FALSE)+VLOOKUP($A401,'1.3.21-28.2.22'!$A$6:$DA$404,18,FALSE)-VLOOKUP($A401,'01-02.2022'!$A$6:$DA$376,18,FALSE)</f>
        <v>0</v>
      </c>
      <c r="S401" s="566">
        <f>VLOOKUP($A401,'01-02.2021'!$A$6:$CZ$403,19,FALSE)+VLOOKUP($A401,'1.3.21-28.2.22'!$A$6:$DA$404,19,FALSE)-VLOOKUP($A401,'01-02.2022'!$A$6:$DA$376,19,FALSE)</f>
        <v>0</v>
      </c>
      <c r="T401" s="70">
        <f t="shared" si="446"/>
        <v>0</v>
      </c>
      <c r="U401" s="566">
        <f>VLOOKUP($A401,'01-02.2021'!$A$6:$CZ$403,21,FALSE)+VLOOKUP($A401,'1.3.21-28.2.22'!$A$6:$DA$404,21,FALSE)-VLOOKUP($A401,'01-02.2022'!$A$6:$DA$376,21,FALSE)</f>
        <v>0</v>
      </c>
      <c r="V401" s="566">
        <f>VLOOKUP($A401,'01-02.2021'!$A$6:$CZ$403,22,FALSE)+VLOOKUP($A401,'1.3.21-28.2.22'!$A$6:$DA$404,22,FALSE)-VLOOKUP($A401,'01-02.2022'!$A$6:$DA$376,22,FALSE)</f>
        <v>0</v>
      </c>
      <c r="W401" s="70">
        <f t="shared" si="447"/>
        <v>0</v>
      </c>
      <c r="X401" s="566">
        <f>VLOOKUP($A401,'01-02.2021'!$A$6:$CZ$403,24,FALSE)+VLOOKUP($A401,'1.3.21-28.2.22'!$A$6:$DA$404,24,FALSE)-VLOOKUP($A401,'01-02.2022'!$A$6:$DA$376,24,FALSE)</f>
        <v>2833.8692801537709</v>
      </c>
      <c r="Y401" s="566">
        <f>VLOOKUP($A401,'01-02.2021'!$A$6:$CZ$403,25,FALSE)+VLOOKUP($A401,'1.3.21-28.2.22'!$A$6:$DA$404,25,FALSE)-VLOOKUP($A401,'01-02.2022'!$A$6:$DA$376,25,FALSE)</f>
        <v>2278.4112300877759</v>
      </c>
      <c r="Z401" s="70">
        <f t="shared" si="448"/>
        <v>-555.45805006599494</v>
      </c>
      <c r="AA401" s="566">
        <f>VLOOKUP($A401,'01-02.2021'!$A$6:$CZ$403,27,FALSE)+VLOOKUP($A401,'1.3.21-28.2.22'!$A$6:$DA$404,27,FALSE)-VLOOKUP($A401,'01-02.2022'!$A$6:$DA$376,27,FALSE)</f>
        <v>370.38800000000003</v>
      </c>
      <c r="AB401" s="566">
        <f>VLOOKUP($A401,'01-02.2021'!$A$6:$CZ$403,28,FALSE)+VLOOKUP($A401,'1.3.21-28.2.22'!$A$6:$DA$404,28,FALSE)-VLOOKUP($A401,'01-02.2022'!$A$6:$DA$376,28,FALSE)</f>
        <v>0</v>
      </c>
      <c r="AC401" s="70">
        <f t="shared" si="449"/>
        <v>-370.38800000000003</v>
      </c>
      <c r="AD401" s="566">
        <f>VLOOKUP($A401,'01-02.2021'!$A$6:$CZ$403,30,FALSE)+VLOOKUP($A401,'1.3.21-28.2.22'!$A$6:$DA$404,30,FALSE)-VLOOKUP($A401,'01-02.2022'!$A$6:$DA$376,30,FALSE)</f>
        <v>7954.5606570292339</v>
      </c>
      <c r="AE401" s="566">
        <f>VLOOKUP($A401,'01-02.2021'!$A$6:$CZ$403,31,FALSE)+VLOOKUP($A401,'1.3.21-28.2.22'!$A$6:$DA$404,31,FALSE)-VLOOKUP($A401,'01-02.2022'!$A$6:$DA$376,31,FALSE)</f>
        <v>8430.0352699954456</v>
      </c>
      <c r="AF401" s="68">
        <f t="shared" si="450"/>
        <v>475.47461296621168</v>
      </c>
      <c r="AG401" s="77">
        <f t="shared" si="413"/>
        <v>20567.551349016165</v>
      </c>
      <c r="AH401" s="53">
        <f t="shared" si="413"/>
        <v>20815.090899367449</v>
      </c>
      <c r="AI401" s="52">
        <f t="shared" si="419"/>
        <v>247.53955035128456</v>
      </c>
      <c r="AJ401" s="566">
        <f>VLOOKUP($A401,'01-02.2021'!$A$6:$CZ$403,36,FALSE)+VLOOKUP($A401,'1.3.21-28.2.22'!$A$6:$DA$404,36,FALSE)-VLOOKUP($A401,'01-02.2022'!$A$6:$DA$376,36,FALSE)</f>
        <v>0</v>
      </c>
      <c r="AK401" s="566">
        <f>VLOOKUP($A401,'01-02.2021'!$A$6:$CZ$403,37,FALSE)+VLOOKUP($A401,'1.3.21-28.2.22'!$A$6:$DA$404,37,FALSE)-VLOOKUP($A401,'01-02.2022'!$A$6:$DA$376,37,FALSE)</f>
        <v>0</v>
      </c>
      <c r="AL401" s="70">
        <f t="shared" si="451"/>
        <v>0</v>
      </c>
      <c r="AM401" s="566">
        <f>VLOOKUP($A401,'01-02.2021'!$A$6:$CZ$403,39,FALSE)+VLOOKUP($A401,'1.3.21-28.2.22'!$A$6:$DA$404,39,FALSE)-VLOOKUP($A401,'01-02.2022'!$A$6:$DA$376,39,FALSE)</f>
        <v>0</v>
      </c>
      <c r="AN401" s="566">
        <f>VLOOKUP($A401,'01-02.2021'!$A$6:$CZ$403,40,FALSE)+VLOOKUP($A401,'1.3.21-28.2.22'!$A$6:$DA$404,40,FALSE)-VLOOKUP($A401,'01-02.2022'!$A$6:$DA$376,40,FALSE)</f>
        <v>0</v>
      </c>
      <c r="AO401" s="70">
        <f t="shared" si="452"/>
        <v>0</v>
      </c>
      <c r="AP401" s="566">
        <f>VLOOKUP($A401,'01-02.2021'!$A$6:$CZ$403,42,FALSE)+VLOOKUP($A401,'1.3.21-28.2.22'!$A$6:$DA$404,42,FALSE)-VLOOKUP($A401,'01-02.2022'!$A$6:$DA$376,42,FALSE)</f>
        <v>5205.599250127776</v>
      </c>
      <c r="AQ401" s="566">
        <f>VLOOKUP($A401,'01-02.2021'!$A$6:$CZ$403,43,FALSE)+VLOOKUP($A401,'1.3.21-28.2.22'!$A$6:$DA$404,43,FALSE)-VLOOKUP($A401,'01-02.2022'!$A$6:$DA$376,43,FALSE)</f>
        <v>4326.0866459067802</v>
      </c>
      <c r="AR401" s="70">
        <f t="shared" si="453"/>
        <v>-879.51260422099585</v>
      </c>
      <c r="AS401" s="566">
        <f>VLOOKUP($A401,'01-02.2021'!$A$6:$CZ$403,45,FALSE)+VLOOKUP($A401,'1.3.21-28.2.22'!$A$6:$DA$404,45,FALSE)-VLOOKUP($A401,'01-02.2022'!$A$6:$DA$376,45,FALSE)</f>
        <v>15779.108119876275</v>
      </c>
      <c r="AT401" s="566">
        <f>VLOOKUP($A401,'01-02.2021'!$A$6:$CZ$403,46,FALSE)+VLOOKUP($A401,'1.3.21-28.2.22'!$A$6:$DA$404,46,FALSE)-VLOOKUP($A401,'01-02.2022'!$A$6:$DA$376,46,FALSE)</f>
        <v>1016.6199999999953</v>
      </c>
      <c r="AU401" s="78">
        <f t="shared" si="454"/>
        <v>-14762.48811987628</v>
      </c>
      <c r="AV401" s="566">
        <f>VLOOKUP($A401,'01-02.2021'!$A$6:$CZ$403,48,FALSE)+VLOOKUP($A401,'1.3.21-28.2.22'!$A$6:$DA$404,48,FALSE)-VLOOKUP($A401,'01-02.2022'!$A$6:$DA$376,48,FALSE)</f>
        <v>1571.3437995057338</v>
      </c>
      <c r="AW401" s="566">
        <f>VLOOKUP($A401,'01-02.2021'!$A$6:$CZ$403,49,FALSE)+VLOOKUP($A401,'1.3.21-28.2.22'!$A$6:$DA$404,49,FALSE)-VLOOKUP($A401,'01-02.2022'!$A$6:$DA$376,49,FALSE)</f>
        <v>1148</v>
      </c>
      <c r="AX401" s="55">
        <f t="shared" si="455"/>
        <v>-423.34379950573384</v>
      </c>
      <c r="AY401" s="566">
        <f>VLOOKUP($A401,'01-02.2021'!$A$6:$CZ$403,51,FALSE)+VLOOKUP($A401,'1.3.21-28.2.22'!$A$6:$DA$404,51,FALSE)-VLOOKUP($A401,'01-02.2022'!$A$6:$DA$376,51,FALSE)</f>
        <v>1897.1686935155601</v>
      </c>
      <c r="AZ401" s="566">
        <f>VLOOKUP($A401,'01-02.2021'!$A$6:$CZ$403,52,FALSE)+VLOOKUP($A401,'1.3.21-28.2.22'!$A$6:$DA$404,52,FALSE)-VLOOKUP($A401,'01-02.2022'!$A$6:$DA$376,52,FALSE)</f>
        <v>0</v>
      </c>
      <c r="BA401" s="38">
        <f t="shared" si="456"/>
        <v>-1897.1686935155601</v>
      </c>
      <c r="BB401" s="566">
        <f>VLOOKUP($A401,'01-02.2021'!$A$6:$CZ$403,54,FALSE)+VLOOKUP($A401,'1.3.21-28.2.22'!$A$6:$DA$404,54,FALSE)-VLOOKUP($A401,'01-02.2022'!$A$6:$DA$376,54,FALSE)</f>
        <v>1016.666317287402</v>
      </c>
      <c r="BC401" s="566">
        <f>VLOOKUP($A401,'01-02.2021'!$A$6:$CZ$403,55,FALSE)+VLOOKUP($A401,'1.3.21-28.2.22'!$A$6:$DA$404,55,FALSE)-VLOOKUP($A401,'01-02.2022'!$A$6:$DA$376,55,FALSE)</f>
        <v>2186</v>
      </c>
      <c r="BD401" s="55">
        <f t="shared" si="457"/>
        <v>1169.3336827125981</v>
      </c>
      <c r="BE401" s="566">
        <f>VLOOKUP($A401,'01-02.2021'!$A$6:$CZ$403,57,FALSE)+VLOOKUP($A401,'1.3.21-28.2.22'!$A$6:$DA$404,57,FALSE)-VLOOKUP($A401,'01-02.2022'!$A$6:$DA$376,57,FALSE)</f>
        <v>0</v>
      </c>
      <c r="BF401" s="566">
        <f>VLOOKUP($A401,'01-02.2021'!$A$6:$CZ$403,58,FALSE)+VLOOKUP($A401,'1.3.21-28.2.22'!$A$6:$DA$404,58,FALSE)-VLOOKUP($A401,'01-02.2022'!$A$6:$DA$376,58,FALSE)</f>
        <v>0</v>
      </c>
      <c r="BG401" s="55">
        <f t="shared" si="458"/>
        <v>0</v>
      </c>
      <c r="BH401" s="566">
        <f>VLOOKUP($A401,'01-02.2021'!$A$6:$CZ$403,60,FALSE)+VLOOKUP($A401,'1.3.21-28.2.22'!$A$6:$DA$404,60,FALSE)-VLOOKUP($A401,'01-02.2022'!$A$6:$DA$376,60,FALSE)</f>
        <v>0</v>
      </c>
      <c r="BI401" s="566">
        <f>VLOOKUP($A401,'01-02.2021'!$A$6:$CZ$403,61,FALSE)+VLOOKUP($A401,'1.3.21-28.2.22'!$A$6:$DA$404,61,FALSE)-VLOOKUP($A401,'01-02.2022'!$A$6:$DA$376,61,FALSE)</f>
        <v>0</v>
      </c>
      <c r="BJ401" s="55">
        <f t="shared" si="459"/>
        <v>0</v>
      </c>
      <c r="BK401" s="566">
        <f>VLOOKUP($A401,'01-02.2021'!$A$6:$CZ$403,63,FALSE)+VLOOKUP($A401,'1.3.21-28.2.22'!$A$6:$DA$404,63,FALSE)-VLOOKUP($A401,'01-02.2022'!$A$6:$DA$376,63,FALSE)</f>
        <v>636.0319274529279</v>
      </c>
      <c r="BL401" s="566">
        <f>VLOOKUP($A401,'01-02.2021'!$A$6:$CZ$403,64,FALSE)+VLOOKUP($A401,'1.3.21-28.2.22'!$A$6:$DA$404,64,FALSE)-VLOOKUP($A401,'01-02.2022'!$A$6:$DA$376,64,FALSE)</f>
        <v>709</v>
      </c>
      <c r="BM401" s="55">
        <f t="shared" si="460"/>
        <v>72.968072547072097</v>
      </c>
      <c r="BN401" s="566">
        <f>VLOOKUP($A401,'01-02.2021'!$A$6:$CZ$403,66,FALSE)+VLOOKUP($A401,'1.3.21-28.2.22'!$A$6:$DA$404,66,FALSE)-VLOOKUP($A401,'01-02.2022'!$A$6:$DA$376,66,FALSE)</f>
        <v>92.597000000000008</v>
      </c>
      <c r="BO401" s="566">
        <f>VLOOKUP($A401,'01-02.2021'!$A$6:$CZ$403,67,FALSE)+VLOOKUP($A401,'1.3.21-28.2.22'!$A$6:$DA$404,67,FALSE)-VLOOKUP($A401,'01-02.2022'!$A$6:$DA$376,67,FALSE)</f>
        <v>0</v>
      </c>
      <c r="BP401" s="55">
        <f t="shared" si="461"/>
        <v>-92.597000000000008</v>
      </c>
      <c r="BQ401" s="77">
        <f t="shared" si="409"/>
        <v>5213.8077377616246</v>
      </c>
      <c r="BR401" s="40">
        <f t="shared" si="434"/>
        <v>4043</v>
      </c>
      <c r="BS401" s="55">
        <f t="shared" si="428"/>
        <v>-1170.8077377616246</v>
      </c>
      <c r="BT401" s="566">
        <f>VLOOKUP($A401,'01-02.2021'!$A$6:$CZ$403,72,FALSE)+VLOOKUP($A401,'1.3.21-28.2.22'!$A$6:$DA$404,72,FALSE)-VLOOKUP($A401,'01-02.2022'!$A$6:$DA$376,72,FALSE)</f>
        <v>20983.089670908426</v>
      </c>
      <c r="BU401" s="566">
        <f>VLOOKUP($A401,'01-02.2021'!$A$6:$CZ$403,73,FALSE)+VLOOKUP($A401,'1.3.21-28.2.22'!$A$6:$DA$404,73,FALSE)-VLOOKUP($A401,'01-02.2022'!$A$6:$DA$376,73,FALSE)</f>
        <v>24930.645427808915</v>
      </c>
      <c r="BV401" s="70">
        <f t="shared" si="462"/>
        <v>3947.5557569004886</v>
      </c>
      <c r="BW401" s="566">
        <f>VLOOKUP($A401,'01-02.2021'!$A$6:$CZ$403,75,FALSE)+VLOOKUP($A401,'1.3.21-28.2.22'!$A$6:$DA$404,75,FALSE)-VLOOKUP($A401,'01-02.2022'!$A$6:$DA$376,75,FALSE)</f>
        <v>6843.7298440307241</v>
      </c>
      <c r="BX401" s="566">
        <f>VLOOKUP($A401,'01-02.2021'!$A$6:$CZ$403,76,FALSE)+VLOOKUP($A401,'1.3.21-28.2.22'!$A$6:$DA$404,76,FALSE)-VLOOKUP($A401,'01-02.2022'!$A$6:$DA$376,76,FALSE)</f>
        <v>6383.2415469018561</v>
      </c>
      <c r="BY401" s="70">
        <f t="shared" si="463"/>
        <v>-460.488297128868</v>
      </c>
      <c r="BZ401" s="566">
        <f>VLOOKUP($A401,'01-02.2021'!$A$6:$CZ$403,78,FALSE)+VLOOKUP($A401,'1.3.21-28.2.22'!$A$6:$DA$404,78,FALSE)-VLOOKUP($A401,'01-02.2022'!$A$6:$DA$376,78,FALSE)</f>
        <v>6990.8796751888767</v>
      </c>
      <c r="CA401" s="566">
        <f>VLOOKUP($A401,'01-02.2021'!$A$6:$CZ$403,79,FALSE)+VLOOKUP($A401,'1.3.21-28.2.22'!$A$6:$DA$404,79,FALSE)-VLOOKUP($A401,'01-02.2022'!$A$6:$DA$376,79,FALSE)</f>
        <v>5820.0293294221883</v>
      </c>
      <c r="CB401" s="70">
        <f t="shared" si="464"/>
        <v>-1170.8503457666884</v>
      </c>
      <c r="CC401" s="566">
        <f>VLOOKUP($A401,'01-02.2021'!$A$6:$CZ$403,81,FALSE)+VLOOKUP($A401,'1.3.21-28.2.22'!$A$6:$DA$404,81,FALSE)-VLOOKUP($A401,'01-02.2022'!$A$6:$DA$376,81,FALSE)</f>
        <v>0</v>
      </c>
      <c r="CD401" s="566">
        <f>VLOOKUP($A401,'01-02.2021'!$A$6:$CZ$403,82,FALSE)+VLOOKUP($A401,'1.3.21-28.2.22'!$A$6:$DA$404,82,FALSE)-VLOOKUP($A401,'01-02.2022'!$A$6:$DA$376,82,FALSE)</f>
        <v>0</v>
      </c>
      <c r="CE401" s="70">
        <f t="shared" si="465"/>
        <v>0</v>
      </c>
      <c r="CF401" s="566">
        <f>VLOOKUP($A401,'01-02.2021'!$A$6:$CZ$403,84,FALSE)+VLOOKUP($A401,'1.3.21-28.2.22'!$A$6:$DA$404,84,FALSE)-VLOOKUP($A401,'01-02.2022'!$A$6:$DA$376,84,FALSE)</f>
        <v>0</v>
      </c>
      <c r="CG401" s="566">
        <f>VLOOKUP($A401,'01-02.2021'!$A$6:$CZ$403,85,FALSE)+VLOOKUP($A401,'1.3.21-28.2.22'!$A$6:$DA$404,85,FALSE)-VLOOKUP($A401,'01-02.2022'!$A$6:$DA$376,85,FALSE)</f>
        <v>0</v>
      </c>
      <c r="CH401" s="70">
        <f t="shared" si="466"/>
        <v>0</v>
      </c>
      <c r="CI401" s="566">
        <f>VLOOKUP($A401,'01-02.2021'!$A$6:$CZ$403,87,FALSE)+VLOOKUP($A401,'1.3.21-28.2.22'!$A$6:$DA$404,87,FALSE)-VLOOKUP($A401,'01-02.2022'!$A$6:$DA$376,87,FALSE)</f>
        <v>774.52524695422449</v>
      </c>
      <c r="CJ401" s="566">
        <f>VLOOKUP($A401,'01-02.2021'!$A$6:$CZ$403,88,FALSE)+VLOOKUP($A401,'1.3.21-28.2.22'!$A$6:$DA$404,88,FALSE)-VLOOKUP($A401,'01-02.2022'!$A$6:$DA$376,88,FALSE)</f>
        <v>1201.1621386505694</v>
      </c>
      <c r="CK401" s="70">
        <f t="shared" si="467"/>
        <v>426.63689169634495</v>
      </c>
      <c r="CL401" s="566">
        <f>VLOOKUP($A401,'01-02.2021'!$A$6:$CZ$403,90,FALSE)+VLOOKUP($A401,'1.3.21-28.2.22'!$A$6:$DA$404,90,FALSE)-VLOOKUP($A401,'01-02.2022'!$A$6:$DA$376,90,FALSE)</f>
        <v>0</v>
      </c>
      <c r="CM401" s="566">
        <f>VLOOKUP($A401,'01-02.2021'!$A$6:$CZ$403,91,FALSE)+VLOOKUP($A401,'1.3.21-28.2.22'!$A$6:$DA$404,91,FALSE)-VLOOKUP($A401,'01-02.2022'!$A$6:$DA$376,91,FALSE)</f>
        <v>0</v>
      </c>
      <c r="CN401" s="52">
        <f t="shared" si="420"/>
        <v>0</v>
      </c>
      <c r="CO401" s="39">
        <f t="shared" si="414"/>
        <v>774.52524695422449</v>
      </c>
      <c r="CP401" s="40">
        <f t="shared" si="421"/>
        <v>1201.1621386505694</v>
      </c>
      <c r="CQ401" s="52">
        <f t="shared" si="422"/>
        <v>426.63689169634495</v>
      </c>
      <c r="CR401" s="72">
        <f t="shared" si="415"/>
        <v>82358.29089386409</v>
      </c>
      <c r="CS401" s="5">
        <f t="shared" si="415"/>
        <v>68535.875988057756</v>
      </c>
      <c r="CT401" s="52">
        <f t="shared" si="423"/>
        <v>-13822.414905806334</v>
      </c>
      <c r="CU401" s="77">
        <f t="shared" si="424"/>
        <v>98829.949072636911</v>
      </c>
      <c r="CV401" s="65">
        <f t="shared" si="425"/>
        <v>82243.051185669305</v>
      </c>
      <c r="CW401" s="35">
        <f t="shared" si="426"/>
        <v>-16586.897886967607</v>
      </c>
      <c r="CX401" s="566">
        <f>VLOOKUP($A401,'01-02.2021'!$A$6:$CZ$403,102,FALSE)+VLOOKUP($A401,'1.3.21-28.2.22'!$A$6:$DA$404,102,FALSE)-VLOOKUP($A401,'01-02.2022'!$A$6:$DA$376,102,FALSE)</f>
        <v>3130.189452003041</v>
      </c>
      <c r="CY401" s="566">
        <f>VLOOKUP($A401,'01-02.2021'!$A$6:$CZ$403,103,FALSE)+VLOOKUP($A401,'1.3.21-28.2.22'!$A$6:$DA$404,103,FALSE)-VLOOKUP($A401,'01-02.2022'!$A$6:$DA$376,103,FALSE)</f>
        <v>19717.087338970632</v>
      </c>
      <c r="CZ401" s="52">
        <f t="shared" si="427"/>
        <v>16586.897886967592</v>
      </c>
      <c r="DA401" s="150">
        <f>'[2]побудинковий звіт'!DA401</f>
        <v>49657.571724454814</v>
      </c>
      <c r="DB401" s="2">
        <v>2</v>
      </c>
      <c r="DC401" s="414">
        <f>'[4]побудинковий звіт'!DC401</f>
        <v>17040.41</v>
      </c>
      <c r="DD401" s="414">
        <f>'[4]побудинковий звіт'!DD401</f>
        <v>0</v>
      </c>
      <c r="DE401" s="557">
        <f>'[4]побудинковий звіт'!DE401</f>
        <v>7798.6821109646371</v>
      </c>
      <c r="DF401" s="557">
        <f>'[4]побудинковий звіт'!DF401</f>
        <v>0</v>
      </c>
      <c r="DG401" s="321">
        <f>VLOOKUP(A401,'кошти 01.03.2021'!$A$6:$D$401,4,)</f>
        <v>-5356.9747792179814</v>
      </c>
      <c r="DH401" s="40">
        <f>'[3]побудинковий звіт'!DJ401</f>
        <v>105482.31554095686</v>
      </c>
      <c r="DI401" s="422">
        <f>'[3]побудинковий звіт'!CU401+'[3]побудинковий звіт'!CX401</f>
        <v>9241.7278890353609</v>
      </c>
      <c r="DJ401" s="306">
        <f>'[3]побудинковий звіт'!DM401</f>
        <v>4.9902955220122482</v>
      </c>
      <c r="DK401" s="306">
        <f t="shared" si="469"/>
        <v>4.9902955220122482</v>
      </c>
      <c r="DL401" s="306">
        <f>'[3]побудинковий звіт'!DO401</f>
        <v>4.5453637618351932</v>
      </c>
      <c r="DM401" s="28">
        <f t="shared" si="470"/>
        <v>9241.7278890353628</v>
      </c>
      <c r="DN401" s="28">
        <f>H401*DL401</f>
        <v>0</v>
      </c>
      <c r="DO401" s="423">
        <f t="shared" si="440"/>
        <v>9241.7278890353628</v>
      </c>
      <c r="DP401" s="94">
        <f t="shared" si="441"/>
        <v>0</v>
      </c>
      <c r="DQ401" s="28">
        <f t="shared" si="442"/>
        <v>9241.7278890353628</v>
      </c>
      <c r="DR401" s="318"/>
      <c r="DT401" s="8"/>
      <c r="DU401" s="5"/>
      <c r="DX401" s="5">
        <f t="shared" si="443"/>
        <v>25191.499029165476</v>
      </c>
      <c r="DY401" s="5">
        <f t="shared" si="444"/>
        <v>6071.5439999999944</v>
      </c>
      <c r="DZ401" s="159">
        <f>'[3]побудинковий звіт'!EA401</f>
        <v>2464.5821262694831</v>
      </c>
    </row>
    <row r="402" spans="1:130" x14ac:dyDescent="0.3">
      <c r="A402" s="325">
        <v>150000884</v>
      </c>
      <c r="B402" s="41" t="s">
        <v>848</v>
      </c>
      <c r="C402" s="42" t="s">
        <v>333</v>
      </c>
      <c r="D402" s="27"/>
      <c r="E402" s="293">
        <f t="shared" si="412"/>
        <v>3400.35</v>
      </c>
      <c r="F402" s="305">
        <f>'[3]побудинковий звіт'!F402</f>
        <v>2555.1</v>
      </c>
      <c r="G402" s="508">
        <f>'[3]побудинковий звіт'!G402</f>
        <v>0</v>
      </c>
      <c r="H402" s="560">
        <f>'[3]побудинковий звіт'!H402</f>
        <v>845.25</v>
      </c>
      <c r="I402" s="566">
        <f>VLOOKUP($A402,'01-02.2021'!$A$6:$CZ$403,9,FALSE)+VLOOKUP($A402,'1.3.21-28.2.22'!$A$6:$DA$404,9,FALSE)-VLOOKUP($A402,'01-02.2022'!$A$6:$DA$376,9,FALSE)</f>
        <v>10507.431821683769</v>
      </c>
      <c r="J402" s="566">
        <f>VLOOKUP($A402,'01-02.2021'!$A$6:$CZ$403,10,FALSE)+VLOOKUP($A402,'1.3.21-28.2.22'!$A$6:$DA$404,10,FALSE)-VLOOKUP($A402,'01-02.2022'!$A$6:$DA$376,10,FALSE)</f>
        <v>11577.813706870713</v>
      </c>
      <c r="K402" s="52">
        <f t="shared" si="417"/>
        <v>1070.3818851869437</v>
      </c>
      <c r="L402" s="566">
        <f>VLOOKUP($A402,'01-02.2021'!$A$6:$CZ$403,12,FALSE)+VLOOKUP($A402,'1.3.21-28.2.22'!$A$6:$DA$404,12,FALSE)-VLOOKUP($A402,'01-02.2022'!$A$6:$DA$376,12,FALSE)</f>
        <v>2223.2089331766661</v>
      </c>
      <c r="M402" s="566">
        <f>VLOOKUP($A402,'01-02.2021'!$A$6:$CZ$403,13,FALSE)+VLOOKUP($A402,'1.3.21-28.2.22'!$A$6:$DA$404,13,FALSE)-VLOOKUP($A402,'01-02.2022'!$A$6:$DA$376,13,FALSE)</f>
        <v>2447.8301830155797</v>
      </c>
      <c r="N402" s="52">
        <f t="shared" si="418"/>
        <v>224.62124983891363</v>
      </c>
      <c r="O402" s="566">
        <f>VLOOKUP($A402,'01-02.2021'!$A$6:$CZ$403,15,FALSE)+VLOOKUP($A402,'1.3.21-28.2.22'!$A$6:$DA$404,15,FALSE)-VLOOKUP($A402,'01-02.2022'!$A$6:$DA$376,15,FALSE)</f>
        <v>4310.8012429900409</v>
      </c>
      <c r="P402" s="566">
        <f>VLOOKUP($A402,'01-02.2021'!$A$6:$CZ$403,16,FALSE)+VLOOKUP($A402,'1.3.21-28.2.22'!$A$6:$DA$404,16,FALSE)-VLOOKUP($A402,'01-02.2022'!$A$6:$DA$376,16,FALSE)</f>
        <v>4310.8499999999995</v>
      </c>
      <c r="Q402" s="70">
        <f t="shared" si="445"/>
        <v>4.8757009958535491E-2</v>
      </c>
      <c r="R402" s="566">
        <f>VLOOKUP($A402,'01-02.2021'!$A$6:$CZ$403,18,FALSE)+VLOOKUP($A402,'1.3.21-28.2.22'!$A$6:$DA$404,18,FALSE)-VLOOKUP($A402,'01-02.2022'!$A$6:$DA$376,18,FALSE)</f>
        <v>0</v>
      </c>
      <c r="S402" s="566">
        <f>VLOOKUP($A402,'01-02.2021'!$A$6:$CZ$403,19,FALSE)+VLOOKUP($A402,'1.3.21-28.2.22'!$A$6:$DA$404,19,FALSE)-VLOOKUP($A402,'01-02.2022'!$A$6:$DA$376,19,FALSE)</f>
        <v>0</v>
      </c>
      <c r="T402" s="70">
        <f t="shared" si="446"/>
        <v>0</v>
      </c>
      <c r="U402" s="566">
        <f>VLOOKUP($A402,'01-02.2021'!$A$6:$CZ$403,21,FALSE)+VLOOKUP($A402,'1.3.21-28.2.22'!$A$6:$DA$404,21,FALSE)-VLOOKUP($A402,'01-02.2022'!$A$6:$DA$376,21,FALSE)</f>
        <v>0</v>
      </c>
      <c r="V402" s="566">
        <f>VLOOKUP($A402,'01-02.2021'!$A$6:$CZ$403,22,FALSE)+VLOOKUP($A402,'1.3.21-28.2.22'!$A$6:$DA$404,22,FALSE)-VLOOKUP($A402,'01-02.2022'!$A$6:$DA$376,22,FALSE)</f>
        <v>0</v>
      </c>
      <c r="W402" s="70">
        <f t="shared" si="447"/>
        <v>0</v>
      </c>
      <c r="X402" s="566">
        <f>VLOOKUP($A402,'01-02.2021'!$A$6:$CZ$403,24,FALSE)+VLOOKUP($A402,'1.3.21-28.2.22'!$A$6:$DA$404,24,FALSE)-VLOOKUP($A402,'01-02.2022'!$A$6:$DA$376,24,FALSE)</f>
        <v>6609.5400700777882</v>
      </c>
      <c r="Y402" s="566">
        <f>VLOOKUP($A402,'01-02.2021'!$A$6:$CZ$403,25,FALSE)+VLOOKUP($A402,'1.3.21-28.2.22'!$A$6:$DA$404,25,FALSE)-VLOOKUP($A402,'01-02.2022'!$A$6:$DA$376,25,FALSE)</f>
        <v>5912.2248869282566</v>
      </c>
      <c r="Z402" s="70">
        <f t="shared" si="448"/>
        <v>-697.31518314953155</v>
      </c>
      <c r="AA402" s="566">
        <f>VLOOKUP($A402,'01-02.2021'!$A$6:$CZ$403,27,FALSE)+VLOOKUP($A402,'1.3.21-28.2.22'!$A$6:$DA$404,27,FALSE)-VLOOKUP($A402,'01-02.2022'!$A$6:$DA$376,27,FALSE)</f>
        <v>679.95</v>
      </c>
      <c r="AB402" s="566">
        <f>VLOOKUP($A402,'01-02.2021'!$A$6:$CZ$403,28,FALSE)+VLOOKUP($A402,'1.3.21-28.2.22'!$A$6:$DA$404,28,FALSE)-VLOOKUP($A402,'01-02.2022'!$A$6:$DA$376,28,FALSE)</f>
        <v>0</v>
      </c>
      <c r="AC402" s="70">
        <f t="shared" si="449"/>
        <v>-679.95</v>
      </c>
      <c r="AD402" s="566">
        <f>VLOOKUP($A402,'01-02.2021'!$A$6:$CZ$403,30,FALSE)+VLOOKUP($A402,'1.3.21-28.2.22'!$A$6:$DA$404,30,FALSE)-VLOOKUP($A402,'01-02.2022'!$A$6:$DA$376,30,FALSE)</f>
        <v>14520.665807431678</v>
      </c>
      <c r="AE402" s="566">
        <f>VLOOKUP($A402,'01-02.2021'!$A$6:$CZ$403,31,FALSE)+VLOOKUP($A402,'1.3.21-28.2.22'!$A$6:$DA$404,31,FALSE)-VLOOKUP($A402,'01-02.2022'!$A$6:$DA$376,31,FALSE)</f>
        <v>15478.602190554131</v>
      </c>
      <c r="AF402" s="68">
        <f t="shared" si="450"/>
        <v>957.93638312245275</v>
      </c>
      <c r="AG402" s="77">
        <f t="shared" si="413"/>
        <v>38851.597875359941</v>
      </c>
      <c r="AH402" s="53">
        <f t="shared" si="413"/>
        <v>39727.32096736868</v>
      </c>
      <c r="AI402" s="52">
        <f t="shared" si="419"/>
        <v>875.7230920087386</v>
      </c>
      <c r="AJ402" s="566">
        <f>VLOOKUP($A402,'01-02.2021'!$A$6:$CZ$403,36,FALSE)+VLOOKUP($A402,'1.3.21-28.2.22'!$A$6:$DA$404,36,FALSE)-VLOOKUP($A402,'01-02.2022'!$A$6:$DA$376,36,FALSE)</f>
        <v>0</v>
      </c>
      <c r="AK402" s="566">
        <f>VLOOKUP($A402,'01-02.2021'!$A$6:$CZ$403,37,FALSE)+VLOOKUP($A402,'1.3.21-28.2.22'!$A$6:$DA$404,37,FALSE)-VLOOKUP($A402,'01-02.2022'!$A$6:$DA$376,37,FALSE)</f>
        <v>0</v>
      </c>
      <c r="AL402" s="70">
        <f t="shared" si="451"/>
        <v>0</v>
      </c>
      <c r="AM402" s="566">
        <f>VLOOKUP($A402,'01-02.2021'!$A$6:$CZ$403,39,FALSE)+VLOOKUP($A402,'1.3.21-28.2.22'!$A$6:$DA$404,39,FALSE)-VLOOKUP($A402,'01-02.2022'!$A$6:$DA$376,39,FALSE)</f>
        <v>0</v>
      </c>
      <c r="AN402" s="566">
        <f>VLOOKUP($A402,'01-02.2021'!$A$6:$CZ$403,40,FALSE)+VLOOKUP($A402,'1.3.21-28.2.22'!$A$6:$DA$404,40,FALSE)-VLOOKUP($A402,'01-02.2022'!$A$6:$DA$376,40,FALSE)</f>
        <v>0</v>
      </c>
      <c r="AO402" s="70">
        <f t="shared" si="452"/>
        <v>0</v>
      </c>
      <c r="AP402" s="566">
        <f>VLOOKUP($A402,'01-02.2021'!$A$6:$CZ$403,42,FALSE)+VLOOKUP($A402,'1.3.21-28.2.22'!$A$6:$DA$404,42,FALSE)-VLOOKUP($A402,'01-02.2022'!$A$6:$DA$376,42,FALSE)</f>
        <v>8328.9588002044366</v>
      </c>
      <c r="AQ402" s="566">
        <f>VLOOKUP($A402,'01-02.2021'!$A$6:$CZ$403,43,FALSE)+VLOOKUP($A402,'1.3.21-28.2.22'!$A$6:$DA$404,43,FALSE)-VLOOKUP($A402,'01-02.2022'!$A$6:$DA$376,43,FALSE)</f>
        <v>8429.5931745688758</v>
      </c>
      <c r="AR402" s="70">
        <f t="shared" si="453"/>
        <v>100.63437436443928</v>
      </c>
      <c r="AS402" s="566">
        <f>VLOOKUP($A402,'01-02.2021'!$A$6:$CZ$403,45,FALSE)+VLOOKUP($A402,'1.3.21-28.2.22'!$A$6:$DA$404,45,FALSE)-VLOOKUP($A402,'01-02.2022'!$A$6:$DA$376,45,FALSE)</f>
        <v>33277.355703075329</v>
      </c>
      <c r="AT402" s="566">
        <f>VLOOKUP($A402,'01-02.2021'!$A$6:$CZ$403,46,FALSE)+VLOOKUP($A402,'1.3.21-28.2.22'!$A$6:$DA$404,46,FALSE)-VLOOKUP($A402,'01-02.2022'!$A$6:$DA$376,46,FALSE)</f>
        <v>120525.49</v>
      </c>
      <c r="AU402" s="78">
        <f t="shared" si="454"/>
        <v>87248.134296924676</v>
      </c>
      <c r="AV402" s="566">
        <f>VLOOKUP($A402,'01-02.2021'!$A$6:$CZ$403,48,FALSE)+VLOOKUP($A402,'1.3.21-28.2.22'!$A$6:$DA$404,48,FALSE)-VLOOKUP($A402,'01-02.2022'!$A$6:$DA$376,48,FALSE)</f>
        <v>2916.0180713250779</v>
      </c>
      <c r="AW402" s="566">
        <f>VLOOKUP($A402,'01-02.2021'!$A$6:$CZ$403,49,FALSE)+VLOOKUP($A402,'1.3.21-28.2.22'!$A$6:$DA$404,49,FALSE)-VLOOKUP($A402,'01-02.2022'!$A$6:$DA$376,49,FALSE)</f>
        <v>976</v>
      </c>
      <c r="AX402" s="55">
        <f t="shared" si="455"/>
        <v>-1940.0180713250779</v>
      </c>
      <c r="AY402" s="566">
        <f>VLOOKUP($A402,'01-02.2021'!$A$6:$CZ$403,51,FALSE)+VLOOKUP($A402,'1.3.21-28.2.22'!$A$6:$DA$404,51,FALSE)-VLOOKUP($A402,'01-02.2022'!$A$6:$DA$376,51,FALSE)</f>
        <v>4179.0194020767631</v>
      </c>
      <c r="AZ402" s="566">
        <f>VLOOKUP($A402,'01-02.2021'!$A$6:$CZ$403,52,FALSE)+VLOOKUP($A402,'1.3.21-28.2.22'!$A$6:$DA$404,52,FALSE)-VLOOKUP($A402,'01-02.2022'!$A$6:$DA$376,52,FALSE)</f>
        <v>13</v>
      </c>
      <c r="BA402" s="38">
        <f t="shared" si="456"/>
        <v>-4166.0194020767631</v>
      </c>
      <c r="BB402" s="566">
        <f>VLOOKUP($A402,'01-02.2021'!$A$6:$CZ$403,54,FALSE)+VLOOKUP($A402,'1.3.21-28.2.22'!$A$6:$DA$404,54,FALSE)-VLOOKUP($A402,'01-02.2022'!$A$6:$DA$376,54,FALSE)</f>
        <v>1867.6231425443862</v>
      </c>
      <c r="BC402" s="566">
        <f>VLOOKUP($A402,'01-02.2021'!$A$6:$CZ$403,55,FALSE)+VLOOKUP($A402,'1.3.21-28.2.22'!$A$6:$DA$404,55,FALSE)-VLOOKUP($A402,'01-02.2022'!$A$6:$DA$376,55,FALSE)</f>
        <v>0</v>
      </c>
      <c r="BD402" s="55">
        <f t="shared" si="457"/>
        <v>-1867.6231425443862</v>
      </c>
      <c r="BE402" s="566">
        <f>VLOOKUP($A402,'01-02.2021'!$A$6:$CZ$403,57,FALSE)+VLOOKUP($A402,'1.3.21-28.2.22'!$A$6:$DA$404,57,FALSE)-VLOOKUP($A402,'01-02.2022'!$A$6:$DA$376,57,FALSE)</f>
        <v>0</v>
      </c>
      <c r="BF402" s="566">
        <f>VLOOKUP($A402,'01-02.2021'!$A$6:$CZ$403,58,FALSE)+VLOOKUP($A402,'1.3.21-28.2.22'!$A$6:$DA$404,58,FALSE)-VLOOKUP($A402,'01-02.2022'!$A$6:$DA$376,58,FALSE)</f>
        <v>0</v>
      </c>
      <c r="BG402" s="55">
        <f t="shared" si="458"/>
        <v>0</v>
      </c>
      <c r="BH402" s="566">
        <f>VLOOKUP($A402,'01-02.2021'!$A$6:$CZ$403,60,FALSE)+VLOOKUP($A402,'1.3.21-28.2.22'!$A$6:$DA$404,60,FALSE)-VLOOKUP($A402,'01-02.2022'!$A$6:$DA$376,60,FALSE)</f>
        <v>0</v>
      </c>
      <c r="BI402" s="566">
        <f>VLOOKUP($A402,'01-02.2021'!$A$6:$CZ$403,61,FALSE)+VLOOKUP($A402,'1.3.21-28.2.22'!$A$6:$DA$404,61,FALSE)-VLOOKUP($A402,'01-02.2022'!$A$6:$DA$376,61,FALSE)</f>
        <v>0</v>
      </c>
      <c r="BJ402" s="55">
        <f t="shared" si="459"/>
        <v>0</v>
      </c>
      <c r="BK402" s="566">
        <f>VLOOKUP($A402,'01-02.2021'!$A$6:$CZ$403,63,FALSE)+VLOOKUP($A402,'1.3.21-28.2.22'!$A$6:$DA$404,63,FALSE)-VLOOKUP($A402,'01-02.2022'!$A$6:$DA$376,63,FALSE)</f>
        <v>2038.495726575049</v>
      </c>
      <c r="BL402" s="566">
        <f>VLOOKUP($A402,'01-02.2021'!$A$6:$CZ$403,64,FALSE)+VLOOKUP($A402,'1.3.21-28.2.22'!$A$6:$DA$404,64,FALSE)-VLOOKUP($A402,'01-02.2022'!$A$6:$DA$376,64,FALSE)</f>
        <v>334</v>
      </c>
      <c r="BM402" s="55">
        <f t="shared" si="460"/>
        <v>-1704.495726575049</v>
      </c>
      <c r="BN402" s="566">
        <f>VLOOKUP($A402,'01-02.2021'!$A$6:$CZ$403,66,FALSE)+VLOOKUP($A402,'1.3.21-28.2.22'!$A$6:$DA$404,66,FALSE)-VLOOKUP($A402,'01-02.2022'!$A$6:$DA$376,66,FALSE)</f>
        <v>169.98750000000001</v>
      </c>
      <c r="BO402" s="566">
        <f>VLOOKUP($A402,'01-02.2021'!$A$6:$CZ$403,67,FALSE)+VLOOKUP($A402,'1.3.21-28.2.22'!$A$6:$DA$404,67,FALSE)-VLOOKUP($A402,'01-02.2022'!$A$6:$DA$376,67,FALSE)</f>
        <v>0</v>
      </c>
      <c r="BP402" s="55">
        <f t="shared" si="461"/>
        <v>-169.98750000000001</v>
      </c>
      <c r="BQ402" s="77">
        <f t="shared" si="409"/>
        <v>11171.143842521275</v>
      </c>
      <c r="BR402" s="40">
        <f t="shared" si="434"/>
        <v>1323</v>
      </c>
      <c r="BS402" s="55">
        <f t="shared" si="428"/>
        <v>-9848.1438425212746</v>
      </c>
      <c r="BT402" s="566">
        <f>VLOOKUP($A402,'01-02.2021'!$A$6:$CZ$403,72,FALSE)+VLOOKUP($A402,'1.3.21-28.2.22'!$A$6:$DA$404,72,FALSE)-VLOOKUP($A402,'01-02.2022'!$A$6:$DA$376,72,FALSE)</f>
        <v>15741.519106114809</v>
      </c>
      <c r="BU402" s="566">
        <f>VLOOKUP($A402,'01-02.2021'!$A$6:$CZ$403,73,FALSE)+VLOOKUP($A402,'1.3.21-28.2.22'!$A$6:$DA$404,73,FALSE)-VLOOKUP($A402,'01-02.2022'!$A$6:$DA$376,73,FALSE)</f>
        <v>22682.282398489409</v>
      </c>
      <c r="BV402" s="70">
        <f t="shared" si="462"/>
        <v>6940.7632923746005</v>
      </c>
      <c r="BW402" s="566">
        <f>VLOOKUP($A402,'01-02.2021'!$A$6:$CZ$403,75,FALSE)+VLOOKUP($A402,'1.3.21-28.2.22'!$A$6:$DA$404,75,FALSE)-VLOOKUP($A402,'01-02.2022'!$A$6:$DA$376,75,FALSE)</f>
        <v>17826.404910936737</v>
      </c>
      <c r="BX402" s="566">
        <f>VLOOKUP($A402,'01-02.2021'!$A$6:$CZ$403,76,FALSE)+VLOOKUP($A402,'1.3.21-28.2.22'!$A$6:$DA$404,76,FALSE)-VLOOKUP($A402,'01-02.2022'!$A$6:$DA$376,76,FALSE)</f>
        <v>17047.187650427022</v>
      </c>
      <c r="BY402" s="70">
        <f t="shared" si="463"/>
        <v>-779.21726050971483</v>
      </c>
      <c r="BZ402" s="566">
        <f>VLOOKUP($A402,'01-02.2021'!$A$6:$CZ$403,78,FALSE)+VLOOKUP($A402,'1.3.21-28.2.22'!$A$6:$DA$404,78,FALSE)-VLOOKUP($A402,'01-02.2022'!$A$6:$DA$376,78,FALSE)</f>
        <v>10072.772459381911</v>
      </c>
      <c r="CA402" s="566">
        <f>VLOOKUP($A402,'01-02.2021'!$A$6:$CZ$403,79,FALSE)+VLOOKUP($A402,'1.3.21-28.2.22'!$A$6:$DA$404,79,FALSE)-VLOOKUP($A402,'01-02.2022'!$A$6:$DA$376,79,FALSE)</f>
        <v>6533.2986349948587</v>
      </c>
      <c r="CB402" s="70">
        <f t="shared" si="464"/>
        <v>-3539.4738243870524</v>
      </c>
      <c r="CC402" s="566">
        <f>VLOOKUP($A402,'01-02.2021'!$A$6:$CZ$403,81,FALSE)+VLOOKUP($A402,'1.3.21-28.2.22'!$A$6:$DA$404,81,FALSE)-VLOOKUP($A402,'01-02.2022'!$A$6:$DA$376,81,FALSE)</f>
        <v>635.63780474074167</v>
      </c>
      <c r="CD402" s="566">
        <f>VLOOKUP($A402,'01-02.2021'!$A$6:$CZ$403,82,FALSE)+VLOOKUP($A402,'1.3.21-28.2.22'!$A$6:$DA$404,82,FALSE)-VLOOKUP($A402,'01-02.2022'!$A$6:$DA$376,82,FALSE)</f>
        <v>694.74768354469404</v>
      </c>
      <c r="CE402" s="70">
        <f t="shared" si="465"/>
        <v>59.10987880395237</v>
      </c>
      <c r="CF402" s="566">
        <f>VLOOKUP($A402,'01-02.2021'!$A$6:$CZ$403,84,FALSE)+VLOOKUP($A402,'1.3.21-28.2.22'!$A$6:$DA$404,84,FALSE)-VLOOKUP($A402,'01-02.2022'!$A$6:$DA$376,84,FALSE)</f>
        <v>77.274868710271235</v>
      </c>
      <c r="CG402" s="566">
        <f>VLOOKUP($A402,'01-02.2021'!$A$6:$CZ$403,85,FALSE)+VLOOKUP($A402,'1.3.21-28.2.22'!$A$6:$DA$404,85,FALSE)-VLOOKUP($A402,'01-02.2022'!$A$6:$DA$376,85,FALSE)</f>
        <v>0</v>
      </c>
      <c r="CH402" s="70">
        <f t="shared" si="466"/>
        <v>-77.274868710271235</v>
      </c>
      <c r="CI402" s="566">
        <f>VLOOKUP($A402,'01-02.2021'!$A$6:$CZ$403,87,FALSE)+VLOOKUP($A402,'1.3.21-28.2.22'!$A$6:$DA$404,87,FALSE)-VLOOKUP($A402,'01-02.2022'!$A$6:$DA$376,87,FALSE)</f>
        <v>4740.5658844678474</v>
      </c>
      <c r="CJ402" s="566">
        <f>VLOOKUP($A402,'01-02.2021'!$A$6:$CZ$403,88,FALSE)+VLOOKUP($A402,'1.3.21-28.2.22'!$A$6:$DA$404,88,FALSE)-VLOOKUP($A402,'01-02.2022'!$A$6:$DA$376,88,FALSE)</f>
        <v>4443.6072191074854</v>
      </c>
      <c r="CK402" s="70">
        <f t="shared" si="467"/>
        <v>-296.95866536036192</v>
      </c>
      <c r="CL402" s="566">
        <f>VLOOKUP($A402,'01-02.2021'!$A$6:$CZ$403,90,FALSE)+VLOOKUP($A402,'1.3.21-28.2.22'!$A$6:$DA$404,90,FALSE)-VLOOKUP($A402,'01-02.2022'!$A$6:$DA$376,90,FALSE)</f>
        <v>0</v>
      </c>
      <c r="CM402" s="566">
        <f>VLOOKUP($A402,'01-02.2021'!$A$6:$CZ$403,91,FALSE)+VLOOKUP($A402,'1.3.21-28.2.22'!$A$6:$DA$404,91,FALSE)-VLOOKUP($A402,'01-02.2022'!$A$6:$DA$376,91,FALSE)</f>
        <v>0</v>
      </c>
      <c r="CN402" s="52">
        <f t="shared" si="420"/>
        <v>0</v>
      </c>
      <c r="CO402" s="39">
        <f t="shared" si="414"/>
        <v>4740.5658844678474</v>
      </c>
      <c r="CP402" s="40">
        <f t="shared" si="421"/>
        <v>4443.6072191074854</v>
      </c>
      <c r="CQ402" s="52">
        <f t="shared" si="422"/>
        <v>-296.95866536036192</v>
      </c>
      <c r="CR402" s="72">
        <f t="shared" si="415"/>
        <v>140723.2312555133</v>
      </c>
      <c r="CS402" s="5">
        <f t="shared" si="415"/>
        <v>221406.52772850104</v>
      </c>
      <c r="CT402" s="52">
        <f t="shared" si="423"/>
        <v>80683.296472987742</v>
      </c>
      <c r="CU402" s="77">
        <f t="shared" si="424"/>
        <v>168867.87750661594</v>
      </c>
      <c r="CV402" s="65">
        <f t="shared" si="425"/>
        <v>265687.83327420126</v>
      </c>
      <c r="CW402" s="35">
        <f t="shared" si="426"/>
        <v>96819.955767585314</v>
      </c>
      <c r="CX402" s="566">
        <f>VLOOKUP($A402,'01-02.2021'!$A$6:$CZ$403,102,FALSE)+VLOOKUP($A402,'1.3.21-28.2.22'!$A$6:$DA$404,102,FALSE)-VLOOKUP($A402,'01-02.2022'!$A$6:$DA$376,102,FALSE)</f>
        <v>3137.6993586600538</v>
      </c>
      <c r="CY402" s="566">
        <f>VLOOKUP($A402,'01-02.2021'!$A$6:$CZ$403,103,FALSE)+VLOOKUP($A402,'1.3.21-28.2.22'!$A$6:$DA$404,103,FALSE)-VLOOKUP($A402,'01-02.2022'!$A$6:$DA$376,103,FALSE)</f>
        <v>-93682.256408925197</v>
      </c>
      <c r="CZ402" s="52">
        <f t="shared" si="427"/>
        <v>-96819.955767585256</v>
      </c>
      <c r="DA402" s="150">
        <f>'[2]побудинковий звіт'!DA402</f>
        <v>82464.061557938243</v>
      </c>
      <c r="DB402" s="2">
        <v>2</v>
      </c>
      <c r="DC402" s="414">
        <f>'[4]побудинковий звіт'!DC402</f>
        <v>19492.330000000002</v>
      </c>
      <c r="DD402" s="414">
        <f>'[4]побудинковий звіт'!DD402</f>
        <v>18270.86</v>
      </c>
      <c r="DE402" s="557">
        <f>'[4]побудинковий звіт'!DE402</f>
        <v>7246.0634619720513</v>
      </c>
      <c r="DF402" s="557">
        <f>'[4]побудинковий звіт'!DF402</f>
        <v>14917.871290711144</v>
      </c>
      <c r="DG402" s="321">
        <f>VLOOKUP(A402,'кошти 01.03.2021'!$A$6:$D$401,4,)</f>
        <v>-13169.914086230636</v>
      </c>
      <c r="DH402" s="40">
        <f>'[3]побудинковий звіт'!DJ402</f>
        <v>177988.6572703307</v>
      </c>
      <c r="DI402" s="422">
        <f>'[3]побудинковий звіт'!CU402+'[3]побудинковий звіт'!CX402</f>
        <v>15599.255247316807</v>
      </c>
      <c r="DJ402" s="306">
        <f>'[3]побудинковий звіт'!DM402</f>
        <v>4.7928717224484174</v>
      </c>
      <c r="DK402" s="306">
        <f t="shared" si="469"/>
        <v>4.7928717224484174</v>
      </c>
      <c r="DL402" s="306">
        <f>'[3]побудинковий звіт'!DO402</f>
        <v>3.9668603481678271</v>
      </c>
      <c r="DM402" s="28">
        <f t="shared" si="470"/>
        <v>12246.26653802795</v>
      </c>
      <c r="DN402" s="28">
        <f>H402*DL402</f>
        <v>3352.9887092888557</v>
      </c>
      <c r="DO402" s="423">
        <f t="shared" si="440"/>
        <v>15599.255247316807</v>
      </c>
      <c r="DP402" s="94">
        <f t="shared" si="441"/>
        <v>0</v>
      </c>
      <c r="DQ402" s="28">
        <f t="shared" si="442"/>
        <v>15599.255247316807</v>
      </c>
      <c r="DR402" s="318"/>
      <c r="DT402" s="8"/>
      <c r="DU402" s="5"/>
      <c r="DX402" s="5">
        <f t="shared" si="443"/>
        <v>53338.199454715927</v>
      </c>
      <c r="DY402" s="5">
        <f t="shared" si="444"/>
        <v>146218.18799999999</v>
      </c>
      <c r="DZ402" s="159">
        <f>'[3]побудинковий звіт'!EA402</f>
        <v>5151.091549834362</v>
      </c>
    </row>
    <row r="403" spans="1:130" ht="15" thickBot="1" x14ac:dyDescent="0.35">
      <c r="A403" s="325">
        <v>150000885</v>
      </c>
      <c r="B403" s="44" t="s">
        <v>849</v>
      </c>
      <c r="C403" s="45" t="s">
        <v>239</v>
      </c>
      <c r="D403" s="46"/>
      <c r="E403" s="294">
        <f t="shared" si="412"/>
        <v>1494.6000000000001</v>
      </c>
      <c r="F403" s="509">
        <f>'[3]побудинковий звіт'!F403</f>
        <v>1448.4</v>
      </c>
      <c r="G403" s="510">
        <f>'[3]побудинковий звіт'!G403</f>
        <v>0</v>
      </c>
      <c r="H403" s="561">
        <f>'[3]побудинковий звіт'!H403</f>
        <v>46.2</v>
      </c>
      <c r="I403" s="566">
        <f>VLOOKUP($A403,'01-02.2021'!$A$6:$CZ$403,9,FALSE)+VLOOKUP($A403,'1.3.21-28.2.22'!$A$6:$DA$404,9,FALSE)-VLOOKUP($A403,'01-02.2022'!$A$6:$DA$376,9,FALSE)</f>
        <v>5066.6060262275132</v>
      </c>
      <c r="J403" s="566">
        <f>VLOOKUP($A403,'01-02.2021'!$A$6:$CZ$403,10,FALSE)+VLOOKUP($A403,'1.3.21-28.2.22'!$A$6:$DA$404,10,FALSE)-VLOOKUP($A403,'01-02.2022'!$A$6:$DA$376,10,FALSE)</f>
        <v>5558.2436264487105</v>
      </c>
      <c r="K403" s="56">
        <f t="shared" si="417"/>
        <v>491.63760022119732</v>
      </c>
      <c r="L403" s="566">
        <f>VLOOKUP($A403,'01-02.2021'!$A$6:$CZ$403,12,FALSE)+VLOOKUP($A403,'1.3.21-28.2.22'!$A$6:$DA$404,12,FALSE)-VLOOKUP($A403,'01-02.2022'!$A$6:$DA$376,12,FALSE)</f>
        <v>904.4195702717268</v>
      </c>
      <c r="M403" s="566">
        <f>VLOOKUP($A403,'01-02.2021'!$A$6:$CZ$403,13,FALSE)+VLOOKUP($A403,'1.3.21-28.2.22'!$A$6:$DA$404,13,FALSE)-VLOOKUP($A403,'01-02.2022'!$A$6:$DA$376,13,FALSE)</f>
        <v>995.80301645997588</v>
      </c>
      <c r="N403" s="56">
        <f t="shared" si="418"/>
        <v>91.383446188249081</v>
      </c>
      <c r="O403" s="566">
        <f>VLOOKUP($A403,'01-02.2021'!$A$6:$CZ$403,15,FALSE)+VLOOKUP($A403,'1.3.21-28.2.22'!$A$6:$DA$404,15,FALSE)-VLOOKUP($A403,'01-02.2022'!$A$6:$DA$376,15,FALSE)</f>
        <v>1997.8399668414575</v>
      </c>
      <c r="P403" s="566">
        <f>VLOOKUP($A403,'01-02.2021'!$A$6:$CZ$403,16,FALSE)+VLOOKUP($A403,'1.3.21-28.2.22'!$A$6:$DA$404,16,FALSE)-VLOOKUP($A403,'01-02.2022'!$A$6:$DA$376,16,FALSE)</f>
        <v>1997.9100000000005</v>
      </c>
      <c r="Q403" s="70">
        <f>P403-O403</f>
        <v>7.0033158543083118E-2</v>
      </c>
      <c r="R403" s="566">
        <f>VLOOKUP($A403,'01-02.2021'!$A$6:$CZ$403,18,FALSE)+VLOOKUP($A403,'1.3.21-28.2.22'!$A$6:$DA$404,18,FALSE)-VLOOKUP($A403,'01-02.2022'!$A$6:$DA$376,18,FALSE)</f>
        <v>0</v>
      </c>
      <c r="S403" s="566">
        <f>VLOOKUP($A403,'01-02.2021'!$A$6:$CZ$403,19,FALSE)+VLOOKUP($A403,'1.3.21-28.2.22'!$A$6:$DA$404,19,FALSE)-VLOOKUP($A403,'01-02.2022'!$A$6:$DA$376,19,FALSE)</f>
        <v>0</v>
      </c>
      <c r="T403" s="70">
        <f>S403-R403</f>
        <v>0</v>
      </c>
      <c r="U403" s="566">
        <f>VLOOKUP($A403,'01-02.2021'!$A$6:$CZ$403,21,FALSE)+VLOOKUP($A403,'1.3.21-28.2.22'!$A$6:$DA$404,21,FALSE)-VLOOKUP($A403,'01-02.2022'!$A$6:$DA$376,21,FALSE)</f>
        <v>0</v>
      </c>
      <c r="V403" s="566">
        <f>VLOOKUP($A403,'01-02.2021'!$A$6:$CZ$403,22,FALSE)+VLOOKUP($A403,'1.3.21-28.2.22'!$A$6:$DA$404,22,FALSE)-VLOOKUP($A403,'01-02.2022'!$A$6:$DA$376,22,FALSE)</f>
        <v>0</v>
      </c>
      <c r="W403" s="70">
        <f>V403-U403</f>
        <v>0</v>
      </c>
      <c r="X403" s="566">
        <f>VLOOKUP($A403,'01-02.2021'!$A$6:$CZ$403,24,FALSE)+VLOOKUP($A403,'1.3.21-28.2.22'!$A$6:$DA$404,24,FALSE)-VLOOKUP($A403,'01-02.2022'!$A$6:$DA$376,24,FALSE)</f>
        <v>2673.4886838768894</v>
      </c>
      <c r="Y403" s="566">
        <f>VLOOKUP($A403,'01-02.2021'!$A$6:$CZ$403,25,FALSE)+VLOOKUP($A403,'1.3.21-28.2.22'!$A$6:$DA$404,25,FALSE)-VLOOKUP($A403,'01-02.2022'!$A$6:$DA$376,25,FALSE)</f>
        <v>2020.4295502254083</v>
      </c>
      <c r="Z403" s="70">
        <f>Y403-X403</f>
        <v>-653.05913365148103</v>
      </c>
      <c r="AA403" s="566">
        <f>VLOOKUP($A403,'01-02.2021'!$A$6:$CZ$403,27,FALSE)+VLOOKUP($A403,'1.3.21-28.2.22'!$A$6:$DA$404,27,FALSE)-VLOOKUP($A403,'01-02.2022'!$A$6:$DA$376,27,FALSE)</f>
        <v>298.92000000000007</v>
      </c>
      <c r="AB403" s="566">
        <f>VLOOKUP($A403,'01-02.2021'!$A$6:$CZ$403,28,FALSE)+VLOOKUP($A403,'1.3.21-28.2.22'!$A$6:$DA$404,28,FALSE)-VLOOKUP($A403,'01-02.2022'!$A$6:$DA$376,28,FALSE)</f>
        <v>0</v>
      </c>
      <c r="AC403" s="70">
        <f>AB403-AA403</f>
        <v>-298.92000000000007</v>
      </c>
      <c r="AD403" s="566">
        <f>VLOOKUP($A403,'01-02.2021'!$A$6:$CZ$403,30,FALSE)+VLOOKUP($A403,'1.3.21-28.2.22'!$A$6:$DA$404,30,FALSE)-VLOOKUP($A403,'01-02.2022'!$A$6:$DA$376,30,FALSE)</f>
        <v>6415.192817315371</v>
      </c>
      <c r="AE403" s="566">
        <f>VLOOKUP($A403,'01-02.2021'!$A$6:$CZ$403,31,FALSE)+VLOOKUP($A403,'1.3.21-28.2.22'!$A$6:$DA$404,31,FALSE)-VLOOKUP($A403,'01-02.2022'!$A$6:$DA$376,31,FALSE)</f>
        <v>6803.6198784667422</v>
      </c>
      <c r="AF403" s="68">
        <f>AE403-AD403</f>
        <v>388.42706115137116</v>
      </c>
      <c r="AG403" s="80">
        <f t="shared" si="413"/>
        <v>17356.467064532957</v>
      </c>
      <c r="AH403" s="57">
        <f t="shared" si="413"/>
        <v>17376.006071600837</v>
      </c>
      <c r="AI403" s="56">
        <f t="shared" si="419"/>
        <v>19.539007067880448</v>
      </c>
      <c r="AJ403" s="566">
        <f>VLOOKUP($A403,'01-02.2021'!$A$6:$CZ$403,36,FALSE)+VLOOKUP($A403,'1.3.21-28.2.22'!$A$6:$DA$404,36,FALSE)-VLOOKUP($A403,'01-02.2022'!$A$6:$DA$376,36,FALSE)</f>
        <v>0</v>
      </c>
      <c r="AK403" s="566">
        <f>VLOOKUP($A403,'01-02.2021'!$A$6:$CZ$403,37,FALSE)+VLOOKUP($A403,'1.3.21-28.2.22'!$A$6:$DA$404,37,FALSE)-VLOOKUP($A403,'01-02.2022'!$A$6:$DA$376,37,FALSE)</f>
        <v>0</v>
      </c>
      <c r="AL403" s="70">
        <f t="shared" si="451"/>
        <v>0</v>
      </c>
      <c r="AM403" s="566">
        <f>VLOOKUP($A403,'01-02.2021'!$A$6:$CZ$403,39,FALSE)+VLOOKUP($A403,'1.3.21-28.2.22'!$A$6:$DA$404,39,FALSE)-VLOOKUP($A403,'01-02.2022'!$A$6:$DA$376,39,FALSE)</f>
        <v>0</v>
      </c>
      <c r="AN403" s="566">
        <f>VLOOKUP($A403,'01-02.2021'!$A$6:$CZ$403,40,FALSE)+VLOOKUP($A403,'1.3.21-28.2.22'!$A$6:$DA$404,40,FALSE)-VLOOKUP($A403,'01-02.2022'!$A$6:$DA$376,40,FALSE)</f>
        <v>0</v>
      </c>
      <c r="AO403" s="70">
        <f t="shared" si="452"/>
        <v>0</v>
      </c>
      <c r="AP403" s="566">
        <f>VLOOKUP($A403,'01-02.2021'!$A$6:$CZ$403,42,FALSE)+VLOOKUP($A403,'1.3.21-28.2.22'!$A$6:$DA$404,42,FALSE)-VLOOKUP($A403,'01-02.2022'!$A$6:$DA$376,42,FALSE)</f>
        <v>4164.4794001022183</v>
      </c>
      <c r="AQ403" s="566">
        <f>VLOOKUP($A403,'01-02.2021'!$A$6:$CZ$403,43,FALSE)+VLOOKUP($A403,'1.3.21-28.2.22'!$A$6:$DA$404,43,FALSE)-VLOOKUP($A403,'01-02.2022'!$A$6:$DA$376,43,FALSE)</f>
        <v>2022.0147126784939</v>
      </c>
      <c r="AR403" s="70">
        <f t="shared" si="453"/>
        <v>-2142.4646874237242</v>
      </c>
      <c r="AS403" s="566">
        <f>VLOOKUP($A403,'01-02.2021'!$A$6:$CZ$403,45,FALSE)+VLOOKUP($A403,'1.3.21-28.2.22'!$A$6:$DA$404,45,FALSE)-VLOOKUP($A403,'01-02.2022'!$A$6:$DA$376,45,FALSE)</f>
        <v>15611.942439641887</v>
      </c>
      <c r="AT403" s="566">
        <f>VLOOKUP($A403,'01-02.2021'!$A$6:$CZ$403,46,FALSE)+VLOOKUP($A403,'1.3.21-28.2.22'!$A$6:$DA$404,46,FALSE)-VLOOKUP($A403,'01-02.2022'!$A$6:$DA$376,46,FALSE)</f>
        <v>1516</v>
      </c>
      <c r="AU403" s="78">
        <f t="shared" si="454"/>
        <v>-14095.942439641887</v>
      </c>
      <c r="AV403" s="566">
        <f>VLOOKUP($A403,'01-02.2021'!$A$6:$CZ$403,48,FALSE)+VLOOKUP($A403,'1.3.21-28.2.22'!$A$6:$DA$404,48,FALSE)-VLOOKUP($A403,'01-02.2022'!$A$6:$DA$376,48,FALSE)</f>
        <v>1383.6814424080872</v>
      </c>
      <c r="AW403" s="566">
        <f>VLOOKUP($A403,'01-02.2021'!$A$6:$CZ$403,49,FALSE)+VLOOKUP($A403,'1.3.21-28.2.22'!$A$6:$DA$404,49,FALSE)-VLOOKUP($A403,'01-02.2022'!$A$6:$DA$376,49,FALSE)</f>
        <v>1761.88</v>
      </c>
      <c r="AX403" s="55">
        <f t="shared" si="455"/>
        <v>378.19855759191296</v>
      </c>
      <c r="AY403" s="566">
        <f>VLOOKUP($A403,'01-02.2021'!$A$6:$CZ$403,51,FALSE)+VLOOKUP($A403,'1.3.21-28.2.22'!$A$6:$DA$404,51,FALSE)-VLOOKUP($A403,'01-02.2022'!$A$6:$DA$376,51,FALSE)</f>
        <v>1700.1139588370038</v>
      </c>
      <c r="AZ403" s="566">
        <f>VLOOKUP($A403,'01-02.2021'!$A$6:$CZ$403,52,FALSE)+VLOOKUP($A403,'1.3.21-28.2.22'!$A$6:$DA$404,52,FALSE)-VLOOKUP($A403,'01-02.2022'!$A$6:$DA$376,52,FALSE)</f>
        <v>0</v>
      </c>
      <c r="BA403" s="38">
        <f t="shared" si="456"/>
        <v>-1700.1139588370038</v>
      </c>
      <c r="BB403" s="566">
        <f>VLOOKUP($A403,'01-02.2021'!$A$6:$CZ$403,54,FALSE)+VLOOKUP($A403,'1.3.21-28.2.22'!$A$6:$DA$404,54,FALSE)-VLOOKUP($A403,'01-02.2022'!$A$6:$DA$376,54,FALSE)</f>
        <v>768.13478770547499</v>
      </c>
      <c r="BC403" s="566">
        <f>VLOOKUP($A403,'01-02.2021'!$A$6:$CZ$403,55,FALSE)+VLOOKUP($A403,'1.3.21-28.2.22'!$A$6:$DA$404,55,FALSE)-VLOOKUP($A403,'01-02.2022'!$A$6:$DA$376,55,FALSE)</f>
        <v>0</v>
      </c>
      <c r="BD403" s="55">
        <f t="shared" si="457"/>
        <v>-768.13478770547499</v>
      </c>
      <c r="BE403" s="566">
        <f>VLOOKUP($A403,'01-02.2021'!$A$6:$CZ$403,57,FALSE)+VLOOKUP($A403,'1.3.21-28.2.22'!$A$6:$DA$404,57,FALSE)-VLOOKUP($A403,'01-02.2022'!$A$6:$DA$376,57,FALSE)</f>
        <v>0</v>
      </c>
      <c r="BF403" s="566">
        <f>VLOOKUP($A403,'01-02.2021'!$A$6:$CZ$403,58,FALSE)+VLOOKUP($A403,'1.3.21-28.2.22'!$A$6:$DA$404,58,FALSE)-VLOOKUP($A403,'01-02.2022'!$A$6:$DA$376,58,FALSE)</f>
        <v>0</v>
      </c>
      <c r="BG403" s="55">
        <f t="shared" si="458"/>
        <v>0</v>
      </c>
      <c r="BH403" s="566">
        <f>VLOOKUP($A403,'01-02.2021'!$A$6:$CZ$403,60,FALSE)+VLOOKUP($A403,'1.3.21-28.2.22'!$A$6:$DA$404,60,FALSE)-VLOOKUP($A403,'01-02.2022'!$A$6:$DA$376,60,FALSE)</f>
        <v>0</v>
      </c>
      <c r="BI403" s="566">
        <f>VLOOKUP($A403,'01-02.2021'!$A$6:$CZ$403,61,FALSE)+VLOOKUP($A403,'1.3.21-28.2.22'!$A$6:$DA$404,61,FALSE)-VLOOKUP($A403,'01-02.2022'!$A$6:$DA$376,61,FALSE)</f>
        <v>0</v>
      </c>
      <c r="BJ403" s="55">
        <f t="shared" si="459"/>
        <v>0</v>
      </c>
      <c r="BK403" s="566">
        <f>VLOOKUP($A403,'01-02.2021'!$A$6:$CZ$403,63,FALSE)+VLOOKUP($A403,'1.3.21-28.2.22'!$A$6:$DA$404,63,FALSE)-VLOOKUP($A403,'01-02.2022'!$A$6:$DA$376,63,FALSE)</f>
        <v>629.82643350507317</v>
      </c>
      <c r="BL403" s="566">
        <f>VLOOKUP($A403,'01-02.2021'!$A$6:$CZ$403,64,FALSE)+VLOOKUP($A403,'1.3.21-28.2.22'!$A$6:$DA$404,64,FALSE)-VLOOKUP($A403,'01-02.2022'!$A$6:$DA$376,64,FALSE)</f>
        <v>0</v>
      </c>
      <c r="BM403" s="55">
        <f t="shared" si="460"/>
        <v>-629.82643350507317</v>
      </c>
      <c r="BN403" s="566">
        <f>VLOOKUP($A403,'01-02.2021'!$A$6:$CZ$403,66,FALSE)+VLOOKUP($A403,'1.3.21-28.2.22'!$A$6:$DA$404,66,FALSE)-VLOOKUP($A403,'01-02.2022'!$A$6:$DA$376,66,FALSE)</f>
        <v>74.730000000000018</v>
      </c>
      <c r="BO403" s="566">
        <f>VLOOKUP($A403,'01-02.2021'!$A$6:$CZ$403,67,FALSE)+VLOOKUP($A403,'1.3.21-28.2.22'!$A$6:$DA$404,67,FALSE)-VLOOKUP($A403,'01-02.2022'!$A$6:$DA$376,67,FALSE)</f>
        <v>0</v>
      </c>
      <c r="BP403" s="55">
        <f t="shared" si="461"/>
        <v>-74.730000000000018</v>
      </c>
      <c r="BQ403" s="58">
        <f t="shared" si="409"/>
        <v>4556.486622455639</v>
      </c>
      <c r="BR403" s="34">
        <f t="shared" si="434"/>
        <v>1761.88</v>
      </c>
      <c r="BS403" s="70">
        <f t="shared" si="428"/>
        <v>-2794.6066224556389</v>
      </c>
      <c r="BT403" s="566">
        <f>VLOOKUP($A403,'01-02.2021'!$A$6:$CZ$403,72,FALSE)+VLOOKUP($A403,'1.3.21-28.2.22'!$A$6:$DA$404,72,FALSE)-VLOOKUP($A403,'01-02.2022'!$A$6:$DA$376,72,FALSE)</f>
        <v>17232.317952142617</v>
      </c>
      <c r="BU403" s="566">
        <f>VLOOKUP($A403,'01-02.2021'!$A$6:$CZ$403,73,FALSE)+VLOOKUP($A403,'1.3.21-28.2.22'!$A$6:$DA$404,73,FALSE)-VLOOKUP($A403,'01-02.2022'!$A$6:$DA$376,73,FALSE)</f>
        <v>20770.364172920636</v>
      </c>
      <c r="BV403" s="70">
        <f t="shared" si="462"/>
        <v>3538.0462207780183</v>
      </c>
      <c r="BW403" s="566">
        <f>VLOOKUP($A403,'01-02.2021'!$A$6:$CZ$403,75,FALSE)+VLOOKUP($A403,'1.3.21-28.2.22'!$A$6:$DA$404,75,FALSE)-VLOOKUP($A403,'01-02.2022'!$A$6:$DA$376,75,FALSE)</f>
        <v>7986.3615754673538</v>
      </c>
      <c r="BX403" s="566">
        <f>VLOOKUP($A403,'01-02.2021'!$A$6:$CZ$403,76,FALSE)+VLOOKUP($A403,'1.3.21-28.2.22'!$A$6:$DA$404,76,FALSE)-VLOOKUP($A403,'01-02.2022'!$A$6:$DA$376,76,FALSE)</f>
        <v>6987.9390295957855</v>
      </c>
      <c r="BY403" s="70">
        <f t="shared" si="463"/>
        <v>-998.42254587156822</v>
      </c>
      <c r="BZ403" s="566">
        <f>VLOOKUP($A403,'01-02.2021'!$A$6:$CZ$403,78,FALSE)+VLOOKUP($A403,'1.3.21-28.2.22'!$A$6:$DA$404,78,FALSE)-VLOOKUP($A403,'01-02.2022'!$A$6:$DA$376,78,FALSE)</f>
        <v>6304.2810567095676</v>
      </c>
      <c r="CA403" s="566">
        <f>VLOOKUP($A403,'01-02.2021'!$A$6:$CZ$403,79,FALSE)+VLOOKUP($A403,'1.3.21-28.2.22'!$A$6:$DA$404,79,FALSE)-VLOOKUP($A403,'01-02.2022'!$A$6:$DA$376,79,FALSE)</f>
        <v>4938.5408121518903</v>
      </c>
      <c r="CB403" s="70">
        <f t="shared" si="464"/>
        <v>-1365.7402445576772</v>
      </c>
      <c r="CC403" s="566">
        <f>VLOOKUP($A403,'01-02.2021'!$A$6:$CZ$403,81,FALSE)+VLOOKUP($A403,'1.3.21-28.2.22'!$A$6:$DA$404,81,FALSE)-VLOOKUP($A403,'01-02.2022'!$A$6:$DA$376,81,FALSE)</f>
        <v>224.34275461437943</v>
      </c>
      <c r="CD403" s="566">
        <f>VLOOKUP($A403,'01-02.2021'!$A$6:$CZ$403,82,FALSE)+VLOOKUP($A403,'1.3.21-28.2.22'!$A$6:$DA$404,82,FALSE)-VLOOKUP($A403,'01-02.2022'!$A$6:$DA$376,82,FALSE)</f>
        <v>245.20506478048014</v>
      </c>
      <c r="CE403" s="70">
        <f t="shared" si="465"/>
        <v>20.862310166100713</v>
      </c>
      <c r="CF403" s="566">
        <f>VLOOKUP($A403,'01-02.2021'!$A$6:$CZ$403,84,FALSE)+VLOOKUP($A403,'1.3.21-28.2.22'!$A$6:$DA$404,84,FALSE)-VLOOKUP($A403,'01-02.2022'!$A$6:$DA$376,84,FALSE)</f>
        <v>27.273483074213384</v>
      </c>
      <c r="CG403" s="566">
        <f>VLOOKUP($A403,'01-02.2021'!$A$6:$CZ$403,85,FALSE)+VLOOKUP($A403,'1.3.21-28.2.22'!$A$6:$DA$404,85,FALSE)-VLOOKUP($A403,'01-02.2022'!$A$6:$DA$376,85,FALSE)</f>
        <v>0</v>
      </c>
      <c r="CH403" s="70">
        <f t="shared" si="466"/>
        <v>-27.273483074213384</v>
      </c>
      <c r="CI403" s="566">
        <f>VLOOKUP($A403,'01-02.2021'!$A$6:$CZ$403,87,FALSE)+VLOOKUP($A403,'1.3.21-28.2.22'!$A$6:$DA$404,87,FALSE)-VLOOKUP($A403,'01-02.2022'!$A$6:$DA$376,87,FALSE)</f>
        <v>2026.0700718025876</v>
      </c>
      <c r="CJ403" s="566">
        <f>VLOOKUP($A403,'01-02.2021'!$A$6:$CZ$403,88,FALSE)+VLOOKUP($A403,'1.3.21-28.2.22'!$A$6:$DA$404,88,FALSE)-VLOOKUP($A403,'01-02.2022'!$A$6:$DA$376,88,FALSE)</f>
        <v>1522.8523722706991</v>
      </c>
      <c r="CK403" s="70">
        <f t="shared" si="467"/>
        <v>-503.21769953188846</v>
      </c>
      <c r="CL403" s="566">
        <f>VLOOKUP($A403,'01-02.2021'!$A$6:$CZ$403,90,FALSE)+VLOOKUP($A403,'1.3.21-28.2.22'!$A$6:$DA$404,90,FALSE)-VLOOKUP($A403,'01-02.2022'!$A$6:$DA$376,90,FALSE)</f>
        <v>0</v>
      </c>
      <c r="CM403" s="566">
        <f>VLOOKUP($A403,'01-02.2021'!$A$6:$CZ$403,91,FALSE)+VLOOKUP($A403,'1.3.21-28.2.22'!$A$6:$DA$404,91,FALSE)-VLOOKUP($A403,'01-02.2022'!$A$6:$DA$376,91,FALSE)</f>
        <v>0</v>
      </c>
      <c r="CN403" s="56">
        <f t="shared" si="420"/>
        <v>0</v>
      </c>
      <c r="CO403" s="71">
        <f t="shared" si="414"/>
        <v>2026.0700718025876</v>
      </c>
      <c r="CP403" s="40">
        <f t="shared" si="421"/>
        <v>1522.8523722706991</v>
      </c>
      <c r="CQ403" s="56">
        <f t="shared" si="422"/>
        <v>-503.21769953188846</v>
      </c>
      <c r="CR403" s="69">
        <f t="shared" si="415"/>
        <v>75490.022420543421</v>
      </c>
      <c r="CS403" s="5">
        <f t="shared" si="415"/>
        <v>57140.802235998817</v>
      </c>
      <c r="CT403" s="56">
        <f t="shared" si="423"/>
        <v>-18349.220184544603</v>
      </c>
      <c r="CU403" s="77">
        <f t="shared" si="424"/>
        <v>90588.026904652099</v>
      </c>
      <c r="CV403" s="65">
        <f t="shared" si="425"/>
        <v>68568.962683198581</v>
      </c>
      <c r="CW403" s="36">
        <f t="shared" si="426"/>
        <v>-22019.064221453518</v>
      </c>
      <c r="CX403" s="566">
        <f>VLOOKUP($A403,'01-02.2021'!$A$6:$CZ$403,102,FALSE)+VLOOKUP($A403,'1.3.21-28.2.22'!$A$6:$DA$404,102,FALSE)-VLOOKUP($A403,'01-02.2022'!$A$6:$DA$376,102,FALSE)</f>
        <v>3159.1182309036599</v>
      </c>
      <c r="CY403" s="566">
        <f>VLOOKUP($A403,'01-02.2021'!$A$6:$CZ$403,103,FALSE)+VLOOKUP($A403,'1.3.21-28.2.22'!$A$6:$DA$404,103,FALSE)-VLOOKUP($A403,'01-02.2022'!$A$6:$DA$376,103,FALSE)</f>
        <v>25178.182452357192</v>
      </c>
      <c r="CZ403" s="56">
        <f t="shared" si="427"/>
        <v>22019.064221453533</v>
      </c>
      <c r="DA403" s="150">
        <f>'[2]побудинковий звіт'!DA403</f>
        <v>-29707.216103311883</v>
      </c>
      <c r="DB403" s="2">
        <v>2</v>
      </c>
      <c r="DC403" s="414">
        <f>'[4]побудинковий звіт'!DC403</f>
        <v>8784.59</v>
      </c>
      <c r="DD403" s="414">
        <f>'[4]побудинковий звіт'!DD403</f>
        <v>-233.16</v>
      </c>
      <c r="DE403" s="557">
        <f>'[4]побудинковий звіт'!DE403</f>
        <v>501.48617257545266</v>
      </c>
      <c r="DF403" s="557">
        <f>'[4]побудинковий звіт'!DF403</f>
        <v>-466.31735379545302</v>
      </c>
      <c r="DG403" s="321">
        <f>VLOOKUP(A403,'кошти 01.03.2021'!$A$6:$D$401,4,)</f>
        <v>-2740.9860662516076</v>
      </c>
      <c r="DH403" s="40">
        <f>'[3]побудинковий звіт'!DJ403</f>
        <v>97076.82657928257</v>
      </c>
      <c r="DI403" s="422">
        <f>'[3]побудинковий звіт'!CU403+'[3]побудинковий звіт'!CX403</f>
        <v>8516.2611812200012</v>
      </c>
      <c r="DJ403" s="306">
        <f>'[3]побудинковий звіт'!DM403</f>
        <v>5.7187957935822613</v>
      </c>
      <c r="DK403" s="306">
        <f t="shared" si="469"/>
        <v>5.7187957935822613</v>
      </c>
      <c r="DL403" s="306">
        <f>'[3]побудинковий звіт'!DO403</f>
        <v>5.0466959695985496</v>
      </c>
      <c r="DM403" s="28">
        <f t="shared" si="470"/>
        <v>8283.1038274245475</v>
      </c>
      <c r="DN403" s="28">
        <f>H403*DL403</f>
        <v>233.15735379545302</v>
      </c>
      <c r="DO403" s="423">
        <f t="shared" si="440"/>
        <v>8516.2611812200012</v>
      </c>
      <c r="DP403" s="94">
        <f t="shared" si="441"/>
        <v>0</v>
      </c>
      <c r="DQ403" s="28">
        <f t="shared" si="442"/>
        <v>8516.2611812200012</v>
      </c>
      <c r="DR403" s="318"/>
      <c r="DT403" s="8"/>
      <c r="DU403" s="5"/>
      <c r="DX403" s="5">
        <f t="shared" si="443"/>
        <v>24202.114874517032</v>
      </c>
      <c r="DY403" s="5">
        <f t="shared" si="444"/>
        <v>3933.4560000000001</v>
      </c>
      <c r="DZ403" s="159">
        <f>'[3]побудинковий звіт'!EA403</f>
        <v>2354.788498562677</v>
      </c>
    </row>
    <row r="404" spans="1:130" s="4" customFormat="1" ht="24.75" customHeight="1" thickBot="1" x14ac:dyDescent="0.35">
      <c r="A404" s="326"/>
      <c r="B404" s="47"/>
      <c r="C404" s="48" t="s">
        <v>853</v>
      </c>
      <c r="D404" s="48"/>
      <c r="E404" s="63">
        <f t="shared" ref="E404:J404" si="471">SUM(E9:E403)</f>
        <v>1015028.5299999997</v>
      </c>
      <c r="F404" s="505">
        <f t="shared" si="471"/>
        <v>964778.38999999978</v>
      </c>
      <c r="G404" s="506">
        <f t="shared" si="471"/>
        <v>52630.140000000014</v>
      </c>
      <c r="H404" s="507">
        <f t="shared" si="471"/>
        <v>50250.140000000014</v>
      </c>
      <c r="I404" s="564">
        <f t="shared" si="471"/>
        <v>3012730.1725193714</v>
      </c>
      <c r="J404" s="565">
        <f t="shared" si="471"/>
        <v>3011703.0985736828</v>
      </c>
      <c r="K404" s="63">
        <f>J404-I404</f>
        <v>-1027.0739456885494</v>
      </c>
      <c r="L404" s="61">
        <f>SUM(L9:L403)</f>
        <v>581404.53587102692</v>
      </c>
      <c r="M404" s="62">
        <f>SUM(M9:M403)</f>
        <v>589005.82286495296</v>
      </c>
      <c r="N404" s="60">
        <f>M404-L404</f>
        <v>7601.2869939260418</v>
      </c>
      <c r="O404" s="64">
        <f>SUM(O9:O403)</f>
        <v>1267331.2031672045</v>
      </c>
      <c r="P404" s="62">
        <f>SUM(P9:P403)</f>
        <v>1267568.9466666661</v>
      </c>
      <c r="Q404" s="63">
        <f>P404-O404</f>
        <v>237.74349946156144</v>
      </c>
      <c r="R404" s="61">
        <f>SUM(R9:R403)</f>
        <v>173141.09679849859</v>
      </c>
      <c r="S404" s="62">
        <f>SUM(S9:S403)</f>
        <v>173223.57500000007</v>
      </c>
      <c r="T404" s="60">
        <f>S404-R404</f>
        <v>82.478201501478907</v>
      </c>
      <c r="U404" s="64">
        <f>SUM(U9:U403)</f>
        <v>136867.30719318279</v>
      </c>
      <c r="V404" s="62">
        <f>SUM(V9:V403)</f>
        <v>137228.17403043163</v>
      </c>
      <c r="W404" s="63">
        <f>V404-U404</f>
        <v>360.86683724884642</v>
      </c>
      <c r="X404" s="61">
        <f>SUM(X9:X403)</f>
        <v>1829361.5863992791</v>
      </c>
      <c r="Y404" s="62">
        <f>SUM(Y9:Y403)</f>
        <v>1595063.6855879249</v>
      </c>
      <c r="Z404" s="60">
        <f>Y404-X404</f>
        <v>-234297.90081135416</v>
      </c>
      <c r="AA404" s="61">
        <f>SUM(AA9:AA403)</f>
        <v>198413.32600000003</v>
      </c>
      <c r="AB404" s="62">
        <f>SUM(AB9:AB403)</f>
        <v>18171.157012000207</v>
      </c>
      <c r="AC404" s="60">
        <f>AB404-AA404</f>
        <v>-180242.16898799982</v>
      </c>
      <c r="AD404" s="64">
        <f>SUM(AD9:AD403)</f>
        <v>4277136.2248195251</v>
      </c>
      <c r="AE404" s="62">
        <f>SUM(AE9:AE403)</f>
        <v>4595363.9994408032</v>
      </c>
      <c r="AF404" s="63">
        <f>AE404-AD404</f>
        <v>318227.77462127805</v>
      </c>
      <c r="AG404" s="61">
        <f>SUM(AG9:AG403)</f>
        <v>11476385.452768089</v>
      </c>
      <c r="AH404" s="62">
        <f>SUM(AH9:AH403)</f>
        <v>11387328.459176457</v>
      </c>
      <c r="AI404" s="60">
        <f>AH404-AG404</f>
        <v>-89056.993591632694</v>
      </c>
      <c r="AJ404" s="64">
        <f>SUM(AJ9:AJ403)</f>
        <v>4683024.1490582656</v>
      </c>
      <c r="AK404" s="62">
        <f>SUM(AK9:AK403)</f>
        <v>4646189.8944128715</v>
      </c>
      <c r="AL404" s="63">
        <f>AK404-AJ404</f>
        <v>-36834.254645394161</v>
      </c>
      <c r="AM404" s="61">
        <f>SUM(AM9:AM403)</f>
        <v>93036.918842023413</v>
      </c>
      <c r="AN404" s="62">
        <f>SUM(AN9:AN403)</f>
        <v>38523.458569089911</v>
      </c>
      <c r="AO404" s="63">
        <f>AN404-AM404</f>
        <v>-54513.460272933502</v>
      </c>
      <c r="AP404" s="61">
        <f>SUM(AP9:AP403)</f>
        <v>1392975.987546677</v>
      </c>
      <c r="AQ404" s="62">
        <f>SUM(AQ9:AQ403)</f>
        <v>1141710.9527173073</v>
      </c>
      <c r="AR404" s="63">
        <f>AQ404-AP404</f>
        <v>-251265.03482936975</v>
      </c>
      <c r="AS404" s="61">
        <f>SUM(AS9:AS403)</f>
        <v>11805093.420223631</v>
      </c>
      <c r="AT404" s="62">
        <f>SUM(AT9:AT403)</f>
        <v>11711511.293233572</v>
      </c>
      <c r="AU404" s="60">
        <f>AT404-AS404</f>
        <v>-93582.126990059391</v>
      </c>
      <c r="AV404" s="61">
        <f>SUM(AV9:AV403)</f>
        <v>747511.92427616369</v>
      </c>
      <c r="AW404" s="62">
        <f>SUM(AW9:AW403)</f>
        <v>320547.19</v>
      </c>
      <c r="AX404" s="60">
        <f>AW404-AV404</f>
        <v>-426964.73427616368</v>
      </c>
      <c r="AY404" s="64">
        <f>SUM(AY9:AY403)</f>
        <v>965700.78735465289</v>
      </c>
      <c r="AZ404" s="62">
        <f>SUM(AZ9:AZ403)</f>
        <v>618835.73999999987</v>
      </c>
      <c r="BA404" s="63">
        <f>AZ404-AY404</f>
        <v>-346865.04735465301</v>
      </c>
      <c r="BB404" s="61">
        <f>SUM(BB9:BB403)</f>
        <v>455980.25765954982</v>
      </c>
      <c r="BC404" s="62">
        <f>SUM(BC9:BC403)</f>
        <v>344778.66000000003</v>
      </c>
      <c r="BD404" s="60">
        <f>BC404-BB404</f>
        <v>-111201.59765954979</v>
      </c>
      <c r="BE404" s="64">
        <f>SUM(BE9:BE403)</f>
        <v>373055.87885166245</v>
      </c>
      <c r="BF404" s="62">
        <f>SUM(BF9:BF403)</f>
        <v>225877.69999999998</v>
      </c>
      <c r="BG404" s="63">
        <f>BF404-BE404</f>
        <v>-147178.17885166247</v>
      </c>
      <c r="BH404" s="61">
        <f>SUM(BH9:BH403)</f>
        <v>263697.70230484282</v>
      </c>
      <c r="BI404" s="62">
        <f>SUM(BI9:BI403)</f>
        <v>54428</v>
      </c>
      <c r="BJ404" s="60">
        <f>BI404-BH404</f>
        <v>-209269.70230484282</v>
      </c>
      <c r="BK404" s="64">
        <f>SUM(BK9:BK403)</f>
        <v>562895.92981687014</v>
      </c>
      <c r="BL404" s="62">
        <f>SUM(BL9:BL403)</f>
        <v>224951</v>
      </c>
      <c r="BM404" s="63">
        <f>BL404-BK404</f>
        <v>-337944.92981687014</v>
      </c>
      <c r="BN404" s="61">
        <f>SUM(BN9:BN403)</f>
        <v>73364.202157285865</v>
      </c>
      <c r="BO404" s="62">
        <f>SUM(BO9:BO403)</f>
        <v>67786.349999999991</v>
      </c>
      <c r="BP404" s="60">
        <f>BO404-BN404</f>
        <v>-5577.8521572858735</v>
      </c>
      <c r="BQ404" s="61">
        <f>SUM(BQ9:BQ403)</f>
        <v>3442206.6824210295</v>
      </c>
      <c r="BR404" s="62">
        <f>SUM(BR9:BR403)</f>
        <v>1857204.64</v>
      </c>
      <c r="BS404" s="60">
        <f>BR404-BQ404</f>
        <v>-1585002.0424210296</v>
      </c>
      <c r="BT404" s="61">
        <f>SUM(BT9:BT403)</f>
        <v>9749785.5646357816</v>
      </c>
      <c r="BU404" s="62">
        <f>SUM(BU9:BU403)</f>
        <v>10449854.820358507</v>
      </c>
      <c r="BV404" s="63">
        <f>BU404-BT404</f>
        <v>700069.25572272576</v>
      </c>
      <c r="BW404" s="61">
        <f>SUM(BW9:BW403)</f>
        <v>6436916.7188966004</v>
      </c>
      <c r="BX404" s="62">
        <f>SUM(BX9:BX403)</f>
        <v>6266497.2982422551</v>
      </c>
      <c r="BY404" s="63">
        <f>BX404-BW404</f>
        <v>-170419.4206543453</v>
      </c>
      <c r="BZ404" s="61">
        <f>SUM(BZ9:BZ403)</f>
        <v>2449713.4332722849</v>
      </c>
      <c r="CA404" s="62">
        <f>SUM(CA9:CA403)</f>
        <v>2355376.8539473298</v>
      </c>
      <c r="CB404" s="63">
        <f>CA404-BZ404</f>
        <v>-94336.579324955121</v>
      </c>
      <c r="CC404" s="61">
        <f>SUM(CC9:CC403)</f>
        <v>300906.02165113261</v>
      </c>
      <c r="CD404" s="62">
        <f>SUM(CD9:CD403)</f>
        <v>327667.45102049608</v>
      </c>
      <c r="CE404" s="63">
        <f>CD404-CC404</f>
        <v>26761.429369363468</v>
      </c>
      <c r="CF404" s="61">
        <f>SUM(CF9:CF403)</f>
        <v>36428.831468571378</v>
      </c>
      <c r="CG404" s="62">
        <f>SUM(CG9:CG403)</f>
        <v>29965.261234823971</v>
      </c>
      <c r="CH404" s="60">
        <f>CG404-CF404</f>
        <v>-6463.5702337474067</v>
      </c>
      <c r="CI404" s="61">
        <f>SUM(CI9:CI403)</f>
        <v>2295934.6245217845</v>
      </c>
      <c r="CJ404" s="62">
        <f>SUM(CJ9:CJ403)</f>
        <v>1948639.6072680894</v>
      </c>
      <c r="CK404" s="63">
        <f>CJ404-CI404</f>
        <v>-347295.01725369506</v>
      </c>
      <c r="CL404" s="61">
        <f>SUM(CL9:CL403)</f>
        <v>1254587.4551368046</v>
      </c>
      <c r="CM404" s="62">
        <f>SUM(CM9:CM403)</f>
        <v>1203275.1154099351</v>
      </c>
      <c r="CN404" s="60">
        <f>CM404-CL404</f>
        <v>-51312.339726869483</v>
      </c>
      <c r="CO404" s="64">
        <f>SUM(CO9:CO403)</f>
        <v>3550522.0796585879</v>
      </c>
      <c r="CP404" s="62">
        <f>SUM(CP9:CP403)</f>
        <v>3151914.722678022</v>
      </c>
      <c r="CQ404" s="63">
        <f>CP404-CO404</f>
        <v>-398607.35698056594</v>
      </c>
      <c r="CR404" s="61">
        <f>SUM(CR9:CR403)</f>
        <v>55416995.260442726</v>
      </c>
      <c r="CS404" s="62">
        <f>SUM(CS9:CS403)</f>
        <v>53363745.105590701</v>
      </c>
      <c r="CT404" s="63">
        <f>CS404-CR404</f>
        <v>-2053250.1548520252</v>
      </c>
      <c r="CU404" s="61">
        <f>SUM(CU9:CU403)</f>
        <v>66500394.312531203</v>
      </c>
      <c r="CV404" s="62">
        <f>SUM(CV9:CV403)</f>
        <v>64036494.126708873</v>
      </c>
      <c r="CW404" s="63">
        <f>CV404-CU404</f>
        <v>-2463900.1858223304</v>
      </c>
      <c r="CX404" s="61">
        <f>SUM(CX9:CX403)</f>
        <v>2221335.5163397272</v>
      </c>
      <c r="CY404" s="62">
        <f>SUM(CY9:CY403)</f>
        <v>4685235.6097072847</v>
      </c>
      <c r="CZ404" s="60">
        <f t="shared" si="427"/>
        <v>2463900.0933675575</v>
      </c>
      <c r="DA404" s="74">
        <f>SUM(DA9:DA403)</f>
        <v>3015282.5283802152</v>
      </c>
      <c r="DB404" s="2"/>
      <c r="DC404" s="95">
        <f t="shared" ref="DC404:DI404" si="472">SUM(DC9:DC403)</f>
        <v>11894135.399999999</v>
      </c>
      <c r="DD404" s="95">
        <f t="shared" si="472"/>
        <v>891875.60999999987</v>
      </c>
      <c r="DE404" s="558">
        <f t="shared" si="472"/>
        <v>5899642.9665197395</v>
      </c>
      <c r="DF404" s="558">
        <f t="shared" si="472"/>
        <v>667754.40251165139</v>
      </c>
      <c r="DG404" s="320">
        <f t="shared" si="472"/>
        <v>6309458.6869720034</v>
      </c>
      <c r="DH404" s="8">
        <f t="shared" si="472"/>
        <v>71097747.131917343</v>
      </c>
      <c r="DI404" s="8">
        <f t="shared" si="472"/>
        <v>6218576.3479908248</v>
      </c>
      <c r="DJ404" s="303"/>
      <c r="DK404" s="303"/>
      <c r="DL404" s="30"/>
      <c r="DM404" s="95">
        <f>SUM(DM9:DM403)</f>
        <v>5994492.4334802665</v>
      </c>
      <c r="DN404" s="95">
        <f>SUM(DN9:DN403)</f>
        <v>224121.2074883485</v>
      </c>
      <c r="DO404" s="95">
        <f>SUM(DO9:DO403)</f>
        <v>6218613.6409686152</v>
      </c>
      <c r="DP404" s="311">
        <f>SUM(DP9:DP403)</f>
        <v>-37.292977789216707</v>
      </c>
      <c r="DQ404" s="95">
        <f>SUM(DQ9:DQ403)</f>
        <v>6218613.6409686152</v>
      </c>
      <c r="DR404" s="318"/>
      <c r="DT404" s="8"/>
      <c r="DU404" s="8"/>
      <c r="DX404" s="8">
        <f>SUM(DX9:DX403)</f>
        <v>18296760.123173591</v>
      </c>
      <c r="DY404" s="8">
        <f>SUM(DY9:DY403)</f>
        <v>16282459.119880283</v>
      </c>
      <c r="DZ404" s="163">
        <f>SUM(DZ9:DZ403)</f>
        <v>1703058.6134663583</v>
      </c>
    </row>
    <row r="405" spans="1:130" x14ac:dyDescent="0.3">
      <c r="E405" s="32">
        <f>F404+H404</f>
        <v>1015028.5299999998</v>
      </c>
      <c r="CU405" s="502">
        <f>CX3</f>
        <v>78748901.757779539</v>
      </c>
      <c r="CX405" s="396">
        <f>CU404+CX404</f>
        <v>68721729.828870937</v>
      </c>
      <c r="DH405" s="301">
        <f>DH404/12/E404</f>
        <v>5.8370893880126831</v>
      </c>
      <c r="DI405" s="93"/>
      <c r="DT405" s="5"/>
      <c r="DU405" s="5"/>
    </row>
    <row r="406" spans="1:130" x14ac:dyDescent="0.3">
      <c r="DT406" s="5"/>
      <c r="DU406" s="5"/>
    </row>
    <row r="407" spans="1:130" s="2" customFormat="1" ht="13.8" x14ac:dyDescent="0.3">
      <c r="A407" s="276"/>
      <c r="C407" s="26" t="s">
        <v>986</v>
      </c>
      <c r="D407" s="26"/>
      <c r="E407" s="5">
        <f t="shared" ref="E407:J407" si="473">E18+E19+E20+E21+E55+E56+E57+E72+E73+E74+E75+E76+E77+E78+E79+E80+E81+E82+E83+E84+E85+E86+E90+E91+E92+E93+E94+E95+E96+E97+E98+E102+E103+E104+E105+E106+E107+E108+E109+E110+E111+E112+E113+E114+E148+E149+E159+E169+E171+E172+E173+E174+E175+E176++E177+E178+E179+E180+E181+E182+E183+E184+E185+E213+E214+E223+E224+E225+E227+E229+E230+E231+E232+E233+E235+E236+E237+E238+E239+E240+E241+E242+E243+E244+E281+E282+E283+E301+E304+E305+E306+E307+E308+E309+E310+E313+E314+E353+E354+E355+E356+E357</f>
        <v>341251.19999999995</v>
      </c>
      <c r="F407" s="28">
        <f t="shared" si="473"/>
        <v>335189.44999999995</v>
      </c>
      <c r="G407" s="5">
        <f t="shared" si="473"/>
        <v>29643.24</v>
      </c>
      <c r="H407" s="309">
        <f t="shared" si="473"/>
        <v>6061.75</v>
      </c>
      <c r="I407" s="5">
        <f t="shared" si="473"/>
        <v>924699.4531662669</v>
      </c>
      <c r="J407" s="5">
        <f t="shared" si="473"/>
        <v>827752.18870360719</v>
      </c>
      <c r="K407" s="5">
        <f>J407-I407</f>
        <v>-96947.264462659718</v>
      </c>
      <c r="L407" s="5">
        <f>L18+L19+L20+L21+L55+L56+L57+L72+L73+L74+L75+L76+L77+L78+L79+L80+L81+L82+L83+L84+L85+L86+L90+L91+L92+L93+L94+L95+L96+L97+L98+L102+L103+L104+L105+L106+L107+L108+L109+L110+L111+L112+L113+L114+L148+L149+L159+L169+L171+L172+L173+L174+L175+L176++L177+L178+L179+L180+L181+L182+L183+L184+L185+L213+L214+L223+L224+L225+L227+L229+L230+L231+L232+L233+L235+L236+L237+L238+L239+L240+L241+L242+L243+L244+L281+L282+L283+L301+L304+L305+L306+L307+L308+L309+L310+L313+L314+L353+L354+L355+L356+L357</f>
        <v>172971.16925268286</v>
      </c>
      <c r="M407" s="5">
        <f>M18+M19+M20+M21+M55+M56+M57+M72+M73+M74+M75+M76+M77+M78+M79+M80+M81+M82+M83+M84+M85+M86+M90+M91+M92+M93+M94+M95+M96+M97+M98+M102+M103+M104+M105+M106+M107+M108+M109+M110+M111+M112+M113+M114+M148+M149+M159+M169+M171+M172+M173+M174+M175+M176++M177+M178+M179+M180+M181+M182+M183+M184+M185+M213+M214+M223+M224+M225+M227+M229+M230+M231+M232+M233+M235+M236+M237+M238+M239+M240+M241+M242+M243+M244+M281+M282+M283+M301+M304+M305+M306+M307+M308+M309+M310+M313+M314+M353+M354+M355+M356+M357</f>
        <v>156482.83036782322</v>
      </c>
      <c r="N407" s="5">
        <f>M407-L407</f>
        <v>-16488.338884859637</v>
      </c>
      <c r="O407" s="5">
        <f>O18+O19+O20+O21+O55+O56+O57+O72+O73+O74+O75+O76+O77+O78+O79+O80+O81+O82+O83+O84+O85+O86+O90+O91+O92+O93+O94+O95+O96+O97+O98+O102+O103+O104+O105+O106+O107+O108+O109+O110+O111+O112+O113+O114+O148+O149+O159+O169+O171+O172+O173+O174+O175+O176++O177+O178+O179+O180+O181+O182+O183+O184+O185+O213+O214+O223+O224+O225+O227+O229+O230+O231+O232+O233+O235+O236+O237+O238+O239+O240+O241+O242+O243+O244+O281+O282+O283+O301+O304+O305+O306+O307+O308+O309+O310+O313+O314+O353+O354+O355+O356+O357</f>
        <v>461093.08443514217</v>
      </c>
      <c r="P407" s="5">
        <f>P18+P19+P20+P21+P55+P56+P57+P72+P73+P74+P75+P76+P77+P78+P79+P80+P81+P82+P83+P84+P85+P86+P90+P91+P92+P93+P94+P95+P96+P97+P98+P102+P103+P104+P105+P106+P107+P108+P109+P110+P111+P112+P113+P114+P148+P149+P159+P169+P171+P172+P173+P174+P175+P176++P177+P178+P179+P180+P181+P182+P183+P184+P185+P213+P214+P223+P224+P225+P227+P229+P230+P231+P232+P233+P235+P236+P237+P238+P239+P240+P241+P242+P243+P244+P281+P282+P283+P301+P304+P305+P306+P307+P308+P309+P310+P313+P314+P353+P354+P355+P356+P357</f>
        <v>461092.78666666668</v>
      </c>
      <c r="Q407" s="5">
        <f>P407-O407</f>
        <v>-0.29776847548782825</v>
      </c>
      <c r="R407" s="5">
        <f>R18+R19+R20+R21+R55+R56+R57+R72+R73+R74+R75+R76+R77+R78+R79+R80+R81+R82+R83+R84+R85+R86+R90+R91+R92+R93+R94+R95+R96+R97+R98+R102+R103+R104+R105+R106+R107+R108+R109+R110+R111+R112+R113+R114+R148+R149+R159+R169+R171+R172+R173+R174+R175+R176++R177+R178+R179+R180+R181+R182+R183+R184+R185+R213+R214+R223+R224+R225+R227+R229+R230+R231+R232+R233+R235+R236+R237+R238+R239+R240+R241+R242+R243+R244+R281+R282+R283+R301+R304+R305+R306+R307+R308+R309+R310+R313+R314+R353+R354+R355+R356+R357</f>
        <v>90456.66919030188</v>
      </c>
      <c r="S407" s="5">
        <f>S18+S19+S20+S21+S55+S56+S57+S72+S73+S74+S75+S76+S77+S78+S79+S80+S81+S82+S83+S84+S85+S86+S90+S91+S92+S93+S94+S95+S96+S97+S98+S102+S103+S104+S105+S106+S107+S108+S109+S110+S111+S112+S113+S114+S148+S149+S159+S169+S171+S172+S173+S174+S175+S176++S177+S178+S179+S180+S181+S182+S183+S184+S185+S213+S214+S223+S224+S225+S227+S229+S230+S231+S232+S233+S235+S236+S237+S238+S239+S240+S241+S242+S243+S244+S281+S282+S283+S301+S304+S305+S306+S307+S308+S309+S310+S313+S314+S353+S354+S355+S356+S357</f>
        <v>90461.143333333326</v>
      </c>
      <c r="T407" s="5">
        <f>S407-R407</f>
        <v>4.4741430314461468</v>
      </c>
      <c r="U407" s="5">
        <f>U18+U19+U20+U21+U55+U56+U57+U72+U73+U74+U75+U76+U77+U78+U79+U80+U81+U82+U83+U84+U85+U86+U90+U91+U92+U93+U94+U95+U96+U97+U98+U102+U103+U104+U105+U106+U107+U108+U109+U110+U111+U112+U113+U114+U148+U149+U159+U169+U171+U172+U173+U174+U175+U176++U177+U178+U179+U180+U181+U182+U183+U184+U185+U213+U214+U223+U224+U225+U227+U229+U230+U231+U232+U233+U235+U236+U237+U238+U239+U240+U241+U242+U243+U244+U281+U282+U283+U301+U304+U305+U306+U307+U308+U309+U310+U313+U314+U353+U354+U355+U356+U357</f>
        <v>74179.365984632459</v>
      </c>
      <c r="V407" s="5">
        <f>V18+V19+V20+V21+V55+V56+V57+V72+V73+V74+V75+V76+V77+V78+V79+V80+V81+V82+V83+V84+V85+V86+V90+V91+V92+V93+V94+V95+V96+V97+V98+V102+V103+V104+V105+V106+V107+V108+V109+V110+V111+V112+V113+V114+V148+V149+V159+V169+V171+V172+V173+V174+V175+V176++V177+V178+V179+V180+V181+V182+V183+V184+V185+V213+V214+V223+V224+V225+V227+V229+V230+V231+V232+V233+V235+V236+V237+V238+V239+V240+V241+V242+V243+V244+V281+V282+V283+V301+V304+V305+V306+V307+V308+V309+V310+V313+V314+V353+V354+V355+V356+V357</f>
        <v>49115.855051027196</v>
      </c>
      <c r="W407" s="5">
        <f>V407-U407</f>
        <v>-25063.510933605263</v>
      </c>
      <c r="X407" s="5">
        <f>X18+X19+X20+X21+X55+X56+X57+X72+X73+X74+X75+X76+X77+X78+X79+X80+X81+X82+X83+X84+X85+X86+X90+X91+X92+X93+X94+X95+X96+X97+X98+X102+X103+X104+X105+X106+X107+X108+X109+X110+X111+X112+X113+X114+X148+X149+X159+X169+X171+X172+X173+X174+X175+X176++X177+X178+X179+X180+X181+X182+X183+X184+X185+X213+X214+X223+X224+X225+X227+X229+X230+X231+X232+X233+X235+X236+X237+X238+X239+X240+X241+X242+X243+X244+X281+X282+X283+X301+X304+X305+X306+X307+X308+X309+X310+X313+X314+X353+X354+X355+X356+X357</f>
        <v>600799.05672755453</v>
      </c>
      <c r="Y407" s="5">
        <f>Y18+Y19+Y20+Y21+Y55+Y56+Y57+Y72+Y73+Y74+Y75+Y76+Y77+Y78+Y79+Y80+Y81+Y82+Y83+Y84+Y85+Y86+Y90+Y91+Y92+Y93+Y94+Y95+Y96+Y97+Y98+Y102+Y103+Y104+Y105+Y106+Y107+Y108+Y109+Y110+Y111+Y112+Y113+Y114+Y148+Y149+Y159+Y169+Y171+Y172+Y173+Y174+Y175+Y176++Y177+Y178+Y179+Y180+Y181+Y182+Y183+Y184+Y185+Y213+Y214+Y223+Y224+Y225+Y227+Y229+Y230+Y231+Y232+Y233+Y235+Y236+Y237+Y238+Y239+Y240+Y241+Y242+Y243+Y244+Y281+Y282+Y283+Y301+Y304+Y305+Y306+Y307+Y308+Y309+Y310+Y313+Y314+Y353+Y354+Y355+Y356+Y357</f>
        <v>524943.89476103499</v>
      </c>
      <c r="Z407" s="5">
        <f>Y407-X407</f>
        <v>-75855.161966519547</v>
      </c>
      <c r="AA407" s="5">
        <f>AA18+AA19+AA20+AA21+AA55+AA56+AA57+AA72+AA73+AA74+AA75+AA76+AA77+AA78+AA79+AA80+AA81+AA82+AA83+AA84+AA85+AA86+AA90+AA91+AA92+AA93+AA94+AA95+AA96+AA97+AA98+AA102+AA103+AA104+AA105+AA106+AA107+AA108+AA109+AA110+AA111+AA112+AA113+AA114+AA148+AA149+AA159+AA169+AA171+AA172+AA173+AA174+AA175+AA176++AA177+AA178+AA179+AA180+AA181+AA182+AA183+AA184+AA185+AA213+AA214+AA223+AA224+AA225+AA227+AA229+AA230+AA231+AA232+AA233+AA235+AA236+AA237+AA238+AA239+AA240+AA241+AA242+AA243+AA244+AA281+AA282+AA283+AA301+AA304+AA305+AA306+AA307+AA308+AA309+AA310+AA313+AA314+AA353+AA354+AA355+AA356+AA357</f>
        <v>67888.478000000017</v>
      </c>
      <c r="AB407" s="5">
        <f>AB18+AB19+AB20+AB21+AB55+AB56+AB57+AB72+AB73+AB74+AB75+AB76+AB77+AB78+AB79+AB80+AB81+AB82+AB83+AB84+AB85+AB86+AB90+AB91+AB92+AB93+AB94+AB95+AB96+AB97+AB98+AB102+AB103+AB104+AB105+AB106+AB107+AB108+AB109+AB110+AB111+AB112+AB113+AB114+AB148+AB149+AB159+AB169+AB171+AB172+AB173+AB174+AB175+AB176++AB177+AB178+AB179+AB180+AB181+AB182+AB183+AB184+AB185+AB213+AB214+AB223+AB224+AB225+AB227+AB229+AB230+AB231+AB232+AB233+AB235+AB236+AB237+AB238+AB239+AB240+AB241+AB242+AB243+AB244+AB281+AB282+AB283+AB301+AB304+AB305+AB306+AB307+AB308+AB309+AB310+AB313+AB314+AB353+AB354+AB355+AB356+AB357</f>
        <v>0</v>
      </c>
      <c r="AC407" s="5">
        <f>AB407-AA407</f>
        <v>-67888.478000000017</v>
      </c>
      <c r="AD407" s="5">
        <f>AD18+AD19+AD20+AD21+AD55+AD56+AD57+AD72+AD73+AD74+AD75+AD76+AD77+AD78+AD79+AD80+AD81+AD82+AD83+AD84+AD85+AD86+AD90+AD91+AD92+AD93+AD94+AD95+AD96+AD97+AD98+AD102+AD103+AD104+AD105+AD106+AD107+AD108+AD109+AD110+AD111+AD112+AD113+AD114+AD148+AD149+AD159+AD169+AD171+AD172+AD173+AD174+AD175+AD176++AD177+AD178+AD179+AD180+AD181+AD182+AD183+AD184+AD185+AD213+AD214+AD223+AD224+AD225+AD227+AD229+AD230+AD231+AD232+AD233+AD235+AD236+AD237+AD238+AD239+AD240+AD241+AD242+AD243+AD244+AD281+AD282+AD283+AD301+AD304+AD305+AD306+AD307+AD308+AD309+AD310+AD313+AD314+AD353+AD354+AD355+AD356+AD357</f>
        <v>1442930.3666726493</v>
      </c>
      <c r="AE407" s="5">
        <f>AE18+AE19+AE20+AE21+AE55+AE56+AE57+AE72+AE73+AE74+AE75+AE76+AE77+AE78+AE79+AE80+AE81+AE82+AE83+AE84+AE85+AE86+AE90+AE91+AE92+AE93+AE94+AE95+AE96+AE97+AE98+AE102+AE103+AE104+AE105+AE106+AE107+AE108+AE109+AE110+AE111+AE112+AE113+AE114+AE148+AE149+AE159+AE169+AE171+AE172+AE173+AE174+AE175+AE176++AE177+AE178+AE179+AE180+AE181+AE182+AE183+AE184+AE185+AE213+AE214+AE223+AE224+AE225+AE227+AE229+AE230+AE231+AE232+AE233+AE235+AE236+AE237+AE238+AE239+AE240+AE241+AE242+AE243+AE244+AE281+AE282+AE283+AE301+AE304+AE305+AE306+AE307+AE308+AE309+AE310+AE313+AE314+AE353+AE354+AE355+AE356+AE357</f>
        <v>1544845.0098054854</v>
      </c>
      <c r="AF407" s="5">
        <f>AE407-AD407</f>
        <v>101914.64313283609</v>
      </c>
      <c r="AG407" s="72">
        <f t="shared" ref="AG407" si="474">I407+L407+O407+R407+U407+X407+AA407+AD407</f>
        <v>3835017.64342923</v>
      </c>
      <c r="AH407" s="39">
        <f t="shared" ref="AH407" si="475">J407+M407+P407+S407+V407+Y407+AB407+AE407</f>
        <v>3654693.7086889781</v>
      </c>
      <c r="AI407" s="5">
        <f>AH407-AG407</f>
        <v>-180323.93474025186</v>
      </c>
      <c r="AJ407" s="5">
        <f>AJ18+AJ19+AJ20+AJ21+AJ55+AJ56+AJ57+AJ72+AJ73+AJ74+AJ75+AJ76+AJ77+AJ78+AJ79+AJ80+AJ81+AJ82+AJ83+AJ84+AJ85+AJ86+AJ90+AJ91+AJ92+AJ93+AJ94+AJ95+AJ96+AJ97+AJ98+AJ102+AJ103+AJ104+AJ105+AJ106+AJ107+AJ108+AJ109+AJ110+AJ111+AJ112+AJ113+AJ114+AJ148+AJ149+AJ159+AJ169+AJ171+AJ172+AJ173+AJ174+AJ175+AJ176++AJ177+AJ178+AJ179+AJ180+AJ181+AJ182+AJ183+AJ184+AJ185+AJ213+AJ214+AJ223+AJ224+AJ225+AJ227+AJ229+AJ230+AJ231+AJ232+AJ233+AJ235+AJ236+AJ237+AJ238+AJ239+AJ240+AJ241+AJ242+AJ243+AJ244+AJ281+AJ282+AJ283+AJ301+AJ304+AJ305+AJ306+AJ307+AJ308+AJ309+AJ310+AJ313+AJ314+AJ353+AJ354+AJ355+AJ356+AJ357</f>
        <v>2470238.9413704942</v>
      </c>
      <c r="AK407" s="5">
        <f>AK18+AK19+AK20+AK21+AK55+AK56+AK57+AK72+AK73+AK74+AK75+AK76+AK77+AK78+AK79+AK80+AK81+AK82+AK83+AK84+AK85+AK86+AK90+AK91+AK92+AK93+AK94+AK95+AK96+AK97+AK98+AK102+AK103+AK104+AK105+AK106+AK107+AK108+AK109+AK110+AK111+AK112+AK113+AK114+AK148+AK149+AK159+AK169+AK171+AK172+AK173+AK174+AK175+AK176++AK177+AK178+AK179+AK180+AK181+AK182+AK183+AK184+AK185+AK213+AK214+AK223+AK224+AK225+AK227+AK229+AK230+AK231+AK232+AK233+AK235+AK236+AK237+AK238+AK239+AK240+AK241+AK242+AK243+AK244+AK281+AK282+AK283+AK301+AK304+AK305+AK306+AK307+AK308+AK309+AK310+AK313+AK314+AK353+AK354+AK355+AK356+AK357</f>
        <v>2449068.4594893875</v>
      </c>
      <c r="AL407" s="5">
        <f>AK407-AJ407</f>
        <v>-21170.481881106738</v>
      </c>
      <c r="AM407" s="5">
        <f>AM18+AM19+AM20+AM21+AM55+AM56+AM57+AM72+AM73+AM74+AM75+AM76+AM77+AM78+AM79+AM80+AM81+AM82+AM83+AM84+AM85+AM86+AM90+AM91+AM92+AM93+AM94+AM95+AM96+AM97+AM98+AM102+AM103+AM104+AM105+AM106+AM107+AM108+AM109+AM110+AM111+AM112+AM113+AM114+AM148+AM149+AM159+AM169+AM171+AM172+AM173+AM174+AM175+AM176++AM177+AM178+AM179+AM180+AM181+AM182+AM183+AM184+AM185+AM213+AM214+AM223+AM224+AM225+AM227+AM229+AM230+AM231+AM232+AM233+AM235+AM236+AM237+AM238+AM239+AM240+AM241+AM242+AM243+AM244+AM281+AM282+AM283+AM301+AM304+AM305+AM306+AM307+AM308+AM309+AM310+AM313+AM314+AM353+AM354+AM355+AM356+AM357</f>
        <v>63093.223948789542</v>
      </c>
      <c r="AN407" s="5">
        <f>AN18+AN19+AN20+AN21+AN55+AN56+AN57+AN72+AN73+AN74+AN75+AN76+AN77+AN78+AN79+AN80+AN81+AN82+AN83+AN84+AN85+AN86+AN90+AN91+AN92+AN93+AN94+AN95+AN96+AN97+AN98+AN102+AN103+AN104+AN105+AN106+AN107+AN108+AN109+AN110+AN111+AN112+AN113+AN114+AN148+AN149+AN159+AN169+AN171+AN172+AN173+AN174+AN175+AN176++AN177+AN178+AN179+AN180+AN181+AN182+AN183+AN184+AN185+AN213+AN214+AN223+AN224+AN225+AN227+AN229+AN230+AN231+AN232+AN233+AN235+AN236+AN237+AN238+AN239+AN240+AN241+AN242+AN243+AN244+AN281+AN282+AN283+AN301+AN304+AN305+AN306+AN307+AN308+AN309+AN310+AN313+AN314+AN353+AN354+AN355+AN356+AN357</f>
        <v>27401.343935449753</v>
      </c>
      <c r="AO407" s="5">
        <f>AN407-AM407</f>
        <v>-35691.880013339789</v>
      </c>
      <c r="AP407" s="5">
        <f>AP18+AP19+AP20+AP21+AP55+AP56+AP57+AP72+AP73+AP74+AP75+AP76+AP77+AP78+AP79+AP80+AP81+AP82+AP83+AP84+AP85+AP86+AP90+AP91+AP92+AP93+AP94+AP95+AP96+AP97+AP98+AP102+AP103+AP104+AP105+AP106+AP107+AP108+AP109+AP110+AP111+AP112+AP113+AP114+AP148+AP149+AP159+AP169+AP171+AP172+AP173+AP174+AP175+AP176++AP177+AP178+AP179+AP180+AP181+AP182+AP183+AP184+AP185+AP213+AP214+AP223+AP224+AP225+AP227+AP229+AP230+AP231+AP232+AP233+AP235+AP236+AP237+AP238+AP239+AP240+AP241+AP242+AP243+AP244+AP281+AP282+AP283+AP301+AP304+AP305+AP306+AP307+AP308+AP309+AP310+AP313+AP314+AP353+AP354+AP355+AP356+AP357</f>
        <v>296198.59733227018</v>
      </c>
      <c r="AQ407" s="5">
        <f>AQ18+AQ19+AQ20+AQ21+AQ55+AQ56+AQ57+AQ72+AQ73+AQ74+AQ75+AQ76+AQ77+AQ78+AQ79+AQ80+AQ81+AQ82+AQ83+AQ84+AQ85+AQ86+AQ90+AQ91+AQ92+AQ93+AQ94+AQ95+AQ96+AQ97+AQ98+AQ102+AQ103+AQ104+AQ105+AQ106+AQ107+AQ108+AQ109+AQ110+AQ111+AQ112+AQ113+AQ114+AQ148+AQ149+AQ159+AQ169+AQ171+AQ172+AQ173+AQ174+AQ175+AQ176++AQ177+AQ178+AQ179+AQ180+AQ181+AQ182+AQ183+AQ184+AQ185+AQ213+AQ214+AQ223+AQ224+AQ225+AQ227+AQ229+AQ230+AQ231+AQ232+AQ233+AQ235+AQ236+AQ237+AQ238+AQ239+AQ240+AQ241+AQ242+AQ243+AQ244+AQ281+AQ282+AQ283+AQ301+AQ304+AQ305+AQ306+AQ307+AQ308+AQ309+AQ310+AQ313+AQ314+AQ353+AQ354+AQ355+AQ356+AQ357</f>
        <v>251201.99782054717</v>
      </c>
      <c r="AR407" s="5">
        <f>AQ407-AP407</f>
        <v>-44996.599511723005</v>
      </c>
      <c r="AS407" s="5">
        <f>AS18+AS19+AS20+AS21+AS55+AS56+AS57+AS72+AS73+AS74+AS75+AS76+AS77+AS78+AS79+AS80+AS81+AS82+AS83+AS84+AS85+AS86+AS90+AS91+AS92+AS93+AS94+AS95+AS96+AS97+AS98+AS102+AS103+AS104+AS105+AS106+AS107+AS108+AS109+AS110+AS111+AS112+AS113+AS114+AS148+AS149+AS159+AS169+AS171+AS172+AS173+AS174+AS175+AS176++AS177+AS178+AS179+AS180+AS181+AS182+AS183+AS184+AS185+AS213+AS214+AS223+AS224+AS225+AS227+AS229+AS230+AS231+AS232+AS233+AS235+AS236+AS237+AS238+AS239+AS240+AS241+AS242+AS243+AS244+AS281+AS282+AS283+AS301+AS304+AS305+AS306+AS307+AS308+AS309+AS310+AS313+AS314+AS353+AS354+AS355+AS356+AS357</f>
        <v>4213947.8406477896</v>
      </c>
      <c r="AT407" s="5">
        <f>AT18+AT19+AT20+AT21+AT55+AT56+AT57+AT72+AT73+AT74+AT75+AT76+AT77+AT78+AT79+AT80+AT81+AT82+AT83+AT84+AT85+AT86+AT90+AT91+AT92+AT93+AT94+AT95+AT96+AT97+AT98+AT102+AT103+AT104+AT105+AT106+AT107+AT108+AT109+AT110+AT111+AT112+AT113+AT114+AT148+AT149+AT159+AT169+AT171+AT172+AT173+AT174+AT175+AT176++AT177+AT178+AT179+AT180+AT181+AT182+AT183+AT184+AT185+AT213+AT214+AT223+AT224+AT225+AT227+AT229+AT230+AT231+AT232+AT233+AT235+AT236+AT237+AT238+AT239+AT240+AT241+AT242+AT243+AT244+AT281+AT282+AT283+AT301+AT304+AT305+AT306+AT307+AT308+AT309+AT310+AT313+AT314+AT353+AT354+AT355+AT356+AT357</f>
        <v>4847175.6277279928</v>
      </c>
      <c r="AU407" s="5">
        <f>AT407-AS407</f>
        <v>633227.78708020318</v>
      </c>
      <c r="AV407" s="5">
        <f>AV18+AV19+AV20+AV21+AV55+AV56+AV57+AV72+AV73+AV74+AV75+AV76+AV77+AV78+AV79+AV80+AV81+AV82+AV83+AV84+AV85+AV86+AV90+AV91+AV92+AV93+AV94+AV95+AV96+AV97+AV98+AV102+AV103+AV104+AV105+AV106+AV107+AV108+AV109+AV110+AV111+AV112+AV113+AV114+AV148+AV149+AV159+AV169+AV171+AV172+AV173+AV174+AV175+AV176++AV177+AV178+AV179+AV180+AV181+AV182+AV183+AV184+AV185+AV213+AV214+AV223+AV224+AV225+AV227+AV229+AV230+AV231+AV232+AV233+AV235+AV236+AV237+AV238+AV239+AV240+AV241+AV242+AV243+AV244+AV281+AV282+AV283+AV301+AV304+AV305+AV306+AV307+AV308+AV309+AV310+AV313+AV314+AV353+AV354+AV355+AV356+AV357</f>
        <v>207174.5975188415</v>
      </c>
      <c r="AW407" s="5">
        <f>AW18+AW19+AW20+AW21+AW55+AW56+AW57+AW72+AW73+AW74+AW75+AW76+AW77+AW78+AW79+AW80+AW81+AW82+AW83+AW84+AW85+AW86+AW90+AW91+AW92+AW93+AW94+AW95+AW96+AW97+AW98+AW102+AW103+AW104+AW105+AW106+AW107+AW108+AW109+AW110+AW111+AW112+AW113+AW114+AW148+AW149+AW159+AW169+AW171+AW172+AW173+AW174+AW175+AW176++AW177+AW178+AW179+AW180+AW181+AW182+AW183+AW184+AW185+AW213+AW214+AW223+AW224+AW225+AW227+AW229+AW230+AW231+AW232+AW233+AW235+AW236+AW237+AW238+AW239+AW240+AW241+AW242+AW243+AW244+AW281+AW282+AW283+AW301+AW304+AW305+AW306+AW307+AW308+AW309+AW310+AW313+AW314+AW353+AW354+AW355+AW356+AW357</f>
        <v>98716.37</v>
      </c>
      <c r="AX407" s="5">
        <f>AW407-AV407</f>
        <v>-108458.22751884151</v>
      </c>
      <c r="AY407" s="5">
        <f>AY18+AY19+AY20+AY21+AY55+AY56+AY57+AY72+AY73+AY74+AY75+AY76+AY77+AY78+AY79+AY80+AY81+AY82+AY83+AY84+AY85+AY86+AY90+AY91+AY92+AY93+AY94+AY95+AY96+AY97+AY98+AY102+AY103+AY104+AY105+AY106+AY107+AY108+AY109+AY110+AY111+AY112+AY113+AY114+AY148+AY149+AY159+AY169+AY171+AY172+AY173+AY174+AY175+AY176++AY177+AY178+AY179+AY180+AY181+AY182+AY183+AY184+AY185+AY213+AY214+AY223+AY224+AY225+AY227+AY229+AY230+AY231+AY232+AY233+AY235+AY236+AY237+AY238+AY239+AY240+AY241+AY242+AY243+AY244+AY281+AY282+AY283+AY301+AY304+AY305+AY306+AY307+AY308+AY309+AY310+AY313+AY314+AY353+AY354+AY355+AY356+AY357</f>
        <v>256282.49442636099</v>
      </c>
      <c r="AZ407" s="5">
        <f>AZ18+AZ19+AZ20+AZ21+AZ55+AZ56+AZ57+AZ72+AZ73+AZ74+AZ75+AZ76+AZ77+AZ78+AZ79+AZ80+AZ81+AZ82+AZ83+AZ84+AZ85+AZ86+AZ90+AZ91+AZ92+AZ93+AZ94+AZ95+AZ96+AZ97+AZ98+AZ102+AZ103+AZ104+AZ105+AZ106+AZ107+AZ108+AZ109+AZ110+AZ111+AZ112+AZ113+AZ114+AZ148+AZ149+AZ159+AZ169+AZ171+AZ172+AZ173+AZ174+AZ175+AZ176++AZ177+AZ178+AZ179+AZ180+AZ181+AZ182+AZ183+AZ184+AZ185+AZ213+AZ214+AZ223+AZ224+AZ225+AZ227+AZ229+AZ230+AZ231+AZ232+AZ233+AZ235+AZ236+AZ237+AZ238+AZ239+AZ240+AZ241+AZ242+AZ243+AZ244+AZ281+AZ282+AZ283+AZ301+AZ304+AZ305+AZ306+AZ307+AZ308+AZ309+AZ310+AZ313+AZ314+AZ353+AZ354+AZ355+AZ356+AZ357</f>
        <v>313643.89999999997</v>
      </c>
      <c r="BA407" s="5">
        <f>AZ407-AY407</f>
        <v>57361.405573638971</v>
      </c>
      <c r="BB407" s="5">
        <f>BB18+BB19+BB20+BB21+BB55+BB56+BB57+BB72+BB73+BB74+BB75+BB76+BB77+BB78+BB79+BB80+BB81+BB82+BB83+BB84+BB85+BB86+BB90+BB91+BB92+BB93+BB94+BB95+BB96+BB97+BB98+BB102+BB103+BB104+BB105+BB106+BB107+BB108+BB109+BB110+BB111+BB112+BB113+BB114+BB148+BB149+BB159+BB169+BB171+BB172+BB173+BB174+BB175+BB176++BB177+BB178+BB179+BB180+BB181+BB182+BB183+BB184+BB185+BB213+BB214+BB223+BB224+BB225+BB227+BB229+BB230+BB231+BB232+BB233+BB235+BB236+BB237+BB238+BB239+BB240+BB241+BB242+BB243+BB244+BB281+BB282+BB283+BB301+BB304+BB305+BB306+BB307+BB308+BB309+BB310+BB313+BB314+BB353+BB354+BB355+BB356+BB357</f>
        <v>118181.14065924751</v>
      </c>
      <c r="BC407" s="5">
        <f>BC18+BC19+BC20+BC21+BC55+BC56+BC57+BC72+BC73+BC74+BC75+BC76+BC77+BC78+BC79+BC80+BC81+BC82+BC83+BC84+BC85+BC86+BC90+BC91+BC92+BC93+BC94+BC95+BC96+BC97+BC98+BC102+BC103+BC104+BC105+BC106+BC107+BC108+BC109+BC110+BC111+BC112+BC113+BC114+BC148+BC149+BC159+BC169+BC171+BC172+BC173+BC174+BC175+BC176++BC177+BC178+BC179+BC180+BC181+BC182+BC183+BC184+BC185+BC213+BC214+BC223+BC224+BC225+BC227+BC229+BC230+BC231+BC232+BC233+BC235+BC236+BC237+BC238+BC239+BC240+BC241+BC242+BC243+BC244+BC281+BC282+BC283+BC301+BC304+BC305+BC306+BC307+BC308+BC309+BC310+BC313+BC314+BC353+BC354+BC355+BC356+BC357</f>
        <v>82567.77</v>
      </c>
      <c r="BD407" s="5">
        <f>BC407-BB407</f>
        <v>-35613.370659247506</v>
      </c>
      <c r="BE407" s="5">
        <f>BE18+BE19+BE20+BE21+BE55+BE56+BE57+BE72+BE73+BE74+BE75+BE76+BE77+BE78+BE79+BE80+BE81+BE82+BE83+BE84+BE85+BE86+BE90+BE91+BE92+BE93+BE94+BE95+BE96+BE97+BE98+BE102+BE103+BE104+BE105+BE106+BE107+BE108+BE109+BE110+BE111+BE112+BE113+BE114+BE148+BE149+BE159+BE169+BE171+BE172+BE173+BE174+BE175+BE176++BE177+BE178+BE179+BE180+BE181+BE182+BE183+BE184+BE185+BE213+BE214+BE223+BE224+BE225+BE227+BE229+BE230+BE231+BE232+BE233+BE235+BE236+BE237+BE238+BE239+BE240+BE241+BE242+BE243+BE244+BE281+BE282+BE283+BE301+BE304+BE305+BE306+BE307+BE308+BE309+BE310+BE313+BE314+BE353+BE354+BE355+BE356+BE357</f>
        <v>186677.37893112793</v>
      </c>
      <c r="BF407" s="5">
        <f>BF18+BF19+BF20+BF21+BF55+BF56+BF57+BF72+BF73+BF74+BF75+BF76+BF77+BF78+BF79+BF80+BF81+BF82+BF83+BF84+BF85+BF86+BF90+BF91+BF92+BF93+BF94+BF95+BF96+BF97+BF98+BF102+BF103+BF104+BF105+BF106+BF107+BF108+BF109+BF110+BF111+BF112+BF113+BF114+BF148+BF149+BF159+BF169+BF171+BF172+BF173+BF174+BF175+BF176++BF177+BF178+BF179+BF180+BF181+BF182+BF183+BF184+BF185+BF213+BF214+BF223+BF224+BF225+BF227+BF229+BF230+BF231+BF232+BF233+BF235+BF236+BF237+BF238+BF239+BF240+BF241+BF242+BF243+BF244+BF281+BF282+BF283+BF301+BF304+BF305+BF306+BF307+BF308+BF309+BF310+BF313+BF314+BF353+BF354+BF355+BF356+BF357</f>
        <v>181169.03</v>
      </c>
      <c r="BG407" s="5">
        <f>BF407-BE407</f>
        <v>-5508.3489311279263</v>
      </c>
      <c r="BH407" s="5">
        <f>BH18+BH19+BH20+BH21+BH55+BH56+BH57+BH72+BH73+BH74+BH75+BH76+BH77+BH78+BH79+BH80+BH81+BH82+BH83+BH84+BH85+BH86+BH90+BH91+BH92+BH93+BH94+BH95+BH96+BH97+BH98+BH102+BH103+BH104+BH105+BH106+BH107+BH108+BH109+BH110+BH111+BH112+BH113+BH114+BH148+BH149+BH159+BH169+BH171+BH172+BH173+BH174+BH175+BH176++BH177+BH178+BH179+BH180+BH181+BH182+BH183+BH184+BH185+BH213+BH214+BH223+BH224+BH225+BH227+BH229+BH230+BH231+BH232+BH233+BH235+BH236+BH237+BH238+BH239+BH240+BH241+BH242+BH243+BH244+BH281+BH282+BH283+BH301+BH304+BH305+BH306+BH307+BH308+BH309+BH310+BH313+BH314+BH353+BH354+BH355+BH356+BH357</f>
        <v>136905.24066848887</v>
      </c>
      <c r="BI407" s="5">
        <f>BI18+BI19+BI20+BI21+BI55+BI56+BI57+BI72+BI73+BI74+BI75+BI76+BI77+BI78+BI79+BI80+BI81+BI82+BI83+BI84+BI85+BI86+BI90+BI91+BI92+BI93+BI94+BI95+BI96+BI97+BI98+BI102+BI103+BI104+BI105+BI106+BI107+BI108+BI109+BI110+BI111+BI112+BI113+BI114+BI148+BI149+BI159+BI169+BI171+BI172+BI173+BI174+BI175+BI176++BI177+BI178+BI179+BI180+BI181+BI182+BI183+BI184+BI185+BI213+BI214+BI223+BI224+BI225+BI227+BI229+BI230+BI231+BI232+BI233+BI235+BI236+BI237+BI238+BI239+BI240+BI241+BI242+BI243+BI244+BI281+BI282+BI283+BI301+BI304+BI305+BI306+BI307+BI308+BI309+BI310+BI313+BI314+BI353+BI354+BI355+BI356+BI357</f>
        <v>27619</v>
      </c>
      <c r="BJ407" s="5">
        <f>BI407-BH407</f>
        <v>-109286.24066848887</v>
      </c>
      <c r="BK407" s="5">
        <f>BK18+BK19+BK20+BK21+BK55+BK56+BK57+BK72+BK73+BK74+BK75+BK76+BK77+BK78+BK79+BK80+BK81+BK82+BK83+BK84+BK85+BK86+BK90+BK91+BK92+BK93+BK94+BK95+BK96+BK97+BK98+BK102+BK103+BK104+BK105+BK106+BK107+BK108+BK109+BK110+BK111+BK112+BK113+BK114+BK148+BK149+BK159+BK169+BK171+BK172+BK173+BK174+BK175+BK176++BK177+BK178+BK179+BK180+BK181+BK182+BK183+BK184+BK185+BK213+BK214+BK223+BK224+BK225+BK227+BK229+BK230+BK231+BK232+BK233+BK235+BK236+BK237+BK238+BK239+BK240+BK241+BK242+BK243+BK244+BK281+BK282+BK283+BK301+BK304+BK305+BK306+BK307+BK308+BK309+BK310+BK313+BK314+BK353+BK354+BK355+BK356+BK357</f>
        <v>175363.0928942741</v>
      </c>
      <c r="BL407" s="5">
        <f>BL18+BL19+BL20+BL21+BL55+BL56+BL57+BL72+BL73+BL74+BL75+BL76+BL77+BL78+BL79+BL80+BL81+BL82+BL83+BL84+BL85+BL86+BL90+BL91+BL92+BL93+BL94+BL95+BL96+BL97+BL98+BL102+BL103+BL104+BL105+BL106+BL107+BL108+BL109+BL110+BL111+BL112+BL113+BL114+BL148+BL149+BL159+BL169+BL171+BL172+BL173+BL174+BL175+BL176++BL177+BL178+BL179+BL180+BL181+BL182+BL183+BL184+BL185+BL213+BL214+BL223+BL224+BL225+BL227+BL229+BL230+BL231+BL232+BL233+BL235+BL236+BL237+BL238+BL239+BL240+BL241+BL242+BL243+BL244+BL281+BL282+BL283+BL301+BL304+BL305+BL306+BL307+BL308+BL309+BL310+BL313+BL314+BL353+BL354+BL355+BL356+BL357</f>
        <v>41632</v>
      </c>
      <c r="BM407" s="5">
        <f>BL407-BK407</f>
        <v>-133731.0928942741</v>
      </c>
      <c r="BN407" s="5">
        <f>BN18+BN19+BN20+BN21+BN55+BN56+BN57+BN72+BN73+BN74+BN75+BN76+BN77+BN78+BN79+BN80+BN81+BN82+BN83+BN84+BN85+BN86+BN90+BN91+BN92+BN93+BN94+BN95+BN96+BN97+BN98+BN102+BN103+BN104+BN105+BN106+BN107+BN108+BN109+BN110+BN111+BN112+BN113+BN114+BN148+BN149+BN159+BN169+BN171+BN172+BN173+BN174+BN175+BN176++BN177+BN178+BN179+BN180+BN181+BN182+BN183+BN184+BN185+BN213+BN214+BN223+BN224+BN225+BN227+BN229+BN230+BN231+BN232+BN233+BN235+BN236+BN237+BN238+BN239+BN240+BN241+BN242+BN243+BN244+BN281+BN282+BN283+BN301+BN304+BN305+BN306+BN307+BN308+BN309+BN310+BN313+BN314+BN353+BN354+BN355+BN356+BN357</f>
        <v>39241.69118725857</v>
      </c>
      <c r="BO407" s="5">
        <f>BO18+BO19+BO20+BO21+BO55+BO56+BO57+BO72+BO73+BO74+BO75+BO76+BO77+BO78+BO79+BO80+BO81+BO82+BO83+BO84+BO85+BO86+BO90+BO91+BO92+BO93+BO94+BO95+BO96+BO97+BO98+BO102+BO103+BO104+BO105+BO106+BO107+BO108+BO109+BO110+BO111+BO112+BO113+BO114+BO148+BO149+BO159+BO169+BO171+BO172+BO173+BO174+BO175+BO176++BO177+BO178+BO179+BO180+BO181+BO182+BO183+BO184+BO185+BO213+BO214+BO223+BO224+BO225+BO227+BO229+BO230+BO231+BO232+BO233+BO235+BO236+BO237+BO238+BO239+BO240+BO241+BO242+BO243+BO244+BO281+BO282+BO283+BO301+BO304+BO305+BO306+BO307+BO308+BO309+BO310+BO313+BO314+BO353+BO354+BO355+BO356+BO357</f>
        <v>32418.539999999997</v>
      </c>
      <c r="BP407" s="5">
        <f>BO407-BN407</f>
        <v>-6823.1511872585725</v>
      </c>
      <c r="BQ407" s="72">
        <f t="shared" ref="BQ407:BR407" si="476">AV407+AY407+BB407+BE407+BH407+BK407+BN407</f>
        <v>1119825.6362855996</v>
      </c>
      <c r="BR407" s="72">
        <f t="shared" si="476"/>
        <v>777766.61</v>
      </c>
      <c r="BS407" s="55">
        <f t="shared" ref="BS407:BS410" si="477">BR407-BQ407</f>
        <v>-342059.02628559957</v>
      </c>
      <c r="BT407" s="5">
        <f>BT18+BT19+BT20+BT21+BT55+BT56+BT57+BT72+BT73+BT74+BT75+BT76+BT77+BT78+BT79+BT80+BT81+BT82+BT83+BT84+BT85+BT86+BT90+BT91+BT92+BT93+BT94+BT95+BT96+BT97+BT98+BT102+BT103+BT104+BT105+BT106+BT107+BT108+BT109+BT110+BT111+BT112+BT113+BT114+BT148+BT149+BT159+BT169+BT171+BT172+BT173+BT174+BT175+BT176++BT177+BT178+BT179+BT180+BT181+BT182+BT183+BT184+BT185+BT213+BT214+BT223+BT224+BT225+BT227+BT229+BT230+BT231+BT232+BT233+BT235+BT236+BT237+BT238+BT239+BT240+BT241+BT242+BT243+BT244+BT281+BT282+BT283+BT301+BT304+BT305+BT306+BT307+BT308+BT309+BT310+BT313+BT314+BT353+BT354+BT355+BT356+BT357</f>
        <v>3769585.6147304941</v>
      </c>
      <c r="BU407" s="5">
        <f>BU18+BU19+BU20+BU21+BU55+BU56+BU57+BU72+BU73+BU74+BU75+BU76+BU77+BU78+BU79+BU80+BU81+BU82+BU83+BU84+BU85+BU86+BU90+BU91+BU92+BU93+BU94+BU95+BU96+BU97+BU98+BU102+BU103+BU104+BU105+BU106+BU107+BU108+BU109+BU110+BU111+BU112+BU113+BU114+BU148+BU149+BU159+BU169+BU171+BU172+BU173+BU174+BU175+BU176++BU177+BU178+BU179+BU180+BU181+BU182+BU183+BU184+BU185+BU213+BU214+BU223+BU224+BU225+BU227+BU229+BU230+BU231+BU232+BU233+BU235+BU236+BU237+BU238+BU239+BU240+BU241+BU242+BU243+BU244+BU281+BU282+BU283+BU301+BU304+BU305+BU306+BU307+BU308+BU309+BU310+BU313+BU314+BU353+BU354+BU355+BU356+BU357</f>
        <v>3883929.5631888718</v>
      </c>
      <c r="BV407" s="5">
        <f>BU407-BT407</f>
        <v>114343.94845837774</v>
      </c>
      <c r="BW407" s="5">
        <f>BW18+BW19+BW20+BW21+BW55+BW56+BW57+BW72+BW73+BW74+BW75+BW76+BW77+BW78+BW79+BW80+BW81+BW82+BW83+BW84+BW85+BW86+BW90+BW91+BW92+BW93+BW94+BW95+BW96+BW97+BW98+BW102+BW103+BW104+BW105+BW106+BW107+BW108+BW109+BW110+BW111+BW112+BW113+BW114+BW148+BW149+BW159+BW169+BW171+BW172+BW173+BW174+BW175+BW176++BW177+BW178+BW179+BW180+BW181+BW182+BW183+BW184+BW185+BW213+BW214+BW223+BW224+BW225+BW227+BW229+BW230+BW231+BW232+BW233+BW235+BW236+BW237+BW238+BW239+BW240+BW241+BW242+BW243+BW244+BW281+BW282+BW283+BW301+BW304+BW305+BW306+BW307+BW308+BW309+BW310+BW313+BW314+BW353+BW354+BW355+BW356+BW357</f>
        <v>2469280.5142335789</v>
      </c>
      <c r="BX407" s="5">
        <f>BX18+BX19+BX20+BX21+BX55+BX56+BX57+BX72+BX73+BX74+BX75+BX76+BX77+BX78+BX79+BX80+BX81+BX82+BX83+BX84+BX85+BX86+BX90+BX91+BX92+BX93+BX94+BX95+BX96+BX97+BX98+BX102+BX103+BX104+BX105+BX106+BX107+BX108+BX109+BX110+BX111+BX112+BX113+BX114+BX148+BX149+BX159+BX169+BX171+BX172+BX173+BX174+BX175+BX176++BX177+BX178+BX179+BX180+BX181+BX182+BX183+BX184+BX185+BX213+BX214+BX223+BX224+BX225+BX227+BX229+BX230+BX231+BX232+BX233+BX235+BX236+BX237+BX238+BX239+BX240+BX241+BX242+BX243+BX244+BX281+BX282+BX283+BX301+BX304+BX305+BX306+BX307+BX308+BX309+BX310+BX313+BX314+BX353+BX354+BX355+BX356+BX357</f>
        <v>2449823.7815553835</v>
      </c>
      <c r="BY407" s="5">
        <f>BX407-BW407</f>
        <v>-19456.732678195462</v>
      </c>
      <c r="BZ407" s="5">
        <f>BZ18+BZ19+BZ20+BZ21+BZ55+BZ56+BZ57+BZ72+BZ73+BZ74+BZ75+BZ76+BZ77+BZ78+BZ79+BZ80+BZ81+BZ82+BZ83+BZ84+BZ85+BZ86+BZ90+BZ91+BZ92+BZ93+BZ94+BZ95+BZ96+BZ97+BZ98+BZ102+BZ103+BZ104+BZ105+BZ106+BZ107+BZ108+BZ109+BZ110+BZ111+BZ112+BZ113+BZ114+BZ148+BZ149+BZ159+BZ169+BZ171+BZ172+BZ173+BZ174+BZ175+BZ176++BZ177+BZ178+BZ179+BZ180+BZ181+BZ182+BZ183+BZ184+BZ185+BZ213+BZ214+BZ223+BZ224+BZ225+BZ227+BZ229+BZ230+BZ231+BZ232+BZ233+BZ235+BZ236+BZ237+BZ238+BZ239+BZ240+BZ241+BZ242+BZ243+BZ244+BZ281+BZ282+BZ283+BZ301+BZ304+BZ305+BZ306+BZ307+BZ308+BZ309+BZ310+BZ313+BZ314+BZ353+BZ354+BZ355+BZ356+BZ357</f>
        <v>816671.87122909375</v>
      </c>
      <c r="CA407" s="5">
        <f>CA18+CA19+CA20+CA21+CA55+CA56+CA57+CA72+CA73+CA74+CA75+CA76+CA77+CA78+CA79+CA80+CA81+CA82+CA83+CA84+CA85+CA86+CA90+CA91+CA92+CA93+CA94+CA95+CA96+CA97+CA98+CA102+CA103+CA104+CA105+CA106+CA107+CA108+CA109+CA110+CA111+CA112+CA113+CA114+CA148+CA149+CA159+CA169+CA171+CA172+CA173+CA174+CA175+CA176++CA177+CA178+CA179+CA180+CA181+CA182+CA183+CA184+CA185+CA213+CA214+CA223+CA224+CA225+CA227+CA229+CA230+CA231+CA232+CA233+CA235+CA236+CA237+CA238+CA239+CA240+CA241+CA242+CA243+CA244+CA281+CA282+CA283+CA301+CA304+CA305+CA306+CA307+CA308+CA309+CA310+CA313+CA314+CA353+CA354+CA355+CA356+CA357</f>
        <v>891993.04230341804</v>
      </c>
      <c r="CB407" s="5">
        <f>CA407-BZ407</f>
        <v>75321.171074324287</v>
      </c>
      <c r="CC407" s="5">
        <f>CC18+CC19+CC20+CC21+CC55+CC56+CC57+CC72+CC73+CC74+CC75+CC76+CC77+CC78+CC79+CC80+CC81+CC82+CC83+CC84+CC85+CC86+CC90+CC91+CC92+CC93+CC94+CC95+CC96+CC97+CC98+CC102+CC103+CC104+CC105+CC106+CC107+CC108+CC109+CC110+CC111+CC112+CC113+CC114+CC148+CC149+CC159+CC169+CC171+CC172+CC173+CC174+CC175+CC176++CC177+CC178+CC179+CC180+CC181+CC182+CC183+CC184+CC185+CC213+CC214+CC223+CC224+CC225+CC227+CC229+CC230+CC231+CC232+CC233+CC235+CC236+CC237+CC238+CC239+CC240+CC241+CC242+CC243+CC244+CC281+CC282+CC283+CC301+CC304+CC305+CC306+CC307+CC308+CC309+CC310+CC313+CC314+CC353+CC354+CC355+CC356+CC357</f>
        <v>88764.04996731237</v>
      </c>
      <c r="CD407" s="5">
        <f>CD18+CD19+CD20+CD21+CD55+CD56+CD57+CD72+CD73+CD74+CD75+CD76+CD77+CD78+CD79+CD80+CD81+CD82+CD83+CD84+CD85+CD86+CD90+CD91+CD92+CD93+CD94+CD95+CD96+CD97+CD98+CD102+CD103+CD104+CD105+CD106+CD107+CD108+CD109+CD110+CD111+CD112+CD113+CD114+CD148+CD149+CD159+CD169+CD171+CD172+CD173+CD174+CD175+CD176++CD177+CD178+CD179+CD180+CD181+CD182+CD183+CD184+CD185+CD213+CD214+CD223+CD224+CD225+CD227+CD229+CD230+CD231+CD232+CD233+CD235+CD236+CD237+CD238+CD239+CD240+CD241+CD242+CD243+CD244+CD281+CD282+CD283+CD301+CD304+CD305+CD306+CD307+CD308+CD309+CD310+CD313+CD314+CD353+CD354+CD355+CD356+CD357</f>
        <v>96374.270736811275</v>
      </c>
      <c r="CE407" s="5">
        <f>CD407-CC407</f>
        <v>7610.2207694989047</v>
      </c>
      <c r="CF407" s="5">
        <f>CF18+CF19+CF20+CF21+CF55+CF56+CF57+CF72+CF73+CF74+CF75+CF76+CF77+CF78+CF79+CF80+CF81+CF82+CF83+CF84+CF85+CF86+CF90+CF91+CF92+CF93+CF94+CF95+CF96+CF97+CF98+CF102+CF103+CF104+CF105+CF106+CF107+CF108+CF109+CF110+CF111+CF112+CF113+CF114+CF148+CF149+CF159+CF169+CF171+CF172+CF173+CF174+CF175+CF176++CF177+CF178+CF179+CF180+CF181+CF182+CF183+CF184+CF185+CF213+CF214+CF223+CF224+CF225+CF227+CF229+CF230+CF231+CF232+CF233+CF235+CF236+CF237+CF238+CF239+CF240+CF241+CF242+CF243+CF244+CF281+CF282+CF283+CF301+CF304+CF305+CF306+CF307+CF308+CF309+CF310+CF313+CF314+CF353+CF354+CF355+CF356+CF357</f>
        <v>10719.45290113279</v>
      </c>
      <c r="CG407" s="5">
        <f>CG18+CG19+CG20+CG21+CG55+CG56+CG57+CG72+CG73+CG74+CG75+CG76+CG77+CG78+CG79+CG80+CG81+CG82+CG83+CG84+CG85+CG86+CG90+CG91+CG92+CG93+CG94+CG95+CG96+CG97+CG98+CG102+CG103+CG104+CG105+CG106+CG107+CG108+CG109+CG110+CG111+CG112+CG113+CG114+CG148+CG149+CG159+CG169+CG171+CG172+CG173+CG174+CG175+CG176++CG177+CG178+CG179+CG180+CG181+CG182+CG183+CG184+CG185+CG213+CG214+CG223+CG224+CG225+CG227+CG229+CG230+CG231+CG232+CG233+CG235+CG236+CG237+CG238+CG239+CG240+CG241+CG242+CG243+CG244+CG281+CG282+CG283+CG301+CG304+CG305+CG306+CG307+CG308+CG309+CG310+CG313+CG314+CG353+CG354+CG355+CG356+CG357</f>
        <v>4565.7588675763673</v>
      </c>
      <c r="CH407" s="5">
        <f>CG407-CF407</f>
        <v>-6153.6940335564232</v>
      </c>
      <c r="CI407" s="5">
        <f>CI18+CI19+CI20+CI21+CI55+CI56+CI57+CI72+CI73+CI74+CI75+CI76+CI77+CI78+CI79+CI80+CI81+CI82+CI83+CI84+CI85+CI86+CI90+CI91+CI92+CI93+CI94+CI95+CI96+CI97+CI98+CI102+CI103+CI104+CI105+CI106+CI107+CI108+CI109+CI110+CI111+CI112+CI113+CI114+CI148+CI149+CI159+CI169+CI171+CI172+CI173+CI174+CI175+CI176++CI177+CI178+CI179+CI180+CI181+CI182+CI183+CI184+CI185+CI213+CI214+CI223+CI224+CI225+CI227+CI229+CI230+CI231+CI232+CI233+CI235+CI236+CI237+CI238+CI239+CI240+CI241+CI242+CI243+CI244+CI281+CI282+CI283+CI301+CI304+CI305+CI306+CI307+CI308+CI309+CI310+CI313+CI314+CI353+CI354+CI355+CI356+CI357</f>
        <v>868487.10785170086</v>
      </c>
      <c r="CJ407" s="5">
        <f>CJ18+CJ19+CJ20+CJ21+CJ55+CJ56+CJ57+CJ72+CJ73+CJ74+CJ75+CJ76+CJ77+CJ78+CJ79+CJ80+CJ81+CJ82+CJ83+CJ84+CJ85+CJ86+CJ90+CJ91+CJ92+CJ93+CJ94+CJ95+CJ96+CJ97+CJ98+CJ102+CJ103+CJ104+CJ105+CJ106+CJ107+CJ108+CJ109+CJ110+CJ111+CJ112+CJ113+CJ114+CJ148+CJ149+CJ159+CJ169+CJ171+CJ172+CJ173+CJ174+CJ175+CJ176++CJ177+CJ178+CJ179+CJ180+CJ181+CJ182+CJ183+CJ184+CJ185+CJ213+CJ214+CJ223+CJ224+CJ225+CJ227+CJ229+CJ230+CJ231+CJ232+CJ233+CJ235+CJ236+CJ237+CJ238+CJ239+CJ240+CJ241+CJ242+CJ243+CJ244+CJ281+CJ282+CJ283+CJ301+CJ304+CJ305+CJ306+CJ307+CJ308+CJ309+CJ310+CJ313+CJ314+CJ353+CJ354+CJ355+CJ356+CJ357</f>
        <v>703868.52382492903</v>
      </c>
      <c r="CK407" s="5">
        <f>CJ407-CI407</f>
        <v>-164618.58402677183</v>
      </c>
      <c r="CL407" s="5">
        <f>CL18+CL19+CL20+CL21+CL55+CL56+CL57+CL72+CL73+CL74+CL75+CL76+CL77+CL78+CL79+CL80+CL81+CL82+CL83+CL84+CL85+CL86+CL90+CL91+CL92+CL93+CL94+CL95+CL96+CL97+CL98+CL102+CL103+CL104+CL105+CL106+CL107+CL108+CL109+CL110+CL111+CL112+CL113+CL114+CL148+CL149+CL159+CL169+CL171+CL172+CL173+CL174+CL175+CL176++CL177+CL178+CL179+CL180+CL181+CL182+CL183+CL184+CL185+CL213+CL214+CL223+CL224+CL225+CL227+CL229+CL230+CL231+CL232+CL233+CL235+CL236+CL237+CL238+CL239+CL240+CL241+CL242+CL243+CL244+CL281+CL282+CL283+CL301+CL304+CL305+CL306+CL307+CL308+CL309+CL310+CL313+CL314+CL353+CL354+CL355+CL356+CL357</f>
        <v>675890.19462678931</v>
      </c>
      <c r="CM407" s="5">
        <f>CM18+CM19+CM20+CM21+CM55+CM56+CM57+CM72+CM73+CM74+CM75+CM76+CM77+CM78+CM79+CM80+CM81+CM82+CM83+CM84+CM85+CM86+CM90+CM91+CM92+CM93+CM94+CM95+CM96+CM97+CM98+CM102+CM103+CM104+CM105+CM106+CM107+CM108+CM109+CM110+CM111+CM112+CM113+CM114+CM148+CM149+CM159+CM169+CM171+CM172+CM173+CM174+CM175+CM176++CM177+CM178+CM179+CM180+CM181+CM182+CM183+CM184+CM185+CM213+CM214+CM223+CM224+CM225+CM227+CM229+CM230+CM231+CM232+CM233+CM235+CM236+CM237+CM238+CM239+CM240+CM241+CM242+CM243+CM244+CM281+CM282+CM283+CM301+CM304+CM305+CM306+CM307+CM308+CM309+CM310+CM313+CM314+CM353+CM354+CM355+CM356+CM357</f>
        <v>619448.46120558959</v>
      </c>
      <c r="CN407" s="5">
        <f>CM407-CL407</f>
        <v>-56441.733421199722</v>
      </c>
      <c r="CO407" s="39">
        <f t="shared" ref="CO407" si="478">CI407+CL407</f>
        <v>1544377.3024784902</v>
      </c>
      <c r="CP407" s="40">
        <f t="shared" ref="CP407" si="479">CJ407+CM407</f>
        <v>1323316.9850305186</v>
      </c>
      <c r="CQ407" s="52">
        <f t="shared" ref="CQ407:CQ410" si="480">CP407-CO407</f>
        <v>-221060.31744797155</v>
      </c>
      <c r="CR407" s="72">
        <f t="shared" ref="CR407" si="481">AG407+AJ407+AM407+AP407+AS407+BQ407+BT407+BW407+BZ407+CC407+CF407+CO407</f>
        <v>20697720.688554272</v>
      </c>
      <c r="CS407" s="5">
        <f t="shared" ref="CS407" si="482">AH407+AK407+AN407+AQ407+AT407+BR407+BU407+BX407+CA407+CD407+CG407+CP407</f>
        <v>20657311.149344929</v>
      </c>
      <c r="CT407" s="52">
        <f t="shared" ref="CT407:CT410" si="483">CS407-CR407</f>
        <v>-40409.539209343493</v>
      </c>
      <c r="CU407" s="72">
        <f t="shared" ref="CU407" si="484">CR407*1.2</f>
        <v>24837264.826265126</v>
      </c>
      <c r="CV407" s="40">
        <f t="shared" ref="CV407" si="485">CS407*1.2</f>
        <v>24788773.379213914</v>
      </c>
      <c r="CW407" s="35">
        <f t="shared" ref="CW407:CW410" si="486">CV407-CU407</f>
        <v>-48491.447051212192</v>
      </c>
      <c r="CX407" s="5">
        <f>CX18+CX19+CX20+CX21+CX55+CX56+CX57+CX72+CX73+CX74+CX75+CX76+CX77+CX78+CX79+CX80+CX81+CX82+CX83+CX84+CX85+CX86+CX90+CX91+CX92+CX93+CX94+CX95+CX96+CX97+CX98+CX102+CX103+CX104+CX105+CX106+CX107+CX108+CX109+CX110+CX111+CX112+CX113+CX114+CX148+CX149+CX159+CX169+CX171+CX172+CX173+CX174+CX175+CX176++CX177+CX178+CX179+CX180+CX181+CX182+CX183+CX184+CX185+CX213+CX214+CX223+CX224+CX225+CX227+CX229+CX230+CX231+CX232+CX233+CX235+CX236+CX237+CX238+CX239+CX240+CX241+CX242+CX243+CX244+CX281+CX282+CX283+CX301+CX304+CX305+CX306+CX307+CX308+CX309+CX310+CX313+CX314+CX353+CX354+CX355+CX356+CX357</f>
        <v>788020.38615762256</v>
      </c>
      <c r="CY407" s="5">
        <f>CY18+CY19+CY20+CY21+CY55+CY56+CY57+CY72+CY73+CY74+CY75+CY76+CY77+CY78+CY79+CY80+CY81+CY82+CY83+CY84+CY85+CY86+CY90+CY91+CY92+CY93+CY94+CY95+CY96+CY97+CY98+CY102+CY103+CY104+CY105+CY106+CY107+CY108+CY109+CY110+CY111+CY112+CY113+CY114+CY148+CY149+CY159+CY169+CY171+CY172+CY173+CY174+CY175+CY176++CY177+CY178+CY179+CY180+CY181+CY182+CY183+CY184+CY185+CY213+CY214+CY223+CY224+CY225+CY227+CY229+CY230+CY231+CY232+CY233+CY235+CY236+CY237+CY238+CY239+CY240+CY241+CY242+CY243+CY244+CY281+CY282+CY283+CY301+CY304+CY305+CY306+CY307+CY308+CY309+CY310+CY313+CY314+CY353+CY354+CY355+CY356+CY357</f>
        <v>836511.74075404147</v>
      </c>
      <c r="CZ407" s="5">
        <f t="shared" ref="CZ407" si="487">CY407-CX407</f>
        <v>48491.354596418911</v>
      </c>
      <c r="DA407" s="5">
        <f>DA18+DA19+DA20+DA21+DA55+DA56+DA57+DA72+DA73+DA74+DA75+DA76+DA77+DA78+DA79+DA80+DA81+DA82+DA83+DA84+DA85+DA86+DA90+DA91+DA92+DA93+DA94+DA95+DA96+DA97+DA98+DA102+DA103+DA104+DA105+DA106+DA107+DA108+DA109+DA110+DA111+DA112+DA113+DA114+DA148+DA149+DA159+DA169+DA171+DA172+DA173+DA174+DA175+DA176++DA177+DA178+DA179+DA180+DA181+DA182+DA183+DA184+DA185+DA213+DA214+DA223+DA224+DA225+DA227+DA229+DA230+DA231+DA232+DA233+DA235+DA236+DA237+DA238+DA239+DA240+DA241+DA242+DA243+DA244+DA281+DA282+DA283+DA301+DA304+DA305+DA306+DA307+DA308+DA309+DA310+DA313+DA314+DA353+DA354+DA355+DA356+DA357</f>
        <v>566300.1099720879</v>
      </c>
      <c r="DC407" s="5">
        <f t="shared" ref="DC407:DH407" si="488">DC18+DC19+DC20+DC21+DC55+DC56+DC57+DC72+DC73+DC74+DC75+DC76+DC77+DC78+DC79+DC80+DC81+DC82+DC83+DC84+DC85+DC86+DC90+DC91+DC92+DC93+DC94+DC95+DC96+DC97+DC98+DC102+DC103+DC104+DC105+DC106+DC107+DC108+DC109+DC110+DC111+DC112+DC113+DC114+DC148+DC149+DC159+DC169+DC171+DC172+DC173+DC174+DC175+DC176++DC177+DC178+DC179+DC180+DC181+DC182+DC183+DC184+DC185+DC213+DC214+DC223+DC224+DC225+DC227+DC229+DC230+DC231+DC232+DC233+DC235+DC236+DC237+DC238+DC239+DC240+DC241+DC242+DC243+DC244+DC281+DC282+DC283+DC301+DC304+DC305+DC306+DC307+DC308+DC309+DC310+DC313+DC314+DC353+DC354+DC355+DC356+DC357</f>
        <v>4179328.3100000005</v>
      </c>
      <c r="DD407" s="5">
        <f t="shared" si="488"/>
        <v>58965.63</v>
      </c>
      <c r="DE407" s="5">
        <f t="shared" si="488"/>
        <v>1887564.2635977983</v>
      </c>
      <c r="DF407" s="5">
        <f t="shared" si="488"/>
        <v>30774.478794875078</v>
      </c>
      <c r="DG407" s="5">
        <f t="shared" si="488"/>
        <v>798674.18708457728</v>
      </c>
      <c r="DH407" s="5">
        <f t="shared" si="488"/>
        <v>26520136.910533275</v>
      </c>
      <c r="DI407" s="7"/>
      <c r="DJ407" s="298"/>
      <c r="DK407" s="298"/>
      <c r="DM407" s="93"/>
      <c r="DN407" s="93"/>
      <c r="DR407" s="314"/>
      <c r="DT407" s="5"/>
      <c r="DU407" s="5"/>
      <c r="DX407" s="7">
        <f>'зведена таблиця'!C22+'зведена таблиця'!C23</f>
        <v>15247300.10264466</v>
      </c>
      <c r="DY407" s="7">
        <f>'зведена таблиця'!D22+'зведена таблиця'!D23</f>
        <v>13568715.933233572</v>
      </c>
    </row>
    <row r="408" spans="1:130" s="2" customFormat="1" ht="13.8" x14ac:dyDescent="0.3">
      <c r="A408" s="276"/>
      <c r="C408" s="26" t="s">
        <v>987</v>
      </c>
      <c r="D408" s="26"/>
      <c r="E408" s="5">
        <f t="shared" ref="E408:AJ408" si="489">E10+E11+E22+E24+E25+E37+E38+E39+E40+E41+E42+E43+E44+E45+E46+E52+E58+E59+E60+E61+E62+E63+E64+E65+E66+E67+E68+E69+E70+E71+E115+E116+E117+E118+E119+E120+E121+E122+E123+E124+E125+E126+E127+E128+E129+E130+E131+E132+E133+E134+E158+E160+E161+E162+E163+E164+E165+E166+E167+E168+E170+E186+E187+E188+E196+E204+E212+E216+E217+E218+E219+E220+E221+E222+E226+E228+E234+E245+E246+E247+E248+E249+E250+E251+E252+E253+E254+E255+E256+E257+E258+E259+E260+E261+E262+E263+E264+E265+E266+E267+E268+E269+E284+E285+E286+E287+E288+E289+E290+E291+E292+E293+E294+E295+E296+E297+E298+E299+E300+E311+E312+E315+E318+E320+E321+E322+E323+E325+E327+E328+E329+E330+E331+E332+E333+E335+E336+E337+E338+E345+E346+E347+E348+E349+E350+E351+E352+E358+E359+E360+E361+E362+E363+E364+E365+E396+E397+E398+E399+E400+E401+E402+E403+E215</f>
        <v>357366.10000000009</v>
      </c>
      <c r="F408" s="5">
        <f t="shared" si="489"/>
        <v>322133.12</v>
      </c>
      <c r="G408" s="5">
        <f t="shared" si="489"/>
        <v>7320.62</v>
      </c>
      <c r="H408" s="5">
        <f t="shared" si="489"/>
        <v>35232.979999999996</v>
      </c>
      <c r="I408" s="5">
        <f t="shared" si="489"/>
        <v>1099169.5441246238</v>
      </c>
      <c r="J408" s="5">
        <f t="shared" si="489"/>
        <v>1212549.9469851234</v>
      </c>
      <c r="K408" s="5">
        <f t="shared" si="489"/>
        <v>113380.40286049902</v>
      </c>
      <c r="L408" s="5">
        <f t="shared" si="489"/>
        <v>217963.74391059339</v>
      </c>
      <c r="M408" s="5">
        <f t="shared" si="489"/>
        <v>240290.86532076445</v>
      </c>
      <c r="N408" s="5">
        <f t="shared" si="489"/>
        <v>22327.121410170897</v>
      </c>
      <c r="O408" s="5">
        <f t="shared" si="489"/>
        <v>434080.2197095743</v>
      </c>
      <c r="P408" s="5">
        <f t="shared" si="489"/>
        <v>433957.49999999983</v>
      </c>
      <c r="Q408" s="5">
        <f t="shared" si="489"/>
        <v>-122.71970957428982</v>
      </c>
      <c r="R408" s="5">
        <f t="shared" si="489"/>
        <v>31375.747835682265</v>
      </c>
      <c r="S408" s="5">
        <f t="shared" si="489"/>
        <v>31374.575000000001</v>
      </c>
      <c r="T408" s="5">
        <f t="shared" si="489"/>
        <v>-1.1728356822657702</v>
      </c>
      <c r="U408" s="5">
        <f t="shared" si="489"/>
        <v>13520.929937080142</v>
      </c>
      <c r="V408" s="5">
        <f t="shared" si="489"/>
        <v>45442.757989335449</v>
      </c>
      <c r="W408" s="5">
        <f t="shared" si="489"/>
        <v>31921.828052255307</v>
      </c>
      <c r="X408" s="5">
        <f t="shared" si="489"/>
        <v>658980.44430860644</v>
      </c>
      <c r="Y408" s="5">
        <f t="shared" si="489"/>
        <v>565266.97521699429</v>
      </c>
      <c r="Z408" s="5">
        <f t="shared" si="489"/>
        <v>-93713.469091611885</v>
      </c>
      <c r="AA408" s="5">
        <f t="shared" si="489"/>
        <v>70002.960000000021</v>
      </c>
      <c r="AB408" s="5">
        <f t="shared" si="489"/>
        <v>17204.757012000206</v>
      </c>
      <c r="AC408" s="5">
        <f t="shared" si="489"/>
        <v>-52798.202987999794</v>
      </c>
      <c r="AD408" s="5">
        <f t="shared" si="489"/>
        <v>1514930.0631528124</v>
      </c>
      <c r="AE408" s="5">
        <f t="shared" si="489"/>
        <v>1621354.3674717371</v>
      </c>
      <c r="AF408" s="5">
        <f t="shared" si="489"/>
        <v>106424.30431892512</v>
      </c>
      <c r="AG408" s="5">
        <f t="shared" si="489"/>
        <v>4040023.6529789735</v>
      </c>
      <c r="AH408" s="5">
        <f t="shared" si="489"/>
        <v>4167441.7449959563</v>
      </c>
      <c r="AI408" s="5">
        <f t="shared" si="489"/>
        <v>127418.09201698218</v>
      </c>
      <c r="AJ408" s="5">
        <f t="shared" si="489"/>
        <v>720740.29727981437</v>
      </c>
      <c r="AK408" s="5">
        <f t="shared" ref="AK408:BP408" si="490">AK10+AK11+AK22+AK24+AK25+AK37+AK38+AK39+AK40+AK41+AK42+AK43+AK44+AK45+AK46+AK52+AK58+AK59+AK60+AK61+AK62+AK63+AK64+AK65+AK66+AK67+AK68+AK69+AK70+AK71+AK115+AK116+AK117+AK118+AK119+AK120+AK121+AK122+AK123+AK124+AK125+AK126+AK127+AK128+AK129+AK130+AK131+AK132+AK133+AK134+AK158+AK160+AK161+AK162+AK163+AK164+AK165+AK166+AK167+AK168+AK170+AK186+AK187+AK188+AK196+AK204+AK212+AK216+AK217+AK218+AK219+AK220+AK221+AK222+AK226+AK228+AK234+AK245+AK246+AK247+AK248+AK249+AK250+AK251+AK252+AK253+AK254+AK255+AK256+AK257+AK258+AK259+AK260+AK261+AK262+AK263+AK264+AK265+AK266+AK267+AK268+AK269+AK284+AK285+AK286+AK287+AK288+AK289+AK290+AK291+AK292+AK293+AK294+AK295+AK296+AK297+AK298+AK299+AK300+AK311+AK312+AK315+AK318+AK320+AK321+AK322+AK323+AK325+AK327+AK328+AK329+AK330+AK331+AK332+AK333+AK335+AK336+AK337+AK338+AK345+AK346+AK347+AK348+AK349+AK350+AK351+AK352+AK358+AK359+AK360+AK361+AK362+AK363+AK364+AK365+AK396+AK397+AK398+AK399+AK400+AK401+AK402+AK403+AK215</f>
        <v>714308.41765717906</v>
      </c>
      <c r="AL408" s="5">
        <f t="shared" si="490"/>
        <v>-6431.8796226354734</v>
      </c>
      <c r="AM408" s="5">
        <f t="shared" si="490"/>
        <v>20221.581687051144</v>
      </c>
      <c r="AN408" s="5">
        <f t="shared" si="490"/>
        <v>8510.1941137260292</v>
      </c>
      <c r="AO408" s="5">
        <f t="shared" si="490"/>
        <v>-11711.387573325119</v>
      </c>
      <c r="AP408" s="5">
        <f t="shared" si="490"/>
        <v>675130.06087906996</v>
      </c>
      <c r="AQ408" s="5">
        <f t="shared" si="490"/>
        <v>525556.62958936114</v>
      </c>
      <c r="AR408" s="5">
        <f t="shared" si="490"/>
        <v>-149573.431289709</v>
      </c>
      <c r="AS408" s="5">
        <f t="shared" si="490"/>
        <v>3696037.2610306884</v>
      </c>
      <c r="AT408" s="5">
        <f t="shared" si="490"/>
        <v>3788057.8963923575</v>
      </c>
      <c r="AU408" s="5">
        <f t="shared" si="490"/>
        <v>92020.635361666558</v>
      </c>
      <c r="AV408" s="5">
        <f t="shared" si="490"/>
        <v>294200.19934653351</v>
      </c>
      <c r="AW408" s="5">
        <f t="shared" si="490"/>
        <v>133447.67999999999</v>
      </c>
      <c r="AX408" s="5">
        <f t="shared" si="490"/>
        <v>-160752.51934653372</v>
      </c>
      <c r="AY408" s="5">
        <f t="shared" si="490"/>
        <v>391180.30396797706</v>
      </c>
      <c r="AZ408" s="5">
        <f t="shared" si="490"/>
        <v>96305.11</v>
      </c>
      <c r="BA408" s="5">
        <f t="shared" si="490"/>
        <v>-294875.19396797719</v>
      </c>
      <c r="BB408" s="5">
        <f t="shared" si="490"/>
        <v>183189.91208590099</v>
      </c>
      <c r="BC408" s="5">
        <f t="shared" si="490"/>
        <v>101108</v>
      </c>
      <c r="BD408" s="5">
        <f t="shared" si="490"/>
        <v>-82081.912085900854</v>
      </c>
      <c r="BE408" s="5">
        <f t="shared" si="490"/>
        <v>69400.080271982457</v>
      </c>
      <c r="BF408" s="5">
        <f t="shared" si="490"/>
        <v>3796</v>
      </c>
      <c r="BG408" s="5">
        <f t="shared" si="490"/>
        <v>-65604.080271982457</v>
      </c>
      <c r="BH408" s="5">
        <f t="shared" si="490"/>
        <v>26539.829402678297</v>
      </c>
      <c r="BI408" s="5">
        <f t="shared" si="490"/>
        <v>6744</v>
      </c>
      <c r="BJ408" s="5">
        <f t="shared" si="490"/>
        <v>-19795.829402678293</v>
      </c>
      <c r="BK408" s="5">
        <f t="shared" si="490"/>
        <v>199154.86488748333</v>
      </c>
      <c r="BL408" s="5">
        <f t="shared" si="490"/>
        <v>128566</v>
      </c>
      <c r="BM408" s="5">
        <f t="shared" si="490"/>
        <v>-70588.864887483331</v>
      </c>
      <c r="BN408" s="5">
        <f t="shared" si="490"/>
        <v>18915.439215137474</v>
      </c>
      <c r="BO408" s="5">
        <f t="shared" si="490"/>
        <v>13564</v>
      </c>
      <c r="BP408" s="5">
        <f t="shared" si="490"/>
        <v>-5351.4392151374568</v>
      </c>
      <c r="BQ408" s="5">
        <f t="shared" ref="BQ408:DA408" si="491">BQ10+BQ11+BQ22+BQ24+BQ25+BQ37+BQ38+BQ39+BQ40+BQ41+BQ42+BQ43+BQ44+BQ45+BQ46+BQ52+BQ58+BQ59+BQ60+BQ61+BQ62+BQ63+BQ64+BQ65+BQ66+BQ67+BQ68+BQ69+BQ70+BQ71+BQ115+BQ116+BQ117+BQ118+BQ119+BQ120+BQ121+BQ122+BQ123+BQ124+BQ125+BQ126+BQ127+BQ128+BQ129+BQ130+BQ131+BQ132+BQ133+BQ134+BQ158+BQ160+BQ161+BQ162+BQ163+BQ164+BQ165+BQ166+BQ167+BQ168+BQ170+BQ186+BQ187+BQ188+BQ196+BQ204+BQ212+BQ216+BQ217+BQ218+BQ219+BQ220+BQ221+BQ222+BQ226+BQ228+BQ234+BQ245+BQ246+BQ247+BQ248+BQ249+BQ250+BQ251+BQ252+BQ253+BQ254+BQ255+BQ256+BQ257+BQ258+BQ259+BQ260+BQ261+BQ262+BQ263+BQ264+BQ265+BQ266+BQ267+BQ268+BQ269+BQ284+BQ285+BQ286+BQ287+BQ288+BQ289+BQ290+BQ291+BQ292+BQ293+BQ294+BQ295+BQ296+BQ297+BQ298+BQ299+BQ300+BQ311+BQ312+BQ315+BQ318+BQ320+BQ321+BQ322+BQ323+BQ325+BQ327+BQ328+BQ329+BQ330+BQ331+BQ332+BQ333+BQ335+BQ336+BQ337+BQ338+BQ345+BQ346+BQ347+BQ348+BQ349+BQ350+BQ351+BQ352+BQ358+BQ359+BQ360+BQ361+BQ362+BQ363+BQ364+BQ365+BQ396+BQ397+BQ398+BQ399+BQ400+BQ401+BQ402+BQ403+BQ215</f>
        <v>1182580.6291776926</v>
      </c>
      <c r="BR408" s="5">
        <f t="shared" si="491"/>
        <v>483530.79</v>
      </c>
      <c r="BS408" s="5">
        <f t="shared" si="491"/>
        <v>-699049.83917769312</v>
      </c>
      <c r="BT408" s="5">
        <f t="shared" si="491"/>
        <v>3201407.5860889219</v>
      </c>
      <c r="BU408" s="5">
        <f t="shared" si="491"/>
        <v>3745025.2439282052</v>
      </c>
      <c r="BV408" s="5">
        <f t="shared" si="491"/>
        <v>543617.65783928277</v>
      </c>
      <c r="BW408" s="5">
        <f t="shared" si="491"/>
        <v>2014844.6593666365</v>
      </c>
      <c r="BX408" s="5">
        <f t="shared" si="491"/>
        <v>1927397.2159486441</v>
      </c>
      <c r="BY408" s="5">
        <f t="shared" si="491"/>
        <v>-87447.443417992312</v>
      </c>
      <c r="BZ408" s="5">
        <f t="shared" si="491"/>
        <v>1131895.9033973264</v>
      </c>
      <c r="CA408" s="5">
        <f t="shared" si="491"/>
        <v>851678.48551461718</v>
      </c>
      <c r="CB408" s="5">
        <f t="shared" si="491"/>
        <v>-280217.41788270924</v>
      </c>
      <c r="CC408" s="5">
        <f t="shared" si="491"/>
        <v>105413.66138517241</v>
      </c>
      <c r="CD408" s="5">
        <f t="shared" si="491"/>
        <v>115038.74430089904</v>
      </c>
      <c r="CE408" s="5">
        <f t="shared" si="491"/>
        <v>9625.0829157267126</v>
      </c>
      <c r="CF408" s="5">
        <f t="shared" si="491"/>
        <v>12795.424271784235</v>
      </c>
      <c r="CG408" s="5">
        <f t="shared" si="491"/>
        <v>12003.746952393269</v>
      </c>
      <c r="CH408" s="5">
        <f t="shared" si="491"/>
        <v>-791.67731939096302</v>
      </c>
      <c r="CI408" s="5">
        <f t="shared" si="491"/>
        <v>635137.75648490491</v>
      </c>
      <c r="CJ408" s="5">
        <f t="shared" si="491"/>
        <v>559082.96328084567</v>
      </c>
      <c r="CK408" s="5">
        <f t="shared" si="491"/>
        <v>-76054.79320405933</v>
      </c>
      <c r="CL408" s="5">
        <f t="shared" si="491"/>
        <v>189787.03524652062</v>
      </c>
      <c r="CM408" s="5">
        <f t="shared" si="491"/>
        <v>197896.95827890729</v>
      </c>
      <c r="CN408" s="5">
        <f t="shared" si="491"/>
        <v>8109.9230323866423</v>
      </c>
      <c r="CO408" s="5">
        <f t="shared" si="491"/>
        <v>824924.79173142579</v>
      </c>
      <c r="CP408" s="5">
        <f t="shared" si="491"/>
        <v>756979.92155975301</v>
      </c>
      <c r="CQ408" s="5">
        <f t="shared" si="491"/>
        <v>-67944.870171672694</v>
      </c>
      <c r="CR408" s="5">
        <f t="shared" si="491"/>
        <v>17626015.509274557</v>
      </c>
      <c r="CS408" s="5">
        <f t="shared" si="491"/>
        <v>17095529.030953091</v>
      </c>
      <c r="CT408" s="5">
        <f t="shared" si="491"/>
        <v>-530486.47832146927</v>
      </c>
      <c r="CU408" s="5">
        <f t="shared" si="491"/>
        <v>21151218.611129485</v>
      </c>
      <c r="CV408" s="5">
        <f t="shared" si="491"/>
        <v>20514634.837143708</v>
      </c>
      <c r="CW408" s="5">
        <f t="shared" si="491"/>
        <v>-636583.77398576273</v>
      </c>
      <c r="CX408" s="5">
        <f t="shared" si="491"/>
        <v>716068.1291460701</v>
      </c>
      <c r="CY408" s="5">
        <f t="shared" si="491"/>
        <v>1352651.903131834</v>
      </c>
      <c r="CZ408" s="5">
        <f t="shared" si="491"/>
        <v>636583.7739857639</v>
      </c>
      <c r="DA408" s="5">
        <f t="shared" si="491"/>
        <v>2898068.6386561142</v>
      </c>
      <c r="DC408" s="5">
        <f t="shared" ref="DC408:DH408" si="492">DC10+DC11+DC22+DC24+DC25+DC37+DC38+DC39+DC40+DC41+DC42+DC43+DC44+DC45+DC46+DC52+DC58+DC59+DC60+DC61+DC62+DC63+DC64+DC65+DC66+DC67+DC68+DC69+DC70+DC71+DC115+DC116+DC117+DC118+DC119+DC120+DC121+DC122+DC123+DC124+DC125+DC126+DC127+DC128+DC129+DC130+DC131+DC132+DC133+DC134+DC158+DC160+DC161+DC162+DC163+DC164+DC165+DC166+DC167+DC168+DC170+DC186+DC187+DC188+DC196+DC204+DC212+DC216+DC217+DC218+DC219+DC220+DC221+DC222+DC226+DC228+DC234+DC245+DC246+DC247+DC248+DC249+DC250+DC251+DC252+DC253+DC254+DC255+DC256+DC257+DC258+DC259+DC260+DC261+DC262+DC263+DC264+DC265+DC266+DC267+DC268+DC269+DC284+DC285+DC286+DC287+DC288+DC289+DC290+DC291+DC292+DC293+DC294+DC295+DC296+DC297+DC298+DC299+DC300+DC311+DC312+DC315+DC318+DC320+DC321+DC322+DC323+DC325+DC327+DC328+DC329+DC330+DC331+DC332+DC333+DC335+DC336+DC337+DC338+DC345+DC346+DC347+DC348+DC349+DC350+DC351+DC352+DC358+DC359+DC360+DC361+DC362+DC363+DC364+DC365+DC396+DC397+DC398+DC399+DC400+DC401+DC402+DC403+DC215</f>
        <v>4025014.620000001</v>
      </c>
      <c r="DD408" s="5">
        <f t="shared" si="492"/>
        <v>550941.87999999989</v>
      </c>
      <c r="DE408" s="5">
        <f t="shared" si="492"/>
        <v>2202640.0306384587</v>
      </c>
      <c r="DF408" s="5">
        <f t="shared" si="492"/>
        <v>393890.86097429018</v>
      </c>
      <c r="DG408" s="5">
        <f t="shared" si="492"/>
        <v>3848762.9111477439</v>
      </c>
      <c r="DH408" s="5">
        <f t="shared" si="492"/>
        <v>22616164.686262973</v>
      </c>
      <c r="DI408" s="7"/>
      <c r="DJ408" s="298"/>
      <c r="DK408" s="298"/>
      <c r="DM408" s="93"/>
      <c r="DN408" s="93"/>
      <c r="DR408" s="314"/>
      <c r="DT408" s="5"/>
      <c r="DU408" s="5"/>
      <c r="DX408" s="149">
        <f>DX407*1.2</f>
        <v>18296760.123173591</v>
      </c>
      <c r="DY408" s="149">
        <f>DY407*1.2</f>
        <v>16282459.119880285</v>
      </c>
    </row>
    <row r="409" spans="1:130" s="274" customFormat="1" ht="13.8" x14ac:dyDescent="0.3">
      <c r="A409" s="276"/>
      <c r="C409" s="275" t="s">
        <v>988</v>
      </c>
      <c r="D409" s="275"/>
      <c r="E409" s="152">
        <f>E9+E12+E13+E14+E15+E16+E17+E23+E26+E27+E28+E29+E30+E31+E32+E33+E34+E35+E36+E47+E48+E49+E50+E51+E53++E54+E87+E88+E89+E99+E100+E101+E135+E136+E137+E138+E139+E140+E141+E142+E143+E144+E145+E146+E147+E150+E151+E152+E153+E154+E155+E156+E157+E189+E190+E191+E192+E193+E194+E195+E197+E198+E199+E200+E201+E202+E203+E205+E206+E207+E208+E209+E210+E211+E270+E271+E272+E273+E274+E275+E276+E277+E278+E279+E280+E302+E303+E316+E317+E319+E324+E326+E334+E339+E340+E341+E342+E343+E344+E366+E367+E368+E369+E370+E371+E372+E373+E374+E375+E376+E377+E378+E379+E380+E381+E382+E383+E384+E385+E386+E387+E388+E389+E390+E391+E392+E393+E394+E395</f>
        <v>316411.23000000004</v>
      </c>
      <c r="F409" s="152">
        <f t="shared" ref="F409:BQ409" si="493">F9+F12+F13+F14+F15+F16+F17+F23+F26+F27+F28+F29+F30+F31+F32+F33+F34+F35+F36+F47+F48+F49+F50+F51+F53++F54+F87+F88+F89+F99+F100+F101+F135+F136+F137+F138+F139+F140+F141+F142+F143+F144+F145+F146+F147+F150+F151+F152+F153+F154+F155+F156+F157+F189+F190+F191+F192+F193+F194+F195+F197+F198+F199+F200+F201+F202+F203+F205+F206+F207+F208+F209+F210+F211+F270+F271+F272+F273+F274+F275+F276+F277+F278+F279+F280+F302+F303+F316+F317+F319+F324+F326+F334+F339+F340+F341+F342+F343+F344+F366+F367+F368+F369+F370+F371+F372+F373+F374+F375+F376+F377+F378+F379+F380+F381+F382+F383+F384+F385+F386+F387+F388+F389+F390+F391+F392+F393+F394+F395</f>
        <v>307455.82</v>
      </c>
      <c r="G409" s="152">
        <f t="shared" si="493"/>
        <v>15666.280000000002</v>
      </c>
      <c r="H409" s="152">
        <f t="shared" si="493"/>
        <v>8955.4100000000017</v>
      </c>
      <c r="I409" s="152">
        <f t="shared" si="493"/>
        <v>988861.17522848025</v>
      </c>
      <c r="J409" s="152">
        <f t="shared" si="493"/>
        <v>971400.96288494987</v>
      </c>
      <c r="K409" s="152">
        <f t="shared" si="493"/>
        <v>-17460.212343530045</v>
      </c>
      <c r="L409" s="152">
        <f t="shared" si="493"/>
        <v>190469.62270775071</v>
      </c>
      <c r="M409" s="152">
        <f t="shared" si="493"/>
        <v>192232.12717636544</v>
      </c>
      <c r="N409" s="152">
        <f t="shared" si="493"/>
        <v>1762.5044686149449</v>
      </c>
      <c r="O409" s="152">
        <f t="shared" si="493"/>
        <v>372157.8990224888</v>
      </c>
      <c r="P409" s="152">
        <f t="shared" si="493"/>
        <v>372518.65999999986</v>
      </c>
      <c r="Q409" s="152">
        <f t="shared" si="493"/>
        <v>360.76097751117652</v>
      </c>
      <c r="R409" s="152">
        <f t="shared" si="493"/>
        <v>51308.679772514413</v>
      </c>
      <c r="S409" s="152">
        <f t="shared" si="493"/>
        <v>51387.856666666659</v>
      </c>
      <c r="T409" s="152">
        <f t="shared" si="493"/>
        <v>79.176894152242198</v>
      </c>
      <c r="U409" s="152">
        <f t="shared" si="493"/>
        <v>49167.011271470132</v>
      </c>
      <c r="V409" s="152">
        <f t="shared" si="493"/>
        <v>42669.56099006904</v>
      </c>
      <c r="W409" s="152">
        <f t="shared" si="493"/>
        <v>-6497.4502814011039</v>
      </c>
      <c r="X409" s="152">
        <f t="shared" si="493"/>
        <v>569582.08536311984</v>
      </c>
      <c r="Y409" s="152">
        <f t="shared" si="493"/>
        <v>504852.81560989603</v>
      </c>
      <c r="Z409" s="152">
        <f t="shared" si="493"/>
        <v>-64729.2697532237</v>
      </c>
      <c r="AA409" s="152">
        <f t="shared" si="493"/>
        <v>60521.888000000014</v>
      </c>
      <c r="AB409" s="152">
        <f t="shared" si="493"/>
        <v>966.4</v>
      </c>
      <c r="AC409" s="152">
        <f t="shared" si="493"/>
        <v>-59555.488000000012</v>
      </c>
      <c r="AD409" s="152">
        <f t="shared" si="493"/>
        <v>1319275.7949940644</v>
      </c>
      <c r="AE409" s="152">
        <f t="shared" si="493"/>
        <v>1429164.6221635796</v>
      </c>
      <c r="AF409" s="152">
        <f t="shared" si="493"/>
        <v>109888.82716951543</v>
      </c>
      <c r="AG409" s="152">
        <f t="shared" si="493"/>
        <v>3601344.1563598891</v>
      </c>
      <c r="AH409" s="152">
        <f t="shared" si="493"/>
        <v>3565193.0054915277</v>
      </c>
      <c r="AI409" s="152">
        <f t="shared" si="493"/>
        <v>-36151.150868361081</v>
      </c>
      <c r="AJ409" s="152">
        <f t="shared" si="493"/>
        <v>1492044.9104079562</v>
      </c>
      <c r="AK409" s="152">
        <f t="shared" si="493"/>
        <v>1482813.0172663066</v>
      </c>
      <c r="AL409" s="152">
        <f t="shared" si="493"/>
        <v>-9231.8931416501528</v>
      </c>
      <c r="AM409" s="152">
        <f t="shared" si="493"/>
        <v>9722.113206182752</v>
      </c>
      <c r="AN409" s="152">
        <f t="shared" si="493"/>
        <v>2611.9205199141256</v>
      </c>
      <c r="AO409" s="152">
        <f t="shared" si="493"/>
        <v>-7110.1926862686259</v>
      </c>
      <c r="AP409" s="152">
        <f t="shared" si="493"/>
        <v>421647.32933533681</v>
      </c>
      <c r="AQ409" s="152">
        <f t="shared" si="493"/>
        <v>364952.32530739892</v>
      </c>
      <c r="AR409" s="152">
        <f t="shared" si="493"/>
        <v>-56695.004027938026</v>
      </c>
      <c r="AS409" s="152">
        <f t="shared" si="493"/>
        <v>3895108.3185451473</v>
      </c>
      <c r="AT409" s="152">
        <f t="shared" si="493"/>
        <v>3076277.7691132165</v>
      </c>
      <c r="AU409" s="152">
        <f t="shared" si="493"/>
        <v>-818830.54943193123</v>
      </c>
      <c r="AV409" s="152">
        <f t="shared" si="493"/>
        <v>246137.12741078882</v>
      </c>
      <c r="AW409" s="152">
        <f t="shared" si="493"/>
        <v>88383.14</v>
      </c>
      <c r="AX409" s="152">
        <f t="shared" si="493"/>
        <v>-157753.98741078874</v>
      </c>
      <c r="AY409" s="152">
        <f t="shared" si="493"/>
        <v>318237.98896031472</v>
      </c>
      <c r="AZ409" s="152">
        <f t="shared" si="493"/>
        <v>208886.73</v>
      </c>
      <c r="BA409" s="152">
        <f t="shared" si="493"/>
        <v>-109351.25896031474</v>
      </c>
      <c r="BB409" s="152">
        <f t="shared" si="493"/>
        <v>154609.20491440146</v>
      </c>
      <c r="BC409" s="152">
        <f t="shared" si="493"/>
        <v>161102.89000000001</v>
      </c>
      <c r="BD409" s="152">
        <f t="shared" si="493"/>
        <v>6493.6850855985294</v>
      </c>
      <c r="BE409" s="152">
        <f t="shared" si="493"/>
        <v>116978.41964855185</v>
      </c>
      <c r="BF409" s="152">
        <f t="shared" si="493"/>
        <v>40912.67</v>
      </c>
      <c r="BG409" s="152">
        <f t="shared" si="493"/>
        <v>-76065.749648551864</v>
      </c>
      <c r="BH409" s="152">
        <f t="shared" si="493"/>
        <v>100252.63223367564</v>
      </c>
      <c r="BI409" s="152">
        <f t="shared" si="493"/>
        <v>20065</v>
      </c>
      <c r="BJ409" s="152">
        <f t="shared" si="493"/>
        <v>-80187.632233675671</v>
      </c>
      <c r="BK409" s="152">
        <f t="shared" si="493"/>
        <v>188377.97203511326</v>
      </c>
      <c r="BL409" s="152">
        <f t="shared" si="493"/>
        <v>54753</v>
      </c>
      <c r="BM409" s="152">
        <f t="shared" si="493"/>
        <v>-133624.97203511323</v>
      </c>
      <c r="BN409" s="152">
        <f t="shared" si="493"/>
        <v>15207.071754889839</v>
      </c>
      <c r="BO409" s="152">
        <f t="shared" si="493"/>
        <v>21803.81</v>
      </c>
      <c r="BP409" s="152">
        <f t="shared" si="493"/>
        <v>6596.738245110163</v>
      </c>
      <c r="BQ409" s="152">
        <f t="shared" si="493"/>
        <v>1139800.4169577358</v>
      </c>
      <c r="BR409" s="152">
        <f t="shared" ref="BR409:DA409" si="494">BR9+BR12+BR13+BR14+BR15+BR16+BR17+BR23+BR26+BR27+BR28+BR29+BR30+BR31+BR32+BR33+BR34+BR35+BR36+BR47+BR48+BR49+BR50+BR51+BR53++BR54+BR87+BR88+BR89+BR99+BR100+BR101+BR135+BR136+BR137+BR138+BR139+BR140+BR141+BR142+BR143+BR144+BR145+BR146+BR147+BR150+BR151+BR152+BR153+BR154+BR155+BR156+BR157+BR189+BR190+BR191+BR192+BR193+BR194+BR195+BR197+BR198+BR199+BR200+BR201+BR202+BR203+BR205+BR206+BR207+BR208+BR209+BR210+BR211+BR270+BR271+BR272+BR273+BR274+BR275+BR276+BR277+BR278+BR279+BR280+BR302+BR303+BR316+BR317+BR319+BR324+BR326+BR334+BR339+BR340+BR341+BR342+BR343+BR344+BR366+BR367+BR368+BR369+BR370+BR371+BR372+BR373+BR374+BR375+BR376+BR377+BR378+BR379+BR380+BR381+BR382+BR383+BR384+BR385+BR386+BR387+BR388+BR389+BR390+BR391+BR392+BR393+BR394+BR395</f>
        <v>595907.23999999976</v>
      </c>
      <c r="BS409" s="152">
        <f t="shared" si="494"/>
        <v>-543893.17695773568</v>
      </c>
      <c r="BT409" s="152">
        <f t="shared" si="494"/>
        <v>2778792.3638163707</v>
      </c>
      <c r="BU409" s="152">
        <f t="shared" si="494"/>
        <v>2820900.0132414266</v>
      </c>
      <c r="BV409" s="152">
        <f t="shared" si="494"/>
        <v>42107.649425055766</v>
      </c>
      <c r="BW409" s="152">
        <f t="shared" si="494"/>
        <v>1952791.5452963861</v>
      </c>
      <c r="BX409" s="152">
        <f t="shared" si="494"/>
        <v>1889276.3007382238</v>
      </c>
      <c r="BY409" s="152">
        <f t="shared" si="494"/>
        <v>-63515.244558162616</v>
      </c>
      <c r="BZ409" s="152">
        <f t="shared" si="494"/>
        <v>501145.65864586324</v>
      </c>
      <c r="CA409" s="152">
        <f t="shared" si="494"/>
        <v>611705.32612929377</v>
      </c>
      <c r="CB409" s="152">
        <f t="shared" si="494"/>
        <v>110559.66748343043</v>
      </c>
      <c r="CC409" s="152">
        <f t="shared" si="494"/>
        <v>106728.31029864805</v>
      </c>
      <c r="CD409" s="152">
        <f t="shared" si="494"/>
        <v>116254.43598278574</v>
      </c>
      <c r="CE409" s="152">
        <f t="shared" si="494"/>
        <v>9526.1256841377108</v>
      </c>
      <c r="CF409" s="152">
        <f t="shared" si="494"/>
        <v>12913.954295654316</v>
      </c>
      <c r="CG409" s="152">
        <f t="shared" si="494"/>
        <v>13395.755414854348</v>
      </c>
      <c r="CH409" s="152">
        <f t="shared" si="494"/>
        <v>481.80111920002832</v>
      </c>
      <c r="CI409" s="152">
        <f t="shared" si="494"/>
        <v>792309.7601851807</v>
      </c>
      <c r="CJ409" s="152">
        <f t="shared" si="494"/>
        <v>685688.12016231439</v>
      </c>
      <c r="CK409" s="152">
        <f t="shared" si="494"/>
        <v>-106621.6400228663</v>
      </c>
      <c r="CL409" s="152">
        <f t="shared" si="494"/>
        <v>388910.22526349465</v>
      </c>
      <c r="CM409" s="152">
        <f t="shared" si="494"/>
        <v>385929.69592543808</v>
      </c>
      <c r="CN409" s="152">
        <f t="shared" si="494"/>
        <v>-2980.5293380564462</v>
      </c>
      <c r="CO409" s="152">
        <f t="shared" si="494"/>
        <v>1181219.985448675</v>
      </c>
      <c r="CP409" s="152">
        <f t="shared" si="494"/>
        <v>1071617.8160877521</v>
      </c>
      <c r="CQ409" s="152">
        <f t="shared" si="494"/>
        <v>-109602.16936092275</v>
      </c>
      <c r="CR409" s="152">
        <f t="shared" si="494"/>
        <v>17093259.062613845</v>
      </c>
      <c r="CS409" s="152">
        <f t="shared" si="494"/>
        <v>15610904.925292693</v>
      </c>
      <c r="CT409" s="152">
        <f t="shared" si="494"/>
        <v>-1482354.1373211462</v>
      </c>
      <c r="CU409" s="152">
        <f t="shared" si="494"/>
        <v>20511910.87513661</v>
      </c>
      <c r="CV409" s="152">
        <f t="shared" si="494"/>
        <v>18733085.910351235</v>
      </c>
      <c r="CW409" s="152">
        <f t="shared" si="494"/>
        <v>-1778824.9647853752</v>
      </c>
      <c r="CX409" s="152">
        <f t="shared" si="494"/>
        <v>717247.0010360349</v>
      </c>
      <c r="CY409" s="152">
        <f t="shared" si="494"/>
        <v>2496071.965821411</v>
      </c>
      <c r="CZ409" s="152">
        <f t="shared" si="494"/>
        <v>1778824.9647853761</v>
      </c>
      <c r="DA409" s="152">
        <f t="shared" si="494"/>
        <v>-449086.22024798999</v>
      </c>
      <c r="DC409" s="152">
        <f>DC9+DC12+DC13+DC14+DC15+DC16+DC17+DC23+DC26+DC27+DC28+DC29+DC30+DC31+DC32+DC33+DC34+DC35+DC36+DC47+DC48+DC49+DC50+DC51+DC53++DC54+DC87+DC88+DC89+DC99+DC100+DC101+DC135+DC136+DC137+DC138+DC139+DC140+DC141+DC142+DC143+DC144+DC145+DC146+DC147+DC150+DC151+DC152+DC153+DC154+DC155+DC156+DC157+DC189+DC190+DC191+DC192+DC193+DC194+DC195+DC197+DC198+DC199+DC200+DC201+DC202+DC203+DC205+DC206+DC207+DC208+DC209+DC210+DC211+DC270+DC271+DC272+DC273+DC274+DC275+DC276+DC277+DC278+DC279+DC280+DC302+DC303+DC316+DC317+DC319+DC324+DC326+DC334+DC339+DC340+DC341+DC342+DC343+DC344+DC366+DC367+DC368+DC369+DC370+DC371+DC372+DC373+DC374+DC375+DC376+DC377+DC378+DC379+DC380+DC381+DC382+DC383+DC384+DC385+DC386+DC387+DC388+DC389+DC390+DC391+DC392+DC393+DC394+DC395</f>
        <v>3689792.4700000007</v>
      </c>
      <c r="DD409" s="152">
        <f t="shared" ref="DD409:DG409" si="495">DD9+DD12+DD13+DD14+DD15+DD16+DD17+DD23+DD26+DD27+DD28+DD29+DD30+DD31+DD32+DD33+DD34+DD35+DD36+DD47+DD48+DD49+DD50+DD51+DD53++DD54+DD87+DD88+DD89+DD99+DD100+DD101+DD135+DD136+DD137+DD138+DD139+DD140+DD141+DD142+DD143+DD144+DD145+DD146+DD147+DD150+DD151+DD152+DD153+DD154+DD155+DD156+DD157+DD189+DD190+DD191+DD192+DD193+DD194+DD195+DD197+DD198+DD199+DD200+DD201+DD202+DD203+DD205+DD206+DD207+DD208+DD209+DD210+DD211+DD270+DD271+DD272+DD273+DD274+DD275+DD276+DD277+DD278+DD279+DD280+DD302+DD303+DD316+DD317+DD319+DD324+DD326+DD334+DD339+DD340+DD341+DD342+DD343+DD344+DD366+DD367+DD368+DD369+DD370+DD371+DD372+DD373+DD374+DD375+DD376+DD377+DD378+DD379+DD380+DD381+DD382+DD383+DD384+DD385+DD386+DD387+DD388+DD389+DD390+DD391+DD392+DD393+DD394+DD395</f>
        <v>281968.09999999998</v>
      </c>
      <c r="DE409" s="152">
        <f t="shared" si="495"/>
        <v>1809438.6722834776</v>
      </c>
      <c r="DF409" s="152">
        <f t="shared" ref="DF409" si="496">DF9+DF12+DF13+DF14+DF15+DF16+DF17+DF23+DF26+DF27+DF28+DF29+DF30+DF31+DF32+DF33+DF34+DF35+DF36+DF47+DF48+DF49+DF50+DF51+DF53++DF54+DF87+DF88+DF89+DF99+DF100+DF101+DF135+DF136+DF137+DF138+DF139+DF140+DF141+DF142+DF143+DF144+DF145+DF146+DF147+DF150+DF151+DF152+DF153+DF154+DF155+DF156+DF157+DF189+DF190+DF191+DF192+DF193+DF194+DF195+DF197+DF198+DF199+DF200+DF201+DF202+DF203+DF205+DF206+DF207+DF208+DF209+DF210+DF211+DF270+DF271+DF272+DF273+DF274+DF275+DF276+DF277+DF278+DF279+DF280+DF302+DF303+DF316+DF317+DF319+DF324+DF326+DF334+DF339+DF340+DF341+DF342+DF343+DF344+DF366+DF367+DF368+DF369+DF370+DF371+DF372+DF373+DF374+DF375+DF376+DF377+DF378+DF379+DF380+DF381+DF382+DF383+DF384+DF385+DF386+DF387+DF388+DF389+DF390+DF391+DF392+DF393+DF394+DF395</f>
        <v>243089.06274248604</v>
      </c>
      <c r="DG409" s="152">
        <f t="shared" si="495"/>
        <v>1662021.5887396855</v>
      </c>
      <c r="DH409" s="152">
        <f t="shared" ref="DH409" si="497">DH9+DH12+DH13+DH14+DH15+DH16+DH17+DH23+DH26+DH27+DH28+DH29+DH30+DH31+DH32+DH33+DH34+DH35+DH36+DH47+DH48+DH49+DH50+DH51+DH53++DH54+DH87+DH88+DH89+DH99+DH100+DH101+DH135+DH136+DH137+DH138+DH139+DH140+DH141+DH142+DH143+DH144+DH145+DH146+DH147+DH150+DH151+DH152+DH153+DH154+DH155+DH156+DH157+DH189+DH190+DH191+DH192+DH193+DH194+DH195+DH197+DH198+DH199+DH200+DH201+DH202+DH203+DH205+DH206+DH207+DH208+DH209+DH210+DH211+DH270+DH271+DH272+DH273+DH274+DH275+DH276+DH277+DH278+DH279+DH280+DH302+DH303+DH316+DH317+DH319+DH324+DH326+DH334+DH339+DH340+DH341+DH342+DH343+DH344+DH366+DH367+DH368+DH369+DH370+DH371+DH372+DH373+DH374+DH375+DH376+DH377+DH378+DH379+DH380+DH381+DH382+DH383+DH384+DH385+DH386+DH387+DH388+DH389+DH390+DH391+DH392+DH393+DH394+DH395</f>
        <v>21961445.535121173</v>
      </c>
      <c r="DI409" s="151"/>
      <c r="DJ409" s="299"/>
      <c r="DK409" s="299"/>
      <c r="DM409" s="295"/>
      <c r="DN409" s="295"/>
      <c r="DR409" s="314"/>
      <c r="DT409" s="5"/>
      <c r="DU409" s="5"/>
      <c r="DX409" s="151"/>
      <c r="DY409" s="151"/>
    </row>
    <row r="410" spans="1:130" s="4" customFormat="1" ht="13.8" x14ac:dyDescent="0.3">
      <c r="A410" s="327"/>
      <c r="C410" s="30" t="s">
        <v>975</v>
      </c>
      <c r="D410" s="30"/>
      <c r="E410" s="8">
        <f t="shared" ref="E410:AH410" si="498">SUM(E407:E409)</f>
        <v>1015028.53</v>
      </c>
      <c r="F410" s="95">
        <f t="shared" ref="F410:H410" si="499">SUM(F407:F409)</f>
        <v>964778.3899999999</v>
      </c>
      <c r="G410" s="8">
        <f t="shared" si="499"/>
        <v>52630.14</v>
      </c>
      <c r="H410" s="310">
        <f t="shared" si="499"/>
        <v>50250.14</v>
      </c>
      <c r="I410" s="8">
        <f t="shared" si="498"/>
        <v>3012730.1725193709</v>
      </c>
      <c r="J410" s="8">
        <f t="shared" si="498"/>
        <v>3011703.0985736805</v>
      </c>
      <c r="K410" s="8">
        <f t="shared" ref="K410" si="500">J410-I410</f>
        <v>-1027.0739456904121</v>
      </c>
      <c r="L410" s="8">
        <f t="shared" ref="L410:M410" si="501">SUM(L407:L409)</f>
        <v>581404.53587102704</v>
      </c>
      <c r="M410" s="8">
        <f t="shared" si="501"/>
        <v>589005.82286495308</v>
      </c>
      <c r="N410" s="8">
        <f t="shared" ref="N410" si="502">M410-L410</f>
        <v>7601.2869939260418</v>
      </c>
      <c r="O410" s="8">
        <f t="shared" ref="O410:P410" si="503">SUM(O407:O409)</f>
        <v>1267331.2031672052</v>
      </c>
      <c r="P410" s="8">
        <f t="shared" si="503"/>
        <v>1267568.9466666663</v>
      </c>
      <c r="Q410" s="8">
        <f t="shared" ref="Q410" si="504">P410-O410</f>
        <v>237.74349946109578</v>
      </c>
      <c r="R410" s="8">
        <f t="shared" ref="R410:S410" si="505">SUM(R407:R409)</f>
        <v>173141.09679849856</v>
      </c>
      <c r="S410" s="8">
        <f t="shared" si="505"/>
        <v>173223.57499999998</v>
      </c>
      <c r="T410" s="8">
        <f t="shared" ref="T410" si="506">S410-R410</f>
        <v>82.478201501420699</v>
      </c>
      <c r="U410" s="8">
        <f t="shared" ref="U410:V410" si="507">SUM(U407:U409)</f>
        <v>136867.30719318273</v>
      </c>
      <c r="V410" s="8">
        <f t="shared" si="507"/>
        <v>137228.17403043169</v>
      </c>
      <c r="W410" s="8">
        <f t="shared" ref="W410" si="508">V410-U410</f>
        <v>360.86683724896284</v>
      </c>
      <c r="X410" s="8">
        <f t="shared" ref="X410:Y410" si="509">SUM(X407:X409)</f>
        <v>1829361.5863992809</v>
      </c>
      <c r="Y410" s="8">
        <f t="shared" si="509"/>
        <v>1595063.6855879254</v>
      </c>
      <c r="Z410" s="8">
        <f t="shared" ref="Z410" si="510">Y410-X410</f>
        <v>-234297.90081135556</v>
      </c>
      <c r="AA410" s="8">
        <f t="shared" ref="AA410:AB410" si="511">SUM(AA407:AA409)</f>
        <v>198413.32600000003</v>
      </c>
      <c r="AB410" s="8">
        <f t="shared" si="511"/>
        <v>18171.157012000207</v>
      </c>
      <c r="AC410" s="8">
        <f t="shared" ref="AC410" si="512">AB410-AA410</f>
        <v>-180242.16898799982</v>
      </c>
      <c r="AD410" s="8">
        <f t="shared" ref="AD410:AE410" si="513">SUM(AD407:AD409)</f>
        <v>4277136.2248195261</v>
      </c>
      <c r="AE410" s="8">
        <f t="shared" si="513"/>
        <v>4595363.9994408023</v>
      </c>
      <c r="AF410" s="8">
        <f t="shared" ref="AF410" si="514">AE410-AD410</f>
        <v>318227.77462127618</v>
      </c>
      <c r="AG410" s="8">
        <f t="shared" si="498"/>
        <v>11476385.452768093</v>
      </c>
      <c r="AH410" s="8">
        <f t="shared" si="498"/>
        <v>11387328.459176462</v>
      </c>
      <c r="AI410" s="8">
        <f t="shared" ref="AI410" si="515">AH410-AG410</f>
        <v>-89056.993591630831</v>
      </c>
      <c r="AJ410" s="8">
        <f t="shared" ref="AJ410:AK410" si="516">SUM(AJ407:AJ409)</f>
        <v>4683024.1490582647</v>
      </c>
      <c r="AK410" s="8">
        <f t="shared" si="516"/>
        <v>4646189.8944128733</v>
      </c>
      <c r="AL410" s="8">
        <f t="shared" ref="AL410" si="517">AK410-AJ410</f>
        <v>-36834.254645391367</v>
      </c>
      <c r="AM410" s="8">
        <f t="shared" ref="AM410:AN410" si="518">SUM(AM407:AM409)</f>
        <v>93036.918842023442</v>
      </c>
      <c r="AN410" s="8">
        <f t="shared" si="518"/>
        <v>38523.458569089911</v>
      </c>
      <c r="AO410" s="8">
        <f t="shared" ref="AO410" si="519">AN410-AM410</f>
        <v>-54513.460272933531</v>
      </c>
      <c r="AP410" s="8">
        <f t="shared" ref="AP410:AQ410" si="520">SUM(AP407:AP409)</f>
        <v>1392975.987546677</v>
      </c>
      <c r="AQ410" s="8">
        <f t="shared" si="520"/>
        <v>1141710.9527173073</v>
      </c>
      <c r="AR410" s="8">
        <f t="shared" ref="AR410" si="521">AQ410-AP410</f>
        <v>-251265.03482936975</v>
      </c>
      <c r="AS410" s="8">
        <f t="shared" ref="AS410:AT410" si="522">SUM(AS407:AS409)</f>
        <v>11805093.420223625</v>
      </c>
      <c r="AT410" s="8">
        <f t="shared" si="522"/>
        <v>11711511.293233566</v>
      </c>
      <c r="AU410" s="8">
        <f t="shared" ref="AU410" si="523">AT410-AS410</f>
        <v>-93582.126990059391</v>
      </c>
      <c r="AV410" s="8">
        <f t="shared" ref="AV410:AW410" si="524">SUM(AV407:AV409)</f>
        <v>747511.9242761638</v>
      </c>
      <c r="AW410" s="8">
        <f t="shared" si="524"/>
        <v>320547.19</v>
      </c>
      <c r="AX410" s="8">
        <f t="shared" ref="AX410" si="525">AW410-AV410</f>
        <v>-426964.7342761638</v>
      </c>
      <c r="AY410" s="8">
        <f t="shared" ref="AY410:AZ410" si="526">SUM(AY407:AY409)</f>
        <v>965700.78735465277</v>
      </c>
      <c r="AZ410" s="8">
        <f t="shared" si="526"/>
        <v>618835.74</v>
      </c>
      <c r="BA410" s="8">
        <f t="shared" ref="BA410" si="527">AZ410-AY410</f>
        <v>-346865.04735465278</v>
      </c>
      <c r="BB410" s="8">
        <f t="shared" ref="BB410:BC410" si="528">SUM(BB407:BB409)</f>
        <v>455980.25765954994</v>
      </c>
      <c r="BC410" s="8">
        <f t="shared" si="528"/>
        <v>344778.66000000003</v>
      </c>
      <c r="BD410" s="8">
        <f t="shared" ref="BD410" si="529">BC410-BB410</f>
        <v>-111201.59765954991</v>
      </c>
      <c r="BE410" s="8">
        <f t="shared" ref="BE410:BF410" si="530">SUM(BE407:BE409)</f>
        <v>373055.87885166222</v>
      </c>
      <c r="BF410" s="8">
        <f t="shared" si="530"/>
        <v>225877.7</v>
      </c>
      <c r="BG410" s="8">
        <f t="shared" ref="BG410" si="531">BF410-BE410</f>
        <v>-147178.1788516622</v>
      </c>
      <c r="BH410" s="8">
        <f t="shared" ref="BH410:BI410" si="532">SUM(BH407:BH409)</f>
        <v>263697.70230484282</v>
      </c>
      <c r="BI410" s="8">
        <f t="shared" si="532"/>
        <v>54428</v>
      </c>
      <c r="BJ410" s="8">
        <f t="shared" ref="BJ410" si="533">BI410-BH410</f>
        <v>-209269.70230484282</v>
      </c>
      <c r="BK410" s="8">
        <f t="shared" ref="BK410:BL410" si="534">SUM(BK407:BK409)</f>
        <v>562895.92981687072</v>
      </c>
      <c r="BL410" s="8">
        <f t="shared" si="534"/>
        <v>224951</v>
      </c>
      <c r="BM410" s="8">
        <f t="shared" ref="BM410" si="535">BL410-BK410</f>
        <v>-337944.92981687072</v>
      </c>
      <c r="BN410" s="8">
        <f t="shared" ref="BN410:BO410" si="536">SUM(BN407:BN409)</f>
        <v>73364.202157285879</v>
      </c>
      <c r="BO410" s="8">
        <f t="shared" si="536"/>
        <v>67786.349999999991</v>
      </c>
      <c r="BP410" s="8">
        <f t="shared" ref="BP410" si="537">BO410-BN410</f>
        <v>-5577.8521572858881</v>
      </c>
      <c r="BQ410" s="8">
        <f t="shared" ref="BQ410:CV410" si="538">SUM(BQ407:BQ409)</f>
        <v>3442206.6824210277</v>
      </c>
      <c r="BR410" s="8">
        <f t="shared" si="538"/>
        <v>1857204.6399999997</v>
      </c>
      <c r="BS410" s="109">
        <f t="shared" si="477"/>
        <v>-1585002.042421028</v>
      </c>
      <c r="BT410" s="8">
        <f t="shared" ref="BT410:BU410" si="539">SUM(BT407:BT409)</f>
        <v>9749785.5646357872</v>
      </c>
      <c r="BU410" s="8">
        <f t="shared" si="539"/>
        <v>10449854.820358504</v>
      </c>
      <c r="BV410" s="8">
        <f t="shared" ref="BV410" si="540">BU410-BT410</f>
        <v>700069.25572271645</v>
      </c>
      <c r="BW410" s="8">
        <f t="shared" ref="BW410:BX410" si="541">SUM(BW407:BW409)</f>
        <v>6436916.7188966013</v>
      </c>
      <c r="BX410" s="8">
        <f t="shared" si="541"/>
        <v>6266497.2982422514</v>
      </c>
      <c r="BY410" s="8">
        <f t="shared" ref="BY410" si="542">BX410-BW410</f>
        <v>-170419.42065434996</v>
      </c>
      <c r="BZ410" s="8">
        <f t="shared" ref="BZ410:CA410" si="543">SUM(BZ407:BZ409)</f>
        <v>2449713.4332722835</v>
      </c>
      <c r="CA410" s="8">
        <f t="shared" si="543"/>
        <v>2355376.8539473293</v>
      </c>
      <c r="CB410" s="8">
        <f t="shared" ref="CB410" si="544">CA410-BZ410</f>
        <v>-94336.579324954189</v>
      </c>
      <c r="CC410" s="8">
        <f t="shared" ref="CC410:CD410" si="545">SUM(CC407:CC409)</f>
        <v>300906.02165113285</v>
      </c>
      <c r="CD410" s="8">
        <f t="shared" si="545"/>
        <v>327667.45102049608</v>
      </c>
      <c r="CE410" s="8">
        <f t="shared" ref="CE410" si="546">CD410-CC410</f>
        <v>26761.429369363235</v>
      </c>
      <c r="CF410" s="8">
        <f t="shared" ref="CF410:CG410" si="547">SUM(CF407:CF409)</f>
        <v>36428.831468571341</v>
      </c>
      <c r="CG410" s="8">
        <f t="shared" si="547"/>
        <v>29965.261234823985</v>
      </c>
      <c r="CH410" s="8">
        <f t="shared" ref="CH410" si="548">CG410-CF410</f>
        <v>-6463.5702337473558</v>
      </c>
      <c r="CI410" s="8">
        <f t="shared" ref="CI410:CJ410" si="549">SUM(CI407:CI409)</f>
        <v>2295934.6245217863</v>
      </c>
      <c r="CJ410" s="8">
        <f t="shared" si="549"/>
        <v>1948639.607268089</v>
      </c>
      <c r="CK410" s="8">
        <f t="shared" ref="CK410" si="550">CJ410-CI410</f>
        <v>-347295.01725369738</v>
      </c>
      <c r="CL410" s="8">
        <f t="shared" ref="CL410:CM410" si="551">SUM(CL407:CL409)</f>
        <v>1254587.4551368046</v>
      </c>
      <c r="CM410" s="8">
        <f t="shared" si="551"/>
        <v>1203275.1154099349</v>
      </c>
      <c r="CN410" s="8">
        <f t="shared" ref="CN410" si="552">CM410-CL410</f>
        <v>-51312.339726869715</v>
      </c>
      <c r="CO410" s="8">
        <f t="shared" si="538"/>
        <v>3550522.0796585912</v>
      </c>
      <c r="CP410" s="8">
        <f t="shared" si="538"/>
        <v>3151914.7226780239</v>
      </c>
      <c r="CQ410" s="54">
        <f t="shared" si="480"/>
        <v>-398607.35698056733</v>
      </c>
      <c r="CR410" s="8">
        <f t="shared" si="538"/>
        <v>55416995.260442674</v>
      </c>
      <c r="CS410" s="8">
        <f t="shared" si="538"/>
        <v>53363745.105590709</v>
      </c>
      <c r="CT410" s="54">
        <f t="shared" si="483"/>
        <v>-2053250.1548519656</v>
      </c>
      <c r="CU410" s="8">
        <f t="shared" si="538"/>
        <v>66500394.312531218</v>
      </c>
      <c r="CV410" s="8">
        <f t="shared" si="538"/>
        <v>64036494.12670885</v>
      </c>
      <c r="CW410" s="108">
        <f t="shared" si="486"/>
        <v>-2463900.1858223677</v>
      </c>
      <c r="CX410" s="8">
        <f>SUM(CX407:CX409)</f>
        <v>2221335.5163397277</v>
      </c>
      <c r="CY410" s="8">
        <f>SUM(CY407:CY409)</f>
        <v>4685235.6097072866</v>
      </c>
      <c r="CZ410" s="8">
        <f t="shared" ref="CZ410" si="553">CY410-CX410</f>
        <v>2463900.0933675589</v>
      </c>
      <c r="DA410" s="8">
        <f>SUM(DA407:DA409)</f>
        <v>3015282.5283802119</v>
      </c>
      <c r="DB410" s="96"/>
      <c r="DC410" s="95">
        <f t="shared" ref="DC410:DH410" si="554">SUM(DC407:DC409)</f>
        <v>11894135.400000002</v>
      </c>
      <c r="DD410" s="8">
        <f t="shared" si="554"/>
        <v>891875.60999999987</v>
      </c>
      <c r="DE410" s="8">
        <f t="shared" si="554"/>
        <v>5899642.9665197339</v>
      </c>
      <c r="DF410" s="8">
        <f t="shared" si="554"/>
        <v>667754.40251165128</v>
      </c>
      <c r="DG410" s="8">
        <f t="shared" si="554"/>
        <v>6309458.6869720072</v>
      </c>
      <c r="DH410" s="8">
        <f t="shared" si="554"/>
        <v>71097747.131917417</v>
      </c>
      <c r="DI410" s="50"/>
      <c r="DJ410" s="297"/>
      <c r="DK410" s="297"/>
      <c r="DM410" s="301"/>
      <c r="DN410" s="301"/>
      <c r="DQ410" s="96"/>
      <c r="DR410" s="319"/>
      <c r="DT410" s="8"/>
      <c r="DU410" s="8"/>
      <c r="DX410" s="50"/>
      <c r="DY410" s="50"/>
    </row>
    <row r="411" spans="1:130" x14ac:dyDescent="0.3">
      <c r="CX411" s="93">
        <f>CX410/CU410*100</f>
        <v>3.3403343533575756</v>
      </c>
      <c r="DF411" s="412"/>
      <c r="DT411" s="5"/>
      <c r="DU411" s="5"/>
    </row>
    <row r="412" spans="1:130" x14ac:dyDescent="0.3">
      <c r="C412" s="4" t="s">
        <v>999</v>
      </c>
      <c r="DF412" s="412"/>
      <c r="DT412" s="5"/>
      <c r="DU412" s="5"/>
    </row>
    <row r="413" spans="1:130" x14ac:dyDescent="0.3">
      <c r="A413" s="276"/>
      <c r="C413" s="26" t="s">
        <v>986</v>
      </c>
      <c r="D413" s="3"/>
      <c r="E413" s="33"/>
      <c r="F413" s="28"/>
      <c r="G413" s="51"/>
      <c r="H413" s="309"/>
      <c r="I413" s="5"/>
      <c r="J413" s="335">
        <f>J407/I407</f>
        <v>0.89515808176299638</v>
      </c>
      <c r="K413" s="335"/>
      <c r="L413" s="335"/>
      <c r="M413" s="335">
        <f>M407/L407</f>
        <v>0.90467579680418964</v>
      </c>
      <c r="N413" s="335"/>
      <c r="O413" s="335"/>
      <c r="P413" s="335">
        <f>P407/O407</f>
        <v>0.99999935421179464</v>
      </c>
      <c r="Q413" s="335"/>
      <c r="R413" s="335"/>
      <c r="S413" s="335">
        <f>S407/R407</f>
        <v>1.0000494617264983</v>
      </c>
      <c r="T413" s="335"/>
      <c r="U413" s="335"/>
      <c r="V413" s="335">
        <f>V407/U407</f>
        <v>0.66212287472506026</v>
      </c>
      <c r="W413" s="335"/>
      <c r="X413" s="335"/>
      <c r="Y413" s="335">
        <f>Y407/X407</f>
        <v>0.87374287439849008</v>
      </c>
      <c r="Z413" s="335"/>
      <c r="AA413" s="335"/>
      <c r="AB413" s="335">
        <f>AB407/AA407</f>
        <v>0</v>
      </c>
      <c r="AC413" s="335"/>
      <c r="AD413" s="335"/>
      <c r="AE413" s="335">
        <f>AE407/AD407</f>
        <v>1.0706303266510691</v>
      </c>
      <c r="AF413" s="335"/>
      <c r="AG413" s="336"/>
      <c r="AH413" s="335">
        <f>AH407/AG407</f>
        <v>0.95297963360110949</v>
      </c>
      <c r="AI413" s="335"/>
      <c r="AJ413" s="335"/>
      <c r="AK413" s="335">
        <f>AK407/AJ407</f>
        <v>0.99142978376441537</v>
      </c>
      <c r="AL413" s="335"/>
      <c r="AM413" s="335"/>
      <c r="AN413" s="335">
        <f>AN407/AM407</f>
        <v>0.43429931489458234</v>
      </c>
      <c r="AO413" s="335"/>
      <c r="AP413" s="335"/>
      <c r="AQ413" s="335">
        <f>AQ407/AP407</f>
        <v>0.84808638556364724</v>
      </c>
      <c r="AR413" s="335"/>
      <c r="AS413" s="335"/>
      <c r="AT413" s="335">
        <f>AT407/AS407</f>
        <v>1.1502694886187439</v>
      </c>
      <c r="AU413" s="335"/>
      <c r="AV413" s="335"/>
      <c r="AW413" s="335">
        <f>AW407/AV407</f>
        <v>0.47648877411731055</v>
      </c>
      <c r="AX413" s="335"/>
      <c r="AY413" s="335"/>
      <c r="AZ413" s="335">
        <f>AZ407/AY407</f>
        <v>1.2238210054183818</v>
      </c>
      <c r="BA413" s="335"/>
      <c r="BB413" s="335"/>
      <c r="BC413" s="335">
        <f>BC407/BB407</f>
        <v>0.69865436684240689</v>
      </c>
      <c r="BD413" s="335"/>
      <c r="BE413" s="335"/>
      <c r="BF413" s="335">
        <f>BF407/BE407</f>
        <v>0.97049268120932763</v>
      </c>
      <c r="BG413" s="335"/>
      <c r="BH413" s="335"/>
      <c r="BI413" s="335">
        <f>BI407/BH407</f>
        <v>0.20173807711918362</v>
      </c>
      <c r="BJ413" s="335"/>
      <c r="BK413" s="335"/>
      <c r="BL413" s="335">
        <f>BL407/BK407</f>
        <v>0.23740457192494782</v>
      </c>
      <c r="BM413" s="335"/>
      <c r="BN413" s="335"/>
      <c r="BO413" s="335">
        <f>BO407/BN407</f>
        <v>0.8261249456681421</v>
      </c>
      <c r="BP413" s="335"/>
      <c r="BQ413" s="336"/>
      <c r="BR413" s="335">
        <f>BR407/BQ407</f>
        <v>0.69454260091759401</v>
      </c>
      <c r="BS413" s="335"/>
      <c r="BT413" s="335"/>
      <c r="BU413" s="335">
        <f>BU407/BT407</f>
        <v>1.0303332939333048</v>
      </c>
      <c r="BV413" s="335"/>
      <c r="BW413" s="336"/>
      <c r="BX413" s="335">
        <f>BX407/BW407</f>
        <v>0.99212048507002681</v>
      </c>
      <c r="BY413" s="335"/>
      <c r="BZ413" s="335"/>
      <c r="CA413" s="335">
        <f>CA407/BZ407</f>
        <v>1.0922294176251788</v>
      </c>
      <c r="CB413" s="335"/>
      <c r="CC413" s="335"/>
      <c r="CD413" s="335">
        <f>CD407/CC407</f>
        <v>1.0857353936903666</v>
      </c>
      <c r="CE413" s="335"/>
      <c r="CF413" s="335"/>
      <c r="CG413" s="335">
        <f>CG407/CF407</f>
        <v>0.42593207971405661</v>
      </c>
      <c r="CH413" s="335"/>
      <c r="CI413" s="335"/>
      <c r="CJ413" s="335">
        <f>CJ407/CI407</f>
        <v>0.81045362384943842</v>
      </c>
      <c r="CK413" s="335"/>
      <c r="CL413" s="335"/>
      <c r="CM413" s="335">
        <f>CM407/CL407</f>
        <v>0.9164927470913149</v>
      </c>
      <c r="CN413" s="335"/>
      <c r="CO413" s="335"/>
      <c r="CP413" s="335">
        <f>CP407/CO407</f>
        <v>0.85686119765344682</v>
      </c>
      <c r="CQ413" s="335"/>
      <c r="CR413" s="335"/>
      <c r="CS413" s="335">
        <f>CS407/CR407</f>
        <v>0.99804763336903612</v>
      </c>
      <c r="CT413" s="335"/>
      <c r="CU413" s="335"/>
      <c r="CV413" s="335">
        <f>CV407/CU407</f>
        <v>0.99804763336903612</v>
      </c>
      <c r="CW413" s="5"/>
      <c r="CX413" s="335">
        <f>CX407/CU407</f>
        <v>3.172734162436034E-2</v>
      </c>
      <c r="CY413" s="143"/>
      <c r="CZ413" s="5"/>
      <c r="DC413" s="410">
        <f>'[4]побудинковий звіт'!DC404</f>
        <v>11894135.399999999</v>
      </c>
      <c r="DD413" s="410">
        <f>'[4]побудинковий звіт'!DD404</f>
        <v>891875.60999999987</v>
      </c>
      <c r="DE413" s="410">
        <f>'[4]побудинковий звіт'!DE404</f>
        <v>5899642.9665197395</v>
      </c>
      <c r="DF413" s="410">
        <f>'[4]побудинковий звіт'!DF404</f>
        <v>667754.40251165139</v>
      </c>
      <c r="DG413" s="7">
        <f>'кошти 01.03.2021'!D402</f>
        <v>6309458.6869720044</v>
      </c>
      <c r="DH413" s="7">
        <f>'[3]побудинковий звіт'!$DJ$404</f>
        <v>71097747.131917343</v>
      </c>
      <c r="DT413" s="5"/>
      <c r="DU413" s="5"/>
    </row>
    <row r="414" spans="1:130" x14ac:dyDescent="0.3">
      <c r="A414" s="276"/>
      <c r="C414" s="26" t="s">
        <v>987</v>
      </c>
      <c r="D414" s="3"/>
      <c r="E414" s="33"/>
      <c r="F414" s="28"/>
      <c r="G414" s="51"/>
      <c r="H414" s="309"/>
      <c r="I414" s="5"/>
      <c r="J414" s="335">
        <f>J408/I408</f>
        <v>1.1031509683529264</v>
      </c>
      <c r="K414" s="335"/>
      <c r="L414" s="335"/>
      <c r="M414" s="335">
        <f>M408/L408</f>
        <v>1.1024350243283096</v>
      </c>
      <c r="N414" s="335"/>
      <c r="O414" s="335"/>
      <c r="P414" s="335">
        <f>P408/O408</f>
        <v>0.99971728794816639</v>
      </c>
      <c r="Q414" s="335"/>
      <c r="R414" s="335"/>
      <c r="S414" s="335">
        <f>S408/R408</f>
        <v>0.99996261967401046</v>
      </c>
      <c r="T414" s="335"/>
      <c r="U414" s="335"/>
      <c r="V414" s="335">
        <f>V408/U408</f>
        <v>3.360919566982747</v>
      </c>
      <c r="W414" s="335"/>
      <c r="X414" s="335"/>
      <c r="Y414" s="335">
        <f>Y408/X408</f>
        <v>0.85779021228780916</v>
      </c>
      <c r="Z414" s="335"/>
      <c r="AA414" s="335"/>
      <c r="AB414" s="335">
        <f>AB408/AA408</f>
        <v>0.24577185039032923</v>
      </c>
      <c r="AC414" s="335"/>
      <c r="AD414" s="335"/>
      <c r="AE414" s="335">
        <f>AE408/AD408</f>
        <v>1.0702503085175026</v>
      </c>
      <c r="AF414" s="335"/>
      <c r="AG414" s="336"/>
      <c r="AH414" s="335">
        <f>AH408/AG408</f>
        <v>1.0315389470363692</v>
      </c>
      <c r="AI414" s="335"/>
      <c r="AJ414" s="335"/>
      <c r="AK414" s="335">
        <f>AK408/AJ408</f>
        <v>0.99107600942127116</v>
      </c>
      <c r="AL414" s="335"/>
      <c r="AM414" s="335"/>
      <c r="AN414" s="335">
        <f>AN408/AM408</f>
        <v>0.42084710510926637</v>
      </c>
      <c r="AO414" s="335"/>
      <c r="AP414" s="335"/>
      <c r="AQ414" s="335">
        <f>AQ408/AP408</f>
        <v>0.77845241982714708</v>
      </c>
      <c r="AR414" s="335"/>
      <c r="AS414" s="335"/>
      <c r="AT414" s="335">
        <f>AT408/AS408</f>
        <v>1.0248971070535171</v>
      </c>
      <c r="AU414" s="335"/>
      <c r="AV414" s="335"/>
      <c r="AW414" s="335">
        <f>AW408/AV408</f>
        <v>0.45359479801988234</v>
      </c>
      <c r="AX414" s="335"/>
      <c r="AY414" s="335"/>
      <c r="AZ414" s="335">
        <f>AZ408/AY408</f>
        <v>0.24619110170711397</v>
      </c>
      <c r="BA414" s="335"/>
      <c r="BB414" s="335"/>
      <c r="BC414" s="335">
        <f>BC408/BB408</f>
        <v>0.55192995536014378</v>
      </c>
      <c r="BD414" s="335"/>
      <c r="BE414" s="335"/>
      <c r="BF414" s="335">
        <f>BF408/BE408</f>
        <v>5.4697343074003403E-2</v>
      </c>
      <c r="BG414" s="335"/>
      <c r="BH414" s="335"/>
      <c r="BI414" s="335">
        <f>BI408/BH408</f>
        <v>0.25410864168250535</v>
      </c>
      <c r="BJ414" s="335"/>
      <c r="BK414" s="335"/>
      <c r="BL414" s="335">
        <f>BL408/BK408</f>
        <v>0.64555791831967568</v>
      </c>
      <c r="BM414" s="335"/>
      <c r="BN414" s="335"/>
      <c r="BO414" s="335">
        <f>BO408/BN408</f>
        <v>0.7170861773669589</v>
      </c>
      <c r="BP414" s="335"/>
      <c r="BQ414" s="336"/>
      <c r="BR414" s="335">
        <f>BR408/BQ408</f>
        <v>0.40887765118918201</v>
      </c>
      <c r="BS414" s="335"/>
      <c r="BT414" s="335"/>
      <c r="BU414" s="335">
        <f>BU408/BT408</f>
        <v>1.1698058254754768</v>
      </c>
      <c r="BV414" s="335"/>
      <c r="BW414" s="336"/>
      <c r="BX414" s="335">
        <f>BX408/BW408</f>
        <v>0.95659841913297605</v>
      </c>
      <c r="BY414" s="335"/>
      <c r="BZ414" s="335"/>
      <c r="CA414" s="335">
        <f>CA408/BZ408</f>
        <v>0.75243534582848892</v>
      </c>
      <c r="CB414" s="335"/>
      <c r="CC414" s="335"/>
      <c r="CD414" s="335">
        <f>CD408/CC408</f>
        <v>1.0913077374341207</v>
      </c>
      <c r="CE414" s="335"/>
      <c r="CF414" s="335"/>
      <c r="CG414" s="335">
        <f>CG408/CF408</f>
        <v>0.93812809152903742</v>
      </c>
      <c r="CH414" s="335"/>
      <c r="CI414" s="335"/>
      <c r="CJ414" s="335">
        <f>CJ408/CI408</f>
        <v>0.88025464959763133</v>
      </c>
      <c r="CK414" s="335"/>
      <c r="CL414" s="335"/>
      <c r="CM414" s="335">
        <f>CM408/CL408</f>
        <v>1.0427317019935129</v>
      </c>
      <c r="CN414" s="335"/>
      <c r="CO414" s="335"/>
      <c r="CP414" s="335">
        <f>CP408/CO408</f>
        <v>0.91763507309670733</v>
      </c>
      <c r="CQ414" s="335"/>
      <c r="CR414" s="335"/>
      <c r="CS414" s="335">
        <f>CS408/CR408</f>
        <v>0.96990321051049044</v>
      </c>
      <c r="CT414" s="335"/>
      <c r="CU414" s="335"/>
      <c r="CV414" s="335">
        <f>CV408/CU408</f>
        <v>0.96990321051048967</v>
      </c>
      <c r="CW414" s="5"/>
      <c r="CX414" s="335">
        <f t="shared" ref="CX414:CX415" si="555">CX408/CU408</f>
        <v>3.3854698507502765E-2</v>
      </c>
      <c r="CY414" s="143"/>
      <c r="CZ414" s="5"/>
      <c r="DD414" s="415"/>
      <c r="DT414" s="5"/>
      <c r="DU414" s="5"/>
    </row>
    <row r="415" spans="1:130" x14ac:dyDescent="0.3">
      <c r="A415" s="276"/>
      <c r="C415" s="26" t="s">
        <v>988</v>
      </c>
      <c r="D415" s="3"/>
      <c r="E415" s="33"/>
      <c r="F415" s="28"/>
      <c r="G415" s="51"/>
      <c r="H415" s="309"/>
      <c r="I415" s="5"/>
      <c r="J415" s="335">
        <f>J409/I409</f>
        <v>0.98234311066010238</v>
      </c>
      <c r="K415" s="335"/>
      <c r="L415" s="335"/>
      <c r="M415" s="335">
        <f>M409/L409</f>
        <v>1.0092534675270453</v>
      </c>
      <c r="N415" s="335"/>
      <c r="O415" s="335"/>
      <c r="P415" s="335">
        <f>P409/O409</f>
        <v>1.0009693761128238</v>
      </c>
      <c r="Q415" s="335"/>
      <c r="R415" s="335"/>
      <c r="S415" s="335">
        <f>S409/R409</f>
        <v>1.0015431481477071</v>
      </c>
      <c r="T415" s="335"/>
      <c r="U415" s="335"/>
      <c r="V415" s="335">
        <f>V409/U409</f>
        <v>0.86784939508472159</v>
      </c>
      <c r="W415" s="335"/>
      <c r="X415" s="335"/>
      <c r="Y415" s="335">
        <f>Y409/X409</f>
        <v>0.88635655611963704</v>
      </c>
      <c r="Z415" s="335"/>
      <c r="AA415" s="335"/>
      <c r="AB415" s="335">
        <f>AB409/AA409</f>
        <v>1.5967776814893808E-2</v>
      </c>
      <c r="AC415" s="335"/>
      <c r="AD415" s="335"/>
      <c r="AE415" s="335">
        <f>AE409/AD409</f>
        <v>1.0832948103698132</v>
      </c>
      <c r="AF415" s="335"/>
      <c r="AG415" s="336"/>
      <c r="AH415" s="335">
        <f>AH409/AG409</f>
        <v>0.98996176169263927</v>
      </c>
      <c r="AI415" s="335"/>
      <c r="AJ415" s="335"/>
      <c r="AK415" s="335">
        <f>AK409/AJ409</f>
        <v>0.99381259030659774</v>
      </c>
      <c r="AL415" s="335"/>
      <c r="AM415" s="335"/>
      <c r="AN415" s="335">
        <f>AN409/AM409</f>
        <v>0.26865769452808691</v>
      </c>
      <c r="AO415" s="335"/>
      <c r="AP415" s="335"/>
      <c r="AQ415" s="335">
        <f>AQ409/AP409</f>
        <v>0.86553927872065739</v>
      </c>
      <c r="AR415" s="335"/>
      <c r="AS415" s="335"/>
      <c r="AT415" s="335">
        <f>AT409/AS409</f>
        <v>0.78977977440746239</v>
      </c>
      <c r="AU415" s="335"/>
      <c r="AV415" s="335"/>
      <c r="AW415" s="335">
        <f>AW409/AV409</f>
        <v>0.35908089498620654</v>
      </c>
      <c r="AX415" s="335"/>
      <c r="AY415" s="335"/>
      <c r="AZ415" s="335">
        <f>AZ409/AY409</f>
        <v>0.65638527531685997</v>
      </c>
      <c r="BA415" s="335"/>
      <c r="BB415" s="335"/>
      <c r="BC415" s="335">
        <f>BC409/BB409</f>
        <v>1.0420006369555663</v>
      </c>
      <c r="BD415" s="335"/>
      <c r="BE415" s="335"/>
      <c r="BF415" s="335">
        <f>BF409/BE409</f>
        <v>0.34974544982670641</v>
      </c>
      <c r="BG415" s="335"/>
      <c r="BH415" s="335"/>
      <c r="BI415" s="335">
        <f>BI409/BH409</f>
        <v>0.2001443708054581</v>
      </c>
      <c r="BJ415" s="335"/>
      <c r="BK415" s="335"/>
      <c r="BL415" s="335">
        <f>BL409/BK409</f>
        <v>0.2906550028566724</v>
      </c>
      <c r="BM415" s="335"/>
      <c r="BN415" s="335"/>
      <c r="BO415" s="335">
        <f>BO409/BN409</f>
        <v>1.4337941157533487</v>
      </c>
      <c r="BP415" s="335"/>
      <c r="BQ415" s="336"/>
      <c r="BR415" s="335">
        <f>BR409/BQ409</f>
        <v>0.52281718021348667</v>
      </c>
      <c r="BS415" s="335"/>
      <c r="BT415" s="335"/>
      <c r="BU415" s="335">
        <f>BU409/BT409</f>
        <v>1.015153219064999</v>
      </c>
      <c r="BV415" s="335"/>
      <c r="BW415" s="336"/>
      <c r="BX415" s="335">
        <f>BX409/BW409</f>
        <v>0.96747464177057252</v>
      </c>
      <c r="BY415" s="335"/>
      <c r="BZ415" s="335"/>
      <c r="CA415" s="335">
        <f>CA409/BZ409</f>
        <v>1.2206138386635372</v>
      </c>
      <c r="CB415" s="335"/>
      <c r="CC415" s="335"/>
      <c r="CD415" s="335">
        <f>CD409/CC409</f>
        <v>1.0892558465273328</v>
      </c>
      <c r="CE415" s="335"/>
      <c r="CF415" s="335"/>
      <c r="CG415" s="335">
        <f>CG409/CF409</f>
        <v>1.0373085662353756</v>
      </c>
      <c r="CH415" s="335"/>
      <c r="CI415" s="335"/>
      <c r="CJ415" s="335">
        <f>CJ409/CI409</f>
        <v>0.86542934925104742</v>
      </c>
      <c r="CK415" s="335"/>
      <c r="CL415" s="335"/>
      <c r="CM415" s="335">
        <f>CM409/CL409</f>
        <v>0.99233620217612639</v>
      </c>
      <c r="CN415" s="335"/>
      <c r="CO415" s="335"/>
      <c r="CP415" s="335">
        <f>CP409/CO409</f>
        <v>0.90721273707598882</v>
      </c>
      <c r="CQ415" s="335"/>
      <c r="CR415" s="335"/>
      <c r="CS415" s="335">
        <f>CS409/CR409</f>
        <v>0.91327843731314307</v>
      </c>
      <c r="CT415" s="335"/>
      <c r="CU415" s="335"/>
      <c r="CV415" s="335">
        <f>CV409/CU409</f>
        <v>0.9132784373131434</v>
      </c>
      <c r="CW415" s="5"/>
      <c r="CX415" s="335">
        <f t="shared" si="555"/>
        <v>3.4967341921587694E-2</v>
      </c>
      <c r="CY415" s="143"/>
      <c r="CZ415" s="5"/>
      <c r="DD415" s="410"/>
      <c r="DT415" s="5"/>
      <c r="DU415" s="5"/>
    </row>
    <row r="416" spans="1:130" x14ac:dyDescent="0.3">
      <c r="A416" s="276"/>
      <c r="C416" s="30" t="s">
        <v>975</v>
      </c>
      <c r="D416" s="3"/>
      <c r="E416" s="33"/>
      <c r="F416" s="28"/>
      <c r="G416" s="51"/>
      <c r="H416" s="309"/>
      <c r="I416" s="5"/>
      <c r="J416" s="336">
        <f>J410/I410</f>
        <v>0.99965908863825281</v>
      </c>
      <c r="K416" s="335"/>
      <c r="L416" s="335"/>
      <c r="M416" s="336">
        <f>M410/L410</f>
        <v>1.0130740070380397</v>
      </c>
      <c r="N416" s="335"/>
      <c r="O416" s="335"/>
      <c r="P416" s="336">
        <f>P410/O410</f>
        <v>1.0001875938183065</v>
      </c>
      <c r="Q416" s="335"/>
      <c r="R416" s="335"/>
      <c r="S416" s="336">
        <f>S410/R410</f>
        <v>1.0004763640927921</v>
      </c>
      <c r="T416" s="335"/>
      <c r="U416" s="335"/>
      <c r="V416" s="336">
        <f>V410/U410</f>
        <v>1.0026366182300908</v>
      </c>
      <c r="W416" s="335"/>
      <c r="X416" s="335"/>
      <c r="Y416" s="336">
        <f>Y410/X410</f>
        <v>0.8719236795211589</v>
      </c>
      <c r="Z416" s="335"/>
      <c r="AA416" s="335"/>
      <c r="AB416" s="336">
        <f>AB410/AA410</f>
        <v>9.1582341661871056E-2</v>
      </c>
      <c r="AC416" s="335"/>
      <c r="AD416" s="335"/>
      <c r="AE416" s="336">
        <f>AE410/AD410</f>
        <v>1.0744020666853331</v>
      </c>
      <c r="AF416" s="335"/>
      <c r="AG416" s="336"/>
      <c r="AH416" s="336">
        <f>AH410/AG410</f>
        <v>0.99223997887155746</v>
      </c>
      <c r="AI416" s="335"/>
      <c r="AJ416" s="335"/>
      <c r="AK416" s="336">
        <f>AK410/AJ410</f>
        <v>0.99213451533176511</v>
      </c>
      <c r="AL416" s="335"/>
      <c r="AM416" s="335"/>
      <c r="AN416" s="336">
        <f>AN410/AM410</f>
        <v>0.41406636256412027</v>
      </c>
      <c r="AO416" s="335"/>
      <c r="AP416" s="335"/>
      <c r="AQ416" s="336">
        <f>AQ410/AP410</f>
        <v>0.81961998119443524</v>
      </c>
      <c r="AR416" s="335"/>
      <c r="AS416" s="335"/>
      <c r="AT416" s="336">
        <f>AT410/AS410</f>
        <v>0.99207273304337085</v>
      </c>
      <c r="AU416" s="335"/>
      <c r="AV416" s="335"/>
      <c r="AW416" s="336">
        <f>AW410/AV410</f>
        <v>0.42881883163321388</v>
      </c>
      <c r="AX416" s="335"/>
      <c r="AY416" s="335"/>
      <c r="AZ416" s="336">
        <f>AZ410/AY410</f>
        <v>0.64081519669791165</v>
      </c>
      <c r="BA416" s="335"/>
      <c r="BB416" s="335"/>
      <c r="BC416" s="336">
        <f>BC410/BB410</f>
        <v>0.75612628882152888</v>
      </c>
      <c r="BD416" s="335"/>
      <c r="BE416" s="335"/>
      <c r="BF416" s="336">
        <f>BF410/BE410</f>
        <v>0.60547953484956474</v>
      </c>
      <c r="BG416" s="335"/>
      <c r="BH416" s="335"/>
      <c r="BI416" s="336">
        <f>BI410/BH410</f>
        <v>0.20640301194994684</v>
      </c>
      <c r="BJ416" s="335"/>
      <c r="BK416" s="335"/>
      <c r="BL416" s="336">
        <f>BL410/BK410</f>
        <v>0.39963159810585991</v>
      </c>
      <c r="BM416" s="335"/>
      <c r="BN416" s="335"/>
      <c r="BO416" s="336">
        <f>BO410/BN410</f>
        <v>0.92397038346675531</v>
      </c>
      <c r="BP416" s="335"/>
      <c r="BQ416" s="336"/>
      <c r="BR416" s="336">
        <f>BR410/BQ410</f>
        <v>0.53953896768736764</v>
      </c>
      <c r="BS416" s="335"/>
      <c r="BT416" s="335"/>
      <c r="BU416" s="336">
        <f>BU410/BT410</f>
        <v>1.0718035541481028</v>
      </c>
      <c r="BV416" s="335"/>
      <c r="BW416" s="336"/>
      <c r="BX416" s="336">
        <f>BX410/BW410</f>
        <v>0.97352468144351523</v>
      </c>
      <c r="BY416" s="335"/>
      <c r="BZ416" s="335"/>
      <c r="CA416" s="336">
        <f>CA410/BZ410</f>
        <v>0.96149076947382328</v>
      </c>
      <c r="CB416" s="335"/>
      <c r="CC416" s="335"/>
      <c r="CD416" s="336">
        <f>CD410/CC410</f>
        <v>1.0889361709098335</v>
      </c>
      <c r="CE416" s="335"/>
      <c r="CF416" s="335"/>
      <c r="CG416" s="336">
        <f>CG410/CF410</f>
        <v>0.82256992680855701</v>
      </c>
      <c r="CH416" s="335"/>
      <c r="CI416" s="335"/>
      <c r="CJ416" s="336">
        <f>CJ410/CI410</f>
        <v>0.84873479691259313</v>
      </c>
      <c r="CK416" s="335"/>
      <c r="CL416" s="335"/>
      <c r="CM416" s="336">
        <f>CM410/CL410</f>
        <v>0.95910022891048718</v>
      </c>
      <c r="CN416" s="335"/>
      <c r="CO416" s="335"/>
      <c r="CP416" s="336">
        <f>CP410/CO410</f>
        <v>0.88773274801915991</v>
      </c>
      <c r="CQ416" s="335"/>
      <c r="CR416" s="335"/>
      <c r="CS416" s="336">
        <f>CS410/CR410</f>
        <v>0.96294908907994148</v>
      </c>
      <c r="CT416" s="335"/>
      <c r="CU416" s="335"/>
      <c r="CV416" s="336">
        <f>CV410/CU410</f>
        <v>0.96294908907994137</v>
      </c>
      <c r="CW416" s="5"/>
      <c r="CX416" s="5"/>
      <c r="CY416" s="144"/>
      <c r="CZ416" s="5"/>
      <c r="DA416" s="7">
        <f>'[2]побудинковий звіт'!$DA$404</f>
        <v>3015282.5283802152</v>
      </c>
      <c r="DT416" s="5"/>
      <c r="DU416" s="5"/>
    </row>
    <row r="418" spans="43:102" x14ac:dyDescent="0.3">
      <c r="CX418" s="93">
        <f>(CU407+CX407)/E407/DA1</f>
        <v>8.3435718687331129</v>
      </c>
    </row>
    <row r="419" spans="43:102" x14ac:dyDescent="0.3">
      <c r="CA419" s="7">
        <f>BU404+CA404</f>
        <v>12805231.674305838</v>
      </c>
      <c r="CX419" s="93">
        <f>(CU408+CX408)/E408/DA1</f>
        <v>6.7989060145807985</v>
      </c>
    </row>
    <row r="420" spans="43:102" x14ac:dyDescent="0.3">
      <c r="AQ420" s="7">
        <v>155017</v>
      </c>
      <c r="CA420" s="7" t="e">
        <f>#REF!</f>
        <v>#REF!</v>
      </c>
      <c r="CX420" s="93">
        <f>(CU409+CX409)/E409/DA1</f>
        <v>7.4548407133803005</v>
      </c>
    </row>
    <row r="421" spans="43:102" x14ac:dyDescent="0.3">
      <c r="AQ421" s="7">
        <f>AQ404-AQ420</f>
        <v>986693.95271730726</v>
      </c>
    </row>
    <row r="422" spans="43:102" x14ac:dyDescent="0.3">
      <c r="CT422" s="7" t="s">
        <v>1072</v>
      </c>
      <c r="CU422" s="7">
        <f>'[5]Складові тарифу'!G41</f>
        <v>26576889.599999998</v>
      </c>
      <c r="CV422" s="7">
        <f>'[5]Складові тарифу'!H41</f>
        <v>25391430</v>
      </c>
    </row>
    <row r="423" spans="43:102" x14ac:dyDescent="0.3">
      <c r="CU423" s="7">
        <f>CU404-CU422</f>
        <v>39923504.712531209</v>
      </c>
      <c r="CV423" s="7">
        <f>CV404-CV422</f>
        <v>38645064.126708873</v>
      </c>
    </row>
  </sheetData>
  <autoFilter ref="A8:DR405" xr:uid="{00000000-0009-0000-0000-000002000000}"/>
  <sortState xmlns:xlrd2="http://schemas.microsoft.com/office/spreadsheetml/2017/richdata2" ref="C9:CY435">
    <sortCondition ref="C9:C435"/>
  </sortState>
  <mergeCells count="54">
    <mergeCell ref="DX6:DZ6"/>
    <mergeCell ref="AP6:AR7"/>
    <mergeCell ref="BT6:BV7"/>
    <mergeCell ref="AV7:AX7"/>
    <mergeCell ref="BE7:BG7"/>
    <mergeCell ref="BH7:BJ7"/>
    <mergeCell ref="BN7:BP7"/>
    <mergeCell ref="CI6:CQ6"/>
    <mergeCell ref="CO7:CQ7"/>
    <mergeCell ref="BQ7:BS7"/>
    <mergeCell ref="AV6:BS6"/>
    <mergeCell ref="AY7:BA7"/>
    <mergeCell ref="BB7:BD7"/>
    <mergeCell ref="BK7:BM7"/>
    <mergeCell ref="CF6:CH7"/>
    <mergeCell ref="CI7:CK7"/>
    <mergeCell ref="AG7:AI7"/>
    <mergeCell ref="I6:AI6"/>
    <mergeCell ref="I7:K7"/>
    <mergeCell ref="AJ6:AL7"/>
    <mergeCell ref="AM6:AO7"/>
    <mergeCell ref="A6:A8"/>
    <mergeCell ref="L7:N7"/>
    <mergeCell ref="O7:Q7"/>
    <mergeCell ref="R7:T7"/>
    <mergeCell ref="AS6:AU7"/>
    <mergeCell ref="U7:W7"/>
    <mergeCell ref="X7:Z7"/>
    <mergeCell ref="AA7:AC7"/>
    <mergeCell ref="B6:B8"/>
    <mergeCell ref="C6:C8"/>
    <mergeCell ref="D6:D8"/>
    <mergeCell ref="F6:F8"/>
    <mergeCell ref="G6:G8"/>
    <mergeCell ref="H6:H8"/>
    <mergeCell ref="E6:E8"/>
    <mergeCell ref="AD7:AF7"/>
    <mergeCell ref="CC6:CE7"/>
    <mergeCell ref="CR6:CT7"/>
    <mergeCell ref="CU6:CW7"/>
    <mergeCell ref="BW6:BY7"/>
    <mergeCell ref="BZ6:CB7"/>
    <mergeCell ref="CL7:CN7"/>
    <mergeCell ref="DL6:DL8"/>
    <mergeCell ref="DG6:DG8"/>
    <mergeCell ref="CX6:CZ7"/>
    <mergeCell ref="DH6:DH8"/>
    <mergeCell ref="DA6:DA8"/>
    <mergeCell ref="DC7:DD7"/>
    <mergeCell ref="DC6:DD6"/>
    <mergeCell ref="DE6:DE8"/>
    <mergeCell ref="DJ6:DJ8"/>
    <mergeCell ref="DK6:DK8"/>
    <mergeCell ref="DF6:DF8"/>
  </mergeCells>
  <conditionalFormatting sqref="A163">
    <cfRule type="duplicateValues" dxfId="12" priority="1"/>
  </conditionalFormatting>
  <pageMargins left="0.11811023622047245" right="0.11811023622047245" top="0.15748031496062992" bottom="0.15748031496062992" header="0.31496062992125984" footer="0.31496062992125984"/>
  <pageSetup paperSize="9" scale="7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D528D-2DA3-47CE-B91D-54D2CEC84A59}">
  <dimension ref="A1:DX421"/>
  <sheetViews>
    <sheetView topLeftCell="F1" workbookViewId="0">
      <selection activeCell="O5" sqref="O5:CZ5"/>
    </sheetView>
  </sheetViews>
  <sheetFormatPr defaultColWidth="8.88671875" defaultRowHeight="14.4" x14ac:dyDescent="0.3"/>
  <cols>
    <col min="1" max="1" width="13.109375" style="324" customWidth="1"/>
    <col min="2" max="2" width="8.88671875" style="1"/>
    <col min="3" max="3" width="37.44140625" style="1" customWidth="1"/>
    <col min="4" max="4" width="38.6640625" style="1" customWidth="1"/>
    <col min="5" max="5" width="15.6640625" style="32" customWidth="1"/>
    <col min="6" max="6" width="14.33203125" style="93" customWidth="1"/>
    <col min="7" max="7" width="11.6640625" style="49" customWidth="1"/>
    <col min="8" max="8" width="12.44140625" style="308" customWidth="1"/>
    <col min="9" max="9" width="10.88671875" style="7" customWidth="1"/>
    <col min="10" max="10" width="8.88671875" style="7"/>
    <col min="11" max="11" width="9.5546875" style="7" customWidth="1"/>
    <col min="12" max="12" width="12.44140625" style="7" customWidth="1"/>
    <col min="13" max="13" width="10.88671875" style="7" customWidth="1"/>
    <col min="14" max="14" width="10.109375" style="7" customWidth="1"/>
    <col min="15" max="17" width="10.88671875" style="7" customWidth="1"/>
    <col min="18" max="20" width="11.44140625" style="7" customWidth="1"/>
    <col min="21" max="23" width="10.6640625" style="7" customWidth="1"/>
    <col min="24" max="26" width="12.109375" style="7" customWidth="1"/>
    <col min="27" max="29" width="10.6640625" style="7" customWidth="1"/>
    <col min="30" max="32" width="14.109375" style="7" customWidth="1"/>
    <col min="33" max="33" width="14.109375" style="50" customWidth="1"/>
    <col min="34" max="35" width="14.109375" style="7" customWidth="1"/>
    <col min="36" max="38" width="10.33203125" style="7" customWidth="1"/>
    <col min="39" max="41" width="10.44140625" style="7" customWidth="1"/>
    <col min="42" max="44" width="11.109375" style="7" customWidth="1"/>
    <col min="45" max="47" width="12.109375" style="7" customWidth="1"/>
    <col min="48" max="50" width="11.33203125" style="7" customWidth="1"/>
    <col min="51" max="51" width="10.33203125" style="7" customWidth="1"/>
    <col min="52" max="52" width="8.109375" style="7" customWidth="1"/>
    <col min="53" max="54" width="10.88671875" style="7" customWidth="1"/>
    <col min="55" max="56" width="12.44140625" style="7" customWidth="1"/>
    <col min="57" max="59" width="12.109375" style="7" customWidth="1"/>
    <col min="60" max="62" width="11.5546875" style="7" customWidth="1"/>
    <col min="63" max="65" width="11.109375" style="7" customWidth="1"/>
    <col min="66" max="68" width="10.5546875" style="7" customWidth="1"/>
    <col min="69" max="69" width="10.5546875" style="50" customWidth="1"/>
    <col min="70" max="71" width="10.5546875" style="7" customWidth="1"/>
    <col min="72" max="74" width="11.6640625" style="7" customWidth="1"/>
    <col min="75" max="75" width="11.44140625" style="50" customWidth="1"/>
    <col min="76" max="77" width="11.44140625" style="7" customWidth="1"/>
    <col min="78" max="80" width="12.44140625" style="7" customWidth="1"/>
    <col min="81" max="81" width="10.6640625" style="7" customWidth="1"/>
    <col min="82" max="82" width="8.44140625" style="7" customWidth="1"/>
    <col min="83" max="83" width="11.33203125" style="7" customWidth="1"/>
    <col min="84" max="84" width="10.6640625" style="7" customWidth="1"/>
    <col min="85" max="85" width="10.44140625" style="7" customWidth="1"/>
    <col min="86" max="86" width="10.6640625" style="7" customWidth="1"/>
    <col min="87" max="89" width="12.44140625" style="7" customWidth="1"/>
    <col min="90" max="95" width="11.33203125" style="7" customWidth="1"/>
    <col min="96" max="96" width="12.6640625" style="7" customWidth="1"/>
    <col min="97" max="97" width="10.6640625" style="7" customWidth="1"/>
    <col min="98" max="98" width="11.44140625" style="7" customWidth="1"/>
    <col min="99" max="99" width="12.44140625" style="7" customWidth="1"/>
    <col min="100" max="100" width="12.88671875" style="50" customWidth="1"/>
    <col min="101" max="101" width="13" style="7" customWidth="1"/>
    <col min="102" max="102" width="13.109375" style="7" customWidth="1"/>
    <col min="103" max="103" width="10.33203125" style="7" customWidth="1"/>
    <col min="104" max="104" width="10.44140625" style="7" customWidth="1"/>
    <col min="105" max="105" width="22.88671875" style="7" hidden="1" customWidth="1"/>
    <col min="106" max="106" width="8.88671875" style="2" hidden="1" customWidth="1"/>
    <col min="107" max="107" width="15.109375" style="639" hidden="1" customWidth="1"/>
    <col min="108" max="108" width="14.109375" style="640" hidden="1" customWidth="1"/>
    <col min="109" max="109" width="16.5546875" hidden="1" customWidth="1"/>
    <col min="110" max="110" width="8.88671875" style="1" hidden="1" customWidth="1"/>
    <col min="111" max="112" width="22.88671875" style="7" hidden="1" customWidth="1"/>
    <col min="113" max="114" width="8.88671875" style="296" hidden="1" customWidth="1"/>
    <col min="115" max="115" width="8.88671875" style="1" hidden="1" customWidth="1"/>
    <col min="116" max="116" width="16.44140625" style="93" hidden="1" customWidth="1"/>
    <col min="117" max="117" width="14" style="93" hidden="1" customWidth="1"/>
    <col min="118" max="118" width="16" style="1" hidden="1" customWidth="1"/>
    <col min="119" max="119" width="12" style="1" hidden="1" customWidth="1"/>
    <col min="120" max="120" width="16" style="2" hidden="1" customWidth="1"/>
    <col min="121" max="121" width="11.5546875" style="314" hidden="1" customWidth="1"/>
    <col min="122" max="122" width="12.109375" style="1" hidden="1" customWidth="1"/>
    <col min="123" max="123" width="13.88671875" style="7" hidden="1" customWidth="1"/>
    <col min="124" max="124" width="13" style="7" hidden="1" customWidth="1"/>
    <col min="125" max="126" width="0" style="1" hidden="1" customWidth="1"/>
    <col min="127" max="127" width="12.44140625" style="7" hidden="1" customWidth="1"/>
    <col min="128" max="128" width="12.5546875" style="7" hidden="1" customWidth="1"/>
    <col min="129" max="16384" width="8.88671875" style="1"/>
  </cols>
  <sheetData>
    <row r="1" spans="1:128" x14ac:dyDescent="0.3">
      <c r="B1" s="1" t="s">
        <v>0</v>
      </c>
    </row>
    <row r="2" spans="1:128" x14ac:dyDescent="0.3">
      <c r="CV2" s="396"/>
      <c r="CW2" s="397" t="s">
        <v>1053</v>
      </c>
      <c r="CX2" s="388">
        <v>10142722</v>
      </c>
    </row>
    <row r="3" spans="1:128" ht="22.8" x14ac:dyDescent="0.3">
      <c r="B3" s="6" t="s">
        <v>1023</v>
      </c>
      <c r="G3" s="641" t="s">
        <v>1091</v>
      </c>
      <c r="I3" s="642" t="s">
        <v>1092</v>
      </c>
      <c r="BU3" s="392" t="s">
        <v>1093</v>
      </c>
      <c r="CV3" s="396"/>
      <c r="CW3" s="388"/>
      <c r="CX3" s="388">
        <v>9606369.2891292647</v>
      </c>
      <c r="DA3" s="158" t="s">
        <v>1094</v>
      </c>
      <c r="DB3" s="96"/>
      <c r="DF3" s="4"/>
      <c r="DW3" s="389" t="s">
        <v>1050</v>
      </c>
    </row>
    <row r="4" spans="1:128" x14ac:dyDescent="0.3">
      <c r="CV4" s="398"/>
      <c r="CW4" s="388"/>
      <c r="CX4" s="399">
        <v>5.5833030641210257E-2</v>
      </c>
    </row>
    <row r="5" spans="1:128" ht="18" thickBot="1" x14ac:dyDescent="0.35">
      <c r="A5" s="324">
        <v>1</v>
      </c>
      <c r="B5" s="1">
        <f>A5+1</f>
        <v>2</v>
      </c>
      <c r="C5" s="1">
        <f t="shared" ref="C5:BN5" si="0">B5+1</f>
        <v>3</v>
      </c>
      <c r="D5" s="1">
        <f t="shared" si="0"/>
        <v>4</v>
      </c>
      <c r="E5" s="1">
        <f t="shared" si="0"/>
        <v>5</v>
      </c>
      <c r="F5" s="1">
        <f t="shared" si="0"/>
        <v>6</v>
      </c>
      <c r="G5" s="1">
        <f t="shared" si="0"/>
        <v>7</v>
      </c>
      <c r="H5" s="1">
        <f t="shared" si="0"/>
        <v>8</v>
      </c>
      <c r="I5" s="1">
        <f t="shared" si="0"/>
        <v>9</v>
      </c>
      <c r="J5" s="1">
        <f t="shared" si="0"/>
        <v>10</v>
      </c>
      <c r="K5" s="1">
        <f t="shared" si="0"/>
        <v>11</v>
      </c>
      <c r="L5" s="1">
        <f t="shared" si="0"/>
        <v>12</v>
      </c>
      <c r="M5" s="1">
        <f t="shared" si="0"/>
        <v>13</v>
      </c>
      <c r="N5" s="1">
        <f t="shared" si="0"/>
        <v>14</v>
      </c>
      <c r="O5" s="1">
        <f t="shared" si="0"/>
        <v>15</v>
      </c>
      <c r="P5" s="1">
        <f t="shared" si="0"/>
        <v>16</v>
      </c>
      <c r="Q5" s="1">
        <f t="shared" si="0"/>
        <v>17</v>
      </c>
      <c r="R5" s="1">
        <f t="shared" si="0"/>
        <v>18</v>
      </c>
      <c r="S5" s="1">
        <f t="shared" si="0"/>
        <v>19</v>
      </c>
      <c r="T5" s="1">
        <f t="shared" si="0"/>
        <v>20</v>
      </c>
      <c r="U5" s="1">
        <f t="shared" si="0"/>
        <v>21</v>
      </c>
      <c r="V5" s="1">
        <f t="shared" si="0"/>
        <v>22</v>
      </c>
      <c r="W5" s="1">
        <f t="shared" si="0"/>
        <v>23</v>
      </c>
      <c r="X5" s="1">
        <f t="shared" si="0"/>
        <v>24</v>
      </c>
      <c r="Y5" s="1">
        <f t="shared" si="0"/>
        <v>25</v>
      </c>
      <c r="Z5" s="1">
        <f t="shared" si="0"/>
        <v>26</v>
      </c>
      <c r="AA5" s="1">
        <f t="shared" si="0"/>
        <v>27</v>
      </c>
      <c r="AB5" s="1">
        <f t="shared" si="0"/>
        <v>28</v>
      </c>
      <c r="AC5" s="1">
        <f t="shared" si="0"/>
        <v>29</v>
      </c>
      <c r="AD5" s="1">
        <f t="shared" si="0"/>
        <v>30</v>
      </c>
      <c r="AE5" s="1">
        <f t="shared" si="0"/>
        <v>31</v>
      </c>
      <c r="AF5" s="1">
        <f t="shared" si="0"/>
        <v>32</v>
      </c>
      <c r="AG5" s="1">
        <f t="shared" si="0"/>
        <v>33</v>
      </c>
      <c r="AH5" s="1">
        <f t="shared" si="0"/>
        <v>34</v>
      </c>
      <c r="AI5" s="1">
        <f t="shared" si="0"/>
        <v>35</v>
      </c>
      <c r="AJ5" s="1">
        <f t="shared" si="0"/>
        <v>36</v>
      </c>
      <c r="AK5" s="1">
        <f t="shared" si="0"/>
        <v>37</v>
      </c>
      <c r="AL5" s="1">
        <f t="shared" si="0"/>
        <v>38</v>
      </c>
      <c r="AM5" s="1">
        <f t="shared" si="0"/>
        <v>39</v>
      </c>
      <c r="AN5" s="1">
        <f t="shared" si="0"/>
        <v>40</v>
      </c>
      <c r="AO5" s="1">
        <f t="shared" si="0"/>
        <v>41</v>
      </c>
      <c r="AP5" s="1">
        <f t="shared" si="0"/>
        <v>42</v>
      </c>
      <c r="AQ5" s="1">
        <f t="shared" si="0"/>
        <v>43</v>
      </c>
      <c r="AR5" s="1">
        <f t="shared" si="0"/>
        <v>44</v>
      </c>
      <c r="AS5" s="1">
        <f t="shared" si="0"/>
        <v>45</v>
      </c>
      <c r="AT5" s="1">
        <f t="shared" si="0"/>
        <v>46</v>
      </c>
      <c r="AU5" s="1">
        <f t="shared" si="0"/>
        <v>47</v>
      </c>
      <c r="AV5" s="1">
        <f t="shared" si="0"/>
        <v>48</v>
      </c>
      <c r="AW5" s="1">
        <f t="shared" si="0"/>
        <v>49</v>
      </c>
      <c r="AX5" s="1">
        <f t="shared" si="0"/>
        <v>50</v>
      </c>
      <c r="AY5" s="1">
        <f t="shared" si="0"/>
        <v>51</v>
      </c>
      <c r="AZ5" s="1">
        <f t="shared" si="0"/>
        <v>52</v>
      </c>
      <c r="BA5" s="1">
        <f t="shared" si="0"/>
        <v>53</v>
      </c>
      <c r="BB5" s="1">
        <f t="shared" si="0"/>
        <v>54</v>
      </c>
      <c r="BC5" s="1">
        <f t="shared" si="0"/>
        <v>55</v>
      </c>
      <c r="BD5" s="1">
        <f t="shared" si="0"/>
        <v>56</v>
      </c>
      <c r="BE5" s="1">
        <f t="shared" si="0"/>
        <v>57</v>
      </c>
      <c r="BF5" s="1">
        <f t="shared" si="0"/>
        <v>58</v>
      </c>
      <c r="BG5" s="1">
        <f t="shared" si="0"/>
        <v>59</v>
      </c>
      <c r="BH5" s="1">
        <f t="shared" si="0"/>
        <v>60</v>
      </c>
      <c r="BI5" s="1">
        <f t="shared" si="0"/>
        <v>61</v>
      </c>
      <c r="BJ5" s="1">
        <f t="shared" si="0"/>
        <v>62</v>
      </c>
      <c r="BK5" s="1">
        <f t="shared" si="0"/>
        <v>63</v>
      </c>
      <c r="BL5" s="1">
        <f t="shared" si="0"/>
        <v>64</v>
      </c>
      <c r="BM5" s="1">
        <f t="shared" si="0"/>
        <v>65</v>
      </c>
      <c r="BN5" s="1">
        <f t="shared" si="0"/>
        <v>66</v>
      </c>
      <c r="BO5" s="1">
        <f t="shared" ref="BO5:CZ5" si="1">BN5+1</f>
        <v>67</v>
      </c>
      <c r="BP5" s="1">
        <f t="shared" si="1"/>
        <v>68</v>
      </c>
      <c r="BQ5" s="1">
        <f t="shared" si="1"/>
        <v>69</v>
      </c>
      <c r="BR5" s="1">
        <f t="shared" si="1"/>
        <v>70</v>
      </c>
      <c r="BS5" s="1">
        <f t="shared" si="1"/>
        <v>71</v>
      </c>
      <c r="BT5" s="1">
        <f t="shared" si="1"/>
        <v>72</v>
      </c>
      <c r="BU5" s="1">
        <f t="shared" si="1"/>
        <v>73</v>
      </c>
      <c r="BV5" s="1">
        <f t="shared" si="1"/>
        <v>74</v>
      </c>
      <c r="BW5" s="1">
        <f t="shared" si="1"/>
        <v>75</v>
      </c>
      <c r="BX5" s="1">
        <f t="shared" si="1"/>
        <v>76</v>
      </c>
      <c r="BY5" s="1">
        <f t="shared" si="1"/>
        <v>77</v>
      </c>
      <c r="BZ5" s="1">
        <f t="shared" si="1"/>
        <v>78</v>
      </c>
      <c r="CA5" s="1">
        <f t="shared" si="1"/>
        <v>79</v>
      </c>
      <c r="CB5" s="1">
        <f t="shared" si="1"/>
        <v>80</v>
      </c>
      <c r="CC5" s="1">
        <f t="shared" si="1"/>
        <v>81</v>
      </c>
      <c r="CD5" s="1">
        <f t="shared" si="1"/>
        <v>82</v>
      </c>
      <c r="CE5" s="1">
        <f t="shared" si="1"/>
        <v>83</v>
      </c>
      <c r="CF5" s="1">
        <f t="shared" si="1"/>
        <v>84</v>
      </c>
      <c r="CG5" s="1">
        <f t="shared" si="1"/>
        <v>85</v>
      </c>
      <c r="CH5" s="1">
        <f t="shared" si="1"/>
        <v>86</v>
      </c>
      <c r="CI5" s="1">
        <f t="shared" si="1"/>
        <v>87</v>
      </c>
      <c r="CJ5" s="1">
        <f t="shared" si="1"/>
        <v>88</v>
      </c>
      <c r="CK5" s="1">
        <f t="shared" si="1"/>
        <v>89</v>
      </c>
      <c r="CL5" s="1">
        <f t="shared" si="1"/>
        <v>90</v>
      </c>
      <c r="CM5" s="1">
        <f t="shared" si="1"/>
        <v>91</v>
      </c>
      <c r="CN5" s="1">
        <f t="shared" si="1"/>
        <v>92</v>
      </c>
      <c r="CO5" s="1">
        <f t="shared" si="1"/>
        <v>93</v>
      </c>
      <c r="CP5" s="1">
        <f t="shared" si="1"/>
        <v>94</v>
      </c>
      <c r="CQ5" s="1">
        <f t="shared" si="1"/>
        <v>95</v>
      </c>
      <c r="CR5" s="1">
        <f t="shared" si="1"/>
        <v>96</v>
      </c>
      <c r="CS5" s="1">
        <f t="shared" si="1"/>
        <v>97</v>
      </c>
      <c r="CT5" s="1">
        <f t="shared" si="1"/>
        <v>98</v>
      </c>
      <c r="CU5" s="1">
        <f t="shared" si="1"/>
        <v>99</v>
      </c>
      <c r="CV5" s="1">
        <f t="shared" si="1"/>
        <v>100</v>
      </c>
      <c r="CW5" s="1">
        <f t="shared" si="1"/>
        <v>101</v>
      </c>
      <c r="CX5" s="1">
        <f t="shared" si="1"/>
        <v>102</v>
      </c>
      <c r="CY5" s="1">
        <f t="shared" si="1"/>
        <v>103</v>
      </c>
      <c r="CZ5" s="1">
        <f t="shared" si="1"/>
        <v>104</v>
      </c>
      <c r="DA5" s="331">
        <v>103</v>
      </c>
      <c r="DB5" s="331">
        <v>104</v>
      </c>
      <c r="DC5" s="331">
        <v>105</v>
      </c>
      <c r="DD5" s="331">
        <v>106</v>
      </c>
      <c r="DE5" s="331">
        <v>107</v>
      </c>
    </row>
    <row r="6" spans="1:128" s="277" customFormat="1" ht="61.95" customHeight="1" thickBot="1" x14ac:dyDescent="0.35">
      <c r="A6" s="1091" t="s">
        <v>1038</v>
      </c>
      <c r="B6" s="1042" t="s">
        <v>850</v>
      </c>
      <c r="C6" s="1042" t="s">
        <v>1</v>
      </c>
      <c r="D6" s="1045" t="s">
        <v>2</v>
      </c>
      <c r="E6" s="1057" t="s">
        <v>431</v>
      </c>
      <c r="F6" s="1048" t="s">
        <v>3</v>
      </c>
      <c r="G6" s="1051" t="s">
        <v>4</v>
      </c>
      <c r="H6" s="1054" t="s">
        <v>5</v>
      </c>
      <c r="I6" s="1060" t="s">
        <v>444</v>
      </c>
      <c r="J6" s="1061"/>
      <c r="K6" s="1061"/>
      <c r="L6" s="1061"/>
      <c r="M6" s="1061"/>
      <c r="N6" s="1061"/>
      <c r="O6" s="1061"/>
      <c r="P6" s="1061"/>
      <c r="Q6" s="1061"/>
      <c r="R6" s="1061"/>
      <c r="S6" s="1061"/>
      <c r="T6" s="1061"/>
      <c r="U6" s="1061"/>
      <c r="V6" s="1061"/>
      <c r="W6" s="1061"/>
      <c r="X6" s="1061"/>
      <c r="Y6" s="1061"/>
      <c r="Z6" s="1061"/>
      <c r="AA6" s="1061"/>
      <c r="AB6" s="1061"/>
      <c r="AC6" s="1061"/>
      <c r="AD6" s="1061"/>
      <c r="AE6" s="1061"/>
      <c r="AF6" s="1061"/>
      <c r="AG6" s="1061"/>
      <c r="AH6" s="1061"/>
      <c r="AI6" s="1062"/>
      <c r="AJ6" s="1063" t="s">
        <v>7</v>
      </c>
      <c r="AK6" s="1064"/>
      <c r="AL6" s="1065"/>
      <c r="AM6" s="1069" t="s">
        <v>8</v>
      </c>
      <c r="AN6" s="1064"/>
      <c r="AO6" s="1064"/>
      <c r="AP6" s="1004" t="s">
        <v>9</v>
      </c>
      <c r="AQ6" s="1064"/>
      <c r="AR6" s="1064"/>
      <c r="AS6" s="988" t="s">
        <v>11</v>
      </c>
      <c r="AT6" s="1037"/>
      <c r="AU6" s="1038"/>
      <c r="AV6" s="1086" t="s">
        <v>452</v>
      </c>
      <c r="AW6" s="1086"/>
      <c r="AX6" s="1086"/>
      <c r="AY6" s="1086"/>
      <c r="AZ6" s="1086"/>
      <c r="BA6" s="1086"/>
      <c r="BB6" s="1086"/>
      <c r="BC6" s="1086"/>
      <c r="BD6" s="1086"/>
      <c r="BE6" s="1086"/>
      <c r="BF6" s="1086"/>
      <c r="BG6" s="1086"/>
      <c r="BH6" s="1086"/>
      <c r="BI6" s="1086"/>
      <c r="BJ6" s="1086"/>
      <c r="BK6" s="1086"/>
      <c r="BL6" s="1086"/>
      <c r="BM6" s="1086"/>
      <c r="BN6" s="1086"/>
      <c r="BO6" s="1086"/>
      <c r="BP6" s="1086"/>
      <c r="BQ6" s="1087"/>
      <c r="BR6" s="1087"/>
      <c r="BS6" s="1088"/>
      <c r="BT6" s="1004" t="s">
        <v>14</v>
      </c>
      <c r="BU6" s="1005"/>
      <c r="BV6" s="1006"/>
      <c r="BW6" s="1004" t="s">
        <v>15</v>
      </c>
      <c r="BX6" s="1005"/>
      <c r="BY6" s="1006"/>
      <c r="BZ6" s="1024" t="s">
        <v>16</v>
      </c>
      <c r="CA6" s="1025"/>
      <c r="CB6" s="1025"/>
      <c r="CC6" s="1004" t="s">
        <v>17</v>
      </c>
      <c r="CD6" s="1005"/>
      <c r="CE6" s="1006"/>
      <c r="CF6" s="1069" t="s">
        <v>18</v>
      </c>
      <c r="CG6" s="1005"/>
      <c r="CH6" s="1005"/>
      <c r="CI6" s="1080" t="s">
        <v>19</v>
      </c>
      <c r="CJ6" s="1081"/>
      <c r="CK6" s="1081"/>
      <c r="CL6" s="1081"/>
      <c r="CM6" s="1081"/>
      <c r="CN6" s="1081"/>
      <c r="CO6" s="1081"/>
      <c r="CP6" s="1081"/>
      <c r="CQ6" s="1082"/>
      <c r="CR6" s="1004" t="s">
        <v>21</v>
      </c>
      <c r="CS6" s="1010"/>
      <c r="CT6" s="1011"/>
      <c r="CU6" s="1015" t="s">
        <v>982</v>
      </c>
      <c r="CV6" s="1016"/>
      <c r="CW6" s="1017"/>
      <c r="CX6" s="988" t="s">
        <v>983</v>
      </c>
      <c r="CY6" s="989"/>
      <c r="CZ6" s="990"/>
      <c r="DA6" s="996" t="s">
        <v>1095</v>
      </c>
      <c r="DB6" s="2"/>
      <c r="DC6" s="983" t="s">
        <v>1096</v>
      </c>
      <c r="DD6" s="999"/>
      <c r="DE6" s="983" t="s">
        <v>1097</v>
      </c>
      <c r="DF6" s="1"/>
      <c r="DG6" s="985" t="s">
        <v>1098</v>
      </c>
      <c r="DH6" s="994" t="s">
        <v>1099</v>
      </c>
      <c r="DI6" s="983" t="s">
        <v>1029</v>
      </c>
      <c r="DJ6" s="983" t="s">
        <v>1030</v>
      </c>
      <c r="DK6" s="983" t="s">
        <v>1031</v>
      </c>
      <c r="DL6" s="300"/>
      <c r="DM6" s="300"/>
      <c r="DP6" s="312"/>
      <c r="DQ6" s="315"/>
      <c r="DS6" s="313" t="s">
        <v>982</v>
      </c>
      <c r="DT6" s="313" t="s">
        <v>983</v>
      </c>
      <c r="DW6" s="1094" t="s">
        <v>1051</v>
      </c>
      <c r="DX6" s="995"/>
    </row>
    <row r="7" spans="1:128" s="277" customFormat="1" ht="38.700000000000003" customHeight="1" thickBot="1" x14ac:dyDescent="0.35">
      <c r="A7" s="1092"/>
      <c r="B7" s="1043"/>
      <c r="C7" s="1043"/>
      <c r="D7" s="1046"/>
      <c r="E7" s="1058"/>
      <c r="F7" s="1049"/>
      <c r="G7" s="1052"/>
      <c r="H7" s="1055"/>
      <c r="I7" s="1033" t="s">
        <v>432</v>
      </c>
      <c r="J7" s="1034"/>
      <c r="K7" s="1034"/>
      <c r="L7" s="1033" t="s">
        <v>433</v>
      </c>
      <c r="M7" s="1034"/>
      <c r="N7" s="1035"/>
      <c r="O7" s="1036" t="s">
        <v>434</v>
      </c>
      <c r="P7" s="1034"/>
      <c r="Q7" s="1034"/>
      <c r="R7" s="1033" t="s">
        <v>435</v>
      </c>
      <c r="S7" s="1034"/>
      <c r="T7" s="1035"/>
      <c r="U7" s="1036" t="s">
        <v>436</v>
      </c>
      <c r="V7" s="1034"/>
      <c r="W7" s="1034"/>
      <c r="X7" s="1033" t="s">
        <v>437</v>
      </c>
      <c r="Y7" s="1034"/>
      <c r="Z7" s="1035"/>
      <c r="AA7" s="1036" t="s">
        <v>438</v>
      </c>
      <c r="AB7" s="1034"/>
      <c r="AC7" s="1034"/>
      <c r="AD7" s="1033" t="s">
        <v>439</v>
      </c>
      <c r="AE7" s="1034"/>
      <c r="AF7" s="1034"/>
      <c r="AG7" s="1033" t="s">
        <v>443</v>
      </c>
      <c r="AH7" s="1034"/>
      <c r="AI7" s="1035"/>
      <c r="AJ7" s="1066"/>
      <c r="AK7" s="1067"/>
      <c r="AL7" s="1068"/>
      <c r="AM7" s="1067"/>
      <c r="AN7" s="1067"/>
      <c r="AO7" s="1067"/>
      <c r="AP7" s="1072"/>
      <c r="AQ7" s="1067"/>
      <c r="AR7" s="1067"/>
      <c r="AS7" s="1039"/>
      <c r="AT7" s="1040"/>
      <c r="AU7" s="1041"/>
      <c r="AV7" s="988" t="s">
        <v>445</v>
      </c>
      <c r="AW7" s="1076"/>
      <c r="AX7" s="1077"/>
      <c r="AY7" s="1078" t="s">
        <v>446</v>
      </c>
      <c r="AZ7" s="1079"/>
      <c r="BA7" s="1079"/>
      <c r="BB7" s="988" t="s">
        <v>447</v>
      </c>
      <c r="BC7" s="1076"/>
      <c r="BD7" s="1077"/>
      <c r="BE7" s="1078" t="s">
        <v>448</v>
      </c>
      <c r="BF7" s="1079"/>
      <c r="BG7" s="1079"/>
      <c r="BH7" s="988" t="s">
        <v>449</v>
      </c>
      <c r="BI7" s="1076"/>
      <c r="BJ7" s="1077"/>
      <c r="BK7" s="1078" t="s">
        <v>450</v>
      </c>
      <c r="BL7" s="1079"/>
      <c r="BM7" s="1079"/>
      <c r="BN7" s="988" t="s">
        <v>451</v>
      </c>
      <c r="BO7" s="1076"/>
      <c r="BP7" s="1077"/>
      <c r="BQ7" s="1083" t="s">
        <v>453</v>
      </c>
      <c r="BR7" s="1084"/>
      <c r="BS7" s="1085"/>
      <c r="BT7" s="1073"/>
      <c r="BU7" s="1074"/>
      <c r="BV7" s="1075"/>
      <c r="BW7" s="1021"/>
      <c r="BX7" s="1022"/>
      <c r="BY7" s="1023"/>
      <c r="BZ7" s="1026"/>
      <c r="CA7" s="1027"/>
      <c r="CB7" s="1027"/>
      <c r="CC7" s="1007"/>
      <c r="CD7" s="1008"/>
      <c r="CE7" s="1009"/>
      <c r="CF7" s="1008"/>
      <c r="CG7" s="1008"/>
      <c r="CH7" s="1008"/>
      <c r="CI7" s="1089" t="s">
        <v>32</v>
      </c>
      <c r="CJ7" s="1090"/>
      <c r="CK7" s="1090"/>
      <c r="CL7" s="988" t="s">
        <v>33</v>
      </c>
      <c r="CM7" s="1028"/>
      <c r="CN7" s="1029"/>
      <c r="CO7" s="988" t="s">
        <v>454</v>
      </c>
      <c r="CP7" s="1028"/>
      <c r="CQ7" s="1029"/>
      <c r="CR7" s="1012"/>
      <c r="CS7" s="1013"/>
      <c r="CT7" s="1014"/>
      <c r="CU7" s="1018"/>
      <c r="CV7" s="1019"/>
      <c r="CW7" s="1020"/>
      <c r="CX7" s="991"/>
      <c r="CY7" s="992"/>
      <c r="CZ7" s="993"/>
      <c r="DA7" s="997"/>
      <c r="DB7" s="2"/>
      <c r="DC7" s="983" t="s">
        <v>1035</v>
      </c>
      <c r="DD7" s="999"/>
      <c r="DE7" s="999"/>
      <c r="DF7" s="1"/>
      <c r="DG7" s="986"/>
      <c r="DH7" s="995"/>
      <c r="DI7" s="984"/>
      <c r="DJ7" s="984"/>
      <c r="DK7" s="984"/>
      <c r="DL7" s="300"/>
      <c r="DM7" s="300"/>
      <c r="DP7" s="312"/>
      <c r="DQ7" s="316" t="s">
        <v>1100</v>
      </c>
      <c r="DS7" s="313"/>
      <c r="DT7" s="313"/>
      <c r="DW7" s="403" t="s">
        <v>985</v>
      </c>
      <c r="DX7" s="403" t="s">
        <v>441</v>
      </c>
    </row>
    <row r="8" spans="1:128" s="79" customFormat="1" ht="70.5" customHeight="1" thickBot="1" x14ac:dyDescent="0.35">
      <c r="A8" s="1093"/>
      <c r="B8" s="1044"/>
      <c r="C8" s="1044"/>
      <c r="D8" s="1047"/>
      <c r="E8" s="1059"/>
      <c r="F8" s="1050"/>
      <c r="G8" s="1053"/>
      <c r="H8" s="1056"/>
      <c r="I8" s="643" t="s">
        <v>440</v>
      </c>
      <c r="J8" s="644" t="s">
        <v>441</v>
      </c>
      <c r="K8" s="75" t="s">
        <v>442</v>
      </c>
      <c r="L8" s="84" t="s">
        <v>440</v>
      </c>
      <c r="M8" s="85" t="s">
        <v>441</v>
      </c>
      <c r="N8" s="86" t="s">
        <v>442</v>
      </c>
      <c r="O8" s="87" t="s">
        <v>440</v>
      </c>
      <c r="P8" s="85" t="s">
        <v>441</v>
      </c>
      <c r="Q8" s="88" t="s">
        <v>442</v>
      </c>
      <c r="R8" s="84" t="s">
        <v>440</v>
      </c>
      <c r="S8" s="85" t="s">
        <v>441</v>
      </c>
      <c r="T8" s="86" t="s">
        <v>442</v>
      </c>
      <c r="U8" s="87" t="s">
        <v>440</v>
      </c>
      <c r="V8" s="85" t="s">
        <v>441</v>
      </c>
      <c r="W8" s="88" t="s">
        <v>442</v>
      </c>
      <c r="X8" s="84" t="s">
        <v>440</v>
      </c>
      <c r="Y8" s="85" t="s">
        <v>441</v>
      </c>
      <c r="Z8" s="86" t="s">
        <v>442</v>
      </c>
      <c r="AA8" s="87" t="s">
        <v>440</v>
      </c>
      <c r="AB8" s="85" t="s">
        <v>441</v>
      </c>
      <c r="AC8" s="88" t="s">
        <v>442</v>
      </c>
      <c r="AD8" s="84" t="s">
        <v>440</v>
      </c>
      <c r="AE8" s="85" t="s">
        <v>441</v>
      </c>
      <c r="AF8" s="88" t="s">
        <v>442</v>
      </c>
      <c r="AG8" s="89" t="s">
        <v>440</v>
      </c>
      <c r="AH8" s="85" t="s">
        <v>441</v>
      </c>
      <c r="AI8" s="86" t="s">
        <v>442</v>
      </c>
      <c r="AJ8" s="278" t="s">
        <v>440</v>
      </c>
      <c r="AK8" s="82" t="s">
        <v>441</v>
      </c>
      <c r="AL8" s="83" t="s">
        <v>442</v>
      </c>
      <c r="AM8" s="278" t="s">
        <v>440</v>
      </c>
      <c r="AN8" s="82" t="s">
        <v>441</v>
      </c>
      <c r="AO8" s="90" t="s">
        <v>442</v>
      </c>
      <c r="AP8" s="91" t="s">
        <v>440</v>
      </c>
      <c r="AQ8" s="82" t="s">
        <v>441</v>
      </c>
      <c r="AR8" s="90" t="s">
        <v>442</v>
      </c>
      <c r="AS8" s="91" t="s">
        <v>440</v>
      </c>
      <c r="AT8" s="82" t="s">
        <v>441</v>
      </c>
      <c r="AU8" s="83" t="s">
        <v>442</v>
      </c>
      <c r="AV8" s="91" t="s">
        <v>440</v>
      </c>
      <c r="AW8" s="82" t="s">
        <v>441</v>
      </c>
      <c r="AX8" s="83" t="s">
        <v>442</v>
      </c>
      <c r="AY8" s="278" t="s">
        <v>440</v>
      </c>
      <c r="AZ8" s="82" t="s">
        <v>441</v>
      </c>
      <c r="BA8" s="90" t="s">
        <v>442</v>
      </c>
      <c r="BB8" s="91" t="s">
        <v>440</v>
      </c>
      <c r="BC8" s="82" t="s">
        <v>441</v>
      </c>
      <c r="BD8" s="83" t="s">
        <v>442</v>
      </c>
      <c r="BE8" s="278" t="s">
        <v>440</v>
      </c>
      <c r="BF8" s="82" t="s">
        <v>441</v>
      </c>
      <c r="BG8" s="90" t="s">
        <v>442</v>
      </c>
      <c r="BH8" s="91" t="s">
        <v>440</v>
      </c>
      <c r="BI8" s="82" t="s">
        <v>441</v>
      </c>
      <c r="BJ8" s="83" t="s">
        <v>442</v>
      </c>
      <c r="BK8" s="278" t="s">
        <v>440</v>
      </c>
      <c r="BL8" s="82" t="s">
        <v>441</v>
      </c>
      <c r="BM8" s="90" t="s">
        <v>442</v>
      </c>
      <c r="BN8" s="91" t="s">
        <v>440</v>
      </c>
      <c r="BO8" s="82" t="s">
        <v>441</v>
      </c>
      <c r="BP8" s="83" t="s">
        <v>442</v>
      </c>
      <c r="BQ8" s="81" t="s">
        <v>440</v>
      </c>
      <c r="BR8" s="82" t="s">
        <v>441</v>
      </c>
      <c r="BS8" s="83" t="s">
        <v>442</v>
      </c>
      <c r="BT8" s="91" t="s">
        <v>440</v>
      </c>
      <c r="BU8" s="82" t="s">
        <v>441</v>
      </c>
      <c r="BV8" s="83" t="s">
        <v>442</v>
      </c>
      <c r="BW8" s="81" t="s">
        <v>440</v>
      </c>
      <c r="BX8" s="82" t="s">
        <v>441</v>
      </c>
      <c r="BY8" s="83" t="s">
        <v>442</v>
      </c>
      <c r="BZ8" s="81" t="s">
        <v>440</v>
      </c>
      <c r="CA8" s="82" t="s">
        <v>441</v>
      </c>
      <c r="CB8" s="90" t="s">
        <v>442</v>
      </c>
      <c r="CC8" s="81" t="s">
        <v>440</v>
      </c>
      <c r="CD8" s="82" t="s">
        <v>441</v>
      </c>
      <c r="CE8" s="83" t="s">
        <v>442</v>
      </c>
      <c r="CF8" s="92" t="s">
        <v>440</v>
      </c>
      <c r="CG8" s="82" t="s">
        <v>441</v>
      </c>
      <c r="CH8" s="90" t="s">
        <v>442</v>
      </c>
      <c r="CI8" s="81" t="s">
        <v>440</v>
      </c>
      <c r="CJ8" s="82" t="s">
        <v>441</v>
      </c>
      <c r="CK8" s="90" t="s">
        <v>442</v>
      </c>
      <c r="CL8" s="81" t="s">
        <v>440</v>
      </c>
      <c r="CM8" s="82" t="s">
        <v>441</v>
      </c>
      <c r="CN8" s="83" t="s">
        <v>442</v>
      </c>
      <c r="CO8" s="81" t="s">
        <v>440</v>
      </c>
      <c r="CP8" s="82" t="s">
        <v>441</v>
      </c>
      <c r="CQ8" s="83" t="s">
        <v>442</v>
      </c>
      <c r="CR8" s="81" t="s">
        <v>440</v>
      </c>
      <c r="CS8" s="82" t="s">
        <v>441</v>
      </c>
      <c r="CT8" s="83" t="s">
        <v>442</v>
      </c>
      <c r="CU8" s="89" t="s">
        <v>984</v>
      </c>
      <c r="CV8" s="106" t="s">
        <v>441</v>
      </c>
      <c r="CW8" s="88" t="s">
        <v>442</v>
      </c>
      <c r="CX8" s="66" t="s">
        <v>985</v>
      </c>
      <c r="CY8" s="110" t="s">
        <v>441</v>
      </c>
      <c r="CZ8" s="111" t="s">
        <v>442</v>
      </c>
      <c r="DA8" s="998"/>
      <c r="DB8" s="2"/>
      <c r="DC8" s="390" t="s">
        <v>1036</v>
      </c>
      <c r="DD8" s="390" t="s">
        <v>1037</v>
      </c>
      <c r="DE8" s="999"/>
      <c r="DF8" s="1"/>
      <c r="DG8" s="987"/>
      <c r="DH8" s="995"/>
      <c r="DI8" s="984"/>
      <c r="DJ8" s="984"/>
      <c r="DK8" s="984"/>
      <c r="DL8" s="302" t="s">
        <v>1032</v>
      </c>
      <c r="DM8" s="302" t="s">
        <v>1033</v>
      </c>
      <c r="DP8" s="313"/>
      <c r="DQ8" s="317" t="s">
        <v>1101</v>
      </c>
      <c r="DS8" s="404" t="s">
        <v>984</v>
      </c>
      <c r="DT8" s="5" t="s">
        <v>985</v>
      </c>
      <c r="DW8" s="403"/>
      <c r="DX8" s="403"/>
    </row>
    <row r="9" spans="1:128" ht="14.1" customHeight="1" x14ac:dyDescent="0.3">
      <c r="A9" s="325">
        <v>150001053</v>
      </c>
      <c r="B9" s="41" t="s">
        <v>458</v>
      </c>
      <c r="C9" s="76" t="s">
        <v>147</v>
      </c>
      <c r="D9" s="76" t="s">
        <v>147</v>
      </c>
      <c r="E9" s="293">
        <v>372.8</v>
      </c>
      <c r="F9" s="304">
        <v>372.8</v>
      </c>
      <c r="G9" s="645"/>
      <c r="H9" s="646">
        <v>0</v>
      </c>
      <c r="I9" s="73">
        <v>294.1728657092562</v>
      </c>
      <c r="J9" s="647">
        <v>326.05066038257928</v>
      </c>
      <c r="K9" s="70">
        <v>31.877794673323081</v>
      </c>
      <c r="L9" s="73">
        <v>53.227270747413925</v>
      </c>
      <c r="M9" s="647">
        <v>59.966963671303304</v>
      </c>
      <c r="N9" s="70">
        <v>6.739692923889379</v>
      </c>
      <c r="O9" s="73">
        <v>88.62732532714999</v>
      </c>
      <c r="P9" s="647">
        <v>88.6</v>
      </c>
      <c r="Q9" s="70">
        <v>-2.732532714999536E-2</v>
      </c>
      <c r="R9" s="73">
        <v>0</v>
      </c>
      <c r="S9" s="647">
        <v>0</v>
      </c>
      <c r="T9" s="70">
        <v>0</v>
      </c>
      <c r="U9" s="73">
        <v>0</v>
      </c>
      <c r="V9" s="647">
        <v>0</v>
      </c>
      <c r="W9" s="70">
        <v>0</v>
      </c>
      <c r="X9" s="73">
        <v>49.374992175451602</v>
      </c>
      <c r="Y9" s="647">
        <v>41.772204189611251</v>
      </c>
      <c r="Z9" s="70">
        <v>-7.6027879858403509</v>
      </c>
      <c r="AA9" s="73">
        <v>29.824000000000002</v>
      </c>
      <c r="AB9" s="647">
        <v>0</v>
      </c>
      <c r="AC9" s="70">
        <v>-29.824000000000002</v>
      </c>
      <c r="AD9" s="73">
        <v>268.56779187853175</v>
      </c>
      <c r="AE9" s="647">
        <v>336.00655741526305</v>
      </c>
      <c r="AF9" s="68">
        <v>67.438765536731296</v>
      </c>
      <c r="AG9" s="77">
        <v>783.79424583780337</v>
      </c>
      <c r="AH9" s="53">
        <v>852.3963856587568</v>
      </c>
      <c r="AI9" s="70">
        <v>68.602139820953425</v>
      </c>
      <c r="AJ9" s="73">
        <v>0</v>
      </c>
      <c r="AK9" s="647">
        <v>0</v>
      </c>
      <c r="AL9" s="70">
        <v>0</v>
      </c>
      <c r="AM9" s="73">
        <v>0</v>
      </c>
      <c r="AN9" s="647">
        <v>0</v>
      </c>
      <c r="AO9" s="70">
        <v>0</v>
      </c>
      <c r="AP9" s="73">
        <v>201.71066666666667</v>
      </c>
      <c r="AQ9" s="647">
        <v>0</v>
      </c>
      <c r="AR9" s="70">
        <v>-201.71066666666667</v>
      </c>
      <c r="AS9" s="73">
        <v>698.77878585735198</v>
      </c>
      <c r="AT9" s="647">
        <v>0</v>
      </c>
      <c r="AU9" s="78">
        <v>-698.77878585735198</v>
      </c>
      <c r="AV9" s="73">
        <v>147.71225761412936</v>
      </c>
      <c r="AW9" s="647">
        <v>0</v>
      </c>
      <c r="AX9" s="55">
        <v>-147.71225761412936</v>
      </c>
      <c r="AY9" s="73">
        <v>147.32716546396372</v>
      </c>
      <c r="AZ9" s="647">
        <v>0</v>
      </c>
      <c r="BA9" s="38">
        <v>-147.32716546396372</v>
      </c>
      <c r="BB9" s="73">
        <v>27.341465219283339</v>
      </c>
      <c r="BC9" s="647">
        <v>0</v>
      </c>
      <c r="BD9" s="55">
        <v>-27.341465219283339</v>
      </c>
      <c r="BE9" s="73">
        <v>0</v>
      </c>
      <c r="BF9" s="647">
        <v>0</v>
      </c>
      <c r="BG9" s="55">
        <v>0</v>
      </c>
      <c r="BH9" s="73">
        <v>0</v>
      </c>
      <c r="BI9" s="647">
        <v>0</v>
      </c>
      <c r="BJ9" s="55">
        <v>0</v>
      </c>
      <c r="BK9" s="73">
        <v>18.780014506110319</v>
      </c>
      <c r="BL9" s="647">
        <v>0</v>
      </c>
      <c r="BM9" s="55">
        <v>-18.780014506110319</v>
      </c>
      <c r="BN9" s="73">
        <v>7.4560000000000004</v>
      </c>
      <c r="BO9" s="647">
        <v>0</v>
      </c>
      <c r="BP9" s="55">
        <v>-7.4560000000000004</v>
      </c>
      <c r="BQ9" s="77">
        <v>348.61690280348677</v>
      </c>
      <c r="BR9" s="40">
        <v>0</v>
      </c>
      <c r="BS9" s="55">
        <v>-348.61690280348677</v>
      </c>
      <c r="BT9" s="73">
        <v>349.55870177837602</v>
      </c>
      <c r="BU9" s="647">
        <v>113.79372834564639</v>
      </c>
      <c r="BV9" s="70">
        <v>-235.76497343272962</v>
      </c>
      <c r="BW9" s="73">
        <v>194.10537970848819</v>
      </c>
      <c r="BX9" s="647">
        <v>980.32056639319921</v>
      </c>
      <c r="BY9" s="70">
        <v>786.21518668471106</v>
      </c>
      <c r="BZ9" s="73">
        <v>117.3046019960122</v>
      </c>
      <c r="CA9" s="647">
        <v>710.96761134601502</v>
      </c>
      <c r="CB9" s="70">
        <v>593.66300935000277</v>
      </c>
      <c r="CC9" s="73">
        <v>0</v>
      </c>
      <c r="CD9" s="647">
        <v>0</v>
      </c>
      <c r="CE9" s="70">
        <v>0</v>
      </c>
      <c r="CF9" s="73">
        <v>0</v>
      </c>
      <c r="CG9" s="647">
        <v>0</v>
      </c>
      <c r="CH9" s="70">
        <v>0</v>
      </c>
      <c r="CI9" s="73">
        <v>0</v>
      </c>
      <c r="CJ9" s="647">
        <v>0</v>
      </c>
      <c r="CK9" s="70">
        <v>0</v>
      </c>
      <c r="CL9" s="73">
        <v>0</v>
      </c>
      <c r="CM9" s="647">
        <v>0</v>
      </c>
      <c r="CN9" s="70">
        <v>0</v>
      </c>
      <c r="CO9" s="39">
        <v>0</v>
      </c>
      <c r="CP9" s="40">
        <v>0</v>
      </c>
      <c r="CQ9" s="70">
        <v>0</v>
      </c>
      <c r="CR9" s="73">
        <v>2693.8692846481849</v>
      </c>
      <c r="CS9" s="40">
        <v>2657.4782917436173</v>
      </c>
      <c r="CT9" s="70">
        <v>-36.390992904567611</v>
      </c>
      <c r="CU9" s="77">
        <v>3232.643141577822</v>
      </c>
      <c r="CV9" s="65">
        <v>3188.9739500923406</v>
      </c>
      <c r="CW9" s="68">
        <v>-43.669191485481406</v>
      </c>
      <c r="CX9" s="73">
        <v>180.48826357581274</v>
      </c>
      <c r="CY9" s="647">
        <v>224.15745506129406</v>
      </c>
      <c r="CZ9" s="55">
        <v>43.669191485481321</v>
      </c>
      <c r="DA9" s="150">
        <v>-3599.1779211367798</v>
      </c>
      <c r="DB9" s="2">
        <v>3</v>
      </c>
      <c r="DC9" s="648">
        <v>1697.46</v>
      </c>
      <c r="DD9" s="648"/>
      <c r="DE9" s="649">
        <v>-1715.6714051536346</v>
      </c>
      <c r="DG9" s="321">
        <v>-1294.7781160952381</v>
      </c>
      <c r="DH9" s="40">
        <v>40957.576861843612</v>
      </c>
      <c r="DI9" s="306">
        <v>4.5533542095717703</v>
      </c>
      <c r="DJ9" s="306"/>
      <c r="DK9" s="306"/>
      <c r="DL9" s="28">
        <v>1697.4904493283559</v>
      </c>
      <c r="DM9" s="28">
        <v>0</v>
      </c>
      <c r="DN9" s="650">
        <v>1697.51</v>
      </c>
      <c r="DO9" s="94">
        <v>-1.9550671644083195E-2</v>
      </c>
      <c r="DP9" s="28">
        <v>1697.4904493283559</v>
      </c>
      <c r="DQ9" s="318">
        <v>0</v>
      </c>
      <c r="DS9" s="8">
        <v>1616.6575707889106</v>
      </c>
      <c r="DT9" s="5">
        <v>80.832878539445531</v>
      </c>
      <c r="DW9" s="5">
        <v>1256.8748263930063</v>
      </c>
      <c r="DX9" s="5">
        <v>0</v>
      </c>
    </row>
    <row r="10" spans="1:128" x14ac:dyDescent="0.3">
      <c r="A10" s="325">
        <v>150000753</v>
      </c>
      <c r="B10" s="41" t="s">
        <v>459</v>
      </c>
      <c r="C10" s="42" t="s">
        <v>240</v>
      </c>
      <c r="D10" s="42" t="s">
        <v>240</v>
      </c>
      <c r="E10" s="293">
        <v>1840.7</v>
      </c>
      <c r="F10" s="305">
        <v>1840.7</v>
      </c>
      <c r="G10" s="51"/>
      <c r="H10" s="651">
        <v>0</v>
      </c>
      <c r="I10" s="73">
        <v>982.94693453751881</v>
      </c>
      <c r="J10" s="40">
        <v>1089.1449076052736</v>
      </c>
      <c r="K10" s="52">
        <v>106.19797306775479</v>
      </c>
      <c r="L10" s="73">
        <v>258.31646009954028</v>
      </c>
      <c r="M10" s="40">
        <v>291.02473684311883</v>
      </c>
      <c r="N10" s="52">
        <v>32.708276743578551</v>
      </c>
      <c r="O10" s="73">
        <v>324.23122256762002</v>
      </c>
      <c r="P10" s="40">
        <v>324.26666666666671</v>
      </c>
      <c r="Q10" s="52">
        <v>3.5444099046685551E-2</v>
      </c>
      <c r="R10" s="73">
        <v>0</v>
      </c>
      <c r="S10" s="40">
        <v>0</v>
      </c>
      <c r="T10" s="52">
        <v>0</v>
      </c>
      <c r="U10" s="73">
        <v>0</v>
      </c>
      <c r="V10" s="40">
        <v>0</v>
      </c>
      <c r="W10" s="52">
        <v>0</v>
      </c>
      <c r="X10" s="73">
        <v>533.19086912539763</v>
      </c>
      <c r="Y10" s="40">
        <v>556.83080280102968</v>
      </c>
      <c r="Z10" s="52">
        <v>23.639933675632051</v>
      </c>
      <c r="AA10" s="73">
        <v>147.256</v>
      </c>
      <c r="AB10" s="40">
        <v>0</v>
      </c>
      <c r="AC10" s="52">
        <v>-147.256</v>
      </c>
      <c r="AD10" s="73">
        <v>1326.0587696968569</v>
      </c>
      <c r="AE10" s="40">
        <v>1659.0323772378613</v>
      </c>
      <c r="AF10" s="35">
        <v>332.97360754100441</v>
      </c>
      <c r="AG10" s="77">
        <v>3572.0002560269336</v>
      </c>
      <c r="AH10" s="53">
        <v>3920.2994911539499</v>
      </c>
      <c r="AI10" s="52">
        <v>348.29923512701635</v>
      </c>
      <c r="AJ10" s="73">
        <v>0</v>
      </c>
      <c r="AK10" s="40">
        <v>0</v>
      </c>
      <c r="AL10" s="52">
        <v>0</v>
      </c>
      <c r="AM10" s="73">
        <v>0</v>
      </c>
      <c r="AN10" s="40">
        <v>0</v>
      </c>
      <c r="AO10" s="52">
        <v>0</v>
      </c>
      <c r="AP10" s="73">
        <v>567.31124999999997</v>
      </c>
      <c r="AQ10" s="40">
        <v>0</v>
      </c>
      <c r="AR10" s="52">
        <v>-567.31124999999997</v>
      </c>
      <c r="AS10" s="73">
        <v>2185.935819327708</v>
      </c>
      <c r="AT10" s="40">
        <v>0</v>
      </c>
      <c r="AU10" s="54">
        <v>-2185.935819327708</v>
      </c>
      <c r="AV10" s="73">
        <v>503.52454558566717</v>
      </c>
      <c r="AW10" s="40">
        <v>1889</v>
      </c>
      <c r="AX10" s="55">
        <v>1385.4754544143329</v>
      </c>
      <c r="AY10" s="73">
        <v>714.93368298958808</v>
      </c>
      <c r="AZ10" s="40">
        <v>0</v>
      </c>
      <c r="BA10" s="35">
        <v>-714.93368298958808</v>
      </c>
      <c r="BB10" s="73">
        <v>124.89387227610339</v>
      </c>
      <c r="BC10" s="40">
        <v>0</v>
      </c>
      <c r="BD10" s="55">
        <v>-124.89387227610339</v>
      </c>
      <c r="BE10" s="73">
        <v>0</v>
      </c>
      <c r="BF10" s="40">
        <v>0</v>
      </c>
      <c r="BG10" s="38">
        <v>0</v>
      </c>
      <c r="BH10" s="73">
        <v>0</v>
      </c>
      <c r="BI10" s="40">
        <v>0</v>
      </c>
      <c r="BJ10" s="55">
        <v>0</v>
      </c>
      <c r="BK10" s="73">
        <v>303.23923476479899</v>
      </c>
      <c r="BL10" s="40">
        <v>0</v>
      </c>
      <c r="BM10" s="38">
        <v>-303.23923476479899</v>
      </c>
      <c r="BN10" s="73">
        <v>47.205301568954347</v>
      </c>
      <c r="BO10" s="40">
        <v>0</v>
      </c>
      <c r="BP10" s="55">
        <v>-47.205301568954347</v>
      </c>
      <c r="BQ10" s="77">
        <v>1693.7966371851121</v>
      </c>
      <c r="BR10" s="40">
        <v>1889</v>
      </c>
      <c r="BS10" s="55">
        <v>195.2033628148879</v>
      </c>
      <c r="BT10" s="73">
        <v>1829.1972560477341</v>
      </c>
      <c r="BU10" s="40">
        <v>567.05387437451202</v>
      </c>
      <c r="BV10" s="52">
        <v>-1262.1433816732219</v>
      </c>
      <c r="BW10" s="73">
        <v>1540.5239816972939</v>
      </c>
      <c r="BX10" s="40">
        <v>1638.0279068739558</v>
      </c>
      <c r="BY10" s="52">
        <v>97.503925176661824</v>
      </c>
      <c r="BZ10" s="73">
        <v>1291.6197715788501</v>
      </c>
      <c r="CA10" s="40">
        <v>3208.5788568495582</v>
      </c>
      <c r="CB10" s="52">
        <v>1916.9590852707081</v>
      </c>
      <c r="CC10" s="73">
        <v>149.58711757</v>
      </c>
      <c r="CD10" s="40">
        <v>188.743855657072</v>
      </c>
      <c r="CE10" s="52">
        <v>39.156738087072</v>
      </c>
      <c r="CF10" s="73">
        <v>17.772726840000001</v>
      </c>
      <c r="CG10" s="40">
        <v>0</v>
      </c>
      <c r="CH10" s="52">
        <v>-17.772726840000001</v>
      </c>
      <c r="CI10" s="73">
        <v>467.2</v>
      </c>
      <c r="CJ10" s="40">
        <v>214.7007365399881</v>
      </c>
      <c r="CK10" s="52">
        <v>-252.49926346001189</v>
      </c>
      <c r="CL10" s="73">
        <v>0</v>
      </c>
      <c r="CM10" s="40">
        <v>0</v>
      </c>
      <c r="CN10" s="52">
        <v>0</v>
      </c>
      <c r="CO10" s="39">
        <v>467.2</v>
      </c>
      <c r="CP10" s="40">
        <v>214.7007365399881</v>
      </c>
      <c r="CQ10" s="52">
        <v>-252.49926346001189</v>
      </c>
      <c r="CR10" s="72">
        <v>13314.94481627363</v>
      </c>
      <c r="CS10" s="5">
        <v>11626.404721449037</v>
      </c>
      <c r="CT10" s="52">
        <v>-1688.5400948245933</v>
      </c>
      <c r="CU10" s="77">
        <v>15977.933779528355</v>
      </c>
      <c r="CV10" s="65">
        <v>13951.685665738843</v>
      </c>
      <c r="CW10" s="35">
        <v>-2026.248113789512</v>
      </c>
      <c r="CX10" s="73">
        <v>892.09646629563508</v>
      </c>
      <c r="CY10" s="40">
        <v>2918.3445800851459</v>
      </c>
      <c r="CZ10" s="52">
        <v>2026.2481137895109</v>
      </c>
      <c r="DA10" s="150">
        <v>84452.030860118102</v>
      </c>
      <c r="DB10" s="2">
        <v>2</v>
      </c>
      <c r="DC10" s="648">
        <v>10794.17</v>
      </c>
      <c r="DD10" s="648"/>
      <c r="DE10" s="649">
        <v>-6075.8602458239893</v>
      </c>
      <c r="DG10" s="321">
        <v>70765.657991191052</v>
      </c>
      <c r="DH10" s="5">
        <v>202440.36294988787</v>
      </c>
      <c r="DI10" s="306">
        <v>4.5571876102854274</v>
      </c>
      <c r="DJ10" s="306"/>
      <c r="DK10" s="306"/>
      <c r="DL10" s="28">
        <v>8388.4152342523867</v>
      </c>
      <c r="DM10" s="28">
        <v>0</v>
      </c>
      <c r="DN10" s="650">
        <v>8388.44</v>
      </c>
      <c r="DO10" s="94">
        <v>-2.4765747613855638E-2</v>
      </c>
      <c r="DP10" s="28">
        <v>8388.4152342523867</v>
      </c>
      <c r="DQ10" s="318">
        <v>0</v>
      </c>
      <c r="DS10" s="8">
        <v>7988.9668897641777</v>
      </c>
      <c r="DT10" s="5">
        <v>399.44834448820887</v>
      </c>
      <c r="DW10" s="5">
        <v>4655.6789478153842</v>
      </c>
      <c r="DX10" s="5">
        <v>2266.7999999999997</v>
      </c>
    </row>
    <row r="11" spans="1:128" x14ac:dyDescent="0.3">
      <c r="A11" s="325">
        <v>150000754</v>
      </c>
      <c r="B11" s="41" t="s">
        <v>460</v>
      </c>
      <c r="C11" s="42" t="s">
        <v>241</v>
      </c>
      <c r="D11" s="42" t="s">
        <v>241</v>
      </c>
      <c r="E11" s="293">
        <v>2806.48</v>
      </c>
      <c r="F11" s="305">
        <v>2806.48</v>
      </c>
      <c r="G11" s="51"/>
      <c r="H11" s="651">
        <v>0</v>
      </c>
      <c r="I11" s="73">
        <v>1497.8880235737945</v>
      </c>
      <c r="J11" s="40">
        <v>1662.8648182723248</v>
      </c>
      <c r="K11" s="52">
        <v>164.97679469853028</v>
      </c>
      <c r="L11" s="73">
        <v>306.87760976126782</v>
      </c>
      <c r="M11" s="40">
        <v>345.73485629648326</v>
      </c>
      <c r="N11" s="52">
        <v>38.857246535215438</v>
      </c>
      <c r="O11" s="73">
        <v>520.03790274300002</v>
      </c>
      <c r="P11" s="40">
        <v>520.1</v>
      </c>
      <c r="Q11" s="52">
        <v>6.2097257000004902E-2</v>
      </c>
      <c r="R11" s="73">
        <v>0</v>
      </c>
      <c r="S11" s="40">
        <v>0</v>
      </c>
      <c r="T11" s="52">
        <v>0</v>
      </c>
      <c r="U11" s="73">
        <v>78.670373845636448</v>
      </c>
      <c r="V11" s="40">
        <v>147.45496328276144</v>
      </c>
      <c r="W11" s="52">
        <v>68.784589437124993</v>
      </c>
      <c r="X11" s="73">
        <v>757.12488906380986</v>
      </c>
      <c r="Y11" s="40">
        <v>802.07643241647884</v>
      </c>
      <c r="Z11" s="52">
        <v>44.951543352668978</v>
      </c>
      <c r="AA11" s="73">
        <v>224.70240000000001</v>
      </c>
      <c r="AB11" s="40">
        <v>0</v>
      </c>
      <c r="AC11" s="52">
        <v>-224.70240000000001</v>
      </c>
      <c r="AD11" s="73">
        <v>2023.4838355129991</v>
      </c>
      <c r="AE11" s="40">
        <v>2529.494858516061</v>
      </c>
      <c r="AF11" s="35">
        <v>506.01102300306184</v>
      </c>
      <c r="AG11" s="77">
        <v>5408.7850345005081</v>
      </c>
      <c r="AH11" s="53">
        <v>6007.7259287841098</v>
      </c>
      <c r="AI11" s="52">
        <v>598.94089428360166</v>
      </c>
      <c r="AJ11" s="73">
        <v>0</v>
      </c>
      <c r="AK11" s="40">
        <v>0</v>
      </c>
      <c r="AL11" s="52">
        <v>0</v>
      </c>
      <c r="AM11" s="73">
        <v>0</v>
      </c>
      <c r="AN11" s="40">
        <v>0</v>
      </c>
      <c r="AO11" s="52">
        <v>0</v>
      </c>
      <c r="AP11" s="73">
        <v>680.7734999999999</v>
      </c>
      <c r="AQ11" s="40">
        <v>3346.1929471566241</v>
      </c>
      <c r="AR11" s="52">
        <v>2665.4194471566243</v>
      </c>
      <c r="AS11" s="73">
        <v>6054.7005422678512</v>
      </c>
      <c r="AT11" s="40">
        <v>0</v>
      </c>
      <c r="AU11" s="54">
        <v>-6054.7005422678512</v>
      </c>
      <c r="AV11" s="73">
        <v>683.85542295886034</v>
      </c>
      <c r="AW11" s="40">
        <v>0</v>
      </c>
      <c r="AX11" s="55">
        <v>-683.85542295886034</v>
      </c>
      <c r="AY11" s="73">
        <v>849.28545831065503</v>
      </c>
      <c r="AZ11" s="40">
        <v>0</v>
      </c>
      <c r="BA11" s="35">
        <v>-849.28545831065503</v>
      </c>
      <c r="BB11" s="73">
        <v>192.08570476974</v>
      </c>
      <c r="BC11" s="40">
        <v>0</v>
      </c>
      <c r="BD11" s="55">
        <v>-192.08570476974</v>
      </c>
      <c r="BE11" s="73">
        <v>0</v>
      </c>
      <c r="BF11" s="40">
        <v>0</v>
      </c>
      <c r="BG11" s="38">
        <v>0</v>
      </c>
      <c r="BH11" s="73">
        <v>379.92449008976422</v>
      </c>
      <c r="BI11" s="40">
        <v>0</v>
      </c>
      <c r="BJ11" s="55">
        <v>-379.92449008976422</v>
      </c>
      <c r="BK11" s="73">
        <v>482.25389692191823</v>
      </c>
      <c r="BL11" s="40">
        <v>0</v>
      </c>
      <c r="BM11" s="38">
        <v>-482.25389692191823</v>
      </c>
      <c r="BN11" s="73">
        <v>56.175600000000003</v>
      </c>
      <c r="BO11" s="40">
        <v>0</v>
      </c>
      <c r="BP11" s="55">
        <v>-56.175600000000003</v>
      </c>
      <c r="BQ11" s="77">
        <v>2643.5805730509378</v>
      </c>
      <c r="BR11" s="40">
        <v>0</v>
      </c>
      <c r="BS11" s="55">
        <v>-2643.5805730509378</v>
      </c>
      <c r="BT11" s="73">
        <v>3055.5167821476798</v>
      </c>
      <c r="BU11" s="40">
        <v>825.21800247473448</v>
      </c>
      <c r="BV11" s="52">
        <v>-2230.2987796729453</v>
      </c>
      <c r="BW11" s="73">
        <v>1830.205353468612</v>
      </c>
      <c r="BX11" s="40">
        <v>1881.6621852214321</v>
      </c>
      <c r="BY11" s="52">
        <v>51.456831752820108</v>
      </c>
      <c r="BZ11" s="73">
        <v>1351.9401809357739</v>
      </c>
      <c r="CA11" s="40">
        <v>4706.980256866027</v>
      </c>
      <c r="CB11" s="52">
        <v>3355.0400759302529</v>
      </c>
      <c r="CC11" s="73">
        <v>219.45301083749999</v>
      </c>
      <c r="CD11" s="40">
        <v>276.89822542131731</v>
      </c>
      <c r="CE11" s="52">
        <v>57.445214583817318</v>
      </c>
      <c r="CF11" s="73">
        <v>26.07362505</v>
      </c>
      <c r="CG11" s="40">
        <v>0</v>
      </c>
      <c r="CH11" s="52">
        <v>-26.07362505</v>
      </c>
      <c r="CI11" s="73">
        <v>1507.5</v>
      </c>
      <c r="CJ11" s="40">
        <v>1579.4741526300113</v>
      </c>
      <c r="CK11" s="52">
        <v>71.974152630011304</v>
      </c>
      <c r="CL11" s="73">
        <v>0</v>
      </c>
      <c r="CM11" s="40">
        <v>0</v>
      </c>
      <c r="CN11" s="52">
        <v>0</v>
      </c>
      <c r="CO11" s="39">
        <v>1507.5</v>
      </c>
      <c r="CP11" s="40">
        <v>1579.4741526300113</v>
      </c>
      <c r="CQ11" s="52">
        <v>71.974152630011304</v>
      </c>
      <c r="CR11" s="72">
        <v>22778.528602258866</v>
      </c>
      <c r="CS11" s="5">
        <v>18624.151698554255</v>
      </c>
      <c r="CT11" s="52">
        <v>-4154.3769037046113</v>
      </c>
      <c r="CU11" s="77">
        <v>27334.234322710639</v>
      </c>
      <c r="CV11" s="65">
        <v>22348.982038265105</v>
      </c>
      <c r="CW11" s="35">
        <v>-4985.2522844455343</v>
      </c>
      <c r="CX11" s="73">
        <v>1526.1531424939242</v>
      </c>
      <c r="CY11" s="40">
        <v>6511.4054269394583</v>
      </c>
      <c r="CZ11" s="52">
        <v>4985.2522844455343</v>
      </c>
      <c r="DA11" s="150">
        <v>-33716.897882335128</v>
      </c>
      <c r="DB11" s="2">
        <v>2</v>
      </c>
      <c r="DC11" s="648">
        <v>51207.21</v>
      </c>
      <c r="DD11" s="648"/>
      <c r="DE11" s="649">
        <v>22346.822534795436</v>
      </c>
      <c r="DG11" s="321">
        <v>-12458.738520082312</v>
      </c>
      <c r="DH11" s="5">
        <v>346324.64958245476</v>
      </c>
      <c r="DI11" s="306">
        <v>5.1091481068019151</v>
      </c>
      <c r="DJ11" s="306"/>
      <c r="DK11" s="306"/>
      <c r="DL11" s="28">
        <v>14338.721978777439</v>
      </c>
      <c r="DM11" s="28">
        <v>0</v>
      </c>
      <c r="DN11" s="650">
        <v>14338.93</v>
      </c>
      <c r="DO11" s="94">
        <v>-0.2080212225610012</v>
      </c>
      <c r="DP11" s="28">
        <v>14338.721978777439</v>
      </c>
      <c r="DQ11" s="318">
        <v>-11.751040645645844</v>
      </c>
      <c r="DS11" s="8">
        <v>13667.11716135532</v>
      </c>
      <c r="DT11" s="5">
        <v>683.35585806776601</v>
      </c>
      <c r="DW11" s="5">
        <v>10437.937338382546</v>
      </c>
      <c r="DX11" s="5">
        <v>0</v>
      </c>
    </row>
    <row r="12" spans="1:128" x14ac:dyDescent="0.3">
      <c r="A12" s="325">
        <v>150000702</v>
      </c>
      <c r="B12" s="41" t="s">
        <v>461</v>
      </c>
      <c r="C12" s="42" t="s">
        <v>339</v>
      </c>
      <c r="D12" s="42" t="s">
        <v>339</v>
      </c>
      <c r="E12" s="293">
        <v>6095.49</v>
      </c>
      <c r="F12" s="652">
        <v>6095.49</v>
      </c>
      <c r="G12" s="51">
        <v>601.05999999999949</v>
      </c>
      <c r="H12" s="651">
        <v>0</v>
      </c>
      <c r="I12" s="73">
        <v>3108.8707532159215</v>
      </c>
      <c r="J12" s="40">
        <v>3494.8792612372727</v>
      </c>
      <c r="K12" s="52">
        <v>386.00850802135119</v>
      </c>
      <c r="L12" s="73">
        <v>643.95653745959294</v>
      </c>
      <c r="M12" s="40">
        <v>725.49317655907134</v>
      </c>
      <c r="N12" s="52">
        <v>81.536639099478407</v>
      </c>
      <c r="O12" s="73">
        <v>1052.3949401673467</v>
      </c>
      <c r="P12" s="40">
        <v>1052.4833333333333</v>
      </c>
      <c r="Q12" s="52">
        <v>8.8393165986644817E-2</v>
      </c>
      <c r="R12" s="73">
        <v>253.6974551696</v>
      </c>
      <c r="S12" s="40">
        <v>253.98333333333332</v>
      </c>
      <c r="T12" s="52">
        <v>0.2858781637333152</v>
      </c>
      <c r="U12" s="73">
        <v>129.82091592576384</v>
      </c>
      <c r="V12" s="40">
        <v>282.25445042891118</v>
      </c>
      <c r="W12" s="52">
        <v>152.43353450314734</v>
      </c>
      <c r="X12" s="73">
        <v>1397.7702314653952</v>
      </c>
      <c r="Y12" s="40">
        <v>1510.7778116422178</v>
      </c>
      <c r="Z12" s="52">
        <v>113.00758017682256</v>
      </c>
      <c r="AA12" s="73">
        <v>487.63920000000002</v>
      </c>
      <c r="AB12" s="40">
        <v>0</v>
      </c>
      <c r="AC12" s="52">
        <v>-487.63920000000002</v>
      </c>
      <c r="AD12" s="73">
        <v>4391.2921095066213</v>
      </c>
      <c r="AE12" s="40">
        <v>5493.8964878196393</v>
      </c>
      <c r="AF12" s="35">
        <v>1102.6043783130181</v>
      </c>
      <c r="AG12" s="77">
        <v>11465.44214291024</v>
      </c>
      <c r="AH12" s="53">
        <v>12813.76785435378</v>
      </c>
      <c r="AI12" s="52">
        <v>1348.3257114435401</v>
      </c>
      <c r="AJ12" s="73">
        <v>8282.58</v>
      </c>
      <c r="AK12" s="40">
        <v>8157.6411337860727</v>
      </c>
      <c r="AL12" s="52">
        <v>-124.93886621392721</v>
      </c>
      <c r="AM12" s="73">
        <v>0</v>
      </c>
      <c r="AN12" s="40">
        <v>0</v>
      </c>
      <c r="AO12" s="52">
        <v>0</v>
      </c>
      <c r="AP12" s="73">
        <v>661.86312499999997</v>
      </c>
      <c r="AQ12" s="40">
        <v>0</v>
      </c>
      <c r="AR12" s="52">
        <v>-661.86312499999997</v>
      </c>
      <c r="AS12" s="73">
        <v>7433.7654617841754</v>
      </c>
      <c r="AT12" s="40">
        <v>2245</v>
      </c>
      <c r="AU12" s="54">
        <v>-5188.7654617841754</v>
      </c>
      <c r="AV12" s="73">
        <v>1561.9334621553435</v>
      </c>
      <c r="AW12" s="40">
        <v>0</v>
      </c>
      <c r="AX12" s="55">
        <v>-1561.9334621553435</v>
      </c>
      <c r="AY12" s="73">
        <v>1801.3566803819872</v>
      </c>
      <c r="AZ12" s="40">
        <v>0</v>
      </c>
      <c r="BA12" s="35">
        <v>-1801.3566803819872</v>
      </c>
      <c r="BB12" s="73">
        <v>553.97614103433</v>
      </c>
      <c r="BC12" s="40">
        <v>0</v>
      </c>
      <c r="BD12" s="55">
        <v>-553.97614103433</v>
      </c>
      <c r="BE12" s="73">
        <v>1336.79337444627</v>
      </c>
      <c r="BF12" s="40">
        <v>0</v>
      </c>
      <c r="BG12" s="38">
        <v>-1336.79337444627</v>
      </c>
      <c r="BH12" s="73">
        <v>626.90933560096028</v>
      </c>
      <c r="BI12" s="40">
        <v>16.5</v>
      </c>
      <c r="BJ12" s="55">
        <v>-610.40933560096028</v>
      </c>
      <c r="BK12" s="73">
        <v>1189.8897217771275</v>
      </c>
      <c r="BL12" s="40">
        <v>0</v>
      </c>
      <c r="BM12" s="38">
        <v>-1189.8897217771275</v>
      </c>
      <c r="BN12" s="73">
        <v>121.9098</v>
      </c>
      <c r="BO12" s="40">
        <v>0</v>
      </c>
      <c r="BP12" s="55">
        <v>-121.9098</v>
      </c>
      <c r="BQ12" s="77">
        <v>7192.7685153960192</v>
      </c>
      <c r="BR12" s="40">
        <v>16.5</v>
      </c>
      <c r="BS12" s="55">
        <v>-7176.2685153960192</v>
      </c>
      <c r="BT12" s="73">
        <v>7903.1884496742196</v>
      </c>
      <c r="BU12" s="40">
        <v>584.06432520455132</v>
      </c>
      <c r="BV12" s="52">
        <v>-7319.1241244696685</v>
      </c>
      <c r="BW12" s="73">
        <v>6579.1462845001597</v>
      </c>
      <c r="BX12" s="40">
        <v>5869.8114279196252</v>
      </c>
      <c r="BY12" s="52">
        <v>-709.33485658053451</v>
      </c>
      <c r="BZ12" s="73">
        <v>1816.1053481670681</v>
      </c>
      <c r="CA12" s="40">
        <v>6917.1972770560124</v>
      </c>
      <c r="CB12" s="52">
        <v>5101.0919288889445</v>
      </c>
      <c r="CC12" s="73">
        <v>289.66176032750002</v>
      </c>
      <c r="CD12" s="40">
        <v>356.52152714386153</v>
      </c>
      <c r="CE12" s="52">
        <v>66.859766816361514</v>
      </c>
      <c r="CF12" s="73">
        <v>33.571210530000002</v>
      </c>
      <c r="CG12" s="40">
        <v>0</v>
      </c>
      <c r="CH12" s="52">
        <v>-33.571210530000002</v>
      </c>
      <c r="CI12" s="73">
        <v>2572.6999999999998</v>
      </c>
      <c r="CJ12" s="40">
        <v>2224.176807952294</v>
      </c>
      <c r="CK12" s="52">
        <v>-348.52319204770583</v>
      </c>
      <c r="CL12" s="73">
        <v>3859.0513500000002</v>
      </c>
      <c r="CM12" s="40">
        <v>3336.2652119284412</v>
      </c>
      <c r="CN12" s="52">
        <v>-522.78613807155898</v>
      </c>
      <c r="CO12" s="39">
        <v>6431.7513500000005</v>
      </c>
      <c r="CP12" s="40">
        <v>5560.4420198807347</v>
      </c>
      <c r="CQ12" s="52">
        <v>-871.30933011926572</v>
      </c>
      <c r="CR12" s="72">
        <v>58089.843648289381</v>
      </c>
      <c r="CS12" s="5">
        <v>42520.945565344642</v>
      </c>
      <c r="CT12" s="52">
        <v>-15568.898082944739</v>
      </c>
      <c r="CU12" s="77">
        <v>69707.812377947252</v>
      </c>
      <c r="CV12" s="65">
        <v>51025.134678413568</v>
      </c>
      <c r="CW12" s="35">
        <v>-18682.677699533684</v>
      </c>
      <c r="CX12" s="73">
        <v>3891.9984244296647</v>
      </c>
      <c r="CY12" s="40">
        <v>22574.676123963349</v>
      </c>
      <c r="CZ12" s="52">
        <v>18682.677699533684</v>
      </c>
      <c r="DA12" s="150">
        <v>128695.8161901717</v>
      </c>
      <c r="DB12" s="2">
        <v>3</v>
      </c>
      <c r="DC12" s="648">
        <v>67653.62</v>
      </c>
      <c r="DD12" s="648"/>
      <c r="DE12" s="649">
        <v>-5946.1908023769211</v>
      </c>
      <c r="DG12" s="321">
        <v>106971.17398295092</v>
      </c>
      <c r="DH12" s="5">
        <v>883197.729628523</v>
      </c>
      <c r="DI12" s="306">
        <v>4.7489822389869092</v>
      </c>
      <c r="DJ12" s="306">
        <v>6.1411643456749552</v>
      </c>
      <c r="DK12" s="306"/>
      <c r="DL12" s="28">
        <v>36596.620880372313</v>
      </c>
      <c r="DM12" s="28">
        <v>0</v>
      </c>
      <c r="DN12" s="650">
        <v>36596.800000000003</v>
      </c>
      <c r="DO12" s="94">
        <v>-0.17911962768994272</v>
      </c>
      <c r="DP12" s="28">
        <v>36596.620880372313</v>
      </c>
      <c r="DQ12" s="318">
        <v>1.9381950005481485E-2</v>
      </c>
      <c r="DS12" s="8">
        <v>34853.906188973626</v>
      </c>
      <c r="DT12" s="5">
        <v>1742.6953094486817</v>
      </c>
      <c r="DW12" s="5">
        <v>17551.840772616233</v>
      </c>
      <c r="DX12" s="5">
        <v>2713.7999999999997</v>
      </c>
    </row>
    <row r="13" spans="1:128" x14ac:dyDescent="0.3">
      <c r="A13" s="325">
        <v>150000703</v>
      </c>
      <c r="B13" s="41" t="s">
        <v>462</v>
      </c>
      <c r="C13" s="42" t="s">
        <v>340</v>
      </c>
      <c r="D13" s="42" t="s">
        <v>340</v>
      </c>
      <c r="E13" s="293">
        <v>6316</v>
      </c>
      <c r="F13" s="652">
        <v>6316</v>
      </c>
      <c r="G13" s="653">
        <v>712.5</v>
      </c>
      <c r="H13" s="651">
        <v>0</v>
      </c>
      <c r="I13" s="73">
        <v>3069.5965637925615</v>
      </c>
      <c r="J13" s="40">
        <v>3454.9113364794066</v>
      </c>
      <c r="K13" s="52">
        <v>385.31477268684512</v>
      </c>
      <c r="L13" s="73">
        <v>636.1365831856383</v>
      </c>
      <c r="M13" s="40">
        <v>716.68309504567367</v>
      </c>
      <c r="N13" s="52">
        <v>80.546511860035366</v>
      </c>
      <c r="O13" s="73">
        <v>1105.9416266557464</v>
      </c>
      <c r="P13" s="40">
        <v>1106.45</v>
      </c>
      <c r="Q13" s="52">
        <v>0.50837334425364133</v>
      </c>
      <c r="R13" s="73">
        <v>257.67037653696337</v>
      </c>
      <c r="S13" s="40">
        <v>257.93333333333334</v>
      </c>
      <c r="T13" s="52">
        <v>0.26295679636996283</v>
      </c>
      <c r="U13" s="73">
        <v>129.82091592576384</v>
      </c>
      <c r="V13" s="40">
        <v>282.25445042891118</v>
      </c>
      <c r="W13" s="52">
        <v>152.43353450314734</v>
      </c>
      <c r="X13" s="73">
        <v>1612.8912985531122</v>
      </c>
      <c r="Y13" s="40">
        <v>1739.2272553635401</v>
      </c>
      <c r="Z13" s="52">
        <v>126.33595681042789</v>
      </c>
      <c r="AA13" s="73">
        <v>505.32800000000003</v>
      </c>
      <c r="AB13" s="40">
        <v>0</v>
      </c>
      <c r="AC13" s="52">
        <v>-505.32800000000003</v>
      </c>
      <c r="AD13" s="73">
        <v>4550.5870697529235</v>
      </c>
      <c r="AE13" s="40">
        <v>5692.6432849645962</v>
      </c>
      <c r="AF13" s="35">
        <v>1142.0562152116727</v>
      </c>
      <c r="AG13" s="77">
        <v>11867.972434402709</v>
      </c>
      <c r="AH13" s="53">
        <v>13250.10275561546</v>
      </c>
      <c r="AI13" s="52">
        <v>1382.1303212127514</v>
      </c>
      <c r="AJ13" s="73">
        <v>8282.58</v>
      </c>
      <c r="AK13" s="40">
        <v>8157.6411337860727</v>
      </c>
      <c r="AL13" s="52">
        <v>-124.93886621392721</v>
      </c>
      <c r="AM13" s="73">
        <v>0</v>
      </c>
      <c r="AN13" s="40">
        <v>0</v>
      </c>
      <c r="AO13" s="52">
        <v>0</v>
      </c>
      <c r="AP13" s="73">
        <v>668.16658333333328</v>
      </c>
      <c r="AQ13" s="40">
        <v>0</v>
      </c>
      <c r="AR13" s="52">
        <v>-668.16658333333328</v>
      </c>
      <c r="AS13" s="73">
        <v>7837.9351793615542</v>
      </c>
      <c r="AT13" s="40">
        <v>0</v>
      </c>
      <c r="AU13" s="54">
        <v>-7837.9351793615542</v>
      </c>
      <c r="AV13" s="73">
        <v>1532.809072564356</v>
      </c>
      <c r="AW13" s="40">
        <v>0</v>
      </c>
      <c r="AX13" s="55">
        <v>-1532.809072564356</v>
      </c>
      <c r="AY13" s="73">
        <v>1779.696914424607</v>
      </c>
      <c r="AZ13" s="40">
        <v>3532</v>
      </c>
      <c r="BA13" s="35">
        <v>1752.303085575393</v>
      </c>
      <c r="BB13" s="73">
        <v>589.85196449619195</v>
      </c>
      <c r="BC13" s="40">
        <v>0</v>
      </c>
      <c r="BD13" s="55">
        <v>-589.85196449619195</v>
      </c>
      <c r="BE13" s="73">
        <v>1353.6361691810662</v>
      </c>
      <c r="BF13" s="40">
        <v>0</v>
      </c>
      <c r="BG13" s="38">
        <v>-1353.6361691810662</v>
      </c>
      <c r="BH13" s="73">
        <v>626.90933560096028</v>
      </c>
      <c r="BI13" s="40">
        <v>0</v>
      </c>
      <c r="BJ13" s="55">
        <v>-626.90933560096028</v>
      </c>
      <c r="BK13" s="73">
        <v>1112.811052672329</v>
      </c>
      <c r="BL13" s="40">
        <v>0</v>
      </c>
      <c r="BM13" s="38">
        <v>-1112.811052672329</v>
      </c>
      <c r="BN13" s="73">
        <v>126.33200000000001</v>
      </c>
      <c r="BO13" s="40">
        <v>0</v>
      </c>
      <c r="BP13" s="55">
        <v>-126.33200000000001</v>
      </c>
      <c r="BQ13" s="77">
        <v>7122.0465089395093</v>
      </c>
      <c r="BR13" s="40">
        <v>3532</v>
      </c>
      <c r="BS13" s="55">
        <v>-3590.0465089395093</v>
      </c>
      <c r="BT13" s="73">
        <v>7465.5019417091598</v>
      </c>
      <c r="BU13" s="40">
        <v>1708.6008219015655</v>
      </c>
      <c r="BV13" s="52">
        <v>-5756.9011198075941</v>
      </c>
      <c r="BW13" s="73">
        <v>6637.6718513216802</v>
      </c>
      <c r="BX13" s="40">
        <v>9368.9838970763758</v>
      </c>
      <c r="BY13" s="52">
        <v>2731.3120457546956</v>
      </c>
      <c r="BZ13" s="73">
        <v>1865.11833861738</v>
      </c>
      <c r="CA13" s="40">
        <v>10424.678843865851</v>
      </c>
      <c r="CB13" s="52">
        <v>8559.5605052484716</v>
      </c>
      <c r="CC13" s="73">
        <v>350.62800841749998</v>
      </c>
      <c r="CD13" s="40">
        <v>439.03671633816879</v>
      </c>
      <c r="CE13" s="52">
        <v>88.408707920668803</v>
      </c>
      <c r="CF13" s="73">
        <v>41.341105409999997</v>
      </c>
      <c r="CG13" s="40">
        <v>0</v>
      </c>
      <c r="CH13" s="52">
        <v>-41.341105409999997</v>
      </c>
      <c r="CI13" s="73">
        <v>1909.28</v>
      </c>
      <c r="CJ13" s="40">
        <v>1707.2406421754308</v>
      </c>
      <c r="CK13" s="52">
        <v>-202.03935782456915</v>
      </c>
      <c r="CL13" s="73">
        <v>2859.2487000000001</v>
      </c>
      <c r="CM13" s="40">
        <v>2561.629582235073</v>
      </c>
      <c r="CN13" s="52">
        <v>-297.61911776492707</v>
      </c>
      <c r="CO13" s="39">
        <v>4768.5286999999998</v>
      </c>
      <c r="CP13" s="40">
        <v>4268.8702244105043</v>
      </c>
      <c r="CQ13" s="52">
        <v>-499.65847558949554</v>
      </c>
      <c r="CR13" s="72">
        <v>56907.490651512824</v>
      </c>
      <c r="CS13" s="5">
        <v>51149.914392993989</v>
      </c>
      <c r="CT13" s="52">
        <v>-5757.5762585188349</v>
      </c>
      <c r="CU13" s="77">
        <v>68288.98878181538</v>
      </c>
      <c r="CV13" s="65">
        <v>61379.897271592781</v>
      </c>
      <c r="CW13" s="35">
        <v>-6909.091510222599</v>
      </c>
      <c r="CX13" s="73">
        <v>3812.7812031123617</v>
      </c>
      <c r="CY13" s="40">
        <v>10721.87271333496</v>
      </c>
      <c r="CZ13" s="52">
        <v>6909.091510222599</v>
      </c>
      <c r="DA13" s="150">
        <v>-61103.726145484266</v>
      </c>
      <c r="DB13" s="2">
        <v>3</v>
      </c>
      <c r="DC13" s="648">
        <v>68031.25</v>
      </c>
      <c r="DD13" s="648"/>
      <c r="DE13" s="649">
        <v>-4070.5199849277415</v>
      </c>
      <c r="DG13" s="321">
        <v>4167.4546463684637</v>
      </c>
      <c r="DH13" s="5">
        <v>865221.23981913296</v>
      </c>
      <c r="DI13" s="306">
        <v>4.7022222128127602</v>
      </c>
      <c r="DJ13" s="306">
        <v>5.7995715257889744</v>
      </c>
      <c r="DK13" s="306"/>
      <c r="DL13" s="28">
        <v>35848.23237138761</v>
      </c>
      <c r="DM13" s="28">
        <v>0</v>
      </c>
      <c r="DN13" s="650">
        <v>35848.230000000003</v>
      </c>
      <c r="DO13" s="94">
        <v>2.3713876071269624E-3</v>
      </c>
      <c r="DP13" s="28">
        <v>35848.23237138761</v>
      </c>
      <c r="DQ13" s="318">
        <v>-3.4867390654617338</v>
      </c>
      <c r="DS13" s="8">
        <v>34144.49439090769</v>
      </c>
      <c r="DT13" s="5">
        <v>1707.2247195453847</v>
      </c>
      <c r="DW13" s="5">
        <v>17951.978025961278</v>
      </c>
      <c r="DX13" s="5">
        <v>4238.3999999999996</v>
      </c>
    </row>
    <row r="14" spans="1:128" x14ac:dyDescent="0.3">
      <c r="A14" s="325">
        <v>150000781</v>
      </c>
      <c r="B14" s="41" t="s">
        <v>463</v>
      </c>
      <c r="C14" s="42" t="s">
        <v>34</v>
      </c>
      <c r="D14" s="42" t="s">
        <v>34</v>
      </c>
      <c r="E14" s="293">
        <v>263.3</v>
      </c>
      <c r="F14" s="305">
        <v>263.3</v>
      </c>
      <c r="G14" s="51"/>
      <c r="H14" s="651">
        <v>0</v>
      </c>
      <c r="I14" s="73">
        <v>0</v>
      </c>
      <c r="J14" s="40">
        <v>0</v>
      </c>
      <c r="K14" s="52">
        <v>0</v>
      </c>
      <c r="L14" s="73">
        <v>0</v>
      </c>
      <c r="M14" s="40">
        <v>0</v>
      </c>
      <c r="N14" s="52">
        <v>0</v>
      </c>
      <c r="O14" s="73">
        <v>0</v>
      </c>
      <c r="P14" s="40">
        <v>0</v>
      </c>
      <c r="Q14" s="52">
        <v>0</v>
      </c>
      <c r="R14" s="73">
        <v>0</v>
      </c>
      <c r="S14" s="40">
        <v>0</v>
      </c>
      <c r="T14" s="52">
        <v>0</v>
      </c>
      <c r="U14" s="73">
        <v>0</v>
      </c>
      <c r="V14" s="40">
        <v>0</v>
      </c>
      <c r="W14" s="52">
        <v>0</v>
      </c>
      <c r="X14" s="73">
        <v>0</v>
      </c>
      <c r="Y14" s="40">
        <v>0</v>
      </c>
      <c r="Z14" s="52">
        <v>0</v>
      </c>
      <c r="AA14" s="73">
        <v>21.064</v>
      </c>
      <c r="AB14" s="40">
        <v>0</v>
      </c>
      <c r="AC14" s="52">
        <v>-21.064</v>
      </c>
      <c r="AD14" s="73">
        <v>158.17984315129775</v>
      </c>
      <c r="AE14" s="40">
        <v>237.31364422596232</v>
      </c>
      <c r="AF14" s="35">
        <v>79.133801074664575</v>
      </c>
      <c r="AG14" s="77">
        <v>179.24384315129774</v>
      </c>
      <c r="AH14" s="53">
        <v>237.31364422596232</v>
      </c>
      <c r="AI14" s="52">
        <v>58.069801074664582</v>
      </c>
      <c r="AJ14" s="73">
        <v>0</v>
      </c>
      <c r="AK14" s="40">
        <v>0</v>
      </c>
      <c r="AL14" s="52">
        <v>0</v>
      </c>
      <c r="AM14" s="73">
        <v>0</v>
      </c>
      <c r="AN14" s="40">
        <v>0</v>
      </c>
      <c r="AO14" s="52">
        <v>0</v>
      </c>
      <c r="AP14" s="73">
        <v>56.731124999999992</v>
      </c>
      <c r="AQ14" s="40">
        <v>0</v>
      </c>
      <c r="AR14" s="52">
        <v>-56.731124999999992</v>
      </c>
      <c r="AS14" s="73">
        <v>312.52092624774173</v>
      </c>
      <c r="AT14" s="40">
        <v>0</v>
      </c>
      <c r="AU14" s="54">
        <v>-312.52092624774173</v>
      </c>
      <c r="AV14" s="73">
        <v>0</v>
      </c>
      <c r="AW14" s="40">
        <v>0</v>
      </c>
      <c r="AX14" s="55">
        <v>0</v>
      </c>
      <c r="AY14" s="73">
        <v>0</v>
      </c>
      <c r="AZ14" s="40">
        <v>0</v>
      </c>
      <c r="BA14" s="35">
        <v>0</v>
      </c>
      <c r="BB14" s="73">
        <v>0</v>
      </c>
      <c r="BC14" s="40">
        <v>0</v>
      </c>
      <c r="BD14" s="55">
        <v>0</v>
      </c>
      <c r="BE14" s="73">
        <v>0</v>
      </c>
      <c r="BF14" s="40">
        <v>0</v>
      </c>
      <c r="BG14" s="38">
        <v>0</v>
      </c>
      <c r="BH14" s="73">
        <v>0</v>
      </c>
      <c r="BI14" s="40">
        <v>0</v>
      </c>
      <c r="BJ14" s="55">
        <v>0</v>
      </c>
      <c r="BK14" s="73">
        <v>0</v>
      </c>
      <c r="BL14" s="40">
        <v>0</v>
      </c>
      <c r="BM14" s="38">
        <v>0</v>
      </c>
      <c r="BN14" s="73">
        <v>5.266</v>
      </c>
      <c r="BO14" s="40">
        <v>0</v>
      </c>
      <c r="BP14" s="55">
        <v>-5.266</v>
      </c>
      <c r="BQ14" s="77">
        <v>5.266</v>
      </c>
      <c r="BR14" s="40">
        <v>0</v>
      </c>
      <c r="BS14" s="55">
        <v>-5.266</v>
      </c>
      <c r="BT14" s="73">
        <v>0</v>
      </c>
      <c r="BU14" s="40">
        <v>0</v>
      </c>
      <c r="BV14" s="52">
        <v>0</v>
      </c>
      <c r="BW14" s="73">
        <v>0</v>
      </c>
      <c r="BX14" s="40">
        <v>0.97758590391447664</v>
      </c>
      <c r="BY14" s="52">
        <v>0.97758590391447664</v>
      </c>
      <c r="BZ14" s="73">
        <v>0</v>
      </c>
      <c r="CA14" s="40">
        <v>0</v>
      </c>
      <c r="CB14" s="52">
        <v>0</v>
      </c>
      <c r="CC14" s="73">
        <v>0</v>
      </c>
      <c r="CD14" s="40">
        <v>0</v>
      </c>
      <c r="CE14" s="52">
        <v>0</v>
      </c>
      <c r="CF14" s="73">
        <v>0</v>
      </c>
      <c r="CG14" s="40">
        <v>0</v>
      </c>
      <c r="CH14" s="52">
        <v>0</v>
      </c>
      <c r="CI14" s="73">
        <v>0</v>
      </c>
      <c r="CJ14" s="40">
        <v>0</v>
      </c>
      <c r="CK14" s="52">
        <v>0</v>
      </c>
      <c r="CL14" s="73">
        <v>0</v>
      </c>
      <c r="CM14" s="40">
        <v>0</v>
      </c>
      <c r="CN14" s="52">
        <v>0</v>
      </c>
      <c r="CO14" s="39">
        <v>0</v>
      </c>
      <c r="CP14" s="40">
        <v>0</v>
      </c>
      <c r="CQ14" s="52">
        <v>0</v>
      </c>
      <c r="CR14" s="72">
        <v>553.76189439903942</v>
      </c>
      <c r="CS14" s="5">
        <v>238.29123012987679</v>
      </c>
      <c r="CT14" s="52">
        <v>-315.47066426916263</v>
      </c>
      <c r="CU14" s="77">
        <v>664.51427327884733</v>
      </c>
      <c r="CV14" s="65">
        <v>285.94947615585215</v>
      </c>
      <c r="CW14" s="35">
        <v>-378.56479712299517</v>
      </c>
      <c r="CX14" s="73">
        <v>37.101845781499449</v>
      </c>
      <c r="CY14" s="40">
        <v>415.66664290449467</v>
      </c>
      <c r="CZ14" s="52">
        <v>378.56479712299523</v>
      </c>
      <c r="DA14" s="150">
        <v>-3910.1615326785209</v>
      </c>
      <c r="DB14" s="2">
        <v>3</v>
      </c>
      <c r="DC14" s="648">
        <v>904.68</v>
      </c>
      <c r="DD14" s="648"/>
      <c r="DE14" s="649">
        <v>203.06388093965313</v>
      </c>
      <c r="DG14" s="321">
        <v>-5087.9980893170741</v>
      </c>
      <c r="DH14" s="5">
        <v>8419.3934287241609</v>
      </c>
      <c r="DI14" s="306">
        <v>1.324990480331921</v>
      </c>
      <c r="DJ14" s="306"/>
      <c r="DK14" s="306"/>
      <c r="DL14" s="28">
        <v>348.86999347139482</v>
      </c>
      <c r="DM14" s="28">
        <v>0</v>
      </c>
      <c r="DN14" s="650">
        <v>348.87</v>
      </c>
      <c r="DO14" s="94">
        <v>-6.5286051835755643E-6</v>
      </c>
      <c r="DP14" s="28">
        <v>348.86999347139482</v>
      </c>
      <c r="DQ14" s="318">
        <v>0</v>
      </c>
      <c r="DS14" s="8">
        <v>332.25713663942366</v>
      </c>
      <c r="DT14" s="5">
        <v>16.612856831971182</v>
      </c>
      <c r="DW14" s="5">
        <v>381.34431149729011</v>
      </c>
      <c r="DX14" s="5">
        <v>0</v>
      </c>
    </row>
    <row r="15" spans="1:128" x14ac:dyDescent="0.3">
      <c r="A15" s="325">
        <v>150000488</v>
      </c>
      <c r="B15" s="41" t="s">
        <v>464</v>
      </c>
      <c r="C15" s="42" t="s">
        <v>35</v>
      </c>
      <c r="D15" s="42" t="s">
        <v>35</v>
      </c>
      <c r="E15" s="293">
        <v>317.88</v>
      </c>
      <c r="F15" s="305">
        <v>317.88</v>
      </c>
      <c r="G15" s="51"/>
      <c r="H15" s="651">
        <v>0</v>
      </c>
      <c r="I15" s="73">
        <v>0</v>
      </c>
      <c r="J15" s="40">
        <v>0</v>
      </c>
      <c r="K15" s="52">
        <v>0</v>
      </c>
      <c r="L15" s="73">
        <v>0</v>
      </c>
      <c r="M15" s="40">
        <v>0</v>
      </c>
      <c r="N15" s="52">
        <v>0</v>
      </c>
      <c r="O15" s="73">
        <v>0</v>
      </c>
      <c r="P15" s="40">
        <v>0</v>
      </c>
      <c r="Q15" s="52">
        <v>0</v>
      </c>
      <c r="R15" s="73">
        <v>0</v>
      </c>
      <c r="S15" s="40">
        <v>0</v>
      </c>
      <c r="T15" s="52">
        <v>0</v>
      </c>
      <c r="U15" s="73">
        <v>0</v>
      </c>
      <c r="V15" s="40">
        <v>0</v>
      </c>
      <c r="W15" s="52">
        <v>0</v>
      </c>
      <c r="X15" s="73">
        <v>0</v>
      </c>
      <c r="Y15" s="40">
        <v>0</v>
      </c>
      <c r="Z15" s="52">
        <v>0</v>
      </c>
      <c r="AA15" s="73">
        <v>25.430399999999999</v>
      </c>
      <c r="AB15" s="40">
        <v>0</v>
      </c>
      <c r="AC15" s="52">
        <v>-25.430399999999999</v>
      </c>
      <c r="AD15" s="73">
        <v>190.95304198018906</v>
      </c>
      <c r="AE15" s="40">
        <v>286.50687894625486</v>
      </c>
      <c r="AF15" s="35">
        <v>95.553836966065802</v>
      </c>
      <c r="AG15" s="77">
        <v>216.38344198018905</v>
      </c>
      <c r="AH15" s="53">
        <v>286.50687894625486</v>
      </c>
      <c r="AI15" s="52">
        <v>70.12343696606581</v>
      </c>
      <c r="AJ15" s="73">
        <v>0</v>
      </c>
      <c r="AK15" s="40">
        <v>0</v>
      </c>
      <c r="AL15" s="52">
        <v>0</v>
      </c>
      <c r="AM15" s="73">
        <v>0</v>
      </c>
      <c r="AN15" s="40">
        <v>0</v>
      </c>
      <c r="AO15" s="52">
        <v>0</v>
      </c>
      <c r="AP15" s="73">
        <v>69.338041666666669</v>
      </c>
      <c r="AQ15" s="40">
        <v>0</v>
      </c>
      <c r="AR15" s="52">
        <v>-69.338041666666669</v>
      </c>
      <c r="AS15" s="73">
        <v>372.17141771053463</v>
      </c>
      <c r="AT15" s="40">
        <v>0</v>
      </c>
      <c r="AU15" s="54">
        <v>-372.17141771053463</v>
      </c>
      <c r="AV15" s="73">
        <v>0</v>
      </c>
      <c r="AW15" s="40">
        <v>0</v>
      </c>
      <c r="AX15" s="55">
        <v>0</v>
      </c>
      <c r="AY15" s="73">
        <v>0</v>
      </c>
      <c r="AZ15" s="40">
        <v>0</v>
      </c>
      <c r="BA15" s="35">
        <v>0</v>
      </c>
      <c r="BB15" s="73">
        <v>0</v>
      </c>
      <c r="BC15" s="40">
        <v>0</v>
      </c>
      <c r="BD15" s="55">
        <v>0</v>
      </c>
      <c r="BE15" s="73">
        <v>0</v>
      </c>
      <c r="BF15" s="40">
        <v>0</v>
      </c>
      <c r="BG15" s="38">
        <v>0</v>
      </c>
      <c r="BH15" s="73">
        <v>0</v>
      </c>
      <c r="BI15" s="40">
        <v>0</v>
      </c>
      <c r="BJ15" s="55">
        <v>0</v>
      </c>
      <c r="BK15" s="73">
        <v>0</v>
      </c>
      <c r="BL15" s="40">
        <v>0</v>
      </c>
      <c r="BM15" s="38">
        <v>0</v>
      </c>
      <c r="BN15" s="73">
        <v>6.3575999999999997</v>
      </c>
      <c r="BO15" s="40">
        <v>0</v>
      </c>
      <c r="BP15" s="55">
        <v>-6.3575999999999997</v>
      </c>
      <c r="BQ15" s="77">
        <v>6.3575999999999997</v>
      </c>
      <c r="BR15" s="40">
        <v>0</v>
      </c>
      <c r="BS15" s="55">
        <v>-6.3575999999999997</v>
      </c>
      <c r="BT15" s="73">
        <v>0</v>
      </c>
      <c r="BU15" s="40">
        <v>0</v>
      </c>
      <c r="BV15" s="52">
        <v>0</v>
      </c>
      <c r="BW15" s="73">
        <v>0</v>
      </c>
      <c r="BX15" s="40">
        <v>1.180231701998989</v>
      </c>
      <c r="BY15" s="52">
        <v>1.180231701998989</v>
      </c>
      <c r="BZ15" s="73">
        <v>0</v>
      </c>
      <c r="CA15" s="40">
        <v>0</v>
      </c>
      <c r="CB15" s="52">
        <v>0</v>
      </c>
      <c r="CC15" s="73">
        <v>0</v>
      </c>
      <c r="CD15" s="40">
        <v>0</v>
      </c>
      <c r="CE15" s="52">
        <v>0</v>
      </c>
      <c r="CF15" s="73">
        <v>0</v>
      </c>
      <c r="CG15" s="40">
        <v>0</v>
      </c>
      <c r="CH15" s="52">
        <v>0</v>
      </c>
      <c r="CI15" s="73">
        <v>0</v>
      </c>
      <c r="CJ15" s="40">
        <v>0</v>
      </c>
      <c r="CK15" s="52">
        <v>0</v>
      </c>
      <c r="CL15" s="73">
        <v>0</v>
      </c>
      <c r="CM15" s="40">
        <v>0</v>
      </c>
      <c r="CN15" s="52">
        <v>0</v>
      </c>
      <c r="CO15" s="39">
        <v>0</v>
      </c>
      <c r="CP15" s="40">
        <v>0</v>
      </c>
      <c r="CQ15" s="52">
        <v>0</v>
      </c>
      <c r="CR15" s="72">
        <v>664.25050135739048</v>
      </c>
      <c r="CS15" s="5">
        <v>287.68711064825385</v>
      </c>
      <c r="CT15" s="52">
        <v>-376.56339070913663</v>
      </c>
      <c r="CU15" s="77">
        <v>797.1006016288685</v>
      </c>
      <c r="CV15" s="65">
        <v>345.22453277790459</v>
      </c>
      <c r="CW15" s="35">
        <v>-451.87606885096392</v>
      </c>
      <c r="CX15" s="73">
        <v>44.504542314871749</v>
      </c>
      <c r="CY15" s="40">
        <v>496.38061116583566</v>
      </c>
      <c r="CZ15" s="52">
        <v>451.87606885096392</v>
      </c>
      <c r="DA15" s="150">
        <v>-4648.1730102679985</v>
      </c>
      <c r="DB15" s="2">
        <v>3</v>
      </c>
      <c r="DC15" s="648">
        <v>4305.53</v>
      </c>
      <c r="DD15" s="648"/>
      <c r="DE15" s="649">
        <v>3463.9248560562596</v>
      </c>
      <c r="DG15" s="321">
        <v>-2696.6859839767171</v>
      </c>
      <c r="DH15" s="5">
        <v>10099.261727324883</v>
      </c>
      <c r="DI15" s="306">
        <v>1.3164647535395622</v>
      </c>
      <c r="DJ15" s="306"/>
      <c r="DK15" s="306"/>
      <c r="DL15" s="28">
        <v>418.477815855156</v>
      </c>
      <c r="DM15" s="28">
        <v>0</v>
      </c>
      <c r="DN15" s="650">
        <v>418.49</v>
      </c>
      <c r="DO15" s="94">
        <v>-1.2184144844013645E-2</v>
      </c>
      <c r="DP15" s="28">
        <v>418.477815855156</v>
      </c>
      <c r="DQ15" s="318">
        <v>0</v>
      </c>
      <c r="DS15" s="8">
        <v>398.55030081443425</v>
      </c>
      <c r="DT15" s="5">
        <v>19.927515040721715</v>
      </c>
      <c r="DW15" s="5">
        <v>454.23482125264155</v>
      </c>
      <c r="DX15" s="5">
        <v>0</v>
      </c>
    </row>
    <row r="16" spans="1:128" x14ac:dyDescent="0.3">
      <c r="A16" s="325">
        <v>150000492</v>
      </c>
      <c r="B16" s="41" t="s">
        <v>465</v>
      </c>
      <c r="C16" s="42" t="s">
        <v>36</v>
      </c>
      <c r="D16" s="42" t="s">
        <v>36</v>
      </c>
      <c r="E16" s="293">
        <v>95.5</v>
      </c>
      <c r="F16" s="305">
        <v>95.5</v>
      </c>
      <c r="G16" s="51"/>
      <c r="H16" s="651">
        <v>0</v>
      </c>
      <c r="I16" s="73">
        <v>0</v>
      </c>
      <c r="J16" s="40">
        <v>0</v>
      </c>
      <c r="K16" s="52">
        <v>0</v>
      </c>
      <c r="L16" s="73">
        <v>0</v>
      </c>
      <c r="M16" s="40">
        <v>0</v>
      </c>
      <c r="N16" s="52">
        <v>0</v>
      </c>
      <c r="O16" s="73">
        <v>0</v>
      </c>
      <c r="P16" s="40">
        <v>0</v>
      </c>
      <c r="Q16" s="52">
        <v>0</v>
      </c>
      <c r="R16" s="73">
        <v>0</v>
      </c>
      <c r="S16" s="40">
        <v>0</v>
      </c>
      <c r="T16" s="52">
        <v>0</v>
      </c>
      <c r="U16" s="73">
        <v>0</v>
      </c>
      <c r="V16" s="40">
        <v>0</v>
      </c>
      <c r="W16" s="52">
        <v>0</v>
      </c>
      <c r="X16" s="73">
        <v>0</v>
      </c>
      <c r="Y16" s="40">
        <v>0</v>
      </c>
      <c r="Z16" s="52">
        <v>0</v>
      </c>
      <c r="AA16" s="73">
        <v>7.6400000000000006</v>
      </c>
      <c r="AB16" s="40">
        <v>0</v>
      </c>
      <c r="AC16" s="52">
        <v>-7.6400000000000006</v>
      </c>
      <c r="AD16" s="73">
        <v>57.364806580189864</v>
      </c>
      <c r="AE16" s="40">
        <v>86.074641183362715</v>
      </c>
      <c r="AF16" s="35">
        <v>28.709834603172851</v>
      </c>
      <c r="AG16" s="77">
        <v>65.004806580189864</v>
      </c>
      <c r="AH16" s="53">
        <v>86.074641183362715</v>
      </c>
      <c r="AI16" s="52">
        <v>21.069834603172851</v>
      </c>
      <c r="AJ16" s="73">
        <v>0</v>
      </c>
      <c r="AK16" s="40">
        <v>0</v>
      </c>
      <c r="AL16" s="52">
        <v>0</v>
      </c>
      <c r="AM16" s="73">
        <v>0</v>
      </c>
      <c r="AN16" s="40">
        <v>0</v>
      </c>
      <c r="AO16" s="52">
        <v>0</v>
      </c>
      <c r="AP16" s="73">
        <v>25.213833333333334</v>
      </c>
      <c r="AQ16" s="40">
        <v>0</v>
      </c>
      <c r="AR16" s="52">
        <v>-25.213833333333334</v>
      </c>
      <c r="AS16" s="73">
        <v>92.440966327062142</v>
      </c>
      <c r="AT16" s="40">
        <v>0</v>
      </c>
      <c r="AU16" s="54">
        <v>-92.440966327062142</v>
      </c>
      <c r="AV16" s="73">
        <v>0</v>
      </c>
      <c r="AW16" s="40">
        <v>0</v>
      </c>
      <c r="AX16" s="55">
        <v>0</v>
      </c>
      <c r="AY16" s="73">
        <v>0</v>
      </c>
      <c r="AZ16" s="40">
        <v>0</v>
      </c>
      <c r="BA16" s="35">
        <v>0</v>
      </c>
      <c r="BB16" s="73">
        <v>0</v>
      </c>
      <c r="BC16" s="40">
        <v>0</v>
      </c>
      <c r="BD16" s="55">
        <v>0</v>
      </c>
      <c r="BE16" s="73">
        <v>0</v>
      </c>
      <c r="BF16" s="40">
        <v>0</v>
      </c>
      <c r="BG16" s="38">
        <v>0</v>
      </c>
      <c r="BH16" s="73">
        <v>0</v>
      </c>
      <c r="BI16" s="40">
        <v>0</v>
      </c>
      <c r="BJ16" s="55">
        <v>0</v>
      </c>
      <c r="BK16" s="73">
        <v>0</v>
      </c>
      <c r="BL16" s="40">
        <v>0</v>
      </c>
      <c r="BM16" s="38">
        <v>0</v>
      </c>
      <c r="BN16" s="73">
        <v>1.9100000000000001</v>
      </c>
      <c r="BO16" s="40">
        <v>0</v>
      </c>
      <c r="BP16" s="55">
        <v>-1.9100000000000001</v>
      </c>
      <c r="BQ16" s="77">
        <v>1.9100000000000001</v>
      </c>
      <c r="BR16" s="40">
        <v>0</v>
      </c>
      <c r="BS16" s="55">
        <v>-1.9100000000000001</v>
      </c>
      <c r="BT16" s="73">
        <v>0</v>
      </c>
      <c r="BU16" s="40">
        <v>0</v>
      </c>
      <c r="BV16" s="52">
        <v>0</v>
      </c>
      <c r="BW16" s="73">
        <v>0</v>
      </c>
      <c r="BX16" s="40">
        <v>0.35457445432522794</v>
      </c>
      <c r="BY16" s="52">
        <v>0.35457445432522794</v>
      </c>
      <c r="BZ16" s="73">
        <v>0</v>
      </c>
      <c r="CA16" s="40">
        <v>0</v>
      </c>
      <c r="CB16" s="52">
        <v>0</v>
      </c>
      <c r="CC16" s="73">
        <v>0</v>
      </c>
      <c r="CD16" s="40">
        <v>0</v>
      </c>
      <c r="CE16" s="52">
        <v>0</v>
      </c>
      <c r="CF16" s="73">
        <v>0</v>
      </c>
      <c r="CG16" s="40">
        <v>0</v>
      </c>
      <c r="CH16" s="52">
        <v>0</v>
      </c>
      <c r="CI16" s="73">
        <v>0</v>
      </c>
      <c r="CJ16" s="40">
        <v>0</v>
      </c>
      <c r="CK16" s="52">
        <v>0</v>
      </c>
      <c r="CL16" s="73">
        <v>0</v>
      </c>
      <c r="CM16" s="40">
        <v>0</v>
      </c>
      <c r="CN16" s="52">
        <v>0</v>
      </c>
      <c r="CO16" s="39">
        <v>0</v>
      </c>
      <c r="CP16" s="40">
        <v>0</v>
      </c>
      <c r="CQ16" s="52">
        <v>0</v>
      </c>
      <c r="CR16" s="72">
        <v>184.56960624058533</v>
      </c>
      <c r="CS16" s="5">
        <v>86.429215637687946</v>
      </c>
      <c r="CT16" s="52">
        <v>-98.140390602897384</v>
      </c>
      <c r="CU16" s="77">
        <v>221.48352748870238</v>
      </c>
      <c r="CV16" s="65">
        <v>103.71505876522554</v>
      </c>
      <c r="CW16" s="35">
        <v>-117.76846872347684</v>
      </c>
      <c r="CX16" s="73">
        <v>12.366096576800054</v>
      </c>
      <c r="CY16" s="40">
        <v>130.1345653002769</v>
      </c>
      <c r="CZ16" s="52">
        <v>117.76846872347684</v>
      </c>
      <c r="DA16" s="150">
        <v>-1125.8432767017466</v>
      </c>
      <c r="DB16" s="2">
        <v>3</v>
      </c>
      <c r="DC16" s="648">
        <v>1325.23</v>
      </c>
      <c r="DD16" s="648"/>
      <c r="DE16" s="649">
        <v>1091.3803759344976</v>
      </c>
      <c r="DG16" s="321">
        <v>-1475.5621906743368</v>
      </c>
      <c r="DH16" s="5">
        <v>2806.1954887860293</v>
      </c>
      <c r="DI16" s="306">
        <v>1.2175796013776832</v>
      </c>
      <c r="DJ16" s="306"/>
      <c r="DK16" s="306"/>
      <c r="DL16" s="28">
        <v>116.27885193156874</v>
      </c>
      <c r="DM16" s="28">
        <v>0</v>
      </c>
      <c r="DN16" s="650">
        <v>116.27</v>
      </c>
      <c r="DO16" s="94">
        <v>8.8519315687420885E-3</v>
      </c>
      <c r="DP16" s="28">
        <v>116.27885193156874</v>
      </c>
      <c r="DQ16" s="318">
        <v>0</v>
      </c>
      <c r="DS16" s="8">
        <v>110.74176374435119</v>
      </c>
      <c r="DT16" s="5">
        <v>5.5370881872175604</v>
      </c>
      <c r="DW16" s="5">
        <v>113.22115959247456</v>
      </c>
      <c r="DX16" s="5">
        <v>0</v>
      </c>
    </row>
    <row r="17" spans="1:128" x14ac:dyDescent="0.3">
      <c r="A17" s="325">
        <v>150000490</v>
      </c>
      <c r="B17" s="41" t="s">
        <v>466</v>
      </c>
      <c r="C17" s="42" t="s">
        <v>37</v>
      </c>
      <c r="D17" s="42" t="s">
        <v>37</v>
      </c>
      <c r="E17" s="293">
        <v>147.5</v>
      </c>
      <c r="F17" s="305">
        <v>147.5</v>
      </c>
      <c r="G17" s="51"/>
      <c r="H17" s="651">
        <v>0</v>
      </c>
      <c r="I17" s="73">
        <v>0</v>
      </c>
      <c r="J17" s="40">
        <v>0</v>
      </c>
      <c r="K17" s="52">
        <v>0</v>
      </c>
      <c r="L17" s="73">
        <v>0</v>
      </c>
      <c r="M17" s="40">
        <v>0</v>
      </c>
      <c r="N17" s="52">
        <v>0</v>
      </c>
      <c r="O17" s="73">
        <v>0</v>
      </c>
      <c r="P17" s="40">
        <v>0</v>
      </c>
      <c r="Q17" s="52">
        <v>0</v>
      </c>
      <c r="R17" s="73">
        <v>0</v>
      </c>
      <c r="S17" s="40">
        <v>0</v>
      </c>
      <c r="T17" s="52">
        <v>0</v>
      </c>
      <c r="U17" s="73">
        <v>0</v>
      </c>
      <c r="V17" s="40">
        <v>0</v>
      </c>
      <c r="W17" s="52">
        <v>0</v>
      </c>
      <c r="X17" s="73">
        <v>0</v>
      </c>
      <c r="Y17" s="40">
        <v>0</v>
      </c>
      <c r="Z17" s="52">
        <v>0</v>
      </c>
      <c r="AA17" s="73">
        <v>11.8</v>
      </c>
      <c r="AB17" s="40">
        <v>0</v>
      </c>
      <c r="AC17" s="52">
        <v>-11.8</v>
      </c>
      <c r="AD17" s="73">
        <v>88.592106386038807</v>
      </c>
      <c r="AE17" s="40">
        <v>132.94250863398955</v>
      </c>
      <c r="AF17" s="35">
        <v>44.35040224795074</v>
      </c>
      <c r="AG17" s="77">
        <v>100.3921063860388</v>
      </c>
      <c r="AH17" s="53">
        <v>132.94250863398955</v>
      </c>
      <c r="AI17" s="52">
        <v>32.550402247950743</v>
      </c>
      <c r="AJ17" s="73">
        <v>0</v>
      </c>
      <c r="AK17" s="40">
        <v>0</v>
      </c>
      <c r="AL17" s="52">
        <v>0</v>
      </c>
      <c r="AM17" s="73">
        <v>0</v>
      </c>
      <c r="AN17" s="40">
        <v>0</v>
      </c>
      <c r="AO17" s="52">
        <v>0</v>
      </c>
      <c r="AP17" s="73">
        <v>37.820749999999997</v>
      </c>
      <c r="AQ17" s="40">
        <v>0</v>
      </c>
      <c r="AR17" s="52">
        <v>-37.820749999999997</v>
      </c>
      <c r="AS17" s="73">
        <v>247.45536867068418</v>
      </c>
      <c r="AT17" s="40">
        <v>0</v>
      </c>
      <c r="AU17" s="54">
        <v>-247.45536867068418</v>
      </c>
      <c r="AV17" s="73">
        <v>0</v>
      </c>
      <c r="AW17" s="40">
        <v>0</v>
      </c>
      <c r="AX17" s="55">
        <v>0</v>
      </c>
      <c r="AY17" s="73">
        <v>0</v>
      </c>
      <c r="AZ17" s="40">
        <v>0</v>
      </c>
      <c r="BA17" s="35">
        <v>0</v>
      </c>
      <c r="BB17" s="73">
        <v>0</v>
      </c>
      <c r="BC17" s="40">
        <v>0</v>
      </c>
      <c r="BD17" s="55">
        <v>0</v>
      </c>
      <c r="BE17" s="73">
        <v>0</v>
      </c>
      <c r="BF17" s="40">
        <v>0</v>
      </c>
      <c r="BG17" s="38">
        <v>0</v>
      </c>
      <c r="BH17" s="73">
        <v>0</v>
      </c>
      <c r="BI17" s="40">
        <v>0</v>
      </c>
      <c r="BJ17" s="55">
        <v>0</v>
      </c>
      <c r="BK17" s="73">
        <v>0</v>
      </c>
      <c r="BL17" s="40">
        <v>0</v>
      </c>
      <c r="BM17" s="38">
        <v>0</v>
      </c>
      <c r="BN17" s="73">
        <v>2.95</v>
      </c>
      <c r="BO17" s="40">
        <v>0</v>
      </c>
      <c r="BP17" s="55">
        <v>-2.95</v>
      </c>
      <c r="BQ17" s="77">
        <v>2.95</v>
      </c>
      <c r="BR17" s="40">
        <v>0</v>
      </c>
      <c r="BS17" s="55">
        <v>-2.95</v>
      </c>
      <c r="BT17" s="73">
        <v>0</v>
      </c>
      <c r="BU17" s="40">
        <v>0</v>
      </c>
      <c r="BV17" s="52">
        <v>0</v>
      </c>
      <c r="BW17" s="73">
        <v>0</v>
      </c>
      <c r="BX17" s="40">
        <v>0.54764117291069236</v>
      </c>
      <c r="BY17" s="52">
        <v>0.54764117291069236</v>
      </c>
      <c r="BZ17" s="73">
        <v>0</v>
      </c>
      <c r="CA17" s="40">
        <v>0</v>
      </c>
      <c r="CB17" s="52">
        <v>0</v>
      </c>
      <c r="CC17" s="73">
        <v>0</v>
      </c>
      <c r="CD17" s="40">
        <v>0</v>
      </c>
      <c r="CE17" s="52">
        <v>0</v>
      </c>
      <c r="CF17" s="73">
        <v>0</v>
      </c>
      <c r="CG17" s="40">
        <v>0</v>
      </c>
      <c r="CH17" s="52">
        <v>0</v>
      </c>
      <c r="CI17" s="73">
        <v>0</v>
      </c>
      <c r="CJ17" s="40">
        <v>0</v>
      </c>
      <c r="CK17" s="52">
        <v>0</v>
      </c>
      <c r="CL17" s="73">
        <v>0</v>
      </c>
      <c r="CM17" s="40">
        <v>0</v>
      </c>
      <c r="CN17" s="52">
        <v>0</v>
      </c>
      <c r="CO17" s="39">
        <v>0</v>
      </c>
      <c r="CP17" s="40">
        <v>0</v>
      </c>
      <c r="CQ17" s="52">
        <v>0</v>
      </c>
      <c r="CR17" s="72">
        <v>388.61822505672296</v>
      </c>
      <c r="CS17" s="5">
        <v>133.49014980690023</v>
      </c>
      <c r="CT17" s="52">
        <v>-255.12807524982273</v>
      </c>
      <c r="CU17" s="77">
        <v>466.34187006806752</v>
      </c>
      <c r="CV17" s="65">
        <v>160.18817976828026</v>
      </c>
      <c r="CW17" s="35">
        <v>-306.15369029978729</v>
      </c>
      <c r="CX17" s="73">
        <v>26.037279920789707</v>
      </c>
      <c r="CY17" s="40">
        <v>332.19097022057701</v>
      </c>
      <c r="CZ17" s="52">
        <v>306.15369029978729</v>
      </c>
      <c r="DA17" s="150">
        <v>-3243.9975819271522</v>
      </c>
      <c r="DB17" s="2">
        <v>3</v>
      </c>
      <c r="DC17" s="648">
        <v>2607.86</v>
      </c>
      <c r="DD17" s="648"/>
      <c r="DE17" s="649">
        <v>2115.480850011143</v>
      </c>
      <c r="DG17" s="321">
        <v>860.38289379885782</v>
      </c>
      <c r="DH17" s="5">
        <v>5908.5497998662868</v>
      </c>
      <c r="DI17" s="306">
        <v>1.6598608934626133</v>
      </c>
      <c r="DJ17" s="306"/>
      <c r="DK17" s="306"/>
      <c r="DL17" s="28">
        <v>244.82948178573548</v>
      </c>
      <c r="DM17" s="28">
        <v>0</v>
      </c>
      <c r="DN17" s="650">
        <v>244.84</v>
      </c>
      <c r="DO17" s="94">
        <v>-1.051821426452193E-2</v>
      </c>
      <c r="DP17" s="28">
        <v>244.82948178573548</v>
      </c>
      <c r="DQ17" s="318">
        <v>0</v>
      </c>
      <c r="DS17" s="8">
        <v>233.17093503403376</v>
      </c>
      <c r="DT17" s="5">
        <v>11.658546751701691</v>
      </c>
      <c r="DW17" s="5">
        <v>300.48644240482099</v>
      </c>
      <c r="DX17" s="5">
        <v>0</v>
      </c>
    </row>
    <row r="18" spans="1:128" x14ac:dyDescent="0.3">
      <c r="A18" s="325">
        <v>150000497</v>
      </c>
      <c r="B18" s="41" t="s">
        <v>467</v>
      </c>
      <c r="C18" s="42" t="s">
        <v>341</v>
      </c>
      <c r="D18" s="42" t="s">
        <v>341</v>
      </c>
      <c r="E18" s="293">
        <v>4162.7000000000007</v>
      </c>
      <c r="F18" s="652">
        <v>4098.6000000000004</v>
      </c>
      <c r="G18" s="51">
        <v>274.00000000000045</v>
      </c>
      <c r="H18" s="651">
        <v>64.099999999999994</v>
      </c>
      <c r="I18" s="73">
        <v>2261.9075508025626</v>
      </c>
      <c r="J18" s="40">
        <v>2517.4129230969352</v>
      </c>
      <c r="K18" s="52">
        <v>255.50537229437259</v>
      </c>
      <c r="L18" s="73">
        <v>352.98220194711365</v>
      </c>
      <c r="M18" s="40">
        <v>414.7946550982208</v>
      </c>
      <c r="N18" s="52">
        <v>61.81245315110715</v>
      </c>
      <c r="O18" s="73">
        <v>884.14211651936</v>
      </c>
      <c r="P18" s="40">
        <v>883.88333333333344</v>
      </c>
      <c r="Q18" s="52">
        <v>-0.25878318602656236</v>
      </c>
      <c r="R18" s="73">
        <v>175.90250398166333</v>
      </c>
      <c r="S18" s="40">
        <v>176.21666666666667</v>
      </c>
      <c r="T18" s="52">
        <v>0.31416268500333899</v>
      </c>
      <c r="U18" s="73">
        <v>86.533130947417462</v>
      </c>
      <c r="V18" s="40">
        <v>179.1088556664759</v>
      </c>
      <c r="W18" s="52">
        <v>92.575724719058442</v>
      </c>
      <c r="X18" s="73">
        <v>631.83711398126241</v>
      </c>
      <c r="Y18" s="40">
        <v>958.02697997489554</v>
      </c>
      <c r="Z18" s="52">
        <v>326.18986599363313</v>
      </c>
      <c r="AA18" s="73">
        <v>333.01600000000008</v>
      </c>
      <c r="AB18" s="40">
        <v>0</v>
      </c>
      <c r="AC18" s="52">
        <v>-333.01600000000008</v>
      </c>
      <c r="AD18" s="73">
        <v>2996.3406363355662</v>
      </c>
      <c r="AE18" s="40">
        <v>3751.8629199370057</v>
      </c>
      <c r="AF18" s="35">
        <v>755.52228360143954</v>
      </c>
      <c r="AG18" s="77">
        <v>7722.6612545149455</v>
      </c>
      <c r="AH18" s="53">
        <v>8881.306333773533</v>
      </c>
      <c r="AI18" s="52">
        <v>1158.6450792585874</v>
      </c>
      <c r="AJ18" s="73">
        <v>5521.72</v>
      </c>
      <c r="AK18" s="40">
        <v>5438.4201185626225</v>
      </c>
      <c r="AL18" s="52">
        <v>-83.299881437377735</v>
      </c>
      <c r="AM18" s="73">
        <v>0</v>
      </c>
      <c r="AN18" s="40">
        <v>0</v>
      </c>
      <c r="AO18" s="52">
        <v>0</v>
      </c>
      <c r="AP18" s="73">
        <v>447.54554166666662</v>
      </c>
      <c r="AQ18" s="40">
        <v>0</v>
      </c>
      <c r="AR18" s="52">
        <v>-447.54554166666662</v>
      </c>
      <c r="AS18" s="73">
        <v>5137.7539726498862</v>
      </c>
      <c r="AT18" s="40">
        <v>0</v>
      </c>
      <c r="AU18" s="54">
        <v>-5137.7539726498862</v>
      </c>
      <c r="AV18" s="73">
        <v>891.43907950786945</v>
      </c>
      <c r="AW18" s="40">
        <v>0</v>
      </c>
      <c r="AX18" s="55">
        <v>-891.43907950786945</v>
      </c>
      <c r="AY18" s="73">
        <v>934.83896462060443</v>
      </c>
      <c r="AZ18" s="40">
        <v>0</v>
      </c>
      <c r="BA18" s="35">
        <v>-934.83896462060443</v>
      </c>
      <c r="BB18" s="73">
        <v>281.07077702706999</v>
      </c>
      <c r="BC18" s="40">
        <v>0</v>
      </c>
      <c r="BD18" s="55">
        <v>-281.07077702706999</v>
      </c>
      <c r="BE18" s="73">
        <v>765.37370051765402</v>
      </c>
      <c r="BF18" s="40">
        <v>0</v>
      </c>
      <c r="BG18" s="38">
        <v>-765.37370051765402</v>
      </c>
      <c r="BH18" s="73">
        <v>417.92545115516577</v>
      </c>
      <c r="BI18" s="40">
        <v>0</v>
      </c>
      <c r="BJ18" s="55">
        <v>-417.92545115516577</v>
      </c>
      <c r="BK18" s="73">
        <v>283.16547554545559</v>
      </c>
      <c r="BL18" s="40">
        <v>0</v>
      </c>
      <c r="BM18" s="38">
        <v>-283.16547554545559</v>
      </c>
      <c r="BN18" s="73">
        <v>37.848522789153861</v>
      </c>
      <c r="BO18" s="40">
        <v>0</v>
      </c>
      <c r="BP18" s="55">
        <v>-37.848522789153861</v>
      </c>
      <c r="BQ18" s="77">
        <v>3611.6619711629733</v>
      </c>
      <c r="BR18" s="40">
        <v>0</v>
      </c>
      <c r="BS18" s="55">
        <v>-3611.6619711629733</v>
      </c>
      <c r="BT18" s="73">
        <v>7851.0473177583199</v>
      </c>
      <c r="BU18" s="40">
        <v>1755.9893114125302</v>
      </c>
      <c r="BV18" s="52">
        <v>-6095.0580063457892</v>
      </c>
      <c r="BW18" s="73">
        <v>4041.3269762557002</v>
      </c>
      <c r="BX18" s="40">
        <v>5162.4940020042886</v>
      </c>
      <c r="BY18" s="52">
        <v>1121.1670257485885</v>
      </c>
      <c r="BZ18" s="73">
        <v>1544.20632968671</v>
      </c>
      <c r="CA18" s="40">
        <v>10397.328298316375</v>
      </c>
      <c r="CB18" s="52">
        <v>8853.1219686296645</v>
      </c>
      <c r="CC18" s="73">
        <v>232.01828760000001</v>
      </c>
      <c r="CD18" s="40">
        <v>278.58515977984587</v>
      </c>
      <c r="CE18" s="52">
        <v>46.566872179845859</v>
      </c>
      <c r="CF18" s="73">
        <v>26.2324722</v>
      </c>
      <c r="CG18" s="40">
        <v>0</v>
      </c>
      <c r="CH18" s="52">
        <v>-26.2324722</v>
      </c>
      <c r="CI18" s="73">
        <v>2457.46</v>
      </c>
      <c r="CJ18" s="40">
        <v>2102.6544627936323</v>
      </c>
      <c r="CK18" s="52">
        <v>-354.80553720636772</v>
      </c>
      <c r="CL18" s="73">
        <v>3687.7456000000002</v>
      </c>
      <c r="CM18" s="40">
        <v>3153.2094139642395</v>
      </c>
      <c r="CN18" s="52">
        <v>-534.53618603576069</v>
      </c>
      <c r="CO18" s="39">
        <v>6145.2056000000002</v>
      </c>
      <c r="CP18" s="40">
        <v>5255.8638767578723</v>
      </c>
      <c r="CQ18" s="52">
        <v>-889.34172324212796</v>
      </c>
      <c r="CR18" s="72">
        <v>42281.379723495207</v>
      </c>
      <c r="CS18" s="5">
        <v>37169.987100607068</v>
      </c>
      <c r="CT18" s="52">
        <v>-5111.3926228881392</v>
      </c>
      <c r="CU18" s="77">
        <v>50737.655668194246</v>
      </c>
      <c r="CV18" s="65">
        <v>44603.984520728482</v>
      </c>
      <c r="CW18" s="35">
        <v>-6133.6711474657641</v>
      </c>
      <c r="CX18" s="73">
        <v>2832.8370835854648</v>
      </c>
      <c r="CY18" s="40">
        <v>8966.5082310512298</v>
      </c>
      <c r="CZ18" s="52">
        <v>6133.671147465765</v>
      </c>
      <c r="DA18" s="150">
        <v>-28369.429593707955</v>
      </c>
      <c r="DB18" s="2">
        <v>1</v>
      </c>
      <c r="DC18" s="648">
        <v>57755.42</v>
      </c>
      <c r="DD18" s="648">
        <v>0</v>
      </c>
      <c r="DE18" s="649">
        <v>4184.9272482202869</v>
      </c>
      <c r="DG18" s="321">
        <v>3926.1674043306666</v>
      </c>
      <c r="DH18" s="5">
        <v>642845.91302135657</v>
      </c>
      <c r="DI18" s="306">
        <v>5.0148039959081769</v>
      </c>
      <c r="DJ18" s="306">
        <v>6.5318191737829876</v>
      </c>
      <c r="DK18" s="306">
        <v>4.3936074909940377</v>
      </c>
      <c r="DL18" s="28">
        <v>26355.651906929255</v>
      </c>
      <c r="DM18" s="28">
        <v>281.63024017271778</v>
      </c>
      <c r="DN18" s="650">
        <v>26355.55</v>
      </c>
      <c r="DO18" s="94">
        <v>0.10190692925607436</v>
      </c>
      <c r="DP18" s="28">
        <v>26637.282147101974</v>
      </c>
      <c r="DQ18" s="318">
        <v>1.2921299996378366E-2</v>
      </c>
      <c r="DS18" s="8">
        <v>25368.827834097123</v>
      </c>
      <c r="DT18" s="5">
        <v>1268.4413917048562</v>
      </c>
      <c r="DW18" s="5">
        <v>10499.29913257543</v>
      </c>
      <c r="DX18" s="5">
        <v>0</v>
      </c>
    </row>
    <row r="19" spans="1:128" x14ac:dyDescent="0.3">
      <c r="A19" s="325">
        <v>150000495</v>
      </c>
      <c r="B19" s="41" t="s">
        <v>468</v>
      </c>
      <c r="C19" s="42" t="s">
        <v>148</v>
      </c>
      <c r="D19" s="42" t="s">
        <v>148</v>
      </c>
      <c r="E19" s="293">
        <v>409.93</v>
      </c>
      <c r="F19" s="305">
        <v>409.93</v>
      </c>
      <c r="G19" s="51"/>
      <c r="H19" s="651">
        <v>0</v>
      </c>
      <c r="I19" s="73">
        <v>295.87095189648574</v>
      </c>
      <c r="J19" s="40">
        <v>329.17582084471746</v>
      </c>
      <c r="K19" s="52">
        <v>33.304868948231729</v>
      </c>
      <c r="L19" s="73">
        <v>66.015876450248882</v>
      </c>
      <c r="M19" s="40">
        <v>76.068445733348653</v>
      </c>
      <c r="N19" s="52">
        <v>10.052569283099771</v>
      </c>
      <c r="O19" s="73">
        <v>87.489738313279986</v>
      </c>
      <c r="P19" s="40">
        <v>87.483333333333334</v>
      </c>
      <c r="Q19" s="52">
        <v>-6.4049799466516788E-3</v>
      </c>
      <c r="R19" s="73">
        <v>0</v>
      </c>
      <c r="S19" s="40">
        <v>0</v>
      </c>
      <c r="T19" s="52">
        <v>0</v>
      </c>
      <c r="U19" s="73">
        <v>0</v>
      </c>
      <c r="V19" s="40">
        <v>0</v>
      </c>
      <c r="W19" s="52">
        <v>0</v>
      </c>
      <c r="X19" s="73">
        <v>135.32866873618718</v>
      </c>
      <c r="Y19" s="40">
        <v>138.97025752241206</v>
      </c>
      <c r="Z19" s="52">
        <v>3.6415887862248724</v>
      </c>
      <c r="AA19" s="73">
        <v>32.885599999999997</v>
      </c>
      <c r="AB19" s="40">
        <v>0</v>
      </c>
      <c r="AC19" s="52">
        <v>-32.885599999999997</v>
      </c>
      <c r="AD19" s="73">
        <v>296.15604642478542</v>
      </c>
      <c r="AE19" s="40">
        <v>369.47201738529714</v>
      </c>
      <c r="AF19" s="35">
        <v>73.31597096051172</v>
      </c>
      <c r="AG19" s="77">
        <v>913.74688182098703</v>
      </c>
      <c r="AH19" s="53">
        <v>1001.1698748191087</v>
      </c>
      <c r="AI19" s="52">
        <v>87.422992998121686</v>
      </c>
      <c r="AJ19" s="73">
        <v>0</v>
      </c>
      <c r="AK19" s="40">
        <v>0</v>
      </c>
      <c r="AL19" s="52">
        <v>0</v>
      </c>
      <c r="AM19" s="73">
        <v>0</v>
      </c>
      <c r="AN19" s="40">
        <v>0</v>
      </c>
      <c r="AO19" s="52">
        <v>0</v>
      </c>
      <c r="AP19" s="73">
        <v>151.28299999999999</v>
      </c>
      <c r="AQ19" s="40">
        <v>446.15905962088323</v>
      </c>
      <c r="AR19" s="52">
        <v>294.87605962088321</v>
      </c>
      <c r="AS19" s="73">
        <v>582.92583756125691</v>
      </c>
      <c r="AT19" s="40">
        <v>1345</v>
      </c>
      <c r="AU19" s="54">
        <v>762.07416243874309</v>
      </c>
      <c r="AV19" s="73">
        <v>153.97021408224384</v>
      </c>
      <c r="AW19" s="40">
        <v>0</v>
      </c>
      <c r="AX19" s="55">
        <v>-153.97021408224384</v>
      </c>
      <c r="AY19" s="73">
        <v>182.73570704780073</v>
      </c>
      <c r="AZ19" s="40">
        <v>0</v>
      </c>
      <c r="BA19" s="35">
        <v>-182.73570704780073</v>
      </c>
      <c r="BB19" s="73">
        <v>19.261662238383341</v>
      </c>
      <c r="BC19" s="40">
        <v>0</v>
      </c>
      <c r="BD19" s="55">
        <v>-19.261662238383341</v>
      </c>
      <c r="BE19" s="73">
        <v>0</v>
      </c>
      <c r="BF19" s="40">
        <v>0</v>
      </c>
      <c r="BG19" s="38">
        <v>0</v>
      </c>
      <c r="BH19" s="73">
        <v>0</v>
      </c>
      <c r="BI19" s="40">
        <v>0</v>
      </c>
      <c r="BJ19" s="55">
        <v>0</v>
      </c>
      <c r="BK19" s="73">
        <v>14.085035329655852</v>
      </c>
      <c r="BL19" s="40">
        <v>0</v>
      </c>
      <c r="BM19" s="38">
        <v>-14.085035329655852</v>
      </c>
      <c r="BN19" s="73">
        <v>19.640826463078763</v>
      </c>
      <c r="BO19" s="40">
        <v>0</v>
      </c>
      <c r="BP19" s="55">
        <v>-19.640826463078763</v>
      </c>
      <c r="BQ19" s="77">
        <v>389.69344516116251</v>
      </c>
      <c r="BR19" s="40">
        <v>0</v>
      </c>
      <c r="BS19" s="55">
        <v>-389.69344516116251</v>
      </c>
      <c r="BT19" s="73">
        <v>565.14329235382797</v>
      </c>
      <c r="BU19" s="40">
        <v>163.38961910899636</v>
      </c>
      <c r="BV19" s="52">
        <v>-401.75367324483159</v>
      </c>
      <c r="BW19" s="73">
        <v>183.89263074670299</v>
      </c>
      <c r="BX19" s="40">
        <v>586.03316434043199</v>
      </c>
      <c r="BY19" s="52">
        <v>402.140533593729</v>
      </c>
      <c r="BZ19" s="73">
        <v>306.14074855506999</v>
      </c>
      <c r="CA19" s="40">
        <v>1055.2068966558049</v>
      </c>
      <c r="CB19" s="52">
        <v>749.06614810073495</v>
      </c>
      <c r="CC19" s="73">
        <v>0</v>
      </c>
      <c r="CD19" s="40">
        <v>0</v>
      </c>
      <c r="CE19" s="52">
        <v>0</v>
      </c>
      <c r="CF19" s="73">
        <v>0</v>
      </c>
      <c r="CG19" s="40">
        <v>0</v>
      </c>
      <c r="CH19" s="52">
        <v>0</v>
      </c>
      <c r="CI19" s="73">
        <v>190</v>
      </c>
      <c r="CJ19" s="40">
        <v>205.52124392825462</v>
      </c>
      <c r="CK19" s="52">
        <v>15.52124392825462</v>
      </c>
      <c r="CL19" s="73">
        <v>0</v>
      </c>
      <c r="CM19" s="40">
        <v>0</v>
      </c>
      <c r="CN19" s="52">
        <v>0</v>
      </c>
      <c r="CO19" s="39">
        <v>190</v>
      </c>
      <c r="CP19" s="40">
        <v>205.52124392825462</v>
      </c>
      <c r="CQ19" s="52">
        <v>15.52124392825462</v>
      </c>
      <c r="CR19" s="72">
        <v>3282.8258361990074</v>
      </c>
      <c r="CS19" s="5">
        <v>4802.4798584734799</v>
      </c>
      <c r="CT19" s="52">
        <v>1519.6540222744725</v>
      </c>
      <c r="CU19" s="77">
        <v>3939.3910034388086</v>
      </c>
      <c r="CV19" s="65">
        <v>5762.9758301681759</v>
      </c>
      <c r="CW19" s="35">
        <v>1823.5848267293673</v>
      </c>
      <c r="CX19" s="73">
        <v>219.94813860270702</v>
      </c>
      <c r="CY19" s="40">
        <v>-1603.6366881266604</v>
      </c>
      <c r="CZ19" s="52">
        <v>-1823.5848267293675</v>
      </c>
      <c r="DA19" s="150">
        <v>-1981.4892175430257</v>
      </c>
      <c r="DB19" s="2">
        <v>1</v>
      </c>
      <c r="DC19" s="648">
        <v>5130.2299999999996</v>
      </c>
      <c r="DD19" s="648"/>
      <c r="DE19" s="649">
        <v>970.89085795848405</v>
      </c>
      <c r="DG19" s="321">
        <v>2636.1991623067479</v>
      </c>
      <c r="DH19" s="5">
        <v>49912.069704498186</v>
      </c>
      <c r="DI19" s="306">
        <v>5.0312119026087396</v>
      </c>
      <c r="DJ19" s="306"/>
      <c r="DK19" s="306"/>
      <c r="DL19" s="28">
        <v>2062.4446952364005</v>
      </c>
      <c r="DM19" s="28">
        <v>0</v>
      </c>
      <c r="DN19" s="650">
        <v>2062.4299999999998</v>
      </c>
      <c r="DO19" s="94">
        <v>1.469523640071202E-2</v>
      </c>
      <c r="DP19" s="28">
        <v>2062.4446952364005</v>
      </c>
      <c r="DQ19" s="318">
        <v>-5.7355815689738847</v>
      </c>
      <c r="DS19" s="8">
        <v>1969.6955017194043</v>
      </c>
      <c r="DT19" s="5">
        <v>98.484775085970227</v>
      </c>
      <c r="DW19" s="5">
        <v>1167.1431392669033</v>
      </c>
      <c r="DX19" s="5">
        <v>1614</v>
      </c>
    </row>
    <row r="20" spans="1:128" x14ac:dyDescent="0.3">
      <c r="A20" s="325">
        <v>150000496</v>
      </c>
      <c r="B20" s="41" t="s">
        <v>469</v>
      </c>
      <c r="C20" s="42" t="s">
        <v>149</v>
      </c>
      <c r="D20" s="42" t="s">
        <v>149</v>
      </c>
      <c r="E20" s="293">
        <v>403.93</v>
      </c>
      <c r="F20" s="305">
        <v>403.93</v>
      </c>
      <c r="G20" s="51"/>
      <c r="H20" s="651">
        <v>0</v>
      </c>
      <c r="I20" s="73">
        <v>295.87095189648574</v>
      </c>
      <c r="J20" s="40">
        <v>329.16489287732253</v>
      </c>
      <c r="K20" s="52">
        <v>33.293940980836794</v>
      </c>
      <c r="L20" s="73">
        <v>66.015876450248882</v>
      </c>
      <c r="M20" s="40">
        <v>76.035661831163878</v>
      </c>
      <c r="N20" s="52">
        <v>10.019785380914996</v>
      </c>
      <c r="O20" s="73">
        <v>85.731097801756661</v>
      </c>
      <c r="P20" s="40">
        <v>85.7</v>
      </c>
      <c r="Q20" s="52">
        <v>-3.1097801756658328E-2</v>
      </c>
      <c r="R20" s="73">
        <v>0</v>
      </c>
      <c r="S20" s="40">
        <v>0</v>
      </c>
      <c r="T20" s="52">
        <v>0</v>
      </c>
      <c r="U20" s="73">
        <v>0</v>
      </c>
      <c r="V20" s="40">
        <v>0</v>
      </c>
      <c r="W20" s="52">
        <v>0</v>
      </c>
      <c r="X20" s="73">
        <v>135.32866873618718</v>
      </c>
      <c r="Y20" s="40">
        <v>138.95932955501712</v>
      </c>
      <c r="Z20" s="52">
        <v>3.6306608188299379</v>
      </c>
      <c r="AA20" s="73">
        <v>32.314399999999999</v>
      </c>
      <c r="AB20" s="40">
        <v>0</v>
      </c>
      <c r="AC20" s="52">
        <v>-32.314399999999999</v>
      </c>
      <c r="AD20" s="73">
        <v>291.00075795204219</v>
      </c>
      <c r="AE20" s="40">
        <v>364.06418652560944</v>
      </c>
      <c r="AF20" s="35">
        <v>73.063428573567251</v>
      </c>
      <c r="AG20" s="77">
        <v>906.26175283672069</v>
      </c>
      <c r="AH20" s="53">
        <v>993.92407078911299</v>
      </c>
      <c r="AI20" s="52">
        <v>87.6623179523923</v>
      </c>
      <c r="AJ20" s="73">
        <v>0</v>
      </c>
      <c r="AK20" s="40">
        <v>0</v>
      </c>
      <c r="AL20" s="52">
        <v>0</v>
      </c>
      <c r="AM20" s="73">
        <v>0</v>
      </c>
      <c r="AN20" s="40">
        <v>0</v>
      </c>
      <c r="AO20" s="52">
        <v>0</v>
      </c>
      <c r="AP20" s="73">
        <v>151.28299999999999</v>
      </c>
      <c r="AQ20" s="40">
        <v>446.15905962088323</v>
      </c>
      <c r="AR20" s="52">
        <v>294.87605962088321</v>
      </c>
      <c r="AS20" s="73">
        <v>546.27144738314837</v>
      </c>
      <c r="AT20" s="40">
        <v>1379</v>
      </c>
      <c r="AU20" s="54">
        <v>832.72855261685163</v>
      </c>
      <c r="AV20" s="73">
        <v>153.97021408224384</v>
      </c>
      <c r="AW20" s="40">
        <v>0</v>
      </c>
      <c r="AX20" s="55">
        <v>-153.97021408224384</v>
      </c>
      <c r="AY20" s="73">
        <v>182.73570704780073</v>
      </c>
      <c r="AZ20" s="40">
        <v>0</v>
      </c>
      <c r="BA20" s="35">
        <v>-182.73570704780073</v>
      </c>
      <c r="BB20" s="73">
        <v>18.655686165356659</v>
      </c>
      <c r="BC20" s="40">
        <v>0</v>
      </c>
      <c r="BD20" s="55">
        <v>-18.655686165356659</v>
      </c>
      <c r="BE20" s="73">
        <v>0</v>
      </c>
      <c r="BF20" s="40">
        <v>0</v>
      </c>
      <c r="BG20" s="38">
        <v>0</v>
      </c>
      <c r="BH20" s="73">
        <v>0</v>
      </c>
      <c r="BI20" s="40">
        <v>0</v>
      </c>
      <c r="BJ20" s="55">
        <v>0</v>
      </c>
      <c r="BK20" s="73">
        <v>14.085035329655852</v>
      </c>
      <c r="BL20" s="40">
        <v>0</v>
      </c>
      <c r="BM20" s="38">
        <v>-14.085035329655852</v>
      </c>
      <c r="BN20" s="73">
        <v>19.177222329552489</v>
      </c>
      <c r="BO20" s="40">
        <v>0</v>
      </c>
      <c r="BP20" s="55">
        <v>-19.177222329552489</v>
      </c>
      <c r="BQ20" s="77">
        <v>388.62386495460953</v>
      </c>
      <c r="BR20" s="40">
        <v>0</v>
      </c>
      <c r="BS20" s="55">
        <v>-388.62386495460953</v>
      </c>
      <c r="BT20" s="73">
        <v>478.39472432126399</v>
      </c>
      <c r="BU20" s="40">
        <v>145.83175205031566</v>
      </c>
      <c r="BV20" s="52">
        <v>-332.56297227094831</v>
      </c>
      <c r="BW20" s="73">
        <v>183.89263074670299</v>
      </c>
      <c r="BX20" s="40">
        <v>521.37215003717665</v>
      </c>
      <c r="BY20" s="52">
        <v>337.47951929047366</v>
      </c>
      <c r="BZ20" s="73">
        <v>279.77905433963201</v>
      </c>
      <c r="CA20" s="40">
        <v>826.73968868143152</v>
      </c>
      <c r="CB20" s="52">
        <v>546.9606343417995</v>
      </c>
      <c r="CC20" s="73">
        <v>0</v>
      </c>
      <c r="CD20" s="40">
        <v>0</v>
      </c>
      <c r="CE20" s="52">
        <v>0</v>
      </c>
      <c r="CF20" s="73">
        <v>0</v>
      </c>
      <c r="CG20" s="40">
        <v>0</v>
      </c>
      <c r="CH20" s="52">
        <v>0</v>
      </c>
      <c r="CI20" s="73">
        <v>327.04000000000002</v>
      </c>
      <c r="CJ20" s="40">
        <v>294.44672439769806</v>
      </c>
      <c r="CK20" s="52">
        <v>-32.593275602301958</v>
      </c>
      <c r="CL20" s="73">
        <v>0</v>
      </c>
      <c r="CM20" s="40">
        <v>0</v>
      </c>
      <c r="CN20" s="52">
        <v>0</v>
      </c>
      <c r="CO20" s="39">
        <v>327.04000000000002</v>
      </c>
      <c r="CP20" s="40">
        <v>294.44672439769806</v>
      </c>
      <c r="CQ20" s="52">
        <v>-32.593275602301958</v>
      </c>
      <c r="CR20" s="72">
        <v>3261.5464745820773</v>
      </c>
      <c r="CS20" s="5">
        <v>4607.4734455766175</v>
      </c>
      <c r="CT20" s="52">
        <v>1345.9269709945402</v>
      </c>
      <c r="CU20" s="77">
        <v>3913.8557694984925</v>
      </c>
      <c r="CV20" s="65">
        <v>5528.9681346919406</v>
      </c>
      <c r="CW20" s="35">
        <v>1615.1123651934481</v>
      </c>
      <c r="CX20" s="73">
        <v>218.52242910368687</v>
      </c>
      <c r="CY20" s="40">
        <v>-1396.5899360897611</v>
      </c>
      <c r="CZ20" s="52">
        <v>-1615.1123651934479</v>
      </c>
      <c r="DA20" s="150">
        <v>-4532.2783244265474</v>
      </c>
      <c r="DB20" s="2">
        <v>1</v>
      </c>
      <c r="DC20" s="648">
        <v>10154.629999999999</v>
      </c>
      <c r="DD20" s="648"/>
      <c r="DE20" s="649">
        <v>6022.2518013978197</v>
      </c>
      <c r="DG20" s="321">
        <v>30156.473284759355</v>
      </c>
      <c r="DH20" s="5">
        <v>49588.538383226158</v>
      </c>
      <c r="DI20" s="306">
        <v>5.0869563513151004</v>
      </c>
      <c r="DJ20" s="306"/>
      <c r="DK20" s="306"/>
      <c r="DL20" s="28">
        <v>2054.7742789867084</v>
      </c>
      <c r="DM20" s="28">
        <v>0</v>
      </c>
      <c r="DN20" s="650">
        <v>2054.8000000000002</v>
      </c>
      <c r="DO20" s="94">
        <v>-2.5721013291786221E-2</v>
      </c>
      <c r="DP20" s="28">
        <v>2054.7742789867084</v>
      </c>
      <c r="DQ20" s="318">
        <v>0</v>
      </c>
      <c r="DS20" s="8">
        <v>1956.9278847492462</v>
      </c>
      <c r="DT20" s="5">
        <v>97.84639423746232</v>
      </c>
      <c r="DW20" s="5">
        <v>1121.8743748053093</v>
      </c>
      <c r="DX20" s="5">
        <v>1654.8</v>
      </c>
    </row>
    <row r="21" spans="1:128" x14ac:dyDescent="0.3">
      <c r="A21" s="325">
        <v>150000498</v>
      </c>
      <c r="B21" s="41" t="s">
        <v>470</v>
      </c>
      <c r="C21" s="42" t="s">
        <v>242</v>
      </c>
      <c r="D21" s="42" t="s">
        <v>242</v>
      </c>
      <c r="E21" s="293">
        <v>4893.7</v>
      </c>
      <c r="F21" s="305">
        <v>4848</v>
      </c>
      <c r="G21" s="51"/>
      <c r="H21" s="651">
        <v>45.7</v>
      </c>
      <c r="I21" s="73">
        <v>2346.8589702832164</v>
      </c>
      <c r="J21" s="40">
        <v>2601.9885969498409</v>
      </c>
      <c r="K21" s="52">
        <v>255.12962666662452</v>
      </c>
      <c r="L21" s="73">
        <v>530.2422985473404</v>
      </c>
      <c r="M21" s="40">
        <v>617.51125193000371</v>
      </c>
      <c r="N21" s="52">
        <v>87.268953382663312</v>
      </c>
      <c r="O21" s="73">
        <v>1024.5656416354666</v>
      </c>
      <c r="P21" s="40">
        <v>1024.3166666666668</v>
      </c>
      <c r="Q21" s="52">
        <v>-0.24897496879975733</v>
      </c>
      <c r="R21" s="73">
        <v>0</v>
      </c>
      <c r="S21" s="40">
        <v>0</v>
      </c>
      <c r="T21" s="52">
        <v>0</v>
      </c>
      <c r="U21" s="73">
        <v>0</v>
      </c>
      <c r="V21" s="40">
        <v>0</v>
      </c>
      <c r="W21" s="52">
        <v>0</v>
      </c>
      <c r="X21" s="73">
        <v>1584.216130618179</v>
      </c>
      <c r="Y21" s="40">
        <v>1932.6414592918031</v>
      </c>
      <c r="Z21" s="52">
        <v>348.42532867362411</v>
      </c>
      <c r="AA21" s="73">
        <v>391.45600000000002</v>
      </c>
      <c r="AB21" s="40">
        <v>0</v>
      </c>
      <c r="AC21" s="52">
        <v>-391.45600000000002</v>
      </c>
      <c r="AD21" s="73">
        <v>3523.3497810081799</v>
      </c>
      <c r="AE21" s="40">
        <v>4410.7169796756243</v>
      </c>
      <c r="AF21" s="35">
        <v>887.36719866744443</v>
      </c>
      <c r="AG21" s="77">
        <v>9400.6888220923829</v>
      </c>
      <c r="AH21" s="53">
        <v>10587.174954513939</v>
      </c>
      <c r="AI21" s="52">
        <v>1186.4861324215562</v>
      </c>
      <c r="AJ21" s="73">
        <v>0</v>
      </c>
      <c r="AK21" s="40">
        <v>0</v>
      </c>
      <c r="AL21" s="52">
        <v>0</v>
      </c>
      <c r="AM21" s="73">
        <v>0</v>
      </c>
      <c r="AN21" s="40">
        <v>0</v>
      </c>
      <c r="AO21" s="52">
        <v>0</v>
      </c>
      <c r="AP21" s="73">
        <v>2080.1412499999997</v>
      </c>
      <c r="AQ21" s="40">
        <v>6134.6870697871436</v>
      </c>
      <c r="AR21" s="52">
        <v>4054.545819787144</v>
      </c>
      <c r="AS21" s="73">
        <v>4299.7389280488624</v>
      </c>
      <c r="AT21" s="40">
        <v>0</v>
      </c>
      <c r="AU21" s="54">
        <v>-4299.7389280488624</v>
      </c>
      <c r="AV21" s="73">
        <v>1093.971110646645</v>
      </c>
      <c r="AW21" s="40">
        <v>246</v>
      </c>
      <c r="AX21" s="55">
        <v>-847.971110646645</v>
      </c>
      <c r="AY21" s="73">
        <v>1467.5361558653231</v>
      </c>
      <c r="AZ21" s="40">
        <v>0</v>
      </c>
      <c r="BA21" s="35">
        <v>-1467.5361558653231</v>
      </c>
      <c r="BB21" s="73">
        <v>273.46030974466322</v>
      </c>
      <c r="BC21" s="40">
        <v>0</v>
      </c>
      <c r="BD21" s="55">
        <v>-273.46030974466322</v>
      </c>
      <c r="BE21" s="73">
        <v>0</v>
      </c>
      <c r="BF21" s="40">
        <v>0</v>
      </c>
      <c r="BG21" s="38">
        <v>0</v>
      </c>
      <c r="BH21" s="73">
        <v>0</v>
      </c>
      <c r="BI21" s="40">
        <v>0</v>
      </c>
      <c r="BJ21" s="55">
        <v>0</v>
      </c>
      <c r="BK21" s="73">
        <v>1155.8150885668749</v>
      </c>
      <c r="BL21" s="40">
        <v>0</v>
      </c>
      <c r="BM21" s="38">
        <v>-1155.8150885668749</v>
      </c>
      <c r="BN21" s="73">
        <v>112.61829946398373</v>
      </c>
      <c r="BO21" s="40">
        <v>0</v>
      </c>
      <c r="BP21" s="55">
        <v>-112.61829946398373</v>
      </c>
      <c r="BQ21" s="77">
        <v>4103.4009642874898</v>
      </c>
      <c r="BR21" s="40">
        <v>246</v>
      </c>
      <c r="BS21" s="55">
        <v>-3857.4009642874898</v>
      </c>
      <c r="BT21" s="73">
        <v>8775.2860060544808</v>
      </c>
      <c r="BU21" s="40">
        <v>2457.3823189318423</v>
      </c>
      <c r="BV21" s="52">
        <v>-6317.9036871226381</v>
      </c>
      <c r="BW21" s="73">
        <v>2722.2512182487999</v>
      </c>
      <c r="BX21" s="40">
        <v>4811.7179609921577</v>
      </c>
      <c r="BY21" s="52">
        <v>2089.4667427433578</v>
      </c>
      <c r="BZ21" s="73">
        <v>4946.9485054966199</v>
      </c>
      <c r="CA21" s="40">
        <v>14527.645722569676</v>
      </c>
      <c r="CB21" s="52">
        <v>9580.6972170730551</v>
      </c>
      <c r="CC21" s="73">
        <v>235.1145834125</v>
      </c>
      <c r="CD21" s="40">
        <v>296.6594564783652</v>
      </c>
      <c r="CE21" s="52">
        <v>61.544873065865204</v>
      </c>
      <c r="CF21" s="73">
        <v>27.934405949999999</v>
      </c>
      <c r="CG21" s="40">
        <v>0</v>
      </c>
      <c r="CH21" s="52">
        <v>-27.934405949999999</v>
      </c>
      <c r="CI21" s="73">
        <v>1716.18</v>
      </c>
      <c r="CJ21" s="40">
        <v>2053.7118138815167</v>
      </c>
      <c r="CK21" s="52">
        <v>337.53181388151665</v>
      </c>
      <c r="CL21" s="73">
        <v>0</v>
      </c>
      <c r="CM21" s="40">
        <v>0</v>
      </c>
      <c r="CN21" s="52">
        <v>0</v>
      </c>
      <c r="CO21" s="39">
        <v>1716.18</v>
      </c>
      <c r="CP21" s="40">
        <v>2053.7118138815167</v>
      </c>
      <c r="CQ21" s="52">
        <v>337.53181388151665</v>
      </c>
      <c r="CR21" s="72">
        <v>38307.684683591135</v>
      </c>
      <c r="CS21" s="5">
        <v>41114.979297154641</v>
      </c>
      <c r="CT21" s="52">
        <v>2807.2946135635066</v>
      </c>
      <c r="CU21" s="77">
        <v>45969.221620309363</v>
      </c>
      <c r="CV21" s="65">
        <v>49337.975156585569</v>
      </c>
      <c r="CW21" s="35">
        <v>3368.7535362762064</v>
      </c>
      <c r="CX21" s="73">
        <v>2566.6009592793175</v>
      </c>
      <c r="CY21" s="40">
        <v>-802.15257699688664</v>
      </c>
      <c r="CZ21" s="52">
        <v>-3368.7535362762042</v>
      </c>
      <c r="DA21" s="150">
        <v>-27117.627432773243</v>
      </c>
      <c r="DB21" s="2">
        <v>1</v>
      </c>
      <c r="DC21" s="648">
        <v>44396.42</v>
      </c>
      <c r="DD21" s="648">
        <v>418.76</v>
      </c>
      <c r="DE21" s="649">
        <v>-3720.6425795886826</v>
      </c>
      <c r="DG21" s="321">
        <v>-58084.109815016913</v>
      </c>
      <c r="DH21" s="5">
        <v>582429.87095506419</v>
      </c>
      <c r="DI21" s="306">
        <v>4.9354225770307565</v>
      </c>
      <c r="DJ21" s="306"/>
      <c r="DK21" s="306">
        <v>4.5816281948756776</v>
      </c>
      <c r="DL21" s="28">
        <v>23926.928653445106</v>
      </c>
      <c r="DM21" s="28">
        <v>209.38040850581848</v>
      </c>
      <c r="DN21" s="650">
        <v>23926.83</v>
      </c>
      <c r="DO21" s="94">
        <v>9.8653445103991544E-2</v>
      </c>
      <c r="DP21" s="28">
        <v>24136.309061950924</v>
      </c>
      <c r="DQ21" s="318">
        <v>2.4677112885074166</v>
      </c>
      <c r="DS21" s="8">
        <v>22984.610810154682</v>
      </c>
      <c r="DT21" s="5">
        <v>1149.2305405077341</v>
      </c>
      <c r="DW21" s="5">
        <v>10083.767870803622</v>
      </c>
      <c r="DX21" s="5">
        <v>295.2</v>
      </c>
    </row>
    <row r="22" spans="1:128" x14ac:dyDescent="0.3">
      <c r="A22" s="325">
        <v>150000969</v>
      </c>
      <c r="B22" s="41" t="s">
        <v>471</v>
      </c>
      <c r="C22" s="42" t="s">
        <v>193</v>
      </c>
      <c r="D22" s="42" t="s">
        <v>193</v>
      </c>
      <c r="E22" s="293">
        <v>753</v>
      </c>
      <c r="F22" s="305">
        <v>663.7</v>
      </c>
      <c r="G22" s="51"/>
      <c r="H22" s="651">
        <v>89.3</v>
      </c>
      <c r="I22" s="73">
        <v>537.7578410135078</v>
      </c>
      <c r="J22" s="40">
        <v>595.39968907268508</v>
      </c>
      <c r="K22" s="52">
        <v>57.641848059177278</v>
      </c>
      <c r="L22" s="73">
        <v>117.81749577512565</v>
      </c>
      <c r="M22" s="40">
        <v>132.73531650295789</v>
      </c>
      <c r="N22" s="52">
        <v>14.917820727832236</v>
      </c>
      <c r="O22" s="73">
        <v>136.69967241873999</v>
      </c>
      <c r="P22" s="40">
        <v>136.69999999999999</v>
      </c>
      <c r="Q22" s="52">
        <v>3.2758125999521326E-4</v>
      </c>
      <c r="R22" s="73">
        <v>0</v>
      </c>
      <c r="S22" s="40">
        <v>0</v>
      </c>
      <c r="T22" s="52">
        <v>0</v>
      </c>
      <c r="U22" s="73">
        <v>0</v>
      </c>
      <c r="V22" s="40">
        <v>0</v>
      </c>
      <c r="W22" s="52">
        <v>0</v>
      </c>
      <c r="X22" s="73">
        <v>257.26890638905439</v>
      </c>
      <c r="Y22" s="40">
        <v>244.16154972534093</v>
      </c>
      <c r="Z22" s="52">
        <v>-13.10735666371346</v>
      </c>
      <c r="AA22" s="73">
        <v>60.160000000000004</v>
      </c>
      <c r="AB22" s="40">
        <v>0</v>
      </c>
      <c r="AC22" s="52">
        <v>-60.160000000000004</v>
      </c>
      <c r="AD22" s="73">
        <v>538.24598005353039</v>
      </c>
      <c r="AE22" s="40">
        <v>678.68277289080766</v>
      </c>
      <c r="AF22" s="35">
        <v>140.43679283727727</v>
      </c>
      <c r="AG22" s="77">
        <v>1647.9498956499583</v>
      </c>
      <c r="AH22" s="53">
        <v>1787.6793281917915</v>
      </c>
      <c r="AI22" s="52">
        <v>139.72943254183315</v>
      </c>
      <c r="AJ22" s="73">
        <v>0</v>
      </c>
      <c r="AK22" s="40">
        <v>0</v>
      </c>
      <c r="AL22" s="52">
        <v>0</v>
      </c>
      <c r="AM22" s="73">
        <v>0</v>
      </c>
      <c r="AN22" s="40">
        <v>0</v>
      </c>
      <c r="AO22" s="52">
        <v>0</v>
      </c>
      <c r="AP22" s="73">
        <v>397.11787499999997</v>
      </c>
      <c r="AQ22" s="40">
        <v>0</v>
      </c>
      <c r="AR22" s="52">
        <v>-397.11787499999997</v>
      </c>
      <c r="AS22" s="73">
        <v>884.16115327140301</v>
      </c>
      <c r="AT22" s="40">
        <v>0</v>
      </c>
      <c r="AU22" s="54">
        <v>-884.16115327140301</v>
      </c>
      <c r="AV22" s="73">
        <v>237.9139312888986</v>
      </c>
      <c r="AW22" s="40">
        <v>0</v>
      </c>
      <c r="AX22" s="55">
        <v>-237.9139312888986</v>
      </c>
      <c r="AY22" s="73">
        <v>326.12853621451598</v>
      </c>
      <c r="AZ22" s="40">
        <v>0</v>
      </c>
      <c r="BA22" s="35">
        <v>-326.12853621451598</v>
      </c>
      <c r="BB22" s="73">
        <v>39.387256058719998</v>
      </c>
      <c r="BC22" s="40">
        <v>0</v>
      </c>
      <c r="BD22" s="55">
        <v>-39.387256058719998</v>
      </c>
      <c r="BE22" s="73">
        <v>0</v>
      </c>
      <c r="BF22" s="40">
        <v>0</v>
      </c>
      <c r="BG22" s="38">
        <v>0</v>
      </c>
      <c r="BH22" s="73">
        <v>0</v>
      </c>
      <c r="BI22" s="40">
        <v>0</v>
      </c>
      <c r="BJ22" s="55">
        <v>0</v>
      </c>
      <c r="BK22" s="73">
        <v>88.879464892771765</v>
      </c>
      <c r="BL22" s="40">
        <v>0</v>
      </c>
      <c r="BM22" s="38">
        <v>-88.879464892771765</v>
      </c>
      <c r="BN22" s="73">
        <v>15.040000000000001</v>
      </c>
      <c r="BO22" s="40">
        <v>0</v>
      </c>
      <c r="BP22" s="55">
        <v>-15.040000000000001</v>
      </c>
      <c r="BQ22" s="77">
        <v>707.34918845490643</v>
      </c>
      <c r="BR22" s="40">
        <v>0</v>
      </c>
      <c r="BS22" s="55">
        <v>-707.34918845490643</v>
      </c>
      <c r="BT22" s="73">
        <v>990.37774559825596</v>
      </c>
      <c r="BU22" s="40">
        <v>258.5540993673788</v>
      </c>
      <c r="BV22" s="52">
        <v>-731.8236462308771</v>
      </c>
      <c r="BW22" s="73">
        <v>567.89016437340797</v>
      </c>
      <c r="BX22" s="40">
        <v>1359.687008016283</v>
      </c>
      <c r="BY22" s="52">
        <v>791.79684364287505</v>
      </c>
      <c r="BZ22" s="73">
        <v>409.139495276628</v>
      </c>
      <c r="CA22" s="40">
        <v>1531.8428887433413</v>
      </c>
      <c r="CB22" s="52">
        <v>1122.7033934667134</v>
      </c>
      <c r="CC22" s="73">
        <v>59.208384125000002</v>
      </c>
      <c r="CD22" s="40">
        <v>74.707093020546893</v>
      </c>
      <c r="CE22" s="52">
        <v>15.498708895546891</v>
      </c>
      <c r="CF22" s="73">
        <v>7.0346595000000001</v>
      </c>
      <c r="CG22" s="40">
        <v>0</v>
      </c>
      <c r="CH22" s="52">
        <v>-7.0346595000000001</v>
      </c>
      <c r="CI22" s="73">
        <v>174.42</v>
      </c>
      <c r="CJ22" s="40">
        <v>380.32701901369325</v>
      </c>
      <c r="CK22" s="52">
        <v>205.90701901369326</v>
      </c>
      <c r="CL22" s="73">
        <v>0</v>
      </c>
      <c r="CM22" s="40">
        <v>0</v>
      </c>
      <c r="CN22" s="52">
        <v>0</v>
      </c>
      <c r="CO22" s="39">
        <v>174.42</v>
      </c>
      <c r="CP22" s="40">
        <v>380.32701901369325</v>
      </c>
      <c r="CQ22" s="52">
        <v>205.90701901369326</v>
      </c>
      <c r="CR22" s="72">
        <v>5844.6485612495599</v>
      </c>
      <c r="CS22" s="5">
        <v>5392.7974363530357</v>
      </c>
      <c r="CT22" s="52">
        <v>-451.8511248965242</v>
      </c>
      <c r="CU22" s="77">
        <v>7013.5782734994718</v>
      </c>
      <c r="CV22" s="65">
        <v>6471.3569236236426</v>
      </c>
      <c r="CW22" s="35">
        <v>-542.22134987582922</v>
      </c>
      <c r="CX22" s="73">
        <v>391.58933064882257</v>
      </c>
      <c r="CY22" s="40">
        <v>933.81068052465162</v>
      </c>
      <c r="CZ22" s="52">
        <v>542.22134987582899</v>
      </c>
      <c r="DA22" s="150">
        <v>10200.652625112196</v>
      </c>
      <c r="DB22" s="2">
        <v>2</v>
      </c>
      <c r="DC22" s="648">
        <v>4120.66</v>
      </c>
      <c r="DD22" s="648">
        <v>3208.0400000000004</v>
      </c>
      <c r="DE22" s="649">
        <v>-76.467604148293503</v>
      </c>
      <c r="DG22" s="321">
        <v>-331.38096688206861</v>
      </c>
      <c r="DH22" s="5">
        <v>88862.011249779534</v>
      </c>
      <c r="DI22" s="306">
        <v>4.9597435506576772</v>
      </c>
      <c r="DJ22" s="306"/>
      <c r="DK22" s="306">
        <v>4.420688550574436</v>
      </c>
      <c r="DL22" s="28">
        <v>3291.7817945715005</v>
      </c>
      <c r="DM22" s="28">
        <v>394.76748756629712</v>
      </c>
      <c r="DN22" s="650">
        <v>3291.76</v>
      </c>
      <c r="DO22" s="94">
        <v>2.179457150032249E-2</v>
      </c>
      <c r="DP22" s="28">
        <v>3686.5492821377975</v>
      </c>
      <c r="DQ22" s="318">
        <v>4.4206885505745959</v>
      </c>
      <c r="DS22" s="8">
        <v>3506.7891367497359</v>
      </c>
      <c r="DT22" s="5">
        <v>175.33945683748678</v>
      </c>
      <c r="DW22" s="5">
        <v>1909.8124100715713</v>
      </c>
      <c r="DX22" s="5">
        <v>0</v>
      </c>
    </row>
    <row r="23" spans="1:128" x14ac:dyDescent="0.3">
      <c r="A23" s="325">
        <v>150000989</v>
      </c>
      <c r="B23" s="41" t="s">
        <v>472</v>
      </c>
      <c r="C23" s="42" t="s">
        <v>38</v>
      </c>
      <c r="D23" s="42" t="s">
        <v>38</v>
      </c>
      <c r="E23" s="293">
        <v>256.91000000000003</v>
      </c>
      <c r="F23" s="305">
        <v>206.8</v>
      </c>
      <c r="G23" s="51"/>
      <c r="H23" s="651">
        <v>50.11</v>
      </c>
      <c r="I23" s="73">
        <v>0</v>
      </c>
      <c r="J23" s="40">
        <v>0</v>
      </c>
      <c r="K23" s="52">
        <v>0</v>
      </c>
      <c r="L23" s="73">
        <v>0</v>
      </c>
      <c r="M23" s="40">
        <v>0</v>
      </c>
      <c r="N23" s="52">
        <v>0</v>
      </c>
      <c r="O23" s="73">
        <v>0</v>
      </c>
      <c r="P23" s="40">
        <v>0</v>
      </c>
      <c r="Q23" s="52">
        <v>0</v>
      </c>
      <c r="R23" s="73">
        <v>0</v>
      </c>
      <c r="S23" s="40">
        <v>0</v>
      </c>
      <c r="T23" s="52">
        <v>0</v>
      </c>
      <c r="U23" s="73">
        <v>0</v>
      </c>
      <c r="V23" s="40">
        <v>0</v>
      </c>
      <c r="W23" s="52">
        <v>0</v>
      </c>
      <c r="X23" s="73">
        <v>0</v>
      </c>
      <c r="Y23" s="40">
        <v>0</v>
      </c>
      <c r="Z23" s="52">
        <v>0</v>
      </c>
      <c r="AA23" s="73">
        <v>20.552800000000001</v>
      </c>
      <c r="AB23" s="40">
        <v>0</v>
      </c>
      <c r="AC23" s="52">
        <v>-20.552800000000001</v>
      </c>
      <c r="AD23" s="73">
        <v>154.33182863444677</v>
      </c>
      <c r="AE23" s="40">
        <v>231.55430436039495</v>
      </c>
      <c r="AF23" s="35">
        <v>77.222475725948186</v>
      </c>
      <c r="AG23" s="77">
        <v>174.88462863444676</v>
      </c>
      <c r="AH23" s="53">
        <v>231.55430436039495</v>
      </c>
      <c r="AI23" s="52">
        <v>56.669675725948196</v>
      </c>
      <c r="AJ23" s="73">
        <v>0</v>
      </c>
      <c r="AK23" s="40">
        <v>0</v>
      </c>
      <c r="AL23" s="52">
        <v>0</v>
      </c>
      <c r="AM23" s="73">
        <v>0</v>
      </c>
      <c r="AN23" s="40">
        <v>0</v>
      </c>
      <c r="AO23" s="52">
        <v>0</v>
      </c>
      <c r="AP23" s="73">
        <v>63.034583333333323</v>
      </c>
      <c r="AQ23" s="40">
        <v>0</v>
      </c>
      <c r="AR23" s="52">
        <v>-63.034583333333323</v>
      </c>
      <c r="AS23" s="73">
        <v>191.82568068801314</v>
      </c>
      <c r="AT23" s="40">
        <v>0</v>
      </c>
      <c r="AU23" s="54">
        <v>-191.82568068801314</v>
      </c>
      <c r="AV23" s="73">
        <v>0</v>
      </c>
      <c r="AW23" s="40">
        <v>0</v>
      </c>
      <c r="AX23" s="55">
        <v>0</v>
      </c>
      <c r="AY23" s="73">
        <v>0</v>
      </c>
      <c r="AZ23" s="40">
        <v>0</v>
      </c>
      <c r="BA23" s="35">
        <v>0</v>
      </c>
      <c r="BB23" s="73">
        <v>0</v>
      </c>
      <c r="BC23" s="40">
        <v>0</v>
      </c>
      <c r="BD23" s="55">
        <v>0</v>
      </c>
      <c r="BE23" s="73">
        <v>0</v>
      </c>
      <c r="BF23" s="40">
        <v>0</v>
      </c>
      <c r="BG23" s="38">
        <v>0</v>
      </c>
      <c r="BH23" s="73">
        <v>0</v>
      </c>
      <c r="BI23" s="40">
        <v>0</v>
      </c>
      <c r="BJ23" s="55">
        <v>0</v>
      </c>
      <c r="BK23" s="73">
        <v>0</v>
      </c>
      <c r="BL23" s="40">
        <v>0</v>
      </c>
      <c r="BM23" s="38">
        <v>0</v>
      </c>
      <c r="BN23" s="73">
        <v>5.1382000000000003</v>
      </c>
      <c r="BO23" s="40">
        <v>0</v>
      </c>
      <c r="BP23" s="55">
        <v>-5.1382000000000003</v>
      </c>
      <c r="BQ23" s="77">
        <v>5.1382000000000003</v>
      </c>
      <c r="BR23" s="40">
        <v>0</v>
      </c>
      <c r="BS23" s="55">
        <v>-5.1382000000000003</v>
      </c>
      <c r="BT23" s="73">
        <v>0</v>
      </c>
      <c r="BU23" s="40">
        <v>0</v>
      </c>
      <c r="BV23" s="52">
        <v>0</v>
      </c>
      <c r="BW23" s="73">
        <v>0</v>
      </c>
      <c r="BX23" s="40">
        <v>0.95386097445753204</v>
      </c>
      <c r="BY23" s="52">
        <v>0.95386097445753204</v>
      </c>
      <c r="BZ23" s="73">
        <v>0</v>
      </c>
      <c r="CA23" s="40">
        <v>0</v>
      </c>
      <c r="CB23" s="52">
        <v>0</v>
      </c>
      <c r="CC23" s="73">
        <v>0</v>
      </c>
      <c r="CD23" s="40">
        <v>0</v>
      </c>
      <c r="CE23" s="52">
        <v>0</v>
      </c>
      <c r="CF23" s="73">
        <v>0</v>
      </c>
      <c r="CG23" s="40">
        <v>0</v>
      </c>
      <c r="CH23" s="52">
        <v>0</v>
      </c>
      <c r="CI23" s="73">
        <v>0</v>
      </c>
      <c r="CJ23" s="40">
        <v>0</v>
      </c>
      <c r="CK23" s="52">
        <v>0</v>
      </c>
      <c r="CL23" s="73">
        <v>0</v>
      </c>
      <c r="CM23" s="40">
        <v>0</v>
      </c>
      <c r="CN23" s="52">
        <v>0</v>
      </c>
      <c r="CO23" s="39">
        <v>0</v>
      </c>
      <c r="CP23" s="40">
        <v>0</v>
      </c>
      <c r="CQ23" s="52">
        <v>0</v>
      </c>
      <c r="CR23" s="72">
        <v>434.88309265579323</v>
      </c>
      <c r="CS23" s="5">
        <v>232.50816533485249</v>
      </c>
      <c r="CT23" s="52">
        <v>-202.37492732094074</v>
      </c>
      <c r="CU23" s="77">
        <v>521.85971118695181</v>
      </c>
      <c r="CV23" s="65">
        <v>279.00979840182299</v>
      </c>
      <c r="CW23" s="35">
        <v>-242.84991278512882</v>
      </c>
      <c r="CX23" s="73">
        <v>29.137009245114214</v>
      </c>
      <c r="CY23" s="40">
        <v>271.98692203024302</v>
      </c>
      <c r="CZ23" s="52">
        <v>242.84991278512882</v>
      </c>
      <c r="DA23" s="150">
        <v>-2200.9900944967353</v>
      </c>
      <c r="DB23" s="2">
        <v>3</v>
      </c>
      <c r="DC23" s="648">
        <v>174.35</v>
      </c>
      <c r="DD23" s="648">
        <v>-0.56000000000000005</v>
      </c>
      <c r="DE23" s="649">
        <v>-377.20672043206605</v>
      </c>
      <c r="DG23" s="321">
        <v>-1850.5525597112535</v>
      </c>
      <c r="DH23" s="5">
        <v>6611.9606451847922</v>
      </c>
      <c r="DI23" s="306">
        <v>1.0664292879730242</v>
      </c>
      <c r="DJ23" s="306"/>
      <c r="DK23" s="306">
        <v>1.0664292879730242</v>
      </c>
      <c r="DL23" s="28">
        <v>220.53757675282142</v>
      </c>
      <c r="DM23" s="28">
        <v>53.438771620328239</v>
      </c>
      <c r="DN23" s="650">
        <v>220.53</v>
      </c>
      <c r="DO23" s="94">
        <v>7.5767528214214508E-3</v>
      </c>
      <c r="DP23" s="28">
        <v>273.97634837314968</v>
      </c>
      <c r="DQ23" s="318">
        <v>0</v>
      </c>
      <c r="DS23" s="8">
        <v>260.92985559347591</v>
      </c>
      <c r="DT23" s="5">
        <v>13.046492779673796</v>
      </c>
      <c r="DW23" s="5">
        <v>236.35665682561577</v>
      </c>
      <c r="DX23" s="5">
        <v>0</v>
      </c>
    </row>
    <row r="24" spans="1:128" x14ac:dyDescent="0.3">
      <c r="A24" s="325">
        <v>150000970</v>
      </c>
      <c r="B24" s="41" t="s">
        <v>473</v>
      </c>
      <c r="C24" s="42" t="s">
        <v>243</v>
      </c>
      <c r="D24" s="42" t="s">
        <v>243</v>
      </c>
      <c r="E24" s="293">
        <v>2947.6</v>
      </c>
      <c r="F24" s="305">
        <v>2589.4</v>
      </c>
      <c r="G24" s="51"/>
      <c r="H24" s="651">
        <v>358.2</v>
      </c>
      <c r="I24" s="73">
        <v>1259.973235325439</v>
      </c>
      <c r="J24" s="40">
        <v>1400.0850562681962</v>
      </c>
      <c r="K24" s="52">
        <v>140.11182094275728</v>
      </c>
      <c r="L24" s="73">
        <v>263.58764187161449</v>
      </c>
      <c r="M24" s="40">
        <v>296.96302383004991</v>
      </c>
      <c r="N24" s="52">
        <v>33.375381958435412</v>
      </c>
      <c r="O24" s="73">
        <v>494.98810552661331</v>
      </c>
      <c r="P24" s="40">
        <v>494.98</v>
      </c>
      <c r="Q24" s="52">
        <v>-8.1055266132921133E-3</v>
      </c>
      <c r="R24" s="73">
        <v>0</v>
      </c>
      <c r="S24" s="40">
        <v>0</v>
      </c>
      <c r="T24" s="52">
        <v>0</v>
      </c>
      <c r="U24" s="73">
        <v>0</v>
      </c>
      <c r="V24" s="40">
        <v>0</v>
      </c>
      <c r="W24" s="52">
        <v>0</v>
      </c>
      <c r="X24" s="73">
        <v>598.3336839016406</v>
      </c>
      <c r="Y24" s="40">
        <v>624.94550985523688</v>
      </c>
      <c r="Z24" s="52">
        <v>26.611825953596281</v>
      </c>
      <c r="AA24" s="73">
        <v>235.768</v>
      </c>
      <c r="AB24" s="40">
        <v>0</v>
      </c>
      <c r="AC24" s="52">
        <v>-235.768</v>
      </c>
      <c r="AD24" s="73">
        <v>2108.9560902061562</v>
      </c>
      <c r="AE24" s="40">
        <v>2656.6870403359153</v>
      </c>
      <c r="AF24" s="35">
        <v>547.73095012975909</v>
      </c>
      <c r="AG24" s="77">
        <v>4961.6067568314629</v>
      </c>
      <c r="AH24" s="53">
        <v>5473.6606302893988</v>
      </c>
      <c r="AI24" s="52">
        <v>512.05387345793588</v>
      </c>
      <c r="AJ24" s="73">
        <v>0</v>
      </c>
      <c r="AK24" s="40">
        <v>0</v>
      </c>
      <c r="AL24" s="52">
        <v>0</v>
      </c>
      <c r="AM24" s="73">
        <v>0</v>
      </c>
      <c r="AN24" s="40">
        <v>0</v>
      </c>
      <c r="AO24" s="52">
        <v>0</v>
      </c>
      <c r="AP24" s="73">
        <v>1021.1602499999999</v>
      </c>
      <c r="AQ24" s="40">
        <v>0</v>
      </c>
      <c r="AR24" s="52">
        <v>-1021.1602499999999</v>
      </c>
      <c r="AS24" s="73">
        <v>2367.9568365345558</v>
      </c>
      <c r="AT24" s="40">
        <v>0</v>
      </c>
      <c r="AU24" s="54">
        <v>-2367.9568365345558</v>
      </c>
      <c r="AV24" s="73">
        <v>551.74775412075701</v>
      </c>
      <c r="AW24" s="40">
        <v>0</v>
      </c>
      <c r="AX24" s="55">
        <v>-551.74775412075701</v>
      </c>
      <c r="AY24" s="73">
        <v>729.54066148172979</v>
      </c>
      <c r="AZ24" s="40">
        <v>0</v>
      </c>
      <c r="BA24" s="35">
        <v>-729.54066148172979</v>
      </c>
      <c r="BB24" s="73">
        <v>204.84338268674662</v>
      </c>
      <c r="BC24" s="40">
        <v>0</v>
      </c>
      <c r="BD24" s="55">
        <v>-204.84338268674662</v>
      </c>
      <c r="BE24" s="73">
        <v>0</v>
      </c>
      <c r="BF24" s="40">
        <v>0</v>
      </c>
      <c r="BG24" s="38">
        <v>0</v>
      </c>
      <c r="BH24" s="73">
        <v>0</v>
      </c>
      <c r="BI24" s="40">
        <v>0</v>
      </c>
      <c r="BJ24" s="55">
        <v>0</v>
      </c>
      <c r="BK24" s="73">
        <v>331.38837853668656</v>
      </c>
      <c r="BL24" s="40">
        <v>0</v>
      </c>
      <c r="BM24" s="38">
        <v>-331.38837853668656</v>
      </c>
      <c r="BN24" s="73">
        <v>58.942</v>
      </c>
      <c r="BO24" s="40">
        <v>0</v>
      </c>
      <c r="BP24" s="55">
        <v>-58.942</v>
      </c>
      <c r="BQ24" s="77">
        <v>1876.4621768259199</v>
      </c>
      <c r="BR24" s="40">
        <v>0</v>
      </c>
      <c r="BS24" s="55">
        <v>-1876.4621768259199</v>
      </c>
      <c r="BT24" s="73">
        <v>3357.3198437548199</v>
      </c>
      <c r="BU24" s="40">
        <v>888.70438419196</v>
      </c>
      <c r="BV24" s="52">
        <v>-2468.61545956286</v>
      </c>
      <c r="BW24" s="73">
        <v>1200.05328120333</v>
      </c>
      <c r="BX24" s="40">
        <v>4375.6748158522214</v>
      </c>
      <c r="BY24" s="52">
        <v>3175.6215346488916</v>
      </c>
      <c r="BZ24" s="73">
        <v>1689.6974623303779</v>
      </c>
      <c r="CA24" s="40">
        <v>5270.4243267605189</v>
      </c>
      <c r="CB24" s="52">
        <v>3580.7268644301412</v>
      </c>
      <c r="CC24" s="73">
        <v>180.5664721025</v>
      </c>
      <c r="CD24" s="40">
        <v>227.83253465040335</v>
      </c>
      <c r="CE24" s="52">
        <v>47.266062547903346</v>
      </c>
      <c r="CF24" s="73">
        <v>21.45344223</v>
      </c>
      <c r="CG24" s="40">
        <v>0</v>
      </c>
      <c r="CH24" s="52">
        <v>-21.45344223</v>
      </c>
      <c r="CI24" s="73">
        <v>1009.14</v>
      </c>
      <c r="CJ24" s="40">
        <v>1270.7890599117954</v>
      </c>
      <c r="CK24" s="52">
        <v>261.64905991179546</v>
      </c>
      <c r="CL24" s="73">
        <v>0</v>
      </c>
      <c r="CM24" s="40">
        <v>0</v>
      </c>
      <c r="CN24" s="52">
        <v>0</v>
      </c>
      <c r="CO24" s="39">
        <v>1009.14</v>
      </c>
      <c r="CP24" s="40">
        <v>1270.7890599117954</v>
      </c>
      <c r="CQ24" s="52">
        <v>261.64905991179546</v>
      </c>
      <c r="CR24" s="72">
        <v>17685.416521812964</v>
      </c>
      <c r="CS24" s="5">
        <v>17507.085751656297</v>
      </c>
      <c r="CT24" s="52">
        <v>-178.3307701566664</v>
      </c>
      <c r="CU24" s="77">
        <v>21222.499826175557</v>
      </c>
      <c r="CV24" s="65">
        <v>21008.502901987555</v>
      </c>
      <c r="CW24" s="35">
        <v>-213.99692418800259</v>
      </c>
      <c r="CX24" s="73">
        <v>1184.9164830779393</v>
      </c>
      <c r="CY24" s="40">
        <v>1398.9134072659435</v>
      </c>
      <c r="CZ24" s="52">
        <v>213.99692418800419</v>
      </c>
      <c r="DA24" s="150">
        <v>27062.568783750754</v>
      </c>
      <c r="DB24" s="2">
        <v>2</v>
      </c>
      <c r="DC24" s="648">
        <v>23093.88</v>
      </c>
      <c r="DD24" s="648">
        <v>2534.52</v>
      </c>
      <c r="DE24" s="649">
        <v>3220.9836907465033</v>
      </c>
      <c r="DG24" s="321">
        <v>66221.607901605355</v>
      </c>
      <c r="DH24" s="5">
        <v>268888.99571104196</v>
      </c>
      <c r="DI24" s="306">
        <v>3.816096214421048</v>
      </c>
      <c r="DJ24" s="306"/>
      <c r="DK24" s="306">
        <v>3.5240673345268467</v>
      </c>
      <c r="DL24" s="28">
        <v>9881.3995376218627</v>
      </c>
      <c r="DM24" s="28">
        <v>1262.3209192275165</v>
      </c>
      <c r="DN24" s="650">
        <v>9881.36</v>
      </c>
      <c r="DO24" s="94">
        <v>3.9537621862109518E-2</v>
      </c>
      <c r="DP24" s="28">
        <v>11143.72045684938</v>
      </c>
      <c r="DQ24" s="318">
        <v>1.9080481072123803</v>
      </c>
      <c r="DS24" s="8">
        <v>10611.249913087779</v>
      </c>
      <c r="DT24" s="5">
        <v>530.56249565438895</v>
      </c>
      <c r="DW24" s="5">
        <v>5093.3028160325703</v>
      </c>
      <c r="DX24" s="5">
        <v>0</v>
      </c>
    </row>
    <row r="25" spans="1:128" x14ac:dyDescent="0.3">
      <c r="A25" s="325">
        <v>150000971</v>
      </c>
      <c r="B25" s="41" t="s">
        <v>474</v>
      </c>
      <c r="C25" s="42" t="s">
        <v>194</v>
      </c>
      <c r="D25" s="42" t="s">
        <v>194</v>
      </c>
      <c r="E25" s="293">
        <v>1469.0300000000002</v>
      </c>
      <c r="F25" s="305">
        <v>1132.9000000000001</v>
      </c>
      <c r="G25" s="51"/>
      <c r="H25" s="651">
        <v>336.13</v>
      </c>
      <c r="I25" s="73">
        <v>840.56604833169092</v>
      </c>
      <c r="J25" s="40">
        <v>929.28283276168031</v>
      </c>
      <c r="K25" s="52">
        <v>88.716784429989389</v>
      </c>
      <c r="L25" s="73">
        <v>183.6599780027621</v>
      </c>
      <c r="M25" s="40">
        <v>206.91522935609606</v>
      </c>
      <c r="N25" s="52">
        <v>23.255251353333961</v>
      </c>
      <c r="O25" s="73">
        <v>279.30285817418002</v>
      </c>
      <c r="P25" s="40">
        <v>279.3</v>
      </c>
      <c r="Q25" s="52">
        <v>-2.8581741800053351E-3</v>
      </c>
      <c r="R25" s="73">
        <v>0</v>
      </c>
      <c r="S25" s="40">
        <v>0</v>
      </c>
      <c r="T25" s="52">
        <v>0</v>
      </c>
      <c r="U25" s="73">
        <v>0</v>
      </c>
      <c r="V25" s="40">
        <v>0</v>
      </c>
      <c r="W25" s="52">
        <v>0</v>
      </c>
      <c r="X25" s="73">
        <v>478.03169024414262</v>
      </c>
      <c r="Y25" s="40">
        <v>486.22332042539983</v>
      </c>
      <c r="Z25" s="52">
        <v>8.1916301812572101</v>
      </c>
      <c r="AA25" s="73">
        <v>113.05040000000001</v>
      </c>
      <c r="AB25" s="40">
        <v>0</v>
      </c>
      <c r="AC25" s="52">
        <v>-113.05040000000001</v>
      </c>
      <c r="AD25" s="73">
        <v>1008.2154062471748</v>
      </c>
      <c r="AE25" s="40">
        <v>1324.0442946345061</v>
      </c>
      <c r="AF25" s="35">
        <v>315.82888838733129</v>
      </c>
      <c r="AG25" s="77">
        <v>2902.8263809999507</v>
      </c>
      <c r="AH25" s="53">
        <v>3225.7656771776819</v>
      </c>
      <c r="AI25" s="52">
        <v>322.93929617773119</v>
      </c>
      <c r="AJ25" s="73">
        <v>0</v>
      </c>
      <c r="AK25" s="40">
        <v>0</v>
      </c>
      <c r="AL25" s="52">
        <v>0</v>
      </c>
      <c r="AM25" s="73">
        <v>0</v>
      </c>
      <c r="AN25" s="40">
        <v>0</v>
      </c>
      <c r="AO25" s="52">
        <v>0</v>
      </c>
      <c r="AP25" s="73">
        <v>548.40087499999993</v>
      </c>
      <c r="AQ25" s="40">
        <v>0</v>
      </c>
      <c r="AR25" s="52">
        <v>-548.40087499999993</v>
      </c>
      <c r="AS25" s="73">
        <v>1900.0775409689518</v>
      </c>
      <c r="AT25" s="40">
        <v>0</v>
      </c>
      <c r="AU25" s="54">
        <v>-1900.0775409689518</v>
      </c>
      <c r="AV25" s="73">
        <v>383.32389162532206</v>
      </c>
      <c r="AW25" s="40">
        <v>0</v>
      </c>
      <c r="AX25" s="55">
        <v>-383.32389162532206</v>
      </c>
      <c r="AY25" s="73">
        <v>508.27802231852718</v>
      </c>
      <c r="AZ25" s="40">
        <v>0</v>
      </c>
      <c r="BA25" s="35">
        <v>-508.27802231852718</v>
      </c>
      <c r="BB25" s="73">
        <v>83.819138229273193</v>
      </c>
      <c r="BC25" s="40">
        <v>0</v>
      </c>
      <c r="BD25" s="55">
        <v>-83.819138229273193</v>
      </c>
      <c r="BE25" s="73">
        <v>0</v>
      </c>
      <c r="BF25" s="40">
        <v>0</v>
      </c>
      <c r="BG25" s="38">
        <v>0</v>
      </c>
      <c r="BH25" s="73">
        <v>0</v>
      </c>
      <c r="BI25" s="40">
        <v>0</v>
      </c>
      <c r="BJ25" s="55">
        <v>0</v>
      </c>
      <c r="BK25" s="73">
        <v>282.61249706809923</v>
      </c>
      <c r="BL25" s="40">
        <v>0</v>
      </c>
      <c r="BM25" s="38">
        <v>-282.61249706809923</v>
      </c>
      <c r="BN25" s="73">
        <v>28.262600000000003</v>
      </c>
      <c r="BO25" s="40">
        <v>0</v>
      </c>
      <c r="BP25" s="55">
        <v>-28.262600000000003</v>
      </c>
      <c r="BQ25" s="77">
        <v>1286.2961492412217</v>
      </c>
      <c r="BR25" s="40">
        <v>0</v>
      </c>
      <c r="BS25" s="55">
        <v>-1286.2961492412217</v>
      </c>
      <c r="BT25" s="73">
        <v>1321.6434563723301</v>
      </c>
      <c r="BU25" s="40">
        <v>400.92129405422583</v>
      </c>
      <c r="BV25" s="52">
        <v>-920.72216231810421</v>
      </c>
      <c r="BW25" s="73">
        <v>1408.0487889598501</v>
      </c>
      <c r="BX25" s="40">
        <v>4443.2863392224453</v>
      </c>
      <c r="BY25" s="52">
        <v>3035.2375502625955</v>
      </c>
      <c r="BZ25" s="73">
        <v>851.53484050616601</v>
      </c>
      <c r="CA25" s="40">
        <v>2556.2988838331721</v>
      </c>
      <c r="CB25" s="52">
        <v>1704.7640433270062</v>
      </c>
      <c r="CC25" s="73">
        <v>255.55102567500001</v>
      </c>
      <c r="CD25" s="40">
        <v>322.44545310158628</v>
      </c>
      <c r="CE25" s="52">
        <v>66.894427426586276</v>
      </c>
      <c r="CF25" s="73">
        <v>30.3624981</v>
      </c>
      <c r="CG25" s="40">
        <v>0</v>
      </c>
      <c r="CH25" s="52">
        <v>-30.3624981</v>
      </c>
      <c r="CI25" s="73">
        <v>579.32000000000005</v>
      </c>
      <c r="CJ25" s="40">
        <v>613.21100057159174</v>
      </c>
      <c r="CK25" s="52">
        <v>33.89100057159169</v>
      </c>
      <c r="CL25" s="73">
        <v>0</v>
      </c>
      <c r="CM25" s="40">
        <v>0</v>
      </c>
      <c r="CN25" s="52">
        <v>0</v>
      </c>
      <c r="CO25" s="39">
        <v>579.32000000000005</v>
      </c>
      <c r="CP25" s="40">
        <v>613.21100057159174</v>
      </c>
      <c r="CQ25" s="52">
        <v>33.89100057159169</v>
      </c>
      <c r="CR25" s="72">
        <v>11084.061555823469</v>
      </c>
      <c r="CS25" s="5">
        <v>11561.928647960704</v>
      </c>
      <c r="CT25" s="52">
        <v>477.86709213723407</v>
      </c>
      <c r="CU25" s="77">
        <v>13300.873866988162</v>
      </c>
      <c r="CV25" s="65">
        <v>13874.314377552844</v>
      </c>
      <c r="CW25" s="35">
        <v>573.44051056468197</v>
      </c>
      <c r="CX25" s="73">
        <v>742.62809817042285</v>
      </c>
      <c r="CY25" s="40">
        <v>169.18758760574019</v>
      </c>
      <c r="CZ25" s="52">
        <v>-573.44051056468265</v>
      </c>
      <c r="DA25" s="150">
        <v>-26227.886683433713</v>
      </c>
      <c r="DB25" s="2">
        <v>2</v>
      </c>
      <c r="DC25" s="648">
        <v>5987.77</v>
      </c>
      <c r="DD25" s="648">
        <v>10506.130000000001</v>
      </c>
      <c r="DE25" s="649">
        <v>2450.398034841417</v>
      </c>
      <c r="DG25" s="321">
        <v>11272.948186680871</v>
      </c>
      <c r="DH25" s="5">
        <v>168522.02358190302</v>
      </c>
      <c r="DI25" s="306">
        <v>5.0750523556927325</v>
      </c>
      <c r="DJ25" s="306"/>
      <c r="DK25" s="306">
        <v>4.3137489425064075</v>
      </c>
      <c r="DL25" s="28">
        <v>5749.526813764297</v>
      </c>
      <c r="DM25" s="28">
        <v>1449.9804320446788</v>
      </c>
      <c r="DN25" s="650">
        <v>5749.6</v>
      </c>
      <c r="DO25" s="94">
        <v>-7.318623570336058E-2</v>
      </c>
      <c r="DP25" s="28">
        <v>7199.5072458089762</v>
      </c>
      <c r="DQ25" s="318">
        <v>216.54846564019135</v>
      </c>
      <c r="DS25" s="8">
        <v>6650.4369334940811</v>
      </c>
      <c r="DT25" s="5">
        <v>332.52184667470414</v>
      </c>
      <c r="DW25" s="5">
        <v>3823.6484282522083</v>
      </c>
      <c r="DX25" s="5">
        <v>0</v>
      </c>
    </row>
    <row r="26" spans="1:128" x14ac:dyDescent="0.3">
      <c r="A26" s="325">
        <v>150000991</v>
      </c>
      <c r="B26" s="41" t="s">
        <v>475</v>
      </c>
      <c r="C26" s="42" t="s">
        <v>342</v>
      </c>
      <c r="D26" s="42" t="s">
        <v>342</v>
      </c>
      <c r="E26" s="293">
        <v>4082.7</v>
      </c>
      <c r="F26" s="652">
        <v>4082.7</v>
      </c>
      <c r="G26" s="51">
        <v>442.1</v>
      </c>
      <c r="H26" s="651">
        <v>0</v>
      </c>
      <c r="I26" s="73">
        <v>1185.082398063674</v>
      </c>
      <c r="J26" s="40">
        <v>1851.4994927687326</v>
      </c>
      <c r="K26" s="52">
        <v>666.41709470505862</v>
      </c>
      <c r="L26" s="73">
        <v>200.66008591885</v>
      </c>
      <c r="M26" s="40">
        <v>321.44628903026546</v>
      </c>
      <c r="N26" s="52">
        <v>120.78620311141546</v>
      </c>
      <c r="O26" s="73">
        <v>350.95252535412999</v>
      </c>
      <c r="P26" s="40">
        <v>490.2</v>
      </c>
      <c r="Q26" s="52">
        <v>139.24747464587</v>
      </c>
      <c r="R26" s="73">
        <v>81.187337751530009</v>
      </c>
      <c r="S26" s="40">
        <v>114.23333333333321</v>
      </c>
      <c r="T26" s="52">
        <v>33.045995581803197</v>
      </c>
      <c r="U26" s="73">
        <v>55.287784978346401</v>
      </c>
      <c r="V26" s="40">
        <v>201.1987567188375</v>
      </c>
      <c r="W26" s="52">
        <v>145.91097174049111</v>
      </c>
      <c r="X26" s="73">
        <v>772.21849182632002</v>
      </c>
      <c r="Y26" s="40">
        <v>1058.1948476924931</v>
      </c>
      <c r="Z26" s="52">
        <v>285.97635586617309</v>
      </c>
      <c r="AA26" s="73">
        <v>163.17600000000002</v>
      </c>
      <c r="AB26" s="40">
        <v>0</v>
      </c>
      <c r="AC26" s="52">
        <v>-163.17600000000002</v>
      </c>
      <c r="AD26" s="73">
        <v>2089.4327549928139</v>
      </c>
      <c r="AE26" s="40">
        <v>3679.7585084745019</v>
      </c>
      <c r="AF26" s="35">
        <v>1590.325753481688</v>
      </c>
      <c r="AG26" s="77">
        <v>4897.9973788856641</v>
      </c>
      <c r="AH26" s="53">
        <v>7716.5312280181633</v>
      </c>
      <c r="AI26" s="52">
        <v>2818.5338491324992</v>
      </c>
      <c r="AJ26" s="73">
        <v>3386.6800000000003</v>
      </c>
      <c r="AK26" s="40">
        <v>4797.5632390622259</v>
      </c>
      <c r="AL26" s="52">
        <v>1410.8832390622256</v>
      </c>
      <c r="AM26" s="73">
        <v>210.14988500000001</v>
      </c>
      <c r="AN26" s="40">
        <v>0</v>
      </c>
      <c r="AO26" s="52">
        <v>-210.14988500000001</v>
      </c>
      <c r="AP26" s="73">
        <v>546.12675000000002</v>
      </c>
      <c r="AQ26" s="40">
        <v>0</v>
      </c>
      <c r="AR26" s="52">
        <v>-546.12675000000002</v>
      </c>
      <c r="AS26" s="73">
        <v>5109.3609857844986</v>
      </c>
      <c r="AT26" s="40">
        <v>1560</v>
      </c>
      <c r="AU26" s="54">
        <v>-3549.3609857844986</v>
      </c>
      <c r="AV26" s="73">
        <v>417.46424266638661</v>
      </c>
      <c r="AW26" s="40">
        <v>0</v>
      </c>
      <c r="AX26" s="55">
        <v>-417.46424266638661</v>
      </c>
      <c r="AY26" s="73">
        <v>401.21185466570705</v>
      </c>
      <c r="AZ26" s="40">
        <v>0</v>
      </c>
      <c r="BA26" s="35">
        <v>-401.21185466570705</v>
      </c>
      <c r="BB26" s="73">
        <v>83.372367472763202</v>
      </c>
      <c r="BC26" s="40">
        <v>0</v>
      </c>
      <c r="BD26" s="55">
        <v>-83.372367472763202</v>
      </c>
      <c r="BE26" s="73">
        <v>306.76532971588159</v>
      </c>
      <c r="BF26" s="40">
        <v>0</v>
      </c>
      <c r="BG26" s="38">
        <v>-306.76532971588159</v>
      </c>
      <c r="BH26" s="73">
        <v>208.98388444579521</v>
      </c>
      <c r="BI26" s="40">
        <v>16.5</v>
      </c>
      <c r="BJ26" s="55">
        <v>-192.48388444579521</v>
      </c>
      <c r="BK26" s="73">
        <v>275.19113222282465</v>
      </c>
      <c r="BL26" s="40">
        <v>0</v>
      </c>
      <c r="BM26" s="38">
        <v>-275.19113222282465</v>
      </c>
      <c r="BN26" s="73">
        <v>40.794000000000004</v>
      </c>
      <c r="BO26" s="40">
        <v>0</v>
      </c>
      <c r="BP26" s="55">
        <v>-40.794000000000004</v>
      </c>
      <c r="BQ26" s="77">
        <v>1733.7828111893584</v>
      </c>
      <c r="BR26" s="40">
        <v>16.5</v>
      </c>
      <c r="BS26" s="55">
        <v>-1717.2828111893584</v>
      </c>
      <c r="BT26" s="73">
        <v>4763.4860945581395</v>
      </c>
      <c r="BU26" s="40">
        <v>808.12697561412551</v>
      </c>
      <c r="BV26" s="52">
        <v>-3955.359118944014</v>
      </c>
      <c r="BW26" s="73">
        <v>3509.570713491174</v>
      </c>
      <c r="BX26" s="40">
        <v>2761.2005052181912</v>
      </c>
      <c r="BY26" s="52">
        <v>-748.37020827298284</v>
      </c>
      <c r="BZ26" s="73">
        <v>656.31509340737398</v>
      </c>
      <c r="CA26" s="40">
        <v>4792.222976741552</v>
      </c>
      <c r="CB26" s="52">
        <v>4135.9078833341782</v>
      </c>
      <c r="CC26" s="73">
        <v>237.86569502499998</v>
      </c>
      <c r="CD26" s="40">
        <v>294.00855962924913</v>
      </c>
      <c r="CE26" s="52">
        <v>56.142864604249155</v>
      </c>
      <c r="CF26" s="73">
        <v>21.002394500000001</v>
      </c>
      <c r="CG26" s="40">
        <v>0</v>
      </c>
      <c r="CH26" s="52">
        <v>-21.002394500000001</v>
      </c>
      <c r="CI26" s="73">
        <v>3708.7200000000003</v>
      </c>
      <c r="CJ26" s="40">
        <v>1423.2836505678097</v>
      </c>
      <c r="CK26" s="52">
        <v>-2285.4363494321906</v>
      </c>
      <c r="CL26" s="73">
        <v>2487.3020000000001</v>
      </c>
      <c r="CM26" s="40">
        <v>1037.0493225613416</v>
      </c>
      <c r="CN26" s="52">
        <v>-1450.2526774386586</v>
      </c>
      <c r="CO26" s="39">
        <v>6196.0220000000008</v>
      </c>
      <c r="CP26" s="40">
        <v>2460.3329731291515</v>
      </c>
      <c r="CQ26" s="52">
        <v>-3735.6890268708494</v>
      </c>
      <c r="CR26" s="72">
        <v>31268.359801841212</v>
      </c>
      <c r="CS26" s="5">
        <v>25206.486457412659</v>
      </c>
      <c r="CT26" s="52">
        <v>-6061.8733444285535</v>
      </c>
      <c r="CU26" s="77">
        <v>37522.031762209452</v>
      </c>
      <c r="CV26" s="65">
        <v>30247.783748895188</v>
      </c>
      <c r="CW26" s="35">
        <v>-7274.2480133142635</v>
      </c>
      <c r="CX26" s="73">
        <v>2094.9687490999049</v>
      </c>
      <c r="CY26" s="40">
        <v>9369.2167624141694</v>
      </c>
      <c r="CZ26" s="52">
        <v>7274.2480133142644</v>
      </c>
      <c r="DA26" s="150">
        <v>-14747.84486578973</v>
      </c>
      <c r="DB26" s="2">
        <v>3</v>
      </c>
      <c r="DC26" s="648">
        <v>25270.84</v>
      </c>
      <c r="DD26" s="648"/>
      <c r="DE26" s="649">
        <v>-14346.160511309357</v>
      </c>
      <c r="DG26" s="321">
        <v>6346.1492217753585</v>
      </c>
      <c r="DH26" s="5">
        <v>475404.00613571226</v>
      </c>
      <c r="DI26" s="306">
        <v>4.5370711318379957</v>
      </c>
      <c r="DJ26" s="306">
        <v>5.5047757259488499</v>
      </c>
      <c r="DK26" s="306"/>
      <c r="DL26" s="28">
        <v>22046.52565527496</v>
      </c>
      <c r="DM26" s="28">
        <v>0</v>
      </c>
      <c r="DN26" s="650">
        <v>11012.06</v>
      </c>
      <c r="DO26" s="94">
        <v>11034.46565527496</v>
      </c>
      <c r="DP26" s="28">
        <v>22046.52565527496</v>
      </c>
      <c r="DQ26" s="318">
        <v>11032.386980114999</v>
      </c>
      <c r="DS26" s="8">
        <v>10489.655881104723</v>
      </c>
      <c r="DT26" s="5">
        <v>524.48279405523624</v>
      </c>
      <c r="DW26" s="5">
        <v>8211.772556368629</v>
      </c>
      <c r="DX26" s="5">
        <v>1891.8</v>
      </c>
    </row>
    <row r="27" spans="1:128" x14ac:dyDescent="0.3">
      <c r="A27" s="325">
        <v>150000992</v>
      </c>
      <c r="B27" s="41" t="s">
        <v>476</v>
      </c>
      <c r="C27" s="42" t="s">
        <v>40</v>
      </c>
      <c r="D27" s="42" t="s">
        <v>40</v>
      </c>
      <c r="E27" s="293">
        <v>263.39999999999998</v>
      </c>
      <c r="F27" s="305">
        <v>263.39999999999998</v>
      </c>
      <c r="G27" s="51"/>
      <c r="H27" s="651">
        <v>0</v>
      </c>
      <c r="I27" s="73">
        <v>0</v>
      </c>
      <c r="J27" s="40">
        <v>0</v>
      </c>
      <c r="K27" s="52">
        <v>0</v>
      </c>
      <c r="L27" s="73">
        <v>0</v>
      </c>
      <c r="M27" s="40">
        <v>0</v>
      </c>
      <c r="N27" s="52">
        <v>0</v>
      </c>
      <c r="O27" s="73">
        <v>0</v>
      </c>
      <c r="P27" s="40">
        <v>0</v>
      </c>
      <c r="Q27" s="52">
        <v>0</v>
      </c>
      <c r="R27" s="73">
        <v>0</v>
      </c>
      <c r="S27" s="40">
        <v>0</v>
      </c>
      <c r="T27" s="52">
        <v>0</v>
      </c>
      <c r="U27" s="73">
        <v>0</v>
      </c>
      <c r="V27" s="40">
        <v>0</v>
      </c>
      <c r="W27" s="52">
        <v>0</v>
      </c>
      <c r="X27" s="73">
        <v>0</v>
      </c>
      <c r="Y27" s="40">
        <v>0</v>
      </c>
      <c r="Z27" s="52">
        <v>0</v>
      </c>
      <c r="AA27" s="73">
        <v>21.071999999999999</v>
      </c>
      <c r="AB27" s="40">
        <v>0</v>
      </c>
      <c r="AC27" s="52">
        <v>-21.071999999999999</v>
      </c>
      <c r="AD27" s="73">
        <v>158.25717298754785</v>
      </c>
      <c r="AE27" s="40">
        <v>237.40377474029043</v>
      </c>
      <c r="AF27" s="35">
        <v>79.146601752742583</v>
      </c>
      <c r="AG27" s="77">
        <v>179.32917298754785</v>
      </c>
      <c r="AH27" s="53">
        <v>237.40377474029043</v>
      </c>
      <c r="AI27" s="52">
        <v>58.074601752742581</v>
      </c>
      <c r="AJ27" s="73">
        <v>0</v>
      </c>
      <c r="AK27" s="40">
        <v>0</v>
      </c>
      <c r="AL27" s="52">
        <v>0</v>
      </c>
      <c r="AM27" s="73">
        <v>0</v>
      </c>
      <c r="AN27" s="40">
        <v>0</v>
      </c>
      <c r="AO27" s="52">
        <v>0</v>
      </c>
      <c r="AP27" s="73">
        <v>63.034583333333323</v>
      </c>
      <c r="AQ27" s="40">
        <v>0</v>
      </c>
      <c r="AR27" s="52">
        <v>-63.034583333333323</v>
      </c>
      <c r="AS27" s="73">
        <v>247.80253350710848</v>
      </c>
      <c r="AT27" s="40">
        <v>575</v>
      </c>
      <c r="AU27" s="54">
        <v>327.19746649289152</v>
      </c>
      <c r="AV27" s="73">
        <v>0</v>
      </c>
      <c r="AW27" s="40">
        <v>0</v>
      </c>
      <c r="AX27" s="55">
        <v>0</v>
      </c>
      <c r="AY27" s="73">
        <v>0</v>
      </c>
      <c r="AZ27" s="40">
        <v>0</v>
      </c>
      <c r="BA27" s="35">
        <v>0</v>
      </c>
      <c r="BB27" s="73">
        <v>0</v>
      </c>
      <c r="BC27" s="40">
        <v>0</v>
      </c>
      <c r="BD27" s="55">
        <v>0</v>
      </c>
      <c r="BE27" s="73">
        <v>0</v>
      </c>
      <c r="BF27" s="40">
        <v>0</v>
      </c>
      <c r="BG27" s="38">
        <v>0</v>
      </c>
      <c r="BH27" s="73">
        <v>0</v>
      </c>
      <c r="BI27" s="40">
        <v>0</v>
      </c>
      <c r="BJ27" s="55">
        <v>0</v>
      </c>
      <c r="BK27" s="73">
        <v>0</v>
      </c>
      <c r="BL27" s="40">
        <v>0</v>
      </c>
      <c r="BM27" s="38">
        <v>0</v>
      </c>
      <c r="BN27" s="73">
        <v>5.2679999999999998</v>
      </c>
      <c r="BO27" s="40">
        <v>0</v>
      </c>
      <c r="BP27" s="55">
        <v>-5.2679999999999998</v>
      </c>
      <c r="BQ27" s="77">
        <v>5.2679999999999998</v>
      </c>
      <c r="BR27" s="40">
        <v>0</v>
      </c>
      <c r="BS27" s="55">
        <v>-5.2679999999999998</v>
      </c>
      <c r="BT27" s="73">
        <v>0</v>
      </c>
      <c r="BU27" s="40">
        <v>0</v>
      </c>
      <c r="BV27" s="52">
        <v>0</v>
      </c>
      <c r="BW27" s="73">
        <v>0</v>
      </c>
      <c r="BX27" s="40">
        <v>0.97795718606560234</v>
      </c>
      <c r="BY27" s="52">
        <v>0.97795718606560234</v>
      </c>
      <c r="BZ27" s="73">
        <v>0</v>
      </c>
      <c r="CA27" s="40">
        <v>0</v>
      </c>
      <c r="CB27" s="52">
        <v>0</v>
      </c>
      <c r="CC27" s="73">
        <v>0</v>
      </c>
      <c r="CD27" s="40">
        <v>0</v>
      </c>
      <c r="CE27" s="52">
        <v>0</v>
      </c>
      <c r="CF27" s="73">
        <v>0</v>
      </c>
      <c r="CG27" s="40">
        <v>0</v>
      </c>
      <c r="CH27" s="52">
        <v>0</v>
      </c>
      <c r="CI27" s="73">
        <v>0</v>
      </c>
      <c r="CJ27" s="40">
        <v>0</v>
      </c>
      <c r="CK27" s="52">
        <v>0</v>
      </c>
      <c r="CL27" s="73">
        <v>0</v>
      </c>
      <c r="CM27" s="40">
        <v>0</v>
      </c>
      <c r="CN27" s="52">
        <v>0</v>
      </c>
      <c r="CO27" s="39">
        <v>0</v>
      </c>
      <c r="CP27" s="40">
        <v>0</v>
      </c>
      <c r="CQ27" s="52">
        <v>0</v>
      </c>
      <c r="CR27" s="72">
        <v>495.43428982798963</v>
      </c>
      <c r="CS27" s="5">
        <v>813.381731926356</v>
      </c>
      <c r="CT27" s="52">
        <v>317.94744209836637</v>
      </c>
      <c r="CU27" s="77">
        <v>594.52114779358749</v>
      </c>
      <c r="CV27" s="65">
        <v>976.05807831162713</v>
      </c>
      <c r="CW27" s="35">
        <v>381.53693051803964</v>
      </c>
      <c r="CX27" s="73">
        <v>33.193917461606866</v>
      </c>
      <c r="CY27" s="40">
        <v>-348.34301305643282</v>
      </c>
      <c r="CZ27" s="52">
        <v>-381.5369305180397</v>
      </c>
      <c r="DA27" s="150">
        <v>-2300.2218122281033</v>
      </c>
      <c r="DB27" s="2">
        <v>3</v>
      </c>
      <c r="DC27" s="648">
        <v>1117.8399999999999</v>
      </c>
      <c r="DD27" s="648"/>
      <c r="DE27" s="649">
        <v>490.12493474480561</v>
      </c>
      <c r="DG27" s="321">
        <v>-2907.9407554146833</v>
      </c>
      <c r="DH27" s="5">
        <v>7532.5807830623316</v>
      </c>
      <c r="DI27" s="306">
        <v>1.1849795087002029</v>
      </c>
      <c r="DJ27" s="306"/>
      <c r="DK27" s="306"/>
      <c r="DL27" s="28">
        <v>312.12360259163341</v>
      </c>
      <c r="DM27" s="28">
        <v>0</v>
      </c>
      <c r="DN27" s="650">
        <v>312.14</v>
      </c>
      <c r="DO27" s="94">
        <v>-1.6397408366572108E-2</v>
      </c>
      <c r="DP27" s="28">
        <v>312.12360259163341</v>
      </c>
      <c r="DQ27" s="318">
        <v>0</v>
      </c>
      <c r="DS27" s="8">
        <v>297.26057389679374</v>
      </c>
      <c r="DT27" s="5">
        <v>14.863028694839688</v>
      </c>
      <c r="DW27" s="5">
        <v>303.68464020853014</v>
      </c>
      <c r="DX27" s="5">
        <v>690</v>
      </c>
    </row>
    <row r="28" spans="1:128" x14ac:dyDescent="0.3">
      <c r="A28" s="325">
        <v>150000999</v>
      </c>
      <c r="B28" s="41" t="s">
        <v>477</v>
      </c>
      <c r="C28" s="42" t="s">
        <v>41</v>
      </c>
      <c r="D28" s="42" t="s">
        <v>41</v>
      </c>
      <c r="E28" s="293">
        <v>298.60000000000002</v>
      </c>
      <c r="F28" s="305">
        <v>298.60000000000002</v>
      </c>
      <c r="G28" s="51"/>
      <c r="H28" s="651">
        <v>0</v>
      </c>
      <c r="I28" s="73">
        <v>0</v>
      </c>
      <c r="J28" s="40">
        <v>0</v>
      </c>
      <c r="K28" s="52">
        <v>0</v>
      </c>
      <c r="L28" s="73">
        <v>0</v>
      </c>
      <c r="M28" s="40">
        <v>0</v>
      </c>
      <c r="N28" s="52">
        <v>0</v>
      </c>
      <c r="O28" s="73">
        <v>0</v>
      </c>
      <c r="P28" s="40">
        <v>0</v>
      </c>
      <c r="Q28" s="52">
        <v>0</v>
      </c>
      <c r="R28" s="73">
        <v>0</v>
      </c>
      <c r="S28" s="40">
        <v>0</v>
      </c>
      <c r="T28" s="52">
        <v>0</v>
      </c>
      <c r="U28" s="73">
        <v>0</v>
      </c>
      <c r="V28" s="40">
        <v>0</v>
      </c>
      <c r="W28" s="52">
        <v>0</v>
      </c>
      <c r="X28" s="73">
        <v>0</v>
      </c>
      <c r="Y28" s="40">
        <v>0</v>
      </c>
      <c r="Z28" s="52">
        <v>0</v>
      </c>
      <c r="AA28" s="73">
        <v>23.888000000000002</v>
      </c>
      <c r="AB28" s="40">
        <v>0</v>
      </c>
      <c r="AC28" s="52">
        <v>-23.888000000000002</v>
      </c>
      <c r="AD28" s="73">
        <v>179.37478965718088</v>
      </c>
      <c r="AE28" s="40">
        <v>269.12971578379171</v>
      </c>
      <c r="AF28" s="35">
        <v>89.754926126610826</v>
      </c>
      <c r="AG28" s="77">
        <v>203.26278965718089</v>
      </c>
      <c r="AH28" s="53">
        <v>269.12971578379171</v>
      </c>
      <c r="AI28" s="52">
        <v>65.866926126610821</v>
      </c>
      <c r="AJ28" s="73">
        <v>0</v>
      </c>
      <c r="AK28" s="40">
        <v>0</v>
      </c>
      <c r="AL28" s="52">
        <v>0</v>
      </c>
      <c r="AM28" s="73">
        <v>0</v>
      </c>
      <c r="AN28" s="40">
        <v>0</v>
      </c>
      <c r="AO28" s="52">
        <v>0</v>
      </c>
      <c r="AP28" s="73">
        <v>63.034583333333323</v>
      </c>
      <c r="AQ28" s="40">
        <v>0</v>
      </c>
      <c r="AR28" s="52">
        <v>-63.034583333333323</v>
      </c>
      <c r="AS28" s="73">
        <v>260.4504119039874</v>
      </c>
      <c r="AT28" s="40">
        <v>0</v>
      </c>
      <c r="AU28" s="54">
        <v>-260.4504119039874</v>
      </c>
      <c r="AV28" s="73">
        <v>0</v>
      </c>
      <c r="AW28" s="40">
        <v>0</v>
      </c>
      <c r="AX28" s="55">
        <v>0</v>
      </c>
      <c r="AY28" s="73">
        <v>0</v>
      </c>
      <c r="AZ28" s="40">
        <v>0</v>
      </c>
      <c r="BA28" s="35">
        <v>0</v>
      </c>
      <c r="BB28" s="73">
        <v>0</v>
      </c>
      <c r="BC28" s="40">
        <v>0</v>
      </c>
      <c r="BD28" s="55">
        <v>0</v>
      </c>
      <c r="BE28" s="73">
        <v>0</v>
      </c>
      <c r="BF28" s="40">
        <v>0</v>
      </c>
      <c r="BG28" s="38">
        <v>0</v>
      </c>
      <c r="BH28" s="73">
        <v>0</v>
      </c>
      <c r="BI28" s="40">
        <v>0</v>
      </c>
      <c r="BJ28" s="55">
        <v>0</v>
      </c>
      <c r="BK28" s="73">
        <v>0</v>
      </c>
      <c r="BL28" s="40">
        <v>0</v>
      </c>
      <c r="BM28" s="38">
        <v>0</v>
      </c>
      <c r="BN28" s="73">
        <v>5.9720000000000004</v>
      </c>
      <c r="BO28" s="40">
        <v>0</v>
      </c>
      <c r="BP28" s="55">
        <v>-5.9720000000000004</v>
      </c>
      <c r="BQ28" s="77">
        <v>5.9720000000000004</v>
      </c>
      <c r="BR28" s="40">
        <v>0</v>
      </c>
      <c r="BS28" s="55">
        <v>-5.9720000000000004</v>
      </c>
      <c r="BT28" s="73">
        <v>0</v>
      </c>
      <c r="BU28" s="40">
        <v>0</v>
      </c>
      <c r="BV28" s="52">
        <v>0</v>
      </c>
      <c r="BW28" s="73">
        <v>0</v>
      </c>
      <c r="BX28" s="40">
        <v>1.1086485032619169</v>
      </c>
      <c r="BY28" s="52">
        <v>1.1086485032619169</v>
      </c>
      <c r="BZ28" s="73">
        <v>0</v>
      </c>
      <c r="CA28" s="40">
        <v>0</v>
      </c>
      <c r="CB28" s="52">
        <v>0</v>
      </c>
      <c r="CC28" s="73">
        <v>0</v>
      </c>
      <c r="CD28" s="40">
        <v>0</v>
      </c>
      <c r="CE28" s="52">
        <v>0</v>
      </c>
      <c r="CF28" s="73">
        <v>0</v>
      </c>
      <c r="CG28" s="40">
        <v>0</v>
      </c>
      <c r="CH28" s="52">
        <v>0</v>
      </c>
      <c r="CI28" s="73">
        <v>0</v>
      </c>
      <c r="CJ28" s="40">
        <v>0</v>
      </c>
      <c r="CK28" s="52">
        <v>0</v>
      </c>
      <c r="CL28" s="73">
        <v>0</v>
      </c>
      <c r="CM28" s="40">
        <v>0</v>
      </c>
      <c r="CN28" s="52">
        <v>0</v>
      </c>
      <c r="CO28" s="39">
        <v>0</v>
      </c>
      <c r="CP28" s="40">
        <v>0</v>
      </c>
      <c r="CQ28" s="52">
        <v>0</v>
      </c>
      <c r="CR28" s="72">
        <v>532.71978489450157</v>
      </c>
      <c r="CS28" s="5">
        <v>270.23836428705363</v>
      </c>
      <c r="CT28" s="52">
        <v>-262.48142060744794</v>
      </c>
      <c r="CU28" s="77">
        <v>639.26374187340184</v>
      </c>
      <c r="CV28" s="65">
        <v>324.28603714446433</v>
      </c>
      <c r="CW28" s="35">
        <v>-314.97770472893751</v>
      </c>
      <c r="CX28" s="73">
        <v>35.692032087832366</v>
      </c>
      <c r="CY28" s="40">
        <v>350.66973681676984</v>
      </c>
      <c r="CZ28" s="52">
        <v>314.97770472893745</v>
      </c>
      <c r="DA28" s="150">
        <v>-3078.5606209241214</v>
      </c>
      <c r="DB28" s="2">
        <v>3</v>
      </c>
      <c r="DC28" s="648">
        <v>480.63</v>
      </c>
      <c r="DD28" s="648"/>
      <c r="DE28" s="649">
        <v>-194.32577396123418</v>
      </c>
      <c r="DG28" s="321">
        <v>-2267.7228341369082</v>
      </c>
      <c r="DH28" s="5">
        <v>8099.4692875348101</v>
      </c>
      <c r="DI28" s="306">
        <v>1.1239566794492162</v>
      </c>
      <c r="DJ28" s="306"/>
      <c r="DK28" s="306"/>
      <c r="DL28" s="28">
        <v>335.61346448353595</v>
      </c>
      <c r="DM28" s="28">
        <v>0</v>
      </c>
      <c r="DN28" s="650">
        <v>335.63</v>
      </c>
      <c r="DO28" s="94">
        <v>-1.6535516464045941E-2</v>
      </c>
      <c r="DP28" s="28">
        <v>335.61346448353595</v>
      </c>
      <c r="DQ28" s="318">
        <v>0</v>
      </c>
      <c r="DS28" s="8">
        <v>319.63187093670092</v>
      </c>
      <c r="DT28" s="5">
        <v>15.981593546835049</v>
      </c>
      <c r="DW28" s="5">
        <v>319.70689428478482</v>
      </c>
      <c r="DX28" s="5">
        <v>0</v>
      </c>
    </row>
    <row r="29" spans="1:128" x14ac:dyDescent="0.3">
      <c r="A29" s="325">
        <v>150000993</v>
      </c>
      <c r="B29" s="41" t="s">
        <v>478</v>
      </c>
      <c r="C29" s="42" t="s">
        <v>42</v>
      </c>
      <c r="D29" s="42" t="s">
        <v>42</v>
      </c>
      <c r="E29" s="293">
        <v>298.39999999999998</v>
      </c>
      <c r="F29" s="305">
        <v>298.39999999999998</v>
      </c>
      <c r="G29" s="51"/>
      <c r="H29" s="651">
        <v>0</v>
      </c>
      <c r="I29" s="73">
        <v>0</v>
      </c>
      <c r="J29" s="40">
        <v>0</v>
      </c>
      <c r="K29" s="52">
        <v>0</v>
      </c>
      <c r="L29" s="73">
        <v>0</v>
      </c>
      <c r="M29" s="40">
        <v>0</v>
      </c>
      <c r="N29" s="52">
        <v>0</v>
      </c>
      <c r="O29" s="73">
        <v>0</v>
      </c>
      <c r="P29" s="40">
        <v>0</v>
      </c>
      <c r="Q29" s="52">
        <v>0</v>
      </c>
      <c r="R29" s="73">
        <v>0</v>
      </c>
      <c r="S29" s="40">
        <v>0</v>
      </c>
      <c r="T29" s="52">
        <v>0</v>
      </c>
      <c r="U29" s="73">
        <v>0</v>
      </c>
      <c r="V29" s="40">
        <v>0</v>
      </c>
      <c r="W29" s="52">
        <v>0</v>
      </c>
      <c r="X29" s="73">
        <v>0</v>
      </c>
      <c r="Y29" s="40">
        <v>0</v>
      </c>
      <c r="Z29" s="52">
        <v>0</v>
      </c>
      <c r="AA29" s="73">
        <v>23.872</v>
      </c>
      <c r="AB29" s="40">
        <v>0</v>
      </c>
      <c r="AC29" s="52">
        <v>-23.872</v>
      </c>
      <c r="AD29" s="73">
        <v>179.26250835753081</v>
      </c>
      <c r="AE29" s="40">
        <v>268.94945475513543</v>
      </c>
      <c r="AF29" s="35">
        <v>89.686946397604629</v>
      </c>
      <c r="AG29" s="77">
        <v>203.13450835753082</v>
      </c>
      <c r="AH29" s="53">
        <v>268.94945475513543</v>
      </c>
      <c r="AI29" s="52">
        <v>65.814946397604615</v>
      </c>
      <c r="AJ29" s="73">
        <v>0</v>
      </c>
      <c r="AK29" s="40">
        <v>0</v>
      </c>
      <c r="AL29" s="52">
        <v>0</v>
      </c>
      <c r="AM29" s="73">
        <v>0</v>
      </c>
      <c r="AN29" s="40">
        <v>0</v>
      </c>
      <c r="AO29" s="52">
        <v>0</v>
      </c>
      <c r="AP29" s="73">
        <v>75.641499999999994</v>
      </c>
      <c r="AQ29" s="40">
        <v>0</v>
      </c>
      <c r="AR29" s="52">
        <v>-75.641499999999994</v>
      </c>
      <c r="AS29" s="73">
        <v>251.64327777498187</v>
      </c>
      <c r="AT29" s="40">
        <v>575</v>
      </c>
      <c r="AU29" s="54">
        <v>323.35672222501813</v>
      </c>
      <c r="AV29" s="73">
        <v>0</v>
      </c>
      <c r="AW29" s="40">
        <v>0</v>
      </c>
      <c r="AX29" s="55">
        <v>0</v>
      </c>
      <c r="AY29" s="73">
        <v>0</v>
      </c>
      <c r="AZ29" s="40">
        <v>0</v>
      </c>
      <c r="BA29" s="35">
        <v>0</v>
      </c>
      <c r="BB29" s="73">
        <v>0</v>
      </c>
      <c r="BC29" s="40">
        <v>0</v>
      </c>
      <c r="BD29" s="55">
        <v>0</v>
      </c>
      <c r="BE29" s="73">
        <v>0</v>
      </c>
      <c r="BF29" s="40">
        <v>0</v>
      </c>
      <c r="BG29" s="38">
        <v>0</v>
      </c>
      <c r="BH29" s="73">
        <v>0</v>
      </c>
      <c r="BI29" s="40">
        <v>0</v>
      </c>
      <c r="BJ29" s="55">
        <v>0</v>
      </c>
      <c r="BK29" s="73">
        <v>0</v>
      </c>
      <c r="BL29" s="40">
        <v>0</v>
      </c>
      <c r="BM29" s="38">
        <v>0</v>
      </c>
      <c r="BN29" s="73">
        <v>5.968</v>
      </c>
      <c r="BO29" s="40">
        <v>0</v>
      </c>
      <c r="BP29" s="55">
        <v>-5.968</v>
      </c>
      <c r="BQ29" s="77">
        <v>5.968</v>
      </c>
      <c r="BR29" s="40">
        <v>0</v>
      </c>
      <c r="BS29" s="55">
        <v>-5.968</v>
      </c>
      <c r="BT29" s="73">
        <v>0</v>
      </c>
      <c r="BU29" s="40">
        <v>0</v>
      </c>
      <c r="BV29" s="52">
        <v>0</v>
      </c>
      <c r="BW29" s="73">
        <v>0</v>
      </c>
      <c r="BX29" s="40">
        <v>1.1079059389596648</v>
      </c>
      <c r="BY29" s="52">
        <v>1.1079059389596648</v>
      </c>
      <c r="BZ29" s="73">
        <v>0</v>
      </c>
      <c r="CA29" s="40">
        <v>0</v>
      </c>
      <c r="CB29" s="52">
        <v>0</v>
      </c>
      <c r="CC29" s="73">
        <v>0</v>
      </c>
      <c r="CD29" s="40">
        <v>0</v>
      </c>
      <c r="CE29" s="52">
        <v>0</v>
      </c>
      <c r="CF29" s="73">
        <v>0</v>
      </c>
      <c r="CG29" s="40">
        <v>0</v>
      </c>
      <c r="CH29" s="52">
        <v>0</v>
      </c>
      <c r="CI29" s="73">
        <v>0</v>
      </c>
      <c r="CJ29" s="40">
        <v>0</v>
      </c>
      <c r="CK29" s="52">
        <v>0</v>
      </c>
      <c r="CL29" s="73">
        <v>0</v>
      </c>
      <c r="CM29" s="40">
        <v>0</v>
      </c>
      <c r="CN29" s="52">
        <v>0</v>
      </c>
      <c r="CO29" s="39">
        <v>0</v>
      </c>
      <c r="CP29" s="40">
        <v>0</v>
      </c>
      <c r="CQ29" s="52">
        <v>0</v>
      </c>
      <c r="CR29" s="72">
        <v>536.38728613251271</v>
      </c>
      <c r="CS29" s="5">
        <v>845.05736069409511</v>
      </c>
      <c r="CT29" s="52">
        <v>308.6700745615824</v>
      </c>
      <c r="CU29" s="77">
        <v>643.66474335901523</v>
      </c>
      <c r="CV29" s="65">
        <v>1014.068832832914</v>
      </c>
      <c r="CW29" s="35">
        <v>370.40408947389881</v>
      </c>
      <c r="CX29" s="73">
        <v>35.937753338630635</v>
      </c>
      <c r="CY29" s="40">
        <v>-334.46633613526819</v>
      </c>
      <c r="CZ29" s="52">
        <v>-370.40408947389881</v>
      </c>
      <c r="DA29" s="150">
        <v>-2286.4520768689899</v>
      </c>
      <c r="DB29" s="2">
        <v>3</v>
      </c>
      <c r="DC29" s="648">
        <v>337.93</v>
      </c>
      <c r="DD29" s="648"/>
      <c r="DE29" s="649">
        <v>-341.67249669764584</v>
      </c>
      <c r="DG29" s="321">
        <v>-2387.3976071398392</v>
      </c>
      <c r="DH29" s="5">
        <v>8155.2299603717502</v>
      </c>
      <c r="DI29" s="306">
        <v>1.1324530504808412</v>
      </c>
      <c r="DJ29" s="306"/>
      <c r="DK29" s="306"/>
      <c r="DL29" s="28">
        <v>337.92399026348301</v>
      </c>
      <c r="DM29" s="28">
        <v>0</v>
      </c>
      <c r="DN29" s="650">
        <v>337.93</v>
      </c>
      <c r="DO29" s="94">
        <v>-6.0097365170008743E-3</v>
      </c>
      <c r="DP29" s="28">
        <v>337.92399026348301</v>
      </c>
      <c r="DQ29" s="318">
        <v>0</v>
      </c>
      <c r="DS29" s="8">
        <v>321.83237167950762</v>
      </c>
      <c r="DT29" s="5">
        <v>16.091618583975382</v>
      </c>
      <c r="DW29" s="5">
        <v>309.13353332997826</v>
      </c>
      <c r="DX29" s="5">
        <v>690</v>
      </c>
    </row>
    <row r="30" spans="1:128" x14ac:dyDescent="0.3">
      <c r="A30" s="325">
        <v>150001000</v>
      </c>
      <c r="B30" s="41" t="s">
        <v>479</v>
      </c>
      <c r="C30" s="42" t="s">
        <v>43</v>
      </c>
      <c r="D30" s="42" t="s">
        <v>43</v>
      </c>
      <c r="E30" s="293">
        <v>236.7</v>
      </c>
      <c r="F30" s="305">
        <v>236.7</v>
      </c>
      <c r="G30" s="51"/>
      <c r="H30" s="651">
        <v>0</v>
      </c>
      <c r="I30" s="73">
        <v>0</v>
      </c>
      <c r="J30" s="40">
        <v>0</v>
      </c>
      <c r="K30" s="52">
        <v>0</v>
      </c>
      <c r="L30" s="73">
        <v>0</v>
      </c>
      <c r="M30" s="40">
        <v>0</v>
      </c>
      <c r="N30" s="52">
        <v>0</v>
      </c>
      <c r="O30" s="73">
        <v>0</v>
      </c>
      <c r="P30" s="40">
        <v>0</v>
      </c>
      <c r="Q30" s="52">
        <v>0</v>
      </c>
      <c r="R30" s="73">
        <v>0</v>
      </c>
      <c r="S30" s="40">
        <v>0</v>
      </c>
      <c r="T30" s="52">
        <v>0</v>
      </c>
      <c r="U30" s="73">
        <v>0</v>
      </c>
      <c r="V30" s="40">
        <v>0</v>
      </c>
      <c r="W30" s="52">
        <v>0</v>
      </c>
      <c r="X30" s="73">
        <v>0</v>
      </c>
      <c r="Y30" s="40">
        <v>0</v>
      </c>
      <c r="Z30" s="52">
        <v>0</v>
      </c>
      <c r="AA30" s="73">
        <v>18.936</v>
      </c>
      <c r="AB30" s="40">
        <v>0</v>
      </c>
      <c r="AC30" s="52">
        <v>-18.936</v>
      </c>
      <c r="AD30" s="73">
        <v>142.1869709765727</v>
      </c>
      <c r="AE30" s="40">
        <v>213.33892741468014</v>
      </c>
      <c r="AF30" s="35">
        <v>71.151956438107447</v>
      </c>
      <c r="AG30" s="77">
        <v>161.1229709765727</v>
      </c>
      <c r="AH30" s="53">
        <v>213.33892741468014</v>
      </c>
      <c r="AI30" s="52">
        <v>52.21595643810744</v>
      </c>
      <c r="AJ30" s="73">
        <v>0</v>
      </c>
      <c r="AK30" s="40">
        <v>0</v>
      </c>
      <c r="AL30" s="52">
        <v>0</v>
      </c>
      <c r="AM30" s="73">
        <v>0</v>
      </c>
      <c r="AN30" s="40">
        <v>0</v>
      </c>
      <c r="AO30" s="52">
        <v>0</v>
      </c>
      <c r="AP30" s="73">
        <v>63.034583333333323</v>
      </c>
      <c r="AQ30" s="40">
        <v>0</v>
      </c>
      <c r="AR30" s="52">
        <v>-63.034583333333323</v>
      </c>
      <c r="AS30" s="73">
        <v>234.71293668003642</v>
      </c>
      <c r="AT30" s="40">
        <v>0</v>
      </c>
      <c r="AU30" s="54">
        <v>-234.71293668003642</v>
      </c>
      <c r="AV30" s="73">
        <v>0</v>
      </c>
      <c r="AW30" s="40">
        <v>0</v>
      </c>
      <c r="AX30" s="55">
        <v>0</v>
      </c>
      <c r="AY30" s="73">
        <v>0</v>
      </c>
      <c r="AZ30" s="40">
        <v>0</v>
      </c>
      <c r="BA30" s="35">
        <v>0</v>
      </c>
      <c r="BB30" s="73">
        <v>0</v>
      </c>
      <c r="BC30" s="40">
        <v>0</v>
      </c>
      <c r="BD30" s="55">
        <v>0</v>
      </c>
      <c r="BE30" s="73">
        <v>0</v>
      </c>
      <c r="BF30" s="40">
        <v>0</v>
      </c>
      <c r="BG30" s="38">
        <v>0</v>
      </c>
      <c r="BH30" s="73">
        <v>0</v>
      </c>
      <c r="BI30" s="40">
        <v>0</v>
      </c>
      <c r="BJ30" s="55">
        <v>0</v>
      </c>
      <c r="BK30" s="73">
        <v>0</v>
      </c>
      <c r="BL30" s="40">
        <v>0</v>
      </c>
      <c r="BM30" s="38">
        <v>0</v>
      </c>
      <c r="BN30" s="73">
        <v>4.734</v>
      </c>
      <c r="BO30" s="40">
        <v>0</v>
      </c>
      <c r="BP30" s="55">
        <v>-4.734</v>
      </c>
      <c r="BQ30" s="77">
        <v>4.734</v>
      </c>
      <c r="BR30" s="40">
        <v>0</v>
      </c>
      <c r="BS30" s="55">
        <v>-4.734</v>
      </c>
      <c r="BT30" s="73">
        <v>0</v>
      </c>
      <c r="BU30" s="40">
        <v>0</v>
      </c>
      <c r="BV30" s="52">
        <v>0</v>
      </c>
      <c r="BW30" s="73">
        <v>0</v>
      </c>
      <c r="BX30" s="40">
        <v>0.87882485171498903</v>
      </c>
      <c r="BY30" s="52">
        <v>0.87882485171498903</v>
      </c>
      <c r="BZ30" s="73">
        <v>0</v>
      </c>
      <c r="CA30" s="40">
        <v>0</v>
      </c>
      <c r="CB30" s="52">
        <v>0</v>
      </c>
      <c r="CC30" s="73">
        <v>0</v>
      </c>
      <c r="CD30" s="40">
        <v>0</v>
      </c>
      <c r="CE30" s="52">
        <v>0</v>
      </c>
      <c r="CF30" s="73">
        <v>0</v>
      </c>
      <c r="CG30" s="40">
        <v>0</v>
      </c>
      <c r="CH30" s="52">
        <v>0</v>
      </c>
      <c r="CI30" s="73">
        <v>52.94</v>
      </c>
      <c r="CJ30" s="40">
        <v>150.25390303516738</v>
      </c>
      <c r="CK30" s="52">
        <v>97.313903035167385</v>
      </c>
      <c r="CL30" s="73">
        <v>0</v>
      </c>
      <c r="CM30" s="40">
        <v>0</v>
      </c>
      <c r="CN30" s="52">
        <v>0</v>
      </c>
      <c r="CO30" s="39">
        <v>52.94</v>
      </c>
      <c r="CP30" s="40">
        <v>150.25390303516738</v>
      </c>
      <c r="CQ30" s="52">
        <v>97.313903035167385</v>
      </c>
      <c r="CR30" s="72">
        <v>516.54449098994246</v>
      </c>
      <c r="CS30" s="5">
        <v>364.47165530156252</v>
      </c>
      <c r="CT30" s="52">
        <v>-152.07283568837994</v>
      </c>
      <c r="CU30" s="77">
        <v>619.85338918793093</v>
      </c>
      <c r="CV30" s="65">
        <v>437.365986361875</v>
      </c>
      <c r="CW30" s="35">
        <v>-182.48740282605593</v>
      </c>
      <c r="CX30" s="73">
        <v>34.608293271587776</v>
      </c>
      <c r="CY30" s="40">
        <v>217.09569609764367</v>
      </c>
      <c r="CZ30" s="52">
        <v>182.4874028260559</v>
      </c>
      <c r="DA30" s="150">
        <v>-2208.1500490954168</v>
      </c>
      <c r="DB30" s="2">
        <v>3</v>
      </c>
      <c r="DC30" s="648">
        <v>1555.13</v>
      </c>
      <c r="DD30" s="648"/>
      <c r="DE30" s="649">
        <v>900.66831754048144</v>
      </c>
      <c r="DG30" s="321">
        <v>1451.8620019371083</v>
      </c>
      <c r="DH30" s="5">
        <v>7853.540189514224</v>
      </c>
      <c r="DI30" s="306">
        <v>1.3748332459808354</v>
      </c>
      <c r="DJ30" s="306"/>
      <c r="DK30" s="306"/>
      <c r="DL30" s="28">
        <v>325.42302932366374</v>
      </c>
      <c r="DM30" s="28">
        <v>0</v>
      </c>
      <c r="DN30" s="650">
        <v>325.43</v>
      </c>
      <c r="DO30" s="94">
        <v>-6.970676336266024E-3</v>
      </c>
      <c r="DP30" s="28">
        <v>325.42302932366374</v>
      </c>
      <c r="DQ30" s="318">
        <v>0</v>
      </c>
      <c r="DS30" s="8">
        <v>309.92669459396546</v>
      </c>
      <c r="DT30" s="5">
        <v>15.496334729698274</v>
      </c>
      <c r="DW30" s="5">
        <v>287.3363240160437</v>
      </c>
      <c r="DX30" s="5">
        <v>0</v>
      </c>
    </row>
    <row r="31" spans="1:128" x14ac:dyDescent="0.3">
      <c r="A31" s="325">
        <v>150001004</v>
      </c>
      <c r="B31" s="41" t="s">
        <v>480</v>
      </c>
      <c r="C31" s="42" t="s">
        <v>44</v>
      </c>
      <c r="D31" s="42" t="s">
        <v>44</v>
      </c>
      <c r="E31" s="293">
        <v>315.7</v>
      </c>
      <c r="F31" s="305">
        <v>315.7</v>
      </c>
      <c r="G31" s="51"/>
      <c r="H31" s="651">
        <v>0</v>
      </c>
      <c r="I31" s="73">
        <v>0</v>
      </c>
      <c r="J31" s="40">
        <v>0</v>
      </c>
      <c r="K31" s="52">
        <v>0</v>
      </c>
      <c r="L31" s="73">
        <v>0</v>
      </c>
      <c r="M31" s="40">
        <v>0</v>
      </c>
      <c r="N31" s="52">
        <v>0</v>
      </c>
      <c r="O31" s="73">
        <v>0</v>
      </c>
      <c r="P31" s="40">
        <v>0</v>
      </c>
      <c r="Q31" s="52">
        <v>0</v>
      </c>
      <c r="R31" s="73">
        <v>0</v>
      </c>
      <c r="S31" s="40">
        <v>0</v>
      </c>
      <c r="T31" s="52">
        <v>0</v>
      </c>
      <c r="U31" s="73">
        <v>0</v>
      </c>
      <c r="V31" s="40">
        <v>0</v>
      </c>
      <c r="W31" s="52">
        <v>0</v>
      </c>
      <c r="X31" s="73">
        <v>0</v>
      </c>
      <c r="Y31" s="40">
        <v>0</v>
      </c>
      <c r="Z31" s="52">
        <v>0</v>
      </c>
      <c r="AA31" s="73">
        <v>24.768000000000001</v>
      </c>
      <c r="AB31" s="40">
        <v>0</v>
      </c>
      <c r="AC31" s="52">
        <v>-24.768000000000001</v>
      </c>
      <c r="AD31" s="73">
        <v>185.97404486644123</v>
      </c>
      <c r="AE31" s="40">
        <v>284.54203373390169</v>
      </c>
      <c r="AF31" s="35">
        <v>98.567988867460457</v>
      </c>
      <c r="AG31" s="77">
        <v>210.74204486644123</v>
      </c>
      <c r="AH31" s="53">
        <v>284.54203373390169</v>
      </c>
      <c r="AI31" s="52">
        <v>73.799988867460456</v>
      </c>
      <c r="AJ31" s="73">
        <v>0</v>
      </c>
      <c r="AK31" s="40">
        <v>0</v>
      </c>
      <c r="AL31" s="52">
        <v>0</v>
      </c>
      <c r="AM31" s="73">
        <v>0</v>
      </c>
      <c r="AN31" s="40">
        <v>0</v>
      </c>
      <c r="AO31" s="52">
        <v>0</v>
      </c>
      <c r="AP31" s="73">
        <v>69.338041666666669</v>
      </c>
      <c r="AQ31" s="40">
        <v>0</v>
      </c>
      <c r="AR31" s="52">
        <v>-69.338041666666669</v>
      </c>
      <c r="AS31" s="73">
        <v>262.40131094475225</v>
      </c>
      <c r="AT31" s="40">
        <v>0</v>
      </c>
      <c r="AU31" s="54">
        <v>-262.40131094475225</v>
      </c>
      <c r="AV31" s="73">
        <v>0</v>
      </c>
      <c r="AW31" s="40">
        <v>0</v>
      </c>
      <c r="AX31" s="55">
        <v>0</v>
      </c>
      <c r="AY31" s="73">
        <v>0</v>
      </c>
      <c r="AZ31" s="40">
        <v>0</v>
      </c>
      <c r="BA31" s="35">
        <v>0</v>
      </c>
      <c r="BB31" s="73">
        <v>0</v>
      </c>
      <c r="BC31" s="40">
        <v>0</v>
      </c>
      <c r="BD31" s="55">
        <v>0</v>
      </c>
      <c r="BE31" s="73">
        <v>0</v>
      </c>
      <c r="BF31" s="40">
        <v>0</v>
      </c>
      <c r="BG31" s="38">
        <v>0</v>
      </c>
      <c r="BH31" s="73">
        <v>0</v>
      </c>
      <c r="BI31" s="40">
        <v>0</v>
      </c>
      <c r="BJ31" s="55">
        <v>0</v>
      </c>
      <c r="BK31" s="73">
        <v>0</v>
      </c>
      <c r="BL31" s="40">
        <v>0</v>
      </c>
      <c r="BM31" s="38">
        <v>0</v>
      </c>
      <c r="BN31" s="73">
        <v>6.1920000000000002</v>
      </c>
      <c r="BO31" s="40">
        <v>0</v>
      </c>
      <c r="BP31" s="55">
        <v>-6.1920000000000002</v>
      </c>
      <c r="BQ31" s="77">
        <v>6.1920000000000002</v>
      </c>
      <c r="BR31" s="40">
        <v>0</v>
      </c>
      <c r="BS31" s="55">
        <v>-6.1920000000000002</v>
      </c>
      <c r="BT31" s="73">
        <v>0</v>
      </c>
      <c r="BU31" s="40">
        <v>0</v>
      </c>
      <c r="BV31" s="52">
        <v>0</v>
      </c>
      <c r="BW31" s="73">
        <v>0</v>
      </c>
      <c r="BX31" s="40">
        <v>1.1721377511044446</v>
      </c>
      <c r="BY31" s="52">
        <v>1.1721377511044446</v>
      </c>
      <c r="BZ31" s="73">
        <v>0</v>
      </c>
      <c r="CA31" s="40">
        <v>0</v>
      </c>
      <c r="CB31" s="52">
        <v>0</v>
      </c>
      <c r="CC31" s="73">
        <v>0</v>
      </c>
      <c r="CD31" s="40">
        <v>0</v>
      </c>
      <c r="CE31" s="52">
        <v>0</v>
      </c>
      <c r="CF31" s="73">
        <v>0</v>
      </c>
      <c r="CG31" s="40">
        <v>0</v>
      </c>
      <c r="CH31" s="52">
        <v>0</v>
      </c>
      <c r="CI31" s="73">
        <v>0</v>
      </c>
      <c r="CJ31" s="40">
        <v>0</v>
      </c>
      <c r="CK31" s="52">
        <v>0</v>
      </c>
      <c r="CL31" s="73">
        <v>0</v>
      </c>
      <c r="CM31" s="40">
        <v>0</v>
      </c>
      <c r="CN31" s="52">
        <v>0</v>
      </c>
      <c r="CO31" s="39">
        <v>0</v>
      </c>
      <c r="CP31" s="40">
        <v>0</v>
      </c>
      <c r="CQ31" s="52">
        <v>0</v>
      </c>
      <c r="CR31" s="72">
        <v>548.67339747786014</v>
      </c>
      <c r="CS31" s="5">
        <v>285.71417148500615</v>
      </c>
      <c r="CT31" s="52">
        <v>-262.95922599285399</v>
      </c>
      <c r="CU31" s="77">
        <v>658.40807697343212</v>
      </c>
      <c r="CV31" s="65">
        <v>342.85700578200738</v>
      </c>
      <c r="CW31" s="35">
        <v>-315.55107119142474</v>
      </c>
      <c r="CX31" s="73">
        <v>36.760918336077957</v>
      </c>
      <c r="CY31" s="40">
        <v>352.31198952750265</v>
      </c>
      <c r="CZ31" s="52">
        <v>315.55107119142468</v>
      </c>
      <c r="DA31" s="150">
        <v>-2280.8455530756664</v>
      </c>
      <c r="DB31" s="2">
        <v>3</v>
      </c>
      <c r="DC31" s="648">
        <v>561.47</v>
      </c>
      <c r="DD31" s="648"/>
      <c r="DE31" s="649">
        <v>-133.69899530951</v>
      </c>
      <c r="DG31" s="321">
        <v>-1599.0278946254953</v>
      </c>
      <c r="DH31" s="5">
        <v>8342.0279437141198</v>
      </c>
      <c r="DI31" s="306">
        <v>1.1164865646351805</v>
      </c>
      <c r="DJ31" s="306"/>
      <c r="DK31" s="306"/>
      <c r="DL31" s="28">
        <v>352.47480845532647</v>
      </c>
      <c r="DM31" s="28">
        <v>0</v>
      </c>
      <c r="DN31" s="650">
        <v>352.47</v>
      </c>
      <c r="DO31" s="94">
        <v>4.808455326440253E-3</v>
      </c>
      <c r="DP31" s="28">
        <v>352.47480845532647</v>
      </c>
      <c r="DQ31" s="318">
        <v>6.8105680442745893</v>
      </c>
      <c r="DS31" s="8">
        <v>329.20403848671606</v>
      </c>
      <c r="DT31" s="5">
        <v>16.460201924335806</v>
      </c>
      <c r="DW31" s="5">
        <v>322.31197313370268</v>
      </c>
      <c r="DX31" s="5">
        <v>0</v>
      </c>
    </row>
    <row r="32" spans="1:128" x14ac:dyDescent="0.3">
      <c r="A32" s="325">
        <v>150000994</v>
      </c>
      <c r="B32" s="41" t="s">
        <v>481</v>
      </c>
      <c r="C32" s="42" t="s">
        <v>45</v>
      </c>
      <c r="D32" s="42" t="s">
        <v>45</v>
      </c>
      <c r="E32" s="293">
        <v>239.9</v>
      </c>
      <c r="F32" s="305">
        <v>239.9</v>
      </c>
      <c r="G32" s="51"/>
      <c r="H32" s="651">
        <v>0</v>
      </c>
      <c r="I32" s="73">
        <v>0</v>
      </c>
      <c r="J32" s="40">
        <v>0</v>
      </c>
      <c r="K32" s="52">
        <v>0</v>
      </c>
      <c r="L32" s="73">
        <v>0</v>
      </c>
      <c r="M32" s="40">
        <v>0</v>
      </c>
      <c r="N32" s="52">
        <v>0</v>
      </c>
      <c r="O32" s="73">
        <v>0</v>
      </c>
      <c r="P32" s="40">
        <v>0</v>
      </c>
      <c r="Q32" s="52">
        <v>0</v>
      </c>
      <c r="R32" s="73">
        <v>0</v>
      </c>
      <c r="S32" s="40">
        <v>0</v>
      </c>
      <c r="T32" s="52">
        <v>0</v>
      </c>
      <c r="U32" s="73">
        <v>0</v>
      </c>
      <c r="V32" s="40">
        <v>0</v>
      </c>
      <c r="W32" s="52">
        <v>0</v>
      </c>
      <c r="X32" s="73">
        <v>0</v>
      </c>
      <c r="Y32" s="40">
        <v>0</v>
      </c>
      <c r="Z32" s="52">
        <v>0</v>
      </c>
      <c r="AA32" s="73">
        <v>19.192</v>
      </c>
      <c r="AB32" s="40">
        <v>0</v>
      </c>
      <c r="AC32" s="52">
        <v>-19.192</v>
      </c>
      <c r="AD32" s="73">
        <v>144.11060688952574</v>
      </c>
      <c r="AE32" s="40">
        <v>216.22310387318026</v>
      </c>
      <c r="AF32" s="35">
        <v>72.112496983654523</v>
      </c>
      <c r="AG32" s="77">
        <v>163.30260688952575</v>
      </c>
      <c r="AH32" s="53">
        <v>216.22310387318026</v>
      </c>
      <c r="AI32" s="52">
        <v>52.920496983654516</v>
      </c>
      <c r="AJ32" s="73">
        <v>0</v>
      </c>
      <c r="AK32" s="40">
        <v>0</v>
      </c>
      <c r="AL32" s="52">
        <v>0</v>
      </c>
      <c r="AM32" s="73">
        <v>0</v>
      </c>
      <c r="AN32" s="40">
        <v>0</v>
      </c>
      <c r="AO32" s="52">
        <v>0</v>
      </c>
      <c r="AP32" s="73">
        <v>75.641499999999994</v>
      </c>
      <c r="AQ32" s="40">
        <v>0</v>
      </c>
      <c r="AR32" s="52">
        <v>-75.641499999999994</v>
      </c>
      <c r="AS32" s="73">
        <v>223.27106266290031</v>
      </c>
      <c r="AT32" s="40">
        <v>575</v>
      </c>
      <c r="AU32" s="54">
        <v>351.72893733709969</v>
      </c>
      <c r="AV32" s="73">
        <v>0</v>
      </c>
      <c r="AW32" s="40">
        <v>0</v>
      </c>
      <c r="AX32" s="55">
        <v>0</v>
      </c>
      <c r="AY32" s="73">
        <v>0</v>
      </c>
      <c r="AZ32" s="40">
        <v>0</v>
      </c>
      <c r="BA32" s="35">
        <v>0</v>
      </c>
      <c r="BB32" s="73">
        <v>0</v>
      </c>
      <c r="BC32" s="40">
        <v>0</v>
      </c>
      <c r="BD32" s="55">
        <v>0</v>
      </c>
      <c r="BE32" s="73">
        <v>0</v>
      </c>
      <c r="BF32" s="40">
        <v>0</v>
      </c>
      <c r="BG32" s="38">
        <v>0</v>
      </c>
      <c r="BH32" s="73">
        <v>0</v>
      </c>
      <c r="BI32" s="40">
        <v>0</v>
      </c>
      <c r="BJ32" s="55">
        <v>0</v>
      </c>
      <c r="BK32" s="73">
        <v>0</v>
      </c>
      <c r="BL32" s="40">
        <v>0</v>
      </c>
      <c r="BM32" s="38">
        <v>0</v>
      </c>
      <c r="BN32" s="73">
        <v>4.798</v>
      </c>
      <c r="BO32" s="40">
        <v>0</v>
      </c>
      <c r="BP32" s="55">
        <v>-4.798</v>
      </c>
      <c r="BQ32" s="77">
        <v>4.798</v>
      </c>
      <c r="BR32" s="40">
        <v>0</v>
      </c>
      <c r="BS32" s="55">
        <v>-4.798</v>
      </c>
      <c r="BT32" s="73">
        <v>0</v>
      </c>
      <c r="BU32" s="40">
        <v>0</v>
      </c>
      <c r="BV32" s="52">
        <v>0</v>
      </c>
      <c r="BW32" s="73">
        <v>0</v>
      </c>
      <c r="BX32" s="40">
        <v>0.89070588055101763</v>
      </c>
      <c r="BY32" s="52">
        <v>0.89070588055101763</v>
      </c>
      <c r="BZ32" s="73">
        <v>0</v>
      </c>
      <c r="CA32" s="40">
        <v>0</v>
      </c>
      <c r="CB32" s="52">
        <v>0</v>
      </c>
      <c r="CC32" s="73">
        <v>0</v>
      </c>
      <c r="CD32" s="40">
        <v>0</v>
      </c>
      <c r="CE32" s="52">
        <v>0</v>
      </c>
      <c r="CF32" s="73">
        <v>0</v>
      </c>
      <c r="CG32" s="40">
        <v>0</v>
      </c>
      <c r="CH32" s="52">
        <v>0</v>
      </c>
      <c r="CI32" s="73">
        <v>68.52</v>
      </c>
      <c r="CJ32" s="40">
        <v>90.499330956121412</v>
      </c>
      <c r="CK32" s="52">
        <v>21.979330956121416</v>
      </c>
      <c r="CL32" s="73">
        <v>0</v>
      </c>
      <c r="CM32" s="40">
        <v>0</v>
      </c>
      <c r="CN32" s="52">
        <v>0</v>
      </c>
      <c r="CO32" s="39">
        <v>68.52</v>
      </c>
      <c r="CP32" s="40">
        <v>90.499330956121412</v>
      </c>
      <c r="CQ32" s="52">
        <v>21.979330956121416</v>
      </c>
      <c r="CR32" s="72">
        <v>535.5331695524261</v>
      </c>
      <c r="CS32" s="5">
        <v>882.61314070985259</v>
      </c>
      <c r="CT32" s="52">
        <v>347.07997115742648</v>
      </c>
      <c r="CU32" s="77">
        <v>642.63980346291135</v>
      </c>
      <c r="CV32" s="65">
        <v>1059.1357688518231</v>
      </c>
      <c r="CW32" s="35">
        <v>416.49596538891171</v>
      </c>
      <c r="CX32" s="73">
        <v>35.880527838006067</v>
      </c>
      <c r="CY32" s="40">
        <v>-380.61543755090565</v>
      </c>
      <c r="CZ32" s="52">
        <v>-416.49596538891171</v>
      </c>
      <c r="DA32" s="150">
        <v>-1653.2120412090924</v>
      </c>
      <c r="DB32" s="2">
        <v>3</v>
      </c>
      <c r="DC32" s="648">
        <v>-190.29</v>
      </c>
      <c r="DD32" s="648"/>
      <c r="DE32" s="649">
        <v>-868.81033130091737</v>
      </c>
      <c r="DG32" s="321">
        <v>976.99267456387247</v>
      </c>
      <c r="DH32" s="5">
        <v>8142.2439756110089</v>
      </c>
      <c r="DI32" s="306">
        <v>1.4063605536391348</v>
      </c>
      <c r="DJ32" s="306"/>
      <c r="DK32" s="306"/>
      <c r="DL32" s="28">
        <v>337.38589681802847</v>
      </c>
      <c r="DM32" s="28">
        <v>0</v>
      </c>
      <c r="DN32" s="650">
        <v>337.38</v>
      </c>
      <c r="DO32" s="94">
        <v>5.8968180284750815E-3</v>
      </c>
      <c r="DP32" s="28">
        <v>337.38589681802847</v>
      </c>
      <c r="DQ32" s="318">
        <v>0</v>
      </c>
      <c r="DS32" s="8">
        <v>321.31990173145567</v>
      </c>
      <c r="DT32" s="5">
        <v>16.065995086572784</v>
      </c>
      <c r="DW32" s="5">
        <v>273.68287519548034</v>
      </c>
      <c r="DX32" s="5">
        <v>690</v>
      </c>
    </row>
    <row r="33" spans="1:128" x14ac:dyDescent="0.3">
      <c r="A33" s="325">
        <v>150001001</v>
      </c>
      <c r="B33" s="41" t="s">
        <v>482</v>
      </c>
      <c r="C33" s="42" t="s">
        <v>46</v>
      </c>
      <c r="D33" s="42" t="s">
        <v>46</v>
      </c>
      <c r="E33" s="293">
        <v>239.8</v>
      </c>
      <c r="F33" s="305">
        <v>239.8</v>
      </c>
      <c r="G33" s="51"/>
      <c r="H33" s="651">
        <v>0</v>
      </c>
      <c r="I33" s="73">
        <v>0</v>
      </c>
      <c r="J33" s="40">
        <v>0</v>
      </c>
      <c r="K33" s="52">
        <v>0</v>
      </c>
      <c r="L33" s="73">
        <v>0</v>
      </c>
      <c r="M33" s="40">
        <v>0</v>
      </c>
      <c r="N33" s="52">
        <v>0</v>
      </c>
      <c r="O33" s="73">
        <v>0</v>
      </c>
      <c r="P33" s="40">
        <v>0</v>
      </c>
      <c r="Q33" s="52">
        <v>0</v>
      </c>
      <c r="R33" s="73">
        <v>0</v>
      </c>
      <c r="S33" s="40">
        <v>0</v>
      </c>
      <c r="T33" s="52">
        <v>0</v>
      </c>
      <c r="U33" s="73">
        <v>0</v>
      </c>
      <c r="V33" s="40">
        <v>0</v>
      </c>
      <c r="W33" s="52">
        <v>0</v>
      </c>
      <c r="X33" s="73">
        <v>0</v>
      </c>
      <c r="Y33" s="40">
        <v>0</v>
      </c>
      <c r="Z33" s="52">
        <v>0</v>
      </c>
      <c r="AA33" s="73">
        <v>19.101600000000001</v>
      </c>
      <c r="AB33" s="40">
        <v>0</v>
      </c>
      <c r="AC33" s="52">
        <v>-19.101600000000001</v>
      </c>
      <c r="AD33" s="73">
        <v>143.43172025500971</v>
      </c>
      <c r="AE33" s="40">
        <v>216.13297335885215</v>
      </c>
      <c r="AF33" s="35">
        <v>72.701253103842447</v>
      </c>
      <c r="AG33" s="77">
        <v>162.5333202550097</v>
      </c>
      <c r="AH33" s="53">
        <v>216.13297335885215</v>
      </c>
      <c r="AI33" s="52">
        <v>53.599653103842456</v>
      </c>
      <c r="AJ33" s="73">
        <v>0</v>
      </c>
      <c r="AK33" s="40">
        <v>0</v>
      </c>
      <c r="AL33" s="52">
        <v>0</v>
      </c>
      <c r="AM33" s="73">
        <v>0</v>
      </c>
      <c r="AN33" s="40">
        <v>0</v>
      </c>
      <c r="AO33" s="52">
        <v>0</v>
      </c>
      <c r="AP33" s="73">
        <v>69.338041666666669</v>
      </c>
      <c r="AQ33" s="40">
        <v>0</v>
      </c>
      <c r="AR33" s="52">
        <v>-69.338041666666669</v>
      </c>
      <c r="AS33" s="73">
        <v>230.25984020183887</v>
      </c>
      <c r="AT33" s="40">
        <v>0</v>
      </c>
      <c r="AU33" s="54">
        <v>-230.25984020183887</v>
      </c>
      <c r="AV33" s="73">
        <v>0</v>
      </c>
      <c r="AW33" s="40">
        <v>0</v>
      </c>
      <c r="AX33" s="55">
        <v>0</v>
      </c>
      <c r="AY33" s="73">
        <v>0</v>
      </c>
      <c r="AZ33" s="40">
        <v>0</v>
      </c>
      <c r="BA33" s="35">
        <v>0</v>
      </c>
      <c r="BB33" s="73">
        <v>0</v>
      </c>
      <c r="BC33" s="40">
        <v>0</v>
      </c>
      <c r="BD33" s="55">
        <v>0</v>
      </c>
      <c r="BE33" s="73">
        <v>0</v>
      </c>
      <c r="BF33" s="40">
        <v>0</v>
      </c>
      <c r="BG33" s="38">
        <v>0</v>
      </c>
      <c r="BH33" s="73">
        <v>0</v>
      </c>
      <c r="BI33" s="40">
        <v>0</v>
      </c>
      <c r="BJ33" s="55">
        <v>0</v>
      </c>
      <c r="BK33" s="73">
        <v>0</v>
      </c>
      <c r="BL33" s="40">
        <v>0</v>
      </c>
      <c r="BM33" s="38">
        <v>0</v>
      </c>
      <c r="BN33" s="73">
        <v>4.7754000000000003</v>
      </c>
      <c r="BO33" s="40">
        <v>0</v>
      </c>
      <c r="BP33" s="55">
        <v>-4.7754000000000003</v>
      </c>
      <c r="BQ33" s="77">
        <v>4.7754000000000003</v>
      </c>
      <c r="BR33" s="40">
        <v>0</v>
      </c>
      <c r="BS33" s="55">
        <v>-4.7754000000000003</v>
      </c>
      <c r="BT33" s="73">
        <v>0</v>
      </c>
      <c r="BU33" s="40">
        <v>0</v>
      </c>
      <c r="BV33" s="52">
        <v>0</v>
      </c>
      <c r="BW33" s="73">
        <v>0</v>
      </c>
      <c r="BX33" s="40">
        <v>0.89033459839989182</v>
      </c>
      <c r="BY33" s="52">
        <v>0.89033459839989182</v>
      </c>
      <c r="BZ33" s="73">
        <v>0</v>
      </c>
      <c r="CA33" s="40">
        <v>0</v>
      </c>
      <c r="CB33" s="52">
        <v>0</v>
      </c>
      <c r="CC33" s="73">
        <v>0</v>
      </c>
      <c r="CD33" s="40">
        <v>0</v>
      </c>
      <c r="CE33" s="52">
        <v>0</v>
      </c>
      <c r="CF33" s="73">
        <v>0</v>
      </c>
      <c r="CG33" s="40">
        <v>0</v>
      </c>
      <c r="CH33" s="52">
        <v>0</v>
      </c>
      <c r="CI33" s="73">
        <v>28.04</v>
      </c>
      <c r="CJ33" s="40">
        <v>56.753321276987009</v>
      </c>
      <c r="CK33" s="52">
        <v>28.71332127698701</v>
      </c>
      <c r="CL33" s="73">
        <v>0</v>
      </c>
      <c r="CM33" s="40">
        <v>0</v>
      </c>
      <c r="CN33" s="52">
        <v>0</v>
      </c>
      <c r="CO33" s="39">
        <v>28.04</v>
      </c>
      <c r="CP33" s="40">
        <v>56.753321276987009</v>
      </c>
      <c r="CQ33" s="52">
        <v>28.71332127698701</v>
      </c>
      <c r="CR33" s="72">
        <v>494.94660212351522</v>
      </c>
      <c r="CS33" s="5">
        <v>273.77662923423907</v>
      </c>
      <c r="CT33" s="52">
        <v>-221.16997288927615</v>
      </c>
      <c r="CU33" s="77">
        <v>593.93592254821829</v>
      </c>
      <c r="CV33" s="65">
        <v>328.53195508108689</v>
      </c>
      <c r="CW33" s="35">
        <v>-265.40396746713139</v>
      </c>
      <c r="CX33" s="73">
        <v>33.161242562550157</v>
      </c>
      <c r="CY33" s="40">
        <v>298.56521002968151</v>
      </c>
      <c r="CZ33" s="52">
        <v>265.40396746713134</v>
      </c>
      <c r="DA33" s="150">
        <v>-2770.2702589794262</v>
      </c>
      <c r="DB33" s="2">
        <v>3</v>
      </c>
      <c r="DC33" s="648">
        <v>2863.67</v>
      </c>
      <c r="DD33" s="648"/>
      <c r="DE33" s="649">
        <v>2236.5728348892317</v>
      </c>
      <c r="DG33" s="321">
        <v>-2187.6466705988223</v>
      </c>
      <c r="DH33" s="5">
        <v>7525.1659813292208</v>
      </c>
      <c r="DI33" s="306">
        <v>1.3059277100884308</v>
      </c>
      <c r="DJ33" s="306"/>
      <c r="DK33" s="306"/>
      <c r="DL33" s="28">
        <v>313.16146487920571</v>
      </c>
      <c r="DM33" s="28">
        <v>0</v>
      </c>
      <c r="DN33" s="650">
        <v>311.81</v>
      </c>
      <c r="DO33" s="94">
        <v>1.3514648792057073</v>
      </c>
      <c r="DP33" s="28">
        <v>313.16146487920571</v>
      </c>
      <c r="DQ33" s="318">
        <v>1.3451055413910922</v>
      </c>
      <c r="DS33" s="8">
        <v>296.96796127410914</v>
      </c>
      <c r="DT33" s="5">
        <v>14.848398063705456</v>
      </c>
      <c r="DW33" s="5">
        <v>282.04228824220661</v>
      </c>
      <c r="DX33" s="5">
        <v>0</v>
      </c>
    </row>
    <row r="34" spans="1:128" x14ac:dyDescent="0.3">
      <c r="A34" s="325">
        <v>150001005</v>
      </c>
      <c r="B34" s="41" t="s">
        <v>483</v>
      </c>
      <c r="C34" s="42" t="s">
        <v>47</v>
      </c>
      <c r="D34" s="42" t="s">
        <v>47</v>
      </c>
      <c r="E34" s="293">
        <v>242.2</v>
      </c>
      <c r="F34" s="305">
        <v>242.2</v>
      </c>
      <c r="G34" s="51"/>
      <c r="H34" s="651">
        <v>0</v>
      </c>
      <c r="I34" s="73">
        <v>0</v>
      </c>
      <c r="J34" s="40">
        <v>0</v>
      </c>
      <c r="K34" s="52">
        <v>0</v>
      </c>
      <c r="L34" s="73">
        <v>0</v>
      </c>
      <c r="M34" s="40">
        <v>0</v>
      </c>
      <c r="N34" s="52">
        <v>0</v>
      </c>
      <c r="O34" s="73">
        <v>0</v>
      </c>
      <c r="P34" s="40">
        <v>0</v>
      </c>
      <c r="Q34" s="52">
        <v>0</v>
      </c>
      <c r="R34" s="73">
        <v>0</v>
      </c>
      <c r="S34" s="40">
        <v>0</v>
      </c>
      <c r="T34" s="52">
        <v>0</v>
      </c>
      <c r="U34" s="73">
        <v>0</v>
      </c>
      <c r="V34" s="40">
        <v>0</v>
      </c>
      <c r="W34" s="52">
        <v>0</v>
      </c>
      <c r="X34" s="73">
        <v>0</v>
      </c>
      <c r="Y34" s="40">
        <v>0</v>
      </c>
      <c r="Z34" s="52">
        <v>0</v>
      </c>
      <c r="AA34" s="73">
        <v>19.376000000000001</v>
      </c>
      <c r="AB34" s="40">
        <v>0</v>
      </c>
      <c r="AC34" s="52">
        <v>-19.376000000000001</v>
      </c>
      <c r="AD34" s="73">
        <v>145.50778776762789</v>
      </c>
      <c r="AE34" s="40">
        <v>218.2961057027272</v>
      </c>
      <c r="AF34" s="35">
        <v>72.788317935099315</v>
      </c>
      <c r="AG34" s="77">
        <v>164.88378776762789</v>
      </c>
      <c r="AH34" s="53">
        <v>218.2961057027272</v>
      </c>
      <c r="AI34" s="52">
        <v>53.41231793509931</v>
      </c>
      <c r="AJ34" s="73">
        <v>0</v>
      </c>
      <c r="AK34" s="40">
        <v>0</v>
      </c>
      <c r="AL34" s="52">
        <v>0</v>
      </c>
      <c r="AM34" s="73">
        <v>0</v>
      </c>
      <c r="AN34" s="40">
        <v>0</v>
      </c>
      <c r="AO34" s="52">
        <v>0</v>
      </c>
      <c r="AP34" s="73">
        <v>56.731124999999992</v>
      </c>
      <c r="AQ34" s="40">
        <v>0</v>
      </c>
      <c r="AR34" s="52">
        <v>-56.731124999999992</v>
      </c>
      <c r="AS34" s="73">
        <v>266.40626147261361</v>
      </c>
      <c r="AT34" s="40">
        <v>0</v>
      </c>
      <c r="AU34" s="54">
        <v>-266.40626147261361</v>
      </c>
      <c r="AV34" s="73">
        <v>0</v>
      </c>
      <c r="AW34" s="40">
        <v>0</v>
      </c>
      <c r="AX34" s="55">
        <v>0</v>
      </c>
      <c r="AY34" s="73">
        <v>0</v>
      </c>
      <c r="AZ34" s="40">
        <v>0</v>
      </c>
      <c r="BA34" s="35">
        <v>0</v>
      </c>
      <c r="BB34" s="73">
        <v>0</v>
      </c>
      <c r="BC34" s="40">
        <v>0</v>
      </c>
      <c r="BD34" s="55">
        <v>0</v>
      </c>
      <c r="BE34" s="73">
        <v>0</v>
      </c>
      <c r="BF34" s="40">
        <v>0</v>
      </c>
      <c r="BG34" s="38">
        <v>0</v>
      </c>
      <c r="BH34" s="73">
        <v>0</v>
      </c>
      <c r="BI34" s="40">
        <v>0</v>
      </c>
      <c r="BJ34" s="55">
        <v>0</v>
      </c>
      <c r="BK34" s="73">
        <v>0</v>
      </c>
      <c r="BL34" s="40">
        <v>0</v>
      </c>
      <c r="BM34" s="38">
        <v>0</v>
      </c>
      <c r="BN34" s="73">
        <v>4.8440000000000003</v>
      </c>
      <c r="BO34" s="40">
        <v>0</v>
      </c>
      <c r="BP34" s="55">
        <v>-4.8440000000000003</v>
      </c>
      <c r="BQ34" s="77">
        <v>4.8440000000000003</v>
      </c>
      <c r="BR34" s="40">
        <v>0</v>
      </c>
      <c r="BS34" s="55">
        <v>-4.8440000000000003</v>
      </c>
      <c r="BT34" s="73">
        <v>0</v>
      </c>
      <c r="BU34" s="40">
        <v>0</v>
      </c>
      <c r="BV34" s="52">
        <v>0</v>
      </c>
      <c r="BW34" s="73">
        <v>0</v>
      </c>
      <c r="BX34" s="40">
        <v>0.89924537002691307</v>
      </c>
      <c r="BY34" s="52">
        <v>0.89924537002691307</v>
      </c>
      <c r="BZ34" s="73">
        <v>0</v>
      </c>
      <c r="CA34" s="40">
        <v>0</v>
      </c>
      <c r="CB34" s="52">
        <v>0</v>
      </c>
      <c r="CC34" s="73">
        <v>0</v>
      </c>
      <c r="CD34" s="40">
        <v>0</v>
      </c>
      <c r="CE34" s="52">
        <v>0</v>
      </c>
      <c r="CF34" s="73">
        <v>0</v>
      </c>
      <c r="CG34" s="40">
        <v>0</v>
      </c>
      <c r="CH34" s="52">
        <v>0</v>
      </c>
      <c r="CI34" s="73">
        <v>0</v>
      </c>
      <c r="CJ34" s="40">
        <v>0</v>
      </c>
      <c r="CK34" s="52">
        <v>0</v>
      </c>
      <c r="CL34" s="73">
        <v>0</v>
      </c>
      <c r="CM34" s="40">
        <v>0</v>
      </c>
      <c r="CN34" s="52">
        <v>0</v>
      </c>
      <c r="CO34" s="39">
        <v>0</v>
      </c>
      <c r="CP34" s="40">
        <v>0</v>
      </c>
      <c r="CQ34" s="52">
        <v>0</v>
      </c>
      <c r="CR34" s="72">
        <v>492.86517424024152</v>
      </c>
      <c r="CS34" s="5">
        <v>219.19535107275411</v>
      </c>
      <c r="CT34" s="52">
        <v>-273.66982316748738</v>
      </c>
      <c r="CU34" s="77">
        <v>591.4382090882898</v>
      </c>
      <c r="CV34" s="65">
        <v>263.03442128730489</v>
      </c>
      <c r="CW34" s="35">
        <v>-328.4037878009849</v>
      </c>
      <c r="CX34" s="73">
        <v>33.021787650409003</v>
      </c>
      <c r="CY34" s="40">
        <v>361.42557545139391</v>
      </c>
      <c r="CZ34" s="52">
        <v>328.4037878009849</v>
      </c>
      <c r="DA34" s="150">
        <v>-3302.1372839123705</v>
      </c>
      <c r="DB34" s="2">
        <v>3</v>
      </c>
      <c r="DC34" s="648">
        <v>1684.12</v>
      </c>
      <c r="DD34" s="648"/>
      <c r="DE34" s="649">
        <v>1059.660003261301</v>
      </c>
      <c r="DG34" s="321">
        <v>-3487.2238220562722</v>
      </c>
      <c r="DH34" s="5">
        <v>7493.5199608643852</v>
      </c>
      <c r="DI34" s="306">
        <v>1.2820192393532293</v>
      </c>
      <c r="DJ34" s="306"/>
      <c r="DK34" s="306"/>
      <c r="DL34" s="28">
        <v>310.50505977135214</v>
      </c>
      <c r="DM34" s="28">
        <v>0</v>
      </c>
      <c r="DN34" s="650">
        <v>310.5</v>
      </c>
      <c r="DO34" s="94">
        <v>5.0597713521369769E-3</v>
      </c>
      <c r="DP34" s="28">
        <v>310.50505977135214</v>
      </c>
      <c r="DQ34" s="318">
        <v>0</v>
      </c>
      <c r="DS34" s="8">
        <v>295.7191045441449</v>
      </c>
      <c r="DT34" s="5">
        <v>14.785955227207246</v>
      </c>
      <c r="DW34" s="5">
        <v>325.50031376713633</v>
      </c>
      <c r="DX34" s="5">
        <v>0</v>
      </c>
    </row>
    <row r="35" spans="1:128" x14ac:dyDescent="0.3">
      <c r="A35" s="325">
        <v>150000995</v>
      </c>
      <c r="B35" s="41" t="s">
        <v>484</v>
      </c>
      <c r="C35" s="42" t="s">
        <v>48</v>
      </c>
      <c r="D35" s="42" t="s">
        <v>48</v>
      </c>
      <c r="E35" s="293">
        <v>135.6</v>
      </c>
      <c r="F35" s="305">
        <v>135.6</v>
      </c>
      <c r="G35" s="51"/>
      <c r="H35" s="651">
        <v>0</v>
      </c>
      <c r="I35" s="73">
        <v>0</v>
      </c>
      <c r="J35" s="40">
        <v>0</v>
      </c>
      <c r="K35" s="52">
        <v>0</v>
      </c>
      <c r="L35" s="73">
        <v>0</v>
      </c>
      <c r="M35" s="40">
        <v>0</v>
      </c>
      <c r="N35" s="52">
        <v>0</v>
      </c>
      <c r="O35" s="73">
        <v>0</v>
      </c>
      <c r="P35" s="40">
        <v>0</v>
      </c>
      <c r="Q35" s="52">
        <v>0</v>
      </c>
      <c r="R35" s="73">
        <v>0</v>
      </c>
      <c r="S35" s="40">
        <v>0</v>
      </c>
      <c r="T35" s="52">
        <v>0</v>
      </c>
      <c r="U35" s="73">
        <v>0</v>
      </c>
      <c r="V35" s="40">
        <v>0</v>
      </c>
      <c r="W35" s="52">
        <v>0</v>
      </c>
      <c r="X35" s="73">
        <v>0</v>
      </c>
      <c r="Y35" s="40">
        <v>0</v>
      </c>
      <c r="Z35" s="52">
        <v>0</v>
      </c>
      <c r="AA35" s="73">
        <v>10.847999999999999</v>
      </c>
      <c r="AB35" s="40">
        <v>0</v>
      </c>
      <c r="AC35" s="52">
        <v>-10.847999999999999</v>
      </c>
      <c r="AD35" s="73">
        <v>81.466396141927603</v>
      </c>
      <c r="AE35" s="40">
        <v>122.21697742894223</v>
      </c>
      <c r="AF35" s="35">
        <v>40.750581287014626</v>
      </c>
      <c r="AG35" s="77">
        <v>92.314396141927602</v>
      </c>
      <c r="AH35" s="53">
        <v>122.21697742894223</v>
      </c>
      <c r="AI35" s="52">
        <v>29.902581287014627</v>
      </c>
      <c r="AJ35" s="73">
        <v>0</v>
      </c>
      <c r="AK35" s="40">
        <v>0</v>
      </c>
      <c r="AL35" s="52">
        <v>0</v>
      </c>
      <c r="AM35" s="73">
        <v>0</v>
      </c>
      <c r="AN35" s="40">
        <v>0</v>
      </c>
      <c r="AO35" s="52">
        <v>0</v>
      </c>
      <c r="AP35" s="73">
        <v>37.820749999999997</v>
      </c>
      <c r="AQ35" s="40">
        <v>0</v>
      </c>
      <c r="AR35" s="52">
        <v>-37.820749999999997</v>
      </c>
      <c r="AS35" s="73">
        <v>139.77536090460228</v>
      </c>
      <c r="AT35" s="40">
        <v>0</v>
      </c>
      <c r="AU35" s="54">
        <v>-139.77536090460228</v>
      </c>
      <c r="AV35" s="73">
        <v>0</v>
      </c>
      <c r="AW35" s="40">
        <v>0</v>
      </c>
      <c r="AX35" s="55">
        <v>0</v>
      </c>
      <c r="AY35" s="73">
        <v>0</v>
      </c>
      <c r="AZ35" s="40">
        <v>0</v>
      </c>
      <c r="BA35" s="35">
        <v>0</v>
      </c>
      <c r="BB35" s="73">
        <v>0</v>
      </c>
      <c r="BC35" s="40">
        <v>0</v>
      </c>
      <c r="BD35" s="55">
        <v>0</v>
      </c>
      <c r="BE35" s="73">
        <v>0</v>
      </c>
      <c r="BF35" s="40">
        <v>0</v>
      </c>
      <c r="BG35" s="38">
        <v>0</v>
      </c>
      <c r="BH35" s="73">
        <v>0</v>
      </c>
      <c r="BI35" s="40">
        <v>0</v>
      </c>
      <c r="BJ35" s="55">
        <v>0</v>
      </c>
      <c r="BK35" s="73">
        <v>0</v>
      </c>
      <c r="BL35" s="40">
        <v>0</v>
      </c>
      <c r="BM35" s="38">
        <v>0</v>
      </c>
      <c r="BN35" s="73">
        <v>2.7119999999999997</v>
      </c>
      <c r="BO35" s="40">
        <v>0</v>
      </c>
      <c r="BP35" s="55">
        <v>-2.7119999999999997</v>
      </c>
      <c r="BQ35" s="77">
        <v>2.7119999999999997</v>
      </c>
      <c r="BR35" s="40">
        <v>0</v>
      </c>
      <c r="BS35" s="55">
        <v>-2.7119999999999997</v>
      </c>
      <c r="BT35" s="73">
        <v>0</v>
      </c>
      <c r="BU35" s="40">
        <v>0</v>
      </c>
      <c r="BV35" s="52">
        <v>0</v>
      </c>
      <c r="BW35" s="73">
        <v>0</v>
      </c>
      <c r="BX35" s="40">
        <v>0.50345859692671113</v>
      </c>
      <c r="BY35" s="52">
        <v>0.50345859692671113</v>
      </c>
      <c r="BZ35" s="73">
        <v>0</v>
      </c>
      <c r="CA35" s="40">
        <v>0</v>
      </c>
      <c r="CB35" s="52">
        <v>0</v>
      </c>
      <c r="CC35" s="73">
        <v>0</v>
      </c>
      <c r="CD35" s="40">
        <v>0</v>
      </c>
      <c r="CE35" s="52">
        <v>0</v>
      </c>
      <c r="CF35" s="73">
        <v>0</v>
      </c>
      <c r="CG35" s="40">
        <v>0</v>
      </c>
      <c r="CH35" s="52">
        <v>0</v>
      </c>
      <c r="CI35" s="73">
        <v>56.06</v>
      </c>
      <c r="CJ35" s="40">
        <v>67.521309392528281</v>
      </c>
      <c r="CK35" s="52">
        <v>11.461309392528278</v>
      </c>
      <c r="CL35" s="73">
        <v>0</v>
      </c>
      <c r="CM35" s="40">
        <v>0</v>
      </c>
      <c r="CN35" s="52">
        <v>0</v>
      </c>
      <c r="CO35" s="39">
        <v>56.06</v>
      </c>
      <c r="CP35" s="40">
        <v>67.521309392528281</v>
      </c>
      <c r="CQ35" s="52">
        <v>11.461309392528278</v>
      </c>
      <c r="CR35" s="72">
        <v>328.68250704652991</v>
      </c>
      <c r="CS35" s="5">
        <v>190.24174541839722</v>
      </c>
      <c r="CT35" s="52">
        <v>-138.44076162813269</v>
      </c>
      <c r="CU35" s="77">
        <v>394.41900845583586</v>
      </c>
      <c r="CV35" s="65">
        <v>228.29009450207664</v>
      </c>
      <c r="CW35" s="35">
        <v>-166.12891395375922</v>
      </c>
      <c r="CX35" s="73">
        <v>22.021608584590453</v>
      </c>
      <c r="CY35" s="40">
        <v>188.15052253834969</v>
      </c>
      <c r="CZ35" s="52">
        <v>166.12891395375925</v>
      </c>
      <c r="DA35" s="150">
        <v>-1528.8600875336206</v>
      </c>
      <c r="DB35" s="2">
        <v>3</v>
      </c>
      <c r="DC35" s="648">
        <v>270.75</v>
      </c>
      <c r="DD35" s="648"/>
      <c r="DE35" s="649">
        <v>-145.69061704042633</v>
      </c>
      <c r="DG35" s="321">
        <v>1681.325314312021</v>
      </c>
      <c r="DH35" s="5">
        <v>4997.287404485116</v>
      </c>
      <c r="DI35" s="306">
        <v>1.5270647451276833</v>
      </c>
      <c r="DJ35" s="306"/>
      <c r="DK35" s="306"/>
      <c r="DL35" s="28">
        <v>207.06997943931384</v>
      </c>
      <c r="DM35" s="28">
        <v>0</v>
      </c>
      <c r="DN35" s="650">
        <v>207.08</v>
      </c>
      <c r="DO35" s="94">
        <v>-1.0020560686172075E-2</v>
      </c>
      <c r="DP35" s="28">
        <v>207.06997943931384</v>
      </c>
      <c r="DQ35" s="318">
        <v>0</v>
      </c>
      <c r="DS35" s="8">
        <v>197.20950422791793</v>
      </c>
      <c r="DT35" s="5">
        <v>9.8604752113958973</v>
      </c>
      <c r="DW35" s="5">
        <v>170.98483308552272</v>
      </c>
      <c r="DX35" s="5">
        <v>0</v>
      </c>
    </row>
    <row r="36" spans="1:128" x14ac:dyDescent="0.3">
      <c r="A36" s="325">
        <v>150001002</v>
      </c>
      <c r="B36" s="41" t="s">
        <v>485</v>
      </c>
      <c r="C36" s="42" t="s">
        <v>49</v>
      </c>
      <c r="D36" s="42" t="s">
        <v>49</v>
      </c>
      <c r="E36" s="293">
        <v>229.9</v>
      </c>
      <c r="F36" s="305">
        <v>229.9</v>
      </c>
      <c r="G36" s="51"/>
      <c r="H36" s="651">
        <v>0</v>
      </c>
      <c r="I36" s="73">
        <v>0</v>
      </c>
      <c r="J36" s="40">
        <v>0</v>
      </c>
      <c r="K36" s="52">
        <v>0</v>
      </c>
      <c r="L36" s="73">
        <v>0</v>
      </c>
      <c r="M36" s="40">
        <v>0</v>
      </c>
      <c r="N36" s="52">
        <v>0</v>
      </c>
      <c r="O36" s="73">
        <v>0</v>
      </c>
      <c r="P36" s="40">
        <v>0</v>
      </c>
      <c r="Q36" s="52">
        <v>0</v>
      </c>
      <c r="R36" s="73">
        <v>0</v>
      </c>
      <c r="S36" s="40">
        <v>0</v>
      </c>
      <c r="T36" s="52">
        <v>0</v>
      </c>
      <c r="U36" s="73">
        <v>0</v>
      </c>
      <c r="V36" s="40">
        <v>0</v>
      </c>
      <c r="W36" s="52">
        <v>0</v>
      </c>
      <c r="X36" s="73">
        <v>0</v>
      </c>
      <c r="Y36" s="40">
        <v>0</v>
      </c>
      <c r="Z36" s="52">
        <v>0</v>
      </c>
      <c r="AA36" s="73">
        <v>18.391999999999999</v>
      </c>
      <c r="AB36" s="40">
        <v>0</v>
      </c>
      <c r="AC36" s="52">
        <v>-18.391999999999999</v>
      </c>
      <c r="AD36" s="73">
        <v>138.11513655136631</v>
      </c>
      <c r="AE36" s="40">
        <v>207.21005244036741</v>
      </c>
      <c r="AF36" s="35">
        <v>69.094915889001101</v>
      </c>
      <c r="AG36" s="77">
        <v>156.5071365513663</v>
      </c>
      <c r="AH36" s="53">
        <v>207.21005244036741</v>
      </c>
      <c r="AI36" s="52">
        <v>50.702915889001105</v>
      </c>
      <c r="AJ36" s="73">
        <v>0</v>
      </c>
      <c r="AK36" s="40">
        <v>0</v>
      </c>
      <c r="AL36" s="52">
        <v>0</v>
      </c>
      <c r="AM36" s="73">
        <v>0</v>
      </c>
      <c r="AN36" s="40">
        <v>0</v>
      </c>
      <c r="AO36" s="52">
        <v>0</v>
      </c>
      <c r="AP36" s="73">
        <v>63.034583333333323</v>
      </c>
      <c r="AQ36" s="40">
        <v>0</v>
      </c>
      <c r="AR36" s="52">
        <v>-63.034583333333323</v>
      </c>
      <c r="AS36" s="73">
        <v>226.9688296566905</v>
      </c>
      <c r="AT36" s="40">
        <v>0</v>
      </c>
      <c r="AU36" s="54">
        <v>-226.9688296566905</v>
      </c>
      <c r="AV36" s="73">
        <v>0</v>
      </c>
      <c r="AW36" s="40">
        <v>0</v>
      </c>
      <c r="AX36" s="55">
        <v>0</v>
      </c>
      <c r="AY36" s="73">
        <v>0</v>
      </c>
      <c r="AZ36" s="40">
        <v>0</v>
      </c>
      <c r="BA36" s="35">
        <v>0</v>
      </c>
      <c r="BB36" s="73">
        <v>0</v>
      </c>
      <c r="BC36" s="40">
        <v>0</v>
      </c>
      <c r="BD36" s="55">
        <v>0</v>
      </c>
      <c r="BE36" s="73">
        <v>0</v>
      </c>
      <c r="BF36" s="40">
        <v>0</v>
      </c>
      <c r="BG36" s="38">
        <v>0</v>
      </c>
      <c r="BH36" s="73">
        <v>0</v>
      </c>
      <c r="BI36" s="40">
        <v>0</v>
      </c>
      <c r="BJ36" s="55">
        <v>0</v>
      </c>
      <c r="BK36" s="73">
        <v>0</v>
      </c>
      <c r="BL36" s="40">
        <v>0</v>
      </c>
      <c r="BM36" s="38">
        <v>0</v>
      </c>
      <c r="BN36" s="73">
        <v>4.5979999999999999</v>
      </c>
      <c r="BO36" s="40">
        <v>0</v>
      </c>
      <c r="BP36" s="55">
        <v>-4.5979999999999999</v>
      </c>
      <c r="BQ36" s="77">
        <v>4.5979999999999999</v>
      </c>
      <c r="BR36" s="40">
        <v>0</v>
      </c>
      <c r="BS36" s="55">
        <v>-4.5979999999999999</v>
      </c>
      <c r="BT36" s="73">
        <v>0</v>
      </c>
      <c r="BU36" s="40">
        <v>0</v>
      </c>
      <c r="BV36" s="52">
        <v>0</v>
      </c>
      <c r="BW36" s="73">
        <v>0</v>
      </c>
      <c r="BX36" s="40">
        <v>0.85357766543842839</v>
      </c>
      <c r="BY36" s="52">
        <v>0.85357766543842839</v>
      </c>
      <c r="BZ36" s="73">
        <v>0</v>
      </c>
      <c r="CA36" s="40">
        <v>0</v>
      </c>
      <c r="CB36" s="52">
        <v>0</v>
      </c>
      <c r="CC36" s="73">
        <v>0</v>
      </c>
      <c r="CD36" s="40">
        <v>0</v>
      </c>
      <c r="CE36" s="52">
        <v>0</v>
      </c>
      <c r="CF36" s="73">
        <v>0</v>
      </c>
      <c r="CG36" s="40">
        <v>0</v>
      </c>
      <c r="CH36" s="52">
        <v>0</v>
      </c>
      <c r="CI36" s="73">
        <v>96.56</v>
      </c>
      <c r="CJ36" s="40">
        <v>174.79845257687376</v>
      </c>
      <c r="CK36" s="52">
        <v>78.238452576873755</v>
      </c>
      <c r="CL36" s="73">
        <v>0</v>
      </c>
      <c r="CM36" s="40">
        <v>0</v>
      </c>
      <c r="CN36" s="52">
        <v>0</v>
      </c>
      <c r="CO36" s="39">
        <v>96.56</v>
      </c>
      <c r="CP36" s="40">
        <v>174.79845257687376</v>
      </c>
      <c r="CQ36" s="52">
        <v>78.238452576873755</v>
      </c>
      <c r="CR36" s="72">
        <v>547.66854954139012</v>
      </c>
      <c r="CS36" s="5">
        <v>382.86208268267956</v>
      </c>
      <c r="CT36" s="52">
        <v>-164.80646685871056</v>
      </c>
      <c r="CU36" s="77">
        <v>657.20225944966808</v>
      </c>
      <c r="CV36" s="65">
        <v>459.43449921921547</v>
      </c>
      <c r="CW36" s="35">
        <v>-197.76776023045261</v>
      </c>
      <c r="CX36" s="73">
        <v>36.693593889325932</v>
      </c>
      <c r="CY36" s="40">
        <v>234.46135411977855</v>
      </c>
      <c r="CZ36" s="52">
        <v>197.76776023045261</v>
      </c>
      <c r="DA36" s="150">
        <v>-2414.0431619490973</v>
      </c>
      <c r="DB36" s="2">
        <v>3</v>
      </c>
      <c r="DC36" s="648">
        <v>414.82</v>
      </c>
      <c r="DD36" s="648"/>
      <c r="DE36" s="649">
        <v>-279.07585333899402</v>
      </c>
      <c r="DG36" s="321">
        <v>2144.5791071716749</v>
      </c>
      <c r="DH36" s="5">
        <v>8326.7502400679277</v>
      </c>
      <c r="DI36" s="306">
        <v>1.5007881087911081</v>
      </c>
      <c r="DJ36" s="306"/>
      <c r="DK36" s="306"/>
      <c r="DL36" s="28">
        <v>345.03118621107575</v>
      </c>
      <c r="DM36" s="28">
        <v>0</v>
      </c>
      <c r="DN36" s="650">
        <v>345.03</v>
      </c>
      <c r="DO36" s="94">
        <v>1.1862110757761002E-3</v>
      </c>
      <c r="DP36" s="28">
        <v>345.03118621107575</v>
      </c>
      <c r="DQ36" s="318">
        <v>0</v>
      </c>
      <c r="DS36" s="8">
        <v>328.60112972483404</v>
      </c>
      <c r="DT36" s="5">
        <v>16.430056486241703</v>
      </c>
      <c r="DW36" s="5">
        <v>277.88019558802858</v>
      </c>
      <c r="DX36" s="5">
        <v>0</v>
      </c>
    </row>
    <row r="37" spans="1:128" x14ac:dyDescent="0.3">
      <c r="A37" s="325">
        <v>150000972</v>
      </c>
      <c r="B37" s="41" t="s">
        <v>486</v>
      </c>
      <c r="C37" s="42" t="s">
        <v>202</v>
      </c>
      <c r="D37" s="42" t="s">
        <v>202</v>
      </c>
      <c r="E37" s="293">
        <v>2167.6</v>
      </c>
      <c r="F37" s="305">
        <v>1931.4</v>
      </c>
      <c r="G37" s="51"/>
      <c r="H37" s="651">
        <v>236.2</v>
      </c>
      <c r="I37" s="73">
        <v>1207.0531065752784</v>
      </c>
      <c r="J37" s="40">
        <v>1336.2583089289519</v>
      </c>
      <c r="K37" s="52">
        <v>129.20520235367349</v>
      </c>
      <c r="L37" s="73">
        <v>213.29831044415585</v>
      </c>
      <c r="M37" s="40">
        <v>240.30592503670812</v>
      </c>
      <c r="N37" s="52">
        <v>27.007614592552272</v>
      </c>
      <c r="O37" s="73">
        <v>437.76167816399663</v>
      </c>
      <c r="P37" s="40">
        <v>437.76</v>
      </c>
      <c r="Q37" s="52">
        <v>-1.6781639966438888E-3</v>
      </c>
      <c r="R37" s="73">
        <v>0</v>
      </c>
      <c r="S37" s="40">
        <v>0</v>
      </c>
      <c r="T37" s="52">
        <v>0</v>
      </c>
      <c r="U37" s="73">
        <v>0</v>
      </c>
      <c r="V37" s="40">
        <v>0</v>
      </c>
      <c r="W37" s="52">
        <v>0</v>
      </c>
      <c r="X37" s="73">
        <v>545.39720233221976</v>
      </c>
      <c r="Y37" s="40">
        <v>559.26062406718597</v>
      </c>
      <c r="Z37" s="52">
        <v>13.863421734966209</v>
      </c>
      <c r="AA37" s="73">
        <v>183.94400000000002</v>
      </c>
      <c r="AB37" s="40">
        <v>0</v>
      </c>
      <c r="AC37" s="52">
        <v>-183.94400000000002</v>
      </c>
      <c r="AD37" s="73">
        <v>1641.8510039232744</v>
      </c>
      <c r="AE37" s="40">
        <v>1953.6690285765133</v>
      </c>
      <c r="AF37" s="35">
        <v>311.81802465323881</v>
      </c>
      <c r="AG37" s="77">
        <v>4229.3053014389252</v>
      </c>
      <c r="AH37" s="53">
        <v>4527.2538866093591</v>
      </c>
      <c r="AI37" s="52">
        <v>297.94858517043394</v>
      </c>
      <c r="AJ37" s="73">
        <v>0</v>
      </c>
      <c r="AK37" s="40">
        <v>0</v>
      </c>
      <c r="AL37" s="52">
        <v>0</v>
      </c>
      <c r="AM37" s="73">
        <v>0</v>
      </c>
      <c r="AN37" s="40">
        <v>0</v>
      </c>
      <c r="AO37" s="52">
        <v>0</v>
      </c>
      <c r="AP37" s="73">
        <v>813.14612499999987</v>
      </c>
      <c r="AQ37" s="40">
        <v>0</v>
      </c>
      <c r="AR37" s="52">
        <v>-813.14612499999987</v>
      </c>
      <c r="AS37" s="73">
        <v>2231.7566628603245</v>
      </c>
      <c r="AT37" s="40">
        <v>1628</v>
      </c>
      <c r="AU37" s="54">
        <v>-603.75666286032447</v>
      </c>
      <c r="AV37" s="73">
        <v>546.69013922543979</v>
      </c>
      <c r="AW37" s="40">
        <v>0</v>
      </c>
      <c r="AX37" s="55">
        <v>-546.69013922543979</v>
      </c>
      <c r="AY37" s="73">
        <v>590.39640763415764</v>
      </c>
      <c r="AZ37" s="40">
        <v>0</v>
      </c>
      <c r="BA37" s="35">
        <v>-590.39640763415764</v>
      </c>
      <c r="BB37" s="73">
        <v>166.53472842854001</v>
      </c>
      <c r="BC37" s="40">
        <v>0</v>
      </c>
      <c r="BD37" s="55">
        <v>-166.53472842854001</v>
      </c>
      <c r="BE37" s="73">
        <v>0</v>
      </c>
      <c r="BF37" s="40">
        <v>0</v>
      </c>
      <c r="BG37" s="38">
        <v>0</v>
      </c>
      <c r="BH37" s="73">
        <v>0</v>
      </c>
      <c r="BI37" s="40">
        <v>0</v>
      </c>
      <c r="BJ37" s="55">
        <v>0</v>
      </c>
      <c r="BK37" s="73">
        <v>325.02128235674382</v>
      </c>
      <c r="BL37" s="40">
        <v>0</v>
      </c>
      <c r="BM37" s="38">
        <v>-325.02128235674382</v>
      </c>
      <c r="BN37" s="73">
        <v>45.986000000000004</v>
      </c>
      <c r="BO37" s="40">
        <v>0</v>
      </c>
      <c r="BP37" s="55">
        <v>-45.986000000000004</v>
      </c>
      <c r="BQ37" s="77">
        <v>1674.6285576448813</v>
      </c>
      <c r="BR37" s="40">
        <v>0</v>
      </c>
      <c r="BS37" s="55">
        <v>-1674.6285576448813</v>
      </c>
      <c r="BT37" s="73">
        <v>3017.7265496492</v>
      </c>
      <c r="BU37" s="40">
        <v>755.86164028096698</v>
      </c>
      <c r="BV37" s="52">
        <v>-2261.8649093682329</v>
      </c>
      <c r="BW37" s="73">
        <v>1416.565397419618</v>
      </c>
      <c r="BX37" s="40">
        <v>4628.1865678228987</v>
      </c>
      <c r="BY37" s="52">
        <v>3211.6211704032808</v>
      </c>
      <c r="BZ37" s="73">
        <v>1194.0330456957661</v>
      </c>
      <c r="CA37" s="40">
        <v>4679.3686444240429</v>
      </c>
      <c r="CB37" s="52">
        <v>3485.3355987282766</v>
      </c>
      <c r="CC37" s="73">
        <v>173.805256625</v>
      </c>
      <c r="CD37" s="40">
        <v>219.30146660870219</v>
      </c>
      <c r="CE37" s="52">
        <v>45.496209983702187</v>
      </c>
      <c r="CF37" s="73">
        <v>20.650129499999998</v>
      </c>
      <c r="CG37" s="40">
        <v>0</v>
      </c>
      <c r="CH37" s="52">
        <v>-20.650129499999998</v>
      </c>
      <c r="CI37" s="73">
        <v>292.77999999999997</v>
      </c>
      <c r="CJ37" s="40">
        <v>682.24025787371443</v>
      </c>
      <c r="CK37" s="52">
        <v>389.46025787371445</v>
      </c>
      <c r="CL37" s="73">
        <v>0</v>
      </c>
      <c r="CM37" s="40">
        <v>0</v>
      </c>
      <c r="CN37" s="52">
        <v>0</v>
      </c>
      <c r="CO37" s="39">
        <v>292.77999999999997</v>
      </c>
      <c r="CP37" s="40">
        <v>682.24025787371443</v>
      </c>
      <c r="CQ37" s="52">
        <v>389.46025787371445</v>
      </c>
      <c r="CR37" s="72">
        <v>15064.397025833716</v>
      </c>
      <c r="CS37" s="5">
        <v>17120.212463619682</v>
      </c>
      <c r="CT37" s="52">
        <v>2055.8154377859664</v>
      </c>
      <c r="CU37" s="77">
        <v>18077.276431000457</v>
      </c>
      <c r="CV37" s="65">
        <v>20544.254956343619</v>
      </c>
      <c r="CW37" s="35">
        <v>2466.9785253431619</v>
      </c>
      <c r="CX37" s="73">
        <v>1009.3091288816765</v>
      </c>
      <c r="CY37" s="40">
        <v>-1457.669396461486</v>
      </c>
      <c r="CZ37" s="52">
        <v>-2466.9785253431628</v>
      </c>
      <c r="DA37" s="150">
        <v>59979.333021013554</v>
      </c>
      <c r="DB37" s="2">
        <v>2</v>
      </c>
      <c r="DC37" s="648">
        <v>17266.68</v>
      </c>
      <c r="DD37" s="648">
        <v>1349.89</v>
      </c>
      <c r="DE37" s="649">
        <v>-470.01555988213295</v>
      </c>
      <c r="DG37" s="321">
        <v>34834.357033863977</v>
      </c>
      <c r="DH37" s="5">
        <v>229039.02671858558</v>
      </c>
      <c r="DI37" s="306">
        <v>4.2015720449492511</v>
      </c>
      <c r="DJ37" s="306"/>
      <c r="DK37" s="306">
        <v>3.7394571938854777</v>
      </c>
      <c r="DL37" s="28">
        <v>8114.9162476149841</v>
      </c>
      <c r="DM37" s="28">
        <v>883.25978919574982</v>
      </c>
      <c r="DN37" s="650">
        <v>8114.52</v>
      </c>
      <c r="DO37" s="94">
        <v>0.39624761498362204</v>
      </c>
      <c r="DP37" s="28">
        <v>8998.1760368107334</v>
      </c>
      <c r="DQ37" s="318">
        <v>-492.39408946450567</v>
      </c>
      <c r="DS37" s="8">
        <v>9038.6382155002284</v>
      </c>
      <c r="DT37" s="5">
        <v>451.93191077501149</v>
      </c>
      <c r="DW37" s="5">
        <v>4687.6622646062469</v>
      </c>
      <c r="DX37" s="5">
        <v>1953.6</v>
      </c>
    </row>
    <row r="38" spans="1:128" x14ac:dyDescent="0.3">
      <c r="A38" s="325">
        <v>150000973</v>
      </c>
      <c r="B38" s="41" t="s">
        <v>487</v>
      </c>
      <c r="C38" s="42" t="s">
        <v>50</v>
      </c>
      <c r="D38" s="42" t="s">
        <v>50</v>
      </c>
      <c r="E38" s="293">
        <v>132.19999999999999</v>
      </c>
      <c r="F38" s="305">
        <v>132.19999999999999</v>
      </c>
      <c r="G38" s="51"/>
      <c r="H38" s="651">
        <v>0</v>
      </c>
      <c r="I38" s="73">
        <v>0</v>
      </c>
      <c r="J38" s="40">
        <v>0</v>
      </c>
      <c r="K38" s="52">
        <v>0</v>
      </c>
      <c r="L38" s="73">
        <v>0</v>
      </c>
      <c r="M38" s="40">
        <v>0</v>
      </c>
      <c r="N38" s="52">
        <v>0</v>
      </c>
      <c r="O38" s="73">
        <v>0</v>
      </c>
      <c r="P38" s="40">
        <v>0</v>
      </c>
      <c r="Q38" s="52">
        <v>0</v>
      </c>
      <c r="R38" s="73">
        <v>0</v>
      </c>
      <c r="S38" s="40">
        <v>0</v>
      </c>
      <c r="T38" s="52">
        <v>0</v>
      </c>
      <c r="U38" s="73">
        <v>0</v>
      </c>
      <c r="V38" s="40">
        <v>0</v>
      </c>
      <c r="W38" s="52">
        <v>0</v>
      </c>
      <c r="X38" s="73">
        <v>0</v>
      </c>
      <c r="Y38" s="40">
        <v>0</v>
      </c>
      <c r="Z38" s="52">
        <v>0</v>
      </c>
      <c r="AA38" s="73">
        <v>10.575999999999999</v>
      </c>
      <c r="AB38" s="40">
        <v>0</v>
      </c>
      <c r="AC38" s="52">
        <v>-10.575999999999999</v>
      </c>
      <c r="AD38" s="73">
        <v>84.674695595892018</v>
      </c>
      <c r="AE38" s="40">
        <v>119.15253994178586</v>
      </c>
      <c r="AF38" s="35">
        <v>34.477844345893843</v>
      </c>
      <c r="AG38" s="77">
        <v>95.250695595892012</v>
      </c>
      <c r="AH38" s="53">
        <v>119.15253994178586</v>
      </c>
      <c r="AI38" s="52">
        <v>23.901844345893849</v>
      </c>
      <c r="AJ38" s="73">
        <v>0</v>
      </c>
      <c r="AK38" s="40">
        <v>0</v>
      </c>
      <c r="AL38" s="52">
        <v>0</v>
      </c>
      <c r="AM38" s="73">
        <v>0</v>
      </c>
      <c r="AN38" s="40">
        <v>0</v>
      </c>
      <c r="AO38" s="52">
        <v>0</v>
      </c>
      <c r="AP38" s="73">
        <v>63.034583333333323</v>
      </c>
      <c r="AQ38" s="40">
        <v>0</v>
      </c>
      <c r="AR38" s="52">
        <v>-63.034583333333323</v>
      </c>
      <c r="AS38" s="73">
        <v>198.90478030548891</v>
      </c>
      <c r="AT38" s="40">
        <v>0</v>
      </c>
      <c r="AU38" s="54">
        <v>-198.90478030548891</v>
      </c>
      <c r="AV38" s="73">
        <v>0</v>
      </c>
      <c r="AW38" s="40">
        <v>0</v>
      </c>
      <c r="AX38" s="55">
        <v>0</v>
      </c>
      <c r="AY38" s="73">
        <v>0</v>
      </c>
      <c r="AZ38" s="40">
        <v>0</v>
      </c>
      <c r="BA38" s="35">
        <v>0</v>
      </c>
      <c r="BB38" s="73">
        <v>0</v>
      </c>
      <c r="BC38" s="40">
        <v>0</v>
      </c>
      <c r="BD38" s="55">
        <v>0</v>
      </c>
      <c r="BE38" s="73">
        <v>0</v>
      </c>
      <c r="BF38" s="40">
        <v>0</v>
      </c>
      <c r="BG38" s="38">
        <v>0</v>
      </c>
      <c r="BH38" s="73">
        <v>0</v>
      </c>
      <c r="BI38" s="40">
        <v>0</v>
      </c>
      <c r="BJ38" s="55">
        <v>0</v>
      </c>
      <c r="BK38" s="73">
        <v>0</v>
      </c>
      <c r="BL38" s="40">
        <v>0</v>
      </c>
      <c r="BM38" s="38">
        <v>0</v>
      </c>
      <c r="BN38" s="73">
        <v>2.6439999999999997</v>
      </c>
      <c r="BO38" s="40">
        <v>0</v>
      </c>
      <c r="BP38" s="55">
        <v>-2.6439999999999997</v>
      </c>
      <c r="BQ38" s="77">
        <v>2.6439999999999997</v>
      </c>
      <c r="BR38" s="40">
        <v>0</v>
      </c>
      <c r="BS38" s="55">
        <v>-2.6439999999999997</v>
      </c>
      <c r="BT38" s="73">
        <v>0</v>
      </c>
      <c r="BU38" s="40">
        <v>0</v>
      </c>
      <c r="BV38" s="52">
        <v>0</v>
      </c>
      <c r="BW38" s="73">
        <v>0</v>
      </c>
      <c r="BX38" s="40">
        <v>0.4908350037884307</v>
      </c>
      <c r="BY38" s="52">
        <v>0.4908350037884307</v>
      </c>
      <c r="BZ38" s="73">
        <v>0</v>
      </c>
      <c r="CA38" s="40">
        <v>0</v>
      </c>
      <c r="CB38" s="52">
        <v>0</v>
      </c>
      <c r="CC38" s="73">
        <v>0</v>
      </c>
      <c r="CD38" s="40">
        <v>0</v>
      </c>
      <c r="CE38" s="52">
        <v>0</v>
      </c>
      <c r="CF38" s="73">
        <v>0</v>
      </c>
      <c r="CG38" s="40">
        <v>0</v>
      </c>
      <c r="CH38" s="52">
        <v>0</v>
      </c>
      <c r="CI38" s="73">
        <v>0</v>
      </c>
      <c r="CJ38" s="40">
        <v>0</v>
      </c>
      <c r="CK38" s="52">
        <v>0</v>
      </c>
      <c r="CL38" s="73">
        <v>0</v>
      </c>
      <c r="CM38" s="40">
        <v>0</v>
      </c>
      <c r="CN38" s="52">
        <v>0</v>
      </c>
      <c r="CO38" s="39">
        <v>0</v>
      </c>
      <c r="CP38" s="40">
        <v>0</v>
      </c>
      <c r="CQ38" s="52">
        <v>0</v>
      </c>
      <c r="CR38" s="72">
        <v>359.83405923471423</v>
      </c>
      <c r="CS38" s="5">
        <v>119.64337494557429</v>
      </c>
      <c r="CT38" s="52">
        <v>-240.19068428913994</v>
      </c>
      <c r="CU38" s="77">
        <v>431.80087108165708</v>
      </c>
      <c r="CV38" s="65">
        <v>143.57204993468915</v>
      </c>
      <c r="CW38" s="35">
        <v>-288.2288211469679</v>
      </c>
      <c r="CX38" s="73">
        <v>24.108751266003441</v>
      </c>
      <c r="CY38" s="40">
        <v>312.33757241297133</v>
      </c>
      <c r="CZ38" s="52">
        <v>288.2288211469679</v>
      </c>
      <c r="DA38" s="150">
        <v>-2709.5430945269504</v>
      </c>
      <c r="DB38" s="2">
        <v>2</v>
      </c>
      <c r="DC38" s="648">
        <v>2158.0300000000002</v>
      </c>
      <c r="DD38" s="648"/>
      <c r="DE38" s="649">
        <v>1702.1203776523398</v>
      </c>
      <c r="DG38" s="321">
        <v>-3784.7789511934047</v>
      </c>
      <c r="DH38" s="5">
        <v>5470.9154681719265</v>
      </c>
      <c r="DI38" s="306">
        <v>1.7147916589854009</v>
      </c>
      <c r="DJ38" s="306"/>
      <c r="DK38" s="306"/>
      <c r="DL38" s="28">
        <v>226.69545731786997</v>
      </c>
      <c r="DM38" s="28">
        <v>0</v>
      </c>
      <c r="DN38" s="650">
        <v>226.7</v>
      </c>
      <c r="DO38" s="94">
        <v>-4.5426821300225129E-3</v>
      </c>
      <c r="DP38" s="28">
        <v>226.69545731786997</v>
      </c>
      <c r="DQ38" s="318">
        <v>0</v>
      </c>
      <c r="DS38" s="8">
        <v>215.90043554082854</v>
      </c>
      <c r="DT38" s="5">
        <v>10.795021777041427</v>
      </c>
      <c r="DW38" s="5">
        <v>241.85853636658669</v>
      </c>
      <c r="DX38" s="5">
        <v>0</v>
      </c>
    </row>
    <row r="39" spans="1:128" x14ac:dyDescent="0.3">
      <c r="A39" s="325">
        <v>150000974</v>
      </c>
      <c r="B39" s="41" t="s">
        <v>488</v>
      </c>
      <c r="C39" s="42" t="s">
        <v>203</v>
      </c>
      <c r="D39" s="42" t="s">
        <v>203</v>
      </c>
      <c r="E39" s="293">
        <v>2315.5700000000002</v>
      </c>
      <c r="F39" s="305">
        <v>1907.4</v>
      </c>
      <c r="G39" s="51"/>
      <c r="H39" s="651">
        <v>408.17</v>
      </c>
      <c r="I39" s="73">
        <v>922.76989959969023</v>
      </c>
      <c r="J39" s="40">
        <v>1019.2421508686425</v>
      </c>
      <c r="K39" s="52">
        <v>96.472251268952277</v>
      </c>
      <c r="L39" s="73">
        <v>146.28832776229473</v>
      </c>
      <c r="M39" s="40">
        <v>164.81180112908521</v>
      </c>
      <c r="N39" s="52">
        <v>18.523473366790483</v>
      </c>
      <c r="O39" s="73">
        <v>430.69197749490002</v>
      </c>
      <c r="P39" s="40">
        <v>430.7</v>
      </c>
      <c r="Q39" s="52">
        <v>8.0225050999729319E-3</v>
      </c>
      <c r="R39" s="73">
        <v>106.99798079543665</v>
      </c>
      <c r="S39" s="40">
        <v>107</v>
      </c>
      <c r="T39" s="52">
        <v>2.0192045633535827E-3</v>
      </c>
      <c r="U39" s="73">
        <v>0</v>
      </c>
      <c r="V39" s="40">
        <v>0</v>
      </c>
      <c r="W39" s="52">
        <v>0</v>
      </c>
      <c r="X39" s="73">
        <v>516.01238787872455</v>
      </c>
      <c r="Y39" s="40">
        <v>531.04993811743191</v>
      </c>
      <c r="Z39" s="52">
        <v>15.037550238707354</v>
      </c>
      <c r="AA39" s="73">
        <v>185.24560000000002</v>
      </c>
      <c r="AB39" s="40">
        <v>0</v>
      </c>
      <c r="AC39" s="52">
        <v>-185.24560000000002</v>
      </c>
      <c r="AD39" s="73">
        <v>1651.9761266487028</v>
      </c>
      <c r="AE39" s="40">
        <v>2087.0351506278453</v>
      </c>
      <c r="AF39" s="35">
        <v>435.05902397914247</v>
      </c>
      <c r="AG39" s="77">
        <v>3959.9823001797495</v>
      </c>
      <c r="AH39" s="53">
        <v>4339.8390407430052</v>
      </c>
      <c r="AI39" s="52">
        <v>379.8567405632557</v>
      </c>
      <c r="AJ39" s="73">
        <v>0</v>
      </c>
      <c r="AK39" s="40">
        <v>0</v>
      </c>
      <c r="AL39" s="52">
        <v>0</v>
      </c>
      <c r="AM39" s="73">
        <v>0</v>
      </c>
      <c r="AN39" s="40">
        <v>0</v>
      </c>
      <c r="AO39" s="52">
        <v>0</v>
      </c>
      <c r="AP39" s="73">
        <v>201.71066666666667</v>
      </c>
      <c r="AQ39" s="40">
        <v>0</v>
      </c>
      <c r="AR39" s="52">
        <v>-201.71066666666667</v>
      </c>
      <c r="AS39" s="73">
        <v>2564.5340000605001</v>
      </c>
      <c r="AT39" s="40">
        <v>0</v>
      </c>
      <c r="AU39" s="54">
        <v>-2564.5340000605001</v>
      </c>
      <c r="AV39" s="73">
        <v>441.44671420795117</v>
      </c>
      <c r="AW39" s="40">
        <v>0</v>
      </c>
      <c r="AX39" s="55">
        <v>-441.44671420795117</v>
      </c>
      <c r="AY39" s="73">
        <v>404.81417070383725</v>
      </c>
      <c r="AZ39" s="40">
        <v>0</v>
      </c>
      <c r="BA39" s="35">
        <v>-404.81417070383725</v>
      </c>
      <c r="BB39" s="73">
        <v>171.49772416428999</v>
      </c>
      <c r="BC39" s="40">
        <v>0</v>
      </c>
      <c r="BD39" s="55">
        <v>-171.49772416428999</v>
      </c>
      <c r="BE39" s="73">
        <v>555.84410558114996</v>
      </c>
      <c r="BF39" s="40">
        <v>0</v>
      </c>
      <c r="BG39" s="38">
        <v>-555.84410558114996</v>
      </c>
      <c r="BH39" s="73">
        <v>0</v>
      </c>
      <c r="BI39" s="40">
        <v>0</v>
      </c>
      <c r="BJ39" s="55">
        <v>0</v>
      </c>
      <c r="BK39" s="73">
        <v>302.41440099952843</v>
      </c>
      <c r="BL39" s="40">
        <v>0</v>
      </c>
      <c r="BM39" s="38">
        <v>-302.41440099952843</v>
      </c>
      <c r="BN39" s="73">
        <v>46.311400000000006</v>
      </c>
      <c r="BO39" s="40">
        <v>0</v>
      </c>
      <c r="BP39" s="55">
        <v>-46.311400000000006</v>
      </c>
      <c r="BQ39" s="77">
        <v>1922.328515656757</v>
      </c>
      <c r="BR39" s="40">
        <v>0</v>
      </c>
      <c r="BS39" s="55">
        <v>-1922.328515656757</v>
      </c>
      <c r="BT39" s="73">
        <v>4786.7699639105003</v>
      </c>
      <c r="BU39" s="40">
        <v>1164.729937656386</v>
      </c>
      <c r="BV39" s="52">
        <v>-3622.0400262541143</v>
      </c>
      <c r="BW39" s="73">
        <v>2393.6284852901399</v>
      </c>
      <c r="BX39" s="40">
        <v>5862.2927154217305</v>
      </c>
      <c r="BY39" s="52">
        <v>3468.6642301315906</v>
      </c>
      <c r="BZ39" s="73">
        <v>1651.091012662378</v>
      </c>
      <c r="CA39" s="40">
        <v>6875.8604946806718</v>
      </c>
      <c r="CB39" s="52">
        <v>5224.7694820182933</v>
      </c>
      <c r="CC39" s="73">
        <v>0</v>
      </c>
      <c r="CD39" s="40">
        <v>0</v>
      </c>
      <c r="CE39" s="52">
        <v>0</v>
      </c>
      <c r="CF39" s="73">
        <v>0</v>
      </c>
      <c r="CG39" s="40">
        <v>0</v>
      </c>
      <c r="CH39" s="52">
        <v>0</v>
      </c>
      <c r="CI39" s="73">
        <v>903.24</v>
      </c>
      <c r="CJ39" s="40">
        <v>659.54781414415072</v>
      </c>
      <c r="CK39" s="52">
        <v>-243.69218585584929</v>
      </c>
      <c r="CL39" s="73">
        <v>0</v>
      </c>
      <c r="CM39" s="40">
        <v>0</v>
      </c>
      <c r="CN39" s="52">
        <v>0</v>
      </c>
      <c r="CO39" s="39">
        <v>903.24</v>
      </c>
      <c r="CP39" s="40">
        <v>659.54781414415072</v>
      </c>
      <c r="CQ39" s="52">
        <v>-243.69218585584929</v>
      </c>
      <c r="CR39" s="72">
        <v>18383.284944426694</v>
      </c>
      <c r="CS39" s="5">
        <v>18902.270002645942</v>
      </c>
      <c r="CT39" s="52">
        <v>518.98505821924846</v>
      </c>
      <c r="CU39" s="77">
        <v>22059.941933312031</v>
      </c>
      <c r="CV39" s="65">
        <v>22682.724003175132</v>
      </c>
      <c r="CW39" s="35">
        <v>622.78206986310033</v>
      </c>
      <c r="CX39" s="73">
        <v>1231.6734139059297</v>
      </c>
      <c r="CY39" s="40">
        <v>608.89134404282959</v>
      </c>
      <c r="CZ39" s="52">
        <v>-622.78206986310011</v>
      </c>
      <c r="DA39" s="150">
        <v>90549.275448772474</v>
      </c>
      <c r="DB39" s="2">
        <v>2</v>
      </c>
      <c r="DC39" s="648">
        <v>13186.57</v>
      </c>
      <c r="DD39" s="648">
        <v>15788.71</v>
      </c>
      <c r="DE39" s="649">
        <v>5683.6646527820376</v>
      </c>
      <c r="DG39" s="321">
        <v>-65624.389894819673</v>
      </c>
      <c r="DH39" s="5">
        <v>279499.38416661555</v>
      </c>
      <c r="DI39" s="306">
        <v>5.1409232954510884</v>
      </c>
      <c r="DJ39" s="306"/>
      <c r="DK39" s="306">
        <v>4.3503256516780002</v>
      </c>
      <c r="DL39" s="28">
        <v>9805.7970937434056</v>
      </c>
      <c r="DM39" s="28">
        <v>1775.6724212454094</v>
      </c>
      <c r="DN39" s="650">
        <v>9805.76</v>
      </c>
      <c r="DO39" s="94">
        <v>3.7093743405421264E-2</v>
      </c>
      <c r="DP39" s="28">
        <v>11581.469514988816</v>
      </c>
      <c r="DQ39" s="318">
        <v>0</v>
      </c>
      <c r="DS39" s="8">
        <v>11029.970966656016</v>
      </c>
      <c r="DT39" s="5">
        <v>551.49854833280085</v>
      </c>
      <c r="DW39" s="5">
        <v>5384.2350188607088</v>
      </c>
      <c r="DX39" s="5">
        <v>0</v>
      </c>
    </row>
    <row r="40" spans="1:128" x14ac:dyDescent="0.3">
      <c r="A40" s="325">
        <v>150000975</v>
      </c>
      <c r="B40" s="41" t="s">
        <v>489</v>
      </c>
      <c r="C40" s="42" t="s">
        <v>204</v>
      </c>
      <c r="D40" s="42" t="s">
        <v>204</v>
      </c>
      <c r="E40" s="293">
        <v>3253.33</v>
      </c>
      <c r="F40" s="305">
        <v>2888.6</v>
      </c>
      <c r="G40" s="51"/>
      <c r="H40" s="651">
        <v>364.73</v>
      </c>
      <c r="I40" s="73">
        <v>1394.2386013684211</v>
      </c>
      <c r="J40" s="40">
        <v>1542.837857016671</v>
      </c>
      <c r="K40" s="52">
        <v>148.59925564824994</v>
      </c>
      <c r="L40" s="73">
        <v>301.17500407111919</v>
      </c>
      <c r="M40" s="40">
        <v>339.3098244745579</v>
      </c>
      <c r="N40" s="52">
        <v>38.134820403438709</v>
      </c>
      <c r="O40" s="73">
        <v>609.68620110233667</v>
      </c>
      <c r="P40" s="40">
        <v>609.67999999999995</v>
      </c>
      <c r="Q40" s="52">
        <v>-6.2011023367176676E-3</v>
      </c>
      <c r="R40" s="73">
        <v>0</v>
      </c>
      <c r="S40" s="40">
        <v>0</v>
      </c>
      <c r="T40" s="52">
        <v>0</v>
      </c>
      <c r="U40" s="73">
        <v>0</v>
      </c>
      <c r="V40" s="40">
        <v>0</v>
      </c>
      <c r="W40" s="52">
        <v>0</v>
      </c>
      <c r="X40" s="73">
        <v>923.118319220697</v>
      </c>
      <c r="Y40" s="40">
        <v>966.37981325534247</v>
      </c>
      <c r="Z40" s="52">
        <v>43.261494034645466</v>
      </c>
      <c r="AA40" s="73">
        <v>260.29040000000003</v>
      </c>
      <c r="AB40" s="40">
        <v>0</v>
      </c>
      <c r="AC40" s="52">
        <v>-260.29040000000003</v>
      </c>
      <c r="AD40" s="73">
        <v>2329.5046438880413</v>
      </c>
      <c r="AE40" s="40">
        <v>2932.2430617913028</v>
      </c>
      <c r="AF40" s="35">
        <v>602.73841790326151</v>
      </c>
      <c r="AG40" s="77">
        <v>5818.013169650616</v>
      </c>
      <c r="AH40" s="53">
        <v>6390.450556537874</v>
      </c>
      <c r="AI40" s="52">
        <v>572.43738688725807</v>
      </c>
      <c r="AJ40" s="73">
        <v>0</v>
      </c>
      <c r="AK40" s="40">
        <v>0</v>
      </c>
      <c r="AL40" s="52">
        <v>0</v>
      </c>
      <c r="AM40" s="73">
        <v>0</v>
      </c>
      <c r="AN40" s="40">
        <v>0</v>
      </c>
      <c r="AO40" s="52">
        <v>0</v>
      </c>
      <c r="AP40" s="73">
        <v>964.42912499999989</v>
      </c>
      <c r="AQ40" s="40">
        <v>0</v>
      </c>
      <c r="AR40" s="52">
        <v>-964.42912499999989</v>
      </c>
      <c r="AS40" s="73">
        <v>2856.1854163346729</v>
      </c>
      <c r="AT40" s="40">
        <v>4561</v>
      </c>
      <c r="AU40" s="54">
        <v>1704.8145836653271</v>
      </c>
      <c r="AV40" s="73">
        <v>655.87371291974864</v>
      </c>
      <c r="AW40" s="40">
        <v>0</v>
      </c>
      <c r="AX40" s="55">
        <v>-655.87371291974864</v>
      </c>
      <c r="AY40" s="73">
        <v>833.54835566736017</v>
      </c>
      <c r="AZ40" s="40">
        <v>0</v>
      </c>
      <c r="BA40" s="35">
        <v>-833.54835566736017</v>
      </c>
      <c r="BB40" s="73">
        <v>249.9396633478766</v>
      </c>
      <c r="BC40" s="40">
        <v>0</v>
      </c>
      <c r="BD40" s="55">
        <v>-249.9396633478766</v>
      </c>
      <c r="BE40" s="73">
        <v>0</v>
      </c>
      <c r="BF40" s="40">
        <v>0</v>
      </c>
      <c r="BG40" s="38">
        <v>0</v>
      </c>
      <c r="BH40" s="73">
        <v>0</v>
      </c>
      <c r="BI40" s="40">
        <v>0</v>
      </c>
      <c r="BJ40" s="55">
        <v>0</v>
      </c>
      <c r="BK40" s="73">
        <v>667.18111508445861</v>
      </c>
      <c r="BL40" s="40">
        <v>0</v>
      </c>
      <c r="BM40" s="38">
        <v>-667.18111508445861</v>
      </c>
      <c r="BN40" s="73">
        <v>65.072600000000008</v>
      </c>
      <c r="BO40" s="40">
        <v>0</v>
      </c>
      <c r="BP40" s="55">
        <v>-65.072600000000008</v>
      </c>
      <c r="BQ40" s="77">
        <v>2471.6154470194438</v>
      </c>
      <c r="BR40" s="40">
        <v>0</v>
      </c>
      <c r="BS40" s="55">
        <v>-2471.6154470194438</v>
      </c>
      <c r="BT40" s="73">
        <v>4139.7287820846204</v>
      </c>
      <c r="BU40" s="40">
        <v>1070.1942589057567</v>
      </c>
      <c r="BV40" s="52">
        <v>-3069.5345231788638</v>
      </c>
      <c r="BW40" s="73">
        <v>2794.9061722879801</v>
      </c>
      <c r="BX40" s="40">
        <v>8012.6299078572956</v>
      </c>
      <c r="BY40" s="52">
        <v>5217.723735569316</v>
      </c>
      <c r="BZ40" s="73">
        <v>1762.9431233682119</v>
      </c>
      <c r="CA40" s="40">
        <v>6614.4832822258195</v>
      </c>
      <c r="CB40" s="52">
        <v>4851.5401588576078</v>
      </c>
      <c r="CC40" s="73">
        <v>131.78640337499999</v>
      </c>
      <c r="CD40" s="40">
        <v>166.28352962637857</v>
      </c>
      <c r="CE40" s="52">
        <v>34.497126251378575</v>
      </c>
      <c r="CF40" s="73">
        <v>15.657790500000001</v>
      </c>
      <c r="CG40" s="40">
        <v>0</v>
      </c>
      <c r="CH40" s="52">
        <v>-15.657790500000001</v>
      </c>
      <c r="CI40" s="73">
        <v>330.16</v>
      </c>
      <c r="CJ40" s="40">
        <v>329.7299720206862</v>
      </c>
      <c r="CK40" s="52">
        <v>-0.4300279793138202</v>
      </c>
      <c r="CL40" s="73">
        <v>0</v>
      </c>
      <c r="CM40" s="40">
        <v>0</v>
      </c>
      <c r="CN40" s="52">
        <v>0</v>
      </c>
      <c r="CO40" s="39">
        <v>330.16</v>
      </c>
      <c r="CP40" s="40">
        <v>329.7299720206862</v>
      </c>
      <c r="CQ40" s="52">
        <v>-0.4300279793138202</v>
      </c>
      <c r="CR40" s="72">
        <v>21285.425429620547</v>
      </c>
      <c r="CS40" s="5">
        <v>27144.771507173813</v>
      </c>
      <c r="CT40" s="52">
        <v>5859.3460775532658</v>
      </c>
      <c r="CU40" s="77">
        <v>25542.510515544654</v>
      </c>
      <c r="CV40" s="65">
        <v>32573.725808608575</v>
      </c>
      <c r="CW40" s="35">
        <v>7031.2152930639204</v>
      </c>
      <c r="CX40" s="73">
        <v>1426.1157722678399</v>
      </c>
      <c r="CY40" s="40">
        <v>-5605.0995207960805</v>
      </c>
      <c r="CZ40" s="52">
        <v>-7031.2152930639204</v>
      </c>
      <c r="DA40" s="150">
        <v>29595.109584298232</v>
      </c>
      <c r="DB40" s="2">
        <v>2</v>
      </c>
      <c r="DC40" s="648">
        <v>29760.21</v>
      </c>
      <c r="DD40" s="648">
        <v>868.64</v>
      </c>
      <c r="DE40" s="649">
        <v>3660.2237121875041</v>
      </c>
      <c r="DG40" s="321">
        <v>5604.0790203478209</v>
      </c>
      <c r="DH40" s="5">
        <v>323623.51545374992</v>
      </c>
      <c r="DI40" s="306">
        <v>4.1898192959604454</v>
      </c>
      <c r="DJ40" s="306"/>
      <c r="DK40" s="306">
        <v>3.5803171018583901</v>
      </c>
      <c r="DL40" s="28">
        <v>12102.712018311342</v>
      </c>
      <c r="DM40" s="28">
        <v>1305.8490565608106</v>
      </c>
      <c r="DN40" s="650">
        <v>12102.69</v>
      </c>
      <c r="DO40" s="94">
        <v>2.2018311341525987E-2</v>
      </c>
      <c r="DP40" s="28">
        <v>13408.561074872152</v>
      </c>
      <c r="DQ40" s="318">
        <v>-1.2569457887911994</v>
      </c>
      <c r="DS40" s="8">
        <v>12771.255257772327</v>
      </c>
      <c r="DT40" s="5">
        <v>638.56276288861648</v>
      </c>
      <c r="DW40" s="5">
        <v>6393.3610360249395</v>
      </c>
      <c r="DX40" s="5">
        <v>5473.2</v>
      </c>
    </row>
    <row r="41" spans="1:128" x14ac:dyDescent="0.3">
      <c r="A41" s="325">
        <v>150000976</v>
      </c>
      <c r="B41" s="41" t="s">
        <v>490</v>
      </c>
      <c r="C41" s="42" t="s">
        <v>150</v>
      </c>
      <c r="D41" s="42" t="s">
        <v>150</v>
      </c>
      <c r="E41" s="293">
        <v>924.5</v>
      </c>
      <c r="F41" s="305">
        <v>821.7</v>
      </c>
      <c r="G41" s="51"/>
      <c r="H41" s="651">
        <v>102.8</v>
      </c>
      <c r="I41" s="73">
        <v>629.99567578273513</v>
      </c>
      <c r="J41" s="40">
        <v>693.88998802904234</v>
      </c>
      <c r="K41" s="52">
        <v>63.894312246307209</v>
      </c>
      <c r="L41" s="73">
        <v>128.79122260092333</v>
      </c>
      <c r="M41" s="40">
        <v>145.09863531181423</v>
      </c>
      <c r="N41" s="52">
        <v>16.307412710890901</v>
      </c>
      <c r="O41" s="73">
        <v>167.64635909174334</v>
      </c>
      <c r="P41" s="40">
        <v>167.66</v>
      </c>
      <c r="Q41" s="52">
        <v>1.3640908256661533E-2</v>
      </c>
      <c r="R41" s="73">
        <v>41.39480516671</v>
      </c>
      <c r="S41" s="40">
        <v>41.4</v>
      </c>
      <c r="T41" s="52">
        <v>5.1948332899982574E-3</v>
      </c>
      <c r="U41" s="73">
        <v>0</v>
      </c>
      <c r="V41" s="40">
        <v>0</v>
      </c>
      <c r="W41" s="52">
        <v>0</v>
      </c>
      <c r="X41" s="73">
        <v>188.04518382324954</v>
      </c>
      <c r="Y41" s="40">
        <v>186.26672352314833</v>
      </c>
      <c r="Z41" s="52">
        <v>-1.7784603001012158</v>
      </c>
      <c r="AA41" s="73">
        <v>83.688000000000017</v>
      </c>
      <c r="AB41" s="40">
        <v>0</v>
      </c>
      <c r="AC41" s="52">
        <v>-83.688000000000017</v>
      </c>
      <c r="AD41" s="73">
        <v>744.741788125163</v>
      </c>
      <c r="AE41" s="40">
        <v>833.25660496354794</v>
      </c>
      <c r="AF41" s="35">
        <v>88.514816838384945</v>
      </c>
      <c r="AG41" s="77">
        <v>1984.3030345905245</v>
      </c>
      <c r="AH41" s="53">
        <v>2067.5719518275528</v>
      </c>
      <c r="AI41" s="52">
        <v>83.26891723702829</v>
      </c>
      <c r="AJ41" s="73">
        <v>0</v>
      </c>
      <c r="AK41" s="40">
        <v>0</v>
      </c>
      <c r="AL41" s="52">
        <v>0</v>
      </c>
      <c r="AM41" s="73">
        <v>0</v>
      </c>
      <c r="AN41" s="40">
        <v>0</v>
      </c>
      <c r="AO41" s="52">
        <v>0</v>
      </c>
      <c r="AP41" s="73">
        <v>100.85533333333333</v>
      </c>
      <c r="AQ41" s="40">
        <v>0</v>
      </c>
      <c r="AR41" s="52">
        <v>-100.85533333333333</v>
      </c>
      <c r="AS41" s="73">
        <v>1482.3586001688216</v>
      </c>
      <c r="AT41" s="40">
        <v>0</v>
      </c>
      <c r="AU41" s="54">
        <v>-1482.3586001688216</v>
      </c>
      <c r="AV41" s="73">
        <v>318.7669640923794</v>
      </c>
      <c r="AW41" s="40">
        <v>0</v>
      </c>
      <c r="AX41" s="55">
        <v>-318.7669640923794</v>
      </c>
      <c r="AY41" s="73">
        <v>356.4726779863762</v>
      </c>
      <c r="AZ41" s="40">
        <v>0</v>
      </c>
      <c r="BA41" s="35">
        <v>-356.4726779863762</v>
      </c>
      <c r="BB41" s="73">
        <v>51.676787318473401</v>
      </c>
      <c r="BC41" s="40">
        <v>0</v>
      </c>
      <c r="BD41" s="55">
        <v>-51.676787318473401</v>
      </c>
      <c r="BE41" s="73">
        <v>206.95606156829842</v>
      </c>
      <c r="BF41" s="40">
        <v>0</v>
      </c>
      <c r="BG41" s="38">
        <v>-206.95606156829842</v>
      </c>
      <c r="BH41" s="73">
        <v>0</v>
      </c>
      <c r="BI41" s="40">
        <v>0</v>
      </c>
      <c r="BJ41" s="55">
        <v>0</v>
      </c>
      <c r="BK41" s="73">
        <v>21.127497118280942</v>
      </c>
      <c r="BL41" s="40">
        <v>0</v>
      </c>
      <c r="BM41" s="38">
        <v>-21.127497118280942</v>
      </c>
      <c r="BN41" s="73">
        <v>41.549123852291501</v>
      </c>
      <c r="BO41" s="40">
        <v>0</v>
      </c>
      <c r="BP41" s="55">
        <v>-41.549123852291501</v>
      </c>
      <c r="BQ41" s="77">
        <v>996.54911193609996</v>
      </c>
      <c r="BR41" s="40">
        <v>0</v>
      </c>
      <c r="BS41" s="55">
        <v>-996.54911193609996</v>
      </c>
      <c r="BT41" s="73">
        <v>1296.0869609686119</v>
      </c>
      <c r="BU41" s="40">
        <v>389.48457158934485</v>
      </c>
      <c r="BV41" s="52">
        <v>-906.60238937926715</v>
      </c>
      <c r="BW41" s="73">
        <v>720.86414217337801</v>
      </c>
      <c r="BX41" s="40">
        <v>2897.612120210305</v>
      </c>
      <c r="BY41" s="52">
        <v>2176.7479780369267</v>
      </c>
      <c r="BZ41" s="73">
        <v>809.86524185616202</v>
      </c>
      <c r="CA41" s="40">
        <v>2306.7561021540478</v>
      </c>
      <c r="CB41" s="52">
        <v>1496.8908602978859</v>
      </c>
      <c r="CC41" s="73">
        <v>0</v>
      </c>
      <c r="CD41" s="40">
        <v>0</v>
      </c>
      <c r="CE41" s="52">
        <v>0</v>
      </c>
      <c r="CF41" s="73">
        <v>0</v>
      </c>
      <c r="CG41" s="40">
        <v>0</v>
      </c>
      <c r="CH41" s="52">
        <v>0</v>
      </c>
      <c r="CI41" s="73">
        <v>476.54</v>
      </c>
      <c r="CJ41" s="40">
        <v>446.37699303945146</v>
      </c>
      <c r="CK41" s="52">
        <v>-30.163006960548557</v>
      </c>
      <c r="CL41" s="73">
        <v>0</v>
      </c>
      <c r="CM41" s="40">
        <v>0</v>
      </c>
      <c r="CN41" s="52">
        <v>0</v>
      </c>
      <c r="CO41" s="39">
        <v>476.54</v>
      </c>
      <c r="CP41" s="40">
        <v>446.37699303945146</v>
      </c>
      <c r="CQ41" s="52">
        <v>-30.163006960548557</v>
      </c>
      <c r="CR41" s="72">
        <v>7867.4224250269317</v>
      </c>
      <c r="CS41" s="5">
        <v>8107.8017388207027</v>
      </c>
      <c r="CT41" s="52">
        <v>240.37931379377096</v>
      </c>
      <c r="CU41" s="77">
        <v>9440.9069100323177</v>
      </c>
      <c r="CV41" s="65">
        <v>9729.3620865848425</v>
      </c>
      <c r="CW41" s="35">
        <v>288.45517655252479</v>
      </c>
      <c r="CX41" s="73">
        <v>527.11444478864803</v>
      </c>
      <c r="CY41" s="40">
        <v>238.65926823612244</v>
      </c>
      <c r="CZ41" s="52">
        <v>-288.45517655252559</v>
      </c>
      <c r="DA41" s="150">
        <v>-15687.826138289864</v>
      </c>
      <c r="DB41" s="2">
        <v>2</v>
      </c>
      <c r="DC41" s="648">
        <v>14211.44</v>
      </c>
      <c r="DD41" s="648">
        <v>5749.61</v>
      </c>
      <c r="DE41" s="649">
        <v>9993.0286451790344</v>
      </c>
      <c r="DG41" s="321">
        <v>28347.360366821929</v>
      </c>
      <c r="DH41" s="5">
        <v>119616.25625785158</v>
      </c>
      <c r="DI41" s="306">
        <v>4.8566097893713538</v>
      </c>
      <c r="DJ41" s="306"/>
      <c r="DK41" s="306">
        <v>4.3039209618561678</v>
      </c>
      <c r="DL41" s="28">
        <v>3990.6762639264416</v>
      </c>
      <c r="DM41" s="28">
        <v>442.44307487881406</v>
      </c>
      <c r="DN41" s="650">
        <v>3990.69</v>
      </c>
      <c r="DO41" s="94">
        <v>-1.373607355844797E-2</v>
      </c>
      <c r="DP41" s="28">
        <v>4433.1193388052561</v>
      </c>
      <c r="DQ41" s="318">
        <v>-523.35678896171066</v>
      </c>
      <c r="DS41" s="8">
        <v>4720.4534550161588</v>
      </c>
      <c r="DT41" s="5">
        <v>236.02267275080794</v>
      </c>
      <c r="DW41" s="5">
        <v>2974.6892545259057</v>
      </c>
      <c r="DX41" s="5">
        <v>0</v>
      </c>
    </row>
    <row r="42" spans="1:128" x14ac:dyDescent="0.3">
      <c r="A42" s="325">
        <v>150000977</v>
      </c>
      <c r="B42" s="41" t="s">
        <v>491</v>
      </c>
      <c r="C42" s="42" t="s">
        <v>151</v>
      </c>
      <c r="D42" s="42" t="s">
        <v>151</v>
      </c>
      <c r="E42" s="293">
        <v>909.2</v>
      </c>
      <c r="F42" s="305">
        <v>654.20000000000005</v>
      </c>
      <c r="G42" s="51"/>
      <c r="H42" s="651">
        <v>255</v>
      </c>
      <c r="I42" s="73">
        <v>599.90747631238673</v>
      </c>
      <c r="J42" s="40">
        <v>659.92325382158219</v>
      </c>
      <c r="K42" s="52">
        <v>60.015777509195459</v>
      </c>
      <c r="L42" s="73">
        <v>128.79122260092333</v>
      </c>
      <c r="M42" s="40">
        <v>145.09863531181423</v>
      </c>
      <c r="N42" s="52">
        <v>16.307412710890901</v>
      </c>
      <c r="O42" s="73">
        <v>158.87722946946667</v>
      </c>
      <c r="P42" s="40">
        <v>158.88</v>
      </c>
      <c r="Q42" s="52">
        <v>2.7705305333256547E-3</v>
      </c>
      <c r="R42" s="73">
        <v>0</v>
      </c>
      <c r="S42" s="40">
        <v>0</v>
      </c>
      <c r="T42" s="52">
        <v>0</v>
      </c>
      <c r="U42" s="73">
        <v>0</v>
      </c>
      <c r="V42" s="40">
        <v>0</v>
      </c>
      <c r="W42" s="52">
        <v>0</v>
      </c>
      <c r="X42" s="73">
        <v>188.04518382324954</v>
      </c>
      <c r="Y42" s="40">
        <v>186.19012314411867</v>
      </c>
      <c r="Z42" s="52">
        <v>-1.8550606791308724</v>
      </c>
      <c r="AA42" s="73">
        <v>72.424000000000007</v>
      </c>
      <c r="AB42" s="40">
        <v>0</v>
      </c>
      <c r="AC42" s="52">
        <v>-72.424000000000007</v>
      </c>
      <c r="AD42" s="73">
        <v>642.23566067263357</v>
      </c>
      <c r="AE42" s="40">
        <v>819.46663627134433</v>
      </c>
      <c r="AF42" s="35">
        <v>177.23097559871076</v>
      </c>
      <c r="AG42" s="77">
        <v>1790.2807728786597</v>
      </c>
      <c r="AH42" s="53">
        <v>1969.5586485488593</v>
      </c>
      <c r="AI42" s="52">
        <v>179.27787567019959</v>
      </c>
      <c r="AJ42" s="73">
        <v>0</v>
      </c>
      <c r="AK42" s="40">
        <v>0</v>
      </c>
      <c r="AL42" s="52">
        <v>0</v>
      </c>
      <c r="AM42" s="73">
        <v>0</v>
      </c>
      <c r="AN42" s="40">
        <v>0</v>
      </c>
      <c r="AO42" s="52">
        <v>0</v>
      </c>
      <c r="AP42" s="73">
        <v>245.83487499999998</v>
      </c>
      <c r="AQ42" s="40">
        <v>0</v>
      </c>
      <c r="AR42" s="52">
        <v>-245.83487499999998</v>
      </c>
      <c r="AS42" s="73">
        <v>1455.4421566771543</v>
      </c>
      <c r="AT42" s="40">
        <v>0</v>
      </c>
      <c r="AU42" s="54">
        <v>-1455.4421566771543</v>
      </c>
      <c r="AV42" s="73">
        <v>315.33531070656738</v>
      </c>
      <c r="AW42" s="40">
        <v>0</v>
      </c>
      <c r="AX42" s="55">
        <v>-315.33531070656738</v>
      </c>
      <c r="AY42" s="73">
        <v>356.4726779863762</v>
      </c>
      <c r="AZ42" s="40">
        <v>0</v>
      </c>
      <c r="BA42" s="35">
        <v>-356.4726779863762</v>
      </c>
      <c r="BB42" s="73">
        <v>56.497233974383192</v>
      </c>
      <c r="BC42" s="40">
        <v>0</v>
      </c>
      <c r="BD42" s="55">
        <v>-56.497233974383192</v>
      </c>
      <c r="BE42" s="73">
        <v>0</v>
      </c>
      <c r="BF42" s="40">
        <v>0</v>
      </c>
      <c r="BG42" s="38">
        <v>0</v>
      </c>
      <c r="BH42" s="73">
        <v>0</v>
      </c>
      <c r="BI42" s="40">
        <v>0</v>
      </c>
      <c r="BJ42" s="55">
        <v>0</v>
      </c>
      <c r="BK42" s="73">
        <v>21.127497118280942</v>
      </c>
      <c r="BL42" s="40">
        <v>0</v>
      </c>
      <c r="BM42" s="38">
        <v>-21.127497118280942</v>
      </c>
      <c r="BN42" s="73">
        <v>18.106000000000002</v>
      </c>
      <c r="BO42" s="40">
        <v>0</v>
      </c>
      <c r="BP42" s="55">
        <v>-18.106000000000002</v>
      </c>
      <c r="BQ42" s="77">
        <v>767.53871978560778</v>
      </c>
      <c r="BR42" s="40">
        <v>0</v>
      </c>
      <c r="BS42" s="55">
        <v>-767.53871978560778</v>
      </c>
      <c r="BT42" s="73">
        <v>1332.7854801280339</v>
      </c>
      <c r="BU42" s="40">
        <v>383.03045940153703</v>
      </c>
      <c r="BV42" s="52">
        <v>-949.75502072649692</v>
      </c>
      <c r="BW42" s="73">
        <v>670.66901779181205</v>
      </c>
      <c r="BX42" s="40">
        <v>2965.2383709411388</v>
      </c>
      <c r="BY42" s="52">
        <v>2294.5693531493266</v>
      </c>
      <c r="BZ42" s="73">
        <v>811.75675126568206</v>
      </c>
      <c r="CA42" s="40">
        <v>2259.0753381197037</v>
      </c>
      <c r="CB42" s="52">
        <v>1447.3185868540218</v>
      </c>
      <c r="CC42" s="73">
        <v>0</v>
      </c>
      <c r="CD42" s="40">
        <v>0</v>
      </c>
      <c r="CE42" s="52">
        <v>0</v>
      </c>
      <c r="CF42" s="73">
        <v>0</v>
      </c>
      <c r="CG42" s="40">
        <v>0</v>
      </c>
      <c r="CH42" s="52">
        <v>0</v>
      </c>
      <c r="CI42" s="73">
        <v>183.76</v>
      </c>
      <c r="CJ42" s="40">
        <v>995.31690031177914</v>
      </c>
      <c r="CK42" s="52">
        <v>811.55690031177915</v>
      </c>
      <c r="CL42" s="73">
        <v>0</v>
      </c>
      <c r="CM42" s="40">
        <v>0</v>
      </c>
      <c r="CN42" s="52">
        <v>0</v>
      </c>
      <c r="CO42" s="39">
        <v>183.76</v>
      </c>
      <c r="CP42" s="40">
        <v>995.31690031177914</v>
      </c>
      <c r="CQ42" s="52">
        <v>811.55690031177915</v>
      </c>
      <c r="CR42" s="72">
        <v>7258.0677735269501</v>
      </c>
      <c r="CS42" s="5">
        <v>8572.2197173230179</v>
      </c>
      <c r="CT42" s="52">
        <v>1314.1519437960678</v>
      </c>
      <c r="CU42" s="77">
        <v>8709.6813282323401</v>
      </c>
      <c r="CV42" s="65">
        <v>10286.663660787621</v>
      </c>
      <c r="CW42" s="35">
        <v>1576.9823325552807</v>
      </c>
      <c r="CX42" s="73">
        <v>486.28790447437308</v>
      </c>
      <c r="CY42" s="40">
        <v>-1090.6944280809075</v>
      </c>
      <c r="CZ42" s="52">
        <v>-1576.9823325552807</v>
      </c>
      <c r="DA42" s="150">
        <v>19029.657778521734</v>
      </c>
      <c r="DB42" s="2">
        <v>2</v>
      </c>
      <c r="DC42" s="648">
        <v>3233.45</v>
      </c>
      <c r="DD42" s="648">
        <v>9493.86</v>
      </c>
      <c r="DE42" s="649">
        <v>3531.3407672932881</v>
      </c>
      <c r="DG42" s="321">
        <v>-11404.467976235966</v>
      </c>
      <c r="DH42" s="5">
        <v>110351.63079248056</v>
      </c>
      <c r="DI42" s="306">
        <v>5.230043182503838</v>
      </c>
      <c r="DJ42" s="306"/>
      <c r="DK42" s="306">
        <v>4.5841833824291793</v>
      </c>
      <c r="DL42" s="28">
        <v>3421.4942499940112</v>
      </c>
      <c r="DM42" s="28">
        <v>1168.9667625194406</v>
      </c>
      <c r="DN42" s="650">
        <v>3421.47</v>
      </c>
      <c r="DO42" s="94">
        <v>2.4249994011370291E-2</v>
      </c>
      <c r="DP42" s="28">
        <v>4590.4610125134514</v>
      </c>
      <c r="DQ42" s="318">
        <v>17.878315191473121</v>
      </c>
      <c r="DS42" s="8">
        <v>4354.84066411617</v>
      </c>
      <c r="DT42" s="5">
        <v>217.7420332058085</v>
      </c>
      <c r="DW42" s="5">
        <v>2667.5770517553146</v>
      </c>
      <c r="DX42" s="5">
        <v>0</v>
      </c>
    </row>
    <row r="43" spans="1:128" x14ac:dyDescent="0.3">
      <c r="A43" s="325">
        <v>150000978</v>
      </c>
      <c r="B43" s="41" t="s">
        <v>492</v>
      </c>
      <c r="C43" s="42" t="s">
        <v>244</v>
      </c>
      <c r="D43" s="42" t="s">
        <v>244</v>
      </c>
      <c r="E43" s="293">
        <v>1867.1</v>
      </c>
      <c r="F43" s="305">
        <v>1730</v>
      </c>
      <c r="G43" s="51"/>
      <c r="H43" s="651">
        <v>137.1</v>
      </c>
      <c r="I43" s="73">
        <v>878.37737692645965</v>
      </c>
      <c r="J43" s="40">
        <v>974.2921776101864</v>
      </c>
      <c r="K43" s="52">
        <v>95.914800683726753</v>
      </c>
      <c r="L43" s="73">
        <v>162.83564543051006</v>
      </c>
      <c r="M43" s="40">
        <v>183.45412830936863</v>
      </c>
      <c r="N43" s="52">
        <v>20.618482878858572</v>
      </c>
      <c r="O43" s="73">
        <v>379.6245483802</v>
      </c>
      <c r="P43" s="40">
        <v>379.62</v>
      </c>
      <c r="Q43" s="52">
        <v>-4.5483801999921525E-3</v>
      </c>
      <c r="R43" s="73">
        <v>0</v>
      </c>
      <c r="S43" s="40">
        <v>0</v>
      </c>
      <c r="T43" s="52">
        <v>0</v>
      </c>
      <c r="U43" s="73">
        <v>0</v>
      </c>
      <c r="V43" s="40">
        <v>0</v>
      </c>
      <c r="W43" s="52">
        <v>0</v>
      </c>
      <c r="X43" s="73">
        <v>365.40756747865362</v>
      </c>
      <c r="Y43" s="40">
        <v>362.82413411823745</v>
      </c>
      <c r="Z43" s="52">
        <v>-2.5834333604161657</v>
      </c>
      <c r="AA43" s="73">
        <v>149.36799999999999</v>
      </c>
      <c r="AB43" s="40">
        <v>0</v>
      </c>
      <c r="AC43" s="52">
        <v>-149.36799999999999</v>
      </c>
      <c r="AD43" s="73">
        <v>1339.6600233178547</v>
      </c>
      <c r="AE43" s="40">
        <v>1682.8268330204871</v>
      </c>
      <c r="AF43" s="35">
        <v>343.16680970263246</v>
      </c>
      <c r="AG43" s="77">
        <v>3275.2731615336779</v>
      </c>
      <c r="AH43" s="53">
        <v>3583.0172730582799</v>
      </c>
      <c r="AI43" s="52">
        <v>307.74411152460198</v>
      </c>
      <c r="AJ43" s="73">
        <v>0</v>
      </c>
      <c r="AK43" s="40">
        <v>0</v>
      </c>
      <c r="AL43" s="52">
        <v>0</v>
      </c>
      <c r="AM43" s="73">
        <v>0</v>
      </c>
      <c r="AN43" s="40">
        <v>0</v>
      </c>
      <c r="AO43" s="52">
        <v>0</v>
      </c>
      <c r="AP43" s="73">
        <v>699.68387499999994</v>
      </c>
      <c r="AQ43" s="40">
        <v>0</v>
      </c>
      <c r="AR43" s="52">
        <v>-699.68387499999994</v>
      </c>
      <c r="AS43" s="73">
        <v>1624.1044353439831</v>
      </c>
      <c r="AT43" s="40">
        <v>428</v>
      </c>
      <c r="AU43" s="54">
        <v>-1196.1044353439831</v>
      </c>
      <c r="AV43" s="73">
        <v>394.8233274816252</v>
      </c>
      <c r="AW43" s="40">
        <v>0</v>
      </c>
      <c r="AX43" s="55">
        <v>-394.8233274816252</v>
      </c>
      <c r="AY43" s="73">
        <v>450.66587220637302</v>
      </c>
      <c r="AZ43" s="40">
        <v>0</v>
      </c>
      <c r="BA43" s="35">
        <v>-450.66587220637302</v>
      </c>
      <c r="BB43" s="73">
        <v>127.1879517639</v>
      </c>
      <c r="BC43" s="40">
        <v>0</v>
      </c>
      <c r="BD43" s="55">
        <v>-127.1879517639</v>
      </c>
      <c r="BE43" s="73">
        <v>0</v>
      </c>
      <c r="BF43" s="40">
        <v>0</v>
      </c>
      <c r="BG43" s="38">
        <v>0</v>
      </c>
      <c r="BH43" s="73">
        <v>0</v>
      </c>
      <c r="BI43" s="40">
        <v>0</v>
      </c>
      <c r="BJ43" s="55">
        <v>0</v>
      </c>
      <c r="BK43" s="73">
        <v>167.7354526796081</v>
      </c>
      <c r="BL43" s="40">
        <v>0</v>
      </c>
      <c r="BM43" s="38">
        <v>-167.7354526796081</v>
      </c>
      <c r="BN43" s="73">
        <v>37.341999999999999</v>
      </c>
      <c r="BO43" s="40">
        <v>0</v>
      </c>
      <c r="BP43" s="55">
        <v>-37.341999999999999</v>
      </c>
      <c r="BQ43" s="77">
        <v>1177.7546041315063</v>
      </c>
      <c r="BR43" s="40">
        <v>0</v>
      </c>
      <c r="BS43" s="55">
        <v>-1177.7546041315063</v>
      </c>
      <c r="BT43" s="73">
        <v>2054.31771964886</v>
      </c>
      <c r="BU43" s="40">
        <v>604.86612464456391</v>
      </c>
      <c r="BV43" s="52">
        <v>-1449.451595004296</v>
      </c>
      <c r="BW43" s="73">
        <v>879.71053313419202</v>
      </c>
      <c r="BX43" s="40">
        <v>940.14646521959912</v>
      </c>
      <c r="BY43" s="52">
        <v>60.435932085407103</v>
      </c>
      <c r="BZ43" s="73">
        <v>1358.363208679664</v>
      </c>
      <c r="CA43" s="40">
        <v>3569.9979393595222</v>
      </c>
      <c r="CB43" s="52">
        <v>2211.634730679858</v>
      </c>
      <c r="CC43" s="73">
        <v>0</v>
      </c>
      <c r="CD43" s="40">
        <v>0</v>
      </c>
      <c r="CE43" s="52">
        <v>0</v>
      </c>
      <c r="CF43" s="73">
        <v>0</v>
      </c>
      <c r="CG43" s="40">
        <v>0</v>
      </c>
      <c r="CH43" s="52">
        <v>0</v>
      </c>
      <c r="CI43" s="73">
        <v>327.04000000000002</v>
      </c>
      <c r="CJ43" s="40">
        <v>320.53583439182302</v>
      </c>
      <c r="CK43" s="52">
        <v>-6.5041656081770043</v>
      </c>
      <c r="CL43" s="73">
        <v>0</v>
      </c>
      <c r="CM43" s="40">
        <v>0</v>
      </c>
      <c r="CN43" s="52">
        <v>0</v>
      </c>
      <c r="CO43" s="39">
        <v>327.04000000000002</v>
      </c>
      <c r="CP43" s="40">
        <v>320.53583439182302</v>
      </c>
      <c r="CQ43" s="52">
        <v>-6.5041656081770043</v>
      </c>
      <c r="CR43" s="72">
        <v>11396.247537471883</v>
      </c>
      <c r="CS43" s="5">
        <v>9446.563636673789</v>
      </c>
      <c r="CT43" s="52">
        <v>-1949.6839007980943</v>
      </c>
      <c r="CU43" s="77">
        <v>13675.49704496626</v>
      </c>
      <c r="CV43" s="65">
        <v>11335.876364008547</v>
      </c>
      <c r="CW43" s="35">
        <v>-2339.6206809577125</v>
      </c>
      <c r="CX43" s="73">
        <v>763.54444554538145</v>
      </c>
      <c r="CY43" s="40">
        <v>3103.1651265030941</v>
      </c>
      <c r="CZ43" s="52">
        <v>2339.6206809577125</v>
      </c>
      <c r="DA43" s="150">
        <v>5568.1433345280193</v>
      </c>
      <c r="DB43" s="2">
        <v>2</v>
      </c>
      <c r="DC43" s="648">
        <v>20094.39</v>
      </c>
      <c r="DD43" s="648">
        <v>499.28</v>
      </c>
      <c r="DE43" s="649">
        <v>6154.6285094883569</v>
      </c>
      <c r="DG43" s="321">
        <v>6090.5345122223725</v>
      </c>
      <c r="DH43" s="5">
        <v>173268.4978861397</v>
      </c>
      <c r="DI43" s="306">
        <v>3.8688644932557481</v>
      </c>
      <c r="DJ43" s="306"/>
      <c r="DK43" s="306">
        <v>3.5485074782993662</v>
      </c>
      <c r="DL43" s="28">
        <v>6693.1355733324444</v>
      </c>
      <c r="DM43" s="28">
        <v>486.50037527484307</v>
      </c>
      <c r="DN43" s="650">
        <v>6693.2</v>
      </c>
      <c r="DO43" s="94">
        <v>-6.4426667555380845E-2</v>
      </c>
      <c r="DP43" s="28">
        <v>7179.6359486072879</v>
      </c>
      <c r="DQ43" s="318">
        <v>0</v>
      </c>
      <c r="DS43" s="8">
        <v>6837.7485224831298</v>
      </c>
      <c r="DT43" s="5">
        <v>341.88742612415649</v>
      </c>
      <c r="DW43" s="5">
        <v>3362.2308473705871</v>
      </c>
      <c r="DX43" s="5">
        <v>513.6</v>
      </c>
    </row>
    <row r="44" spans="1:128" x14ac:dyDescent="0.3">
      <c r="A44" s="325">
        <v>150000966</v>
      </c>
      <c r="B44" s="41" t="s">
        <v>493</v>
      </c>
      <c r="C44" s="42" t="s">
        <v>205</v>
      </c>
      <c r="D44" s="42" t="s">
        <v>205</v>
      </c>
      <c r="E44" s="293">
        <v>1172.81</v>
      </c>
      <c r="F44" s="305">
        <v>934</v>
      </c>
      <c r="G44" s="51"/>
      <c r="H44" s="651">
        <v>238.81</v>
      </c>
      <c r="I44" s="73">
        <v>619.27981186682246</v>
      </c>
      <c r="J44" s="40">
        <v>684.90078605798442</v>
      </c>
      <c r="K44" s="52">
        <v>65.620974191161963</v>
      </c>
      <c r="L44" s="73">
        <v>139.98072202218347</v>
      </c>
      <c r="M44" s="40">
        <v>157.70532653816778</v>
      </c>
      <c r="N44" s="52">
        <v>17.724604515984311</v>
      </c>
      <c r="O44" s="73">
        <v>211.69845889250334</v>
      </c>
      <c r="P44" s="40">
        <v>211.7</v>
      </c>
      <c r="Q44" s="52">
        <v>1.5411074966493743E-3</v>
      </c>
      <c r="R44" s="73">
        <v>0</v>
      </c>
      <c r="S44" s="40">
        <v>0</v>
      </c>
      <c r="T44" s="52">
        <v>0</v>
      </c>
      <c r="U44" s="73">
        <v>0</v>
      </c>
      <c r="V44" s="40">
        <v>0</v>
      </c>
      <c r="W44" s="52">
        <v>0</v>
      </c>
      <c r="X44" s="73">
        <v>335.21841037242416</v>
      </c>
      <c r="Y44" s="40">
        <v>329.67353106994369</v>
      </c>
      <c r="Z44" s="52">
        <v>-5.5448793024804672</v>
      </c>
      <c r="AA44" s="73">
        <v>94.208799999999997</v>
      </c>
      <c r="AB44" s="40">
        <v>0</v>
      </c>
      <c r="AC44" s="52">
        <v>-94.208799999999997</v>
      </c>
      <c r="AD44" s="73">
        <v>839.757670591242</v>
      </c>
      <c r="AE44" s="40">
        <v>1057.0596850917238</v>
      </c>
      <c r="AF44" s="35">
        <v>217.30201450048185</v>
      </c>
      <c r="AG44" s="77">
        <v>2240.1438737451754</v>
      </c>
      <c r="AH44" s="53">
        <v>2441.0393287578199</v>
      </c>
      <c r="AI44" s="52">
        <v>200.89545501264456</v>
      </c>
      <c r="AJ44" s="73">
        <v>0</v>
      </c>
      <c r="AK44" s="40">
        <v>0</v>
      </c>
      <c r="AL44" s="52">
        <v>0</v>
      </c>
      <c r="AM44" s="73">
        <v>0</v>
      </c>
      <c r="AN44" s="40">
        <v>0</v>
      </c>
      <c r="AO44" s="52">
        <v>0</v>
      </c>
      <c r="AP44" s="73">
        <v>340.38674999999995</v>
      </c>
      <c r="AQ44" s="40">
        <v>0</v>
      </c>
      <c r="AR44" s="52">
        <v>-340.38674999999995</v>
      </c>
      <c r="AS44" s="73">
        <v>1058.8915716327688</v>
      </c>
      <c r="AT44" s="40">
        <v>0</v>
      </c>
      <c r="AU44" s="54">
        <v>-1058.8915716327688</v>
      </c>
      <c r="AV44" s="73">
        <v>313.36439044652099</v>
      </c>
      <c r="AW44" s="40">
        <v>0</v>
      </c>
      <c r="AX44" s="55">
        <v>-313.36439044652099</v>
      </c>
      <c r="AY44" s="73">
        <v>387.40304070202575</v>
      </c>
      <c r="AZ44" s="40">
        <v>0</v>
      </c>
      <c r="BA44" s="35">
        <v>-387.40304070202575</v>
      </c>
      <c r="BB44" s="73">
        <v>79.30795812833</v>
      </c>
      <c r="BC44" s="40">
        <v>0</v>
      </c>
      <c r="BD44" s="55">
        <v>-79.30795812833</v>
      </c>
      <c r="BE44" s="73">
        <v>0</v>
      </c>
      <c r="BF44" s="40">
        <v>0</v>
      </c>
      <c r="BG44" s="38">
        <v>0</v>
      </c>
      <c r="BH44" s="73">
        <v>0</v>
      </c>
      <c r="BI44" s="40">
        <v>0</v>
      </c>
      <c r="BJ44" s="55">
        <v>0</v>
      </c>
      <c r="BK44" s="73">
        <v>153.37633166836378</v>
      </c>
      <c r="BL44" s="40">
        <v>0</v>
      </c>
      <c r="BM44" s="38">
        <v>-153.37633166836378</v>
      </c>
      <c r="BN44" s="73">
        <v>23.552199999999999</v>
      </c>
      <c r="BO44" s="40">
        <v>0</v>
      </c>
      <c r="BP44" s="55">
        <v>-23.552199999999999</v>
      </c>
      <c r="BQ44" s="77">
        <v>957.00392094524057</v>
      </c>
      <c r="BR44" s="40">
        <v>0</v>
      </c>
      <c r="BS44" s="55">
        <v>-957.00392094524057</v>
      </c>
      <c r="BT44" s="73">
        <v>2739.6764828545001</v>
      </c>
      <c r="BU44" s="40">
        <v>657.8878899958687</v>
      </c>
      <c r="BV44" s="52">
        <v>-2081.7885928586315</v>
      </c>
      <c r="BW44" s="73">
        <v>830.849157231292</v>
      </c>
      <c r="BX44" s="40">
        <v>1793.2100451604463</v>
      </c>
      <c r="BY44" s="52">
        <v>962.36088792915427</v>
      </c>
      <c r="BZ44" s="73">
        <v>755.72559486131604</v>
      </c>
      <c r="CA44" s="40">
        <v>3849.379533624181</v>
      </c>
      <c r="CB44" s="52">
        <v>3093.653938762865</v>
      </c>
      <c r="CC44" s="73">
        <v>37.434978350000002</v>
      </c>
      <c r="CD44" s="40">
        <v>47.234162038797393</v>
      </c>
      <c r="CE44" s="52">
        <v>9.7991836887973918</v>
      </c>
      <c r="CF44" s="73">
        <v>4.4477202</v>
      </c>
      <c r="CG44" s="40">
        <v>0</v>
      </c>
      <c r="CH44" s="52">
        <v>-4.4477202</v>
      </c>
      <c r="CI44" s="73">
        <v>526.38</v>
      </c>
      <c r="CJ44" s="40">
        <v>602.71394527295024</v>
      </c>
      <c r="CK44" s="52">
        <v>76.333945272950245</v>
      </c>
      <c r="CL44" s="73">
        <v>0</v>
      </c>
      <c r="CM44" s="40">
        <v>0</v>
      </c>
      <c r="CN44" s="52">
        <v>0</v>
      </c>
      <c r="CO44" s="39">
        <v>526.38</v>
      </c>
      <c r="CP44" s="40">
        <v>602.71394527295024</v>
      </c>
      <c r="CQ44" s="52">
        <v>76.333945272950245</v>
      </c>
      <c r="CR44" s="72">
        <v>9490.9400498202922</v>
      </c>
      <c r="CS44" s="5">
        <v>9391.4649048500632</v>
      </c>
      <c r="CT44" s="52">
        <v>-99.475144970228939</v>
      </c>
      <c r="CU44" s="77">
        <v>11389.128059784351</v>
      </c>
      <c r="CV44" s="65">
        <v>11269.757885820076</v>
      </c>
      <c r="CW44" s="35">
        <v>-119.37017396427473</v>
      </c>
      <c r="CX44" s="73">
        <v>635.8895359386072</v>
      </c>
      <c r="CY44" s="40">
        <v>755.25970990288261</v>
      </c>
      <c r="CZ44" s="52">
        <v>119.37017396427541</v>
      </c>
      <c r="DA44" s="150">
        <v>26875.403375342317</v>
      </c>
      <c r="DB44" s="2">
        <v>2</v>
      </c>
      <c r="DC44" s="648">
        <v>36342.410000000003</v>
      </c>
      <c r="DD44" s="648">
        <v>3444.5699999999997</v>
      </c>
      <c r="DE44" s="649">
        <v>27761.962404277045</v>
      </c>
      <c r="DG44" s="321">
        <v>22228.251574694288</v>
      </c>
      <c r="DH44" s="5">
        <v>144300.2111486755</v>
      </c>
      <c r="DI44" s="306">
        <v>5.1777256918381083</v>
      </c>
      <c r="DJ44" s="306"/>
      <c r="DK44" s="306">
        <v>4.6329916205968615</v>
      </c>
      <c r="DL44" s="28">
        <v>4835.9957961767932</v>
      </c>
      <c r="DM44" s="28">
        <v>1106.4047289147366</v>
      </c>
      <c r="DN44" s="650">
        <v>4835.9799999999996</v>
      </c>
      <c r="DO44" s="94">
        <v>1.5796176793628547E-2</v>
      </c>
      <c r="DP44" s="28">
        <v>5942.4005250915297</v>
      </c>
      <c r="DQ44" s="318">
        <v>-36.891706295254153</v>
      </c>
      <c r="DS44" s="8">
        <v>5694.5640298921753</v>
      </c>
      <c r="DT44" s="5">
        <v>284.72820149460875</v>
      </c>
      <c r="DW44" s="5">
        <v>2419.0745910936112</v>
      </c>
      <c r="DX44" s="5">
        <v>0</v>
      </c>
    </row>
    <row r="45" spans="1:128" x14ac:dyDescent="0.3">
      <c r="A45" s="325">
        <v>150000967</v>
      </c>
      <c r="B45" s="41" t="s">
        <v>494</v>
      </c>
      <c r="C45" s="42" t="s">
        <v>206</v>
      </c>
      <c r="D45" s="42" t="s">
        <v>206</v>
      </c>
      <c r="E45" s="293">
        <v>1449</v>
      </c>
      <c r="F45" s="305">
        <v>1265.3</v>
      </c>
      <c r="G45" s="51"/>
      <c r="H45" s="651">
        <v>183.7</v>
      </c>
      <c r="I45" s="73">
        <v>742.55223724299185</v>
      </c>
      <c r="J45" s="40">
        <v>822.25566731439403</v>
      </c>
      <c r="K45" s="52">
        <v>79.703430071402181</v>
      </c>
      <c r="L45" s="73">
        <v>144.56020663298884</v>
      </c>
      <c r="M45" s="40">
        <v>162.86482178910785</v>
      </c>
      <c r="N45" s="52">
        <v>18.304615156119013</v>
      </c>
      <c r="O45" s="73">
        <v>273.33557856969668</v>
      </c>
      <c r="P45" s="40">
        <v>273.33999999999997</v>
      </c>
      <c r="Q45" s="52">
        <v>4.4214303032958924E-3</v>
      </c>
      <c r="R45" s="73">
        <v>0</v>
      </c>
      <c r="S45" s="40">
        <v>0</v>
      </c>
      <c r="T45" s="52">
        <v>0</v>
      </c>
      <c r="U45" s="73">
        <v>0</v>
      </c>
      <c r="V45" s="40">
        <v>0</v>
      </c>
      <c r="W45" s="52">
        <v>0</v>
      </c>
      <c r="X45" s="73">
        <v>335.91637551634778</v>
      </c>
      <c r="Y45" s="40">
        <v>338.58504217555685</v>
      </c>
      <c r="Z45" s="52">
        <v>2.668666659209066</v>
      </c>
      <c r="AA45" s="73">
        <v>119.536</v>
      </c>
      <c r="AB45" s="40">
        <v>0</v>
      </c>
      <c r="AC45" s="52">
        <v>-119.536</v>
      </c>
      <c r="AD45" s="73">
        <v>1067.4248080706136</v>
      </c>
      <c r="AE45" s="40">
        <v>1305.991152614582</v>
      </c>
      <c r="AF45" s="35">
        <v>238.5663445439684</v>
      </c>
      <c r="AG45" s="77">
        <v>2683.3252060326386</v>
      </c>
      <c r="AH45" s="53">
        <v>2903.0366838936407</v>
      </c>
      <c r="AI45" s="52">
        <v>219.71147786100209</v>
      </c>
      <c r="AJ45" s="73">
        <v>0</v>
      </c>
      <c r="AK45" s="40">
        <v>0</v>
      </c>
      <c r="AL45" s="52">
        <v>0</v>
      </c>
      <c r="AM45" s="73">
        <v>0</v>
      </c>
      <c r="AN45" s="40">
        <v>0</v>
      </c>
      <c r="AO45" s="52">
        <v>0</v>
      </c>
      <c r="AP45" s="73">
        <v>510.58012499999995</v>
      </c>
      <c r="AQ45" s="40">
        <v>0</v>
      </c>
      <c r="AR45" s="52">
        <v>-510.58012499999995</v>
      </c>
      <c r="AS45" s="73">
        <v>1668.9523014239994</v>
      </c>
      <c r="AT45" s="40">
        <v>0</v>
      </c>
      <c r="AU45" s="54">
        <v>-1668.9523014239994</v>
      </c>
      <c r="AV45" s="73">
        <v>341.90445412518199</v>
      </c>
      <c r="AW45" s="40">
        <v>0</v>
      </c>
      <c r="AX45" s="55">
        <v>-341.90445412518199</v>
      </c>
      <c r="AY45" s="73">
        <v>400.06407055018002</v>
      </c>
      <c r="AZ45" s="40">
        <v>0</v>
      </c>
      <c r="BA45" s="35">
        <v>-400.06407055018002</v>
      </c>
      <c r="BB45" s="73">
        <v>107.8812825418418</v>
      </c>
      <c r="BC45" s="40">
        <v>0</v>
      </c>
      <c r="BD45" s="55">
        <v>-107.8812825418418</v>
      </c>
      <c r="BE45" s="73">
        <v>0</v>
      </c>
      <c r="BF45" s="40">
        <v>0</v>
      </c>
      <c r="BG45" s="38">
        <v>0</v>
      </c>
      <c r="BH45" s="73">
        <v>0</v>
      </c>
      <c r="BI45" s="40">
        <v>0</v>
      </c>
      <c r="BJ45" s="55">
        <v>0</v>
      </c>
      <c r="BK45" s="73">
        <v>167.85195679912547</v>
      </c>
      <c r="BL45" s="40">
        <v>0</v>
      </c>
      <c r="BM45" s="38">
        <v>-167.85195679912547</v>
      </c>
      <c r="BN45" s="73">
        <v>29.884</v>
      </c>
      <c r="BO45" s="40">
        <v>0</v>
      </c>
      <c r="BP45" s="55">
        <v>-29.884</v>
      </c>
      <c r="BQ45" s="77">
        <v>1047.5857640163292</v>
      </c>
      <c r="BR45" s="40">
        <v>0</v>
      </c>
      <c r="BS45" s="55">
        <v>-1047.5857640163292</v>
      </c>
      <c r="BT45" s="73">
        <v>3103.5290781363601</v>
      </c>
      <c r="BU45" s="40">
        <v>762.94615677914544</v>
      </c>
      <c r="BV45" s="52">
        <v>-2340.5829213572147</v>
      </c>
      <c r="BW45" s="73">
        <v>932.83584588101996</v>
      </c>
      <c r="BX45" s="40">
        <v>2852.5021122449289</v>
      </c>
      <c r="BY45" s="52">
        <v>1919.666266363909</v>
      </c>
      <c r="BZ45" s="73">
        <v>1205.7989839612439</v>
      </c>
      <c r="CA45" s="40">
        <v>4520.2413989190991</v>
      </c>
      <c r="CB45" s="52">
        <v>3314.4424149578554</v>
      </c>
      <c r="CC45" s="73">
        <v>117.65278910000001</v>
      </c>
      <c r="CD45" s="40">
        <v>148.45022355050611</v>
      </c>
      <c r="CE45" s="52">
        <v>30.797434450506103</v>
      </c>
      <c r="CF45" s="73">
        <v>13.9785492</v>
      </c>
      <c r="CG45" s="40">
        <v>0</v>
      </c>
      <c r="CH45" s="52">
        <v>-13.9785492</v>
      </c>
      <c r="CI45" s="73">
        <v>529.5</v>
      </c>
      <c r="CJ45" s="40">
        <v>314.39420512497276</v>
      </c>
      <c r="CK45" s="52">
        <v>-215.10579487502724</v>
      </c>
      <c r="CL45" s="73">
        <v>0</v>
      </c>
      <c r="CM45" s="40">
        <v>0</v>
      </c>
      <c r="CN45" s="52">
        <v>0</v>
      </c>
      <c r="CO45" s="39">
        <v>529.5</v>
      </c>
      <c r="CP45" s="40">
        <v>314.39420512497276</v>
      </c>
      <c r="CQ45" s="52">
        <v>-215.10579487502724</v>
      </c>
      <c r="CR45" s="72">
        <v>11813.73864275159</v>
      </c>
      <c r="CS45" s="5">
        <v>11501.570780512293</v>
      </c>
      <c r="CT45" s="52">
        <v>-312.16786223929739</v>
      </c>
      <c r="CU45" s="77">
        <v>14176.486371301908</v>
      </c>
      <c r="CV45" s="65">
        <v>13801.884936614751</v>
      </c>
      <c r="CW45" s="35">
        <v>-374.60143468715614</v>
      </c>
      <c r="CX45" s="73">
        <v>791.51619795359898</v>
      </c>
      <c r="CY45" s="40">
        <v>1166.1176326407549</v>
      </c>
      <c r="CZ45" s="52">
        <v>374.60143468715592</v>
      </c>
      <c r="DA45" s="150">
        <v>62619.850301439212</v>
      </c>
      <c r="DB45" s="2">
        <v>2</v>
      </c>
      <c r="DC45" s="648">
        <v>7866.93</v>
      </c>
      <c r="DD45" s="648">
        <v>4867.0399999999991</v>
      </c>
      <c r="DE45" s="649">
        <v>-2234.032569255507</v>
      </c>
      <c r="DG45" s="321">
        <v>36374.876936041328</v>
      </c>
      <c r="DH45" s="5">
        <v>179616.03083106608</v>
      </c>
      <c r="DI45" s="306">
        <v>5.0515959929374024</v>
      </c>
      <c r="DJ45" s="306"/>
      <c r="DK45" s="306">
        <v>4.5877183523145888</v>
      </c>
      <c r="DL45" s="28">
        <v>6391.7844098636951</v>
      </c>
      <c r="DM45" s="28">
        <v>842.7638613201899</v>
      </c>
      <c r="DN45" s="650">
        <v>6391.77</v>
      </c>
      <c r="DO45" s="94">
        <v>1.4409863694709202E-2</v>
      </c>
      <c r="DP45" s="28">
        <v>7234.5482711838849</v>
      </c>
      <c r="DQ45" s="318">
        <v>-208.10707374961657</v>
      </c>
      <c r="DS45" s="8">
        <v>7088.2431856509538</v>
      </c>
      <c r="DT45" s="5">
        <v>354.41215928254775</v>
      </c>
      <c r="DW45" s="5">
        <v>3259.8456785283947</v>
      </c>
      <c r="DX45" s="5">
        <v>0</v>
      </c>
    </row>
    <row r="46" spans="1:128" x14ac:dyDescent="0.3">
      <c r="A46" s="325">
        <v>150000968</v>
      </c>
      <c r="B46" s="41" t="s">
        <v>495</v>
      </c>
      <c r="C46" s="42" t="s">
        <v>245</v>
      </c>
      <c r="D46" s="42" t="s">
        <v>245</v>
      </c>
      <c r="E46" s="293">
        <v>2117.4</v>
      </c>
      <c r="F46" s="305">
        <v>1759.4</v>
      </c>
      <c r="G46" s="51"/>
      <c r="H46" s="651">
        <v>358</v>
      </c>
      <c r="I46" s="73">
        <v>878.37719501718402</v>
      </c>
      <c r="J46" s="40">
        <v>975.45263429935221</v>
      </c>
      <c r="K46" s="52">
        <v>97.07543928216819</v>
      </c>
      <c r="L46" s="73">
        <v>162.83564543051006</v>
      </c>
      <c r="M46" s="40">
        <v>183.45412830936863</v>
      </c>
      <c r="N46" s="52">
        <v>20.618482878858572</v>
      </c>
      <c r="O46" s="73">
        <v>358.98915016871331</v>
      </c>
      <c r="P46" s="40">
        <v>358.98</v>
      </c>
      <c r="Q46" s="52">
        <v>-9.1501687132904408E-3</v>
      </c>
      <c r="R46" s="73">
        <v>0</v>
      </c>
      <c r="S46" s="40">
        <v>0</v>
      </c>
      <c r="T46" s="52">
        <v>0</v>
      </c>
      <c r="U46" s="73">
        <v>0</v>
      </c>
      <c r="V46" s="40">
        <v>0</v>
      </c>
      <c r="W46" s="52">
        <v>0</v>
      </c>
      <c r="X46" s="73">
        <v>403.49506238510997</v>
      </c>
      <c r="Y46" s="40">
        <v>414.68767727408976</v>
      </c>
      <c r="Z46" s="52">
        <v>11.19261488897979</v>
      </c>
      <c r="AA46" s="73">
        <v>183.83200000000002</v>
      </c>
      <c r="AB46" s="40">
        <v>0</v>
      </c>
      <c r="AC46" s="52">
        <v>-183.83200000000002</v>
      </c>
      <c r="AD46" s="73">
        <v>1634.0955549149282</v>
      </c>
      <c r="AE46" s="40">
        <v>1908.4235103837927</v>
      </c>
      <c r="AF46" s="35">
        <v>274.3279554688645</v>
      </c>
      <c r="AG46" s="77">
        <v>3621.6246079164457</v>
      </c>
      <c r="AH46" s="53">
        <v>3840.9979502666033</v>
      </c>
      <c r="AI46" s="52">
        <v>219.3733423501576</v>
      </c>
      <c r="AJ46" s="73">
        <v>0</v>
      </c>
      <c r="AK46" s="40">
        <v>0</v>
      </c>
      <c r="AL46" s="52">
        <v>0</v>
      </c>
      <c r="AM46" s="73">
        <v>0</v>
      </c>
      <c r="AN46" s="40">
        <v>0</v>
      </c>
      <c r="AO46" s="52">
        <v>0</v>
      </c>
      <c r="AP46" s="73">
        <v>699.68387499999994</v>
      </c>
      <c r="AQ46" s="40">
        <v>0</v>
      </c>
      <c r="AR46" s="52">
        <v>-699.68387499999994</v>
      </c>
      <c r="AS46" s="73">
        <v>1604.1016423152869</v>
      </c>
      <c r="AT46" s="40">
        <v>0</v>
      </c>
      <c r="AU46" s="54">
        <v>-1604.1016423152869</v>
      </c>
      <c r="AV46" s="73">
        <v>394.8233274816252</v>
      </c>
      <c r="AW46" s="40">
        <v>0</v>
      </c>
      <c r="AX46" s="55">
        <v>-394.8233274816252</v>
      </c>
      <c r="AY46" s="73">
        <v>450.66587220637302</v>
      </c>
      <c r="AZ46" s="40">
        <v>1292</v>
      </c>
      <c r="BA46" s="35">
        <v>841.33412779362698</v>
      </c>
      <c r="BB46" s="73">
        <v>138.89038272629341</v>
      </c>
      <c r="BC46" s="40">
        <v>0</v>
      </c>
      <c r="BD46" s="55">
        <v>-138.89038272629341</v>
      </c>
      <c r="BE46" s="73">
        <v>0</v>
      </c>
      <c r="BF46" s="40">
        <v>0</v>
      </c>
      <c r="BG46" s="38">
        <v>0</v>
      </c>
      <c r="BH46" s="73">
        <v>0</v>
      </c>
      <c r="BI46" s="40">
        <v>0</v>
      </c>
      <c r="BJ46" s="55">
        <v>0</v>
      </c>
      <c r="BK46" s="73">
        <v>190.52525858027127</v>
      </c>
      <c r="BL46" s="40">
        <v>0</v>
      </c>
      <c r="BM46" s="38">
        <v>-190.52525858027127</v>
      </c>
      <c r="BN46" s="73">
        <v>45.958000000000006</v>
      </c>
      <c r="BO46" s="40">
        <v>0</v>
      </c>
      <c r="BP46" s="55">
        <v>-45.958000000000006</v>
      </c>
      <c r="BQ46" s="77">
        <v>1220.8628409945632</v>
      </c>
      <c r="BR46" s="40">
        <v>1292</v>
      </c>
      <c r="BS46" s="55">
        <v>71.137159005436843</v>
      </c>
      <c r="BT46" s="73">
        <v>2436.7457764260598</v>
      </c>
      <c r="BU46" s="40">
        <v>684.63273096385626</v>
      </c>
      <c r="BV46" s="52">
        <v>-1752.1130454622034</v>
      </c>
      <c r="BW46" s="73">
        <v>1033.3442738454239</v>
      </c>
      <c r="BX46" s="40">
        <v>3083.3356348939856</v>
      </c>
      <c r="BY46" s="52">
        <v>2049.9913610485619</v>
      </c>
      <c r="BZ46" s="73">
        <v>1438.8008021958581</v>
      </c>
      <c r="CA46" s="40">
        <v>4057.5332290825777</v>
      </c>
      <c r="CB46" s="52">
        <v>2618.7324268867196</v>
      </c>
      <c r="CC46" s="73">
        <v>0</v>
      </c>
      <c r="CD46" s="40">
        <v>0</v>
      </c>
      <c r="CE46" s="52">
        <v>0</v>
      </c>
      <c r="CF46" s="73">
        <v>0</v>
      </c>
      <c r="CG46" s="40">
        <v>0</v>
      </c>
      <c r="CH46" s="52">
        <v>0</v>
      </c>
      <c r="CI46" s="73">
        <v>707.02</v>
      </c>
      <c r="CJ46" s="40">
        <v>598.04365137287004</v>
      </c>
      <c r="CK46" s="52">
        <v>-108.97634862712994</v>
      </c>
      <c r="CL46" s="73">
        <v>0</v>
      </c>
      <c r="CM46" s="40">
        <v>0</v>
      </c>
      <c r="CN46" s="52">
        <v>0</v>
      </c>
      <c r="CO46" s="39">
        <v>707.02</v>
      </c>
      <c r="CP46" s="40">
        <v>598.04365137287004</v>
      </c>
      <c r="CQ46" s="52">
        <v>-108.97634862712994</v>
      </c>
      <c r="CR46" s="72">
        <v>12762.183818693637</v>
      </c>
      <c r="CS46" s="5">
        <v>13556.543196579893</v>
      </c>
      <c r="CT46" s="52">
        <v>794.35937788625597</v>
      </c>
      <c r="CU46" s="77">
        <v>15314.620582432362</v>
      </c>
      <c r="CV46" s="65">
        <v>16267.85183589587</v>
      </c>
      <c r="CW46" s="35">
        <v>953.23125346350753</v>
      </c>
      <c r="CX46" s="73">
        <v>855.06168023745533</v>
      </c>
      <c r="CY46" s="40">
        <v>-98.169573226052307</v>
      </c>
      <c r="CZ46" s="52">
        <v>-953.23125346350764</v>
      </c>
      <c r="DA46" s="150">
        <v>55370.483295633006</v>
      </c>
      <c r="DB46" s="2">
        <v>2</v>
      </c>
      <c r="DC46" s="648">
        <v>7505.49</v>
      </c>
      <c r="DD46" s="648">
        <v>1020.64</v>
      </c>
      <c r="DE46" s="649">
        <v>-7643.5522626698184</v>
      </c>
      <c r="DG46" s="321">
        <v>33421.601431468618</v>
      </c>
      <c r="DH46" s="5">
        <v>194036.1871520378</v>
      </c>
      <c r="DI46" s="306">
        <v>3.585634557169</v>
      </c>
      <c r="DJ46" s="306"/>
      <c r="DK46" s="306">
        <v>3.2156181353646254</v>
      </c>
      <c r="DL46" s="28">
        <v>6308.5654398831393</v>
      </c>
      <c r="DM46" s="28">
        <v>1151.1912924605358</v>
      </c>
      <c r="DN46" s="650">
        <v>6308.52</v>
      </c>
      <c r="DO46" s="94">
        <v>4.543988313889713E-2</v>
      </c>
      <c r="DP46" s="28">
        <v>7459.7567323436751</v>
      </c>
      <c r="DQ46" s="318">
        <v>-580.41907343331513</v>
      </c>
      <c r="DS46" s="8">
        <v>7657.3102912161812</v>
      </c>
      <c r="DT46" s="5">
        <v>382.86551456080912</v>
      </c>
      <c r="DW46" s="5">
        <v>3389.95737997182</v>
      </c>
      <c r="DX46" s="5">
        <v>1550.3999999999999</v>
      </c>
    </row>
    <row r="47" spans="1:128" x14ac:dyDescent="0.3">
      <c r="A47" s="325">
        <v>150000981</v>
      </c>
      <c r="B47" s="41" t="s">
        <v>496</v>
      </c>
      <c r="C47" s="42" t="s">
        <v>343</v>
      </c>
      <c r="D47" s="42" t="s">
        <v>343</v>
      </c>
      <c r="E47" s="293">
        <v>2214.37</v>
      </c>
      <c r="F47" s="652">
        <v>2214.37</v>
      </c>
      <c r="G47" s="51">
        <v>213.62999999999988</v>
      </c>
      <c r="H47" s="651">
        <v>0</v>
      </c>
      <c r="I47" s="73">
        <v>1050.9036298060153</v>
      </c>
      <c r="J47" s="40">
        <v>1182.151796036178</v>
      </c>
      <c r="K47" s="52">
        <v>131.24816623016272</v>
      </c>
      <c r="L47" s="73">
        <v>214.29193158436667</v>
      </c>
      <c r="M47" s="40">
        <v>241.42543815719512</v>
      </c>
      <c r="N47" s="52">
        <v>27.133506572828452</v>
      </c>
      <c r="O47" s="73">
        <v>385.5492404212867</v>
      </c>
      <c r="P47" s="40">
        <v>385.66666666666669</v>
      </c>
      <c r="Q47" s="52">
        <v>0.11742624537998836</v>
      </c>
      <c r="R47" s="73">
        <v>96.947730545049993</v>
      </c>
      <c r="S47" s="40">
        <v>97.066666666666677</v>
      </c>
      <c r="T47" s="52">
        <v>0.11893612161668443</v>
      </c>
      <c r="U47" s="73">
        <v>43.28778497834633</v>
      </c>
      <c r="V47" s="40">
        <v>120.06208828977273</v>
      </c>
      <c r="W47" s="52">
        <v>76.774303311426394</v>
      </c>
      <c r="X47" s="73">
        <v>433.69631266250599</v>
      </c>
      <c r="Y47" s="40">
        <v>447.8387868791832</v>
      </c>
      <c r="Z47" s="52">
        <v>14.142474216677215</v>
      </c>
      <c r="AA47" s="73">
        <v>177.14959999999999</v>
      </c>
      <c r="AB47" s="40">
        <v>0</v>
      </c>
      <c r="AC47" s="52">
        <v>-177.14959999999999</v>
      </c>
      <c r="AD47" s="73">
        <v>1595.2593565476732</v>
      </c>
      <c r="AE47" s="40">
        <v>1995.8230701277789</v>
      </c>
      <c r="AF47" s="35">
        <v>400.56371358010574</v>
      </c>
      <c r="AG47" s="77">
        <v>3997.085586545244</v>
      </c>
      <c r="AH47" s="53">
        <v>4470.0345128234412</v>
      </c>
      <c r="AI47" s="52">
        <v>472.94892627819718</v>
      </c>
      <c r="AJ47" s="73">
        <v>2760.86</v>
      </c>
      <c r="AK47" s="40">
        <v>2719.2210152234506</v>
      </c>
      <c r="AL47" s="52">
        <v>-41.638984776549478</v>
      </c>
      <c r="AM47" s="73">
        <v>0</v>
      </c>
      <c r="AN47" s="40">
        <v>0</v>
      </c>
      <c r="AO47" s="52">
        <v>0</v>
      </c>
      <c r="AP47" s="73">
        <v>220.62104166666666</v>
      </c>
      <c r="AQ47" s="40">
        <v>0</v>
      </c>
      <c r="AR47" s="52">
        <v>-220.62104166666666</v>
      </c>
      <c r="AS47" s="73">
        <v>2186.1492442679619</v>
      </c>
      <c r="AT47" s="40">
        <v>1736</v>
      </c>
      <c r="AU47" s="54">
        <v>-450.14924426796188</v>
      </c>
      <c r="AV47" s="73">
        <v>532.73075720686961</v>
      </c>
      <c r="AW47" s="40">
        <v>0</v>
      </c>
      <c r="AX47" s="55">
        <v>-532.73075720686961</v>
      </c>
      <c r="AY47" s="73">
        <v>599.41274307133119</v>
      </c>
      <c r="AZ47" s="40">
        <v>0</v>
      </c>
      <c r="BA47" s="35">
        <v>-599.41274307133119</v>
      </c>
      <c r="BB47" s="73">
        <v>190.20004904313339</v>
      </c>
      <c r="BC47" s="40">
        <v>0</v>
      </c>
      <c r="BD47" s="55">
        <v>-190.20004904313339</v>
      </c>
      <c r="BE47" s="73">
        <v>514.56025197311999</v>
      </c>
      <c r="BF47" s="40">
        <v>0</v>
      </c>
      <c r="BG47" s="38">
        <v>-514.56025197311999</v>
      </c>
      <c r="BH47" s="73">
        <v>208.98388444579521</v>
      </c>
      <c r="BI47" s="40">
        <v>0</v>
      </c>
      <c r="BJ47" s="55">
        <v>-208.98388444579521</v>
      </c>
      <c r="BK47" s="73">
        <v>320.69921188858638</v>
      </c>
      <c r="BL47" s="40">
        <v>0</v>
      </c>
      <c r="BM47" s="38">
        <v>-320.69921188858638</v>
      </c>
      <c r="BN47" s="73">
        <v>44.287399999999998</v>
      </c>
      <c r="BO47" s="40">
        <v>0</v>
      </c>
      <c r="BP47" s="55">
        <v>-44.287399999999998</v>
      </c>
      <c r="BQ47" s="77">
        <v>2410.8742976288358</v>
      </c>
      <c r="BR47" s="40">
        <v>0</v>
      </c>
      <c r="BS47" s="55">
        <v>-2410.8742976288358</v>
      </c>
      <c r="BT47" s="73">
        <v>3540.8388833628001</v>
      </c>
      <c r="BU47" s="40">
        <v>795.86205940481125</v>
      </c>
      <c r="BV47" s="52">
        <v>-2744.9768239579889</v>
      </c>
      <c r="BW47" s="73">
        <v>2559.8210848598601</v>
      </c>
      <c r="BX47" s="40">
        <v>3476.7815425711997</v>
      </c>
      <c r="BY47" s="52">
        <v>916.96045771133959</v>
      </c>
      <c r="BZ47" s="73">
        <v>710.66402288259405</v>
      </c>
      <c r="CA47" s="40">
        <v>4894.6856878703084</v>
      </c>
      <c r="CB47" s="52">
        <v>4184.0216649877148</v>
      </c>
      <c r="CC47" s="73">
        <v>97.292344297499994</v>
      </c>
      <c r="CD47" s="40">
        <v>120.15792445175704</v>
      </c>
      <c r="CE47" s="52">
        <v>22.865580154257046</v>
      </c>
      <c r="CF47" s="73">
        <v>11.31445557</v>
      </c>
      <c r="CG47" s="40">
        <v>0</v>
      </c>
      <c r="CH47" s="52">
        <v>-11.31445557</v>
      </c>
      <c r="CI47" s="73">
        <v>728.82</v>
      </c>
      <c r="CJ47" s="40">
        <v>627.19259223757285</v>
      </c>
      <c r="CK47" s="52">
        <v>-101.6274077624272</v>
      </c>
      <c r="CL47" s="73">
        <v>1105.70075</v>
      </c>
      <c r="CM47" s="40">
        <v>1101.0860955865303</v>
      </c>
      <c r="CN47" s="52">
        <v>-4.6146544134696796</v>
      </c>
      <c r="CO47" s="39">
        <v>1834.5207500000001</v>
      </c>
      <c r="CP47" s="40">
        <v>1728.2786878241031</v>
      </c>
      <c r="CQ47" s="52">
        <v>-106.24206217589699</v>
      </c>
      <c r="CR47" s="72">
        <v>20330.04171108146</v>
      </c>
      <c r="CS47" s="5">
        <v>19941.021430169068</v>
      </c>
      <c r="CT47" s="52">
        <v>-389.02028091239117</v>
      </c>
      <c r="CU47" s="77">
        <v>24396.050053297749</v>
      </c>
      <c r="CV47" s="65">
        <v>23929.22571620288</v>
      </c>
      <c r="CW47" s="35">
        <v>-466.82433709486941</v>
      </c>
      <c r="CX47" s="73">
        <v>1362.1054101502723</v>
      </c>
      <c r="CY47" s="40">
        <v>1828.9297472451399</v>
      </c>
      <c r="CZ47" s="52">
        <v>466.82433709486759</v>
      </c>
      <c r="DA47" s="150">
        <v>26683.512558841569</v>
      </c>
      <c r="DB47" s="2">
        <v>3</v>
      </c>
      <c r="DC47" s="648">
        <v>29849.18</v>
      </c>
      <c r="DD47" s="648"/>
      <c r="DE47" s="649">
        <v>4091.0245365519804</v>
      </c>
      <c r="DG47" s="321">
        <v>4608.9233473622462</v>
      </c>
      <c r="DH47" s="5">
        <v>309097.86556137621</v>
      </c>
      <c r="DI47" s="306">
        <v>4.8148655398516595</v>
      </c>
      <c r="DJ47" s="306">
        <v>5.8874858405653949</v>
      </c>
      <c r="DK47" s="306"/>
      <c r="DL47" s="28">
        <v>12807.928145931317</v>
      </c>
      <c r="DM47" s="28">
        <v>0</v>
      </c>
      <c r="DN47" s="650">
        <v>12805.63</v>
      </c>
      <c r="DO47" s="94">
        <v>2.2981459313177766</v>
      </c>
      <c r="DP47" s="28">
        <v>12807.928145931317</v>
      </c>
      <c r="DQ47" s="318">
        <v>1.8679499989957549E-3</v>
      </c>
      <c r="DS47" s="8">
        <v>12198.025026648875</v>
      </c>
      <c r="DT47" s="5">
        <v>609.90125133244374</v>
      </c>
      <c r="DW47" s="5">
        <v>5516.4282502761571</v>
      </c>
      <c r="DX47" s="5">
        <v>2083.1999999999998</v>
      </c>
    </row>
    <row r="48" spans="1:128" x14ac:dyDescent="0.3">
      <c r="A48" s="325">
        <v>150000982</v>
      </c>
      <c r="B48" s="41" t="s">
        <v>497</v>
      </c>
      <c r="C48" s="42" t="s">
        <v>344</v>
      </c>
      <c r="D48" s="42" t="s">
        <v>344</v>
      </c>
      <c r="E48" s="293">
        <v>5953.01</v>
      </c>
      <c r="F48" s="652">
        <v>5953.01</v>
      </c>
      <c r="G48" s="51">
        <v>569.07999999999993</v>
      </c>
      <c r="H48" s="651">
        <v>0</v>
      </c>
      <c r="I48" s="73">
        <v>2337.4112443373619</v>
      </c>
      <c r="J48" s="40">
        <v>2641.1527807319771</v>
      </c>
      <c r="K48" s="52">
        <v>303.7415363946152</v>
      </c>
      <c r="L48" s="73">
        <v>640.02437063517505</v>
      </c>
      <c r="M48" s="40">
        <v>721.06379856062267</v>
      </c>
      <c r="N48" s="52">
        <v>81.039427925447626</v>
      </c>
      <c r="O48" s="73">
        <v>1035.5611401256933</v>
      </c>
      <c r="P48" s="40">
        <v>1035.7500000000002</v>
      </c>
      <c r="Q48" s="52">
        <v>0.18885987430689966</v>
      </c>
      <c r="R48" s="73">
        <v>252.51718555272669</v>
      </c>
      <c r="S48" s="40">
        <v>252.98333333333332</v>
      </c>
      <c r="T48" s="52">
        <v>0.46614778060663298</v>
      </c>
      <c r="U48" s="73">
        <v>129.82091592576384</v>
      </c>
      <c r="V48" s="40">
        <v>282.25445042891118</v>
      </c>
      <c r="W48" s="52">
        <v>152.43353450314734</v>
      </c>
      <c r="X48" s="73">
        <v>1388.1068730847455</v>
      </c>
      <c r="Y48" s="40">
        <v>1477.2030562746668</v>
      </c>
      <c r="Z48" s="52">
        <v>89.096183189921248</v>
      </c>
      <c r="AA48" s="73">
        <v>476.21039999999999</v>
      </c>
      <c r="AB48" s="40">
        <v>0</v>
      </c>
      <c r="AC48" s="52">
        <v>-476.21039999999999</v>
      </c>
      <c r="AD48" s="73">
        <v>4288.3955079330863</v>
      </c>
      <c r="AE48" s="40">
        <v>5365.4785310049228</v>
      </c>
      <c r="AF48" s="35">
        <v>1077.0830230718366</v>
      </c>
      <c r="AG48" s="77">
        <v>10548.047637594553</v>
      </c>
      <c r="AH48" s="53">
        <v>11775.885950334434</v>
      </c>
      <c r="AI48" s="52">
        <v>1227.8383127398811</v>
      </c>
      <c r="AJ48" s="73">
        <v>8282.58</v>
      </c>
      <c r="AK48" s="40">
        <v>8157.6411337860727</v>
      </c>
      <c r="AL48" s="52">
        <v>-124.93886621392721</v>
      </c>
      <c r="AM48" s="73">
        <v>0</v>
      </c>
      <c r="AN48" s="40">
        <v>0</v>
      </c>
      <c r="AO48" s="52">
        <v>0</v>
      </c>
      <c r="AP48" s="73">
        <v>661.86312499999997</v>
      </c>
      <c r="AQ48" s="40">
        <v>0</v>
      </c>
      <c r="AR48" s="52">
        <v>-661.86312499999997</v>
      </c>
      <c r="AS48" s="73">
        <v>7815.0173770898573</v>
      </c>
      <c r="AT48" s="40">
        <v>2267</v>
      </c>
      <c r="AU48" s="54">
        <v>-5548.0173770898573</v>
      </c>
      <c r="AV48" s="73">
        <v>955.87128649362751</v>
      </c>
      <c r="AW48" s="40">
        <v>831</v>
      </c>
      <c r="AX48" s="55">
        <v>-124.87128649362751</v>
      </c>
      <c r="AY48" s="73">
        <v>1790.3696172559248</v>
      </c>
      <c r="AZ48" s="40">
        <v>4109</v>
      </c>
      <c r="BA48" s="35">
        <v>2318.6303827440752</v>
      </c>
      <c r="BB48" s="73">
        <v>541.38969508777996</v>
      </c>
      <c r="BC48" s="40">
        <v>1943</v>
      </c>
      <c r="BD48" s="55">
        <v>1401.61030491222</v>
      </c>
      <c r="BE48" s="73">
        <v>1320.576116236178</v>
      </c>
      <c r="BF48" s="40">
        <v>472</v>
      </c>
      <c r="BG48" s="38">
        <v>-848.576116236178</v>
      </c>
      <c r="BH48" s="73">
        <v>626.90933560096028</v>
      </c>
      <c r="BI48" s="40">
        <v>22</v>
      </c>
      <c r="BJ48" s="55">
        <v>-604.90933560096028</v>
      </c>
      <c r="BK48" s="73">
        <v>996.92851457046766</v>
      </c>
      <c r="BL48" s="40">
        <v>0</v>
      </c>
      <c r="BM48" s="38">
        <v>-996.92851457046766</v>
      </c>
      <c r="BN48" s="73">
        <v>119.0526</v>
      </c>
      <c r="BO48" s="40">
        <v>0</v>
      </c>
      <c r="BP48" s="55">
        <v>-119.0526</v>
      </c>
      <c r="BQ48" s="77">
        <v>6351.0971652449389</v>
      </c>
      <c r="BR48" s="40">
        <v>7377</v>
      </c>
      <c r="BS48" s="55">
        <v>1025.9028347550611</v>
      </c>
      <c r="BT48" s="73">
        <v>7469.8026789002597</v>
      </c>
      <c r="BU48" s="40">
        <v>1704.9832688627328</v>
      </c>
      <c r="BV48" s="52">
        <v>-5764.8194100375267</v>
      </c>
      <c r="BW48" s="73">
        <v>7407.0121554505204</v>
      </c>
      <c r="BX48" s="40">
        <v>10260.736799923214</v>
      </c>
      <c r="BY48" s="52">
        <v>2853.7246444726934</v>
      </c>
      <c r="BZ48" s="73">
        <v>1870.7702509449359</v>
      </c>
      <c r="CA48" s="40">
        <v>10386.364310266446</v>
      </c>
      <c r="CB48" s="52">
        <v>8515.5940593215109</v>
      </c>
      <c r="CC48" s="73">
        <v>292.96152732550001</v>
      </c>
      <c r="CD48" s="40">
        <v>360.49305260508288</v>
      </c>
      <c r="CE48" s="52">
        <v>67.531525279582866</v>
      </c>
      <c r="CF48" s="73">
        <v>33.945182105999997</v>
      </c>
      <c r="CG48" s="40">
        <v>0</v>
      </c>
      <c r="CH48" s="52">
        <v>-33.945182105999997</v>
      </c>
      <c r="CI48" s="73">
        <v>3706.44</v>
      </c>
      <c r="CJ48" s="40">
        <v>3568.6732304296238</v>
      </c>
      <c r="CK48" s="52">
        <v>-137.76676957037625</v>
      </c>
      <c r="CL48" s="73">
        <v>2831.2168499999998</v>
      </c>
      <c r="CM48" s="40">
        <v>2686.430944666492</v>
      </c>
      <c r="CN48" s="52">
        <v>-144.7859053335078</v>
      </c>
      <c r="CO48" s="39">
        <v>6537.6568499999994</v>
      </c>
      <c r="CP48" s="40">
        <v>6255.1041750961158</v>
      </c>
      <c r="CQ48" s="52">
        <v>-282.5526749038836</v>
      </c>
      <c r="CR48" s="72">
        <v>57270.753949656566</v>
      </c>
      <c r="CS48" s="5">
        <v>58545.208690874097</v>
      </c>
      <c r="CT48" s="52">
        <v>1274.4547412175307</v>
      </c>
      <c r="CU48" s="77">
        <v>68724.904739587873</v>
      </c>
      <c r="CV48" s="65">
        <v>70254.250429048916</v>
      </c>
      <c r="CW48" s="35">
        <v>1529.3456894610426</v>
      </c>
      <c r="CX48" s="73">
        <v>3837.1197121396658</v>
      </c>
      <c r="CY48" s="40">
        <v>2307.7740226786264</v>
      </c>
      <c r="CZ48" s="52">
        <v>-1529.3456894610395</v>
      </c>
      <c r="DA48" s="150">
        <v>30269.452243524625</v>
      </c>
      <c r="DB48" s="2">
        <v>3</v>
      </c>
      <c r="DC48" s="648">
        <v>71298.929999999993</v>
      </c>
      <c r="DD48" s="648"/>
      <c r="DE48" s="649">
        <v>-1263.0944517275493</v>
      </c>
      <c r="DG48" s="321">
        <v>117370.17201331639</v>
      </c>
      <c r="DH48" s="5">
        <v>870744.29342073051</v>
      </c>
      <c r="DI48" s="306">
        <v>4.8850479490214642</v>
      </c>
      <c r="DJ48" s="306">
        <v>6.1856231080615025</v>
      </c>
      <c r="DK48" s="306"/>
      <c r="DL48" s="28">
        <v>36082.944907014702</v>
      </c>
      <c r="DM48" s="28">
        <v>0</v>
      </c>
      <c r="DN48" s="650">
        <v>36083</v>
      </c>
      <c r="DO48" s="94">
        <v>-5.5092985297960695E-2</v>
      </c>
      <c r="DP48" s="28">
        <v>36082.944907014702</v>
      </c>
      <c r="DQ48" s="318">
        <v>2.3699187310703564</v>
      </c>
      <c r="DS48" s="8">
        <v>34362.452369793937</v>
      </c>
      <c r="DT48" s="5">
        <v>1718.1226184896971</v>
      </c>
      <c r="DW48" s="5">
        <v>16999.337450801755</v>
      </c>
      <c r="DX48" s="5">
        <v>11572.8</v>
      </c>
    </row>
    <row r="49" spans="1:128" x14ac:dyDescent="0.3">
      <c r="A49" s="325">
        <v>150000983</v>
      </c>
      <c r="B49" s="41" t="s">
        <v>498</v>
      </c>
      <c r="C49" s="42" t="s">
        <v>345</v>
      </c>
      <c r="D49" s="42" t="s">
        <v>345</v>
      </c>
      <c r="E49" s="293">
        <v>3858.4</v>
      </c>
      <c r="F49" s="652">
        <v>3858.4</v>
      </c>
      <c r="G49" s="51">
        <v>441.5</v>
      </c>
      <c r="H49" s="651">
        <v>0</v>
      </c>
      <c r="I49" s="73">
        <v>1540.6666491612677</v>
      </c>
      <c r="J49" s="40">
        <v>1740.8728683894262</v>
      </c>
      <c r="K49" s="52">
        <v>200.20621922815849</v>
      </c>
      <c r="L49" s="73">
        <v>238.70291590074095</v>
      </c>
      <c r="M49" s="40">
        <v>268.92652133437559</v>
      </c>
      <c r="N49" s="52">
        <v>30.223605433634646</v>
      </c>
      <c r="O49" s="73">
        <v>666.7836525450399</v>
      </c>
      <c r="P49" s="40">
        <v>666.86666666666667</v>
      </c>
      <c r="Q49" s="52">
        <v>8.3014121626774795E-2</v>
      </c>
      <c r="R49" s="73">
        <v>170.60179950330667</v>
      </c>
      <c r="S49" s="40">
        <v>170.41666666666669</v>
      </c>
      <c r="T49" s="52">
        <v>-0.18513283663997981</v>
      </c>
      <c r="U49" s="73">
        <v>86.533130947417462</v>
      </c>
      <c r="V49" s="40">
        <v>201.11778199984644</v>
      </c>
      <c r="W49" s="52">
        <v>114.58465105242898</v>
      </c>
      <c r="X49" s="73">
        <v>1016.0241831848455</v>
      </c>
      <c r="Y49" s="40">
        <v>1309.3448648579226</v>
      </c>
      <c r="Z49" s="52">
        <v>293.32068167307716</v>
      </c>
      <c r="AA49" s="73">
        <v>308.67200000000003</v>
      </c>
      <c r="AB49" s="40">
        <v>0</v>
      </c>
      <c r="AC49" s="52">
        <v>-308.67200000000003</v>
      </c>
      <c r="AD49" s="73">
        <v>2779.6603004537196</v>
      </c>
      <c r="AE49" s="40">
        <v>3477.5957648365102</v>
      </c>
      <c r="AF49" s="35">
        <v>697.93546438279054</v>
      </c>
      <c r="AG49" s="77">
        <v>6807.6446316963375</v>
      </c>
      <c r="AH49" s="53">
        <v>7835.141134751414</v>
      </c>
      <c r="AI49" s="52">
        <v>1027.4965030550766</v>
      </c>
      <c r="AJ49" s="73">
        <v>5521.72</v>
      </c>
      <c r="AK49" s="40">
        <v>5438.4201185626225</v>
      </c>
      <c r="AL49" s="52">
        <v>-83.299881437377735</v>
      </c>
      <c r="AM49" s="73">
        <v>0</v>
      </c>
      <c r="AN49" s="40">
        <v>0</v>
      </c>
      <c r="AO49" s="52">
        <v>0</v>
      </c>
      <c r="AP49" s="73">
        <v>441.24208333333331</v>
      </c>
      <c r="AQ49" s="40">
        <v>0</v>
      </c>
      <c r="AR49" s="52">
        <v>-441.24208333333331</v>
      </c>
      <c r="AS49" s="73">
        <v>5872.836738986015</v>
      </c>
      <c r="AT49" s="40">
        <v>0</v>
      </c>
      <c r="AU49" s="54">
        <v>-5872.836738986015</v>
      </c>
      <c r="AV49" s="73">
        <v>624.83819591822282</v>
      </c>
      <c r="AW49" s="40">
        <v>0</v>
      </c>
      <c r="AX49" s="55">
        <v>-624.83819591822282</v>
      </c>
      <c r="AY49" s="73">
        <v>673.40825510779689</v>
      </c>
      <c r="AZ49" s="40">
        <v>0</v>
      </c>
      <c r="BA49" s="35">
        <v>-673.40825510779689</v>
      </c>
      <c r="BB49" s="73">
        <v>344.29587588595996</v>
      </c>
      <c r="BC49" s="40">
        <v>0</v>
      </c>
      <c r="BD49" s="55">
        <v>-344.29587588595996</v>
      </c>
      <c r="BE49" s="73">
        <v>903.02692937341192</v>
      </c>
      <c r="BF49" s="40">
        <v>0</v>
      </c>
      <c r="BG49" s="38">
        <v>-903.02692937341192</v>
      </c>
      <c r="BH49" s="73">
        <v>417.92545115516577</v>
      </c>
      <c r="BI49" s="40">
        <v>22</v>
      </c>
      <c r="BJ49" s="55">
        <v>-395.92545115516577</v>
      </c>
      <c r="BK49" s="73">
        <v>590.33507256344149</v>
      </c>
      <c r="BL49" s="40">
        <v>0</v>
      </c>
      <c r="BM49" s="38">
        <v>-590.33507256344149</v>
      </c>
      <c r="BN49" s="73">
        <v>77.168000000000006</v>
      </c>
      <c r="BO49" s="40">
        <v>0</v>
      </c>
      <c r="BP49" s="55">
        <v>-77.168000000000006</v>
      </c>
      <c r="BQ49" s="77">
        <v>3630.9977800039987</v>
      </c>
      <c r="BR49" s="40">
        <v>22</v>
      </c>
      <c r="BS49" s="55">
        <v>-3608.9977800039987</v>
      </c>
      <c r="BT49" s="73">
        <v>4648.3589911872205</v>
      </c>
      <c r="BU49" s="40">
        <v>1085.8789914653109</v>
      </c>
      <c r="BV49" s="52">
        <v>-3562.4799997219097</v>
      </c>
      <c r="BW49" s="73">
        <v>4210.6826048270796</v>
      </c>
      <c r="BX49" s="40">
        <v>5923.94414679285</v>
      </c>
      <c r="BY49" s="52">
        <v>1713.2615419657704</v>
      </c>
      <c r="BZ49" s="73">
        <v>1228.069213191108</v>
      </c>
      <c r="CA49" s="40">
        <v>6646.8773942937223</v>
      </c>
      <c r="CB49" s="52">
        <v>5418.8081811026141</v>
      </c>
      <c r="CC49" s="73">
        <v>156.1187833425</v>
      </c>
      <c r="CD49" s="40">
        <v>194.67222497418638</v>
      </c>
      <c r="CE49" s="52">
        <v>38.553441631686383</v>
      </c>
      <c r="CF49" s="73">
        <v>18.330961110000001</v>
      </c>
      <c r="CG49" s="40">
        <v>0</v>
      </c>
      <c r="CH49" s="52">
        <v>-18.330961110000001</v>
      </c>
      <c r="CI49" s="73">
        <v>791.12</v>
      </c>
      <c r="CJ49" s="40">
        <v>85.887617124560109</v>
      </c>
      <c r="CK49" s="52">
        <v>-705.23238287543995</v>
      </c>
      <c r="CL49" s="73">
        <v>1594.7008000000001</v>
      </c>
      <c r="CM49" s="40">
        <v>1217.6159564682578</v>
      </c>
      <c r="CN49" s="52">
        <v>-377.08484353174231</v>
      </c>
      <c r="CO49" s="39">
        <v>2385.8208</v>
      </c>
      <c r="CP49" s="40">
        <v>1303.5035735928179</v>
      </c>
      <c r="CQ49" s="52">
        <v>-1082.317226407182</v>
      </c>
      <c r="CR49" s="72">
        <v>34921.822587677598</v>
      </c>
      <c r="CS49" s="5">
        <v>28450.437584432926</v>
      </c>
      <c r="CT49" s="52">
        <v>-6471.3850032446717</v>
      </c>
      <c r="CU49" s="77">
        <v>41906.187105213117</v>
      </c>
      <c r="CV49" s="65">
        <v>34140.525101319508</v>
      </c>
      <c r="CW49" s="35">
        <v>-7765.6620038936089</v>
      </c>
      <c r="CX49" s="73">
        <v>2339.7494287016543</v>
      </c>
      <c r="CY49" s="40">
        <v>10105.411432595261</v>
      </c>
      <c r="CZ49" s="52">
        <v>7765.6620038936071</v>
      </c>
      <c r="DA49" s="150">
        <v>26713.750166620499</v>
      </c>
      <c r="DB49" s="2">
        <v>3</v>
      </c>
      <c r="DC49" s="648">
        <v>39844.74</v>
      </c>
      <c r="DD49" s="648"/>
      <c r="DE49" s="649">
        <v>-4401.1965339147719</v>
      </c>
      <c r="DG49" s="321">
        <v>11760.990816564701</v>
      </c>
      <c r="DH49" s="5">
        <v>530951.23840697727</v>
      </c>
      <c r="DI49" s="306">
        <v>4.5400692323856751</v>
      </c>
      <c r="DJ49" s="306">
        <v>5.852181973554571</v>
      </c>
      <c r="DK49" s="306"/>
      <c r="DL49" s="28">
        <v>22000.761151536888</v>
      </c>
      <c r="DM49" s="28">
        <v>0</v>
      </c>
      <c r="DN49" s="650">
        <v>22000.73</v>
      </c>
      <c r="DO49" s="94">
        <v>3.1151536888501141E-2</v>
      </c>
      <c r="DP49" s="28">
        <v>22000.761151536888</v>
      </c>
      <c r="DQ49" s="318">
        <v>1.2921300000016345E-2</v>
      </c>
      <c r="DS49" s="8">
        <v>20953.093552606559</v>
      </c>
      <c r="DT49" s="5">
        <v>1047.6546776303278</v>
      </c>
      <c r="DW49" s="5">
        <v>11404.601422788017</v>
      </c>
      <c r="DX49" s="5">
        <v>26.4</v>
      </c>
    </row>
    <row r="50" spans="1:128" x14ac:dyDescent="0.3">
      <c r="A50" s="325">
        <v>150000984</v>
      </c>
      <c r="B50" s="41" t="s">
        <v>499</v>
      </c>
      <c r="C50" s="42" t="s">
        <v>346</v>
      </c>
      <c r="D50" s="42" t="s">
        <v>346</v>
      </c>
      <c r="E50" s="293">
        <v>9788.74</v>
      </c>
      <c r="F50" s="652">
        <v>9788.74</v>
      </c>
      <c r="G50" s="51">
        <v>1089.0200000000004</v>
      </c>
      <c r="H50" s="651">
        <v>0</v>
      </c>
      <c r="I50" s="73">
        <v>3761.6051104689841</v>
      </c>
      <c r="J50" s="40">
        <v>4253.0593319683976</v>
      </c>
      <c r="K50" s="52">
        <v>491.45422149941351</v>
      </c>
      <c r="L50" s="73">
        <v>662.05858203450168</v>
      </c>
      <c r="M50" s="40">
        <v>745.88778514533442</v>
      </c>
      <c r="N50" s="52">
        <v>83.829203110832736</v>
      </c>
      <c r="O50" s="73">
        <v>1670.8707383129367</v>
      </c>
      <c r="P50" s="40">
        <v>1670.6166666666668</v>
      </c>
      <c r="Q50" s="52">
        <v>-0.25407164626994927</v>
      </c>
      <c r="R50" s="73">
        <v>394.64255998956338</v>
      </c>
      <c r="S50" s="40">
        <v>394.81666666666666</v>
      </c>
      <c r="T50" s="52">
        <v>0.17410667710328198</v>
      </c>
      <c r="U50" s="73">
        <v>129.82091592576384</v>
      </c>
      <c r="V50" s="40">
        <v>282.25445042891118</v>
      </c>
      <c r="W50" s="52">
        <v>152.43353450314734</v>
      </c>
      <c r="X50" s="73">
        <v>1859.456971173312</v>
      </c>
      <c r="Y50" s="40">
        <v>2019.1761562593019</v>
      </c>
      <c r="Z50" s="52">
        <v>159.71918508598992</v>
      </c>
      <c r="AA50" s="73">
        <v>783.0992</v>
      </c>
      <c r="AB50" s="40">
        <v>0</v>
      </c>
      <c r="AC50" s="52">
        <v>-783.0992</v>
      </c>
      <c r="AD50" s="73">
        <v>7051.9995263691399</v>
      </c>
      <c r="AE50" s="40">
        <v>8822.6417082432454</v>
      </c>
      <c r="AF50" s="35">
        <v>1770.6421818741055</v>
      </c>
      <c r="AG50" s="77">
        <v>16313.553604274202</v>
      </c>
      <c r="AH50" s="53">
        <v>18188.452765378523</v>
      </c>
      <c r="AI50" s="52">
        <v>1874.8991611043202</v>
      </c>
      <c r="AJ50" s="73">
        <v>7399.86</v>
      </c>
      <c r="AK50" s="40">
        <v>7288.2213893741082</v>
      </c>
      <c r="AL50" s="52">
        <v>-111.63861062589149</v>
      </c>
      <c r="AM50" s="73">
        <v>210.14988500000001</v>
      </c>
      <c r="AN50" s="40">
        <v>0</v>
      </c>
      <c r="AO50" s="52">
        <v>-210.14988500000001</v>
      </c>
      <c r="AP50" s="73">
        <v>1014.8567916666666</v>
      </c>
      <c r="AQ50" s="40">
        <v>5985.9673832468497</v>
      </c>
      <c r="AR50" s="52">
        <v>4971.1105915801836</v>
      </c>
      <c r="AS50" s="73">
        <v>12403.781063105338</v>
      </c>
      <c r="AT50" s="40">
        <v>8104</v>
      </c>
      <c r="AU50" s="54">
        <v>-4299.781063105338</v>
      </c>
      <c r="AV50" s="73">
        <v>1693.6933882866854</v>
      </c>
      <c r="AW50" s="40">
        <v>0</v>
      </c>
      <c r="AX50" s="55">
        <v>-1693.6933882866854</v>
      </c>
      <c r="AY50" s="73">
        <v>1851.4145788308151</v>
      </c>
      <c r="AZ50" s="40">
        <v>0</v>
      </c>
      <c r="BA50" s="35">
        <v>-1851.4145788308151</v>
      </c>
      <c r="BB50" s="73">
        <v>930.60229216625203</v>
      </c>
      <c r="BC50" s="40">
        <v>1943</v>
      </c>
      <c r="BD50" s="55">
        <v>1012.397707833748</v>
      </c>
      <c r="BE50" s="73">
        <v>2080.690051524592</v>
      </c>
      <c r="BF50" s="40">
        <v>0</v>
      </c>
      <c r="BG50" s="38">
        <v>-2080.690051524592</v>
      </c>
      <c r="BH50" s="73">
        <v>626.90933560096028</v>
      </c>
      <c r="BI50" s="40">
        <v>22</v>
      </c>
      <c r="BJ50" s="55">
        <v>-604.90933560096028</v>
      </c>
      <c r="BK50" s="73">
        <v>1410.4442918789869</v>
      </c>
      <c r="BL50" s="40">
        <v>0</v>
      </c>
      <c r="BM50" s="38">
        <v>-1410.4442918789869</v>
      </c>
      <c r="BN50" s="73">
        <v>195.7748</v>
      </c>
      <c r="BO50" s="40">
        <v>0</v>
      </c>
      <c r="BP50" s="55">
        <v>-195.7748</v>
      </c>
      <c r="BQ50" s="77">
        <v>8789.5287382882907</v>
      </c>
      <c r="BR50" s="40">
        <v>1965</v>
      </c>
      <c r="BS50" s="55">
        <v>-6824.5287382882907</v>
      </c>
      <c r="BT50" s="73">
        <v>11331.63074596234</v>
      </c>
      <c r="BU50" s="40">
        <v>2113.9992451508811</v>
      </c>
      <c r="BV50" s="52">
        <v>-9217.6315008114598</v>
      </c>
      <c r="BW50" s="73">
        <v>7820.9356792692197</v>
      </c>
      <c r="BX50" s="40">
        <v>10244.014723124828</v>
      </c>
      <c r="BY50" s="52">
        <v>2423.0790438556087</v>
      </c>
      <c r="BZ50" s="73">
        <v>2504.8633183762199</v>
      </c>
      <c r="CA50" s="40">
        <v>12782.304877168228</v>
      </c>
      <c r="CB50" s="52">
        <v>10277.441558792008</v>
      </c>
      <c r="CC50" s="73">
        <v>304.91500451224999</v>
      </c>
      <c r="CD50" s="40">
        <v>381.26162446479486</v>
      </c>
      <c r="CE50" s="52">
        <v>76.34661995254487</v>
      </c>
      <c r="CF50" s="73">
        <v>35.900817447000001</v>
      </c>
      <c r="CG50" s="40">
        <v>0</v>
      </c>
      <c r="CH50" s="52">
        <v>-35.900817447000001</v>
      </c>
      <c r="CI50" s="73">
        <v>6976.82</v>
      </c>
      <c r="CJ50" s="40">
        <v>7836.899074086421</v>
      </c>
      <c r="CK50" s="52">
        <v>860.07907408642131</v>
      </c>
      <c r="CL50" s="73">
        <v>3167.5990499999998</v>
      </c>
      <c r="CM50" s="40">
        <v>1556.5180985921124</v>
      </c>
      <c r="CN50" s="52">
        <v>-1611.0809514078874</v>
      </c>
      <c r="CO50" s="39">
        <v>10144.41905</v>
      </c>
      <c r="CP50" s="40">
        <v>9393.4171726785335</v>
      </c>
      <c r="CQ50" s="52">
        <v>-751.00187732146696</v>
      </c>
      <c r="CR50" s="72">
        <v>78274.394697901516</v>
      </c>
      <c r="CS50" s="5">
        <v>76446.639180586746</v>
      </c>
      <c r="CT50" s="52">
        <v>-1827.7555173147703</v>
      </c>
      <c r="CU50" s="77">
        <v>93929.27363748182</v>
      </c>
      <c r="CV50" s="65">
        <v>91735.967016704089</v>
      </c>
      <c r="CW50" s="35">
        <v>-2193.3066207777301</v>
      </c>
      <c r="CX50" s="73">
        <v>5244.3560131081449</v>
      </c>
      <c r="CY50" s="40">
        <v>7437.6626338858769</v>
      </c>
      <c r="CZ50" s="52">
        <v>2193.306620777732</v>
      </c>
      <c r="DA50" s="150">
        <v>-111777.47720193077</v>
      </c>
      <c r="DB50" s="2">
        <v>3</v>
      </c>
      <c r="DC50" s="648">
        <v>72996.149999999994</v>
      </c>
      <c r="DD50" s="648"/>
      <c r="DE50" s="649">
        <v>-26177.479650589972</v>
      </c>
      <c r="DG50" s="321">
        <v>137035.84395361683</v>
      </c>
      <c r="DH50" s="5">
        <v>1190083.5558070797</v>
      </c>
      <c r="DI50" s="306">
        <v>4.3440703329159778</v>
      </c>
      <c r="DJ50" s="306">
        <v>5.1245440422824862</v>
      </c>
      <c r="DK50" s="306"/>
      <c r="DL50" s="28">
        <v>49312.877769477942</v>
      </c>
      <c r="DM50" s="28">
        <v>0</v>
      </c>
      <c r="DN50" s="650">
        <v>49312.56</v>
      </c>
      <c r="DO50" s="94">
        <v>0.31776947794423904</v>
      </c>
      <c r="DP50" s="28">
        <v>49312.877769477942</v>
      </c>
      <c r="DQ50" s="318">
        <v>9.1097999829798937E-3</v>
      </c>
      <c r="DS50" s="8">
        <v>46964.63681874091</v>
      </c>
      <c r="DT50" s="5">
        <v>2348.2318409370455</v>
      </c>
      <c r="DW50" s="5">
        <v>25431.971761672354</v>
      </c>
      <c r="DX50" s="5">
        <v>12082.8</v>
      </c>
    </row>
    <row r="51" spans="1:128" x14ac:dyDescent="0.3">
      <c r="A51" s="325">
        <v>150000986</v>
      </c>
      <c r="B51" s="41" t="s">
        <v>500</v>
      </c>
      <c r="C51" s="42" t="s">
        <v>347</v>
      </c>
      <c r="D51" s="42" t="s">
        <v>347</v>
      </c>
      <c r="E51" s="293">
        <v>6584.7</v>
      </c>
      <c r="F51" s="652">
        <v>6584.7</v>
      </c>
      <c r="G51" s="51">
        <v>729.59999999999945</v>
      </c>
      <c r="H51" s="651">
        <v>0</v>
      </c>
      <c r="I51" s="73">
        <v>2512.4899081734861</v>
      </c>
      <c r="J51" s="40">
        <v>2841.2446932466351</v>
      </c>
      <c r="K51" s="52">
        <v>328.75478507314892</v>
      </c>
      <c r="L51" s="73">
        <v>442.97115069816664</v>
      </c>
      <c r="M51" s="40">
        <v>499.05947931970195</v>
      </c>
      <c r="N51" s="52">
        <v>56.088328621535311</v>
      </c>
      <c r="O51" s="73">
        <v>1130.6178699091934</v>
      </c>
      <c r="P51" s="40">
        <v>1130.3666666666668</v>
      </c>
      <c r="Q51" s="52">
        <v>-0.25120324252657156</v>
      </c>
      <c r="R51" s="73">
        <v>266.87726142143669</v>
      </c>
      <c r="S51" s="40">
        <v>266.68333333333334</v>
      </c>
      <c r="T51" s="52">
        <v>-0.19392808810334827</v>
      </c>
      <c r="U51" s="73">
        <v>86.533130947417462</v>
      </c>
      <c r="V51" s="40">
        <v>201.11778199984644</v>
      </c>
      <c r="W51" s="52">
        <v>114.58465105242898</v>
      </c>
      <c r="X51" s="73">
        <v>1142.982732268687</v>
      </c>
      <c r="Y51" s="40">
        <v>1229.368682508351</v>
      </c>
      <c r="Z51" s="52">
        <v>86.385950239663998</v>
      </c>
      <c r="AA51" s="73">
        <v>526.77599999999995</v>
      </c>
      <c r="AB51" s="40">
        <v>0</v>
      </c>
      <c r="AC51" s="52">
        <v>-526.77599999999995</v>
      </c>
      <c r="AD51" s="73">
        <v>4743.7567638897781</v>
      </c>
      <c r="AE51" s="40">
        <v>5934.8239769642769</v>
      </c>
      <c r="AF51" s="35">
        <v>1191.0672130744988</v>
      </c>
      <c r="AG51" s="77">
        <v>10853.004817308165</v>
      </c>
      <c r="AH51" s="53">
        <v>12102.664614038811</v>
      </c>
      <c r="AI51" s="52">
        <v>1249.6597967306461</v>
      </c>
      <c r="AJ51" s="73">
        <v>3130.22</v>
      </c>
      <c r="AK51" s="40">
        <v>3083.0021180191425</v>
      </c>
      <c r="AL51" s="52">
        <v>-47.217881980857328</v>
      </c>
      <c r="AM51" s="73">
        <v>420.29977000000002</v>
      </c>
      <c r="AN51" s="40">
        <v>0</v>
      </c>
      <c r="AO51" s="52">
        <v>-420.29977000000002</v>
      </c>
      <c r="AP51" s="73">
        <v>680.7734999999999</v>
      </c>
      <c r="AQ51" s="40">
        <v>0</v>
      </c>
      <c r="AR51" s="52">
        <v>-680.7734999999999</v>
      </c>
      <c r="AS51" s="73">
        <v>12612.468236748926</v>
      </c>
      <c r="AT51" s="40">
        <v>13424</v>
      </c>
      <c r="AU51" s="54">
        <v>811.53176325107415</v>
      </c>
      <c r="AV51" s="73">
        <v>1129.1218344737003</v>
      </c>
      <c r="AW51" s="40">
        <v>0</v>
      </c>
      <c r="AX51" s="55">
        <v>-1129.1218344737003</v>
      </c>
      <c r="AY51" s="73">
        <v>1237.1819169410594</v>
      </c>
      <c r="AZ51" s="40">
        <v>0</v>
      </c>
      <c r="BA51" s="35">
        <v>-1237.1819169410594</v>
      </c>
      <c r="BB51" s="73">
        <v>615.23248728288604</v>
      </c>
      <c r="BC51" s="40">
        <v>1972</v>
      </c>
      <c r="BD51" s="55">
        <v>1356.767512717114</v>
      </c>
      <c r="BE51" s="73">
        <v>1407.7464634759062</v>
      </c>
      <c r="BF51" s="40">
        <v>0</v>
      </c>
      <c r="BG51" s="38">
        <v>-1407.7464634759062</v>
      </c>
      <c r="BH51" s="73">
        <v>417.92545115516577</v>
      </c>
      <c r="BI51" s="40">
        <v>0</v>
      </c>
      <c r="BJ51" s="55">
        <v>-417.92545115516577</v>
      </c>
      <c r="BK51" s="73">
        <v>867.75389417341114</v>
      </c>
      <c r="BL51" s="40">
        <v>0</v>
      </c>
      <c r="BM51" s="38">
        <v>-867.75389417341114</v>
      </c>
      <c r="BN51" s="73">
        <v>131.69399999999999</v>
      </c>
      <c r="BO51" s="40">
        <v>0</v>
      </c>
      <c r="BP51" s="55">
        <v>-131.69399999999999</v>
      </c>
      <c r="BQ51" s="77">
        <v>5806.6560475021297</v>
      </c>
      <c r="BR51" s="40">
        <v>1972</v>
      </c>
      <c r="BS51" s="55">
        <v>-3834.6560475021297</v>
      </c>
      <c r="BT51" s="73">
        <v>8712.4568668349202</v>
      </c>
      <c r="BU51" s="40">
        <v>1968.7057859445961</v>
      </c>
      <c r="BV51" s="52">
        <v>-6743.7510808903244</v>
      </c>
      <c r="BW51" s="73">
        <v>4921.9994770125004</v>
      </c>
      <c r="BX51" s="40">
        <v>7273.8097877330365</v>
      </c>
      <c r="BY51" s="52">
        <v>2351.8103107205361</v>
      </c>
      <c r="BZ51" s="73">
        <v>2029.5174723683199</v>
      </c>
      <c r="CA51" s="40">
        <v>11950.654360404198</v>
      </c>
      <c r="CB51" s="52">
        <v>9921.1368880358787</v>
      </c>
      <c r="CC51" s="73">
        <v>294.44866813725002</v>
      </c>
      <c r="CD51" s="40">
        <v>369.2120933324486</v>
      </c>
      <c r="CE51" s="52">
        <v>74.763425195198579</v>
      </c>
      <c r="CF51" s="73">
        <v>34.766194947000002</v>
      </c>
      <c r="CG51" s="40">
        <v>0</v>
      </c>
      <c r="CH51" s="52">
        <v>-34.766194947000002</v>
      </c>
      <c r="CI51" s="73">
        <v>3279.72</v>
      </c>
      <c r="CJ51" s="40">
        <v>397.16341131043617</v>
      </c>
      <c r="CK51" s="52">
        <v>-2882.5565886895638</v>
      </c>
      <c r="CL51" s="73">
        <v>1737.9747</v>
      </c>
      <c r="CM51" s="40">
        <v>1404.7342801216564</v>
      </c>
      <c r="CN51" s="52">
        <v>-333.24041987834357</v>
      </c>
      <c r="CO51" s="39">
        <v>5017.6947</v>
      </c>
      <c r="CP51" s="40">
        <v>1801.8976914320926</v>
      </c>
      <c r="CQ51" s="52">
        <v>-3215.7970085679071</v>
      </c>
      <c r="CR51" s="72">
        <v>54514.305750859217</v>
      </c>
      <c r="CS51" s="5">
        <v>53945.946450904332</v>
      </c>
      <c r="CT51" s="52">
        <v>-568.3592999548855</v>
      </c>
      <c r="CU51" s="77">
        <v>65417.166901031058</v>
      </c>
      <c r="CV51" s="65">
        <v>64735.135741085192</v>
      </c>
      <c r="CW51" s="35">
        <v>-682.03115994586551</v>
      </c>
      <c r="CX51" s="73">
        <v>3652.4386840464326</v>
      </c>
      <c r="CY51" s="40">
        <v>4334.469843992294</v>
      </c>
      <c r="CZ51" s="52">
        <v>682.03115994586142</v>
      </c>
      <c r="DA51" s="150">
        <v>182451.91085469755</v>
      </c>
      <c r="DB51" s="2">
        <v>3</v>
      </c>
      <c r="DC51" s="648">
        <v>82237.759999999995</v>
      </c>
      <c r="DD51" s="648"/>
      <c r="DE51" s="649">
        <v>13168.154414922508</v>
      </c>
      <c r="DG51" s="321">
        <v>74323.141585556616</v>
      </c>
      <c r="DH51" s="5">
        <v>828835.26702092984</v>
      </c>
      <c r="DI51" s="306">
        <v>4.7097454868014195</v>
      </c>
      <c r="DJ51" s="306">
        <v>5.2787799291849824</v>
      </c>
      <c r="DK51" s="306"/>
      <c r="DL51" s="28">
        <v>34344.014670541306</v>
      </c>
      <c r="DM51" s="28">
        <v>0</v>
      </c>
      <c r="DN51" s="650">
        <v>34344.18</v>
      </c>
      <c r="DO51" s="94">
        <v>-0.16532945869403193</v>
      </c>
      <c r="DP51" s="28">
        <v>34344.014670541306</v>
      </c>
      <c r="DQ51" s="318">
        <v>2.047499998298008E-3</v>
      </c>
      <c r="DS51" s="8">
        <v>32708.583450515529</v>
      </c>
      <c r="DT51" s="5">
        <v>1635.4291725257765</v>
      </c>
      <c r="DW51" s="5">
        <v>22102.949141101264</v>
      </c>
      <c r="DX51" s="5">
        <v>18475.2</v>
      </c>
    </row>
    <row r="52" spans="1:128" x14ac:dyDescent="0.3">
      <c r="A52" s="325">
        <v>150000996</v>
      </c>
      <c r="B52" s="41" t="s">
        <v>501</v>
      </c>
      <c r="C52" s="42" t="s">
        <v>246</v>
      </c>
      <c r="D52" s="42" t="s">
        <v>246</v>
      </c>
      <c r="E52" s="293">
        <v>3446.87</v>
      </c>
      <c r="F52" s="305">
        <v>3261.1</v>
      </c>
      <c r="G52" s="51"/>
      <c r="H52" s="651">
        <v>185.77</v>
      </c>
      <c r="I52" s="73">
        <v>1669.6016657098771</v>
      </c>
      <c r="J52" s="40">
        <v>1853.8311157961207</v>
      </c>
      <c r="K52" s="52">
        <v>184.22945008624356</v>
      </c>
      <c r="L52" s="73">
        <v>317.20401880067806</v>
      </c>
      <c r="M52" s="40">
        <v>357.3680578528481</v>
      </c>
      <c r="N52" s="52">
        <v>40.16403905217004</v>
      </c>
      <c r="O52" s="73">
        <v>601.52300399975661</v>
      </c>
      <c r="P52" s="40">
        <v>601.52</v>
      </c>
      <c r="Q52" s="52">
        <v>-3.0039997566291277E-3</v>
      </c>
      <c r="R52" s="73">
        <v>0</v>
      </c>
      <c r="S52" s="40">
        <v>0</v>
      </c>
      <c r="T52" s="52">
        <v>0</v>
      </c>
      <c r="U52" s="73">
        <v>0</v>
      </c>
      <c r="V52" s="40">
        <v>0</v>
      </c>
      <c r="W52" s="52">
        <v>0</v>
      </c>
      <c r="X52" s="73">
        <v>811.56182598980922</v>
      </c>
      <c r="Y52" s="40">
        <v>850.36041201750072</v>
      </c>
      <c r="Z52" s="52">
        <v>38.798586027691499</v>
      </c>
      <c r="AA52" s="73">
        <v>275.73360000000002</v>
      </c>
      <c r="AB52" s="40">
        <v>0</v>
      </c>
      <c r="AC52" s="52">
        <v>-275.73360000000002</v>
      </c>
      <c r="AD52" s="73">
        <v>2475.6812316762662</v>
      </c>
      <c r="AE52" s="40">
        <v>3106.6816592219629</v>
      </c>
      <c r="AF52" s="35">
        <v>631.00042754569677</v>
      </c>
      <c r="AG52" s="77">
        <v>6151.3053461763866</v>
      </c>
      <c r="AH52" s="53">
        <v>6769.7612448884329</v>
      </c>
      <c r="AI52" s="52">
        <v>618.45589871204629</v>
      </c>
      <c r="AJ52" s="73">
        <v>0</v>
      </c>
      <c r="AK52" s="40">
        <v>0</v>
      </c>
      <c r="AL52" s="52">
        <v>0</v>
      </c>
      <c r="AM52" s="73">
        <v>0</v>
      </c>
      <c r="AN52" s="40">
        <v>0</v>
      </c>
      <c r="AO52" s="52">
        <v>0</v>
      </c>
      <c r="AP52" s="73">
        <v>1342.6366249999999</v>
      </c>
      <c r="AQ52" s="40">
        <v>0</v>
      </c>
      <c r="AR52" s="52">
        <v>-1342.6366249999999</v>
      </c>
      <c r="AS52" s="73">
        <v>4500.7174133409417</v>
      </c>
      <c r="AT52" s="40">
        <v>0</v>
      </c>
      <c r="AU52" s="54">
        <v>-4500.7174133409417</v>
      </c>
      <c r="AV52" s="73">
        <v>736.09160864246212</v>
      </c>
      <c r="AW52" s="40">
        <v>0</v>
      </c>
      <c r="AX52" s="55">
        <v>-736.09160864246212</v>
      </c>
      <c r="AY52" s="73">
        <v>877.99795109684817</v>
      </c>
      <c r="AZ52" s="40">
        <v>0</v>
      </c>
      <c r="BA52" s="35">
        <v>-877.99795109684817</v>
      </c>
      <c r="BB52" s="73">
        <v>226.42955312589999</v>
      </c>
      <c r="BC52" s="40">
        <v>0</v>
      </c>
      <c r="BD52" s="55">
        <v>-226.42955312589999</v>
      </c>
      <c r="BE52" s="73">
        <v>0</v>
      </c>
      <c r="BF52" s="40">
        <v>0</v>
      </c>
      <c r="BG52" s="38">
        <v>0</v>
      </c>
      <c r="BH52" s="73">
        <v>0</v>
      </c>
      <c r="BI52" s="40">
        <v>0</v>
      </c>
      <c r="BJ52" s="55">
        <v>0</v>
      </c>
      <c r="BK52" s="73">
        <v>520.70095044651146</v>
      </c>
      <c r="BL52" s="40">
        <v>0</v>
      </c>
      <c r="BM52" s="38">
        <v>-520.70095044651146</v>
      </c>
      <c r="BN52" s="73">
        <v>68.933400000000006</v>
      </c>
      <c r="BO52" s="40">
        <v>0</v>
      </c>
      <c r="BP52" s="55">
        <v>-68.933400000000006</v>
      </c>
      <c r="BQ52" s="77">
        <v>2430.1534633117217</v>
      </c>
      <c r="BR52" s="40">
        <v>0</v>
      </c>
      <c r="BS52" s="55">
        <v>-2430.1534633117217</v>
      </c>
      <c r="BT52" s="73">
        <v>4135.7618142056799</v>
      </c>
      <c r="BU52" s="40">
        <v>1162.6380950542159</v>
      </c>
      <c r="BV52" s="52">
        <v>-2973.1237191514638</v>
      </c>
      <c r="BW52" s="73">
        <v>3295.4601398971799</v>
      </c>
      <c r="BX52" s="40">
        <v>5083.5115550045766</v>
      </c>
      <c r="BY52" s="52">
        <v>1788.0514151073967</v>
      </c>
      <c r="BZ52" s="73">
        <v>2231.2287557199002</v>
      </c>
      <c r="CA52" s="40">
        <v>4363.1090895018369</v>
      </c>
      <c r="CB52" s="52">
        <v>2131.8803337819368</v>
      </c>
      <c r="CC52" s="73">
        <v>0</v>
      </c>
      <c r="CD52" s="40">
        <v>0</v>
      </c>
      <c r="CE52" s="52">
        <v>0</v>
      </c>
      <c r="CF52" s="73">
        <v>0</v>
      </c>
      <c r="CG52" s="40">
        <v>0</v>
      </c>
      <c r="CH52" s="52">
        <v>0</v>
      </c>
      <c r="CI52" s="73">
        <v>1009.14</v>
      </c>
      <c r="CJ52" s="40">
        <v>920.14601374280619</v>
      </c>
      <c r="CK52" s="52">
        <v>-88.993986257193797</v>
      </c>
      <c r="CL52" s="73">
        <v>0</v>
      </c>
      <c r="CM52" s="40">
        <v>0</v>
      </c>
      <c r="CN52" s="52">
        <v>0</v>
      </c>
      <c r="CO52" s="39">
        <v>1009.14</v>
      </c>
      <c r="CP52" s="40">
        <v>920.14601374280619</v>
      </c>
      <c r="CQ52" s="52">
        <v>-88.993986257193797</v>
      </c>
      <c r="CR52" s="72">
        <v>25096.403557651807</v>
      </c>
      <c r="CS52" s="5">
        <v>18299.165998191871</v>
      </c>
      <c r="CT52" s="52">
        <v>-6797.2375594599362</v>
      </c>
      <c r="CU52" s="77">
        <v>30115.684269182166</v>
      </c>
      <c r="CV52" s="65">
        <v>21958.999197830246</v>
      </c>
      <c r="CW52" s="35">
        <v>-8156.6850713519198</v>
      </c>
      <c r="CX52" s="73">
        <v>1681.4499225822617</v>
      </c>
      <c r="CY52" s="40">
        <v>9838.1349939341817</v>
      </c>
      <c r="CZ52" s="52">
        <v>8156.6850713519198</v>
      </c>
      <c r="DA52" s="150">
        <v>-11227.755289164106</v>
      </c>
      <c r="DB52" s="2">
        <v>2</v>
      </c>
      <c r="DC52" s="648">
        <v>34637.35</v>
      </c>
      <c r="DD52" s="648">
        <v>-839.63</v>
      </c>
      <c r="DE52" s="649">
        <v>2000.5858082355735</v>
      </c>
      <c r="DG52" s="321">
        <v>-14083.282266845734</v>
      </c>
      <c r="DH52" s="5">
        <v>381565.61030117312</v>
      </c>
      <c r="DI52" s="306">
        <v>4.6215650815333724</v>
      </c>
      <c r="DJ52" s="306"/>
      <c r="DK52" s="306">
        <v>3.9848881248234997</v>
      </c>
      <c r="DL52" s="28">
        <v>15071.38588738848</v>
      </c>
      <c r="DM52" s="28">
        <v>740.27266694846162</v>
      </c>
      <c r="DN52" s="650">
        <v>15071.49</v>
      </c>
      <c r="DO52" s="94">
        <v>-0.10411261151966755</v>
      </c>
      <c r="DP52" s="28">
        <v>15811.658554336942</v>
      </c>
      <c r="DQ52" s="318">
        <v>0.92431301630495</v>
      </c>
      <c r="DS52" s="8">
        <v>15057.842134591083</v>
      </c>
      <c r="DT52" s="5">
        <v>752.89210672955426</v>
      </c>
      <c r="DW52" s="5">
        <v>8317.0450519831957</v>
      </c>
      <c r="DX52" s="5">
        <v>0</v>
      </c>
    </row>
    <row r="53" spans="1:128" x14ac:dyDescent="0.3">
      <c r="A53" s="325">
        <v>150000987</v>
      </c>
      <c r="B53" s="41" t="s">
        <v>502</v>
      </c>
      <c r="C53" s="42" t="s">
        <v>51</v>
      </c>
      <c r="D53" s="42" t="s">
        <v>51</v>
      </c>
      <c r="E53" s="293">
        <v>244.2</v>
      </c>
      <c r="F53" s="305">
        <v>244.2</v>
      </c>
      <c r="G53" s="51"/>
      <c r="H53" s="651">
        <v>0</v>
      </c>
      <c r="I53" s="73">
        <v>0</v>
      </c>
      <c r="J53" s="40">
        <v>0</v>
      </c>
      <c r="K53" s="52">
        <v>0</v>
      </c>
      <c r="L53" s="73">
        <v>0</v>
      </c>
      <c r="M53" s="40">
        <v>0</v>
      </c>
      <c r="N53" s="52">
        <v>0</v>
      </c>
      <c r="O53" s="73">
        <v>0</v>
      </c>
      <c r="P53" s="40">
        <v>0</v>
      </c>
      <c r="Q53" s="52">
        <v>0</v>
      </c>
      <c r="R53" s="73">
        <v>0</v>
      </c>
      <c r="S53" s="40">
        <v>0</v>
      </c>
      <c r="T53" s="52">
        <v>0</v>
      </c>
      <c r="U53" s="73">
        <v>0</v>
      </c>
      <c r="V53" s="40">
        <v>0</v>
      </c>
      <c r="W53" s="52">
        <v>0</v>
      </c>
      <c r="X53" s="73">
        <v>0</v>
      </c>
      <c r="Y53" s="40">
        <v>0</v>
      </c>
      <c r="Z53" s="52">
        <v>0</v>
      </c>
      <c r="AA53" s="73">
        <v>19.48</v>
      </c>
      <c r="AB53" s="40">
        <v>0</v>
      </c>
      <c r="AC53" s="52">
        <v>-19.48</v>
      </c>
      <c r="AD53" s="73">
        <v>0</v>
      </c>
      <c r="AE53" s="40">
        <v>0</v>
      </c>
      <c r="AF53" s="35">
        <v>0</v>
      </c>
      <c r="AG53" s="77">
        <v>19.48</v>
      </c>
      <c r="AH53" s="53">
        <v>0</v>
      </c>
      <c r="AI53" s="52">
        <v>-19.48</v>
      </c>
      <c r="AJ53" s="73">
        <v>0</v>
      </c>
      <c r="AK53" s="40">
        <v>0</v>
      </c>
      <c r="AL53" s="52">
        <v>0</v>
      </c>
      <c r="AM53" s="73">
        <v>0</v>
      </c>
      <c r="AN53" s="40">
        <v>0</v>
      </c>
      <c r="AO53" s="52">
        <v>0</v>
      </c>
      <c r="AP53" s="73">
        <v>75.641499999999994</v>
      </c>
      <c r="AQ53" s="40">
        <v>0</v>
      </c>
      <c r="AR53" s="52">
        <v>-75.641499999999994</v>
      </c>
      <c r="AS53" s="73">
        <v>9.5200024344409684</v>
      </c>
      <c r="AT53" s="40">
        <v>0</v>
      </c>
      <c r="AU53" s="54">
        <v>-9.5200024344409684</v>
      </c>
      <c r="AV53" s="73">
        <v>0</v>
      </c>
      <c r="AW53" s="40">
        <v>0</v>
      </c>
      <c r="AX53" s="55">
        <v>0</v>
      </c>
      <c r="AY53" s="73">
        <v>0</v>
      </c>
      <c r="AZ53" s="40">
        <v>0</v>
      </c>
      <c r="BA53" s="35">
        <v>0</v>
      </c>
      <c r="BB53" s="73">
        <v>0</v>
      </c>
      <c r="BC53" s="40">
        <v>0</v>
      </c>
      <c r="BD53" s="55">
        <v>0</v>
      </c>
      <c r="BE53" s="73">
        <v>0</v>
      </c>
      <c r="BF53" s="40">
        <v>0</v>
      </c>
      <c r="BG53" s="38">
        <v>0</v>
      </c>
      <c r="BH53" s="73">
        <v>0</v>
      </c>
      <c r="BI53" s="40">
        <v>0</v>
      </c>
      <c r="BJ53" s="55">
        <v>0</v>
      </c>
      <c r="BK53" s="73">
        <v>0</v>
      </c>
      <c r="BL53" s="40">
        <v>0</v>
      </c>
      <c r="BM53" s="38">
        <v>0</v>
      </c>
      <c r="BN53" s="73">
        <v>4.87</v>
      </c>
      <c r="BO53" s="40">
        <v>0</v>
      </c>
      <c r="BP53" s="55">
        <v>-4.87</v>
      </c>
      <c r="BQ53" s="77">
        <v>4.87</v>
      </c>
      <c r="BR53" s="40">
        <v>0</v>
      </c>
      <c r="BS53" s="55">
        <v>-4.87</v>
      </c>
      <c r="BT53" s="73">
        <v>0</v>
      </c>
      <c r="BU53" s="40">
        <v>0</v>
      </c>
      <c r="BV53" s="52">
        <v>0</v>
      </c>
      <c r="BW53" s="73">
        <v>0</v>
      </c>
      <c r="BX53" s="40">
        <v>0.90667101304943087</v>
      </c>
      <c r="BY53" s="52">
        <v>0.90667101304943087</v>
      </c>
      <c r="BZ53" s="73">
        <v>0</v>
      </c>
      <c r="CA53" s="40">
        <v>0</v>
      </c>
      <c r="CB53" s="52">
        <v>0</v>
      </c>
      <c r="CC53" s="73">
        <v>0</v>
      </c>
      <c r="CD53" s="40">
        <v>0</v>
      </c>
      <c r="CE53" s="52">
        <v>0</v>
      </c>
      <c r="CF53" s="73">
        <v>0</v>
      </c>
      <c r="CG53" s="40">
        <v>0</v>
      </c>
      <c r="CH53" s="52">
        <v>0</v>
      </c>
      <c r="CI53" s="73">
        <v>0</v>
      </c>
      <c r="CJ53" s="40">
        <v>0</v>
      </c>
      <c r="CK53" s="52">
        <v>0</v>
      </c>
      <c r="CL53" s="73">
        <v>0</v>
      </c>
      <c r="CM53" s="40">
        <v>0</v>
      </c>
      <c r="CN53" s="52">
        <v>0</v>
      </c>
      <c r="CO53" s="39">
        <v>0</v>
      </c>
      <c r="CP53" s="40">
        <v>0</v>
      </c>
      <c r="CQ53" s="52">
        <v>0</v>
      </c>
      <c r="CR53" s="72">
        <v>109.51150243444097</v>
      </c>
      <c r="CS53" s="5">
        <v>0.90667101304943087</v>
      </c>
      <c r="CT53" s="52">
        <v>-108.60483142139154</v>
      </c>
      <c r="CU53" s="77">
        <v>131.41380292132916</v>
      </c>
      <c r="CV53" s="65">
        <v>1.088005215659317</v>
      </c>
      <c r="CW53" s="35">
        <v>-130.32579770566986</v>
      </c>
      <c r="CX53" s="73">
        <v>7.3372308851845371</v>
      </c>
      <c r="CY53" s="40">
        <v>137.6630285908544</v>
      </c>
      <c r="CZ53" s="52">
        <v>130.32579770566986</v>
      </c>
      <c r="DA53" s="150">
        <v>-623.92636644237723</v>
      </c>
      <c r="DB53" s="2">
        <v>3</v>
      </c>
      <c r="DC53" s="648">
        <v>78.959999999999994</v>
      </c>
      <c r="DD53" s="648"/>
      <c r="DE53" s="649">
        <v>-59.79103380651371</v>
      </c>
      <c r="DG53" s="321">
        <v>567.32436976125905</v>
      </c>
      <c r="DH53" s="5">
        <v>1665.0124056781644</v>
      </c>
      <c r="DI53" s="306">
        <v>0.28333571471744479</v>
      </c>
      <c r="DJ53" s="306"/>
      <c r="DK53" s="306"/>
      <c r="DL53" s="28">
        <v>69.190581534000017</v>
      </c>
      <c r="DM53" s="28">
        <v>0</v>
      </c>
      <c r="DN53" s="650">
        <v>68.97</v>
      </c>
      <c r="DO53" s="94">
        <v>0.22058153400001856</v>
      </c>
      <c r="DP53" s="28">
        <v>69.190581534000017</v>
      </c>
      <c r="DQ53" s="318">
        <v>0.19833500030220819</v>
      </c>
      <c r="DS53" s="8">
        <v>65.706901460664582</v>
      </c>
      <c r="DT53" s="5">
        <v>3.2853450730332292</v>
      </c>
      <c r="DW53" s="5">
        <v>17.268002921329163</v>
      </c>
      <c r="DX53" s="5">
        <v>0</v>
      </c>
    </row>
    <row r="54" spans="1:128" x14ac:dyDescent="0.3">
      <c r="A54" s="325">
        <v>150000988</v>
      </c>
      <c r="B54" s="41" t="s">
        <v>503</v>
      </c>
      <c r="C54" s="42" t="s">
        <v>52</v>
      </c>
      <c r="D54" s="42" t="s">
        <v>52</v>
      </c>
      <c r="E54" s="293">
        <v>323.7</v>
      </c>
      <c r="F54" s="305">
        <v>323.7</v>
      </c>
      <c r="G54" s="51"/>
      <c r="H54" s="651">
        <v>0</v>
      </c>
      <c r="I54" s="73">
        <v>0</v>
      </c>
      <c r="J54" s="40">
        <v>0</v>
      </c>
      <c r="K54" s="52">
        <v>0</v>
      </c>
      <c r="L54" s="73">
        <v>0</v>
      </c>
      <c r="M54" s="40">
        <v>0</v>
      </c>
      <c r="N54" s="52">
        <v>0</v>
      </c>
      <c r="O54" s="73">
        <v>0</v>
      </c>
      <c r="P54" s="40">
        <v>0</v>
      </c>
      <c r="Q54" s="52">
        <v>0</v>
      </c>
      <c r="R54" s="73">
        <v>0</v>
      </c>
      <c r="S54" s="40">
        <v>0</v>
      </c>
      <c r="T54" s="52">
        <v>0</v>
      </c>
      <c r="U54" s="73">
        <v>0</v>
      </c>
      <c r="V54" s="40">
        <v>0</v>
      </c>
      <c r="W54" s="52">
        <v>0</v>
      </c>
      <c r="X54" s="73">
        <v>0</v>
      </c>
      <c r="Y54" s="40">
        <v>0</v>
      </c>
      <c r="Z54" s="52">
        <v>0</v>
      </c>
      <c r="AA54" s="73">
        <v>25.024000000000001</v>
      </c>
      <c r="AB54" s="40">
        <v>0</v>
      </c>
      <c r="AC54" s="52">
        <v>-25.024000000000001</v>
      </c>
      <c r="AD54" s="73">
        <v>187.89768077939436</v>
      </c>
      <c r="AE54" s="40">
        <v>291.75247488015191</v>
      </c>
      <c r="AF54" s="35">
        <v>103.85479410075754</v>
      </c>
      <c r="AG54" s="77">
        <v>212.92168077939436</v>
      </c>
      <c r="AH54" s="53">
        <v>291.75247488015191</v>
      </c>
      <c r="AI54" s="52">
        <v>78.830794100757544</v>
      </c>
      <c r="AJ54" s="73">
        <v>0</v>
      </c>
      <c r="AK54" s="40">
        <v>0</v>
      </c>
      <c r="AL54" s="52">
        <v>0</v>
      </c>
      <c r="AM54" s="73">
        <v>0</v>
      </c>
      <c r="AN54" s="40">
        <v>0</v>
      </c>
      <c r="AO54" s="52">
        <v>0</v>
      </c>
      <c r="AP54" s="73">
        <v>63.034583333333323</v>
      </c>
      <c r="AQ54" s="40">
        <v>0</v>
      </c>
      <c r="AR54" s="52">
        <v>-63.034583333333323</v>
      </c>
      <c r="AS54" s="73">
        <v>252.06523886076616</v>
      </c>
      <c r="AT54" s="40">
        <v>0</v>
      </c>
      <c r="AU54" s="54">
        <v>-252.06523886076616</v>
      </c>
      <c r="AV54" s="73">
        <v>0</v>
      </c>
      <c r="AW54" s="40">
        <v>0</v>
      </c>
      <c r="AX54" s="55">
        <v>0</v>
      </c>
      <c r="AY54" s="73">
        <v>0</v>
      </c>
      <c r="AZ54" s="40">
        <v>0</v>
      </c>
      <c r="BA54" s="35">
        <v>0</v>
      </c>
      <c r="BB54" s="73">
        <v>0</v>
      </c>
      <c r="BC54" s="40">
        <v>0</v>
      </c>
      <c r="BD54" s="55">
        <v>0</v>
      </c>
      <c r="BE54" s="73">
        <v>0</v>
      </c>
      <c r="BF54" s="40">
        <v>0</v>
      </c>
      <c r="BG54" s="38">
        <v>0</v>
      </c>
      <c r="BH54" s="73">
        <v>0</v>
      </c>
      <c r="BI54" s="40">
        <v>0</v>
      </c>
      <c r="BJ54" s="55">
        <v>0</v>
      </c>
      <c r="BK54" s="73">
        <v>0</v>
      </c>
      <c r="BL54" s="40">
        <v>0</v>
      </c>
      <c r="BM54" s="38">
        <v>0</v>
      </c>
      <c r="BN54" s="73">
        <v>6.2560000000000002</v>
      </c>
      <c r="BO54" s="40">
        <v>0</v>
      </c>
      <c r="BP54" s="55">
        <v>-6.2560000000000002</v>
      </c>
      <c r="BQ54" s="77">
        <v>6.2560000000000002</v>
      </c>
      <c r="BR54" s="40">
        <v>0</v>
      </c>
      <c r="BS54" s="55">
        <v>-6.2560000000000002</v>
      </c>
      <c r="BT54" s="73">
        <v>0</v>
      </c>
      <c r="BU54" s="40">
        <v>0</v>
      </c>
      <c r="BV54" s="52">
        <v>0</v>
      </c>
      <c r="BW54" s="73">
        <v>0</v>
      </c>
      <c r="BX54" s="40">
        <v>1.2018403231945158</v>
      </c>
      <c r="BY54" s="52">
        <v>1.2018403231945158</v>
      </c>
      <c r="BZ54" s="73">
        <v>0</v>
      </c>
      <c r="CA54" s="40">
        <v>0</v>
      </c>
      <c r="CB54" s="52">
        <v>0</v>
      </c>
      <c r="CC54" s="73">
        <v>0</v>
      </c>
      <c r="CD54" s="40">
        <v>0</v>
      </c>
      <c r="CE54" s="52">
        <v>0</v>
      </c>
      <c r="CF54" s="73">
        <v>0</v>
      </c>
      <c r="CG54" s="40">
        <v>0</v>
      </c>
      <c r="CH54" s="52">
        <v>0</v>
      </c>
      <c r="CI54" s="73">
        <v>0</v>
      </c>
      <c r="CJ54" s="40">
        <v>0</v>
      </c>
      <c r="CK54" s="52">
        <v>0</v>
      </c>
      <c r="CL54" s="73">
        <v>0</v>
      </c>
      <c r="CM54" s="40">
        <v>0</v>
      </c>
      <c r="CN54" s="52">
        <v>0</v>
      </c>
      <c r="CO54" s="39">
        <v>0</v>
      </c>
      <c r="CP54" s="40">
        <v>0</v>
      </c>
      <c r="CQ54" s="52">
        <v>0</v>
      </c>
      <c r="CR54" s="72">
        <v>534.27750297349382</v>
      </c>
      <c r="CS54" s="5">
        <v>292.95431520334643</v>
      </c>
      <c r="CT54" s="52">
        <v>-241.3231877701474</v>
      </c>
      <c r="CU54" s="77">
        <v>641.13300356819252</v>
      </c>
      <c r="CV54" s="65">
        <v>351.54517824401569</v>
      </c>
      <c r="CW54" s="35">
        <v>-289.58782532417683</v>
      </c>
      <c r="CX54" s="73">
        <v>35.796398633314055</v>
      </c>
      <c r="CY54" s="40">
        <v>325.38422395749092</v>
      </c>
      <c r="CZ54" s="52">
        <v>289.58782532417683</v>
      </c>
      <c r="DA54" s="150">
        <v>-2358.0047088802917</v>
      </c>
      <c r="DB54" s="2">
        <v>3</v>
      </c>
      <c r="DC54" s="648">
        <v>414.94</v>
      </c>
      <c r="DD54" s="648"/>
      <c r="DE54" s="649">
        <v>-261.98940220150661</v>
      </c>
      <c r="DG54" s="321">
        <v>-2434.7371685742719</v>
      </c>
      <c r="DH54" s="5">
        <v>8123.1528264180797</v>
      </c>
      <c r="DI54" s="306">
        <v>1.0760704183929062</v>
      </c>
      <c r="DJ54" s="306"/>
      <c r="DK54" s="306"/>
      <c r="DL54" s="28">
        <v>348.3239944337837</v>
      </c>
      <c r="DM54" s="28">
        <v>0</v>
      </c>
      <c r="DN54" s="650">
        <v>348.32</v>
      </c>
      <c r="DO54" s="94">
        <v>3.9944337837027888E-3</v>
      </c>
      <c r="DP54" s="28">
        <v>348.3239944337837</v>
      </c>
      <c r="DQ54" s="318">
        <v>11.729167560482608</v>
      </c>
      <c r="DS54" s="8">
        <v>320.56650178409626</v>
      </c>
      <c r="DT54" s="5">
        <v>16.028325089204813</v>
      </c>
      <c r="DW54" s="5">
        <v>309.98548663291933</v>
      </c>
      <c r="DX54" s="5">
        <v>0</v>
      </c>
    </row>
    <row r="55" spans="1:128" x14ac:dyDescent="0.3">
      <c r="A55" s="325">
        <v>150000548</v>
      </c>
      <c r="B55" s="41" t="s">
        <v>504</v>
      </c>
      <c r="C55" s="42" t="s">
        <v>247</v>
      </c>
      <c r="D55" s="42" t="s">
        <v>247</v>
      </c>
      <c r="E55" s="293">
        <v>2189.9</v>
      </c>
      <c r="F55" s="305">
        <v>2189.9</v>
      </c>
      <c r="G55" s="51"/>
      <c r="H55" s="651">
        <v>0</v>
      </c>
      <c r="I55" s="73">
        <v>1067.7884649343659</v>
      </c>
      <c r="J55" s="40">
        <v>1180.2190894459927</v>
      </c>
      <c r="K55" s="52">
        <v>112.43062451162677</v>
      </c>
      <c r="L55" s="73">
        <v>273.65687012551541</v>
      </c>
      <c r="M55" s="40">
        <v>317.30882361883289</v>
      </c>
      <c r="N55" s="52">
        <v>43.651953493317478</v>
      </c>
      <c r="O55" s="73">
        <v>442.36762494685996</v>
      </c>
      <c r="P55" s="40">
        <v>442.36</v>
      </c>
      <c r="Q55" s="52">
        <v>-7.6249468599485226E-3</v>
      </c>
      <c r="R55" s="73">
        <v>86.777611965690014</v>
      </c>
      <c r="S55" s="40">
        <v>86.76</v>
      </c>
      <c r="T55" s="52">
        <v>-1.7611965690008446E-2</v>
      </c>
      <c r="U55" s="73">
        <v>59.013359818333555</v>
      </c>
      <c r="V55" s="40">
        <v>110.61146614181885</v>
      </c>
      <c r="W55" s="52">
        <v>51.598106323485297</v>
      </c>
      <c r="X55" s="73">
        <v>661.64280847373675</v>
      </c>
      <c r="Y55" s="40">
        <v>650.94285386858246</v>
      </c>
      <c r="Z55" s="52">
        <v>-10.699954605154289</v>
      </c>
      <c r="AA55" s="73">
        <v>175.21599999999998</v>
      </c>
      <c r="AB55" s="40">
        <v>0</v>
      </c>
      <c r="AC55" s="52">
        <v>-175.21599999999998</v>
      </c>
      <c r="AD55" s="73">
        <v>1577.846371879587</v>
      </c>
      <c r="AE55" s="40">
        <v>1973.7681332716861</v>
      </c>
      <c r="AF55" s="35">
        <v>395.92176139209914</v>
      </c>
      <c r="AG55" s="77">
        <v>4344.3091121440884</v>
      </c>
      <c r="AH55" s="53">
        <v>4761.9703663469136</v>
      </c>
      <c r="AI55" s="52">
        <v>417.66125420282515</v>
      </c>
      <c r="AJ55" s="73">
        <v>0</v>
      </c>
      <c r="AK55" s="40">
        <v>0</v>
      </c>
      <c r="AL55" s="52">
        <v>0</v>
      </c>
      <c r="AM55" s="73">
        <v>0</v>
      </c>
      <c r="AN55" s="40">
        <v>0</v>
      </c>
      <c r="AO55" s="52">
        <v>0</v>
      </c>
      <c r="AP55" s="73">
        <v>189.10374999999999</v>
      </c>
      <c r="AQ55" s="40">
        <v>0</v>
      </c>
      <c r="AR55" s="52">
        <v>-189.10374999999999</v>
      </c>
      <c r="AS55" s="73">
        <v>2701.439738381117</v>
      </c>
      <c r="AT55" s="40">
        <v>0</v>
      </c>
      <c r="AU55" s="54">
        <v>-2701.439738381117</v>
      </c>
      <c r="AV55" s="73">
        <v>551.50226396631319</v>
      </c>
      <c r="AW55" s="40">
        <v>0</v>
      </c>
      <c r="AX55" s="55">
        <v>-551.50226396631319</v>
      </c>
      <c r="AY55" s="73">
        <v>725.8907886270672</v>
      </c>
      <c r="AZ55" s="40">
        <v>0</v>
      </c>
      <c r="BA55" s="35">
        <v>-725.8907886270672</v>
      </c>
      <c r="BB55" s="73">
        <v>127.6258008973366</v>
      </c>
      <c r="BC55" s="40">
        <v>0</v>
      </c>
      <c r="BD55" s="55">
        <v>-127.6258008973366</v>
      </c>
      <c r="BE55" s="73">
        <v>381.03804913840179</v>
      </c>
      <c r="BF55" s="40">
        <v>0</v>
      </c>
      <c r="BG55" s="38">
        <v>-381.03804913840179</v>
      </c>
      <c r="BH55" s="73">
        <v>284.94336756732315</v>
      </c>
      <c r="BI55" s="40">
        <v>0</v>
      </c>
      <c r="BJ55" s="55">
        <v>-284.94336756732315</v>
      </c>
      <c r="BK55" s="73">
        <v>374.64130113173059</v>
      </c>
      <c r="BL55" s="40">
        <v>0</v>
      </c>
      <c r="BM55" s="38">
        <v>-374.64130113173059</v>
      </c>
      <c r="BN55" s="73">
        <v>83.157029451153065</v>
      </c>
      <c r="BO55" s="40">
        <v>0</v>
      </c>
      <c r="BP55" s="55">
        <v>-83.157029451153065</v>
      </c>
      <c r="BQ55" s="77">
        <v>2528.7986007793252</v>
      </c>
      <c r="BR55" s="40">
        <v>0</v>
      </c>
      <c r="BS55" s="55">
        <v>-2528.7986007793252</v>
      </c>
      <c r="BT55" s="73">
        <v>3747.16678730694</v>
      </c>
      <c r="BU55" s="40">
        <v>848.57599320511667</v>
      </c>
      <c r="BV55" s="52">
        <v>-2898.5907941018231</v>
      </c>
      <c r="BW55" s="73">
        <v>1863.579519505706</v>
      </c>
      <c r="BX55" s="40">
        <v>2005.9587912809077</v>
      </c>
      <c r="BY55" s="52">
        <v>142.37927177520169</v>
      </c>
      <c r="BZ55" s="73">
        <v>1083.6676544635279</v>
      </c>
      <c r="CA55" s="40">
        <v>5111.8692328876232</v>
      </c>
      <c r="CB55" s="52">
        <v>4028.2015784240953</v>
      </c>
      <c r="CC55" s="73">
        <v>87.264216930000003</v>
      </c>
      <c r="CD55" s="40">
        <v>99.480929028650849</v>
      </c>
      <c r="CE55" s="52">
        <v>12.216712098650845</v>
      </c>
      <c r="CF55" s="73">
        <v>9.3674433599999993</v>
      </c>
      <c r="CG55" s="40">
        <v>0</v>
      </c>
      <c r="CH55" s="52">
        <v>-9.3674433599999993</v>
      </c>
      <c r="CI55" s="73">
        <v>1096.3599999999999</v>
      </c>
      <c r="CJ55" s="40">
        <v>713.11682190495731</v>
      </c>
      <c r="CK55" s="52">
        <v>-383.24317809504259</v>
      </c>
      <c r="CL55" s="73">
        <v>0</v>
      </c>
      <c r="CM55" s="40">
        <v>0</v>
      </c>
      <c r="CN55" s="52">
        <v>0</v>
      </c>
      <c r="CO55" s="39">
        <v>1096.3599999999999</v>
      </c>
      <c r="CP55" s="40">
        <v>713.11682190495731</v>
      </c>
      <c r="CQ55" s="52">
        <v>-383.24317809504259</v>
      </c>
      <c r="CR55" s="72">
        <v>17651.056822870705</v>
      </c>
      <c r="CS55" s="5">
        <v>13540.97213465417</v>
      </c>
      <c r="CT55" s="52">
        <v>-4110.0846882165351</v>
      </c>
      <c r="CU55" s="77">
        <v>21181.268187444846</v>
      </c>
      <c r="CV55" s="65">
        <v>16249.166561585003</v>
      </c>
      <c r="CW55" s="35">
        <v>-4932.1016258598429</v>
      </c>
      <c r="CX55" s="73">
        <v>1182.6143957293002</v>
      </c>
      <c r="CY55" s="40">
        <v>6114.7160215891417</v>
      </c>
      <c r="CZ55" s="52">
        <v>4932.1016258598411</v>
      </c>
      <c r="DA55" s="150">
        <v>10492.533651469348</v>
      </c>
      <c r="DB55" s="2">
        <v>1</v>
      </c>
      <c r="DC55" s="648">
        <v>11415.79</v>
      </c>
      <c r="DD55" s="648"/>
      <c r="DE55" s="649">
        <v>-10948.092583174144</v>
      </c>
      <c r="DG55" s="321">
        <v>-10707.956478210799</v>
      </c>
      <c r="DH55" s="5">
        <v>268366.59099808976</v>
      </c>
      <c r="DI55" s="306">
        <v>5.0772376031451678</v>
      </c>
      <c r="DJ55" s="306"/>
      <c r="DK55" s="306"/>
      <c r="DL55" s="28">
        <v>11118.642627127603</v>
      </c>
      <c r="DM55" s="28">
        <v>0</v>
      </c>
      <c r="DN55" s="650">
        <v>11118.55</v>
      </c>
      <c r="DO55" s="94">
        <v>9.262712760391878E-2</v>
      </c>
      <c r="DP55" s="28">
        <v>11118.642627127603</v>
      </c>
      <c r="DQ55" s="318">
        <v>-1.5231712809418241</v>
      </c>
      <c r="DS55" s="8">
        <v>10590.634093722423</v>
      </c>
      <c r="DT55" s="5">
        <v>529.53170468612109</v>
      </c>
      <c r="DW55" s="5">
        <v>6276.28600699253</v>
      </c>
      <c r="DX55" s="5">
        <v>0</v>
      </c>
    </row>
    <row r="56" spans="1:128" x14ac:dyDescent="0.3">
      <c r="A56" s="325">
        <v>150000549</v>
      </c>
      <c r="B56" s="41" t="s">
        <v>505</v>
      </c>
      <c r="C56" s="42" t="s">
        <v>207</v>
      </c>
      <c r="D56" s="42" t="s">
        <v>207</v>
      </c>
      <c r="E56" s="293">
        <v>1171.78</v>
      </c>
      <c r="F56" s="305">
        <v>1171.78</v>
      </c>
      <c r="G56" s="51"/>
      <c r="H56" s="651">
        <v>0</v>
      </c>
      <c r="I56" s="73">
        <v>828.73808854887966</v>
      </c>
      <c r="J56" s="40">
        <v>918.06233782308277</v>
      </c>
      <c r="K56" s="52">
        <v>89.324249274203112</v>
      </c>
      <c r="L56" s="73">
        <v>210.31981184410625</v>
      </c>
      <c r="M56" s="40">
        <v>241.76661929640721</v>
      </c>
      <c r="N56" s="52">
        <v>31.446807452300959</v>
      </c>
      <c r="O56" s="73">
        <v>226.63384622551337</v>
      </c>
      <c r="P56" s="40">
        <v>226.64</v>
      </c>
      <c r="Q56" s="52">
        <v>6.1537744866200228E-3</v>
      </c>
      <c r="R56" s="73">
        <v>44.362397266443338</v>
      </c>
      <c r="S56" s="40">
        <v>44.36</v>
      </c>
      <c r="T56" s="52">
        <v>-2.3972664433387081E-3</v>
      </c>
      <c r="U56" s="73">
        <v>0</v>
      </c>
      <c r="V56" s="40">
        <v>0</v>
      </c>
      <c r="W56" s="52">
        <v>0</v>
      </c>
      <c r="X56" s="73">
        <v>324.69218407853737</v>
      </c>
      <c r="Y56" s="40">
        <v>329.7256824727757</v>
      </c>
      <c r="Z56" s="52">
        <v>5.033498394238336</v>
      </c>
      <c r="AA56" s="73">
        <v>93.627200000000002</v>
      </c>
      <c r="AB56" s="40">
        <v>0</v>
      </c>
      <c r="AC56" s="52">
        <v>-93.627200000000002</v>
      </c>
      <c r="AD56" s="73">
        <v>843.15072957245116</v>
      </c>
      <c r="AE56" s="40">
        <v>1056.1313407941441</v>
      </c>
      <c r="AF56" s="35">
        <v>212.98061122169293</v>
      </c>
      <c r="AG56" s="77">
        <v>2571.5242575359307</v>
      </c>
      <c r="AH56" s="53">
        <v>2816.6859803864099</v>
      </c>
      <c r="AI56" s="52">
        <v>245.16172285047924</v>
      </c>
      <c r="AJ56" s="73">
        <v>0</v>
      </c>
      <c r="AK56" s="40">
        <v>0</v>
      </c>
      <c r="AL56" s="52">
        <v>0</v>
      </c>
      <c r="AM56" s="73">
        <v>0</v>
      </c>
      <c r="AN56" s="40">
        <v>0</v>
      </c>
      <c r="AO56" s="52">
        <v>0</v>
      </c>
      <c r="AP56" s="73">
        <v>226.92449999999997</v>
      </c>
      <c r="AQ56" s="40">
        <v>1338.4771788626497</v>
      </c>
      <c r="AR56" s="52">
        <v>1111.5526788626498</v>
      </c>
      <c r="AS56" s="73">
        <v>1200.6128785652093</v>
      </c>
      <c r="AT56" s="40">
        <v>1558</v>
      </c>
      <c r="AU56" s="54">
        <v>357.38712143479074</v>
      </c>
      <c r="AV56" s="73">
        <v>309.75005208915098</v>
      </c>
      <c r="AW56" s="40">
        <v>0</v>
      </c>
      <c r="AX56" s="55">
        <v>-309.75005208915098</v>
      </c>
      <c r="AY56" s="73">
        <v>551.55885684934628</v>
      </c>
      <c r="AZ56" s="40">
        <v>0</v>
      </c>
      <c r="BA56" s="35">
        <v>-551.55885684934628</v>
      </c>
      <c r="BB56" s="73">
        <v>49.418518721313404</v>
      </c>
      <c r="BC56" s="40">
        <v>0</v>
      </c>
      <c r="BD56" s="55">
        <v>-49.418518721313404</v>
      </c>
      <c r="BE56" s="73">
        <v>200.25494154948001</v>
      </c>
      <c r="BF56" s="40">
        <v>0</v>
      </c>
      <c r="BG56" s="38">
        <v>-200.25494154948001</v>
      </c>
      <c r="BH56" s="73">
        <v>0</v>
      </c>
      <c r="BI56" s="40">
        <v>0</v>
      </c>
      <c r="BJ56" s="55">
        <v>0</v>
      </c>
      <c r="BK56" s="73">
        <v>158.07126306531319</v>
      </c>
      <c r="BL56" s="40">
        <v>0</v>
      </c>
      <c r="BM56" s="38">
        <v>-158.07126306531319</v>
      </c>
      <c r="BN56" s="73">
        <v>38.312126922680143</v>
      </c>
      <c r="BO56" s="40">
        <v>0</v>
      </c>
      <c r="BP56" s="55">
        <v>-38.312126922680143</v>
      </c>
      <c r="BQ56" s="77">
        <v>1307.365759197284</v>
      </c>
      <c r="BR56" s="40">
        <v>0</v>
      </c>
      <c r="BS56" s="55">
        <v>-1307.365759197284</v>
      </c>
      <c r="BT56" s="73">
        <v>1756.9300857361679</v>
      </c>
      <c r="BU56" s="40">
        <v>494.18997488767258</v>
      </c>
      <c r="BV56" s="52">
        <v>-1262.7401108484953</v>
      </c>
      <c r="BW56" s="73">
        <v>828.27778961825595</v>
      </c>
      <c r="BX56" s="40">
        <v>1380.3800976906791</v>
      </c>
      <c r="BY56" s="52">
        <v>552.10230807242317</v>
      </c>
      <c r="BZ56" s="73">
        <v>1027.0394257068519</v>
      </c>
      <c r="CA56" s="40">
        <v>3023.4834349420903</v>
      </c>
      <c r="CB56" s="52">
        <v>1996.4440092352384</v>
      </c>
      <c r="CC56" s="73">
        <v>77.734878512500003</v>
      </c>
      <c r="CD56" s="40">
        <v>98.08318341729867</v>
      </c>
      <c r="CE56" s="52">
        <v>20.348304904798667</v>
      </c>
      <c r="CF56" s="73">
        <v>9.2358271500000004</v>
      </c>
      <c r="CG56" s="40">
        <v>0</v>
      </c>
      <c r="CH56" s="52">
        <v>-9.2358271500000004</v>
      </c>
      <c r="CI56" s="73">
        <v>149.5</v>
      </c>
      <c r="CJ56" s="40">
        <v>222.37228124212726</v>
      </c>
      <c r="CK56" s="52">
        <v>72.872281242127258</v>
      </c>
      <c r="CL56" s="73">
        <v>0</v>
      </c>
      <c r="CM56" s="40">
        <v>0</v>
      </c>
      <c r="CN56" s="52">
        <v>0</v>
      </c>
      <c r="CO56" s="39">
        <v>149.5</v>
      </c>
      <c r="CP56" s="40">
        <v>222.37228124212726</v>
      </c>
      <c r="CQ56" s="52">
        <v>72.872281242127258</v>
      </c>
      <c r="CR56" s="72">
        <v>9155.1454020221991</v>
      </c>
      <c r="CS56" s="5">
        <v>10931.672131428928</v>
      </c>
      <c r="CT56" s="52">
        <v>1776.5267294067289</v>
      </c>
      <c r="CU56" s="77">
        <v>10986.174482426639</v>
      </c>
      <c r="CV56" s="65">
        <v>13118.006557714712</v>
      </c>
      <c r="CW56" s="35">
        <v>2131.8320752880736</v>
      </c>
      <c r="CX56" s="73">
        <v>613.39141650700878</v>
      </c>
      <c r="CY56" s="40">
        <v>-1518.4406587810645</v>
      </c>
      <c r="CZ56" s="52">
        <v>-2131.8320752880732</v>
      </c>
      <c r="DA56" s="150">
        <v>-17072.002354111228</v>
      </c>
      <c r="DB56" s="2">
        <v>1</v>
      </c>
      <c r="DC56" s="648">
        <v>27955.05</v>
      </c>
      <c r="DD56" s="648"/>
      <c r="DE56" s="649">
        <v>16355.484101066351</v>
      </c>
      <c r="DG56" s="321">
        <v>-7717.5163333766923</v>
      </c>
      <c r="DH56" s="5">
        <v>139194.79078720376</v>
      </c>
      <c r="DI56" s="306">
        <v>4.9282615336346582</v>
      </c>
      <c r="DJ56" s="306"/>
      <c r="DK56" s="306"/>
      <c r="DL56" s="28">
        <v>5774.83829988242</v>
      </c>
      <c r="DM56" s="28">
        <v>0</v>
      </c>
      <c r="DN56" s="650">
        <v>5774.88</v>
      </c>
      <c r="DO56" s="94">
        <v>-4.1700117580148799E-2</v>
      </c>
      <c r="DP56" s="28">
        <v>5774.83829988242</v>
      </c>
      <c r="DQ56" s="318">
        <v>7.0966966084342857</v>
      </c>
      <c r="DS56" s="8">
        <v>5493.0872412133194</v>
      </c>
      <c r="DT56" s="5">
        <v>274.65436206066596</v>
      </c>
      <c r="DW56" s="5">
        <v>3009.5743653149916</v>
      </c>
      <c r="DX56" s="5">
        <v>1869.6</v>
      </c>
    </row>
    <row r="57" spans="1:128" x14ac:dyDescent="0.3">
      <c r="A57" s="325">
        <v>150000547</v>
      </c>
      <c r="B57" s="41" t="s">
        <v>506</v>
      </c>
      <c r="C57" s="42" t="s">
        <v>248</v>
      </c>
      <c r="D57" s="42" t="s">
        <v>248</v>
      </c>
      <c r="E57" s="293">
        <v>2743.2</v>
      </c>
      <c r="F57" s="305">
        <v>2743.2</v>
      </c>
      <c r="G57" s="51"/>
      <c r="H57" s="651">
        <v>0</v>
      </c>
      <c r="I57" s="73">
        <v>1522.4099884291597</v>
      </c>
      <c r="J57" s="40">
        <v>1686.5277663561624</v>
      </c>
      <c r="K57" s="52">
        <v>164.11777792700263</v>
      </c>
      <c r="L57" s="73">
        <v>311.84626119014803</v>
      </c>
      <c r="M57" s="40">
        <v>362.62101221787145</v>
      </c>
      <c r="N57" s="52">
        <v>50.774751027723426</v>
      </c>
      <c r="O57" s="73">
        <v>550.34200938916001</v>
      </c>
      <c r="P57" s="40">
        <v>550.36</v>
      </c>
      <c r="Q57" s="52">
        <v>1.7990610840001864E-2</v>
      </c>
      <c r="R57" s="73">
        <v>119.17107354495667</v>
      </c>
      <c r="S57" s="40">
        <v>119.16</v>
      </c>
      <c r="T57" s="52">
        <v>-1.1073544956673231E-2</v>
      </c>
      <c r="U57" s="73">
        <v>78.670373845636448</v>
      </c>
      <c r="V57" s="40">
        <v>147.45496328276144</v>
      </c>
      <c r="W57" s="52">
        <v>68.784589437124993</v>
      </c>
      <c r="X57" s="73">
        <v>850.72073037185226</v>
      </c>
      <c r="Y57" s="40">
        <v>862.82641795713948</v>
      </c>
      <c r="Z57" s="52">
        <v>12.105687585287228</v>
      </c>
      <c r="AA57" s="73">
        <v>219.45599999999999</v>
      </c>
      <c r="AB57" s="40">
        <v>0</v>
      </c>
      <c r="AC57" s="52">
        <v>-219.45599999999999</v>
      </c>
      <c r="AD57" s="73">
        <v>1976.2635009227031</v>
      </c>
      <c r="AE57" s="40">
        <v>2472.4602690492206</v>
      </c>
      <c r="AF57" s="35">
        <v>496.19676812651755</v>
      </c>
      <c r="AG57" s="77">
        <v>5628.8799376936158</v>
      </c>
      <c r="AH57" s="53">
        <v>6201.4104288631552</v>
      </c>
      <c r="AI57" s="52">
        <v>572.53049116953935</v>
      </c>
      <c r="AJ57" s="73">
        <v>0</v>
      </c>
      <c r="AK57" s="40">
        <v>0</v>
      </c>
      <c r="AL57" s="52">
        <v>0</v>
      </c>
      <c r="AM57" s="73">
        <v>0</v>
      </c>
      <c r="AN57" s="40">
        <v>0</v>
      </c>
      <c r="AO57" s="52">
        <v>0</v>
      </c>
      <c r="AP57" s="73">
        <v>378.20749999999998</v>
      </c>
      <c r="AQ57" s="40">
        <v>0</v>
      </c>
      <c r="AR57" s="52">
        <v>-378.20749999999998</v>
      </c>
      <c r="AS57" s="73">
        <v>5555.404982942553</v>
      </c>
      <c r="AT57" s="40">
        <v>0</v>
      </c>
      <c r="AU57" s="54">
        <v>-5555.404982942553</v>
      </c>
      <c r="AV57" s="73">
        <v>702.41589016183218</v>
      </c>
      <c r="AW57" s="40">
        <v>0</v>
      </c>
      <c r="AX57" s="55">
        <v>-702.41589016183218</v>
      </c>
      <c r="AY57" s="73">
        <v>863.07667294638827</v>
      </c>
      <c r="AZ57" s="40">
        <v>0</v>
      </c>
      <c r="BA57" s="35">
        <v>-863.07667294638827</v>
      </c>
      <c r="BB57" s="73">
        <v>150.94097689944658</v>
      </c>
      <c r="BC57" s="40">
        <v>0</v>
      </c>
      <c r="BD57" s="55">
        <v>-150.94097689944658</v>
      </c>
      <c r="BE57" s="73">
        <v>514.39884367144805</v>
      </c>
      <c r="BF57" s="40">
        <v>0</v>
      </c>
      <c r="BG57" s="38">
        <v>-514.39884367144805</v>
      </c>
      <c r="BH57" s="73">
        <v>379.92449008976422</v>
      </c>
      <c r="BI57" s="40">
        <v>0</v>
      </c>
      <c r="BJ57" s="55">
        <v>-379.92449008976422</v>
      </c>
      <c r="BK57" s="73">
        <v>533.01338756699045</v>
      </c>
      <c r="BL57" s="40">
        <v>0</v>
      </c>
      <c r="BM57" s="38">
        <v>-533.01338756699045</v>
      </c>
      <c r="BN57" s="73">
        <v>28.022631660303556</v>
      </c>
      <c r="BO57" s="40">
        <v>0</v>
      </c>
      <c r="BP57" s="55">
        <v>-28.022631660303556</v>
      </c>
      <c r="BQ57" s="77">
        <v>3171.7928929961731</v>
      </c>
      <c r="BR57" s="40">
        <v>0</v>
      </c>
      <c r="BS57" s="55">
        <v>-3171.7928929961731</v>
      </c>
      <c r="BT57" s="73">
        <v>1786.350239888274</v>
      </c>
      <c r="BU57" s="40">
        <v>659.49387488319906</v>
      </c>
      <c r="BV57" s="52">
        <v>-1126.8563650050751</v>
      </c>
      <c r="BW57" s="73">
        <v>1959.945445106036</v>
      </c>
      <c r="BX57" s="40">
        <v>2004.8915305725764</v>
      </c>
      <c r="BY57" s="52">
        <v>44.946085466540353</v>
      </c>
      <c r="BZ57" s="73">
        <v>1232.9871890632519</v>
      </c>
      <c r="CA57" s="40">
        <v>3581.069386087479</v>
      </c>
      <c r="CB57" s="52">
        <v>2348.0821970242268</v>
      </c>
      <c r="CC57" s="73">
        <v>189.6578239875</v>
      </c>
      <c r="CD57" s="40">
        <v>239.30368828839698</v>
      </c>
      <c r="CE57" s="52">
        <v>49.645864300896989</v>
      </c>
      <c r="CF57" s="73">
        <v>22.533602850000001</v>
      </c>
      <c r="CG57" s="40">
        <v>0</v>
      </c>
      <c r="CH57" s="52">
        <v>-22.533602850000001</v>
      </c>
      <c r="CI57" s="73">
        <v>1105.7</v>
      </c>
      <c r="CJ57" s="40">
        <v>1229.9285050362178</v>
      </c>
      <c r="CK57" s="52">
        <v>124.22850503621771</v>
      </c>
      <c r="CL57" s="73">
        <v>0</v>
      </c>
      <c r="CM57" s="40">
        <v>0</v>
      </c>
      <c r="CN57" s="52">
        <v>0</v>
      </c>
      <c r="CO57" s="39">
        <v>1105.7</v>
      </c>
      <c r="CP57" s="40">
        <v>1229.9285050362178</v>
      </c>
      <c r="CQ57" s="52">
        <v>124.22850503621771</v>
      </c>
      <c r="CR57" s="72">
        <v>21031.459614527408</v>
      </c>
      <c r="CS57" s="5">
        <v>13916.097413731024</v>
      </c>
      <c r="CT57" s="52">
        <v>-7115.3622007963841</v>
      </c>
      <c r="CU57" s="77">
        <v>25237.75153743289</v>
      </c>
      <c r="CV57" s="65">
        <v>16699.316896477227</v>
      </c>
      <c r="CW57" s="35">
        <v>-8538.4346409556638</v>
      </c>
      <c r="CX57" s="73">
        <v>1409.1001549047419</v>
      </c>
      <c r="CY57" s="40">
        <v>9947.534795860407</v>
      </c>
      <c r="CZ57" s="52">
        <v>8538.4346409556656</v>
      </c>
      <c r="DA57" s="150">
        <v>-3413.8690076375515</v>
      </c>
      <c r="DB57" s="2">
        <v>1</v>
      </c>
      <c r="DC57" s="648">
        <v>22986.52</v>
      </c>
      <c r="DD57" s="648"/>
      <c r="DE57" s="649">
        <v>-3660.3316923376333</v>
      </c>
      <c r="DG57" s="321">
        <v>-91931.535221700033</v>
      </c>
      <c r="DH57" s="5">
        <v>319762.22030805162</v>
      </c>
      <c r="DI57" s="306">
        <v>4.8300596227589194</v>
      </c>
      <c r="DJ57" s="306"/>
      <c r="DK57" s="306"/>
      <c r="DL57" s="28">
        <v>13249.819557152266</v>
      </c>
      <c r="DM57" s="28">
        <v>0</v>
      </c>
      <c r="DN57" s="650">
        <v>13249.94</v>
      </c>
      <c r="DO57" s="94">
        <v>-0.12044284773401159</v>
      </c>
      <c r="DP57" s="28">
        <v>13249.819557152266</v>
      </c>
      <c r="DQ57" s="318">
        <v>0</v>
      </c>
      <c r="DS57" s="8">
        <v>12618.875768716445</v>
      </c>
      <c r="DT57" s="5">
        <v>630.94378843582217</v>
      </c>
      <c r="DW57" s="5">
        <v>10472.637451126471</v>
      </c>
      <c r="DX57" s="5">
        <v>0</v>
      </c>
    </row>
    <row r="58" spans="1:128" x14ac:dyDescent="0.3">
      <c r="A58" s="325">
        <v>150000509</v>
      </c>
      <c r="B58" s="41" t="s">
        <v>507</v>
      </c>
      <c r="C58" s="42" t="s">
        <v>53</v>
      </c>
      <c r="D58" s="42" t="s">
        <v>53</v>
      </c>
      <c r="E58" s="293">
        <v>249.8</v>
      </c>
      <c r="F58" s="305">
        <v>249.8</v>
      </c>
      <c r="G58" s="51"/>
      <c r="H58" s="651">
        <v>0</v>
      </c>
      <c r="I58" s="73">
        <v>0</v>
      </c>
      <c r="J58" s="40">
        <v>0</v>
      </c>
      <c r="K58" s="52">
        <v>0</v>
      </c>
      <c r="L58" s="73">
        <v>0</v>
      </c>
      <c r="M58" s="40">
        <v>0</v>
      </c>
      <c r="N58" s="52">
        <v>0</v>
      </c>
      <c r="O58" s="73">
        <v>0</v>
      </c>
      <c r="P58" s="40">
        <v>0</v>
      </c>
      <c r="Q58" s="52">
        <v>0</v>
      </c>
      <c r="R58" s="73">
        <v>0</v>
      </c>
      <c r="S58" s="40">
        <v>0</v>
      </c>
      <c r="T58" s="52">
        <v>0</v>
      </c>
      <c r="U58" s="73">
        <v>0</v>
      </c>
      <c r="V58" s="40">
        <v>0</v>
      </c>
      <c r="W58" s="52">
        <v>0</v>
      </c>
      <c r="X58" s="73">
        <v>0</v>
      </c>
      <c r="Y58" s="40">
        <v>0</v>
      </c>
      <c r="Z58" s="52">
        <v>0</v>
      </c>
      <c r="AA58" s="73">
        <v>19.984000000000002</v>
      </c>
      <c r="AB58" s="40">
        <v>0</v>
      </c>
      <c r="AC58" s="52">
        <v>-19.984000000000002</v>
      </c>
      <c r="AD58" s="73">
        <v>159.98039447312451</v>
      </c>
      <c r="AE58" s="40">
        <v>225.14602479166498</v>
      </c>
      <c r="AF58" s="35">
        <v>65.165630318540479</v>
      </c>
      <c r="AG58" s="77">
        <v>179.96439447312451</v>
      </c>
      <c r="AH58" s="53">
        <v>225.14602479166498</v>
      </c>
      <c r="AI58" s="52">
        <v>45.181630318540471</v>
      </c>
      <c r="AJ58" s="73">
        <v>0</v>
      </c>
      <c r="AK58" s="40">
        <v>0</v>
      </c>
      <c r="AL58" s="52">
        <v>0</v>
      </c>
      <c r="AM58" s="73">
        <v>0</v>
      </c>
      <c r="AN58" s="40">
        <v>0</v>
      </c>
      <c r="AO58" s="52">
        <v>0</v>
      </c>
      <c r="AP58" s="73">
        <v>75.641499999999994</v>
      </c>
      <c r="AQ58" s="40">
        <v>0</v>
      </c>
      <c r="AR58" s="52">
        <v>-75.641499999999994</v>
      </c>
      <c r="AS58" s="73">
        <v>235.09516375942781</v>
      </c>
      <c r="AT58" s="40">
        <v>0</v>
      </c>
      <c r="AU58" s="54">
        <v>-235.09516375942781</v>
      </c>
      <c r="AV58" s="73">
        <v>0</v>
      </c>
      <c r="AW58" s="40">
        <v>0</v>
      </c>
      <c r="AX58" s="55">
        <v>0</v>
      </c>
      <c r="AY58" s="73">
        <v>0</v>
      </c>
      <c r="AZ58" s="40">
        <v>0</v>
      </c>
      <c r="BA58" s="35">
        <v>0</v>
      </c>
      <c r="BB58" s="73">
        <v>0</v>
      </c>
      <c r="BC58" s="40">
        <v>0</v>
      </c>
      <c r="BD58" s="55">
        <v>0</v>
      </c>
      <c r="BE58" s="73">
        <v>0</v>
      </c>
      <c r="BF58" s="40">
        <v>0</v>
      </c>
      <c r="BG58" s="38">
        <v>0</v>
      </c>
      <c r="BH58" s="73">
        <v>0</v>
      </c>
      <c r="BI58" s="40">
        <v>0</v>
      </c>
      <c r="BJ58" s="55">
        <v>0</v>
      </c>
      <c r="BK58" s="73">
        <v>0</v>
      </c>
      <c r="BL58" s="40">
        <v>0</v>
      </c>
      <c r="BM58" s="38">
        <v>0</v>
      </c>
      <c r="BN58" s="73">
        <v>4.9960000000000004</v>
      </c>
      <c r="BO58" s="40">
        <v>0</v>
      </c>
      <c r="BP58" s="55">
        <v>-4.9960000000000004</v>
      </c>
      <c r="BQ58" s="77">
        <v>4.9960000000000004</v>
      </c>
      <c r="BR58" s="40">
        <v>0</v>
      </c>
      <c r="BS58" s="55">
        <v>-4.9960000000000004</v>
      </c>
      <c r="BT58" s="73">
        <v>0</v>
      </c>
      <c r="BU58" s="40">
        <v>0</v>
      </c>
      <c r="BV58" s="52">
        <v>0</v>
      </c>
      <c r="BW58" s="73">
        <v>0</v>
      </c>
      <c r="BX58" s="40">
        <v>0.92746281351248105</v>
      </c>
      <c r="BY58" s="52">
        <v>0.92746281351248105</v>
      </c>
      <c r="BZ58" s="73">
        <v>0</v>
      </c>
      <c r="CA58" s="40">
        <v>0</v>
      </c>
      <c r="CB58" s="52">
        <v>0</v>
      </c>
      <c r="CC58" s="73">
        <v>0</v>
      </c>
      <c r="CD58" s="40">
        <v>0</v>
      </c>
      <c r="CE58" s="52">
        <v>0</v>
      </c>
      <c r="CF58" s="73">
        <v>0</v>
      </c>
      <c r="CG58" s="40">
        <v>0</v>
      </c>
      <c r="CH58" s="52">
        <v>0</v>
      </c>
      <c r="CI58" s="73">
        <v>0</v>
      </c>
      <c r="CJ58" s="40">
        <v>0</v>
      </c>
      <c r="CK58" s="52">
        <v>0</v>
      </c>
      <c r="CL58" s="73">
        <v>0</v>
      </c>
      <c r="CM58" s="40">
        <v>0</v>
      </c>
      <c r="CN58" s="52">
        <v>0</v>
      </c>
      <c r="CO58" s="39">
        <v>0</v>
      </c>
      <c r="CP58" s="40">
        <v>0</v>
      </c>
      <c r="CQ58" s="52">
        <v>0</v>
      </c>
      <c r="CR58" s="72">
        <v>495.69705823255231</v>
      </c>
      <c r="CS58" s="5">
        <v>226.07348760517746</v>
      </c>
      <c r="CT58" s="52">
        <v>-269.62357062737487</v>
      </c>
      <c r="CU58" s="77">
        <v>594.83646987906275</v>
      </c>
      <c r="CV58" s="65">
        <v>271.28818512621297</v>
      </c>
      <c r="CW58" s="35">
        <v>-323.54828475284978</v>
      </c>
      <c r="CX58" s="73">
        <v>33.211522849267055</v>
      </c>
      <c r="CY58" s="40">
        <v>356.75980760211678</v>
      </c>
      <c r="CZ58" s="52">
        <v>323.54828475284972</v>
      </c>
      <c r="DA58" s="150">
        <v>11582.151558165409</v>
      </c>
      <c r="DB58" s="2">
        <v>2</v>
      </c>
      <c r="DC58" s="648">
        <v>549.25</v>
      </c>
      <c r="DD58" s="648"/>
      <c r="DE58" s="649">
        <v>-78.797992728329746</v>
      </c>
      <c r="DG58" s="321">
        <v>14077.17625510994</v>
      </c>
      <c r="DH58" s="5">
        <v>7536.5759127399569</v>
      </c>
      <c r="DI58" s="306">
        <v>1.2501567121157242</v>
      </c>
      <c r="DJ58" s="306"/>
      <c r="DK58" s="306"/>
      <c r="DL58" s="28">
        <v>312.28914668650793</v>
      </c>
      <c r="DM58" s="28">
        <v>0</v>
      </c>
      <c r="DN58" s="650">
        <v>312.3</v>
      </c>
      <c r="DO58" s="94">
        <v>-1.0853313492077632E-2</v>
      </c>
      <c r="DP58" s="28">
        <v>312.28914668650793</v>
      </c>
      <c r="DQ58" s="318">
        <v>0</v>
      </c>
      <c r="DS58" s="8">
        <v>297.41823493953137</v>
      </c>
      <c r="DT58" s="5">
        <v>14.870911746976569</v>
      </c>
      <c r="DW58" s="5">
        <v>288.10939651131338</v>
      </c>
      <c r="DX58" s="5">
        <v>0</v>
      </c>
    </row>
    <row r="59" spans="1:128" x14ac:dyDescent="0.3">
      <c r="A59" s="325">
        <v>150000510</v>
      </c>
      <c r="B59" s="41" t="s">
        <v>508</v>
      </c>
      <c r="C59" s="42" t="s">
        <v>249</v>
      </c>
      <c r="D59" s="42" t="s">
        <v>249</v>
      </c>
      <c r="E59" s="293">
        <v>2889.0499999999997</v>
      </c>
      <c r="F59" s="305">
        <v>2796.95</v>
      </c>
      <c r="G59" s="51"/>
      <c r="H59" s="651">
        <v>92.1</v>
      </c>
      <c r="I59" s="73">
        <v>920.47876635876094</v>
      </c>
      <c r="J59" s="40">
        <v>1018.7907943165491</v>
      </c>
      <c r="K59" s="52">
        <v>98.312027957788132</v>
      </c>
      <c r="L59" s="73">
        <v>192.17156880156034</v>
      </c>
      <c r="M59" s="40">
        <v>216.50410260548463</v>
      </c>
      <c r="N59" s="52">
        <v>24.332533803924292</v>
      </c>
      <c r="O59" s="73">
        <v>573.36086327503335</v>
      </c>
      <c r="P59" s="40">
        <v>573.36</v>
      </c>
      <c r="Q59" s="52">
        <v>-8.6327503333905042E-4</v>
      </c>
      <c r="R59" s="73">
        <v>0</v>
      </c>
      <c r="S59" s="40">
        <v>0</v>
      </c>
      <c r="T59" s="52">
        <v>0</v>
      </c>
      <c r="U59" s="73">
        <v>0</v>
      </c>
      <c r="V59" s="40">
        <v>0</v>
      </c>
      <c r="W59" s="52">
        <v>0</v>
      </c>
      <c r="X59" s="73">
        <v>600.01661239098155</v>
      </c>
      <c r="Y59" s="40">
        <v>631.28130502046474</v>
      </c>
      <c r="Z59" s="52">
        <v>31.264692629483193</v>
      </c>
      <c r="AA59" s="73">
        <v>231.208</v>
      </c>
      <c r="AB59" s="40">
        <v>0</v>
      </c>
      <c r="AC59" s="52">
        <v>-231.208</v>
      </c>
      <c r="AD59" s="73">
        <v>2078.444217503295</v>
      </c>
      <c r="AE59" s="40">
        <v>2603.9156241967962</v>
      </c>
      <c r="AF59" s="35">
        <v>525.47140669350119</v>
      </c>
      <c r="AG59" s="77">
        <v>4595.6800283296307</v>
      </c>
      <c r="AH59" s="53">
        <v>5043.8518261392946</v>
      </c>
      <c r="AI59" s="52">
        <v>448.17179780966399</v>
      </c>
      <c r="AJ59" s="73">
        <v>0</v>
      </c>
      <c r="AK59" s="40">
        <v>0</v>
      </c>
      <c r="AL59" s="52">
        <v>0</v>
      </c>
      <c r="AM59" s="73">
        <v>0</v>
      </c>
      <c r="AN59" s="40">
        <v>0</v>
      </c>
      <c r="AO59" s="52">
        <v>0</v>
      </c>
      <c r="AP59" s="73">
        <v>182.80029166666665</v>
      </c>
      <c r="AQ59" s="40">
        <v>0</v>
      </c>
      <c r="AR59" s="52">
        <v>-182.80029166666665</v>
      </c>
      <c r="AS59" s="73">
        <v>2288.8837994395735</v>
      </c>
      <c r="AT59" s="40">
        <v>0</v>
      </c>
      <c r="AU59" s="54">
        <v>-2288.8837994395735</v>
      </c>
      <c r="AV59" s="73">
        <v>470.17694691355661</v>
      </c>
      <c r="AW59" s="40">
        <v>0</v>
      </c>
      <c r="AX59" s="55">
        <v>-470.17694691355661</v>
      </c>
      <c r="AY59" s="73">
        <v>531.92605465631846</v>
      </c>
      <c r="AZ59" s="40">
        <v>0</v>
      </c>
      <c r="BA59" s="35">
        <v>-531.92605465631846</v>
      </c>
      <c r="BB59" s="73">
        <v>216.07928593352</v>
      </c>
      <c r="BC59" s="40">
        <v>1402</v>
      </c>
      <c r="BD59" s="55">
        <v>1185.9207140664801</v>
      </c>
      <c r="BE59" s="73">
        <v>0</v>
      </c>
      <c r="BF59" s="40">
        <v>0</v>
      </c>
      <c r="BG59" s="38">
        <v>0</v>
      </c>
      <c r="BH59" s="73">
        <v>0</v>
      </c>
      <c r="BI59" s="40">
        <v>0</v>
      </c>
      <c r="BJ59" s="55">
        <v>0</v>
      </c>
      <c r="BK59" s="73">
        <v>378.64200872537441</v>
      </c>
      <c r="BL59" s="40">
        <v>0</v>
      </c>
      <c r="BM59" s="38">
        <v>-378.64200872537441</v>
      </c>
      <c r="BN59" s="73">
        <v>57.802</v>
      </c>
      <c r="BO59" s="40">
        <v>0</v>
      </c>
      <c r="BP59" s="55">
        <v>-57.802</v>
      </c>
      <c r="BQ59" s="77">
        <v>1654.6262962287692</v>
      </c>
      <c r="BR59" s="40">
        <v>1402</v>
      </c>
      <c r="BS59" s="55">
        <v>-252.62629622876921</v>
      </c>
      <c r="BT59" s="73">
        <v>3439.6338731412402</v>
      </c>
      <c r="BU59" s="40">
        <v>1013.2613001510126</v>
      </c>
      <c r="BV59" s="52">
        <v>-2426.3725729902276</v>
      </c>
      <c r="BW59" s="73">
        <v>1745.8908185783421</v>
      </c>
      <c r="BX59" s="40">
        <v>2711.900248042934</v>
      </c>
      <c r="BY59" s="52">
        <v>966.0094294645919</v>
      </c>
      <c r="BZ59" s="73">
        <v>1948.5894856462039</v>
      </c>
      <c r="CA59" s="40">
        <v>5773.4830169414699</v>
      </c>
      <c r="CB59" s="52">
        <v>3824.8935312952663</v>
      </c>
      <c r="CC59" s="73">
        <v>0</v>
      </c>
      <c r="CD59" s="40">
        <v>0</v>
      </c>
      <c r="CE59" s="52">
        <v>0</v>
      </c>
      <c r="CF59" s="73">
        <v>0</v>
      </c>
      <c r="CG59" s="40">
        <v>0</v>
      </c>
      <c r="CH59" s="52">
        <v>0</v>
      </c>
      <c r="CI59" s="73">
        <v>445.4</v>
      </c>
      <c r="CJ59" s="40">
        <v>835.30502648825438</v>
      </c>
      <c r="CK59" s="52">
        <v>389.90502648825441</v>
      </c>
      <c r="CL59" s="73">
        <v>0</v>
      </c>
      <c r="CM59" s="40">
        <v>0</v>
      </c>
      <c r="CN59" s="52">
        <v>0</v>
      </c>
      <c r="CO59" s="39">
        <v>445.4</v>
      </c>
      <c r="CP59" s="40">
        <v>835.30502648825438</v>
      </c>
      <c r="CQ59" s="52">
        <v>389.90502648825441</v>
      </c>
      <c r="CR59" s="72">
        <v>16301.504593030426</v>
      </c>
      <c r="CS59" s="5">
        <v>16779.801417762967</v>
      </c>
      <c r="CT59" s="52">
        <v>478.2968247325407</v>
      </c>
      <c r="CU59" s="77">
        <v>19561.80551163651</v>
      </c>
      <c r="CV59" s="65">
        <v>20135.761701315558</v>
      </c>
      <c r="CW59" s="35">
        <v>573.95618967904738</v>
      </c>
      <c r="CX59" s="73">
        <v>1092.194886528597</v>
      </c>
      <c r="CY59" s="40">
        <v>518.23869684954843</v>
      </c>
      <c r="CZ59" s="52">
        <v>-573.95618967904852</v>
      </c>
      <c r="DA59" s="150">
        <v>17508.849437720652</v>
      </c>
      <c r="DB59" s="2">
        <v>2</v>
      </c>
      <c r="DC59" s="648">
        <v>0</v>
      </c>
      <c r="DD59" s="648">
        <v>292.22000000000003</v>
      </c>
      <c r="DE59" s="649">
        <v>-20361.780398165105</v>
      </c>
      <c r="DG59" s="321">
        <v>47957.958840315645</v>
      </c>
      <c r="DH59" s="5">
        <v>247848.00477798126</v>
      </c>
      <c r="DI59" s="306">
        <v>3.5660209118521737</v>
      </c>
      <c r="DJ59" s="306"/>
      <c r="DK59" s="306">
        <v>3.1729132825524422</v>
      </c>
      <c r="DL59" s="28">
        <v>9973.9821894049364</v>
      </c>
      <c r="DM59" s="28">
        <v>292.22531332307989</v>
      </c>
      <c r="DN59" s="650">
        <v>9973.9699999999993</v>
      </c>
      <c r="DO59" s="94">
        <v>1.2189404937089421E-2</v>
      </c>
      <c r="DP59" s="28">
        <v>10266.207502728017</v>
      </c>
      <c r="DQ59" s="318">
        <v>-3.7403908811502333</v>
      </c>
      <c r="DS59" s="8">
        <v>9780.9027558182552</v>
      </c>
      <c r="DT59" s="5">
        <v>489.0451377909128</v>
      </c>
      <c r="DW59" s="5">
        <v>4732.2121148020115</v>
      </c>
      <c r="DX59" s="5">
        <v>1682.3999999999999</v>
      </c>
    </row>
    <row r="60" spans="1:128" x14ac:dyDescent="0.3">
      <c r="A60" s="325">
        <v>150000511</v>
      </c>
      <c r="B60" s="41" t="s">
        <v>509</v>
      </c>
      <c r="C60" s="42" t="s">
        <v>250</v>
      </c>
      <c r="D60" s="42" t="s">
        <v>250</v>
      </c>
      <c r="E60" s="293">
        <v>3219.5</v>
      </c>
      <c r="F60" s="305">
        <v>3219.5</v>
      </c>
      <c r="G60" s="51"/>
      <c r="H60" s="651">
        <v>0</v>
      </c>
      <c r="I60" s="73">
        <v>1754.8885373305357</v>
      </c>
      <c r="J60" s="40">
        <v>1948.1727471346917</v>
      </c>
      <c r="K60" s="52">
        <v>193.28420980415603</v>
      </c>
      <c r="L60" s="73">
        <v>354.70474452530163</v>
      </c>
      <c r="M60" s="40">
        <v>399.61750953035721</v>
      </c>
      <c r="N60" s="52">
        <v>44.912765005055576</v>
      </c>
      <c r="O60" s="73">
        <v>646.32806798014997</v>
      </c>
      <c r="P60" s="40">
        <v>646.34</v>
      </c>
      <c r="Q60" s="52">
        <v>1.1932019850064535E-2</v>
      </c>
      <c r="R60" s="73">
        <v>0</v>
      </c>
      <c r="S60" s="40">
        <v>0</v>
      </c>
      <c r="T60" s="52">
        <v>0</v>
      </c>
      <c r="U60" s="73">
        <v>0</v>
      </c>
      <c r="V60" s="40">
        <v>0</v>
      </c>
      <c r="W60" s="52">
        <v>0</v>
      </c>
      <c r="X60" s="73">
        <v>840.9084100522532</v>
      </c>
      <c r="Y60" s="40">
        <v>985.69185353090279</v>
      </c>
      <c r="Z60" s="52">
        <v>144.78344347864959</v>
      </c>
      <c r="AA60" s="73">
        <v>257.56</v>
      </c>
      <c r="AB60" s="40">
        <v>0</v>
      </c>
      <c r="AC60" s="52">
        <v>-257.56</v>
      </c>
      <c r="AD60" s="73">
        <v>2319.4121001731487</v>
      </c>
      <c r="AE60" s="40">
        <v>2901.7519087940973</v>
      </c>
      <c r="AF60" s="35">
        <v>582.33980862094859</v>
      </c>
      <c r="AG60" s="77">
        <v>6173.8018600613887</v>
      </c>
      <c r="AH60" s="53">
        <v>6881.5740189900498</v>
      </c>
      <c r="AI60" s="52">
        <v>707.77215892866116</v>
      </c>
      <c r="AJ60" s="73">
        <v>0</v>
      </c>
      <c r="AK60" s="40">
        <v>0</v>
      </c>
      <c r="AL60" s="52">
        <v>0</v>
      </c>
      <c r="AM60" s="73">
        <v>0</v>
      </c>
      <c r="AN60" s="40">
        <v>0</v>
      </c>
      <c r="AO60" s="52">
        <v>0</v>
      </c>
      <c r="AP60" s="73">
        <v>1512.83</v>
      </c>
      <c r="AQ60" s="40">
        <v>0</v>
      </c>
      <c r="AR60" s="52">
        <v>-1512.83</v>
      </c>
      <c r="AS60" s="73">
        <v>2986.7877102709153</v>
      </c>
      <c r="AT60" s="40">
        <v>0</v>
      </c>
      <c r="AU60" s="54">
        <v>-2986.7877102709153</v>
      </c>
      <c r="AV60" s="73">
        <v>748.63876537555439</v>
      </c>
      <c r="AW60" s="40">
        <v>0</v>
      </c>
      <c r="AX60" s="55">
        <v>-748.63876537555439</v>
      </c>
      <c r="AY60" s="73">
        <v>981.73372399700838</v>
      </c>
      <c r="AZ60" s="40">
        <v>0</v>
      </c>
      <c r="BA60" s="35">
        <v>-981.73372399700838</v>
      </c>
      <c r="BB60" s="73">
        <v>231.83149639710001</v>
      </c>
      <c r="BC60" s="40">
        <v>1051</v>
      </c>
      <c r="BD60" s="55">
        <v>819.16850360290005</v>
      </c>
      <c r="BE60" s="73">
        <v>0</v>
      </c>
      <c r="BF60" s="40">
        <v>0</v>
      </c>
      <c r="BG60" s="38">
        <v>0</v>
      </c>
      <c r="BH60" s="73">
        <v>0</v>
      </c>
      <c r="BI60" s="40">
        <v>0</v>
      </c>
      <c r="BJ60" s="55">
        <v>0</v>
      </c>
      <c r="BK60" s="73">
        <v>565.2394359028616</v>
      </c>
      <c r="BL60" s="40">
        <v>0</v>
      </c>
      <c r="BM60" s="38">
        <v>-565.2394359028616</v>
      </c>
      <c r="BN60" s="73">
        <v>64.39</v>
      </c>
      <c r="BO60" s="40">
        <v>0</v>
      </c>
      <c r="BP60" s="55">
        <v>-64.39</v>
      </c>
      <c r="BQ60" s="77">
        <v>2591.8334216725243</v>
      </c>
      <c r="BR60" s="40">
        <v>1051</v>
      </c>
      <c r="BS60" s="55">
        <v>-1540.8334216725243</v>
      </c>
      <c r="BT60" s="73">
        <v>3967.48834687714</v>
      </c>
      <c r="BU60" s="40">
        <v>1043.5244380354602</v>
      </c>
      <c r="BV60" s="52">
        <v>-2923.9639088416798</v>
      </c>
      <c r="BW60" s="73">
        <v>2004.1286027783599</v>
      </c>
      <c r="BX60" s="40">
        <v>2927.3199196535347</v>
      </c>
      <c r="BY60" s="52">
        <v>923.19131687517483</v>
      </c>
      <c r="BZ60" s="73">
        <v>1605.8158972079659</v>
      </c>
      <c r="CA60" s="40">
        <v>5952.1052236178348</v>
      </c>
      <c r="CB60" s="52">
        <v>4346.2893264098693</v>
      </c>
      <c r="CC60" s="73">
        <v>256.04761212250003</v>
      </c>
      <c r="CD60" s="40">
        <v>323.07202872046821</v>
      </c>
      <c r="CE60" s="52">
        <v>67.024416597968184</v>
      </c>
      <c r="CF60" s="73">
        <v>30.42149847</v>
      </c>
      <c r="CG60" s="40">
        <v>0</v>
      </c>
      <c r="CH60" s="52">
        <v>-30.42149847</v>
      </c>
      <c r="CI60" s="73">
        <v>1161.76</v>
      </c>
      <c r="CJ60" s="40">
        <v>635.52316271054929</v>
      </c>
      <c r="CK60" s="52">
        <v>-526.2368372894507</v>
      </c>
      <c r="CL60" s="73">
        <v>0</v>
      </c>
      <c r="CM60" s="40">
        <v>0</v>
      </c>
      <c r="CN60" s="52">
        <v>0</v>
      </c>
      <c r="CO60" s="39">
        <v>1161.76</v>
      </c>
      <c r="CP60" s="40">
        <v>635.52316271054929</v>
      </c>
      <c r="CQ60" s="52">
        <v>-526.2368372894507</v>
      </c>
      <c r="CR60" s="72">
        <v>22290.914949460795</v>
      </c>
      <c r="CS60" s="5">
        <v>18814.118791727898</v>
      </c>
      <c r="CT60" s="52">
        <v>-3476.796157732897</v>
      </c>
      <c r="CU60" s="77">
        <v>26749.097939352952</v>
      </c>
      <c r="CV60" s="65">
        <v>22576.942550073476</v>
      </c>
      <c r="CW60" s="35">
        <v>-4172.1553892794764</v>
      </c>
      <c r="CX60" s="73">
        <v>1493.4832048726275</v>
      </c>
      <c r="CY60" s="40">
        <v>5665.6385941521039</v>
      </c>
      <c r="CZ60" s="52">
        <v>4172.1553892794764</v>
      </c>
      <c r="DA60" s="150">
        <v>-52482.580853361113</v>
      </c>
      <c r="DB60" s="2">
        <v>2</v>
      </c>
      <c r="DC60" s="648">
        <v>40217.160000000003</v>
      </c>
      <c r="DD60" s="648"/>
      <c r="DE60" s="649">
        <v>11974.578855774424</v>
      </c>
      <c r="DG60" s="321">
        <v>40855.166099704998</v>
      </c>
      <c r="DH60" s="5">
        <v>338910.97373070696</v>
      </c>
      <c r="DI60" s="306">
        <v>4.3619432887592167</v>
      </c>
      <c r="DJ60" s="306"/>
      <c r="DK60" s="306"/>
      <c r="DL60" s="28">
        <v>14043.276418160298</v>
      </c>
      <c r="DM60" s="28">
        <v>0</v>
      </c>
      <c r="DN60" s="650">
        <v>14043.14</v>
      </c>
      <c r="DO60" s="94">
        <v>0.13641816029848997</v>
      </c>
      <c r="DP60" s="28">
        <v>14043.276418160298</v>
      </c>
      <c r="DQ60" s="318">
        <v>0</v>
      </c>
      <c r="DS60" s="8">
        <v>13374.548969676476</v>
      </c>
      <c r="DT60" s="5">
        <v>668.72744848382388</v>
      </c>
      <c r="DW60" s="5">
        <v>6694.345358332127</v>
      </c>
      <c r="DX60" s="5">
        <v>1261.2</v>
      </c>
    </row>
    <row r="61" spans="1:128" x14ac:dyDescent="0.3">
      <c r="A61" s="325">
        <v>150000512</v>
      </c>
      <c r="B61" s="41" t="s">
        <v>510</v>
      </c>
      <c r="C61" s="42" t="s">
        <v>251</v>
      </c>
      <c r="D61" s="42" t="s">
        <v>251</v>
      </c>
      <c r="E61" s="293">
        <v>1871.6999999999998</v>
      </c>
      <c r="F61" s="305">
        <v>1738.1</v>
      </c>
      <c r="G61" s="51"/>
      <c r="H61" s="651">
        <v>133.6</v>
      </c>
      <c r="I61" s="73">
        <v>790.02677236409215</v>
      </c>
      <c r="J61" s="40">
        <v>876.38383297781968</v>
      </c>
      <c r="K61" s="52">
        <v>86.357060613727526</v>
      </c>
      <c r="L61" s="73">
        <v>181.62932653026235</v>
      </c>
      <c r="M61" s="40">
        <v>204.62752863162265</v>
      </c>
      <c r="N61" s="52">
        <v>22.998202101360306</v>
      </c>
      <c r="O61" s="73">
        <v>312.25382801514661</v>
      </c>
      <c r="P61" s="40">
        <v>312.24</v>
      </c>
      <c r="Q61" s="52">
        <v>-1.3828015146600592E-2</v>
      </c>
      <c r="R61" s="73">
        <v>0</v>
      </c>
      <c r="S61" s="40">
        <v>0</v>
      </c>
      <c r="T61" s="52">
        <v>0</v>
      </c>
      <c r="U61" s="73">
        <v>0</v>
      </c>
      <c r="V61" s="40">
        <v>0</v>
      </c>
      <c r="W61" s="52">
        <v>0</v>
      </c>
      <c r="X61" s="73">
        <v>371.73784755039003</v>
      </c>
      <c r="Y61" s="40">
        <v>380.01352552303536</v>
      </c>
      <c r="Z61" s="52">
        <v>8.275677972645326</v>
      </c>
      <c r="AA61" s="73">
        <v>146.26400000000001</v>
      </c>
      <c r="AB61" s="40">
        <v>0</v>
      </c>
      <c r="AC61" s="52">
        <v>-146.26400000000001</v>
      </c>
      <c r="AD61" s="73">
        <v>1313.5691471231726</v>
      </c>
      <c r="AE61" s="40">
        <v>1686.972836679581</v>
      </c>
      <c r="AF61" s="35">
        <v>373.40368955640838</v>
      </c>
      <c r="AG61" s="77">
        <v>3115.4809215830637</v>
      </c>
      <c r="AH61" s="53">
        <v>3460.2377238120589</v>
      </c>
      <c r="AI61" s="52">
        <v>344.75680222899518</v>
      </c>
      <c r="AJ61" s="73">
        <v>0</v>
      </c>
      <c r="AK61" s="40">
        <v>0</v>
      </c>
      <c r="AL61" s="52">
        <v>0</v>
      </c>
      <c r="AM61" s="73">
        <v>0</v>
      </c>
      <c r="AN61" s="40">
        <v>0</v>
      </c>
      <c r="AO61" s="52">
        <v>0</v>
      </c>
      <c r="AP61" s="73">
        <v>699.68387499999994</v>
      </c>
      <c r="AQ61" s="40">
        <v>2063.4856507465847</v>
      </c>
      <c r="AR61" s="52">
        <v>1363.8017757465848</v>
      </c>
      <c r="AS61" s="73">
        <v>1588.7849223797605</v>
      </c>
      <c r="AT61" s="40">
        <v>0</v>
      </c>
      <c r="AU61" s="54">
        <v>-1588.7849223797605</v>
      </c>
      <c r="AV61" s="73">
        <v>325.28646547497783</v>
      </c>
      <c r="AW61" s="40">
        <v>0</v>
      </c>
      <c r="AX61" s="55">
        <v>-325.28646547497783</v>
      </c>
      <c r="AY61" s="73">
        <v>502.66971929918702</v>
      </c>
      <c r="AZ61" s="40">
        <v>0</v>
      </c>
      <c r="BA61" s="35">
        <v>-502.66971929918702</v>
      </c>
      <c r="BB61" s="73">
        <v>118.78110235487659</v>
      </c>
      <c r="BC61" s="40">
        <v>0</v>
      </c>
      <c r="BD61" s="55">
        <v>-118.78110235487659</v>
      </c>
      <c r="BE61" s="73">
        <v>0</v>
      </c>
      <c r="BF61" s="40">
        <v>0</v>
      </c>
      <c r="BG61" s="38">
        <v>0</v>
      </c>
      <c r="BH61" s="73">
        <v>0</v>
      </c>
      <c r="BI61" s="40">
        <v>0</v>
      </c>
      <c r="BJ61" s="55">
        <v>0</v>
      </c>
      <c r="BK61" s="73">
        <v>190.5816380959194</v>
      </c>
      <c r="BL61" s="40">
        <v>0</v>
      </c>
      <c r="BM61" s="38">
        <v>-190.5816380959194</v>
      </c>
      <c r="BN61" s="73">
        <v>36.566000000000003</v>
      </c>
      <c r="BO61" s="40">
        <v>0</v>
      </c>
      <c r="BP61" s="55">
        <v>-36.566000000000003</v>
      </c>
      <c r="BQ61" s="77">
        <v>1173.8849252249609</v>
      </c>
      <c r="BR61" s="40">
        <v>0</v>
      </c>
      <c r="BS61" s="55">
        <v>-1173.8849252249609</v>
      </c>
      <c r="BT61" s="73">
        <v>1215.3129973091541</v>
      </c>
      <c r="BU61" s="40">
        <v>459.01786954683467</v>
      </c>
      <c r="BV61" s="52">
        <v>-756.29512776231945</v>
      </c>
      <c r="BW61" s="73">
        <v>821.31326586009197</v>
      </c>
      <c r="BX61" s="40">
        <v>1499.871691732191</v>
      </c>
      <c r="BY61" s="52">
        <v>678.55842587209906</v>
      </c>
      <c r="BZ61" s="73">
        <v>1121.4376121996579</v>
      </c>
      <c r="CA61" s="40">
        <v>2875.8823097540653</v>
      </c>
      <c r="CB61" s="52">
        <v>1754.4446975544074</v>
      </c>
      <c r="CC61" s="73">
        <v>67.764950604999996</v>
      </c>
      <c r="CD61" s="40">
        <v>85.503472915129151</v>
      </c>
      <c r="CE61" s="52">
        <v>17.738522310129156</v>
      </c>
      <c r="CF61" s="73">
        <v>8.0512812599999997</v>
      </c>
      <c r="CG61" s="40">
        <v>0</v>
      </c>
      <c r="CH61" s="52">
        <v>-8.0512812599999997</v>
      </c>
      <c r="CI61" s="73">
        <v>607.36</v>
      </c>
      <c r="CJ61" s="40">
        <v>828.13141236852562</v>
      </c>
      <c r="CK61" s="52">
        <v>220.7714123685256</v>
      </c>
      <c r="CL61" s="73">
        <v>0</v>
      </c>
      <c r="CM61" s="40">
        <v>0</v>
      </c>
      <c r="CN61" s="52">
        <v>0</v>
      </c>
      <c r="CO61" s="39">
        <v>607.36</v>
      </c>
      <c r="CP61" s="40">
        <v>828.13141236852562</v>
      </c>
      <c r="CQ61" s="52">
        <v>220.7714123685256</v>
      </c>
      <c r="CR61" s="72">
        <v>10419.074751421689</v>
      </c>
      <c r="CS61" s="5">
        <v>11272.130130875388</v>
      </c>
      <c r="CT61" s="52">
        <v>853.05537945369906</v>
      </c>
      <c r="CU61" s="77">
        <v>12502.889701706026</v>
      </c>
      <c r="CV61" s="65">
        <v>13526.556157050465</v>
      </c>
      <c r="CW61" s="35">
        <v>1023.6664553444389</v>
      </c>
      <c r="CX61" s="73">
        <v>698.07422381902472</v>
      </c>
      <c r="CY61" s="40">
        <v>-325.59223152541381</v>
      </c>
      <c r="CZ61" s="52">
        <v>-1023.6664553444385</v>
      </c>
      <c r="DA61" s="150">
        <v>42693.022288928893</v>
      </c>
      <c r="DB61" s="2">
        <v>2</v>
      </c>
      <c r="DC61" s="648">
        <v>19348.2</v>
      </c>
      <c r="DD61" s="648">
        <v>275.02</v>
      </c>
      <c r="DE61" s="649">
        <v>6422.2560744749499</v>
      </c>
      <c r="DG61" s="321">
        <v>-10726.366032897477</v>
      </c>
      <c r="DH61" s="5">
        <v>158411.56710630062</v>
      </c>
      <c r="DI61" s="306">
        <v>3.6049167933423414</v>
      </c>
      <c r="DJ61" s="306"/>
      <c r="DK61" s="306">
        <v>3.3072196772432343</v>
      </c>
      <c r="DL61" s="28">
        <v>6265.7058785083236</v>
      </c>
      <c r="DM61" s="28">
        <v>441.84454887969611</v>
      </c>
      <c r="DN61" s="650">
        <v>6265.7</v>
      </c>
      <c r="DO61" s="94">
        <v>5.878508323803544E-3</v>
      </c>
      <c r="DP61" s="28">
        <v>6707.5504273880197</v>
      </c>
      <c r="DQ61" s="318">
        <v>143.53333399235544</v>
      </c>
      <c r="DS61" s="8">
        <v>6251.4448508530131</v>
      </c>
      <c r="DT61" s="5">
        <v>312.57224254265071</v>
      </c>
      <c r="DW61" s="5">
        <v>3315.2038171256654</v>
      </c>
      <c r="DX61" s="5">
        <v>0</v>
      </c>
    </row>
    <row r="62" spans="1:128" x14ac:dyDescent="0.3">
      <c r="A62" s="325">
        <v>150000513</v>
      </c>
      <c r="B62" s="41" t="s">
        <v>511</v>
      </c>
      <c r="C62" s="42" t="s">
        <v>334</v>
      </c>
      <c r="D62" s="42" t="s">
        <v>334</v>
      </c>
      <c r="E62" s="293">
        <v>3630</v>
      </c>
      <c r="F62" s="305">
        <v>2148</v>
      </c>
      <c r="G62" s="51"/>
      <c r="H62" s="651">
        <v>1482</v>
      </c>
      <c r="I62" s="73">
        <v>1103.3208183148622</v>
      </c>
      <c r="J62" s="40">
        <v>1222.5842956436784</v>
      </c>
      <c r="K62" s="52">
        <v>119.26347732881618</v>
      </c>
      <c r="L62" s="73">
        <v>251.18820298685455</v>
      </c>
      <c r="M62" s="40">
        <v>282.99344706571219</v>
      </c>
      <c r="N62" s="52">
        <v>31.80524407885764</v>
      </c>
      <c r="O62" s="73">
        <v>740.71728841361346</v>
      </c>
      <c r="P62" s="40">
        <v>740.72</v>
      </c>
      <c r="Q62" s="52">
        <v>2.7115863865674328E-3</v>
      </c>
      <c r="R62" s="73">
        <v>155.28860283576665</v>
      </c>
      <c r="S62" s="40">
        <v>155.28</v>
      </c>
      <c r="T62" s="52">
        <v>-8.602835766652106E-3</v>
      </c>
      <c r="U62" s="73">
        <v>45.23228506736659</v>
      </c>
      <c r="V62" s="40">
        <v>84.780530783663494</v>
      </c>
      <c r="W62" s="52">
        <v>39.548245716296904</v>
      </c>
      <c r="X62" s="73">
        <v>448.97216206353158</v>
      </c>
      <c r="Y62" s="40">
        <v>473.74590210178894</v>
      </c>
      <c r="Z62" s="52">
        <v>24.773740038257358</v>
      </c>
      <c r="AA62" s="73">
        <v>287.63200000000001</v>
      </c>
      <c r="AB62" s="40">
        <v>0</v>
      </c>
      <c r="AC62" s="52">
        <v>-287.63200000000001</v>
      </c>
      <c r="AD62" s="73">
        <v>2532.780536013986</v>
      </c>
      <c r="AE62" s="40">
        <v>3271.7376701110643</v>
      </c>
      <c r="AF62" s="35">
        <v>738.95713409707832</v>
      </c>
      <c r="AG62" s="77">
        <v>5565.1318956959803</v>
      </c>
      <c r="AH62" s="53">
        <v>6231.841845705907</v>
      </c>
      <c r="AI62" s="52">
        <v>666.70995000992662</v>
      </c>
      <c r="AJ62" s="73">
        <v>0</v>
      </c>
      <c r="AK62" s="40">
        <v>0</v>
      </c>
      <c r="AL62" s="52">
        <v>0</v>
      </c>
      <c r="AM62" s="73">
        <v>0</v>
      </c>
      <c r="AN62" s="40">
        <v>0</v>
      </c>
      <c r="AO62" s="52">
        <v>0</v>
      </c>
      <c r="AP62" s="73">
        <v>163.88991666666666</v>
      </c>
      <c r="AQ62" s="40">
        <v>0</v>
      </c>
      <c r="AR62" s="52">
        <v>-163.88991666666666</v>
      </c>
      <c r="AS62" s="73">
        <v>3878.225486901671</v>
      </c>
      <c r="AT62" s="40">
        <v>0</v>
      </c>
      <c r="AU62" s="54">
        <v>-3878.225486901671</v>
      </c>
      <c r="AV62" s="73">
        <v>606.31206160401371</v>
      </c>
      <c r="AW62" s="40">
        <v>0</v>
      </c>
      <c r="AX62" s="55">
        <v>-606.31206160401371</v>
      </c>
      <c r="AY62" s="73">
        <v>695.26230468547317</v>
      </c>
      <c r="AZ62" s="40">
        <v>0</v>
      </c>
      <c r="BA62" s="35">
        <v>-695.26230468547317</v>
      </c>
      <c r="BB62" s="73">
        <v>273.26334032471664</v>
      </c>
      <c r="BC62" s="40">
        <v>0</v>
      </c>
      <c r="BD62" s="55">
        <v>-273.26334032471664</v>
      </c>
      <c r="BE62" s="73">
        <v>686.29353749073607</v>
      </c>
      <c r="BF62" s="40">
        <v>0</v>
      </c>
      <c r="BG62" s="38">
        <v>-686.29353749073607</v>
      </c>
      <c r="BH62" s="73">
        <v>218.4735755962522</v>
      </c>
      <c r="BI62" s="40">
        <v>0</v>
      </c>
      <c r="BJ62" s="55">
        <v>-218.4735755962522</v>
      </c>
      <c r="BK62" s="73">
        <v>180.02721272867367</v>
      </c>
      <c r="BL62" s="40">
        <v>0</v>
      </c>
      <c r="BM62" s="38">
        <v>-180.02721272867367</v>
      </c>
      <c r="BN62" s="73">
        <v>71.908000000000001</v>
      </c>
      <c r="BO62" s="40">
        <v>0</v>
      </c>
      <c r="BP62" s="55">
        <v>-71.908000000000001</v>
      </c>
      <c r="BQ62" s="77">
        <v>2731.5400324298648</v>
      </c>
      <c r="BR62" s="40">
        <v>0</v>
      </c>
      <c r="BS62" s="55">
        <v>-2731.5400324298648</v>
      </c>
      <c r="BT62" s="73">
        <v>1421.319489634818</v>
      </c>
      <c r="BU62" s="40">
        <v>564.49467907009159</v>
      </c>
      <c r="BV62" s="52">
        <v>-856.82481056472636</v>
      </c>
      <c r="BW62" s="73">
        <v>1762.44069444413</v>
      </c>
      <c r="BX62" s="40">
        <v>2783.5837385092059</v>
      </c>
      <c r="BY62" s="52">
        <v>1021.1430440650759</v>
      </c>
      <c r="BZ62" s="73">
        <v>1379.268538253714</v>
      </c>
      <c r="CA62" s="40">
        <v>3848.9526305584077</v>
      </c>
      <c r="CB62" s="52">
        <v>2469.6840923046939</v>
      </c>
      <c r="CC62" s="73">
        <v>0</v>
      </c>
      <c r="CD62" s="40">
        <v>0</v>
      </c>
      <c r="CE62" s="52">
        <v>0</v>
      </c>
      <c r="CF62" s="73">
        <v>0</v>
      </c>
      <c r="CG62" s="40">
        <v>0</v>
      </c>
      <c r="CH62" s="52">
        <v>0</v>
      </c>
      <c r="CI62" s="73">
        <v>604.24</v>
      </c>
      <c r="CJ62" s="40">
        <v>85.887617124560109</v>
      </c>
      <c r="CK62" s="52">
        <v>-518.35238287543984</v>
      </c>
      <c r="CL62" s="73">
        <v>0</v>
      </c>
      <c r="CM62" s="40">
        <v>0</v>
      </c>
      <c r="CN62" s="52">
        <v>0</v>
      </c>
      <c r="CO62" s="39">
        <v>604.24</v>
      </c>
      <c r="CP62" s="40">
        <v>85.887617124560109</v>
      </c>
      <c r="CQ62" s="52">
        <v>-518.35238287543984</v>
      </c>
      <c r="CR62" s="72">
        <v>17506.056054026845</v>
      </c>
      <c r="CS62" s="5">
        <v>13514.760510968172</v>
      </c>
      <c r="CT62" s="52">
        <v>-3991.2955430586735</v>
      </c>
      <c r="CU62" s="77">
        <v>21007.267264832215</v>
      </c>
      <c r="CV62" s="65">
        <v>16217.712613161806</v>
      </c>
      <c r="CW62" s="35">
        <v>-4789.5546516704089</v>
      </c>
      <c r="CX62" s="73">
        <v>1172.8993968854702</v>
      </c>
      <c r="CY62" s="40">
        <v>5962.4540485558791</v>
      </c>
      <c r="CZ62" s="52">
        <v>4789.5546516704089</v>
      </c>
      <c r="DA62" s="150">
        <v>37783.76812493406</v>
      </c>
      <c r="DB62" s="2">
        <v>2</v>
      </c>
      <c r="DC62" s="648">
        <v>29246.09</v>
      </c>
      <c r="DD62" s="648">
        <v>10308.75</v>
      </c>
      <c r="DE62" s="649">
        <v>17374.673338282311</v>
      </c>
      <c r="DG62" s="321">
        <v>-94341.763982441043</v>
      </c>
      <c r="DH62" s="5">
        <v>266161.99994061224</v>
      </c>
      <c r="DI62" s="306">
        <v>3.2755746028093236</v>
      </c>
      <c r="DJ62" s="306"/>
      <c r="DK62" s="306">
        <v>2.7586576393550395</v>
      </c>
      <c r="DL62" s="28">
        <v>7035.9342468344266</v>
      </c>
      <c r="DM62" s="28">
        <v>4088.3306215241687</v>
      </c>
      <c r="DN62" s="650">
        <v>7035.99</v>
      </c>
      <c r="DO62" s="94">
        <v>-5.5753165573150909E-2</v>
      </c>
      <c r="DP62" s="28">
        <v>11124.264868358596</v>
      </c>
      <c r="DQ62" s="318">
        <v>95.449554321683536</v>
      </c>
      <c r="DS62" s="8">
        <v>10503.633632416108</v>
      </c>
      <c r="DT62" s="5">
        <v>525.18168162080542</v>
      </c>
      <c r="DW62" s="5">
        <v>7931.718623197843</v>
      </c>
      <c r="DX62" s="5">
        <v>0</v>
      </c>
    </row>
    <row r="63" spans="1:128" x14ac:dyDescent="0.3">
      <c r="A63" s="325">
        <v>150000538</v>
      </c>
      <c r="B63" s="41" t="s">
        <v>512</v>
      </c>
      <c r="C63" s="42" t="s">
        <v>208</v>
      </c>
      <c r="D63" s="42" t="s">
        <v>208</v>
      </c>
      <c r="E63" s="293">
        <v>1469.3</v>
      </c>
      <c r="F63" s="305">
        <v>1469.3</v>
      </c>
      <c r="G63" s="51"/>
      <c r="H63" s="651">
        <v>0</v>
      </c>
      <c r="I63" s="73">
        <v>680.09953950119836</v>
      </c>
      <c r="J63" s="40">
        <v>753.23236529610972</v>
      </c>
      <c r="K63" s="52">
        <v>73.132825794911355</v>
      </c>
      <c r="L63" s="73">
        <v>111.03402610563327</v>
      </c>
      <c r="M63" s="40">
        <v>125.09342259354666</v>
      </c>
      <c r="N63" s="52">
        <v>14.059396487913389</v>
      </c>
      <c r="O63" s="73">
        <v>268.81318879191002</v>
      </c>
      <c r="P63" s="40">
        <v>268.82</v>
      </c>
      <c r="Q63" s="52">
        <v>6.8112080899709326E-3</v>
      </c>
      <c r="R63" s="73">
        <v>0</v>
      </c>
      <c r="S63" s="40">
        <v>0</v>
      </c>
      <c r="T63" s="52">
        <v>0</v>
      </c>
      <c r="U63" s="73">
        <v>0</v>
      </c>
      <c r="V63" s="40">
        <v>0</v>
      </c>
      <c r="W63" s="52">
        <v>0</v>
      </c>
      <c r="X63" s="73">
        <v>335.91637551634778</v>
      </c>
      <c r="Y63" s="40">
        <v>338.57411420816192</v>
      </c>
      <c r="Z63" s="52">
        <v>2.6577386918141315</v>
      </c>
      <c r="AA63" s="73">
        <v>117.544</v>
      </c>
      <c r="AB63" s="40">
        <v>0</v>
      </c>
      <c r="AC63" s="52">
        <v>-117.544</v>
      </c>
      <c r="AD63" s="73">
        <v>1058.529239995413</v>
      </c>
      <c r="AE63" s="40">
        <v>1324.287647023192</v>
      </c>
      <c r="AF63" s="35">
        <v>265.75840702777896</v>
      </c>
      <c r="AG63" s="77">
        <v>2571.9363699105024</v>
      </c>
      <c r="AH63" s="53">
        <v>2810.00754912101</v>
      </c>
      <c r="AI63" s="52">
        <v>238.07117921050758</v>
      </c>
      <c r="AJ63" s="73">
        <v>0</v>
      </c>
      <c r="AK63" s="40">
        <v>0</v>
      </c>
      <c r="AL63" s="52">
        <v>0</v>
      </c>
      <c r="AM63" s="73">
        <v>0</v>
      </c>
      <c r="AN63" s="40">
        <v>0</v>
      </c>
      <c r="AO63" s="52">
        <v>0</v>
      </c>
      <c r="AP63" s="73">
        <v>806.84266666666667</v>
      </c>
      <c r="AQ63" s="40">
        <v>0</v>
      </c>
      <c r="AR63" s="52">
        <v>-806.84266666666667</v>
      </c>
      <c r="AS63" s="73">
        <v>1207.7616194936579</v>
      </c>
      <c r="AT63" s="40">
        <v>0</v>
      </c>
      <c r="AU63" s="54">
        <v>-1207.7616194936579</v>
      </c>
      <c r="AV63" s="73">
        <v>286.09917779848178</v>
      </c>
      <c r="AW63" s="40">
        <v>0</v>
      </c>
      <c r="AX63" s="55">
        <v>-286.09917779848178</v>
      </c>
      <c r="AY63" s="73">
        <v>307.27298240323199</v>
      </c>
      <c r="AZ63" s="40">
        <v>0</v>
      </c>
      <c r="BA63" s="35">
        <v>-307.27298240323199</v>
      </c>
      <c r="BB63" s="73">
        <v>105.4643003913384</v>
      </c>
      <c r="BC63" s="40">
        <v>0</v>
      </c>
      <c r="BD63" s="55">
        <v>-105.4643003913384</v>
      </c>
      <c r="BE63" s="73">
        <v>0</v>
      </c>
      <c r="BF63" s="40">
        <v>0</v>
      </c>
      <c r="BG63" s="38">
        <v>0</v>
      </c>
      <c r="BH63" s="73">
        <v>0</v>
      </c>
      <c r="BI63" s="40">
        <v>0</v>
      </c>
      <c r="BJ63" s="55">
        <v>0</v>
      </c>
      <c r="BK63" s="73">
        <v>167.85195679912547</v>
      </c>
      <c r="BL63" s="40">
        <v>0</v>
      </c>
      <c r="BM63" s="38">
        <v>-167.85195679912547</v>
      </c>
      <c r="BN63" s="73">
        <v>29.385999999999999</v>
      </c>
      <c r="BO63" s="40">
        <v>0</v>
      </c>
      <c r="BP63" s="55">
        <v>-29.385999999999999</v>
      </c>
      <c r="BQ63" s="77">
        <v>896.07441739217757</v>
      </c>
      <c r="BR63" s="40">
        <v>0</v>
      </c>
      <c r="BS63" s="55">
        <v>-896.07441739217757</v>
      </c>
      <c r="BT63" s="73">
        <v>2227.3313870248999</v>
      </c>
      <c r="BU63" s="40">
        <v>618.53156382723785</v>
      </c>
      <c r="BV63" s="52">
        <v>-1608.7998231976621</v>
      </c>
      <c r="BW63" s="73">
        <v>746.86748529911802</v>
      </c>
      <c r="BX63" s="40">
        <v>1562.36980424745</v>
      </c>
      <c r="BY63" s="52">
        <v>815.502318948332</v>
      </c>
      <c r="BZ63" s="73">
        <v>1048.0663636947841</v>
      </c>
      <c r="CA63" s="40">
        <v>4104.9256458379541</v>
      </c>
      <c r="CB63" s="52">
        <v>3056.8592821431703</v>
      </c>
      <c r="CC63" s="73">
        <v>126.97333473</v>
      </c>
      <c r="CD63" s="40">
        <v>160.21056593567604</v>
      </c>
      <c r="CE63" s="52">
        <v>33.237231205676039</v>
      </c>
      <c r="CF63" s="73">
        <v>15.08594076</v>
      </c>
      <c r="CG63" s="40">
        <v>0</v>
      </c>
      <c r="CH63" s="52">
        <v>-15.08594076</v>
      </c>
      <c r="CI63" s="73">
        <v>735.06</v>
      </c>
      <c r="CJ63" s="40">
        <v>886.08513619538292</v>
      </c>
      <c r="CK63" s="52">
        <v>151.02513619538297</v>
      </c>
      <c r="CL63" s="73">
        <v>0</v>
      </c>
      <c r="CM63" s="40">
        <v>0</v>
      </c>
      <c r="CN63" s="52">
        <v>0</v>
      </c>
      <c r="CO63" s="39">
        <v>735.06</v>
      </c>
      <c r="CP63" s="40">
        <v>886.08513619538292</v>
      </c>
      <c r="CQ63" s="52">
        <v>151.02513619538297</v>
      </c>
      <c r="CR63" s="72">
        <v>10381.999584971809</v>
      </c>
      <c r="CS63" s="5">
        <v>10142.130265164711</v>
      </c>
      <c r="CT63" s="52">
        <v>-239.86931980709778</v>
      </c>
      <c r="CU63" s="77">
        <v>12458.399501966171</v>
      </c>
      <c r="CV63" s="65">
        <v>12170.556318197652</v>
      </c>
      <c r="CW63" s="35">
        <v>-287.84318376851843</v>
      </c>
      <c r="CX63" s="73">
        <v>695.59020113371582</v>
      </c>
      <c r="CY63" s="40">
        <v>983.43338490223505</v>
      </c>
      <c r="CZ63" s="52">
        <v>287.84318376851922</v>
      </c>
      <c r="DA63" s="150">
        <v>-21313.657303250588</v>
      </c>
      <c r="DB63" s="2">
        <v>2</v>
      </c>
      <c r="DC63" s="648">
        <v>15851.23</v>
      </c>
      <c r="DD63" s="648"/>
      <c r="DE63" s="649">
        <v>2697.2402969001123</v>
      </c>
      <c r="DG63" s="321">
        <v>5266.3262268242543</v>
      </c>
      <c r="DH63" s="5">
        <v>157847.87643719866</v>
      </c>
      <c r="DI63" s="306">
        <v>4.4515481784062061</v>
      </c>
      <c r="DJ63" s="306"/>
      <c r="DK63" s="306"/>
      <c r="DL63" s="28">
        <v>6540.6597385322384</v>
      </c>
      <c r="DM63" s="28">
        <v>0</v>
      </c>
      <c r="DN63" s="650">
        <v>6540.74</v>
      </c>
      <c r="DO63" s="94">
        <v>-8.0261467761374661E-2</v>
      </c>
      <c r="DP63" s="28">
        <v>6540.6597385322384</v>
      </c>
      <c r="DQ63" s="318">
        <v>0</v>
      </c>
      <c r="DS63" s="8">
        <v>6229.1997509830853</v>
      </c>
      <c r="DT63" s="5">
        <v>311.45998754915428</v>
      </c>
      <c r="DW63" s="5">
        <v>2524.6032442630026</v>
      </c>
      <c r="DX63" s="5">
        <v>0</v>
      </c>
    </row>
    <row r="64" spans="1:128" x14ac:dyDescent="0.3">
      <c r="A64" s="325">
        <v>150000514</v>
      </c>
      <c r="B64" s="41" t="s">
        <v>513</v>
      </c>
      <c r="C64" s="42" t="s">
        <v>152</v>
      </c>
      <c r="D64" s="42" t="s">
        <v>152</v>
      </c>
      <c r="E64" s="293">
        <v>253.5</v>
      </c>
      <c r="F64" s="305">
        <v>253.5</v>
      </c>
      <c r="G64" s="51"/>
      <c r="H64" s="651">
        <v>0</v>
      </c>
      <c r="I64" s="73">
        <v>200.37569067699766</v>
      </c>
      <c r="J64" s="40">
        <v>222.98845655006897</v>
      </c>
      <c r="K64" s="52">
        <v>22.612765873071311</v>
      </c>
      <c r="L64" s="73">
        <v>44.499907353153255</v>
      </c>
      <c r="M64" s="40">
        <v>50.13471800441755</v>
      </c>
      <c r="N64" s="52">
        <v>5.6348106512642957</v>
      </c>
      <c r="O64" s="73">
        <v>51.258596776726669</v>
      </c>
      <c r="P64" s="40">
        <v>51.26</v>
      </c>
      <c r="Q64" s="52">
        <v>1.4032232733285355E-3</v>
      </c>
      <c r="R64" s="73">
        <v>0</v>
      </c>
      <c r="S64" s="40">
        <v>0</v>
      </c>
      <c r="T64" s="52">
        <v>0</v>
      </c>
      <c r="U64" s="73">
        <v>0</v>
      </c>
      <c r="V64" s="40">
        <v>0</v>
      </c>
      <c r="W64" s="52">
        <v>0</v>
      </c>
      <c r="X64" s="73">
        <v>110.31470107170991</v>
      </c>
      <c r="Y64" s="40">
        <v>109.27237572524793</v>
      </c>
      <c r="Z64" s="52">
        <v>-1.0423253464619791</v>
      </c>
      <c r="AA64" s="73">
        <v>20.28</v>
      </c>
      <c r="AB64" s="40">
        <v>0</v>
      </c>
      <c r="AC64" s="52">
        <v>-20.28</v>
      </c>
      <c r="AD64" s="73">
        <v>182.63269741819613</v>
      </c>
      <c r="AE64" s="40">
        <v>228.48085382180574</v>
      </c>
      <c r="AF64" s="35">
        <v>45.848156403609607</v>
      </c>
      <c r="AG64" s="77">
        <v>609.36159329678367</v>
      </c>
      <c r="AH64" s="53">
        <v>662.13640410154017</v>
      </c>
      <c r="AI64" s="52">
        <v>52.774810804756498</v>
      </c>
      <c r="AJ64" s="73">
        <v>0</v>
      </c>
      <c r="AK64" s="40">
        <v>0</v>
      </c>
      <c r="AL64" s="52">
        <v>0</v>
      </c>
      <c r="AM64" s="73">
        <v>0</v>
      </c>
      <c r="AN64" s="40">
        <v>0</v>
      </c>
      <c r="AO64" s="52">
        <v>0</v>
      </c>
      <c r="AP64" s="73">
        <v>75.641499999999994</v>
      </c>
      <c r="AQ64" s="40">
        <v>223.07952981044161</v>
      </c>
      <c r="AR64" s="52">
        <v>147.43802981044161</v>
      </c>
      <c r="AS64" s="73">
        <v>370.56176133207595</v>
      </c>
      <c r="AT64" s="40">
        <v>0</v>
      </c>
      <c r="AU64" s="54">
        <v>-370.56176133207595</v>
      </c>
      <c r="AV64" s="73">
        <v>115.67690617231864</v>
      </c>
      <c r="AW64" s="40">
        <v>0</v>
      </c>
      <c r="AX64" s="55">
        <v>-115.67690617231864</v>
      </c>
      <c r="AY64" s="73">
        <v>123.13522991880851</v>
      </c>
      <c r="AZ64" s="40">
        <v>0</v>
      </c>
      <c r="BA64" s="35">
        <v>-123.13522991880851</v>
      </c>
      <c r="BB64" s="73">
        <v>6.5256440676833396</v>
      </c>
      <c r="BC64" s="40">
        <v>0</v>
      </c>
      <c r="BD64" s="55">
        <v>-6.5256440676833396</v>
      </c>
      <c r="BE64" s="73">
        <v>0</v>
      </c>
      <c r="BF64" s="40">
        <v>0</v>
      </c>
      <c r="BG64" s="38">
        <v>0</v>
      </c>
      <c r="BH64" s="73">
        <v>0</v>
      </c>
      <c r="BI64" s="40">
        <v>0</v>
      </c>
      <c r="BJ64" s="55">
        <v>0</v>
      </c>
      <c r="BK64" s="73">
        <v>24.345810115983802</v>
      </c>
      <c r="BL64" s="40">
        <v>0</v>
      </c>
      <c r="BM64" s="38">
        <v>-24.345810115983802</v>
      </c>
      <c r="BN64" s="73">
        <v>5.07</v>
      </c>
      <c r="BO64" s="40">
        <v>0</v>
      </c>
      <c r="BP64" s="55">
        <v>-5.07</v>
      </c>
      <c r="BQ64" s="77">
        <v>274.75359027479431</v>
      </c>
      <c r="BR64" s="40">
        <v>0</v>
      </c>
      <c r="BS64" s="55">
        <v>-274.75359027479431</v>
      </c>
      <c r="BT64" s="73">
        <v>0</v>
      </c>
      <c r="BU64" s="40">
        <v>0</v>
      </c>
      <c r="BV64" s="52">
        <v>0</v>
      </c>
      <c r="BW64" s="73">
        <v>0</v>
      </c>
      <c r="BX64" s="40">
        <v>123.33355402044427</v>
      </c>
      <c r="BY64" s="52">
        <v>123.33355402044427</v>
      </c>
      <c r="BZ64" s="73">
        <v>0</v>
      </c>
      <c r="CA64" s="40">
        <v>0</v>
      </c>
      <c r="CB64" s="52">
        <v>0</v>
      </c>
      <c r="CC64" s="73">
        <v>0</v>
      </c>
      <c r="CD64" s="40">
        <v>0</v>
      </c>
      <c r="CE64" s="52">
        <v>0</v>
      </c>
      <c r="CF64" s="73">
        <v>0</v>
      </c>
      <c r="CG64" s="40">
        <v>0</v>
      </c>
      <c r="CH64" s="52">
        <v>0</v>
      </c>
      <c r="CI64" s="73">
        <v>90.32</v>
      </c>
      <c r="CJ64" s="40">
        <v>18.417565291985841</v>
      </c>
      <c r="CK64" s="52">
        <v>-71.902434708014155</v>
      </c>
      <c r="CL64" s="73">
        <v>0</v>
      </c>
      <c r="CM64" s="40">
        <v>0</v>
      </c>
      <c r="CN64" s="52">
        <v>0</v>
      </c>
      <c r="CO64" s="39">
        <v>90.32</v>
      </c>
      <c r="CP64" s="40">
        <v>18.417565291985841</v>
      </c>
      <c r="CQ64" s="52">
        <v>-71.902434708014155</v>
      </c>
      <c r="CR64" s="72">
        <v>1420.6384449036539</v>
      </c>
      <c r="CS64" s="5">
        <v>1026.9670532244118</v>
      </c>
      <c r="CT64" s="52">
        <v>-393.67139167924211</v>
      </c>
      <c r="CU64" s="77">
        <v>1704.7661338843845</v>
      </c>
      <c r="CV64" s="65">
        <v>1232.3604638692941</v>
      </c>
      <c r="CW64" s="35">
        <v>-472.40567001509044</v>
      </c>
      <c r="CX64" s="73">
        <v>95.182259789264393</v>
      </c>
      <c r="CY64" s="40">
        <v>567.58792980435487</v>
      </c>
      <c r="CZ64" s="52">
        <v>472.40567001509049</v>
      </c>
      <c r="DA64" s="150">
        <v>-7822.7983791190236</v>
      </c>
      <c r="DB64" s="2">
        <v>2</v>
      </c>
      <c r="DC64" s="648">
        <v>894.94</v>
      </c>
      <c r="DD64" s="648"/>
      <c r="DE64" s="649">
        <v>-905.00839367364892</v>
      </c>
      <c r="DG64" s="321">
        <v>-10109.896153647082</v>
      </c>
      <c r="DH64" s="5">
        <v>21599.380724083789</v>
      </c>
      <c r="DI64" s="306">
        <v>3.5305807506481339</v>
      </c>
      <c r="DJ64" s="306"/>
      <c r="DK64" s="306"/>
      <c r="DL64" s="28">
        <v>895.00222028930193</v>
      </c>
      <c r="DM64" s="28">
        <v>0</v>
      </c>
      <c r="DN64" s="650">
        <v>895.01</v>
      </c>
      <c r="DO64" s="94">
        <v>-7.7797106980597164E-3</v>
      </c>
      <c r="DP64" s="28">
        <v>895.00222028930193</v>
      </c>
      <c r="DQ64" s="318">
        <v>0</v>
      </c>
      <c r="DS64" s="8">
        <v>852.38306694219227</v>
      </c>
      <c r="DT64" s="5">
        <v>42.619153347109616</v>
      </c>
      <c r="DW64" s="5">
        <v>774.37842192824439</v>
      </c>
      <c r="DX64" s="5">
        <v>0</v>
      </c>
    </row>
    <row r="65" spans="1:128" x14ac:dyDescent="0.3">
      <c r="A65" s="325">
        <v>150000515</v>
      </c>
      <c r="B65" s="41" t="s">
        <v>514</v>
      </c>
      <c r="C65" s="42" t="s">
        <v>54</v>
      </c>
      <c r="D65" s="42" t="s">
        <v>54</v>
      </c>
      <c r="E65" s="293">
        <v>200.6</v>
      </c>
      <c r="F65" s="305">
        <v>200.6</v>
      </c>
      <c r="G65" s="51"/>
      <c r="H65" s="651">
        <v>0</v>
      </c>
      <c r="I65" s="73">
        <v>0</v>
      </c>
      <c r="J65" s="40">
        <v>0</v>
      </c>
      <c r="K65" s="52">
        <v>0</v>
      </c>
      <c r="L65" s="73">
        <v>0</v>
      </c>
      <c r="M65" s="40">
        <v>0</v>
      </c>
      <c r="N65" s="52">
        <v>0</v>
      </c>
      <c r="O65" s="73">
        <v>0</v>
      </c>
      <c r="P65" s="40">
        <v>0</v>
      </c>
      <c r="Q65" s="52">
        <v>0</v>
      </c>
      <c r="R65" s="73">
        <v>0</v>
      </c>
      <c r="S65" s="40">
        <v>0</v>
      </c>
      <c r="T65" s="52">
        <v>0</v>
      </c>
      <c r="U65" s="73">
        <v>0</v>
      </c>
      <c r="V65" s="40">
        <v>0</v>
      </c>
      <c r="W65" s="52">
        <v>0</v>
      </c>
      <c r="X65" s="73">
        <v>0</v>
      </c>
      <c r="Y65" s="40">
        <v>0</v>
      </c>
      <c r="Z65" s="52">
        <v>0</v>
      </c>
      <c r="AA65" s="73">
        <v>16.047999999999998</v>
      </c>
      <c r="AB65" s="40">
        <v>0</v>
      </c>
      <c r="AC65" s="52">
        <v>-16.047999999999998</v>
      </c>
      <c r="AD65" s="73">
        <v>128.45808416182166</v>
      </c>
      <c r="AE65" s="40">
        <v>180.80181174222577</v>
      </c>
      <c r="AF65" s="35">
        <v>52.343727580404106</v>
      </c>
      <c r="AG65" s="77">
        <v>144.50608416182166</v>
      </c>
      <c r="AH65" s="53">
        <v>180.80181174222577</v>
      </c>
      <c r="AI65" s="52">
        <v>36.295727580404105</v>
      </c>
      <c r="AJ65" s="73">
        <v>0</v>
      </c>
      <c r="AK65" s="40">
        <v>0</v>
      </c>
      <c r="AL65" s="52">
        <v>0</v>
      </c>
      <c r="AM65" s="73">
        <v>0</v>
      </c>
      <c r="AN65" s="40">
        <v>0</v>
      </c>
      <c r="AO65" s="52">
        <v>0</v>
      </c>
      <c r="AP65" s="73">
        <v>75.641499999999994</v>
      </c>
      <c r="AQ65" s="40">
        <v>0</v>
      </c>
      <c r="AR65" s="52">
        <v>-75.641499999999994</v>
      </c>
      <c r="AS65" s="73">
        <v>221.32024772675049</v>
      </c>
      <c r="AT65" s="40">
        <v>0</v>
      </c>
      <c r="AU65" s="54">
        <v>-221.32024772675049</v>
      </c>
      <c r="AV65" s="73">
        <v>0</v>
      </c>
      <c r="AW65" s="40">
        <v>0</v>
      </c>
      <c r="AX65" s="55">
        <v>0</v>
      </c>
      <c r="AY65" s="73">
        <v>0</v>
      </c>
      <c r="AZ65" s="40">
        <v>0</v>
      </c>
      <c r="BA65" s="35">
        <v>0</v>
      </c>
      <c r="BB65" s="73">
        <v>0</v>
      </c>
      <c r="BC65" s="40">
        <v>0</v>
      </c>
      <c r="BD65" s="55">
        <v>0</v>
      </c>
      <c r="BE65" s="73">
        <v>0</v>
      </c>
      <c r="BF65" s="40">
        <v>0</v>
      </c>
      <c r="BG65" s="38">
        <v>0</v>
      </c>
      <c r="BH65" s="73">
        <v>0</v>
      </c>
      <c r="BI65" s="40">
        <v>0</v>
      </c>
      <c r="BJ65" s="55">
        <v>0</v>
      </c>
      <c r="BK65" s="73">
        <v>0</v>
      </c>
      <c r="BL65" s="40">
        <v>0</v>
      </c>
      <c r="BM65" s="38">
        <v>0</v>
      </c>
      <c r="BN65" s="73">
        <v>4.0119999999999996</v>
      </c>
      <c r="BO65" s="40">
        <v>0</v>
      </c>
      <c r="BP65" s="55">
        <v>-4.0119999999999996</v>
      </c>
      <c r="BQ65" s="77">
        <v>4.0119999999999996</v>
      </c>
      <c r="BR65" s="40">
        <v>0</v>
      </c>
      <c r="BS65" s="55">
        <v>-4.0119999999999996</v>
      </c>
      <c r="BT65" s="73">
        <v>0</v>
      </c>
      <c r="BU65" s="40">
        <v>0</v>
      </c>
      <c r="BV65" s="52">
        <v>0</v>
      </c>
      <c r="BW65" s="73">
        <v>0</v>
      </c>
      <c r="BX65" s="40">
        <v>0.74479199515854155</v>
      </c>
      <c r="BY65" s="52">
        <v>0.74479199515854155</v>
      </c>
      <c r="BZ65" s="73">
        <v>0</v>
      </c>
      <c r="CA65" s="40">
        <v>0</v>
      </c>
      <c r="CB65" s="52">
        <v>0</v>
      </c>
      <c r="CC65" s="73">
        <v>0</v>
      </c>
      <c r="CD65" s="40">
        <v>0</v>
      </c>
      <c r="CE65" s="52">
        <v>0</v>
      </c>
      <c r="CF65" s="73">
        <v>0</v>
      </c>
      <c r="CG65" s="40">
        <v>0</v>
      </c>
      <c r="CH65" s="52">
        <v>0</v>
      </c>
      <c r="CI65" s="73">
        <v>0</v>
      </c>
      <c r="CJ65" s="40">
        <v>0</v>
      </c>
      <c r="CK65" s="52">
        <v>0</v>
      </c>
      <c r="CL65" s="73">
        <v>0</v>
      </c>
      <c r="CM65" s="40">
        <v>0</v>
      </c>
      <c r="CN65" s="52">
        <v>0</v>
      </c>
      <c r="CO65" s="39">
        <v>0</v>
      </c>
      <c r="CP65" s="40">
        <v>0</v>
      </c>
      <c r="CQ65" s="52">
        <v>0</v>
      </c>
      <c r="CR65" s="72">
        <v>445.47983188857216</v>
      </c>
      <c r="CS65" s="5">
        <v>181.54660373738432</v>
      </c>
      <c r="CT65" s="52">
        <v>-263.93322815118785</v>
      </c>
      <c r="CU65" s="77">
        <v>534.5757982662866</v>
      </c>
      <c r="CV65" s="65">
        <v>217.85592448486116</v>
      </c>
      <c r="CW65" s="35">
        <v>-316.71987378142546</v>
      </c>
      <c r="CX65" s="73">
        <v>29.846986924651013</v>
      </c>
      <c r="CY65" s="40">
        <v>346.56686070607645</v>
      </c>
      <c r="CZ65" s="52">
        <v>316.71987378142546</v>
      </c>
      <c r="DA65" s="150">
        <v>482.28462437738347</v>
      </c>
      <c r="DB65" s="2">
        <v>2</v>
      </c>
      <c r="DC65" s="648">
        <v>365.93</v>
      </c>
      <c r="DD65" s="648"/>
      <c r="DE65" s="649">
        <v>-198.49278519093758</v>
      </c>
      <c r="DG65" s="321">
        <v>788.67207169215089</v>
      </c>
      <c r="DH65" s="5">
        <v>6773.0734222912506</v>
      </c>
      <c r="DI65" s="306">
        <v>1.3990642776161539</v>
      </c>
      <c r="DJ65" s="306"/>
      <c r="DK65" s="306"/>
      <c r="DL65" s="28">
        <v>280.65229408980048</v>
      </c>
      <c r="DM65" s="28">
        <v>0</v>
      </c>
      <c r="DN65" s="650">
        <v>280.67</v>
      </c>
      <c r="DO65" s="94">
        <v>-1.7705910199538266E-2</v>
      </c>
      <c r="DP65" s="28">
        <v>280.65229408980048</v>
      </c>
      <c r="DQ65" s="318">
        <v>0</v>
      </c>
      <c r="DS65" s="8">
        <v>267.2878991331433</v>
      </c>
      <c r="DT65" s="5">
        <v>13.364394956657165</v>
      </c>
      <c r="DW65" s="5">
        <v>270.39869727210061</v>
      </c>
      <c r="DX65" s="5">
        <v>0</v>
      </c>
    </row>
    <row r="66" spans="1:128" x14ac:dyDescent="0.3">
      <c r="A66" s="325">
        <v>150000539</v>
      </c>
      <c r="B66" s="41" t="s">
        <v>515</v>
      </c>
      <c r="C66" s="42" t="s">
        <v>55</v>
      </c>
      <c r="D66" s="42" t="s">
        <v>55</v>
      </c>
      <c r="E66" s="293">
        <v>83.8</v>
      </c>
      <c r="F66" s="305">
        <v>83.8</v>
      </c>
      <c r="G66" s="51"/>
      <c r="H66" s="651">
        <v>0</v>
      </c>
      <c r="I66" s="73">
        <v>0</v>
      </c>
      <c r="J66" s="40">
        <v>0</v>
      </c>
      <c r="K66" s="52">
        <v>0</v>
      </c>
      <c r="L66" s="73">
        <v>0</v>
      </c>
      <c r="M66" s="40">
        <v>0</v>
      </c>
      <c r="N66" s="52">
        <v>0</v>
      </c>
      <c r="O66" s="73">
        <v>0</v>
      </c>
      <c r="P66" s="40">
        <v>0</v>
      </c>
      <c r="Q66" s="52">
        <v>0</v>
      </c>
      <c r="R66" s="73">
        <v>0</v>
      </c>
      <c r="S66" s="40">
        <v>0</v>
      </c>
      <c r="T66" s="52">
        <v>0</v>
      </c>
      <c r="U66" s="73">
        <v>0</v>
      </c>
      <c r="V66" s="40">
        <v>0</v>
      </c>
      <c r="W66" s="52">
        <v>0</v>
      </c>
      <c r="X66" s="73">
        <v>0</v>
      </c>
      <c r="Y66" s="40">
        <v>0</v>
      </c>
      <c r="Z66" s="52">
        <v>0</v>
      </c>
      <c r="AA66" s="73">
        <v>6.7039999999999997</v>
      </c>
      <c r="AB66" s="40">
        <v>0</v>
      </c>
      <c r="AC66" s="52">
        <v>-6.7039999999999997</v>
      </c>
      <c r="AD66" s="73">
        <v>53.675623903946416</v>
      </c>
      <c r="AE66" s="40">
        <v>75.529371006971672</v>
      </c>
      <c r="AF66" s="35">
        <v>21.853747103025256</v>
      </c>
      <c r="AG66" s="77">
        <v>60.379623903946417</v>
      </c>
      <c r="AH66" s="53">
        <v>75.529371006971672</v>
      </c>
      <c r="AI66" s="52">
        <v>15.149747103025256</v>
      </c>
      <c r="AJ66" s="73">
        <v>0</v>
      </c>
      <c r="AK66" s="40">
        <v>0</v>
      </c>
      <c r="AL66" s="52">
        <v>0</v>
      </c>
      <c r="AM66" s="73">
        <v>0</v>
      </c>
      <c r="AN66" s="40">
        <v>0</v>
      </c>
      <c r="AO66" s="52">
        <v>0</v>
      </c>
      <c r="AP66" s="73">
        <v>37.820749999999997</v>
      </c>
      <c r="AQ66" s="40">
        <v>0</v>
      </c>
      <c r="AR66" s="52">
        <v>-37.820749999999997</v>
      </c>
      <c r="AS66" s="73">
        <v>95.356156871831203</v>
      </c>
      <c r="AT66" s="40">
        <v>0</v>
      </c>
      <c r="AU66" s="54">
        <v>-95.356156871831203</v>
      </c>
      <c r="AV66" s="73">
        <v>0</v>
      </c>
      <c r="AW66" s="40">
        <v>0</v>
      </c>
      <c r="AX66" s="55">
        <v>0</v>
      </c>
      <c r="AY66" s="73">
        <v>0</v>
      </c>
      <c r="AZ66" s="40">
        <v>0</v>
      </c>
      <c r="BA66" s="35">
        <v>0</v>
      </c>
      <c r="BB66" s="73">
        <v>0</v>
      </c>
      <c r="BC66" s="40">
        <v>0</v>
      </c>
      <c r="BD66" s="55">
        <v>0</v>
      </c>
      <c r="BE66" s="73">
        <v>0</v>
      </c>
      <c r="BF66" s="40">
        <v>0</v>
      </c>
      <c r="BG66" s="38">
        <v>0</v>
      </c>
      <c r="BH66" s="73">
        <v>0</v>
      </c>
      <c r="BI66" s="40">
        <v>0</v>
      </c>
      <c r="BJ66" s="55">
        <v>0</v>
      </c>
      <c r="BK66" s="73">
        <v>0</v>
      </c>
      <c r="BL66" s="40">
        <v>0</v>
      </c>
      <c r="BM66" s="38">
        <v>0</v>
      </c>
      <c r="BN66" s="73">
        <v>1.6759999999999999</v>
      </c>
      <c r="BO66" s="40">
        <v>0</v>
      </c>
      <c r="BP66" s="55">
        <v>-1.6759999999999999</v>
      </c>
      <c r="BQ66" s="77">
        <v>1.6759999999999999</v>
      </c>
      <c r="BR66" s="40">
        <v>0</v>
      </c>
      <c r="BS66" s="55">
        <v>-1.6759999999999999</v>
      </c>
      <c r="BT66" s="73">
        <v>0</v>
      </c>
      <c r="BU66" s="40">
        <v>0</v>
      </c>
      <c r="BV66" s="52">
        <v>0</v>
      </c>
      <c r="BW66" s="73">
        <v>0</v>
      </c>
      <c r="BX66" s="40">
        <v>0.31113444264349843</v>
      </c>
      <c r="BY66" s="52">
        <v>0.31113444264349843</v>
      </c>
      <c r="BZ66" s="73">
        <v>0</v>
      </c>
      <c r="CA66" s="40">
        <v>0</v>
      </c>
      <c r="CB66" s="52">
        <v>0</v>
      </c>
      <c r="CC66" s="73">
        <v>0</v>
      </c>
      <c r="CD66" s="40">
        <v>0</v>
      </c>
      <c r="CE66" s="52">
        <v>0</v>
      </c>
      <c r="CF66" s="73">
        <v>0</v>
      </c>
      <c r="CG66" s="40">
        <v>0</v>
      </c>
      <c r="CH66" s="52">
        <v>0</v>
      </c>
      <c r="CI66" s="73">
        <v>0</v>
      </c>
      <c r="CJ66" s="40">
        <v>0</v>
      </c>
      <c r="CK66" s="52">
        <v>0</v>
      </c>
      <c r="CL66" s="73">
        <v>0</v>
      </c>
      <c r="CM66" s="40">
        <v>0</v>
      </c>
      <c r="CN66" s="52">
        <v>0</v>
      </c>
      <c r="CO66" s="39">
        <v>0</v>
      </c>
      <c r="CP66" s="40">
        <v>0</v>
      </c>
      <c r="CQ66" s="52">
        <v>0</v>
      </c>
      <c r="CR66" s="72">
        <v>195.2325307757776</v>
      </c>
      <c r="CS66" s="5">
        <v>75.840505449615165</v>
      </c>
      <c r="CT66" s="52">
        <v>-119.39202532616244</v>
      </c>
      <c r="CU66" s="77">
        <v>234.2790369309331</v>
      </c>
      <c r="CV66" s="65">
        <v>91.008606539538192</v>
      </c>
      <c r="CW66" s="35">
        <v>-143.27043039139491</v>
      </c>
      <c r="CX66" s="73">
        <v>13.080508647558018</v>
      </c>
      <c r="CY66" s="40">
        <v>156.35093903895293</v>
      </c>
      <c r="CZ66" s="52">
        <v>143.27043039139491</v>
      </c>
      <c r="DA66" s="150">
        <v>11438.193438426593</v>
      </c>
      <c r="DB66" s="2">
        <v>2</v>
      </c>
      <c r="DC66" s="648">
        <v>183.45</v>
      </c>
      <c r="DD66" s="648"/>
      <c r="DE66" s="649">
        <v>-63.909545578491134</v>
      </c>
      <c r="DG66" s="321">
        <v>11576.474067544979</v>
      </c>
      <c r="DH66" s="5">
        <v>2968.3145469418932</v>
      </c>
      <c r="DI66" s="306">
        <v>1.4677385965243424</v>
      </c>
      <c r="DJ66" s="306"/>
      <c r="DK66" s="306"/>
      <c r="DL66" s="28">
        <v>122.99649438873989</v>
      </c>
      <c r="DM66" s="28">
        <v>0</v>
      </c>
      <c r="DN66" s="650">
        <v>122.99</v>
      </c>
      <c r="DO66" s="94">
        <v>6.4943887398953848E-3</v>
      </c>
      <c r="DP66" s="28">
        <v>122.99649438873989</v>
      </c>
      <c r="DQ66" s="318">
        <v>0</v>
      </c>
      <c r="DS66" s="8">
        <v>117.13951846546655</v>
      </c>
      <c r="DT66" s="5">
        <v>5.8569759232733292</v>
      </c>
      <c r="DW66" s="5">
        <v>116.43858824619744</v>
      </c>
      <c r="DX66" s="5">
        <v>0</v>
      </c>
    </row>
    <row r="67" spans="1:128" x14ac:dyDescent="0.3">
      <c r="A67" s="325">
        <v>150000516</v>
      </c>
      <c r="B67" s="41" t="s">
        <v>516</v>
      </c>
      <c r="C67" s="42" t="s">
        <v>56</v>
      </c>
      <c r="D67" s="42" t="s">
        <v>56</v>
      </c>
      <c r="E67" s="293">
        <v>323.10000000000002</v>
      </c>
      <c r="F67" s="305">
        <v>323.10000000000002</v>
      </c>
      <c r="G67" s="51"/>
      <c r="H67" s="651">
        <v>0</v>
      </c>
      <c r="I67" s="73">
        <v>0</v>
      </c>
      <c r="J67" s="40">
        <v>0</v>
      </c>
      <c r="K67" s="52">
        <v>0</v>
      </c>
      <c r="L67" s="73">
        <v>0</v>
      </c>
      <c r="M67" s="40">
        <v>0</v>
      </c>
      <c r="N67" s="52">
        <v>0</v>
      </c>
      <c r="O67" s="73">
        <v>0</v>
      </c>
      <c r="P67" s="40">
        <v>0</v>
      </c>
      <c r="Q67" s="52">
        <v>0</v>
      </c>
      <c r="R67" s="73">
        <v>0</v>
      </c>
      <c r="S67" s="40">
        <v>0</v>
      </c>
      <c r="T67" s="52">
        <v>0</v>
      </c>
      <c r="U67" s="73">
        <v>0</v>
      </c>
      <c r="V67" s="40">
        <v>0</v>
      </c>
      <c r="W67" s="52">
        <v>0</v>
      </c>
      <c r="X67" s="73">
        <v>0</v>
      </c>
      <c r="Y67" s="40">
        <v>0</v>
      </c>
      <c r="Z67" s="52">
        <v>0</v>
      </c>
      <c r="AA67" s="73">
        <v>25.848000000000003</v>
      </c>
      <c r="AB67" s="40">
        <v>0</v>
      </c>
      <c r="AC67" s="52">
        <v>-25.848000000000003</v>
      </c>
      <c r="AD67" s="73">
        <v>206.8997547267368</v>
      </c>
      <c r="AE67" s="40">
        <v>291.2116917941832</v>
      </c>
      <c r="AF67" s="35">
        <v>84.311937067446394</v>
      </c>
      <c r="AG67" s="77">
        <v>232.74775472673682</v>
      </c>
      <c r="AH67" s="53">
        <v>291.2116917941832</v>
      </c>
      <c r="AI67" s="52">
        <v>58.463937067446381</v>
      </c>
      <c r="AJ67" s="73">
        <v>0</v>
      </c>
      <c r="AK67" s="40">
        <v>0</v>
      </c>
      <c r="AL67" s="52">
        <v>0</v>
      </c>
      <c r="AM67" s="73">
        <v>0</v>
      </c>
      <c r="AN67" s="40">
        <v>0</v>
      </c>
      <c r="AO67" s="52">
        <v>0</v>
      </c>
      <c r="AP67" s="73">
        <v>75.641499999999994</v>
      </c>
      <c r="AQ67" s="40">
        <v>0</v>
      </c>
      <c r="AR67" s="52">
        <v>-75.641499999999994</v>
      </c>
      <c r="AS67" s="73">
        <v>297.6648072312405</v>
      </c>
      <c r="AT67" s="40">
        <v>0</v>
      </c>
      <c r="AU67" s="54">
        <v>-297.6648072312405</v>
      </c>
      <c r="AV67" s="73">
        <v>0</v>
      </c>
      <c r="AW67" s="40">
        <v>0</v>
      </c>
      <c r="AX67" s="55">
        <v>0</v>
      </c>
      <c r="AY67" s="73">
        <v>0</v>
      </c>
      <c r="AZ67" s="40">
        <v>0</v>
      </c>
      <c r="BA67" s="35">
        <v>0</v>
      </c>
      <c r="BB67" s="73">
        <v>0</v>
      </c>
      <c r="BC67" s="40">
        <v>0</v>
      </c>
      <c r="BD67" s="55">
        <v>0</v>
      </c>
      <c r="BE67" s="73">
        <v>0</v>
      </c>
      <c r="BF67" s="40">
        <v>0</v>
      </c>
      <c r="BG67" s="38">
        <v>0</v>
      </c>
      <c r="BH67" s="73">
        <v>0</v>
      </c>
      <c r="BI67" s="40">
        <v>0</v>
      </c>
      <c r="BJ67" s="55">
        <v>0</v>
      </c>
      <c r="BK67" s="73">
        <v>0</v>
      </c>
      <c r="BL67" s="40">
        <v>0</v>
      </c>
      <c r="BM67" s="38">
        <v>0</v>
      </c>
      <c r="BN67" s="73">
        <v>6.4620000000000006</v>
      </c>
      <c r="BO67" s="40">
        <v>0</v>
      </c>
      <c r="BP67" s="55">
        <v>-6.4620000000000006</v>
      </c>
      <c r="BQ67" s="77">
        <v>6.4620000000000006</v>
      </c>
      <c r="BR67" s="40">
        <v>0</v>
      </c>
      <c r="BS67" s="55">
        <v>-6.4620000000000006</v>
      </c>
      <c r="BT67" s="73">
        <v>0</v>
      </c>
      <c r="BU67" s="40">
        <v>0</v>
      </c>
      <c r="BV67" s="52">
        <v>0</v>
      </c>
      <c r="BW67" s="73">
        <v>0</v>
      </c>
      <c r="BX67" s="40">
        <v>1.1996126302877608</v>
      </c>
      <c r="BY67" s="52">
        <v>1.1996126302877608</v>
      </c>
      <c r="BZ67" s="73">
        <v>0</v>
      </c>
      <c r="CA67" s="40">
        <v>0</v>
      </c>
      <c r="CB67" s="52">
        <v>0</v>
      </c>
      <c r="CC67" s="73">
        <v>0</v>
      </c>
      <c r="CD67" s="40">
        <v>0</v>
      </c>
      <c r="CE67" s="52">
        <v>0</v>
      </c>
      <c r="CF67" s="73">
        <v>0</v>
      </c>
      <c r="CG67" s="40">
        <v>0</v>
      </c>
      <c r="CH67" s="52">
        <v>0</v>
      </c>
      <c r="CI67" s="73">
        <v>0</v>
      </c>
      <c r="CJ67" s="40">
        <v>0</v>
      </c>
      <c r="CK67" s="52">
        <v>0</v>
      </c>
      <c r="CL67" s="73">
        <v>0</v>
      </c>
      <c r="CM67" s="40">
        <v>0</v>
      </c>
      <c r="CN67" s="52">
        <v>0</v>
      </c>
      <c r="CO67" s="39">
        <v>0</v>
      </c>
      <c r="CP67" s="40">
        <v>0</v>
      </c>
      <c r="CQ67" s="52">
        <v>0</v>
      </c>
      <c r="CR67" s="72">
        <v>612.51606195797729</v>
      </c>
      <c r="CS67" s="5">
        <v>292.41130442447098</v>
      </c>
      <c r="CT67" s="52">
        <v>-320.1047575335063</v>
      </c>
      <c r="CU67" s="77">
        <v>735.0192743495727</v>
      </c>
      <c r="CV67" s="65">
        <v>350.89356530936516</v>
      </c>
      <c r="CW67" s="35">
        <v>-384.12570904020754</v>
      </c>
      <c r="CX67" s="73">
        <v>41.038353666639821</v>
      </c>
      <c r="CY67" s="40">
        <v>425.1640627068474</v>
      </c>
      <c r="CZ67" s="52">
        <v>384.1257090402076</v>
      </c>
      <c r="DA67" s="150">
        <v>2933.2455600161552</v>
      </c>
      <c r="DB67" s="2">
        <v>2</v>
      </c>
      <c r="DC67" s="648">
        <v>6698.75</v>
      </c>
      <c r="DD67" s="648"/>
      <c r="DE67" s="649">
        <v>5922.6923719837878</v>
      </c>
      <c r="DG67" s="321">
        <v>2284.2993403399068</v>
      </c>
      <c r="DH67" s="5">
        <v>9312.6915361945503</v>
      </c>
      <c r="DI67" s="306">
        <v>1.1943210121743288</v>
      </c>
      <c r="DJ67" s="306"/>
      <c r="DK67" s="306"/>
      <c r="DL67" s="28">
        <v>385.88511903352565</v>
      </c>
      <c r="DM67" s="28">
        <v>0</v>
      </c>
      <c r="DN67" s="650">
        <v>385.87</v>
      </c>
      <c r="DO67" s="94">
        <v>1.5119033525650138E-2</v>
      </c>
      <c r="DP67" s="28">
        <v>385.88511903352565</v>
      </c>
      <c r="DQ67" s="318">
        <v>0</v>
      </c>
      <c r="DS67" s="8">
        <v>367.50963717478635</v>
      </c>
      <c r="DT67" s="5">
        <v>18.37548185873932</v>
      </c>
      <c r="DW67" s="5">
        <v>364.9521686774886</v>
      </c>
      <c r="DX67" s="5">
        <v>0</v>
      </c>
    </row>
    <row r="68" spans="1:128" x14ac:dyDescent="0.3">
      <c r="A68" s="325">
        <v>150000517</v>
      </c>
      <c r="B68" s="41" t="s">
        <v>517</v>
      </c>
      <c r="C68" s="42" t="s">
        <v>252</v>
      </c>
      <c r="D68" s="42" t="s">
        <v>252</v>
      </c>
      <c r="E68" s="293">
        <v>1894.8000000000002</v>
      </c>
      <c r="F68" s="305">
        <v>1531.9</v>
      </c>
      <c r="G68" s="51"/>
      <c r="H68" s="651">
        <v>362.9</v>
      </c>
      <c r="I68" s="73">
        <v>899.11806036483699</v>
      </c>
      <c r="J68" s="40">
        <v>996.98485736883322</v>
      </c>
      <c r="K68" s="52">
        <v>97.866797003996226</v>
      </c>
      <c r="L68" s="73">
        <v>181.11114486445646</v>
      </c>
      <c r="M68" s="40">
        <v>204.0434348296294</v>
      </c>
      <c r="N68" s="52">
        <v>22.932289965172941</v>
      </c>
      <c r="O68" s="73">
        <v>319.31437087376332</v>
      </c>
      <c r="P68" s="40">
        <v>319.32</v>
      </c>
      <c r="Q68" s="52">
        <v>5.6291262366698902E-3</v>
      </c>
      <c r="R68" s="73">
        <v>0</v>
      </c>
      <c r="S68" s="40">
        <v>0</v>
      </c>
      <c r="T68" s="52">
        <v>0</v>
      </c>
      <c r="U68" s="73">
        <v>0</v>
      </c>
      <c r="V68" s="40">
        <v>0</v>
      </c>
      <c r="W68" s="52">
        <v>0</v>
      </c>
      <c r="X68" s="73">
        <v>350.31262562668996</v>
      </c>
      <c r="Y68" s="40">
        <v>355.74706636476924</v>
      </c>
      <c r="Z68" s="52">
        <v>5.4344407380792745</v>
      </c>
      <c r="AA68" s="73">
        <v>153.72800000000001</v>
      </c>
      <c r="AB68" s="40">
        <v>0</v>
      </c>
      <c r="AC68" s="52">
        <v>-153.72800000000001</v>
      </c>
      <c r="AD68" s="73">
        <v>1368.8983940635812</v>
      </c>
      <c r="AE68" s="40">
        <v>1707.7929854893789</v>
      </c>
      <c r="AF68" s="35">
        <v>338.89459142579767</v>
      </c>
      <c r="AG68" s="77">
        <v>3272.4825957933281</v>
      </c>
      <c r="AH68" s="53">
        <v>3583.8883440526106</v>
      </c>
      <c r="AI68" s="52">
        <v>311.40574825928252</v>
      </c>
      <c r="AJ68" s="73">
        <v>0</v>
      </c>
      <c r="AK68" s="40">
        <v>0</v>
      </c>
      <c r="AL68" s="52">
        <v>0</v>
      </c>
      <c r="AM68" s="73">
        <v>0</v>
      </c>
      <c r="AN68" s="40">
        <v>0</v>
      </c>
      <c r="AO68" s="52">
        <v>0</v>
      </c>
      <c r="AP68" s="73">
        <v>624.04237499999999</v>
      </c>
      <c r="AQ68" s="40">
        <v>0</v>
      </c>
      <c r="AR68" s="52">
        <v>-624.04237499999999</v>
      </c>
      <c r="AS68" s="73">
        <v>1642.5701254143582</v>
      </c>
      <c r="AT68" s="40">
        <v>68620</v>
      </c>
      <c r="AU68" s="54">
        <v>66977.429874585636</v>
      </c>
      <c r="AV68" s="73">
        <v>403.75195383192039</v>
      </c>
      <c r="AW68" s="40">
        <v>0</v>
      </c>
      <c r="AX68" s="55">
        <v>-403.75195383192039</v>
      </c>
      <c r="AY68" s="73">
        <v>501.26761322613913</v>
      </c>
      <c r="AZ68" s="40">
        <v>0</v>
      </c>
      <c r="BA68" s="35">
        <v>-501.26761322613913</v>
      </c>
      <c r="BB68" s="73">
        <v>122.27054191765001</v>
      </c>
      <c r="BC68" s="40">
        <v>0</v>
      </c>
      <c r="BD68" s="55">
        <v>-122.27054191765001</v>
      </c>
      <c r="BE68" s="73">
        <v>0</v>
      </c>
      <c r="BF68" s="40">
        <v>0</v>
      </c>
      <c r="BG68" s="38">
        <v>0</v>
      </c>
      <c r="BH68" s="73">
        <v>0</v>
      </c>
      <c r="BI68" s="40">
        <v>0</v>
      </c>
      <c r="BJ68" s="55">
        <v>0</v>
      </c>
      <c r="BK68" s="73">
        <v>167.73538395997613</v>
      </c>
      <c r="BL68" s="40">
        <v>0</v>
      </c>
      <c r="BM68" s="38">
        <v>-167.73538395997613</v>
      </c>
      <c r="BN68" s="73">
        <v>38.432000000000002</v>
      </c>
      <c r="BO68" s="40">
        <v>0</v>
      </c>
      <c r="BP68" s="55">
        <v>-38.432000000000002</v>
      </c>
      <c r="BQ68" s="77">
        <v>1233.4574929356857</v>
      </c>
      <c r="BR68" s="40">
        <v>0</v>
      </c>
      <c r="BS68" s="55">
        <v>-1233.4574929356857</v>
      </c>
      <c r="BT68" s="73">
        <v>1266.442153173376</v>
      </c>
      <c r="BU68" s="40">
        <v>461.1281722401701</v>
      </c>
      <c r="BV68" s="52">
        <v>-805.31398093320593</v>
      </c>
      <c r="BW68" s="73">
        <v>799.77973901707196</v>
      </c>
      <c r="BX68" s="40">
        <v>1582.6631166606544</v>
      </c>
      <c r="BY68" s="52">
        <v>782.88337764358243</v>
      </c>
      <c r="BZ68" s="73">
        <v>1128.2112987120861</v>
      </c>
      <c r="CA68" s="40">
        <v>3172.8390915612681</v>
      </c>
      <c r="CB68" s="52">
        <v>2044.627792849182</v>
      </c>
      <c r="CC68" s="73">
        <v>0</v>
      </c>
      <c r="CD68" s="40">
        <v>0</v>
      </c>
      <c r="CE68" s="52">
        <v>0</v>
      </c>
      <c r="CF68" s="73">
        <v>0</v>
      </c>
      <c r="CG68" s="40">
        <v>0</v>
      </c>
      <c r="CH68" s="52">
        <v>0</v>
      </c>
      <c r="CI68" s="73">
        <v>535.72</v>
      </c>
      <c r="CJ68" s="40">
        <v>504.7041648031165</v>
      </c>
      <c r="CK68" s="52">
        <v>-31.015835196883529</v>
      </c>
      <c r="CL68" s="73">
        <v>0</v>
      </c>
      <c r="CM68" s="40">
        <v>0</v>
      </c>
      <c r="CN68" s="52">
        <v>0</v>
      </c>
      <c r="CO68" s="39">
        <v>535.72</v>
      </c>
      <c r="CP68" s="40">
        <v>504.7041648031165</v>
      </c>
      <c r="CQ68" s="52">
        <v>-31.015835196883529</v>
      </c>
      <c r="CR68" s="72">
        <v>10502.705780045904</v>
      </c>
      <c r="CS68" s="5">
        <v>77925.222889317825</v>
      </c>
      <c r="CT68" s="52">
        <v>67422.517109271925</v>
      </c>
      <c r="CU68" s="77">
        <v>12603.246936055084</v>
      </c>
      <c r="CV68" s="65">
        <v>93510.267467181387</v>
      </c>
      <c r="CW68" s="35">
        <v>80907.020531126298</v>
      </c>
      <c r="CX68" s="73">
        <v>703.67747235950276</v>
      </c>
      <c r="CY68" s="40">
        <v>-80203.343058766797</v>
      </c>
      <c r="CZ68" s="52">
        <v>-80907.020531126298</v>
      </c>
      <c r="DA68" s="150">
        <v>135281.12412371213</v>
      </c>
      <c r="DB68" s="2">
        <v>2</v>
      </c>
      <c r="DC68" s="648">
        <v>26834.86</v>
      </c>
      <c r="DD68" s="648">
        <v>1706.08</v>
      </c>
      <c r="DE68" s="649">
        <v>15234.015591585416</v>
      </c>
      <c r="DG68" s="321">
        <v>-10802.374074971569</v>
      </c>
      <c r="DH68" s="5">
        <v>159683.09290097503</v>
      </c>
      <c r="DI68" s="306">
        <v>3.5100342879178235</v>
      </c>
      <c r="DJ68" s="306"/>
      <c r="DK68" s="306">
        <v>3.1811216724855136</v>
      </c>
      <c r="DL68" s="28">
        <v>5377.0215256613137</v>
      </c>
      <c r="DM68" s="28">
        <v>1154.4290549449929</v>
      </c>
      <c r="DN68" s="650">
        <v>5377</v>
      </c>
      <c r="DO68" s="94">
        <v>2.1525661313717137E-2</v>
      </c>
      <c r="DP68" s="28">
        <v>6531.4505806063062</v>
      </c>
      <c r="DQ68" s="318">
        <v>-85.254060822612701</v>
      </c>
      <c r="DS68" s="8">
        <v>6301.623468027542</v>
      </c>
      <c r="DT68" s="5">
        <v>315.08117340137716</v>
      </c>
      <c r="DW68" s="5">
        <v>3451.2331420200521</v>
      </c>
      <c r="DX68" s="5">
        <v>82344</v>
      </c>
    </row>
    <row r="69" spans="1:128" x14ac:dyDescent="0.3">
      <c r="A69" s="325">
        <v>150000518</v>
      </c>
      <c r="B69" s="41" t="s">
        <v>518</v>
      </c>
      <c r="C69" s="42" t="s">
        <v>195</v>
      </c>
      <c r="D69" s="42" t="s">
        <v>195</v>
      </c>
      <c r="E69" s="293">
        <v>847.5</v>
      </c>
      <c r="F69" s="305">
        <v>783.2</v>
      </c>
      <c r="G69" s="51"/>
      <c r="H69" s="651">
        <v>64.3</v>
      </c>
      <c r="I69" s="73">
        <v>510.407518850543</v>
      </c>
      <c r="J69" s="40">
        <v>564.91203520533065</v>
      </c>
      <c r="K69" s="52">
        <v>54.504516354787654</v>
      </c>
      <c r="L69" s="73">
        <v>123.90926828334926</v>
      </c>
      <c r="M69" s="40">
        <v>139.59841867637812</v>
      </c>
      <c r="N69" s="52">
        <v>15.689150393028854</v>
      </c>
      <c r="O69" s="73">
        <v>151.72592292731665</v>
      </c>
      <c r="P69" s="40">
        <v>151.74</v>
      </c>
      <c r="Q69" s="52">
        <v>1.4077072683363667E-2</v>
      </c>
      <c r="R69" s="73">
        <v>0</v>
      </c>
      <c r="S69" s="40">
        <v>0</v>
      </c>
      <c r="T69" s="52">
        <v>0</v>
      </c>
      <c r="U69" s="73">
        <v>0</v>
      </c>
      <c r="V69" s="40">
        <v>0</v>
      </c>
      <c r="W69" s="52">
        <v>0</v>
      </c>
      <c r="X69" s="73">
        <v>267.42369708664779</v>
      </c>
      <c r="Y69" s="40">
        <v>256.1119909160127</v>
      </c>
      <c r="Z69" s="52">
        <v>-11.311706170635091</v>
      </c>
      <c r="AA69" s="73">
        <v>67.8</v>
      </c>
      <c r="AB69" s="40">
        <v>0</v>
      </c>
      <c r="AC69" s="52">
        <v>-67.8</v>
      </c>
      <c r="AD69" s="73">
        <v>607.9912094147702</v>
      </c>
      <c r="AE69" s="40">
        <v>763.85610893088892</v>
      </c>
      <c r="AF69" s="35">
        <v>155.86489951611873</v>
      </c>
      <c r="AG69" s="77">
        <v>1729.2576165626269</v>
      </c>
      <c r="AH69" s="53">
        <v>1876.2185537286105</v>
      </c>
      <c r="AI69" s="52">
        <v>146.96093716598352</v>
      </c>
      <c r="AJ69" s="73">
        <v>0</v>
      </c>
      <c r="AK69" s="40">
        <v>0</v>
      </c>
      <c r="AL69" s="52">
        <v>0</v>
      </c>
      <c r="AM69" s="73">
        <v>0</v>
      </c>
      <c r="AN69" s="40">
        <v>0</v>
      </c>
      <c r="AO69" s="52">
        <v>0</v>
      </c>
      <c r="AP69" s="73">
        <v>321.47637499999996</v>
      </c>
      <c r="AQ69" s="40">
        <v>0</v>
      </c>
      <c r="AR69" s="52">
        <v>-321.47637499999996</v>
      </c>
      <c r="AS69" s="73">
        <v>1103.4284124862224</v>
      </c>
      <c r="AT69" s="40">
        <v>1580</v>
      </c>
      <c r="AU69" s="54">
        <v>476.57158751377756</v>
      </c>
      <c r="AV69" s="73">
        <v>243.27902537287778</v>
      </c>
      <c r="AW69" s="40">
        <v>0</v>
      </c>
      <c r="AX69" s="55">
        <v>-243.27902537287778</v>
      </c>
      <c r="AY69" s="73">
        <v>342.99582364538838</v>
      </c>
      <c r="AZ69" s="40">
        <v>0</v>
      </c>
      <c r="BA69" s="35">
        <v>-342.99582364538838</v>
      </c>
      <c r="BB69" s="73">
        <v>48.424256039466599</v>
      </c>
      <c r="BC69" s="40">
        <v>0</v>
      </c>
      <c r="BD69" s="55">
        <v>-48.424256039466599</v>
      </c>
      <c r="BE69" s="73">
        <v>0</v>
      </c>
      <c r="BF69" s="40">
        <v>0</v>
      </c>
      <c r="BG69" s="38">
        <v>0</v>
      </c>
      <c r="BH69" s="73">
        <v>0</v>
      </c>
      <c r="BI69" s="40">
        <v>0</v>
      </c>
      <c r="BJ69" s="55">
        <v>0</v>
      </c>
      <c r="BK69" s="73">
        <v>101.10418825836183</v>
      </c>
      <c r="BL69" s="40">
        <v>0</v>
      </c>
      <c r="BM69" s="38">
        <v>-101.10418825836183</v>
      </c>
      <c r="BN69" s="73">
        <v>16.95</v>
      </c>
      <c r="BO69" s="40">
        <v>0</v>
      </c>
      <c r="BP69" s="55">
        <v>-16.95</v>
      </c>
      <c r="BQ69" s="77">
        <v>752.75329331609464</v>
      </c>
      <c r="BR69" s="40">
        <v>0</v>
      </c>
      <c r="BS69" s="55">
        <v>-752.75329331609464</v>
      </c>
      <c r="BT69" s="73">
        <v>937.12694749746595</v>
      </c>
      <c r="BU69" s="40">
        <v>264.84123195996978</v>
      </c>
      <c r="BV69" s="52">
        <v>-672.28571553749612</v>
      </c>
      <c r="BW69" s="73">
        <v>662.64380696933199</v>
      </c>
      <c r="BX69" s="40">
        <v>1532.0374761549094</v>
      </c>
      <c r="BY69" s="52">
        <v>869.39366918557744</v>
      </c>
      <c r="BZ69" s="73">
        <v>543.67917289609397</v>
      </c>
      <c r="CA69" s="40">
        <v>1562.9107022287872</v>
      </c>
      <c r="CB69" s="52">
        <v>1019.2315293326932</v>
      </c>
      <c r="CC69" s="73">
        <v>106.19310185000001</v>
      </c>
      <c r="CD69" s="40">
        <v>133.99078619169057</v>
      </c>
      <c r="CE69" s="52">
        <v>27.797684341690569</v>
      </c>
      <c r="CF69" s="73">
        <v>12.6170022</v>
      </c>
      <c r="CG69" s="40">
        <v>0</v>
      </c>
      <c r="CH69" s="52">
        <v>-12.6170022</v>
      </c>
      <c r="CI69" s="73">
        <v>448.5</v>
      </c>
      <c r="CJ69" s="40">
        <v>291.26973339008242</v>
      </c>
      <c r="CK69" s="52">
        <v>-157.23026660991758</v>
      </c>
      <c r="CL69" s="73">
        <v>0</v>
      </c>
      <c r="CM69" s="40">
        <v>0</v>
      </c>
      <c r="CN69" s="52">
        <v>0</v>
      </c>
      <c r="CO69" s="39">
        <v>448.5</v>
      </c>
      <c r="CP69" s="40">
        <v>291.26973339008242</v>
      </c>
      <c r="CQ69" s="52">
        <v>-157.23026660991758</v>
      </c>
      <c r="CR69" s="72">
        <v>6617.6757287778364</v>
      </c>
      <c r="CS69" s="5">
        <v>7241.2684836540502</v>
      </c>
      <c r="CT69" s="52">
        <v>623.5927548762138</v>
      </c>
      <c r="CU69" s="77">
        <v>7941.2108745334035</v>
      </c>
      <c r="CV69" s="65">
        <v>8689.5221803848599</v>
      </c>
      <c r="CW69" s="35">
        <v>748.31130585145638</v>
      </c>
      <c r="CX69" s="73">
        <v>443.38187008613562</v>
      </c>
      <c r="CY69" s="40">
        <v>-304.92943576532161</v>
      </c>
      <c r="CZ69" s="52">
        <v>-748.31130585145729</v>
      </c>
      <c r="DA69" s="150">
        <v>51255.963812435824</v>
      </c>
      <c r="DB69" s="2">
        <v>2</v>
      </c>
      <c r="DC69" s="648">
        <v>4642.6499999999996</v>
      </c>
      <c r="DD69" s="648">
        <v>0</v>
      </c>
      <c r="DE69" s="649">
        <v>-3741.9427446195386</v>
      </c>
      <c r="DG69" s="321">
        <v>-7799.5291839591873</v>
      </c>
      <c r="DH69" s="5">
        <v>100615.11293543446</v>
      </c>
      <c r="DI69" s="306">
        <v>4.9597749274094713</v>
      </c>
      <c r="DJ69" s="306"/>
      <c r="DK69" s="306">
        <v>4.4267493932027815</v>
      </c>
      <c r="DL69" s="28">
        <v>3884.495723147098</v>
      </c>
      <c r="DM69" s="28">
        <v>284.63998598293881</v>
      </c>
      <c r="DN69" s="650">
        <v>3884.51</v>
      </c>
      <c r="DO69" s="94">
        <v>-1.4276852902185055E-2</v>
      </c>
      <c r="DP69" s="28">
        <v>4169.135709130037</v>
      </c>
      <c r="DQ69" s="318">
        <v>0</v>
      </c>
      <c r="DS69" s="8">
        <v>3970.6054372667018</v>
      </c>
      <c r="DT69" s="5">
        <v>198.53027186333509</v>
      </c>
      <c r="DW69" s="5">
        <v>2227.4180469627804</v>
      </c>
      <c r="DX69" s="5">
        <v>1896</v>
      </c>
    </row>
    <row r="70" spans="1:128" x14ac:dyDescent="0.3">
      <c r="A70" s="325">
        <v>150000519</v>
      </c>
      <c r="B70" s="41" t="s">
        <v>519</v>
      </c>
      <c r="C70" s="42" t="s">
        <v>413</v>
      </c>
      <c r="D70" s="42" t="s">
        <v>413</v>
      </c>
      <c r="E70" s="293">
        <v>2697.3</v>
      </c>
      <c r="F70" s="652">
        <v>2636.4</v>
      </c>
      <c r="G70" s="51">
        <v>208.70000000000027</v>
      </c>
      <c r="H70" s="651">
        <v>60.9</v>
      </c>
      <c r="I70" s="73">
        <v>1204.606339776193</v>
      </c>
      <c r="J70" s="40">
        <v>1341.2024904898374</v>
      </c>
      <c r="K70" s="52">
        <v>136.59615071364442</v>
      </c>
      <c r="L70" s="73">
        <v>200.25106868160694</v>
      </c>
      <c r="M70" s="40">
        <v>225.60623101987892</v>
      </c>
      <c r="N70" s="52">
        <v>25.355162338271981</v>
      </c>
      <c r="O70" s="73">
        <v>538.33426312005668</v>
      </c>
      <c r="P70" s="40">
        <v>538.34</v>
      </c>
      <c r="Q70" s="52">
        <v>5.7368799433561435E-3</v>
      </c>
      <c r="R70" s="73">
        <v>116.71412649473</v>
      </c>
      <c r="S70" s="40">
        <v>116.72</v>
      </c>
      <c r="T70" s="52">
        <v>5.8735052700029655E-3</v>
      </c>
      <c r="U70" s="73">
        <v>46.225724298301699</v>
      </c>
      <c r="V70" s="40">
        <v>86.642949320458385</v>
      </c>
      <c r="W70" s="52">
        <v>40.417225022156686</v>
      </c>
      <c r="X70" s="73">
        <v>395.92429883602006</v>
      </c>
      <c r="Y70" s="40">
        <v>364.94307074807853</v>
      </c>
      <c r="Z70" s="52">
        <v>-30.981228087941531</v>
      </c>
      <c r="AA70" s="73">
        <v>215.78400000000002</v>
      </c>
      <c r="AB70" s="40">
        <v>0</v>
      </c>
      <c r="AC70" s="52">
        <v>-215.78400000000002</v>
      </c>
      <c r="AD70" s="73">
        <v>1940.7852329113271</v>
      </c>
      <c r="AE70" s="40">
        <v>2431.0903629726099</v>
      </c>
      <c r="AF70" s="35">
        <v>490.30513006128285</v>
      </c>
      <c r="AG70" s="77">
        <v>4658.6250541182362</v>
      </c>
      <c r="AH70" s="53">
        <v>5104.5451045508626</v>
      </c>
      <c r="AI70" s="52">
        <v>445.92005043262634</v>
      </c>
      <c r="AJ70" s="73">
        <v>2377.92</v>
      </c>
      <c r="AK70" s="40">
        <v>2342.0517511334474</v>
      </c>
      <c r="AL70" s="52">
        <v>-35.868248866552676</v>
      </c>
      <c r="AM70" s="73">
        <v>0</v>
      </c>
      <c r="AN70" s="40">
        <v>0</v>
      </c>
      <c r="AO70" s="52">
        <v>0</v>
      </c>
      <c r="AP70" s="73">
        <v>245.83487499999998</v>
      </c>
      <c r="AQ70" s="40">
        <v>0</v>
      </c>
      <c r="AR70" s="52">
        <v>-245.83487499999998</v>
      </c>
      <c r="AS70" s="73">
        <v>3320.1080653203094</v>
      </c>
      <c r="AT70" s="40">
        <v>0</v>
      </c>
      <c r="AU70" s="54">
        <v>-3320.1080653203094</v>
      </c>
      <c r="AV70" s="73">
        <v>498.40647542748923</v>
      </c>
      <c r="AW70" s="40">
        <v>0</v>
      </c>
      <c r="AX70" s="55">
        <v>-498.40647542748923</v>
      </c>
      <c r="AY70" s="73">
        <v>560.61382903403535</v>
      </c>
      <c r="AZ70" s="40">
        <v>0</v>
      </c>
      <c r="BA70" s="35">
        <v>-560.61382903403535</v>
      </c>
      <c r="BB70" s="73">
        <v>197.57763345160001</v>
      </c>
      <c r="BC70" s="40">
        <v>0</v>
      </c>
      <c r="BD70" s="55">
        <v>-197.57763345160001</v>
      </c>
      <c r="BE70" s="73">
        <v>632.22917203543398</v>
      </c>
      <c r="BF70" s="40">
        <v>0</v>
      </c>
      <c r="BG70" s="38">
        <v>-632.22917203543398</v>
      </c>
      <c r="BH70" s="73">
        <v>223.21836053505521</v>
      </c>
      <c r="BI70" s="40">
        <v>0</v>
      </c>
      <c r="BJ70" s="55">
        <v>-223.21836053505521</v>
      </c>
      <c r="BK70" s="73">
        <v>252.6388727650268</v>
      </c>
      <c r="BL70" s="40">
        <v>0</v>
      </c>
      <c r="BM70" s="38">
        <v>-252.6388727650268</v>
      </c>
      <c r="BN70" s="73">
        <v>53.946000000000005</v>
      </c>
      <c r="BO70" s="40">
        <v>0</v>
      </c>
      <c r="BP70" s="55">
        <v>-53.946000000000005</v>
      </c>
      <c r="BQ70" s="77">
        <v>2418.6303432486407</v>
      </c>
      <c r="BR70" s="40">
        <v>0</v>
      </c>
      <c r="BS70" s="55">
        <v>-2418.6303432486407</v>
      </c>
      <c r="BT70" s="73">
        <v>3222.5269219921001</v>
      </c>
      <c r="BU70" s="40">
        <v>696.02200821583472</v>
      </c>
      <c r="BV70" s="52">
        <v>-2526.5049137762653</v>
      </c>
      <c r="BW70" s="73">
        <v>2856.7867615617001</v>
      </c>
      <c r="BX70" s="40">
        <v>3688.9461055357729</v>
      </c>
      <c r="BY70" s="52">
        <v>832.15934397407273</v>
      </c>
      <c r="BZ70" s="73">
        <v>644.68852472516801</v>
      </c>
      <c r="CA70" s="40">
        <v>4070.3038090772438</v>
      </c>
      <c r="CB70" s="52">
        <v>3425.6152843520758</v>
      </c>
      <c r="CC70" s="73">
        <v>112.209048325</v>
      </c>
      <c r="CD70" s="40">
        <v>138.3286173993352</v>
      </c>
      <c r="CE70" s="52">
        <v>26.119569074335203</v>
      </c>
      <c r="CF70" s="73">
        <v>13.0254663</v>
      </c>
      <c r="CG70" s="40">
        <v>0</v>
      </c>
      <c r="CH70" s="52">
        <v>-13.0254663</v>
      </c>
      <c r="CI70" s="73">
        <v>2289.2600000000002</v>
      </c>
      <c r="CJ70" s="40">
        <v>1916.3850612789911</v>
      </c>
      <c r="CK70" s="52">
        <v>-372.87493872100913</v>
      </c>
      <c r="CL70" s="73">
        <v>501.45864999999998</v>
      </c>
      <c r="CM70" s="40">
        <v>420.03159524555645</v>
      </c>
      <c r="CN70" s="52">
        <v>-81.427054754443532</v>
      </c>
      <c r="CO70" s="39">
        <v>2790.7186500000003</v>
      </c>
      <c r="CP70" s="40">
        <v>2336.4166565245478</v>
      </c>
      <c r="CQ70" s="52">
        <v>-454.30199347545249</v>
      </c>
      <c r="CR70" s="72">
        <v>22661.07371059115</v>
      </c>
      <c r="CS70" s="5">
        <v>18376.614052437046</v>
      </c>
      <c r="CT70" s="52">
        <v>-4284.4596581541045</v>
      </c>
      <c r="CU70" s="77">
        <v>27193.288452709381</v>
      </c>
      <c r="CV70" s="65">
        <v>22051.936862924453</v>
      </c>
      <c r="CW70" s="35">
        <v>-5141.3515897849284</v>
      </c>
      <c r="CX70" s="73">
        <v>1518.283707415392</v>
      </c>
      <c r="CY70" s="40">
        <v>6659.6352972003187</v>
      </c>
      <c r="CZ70" s="52">
        <v>5141.3515897849265</v>
      </c>
      <c r="DA70" s="150">
        <v>86692.876129822631</v>
      </c>
      <c r="DB70" s="2">
        <v>2</v>
      </c>
      <c r="DC70" s="648">
        <v>18358.47</v>
      </c>
      <c r="DD70" s="648">
        <v>233.78</v>
      </c>
      <c r="DE70" s="649">
        <v>-10119.322160124771</v>
      </c>
      <c r="DG70" s="321">
        <v>99932.858860255204</v>
      </c>
      <c r="DH70" s="5">
        <v>344538.86592149723</v>
      </c>
      <c r="DI70" s="306">
        <v>4.6357624782099069</v>
      </c>
      <c r="DJ70" s="306">
        <v>5.3829763403530873</v>
      </c>
      <c r="DK70" s="306">
        <v>3.9530983681416809</v>
      </c>
      <c r="DL70" s="28">
        <v>14035.735290677598</v>
      </c>
      <c r="DM70" s="28">
        <v>240.74369061982836</v>
      </c>
      <c r="DN70" s="650">
        <v>14035.77</v>
      </c>
      <c r="DO70" s="94">
        <v>-3.4709322402704856E-2</v>
      </c>
      <c r="DP70" s="28">
        <v>14276.478981297427</v>
      </c>
      <c r="DQ70" s="318">
        <v>2.5436250016355189E-3</v>
      </c>
      <c r="DS70" s="8">
        <v>13596.644226354691</v>
      </c>
      <c r="DT70" s="5">
        <v>679.8322113177345</v>
      </c>
      <c r="DW70" s="5">
        <v>6886.4860902827395</v>
      </c>
      <c r="DX70" s="5">
        <v>0</v>
      </c>
    </row>
    <row r="71" spans="1:128" x14ac:dyDescent="0.3">
      <c r="A71" s="325">
        <v>150000521</v>
      </c>
      <c r="B71" s="41" t="s">
        <v>520</v>
      </c>
      <c r="C71" s="42" t="s">
        <v>253</v>
      </c>
      <c r="D71" s="42" t="s">
        <v>253</v>
      </c>
      <c r="E71" s="293">
        <v>1940</v>
      </c>
      <c r="F71" s="305">
        <v>1556.6</v>
      </c>
      <c r="G71" s="51"/>
      <c r="H71" s="651">
        <v>383.4</v>
      </c>
      <c r="I71" s="73">
        <v>790.28232951889061</v>
      </c>
      <c r="J71" s="40">
        <v>878.72567566653856</v>
      </c>
      <c r="K71" s="52">
        <v>88.443346147647958</v>
      </c>
      <c r="L71" s="73">
        <v>181.11114486445646</v>
      </c>
      <c r="M71" s="40">
        <v>204.0434348296294</v>
      </c>
      <c r="N71" s="52">
        <v>22.932289965172941</v>
      </c>
      <c r="O71" s="73">
        <v>354.12003637792003</v>
      </c>
      <c r="P71" s="40">
        <v>354.12</v>
      </c>
      <c r="Q71" s="52">
        <v>-3.6377920025643107E-5</v>
      </c>
      <c r="R71" s="73">
        <v>0</v>
      </c>
      <c r="S71" s="40">
        <v>0</v>
      </c>
      <c r="T71" s="52">
        <v>0</v>
      </c>
      <c r="U71" s="73">
        <v>0</v>
      </c>
      <c r="V71" s="40">
        <v>0</v>
      </c>
      <c r="W71" s="52">
        <v>0</v>
      </c>
      <c r="X71" s="73">
        <v>385.33347846625679</v>
      </c>
      <c r="Y71" s="40">
        <v>385.41205902571755</v>
      </c>
      <c r="Z71" s="52">
        <v>7.8580559460760924E-2</v>
      </c>
      <c r="AA71" s="73">
        <v>150.9408</v>
      </c>
      <c r="AB71" s="40">
        <v>0</v>
      </c>
      <c r="AC71" s="52">
        <v>-150.9408</v>
      </c>
      <c r="AD71" s="73">
        <v>1346.1569652358994</v>
      </c>
      <c r="AE71" s="40">
        <v>1748.5319779656929</v>
      </c>
      <c r="AF71" s="35">
        <v>402.37501272979353</v>
      </c>
      <c r="AG71" s="77">
        <v>3207.9447544634231</v>
      </c>
      <c r="AH71" s="53">
        <v>3570.8331474875786</v>
      </c>
      <c r="AI71" s="52">
        <v>362.88839302415545</v>
      </c>
      <c r="AJ71" s="73">
        <v>0</v>
      </c>
      <c r="AK71" s="40">
        <v>0</v>
      </c>
      <c r="AL71" s="52">
        <v>0</v>
      </c>
      <c r="AM71" s="73">
        <v>0</v>
      </c>
      <c r="AN71" s="40">
        <v>0</v>
      </c>
      <c r="AO71" s="52">
        <v>0</v>
      </c>
      <c r="AP71" s="73">
        <v>428.63516666666658</v>
      </c>
      <c r="AQ71" s="40">
        <v>0</v>
      </c>
      <c r="AR71" s="52">
        <v>-428.63516666666658</v>
      </c>
      <c r="AS71" s="73">
        <v>1724.4022751231862</v>
      </c>
      <c r="AT71" s="40">
        <v>644</v>
      </c>
      <c r="AU71" s="54">
        <v>-1080.4022751231862</v>
      </c>
      <c r="AV71" s="73">
        <v>348.58911427010901</v>
      </c>
      <c r="AW71" s="40">
        <v>0</v>
      </c>
      <c r="AX71" s="55">
        <v>-348.58911427010901</v>
      </c>
      <c r="AY71" s="73">
        <v>501.26761322613913</v>
      </c>
      <c r="AZ71" s="40">
        <v>0</v>
      </c>
      <c r="BA71" s="35">
        <v>-501.26761322613913</v>
      </c>
      <c r="BB71" s="73">
        <v>121.02996443956999</v>
      </c>
      <c r="BC71" s="40">
        <v>0</v>
      </c>
      <c r="BD71" s="55">
        <v>-121.02996443956999</v>
      </c>
      <c r="BE71" s="73">
        <v>0</v>
      </c>
      <c r="BF71" s="40">
        <v>0</v>
      </c>
      <c r="BG71" s="38">
        <v>0</v>
      </c>
      <c r="BH71" s="73">
        <v>0</v>
      </c>
      <c r="BI71" s="40">
        <v>0</v>
      </c>
      <c r="BJ71" s="55">
        <v>0</v>
      </c>
      <c r="BK71" s="73">
        <v>188.7951611324728</v>
      </c>
      <c r="BL71" s="40">
        <v>0</v>
      </c>
      <c r="BM71" s="38">
        <v>-188.7951611324728</v>
      </c>
      <c r="BN71" s="73">
        <v>37.735199999999999</v>
      </c>
      <c r="BO71" s="40">
        <v>0</v>
      </c>
      <c r="BP71" s="55">
        <v>-37.735199999999999</v>
      </c>
      <c r="BQ71" s="77">
        <v>1197.4170530682909</v>
      </c>
      <c r="BR71" s="40">
        <v>0</v>
      </c>
      <c r="BS71" s="55">
        <v>-1197.4170530682909</v>
      </c>
      <c r="BT71" s="73">
        <v>2786.2229402662601</v>
      </c>
      <c r="BU71" s="40">
        <v>802.0866581043839</v>
      </c>
      <c r="BV71" s="52">
        <v>-1984.1362821618764</v>
      </c>
      <c r="BW71" s="73">
        <v>783.61225309686995</v>
      </c>
      <c r="BX71" s="40">
        <v>3114.7871668899588</v>
      </c>
      <c r="BY71" s="52">
        <v>2331.1749137930888</v>
      </c>
      <c r="BZ71" s="73">
        <v>1355.390283897096</v>
      </c>
      <c r="CA71" s="40">
        <v>5452.9845554522208</v>
      </c>
      <c r="CB71" s="52">
        <v>4097.5942715551246</v>
      </c>
      <c r="CC71" s="73">
        <v>102.755195675</v>
      </c>
      <c r="CD71" s="40">
        <v>129.65295498404589</v>
      </c>
      <c r="CE71" s="52">
        <v>26.897759309045895</v>
      </c>
      <c r="CF71" s="73">
        <v>12.2085381</v>
      </c>
      <c r="CG71" s="40">
        <v>0</v>
      </c>
      <c r="CH71" s="52">
        <v>-12.2085381</v>
      </c>
      <c r="CI71" s="73">
        <v>1043.4000000000001</v>
      </c>
      <c r="CJ71" s="40">
        <v>828.05818728287704</v>
      </c>
      <c r="CK71" s="52">
        <v>-215.34181271712305</v>
      </c>
      <c r="CL71" s="73">
        <v>0</v>
      </c>
      <c r="CM71" s="40">
        <v>0</v>
      </c>
      <c r="CN71" s="52">
        <v>0</v>
      </c>
      <c r="CO71" s="39">
        <v>1043.4000000000001</v>
      </c>
      <c r="CP71" s="40">
        <v>828.05818728287704</v>
      </c>
      <c r="CQ71" s="52">
        <v>-215.34181271712305</v>
      </c>
      <c r="CR71" s="72">
        <v>12641.98846035679</v>
      </c>
      <c r="CS71" s="5">
        <v>14542.402670201063</v>
      </c>
      <c r="CT71" s="52">
        <v>1900.4142098442735</v>
      </c>
      <c r="CU71" s="77">
        <v>15170.386152428147</v>
      </c>
      <c r="CV71" s="65">
        <v>17450.883204241276</v>
      </c>
      <c r="CW71" s="35">
        <v>2280.4970518131286</v>
      </c>
      <c r="CX71" s="73">
        <v>847.00863488751259</v>
      </c>
      <c r="CY71" s="40">
        <v>-1433.4884169256165</v>
      </c>
      <c r="CZ71" s="52">
        <v>-2280.497051813129</v>
      </c>
      <c r="DA71" s="150">
        <v>35928.328343931658</v>
      </c>
      <c r="DB71" s="2">
        <v>2</v>
      </c>
      <c r="DC71" s="648">
        <v>9959.76</v>
      </c>
      <c r="DD71" s="648">
        <v>4308.2999999999993</v>
      </c>
      <c r="DE71" s="649">
        <v>-1749.3347873156599</v>
      </c>
      <c r="DG71" s="321">
        <v>50687.291460770408</v>
      </c>
      <c r="DH71" s="5">
        <v>192208.73744778792</v>
      </c>
      <c r="DI71" s="306">
        <v>4.276738089322432</v>
      </c>
      <c r="DJ71" s="306"/>
      <c r="DK71" s="306">
        <v>3.9595799203787179</v>
      </c>
      <c r="DL71" s="28">
        <v>6657.1705098392977</v>
      </c>
      <c r="DM71" s="28">
        <v>1518.1029414732004</v>
      </c>
      <c r="DN71" s="650">
        <v>6656.94</v>
      </c>
      <c r="DO71" s="94">
        <v>0.23050983929806534</v>
      </c>
      <c r="DP71" s="28">
        <v>8175.2734513124979</v>
      </c>
      <c r="DQ71" s="318">
        <v>210.82072128772052</v>
      </c>
      <c r="DS71" s="8">
        <v>7585.1930762140737</v>
      </c>
      <c r="DT71" s="5">
        <v>379.2596538107037</v>
      </c>
      <c r="DW71" s="5">
        <v>3506.1831938297728</v>
      </c>
      <c r="DX71" s="5">
        <v>772.8</v>
      </c>
    </row>
    <row r="72" spans="1:128" x14ac:dyDescent="0.3">
      <c r="A72" s="325">
        <v>150000522</v>
      </c>
      <c r="B72" s="41" t="s">
        <v>521</v>
      </c>
      <c r="C72" s="42" t="s">
        <v>57</v>
      </c>
      <c r="D72" s="42" t="s">
        <v>57</v>
      </c>
      <c r="E72" s="293">
        <v>269.89999999999998</v>
      </c>
      <c r="F72" s="305">
        <v>269.89999999999998</v>
      </c>
      <c r="G72" s="51"/>
      <c r="H72" s="651">
        <v>0</v>
      </c>
      <c r="I72" s="73">
        <v>0</v>
      </c>
      <c r="J72" s="40">
        <v>0</v>
      </c>
      <c r="K72" s="52">
        <v>0</v>
      </c>
      <c r="L72" s="73">
        <v>0</v>
      </c>
      <c r="M72" s="40">
        <v>0</v>
      </c>
      <c r="N72" s="52">
        <v>0</v>
      </c>
      <c r="O72" s="73">
        <v>0</v>
      </c>
      <c r="P72" s="40">
        <v>0</v>
      </c>
      <c r="Q72" s="52">
        <v>0</v>
      </c>
      <c r="R72" s="73">
        <v>0</v>
      </c>
      <c r="S72" s="40">
        <v>0</v>
      </c>
      <c r="T72" s="52">
        <v>0</v>
      </c>
      <c r="U72" s="73">
        <v>0</v>
      </c>
      <c r="V72" s="40">
        <v>0</v>
      </c>
      <c r="W72" s="52">
        <v>0</v>
      </c>
      <c r="X72" s="73">
        <v>0</v>
      </c>
      <c r="Y72" s="40">
        <v>0</v>
      </c>
      <c r="Z72" s="52">
        <v>0</v>
      </c>
      <c r="AA72" s="73">
        <v>21.591999999999999</v>
      </c>
      <c r="AB72" s="40">
        <v>0</v>
      </c>
      <c r="AC72" s="52">
        <v>-21.591999999999999</v>
      </c>
      <c r="AD72" s="73">
        <v>172.84600806434707</v>
      </c>
      <c r="AE72" s="40">
        <v>243.26225817161878</v>
      </c>
      <c r="AF72" s="35">
        <v>70.416250107271708</v>
      </c>
      <c r="AG72" s="77">
        <v>194.43800806434706</v>
      </c>
      <c r="AH72" s="53">
        <v>243.26225817161878</v>
      </c>
      <c r="AI72" s="52">
        <v>48.824250107271723</v>
      </c>
      <c r="AJ72" s="73">
        <v>0</v>
      </c>
      <c r="AK72" s="40">
        <v>0</v>
      </c>
      <c r="AL72" s="52">
        <v>0</v>
      </c>
      <c r="AM72" s="73">
        <v>0</v>
      </c>
      <c r="AN72" s="40">
        <v>0</v>
      </c>
      <c r="AO72" s="52">
        <v>0</v>
      </c>
      <c r="AP72" s="73">
        <v>37.820749999999997</v>
      </c>
      <c r="AQ72" s="40">
        <v>111.53976490522081</v>
      </c>
      <c r="AR72" s="52">
        <v>73.719014905220803</v>
      </c>
      <c r="AS72" s="73">
        <v>289.2795511509679</v>
      </c>
      <c r="AT72" s="40">
        <v>0</v>
      </c>
      <c r="AU72" s="54">
        <v>-289.2795511509679</v>
      </c>
      <c r="AV72" s="73">
        <v>0</v>
      </c>
      <c r="AW72" s="40">
        <v>0</v>
      </c>
      <c r="AX72" s="55">
        <v>0</v>
      </c>
      <c r="AY72" s="73">
        <v>0</v>
      </c>
      <c r="AZ72" s="40">
        <v>0</v>
      </c>
      <c r="BA72" s="35">
        <v>0</v>
      </c>
      <c r="BB72" s="73">
        <v>0</v>
      </c>
      <c r="BC72" s="40">
        <v>0</v>
      </c>
      <c r="BD72" s="55">
        <v>0</v>
      </c>
      <c r="BE72" s="73">
        <v>0</v>
      </c>
      <c r="BF72" s="40">
        <v>0</v>
      </c>
      <c r="BG72" s="38">
        <v>0</v>
      </c>
      <c r="BH72" s="73">
        <v>0</v>
      </c>
      <c r="BI72" s="40">
        <v>0</v>
      </c>
      <c r="BJ72" s="55">
        <v>0</v>
      </c>
      <c r="BK72" s="73">
        <v>0</v>
      </c>
      <c r="BL72" s="40">
        <v>0</v>
      </c>
      <c r="BM72" s="38">
        <v>0</v>
      </c>
      <c r="BN72" s="73">
        <v>6.7352171174834572</v>
      </c>
      <c r="BO72" s="40">
        <v>0</v>
      </c>
      <c r="BP72" s="55">
        <v>-6.7352171174834572</v>
      </c>
      <c r="BQ72" s="77">
        <v>6.7352171174834572</v>
      </c>
      <c r="BR72" s="40">
        <v>0</v>
      </c>
      <c r="BS72" s="55">
        <v>-6.7352171174834572</v>
      </c>
      <c r="BT72" s="73">
        <v>0</v>
      </c>
      <c r="BU72" s="40">
        <v>0</v>
      </c>
      <c r="BV72" s="52">
        <v>0</v>
      </c>
      <c r="BW72" s="73">
        <v>0</v>
      </c>
      <c r="BX72" s="40">
        <v>1.0020905258887853</v>
      </c>
      <c r="BY72" s="52">
        <v>1.0020905258887853</v>
      </c>
      <c r="BZ72" s="73">
        <v>0</v>
      </c>
      <c r="CA72" s="40">
        <v>0</v>
      </c>
      <c r="CB72" s="52">
        <v>0</v>
      </c>
      <c r="CC72" s="73">
        <v>0</v>
      </c>
      <c r="CD72" s="40">
        <v>0</v>
      </c>
      <c r="CE72" s="52">
        <v>0</v>
      </c>
      <c r="CF72" s="73">
        <v>0</v>
      </c>
      <c r="CG72" s="40">
        <v>0</v>
      </c>
      <c r="CH72" s="52">
        <v>0</v>
      </c>
      <c r="CI72" s="73">
        <v>0</v>
      </c>
      <c r="CJ72" s="40">
        <v>0</v>
      </c>
      <c r="CK72" s="52">
        <v>0</v>
      </c>
      <c r="CL72" s="73">
        <v>0</v>
      </c>
      <c r="CM72" s="40">
        <v>0</v>
      </c>
      <c r="CN72" s="52">
        <v>0</v>
      </c>
      <c r="CO72" s="39">
        <v>0</v>
      </c>
      <c r="CP72" s="40">
        <v>0</v>
      </c>
      <c r="CQ72" s="52">
        <v>0</v>
      </c>
      <c r="CR72" s="72">
        <v>528.27352633279838</v>
      </c>
      <c r="CS72" s="5">
        <v>355.80411360272836</v>
      </c>
      <c r="CT72" s="52">
        <v>-172.46941273007002</v>
      </c>
      <c r="CU72" s="77">
        <v>633.92823159935801</v>
      </c>
      <c r="CV72" s="65">
        <v>426.964936323274</v>
      </c>
      <c r="CW72" s="35">
        <v>-206.96329527608401</v>
      </c>
      <c r="CX72" s="73">
        <v>35.394134379215188</v>
      </c>
      <c r="CY72" s="40">
        <v>242.3574296552992</v>
      </c>
      <c r="CZ72" s="52">
        <v>206.96329527608401</v>
      </c>
      <c r="DA72" s="150">
        <v>-3776.4570047272864</v>
      </c>
      <c r="DB72" s="2">
        <v>1</v>
      </c>
      <c r="DC72" s="648">
        <v>4944.12</v>
      </c>
      <c r="DD72" s="648"/>
      <c r="DE72" s="649">
        <v>4274.7976340214263</v>
      </c>
      <c r="DG72" s="321">
        <v>8991.6911668920038</v>
      </c>
      <c r="DH72" s="5">
        <v>8031.8683917428789</v>
      </c>
      <c r="DI72" s="306">
        <v>1.233094929935765</v>
      </c>
      <c r="DJ72" s="306"/>
      <c r="DK72" s="306"/>
      <c r="DL72" s="28">
        <v>332.81232158966293</v>
      </c>
      <c r="DM72" s="28">
        <v>0</v>
      </c>
      <c r="DN72" s="650">
        <v>332.81</v>
      </c>
      <c r="DO72" s="94">
        <v>2.3215896629267263E-3</v>
      </c>
      <c r="DP72" s="28">
        <v>332.81232158966293</v>
      </c>
      <c r="DQ72" s="318">
        <v>0</v>
      </c>
      <c r="DS72" s="8">
        <v>316.96411579967901</v>
      </c>
      <c r="DT72" s="5">
        <v>15.848205789983952</v>
      </c>
      <c r="DW72" s="5">
        <v>355.21772192214161</v>
      </c>
      <c r="DX72" s="5">
        <v>0</v>
      </c>
    </row>
    <row r="73" spans="1:128" x14ac:dyDescent="0.3">
      <c r="A73" s="325">
        <v>150000523</v>
      </c>
      <c r="B73" s="41" t="s">
        <v>522</v>
      </c>
      <c r="C73" s="42" t="s">
        <v>58</v>
      </c>
      <c r="D73" s="42" t="s">
        <v>58</v>
      </c>
      <c r="E73" s="293">
        <v>299.60000000000002</v>
      </c>
      <c r="F73" s="305">
        <v>299.60000000000002</v>
      </c>
      <c r="G73" s="51"/>
      <c r="H73" s="651">
        <v>0</v>
      </c>
      <c r="I73" s="73">
        <v>0</v>
      </c>
      <c r="J73" s="40">
        <v>0</v>
      </c>
      <c r="K73" s="52">
        <v>0</v>
      </c>
      <c r="L73" s="73">
        <v>0</v>
      </c>
      <c r="M73" s="40">
        <v>0</v>
      </c>
      <c r="N73" s="52">
        <v>0</v>
      </c>
      <c r="O73" s="73">
        <v>0</v>
      </c>
      <c r="P73" s="40">
        <v>0</v>
      </c>
      <c r="Q73" s="52">
        <v>0</v>
      </c>
      <c r="R73" s="73">
        <v>0</v>
      </c>
      <c r="S73" s="40">
        <v>0</v>
      </c>
      <c r="T73" s="52">
        <v>0</v>
      </c>
      <c r="U73" s="73">
        <v>0</v>
      </c>
      <c r="V73" s="40">
        <v>0</v>
      </c>
      <c r="W73" s="52">
        <v>0</v>
      </c>
      <c r="X73" s="73">
        <v>0</v>
      </c>
      <c r="Y73" s="40">
        <v>0</v>
      </c>
      <c r="Z73" s="52">
        <v>0</v>
      </c>
      <c r="AA73" s="73">
        <v>23.968000000000004</v>
      </c>
      <c r="AB73" s="40">
        <v>0</v>
      </c>
      <c r="AC73" s="52">
        <v>-23.968000000000004</v>
      </c>
      <c r="AD73" s="73">
        <v>191.86334996930805</v>
      </c>
      <c r="AE73" s="40">
        <v>270.03102092707297</v>
      </c>
      <c r="AF73" s="35">
        <v>78.167670957764926</v>
      </c>
      <c r="AG73" s="77">
        <v>215.83134996930806</v>
      </c>
      <c r="AH73" s="53">
        <v>270.03102092707297</v>
      </c>
      <c r="AI73" s="52">
        <v>54.199670957764909</v>
      </c>
      <c r="AJ73" s="73">
        <v>0</v>
      </c>
      <c r="AK73" s="40">
        <v>0</v>
      </c>
      <c r="AL73" s="52">
        <v>0</v>
      </c>
      <c r="AM73" s="73">
        <v>0</v>
      </c>
      <c r="AN73" s="40">
        <v>0</v>
      </c>
      <c r="AO73" s="52">
        <v>0</v>
      </c>
      <c r="AP73" s="73">
        <v>50.427666666666667</v>
      </c>
      <c r="AQ73" s="40">
        <v>148.71968654029439</v>
      </c>
      <c r="AR73" s="52">
        <v>98.292019873627723</v>
      </c>
      <c r="AS73" s="73">
        <v>299.14106402166834</v>
      </c>
      <c r="AT73" s="40">
        <v>2298</v>
      </c>
      <c r="AU73" s="54">
        <v>1998.8589359783316</v>
      </c>
      <c r="AV73" s="73">
        <v>0</v>
      </c>
      <c r="AW73" s="40">
        <v>0</v>
      </c>
      <c r="AX73" s="55">
        <v>0</v>
      </c>
      <c r="AY73" s="73">
        <v>0</v>
      </c>
      <c r="AZ73" s="40">
        <v>0</v>
      </c>
      <c r="BA73" s="35">
        <v>0</v>
      </c>
      <c r="BB73" s="73">
        <v>0</v>
      </c>
      <c r="BC73" s="40">
        <v>0</v>
      </c>
      <c r="BD73" s="55">
        <v>0</v>
      </c>
      <c r="BE73" s="73">
        <v>0</v>
      </c>
      <c r="BF73" s="40">
        <v>0</v>
      </c>
      <c r="BG73" s="38">
        <v>0</v>
      </c>
      <c r="BH73" s="73">
        <v>0</v>
      </c>
      <c r="BI73" s="40">
        <v>0</v>
      </c>
      <c r="BJ73" s="55">
        <v>0</v>
      </c>
      <c r="BK73" s="73">
        <v>0</v>
      </c>
      <c r="BL73" s="40">
        <v>0</v>
      </c>
      <c r="BM73" s="38">
        <v>0</v>
      </c>
      <c r="BN73" s="73">
        <v>8.6360977087623318</v>
      </c>
      <c r="BO73" s="40">
        <v>0</v>
      </c>
      <c r="BP73" s="55">
        <v>-8.6360977087623318</v>
      </c>
      <c r="BQ73" s="77">
        <v>8.6360977087623318</v>
      </c>
      <c r="BR73" s="40">
        <v>0</v>
      </c>
      <c r="BS73" s="55">
        <v>-8.6360977087623318</v>
      </c>
      <c r="BT73" s="73">
        <v>0</v>
      </c>
      <c r="BU73" s="40">
        <v>0</v>
      </c>
      <c r="BV73" s="52">
        <v>0</v>
      </c>
      <c r="BW73" s="73">
        <v>0</v>
      </c>
      <c r="BX73" s="40">
        <v>1.1123613247731758</v>
      </c>
      <c r="BY73" s="52">
        <v>1.1123613247731758</v>
      </c>
      <c r="BZ73" s="73">
        <v>0</v>
      </c>
      <c r="CA73" s="40">
        <v>0</v>
      </c>
      <c r="CB73" s="52">
        <v>0</v>
      </c>
      <c r="CC73" s="73">
        <v>0</v>
      </c>
      <c r="CD73" s="40">
        <v>0</v>
      </c>
      <c r="CE73" s="52">
        <v>0</v>
      </c>
      <c r="CF73" s="73">
        <v>0</v>
      </c>
      <c r="CG73" s="40">
        <v>0</v>
      </c>
      <c r="CH73" s="52">
        <v>0</v>
      </c>
      <c r="CI73" s="73">
        <v>0</v>
      </c>
      <c r="CJ73" s="40">
        <v>0</v>
      </c>
      <c r="CK73" s="52">
        <v>0</v>
      </c>
      <c r="CL73" s="73">
        <v>0</v>
      </c>
      <c r="CM73" s="40">
        <v>0</v>
      </c>
      <c r="CN73" s="52">
        <v>0</v>
      </c>
      <c r="CO73" s="39">
        <v>0</v>
      </c>
      <c r="CP73" s="40">
        <v>0</v>
      </c>
      <c r="CQ73" s="52">
        <v>0</v>
      </c>
      <c r="CR73" s="72">
        <v>574.03617836640535</v>
      </c>
      <c r="CS73" s="5">
        <v>2717.8630687921404</v>
      </c>
      <c r="CT73" s="52">
        <v>2143.8268904257352</v>
      </c>
      <c r="CU73" s="77">
        <v>688.84341403968642</v>
      </c>
      <c r="CV73" s="65">
        <v>3261.4356825505683</v>
      </c>
      <c r="CW73" s="35">
        <v>2572.5922685108817</v>
      </c>
      <c r="CX73" s="73">
        <v>38.460215443073693</v>
      </c>
      <c r="CY73" s="40">
        <v>-2534.1320530678081</v>
      </c>
      <c r="CZ73" s="52">
        <v>-2572.5922685108817</v>
      </c>
      <c r="DA73" s="150">
        <v>25377.444546119863</v>
      </c>
      <c r="DB73" s="2">
        <v>1</v>
      </c>
      <c r="DC73" s="648">
        <v>2867.74</v>
      </c>
      <c r="DD73" s="648"/>
      <c r="DE73" s="649">
        <v>2140.4363705172395</v>
      </c>
      <c r="DG73" s="321">
        <v>-2228.9267708978959</v>
      </c>
      <c r="DH73" s="5">
        <v>8727.6435537931211</v>
      </c>
      <c r="DI73" s="306">
        <v>1.2070854217985159</v>
      </c>
      <c r="DJ73" s="306"/>
      <c r="DK73" s="306"/>
      <c r="DL73" s="28">
        <v>361.64279237083537</v>
      </c>
      <c r="DM73" s="28">
        <v>0</v>
      </c>
      <c r="DN73" s="650">
        <v>361.65</v>
      </c>
      <c r="DO73" s="94">
        <v>-7.2076291646112622E-3</v>
      </c>
      <c r="DP73" s="28">
        <v>361.64279237083537</v>
      </c>
      <c r="DQ73" s="318">
        <v>0</v>
      </c>
      <c r="DS73" s="8">
        <v>344.42170701984321</v>
      </c>
      <c r="DT73" s="5">
        <v>17.221085350992158</v>
      </c>
      <c r="DW73" s="5">
        <v>369.33259407651684</v>
      </c>
      <c r="DX73" s="5">
        <v>2757.6</v>
      </c>
    </row>
    <row r="74" spans="1:128" x14ac:dyDescent="0.3">
      <c r="A74" s="325">
        <v>150000524</v>
      </c>
      <c r="B74" s="41" t="s">
        <v>523</v>
      </c>
      <c r="C74" s="42" t="s">
        <v>59</v>
      </c>
      <c r="D74" s="42" t="s">
        <v>59</v>
      </c>
      <c r="E74" s="293">
        <v>214.7</v>
      </c>
      <c r="F74" s="305">
        <v>214.7</v>
      </c>
      <c r="G74" s="51"/>
      <c r="H74" s="651">
        <v>0</v>
      </c>
      <c r="I74" s="73">
        <v>0</v>
      </c>
      <c r="J74" s="40">
        <v>0</v>
      </c>
      <c r="K74" s="52">
        <v>0</v>
      </c>
      <c r="L74" s="73">
        <v>0</v>
      </c>
      <c r="M74" s="40">
        <v>0</v>
      </c>
      <c r="N74" s="52">
        <v>0</v>
      </c>
      <c r="O74" s="73">
        <v>0</v>
      </c>
      <c r="P74" s="40">
        <v>0</v>
      </c>
      <c r="Q74" s="52">
        <v>0</v>
      </c>
      <c r="R74" s="73">
        <v>0</v>
      </c>
      <c r="S74" s="40">
        <v>0</v>
      </c>
      <c r="T74" s="52">
        <v>0</v>
      </c>
      <c r="U74" s="73">
        <v>0</v>
      </c>
      <c r="V74" s="40">
        <v>0</v>
      </c>
      <c r="W74" s="52">
        <v>0</v>
      </c>
      <c r="X74" s="73">
        <v>0</v>
      </c>
      <c r="Y74" s="40">
        <v>0</v>
      </c>
      <c r="Z74" s="52">
        <v>0</v>
      </c>
      <c r="AA74" s="73">
        <v>24.776</v>
      </c>
      <c r="AB74" s="40">
        <v>0</v>
      </c>
      <c r="AC74" s="52">
        <v>-24.776</v>
      </c>
      <c r="AD74" s="73">
        <v>194.60397011352325</v>
      </c>
      <c r="AE74" s="40">
        <v>193.5102142624919</v>
      </c>
      <c r="AF74" s="35">
        <v>-1.0937558510313465</v>
      </c>
      <c r="AG74" s="77">
        <v>219.37997011352326</v>
      </c>
      <c r="AH74" s="53">
        <v>193.5102142624919</v>
      </c>
      <c r="AI74" s="52">
        <v>-25.869755851031357</v>
      </c>
      <c r="AJ74" s="73">
        <v>0</v>
      </c>
      <c r="AK74" s="40">
        <v>0</v>
      </c>
      <c r="AL74" s="52">
        <v>0</v>
      </c>
      <c r="AM74" s="73">
        <v>0</v>
      </c>
      <c r="AN74" s="40">
        <v>0</v>
      </c>
      <c r="AO74" s="52">
        <v>0</v>
      </c>
      <c r="AP74" s="73">
        <v>63.034583333333323</v>
      </c>
      <c r="AQ74" s="40">
        <v>185.899608175368</v>
      </c>
      <c r="AR74" s="52">
        <v>122.86502484203467</v>
      </c>
      <c r="AS74" s="73">
        <v>291.62172089735719</v>
      </c>
      <c r="AT74" s="40">
        <v>3218</v>
      </c>
      <c r="AU74" s="54">
        <v>2926.3782791026429</v>
      </c>
      <c r="AV74" s="73">
        <v>0</v>
      </c>
      <c r="AW74" s="40">
        <v>0</v>
      </c>
      <c r="AX74" s="55">
        <v>0</v>
      </c>
      <c r="AY74" s="73">
        <v>0</v>
      </c>
      <c r="AZ74" s="40">
        <v>0</v>
      </c>
      <c r="BA74" s="35">
        <v>0</v>
      </c>
      <c r="BB74" s="73">
        <v>0</v>
      </c>
      <c r="BC74" s="40">
        <v>0</v>
      </c>
      <c r="BD74" s="55">
        <v>0</v>
      </c>
      <c r="BE74" s="73">
        <v>0</v>
      </c>
      <c r="BF74" s="40">
        <v>0</v>
      </c>
      <c r="BG74" s="38">
        <v>0</v>
      </c>
      <c r="BH74" s="73">
        <v>0</v>
      </c>
      <c r="BI74" s="40">
        <v>0</v>
      </c>
      <c r="BJ74" s="55">
        <v>0</v>
      </c>
      <c r="BK74" s="73">
        <v>0</v>
      </c>
      <c r="BL74" s="40">
        <v>0</v>
      </c>
      <c r="BM74" s="38">
        <v>0</v>
      </c>
      <c r="BN74" s="73">
        <v>6.9417443134978658</v>
      </c>
      <c r="BO74" s="40">
        <v>0</v>
      </c>
      <c r="BP74" s="55">
        <v>-6.9417443134978658</v>
      </c>
      <c r="BQ74" s="77">
        <v>6.9417443134978658</v>
      </c>
      <c r="BR74" s="40">
        <v>0</v>
      </c>
      <c r="BS74" s="55">
        <v>-6.9417443134978658</v>
      </c>
      <c r="BT74" s="73">
        <v>0</v>
      </c>
      <c r="BU74" s="40">
        <v>0</v>
      </c>
      <c r="BV74" s="52">
        <v>0</v>
      </c>
      <c r="BW74" s="73">
        <v>0</v>
      </c>
      <c r="BX74" s="40">
        <v>0.79714277846729242</v>
      </c>
      <c r="BY74" s="52">
        <v>0.79714277846729242</v>
      </c>
      <c r="BZ74" s="73">
        <v>0</v>
      </c>
      <c r="CA74" s="40">
        <v>0</v>
      </c>
      <c r="CB74" s="52">
        <v>0</v>
      </c>
      <c r="CC74" s="73">
        <v>0</v>
      </c>
      <c r="CD74" s="40">
        <v>0</v>
      </c>
      <c r="CE74" s="52">
        <v>0</v>
      </c>
      <c r="CF74" s="73">
        <v>0</v>
      </c>
      <c r="CG74" s="40">
        <v>0</v>
      </c>
      <c r="CH74" s="52">
        <v>0</v>
      </c>
      <c r="CI74" s="73">
        <v>0</v>
      </c>
      <c r="CJ74" s="40">
        <v>0</v>
      </c>
      <c r="CK74" s="52">
        <v>0</v>
      </c>
      <c r="CL74" s="73">
        <v>0</v>
      </c>
      <c r="CM74" s="40">
        <v>0</v>
      </c>
      <c r="CN74" s="52">
        <v>0</v>
      </c>
      <c r="CO74" s="39">
        <v>0</v>
      </c>
      <c r="CP74" s="40">
        <v>0</v>
      </c>
      <c r="CQ74" s="52">
        <v>0</v>
      </c>
      <c r="CR74" s="72">
        <v>580.97801865771169</v>
      </c>
      <c r="CS74" s="5">
        <v>3598.2069652163273</v>
      </c>
      <c r="CT74" s="52">
        <v>3017.2289465586155</v>
      </c>
      <c r="CU74" s="77">
        <v>697.17362238925398</v>
      </c>
      <c r="CV74" s="65">
        <v>4317.8483582595927</v>
      </c>
      <c r="CW74" s="35">
        <v>3620.6747358703387</v>
      </c>
      <c r="CX74" s="73">
        <v>38.925316221102769</v>
      </c>
      <c r="CY74" s="40">
        <v>-3581.7494196492362</v>
      </c>
      <c r="CZ74" s="52">
        <v>-3620.6747358703387</v>
      </c>
      <c r="DA74" s="150">
        <v>474.53150324040462</v>
      </c>
      <c r="DB74" s="2">
        <v>1</v>
      </c>
      <c r="DC74" s="648">
        <v>2846.14</v>
      </c>
      <c r="DD74" s="648">
        <v>0</v>
      </c>
      <c r="DE74" s="649">
        <v>2110.0410613896429</v>
      </c>
      <c r="DG74" s="321">
        <v>-2949.5689641668255</v>
      </c>
      <c r="DH74" s="5">
        <v>8833.187263324282</v>
      </c>
      <c r="DI74" s="306">
        <v>1.1818409808019321</v>
      </c>
      <c r="DJ74" s="306"/>
      <c r="DK74" s="306">
        <v>1.1818409808019321</v>
      </c>
      <c r="DL74" s="28">
        <v>253.74125857817481</v>
      </c>
      <c r="DM74" s="28">
        <v>0</v>
      </c>
      <c r="DN74" s="650">
        <v>253.74</v>
      </c>
      <c r="DO74" s="94">
        <v>1.2585781747986857E-3</v>
      </c>
      <c r="DP74" s="28">
        <v>253.74125857817481</v>
      </c>
      <c r="DQ74" s="318">
        <v>-112.27489317618355</v>
      </c>
      <c r="DS74" s="8">
        <v>348.58681119462699</v>
      </c>
      <c r="DT74" s="5">
        <v>17.429340559731351</v>
      </c>
      <c r="DW74" s="5">
        <v>358.27615825302604</v>
      </c>
      <c r="DX74" s="5">
        <v>3861.6</v>
      </c>
    </row>
    <row r="75" spans="1:128" x14ac:dyDescent="0.3">
      <c r="A75" s="325">
        <v>150000541</v>
      </c>
      <c r="B75" s="41" t="s">
        <v>524</v>
      </c>
      <c r="C75" s="42" t="s">
        <v>60</v>
      </c>
      <c r="D75" s="42" t="s">
        <v>60</v>
      </c>
      <c r="E75" s="293">
        <v>150.19999999999999</v>
      </c>
      <c r="F75" s="305">
        <v>150.19999999999999</v>
      </c>
      <c r="G75" s="51"/>
      <c r="H75" s="651">
        <v>0</v>
      </c>
      <c r="I75" s="73">
        <v>0</v>
      </c>
      <c r="J75" s="40">
        <v>0</v>
      </c>
      <c r="K75" s="52">
        <v>0</v>
      </c>
      <c r="L75" s="73">
        <v>0</v>
      </c>
      <c r="M75" s="40">
        <v>0</v>
      </c>
      <c r="N75" s="52">
        <v>0</v>
      </c>
      <c r="O75" s="73">
        <v>0</v>
      </c>
      <c r="P75" s="40">
        <v>0</v>
      </c>
      <c r="Q75" s="52">
        <v>0</v>
      </c>
      <c r="R75" s="73">
        <v>0</v>
      </c>
      <c r="S75" s="40">
        <v>0</v>
      </c>
      <c r="T75" s="52">
        <v>0</v>
      </c>
      <c r="U75" s="73">
        <v>0</v>
      </c>
      <c r="V75" s="40">
        <v>0</v>
      </c>
      <c r="W75" s="52">
        <v>0</v>
      </c>
      <c r="X75" s="73">
        <v>0</v>
      </c>
      <c r="Y75" s="40">
        <v>0</v>
      </c>
      <c r="Z75" s="52">
        <v>0</v>
      </c>
      <c r="AA75" s="73">
        <v>12.016</v>
      </c>
      <c r="AB75" s="40">
        <v>0</v>
      </c>
      <c r="AC75" s="52">
        <v>-12.016</v>
      </c>
      <c r="AD75" s="73">
        <v>96.172105107907669</v>
      </c>
      <c r="AE75" s="40">
        <v>135.37603252084898</v>
      </c>
      <c r="AF75" s="35">
        <v>39.203927412941312</v>
      </c>
      <c r="AG75" s="77">
        <v>108.18810510790767</v>
      </c>
      <c r="AH75" s="53">
        <v>135.37603252084898</v>
      </c>
      <c r="AI75" s="52">
        <v>27.187927412941306</v>
      </c>
      <c r="AJ75" s="73">
        <v>0</v>
      </c>
      <c r="AK75" s="40">
        <v>0</v>
      </c>
      <c r="AL75" s="52">
        <v>0</v>
      </c>
      <c r="AM75" s="73">
        <v>0</v>
      </c>
      <c r="AN75" s="40">
        <v>0</v>
      </c>
      <c r="AO75" s="52">
        <v>0</v>
      </c>
      <c r="AP75" s="73">
        <v>31.517291666666662</v>
      </c>
      <c r="AQ75" s="40">
        <v>92.949804087684001</v>
      </c>
      <c r="AR75" s="52">
        <v>61.432512421017336</v>
      </c>
      <c r="AS75" s="73">
        <v>253.91311868502152</v>
      </c>
      <c r="AT75" s="40">
        <v>0</v>
      </c>
      <c r="AU75" s="54">
        <v>-253.91311868502152</v>
      </c>
      <c r="AV75" s="73">
        <v>0</v>
      </c>
      <c r="AW75" s="40">
        <v>0</v>
      </c>
      <c r="AX75" s="55">
        <v>0</v>
      </c>
      <c r="AY75" s="73">
        <v>0</v>
      </c>
      <c r="AZ75" s="40">
        <v>0</v>
      </c>
      <c r="BA75" s="35">
        <v>0</v>
      </c>
      <c r="BB75" s="73">
        <v>0</v>
      </c>
      <c r="BC75" s="40">
        <v>0</v>
      </c>
      <c r="BD75" s="55">
        <v>0</v>
      </c>
      <c r="BE75" s="73">
        <v>0</v>
      </c>
      <c r="BF75" s="40">
        <v>0</v>
      </c>
      <c r="BG75" s="38">
        <v>0</v>
      </c>
      <c r="BH75" s="73">
        <v>0</v>
      </c>
      <c r="BI75" s="40">
        <v>0</v>
      </c>
      <c r="BJ75" s="55">
        <v>0</v>
      </c>
      <c r="BK75" s="73">
        <v>0</v>
      </c>
      <c r="BL75" s="40">
        <v>0</v>
      </c>
      <c r="BM75" s="38">
        <v>0</v>
      </c>
      <c r="BN75" s="73">
        <v>3.5952946229685399</v>
      </c>
      <c r="BO75" s="40">
        <v>0</v>
      </c>
      <c r="BP75" s="55">
        <v>-3.5952946229685399</v>
      </c>
      <c r="BQ75" s="77">
        <v>3.5952946229685399</v>
      </c>
      <c r="BR75" s="40">
        <v>0</v>
      </c>
      <c r="BS75" s="55">
        <v>-3.5952946229685399</v>
      </c>
      <c r="BT75" s="73">
        <v>0</v>
      </c>
      <c r="BU75" s="40">
        <v>0</v>
      </c>
      <c r="BV75" s="52">
        <v>0</v>
      </c>
      <c r="BW75" s="73">
        <v>0</v>
      </c>
      <c r="BX75" s="40">
        <v>0.55766579099109137</v>
      </c>
      <c r="BY75" s="52">
        <v>0.55766579099109137</v>
      </c>
      <c r="BZ75" s="73">
        <v>0</v>
      </c>
      <c r="CA75" s="40">
        <v>0</v>
      </c>
      <c r="CB75" s="52">
        <v>0</v>
      </c>
      <c r="CC75" s="73">
        <v>0</v>
      </c>
      <c r="CD75" s="40">
        <v>0</v>
      </c>
      <c r="CE75" s="52">
        <v>0</v>
      </c>
      <c r="CF75" s="73">
        <v>0</v>
      </c>
      <c r="CG75" s="40">
        <v>0</v>
      </c>
      <c r="CH75" s="52">
        <v>0</v>
      </c>
      <c r="CI75" s="73">
        <v>0</v>
      </c>
      <c r="CJ75" s="40">
        <v>0</v>
      </c>
      <c r="CK75" s="52">
        <v>0</v>
      </c>
      <c r="CL75" s="73">
        <v>0</v>
      </c>
      <c r="CM75" s="40">
        <v>0</v>
      </c>
      <c r="CN75" s="52">
        <v>0</v>
      </c>
      <c r="CO75" s="39">
        <v>0</v>
      </c>
      <c r="CP75" s="40">
        <v>0</v>
      </c>
      <c r="CQ75" s="52">
        <v>0</v>
      </c>
      <c r="CR75" s="72">
        <v>397.21381008256441</v>
      </c>
      <c r="CS75" s="5">
        <v>228.88350239952408</v>
      </c>
      <c r="CT75" s="52">
        <v>-168.33030768304033</v>
      </c>
      <c r="CU75" s="77">
        <v>476.65657209907727</v>
      </c>
      <c r="CV75" s="65">
        <v>274.66020287942888</v>
      </c>
      <c r="CW75" s="35">
        <v>-201.99636921964839</v>
      </c>
      <c r="CX75" s="73">
        <v>26.613180995342027</v>
      </c>
      <c r="CY75" s="40">
        <v>228.60955021499041</v>
      </c>
      <c r="CZ75" s="52">
        <v>201.99636921964839</v>
      </c>
      <c r="DA75" s="150">
        <v>-3479.798272705511</v>
      </c>
      <c r="DB75" s="2">
        <v>1</v>
      </c>
      <c r="DC75" s="648">
        <v>94.6</v>
      </c>
      <c r="DD75" s="648"/>
      <c r="DE75" s="649">
        <v>-408.66975309441932</v>
      </c>
      <c r="DG75" s="321">
        <v>1101.9380971271444</v>
      </c>
      <c r="DH75" s="5">
        <v>6039.2370371330317</v>
      </c>
      <c r="DI75" s="306">
        <v>1.666076566924205</v>
      </c>
      <c r="DJ75" s="306"/>
      <c r="DK75" s="306"/>
      <c r="DL75" s="28">
        <v>250.24470035201557</v>
      </c>
      <c r="DM75" s="28">
        <v>0</v>
      </c>
      <c r="DN75" s="650">
        <v>250.25</v>
      </c>
      <c r="DO75" s="94">
        <v>-5.2996479844296118E-3</v>
      </c>
      <c r="DP75" s="28">
        <v>250.24470035201557</v>
      </c>
      <c r="DQ75" s="318">
        <v>0</v>
      </c>
      <c r="DS75" s="8">
        <v>238.32828604953863</v>
      </c>
      <c r="DT75" s="5">
        <v>11.916414302476932</v>
      </c>
      <c r="DW75" s="5">
        <v>309.01009596958806</v>
      </c>
      <c r="DX75" s="5">
        <v>0</v>
      </c>
    </row>
    <row r="76" spans="1:128" x14ac:dyDescent="0.3">
      <c r="A76" s="325">
        <v>150000527</v>
      </c>
      <c r="B76" s="41" t="s">
        <v>525</v>
      </c>
      <c r="C76" s="42" t="s">
        <v>61</v>
      </c>
      <c r="D76" s="42" t="s">
        <v>61</v>
      </c>
      <c r="E76" s="293">
        <v>293.5</v>
      </c>
      <c r="F76" s="305">
        <v>293.5</v>
      </c>
      <c r="G76" s="51"/>
      <c r="H76" s="651">
        <v>0</v>
      </c>
      <c r="I76" s="73">
        <v>0</v>
      </c>
      <c r="J76" s="40">
        <v>0</v>
      </c>
      <c r="K76" s="52">
        <v>0</v>
      </c>
      <c r="L76" s="73">
        <v>0</v>
      </c>
      <c r="M76" s="40">
        <v>0</v>
      </c>
      <c r="N76" s="52">
        <v>0</v>
      </c>
      <c r="O76" s="73">
        <v>0</v>
      </c>
      <c r="P76" s="40">
        <v>0</v>
      </c>
      <c r="Q76" s="52">
        <v>0</v>
      </c>
      <c r="R76" s="73">
        <v>0</v>
      </c>
      <c r="S76" s="40">
        <v>0</v>
      </c>
      <c r="T76" s="52">
        <v>0</v>
      </c>
      <c r="U76" s="73">
        <v>0</v>
      </c>
      <c r="V76" s="40">
        <v>0</v>
      </c>
      <c r="W76" s="52">
        <v>0</v>
      </c>
      <c r="X76" s="73">
        <v>0</v>
      </c>
      <c r="Y76" s="40">
        <v>0</v>
      </c>
      <c r="Z76" s="52">
        <v>0</v>
      </c>
      <c r="AA76" s="73">
        <v>23.48</v>
      </c>
      <c r="AB76" s="40">
        <v>0</v>
      </c>
      <c r="AC76" s="52">
        <v>-23.48</v>
      </c>
      <c r="AD76" s="73">
        <v>187.96370953901422</v>
      </c>
      <c r="AE76" s="40">
        <v>264.53305955305711</v>
      </c>
      <c r="AF76" s="35">
        <v>76.569350014042897</v>
      </c>
      <c r="AG76" s="77">
        <v>211.44370953901421</v>
      </c>
      <c r="AH76" s="53">
        <v>264.53305955305711</v>
      </c>
      <c r="AI76" s="52">
        <v>53.089350014042907</v>
      </c>
      <c r="AJ76" s="73">
        <v>0</v>
      </c>
      <c r="AK76" s="40">
        <v>0</v>
      </c>
      <c r="AL76" s="52">
        <v>0</v>
      </c>
      <c r="AM76" s="73">
        <v>0</v>
      </c>
      <c r="AN76" s="40">
        <v>0</v>
      </c>
      <c r="AO76" s="52">
        <v>0</v>
      </c>
      <c r="AP76" s="73">
        <v>75.641499999999994</v>
      </c>
      <c r="AQ76" s="40">
        <v>223.07952981044161</v>
      </c>
      <c r="AR76" s="52">
        <v>147.43802981044161</v>
      </c>
      <c r="AS76" s="73">
        <v>344.44976310455422</v>
      </c>
      <c r="AT76" s="40">
        <v>2298</v>
      </c>
      <c r="AU76" s="54">
        <v>1953.5502368954458</v>
      </c>
      <c r="AV76" s="73">
        <v>0</v>
      </c>
      <c r="AW76" s="40">
        <v>0</v>
      </c>
      <c r="AX76" s="55">
        <v>0</v>
      </c>
      <c r="AY76" s="73">
        <v>0</v>
      </c>
      <c r="AZ76" s="40">
        <v>0</v>
      </c>
      <c r="BA76" s="35">
        <v>0</v>
      </c>
      <c r="BB76" s="73">
        <v>0</v>
      </c>
      <c r="BC76" s="40">
        <v>0</v>
      </c>
      <c r="BD76" s="55">
        <v>0</v>
      </c>
      <c r="BE76" s="73">
        <v>0</v>
      </c>
      <c r="BF76" s="40">
        <v>0</v>
      </c>
      <c r="BG76" s="38">
        <v>0</v>
      </c>
      <c r="BH76" s="73">
        <v>0</v>
      </c>
      <c r="BI76" s="40">
        <v>0</v>
      </c>
      <c r="BJ76" s="55">
        <v>0</v>
      </c>
      <c r="BK76" s="73">
        <v>0</v>
      </c>
      <c r="BL76" s="40">
        <v>0</v>
      </c>
      <c r="BM76" s="38">
        <v>0</v>
      </c>
      <c r="BN76" s="73">
        <v>6.7352171174834572</v>
      </c>
      <c r="BO76" s="40">
        <v>0</v>
      </c>
      <c r="BP76" s="55">
        <v>-6.7352171174834572</v>
      </c>
      <c r="BQ76" s="77">
        <v>6.7352171174834572</v>
      </c>
      <c r="BR76" s="40">
        <v>0</v>
      </c>
      <c r="BS76" s="55">
        <v>-6.7352171174834572</v>
      </c>
      <c r="BT76" s="73">
        <v>0</v>
      </c>
      <c r="BU76" s="40">
        <v>0</v>
      </c>
      <c r="BV76" s="52">
        <v>0</v>
      </c>
      <c r="BW76" s="73">
        <v>0</v>
      </c>
      <c r="BX76" s="40">
        <v>1.0897131135544962</v>
      </c>
      <c r="BY76" s="52">
        <v>1.0897131135544962</v>
      </c>
      <c r="BZ76" s="73">
        <v>0</v>
      </c>
      <c r="CA76" s="40">
        <v>0</v>
      </c>
      <c r="CB76" s="52">
        <v>0</v>
      </c>
      <c r="CC76" s="73">
        <v>0</v>
      </c>
      <c r="CD76" s="40">
        <v>0</v>
      </c>
      <c r="CE76" s="52">
        <v>0</v>
      </c>
      <c r="CF76" s="73">
        <v>0</v>
      </c>
      <c r="CG76" s="40">
        <v>0</v>
      </c>
      <c r="CH76" s="52">
        <v>0</v>
      </c>
      <c r="CI76" s="73">
        <v>0</v>
      </c>
      <c r="CJ76" s="40">
        <v>0</v>
      </c>
      <c r="CK76" s="52">
        <v>0</v>
      </c>
      <c r="CL76" s="73">
        <v>0</v>
      </c>
      <c r="CM76" s="40">
        <v>0</v>
      </c>
      <c r="CN76" s="52">
        <v>0</v>
      </c>
      <c r="CO76" s="39">
        <v>0</v>
      </c>
      <c r="CP76" s="40">
        <v>0</v>
      </c>
      <c r="CQ76" s="52">
        <v>0</v>
      </c>
      <c r="CR76" s="72">
        <v>638.27018976105182</v>
      </c>
      <c r="CS76" s="5">
        <v>2786.7023024770533</v>
      </c>
      <c r="CT76" s="52">
        <v>2148.4321127160015</v>
      </c>
      <c r="CU76" s="77">
        <v>765.92422771326221</v>
      </c>
      <c r="CV76" s="65">
        <v>3344.0427629724641</v>
      </c>
      <c r="CW76" s="35">
        <v>2578.118535259202</v>
      </c>
      <c r="CX76" s="73">
        <v>42.763870874759874</v>
      </c>
      <c r="CY76" s="40">
        <v>-2535.354664384442</v>
      </c>
      <c r="CZ76" s="52">
        <v>-2578.118535259202</v>
      </c>
      <c r="DA76" s="150">
        <v>3865.8112385436666</v>
      </c>
      <c r="DB76" s="2">
        <v>1</v>
      </c>
      <c r="DC76" s="648">
        <v>908.86</v>
      </c>
      <c r="DD76" s="648"/>
      <c r="DE76" s="649">
        <v>100.17190141197796</v>
      </c>
      <c r="DG76" s="321">
        <v>12612.541525079872</v>
      </c>
      <c r="DH76" s="5">
        <v>9704.2571830562647</v>
      </c>
      <c r="DI76" s="306">
        <v>1.3700518553644383</v>
      </c>
      <c r="DJ76" s="306"/>
      <c r="DK76" s="306"/>
      <c r="DL76" s="28">
        <v>402.11021954946261</v>
      </c>
      <c r="DM76" s="28">
        <v>0</v>
      </c>
      <c r="DN76" s="650">
        <v>402.12</v>
      </c>
      <c r="DO76" s="94">
        <v>-9.7804505373915163E-3</v>
      </c>
      <c r="DP76" s="28">
        <v>402.11021954946261</v>
      </c>
      <c r="DQ76" s="318">
        <v>0</v>
      </c>
      <c r="DS76" s="8">
        <v>382.96211385663111</v>
      </c>
      <c r="DT76" s="5">
        <v>19.148105692831557</v>
      </c>
      <c r="DW76" s="5">
        <v>421.4219762664452</v>
      </c>
      <c r="DX76" s="5">
        <v>2757.6</v>
      </c>
    </row>
    <row r="77" spans="1:128" x14ac:dyDescent="0.3">
      <c r="A77" s="325">
        <v>150000542</v>
      </c>
      <c r="B77" s="41" t="s">
        <v>526</v>
      </c>
      <c r="C77" s="42" t="s">
        <v>62</v>
      </c>
      <c r="D77" s="42" t="s">
        <v>62</v>
      </c>
      <c r="E77" s="293">
        <v>164.7</v>
      </c>
      <c r="F77" s="305">
        <v>164.7</v>
      </c>
      <c r="G77" s="51"/>
      <c r="H77" s="651">
        <v>0</v>
      </c>
      <c r="I77" s="73">
        <v>0</v>
      </c>
      <c r="J77" s="40">
        <v>0</v>
      </c>
      <c r="K77" s="52">
        <v>0</v>
      </c>
      <c r="L77" s="73">
        <v>0</v>
      </c>
      <c r="M77" s="40">
        <v>0</v>
      </c>
      <c r="N77" s="52">
        <v>0</v>
      </c>
      <c r="O77" s="73">
        <v>0</v>
      </c>
      <c r="P77" s="40">
        <v>0</v>
      </c>
      <c r="Q77" s="52">
        <v>0</v>
      </c>
      <c r="R77" s="73">
        <v>0</v>
      </c>
      <c r="S77" s="40">
        <v>0</v>
      </c>
      <c r="T77" s="52">
        <v>0</v>
      </c>
      <c r="U77" s="73">
        <v>0</v>
      </c>
      <c r="V77" s="40">
        <v>0</v>
      </c>
      <c r="W77" s="52">
        <v>0</v>
      </c>
      <c r="X77" s="73">
        <v>0</v>
      </c>
      <c r="Y77" s="40">
        <v>0</v>
      </c>
      <c r="Z77" s="52">
        <v>0</v>
      </c>
      <c r="AA77" s="73">
        <v>13.176</v>
      </c>
      <c r="AB77" s="40">
        <v>0</v>
      </c>
      <c r="AC77" s="52">
        <v>-13.176</v>
      </c>
      <c r="AD77" s="73">
        <v>105.45980510932863</v>
      </c>
      <c r="AE77" s="40">
        <v>148.44495709842761</v>
      </c>
      <c r="AF77" s="35">
        <v>42.985151989098981</v>
      </c>
      <c r="AG77" s="77">
        <v>118.63580510932863</v>
      </c>
      <c r="AH77" s="53">
        <v>148.44495709842761</v>
      </c>
      <c r="AI77" s="52">
        <v>29.809151989098979</v>
      </c>
      <c r="AJ77" s="73">
        <v>0</v>
      </c>
      <c r="AK77" s="40">
        <v>0</v>
      </c>
      <c r="AL77" s="52">
        <v>0</v>
      </c>
      <c r="AM77" s="73">
        <v>0</v>
      </c>
      <c r="AN77" s="40">
        <v>0</v>
      </c>
      <c r="AO77" s="52">
        <v>0</v>
      </c>
      <c r="AP77" s="73">
        <v>50.427666666666667</v>
      </c>
      <c r="AQ77" s="40">
        <v>148.71968654029439</v>
      </c>
      <c r="AR77" s="52">
        <v>98.292019873627723</v>
      </c>
      <c r="AS77" s="73">
        <v>308.20900733643384</v>
      </c>
      <c r="AT77" s="40">
        <v>208</v>
      </c>
      <c r="AU77" s="54">
        <v>-100.20900733643384</v>
      </c>
      <c r="AV77" s="73">
        <v>0</v>
      </c>
      <c r="AW77" s="40">
        <v>0</v>
      </c>
      <c r="AX77" s="55">
        <v>0</v>
      </c>
      <c r="AY77" s="73">
        <v>0</v>
      </c>
      <c r="AZ77" s="40">
        <v>0</v>
      </c>
      <c r="BA77" s="35">
        <v>0</v>
      </c>
      <c r="BB77" s="73">
        <v>0</v>
      </c>
      <c r="BC77" s="40">
        <v>0</v>
      </c>
      <c r="BD77" s="55">
        <v>0</v>
      </c>
      <c r="BE77" s="73">
        <v>0</v>
      </c>
      <c r="BF77" s="40">
        <v>0</v>
      </c>
      <c r="BG77" s="38">
        <v>0</v>
      </c>
      <c r="BH77" s="73">
        <v>0</v>
      </c>
      <c r="BI77" s="40">
        <v>0</v>
      </c>
      <c r="BJ77" s="55">
        <v>0</v>
      </c>
      <c r="BK77" s="73">
        <v>0</v>
      </c>
      <c r="BL77" s="40">
        <v>0</v>
      </c>
      <c r="BM77" s="38">
        <v>0</v>
      </c>
      <c r="BN77" s="73">
        <v>6.9417443134978658</v>
      </c>
      <c r="BO77" s="40">
        <v>0</v>
      </c>
      <c r="BP77" s="55">
        <v>-6.9417443134978658</v>
      </c>
      <c r="BQ77" s="77">
        <v>6.9417443134978658</v>
      </c>
      <c r="BR77" s="40">
        <v>0</v>
      </c>
      <c r="BS77" s="55">
        <v>-6.9417443134978658</v>
      </c>
      <c r="BT77" s="73">
        <v>0</v>
      </c>
      <c r="BU77" s="40">
        <v>0</v>
      </c>
      <c r="BV77" s="52">
        <v>0</v>
      </c>
      <c r="BW77" s="73">
        <v>0</v>
      </c>
      <c r="BX77" s="40">
        <v>0.61150170290434591</v>
      </c>
      <c r="BY77" s="52">
        <v>0.61150170290434591</v>
      </c>
      <c r="BZ77" s="73">
        <v>0</v>
      </c>
      <c r="CA77" s="40">
        <v>0</v>
      </c>
      <c r="CB77" s="52">
        <v>0</v>
      </c>
      <c r="CC77" s="73">
        <v>0</v>
      </c>
      <c r="CD77" s="40">
        <v>0</v>
      </c>
      <c r="CE77" s="52">
        <v>0</v>
      </c>
      <c r="CF77" s="73">
        <v>0</v>
      </c>
      <c r="CG77" s="40">
        <v>0</v>
      </c>
      <c r="CH77" s="52">
        <v>0</v>
      </c>
      <c r="CI77" s="73">
        <v>0</v>
      </c>
      <c r="CJ77" s="40">
        <v>0</v>
      </c>
      <c r="CK77" s="52">
        <v>0</v>
      </c>
      <c r="CL77" s="73">
        <v>0</v>
      </c>
      <c r="CM77" s="40">
        <v>0</v>
      </c>
      <c r="CN77" s="52">
        <v>0</v>
      </c>
      <c r="CO77" s="39">
        <v>0</v>
      </c>
      <c r="CP77" s="40">
        <v>0</v>
      </c>
      <c r="CQ77" s="52">
        <v>0</v>
      </c>
      <c r="CR77" s="72">
        <v>484.214223425927</v>
      </c>
      <c r="CS77" s="5">
        <v>505.77614534162632</v>
      </c>
      <c r="CT77" s="52">
        <v>21.561921915699315</v>
      </c>
      <c r="CU77" s="77">
        <v>581.05706811111236</v>
      </c>
      <c r="CV77" s="65">
        <v>606.93137440995156</v>
      </c>
      <c r="CW77" s="35">
        <v>25.874306298839201</v>
      </c>
      <c r="CX77" s="73">
        <v>32.44217708813953</v>
      </c>
      <c r="CY77" s="40">
        <v>6.5678707893002866</v>
      </c>
      <c r="CZ77" s="52">
        <v>-25.874306298839244</v>
      </c>
      <c r="DA77" s="150">
        <v>1290.1782539868848</v>
      </c>
      <c r="DB77" s="2">
        <v>1</v>
      </c>
      <c r="DC77" s="648">
        <v>3589.27</v>
      </c>
      <c r="DD77" s="648"/>
      <c r="DE77" s="649">
        <v>2975.7707548007484</v>
      </c>
      <c r="DG77" s="321">
        <v>43.879565225434362</v>
      </c>
      <c r="DH77" s="5">
        <v>7361.9909423910221</v>
      </c>
      <c r="DI77" s="306">
        <v>1.8521855540882455</v>
      </c>
      <c r="DJ77" s="306"/>
      <c r="DK77" s="306"/>
      <c r="DL77" s="28">
        <v>305.054960758334</v>
      </c>
      <c r="DM77" s="28">
        <v>0</v>
      </c>
      <c r="DN77" s="650">
        <v>305.05</v>
      </c>
      <c r="DO77" s="94">
        <v>4.9607583339934536E-3</v>
      </c>
      <c r="DP77" s="28">
        <v>305.054960758334</v>
      </c>
      <c r="DQ77" s="318">
        <v>0</v>
      </c>
      <c r="DS77" s="8">
        <v>290.52853405555618</v>
      </c>
      <c r="DT77" s="5">
        <v>14.526426702777812</v>
      </c>
      <c r="DW77" s="5">
        <v>378.18090197991802</v>
      </c>
      <c r="DX77" s="5">
        <v>249.6</v>
      </c>
    </row>
    <row r="78" spans="1:128" x14ac:dyDescent="0.3">
      <c r="A78" s="325">
        <v>150000529</v>
      </c>
      <c r="B78" s="41" t="s">
        <v>527</v>
      </c>
      <c r="C78" s="42" t="s">
        <v>348</v>
      </c>
      <c r="D78" s="42" t="s">
        <v>348</v>
      </c>
      <c r="E78" s="293">
        <v>8441.4500000000007</v>
      </c>
      <c r="F78" s="652">
        <v>8441.4500000000007</v>
      </c>
      <c r="G78" s="653">
        <v>1017.95</v>
      </c>
      <c r="H78" s="651">
        <v>0</v>
      </c>
      <c r="I78" s="73">
        <v>2001.9168996824374</v>
      </c>
      <c r="J78" s="40">
        <v>2226.2454288153594</v>
      </c>
      <c r="K78" s="52">
        <v>224.32852913292209</v>
      </c>
      <c r="L78" s="73">
        <v>365.29106298935505</v>
      </c>
      <c r="M78" s="40">
        <v>446.27183836877703</v>
      </c>
      <c r="N78" s="52">
        <v>80.980775379421971</v>
      </c>
      <c r="O78" s="73">
        <v>1699.6257828145767</v>
      </c>
      <c r="P78" s="40">
        <v>1699.64</v>
      </c>
      <c r="Q78" s="52">
        <v>1.4217185423376577E-2</v>
      </c>
      <c r="R78" s="73">
        <v>369.21501381885997</v>
      </c>
      <c r="S78" s="40">
        <v>369.22</v>
      </c>
      <c r="T78" s="52">
        <v>4.9861811400546685E-3</v>
      </c>
      <c r="U78" s="73">
        <v>255.71039266421201</v>
      </c>
      <c r="V78" s="40">
        <v>479.28936170821794</v>
      </c>
      <c r="W78" s="52">
        <v>223.57896904400593</v>
      </c>
      <c r="X78" s="73">
        <v>2246.7015105217597</v>
      </c>
      <c r="Y78" s="40">
        <v>2371.5165441588033</v>
      </c>
      <c r="Z78" s="52">
        <v>124.8150336370436</v>
      </c>
      <c r="AA78" s="73">
        <v>675.54399999999998</v>
      </c>
      <c r="AB78" s="40">
        <v>0</v>
      </c>
      <c r="AC78" s="52">
        <v>-675.54399999999998</v>
      </c>
      <c r="AD78" s="73">
        <v>6083.429478435246</v>
      </c>
      <c r="AE78" s="40">
        <v>7608.3223017518039</v>
      </c>
      <c r="AF78" s="35">
        <v>1524.892823316558</v>
      </c>
      <c r="AG78" s="77">
        <v>13697.434140926447</v>
      </c>
      <c r="AH78" s="53">
        <v>15200.505474802962</v>
      </c>
      <c r="AI78" s="52">
        <v>1503.0713338765145</v>
      </c>
      <c r="AJ78" s="73">
        <v>10032.36</v>
      </c>
      <c r="AK78" s="40">
        <v>9881.0108323092136</v>
      </c>
      <c r="AL78" s="52">
        <v>-151.349167690787</v>
      </c>
      <c r="AM78" s="73">
        <v>210.14988500000001</v>
      </c>
      <c r="AN78" s="40">
        <v>206.94522013844158</v>
      </c>
      <c r="AO78" s="52">
        <v>-3.2046648615584274</v>
      </c>
      <c r="AP78" s="73">
        <v>882.48416666666662</v>
      </c>
      <c r="AQ78" s="40">
        <v>5205.1890289103039</v>
      </c>
      <c r="AR78" s="52">
        <v>4322.7048622436378</v>
      </c>
      <c r="AS78" s="73">
        <v>11866.24515964535</v>
      </c>
      <c r="AT78" s="40">
        <v>7091</v>
      </c>
      <c r="AU78" s="54">
        <v>-4775.2451596453502</v>
      </c>
      <c r="AV78" s="73">
        <v>947.33894463537911</v>
      </c>
      <c r="AW78" s="40">
        <v>0</v>
      </c>
      <c r="AX78" s="55">
        <v>-947.33894463537911</v>
      </c>
      <c r="AY78" s="73">
        <v>1036.4251372807926</v>
      </c>
      <c r="AZ78" s="40">
        <v>2572</v>
      </c>
      <c r="BA78" s="35">
        <v>1535.5748627192074</v>
      </c>
      <c r="BB78" s="73">
        <v>671.07652862220004</v>
      </c>
      <c r="BC78" s="40">
        <v>0</v>
      </c>
      <c r="BD78" s="55">
        <v>-671.07652862220004</v>
      </c>
      <c r="BE78" s="73">
        <v>1790.5190128549098</v>
      </c>
      <c r="BF78" s="40">
        <v>0</v>
      </c>
      <c r="BG78" s="38">
        <v>-1790.5190128549098</v>
      </c>
      <c r="BH78" s="73">
        <v>1234.7970924374331</v>
      </c>
      <c r="BI78" s="40">
        <v>0</v>
      </c>
      <c r="BJ78" s="55">
        <v>-1234.7970924374331</v>
      </c>
      <c r="BK78" s="73">
        <v>1534.6333719484794</v>
      </c>
      <c r="BL78" s="40">
        <v>0</v>
      </c>
      <c r="BM78" s="38">
        <v>-1534.6333719484794</v>
      </c>
      <c r="BN78" s="73">
        <v>163.58032068952198</v>
      </c>
      <c r="BO78" s="40">
        <v>0</v>
      </c>
      <c r="BP78" s="55">
        <v>-163.58032068952198</v>
      </c>
      <c r="BQ78" s="77">
        <v>7378.3704084687151</v>
      </c>
      <c r="BR78" s="40">
        <v>2572</v>
      </c>
      <c r="BS78" s="55">
        <v>-4806.3704084687151</v>
      </c>
      <c r="BT78" s="73">
        <v>13242.35533686212</v>
      </c>
      <c r="BU78" s="40">
        <v>3123.3182981850291</v>
      </c>
      <c r="BV78" s="52">
        <v>-10119.03703867709</v>
      </c>
      <c r="BW78" s="73">
        <v>10438.819953517521</v>
      </c>
      <c r="BX78" s="40">
        <v>11436.719642492615</v>
      </c>
      <c r="BY78" s="52">
        <v>997.89968897509425</v>
      </c>
      <c r="BZ78" s="73">
        <v>3481.1435104321999</v>
      </c>
      <c r="CA78" s="40">
        <v>18106.055050254981</v>
      </c>
      <c r="CB78" s="52">
        <v>14624.91153982278</v>
      </c>
      <c r="CC78" s="73">
        <v>555.98538146249996</v>
      </c>
      <c r="CD78" s="40">
        <v>696.70389007226163</v>
      </c>
      <c r="CE78" s="52">
        <v>140.71850860976167</v>
      </c>
      <c r="CF78" s="73">
        <v>65.603872949999996</v>
      </c>
      <c r="CG78" s="40">
        <v>0</v>
      </c>
      <c r="CH78" s="52">
        <v>-65.603872949999996</v>
      </c>
      <c r="CI78" s="73">
        <v>3071.04</v>
      </c>
      <c r="CJ78" s="40">
        <v>3630.1998495813655</v>
      </c>
      <c r="CK78" s="52">
        <v>559.15984958136551</v>
      </c>
      <c r="CL78" s="73">
        <v>3401.1977999999999</v>
      </c>
      <c r="CM78" s="40">
        <v>2766.79202324365</v>
      </c>
      <c r="CN78" s="52">
        <v>-634.40577675634995</v>
      </c>
      <c r="CO78" s="39">
        <v>6472.2377999999999</v>
      </c>
      <c r="CP78" s="40">
        <v>6396.9918728250159</v>
      </c>
      <c r="CQ78" s="52">
        <v>-75.24592717498399</v>
      </c>
      <c r="CR78" s="72">
        <v>78323.189615931507</v>
      </c>
      <c r="CS78" s="5">
        <v>79916.439309990819</v>
      </c>
      <c r="CT78" s="52">
        <v>1593.2496940593119</v>
      </c>
      <c r="CU78" s="77">
        <v>93987.827539117803</v>
      </c>
      <c r="CV78" s="65">
        <v>95899.727171988983</v>
      </c>
      <c r="CW78" s="35">
        <v>1911.8996328711801</v>
      </c>
      <c r="CX78" s="73">
        <v>5247.6252548923494</v>
      </c>
      <c r="CY78" s="40">
        <v>3335.7256220211711</v>
      </c>
      <c r="CZ78" s="52">
        <v>-1911.8996328711783</v>
      </c>
      <c r="DA78" s="150">
        <v>-74566.506780879921</v>
      </c>
      <c r="DB78" s="2">
        <v>1</v>
      </c>
      <c r="DC78" s="648">
        <v>107358.39</v>
      </c>
      <c r="DD78" s="648"/>
      <c r="DE78" s="649">
        <v>8122.9372059898451</v>
      </c>
      <c r="DG78" s="321">
        <v>-96481.790225276374</v>
      </c>
      <c r="DH78" s="5">
        <v>1190825.4335281218</v>
      </c>
      <c r="DI78" s="306">
        <v>4.8379671277058902</v>
      </c>
      <c r="DJ78" s="306">
        <v>5.9753090016995403</v>
      </c>
      <c r="DK78" s="306"/>
      <c r="DL78" s="28">
        <v>49282.51501176475</v>
      </c>
      <c r="DM78" s="28">
        <v>0</v>
      </c>
      <c r="DN78" s="650">
        <v>49282.45</v>
      </c>
      <c r="DO78" s="94">
        <v>6.5011764752853196E-2</v>
      </c>
      <c r="DP78" s="28">
        <v>49282.51501176475</v>
      </c>
      <c r="DQ78" s="318">
        <v>-61.094446272094501</v>
      </c>
      <c r="DS78" s="8">
        <v>46993.913769558902</v>
      </c>
      <c r="DT78" s="5">
        <v>2349.6956884779452</v>
      </c>
      <c r="DW78" s="5">
        <v>23093.538681736878</v>
      </c>
      <c r="DX78" s="5">
        <v>11595.6</v>
      </c>
    </row>
    <row r="79" spans="1:128" x14ac:dyDescent="0.3">
      <c r="A79" s="325">
        <v>150000530</v>
      </c>
      <c r="B79" s="41" t="s">
        <v>528</v>
      </c>
      <c r="C79" s="42" t="s">
        <v>63</v>
      </c>
      <c r="D79" s="42" t="s">
        <v>63</v>
      </c>
      <c r="E79" s="293">
        <v>174.9</v>
      </c>
      <c r="F79" s="305">
        <v>174.9</v>
      </c>
      <c r="G79" s="51"/>
      <c r="H79" s="651">
        <v>0</v>
      </c>
      <c r="I79" s="73">
        <v>0</v>
      </c>
      <c r="J79" s="40">
        <v>0</v>
      </c>
      <c r="K79" s="52">
        <v>0</v>
      </c>
      <c r="L79" s="73">
        <v>0</v>
      </c>
      <c r="M79" s="40">
        <v>0</v>
      </c>
      <c r="N79" s="52">
        <v>0</v>
      </c>
      <c r="O79" s="73">
        <v>0</v>
      </c>
      <c r="P79" s="40">
        <v>0</v>
      </c>
      <c r="Q79" s="52">
        <v>0</v>
      </c>
      <c r="R79" s="73">
        <v>0</v>
      </c>
      <c r="S79" s="40">
        <v>0</v>
      </c>
      <c r="T79" s="52">
        <v>0</v>
      </c>
      <c r="U79" s="73">
        <v>0</v>
      </c>
      <c r="V79" s="40">
        <v>0</v>
      </c>
      <c r="W79" s="52">
        <v>0</v>
      </c>
      <c r="X79" s="73">
        <v>0</v>
      </c>
      <c r="Y79" s="40">
        <v>0</v>
      </c>
      <c r="Z79" s="52">
        <v>0</v>
      </c>
      <c r="AA79" s="73">
        <v>14.473599999999999</v>
      </c>
      <c r="AB79" s="40">
        <v>0</v>
      </c>
      <c r="AC79" s="52">
        <v>-14.473599999999999</v>
      </c>
      <c r="AD79" s="73">
        <v>115.87458706101046</v>
      </c>
      <c r="AE79" s="40">
        <v>157.63826955989674</v>
      </c>
      <c r="AF79" s="35">
        <v>41.763682498886283</v>
      </c>
      <c r="AG79" s="77">
        <v>130.34818706101046</v>
      </c>
      <c r="AH79" s="53">
        <v>157.63826955989674</v>
      </c>
      <c r="AI79" s="52">
        <v>27.290082498886278</v>
      </c>
      <c r="AJ79" s="73">
        <v>0</v>
      </c>
      <c r="AK79" s="40">
        <v>0</v>
      </c>
      <c r="AL79" s="52">
        <v>0</v>
      </c>
      <c r="AM79" s="73">
        <v>0</v>
      </c>
      <c r="AN79" s="40">
        <v>0</v>
      </c>
      <c r="AO79" s="52">
        <v>0</v>
      </c>
      <c r="AP79" s="73">
        <v>94.551874999999995</v>
      </c>
      <c r="AQ79" s="40">
        <v>278.84941226305199</v>
      </c>
      <c r="AR79" s="52">
        <v>184.29753726305199</v>
      </c>
      <c r="AS79" s="73">
        <v>297.19305440132825</v>
      </c>
      <c r="AT79" s="40">
        <v>2298</v>
      </c>
      <c r="AU79" s="54">
        <v>2000.8069455986717</v>
      </c>
      <c r="AV79" s="73">
        <v>0</v>
      </c>
      <c r="AW79" s="40">
        <v>0</v>
      </c>
      <c r="AX79" s="55">
        <v>0</v>
      </c>
      <c r="AY79" s="73">
        <v>0</v>
      </c>
      <c r="AZ79" s="40">
        <v>0</v>
      </c>
      <c r="BA79" s="35">
        <v>0</v>
      </c>
      <c r="BB79" s="73">
        <v>0</v>
      </c>
      <c r="BC79" s="40">
        <v>0</v>
      </c>
      <c r="BD79" s="55">
        <v>0</v>
      </c>
      <c r="BE79" s="73">
        <v>0</v>
      </c>
      <c r="BF79" s="40">
        <v>0</v>
      </c>
      <c r="BG79" s="38">
        <v>0</v>
      </c>
      <c r="BH79" s="73">
        <v>0</v>
      </c>
      <c r="BI79" s="40">
        <v>0</v>
      </c>
      <c r="BJ79" s="55">
        <v>0</v>
      </c>
      <c r="BK79" s="73">
        <v>0</v>
      </c>
      <c r="BL79" s="40">
        <v>0</v>
      </c>
      <c r="BM79" s="38">
        <v>0</v>
      </c>
      <c r="BN79" s="73">
        <v>7.1482108730870788</v>
      </c>
      <c r="BO79" s="40">
        <v>0</v>
      </c>
      <c r="BP79" s="55">
        <v>-7.1482108730870788</v>
      </c>
      <c r="BQ79" s="77">
        <v>7.1482108730870788</v>
      </c>
      <c r="BR79" s="40">
        <v>0</v>
      </c>
      <c r="BS79" s="55">
        <v>-7.1482108730870788</v>
      </c>
      <c r="BT79" s="73">
        <v>0</v>
      </c>
      <c r="BU79" s="40">
        <v>0</v>
      </c>
      <c r="BV79" s="52">
        <v>0</v>
      </c>
      <c r="BW79" s="73">
        <v>0</v>
      </c>
      <c r="BX79" s="40">
        <v>0.64937248231918709</v>
      </c>
      <c r="BY79" s="52">
        <v>0.64937248231918709</v>
      </c>
      <c r="BZ79" s="73">
        <v>0</v>
      </c>
      <c r="CA79" s="40">
        <v>0</v>
      </c>
      <c r="CB79" s="52">
        <v>0</v>
      </c>
      <c r="CC79" s="73">
        <v>0</v>
      </c>
      <c r="CD79" s="40">
        <v>0</v>
      </c>
      <c r="CE79" s="52">
        <v>0</v>
      </c>
      <c r="CF79" s="73">
        <v>0</v>
      </c>
      <c r="CG79" s="40">
        <v>0</v>
      </c>
      <c r="CH79" s="52">
        <v>0</v>
      </c>
      <c r="CI79" s="73">
        <v>0</v>
      </c>
      <c r="CJ79" s="40">
        <v>0</v>
      </c>
      <c r="CK79" s="52">
        <v>0</v>
      </c>
      <c r="CL79" s="73">
        <v>0</v>
      </c>
      <c r="CM79" s="40">
        <v>0</v>
      </c>
      <c r="CN79" s="52">
        <v>0</v>
      </c>
      <c r="CO79" s="39">
        <v>0</v>
      </c>
      <c r="CP79" s="40">
        <v>0</v>
      </c>
      <c r="CQ79" s="52">
        <v>0</v>
      </c>
      <c r="CR79" s="72">
        <v>529.24132733542581</v>
      </c>
      <c r="CS79" s="5">
        <v>2735.1370543052676</v>
      </c>
      <c r="CT79" s="52">
        <v>2205.8957269698417</v>
      </c>
      <c r="CU79" s="77">
        <v>635.08959280251099</v>
      </c>
      <c r="CV79" s="65">
        <v>3282.164465166321</v>
      </c>
      <c r="CW79" s="35">
        <v>2647.0748723638098</v>
      </c>
      <c r="CX79" s="73">
        <v>35.458976694856339</v>
      </c>
      <c r="CY79" s="40">
        <v>-2611.6158956689537</v>
      </c>
      <c r="CZ79" s="52">
        <v>-2647.0748723638098</v>
      </c>
      <c r="DA79" s="150">
        <v>-1619.9110154955133</v>
      </c>
      <c r="DB79" s="2">
        <v>1</v>
      </c>
      <c r="DC79" s="648">
        <v>2423.39</v>
      </c>
      <c r="DD79" s="648"/>
      <c r="DE79" s="649">
        <v>1752.8414305026326</v>
      </c>
      <c r="DG79" s="321">
        <v>9038.4033948822489</v>
      </c>
      <c r="DH79" s="5">
        <v>8046.5828339684085</v>
      </c>
      <c r="DI79" s="306">
        <v>1.8429252499520135</v>
      </c>
      <c r="DJ79" s="306"/>
      <c r="DK79" s="306"/>
      <c r="DL79" s="28">
        <v>322.32762621660714</v>
      </c>
      <c r="DM79" s="28">
        <v>0</v>
      </c>
      <c r="DN79" s="650">
        <v>322.32</v>
      </c>
      <c r="DO79" s="94">
        <v>7.6262166071501269E-3</v>
      </c>
      <c r="DP79" s="28">
        <v>322.32762621660714</v>
      </c>
      <c r="DQ79" s="318">
        <v>-11.094410004711108</v>
      </c>
      <c r="DS79" s="8">
        <v>317.5447964012555</v>
      </c>
      <c r="DT79" s="5">
        <v>15.877239820062774</v>
      </c>
      <c r="DW79" s="5">
        <v>365.20951832929836</v>
      </c>
      <c r="DX79" s="5">
        <v>2757.6</v>
      </c>
    </row>
    <row r="80" spans="1:128" x14ac:dyDescent="0.3">
      <c r="A80" s="325">
        <v>150000543</v>
      </c>
      <c r="B80" s="41" t="s">
        <v>529</v>
      </c>
      <c r="C80" s="42" t="s">
        <v>64</v>
      </c>
      <c r="D80" s="42" t="s">
        <v>64</v>
      </c>
      <c r="E80" s="293">
        <v>121.2</v>
      </c>
      <c r="F80" s="305">
        <v>121.2</v>
      </c>
      <c r="G80" s="51"/>
      <c r="H80" s="651">
        <v>0</v>
      </c>
      <c r="I80" s="73">
        <v>0</v>
      </c>
      <c r="J80" s="40">
        <v>0</v>
      </c>
      <c r="K80" s="52">
        <v>0</v>
      </c>
      <c r="L80" s="73">
        <v>0</v>
      </c>
      <c r="M80" s="40">
        <v>0</v>
      </c>
      <c r="N80" s="52">
        <v>0</v>
      </c>
      <c r="O80" s="73">
        <v>0</v>
      </c>
      <c r="P80" s="40">
        <v>0</v>
      </c>
      <c r="Q80" s="52">
        <v>0</v>
      </c>
      <c r="R80" s="73">
        <v>0</v>
      </c>
      <c r="S80" s="40">
        <v>0</v>
      </c>
      <c r="T80" s="52">
        <v>0</v>
      </c>
      <c r="U80" s="73">
        <v>0</v>
      </c>
      <c r="V80" s="40">
        <v>0</v>
      </c>
      <c r="W80" s="52">
        <v>0</v>
      </c>
      <c r="X80" s="73">
        <v>0</v>
      </c>
      <c r="Y80" s="40">
        <v>0</v>
      </c>
      <c r="Z80" s="52">
        <v>0</v>
      </c>
      <c r="AA80" s="73">
        <v>9.6959999999999997</v>
      </c>
      <c r="AB80" s="40">
        <v>0</v>
      </c>
      <c r="AC80" s="52">
        <v>-9.6959999999999997</v>
      </c>
      <c r="AD80" s="73">
        <v>77.639083477915733</v>
      </c>
      <c r="AE80" s="40">
        <v>109.23818336569174</v>
      </c>
      <c r="AF80" s="35">
        <v>31.599099887776006</v>
      </c>
      <c r="AG80" s="77">
        <v>87.335083477915731</v>
      </c>
      <c r="AH80" s="53">
        <v>109.23818336569174</v>
      </c>
      <c r="AI80" s="52">
        <v>21.903099887776008</v>
      </c>
      <c r="AJ80" s="73">
        <v>0</v>
      </c>
      <c r="AK80" s="40">
        <v>0</v>
      </c>
      <c r="AL80" s="52">
        <v>0</v>
      </c>
      <c r="AM80" s="73">
        <v>0</v>
      </c>
      <c r="AN80" s="40">
        <v>0</v>
      </c>
      <c r="AO80" s="52">
        <v>0</v>
      </c>
      <c r="AP80" s="73">
        <v>44.124208333333328</v>
      </c>
      <c r="AQ80" s="40">
        <v>130.1297257227576</v>
      </c>
      <c r="AR80" s="52">
        <v>86.00551738942427</v>
      </c>
      <c r="AS80" s="73">
        <v>141.11599203674251</v>
      </c>
      <c r="AT80" s="40">
        <v>0</v>
      </c>
      <c r="AU80" s="54">
        <v>-141.11599203674251</v>
      </c>
      <c r="AV80" s="73">
        <v>0</v>
      </c>
      <c r="AW80" s="40">
        <v>0</v>
      </c>
      <c r="AX80" s="55">
        <v>0</v>
      </c>
      <c r="AY80" s="73">
        <v>0</v>
      </c>
      <c r="AZ80" s="40">
        <v>0</v>
      </c>
      <c r="BA80" s="35">
        <v>0</v>
      </c>
      <c r="BB80" s="73">
        <v>0</v>
      </c>
      <c r="BC80" s="40">
        <v>0</v>
      </c>
      <c r="BD80" s="55">
        <v>0</v>
      </c>
      <c r="BE80" s="73">
        <v>0</v>
      </c>
      <c r="BF80" s="40">
        <v>0</v>
      </c>
      <c r="BG80" s="38">
        <v>0</v>
      </c>
      <c r="BH80" s="73">
        <v>0</v>
      </c>
      <c r="BI80" s="40">
        <v>0</v>
      </c>
      <c r="BJ80" s="55">
        <v>0</v>
      </c>
      <c r="BK80" s="73">
        <v>0</v>
      </c>
      <c r="BL80" s="40">
        <v>0</v>
      </c>
      <c r="BM80" s="38">
        <v>0</v>
      </c>
      <c r="BN80" s="73">
        <v>4.0082883785721561</v>
      </c>
      <c r="BO80" s="40">
        <v>0</v>
      </c>
      <c r="BP80" s="55">
        <v>-4.0082883785721561</v>
      </c>
      <c r="BQ80" s="77">
        <v>4.0082883785721561</v>
      </c>
      <c r="BR80" s="40">
        <v>0</v>
      </c>
      <c r="BS80" s="55">
        <v>-4.0082883785721561</v>
      </c>
      <c r="BT80" s="73">
        <v>0</v>
      </c>
      <c r="BU80" s="40">
        <v>0</v>
      </c>
      <c r="BV80" s="52">
        <v>0</v>
      </c>
      <c r="BW80" s="73">
        <v>0</v>
      </c>
      <c r="BX80" s="40">
        <v>0.44999396716458251</v>
      </c>
      <c r="BY80" s="52">
        <v>0.44999396716458251</v>
      </c>
      <c r="BZ80" s="73">
        <v>0</v>
      </c>
      <c r="CA80" s="40">
        <v>0</v>
      </c>
      <c r="CB80" s="52">
        <v>0</v>
      </c>
      <c r="CC80" s="73">
        <v>0</v>
      </c>
      <c r="CD80" s="40">
        <v>0</v>
      </c>
      <c r="CE80" s="52">
        <v>0</v>
      </c>
      <c r="CF80" s="73">
        <v>0</v>
      </c>
      <c r="CG80" s="40">
        <v>0</v>
      </c>
      <c r="CH80" s="52">
        <v>0</v>
      </c>
      <c r="CI80" s="73">
        <v>0</v>
      </c>
      <c r="CJ80" s="40">
        <v>0</v>
      </c>
      <c r="CK80" s="52">
        <v>0</v>
      </c>
      <c r="CL80" s="73">
        <v>0</v>
      </c>
      <c r="CM80" s="40">
        <v>0</v>
      </c>
      <c r="CN80" s="52">
        <v>0</v>
      </c>
      <c r="CO80" s="39">
        <v>0</v>
      </c>
      <c r="CP80" s="40">
        <v>0</v>
      </c>
      <c r="CQ80" s="52">
        <v>0</v>
      </c>
      <c r="CR80" s="72">
        <v>276.58357222656372</v>
      </c>
      <c r="CS80" s="5">
        <v>239.8179030556139</v>
      </c>
      <c r="CT80" s="52">
        <v>-36.76566917094982</v>
      </c>
      <c r="CU80" s="77">
        <v>331.90028667187647</v>
      </c>
      <c r="CV80" s="65">
        <v>287.78148366673668</v>
      </c>
      <c r="CW80" s="35">
        <v>-44.118803005139796</v>
      </c>
      <c r="CX80" s="73">
        <v>18.530998875577346</v>
      </c>
      <c r="CY80" s="40">
        <v>62.649801880717121</v>
      </c>
      <c r="CZ80" s="52">
        <v>44.118803005139775</v>
      </c>
      <c r="DA80" s="150">
        <v>2206.115574388215</v>
      </c>
      <c r="DB80" s="2">
        <v>1</v>
      </c>
      <c r="DC80" s="648">
        <v>398.4</v>
      </c>
      <c r="DD80" s="648"/>
      <c r="DE80" s="649">
        <v>47.96871445254618</v>
      </c>
      <c r="DG80" s="321">
        <v>-2667.6434656711035</v>
      </c>
      <c r="DH80" s="5">
        <v>4205.1754265694453</v>
      </c>
      <c r="DI80" s="306">
        <v>1.4376868853360989</v>
      </c>
      <c r="DJ80" s="306"/>
      <c r="DK80" s="306"/>
      <c r="DL80" s="28">
        <v>174.24765050273518</v>
      </c>
      <c r="DM80" s="28">
        <v>0</v>
      </c>
      <c r="DN80" s="650">
        <v>174.26</v>
      </c>
      <c r="DO80" s="94">
        <v>-1.2349497264807496E-2</v>
      </c>
      <c r="DP80" s="28">
        <v>174.24765050273518</v>
      </c>
      <c r="DQ80" s="318">
        <v>0</v>
      </c>
      <c r="DS80" s="8">
        <v>165.95014333593824</v>
      </c>
      <c r="DT80" s="5">
        <v>8.2975071667969118</v>
      </c>
      <c r="DW80" s="5">
        <v>174.1491364983776</v>
      </c>
      <c r="DX80" s="5">
        <v>0</v>
      </c>
    </row>
    <row r="81" spans="1:128" x14ac:dyDescent="0.3">
      <c r="A81" s="325">
        <v>150000544</v>
      </c>
      <c r="B81" s="41" t="s">
        <v>530</v>
      </c>
      <c r="C81" s="42" t="s">
        <v>65</v>
      </c>
      <c r="D81" s="42" t="s">
        <v>65</v>
      </c>
      <c r="E81" s="293">
        <v>136.9</v>
      </c>
      <c r="F81" s="305">
        <v>136.9</v>
      </c>
      <c r="G81" s="51"/>
      <c r="H81" s="651">
        <v>0</v>
      </c>
      <c r="I81" s="73">
        <v>0</v>
      </c>
      <c r="J81" s="40">
        <v>0</v>
      </c>
      <c r="K81" s="52">
        <v>0</v>
      </c>
      <c r="L81" s="73">
        <v>0</v>
      </c>
      <c r="M81" s="40">
        <v>0</v>
      </c>
      <c r="N81" s="52">
        <v>0</v>
      </c>
      <c r="O81" s="73">
        <v>0</v>
      </c>
      <c r="P81" s="40">
        <v>0</v>
      </c>
      <c r="Q81" s="52">
        <v>0</v>
      </c>
      <c r="R81" s="73">
        <v>0</v>
      </c>
      <c r="S81" s="40">
        <v>0</v>
      </c>
      <c r="T81" s="52">
        <v>0</v>
      </c>
      <c r="U81" s="73">
        <v>0</v>
      </c>
      <c r="V81" s="40">
        <v>0</v>
      </c>
      <c r="W81" s="52">
        <v>0</v>
      </c>
      <c r="X81" s="73">
        <v>0</v>
      </c>
      <c r="Y81" s="40">
        <v>0</v>
      </c>
      <c r="Z81" s="52">
        <v>0</v>
      </c>
      <c r="AA81" s="73">
        <v>10.952</v>
      </c>
      <c r="AB81" s="40">
        <v>0</v>
      </c>
      <c r="AC81" s="52">
        <v>-10.952</v>
      </c>
      <c r="AD81" s="73">
        <v>87.690452221947737</v>
      </c>
      <c r="AE81" s="40">
        <v>123.38867411520792</v>
      </c>
      <c r="AF81" s="35">
        <v>35.698221893260182</v>
      </c>
      <c r="AG81" s="77">
        <v>98.642452221947735</v>
      </c>
      <c r="AH81" s="53">
        <v>123.38867411520792</v>
      </c>
      <c r="AI81" s="52">
        <v>24.746221893260184</v>
      </c>
      <c r="AJ81" s="73">
        <v>0</v>
      </c>
      <c r="AK81" s="40">
        <v>0</v>
      </c>
      <c r="AL81" s="52">
        <v>0</v>
      </c>
      <c r="AM81" s="73">
        <v>0</v>
      </c>
      <c r="AN81" s="40">
        <v>0</v>
      </c>
      <c r="AO81" s="52">
        <v>0</v>
      </c>
      <c r="AP81" s="73">
        <v>44.124208333333328</v>
      </c>
      <c r="AQ81" s="40">
        <v>130.1297257227576</v>
      </c>
      <c r="AR81" s="52">
        <v>86.00551738942427</v>
      </c>
      <c r="AS81" s="73">
        <v>161.13880511925046</v>
      </c>
      <c r="AT81" s="40">
        <v>0</v>
      </c>
      <c r="AU81" s="54">
        <v>-161.13880511925046</v>
      </c>
      <c r="AV81" s="73">
        <v>0</v>
      </c>
      <c r="AW81" s="40">
        <v>0</v>
      </c>
      <c r="AX81" s="55">
        <v>0</v>
      </c>
      <c r="AY81" s="73">
        <v>0</v>
      </c>
      <c r="AZ81" s="40">
        <v>0</v>
      </c>
      <c r="BA81" s="35">
        <v>0</v>
      </c>
      <c r="BB81" s="73">
        <v>0</v>
      </c>
      <c r="BC81" s="40">
        <v>0</v>
      </c>
      <c r="BD81" s="55">
        <v>0</v>
      </c>
      <c r="BE81" s="73">
        <v>0</v>
      </c>
      <c r="BF81" s="40">
        <v>0</v>
      </c>
      <c r="BG81" s="38">
        <v>0</v>
      </c>
      <c r="BH81" s="73">
        <v>0</v>
      </c>
      <c r="BI81" s="40">
        <v>0</v>
      </c>
      <c r="BJ81" s="55">
        <v>0</v>
      </c>
      <c r="BK81" s="73">
        <v>0</v>
      </c>
      <c r="BL81" s="40">
        <v>0</v>
      </c>
      <c r="BM81" s="38">
        <v>0</v>
      </c>
      <c r="BN81" s="73">
        <v>4.4212821341757698</v>
      </c>
      <c r="BO81" s="40">
        <v>0</v>
      </c>
      <c r="BP81" s="55">
        <v>-4.4212821341757698</v>
      </c>
      <c r="BQ81" s="77">
        <v>4.4212821341757698</v>
      </c>
      <c r="BR81" s="40">
        <v>0</v>
      </c>
      <c r="BS81" s="55">
        <v>-4.4212821341757698</v>
      </c>
      <c r="BT81" s="73">
        <v>0</v>
      </c>
      <c r="BU81" s="40">
        <v>0</v>
      </c>
      <c r="BV81" s="52">
        <v>0</v>
      </c>
      <c r="BW81" s="73">
        <v>0</v>
      </c>
      <c r="BX81" s="40">
        <v>0.50828526489134773</v>
      </c>
      <c r="BY81" s="52">
        <v>0.50828526489134773</v>
      </c>
      <c r="BZ81" s="73">
        <v>0</v>
      </c>
      <c r="CA81" s="40">
        <v>0</v>
      </c>
      <c r="CB81" s="52">
        <v>0</v>
      </c>
      <c r="CC81" s="73">
        <v>0</v>
      </c>
      <c r="CD81" s="40">
        <v>0</v>
      </c>
      <c r="CE81" s="52">
        <v>0</v>
      </c>
      <c r="CF81" s="73">
        <v>0</v>
      </c>
      <c r="CG81" s="40">
        <v>0</v>
      </c>
      <c r="CH81" s="52">
        <v>0</v>
      </c>
      <c r="CI81" s="73">
        <v>0</v>
      </c>
      <c r="CJ81" s="40">
        <v>0</v>
      </c>
      <c r="CK81" s="52">
        <v>0</v>
      </c>
      <c r="CL81" s="73">
        <v>0</v>
      </c>
      <c r="CM81" s="40">
        <v>0</v>
      </c>
      <c r="CN81" s="52">
        <v>0</v>
      </c>
      <c r="CO81" s="39">
        <v>0</v>
      </c>
      <c r="CP81" s="40">
        <v>0</v>
      </c>
      <c r="CQ81" s="52">
        <v>0</v>
      </c>
      <c r="CR81" s="72">
        <v>308.32674780870735</v>
      </c>
      <c r="CS81" s="5">
        <v>254.02668510285687</v>
      </c>
      <c r="CT81" s="52">
        <v>-54.300062705850479</v>
      </c>
      <c r="CU81" s="77">
        <v>369.99209737044879</v>
      </c>
      <c r="CV81" s="65">
        <v>304.83202212342826</v>
      </c>
      <c r="CW81" s="35">
        <v>-65.160075247020529</v>
      </c>
      <c r="CX81" s="73">
        <v>20.657780109489916</v>
      </c>
      <c r="CY81" s="40">
        <v>85.817855356510449</v>
      </c>
      <c r="CZ81" s="52">
        <v>65.160075247020529</v>
      </c>
      <c r="DA81" s="150">
        <v>-2238.9127043324497</v>
      </c>
      <c r="DB81" s="2">
        <v>1</v>
      </c>
      <c r="DC81" s="648">
        <v>2566.9</v>
      </c>
      <c r="DD81" s="648"/>
      <c r="DE81" s="649">
        <v>2176.2501225200613</v>
      </c>
      <c r="DG81" s="321">
        <v>8190.5549237277919</v>
      </c>
      <c r="DH81" s="5">
        <v>4687.7985297592641</v>
      </c>
      <c r="DI81" s="306">
        <v>1.4188886129984339</v>
      </c>
      <c r="DJ81" s="306"/>
      <c r="DK81" s="306"/>
      <c r="DL81" s="28">
        <v>194.24585111948562</v>
      </c>
      <c r="DM81" s="28">
        <v>0</v>
      </c>
      <c r="DN81" s="650">
        <v>194.25</v>
      </c>
      <c r="DO81" s="94">
        <v>-4.1488805143785612E-3</v>
      </c>
      <c r="DP81" s="28">
        <v>194.24585111948562</v>
      </c>
      <c r="DQ81" s="318">
        <v>0</v>
      </c>
      <c r="DS81" s="8">
        <v>184.99604868522439</v>
      </c>
      <c r="DT81" s="5">
        <v>9.2498024342612197</v>
      </c>
      <c r="DW81" s="5">
        <v>198.67210470411149</v>
      </c>
      <c r="DX81" s="5">
        <v>0</v>
      </c>
    </row>
    <row r="82" spans="1:128" x14ac:dyDescent="0.3">
      <c r="A82" s="325">
        <v>150000531</v>
      </c>
      <c r="B82" s="41" t="s">
        <v>531</v>
      </c>
      <c r="C82" s="42" t="s">
        <v>349</v>
      </c>
      <c r="D82" s="42" t="s">
        <v>349</v>
      </c>
      <c r="E82" s="293">
        <v>7614.5</v>
      </c>
      <c r="F82" s="652">
        <v>7614.5</v>
      </c>
      <c r="G82" s="653">
        <v>848.65</v>
      </c>
      <c r="H82" s="651">
        <v>0</v>
      </c>
      <c r="I82" s="73">
        <v>2763.5807956186572</v>
      </c>
      <c r="J82" s="40">
        <v>3071.7024170601308</v>
      </c>
      <c r="K82" s="52">
        <v>308.12162144147351</v>
      </c>
      <c r="L82" s="73">
        <v>491.10051262326857</v>
      </c>
      <c r="M82" s="40">
        <v>584.61333645930995</v>
      </c>
      <c r="N82" s="52">
        <v>93.512823836041377</v>
      </c>
      <c r="O82" s="73">
        <v>1520.7567268498401</v>
      </c>
      <c r="P82" s="40">
        <v>1520.76</v>
      </c>
      <c r="Q82" s="52">
        <v>3.273150159884608E-3</v>
      </c>
      <c r="R82" s="73">
        <v>328.95316225000334</v>
      </c>
      <c r="S82" s="40">
        <v>328.96</v>
      </c>
      <c r="T82" s="52">
        <v>6.8377499966345567E-3</v>
      </c>
      <c r="U82" s="73">
        <v>383.54443012810549</v>
      </c>
      <c r="V82" s="40">
        <v>718.89355520283129</v>
      </c>
      <c r="W82" s="52">
        <v>335.34912507472581</v>
      </c>
      <c r="X82" s="73">
        <v>1780.5433208977283</v>
      </c>
      <c r="Y82" s="40">
        <v>1846.8807017944673</v>
      </c>
      <c r="Z82" s="52">
        <v>66.337380896738978</v>
      </c>
      <c r="AA82" s="73">
        <v>609.34400000000005</v>
      </c>
      <c r="AB82" s="40">
        <v>0</v>
      </c>
      <c r="AC82" s="52">
        <v>-609.34400000000005</v>
      </c>
      <c r="AD82" s="73">
        <v>5487.3142597918159</v>
      </c>
      <c r="AE82" s="40">
        <v>6862.9880135153444</v>
      </c>
      <c r="AF82" s="35">
        <v>1375.6737537235285</v>
      </c>
      <c r="AG82" s="77">
        <v>13365.13720815942</v>
      </c>
      <c r="AH82" s="53">
        <v>14934.798024032083</v>
      </c>
      <c r="AI82" s="52">
        <v>1569.6608158726631</v>
      </c>
      <c r="AJ82" s="73">
        <v>6350.18</v>
      </c>
      <c r="AK82" s="40">
        <v>6254.3748653344546</v>
      </c>
      <c r="AL82" s="52">
        <v>-95.805134665545665</v>
      </c>
      <c r="AM82" s="73">
        <v>420.29977000000002</v>
      </c>
      <c r="AN82" s="40">
        <v>413.89044027688317</v>
      </c>
      <c r="AO82" s="52">
        <v>-6.4093297231168549</v>
      </c>
      <c r="AP82" s="73">
        <v>737.50462499999992</v>
      </c>
      <c r="AQ82" s="40">
        <v>4350.0508313036116</v>
      </c>
      <c r="AR82" s="52">
        <v>3612.5462063036116</v>
      </c>
      <c r="AS82" s="73">
        <v>9330.031128695935</v>
      </c>
      <c r="AT82" s="40">
        <v>1173</v>
      </c>
      <c r="AU82" s="54">
        <v>-8157.031128695935</v>
      </c>
      <c r="AV82" s="73">
        <v>1243.3748648975504</v>
      </c>
      <c r="AW82" s="40">
        <v>0</v>
      </c>
      <c r="AX82" s="55">
        <v>-1243.3748648975504</v>
      </c>
      <c r="AY82" s="73">
        <v>1378.2307984378062</v>
      </c>
      <c r="AZ82" s="40">
        <v>0</v>
      </c>
      <c r="BA82" s="35">
        <v>-1378.2307984378062</v>
      </c>
      <c r="BB82" s="73">
        <v>601.06975410196605</v>
      </c>
      <c r="BC82" s="40">
        <v>3264</v>
      </c>
      <c r="BD82" s="55">
        <v>2662.9302458980337</v>
      </c>
      <c r="BE82" s="73">
        <v>1570.3271384154461</v>
      </c>
      <c r="BF82" s="40">
        <v>0</v>
      </c>
      <c r="BG82" s="38">
        <v>-1570.3271384154461</v>
      </c>
      <c r="BH82" s="73">
        <v>1852.2167975243626</v>
      </c>
      <c r="BI82" s="40">
        <v>0</v>
      </c>
      <c r="BJ82" s="55">
        <v>-1852.2167975243626</v>
      </c>
      <c r="BK82" s="73">
        <v>1189.9001219244758</v>
      </c>
      <c r="BL82" s="40">
        <v>0</v>
      </c>
      <c r="BM82" s="38">
        <v>-1189.9001219244758</v>
      </c>
      <c r="BN82" s="73">
        <v>99.813850237808637</v>
      </c>
      <c r="BO82" s="40">
        <v>0</v>
      </c>
      <c r="BP82" s="55">
        <v>-99.813850237808637</v>
      </c>
      <c r="BQ82" s="77">
        <v>7934.9333255394158</v>
      </c>
      <c r="BR82" s="40">
        <v>3264</v>
      </c>
      <c r="BS82" s="55">
        <v>-4670.9333255394158</v>
      </c>
      <c r="BT82" s="73">
        <v>9715.7586712428401</v>
      </c>
      <c r="BU82" s="40">
        <v>2038.9123839459457</v>
      </c>
      <c r="BV82" s="52">
        <v>-7676.8462872968939</v>
      </c>
      <c r="BW82" s="73">
        <v>6664.0792530707004</v>
      </c>
      <c r="BX82" s="40">
        <v>7337.5600573636693</v>
      </c>
      <c r="BY82" s="52">
        <v>673.48080429296897</v>
      </c>
      <c r="BZ82" s="73">
        <v>1791.695149343918</v>
      </c>
      <c r="CA82" s="40">
        <v>12211.926663704318</v>
      </c>
      <c r="CB82" s="52">
        <v>10420.231514360401</v>
      </c>
      <c r="CC82" s="73">
        <v>358.993268645</v>
      </c>
      <c r="CD82" s="40">
        <v>449.49570936104539</v>
      </c>
      <c r="CE82" s="52">
        <v>90.502440716045385</v>
      </c>
      <c r="CF82" s="73">
        <v>42.32595774</v>
      </c>
      <c r="CG82" s="40">
        <v>0</v>
      </c>
      <c r="CH82" s="52">
        <v>-42.32595774</v>
      </c>
      <c r="CI82" s="73">
        <v>3214.32</v>
      </c>
      <c r="CJ82" s="40">
        <v>3144.5717869863056</v>
      </c>
      <c r="CK82" s="52">
        <v>-69.748213013694567</v>
      </c>
      <c r="CL82" s="73">
        <v>4821.4781999999996</v>
      </c>
      <c r="CM82" s="40">
        <v>4719.9248338586003</v>
      </c>
      <c r="CN82" s="52">
        <v>-101.55336614139924</v>
      </c>
      <c r="CO82" s="39">
        <v>8035.7981999999993</v>
      </c>
      <c r="CP82" s="40">
        <v>7864.4966208449059</v>
      </c>
      <c r="CQ82" s="52">
        <v>-171.30157915509335</v>
      </c>
      <c r="CR82" s="72">
        <v>64746.736557437231</v>
      </c>
      <c r="CS82" s="5">
        <v>60292.505596166913</v>
      </c>
      <c r="CT82" s="52">
        <v>-4454.2309612703175</v>
      </c>
      <c r="CU82" s="77">
        <v>77696.083868924674</v>
      </c>
      <c r="CV82" s="65">
        <v>72351.00671540029</v>
      </c>
      <c r="CW82" s="35">
        <v>-5345.0771535243839</v>
      </c>
      <c r="CX82" s="73">
        <v>4338.0078313557133</v>
      </c>
      <c r="CY82" s="40">
        <v>9683.0849848801008</v>
      </c>
      <c r="CZ82" s="52">
        <v>5345.0771535243875</v>
      </c>
      <c r="DA82" s="150">
        <v>9576.878315148937</v>
      </c>
      <c r="DB82" s="2">
        <v>1</v>
      </c>
      <c r="DC82" s="648">
        <v>91346.27</v>
      </c>
      <c r="DD82" s="648"/>
      <c r="DE82" s="649">
        <v>9312.1782997196133</v>
      </c>
      <c r="DG82" s="321">
        <v>35860.440366492199</v>
      </c>
      <c r="DH82" s="5">
        <v>984409.10040336475</v>
      </c>
      <c r="DI82" s="306">
        <v>4.424148580780046</v>
      </c>
      <c r="DJ82" s="306">
        <v>5.4593970306859001</v>
      </c>
      <c r="DK82" s="306"/>
      <c r="DL82" s="28">
        <v>40692.015093145179</v>
      </c>
      <c r="DM82" s="28">
        <v>0</v>
      </c>
      <c r="DN82" s="650">
        <v>40692.07</v>
      </c>
      <c r="DO82" s="94">
        <v>-5.4906854820728768E-2</v>
      </c>
      <c r="DP82" s="28">
        <v>40692.015093145179</v>
      </c>
      <c r="DQ82" s="318">
        <v>-98.428938040276989</v>
      </c>
      <c r="DS82" s="8">
        <v>38848.041934462337</v>
      </c>
      <c r="DT82" s="5">
        <v>1942.402096723117</v>
      </c>
      <c r="DW82" s="5">
        <v>20717.957345082417</v>
      </c>
      <c r="DX82" s="5">
        <v>5324.4</v>
      </c>
    </row>
    <row r="83" spans="1:128" x14ac:dyDescent="0.3">
      <c r="A83" s="325">
        <v>150000532</v>
      </c>
      <c r="B83" s="41" t="s">
        <v>532</v>
      </c>
      <c r="C83" s="42" t="s">
        <v>254</v>
      </c>
      <c r="D83" s="42" t="s">
        <v>254</v>
      </c>
      <c r="E83" s="293">
        <v>2489.87</v>
      </c>
      <c r="F83" s="305">
        <v>2489.87</v>
      </c>
      <c r="G83" s="51"/>
      <c r="H83" s="651">
        <v>0</v>
      </c>
      <c r="I83" s="73">
        <v>1151.7216909466752</v>
      </c>
      <c r="J83" s="40">
        <v>1276.2421878901509</v>
      </c>
      <c r="K83" s="52">
        <v>124.52049694347579</v>
      </c>
      <c r="L83" s="73">
        <v>266.01006752847223</v>
      </c>
      <c r="M83" s="40">
        <v>309.93922832245391</v>
      </c>
      <c r="N83" s="52">
        <v>43.92916079398168</v>
      </c>
      <c r="O83" s="73">
        <v>510.85322278224339</v>
      </c>
      <c r="P83" s="40">
        <v>510.86</v>
      </c>
      <c r="Q83" s="52">
        <v>6.7772177566212122E-3</v>
      </c>
      <c r="R83" s="73">
        <v>106.61126792043665</v>
      </c>
      <c r="S83" s="40">
        <v>106.62</v>
      </c>
      <c r="T83" s="52">
        <v>8.7320795633587522E-3</v>
      </c>
      <c r="U83" s="73">
        <v>59.013359818333555</v>
      </c>
      <c r="V83" s="40">
        <v>110.61146614181885</v>
      </c>
      <c r="W83" s="52">
        <v>51.598106323485297</v>
      </c>
      <c r="X83" s="73">
        <v>611.6505715591785</v>
      </c>
      <c r="Y83" s="40">
        <v>606.80930496068549</v>
      </c>
      <c r="Z83" s="52">
        <v>-4.8412665984930072</v>
      </c>
      <c r="AA83" s="73">
        <v>199.28960000000001</v>
      </c>
      <c r="AB83" s="40">
        <v>0</v>
      </c>
      <c r="AC83" s="52">
        <v>-199.28960000000001</v>
      </c>
      <c r="AD83" s="73">
        <v>1794.6699736759017</v>
      </c>
      <c r="AE83" s="40">
        <v>2244.1326371017731</v>
      </c>
      <c r="AF83" s="35">
        <v>449.46266342587137</v>
      </c>
      <c r="AG83" s="77">
        <v>4699.8197542312409</v>
      </c>
      <c r="AH83" s="53">
        <v>5165.214824416882</v>
      </c>
      <c r="AI83" s="52">
        <v>465.39507018564109</v>
      </c>
      <c r="AJ83" s="73">
        <v>0</v>
      </c>
      <c r="AK83" s="40">
        <v>0</v>
      </c>
      <c r="AL83" s="52">
        <v>0</v>
      </c>
      <c r="AM83" s="73">
        <v>0</v>
      </c>
      <c r="AN83" s="40">
        <v>0</v>
      </c>
      <c r="AO83" s="52">
        <v>0</v>
      </c>
      <c r="AP83" s="73">
        <v>283.65562499999999</v>
      </c>
      <c r="AQ83" s="40">
        <v>0</v>
      </c>
      <c r="AR83" s="52">
        <v>-283.65562499999999</v>
      </c>
      <c r="AS83" s="73">
        <v>2953.8124949147937</v>
      </c>
      <c r="AT83" s="40">
        <v>50577</v>
      </c>
      <c r="AU83" s="54">
        <v>47623.187505085203</v>
      </c>
      <c r="AV83" s="73">
        <v>540.93396478156535</v>
      </c>
      <c r="AW83" s="40">
        <v>0</v>
      </c>
      <c r="AX83" s="55">
        <v>-540.93396478156535</v>
      </c>
      <c r="AY83" s="73">
        <v>704.99736203022098</v>
      </c>
      <c r="AZ83" s="40">
        <v>697</v>
      </c>
      <c r="BA83" s="35">
        <v>-7.9973620302209838</v>
      </c>
      <c r="BB83" s="73">
        <v>56.873077489399996</v>
      </c>
      <c r="BC83" s="40">
        <v>0</v>
      </c>
      <c r="BD83" s="55">
        <v>-56.873077489399996</v>
      </c>
      <c r="BE83" s="73">
        <v>462.29826384765198</v>
      </c>
      <c r="BF83" s="40">
        <v>0</v>
      </c>
      <c r="BG83" s="38">
        <v>-462.29826384765198</v>
      </c>
      <c r="BH83" s="73">
        <v>284.94336756732315</v>
      </c>
      <c r="BI83" s="40">
        <v>0</v>
      </c>
      <c r="BJ83" s="55">
        <v>-284.94336756732315</v>
      </c>
      <c r="BK83" s="73">
        <v>333.74651155026356</v>
      </c>
      <c r="BL83" s="40">
        <v>0</v>
      </c>
      <c r="BM83" s="38">
        <v>-333.74651155026356</v>
      </c>
      <c r="BN83" s="73">
        <v>85.933206673212439</v>
      </c>
      <c r="BO83" s="40">
        <v>0</v>
      </c>
      <c r="BP83" s="55">
        <v>-85.933206673212439</v>
      </c>
      <c r="BQ83" s="77">
        <v>2469.7257539396373</v>
      </c>
      <c r="BR83" s="40">
        <v>697</v>
      </c>
      <c r="BS83" s="55">
        <v>-1772.7257539396373</v>
      </c>
      <c r="BT83" s="73">
        <v>4431.4017176706202</v>
      </c>
      <c r="BU83" s="40">
        <v>1129.1044230994912</v>
      </c>
      <c r="BV83" s="52">
        <v>-3302.297294571129</v>
      </c>
      <c r="BW83" s="73">
        <v>2311.8754584805201</v>
      </c>
      <c r="BX83" s="40">
        <v>2630.7913582774581</v>
      </c>
      <c r="BY83" s="52">
        <v>318.91589979693799</v>
      </c>
      <c r="BZ83" s="73">
        <v>1856.9970852083079</v>
      </c>
      <c r="CA83" s="40">
        <v>6740.3567153906552</v>
      </c>
      <c r="CB83" s="52">
        <v>4883.3596301823472</v>
      </c>
      <c r="CC83" s="73">
        <v>195.99851722</v>
      </c>
      <c r="CD83" s="40">
        <v>243.68971762057106</v>
      </c>
      <c r="CE83" s="52">
        <v>47.691200400571063</v>
      </c>
      <c r="CF83" s="73">
        <v>22.946605439999999</v>
      </c>
      <c r="CG83" s="40">
        <v>0</v>
      </c>
      <c r="CH83" s="52">
        <v>-22.946605439999999</v>
      </c>
      <c r="CI83" s="73">
        <v>897.02</v>
      </c>
      <c r="CJ83" s="40">
        <v>997.09578103827323</v>
      </c>
      <c r="CK83" s="52">
        <v>100.07578103827325</v>
      </c>
      <c r="CL83" s="73">
        <v>0</v>
      </c>
      <c r="CM83" s="40">
        <v>0</v>
      </c>
      <c r="CN83" s="52">
        <v>0</v>
      </c>
      <c r="CO83" s="39">
        <v>897.02</v>
      </c>
      <c r="CP83" s="40">
        <v>997.09578103827323</v>
      </c>
      <c r="CQ83" s="52">
        <v>100.07578103827325</v>
      </c>
      <c r="CR83" s="72">
        <v>20123.25301210512</v>
      </c>
      <c r="CS83" s="5">
        <v>68180.252819843314</v>
      </c>
      <c r="CT83" s="52">
        <v>48056.99980773819</v>
      </c>
      <c r="CU83" s="77">
        <v>24147.903614526145</v>
      </c>
      <c r="CV83" s="65">
        <v>81816.303383811974</v>
      </c>
      <c r="CW83" s="35">
        <v>57668.399769285825</v>
      </c>
      <c r="CX83" s="73">
        <v>1348.2506424308301</v>
      </c>
      <c r="CY83" s="40">
        <v>-56320.149126855002</v>
      </c>
      <c r="CZ83" s="52">
        <v>-57668.399769285832</v>
      </c>
      <c r="DA83" s="150">
        <v>12765.967287603211</v>
      </c>
      <c r="DB83" s="2">
        <v>1</v>
      </c>
      <c r="DC83" s="648">
        <v>30035.16</v>
      </c>
      <c r="DD83" s="648"/>
      <c r="DE83" s="649">
        <v>4539.0057430430243</v>
      </c>
      <c r="DG83" s="321">
        <v>-5747.2983849585107</v>
      </c>
      <c r="DH83" s="5">
        <v>305953.85108348372</v>
      </c>
      <c r="DI83" s="306">
        <v>5.0891363714418514</v>
      </c>
      <c r="DJ83" s="306"/>
      <c r="DK83" s="306"/>
      <c r="DL83" s="28">
        <v>12671.287977161923</v>
      </c>
      <c r="DM83" s="28">
        <v>0</v>
      </c>
      <c r="DN83" s="650">
        <v>12671.19</v>
      </c>
      <c r="DO83" s="94">
        <v>9.7977161922244704E-2</v>
      </c>
      <c r="DP83" s="28">
        <v>12671.287977161923</v>
      </c>
      <c r="DQ83" s="318">
        <v>-6.3614204643035919</v>
      </c>
      <c r="DS83" s="8">
        <v>12073.951807263073</v>
      </c>
      <c r="DT83" s="5">
        <v>603.69759036315361</v>
      </c>
      <c r="DW83" s="5">
        <v>6508.2458986253168</v>
      </c>
      <c r="DX83" s="5">
        <v>61528.799999999996</v>
      </c>
    </row>
    <row r="84" spans="1:128" x14ac:dyDescent="0.3">
      <c r="A84" s="325">
        <v>150000533</v>
      </c>
      <c r="B84" s="41" t="s">
        <v>533</v>
      </c>
      <c r="C84" s="42" t="s">
        <v>350</v>
      </c>
      <c r="D84" s="42" t="s">
        <v>350</v>
      </c>
      <c r="E84" s="293">
        <v>11377.55</v>
      </c>
      <c r="F84" s="652">
        <v>11377.55</v>
      </c>
      <c r="G84" s="51">
        <v>1296.7000000000007</v>
      </c>
      <c r="H84" s="651">
        <v>0</v>
      </c>
      <c r="I84" s="73">
        <v>4485.2528547977981</v>
      </c>
      <c r="J84" s="40">
        <v>4983.1895658243284</v>
      </c>
      <c r="K84" s="52">
        <v>497.93671102653025</v>
      </c>
      <c r="L84" s="73">
        <v>827.61736437230797</v>
      </c>
      <c r="M84" s="40">
        <v>979.21289026761315</v>
      </c>
      <c r="N84" s="52">
        <v>151.59552589530517</v>
      </c>
      <c r="O84" s="73">
        <v>2302.5906399462997</v>
      </c>
      <c r="P84" s="40">
        <v>2302.58</v>
      </c>
      <c r="Q84" s="52">
        <v>-1.0639946299761505E-2</v>
      </c>
      <c r="R84" s="73">
        <v>499.76285153168334</v>
      </c>
      <c r="S84" s="40">
        <v>499.76</v>
      </c>
      <c r="T84" s="52">
        <v>-2.85153168334773E-3</v>
      </c>
      <c r="U84" s="73">
        <v>639.25482279231767</v>
      </c>
      <c r="V84" s="40">
        <v>1198.1829169110492</v>
      </c>
      <c r="W84" s="52">
        <v>558.92809411873156</v>
      </c>
      <c r="X84" s="73">
        <v>3279.1160151288282</v>
      </c>
      <c r="Y84" s="40">
        <v>3511.5184372792783</v>
      </c>
      <c r="Z84" s="52">
        <v>232.40242215045009</v>
      </c>
      <c r="AA84" s="73">
        <v>910.31600000000003</v>
      </c>
      <c r="AB84" s="40">
        <v>0</v>
      </c>
      <c r="AC84" s="52">
        <v>-910.31600000000003</v>
      </c>
      <c r="AD84" s="73">
        <v>8197.6387920607558</v>
      </c>
      <c r="AE84" s="40">
        <v>10254.644332939984</v>
      </c>
      <c r="AF84" s="35">
        <v>2057.0055408792286</v>
      </c>
      <c r="AG84" s="77">
        <v>21141.54934062999</v>
      </c>
      <c r="AH84" s="53">
        <v>23729.088143222252</v>
      </c>
      <c r="AI84" s="52">
        <v>2587.5388025922621</v>
      </c>
      <c r="AJ84" s="73">
        <v>13996.28</v>
      </c>
      <c r="AK84" s="40">
        <v>13785.138901789969</v>
      </c>
      <c r="AL84" s="52">
        <v>-211.14109821003149</v>
      </c>
      <c r="AM84" s="73">
        <v>210.14988500000001</v>
      </c>
      <c r="AN84" s="40">
        <v>206.94522013844158</v>
      </c>
      <c r="AO84" s="52">
        <v>-3.2046648615584274</v>
      </c>
      <c r="AP84" s="73">
        <v>1147.2294166666666</v>
      </c>
      <c r="AQ84" s="40">
        <v>6766.7457375833947</v>
      </c>
      <c r="AR84" s="52">
        <v>5619.5163209167276</v>
      </c>
      <c r="AS84" s="73">
        <v>13038.347391595209</v>
      </c>
      <c r="AT84" s="40">
        <v>731</v>
      </c>
      <c r="AU84" s="54">
        <v>-12307.347391595209</v>
      </c>
      <c r="AV84" s="73">
        <v>2062.4679393825018</v>
      </c>
      <c r="AW84" s="40">
        <v>0</v>
      </c>
      <c r="AX84" s="55">
        <v>-2062.4679393825018</v>
      </c>
      <c r="AY84" s="73">
        <v>2322.3733702138438</v>
      </c>
      <c r="AZ84" s="40">
        <v>0</v>
      </c>
      <c r="BA84" s="35">
        <v>-2322.3733702138438</v>
      </c>
      <c r="BB84" s="73">
        <v>548.993077821518</v>
      </c>
      <c r="BC84" s="40">
        <v>0</v>
      </c>
      <c r="BD84" s="55">
        <v>-548.993077821518</v>
      </c>
      <c r="BE84" s="73">
        <v>2396.672492157616</v>
      </c>
      <c r="BF84" s="40">
        <v>0</v>
      </c>
      <c r="BG84" s="38">
        <v>-2396.672492157616</v>
      </c>
      <c r="BH84" s="73">
        <v>3087.0138293253717</v>
      </c>
      <c r="BI84" s="40">
        <v>0</v>
      </c>
      <c r="BJ84" s="55">
        <v>-3087.0138293253717</v>
      </c>
      <c r="BK84" s="73">
        <v>2697.9438459428461</v>
      </c>
      <c r="BL84" s="40">
        <v>0</v>
      </c>
      <c r="BM84" s="38">
        <v>-2697.9438459428461</v>
      </c>
      <c r="BN84" s="73">
        <v>160.80420410388757</v>
      </c>
      <c r="BO84" s="40">
        <v>0</v>
      </c>
      <c r="BP84" s="55">
        <v>-160.80420410388757</v>
      </c>
      <c r="BQ84" s="77">
        <v>13276.268758947586</v>
      </c>
      <c r="BR84" s="40">
        <v>0</v>
      </c>
      <c r="BS84" s="55">
        <v>-13276.268758947586</v>
      </c>
      <c r="BT84" s="73">
        <v>17658.536969251501</v>
      </c>
      <c r="BU84" s="40">
        <v>4132.9140649605515</v>
      </c>
      <c r="BV84" s="52">
        <v>-13525.622904290951</v>
      </c>
      <c r="BW84" s="73">
        <v>11360.76835186274</v>
      </c>
      <c r="BX84" s="40">
        <v>14987.874846667033</v>
      </c>
      <c r="BY84" s="52">
        <v>3627.1064948042931</v>
      </c>
      <c r="BZ84" s="73">
        <v>4997.3071692675403</v>
      </c>
      <c r="CA84" s="40">
        <v>24449.335122698365</v>
      </c>
      <c r="CB84" s="52">
        <v>19452.027953430825</v>
      </c>
      <c r="CC84" s="73">
        <v>416.02362252</v>
      </c>
      <c r="CD84" s="40">
        <v>519.38298992865373</v>
      </c>
      <c r="CE84" s="52">
        <v>103.35936740865372</v>
      </c>
      <c r="CF84" s="73">
        <v>48.906768239999998</v>
      </c>
      <c r="CG84" s="40">
        <v>0</v>
      </c>
      <c r="CH84" s="52">
        <v>-48.906768239999998</v>
      </c>
      <c r="CI84" s="73">
        <v>5621.94</v>
      </c>
      <c r="CJ84" s="40">
        <v>6007.6537788965807</v>
      </c>
      <c r="CK84" s="52">
        <v>385.71377889658106</v>
      </c>
      <c r="CL84" s="73">
        <v>4500.6692499999999</v>
      </c>
      <c r="CM84" s="40">
        <v>3883.338368371496</v>
      </c>
      <c r="CN84" s="52">
        <v>-617.3308816285039</v>
      </c>
      <c r="CO84" s="39">
        <v>10122.60925</v>
      </c>
      <c r="CP84" s="40">
        <v>9890.9921472680762</v>
      </c>
      <c r="CQ84" s="52">
        <v>-231.6171027319233</v>
      </c>
      <c r="CR84" s="72">
        <v>107413.97692398126</v>
      </c>
      <c r="CS84" s="5">
        <v>99199.417174256741</v>
      </c>
      <c r="CT84" s="52">
        <v>-8214.559749724518</v>
      </c>
      <c r="CU84" s="77">
        <v>128896.77230877751</v>
      </c>
      <c r="CV84" s="65">
        <v>119039.30060910809</v>
      </c>
      <c r="CW84" s="35">
        <v>-9857.4716996694187</v>
      </c>
      <c r="CX84" s="73">
        <v>7196.6974378690766</v>
      </c>
      <c r="CY84" s="40">
        <v>17054.169137538498</v>
      </c>
      <c r="CZ84" s="52">
        <v>9857.4716996694224</v>
      </c>
      <c r="DA84" s="150">
        <v>-132632.90457046736</v>
      </c>
      <c r="DB84" s="2">
        <v>1</v>
      </c>
      <c r="DC84" s="648">
        <v>132044.69</v>
      </c>
      <c r="DD84" s="648"/>
      <c r="DE84" s="649">
        <v>-4048.7797466465854</v>
      </c>
      <c r="DG84" s="321">
        <v>1691.5575787764974</v>
      </c>
      <c r="DH84" s="5">
        <v>1633121.6369597591</v>
      </c>
      <c r="DI84" s="306">
        <v>5.0156789692421686</v>
      </c>
      <c r="DJ84" s="306">
        <v>6.0667972330672075</v>
      </c>
      <c r="DK84" s="306"/>
      <c r="DL84" s="28">
        <v>67662.303806381882</v>
      </c>
      <c r="DM84" s="28">
        <v>0</v>
      </c>
      <c r="DN84" s="650">
        <v>67662.42</v>
      </c>
      <c r="DO84" s="94">
        <v>-0.11619361811608542</v>
      </c>
      <c r="DP84" s="28">
        <v>67662.303806381882</v>
      </c>
      <c r="DQ84" s="318">
        <v>-8.5016557263152208</v>
      </c>
      <c r="DS84" s="8">
        <v>64448.386154388754</v>
      </c>
      <c r="DT84" s="5">
        <v>3222.4193077194377</v>
      </c>
      <c r="DW84" s="5">
        <v>31577.539380651353</v>
      </c>
      <c r="DX84" s="5">
        <v>877.19999999999993</v>
      </c>
    </row>
    <row r="85" spans="1:128" x14ac:dyDescent="0.3">
      <c r="A85" s="325">
        <v>150000534</v>
      </c>
      <c r="B85" s="41" t="s">
        <v>534</v>
      </c>
      <c r="C85" s="42" t="s">
        <v>255</v>
      </c>
      <c r="D85" s="42" t="s">
        <v>255</v>
      </c>
      <c r="E85" s="293">
        <v>2481.46</v>
      </c>
      <c r="F85" s="305">
        <v>2481.46</v>
      </c>
      <c r="G85" s="51"/>
      <c r="H85" s="651">
        <v>0</v>
      </c>
      <c r="I85" s="73">
        <v>1151.7654033208798</v>
      </c>
      <c r="J85" s="40">
        <v>1276.2686709707505</v>
      </c>
      <c r="K85" s="52">
        <v>124.50326764987062</v>
      </c>
      <c r="L85" s="73">
        <v>266.01006752847223</v>
      </c>
      <c r="M85" s="40">
        <v>309.89551645287429</v>
      </c>
      <c r="N85" s="52">
        <v>43.885448924402056</v>
      </c>
      <c r="O85" s="73">
        <v>511.96837372206664</v>
      </c>
      <c r="P85" s="40">
        <v>511.96</v>
      </c>
      <c r="Q85" s="52">
        <v>-8.3737220666648682E-3</v>
      </c>
      <c r="R85" s="73">
        <v>108.47056103545334</v>
      </c>
      <c r="S85" s="40">
        <v>108.46</v>
      </c>
      <c r="T85" s="52">
        <v>-1.0561035453349632E-2</v>
      </c>
      <c r="U85" s="73">
        <v>59.013359818333555</v>
      </c>
      <c r="V85" s="40">
        <v>110.61146614181885</v>
      </c>
      <c r="W85" s="52">
        <v>51.598106323485297</v>
      </c>
      <c r="X85" s="73">
        <v>611.6505715591785</v>
      </c>
      <c r="Y85" s="40">
        <v>984.17376345118646</v>
      </c>
      <c r="Z85" s="52">
        <v>372.52319189200796</v>
      </c>
      <c r="AA85" s="73">
        <v>198.51840000000001</v>
      </c>
      <c r="AB85" s="40">
        <v>0</v>
      </c>
      <c r="AC85" s="52">
        <v>-198.51840000000001</v>
      </c>
      <c r="AD85" s="73">
        <v>1787.7060510006982</v>
      </c>
      <c r="AE85" s="40">
        <v>2236.5526608467771</v>
      </c>
      <c r="AF85" s="35">
        <v>448.84660984607899</v>
      </c>
      <c r="AG85" s="77">
        <v>4695.1027879850826</v>
      </c>
      <c r="AH85" s="53">
        <v>5537.9220778634071</v>
      </c>
      <c r="AI85" s="52">
        <v>842.81928987832453</v>
      </c>
      <c r="AJ85" s="73">
        <v>0</v>
      </c>
      <c r="AK85" s="40">
        <v>0</v>
      </c>
      <c r="AL85" s="52">
        <v>0</v>
      </c>
      <c r="AM85" s="73">
        <v>0</v>
      </c>
      <c r="AN85" s="40">
        <v>0</v>
      </c>
      <c r="AO85" s="52">
        <v>0</v>
      </c>
      <c r="AP85" s="73">
        <v>283.65562499999999</v>
      </c>
      <c r="AQ85" s="40">
        <v>0</v>
      </c>
      <c r="AR85" s="52">
        <v>-283.65562499999999</v>
      </c>
      <c r="AS85" s="73">
        <v>2995.3974811031021</v>
      </c>
      <c r="AT85" s="40">
        <v>906</v>
      </c>
      <c r="AU85" s="54">
        <v>-2089.3974811031021</v>
      </c>
      <c r="AV85" s="73">
        <v>547.29704891793551</v>
      </c>
      <c r="AW85" s="40">
        <v>267</v>
      </c>
      <c r="AX85" s="55">
        <v>-280.29704891793551</v>
      </c>
      <c r="AY85" s="73">
        <v>704.99736203022098</v>
      </c>
      <c r="AZ85" s="40">
        <v>0</v>
      </c>
      <c r="BA85" s="35">
        <v>-704.99736203022098</v>
      </c>
      <c r="BB85" s="73">
        <v>145.51328658397</v>
      </c>
      <c r="BC85" s="40">
        <v>0</v>
      </c>
      <c r="BD85" s="55">
        <v>-145.51328658397</v>
      </c>
      <c r="BE85" s="73">
        <v>473.44729464002199</v>
      </c>
      <c r="BF85" s="40">
        <v>0</v>
      </c>
      <c r="BG85" s="38">
        <v>-473.44729464002199</v>
      </c>
      <c r="BH85" s="73">
        <v>284.94336756732315</v>
      </c>
      <c r="BI85" s="40">
        <v>0</v>
      </c>
      <c r="BJ85" s="55">
        <v>-284.94336756732315</v>
      </c>
      <c r="BK85" s="73">
        <v>333.74651155026356</v>
      </c>
      <c r="BL85" s="40">
        <v>0</v>
      </c>
      <c r="BM85" s="38">
        <v>-333.74651155026356</v>
      </c>
      <c r="BN85" s="73">
        <v>85.933206673212439</v>
      </c>
      <c r="BO85" s="40">
        <v>0</v>
      </c>
      <c r="BP85" s="55">
        <v>-85.933206673212439</v>
      </c>
      <c r="BQ85" s="77">
        <v>2575.8780779629474</v>
      </c>
      <c r="BR85" s="40">
        <v>267</v>
      </c>
      <c r="BS85" s="55">
        <v>-2308.8780779629474</v>
      </c>
      <c r="BT85" s="73">
        <v>4552.1667201379996</v>
      </c>
      <c r="BU85" s="40">
        <v>1135.4181540911084</v>
      </c>
      <c r="BV85" s="52">
        <v>-3416.748566046891</v>
      </c>
      <c r="BW85" s="73">
        <v>2151.2477904735001</v>
      </c>
      <c r="BX85" s="40">
        <v>3031.9162189237527</v>
      </c>
      <c r="BY85" s="52">
        <v>880.66842845025258</v>
      </c>
      <c r="BZ85" s="73">
        <v>1822.006354109802</v>
      </c>
      <c r="CA85" s="40">
        <v>6931.5418529629851</v>
      </c>
      <c r="CB85" s="52">
        <v>5109.5354988531835</v>
      </c>
      <c r="CC85" s="73">
        <v>210.39885677250001</v>
      </c>
      <c r="CD85" s="40">
        <v>260.41446683226764</v>
      </c>
      <c r="CE85" s="52">
        <v>50.015610059767624</v>
      </c>
      <c r="CF85" s="73">
        <v>24.521461469999998</v>
      </c>
      <c r="CG85" s="40">
        <v>0</v>
      </c>
      <c r="CH85" s="52">
        <v>-24.521461469999998</v>
      </c>
      <c r="CI85" s="73">
        <v>1248.98</v>
      </c>
      <c r="CJ85" s="40">
        <v>958.87718519030977</v>
      </c>
      <c r="CK85" s="52">
        <v>-290.10281480969024</v>
      </c>
      <c r="CL85" s="73">
        <v>0</v>
      </c>
      <c r="CM85" s="40">
        <v>0</v>
      </c>
      <c r="CN85" s="52">
        <v>0</v>
      </c>
      <c r="CO85" s="39">
        <v>1248.98</v>
      </c>
      <c r="CP85" s="40">
        <v>958.87718519030977</v>
      </c>
      <c r="CQ85" s="52">
        <v>-290.10281480969024</v>
      </c>
      <c r="CR85" s="72">
        <v>20559.355155014935</v>
      </c>
      <c r="CS85" s="5">
        <v>19029.08995586383</v>
      </c>
      <c r="CT85" s="52">
        <v>-1530.2651991511048</v>
      </c>
      <c r="CU85" s="77">
        <v>24671.226186017921</v>
      </c>
      <c r="CV85" s="65">
        <v>22834.907947036594</v>
      </c>
      <c r="CW85" s="35">
        <v>-1836.3182389813264</v>
      </c>
      <c r="CX85" s="73">
        <v>1377.4693276001674</v>
      </c>
      <c r="CY85" s="40">
        <v>3213.7875665814936</v>
      </c>
      <c r="CZ85" s="52">
        <v>1836.3182389813262</v>
      </c>
      <c r="DA85" s="150">
        <v>54819.817360404108</v>
      </c>
      <c r="DB85" s="2">
        <v>1</v>
      </c>
      <c r="DC85" s="648">
        <v>15294.18</v>
      </c>
      <c r="DD85" s="648"/>
      <c r="DE85" s="649">
        <v>-10754.515513618087</v>
      </c>
      <c r="DG85" s="321">
        <v>-29577.942140916053</v>
      </c>
      <c r="DH85" s="5">
        <v>312584.34616341704</v>
      </c>
      <c r="DI85" s="306">
        <v>5.2196244771907923</v>
      </c>
      <c r="DJ85" s="306"/>
      <c r="DK85" s="306"/>
      <c r="DL85" s="28">
        <v>12952.289355169863</v>
      </c>
      <c r="DM85" s="28">
        <v>0</v>
      </c>
      <c r="DN85" s="650">
        <v>12952.22</v>
      </c>
      <c r="DO85" s="94">
        <v>6.9355169864138588E-2</v>
      </c>
      <c r="DP85" s="28">
        <v>12952.289355169863</v>
      </c>
      <c r="DQ85" s="318">
        <v>-0.10439248954571667</v>
      </c>
      <c r="DS85" s="8">
        <v>12335.61309300896</v>
      </c>
      <c r="DT85" s="5">
        <v>616.78065465044813</v>
      </c>
      <c r="DW85" s="5">
        <v>6685.5306708792587</v>
      </c>
      <c r="DX85" s="5">
        <v>1407.6</v>
      </c>
    </row>
    <row r="86" spans="1:128" x14ac:dyDescent="0.3">
      <c r="A86" s="325">
        <v>150000535</v>
      </c>
      <c r="B86" s="41" t="s">
        <v>535</v>
      </c>
      <c r="C86" s="42" t="s">
        <v>351</v>
      </c>
      <c r="D86" s="42" t="s">
        <v>351</v>
      </c>
      <c r="E86" s="293">
        <v>11458.36</v>
      </c>
      <c r="F86" s="652">
        <v>11363.16</v>
      </c>
      <c r="G86" s="51">
        <v>1267.9500000000007</v>
      </c>
      <c r="H86" s="651">
        <v>95.2</v>
      </c>
      <c r="I86" s="73">
        <v>4505.3257603568372</v>
      </c>
      <c r="J86" s="40">
        <v>5005.7369670186436</v>
      </c>
      <c r="K86" s="52">
        <v>500.41120666180632</v>
      </c>
      <c r="L86" s="73">
        <v>827.61736437230797</v>
      </c>
      <c r="M86" s="40">
        <v>979.52980132206596</v>
      </c>
      <c r="N86" s="52">
        <v>151.91243694975799</v>
      </c>
      <c r="O86" s="73">
        <v>2215.0194181096463</v>
      </c>
      <c r="P86" s="40">
        <v>2215.02</v>
      </c>
      <c r="Q86" s="52">
        <v>5.8189035371469799E-4</v>
      </c>
      <c r="R86" s="73">
        <v>501.07791312162669</v>
      </c>
      <c r="S86" s="40">
        <v>501.08</v>
      </c>
      <c r="T86" s="52">
        <v>2.0868783732908014E-3</v>
      </c>
      <c r="U86" s="73">
        <v>639.25482279231767</v>
      </c>
      <c r="V86" s="40">
        <v>1198.1829169110492</v>
      </c>
      <c r="W86" s="52">
        <v>558.92809411873156</v>
      </c>
      <c r="X86" s="73">
        <v>3279.1160151288282</v>
      </c>
      <c r="Y86" s="40">
        <v>3902.5473777895641</v>
      </c>
      <c r="Z86" s="52">
        <v>623.43136266073589</v>
      </c>
      <c r="AA86" s="73">
        <v>916.45600000000013</v>
      </c>
      <c r="AB86" s="40">
        <v>0</v>
      </c>
      <c r="AC86" s="52">
        <v>-916.45600000000013</v>
      </c>
      <c r="AD86" s="73">
        <v>8249.2088885651829</v>
      </c>
      <c r="AE86" s="40">
        <v>10327.478801568544</v>
      </c>
      <c r="AF86" s="35">
        <v>2078.2699130033616</v>
      </c>
      <c r="AG86" s="77">
        <v>21133.076182446748</v>
      </c>
      <c r="AH86" s="53">
        <v>24129.575864609869</v>
      </c>
      <c r="AI86" s="52">
        <v>2996.4996821631212</v>
      </c>
      <c r="AJ86" s="73">
        <v>19096.46</v>
      </c>
      <c r="AK86" s="40">
        <v>18808.37263703897</v>
      </c>
      <c r="AL86" s="52">
        <v>-288.0873629610287</v>
      </c>
      <c r="AM86" s="73">
        <v>0</v>
      </c>
      <c r="AN86" s="40">
        <v>0</v>
      </c>
      <c r="AO86" s="52">
        <v>0</v>
      </c>
      <c r="AP86" s="73">
        <v>1159.8363333333334</v>
      </c>
      <c r="AQ86" s="40">
        <v>0</v>
      </c>
      <c r="AR86" s="52">
        <v>-1159.8363333333334</v>
      </c>
      <c r="AS86" s="73">
        <v>9758.2704953343782</v>
      </c>
      <c r="AT86" s="40">
        <v>10518</v>
      </c>
      <c r="AU86" s="54">
        <v>759.72950466562179</v>
      </c>
      <c r="AV86" s="73">
        <v>2064.784000979228</v>
      </c>
      <c r="AW86" s="40">
        <v>0</v>
      </c>
      <c r="AX86" s="55">
        <v>-2064.784000979228</v>
      </c>
      <c r="AY86" s="73">
        <v>2322.3733702138438</v>
      </c>
      <c r="AZ86" s="40">
        <v>0</v>
      </c>
      <c r="BA86" s="35">
        <v>-2322.3733702138438</v>
      </c>
      <c r="BB86" s="73">
        <v>838.17074751201403</v>
      </c>
      <c r="BC86" s="40">
        <v>0</v>
      </c>
      <c r="BD86" s="55">
        <v>-838.17074751201403</v>
      </c>
      <c r="BE86" s="73">
        <v>2405.960704673726</v>
      </c>
      <c r="BF86" s="40">
        <v>0</v>
      </c>
      <c r="BG86" s="38">
        <v>-2405.960704673726</v>
      </c>
      <c r="BH86" s="73">
        <v>3087.0138293253717</v>
      </c>
      <c r="BI86" s="40">
        <v>0</v>
      </c>
      <c r="BJ86" s="55">
        <v>-3087.0138293253717</v>
      </c>
      <c r="BK86" s="73">
        <v>2697.9438459428461</v>
      </c>
      <c r="BL86" s="40">
        <v>0</v>
      </c>
      <c r="BM86" s="38">
        <v>-2697.9438459428461</v>
      </c>
      <c r="BN86" s="73">
        <v>163.58032068952198</v>
      </c>
      <c r="BO86" s="40">
        <v>0</v>
      </c>
      <c r="BP86" s="55">
        <v>-163.58032068952198</v>
      </c>
      <c r="BQ86" s="77">
        <v>13579.826819336551</v>
      </c>
      <c r="BR86" s="40">
        <v>0</v>
      </c>
      <c r="BS86" s="55">
        <v>-13579.826819336551</v>
      </c>
      <c r="BT86" s="73">
        <v>16030.399743494319</v>
      </c>
      <c r="BU86" s="40">
        <v>4433.2595162252965</v>
      </c>
      <c r="BV86" s="52">
        <v>-11597.140227269023</v>
      </c>
      <c r="BW86" s="73">
        <v>11197.337165577939</v>
      </c>
      <c r="BX86" s="40">
        <v>15279.873667720058</v>
      </c>
      <c r="BY86" s="52">
        <v>4082.5365021421185</v>
      </c>
      <c r="BZ86" s="73">
        <v>3720.30817472032</v>
      </c>
      <c r="CA86" s="40">
        <v>21814.889121737706</v>
      </c>
      <c r="CB86" s="52">
        <v>18094.580947017384</v>
      </c>
      <c r="CC86" s="73">
        <v>299.51680214499999</v>
      </c>
      <c r="CD86" s="40">
        <v>372.37871011402922</v>
      </c>
      <c r="CE86" s="52">
        <v>72.861907969029232</v>
      </c>
      <c r="CF86" s="73">
        <v>35.064373740000001</v>
      </c>
      <c r="CG86" s="40">
        <v>0</v>
      </c>
      <c r="CH86" s="52">
        <v>-35.064373740000001</v>
      </c>
      <c r="CI86" s="73">
        <v>6793.06</v>
      </c>
      <c r="CJ86" s="40">
        <v>6522.4234598477778</v>
      </c>
      <c r="CK86" s="52">
        <v>-270.63654015222255</v>
      </c>
      <c r="CL86" s="73">
        <v>3628.5672500000001</v>
      </c>
      <c r="CM86" s="40">
        <v>3358.9063980980509</v>
      </c>
      <c r="CN86" s="52">
        <v>-269.66085190194917</v>
      </c>
      <c r="CO86" s="39">
        <v>10421.627250000001</v>
      </c>
      <c r="CP86" s="40">
        <v>9881.3298579458278</v>
      </c>
      <c r="CQ86" s="52">
        <v>-540.29739205417354</v>
      </c>
      <c r="CR86" s="72">
        <v>106431.72334012858</v>
      </c>
      <c r="CS86" s="5">
        <v>105237.67937539177</v>
      </c>
      <c r="CT86" s="52">
        <v>-1194.0439647368039</v>
      </c>
      <c r="CU86" s="77">
        <v>127718.06800815428</v>
      </c>
      <c r="CV86" s="65">
        <v>126285.21525047012</v>
      </c>
      <c r="CW86" s="35">
        <v>-1432.8527576841589</v>
      </c>
      <c r="CX86" s="73">
        <v>7130.8868045354538</v>
      </c>
      <c r="CY86" s="40">
        <v>8563.73956221962</v>
      </c>
      <c r="CZ86" s="52">
        <v>1432.8527576841661</v>
      </c>
      <c r="DA86" s="150">
        <v>121922.96153713558</v>
      </c>
      <c r="DB86" s="2">
        <v>1</v>
      </c>
      <c r="DC86" s="648">
        <v>208767.22</v>
      </c>
      <c r="DD86" s="648">
        <v>0</v>
      </c>
      <c r="DE86" s="649">
        <v>73918.265187310259</v>
      </c>
      <c r="DG86" s="321">
        <v>-104018.84284774943</v>
      </c>
      <c r="DH86" s="5">
        <v>1618187.4577522769</v>
      </c>
      <c r="DI86" s="306">
        <v>4.9036869321237653</v>
      </c>
      <c r="DJ86" s="306">
        <v>5.9869280492934802</v>
      </c>
      <c r="DK86" s="306">
        <v>4.282839557815489</v>
      </c>
      <c r="DL86" s="28">
        <v>66656.925758094367</v>
      </c>
      <c r="DM86" s="28">
        <v>407.72632590403458</v>
      </c>
      <c r="DN86" s="650">
        <v>66656.679999999993</v>
      </c>
      <c r="DO86" s="94">
        <v>0.24575809437374119</v>
      </c>
      <c r="DP86" s="28">
        <v>67064.6520839984</v>
      </c>
      <c r="DQ86" s="318">
        <v>12.666379717396921</v>
      </c>
      <c r="DS86" s="8">
        <v>63859.034004077141</v>
      </c>
      <c r="DT86" s="5">
        <v>3192.9517002038579</v>
      </c>
      <c r="DW86" s="5">
        <v>28005.716777605114</v>
      </c>
      <c r="DX86" s="5">
        <v>12621.6</v>
      </c>
    </row>
    <row r="87" spans="1:128" x14ac:dyDescent="0.3">
      <c r="A87" s="325">
        <v>150000645</v>
      </c>
      <c r="B87" s="41" t="s">
        <v>536</v>
      </c>
      <c r="C87" s="42" t="s">
        <v>66</v>
      </c>
      <c r="D87" s="42" t="s">
        <v>66</v>
      </c>
      <c r="E87" s="293">
        <v>216</v>
      </c>
      <c r="F87" s="305">
        <v>216</v>
      </c>
      <c r="G87" s="51"/>
      <c r="H87" s="651">
        <v>0</v>
      </c>
      <c r="I87" s="73">
        <v>0</v>
      </c>
      <c r="J87" s="40">
        <v>0</v>
      </c>
      <c r="K87" s="52">
        <v>0</v>
      </c>
      <c r="L87" s="73">
        <v>0</v>
      </c>
      <c r="M87" s="40">
        <v>0</v>
      </c>
      <c r="N87" s="52">
        <v>0</v>
      </c>
      <c r="O87" s="73">
        <v>0</v>
      </c>
      <c r="P87" s="40">
        <v>0</v>
      </c>
      <c r="Q87" s="52">
        <v>0</v>
      </c>
      <c r="R87" s="73">
        <v>0</v>
      </c>
      <c r="S87" s="40">
        <v>0</v>
      </c>
      <c r="T87" s="52">
        <v>0</v>
      </c>
      <c r="U87" s="73">
        <v>0</v>
      </c>
      <c r="V87" s="40">
        <v>0</v>
      </c>
      <c r="W87" s="52">
        <v>0</v>
      </c>
      <c r="X87" s="73">
        <v>0</v>
      </c>
      <c r="Y87" s="40">
        <v>0</v>
      </c>
      <c r="Z87" s="52">
        <v>0</v>
      </c>
      <c r="AA87" s="73">
        <v>17.152000000000001</v>
      </c>
      <c r="AB87" s="40">
        <v>0</v>
      </c>
      <c r="AC87" s="52">
        <v>-17.152000000000001</v>
      </c>
      <c r="AD87" s="73">
        <v>128.79884942215176</v>
      </c>
      <c r="AE87" s="40">
        <v>194.68191094875755</v>
      </c>
      <c r="AF87" s="35">
        <v>65.883061526605786</v>
      </c>
      <c r="AG87" s="77">
        <v>145.95084942215175</v>
      </c>
      <c r="AH87" s="53">
        <v>194.68191094875755</v>
      </c>
      <c r="AI87" s="52">
        <v>48.731061526605799</v>
      </c>
      <c r="AJ87" s="73">
        <v>0</v>
      </c>
      <c r="AK87" s="40">
        <v>0</v>
      </c>
      <c r="AL87" s="52">
        <v>0</v>
      </c>
      <c r="AM87" s="73">
        <v>0</v>
      </c>
      <c r="AN87" s="40">
        <v>0</v>
      </c>
      <c r="AO87" s="52">
        <v>0</v>
      </c>
      <c r="AP87" s="73">
        <v>63.034583333333323</v>
      </c>
      <c r="AQ87" s="40">
        <v>0</v>
      </c>
      <c r="AR87" s="52">
        <v>-63.034583333333323</v>
      </c>
      <c r="AS87" s="73">
        <v>282.56843494360044</v>
      </c>
      <c r="AT87" s="40">
        <v>0</v>
      </c>
      <c r="AU87" s="54">
        <v>-282.56843494360044</v>
      </c>
      <c r="AV87" s="73">
        <v>0</v>
      </c>
      <c r="AW87" s="40">
        <v>0</v>
      </c>
      <c r="AX87" s="55">
        <v>0</v>
      </c>
      <c r="AY87" s="73">
        <v>0</v>
      </c>
      <c r="AZ87" s="40">
        <v>0</v>
      </c>
      <c r="BA87" s="35">
        <v>0</v>
      </c>
      <c r="BB87" s="73">
        <v>0</v>
      </c>
      <c r="BC87" s="40">
        <v>0</v>
      </c>
      <c r="BD87" s="55">
        <v>0</v>
      </c>
      <c r="BE87" s="73">
        <v>0</v>
      </c>
      <c r="BF87" s="40">
        <v>0</v>
      </c>
      <c r="BG87" s="38">
        <v>0</v>
      </c>
      <c r="BH87" s="73">
        <v>0</v>
      </c>
      <c r="BI87" s="40">
        <v>0</v>
      </c>
      <c r="BJ87" s="55">
        <v>0</v>
      </c>
      <c r="BK87" s="73">
        <v>0</v>
      </c>
      <c r="BL87" s="40">
        <v>0</v>
      </c>
      <c r="BM87" s="38">
        <v>0</v>
      </c>
      <c r="BN87" s="73">
        <v>4.2880000000000003</v>
      </c>
      <c r="BO87" s="40">
        <v>0</v>
      </c>
      <c r="BP87" s="55">
        <v>-4.2880000000000003</v>
      </c>
      <c r="BQ87" s="77">
        <v>4.2880000000000003</v>
      </c>
      <c r="BR87" s="40">
        <v>0</v>
      </c>
      <c r="BS87" s="55">
        <v>-4.2880000000000003</v>
      </c>
      <c r="BT87" s="73">
        <v>0</v>
      </c>
      <c r="BU87" s="40">
        <v>0</v>
      </c>
      <c r="BV87" s="52">
        <v>0</v>
      </c>
      <c r="BW87" s="73">
        <v>0</v>
      </c>
      <c r="BX87" s="40">
        <v>0.80196944643192913</v>
      </c>
      <c r="BY87" s="52">
        <v>0.80196944643192913</v>
      </c>
      <c r="BZ87" s="73">
        <v>0</v>
      </c>
      <c r="CA87" s="40">
        <v>0</v>
      </c>
      <c r="CB87" s="52">
        <v>0</v>
      </c>
      <c r="CC87" s="73">
        <v>0</v>
      </c>
      <c r="CD87" s="40">
        <v>0</v>
      </c>
      <c r="CE87" s="52">
        <v>0</v>
      </c>
      <c r="CF87" s="73">
        <v>0</v>
      </c>
      <c r="CG87" s="40">
        <v>0</v>
      </c>
      <c r="CH87" s="52">
        <v>0</v>
      </c>
      <c r="CI87" s="73">
        <v>0</v>
      </c>
      <c r="CJ87" s="40">
        <v>0</v>
      </c>
      <c r="CK87" s="52">
        <v>0</v>
      </c>
      <c r="CL87" s="73">
        <v>0</v>
      </c>
      <c r="CM87" s="40">
        <v>0</v>
      </c>
      <c r="CN87" s="52">
        <v>0</v>
      </c>
      <c r="CO87" s="39">
        <v>0</v>
      </c>
      <c r="CP87" s="40">
        <v>0</v>
      </c>
      <c r="CQ87" s="52">
        <v>0</v>
      </c>
      <c r="CR87" s="72">
        <v>495.84186769908553</v>
      </c>
      <c r="CS87" s="5">
        <v>195.48388039518949</v>
      </c>
      <c r="CT87" s="52">
        <v>-300.35798730389604</v>
      </c>
      <c r="CU87" s="77">
        <v>595.01024123890261</v>
      </c>
      <c r="CV87" s="65">
        <v>234.58065647422737</v>
      </c>
      <c r="CW87" s="35">
        <v>-360.42958476467527</v>
      </c>
      <c r="CX87" s="73">
        <v>33.221225030925559</v>
      </c>
      <c r="CY87" s="40">
        <v>393.65080979560082</v>
      </c>
      <c r="CZ87" s="52">
        <v>360.42958476467527</v>
      </c>
      <c r="DA87" s="150">
        <v>2912.107772177611</v>
      </c>
      <c r="DB87" s="2">
        <v>3</v>
      </c>
      <c r="DC87" s="648">
        <v>835.88</v>
      </c>
      <c r="DD87" s="648"/>
      <c r="DE87" s="649">
        <v>207.64853373017183</v>
      </c>
      <c r="DG87" s="321">
        <v>-3045.5105661455627</v>
      </c>
      <c r="DH87" s="5">
        <v>7538.7775952379379</v>
      </c>
      <c r="DI87" s="306">
        <v>1.4569980254217529</v>
      </c>
      <c r="DJ87" s="306"/>
      <c r="DK87" s="306"/>
      <c r="DL87" s="28">
        <v>314.71157349109865</v>
      </c>
      <c r="DM87" s="28">
        <v>0</v>
      </c>
      <c r="DN87" s="650">
        <v>314.73</v>
      </c>
      <c r="DO87" s="94">
        <v>-1.8426508901370653E-2</v>
      </c>
      <c r="DP87" s="28">
        <v>314.71157349109865</v>
      </c>
      <c r="DQ87" s="318">
        <v>2.3311968406748065</v>
      </c>
      <c r="DS87" s="8">
        <v>297.5051206194513</v>
      </c>
      <c r="DT87" s="5">
        <v>14.875256030972565</v>
      </c>
      <c r="DW87" s="5">
        <v>344.22772193232055</v>
      </c>
      <c r="DX87" s="5">
        <v>0</v>
      </c>
    </row>
    <row r="88" spans="1:128" x14ac:dyDescent="0.3">
      <c r="A88" s="325">
        <v>150000643</v>
      </c>
      <c r="B88" s="41" t="s">
        <v>537</v>
      </c>
      <c r="C88" s="42" t="s">
        <v>67</v>
      </c>
      <c r="D88" s="42" t="s">
        <v>67</v>
      </c>
      <c r="E88" s="293">
        <v>216.8</v>
      </c>
      <c r="F88" s="305">
        <v>216.8</v>
      </c>
      <c r="G88" s="51"/>
      <c r="H88" s="651">
        <v>0</v>
      </c>
      <c r="I88" s="73">
        <v>0</v>
      </c>
      <c r="J88" s="40">
        <v>0</v>
      </c>
      <c r="K88" s="52">
        <v>0</v>
      </c>
      <c r="L88" s="73">
        <v>0</v>
      </c>
      <c r="M88" s="40">
        <v>0</v>
      </c>
      <c r="N88" s="52">
        <v>0</v>
      </c>
      <c r="O88" s="73">
        <v>0</v>
      </c>
      <c r="P88" s="40">
        <v>0</v>
      </c>
      <c r="Q88" s="52">
        <v>0</v>
      </c>
      <c r="R88" s="73">
        <v>0</v>
      </c>
      <c r="S88" s="40">
        <v>0</v>
      </c>
      <c r="T88" s="52">
        <v>0</v>
      </c>
      <c r="U88" s="73">
        <v>0</v>
      </c>
      <c r="V88" s="40">
        <v>0</v>
      </c>
      <c r="W88" s="52">
        <v>0</v>
      </c>
      <c r="X88" s="73">
        <v>0</v>
      </c>
      <c r="Y88" s="40">
        <v>0</v>
      </c>
      <c r="Z88" s="52">
        <v>0</v>
      </c>
      <c r="AA88" s="73">
        <v>17.344000000000001</v>
      </c>
      <c r="AB88" s="40">
        <v>0</v>
      </c>
      <c r="AC88" s="52">
        <v>-17.344000000000001</v>
      </c>
      <c r="AD88" s="73">
        <v>130.230981763654</v>
      </c>
      <c r="AE88" s="40">
        <v>195.40295506338259</v>
      </c>
      <c r="AF88" s="35">
        <v>65.171973299728592</v>
      </c>
      <c r="AG88" s="77">
        <v>147.57498176365399</v>
      </c>
      <c r="AH88" s="53">
        <v>195.40295506338259</v>
      </c>
      <c r="AI88" s="52">
        <v>47.827973299728598</v>
      </c>
      <c r="AJ88" s="73">
        <v>0</v>
      </c>
      <c r="AK88" s="40">
        <v>0</v>
      </c>
      <c r="AL88" s="52">
        <v>0</v>
      </c>
      <c r="AM88" s="73">
        <v>0</v>
      </c>
      <c r="AN88" s="40">
        <v>0</v>
      </c>
      <c r="AO88" s="52">
        <v>0</v>
      </c>
      <c r="AP88" s="73">
        <v>50.427666666666667</v>
      </c>
      <c r="AQ88" s="40">
        <v>0</v>
      </c>
      <c r="AR88" s="52">
        <v>-50.427666666666667</v>
      </c>
      <c r="AS88" s="73">
        <v>231.35629306294777</v>
      </c>
      <c r="AT88" s="40">
        <v>0</v>
      </c>
      <c r="AU88" s="54">
        <v>-231.35629306294777</v>
      </c>
      <c r="AV88" s="73">
        <v>0</v>
      </c>
      <c r="AW88" s="40">
        <v>0</v>
      </c>
      <c r="AX88" s="55">
        <v>0</v>
      </c>
      <c r="AY88" s="73">
        <v>0</v>
      </c>
      <c r="AZ88" s="40">
        <v>0</v>
      </c>
      <c r="BA88" s="35">
        <v>0</v>
      </c>
      <c r="BB88" s="73">
        <v>0</v>
      </c>
      <c r="BC88" s="40">
        <v>0</v>
      </c>
      <c r="BD88" s="55">
        <v>0</v>
      </c>
      <c r="BE88" s="73">
        <v>0</v>
      </c>
      <c r="BF88" s="40">
        <v>0</v>
      </c>
      <c r="BG88" s="38">
        <v>0</v>
      </c>
      <c r="BH88" s="73">
        <v>0</v>
      </c>
      <c r="BI88" s="40">
        <v>0</v>
      </c>
      <c r="BJ88" s="55">
        <v>0</v>
      </c>
      <c r="BK88" s="73">
        <v>0</v>
      </c>
      <c r="BL88" s="40">
        <v>0</v>
      </c>
      <c r="BM88" s="38">
        <v>0</v>
      </c>
      <c r="BN88" s="73">
        <v>4.3360000000000003</v>
      </c>
      <c r="BO88" s="40">
        <v>0</v>
      </c>
      <c r="BP88" s="55">
        <v>-4.3360000000000003</v>
      </c>
      <c r="BQ88" s="77">
        <v>4.3360000000000003</v>
      </c>
      <c r="BR88" s="40">
        <v>0</v>
      </c>
      <c r="BS88" s="55">
        <v>-4.3360000000000003</v>
      </c>
      <c r="BT88" s="73">
        <v>0</v>
      </c>
      <c r="BU88" s="40">
        <v>0</v>
      </c>
      <c r="BV88" s="52">
        <v>0</v>
      </c>
      <c r="BW88" s="73">
        <v>0</v>
      </c>
      <c r="BX88" s="40">
        <v>0.80493970364093637</v>
      </c>
      <c r="BY88" s="52">
        <v>0.80493970364093637</v>
      </c>
      <c r="BZ88" s="73">
        <v>0</v>
      </c>
      <c r="CA88" s="40">
        <v>0</v>
      </c>
      <c r="CB88" s="52">
        <v>0</v>
      </c>
      <c r="CC88" s="73">
        <v>0</v>
      </c>
      <c r="CD88" s="40">
        <v>0</v>
      </c>
      <c r="CE88" s="52">
        <v>0</v>
      </c>
      <c r="CF88" s="73">
        <v>0</v>
      </c>
      <c r="CG88" s="40">
        <v>0</v>
      </c>
      <c r="CH88" s="52">
        <v>0</v>
      </c>
      <c r="CI88" s="73">
        <v>0</v>
      </c>
      <c r="CJ88" s="40">
        <v>0</v>
      </c>
      <c r="CK88" s="52">
        <v>0</v>
      </c>
      <c r="CL88" s="73">
        <v>0</v>
      </c>
      <c r="CM88" s="40">
        <v>0</v>
      </c>
      <c r="CN88" s="52">
        <v>0</v>
      </c>
      <c r="CO88" s="39">
        <v>0</v>
      </c>
      <c r="CP88" s="40">
        <v>0</v>
      </c>
      <c r="CQ88" s="52">
        <v>0</v>
      </c>
      <c r="CR88" s="72">
        <v>433.69494149326846</v>
      </c>
      <c r="CS88" s="5">
        <v>196.20789476702353</v>
      </c>
      <c r="CT88" s="52">
        <v>-237.48704672624493</v>
      </c>
      <c r="CU88" s="77">
        <v>520.43392979192208</v>
      </c>
      <c r="CV88" s="65">
        <v>235.44947372042822</v>
      </c>
      <c r="CW88" s="35">
        <v>-284.98445607149387</v>
      </c>
      <c r="CX88" s="73">
        <v>29.057403548797854</v>
      </c>
      <c r="CY88" s="40">
        <v>314.04185962029175</v>
      </c>
      <c r="CZ88" s="52">
        <v>284.98445607149387</v>
      </c>
      <c r="DA88" s="150">
        <v>-2852.5195021713939</v>
      </c>
      <c r="DB88" s="2">
        <v>3</v>
      </c>
      <c r="DC88" s="648">
        <v>59.87</v>
      </c>
      <c r="DD88" s="648"/>
      <c r="DE88" s="649">
        <v>-489.62133334071996</v>
      </c>
      <c r="DG88" s="321">
        <v>-3723.5932951564982</v>
      </c>
      <c r="DH88" s="5">
        <v>6593.89600008864</v>
      </c>
      <c r="DI88" s="306">
        <v>1.2602758908706599</v>
      </c>
      <c r="DJ88" s="306"/>
      <c r="DK88" s="306"/>
      <c r="DL88" s="28">
        <v>273.22781314075911</v>
      </c>
      <c r="DM88" s="28">
        <v>0</v>
      </c>
      <c r="DN88" s="650">
        <v>273.23</v>
      </c>
      <c r="DO88" s="94">
        <v>-2.1868592409077792E-3</v>
      </c>
      <c r="DP88" s="28">
        <v>273.22781314075911</v>
      </c>
      <c r="DQ88" s="318">
        <v>0</v>
      </c>
      <c r="DS88" s="8">
        <v>260.21696489596104</v>
      </c>
      <c r="DT88" s="5">
        <v>13.010848244798053</v>
      </c>
      <c r="DW88" s="5">
        <v>282.83075167553733</v>
      </c>
      <c r="DX88" s="5">
        <v>0</v>
      </c>
    </row>
    <row r="89" spans="1:128" x14ac:dyDescent="0.3">
      <c r="A89" s="325">
        <v>150000644</v>
      </c>
      <c r="B89" s="41" t="s">
        <v>538</v>
      </c>
      <c r="C89" s="42" t="s">
        <v>68</v>
      </c>
      <c r="D89" s="42" t="s">
        <v>68</v>
      </c>
      <c r="E89" s="293">
        <v>214.7</v>
      </c>
      <c r="F89" s="305">
        <v>214.7</v>
      </c>
      <c r="G89" s="51"/>
      <c r="H89" s="651">
        <v>0</v>
      </c>
      <c r="I89" s="73">
        <v>0</v>
      </c>
      <c r="J89" s="40">
        <v>0</v>
      </c>
      <c r="K89" s="52">
        <v>0</v>
      </c>
      <c r="L89" s="73">
        <v>0</v>
      </c>
      <c r="M89" s="40">
        <v>0</v>
      </c>
      <c r="N89" s="52">
        <v>0</v>
      </c>
      <c r="O89" s="73">
        <v>35.921031972529995</v>
      </c>
      <c r="P89" s="40">
        <v>35.93333333333333</v>
      </c>
      <c r="Q89" s="52">
        <v>1.230136080333466E-2</v>
      </c>
      <c r="R89" s="73">
        <v>0</v>
      </c>
      <c r="S89" s="40">
        <v>0</v>
      </c>
      <c r="T89" s="52">
        <v>0</v>
      </c>
      <c r="U89" s="73">
        <v>0</v>
      </c>
      <c r="V89" s="40">
        <v>0</v>
      </c>
      <c r="W89" s="52">
        <v>0</v>
      </c>
      <c r="X89" s="73">
        <v>0</v>
      </c>
      <c r="Y89" s="40">
        <v>0</v>
      </c>
      <c r="Z89" s="52">
        <v>0</v>
      </c>
      <c r="AA89" s="73">
        <v>17.175999999999998</v>
      </c>
      <c r="AB89" s="40">
        <v>0</v>
      </c>
      <c r="AC89" s="52">
        <v>-17.175999999999998</v>
      </c>
      <c r="AD89" s="73">
        <v>154.68135403998892</v>
      </c>
      <c r="AE89" s="40">
        <v>193.5102142624919</v>
      </c>
      <c r="AF89" s="35">
        <v>38.828860222502982</v>
      </c>
      <c r="AG89" s="77">
        <v>207.77838601251892</v>
      </c>
      <c r="AH89" s="53">
        <v>229.44354759582524</v>
      </c>
      <c r="AI89" s="52">
        <v>21.665161583306315</v>
      </c>
      <c r="AJ89" s="73">
        <v>0</v>
      </c>
      <c r="AK89" s="40">
        <v>0</v>
      </c>
      <c r="AL89" s="52">
        <v>0</v>
      </c>
      <c r="AM89" s="73">
        <v>0</v>
      </c>
      <c r="AN89" s="40">
        <v>0</v>
      </c>
      <c r="AO89" s="52">
        <v>0</v>
      </c>
      <c r="AP89" s="73">
        <v>50.427666666666667</v>
      </c>
      <c r="AQ89" s="40">
        <v>0</v>
      </c>
      <c r="AR89" s="52">
        <v>-50.427666666666667</v>
      </c>
      <c r="AS89" s="73">
        <v>211.02259340291619</v>
      </c>
      <c r="AT89" s="40">
        <v>0</v>
      </c>
      <c r="AU89" s="54">
        <v>-211.02259340291619</v>
      </c>
      <c r="AV89" s="73">
        <v>0</v>
      </c>
      <c r="AW89" s="40">
        <v>0</v>
      </c>
      <c r="AX89" s="55">
        <v>0</v>
      </c>
      <c r="AY89" s="73">
        <v>0</v>
      </c>
      <c r="AZ89" s="40">
        <v>0</v>
      </c>
      <c r="BA89" s="35">
        <v>0</v>
      </c>
      <c r="BB89" s="73">
        <v>10.176569253290001</v>
      </c>
      <c r="BC89" s="40">
        <v>0</v>
      </c>
      <c r="BD89" s="55">
        <v>-10.176569253290001</v>
      </c>
      <c r="BE89" s="73">
        <v>0</v>
      </c>
      <c r="BF89" s="40">
        <v>0</v>
      </c>
      <c r="BG89" s="38">
        <v>0</v>
      </c>
      <c r="BH89" s="73">
        <v>0</v>
      </c>
      <c r="BI89" s="40">
        <v>0</v>
      </c>
      <c r="BJ89" s="55">
        <v>0</v>
      </c>
      <c r="BK89" s="73">
        <v>0</v>
      </c>
      <c r="BL89" s="40">
        <v>0</v>
      </c>
      <c r="BM89" s="38">
        <v>0</v>
      </c>
      <c r="BN89" s="73">
        <v>4.2939999999999996</v>
      </c>
      <c r="BO89" s="40">
        <v>0</v>
      </c>
      <c r="BP89" s="55">
        <v>-4.2939999999999996</v>
      </c>
      <c r="BQ89" s="77">
        <v>14.470569253290002</v>
      </c>
      <c r="BR89" s="40">
        <v>0</v>
      </c>
      <c r="BS89" s="55">
        <v>-14.470569253290002</v>
      </c>
      <c r="BT89" s="73">
        <v>0</v>
      </c>
      <c r="BU89" s="40">
        <v>0</v>
      </c>
      <c r="BV89" s="52">
        <v>0</v>
      </c>
      <c r="BW89" s="73">
        <v>0</v>
      </c>
      <c r="BX89" s="40">
        <v>0.79714277846729242</v>
      </c>
      <c r="BY89" s="52">
        <v>0.79714277846729242</v>
      </c>
      <c r="BZ89" s="73">
        <v>0</v>
      </c>
      <c r="CA89" s="40">
        <v>0</v>
      </c>
      <c r="CB89" s="52">
        <v>0</v>
      </c>
      <c r="CC89" s="73">
        <v>0</v>
      </c>
      <c r="CD89" s="40">
        <v>0</v>
      </c>
      <c r="CE89" s="52">
        <v>0</v>
      </c>
      <c r="CF89" s="73">
        <v>0</v>
      </c>
      <c r="CG89" s="40">
        <v>0</v>
      </c>
      <c r="CH89" s="52">
        <v>0</v>
      </c>
      <c r="CI89" s="73">
        <v>0</v>
      </c>
      <c r="CJ89" s="40">
        <v>0</v>
      </c>
      <c r="CK89" s="52">
        <v>0</v>
      </c>
      <c r="CL89" s="73">
        <v>0</v>
      </c>
      <c r="CM89" s="40">
        <v>0</v>
      </c>
      <c r="CN89" s="52">
        <v>0</v>
      </c>
      <c r="CO89" s="39">
        <v>0</v>
      </c>
      <c r="CP89" s="40">
        <v>0</v>
      </c>
      <c r="CQ89" s="52">
        <v>0</v>
      </c>
      <c r="CR89" s="72">
        <v>483.69921533539178</v>
      </c>
      <c r="CS89" s="5">
        <v>230.24069037429254</v>
      </c>
      <c r="CT89" s="52">
        <v>-253.45852496109924</v>
      </c>
      <c r="CU89" s="77">
        <v>580.4390584024701</v>
      </c>
      <c r="CV89" s="65">
        <v>276.28882844915103</v>
      </c>
      <c r="CW89" s="35">
        <v>-304.15022995331907</v>
      </c>
      <c r="CX89" s="73">
        <v>32.40767173314034</v>
      </c>
      <c r="CY89" s="40">
        <v>336.55790168645939</v>
      </c>
      <c r="CZ89" s="52">
        <v>304.15022995331907</v>
      </c>
      <c r="DA89" s="150">
        <v>-2058.4450124292844</v>
      </c>
      <c r="DB89" s="2">
        <v>3</v>
      </c>
      <c r="DC89" s="648">
        <v>304.73</v>
      </c>
      <c r="DD89" s="648"/>
      <c r="DE89" s="649">
        <v>-308.1167301356104</v>
      </c>
      <c r="DG89" s="321">
        <v>-3227.8538419198303</v>
      </c>
      <c r="DH89" s="5">
        <v>7354.160761627325</v>
      </c>
      <c r="DI89" s="306">
        <v>1.4193316518923935</v>
      </c>
      <c r="DJ89" s="306"/>
      <c r="DK89" s="306"/>
      <c r="DL89" s="28">
        <v>304.73050566129689</v>
      </c>
      <c r="DM89" s="28">
        <v>0</v>
      </c>
      <c r="DN89" s="650">
        <v>304.73</v>
      </c>
      <c r="DO89" s="94">
        <v>5.0566129687013017E-4</v>
      </c>
      <c r="DP89" s="28">
        <v>304.73050566129689</v>
      </c>
      <c r="DQ89" s="318">
        <v>0</v>
      </c>
      <c r="DS89" s="8">
        <v>290.21952920123505</v>
      </c>
      <c r="DT89" s="5">
        <v>14.510976460061755</v>
      </c>
      <c r="DW89" s="5">
        <v>270.59179518744742</v>
      </c>
      <c r="DX89" s="5">
        <v>0</v>
      </c>
    </row>
    <row r="90" spans="1:128" x14ac:dyDescent="0.3">
      <c r="A90" s="325">
        <v>150000566</v>
      </c>
      <c r="B90" s="41" t="s">
        <v>539</v>
      </c>
      <c r="C90" s="42" t="s">
        <v>69</v>
      </c>
      <c r="D90" s="42" t="s">
        <v>69</v>
      </c>
      <c r="E90" s="293">
        <v>397.8</v>
      </c>
      <c r="F90" s="305">
        <v>397.8</v>
      </c>
      <c r="G90" s="51"/>
      <c r="H90" s="651">
        <v>0</v>
      </c>
      <c r="I90" s="73">
        <v>0</v>
      </c>
      <c r="J90" s="40">
        <v>0</v>
      </c>
      <c r="K90" s="52">
        <v>0</v>
      </c>
      <c r="L90" s="73">
        <v>0</v>
      </c>
      <c r="M90" s="40">
        <v>0</v>
      </c>
      <c r="N90" s="52">
        <v>0</v>
      </c>
      <c r="O90" s="73">
        <v>0</v>
      </c>
      <c r="P90" s="40">
        <v>0</v>
      </c>
      <c r="Q90" s="52">
        <v>0</v>
      </c>
      <c r="R90" s="73">
        <v>0</v>
      </c>
      <c r="S90" s="40">
        <v>0</v>
      </c>
      <c r="T90" s="52">
        <v>0</v>
      </c>
      <c r="U90" s="73">
        <v>0</v>
      </c>
      <c r="V90" s="40">
        <v>0</v>
      </c>
      <c r="W90" s="52">
        <v>0</v>
      </c>
      <c r="X90" s="73">
        <v>0</v>
      </c>
      <c r="Y90" s="40">
        <v>0</v>
      </c>
      <c r="Z90" s="52">
        <v>0</v>
      </c>
      <c r="AA90" s="73">
        <v>27.744</v>
      </c>
      <c r="AB90" s="40">
        <v>0</v>
      </c>
      <c r="AC90" s="52">
        <v>-27.744</v>
      </c>
      <c r="AD90" s="73">
        <v>222.09875291864233</v>
      </c>
      <c r="AE90" s="40">
        <v>358.53918599729514</v>
      </c>
      <c r="AF90" s="35">
        <v>136.4404330786528</v>
      </c>
      <c r="AG90" s="77">
        <v>249.84275291864233</v>
      </c>
      <c r="AH90" s="53">
        <v>358.53918599729514</v>
      </c>
      <c r="AI90" s="52">
        <v>108.6964330786528</v>
      </c>
      <c r="AJ90" s="73">
        <v>0</v>
      </c>
      <c r="AK90" s="40">
        <v>0</v>
      </c>
      <c r="AL90" s="52">
        <v>0</v>
      </c>
      <c r="AM90" s="73">
        <v>0</v>
      </c>
      <c r="AN90" s="40">
        <v>0</v>
      </c>
      <c r="AO90" s="52">
        <v>0</v>
      </c>
      <c r="AP90" s="73">
        <v>88.248416666666657</v>
      </c>
      <c r="AQ90" s="40">
        <v>0</v>
      </c>
      <c r="AR90" s="52">
        <v>-88.248416666666657</v>
      </c>
      <c r="AS90" s="73">
        <v>467.08630220611292</v>
      </c>
      <c r="AT90" s="40">
        <v>0</v>
      </c>
      <c r="AU90" s="54">
        <v>-467.08630220611292</v>
      </c>
      <c r="AV90" s="73">
        <v>0</v>
      </c>
      <c r="AW90" s="40">
        <v>0</v>
      </c>
      <c r="AX90" s="55">
        <v>0</v>
      </c>
      <c r="AY90" s="73">
        <v>0</v>
      </c>
      <c r="AZ90" s="40">
        <v>0</v>
      </c>
      <c r="BA90" s="35">
        <v>0</v>
      </c>
      <c r="BB90" s="73">
        <v>0</v>
      </c>
      <c r="BC90" s="40">
        <v>0</v>
      </c>
      <c r="BD90" s="55">
        <v>0</v>
      </c>
      <c r="BE90" s="73">
        <v>0</v>
      </c>
      <c r="BF90" s="40">
        <v>0</v>
      </c>
      <c r="BG90" s="38">
        <v>0</v>
      </c>
      <c r="BH90" s="73">
        <v>0</v>
      </c>
      <c r="BI90" s="40">
        <v>0</v>
      </c>
      <c r="BJ90" s="55">
        <v>0</v>
      </c>
      <c r="BK90" s="73">
        <v>0</v>
      </c>
      <c r="BL90" s="40">
        <v>0</v>
      </c>
      <c r="BM90" s="38">
        <v>0</v>
      </c>
      <c r="BN90" s="73">
        <v>6.9417443134978658</v>
      </c>
      <c r="BO90" s="40">
        <v>0</v>
      </c>
      <c r="BP90" s="55">
        <v>-6.9417443134978658</v>
      </c>
      <c r="BQ90" s="77">
        <v>6.9417443134978658</v>
      </c>
      <c r="BR90" s="40">
        <v>0</v>
      </c>
      <c r="BS90" s="55">
        <v>-6.9417443134978658</v>
      </c>
      <c r="BT90" s="73">
        <v>0</v>
      </c>
      <c r="BU90" s="40">
        <v>0</v>
      </c>
      <c r="BV90" s="52">
        <v>0</v>
      </c>
      <c r="BW90" s="73">
        <v>0</v>
      </c>
      <c r="BX90" s="40">
        <v>1.4769603971788028</v>
      </c>
      <c r="BY90" s="52">
        <v>1.4769603971788028</v>
      </c>
      <c r="BZ90" s="73">
        <v>0</v>
      </c>
      <c r="CA90" s="40">
        <v>0</v>
      </c>
      <c r="CB90" s="52">
        <v>0</v>
      </c>
      <c r="CC90" s="73">
        <v>0</v>
      </c>
      <c r="CD90" s="40">
        <v>0</v>
      </c>
      <c r="CE90" s="52">
        <v>0</v>
      </c>
      <c r="CF90" s="73">
        <v>0</v>
      </c>
      <c r="CG90" s="40">
        <v>0</v>
      </c>
      <c r="CH90" s="52">
        <v>0</v>
      </c>
      <c r="CI90" s="73">
        <v>0</v>
      </c>
      <c r="CJ90" s="40">
        <v>0</v>
      </c>
      <c r="CK90" s="52">
        <v>0</v>
      </c>
      <c r="CL90" s="73">
        <v>0</v>
      </c>
      <c r="CM90" s="40">
        <v>0</v>
      </c>
      <c r="CN90" s="52">
        <v>0</v>
      </c>
      <c r="CO90" s="39">
        <v>0</v>
      </c>
      <c r="CP90" s="40">
        <v>0</v>
      </c>
      <c r="CQ90" s="52">
        <v>0</v>
      </c>
      <c r="CR90" s="72">
        <v>812.11921610491981</v>
      </c>
      <c r="CS90" s="5">
        <v>360.01614639447394</v>
      </c>
      <c r="CT90" s="52">
        <v>-452.10306971044588</v>
      </c>
      <c r="CU90" s="77">
        <v>974.54305932590376</v>
      </c>
      <c r="CV90" s="65">
        <v>432.0193756733687</v>
      </c>
      <c r="CW90" s="35">
        <v>-542.52368365253506</v>
      </c>
      <c r="CX90" s="73">
        <v>54.411692492521972</v>
      </c>
      <c r="CY90" s="40">
        <v>596.93537614505692</v>
      </c>
      <c r="CZ90" s="52">
        <v>542.52368365253494</v>
      </c>
      <c r="DA90" s="150">
        <v>-5639.4352614146355</v>
      </c>
      <c r="DB90" s="2">
        <v>1</v>
      </c>
      <c r="DC90" s="648">
        <v>577.17999999999995</v>
      </c>
      <c r="DD90" s="648"/>
      <c r="DE90" s="649">
        <v>-451.77475181842567</v>
      </c>
      <c r="DG90" s="321">
        <v>-7955.5276058532618</v>
      </c>
      <c r="DH90" s="5">
        <v>12347.457021821108</v>
      </c>
      <c r="DI90" s="306">
        <v>1.4753030742390412</v>
      </c>
      <c r="DJ90" s="306"/>
      <c r="DK90" s="306"/>
      <c r="DL90" s="28">
        <v>586.87556293229056</v>
      </c>
      <c r="DM90" s="28">
        <v>0</v>
      </c>
      <c r="DN90" s="650">
        <v>586.88</v>
      </c>
      <c r="DO90" s="94">
        <v>-4.4370677094320854E-3</v>
      </c>
      <c r="DP90" s="28">
        <v>586.87556293229056</v>
      </c>
      <c r="DQ90" s="318">
        <v>75.240456786191089</v>
      </c>
      <c r="DS90" s="8">
        <v>487.27152966295188</v>
      </c>
      <c r="DT90" s="5">
        <v>24.363576483147593</v>
      </c>
      <c r="DW90" s="5">
        <v>568.83365582353292</v>
      </c>
      <c r="DX90" s="5">
        <v>0</v>
      </c>
    </row>
    <row r="91" spans="1:128" x14ac:dyDescent="0.3">
      <c r="A91" s="325">
        <v>150000571</v>
      </c>
      <c r="B91" s="41" t="s">
        <v>540</v>
      </c>
      <c r="C91" s="42" t="s">
        <v>70</v>
      </c>
      <c r="D91" s="42" t="s">
        <v>70</v>
      </c>
      <c r="E91" s="293">
        <v>238.6</v>
      </c>
      <c r="F91" s="305">
        <v>238.6</v>
      </c>
      <c r="G91" s="51"/>
      <c r="H91" s="651">
        <v>0</v>
      </c>
      <c r="I91" s="73">
        <v>0</v>
      </c>
      <c r="J91" s="40">
        <v>0</v>
      </c>
      <c r="K91" s="52">
        <v>0</v>
      </c>
      <c r="L91" s="73">
        <v>0</v>
      </c>
      <c r="M91" s="40">
        <v>0</v>
      </c>
      <c r="N91" s="52">
        <v>0</v>
      </c>
      <c r="O91" s="73">
        <v>0</v>
      </c>
      <c r="P91" s="40">
        <v>0</v>
      </c>
      <c r="Q91" s="52">
        <v>0</v>
      </c>
      <c r="R91" s="73">
        <v>0</v>
      </c>
      <c r="S91" s="40">
        <v>0</v>
      </c>
      <c r="T91" s="52">
        <v>0</v>
      </c>
      <c r="U91" s="73">
        <v>0</v>
      </c>
      <c r="V91" s="40">
        <v>0</v>
      </c>
      <c r="W91" s="52">
        <v>0</v>
      </c>
      <c r="X91" s="73">
        <v>0</v>
      </c>
      <c r="Y91" s="40">
        <v>0</v>
      </c>
      <c r="Z91" s="52">
        <v>0</v>
      </c>
      <c r="AA91" s="73">
        <v>19.088000000000001</v>
      </c>
      <c r="AB91" s="40">
        <v>0</v>
      </c>
      <c r="AC91" s="52">
        <v>-19.088000000000001</v>
      </c>
      <c r="AD91" s="73">
        <v>152.82456729352145</v>
      </c>
      <c r="AE91" s="40">
        <v>215.05140718691462</v>
      </c>
      <c r="AF91" s="35">
        <v>62.226839893393162</v>
      </c>
      <c r="AG91" s="77">
        <v>171.91256729352145</v>
      </c>
      <c r="AH91" s="53">
        <v>215.05140718691462</v>
      </c>
      <c r="AI91" s="52">
        <v>43.138839893393168</v>
      </c>
      <c r="AJ91" s="73">
        <v>0</v>
      </c>
      <c r="AK91" s="40">
        <v>0</v>
      </c>
      <c r="AL91" s="52">
        <v>0</v>
      </c>
      <c r="AM91" s="73">
        <v>0</v>
      </c>
      <c r="AN91" s="40">
        <v>0</v>
      </c>
      <c r="AO91" s="52">
        <v>0</v>
      </c>
      <c r="AP91" s="73">
        <v>94.551874999999995</v>
      </c>
      <c r="AQ91" s="40">
        <v>0</v>
      </c>
      <c r="AR91" s="52">
        <v>-94.551874999999995</v>
      </c>
      <c r="AS91" s="73">
        <v>365.16674015587716</v>
      </c>
      <c r="AT91" s="40">
        <v>0</v>
      </c>
      <c r="AU91" s="54">
        <v>-365.16674015587716</v>
      </c>
      <c r="AV91" s="73">
        <v>0</v>
      </c>
      <c r="AW91" s="40">
        <v>0</v>
      </c>
      <c r="AX91" s="55">
        <v>0</v>
      </c>
      <c r="AY91" s="73">
        <v>0</v>
      </c>
      <c r="AZ91" s="40">
        <v>0</v>
      </c>
      <c r="BA91" s="35">
        <v>0</v>
      </c>
      <c r="BB91" s="73">
        <v>0</v>
      </c>
      <c r="BC91" s="40">
        <v>0</v>
      </c>
      <c r="BD91" s="55">
        <v>0</v>
      </c>
      <c r="BE91" s="73">
        <v>0</v>
      </c>
      <c r="BF91" s="40">
        <v>0</v>
      </c>
      <c r="BG91" s="38">
        <v>0</v>
      </c>
      <c r="BH91" s="73">
        <v>0</v>
      </c>
      <c r="BI91" s="40">
        <v>0</v>
      </c>
      <c r="BJ91" s="55">
        <v>0</v>
      </c>
      <c r="BK91" s="73">
        <v>0</v>
      </c>
      <c r="BL91" s="40">
        <v>0</v>
      </c>
      <c r="BM91" s="38">
        <v>0</v>
      </c>
      <c r="BN91" s="73">
        <v>5.909229606276222</v>
      </c>
      <c r="BO91" s="40">
        <v>0</v>
      </c>
      <c r="BP91" s="55">
        <v>-5.909229606276222</v>
      </c>
      <c r="BQ91" s="77">
        <v>5.909229606276222</v>
      </c>
      <c r="BR91" s="40">
        <v>0</v>
      </c>
      <c r="BS91" s="55">
        <v>-5.909229606276222</v>
      </c>
      <c r="BT91" s="73">
        <v>0</v>
      </c>
      <c r="BU91" s="40">
        <v>0</v>
      </c>
      <c r="BV91" s="52">
        <v>0</v>
      </c>
      <c r="BW91" s="73">
        <v>0</v>
      </c>
      <c r="BX91" s="40">
        <v>0.88587921258638103</v>
      </c>
      <c r="BY91" s="52">
        <v>0.88587921258638103</v>
      </c>
      <c r="BZ91" s="73">
        <v>0</v>
      </c>
      <c r="CA91" s="40">
        <v>0</v>
      </c>
      <c r="CB91" s="52">
        <v>0</v>
      </c>
      <c r="CC91" s="73">
        <v>0</v>
      </c>
      <c r="CD91" s="40">
        <v>0</v>
      </c>
      <c r="CE91" s="52">
        <v>0</v>
      </c>
      <c r="CF91" s="73">
        <v>0</v>
      </c>
      <c r="CG91" s="40">
        <v>0</v>
      </c>
      <c r="CH91" s="52">
        <v>0</v>
      </c>
      <c r="CI91" s="73">
        <v>0</v>
      </c>
      <c r="CJ91" s="40">
        <v>0</v>
      </c>
      <c r="CK91" s="52">
        <v>0</v>
      </c>
      <c r="CL91" s="73">
        <v>0</v>
      </c>
      <c r="CM91" s="40">
        <v>0</v>
      </c>
      <c r="CN91" s="52">
        <v>0</v>
      </c>
      <c r="CO91" s="39">
        <v>0</v>
      </c>
      <c r="CP91" s="40">
        <v>0</v>
      </c>
      <c r="CQ91" s="52">
        <v>0</v>
      </c>
      <c r="CR91" s="72">
        <v>637.54041205567478</v>
      </c>
      <c r="CS91" s="5">
        <v>215.93728639950101</v>
      </c>
      <c r="CT91" s="52">
        <v>-421.6031256561738</v>
      </c>
      <c r="CU91" s="77">
        <v>765.04849446680976</v>
      </c>
      <c r="CV91" s="65">
        <v>259.12474367940121</v>
      </c>
      <c r="CW91" s="35">
        <v>-505.92375078740855</v>
      </c>
      <c r="CX91" s="73">
        <v>42.714976033577166</v>
      </c>
      <c r="CY91" s="40">
        <v>548.63872682098577</v>
      </c>
      <c r="CZ91" s="52">
        <v>505.92375078740861</v>
      </c>
      <c r="DA91" s="150">
        <v>-3389.3167357367629</v>
      </c>
      <c r="DB91" s="2">
        <v>1</v>
      </c>
      <c r="DC91" s="648">
        <v>5163.63</v>
      </c>
      <c r="DD91" s="648"/>
      <c r="DE91" s="649">
        <v>4355.8665294996135</v>
      </c>
      <c r="DG91" s="321">
        <v>-6653.9749797658187</v>
      </c>
      <c r="DH91" s="5">
        <v>9693.1616460046425</v>
      </c>
      <c r="DI91" s="306">
        <v>1.6833632003146488</v>
      </c>
      <c r="DJ91" s="306"/>
      <c r="DK91" s="306"/>
      <c r="DL91" s="28">
        <v>401.65045959507518</v>
      </c>
      <c r="DM91" s="28">
        <v>0</v>
      </c>
      <c r="DN91" s="650">
        <v>401.66</v>
      </c>
      <c r="DO91" s="94">
        <v>-9.5404049248486444E-3</v>
      </c>
      <c r="DP91" s="28">
        <v>401.65045959507518</v>
      </c>
      <c r="DQ91" s="318">
        <v>0</v>
      </c>
      <c r="DS91" s="8">
        <v>382.52424723340488</v>
      </c>
      <c r="DT91" s="5">
        <v>19.126212361670245</v>
      </c>
      <c r="DW91" s="5">
        <v>445.291163714584</v>
      </c>
      <c r="DX91" s="5">
        <v>0</v>
      </c>
    </row>
    <row r="92" spans="1:128" x14ac:dyDescent="0.3">
      <c r="A92" s="325">
        <v>150000567</v>
      </c>
      <c r="B92" s="41" t="s">
        <v>541</v>
      </c>
      <c r="C92" s="42" t="s">
        <v>71</v>
      </c>
      <c r="D92" s="42" t="s">
        <v>71</v>
      </c>
      <c r="E92" s="293">
        <v>134</v>
      </c>
      <c r="F92" s="305">
        <v>134</v>
      </c>
      <c r="G92" s="51"/>
      <c r="H92" s="651">
        <v>0</v>
      </c>
      <c r="I92" s="73">
        <v>0</v>
      </c>
      <c r="J92" s="40">
        <v>0</v>
      </c>
      <c r="K92" s="52">
        <v>0</v>
      </c>
      <c r="L92" s="73">
        <v>0</v>
      </c>
      <c r="M92" s="40">
        <v>0</v>
      </c>
      <c r="N92" s="52">
        <v>0</v>
      </c>
      <c r="O92" s="73">
        <v>0</v>
      </c>
      <c r="P92" s="40">
        <v>0</v>
      </c>
      <c r="Q92" s="52">
        <v>0</v>
      </c>
      <c r="R92" s="73">
        <v>0</v>
      </c>
      <c r="S92" s="40">
        <v>0</v>
      </c>
      <c r="T92" s="52">
        <v>0</v>
      </c>
      <c r="U92" s="73">
        <v>0</v>
      </c>
      <c r="V92" s="40">
        <v>0</v>
      </c>
      <c r="W92" s="52">
        <v>0</v>
      </c>
      <c r="X92" s="73">
        <v>0</v>
      </c>
      <c r="Y92" s="40">
        <v>0</v>
      </c>
      <c r="Z92" s="52">
        <v>0</v>
      </c>
      <c r="AA92" s="73">
        <v>10.72</v>
      </c>
      <c r="AB92" s="40">
        <v>0</v>
      </c>
      <c r="AC92" s="52">
        <v>-10.72</v>
      </c>
      <c r="AD92" s="73">
        <v>85.79900952338356</v>
      </c>
      <c r="AE92" s="40">
        <v>120.77488919969218</v>
      </c>
      <c r="AF92" s="35">
        <v>34.975879676308622</v>
      </c>
      <c r="AG92" s="77">
        <v>96.519009523383559</v>
      </c>
      <c r="AH92" s="53">
        <v>120.77488919969218</v>
      </c>
      <c r="AI92" s="52">
        <v>24.255879676308624</v>
      </c>
      <c r="AJ92" s="73">
        <v>0</v>
      </c>
      <c r="AK92" s="40">
        <v>0</v>
      </c>
      <c r="AL92" s="52">
        <v>0</v>
      </c>
      <c r="AM92" s="73">
        <v>0</v>
      </c>
      <c r="AN92" s="40">
        <v>0</v>
      </c>
      <c r="AO92" s="52">
        <v>0</v>
      </c>
      <c r="AP92" s="73">
        <v>37.820749999999997</v>
      </c>
      <c r="AQ92" s="40">
        <v>0</v>
      </c>
      <c r="AR92" s="52">
        <v>-37.820749999999997</v>
      </c>
      <c r="AS92" s="73">
        <v>108.08982300586797</v>
      </c>
      <c r="AT92" s="40">
        <v>0</v>
      </c>
      <c r="AU92" s="54">
        <v>-108.08982300586797</v>
      </c>
      <c r="AV92" s="73">
        <v>0</v>
      </c>
      <c r="AW92" s="40">
        <v>0</v>
      </c>
      <c r="AX92" s="55">
        <v>0</v>
      </c>
      <c r="AY92" s="73">
        <v>0</v>
      </c>
      <c r="AZ92" s="40">
        <v>0</v>
      </c>
      <c r="BA92" s="35">
        <v>0</v>
      </c>
      <c r="BB92" s="73">
        <v>0</v>
      </c>
      <c r="BC92" s="40">
        <v>0</v>
      </c>
      <c r="BD92" s="55">
        <v>0</v>
      </c>
      <c r="BE92" s="73">
        <v>0</v>
      </c>
      <c r="BF92" s="40">
        <v>0</v>
      </c>
      <c r="BG92" s="38">
        <v>0</v>
      </c>
      <c r="BH92" s="73">
        <v>0</v>
      </c>
      <c r="BI92" s="40">
        <v>0</v>
      </c>
      <c r="BJ92" s="55">
        <v>0</v>
      </c>
      <c r="BK92" s="73">
        <v>0</v>
      </c>
      <c r="BL92" s="40">
        <v>0</v>
      </c>
      <c r="BM92" s="38">
        <v>0</v>
      </c>
      <c r="BN92" s="73">
        <v>4.8343365262045817</v>
      </c>
      <c r="BO92" s="40">
        <v>0</v>
      </c>
      <c r="BP92" s="55">
        <v>-4.8343365262045817</v>
      </c>
      <c r="BQ92" s="77">
        <v>4.8343365262045817</v>
      </c>
      <c r="BR92" s="40">
        <v>0</v>
      </c>
      <c r="BS92" s="55">
        <v>-4.8343365262045817</v>
      </c>
      <c r="BT92" s="73">
        <v>0</v>
      </c>
      <c r="BU92" s="40">
        <v>0</v>
      </c>
      <c r="BV92" s="52">
        <v>0</v>
      </c>
      <c r="BW92" s="73">
        <v>0</v>
      </c>
      <c r="BX92" s="40">
        <v>0.49751808250869678</v>
      </c>
      <c r="BY92" s="52">
        <v>0.49751808250869678</v>
      </c>
      <c r="BZ92" s="73">
        <v>0</v>
      </c>
      <c r="CA92" s="40">
        <v>0</v>
      </c>
      <c r="CB92" s="52">
        <v>0</v>
      </c>
      <c r="CC92" s="73">
        <v>0</v>
      </c>
      <c r="CD92" s="40">
        <v>0</v>
      </c>
      <c r="CE92" s="52">
        <v>0</v>
      </c>
      <c r="CF92" s="73">
        <v>0</v>
      </c>
      <c r="CG92" s="40">
        <v>0</v>
      </c>
      <c r="CH92" s="52">
        <v>0</v>
      </c>
      <c r="CI92" s="73">
        <v>0</v>
      </c>
      <c r="CJ92" s="40">
        <v>0</v>
      </c>
      <c r="CK92" s="52">
        <v>0</v>
      </c>
      <c r="CL92" s="73">
        <v>0</v>
      </c>
      <c r="CM92" s="40">
        <v>0</v>
      </c>
      <c r="CN92" s="52">
        <v>0</v>
      </c>
      <c r="CO92" s="39">
        <v>0</v>
      </c>
      <c r="CP92" s="40">
        <v>0</v>
      </c>
      <c r="CQ92" s="52">
        <v>0</v>
      </c>
      <c r="CR92" s="72">
        <v>247.26391905545611</v>
      </c>
      <c r="CS92" s="5">
        <v>121.27240728220087</v>
      </c>
      <c r="CT92" s="52">
        <v>-125.99151177325524</v>
      </c>
      <c r="CU92" s="77">
        <v>296.71670286654734</v>
      </c>
      <c r="CV92" s="65">
        <v>145.52688873864105</v>
      </c>
      <c r="CW92" s="35">
        <v>-151.18981412790629</v>
      </c>
      <c r="CX92" s="73">
        <v>16.566592762906819</v>
      </c>
      <c r="CY92" s="40">
        <v>167.75640689081308</v>
      </c>
      <c r="CZ92" s="52">
        <v>151.18981412790626</v>
      </c>
      <c r="DA92" s="150">
        <v>588.66674484524685</v>
      </c>
      <c r="DB92" s="2">
        <v>1</v>
      </c>
      <c r="DC92" s="648">
        <v>581.88</v>
      </c>
      <c r="DD92" s="648"/>
      <c r="DE92" s="649">
        <v>268.59670437054587</v>
      </c>
      <c r="DG92" s="321">
        <v>-1954.1982637225587</v>
      </c>
      <c r="DH92" s="5">
        <v>3759.3995475534493</v>
      </c>
      <c r="DI92" s="306">
        <v>1.1625094701860996</v>
      </c>
      <c r="DJ92" s="306"/>
      <c r="DK92" s="306"/>
      <c r="DL92" s="28">
        <v>155.77626900493735</v>
      </c>
      <c r="DM92" s="28">
        <v>0</v>
      </c>
      <c r="DN92" s="650">
        <v>155.77000000000001</v>
      </c>
      <c r="DO92" s="94">
        <v>6.2690049373372858E-3</v>
      </c>
      <c r="DP92" s="28">
        <v>155.77626900493735</v>
      </c>
      <c r="DQ92" s="318">
        <v>0</v>
      </c>
      <c r="DS92" s="8">
        <v>148.35835143327367</v>
      </c>
      <c r="DT92" s="5">
        <v>7.4179175716636827</v>
      </c>
      <c r="DW92" s="5">
        <v>135.50899143848704</v>
      </c>
      <c r="DX92" s="5">
        <v>0</v>
      </c>
    </row>
    <row r="93" spans="1:128" x14ac:dyDescent="0.3">
      <c r="A93" s="325">
        <v>150000561</v>
      </c>
      <c r="B93" s="41" t="s">
        <v>542</v>
      </c>
      <c r="C93" s="42" t="s">
        <v>72</v>
      </c>
      <c r="D93" s="42" t="s">
        <v>72</v>
      </c>
      <c r="E93" s="293">
        <v>128.1</v>
      </c>
      <c r="F93" s="305">
        <v>128.1</v>
      </c>
      <c r="G93" s="51"/>
      <c r="H93" s="651">
        <v>0</v>
      </c>
      <c r="I93" s="73">
        <v>0</v>
      </c>
      <c r="J93" s="40">
        <v>0</v>
      </c>
      <c r="K93" s="52">
        <v>0</v>
      </c>
      <c r="L93" s="73">
        <v>0</v>
      </c>
      <c r="M93" s="40">
        <v>0</v>
      </c>
      <c r="N93" s="52">
        <v>0</v>
      </c>
      <c r="O93" s="73">
        <v>0</v>
      </c>
      <c r="P93" s="40">
        <v>0</v>
      </c>
      <c r="Q93" s="52">
        <v>0</v>
      </c>
      <c r="R93" s="73">
        <v>0</v>
      </c>
      <c r="S93" s="40">
        <v>0</v>
      </c>
      <c r="T93" s="52">
        <v>0</v>
      </c>
      <c r="U93" s="73">
        <v>0</v>
      </c>
      <c r="V93" s="40">
        <v>0</v>
      </c>
      <c r="W93" s="52">
        <v>0</v>
      </c>
      <c r="X93" s="73">
        <v>0</v>
      </c>
      <c r="Y93" s="40">
        <v>0</v>
      </c>
      <c r="Z93" s="52">
        <v>0</v>
      </c>
      <c r="AA93" s="73">
        <v>10.247999999999999</v>
      </c>
      <c r="AB93" s="40">
        <v>0</v>
      </c>
      <c r="AC93" s="52">
        <v>-10.247999999999999</v>
      </c>
      <c r="AD93" s="73">
        <v>82.019584154716711</v>
      </c>
      <c r="AE93" s="40">
        <v>115.4571888543326</v>
      </c>
      <c r="AF93" s="35">
        <v>33.437604699615889</v>
      </c>
      <c r="AG93" s="77">
        <v>92.267584154716715</v>
      </c>
      <c r="AH93" s="53">
        <v>115.4571888543326</v>
      </c>
      <c r="AI93" s="52">
        <v>23.189604699615884</v>
      </c>
      <c r="AJ93" s="73">
        <v>0</v>
      </c>
      <c r="AK93" s="40">
        <v>0</v>
      </c>
      <c r="AL93" s="52">
        <v>0</v>
      </c>
      <c r="AM93" s="73">
        <v>0</v>
      </c>
      <c r="AN93" s="40">
        <v>0</v>
      </c>
      <c r="AO93" s="52">
        <v>0</v>
      </c>
      <c r="AP93" s="73">
        <v>63.034583333333323</v>
      </c>
      <c r="AQ93" s="40">
        <v>0</v>
      </c>
      <c r="AR93" s="52">
        <v>-63.034583333333323</v>
      </c>
      <c r="AS93" s="73">
        <v>126.59592490157966</v>
      </c>
      <c r="AT93" s="40">
        <v>0</v>
      </c>
      <c r="AU93" s="54">
        <v>-126.59592490157966</v>
      </c>
      <c r="AV93" s="73">
        <v>0</v>
      </c>
      <c r="AW93" s="40">
        <v>0</v>
      </c>
      <c r="AX93" s="55">
        <v>0</v>
      </c>
      <c r="AY93" s="73">
        <v>0</v>
      </c>
      <c r="AZ93" s="40">
        <v>0</v>
      </c>
      <c r="BA93" s="35">
        <v>0</v>
      </c>
      <c r="BB93" s="73">
        <v>0</v>
      </c>
      <c r="BC93" s="40">
        <v>0</v>
      </c>
      <c r="BD93" s="55">
        <v>0</v>
      </c>
      <c r="BE93" s="73">
        <v>0</v>
      </c>
      <c r="BF93" s="40">
        <v>0</v>
      </c>
      <c r="BG93" s="38">
        <v>0</v>
      </c>
      <c r="BH93" s="73">
        <v>0</v>
      </c>
      <c r="BI93" s="40">
        <v>0</v>
      </c>
      <c r="BJ93" s="55">
        <v>0</v>
      </c>
      <c r="BK93" s="73">
        <v>0</v>
      </c>
      <c r="BL93" s="40">
        <v>0</v>
      </c>
      <c r="BM93" s="38">
        <v>0</v>
      </c>
      <c r="BN93" s="73">
        <v>3.3463890541041303</v>
      </c>
      <c r="BO93" s="40">
        <v>0</v>
      </c>
      <c r="BP93" s="55">
        <v>-3.3463890541041303</v>
      </c>
      <c r="BQ93" s="77">
        <v>3.3463890541041303</v>
      </c>
      <c r="BR93" s="40">
        <v>0</v>
      </c>
      <c r="BS93" s="55">
        <v>-3.3463890541041303</v>
      </c>
      <c r="BT93" s="73">
        <v>0</v>
      </c>
      <c r="BU93" s="40">
        <v>0</v>
      </c>
      <c r="BV93" s="52">
        <v>0</v>
      </c>
      <c r="BW93" s="73">
        <v>0</v>
      </c>
      <c r="BX93" s="40">
        <v>0.47561243559226907</v>
      </c>
      <c r="BY93" s="52">
        <v>0.47561243559226907</v>
      </c>
      <c r="BZ93" s="73">
        <v>0</v>
      </c>
      <c r="CA93" s="40">
        <v>0</v>
      </c>
      <c r="CB93" s="52">
        <v>0</v>
      </c>
      <c r="CC93" s="73">
        <v>0</v>
      </c>
      <c r="CD93" s="40">
        <v>0</v>
      </c>
      <c r="CE93" s="52">
        <v>0</v>
      </c>
      <c r="CF93" s="73">
        <v>0</v>
      </c>
      <c r="CG93" s="40">
        <v>0</v>
      </c>
      <c r="CH93" s="52">
        <v>0</v>
      </c>
      <c r="CI93" s="73">
        <v>0</v>
      </c>
      <c r="CJ93" s="40">
        <v>0</v>
      </c>
      <c r="CK93" s="52">
        <v>0</v>
      </c>
      <c r="CL93" s="73">
        <v>0</v>
      </c>
      <c r="CM93" s="40">
        <v>0</v>
      </c>
      <c r="CN93" s="52">
        <v>0</v>
      </c>
      <c r="CO93" s="39">
        <v>0</v>
      </c>
      <c r="CP93" s="40">
        <v>0</v>
      </c>
      <c r="CQ93" s="52">
        <v>0</v>
      </c>
      <c r="CR93" s="72">
        <v>285.24448144373383</v>
      </c>
      <c r="CS93" s="5">
        <v>115.93280128992487</v>
      </c>
      <c r="CT93" s="52">
        <v>-169.31168015380896</v>
      </c>
      <c r="CU93" s="77">
        <v>342.29337773248056</v>
      </c>
      <c r="CV93" s="65">
        <v>139.11936154790985</v>
      </c>
      <c r="CW93" s="35">
        <v>-203.17401618457072</v>
      </c>
      <c r="CX93" s="73">
        <v>19.111276647220944</v>
      </c>
      <c r="CY93" s="40">
        <v>222.28529283179168</v>
      </c>
      <c r="CZ93" s="52">
        <v>203.17401618457075</v>
      </c>
      <c r="DA93" s="150">
        <v>1078.2983451781352</v>
      </c>
      <c r="DB93" s="2">
        <v>1</v>
      </c>
      <c r="DC93" s="648">
        <v>179.7</v>
      </c>
      <c r="DD93" s="648"/>
      <c r="DE93" s="649">
        <v>-181.70465437970154</v>
      </c>
      <c r="DG93" s="321">
        <v>9145.2614267538611</v>
      </c>
      <c r="DH93" s="5">
        <v>4336.8558525564185</v>
      </c>
      <c r="DI93" s="306">
        <v>1.4028417120183629</v>
      </c>
      <c r="DJ93" s="306"/>
      <c r="DK93" s="306"/>
      <c r="DL93" s="28">
        <v>179.7040233095523</v>
      </c>
      <c r="DM93" s="28">
        <v>0</v>
      </c>
      <c r="DN93" s="650">
        <v>179.7</v>
      </c>
      <c r="DO93" s="94">
        <v>4.0233095523092288E-3</v>
      </c>
      <c r="DP93" s="28">
        <v>179.7040233095523</v>
      </c>
      <c r="DQ93" s="318">
        <v>0</v>
      </c>
      <c r="DS93" s="8">
        <v>171.14668886624028</v>
      </c>
      <c r="DT93" s="5">
        <v>8.5573344433120155</v>
      </c>
      <c r="DW93" s="5">
        <v>155.93077674682056</v>
      </c>
      <c r="DX93" s="5">
        <v>0</v>
      </c>
    </row>
    <row r="94" spans="1:128" x14ac:dyDescent="0.3">
      <c r="A94" s="325">
        <v>150000569</v>
      </c>
      <c r="B94" s="41" t="s">
        <v>543</v>
      </c>
      <c r="C94" s="42" t="s">
        <v>73</v>
      </c>
      <c r="D94" s="42" t="s">
        <v>73</v>
      </c>
      <c r="E94" s="293">
        <v>245.6</v>
      </c>
      <c r="F94" s="305">
        <v>245.6</v>
      </c>
      <c r="G94" s="51"/>
      <c r="H94" s="651">
        <v>0</v>
      </c>
      <c r="I94" s="73">
        <v>0</v>
      </c>
      <c r="J94" s="40">
        <v>0</v>
      </c>
      <c r="K94" s="52">
        <v>0</v>
      </c>
      <c r="L94" s="73">
        <v>0</v>
      </c>
      <c r="M94" s="40">
        <v>0</v>
      </c>
      <c r="N94" s="52">
        <v>0</v>
      </c>
      <c r="O94" s="73">
        <v>0</v>
      </c>
      <c r="P94" s="40">
        <v>0</v>
      </c>
      <c r="Q94" s="52">
        <v>0</v>
      </c>
      <c r="R94" s="73">
        <v>0</v>
      </c>
      <c r="S94" s="40">
        <v>0</v>
      </c>
      <c r="T94" s="52">
        <v>0</v>
      </c>
      <c r="U94" s="73">
        <v>0</v>
      </c>
      <c r="V94" s="40">
        <v>0</v>
      </c>
      <c r="W94" s="52">
        <v>0</v>
      </c>
      <c r="X94" s="73">
        <v>0</v>
      </c>
      <c r="Y94" s="40">
        <v>0</v>
      </c>
      <c r="Z94" s="52">
        <v>0</v>
      </c>
      <c r="AA94" s="73">
        <v>18.952000000000002</v>
      </c>
      <c r="AB94" s="40">
        <v>0</v>
      </c>
      <c r="AC94" s="52">
        <v>-18.952000000000002</v>
      </c>
      <c r="AD94" s="73">
        <v>151.69679333756829</v>
      </c>
      <c r="AE94" s="40">
        <v>221.36054318988357</v>
      </c>
      <c r="AF94" s="35">
        <v>69.663749852315277</v>
      </c>
      <c r="AG94" s="77">
        <v>170.64879333756829</v>
      </c>
      <c r="AH94" s="53">
        <v>221.36054318988357</v>
      </c>
      <c r="AI94" s="52">
        <v>50.711749852315279</v>
      </c>
      <c r="AJ94" s="73">
        <v>0</v>
      </c>
      <c r="AK94" s="40">
        <v>0</v>
      </c>
      <c r="AL94" s="52">
        <v>0</v>
      </c>
      <c r="AM94" s="73">
        <v>0</v>
      </c>
      <c r="AN94" s="40">
        <v>0</v>
      </c>
      <c r="AO94" s="52">
        <v>0</v>
      </c>
      <c r="AP94" s="73">
        <v>81.944958333333332</v>
      </c>
      <c r="AQ94" s="40">
        <v>0</v>
      </c>
      <c r="AR94" s="52">
        <v>-81.944958333333332</v>
      </c>
      <c r="AS94" s="73">
        <v>324.32535977238024</v>
      </c>
      <c r="AT94" s="40">
        <v>0</v>
      </c>
      <c r="AU94" s="54">
        <v>-324.32535977238024</v>
      </c>
      <c r="AV94" s="73">
        <v>0</v>
      </c>
      <c r="AW94" s="40">
        <v>0</v>
      </c>
      <c r="AX94" s="55">
        <v>0</v>
      </c>
      <c r="AY94" s="73">
        <v>0</v>
      </c>
      <c r="AZ94" s="40">
        <v>0</v>
      </c>
      <c r="BA94" s="35">
        <v>0</v>
      </c>
      <c r="BB94" s="73">
        <v>0</v>
      </c>
      <c r="BC94" s="40">
        <v>0</v>
      </c>
      <c r="BD94" s="55">
        <v>0</v>
      </c>
      <c r="BE94" s="73">
        <v>0</v>
      </c>
      <c r="BF94" s="40">
        <v>0</v>
      </c>
      <c r="BG94" s="38">
        <v>0</v>
      </c>
      <c r="BH94" s="73">
        <v>0</v>
      </c>
      <c r="BI94" s="40">
        <v>0</v>
      </c>
      <c r="BJ94" s="55">
        <v>0</v>
      </c>
      <c r="BK94" s="73">
        <v>0</v>
      </c>
      <c r="BL94" s="40">
        <v>0</v>
      </c>
      <c r="BM94" s="38">
        <v>0</v>
      </c>
      <c r="BN94" s="73">
        <v>5.660324037411816</v>
      </c>
      <c r="BO94" s="40">
        <v>0</v>
      </c>
      <c r="BP94" s="55">
        <v>-5.660324037411816</v>
      </c>
      <c r="BQ94" s="77">
        <v>5.660324037411816</v>
      </c>
      <c r="BR94" s="40">
        <v>0</v>
      </c>
      <c r="BS94" s="55">
        <v>-5.660324037411816</v>
      </c>
      <c r="BT94" s="73">
        <v>0</v>
      </c>
      <c r="BU94" s="40">
        <v>0</v>
      </c>
      <c r="BV94" s="52">
        <v>0</v>
      </c>
      <c r="BW94" s="73">
        <v>0</v>
      </c>
      <c r="BX94" s="40">
        <v>0.9118689631651935</v>
      </c>
      <c r="BY94" s="52">
        <v>0.9118689631651935</v>
      </c>
      <c r="BZ94" s="73">
        <v>0</v>
      </c>
      <c r="CA94" s="40">
        <v>0</v>
      </c>
      <c r="CB94" s="52">
        <v>0</v>
      </c>
      <c r="CC94" s="73">
        <v>0</v>
      </c>
      <c r="CD94" s="40">
        <v>0</v>
      </c>
      <c r="CE94" s="52">
        <v>0</v>
      </c>
      <c r="CF94" s="73">
        <v>0</v>
      </c>
      <c r="CG94" s="40">
        <v>0</v>
      </c>
      <c r="CH94" s="52">
        <v>0</v>
      </c>
      <c r="CI94" s="73">
        <v>0</v>
      </c>
      <c r="CJ94" s="40">
        <v>0</v>
      </c>
      <c r="CK94" s="52">
        <v>0</v>
      </c>
      <c r="CL94" s="73">
        <v>0</v>
      </c>
      <c r="CM94" s="40">
        <v>0</v>
      </c>
      <c r="CN94" s="52">
        <v>0</v>
      </c>
      <c r="CO94" s="39">
        <v>0</v>
      </c>
      <c r="CP94" s="40">
        <v>0</v>
      </c>
      <c r="CQ94" s="52">
        <v>0</v>
      </c>
      <c r="CR94" s="72">
        <v>582.57943548069363</v>
      </c>
      <c r="CS94" s="5">
        <v>222.27241215304878</v>
      </c>
      <c r="CT94" s="52">
        <v>-360.30702332764486</v>
      </c>
      <c r="CU94" s="77">
        <v>699.09532257683236</v>
      </c>
      <c r="CV94" s="65">
        <v>266.72689458365852</v>
      </c>
      <c r="CW94" s="35">
        <v>-432.36842799317384</v>
      </c>
      <c r="CX94" s="73">
        <v>39.03261056655905</v>
      </c>
      <c r="CY94" s="40">
        <v>471.40103855973285</v>
      </c>
      <c r="CZ94" s="52">
        <v>432.36842799317378</v>
      </c>
      <c r="DA94" s="150">
        <v>2566.7589407036889</v>
      </c>
      <c r="DB94" s="2">
        <v>1</v>
      </c>
      <c r="DC94" s="648">
        <v>1494.2</v>
      </c>
      <c r="DD94" s="648"/>
      <c r="DE94" s="649">
        <v>756.07206685660867</v>
      </c>
      <c r="DG94" s="321">
        <v>1855.5859891862092</v>
      </c>
      <c r="DH94" s="5">
        <v>8857.5351977206956</v>
      </c>
      <c r="DI94" s="306">
        <v>1.5492825848579019</v>
      </c>
      <c r="DJ94" s="306"/>
      <c r="DK94" s="306"/>
      <c r="DL94" s="28">
        <v>380.50380284110071</v>
      </c>
      <c r="DM94" s="28">
        <v>0</v>
      </c>
      <c r="DN94" s="650">
        <v>380.5</v>
      </c>
      <c r="DO94" s="94">
        <v>3.8028411007076102E-3</v>
      </c>
      <c r="DP94" s="28">
        <v>380.50380284110071</v>
      </c>
      <c r="DQ94" s="318">
        <v>13.478758488263736</v>
      </c>
      <c r="DS94" s="8">
        <v>349.54766128841618</v>
      </c>
      <c r="DT94" s="5">
        <v>17.47738306442081</v>
      </c>
      <c r="DW94" s="5">
        <v>395.98282057175049</v>
      </c>
      <c r="DX94" s="5">
        <v>0</v>
      </c>
    </row>
    <row r="95" spans="1:128" x14ac:dyDescent="0.3">
      <c r="A95" s="325">
        <v>150000562</v>
      </c>
      <c r="B95" s="41" t="s">
        <v>544</v>
      </c>
      <c r="C95" s="42" t="s">
        <v>74</v>
      </c>
      <c r="D95" s="42" t="s">
        <v>74</v>
      </c>
      <c r="E95" s="293">
        <v>325.08</v>
      </c>
      <c r="F95" s="305">
        <v>266.68</v>
      </c>
      <c r="G95" s="51"/>
      <c r="H95" s="651">
        <v>58.4</v>
      </c>
      <c r="I95" s="73">
        <v>0</v>
      </c>
      <c r="J95" s="40">
        <v>0</v>
      </c>
      <c r="K95" s="52">
        <v>0</v>
      </c>
      <c r="L95" s="73">
        <v>0</v>
      </c>
      <c r="M95" s="40">
        <v>0</v>
      </c>
      <c r="N95" s="52">
        <v>0</v>
      </c>
      <c r="O95" s="73">
        <v>0</v>
      </c>
      <c r="P95" s="40">
        <v>0</v>
      </c>
      <c r="Q95" s="52">
        <v>0</v>
      </c>
      <c r="R95" s="73">
        <v>0</v>
      </c>
      <c r="S95" s="40">
        <v>0</v>
      </c>
      <c r="T95" s="52">
        <v>0</v>
      </c>
      <c r="U95" s="73">
        <v>0</v>
      </c>
      <c r="V95" s="40">
        <v>0</v>
      </c>
      <c r="W95" s="52">
        <v>0</v>
      </c>
      <c r="X95" s="73">
        <v>0</v>
      </c>
      <c r="Y95" s="40">
        <v>0</v>
      </c>
      <c r="Z95" s="52">
        <v>0</v>
      </c>
      <c r="AA95" s="73">
        <v>19.735199999999999</v>
      </c>
      <c r="AB95" s="40">
        <v>0</v>
      </c>
      <c r="AC95" s="52">
        <v>-19.735199999999999</v>
      </c>
      <c r="AD95" s="73">
        <v>157.96908271577965</v>
      </c>
      <c r="AE95" s="40">
        <v>292.99627597788015</v>
      </c>
      <c r="AF95" s="35">
        <v>135.0271932621005</v>
      </c>
      <c r="AG95" s="77">
        <v>177.70428271577964</v>
      </c>
      <c r="AH95" s="53">
        <v>292.99627597788015</v>
      </c>
      <c r="AI95" s="52">
        <v>115.2919932621005</v>
      </c>
      <c r="AJ95" s="73">
        <v>0</v>
      </c>
      <c r="AK95" s="40">
        <v>0</v>
      </c>
      <c r="AL95" s="52">
        <v>0</v>
      </c>
      <c r="AM95" s="73">
        <v>0</v>
      </c>
      <c r="AN95" s="40">
        <v>0</v>
      </c>
      <c r="AO95" s="52">
        <v>0</v>
      </c>
      <c r="AP95" s="73">
        <v>107.15879166666664</v>
      </c>
      <c r="AQ95" s="40">
        <v>0</v>
      </c>
      <c r="AR95" s="52">
        <v>-107.15879166666664</v>
      </c>
      <c r="AS95" s="73">
        <v>269.4162988686478</v>
      </c>
      <c r="AT95" s="40">
        <v>1839</v>
      </c>
      <c r="AU95" s="54">
        <v>1569.5837011313522</v>
      </c>
      <c r="AV95" s="73">
        <v>0</v>
      </c>
      <c r="AW95" s="40">
        <v>0</v>
      </c>
      <c r="AX95" s="55">
        <v>0</v>
      </c>
      <c r="AY95" s="73">
        <v>0</v>
      </c>
      <c r="AZ95" s="40">
        <v>0</v>
      </c>
      <c r="BA95" s="35">
        <v>0</v>
      </c>
      <c r="BB95" s="73">
        <v>0</v>
      </c>
      <c r="BC95" s="40">
        <v>0</v>
      </c>
      <c r="BD95" s="55">
        <v>0</v>
      </c>
      <c r="BE95" s="73">
        <v>0</v>
      </c>
      <c r="BF95" s="40">
        <v>0</v>
      </c>
      <c r="BG95" s="38">
        <v>0</v>
      </c>
      <c r="BH95" s="73">
        <v>0</v>
      </c>
      <c r="BI95" s="40">
        <v>0</v>
      </c>
      <c r="BJ95" s="55">
        <v>0</v>
      </c>
      <c r="BK95" s="73">
        <v>0</v>
      </c>
      <c r="BL95" s="40">
        <v>0</v>
      </c>
      <c r="BM95" s="38">
        <v>0</v>
      </c>
      <c r="BN95" s="73">
        <v>7.9742590207195052</v>
      </c>
      <c r="BO95" s="40">
        <v>0</v>
      </c>
      <c r="BP95" s="55">
        <v>-7.9742590207195052</v>
      </c>
      <c r="BQ95" s="77">
        <v>7.9742590207195052</v>
      </c>
      <c r="BR95" s="40">
        <v>0</v>
      </c>
      <c r="BS95" s="55">
        <v>-7.9742590207195052</v>
      </c>
      <c r="BT95" s="73">
        <v>0</v>
      </c>
      <c r="BU95" s="40">
        <v>0</v>
      </c>
      <c r="BV95" s="52">
        <v>0</v>
      </c>
      <c r="BW95" s="73">
        <v>0</v>
      </c>
      <c r="BX95" s="40">
        <v>1.2069640168800533</v>
      </c>
      <c r="BY95" s="52">
        <v>1.2069640168800533</v>
      </c>
      <c r="BZ95" s="73">
        <v>0</v>
      </c>
      <c r="CA95" s="40">
        <v>0</v>
      </c>
      <c r="CB95" s="52">
        <v>0</v>
      </c>
      <c r="CC95" s="73">
        <v>0</v>
      </c>
      <c r="CD95" s="40">
        <v>0</v>
      </c>
      <c r="CE95" s="52">
        <v>0</v>
      </c>
      <c r="CF95" s="73">
        <v>0</v>
      </c>
      <c r="CG95" s="40">
        <v>0</v>
      </c>
      <c r="CH95" s="52">
        <v>0</v>
      </c>
      <c r="CI95" s="73">
        <v>0</v>
      </c>
      <c r="CJ95" s="40">
        <v>0</v>
      </c>
      <c r="CK95" s="52">
        <v>0</v>
      </c>
      <c r="CL95" s="73">
        <v>0</v>
      </c>
      <c r="CM95" s="40">
        <v>0</v>
      </c>
      <c r="CN95" s="52">
        <v>0</v>
      </c>
      <c r="CO95" s="39">
        <v>0</v>
      </c>
      <c r="CP95" s="40">
        <v>0</v>
      </c>
      <c r="CQ95" s="52">
        <v>0</v>
      </c>
      <c r="CR95" s="72">
        <v>562.25363227181356</v>
      </c>
      <c r="CS95" s="5">
        <v>2133.2032399947602</v>
      </c>
      <c r="CT95" s="52">
        <v>1570.9496077229467</v>
      </c>
      <c r="CU95" s="77">
        <v>674.70435872617622</v>
      </c>
      <c r="CV95" s="65">
        <v>2559.8438879937121</v>
      </c>
      <c r="CW95" s="35">
        <v>1885.1395292675359</v>
      </c>
      <c r="CX95" s="73">
        <v>37.670789134516717</v>
      </c>
      <c r="CY95" s="40">
        <v>-1847.4687401330193</v>
      </c>
      <c r="CZ95" s="52">
        <v>-1885.1395292675361</v>
      </c>
      <c r="DA95" s="150">
        <v>-886.53261963075465</v>
      </c>
      <c r="DB95" s="2">
        <v>1</v>
      </c>
      <c r="DC95" s="648">
        <v>2047.84</v>
      </c>
      <c r="DD95" s="648">
        <v>251.58</v>
      </c>
      <c r="DE95" s="649">
        <v>1587.0448521393073</v>
      </c>
      <c r="DG95" s="321">
        <v>-4284.6208840441459</v>
      </c>
      <c r="DH95" s="5">
        <v>8548.5017743283152</v>
      </c>
      <c r="DI95" s="306">
        <v>1.4358903414457114</v>
      </c>
      <c r="DJ95" s="306"/>
      <c r="DK95" s="306"/>
      <c r="DL95" s="28">
        <v>382.92323625674231</v>
      </c>
      <c r="DM95" s="28">
        <v>83.86</v>
      </c>
      <c r="DN95" s="650">
        <v>382.92</v>
      </c>
      <c r="DO95" s="94">
        <v>3.2362567422978827E-3</v>
      </c>
      <c r="DP95" s="28">
        <v>466.78323625674233</v>
      </c>
      <c r="DQ95" s="318">
        <v>112.56344792549982</v>
      </c>
      <c r="DS95" s="8">
        <v>337.35217936308811</v>
      </c>
      <c r="DT95" s="5">
        <v>16.867608968154407</v>
      </c>
      <c r="DW95" s="5">
        <v>332.86866946724075</v>
      </c>
      <c r="DX95" s="5">
        <v>2206.7999999999997</v>
      </c>
    </row>
    <row r="96" spans="1:128" x14ac:dyDescent="0.3">
      <c r="A96" s="325">
        <v>150000570</v>
      </c>
      <c r="B96" s="41" t="s">
        <v>545</v>
      </c>
      <c r="C96" s="42" t="s">
        <v>75</v>
      </c>
      <c r="D96" s="42" t="s">
        <v>75</v>
      </c>
      <c r="E96" s="293">
        <v>282.8</v>
      </c>
      <c r="F96" s="305">
        <v>282.8</v>
      </c>
      <c r="G96" s="51"/>
      <c r="H96" s="651">
        <v>0</v>
      </c>
      <c r="I96" s="73">
        <v>0</v>
      </c>
      <c r="J96" s="40">
        <v>0</v>
      </c>
      <c r="K96" s="52">
        <v>0</v>
      </c>
      <c r="L96" s="73">
        <v>0</v>
      </c>
      <c r="M96" s="40">
        <v>0</v>
      </c>
      <c r="N96" s="52">
        <v>0</v>
      </c>
      <c r="O96" s="73">
        <v>0</v>
      </c>
      <c r="P96" s="40">
        <v>0</v>
      </c>
      <c r="Q96" s="52">
        <v>0</v>
      </c>
      <c r="R96" s="73">
        <v>0</v>
      </c>
      <c r="S96" s="40">
        <v>0</v>
      </c>
      <c r="T96" s="52">
        <v>0</v>
      </c>
      <c r="U96" s="73">
        <v>0</v>
      </c>
      <c r="V96" s="40">
        <v>0</v>
      </c>
      <c r="W96" s="52">
        <v>0</v>
      </c>
      <c r="X96" s="73">
        <v>0</v>
      </c>
      <c r="Y96" s="40">
        <v>0</v>
      </c>
      <c r="Z96" s="52">
        <v>0</v>
      </c>
      <c r="AA96" s="73">
        <v>19.400000000000002</v>
      </c>
      <c r="AB96" s="40">
        <v>0</v>
      </c>
      <c r="AC96" s="52">
        <v>-19.400000000000002</v>
      </c>
      <c r="AD96" s="73">
        <v>155.31708530021984</v>
      </c>
      <c r="AE96" s="40">
        <v>254.88909451994743</v>
      </c>
      <c r="AF96" s="35">
        <v>99.57200921972759</v>
      </c>
      <c r="AG96" s="77">
        <v>174.71708530021985</v>
      </c>
      <c r="AH96" s="53">
        <v>254.88909451994743</v>
      </c>
      <c r="AI96" s="52">
        <v>80.172009219727585</v>
      </c>
      <c r="AJ96" s="73">
        <v>0</v>
      </c>
      <c r="AK96" s="40">
        <v>0</v>
      </c>
      <c r="AL96" s="52">
        <v>0</v>
      </c>
      <c r="AM96" s="73">
        <v>0</v>
      </c>
      <c r="AN96" s="40">
        <v>0</v>
      </c>
      <c r="AO96" s="52">
        <v>0</v>
      </c>
      <c r="AP96" s="73">
        <v>63.034583333333323</v>
      </c>
      <c r="AQ96" s="40">
        <v>0</v>
      </c>
      <c r="AR96" s="52">
        <v>-63.034583333333323</v>
      </c>
      <c r="AS96" s="73">
        <v>269.80210753270359</v>
      </c>
      <c r="AT96" s="40">
        <v>0</v>
      </c>
      <c r="AU96" s="54">
        <v>-269.80210753270359</v>
      </c>
      <c r="AV96" s="73">
        <v>0</v>
      </c>
      <c r="AW96" s="40">
        <v>0</v>
      </c>
      <c r="AX96" s="55">
        <v>0</v>
      </c>
      <c r="AY96" s="73">
        <v>0</v>
      </c>
      <c r="AZ96" s="40">
        <v>0</v>
      </c>
      <c r="BA96" s="35">
        <v>0</v>
      </c>
      <c r="BB96" s="73">
        <v>0</v>
      </c>
      <c r="BC96" s="40">
        <v>0</v>
      </c>
      <c r="BD96" s="55">
        <v>0</v>
      </c>
      <c r="BE96" s="73">
        <v>0</v>
      </c>
      <c r="BF96" s="40">
        <v>0</v>
      </c>
      <c r="BG96" s="38">
        <v>0</v>
      </c>
      <c r="BH96" s="73">
        <v>0</v>
      </c>
      <c r="BI96" s="40">
        <v>0</v>
      </c>
      <c r="BJ96" s="55">
        <v>0</v>
      </c>
      <c r="BK96" s="73">
        <v>0</v>
      </c>
      <c r="BL96" s="40">
        <v>0</v>
      </c>
      <c r="BM96" s="38">
        <v>0</v>
      </c>
      <c r="BN96" s="73">
        <v>6.7352171174834572</v>
      </c>
      <c r="BO96" s="40">
        <v>0</v>
      </c>
      <c r="BP96" s="55">
        <v>-6.7352171174834572</v>
      </c>
      <c r="BQ96" s="77">
        <v>6.7352171174834572</v>
      </c>
      <c r="BR96" s="40">
        <v>0</v>
      </c>
      <c r="BS96" s="55">
        <v>-6.7352171174834572</v>
      </c>
      <c r="BT96" s="73">
        <v>0</v>
      </c>
      <c r="BU96" s="40">
        <v>0</v>
      </c>
      <c r="BV96" s="52">
        <v>0</v>
      </c>
      <c r="BW96" s="73">
        <v>0</v>
      </c>
      <c r="BX96" s="40">
        <v>1.0499859233840259</v>
      </c>
      <c r="BY96" s="52">
        <v>1.0499859233840259</v>
      </c>
      <c r="BZ96" s="73">
        <v>0</v>
      </c>
      <c r="CA96" s="40">
        <v>0</v>
      </c>
      <c r="CB96" s="52">
        <v>0</v>
      </c>
      <c r="CC96" s="73">
        <v>0</v>
      </c>
      <c r="CD96" s="40">
        <v>0</v>
      </c>
      <c r="CE96" s="52">
        <v>0</v>
      </c>
      <c r="CF96" s="73">
        <v>0</v>
      </c>
      <c r="CG96" s="40">
        <v>0</v>
      </c>
      <c r="CH96" s="52">
        <v>0</v>
      </c>
      <c r="CI96" s="73">
        <v>0</v>
      </c>
      <c r="CJ96" s="40">
        <v>0</v>
      </c>
      <c r="CK96" s="52">
        <v>0</v>
      </c>
      <c r="CL96" s="73">
        <v>0</v>
      </c>
      <c r="CM96" s="40">
        <v>0</v>
      </c>
      <c r="CN96" s="52">
        <v>0</v>
      </c>
      <c r="CO96" s="39">
        <v>0</v>
      </c>
      <c r="CP96" s="40">
        <v>0</v>
      </c>
      <c r="CQ96" s="52">
        <v>0</v>
      </c>
      <c r="CR96" s="72">
        <v>514.28899328374018</v>
      </c>
      <c r="CS96" s="5">
        <v>255.93908044333145</v>
      </c>
      <c r="CT96" s="52">
        <v>-258.34991284040871</v>
      </c>
      <c r="CU96" s="77">
        <v>617.14679194048824</v>
      </c>
      <c r="CV96" s="65">
        <v>307.12689653199772</v>
      </c>
      <c r="CW96" s="35">
        <v>-310.01989540849053</v>
      </c>
      <c r="CX96" s="73">
        <v>34.457175744537892</v>
      </c>
      <c r="CY96" s="40">
        <v>344.47707115302848</v>
      </c>
      <c r="CZ96" s="52">
        <v>310.01989540849058</v>
      </c>
      <c r="DA96" s="150">
        <v>-3260.2817710510094</v>
      </c>
      <c r="DB96" s="2">
        <v>1</v>
      </c>
      <c r="DC96" s="648">
        <v>412.59</v>
      </c>
      <c r="DD96" s="648"/>
      <c r="DE96" s="649">
        <v>-239.01396768502622</v>
      </c>
      <c r="DG96" s="321">
        <v>-4806.1570024641051</v>
      </c>
      <c r="DH96" s="5">
        <v>7819.2476122203143</v>
      </c>
      <c r="DI96" s="306">
        <v>1.3360909928608509</v>
      </c>
      <c r="DJ96" s="306"/>
      <c r="DK96" s="306"/>
      <c r="DL96" s="28">
        <v>377.84653278104867</v>
      </c>
      <c r="DM96" s="28">
        <v>0</v>
      </c>
      <c r="DN96" s="650">
        <v>377.85</v>
      </c>
      <c r="DO96" s="94">
        <v>-3.4672189513571539E-3</v>
      </c>
      <c r="DP96" s="28">
        <v>377.84653278104867</v>
      </c>
      <c r="DQ96" s="318">
        <v>53.844467012292341</v>
      </c>
      <c r="DS96" s="8">
        <v>308.57339597024412</v>
      </c>
      <c r="DT96" s="5">
        <v>15.428669798512207</v>
      </c>
      <c r="DW96" s="5">
        <v>331.84478958022441</v>
      </c>
      <c r="DX96" s="5">
        <v>0</v>
      </c>
    </row>
    <row r="97" spans="1:128" x14ac:dyDescent="0.3">
      <c r="A97" s="325">
        <v>150000572</v>
      </c>
      <c r="B97" s="41" t="s">
        <v>546</v>
      </c>
      <c r="C97" s="42" t="s">
        <v>153</v>
      </c>
      <c r="D97" s="42" t="s">
        <v>153</v>
      </c>
      <c r="E97" s="293">
        <v>171.6</v>
      </c>
      <c r="F97" s="305">
        <v>171.6</v>
      </c>
      <c r="G97" s="51"/>
      <c r="H97" s="651">
        <v>0</v>
      </c>
      <c r="I97" s="73">
        <v>151.0206410437695</v>
      </c>
      <c r="J97" s="40">
        <v>167.94480627281735</v>
      </c>
      <c r="K97" s="52">
        <v>16.924165229047844</v>
      </c>
      <c r="L97" s="73">
        <v>31.49558969128104</v>
      </c>
      <c r="M97" s="40">
        <v>36.194016351757611</v>
      </c>
      <c r="N97" s="52">
        <v>4.6984266604765708</v>
      </c>
      <c r="O97" s="73">
        <v>0</v>
      </c>
      <c r="P97" s="40">
        <v>0</v>
      </c>
      <c r="Q97" s="52">
        <v>0</v>
      </c>
      <c r="R97" s="73">
        <v>0</v>
      </c>
      <c r="S97" s="40">
        <v>0</v>
      </c>
      <c r="T97" s="52">
        <v>0</v>
      </c>
      <c r="U97" s="73">
        <v>0</v>
      </c>
      <c r="V97" s="40">
        <v>0</v>
      </c>
      <c r="W97" s="52">
        <v>0</v>
      </c>
      <c r="X97" s="73">
        <v>3.2140112265516616</v>
      </c>
      <c r="Y97" s="40">
        <v>3.7610027781762825</v>
      </c>
      <c r="Z97" s="52">
        <v>0.54699155162462088</v>
      </c>
      <c r="AA97" s="73">
        <v>13.728</v>
      </c>
      <c r="AB97" s="40">
        <v>0</v>
      </c>
      <c r="AC97" s="52">
        <v>-13.728</v>
      </c>
      <c r="AD97" s="73">
        <v>109.88268415897967</v>
      </c>
      <c r="AE97" s="40">
        <v>154.66396258706851</v>
      </c>
      <c r="AF97" s="35">
        <v>44.781278428088839</v>
      </c>
      <c r="AG97" s="77">
        <v>309.34092612058191</v>
      </c>
      <c r="AH97" s="53">
        <v>362.56378798981973</v>
      </c>
      <c r="AI97" s="52">
        <v>53.222861869237818</v>
      </c>
      <c r="AJ97" s="73">
        <v>0</v>
      </c>
      <c r="AK97" s="40">
        <v>0</v>
      </c>
      <c r="AL97" s="52">
        <v>0</v>
      </c>
      <c r="AM97" s="73">
        <v>0</v>
      </c>
      <c r="AN97" s="40">
        <v>0</v>
      </c>
      <c r="AO97" s="52">
        <v>0</v>
      </c>
      <c r="AP97" s="73">
        <v>63.034583333333323</v>
      </c>
      <c r="AQ97" s="40">
        <v>0</v>
      </c>
      <c r="AR97" s="52">
        <v>-63.034583333333323</v>
      </c>
      <c r="AS97" s="73">
        <v>297.44606558248086</v>
      </c>
      <c r="AT97" s="40">
        <v>0</v>
      </c>
      <c r="AU97" s="54">
        <v>-297.44606558248086</v>
      </c>
      <c r="AV97" s="73">
        <v>81.547458052689294</v>
      </c>
      <c r="AW97" s="40">
        <v>0</v>
      </c>
      <c r="AX97" s="55">
        <v>-81.547458052689294</v>
      </c>
      <c r="AY97" s="73">
        <v>87.140406754757294</v>
      </c>
      <c r="AZ97" s="40">
        <v>0</v>
      </c>
      <c r="BA97" s="35">
        <v>-87.140406754757294</v>
      </c>
      <c r="BB97" s="73">
        <v>0</v>
      </c>
      <c r="BC97" s="40">
        <v>0</v>
      </c>
      <c r="BD97" s="55">
        <v>0</v>
      </c>
      <c r="BE97" s="73">
        <v>0</v>
      </c>
      <c r="BF97" s="40">
        <v>0</v>
      </c>
      <c r="BG97" s="38">
        <v>0</v>
      </c>
      <c r="BH97" s="73">
        <v>0</v>
      </c>
      <c r="BI97" s="40">
        <v>0</v>
      </c>
      <c r="BJ97" s="55">
        <v>0</v>
      </c>
      <c r="BK97" s="73">
        <v>0</v>
      </c>
      <c r="BL97" s="40">
        <v>0</v>
      </c>
      <c r="BM97" s="38">
        <v>0</v>
      </c>
      <c r="BN97" s="73">
        <v>6.9417443134978658</v>
      </c>
      <c r="BO97" s="40">
        <v>0</v>
      </c>
      <c r="BP97" s="55">
        <v>-6.9417443134978658</v>
      </c>
      <c r="BQ97" s="77">
        <v>175.62960912094448</v>
      </c>
      <c r="BR97" s="40">
        <v>0</v>
      </c>
      <c r="BS97" s="55">
        <v>-175.62960912094448</v>
      </c>
      <c r="BT97" s="73">
        <v>0</v>
      </c>
      <c r="BU97" s="40">
        <v>0</v>
      </c>
      <c r="BV97" s="52">
        <v>0</v>
      </c>
      <c r="BW97" s="73">
        <v>0</v>
      </c>
      <c r="BX97" s="40">
        <v>0.63712017133203258</v>
      </c>
      <c r="BY97" s="52">
        <v>0.63712017133203258</v>
      </c>
      <c r="BZ97" s="73">
        <v>0</v>
      </c>
      <c r="CA97" s="40">
        <v>0</v>
      </c>
      <c r="CB97" s="52">
        <v>0</v>
      </c>
      <c r="CC97" s="73">
        <v>0</v>
      </c>
      <c r="CD97" s="40">
        <v>0</v>
      </c>
      <c r="CE97" s="52">
        <v>0</v>
      </c>
      <c r="CF97" s="73">
        <v>0</v>
      </c>
      <c r="CG97" s="40">
        <v>0</v>
      </c>
      <c r="CH97" s="52">
        <v>0</v>
      </c>
      <c r="CI97" s="73">
        <v>0</v>
      </c>
      <c r="CJ97" s="40">
        <v>0</v>
      </c>
      <c r="CK97" s="52">
        <v>0</v>
      </c>
      <c r="CL97" s="73">
        <v>0</v>
      </c>
      <c r="CM97" s="40">
        <v>0</v>
      </c>
      <c r="CN97" s="52">
        <v>0</v>
      </c>
      <c r="CO97" s="39">
        <v>0</v>
      </c>
      <c r="CP97" s="40">
        <v>0</v>
      </c>
      <c r="CQ97" s="52">
        <v>0</v>
      </c>
      <c r="CR97" s="72">
        <v>845.45118415734055</v>
      </c>
      <c r="CS97" s="5">
        <v>363.20090816115174</v>
      </c>
      <c r="CT97" s="52">
        <v>-482.2502759961888</v>
      </c>
      <c r="CU97" s="77">
        <v>1014.5414209888086</v>
      </c>
      <c r="CV97" s="65">
        <v>435.84108979338208</v>
      </c>
      <c r="CW97" s="35">
        <v>-578.70033119542654</v>
      </c>
      <c r="CX97" s="73">
        <v>56.644922244845141</v>
      </c>
      <c r="CY97" s="40">
        <v>635.34525344027179</v>
      </c>
      <c r="CZ97" s="52">
        <v>578.70033119542666</v>
      </c>
      <c r="DA97" s="150">
        <v>-5772.0291892407686</v>
      </c>
      <c r="DB97" s="2">
        <v>1</v>
      </c>
      <c r="DC97" s="648">
        <v>4447.12</v>
      </c>
      <c r="DD97" s="648"/>
      <c r="DE97" s="649">
        <v>3375.9336567663458</v>
      </c>
      <c r="DG97" s="321">
        <v>-9098.1943295403707</v>
      </c>
      <c r="DH97" s="5">
        <v>12854.236118803845</v>
      </c>
      <c r="DI97" s="306">
        <v>3.1039291726056204</v>
      </c>
      <c r="DJ97" s="306"/>
      <c r="DK97" s="306"/>
      <c r="DL97" s="28">
        <v>532.63424601912448</v>
      </c>
      <c r="DM97" s="28">
        <v>0</v>
      </c>
      <c r="DN97" s="650">
        <v>532.63</v>
      </c>
      <c r="DO97" s="94">
        <v>4.2460191244799717E-3</v>
      </c>
      <c r="DP97" s="28">
        <v>532.63424601912448</v>
      </c>
      <c r="DQ97" s="318">
        <v>0</v>
      </c>
      <c r="DS97" s="8">
        <v>507.27071049440428</v>
      </c>
      <c r="DT97" s="5">
        <v>25.36353552472022</v>
      </c>
      <c r="DW97" s="5">
        <v>567.69080964411035</v>
      </c>
      <c r="DX97" s="5">
        <v>0</v>
      </c>
    </row>
    <row r="98" spans="1:128" x14ac:dyDescent="0.3">
      <c r="A98" s="325">
        <v>150000573</v>
      </c>
      <c r="B98" s="41" t="s">
        <v>547</v>
      </c>
      <c r="C98" s="42" t="s">
        <v>76</v>
      </c>
      <c r="D98" s="42" t="s">
        <v>76</v>
      </c>
      <c r="E98" s="293">
        <v>151.6</v>
      </c>
      <c r="F98" s="305">
        <v>151.6</v>
      </c>
      <c r="G98" s="51"/>
      <c r="H98" s="651">
        <v>0</v>
      </c>
      <c r="I98" s="73">
        <v>0</v>
      </c>
      <c r="J98" s="40">
        <v>0</v>
      </c>
      <c r="K98" s="52">
        <v>0</v>
      </c>
      <c r="L98" s="73">
        <v>0</v>
      </c>
      <c r="M98" s="40">
        <v>0</v>
      </c>
      <c r="N98" s="52">
        <v>0</v>
      </c>
      <c r="O98" s="73">
        <v>0</v>
      </c>
      <c r="P98" s="40">
        <v>0</v>
      </c>
      <c r="Q98" s="52">
        <v>0</v>
      </c>
      <c r="R98" s="73">
        <v>0</v>
      </c>
      <c r="S98" s="40">
        <v>0</v>
      </c>
      <c r="T98" s="52">
        <v>0</v>
      </c>
      <c r="U98" s="73">
        <v>0</v>
      </c>
      <c r="V98" s="40">
        <v>0</v>
      </c>
      <c r="W98" s="52">
        <v>0</v>
      </c>
      <c r="X98" s="73">
        <v>0</v>
      </c>
      <c r="Y98" s="40">
        <v>0</v>
      </c>
      <c r="Z98" s="52">
        <v>0</v>
      </c>
      <c r="AA98" s="73">
        <v>12.128</v>
      </c>
      <c r="AB98" s="40">
        <v>0</v>
      </c>
      <c r="AC98" s="52">
        <v>-12.128</v>
      </c>
      <c r="AD98" s="73">
        <v>97.098367284995575</v>
      </c>
      <c r="AE98" s="40">
        <v>136.63785972144279</v>
      </c>
      <c r="AF98" s="35">
        <v>39.539492436447219</v>
      </c>
      <c r="AG98" s="77">
        <v>109.22636728499558</v>
      </c>
      <c r="AH98" s="53">
        <v>136.63785972144279</v>
      </c>
      <c r="AI98" s="52">
        <v>27.411492436447219</v>
      </c>
      <c r="AJ98" s="73">
        <v>0</v>
      </c>
      <c r="AK98" s="40">
        <v>0</v>
      </c>
      <c r="AL98" s="52">
        <v>0</v>
      </c>
      <c r="AM98" s="73">
        <v>0</v>
      </c>
      <c r="AN98" s="40">
        <v>0</v>
      </c>
      <c r="AO98" s="52">
        <v>0</v>
      </c>
      <c r="AP98" s="73">
        <v>37.820749999999997</v>
      </c>
      <c r="AQ98" s="40">
        <v>0</v>
      </c>
      <c r="AR98" s="52">
        <v>-37.820749999999997</v>
      </c>
      <c r="AS98" s="73">
        <v>159.63395230884544</v>
      </c>
      <c r="AT98" s="40">
        <v>0</v>
      </c>
      <c r="AU98" s="54">
        <v>-159.63395230884544</v>
      </c>
      <c r="AV98" s="73">
        <v>0</v>
      </c>
      <c r="AW98" s="40">
        <v>0</v>
      </c>
      <c r="AX98" s="55">
        <v>0</v>
      </c>
      <c r="AY98" s="73">
        <v>0</v>
      </c>
      <c r="AZ98" s="40">
        <v>0</v>
      </c>
      <c r="BA98" s="35">
        <v>0</v>
      </c>
      <c r="BB98" s="73">
        <v>0</v>
      </c>
      <c r="BC98" s="40">
        <v>0</v>
      </c>
      <c r="BD98" s="55">
        <v>0</v>
      </c>
      <c r="BE98" s="73">
        <v>0</v>
      </c>
      <c r="BF98" s="40">
        <v>0</v>
      </c>
      <c r="BG98" s="38">
        <v>0</v>
      </c>
      <c r="BH98" s="73">
        <v>0</v>
      </c>
      <c r="BI98" s="40">
        <v>0</v>
      </c>
      <c r="BJ98" s="55">
        <v>0</v>
      </c>
      <c r="BK98" s="73">
        <v>0</v>
      </c>
      <c r="BL98" s="40">
        <v>0</v>
      </c>
      <c r="BM98" s="38">
        <v>0</v>
      </c>
      <c r="BN98" s="73">
        <v>4.0082883785721561</v>
      </c>
      <c r="BO98" s="40">
        <v>0</v>
      </c>
      <c r="BP98" s="55">
        <v>-4.0082883785721561</v>
      </c>
      <c r="BQ98" s="77">
        <v>4.0082883785721561</v>
      </c>
      <c r="BR98" s="40">
        <v>0</v>
      </c>
      <c r="BS98" s="55">
        <v>-4.0082883785721561</v>
      </c>
      <c r="BT98" s="73">
        <v>0</v>
      </c>
      <c r="BU98" s="40">
        <v>0</v>
      </c>
      <c r="BV98" s="52">
        <v>0</v>
      </c>
      <c r="BW98" s="73">
        <v>0</v>
      </c>
      <c r="BX98" s="40">
        <v>231.6164693946786</v>
      </c>
      <c r="BY98" s="52">
        <v>231.6164693946786</v>
      </c>
      <c r="BZ98" s="73">
        <v>0</v>
      </c>
      <c r="CA98" s="40">
        <v>0</v>
      </c>
      <c r="CB98" s="52">
        <v>0</v>
      </c>
      <c r="CC98" s="73">
        <v>0</v>
      </c>
      <c r="CD98" s="40">
        <v>0</v>
      </c>
      <c r="CE98" s="52">
        <v>0</v>
      </c>
      <c r="CF98" s="73">
        <v>0</v>
      </c>
      <c r="CG98" s="40">
        <v>0</v>
      </c>
      <c r="CH98" s="52">
        <v>0</v>
      </c>
      <c r="CI98" s="73">
        <v>0</v>
      </c>
      <c r="CJ98" s="40">
        <v>0</v>
      </c>
      <c r="CK98" s="52">
        <v>0</v>
      </c>
      <c r="CL98" s="73">
        <v>0</v>
      </c>
      <c r="CM98" s="40">
        <v>0</v>
      </c>
      <c r="CN98" s="52">
        <v>0</v>
      </c>
      <c r="CO98" s="39">
        <v>0</v>
      </c>
      <c r="CP98" s="40">
        <v>0</v>
      </c>
      <c r="CQ98" s="52">
        <v>0</v>
      </c>
      <c r="CR98" s="72">
        <v>310.68935797241318</v>
      </c>
      <c r="CS98" s="5">
        <v>368.25432911612143</v>
      </c>
      <c r="CT98" s="52">
        <v>57.564971143708249</v>
      </c>
      <c r="CU98" s="77">
        <v>372.82722956689582</v>
      </c>
      <c r="CV98" s="65">
        <v>441.90519493934568</v>
      </c>
      <c r="CW98" s="35">
        <v>69.077965372449853</v>
      </c>
      <c r="CX98" s="73">
        <v>20.816074132286026</v>
      </c>
      <c r="CY98" s="40">
        <v>-48.261891240163834</v>
      </c>
      <c r="CZ98" s="52">
        <v>-69.077965372449853</v>
      </c>
      <c r="DA98" s="150">
        <v>-1792.3090886437722</v>
      </c>
      <c r="DB98" s="2">
        <v>1</v>
      </c>
      <c r="DC98" s="648">
        <v>-69.540000000000006</v>
      </c>
      <c r="DD98" s="648"/>
      <c r="DE98" s="649">
        <v>-463.18330369918186</v>
      </c>
      <c r="DG98" s="321">
        <v>-2627.5246810463191</v>
      </c>
      <c r="DH98" s="5">
        <v>4723.7196443901821</v>
      </c>
      <c r="DI98" s="306">
        <v>1.2911233213893161</v>
      </c>
      <c r="DJ98" s="306"/>
      <c r="DK98" s="306"/>
      <c r="DL98" s="28">
        <v>195.7342955226203</v>
      </c>
      <c r="DM98" s="28">
        <v>0</v>
      </c>
      <c r="DN98" s="650">
        <v>195.73</v>
      </c>
      <c r="DO98" s="94">
        <v>4.2955226203105212E-3</v>
      </c>
      <c r="DP98" s="28">
        <v>195.7342955226203</v>
      </c>
      <c r="DQ98" s="318">
        <v>0</v>
      </c>
      <c r="DS98" s="8">
        <v>186.41361478344791</v>
      </c>
      <c r="DT98" s="5">
        <v>9.3206807391723956</v>
      </c>
      <c r="DW98" s="5">
        <v>196.37068882490112</v>
      </c>
      <c r="DX98" s="5">
        <v>0</v>
      </c>
    </row>
    <row r="99" spans="1:128" x14ac:dyDescent="0.3">
      <c r="A99" s="325">
        <v>150000658</v>
      </c>
      <c r="B99" s="41" t="s">
        <v>548</v>
      </c>
      <c r="C99" s="42" t="s">
        <v>352</v>
      </c>
      <c r="D99" s="42" t="s">
        <v>352</v>
      </c>
      <c r="E99" s="293">
        <v>5047.8</v>
      </c>
      <c r="F99" s="652">
        <v>5047.8</v>
      </c>
      <c r="G99" s="51">
        <v>552.10000000000036</v>
      </c>
      <c r="H99" s="651">
        <v>0</v>
      </c>
      <c r="I99" s="73">
        <v>2225.4330592244396</v>
      </c>
      <c r="J99" s="40">
        <v>2507.5121228217195</v>
      </c>
      <c r="K99" s="52">
        <v>282.07906359727986</v>
      </c>
      <c r="L99" s="73">
        <v>436.10128709949402</v>
      </c>
      <c r="M99" s="40">
        <v>491.32023644329183</v>
      </c>
      <c r="N99" s="52">
        <v>55.218949343797817</v>
      </c>
      <c r="O99" s="73">
        <v>863.57766708166002</v>
      </c>
      <c r="P99" s="40">
        <v>863.16666666666663</v>
      </c>
      <c r="Q99" s="52">
        <v>-0.41100041499339568</v>
      </c>
      <c r="R99" s="73">
        <v>205.80308286329</v>
      </c>
      <c r="S99" s="40">
        <v>206.11666666666667</v>
      </c>
      <c r="T99" s="52">
        <v>0.31358380337667313</v>
      </c>
      <c r="U99" s="73">
        <v>86.533130947417462</v>
      </c>
      <c r="V99" s="40">
        <v>201.11778199984644</v>
      </c>
      <c r="W99" s="52">
        <v>114.58465105242898</v>
      </c>
      <c r="X99" s="73">
        <v>1105.7513627789513</v>
      </c>
      <c r="Y99" s="40">
        <v>1181.2235467482315</v>
      </c>
      <c r="Z99" s="52">
        <v>75.472183969280195</v>
      </c>
      <c r="AA99" s="73">
        <v>403.82400000000001</v>
      </c>
      <c r="AB99" s="40">
        <v>0</v>
      </c>
      <c r="AC99" s="52">
        <v>-403.82400000000001</v>
      </c>
      <c r="AD99" s="73">
        <v>3636.5169955749425</v>
      </c>
      <c r="AE99" s="40">
        <v>4549.6081022552708</v>
      </c>
      <c r="AF99" s="35">
        <v>913.09110668032827</v>
      </c>
      <c r="AG99" s="77">
        <v>8963.5405855701938</v>
      </c>
      <c r="AH99" s="53">
        <v>10000.065123601693</v>
      </c>
      <c r="AI99" s="52">
        <v>1036.5245380314991</v>
      </c>
      <c r="AJ99" s="73">
        <v>5521.72</v>
      </c>
      <c r="AK99" s="40">
        <v>5438.4201185626225</v>
      </c>
      <c r="AL99" s="52">
        <v>-83.299881437377735</v>
      </c>
      <c r="AM99" s="73">
        <v>0</v>
      </c>
      <c r="AN99" s="40">
        <v>0</v>
      </c>
      <c r="AO99" s="52">
        <v>0</v>
      </c>
      <c r="AP99" s="73">
        <v>510.58012499999995</v>
      </c>
      <c r="AQ99" s="40">
        <v>0</v>
      </c>
      <c r="AR99" s="52">
        <v>-510.58012499999995</v>
      </c>
      <c r="AS99" s="73">
        <v>6185.4150931009908</v>
      </c>
      <c r="AT99" s="40">
        <v>0</v>
      </c>
      <c r="AU99" s="54">
        <v>-6185.4150931009908</v>
      </c>
      <c r="AV99" s="73">
        <v>1086.0322388832096</v>
      </c>
      <c r="AW99" s="40">
        <v>0</v>
      </c>
      <c r="AX99" s="55">
        <v>-1086.0322388832096</v>
      </c>
      <c r="AY99" s="73">
        <v>1219.6269885979368</v>
      </c>
      <c r="AZ99" s="40">
        <v>0</v>
      </c>
      <c r="BA99" s="35">
        <v>-1219.6269885979368</v>
      </c>
      <c r="BB99" s="73">
        <v>465.22406185084003</v>
      </c>
      <c r="BC99" s="40">
        <v>1682</v>
      </c>
      <c r="BD99" s="55">
        <v>1216.7759381491601</v>
      </c>
      <c r="BE99" s="73">
        <v>1090.3554580300402</v>
      </c>
      <c r="BF99" s="40">
        <v>0</v>
      </c>
      <c r="BG99" s="38">
        <v>-1090.3554580300402</v>
      </c>
      <c r="BH99" s="73">
        <v>417.92545115516577</v>
      </c>
      <c r="BI99" s="40">
        <v>0</v>
      </c>
      <c r="BJ99" s="55">
        <v>-417.92545115516577</v>
      </c>
      <c r="BK99" s="73">
        <v>748.82793615061314</v>
      </c>
      <c r="BL99" s="40">
        <v>0</v>
      </c>
      <c r="BM99" s="38">
        <v>-748.82793615061314</v>
      </c>
      <c r="BN99" s="73">
        <v>100.956</v>
      </c>
      <c r="BO99" s="40">
        <v>0</v>
      </c>
      <c r="BP99" s="55">
        <v>-100.956</v>
      </c>
      <c r="BQ99" s="77">
        <v>5128.9481346678049</v>
      </c>
      <c r="BR99" s="40">
        <v>1682</v>
      </c>
      <c r="BS99" s="55">
        <v>-3446.9481346678049</v>
      </c>
      <c r="BT99" s="73">
        <v>5437.9274489720801</v>
      </c>
      <c r="BU99" s="40">
        <v>418.45702987660673</v>
      </c>
      <c r="BV99" s="52">
        <v>-5019.4704190954735</v>
      </c>
      <c r="BW99" s="73">
        <v>5076.86530503624</v>
      </c>
      <c r="BX99" s="40">
        <v>4831.5580425205371</v>
      </c>
      <c r="BY99" s="52">
        <v>-245.30726251570286</v>
      </c>
      <c r="BZ99" s="73">
        <v>1368.32391146288</v>
      </c>
      <c r="CA99" s="40">
        <v>4868.6402270702456</v>
      </c>
      <c r="CB99" s="52">
        <v>3500.3163156073656</v>
      </c>
      <c r="CC99" s="73">
        <v>249.43901449500001</v>
      </c>
      <c r="CD99" s="40">
        <v>312.61303569759173</v>
      </c>
      <c r="CE99" s="52">
        <v>63.174021202591717</v>
      </c>
      <c r="CF99" s="73">
        <v>29.436646140000001</v>
      </c>
      <c r="CG99" s="40">
        <v>0</v>
      </c>
      <c r="CH99" s="52">
        <v>-29.436646140000001</v>
      </c>
      <c r="CI99" s="73">
        <v>3195.64</v>
      </c>
      <c r="CJ99" s="40">
        <v>2299.3403720127017</v>
      </c>
      <c r="CK99" s="52">
        <v>-896.29962798729821</v>
      </c>
      <c r="CL99" s="73">
        <v>1152.4204999999999</v>
      </c>
      <c r="CM99" s="40">
        <v>1130.4840017424383</v>
      </c>
      <c r="CN99" s="52">
        <v>-21.936498257561652</v>
      </c>
      <c r="CO99" s="39">
        <v>4348.0604999999996</v>
      </c>
      <c r="CP99" s="40">
        <v>3429.8243737551402</v>
      </c>
      <c r="CQ99" s="52">
        <v>-918.23612624485941</v>
      </c>
      <c r="CR99" s="72">
        <v>42820.256764445192</v>
      </c>
      <c r="CS99" s="5">
        <v>30981.577951084437</v>
      </c>
      <c r="CT99" s="52">
        <v>-11838.678813360755</v>
      </c>
      <c r="CU99" s="77">
        <v>51384.308117334229</v>
      </c>
      <c r="CV99" s="65">
        <v>37177.893541301324</v>
      </c>
      <c r="CW99" s="35">
        <v>-14206.414576032905</v>
      </c>
      <c r="CX99" s="73">
        <v>2868.9416495925111</v>
      </c>
      <c r="CY99" s="40">
        <v>17075.356225625415</v>
      </c>
      <c r="CZ99" s="52">
        <v>14206.414576032905</v>
      </c>
      <c r="DA99" s="150">
        <v>23012.077292442878</v>
      </c>
      <c r="DB99" s="2">
        <v>3</v>
      </c>
      <c r="DC99" s="648">
        <v>99850.55</v>
      </c>
      <c r="DD99" s="648"/>
      <c r="DE99" s="649">
        <v>45597.300233073263</v>
      </c>
      <c r="DG99" s="321">
        <v>-39663.895867009996</v>
      </c>
      <c r="DH99" s="5">
        <v>651038.99720312085</v>
      </c>
      <c r="DI99" s="306">
        <v>4.6261450229011585</v>
      </c>
      <c r="DJ99" s="306">
        <v>5.4324511934418975</v>
      </c>
      <c r="DK99" s="306"/>
      <c r="DL99" s="28">
        <v>26976.76549750047</v>
      </c>
      <c r="DM99" s="28">
        <v>0</v>
      </c>
      <c r="DN99" s="650">
        <v>26978.74</v>
      </c>
      <c r="DO99" s="94">
        <v>-1.974502499531809</v>
      </c>
      <c r="DP99" s="28">
        <v>26976.76549750047</v>
      </c>
      <c r="DQ99" s="318">
        <v>3.7358999979915097E-3</v>
      </c>
      <c r="DS99" s="8">
        <v>25692.154058667114</v>
      </c>
      <c r="DT99" s="5">
        <v>1284.6077029333558</v>
      </c>
      <c r="DW99" s="5">
        <v>13577.235873322554</v>
      </c>
      <c r="DX99" s="5">
        <v>2018.3999999999999</v>
      </c>
    </row>
    <row r="100" spans="1:128" x14ac:dyDescent="0.3">
      <c r="A100" s="325">
        <v>150000659</v>
      </c>
      <c r="B100" s="41" t="s">
        <v>549</v>
      </c>
      <c r="C100" s="42" t="s">
        <v>414</v>
      </c>
      <c r="D100" s="42" t="s">
        <v>414</v>
      </c>
      <c r="E100" s="293">
        <v>2605.5</v>
      </c>
      <c r="F100" s="652">
        <v>2605.5</v>
      </c>
      <c r="G100" s="51">
        <v>490.29999999999973</v>
      </c>
      <c r="H100" s="651">
        <v>0</v>
      </c>
      <c r="I100" s="73">
        <v>1225.709046646873</v>
      </c>
      <c r="J100" s="40">
        <v>1382.0652947998756</v>
      </c>
      <c r="K100" s="52">
        <v>156.35624815300253</v>
      </c>
      <c r="L100" s="73">
        <v>236.02361264049952</v>
      </c>
      <c r="M100" s="40">
        <v>265.90870335741073</v>
      </c>
      <c r="N100" s="52">
        <v>29.885090716911208</v>
      </c>
      <c r="O100" s="73">
        <v>458.19197945522666</v>
      </c>
      <c r="P100" s="40">
        <v>458.23333333333335</v>
      </c>
      <c r="Q100" s="52">
        <v>4.1353878106690445E-2</v>
      </c>
      <c r="R100" s="73">
        <v>110.58255028527334</v>
      </c>
      <c r="S100" s="40">
        <v>110.76666666666667</v>
      </c>
      <c r="T100" s="52">
        <v>0.18411638139332354</v>
      </c>
      <c r="U100" s="73">
        <v>29.506649590954193</v>
      </c>
      <c r="V100" s="40">
        <v>94.231152931617373</v>
      </c>
      <c r="W100" s="52">
        <v>64.724503340663176</v>
      </c>
      <c r="X100" s="73">
        <v>373.91741702428658</v>
      </c>
      <c r="Y100" s="40">
        <v>493.35777446304041</v>
      </c>
      <c r="Z100" s="52">
        <v>119.44035743875384</v>
      </c>
      <c r="AA100" s="73">
        <v>208.488</v>
      </c>
      <c r="AB100" s="40">
        <v>0</v>
      </c>
      <c r="AC100" s="52">
        <v>-208.488</v>
      </c>
      <c r="AD100" s="73">
        <v>1877.4848336391283</v>
      </c>
      <c r="AE100" s="40">
        <v>2348.350550819388</v>
      </c>
      <c r="AF100" s="35">
        <v>470.86571718025971</v>
      </c>
      <c r="AG100" s="77">
        <v>4519.9040892822413</v>
      </c>
      <c r="AH100" s="53">
        <v>5152.9134763713319</v>
      </c>
      <c r="AI100" s="52">
        <v>633.00938708909052</v>
      </c>
      <c r="AJ100" s="73">
        <v>2760.86</v>
      </c>
      <c r="AK100" s="40">
        <v>2719.2210152234506</v>
      </c>
      <c r="AL100" s="52">
        <v>-41.638984776549478</v>
      </c>
      <c r="AM100" s="73">
        <v>0</v>
      </c>
      <c r="AN100" s="40">
        <v>0</v>
      </c>
      <c r="AO100" s="52">
        <v>0</v>
      </c>
      <c r="AP100" s="73">
        <v>252.13833333333329</v>
      </c>
      <c r="AQ100" s="40">
        <v>0</v>
      </c>
      <c r="AR100" s="52">
        <v>-252.13833333333329</v>
      </c>
      <c r="AS100" s="73">
        <v>2729.5626173391897</v>
      </c>
      <c r="AT100" s="40">
        <v>0</v>
      </c>
      <c r="AU100" s="54">
        <v>-2729.5626173391897</v>
      </c>
      <c r="AV100" s="73">
        <v>570.99707957188605</v>
      </c>
      <c r="AW100" s="40">
        <v>0</v>
      </c>
      <c r="AX100" s="55">
        <v>-570.99707957188605</v>
      </c>
      <c r="AY100" s="73">
        <v>659.59944114411405</v>
      </c>
      <c r="AZ100" s="40">
        <v>0</v>
      </c>
      <c r="BA100" s="35">
        <v>-659.59944114411405</v>
      </c>
      <c r="BB100" s="73">
        <v>228.27669482832999</v>
      </c>
      <c r="BC100" s="40">
        <v>0</v>
      </c>
      <c r="BD100" s="55">
        <v>-228.27669482832999</v>
      </c>
      <c r="BE100" s="73">
        <v>574.14203206392597</v>
      </c>
      <c r="BF100" s="40">
        <v>0</v>
      </c>
      <c r="BG100" s="38">
        <v>-574.14203206392597</v>
      </c>
      <c r="BH100" s="73">
        <v>142.47171410187423</v>
      </c>
      <c r="BI100" s="40">
        <v>0</v>
      </c>
      <c r="BJ100" s="55">
        <v>-142.47171410187423</v>
      </c>
      <c r="BK100" s="73">
        <v>177.53679564610565</v>
      </c>
      <c r="BL100" s="40">
        <v>0</v>
      </c>
      <c r="BM100" s="38">
        <v>-177.53679564610565</v>
      </c>
      <c r="BN100" s="73">
        <v>52.122</v>
      </c>
      <c r="BO100" s="40">
        <v>0</v>
      </c>
      <c r="BP100" s="55">
        <v>-52.122</v>
      </c>
      <c r="BQ100" s="77">
        <v>2405.1457573562357</v>
      </c>
      <c r="BR100" s="40">
        <v>0</v>
      </c>
      <c r="BS100" s="55">
        <v>-2405.1457573562357</v>
      </c>
      <c r="BT100" s="73">
        <v>2176.4310045614998</v>
      </c>
      <c r="BU100" s="40">
        <v>572.9386428938941</v>
      </c>
      <c r="BV100" s="52">
        <v>-1603.4923616676056</v>
      </c>
      <c r="BW100" s="73">
        <v>2291.8738701654802</v>
      </c>
      <c r="BX100" s="40">
        <v>3211.6675581317245</v>
      </c>
      <c r="BY100" s="52">
        <v>919.79368796624431</v>
      </c>
      <c r="BZ100" s="73">
        <v>763.073104393628</v>
      </c>
      <c r="CA100" s="40">
        <v>3561.6970161709778</v>
      </c>
      <c r="CB100" s="52">
        <v>2798.6239117773498</v>
      </c>
      <c r="CC100" s="73">
        <v>117.5379697525</v>
      </c>
      <c r="CD100" s="40">
        <v>147.34166668633023</v>
      </c>
      <c r="CE100" s="52">
        <v>29.803696933830224</v>
      </c>
      <c r="CF100" s="73">
        <v>13.87416393</v>
      </c>
      <c r="CG100" s="40">
        <v>0</v>
      </c>
      <c r="CH100" s="52">
        <v>-13.87416393</v>
      </c>
      <c r="CI100" s="73">
        <v>582.44000000000005</v>
      </c>
      <c r="CJ100" s="40">
        <v>519.98867413887604</v>
      </c>
      <c r="CK100" s="52">
        <v>-62.451325861124019</v>
      </c>
      <c r="CL100" s="73">
        <v>800.46505000000002</v>
      </c>
      <c r="CM100" s="40">
        <v>725.52456308426031</v>
      </c>
      <c r="CN100" s="52">
        <v>-74.940486915739712</v>
      </c>
      <c r="CO100" s="39">
        <v>1382.9050500000001</v>
      </c>
      <c r="CP100" s="40">
        <v>1245.5132372231365</v>
      </c>
      <c r="CQ100" s="52">
        <v>-137.39181277686362</v>
      </c>
      <c r="CR100" s="72">
        <v>19413.30596011411</v>
      </c>
      <c r="CS100" s="5">
        <v>16611.292612700847</v>
      </c>
      <c r="CT100" s="52">
        <v>-2802.0133474132635</v>
      </c>
      <c r="CU100" s="77">
        <v>23295.967152136931</v>
      </c>
      <c r="CV100" s="65">
        <v>19933.551135241014</v>
      </c>
      <c r="CW100" s="35">
        <v>-3362.416016895917</v>
      </c>
      <c r="CX100" s="73">
        <v>1300.6844478218889</v>
      </c>
      <c r="CY100" s="40">
        <v>4663.1004647178052</v>
      </c>
      <c r="CZ100" s="52">
        <v>3362.4160168959161</v>
      </c>
      <c r="DA100" s="150">
        <v>71254.507321527315</v>
      </c>
      <c r="DB100" s="2">
        <v>3</v>
      </c>
      <c r="DC100" s="648">
        <v>33958.71</v>
      </c>
      <c r="DD100" s="648"/>
      <c r="DE100" s="649">
        <v>9362.05840004118</v>
      </c>
      <c r="DG100" s="321">
        <v>-36921.60542397805</v>
      </c>
      <c r="DH100" s="5">
        <v>295159.81919950584</v>
      </c>
      <c r="DI100" s="306">
        <v>3.943305618883346</v>
      </c>
      <c r="DJ100" s="306">
        <v>4.8667085158726646</v>
      </c>
      <c r="DK100" s="306"/>
      <c r="DL100" s="28">
        <v>12227.464597712364</v>
      </c>
      <c r="DM100" s="28">
        <v>0</v>
      </c>
      <c r="DN100" s="650">
        <v>12226.92</v>
      </c>
      <c r="DO100" s="94">
        <v>0.54459771236361121</v>
      </c>
      <c r="DP100" s="28">
        <v>12227.464597712364</v>
      </c>
      <c r="DQ100" s="318">
        <v>-2.9181571595254354</v>
      </c>
      <c r="DS100" s="8">
        <v>11647.983576068465</v>
      </c>
      <c r="DT100" s="5">
        <v>582.3991788034233</v>
      </c>
      <c r="DW100" s="5">
        <v>6161.6500496345097</v>
      </c>
      <c r="DX100" s="5">
        <v>0</v>
      </c>
    </row>
    <row r="101" spans="1:128" x14ac:dyDescent="0.3">
      <c r="A101" s="325">
        <v>150000660</v>
      </c>
      <c r="B101" s="41" t="s">
        <v>550</v>
      </c>
      <c r="C101" s="42" t="s">
        <v>415</v>
      </c>
      <c r="D101" s="42" t="s">
        <v>415</v>
      </c>
      <c r="E101" s="293">
        <v>4661.7</v>
      </c>
      <c r="F101" s="652">
        <v>4661.7</v>
      </c>
      <c r="G101" s="51">
        <v>410</v>
      </c>
      <c r="H101" s="651">
        <v>0</v>
      </c>
      <c r="I101" s="73">
        <v>2241.5615149151336</v>
      </c>
      <c r="J101" s="40">
        <v>2527.7261071442463</v>
      </c>
      <c r="K101" s="52">
        <v>286.16459222911271</v>
      </c>
      <c r="L101" s="73">
        <v>462.49921051416374</v>
      </c>
      <c r="M101" s="40">
        <v>521.06034586144631</v>
      </c>
      <c r="N101" s="52">
        <v>58.561135347282573</v>
      </c>
      <c r="O101" s="73">
        <v>798.29799573482001</v>
      </c>
      <c r="P101" s="40">
        <v>797.93333333333339</v>
      </c>
      <c r="Q101" s="52">
        <v>-0.364662401486612</v>
      </c>
      <c r="R101" s="73">
        <v>201.56967718292003</v>
      </c>
      <c r="S101" s="40">
        <v>201.23333333333332</v>
      </c>
      <c r="T101" s="52">
        <v>-0.33634384958671149</v>
      </c>
      <c r="U101" s="73">
        <v>92.451448596603427</v>
      </c>
      <c r="V101" s="40">
        <v>212.2113185016247</v>
      </c>
      <c r="W101" s="52">
        <v>119.75986990502128</v>
      </c>
      <c r="X101" s="73">
        <v>745.43758987298133</v>
      </c>
      <c r="Y101" s="40">
        <v>825.58887799158731</v>
      </c>
      <c r="Z101" s="52">
        <v>80.151288118605976</v>
      </c>
      <c r="AA101" s="73">
        <v>372.93599999999998</v>
      </c>
      <c r="AB101" s="40">
        <v>0</v>
      </c>
      <c r="AC101" s="52">
        <v>-372.93599999999998</v>
      </c>
      <c r="AD101" s="73">
        <v>3358.3611724376005</v>
      </c>
      <c r="AE101" s="40">
        <v>4201.6141864343663</v>
      </c>
      <c r="AF101" s="35">
        <v>843.25301399676573</v>
      </c>
      <c r="AG101" s="77">
        <v>8273.1146092542222</v>
      </c>
      <c r="AH101" s="53">
        <v>9287.3675025999382</v>
      </c>
      <c r="AI101" s="52">
        <v>1014.2528933457161</v>
      </c>
      <c r="AJ101" s="73">
        <v>4755.84</v>
      </c>
      <c r="AK101" s="40">
        <v>4684.1035022668948</v>
      </c>
      <c r="AL101" s="52">
        <v>-71.736497733105352</v>
      </c>
      <c r="AM101" s="73">
        <v>0</v>
      </c>
      <c r="AN101" s="40">
        <v>0</v>
      </c>
      <c r="AO101" s="52">
        <v>0</v>
      </c>
      <c r="AP101" s="73">
        <v>504.27666666666659</v>
      </c>
      <c r="AQ101" s="40">
        <v>0</v>
      </c>
      <c r="AR101" s="52">
        <v>-504.27666666666659</v>
      </c>
      <c r="AS101" s="73">
        <v>5301.0110696308138</v>
      </c>
      <c r="AT101" s="40">
        <v>12483</v>
      </c>
      <c r="AU101" s="54">
        <v>7181.9889303691862</v>
      </c>
      <c r="AV101" s="73">
        <v>975.65311187299562</v>
      </c>
      <c r="AW101" s="40">
        <v>0</v>
      </c>
      <c r="AX101" s="55">
        <v>-975.65311187299562</v>
      </c>
      <c r="AY101" s="73">
        <v>1292.7466984407656</v>
      </c>
      <c r="AZ101" s="40">
        <v>0</v>
      </c>
      <c r="BA101" s="35">
        <v>-1292.7466984407656</v>
      </c>
      <c r="BB101" s="73">
        <v>423.42031931443603</v>
      </c>
      <c r="BC101" s="40">
        <v>1595</v>
      </c>
      <c r="BD101" s="55">
        <v>1171.579680685564</v>
      </c>
      <c r="BE101" s="73">
        <v>1051.20949248744</v>
      </c>
      <c r="BF101" s="40">
        <v>0</v>
      </c>
      <c r="BG101" s="38">
        <v>-1051.20949248744</v>
      </c>
      <c r="BH101" s="73">
        <v>446.43672107011059</v>
      </c>
      <c r="BI101" s="40">
        <v>0</v>
      </c>
      <c r="BJ101" s="55">
        <v>-446.43672107011059</v>
      </c>
      <c r="BK101" s="73">
        <v>470.25371088532296</v>
      </c>
      <c r="BL101" s="40">
        <v>0</v>
      </c>
      <c r="BM101" s="38">
        <v>-470.25371088532296</v>
      </c>
      <c r="BN101" s="73">
        <v>93.233999999999995</v>
      </c>
      <c r="BO101" s="40">
        <v>0</v>
      </c>
      <c r="BP101" s="55">
        <v>-93.233999999999995</v>
      </c>
      <c r="BQ101" s="77">
        <v>4752.9540540710705</v>
      </c>
      <c r="BR101" s="40">
        <v>1595</v>
      </c>
      <c r="BS101" s="55">
        <v>-3157.9540540710705</v>
      </c>
      <c r="BT101" s="73">
        <v>4976.0281366541003</v>
      </c>
      <c r="BU101" s="40">
        <v>1192.7275017377196</v>
      </c>
      <c r="BV101" s="52">
        <v>-3783.3006349163807</v>
      </c>
      <c r="BW101" s="73">
        <v>4869.3287525948199</v>
      </c>
      <c r="BX101" s="40">
        <v>6295.3799720321495</v>
      </c>
      <c r="BY101" s="52">
        <v>1426.0512194373296</v>
      </c>
      <c r="BZ101" s="73">
        <v>1434.143390255776</v>
      </c>
      <c r="CA101" s="40">
        <v>7294.8069705030393</v>
      </c>
      <c r="CB101" s="52">
        <v>5860.6635802472629</v>
      </c>
      <c r="CC101" s="73">
        <v>204.478863765</v>
      </c>
      <c r="CD101" s="40">
        <v>255.54645625479978</v>
      </c>
      <c r="CE101" s="52">
        <v>51.067592489799779</v>
      </c>
      <c r="CF101" s="73">
        <v>24.063073979999999</v>
      </c>
      <c r="CG101" s="40">
        <v>0</v>
      </c>
      <c r="CH101" s="52">
        <v>-24.063073979999999</v>
      </c>
      <c r="CI101" s="73">
        <v>1055.8599999999999</v>
      </c>
      <c r="CJ101" s="40">
        <v>832.91886640564348</v>
      </c>
      <c r="CK101" s="52">
        <v>-222.94113359435642</v>
      </c>
      <c r="CL101" s="73">
        <v>1401.5925</v>
      </c>
      <c r="CM101" s="40">
        <v>1296.1395742504028</v>
      </c>
      <c r="CN101" s="52">
        <v>-105.45292574959717</v>
      </c>
      <c r="CO101" s="39">
        <v>2457.4524999999999</v>
      </c>
      <c r="CP101" s="40">
        <v>2129.0584406560465</v>
      </c>
      <c r="CQ101" s="52">
        <v>-328.39405934395336</v>
      </c>
      <c r="CR101" s="72">
        <v>37552.691116872469</v>
      </c>
      <c r="CS101" s="5">
        <v>45216.990346050581</v>
      </c>
      <c r="CT101" s="52">
        <v>7664.299229178112</v>
      </c>
      <c r="CU101" s="77">
        <v>45063.229340246959</v>
      </c>
      <c r="CV101" s="65">
        <v>54260.388415260699</v>
      </c>
      <c r="CW101" s="35">
        <v>9197.1590750137402</v>
      </c>
      <c r="CX101" s="73">
        <v>2516.0166645458935</v>
      </c>
      <c r="CY101" s="40">
        <v>-6681.1424104678445</v>
      </c>
      <c r="CZ101" s="52">
        <v>-9197.1590750137384</v>
      </c>
      <c r="DA101" s="150">
        <v>313731.24155774032</v>
      </c>
      <c r="DB101" s="2">
        <v>3</v>
      </c>
      <c r="DC101" s="648">
        <v>41236.15</v>
      </c>
      <c r="DD101" s="648"/>
      <c r="DE101" s="649">
        <v>-6343.0960047928529</v>
      </c>
      <c r="DG101" s="321">
        <v>-82346.743000407936</v>
      </c>
      <c r="DH101" s="5">
        <v>570950.95205751422</v>
      </c>
      <c r="DI101" s="306">
        <v>4.2428755451079336</v>
      </c>
      <c r="DJ101" s="306">
        <v>5.1552606057307431</v>
      </c>
      <c r="DK101" s="306"/>
      <c r="DL101" s="28">
        <v>23658.200490879652</v>
      </c>
      <c r="DM101" s="28">
        <v>0</v>
      </c>
      <c r="DN101" s="650">
        <v>23656.97</v>
      </c>
      <c r="DO101" s="94">
        <v>1.2304908796504606</v>
      </c>
      <c r="DP101" s="28">
        <v>23658.200490879652</v>
      </c>
      <c r="DQ101" s="318">
        <v>5.0872499996330589E-3</v>
      </c>
      <c r="DS101" s="8">
        <v>22531.614670123479</v>
      </c>
      <c r="DT101" s="5">
        <v>1126.5807335061741</v>
      </c>
      <c r="DW101" s="5">
        <v>12064.758148442261</v>
      </c>
      <c r="DX101" s="5">
        <v>16893.599999999999</v>
      </c>
    </row>
    <row r="102" spans="1:128" x14ac:dyDescent="0.3">
      <c r="A102" s="325">
        <v>150000597</v>
      </c>
      <c r="B102" s="41" t="s">
        <v>551</v>
      </c>
      <c r="C102" s="42" t="s">
        <v>353</v>
      </c>
      <c r="D102" s="42" t="s">
        <v>353</v>
      </c>
      <c r="E102" s="293">
        <v>4715.25</v>
      </c>
      <c r="F102" s="652">
        <v>4715.25</v>
      </c>
      <c r="G102" s="51">
        <v>570.19999999999982</v>
      </c>
      <c r="H102" s="651">
        <v>0</v>
      </c>
      <c r="I102" s="73">
        <v>1847.6187618968449</v>
      </c>
      <c r="J102" s="40">
        <v>2051.9645424510732</v>
      </c>
      <c r="K102" s="52">
        <v>204.34578055422821</v>
      </c>
      <c r="L102" s="73">
        <v>338.89235130115787</v>
      </c>
      <c r="M102" s="40">
        <v>401.18886272815371</v>
      </c>
      <c r="N102" s="52">
        <v>62.296511426995835</v>
      </c>
      <c r="O102" s="73">
        <v>960.4102688672034</v>
      </c>
      <c r="P102" s="40">
        <v>960.42</v>
      </c>
      <c r="Q102" s="52">
        <v>9.7311327965599048E-3</v>
      </c>
      <c r="R102" s="73">
        <v>208.73144241239001</v>
      </c>
      <c r="S102" s="40">
        <v>208.74</v>
      </c>
      <c r="T102" s="52">
        <v>8.557587609999473E-3</v>
      </c>
      <c r="U102" s="73">
        <v>86.533130947417462</v>
      </c>
      <c r="V102" s="40">
        <v>162.19236213913845</v>
      </c>
      <c r="W102" s="52">
        <v>75.659231191720991</v>
      </c>
      <c r="X102" s="73">
        <v>1171.5918653610038</v>
      </c>
      <c r="Y102" s="40">
        <v>1172.0285927205355</v>
      </c>
      <c r="Z102" s="52">
        <v>0.4367273595316874</v>
      </c>
      <c r="AA102" s="73">
        <v>377.10400000000004</v>
      </c>
      <c r="AB102" s="40">
        <v>0</v>
      </c>
      <c r="AC102" s="52">
        <v>-377.10400000000004</v>
      </c>
      <c r="AD102" s="73">
        <v>3395.9005470746201</v>
      </c>
      <c r="AE102" s="40">
        <v>4249.8790768570789</v>
      </c>
      <c r="AF102" s="35">
        <v>853.97852978245874</v>
      </c>
      <c r="AG102" s="77">
        <v>8386.7823678606383</v>
      </c>
      <c r="AH102" s="53">
        <v>9206.4134368959785</v>
      </c>
      <c r="AI102" s="52">
        <v>819.63106903534026</v>
      </c>
      <c r="AJ102" s="73">
        <v>5445.54</v>
      </c>
      <c r="AK102" s="40">
        <v>5363.3938267922076</v>
      </c>
      <c r="AL102" s="52">
        <v>-82.146173207792344</v>
      </c>
      <c r="AM102" s="73">
        <v>0</v>
      </c>
      <c r="AN102" s="40">
        <v>0</v>
      </c>
      <c r="AO102" s="52">
        <v>0</v>
      </c>
      <c r="AP102" s="73">
        <v>466.45591666666661</v>
      </c>
      <c r="AQ102" s="40">
        <v>0</v>
      </c>
      <c r="AR102" s="52">
        <v>-466.45591666666661</v>
      </c>
      <c r="AS102" s="73">
        <v>7976.2850542214519</v>
      </c>
      <c r="AT102" s="40">
        <v>7288</v>
      </c>
      <c r="AU102" s="54">
        <v>-688.2850542214519</v>
      </c>
      <c r="AV102" s="73">
        <v>857.77362511455453</v>
      </c>
      <c r="AW102" s="40">
        <v>0</v>
      </c>
      <c r="AX102" s="55">
        <v>-857.77362511455453</v>
      </c>
      <c r="AY102" s="73">
        <v>950.60907766106232</v>
      </c>
      <c r="AZ102" s="40">
        <v>0</v>
      </c>
      <c r="BA102" s="35">
        <v>-950.60907766106232</v>
      </c>
      <c r="BB102" s="73">
        <v>230.05976283832661</v>
      </c>
      <c r="BC102" s="40">
        <v>0</v>
      </c>
      <c r="BD102" s="55">
        <v>-230.05976283832661</v>
      </c>
      <c r="BE102" s="73">
        <v>1032.506959844198</v>
      </c>
      <c r="BF102" s="40">
        <v>0</v>
      </c>
      <c r="BG102" s="38">
        <v>-1032.506959844198</v>
      </c>
      <c r="BH102" s="73">
        <v>417.92545115516577</v>
      </c>
      <c r="BI102" s="40">
        <v>0</v>
      </c>
      <c r="BJ102" s="55">
        <v>-417.92545115516577</v>
      </c>
      <c r="BK102" s="73">
        <v>783.61212288110914</v>
      </c>
      <c r="BL102" s="40">
        <v>0</v>
      </c>
      <c r="BM102" s="38">
        <v>-783.61212288110914</v>
      </c>
      <c r="BN102" s="73">
        <v>66.180203659666546</v>
      </c>
      <c r="BO102" s="40">
        <v>0</v>
      </c>
      <c r="BP102" s="55">
        <v>-66.180203659666546</v>
      </c>
      <c r="BQ102" s="77">
        <v>4338.6672031540829</v>
      </c>
      <c r="BR102" s="40">
        <v>0</v>
      </c>
      <c r="BS102" s="55">
        <v>-4338.6672031540829</v>
      </c>
      <c r="BT102" s="73">
        <v>7339.7686350508002</v>
      </c>
      <c r="BU102" s="40">
        <v>1833.9582058376459</v>
      </c>
      <c r="BV102" s="52">
        <v>-5505.8104292131538</v>
      </c>
      <c r="BW102" s="73">
        <v>4537.5077283918599</v>
      </c>
      <c r="BX102" s="40">
        <v>5331.248053988028</v>
      </c>
      <c r="BY102" s="52">
        <v>793.74032559616808</v>
      </c>
      <c r="BZ102" s="73">
        <v>2261.7126495791199</v>
      </c>
      <c r="CA102" s="40">
        <v>8332.5385641104585</v>
      </c>
      <c r="CB102" s="52">
        <v>6070.8259145313386</v>
      </c>
      <c r="CC102" s="73">
        <v>259.06510729000001</v>
      </c>
      <c r="CD102" s="40">
        <v>324.46977433182042</v>
      </c>
      <c r="CE102" s="52">
        <v>65.404667041820403</v>
      </c>
      <c r="CF102" s="73">
        <v>30.55311468</v>
      </c>
      <c r="CG102" s="40">
        <v>0</v>
      </c>
      <c r="CH102" s="52">
        <v>-30.55311468</v>
      </c>
      <c r="CI102" s="73">
        <v>4824.6000000000004</v>
      </c>
      <c r="CJ102" s="40">
        <v>4322.4026196284867</v>
      </c>
      <c r="CK102" s="52">
        <v>-502.19738037151365</v>
      </c>
      <c r="CL102" s="73">
        <v>1756.6626000000001</v>
      </c>
      <c r="CM102" s="40">
        <v>1512.209131037253</v>
      </c>
      <c r="CN102" s="52">
        <v>-244.45346896274714</v>
      </c>
      <c r="CO102" s="39">
        <v>6581.2626</v>
      </c>
      <c r="CP102" s="40">
        <v>5834.6117506657392</v>
      </c>
      <c r="CQ102" s="52">
        <v>-746.65084933426078</v>
      </c>
      <c r="CR102" s="72">
        <v>47623.60037689461</v>
      </c>
      <c r="CS102" s="5">
        <v>43514.633612621874</v>
      </c>
      <c r="CT102" s="52">
        <v>-4108.9667642727363</v>
      </c>
      <c r="CU102" s="77">
        <v>57148.320452273532</v>
      </c>
      <c r="CV102" s="65">
        <v>52217.560335146249</v>
      </c>
      <c r="CW102" s="35">
        <v>-4930.7601171272836</v>
      </c>
      <c r="CX102" s="73">
        <v>3190.7639269054907</v>
      </c>
      <c r="CY102" s="40">
        <v>8121.5240440327761</v>
      </c>
      <c r="CZ102" s="52">
        <v>4930.7601171272854</v>
      </c>
      <c r="DA102" s="150">
        <v>-112382.0372653079</v>
      </c>
      <c r="DB102" s="2">
        <v>1</v>
      </c>
      <c r="DC102" s="648">
        <v>56095.92</v>
      </c>
      <c r="DD102" s="648"/>
      <c r="DE102" s="649">
        <v>-4243.1643791790266</v>
      </c>
      <c r="DG102" s="321">
        <v>115732.69864237808</v>
      </c>
      <c r="DH102" s="5">
        <v>724069.0125501483</v>
      </c>
      <c r="DI102" s="306">
        <v>5.4023252152071812</v>
      </c>
      <c r="DJ102" s="306">
        <v>6.4973607920425414</v>
      </c>
      <c r="DK102" s="306"/>
      <c r="DL102" s="28">
        <v>30012.291188767071</v>
      </c>
      <c r="DM102" s="28">
        <v>0</v>
      </c>
      <c r="DN102" s="650">
        <v>30013.94</v>
      </c>
      <c r="DO102" s="94">
        <v>-1.6488112329279829</v>
      </c>
      <c r="DP102" s="28">
        <v>30012.291188767071</v>
      </c>
      <c r="DQ102" s="318">
        <v>9.4229513234677142</v>
      </c>
      <c r="DS102" s="8">
        <v>28574.160226136766</v>
      </c>
      <c r="DT102" s="5">
        <v>1428.7080113068382</v>
      </c>
      <c r="DW102" s="5">
        <v>14777.942708850642</v>
      </c>
      <c r="DX102" s="5">
        <v>8745.6</v>
      </c>
    </row>
    <row r="103" spans="1:128" x14ac:dyDescent="0.3">
      <c r="A103" s="325">
        <v>150000598</v>
      </c>
      <c r="B103" s="41" t="s">
        <v>552</v>
      </c>
      <c r="C103" s="42" t="s">
        <v>77</v>
      </c>
      <c r="D103" s="42" t="s">
        <v>77</v>
      </c>
      <c r="E103" s="293">
        <v>258.5</v>
      </c>
      <c r="F103" s="305">
        <v>258.5</v>
      </c>
      <c r="G103" s="51"/>
      <c r="H103" s="651">
        <v>0</v>
      </c>
      <c r="I103" s="73">
        <v>0</v>
      </c>
      <c r="J103" s="40">
        <v>0</v>
      </c>
      <c r="K103" s="52">
        <v>0</v>
      </c>
      <c r="L103" s="73">
        <v>0</v>
      </c>
      <c r="M103" s="40">
        <v>0</v>
      </c>
      <c r="N103" s="52">
        <v>0</v>
      </c>
      <c r="O103" s="73">
        <v>0</v>
      </c>
      <c r="P103" s="40">
        <v>0</v>
      </c>
      <c r="Q103" s="52">
        <v>0</v>
      </c>
      <c r="R103" s="73">
        <v>0</v>
      </c>
      <c r="S103" s="40">
        <v>0</v>
      </c>
      <c r="T103" s="52">
        <v>0</v>
      </c>
      <c r="U103" s="73">
        <v>0</v>
      </c>
      <c r="V103" s="40">
        <v>0</v>
      </c>
      <c r="W103" s="52">
        <v>0</v>
      </c>
      <c r="X103" s="73">
        <v>0</v>
      </c>
      <c r="Y103" s="40">
        <v>0</v>
      </c>
      <c r="Z103" s="52">
        <v>0</v>
      </c>
      <c r="AA103" s="73">
        <v>20.68</v>
      </c>
      <c r="AB103" s="40">
        <v>0</v>
      </c>
      <c r="AC103" s="52">
        <v>-20.68</v>
      </c>
      <c r="AD103" s="73">
        <v>165.52758745026716</v>
      </c>
      <c r="AE103" s="40">
        <v>232.98737953821217</v>
      </c>
      <c r="AF103" s="35">
        <v>67.459792087945004</v>
      </c>
      <c r="AG103" s="77">
        <v>186.20758745026717</v>
      </c>
      <c r="AH103" s="53">
        <v>232.98737953821217</v>
      </c>
      <c r="AI103" s="52">
        <v>46.779792087944998</v>
      </c>
      <c r="AJ103" s="73">
        <v>0</v>
      </c>
      <c r="AK103" s="40">
        <v>0</v>
      </c>
      <c r="AL103" s="52">
        <v>0</v>
      </c>
      <c r="AM103" s="73">
        <v>0</v>
      </c>
      <c r="AN103" s="40">
        <v>0</v>
      </c>
      <c r="AO103" s="52">
        <v>0</v>
      </c>
      <c r="AP103" s="73">
        <v>75.641499999999994</v>
      </c>
      <c r="AQ103" s="40">
        <v>223.07952981044161</v>
      </c>
      <c r="AR103" s="52">
        <v>147.43802981044161</v>
      </c>
      <c r="AS103" s="73">
        <v>281.11296340263317</v>
      </c>
      <c r="AT103" s="40">
        <v>4137</v>
      </c>
      <c r="AU103" s="54">
        <v>3855.8870365973667</v>
      </c>
      <c r="AV103" s="73">
        <v>0</v>
      </c>
      <c r="AW103" s="40">
        <v>0</v>
      </c>
      <c r="AX103" s="55">
        <v>0</v>
      </c>
      <c r="AY103" s="73">
        <v>0</v>
      </c>
      <c r="AZ103" s="40">
        <v>0</v>
      </c>
      <c r="BA103" s="35">
        <v>0</v>
      </c>
      <c r="BB103" s="73">
        <v>0</v>
      </c>
      <c r="BC103" s="40">
        <v>0</v>
      </c>
      <c r="BD103" s="55">
        <v>0</v>
      </c>
      <c r="BE103" s="73">
        <v>0</v>
      </c>
      <c r="BF103" s="40">
        <v>0</v>
      </c>
      <c r="BG103" s="38">
        <v>0</v>
      </c>
      <c r="BH103" s="73">
        <v>0</v>
      </c>
      <c r="BI103" s="40">
        <v>0</v>
      </c>
      <c r="BJ103" s="55">
        <v>0</v>
      </c>
      <c r="BK103" s="73">
        <v>0</v>
      </c>
      <c r="BL103" s="40">
        <v>0</v>
      </c>
      <c r="BM103" s="38">
        <v>0</v>
      </c>
      <c r="BN103" s="73">
        <v>7.9742590207195052</v>
      </c>
      <c r="BO103" s="40">
        <v>0</v>
      </c>
      <c r="BP103" s="55">
        <v>-7.9742590207195052</v>
      </c>
      <c r="BQ103" s="77">
        <v>7.9742590207195052</v>
      </c>
      <c r="BR103" s="40">
        <v>0</v>
      </c>
      <c r="BS103" s="55">
        <v>-7.9742590207195052</v>
      </c>
      <c r="BT103" s="73">
        <v>0</v>
      </c>
      <c r="BU103" s="40">
        <v>0</v>
      </c>
      <c r="BV103" s="52">
        <v>0</v>
      </c>
      <c r="BW103" s="73">
        <v>0</v>
      </c>
      <c r="BX103" s="40">
        <v>0.9597643606604338</v>
      </c>
      <c r="BY103" s="52">
        <v>0.9597643606604338</v>
      </c>
      <c r="BZ103" s="73">
        <v>0</v>
      </c>
      <c r="CA103" s="40">
        <v>84.379357616618748</v>
      </c>
      <c r="CB103" s="52">
        <v>84.379357616618748</v>
      </c>
      <c r="CC103" s="73">
        <v>0</v>
      </c>
      <c r="CD103" s="40">
        <v>0</v>
      </c>
      <c r="CE103" s="52">
        <v>0</v>
      </c>
      <c r="CF103" s="73">
        <v>0</v>
      </c>
      <c r="CG103" s="40">
        <v>0</v>
      </c>
      <c r="CH103" s="52">
        <v>0</v>
      </c>
      <c r="CI103" s="73">
        <v>0</v>
      </c>
      <c r="CJ103" s="40">
        <v>0</v>
      </c>
      <c r="CK103" s="52">
        <v>0</v>
      </c>
      <c r="CL103" s="73">
        <v>0</v>
      </c>
      <c r="CM103" s="40">
        <v>0</v>
      </c>
      <c r="CN103" s="52">
        <v>0</v>
      </c>
      <c r="CO103" s="39">
        <v>0</v>
      </c>
      <c r="CP103" s="40">
        <v>0</v>
      </c>
      <c r="CQ103" s="52">
        <v>0</v>
      </c>
      <c r="CR103" s="72">
        <v>550.93630987361985</v>
      </c>
      <c r="CS103" s="5">
        <v>4678.4060313259333</v>
      </c>
      <c r="CT103" s="52">
        <v>4127.469721452313</v>
      </c>
      <c r="CU103" s="77">
        <v>661.12357184834377</v>
      </c>
      <c r="CV103" s="65">
        <v>5614.0872375911194</v>
      </c>
      <c r="CW103" s="35">
        <v>4952.9636657427754</v>
      </c>
      <c r="CX103" s="73">
        <v>36.91253264463495</v>
      </c>
      <c r="CY103" s="40">
        <v>-4916.0511330981408</v>
      </c>
      <c r="CZ103" s="52">
        <v>-4952.9636657427754</v>
      </c>
      <c r="DA103" s="150">
        <v>1208.7804133434947</v>
      </c>
      <c r="DB103" s="2">
        <v>1</v>
      </c>
      <c r="DC103" s="648">
        <v>1535.92</v>
      </c>
      <c r="DD103" s="648"/>
      <c r="DE103" s="649">
        <v>837.88389550702141</v>
      </c>
      <c r="DG103" s="321">
        <v>13184.221399404743</v>
      </c>
      <c r="DH103" s="5">
        <v>8376.433253915744</v>
      </c>
      <c r="DI103" s="306">
        <v>1.3427074476610463</v>
      </c>
      <c r="DJ103" s="306"/>
      <c r="DK103" s="306"/>
      <c r="DL103" s="28">
        <v>347.08987522038046</v>
      </c>
      <c r="DM103" s="28">
        <v>0</v>
      </c>
      <c r="DN103" s="650">
        <v>347.09</v>
      </c>
      <c r="DO103" s="94">
        <v>-1.2477961951162797E-4</v>
      </c>
      <c r="DP103" s="28">
        <v>347.08987522038046</v>
      </c>
      <c r="DQ103" s="318">
        <v>0</v>
      </c>
      <c r="DS103" s="8">
        <v>330.56178592417189</v>
      </c>
      <c r="DT103" s="5">
        <v>16.528089296208595</v>
      </c>
      <c r="DW103" s="5">
        <v>346.90466690802322</v>
      </c>
      <c r="DX103" s="5">
        <v>4964.3999999999996</v>
      </c>
    </row>
    <row r="104" spans="1:128" x14ac:dyDescent="0.3">
      <c r="A104" s="325">
        <v>150000592</v>
      </c>
      <c r="B104" s="41" t="s">
        <v>553</v>
      </c>
      <c r="C104" s="42" t="s">
        <v>354</v>
      </c>
      <c r="D104" s="42" t="s">
        <v>354</v>
      </c>
      <c r="E104" s="293">
        <v>9739.1999999999989</v>
      </c>
      <c r="F104" s="652">
        <v>9699.7999999999993</v>
      </c>
      <c r="G104" s="51">
        <v>1112.0499999999993</v>
      </c>
      <c r="H104" s="651">
        <v>39.4</v>
      </c>
      <c r="I104" s="73">
        <v>3570.0032719190849</v>
      </c>
      <c r="J104" s="40">
        <v>3970.1825218228228</v>
      </c>
      <c r="K104" s="52">
        <v>400.17924990373785</v>
      </c>
      <c r="L104" s="73">
        <v>639.54990134357342</v>
      </c>
      <c r="M104" s="40">
        <v>760.60123567930361</v>
      </c>
      <c r="N104" s="52">
        <v>121.05133433573019</v>
      </c>
      <c r="O104" s="73">
        <v>2012.8822570699933</v>
      </c>
      <c r="P104" s="40">
        <v>2012.88</v>
      </c>
      <c r="Q104" s="52">
        <v>-2.2570699932202842E-3</v>
      </c>
      <c r="R104" s="73">
        <v>419.06958677239334</v>
      </c>
      <c r="S104" s="40">
        <v>419.06</v>
      </c>
      <c r="T104" s="52">
        <v>-9.5867723933338311E-3</v>
      </c>
      <c r="U104" s="73">
        <v>511.42084596484887</v>
      </c>
      <c r="V104" s="40">
        <v>958.57872341643588</v>
      </c>
      <c r="W104" s="52">
        <v>447.15787745158701</v>
      </c>
      <c r="X104" s="73">
        <v>2438.5843622688003</v>
      </c>
      <c r="Y104" s="40">
        <v>3243.510136007143</v>
      </c>
      <c r="Z104" s="52">
        <v>804.92577373834274</v>
      </c>
      <c r="AA104" s="73">
        <v>779.34399999999994</v>
      </c>
      <c r="AB104" s="40">
        <v>0</v>
      </c>
      <c r="AC104" s="52">
        <v>-779.34399999999994</v>
      </c>
      <c r="AD104" s="73">
        <v>7016.6064897278038</v>
      </c>
      <c r="AE104" s="40">
        <v>8777.9910514450894</v>
      </c>
      <c r="AF104" s="35">
        <v>1761.3845617172856</v>
      </c>
      <c r="AG104" s="77">
        <v>17387.460715066496</v>
      </c>
      <c r="AH104" s="53">
        <v>20142.803668370794</v>
      </c>
      <c r="AI104" s="52">
        <v>2755.3429533042981</v>
      </c>
      <c r="AJ104" s="73">
        <v>10068.879999999999</v>
      </c>
      <c r="AK104" s="40">
        <v>9916.9901462949092</v>
      </c>
      <c r="AL104" s="52">
        <v>-151.88985370508999</v>
      </c>
      <c r="AM104" s="73">
        <v>840.59954000000005</v>
      </c>
      <c r="AN104" s="40">
        <v>620.83566041532481</v>
      </c>
      <c r="AO104" s="52">
        <v>-219.76387958467524</v>
      </c>
      <c r="AP104" s="73">
        <v>945.51874999999995</v>
      </c>
      <c r="AQ104" s="40">
        <v>0</v>
      </c>
      <c r="AR104" s="52">
        <v>-945.51874999999995</v>
      </c>
      <c r="AS104" s="73">
        <v>12446.544126757546</v>
      </c>
      <c r="AT104" s="40">
        <v>2996</v>
      </c>
      <c r="AU104" s="54">
        <v>-9450.5441267575461</v>
      </c>
      <c r="AV104" s="73">
        <v>1604.4559827419207</v>
      </c>
      <c r="AW104" s="40">
        <v>246</v>
      </c>
      <c r="AX104" s="55">
        <v>-1358.4559827419207</v>
      </c>
      <c r="AY104" s="73">
        <v>1795.4941160415506</v>
      </c>
      <c r="AZ104" s="40">
        <v>2572</v>
      </c>
      <c r="BA104" s="35">
        <v>776.50588395844943</v>
      </c>
      <c r="BB104" s="73">
        <v>714.84531953461601</v>
      </c>
      <c r="BC104" s="40">
        <v>0</v>
      </c>
      <c r="BD104" s="55">
        <v>-714.84531953461601</v>
      </c>
      <c r="BE104" s="73">
        <v>1999.126950981874</v>
      </c>
      <c r="BF104" s="40">
        <v>0</v>
      </c>
      <c r="BG104" s="38">
        <v>-1999.126950981874</v>
      </c>
      <c r="BH104" s="73">
        <v>2469.5941242384442</v>
      </c>
      <c r="BI104" s="40">
        <v>2653</v>
      </c>
      <c r="BJ104" s="55">
        <v>183.40587576155576</v>
      </c>
      <c r="BK104" s="73">
        <v>1898.2373633251268</v>
      </c>
      <c r="BL104" s="40">
        <v>342</v>
      </c>
      <c r="BM104" s="38">
        <v>-1556.2373633251268</v>
      </c>
      <c r="BN104" s="73">
        <v>131.69708546366533</v>
      </c>
      <c r="BO104" s="40">
        <v>0</v>
      </c>
      <c r="BP104" s="55">
        <v>-131.69708546366533</v>
      </c>
      <c r="BQ104" s="77">
        <v>10613.450942327197</v>
      </c>
      <c r="BR104" s="40">
        <v>5813</v>
      </c>
      <c r="BS104" s="55">
        <v>-4800.4509423271975</v>
      </c>
      <c r="BT104" s="73">
        <v>14989.402271954719</v>
      </c>
      <c r="BU104" s="40">
        <v>3480.1224010243172</v>
      </c>
      <c r="BV104" s="52">
        <v>-11509.279870930402</v>
      </c>
      <c r="BW104" s="73">
        <v>9721.7301303000004</v>
      </c>
      <c r="BX104" s="40">
        <v>10738.178740452624</v>
      </c>
      <c r="BY104" s="52">
        <v>1016.4486101526236</v>
      </c>
      <c r="BZ104" s="73">
        <v>3814.4526178875199</v>
      </c>
      <c r="CA104" s="40">
        <v>20177.367571380059</v>
      </c>
      <c r="CB104" s="52">
        <v>16362.914953492538</v>
      </c>
      <c r="CC104" s="73">
        <v>391.15687985</v>
      </c>
      <c r="CD104" s="40">
        <v>488.72898272796482</v>
      </c>
      <c r="CE104" s="52">
        <v>97.572102877964824</v>
      </c>
      <c r="CF104" s="73">
        <v>46.020288600000001</v>
      </c>
      <c r="CG104" s="40">
        <v>0</v>
      </c>
      <c r="CH104" s="52">
        <v>-46.020288600000001</v>
      </c>
      <c r="CI104" s="73">
        <v>4154.9399999999996</v>
      </c>
      <c r="CJ104" s="40">
        <v>4041.0953984118109</v>
      </c>
      <c r="CK104" s="52">
        <v>-113.84460158818865</v>
      </c>
      <c r="CL104" s="73">
        <v>6229.3</v>
      </c>
      <c r="CM104" s="40">
        <v>6060.8781399000718</v>
      </c>
      <c r="CN104" s="52">
        <v>-168.42186009992838</v>
      </c>
      <c r="CO104" s="39">
        <v>10384.24</v>
      </c>
      <c r="CP104" s="40">
        <v>10101.973538311882</v>
      </c>
      <c r="CQ104" s="52">
        <v>-282.26646168811749</v>
      </c>
      <c r="CR104" s="72">
        <v>91649.456262743479</v>
      </c>
      <c r="CS104" s="5">
        <v>84476.000708977866</v>
      </c>
      <c r="CT104" s="52">
        <v>-7173.4555537656124</v>
      </c>
      <c r="CU104" s="77">
        <v>109979.34751529217</v>
      </c>
      <c r="CV104" s="65">
        <v>101371.20085077344</v>
      </c>
      <c r="CW104" s="35">
        <v>-8608.146664518732</v>
      </c>
      <c r="CX104" s="73">
        <v>6140.4802797216189</v>
      </c>
      <c r="CY104" s="40">
        <v>14748.626944240357</v>
      </c>
      <c r="CZ104" s="52">
        <v>8608.1466645187393</v>
      </c>
      <c r="DA104" s="150">
        <v>44532.366071552715</v>
      </c>
      <c r="DB104" s="2">
        <v>1</v>
      </c>
      <c r="DC104" s="648">
        <v>107015.87</v>
      </c>
      <c r="DD104" s="648">
        <v>497.64</v>
      </c>
      <c r="DE104" s="649">
        <v>-8606.3177950138052</v>
      </c>
      <c r="DG104" s="321">
        <v>-31606.226489901077</v>
      </c>
      <c r="DH104" s="5">
        <v>1393437.9335401657</v>
      </c>
      <c r="DI104" s="306">
        <v>4.8413845889156235</v>
      </c>
      <c r="DJ104" s="306">
        <v>6.0753541083851443</v>
      </c>
      <c r="DK104" s="306">
        <v>4.2101294373975451</v>
      </c>
      <c r="DL104" s="28">
        <v>57557.483976388139</v>
      </c>
      <c r="DM104" s="28">
        <v>165.87909983346327</v>
      </c>
      <c r="DN104" s="650">
        <v>57557.83</v>
      </c>
      <c r="DO104" s="94">
        <v>-0.34602361186261987</v>
      </c>
      <c r="DP104" s="28">
        <v>57723.363076221605</v>
      </c>
      <c r="DQ104" s="318">
        <v>-15.794369306786393</v>
      </c>
      <c r="DS104" s="8">
        <v>54989.673757646087</v>
      </c>
      <c r="DT104" s="5">
        <v>2749.4836878823044</v>
      </c>
      <c r="DW104" s="5">
        <v>27671.994082901692</v>
      </c>
      <c r="DX104" s="5">
        <v>10570.8</v>
      </c>
    </row>
    <row r="105" spans="1:128" x14ac:dyDescent="0.3">
      <c r="A105" s="325">
        <v>150000599</v>
      </c>
      <c r="B105" s="41" t="s">
        <v>554</v>
      </c>
      <c r="C105" s="42" t="s">
        <v>78</v>
      </c>
      <c r="D105" s="42" t="s">
        <v>78</v>
      </c>
      <c r="E105" s="293">
        <v>250.4</v>
      </c>
      <c r="F105" s="305">
        <v>250.4</v>
      </c>
      <c r="G105" s="51"/>
      <c r="H105" s="651">
        <v>0</v>
      </c>
      <c r="I105" s="73">
        <v>0</v>
      </c>
      <c r="J105" s="40">
        <v>0</v>
      </c>
      <c r="K105" s="52">
        <v>0</v>
      </c>
      <c r="L105" s="73">
        <v>0</v>
      </c>
      <c r="M105" s="40">
        <v>0</v>
      </c>
      <c r="N105" s="52">
        <v>0</v>
      </c>
      <c r="O105" s="73">
        <v>0</v>
      </c>
      <c r="P105" s="40">
        <v>0</v>
      </c>
      <c r="Q105" s="52">
        <v>0</v>
      </c>
      <c r="R105" s="73">
        <v>0</v>
      </c>
      <c r="S105" s="40">
        <v>0</v>
      </c>
      <c r="T105" s="52">
        <v>0</v>
      </c>
      <c r="U105" s="73">
        <v>0</v>
      </c>
      <c r="V105" s="40">
        <v>0</v>
      </c>
      <c r="W105" s="52">
        <v>0</v>
      </c>
      <c r="X105" s="73">
        <v>0</v>
      </c>
      <c r="Y105" s="40">
        <v>0</v>
      </c>
      <c r="Z105" s="52">
        <v>0</v>
      </c>
      <c r="AA105" s="73">
        <v>20.032</v>
      </c>
      <c r="AB105" s="40">
        <v>0</v>
      </c>
      <c r="AC105" s="52">
        <v>-20.032</v>
      </c>
      <c r="AD105" s="73">
        <v>160.34103965800506</v>
      </c>
      <c r="AE105" s="40">
        <v>225.68680787763375</v>
      </c>
      <c r="AF105" s="35">
        <v>65.345768219628695</v>
      </c>
      <c r="AG105" s="77">
        <v>180.37303965800507</v>
      </c>
      <c r="AH105" s="53">
        <v>225.68680787763375</v>
      </c>
      <c r="AI105" s="52">
        <v>45.313768219628685</v>
      </c>
      <c r="AJ105" s="73">
        <v>0</v>
      </c>
      <c r="AK105" s="40">
        <v>0</v>
      </c>
      <c r="AL105" s="52">
        <v>0</v>
      </c>
      <c r="AM105" s="73">
        <v>0</v>
      </c>
      <c r="AN105" s="40">
        <v>0</v>
      </c>
      <c r="AO105" s="52">
        <v>0</v>
      </c>
      <c r="AP105" s="73">
        <v>94.551874999999995</v>
      </c>
      <c r="AQ105" s="40">
        <v>278.84941226305199</v>
      </c>
      <c r="AR105" s="52">
        <v>184.29753726305199</v>
      </c>
      <c r="AS105" s="73">
        <v>390.03692086965339</v>
      </c>
      <c r="AT105" s="40">
        <v>2297</v>
      </c>
      <c r="AU105" s="54">
        <v>1906.9630791303466</v>
      </c>
      <c r="AV105" s="73">
        <v>0</v>
      </c>
      <c r="AW105" s="40">
        <v>0</v>
      </c>
      <c r="AX105" s="55">
        <v>0</v>
      </c>
      <c r="AY105" s="73">
        <v>0</v>
      </c>
      <c r="AZ105" s="40">
        <v>0</v>
      </c>
      <c r="BA105" s="35">
        <v>0</v>
      </c>
      <c r="BB105" s="73">
        <v>0</v>
      </c>
      <c r="BC105" s="40">
        <v>0</v>
      </c>
      <c r="BD105" s="55">
        <v>0</v>
      </c>
      <c r="BE105" s="73">
        <v>0</v>
      </c>
      <c r="BF105" s="40">
        <v>0</v>
      </c>
      <c r="BG105" s="38">
        <v>0</v>
      </c>
      <c r="BH105" s="73">
        <v>0</v>
      </c>
      <c r="BI105" s="40">
        <v>0</v>
      </c>
      <c r="BJ105" s="55">
        <v>0</v>
      </c>
      <c r="BK105" s="73">
        <v>0</v>
      </c>
      <c r="BL105" s="40">
        <v>0</v>
      </c>
      <c r="BM105" s="38">
        <v>0</v>
      </c>
      <c r="BN105" s="73">
        <v>8.180725580308712</v>
      </c>
      <c r="BO105" s="40">
        <v>0</v>
      </c>
      <c r="BP105" s="55">
        <v>-8.180725580308712</v>
      </c>
      <c r="BQ105" s="77">
        <v>8.180725580308712</v>
      </c>
      <c r="BR105" s="40">
        <v>0</v>
      </c>
      <c r="BS105" s="55">
        <v>-8.180725580308712</v>
      </c>
      <c r="BT105" s="73">
        <v>0</v>
      </c>
      <c r="BU105" s="40">
        <v>0</v>
      </c>
      <c r="BV105" s="52">
        <v>0</v>
      </c>
      <c r="BW105" s="73">
        <v>0</v>
      </c>
      <c r="BX105" s="40">
        <v>0.92969050641923645</v>
      </c>
      <c r="BY105" s="52">
        <v>0.92969050641923645</v>
      </c>
      <c r="BZ105" s="73">
        <v>0</v>
      </c>
      <c r="CA105" s="40">
        <v>168.74769965130321</v>
      </c>
      <c r="CB105" s="52">
        <v>168.74769965130321</v>
      </c>
      <c r="CC105" s="73">
        <v>0</v>
      </c>
      <c r="CD105" s="40">
        <v>0</v>
      </c>
      <c r="CE105" s="52">
        <v>0</v>
      </c>
      <c r="CF105" s="73">
        <v>0</v>
      </c>
      <c r="CG105" s="40">
        <v>0</v>
      </c>
      <c r="CH105" s="52">
        <v>0</v>
      </c>
      <c r="CI105" s="73">
        <v>0</v>
      </c>
      <c r="CJ105" s="40">
        <v>0</v>
      </c>
      <c r="CK105" s="52">
        <v>0</v>
      </c>
      <c r="CL105" s="73">
        <v>0</v>
      </c>
      <c r="CM105" s="40">
        <v>0</v>
      </c>
      <c r="CN105" s="52">
        <v>0</v>
      </c>
      <c r="CO105" s="39">
        <v>0</v>
      </c>
      <c r="CP105" s="40">
        <v>0</v>
      </c>
      <c r="CQ105" s="52">
        <v>0</v>
      </c>
      <c r="CR105" s="72">
        <v>673.14256110796714</v>
      </c>
      <c r="CS105" s="5">
        <v>2971.2136102984082</v>
      </c>
      <c r="CT105" s="52">
        <v>2298.071049190441</v>
      </c>
      <c r="CU105" s="77">
        <v>807.77107332956052</v>
      </c>
      <c r="CV105" s="65">
        <v>3565.4563323580896</v>
      </c>
      <c r="CW105" s="35">
        <v>2757.6852590285289</v>
      </c>
      <c r="CX105" s="73">
        <v>45.100307088292652</v>
      </c>
      <c r="CY105" s="40">
        <v>-2712.5849519402364</v>
      </c>
      <c r="CZ105" s="52">
        <v>-2757.6852590285289</v>
      </c>
      <c r="DA105" s="150">
        <v>-2565.3689344116333</v>
      </c>
      <c r="DB105" s="2">
        <v>1</v>
      </c>
      <c r="DC105" s="648">
        <v>186.19</v>
      </c>
      <c r="DD105" s="648"/>
      <c r="DE105" s="649">
        <v>-666.68138041785323</v>
      </c>
      <c r="DG105" s="321">
        <v>10947.050698946452</v>
      </c>
      <c r="DH105" s="5">
        <v>10234.456565014238</v>
      </c>
      <c r="DI105" s="306">
        <v>1.6936094788259557</v>
      </c>
      <c r="DJ105" s="306"/>
      <c r="DK105" s="306"/>
      <c r="DL105" s="28">
        <v>424.07981349801929</v>
      </c>
      <c r="DM105" s="28">
        <v>0</v>
      </c>
      <c r="DN105" s="650">
        <v>424.07</v>
      </c>
      <c r="DO105" s="94">
        <v>9.8134980192980947E-3</v>
      </c>
      <c r="DP105" s="28">
        <v>424.07981349801929</v>
      </c>
      <c r="DQ105" s="318">
        <v>0</v>
      </c>
      <c r="DS105" s="8">
        <v>403.88553666478026</v>
      </c>
      <c r="DT105" s="5">
        <v>20.194276833239016</v>
      </c>
      <c r="DW105" s="5">
        <v>477.86117573995449</v>
      </c>
      <c r="DX105" s="5">
        <v>2756.4</v>
      </c>
    </row>
    <row r="106" spans="1:128" x14ac:dyDescent="0.3">
      <c r="A106" s="325">
        <v>150000601</v>
      </c>
      <c r="B106" s="41" t="s">
        <v>555</v>
      </c>
      <c r="C106" s="42" t="s">
        <v>79</v>
      </c>
      <c r="D106" s="42" t="s">
        <v>79</v>
      </c>
      <c r="E106" s="293">
        <v>232.7</v>
      </c>
      <c r="F106" s="305">
        <v>232.7</v>
      </c>
      <c r="G106" s="51"/>
      <c r="H106" s="651">
        <v>0</v>
      </c>
      <c r="I106" s="73">
        <v>0</v>
      </c>
      <c r="J106" s="40">
        <v>0</v>
      </c>
      <c r="K106" s="52">
        <v>0</v>
      </c>
      <c r="L106" s="73">
        <v>0</v>
      </c>
      <c r="M106" s="40">
        <v>0</v>
      </c>
      <c r="N106" s="52">
        <v>0</v>
      </c>
      <c r="O106" s="73">
        <v>0</v>
      </c>
      <c r="P106" s="40">
        <v>0</v>
      </c>
      <c r="Q106" s="52">
        <v>0</v>
      </c>
      <c r="R106" s="73">
        <v>0</v>
      </c>
      <c r="S106" s="40">
        <v>0</v>
      </c>
      <c r="T106" s="52">
        <v>0</v>
      </c>
      <c r="U106" s="73">
        <v>0</v>
      </c>
      <c r="V106" s="40">
        <v>0</v>
      </c>
      <c r="W106" s="52">
        <v>0</v>
      </c>
      <c r="X106" s="73">
        <v>0</v>
      </c>
      <c r="Y106" s="40">
        <v>0</v>
      </c>
      <c r="Z106" s="52">
        <v>0</v>
      </c>
      <c r="AA106" s="73">
        <v>18.616</v>
      </c>
      <c r="AB106" s="40">
        <v>0</v>
      </c>
      <c r="AC106" s="52">
        <v>-18.616</v>
      </c>
      <c r="AD106" s="73">
        <v>149.04514192485465</v>
      </c>
      <c r="AE106" s="40">
        <v>209.733706841555</v>
      </c>
      <c r="AF106" s="35">
        <v>60.688564916700358</v>
      </c>
      <c r="AG106" s="77">
        <v>167.66114192485463</v>
      </c>
      <c r="AH106" s="53">
        <v>209.733706841555</v>
      </c>
      <c r="AI106" s="52">
        <v>42.072564916700372</v>
      </c>
      <c r="AJ106" s="73">
        <v>0</v>
      </c>
      <c r="AK106" s="40">
        <v>0</v>
      </c>
      <c r="AL106" s="52">
        <v>0</v>
      </c>
      <c r="AM106" s="73">
        <v>0</v>
      </c>
      <c r="AN106" s="40">
        <v>0</v>
      </c>
      <c r="AO106" s="52">
        <v>0</v>
      </c>
      <c r="AP106" s="73">
        <v>81.944958333333332</v>
      </c>
      <c r="AQ106" s="40">
        <v>241.6694906279784</v>
      </c>
      <c r="AR106" s="52">
        <v>159.72453229464509</v>
      </c>
      <c r="AS106" s="73">
        <v>292.29327171953628</v>
      </c>
      <c r="AT106" s="40">
        <v>1839</v>
      </c>
      <c r="AU106" s="54">
        <v>1546.7067282804637</v>
      </c>
      <c r="AV106" s="73">
        <v>0</v>
      </c>
      <c r="AW106" s="40">
        <v>0</v>
      </c>
      <c r="AX106" s="55">
        <v>0</v>
      </c>
      <c r="AY106" s="73">
        <v>0</v>
      </c>
      <c r="AZ106" s="40">
        <v>0</v>
      </c>
      <c r="BA106" s="35">
        <v>0</v>
      </c>
      <c r="BB106" s="73">
        <v>0</v>
      </c>
      <c r="BC106" s="40">
        <v>0</v>
      </c>
      <c r="BD106" s="55">
        <v>0</v>
      </c>
      <c r="BE106" s="73">
        <v>0</v>
      </c>
      <c r="BF106" s="40">
        <v>0</v>
      </c>
      <c r="BG106" s="38">
        <v>0</v>
      </c>
      <c r="BH106" s="73">
        <v>0</v>
      </c>
      <c r="BI106" s="40">
        <v>0</v>
      </c>
      <c r="BJ106" s="55">
        <v>0</v>
      </c>
      <c r="BK106" s="73">
        <v>0</v>
      </c>
      <c r="BL106" s="40">
        <v>0</v>
      </c>
      <c r="BM106" s="38">
        <v>0</v>
      </c>
      <c r="BN106" s="73">
        <v>4.8343365262045817</v>
      </c>
      <c r="BO106" s="40">
        <v>0</v>
      </c>
      <c r="BP106" s="55">
        <v>-4.8343365262045817</v>
      </c>
      <c r="BQ106" s="77">
        <v>4.8343365262045817</v>
      </c>
      <c r="BR106" s="40">
        <v>0</v>
      </c>
      <c r="BS106" s="55">
        <v>-4.8343365262045817</v>
      </c>
      <c r="BT106" s="73">
        <v>0</v>
      </c>
      <c r="BU106" s="40">
        <v>0</v>
      </c>
      <c r="BV106" s="52">
        <v>0</v>
      </c>
      <c r="BW106" s="73">
        <v>0</v>
      </c>
      <c r="BX106" s="40">
        <v>0.8639735656699532</v>
      </c>
      <c r="BY106" s="52">
        <v>0.8639735656699532</v>
      </c>
      <c r="BZ106" s="73">
        <v>0</v>
      </c>
      <c r="CA106" s="40">
        <v>0</v>
      </c>
      <c r="CB106" s="52">
        <v>0</v>
      </c>
      <c r="CC106" s="73">
        <v>0</v>
      </c>
      <c r="CD106" s="40">
        <v>0</v>
      </c>
      <c r="CE106" s="52">
        <v>0</v>
      </c>
      <c r="CF106" s="73">
        <v>0</v>
      </c>
      <c r="CG106" s="40">
        <v>0</v>
      </c>
      <c r="CH106" s="52">
        <v>0</v>
      </c>
      <c r="CI106" s="73">
        <v>0</v>
      </c>
      <c r="CJ106" s="40">
        <v>0</v>
      </c>
      <c r="CK106" s="52">
        <v>0</v>
      </c>
      <c r="CL106" s="73">
        <v>0</v>
      </c>
      <c r="CM106" s="40">
        <v>0</v>
      </c>
      <c r="CN106" s="52">
        <v>0</v>
      </c>
      <c r="CO106" s="39">
        <v>0</v>
      </c>
      <c r="CP106" s="40">
        <v>0</v>
      </c>
      <c r="CQ106" s="52">
        <v>0</v>
      </c>
      <c r="CR106" s="72">
        <v>546.73370850392882</v>
      </c>
      <c r="CS106" s="5">
        <v>2291.2671710352033</v>
      </c>
      <c r="CT106" s="52">
        <v>1744.5334625312744</v>
      </c>
      <c r="CU106" s="77">
        <v>656.08045020471457</v>
      </c>
      <c r="CV106" s="65">
        <v>2749.5206052422441</v>
      </c>
      <c r="CW106" s="35">
        <v>2093.4401550375296</v>
      </c>
      <c r="CX106" s="73">
        <v>36.63095987937885</v>
      </c>
      <c r="CY106" s="40">
        <v>-2056.8091951581509</v>
      </c>
      <c r="CZ106" s="52">
        <v>-2093.4401550375296</v>
      </c>
      <c r="DA106" s="150">
        <v>-415.54005471872233</v>
      </c>
      <c r="DB106" s="2">
        <v>1</v>
      </c>
      <c r="DC106" s="648">
        <v>1900.76</v>
      </c>
      <c r="DD106" s="648"/>
      <c r="DE106" s="649">
        <v>1208.0485899159066</v>
      </c>
      <c r="DG106" s="321">
        <v>-1641.4945762849543</v>
      </c>
      <c r="DH106" s="5">
        <v>8312.5369210091194</v>
      </c>
      <c r="DI106" s="306">
        <v>1.4801986951331121</v>
      </c>
      <c r="DJ106" s="306"/>
      <c r="DK106" s="306"/>
      <c r="DL106" s="28">
        <v>344.44223635747517</v>
      </c>
      <c r="DM106" s="28">
        <v>0</v>
      </c>
      <c r="DN106" s="650">
        <v>344.43</v>
      </c>
      <c r="DO106" s="94">
        <v>1.2236357475160275E-2</v>
      </c>
      <c r="DP106" s="28">
        <v>344.44223635747517</v>
      </c>
      <c r="DQ106" s="318">
        <v>0</v>
      </c>
      <c r="DS106" s="8">
        <v>328.04022510235728</v>
      </c>
      <c r="DT106" s="5">
        <v>16.402011255117866</v>
      </c>
      <c r="DW106" s="5">
        <v>356.55312989488903</v>
      </c>
      <c r="DX106" s="5">
        <v>2206.7999999999997</v>
      </c>
    </row>
    <row r="107" spans="1:128" x14ac:dyDescent="0.3">
      <c r="A107" s="325">
        <v>150000593</v>
      </c>
      <c r="B107" s="41" t="s">
        <v>556</v>
      </c>
      <c r="C107" s="42" t="s">
        <v>256</v>
      </c>
      <c r="D107" s="42" t="s">
        <v>256</v>
      </c>
      <c r="E107" s="293">
        <v>1899.07</v>
      </c>
      <c r="F107" s="305">
        <v>1780.57</v>
      </c>
      <c r="G107" s="51"/>
      <c r="H107" s="651">
        <v>118.5</v>
      </c>
      <c r="I107" s="73">
        <v>892.05359000083729</v>
      </c>
      <c r="J107" s="40">
        <v>987.82239174801418</v>
      </c>
      <c r="K107" s="52">
        <v>95.768801747176894</v>
      </c>
      <c r="L107" s="73">
        <v>181.80272075287479</v>
      </c>
      <c r="M107" s="40">
        <v>212.63572325298878</v>
      </c>
      <c r="N107" s="52">
        <v>30.833002500113992</v>
      </c>
      <c r="O107" s="73">
        <v>374.78536256225334</v>
      </c>
      <c r="P107" s="40">
        <v>374.78</v>
      </c>
      <c r="Q107" s="52">
        <v>-5.3625622533672868E-3</v>
      </c>
      <c r="R107" s="73">
        <v>0</v>
      </c>
      <c r="S107" s="40">
        <v>0</v>
      </c>
      <c r="T107" s="52">
        <v>0</v>
      </c>
      <c r="U107" s="73">
        <v>0</v>
      </c>
      <c r="V107" s="40">
        <v>0</v>
      </c>
      <c r="W107" s="52">
        <v>0</v>
      </c>
      <c r="X107" s="73">
        <v>355.15090121412283</v>
      </c>
      <c r="Y107" s="40">
        <v>379.58712047676113</v>
      </c>
      <c r="Z107" s="52">
        <v>24.436219262638303</v>
      </c>
      <c r="AA107" s="73">
        <v>151.93520000000001</v>
      </c>
      <c r="AB107" s="40">
        <v>0</v>
      </c>
      <c r="AC107" s="52">
        <v>-151.93520000000001</v>
      </c>
      <c r="AD107" s="73">
        <v>1363.5100885747122</v>
      </c>
      <c r="AE107" s="40">
        <v>1711.6415584511897</v>
      </c>
      <c r="AF107" s="35">
        <v>348.13146987647747</v>
      </c>
      <c r="AG107" s="77">
        <v>3319.2378631048005</v>
      </c>
      <c r="AH107" s="53">
        <v>3666.4667939289538</v>
      </c>
      <c r="AI107" s="52">
        <v>347.22893082415339</v>
      </c>
      <c r="AJ107" s="73">
        <v>0</v>
      </c>
      <c r="AK107" s="40">
        <v>0</v>
      </c>
      <c r="AL107" s="52">
        <v>0</v>
      </c>
      <c r="AM107" s="73">
        <v>0</v>
      </c>
      <c r="AN107" s="40">
        <v>0</v>
      </c>
      <c r="AO107" s="52">
        <v>0</v>
      </c>
      <c r="AP107" s="73">
        <v>718.59424999999987</v>
      </c>
      <c r="AQ107" s="40">
        <v>2119.2555331991953</v>
      </c>
      <c r="AR107" s="52">
        <v>1400.6612831991954</v>
      </c>
      <c r="AS107" s="73">
        <v>1602.6050410732719</v>
      </c>
      <c r="AT107" s="40">
        <v>2920</v>
      </c>
      <c r="AU107" s="54">
        <v>1317.3949589267281</v>
      </c>
      <c r="AV107" s="73">
        <v>405.12165724875121</v>
      </c>
      <c r="AW107" s="40">
        <v>0</v>
      </c>
      <c r="AX107" s="55">
        <v>-405.12165724875121</v>
      </c>
      <c r="AY107" s="73">
        <v>503.2135618701252</v>
      </c>
      <c r="AZ107" s="40">
        <v>0</v>
      </c>
      <c r="BA107" s="35">
        <v>-503.2135618701252</v>
      </c>
      <c r="BB107" s="73">
        <v>46.722416497596598</v>
      </c>
      <c r="BC107" s="40">
        <v>0</v>
      </c>
      <c r="BD107" s="55">
        <v>-46.722416497596598</v>
      </c>
      <c r="BE107" s="73">
        <v>0</v>
      </c>
      <c r="BF107" s="40">
        <v>0</v>
      </c>
      <c r="BG107" s="38">
        <v>0</v>
      </c>
      <c r="BH107" s="73">
        <v>0</v>
      </c>
      <c r="BI107" s="40">
        <v>0</v>
      </c>
      <c r="BJ107" s="55">
        <v>0</v>
      </c>
      <c r="BK107" s="73">
        <v>191.31315447430163</v>
      </c>
      <c r="BL107" s="40">
        <v>0</v>
      </c>
      <c r="BM107" s="38">
        <v>-191.31315447430163</v>
      </c>
      <c r="BN107" s="73">
        <v>55.437999421960299</v>
      </c>
      <c r="BO107" s="40">
        <v>0</v>
      </c>
      <c r="BP107" s="55">
        <v>-55.437999421960299</v>
      </c>
      <c r="BQ107" s="77">
        <v>1201.8087895127348</v>
      </c>
      <c r="BR107" s="40">
        <v>0</v>
      </c>
      <c r="BS107" s="55">
        <v>-1201.8087895127348</v>
      </c>
      <c r="BT107" s="73">
        <v>1750.1303741657821</v>
      </c>
      <c r="BU107" s="40">
        <v>486.98502809548029</v>
      </c>
      <c r="BV107" s="52">
        <v>-1263.1453460703019</v>
      </c>
      <c r="BW107" s="73">
        <v>824.09108307832196</v>
      </c>
      <c r="BX107" s="40">
        <v>893.80841653710615</v>
      </c>
      <c r="BY107" s="52">
        <v>69.717333458784196</v>
      </c>
      <c r="BZ107" s="73">
        <v>1031.6157335326579</v>
      </c>
      <c r="CA107" s="40">
        <v>2959.8466146965338</v>
      </c>
      <c r="CB107" s="52">
        <v>1928.2308811638759</v>
      </c>
      <c r="CC107" s="73">
        <v>90.913518850000003</v>
      </c>
      <c r="CD107" s="40">
        <v>114.71153637993652</v>
      </c>
      <c r="CE107" s="52">
        <v>23.798017529936516</v>
      </c>
      <c r="CF107" s="73">
        <v>10.8016062</v>
      </c>
      <c r="CG107" s="40">
        <v>0</v>
      </c>
      <c r="CH107" s="52">
        <v>-10.8016062</v>
      </c>
      <c r="CI107" s="73">
        <v>345.72</v>
      </c>
      <c r="CJ107" s="40">
        <v>366.57242511322272</v>
      </c>
      <c r="CK107" s="52">
        <v>20.852425113222694</v>
      </c>
      <c r="CL107" s="73">
        <v>0</v>
      </c>
      <c r="CM107" s="40">
        <v>0</v>
      </c>
      <c r="CN107" s="52">
        <v>0</v>
      </c>
      <c r="CO107" s="39">
        <v>345.72</v>
      </c>
      <c r="CP107" s="40">
        <v>366.57242511322272</v>
      </c>
      <c r="CQ107" s="52">
        <v>20.852425113222694</v>
      </c>
      <c r="CR107" s="72">
        <v>10895.518259517568</v>
      </c>
      <c r="CS107" s="5">
        <v>13527.646347950429</v>
      </c>
      <c r="CT107" s="52">
        <v>2632.1280884328607</v>
      </c>
      <c r="CU107" s="77">
        <v>13074.621911421082</v>
      </c>
      <c r="CV107" s="65">
        <v>16233.175617540513</v>
      </c>
      <c r="CW107" s="35">
        <v>3158.5537061194318</v>
      </c>
      <c r="CX107" s="73">
        <v>729.99576580261225</v>
      </c>
      <c r="CY107" s="40">
        <v>-2428.5579403168194</v>
      </c>
      <c r="CZ107" s="52">
        <v>-3158.5537061194318</v>
      </c>
      <c r="DA107" s="150">
        <v>-16756.845977022625</v>
      </c>
      <c r="DB107" s="2">
        <v>1</v>
      </c>
      <c r="DC107" s="648">
        <v>10063.530000000001</v>
      </c>
      <c r="DD107" s="648">
        <v>0</v>
      </c>
      <c r="DE107" s="649">
        <v>-3741.0876772236934</v>
      </c>
      <c r="DG107" s="321">
        <v>-28144.565345749743</v>
      </c>
      <c r="DH107" s="5">
        <v>165655.41212668433</v>
      </c>
      <c r="DI107" s="306">
        <v>3.632457165403657</v>
      </c>
      <c r="DJ107" s="306"/>
      <c r="DK107" s="306">
        <v>3.3408974990162776</v>
      </c>
      <c r="DL107" s="28">
        <v>6467.8442550027894</v>
      </c>
      <c r="DM107" s="28">
        <v>395.89635363342887</v>
      </c>
      <c r="DN107" s="650">
        <v>6467.91</v>
      </c>
      <c r="DO107" s="94">
        <v>-6.5744997210458678E-2</v>
      </c>
      <c r="DP107" s="28">
        <v>6863.740608636218</v>
      </c>
      <c r="DQ107" s="318">
        <v>-0.43589485985012288</v>
      </c>
      <c r="DS107" s="8">
        <v>6537.3109557105408</v>
      </c>
      <c r="DT107" s="5">
        <v>326.86554778552704</v>
      </c>
      <c r="DW107" s="5">
        <v>3365.2965967032083</v>
      </c>
      <c r="DX107" s="5">
        <v>3504</v>
      </c>
    </row>
    <row r="108" spans="1:128" x14ac:dyDescent="0.3">
      <c r="A108" s="325">
        <v>150000594</v>
      </c>
      <c r="B108" s="41" t="s">
        <v>557</v>
      </c>
      <c r="C108" s="42" t="s">
        <v>355</v>
      </c>
      <c r="D108" s="42" t="s">
        <v>355</v>
      </c>
      <c r="E108" s="293">
        <v>9278.5500000000011</v>
      </c>
      <c r="F108" s="652">
        <v>9163.4500000000007</v>
      </c>
      <c r="G108" s="653">
        <v>932.85</v>
      </c>
      <c r="H108" s="651">
        <v>115.1</v>
      </c>
      <c r="I108" s="73">
        <v>3519.9270449082474</v>
      </c>
      <c r="J108" s="40">
        <v>3913.4481533973744</v>
      </c>
      <c r="K108" s="52">
        <v>393.52110848912707</v>
      </c>
      <c r="L108" s="73">
        <v>639.54990134357342</v>
      </c>
      <c r="M108" s="40">
        <v>758.69976935258728</v>
      </c>
      <c r="N108" s="52">
        <v>119.14986800901386</v>
      </c>
      <c r="O108" s="73">
        <v>1874.5331852501365</v>
      </c>
      <c r="P108" s="40">
        <v>1874.54</v>
      </c>
      <c r="Q108" s="52">
        <v>6.8147498634516523E-3</v>
      </c>
      <c r="R108" s="73">
        <v>399.55327486931668</v>
      </c>
      <c r="S108" s="40">
        <v>399.56</v>
      </c>
      <c r="T108" s="52">
        <v>6.7251306833213675E-3</v>
      </c>
      <c r="U108" s="73">
        <v>511.42084596484887</v>
      </c>
      <c r="V108" s="40">
        <v>958.57872341643588</v>
      </c>
      <c r="W108" s="52">
        <v>447.15787745158701</v>
      </c>
      <c r="X108" s="73">
        <v>2438.5843622688003</v>
      </c>
      <c r="Y108" s="40">
        <v>2695.8857106358441</v>
      </c>
      <c r="Z108" s="52">
        <v>257.30134836704383</v>
      </c>
      <c r="AA108" s="73">
        <v>742.38</v>
      </c>
      <c r="AB108" s="40">
        <v>0</v>
      </c>
      <c r="AC108" s="52">
        <v>-742.38</v>
      </c>
      <c r="AD108" s="73">
        <v>6683.6758671686475</v>
      </c>
      <c r="AE108" s="40">
        <v>8362.804837192567</v>
      </c>
      <c r="AF108" s="35">
        <v>1679.1289700239195</v>
      </c>
      <c r="AG108" s="77">
        <v>16809.624481773571</v>
      </c>
      <c r="AH108" s="53">
        <v>18963.517193994812</v>
      </c>
      <c r="AI108" s="52">
        <v>2153.8927122212408</v>
      </c>
      <c r="AJ108" s="73">
        <v>12207.88</v>
      </c>
      <c r="AK108" s="40">
        <v>12023.708260274656</v>
      </c>
      <c r="AL108" s="52">
        <v>-184.17173972534329</v>
      </c>
      <c r="AM108" s="73">
        <v>420.29977000000002</v>
      </c>
      <c r="AN108" s="40">
        <v>0</v>
      </c>
      <c r="AO108" s="52">
        <v>-420.29977000000002</v>
      </c>
      <c r="AP108" s="73">
        <v>914.00145833333318</v>
      </c>
      <c r="AQ108" s="40">
        <v>0</v>
      </c>
      <c r="AR108" s="52">
        <v>-914.00145833333318</v>
      </c>
      <c r="AS108" s="73">
        <v>11829.934505942996</v>
      </c>
      <c r="AT108" s="40">
        <v>1515</v>
      </c>
      <c r="AU108" s="54">
        <v>-10314.934505942996</v>
      </c>
      <c r="AV108" s="73">
        <v>1598.750706768659</v>
      </c>
      <c r="AW108" s="40">
        <v>0</v>
      </c>
      <c r="AX108" s="55">
        <v>-1598.750706768659</v>
      </c>
      <c r="AY108" s="73">
        <v>1795.4941160415506</v>
      </c>
      <c r="AZ108" s="40">
        <v>0</v>
      </c>
      <c r="BA108" s="35">
        <v>-1795.4941160415506</v>
      </c>
      <c r="BB108" s="73">
        <v>669.86354654519198</v>
      </c>
      <c r="BC108" s="40">
        <v>0</v>
      </c>
      <c r="BD108" s="55">
        <v>-669.86354654519198</v>
      </c>
      <c r="BE108" s="73">
        <v>1908.4029285701381</v>
      </c>
      <c r="BF108" s="40">
        <v>0</v>
      </c>
      <c r="BG108" s="38">
        <v>-1908.4029285701381</v>
      </c>
      <c r="BH108" s="73">
        <v>2469.5941242384442</v>
      </c>
      <c r="BI108" s="40">
        <v>0</v>
      </c>
      <c r="BJ108" s="55">
        <v>-2469.5941242384442</v>
      </c>
      <c r="BK108" s="73">
        <v>1898.2373633251268</v>
      </c>
      <c r="BL108" s="40">
        <v>0</v>
      </c>
      <c r="BM108" s="38">
        <v>-1898.2373633251268</v>
      </c>
      <c r="BN108" s="73">
        <v>131.69708546366533</v>
      </c>
      <c r="BO108" s="40">
        <v>0</v>
      </c>
      <c r="BP108" s="55">
        <v>-131.69708546366533</v>
      </c>
      <c r="BQ108" s="77">
        <v>10472.039870952774</v>
      </c>
      <c r="BR108" s="40">
        <v>0</v>
      </c>
      <c r="BS108" s="55">
        <v>-10472.039870952774</v>
      </c>
      <c r="BT108" s="73">
        <v>13158.559320059619</v>
      </c>
      <c r="BU108" s="40">
        <v>2838.6832101749046</v>
      </c>
      <c r="BV108" s="52">
        <v>-10319.876109884715</v>
      </c>
      <c r="BW108" s="73">
        <v>8056.5899443902399</v>
      </c>
      <c r="BX108" s="40">
        <v>8933.0032621784449</v>
      </c>
      <c r="BY108" s="52">
        <v>876.41331778820495</v>
      </c>
      <c r="BZ108" s="73">
        <v>1825.624756959656</v>
      </c>
      <c r="CA108" s="40">
        <v>16272.663422073041</v>
      </c>
      <c r="CB108" s="52">
        <v>14447.038665113385</v>
      </c>
      <c r="CC108" s="73">
        <v>340.27586846000003</v>
      </c>
      <c r="CD108" s="40">
        <v>424.52908085482386</v>
      </c>
      <c r="CE108" s="52">
        <v>84.253212394823834</v>
      </c>
      <c r="CF108" s="73">
        <v>39.975019920000001</v>
      </c>
      <c r="CG108" s="40">
        <v>0</v>
      </c>
      <c r="CH108" s="52">
        <v>-39.975019920000001</v>
      </c>
      <c r="CI108" s="73">
        <v>7605.98</v>
      </c>
      <c r="CJ108" s="40">
        <v>6228.0636278433249</v>
      </c>
      <c r="CK108" s="52">
        <v>-1377.9163721566747</v>
      </c>
      <c r="CL108" s="73">
        <v>2815.6435999999999</v>
      </c>
      <c r="CM108" s="40">
        <v>2413.7691617910818</v>
      </c>
      <c r="CN108" s="52">
        <v>-401.87443820891804</v>
      </c>
      <c r="CO108" s="39">
        <v>10421.623599999999</v>
      </c>
      <c r="CP108" s="40">
        <v>8641.8327896344072</v>
      </c>
      <c r="CQ108" s="52">
        <v>-1779.7908103655918</v>
      </c>
      <c r="CR108" s="72">
        <v>86496.42859679219</v>
      </c>
      <c r="CS108" s="5">
        <v>69612.9372191851</v>
      </c>
      <c r="CT108" s="52">
        <v>-16883.49137760709</v>
      </c>
      <c r="CU108" s="77">
        <v>103795.71431615062</v>
      </c>
      <c r="CV108" s="65">
        <v>83535.524663022123</v>
      </c>
      <c r="CW108" s="35">
        <v>-20260.189653128502</v>
      </c>
      <c r="CX108" s="73">
        <v>5795.2292978399437</v>
      </c>
      <c r="CY108" s="40">
        <v>26055.418950968451</v>
      </c>
      <c r="CZ108" s="52">
        <v>20260.189653128509</v>
      </c>
      <c r="DA108" s="150">
        <v>59599.727065106606</v>
      </c>
      <c r="DB108" s="2">
        <v>1</v>
      </c>
      <c r="DC108" s="648">
        <v>68400.34</v>
      </c>
      <c r="DD108" s="648">
        <v>3264.2799999999997</v>
      </c>
      <c r="DE108" s="649">
        <v>-37926.323613990578</v>
      </c>
      <c r="DG108" s="321">
        <v>-36139.291279823927</v>
      </c>
      <c r="DH108" s="5">
        <v>1315091.3233678869</v>
      </c>
      <c r="DI108" s="306">
        <v>4.8262132576931762</v>
      </c>
      <c r="DJ108" s="306">
        <v>6.0185609595179201</v>
      </c>
      <c r="DK108" s="306">
        <v>4.2767843560347254</v>
      </c>
      <c r="DL108" s="28">
        <v>54038.500870847274</v>
      </c>
      <c r="DM108" s="28">
        <v>492.25787937959689</v>
      </c>
      <c r="DN108" s="650">
        <v>54038.879999999997</v>
      </c>
      <c r="DO108" s="94">
        <v>-0.3791291527231806</v>
      </c>
      <c r="DP108" s="28">
        <v>54530.758750226873</v>
      </c>
      <c r="DQ108" s="318">
        <v>38.008734247792745</v>
      </c>
      <c r="DS108" s="8">
        <v>51897.857158075312</v>
      </c>
      <c r="DT108" s="5">
        <v>2594.8928579037656</v>
      </c>
      <c r="DW108" s="5">
        <v>26762.369252274922</v>
      </c>
      <c r="DX108" s="5">
        <v>1818</v>
      </c>
    </row>
    <row r="109" spans="1:128" x14ac:dyDescent="0.3">
      <c r="A109" s="325">
        <v>150000834</v>
      </c>
      <c r="B109" s="41" t="s">
        <v>558</v>
      </c>
      <c r="C109" s="42" t="s">
        <v>80</v>
      </c>
      <c r="D109" s="42" t="s">
        <v>80</v>
      </c>
      <c r="E109" s="293">
        <v>198.8</v>
      </c>
      <c r="F109" s="305">
        <v>198.8</v>
      </c>
      <c r="G109" s="51"/>
      <c r="H109" s="651">
        <v>0</v>
      </c>
      <c r="I109" s="73">
        <v>0</v>
      </c>
      <c r="J109" s="40">
        <v>0</v>
      </c>
      <c r="K109" s="52">
        <v>0</v>
      </c>
      <c r="L109" s="73">
        <v>0</v>
      </c>
      <c r="M109" s="40">
        <v>0</v>
      </c>
      <c r="N109" s="52">
        <v>0</v>
      </c>
      <c r="O109" s="73">
        <v>0</v>
      </c>
      <c r="P109" s="40">
        <v>0</v>
      </c>
      <c r="Q109" s="52">
        <v>0</v>
      </c>
      <c r="R109" s="73">
        <v>0</v>
      </c>
      <c r="S109" s="40">
        <v>0</v>
      </c>
      <c r="T109" s="52">
        <v>0</v>
      </c>
      <c r="U109" s="73">
        <v>0</v>
      </c>
      <c r="V109" s="40">
        <v>0</v>
      </c>
      <c r="W109" s="52">
        <v>0</v>
      </c>
      <c r="X109" s="73">
        <v>0</v>
      </c>
      <c r="Y109" s="40">
        <v>0</v>
      </c>
      <c r="Z109" s="52">
        <v>0</v>
      </c>
      <c r="AA109" s="73">
        <v>15.904000000000002</v>
      </c>
      <c r="AB109" s="40">
        <v>0</v>
      </c>
      <c r="AC109" s="52">
        <v>-15.904000000000002</v>
      </c>
      <c r="AD109" s="73">
        <v>127.33377023433007</v>
      </c>
      <c r="AE109" s="40">
        <v>179.17946248431946</v>
      </c>
      <c r="AF109" s="35">
        <v>51.845692249989384</v>
      </c>
      <c r="AG109" s="77">
        <v>143.23777023433007</v>
      </c>
      <c r="AH109" s="53">
        <v>179.17946248431946</v>
      </c>
      <c r="AI109" s="52">
        <v>35.941692249989387</v>
      </c>
      <c r="AJ109" s="73">
        <v>0</v>
      </c>
      <c r="AK109" s="40">
        <v>0</v>
      </c>
      <c r="AL109" s="52">
        <v>0</v>
      </c>
      <c r="AM109" s="73">
        <v>0</v>
      </c>
      <c r="AN109" s="40">
        <v>0</v>
      </c>
      <c r="AO109" s="52">
        <v>0</v>
      </c>
      <c r="AP109" s="73">
        <v>75.641499999999994</v>
      </c>
      <c r="AQ109" s="40">
        <v>0</v>
      </c>
      <c r="AR109" s="52">
        <v>-75.641499999999994</v>
      </c>
      <c r="AS109" s="73">
        <v>222.23424694969222</v>
      </c>
      <c r="AT109" s="40">
        <v>0</v>
      </c>
      <c r="AU109" s="54">
        <v>-222.23424694969222</v>
      </c>
      <c r="AV109" s="73">
        <v>0</v>
      </c>
      <c r="AW109" s="40">
        <v>0</v>
      </c>
      <c r="AX109" s="55">
        <v>0</v>
      </c>
      <c r="AY109" s="73">
        <v>0</v>
      </c>
      <c r="AZ109" s="40">
        <v>0</v>
      </c>
      <c r="BA109" s="35">
        <v>0</v>
      </c>
      <c r="BB109" s="73">
        <v>0</v>
      </c>
      <c r="BC109" s="40">
        <v>0</v>
      </c>
      <c r="BD109" s="55">
        <v>0</v>
      </c>
      <c r="BE109" s="73">
        <v>0</v>
      </c>
      <c r="BF109" s="40">
        <v>0</v>
      </c>
      <c r="BG109" s="38">
        <v>0</v>
      </c>
      <c r="BH109" s="73">
        <v>0</v>
      </c>
      <c r="BI109" s="40">
        <v>0</v>
      </c>
      <c r="BJ109" s="55">
        <v>0</v>
      </c>
      <c r="BK109" s="73">
        <v>0</v>
      </c>
      <c r="BL109" s="40">
        <v>0</v>
      </c>
      <c r="BM109" s="38">
        <v>0</v>
      </c>
      <c r="BN109" s="73">
        <v>6.9417443134978658</v>
      </c>
      <c r="BO109" s="40">
        <v>0</v>
      </c>
      <c r="BP109" s="55">
        <v>-6.9417443134978658</v>
      </c>
      <c r="BQ109" s="77">
        <v>6.9417443134978658</v>
      </c>
      <c r="BR109" s="40">
        <v>0</v>
      </c>
      <c r="BS109" s="55">
        <v>-6.9417443134978658</v>
      </c>
      <c r="BT109" s="73">
        <v>0</v>
      </c>
      <c r="BU109" s="40">
        <v>0</v>
      </c>
      <c r="BV109" s="52">
        <v>0</v>
      </c>
      <c r="BW109" s="73">
        <v>0</v>
      </c>
      <c r="BX109" s="40">
        <v>0.73810891643827548</v>
      </c>
      <c r="BY109" s="52">
        <v>0.73810891643827548</v>
      </c>
      <c r="BZ109" s="73">
        <v>0</v>
      </c>
      <c r="CA109" s="40">
        <v>0</v>
      </c>
      <c r="CB109" s="52">
        <v>0</v>
      </c>
      <c r="CC109" s="73">
        <v>0</v>
      </c>
      <c r="CD109" s="40">
        <v>0</v>
      </c>
      <c r="CE109" s="52">
        <v>0</v>
      </c>
      <c r="CF109" s="73">
        <v>0</v>
      </c>
      <c r="CG109" s="40">
        <v>0</v>
      </c>
      <c r="CH109" s="52">
        <v>0</v>
      </c>
      <c r="CI109" s="73">
        <v>0</v>
      </c>
      <c r="CJ109" s="40">
        <v>0</v>
      </c>
      <c r="CK109" s="52">
        <v>0</v>
      </c>
      <c r="CL109" s="73">
        <v>0</v>
      </c>
      <c r="CM109" s="40">
        <v>0</v>
      </c>
      <c r="CN109" s="52">
        <v>0</v>
      </c>
      <c r="CO109" s="39">
        <v>0</v>
      </c>
      <c r="CP109" s="40">
        <v>0</v>
      </c>
      <c r="CQ109" s="52">
        <v>0</v>
      </c>
      <c r="CR109" s="72">
        <v>448.05526149752012</v>
      </c>
      <c r="CS109" s="5">
        <v>179.91757140075774</v>
      </c>
      <c r="CT109" s="52">
        <v>-268.13769009676241</v>
      </c>
      <c r="CU109" s="77">
        <v>537.66631379702415</v>
      </c>
      <c r="CV109" s="65">
        <v>215.90108568090929</v>
      </c>
      <c r="CW109" s="35">
        <v>-321.76522811611483</v>
      </c>
      <c r="CX109" s="73">
        <v>30.019539772975818</v>
      </c>
      <c r="CY109" s="40">
        <v>351.78476788909063</v>
      </c>
      <c r="CZ109" s="52">
        <v>321.76522811611483</v>
      </c>
      <c r="DA109" s="150">
        <v>-2068.9266919566489</v>
      </c>
      <c r="DB109" s="2">
        <v>1</v>
      </c>
      <c r="DC109" s="648">
        <v>1378.3</v>
      </c>
      <c r="DD109" s="648"/>
      <c r="DE109" s="649">
        <v>810.61414643000001</v>
      </c>
      <c r="DG109" s="321">
        <v>-3836.8354156020819</v>
      </c>
      <c r="DH109" s="5">
        <v>6812.2302428399998</v>
      </c>
      <c r="DI109" s="306">
        <v>1.4198934343231271</v>
      </c>
      <c r="DJ109" s="306"/>
      <c r="DK109" s="306"/>
      <c r="DL109" s="28">
        <v>282.27481474343767</v>
      </c>
      <c r="DM109" s="28">
        <v>0</v>
      </c>
      <c r="DN109" s="650">
        <v>282.29000000000002</v>
      </c>
      <c r="DO109" s="94">
        <v>-1.5185256562347149E-2</v>
      </c>
      <c r="DP109" s="28">
        <v>282.27481474343767</v>
      </c>
      <c r="DQ109" s="318">
        <v>0</v>
      </c>
      <c r="DS109" s="8">
        <v>268.83315689851207</v>
      </c>
      <c r="DT109" s="5">
        <v>13.441657844925603</v>
      </c>
      <c r="DW109" s="5">
        <v>275.01118951582811</v>
      </c>
      <c r="DX109" s="5">
        <v>0</v>
      </c>
    </row>
    <row r="110" spans="1:128" x14ac:dyDescent="0.3">
      <c r="A110" s="325">
        <v>150000627</v>
      </c>
      <c r="B110" s="41" t="s">
        <v>559</v>
      </c>
      <c r="C110" s="42" t="s">
        <v>356</v>
      </c>
      <c r="D110" s="42" t="s">
        <v>356</v>
      </c>
      <c r="E110" s="293">
        <v>3777.29</v>
      </c>
      <c r="F110" s="652">
        <v>3713.99</v>
      </c>
      <c r="G110" s="51">
        <v>340.25</v>
      </c>
      <c r="H110" s="651">
        <v>63.3</v>
      </c>
      <c r="I110" s="73">
        <v>1420.1030984085685</v>
      </c>
      <c r="J110" s="40">
        <v>1578.3380746960702</v>
      </c>
      <c r="K110" s="52">
        <v>158.23497628750169</v>
      </c>
      <c r="L110" s="73">
        <v>306.71027918117477</v>
      </c>
      <c r="M110" s="40">
        <v>361.07972799806294</v>
      </c>
      <c r="N110" s="52">
        <v>54.369448816888166</v>
      </c>
      <c r="O110" s="73">
        <v>840.89271657515656</v>
      </c>
      <c r="P110" s="40">
        <v>840.9</v>
      </c>
      <c r="Q110" s="52">
        <v>7.2834248434219262E-3</v>
      </c>
      <c r="R110" s="73">
        <v>153.92973110740337</v>
      </c>
      <c r="S110" s="40">
        <v>153.94</v>
      </c>
      <c r="T110" s="52">
        <v>1.0268892596627666E-2</v>
      </c>
      <c r="U110" s="73">
        <v>86.533130947417462</v>
      </c>
      <c r="V110" s="40">
        <v>179.1088556664759</v>
      </c>
      <c r="W110" s="52">
        <v>92.575724719058442</v>
      </c>
      <c r="X110" s="73">
        <v>911.6224999370254</v>
      </c>
      <c r="Y110" s="40">
        <v>1679.0874045766891</v>
      </c>
      <c r="Z110" s="52">
        <v>767.4649046396637</v>
      </c>
      <c r="AA110" s="73">
        <v>302.18240000000003</v>
      </c>
      <c r="AB110" s="40">
        <v>0</v>
      </c>
      <c r="AC110" s="52">
        <v>-302.18240000000003</v>
      </c>
      <c r="AD110" s="73">
        <v>2718.71358215394</v>
      </c>
      <c r="AE110" s="40">
        <v>3404.4909046649645</v>
      </c>
      <c r="AF110" s="35">
        <v>685.77732251102452</v>
      </c>
      <c r="AG110" s="77">
        <v>6740.687438310686</v>
      </c>
      <c r="AH110" s="53">
        <v>8196.9449676022632</v>
      </c>
      <c r="AI110" s="52">
        <v>1456.2575292915772</v>
      </c>
      <c r="AJ110" s="73">
        <v>7669.04</v>
      </c>
      <c r="AK110" s="40">
        <v>7553.3551891468987</v>
      </c>
      <c r="AL110" s="52">
        <v>-115.68481085310123</v>
      </c>
      <c r="AM110" s="73">
        <v>0</v>
      </c>
      <c r="AN110" s="40">
        <v>0</v>
      </c>
      <c r="AO110" s="52">
        <v>0</v>
      </c>
      <c r="AP110" s="73">
        <v>447.54554166666662</v>
      </c>
      <c r="AQ110" s="40">
        <v>0</v>
      </c>
      <c r="AR110" s="52">
        <v>-447.54554166666662</v>
      </c>
      <c r="AS110" s="73">
        <v>4912.3583701572452</v>
      </c>
      <c r="AT110" s="40">
        <v>63190</v>
      </c>
      <c r="AU110" s="54">
        <v>58277.641629842758</v>
      </c>
      <c r="AV110" s="73">
        <v>651.31630726190178</v>
      </c>
      <c r="AW110" s="40">
        <v>246</v>
      </c>
      <c r="AX110" s="55">
        <v>-405.31630726190178</v>
      </c>
      <c r="AY110" s="73">
        <v>806.32369443252969</v>
      </c>
      <c r="AZ110" s="40">
        <v>2681</v>
      </c>
      <c r="BA110" s="35">
        <v>1874.6763055674703</v>
      </c>
      <c r="BB110" s="73">
        <v>263.19819489696681</v>
      </c>
      <c r="BC110" s="40">
        <v>0</v>
      </c>
      <c r="BD110" s="55">
        <v>-263.19819489696681</v>
      </c>
      <c r="BE110" s="73">
        <v>736.75858932712595</v>
      </c>
      <c r="BF110" s="40">
        <v>0</v>
      </c>
      <c r="BG110" s="38">
        <v>-736.75858932712595</v>
      </c>
      <c r="BH110" s="73">
        <v>417.92545115516577</v>
      </c>
      <c r="BI110" s="40">
        <v>0</v>
      </c>
      <c r="BJ110" s="55">
        <v>-417.92545115516577</v>
      </c>
      <c r="BK110" s="73">
        <v>646.60166402640562</v>
      </c>
      <c r="BL110" s="40">
        <v>0</v>
      </c>
      <c r="BM110" s="38">
        <v>-646.60166402640562</v>
      </c>
      <c r="BN110" s="73">
        <v>45.814489168375502</v>
      </c>
      <c r="BO110" s="40">
        <v>0</v>
      </c>
      <c r="BP110" s="55">
        <v>-45.814489168375502</v>
      </c>
      <c r="BQ110" s="77">
        <v>3567.9383902684708</v>
      </c>
      <c r="BR110" s="40">
        <v>2927</v>
      </c>
      <c r="BS110" s="55">
        <v>-640.93839026847081</v>
      </c>
      <c r="BT110" s="73">
        <v>4800.6432706508804</v>
      </c>
      <c r="BU110" s="40">
        <v>1046.1445282773614</v>
      </c>
      <c r="BV110" s="52">
        <v>-3754.4987423735192</v>
      </c>
      <c r="BW110" s="73">
        <v>4440.4191401153603</v>
      </c>
      <c r="BX110" s="40">
        <v>5131.9204624059294</v>
      </c>
      <c r="BY110" s="52">
        <v>691.50132229056908</v>
      </c>
      <c r="BZ110" s="73">
        <v>768.24857936476997</v>
      </c>
      <c r="CA110" s="40">
        <v>6242.2384637622808</v>
      </c>
      <c r="CB110" s="52">
        <v>5473.9898843975107</v>
      </c>
      <c r="CC110" s="73">
        <v>159.74763981000001</v>
      </c>
      <c r="CD110" s="40">
        <v>198.9618580573017</v>
      </c>
      <c r="CE110" s="52">
        <v>39.214218247301687</v>
      </c>
      <c r="CF110" s="73">
        <v>18.734886719999999</v>
      </c>
      <c r="CG110" s="40">
        <v>0</v>
      </c>
      <c r="CH110" s="52">
        <v>-18.734886719999999</v>
      </c>
      <c r="CI110" s="73">
        <v>2463.6799999999998</v>
      </c>
      <c r="CJ110" s="40">
        <v>2550.6858539139753</v>
      </c>
      <c r="CK110" s="52">
        <v>87.005853913975443</v>
      </c>
      <c r="CL110" s="73">
        <v>1470.1148000000001</v>
      </c>
      <c r="CM110" s="40">
        <v>1369.4656775157978</v>
      </c>
      <c r="CN110" s="52">
        <v>-100.64912248420228</v>
      </c>
      <c r="CO110" s="39">
        <v>3933.7947999999997</v>
      </c>
      <c r="CP110" s="40">
        <v>3920.1515314297731</v>
      </c>
      <c r="CQ110" s="52">
        <v>-13.64326857022661</v>
      </c>
      <c r="CR110" s="72">
        <v>37459.15805706408</v>
      </c>
      <c r="CS110" s="5">
        <v>98406.717000681805</v>
      </c>
      <c r="CT110" s="52">
        <v>60947.558943617725</v>
      </c>
      <c r="CU110" s="77">
        <v>44950.989668476897</v>
      </c>
      <c r="CV110" s="65">
        <v>118088.06040081815</v>
      </c>
      <c r="CW110" s="35">
        <v>73137.070732341264</v>
      </c>
      <c r="CX110" s="73">
        <v>2509.7499835127965</v>
      </c>
      <c r="CY110" s="40">
        <v>-70627.320748828468</v>
      </c>
      <c r="CZ110" s="52">
        <v>-73137.070732341264</v>
      </c>
      <c r="DA110" s="150">
        <v>102568.94226668082</v>
      </c>
      <c r="DB110" s="2">
        <v>1</v>
      </c>
      <c r="DC110" s="648">
        <v>63391.41</v>
      </c>
      <c r="DD110" s="648">
        <v>756.33</v>
      </c>
      <c r="DE110" s="649">
        <v>16687.000348010311</v>
      </c>
      <c r="DG110" s="321">
        <v>46523.255263857915</v>
      </c>
      <c r="DH110" s="5">
        <v>569528.87582387635</v>
      </c>
      <c r="DI110" s="306">
        <v>4.7360220104286359</v>
      </c>
      <c r="DJ110" s="306">
        <v>6.4426452216221808</v>
      </c>
      <c r="DK110" s="306">
        <v>3.9827966138802759</v>
      </c>
      <c r="DL110" s="28">
        <v>23347.241379043957</v>
      </c>
      <c r="DM110" s="28">
        <v>252.11102565862146</v>
      </c>
      <c r="DN110" s="650">
        <v>23347.02</v>
      </c>
      <c r="DO110" s="94">
        <v>0.22137904395640362</v>
      </c>
      <c r="DP110" s="28">
        <v>23599.352404702578</v>
      </c>
      <c r="DQ110" s="318">
        <v>8.2828752209024969E-2</v>
      </c>
      <c r="DS110" s="8">
        <v>22475.494834238449</v>
      </c>
      <c r="DT110" s="5">
        <v>1123.7747417119224</v>
      </c>
      <c r="DW110" s="5">
        <v>10176.356112510859</v>
      </c>
      <c r="DX110" s="5">
        <v>79340.399999999994</v>
      </c>
    </row>
    <row r="111" spans="1:128" x14ac:dyDescent="0.3">
      <c r="A111" s="325">
        <v>150000628</v>
      </c>
      <c r="B111" s="41" t="s">
        <v>560</v>
      </c>
      <c r="C111" s="42" t="s">
        <v>357</v>
      </c>
      <c r="D111" s="42" t="s">
        <v>357</v>
      </c>
      <c r="E111" s="293">
        <v>4652.96</v>
      </c>
      <c r="F111" s="652">
        <v>4509.26</v>
      </c>
      <c r="G111" s="51">
        <v>368.39999999999964</v>
      </c>
      <c r="H111" s="651">
        <v>143.69999999999999</v>
      </c>
      <c r="I111" s="73">
        <v>2300.5189474610829</v>
      </c>
      <c r="J111" s="40">
        <v>2558.0581396877778</v>
      </c>
      <c r="K111" s="52">
        <v>257.53919222669492</v>
      </c>
      <c r="L111" s="73">
        <v>374.62597316343647</v>
      </c>
      <c r="M111" s="40">
        <v>441.19131733210287</v>
      </c>
      <c r="N111" s="52">
        <v>66.5653441686664</v>
      </c>
      <c r="O111" s="73">
        <v>973.95799038679343</v>
      </c>
      <c r="P111" s="40">
        <v>973.96</v>
      </c>
      <c r="Q111" s="52">
        <v>2.0096132066100836E-3</v>
      </c>
      <c r="R111" s="73">
        <v>188.41758519479333</v>
      </c>
      <c r="S111" s="40">
        <v>188.42</v>
      </c>
      <c r="T111" s="52">
        <v>2.4148052066550463E-3</v>
      </c>
      <c r="U111" s="73">
        <v>86.533130947417462</v>
      </c>
      <c r="V111" s="40">
        <v>179.1088556664759</v>
      </c>
      <c r="W111" s="52">
        <v>92.575724719058442</v>
      </c>
      <c r="X111" s="73">
        <v>747.88679632742299</v>
      </c>
      <c r="Y111" s="40">
        <v>832.91205302135575</v>
      </c>
      <c r="Z111" s="52">
        <v>85.025256693932761</v>
      </c>
      <c r="AA111" s="73">
        <v>372.12159999999994</v>
      </c>
      <c r="AB111" s="40">
        <v>0</v>
      </c>
      <c r="AC111" s="52">
        <v>-372.12159999999994</v>
      </c>
      <c r="AD111" s="73">
        <v>3345.3332989530645</v>
      </c>
      <c r="AE111" s="40">
        <v>4193.7367794820875</v>
      </c>
      <c r="AF111" s="35">
        <v>848.403480529023</v>
      </c>
      <c r="AG111" s="77">
        <v>8389.3953224340112</v>
      </c>
      <c r="AH111" s="53">
        <v>9367.3871451898012</v>
      </c>
      <c r="AI111" s="52">
        <v>977.99182275579005</v>
      </c>
      <c r="AJ111" s="73">
        <v>5521.72</v>
      </c>
      <c r="AK111" s="40">
        <v>5438.4201185626225</v>
      </c>
      <c r="AL111" s="52">
        <v>-83.299881437377735</v>
      </c>
      <c r="AM111" s="73">
        <v>0</v>
      </c>
      <c r="AN111" s="40">
        <v>0</v>
      </c>
      <c r="AO111" s="52">
        <v>0</v>
      </c>
      <c r="AP111" s="73">
        <v>441.24208333333331</v>
      </c>
      <c r="AQ111" s="40">
        <v>2602.594514455152</v>
      </c>
      <c r="AR111" s="52">
        <v>2161.3524311218189</v>
      </c>
      <c r="AS111" s="73">
        <v>5659.7908479699799</v>
      </c>
      <c r="AT111" s="40">
        <v>6960</v>
      </c>
      <c r="AU111" s="54">
        <v>1300.2091520300201</v>
      </c>
      <c r="AV111" s="73">
        <v>964.92961743422711</v>
      </c>
      <c r="AW111" s="40">
        <v>0</v>
      </c>
      <c r="AX111" s="55">
        <v>-964.92961743422711</v>
      </c>
      <c r="AY111" s="73">
        <v>1003.0566406355842</v>
      </c>
      <c r="AZ111" s="40">
        <v>0</v>
      </c>
      <c r="BA111" s="35">
        <v>-1003.0566406355842</v>
      </c>
      <c r="BB111" s="73">
        <v>301.75016628169658</v>
      </c>
      <c r="BC111" s="40">
        <v>0</v>
      </c>
      <c r="BD111" s="55">
        <v>-301.75016628169658</v>
      </c>
      <c r="BE111" s="73">
        <v>904.64565073326594</v>
      </c>
      <c r="BF111" s="40">
        <v>0</v>
      </c>
      <c r="BG111" s="38">
        <v>-904.64565073326594</v>
      </c>
      <c r="BH111" s="73">
        <v>417.92545115516577</v>
      </c>
      <c r="BI111" s="40">
        <v>0</v>
      </c>
      <c r="BJ111" s="55">
        <v>-417.92545115516577</v>
      </c>
      <c r="BK111" s="73">
        <v>457.91117706030275</v>
      </c>
      <c r="BL111" s="40">
        <v>0</v>
      </c>
      <c r="BM111" s="38">
        <v>-457.91117706030275</v>
      </c>
      <c r="BN111" s="73">
        <v>46.278093301901784</v>
      </c>
      <c r="BO111" s="40">
        <v>0</v>
      </c>
      <c r="BP111" s="55">
        <v>-46.278093301901784</v>
      </c>
      <c r="BQ111" s="77">
        <v>4096.4967966021441</v>
      </c>
      <c r="BR111" s="40">
        <v>0</v>
      </c>
      <c r="BS111" s="55">
        <v>-4096.4967966021441</v>
      </c>
      <c r="BT111" s="73">
        <v>5867.05671493104</v>
      </c>
      <c r="BU111" s="40">
        <v>2290.3043362584285</v>
      </c>
      <c r="BV111" s="52">
        <v>-3576.7523786726115</v>
      </c>
      <c r="BW111" s="73">
        <v>4489.3768502942203</v>
      </c>
      <c r="BX111" s="40">
        <v>5922.0218670648301</v>
      </c>
      <c r="BY111" s="52">
        <v>1432.6450167706098</v>
      </c>
      <c r="BZ111" s="73">
        <v>1126.6877512313199</v>
      </c>
      <c r="CA111" s="40">
        <v>9850.2282118501462</v>
      </c>
      <c r="CB111" s="52">
        <v>8723.5404606188258</v>
      </c>
      <c r="CC111" s="73">
        <v>143.1301589025</v>
      </c>
      <c r="CD111" s="40">
        <v>171.92271019631664</v>
      </c>
      <c r="CE111" s="52">
        <v>28.792551293816643</v>
      </c>
      <c r="CF111" s="73">
        <v>16.188793830000002</v>
      </c>
      <c r="CG111" s="40">
        <v>0</v>
      </c>
      <c r="CH111" s="52">
        <v>-16.188793830000002</v>
      </c>
      <c r="CI111" s="73">
        <v>1566.66</v>
      </c>
      <c r="CJ111" s="40">
        <v>1529.0821358768203</v>
      </c>
      <c r="CK111" s="52">
        <v>-37.577864123179779</v>
      </c>
      <c r="CL111" s="73">
        <v>2348.4461000000001</v>
      </c>
      <c r="CM111" s="40">
        <v>2291.3246694080144</v>
      </c>
      <c r="CN111" s="52">
        <v>-57.1214305919857</v>
      </c>
      <c r="CO111" s="39">
        <v>3915.1061</v>
      </c>
      <c r="CP111" s="40">
        <v>3820.4068052848347</v>
      </c>
      <c r="CQ111" s="52">
        <v>-94.699294715165252</v>
      </c>
      <c r="CR111" s="72">
        <v>39666.19141952855</v>
      </c>
      <c r="CS111" s="5">
        <v>46423.285708862139</v>
      </c>
      <c r="CT111" s="52">
        <v>6757.0942893335887</v>
      </c>
      <c r="CU111" s="77">
        <v>47599.42970343426</v>
      </c>
      <c r="CV111" s="65">
        <v>55707.942850634565</v>
      </c>
      <c r="CW111" s="35">
        <v>8108.513147200305</v>
      </c>
      <c r="CX111" s="73">
        <v>2657.6204171359786</v>
      </c>
      <c r="CY111" s="40">
        <v>-5450.8927300643263</v>
      </c>
      <c r="CZ111" s="52">
        <v>-8108.513147200305</v>
      </c>
      <c r="DA111" s="150">
        <v>17008.416588375978</v>
      </c>
      <c r="DB111" s="2">
        <v>1</v>
      </c>
      <c r="DC111" s="648">
        <v>45280.09</v>
      </c>
      <c r="DD111" s="648">
        <v>261.38</v>
      </c>
      <c r="DE111" s="649">
        <v>-4715.5801205702446</v>
      </c>
      <c r="DG111" s="321">
        <v>-22299.040364477587</v>
      </c>
      <c r="DH111" s="5">
        <v>603084.60144684289</v>
      </c>
      <c r="DI111" s="306">
        <v>4.3258239361934345</v>
      </c>
      <c r="DJ111" s="306">
        <v>5.5236288374356377</v>
      </c>
      <c r="DK111" s="306">
        <v>3.6984014979227497</v>
      </c>
      <c r="DL111" s="28">
        <v>24466.207245877398</v>
      </c>
      <c r="DM111" s="28">
        <v>531.46029525149913</v>
      </c>
      <c r="DN111" s="650">
        <v>24466.080000000002</v>
      </c>
      <c r="DO111" s="94">
        <v>0.12724587739648996</v>
      </c>
      <c r="DP111" s="28">
        <v>24997.667541128896</v>
      </c>
      <c r="DQ111" s="318">
        <v>7.9669468259089626</v>
      </c>
      <c r="DS111" s="8">
        <v>23799.71485171713</v>
      </c>
      <c r="DT111" s="5">
        <v>1189.9857425858565</v>
      </c>
      <c r="DW111" s="5">
        <v>11707.545173486547</v>
      </c>
      <c r="DX111" s="5">
        <v>8352</v>
      </c>
    </row>
    <row r="112" spans="1:128" x14ac:dyDescent="0.3">
      <c r="A112" s="325">
        <v>150000625</v>
      </c>
      <c r="B112" s="41" t="s">
        <v>561</v>
      </c>
      <c r="C112" s="42" t="s">
        <v>416</v>
      </c>
      <c r="D112" s="42" t="s">
        <v>416</v>
      </c>
      <c r="E112" s="293">
        <v>4850.6500000000005</v>
      </c>
      <c r="F112" s="652">
        <v>4786.05</v>
      </c>
      <c r="G112" s="51">
        <v>340.90000000000055</v>
      </c>
      <c r="H112" s="651">
        <v>64.599999999999994</v>
      </c>
      <c r="I112" s="73">
        <v>2502.7837595131964</v>
      </c>
      <c r="J112" s="40">
        <v>2780.784918450322</v>
      </c>
      <c r="K112" s="52">
        <v>278.00115893712564</v>
      </c>
      <c r="L112" s="73">
        <v>409.53554801332979</v>
      </c>
      <c r="M112" s="40">
        <v>481.33989755426501</v>
      </c>
      <c r="N112" s="52">
        <v>71.80434954093522</v>
      </c>
      <c r="O112" s="73">
        <v>1049.8500709755335</v>
      </c>
      <c r="P112" s="40">
        <v>1049.8599999999999</v>
      </c>
      <c r="Q112" s="52">
        <v>9.9290244663734484E-3</v>
      </c>
      <c r="R112" s="73">
        <v>201.69598239684001</v>
      </c>
      <c r="S112" s="40">
        <v>201.7</v>
      </c>
      <c r="T112" s="52">
        <v>4.0176031599798989E-3</v>
      </c>
      <c r="U112" s="73">
        <v>92.451448596603427</v>
      </c>
      <c r="V112" s="40">
        <v>190.20239216825419</v>
      </c>
      <c r="W112" s="52">
        <v>97.750943571650765</v>
      </c>
      <c r="X112" s="73">
        <v>822.38176032719809</v>
      </c>
      <c r="Y112" s="40">
        <v>796.97501315029979</v>
      </c>
      <c r="Z112" s="52">
        <v>-25.406747176898307</v>
      </c>
      <c r="AA112" s="73">
        <v>388.05200000000008</v>
      </c>
      <c r="AB112" s="40">
        <v>0</v>
      </c>
      <c r="AC112" s="52">
        <v>-388.05200000000008</v>
      </c>
      <c r="AD112" s="73">
        <v>3491.9357458194881</v>
      </c>
      <c r="AE112" s="40">
        <v>4371.9157932573653</v>
      </c>
      <c r="AF112" s="35">
        <v>879.98004743787715</v>
      </c>
      <c r="AG112" s="77">
        <v>8958.6863156421896</v>
      </c>
      <c r="AH112" s="53">
        <v>9872.7780145805045</v>
      </c>
      <c r="AI112" s="52">
        <v>914.09169893831495</v>
      </c>
      <c r="AJ112" s="73">
        <v>5676.16</v>
      </c>
      <c r="AK112" s="40">
        <v>5590.5324192256558</v>
      </c>
      <c r="AL112" s="52">
        <v>-85.627580774344096</v>
      </c>
      <c r="AM112" s="73">
        <v>0</v>
      </c>
      <c r="AN112" s="40">
        <v>0</v>
      </c>
      <c r="AO112" s="52">
        <v>0</v>
      </c>
      <c r="AP112" s="73">
        <v>497.97320833333333</v>
      </c>
      <c r="AQ112" s="40">
        <v>0</v>
      </c>
      <c r="AR112" s="52">
        <v>-497.97320833333333</v>
      </c>
      <c r="AS112" s="73">
        <v>5791.4339126078103</v>
      </c>
      <c r="AT112" s="40">
        <v>0</v>
      </c>
      <c r="AU112" s="54">
        <v>-5791.4339126078103</v>
      </c>
      <c r="AV112" s="73">
        <v>1062.462004195844</v>
      </c>
      <c r="AW112" s="40">
        <v>0</v>
      </c>
      <c r="AX112" s="55">
        <v>-1062.462004195844</v>
      </c>
      <c r="AY112" s="73">
        <v>1090.5377787402124</v>
      </c>
      <c r="AZ112" s="40">
        <v>0</v>
      </c>
      <c r="BA112" s="35">
        <v>-1090.5377787402124</v>
      </c>
      <c r="BB112" s="73">
        <v>322.03125372284342</v>
      </c>
      <c r="BC112" s="40">
        <v>0</v>
      </c>
      <c r="BD112" s="55">
        <v>-322.03125372284342</v>
      </c>
      <c r="BE112" s="73">
        <v>963.53399924919404</v>
      </c>
      <c r="BF112" s="40">
        <v>9502</v>
      </c>
      <c r="BG112" s="38">
        <v>8538.4660007508064</v>
      </c>
      <c r="BH112" s="73">
        <v>446.43672107011059</v>
      </c>
      <c r="BI112" s="40">
        <v>0</v>
      </c>
      <c r="BJ112" s="55">
        <v>-446.43672107011059</v>
      </c>
      <c r="BK112" s="73">
        <v>495.89428680267463</v>
      </c>
      <c r="BL112" s="40">
        <v>0</v>
      </c>
      <c r="BM112" s="38">
        <v>-495.89428680267463</v>
      </c>
      <c r="BN112" s="73">
        <v>37.848522789153861</v>
      </c>
      <c r="BO112" s="40">
        <v>0</v>
      </c>
      <c r="BP112" s="55">
        <v>-37.848522789153861</v>
      </c>
      <c r="BQ112" s="77">
        <v>4418.7445665700334</v>
      </c>
      <c r="BR112" s="40">
        <v>9502</v>
      </c>
      <c r="BS112" s="55">
        <v>5083.2554334299666</v>
      </c>
      <c r="BT112" s="73">
        <v>7089.3537322297398</v>
      </c>
      <c r="BU112" s="40">
        <v>1597.6543556596712</v>
      </c>
      <c r="BV112" s="52">
        <v>-5491.6993765700681</v>
      </c>
      <c r="BW112" s="73">
        <v>4749.3348952319202</v>
      </c>
      <c r="BX112" s="40">
        <v>5229.894903640813</v>
      </c>
      <c r="BY112" s="52">
        <v>480.56000840889283</v>
      </c>
      <c r="BZ112" s="73">
        <v>1357.309708383566</v>
      </c>
      <c r="CA112" s="40">
        <v>9658.9500251992358</v>
      </c>
      <c r="CB112" s="52">
        <v>8301.6403168156703</v>
      </c>
      <c r="CC112" s="73">
        <v>111.61517356</v>
      </c>
      <c r="CD112" s="40">
        <v>126.66467126322402</v>
      </c>
      <c r="CE112" s="52">
        <v>15.04949770322402</v>
      </c>
      <c r="CF112" s="73">
        <v>11.927151719999999</v>
      </c>
      <c r="CG112" s="40">
        <v>0</v>
      </c>
      <c r="CH112" s="52">
        <v>-11.927151719999999</v>
      </c>
      <c r="CI112" s="73">
        <v>4123.8</v>
      </c>
      <c r="CJ112" s="40">
        <v>2289.8093989898553</v>
      </c>
      <c r="CK112" s="52">
        <v>-1833.9906010101449</v>
      </c>
      <c r="CL112" s="73">
        <v>2491.7199999999998</v>
      </c>
      <c r="CM112" s="40">
        <v>1807.9148380533402</v>
      </c>
      <c r="CN112" s="52">
        <v>-683.80516194665961</v>
      </c>
      <c r="CO112" s="39">
        <v>6615.52</v>
      </c>
      <c r="CP112" s="40">
        <v>4097.7242370431959</v>
      </c>
      <c r="CQ112" s="52">
        <v>-2517.7957629568045</v>
      </c>
      <c r="CR112" s="72">
        <v>45278.058664278593</v>
      </c>
      <c r="CS112" s="5">
        <v>45676.198626612299</v>
      </c>
      <c r="CT112" s="52">
        <v>398.13996233370563</v>
      </c>
      <c r="CU112" s="77">
        <v>54333.670397134309</v>
      </c>
      <c r="CV112" s="65">
        <v>54811.438351934754</v>
      </c>
      <c r="CW112" s="35">
        <v>477.7679548004453</v>
      </c>
      <c r="CX112" s="73">
        <v>3033.6134841326184</v>
      </c>
      <c r="CY112" s="40">
        <v>2555.8455293321749</v>
      </c>
      <c r="CZ112" s="52">
        <v>-477.76795480044348</v>
      </c>
      <c r="DA112" s="150">
        <v>-7052.0588072920509</v>
      </c>
      <c r="DB112" s="2">
        <v>1</v>
      </c>
      <c r="DC112" s="648">
        <v>34453.279999999999</v>
      </c>
      <c r="DD112" s="648">
        <v>0</v>
      </c>
      <c r="DE112" s="649">
        <v>-22914.00388126693</v>
      </c>
      <c r="DG112" s="321">
        <v>3769.1082019246096</v>
      </c>
      <c r="DH112" s="5">
        <v>688407.40657520317</v>
      </c>
      <c r="DI112" s="306">
        <v>4.8601614531977377</v>
      </c>
      <c r="DJ112" s="306">
        <v>5.9828732588510904</v>
      </c>
      <c r="DK112" s="306">
        <v>4.2349943563232566</v>
      </c>
      <c r="DL112" s="28">
        <v>28251.598105977031</v>
      </c>
      <c r="DM112" s="28">
        <v>273.58063541848236</v>
      </c>
      <c r="DN112" s="650">
        <v>28251.7</v>
      </c>
      <c r="DO112" s="94">
        <v>-0.10189402296964545</v>
      </c>
      <c r="DP112" s="28">
        <v>28525.178741395513</v>
      </c>
      <c r="DQ112" s="318">
        <v>1.7829000025813002E-3</v>
      </c>
      <c r="DS112" s="8">
        <v>27166.835198567154</v>
      </c>
      <c r="DT112" s="5">
        <v>1358.3417599283578</v>
      </c>
      <c r="DW112" s="5">
        <v>12252.214175013412</v>
      </c>
      <c r="DX112" s="5">
        <v>11402.4</v>
      </c>
    </row>
    <row r="113" spans="1:128" x14ac:dyDescent="0.3">
      <c r="A113" s="325">
        <v>150000629</v>
      </c>
      <c r="B113" s="41" t="s">
        <v>562</v>
      </c>
      <c r="C113" s="42" t="s">
        <v>358</v>
      </c>
      <c r="D113" s="42" t="s">
        <v>358</v>
      </c>
      <c r="E113" s="293">
        <v>9553.74</v>
      </c>
      <c r="F113" s="652">
        <v>9553.74</v>
      </c>
      <c r="G113" s="51">
        <v>1059.42</v>
      </c>
      <c r="H113" s="651">
        <v>0</v>
      </c>
      <c r="I113" s="73">
        <v>3497.5542168694287</v>
      </c>
      <c r="J113" s="40">
        <v>3891.7474786123321</v>
      </c>
      <c r="K113" s="52">
        <v>394.19326174290336</v>
      </c>
      <c r="L113" s="73">
        <v>621.27446254605206</v>
      </c>
      <c r="M113" s="40">
        <v>739.21418753921353</v>
      </c>
      <c r="N113" s="52">
        <v>117.93972499316146</v>
      </c>
      <c r="O113" s="73">
        <v>1811.6879332901033</v>
      </c>
      <c r="P113" s="40">
        <v>1811.68</v>
      </c>
      <c r="Q113" s="52">
        <v>-7.9332901032103109E-3</v>
      </c>
      <c r="R113" s="73">
        <v>394.20261985456341</v>
      </c>
      <c r="S113" s="40">
        <v>394.18</v>
      </c>
      <c r="T113" s="52">
        <v>-2.2619854563401987E-2</v>
      </c>
      <c r="U113" s="73">
        <v>511.42084596484887</v>
      </c>
      <c r="V113" s="40">
        <v>975.49521694377336</v>
      </c>
      <c r="W113" s="52">
        <v>464.07437097892449</v>
      </c>
      <c r="X113" s="73">
        <v>2207.2378754481697</v>
      </c>
      <c r="Y113" s="40">
        <v>2334.6597213415303</v>
      </c>
      <c r="Z113" s="52">
        <v>127.42184589336057</v>
      </c>
      <c r="AA113" s="73">
        <v>763.89279999999997</v>
      </c>
      <c r="AB113" s="40">
        <v>0</v>
      </c>
      <c r="AC113" s="52">
        <v>-763.89279999999997</v>
      </c>
      <c r="AD113" s="73">
        <v>6879.0450649212999</v>
      </c>
      <c r="AE113" s="40">
        <v>8610.8349995721437</v>
      </c>
      <c r="AF113" s="35">
        <v>1731.7899346508439</v>
      </c>
      <c r="AG113" s="77">
        <v>16686.315818894465</v>
      </c>
      <c r="AH113" s="53">
        <v>18757.811604008995</v>
      </c>
      <c r="AI113" s="52">
        <v>2071.49578511453</v>
      </c>
      <c r="AJ113" s="73">
        <v>11043.44</v>
      </c>
      <c r="AK113" s="40">
        <v>10876.840237125245</v>
      </c>
      <c r="AL113" s="52">
        <v>-166.59976287475547</v>
      </c>
      <c r="AM113" s="73">
        <v>0</v>
      </c>
      <c r="AN113" s="40">
        <v>0</v>
      </c>
      <c r="AO113" s="52">
        <v>0</v>
      </c>
      <c r="AP113" s="73">
        <v>964.42912499999989</v>
      </c>
      <c r="AQ113" s="40">
        <v>5688.5280101662611</v>
      </c>
      <c r="AR113" s="52">
        <v>4724.0988851662614</v>
      </c>
      <c r="AS113" s="73">
        <v>11452.505394860098</v>
      </c>
      <c r="AT113" s="40">
        <v>0</v>
      </c>
      <c r="AU113" s="54">
        <v>-11452.505394860098</v>
      </c>
      <c r="AV113" s="73">
        <v>1538.2539974100996</v>
      </c>
      <c r="AW113" s="40">
        <v>0</v>
      </c>
      <c r="AX113" s="55">
        <v>-1538.2539974100996</v>
      </c>
      <c r="AY113" s="73">
        <v>1744.8923143853576</v>
      </c>
      <c r="AZ113" s="40">
        <v>0</v>
      </c>
      <c r="BA113" s="35">
        <v>-1744.8923143853576</v>
      </c>
      <c r="BB113" s="73">
        <v>799.60839133221998</v>
      </c>
      <c r="BC113" s="40">
        <v>0</v>
      </c>
      <c r="BD113" s="55">
        <v>-799.60839133221998</v>
      </c>
      <c r="BE113" s="73">
        <v>2064.941018729</v>
      </c>
      <c r="BF113" s="40">
        <v>0</v>
      </c>
      <c r="BG113" s="38">
        <v>-2064.941018729</v>
      </c>
      <c r="BH113" s="73">
        <v>2469.5941242384442</v>
      </c>
      <c r="BI113" s="40">
        <v>0</v>
      </c>
      <c r="BJ113" s="55">
        <v>-2469.5941242384442</v>
      </c>
      <c r="BK113" s="73">
        <v>1495.6656930141828</v>
      </c>
      <c r="BL113" s="40">
        <v>0</v>
      </c>
      <c r="BM113" s="38">
        <v>-1495.6656930141828</v>
      </c>
      <c r="BN113" s="73">
        <v>131.02423034457539</v>
      </c>
      <c r="BO113" s="40">
        <v>0</v>
      </c>
      <c r="BP113" s="55">
        <v>-131.02423034457539</v>
      </c>
      <c r="BQ113" s="77">
        <v>10243.979769453881</v>
      </c>
      <c r="BR113" s="40">
        <v>0</v>
      </c>
      <c r="BS113" s="55">
        <v>-10243.979769453881</v>
      </c>
      <c r="BT113" s="73">
        <v>15860.64721097318</v>
      </c>
      <c r="BU113" s="40">
        <v>3926.9959664174521</v>
      </c>
      <c r="BV113" s="52">
        <v>-11933.651244555727</v>
      </c>
      <c r="BW113" s="73">
        <v>10949.001707753639</v>
      </c>
      <c r="BX113" s="40">
        <v>13987.089436399423</v>
      </c>
      <c r="BY113" s="52">
        <v>3038.0877286457835</v>
      </c>
      <c r="BZ113" s="73">
        <v>5509.47708805402</v>
      </c>
      <c r="CA113" s="40">
        <v>23053.368028219811</v>
      </c>
      <c r="CB113" s="52">
        <v>17543.890940165791</v>
      </c>
      <c r="CC113" s="73">
        <v>254.86246555</v>
      </c>
      <c r="CD113" s="40">
        <v>317.14365940335392</v>
      </c>
      <c r="CE113" s="52">
        <v>62.281193853353926</v>
      </c>
      <c r="CF113" s="73">
        <v>29.8632642</v>
      </c>
      <c r="CG113" s="40">
        <v>0</v>
      </c>
      <c r="CH113" s="52">
        <v>-29.8632642</v>
      </c>
      <c r="CI113" s="73">
        <v>3594.3</v>
      </c>
      <c r="CJ113" s="40">
        <v>3587.7713001633747</v>
      </c>
      <c r="CK113" s="52">
        <v>-6.528699836625492</v>
      </c>
      <c r="CL113" s="73">
        <v>5394.5738000000001</v>
      </c>
      <c r="CM113" s="40">
        <v>5381.6532889907794</v>
      </c>
      <c r="CN113" s="52">
        <v>-12.920511009220718</v>
      </c>
      <c r="CO113" s="39">
        <v>8988.8738000000012</v>
      </c>
      <c r="CP113" s="40">
        <v>8969.4245891541541</v>
      </c>
      <c r="CQ113" s="52">
        <v>-19.449210845847119</v>
      </c>
      <c r="CR113" s="72">
        <v>91983.395644739285</v>
      </c>
      <c r="CS113" s="5">
        <v>85577.201530894701</v>
      </c>
      <c r="CT113" s="52">
        <v>-6406.1941138445836</v>
      </c>
      <c r="CU113" s="77">
        <v>110380.07477368714</v>
      </c>
      <c r="CV113" s="65">
        <v>102692.64183707364</v>
      </c>
      <c r="CW113" s="35">
        <v>-7687.4329366135062</v>
      </c>
      <c r="CX113" s="73">
        <v>6162.854097018354</v>
      </c>
      <c r="CY113" s="40">
        <v>13850.287033631859</v>
      </c>
      <c r="CZ113" s="52">
        <v>7687.4329366135053</v>
      </c>
      <c r="DA113" s="150">
        <v>3734.3505775238664</v>
      </c>
      <c r="DB113" s="2">
        <v>1</v>
      </c>
      <c r="DC113" s="648">
        <v>132660.07</v>
      </c>
      <c r="DD113" s="648"/>
      <c r="DE113" s="649">
        <v>16117.141129294512</v>
      </c>
      <c r="DG113" s="321">
        <v>154568.33927222478</v>
      </c>
      <c r="DH113" s="5">
        <v>1398515.146448466</v>
      </c>
      <c r="DI113" s="306">
        <v>5.1057615583951836</v>
      </c>
      <c r="DJ113" s="306">
        <v>6.1890567610046041</v>
      </c>
      <c r="DK113" s="306"/>
      <c r="DL113" s="28">
        <v>57980.974536331654</v>
      </c>
      <c r="DM113" s="28">
        <v>0</v>
      </c>
      <c r="DN113" s="650">
        <v>57980.639999999999</v>
      </c>
      <c r="DO113" s="94">
        <v>0.33453633165481733</v>
      </c>
      <c r="DP113" s="28">
        <v>57980.974536331654</v>
      </c>
      <c r="DQ113" s="318">
        <v>31.435280145902652</v>
      </c>
      <c r="DS113" s="8">
        <v>55190.037386843571</v>
      </c>
      <c r="DT113" s="5">
        <v>2759.5018693421785</v>
      </c>
      <c r="DW113" s="5">
        <v>26035.782197176773</v>
      </c>
      <c r="DX113" s="5">
        <v>0</v>
      </c>
    </row>
    <row r="114" spans="1:128" x14ac:dyDescent="0.3">
      <c r="A114" s="325">
        <v>150000626</v>
      </c>
      <c r="B114" s="41" t="s">
        <v>563</v>
      </c>
      <c r="C114" s="42" t="s">
        <v>359</v>
      </c>
      <c r="D114" s="42" t="s">
        <v>359</v>
      </c>
      <c r="E114" s="293">
        <v>7508.77</v>
      </c>
      <c r="F114" s="652">
        <v>7508.77</v>
      </c>
      <c r="G114" s="51">
        <v>772.75</v>
      </c>
      <c r="H114" s="651">
        <v>0</v>
      </c>
      <c r="I114" s="73">
        <v>2816.8956302402453</v>
      </c>
      <c r="J114" s="40">
        <v>3128.8008261547884</v>
      </c>
      <c r="K114" s="52">
        <v>311.90519591454313</v>
      </c>
      <c r="L114" s="73">
        <v>611.04111744259353</v>
      </c>
      <c r="M114" s="40">
        <v>719.28565599054855</v>
      </c>
      <c r="N114" s="52">
        <v>108.24453854795502</v>
      </c>
      <c r="O114" s="73">
        <v>1666.6168778592232</v>
      </c>
      <c r="P114" s="40">
        <v>1666.6</v>
      </c>
      <c r="Q114" s="52">
        <v>-1.6877859223313862E-2</v>
      </c>
      <c r="R114" s="73">
        <v>309.77392406096999</v>
      </c>
      <c r="S114" s="40">
        <v>309.76</v>
      </c>
      <c r="T114" s="52">
        <v>-1.3924060969998209E-2</v>
      </c>
      <c r="U114" s="73">
        <v>255.71039266421201</v>
      </c>
      <c r="V114" s="40">
        <v>496.2058552355553</v>
      </c>
      <c r="W114" s="52">
        <v>240.4954625713433</v>
      </c>
      <c r="X114" s="73">
        <v>1974.6807622996585</v>
      </c>
      <c r="Y114" s="40">
        <v>2089.4355764321008</v>
      </c>
      <c r="Z114" s="52">
        <v>114.75481413244233</v>
      </c>
      <c r="AA114" s="73">
        <v>600.73199999999997</v>
      </c>
      <c r="AB114" s="40">
        <v>0</v>
      </c>
      <c r="AC114" s="52">
        <v>-600.73199999999997</v>
      </c>
      <c r="AD114" s="73">
        <v>5409.7480709929587</v>
      </c>
      <c r="AE114" s="40">
        <v>6767.693020716215</v>
      </c>
      <c r="AF114" s="35">
        <v>1357.9449497232563</v>
      </c>
      <c r="AG114" s="77">
        <v>13645.19877555986</v>
      </c>
      <c r="AH114" s="53">
        <v>15177.780934529208</v>
      </c>
      <c r="AI114" s="52">
        <v>1532.5821589693478</v>
      </c>
      <c r="AJ114" s="73">
        <v>7929.9</v>
      </c>
      <c r="AK114" s="40">
        <v>7810.2720323151607</v>
      </c>
      <c r="AL114" s="52">
        <v>-119.62796768483895</v>
      </c>
      <c r="AM114" s="73">
        <v>840.59954000000005</v>
      </c>
      <c r="AN114" s="40">
        <v>413.89044027688317</v>
      </c>
      <c r="AO114" s="52">
        <v>-426.70909972311688</v>
      </c>
      <c r="AP114" s="73">
        <v>901.39454166666667</v>
      </c>
      <c r="AQ114" s="40">
        <v>0</v>
      </c>
      <c r="AR114" s="52">
        <v>-901.39454166666667</v>
      </c>
      <c r="AS114" s="73">
        <v>8810.8371395533941</v>
      </c>
      <c r="AT114" s="40">
        <v>14194</v>
      </c>
      <c r="AU114" s="54">
        <v>5383.1628604466059</v>
      </c>
      <c r="AV114" s="73">
        <v>1283.4969402579452</v>
      </c>
      <c r="AW114" s="40">
        <v>2728</v>
      </c>
      <c r="AX114" s="55">
        <v>1444.5030597420548</v>
      </c>
      <c r="AY114" s="73">
        <v>1651.2862221363532</v>
      </c>
      <c r="AZ114" s="40">
        <v>10176</v>
      </c>
      <c r="BA114" s="35">
        <v>8524.7137778636461</v>
      </c>
      <c r="BB114" s="73">
        <v>568.61565666303602</v>
      </c>
      <c r="BC114" s="40">
        <v>0</v>
      </c>
      <c r="BD114" s="55">
        <v>-568.61565666303602</v>
      </c>
      <c r="BE114" s="73">
        <v>1484.4025787342161</v>
      </c>
      <c r="BF114" s="40">
        <v>1890</v>
      </c>
      <c r="BG114" s="38">
        <v>405.59742126578385</v>
      </c>
      <c r="BH114" s="73">
        <v>1234.7970924374331</v>
      </c>
      <c r="BI114" s="40">
        <v>0</v>
      </c>
      <c r="BJ114" s="55">
        <v>-1234.7970924374331</v>
      </c>
      <c r="BK114" s="73">
        <v>1651.4515296669488</v>
      </c>
      <c r="BL114" s="40">
        <v>0</v>
      </c>
      <c r="BM114" s="38">
        <v>-1651.4515296669488</v>
      </c>
      <c r="BN114" s="73">
        <v>89.268639932694725</v>
      </c>
      <c r="BO114" s="40">
        <v>0</v>
      </c>
      <c r="BP114" s="55">
        <v>-89.268639932694725</v>
      </c>
      <c r="BQ114" s="77">
        <v>7963.3186598286275</v>
      </c>
      <c r="BR114" s="40">
        <v>14794</v>
      </c>
      <c r="BS114" s="55">
        <v>6830.6813401713725</v>
      </c>
      <c r="BT114" s="73">
        <v>11648.074120662501</v>
      </c>
      <c r="BU114" s="40">
        <v>3591.9437957223868</v>
      </c>
      <c r="BV114" s="52">
        <v>-8056.1303249401135</v>
      </c>
      <c r="BW114" s="73">
        <v>8073.9012609562396</v>
      </c>
      <c r="BX114" s="40">
        <v>9479.3905544152476</v>
      </c>
      <c r="BY114" s="52">
        <v>1405.489293459008</v>
      </c>
      <c r="BZ114" s="73">
        <v>2571.1814842189601</v>
      </c>
      <c r="CA114" s="40">
        <v>17363.707718965175</v>
      </c>
      <c r="CB114" s="52">
        <v>14792.526234746216</v>
      </c>
      <c r="CC114" s="73">
        <v>262.80793770000002</v>
      </c>
      <c r="CD114" s="40">
        <v>325.81932181864317</v>
      </c>
      <c r="CE114" s="52">
        <v>63.01138411864315</v>
      </c>
      <c r="CF114" s="73">
        <v>30.680192399999999</v>
      </c>
      <c r="CG114" s="40">
        <v>0</v>
      </c>
      <c r="CH114" s="52">
        <v>-30.680192399999999</v>
      </c>
      <c r="CI114" s="73">
        <v>2482.38</v>
      </c>
      <c r="CJ114" s="40">
        <v>2528.0007326929767</v>
      </c>
      <c r="CK114" s="52">
        <v>45.620732692976617</v>
      </c>
      <c r="CL114" s="73">
        <v>2691.0576000000001</v>
      </c>
      <c r="CM114" s="40">
        <v>2393.7850685209828</v>
      </c>
      <c r="CN114" s="52">
        <v>-297.27253147901729</v>
      </c>
      <c r="CO114" s="39">
        <v>5173.4376000000002</v>
      </c>
      <c r="CP114" s="40">
        <v>4921.7858012139595</v>
      </c>
      <c r="CQ114" s="52">
        <v>-251.65179878604067</v>
      </c>
      <c r="CR114" s="72">
        <v>67851.331252546268</v>
      </c>
      <c r="CS114" s="5">
        <v>88072.59059925667</v>
      </c>
      <c r="CT114" s="52">
        <v>20221.259346710402</v>
      </c>
      <c r="CU114" s="77">
        <v>81421.597503055513</v>
      </c>
      <c r="CV114" s="65">
        <v>105687.108719108</v>
      </c>
      <c r="CW114" s="35">
        <v>24265.511216052488</v>
      </c>
      <c r="CX114" s="73">
        <v>4546.0145482443868</v>
      </c>
      <c r="CY114" s="40">
        <v>-19719.496667808096</v>
      </c>
      <c r="CZ114" s="52">
        <v>-24265.511216052484</v>
      </c>
      <c r="DA114" s="150">
        <v>38593.686203632096</v>
      </c>
      <c r="DB114" s="2">
        <v>1</v>
      </c>
      <c r="DC114" s="648">
        <v>101132.96</v>
      </c>
      <c r="DD114" s="648"/>
      <c r="DE114" s="649">
        <v>15165.347948700102</v>
      </c>
      <c r="DG114" s="321">
        <v>100923.6471259032</v>
      </c>
      <c r="DH114" s="5">
        <v>1031611.3446155989</v>
      </c>
      <c r="DI114" s="306">
        <v>4.7309692429774532</v>
      </c>
      <c r="DJ114" s="306">
        <v>5.8028741632909737</v>
      </c>
      <c r="DK114" s="306"/>
      <c r="DL114" s="28">
        <v>42744.132903922095</v>
      </c>
      <c r="DM114" s="28">
        <v>0</v>
      </c>
      <c r="DN114" s="650">
        <v>42744.19</v>
      </c>
      <c r="DO114" s="94">
        <v>-5.7096077907772269E-2</v>
      </c>
      <c r="DP114" s="28">
        <v>42744.132903922095</v>
      </c>
      <c r="DQ114" s="318">
        <v>-2.2057851820500218</v>
      </c>
      <c r="DS114" s="8">
        <v>40710.798751527756</v>
      </c>
      <c r="DT114" s="5">
        <v>2035.539937576388</v>
      </c>
      <c r="DW114" s="5">
        <v>20128.986959258425</v>
      </c>
      <c r="DX114" s="5">
        <v>34785.599999999999</v>
      </c>
    </row>
    <row r="115" spans="1:128" x14ac:dyDescent="0.3">
      <c r="A115" s="325">
        <v>150000603</v>
      </c>
      <c r="B115" s="41" t="s">
        <v>564</v>
      </c>
      <c r="C115" s="42" t="s">
        <v>154</v>
      </c>
      <c r="D115" s="42" t="s">
        <v>154</v>
      </c>
      <c r="E115" s="293">
        <v>506.90000000000003</v>
      </c>
      <c r="F115" s="305">
        <v>311.60000000000002</v>
      </c>
      <c r="G115" s="51"/>
      <c r="H115" s="651">
        <v>195.3</v>
      </c>
      <c r="I115" s="73">
        <v>269.73732216011069</v>
      </c>
      <c r="J115" s="40">
        <v>296.44778962514084</v>
      </c>
      <c r="K115" s="52">
        <v>26.710467465030149</v>
      </c>
      <c r="L115" s="73">
        <v>54.350452463182435</v>
      </c>
      <c r="M115" s="40">
        <v>61.232500242288602</v>
      </c>
      <c r="N115" s="52">
        <v>6.8820477791061663</v>
      </c>
      <c r="O115" s="73">
        <v>95.646241096413334</v>
      </c>
      <c r="P115" s="40">
        <v>95.66</v>
      </c>
      <c r="Q115" s="52">
        <v>1.3758903586662541E-2</v>
      </c>
      <c r="R115" s="73">
        <v>0</v>
      </c>
      <c r="S115" s="40">
        <v>0</v>
      </c>
      <c r="T115" s="52">
        <v>0</v>
      </c>
      <c r="U115" s="73">
        <v>0</v>
      </c>
      <c r="V115" s="40">
        <v>0</v>
      </c>
      <c r="W115" s="52">
        <v>0</v>
      </c>
      <c r="X115" s="73">
        <v>110.91491097978283</v>
      </c>
      <c r="Y115" s="40">
        <v>110.12763033523348</v>
      </c>
      <c r="Z115" s="52">
        <v>-0.7872806445493552</v>
      </c>
      <c r="AA115" s="73">
        <v>40.552000000000007</v>
      </c>
      <c r="AB115" s="40">
        <v>0</v>
      </c>
      <c r="AC115" s="52">
        <v>-40.552000000000007</v>
      </c>
      <c r="AD115" s="73">
        <v>357.42877954895238</v>
      </c>
      <c r="AE115" s="40">
        <v>456.87157712928342</v>
      </c>
      <c r="AF115" s="35">
        <v>99.442797580331046</v>
      </c>
      <c r="AG115" s="77">
        <v>928.62970624844161</v>
      </c>
      <c r="AH115" s="53">
        <v>1020.3394973319463</v>
      </c>
      <c r="AI115" s="52">
        <v>91.709791083504683</v>
      </c>
      <c r="AJ115" s="73">
        <v>0</v>
      </c>
      <c r="AK115" s="40">
        <v>0</v>
      </c>
      <c r="AL115" s="52">
        <v>0</v>
      </c>
      <c r="AM115" s="73">
        <v>0</v>
      </c>
      <c r="AN115" s="40">
        <v>0</v>
      </c>
      <c r="AO115" s="52">
        <v>0</v>
      </c>
      <c r="AP115" s="73">
        <v>94.551874999999995</v>
      </c>
      <c r="AQ115" s="40">
        <v>0</v>
      </c>
      <c r="AR115" s="52">
        <v>-94.551874999999995</v>
      </c>
      <c r="AS115" s="73">
        <v>757.88108202420415</v>
      </c>
      <c r="AT115" s="40">
        <v>0</v>
      </c>
      <c r="AU115" s="54">
        <v>-757.88108202420415</v>
      </c>
      <c r="AV115" s="73">
        <v>148.39672682086285</v>
      </c>
      <c r="AW115" s="40">
        <v>0</v>
      </c>
      <c r="AX115" s="55">
        <v>-148.39672682086285</v>
      </c>
      <c r="AY115" s="73">
        <v>150.40323825910377</v>
      </c>
      <c r="AZ115" s="40">
        <v>0</v>
      </c>
      <c r="BA115" s="35">
        <v>-150.40323825910377</v>
      </c>
      <c r="BB115" s="73">
        <v>26.060182138483341</v>
      </c>
      <c r="BC115" s="40">
        <v>0</v>
      </c>
      <c r="BD115" s="55">
        <v>-26.060182138483341</v>
      </c>
      <c r="BE115" s="73">
        <v>0</v>
      </c>
      <c r="BF115" s="40">
        <v>0</v>
      </c>
      <c r="BG115" s="38">
        <v>0</v>
      </c>
      <c r="BH115" s="73">
        <v>0</v>
      </c>
      <c r="BI115" s="40">
        <v>0</v>
      </c>
      <c r="BJ115" s="55">
        <v>0</v>
      </c>
      <c r="BK115" s="73">
        <v>25.021043394296584</v>
      </c>
      <c r="BL115" s="40">
        <v>0</v>
      </c>
      <c r="BM115" s="38">
        <v>-25.021043394296584</v>
      </c>
      <c r="BN115" s="73">
        <v>10.138000000000002</v>
      </c>
      <c r="BO115" s="40">
        <v>0</v>
      </c>
      <c r="BP115" s="55">
        <v>-10.138000000000002</v>
      </c>
      <c r="BQ115" s="77">
        <v>360.01919061274651</v>
      </c>
      <c r="BR115" s="40">
        <v>0</v>
      </c>
      <c r="BS115" s="55">
        <v>-360.01919061274651</v>
      </c>
      <c r="BT115" s="73">
        <v>871.98165745666995</v>
      </c>
      <c r="BU115" s="40">
        <v>226.46773637532928</v>
      </c>
      <c r="BV115" s="52">
        <v>-645.51392108134064</v>
      </c>
      <c r="BW115" s="73">
        <v>355.69811021393798</v>
      </c>
      <c r="BX115" s="40">
        <v>576.53200140368847</v>
      </c>
      <c r="BY115" s="52">
        <v>220.83389118975049</v>
      </c>
      <c r="BZ115" s="73">
        <v>383.88205136605399</v>
      </c>
      <c r="CA115" s="40">
        <v>1317.808312370689</v>
      </c>
      <c r="CB115" s="52">
        <v>933.92626100463508</v>
      </c>
      <c r="CC115" s="73">
        <v>0</v>
      </c>
      <c r="CD115" s="40">
        <v>0</v>
      </c>
      <c r="CE115" s="52">
        <v>0</v>
      </c>
      <c r="CF115" s="73">
        <v>0</v>
      </c>
      <c r="CG115" s="40">
        <v>0</v>
      </c>
      <c r="CH115" s="52">
        <v>0</v>
      </c>
      <c r="CI115" s="73">
        <v>143.28</v>
      </c>
      <c r="CJ115" s="40">
        <v>76.70080200426176</v>
      </c>
      <c r="CK115" s="52">
        <v>-66.579197995738241</v>
      </c>
      <c r="CL115" s="73">
        <v>0</v>
      </c>
      <c r="CM115" s="40">
        <v>0</v>
      </c>
      <c r="CN115" s="52">
        <v>0</v>
      </c>
      <c r="CO115" s="39">
        <v>143.28</v>
      </c>
      <c r="CP115" s="40">
        <v>76.70080200426176</v>
      </c>
      <c r="CQ115" s="52">
        <v>-66.579197995738241</v>
      </c>
      <c r="CR115" s="72">
        <v>3895.9236729220543</v>
      </c>
      <c r="CS115" s="5">
        <v>3217.8483494859152</v>
      </c>
      <c r="CT115" s="52">
        <v>-678.07532343613912</v>
      </c>
      <c r="CU115" s="77">
        <v>4675.1084075064646</v>
      </c>
      <c r="CV115" s="65">
        <v>3861.418019383098</v>
      </c>
      <c r="CW115" s="35">
        <v>-813.69038812336657</v>
      </c>
      <c r="CX115" s="73">
        <v>261.02547096728813</v>
      </c>
      <c r="CY115" s="40">
        <v>1074.7158590906547</v>
      </c>
      <c r="CZ115" s="52">
        <v>813.69038812336657</v>
      </c>
      <c r="DA115" s="150">
        <v>17655.210071682504</v>
      </c>
      <c r="DB115" s="2">
        <v>2</v>
      </c>
      <c r="DC115" s="648">
        <v>1885.87</v>
      </c>
      <c r="DD115" s="648">
        <v>403.22</v>
      </c>
      <c r="DE115" s="649">
        <v>-2647.0438784737526</v>
      </c>
      <c r="DG115" s="321">
        <v>11165.449763891069</v>
      </c>
      <c r="DH115" s="5">
        <v>59233.606541685032</v>
      </c>
      <c r="DI115" s="306">
        <v>5.1191232630684693</v>
      </c>
      <c r="DJ115" s="306"/>
      <c r="DK115" s="306">
        <v>4.3999646962046022</v>
      </c>
      <c r="DL115" s="28">
        <v>1595.1188087721353</v>
      </c>
      <c r="DM115" s="28">
        <v>859.31310516875885</v>
      </c>
      <c r="DN115" s="650">
        <v>1595.11</v>
      </c>
      <c r="DO115" s="94">
        <v>8.8087721353531379E-3</v>
      </c>
      <c r="DP115" s="28">
        <v>2454.431913940894</v>
      </c>
      <c r="DQ115" s="318">
        <v>0</v>
      </c>
      <c r="DS115" s="8">
        <v>2337.5542037532323</v>
      </c>
      <c r="DT115" s="5">
        <v>116.87771018766162</v>
      </c>
      <c r="DW115" s="5">
        <v>1341.4803271643407</v>
      </c>
      <c r="DX115" s="5">
        <v>0</v>
      </c>
    </row>
    <row r="116" spans="1:128" x14ac:dyDescent="0.3">
      <c r="A116" s="325">
        <v>150001562</v>
      </c>
      <c r="B116" s="41" t="s">
        <v>565</v>
      </c>
      <c r="C116" s="42" t="s">
        <v>209</v>
      </c>
      <c r="D116" s="42" t="s">
        <v>209</v>
      </c>
      <c r="E116" s="293">
        <v>2431.3000000000002</v>
      </c>
      <c r="F116" s="305">
        <v>2431.3000000000002</v>
      </c>
      <c r="G116" s="51"/>
      <c r="H116" s="651">
        <v>0</v>
      </c>
      <c r="I116" s="73">
        <v>1237.1525291150367</v>
      </c>
      <c r="J116" s="40">
        <v>1355.1050433630598</v>
      </c>
      <c r="K116" s="52">
        <v>117.95251424802314</v>
      </c>
      <c r="L116" s="73">
        <v>146.28832776229473</v>
      </c>
      <c r="M116" s="40">
        <v>164.81180112908521</v>
      </c>
      <c r="N116" s="52">
        <v>18.523473366790483</v>
      </c>
      <c r="O116" s="73">
        <v>0</v>
      </c>
      <c r="P116" s="40">
        <v>0</v>
      </c>
      <c r="Q116" s="52">
        <v>0</v>
      </c>
      <c r="R116" s="73">
        <v>0</v>
      </c>
      <c r="S116" s="40">
        <v>0</v>
      </c>
      <c r="T116" s="52">
        <v>0</v>
      </c>
      <c r="U116" s="73">
        <v>0</v>
      </c>
      <c r="V116" s="40">
        <v>0</v>
      </c>
      <c r="W116" s="52">
        <v>0</v>
      </c>
      <c r="X116" s="73">
        <v>274.28980142301435</v>
      </c>
      <c r="Y116" s="40">
        <v>320.34896253643512</v>
      </c>
      <c r="Z116" s="52">
        <v>46.059161113420771</v>
      </c>
      <c r="AA116" s="73">
        <v>194.8</v>
      </c>
      <c r="AB116" s="40">
        <v>0</v>
      </c>
      <c r="AC116" s="52">
        <v>-194.8</v>
      </c>
      <c r="AD116" s="73">
        <v>1559.4358763206405</v>
      </c>
      <c r="AE116" s="40">
        <v>2191.3431948597881</v>
      </c>
      <c r="AF116" s="35">
        <v>631.90731853914758</v>
      </c>
      <c r="AG116" s="77">
        <v>3411.9665346209863</v>
      </c>
      <c r="AH116" s="53">
        <v>4031.6090018883683</v>
      </c>
      <c r="AI116" s="52">
        <v>619.64246726738202</v>
      </c>
      <c r="AJ116" s="73">
        <v>0</v>
      </c>
      <c r="AK116" s="40">
        <v>0</v>
      </c>
      <c r="AL116" s="52">
        <v>0</v>
      </c>
      <c r="AM116" s="73">
        <v>0</v>
      </c>
      <c r="AN116" s="40">
        <v>0</v>
      </c>
      <c r="AO116" s="52">
        <v>0</v>
      </c>
      <c r="AP116" s="73">
        <v>132.372625</v>
      </c>
      <c r="AQ116" s="40">
        <v>0</v>
      </c>
      <c r="AR116" s="52">
        <v>-132.372625</v>
      </c>
      <c r="AS116" s="73">
        <v>4796.1883241849073</v>
      </c>
      <c r="AT116" s="40">
        <v>0</v>
      </c>
      <c r="AU116" s="54">
        <v>-4796.1883241849073</v>
      </c>
      <c r="AV116" s="73">
        <v>660.32833944086099</v>
      </c>
      <c r="AW116" s="40">
        <v>0</v>
      </c>
      <c r="AX116" s="55">
        <v>-660.32833944086099</v>
      </c>
      <c r="AY116" s="73">
        <v>404.81417070383725</v>
      </c>
      <c r="AZ116" s="40">
        <v>0</v>
      </c>
      <c r="BA116" s="35">
        <v>-404.81417070383725</v>
      </c>
      <c r="BB116" s="73">
        <v>0</v>
      </c>
      <c r="BC116" s="40">
        <v>0</v>
      </c>
      <c r="BD116" s="55">
        <v>0</v>
      </c>
      <c r="BE116" s="73">
        <v>0</v>
      </c>
      <c r="BF116" s="40">
        <v>0</v>
      </c>
      <c r="BG116" s="38">
        <v>0</v>
      </c>
      <c r="BH116" s="73">
        <v>0</v>
      </c>
      <c r="BI116" s="40">
        <v>0</v>
      </c>
      <c r="BJ116" s="55">
        <v>0</v>
      </c>
      <c r="BK116" s="73">
        <v>159.18853655949778</v>
      </c>
      <c r="BL116" s="40">
        <v>0</v>
      </c>
      <c r="BM116" s="38">
        <v>-159.18853655949778</v>
      </c>
      <c r="BN116" s="73">
        <v>48.7</v>
      </c>
      <c r="BO116" s="40">
        <v>0</v>
      </c>
      <c r="BP116" s="55">
        <v>-48.7</v>
      </c>
      <c r="BQ116" s="77">
        <v>1273.0310467041961</v>
      </c>
      <c r="BR116" s="40">
        <v>0</v>
      </c>
      <c r="BS116" s="55">
        <v>-1273.0310467041961</v>
      </c>
      <c r="BT116" s="73">
        <v>2260.73557817142</v>
      </c>
      <c r="BU116" s="40">
        <v>544.24287258209802</v>
      </c>
      <c r="BV116" s="52">
        <v>-1716.492705589322</v>
      </c>
      <c r="BW116" s="73">
        <v>1002.927381222416</v>
      </c>
      <c r="BX116" s="40">
        <v>1072.5259332540381</v>
      </c>
      <c r="BY116" s="52">
        <v>69.598552031622148</v>
      </c>
      <c r="BZ116" s="73">
        <v>617.78029041537002</v>
      </c>
      <c r="CA116" s="40">
        <v>3232.4185097012532</v>
      </c>
      <c r="CB116" s="52">
        <v>2614.6382192858832</v>
      </c>
      <c r="CC116" s="73">
        <v>11.497886207500001</v>
      </c>
      <c r="CD116" s="40">
        <v>14.507635483344913</v>
      </c>
      <c r="CE116" s="52">
        <v>3.0097492758449125</v>
      </c>
      <c r="CF116" s="73">
        <v>1.3660854899999999</v>
      </c>
      <c r="CG116" s="40">
        <v>0</v>
      </c>
      <c r="CH116" s="52">
        <v>-1.3660854899999999</v>
      </c>
      <c r="CI116" s="73">
        <v>6062.06</v>
      </c>
      <c r="CJ116" s="40">
        <v>1995.969953948274</v>
      </c>
      <c r="CK116" s="52">
        <v>-4066.0900460517264</v>
      </c>
      <c r="CL116" s="73">
        <v>0</v>
      </c>
      <c r="CM116" s="40">
        <v>0</v>
      </c>
      <c r="CN116" s="52">
        <v>0</v>
      </c>
      <c r="CO116" s="39">
        <v>6062.06</v>
      </c>
      <c r="CP116" s="40">
        <v>1995.969953948274</v>
      </c>
      <c r="CQ116" s="52">
        <v>-4066.0900460517264</v>
      </c>
      <c r="CR116" s="72">
        <v>19569.925752016799</v>
      </c>
      <c r="CS116" s="5">
        <v>10891.273906857376</v>
      </c>
      <c r="CT116" s="52">
        <v>-8678.6518451594238</v>
      </c>
      <c r="CU116" s="77">
        <v>23483.910902420157</v>
      </c>
      <c r="CV116" s="65">
        <v>13069.528688228851</v>
      </c>
      <c r="CW116" s="35">
        <v>-10414.382214191306</v>
      </c>
      <c r="CX116" s="73">
        <v>1311.1779169902763</v>
      </c>
      <c r="CY116" s="40">
        <v>11725.560131181583</v>
      </c>
      <c r="CZ116" s="52">
        <v>10414.382214191306</v>
      </c>
      <c r="DA116" s="150">
        <v>-61785.022039721793</v>
      </c>
      <c r="DB116" s="2">
        <v>2</v>
      </c>
      <c r="DC116" s="648">
        <v>15378.25</v>
      </c>
      <c r="DD116" s="648"/>
      <c r="DE116" s="649">
        <v>-9416.8388194104336</v>
      </c>
      <c r="DG116" s="321">
        <v>-53893.476723613421</v>
      </c>
      <c r="DH116" s="5">
        <v>297541.0658329252</v>
      </c>
      <c r="DI116" s="306">
        <v>5.0632662109940787</v>
      </c>
      <c r="DJ116" s="306"/>
      <c r="DK116" s="306"/>
      <c r="DL116" s="28">
        <v>12310.319138789904</v>
      </c>
      <c r="DM116" s="28">
        <v>0</v>
      </c>
      <c r="DN116" s="650">
        <v>12310.39</v>
      </c>
      <c r="DO116" s="94">
        <v>-7.0861210095245042E-2</v>
      </c>
      <c r="DP116" s="28">
        <v>12310.319138789904</v>
      </c>
      <c r="DQ116" s="318">
        <v>-18.734084980678745</v>
      </c>
      <c r="DS116" s="8">
        <v>11741.955451210079</v>
      </c>
      <c r="DT116" s="5">
        <v>587.09777256050393</v>
      </c>
      <c r="DW116" s="5">
        <v>7283.0632450669245</v>
      </c>
      <c r="DX116" s="5">
        <v>0</v>
      </c>
    </row>
    <row r="117" spans="1:128" x14ac:dyDescent="0.3">
      <c r="A117" s="325">
        <v>150000604</v>
      </c>
      <c r="B117" s="41" t="s">
        <v>566</v>
      </c>
      <c r="C117" s="42" t="s">
        <v>155</v>
      </c>
      <c r="D117" s="42" t="s">
        <v>155</v>
      </c>
      <c r="E117" s="293">
        <v>452.07000000000005</v>
      </c>
      <c r="F117" s="305">
        <v>387.47</v>
      </c>
      <c r="G117" s="51"/>
      <c r="H117" s="651">
        <v>64.599999999999994</v>
      </c>
      <c r="I117" s="73">
        <v>273.58090325511228</v>
      </c>
      <c r="J117" s="40">
        <v>300.90263983795387</v>
      </c>
      <c r="K117" s="52">
        <v>27.321736582841595</v>
      </c>
      <c r="L117" s="73">
        <v>53.61649820191402</v>
      </c>
      <c r="M117" s="40">
        <v>60.405034022798219</v>
      </c>
      <c r="N117" s="52">
        <v>6.7885358208841993</v>
      </c>
      <c r="O117" s="73">
        <v>86.141541838983329</v>
      </c>
      <c r="P117" s="40">
        <v>86.14</v>
      </c>
      <c r="Q117" s="52">
        <v>-1.5418389833286028E-3</v>
      </c>
      <c r="R117" s="73">
        <v>0</v>
      </c>
      <c r="S117" s="40">
        <v>0</v>
      </c>
      <c r="T117" s="52">
        <v>0</v>
      </c>
      <c r="U117" s="73">
        <v>0</v>
      </c>
      <c r="V117" s="40">
        <v>0</v>
      </c>
      <c r="W117" s="52">
        <v>0</v>
      </c>
      <c r="X117" s="73">
        <v>110.70050540579672</v>
      </c>
      <c r="Y117" s="40">
        <v>109.84406061087103</v>
      </c>
      <c r="Z117" s="52">
        <v>-0.85644479492569303</v>
      </c>
      <c r="AA117" s="73">
        <v>36.167999999999999</v>
      </c>
      <c r="AB117" s="40">
        <v>0</v>
      </c>
      <c r="AC117" s="52">
        <v>-36.167999999999999</v>
      </c>
      <c r="AD117" s="73">
        <v>323.1292690995906</v>
      </c>
      <c r="AE117" s="40">
        <v>407.45301612317053</v>
      </c>
      <c r="AF117" s="35">
        <v>84.323747023579926</v>
      </c>
      <c r="AG117" s="77">
        <v>883.33671780139696</v>
      </c>
      <c r="AH117" s="53">
        <v>964.74475059479357</v>
      </c>
      <c r="AI117" s="52">
        <v>81.408032793396615</v>
      </c>
      <c r="AJ117" s="73">
        <v>0</v>
      </c>
      <c r="AK117" s="40">
        <v>0</v>
      </c>
      <c r="AL117" s="52">
        <v>0</v>
      </c>
      <c r="AM117" s="73">
        <v>0</v>
      </c>
      <c r="AN117" s="40">
        <v>0</v>
      </c>
      <c r="AO117" s="52">
        <v>0</v>
      </c>
      <c r="AP117" s="73">
        <v>132.372625</v>
      </c>
      <c r="AQ117" s="40">
        <v>0</v>
      </c>
      <c r="AR117" s="52">
        <v>-132.372625</v>
      </c>
      <c r="AS117" s="73">
        <v>678.47166654012904</v>
      </c>
      <c r="AT117" s="40">
        <v>0</v>
      </c>
      <c r="AU117" s="54">
        <v>-678.47166654012904</v>
      </c>
      <c r="AV117" s="73">
        <v>138.07898283072868</v>
      </c>
      <c r="AW117" s="40">
        <v>0</v>
      </c>
      <c r="AX117" s="55">
        <v>-138.07898283072868</v>
      </c>
      <c r="AY117" s="73">
        <v>148.45728961511688</v>
      </c>
      <c r="AZ117" s="40">
        <v>0</v>
      </c>
      <c r="BA117" s="35">
        <v>-148.45728961511688</v>
      </c>
      <c r="BB117" s="73">
        <v>21.15772059367</v>
      </c>
      <c r="BC117" s="40">
        <v>0</v>
      </c>
      <c r="BD117" s="55">
        <v>-21.15772059367</v>
      </c>
      <c r="BE117" s="73">
        <v>0</v>
      </c>
      <c r="BF117" s="40">
        <v>0</v>
      </c>
      <c r="BG117" s="38">
        <v>0</v>
      </c>
      <c r="BH117" s="73">
        <v>0</v>
      </c>
      <c r="BI117" s="40">
        <v>0</v>
      </c>
      <c r="BJ117" s="55">
        <v>0</v>
      </c>
      <c r="BK117" s="73">
        <v>24.810018439442658</v>
      </c>
      <c r="BL117" s="40">
        <v>0</v>
      </c>
      <c r="BM117" s="38">
        <v>-24.810018439442658</v>
      </c>
      <c r="BN117" s="73">
        <v>9.0419999999999998</v>
      </c>
      <c r="BO117" s="40">
        <v>0</v>
      </c>
      <c r="BP117" s="55">
        <v>-9.0419999999999998</v>
      </c>
      <c r="BQ117" s="77">
        <v>341.54601147895818</v>
      </c>
      <c r="BR117" s="40">
        <v>0</v>
      </c>
      <c r="BS117" s="55">
        <v>-341.54601147895818</v>
      </c>
      <c r="BT117" s="73">
        <v>503.196241950098</v>
      </c>
      <c r="BU117" s="40">
        <v>157.55929763227371</v>
      </c>
      <c r="BV117" s="52">
        <v>-345.63694431782426</v>
      </c>
      <c r="BW117" s="73">
        <v>426.74899052063603</v>
      </c>
      <c r="BX117" s="40">
        <v>451.16518922714886</v>
      </c>
      <c r="BY117" s="52">
        <v>24.41619870651283</v>
      </c>
      <c r="BZ117" s="73">
        <v>373.09676334049999</v>
      </c>
      <c r="CA117" s="40">
        <v>918.15013131470255</v>
      </c>
      <c r="CB117" s="52">
        <v>545.0533679742025</v>
      </c>
      <c r="CC117" s="73">
        <v>0</v>
      </c>
      <c r="CD117" s="40">
        <v>0</v>
      </c>
      <c r="CE117" s="52">
        <v>0</v>
      </c>
      <c r="CF117" s="73">
        <v>0</v>
      </c>
      <c r="CG117" s="40">
        <v>0</v>
      </c>
      <c r="CH117" s="52">
        <v>0</v>
      </c>
      <c r="CI117" s="73">
        <v>34.26</v>
      </c>
      <c r="CJ117" s="40">
        <v>0</v>
      </c>
      <c r="CK117" s="52">
        <v>-34.26</v>
      </c>
      <c r="CL117" s="73">
        <v>0</v>
      </c>
      <c r="CM117" s="40">
        <v>0</v>
      </c>
      <c r="CN117" s="52">
        <v>0</v>
      </c>
      <c r="CO117" s="39">
        <v>34.26</v>
      </c>
      <c r="CP117" s="40">
        <v>0</v>
      </c>
      <c r="CQ117" s="52">
        <v>-34.26</v>
      </c>
      <c r="CR117" s="72">
        <v>3373.0290166317186</v>
      </c>
      <c r="CS117" s="5">
        <v>2491.6193687689188</v>
      </c>
      <c r="CT117" s="52">
        <v>-881.40964786279983</v>
      </c>
      <c r="CU117" s="77">
        <v>4047.6348199580621</v>
      </c>
      <c r="CV117" s="65">
        <v>2989.9432425227023</v>
      </c>
      <c r="CW117" s="35">
        <v>-1057.6915774353597</v>
      </c>
      <c r="CX117" s="73">
        <v>225.99171892714804</v>
      </c>
      <c r="CY117" s="40">
        <v>1283.6832963625075</v>
      </c>
      <c r="CZ117" s="52">
        <v>1057.6915774353595</v>
      </c>
      <c r="DA117" s="150">
        <v>57419.470199929325</v>
      </c>
      <c r="DB117" s="2">
        <v>2</v>
      </c>
      <c r="DC117" s="648">
        <v>9331.49</v>
      </c>
      <c r="DD117" s="648">
        <v>5834.84</v>
      </c>
      <c r="DE117" s="649">
        <v>10892.70346111479</v>
      </c>
      <c r="DG117" s="321">
        <v>39862.890906519424</v>
      </c>
      <c r="DH117" s="5">
        <v>51283.518466622518</v>
      </c>
      <c r="DI117" s="306">
        <v>4.7994436806097829</v>
      </c>
      <c r="DJ117" s="306"/>
      <c r="DK117" s="306">
        <v>4.1056324186020392</v>
      </c>
      <c r="DL117" s="28">
        <v>1859.6404429258728</v>
      </c>
      <c r="DM117" s="28">
        <v>265.2238542416917</v>
      </c>
      <c r="DN117" s="650">
        <v>1859.62</v>
      </c>
      <c r="DO117" s="94">
        <v>2.0442925872885098E-2</v>
      </c>
      <c r="DP117" s="28">
        <v>2124.8642971675645</v>
      </c>
      <c r="DQ117" s="318">
        <v>-0.14398331041820711</v>
      </c>
      <c r="DS117" s="8">
        <v>2023.817409979031</v>
      </c>
      <c r="DT117" s="5">
        <v>101.19087049895157</v>
      </c>
      <c r="DW117" s="5">
        <v>1224.0212136229047</v>
      </c>
      <c r="DX117" s="5">
        <v>0</v>
      </c>
    </row>
    <row r="118" spans="1:128" x14ac:dyDescent="0.3">
      <c r="A118" s="325">
        <v>150000605</v>
      </c>
      <c r="B118" s="41" t="s">
        <v>567</v>
      </c>
      <c r="C118" s="42" t="s">
        <v>156</v>
      </c>
      <c r="D118" s="42" t="s">
        <v>156</v>
      </c>
      <c r="E118" s="293">
        <v>379</v>
      </c>
      <c r="F118" s="305">
        <v>321.10000000000002</v>
      </c>
      <c r="G118" s="51"/>
      <c r="H118" s="651">
        <v>57.9</v>
      </c>
      <c r="I118" s="73">
        <v>284.39824296698066</v>
      </c>
      <c r="J118" s="40">
        <v>313.19053060714731</v>
      </c>
      <c r="K118" s="52">
        <v>28.792287640166649</v>
      </c>
      <c r="L118" s="73">
        <v>63.466982675518018</v>
      </c>
      <c r="M118" s="40">
        <v>71.502816260669277</v>
      </c>
      <c r="N118" s="52">
        <v>8.0358335851512592</v>
      </c>
      <c r="O118" s="73">
        <v>70.69575449956001</v>
      </c>
      <c r="P118" s="40">
        <v>70.7</v>
      </c>
      <c r="Q118" s="52">
        <v>4.2455004399926111E-3</v>
      </c>
      <c r="R118" s="73">
        <v>0</v>
      </c>
      <c r="S118" s="40">
        <v>0</v>
      </c>
      <c r="T118" s="52">
        <v>0</v>
      </c>
      <c r="U118" s="73">
        <v>0</v>
      </c>
      <c r="V118" s="40">
        <v>0</v>
      </c>
      <c r="W118" s="52">
        <v>0</v>
      </c>
      <c r="X118" s="73">
        <v>97.863259094995513</v>
      </c>
      <c r="Y118" s="40">
        <v>94.154524880445393</v>
      </c>
      <c r="Z118" s="52">
        <v>-3.7087342145501196</v>
      </c>
      <c r="AA118" s="73">
        <v>30.32</v>
      </c>
      <c r="AB118" s="40">
        <v>0</v>
      </c>
      <c r="AC118" s="52">
        <v>-30.32</v>
      </c>
      <c r="AD118" s="73">
        <v>270.74790493382301</v>
      </c>
      <c r="AE118" s="40">
        <v>341.59464930360696</v>
      </c>
      <c r="AF118" s="35">
        <v>70.846744369783949</v>
      </c>
      <c r="AG118" s="77">
        <v>817.49214417087728</v>
      </c>
      <c r="AH118" s="53">
        <v>891.14252105186893</v>
      </c>
      <c r="AI118" s="52">
        <v>73.650376880991644</v>
      </c>
      <c r="AJ118" s="73">
        <v>0</v>
      </c>
      <c r="AK118" s="40">
        <v>0</v>
      </c>
      <c r="AL118" s="52">
        <v>0</v>
      </c>
      <c r="AM118" s="73">
        <v>0</v>
      </c>
      <c r="AN118" s="40">
        <v>0</v>
      </c>
      <c r="AO118" s="52">
        <v>0</v>
      </c>
      <c r="AP118" s="73">
        <v>151.28299999999999</v>
      </c>
      <c r="AQ118" s="40">
        <v>0</v>
      </c>
      <c r="AR118" s="52">
        <v>-151.28299999999999</v>
      </c>
      <c r="AS118" s="73">
        <v>551.73457566763091</v>
      </c>
      <c r="AT118" s="40">
        <v>0</v>
      </c>
      <c r="AU118" s="54">
        <v>-551.73457566763091</v>
      </c>
      <c r="AV118" s="73">
        <v>140.42281163072573</v>
      </c>
      <c r="AW118" s="40">
        <v>0</v>
      </c>
      <c r="AX118" s="55">
        <v>-140.42281163072573</v>
      </c>
      <c r="AY118" s="73">
        <v>175.72529795541237</v>
      </c>
      <c r="AZ118" s="40">
        <v>0</v>
      </c>
      <c r="BA118" s="35">
        <v>-175.72529795541237</v>
      </c>
      <c r="BB118" s="73">
        <v>13.97667425012666</v>
      </c>
      <c r="BC118" s="40">
        <v>0</v>
      </c>
      <c r="BD118" s="55">
        <v>-13.97667425012666</v>
      </c>
      <c r="BE118" s="73">
        <v>0</v>
      </c>
      <c r="BF118" s="40">
        <v>0</v>
      </c>
      <c r="BG118" s="38">
        <v>0</v>
      </c>
      <c r="BH118" s="73">
        <v>0</v>
      </c>
      <c r="BI118" s="40">
        <v>0</v>
      </c>
      <c r="BJ118" s="55">
        <v>0</v>
      </c>
      <c r="BK118" s="73">
        <v>7.042525732062324</v>
      </c>
      <c r="BL118" s="40">
        <v>0</v>
      </c>
      <c r="BM118" s="38">
        <v>-7.042525732062324</v>
      </c>
      <c r="BN118" s="73">
        <v>7.58</v>
      </c>
      <c r="BO118" s="40">
        <v>0</v>
      </c>
      <c r="BP118" s="55">
        <v>-7.58</v>
      </c>
      <c r="BQ118" s="77">
        <v>344.74730956832707</v>
      </c>
      <c r="BR118" s="40">
        <v>0</v>
      </c>
      <c r="BS118" s="55">
        <v>-344.74730956832707</v>
      </c>
      <c r="BT118" s="73">
        <v>374.54727498352202</v>
      </c>
      <c r="BU118" s="40">
        <v>127.21508680703198</v>
      </c>
      <c r="BV118" s="52">
        <v>-247.33218817649004</v>
      </c>
      <c r="BW118" s="73">
        <v>373.60324149966601</v>
      </c>
      <c r="BX118" s="40">
        <v>394.67355339260598</v>
      </c>
      <c r="BY118" s="52">
        <v>21.070311892939969</v>
      </c>
      <c r="BZ118" s="73">
        <v>326.48781949710599</v>
      </c>
      <c r="CA118" s="40">
        <v>742.80892041107438</v>
      </c>
      <c r="CB118" s="52">
        <v>416.32110091396839</v>
      </c>
      <c r="CC118" s="73">
        <v>39.7269158</v>
      </c>
      <c r="CD118" s="40">
        <v>50.126049510560492</v>
      </c>
      <c r="CE118" s="52">
        <v>10.399133710560491</v>
      </c>
      <c r="CF118" s="73">
        <v>4.7200296000000002</v>
      </c>
      <c r="CG118" s="40">
        <v>0</v>
      </c>
      <c r="CH118" s="52">
        <v>-4.7200296000000002</v>
      </c>
      <c r="CI118" s="73">
        <v>124.58</v>
      </c>
      <c r="CJ118" s="40">
        <v>116.52986088172754</v>
      </c>
      <c r="CK118" s="52">
        <v>-8.0501391182724547</v>
      </c>
      <c r="CL118" s="73">
        <v>0</v>
      </c>
      <c r="CM118" s="40">
        <v>0</v>
      </c>
      <c r="CN118" s="52">
        <v>0</v>
      </c>
      <c r="CO118" s="39">
        <v>124.58</v>
      </c>
      <c r="CP118" s="40">
        <v>116.52986088172754</v>
      </c>
      <c r="CQ118" s="52">
        <v>-8.0501391182724547</v>
      </c>
      <c r="CR118" s="72">
        <v>3108.9223107871298</v>
      </c>
      <c r="CS118" s="5">
        <v>2322.495992054869</v>
      </c>
      <c r="CT118" s="52">
        <v>-786.42631873226082</v>
      </c>
      <c r="CU118" s="77">
        <v>3730.7067729445557</v>
      </c>
      <c r="CV118" s="65">
        <v>2786.9951904658428</v>
      </c>
      <c r="CW118" s="35">
        <v>-943.7115824787129</v>
      </c>
      <c r="CX118" s="73">
        <v>208.29666556718402</v>
      </c>
      <c r="CY118" s="40">
        <v>1152.0082480458968</v>
      </c>
      <c r="CZ118" s="52">
        <v>943.71158247871278</v>
      </c>
      <c r="DA118" s="150">
        <v>24924.858506815279</v>
      </c>
      <c r="DB118" s="2">
        <v>2</v>
      </c>
      <c r="DC118" s="648">
        <v>17157.11</v>
      </c>
      <c r="DD118" s="648">
        <v>10599.86</v>
      </c>
      <c r="DE118" s="649">
        <v>23817.966561488262</v>
      </c>
      <c r="DG118" s="321">
        <v>11355.641462485753</v>
      </c>
      <c r="DH118" s="5">
        <v>47268.041262140876</v>
      </c>
      <c r="DI118" s="306">
        <v>5.279848101769594</v>
      </c>
      <c r="DJ118" s="306"/>
      <c r="DK118" s="306">
        <v>4.5468364476282375</v>
      </c>
      <c r="DL118" s="28">
        <v>1695.3592254782168</v>
      </c>
      <c r="DM118" s="28">
        <v>263.26183031767494</v>
      </c>
      <c r="DN118" s="650">
        <v>1695.37</v>
      </c>
      <c r="DO118" s="94">
        <v>-1.0774521783105229E-2</v>
      </c>
      <c r="DP118" s="28">
        <v>1958.6210557958916</v>
      </c>
      <c r="DQ118" s="318">
        <v>0</v>
      </c>
      <c r="DS118" s="8">
        <v>1865.3533864722779</v>
      </c>
      <c r="DT118" s="5">
        <v>93.267669323613902</v>
      </c>
      <c r="DW118" s="5">
        <v>1075.7782622831496</v>
      </c>
      <c r="DX118" s="5">
        <v>0</v>
      </c>
    </row>
    <row r="119" spans="1:128" x14ac:dyDescent="0.3">
      <c r="A119" s="325">
        <v>150000606</v>
      </c>
      <c r="B119" s="41" t="s">
        <v>568</v>
      </c>
      <c r="C119" s="42" t="s">
        <v>157</v>
      </c>
      <c r="D119" s="42" t="s">
        <v>157</v>
      </c>
      <c r="E119" s="293">
        <v>765.8</v>
      </c>
      <c r="F119" s="305">
        <v>685.3</v>
      </c>
      <c r="G119" s="51"/>
      <c r="H119" s="651">
        <v>80.5</v>
      </c>
      <c r="I119" s="73">
        <v>569.32177257603598</v>
      </c>
      <c r="J119" s="40">
        <v>623.98340350160652</v>
      </c>
      <c r="K119" s="52">
        <v>54.661630925570535</v>
      </c>
      <c r="L119" s="73">
        <v>114.27455640520775</v>
      </c>
      <c r="M119" s="40">
        <v>128.74400885600426</v>
      </c>
      <c r="N119" s="52">
        <v>14.46945245079651</v>
      </c>
      <c r="O119" s="73">
        <v>137.71732986556</v>
      </c>
      <c r="P119" s="40">
        <v>137.72</v>
      </c>
      <c r="Q119" s="52">
        <v>2.6701344399953086E-3</v>
      </c>
      <c r="R119" s="73">
        <v>0</v>
      </c>
      <c r="S119" s="40">
        <v>0</v>
      </c>
      <c r="T119" s="52">
        <v>0</v>
      </c>
      <c r="U119" s="73">
        <v>0</v>
      </c>
      <c r="V119" s="40">
        <v>0</v>
      </c>
      <c r="W119" s="52">
        <v>0</v>
      </c>
      <c r="X119" s="73">
        <v>191.19945969613468</v>
      </c>
      <c r="Y119" s="40">
        <v>188.910810205399</v>
      </c>
      <c r="Z119" s="52">
        <v>-2.2886494907356791</v>
      </c>
      <c r="AA119" s="73">
        <v>61.263999999999996</v>
      </c>
      <c r="AB119" s="40">
        <v>0</v>
      </c>
      <c r="AC119" s="52">
        <v>-61.263999999999996</v>
      </c>
      <c r="AD119" s="73">
        <v>548.50515486992185</v>
      </c>
      <c r="AE119" s="40">
        <v>690.21947872480791</v>
      </c>
      <c r="AF119" s="35">
        <v>141.71432385488606</v>
      </c>
      <c r="AG119" s="77">
        <v>1622.2822734128601</v>
      </c>
      <c r="AH119" s="53">
        <v>1769.5777012878177</v>
      </c>
      <c r="AI119" s="52">
        <v>147.29542787495757</v>
      </c>
      <c r="AJ119" s="73">
        <v>0</v>
      </c>
      <c r="AK119" s="40">
        <v>0</v>
      </c>
      <c r="AL119" s="52">
        <v>0</v>
      </c>
      <c r="AM119" s="73">
        <v>0</v>
      </c>
      <c r="AN119" s="40">
        <v>0</v>
      </c>
      <c r="AO119" s="52">
        <v>0</v>
      </c>
      <c r="AP119" s="73">
        <v>264.74525</v>
      </c>
      <c r="AQ119" s="40">
        <v>780.77835433654559</v>
      </c>
      <c r="AR119" s="52">
        <v>516.03310433654565</v>
      </c>
      <c r="AS119" s="73">
        <v>1062.1245751459012</v>
      </c>
      <c r="AT119" s="40">
        <v>0</v>
      </c>
      <c r="AU119" s="54">
        <v>-1062.1245751459012</v>
      </c>
      <c r="AV119" s="73">
        <v>302.88063165183479</v>
      </c>
      <c r="AW119" s="40">
        <v>0</v>
      </c>
      <c r="AX119" s="55">
        <v>-302.88063165183479</v>
      </c>
      <c r="AY119" s="73">
        <v>316.27165787603195</v>
      </c>
      <c r="AZ119" s="40">
        <v>0</v>
      </c>
      <c r="BA119" s="35">
        <v>-316.27165787603195</v>
      </c>
      <c r="BB119" s="73">
        <v>36.400726982110001</v>
      </c>
      <c r="BC119" s="40">
        <v>0</v>
      </c>
      <c r="BD119" s="55">
        <v>-36.400726982110001</v>
      </c>
      <c r="BE119" s="73">
        <v>0</v>
      </c>
      <c r="BF119" s="40">
        <v>0</v>
      </c>
      <c r="BG119" s="38">
        <v>0</v>
      </c>
      <c r="BH119" s="73">
        <v>0</v>
      </c>
      <c r="BI119" s="40">
        <v>0</v>
      </c>
      <c r="BJ119" s="55">
        <v>0</v>
      </c>
      <c r="BK119" s="73">
        <v>21.127518148560359</v>
      </c>
      <c r="BL119" s="40">
        <v>0</v>
      </c>
      <c r="BM119" s="38">
        <v>-21.127518148560359</v>
      </c>
      <c r="BN119" s="73">
        <v>15.315999999999999</v>
      </c>
      <c r="BO119" s="40">
        <v>0</v>
      </c>
      <c r="BP119" s="55">
        <v>-15.315999999999999</v>
      </c>
      <c r="BQ119" s="77">
        <v>691.99653465853714</v>
      </c>
      <c r="BR119" s="40">
        <v>0</v>
      </c>
      <c r="BS119" s="55">
        <v>-691.99653465853714</v>
      </c>
      <c r="BT119" s="73">
        <v>933.10673699443998</v>
      </c>
      <c r="BU119" s="40">
        <v>194.83836963305117</v>
      </c>
      <c r="BV119" s="52">
        <v>-738.26836736138875</v>
      </c>
      <c r="BW119" s="73">
        <v>726.61838105519405</v>
      </c>
      <c r="BX119" s="40">
        <v>623.61802593884886</v>
      </c>
      <c r="BY119" s="52">
        <v>-103.00035511634519</v>
      </c>
      <c r="BZ119" s="73">
        <v>652.58362515282397</v>
      </c>
      <c r="CA119" s="40">
        <v>1657.5165484183472</v>
      </c>
      <c r="CB119" s="52">
        <v>1004.9329232655232</v>
      </c>
      <c r="CC119" s="73">
        <v>0</v>
      </c>
      <c r="CD119" s="40">
        <v>0</v>
      </c>
      <c r="CE119" s="52">
        <v>0</v>
      </c>
      <c r="CF119" s="73">
        <v>0</v>
      </c>
      <c r="CG119" s="40">
        <v>0</v>
      </c>
      <c r="CH119" s="52">
        <v>0</v>
      </c>
      <c r="CI119" s="73">
        <v>404.9</v>
      </c>
      <c r="CJ119" s="40">
        <v>223.90219667741621</v>
      </c>
      <c r="CK119" s="52">
        <v>-180.99780332258376</v>
      </c>
      <c r="CL119" s="73">
        <v>0</v>
      </c>
      <c r="CM119" s="40">
        <v>0</v>
      </c>
      <c r="CN119" s="52">
        <v>0</v>
      </c>
      <c r="CO119" s="39">
        <v>404.9</v>
      </c>
      <c r="CP119" s="40">
        <v>223.90219667741621</v>
      </c>
      <c r="CQ119" s="52">
        <v>-180.99780332258376</v>
      </c>
      <c r="CR119" s="72">
        <v>6358.3573764197554</v>
      </c>
      <c r="CS119" s="5">
        <v>5250.2311962920267</v>
      </c>
      <c r="CT119" s="52">
        <v>-1108.1261801277287</v>
      </c>
      <c r="CU119" s="77">
        <v>7630.0288517037061</v>
      </c>
      <c r="CV119" s="65">
        <v>6300.2774355504316</v>
      </c>
      <c r="CW119" s="35">
        <v>-1329.7514161532745</v>
      </c>
      <c r="CX119" s="73">
        <v>426.00763467049131</v>
      </c>
      <c r="CY119" s="40">
        <v>1755.7590508237654</v>
      </c>
      <c r="CZ119" s="52">
        <v>1329.751416153274</v>
      </c>
      <c r="DA119" s="150">
        <v>15362.687141900748</v>
      </c>
      <c r="DB119" s="2">
        <v>2</v>
      </c>
      <c r="DC119" s="648">
        <v>8994.07</v>
      </c>
      <c r="DD119" s="648">
        <v>323.39999999999998</v>
      </c>
      <c r="DE119" s="649">
        <v>1261.4335136258023</v>
      </c>
      <c r="DG119" s="321">
        <v>24420.781062481678</v>
      </c>
      <c r="DH119" s="5">
        <v>96672.437836490368</v>
      </c>
      <c r="DI119" s="306">
        <v>5.3010418858203812</v>
      </c>
      <c r="DJ119" s="306"/>
      <c r="DK119" s="306">
        <v>4.6330576744315408</v>
      </c>
      <c r="DL119" s="28">
        <v>3632.8040043527071</v>
      </c>
      <c r="DM119" s="28">
        <v>372.96114279173901</v>
      </c>
      <c r="DN119" s="650">
        <v>3632.81</v>
      </c>
      <c r="DO119" s="94">
        <v>-5.9956472928206495E-3</v>
      </c>
      <c r="DP119" s="28">
        <v>4005.765147144446</v>
      </c>
      <c r="DQ119" s="318">
        <v>0</v>
      </c>
      <c r="DS119" s="8">
        <v>3815.014425851853</v>
      </c>
      <c r="DT119" s="5">
        <v>190.75072129259266</v>
      </c>
      <c r="DW119" s="5">
        <v>2104.9453317653256</v>
      </c>
      <c r="DX119" s="5">
        <v>0</v>
      </c>
    </row>
    <row r="120" spans="1:128" x14ac:dyDescent="0.3">
      <c r="A120" s="325">
        <v>150000607</v>
      </c>
      <c r="B120" s="41" t="s">
        <v>569</v>
      </c>
      <c r="C120" s="42" t="s">
        <v>158</v>
      </c>
      <c r="D120" s="42" t="s">
        <v>158</v>
      </c>
      <c r="E120" s="293">
        <v>994.8</v>
      </c>
      <c r="F120" s="305">
        <v>699</v>
      </c>
      <c r="G120" s="51"/>
      <c r="H120" s="651">
        <v>295.8</v>
      </c>
      <c r="I120" s="73">
        <v>592.44150138482814</v>
      </c>
      <c r="J120" s="40">
        <v>649.3244320723561</v>
      </c>
      <c r="K120" s="52">
        <v>56.88293068752796</v>
      </c>
      <c r="L120" s="73">
        <v>137.1294191771091</v>
      </c>
      <c r="M120" s="40">
        <v>154.49281062720507</v>
      </c>
      <c r="N120" s="52">
        <v>17.363391450095975</v>
      </c>
      <c r="O120" s="73">
        <v>180.58265079763999</v>
      </c>
      <c r="P120" s="40">
        <v>180.58</v>
      </c>
      <c r="Q120" s="52">
        <v>-2.6507976399727795E-3</v>
      </c>
      <c r="R120" s="73">
        <v>0</v>
      </c>
      <c r="S120" s="40">
        <v>0</v>
      </c>
      <c r="T120" s="52">
        <v>0</v>
      </c>
      <c r="U120" s="73">
        <v>0</v>
      </c>
      <c r="V120" s="40">
        <v>0</v>
      </c>
      <c r="W120" s="52">
        <v>0</v>
      </c>
      <c r="X120" s="73">
        <v>191.19945969613468</v>
      </c>
      <c r="Y120" s="40">
        <v>189.05308299606338</v>
      </c>
      <c r="Z120" s="52">
        <v>-2.1463767000713005</v>
      </c>
      <c r="AA120" s="73">
        <v>79.584000000000003</v>
      </c>
      <c r="AB120" s="40">
        <v>0</v>
      </c>
      <c r="AC120" s="52">
        <v>-79.584000000000003</v>
      </c>
      <c r="AD120" s="73">
        <v>704.95729908183819</v>
      </c>
      <c r="AE120" s="40">
        <v>896.61835653622234</v>
      </c>
      <c r="AF120" s="35">
        <v>191.66105745438415</v>
      </c>
      <c r="AG120" s="77">
        <v>1885.8943301375502</v>
      </c>
      <c r="AH120" s="53">
        <v>2070.0686822318467</v>
      </c>
      <c r="AI120" s="52">
        <v>184.17435209429641</v>
      </c>
      <c r="AJ120" s="73">
        <v>0</v>
      </c>
      <c r="AK120" s="40">
        <v>0</v>
      </c>
      <c r="AL120" s="52">
        <v>0</v>
      </c>
      <c r="AM120" s="73">
        <v>0</v>
      </c>
      <c r="AN120" s="40">
        <v>0</v>
      </c>
      <c r="AO120" s="52">
        <v>0</v>
      </c>
      <c r="AP120" s="73">
        <v>245.83487499999998</v>
      </c>
      <c r="AQ120" s="40">
        <v>0</v>
      </c>
      <c r="AR120" s="52">
        <v>-245.83487499999998</v>
      </c>
      <c r="AS120" s="73">
        <v>1653.2372656007235</v>
      </c>
      <c r="AT120" s="40">
        <v>0</v>
      </c>
      <c r="AU120" s="54">
        <v>-1653.2372656007235</v>
      </c>
      <c r="AV120" s="73">
        <v>320.01014338397141</v>
      </c>
      <c r="AW120" s="40">
        <v>0</v>
      </c>
      <c r="AX120" s="55">
        <v>-320.01014338397141</v>
      </c>
      <c r="AY120" s="73">
        <v>379.53448938037849</v>
      </c>
      <c r="AZ120" s="40">
        <v>0</v>
      </c>
      <c r="BA120" s="35">
        <v>-379.53448938037849</v>
      </c>
      <c r="BB120" s="73">
        <v>59.890883971913397</v>
      </c>
      <c r="BC120" s="40">
        <v>0</v>
      </c>
      <c r="BD120" s="55">
        <v>-59.890883971913397</v>
      </c>
      <c r="BE120" s="73">
        <v>0</v>
      </c>
      <c r="BF120" s="40">
        <v>0</v>
      </c>
      <c r="BG120" s="38">
        <v>0</v>
      </c>
      <c r="BH120" s="73">
        <v>0</v>
      </c>
      <c r="BI120" s="40">
        <v>0</v>
      </c>
      <c r="BJ120" s="55">
        <v>0</v>
      </c>
      <c r="BK120" s="73">
        <v>21.127518148560359</v>
      </c>
      <c r="BL120" s="40">
        <v>0</v>
      </c>
      <c r="BM120" s="38">
        <v>-21.127518148560359</v>
      </c>
      <c r="BN120" s="73">
        <v>19.896000000000001</v>
      </c>
      <c r="BO120" s="40">
        <v>0</v>
      </c>
      <c r="BP120" s="55">
        <v>-19.896000000000001</v>
      </c>
      <c r="BQ120" s="77">
        <v>800.45903488482361</v>
      </c>
      <c r="BR120" s="40">
        <v>0</v>
      </c>
      <c r="BS120" s="55">
        <v>-800.45903488482361</v>
      </c>
      <c r="BT120" s="73">
        <v>1135.8260884592939</v>
      </c>
      <c r="BU120" s="40">
        <v>377.43480003160624</v>
      </c>
      <c r="BV120" s="52">
        <v>-758.39128842768764</v>
      </c>
      <c r="BW120" s="73">
        <v>743.41058217957004</v>
      </c>
      <c r="BX120" s="40">
        <v>1222.8127881421112</v>
      </c>
      <c r="BY120" s="52">
        <v>479.40220596254119</v>
      </c>
      <c r="BZ120" s="73">
        <v>879.35450862806601</v>
      </c>
      <c r="CA120" s="40">
        <v>2537.0743789553981</v>
      </c>
      <c r="CB120" s="52">
        <v>1657.719870327332</v>
      </c>
      <c r="CC120" s="73">
        <v>74.487967124999997</v>
      </c>
      <c r="CD120" s="40">
        <v>93.986342832300934</v>
      </c>
      <c r="CE120" s="52">
        <v>19.498375707300937</v>
      </c>
      <c r="CF120" s="73">
        <v>8.8500554999999999</v>
      </c>
      <c r="CG120" s="40">
        <v>0</v>
      </c>
      <c r="CH120" s="52">
        <v>-8.8500554999999999</v>
      </c>
      <c r="CI120" s="73">
        <v>155.74</v>
      </c>
      <c r="CJ120" s="40">
        <v>177.90221849884074</v>
      </c>
      <c r="CK120" s="52">
        <v>22.16221849884073</v>
      </c>
      <c r="CL120" s="73">
        <v>0</v>
      </c>
      <c r="CM120" s="40">
        <v>0</v>
      </c>
      <c r="CN120" s="52">
        <v>0</v>
      </c>
      <c r="CO120" s="39">
        <v>155.74</v>
      </c>
      <c r="CP120" s="40">
        <v>177.90221849884074</v>
      </c>
      <c r="CQ120" s="52">
        <v>22.16221849884073</v>
      </c>
      <c r="CR120" s="72">
        <v>7583.0947075150261</v>
      </c>
      <c r="CS120" s="5">
        <v>6479.2792106921033</v>
      </c>
      <c r="CT120" s="52">
        <v>-1103.8154968229228</v>
      </c>
      <c r="CU120" s="77">
        <v>9099.713649018031</v>
      </c>
      <c r="CV120" s="65">
        <v>7775.1350528305238</v>
      </c>
      <c r="CW120" s="35">
        <v>-1324.5785961875072</v>
      </c>
      <c r="CX120" s="73">
        <v>508.06459099186293</v>
      </c>
      <c r="CY120" s="40">
        <v>1832.6431871793693</v>
      </c>
      <c r="CZ120" s="52">
        <v>1324.5785961875063</v>
      </c>
      <c r="DA120" s="150">
        <v>1122.4065928513669</v>
      </c>
      <c r="DB120" s="2">
        <v>2</v>
      </c>
      <c r="DC120" s="648">
        <v>4217.78</v>
      </c>
      <c r="DD120" s="648">
        <v>9546.239999999998</v>
      </c>
      <c r="DE120" s="649">
        <v>4156.2417599901037</v>
      </c>
      <c r="DG120" s="321">
        <v>-27526.641597485319</v>
      </c>
      <c r="DH120" s="5">
        <v>115293.33888011871</v>
      </c>
      <c r="DI120" s="306">
        <v>5.0015516335587158</v>
      </c>
      <c r="DJ120" s="306"/>
      <c r="DK120" s="306">
        <v>4.3315249285900048</v>
      </c>
      <c r="DL120" s="28">
        <v>3496.0845918575424</v>
      </c>
      <c r="DM120" s="28">
        <v>1281.2650738769235</v>
      </c>
      <c r="DN120" s="650">
        <v>3496.11</v>
      </c>
      <c r="DO120" s="94">
        <v>-2.5408142457763461E-2</v>
      </c>
      <c r="DP120" s="28">
        <v>4777.3496657344658</v>
      </c>
      <c r="DQ120" s="318">
        <v>0</v>
      </c>
      <c r="DS120" s="8">
        <v>4549.8568245090155</v>
      </c>
      <c r="DT120" s="5">
        <v>227.4928412254508</v>
      </c>
      <c r="DW120" s="5">
        <v>2944.4355605826563</v>
      </c>
      <c r="DX120" s="5">
        <v>0</v>
      </c>
    </row>
    <row r="121" spans="1:128" x14ac:dyDescent="0.3">
      <c r="A121" s="325">
        <v>150000608</v>
      </c>
      <c r="B121" s="41" t="s">
        <v>570</v>
      </c>
      <c r="C121" s="42" t="s">
        <v>159</v>
      </c>
      <c r="D121" s="42" t="s">
        <v>159</v>
      </c>
      <c r="E121" s="293">
        <v>598.30999999999995</v>
      </c>
      <c r="F121" s="305">
        <v>468.01</v>
      </c>
      <c r="G121" s="51"/>
      <c r="H121" s="651">
        <v>130.30000000000001</v>
      </c>
      <c r="I121" s="73">
        <v>446.75996567416348</v>
      </c>
      <c r="J121" s="40">
        <v>489.40933876393098</v>
      </c>
      <c r="K121" s="52">
        <v>42.649373089767494</v>
      </c>
      <c r="L121" s="73">
        <v>114.79273807101367</v>
      </c>
      <c r="M121" s="40">
        <v>129.32810265799748</v>
      </c>
      <c r="N121" s="52">
        <v>14.535364586983803</v>
      </c>
      <c r="O121" s="73">
        <v>110.06456297201333</v>
      </c>
      <c r="P121" s="40">
        <v>110.06</v>
      </c>
      <c r="Q121" s="52">
        <v>-4.5629720133320006E-3</v>
      </c>
      <c r="R121" s="73">
        <v>0</v>
      </c>
      <c r="S121" s="40">
        <v>0</v>
      </c>
      <c r="T121" s="52">
        <v>0</v>
      </c>
      <c r="U121" s="73">
        <v>0</v>
      </c>
      <c r="V121" s="40">
        <v>0</v>
      </c>
      <c r="W121" s="52">
        <v>0</v>
      </c>
      <c r="X121" s="73">
        <v>137.81400047796194</v>
      </c>
      <c r="Y121" s="40">
        <v>139.80809640047488</v>
      </c>
      <c r="Z121" s="52">
        <v>1.9940959225129404</v>
      </c>
      <c r="AA121" s="73">
        <v>47.016800000000003</v>
      </c>
      <c r="AB121" s="40">
        <v>0</v>
      </c>
      <c r="AC121" s="52">
        <v>-47.016800000000003</v>
      </c>
      <c r="AD121" s="73">
        <v>418.63745843427466</v>
      </c>
      <c r="AE121" s="40">
        <v>539.25988027662561</v>
      </c>
      <c r="AF121" s="35">
        <v>120.62242184235095</v>
      </c>
      <c r="AG121" s="77">
        <v>1275.0855256294271</v>
      </c>
      <c r="AH121" s="53">
        <v>1407.8654180990288</v>
      </c>
      <c r="AI121" s="52">
        <v>132.77989246960169</v>
      </c>
      <c r="AJ121" s="73">
        <v>0</v>
      </c>
      <c r="AK121" s="40">
        <v>0</v>
      </c>
      <c r="AL121" s="52">
        <v>0</v>
      </c>
      <c r="AM121" s="73">
        <v>0</v>
      </c>
      <c r="AN121" s="40">
        <v>0</v>
      </c>
      <c r="AO121" s="52">
        <v>0</v>
      </c>
      <c r="AP121" s="73">
        <v>163.88991666666666</v>
      </c>
      <c r="AQ121" s="40">
        <v>0</v>
      </c>
      <c r="AR121" s="52">
        <v>-163.88991666666666</v>
      </c>
      <c r="AS121" s="73">
        <v>1087.3431928147515</v>
      </c>
      <c r="AT121" s="40">
        <v>668</v>
      </c>
      <c r="AU121" s="54">
        <v>-419.34319281475155</v>
      </c>
      <c r="AV121" s="73">
        <v>242.59838751351438</v>
      </c>
      <c r="AW121" s="40">
        <v>0</v>
      </c>
      <c r="AX121" s="55">
        <v>-242.59838751351438</v>
      </c>
      <c r="AY121" s="73">
        <v>317.67376394907978</v>
      </c>
      <c r="AZ121" s="40">
        <v>0</v>
      </c>
      <c r="BA121" s="35">
        <v>-317.67376394907978</v>
      </c>
      <c r="BB121" s="73">
        <v>21.762747327366661</v>
      </c>
      <c r="BC121" s="40">
        <v>0</v>
      </c>
      <c r="BD121" s="55">
        <v>-21.762747327366661</v>
      </c>
      <c r="BE121" s="73">
        <v>0</v>
      </c>
      <c r="BF121" s="40">
        <v>0</v>
      </c>
      <c r="BG121" s="38">
        <v>0</v>
      </c>
      <c r="BH121" s="73">
        <v>0</v>
      </c>
      <c r="BI121" s="40">
        <v>0</v>
      </c>
      <c r="BJ121" s="55">
        <v>0</v>
      </c>
      <c r="BK121" s="73">
        <v>14.085004385047821</v>
      </c>
      <c r="BL121" s="40">
        <v>0</v>
      </c>
      <c r="BM121" s="38">
        <v>-14.085004385047821</v>
      </c>
      <c r="BN121" s="73">
        <v>11.754200000000001</v>
      </c>
      <c r="BO121" s="40">
        <v>0</v>
      </c>
      <c r="BP121" s="55">
        <v>-11.754200000000001</v>
      </c>
      <c r="BQ121" s="77">
        <v>607.8741031750086</v>
      </c>
      <c r="BR121" s="40">
        <v>0</v>
      </c>
      <c r="BS121" s="55">
        <v>-607.8741031750086</v>
      </c>
      <c r="BT121" s="73">
        <v>406.29934646410197</v>
      </c>
      <c r="BU121" s="40">
        <v>144.68828780216174</v>
      </c>
      <c r="BV121" s="52">
        <v>-261.61105866194021</v>
      </c>
      <c r="BW121" s="73">
        <v>528.59757421294796</v>
      </c>
      <c r="BX121" s="40">
        <v>554.63133235466535</v>
      </c>
      <c r="BY121" s="52">
        <v>26.033758141717385</v>
      </c>
      <c r="BZ121" s="73">
        <v>370.71563370633203</v>
      </c>
      <c r="CA121" s="40">
        <v>948.98475764814839</v>
      </c>
      <c r="CB121" s="52">
        <v>578.26912394181636</v>
      </c>
      <c r="CC121" s="73">
        <v>61.118332000000002</v>
      </c>
      <c r="CD121" s="40">
        <v>77.116999247016139</v>
      </c>
      <c r="CE121" s="52">
        <v>15.998667247016137</v>
      </c>
      <c r="CF121" s="73">
        <v>7.261584</v>
      </c>
      <c r="CG121" s="40">
        <v>0</v>
      </c>
      <c r="CH121" s="52">
        <v>-7.261584</v>
      </c>
      <c r="CI121" s="73">
        <v>383.1</v>
      </c>
      <c r="CJ121" s="40">
        <v>727.85214309835237</v>
      </c>
      <c r="CK121" s="52">
        <v>344.75214309835235</v>
      </c>
      <c r="CL121" s="73">
        <v>0</v>
      </c>
      <c r="CM121" s="40">
        <v>0</v>
      </c>
      <c r="CN121" s="52">
        <v>0</v>
      </c>
      <c r="CO121" s="39">
        <v>383.1</v>
      </c>
      <c r="CP121" s="40">
        <v>727.85214309835237</v>
      </c>
      <c r="CQ121" s="52">
        <v>344.75214309835235</v>
      </c>
      <c r="CR121" s="72">
        <v>4891.2852086692365</v>
      </c>
      <c r="CS121" s="5">
        <v>4529.1389382493726</v>
      </c>
      <c r="CT121" s="52">
        <v>-362.14627041986387</v>
      </c>
      <c r="CU121" s="77">
        <v>5869.5422504030839</v>
      </c>
      <c r="CV121" s="65">
        <v>5434.9667258992467</v>
      </c>
      <c r="CW121" s="35">
        <v>-434.57552450383719</v>
      </c>
      <c r="CX121" s="73">
        <v>327.7143323166336</v>
      </c>
      <c r="CY121" s="40">
        <v>762.28985682047096</v>
      </c>
      <c r="CZ121" s="52">
        <v>434.57552450383736</v>
      </c>
      <c r="DA121" s="150">
        <v>-21597.102290541301</v>
      </c>
      <c r="DB121" s="2">
        <v>2</v>
      </c>
      <c r="DC121" s="648">
        <v>3882.25</v>
      </c>
      <c r="DD121" s="648">
        <v>1159.1000000000001</v>
      </c>
      <c r="DE121" s="649">
        <v>-1155.9065827197173</v>
      </c>
      <c r="DG121" s="321">
        <v>9324.8791507767473</v>
      </c>
      <c r="DH121" s="5">
        <v>74367.078992636612</v>
      </c>
      <c r="DI121" s="306">
        <v>5.3881731267599324</v>
      </c>
      <c r="DJ121" s="306"/>
      <c r="DK121" s="306">
        <v>4.6766146734060356</v>
      </c>
      <c r="DL121" s="28">
        <v>2521.7189050549159</v>
      </c>
      <c r="DM121" s="28">
        <v>609.36289194480651</v>
      </c>
      <c r="DN121" s="650">
        <v>2521.7199999999998</v>
      </c>
      <c r="DO121" s="94">
        <v>-1.094945083877974E-3</v>
      </c>
      <c r="DP121" s="28">
        <v>3131.0817969997224</v>
      </c>
      <c r="DQ121" s="318">
        <v>49.57211553810339</v>
      </c>
      <c r="DS121" s="8">
        <v>2934.771125201542</v>
      </c>
      <c r="DT121" s="5">
        <v>146.7385562600771</v>
      </c>
      <c r="DW121" s="5">
        <v>2034.2607551877122</v>
      </c>
      <c r="DX121" s="5">
        <v>801.6</v>
      </c>
    </row>
    <row r="122" spans="1:128" x14ac:dyDescent="0.3">
      <c r="A122" s="325">
        <v>150000609</v>
      </c>
      <c r="B122" s="41" t="s">
        <v>571</v>
      </c>
      <c r="C122" s="42" t="s">
        <v>160</v>
      </c>
      <c r="D122" s="42" t="s">
        <v>160</v>
      </c>
      <c r="E122" s="293">
        <v>466</v>
      </c>
      <c r="F122" s="305">
        <v>350.3</v>
      </c>
      <c r="G122" s="51"/>
      <c r="H122" s="651">
        <v>115.7</v>
      </c>
      <c r="I122" s="73">
        <v>274.17947471158055</v>
      </c>
      <c r="J122" s="40">
        <v>299.82247570626043</v>
      </c>
      <c r="K122" s="52">
        <v>25.64300099467988</v>
      </c>
      <c r="L122" s="73">
        <v>110.21331409663348</v>
      </c>
      <c r="M122" s="40">
        <v>124.16860740705741</v>
      </c>
      <c r="N122" s="52">
        <v>13.955293310423926</v>
      </c>
      <c r="O122" s="73">
        <v>89.664478970933331</v>
      </c>
      <c r="P122" s="40">
        <v>89.66</v>
      </c>
      <c r="Q122" s="52">
        <v>-4.4789709333343808E-3</v>
      </c>
      <c r="R122" s="73">
        <v>0</v>
      </c>
      <c r="S122" s="40">
        <v>0</v>
      </c>
      <c r="T122" s="52">
        <v>0</v>
      </c>
      <c r="U122" s="73">
        <v>0</v>
      </c>
      <c r="V122" s="40">
        <v>0</v>
      </c>
      <c r="W122" s="52">
        <v>0</v>
      </c>
      <c r="X122" s="73">
        <v>137.81400047796194</v>
      </c>
      <c r="Y122" s="40">
        <v>139.7314960214452</v>
      </c>
      <c r="Z122" s="52">
        <v>1.9174955434832555</v>
      </c>
      <c r="AA122" s="73">
        <v>37.171999999999997</v>
      </c>
      <c r="AB122" s="40">
        <v>0</v>
      </c>
      <c r="AC122" s="52">
        <v>-37.171999999999997</v>
      </c>
      <c r="AD122" s="73">
        <v>330.14763391262733</v>
      </c>
      <c r="AE122" s="40">
        <v>420.00819676907884</v>
      </c>
      <c r="AF122" s="35">
        <v>89.860562856451509</v>
      </c>
      <c r="AG122" s="77">
        <v>979.19090216973655</v>
      </c>
      <c r="AH122" s="53">
        <v>1073.3907759038418</v>
      </c>
      <c r="AI122" s="52">
        <v>94.199873734105267</v>
      </c>
      <c r="AJ122" s="73">
        <v>0</v>
      </c>
      <c r="AK122" s="40">
        <v>0</v>
      </c>
      <c r="AL122" s="52">
        <v>0</v>
      </c>
      <c r="AM122" s="73">
        <v>0</v>
      </c>
      <c r="AN122" s="40">
        <v>0</v>
      </c>
      <c r="AO122" s="52">
        <v>0</v>
      </c>
      <c r="AP122" s="73">
        <v>113.46224999999998</v>
      </c>
      <c r="AQ122" s="40">
        <v>334.61929471566242</v>
      </c>
      <c r="AR122" s="52">
        <v>221.15704471566244</v>
      </c>
      <c r="AS122" s="73">
        <v>911.33200762865954</v>
      </c>
      <c r="AT122" s="40">
        <v>0</v>
      </c>
      <c r="AU122" s="54">
        <v>-911.33200762865954</v>
      </c>
      <c r="AV122" s="73">
        <v>170.72880444858387</v>
      </c>
      <c r="AW122" s="40">
        <v>0</v>
      </c>
      <c r="AX122" s="55">
        <v>-170.72880444858387</v>
      </c>
      <c r="AY122" s="73">
        <v>305.01273410092563</v>
      </c>
      <c r="AZ122" s="40">
        <v>0</v>
      </c>
      <c r="BA122" s="35">
        <v>-305.01273410092563</v>
      </c>
      <c r="BB122" s="73">
        <v>20.658161578730002</v>
      </c>
      <c r="BC122" s="40">
        <v>0</v>
      </c>
      <c r="BD122" s="55">
        <v>-20.658161578730002</v>
      </c>
      <c r="BE122" s="73">
        <v>0</v>
      </c>
      <c r="BF122" s="40">
        <v>0</v>
      </c>
      <c r="BG122" s="38">
        <v>0</v>
      </c>
      <c r="BH122" s="73">
        <v>0</v>
      </c>
      <c r="BI122" s="40">
        <v>0</v>
      </c>
      <c r="BJ122" s="55">
        <v>0</v>
      </c>
      <c r="BK122" s="73">
        <v>14.085004385047821</v>
      </c>
      <c r="BL122" s="40">
        <v>0</v>
      </c>
      <c r="BM122" s="38">
        <v>-14.085004385047821</v>
      </c>
      <c r="BN122" s="73">
        <v>9.2929999999999993</v>
      </c>
      <c r="BO122" s="40">
        <v>0</v>
      </c>
      <c r="BP122" s="55">
        <v>-9.2929999999999993</v>
      </c>
      <c r="BQ122" s="77">
        <v>519.77770451328729</v>
      </c>
      <c r="BR122" s="40">
        <v>0</v>
      </c>
      <c r="BS122" s="55">
        <v>-519.77770451328729</v>
      </c>
      <c r="BT122" s="73">
        <v>504.63388892546601</v>
      </c>
      <c r="BU122" s="40">
        <v>182.76636662069373</v>
      </c>
      <c r="BV122" s="52">
        <v>-321.86752230477225</v>
      </c>
      <c r="BW122" s="73">
        <v>202.416015545324</v>
      </c>
      <c r="BX122" s="40">
        <v>215.90244310545449</v>
      </c>
      <c r="BY122" s="52">
        <v>13.486427560130494</v>
      </c>
      <c r="BZ122" s="73">
        <v>326.40041062997199</v>
      </c>
      <c r="CA122" s="40">
        <v>973.35938842051246</v>
      </c>
      <c r="CB122" s="52">
        <v>646.95897779054053</v>
      </c>
      <c r="CC122" s="73">
        <v>23.683353650000001</v>
      </c>
      <c r="CD122" s="40">
        <v>29.882837208218756</v>
      </c>
      <c r="CE122" s="52">
        <v>6.1994835582187555</v>
      </c>
      <c r="CF122" s="73">
        <v>2.8138638</v>
      </c>
      <c r="CG122" s="40">
        <v>0</v>
      </c>
      <c r="CH122" s="52">
        <v>-2.8138638</v>
      </c>
      <c r="CI122" s="73">
        <v>227.36</v>
      </c>
      <c r="CJ122" s="40">
        <v>107.36501328712377</v>
      </c>
      <c r="CK122" s="52">
        <v>-119.99498671287624</v>
      </c>
      <c r="CL122" s="73">
        <v>0</v>
      </c>
      <c r="CM122" s="40">
        <v>0</v>
      </c>
      <c r="CN122" s="52">
        <v>0</v>
      </c>
      <c r="CO122" s="39">
        <v>227.36</v>
      </c>
      <c r="CP122" s="40">
        <v>107.36501328712377</v>
      </c>
      <c r="CQ122" s="52">
        <v>-119.99498671287624</v>
      </c>
      <c r="CR122" s="72">
        <v>3811.0703968624457</v>
      </c>
      <c r="CS122" s="5">
        <v>2917.2861192615078</v>
      </c>
      <c r="CT122" s="52">
        <v>-893.78427760093791</v>
      </c>
      <c r="CU122" s="77">
        <v>4573.284476234935</v>
      </c>
      <c r="CV122" s="65">
        <v>3500.7433431138093</v>
      </c>
      <c r="CW122" s="35">
        <v>-1072.5411331211258</v>
      </c>
      <c r="CX122" s="73">
        <v>255.34033229259634</v>
      </c>
      <c r="CY122" s="40">
        <v>1327.8814654137218</v>
      </c>
      <c r="CZ122" s="52">
        <v>1072.5411331211255</v>
      </c>
      <c r="DA122" s="150">
        <v>18789.456108312381</v>
      </c>
      <c r="DB122" s="2">
        <v>2</v>
      </c>
      <c r="DC122" s="648">
        <v>8991.2999999999993</v>
      </c>
      <c r="DD122" s="648">
        <v>2913.5299999999997</v>
      </c>
      <c r="DE122" s="649">
        <v>7076.205191472467</v>
      </c>
      <c r="DG122" s="321">
        <v>15807.349394978424</v>
      </c>
      <c r="DH122" s="5">
        <v>57943.497702330373</v>
      </c>
      <c r="DI122" s="306">
        <v>5.2582725824535697</v>
      </c>
      <c r="DJ122" s="306"/>
      <c r="DK122" s="306">
        <v>4.8928274189815708</v>
      </c>
      <c r="DL122" s="28">
        <v>1841.9728856334855</v>
      </c>
      <c r="DM122" s="28">
        <v>566.10013237616772</v>
      </c>
      <c r="DN122" s="650">
        <v>1841.96</v>
      </c>
      <c r="DO122" s="94">
        <v>1.288563348543903E-2</v>
      </c>
      <c r="DP122" s="28">
        <v>2408.0730180096534</v>
      </c>
      <c r="DQ122" s="318">
        <v>7.0986679863126483</v>
      </c>
      <c r="DS122" s="8">
        <v>2286.6422381174675</v>
      </c>
      <c r="DT122" s="5">
        <v>114.33211190587338</v>
      </c>
      <c r="DW122" s="5">
        <v>1717.3316545703362</v>
      </c>
      <c r="DX122" s="5">
        <v>0</v>
      </c>
    </row>
    <row r="123" spans="1:128" x14ac:dyDescent="0.3">
      <c r="A123" s="325">
        <v>150000610</v>
      </c>
      <c r="B123" s="41" t="s">
        <v>572</v>
      </c>
      <c r="C123" s="42" t="s">
        <v>161</v>
      </c>
      <c r="D123" s="42" t="s">
        <v>161</v>
      </c>
      <c r="E123" s="293">
        <v>475.2</v>
      </c>
      <c r="F123" s="305">
        <v>475.2</v>
      </c>
      <c r="G123" s="51"/>
      <c r="H123" s="651">
        <v>0</v>
      </c>
      <c r="I123" s="73">
        <v>432.17849380934882</v>
      </c>
      <c r="J123" s="40">
        <v>473.72532115887924</v>
      </c>
      <c r="K123" s="52">
        <v>41.546827349530417</v>
      </c>
      <c r="L123" s="73">
        <v>91.937875299112278</v>
      </c>
      <c r="M123" s="40">
        <v>103.57930088679663</v>
      </c>
      <c r="N123" s="52">
        <v>11.641425587684353</v>
      </c>
      <c r="O123" s="73">
        <v>89.013362781090009</v>
      </c>
      <c r="P123" s="40">
        <v>89.02</v>
      </c>
      <c r="Q123" s="52">
        <v>6.6372189099865864E-3</v>
      </c>
      <c r="R123" s="73">
        <v>0</v>
      </c>
      <c r="S123" s="40">
        <v>0</v>
      </c>
      <c r="T123" s="52">
        <v>0</v>
      </c>
      <c r="U123" s="73">
        <v>0</v>
      </c>
      <c r="V123" s="40">
        <v>0</v>
      </c>
      <c r="W123" s="52">
        <v>0</v>
      </c>
      <c r="X123" s="73">
        <v>135.32866873618718</v>
      </c>
      <c r="Y123" s="40">
        <v>137.5861157293524</v>
      </c>
      <c r="Z123" s="52">
        <v>2.2574469931652175</v>
      </c>
      <c r="AA123" s="73">
        <v>38.015999999999998</v>
      </c>
      <c r="AB123" s="40">
        <v>0</v>
      </c>
      <c r="AC123" s="52">
        <v>-38.015999999999998</v>
      </c>
      <c r="AD123" s="73">
        <v>342.33584885222467</v>
      </c>
      <c r="AE123" s="40">
        <v>428.30020408726659</v>
      </c>
      <c r="AF123" s="35">
        <v>85.964355235041921</v>
      </c>
      <c r="AG123" s="77">
        <v>1128.8102494779628</v>
      </c>
      <c r="AH123" s="53">
        <v>1232.2109418622949</v>
      </c>
      <c r="AI123" s="52">
        <v>103.40069238433216</v>
      </c>
      <c r="AJ123" s="73">
        <v>0</v>
      </c>
      <c r="AK123" s="40">
        <v>0</v>
      </c>
      <c r="AL123" s="52">
        <v>0</v>
      </c>
      <c r="AM123" s="73">
        <v>0</v>
      </c>
      <c r="AN123" s="40">
        <v>0</v>
      </c>
      <c r="AO123" s="52">
        <v>0</v>
      </c>
      <c r="AP123" s="73">
        <v>151.28299999999999</v>
      </c>
      <c r="AQ123" s="40">
        <v>0</v>
      </c>
      <c r="AR123" s="52">
        <v>-151.28299999999999</v>
      </c>
      <c r="AS123" s="73">
        <v>774.51122642027804</v>
      </c>
      <c r="AT123" s="40">
        <v>0</v>
      </c>
      <c r="AU123" s="54">
        <v>-774.51122642027804</v>
      </c>
      <c r="AV123" s="73">
        <v>238.94728553688842</v>
      </c>
      <c r="AW123" s="40">
        <v>0</v>
      </c>
      <c r="AX123" s="55">
        <v>-238.94728553688842</v>
      </c>
      <c r="AY123" s="73">
        <v>254.41093244473322</v>
      </c>
      <c r="AZ123" s="40">
        <v>0</v>
      </c>
      <c r="BA123" s="35">
        <v>-254.41093244473322</v>
      </c>
      <c r="BB123" s="73">
        <v>20.77583511687666</v>
      </c>
      <c r="BC123" s="40">
        <v>0</v>
      </c>
      <c r="BD123" s="55">
        <v>-20.77583511687666</v>
      </c>
      <c r="BE123" s="73">
        <v>0</v>
      </c>
      <c r="BF123" s="40">
        <v>0</v>
      </c>
      <c r="BG123" s="38">
        <v>0</v>
      </c>
      <c r="BH123" s="73">
        <v>0</v>
      </c>
      <c r="BI123" s="40">
        <v>0</v>
      </c>
      <c r="BJ123" s="55">
        <v>0</v>
      </c>
      <c r="BK123" s="73">
        <v>14.085035329655852</v>
      </c>
      <c r="BL123" s="40">
        <v>0</v>
      </c>
      <c r="BM123" s="38">
        <v>-14.085035329655852</v>
      </c>
      <c r="BN123" s="73">
        <v>9.5039999999999996</v>
      </c>
      <c r="BO123" s="40">
        <v>0</v>
      </c>
      <c r="BP123" s="55">
        <v>-9.5039999999999996</v>
      </c>
      <c r="BQ123" s="77">
        <v>537.72308842815414</v>
      </c>
      <c r="BR123" s="40">
        <v>0</v>
      </c>
      <c r="BS123" s="55">
        <v>-537.72308842815414</v>
      </c>
      <c r="BT123" s="73">
        <v>390.62665958513202</v>
      </c>
      <c r="BU123" s="40">
        <v>125.44248332720298</v>
      </c>
      <c r="BV123" s="52">
        <v>-265.18417625792904</v>
      </c>
      <c r="BW123" s="73">
        <v>274.25253825189799</v>
      </c>
      <c r="BX123" s="40">
        <v>290.79093975238823</v>
      </c>
      <c r="BY123" s="52">
        <v>16.538401500490238</v>
      </c>
      <c r="BZ123" s="73">
        <v>328.07403299204401</v>
      </c>
      <c r="CA123" s="40">
        <v>746.09604286810509</v>
      </c>
      <c r="CB123" s="52">
        <v>418.02200987606108</v>
      </c>
      <c r="CC123" s="73">
        <v>0</v>
      </c>
      <c r="CD123" s="40">
        <v>0</v>
      </c>
      <c r="CE123" s="52">
        <v>0</v>
      </c>
      <c r="CF123" s="73">
        <v>0</v>
      </c>
      <c r="CG123" s="40">
        <v>0</v>
      </c>
      <c r="CH123" s="52">
        <v>0</v>
      </c>
      <c r="CI123" s="73">
        <v>68.52</v>
      </c>
      <c r="CJ123" s="40">
        <v>73.626326116554225</v>
      </c>
      <c r="CK123" s="52">
        <v>5.1063261165542286</v>
      </c>
      <c r="CL123" s="73">
        <v>0</v>
      </c>
      <c r="CM123" s="40">
        <v>0</v>
      </c>
      <c r="CN123" s="52">
        <v>0</v>
      </c>
      <c r="CO123" s="39">
        <v>68.52</v>
      </c>
      <c r="CP123" s="40">
        <v>73.626326116554225</v>
      </c>
      <c r="CQ123" s="52">
        <v>5.1063261165542286</v>
      </c>
      <c r="CR123" s="72">
        <v>3653.8007951554691</v>
      </c>
      <c r="CS123" s="5">
        <v>2468.1667339265455</v>
      </c>
      <c r="CT123" s="52">
        <v>-1185.6340612289237</v>
      </c>
      <c r="CU123" s="77">
        <v>4384.5609541865624</v>
      </c>
      <c r="CV123" s="65">
        <v>2961.8000807118547</v>
      </c>
      <c r="CW123" s="35">
        <v>-1422.7608734747078</v>
      </c>
      <c r="CX123" s="73">
        <v>244.80332610335242</v>
      </c>
      <c r="CY123" s="40">
        <v>1667.5641995780602</v>
      </c>
      <c r="CZ123" s="52">
        <v>1422.7608734747078</v>
      </c>
      <c r="DA123" s="150">
        <v>20839.390736772686</v>
      </c>
      <c r="DB123" s="2">
        <v>2</v>
      </c>
      <c r="DC123" s="648">
        <v>10418.31</v>
      </c>
      <c r="DD123" s="648"/>
      <c r="DE123" s="649">
        <v>5788.9457197100846</v>
      </c>
      <c r="DG123" s="321">
        <v>-6981.5426316935518</v>
      </c>
      <c r="DH123" s="5">
        <v>55552.371363478975</v>
      </c>
      <c r="DI123" s="306">
        <v>4.8440540844864177</v>
      </c>
      <c r="DJ123" s="306"/>
      <c r="DK123" s="306"/>
      <c r="DL123" s="28">
        <v>2301.8945009479457</v>
      </c>
      <c r="DM123" s="28">
        <v>0</v>
      </c>
      <c r="DN123" s="650">
        <v>2301.91</v>
      </c>
      <c r="DO123" s="94">
        <v>-1.5499052054110507E-2</v>
      </c>
      <c r="DP123" s="28">
        <v>2301.8945009479457</v>
      </c>
      <c r="DQ123" s="318">
        <v>0</v>
      </c>
      <c r="DS123" s="8">
        <v>2192.2804770932812</v>
      </c>
      <c r="DT123" s="5">
        <v>109.61402385466407</v>
      </c>
      <c r="DW123" s="5">
        <v>1574.6811778181186</v>
      </c>
      <c r="DX123" s="5">
        <v>0</v>
      </c>
    </row>
    <row r="124" spans="1:128" x14ac:dyDescent="0.3">
      <c r="A124" s="325">
        <v>150000611</v>
      </c>
      <c r="B124" s="41" t="s">
        <v>573</v>
      </c>
      <c r="C124" s="42" t="s">
        <v>196</v>
      </c>
      <c r="D124" s="42" t="s">
        <v>196</v>
      </c>
      <c r="E124" s="293">
        <v>1162.5</v>
      </c>
      <c r="F124" s="305">
        <v>1108</v>
      </c>
      <c r="G124" s="51"/>
      <c r="H124" s="651">
        <v>54.5</v>
      </c>
      <c r="I124" s="73">
        <v>655.76978079172488</v>
      </c>
      <c r="J124" s="40">
        <v>727.05710093490916</v>
      </c>
      <c r="K124" s="52">
        <v>71.287320143184274</v>
      </c>
      <c r="L124" s="73">
        <v>151.64614600924992</v>
      </c>
      <c r="M124" s="40">
        <v>170.84743708301511</v>
      </c>
      <c r="N124" s="52">
        <v>19.201291073765191</v>
      </c>
      <c r="O124" s="73">
        <v>178.25678205929</v>
      </c>
      <c r="P124" s="40">
        <v>178.26</v>
      </c>
      <c r="Q124" s="52">
        <v>3.2179407099874879E-3</v>
      </c>
      <c r="R124" s="73">
        <v>0</v>
      </c>
      <c r="S124" s="40">
        <v>0</v>
      </c>
      <c r="T124" s="52">
        <v>0</v>
      </c>
      <c r="U124" s="73">
        <v>0</v>
      </c>
      <c r="V124" s="40">
        <v>0</v>
      </c>
      <c r="W124" s="52">
        <v>0</v>
      </c>
      <c r="X124" s="73">
        <v>241.54279313712243</v>
      </c>
      <c r="Y124" s="40">
        <v>351.15162004400031</v>
      </c>
      <c r="Z124" s="52">
        <v>109.60882690687788</v>
      </c>
      <c r="AA124" s="73">
        <v>88.64</v>
      </c>
      <c r="AB124" s="40">
        <v>0</v>
      </c>
      <c r="AC124" s="52">
        <v>-88.64</v>
      </c>
      <c r="AD124" s="73">
        <v>798.23878707534982</v>
      </c>
      <c r="AE124" s="40">
        <v>1047.7672290644937</v>
      </c>
      <c r="AF124" s="35">
        <v>249.52844198914386</v>
      </c>
      <c r="AG124" s="77">
        <v>2114.0942890727374</v>
      </c>
      <c r="AH124" s="53">
        <v>2475.0833871264185</v>
      </c>
      <c r="AI124" s="52">
        <v>360.98909805368112</v>
      </c>
      <c r="AJ124" s="73">
        <v>0</v>
      </c>
      <c r="AK124" s="40">
        <v>0</v>
      </c>
      <c r="AL124" s="52">
        <v>0</v>
      </c>
      <c r="AM124" s="73">
        <v>0</v>
      </c>
      <c r="AN124" s="40">
        <v>0</v>
      </c>
      <c r="AO124" s="52">
        <v>0</v>
      </c>
      <c r="AP124" s="73">
        <v>453.84899999999993</v>
      </c>
      <c r="AQ124" s="40">
        <v>0</v>
      </c>
      <c r="AR124" s="52">
        <v>-453.84899999999993</v>
      </c>
      <c r="AS124" s="73">
        <v>1228.1869559634833</v>
      </c>
      <c r="AT124" s="40">
        <v>0</v>
      </c>
      <c r="AU124" s="54">
        <v>-1228.1869559634833</v>
      </c>
      <c r="AV124" s="73">
        <v>296.62618661897704</v>
      </c>
      <c r="AW124" s="40">
        <v>0</v>
      </c>
      <c r="AX124" s="55">
        <v>-296.62618661897704</v>
      </c>
      <c r="AY124" s="73">
        <v>419.73550949072279</v>
      </c>
      <c r="AZ124" s="40">
        <v>0</v>
      </c>
      <c r="BA124" s="35">
        <v>-419.73550949072279</v>
      </c>
      <c r="BB124" s="73">
        <v>53.791527167059996</v>
      </c>
      <c r="BC124" s="40">
        <v>963</v>
      </c>
      <c r="BD124" s="55">
        <v>909.20847283294006</v>
      </c>
      <c r="BE124" s="73">
        <v>0</v>
      </c>
      <c r="BF124" s="40">
        <v>0</v>
      </c>
      <c r="BG124" s="38">
        <v>0</v>
      </c>
      <c r="BH124" s="73">
        <v>0</v>
      </c>
      <c r="BI124" s="40">
        <v>0</v>
      </c>
      <c r="BJ124" s="55">
        <v>0</v>
      </c>
      <c r="BK124" s="73">
        <v>69.85977369482724</v>
      </c>
      <c r="BL124" s="40">
        <v>0</v>
      </c>
      <c r="BM124" s="38">
        <v>-69.85977369482724</v>
      </c>
      <c r="BN124" s="73">
        <v>22.16</v>
      </c>
      <c r="BO124" s="40">
        <v>0</v>
      </c>
      <c r="BP124" s="55">
        <v>-22.16</v>
      </c>
      <c r="BQ124" s="77">
        <v>862.17299697158694</v>
      </c>
      <c r="BR124" s="40">
        <v>963</v>
      </c>
      <c r="BS124" s="55">
        <v>100.82700302841306</v>
      </c>
      <c r="BT124" s="73">
        <v>1340.4279912552061</v>
      </c>
      <c r="BU124" s="40">
        <v>401.38401714691588</v>
      </c>
      <c r="BV124" s="52">
        <v>-939.04397410829017</v>
      </c>
      <c r="BW124" s="73">
        <v>762.67308800318403</v>
      </c>
      <c r="BX124" s="40">
        <v>832.57470952081621</v>
      </c>
      <c r="BY124" s="52">
        <v>69.901621517632179</v>
      </c>
      <c r="BZ124" s="73">
        <v>903.43400990227201</v>
      </c>
      <c r="CA124" s="40">
        <v>1803.4320755345666</v>
      </c>
      <c r="CB124" s="52">
        <v>899.99806563229458</v>
      </c>
      <c r="CC124" s="73">
        <v>33.615082600000001</v>
      </c>
      <c r="CD124" s="40">
        <v>42.414349585858886</v>
      </c>
      <c r="CE124" s="52">
        <v>8.7992669858588854</v>
      </c>
      <c r="CF124" s="73">
        <v>3.9938712000000001</v>
      </c>
      <c r="CG124" s="40">
        <v>0</v>
      </c>
      <c r="CH124" s="52">
        <v>-3.9938712000000001</v>
      </c>
      <c r="CI124" s="73">
        <v>336.38</v>
      </c>
      <c r="CJ124" s="40">
        <v>519.95206159605164</v>
      </c>
      <c r="CK124" s="52">
        <v>183.57206159605164</v>
      </c>
      <c r="CL124" s="73">
        <v>0</v>
      </c>
      <c r="CM124" s="40">
        <v>0</v>
      </c>
      <c r="CN124" s="52">
        <v>0</v>
      </c>
      <c r="CO124" s="39">
        <v>336.38</v>
      </c>
      <c r="CP124" s="40">
        <v>519.95206159605164</v>
      </c>
      <c r="CQ124" s="52">
        <v>183.57206159605164</v>
      </c>
      <c r="CR124" s="72">
        <v>8038.8272849684699</v>
      </c>
      <c r="CS124" s="5">
        <v>7037.8406005106281</v>
      </c>
      <c r="CT124" s="52">
        <v>-1000.9866844578419</v>
      </c>
      <c r="CU124" s="77">
        <v>9646.5927419621639</v>
      </c>
      <c r="CV124" s="65">
        <v>8445.4087206127533</v>
      </c>
      <c r="CW124" s="35">
        <v>-1201.1840213494106</v>
      </c>
      <c r="CX124" s="73">
        <v>538.59850814524998</v>
      </c>
      <c r="CY124" s="40">
        <v>1739.7825294946615</v>
      </c>
      <c r="CZ124" s="52">
        <v>1201.1840213494115</v>
      </c>
      <c r="DA124" s="150">
        <v>-7089.062247202326</v>
      </c>
      <c r="DB124" s="2">
        <v>2</v>
      </c>
      <c r="DC124" s="648">
        <v>7042.84</v>
      </c>
      <c r="DD124" s="648">
        <v>0</v>
      </c>
      <c r="DE124" s="649">
        <v>-3142.3512501074147</v>
      </c>
      <c r="DG124" s="321">
        <v>21863.897444827697</v>
      </c>
      <c r="DH124" s="5">
        <v>122222.29500128898</v>
      </c>
      <c r="DI124" s="306">
        <v>4.5708133479513862</v>
      </c>
      <c r="DJ124" s="306"/>
      <c r="DK124" s="306"/>
      <c r="DL124" s="28">
        <v>5064.4611895301359</v>
      </c>
      <c r="DM124" s="28">
        <v>225.48</v>
      </c>
      <c r="DN124" s="650">
        <v>5064.46</v>
      </c>
      <c r="DO124" s="94">
        <v>1.189530135889072E-3</v>
      </c>
      <c r="DP124" s="28">
        <v>5289.9411895301355</v>
      </c>
      <c r="DQ124" s="318">
        <v>225.47999999999956</v>
      </c>
      <c r="DS124" s="8">
        <v>4823.296370981082</v>
      </c>
      <c r="DT124" s="5">
        <v>241.16481854905408</v>
      </c>
      <c r="DW124" s="5">
        <v>2508.4319435220846</v>
      </c>
      <c r="DX124" s="5">
        <v>1155.5999999999999</v>
      </c>
    </row>
    <row r="125" spans="1:128" x14ac:dyDescent="0.3">
      <c r="A125" s="325">
        <v>150000623</v>
      </c>
      <c r="B125" s="41" t="s">
        <v>574</v>
      </c>
      <c r="C125" s="42" t="s">
        <v>210</v>
      </c>
      <c r="D125" s="42" t="s">
        <v>210</v>
      </c>
      <c r="E125" s="293">
        <v>1511.6</v>
      </c>
      <c r="F125" s="305">
        <v>1418.8</v>
      </c>
      <c r="G125" s="51"/>
      <c r="H125" s="651">
        <v>92.8</v>
      </c>
      <c r="I125" s="73">
        <v>766.47142851111403</v>
      </c>
      <c r="J125" s="40">
        <v>848.71936569432546</v>
      </c>
      <c r="K125" s="52">
        <v>82.247937183211434</v>
      </c>
      <c r="L125" s="73">
        <v>145.25184315783244</v>
      </c>
      <c r="M125" s="40">
        <v>163.64361352509877</v>
      </c>
      <c r="N125" s="52">
        <v>18.391770367266332</v>
      </c>
      <c r="O125" s="73">
        <v>283.91890803980334</v>
      </c>
      <c r="P125" s="40">
        <v>283.92</v>
      </c>
      <c r="Q125" s="52">
        <v>1.0919601966747905E-3</v>
      </c>
      <c r="R125" s="73">
        <v>0</v>
      </c>
      <c r="S125" s="40">
        <v>0</v>
      </c>
      <c r="T125" s="52">
        <v>0</v>
      </c>
      <c r="U125" s="73">
        <v>0</v>
      </c>
      <c r="V125" s="40">
        <v>0</v>
      </c>
      <c r="W125" s="52">
        <v>0</v>
      </c>
      <c r="X125" s="73">
        <v>330.38245272339384</v>
      </c>
      <c r="Y125" s="40">
        <v>337.37059331914543</v>
      </c>
      <c r="Z125" s="52">
        <v>6.9881405957515881</v>
      </c>
      <c r="AA125" s="73">
        <v>117.69600000000001</v>
      </c>
      <c r="AB125" s="40">
        <v>0</v>
      </c>
      <c r="AC125" s="52">
        <v>-117.69600000000001</v>
      </c>
      <c r="AD125" s="73">
        <v>1057.8082050022604</v>
      </c>
      <c r="AE125" s="40">
        <v>1362.4128545839903</v>
      </c>
      <c r="AF125" s="35">
        <v>304.60464958172997</v>
      </c>
      <c r="AG125" s="77">
        <v>2701.5288374344041</v>
      </c>
      <c r="AH125" s="53">
        <v>2996.0664271225601</v>
      </c>
      <c r="AI125" s="52">
        <v>294.537589688156</v>
      </c>
      <c r="AJ125" s="73">
        <v>0</v>
      </c>
      <c r="AK125" s="40">
        <v>0</v>
      </c>
      <c r="AL125" s="52">
        <v>0</v>
      </c>
      <c r="AM125" s="73">
        <v>0</v>
      </c>
      <c r="AN125" s="40">
        <v>0</v>
      </c>
      <c r="AO125" s="52">
        <v>0</v>
      </c>
      <c r="AP125" s="73">
        <v>567.31124999999997</v>
      </c>
      <c r="AQ125" s="40">
        <v>0</v>
      </c>
      <c r="AR125" s="52">
        <v>-567.31124999999997</v>
      </c>
      <c r="AS125" s="73">
        <v>1378.8040178827928</v>
      </c>
      <c r="AT125" s="40">
        <v>0</v>
      </c>
      <c r="AU125" s="54">
        <v>-1378.8040178827928</v>
      </c>
      <c r="AV125" s="73">
        <v>347.04004829072522</v>
      </c>
      <c r="AW125" s="40">
        <v>0</v>
      </c>
      <c r="AX125" s="55">
        <v>-347.04004829072522</v>
      </c>
      <c r="AY125" s="73">
        <v>402.0100191941666</v>
      </c>
      <c r="AZ125" s="40">
        <v>0</v>
      </c>
      <c r="BA125" s="35">
        <v>-402.0100191941666</v>
      </c>
      <c r="BB125" s="73">
        <v>100.08382903941339</v>
      </c>
      <c r="BC125" s="40">
        <v>0</v>
      </c>
      <c r="BD125" s="55">
        <v>-100.08382903941339</v>
      </c>
      <c r="BE125" s="73">
        <v>0</v>
      </c>
      <c r="BF125" s="40">
        <v>0</v>
      </c>
      <c r="BG125" s="38">
        <v>0</v>
      </c>
      <c r="BH125" s="73">
        <v>0</v>
      </c>
      <c r="BI125" s="40">
        <v>0</v>
      </c>
      <c r="BJ125" s="55">
        <v>0</v>
      </c>
      <c r="BK125" s="73">
        <v>170.28565676358312</v>
      </c>
      <c r="BL125" s="40">
        <v>0</v>
      </c>
      <c r="BM125" s="38">
        <v>-170.28565676358312</v>
      </c>
      <c r="BN125" s="73">
        <v>29.424000000000003</v>
      </c>
      <c r="BO125" s="40">
        <v>0</v>
      </c>
      <c r="BP125" s="55">
        <v>-29.424000000000003</v>
      </c>
      <c r="BQ125" s="77">
        <v>1048.8435532878882</v>
      </c>
      <c r="BR125" s="40">
        <v>0</v>
      </c>
      <c r="BS125" s="55">
        <v>-1048.8435532878882</v>
      </c>
      <c r="BT125" s="73">
        <v>2051.37094085944</v>
      </c>
      <c r="BU125" s="40">
        <v>655.00777273880624</v>
      </c>
      <c r="BV125" s="52">
        <v>-1396.3631681206339</v>
      </c>
      <c r="BW125" s="73">
        <v>917.83110064524794</v>
      </c>
      <c r="BX125" s="40">
        <v>718.14259202560334</v>
      </c>
      <c r="BY125" s="52">
        <v>-199.68850861964461</v>
      </c>
      <c r="BZ125" s="73">
        <v>1443.1662668604399</v>
      </c>
      <c r="CA125" s="40">
        <v>3120.0101782352781</v>
      </c>
      <c r="CB125" s="52">
        <v>1676.8439113748382</v>
      </c>
      <c r="CC125" s="73">
        <v>47.748696875</v>
      </c>
      <c r="CD125" s="40">
        <v>60.247655661731358</v>
      </c>
      <c r="CE125" s="52">
        <v>12.498958786731357</v>
      </c>
      <c r="CF125" s="73">
        <v>5.6731125000000002</v>
      </c>
      <c r="CG125" s="40">
        <v>0</v>
      </c>
      <c r="CH125" s="52">
        <v>-5.6731125000000002</v>
      </c>
      <c r="CI125" s="73">
        <v>467.2</v>
      </c>
      <c r="CJ125" s="40">
        <v>596.63089607461893</v>
      </c>
      <c r="CK125" s="52">
        <v>129.43089607461894</v>
      </c>
      <c r="CL125" s="73">
        <v>0</v>
      </c>
      <c r="CM125" s="40">
        <v>0</v>
      </c>
      <c r="CN125" s="52">
        <v>0</v>
      </c>
      <c r="CO125" s="39">
        <v>467.2</v>
      </c>
      <c r="CP125" s="40">
        <v>596.63089607461893</v>
      </c>
      <c r="CQ125" s="52">
        <v>129.43089607461894</v>
      </c>
      <c r="CR125" s="72">
        <v>10629.477776345215</v>
      </c>
      <c r="CS125" s="5">
        <v>8146.1055218585971</v>
      </c>
      <c r="CT125" s="52">
        <v>-2483.3722544866177</v>
      </c>
      <c r="CU125" s="77">
        <v>12755.373331614257</v>
      </c>
      <c r="CV125" s="65">
        <v>9775.3266262303168</v>
      </c>
      <c r="CW125" s="35">
        <v>-2980.0467053839402</v>
      </c>
      <c r="CX125" s="73">
        <v>712.17115006409495</v>
      </c>
      <c r="CY125" s="40">
        <v>3692.2178554480361</v>
      </c>
      <c r="CZ125" s="52">
        <v>2980.0467053839411</v>
      </c>
      <c r="DA125" s="150">
        <v>15274.052002693965</v>
      </c>
      <c r="DB125" s="2">
        <v>2</v>
      </c>
      <c r="DC125" s="648">
        <v>15803.49</v>
      </c>
      <c r="DD125" s="648">
        <v>217.92</v>
      </c>
      <c r="DE125" s="649">
        <v>2553.865518321647</v>
      </c>
      <c r="DG125" s="321">
        <v>-18832.941522536657</v>
      </c>
      <c r="DH125" s="5">
        <v>161610.53378014022</v>
      </c>
      <c r="DI125" s="306">
        <v>4.5662905656349357</v>
      </c>
      <c r="DJ125" s="306"/>
      <c r="DK125" s="306">
        <v>4.158739400279349</v>
      </c>
      <c r="DL125" s="28">
        <v>6478.653054522847</v>
      </c>
      <c r="DM125" s="28">
        <v>385.93101634592358</v>
      </c>
      <c r="DN125" s="650">
        <v>6478.63</v>
      </c>
      <c r="DO125" s="94">
        <v>2.3054522846905456E-2</v>
      </c>
      <c r="DP125" s="28">
        <v>6864.5840708687701</v>
      </c>
      <c r="DQ125" s="318">
        <v>168.01307177128547</v>
      </c>
      <c r="DS125" s="8">
        <v>6377.6866658071285</v>
      </c>
      <c r="DT125" s="5">
        <v>318.88433329035644</v>
      </c>
      <c r="DW125" s="5">
        <v>2913.1770854048168</v>
      </c>
      <c r="DX125" s="5">
        <v>0</v>
      </c>
    </row>
    <row r="126" spans="1:128" x14ac:dyDescent="0.3">
      <c r="A126" s="325">
        <v>150000612</v>
      </c>
      <c r="B126" s="41" t="s">
        <v>575</v>
      </c>
      <c r="C126" s="42" t="s">
        <v>162</v>
      </c>
      <c r="D126" s="42" t="s">
        <v>162</v>
      </c>
      <c r="E126" s="293">
        <v>498.78</v>
      </c>
      <c r="F126" s="305">
        <v>498.78</v>
      </c>
      <c r="G126" s="51"/>
      <c r="H126" s="651">
        <v>0</v>
      </c>
      <c r="I126" s="73">
        <v>232.99140505513913</v>
      </c>
      <c r="J126" s="40">
        <v>254.85773834663979</v>
      </c>
      <c r="K126" s="52">
        <v>21.866333291500666</v>
      </c>
      <c r="L126" s="73">
        <v>107.14623865609667</v>
      </c>
      <c r="M126" s="40">
        <v>120.71271907859756</v>
      </c>
      <c r="N126" s="52">
        <v>13.566480422500888</v>
      </c>
      <c r="O126" s="73">
        <v>90.817444409916661</v>
      </c>
      <c r="P126" s="40">
        <v>90.82</v>
      </c>
      <c r="Q126" s="52">
        <v>2.555590083332504E-3</v>
      </c>
      <c r="R126" s="73">
        <v>0</v>
      </c>
      <c r="S126" s="40">
        <v>0</v>
      </c>
      <c r="T126" s="52">
        <v>0</v>
      </c>
      <c r="U126" s="73">
        <v>0</v>
      </c>
      <c r="V126" s="40">
        <v>0</v>
      </c>
      <c r="W126" s="52">
        <v>0</v>
      </c>
      <c r="X126" s="73">
        <v>137.81400047796194</v>
      </c>
      <c r="Y126" s="40">
        <v>139.76433222726257</v>
      </c>
      <c r="Z126" s="52">
        <v>1.9503317493006307</v>
      </c>
      <c r="AA126" s="73">
        <v>39.9024</v>
      </c>
      <c r="AB126" s="40">
        <v>0</v>
      </c>
      <c r="AC126" s="52">
        <v>-39.9024</v>
      </c>
      <c r="AD126" s="73">
        <v>359.34064233258397</v>
      </c>
      <c r="AE126" s="40">
        <v>449.55297936583929</v>
      </c>
      <c r="AF126" s="35">
        <v>90.212337033255324</v>
      </c>
      <c r="AG126" s="77">
        <v>968.01213093169827</v>
      </c>
      <c r="AH126" s="53">
        <v>1055.7077690183391</v>
      </c>
      <c r="AI126" s="52">
        <v>87.695638086640884</v>
      </c>
      <c r="AJ126" s="73">
        <v>0</v>
      </c>
      <c r="AK126" s="40">
        <v>0</v>
      </c>
      <c r="AL126" s="52">
        <v>0</v>
      </c>
      <c r="AM126" s="73">
        <v>0</v>
      </c>
      <c r="AN126" s="40">
        <v>0</v>
      </c>
      <c r="AO126" s="52">
        <v>0</v>
      </c>
      <c r="AP126" s="73">
        <v>151.28299999999999</v>
      </c>
      <c r="AQ126" s="40">
        <v>0</v>
      </c>
      <c r="AR126" s="52">
        <v>-151.28299999999999</v>
      </c>
      <c r="AS126" s="73">
        <v>876.16037437334683</v>
      </c>
      <c r="AT126" s="40">
        <v>0</v>
      </c>
      <c r="AU126" s="54">
        <v>-876.16037437334683</v>
      </c>
      <c r="AV126" s="73">
        <v>152.73256428091145</v>
      </c>
      <c r="AW126" s="40">
        <v>0</v>
      </c>
      <c r="AX126" s="55">
        <v>-152.73256428091145</v>
      </c>
      <c r="AY126" s="73">
        <v>296.60027957191437</v>
      </c>
      <c r="AZ126" s="40">
        <v>0</v>
      </c>
      <c r="BA126" s="35">
        <v>-296.60027957191437</v>
      </c>
      <c r="BB126" s="73">
        <v>12.116342484516661</v>
      </c>
      <c r="BC126" s="40">
        <v>0</v>
      </c>
      <c r="BD126" s="55">
        <v>-12.116342484516661</v>
      </c>
      <c r="BE126" s="73">
        <v>0</v>
      </c>
      <c r="BF126" s="40">
        <v>0</v>
      </c>
      <c r="BG126" s="38">
        <v>0</v>
      </c>
      <c r="BH126" s="73">
        <v>0</v>
      </c>
      <c r="BI126" s="40">
        <v>0</v>
      </c>
      <c r="BJ126" s="55">
        <v>0</v>
      </c>
      <c r="BK126" s="73">
        <v>14.085004385047821</v>
      </c>
      <c r="BL126" s="40">
        <v>0</v>
      </c>
      <c r="BM126" s="38">
        <v>-14.085004385047821</v>
      </c>
      <c r="BN126" s="73">
        <v>9.9756</v>
      </c>
      <c r="BO126" s="40">
        <v>0</v>
      </c>
      <c r="BP126" s="55">
        <v>-9.9756</v>
      </c>
      <c r="BQ126" s="77">
        <v>485.50979072239028</v>
      </c>
      <c r="BR126" s="40">
        <v>0</v>
      </c>
      <c r="BS126" s="55">
        <v>-485.50979072239028</v>
      </c>
      <c r="BT126" s="73">
        <v>584.53756327525798</v>
      </c>
      <c r="BU126" s="40">
        <v>212.16053668607199</v>
      </c>
      <c r="BV126" s="52">
        <v>-372.37702658918602</v>
      </c>
      <c r="BW126" s="73">
        <v>287.17082315949801</v>
      </c>
      <c r="BX126" s="40">
        <v>307.40570173449237</v>
      </c>
      <c r="BY126" s="52">
        <v>20.234878574994354</v>
      </c>
      <c r="BZ126" s="73">
        <v>386.48739646154399</v>
      </c>
      <c r="CA126" s="40">
        <v>1173.6106871067104</v>
      </c>
      <c r="CB126" s="52">
        <v>787.12329064516643</v>
      </c>
      <c r="CC126" s="73">
        <v>48.512676024999998</v>
      </c>
      <c r="CD126" s="40">
        <v>61.211618152319062</v>
      </c>
      <c r="CE126" s="52">
        <v>12.698942127319064</v>
      </c>
      <c r="CF126" s="73">
        <v>5.7638822999999997</v>
      </c>
      <c r="CG126" s="40">
        <v>0</v>
      </c>
      <c r="CH126" s="52">
        <v>-5.7638822999999997</v>
      </c>
      <c r="CI126" s="73">
        <v>292.77999999999997</v>
      </c>
      <c r="CJ126" s="40">
        <v>93.551839318134398</v>
      </c>
      <c r="CK126" s="52">
        <v>-199.22816068186557</v>
      </c>
      <c r="CL126" s="73">
        <v>0</v>
      </c>
      <c r="CM126" s="40">
        <v>0</v>
      </c>
      <c r="CN126" s="52">
        <v>0</v>
      </c>
      <c r="CO126" s="39">
        <v>292.77999999999997</v>
      </c>
      <c r="CP126" s="40">
        <v>93.551839318134398</v>
      </c>
      <c r="CQ126" s="52">
        <v>-199.22816068186557</v>
      </c>
      <c r="CR126" s="72">
        <v>4086.2176372487356</v>
      </c>
      <c r="CS126" s="5">
        <v>2903.6481520160678</v>
      </c>
      <c r="CT126" s="52">
        <v>-1182.5694852326678</v>
      </c>
      <c r="CU126" s="77">
        <v>4903.4611646984822</v>
      </c>
      <c r="CV126" s="65">
        <v>3484.3777824192812</v>
      </c>
      <c r="CW126" s="35">
        <v>-1419.083382279201</v>
      </c>
      <c r="CX126" s="73">
        <v>273.77509745659489</v>
      </c>
      <c r="CY126" s="40">
        <v>1692.8584797357962</v>
      </c>
      <c r="CZ126" s="52">
        <v>1419.0833822792013</v>
      </c>
      <c r="DA126" s="150">
        <v>-173.05534297478607</v>
      </c>
      <c r="DB126" s="2">
        <v>2</v>
      </c>
      <c r="DC126" s="648">
        <v>2574.3000000000002</v>
      </c>
      <c r="DD126" s="648"/>
      <c r="DE126" s="649">
        <v>-2602.9362621550772</v>
      </c>
      <c r="DG126" s="321">
        <v>-11465.05995684687</v>
      </c>
      <c r="DH126" s="5">
        <v>62126.835145860925</v>
      </c>
      <c r="DI126" s="306">
        <v>5.161227618322112</v>
      </c>
      <c r="DJ126" s="306"/>
      <c r="DK126" s="306"/>
      <c r="DL126" s="28">
        <v>2574.317111466703</v>
      </c>
      <c r="DM126" s="28">
        <v>0</v>
      </c>
      <c r="DN126" s="650">
        <v>2574.3000000000002</v>
      </c>
      <c r="DO126" s="94">
        <v>1.7111466702772304E-2</v>
      </c>
      <c r="DP126" s="28">
        <v>2574.317111466703</v>
      </c>
      <c r="DQ126" s="318">
        <v>0</v>
      </c>
      <c r="DS126" s="8">
        <v>2451.7305823492411</v>
      </c>
      <c r="DT126" s="5">
        <v>122.58652911746206</v>
      </c>
      <c r="DW126" s="5">
        <v>1634.0041981148845</v>
      </c>
      <c r="DX126" s="5">
        <v>0</v>
      </c>
    </row>
    <row r="127" spans="1:128" x14ac:dyDescent="0.3">
      <c r="A127" s="325">
        <v>150000613</v>
      </c>
      <c r="B127" s="41" t="s">
        <v>576</v>
      </c>
      <c r="C127" s="42" t="s">
        <v>211</v>
      </c>
      <c r="D127" s="42" t="s">
        <v>211</v>
      </c>
      <c r="E127" s="293">
        <v>1482.8</v>
      </c>
      <c r="F127" s="305">
        <v>1270.3</v>
      </c>
      <c r="G127" s="51"/>
      <c r="H127" s="651">
        <v>212.5</v>
      </c>
      <c r="I127" s="73">
        <v>732.57956425023463</v>
      </c>
      <c r="J127" s="40">
        <v>811.09282773346831</v>
      </c>
      <c r="K127" s="52">
        <v>78.513263483233686</v>
      </c>
      <c r="L127" s="73">
        <v>144.56020663298884</v>
      </c>
      <c r="M127" s="40">
        <v>162.86482178910785</v>
      </c>
      <c r="N127" s="52">
        <v>18.304615156119013</v>
      </c>
      <c r="O127" s="73">
        <v>288.51291700506664</v>
      </c>
      <c r="P127" s="40">
        <v>288.52</v>
      </c>
      <c r="Q127" s="52">
        <v>7.0829949333415243E-3</v>
      </c>
      <c r="R127" s="73">
        <v>0</v>
      </c>
      <c r="S127" s="40">
        <v>0</v>
      </c>
      <c r="T127" s="52">
        <v>0</v>
      </c>
      <c r="U127" s="73">
        <v>0</v>
      </c>
      <c r="V127" s="40">
        <v>0</v>
      </c>
      <c r="W127" s="52">
        <v>0</v>
      </c>
      <c r="X127" s="73">
        <v>339.66893728655884</v>
      </c>
      <c r="Y127" s="40">
        <v>340.3292488379775</v>
      </c>
      <c r="Z127" s="52">
        <v>0.66031155141865838</v>
      </c>
      <c r="AA127" s="73">
        <v>118.57440000000001</v>
      </c>
      <c r="AB127" s="40">
        <v>0</v>
      </c>
      <c r="AC127" s="52">
        <v>-118.57440000000001</v>
      </c>
      <c r="AD127" s="73">
        <v>1059.3719326636181</v>
      </c>
      <c r="AE127" s="40">
        <v>1336.4552664574894</v>
      </c>
      <c r="AF127" s="35">
        <v>277.08333379387136</v>
      </c>
      <c r="AG127" s="77">
        <v>2683.2679578384668</v>
      </c>
      <c r="AH127" s="53">
        <v>2939.2621648180429</v>
      </c>
      <c r="AI127" s="52">
        <v>255.99420697957612</v>
      </c>
      <c r="AJ127" s="73">
        <v>0</v>
      </c>
      <c r="AK127" s="40">
        <v>0</v>
      </c>
      <c r="AL127" s="52">
        <v>0</v>
      </c>
      <c r="AM127" s="73">
        <v>0</v>
      </c>
      <c r="AN127" s="40">
        <v>0</v>
      </c>
      <c r="AO127" s="52">
        <v>0</v>
      </c>
      <c r="AP127" s="73">
        <v>529.4905</v>
      </c>
      <c r="AQ127" s="40">
        <v>0</v>
      </c>
      <c r="AR127" s="52">
        <v>-529.4905</v>
      </c>
      <c r="AS127" s="73">
        <v>1523.5391525141681</v>
      </c>
      <c r="AT127" s="40">
        <v>43088</v>
      </c>
      <c r="AU127" s="54">
        <v>41564.460847485832</v>
      </c>
      <c r="AV127" s="73">
        <v>340.74636269039399</v>
      </c>
      <c r="AW127" s="40">
        <v>0</v>
      </c>
      <c r="AX127" s="55">
        <v>-340.74636269039399</v>
      </c>
      <c r="AY127" s="73">
        <v>400.06407055018002</v>
      </c>
      <c r="AZ127" s="40">
        <v>0</v>
      </c>
      <c r="BA127" s="35">
        <v>-400.06407055018002</v>
      </c>
      <c r="BB127" s="73">
        <v>104.1718689402534</v>
      </c>
      <c r="BC127" s="40">
        <v>1579</v>
      </c>
      <c r="BD127" s="55">
        <v>1474.8281310597465</v>
      </c>
      <c r="BE127" s="73">
        <v>0</v>
      </c>
      <c r="BF127" s="40">
        <v>0</v>
      </c>
      <c r="BG127" s="38">
        <v>0</v>
      </c>
      <c r="BH127" s="73">
        <v>0</v>
      </c>
      <c r="BI127" s="40">
        <v>0</v>
      </c>
      <c r="BJ127" s="55">
        <v>0</v>
      </c>
      <c r="BK127" s="73">
        <v>167.8519761862317</v>
      </c>
      <c r="BL127" s="40">
        <v>0</v>
      </c>
      <c r="BM127" s="38">
        <v>-167.8519761862317</v>
      </c>
      <c r="BN127" s="73">
        <v>29.643600000000003</v>
      </c>
      <c r="BO127" s="40">
        <v>0</v>
      </c>
      <c r="BP127" s="55">
        <v>-29.643600000000003</v>
      </c>
      <c r="BQ127" s="77">
        <v>1042.477878367059</v>
      </c>
      <c r="BR127" s="40">
        <v>1579</v>
      </c>
      <c r="BS127" s="55">
        <v>536.52212163294098</v>
      </c>
      <c r="BT127" s="73">
        <v>2565.9872349325601</v>
      </c>
      <c r="BU127" s="40">
        <v>686.33085853722969</v>
      </c>
      <c r="BV127" s="52">
        <v>-1879.6563763953304</v>
      </c>
      <c r="BW127" s="73">
        <v>980.41824068195604</v>
      </c>
      <c r="BX127" s="40">
        <v>715.88817245885843</v>
      </c>
      <c r="BY127" s="52">
        <v>-264.5300682230976</v>
      </c>
      <c r="BZ127" s="73">
        <v>1015.91517588736</v>
      </c>
      <c r="CA127" s="40">
        <v>2562.7001670750533</v>
      </c>
      <c r="CB127" s="52">
        <v>1546.7849911876933</v>
      </c>
      <c r="CC127" s="73">
        <v>43.164821975000002</v>
      </c>
      <c r="CD127" s="40">
        <v>54.463880718205154</v>
      </c>
      <c r="CE127" s="52">
        <v>11.299058743205151</v>
      </c>
      <c r="CF127" s="73">
        <v>5.1284936999999999</v>
      </c>
      <c r="CG127" s="40">
        <v>0</v>
      </c>
      <c r="CH127" s="52">
        <v>-5.1284936999999999</v>
      </c>
      <c r="CI127" s="73">
        <v>485.88</v>
      </c>
      <c r="CJ127" s="40">
        <v>590.37942917929581</v>
      </c>
      <c r="CK127" s="52">
        <v>104.49942917929582</v>
      </c>
      <c r="CL127" s="73">
        <v>0</v>
      </c>
      <c r="CM127" s="40">
        <v>0</v>
      </c>
      <c r="CN127" s="52">
        <v>0</v>
      </c>
      <c r="CO127" s="39">
        <v>485.88</v>
      </c>
      <c r="CP127" s="40">
        <v>590.37942917929581</v>
      </c>
      <c r="CQ127" s="52">
        <v>104.49942917929582</v>
      </c>
      <c r="CR127" s="72">
        <v>10875.269455896569</v>
      </c>
      <c r="CS127" s="5">
        <v>52216.024672786683</v>
      </c>
      <c r="CT127" s="52">
        <v>41340.755216890117</v>
      </c>
      <c r="CU127" s="77">
        <v>13050.323347075882</v>
      </c>
      <c r="CV127" s="65">
        <v>62659.229607344016</v>
      </c>
      <c r="CW127" s="35">
        <v>49608.906260268137</v>
      </c>
      <c r="CX127" s="73">
        <v>728.63910331498937</v>
      </c>
      <c r="CY127" s="40">
        <v>-48880.267156953145</v>
      </c>
      <c r="CZ127" s="52">
        <v>-49608.906260268137</v>
      </c>
      <c r="DA127" s="150">
        <v>56038.620153440424</v>
      </c>
      <c r="DB127" s="2">
        <v>2</v>
      </c>
      <c r="DC127" s="648">
        <v>12792.98</v>
      </c>
      <c r="DD127" s="648">
        <v>5461.3099999999995</v>
      </c>
      <c r="DE127" s="649">
        <v>4475.3275496091301</v>
      </c>
      <c r="DG127" s="321">
        <v>669.39150002536189</v>
      </c>
      <c r="DH127" s="5">
        <v>165347.54940469045</v>
      </c>
      <c r="DI127" s="306">
        <v>4.6922742249925378</v>
      </c>
      <c r="DJ127" s="306"/>
      <c r="DK127" s="306">
        <v>4.2058024434179426</v>
      </c>
      <c r="DL127" s="28">
        <v>5960.5959480080201</v>
      </c>
      <c r="DM127" s="28">
        <v>893.73301922631276</v>
      </c>
      <c r="DN127" s="650">
        <v>5960.65</v>
      </c>
      <c r="DO127" s="94">
        <v>-5.4051991979576997E-2</v>
      </c>
      <c r="DP127" s="28">
        <v>6854.3289672343326</v>
      </c>
      <c r="DQ127" s="318">
        <v>2.9092100194939121</v>
      </c>
      <c r="DS127" s="8">
        <v>6525.1616735379412</v>
      </c>
      <c r="DT127" s="5">
        <v>326.25808367689706</v>
      </c>
      <c r="DW127" s="5">
        <v>3079.2204370574723</v>
      </c>
      <c r="DX127" s="5">
        <v>53600.4</v>
      </c>
    </row>
    <row r="128" spans="1:128" x14ac:dyDescent="0.3">
      <c r="A128" s="325">
        <v>150000614</v>
      </c>
      <c r="B128" s="41" t="s">
        <v>577</v>
      </c>
      <c r="C128" s="42" t="s">
        <v>163</v>
      </c>
      <c r="D128" s="42" t="s">
        <v>163</v>
      </c>
      <c r="E128" s="293">
        <v>626.29999999999995</v>
      </c>
      <c r="F128" s="305">
        <v>626.29999999999995</v>
      </c>
      <c r="G128" s="51"/>
      <c r="H128" s="651">
        <v>0</v>
      </c>
      <c r="I128" s="73">
        <v>437.58108351854105</v>
      </c>
      <c r="J128" s="40">
        <v>481.776216608857</v>
      </c>
      <c r="K128" s="52">
        <v>44.195133090315949</v>
      </c>
      <c r="L128" s="73">
        <v>85.112027256769892</v>
      </c>
      <c r="M128" s="40">
        <v>95.888732493885954</v>
      </c>
      <c r="N128" s="52">
        <v>10.776705237116062</v>
      </c>
      <c r="O128" s="73">
        <v>112.69545898699666</v>
      </c>
      <c r="P128" s="40">
        <v>112.7</v>
      </c>
      <c r="Q128" s="52">
        <v>4.5410130033474161E-3</v>
      </c>
      <c r="R128" s="73">
        <v>0</v>
      </c>
      <c r="S128" s="40">
        <v>0</v>
      </c>
      <c r="T128" s="52">
        <v>0</v>
      </c>
      <c r="U128" s="73">
        <v>0</v>
      </c>
      <c r="V128" s="40">
        <v>0</v>
      </c>
      <c r="W128" s="52">
        <v>0</v>
      </c>
      <c r="X128" s="73">
        <v>201.66055465027011</v>
      </c>
      <c r="Y128" s="40">
        <v>215.31172168836298</v>
      </c>
      <c r="Z128" s="52">
        <v>13.651167038092865</v>
      </c>
      <c r="AA128" s="73">
        <v>50.103999999999999</v>
      </c>
      <c r="AB128" s="40">
        <v>0</v>
      </c>
      <c r="AC128" s="52">
        <v>-50.103999999999999</v>
      </c>
      <c r="AD128" s="73">
        <v>451.20048929672794</v>
      </c>
      <c r="AE128" s="40">
        <v>564.48741123706873</v>
      </c>
      <c r="AF128" s="35">
        <v>113.28692194034079</v>
      </c>
      <c r="AG128" s="77">
        <v>1338.3536137093056</v>
      </c>
      <c r="AH128" s="53">
        <v>1470.1640820281748</v>
      </c>
      <c r="AI128" s="52">
        <v>131.8104683188692</v>
      </c>
      <c r="AJ128" s="73">
        <v>0</v>
      </c>
      <c r="AK128" s="40">
        <v>0</v>
      </c>
      <c r="AL128" s="52">
        <v>0</v>
      </c>
      <c r="AM128" s="73">
        <v>0</v>
      </c>
      <c r="AN128" s="40">
        <v>0</v>
      </c>
      <c r="AO128" s="52">
        <v>0</v>
      </c>
      <c r="AP128" s="73">
        <v>226.92449999999997</v>
      </c>
      <c r="AQ128" s="40">
        <v>0</v>
      </c>
      <c r="AR128" s="52">
        <v>-226.92449999999997</v>
      </c>
      <c r="AS128" s="73">
        <v>970.35913117429448</v>
      </c>
      <c r="AT128" s="40">
        <v>0</v>
      </c>
      <c r="AU128" s="54">
        <v>-970.35913117429448</v>
      </c>
      <c r="AV128" s="73">
        <v>217.82148261822061</v>
      </c>
      <c r="AW128" s="40">
        <v>0</v>
      </c>
      <c r="AX128" s="55">
        <v>-217.82148261822061</v>
      </c>
      <c r="AY128" s="73">
        <v>235.59775700629942</v>
      </c>
      <c r="AZ128" s="40">
        <v>0</v>
      </c>
      <c r="BA128" s="35">
        <v>-235.59775700629942</v>
      </c>
      <c r="BB128" s="73">
        <v>22.60904458453334</v>
      </c>
      <c r="BC128" s="40">
        <v>0</v>
      </c>
      <c r="BD128" s="55">
        <v>-22.60904458453334</v>
      </c>
      <c r="BE128" s="73">
        <v>0</v>
      </c>
      <c r="BF128" s="40">
        <v>0</v>
      </c>
      <c r="BG128" s="38">
        <v>0</v>
      </c>
      <c r="BH128" s="73">
        <v>0</v>
      </c>
      <c r="BI128" s="40">
        <v>0</v>
      </c>
      <c r="BJ128" s="55">
        <v>0</v>
      </c>
      <c r="BK128" s="73">
        <v>94.228990190814187</v>
      </c>
      <c r="BL128" s="40">
        <v>0</v>
      </c>
      <c r="BM128" s="38">
        <v>-94.228990190814187</v>
      </c>
      <c r="BN128" s="73">
        <v>12.526</v>
      </c>
      <c r="BO128" s="40">
        <v>0</v>
      </c>
      <c r="BP128" s="55">
        <v>-12.526</v>
      </c>
      <c r="BQ128" s="77">
        <v>582.78327439986754</v>
      </c>
      <c r="BR128" s="40">
        <v>0</v>
      </c>
      <c r="BS128" s="55">
        <v>-582.78327439986754</v>
      </c>
      <c r="BT128" s="73">
        <v>312.473990082608</v>
      </c>
      <c r="BU128" s="40">
        <v>153.18493671644293</v>
      </c>
      <c r="BV128" s="52">
        <v>-159.28905336616506</v>
      </c>
      <c r="BW128" s="73">
        <v>682.77527327901396</v>
      </c>
      <c r="BX128" s="40">
        <v>719.11570246402562</v>
      </c>
      <c r="BY128" s="52">
        <v>36.340429185011658</v>
      </c>
      <c r="BZ128" s="73">
        <v>323.215931462784</v>
      </c>
      <c r="CA128" s="40">
        <v>833.42557335996025</v>
      </c>
      <c r="CB128" s="52">
        <v>510.20964189717625</v>
      </c>
      <c r="CC128" s="73">
        <v>0</v>
      </c>
      <c r="CD128" s="40">
        <v>0</v>
      </c>
      <c r="CE128" s="52">
        <v>0</v>
      </c>
      <c r="CF128" s="73">
        <v>0</v>
      </c>
      <c r="CG128" s="40">
        <v>0</v>
      </c>
      <c r="CH128" s="52">
        <v>0</v>
      </c>
      <c r="CI128" s="73">
        <v>190</v>
      </c>
      <c r="CJ128" s="40">
        <v>230.16830858986899</v>
      </c>
      <c r="CK128" s="52">
        <v>40.168308589868985</v>
      </c>
      <c r="CL128" s="73">
        <v>0</v>
      </c>
      <c r="CM128" s="40">
        <v>0</v>
      </c>
      <c r="CN128" s="52">
        <v>0</v>
      </c>
      <c r="CO128" s="39">
        <v>190</v>
      </c>
      <c r="CP128" s="40">
        <v>230.16830858986899</v>
      </c>
      <c r="CQ128" s="52">
        <v>40.168308589868985</v>
      </c>
      <c r="CR128" s="72">
        <v>4626.8857141078734</v>
      </c>
      <c r="CS128" s="5">
        <v>3406.0586031584726</v>
      </c>
      <c r="CT128" s="52">
        <v>-1220.8271109494008</v>
      </c>
      <c r="CU128" s="77">
        <v>5552.2628569294475</v>
      </c>
      <c r="CV128" s="65">
        <v>4087.2703237901669</v>
      </c>
      <c r="CW128" s="35">
        <v>-1464.9925331392806</v>
      </c>
      <c r="CX128" s="73">
        <v>309.99966221899547</v>
      </c>
      <c r="CY128" s="40">
        <v>1774.9921953582761</v>
      </c>
      <c r="CZ128" s="52">
        <v>1464.9925331392806</v>
      </c>
      <c r="DA128" s="150">
        <v>-17421.093274395149</v>
      </c>
      <c r="DB128" s="2">
        <v>2</v>
      </c>
      <c r="DC128" s="648">
        <v>3506.51</v>
      </c>
      <c r="DD128" s="648"/>
      <c r="DE128" s="649">
        <v>-2355.7525191484428</v>
      </c>
      <c r="DG128" s="321">
        <v>-2635.2194954105944</v>
      </c>
      <c r="DH128" s="5">
        <v>70347.150229781313</v>
      </c>
      <c r="DI128" s="306">
        <v>4.6542200221746128</v>
      </c>
      <c r="DJ128" s="306"/>
      <c r="DK128" s="306"/>
      <c r="DL128" s="28">
        <v>2914.9379998879599</v>
      </c>
      <c r="DM128" s="28">
        <v>0</v>
      </c>
      <c r="DN128" s="650">
        <v>2914.91</v>
      </c>
      <c r="DO128" s="94">
        <v>2.7999887960049819E-2</v>
      </c>
      <c r="DP128" s="28">
        <v>2914.9379998879599</v>
      </c>
      <c r="DQ128" s="318">
        <v>0</v>
      </c>
      <c r="DS128" s="8">
        <v>2776.1314284647237</v>
      </c>
      <c r="DT128" s="5">
        <v>138.80657142323619</v>
      </c>
      <c r="DW128" s="5">
        <v>1863.7708866889943</v>
      </c>
      <c r="DX128" s="5">
        <v>0</v>
      </c>
    </row>
    <row r="129" spans="1:128" x14ac:dyDescent="0.3">
      <c r="A129" s="325">
        <v>150000615</v>
      </c>
      <c r="B129" s="41" t="s">
        <v>578</v>
      </c>
      <c r="C129" s="42" t="s">
        <v>257</v>
      </c>
      <c r="D129" s="42" t="s">
        <v>257</v>
      </c>
      <c r="E129" s="293">
        <v>2636.9100000000003</v>
      </c>
      <c r="F129" s="305">
        <v>2504.61</v>
      </c>
      <c r="G129" s="51"/>
      <c r="H129" s="651">
        <v>132.30000000000001</v>
      </c>
      <c r="I129" s="73">
        <v>1323.1965787887373</v>
      </c>
      <c r="J129" s="40">
        <v>1468.7429480567307</v>
      </c>
      <c r="K129" s="52">
        <v>145.54636926799344</v>
      </c>
      <c r="L129" s="73">
        <v>268.16706584599478</v>
      </c>
      <c r="M129" s="40">
        <v>302.12251908098995</v>
      </c>
      <c r="N129" s="52">
        <v>33.955453234995161</v>
      </c>
      <c r="O129" s="73">
        <v>491.07660874919998</v>
      </c>
      <c r="P129" s="40">
        <v>491.08</v>
      </c>
      <c r="Q129" s="52">
        <v>3.3912508000071284E-3</v>
      </c>
      <c r="R129" s="73">
        <v>0</v>
      </c>
      <c r="S129" s="40">
        <v>0</v>
      </c>
      <c r="T129" s="52">
        <v>0</v>
      </c>
      <c r="U129" s="73">
        <v>0</v>
      </c>
      <c r="V129" s="40">
        <v>0</v>
      </c>
      <c r="W129" s="52">
        <v>0</v>
      </c>
      <c r="X129" s="73">
        <v>564.79051243172148</v>
      </c>
      <c r="Y129" s="40">
        <v>602.49438874818918</v>
      </c>
      <c r="Z129" s="52">
        <v>37.703876316467699</v>
      </c>
      <c r="AA129" s="73">
        <v>210.96880000000002</v>
      </c>
      <c r="AB129" s="40">
        <v>0</v>
      </c>
      <c r="AC129" s="52">
        <v>-210.96880000000002</v>
      </c>
      <c r="AD129" s="73">
        <v>1894.5794114535365</v>
      </c>
      <c r="AE129" s="40">
        <v>2376.660545369853</v>
      </c>
      <c r="AF129" s="35">
        <v>482.0811339163165</v>
      </c>
      <c r="AG129" s="77">
        <v>4752.7789772691904</v>
      </c>
      <c r="AH129" s="53">
        <v>5241.1004012557623</v>
      </c>
      <c r="AI129" s="52">
        <v>488.32142398657197</v>
      </c>
      <c r="AJ129" s="73">
        <v>0</v>
      </c>
      <c r="AK129" s="40">
        <v>0</v>
      </c>
      <c r="AL129" s="52">
        <v>0</v>
      </c>
      <c r="AM129" s="73">
        <v>0</v>
      </c>
      <c r="AN129" s="40">
        <v>0</v>
      </c>
      <c r="AO129" s="52">
        <v>0</v>
      </c>
      <c r="AP129" s="73">
        <v>1115.7121249999998</v>
      </c>
      <c r="AQ129" s="40">
        <v>0</v>
      </c>
      <c r="AR129" s="52">
        <v>-1115.7121249999998</v>
      </c>
      <c r="AS129" s="73">
        <v>2295.4274288760212</v>
      </c>
      <c r="AT129" s="40">
        <v>0</v>
      </c>
      <c r="AU129" s="54">
        <v>-2295.4274288760212</v>
      </c>
      <c r="AV129" s="73">
        <v>573.42451102779319</v>
      </c>
      <c r="AW129" s="40">
        <v>0</v>
      </c>
      <c r="AX129" s="55">
        <v>-573.42451102779319</v>
      </c>
      <c r="AY129" s="73">
        <v>742.20169132988531</v>
      </c>
      <c r="AZ129" s="40">
        <v>0</v>
      </c>
      <c r="BA129" s="35">
        <v>-742.20169132988531</v>
      </c>
      <c r="BB129" s="73">
        <v>166.42309510825999</v>
      </c>
      <c r="BC129" s="40">
        <v>1402</v>
      </c>
      <c r="BD129" s="55">
        <v>1235.57690489174</v>
      </c>
      <c r="BE129" s="73">
        <v>0</v>
      </c>
      <c r="BF129" s="40">
        <v>0</v>
      </c>
      <c r="BG129" s="38">
        <v>0</v>
      </c>
      <c r="BH129" s="73">
        <v>0</v>
      </c>
      <c r="BI129" s="40">
        <v>0</v>
      </c>
      <c r="BJ129" s="55">
        <v>0</v>
      </c>
      <c r="BK129" s="73">
        <v>348.8660573984406</v>
      </c>
      <c r="BL129" s="40">
        <v>0</v>
      </c>
      <c r="BM129" s="38">
        <v>-348.8660573984406</v>
      </c>
      <c r="BN129" s="73">
        <v>52.742200000000004</v>
      </c>
      <c r="BO129" s="40">
        <v>0</v>
      </c>
      <c r="BP129" s="55">
        <v>-52.742200000000004</v>
      </c>
      <c r="BQ129" s="77">
        <v>1883.6575548643789</v>
      </c>
      <c r="BR129" s="40">
        <v>1402</v>
      </c>
      <c r="BS129" s="55">
        <v>-481.65755486437888</v>
      </c>
      <c r="BT129" s="73">
        <v>7278.0020498120002</v>
      </c>
      <c r="BU129" s="40">
        <v>709.25722757964741</v>
      </c>
      <c r="BV129" s="52">
        <v>-6568.7448222323528</v>
      </c>
      <c r="BW129" s="73">
        <v>1314.209722417082</v>
      </c>
      <c r="BX129" s="40">
        <v>1016.7372656236819</v>
      </c>
      <c r="BY129" s="52">
        <v>-297.47245679340017</v>
      </c>
      <c r="BZ129" s="73">
        <v>1321.0089834668779</v>
      </c>
      <c r="CA129" s="40">
        <v>7297.7787482380072</v>
      </c>
      <c r="CB129" s="52">
        <v>5976.7697647711293</v>
      </c>
      <c r="CC129" s="73">
        <v>99.699279075000007</v>
      </c>
      <c r="CD129" s="40">
        <v>125.7971050216951</v>
      </c>
      <c r="CE129" s="52">
        <v>26.097825946695096</v>
      </c>
      <c r="CF129" s="73">
        <v>11.845458900000001</v>
      </c>
      <c r="CG129" s="40">
        <v>0</v>
      </c>
      <c r="CH129" s="52">
        <v>-11.845458900000001</v>
      </c>
      <c r="CI129" s="73">
        <v>460.96</v>
      </c>
      <c r="CJ129" s="40">
        <v>630.3110031766696</v>
      </c>
      <c r="CK129" s="52">
        <v>169.35100317666962</v>
      </c>
      <c r="CL129" s="73">
        <v>0</v>
      </c>
      <c r="CM129" s="40">
        <v>0</v>
      </c>
      <c r="CN129" s="52">
        <v>0</v>
      </c>
      <c r="CO129" s="39">
        <v>460.96</v>
      </c>
      <c r="CP129" s="40">
        <v>630.3110031766696</v>
      </c>
      <c r="CQ129" s="52">
        <v>169.35100317666962</v>
      </c>
      <c r="CR129" s="72">
        <v>20533.301579680552</v>
      </c>
      <c r="CS129" s="5">
        <v>16422.981750895462</v>
      </c>
      <c r="CT129" s="52">
        <v>-4110.3198287850901</v>
      </c>
      <c r="CU129" s="77">
        <v>24639.961895616663</v>
      </c>
      <c r="CV129" s="65">
        <v>19707.578101074552</v>
      </c>
      <c r="CW129" s="35">
        <v>-4932.383794542111</v>
      </c>
      <c r="CX129" s="73">
        <v>1375.7237475162183</v>
      </c>
      <c r="CY129" s="40">
        <v>6308.1075420583293</v>
      </c>
      <c r="CZ129" s="52">
        <v>4932.383794542111</v>
      </c>
      <c r="DA129" s="150">
        <v>-43330.854747495781</v>
      </c>
      <c r="DB129" s="2">
        <v>2</v>
      </c>
      <c r="DC129" s="648">
        <v>33413.81</v>
      </c>
      <c r="DD129" s="648">
        <v>822.78</v>
      </c>
      <c r="DE129" s="649">
        <v>8220.904356867115</v>
      </c>
      <c r="DG129" s="321">
        <v>31902.929956793047</v>
      </c>
      <c r="DH129" s="5">
        <v>312188.22771759459</v>
      </c>
      <c r="DI129" s="306">
        <v>4.9219452669957731</v>
      </c>
      <c r="DJ129" s="306"/>
      <c r="DK129" s="306">
        <v>4.5914003852990533</v>
      </c>
      <c r="DL129" s="28">
        <v>12327.553335170283</v>
      </c>
      <c r="DM129" s="28">
        <v>607.44227097506484</v>
      </c>
      <c r="DN129" s="650">
        <v>12327.72</v>
      </c>
      <c r="DO129" s="94">
        <v>-0.16666482971595542</v>
      </c>
      <c r="DP129" s="28">
        <v>12934.995606145349</v>
      </c>
      <c r="DQ129" s="318">
        <v>-0.98438905339935445</v>
      </c>
      <c r="DS129" s="8">
        <v>12319.980947808332</v>
      </c>
      <c r="DT129" s="5">
        <v>615.99904739041654</v>
      </c>
      <c r="DW129" s="5">
        <v>5014.9019804884801</v>
      </c>
      <c r="DX129" s="5">
        <v>1682.3999999999999</v>
      </c>
    </row>
    <row r="130" spans="1:128" x14ac:dyDescent="0.3">
      <c r="A130" s="325">
        <v>150000616</v>
      </c>
      <c r="B130" s="41" t="s">
        <v>579</v>
      </c>
      <c r="C130" s="42" t="s">
        <v>258</v>
      </c>
      <c r="D130" s="42" t="s">
        <v>258</v>
      </c>
      <c r="E130" s="293">
        <v>1804.3</v>
      </c>
      <c r="F130" s="305">
        <v>1804.3</v>
      </c>
      <c r="G130" s="51"/>
      <c r="H130" s="651">
        <v>0</v>
      </c>
      <c r="I130" s="73">
        <v>888.39267083776747</v>
      </c>
      <c r="J130" s="40">
        <v>985.53624471595163</v>
      </c>
      <c r="K130" s="52">
        <v>97.143573878184156</v>
      </c>
      <c r="L130" s="73">
        <v>181.11114486445646</v>
      </c>
      <c r="M130" s="40">
        <v>204.0434348296294</v>
      </c>
      <c r="N130" s="52">
        <v>22.932289965172941</v>
      </c>
      <c r="O130" s="73">
        <v>328.74068600068665</v>
      </c>
      <c r="P130" s="40">
        <v>328.74</v>
      </c>
      <c r="Q130" s="52">
        <v>-6.860006866418189E-4</v>
      </c>
      <c r="R130" s="73">
        <v>0</v>
      </c>
      <c r="S130" s="40">
        <v>0</v>
      </c>
      <c r="T130" s="52">
        <v>0</v>
      </c>
      <c r="U130" s="73">
        <v>0</v>
      </c>
      <c r="V130" s="40">
        <v>0</v>
      </c>
      <c r="W130" s="52">
        <v>0</v>
      </c>
      <c r="X130" s="73">
        <v>373.99103684333738</v>
      </c>
      <c r="Y130" s="40">
        <v>380.04636172885273</v>
      </c>
      <c r="Z130" s="52">
        <v>6.055324885515347</v>
      </c>
      <c r="AA130" s="73">
        <v>151.42400000000001</v>
      </c>
      <c r="AB130" s="40">
        <v>0</v>
      </c>
      <c r="AC130" s="52">
        <v>-151.42400000000001</v>
      </c>
      <c r="AD130" s="73">
        <v>1360.0874546592058</v>
      </c>
      <c r="AE130" s="40">
        <v>1626.2248700224222</v>
      </c>
      <c r="AF130" s="35">
        <v>266.13741536321641</v>
      </c>
      <c r="AG130" s="77">
        <v>3283.7469932054537</v>
      </c>
      <c r="AH130" s="53">
        <v>3524.5909112968561</v>
      </c>
      <c r="AI130" s="52">
        <v>240.84391809140243</v>
      </c>
      <c r="AJ130" s="73">
        <v>0</v>
      </c>
      <c r="AK130" s="40">
        <v>0</v>
      </c>
      <c r="AL130" s="52">
        <v>0</v>
      </c>
      <c r="AM130" s="73">
        <v>0</v>
      </c>
      <c r="AN130" s="40">
        <v>0</v>
      </c>
      <c r="AO130" s="52">
        <v>0</v>
      </c>
      <c r="AP130" s="73">
        <v>699.68387499999994</v>
      </c>
      <c r="AQ130" s="40">
        <v>0</v>
      </c>
      <c r="AR130" s="52">
        <v>-699.68387499999994</v>
      </c>
      <c r="AS130" s="73">
        <v>1585.179183710376</v>
      </c>
      <c r="AT130" s="40">
        <v>4186</v>
      </c>
      <c r="AU130" s="54">
        <v>2600.820816289624</v>
      </c>
      <c r="AV130" s="73">
        <v>395.9389192707124</v>
      </c>
      <c r="AW130" s="40">
        <v>0</v>
      </c>
      <c r="AX130" s="55">
        <v>-395.9389192707124</v>
      </c>
      <c r="AY130" s="73">
        <v>501.26761322613913</v>
      </c>
      <c r="AZ130" s="40">
        <v>0</v>
      </c>
      <c r="BA130" s="35">
        <v>-501.26761322613913</v>
      </c>
      <c r="BB130" s="73">
        <v>112.6236291006968</v>
      </c>
      <c r="BC130" s="40">
        <v>0</v>
      </c>
      <c r="BD130" s="55">
        <v>-112.6236291006968</v>
      </c>
      <c r="BE130" s="73">
        <v>0</v>
      </c>
      <c r="BF130" s="40">
        <v>0</v>
      </c>
      <c r="BG130" s="38">
        <v>0</v>
      </c>
      <c r="BH130" s="73">
        <v>0</v>
      </c>
      <c r="BI130" s="40">
        <v>0</v>
      </c>
      <c r="BJ130" s="55">
        <v>0</v>
      </c>
      <c r="BK130" s="73">
        <v>188.79510255004413</v>
      </c>
      <c r="BL130" s="40">
        <v>0</v>
      </c>
      <c r="BM130" s="38">
        <v>-188.79510255004413</v>
      </c>
      <c r="BN130" s="73">
        <v>37.856000000000002</v>
      </c>
      <c r="BO130" s="40">
        <v>0</v>
      </c>
      <c r="BP130" s="55">
        <v>-37.856000000000002</v>
      </c>
      <c r="BQ130" s="77">
        <v>1236.4812641475926</v>
      </c>
      <c r="BR130" s="40">
        <v>0</v>
      </c>
      <c r="BS130" s="55">
        <v>-1236.4812641475926</v>
      </c>
      <c r="BT130" s="73">
        <v>2263.54244672914</v>
      </c>
      <c r="BU130" s="40">
        <v>634.60802362109348</v>
      </c>
      <c r="BV130" s="52">
        <v>-1628.9344231080465</v>
      </c>
      <c r="BW130" s="73">
        <v>841.42834453959802</v>
      </c>
      <c r="BX130" s="40">
        <v>955.42427879661182</v>
      </c>
      <c r="BY130" s="52">
        <v>113.9959342570138</v>
      </c>
      <c r="BZ130" s="73">
        <v>987.99383691015396</v>
      </c>
      <c r="CA130" s="40">
        <v>3856.9865075680282</v>
      </c>
      <c r="CB130" s="52">
        <v>2868.9926706578744</v>
      </c>
      <c r="CC130" s="73">
        <v>80.217810749999998</v>
      </c>
      <c r="CD130" s="40">
        <v>101.21606151170867</v>
      </c>
      <c r="CE130" s="52">
        <v>20.998250761708675</v>
      </c>
      <c r="CF130" s="73">
        <v>9.5308290000000007</v>
      </c>
      <c r="CG130" s="40">
        <v>0</v>
      </c>
      <c r="CH130" s="52">
        <v>-9.5308290000000007</v>
      </c>
      <c r="CI130" s="73">
        <v>987.34</v>
      </c>
      <c r="CJ130" s="40">
        <v>179.45410145982422</v>
      </c>
      <c r="CK130" s="52">
        <v>-807.88589854017584</v>
      </c>
      <c r="CL130" s="73">
        <v>0</v>
      </c>
      <c r="CM130" s="40">
        <v>0</v>
      </c>
      <c r="CN130" s="52">
        <v>0</v>
      </c>
      <c r="CO130" s="39">
        <v>987.34</v>
      </c>
      <c r="CP130" s="40">
        <v>179.45410145982422</v>
      </c>
      <c r="CQ130" s="52">
        <v>-807.88589854017584</v>
      </c>
      <c r="CR130" s="72">
        <v>11975.144583992314</v>
      </c>
      <c r="CS130" s="5">
        <v>13438.279884254121</v>
      </c>
      <c r="CT130" s="52">
        <v>1463.1353002618071</v>
      </c>
      <c r="CU130" s="77">
        <v>14370.173500790777</v>
      </c>
      <c r="CV130" s="65">
        <v>16125.935861104945</v>
      </c>
      <c r="CW130" s="35">
        <v>1755.7623603141674</v>
      </c>
      <c r="CX130" s="73">
        <v>802.33033738915913</v>
      </c>
      <c r="CY130" s="40">
        <v>-953.43202292500791</v>
      </c>
      <c r="CZ130" s="52">
        <v>-1755.7623603141669</v>
      </c>
      <c r="DA130" s="150">
        <v>31044.230640725615</v>
      </c>
      <c r="DB130" s="2">
        <v>2</v>
      </c>
      <c r="DC130" s="648">
        <v>18057.18</v>
      </c>
      <c r="DD130" s="648">
        <v>2570.3399999999997</v>
      </c>
      <c r="DE130" s="649">
        <v>5455.0161618200636</v>
      </c>
      <c r="DG130" s="321">
        <v>-9380.2160402195041</v>
      </c>
      <c r="DH130" s="5">
        <v>182070.04605815923</v>
      </c>
      <c r="DI130" s="306">
        <v>3.9995468179832598</v>
      </c>
      <c r="DJ130" s="306"/>
      <c r="DK130" s="306">
        <v>3.7057487483385518</v>
      </c>
      <c r="DL130" s="28">
        <v>7216.3823236871958</v>
      </c>
      <c r="DM130" s="28">
        <v>0</v>
      </c>
      <c r="DN130" s="650">
        <v>7216.44</v>
      </c>
      <c r="DO130" s="94">
        <v>-5.7676312803778274E-2</v>
      </c>
      <c r="DP130" s="28">
        <v>7216.3823236871958</v>
      </c>
      <c r="DQ130" s="318">
        <v>-327.95876422796209</v>
      </c>
      <c r="DS130" s="8">
        <v>7185.0867503953887</v>
      </c>
      <c r="DT130" s="5">
        <v>359.25433751976942</v>
      </c>
      <c r="DW130" s="5">
        <v>3385.9925374295622</v>
      </c>
      <c r="DX130" s="5">
        <v>5023.2</v>
      </c>
    </row>
    <row r="131" spans="1:128" x14ac:dyDescent="0.3">
      <c r="A131" s="325">
        <v>150000618</v>
      </c>
      <c r="B131" s="41" t="s">
        <v>580</v>
      </c>
      <c r="C131" s="42" t="s">
        <v>417</v>
      </c>
      <c r="D131" s="42" t="s">
        <v>417</v>
      </c>
      <c r="E131" s="293">
        <v>2744.2</v>
      </c>
      <c r="F131" s="652">
        <v>2744.2</v>
      </c>
      <c r="G131" s="51">
        <v>271.5</v>
      </c>
      <c r="H131" s="651">
        <v>0</v>
      </c>
      <c r="I131" s="73">
        <v>1203.0396705503017</v>
      </c>
      <c r="J131" s="40">
        <v>1340.1131243701568</v>
      </c>
      <c r="K131" s="52">
        <v>137.0734538198551</v>
      </c>
      <c r="L131" s="73">
        <v>198.04708362291998</v>
      </c>
      <c r="M131" s="40">
        <v>223.12383236140778</v>
      </c>
      <c r="N131" s="52">
        <v>25.076748738487794</v>
      </c>
      <c r="O131" s="73">
        <v>544.1930591582834</v>
      </c>
      <c r="P131" s="40">
        <v>544.20000000000005</v>
      </c>
      <c r="Q131" s="52">
        <v>6.9408417166414438E-3</v>
      </c>
      <c r="R131" s="73">
        <v>111.99912225826</v>
      </c>
      <c r="S131" s="40">
        <v>112</v>
      </c>
      <c r="T131" s="52">
        <v>8.7774173999832783E-4</v>
      </c>
      <c r="U131" s="73">
        <v>46.225724298301699</v>
      </c>
      <c r="V131" s="40">
        <v>125.86342430082921</v>
      </c>
      <c r="W131" s="52">
        <v>79.637700002527509</v>
      </c>
      <c r="X131" s="73">
        <v>425.55707357758138</v>
      </c>
      <c r="Y131" s="40">
        <v>381.9145125365161</v>
      </c>
      <c r="Z131" s="52">
        <v>-43.642561041065278</v>
      </c>
      <c r="AA131" s="73">
        <v>219.536</v>
      </c>
      <c r="AB131" s="40">
        <v>0</v>
      </c>
      <c r="AC131" s="52">
        <v>-219.536</v>
      </c>
      <c r="AD131" s="73">
        <v>1976.9869546036873</v>
      </c>
      <c r="AE131" s="40">
        <v>2473.3615741925023</v>
      </c>
      <c r="AF131" s="35">
        <v>496.37461958881499</v>
      </c>
      <c r="AG131" s="77">
        <v>4725.5846880693352</v>
      </c>
      <c r="AH131" s="53">
        <v>5200.5764677614115</v>
      </c>
      <c r="AI131" s="52">
        <v>474.99177969207631</v>
      </c>
      <c r="AJ131" s="73">
        <v>2071.16</v>
      </c>
      <c r="AK131" s="40">
        <v>2039.9306906981385</v>
      </c>
      <c r="AL131" s="52">
        <v>-31.229309301861349</v>
      </c>
      <c r="AM131" s="73">
        <v>0</v>
      </c>
      <c r="AN131" s="40">
        <v>0</v>
      </c>
      <c r="AO131" s="52">
        <v>0</v>
      </c>
      <c r="AP131" s="73">
        <v>252.13833333333329</v>
      </c>
      <c r="AQ131" s="40">
        <v>0</v>
      </c>
      <c r="AR131" s="52">
        <v>-252.13833333333329</v>
      </c>
      <c r="AS131" s="73">
        <v>3239.8442690722081</v>
      </c>
      <c r="AT131" s="40">
        <v>213</v>
      </c>
      <c r="AU131" s="54">
        <v>-3026.8442690722081</v>
      </c>
      <c r="AV131" s="73">
        <v>490.97847021872093</v>
      </c>
      <c r="AW131" s="40">
        <v>0</v>
      </c>
      <c r="AX131" s="55">
        <v>-490.97847021872093</v>
      </c>
      <c r="AY131" s="73">
        <v>554.41924443448261</v>
      </c>
      <c r="AZ131" s="40">
        <v>0</v>
      </c>
      <c r="BA131" s="35">
        <v>-554.41924443448261</v>
      </c>
      <c r="BB131" s="73">
        <v>231.1102097791468</v>
      </c>
      <c r="BC131" s="40">
        <v>0</v>
      </c>
      <c r="BD131" s="55">
        <v>-231.1102097791468</v>
      </c>
      <c r="BE131" s="73">
        <v>497.50884830555594</v>
      </c>
      <c r="BF131" s="40">
        <v>0</v>
      </c>
      <c r="BG131" s="38">
        <v>-497.50884830555594</v>
      </c>
      <c r="BH131" s="73">
        <v>223.21836053505521</v>
      </c>
      <c r="BI131" s="40">
        <v>0</v>
      </c>
      <c r="BJ131" s="55">
        <v>-223.21836053505521</v>
      </c>
      <c r="BK131" s="73">
        <v>224.52163113786321</v>
      </c>
      <c r="BL131" s="40">
        <v>0</v>
      </c>
      <c r="BM131" s="38">
        <v>-224.52163113786321</v>
      </c>
      <c r="BN131" s="73">
        <v>54.884</v>
      </c>
      <c r="BO131" s="40">
        <v>0</v>
      </c>
      <c r="BP131" s="55">
        <v>-54.884</v>
      </c>
      <c r="BQ131" s="77">
        <v>2276.6407644108244</v>
      </c>
      <c r="BR131" s="40">
        <v>0</v>
      </c>
      <c r="BS131" s="55">
        <v>-2276.6407644108244</v>
      </c>
      <c r="BT131" s="73">
        <v>3661.0187943997798</v>
      </c>
      <c r="BU131" s="40">
        <v>857.458582682312</v>
      </c>
      <c r="BV131" s="52">
        <v>-2803.5602117174676</v>
      </c>
      <c r="BW131" s="73">
        <v>3204.6551740104401</v>
      </c>
      <c r="BX131" s="40">
        <v>3587.5062948287614</v>
      </c>
      <c r="BY131" s="52">
        <v>382.85112081832131</v>
      </c>
      <c r="BZ131" s="73">
        <v>915.10151129430994</v>
      </c>
      <c r="CA131" s="40">
        <v>4951.6251097742206</v>
      </c>
      <c r="CB131" s="52">
        <v>4036.5235984799106</v>
      </c>
      <c r="CC131" s="73">
        <v>85.087788500000002</v>
      </c>
      <c r="CD131" s="40">
        <v>104.1079489834718</v>
      </c>
      <c r="CE131" s="52">
        <v>19.020160483471798</v>
      </c>
      <c r="CF131" s="73">
        <v>9.8031383999999999</v>
      </c>
      <c r="CG131" s="40">
        <v>0</v>
      </c>
      <c r="CH131" s="52">
        <v>-9.8031383999999999</v>
      </c>
      <c r="CI131" s="73">
        <v>1641.42</v>
      </c>
      <c r="CJ131" s="40">
        <v>1210.3842511347766</v>
      </c>
      <c r="CK131" s="52">
        <v>-431.03574886522347</v>
      </c>
      <c r="CL131" s="73">
        <v>769.31854999999996</v>
      </c>
      <c r="CM131" s="40">
        <v>700.68711319995964</v>
      </c>
      <c r="CN131" s="52">
        <v>-68.631436800040319</v>
      </c>
      <c r="CO131" s="39">
        <v>2410.73855</v>
      </c>
      <c r="CP131" s="40">
        <v>1911.0713643347362</v>
      </c>
      <c r="CQ131" s="52">
        <v>-499.66718566526379</v>
      </c>
      <c r="CR131" s="72">
        <v>22851.77301149023</v>
      </c>
      <c r="CS131" s="5">
        <v>18865.27645906305</v>
      </c>
      <c r="CT131" s="52">
        <v>-3986.4965524271793</v>
      </c>
      <c r="CU131" s="77">
        <v>27422.127613788274</v>
      </c>
      <c r="CV131" s="65">
        <v>22638.331750875659</v>
      </c>
      <c r="CW131" s="35">
        <v>-4783.7958629126151</v>
      </c>
      <c r="CX131" s="73">
        <v>1531.0604913078187</v>
      </c>
      <c r="CY131" s="40">
        <v>6314.8563542204356</v>
      </c>
      <c r="CZ131" s="52">
        <v>4783.7958629126169</v>
      </c>
      <c r="DA131" s="150">
        <v>-39147.585179764006</v>
      </c>
      <c r="DB131" s="2">
        <v>2</v>
      </c>
      <c r="DC131" s="648">
        <v>17895.330000000002</v>
      </c>
      <c r="DD131" s="648"/>
      <c r="DE131" s="649">
        <v>-11057.858105096093</v>
      </c>
      <c r="DG131" s="321">
        <v>43109.722701595907</v>
      </c>
      <c r="DH131" s="5">
        <v>347438.25726115314</v>
      </c>
      <c r="DI131" s="306">
        <v>4.5940950042776931</v>
      </c>
      <c r="DJ131" s="306">
        <v>5.317802391435456</v>
      </c>
      <c r="DK131" s="306"/>
      <c r="DL131" s="28">
        <v>14396.626766963844</v>
      </c>
      <c r="DM131" s="28">
        <v>0</v>
      </c>
      <c r="DN131" s="650">
        <v>14396.62</v>
      </c>
      <c r="DO131" s="94">
        <v>6.7669638428924372E-3</v>
      </c>
      <c r="DP131" s="28">
        <v>14396.626766963844</v>
      </c>
      <c r="DQ131" s="318">
        <v>9.769725000296603E-3</v>
      </c>
      <c r="DS131" s="8">
        <v>13711.063806894137</v>
      </c>
      <c r="DT131" s="5">
        <v>685.55319034470688</v>
      </c>
      <c r="DW131" s="5">
        <v>6619.7820401796389</v>
      </c>
      <c r="DX131" s="5">
        <v>255.6</v>
      </c>
    </row>
    <row r="132" spans="1:128" x14ac:dyDescent="0.3">
      <c r="A132" s="325">
        <v>150000619</v>
      </c>
      <c r="B132" s="41" t="s">
        <v>581</v>
      </c>
      <c r="C132" s="42" t="s">
        <v>360</v>
      </c>
      <c r="D132" s="42" t="s">
        <v>360</v>
      </c>
      <c r="E132" s="293">
        <v>4254.2</v>
      </c>
      <c r="F132" s="652">
        <v>4254.2</v>
      </c>
      <c r="G132" s="51">
        <v>465</v>
      </c>
      <c r="H132" s="651">
        <v>0</v>
      </c>
      <c r="I132" s="73">
        <v>2296.282805074482</v>
      </c>
      <c r="J132" s="40">
        <v>2554.0544809755374</v>
      </c>
      <c r="K132" s="52">
        <v>257.77167590105546</v>
      </c>
      <c r="L132" s="73">
        <v>372.37609281923824</v>
      </c>
      <c r="M132" s="40">
        <v>419.525373281626</v>
      </c>
      <c r="N132" s="52">
        <v>47.149280462387765</v>
      </c>
      <c r="O132" s="73">
        <v>828.70825299423996</v>
      </c>
      <c r="P132" s="40">
        <v>828.7</v>
      </c>
      <c r="Q132" s="52">
        <v>-8.2529942399105494E-3</v>
      </c>
      <c r="R132" s="73">
        <v>185.10041268343667</v>
      </c>
      <c r="S132" s="40">
        <v>185.1</v>
      </c>
      <c r="T132" s="52">
        <v>-4.1268343667866247E-4</v>
      </c>
      <c r="U132" s="73">
        <v>86.533130947417462</v>
      </c>
      <c r="V132" s="40">
        <v>201.41283711950931</v>
      </c>
      <c r="W132" s="52">
        <v>114.87970617209184</v>
      </c>
      <c r="X132" s="73">
        <v>777.08838315252024</v>
      </c>
      <c r="Y132" s="40">
        <v>706.9709249816658</v>
      </c>
      <c r="Z132" s="52">
        <v>-70.117458170854434</v>
      </c>
      <c r="AA132" s="73">
        <v>340.33600000000001</v>
      </c>
      <c r="AB132" s="40">
        <v>0</v>
      </c>
      <c r="AC132" s="52">
        <v>-340.33600000000001</v>
      </c>
      <c r="AD132" s="73">
        <v>3064.825148622037</v>
      </c>
      <c r="AE132" s="40">
        <v>3834.332340547242</v>
      </c>
      <c r="AF132" s="35">
        <v>769.50719192520501</v>
      </c>
      <c r="AG132" s="77">
        <v>7951.2502262933722</v>
      </c>
      <c r="AH132" s="53">
        <v>8730.0959569055813</v>
      </c>
      <c r="AI132" s="52">
        <v>778.84573061220908</v>
      </c>
      <c r="AJ132" s="73">
        <v>4904.0200000000004</v>
      </c>
      <c r="AK132" s="40">
        <v>4830.0366515633232</v>
      </c>
      <c r="AL132" s="52">
        <v>-73.983348436677261</v>
      </c>
      <c r="AM132" s="73">
        <v>420.29977000000002</v>
      </c>
      <c r="AN132" s="40">
        <v>0</v>
      </c>
      <c r="AO132" s="52">
        <v>-420.29977000000002</v>
      </c>
      <c r="AP132" s="73">
        <v>453.84899999999993</v>
      </c>
      <c r="AQ132" s="40">
        <v>0</v>
      </c>
      <c r="AR132" s="52">
        <v>-453.84899999999993</v>
      </c>
      <c r="AS132" s="73">
        <v>4693.6940537793635</v>
      </c>
      <c r="AT132" s="40">
        <v>2297</v>
      </c>
      <c r="AU132" s="54">
        <v>-2396.6940537793635</v>
      </c>
      <c r="AV132" s="73">
        <v>976.18253083175625</v>
      </c>
      <c r="AW132" s="40">
        <v>0</v>
      </c>
      <c r="AX132" s="55">
        <v>-976.18253083175625</v>
      </c>
      <c r="AY132" s="73">
        <v>1043.3577874351604</v>
      </c>
      <c r="AZ132" s="40">
        <v>0</v>
      </c>
      <c r="BA132" s="35">
        <v>-1043.3577874351604</v>
      </c>
      <c r="BB132" s="73">
        <v>362.17350904836997</v>
      </c>
      <c r="BC132" s="40">
        <v>0</v>
      </c>
      <c r="BD132" s="55">
        <v>-362.17350904836997</v>
      </c>
      <c r="BE132" s="73">
        <v>885.03631896325601</v>
      </c>
      <c r="BF132" s="40">
        <v>0</v>
      </c>
      <c r="BG132" s="38">
        <v>-885.03631896325601</v>
      </c>
      <c r="BH132" s="73">
        <v>417.92545115516577</v>
      </c>
      <c r="BI132" s="40">
        <v>0</v>
      </c>
      <c r="BJ132" s="55">
        <v>-417.92545115516577</v>
      </c>
      <c r="BK132" s="73">
        <v>537.14621833894239</v>
      </c>
      <c r="BL132" s="40">
        <v>0</v>
      </c>
      <c r="BM132" s="38">
        <v>-537.14621833894239</v>
      </c>
      <c r="BN132" s="73">
        <v>85.084000000000003</v>
      </c>
      <c r="BO132" s="40">
        <v>0</v>
      </c>
      <c r="BP132" s="55">
        <v>-85.084000000000003</v>
      </c>
      <c r="BQ132" s="77">
        <v>4306.9058157726504</v>
      </c>
      <c r="BR132" s="40">
        <v>0</v>
      </c>
      <c r="BS132" s="55">
        <v>-4306.9058157726504</v>
      </c>
      <c r="BT132" s="73">
        <v>4779.0403934199403</v>
      </c>
      <c r="BU132" s="40">
        <v>1066.9785778935061</v>
      </c>
      <c r="BV132" s="52">
        <v>-3712.0618155264342</v>
      </c>
      <c r="BW132" s="73">
        <v>4129.2004802997199</v>
      </c>
      <c r="BX132" s="40">
        <v>4593.9178769939917</v>
      </c>
      <c r="BY132" s="52">
        <v>464.71739669427188</v>
      </c>
      <c r="BZ132" s="73">
        <v>1159.676454270608</v>
      </c>
      <c r="CA132" s="40">
        <v>6291.8847099476043</v>
      </c>
      <c r="CB132" s="52">
        <v>5132.2082556769965</v>
      </c>
      <c r="CC132" s="73">
        <v>109.5351213</v>
      </c>
      <c r="CD132" s="40">
        <v>134.95474868227825</v>
      </c>
      <c r="CE132" s="52">
        <v>25.41962738227825</v>
      </c>
      <c r="CF132" s="73">
        <v>12.707772</v>
      </c>
      <c r="CG132" s="40">
        <v>0</v>
      </c>
      <c r="CH132" s="52">
        <v>-12.707772</v>
      </c>
      <c r="CI132" s="73">
        <v>2996.3</v>
      </c>
      <c r="CJ132" s="40">
        <v>2172.7816075257169</v>
      </c>
      <c r="CK132" s="52">
        <v>-823.51839247428325</v>
      </c>
      <c r="CL132" s="73">
        <v>1370.4459999999999</v>
      </c>
      <c r="CM132" s="40">
        <v>1275.8186455863201</v>
      </c>
      <c r="CN132" s="52">
        <v>-94.627354413679768</v>
      </c>
      <c r="CO132" s="39">
        <v>4366.7460000000001</v>
      </c>
      <c r="CP132" s="40">
        <v>3448.6002531120371</v>
      </c>
      <c r="CQ132" s="52">
        <v>-918.14574688796301</v>
      </c>
      <c r="CR132" s="72">
        <v>37286.925087135656</v>
      </c>
      <c r="CS132" s="5">
        <v>31393.468775098318</v>
      </c>
      <c r="CT132" s="52">
        <v>-5893.4563120373386</v>
      </c>
      <c r="CU132" s="77">
        <v>44744.310104562785</v>
      </c>
      <c r="CV132" s="65">
        <v>37672.162530117981</v>
      </c>
      <c r="CW132" s="35">
        <v>-7072.1475744448035</v>
      </c>
      <c r="CX132" s="73">
        <v>2498.2104370878678</v>
      </c>
      <c r="CY132" s="40">
        <v>9570.3580115326695</v>
      </c>
      <c r="CZ132" s="52">
        <v>7072.1475744448016</v>
      </c>
      <c r="DA132" s="150">
        <v>24764.590036040161</v>
      </c>
      <c r="DB132" s="2">
        <v>2</v>
      </c>
      <c r="DC132" s="648">
        <v>35116.959999999999</v>
      </c>
      <c r="DD132" s="648"/>
      <c r="DE132" s="649">
        <v>-12125.560541650651</v>
      </c>
      <c r="DG132" s="321">
        <v>194026.20734971677</v>
      </c>
      <c r="DH132" s="5">
        <v>566910.24649980781</v>
      </c>
      <c r="DI132" s="306">
        <v>4.5767154740716149</v>
      </c>
      <c r="DJ132" s="306">
        <v>5.6377563581896339</v>
      </c>
      <c r="DK132" s="306"/>
      <c r="DL132" s="28">
        <v>23490.759087895458</v>
      </c>
      <c r="DM132" s="28">
        <v>0</v>
      </c>
      <c r="DN132" s="650">
        <v>23490.46</v>
      </c>
      <c r="DO132" s="94">
        <v>0.29908789545879699</v>
      </c>
      <c r="DP132" s="28">
        <v>23490.759087895458</v>
      </c>
      <c r="DQ132" s="318">
        <v>-3.7170000032347161E-3</v>
      </c>
      <c r="DS132" s="8">
        <v>22372.155052281392</v>
      </c>
      <c r="DT132" s="5">
        <v>1118.6077526140698</v>
      </c>
      <c r="DW132" s="5">
        <v>10800.719843462417</v>
      </c>
      <c r="DX132" s="5">
        <v>2756.4</v>
      </c>
    </row>
    <row r="133" spans="1:128" x14ac:dyDescent="0.3">
      <c r="A133" s="325">
        <v>150000621</v>
      </c>
      <c r="B133" s="41" t="s">
        <v>582</v>
      </c>
      <c r="C133" s="42" t="s">
        <v>81</v>
      </c>
      <c r="D133" s="42" t="s">
        <v>81</v>
      </c>
      <c r="E133" s="293">
        <v>130.1</v>
      </c>
      <c r="F133" s="305">
        <v>130.1</v>
      </c>
      <c r="G133" s="51"/>
      <c r="H133" s="651">
        <v>0</v>
      </c>
      <c r="I133" s="73">
        <v>0</v>
      </c>
      <c r="J133" s="40">
        <v>0</v>
      </c>
      <c r="K133" s="52">
        <v>0</v>
      </c>
      <c r="L133" s="73">
        <v>0</v>
      </c>
      <c r="M133" s="40">
        <v>0</v>
      </c>
      <c r="N133" s="52">
        <v>0</v>
      </c>
      <c r="O133" s="73">
        <v>0</v>
      </c>
      <c r="P133" s="40">
        <v>0</v>
      </c>
      <c r="Q133" s="52">
        <v>0</v>
      </c>
      <c r="R133" s="73">
        <v>0</v>
      </c>
      <c r="S133" s="40">
        <v>0</v>
      </c>
      <c r="T133" s="52">
        <v>0</v>
      </c>
      <c r="U133" s="73">
        <v>0</v>
      </c>
      <c r="V133" s="40">
        <v>0</v>
      </c>
      <c r="W133" s="52">
        <v>0</v>
      </c>
      <c r="X133" s="73">
        <v>0</v>
      </c>
      <c r="Y133" s="40">
        <v>0</v>
      </c>
      <c r="Z133" s="52">
        <v>0</v>
      </c>
      <c r="AA133" s="73">
        <v>10.407999999999999</v>
      </c>
      <c r="AB133" s="40">
        <v>0</v>
      </c>
      <c r="AC133" s="52">
        <v>-10.407999999999999</v>
      </c>
      <c r="AD133" s="73">
        <v>83.306491516685142</v>
      </c>
      <c r="AE133" s="40">
        <v>117.25979914089517</v>
      </c>
      <c r="AF133" s="35">
        <v>33.953307624210026</v>
      </c>
      <c r="AG133" s="77">
        <v>93.714491516685143</v>
      </c>
      <c r="AH133" s="53">
        <v>117.25979914089517</v>
      </c>
      <c r="AI133" s="52">
        <v>23.545307624210025</v>
      </c>
      <c r="AJ133" s="73">
        <v>0</v>
      </c>
      <c r="AK133" s="40">
        <v>0</v>
      </c>
      <c r="AL133" s="52">
        <v>0</v>
      </c>
      <c r="AM133" s="73">
        <v>0</v>
      </c>
      <c r="AN133" s="40">
        <v>0</v>
      </c>
      <c r="AO133" s="52">
        <v>0</v>
      </c>
      <c r="AP133" s="73">
        <v>37.820749999999997</v>
      </c>
      <c r="AQ133" s="40">
        <v>0</v>
      </c>
      <c r="AR133" s="52">
        <v>-37.820749999999997</v>
      </c>
      <c r="AS133" s="73">
        <v>158.38461992243805</v>
      </c>
      <c r="AT133" s="40">
        <v>0</v>
      </c>
      <c r="AU133" s="54">
        <v>-158.38461992243805</v>
      </c>
      <c r="AV133" s="73">
        <v>0</v>
      </c>
      <c r="AW133" s="40">
        <v>0</v>
      </c>
      <c r="AX133" s="55">
        <v>0</v>
      </c>
      <c r="AY133" s="73">
        <v>0</v>
      </c>
      <c r="AZ133" s="40">
        <v>0</v>
      </c>
      <c r="BA133" s="35">
        <v>0</v>
      </c>
      <c r="BB133" s="73">
        <v>0</v>
      </c>
      <c r="BC133" s="40">
        <v>0</v>
      </c>
      <c r="BD133" s="55">
        <v>0</v>
      </c>
      <c r="BE133" s="73">
        <v>0</v>
      </c>
      <c r="BF133" s="40">
        <v>0</v>
      </c>
      <c r="BG133" s="38">
        <v>0</v>
      </c>
      <c r="BH133" s="73">
        <v>0</v>
      </c>
      <c r="BI133" s="40">
        <v>0</v>
      </c>
      <c r="BJ133" s="55">
        <v>0</v>
      </c>
      <c r="BK133" s="73">
        <v>0</v>
      </c>
      <c r="BL133" s="40">
        <v>0</v>
      </c>
      <c r="BM133" s="38">
        <v>0</v>
      </c>
      <c r="BN133" s="73">
        <v>2.6019999999999999</v>
      </c>
      <c r="BO133" s="40">
        <v>0</v>
      </c>
      <c r="BP133" s="55">
        <v>-2.6019999999999999</v>
      </c>
      <c r="BQ133" s="77">
        <v>2.6019999999999999</v>
      </c>
      <c r="BR133" s="40">
        <v>0</v>
      </c>
      <c r="BS133" s="55">
        <v>-2.6019999999999999</v>
      </c>
      <c r="BT133" s="73">
        <v>0</v>
      </c>
      <c r="BU133" s="40">
        <v>0</v>
      </c>
      <c r="BV133" s="52">
        <v>0</v>
      </c>
      <c r="BW133" s="73">
        <v>0</v>
      </c>
      <c r="BX133" s="40">
        <v>0.48303807861478687</v>
      </c>
      <c r="BY133" s="52">
        <v>0.48303807861478687</v>
      </c>
      <c r="BZ133" s="73">
        <v>0</v>
      </c>
      <c r="CA133" s="40">
        <v>0</v>
      </c>
      <c r="CB133" s="52">
        <v>0</v>
      </c>
      <c r="CC133" s="73">
        <v>0</v>
      </c>
      <c r="CD133" s="40">
        <v>0</v>
      </c>
      <c r="CE133" s="52">
        <v>0</v>
      </c>
      <c r="CF133" s="73">
        <v>0</v>
      </c>
      <c r="CG133" s="40">
        <v>0</v>
      </c>
      <c r="CH133" s="52">
        <v>0</v>
      </c>
      <c r="CI133" s="73">
        <v>0</v>
      </c>
      <c r="CJ133" s="40">
        <v>0</v>
      </c>
      <c r="CK133" s="52">
        <v>0</v>
      </c>
      <c r="CL133" s="73">
        <v>0</v>
      </c>
      <c r="CM133" s="40">
        <v>0</v>
      </c>
      <c r="CN133" s="52">
        <v>0</v>
      </c>
      <c r="CO133" s="39">
        <v>0</v>
      </c>
      <c r="CP133" s="40">
        <v>0</v>
      </c>
      <c r="CQ133" s="52">
        <v>0</v>
      </c>
      <c r="CR133" s="72">
        <v>292.5218614391232</v>
      </c>
      <c r="CS133" s="5">
        <v>117.74283721950995</v>
      </c>
      <c r="CT133" s="52">
        <v>-174.77902421961323</v>
      </c>
      <c r="CU133" s="77">
        <v>351.02623372694785</v>
      </c>
      <c r="CV133" s="65">
        <v>141.29140466341192</v>
      </c>
      <c r="CW133" s="35">
        <v>-209.73482906353593</v>
      </c>
      <c r="CX133" s="73">
        <v>19.598858463545312</v>
      </c>
      <c r="CY133" s="40">
        <v>229.33368752708122</v>
      </c>
      <c r="CZ133" s="52">
        <v>209.73482906353593</v>
      </c>
      <c r="DA133" s="150">
        <v>-2076.5946173619877</v>
      </c>
      <c r="DB133" s="2">
        <v>2</v>
      </c>
      <c r="DC133" s="648">
        <v>57.65</v>
      </c>
      <c r="DD133" s="648"/>
      <c r="DE133" s="649">
        <v>-312.97509219049317</v>
      </c>
      <c r="DG133" s="321">
        <v>-3241.8667499600892</v>
      </c>
      <c r="DH133" s="5">
        <v>4447.5011062859176</v>
      </c>
      <c r="DI133" s="306">
        <v>1.4165163159619341</v>
      </c>
      <c r="DJ133" s="306"/>
      <c r="DK133" s="306"/>
      <c r="DL133" s="28">
        <v>184.28877270664762</v>
      </c>
      <c r="DM133" s="28">
        <v>0</v>
      </c>
      <c r="DN133" s="650">
        <v>184.28</v>
      </c>
      <c r="DO133" s="94">
        <v>8.7727066476190885E-3</v>
      </c>
      <c r="DP133" s="28">
        <v>184.28877270664762</v>
      </c>
      <c r="DQ133" s="318">
        <v>0</v>
      </c>
      <c r="DS133" s="8">
        <v>175.51311686347393</v>
      </c>
      <c r="DT133" s="5">
        <v>8.7756558431736966</v>
      </c>
      <c r="DW133" s="5">
        <v>193.18394390692566</v>
      </c>
      <c r="DX133" s="5">
        <v>0</v>
      </c>
    </row>
    <row r="134" spans="1:128" x14ac:dyDescent="0.3">
      <c r="A134" s="325">
        <v>150000622</v>
      </c>
      <c r="B134" s="41" t="s">
        <v>583</v>
      </c>
      <c r="C134" s="42" t="s">
        <v>82</v>
      </c>
      <c r="D134" s="42" t="s">
        <v>82</v>
      </c>
      <c r="E134" s="293">
        <v>132.69999999999999</v>
      </c>
      <c r="F134" s="305">
        <v>132.69999999999999</v>
      </c>
      <c r="G134" s="51"/>
      <c r="H134" s="651">
        <v>0</v>
      </c>
      <c r="I134" s="73">
        <v>0</v>
      </c>
      <c r="J134" s="40">
        <v>0</v>
      </c>
      <c r="K134" s="52">
        <v>0</v>
      </c>
      <c r="L134" s="73">
        <v>0</v>
      </c>
      <c r="M134" s="40">
        <v>0</v>
      </c>
      <c r="N134" s="52">
        <v>0</v>
      </c>
      <c r="O134" s="73">
        <v>0</v>
      </c>
      <c r="P134" s="40">
        <v>0</v>
      </c>
      <c r="Q134" s="52">
        <v>0</v>
      </c>
      <c r="R134" s="73">
        <v>0</v>
      </c>
      <c r="S134" s="40">
        <v>0</v>
      </c>
      <c r="T134" s="52">
        <v>0</v>
      </c>
      <c r="U134" s="73">
        <v>0</v>
      </c>
      <c r="V134" s="40">
        <v>0</v>
      </c>
      <c r="W134" s="52">
        <v>0</v>
      </c>
      <c r="X134" s="73">
        <v>0</v>
      </c>
      <c r="Y134" s="40">
        <v>0</v>
      </c>
      <c r="Z134" s="52">
        <v>0</v>
      </c>
      <c r="AA134" s="73">
        <v>10.616</v>
      </c>
      <c r="AB134" s="40">
        <v>0</v>
      </c>
      <c r="AC134" s="52">
        <v>-10.616</v>
      </c>
      <c r="AD134" s="73">
        <v>84.99642243638408</v>
      </c>
      <c r="AE134" s="40">
        <v>119.60319251342651</v>
      </c>
      <c r="AF134" s="35">
        <v>34.606770077042427</v>
      </c>
      <c r="AG134" s="77">
        <v>95.61242243638408</v>
      </c>
      <c r="AH134" s="53">
        <v>119.60319251342651</v>
      </c>
      <c r="AI134" s="52">
        <v>23.990770077042427</v>
      </c>
      <c r="AJ134" s="73">
        <v>0</v>
      </c>
      <c r="AK134" s="40">
        <v>0</v>
      </c>
      <c r="AL134" s="52">
        <v>0</v>
      </c>
      <c r="AM134" s="73">
        <v>0</v>
      </c>
      <c r="AN134" s="40">
        <v>0</v>
      </c>
      <c r="AO134" s="52">
        <v>0</v>
      </c>
      <c r="AP134" s="73">
        <v>50.427666666666667</v>
      </c>
      <c r="AQ134" s="40">
        <v>0</v>
      </c>
      <c r="AR134" s="52">
        <v>-50.427666666666667</v>
      </c>
      <c r="AS134" s="73">
        <v>155.87209952965219</v>
      </c>
      <c r="AT134" s="40">
        <v>0</v>
      </c>
      <c r="AU134" s="54">
        <v>-155.87209952965219</v>
      </c>
      <c r="AV134" s="73">
        <v>0</v>
      </c>
      <c r="AW134" s="40">
        <v>0</v>
      </c>
      <c r="AX134" s="55">
        <v>0</v>
      </c>
      <c r="AY134" s="73">
        <v>0</v>
      </c>
      <c r="AZ134" s="40">
        <v>0</v>
      </c>
      <c r="BA134" s="35">
        <v>0</v>
      </c>
      <c r="BB134" s="73">
        <v>0</v>
      </c>
      <c r="BC134" s="40">
        <v>0</v>
      </c>
      <c r="BD134" s="55">
        <v>0</v>
      </c>
      <c r="BE134" s="73">
        <v>0</v>
      </c>
      <c r="BF134" s="40">
        <v>0</v>
      </c>
      <c r="BG134" s="38">
        <v>0</v>
      </c>
      <c r="BH134" s="73">
        <v>0</v>
      </c>
      <c r="BI134" s="40">
        <v>0</v>
      </c>
      <c r="BJ134" s="55">
        <v>0</v>
      </c>
      <c r="BK134" s="73">
        <v>0</v>
      </c>
      <c r="BL134" s="40">
        <v>0</v>
      </c>
      <c r="BM134" s="38">
        <v>0</v>
      </c>
      <c r="BN134" s="73">
        <v>2.6539999999999999</v>
      </c>
      <c r="BO134" s="40">
        <v>0</v>
      </c>
      <c r="BP134" s="55">
        <v>-2.6539999999999999</v>
      </c>
      <c r="BQ134" s="77">
        <v>2.6539999999999999</v>
      </c>
      <c r="BR134" s="40">
        <v>0</v>
      </c>
      <c r="BS134" s="55">
        <v>-2.6539999999999999</v>
      </c>
      <c r="BT134" s="73">
        <v>0</v>
      </c>
      <c r="BU134" s="40">
        <v>0</v>
      </c>
      <c r="BV134" s="52">
        <v>0</v>
      </c>
      <c r="BW134" s="73">
        <v>0</v>
      </c>
      <c r="BX134" s="40">
        <v>0.49269141454406012</v>
      </c>
      <c r="BY134" s="52">
        <v>0.49269141454406012</v>
      </c>
      <c r="BZ134" s="73">
        <v>0</v>
      </c>
      <c r="CA134" s="40">
        <v>0</v>
      </c>
      <c r="CB134" s="52">
        <v>0</v>
      </c>
      <c r="CC134" s="73">
        <v>0</v>
      </c>
      <c r="CD134" s="40">
        <v>0</v>
      </c>
      <c r="CE134" s="52">
        <v>0</v>
      </c>
      <c r="CF134" s="73">
        <v>0</v>
      </c>
      <c r="CG134" s="40">
        <v>0</v>
      </c>
      <c r="CH134" s="52">
        <v>0</v>
      </c>
      <c r="CI134" s="73">
        <v>0</v>
      </c>
      <c r="CJ134" s="40">
        <v>0</v>
      </c>
      <c r="CK134" s="52">
        <v>0</v>
      </c>
      <c r="CL134" s="73">
        <v>0</v>
      </c>
      <c r="CM134" s="40">
        <v>0</v>
      </c>
      <c r="CN134" s="52">
        <v>0</v>
      </c>
      <c r="CO134" s="39">
        <v>0</v>
      </c>
      <c r="CP134" s="40">
        <v>0</v>
      </c>
      <c r="CQ134" s="52">
        <v>0</v>
      </c>
      <c r="CR134" s="72">
        <v>304.56618863270296</v>
      </c>
      <c r="CS134" s="5">
        <v>120.09588392797056</v>
      </c>
      <c r="CT134" s="52">
        <v>-184.4703047047324</v>
      </c>
      <c r="CU134" s="77">
        <v>365.47942635924352</v>
      </c>
      <c r="CV134" s="65">
        <v>144.11506071356467</v>
      </c>
      <c r="CW134" s="35">
        <v>-221.36436564567884</v>
      </c>
      <c r="CX134" s="73">
        <v>20.405824010647592</v>
      </c>
      <c r="CY134" s="40">
        <v>241.77018965632641</v>
      </c>
      <c r="CZ134" s="52">
        <v>221.36436564567882</v>
      </c>
      <c r="DA134" s="150">
        <v>-2059.4040233134515</v>
      </c>
      <c r="DB134" s="2">
        <v>2</v>
      </c>
      <c r="DC134" s="648">
        <v>1602.43</v>
      </c>
      <c r="DD134" s="648"/>
      <c r="DE134" s="649">
        <v>1216.544749630109</v>
      </c>
      <c r="DG134" s="321">
        <v>-3147.7519151978822</v>
      </c>
      <c r="DH134" s="5">
        <v>4630.623004438693</v>
      </c>
      <c r="DI134" s="306">
        <v>1.4459434727852514</v>
      </c>
      <c r="DJ134" s="306"/>
      <c r="DK134" s="306"/>
      <c r="DL134" s="28">
        <v>191.87669883860283</v>
      </c>
      <c r="DM134" s="28">
        <v>0</v>
      </c>
      <c r="DN134" s="650">
        <v>191.88</v>
      </c>
      <c r="DO134" s="94">
        <v>-3.3011613971609677E-3</v>
      </c>
      <c r="DP134" s="28">
        <v>191.87669883860283</v>
      </c>
      <c r="DQ134" s="318">
        <v>0</v>
      </c>
      <c r="DS134" s="8">
        <v>182.73971317962176</v>
      </c>
      <c r="DT134" s="5">
        <v>9.1369856589810894</v>
      </c>
      <c r="DW134" s="5">
        <v>190.23131943558261</v>
      </c>
      <c r="DX134" s="5">
        <v>0</v>
      </c>
    </row>
    <row r="135" spans="1:128" x14ac:dyDescent="0.3">
      <c r="A135" s="325">
        <v>150000587</v>
      </c>
      <c r="B135" s="41" t="s">
        <v>584</v>
      </c>
      <c r="C135" s="42" t="s">
        <v>83</v>
      </c>
      <c r="D135" s="42" t="s">
        <v>83</v>
      </c>
      <c r="E135" s="293">
        <v>121</v>
      </c>
      <c r="F135" s="305">
        <v>121</v>
      </c>
      <c r="G135" s="51"/>
      <c r="H135" s="651">
        <v>0</v>
      </c>
      <c r="I135" s="73">
        <v>0</v>
      </c>
      <c r="J135" s="40">
        <v>0</v>
      </c>
      <c r="K135" s="52">
        <v>0</v>
      </c>
      <c r="L135" s="73">
        <v>0</v>
      </c>
      <c r="M135" s="40">
        <v>0</v>
      </c>
      <c r="N135" s="52">
        <v>0</v>
      </c>
      <c r="O135" s="73">
        <v>0</v>
      </c>
      <c r="P135" s="40">
        <v>0</v>
      </c>
      <c r="Q135" s="52">
        <v>0</v>
      </c>
      <c r="R135" s="73">
        <v>0</v>
      </c>
      <c r="S135" s="40">
        <v>0</v>
      </c>
      <c r="T135" s="52">
        <v>0</v>
      </c>
      <c r="U135" s="73">
        <v>0</v>
      </c>
      <c r="V135" s="40">
        <v>0</v>
      </c>
      <c r="W135" s="52">
        <v>0</v>
      </c>
      <c r="X135" s="73">
        <v>0</v>
      </c>
      <c r="Y135" s="40">
        <v>0</v>
      </c>
      <c r="Z135" s="52">
        <v>0</v>
      </c>
      <c r="AA135" s="73">
        <v>9.68</v>
      </c>
      <c r="AB135" s="40">
        <v>0</v>
      </c>
      <c r="AC135" s="52">
        <v>-9.68</v>
      </c>
      <c r="AD135" s="73">
        <v>72.676564047563858</v>
      </c>
      <c r="AE135" s="40">
        <v>109.05792233703548</v>
      </c>
      <c r="AF135" s="35">
        <v>36.381358289471621</v>
      </c>
      <c r="AG135" s="77">
        <v>82.356564047563865</v>
      </c>
      <c r="AH135" s="53">
        <v>109.05792233703548</v>
      </c>
      <c r="AI135" s="52">
        <v>26.701358289471614</v>
      </c>
      <c r="AJ135" s="73">
        <v>0</v>
      </c>
      <c r="AK135" s="40">
        <v>0</v>
      </c>
      <c r="AL135" s="52">
        <v>0</v>
      </c>
      <c r="AM135" s="73">
        <v>0</v>
      </c>
      <c r="AN135" s="40">
        <v>0</v>
      </c>
      <c r="AO135" s="52">
        <v>0</v>
      </c>
      <c r="AP135" s="73">
        <v>18.910374999999998</v>
      </c>
      <c r="AQ135" s="40">
        <v>0</v>
      </c>
      <c r="AR135" s="52">
        <v>-18.910374999999998</v>
      </c>
      <c r="AS135" s="73">
        <v>153.10151064052587</v>
      </c>
      <c r="AT135" s="40">
        <v>0</v>
      </c>
      <c r="AU135" s="54">
        <v>-153.10151064052587</v>
      </c>
      <c r="AV135" s="73">
        <v>0</v>
      </c>
      <c r="AW135" s="40">
        <v>0</v>
      </c>
      <c r="AX135" s="55">
        <v>0</v>
      </c>
      <c r="AY135" s="73">
        <v>0</v>
      </c>
      <c r="AZ135" s="40">
        <v>0</v>
      </c>
      <c r="BA135" s="35">
        <v>0</v>
      </c>
      <c r="BB135" s="73">
        <v>0</v>
      </c>
      <c r="BC135" s="40">
        <v>0</v>
      </c>
      <c r="BD135" s="55">
        <v>0</v>
      </c>
      <c r="BE135" s="73">
        <v>0</v>
      </c>
      <c r="BF135" s="40">
        <v>0</v>
      </c>
      <c r="BG135" s="38">
        <v>0</v>
      </c>
      <c r="BH135" s="73">
        <v>0</v>
      </c>
      <c r="BI135" s="40">
        <v>0</v>
      </c>
      <c r="BJ135" s="55">
        <v>0</v>
      </c>
      <c r="BK135" s="73">
        <v>0</v>
      </c>
      <c r="BL135" s="40">
        <v>0</v>
      </c>
      <c r="BM135" s="38">
        <v>0</v>
      </c>
      <c r="BN135" s="73">
        <v>2.42</v>
      </c>
      <c r="BO135" s="40">
        <v>0</v>
      </c>
      <c r="BP135" s="55">
        <v>-2.42</v>
      </c>
      <c r="BQ135" s="77">
        <v>2.42</v>
      </c>
      <c r="BR135" s="40">
        <v>0</v>
      </c>
      <c r="BS135" s="55">
        <v>-2.42</v>
      </c>
      <c r="BT135" s="73">
        <v>0</v>
      </c>
      <c r="BU135" s="40">
        <v>0</v>
      </c>
      <c r="BV135" s="52">
        <v>0</v>
      </c>
      <c r="BW135" s="73">
        <v>0</v>
      </c>
      <c r="BX135" s="40">
        <v>0.44925140286233067</v>
      </c>
      <c r="BY135" s="52">
        <v>0.44925140286233067</v>
      </c>
      <c r="BZ135" s="73">
        <v>0</v>
      </c>
      <c r="CA135" s="40">
        <v>0</v>
      </c>
      <c r="CB135" s="52">
        <v>0</v>
      </c>
      <c r="CC135" s="73">
        <v>0</v>
      </c>
      <c r="CD135" s="40">
        <v>0</v>
      </c>
      <c r="CE135" s="52">
        <v>0</v>
      </c>
      <c r="CF135" s="73">
        <v>0</v>
      </c>
      <c r="CG135" s="40">
        <v>0</v>
      </c>
      <c r="CH135" s="52">
        <v>0</v>
      </c>
      <c r="CI135" s="73">
        <v>0</v>
      </c>
      <c r="CJ135" s="40">
        <v>0</v>
      </c>
      <c r="CK135" s="52">
        <v>0</v>
      </c>
      <c r="CL135" s="73">
        <v>0</v>
      </c>
      <c r="CM135" s="40">
        <v>0</v>
      </c>
      <c r="CN135" s="52">
        <v>0</v>
      </c>
      <c r="CO135" s="39">
        <v>0</v>
      </c>
      <c r="CP135" s="40">
        <v>0</v>
      </c>
      <c r="CQ135" s="52">
        <v>0</v>
      </c>
      <c r="CR135" s="72">
        <v>256.78844968808977</v>
      </c>
      <c r="CS135" s="5">
        <v>109.50717373989781</v>
      </c>
      <c r="CT135" s="52">
        <v>-147.28127594819196</v>
      </c>
      <c r="CU135" s="77">
        <v>308.14613962570769</v>
      </c>
      <c r="CV135" s="65">
        <v>131.40860848787736</v>
      </c>
      <c r="CW135" s="35">
        <v>-176.73753113783033</v>
      </c>
      <c r="CX135" s="73">
        <v>17.204732855692793</v>
      </c>
      <c r="CY135" s="40">
        <v>193.94226399352311</v>
      </c>
      <c r="CZ135" s="52">
        <v>176.73753113783033</v>
      </c>
      <c r="DA135" s="150">
        <v>-1919.5691949163595</v>
      </c>
      <c r="DB135" s="2">
        <v>3</v>
      </c>
      <c r="DC135" s="648">
        <v>1486.16</v>
      </c>
      <c r="DD135" s="648"/>
      <c r="DE135" s="649">
        <v>1160.8091275185996</v>
      </c>
      <c r="DG135" s="321">
        <v>-2749.4970457068794</v>
      </c>
      <c r="DH135" s="5">
        <v>3904.2104697768054</v>
      </c>
      <c r="DI135" s="306">
        <v>1.3369977132520372</v>
      </c>
      <c r="DJ135" s="306"/>
      <c r="DK135" s="306"/>
      <c r="DL135" s="28">
        <v>161.77672330349651</v>
      </c>
      <c r="DM135" s="28">
        <v>0</v>
      </c>
      <c r="DN135" s="650">
        <v>161.78</v>
      </c>
      <c r="DO135" s="94">
        <v>-3.276696503490939E-3</v>
      </c>
      <c r="DP135" s="28">
        <v>161.77672330349651</v>
      </c>
      <c r="DQ135" s="318">
        <v>0</v>
      </c>
      <c r="DS135" s="8">
        <v>154.07306981285384</v>
      </c>
      <c r="DT135" s="5">
        <v>7.7036534906426928</v>
      </c>
      <c r="DW135" s="5">
        <v>186.62581276863102</v>
      </c>
      <c r="DX135" s="5">
        <v>0</v>
      </c>
    </row>
    <row r="136" spans="1:128" x14ac:dyDescent="0.3">
      <c r="A136" s="325">
        <v>150000590</v>
      </c>
      <c r="B136" s="41" t="s">
        <v>585</v>
      </c>
      <c r="C136" s="42" t="s">
        <v>164</v>
      </c>
      <c r="D136" s="42" t="s">
        <v>164</v>
      </c>
      <c r="E136" s="293">
        <v>373.5</v>
      </c>
      <c r="F136" s="305">
        <v>373.5</v>
      </c>
      <c r="G136" s="51"/>
      <c r="H136" s="651">
        <v>0</v>
      </c>
      <c r="I136" s="73">
        <v>293.0429408541745</v>
      </c>
      <c r="J136" s="40">
        <v>324.8408774070241</v>
      </c>
      <c r="K136" s="52">
        <v>31.797936552849592</v>
      </c>
      <c r="L136" s="73">
        <v>65.195164441249091</v>
      </c>
      <c r="M136" s="40">
        <v>73.449795600646667</v>
      </c>
      <c r="N136" s="52">
        <v>8.2546311593975759</v>
      </c>
      <c r="O136" s="73">
        <v>0</v>
      </c>
      <c r="P136" s="40">
        <v>0</v>
      </c>
      <c r="Q136" s="52">
        <v>0</v>
      </c>
      <c r="R136" s="73">
        <v>0</v>
      </c>
      <c r="S136" s="40">
        <v>0</v>
      </c>
      <c r="T136" s="52">
        <v>0</v>
      </c>
      <c r="U136" s="73">
        <v>0</v>
      </c>
      <c r="V136" s="40">
        <v>0</v>
      </c>
      <c r="W136" s="52">
        <v>0</v>
      </c>
      <c r="X136" s="73">
        <v>77.363251446424968</v>
      </c>
      <c r="Y136" s="40">
        <v>81.746799254956585</v>
      </c>
      <c r="Z136" s="52">
        <v>4.3835478085316169</v>
      </c>
      <c r="AA136" s="73">
        <v>29.896000000000001</v>
      </c>
      <c r="AB136" s="40">
        <v>0</v>
      </c>
      <c r="AC136" s="52">
        <v>-29.896000000000001</v>
      </c>
      <c r="AD136" s="73">
        <v>239.30594884227753</v>
      </c>
      <c r="AE136" s="40">
        <v>336.63747101555998</v>
      </c>
      <c r="AF136" s="35">
        <v>97.331522173282451</v>
      </c>
      <c r="AG136" s="77">
        <v>704.80330558412606</v>
      </c>
      <c r="AH136" s="53">
        <v>816.67494327818736</v>
      </c>
      <c r="AI136" s="52">
        <v>111.87163769406129</v>
      </c>
      <c r="AJ136" s="73">
        <v>0</v>
      </c>
      <c r="AK136" s="40">
        <v>0</v>
      </c>
      <c r="AL136" s="52">
        <v>0</v>
      </c>
      <c r="AM136" s="73">
        <v>0</v>
      </c>
      <c r="AN136" s="40">
        <v>0</v>
      </c>
      <c r="AO136" s="52">
        <v>0</v>
      </c>
      <c r="AP136" s="73">
        <v>201.71066666666667</v>
      </c>
      <c r="AQ136" s="40">
        <v>0</v>
      </c>
      <c r="AR136" s="52">
        <v>-201.71066666666667</v>
      </c>
      <c r="AS136" s="73">
        <v>377.67895713223822</v>
      </c>
      <c r="AT136" s="40">
        <v>1509</v>
      </c>
      <c r="AU136" s="54">
        <v>1131.3210428677617</v>
      </c>
      <c r="AV136" s="73">
        <v>146.8789600118549</v>
      </c>
      <c r="AW136" s="40">
        <v>0</v>
      </c>
      <c r="AX136" s="55">
        <v>-146.8789600118549</v>
      </c>
      <c r="AY136" s="73">
        <v>180.47539810906935</v>
      </c>
      <c r="AZ136" s="40">
        <v>0</v>
      </c>
      <c r="BA136" s="35">
        <v>-180.47539810906935</v>
      </c>
      <c r="BB136" s="73">
        <v>0</v>
      </c>
      <c r="BC136" s="40">
        <v>0</v>
      </c>
      <c r="BD136" s="55">
        <v>0</v>
      </c>
      <c r="BE136" s="73">
        <v>0</v>
      </c>
      <c r="BF136" s="40">
        <v>0</v>
      </c>
      <c r="BG136" s="38">
        <v>0</v>
      </c>
      <c r="BH136" s="73">
        <v>0</v>
      </c>
      <c r="BI136" s="40">
        <v>0</v>
      </c>
      <c r="BJ136" s="55">
        <v>0</v>
      </c>
      <c r="BK136" s="73">
        <v>35.445300385199403</v>
      </c>
      <c r="BL136" s="40">
        <v>0</v>
      </c>
      <c r="BM136" s="38">
        <v>-35.445300385199403</v>
      </c>
      <c r="BN136" s="73">
        <v>7.4740000000000002</v>
      </c>
      <c r="BO136" s="40">
        <v>0</v>
      </c>
      <c r="BP136" s="55">
        <v>-7.4740000000000002</v>
      </c>
      <c r="BQ136" s="77">
        <v>370.27365850612364</v>
      </c>
      <c r="BR136" s="40">
        <v>0</v>
      </c>
      <c r="BS136" s="55">
        <v>-370.27365850612364</v>
      </c>
      <c r="BT136" s="73">
        <v>0</v>
      </c>
      <c r="BU136" s="40">
        <v>0</v>
      </c>
      <c r="BV136" s="52">
        <v>0</v>
      </c>
      <c r="BW136" s="73">
        <v>10.10374117926264</v>
      </c>
      <c r="BX136" s="40">
        <v>473.76761665996793</v>
      </c>
      <c r="BY136" s="52">
        <v>463.66387548070531</v>
      </c>
      <c r="BZ136" s="73">
        <v>0</v>
      </c>
      <c r="CA136" s="40">
        <v>0</v>
      </c>
      <c r="CB136" s="52">
        <v>0</v>
      </c>
      <c r="CC136" s="73">
        <v>39.535921012499998</v>
      </c>
      <c r="CD136" s="40">
        <v>49.885058887913566</v>
      </c>
      <c r="CE136" s="52">
        <v>10.349137875413568</v>
      </c>
      <c r="CF136" s="73">
        <v>4.6973371500000001</v>
      </c>
      <c r="CG136" s="40">
        <v>0</v>
      </c>
      <c r="CH136" s="52">
        <v>-4.6973371500000001</v>
      </c>
      <c r="CI136" s="73">
        <v>31.14</v>
      </c>
      <c r="CJ136" s="40">
        <v>7.6715447021391476</v>
      </c>
      <c r="CK136" s="52">
        <v>-23.468455297860853</v>
      </c>
      <c r="CL136" s="73">
        <v>0</v>
      </c>
      <c r="CM136" s="40">
        <v>0</v>
      </c>
      <c r="CN136" s="52">
        <v>0</v>
      </c>
      <c r="CO136" s="39">
        <v>31.14</v>
      </c>
      <c r="CP136" s="40">
        <v>7.6715447021391476</v>
      </c>
      <c r="CQ136" s="52">
        <v>-23.468455297860853</v>
      </c>
      <c r="CR136" s="72">
        <v>1739.9435872309173</v>
      </c>
      <c r="CS136" s="5">
        <v>2856.9991635282081</v>
      </c>
      <c r="CT136" s="52">
        <v>1117.0555762972908</v>
      </c>
      <c r="CU136" s="77">
        <v>2087.9323046771005</v>
      </c>
      <c r="CV136" s="65">
        <v>3428.3989962338496</v>
      </c>
      <c r="CW136" s="35">
        <v>1340.4666915567491</v>
      </c>
      <c r="CX136" s="73">
        <v>116.5755883438093</v>
      </c>
      <c r="CY136" s="40">
        <v>-1223.8911032129399</v>
      </c>
      <c r="CZ136" s="52">
        <v>-1340.4666915567493</v>
      </c>
      <c r="DA136" s="150">
        <v>-1266.5539024807522</v>
      </c>
      <c r="DB136" s="2">
        <v>3</v>
      </c>
      <c r="DC136" s="648">
        <v>2010.21</v>
      </c>
      <c r="DD136" s="648"/>
      <c r="DE136" s="649">
        <v>-194.29789302090967</v>
      </c>
      <c r="DG136" s="321">
        <v>4271.7316161271056</v>
      </c>
      <c r="DH136" s="5">
        <v>26454.094716250918</v>
      </c>
      <c r="DI136" s="306">
        <v>2.9332739094339786</v>
      </c>
      <c r="DJ136" s="306"/>
      <c r="DK136" s="306"/>
      <c r="DL136" s="28">
        <v>1095.5778051735911</v>
      </c>
      <c r="DM136" s="28">
        <v>0</v>
      </c>
      <c r="DN136" s="650">
        <v>1095.5899999999999</v>
      </c>
      <c r="DO136" s="94">
        <v>-1.2194826408858717E-2</v>
      </c>
      <c r="DP136" s="28">
        <v>1095.5778051735911</v>
      </c>
      <c r="DQ136" s="318">
        <v>-0.58665478188663656</v>
      </c>
      <c r="DS136" s="8">
        <v>1043.9661523385503</v>
      </c>
      <c r="DT136" s="5">
        <v>52.198307616927522</v>
      </c>
      <c r="DW136" s="5">
        <v>897.54313876603419</v>
      </c>
      <c r="DX136" s="5">
        <v>1810.8</v>
      </c>
    </row>
    <row r="137" spans="1:128" x14ac:dyDescent="0.3">
      <c r="A137" s="325">
        <v>150000578</v>
      </c>
      <c r="B137" s="41" t="s">
        <v>586</v>
      </c>
      <c r="C137" s="42" t="s">
        <v>84</v>
      </c>
      <c r="D137" s="42" t="s">
        <v>84</v>
      </c>
      <c r="E137" s="293">
        <v>173.75</v>
      </c>
      <c r="F137" s="305">
        <v>173.75</v>
      </c>
      <c r="G137" s="51"/>
      <c r="H137" s="651">
        <v>0</v>
      </c>
      <c r="I137" s="73">
        <v>0</v>
      </c>
      <c r="J137" s="40">
        <v>0</v>
      </c>
      <c r="K137" s="52">
        <v>0</v>
      </c>
      <c r="L137" s="73">
        <v>0</v>
      </c>
      <c r="M137" s="40">
        <v>0</v>
      </c>
      <c r="N137" s="52">
        <v>0</v>
      </c>
      <c r="O137" s="73">
        <v>0</v>
      </c>
      <c r="P137" s="40">
        <v>0</v>
      </c>
      <c r="Q137" s="52">
        <v>0</v>
      </c>
      <c r="R137" s="73">
        <v>0</v>
      </c>
      <c r="S137" s="40">
        <v>0</v>
      </c>
      <c r="T137" s="52">
        <v>0</v>
      </c>
      <c r="U137" s="73">
        <v>0</v>
      </c>
      <c r="V137" s="40">
        <v>0</v>
      </c>
      <c r="W137" s="52">
        <v>0</v>
      </c>
      <c r="X137" s="73">
        <v>0</v>
      </c>
      <c r="Y137" s="40">
        <v>0</v>
      </c>
      <c r="Z137" s="52">
        <v>0</v>
      </c>
      <c r="AA137" s="73">
        <v>13.9</v>
      </c>
      <c r="AB137" s="40">
        <v>0</v>
      </c>
      <c r="AC137" s="52">
        <v>-13.9</v>
      </c>
      <c r="AD137" s="73">
        <v>104.39908087958848</v>
      </c>
      <c r="AE137" s="40">
        <v>156.60176864512329</v>
      </c>
      <c r="AF137" s="35">
        <v>52.202687765534804</v>
      </c>
      <c r="AG137" s="77">
        <v>118.29908087958849</v>
      </c>
      <c r="AH137" s="53">
        <v>156.60176864512329</v>
      </c>
      <c r="AI137" s="52">
        <v>38.302687765534799</v>
      </c>
      <c r="AJ137" s="73">
        <v>0</v>
      </c>
      <c r="AK137" s="40">
        <v>0</v>
      </c>
      <c r="AL137" s="52">
        <v>0</v>
      </c>
      <c r="AM137" s="73">
        <v>0</v>
      </c>
      <c r="AN137" s="40">
        <v>0</v>
      </c>
      <c r="AO137" s="52">
        <v>0</v>
      </c>
      <c r="AP137" s="73">
        <v>25.213833333333334</v>
      </c>
      <c r="AQ137" s="40">
        <v>0</v>
      </c>
      <c r="AR137" s="52">
        <v>-25.213833333333334</v>
      </c>
      <c r="AS137" s="73">
        <v>210.61573460695712</v>
      </c>
      <c r="AT137" s="40">
        <v>0</v>
      </c>
      <c r="AU137" s="54">
        <v>-210.61573460695712</v>
      </c>
      <c r="AV137" s="73">
        <v>0</v>
      </c>
      <c r="AW137" s="40">
        <v>0</v>
      </c>
      <c r="AX137" s="55">
        <v>0</v>
      </c>
      <c r="AY137" s="73">
        <v>0</v>
      </c>
      <c r="AZ137" s="40">
        <v>0</v>
      </c>
      <c r="BA137" s="35">
        <v>0</v>
      </c>
      <c r="BB137" s="73">
        <v>0</v>
      </c>
      <c r="BC137" s="40">
        <v>0</v>
      </c>
      <c r="BD137" s="55">
        <v>0</v>
      </c>
      <c r="BE137" s="73">
        <v>0</v>
      </c>
      <c r="BF137" s="40">
        <v>0</v>
      </c>
      <c r="BG137" s="38">
        <v>0</v>
      </c>
      <c r="BH137" s="73">
        <v>0</v>
      </c>
      <c r="BI137" s="40">
        <v>0</v>
      </c>
      <c r="BJ137" s="55">
        <v>0</v>
      </c>
      <c r="BK137" s="73">
        <v>0</v>
      </c>
      <c r="BL137" s="40">
        <v>0</v>
      </c>
      <c r="BM137" s="38">
        <v>0</v>
      </c>
      <c r="BN137" s="73">
        <v>3.4750000000000001</v>
      </c>
      <c r="BO137" s="40">
        <v>0</v>
      </c>
      <c r="BP137" s="55">
        <v>-3.4750000000000001</v>
      </c>
      <c r="BQ137" s="77">
        <v>3.4750000000000001</v>
      </c>
      <c r="BR137" s="40">
        <v>0</v>
      </c>
      <c r="BS137" s="55">
        <v>-3.4750000000000001</v>
      </c>
      <c r="BT137" s="73">
        <v>0</v>
      </c>
      <c r="BU137" s="40">
        <v>0</v>
      </c>
      <c r="BV137" s="52">
        <v>0</v>
      </c>
      <c r="BW137" s="73">
        <v>0</v>
      </c>
      <c r="BX137" s="40">
        <v>0.64510273758123926</v>
      </c>
      <c r="BY137" s="52">
        <v>0.64510273758123926</v>
      </c>
      <c r="BZ137" s="73">
        <v>0</v>
      </c>
      <c r="CA137" s="40">
        <v>0</v>
      </c>
      <c r="CB137" s="52">
        <v>0</v>
      </c>
      <c r="CC137" s="73">
        <v>0</v>
      </c>
      <c r="CD137" s="40">
        <v>0</v>
      </c>
      <c r="CE137" s="52">
        <v>0</v>
      </c>
      <c r="CF137" s="73">
        <v>0</v>
      </c>
      <c r="CG137" s="40">
        <v>0</v>
      </c>
      <c r="CH137" s="52">
        <v>0</v>
      </c>
      <c r="CI137" s="73">
        <v>0</v>
      </c>
      <c r="CJ137" s="40">
        <v>0</v>
      </c>
      <c r="CK137" s="52">
        <v>0</v>
      </c>
      <c r="CL137" s="73">
        <v>0</v>
      </c>
      <c r="CM137" s="40">
        <v>0</v>
      </c>
      <c r="CN137" s="52">
        <v>0</v>
      </c>
      <c r="CO137" s="39">
        <v>0</v>
      </c>
      <c r="CP137" s="40">
        <v>0</v>
      </c>
      <c r="CQ137" s="52">
        <v>0</v>
      </c>
      <c r="CR137" s="72">
        <v>357.60364881987897</v>
      </c>
      <c r="CS137" s="5">
        <v>157.24687138270451</v>
      </c>
      <c r="CT137" s="52">
        <v>-200.35677743717446</v>
      </c>
      <c r="CU137" s="77">
        <v>429.12437858385476</v>
      </c>
      <c r="CV137" s="65">
        <v>188.69624565924542</v>
      </c>
      <c r="CW137" s="35">
        <v>-240.42813292460934</v>
      </c>
      <c r="CX137" s="73">
        <v>23.959314578362672</v>
      </c>
      <c r="CY137" s="40">
        <v>264.38744750297201</v>
      </c>
      <c r="CZ137" s="52">
        <v>240.42813292460934</v>
      </c>
      <c r="DA137" s="150">
        <v>-2272.3521244889671</v>
      </c>
      <c r="DB137" s="2">
        <v>3</v>
      </c>
      <c r="DC137" s="648">
        <v>225.28</v>
      </c>
      <c r="DD137" s="648"/>
      <c r="DE137" s="649">
        <v>-227.80369316221746</v>
      </c>
      <c r="DG137" s="321">
        <v>-433.18569893676442</v>
      </c>
      <c r="DH137" s="5">
        <v>5437.0043179466093</v>
      </c>
      <c r="DI137" s="306">
        <v>1.296634812987187</v>
      </c>
      <c r="DJ137" s="306"/>
      <c r="DK137" s="306"/>
      <c r="DL137" s="28">
        <v>225.29029875652373</v>
      </c>
      <c r="DM137" s="28">
        <v>0</v>
      </c>
      <c r="DN137" s="650">
        <v>225.28</v>
      </c>
      <c r="DO137" s="94">
        <v>1.0298756523724251E-2</v>
      </c>
      <c r="DP137" s="28">
        <v>225.29029875652373</v>
      </c>
      <c r="DQ137" s="318">
        <v>0</v>
      </c>
      <c r="DS137" s="8">
        <v>214.56218929192738</v>
      </c>
      <c r="DT137" s="5">
        <v>10.728109464596368</v>
      </c>
      <c r="DW137" s="5">
        <v>256.9088815283485</v>
      </c>
      <c r="DX137" s="5">
        <v>0</v>
      </c>
    </row>
    <row r="138" spans="1:128" x14ac:dyDescent="0.3">
      <c r="A138" s="325">
        <v>150000580</v>
      </c>
      <c r="B138" s="41" t="s">
        <v>587</v>
      </c>
      <c r="C138" s="42" t="s">
        <v>85</v>
      </c>
      <c r="D138" s="42" t="s">
        <v>85</v>
      </c>
      <c r="E138" s="293">
        <v>188.4</v>
      </c>
      <c r="F138" s="305">
        <v>188.4</v>
      </c>
      <c r="G138" s="51"/>
      <c r="H138" s="651">
        <v>0</v>
      </c>
      <c r="I138" s="73">
        <v>0</v>
      </c>
      <c r="J138" s="40">
        <v>0</v>
      </c>
      <c r="K138" s="52">
        <v>0</v>
      </c>
      <c r="L138" s="73">
        <v>0</v>
      </c>
      <c r="M138" s="40">
        <v>0</v>
      </c>
      <c r="N138" s="52">
        <v>0</v>
      </c>
      <c r="O138" s="73">
        <v>0</v>
      </c>
      <c r="P138" s="40">
        <v>0</v>
      </c>
      <c r="Q138" s="52">
        <v>0</v>
      </c>
      <c r="R138" s="73">
        <v>0</v>
      </c>
      <c r="S138" s="40">
        <v>0</v>
      </c>
      <c r="T138" s="52">
        <v>0</v>
      </c>
      <c r="U138" s="73">
        <v>0</v>
      </c>
      <c r="V138" s="40">
        <v>0</v>
      </c>
      <c r="W138" s="52">
        <v>0</v>
      </c>
      <c r="X138" s="73">
        <v>0</v>
      </c>
      <c r="Y138" s="40">
        <v>0</v>
      </c>
      <c r="Z138" s="52">
        <v>0</v>
      </c>
      <c r="AA138" s="73">
        <v>15.072000000000001</v>
      </c>
      <c r="AB138" s="40">
        <v>0</v>
      </c>
      <c r="AC138" s="52">
        <v>-15.072000000000001</v>
      </c>
      <c r="AD138" s="73">
        <v>113.18519951922727</v>
      </c>
      <c r="AE138" s="40">
        <v>169.80588899419411</v>
      </c>
      <c r="AF138" s="35">
        <v>56.620689474966838</v>
      </c>
      <c r="AG138" s="77">
        <v>128.25719951922727</v>
      </c>
      <c r="AH138" s="53">
        <v>169.80588899419411</v>
      </c>
      <c r="AI138" s="52">
        <v>41.548689474966835</v>
      </c>
      <c r="AJ138" s="73">
        <v>0</v>
      </c>
      <c r="AK138" s="40">
        <v>0</v>
      </c>
      <c r="AL138" s="52">
        <v>0</v>
      </c>
      <c r="AM138" s="73">
        <v>0</v>
      </c>
      <c r="AN138" s="40">
        <v>0</v>
      </c>
      <c r="AO138" s="52">
        <v>0</v>
      </c>
      <c r="AP138" s="73">
        <v>18.910374999999998</v>
      </c>
      <c r="AQ138" s="40">
        <v>0</v>
      </c>
      <c r="AR138" s="52">
        <v>-18.910374999999998</v>
      </c>
      <c r="AS138" s="73">
        <v>164.58237902558048</v>
      </c>
      <c r="AT138" s="40">
        <v>0</v>
      </c>
      <c r="AU138" s="54">
        <v>-164.58237902558048</v>
      </c>
      <c r="AV138" s="73">
        <v>0</v>
      </c>
      <c r="AW138" s="40">
        <v>0</v>
      </c>
      <c r="AX138" s="55">
        <v>0</v>
      </c>
      <c r="AY138" s="73">
        <v>0</v>
      </c>
      <c r="AZ138" s="40">
        <v>0</v>
      </c>
      <c r="BA138" s="35">
        <v>0</v>
      </c>
      <c r="BB138" s="73">
        <v>0</v>
      </c>
      <c r="BC138" s="40">
        <v>0</v>
      </c>
      <c r="BD138" s="55">
        <v>0</v>
      </c>
      <c r="BE138" s="73">
        <v>0</v>
      </c>
      <c r="BF138" s="40">
        <v>0</v>
      </c>
      <c r="BG138" s="38">
        <v>0</v>
      </c>
      <c r="BH138" s="73">
        <v>0</v>
      </c>
      <c r="BI138" s="40">
        <v>0</v>
      </c>
      <c r="BJ138" s="55">
        <v>0</v>
      </c>
      <c r="BK138" s="73">
        <v>0</v>
      </c>
      <c r="BL138" s="40">
        <v>0</v>
      </c>
      <c r="BM138" s="38">
        <v>0</v>
      </c>
      <c r="BN138" s="73">
        <v>3.7680000000000002</v>
      </c>
      <c r="BO138" s="40">
        <v>0</v>
      </c>
      <c r="BP138" s="55">
        <v>-3.7680000000000002</v>
      </c>
      <c r="BQ138" s="77">
        <v>3.7680000000000002</v>
      </c>
      <c r="BR138" s="40">
        <v>0</v>
      </c>
      <c r="BS138" s="55">
        <v>-3.7680000000000002</v>
      </c>
      <c r="BT138" s="73">
        <v>0</v>
      </c>
      <c r="BU138" s="40">
        <v>0</v>
      </c>
      <c r="BV138" s="52">
        <v>0</v>
      </c>
      <c r="BW138" s="73">
        <v>0</v>
      </c>
      <c r="BX138" s="40">
        <v>0.69949557272118268</v>
      </c>
      <c r="BY138" s="52">
        <v>0.69949557272118268</v>
      </c>
      <c r="BZ138" s="73">
        <v>0</v>
      </c>
      <c r="CA138" s="40">
        <v>0</v>
      </c>
      <c r="CB138" s="52">
        <v>0</v>
      </c>
      <c r="CC138" s="73">
        <v>0</v>
      </c>
      <c r="CD138" s="40">
        <v>0</v>
      </c>
      <c r="CE138" s="52">
        <v>0</v>
      </c>
      <c r="CF138" s="73">
        <v>0</v>
      </c>
      <c r="CG138" s="40">
        <v>0</v>
      </c>
      <c r="CH138" s="52">
        <v>0</v>
      </c>
      <c r="CI138" s="73">
        <v>0</v>
      </c>
      <c r="CJ138" s="40">
        <v>0</v>
      </c>
      <c r="CK138" s="52">
        <v>0</v>
      </c>
      <c r="CL138" s="73">
        <v>0</v>
      </c>
      <c r="CM138" s="40">
        <v>0</v>
      </c>
      <c r="CN138" s="52">
        <v>0</v>
      </c>
      <c r="CO138" s="39">
        <v>0</v>
      </c>
      <c r="CP138" s="40">
        <v>0</v>
      </c>
      <c r="CQ138" s="52">
        <v>0</v>
      </c>
      <c r="CR138" s="72">
        <v>315.51795354480771</v>
      </c>
      <c r="CS138" s="5">
        <v>170.5053845669153</v>
      </c>
      <c r="CT138" s="52">
        <v>-145.01256897789241</v>
      </c>
      <c r="CU138" s="77">
        <v>378.62154425376923</v>
      </c>
      <c r="CV138" s="65">
        <v>204.60646148029835</v>
      </c>
      <c r="CW138" s="35">
        <v>-174.01508277347088</v>
      </c>
      <c r="CX138" s="73">
        <v>21.139588281743041</v>
      </c>
      <c r="CY138" s="40">
        <v>195.15467105521392</v>
      </c>
      <c r="CZ138" s="52">
        <v>174.01508277347088</v>
      </c>
      <c r="DA138" s="150">
        <v>-1906.3600054064452</v>
      </c>
      <c r="DB138" s="2">
        <v>3</v>
      </c>
      <c r="DC138" s="648">
        <v>198.78</v>
      </c>
      <c r="DD138" s="648"/>
      <c r="DE138" s="649">
        <v>-200.98113253551227</v>
      </c>
      <c r="DG138" s="321">
        <v>-2720.2985376798238</v>
      </c>
      <c r="DH138" s="5">
        <v>4797.1335904261468</v>
      </c>
      <c r="DI138" s="306">
        <v>1.0550759593058856</v>
      </c>
      <c r="DJ138" s="306"/>
      <c r="DK138" s="306"/>
      <c r="DL138" s="28">
        <v>198.77631073322885</v>
      </c>
      <c r="DM138" s="28">
        <v>0</v>
      </c>
      <c r="DN138" s="650">
        <v>198.78</v>
      </c>
      <c r="DO138" s="94">
        <v>-3.689266771147004E-3</v>
      </c>
      <c r="DP138" s="28">
        <v>198.77631073322885</v>
      </c>
      <c r="DQ138" s="318">
        <v>0</v>
      </c>
      <c r="DS138" s="8">
        <v>189.31077212688461</v>
      </c>
      <c r="DT138" s="5">
        <v>9.4655386063442322</v>
      </c>
      <c r="DW138" s="5">
        <v>202.02045483069656</v>
      </c>
      <c r="DX138" s="5">
        <v>0</v>
      </c>
    </row>
    <row r="139" spans="1:128" x14ac:dyDescent="0.3">
      <c r="A139" s="325">
        <v>150001054</v>
      </c>
      <c r="B139" s="41" t="s">
        <v>588</v>
      </c>
      <c r="C139" s="42" t="s">
        <v>86</v>
      </c>
      <c r="D139" s="42" t="s">
        <v>86</v>
      </c>
      <c r="E139" s="293">
        <v>195.6</v>
      </c>
      <c r="F139" s="305">
        <v>195.6</v>
      </c>
      <c r="G139" s="51"/>
      <c r="H139" s="651">
        <v>0</v>
      </c>
      <c r="I139" s="73">
        <v>0</v>
      </c>
      <c r="J139" s="40">
        <v>0</v>
      </c>
      <c r="K139" s="52">
        <v>0</v>
      </c>
      <c r="L139" s="73">
        <v>0</v>
      </c>
      <c r="M139" s="40">
        <v>0</v>
      </c>
      <c r="N139" s="52">
        <v>0</v>
      </c>
      <c r="O139" s="73">
        <v>0</v>
      </c>
      <c r="P139" s="40">
        <v>0</v>
      </c>
      <c r="Q139" s="52">
        <v>0</v>
      </c>
      <c r="R139" s="73">
        <v>0</v>
      </c>
      <c r="S139" s="40">
        <v>0</v>
      </c>
      <c r="T139" s="52">
        <v>0</v>
      </c>
      <c r="U139" s="73">
        <v>0</v>
      </c>
      <c r="V139" s="40">
        <v>0</v>
      </c>
      <c r="W139" s="52">
        <v>0</v>
      </c>
      <c r="X139" s="73">
        <v>0</v>
      </c>
      <c r="Y139" s="40">
        <v>0</v>
      </c>
      <c r="Z139" s="52">
        <v>0</v>
      </c>
      <c r="AA139" s="73">
        <v>15.648</v>
      </c>
      <c r="AB139" s="40">
        <v>0</v>
      </c>
      <c r="AC139" s="52">
        <v>-15.648</v>
      </c>
      <c r="AD139" s="73">
        <v>117.52397491658408</v>
      </c>
      <c r="AE139" s="40">
        <v>176.29528602581934</v>
      </c>
      <c r="AF139" s="35">
        <v>58.771311109235256</v>
      </c>
      <c r="AG139" s="77">
        <v>133.17197491658408</v>
      </c>
      <c r="AH139" s="53">
        <v>176.29528602581934</v>
      </c>
      <c r="AI139" s="52">
        <v>43.12331110923526</v>
      </c>
      <c r="AJ139" s="73">
        <v>0</v>
      </c>
      <c r="AK139" s="40">
        <v>0</v>
      </c>
      <c r="AL139" s="52">
        <v>0</v>
      </c>
      <c r="AM139" s="73">
        <v>0</v>
      </c>
      <c r="AN139" s="40">
        <v>0</v>
      </c>
      <c r="AO139" s="52">
        <v>0</v>
      </c>
      <c r="AP139" s="73">
        <v>37.820749999999997</v>
      </c>
      <c r="AQ139" s="40">
        <v>0</v>
      </c>
      <c r="AR139" s="52">
        <v>-37.820749999999997</v>
      </c>
      <c r="AS139" s="73">
        <v>186.03440728299606</v>
      </c>
      <c r="AT139" s="40">
        <v>0</v>
      </c>
      <c r="AU139" s="54">
        <v>-186.03440728299606</v>
      </c>
      <c r="AV139" s="73">
        <v>0</v>
      </c>
      <c r="AW139" s="40">
        <v>0</v>
      </c>
      <c r="AX139" s="55">
        <v>0</v>
      </c>
      <c r="AY139" s="73">
        <v>0</v>
      </c>
      <c r="AZ139" s="40">
        <v>0</v>
      </c>
      <c r="BA139" s="35">
        <v>0</v>
      </c>
      <c r="BB139" s="73">
        <v>0</v>
      </c>
      <c r="BC139" s="40">
        <v>0</v>
      </c>
      <c r="BD139" s="55">
        <v>0</v>
      </c>
      <c r="BE139" s="73">
        <v>0</v>
      </c>
      <c r="BF139" s="40">
        <v>0</v>
      </c>
      <c r="BG139" s="38">
        <v>0</v>
      </c>
      <c r="BH139" s="73">
        <v>0</v>
      </c>
      <c r="BI139" s="40">
        <v>0</v>
      </c>
      <c r="BJ139" s="55">
        <v>0</v>
      </c>
      <c r="BK139" s="73">
        <v>0</v>
      </c>
      <c r="BL139" s="40">
        <v>0</v>
      </c>
      <c r="BM139" s="38">
        <v>0</v>
      </c>
      <c r="BN139" s="73">
        <v>3.9119999999999999</v>
      </c>
      <c r="BO139" s="40">
        <v>0</v>
      </c>
      <c r="BP139" s="55">
        <v>-3.9119999999999999</v>
      </c>
      <c r="BQ139" s="77">
        <v>3.9119999999999999</v>
      </c>
      <c r="BR139" s="40">
        <v>0</v>
      </c>
      <c r="BS139" s="55">
        <v>-3.9119999999999999</v>
      </c>
      <c r="BT139" s="73">
        <v>0</v>
      </c>
      <c r="BU139" s="40">
        <v>0</v>
      </c>
      <c r="BV139" s="52">
        <v>0</v>
      </c>
      <c r="BW139" s="73">
        <v>0</v>
      </c>
      <c r="BX139" s="40">
        <v>0.72622788760224699</v>
      </c>
      <c r="BY139" s="52">
        <v>0.72622788760224699</v>
      </c>
      <c r="BZ139" s="73">
        <v>0</v>
      </c>
      <c r="CA139" s="40">
        <v>0</v>
      </c>
      <c r="CB139" s="52">
        <v>0</v>
      </c>
      <c r="CC139" s="73">
        <v>0</v>
      </c>
      <c r="CD139" s="40">
        <v>0</v>
      </c>
      <c r="CE139" s="52">
        <v>0</v>
      </c>
      <c r="CF139" s="73">
        <v>0</v>
      </c>
      <c r="CG139" s="40">
        <v>0</v>
      </c>
      <c r="CH139" s="52">
        <v>0</v>
      </c>
      <c r="CI139" s="73">
        <v>0</v>
      </c>
      <c r="CJ139" s="40">
        <v>0</v>
      </c>
      <c r="CK139" s="52">
        <v>0</v>
      </c>
      <c r="CL139" s="73">
        <v>0</v>
      </c>
      <c r="CM139" s="40">
        <v>0</v>
      </c>
      <c r="CN139" s="52">
        <v>0</v>
      </c>
      <c r="CO139" s="39">
        <v>0</v>
      </c>
      <c r="CP139" s="40">
        <v>0</v>
      </c>
      <c r="CQ139" s="52">
        <v>0</v>
      </c>
      <c r="CR139" s="72">
        <v>360.93913219958011</v>
      </c>
      <c r="CS139" s="5">
        <v>177.02151391342159</v>
      </c>
      <c r="CT139" s="52">
        <v>-183.91761828615853</v>
      </c>
      <c r="CU139" s="77">
        <v>433.12695863949614</v>
      </c>
      <c r="CV139" s="65">
        <v>212.4258166961059</v>
      </c>
      <c r="CW139" s="35">
        <v>-220.70114194339024</v>
      </c>
      <c r="CX139" s="73">
        <v>24.182790753253197</v>
      </c>
      <c r="CY139" s="40">
        <v>244.88393269664343</v>
      </c>
      <c r="CZ139" s="52">
        <v>220.70114194339024</v>
      </c>
      <c r="DA139" s="150">
        <v>-1565.6557035955407</v>
      </c>
      <c r="DB139" s="2">
        <v>3</v>
      </c>
      <c r="DC139" s="648">
        <v>227.38</v>
      </c>
      <c r="DD139" s="648"/>
      <c r="DE139" s="649">
        <v>-229.92974939274933</v>
      </c>
      <c r="DG139" s="321">
        <v>-695.3364582452964</v>
      </c>
      <c r="DH139" s="5">
        <v>5487.7169927129917</v>
      </c>
      <c r="DI139" s="306">
        <v>1.1625340147532488</v>
      </c>
      <c r="DJ139" s="306"/>
      <c r="DK139" s="306"/>
      <c r="DL139" s="28">
        <v>227.39165328573546</v>
      </c>
      <c r="DM139" s="28">
        <v>0</v>
      </c>
      <c r="DN139" s="650">
        <v>227.38</v>
      </c>
      <c r="DO139" s="94">
        <v>1.1653285735462759E-2</v>
      </c>
      <c r="DP139" s="28">
        <v>227.39165328573546</v>
      </c>
      <c r="DQ139" s="318">
        <v>0</v>
      </c>
      <c r="DS139" s="8">
        <v>216.56347931974807</v>
      </c>
      <c r="DT139" s="5">
        <v>10.828173965987403</v>
      </c>
      <c r="DW139" s="5">
        <v>227.93568873959526</v>
      </c>
      <c r="DX139" s="5">
        <v>0</v>
      </c>
    </row>
    <row r="140" spans="1:128" x14ac:dyDescent="0.3">
      <c r="A140" s="325">
        <v>150000634</v>
      </c>
      <c r="B140" s="41" t="s">
        <v>589</v>
      </c>
      <c r="C140" s="42" t="s">
        <v>87</v>
      </c>
      <c r="D140" s="42" t="s">
        <v>87</v>
      </c>
      <c r="E140" s="293">
        <v>196.35</v>
      </c>
      <c r="F140" s="305">
        <v>196.35</v>
      </c>
      <c r="G140" s="51"/>
      <c r="H140" s="651">
        <v>0</v>
      </c>
      <c r="I140" s="73">
        <v>0</v>
      </c>
      <c r="J140" s="40">
        <v>0</v>
      </c>
      <c r="K140" s="52">
        <v>0</v>
      </c>
      <c r="L140" s="73">
        <v>0</v>
      </c>
      <c r="M140" s="40">
        <v>0</v>
      </c>
      <c r="N140" s="52">
        <v>0</v>
      </c>
      <c r="O140" s="73">
        <v>0</v>
      </c>
      <c r="P140" s="40">
        <v>0</v>
      </c>
      <c r="Q140" s="52">
        <v>0</v>
      </c>
      <c r="R140" s="73">
        <v>0</v>
      </c>
      <c r="S140" s="40">
        <v>0</v>
      </c>
      <c r="T140" s="52">
        <v>0</v>
      </c>
      <c r="U140" s="73">
        <v>0</v>
      </c>
      <c r="V140" s="40">
        <v>0</v>
      </c>
      <c r="W140" s="52">
        <v>0</v>
      </c>
      <c r="X140" s="73">
        <v>0</v>
      </c>
      <c r="Y140" s="40">
        <v>0</v>
      </c>
      <c r="Z140" s="52">
        <v>0</v>
      </c>
      <c r="AA140" s="73">
        <v>15.708</v>
      </c>
      <c r="AB140" s="40">
        <v>0</v>
      </c>
      <c r="AC140" s="52">
        <v>-15.708</v>
      </c>
      <c r="AD140" s="73">
        <v>117.97681356990975</v>
      </c>
      <c r="AE140" s="40">
        <v>176.9712648832803</v>
      </c>
      <c r="AF140" s="35">
        <v>58.994451313370547</v>
      </c>
      <c r="AG140" s="77">
        <v>133.68481356990975</v>
      </c>
      <c r="AH140" s="53">
        <v>176.9712648832803</v>
      </c>
      <c r="AI140" s="52">
        <v>43.286451313370549</v>
      </c>
      <c r="AJ140" s="73">
        <v>0</v>
      </c>
      <c r="AK140" s="40">
        <v>0</v>
      </c>
      <c r="AL140" s="52">
        <v>0</v>
      </c>
      <c r="AM140" s="73">
        <v>0</v>
      </c>
      <c r="AN140" s="40">
        <v>0</v>
      </c>
      <c r="AO140" s="52">
        <v>0</v>
      </c>
      <c r="AP140" s="73">
        <v>50.427666666666667</v>
      </c>
      <c r="AQ140" s="40">
        <v>0</v>
      </c>
      <c r="AR140" s="52">
        <v>-50.427666666666667</v>
      </c>
      <c r="AS140" s="73">
        <v>251.74751966127144</v>
      </c>
      <c r="AT140" s="40">
        <v>0</v>
      </c>
      <c r="AU140" s="54">
        <v>-251.74751966127144</v>
      </c>
      <c r="AV140" s="73">
        <v>0</v>
      </c>
      <c r="AW140" s="40">
        <v>0</v>
      </c>
      <c r="AX140" s="55">
        <v>0</v>
      </c>
      <c r="AY140" s="73">
        <v>0</v>
      </c>
      <c r="AZ140" s="40">
        <v>0</v>
      </c>
      <c r="BA140" s="35">
        <v>0</v>
      </c>
      <c r="BB140" s="73">
        <v>0</v>
      </c>
      <c r="BC140" s="40">
        <v>0</v>
      </c>
      <c r="BD140" s="55">
        <v>0</v>
      </c>
      <c r="BE140" s="73">
        <v>0</v>
      </c>
      <c r="BF140" s="40">
        <v>0</v>
      </c>
      <c r="BG140" s="38">
        <v>0</v>
      </c>
      <c r="BH140" s="73">
        <v>0</v>
      </c>
      <c r="BI140" s="40">
        <v>0</v>
      </c>
      <c r="BJ140" s="55">
        <v>0</v>
      </c>
      <c r="BK140" s="73">
        <v>0</v>
      </c>
      <c r="BL140" s="40">
        <v>0</v>
      </c>
      <c r="BM140" s="38">
        <v>0</v>
      </c>
      <c r="BN140" s="73">
        <v>3.927</v>
      </c>
      <c r="BO140" s="40">
        <v>0</v>
      </c>
      <c r="BP140" s="55">
        <v>-3.927</v>
      </c>
      <c r="BQ140" s="77">
        <v>3.927</v>
      </c>
      <c r="BR140" s="40">
        <v>0</v>
      </c>
      <c r="BS140" s="55">
        <v>-3.927</v>
      </c>
      <c r="BT140" s="73">
        <v>0</v>
      </c>
      <c r="BU140" s="40">
        <v>0</v>
      </c>
      <c r="BV140" s="52">
        <v>0</v>
      </c>
      <c r="BW140" s="73">
        <v>0</v>
      </c>
      <c r="BX140" s="40">
        <v>0.72901250373569115</v>
      </c>
      <c r="BY140" s="52">
        <v>0.72901250373569115</v>
      </c>
      <c r="BZ140" s="73">
        <v>0</v>
      </c>
      <c r="CA140" s="40">
        <v>0</v>
      </c>
      <c r="CB140" s="52">
        <v>0</v>
      </c>
      <c r="CC140" s="73">
        <v>0</v>
      </c>
      <c r="CD140" s="40">
        <v>0</v>
      </c>
      <c r="CE140" s="52">
        <v>0</v>
      </c>
      <c r="CF140" s="73">
        <v>0</v>
      </c>
      <c r="CG140" s="40">
        <v>0</v>
      </c>
      <c r="CH140" s="52">
        <v>0</v>
      </c>
      <c r="CI140" s="73">
        <v>0</v>
      </c>
      <c r="CJ140" s="40">
        <v>0</v>
      </c>
      <c r="CK140" s="52">
        <v>0</v>
      </c>
      <c r="CL140" s="73">
        <v>0</v>
      </c>
      <c r="CM140" s="40">
        <v>0</v>
      </c>
      <c r="CN140" s="52">
        <v>0</v>
      </c>
      <c r="CO140" s="39">
        <v>0</v>
      </c>
      <c r="CP140" s="40">
        <v>0</v>
      </c>
      <c r="CQ140" s="52">
        <v>0</v>
      </c>
      <c r="CR140" s="72">
        <v>439.78699989784786</v>
      </c>
      <c r="CS140" s="5">
        <v>177.700277387016</v>
      </c>
      <c r="CT140" s="52">
        <v>-262.08672251083186</v>
      </c>
      <c r="CU140" s="77">
        <v>527.74439987741744</v>
      </c>
      <c r="CV140" s="65">
        <v>213.2403328644192</v>
      </c>
      <c r="CW140" s="35">
        <v>-314.50406701299823</v>
      </c>
      <c r="CX140" s="73">
        <v>29.465569249082968</v>
      </c>
      <c r="CY140" s="40">
        <v>343.96963626208117</v>
      </c>
      <c r="CZ140" s="52">
        <v>314.50406701299818</v>
      </c>
      <c r="DA140" s="150">
        <v>-3344.825372038259</v>
      </c>
      <c r="DB140" s="2">
        <v>3</v>
      </c>
      <c r="DC140" s="648">
        <v>217.78</v>
      </c>
      <c r="DD140" s="648"/>
      <c r="DE140" s="649">
        <v>-339.4299691265004</v>
      </c>
      <c r="DG140" s="321">
        <v>-5126.1490954868359</v>
      </c>
      <c r="DH140" s="5">
        <v>6686.5196295180049</v>
      </c>
      <c r="DI140" s="306">
        <v>1.411081283094699</v>
      </c>
      <c r="DJ140" s="306"/>
      <c r="DK140" s="306"/>
      <c r="DL140" s="28">
        <v>277.06580993564415</v>
      </c>
      <c r="DM140" s="28">
        <v>0</v>
      </c>
      <c r="DN140" s="650">
        <v>277.08</v>
      </c>
      <c r="DO140" s="94">
        <v>-1.4190064355830145E-2</v>
      </c>
      <c r="DP140" s="28">
        <v>277.06580993564415</v>
      </c>
      <c r="DQ140" s="318">
        <v>0</v>
      </c>
      <c r="DS140" s="8">
        <v>263.87219993870872</v>
      </c>
      <c r="DT140" s="5">
        <v>13.193609996935436</v>
      </c>
      <c r="DW140" s="5">
        <v>306.80942359352571</v>
      </c>
      <c r="DX140" s="5">
        <v>0</v>
      </c>
    </row>
    <row r="141" spans="1:128" x14ac:dyDescent="0.3">
      <c r="A141" s="325">
        <v>150000636</v>
      </c>
      <c r="B141" s="41" t="s">
        <v>590</v>
      </c>
      <c r="C141" s="42" t="s">
        <v>259</v>
      </c>
      <c r="D141" s="42" t="s">
        <v>259</v>
      </c>
      <c r="E141" s="293">
        <v>3175.77</v>
      </c>
      <c r="F141" s="305">
        <v>3175.77</v>
      </c>
      <c r="G141" s="51"/>
      <c r="H141" s="651">
        <v>0</v>
      </c>
      <c r="I141" s="73">
        <v>1592.8428022612711</v>
      </c>
      <c r="J141" s="40">
        <v>1789.9236725098858</v>
      </c>
      <c r="K141" s="52">
        <v>197.0808702486147</v>
      </c>
      <c r="L141" s="73">
        <v>346.79809314004092</v>
      </c>
      <c r="M141" s="40">
        <v>390.71007904996077</v>
      </c>
      <c r="N141" s="52">
        <v>43.911985909919849</v>
      </c>
      <c r="O141" s="73">
        <v>625.29119114113666</v>
      </c>
      <c r="P141" s="40">
        <v>625.1</v>
      </c>
      <c r="Q141" s="52">
        <v>-0.19119114113664182</v>
      </c>
      <c r="R141" s="73">
        <v>0</v>
      </c>
      <c r="S141" s="40">
        <v>0</v>
      </c>
      <c r="T141" s="52">
        <v>0</v>
      </c>
      <c r="U141" s="73">
        <v>78.670373845636448</v>
      </c>
      <c r="V141" s="40">
        <v>147.45496328276144</v>
      </c>
      <c r="W141" s="52">
        <v>68.784589437124993</v>
      </c>
      <c r="X141" s="73">
        <v>773.83755855076834</v>
      </c>
      <c r="Y141" s="40">
        <v>825.49001855334859</v>
      </c>
      <c r="Z141" s="52">
        <v>51.652460002580256</v>
      </c>
      <c r="AA141" s="73">
        <v>254.0616</v>
      </c>
      <c r="AB141" s="40">
        <v>0</v>
      </c>
      <c r="AC141" s="52">
        <v>-254.0616</v>
      </c>
      <c r="AD141" s="73">
        <v>2287.889044742949</v>
      </c>
      <c r="AE141" s="40">
        <v>2862.3378348784063</v>
      </c>
      <c r="AF141" s="35">
        <v>574.44879013545733</v>
      </c>
      <c r="AG141" s="77">
        <v>5959.3906636818028</v>
      </c>
      <c r="AH141" s="53">
        <v>6641.0165682743627</v>
      </c>
      <c r="AI141" s="52">
        <v>681.62590459255989</v>
      </c>
      <c r="AJ141" s="73">
        <v>0</v>
      </c>
      <c r="AK141" s="40">
        <v>0</v>
      </c>
      <c r="AL141" s="52">
        <v>0</v>
      </c>
      <c r="AM141" s="73">
        <v>0</v>
      </c>
      <c r="AN141" s="40">
        <v>0</v>
      </c>
      <c r="AO141" s="52">
        <v>0</v>
      </c>
      <c r="AP141" s="73">
        <v>1323.7262499999999</v>
      </c>
      <c r="AQ141" s="40">
        <v>0</v>
      </c>
      <c r="AR141" s="52">
        <v>-1323.7262499999999</v>
      </c>
      <c r="AS141" s="73">
        <v>3861.2445267096705</v>
      </c>
      <c r="AT141" s="40">
        <v>0</v>
      </c>
      <c r="AU141" s="54">
        <v>-3861.2445267096705</v>
      </c>
      <c r="AV141" s="73">
        <v>690.74362281761603</v>
      </c>
      <c r="AW141" s="40">
        <v>831</v>
      </c>
      <c r="AX141" s="55">
        <v>140.25637718238397</v>
      </c>
      <c r="AY141" s="73">
        <v>959.80203675415851</v>
      </c>
      <c r="AZ141" s="40">
        <v>0</v>
      </c>
      <c r="BA141" s="35">
        <v>-959.80203675415851</v>
      </c>
      <c r="BB141" s="73">
        <v>199.4668173596734</v>
      </c>
      <c r="BC141" s="40">
        <v>0</v>
      </c>
      <c r="BD141" s="55">
        <v>-199.4668173596734</v>
      </c>
      <c r="BE141" s="73">
        <v>0</v>
      </c>
      <c r="BF141" s="40">
        <v>0</v>
      </c>
      <c r="BG141" s="38">
        <v>0</v>
      </c>
      <c r="BH141" s="73">
        <v>379.92449008976422</v>
      </c>
      <c r="BI141" s="40">
        <v>0</v>
      </c>
      <c r="BJ141" s="55">
        <v>-379.92449008976422</v>
      </c>
      <c r="BK141" s="73">
        <v>544.6151603167732</v>
      </c>
      <c r="BL141" s="40">
        <v>0</v>
      </c>
      <c r="BM141" s="38">
        <v>-544.6151603167732</v>
      </c>
      <c r="BN141" s="73">
        <v>63.5154</v>
      </c>
      <c r="BO141" s="40">
        <v>0</v>
      </c>
      <c r="BP141" s="55">
        <v>-63.5154</v>
      </c>
      <c r="BQ141" s="77">
        <v>2838.0675273379857</v>
      </c>
      <c r="BR141" s="40">
        <v>831</v>
      </c>
      <c r="BS141" s="55">
        <v>-2007.0675273379857</v>
      </c>
      <c r="BT141" s="73">
        <v>3431.6986113226599</v>
      </c>
      <c r="BU141" s="40">
        <v>957.08903133511137</v>
      </c>
      <c r="BV141" s="52">
        <v>-2474.6095799875484</v>
      </c>
      <c r="BW141" s="73">
        <v>1996.4727737947919</v>
      </c>
      <c r="BX141" s="40">
        <v>1423.3079557140441</v>
      </c>
      <c r="BY141" s="52">
        <v>-573.16481808074786</v>
      </c>
      <c r="BZ141" s="73">
        <v>1335.6642771510981</v>
      </c>
      <c r="CA141" s="40">
        <v>3685.7446593011077</v>
      </c>
      <c r="CB141" s="52">
        <v>2350.0803821500094</v>
      </c>
      <c r="CC141" s="73">
        <v>240.88262599500001</v>
      </c>
      <c r="CD141" s="40">
        <v>303.93737328230236</v>
      </c>
      <c r="CE141" s="52">
        <v>63.054747287302348</v>
      </c>
      <c r="CF141" s="73">
        <v>28.619717940000001</v>
      </c>
      <c r="CG141" s="40">
        <v>0</v>
      </c>
      <c r="CH141" s="52">
        <v>-28.619717940000001</v>
      </c>
      <c r="CI141" s="73">
        <v>588.66</v>
      </c>
      <c r="CJ141" s="40">
        <v>1156.3827265138771</v>
      </c>
      <c r="CK141" s="52">
        <v>567.72272651387709</v>
      </c>
      <c r="CL141" s="73">
        <v>0</v>
      </c>
      <c r="CM141" s="40">
        <v>0</v>
      </c>
      <c r="CN141" s="52">
        <v>0</v>
      </c>
      <c r="CO141" s="39">
        <v>588.66</v>
      </c>
      <c r="CP141" s="40">
        <v>1156.3827265138771</v>
      </c>
      <c r="CQ141" s="52">
        <v>567.72272651387709</v>
      </c>
      <c r="CR141" s="72">
        <v>21604.426973933008</v>
      </c>
      <c r="CS141" s="5">
        <v>14998.478314420807</v>
      </c>
      <c r="CT141" s="52">
        <v>-6605.9486595122016</v>
      </c>
      <c r="CU141" s="77">
        <v>25925.312368719609</v>
      </c>
      <c r="CV141" s="65">
        <v>17998.173977304967</v>
      </c>
      <c r="CW141" s="35">
        <v>-7927.1383914146427</v>
      </c>
      <c r="CX141" s="73">
        <v>1447.4887598656692</v>
      </c>
      <c r="CY141" s="40">
        <v>9374.6271512803105</v>
      </c>
      <c r="CZ141" s="52">
        <v>7927.1383914146409</v>
      </c>
      <c r="DA141" s="150">
        <v>243.74423554195437</v>
      </c>
      <c r="DB141" s="2">
        <v>3</v>
      </c>
      <c r="DC141" s="648">
        <v>26383.89</v>
      </c>
      <c r="DD141" s="648"/>
      <c r="DE141" s="649">
        <v>-988.91112858527777</v>
      </c>
      <c r="DG141" s="321">
        <v>-23810.221326833103</v>
      </c>
      <c r="DH141" s="5">
        <v>328473.61354302336</v>
      </c>
      <c r="DI141" s="306">
        <v>4.2858232786309447</v>
      </c>
      <c r="DJ141" s="306"/>
      <c r="DK141" s="306"/>
      <c r="DL141" s="28">
        <v>13610.788993577795</v>
      </c>
      <c r="DM141" s="28">
        <v>0</v>
      </c>
      <c r="DN141" s="650">
        <v>13610.73</v>
      </c>
      <c r="DO141" s="94">
        <v>5.8993577795263263E-2</v>
      </c>
      <c r="DP141" s="28">
        <v>13610.788993577795</v>
      </c>
      <c r="DQ141" s="318">
        <v>0</v>
      </c>
      <c r="DS141" s="8">
        <v>12962.656184359805</v>
      </c>
      <c r="DT141" s="5">
        <v>648.13280921799026</v>
      </c>
      <c r="DW141" s="5">
        <v>8039.1744648571866</v>
      </c>
      <c r="DX141" s="5">
        <v>997.19999999999993</v>
      </c>
    </row>
    <row r="142" spans="1:128" x14ac:dyDescent="0.3">
      <c r="A142" s="325">
        <v>150000637</v>
      </c>
      <c r="B142" s="41" t="s">
        <v>591</v>
      </c>
      <c r="C142" s="42" t="s">
        <v>88</v>
      </c>
      <c r="D142" s="42" t="s">
        <v>88</v>
      </c>
      <c r="E142" s="293">
        <v>164.45</v>
      </c>
      <c r="F142" s="305">
        <v>164.45</v>
      </c>
      <c r="G142" s="51"/>
      <c r="H142" s="651">
        <v>0</v>
      </c>
      <c r="I142" s="73">
        <v>0</v>
      </c>
      <c r="J142" s="40">
        <v>0</v>
      </c>
      <c r="K142" s="52">
        <v>0</v>
      </c>
      <c r="L142" s="73">
        <v>0</v>
      </c>
      <c r="M142" s="40">
        <v>0</v>
      </c>
      <c r="N142" s="52">
        <v>0</v>
      </c>
      <c r="O142" s="73">
        <v>0</v>
      </c>
      <c r="P142" s="40">
        <v>0</v>
      </c>
      <c r="Q142" s="52">
        <v>0</v>
      </c>
      <c r="R142" s="73">
        <v>0</v>
      </c>
      <c r="S142" s="40">
        <v>0</v>
      </c>
      <c r="T142" s="52">
        <v>0</v>
      </c>
      <c r="U142" s="73">
        <v>0</v>
      </c>
      <c r="V142" s="40">
        <v>0</v>
      </c>
      <c r="W142" s="52">
        <v>0</v>
      </c>
      <c r="X142" s="73">
        <v>0</v>
      </c>
      <c r="Y142" s="40">
        <v>0</v>
      </c>
      <c r="Z142" s="52">
        <v>0</v>
      </c>
      <c r="AA142" s="73">
        <v>13.155999999999999</v>
      </c>
      <c r="AB142" s="40">
        <v>0</v>
      </c>
      <c r="AC142" s="52">
        <v>-13.155999999999999</v>
      </c>
      <c r="AD142" s="73">
        <v>98.775405903779756</v>
      </c>
      <c r="AE142" s="40">
        <v>148.21963081260731</v>
      </c>
      <c r="AF142" s="35">
        <v>49.44422490882755</v>
      </c>
      <c r="AG142" s="77">
        <v>111.93140590377976</v>
      </c>
      <c r="AH142" s="53">
        <v>148.21963081260731</v>
      </c>
      <c r="AI142" s="52">
        <v>36.288224908827544</v>
      </c>
      <c r="AJ142" s="73">
        <v>0</v>
      </c>
      <c r="AK142" s="40">
        <v>0</v>
      </c>
      <c r="AL142" s="52">
        <v>0</v>
      </c>
      <c r="AM142" s="73">
        <v>0</v>
      </c>
      <c r="AN142" s="40">
        <v>0</v>
      </c>
      <c r="AO142" s="52">
        <v>0</v>
      </c>
      <c r="AP142" s="73">
        <v>25.213833333333334</v>
      </c>
      <c r="AQ142" s="40">
        <v>0</v>
      </c>
      <c r="AR142" s="52">
        <v>-25.213833333333334</v>
      </c>
      <c r="AS142" s="73">
        <v>223.75341061644147</v>
      </c>
      <c r="AT142" s="40">
        <v>0</v>
      </c>
      <c r="AU142" s="54">
        <v>-223.75341061644147</v>
      </c>
      <c r="AV142" s="73">
        <v>0</v>
      </c>
      <c r="AW142" s="40">
        <v>0</v>
      </c>
      <c r="AX142" s="55">
        <v>0</v>
      </c>
      <c r="AY142" s="73">
        <v>0</v>
      </c>
      <c r="AZ142" s="40">
        <v>0</v>
      </c>
      <c r="BA142" s="35">
        <v>0</v>
      </c>
      <c r="BB142" s="73">
        <v>0</v>
      </c>
      <c r="BC142" s="40">
        <v>0</v>
      </c>
      <c r="BD142" s="55">
        <v>0</v>
      </c>
      <c r="BE142" s="73">
        <v>0</v>
      </c>
      <c r="BF142" s="40">
        <v>0</v>
      </c>
      <c r="BG142" s="38">
        <v>0</v>
      </c>
      <c r="BH142" s="73">
        <v>0</v>
      </c>
      <c r="BI142" s="40">
        <v>0</v>
      </c>
      <c r="BJ142" s="55">
        <v>0</v>
      </c>
      <c r="BK142" s="73">
        <v>0</v>
      </c>
      <c r="BL142" s="40">
        <v>0</v>
      </c>
      <c r="BM142" s="38">
        <v>0</v>
      </c>
      <c r="BN142" s="73">
        <v>3.2889999999999997</v>
      </c>
      <c r="BO142" s="40">
        <v>0</v>
      </c>
      <c r="BP142" s="55">
        <v>-3.2889999999999997</v>
      </c>
      <c r="BQ142" s="77">
        <v>3.2889999999999997</v>
      </c>
      <c r="BR142" s="40">
        <v>0</v>
      </c>
      <c r="BS142" s="55">
        <v>-3.2889999999999997</v>
      </c>
      <c r="BT142" s="73">
        <v>0</v>
      </c>
      <c r="BU142" s="40">
        <v>0</v>
      </c>
      <c r="BV142" s="52">
        <v>0</v>
      </c>
      <c r="BW142" s="73">
        <v>0</v>
      </c>
      <c r="BX142" s="40">
        <v>0.61057349752653123</v>
      </c>
      <c r="BY142" s="52">
        <v>0.61057349752653123</v>
      </c>
      <c r="BZ142" s="73">
        <v>0</v>
      </c>
      <c r="CA142" s="40">
        <v>0</v>
      </c>
      <c r="CB142" s="52">
        <v>0</v>
      </c>
      <c r="CC142" s="73">
        <v>0</v>
      </c>
      <c r="CD142" s="40">
        <v>0</v>
      </c>
      <c r="CE142" s="52">
        <v>0</v>
      </c>
      <c r="CF142" s="73">
        <v>0</v>
      </c>
      <c r="CG142" s="40">
        <v>0</v>
      </c>
      <c r="CH142" s="52">
        <v>0</v>
      </c>
      <c r="CI142" s="73">
        <v>0</v>
      </c>
      <c r="CJ142" s="40">
        <v>0</v>
      </c>
      <c r="CK142" s="52">
        <v>0</v>
      </c>
      <c r="CL142" s="73">
        <v>0</v>
      </c>
      <c r="CM142" s="40">
        <v>0</v>
      </c>
      <c r="CN142" s="52">
        <v>0</v>
      </c>
      <c r="CO142" s="39">
        <v>0</v>
      </c>
      <c r="CP142" s="40">
        <v>0</v>
      </c>
      <c r="CQ142" s="52">
        <v>0</v>
      </c>
      <c r="CR142" s="72">
        <v>364.18764985355455</v>
      </c>
      <c r="CS142" s="5">
        <v>148.83020431013384</v>
      </c>
      <c r="CT142" s="52">
        <v>-215.35744554342071</v>
      </c>
      <c r="CU142" s="77">
        <v>437.02517982426542</v>
      </c>
      <c r="CV142" s="65">
        <v>178.59624517216059</v>
      </c>
      <c r="CW142" s="35">
        <v>-258.42893465210483</v>
      </c>
      <c r="CX142" s="73">
        <v>24.400440256108634</v>
      </c>
      <c r="CY142" s="40">
        <v>282.82937490821348</v>
      </c>
      <c r="CZ142" s="52">
        <v>258.42893465210483</v>
      </c>
      <c r="DA142" s="150">
        <v>-2833.6765853521424</v>
      </c>
      <c r="DB142" s="2">
        <v>3</v>
      </c>
      <c r="DC142" s="648">
        <v>1935.72</v>
      </c>
      <c r="DD142" s="648"/>
      <c r="DE142" s="649">
        <v>1474.294379919626</v>
      </c>
      <c r="DG142" s="321">
        <v>-4208.3082171047099</v>
      </c>
      <c r="DH142" s="5">
        <v>5537.1074409644889</v>
      </c>
      <c r="DI142" s="306">
        <v>1.3951852806794731</v>
      </c>
      <c r="DJ142" s="306"/>
      <c r="DK142" s="306"/>
      <c r="DL142" s="28">
        <v>229.43821940773933</v>
      </c>
      <c r="DM142" s="28">
        <v>0</v>
      </c>
      <c r="DN142" s="650">
        <v>229.44</v>
      </c>
      <c r="DO142" s="94">
        <v>-1.7805922606726199E-3</v>
      </c>
      <c r="DP142" s="28">
        <v>229.43821940773933</v>
      </c>
      <c r="DQ142" s="318">
        <v>0</v>
      </c>
      <c r="DS142" s="8">
        <v>218.51258991213271</v>
      </c>
      <c r="DT142" s="5">
        <v>10.925629495606637</v>
      </c>
      <c r="DW142" s="5">
        <v>272.45089273972974</v>
      </c>
      <c r="DX142" s="5">
        <v>0</v>
      </c>
    </row>
    <row r="143" spans="1:128" x14ac:dyDescent="0.3">
      <c r="A143" s="325">
        <v>150000555</v>
      </c>
      <c r="B143" s="41" t="s">
        <v>592</v>
      </c>
      <c r="C143" s="42" t="s">
        <v>89</v>
      </c>
      <c r="D143" s="42" t="s">
        <v>89</v>
      </c>
      <c r="E143" s="293">
        <v>175.5</v>
      </c>
      <c r="F143" s="305">
        <v>175.5</v>
      </c>
      <c r="G143" s="51"/>
      <c r="H143" s="651">
        <v>0</v>
      </c>
      <c r="I143" s="73">
        <v>0</v>
      </c>
      <c r="J143" s="40">
        <v>0</v>
      </c>
      <c r="K143" s="52">
        <v>0</v>
      </c>
      <c r="L143" s="73">
        <v>0</v>
      </c>
      <c r="M143" s="40">
        <v>0</v>
      </c>
      <c r="N143" s="52">
        <v>0</v>
      </c>
      <c r="O143" s="73">
        <v>0</v>
      </c>
      <c r="P143" s="40">
        <v>0</v>
      </c>
      <c r="Q143" s="52">
        <v>0</v>
      </c>
      <c r="R143" s="73">
        <v>0</v>
      </c>
      <c r="S143" s="40">
        <v>0</v>
      </c>
      <c r="T143" s="52">
        <v>0</v>
      </c>
      <c r="U143" s="73">
        <v>0</v>
      </c>
      <c r="V143" s="40">
        <v>0</v>
      </c>
      <c r="W143" s="52">
        <v>0</v>
      </c>
      <c r="X143" s="73">
        <v>0</v>
      </c>
      <c r="Y143" s="40">
        <v>0</v>
      </c>
      <c r="Z143" s="52">
        <v>0</v>
      </c>
      <c r="AA143" s="73">
        <v>14.040000000000001</v>
      </c>
      <c r="AB143" s="40">
        <v>0</v>
      </c>
      <c r="AC143" s="52">
        <v>-14.040000000000001</v>
      </c>
      <c r="AD143" s="73">
        <v>105.41332603116513</v>
      </c>
      <c r="AE143" s="40">
        <v>158.17905264586551</v>
      </c>
      <c r="AF143" s="35">
        <v>52.765726614700384</v>
      </c>
      <c r="AG143" s="77">
        <v>119.45332603116513</v>
      </c>
      <c r="AH143" s="53">
        <v>158.17905264586551</v>
      </c>
      <c r="AI143" s="52">
        <v>38.725726614700378</v>
      </c>
      <c r="AJ143" s="73">
        <v>0</v>
      </c>
      <c r="AK143" s="40">
        <v>0</v>
      </c>
      <c r="AL143" s="52">
        <v>0</v>
      </c>
      <c r="AM143" s="73">
        <v>0</v>
      </c>
      <c r="AN143" s="40">
        <v>0</v>
      </c>
      <c r="AO143" s="52">
        <v>0</v>
      </c>
      <c r="AP143" s="73">
        <v>37.820749999999997</v>
      </c>
      <c r="AQ143" s="40">
        <v>0</v>
      </c>
      <c r="AR143" s="52">
        <v>-37.820749999999997</v>
      </c>
      <c r="AS143" s="73">
        <v>241.62957980378931</v>
      </c>
      <c r="AT143" s="40">
        <v>0</v>
      </c>
      <c r="AU143" s="54">
        <v>-241.62957980378931</v>
      </c>
      <c r="AV143" s="73">
        <v>0</v>
      </c>
      <c r="AW143" s="40">
        <v>0</v>
      </c>
      <c r="AX143" s="55">
        <v>0</v>
      </c>
      <c r="AY143" s="73">
        <v>0</v>
      </c>
      <c r="AZ143" s="40">
        <v>0</v>
      </c>
      <c r="BA143" s="35">
        <v>0</v>
      </c>
      <c r="BB143" s="73">
        <v>0</v>
      </c>
      <c r="BC143" s="40">
        <v>0</v>
      </c>
      <c r="BD143" s="55">
        <v>0</v>
      </c>
      <c r="BE143" s="73">
        <v>0</v>
      </c>
      <c r="BF143" s="40">
        <v>0</v>
      </c>
      <c r="BG143" s="38">
        <v>0</v>
      </c>
      <c r="BH143" s="73">
        <v>0</v>
      </c>
      <c r="BI143" s="40">
        <v>0</v>
      </c>
      <c r="BJ143" s="55">
        <v>0</v>
      </c>
      <c r="BK143" s="73">
        <v>0</v>
      </c>
      <c r="BL143" s="40">
        <v>0</v>
      </c>
      <c r="BM143" s="38">
        <v>0</v>
      </c>
      <c r="BN143" s="73">
        <v>3.5100000000000002</v>
      </c>
      <c r="BO143" s="40">
        <v>0</v>
      </c>
      <c r="BP143" s="55">
        <v>-3.5100000000000002</v>
      </c>
      <c r="BQ143" s="77">
        <v>3.5100000000000002</v>
      </c>
      <c r="BR143" s="40">
        <v>0</v>
      </c>
      <c r="BS143" s="55">
        <v>-3.5100000000000002</v>
      </c>
      <c r="BT143" s="73">
        <v>0</v>
      </c>
      <c r="BU143" s="40">
        <v>0</v>
      </c>
      <c r="BV143" s="52">
        <v>0</v>
      </c>
      <c r="BW143" s="73">
        <v>0</v>
      </c>
      <c r="BX143" s="40">
        <v>0.65160017522594249</v>
      </c>
      <c r="BY143" s="52">
        <v>0.65160017522594249</v>
      </c>
      <c r="BZ143" s="73">
        <v>0</v>
      </c>
      <c r="CA143" s="40">
        <v>0</v>
      </c>
      <c r="CB143" s="52">
        <v>0</v>
      </c>
      <c r="CC143" s="73">
        <v>0</v>
      </c>
      <c r="CD143" s="40">
        <v>0</v>
      </c>
      <c r="CE143" s="52">
        <v>0</v>
      </c>
      <c r="CF143" s="73">
        <v>0</v>
      </c>
      <c r="CG143" s="40">
        <v>0</v>
      </c>
      <c r="CH143" s="52">
        <v>0</v>
      </c>
      <c r="CI143" s="73">
        <v>0</v>
      </c>
      <c r="CJ143" s="40">
        <v>0</v>
      </c>
      <c r="CK143" s="52">
        <v>0</v>
      </c>
      <c r="CL143" s="73">
        <v>0</v>
      </c>
      <c r="CM143" s="40">
        <v>0</v>
      </c>
      <c r="CN143" s="52">
        <v>0</v>
      </c>
      <c r="CO143" s="39">
        <v>0</v>
      </c>
      <c r="CP143" s="40">
        <v>0</v>
      </c>
      <c r="CQ143" s="52">
        <v>0</v>
      </c>
      <c r="CR143" s="72">
        <v>402.4136558349544</v>
      </c>
      <c r="CS143" s="5">
        <v>158.83065282109146</v>
      </c>
      <c r="CT143" s="52">
        <v>-243.58300301386294</v>
      </c>
      <c r="CU143" s="77">
        <v>482.89638700194524</v>
      </c>
      <c r="CV143" s="65">
        <v>190.59678338530975</v>
      </c>
      <c r="CW143" s="35">
        <v>-292.29960361663552</v>
      </c>
      <c r="CX143" s="73">
        <v>26.961568772009336</v>
      </c>
      <c r="CY143" s="40">
        <v>319.26117238864481</v>
      </c>
      <c r="CZ143" s="52">
        <v>292.29960361663547</v>
      </c>
      <c r="DA143" s="150">
        <v>-3085.832894016381</v>
      </c>
      <c r="DB143" s="2">
        <v>3</v>
      </c>
      <c r="DC143" s="648">
        <v>354.11</v>
      </c>
      <c r="DD143" s="648"/>
      <c r="DE143" s="649">
        <v>-155.74795577395457</v>
      </c>
      <c r="DG143" s="321">
        <v>-4463.1812077707009</v>
      </c>
      <c r="DH143" s="5">
        <v>6118.2954692874555</v>
      </c>
      <c r="DI143" s="306">
        <v>1.4445618414588106</v>
      </c>
      <c r="DJ143" s="306"/>
      <c r="DK143" s="306"/>
      <c r="DL143" s="28">
        <v>253.52060317602127</v>
      </c>
      <c r="DM143" s="28">
        <v>0</v>
      </c>
      <c r="DN143" s="650">
        <v>253.53</v>
      </c>
      <c r="DO143" s="94">
        <v>-9.3968239787329821E-3</v>
      </c>
      <c r="DP143" s="28">
        <v>253.52060317602127</v>
      </c>
      <c r="DQ143" s="318">
        <v>0</v>
      </c>
      <c r="DS143" s="8">
        <v>241.44819350097262</v>
      </c>
      <c r="DT143" s="5">
        <v>12.072409675048632</v>
      </c>
      <c r="DW143" s="5">
        <v>294.16749576454714</v>
      </c>
      <c r="DX143" s="5">
        <v>0</v>
      </c>
    </row>
    <row r="144" spans="1:128" x14ac:dyDescent="0.3">
      <c r="A144" s="325">
        <v>150000556</v>
      </c>
      <c r="B144" s="41" t="s">
        <v>593</v>
      </c>
      <c r="C144" s="42" t="s">
        <v>90</v>
      </c>
      <c r="D144" s="42" t="s">
        <v>90</v>
      </c>
      <c r="E144" s="293">
        <v>181.9</v>
      </c>
      <c r="F144" s="305">
        <v>181.9</v>
      </c>
      <c r="G144" s="51"/>
      <c r="H144" s="651">
        <v>0</v>
      </c>
      <c r="I144" s="73">
        <v>0</v>
      </c>
      <c r="J144" s="40">
        <v>0</v>
      </c>
      <c r="K144" s="52">
        <v>0</v>
      </c>
      <c r="L144" s="73">
        <v>0</v>
      </c>
      <c r="M144" s="40">
        <v>0</v>
      </c>
      <c r="N144" s="52">
        <v>0</v>
      </c>
      <c r="O144" s="73">
        <v>0</v>
      </c>
      <c r="P144" s="40">
        <v>0</v>
      </c>
      <c r="Q144" s="52">
        <v>0</v>
      </c>
      <c r="R144" s="73">
        <v>0</v>
      </c>
      <c r="S144" s="40">
        <v>0</v>
      </c>
      <c r="T144" s="52">
        <v>0</v>
      </c>
      <c r="U144" s="73">
        <v>0</v>
      </c>
      <c r="V144" s="40">
        <v>0</v>
      </c>
      <c r="W144" s="52">
        <v>0</v>
      </c>
      <c r="X144" s="73">
        <v>0</v>
      </c>
      <c r="Y144" s="40">
        <v>0</v>
      </c>
      <c r="Z144" s="52">
        <v>0</v>
      </c>
      <c r="AA144" s="73">
        <v>14.552000000000001</v>
      </c>
      <c r="AB144" s="40">
        <v>0</v>
      </c>
      <c r="AC144" s="52">
        <v>-14.552000000000001</v>
      </c>
      <c r="AD144" s="73">
        <v>109.26059785707119</v>
      </c>
      <c r="AE144" s="40">
        <v>163.94740556286575</v>
      </c>
      <c r="AF144" s="35">
        <v>54.686807705794564</v>
      </c>
      <c r="AG144" s="77">
        <v>123.8125978570712</v>
      </c>
      <c r="AH144" s="53">
        <v>163.94740556286575</v>
      </c>
      <c r="AI144" s="52">
        <v>40.134807705794557</v>
      </c>
      <c r="AJ144" s="73">
        <v>0</v>
      </c>
      <c r="AK144" s="40">
        <v>0</v>
      </c>
      <c r="AL144" s="52">
        <v>0</v>
      </c>
      <c r="AM144" s="73">
        <v>0</v>
      </c>
      <c r="AN144" s="40">
        <v>0</v>
      </c>
      <c r="AO144" s="52">
        <v>0</v>
      </c>
      <c r="AP144" s="73">
        <v>44.124208333333328</v>
      </c>
      <c r="AQ144" s="40">
        <v>0</v>
      </c>
      <c r="AR144" s="52">
        <v>-44.124208333333328</v>
      </c>
      <c r="AS144" s="73">
        <v>215.07167947433143</v>
      </c>
      <c r="AT144" s="40">
        <v>0</v>
      </c>
      <c r="AU144" s="54">
        <v>-215.07167947433143</v>
      </c>
      <c r="AV144" s="73">
        <v>0</v>
      </c>
      <c r="AW144" s="40">
        <v>0</v>
      </c>
      <c r="AX144" s="55">
        <v>0</v>
      </c>
      <c r="AY144" s="73">
        <v>0</v>
      </c>
      <c r="AZ144" s="40">
        <v>0</v>
      </c>
      <c r="BA144" s="35">
        <v>0</v>
      </c>
      <c r="BB144" s="73">
        <v>0</v>
      </c>
      <c r="BC144" s="40">
        <v>0</v>
      </c>
      <c r="BD144" s="55">
        <v>0</v>
      </c>
      <c r="BE144" s="73">
        <v>0</v>
      </c>
      <c r="BF144" s="40">
        <v>0</v>
      </c>
      <c r="BG144" s="38">
        <v>0</v>
      </c>
      <c r="BH144" s="73">
        <v>0</v>
      </c>
      <c r="BI144" s="40">
        <v>0</v>
      </c>
      <c r="BJ144" s="55">
        <v>0</v>
      </c>
      <c r="BK144" s="73">
        <v>0</v>
      </c>
      <c r="BL144" s="40">
        <v>0</v>
      </c>
      <c r="BM144" s="38">
        <v>0</v>
      </c>
      <c r="BN144" s="73">
        <v>3.6380000000000003</v>
      </c>
      <c r="BO144" s="40">
        <v>0</v>
      </c>
      <c r="BP144" s="55">
        <v>-3.6380000000000003</v>
      </c>
      <c r="BQ144" s="77">
        <v>3.6380000000000003</v>
      </c>
      <c r="BR144" s="40">
        <v>0</v>
      </c>
      <c r="BS144" s="55">
        <v>-3.6380000000000003</v>
      </c>
      <c r="BT144" s="73">
        <v>0</v>
      </c>
      <c r="BU144" s="40">
        <v>0</v>
      </c>
      <c r="BV144" s="52">
        <v>0</v>
      </c>
      <c r="BW144" s="73">
        <v>0</v>
      </c>
      <c r="BX144" s="40">
        <v>0.67536223289799957</v>
      </c>
      <c r="BY144" s="52">
        <v>0.67536223289799957</v>
      </c>
      <c r="BZ144" s="73">
        <v>0</v>
      </c>
      <c r="CA144" s="40">
        <v>0</v>
      </c>
      <c r="CB144" s="52">
        <v>0</v>
      </c>
      <c r="CC144" s="73">
        <v>0</v>
      </c>
      <c r="CD144" s="40">
        <v>0</v>
      </c>
      <c r="CE144" s="52">
        <v>0</v>
      </c>
      <c r="CF144" s="73">
        <v>0</v>
      </c>
      <c r="CG144" s="40">
        <v>0</v>
      </c>
      <c r="CH144" s="52">
        <v>0</v>
      </c>
      <c r="CI144" s="73">
        <v>0</v>
      </c>
      <c r="CJ144" s="40">
        <v>0</v>
      </c>
      <c r="CK144" s="52">
        <v>0</v>
      </c>
      <c r="CL144" s="73">
        <v>0</v>
      </c>
      <c r="CM144" s="40">
        <v>0</v>
      </c>
      <c r="CN144" s="52">
        <v>0</v>
      </c>
      <c r="CO144" s="39">
        <v>0</v>
      </c>
      <c r="CP144" s="40">
        <v>0</v>
      </c>
      <c r="CQ144" s="52">
        <v>0</v>
      </c>
      <c r="CR144" s="72">
        <v>386.64648566473596</v>
      </c>
      <c r="CS144" s="5">
        <v>164.62276779576376</v>
      </c>
      <c r="CT144" s="52">
        <v>-222.0237178689722</v>
      </c>
      <c r="CU144" s="77">
        <v>463.97578279768311</v>
      </c>
      <c r="CV144" s="65">
        <v>197.54732135491651</v>
      </c>
      <c r="CW144" s="35">
        <v>-266.4284614427666</v>
      </c>
      <c r="CX144" s="73">
        <v>25.905174097722558</v>
      </c>
      <c r="CY144" s="40">
        <v>292.33363554048918</v>
      </c>
      <c r="CZ144" s="52">
        <v>266.4284614427666</v>
      </c>
      <c r="DA144" s="150">
        <v>-2698.4924057574717</v>
      </c>
      <c r="DB144" s="2">
        <v>3</v>
      </c>
      <c r="DC144" s="648">
        <v>291.77</v>
      </c>
      <c r="DD144" s="648"/>
      <c r="DE144" s="649">
        <v>-198.11095689540571</v>
      </c>
      <c r="DG144" s="321">
        <v>-3977.1505538676424</v>
      </c>
      <c r="DH144" s="5">
        <v>5878.5714827448683</v>
      </c>
      <c r="DI144" s="306">
        <v>1.339127465468849</v>
      </c>
      <c r="DJ144" s="306"/>
      <c r="DK144" s="306"/>
      <c r="DL144" s="28">
        <v>243.58728596878365</v>
      </c>
      <c r="DM144" s="28">
        <v>0</v>
      </c>
      <c r="DN144" s="650">
        <v>243.58</v>
      </c>
      <c r="DO144" s="94">
        <v>7.2859687836341891E-3</v>
      </c>
      <c r="DP144" s="28">
        <v>243.58728596878365</v>
      </c>
      <c r="DQ144" s="318">
        <v>0</v>
      </c>
      <c r="DS144" s="8">
        <v>231.98789139884155</v>
      </c>
      <c r="DT144" s="5">
        <v>11.59939456994208</v>
      </c>
      <c r="DW144" s="5">
        <v>262.45161536919773</v>
      </c>
      <c r="DX144" s="5">
        <v>0</v>
      </c>
    </row>
    <row r="145" spans="1:128" x14ac:dyDescent="0.3">
      <c r="A145" s="325">
        <v>150000557</v>
      </c>
      <c r="B145" s="41" t="s">
        <v>594</v>
      </c>
      <c r="C145" s="42" t="s">
        <v>91</v>
      </c>
      <c r="D145" s="42" t="s">
        <v>91</v>
      </c>
      <c r="E145" s="293">
        <v>110.2</v>
      </c>
      <c r="F145" s="305">
        <v>110.2</v>
      </c>
      <c r="G145" s="51"/>
      <c r="H145" s="651">
        <v>0</v>
      </c>
      <c r="I145" s="73">
        <v>0</v>
      </c>
      <c r="J145" s="40">
        <v>0</v>
      </c>
      <c r="K145" s="52">
        <v>0</v>
      </c>
      <c r="L145" s="73">
        <v>0</v>
      </c>
      <c r="M145" s="40">
        <v>0</v>
      </c>
      <c r="N145" s="52">
        <v>0</v>
      </c>
      <c r="O145" s="73">
        <v>0</v>
      </c>
      <c r="P145" s="40">
        <v>0</v>
      </c>
      <c r="Q145" s="52">
        <v>0</v>
      </c>
      <c r="R145" s="73">
        <v>0</v>
      </c>
      <c r="S145" s="40">
        <v>0</v>
      </c>
      <c r="T145" s="52">
        <v>0</v>
      </c>
      <c r="U145" s="73">
        <v>0</v>
      </c>
      <c r="V145" s="40">
        <v>0</v>
      </c>
      <c r="W145" s="52">
        <v>0</v>
      </c>
      <c r="X145" s="73">
        <v>0</v>
      </c>
      <c r="Y145" s="40">
        <v>0</v>
      </c>
      <c r="Z145" s="52">
        <v>0</v>
      </c>
      <c r="AA145" s="73">
        <v>8.8160000000000007</v>
      </c>
      <c r="AB145" s="40">
        <v>0</v>
      </c>
      <c r="AC145" s="52">
        <v>-8.8160000000000007</v>
      </c>
      <c r="AD145" s="73">
        <v>66.189590137953687</v>
      </c>
      <c r="AE145" s="40">
        <v>99.323826789597604</v>
      </c>
      <c r="AF145" s="35">
        <v>33.134236651643917</v>
      </c>
      <c r="AG145" s="77">
        <v>75.005590137953689</v>
      </c>
      <c r="AH145" s="53">
        <v>99.323826789597604</v>
      </c>
      <c r="AI145" s="52">
        <v>24.318236651643915</v>
      </c>
      <c r="AJ145" s="73">
        <v>0</v>
      </c>
      <c r="AK145" s="40">
        <v>0</v>
      </c>
      <c r="AL145" s="52">
        <v>0</v>
      </c>
      <c r="AM145" s="73">
        <v>0</v>
      </c>
      <c r="AN145" s="40">
        <v>0</v>
      </c>
      <c r="AO145" s="52">
        <v>0</v>
      </c>
      <c r="AP145" s="73">
        <v>18.910374999999998</v>
      </c>
      <c r="AQ145" s="40">
        <v>0</v>
      </c>
      <c r="AR145" s="52">
        <v>-18.910374999999998</v>
      </c>
      <c r="AS145" s="73">
        <v>143.23198441973744</v>
      </c>
      <c r="AT145" s="40">
        <v>0</v>
      </c>
      <c r="AU145" s="54">
        <v>-143.23198441973744</v>
      </c>
      <c r="AV145" s="73">
        <v>0</v>
      </c>
      <c r="AW145" s="40">
        <v>0</v>
      </c>
      <c r="AX145" s="55">
        <v>0</v>
      </c>
      <c r="AY145" s="73">
        <v>0</v>
      </c>
      <c r="AZ145" s="40">
        <v>0</v>
      </c>
      <c r="BA145" s="35">
        <v>0</v>
      </c>
      <c r="BB145" s="73">
        <v>0</v>
      </c>
      <c r="BC145" s="40">
        <v>0</v>
      </c>
      <c r="BD145" s="55">
        <v>0</v>
      </c>
      <c r="BE145" s="73">
        <v>0</v>
      </c>
      <c r="BF145" s="40">
        <v>0</v>
      </c>
      <c r="BG145" s="38">
        <v>0</v>
      </c>
      <c r="BH145" s="73">
        <v>0</v>
      </c>
      <c r="BI145" s="40">
        <v>0</v>
      </c>
      <c r="BJ145" s="55">
        <v>0</v>
      </c>
      <c r="BK145" s="73">
        <v>0</v>
      </c>
      <c r="BL145" s="40">
        <v>0</v>
      </c>
      <c r="BM145" s="38">
        <v>0</v>
      </c>
      <c r="BN145" s="73">
        <v>2.2040000000000002</v>
      </c>
      <c r="BO145" s="40">
        <v>0</v>
      </c>
      <c r="BP145" s="55">
        <v>-2.2040000000000002</v>
      </c>
      <c r="BQ145" s="77">
        <v>2.2040000000000002</v>
      </c>
      <c r="BR145" s="40">
        <v>0</v>
      </c>
      <c r="BS145" s="55">
        <v>-2.2040000000000002</v>
      </c>
      <c r="BT145" s="73">
        <v>0</v>
      </c>
      <c r="BU145" s="40">
        <v>0</v>
      </c>
      <c r="BV145" s="52">
        <v>0</v>
      </c>
      <c r="BW145" s="73">
        <v>0</v>
      </c>
      <c r="BX145" s="40">
        <v>0.40915293054073426</v>
      </c>
      <c r="BY145" s="52">
        <v>0.40915293054073426</v>
      </c>
      <c r="BZ145" s="73">
        <v>0</v>
      </c>
      <c r="CA145" s="40">
        <v>0</v>
      </c>
      <c r="CB145" s="52">
        <v>0</v>
      </c>
      <c r="CC145" s="73">
        <v>0</v>
      </c>
      <c r="CD145" s="40">
        <v>0</v>
      </c>
      <c r="CE145" s="52">
        <v>0</v>
      </c>
      <c r="CF145" s="73">
        <v>0</v>
      </c>
      <c r="CG145" s="40">
        <v>0</v>
      </c>
      <c r="CH145" s="52">
        <v>0</v>
      </c>
      <c r="CI145" s="73">
        <v>0</v>
      </c>
      <c r="CJ145" s="40">
        <v>0</v>
      </c>
      <c r="CK145" s="52">
        <v>0</v>
      </c>
      <c r="CL145" s="73">
        <v>0</v>
      </c>
      <c r="CM145" s="40">
        <v>0</v>
      </c>
      <c r="CN145" s="52">
        <v>0</v>
      </c>
      <c r="CO145" s="39">
        <v>0</v>
      </c>
      <c r="CP145" s="40">
        <v>0</v>
      </c>
      <c r="CQ145" s="52">
        <v>0</v>
      </c>
      <c r="CR145" s="72">
        <v>239.35194955769114</v>
      </c>
      <c r="CS145" s="5">
        <v>99.732979720138331</v>
      </c>
      <c r="CT145" s="52">
        <v>-139.61896983755281</v>
      </c>
      <c r="CU145" s="77">
        <v>287.22233946922938</v>
      </c>
      <c r="CV145" s="65">
        <v>119.67957566416599</v>
      </c>
      <c r="CW145" s="35">
        <v>-167.54276380506337</v>
      </c>
      <c r="CX145" s="73">
        <v>16.036493680425579</v>
      </c>
      <c r="CY145" s="40">
        <v>183.57925748548894</v>
      </c>
      <c r="CZ145" s="52">
        <v>167.54276380506337</v>
      </c>
      <c r="DA145" s="150">
        <v>-1806.1137367552947</v>
      </c>
      <c r="DB145" s="2">
        <v>3</v>
      </c>
      <c r="DC145" s="648">
        <v>150.65</v>
      </c>
      <c r="DD145" s="648"/>
      <c r="DE145" s="649">
        <v>-152.60883314965494</v>
      </c>
      <c r="DG145" s="321">
        <v>-2654.8199733524402</v>
      </c>
      <c r="DH145" s="5">
        <v>3639.1059977958594</v>
      </c>
      <c r="DI145" s="306">
        <v>1.368345991119287</v>
      </c>
      <c r="DJ145" s="306"/>
      <c r="DK145" s="306"/>
      <c r="DL145" s="28">
        <v>150.79172822134544</v>
      </c>
      <c r="DM145" s="28">
        <v>0</v>
      </c>
      <c r="DN145" s="650">
        <v>150.80000000000001</v>
      </c>
      <c r="DO145" s="94">
        <v>-8.2717786545742911E-3</v>
      </c>
      <c r="DP145" s="28">
        <v>150.79172822134544</v>
      </c>
      <c r="DQ145" s="318">
        <v>0</v>
      </c>
      <c r="DS145" s="8">
        <v>143.61116973461469</v>
      </c>
      <c r="DT145" s="5">
        <v>7.1805584867307344</v>
      </c>
      <c r="DW145" s="5">
        <v>174.52318130368494</v>
      </c>
      <c r="DX145" s="5">
        <v>0</v>
      </c>
    </row>
    <row r="146" spans="1:128" x14ac:dyDescent="0.3">
      <c r="A146" s="325">
        <v>150000552</v>
      </c>
      <c r="B146" s="41" t="s">
        <v>595</v>
      </c>
      <c r="C146" s="42" t="s">
        <v>92</v>
      </c>
      <c r="D146" s="42" t="s">
        <v>92</v>
      </c>
      <c r="E146" s="293">
        <v>100.2</v>
      </c>
      <c r="F146" s="305">
        <v>100.2</v>
      </c>
      <c r="G146" s="51"/>
      <c r="H146" s="651">
        <v>0</v>
      </c>
      <c r="I146" s="73">
        <v>0</v>
      </c>
      <c r="J146" s="40">
        <v>0</v>
      </c>
      <c r="K146" s="52">
        <v>0</v>
      </c>
      <c r="L146" s="73">
        <v>0</v>
      </c>
      <c r="M146" s="40">
        <v>0</v>
      </c>
      <c r="N146" s="52">
        <v>0</v>
      </c>
      <c r="O146" s="73">
        <v>0</v>
      </c>
      <c r="P146" s="40">
        <v>0</v>
      </c>
      <c r="Q146" s="52">
        <v>0</v>
      </c>
      <c r="R146" s="73">
        <v>0</v>
      </c>
      <c r="S146" s="40">
        <v>0</v>
      </c>
      <c r="T146" s="52">
        <v>0</v>
      </c>
      <c r="U146" s="73">
        <v>0</v>
      </c>
      <c r="V146" s="40">
        <v>0</v>
      </c>
      <c r="W146" s="52">
        <v>0</v>
      </c>
      <c r="X146" s="73">
        <v>0</v>
      </c>
      <c r="Y146" s="40">
        <v>0</v>
      </c>
      <c r="Z146" s="52">
        <v>0</v>
      </c>
      <c r="AA146" s="73">
        <v>8.016</v>
      </c>
      <c r="AB146" s="40">
        <v>0</v>
      </c>
      <c r="AC146" s="52">
        <v>-8.016</v>
      </c>
      <c r="AD146" s="73">
        <v>60.194119799794287</v>
      </c>
      <c r="AE146" s="40">
        <v>90.310775356784745</v>
      </c>
      <c r="AF146" s="35">
        <v>30.116655556990459</v>
      </c>
      <c r="AG146" s="77">
        <v>68.210119799794285</v>
      </c>
      <c r="AH146" s="53">
        <v>90.310775356784745</v>
      </c>
      <c r="AI146" s="52">
        <v>22.100655556990461</v>
      </c>
      <c r="AJ146" s="73">
        <v>0</v>
      </c>
      <c r="AK146" s="40">
        <v>0</v>
      </c>
      <c r="AL146" s="52">
        <v>0</v>
      </c>
      <c r="AM146" s="73">
        <v>0</v>
      </c>
      <c r="AN146" s="40">
        <v>0</v>
      </c>
      <c r="AO146" s="52">
        <v>0</v>
      </c>
      <c r="AP146" s="73">
        <v>25.213833333333334</v>
      </c>
      <c r="AQ146" s="40">
        <v>0</v>
      </c>
      <c r="AR146" s="52">
        <v>-25.213833333333334</v>
      </c>
      <c r="AS146" s="73">
        <v>133.71729655541782</v>
      </c>
      <c r="AT146" s="40">
        <v>0</v>
      </c>
      <c r="AU146" s="54">
        <v>-133.71729655541782</v>
      </c>
      <c r="AV146" s="73">
        <v>0</v>
      </c>
      <c r="AW146" s="40">
        <v>0</v>
      </c>
      <c r="AX146" s="55">
        <v>0</v>
      </c>
      <c r="AY146" s="73">
        <v>0</v>
      </c>
      <c r="AZ146" s="40">
        <v>0</v>
      </c>
      <c r="BA146" s="35">
        <v>0</v>
      </c>
      <c r="BB146" s="73">
        <v>0</v>
      </c>
      <c r="BC146" s="40">
        <v>0</v>
      </c>
      <c r="BD146" s="55">
        <v>0</v>
      </c>
      <c r="BE146" s="73">
        <v>0</v>
      </c>
      <c r="BF146" s="40">
        <v>0</v>
      </c>
      <c r="BG146" s="38">
        <v>0</v>
      </c>
      <c r="BH146" s="73">
        <v>0</v>
      </c>
      <c r="BI146" s="40">
        <v>0</v>
      </c>
      <c r="BJ146" s="55">
        <v>0</v>
      </c>
      <c r="BK146" s="73">
        <v>0</v>
      </c>
      <c r="BL146" s="40">
        <v>0</v>
      </c>
      <c r="BM146" s="38">
        <v>0</v>
      </c>
      <c r="BN146" s="73">
        <v>2.004</v>
      </c>
      <c r="BO146" s="40">
        <v>0</v>
      </c>
      <c r="BP146" s="55">
        <v>-2.004</v>
      </c>
      <c r="BQ146" s="77">
        <v>2.004</v>
      </c>
      <c r="BR146" s="40">
        <v>0</v>
      </c>
      <c r="BS146" s="55">
        <v>-2.004</v>
      </c>
      <c r="BT146" s="73">
        <v>0</v>
      </c>
      <c r="BU146" s="40">
        <v>0</v>
      </c>
      <c r="BV146" s="52">
        <v>0</v>
      </c>
      <c r="BW146" s="73">
        <v>0</v>
      </c>
      <c r="BX146" s="40">
        <v>0.37202471542814491</v>
      </c>
      <c r="BY146" s="52">
        <v>0.37202471542814491</v>
      </c>
      <c r="BZ146" s="73">
        <v>0</v>
      </c>
      <c r="CA146" s="40">
        <v>0</v>
      </c>
      <c r="CB146" s="52">
        <v>0</v>
      </c>
      <c r="CC146" s="73">
        <v>0</v>
      </c>
      <c r="CD146" s="40">
        <v>0</v>
      </c>
      <c r="CE146" s="52">
        <v>0</v>
      </c>
      <c r="CF146" s="73">
        <v>0</v>
      </c>
      <c r="CG146" s="40">
        <v>0</v>
      </c>
      <c r="CH146" s="52">
        <v>0</v>
      </c>
      <c r="CI146" s="73">
        <v>0</v>
      </c>
      <c r="CJ146" s="40">
        <v>0</v>
      </c>
      <c r="CK146" s="52">
        <v>0</v>
      </c>
      <c r="CL146" s="73">
        <v>0</v>
      </c>
      <c r="CM146" s="40">
        <v>0</v>
      </c>
      <c r="CN146" s="52">
        <v>0</v>
      </c>
      <c r="CO146" s="39">
        <v>0</v>
      </c>
      <c r="CP146" s="40">
        <v>0</v>
      </c>
      <c r="CQ146" s="52">
        <v>0</v>
      </c>
      <c r="CR146" s="72">
        <v>229.14524968854542</v>
      </c>
      <c r="CS146" s="5">
        <v>90.682800072212885</v>
      </c>
      <c r="CT146" s="52">
        <v>-138.46244961633255</v>
      </c>
      <c r="CU146" s="77">
        <v>274.97429962625449</v>
      </c>
      <c r="CV146" s="65">
        <v>108.81936008665546</v>
      </c>
      <c r="CW146" s="35">
        <v>-166.15493953959901</v>
      </c>
      <c r="CX146" s="73">
        <v>15.352648496577997</v>
      </c>
      <c r="CY146" s="40">
        <v>181.50758803617703</v>
      </c>
      <c r="CZ146" s="52">
        <v>166.15493953959904</v>
      </c>
      <c r="DA146" s="150">
        <v>-1707.8379427719678</v>
      </c>
      <c r="DB146" s="2">
        <v>3</v>
      </c>
      <c r="DC146" s="648">
        <v>295.20999999999998</v>
      </c>
      <c r="DD146" s="648"/>
      <c r="DE146" s="649">
        <v>4.8830518771674747</v>
      </c>
      <c r="DG146" s="321">
        <v>-2561.8430342082775</v>
      </c>
      <c r="DH146" s="5">
        <v>3483.9233774739901</v>
      </c>
      <c r="DI146" s="306">
        <v>1.4407336058261837</v>
      </c>
      <c r="DJ146" s="306"/>
      <c r="DK146" s="306"/>
      <c r="DL146" s="28">
        <v>144.36150730378361</v>
      </c>
      <c r="DM146" s="28">
        <v>0</v>
      </c>
      <c r="DN146" s="650">
        <v>144.36000000000001</v>
      </c>
      <c r="DO146" s="94">
        <v>1.5073037835975356E-3</v>
      </c>
      <c r="DP146" s="28">
        <v>144.36150730378361</v>
      </c>
      <c r="DQ146" s="318">
        <v>0</v>
      </c>
      <c r="DS146" s="8">
        <v>137.48714981312725</v>
      </c>
      <c r="DT146" s="5">
        <v>6.8743574906563625</v>
      </c>
      <c r="DW146" s="5">
        <v>162.86555586650135</v>
      </c>
      <c r="DX146" s="5">
        <v>0</v>
      </c>
    </row>
    <row r="147" spans="1:128" x14ac:dyDescent="0.3">
      <c r="A147" s="325">
        <v>150000553</v>
      </c>
      <c r="B147" s="41" t="s">
        <v>596</v>
      </c>
      <c r="C147" s="42" t="s">
        <v>260</v>
      </c>
      <c r="D147" s="42" t="s">
        <v>260</v>
      </c>
      <c r="E147" s="293">
        <v>3167.2999999999997</v>
      </c>
      <c r="F147" s="305">
        <v>3077.2</v>
      </c>
      <c r="G147" s="51"/>
      <c r="H147" s="651">
        <v>90.1</v>
      </c>
      <c r="I147" s="73">
        <v>1632.5231911119697</v>
      </c>
      <c r="J147" s="40">
        <v>1834.9757697130588</v>
      </c>
      <c r="K147" s="52">
        <v>202.45257860108904</v>
      </c>
      <c r="L147" s="73">
        <v>354.40227481853299</v>
      </c>
      <c r="M147" s="40">
        <v>399.27678814586125</v>
      </c>
      <c r="N147" s="52">
        <v>44.874513327328259</v>
      </c>
      <c r="O147" s="73">
        <v>598.30450622228</v>
      </c>
      <c r="P147" s="40">
        <v>598.1</v>
      </c>
      <c r="Q147" s="52">
        <v>-0.20450622227997428</v>
      </c>
      <c r="R147" s="73">
        <v>0</v>
      </c>
      <c r="S147" s="40">
        <v>0</v>
      </c>
      <c r="T147" s="52">
        <v>0</v>
      </c>
      <c r="U147" s="73">
        <v>0</v>
      </c>
      <c r="V147" s="40">
        <v>0</v>
      </c>
      <c r="W147" s="52">
        <v>0</v>
      </c>
      <c r="X147" s="73">
        <v>852.86128965506703</v>
      </c>
      <c r="Y147" s="40">
        <v>898.02708252010518</v>
      </c>
      <c r="Z147" s="52">
        <v>45.165792865038156</v>
      </c>
      <c r="AA147" s="73">
        <v>278.18399999999997</v>
      </c>
      <c r="AB147" s="40">
        <v>0</v>
      </c>
      <c r="AC147" s="52">
        <v>-278.18399999999997</v>
      </c>
      <c r="AD147" s="73">
        <v>2489.2502548870038</v>
      </c>
      <c r="AE147" s="40">
        <v>2854.7037803148137</v>
      </c>
      <c r="AF147" s="35">
        <v>365.45352542780984</v>
      </c>
      <c r="AG147" s="77">
        <v>6205.5255166948536</v>
      </c>
      <c r="AH147" s="53">
        <v>6585.0834206938389</v>
      </c>
      <c r="AI147" s="52">
        <v>379.55790399898524</v>
      </c>
      <c r="AJ147" s="73">
        <v>0</v>
      </c>
      <c r="AK147" s="40">
        <v>0</v>
      </c>
      <c r="AL147" s="52">
        <v>0</v>
      </c>
      <c r="AM147" s="73">
        <v>0</v>
      </c>
      <c r="AN147" s="40">
        <v>0</v>
      </c>
      <c r="AO147" s="52">
        <v>0</v>
      </c>
      <c r="AP147" s="73">
        <v>1285.9054999999998</v>
      </c>
      <c r="AQ147" s="40">
        <v>0</v>
      </c>
      <c r="AR147" s="52">
        <v>-1285.9054999999998</v>
      </c>
      <c r="AS147" s="73">
        <v>3794.6450266931815</v>
      </c>
      <c r="AT147" s="40">
        <v>0</v>
      </c>
      <c r="AU147" s="54">
        <v>-3794.6450266931815</v>
      </c>
      <c r="AV147" s="73">
        <v>733.69881403800252</v>
      </c>
      <c r="AW147" s="40">
        <v>0</v>
      </c>
      <c r="AX147" s="55">
        <v>-733.69881403800252</v>
      </c>
      <c r="AY147" s="73">
        <v>980.87552113132313</v>
      </c>
      <c r="AZ147" s="40">
        <v>0</v>
      </c>
      <c r="BA147" s="35">
        <v>-980.87552113132313</v>
      </c>
      <c r="BB147" s="73">
        <v>190.54112355292</v>
      </c>
      <c r="BC147" s="40">
        <v>0</v>
      </c>
      <c r="BD147" s="55">
        <v>-190.54112355292</v>
      </c>
      <c r="BE147" s="73">
        <v>0</v>
      </c>
      <c r="BF147" s="40">
        <v>0</v>
      </c>
      <c r="BG147" s="38">
        <v>0</v>
      </c>
      <c r="BH147" s="73">
        <v>0</v>
      </c>
      <c r="BI147" s="40">
        <v>0</v>
      </c>
      <c r="BJ147" s="55">
        <v>0</v>
      </c>
      <c r="BK147" s="73">
        <v>623.98140813196119</v>
      </c>
      <c r="BL147" s="40">
        <v>0</v>
      </c>
      <c r="BM147" s="38">
        <v>-623.98140813196119</v>
      </c>
      <c r="BN147" s="73">
        <v>69.545999999999992</v>
      </c>
      <c r="BO147" s="40">
        <v>0</v>
      </c>
      <c r="BP147" s="55">
        <v>-69.545999999999992</v>
      </c>
      <c r="BQ147" s="77">
        <v>2598.6428668542067</v>
      </c>
      <c r="BR147" s="40">
        <v>0</v>
      </c>
      <c r="BS147" s="55">
        <v>-2598.6428668542067</v>
      </c>
      <c r="BT147" s="73">
        <v>2373.2463119644599</v>
      </c>
      <c r="BU147" s="40">
        <v>713.9604678282725</v>
      </c>
      <c r="BV147" s="52">
        <v>-1659.2858441361873</v>
      </c>
      <c r="BW147" s="73">
        <v>1822.442730047648</v>
      </c>
      <c r="BX147" s="40">
        <v>1952.138905863595</v>
      </c>
      <c r="BY147" s="52">
        <v>129.69617581594707</v>
      </c>
      <c r="BZ147" s="73">
        <v>1246.4912999651119</v>
      </c>
      <c r="CA147" s="40">
        <v>4511.7515084932375</v>
      </c>
      <c r="CB147" s="52">
        <v>3265.2602085281255</v>
      </c>
      <c r="CC147" s="73">
        <v>222.1269378625</v>
      </c>
      <c r="CD147" s="40">
        <v>280.27209413837431</v>
      </c>
      <c r="CE147" s="52">
        <v>58.145156275874314</v>
      </c>
      <c r="CF147" s="73">
        <v>26.39131935</v>
      </c>
      <c r="CG147" s="40">
        <v>0</v>
      </c>
      <c r="CH147" s="52">
        <v>-26.39131935</v>
      </c>
      <c r="CI147" s="73">
        <v>868.98</v>
      </c>
      <c r="CJ147" s="40">
        <v>637.98987038737357</v>
      </c>
      <c r="CK147" s="52">
        <v>-230.99012961262645</v>
      </c>
      <c r="CL147" s="73">
        <v>0</v>
      </c>
      <c r="CM147" s="40">
        <v>0</v>
      </c>
      <c r="CN147" s="52">
        <v>0</v>
      </c>
      <c r="CO147" s="39">
        <v>868.98</v>
      </c>
      <c r="CP147" s="40">
        <v>637.98987038737357</v>
      </c>
      <c r="CQ147" s="52">
        <v>-230.99012961262645</v>
      </c>
      <c r="CR147" s="72">
        <v>20444.397509431965</v>
      </c>
      <c r="CS147" s="5">
        <v>14681.196267404692</v>
      </c>
      <c r="CT147" s="52">
        <v>-5763.2012420272731</v>
      </c>
      <c r="CU147" s="77">
        <v>24533.277011318358</v>
      </c>
      <c r="CV147" s="65">
        <v>17617.435520885629</v>
      </c>
      <c r="CW147" s="35">
        <v>-6915.8414904327292</v>
      </c>
      <c r="CX147" s="73">
        <v>1369.7672071022371</v>
      </c>
      <c r="CY147" s="40">
        <v>8285.6086975349681</v>
      </c>
      <c r="CZ147" s="52">
        <v>6915.841490432731</v>
      </c>
      <c r="DA147" s="150">
        <v>30407.120025369946</v>
      </c>
      <c r="DB147" s="2">
        <v>3</v>
      </c>
      <c r="DC147" s="648">
        <v>15071.25</v>
      </c>
      <c r="DD147" s="648">
        <v>607.96</v>
      </c>
      <c r="DE147" s="649">
        <v>-10223.834218420598</v>
      </c>
      <c r="DG147" s="321">
        <v>47915.998302098043</v>
      </c>
      <c r="DH147" s="5">
        <v>310836.53062104713</v>
      </c>
      <c r="DI147" s="306">
        <v>3.7469451498787714</v>
      </c>
      <c r="DJ147" s="306"/>
      <c r="DK147" s="306">
        <v>3.3738335809427196</v>
      </c>
      <c r="DL147" s="28">
        <v>11530.099615206955</v>
      </c>
      <c r="DM147" s="28">
        <v>303.982405642939</v>
      </c>
      <c r="DN147" s="650">
        <v>11530.27</v>
      </c>
      <c r="DO147" s="94">
        <v>-0.17038479304574139</v>
      </c>
      <c r="DP147" s="28">
        <v>11834.082020849894</v>
      </c>
      <c r="DQ147" s="318">
        <v>-1045.8884100922442</v>
      </c>
      <c r="DS147" s="8">
        <v>12266.638505659179</v>
      </c>
      <c r="DT147" s="5">
        <v>613.33192528295888</v>
      </c>
      <c r="DW147" s="5">
        <v>7671.9454722568653</v>
      </c>
      <c r="DX147" s="5">
        <v>0</v>
      </c>
    </row>
    <row r="148" spans="1:128" x14ac:dyDescent="0.3">
      <c r="A148" s="325">
        <v>150000493</v>
      </c>
      <c r="B148" s="41" t="s">
        <v>597</v>
      </c>
      <c r="C148" s="42" t="s">
        <v>418</v>
      </c>
      <c r="D148" s="42" t="s">
        <v>418</v>
      </c>
      <c r="E148" s="293">
        <v>7111.44</v>
      </c>
      <c r="F148" s="652">
        <v>7111.44</v>
      </c>
      <c r="G148" s="51">
        <v>625.83999999999924</v>
      </c>
      <c r="H148" s="651">
        <v>0</v>
      </c>
      <c r="I148" s="73">
        <v>3719.1714404229492</v>
      </c>
      <c r="J148" s="40">
        <v>4134.2201205910033</v>
      </c>
      <c r="K148" s="52">
        <v>415.04868016805403</v>
      </c>
      <c r="L148" s="73">
        <v>606.54960330802328</v>
      </c>
      <c r="M148" s="40">
        <v>712.59524256476402</v>
      </c>
      <c r="N148" s="52">
        <v>106.04563925674074</v>
      </c>
      <c r="O148" s="73">
        <v>1432.7498632178767</v>
      </c>
      <c r="P148" s="40">
        <v>1432.95</v>
      </c>
      <c r="Q148" s="52">
        <v>0.20013678212330888</v>
      </c>
      <c r="R148" s="73">
        <v>293.56943655947998</v>
      </c>
      <c r="S148" s="40">
        <v>293.93333333333339</v>
      </c>
      <c r="T148" s="52">
        <v>0.36389677385341201</v>
      </c>
      <c r="U148" s="73">
        <v>138.67717289490514</v>
      </c>
      <c r="V148" s="40">
        <v>259.9288479613752</v>
      </c>
      <c r="W148" s="52">
        <v>121.25167506647006</v>
      </c>
      <c r="X148" s="73">
        <v>1194.8799689624539</v>
      </c>
      <c r="Y148" s="40">
        <v>1632.6502269796458</v>
      </c>
      <c r="Z148" s="52">
        <v>437.77025801719196</v>
      </c>
      <c r="AA148" s="73">
        <v>568.91520000000003</v>
      </c>
      <c r="AB148" s="40">
        <v>0</v>
      </c>
      <c r="AC148" s="52">
        <v>-568.91520000000003</v>
      </c>
      <c r="AD148" s="73">
        <v>5123.2251581827531</v>
      </c>
      <c r="AE148" s="40">
        <v>6409.5774481362605</v>
      </c>
      <c r="AF148" s="35">
        <v>1286.3522899535074</v>
      </c>
      <c r="AG148" s="77">
        <v>13077.737843548442</v>
      </c>
      <c r="AH148" s="53">
        <v>14875.855219566381</v>
      </c>
      <c r="AI148" s="52">
        <v>1798.117376017939</v>
      </c>
      <c r="AJ148" s="73">
        <v>8514.2199999999993</v>
      </c>
      <c r="AK148" s="40">
        <v>8385.7876728963456</v>
      </c>
      <c r="AL148" s="52">
        <v>-128.43232710365373</v>
      </c>
      <c r="AM148" s="73">
        <v>0</v>
      </c>
      <c r="AN148" s="40">
        <v>0</v>
      </c>
      <c r="AO148" s="52">
        <v>0</v>
      </c>
      <c r="AP148" s="73">
        <v>756.41499999999996</v>
      </c>
      <c r="AQ148" s="40">
        <v>0</v>
      </c>
      <c r="AR148" s="52">
        <v>-756.41499999999996</v>
      </c>
      <c r="AS148" s="73">
        <v>8596.3595378970003</v>
      </c>
      <c r="AT148" s="40">
        <v>3685</v>
      </c>
      <c r="AU148" s="54">
        <v>-4911.3595378970003</v>
      </c>
      <c r="AV148" s="73">
        <v>1556.9104078867983</v>
      </c>
      <c r="AW148" s="40">
        <v>221</v>
      </c>
      <c r="AX148" s="55">
        <v>-1335.9104078867983</v>
      </c>
      <c r="AY148" s="73">
        <v>1606.5629842022147</v>
      </c>
      <c r="AZ148" s="40">
        <v>0</v>
      </c>
      <c r="BA148" s="35">
        <v>-1606.5629842022147</v>
      </c>
      <c r="BB148" s="73">
        <v>476.57764642172998</v>
      </c>
      <c r="BC148" s="40">
        <v>0</v>
      </c>
      <c r="BD148" s="55">
        <v>-476.57764642172998</v>
      </c>
      <c r="BE148" s="73">
        <v>1465.3570707267959</v>
      </c>
      <c r="BF148" s="40">
        <v>0</v>
      </c>
      <c r="BG148" s="38">
        <v>-1465.3570707267959</v>
      </c>
      <c r="BH148" s="73">
        <v>669.65508160516561</v>
      </c>
      <c r="BI148" s="40">
        <v>0</v>
      </c>
      <c r="BJ148" s="55">
        <v>-669.65508160516561</v>
      </c>
      <c r="BK148" s="73">
        <v>885.64140785217887</v>
      </c>
      <c r="BL148" s="40">
        <v>0</v>
      </c>
      <c r="BM148" s="38">
        <v>-885.64140785217887</v>
      </c>
      <c r="BN148" s="73">
        <v>56.056158478803745</v>
      </c>
      <c r="BO148" s="40">
        <v>0</v>
      </c>
      <c r="BP148" s="55">
        <v>-56.056158478803745</v>
      </c>
      <c r="BQ148" s="77">
        <v>6716.7607571736871</v>
      </c>
      <c r="BR148" s="40">
        <v>221</v>
      </c>
      <c r="BS148" s="55">
        <v>-6495.7607571736871</v>
      </c>
      <c r="BT148" s="73">
        <v>9292.58698376744</v>
      </c>
      <c r="BU148" s="40">
        <v>3179.3005050301967</v>
      </c>
      <c r="BV148" s="52">
        <v>-6113.2864787372437</v>
      </c>
      <c r="BW148" s="73">
        <v>8283.2779766119002</v>
      </c>
      <c r="BX148" s="40">
        <v>11149.828332658337</v>
      </c>
      <c r="BY148" s="52">
        <v>2866.5503560464367</v>
      </c>
      <c r="BZ148" s="73">
        <v>2370.73071916652</v>
      </c>
      <c r="CA148" s="40">
        <v>15331.647208214777</v>
      </c>
      <c r="CB148" s="52">
        <v>12960.916489048257</v>
      </c>
      <c r="CC148" s="73">
        <v>238.24545183999999</v>
      </c>
      <c r="CD148" s="40">
        <v>291.69504965183864</v>
      </c>
      <c r="CE148" s="52">
        <v>53.449597811838657</v>
      </c>
      <c r="CF148" s="73">
        <v>27.466941479999999</v>
      </c>
      <c r="CG148" s="40">
        <v>0</v>
      </c>
      <c r="CH148" s="52">
        <v>-27.466941479999999</v>
      </c>
      <c r="CI148" s="73">
        <v>4488.22</v>
      </c>
      <c r="CJ148" s="40">
        <v>2898.7455211238694</v>
      </c>
      <c r="CK148" s="52">
        <v>-1589.4744788761309</v>
      </c>
      <c r="CL148" s="73">
        <v>3046.1277</v>
      </c>
      <c r="CM148" s="40">
        <v>2649.9399719850685</v>
      </c>
      <c r="CN148" s="52">
        <v>-396.18772801493151</v>
      </c>
      <c r="CO148" s="39">
        <v>7534.3477000000003</v>
      </c>
      <c r="CP148" s="40">
        <v>5548.6854931089383</v>
      </c>
      <c r="CQ148" s="52">
        <v>-1985.6622068910619</v>
      </c>
      <c r="CR148" s="72">
        <v>65408.148911484983</v>
      </c>
      <c r="CS148" s="5">
        <v>62668.799481126822</v>
      </c>
      <c r="CT148" s="52">
        <v>-2739.349430358161</v>
      </c>
      <c r="CU148" s="77">
        <v>78489.778693781976</v>
      </c>
      <c r="CV148" s="65">
        <v>75202.559377352183</v>
      </c>
      <c r="CW148" s="35">
        <v>-3287.2193164297933</v>
      </c>
      <c r="CX148" s="73">
        <v>4382.3222188317413</v>
      </c>
      <c r="CY148" s="40">
        <v>7669.5415352615382</v>
      </c>
      <c r="CZ148" s="52">
        <v>3287.2193164297969</v>
      </c>
      <c r="DA148" s="150">
        <v>-4204.4657868247195</v>
      </c>
      <c r="DB148" s="2">
        <v>1</v>
      </c>
      <c r="DC148" s="648">
        <v>102860.89</v>
      </c>
      <c r="DD148" s="648"/>
      <c r="DE148" s="649">
        <v>19988.789087386278</v>
      </c>
      <c r="DG148" s="321">
        <v>-120165.79187529894</v>
      </c>
      <c r="DH148" s="5">
        <v>994465.2109513646</v>
      </c>
      <c r="DI148" s="306">
        <v>4.7703580095220568</v>
      </c>
      <c r="DJ148" s="306">
        <v>5.8933090105396957</v>
      </c>
      <c r="DK148" s="306"/>
      <c r="DL148" s="28">
        <v>41207.125775435532</v>
      </c>
      <c r="DM148" s="28">
        <v>0</v>
      </c>
      <c r="DN148" s="650">
        <v>41207.1</v>
      </c>
      <c r="DO148" s="94">
        <v>2.5775435533432756E-2</v>
      </c>
      <c r="DP148" s="28">
        <v>41207.125775435532</v>
      </c>
      <c r="DQ148" s="318">
        <v>-8.0388000060338527E-3</v>
      </c>
      <c r="DS148" s="8">
        <v>39244.889346890988</v>
      </c>
      <c r="DT148" s="5">
        <v>1962.2444673445495</v>
      </c>
      <c r="DW148" s="5">
        <v>18375.744354084822</v>
      </c>
      <c r="DX148" s="5">
        <v>4687.2</v>
      </c>
    </row>
    <row r="149" spans="1:128" x14ac:dyDescent="0.3">
      <c r="A149" s="325">
        <v>150000494</v>
      </c>
      <c r="B149" s="41" t="s">
        <v>598</v>
      </c>
      <c r="C149" s="42" t="s">
        <v>419</v>
      </c>
      <c r="D149" s="42" t="s">
        <v>419</v>
      </c>
      <c r="E149" s="293">
        <v>9469.1</v>
      </c>
      <c r="F149" s="652">
        <v>9469.1</v>
      </c>
      <c r="G149" s="51">
        <v>988.89999999999964</v>
      </c>
      <c r="H149" s="651">
        <v>0</v>
      </c>
      <c r="I149" s="73">
        <v>4200.4234132574193</v>
      </c>
      <c r="J149" s="40">
        <v>4672.4959731867075</v>
      </c>
      <c r="K149" s="52">
        <v>472.07255992928822</v>
      </c>
      <c r="L149" s="73">
        <v>670.18100601522497</v>
      </c>
      <c r="M149" s="40">
        <v>793.9749358713309</v>
      </c>
      <c r="N149" s="52">
        <v>123.79392985610593</v>
      </c>
      <c r="O149" s="73">
        <v>1963.5293481306001</v>
      </c>
      <c r="P149" s="40">
        <v>1963.9666666666669</v>
      </c>
      <c r="Q149" s="52">
        <v>0.43731853606686855</v>
      </c>
      <c r="R149" s="73">
        <v>400.91145231445665</v>
      </c>
      <c r="S149" s="40">
        <v>400.68333333333334</v>
      </c>
      <c r="T149" s="52">
        <v>-0.22811898112331619</v>
      </c>
      <c r="U149" s="73">
        <v>138.67717289490514</v>
      </c>
      <c r="V149" s="40">
        <v>259.9288479613752</v>
      </c>
      <c r="W149" s="52">
        <v>121.25167506647006</v>
      </c>
      <c r="X149" s="73">
        <v>1249.1027485079801</v>
      </c>
      <c r="Y149" s="40">
        <v>1280.8031259235247</v>
      </c>
      <c r="Z149" s="52">
        <v>31.700377415544608</v>
      </c>
      <c r="AA149" s="73">
        <v>757.19200000000001</v>
      </c>
      <c r="AB149" s="40">
        <v>0</v>
      </c>
      <c r="AC149" s="52">
        <v>-757.19200000000001</v>
      </c>
      <c r="AD149" s="73">
        <v>6818.7096353788183</v>
      </c>
      <c r="AE149" s="40">
        <v>8534.5485322448167</v>
      </c>
      <c r="AF149" s="35">
        <v>1715.8388968659983</v>
      </c>
      <c r="AG149" s="77">
        <v>16198.726776499403</v>
      </c>
      <c r="AH149" s="53">
        <v>17906.401415187756</v>
      </c>
      <c r="AI149" s="52">
        <v>1707.6746386883533</v>
      </c>
      <c r="AJ149" s="73">
        <v>6305.32</v>
      </c>
      <c r="AK149" s="40">
        <v>6210.2005066285092</v>
      </c>
      <c r="AL149" s="52">
        <v>-95.119493371490535</v>
      </c>
      <c r="AM149" s="73">
        <v>210.14988500000001</v>
      </c>
      <c r="AN149" s="40">
        <v>0</v>
      </c>
      <c r="AO149" s="52">
        <v>-210.14988500000001</v>
      </c>
      <c r="AP149" s="73">
        <v>787.93229166666663</v>
      </c>
      <c r="AQ149" s="40">
        <v>0</v>
      </c>
      <c r="AR149" s="52">
        <v>-787.93229166666663</v>
      </c>
      <c r="AS149" s="73">
        <v>10821.760388049383</v>
      </c>
      <c r="AT149" s="40">
        <v>627</v>
      </c>
      <c r="AU149" s="54">
        <v>-10194.760388049383</v>
      </c>
      <c r="AV149" s="73">
        <v>1752.1867710341633</v>
      </c>
      <c r="AW149" s="40">
        <v>366</v>
      </c>
      <c r="AX149" s="55">
        <v>-1386.1867710341633</v>
      </c>
      <c r="AY149" s="73">
        <v>1873.8901086446031</v>
      </c>
      <c r="AZ149" s="40">
        <v>0</v>
      </c>
      <c r="BA149" s="35">
        <v>-1873.8901086446031</v>
      </c>
      <c r="BB149" s="73">
        <v>796.22529880430193</v>
      </c>
      <c r="BC149" s="40">
        <v>0</v>
      </c>
      <c r="BD149" s="55">
        <v>-796.22529880430193</v>
      </c>
      <c r="BE149" s="73">
        <v>1907.1516053841801</v>
      </c>
      <c r="BF149" s="40">
        <v>0</v>
      </c>
      <c r="BG149" s="38">
        <v>-1907.1516053841801</v>
      </c>
      <c r="BH149" s="73">
        <v>669.65508160516561</v>
      </c>
      <c r="BI149" s="40">
        <v>0</v>
      </c>
      <c r="BJ149" s="55">
        <v>-669.65508160516561</v>
      </c>
      <c r="BK149" s="73">
        <v>923.82129296668143</v>
      </c>
      <c r="BL149" s="40">
        <v>1193</v>
      </c>
      <c r="BM149" s="38">
        <v>269.17870703331857</v>
      </c>
      <c r="BN149" s="73">
        <v>57.4893492522326</v>
      </c>
      <c r="BO149" s="40">
        <v>0</v>
      </c>
      <c r="BP149" s="55">
        <v>-57.4893492522326</v>
      </c>
      <c r="BQ149" s="77">
        <v>7980.4195076913275</v>
      </c>
      <c r="BR149" s="40">
        <v>1559</v>
      </c>
      <c r="BS149" s="55">
        <v>-6421.4195076913275</v>
      </c>
      <c r="BT149" s="73">
        <v>9740.5390364096802</v>
      </c>
      <c r="BU149" s="40">
        <v>2189.0306801122015</v>
      </c>
      <c r="BV149" s="52">
        <v>-7551.5083562974787</v>
      </c>
      <c r="BW149" s="73">
        <v>8866.2731547651802</v>
      </c>
      <c r="BX149" s="40">
        <v>12690.951081216772</v>
      </c>
      <c r="BY149" s="52">
        <v>3824.6779264515917</v>
      </c>
      <c r="BZ149" s="73">
        <v>1679.827118638512</v>
      </c>
      <c r="CA149" s="40">
        <v>12985.630277955237</v>
      </c>
      <c r="CB149" s="52">
        <v>11305.803159316725</v>
      </c>
      <c r="CC149" s="73">
        <v>171.89410738500001</v>
      </c>
      <c r="CD149" s="40">
        <v>210.52940794435409</v>
      </c>
      <c r="CE149" s="52">
        <v>38.635300559354079</v>
      </c>
      <c r="CF149" s="73">
        <v>19.824124319999999</v>
      </c>
      <c r="CG149" s="40">
        <v>0</v>
      </c>
      <c r="CH149" s="52">
        <v>-19.824124319999999</v>
      </c>
      <c r="CI149" s="73">
        <v>5045.74</v>
      </c>
      <c r="CJ149" s="40">
        <v>3128.7527345253111</v>
      </c>
      <c r="CK149" s="52">
        <v>-1916.9872654746887</v>
      </c>
      <c r="CL149" s="73">
        <v>3634.79655</v>
      </c>
      <c r="CM149" s="40">
        <v>3280.6756806584999</v>
      </c>
      <c r="CN149" s="52">
        <v>-354.12086934150011</v>
      </c>
      <c r="CO149" s="39">
        <v>8680.5365500000007</v>
      </c>
      <c r="CP149" s="40">
        <v>6409.428415183811</v>
      </c>
      <c r="CQ149" s="52">
        <v>-2271.1081348161897</v>
      </c>
      <c r="CR149" s="72">
        <v>71463.202940425152</v>
      </c>
      <c r="CS149" s="5">
        <v>60788.171784228645</v>
      </c>
      <c r="CT149" s="52">
        <v>-10675.031156196506</v>
      </c>
      <c r="CU149" s="77">
        <v>85755.843528510173</v>
      </c>
      <c r="CV149" s="65">
        <v>72945.806141074368</v>
      </c>
      <c r="CW149" s="35">
        <v>-12810.037387435805</v>
      </c>
      <c r="CX149" s="73">
        <v>4788.0086393901411</v>
      </c>
      <c r="CY149" s="40">
        <v>17598.046026825949</v>
      </c>
      <c r="CZ149" s="52">
        <v>12810.037387435808</v>
      </c>
      <c r="DA149" s="150">
        <v>10345.961871616841</v>
      </c>
      <c r="DB149" s="2">
        <v>1</v>
      </c>
      <c r="DC149" s="648">
        <v>88786.94</v>
      </c>
      <c r="DD149" s="648"/>
      <c r="DE149" s="649">
        <v>-1756.9121679003147</v>
      </c>
      <c r="DG149" s="321">
        <v>-16613.26344249821</v>
      </c>
      <c r="DH149" s="5">
        <v>1086526.2260148039</v>
      </c>
      <c r="DI149" s="306">
        <v>4.1060962713201246</v>
      </c>
      <c r="DJ149" s="306">
        <v>4.8326209046465758</v>
      </c>
      <c r="DK149" s="306"/>
      <c r="DL149" s="28">
        <v>45042.110398292367</v>
      </c>
      <c r="DM149" s="28">
        <v>0</v>
      </c>
      <c r="DN149" s="650">
        <v>45041.93</v>
      </c>
      <c r="DO149" s="94">
        <v>0.18039829236658989</v>
      </c>
      <c r="DP149" s="28">
        <v>45042.110398292367</v>
      </c>
      <c r="DQ149" s="318">
        <v>20.292545824522676</v>
      </c>
      <c r="DS149" s="8">
        <v>42877.921764255087</v>
      </c>
      <c r="DT149" s="5">
        <v>2143.8960882127544</v>
      </c>
      <c r="DW149" s="5">
        <v>22562.615874888848</v>
      </c>
      <c r="DX149" s="5">
        <v>2623.2</v>
      </c>
    </row>
    <row r="150" spans="1:128" x14ac:dyDescent="0.3">
      <c r="A150" s="325">
        <v>150000688</v>
      </c>
      <c r="B150" s="41" t="s">
        <v>599</v>
      </c>
      <c r="C150" s="42" t="s">
        <v>93</v>
      </c>
      <c r="D150" s="42" t="s">
        <v>93</v>
      </c>
      <c r="E150" s="293">
        <v>241.1</v>
      </c>
      <c r="F150" s="305">
        <v>241.1</v>
      </c>
      <c r="G150" s="51"/>
      <c r="H150" s="651">
        <v>0</v>
      </c>
      <c r="I150" s="73">
        <v>0</v>
      </c>
      <c r="J150" s="40">
        <v>0</v>
      </c>
      <c r="K150" s="52">
        <v>0</v>
      </c>
      <c r="L150" s="73">
        <v>0</v>
      </c>
      <c r="M150" s="40">
        <v>0</v>
      </c>
      <c r="N150" s="52">
        <v>0</v>
      </c>
      <c r="O150" s="73">
        <v>0</v>
      </c>
      <c r="P150" s="40">
        <v>0</v>
      </c>
      <c r="Q150" s="52">
        <v>0</v>
      </c>
      <c r="R150" s="73">
        <v>0</v>
      </c>
      <c r="S150" s="40">
        <v>0</v>
      </c>
      <c r="T150" s="52">
        <v>0</v>
      </c>
      <c r="U150" s="73">
        <v>0</v>
      </c>
      <c r="V150" s="40">
        <v>0</v>
      </c>
      <c r="W150" s="52">
        <v>0</v>
      </c>
      <c r="X150" s="73">
        <v>0</v>
      </c>
      <c r="Y150" s="40">
        <v>0</v>
      </c>
      <c r="Z150" s="52">
        <v>0</v>
      </c>
      <c r="AA150" s="73">
        <v>19.288</v>
      </c>
      <c r="AB150" s="40">
        <v>0</v>
      </c>
      <c r="AC150" s="52">
        <v>-19.288</v>
      </c>
      <c r="AD150" s="73">
        <v>144.82667306027687</v>
      </c>
      <c r="AE150" s="40">
        <v>217.3046700451178</v>
      </c>
      <c r="AF150" s="35">
        <v>72.477996984840928</v>
      </c>
      <c r="AG150" s="77">
        <v>164.11467306027689</v>
      </c>
      <c r="AH150" s="53">
        <v>217.3046700451178</v>
      </c>
      <c r="AI150" s="52">
        <v>53.189996984840917</v>
      </c>
      <c r="AJ150" s="73">
        <v>0</v>
      </c>
      <c r="AK150" s="40">
        <v>0</v>
      </c>
      <c r="AL150" s="52">
        <v>0</v>
      </c>
      <c r="AM150" s="73">
        <v>0</v>
      </c>
      <c r="AN150" s="40">
        <v>0</v>
      </c>
      <c r="AO150" s="52">
        <v>0</v>
      </c>
      <c r="AP150" s="73">
        <v>50.427666666666667</v>
      </c>
      <c r="AQ150" s="40">
        <v>0</v>
      </c>
      <c r="AR150" s="52">
        <v>-50.427666666666667</v>
      </c>
      <c r="AS150" s="73">
        <v>293.56294571380676</v>
      </c>
      <c r="AT150" s="40">
        <v>0</v>
      </c>
      <c r="AU150" s="54">
        <v>-293.56294571380676</v>
      </c>
      <c r="AV150" s="73">
        <v>0</v>
      </c>
      <c r="AW150" s="40">
        <v>0</v>
      </c>
      <c r="AX150" s="55">
        <v>0</v>
      </c>
      <c r="AY150" s="73">
        <v>0</v>
      </c>
      <c r="AZ150" s="40">
        <v>0</v>
      </c>
      <c r="BA150" s="35">
        <v>0</v>
      </c>
      <c r="BB150" s="73">
        <v>0</v>
      </c>
      <c r="BC150" s="40">
        <v>0</v>
      </c>
      <c r="BD150" s="55">
        <v>0</v>
      </c>
      <c r="BE150" s="73">
        <v>0</v>
      </c>
      <c r="BF150" s="40">
        <v>0</v>
      </c>
      <c r="BG150" s="38">
        <v>0</v>
      </c>
      <c r="BH150" s="73">
        <v>0</v>
      </c>
      <c r="BI150" s="40">
        <v>0</v>
      </c>
      <c r="BJ150" s="55">
        <v>0</v>
      </c>
      <c r="BK150" s="73">
        <v>0</v>
      </c>
      <c r="BL150" s="40">
        <v>0</v>
      </c>
      <c r="BM150" s="38">
        <v>0</v>
      </c>
      <c r="BN150" s="73">
        <v>4.8220000000000001</v>
      </c>
      <c r="BO150" s="40">
        <v>0</v>
      </c>
      <c r="BP150" s="55">
        <v>-4.8220000000000001</v>
      </c>
      <c r="BQ150" s="77">
        <v>4.8220000000000001</v>
      </c>
      <c r="BR150" s="40">
        <v>0</v>
      </c>
      <c r="BS150" s="55">
        <v>-4.8220000000000001</v>
      </c>
      <c r="BT150" s="73">
        <v>0</v>
      </c>
      <c r="BU150" s="40">
        <v>0</v>
      </c>
      <c r="BV150" s="52">
        <v>0</v>
      </c>
      <c r="BW150" s="73">
        <v>0</v>
      </c>
      <c r="BX150" s="40">
        <v>0.89516126636452831</v>
      </c>
      <c r="BY150" s="52">
        <v>0.89516126636452831</v>
      </c>
      <c r="BZ150" s="73">
        <v>0</v>
      </c>
      <c r="CA150" s="40">
        <v>0</v>
      </c>
      <c r="CB150" s="52">
        <v>0</v>
      </c>
      <c r="CC150" s="73">
        <v>0</v>
      </c>
      <c r="CD150" s="40">
        <v>0</v>
      </c>
      <c r="CE150" s="52">
        <v>0</v>
      </c>
      <c r="CF150" s="73">
        <v>0</v>
      </c>
      <c r="CG150" s="40">
        <v>0</v>
      </c>
      <c r="CH150" s="52">
        <v>0</v>
      </c>
      <c r="CI150" s="73">
        <v>0</v>
      </c>
      <c r="CJ150" s="40">
        <v>0</v>
      </c>
      <c r="CK150" s="52">
        <v>0</v>
      </c>
      <c r="CL150" s="73">
        <v>0</v>
      </c>
      <c r="CM150" s="40">
        <v>0</v>
      </c>
      <c r="CN150" s="52">
        <v>0</v>
      </c>
      <c r="CO150" s="39">
        <v>0</v>
      </c>
      <c r="CP150" s="40">
        <v>0</v>
      </c>
      <c r="CQ150" s="52">
        <v>0</v>
      </c>
      <c r="CR150" s="72">
        <v>512.92728544075032</v>
      </c>
      <c r="CS150" s="5">
        <v>218.19983131148234</v>
      </c>
      <c r="CT150" s="52">
        <v>-294.72745412926798</v>
      </c>
      <c r="CU150" s="77">
        <v>615.51274252890039</v>
      </c>
      <c r="CV150" s="65">
        <v>261.83979757377881</v>
      </c>
      <c r="CW150" s="35">
        <v>-353.67294495512158</v>
      </c>
      <c r="CX150" s="73">
        <v>34.365941813671455</v>
      </c>
      <c r="CY150" s="40">
        <v>388.03888676879308</v>
      </c>
      <c r="CZ150" s="52">
        <v>353.67294495512164</v>
      </c>
      <c r="DA150" s="150">
        <v>-3683.7842043316859</v>
      </c>
      <c r="DB150" s="2">
        <v>3</v>
      </c>
      <c r="DC150" s="648">
        <v>276.35000000000002</v>
      </c>
      <c r="DD150" s="648"/>
      <c r="DE150" s="649">
        <v>-373.52868434257186</v>
      </c>
      <c r="DG150" s="321">
        <v>-5527.855054942469</v>
      </c>
      <c r="DH150" s="5">
        <v>7798.5442121108626</v>
      </c>
      <c r="DI150" s="306">
        <v>1.3402911233001771</v>
      </c>
      <c r="DJ150" s="306"/>
      <c r="DK150" s="306"/>
      <c r="DL150" s="28">
        <v>323.14418982767268</v>
      </c>
      <c r="DM150" s="28">
        <v>0</v>
      </c>
      <c r="DN150" s="650">
        <v>323.14</v>
      </c>
      <c r="DO150" s="94">
        <v>4.1898276726897166E-3</v>
      </c>
      <c r="DP150" s="28">
        <v>323.14418982767268</v>
      </c>
      <c r="DQ150" s="318">
        <v>0</v>
      </c>
      <c r="DS150" s="8">
        <v>307.75637126445019</v>
      </c>
      <c r="DT150" s="5">
        <v>15.38781856322251</v>
      </c>
      <c r="DW150" s="5">
        <v>358.06193485656809</v>
      </c>
      <c r="DX150" s="5">
        <v>0</v>
      </c>
    </row>
    <row r="151" spans="1:128" x14ac:dyDescent="0.3">
      <c r="A151" s="325">
        <v>150000689</v>
      </c>
      <c r="B151" s="41" t="s">
        <v>600</v>
      </c>
      <c r="C151" s="42" t="s">
        <v>94</v>
      </c>
      <c r="D151" s="42" t="s">
        <v>94</v>
      </c>
      <c r="E151" s="293">
        <v>188.9</v>
      </c>
      <c r="F151" s="305">
        <v>188.9</v>
      </c>
      <c r="G151" s="51"/>
      <c r="H151" s="651">
        <v>0</v>
      </c>
      <c r="I151" s="73">
        <v>0</v>
      </c>
      <c r="J151" s="40">
        <v>0</v>
      </c>
      <c r="K151" s="52">
        <v>0</v>
      </c>
      <c r="L151" s="73">
        <v>0</v>
      </c>
      <c r="M151" s="40">
        <v>0</v>
      </c>
      <c r="N151" s="52">
        <v>0</v>
      </c>
      <c r="O151" s="73">
        <v>0</v>
      </c>
      <c r="P151" s="40">
        <v>0</v>
      </c>
      <c r="Q151" s="52">
        <v>0</v>
      </c>
      <c r="R151" s="73">
        <v>0</v>
      </c>
      <c r="S151" s="40">
        <v>0</v>
      </c>
      <c r="T151" s="52">
        <v>0</v>
      </c>
      <c r="U151" s="73">
        <v>0</v>
      </c>
      <c r="V151" s="40">
        <v>0</v>
      </c>
      <c r="W151" s="52">
        <v>0</v>
      </c>
      <c r="X151" s="73">
        <v>0</v>
      </c>
      <c r="Y151" s="40">
        <v>0</v>
      </c>
      <c r="Z151" s="52">
        <v>0</v>
      </c>
      <c r="AA151" s="73">
        <v>14.856</v>
      </c>
      <c r="AB151" s="40">
        <v>0</v>
      </c>
      <c r="AC151" s="52">
        <v>-14.856</v>
      </c>
      <c r="AD151" s="73">
        <v>111.56345604182474</v>
      </c>
      <c r="AE151" s="40">
        <v>170.25654156583474</v>
      </c>
      <c r="AF151" s="35">
        <v>58.693085524010002</v>
      </c>
      <c r="AG151" s="77">
        <v>126.41945604182473</v>
      </c>
      <c r="AH151" s="53">
        <v>170.25654156583474</v>
      </c>
      <c r="AI151" s="52">
        <v>43.837085524010007</v>
      </c>
      <c r="AJ151" s="73">
        <v>0</v>
      </c>
      <c r="AK151" s="40">
        <v>0</v>
      </c>
      <c r="AL151" s="52">
        <v>0</v>
      </c>
      <c r="AM151" s="73">
        <v>0</v>
      </c>
      <c r="AN151" s="40">
        <v>0</v>
      </c>
      <c r="AO151" s="52">
        <v>0</v>
      </c>
      <c r="AP151" s="73">
        <v>50.427666666666667</v>
      </c>
      <c r="AQ151" s="40">
        <v>0</v>
      </c>
      <c r="AR151" s="52">
        <v>-50.427666666666667</v>
      </c>
      <c r="AS151" s="73">
        <v>171.7827245228753</v>
      </c>
      <c r="AT151" s="40">
        <v>0</v>
      </c>
      <c r="AU151" s="54">
        <v>-171.7827245228753</v>
      </c>
      <c r="AV151" s="73">
        <v>0</v>
      </c>
      <c r="AW151" s="40">
        <v>0</v>
      </c>
      <c r="AX151" s="55">
        <v>0</v>
      </c>
      <c r="AY151" s="73">
        <v>0</v>
      </c>
      <c r="AZ151" s="40">
        <v>0</v>
      </c>
      <c r="BA151" s="35">
        <v>0</v>
      </c>
      <c r="BB151" s="73">
        <v>0</v>
      </c>
      <c r="BC151" s="40">
        <v>0</v>
      </c>
      <c r="BD151" s="55">
        <v>0</v>
      </c>
      <c r="BE151" s="73">
        <v>0</v>
      </c>
      <c r="BF151" s="40">
        <v>0</v>
      </c>
      <c r="BG151" s="38">
        <v>0</v>
      </c>
      <c r="BH151" s="73">
        <v>0</v>
      </c>
      <c r="BI151" s="40">
        <v>0</v>
      </c>
      <c r="BJ151" s="55">
        <v>0</v>
      </c>
      <c r="BK151" s="73">
        <v>0</v>
      </c>
      <c r="BL151" s="40">
        <v>0</v>
      </c>
      <c r="BM151" s="38">
        <v>0</v>
      </c>
      <c r="BN151" s="73">
        <v>3.714</v>
      </c>
      <c r="BO151" s="40">
        <v>0</v>
      </c>
      <c r="BP151" s="55">
        <v>-3.714</v>
      </c>
      <c r="BQ151" s="77">
        <v>3.714</v>
      </c>
      <c r="BR151" s="40">
        <v>0</v>
      </c>
      <c r="BS151" s="55">
        <v>-3.714</v>
      </c>
      <c r="BT151" s="73">
        <v>0</v>
      </c>
      <c r="BU151" s="40">
        <v>0</v>
      </c>
      <c r="BV151" s="52">
        <v>0</v>
      </c>
      <c r="BW151" s="73">
        <v>0</v>
      </c>
      <c r="BX151" s="40">
        <v>0.70135198347681227</v>
      </c>
      <c r="BY151" s="52">
        <v>0.70135198347681227</v>
      </c>
      <c r="BZ151" s="73">
        <v>0</v>
      </c>
      <c r="CA151" s="40">
        <v>0</v>
      </c>
      <c r="CB151" s="52">
        <v>0</v>
      </c>
      <c r="CC151" s="73">
        <v>0</v>
      </c>
      <c r="CD151" s="40">
        <v>0</v>
      </c>
      <c r="CE151" s="52">
        <v>0</v>
      </c>
      <c r="CF151" s="73">
        <v>0</v>
      </c>
      <c r="CG151" s="40">
        <v>0</v>
      </c>
      <c r="CH151" s="52">
        <v>0</v>
      </c>
      <c r="CI151" s="73">
        <v>0</v>
      </c>
      <c r="CJ151" s="40">
        <v>0</v>
      </c>
      <c r="CK151" s="52">
        <v>0</v>
      </c>
      <c r="CL151" s="73">
        <v>0</v>
      </c>
      <c r="CM151" s="40">
        <v>0</v>
      </c>
      <c r="CN151" s="52">
        <v>0</v>
      </c>
      <c r="CO151" s="39">
        <v>0</v>
      </c>
      <c r="CP151" s="40">
        <v>0</v>
      </c>
      <c r="CQ151" s="52">
        <v>0</v>
      </c>
      <c r="CR151" s="72">
        <v>352.34384723136668</v>
      </c>
      <c r="CS151" s="5">
        <v>170.95789354931156</v>
      </c>
      <c r="CT151" s="52">
        <v>-181.38595368205512</v>
      </c>
      <c r="CU151" s="77">
        <v>422.81261667763999</v>
      </c>
      <c r="CV151" s="65">
        <v>205.14947225917388</v>
      </c>
      <c r="CW151" s="35">
        <v>-217.66314441846612</v>
      </c>
      <c r="CX151" s="73">
        <v>23.606909782452959</v>
      </c>
      <c r="CY151" s="40">
        <v>241.27005420091905</v>
      </c>
      <c r="CZ151" s="52">
        <v>217.66314441846609</v>
      </c>
      <c r="DA151" s="150">
        <v>-2056.1108268462444</v>
      </c>
      <c r="DB151" s="2">
        <v>3</v>
      </c>
      <c r="DC151" s="648">
        <v>1077.27</v>
      </c>
      <c r="DD151" s="648"/>
      <c r="DE151" s="649">
        <v>630.85047353990706</v>
      </c>
      <c r="DG151" s="321">
        <v>-2861.5210927587432</v>
      </c>
      <c r="DH151" s="5">
        <v>5357.0343175211146</v>
      </c>
      <c r="DI151" s="306">
        <v>1.1953506933535867</v>
      </c>
      <c r="DJ151" s="306"/>
      <c r="DK151" s="306"/>
      <c r="DL151" s="28">
        <v>225.80174597449252</v>
      </c>
      <c r="DM151" s="28">
        <v>0</v>
      </c>
      <c r="DN151" s="650">
        <v>225.81</v>
      </c>
      <c r="DO151" s="94">
        <v>-8.2540255074832203E-3</v>
      </c>
      <c r="DP151" s="28">
        <v>225.80174597449252</v>
      </c>
      <c r="DQ151" s="318">
        <v>3.8251222187315079</v>
      </c>
      <c r="DS151" s="8">
        <v>211.40630833882</v>
      </c>
      <c r="DT151" s="5">
        <v>10.570315416941002</v>
      </c>
      <c r="DW151" s="5">
        <v>210.59606942745035</v>
      </c>
      <c r="DX151" s="5">
        <v>0</v>
      </c>
    </row>
    <row r="152" spans="1:128" x14ac:dyDescent="0.3">
      <c r="A152" s="325">
        <v>150000693</v>
      </c>
      <c r="B152" s="41" t="s">
        <v>601</v>
      </c>
      <c r="C152" s="42" t="s">
        <v>95</v>
      </c>
      <c r="D152" s="42" t="s">
        <v>95</v>
      </c>
      <c r="E152" s="293">
        <v>165.8</v>
      </c>
      <c r="F152" s="305">
        <v>165.8</v>
      </c>
      <c r="G152" s="51"/>
      <c r="H152" s="651">
        <v>0</v>
      </c>
      <c r="I152" s="73">
        <v>0</v>
      </c>
      <c r="J152" s="40">
        <v>0</v>
      </c>
      <c r="K152" s="52">
        <v>0</v>
      </c>
      <c r="L152" s="73">
        <v>0</v>
      </c>
      <c r="M152" s="40">
        <v>0</v>
      </c>
      <c r="N152" s="52">
        <v>0</v>
      </c>
      <c r="O152" s="73">
        <v>0</v>
      </c>
      <c r="P152" s="40">
        <v>0</v>
      </c>
      <c r="Q152" s="52">
        <v>0</v>
      </c>
      <c r="R152" s="73">
        <v>0</v>
      </c>
      <c r="S152" s="40">
        <v>0</v>
      </c>
      <c r="T152" s="52">
        <v>0</v>
      </c>
      <c r="U152" s="73">
        <v>0</v>
      </c>
      <c r="V152" s="40">
        <v>0</v>
      </c>
      <c r="W152" s="52">
        <v>0</v>
      </c>
      <c r="X152" s="73">
        <v>0</v>
      </c>
      <c r="Y152" s="40">
        <v>0</v>
      </c>
      <c r="Z152" s="52">
        <v>0</v>
      </c>
      <c r="AA152" s="73">
        <v>13.264000000000001</v>
      </c>
      <c r="AB152" s="40">
        <v>0</v>
      </c>
      <c r="AC152" s="52">
        <v>-13.264000000000001</v>
      </c>
      <c r="AD152" s="73">
        <v>99.607466828905999</v>
      </c>
      <c r="AE152" s="40">
        <v>149.43639275603707</v>
      </c>
      <c r="AF152" s="35">
        <v>49.828925927131067</v>
      </c>
      <c r="AG152" s="77">
        <v>112.87146682890599</v>
      </c>
      <c r="AH152" s="53">
        <v>149.43639275603707</v>
      </c>
      <c r="AI152" s="52">
        <v>36.564925927131071</v>
      </c>
      <c r="AJ152" s="73">
        <v>0</v>
      </c>
      <c r="AK152" s="40">
        <v>0</v>
      </c>
      <c r="AL152" s="52">
        <v>0</v>
      </c>
      <c r="AM152" s="73">
        <v>0</v>
      </c>
      <c r="AN152" s="40">
        <v>0</v>
      </c>
      <c r="AO152" s="52">
        <v>0</v>
      </c>
      <c r="AP152" s="73">
        <v>31.517291666666662</v>
      </c>
      <c r="AQ152" s="40">
        <v>0</v>
      </c>
      <c r="AR152" s="52">
        <v>-31.517291666666662</v>
      </c>
      <c r="AS152" s="73">
        <v>158.8398017813243</v>
      </c>
      <c r="AT152" s="40">
        <v>0</v>
      </c>
      <c r="AU152" s="54">
        <v>-158.8398017813243</v>
      </c>
      <c r="AV152" s="73">
        <v>0</v>
      </c>
      <c r="AW152" s="40">
        <v>0</v>
      </c>
      <c r="AX152" s="55">
        <v>0</v>
      </c>
      <c r="AY152" s="73">
        <v>0</v>
      </c>
      <c r="AZ152" s="40">
        <v>0</v>
      </c>
      <c r="BA152" s="35">
        <v>0</v>
      </c>
      <c r="BB152" s="73">
        <v>0</v>
      </c>
      <c r="BC152" s="40">
        <v>0</v>
      </c>
      <c r="BD152" s="55">
        <v>0</v>
      </c>
      <c r="BE152" s="73">
        <v>0</v>
      </c>
      <c r="BF152" s="40">
        <v>0</v>
      </c>
      <c r="BG152" s="38">
        <v>0</v>
      </c>
      <c r="BH152" s="73">
        <v>0</v>
      </c>
      <c r="BI152" s="40">
        <v>0</v>
      </c>
      <c r="BJ152" s="55">
        <v>0</v>
      </c>
      <c r="BK152" s="73">
        <v>0</v>
      </c>
      <c r="BL152" s="40">
        <v>0</v>
      </c>
      <c r="BM152" s="38">
        <v>0</v>
      </c>
      <c r="BN152" s="73">
        <v>3.3160000000000003</v>
      </c>
      <c r="BO152" s="40">
        <v>0</v>
      </c>
      <c r="BP152" s="55">
        <v>-3.3160000000000003</v>
      </c>
      <c r="BQ152" s="77">
        <v>3.3160000000000003</v>
      </c>
      <c r="BR152" s="40">
        <v>0</v>
      </c>
      <c r="BS152" s="55">
        <v>-3.3160000000000003</v>
      </c>
      <c r="BT152" s="73">
        <v>0</v>
      </c>
      <c r="BU152" s="40">
        <v>0</v>
      </c>
      <c r="BV152" s="52">
        <v>0</v>
      </c>
      <c r="BW152" s="73">
        <v>0</v>
      </c>
      <c r="BX152" s="40">
        <v>0.61558580656673079</v>
      </c>
      <c r="BY152" s="52">
        <v>0.61558580656673079</v>
      </c>
      <c r="BZ152" s="73">
        <v>0</v>
      </c>
      <c r="CA152" s="40">
        <v>0</v>
      </c>
      <c r="CB152" s="52">
        <v>0</v>
      </c>
      <c r="CC152" s="73">
        <v>0</v>
      </c>
      <c r="CD152" s="40">
        <v>0</v>
      </c>
      <c r="CE152" s="52">
        <v>0</v>
      </c>
      <c r="CF152" s="73">
        <v>0</v>
      </c>
      <c r="CG152" s="40">
        <v>0</v>
      </c>
      <c r="CH152" s="52">
        <v>0</v>
      </c>
      <c r="CI152" s="73">
        <v>0</v>
      </c>
      <c r="CJ152" s="40">
        <v>0</v>
      </c>
      <c r="CK152" s="52">
        <v>0</v>
      </c>
      <c r="CL152" s="73">
        <v>0</v>
      </c>
      <c r="CM152" s="40">
        <v>0</v>
      </c>
      <c r="CN152" s="52">
        <v>0</v>
      </c>
      <c r="CO152" s="39">
        <v>0</v>
      </c>
      <c r="CP152" s="40">
        <v>0</v>
      </c>
      <c r="CQ152" s="52">
        <v>0</v>
      </c>
      <c r="CR152" s="72">
        <v>306.5445602768969</v>
      </c>
      <c r="CS152" s="5">
        <v>150.05197856260381</v>
      </c>
      <c r="CT152" s="52">
        <v>-156.4925817142931</v>
      </c>
      <c r="CU152" s="77">
        <v>367.85347233227628</v>
      </c>
      <c r="CV152" s="65">
        <v>180.06237427512457</v>
      </c>
      <c r="CW152" s="35">
        <v>-187.79109805715171</v>
      </c>
      <c r="CX152" s="73">
        <v>20.53837419220357</v>
      </c>
      <c r="CY152" s="40">
        <v>208.32947224935526</v>
      </c>
      <c r="CZ152" s="52">
        <v>187.79109805715169</v>
      </c>
      <c r="DA152" s="150">
        <v>-1907.677693359881</v>
      </c>
      <c r="DB152" s="2">
        <v>3</v>
      </c>
      <c r="DC152" s="648">
        <v>1842.12</v>
      </c>
      <c r="DD152" s="648"/>
      <c r="DE152" s="649">
        <v>1453.72815347552</v>
      </c>
      <c r="DG152" s="321">
        <v>-2603.569270267084</v>
      </c>
      <c r="DH152" s="5">
        <v>4660.7021582937577</v>
      </c>
      <c r="DI152" s="306">
        <v>1.1647953737903805</v>
      </c>
      <c r="DJ152" s="306"/>
      <c r="DK152" s="306"/>
      <c r="DL152" s="28">
        <v>193.12307297444508</v>
      </c>
      <c r="DM152" s="28">
        <v>0</v>
      </c>
      <c r="DN152" s="650">
        <v>193.12</v>
      </c>
      <c r="DO152" s="94">
        <v>3.0729744450752605E-3</v>
      </c>
      <c r="DP152" s="28">
        <v>193.12307297444508</v>
      </c>
      <c r="DQ152" s="318">
        <v>0</v>
      </c>
      <c r="DS152" s="8">
        <v>183.92673616613814</v>
      </c>
      <c r="DT152" s="5">
        <v>9.1963368083069064</v>
      </c>
      <c r="DW152" s="5">
        <v>194.58696213758915</v>
      </c>
      <c r="DX152" s="5">
        <v>0</v>
      </c>
    </row>
    <row r="153" spans="1:128" x14ac:dyDescent="0.3">
      <c r="A153" s="325">
        <v>150000690</v>
      </c>
      <c r="B153" s="41" t="s">
        <v>602</v>
      </c>
      <c r="C153" s="42" t="s">
        <v>96</v>
      </c>
      <c r="D153" s="42" t="s">
        <v>96</v>
      </c>
      <c r="E153" s="293">
        <v>142.1</v>
      </c>
      <c r="F153" s="305">
        <v>142.1</v>
      </c>
      <c r="G153" s="51"/>
      <c r="H153" s="651">
        <v>0</v>
      </c>
      <c r="I153" s="73">
        <v>0</v>
      </c>
      <c r="J153" s="40">
        <v>0</v>
      </c>
      <c r="K153" s="52">
        <v>0</v>
      </c>
      <c r="L153" s="73">
        <v>0</v>
      </c>
      <c r="M153" s="40">
        <v>0</v>
      </c>
      <c r="N153" s="52">
        <v>0</v>
      </c>
      <c r="O153" s="73">
        <v>0</v>
      </c>
      <c r="P153" s="40">
        <v>0</v>
      </c>
      <c r="Q153" s="52">
        <v>0</v>
      </c>
      <c r="R153" s="73">
        <v>0</v>
      </c>
      <c r="S153" s="40">
        <v>0</v>
      </c>
      <c r="T153" s="52">
        <v>0</v>
      </c>
      <c r="U153" s="73">
        <v>0</v>
      </c>
      <c r="V153" s="40">
        <v>0</v>
      </c>
      <c r="W153" s="52">
        <v>0</v>
      </c>
      <c r="X153" s="73">
        <v>0</v>
      </c>
      <c r="Y153" s="40">
        <v>0</v>
      </c>
      <c r="Z153" s="52">
        <v>0</v>
      </c>
      <c r="AA153" s="73">
        <v>11.368</v>
      </c>
      <c r="AB153" s="40">
        <v>0</v>
      </c>
      <c r="AC153" s="52">
        <v>-11.368</v>
      </c>
      <c r="AD153" s="73">
        <v>85.348619431233715</v>
      </c>
      <c r="AE153" s="40">
        <v>128.0754608602706</v>
      </c>
      <c r="AF153" s="35">
        <v>42.726841429036881</v>
      </c>
      <c r="AG153" s="77">
        <v>96.71661943123371</v>
      </c>
      <c r="AH153" s="53">
        <v>128.0754608602706</v>
      </c>
      <c r="AI153" s="52">
        <v>31.358841429036886</v>
      </c>
      <c r="AJ153" s="73">
        <v>0</v>
      </c>
      <c r="AK153" s="40">
        <v>0</v>
      </c>
      <c r="AL153" s="52">
        <v>0</v>
      </c>
      <c r="AM153" s="73">
        <v>0</v>
      </c>
      <c r="AN153" s="40">
        <v>0</v>
      </c>
      <c r="AO153" s="52">
        <v>0</v>
      </c>
      <c r="AP153" s="73">
        <v>50.427666666666667</v>
      </c>
      <c r="AQ153" s="40">
        <v>0</v>
      </c>
      <c r="AR153" s="52">
        <v>-50.427666666666667</v>
      </c>
      <c r="AS153" s="73">
        <v>132.92512556502453</v>
      </c>
      <c r="AT153" s="40">
        <v>0</v>
      </c>
      <c r="AU153" s="54">
        <v>-132.92512556502453</v>
      </c>
      <c r="AV153" s="73">
        <v>0</v>
      </c>
      <c r="AW153" s="40">
        <v>0</v>
      </c>
      <c r="AX153" s="55">
        <v>0</v>
      </c>
      <c r="AY153" s="73">
        <v>0</v>
      </c>
      <c r="AZ153" s="40">
        <v>0</v>
      </c>
      <c r="BA153" s="35">
        <v>0</v>
      </c>
      <c r="BB153" s="73">
        <v>0</v>
      </c>
      <c r="BC153" s="40">
        <v>0</v>
      </c>
      <c r="BD153" s="55">
        <v>0</v>
      </c>
      <c r="BE153" s="73">
        <v>0</v>
      </c>
      <c r="BF153" s="40">
        <v>0</v>
      </c>
      <c r="BG153" s="38">
        <v>0</v>
      </c>
      <c r="BH153" s="73">
        <v>0</v>
      </c>
      <c r="BI153" s="40">
        <v>0</v>
      </c>
      <c r="BJ153" s="55">
        <v>0</v>
      </c>
      <c r="BK153" s="73">
        <v>0</v>
      </c>
      <c r="BL153" s="40">
        <v>0</v>
      </c>
      <c r="BM153" s="38">
        <v>0</v>
      </c>
      <c r="BN153" s="73">
        <v>2.8420000000000001</v>
      </c>
      <c r="BO153" s="40">
        <v>0</v>
      </c>
      <c r="BP153" s="55">
        <v>-2.8420000000000001</v>
      </c>
      <c r="BQ153" s="77">
        <v>2.8420000000000001</v>
      </c>
      <c r="BR153" s="40">
        <v>0</v>
      </c>
      <c r="BS153" s="55">
        <v>-2.8420000000000001</v>
      </c>
      <c r="BT153" s="73">
        <v>0</v>
      </c>
      <c r="BU153" s="40">
        <v>0</v>
      </c>
      <c r="BV153" s="52">
        <v>0</v>
      </c>
      <c r="BW153" s="73">
        <v>0</v>
      </c>
      <c r="BX153" s="40">
        <v>0.52759193674989413</v>
      </c>
      <c r="BY153" s="52">
        <v>0.52759193674989413</v>
      </c>
      <c r="BZ153" s="73">
        <v>0</v>
      </c>
      <c r="CA153" s="40">
        <v>0</v>
      </c>
      <c r="CB153" s="52">
        <v>0</v>
      </c>
      <c r="CC153" s="73">
        <v>0</v>
      </c>
      <c r="CD153" s="40">
        <v>0</v>
      </c>
      <c r="CE153" s="52">
        <v>0</v>
      </c>
      <c r="CF153" s="73">
        <v>0</v>
      </c>
      <c r="CG153" s="40">
        <v>0</v>
      </c>
      <c r="CH153" s="52">
        <v>0</v>
      </c>
      <c r="CI153" s="73">
        <v>0</v>
      </c>
      <c r="CJ153" s="40">
        <v>0</v>
      </c>
      <c r="CK153" s="52">
        <v>0</v>
      </c>
      <c r="CL153" s="73">
        <v>0</v>
      </c>
      <c r="CM153" s="40">
        <v>0</v>
      </c>
      <c r="CN153" s="52">
        <v>0</v>
      </c>
      <c r="CO153" s="39">
        <v>0</v>
      </c>
      <c r="CP153" s="40">
        <v>0</v>
      </c>
      <c r="CQ153" s="52">
        <v>0</v>
      </c>
      <c r="CR153" s="72">
        <v>282.91141166292488</v>
      </c>
      <c r="CS153" s="5">
        <v>128.6030527970205</v>
      </c>
      <c r="CT153" s="52">
        <v>-154.30835886590438</v>
      </c>
      <c r="CU153" s="77">
        <v>339.49369399550983</v>
      </c>
      <c r="CV153" s="65">
        <v>154.32366335642459</v>
      </c>
      <c r="CW153" s="35">
        <v>-185.17003063908524</v>
      </c>
      <c r="CX153" s="73">
        <v>18.954961819348959</v>
      </c>
      <c r="CY153" s="40">
        <v>204.12499245843421</v>
      </c>
      <c r="CZ153" s="52">
        <v>185.17003063908524</v>
      </c>
      <c r="DA153" s="150">
        <v>-1633.1652726671807</v>
      </c>
      <c r="DB153" s="2">
        <v>3</v>
      </c>
      <c r="DC153" s="648">
        <v>156.94</v>
      </c>
      <c r="DD153" s="648"/>
      <c r="DE153" s="649">
        <v>-201.5086558148588</v>
      </c>
      <c r="DG153" s="321">
        <v>-2816.5099424327359</v>
      </c>
      <c r="DH153" s="5">
        <v>4301.3838697783058</v>
      </c>
      <c r="DI153" s="306">
        <v>1.2542870467814404</v>
      </c>
      <c r="DJ153" s="306"/>
      <c r="DK153" s="306"/>
      <c r="DL153" s="28">
        <v>178.23418934764268</v>
      </c>
      <c r="DM153" s="28">
        <v>0</v>
      </c>
      <c r="DN153" s="650">
        <v>178.23</v>
      </c>
      <c r="DO153" s="94">
        <v>4.1893476426935194E-3</v>
      </c>
      <c r="DP153" s="28">
        <v>178.23418934764268</v>
      </c>
      <c r="DQ153" s="318">
        <v>0</v>
      </c>
      <c r="DS153" s="8">
        <v>169.74684699775491</v>
      </c>
      <c r="DT153" s="5">
        <v>8.4873423498877472</v>
      </c>
      <c r="DW153" s="5">
        <v>162.92055067802946</v>
      </c>
      <c r="DX153" s="5">
        <v>0</v>
      </c>
    </row>
    <row r="154" spans="1:128" x14ac:dyDescent="0.3">
      <c r="A154" s="325">
        <v>150000648</v>
      </c>
      <c r="B154" s="41" t="s">
        <v>603</v>
      </c>
      <c r="C154" s="42" t="s">
        <v>362</v>
      </c>
      <c r="D154" s="42" t="s">
        <v>362</v>
      </c>
      <c r="E154" s="293">
        <v>3815</v>
      </c>
      <c r="F154" s="652">
        <v>3815</v>
      </c>
      <c r="G154" s="51">
        <v>314.80000000000018</v>
      </c>
      <c r="H154" s="651">
        <v>0</v>
      </c>
      <c r="I154" s="73">
        <v>1213.2736577049197</v>
      </c>
      <c r="J154" s="40">
        <v>1377.2052020198853</v>
      </c>
      <c r="K154" s="52">
        <v>163.93154431496555</v>
      </c>
      <c r="L154" s="73">
        <v>215.58850752274762</v>
      </c>
      <c r="M154" s="40">
        <v>242.88567266217817</v>
      </c>
      <c r="N154" s="52">
        <v>27.297165139430547</v>
      </c>
      <c r="O154" s="73">
        <v>656.05441367192338</v>
      </c>
      <c r="P154" s="40">
        <v>656.18333333333328</v>
      </c>
      <c r="Q154" s="52">
        <v>0.12891966140989553</v>
      </c>
      <c r="R154" s="73">
        <v>155.71886308753665</v>
      </c>
      <c r="S154" s="40">
        <v>155.78333333333333</v>
      </c>
      <c r="T154" s="52">
        <v>6.4470245796684367E-2</v>
      </c>
      <c r="U154" s="73">
        <v>43.28778497834633</v>
      </c>
      <c r="V154" s="40">
        <v>81.13666842906477</v>
      </c>
      <c r="W154" s="52">
        <v>37.848883450718439</v>
      </c>
      <c r="X154" s="73">
        <v>443.5071928421674</v>
      </c>
      <c r="Y154" s="40">
        <v>435.62101955748972</v>
      </c>
      <c r="Z154" s="52">
        <v>-7.8861732846776817</v>
      </c>
      <c r="AA154" s="73">
        <v>305.2</v>
      </c>
      <c r="AB154" s="40">
        <v>0</v>
      </c>
      <c r="AC154" s="52">
        <v>-305.2</v>
      </c>
      <c r="AD154" s="73">
        <v>2748.4064971666949</v>
      </c>
      <c r="AE154" s="40">
        <v>3438.479121618102</v>
      </c>
      <c r="AF154" s="35">
        <v>690.07262445140714</v>
      </c>
      <c r="AG154" s="77">
        <v>5781.0369169743353</v>
      </c>
      <c r="AH154" s="53">
        <v>6387.2943509533861</v>
      </c>
      <c r="AI154" s="52">
        <v>606.2574339790508</v>
      </c>
      <c r="AJ154" s="73">
        <v>1993.96</v>
      </c>
      <c r="AK154" s="40">
        <v>1963.8745403666217</v>
      </c>
      <c r="AL154" s="52">
        <v>-30.085459633378377</v>
      </c>
      <c r="AM154" s="73">
        <v>0</v>
      </c>
      <c r="AN154" s="40">
        <v>0</v>
      </c>
      <c r="AO154" s="52">
        <v>0</v>
      </c>
      <c r="AP154" s="73">
        <v>283.65562499999999</v>
      </c>
      <c r="AQ154" s="40">
        <v>0</v>
      </c>
      <c r="AR154" s="52">
        <v>-283.65562499999999</v>
      </c>
      <c r="AS154" s="73">
        <v>3781.0036815675467</v>
      </c>
      <c r="AT154" s="40">
        <v>0</v>
      </c>
      <c r="AU154" s="54">
        <v>-3781.0036815675467</v>
      </c>
      <c r="AV154" s="73">
        <v>592.75488379693843</v>
      </c>
      <c r="AW154" s="40">
        <v>0</v>
      </c>
      <c r="AX154" s="55">
        <v>-592.75488379693843</v>
      </c>
      <c r="AY154" s="73">
        <v>603.07509744668732</v>
      </c>
      <c r="AZ154" s="40">
        <v>0</v>
      </c>
      <c r="BA154" s="35">
        <v>-603.07509744668732</v>
      </c>
      <c r="BB154" s="73">
        <v>337.07314590550681</v>
      </c>
      <c r="BC154" s="40">
        <v>0</v>
      </c>
      <c r="BD154" s="55">
        <v>-337.07314590550681</v>
      </c>
      <c r="BE154" s="73">
        <v>827.35278660448193</v>
      </c>
      <c r="BF154" s="40">
        <v>0</v>
      </c>
      <c r="BG154" s="38">
        <v>-827.35278660448193</v>
      </c>
      <c r="BH154" s="73">
        <v>208.98388444579521</v>
      </c>
      <c r="BI154" s="40">
        <v>0</v>
      </c>
      <c r="BJ154" s="55">
        <v>-208.98388444579521</v>
      </c>
      <c r="BK154" s="73">
        <v>158.16923393962074</v>
      </c>
      <c r="BL154" s="40">
        <v>0</v>
      </c>
      <c r="BM154" s="38">
        <v>-158.16923393962074</v>
      </c>
      <c r="BN154" s="73">
        <v>76.3</v>
      </c>
      <c r="BO154" s="40">
        <v>0</v>
      </c>
      <c r="BP154" s="55">
        <v>-76.3</v>
      </c>
      <c r="BQ154" s="77">
        <v>2803.709032139031</v>
      </c>
      <c r="BR154" s="40">
        <v>0</v>
      </c>
      <c r="BS154" s="55">
        <v>-2803.709032139031</v>
      </c>
      <c r="BT154" s="73">
        <v>3001.6443994205201</v>
      </c>
      <c r="BU154" s="40">
        <v>709.89516384227079</v>
      </c>
      <c r="BV154" s="52">
        <v>-2291.7492355782492</v>
      </c>
      <c r="BW154" s="73">
        <v>3311.2689133252402</v>
      </c>
      <c r="BX154" s="40">
        <v>2555.0659764050433</v>
      </c>
      <c r="BY154" s="52">
        <v>-756.20293692019686</v>
      </c>
      <c r="BZ154" s="73">
        <v>713.499226850882</v>
      </c>
      <c r="CA154" s="40">
        <v>2862.2920029373122</v>
      </c>
      <c r="CB154" s="52">
        <v>2148.7927760864304</v>
      </c>
      <c r="CC154" s="73">
        <v>177.39566941250001</v>
      </c>
      <c r="CD154" s="40">
        <v>220.98840096723063</v>
      </c>
      <c r="CE154" s="52">
        <v>43.592731554730619</v>
      </c>
      <c r="CF154" s="73">
        <v>20.808976650000002</v>
      </c>
      <c r="CG154" s="40">
        <v>0</v>
      </c>
      <c r="CH154" s="52">
        <v>-20.808976650000002</v>
      </c>
      <c r="CI154" s="73">
        <v>632.28</v>
      </c>
      <c r="CJ154" s="40">
        <v>490.73721815426518</v>
      </c>
      <c r="CK154" s="52">
        <v>-141.54278184573479</v>
      </c>
      <c r="CL154" s="73">
        <v>601.12744999999995</v>
      </c>
      <c r="CM154" s="40">
        <v>486.16943937409303</v>
      </c>
      <c r="CN154" s="52">
        <v>-114.95801062590692</v>
      </c>
      <c r="CO154" s="39">
        <v>1233.4074499999999</v>
      </c>
      <c r="CP154" s="40">
        <v>976.90665752835821</v>
      </c>
      <c r="CQ154" s="52">
        <v>-256.50079247164172</v>
      </c>
      <c r="CR154" s="72">
        <v>23101.389891340059</v>
      </c>
      <c r="CS154" s="5">
        <v>15676.317093000225</v>
      </c>
      <c r="CT154" s="52">
        <v>-7425.0727983398338</v>
      </c>
      <c r="CU154" s="77">
        <v>27721.667869608071</v>
      </c>
      <c r="CV154" s="65">
        <v>18811.58051160027</v>
      </c>
      <c r="CW154" s="35">
        <v>-8910.0873580078005</v>
      </c>
      <c r="CX154" s="73">
        <v>1547.7847315892814</v>
      </c>
      <c r="CY154" s="40">
        <v>10457.87208959708</v>
      </c>
      <c r="CZ154" s="52">
        <v>8910.0873580077987</v>
      </c>
      <c r="DA154" s="150">
        <v>35195.833232130783</v>
      </c>
      <c r="DB154" s="2">
        <v>3</v>
      </c>
      <c r="DC154" s="648">
        <v>17762.310000000001</v>
      </c>
      <c r="DD154" s="648"/>
      <c r="DE154" s="649">
        <v>-11507.142601197349</v>
      </c>
      <c r="DG154" s="321">
        <v>-30740.102413359447</v>
      </c>
      <c r="DH154" s="5">
        <v>351233.4312143682</v>
      </c>
      <c r="DI154" s="306">
        <v>3.3863618710469825</v>
      </c>
      <c r="DJ154" s="306">
        <v>3.853449919601351</v>
      </c>
      <c r="DK154" s="306"/>
      <c r="DL154" s="28">
        <v>14553.872125594238</v>
      </c>
      <c r="DM154" s="28">
        <v>0</v>
      </c>
      <c r="DN154" s="650">
        <v>14554.05</v>
      </c>
      <c r="DO154" s="94">
        <v>-0.17787440576103108</v>
      </c>
      <c r="DP154" s="28">
        <v>14553.872125594238</v>
      </c>
      <c r="DQ154" s="318">
        <v>-3.5059499987255549E-3</v>
      </c>
      <c r="DS154" s="8">
        <v>13860.833934804035</v>
      </c>
      <c r="DT154" s="5">
        <v>693.0416967402017</v>
      </c>
      <c r="DW154" s="5">
        <v>7901.6552564478934</v>
      </c>
      <c r="DX154" s="5">
        <v>0</v>
      </c>
    </row>
    <row r="155" spans="1:128" x14ac:dyDescent="0.3">
      <c r="A155" s="325">
        <v>150000647</v>
      </c>
      <c r="B155" s="41" t="s">
        <v>604</v>
      </c>
      <c r="C155" s="42" t="s">
        <v>97</v>
      </c>
      <c r="D155" s="42" t="s">
        <v>97</v>
      </c>
      <c r="E155" s="293">
        <v>278.14999999999998</v>
      </c>
      <c r="F155" s="305">
        <v>278.14999999999998</v>
      </c>
      <c r="G155" s="51"/>
      <c r="H155" s="651">
        <v>0</v>
      </c>
      <c r="I155" s="73">
        <v>0</v>
      </c>
      <c r="J155" s="40">
        <v>0</v>
      </c>
      <c r="K155" s="52">
        <v>0</v>
      </c>
      <c r="L155" s="73">
        <v>0</v>
      </c>
      <c r="M155" s="40">
        <v>0</v>
      </c>
      <c r="N155" s="52">
        <v>0</v>
      </c>
      <c r="O155" s="73">
        <v>0</v>
      </c>
      <c r="P155" s="40">
        <v>0</v>
      </c>
      <c r="Q155" s="52">
        <v>0</v>
      </c>
      <c r="R155" s="73">
        <v>0</v>
      </c>
      <c r="S155" s="40">
        <v>0</v>
      </c>
      <c r="T155" s="52">
        <v>0</v>
      </c>
      <c r="U155" s="73">
        <v>0</v>
      </c>
      <c r="V155" s="40">
        <v>0</v>
      </c>
      <c r="W155" s="52">
        <v>0</v>
      </c>
      <c r="X155" s="73">
        <v>0</v>
      </c>
      <c r="Y155" s="40">
        <v>0</v>
      </c>
      <c r="Z155" s="52">
        <v>0</v>
      </c>
      <c r="AA155" s="73">
        <v>22.251999999999999</v>
      </c>
      <c r="AB155" s="40">
        <v>0</v>
      </c>
      <c r="AC155" s="52">
        <v>-22.251999999999999</v>
      </c>
      <c r="AD155" s="73">
        <v>167.07824309058671</v>
      </c>
      <c r="AE155" s="40">
        <v>250.69802560368939</v>
      </c>
      <c r="AF155" s="35">
        <v>83.619782513102678</v>
      </c>
      <c r="AG155" s="77">
        <v>189.33024309058672</v>
      </c>
      <c r="AH155" s="53">
        <v>250.69802560368939</v>
      </c>
      <c r="AI155" s="52">
        <v>61.367782513102668</v>
      </c>
      <c r="AJ155" s="73">
        <v>0</v>
      </c>
      <c r="AK155" s="40">
        <v>0</v>
      </c>
      <c r="AL155" s="52">
        <v>0</v>
      </c>
      <c r="AM155" s="73">
        <v>0</v>
      </c>
      <c r="AN155" s="40">
        <v>0</v>
      </c>
      <c r="AO155" s="52">
        <v>0</v>
      </c>
      <c r="AP155" s="73">
        <v>44.124208333333328</v>
      </c>
      <c r="AQ155" s="40">
        <v>0</v>
      </c>
      <c r="AR155" s="52">
        <v>-44.124208333333328</v>
      </c>
      <c r="AS155" s="73">
        <v>384.49029531539196</v>
      </c>
      <c r="AT155" s="40">
        <v>0</v>
      </c>
      <c r="AU155" s="54">
        <v>-384.49029531539196</v>
      </c>
      <c r="AV155" s="73">
        <v>0</v>
      </c>
      <c r="AW155" s="40">
        <v>0</v>
      </c>
      <c r="AX155" s="55">
        <v>0</v>
      </c>
      <c r="AY155" s="73">
        <v>0</v>
      </c>
      <c r="AZ155" s="40">
        <v>0</v>
      </c>
      <c r="BA155" s="35">
        <v>0</v>
      </c>
      <c r="BB155" s="73">
        <v>0</v>
      </c>
      <c r="BC155" s="40">
        <v>0</v>
      </c>
      <c r="BD155" s="55">
        <v>0</v>
      </c>
      <c r="BE155" s="73">
        <v>0</v>
      </c>
      <c r="BF155" s="40">
        <v>0</v>
      </c>
      <c r="BG155" s="38">
        <v>0</v>
      </c>
      <c r="BH155" s="73">
        <v>0</v>
      </c>
      <c r="BI155" s="40">
        <v>0</v>
      </c>
      <c r="BJ155" s="55">
        <v>0</v>
      </c>
      <c r="BK155" s="73">
        <v>0</v>
      </c>
      <c r="BL155" s="40">
        <v>0</v>
      </c>
      <c r="BM155" s="38">
        <v>0</v>
      </c>
      <c r="BN155" s="73">
        <v>5.5629999999999997</v>
      </c>
      <c r="BO155" s="40">
        <v>0</v>
      </c>
      <c r="BP155" s="55">
        <v>-5.5629999999999997</v>
      </c>
      <c r="BQ155" s="77">
        <v>5.5629999999999997</v>
      </c>
      <c r="BR155" s="40">
        <v>0</v>
      </c>
      <c r="BS155" s="55">
        <v>-5.5629999999999997</v>
      </c>
      <c r="BT155" s="73">
        <v>0</v>
      </c>
      <c r="BU155" s="40">
        <v>0</v>
      </c>
      <c r="BV155" s="52">
        <v>0</v>
      </c>
      <c r="BW155" s="73">
        <v>0</v>
      </c>
      <c r="BX155" s="40">
        <v>1.0327213033566718</v>
      </c>
      <c r="BY155" s="52">
        <v>1.0327213033566718</v>
      </c>
      <c r="BZ155" s="73">
        <v>0</v>
      </c>
      <c r="CA155" s="40">
        <v>0</v>
      </c>
      <c r="CB155" s="52">
        <v>0</v>
      </c>
      <c r="CC155" s="73">
        <v>0</v>
      </c>
      <c r="CD155" s="40">
        <v>0</v>
      </c>
      <c r="CE155" s="52">
        <v>0</v>
      </c>
      <c r="CF155" s="73">
        <v>0</v>
      </c>
      <c r="CG155" s="40">
        <v>0</v>
      </c>
      <c r="CH155" s="52">
        <v>0</v>
      </c>
      <c r="CI155" s="73">
        <v>0</v>
      </c>
      <c r="CJ155" s="40">
        <v>0</v>
      </c>
      <c r="CK155" s="52">
        <v>0</v>
      </c>
      <c r="CL155" s="73">
        <v>0</v>
      </c>
      <c r="CM155" s="40">
        <v>0</v>
      </c>
      <c r="CN155" s="52">
        <v>0</v>
      </c>
      <c r="CO155" s="39">
        <v>0</v>
      </c>
      <c r="CP155" s="40">
        <v>0</v>
      </c>
      <c r="CQ155" s="52">
        <v>0</v>
      </c>
      <c r="CR155" s="72">
        <v>623.50774673931198</v>
      </c>
      <c r="CS155" s="5">
        <v>251.73074690704607</v>
      </c>
      <c r="CT155" s="52">
        <v>-371.77699983226591</v>
      </c>
      <c r="CU155" s="77">
        <v>748.20929608717438</v>
      </c>
      <c r="CV155" s="65">
        <v>302.07689628845526</v>
      </c>
      <c r="CW155" s="35">
        <v>-446.13239979871912</v>
      </c>
      <c r="CX155" s="73">
        <v>41.774792554473564</v>
      </c>
      <c r="CY155" s="40">
        <v>487.90719235319273</v>
      </c>
      <c r="CZ155" s="52">
        <v>446.13239979871918</v>
      </c>
      <c r="DA155" s="150">
        <v>-1275.5296270156355</v>
      </c>
      <c r="DB155" s="2">
        <v>3</v>
      </c>
      <c r="DC155" s="648">
        <v>1188.96</v>
      </c>
      <c r="DD155" s="648"/>
      <c r="DE155" s="649">
        <v>398.97591135835205</v>
      </c>
      <c r="DG155" s="321">
        <v>1399.6461790112796</v>
      </c>
      <c r="DH155" s="5">
        <v>9479.8090636997767</v>
      </c>
      <c r="DI155" s="306">
        <v>1.4122231905294502</v>
      </c>
      <c r="DJ155" s="306"/>
      <c r="DK155" s="306"/>
      <c r="DL155" s="28">
        <v>392.80988044576657</v>
      </c>
      <c r="DM155" s="28">
        <v>0</v>
      </c>
      <c r="DN155" s="650">
        <v>392.79</v>
      </c>
      <c r="DO155" s="94">
        <v>1.9880445766546018E-2</v>
      </c>
      <c r="DP155" s="28">
        <v>392.80988044576657</v>
      </c>
      <c r="DQ155" s="318">
        <v>0</v>
      </c>
      <c r="DS155" s="8">
        <v>374.10464804358719</v>
      </c>
      <c r="DT155" s="5">
        <v>18.705232402179359</v>
      </c>
      <c r="DW155" s="5">
        <v>468.06395437847033</v>
      </c>
      <c r="DX155" s="5">
        <v>0</v>
      </c>
    </row>
    <row r="156" spans="1:128" x14ac:dyDescent="0.3">
      <c r="A156" s="325">
        <v>150000686</v>
      </c>
      <c r="B156" s="41" t="s">
        <v>605</v>
      </c>
      <c r="C156" s="42" t="s">
        <v>98</v>
      </c>
      <c r="D156" s="42" t="s">
        <v>98</v>
      </c>
      <c r="E156" s="293">
        <v>214.9</v>
      </c>
      <c r="F156" s="305">
        <v>214.9</v>
      </c>
      <c r="G156" s="51"/>
      <c r="H156" s="651">
        <v>0</v>
      </c>
      <c r="I156" s="73">
        <v>0</v>
      </c>
      <c r="J156" s="40">
        <v>0</v>
      </c>
      <c r="K156" s="52">
        <v>0</v>
      </c>
      <c r="L156" s="73">
        <v>0</v>
      </c>
      <c r="M156" s="40">
        <v>0</v>
      </c>
      <c r="N156" s="52">
        <v>0</v>
      </c>
      <c r="O156" s="73">
        <v>0</v>
      </c>
      <c r="P156" s="40">
        <v>0</v>
      </c>
      <c r="Q156" s="52">
        <v>0</v>
      </c>
      <c r="R156" s="73">
        <v>0</v>
      </c>
      <c r="S156" s="40">
        <v>0</v>
      </c>
      <c r="T156" s="52">
        <v>0</v>
      </c>
      <c r="U156" s="73">
        <v>0</v>
      </c>
      <c r="V156" s="40">
        <v>0</v>
      </c>
      <c r="W156" s="52">
        <v>0</v>
      </c>
      <c r="X156" s="73">
        <v>0</v>
      </c>
      <c r="Y156" s="40">
        <v>0</v>
      </c>
      <c r="Z156" s="52">
        <v>0</v>
      </c>
      <c r="AA156" s="73">
        <v>17.192</v>
      </c>
      <c r="AB156" s="40">
        <v>0</v>
      </c>
      <c r="AC156" s="52">
        <v>-17.192</v>
      </c>
      <c r="AD156" s="73">
        <v>129.10074185770222</v>
      </c>
      <c r="AE156" s="40">
        <v>193.69047529114815</v>
      </c>
      <c r="AF156" s="35">
        <v>64.589733433445929</v>
      </c>
      <c r="AG156" s="77">
        <v>146.29274185770223</v>
      </c>
      <c r="AH156" s="53">
        <v>193.69047529114815</v>
      </c>
      <c r="AI156" s="52">
        <v>47.397733433445921</v>
      </c>
      <c r="AJ156" s="73">
        <v>0</v>
      </c>
      <c r="AK156" s="40">
        <v>0</v>
      </c>
      <c r="AL156" s="52">
        <v>0</v>
      </c>
      <c r="AM156" s="73">
        <v>0</v>
      </c>
      <c r="AN156" s="40">
        <v>0</v>
      </c>
      <c r="AO156" s="52">
        <v>0</v>
      </c>
      <c r="AP156" s="73">
        <v>37.820749999999997</v>
      </c>
      <c r="AQ156" s="40">
        <v>0</v>
      </c>
      <c r="AR156" s="52">
        <v>-37.820749999999997</v>
      </c>
      <c r="AS156" s="73">
        <v>191.89964287422373</v>
      </c>
      <c r="AT156" s="40">
        <v>0</v>
      </c>
      <c r="AU156" s="54">
        <v>-191.89964287422373</v>
      </c>
      <c r="AV156" s="73">
        <v>0</v>
      </c>
      <c r="AW156" s="40">
        <v>0</v>
      </c>
      <c r="AX156" s="55">
        <v>0</v>
      </c>
      <c r="AY156" s="73">
        <v>0</v>
      </c>
      <c r="AZ156" s="40">
        <v>0</v>
      </c>
      <c r="BA156" s="35">
        <v>0</v>
      </c>
      <c r="BB156" s="73">
        <v>0</v>
      </c>
      <c r="BC156" s="40">
        <v>0</v>
      </c>
      <c r="BD156" s="55">
        <v>0</v>
      </c>
      <c r="BE156" s="73">
        <v>0</v>
      </c>
      <c r="BF156" s="40">
        <v>0</v>
      </c>
      <c r="BG156" s="38">
        <v>0</v>
      </c>
      <c r="BH156" s="73">
        <v>0</v>
      </c>
      <c r="BI156" s="40">
        <v>0</v>
      </c>
      <c r="BJ156" s="55">
        <v>0</v>
      </c>
      <c r="BK156" s="73">
        <v>0</v>
      </c>
      <c r="BL156" s="40">
        <v>0</v>
      </c>
      <c r="BM156" s="38">
        <v>0</v>
      </c>
      <c r="BN156" s="73">
        <v>4.298</v>
      </c>
      <c r="BO156" s="40">
        <v>0</v>
      </c>
      <c r="BP156" s="55">
        <v>-4.298</v>
      </c>
      <c r="BQ156" s="77">
        <v>4.298</v>
      </c>
      <c r="BR156" s="40">
        <v>0</v>
      </c>
      <c r="BS156" s="55">
        <v>-4.298</v>
      </c>
      <c r="BT156" s="73">
        <v>0</v>
      </c>
      <c r="BU156" s="40">
        <v>0</v>
      </c>
      <c r="BV156" s="52">
        <v>0</v>
      </c>
      <c r="BW156" s="73">
        <v>0</v>
      </c>
      <c r="BX156" s="40">
        <v>0.79788534276954426</v>
      </c>
      <c r="BY156" s="52">
        <v>0.79788534276954426</v>
      </c>
      <c r="BZ156" s="73">
        <v>0</v>
      </c>
      <c r="CA156" s="40">
        <v>0</v>
      </c>
      <c r="CB156" s="52">
        <v>0</v>
      </c>
      <c r="CC156" s="73">
        <v>0</v>
      </c>
      <c r="CD156" s="40">
        <v>0</v>
      </c>
      <c r="CE156" s="52">
        <v>0</v>
      </c>
      <c r="CF156" s="73">
        <v>0</v>
      </c>
      <c r="CG156" s="40">
        <v>0</v>
      </c>
      <c r="CH156" s="52">
        <v>0</v>
      </c>
      <c r="CI156" s="73">
        <v>0</v>
      </c>
      <c r="CJ156" s="40">
        <v>0</v>
      </c>
      <c r="CK156" s="52">
        <v>0</v>
      </c>
      <c r="CL156" s="73">
        <v>0</v>
      </c>
      <c r="CM156" s="40">
        <v>0</v>
      </c>
      <c r="CN156" s="52">
        <v>0</v>
      </c>
      <c r="CO156" s="39">
        <v>0</v>
      </c>
      <c r="CP156" s="40">
        <v>0</v>
      </c>
      <c r="CQ156" s="52">
        <v>0</v>
      </c>
      <c r="CR156" s="72">
        <v>380.31113473192596</v>
      </c>
      <c r="CS156" s="5">
        <v>194.48836063391769</v>
      </c>
      <c r="CT156" s="52">
        <v>-185.82277409800827</v>
      </c>
      <c r="CU156" s="77">
        <v>456.37336167831114</v>
      </c>
      <c r="CV156" s="65">
        <v>233.38603276070123</v>
      </c>
      <c r="CW156" s="35">
        <v>-222.98732891760991</v>
      </c>
      <c r="CX156" s="73">
        <v>25.480707886417278</v>
      </c>
      <c r="CY156" s="40">
        <v>248.46803680402721</v>
      </c>
      <c r="CZ156" s="52">
        <v>222.98732891760994</v>
      </c>
      <c r="DA156" s="150">
        <v>-1175.062375826893</v>
      </c>
      <c r="DB156" s="2">
        <v>3</v>
      </c>
      <c r="DC156" s="648">
        <v>239.59</v>
      </c>
      <c r="DD156" s="648"/>
      <c r="DE156" s="649">
        <v>-242.26406956472843</v>
      </c>
      <c r="DG156" s="321">
        <v>-882.31038002638059</v>
      </c>
      <c r="DH156" s="5">
        <v>5782.2488347767412</v>
      </c>
      <c r="DI156" s="306">
        <v>1.1149186360219328</v>
      </c>
      <c r="DJ156" s="306"/>
      <c r="DK156" s="306"/>
      <c r="DL156" s="28">
        <v>239.59601488111335</v>
      </c>
      <c r="DM156" s="28">
        <v>0</v>
      </c>
      <c r="DN156" s="650">
        <v>239.59</v>
      </c>
      <c r="DO156" s="94">
        <v>6.0148811133444724E-3</v>
      </c>
      <c r="DP156" s="28">
        <v>239.59601488111335</v>
      </c>
      <c r="DQ156" s="318">
        <v>0</v>
      </c>
      <c r="DS156" s="8">
        <v>228.18668083915557</v>
      </c>
      <c r="DT156" s="5">
        <v>11.409334041957779</v>
      </c>
      <c r="DW156" s="5">
        <v>235.43717144906847</v>
      </c>
      <c r="DX156" s="5">
        <v>0</v>
      </c>
    </row>
    <row r="157" spans="1:128" x14ac:dyDescent="0.3">
      <c r="A157" s="325">
        <v>150000796</v>
      </c>
      <c r="B157" s="41" t="s">
        <v>606</v>
      </c>
      <c r="C157" s="42" t="s">
        <v>99</v>
      </c>
      <c r="D157" s="42" t="s">
        <v>99</v>
      </c>
      <c r="E157" s="293">
        <v>180.98</v>
      </c>
      <c r="F157" s="305">
        <v>180.98</v>
      </c>
      <c r="G157" s="51"/>
      <c r="H157" s="651">
        <v>0</v>
      </c>
      <c r="I157" s="73">
        <v>0</v>
      </c>
      <c r="J157" s="40">
        <v>0</v>
      </c>
      <c r="K157" s="52">
        <v>0</v>
      </c>
      <c r="L157" s="73">
        <v>0</v>
      </c>
      <c r="M157" s="40">
        <v>0</v>
      </c>
      <c r="N157" s="52">
        <v>0</v>
      </c>
      <c r="O157" s="73">
        <v>22.473924703236666</v>
      </c>
      <c r="P157" s="40">
        <v>22.466666666666669</v>
      </c>
      <c r="Q157" s="52">
        <v>-7.2580365699970173E-3</v>
      </c>
      <c r="R157" s="73">
        <v>0</v>
      </c>
      <c r="S157" s="40">
        <v>0</v>
      </c>
      <c r="T157" s="52">
        <v>0</v>
      </c>
      <c r="U157" s="73">
        <v>0</v>
      </c>
      <c r="V157" s="40">
        <v>0</v>
      </c>
      <c r="W157" s="52">
        <v>0</v>
      </c>
      <c r="X157" s="73">
        <v>0</v>
      </c>
      <c r="Y157" s="40">
        <v>0</v>
      </c>
      <c r="Z157" s="52">
        <v>0</v>
      </c>
      <c r="AA157" s="73">
        <v>14.478399999999999</v>
      </c>
      <c r="AB157" s="40">
        <v>0</v>
      </c>
      <c r="AC157" s="52">
        <v>-14.478399999999999</v>
      </c>
      <c r="AD157" s="73">
        <v>130.39328941678352</v>
      </c>
      <c r="AE157" s="40">
        <v>163.11820483104694</v>
      </c>
      <c r="AF157" s="35">
        <v>32.724915414263421</v>
      </c>
      <c r="AG157" s="77">
        <v>167.34561412002017</v>
      </c>
      <c r="AH157" s="53">
        <v>185.58487149771361</v>
      </c>
      <c r="AI157" s="52">
        <v>18.239257377693434</v>
      </c>
      <c r="AJ157" s="73">
        <v>0</v>
      </c>
      <c r="AK157" s="40">
        <v>0</v>
      </c>
      <c r="AL157" s="52">
        <v>0</v>
      </c>
      <c r="AM157" s="73">
        <v>0</v>
      </c>
      <c r="AN157" s="40">
        <v>0</v>
      </c>
      <c r="AO157" s="52">
        <v>0</v>
      </c>
      <c r="AP157" s="73">
        <v>9.4551874999999992</v>
      </c>
      <c r="AQ157" s="40">
        <v>0</v>
      </c>
      <c r="AR157" s="52">
        <v>-9.4551874999999992</v>
      </c>
      <c r="AS157" s="73">
        <v>156.22652831539139</v>
      </c>
      <c r="AT157" s="40">
        <v>0</v>
      </c>
      <c r="AU157" s="54">
        <v>-156.22652831539139</v>
      </c>
      <c r="AV157" s="73">
        <v>0</v>
      </c>
      <c r="AW157" s="40">
        <v>0</v>
      </c>
      <c r="AX157" s="55">
        <v>0</v>
      </c>
      <c r="AY157" s="73">
        <v>0</v>
      </c>
      <c r="AZ157" s="40">
        <v>0</v>
      </c>
      <c r="BA157" s="35">
        <v>0</v>
      </c>
      <c r="BB157" s="73">
        <v>6.0318907107766595</v>
      </c>
      <c r="BC157" s="40">
        <v>0</v>
      </c>
      <c r="BD157" s="55">
        <v>-6.0318907107766595</v>
      </c>
      <c r="BE157" s="73">
        <v>0</v>
      </c>
      <c r="BF157" s="40">
        <v>0</v>
      </c>
      <c r="BG157" s="38">
        <v>0</v>
      </c>
      <c r="BH157" s="73">
        <v>0</v>
      </c>
      <c r="BI157" s="40">
        <v>0</v>
      </c>
      <c r="BJ157" s="55">
        <v>0</v>
      </c>
      <c r="BK157" s="73">
        <v>0</v>
      </c>
      <c r="BL157" s="40">
        <v>0</v>
      </c>
      <c r="BM157" s="38">
        <v>0</v>
      </c>
      <c r="BN157" s="73">
        <v>3.6195999999999997</v>
      </c>
      <c r="BO157" s="40">
        <v>0</v>
      </c>
      <c r="BP157" s="55">
        <v>-3.6195999999999997</v>
      </c>
      <c r="BQ157" s="77">
        <v>9.6514907107766597</v>
      </c>
      <c r="BR157" s="40">
        <v>0</v>
      </c>
      <c r="BS157" s="55">
        <v>-9.6514907107766597</v>
      </c>
      <c r="BT157" s="73">
        <v>0</v>
      </c>
      <c r="BU157" s="40">
        <v>0</v>
      </c>
      <c r="BV157" s="52">
        <v>0</v>
      </c>
      <c r="BW157" s="73">
        <v>0</v>
      </c>
      <c r="BX157" s="40">
        <v>0.67194643710764135</v>
      </c>
      <c r="BY157" s="52">
        <v>0.67194643710764135</v>
      </c>
      <c r="BZ157" s="73">
        <v>0</v>
      </c>
      <c r="CA157" s="40">
        <v>0</v>
      </c>
      <c r="CB157" s="52">
        <v>0</v>
      </c>
      <c r="CC157" s="73">
        <v>0</v>
      </c>
      <c r="CD157" s="40">
        <v>0</v>
      </c>
      <c r="CE157" s="52">
        <v>0</v>
      </c>
      <c r="CF157" s="73">
        <v>0</v>
      </c>
      <c r="CG157" s="40">
        <v>0</v>
      </c>
      <c r="CH157" s="52">
        <v>0</v>
      </c>
      <c r="CI157" s="73">
        <v>0</v>
      </c>
      <c r="CJ157" s="40">
        <v>0</v>
      </c>
      <c r="CK157" s="52">
        <v>0</v>
      </c>
      <c r="CL157" s="73">
        <v>0</v>
      </c>
      <c r="CM157" s="40">
        <v>0</v>
      </c>
      <c r="CN157" s="52">
        <v>0</v>
      </c>
      <c r="CO157" s="39">
        <v>0</v>
      </c>
      <c r="CP157" s="40">
        <v>0</v>
      </c>
      <c r="CQ157" s="52">
        <v>0</v>
      </c>
      <c r="CR157" s="72">
        <v>342.67882064618823</v>
      </c>
      <c r="CS157" s="5">
        <v>186.25681793482124</v>
      </c>
      <c r="CT157" s="52">
        <v>-156.42200271136699</v>
      </c>
      <c r="CU157" s="77">
        <v>411.21458477542586</v>
      </c>
      <c r="CV157" s="65">
        <v>223.50818152178547</v>
      </c>
      <c r="CW157" s="35">
        <v>-187.70640325364039</v>
      </c>
      <c r="CX157" s="73">
        <v>22.959356511878905</v>
      </c>
      <c r="CY157" s="40">
        <v>210.66575976551931</v>
      </c>
      <c r="CZ157" s="52">
        <v>187.70640325364042</v>
      </c>
      <c r="DA157" s="150">
        <v>-949.22627015565388</v>
      </c>
      <c r="DB157" s="2">
        <v>3</v>
      </c>
      <c r="DC157" s="648">
        <v>309.55</v>
      </c>
      <c r="DD157" s="648"/>
      <c r="DE157" s="649">
        <v>-124.62394128730477</v>
      </c>
      <c r="DG157" s="321">
        <v>-306.36276734271399</v>
      </c>
      <c r="DH157" s="5">
        <v>5210.0872954476572</v>
      </c>
      <c r="DI157" s="306">
        <v>1.1928812963150546</v>
      </c>
      <c r="DJ157" s="306"/>
      <c r="DK157" s="306"/>
      <c r="DL157" s="28">
        <v>215.88765700709857</v>
      </c>
      <c r="DM157" s="28">
        <v>0</v>
      </c>
      <c r="DN157" s="650">
        <v>215.9</v>
      </c>
      <c r="DO157" s="94">
        <v>-1.234299290143781E-2</v>
      </c>
      <c r="DP157" s="28">
        <v>215.88765700709857</v>
      </c>
      <c r="DQ157" s="318">
        <v>0</v>
      </c>
      <c r="DS157" s="8">
        <v>205.60729238771293</v>
      </c>
      <c r="DT157" s="5">
        <v>10.280364619385647</v>
      </c>
      <c r="DW157" s="5">
        <v>199.05362283140167</v>
      </c>
      <c r="DX157" s="5">
        <v>0</v>
      </c>
    </row>
    <row r="158" spans="1:128" x14ac:dyDescent="0.3">
      <c r="A158" s="325">
        <v>150001008</v>
      </c>
      <c r="B158" s="41" t="s">
        <v>607</v>
      </c>
      <c r="C158" s="42" t="s">
        <v>212</v>
      </c>
      <c r="D158" s="42" t="s">
        <v>212</v>
      </c>
      <c r="E158" s="293">
        <v>1485.6</v>
      </c>
      <c r="F158" s="305">
        <v>1440.1</v>
      </c>
      <c r="G158" s="51"/>
      <c r="H158" s="651">
        <v>45.5</v>
      </c>
      <c r="I158" s="73">
        <v>747.19804604782962</v>
      </c>
      <c r="J158" s="40">
        <v>828.1374999966813</v>
      </c>
      <c r="K158" s="52">
        <v>80.939453948851678</v>
      </c>
      <c r="L158" s="73">
        <v>141.49313119245204</v>
      </c>
      <c r="M158" s="40">
        <v>159.408933460648</v>
      </c>
      <c r="N158" s="52">
        <v>17.915802268195961</v>
      </c>
      <c r="O158" s="73">
        <v>284.59749545173332</v>
      </c>
      <c r="P158" s="40">
        <v>284.60000000000002</v>
      </c>
      <c r="Q158" s="52">
        <v>2.5045482666996577E-3</v>
      </c>
      <c r="R158" s="73">
        <v>0</v>
      </c>
      <c r="S158" s="40">
        <v>0</v>
      </c>
      <c r="T158" s="52">
        <v>0</v>
      </c>
      <c r="U158" s="73">
        <v>0</v>
      </c>
      <c r="V158" s="40">
        <v>0</v>
      </c>
      <c r="W158" s="52">
        <v>0</v>
      </c>
      <c r="X158" s="73">
        <v>342.9982040414676</v>
      </c>
      <c r="Y158" s="40">
        <v>336.328440508651</v>
      </c>
      <c r="Z158" s="52">
        <v>-6.6697635328166029</v>
      </c>
      <c r="AA158" s="73">
        <v>118.848</v>
      </c>
      <c r="AB158" s="40">
        <v>0</v>
      </c>
      <c r="AC158" s="52">
        <v>-118.848</v>
      </c>
      <c r="AD158" s="73">
        <v>1068.4403230746373</v>
      </c>
      <c r="AE158" s="40">
        <v>1338.9789208586769</v>
      </c>
      <c r="AF158" s="35">
        <v>270.53859778403967</v>
      </c>
      <c r="AG158" s="77">
        <v>2703.5751998081196</v>
      </c>
      <c r="AH158" s="53">
        <v>2947.4537948246571</v>
      </c>
      <c r="AI158" s="52">
        <v>243.87859501653747</v>
      </c>
      <c r="AJ158" s="73">
        <v>0</v>
      </c>
      <c r="AK158" s="40">
        <v>0</v>
      </c>
      <c r="AL158" s="52">
        <v>0</v>
      </c>
      <c r="AM158" s="73">
        <v>0</v>
      </c>
      <c r="AN158" s="40">
        <v>0</v>
      </c>
      <c r="AO158" s="52">
        <v>0</v>
      </c>
      <c r="AP158" s="73">
        <v>586.2216249999999</v>
      </c>
      <c r="AQ158" s="40">
        <v>0</v>
      </c>
      <c r="AR158" s="52">
        <v>-586.2216249999999</v>
      </c>
      <c r="AS158" s="73">
        <v>1384.9481940358269</v>
      </c>
      <c r="AT158" s="40">
        <v>0</v>
      </c>
      <c r="AU158" s="54">
        <v>-1384.9481940358269</v>
      </c>
      <c r="AV158" s="73">
        <v>332.77250813668218</v>
      </c>
      <c r="AW158" s="40">
        <v>1195</v>
      </c>
      <c r="AX158" s="55">
        <v>862.22749186331782</v>
      </c>
      <c r="AY158" s="73">
        <v>391.60923764831881</v>
      </c>
      <c r="AZ158" s="40">
        <v>0</v>
      </c>
      <c r="BA158" s="35">
        <v>-391.60923764831881</v>
      </c>
      <c r="BB158" s="73">
        <v>111.17062941664661</v>
      </c>
      <c r="BC158" s="40">
        <v>0</v>
      </c>
      <c r="BD158" s="55">
        <v>-111.17062941664661</v>
      </c>
      <c r="BE158" s="73">
        <v>0</v>
      </c>
      <c r="BF158" s="40">
        <v>0</v>
      </c>
      <c r="BG158" s="38">
        <v>0</v>
      </c>
      <c r="BH158" s="73">
        <v>0</v>
      </c>
      <c r="BI158" s="40">
        <v>0</v>
      </c>
      <c r="BJ158" s="55">
        <v>0</v>
      </c>
      <c r="BK158" s="73">
        <v>158.20144715849813</v>
      </c>
      <c r="BL158" s="40">
        <v>0</v>
      </c>
      <c r="BM158" s="38">
        <v>-158.20144715849813</v>
      </c>
      <c r="BN158" s="73">
        <v>29.712</v>
      </c>
      <c r="BO158" s="40">
        <v>0</v>
      </c>
      <c r="BP158" s="55">
        <v>-29.712</v>
      </c>
      <c r="BQ158" s="77">
        <v>1023.4658223601457</v>
      </c>
      <c r="BR158" s="40">
        <v>1195</v>
      </c>
      <c r="BS158" s="55">
        <v>171.53417763985431</v>
      </c>
      <c r="BT158" s="73">
        <v>3192.1364868404398</v>
      </c>
      <c r="BU158" s="40">
        <v>778.42953234105971</v>
      </c>
      <c r="BV158" s="52">
        <v>-2413.7069544993801</v>
      </c>
      <c r="BW158" s="73">
        <v>990.76403918856602</v>
      </c>
      <c r="BX158" s="40">
        <v>769.45236974678869</v>
      </c>
      <c r="BY158" s="52">
        <v>-221.31166944177733</v>
      </c>
      <c r="BZ158" s="73">
        <v>841.00702791859601</v>
      </c>
      <c r="CA158" s="40">
        <v>3424.1064985197486</v>
      </c>
      <c r="CB158" s="52">
        <v>2583.0994706011525</v>
      </c>
      <c r="CC158" s="73">
        <v>76.779904575000003</v>
      </c>
      <c r="CD158" s="40">
        <v>96.878230304064033</v>
      </c>
      <c r="CE158" s="52">
        <v>20.09832572906403</v>
      </c>
      <c r="CF158" s="73">
        <v>9.1223649000000009</v>
      </c>
      <c r="CG158" s="40">
        <v>0</v>
      </c>
      <c r="CH158" s="52">
        <v>-9.1223649000000009</v>
      </c>
      <c r="CI158" s="73">
        <v>289.66000000000003</v>
      </c>
      <c r="CJ158" s="40">
        <v>466.37573132668024</v>
      </c>
      <c r="CK158" s="52">
        <v>176.71573132668021</v>
      </c>
      <c r="CL158" s="73">
        <v>0</v>
      </c>
      <c r="CM158" s="40">
        <v>0</v>
      </c>
      <c r="CN158" s="52">
        <v>0</v>
      </c>
      <c r="CO158" s="39">
        <v>289.66000000000003</v>
      </c>
      <c r="CP158" s="40">
        <v>466.37573132668024</v>
      </c>
      <c r="CQ158" s="52">
        <v>176.71573132668021</v>
      </c>
      <c r="CR158" s="72">
        <v>11097.680664626694</v>
      </c>
      <c r="CS158" s="5">
        <v>9677.6961570629974</v>
      </c>
      <c r="CT158" s="52">
        <v>-1419.9845075636968</v>
      </c>
      <c r="CU158" s="77">
        <v>13317.216797552033</v>
      </c>
      <c r="CV158" s="65">
        <v>11613.235388475596</v>
      </c>
      <c r="CW158" s="35">
        <v>-1703.9814090764376</v>
      </c>
      <c r="CX158" s="73">
        <v>743.54057351336257</v>
      </c>
      <c r="CY158" s="40">
        <v>2447.5219825898002</v>
      </c>
      <c r="CZ158" s="52">
        <v>1703.9814090764376</v>
      </c>
      <c r="DA158" s="150">
        <v>47873.890903134263</v>
      </c>
      <c r="DB158" s="2">
        <v>2</v>
      </c>
      <c r="DC158" s="648">
        <v>13273.89</v>
      </c>
      <c r="DD158" s="648">
        <v>7816.8</v>
      </c>
      <c r="DE158" s="649">
        <v>7029.9326289346027</v>
      </c>
      <c r="DG158" s="321">
        <v>-15532.775413154919</v>
      </c>
      <c r="DH158" s="5">
        <v>168729.08845278475</v>
      </c>
      <c r="DI158" s="306">
        <v>4.7194802408818939</v>
      </c>
      <c r="DJ158" s="306"/>
      <c r="DK158" s="306">
        <v>4.2860510729846668</v>
      </c>
      <c r="DL158" s="28">
        <v>6796.5234948940151</v>
      </c>
      <c r="DM158" s="28">
        <v>195.01532382080234</v>
      </c>
      <c r="DN158" s="650">
        <v>6796.54</v>
      </c>
      <c r="DO158" s="94">
        <v>-1.650510598483379E-2</v>
      </c>
      <c r="DP158" s="28">
        <v>6991.5388187148174</v>
      </c>
      <c r="DQ158" s="318">
        <v>0</v>
      </c>
      <c r="DS158" s="8">
        <v>6658.6083987760167</v>
      </c>
      <c r="DT158" s="5">
        <v>332.93041993880081</v>
      </c>
      <c r="DW158" s="5">
        <v>2890.0968196751674</v>
      </c>
      <c r="DX158" s="5">
        <v>1434</v>
      </c>
    </row>
    <row r="159" spans="1:128" x14ac:dyDescent="0.3">
      <c r="A159" s="325">
        <v>150001033</v>
      </c>
      <c r="B159" s="41" t="s">
        <v>608</v>
      </c>
      <c r="C159" s="42" t="s">
        <v>363</v>
      </c>
      <c r="D159" s="42" t="s">
        <v>363</v>
      </c>
      <c r="E159" s="293">
        <v>4024.2</v>
      </c>
      <c r="F159" s="652">
        <v>4024.2</v>
      </c>
      <c r="G159" s="51">
        <v>446.79999999999973</v>
      </c>
      <c r="H159" s="651">
        <v>0</v>
      </c>
      <c r="I159" s="73">
        <v>1648.4069289201734</v>
      </c>
      <c r="J159" s="40">
        <v>1839.1209604640517</v>
      </c>
      <c r="K159" s="52">
        <v>190.71403154387826</v>
      </c>
      <c r="L159" s="73">
        <v>302.29903469684035</v>
      </c>
      <c r="M159" s="40">
        <v>357.13123164884826</v>
      </c>
      <c r="N159" s="52">
        <v>54.832196952007905</v>
      </c>
      <c r="O159" s="73">
        <v>793.28704735446001</v>
      </c>
      <c r="P159" s="40">
        <v>793.28</v>
      </c>
      <c r="Q159" s="52">
        <v>-7.0473544600417881E-3</v>
      </c>
      <c r="R159" s="73">
        <v>159.22613689577665</v>
      </c>
      <c r="S159" s="40">
        <v>159.24</v>
      </c>
      <c r="T159" s="52">
        <v>1.3863104223361233E-2</v>
      </c>
      <c r="U159" s="73">
        <v>86.533130947417462</v>
      </c>
      <c r="V159" s="40">
        <v>179.1088556664759</v>
      </c>
      <c r="W159" s="52">
        <v>92.575724719058442</v>
      </c>
      <c r="X159" s="73">
        <v>995.23098256557</v>
      </c>
      <c r="Y159" s="40">
        <v>1187.1584082950087</v>
      </c>
      <c r="Z159" s="52">
        <v>191.92742572943871</v>
      </c>
      <c r="AA159" s="73">
        <v>321.93599999999998</v>
      </c>
      <c r="AB159" s="40">
        <v>0</v>
      </c>
      <c r="AC159" s="52">
        <v>-321.93599999999998</v>
      </c>
      <c r="AD159" s="73">
        <v>2899.1088559612713</v>
      </c>
      <c r="AE159" s="40">
        <v>3627.0321575925468</v>
      </c>
      <c r="AF159" s="35">
        <v>727.92330163127554</v>
      </c>
      <c r="AG159" s="77">
        <v>7206.0281173415078</v>
      </c>
      <c r="AH159" s="53">
        <v>8142.0716136669307</v>
      </c>
      <c r="AI159" s="52">
        <v>936.04349632542289</v>
      </c>
      <c r="AJ159" s="73">
        <v>5521.72</v>
      </c>
      <c r="AK159" s="40">
        <v>5438.4201185626225</v>
      </c>
      <c r="AL159" s="52">
        <v>-83.299881437377735</v>
      </c>
      <c r="AM159" s="73">
        <v>0</v>
      </c>
      <c r="AN159" s="40">
        <v>0</v>
      </c>
      <c r="AO159" s="52">
        <v>0</v>
      </c>
      <c r="AP159" s="73">
        <v>441.24208333333331</v>
      </c>
      <c r="AQ159" s="40">
        <v>2602.594514455152</v>
      </c>
      <c r="AR159" s="52">
        <v>2161.3524311218189</v>
      </c>
      <c r="AS159" s="73">
        <v>4509.9627278268545</v>
      </c>
      <c r="AT159" s="40">
        <v>486</v>
      </c>
      <c r="AU159" s="54">
        <v>-4023.9627278268545</v>
      </c>
      <c r="AV159" s="73">
        <v>764.26945633357877</v>
      </c>
      <c r="AW159" s="40">
        <v>0</v>
      </c>
      <c r="AX159" s="55">
        <v>-764.26945633357877</v>
      </c>
      <c r="AY159" s="73">
        <v>849.40553498510292</v>
      </c>
      <c r="AZ159" s="40">
        <v>0</v>
      </c>
      <c r="BA159" s="35">
        <v>-849.40553498510292</v>
      </c>
      <c r="BB159" s="73">
        <v>290.83025067573999</v>
      </c>
      <c r="BC159" s="40">
        <v>0</v>
      </c>
      <c r="BD159" s="55">
        <v>-290.83025067573999</v>
      </c>
      <c r="BE159" s="73">
        <v>756.25935677338998</v>
      </c>
      <c r="BF159" s="40">
        <v>0</v>
      </c>
      <c r="BG159" s="38">
        <v>-756.25935677338998</v>
      </c>
      <c r="BH159" s="73">
        <v>417.92545115516577</v>
      </c>
      <c r="BI159" s="40">
        <v>0</v>
      </c>
      <c r="BJ159" s="55">
        <v>-417.92545115516577</v>
      </c>
      <c r="BK159" s="73">
        <v>652.425638549057</v>
      </c>
      <c r="BL159" s="40">
        <v>0</v>
      </c>
      <c r="BM159" s="38">
        <v>-652.425638549057</v>
      </c>
      <c r="BN159" s="73">
        <v>46.278093301901784</v>
      </c>
      <c r="BO159" s="40">
        <v>0</v>
      </c>
      <c r="BP159" s="55">
        <v>-46.278093301901784</v>
      </c>
      <c r="BQ159" s="77">
        <v>3777.3937817739361</v>
      </c>
      <c r="BR159" s="40">
        <v>0</v>
      </c>
      <c r="BS159" s="55">
        <v>-3777.3937817739361</v>
      </c>
      <c r="BT159" s="73">
        <v>6347.9001827616403</v>
      </c>
      <c r="BU159" s="40">
        <v>1382.7764261501532</v>
      </c>
      <c r="BV159" s="52">
        <v>-4965.1237566114869</v>
      </c>
      <c r="BW159" s="73">
        <v>5241.6437786186998</v>
      </c>
      <c r="BX159" s="40">
        <v>5771.7431332477154</v>
      </c>
      <c r="BY159" s="52">
        <v>530.09935462901558</v>
      </c>
      <c r="BZ159" s="73">
        <v>967.81168469802606</v>
      </c>
      <c r="CA159" s="40">
        <v>7926.6875717955163</v>
      </c>
      <c r="CB159" s="52">
        <v>6958.8758870974907</v>
      </c>
      <c r="CC159" s="73">
        <v>148.1732666975</v>
      </c>
      <c r="CD159" s="40">
        <v>184.74341132113307</v>
      </c>
      <c r="CE159" s="52">
        <v>36.57014462363307</v>
      </c>
      <c r="CF159" s="73">
        <v>17.396032170000002</v>
      </c>
      <c r="CG159" s="40">
        <v>0</v>
      </c>
      <c r="CH159" s="52">
        <v>-17.396032170000002</v>
      </c>
      <c r="CI159" s="73">
        <v>1510.6</v>
      </c>
      <c r="CJ159" s="40">
        <v>1327.4476774322059</v>
      </c>
      <c r="CK159" s="52">
        <v>-183.15232256779404</v>
      </c>
      <c r="CL159" s="73">
        <v>2198.9429</v>
      </c>
      <c r="CM159" s="40">
        <v>1601.259094152299</v>
      </c>
      <c r="CN159" s="52">
        <v>-597.68380584770102</v>
      </c>
      <c r="CO159" s="39">
        <v>3709.5428999999999</v>
      </c>
      <c r="CP159" s="40">
        <v>2928.7067715845051</v>
      </c>
      <c r="CQ159" s="52">
        <v>-780.83612841549484</v>
      </c>
      <c r="CR159" s="72">
        <v>37888.814555221499</v>
      </c>
      <c r="CS159" s="5">
        <v>34863.743560783732</v>
      </c>
      <c r="CT159" s="52">
        <v>-3025.0709944377668</v>
      </c>
      <c r="CU159" s="77">
        <v>45466.5774662658</v>
      </c>
      <c r="CV159" s="65">
        <v>41836.492272940479</v>
      </c>
      <c r="CW159" s="35">
        <v>-3630.0851933253216</v>
      </c>
      <c r="CX159" s="73">
        <v>2538.5368128249784</v>
      </c>
      <c r="CY159" s="40">
        <v>6168.6220061502972</v>
      </c>
      <c r="CZ159" s="52">
        <v>3630.0851933253189</v>
      </c>
      <c r="DA159" s="150">
        <v>-37023.139474673844</v>
      </c>
      <c r="DB159" s="2">
        <v>1</v>
      </c>
      <c r="DC159" s="648">
        <v>35023.94</v>
      </c>
      <c r="DD159" s="648"/>
      <c r="DE159" s="649">
        <v>-12981.174279090774</v>
      </c>
      <c r="DG159" s="321">
        <v>-31978.134733191691</v>
      </c>
      <c r="DH159" s="5">
        <v>576061.37134908931</v>
      </c>
      <c r="DI159" s="306">
        <v>4.8669890022338702</v>
      </c>
      <c r="DJ159" s="306">
        <v>6.0645681834548686</v>
      </c>
      <c r="DK159" s="306"/>
      <c r="DL159" s="28">
        <v>23869.956905689538</v>
      </c>
      <c r="DM159" s="28">
        <v>0</v>
      </c>
      <c r="DN159" s="650">
        <v>23870.1</v>
      </c>
      <c r="DO159" s="94">
        <v>-0.14309431046058307</v>
      </c>
      <c r="DP159" s="28">
        <v>23869.956905689538</v>
      </c>
      <c r="DQ159" s="318">
        <v>3.7358999943535309E-3</v>
      </c>
      <c r="DS159" s="8">
        <v>22733.2887331329</v>
      </c>
      <c r="DT159" s="5">
        <v>1136.664436656645</v>
      </c>
      <c r="DW159" s="5">
        <v>9944.8278115209487</v>
      </c>
      <c r="DX159" s="5">
        <v>583.19999999999993</v>
      </c>
    </row>
    <row r="160" spans="1:128" x14ac:dyDescent="0.3">
      <c r="A160" s="325">
        <v>150001009</v>
      </c>
      <c r="B160" s="41" t="s">
        <v>609</v>
      </c>
      <c r="C160" s="42" t="s">
        <v>213</v>
      </c>
      <c r="D160" s="42" t="s">
        <v>213</v>
      </c>
      <c r="E160" s="293">
        <v>1485.8</v>
      </c>
      <c r="F160" s="305">
        <v>1400.7</v>
      </c>
      <c r="G160" s="51"/>
      <c r="H160" s="651">
        <v>85.1</v>
      </c>
      <c r="I160" s="73">
        <v>737.1827521365218</v>
      </c>
      <c r="J160" s="40">
        <v>816.95910530255082</v>
      </c>
      <c r="K160" s="52">
        <v>79.776353166029025</v>
      </c>
      <c r="L160" s="73">
        <v>141.49313119245204</v>
      </c>
      <c r="M160" s="40">
        <v>159.408933460648</v>
      </c>
      <c r="N160" s="52">
        <v>17.915802268195961</v>
      </c>
      <c r="O160" s="73">
        <v>284.59749545173332</v>
      </c>
      <c r="P160" s="40">
        <v>284.60000000000002</v>
      </c>
      <c r="Q160" s="52">
        <v>2.5045482666996577E-3</v>
      </c>
      <c r="R160" s="73">
        <v>0</v>
      </c>
      <c r="S160" s="40">
        <v>0</v>
      </c>
      <c r="T160" s="52">
        <v>0</v>
      </c>
      <c r="U160" s="73">
        <v>0</v>
      </c>
      <c r="V160" s="40">
        <v>0</v>
      </c>
      <c r="W160" s="52">
        <v>0</v>
      </c>
      <c r="X160" s="73">
        <v>342.9982040414676</v>
      </c>
      <c r="Y160" s="40">
        <v>336.328440508651</v>
      </c>
      <c r="Z160" s="52">
        <v>-6.6697635328166029</v>
      </c>
      <c r="AA160" s="73">
        <v>118.77599999999998</v>
      </c>
      <c r="AB160" s="40">
        <v>0</v>
      </c>
      <c r="AC160" s="52">
        <v>-118.77599999999998</v>
      </c>
      <c r="AD160" s="73">
        <v>1066.2352812395143</v>
      </c>
      <c r="AE160" s="40">
        <v>1339.1591818873333</v>
      </c>
      <c r="AF160" s="35">
        <v>272.92390064781898</v>
      </c>
      <c r="AG160" s="77">
        <v>2691.282864061689</v>
      </c>
      <c r="AH160" s="53">
        <v>2936.4556611591834</v>
      </c>
      <c r="AI160" s="52">
        <v>245.17279709749437</v>
      </c>
      <c r="AJ160" s="73">
        <v>0</v>
      </c>
      <c r="AK160" s="40">
        <v>0</v>
      </c>
      <c r="AL160" s="52">
        <v>0</v>
      </c>
      <c r="AM160" s="73">
        <v>0</v>
      </c>
      <c r="AN160" s="40">
        <v>0</v>
      </c>
      <c r="AO160" s="52">
        <v>0</v>
      </c>
      <c r="AP160" s="73">
        <v>567.31124999999997</v>
      </c>
      <c r="AQ160" s="40">
        <v>0</v>
      </c>
      <c r="AR160" s="52">
        <v>-567.31124999999997</v>
      </c>
      <c r="AS160" s="73">
        <v>1492.3746938068548</v>
      </c>
      <c r="AT160" s="40">
        <v>0</v>
      </c>
      <c r="AU160" s="54">
        <v>-1492.3746938068548</v>
      </c>
      <c r="AV160" s="73">
        <v>331.61447733831983</v>
      </c>
      <c r="AW160" s="40">
        <v>0</v>
      </c>
      <c r="AX160" s="55">
        <v>-331.61447733831983</v>
      </c>
      <c r="AY160" s="73">
        <v>391.60923764831881</v>
      </c>
      <c r="AZ160" s="40">
        <v>0</v>
      </c>
      <c r="BA160" s="35">
        <v>-391.60923764831881</v>
      </c>
      <c r="BB160" s="73">
        <v>107.5766754758134</v>
      </c>
      <c r="BC160" s="40">
        <v>0</v>
      </c>
      <c r="BD160" s="55">
        <v>-107.5766754758134</v>
      </c>
      <c r="BE160" s="73">
        <v>0</v>
      </c>
      <c r="BF160" s="40">
        <v>0</v>
      </c>
      <c r="BG160" s="38">
        <v>0</v>
      </c>
      <c r="BH160" s="73">
        <v>0</v>
      </c>
      <c r="BI160" s="40">
        <v>0</v>
      </c>
      <c r="BJ160" s="55">
        <v>0</v>
      </c>
      <c r="BK160" s="73">
        <v>158.20144715849813</v>
      </c>
      <c r="BL160" s="40">
        <v>0</v>
      </c>
      <c r="BM160" s="38">
        <v>-158.20144715849813</v>
      </c>
      <c r="BN160" s="73">
        <v>29.693999999999996</v>
      </c>
      <c r="BO160" s="40">
        <v>0</v>
      </c>
      <c r="BP160" s="55">
        <v>-29.693999999999996</v>
      </c>
      <c r="BQ160" s="77">
        <v>1018.6958376209502</v>
      </c>
      <c r="BR160" s="40">
        <v>0</v>
      </c>
      <c r="BS160" s="55">
        <v>-1018.6958376209502</v>
      </c>
      <c r="BT160" s="73">
        <v>1276.720651425984</v>
      </c>
      <c r="BU160" s="40">
        <v>433.93804620764098</v>
      </c>
      <c r="BV160" s="52">
        <v>-842.78260521834295</v>
      </c>
      <c r="BW160" s="73">
        <v>829.18402580459201</v>
      </c>
      <c r="BX160" s="40">
        <v>656.07076552335002</v>
      </c>
      <c r="BY160" s="52">
        <v>-173.11326028124199</v>
      </c>
      <c r="BZ160" s="73">
        <v>923.36150881765798</v>
      </c>
      <c r="CA160" s="40">
        <v>2358.5826501944211</v>
      </c>
      <c r="CB160" s="52">
        <v>1435.2211413767632</v>
      </c>
      <c r="CC160" s="73">
        <v>80.217810749999998</v>
      </c>
      <c r="CD160" s="40">
        <v>101.21606151170867</v>
      </c>
      <c r="CE160" s="52">
        <v>20.998250761708675</v>
      </c>
      <c r="CF160" s="73">
        <v>9.5308290000000007</v>
      </c>
      <c r="CG160" s="40">
        <v>0</v>
      </c>
      <c r="CH160" s="52">
        <v>-9.5308290000000007</v>
      </c>
      <c r="CI160" s="73">
        <v>454.74</v>
      </c>
      <c r="CJ160" s="40">
        <v>634.46139896864486</v>
      </c>
      <c r="CK160" s="52">
        <v>179.72139896864485</v>
      </c>
      <c r="CL160" s="73">
        <v>0</v>
      </c>
      <c r="CM160" s="40">
        <v>0</v>
      </c>
      <c r="CN160" s="52">
        <v>0</v>
      </c>
      <c r="CO160" s="39">
        <v>454.74</v>
      </c>
      <c r="CP160" s="40">
        <v>634.46139896864486</v>
      </c>
      <c r="CQ160" s="52">
        <v>179.72139896864485</v>
      </c>
      <c r="CR160" s="72">
        <v>9343.419471287727</v>
      </c>
      <c r="CS160" s="5">
        <v>7120.7245835649501</v>
      </c>
      <c r="CT160" s="52">
        <v>-2222.6948877227769</v>
      </c>
      <c r="CU160" s="77">
        <v>11212.103365545272</v>
      </c>
      <c r="CV160" s="65">
        <v>8544.8695002779405</v>
      </c>
      <c r="CW160" s="35">
        <v>-2667.2338652673316</v>
      </c>
      <c r="CX160" s="73">
        <v>626.0057107609058</v>
      </c>
      <c r="CY160" s="40">
        <v>3293.2395760282379</v>
      </c>
      <c r="CZ160" s="52">
        <v>2667.233865267332</v>
      </c>
      <c r="DA160" s="150">
        <v>-21846.49682395182</v>
      </c>
      <c r="DB160" s="2">
        <v>2</v>
      </c>
      <c r="DC160" s="648">
        <v>8485.49</v>
      </c>
      <c r="DD160" s="648">
        <v>531.12</v>
      </c>
      <c r="DE160" s="649">
        <v>-2821.4990763061778</v>
      </c>
      <c r="DG160" s="321">
        <v>17028.179363848605</v>
      </c>
      <c r="DH160" s="5">
        <v>142057.30891567413</v>
      </c>
      <c r="DI160" s="306">
        <v>3.9860692020139545</v>
      </c>
      <c r="DJ160" s="306"/>
      <c r="DK160" s="306">
        <v>3.6128297505586153</v>
      </c>
      <c r="DL160" s="28">
        <v>5583.2871312609459</v>
      </c>
      <c r="DM160" s="28">
        <v>307.45181177253812</v>
      </c>
      <c r="DN160" s="650">
        <v>5583.36</v>
      </c>
      <c r="DO160" s="94">
        <v>-7.2868739053774334E-2</v>
      </c>
      <c r="DP160" s="28">
        <v>5890.7389430334842</v>
      </c>
      <c r="DQ160" s="318">
        <v>4.3846761222166606</v>
      </c>
      <c r="DS160" s="8">
        <v>5606.051682772636</v>
      </c>
      <c r="DT160" s="5">
        <v>280.3025841386318</v>
      </c>
      <c r="DW160" s="5">
        <v>3013.2846377133656</v>
      </c>
      <c r="DX160" s="5">
        <v>0</v>
      </c>
    </row>
    <row r="161" spans="1:128" x14ac:dyDescent="0.3">
      <c r="A161" s="325">
        <v>150001010</v>
      </c>
      <c r="B161" s="41" t="s">
        <v>610</v>
      </c>
      <c r="C161" s="42" t="s">
        <v>165</v>
      </c>
      <c r="D161" s="42" t="s">
        <v>165</v>
      </c>
      <c r="E161" s="293">
        <v>744.59999999999991</v>
      </c>
      <c r="F161" s="305">
        <v>539.29999999999995</v>
      </c>
      <c r="G161" s="51"/>
      <c r="H161" s="651">
        <v>205.3</v>
      </c>
      <c r="I161" s="73">
        <v>449.81265507770598</v>
      </c>
      <c r="J161" s="40">
        <v>494.7301903932829</v>
      </c>
      <c r="K161" s="52">
        <v>44.917535315576913</v>
      </c>
      <c r="L161" s="73">
        <v>107.96695066509649</v>
      </c>
      <c r="M161" s="40">
        <v>121.63753426508681</v>
      </c>
      <c r="N161" s="52">
        <v>13.670583599990323</v>
      </c>
      <c r="O161" s="73">
        <v>135.33542244985</v>
      </c>
      <c r="P161" s="40">
        <v>135.34</v>
      </c>
      <c r="Q161" s="52">
        <v>4.5775501500031623E-3</v>
      </c>
      <c r="R161" s="73">
        <v>0</v>
      </c>
      <c r="S161" s="40">
        <v>0</v>
      </c>
      <c r="T161" s="52">
        <v>0</v>
      </c>
      <c r="U161" s="73">
        <v>0</v>
      </c>
      <c r="V161" s="40">
        <v>0</v>
      </c>
      <c r="W161" s="52">
        <v>0</v>
      </c>
      <c r="X161" s="73">
        <v>227.96997717600007</v>
      </c>
      <c r="Y161" s="40">
        <v>246.17834584109653</v>
      </c>
      <c r="Z161" s="52">
        <v>18.208368665096458</v>
      </c>
      <c r="AA161" s="73">
        <v>61.343999999999994</v>
      </c>
      <c r="AB161" s="40">
        <v>0</v>
      </c>
      <c r="AC161" s="52">
        <v>-61.343999999999994</v>
      </c>
      <c r="AD161" s="73">
        <v>543.39729349806601</v>
      </c>
      <c r="AE161" s="40">
        <v>671.11180968724466</v>
      </c>
      <c r="AF161" s="35">
        <v>127.71451618917865</v>
      </c>
      <c r="AG161" s="77">
        <v>1525.8262988667184</v>
      </c>
      <c r="AH161" s="53">
        <v>1668.997880186711</v>
      </c>
      <c r="AI161" s="52">
        <v>143.17158131999258</v>
      </c>
      <c r="AJ161" s="73">
        <v>0</v>
      </c>
      <c r="AK161" s="40">
        <v>0</v>
      </c>
      <c r="AL161" s="52">
        <v>0</v>
      </c>
      <c r="AM161" s="73">
        <v>0</v>
      </c>
      <c r="AN161" s="40">
        <v>0</v>
      </c>
      <c r="AO161" s="52">
        <v>0</v>
      </c>
      <c r="AP161" s="73">
        <v>208.01412499999998</v>
      </c>
      <c r="AQ161" s="40">
        <v>613.46870697871441</v>
      </c>
      <c r="AR161" s="52">
        <v>405.45458197871443</v>
      </c>
      <c r="AS161" s="73">
        <v>1003.4639565761597</v>
      </c>
      <c r="AT161" s="40">
        <v>0</v>
      </c>
      <c r="AU161" s="54">
        <v>-1003.4639565761597</v>
      </c>
      <c r="AV161" s="73">
        <v>230.9655556616606</v>
      </c>
      <c r="AW161" s="40">
        <v>0</v>
      </c>
      <c r="AX161" s="55">
        <v>-230.9655556616606</v>
      </c>
      <c r="AY161" s="73">
        <v>298.86052787422062</v>
      </c>
      <c r="AZ161" s="40">
        <v>0</v>
      </c>
      <c r="BA161" s="35">
        <v>-298.86052787422062</v>
      </c>
      <c r="BB161" s="73">
        <v>44.243344682563404</v>
      </c>
      <c r="BC161" s="40">
        <v>0</v>
      </c>
      <c r="BD161" s="55">
        <v>-44.243344682563404</v>
      </c>
      <c r="BE161" s="73">
        <v>0</v>
      </c>
      <c r="BF161" s="40">
        <v>0</v>
      </c>
      <c r="BG161" s="38">
        <v>0</v>
      </c>
      <c r="BH161" s="73">
        <v>0</v>
      </c>
      <c r="BI161" s="40">
        <v>0</v>
      </c>
      <c r="BJ161" s="55">
        <v>0</v>
      </c>
      <c r="BK161" s="73">
        <v>126.00782034491371</v>
      </c>
      <c r="BL161" s="40">
        <v>0</v>
      </c>
      <c r="BM161" s="38">
        <v>-126.00782034491371</v>
      </c>
      <c r="BN161" s="73">
        <v>15.335999999999999</v>
      </c>
      <c r="BO161" s="40">
        <v>0</v>
      </c>
      <c r="BP161" s="55">
        <v>-15.335999999999999</v>
      </c>
      <c r="BQ161" s="77">
        <v>715.41324856335837</v>
      </c>
      <c r="BR161" s="40">
        <v>0</v>
      </c>
      <c r="BS161" s="55">
        <v>-715.41324856335837</v>
      </c>
      <c r="BT161" s="73">
        <v>858.60196377863804</v>
      </c>
      <c r="BU161" s="40">
        <v>284.34954485338613</v>
      </c>
      <c r="BV161" s="52">
        <v>-574.25241892525196</v>
      </c>
      <c r="BW161" s="73">
        <v>502.375231741552</v>
      </c>
      <c r="BX161" s="40">
        <v>535.46086802258276</v>
      </c>
      <c r="BY161" s="52">
        <v>33.085636281030759</v>
      </c>
      <c r="BZ161" s="73">
        <v>636.26391123263204</v>
      </c>
      <c r="CA161" s="40">
        <v>1659.2067893951007</v>
      </c>
      <c r="CB161" s="52">
        <v>1022.9428781624687</v>
      </c>
      <c r="CC161" s="73">
        <v>40.108905374999999</v>
      </c>
      <c r="CD161" s="40">
        <v>50.608030755854337</v>
      </c>
      <c r="CE161" s="52">
        <v>10.499125380854338</v>
      </c>
      <c r="CF161" s="73">
        <v>4.7654145000000003</v>
      </c>
      <c r="CG161" s="40">
        <v>0</v>
      </c>
      <c r="CH161" s="52">
        <v>-4.7654145000000003</v>
      </c>
      <c r="CI161" s="73">
        <v>168.2</v>
      </c>
      <c r="CJ161" s="40">
        <v>190.17815452397633</v>
      </c>
      <c r="CK161" s="52">
        <v>21.978154523976343</v>
      </c>
      <c r="CL161" s="73">
        <v>0</v>
      </c>
      <c r="CM161" s="40">
        <v>0</v>
      </c>
      <c r="CN161" s="52">
        <v>0</v>
      </c>
      <c r="CO161" s="39">
        <v>168.2</v>
      </c>
      <c r="CP161" s="40">
        <v>190.17815452397633</v>
      </c>
      <c r="CQ161" s="52">
        <v>21.978154523976343</v>
      </c>
      <c r="CR161" s="72">
        <v>5663.0330556340577</v>
      </c>
      <c r="CS161" s="5">
        <v>5002.269974716326</v>
      </c>
      <c r="CT161" s="52">
        <v>-660.76308091773171</v>
      </c>
      <c r="CU161" s="77">
        <v>6795.6396667608687</v>
      </c>
      <c r="CV161" s="65">
        <v>6002.7239696595907</v>
      </c>
      <c r="CW161" s="35">
        <v>-792.91569710127806</v>
      </c>
      <c r="CX161" s="73">
        <v>379.42115774088347</v>
      </c>
      <c r="CY161" s="40">
        <v>1172.3368548421613</v>
      </c>
      <c r="CZ161" s="52">
        <v>792.91569710127783</v>
      </c>
      <c r="DA161" s="150">
        <v>45480.818358661119</v>
      </c>
      <c r="DB161" s="2">
        <v>2</v>
      </c>
      <c r="DC161" s="648">
        <v>3318.25</v>
      </c>
      <c r="DD161" s="648">
        <v>870.46</v>
      </c>
      <c r="DE161" s="649">
        <v>-2986.350824501752</v>
      </c>
      <c r="DG161" s="321">
        <v>15440.620681751672</v>
      </c>
      <c r="DH161" s="5">
        <v>86100.729894021031</v>
      </c>
      <c r="DI161" s="306">
        <v>4.8268422735593939</v>
      </c>
      <c r="DJ161" s="306"/>
      <c r="DK161" s="306">
        <v>4.2399770853576921</v>
      </c>
      <c r="DL161" s="28">
        <v>2603.1160381305808</v>
      </c>
      <c r="DM161" s="28">
        <v>870.46729562393421</v>
      </c>
      <c r="DN161" s="650">
        <v>2603.0700000000002</v>
      </c>
      <c r="DO161" s="94">
        <v>4.6038130580654979E-2</v>
      </c>
      <c r="DP161" s="28">
        <v>3473.583333754515</v>
      </c>
      <c r="DQ161" s="318">
        <v>-94.127491294941137</v>
      </c>
      <c r="DS161" s="8">
        <v>3397.8198333804344</v>
      </c>
      <c r="DT161" s="5">
        <v>169.89099166902176</v>
      </c>
      <c r="DW161" s="5">
        <v>2062.6526461674216</v>
      </c>
      <c r="DX161" s="5">
        <v>0</v>
      </c>
    </row>
    <row r="162" spans="1:128" x14ac:dyDescent="0.3">
      <c r="A162" s="325">
        <v>150001011</v>
      </c>
      <c r="B162" s="41" t="s">
        <v>611</v>
      </c>
      <c r="C162" s="42" t="s">
        <v>166</v>
      </c>
      <c r="D162" s="42" t="s">
        <v>166</v>
      </c>
      <c r="E162" s="293">
        <v>422.9</v>
      </c>
      <c r="F162" s="305">
        <v>422.9</v>
      </c>
      <c r="G162" s="51"/>
      <c r="H162" s="651">
        <v>0</v>
      </c>
      <c r="I162" s="73">
        <v>297.38671670335009</v>
      </c>
      <c r="J162" s="40">
        <v>327.63477789359615</v>
      </c>
      <c r="K162" s="52">
        <v>30.248061190246062</v>
      </c>
      <c r="L162" s="73">
        <v>52.104149668070626</v>
      </c>
      <c r="M162" s="40">
        <v>58.701427100318007</v>
      </c>
      <c r="N162" s="52">
        <v>6.5972774322473811</v>
      </c>
      <c r="O162" s="73">
        <v>75.78047779021</v>
      </c>
      <c r="P162" s="40">
        <v>75.78</v>
      </c>
      <c r="Q162" s="52">
        <v>-4.777902099988296E-4</v>
      </c>
      <c r="R162" s="73">
        <v>0</v>
      </c>
      <c r="S162" s="40">
        <v>0</v>
      </c>
      <c r="T162" s="52">
        <v>0</v>
      </c>
      <c r="U162" s="73">
        <v>0</v>
      </c>
      <c r="V162" s="40">
        <v>0</v>
      </c>
      <c r="W162" s="52">
        <v>0</v>
      </c>
      <c r="X162" s="73">
        <v>110.31470107170991</v>
      </c>
      <c r="Y162" s="40">
        <v>156.15776688735974</v>
      </c>
      <c r="Z162" s="52">
        <v>45.843065815649837</v>
      </c>
      <c r="AA162" s="73">
        <v>33.832000000000001</v>
      </c>
      <c r="AB162" s="40">
        <v>0</v>
      </c>
      <c r="AC162" s="52">
        <v>-33.832000000000001</v>
      </c>
      <c r="AD162" s="73">
        <v>304.66025915358057</v>
      </c>
      <c r="AE162" s="40">
        <v>381.16194509365539</v>
      </c>
      <c r="AF162" s="35">
        <v>76.501685940074822</v>
      </c>
      <c r="AG162" s="77">
        <v>874.07830438692122</v>
      </c>
      <c r="AH162" s="53">
        <v>999.43591697492923</v>
      </c>
      <c r="AI162" s="52">
        <v>125.35761258800801</v>
      </c>
      <c r="AJ162" s="73">
        <v>0</v>
      </c>
      <c r="AK162" s="40">
        <v>0</v>
      </c>
      <c r="AL162" s="52">
        <v>0</v>
      </c>
      <c r="AM162" s="73">
        <v>0</v>
      </c>
      <c r="AN162" s="40">
        <v>0</v>
      </c>
      <c r="AO162" s="52">
        <v>0</v>
      </c>
      <c r="AP162" s="73">
        <v>151.28299999999999</v>
      </c>
      <c r="AQ162" s="40">
        <v>446.15905962088323</v>
      </c>
      <c r="AR162" s="52">
        <v>294.87605962088321</v>
      </c>
      <c r="AS162" s="73">
        <v>597.46080368292542</v>
      </c>
      <c r="AT162" s="40">
        <v>0</v>
      </c>
      <c r="AU162" s="54">
        <v>-597.46080368292542</v>
      </c>
      <c r="AV162" s="73">
        <v>141.57296710757262</v>
      </c>
      <c r="AW162" s="40">
        <v>0</v>
      </c>
      <c r="AX162" s="55">
        <v>-141.57296710757262</v>
      </c>
      <c r="AY162" s="73">
        <v>144.20871429597392</v>
      </c>
      <c r="AZ162" s="40">
        <v>0</v>
      </c>
      <c r="BA162" s="35">
        <v>-144.20871429597392</v>
      </c>
      <c r="BB162" s="73">
        <v>23.869979690396661</v>
      </c>
      <c r="BC162" s="40">
        <v>0</v>
      </c>
      <c r="BD162" s="55">
        <v>-23.869979690396661</v>
      </c>
      <c r="BE162" s="73">
        <v>0</v>
      </c>
      <c r="BF162" s="40">
        <v>0</v>
      </c>
      <c r="BG162" s="38">
        <v>0</v>
      </c>
      <c r="BH162" s="73">
        <v>0</v>
      </c>
      <c r="BI162" s="40">
        <v>0</v>
      </c>
      <c r="BJ162" s="55">
        <v>0</v>
      </c>
      <c r="BK162" s="73">
        <v>24.345810115983802</v>
      </c>
      <c r="BL162" s="40">
        <v>0</v>
      </c>
      <c r="BM162" s="38">
        <v>-24.345810115983802</v>
      </c>
      <c r="BN162" s="73">
        <v>8.4580000000000002</v>
      </c>
      <c r="BO162" s="40">
        <v>0</v>
      </c>
      <c r="BP162" s="55">
        <v>-8.4580000000000002</v>
      </c>
      <c r="BQ162" s="77">
        <v>342.455471209927</v>
      </c>
      <c r="BR162" s="40">
        <v>0</v>
      </c>
      <c r="BS162" s="55">
        <v>-342.455471209927</v>
      </c>
      <c r="BT162" s="73">
        <v>524.21991884358397</v>
      </c>
      <c r="BU162" s="40">
        <v>136.61608295100908</v>
      </c>
      <c r="BV162" s="52">
        <v>-387.60383589257492</v>
      </c>
      <c r="BW162" s="73">
        <v>329.47932239028597</v>
      </c>
      <c r="BX162" s="40">
        <v>345.19037984562601</v>
      </c>
      <c r="BY162" s="52">
        <v>15.71105745534004</v>
      </c>
      <c r="BZ162" s="73">
        <v>240.23195297389199</v>
      </c>
      <c r="CA162" s="40">
        <v>809.63465945431244</v>
      </c>
      <c r="CB162" s="52">
        <v>569.40270648042042</v>
      </c>
      <c r="CC162" s="73">
        <v>0</v>
      </c>
      <c r="CD162" s="40">
        <v>0</v>
      </c>
      <c r="CE162" s="52">
        <v>0</v>
      </c>
      <c r="CF162" s="73">
        <v>0</v>
      </c>
      <c r="CG162" s="40">
        <v>0</v>
      </c>
      <c r="CH162" s="52">
        <v>0</v>
      </c>
      <c r="CI162" s="73">
        <v>202.46</v>
      </c>
      <c r="CJ162" s="40">
        <v>122.72274770853178</v>
      </c>
      <c r="CK162" s="52">
        <v>-79.737252291468224</v>
      </c>
      <c r="CL162" s="73">
        <v>0</v>
      </c>
      <c r="CM162" s="40">
        <v>0</v>
      </c>
      <c r="CN162" s="52">
        <v>0</v>
      </c>
      <c r="CO162" s="39">
        <v>202.46</v>
      </c>
      <c r="CP162" s="40">
        <v>122.72274770853178</v>
      </c>
      <c r="CQ162" s="52">
        <v>-79.737252291468224</v>
      </c>
      <c r="CR162" s="72">
        <v>3261.6687734875359</v>
      </c>
      <c r="CS162" s="5">
        <v>2859.7588465552917</v>
      </c>
      <c r="CT162" s="52">
        <v>-401.90992693224416</v>
      </c>
      <c r="CU162" s="77">
        <v>3914.002528185043</v>
      </c>
      <c r="CV162" s="65">
        <v>3431.7106158663501</v>
      </c>
      <c r="CW162" s="35">
        <v>-482.29191231869299</v>
      </c>
      <c r="CX162" s="73">
        <v>218.53062308592993</v>
      </c>
      <c r="CY162" s="40">
        <v>700.82253540462261</v>
      </c>
      <c r="CZ162" s="52">
        <v>482.29191231869265</v>
      </c>
      <c r="DA162" s="150">
        <v>9079.3134772439189</v>
      </c>
      <c r="DB162" s="2">
        <v>2</v>
      </c>
      <c r="DC162" s="648">
        <v>7125.56</v>
      </c>
      <c r="DD162" s="648"/>
      <c r="DE162" s="649">
        <v>2993.0268487290277</v>
      </c>
      <c r="DG162" s="321">
        <v>-6336.0187503572824</v>
      </c>
      <c r="DH162" s="5">
        <v>49590.397815251672</v>
      </c>
      <c r="DI162" s="306">
        <v>4.8589532449684265</v>
      </c>
      <c r="DJ162" s="306"/>
      <c r="DK162" s="306"/>
      <c r="DL162" s="28">
        <v>2054.8513272971472</v>
      </c>
      <c r="DM162" s="28">
        <v>0</v>
      </c>
      <c r="DN162" s="650">
        <v>2054.87</v>
      </c>
      <c r="DO162" s="94">
        <v>-1.8672702852654766E-2</v>
      </c>
      <c r="DP162" s="28">
        <v>2054.8513272971472</v>
      </c>
      <c r="DQ162" s="318">
        <v>0</v>
      </c>
      <c r="DS162" s="8">
        <v>1957.0012640925215</v>
      </c>
      <c r="DT162" s="5">
        <v>97.850063204626068</v>
      </c>
      <c r="DW162" s="5">
        <v>1127.8995298714228</v>
      </c>
      <c r="DX162" s="5">
        <v>0</v>
      </c>
    </row>
    <row r="163" spans="1:128" x14ac:dyDescent="0.3">
      <c r="A163" s="391">
        <v>150001013</v>
      </c>
      <c r="B163" s="41" t="s">
        <v>612</v>
      </c>
      <c r="C163" s="42" t="s">
        <v>261</v>
      </c>
      <c r="D163" s="42" t="s">
        <v>261</v>
      </c>
      <c r="E163" s="293">
        <v>3476.23</v>
      </c>
      <c r="F163" s="305">
        <v>2612.75</v>
      </c>
      <c r="G163" s="51"/>
      <c r="H163" s="651">
        <v>863.48</v>
      </c>
      <c r="I163" s="73">
        <v>1603.7980210610092</v>
      </c>
      <c r="J163" s="40">
        <v>1780.2342726885561</v>
      </c>
      <c r="K163" s="52">
        <v>176.43625162754688</v>
      </c>
      <c r="L163" s="73">
        <v>354.48897192983929</v>
      </c>
      <c r="M163" s="40">
        <v>399.37413711286013</v>
      </c>
      <c r="N163" s="52">
        <v>44.885165183020831</v>
      </c>
      <c r="O163" s="73">
        <v>656.42283151454342</v>
      </c>
      <c r="P163" s="40">
        <v>656.4</v>
      </c>
      <c r="Q163" s="52">
        <v>-2.283151454344079E-2</v>
      </c>
      <c r="R163" s="73">
        <v>0</v>
      </c>
      <c r="S163" s="40">
        <v>0</v>
      </c>
      <c r="T163" s="52">
        <v>0</v>
      </c>
      <c r="U163" s="73">
        <v>0</v>
      </c>
      <c r="V163" s="40">
        <v>0</v>
      </c>
      <c r="W163" s="52">
        <v>0</v>
      </c>
      <c r="X163" s="73">
        <v>847.51295234303211</v>
      </c>
      <c r="Y163" s="40">
        <v>892.44442439676118</v>
      </c>
      <c r="Z163" s="52">
        <v>44.931472053729067</v>
      </c>
      <c r="AA163" s="73">
        <v>277.24079999999998</v>
      </c>
      <c r="AB163" s="40">
        <v>0</v>
      </c>
      <c r="AC163" s="52">
        <v>-277.24079999999998</v>
      </c>
      <c r="AD163" s="73">
        <v>2462.7786806459039</v>
      </c>
      <c r="AE163" s="40">
        <v>3133.1439782287016</v>
      </c>
      <c r="AF163" s="35">
        <v>670.36529758279767</v>
      </c>
      <c r="AG163" s="77">
        <v>6202.2422574943275</v>
      </c>
      <c r="AH163" s="53">
        <v>6861.5968124268793</v>
      </c>
      <c r="AI163" s="52">
        <v>659.35455493255176</v>
      </c>
      <c r="AJ163" s="73">
        <v>0</v>
      </c>
      <c r="AK163" s="40">
        <v>0</v>
      </c>
      <c r="AL163" s="52">
        <v>0</v>
      </c>
      <c r="AM163" s="73">
        <v>0</v>
      </c>
      <c r="AN163" s="40">
        <v>0</v>
      </c>
      <c r="AO163" s="52">
        <v>0</v>
      </c>
      <c r="AP163" s="73">
        <v>1229.1743749999998</v>
      </c>
      <c r="AQ163" s="40">
        <v>0</v>
      </c>
      <c r="AR163" s="52">
        <v>-1229.1743749999998</v>
      </c>
      <c r="AS163" s="73">
        <v>3004.6628583328629</v>
      </c>
      <c r="AT163" s="40">
        <v>668</v>
      </c>
      <c r="AU163" s="54">
        <v>-2336.6628583328629</v>
      </c>
      <c r="AV163" s="73">
        <v>730.9322426505662</v>
      </c>
      <c r="AW163" s="40">
        <v>299</v>
      </c>
      <c r="AX163" s="55">
        <v>-431.9322426505662</v>
      </c>
      <c r="AY163" s="73">
        <v>981.1474424167933</v>
      </c>
      <c r="AZ163" s="40">
        <v>0</v>
      </c>
      <c r="BA163" s="35">
        <v>-981.1474424167933</v>
      </c>
      <c r="BB163" s="73">
        <v>265.5905662401168</v>
      </c>
      <c r="BC163" s="40">
        <v>1577</v>
      </c>
      <c r="BD163" s="55">
        <v>1311.4094337598831</v>
      </c>
      <c r="BE163" s="73">
        <v>0</v>
      </c>
      <c r="BF163" s="40">
        <v>0</v>
      </c>
      <c r="BG163" s="38">
        <v>0</v>
      </c>
      <c r="BH163" s="73">
        <v>0</v>
      </c>
      <c r="BI163" s="40">
        <v>0</v>
      </c>
      <c r="BJ163" s="55">
        <v>0</v>
      </c>
      <c r="BK163" s="73">
        <v>564.11393394841866</v>
      </c>
      <c r="BL163" s="40">
        <v>0</v>
      </c>
      <c r="BM163" s="38">
        <v>-564.11393394841866</v>
      </c>
      <c r="BN163" s="73">
        <v>69.310199999999995</v>
      </c>
      <c r="BO163" s="40">
        <v>0</v>
      </c>
      <c r="BP163" s="55">
        <v>-69.310199999999995</v>
      </c>
      <c r="BQ163" s="77">
        <v>2611.0943852558948</v>
      </c>
      <c r="BR163" s="40">
        <v>1876</v>
      </c>
      <c r="BS163" s="55">
        <v>-735.09438525589485</v>
      </c>
      <c r="BT163" s="73">
        <v>3074.8960209502602</v>
      </c>
      <c r="BU163" s="40">
        <v>909.52463973743363</v>
      </c>
      <c r="BV163" s="52">
        <v>-2165.3713812128267</v>
      </c>
      <c r="BW163" s="73">
        <v>2162.7855583923401</v>
      </c>
      <c r="BX163" s="40">
        <v>2328.8742438503377</v>
      </c>
      <c r="BY163" s="52">
        <v>166.0886854579976</v>
      </c>
      <c r="BZ163" s="73">
        <v>1703.43258901695</v>
      </c>
      <c r="CA163" s="40">
        <v>5824.6580028650715</v>
      </c>
      <c r="CB163" s="52">
        <v>4121.2254138481212</v>
      </c>
      <c r="CC163" s="73">
        <v>114.214882925</v>
      </c>
      <c r="CD163" s="40">
        <v>144.11239234286143</v>
      </c>
      <c r="CE163" s="52">
        <v>29.897509417861428</v>
      </c>
      <c r="CF163" s="73">
        <v>13.5700851</v>
      </c>
      <c r="CG163" s="40">
        <v>0</v>
      </c>
      <c r="CH163" s="52">
        <v>-13.5700851</v>
      </c>
      <c r="CI163" s="73">
        <v>750.64</v>
      </c>
      <c r="CJ163" s="40">
        <v>935.45249060426022</v>
      </c>
      <c r="CK163" s="52">
        <v>184.81249060426023</v>
      </c>
      <c r="CL163" s="73">
        <v>0</v>
      </c>
      <c r="CM163" s="40">
        <v>0</v>
      </c>
      <c r="CN163" s="52">
        <v>0</v>
      </c>
      <c r="CO163" s="39">
        <v>750.64</v>
      </c>
      <c r="CP163" s="40">
        <v>935.45249060426022</v>
      </c>
      <c r="CQ163" s="52">
        <v>184.81249060426023</v>
      </c>
      <c r="CR163" s="72">
        <v>20866.713012467633</v>
      </c>
      <c r="CS163" s="5">
        <v>19548.218581826844</v>
      </c>
      <c r="CT163" s="52">
        <v>-1318.4944306407888</v>
      </c>
      <c r="CU163" s="77">
        <v>25040.055614961158</v>
      </c>
      <c r="CV163" s="65">
        <v>23457.862298192213</v>
      </c>
      <c r="CW163" s="35">
        <v>-1582.1933167689458</v>
      </c>
      <c r="CX163" s="73">
        <v>1398.0621924077352</v>
      </c>
      <c r="CY163" s="40">
        <v>2980.2555091766808</v>
      </c>
      <c r="CZ163" s="52">
        <v>1582.1933167689456</v>
      </c>
      <c r="DA163" s="150">
        <v>-31938.761527814087</v>
      </c>
      <c r="DB163" s="2">
        <v>2</v>
      </c>
      <c r="DC163" s="648">
        <v>27944.92</v>
      </c>
      <c r="DD163" s="648">
        <v>38502.110000000008</v>
      </c>
      <c r="DE163" s="649">
        <v>40008.912192631105</v>
      </c>
      <c r="DG163" s="321">
        <v>-32947.733814622618</v>
      </c>
      <c r="DH163" s="5">
        <v>317257.41368842672</v>
      </c>
      <c r="DI163" s="306">
        <v>3.9217797087102779</v>
      </c>
      <c r="DJ163" s="306"/>
      <c r="DK163" s="306">
        <v>3.4002136182170686</v>
      </c>
      <c r="DL163" s="28">
        <v>10246.629933932778</v>
      </c>
      <c r="DM163" s="28">
        <v>2936.0164550580744</v>
      </c>
      <c r="DN163" s="650">
        <v>10246.67</v>
      </c>
      <c r="DO163" s="94">
        <v>-4.006606722214201E-2</v>
      </c>
      <c r="DP163" s="28">
        <v>13182.646388990852</v>
      </c>
      <c r="DQ163" s="318">
        <v>36.617191136243491</v>
      </c>
      <c r="DS163" s="8">
        <v>12520.027807480579</v>
      </c>
      <c r="DT163" s="5">
        <v>626.00139037402903</v>
      </c>
      <c r="DW163" s="5">
        <v>6738.9086923065088</v>
      </c>
      <c r="DX163" s="5">
        <v>3052.7999999999997</v>
      </c>
    </row>
    <row r="164" spans="1:128" x14ac:dyDescent="0.3">
      <c r="A164" s="325">
        <v>150001014</v>
      </c>
      <c r="B164" s="41" t="s">
        <v>613</v>
      </c>
      <c r="C164" s="42" t="s">
        <v>167</v>
      </c>
      <c r="D164" s="42" t="s">
        <v>167</v>
      </c>
      <c r="E164" s="293">
        <v>339.3</v>
      </c>
      <c r="F164" s="305">
        <v>339.3</v>
      </c>
      <c r="G164" s="51"/>
      <c r="H164" s="651">
        <v>0</v>
      </c>
      <c r="I164" s="73">
        <v>234.65613442450712</v>
      </c>
      <c r="J164" s="40">
        <v>257.86654671432575</v>
      </c>
      <c r="K164" s="52">
        <v>23.210412289818635</v>
      </c>
      <c r="L164" s="73">
        <v>43.679195344153428</v>
      </c>
      <c r="M164" s="40">
        <v>49.209902817928281</v>
      </c>
      <c r="N164" s="52">
        <v>5.5307074737748536</v>
      </c>
      <c r="O164" s="73">
        <v>61.483958656959999</v>
      </c>
      <c r="P164" s="40">
        <v>61.48</v>
      </c>
      <c r="Q164" s="52">
        <v>-3.9586569600018606E-3</v>
      </c>
      <c r="R164" s="73">
        <v>0</v>
      </c>
      <c r="S164" s="40">
        <v>0</v>
      </c>
      <c r="T164" s="52">
        <v>0</v>
      </c>
      <c r="U164" s="73">
        <v>0</v>
      </c>
      <c r="V164" s="40">
        <v>0</v>
      </c>
      <c r="W164" s="52">
        <v>0</v>
      </c>
      <c r="X164" s="73">
        <v>109.88871699430045</v>
      </c>
      <c r="Y164" s="40">
        <v>108.92594653981561</v>
      </c>
      <c r="Z164" s="52">
        <v>-0.96277045448483989</v>
      </c>
      <c r="AA164" s="73">
        <v>27.144000000000002</v>
      </c>
      <c r="AB164" s="40">
        <v>0</v>
      </c>
      <c r="AC164" s="52">
        <v>-27.144000000000002</v>
      </c>
      <c r="AD164" s="73">
        <v>244.45922868411091</v>
      </c>
      <c r="AE164" s="40">
        <v>305.81283511534002</v>
      </c>
      <c r="AF164" s="35">
        <v>61.35360643122911</v>
      </c>
      <c r="AG164" s="77">
        <v>721.31123410403188</v>
      </c>
      <c r="AH164" s="53">
        <v>783.29523118740974</v>
      </c>
      <c r="AI164" s="52">
        <v>61.983997083377858</v>
      </c>
      <c r="AJ164" s="73">
        <v>0</v>
      </c>
      <c r="AK164" s="40">
        <v>0</v>
      </c>
      <c r="AL164" s="52">
        <v>0</v>
      </c>
      <c r="AM164" s="73">
        <v>0</v>
      </c>
      <c r="AN164" s="40">
        <v>0</v>
      </c>
      <c r="AO164" s="52">
        <v>0</v>
      </c>
      <c r="AP164" s="73">
        <v>75.641499999999994</v>
      </c>
      <c r="AQ164" s="40">
        <v>0</v>
      </c>
      <c r="AR164" s="52">
        <v>-75.641499999999994</v>
      </c>
      <c r="AS164" s="73">
        <v>643.82108257738162</v>
      </c>
      <c r="AT164" s="40">
        <v>0</v>
      </c>
      <c r="AU164" s="54">
        <v>-643.82108257738162</v>
      </c>
      <c r="AV164" s="73">
        <v>112.66077079546729</v>
      </c>
      <c r="AW164" s="40">
        <v>0</v>
      </c>
      <c r="AX164" s="55">
        <v>-112.66077079546729</v>
      </c>
      <c r="AY164" s="73">
        <v>120.87492098007712</v>
      </c>
      <c r="AZ164" s="40">
        <v>0</v>
      </c>
      <c r="BA164" s="35">
        <v>-120.87492098007712</v>
      </c>
      <c r="BB164" s="73">
        <v>15.375271416612001</v>
      </c>
      <c r="BC164" s="40">
        <v>0</v>
      </c>
      <c r="BD164" s="55">
        <v>-15.375271416612001</v>
      </c>
      <c r="BE164" s="73">
        <v>0</v>
      </c>
      <c r="BF164" s="40">
        <v>0</v>
      </c>
      <c r="BG164" s="38">
        <v>0</v>
      </c>
      <c r="BH164" s="73">
        <v>0</v>
      </c>
      <c r="BI164" s="40">
        <v>0</v>
      </c>
      <c r="BJ164" s="55">
        <v>0</v>
      </c>
      <c r="BK164" s="73">
        <v>21.745044868361401</v>
      </c>
      <c r="BL164" s="40">
        <v>0</v>
      </c>
      <c r="BM164" s="38">
        <v>-21.745044868361401</v>
      </c>
      <c r="BN164" s="73">
        <v>6.7860000000000005</v>
      </c>
      <c r="BO164" s="40">
        <v>0</v>
      </c>
      <c r="BP164" s="55">
        <v>-6.7860000000000005</v>
      </c>
      <c r="BQ164" s="77">
        <v>277.44200806051782</v>
      </c>
      <c r="BR164" s="40">
        <v>0</v>
      </c>
      <c r="BS164" s="55">
        <v>-277.44200806051782</v>
      </c>
      <c r="BT164" s="73">
        <v>113.1077860347504</v>
      </c>
      <c r="BU164" s="40">
        <v>49.987208635761682</v>
      </c>
      <c r="BV164" s="52">
        <v>-63.120577398988722</v>
      </c>
      <c r="BW164" s="73">
        <v>294.59809300908603</v>
      </c>
      <c r="BX164" s="40">
        <v>307.88024378735906</v>
      </c>
      <c r="BY164" s="52">
        <v>13.282150778273035</v>
      </c>
      <c r="BZ164" s="73">
        <v>153.2118813086438</v>
      </c>
      <c r="CA164" s="40">
        <v>297.58515102827909</v>
      </c>
      <c r="CB164" s="52">
        <v>144.37326971963529</v>
      </c>
      <c r="CC164" s="73">
        <v>0</v>
      </c>
      <c r="CD164" s="40">
        <v>0</v>
      </c>
      <c r="CE164" s="52">
        <v>0</v>
      </c>
      <c r="CF164" s="73">
        <v>0</v>
      </c>
      <c r="CG164" s="40">
        <v>0</v>
      </c>
      <c r="CH164" s="52">
        <v>0</v>
      </c>
      <c r="CI164" s="73">
        <v>24.92</v>
      </c>
      <c r="CJ164" s="40">
        <v>4.6043913229964604</v>
      </c>
      <c r="CK164" s="52">
        <v>-20.315608677003542</v>
      </c>
      <c r="CL164" s="73">
        <v>0</v>
      </c>
      <c r="CM164" s="40">
        <v>0</v>
      </c>
      <c r="CN164" s="52">
        <v>0</v>
      </c>
      <c r="CO164" s="39">
        <v>24.92</v>
      </c>
      <c r="CP164" s="40">
        <v>4.6043913229964604</v>
      </c>
      <c r="CQ164" s="52">
        <v>-20.315608677003542</v>
      </c>
      <c r="CR164" s="72">
        <v>2304.0535850944116</v>
      </c>
      <c r="CS164" s="5">
        <v>1443.3522259618062</v>
      </c>
      <c r="CT164" s="52">
        <v>-860.70135913260538</v>
      </c>
      <c r="CU164" s="77">
        <v>2764.8643021132939</v>
      </c>
      <c r="CV164" s="65">
        <v>1732.0226711541675</v>
      </c>
      <c r="CW164" s="35">
        <v>-1032.8416309591264</v>
      </c>
      <c r="CX164" s="73">
        <v>154.37075329867994</v>
      </c>
      <c r="CY164" s="40">
        <v>1187.2123842578064</v>
      </c>
      <c r="CZ164" s="52">
        <v>1032.8416309591264</v>
      </c>
      <c r="DA164" s="150">
        <v>-12049.995115988337</v>
      </c>
      <c r="DB164" s="2">
        <v>2</v>
      </c>
      <c r="DC164" s="648">
        <v>1325.35</v>
      </c>
      <c r="DD164" s="648"/>
      <c r="DE164" s="649">
        <v>-1593.885055411974</v>
      </c>
      <c r="DG164" s="321">
        <v>1965.2538635713154</v>
      </c>
      <c r="DH164" s="5">
        <v>35030.820664943691</v>
      </c>
      <c r="DI164" s="306">
        <v>4.2780835797508967</v>
      </c>
      <c r="DJ164" s="306"/>
      <c r="DK164" s="306"/>
      <c r="DL164" s="28">
        <v>1451.5537586094792</v>
      </c>
      <c r="DM164" s="28">
        <v>0</v>
      </c>
      <c r="DN164" s="650">
        <v>1451.56</v>
      </c>
      <c r="DO164" s="94">
        <v>-6.2413905206994968E-3</v>
      </c>
      <c r="DP164" s="28">
        <v>1451.5537586094792</v>
      </c>
      <c r="DQ164" s="318">
        <v>0</v>
      </c>
      <c r="DS164" s="8">
        <v>1382.4321510566469</v>
      </c>
      <c r="DT164" s="5">
        <v>69.121607552832344</v>
      </c>
      <c r="DW164" s="5">
        <v>1105.5157087654793</v>
      </c>
      <c r="DX164" s="5">
        <v>0</v>
      </c>
    </row>
    <row r="165" spans="1:128" x14ac:dyDescent="0.3">
      <c r="A165" s="325">
        <v>150001015</v>
      </c>
      <c r="B165" s="41" t="s">
        <v>614</v>
      </c>
      <c r="C165" s="42" t="s">
        <v>100</v>
      </c>
      <c r="D165" s="42" t="s">
        <v>100</v>
      </c>
      <c r="E165" s="293">
        <v>447.6</v>
      </c>
      <c r="F165" s="305">
        <v>213.3</v>
      </c>
      <c r="G165" s="51"/>
      <c r="H165" s="651">
        <v>234.3</v>
      </c>
      <c r="I165" s="73">
        <v>0</v>
      </c>
      <c r="J165" s="40">
        <v>0</v>
      </c>
      <c r="K165" s="52">
        <v>0</v>
      </c>
      <c r="L165" s="73">
        <v>0</v>
      </c>
      <c r="M165" s="40">
        <v>0</v>
      </c>
      <c r="N165" s="52">
        <v>0</v>
      </c>
      <c r="O165" s="73">
        <v>67.893928677566649</v>
      </c>
      <c r="P165" s="40">
        <v>67.900000000000006</v>
      </c>
      <c r="Q165" s="52">
        <v>6.0713224333568405E-3</v>
      </c>
      <c r="R165" s="73">
        <v>0</v>
      </c>
      <c r="S165" s="40">
        <v>0</v>
      </c>
      <c r="T165" s="52">
        <v>0</v>
      </c>
      <c r="U165" s="73">
        <v>0</v>
      </c>
      <c r="V165" s="40">
        <v>0</v>
      </c>
      <c r="W165" s="52">
        <v>0</v>
      </c>
      <c r="X165" s="73">
        <v>0</v>
      </c>
      <c r="Y165" s="40">
        <v>0</v>
      </c>
      <c r="Z165" s="52">
        <v>0</v>
      </c>
      <c r="AA165" s="73">
        <v>31.84</v>
      </c>
      <c r="AB165" s="40">
        <v>0</v>
      </c>
      <c r="AC165" s="52">
        <v>-31.84</v>
      </c>
      <c r="AD165" s="73">
        <v>279.4211414064747</v>
      </c>
      <c r="AE165" s="40">
        <v>403.42418213270321</v>
      </c>
      <c r="AF165" s="35">
        <v>124.00304072622851</v>
      </c>
      <c r="AG165" s="77">
        <v>379.15507008404137</v>
      </c>
      <c r="AH165" s="53">
        <v>471.32418213270319</v>
      </c>
      <c r="AI165" s="52">
        <v>92.169112048661816</v>
      </c>
      <c r="AJ165" s="73">
        <v>0</v>
      </c>
      <c r="AK165" s="40">
        <v>0</v>
      </c>
      <c r="AL165" s="52">
        <v>0</v>
      </c>
      <c r="AM165" s="73">
        <v>0</v>
      </c>
      <c r="AN165" s="40">
        <v>0</v>
      </c>
      <c r="AO165" s="52">
        <v>0</v>
      </c>
      <c r="AP165" s="73">
        <v>18.910374999999998</v>
      </c>
      <c r="AQ165" s="40">
        <v>0</v>
      </c>
      <c r="AR165" s="52">
        <v>-18.910374999999998</v>
      </c>
      <c r="AS165" s="73">
        <v>212.79642544633433</v>
      </c>
      <c r="AT165" s="40">
        <v>0</v>
      </c>
      <c r="AU165" s="54">
        <v>-212.79642544633433</v>
      </c>
      <c r="AV165" s="73">
        <v>0</v>
      </c>
      <c r="AW165" s="40">
        <v>0</v>
      </c>
      <c r="AX165" s="55">
        <v>0</v>
      </c>
      <c r="AY165" s="73">
        <v>0</v>
      </c>
      <c r="AZ165" s="40">
        <v>0</v>
      </c>
      <c r="BA165" s="35">
        <v>0</v>
      </c>
      <c r="BB165" s="73">
        <v>20.918497237803319</v>
      </c>
      <c r="BC165" s="40">
        <v>0</v>
      </c>
      <c r="BD165" s="55">
        <v>-20.918497237803319</v>
      </c>
      <c r="BE165" s="73">
        <v>0</v>
      </c>
      <c r="BF165" s="40">
        <v>0</v>
      </c>
      <c r="BG165" s="38">
        <v>0</v>
      </c>
      <c r="BH165" s="73">
        <v>0</v>
      </c>
      <c r="BI165" s="40">
        <v>0</v>
      </c>
      <c r="BJ165" s="55">
        <v>0</v>
      </c>
      <c r="BK165" s="73">
        <v>0</v>
      </c>
      <c r="BL165" s="40">
        <v>0</v>
      </c>
      <c r="BM165" s="38">
        <v>0</v>
      </c>
      <c r="BN165" s="73">
        <v>7.96</v>
      </c>
      <c r="BO165" s="40">
        <v>0</v>
      </c>
      <c r="BP165" s="55">
        <v>-7.96</v>
      </c>
      <c r="BQ165" s="77">
        <v>28.87849723780332</v>
      </c>
      <c r="BR165" s="40">
        <v>0</v>
      </c>
      <c r="BS165" s="55">
        <v>-28.87849723780332</v>
      </c>
      <c r="BT165" s="73">
        <v>0</v>
      </c>
      <c r="BU165" s="40">
        <v>0</v>
      </c>
      <c r="BV165" s="52">
        <v>0</v>
      </c>
      <c r="BW165" s="73">
        <v>0</v>
      </c>
      <c r="BX165" s="40">
        <v>1.6618589084394979</v>
      </c>
      <c r="BY165" s="52">
        <v>1.6618589084394979</v>
      </c>
      <c r="BZ165" s="73">
        <v>0</v>
      </c>
      <c r="CA165" s="40">
        <v>0</v>
      </c>
      <c r="CB165" s="52">
        <v>0</v>
      </c>
      <c r="CC165" s="73">
        <v>0</v>
      </c>
      <c r="CD165" s="40">
        <v>0</v>
      </c>
      <c r="CE165" s="52">
        <v>0</v>
      </c>
      <c r="CF165" s="73">
        <v>0</v>
      </c>
      <c r="CG165" s="40">
        <v>0</v>
      </c>
      <c r="CH165" s="52">
        <v>0</v>
      </c>
      <c r="CI165" s="73">
        <v>0</v>
      </c>
      <c r="CJ165" s="40">
        <v>0</v>
      </c>
      <c r="CK165" s="52">
        <v>0</v>
      </c>
      <c r="CL165" s="73">
        <v>0</v>
      </c>
      <c r="CM165" s="40">
        <v>0</v>
      </c>
      <c r="CN165" s="52">
        <v>0</v>
      </c>
      <c r="CO165" s="39">
        <v>0</v>
      </c>
      <c r="CP165" s="40">
        <v>0</v>
      </c>
      <c r="CQ165" s="52">
        <v>0</v>
      </c>
      <c r="CR165" s="72">
        <v>639.740367768179</v>
      </c>
      <c r="CS165" s="5">
        <v>472.9860410411427</v>
      </c>
      <c r="CT165" s="52">
        <v>-166.7543267270363</v>
      </c>
      <c r="CU165" s="77">
        <v>767.68844132181482</v>
      </c>
      <c r="CV165" s="65">
        <v>567.58324924937119</v>
      </c>
      <c r="CW165" s="35">
        <v>-200.10519207244363</v>
      </c>
      <c r="CX165" s="73">
        <v>42.862372267223833</v>
      </c>
      <c r="CY165" s="40">
        <v>242.96756433966743</v>
      </c>
      <c r="CZ165" s="52">
        <v>200.1051920724436</v>
      </c>
      <c r="DA165" s="150">
        <v>-3455.9748740311611</v>
      </c>
      <c r="DB165" s="2">
        <v>2</v>
      </c>
      <c r="DC165" s="648">
        <v>194.85</v>
      </c>
      <c r="DD165" s="648">
        <v>1864.89</v>
      </c>
      <c r="DE165" s="649">
        <v>1249.1891864109616</v>
      </c>
      <c r="DG165" s="321">
        <v>235.17343434867962</v>
      </c>
      <c r="DH165" s="5">
        <v>9726.6097630684635</v>
      </c>
      <c r="DI165" s="306">
        <v>1.0126543509898311</v>
      </c>
      <c r="DJ165" s="306"/>
      <c r="DK165" s="306">
        <v>1.0126543509898311</v>
      </c>
      <c r="DL165" s="28">
        <v>215.99917306613099</v>
      </c>
      <c r="DM165" s="28">
        <v>237.26491443691745</v>
      </c>
      <c r="DN165" s="650">
        <v>216.01</v>
      </c>
      <c r="DO165" s="94">
        <v>-1.0826933868997912E-2</v>
      </c>
      <c r="DP165" s="28">
        <v>453.26408750304847</v>
      </c>
      <c r="DQ165" s="318">
        <v>50.227655809095666</v>
      </c>
      <c r="DS165" s="8">
        <v>383.84422066090741</v>
      </c>
      <c r="DT165" s="5">
        <v>19.192211033045371</v>
      </c>
      <c r="DW165" s="5">
        <v>290.00990722096515</v>
      </c>
      <c r="DX165" s="5">
        <v>0</v>
      </c>
    </row>
    <row r="166" spans="1:128" x14ac:dyDescent="0.3">
      <c r="A166" s="325">
        <v>150001016</v>
      </c>
      <c r="B166" s="41" t="s">
        <v>615</v>
      </c>
      <c r="C166" s="42" t="s">
        <v>262</v>
      </c>
      <c r="D166" s="42" t="s">
        <v>262</v>
      </c>
      <c r="E166" s="293">
        <v>3022.9900000000002</v>
      </c>
      <c r="F166" s="305">
        <v>2162.09</v>
      </c>
      <c r="G166" s="51"/>
      <c r="H166" s="651">
        <v>860.9</v>
      </c>
      <c r="I166" s="73">
        <v>832.88068887858958</v>
      </c>
      <c r="J166" s="40">
        <v>923.18529095786107</v>
      </c>
      <c r="K166" s="52">
        <v>90.30460207927149</v>
      </c>
      <c r="L166" s="73">
        <v>186.68467507044889</v>
      </c>
      <c r="M166" s="40">
        <v>210.3224432010565</v>
      </c>
      <c r="N166" s="52">
        <v>23.637768130607611</v>
      </c>
      <c r="O166" s="73">
        <v>540.72053700462334</v>
      </c>
      <c r="P166" s="40">
        <v>540.72</v>
      </c>
      <c r="Q166" s="52">
        <v>-5.3700462331107701E-4</v>
      </c>
      <c r="R166" s="73">
        <v>159.68194354512667</v>
      </c>
      <c r="S166" s="40">
        <v>159.68</v>
      </c>
      <c r="T166" s="52">
        <v>-1.9435451266645032E-3</v>
      </c>
      <c r="U166" s="73">
        <v>0</v>
      </c>
      <c r="V166" s="40">
        <v>0</v>
      </c>
      <c r="W166" s="52">
        <v>0</v>
      </c>
      <c r="X166" s="73">
        <v>610.68123520927736</v>
      </c>
      <c r="Y166" s="40">
        <v>632.53135072962573</v>
      </c>
      <c r="Z166" s="52">
        <v>21.850115520348368</v>
      </c>
      <c r="AA166" s="73">
        <v>257.43439999999998</v>
      </c>
      <c r="AB166" s="40">
        <v>0</v>
      </c>
      <c r="AC166" s="52">
        <v>-257.43439999999998</v>
      </c>
      <c r="AD166" s="73">
        <v>2276.8076225657924</v>
      </c>
      <c r="AE166" s="40">
        <v>2724.6364350878921</v>
      </c>
      <c r="AF166" s="35">
        <v>447.82881252209972</v>
      </c>
      <c r="AG166" s="77">
        <v>4864.8911022738585</v>
      </c>
      <c r="AH166" s="53">
        <v>5191.0755199764353</v>
      </c>
      <c r="AI166" s="52">
        <v>326.18441770257687</v>
      </c>
      <c r="AJ166" s="73">
        <v>0</v>
      </c>
      <c r="AK166" s="40">
        <v>0</v>
      </c>
      <c r="AL166" s="52">
        <v>0</v>
      </c>
      <c r="AM166" s="73">
        <v>0</v>
      </c>
      <c r="AN166" s="40">
        <v>0</v>
      </c>
      <c r="AO166" s="52">
        <v>0</v>
      </c>
      <c r="AP166" s="73">
        <v>226.92449999999997</v>
      </c>
      <c r="AQ166" s="40">
        <v>0</v>
      </c>
      <c r="AR166" s="52">
        <v>-226.92449999999997</v>
      </c>
      <c r="AS166" s="73">
        <v>4283.1319783139134</v>
      </c>
      <c r="AT166" s="40">
        <v>1932</v>
      </c>
      <c r="AU166" s="54">
        <v>-2351.1319783139134</v>
      </c>
      <c r="AV166" s="73">
        <v>442.7752259216478</v>
      </c>
      <c r="AW166" s="40">
        <v>0</v>
      </c>
      <c r="AX166" s="55">
        <v>-442.7752259216478</v>
      </c>
      <c r="AY166" s="73">
        <v>516.73279458396371</v>
      </c>
      <c r="AZ166" s="40">
        <v>0</v>
      </c>
      <c r="BA166" s="35">
        <v>-516.73279458396371</v>
      </c>
      <c r="BB166" s="73">
        <v>195.47182375756321</v>
      </c>
      <c r="BC166" s="40">
        <v>525</v>
      </c>
      <c r="BD166" s="55">
        <v>329.52817624243676</v>
      </c>
      <c r="BE166" s="73">
        <v>854.05453141351597</v>
      </c>
      <c r="BF166" s="40">
        <v>0</v>
      </c>
      <c r="BG166" s="38">
        <v>-854.05453141351597</v>
      </c>
      <c r="BH166" s="73">
        <v>0</v>
      </c>
      <c r="BI166" s="40">
        <v>0</v>
      </c>
      <c r="BJ166" s="55">
        <v>0</v>
      </c>
      <c r="BK166" s="73">
        <v>369.52600684924505</v>
      </c>
      <c r="BL166" s="40">
        <v>0</v>
      </c>
      <c r="BM166" s="38">
        <v>-369.52600684924505</v>
      </c>
      <c r="BN166" s="73">
        <v>64.358599999999996</v>
      </c>
      <c r="BO166" s="40">
        <v>0</v>
      </c>
      <c r="BP166" s="55">
        <v>-64.358599999999996</v>
      </c>
      <c r="BQ166" s="77">
        <v>2442.9189825259359</v>
      </c>
      <c r="BR166" s="40">
        <v>525</v>
      </c>
      <c r="BS166" s="55">
        <v>-1917.9189825259359</v>
      </c>
      <c r="BT166" s="73">
        <v>3835.73805488372</v>
      </c>
      <c r="BU166" s="40">
        <v>1078.2876656713763</v>
      </c>
      <c r="BV166" s="52">
        <v>-2757.4503892123439</v>
      </c>
      <c r="BW166" s="73">
        <v>1609.2872895537239</v>
      </c>
      <c r="BX166" s="40">
        <v>1709.5956271650102</v>
      </c>
      <c r="BY166" s="52">
        <v>100.30833761128633</v>
      </c>
      <c r="BZ166" s="73">
        <v>1906.1703041119781</v>
      </c>
      <c r="CA166" s="40">
        <v>7150.9524801074076</v>
      </c>
      <c r="CB166" s="52">
        <v>5244.7821759954295</v>
      </c>
      <c r="CC166" s="73">
        <v>0</v>
      </c>
      <c r="CD166" s="40">
        <v>0</v>
      </c>
      <c r="CE166" s="52">
        <v>0</v>
      </c>
      <c r="CF166" s="73">
        <v>0</v>
      </c>
      <c r="CG166" s="40">
        <v>0</v>
      </c>
      <c r="CH166" s="52">
        <v>0</v>
      </c>
      <c r="CI166" s="73">
        <v>688.34</v>
      </c>
      <c r="CJ166" s="40">
        <v>700.92875598260002</v>
      </c>
      <c r="CK166" s="52">
        <v>12.588755982599992</v>
      </c>
      <c r="CL166" s="73">
        <v>0</v>
      </c>
      <c r="CM166" s="40">
        <v>0</v>
      </c>
      <c r="CN166" s="52">
        <v>0</v>
      </c>
      <c r="CO166" s="39">
        <v>688.34</v>
      </c>
      <c r="CP166" s="40">
        <v>700.92875598260002</v>
      </c>
      <c r="CQ166" s="52">
        <v>12.588755982599992</v>
      </c>
      <c r="CR166" s="72">
        <v>19857.402211663128</v>
      </c>
      <c r="CS166" s="5">
        <v>18287.840048902832</v>
      </c>
      <c r="CT166" s="52">
        <v>-1569.5621627602959</v>
      </c>
      <c r="CU166" s="77">
        <v>23828.882653995752</v>
      </c>
      <c r="CV166" s="65">
        <v>21945.408058683399</v>
      </c>
      <c r="CW166" s="35">
        <v>-1883.4745953123529</v>
      </c>
      <c r="CX166" s="73">
        <v>1330.4387353663485</v>
      </c>
      <c r="CY166" s="40">
        <v>3213.9133306787007</v>
      </c>
      <c r="CZ166" s="52">
        <v>1883.4745953123522</v>
      </c>
      <c r="DA166" s="150">
        <v>-56348.663193350469</v>
      </c>
      <c r="DB166" s="2">
        <v>2</v>
      </c>
      <c r="DC166" s="648">
        <v>36419.269999999997</v>
      </c>
      <c r="DD166" s="648">
        <v>35423.979999999996</v>
      </c>
      <c r="DE166" s="649">
        <v>46683.9286106379</v>
      </c>
      <c r="DG166" s="321">
        <v>41587.971575961121</v>
      </c>
      <c r="DH166" s="5">
        <v>301911.85667234519</v>
      </c>
      <c r="DI166" s="306">
        <v>4.039269845221753</v>
      </c>
      <c r="DJ166" s="306"/>
      <c r="DK166" s="306">
        <v>3.5725800129054774</v>
      </c>
      <c r="DL166" s="28">
        <v>8733.2649396555007</v>
      </c>
      <c r="DM166" s="28">
        <v>3075.6341331103254</v>
      </c>
      <c r="DN166" s="650">
        <v>8733.2999999999993</v>
      </c>
      <c r="DO166" s="94">
        <v>-3.506034449856088E-2</v>
      </c>
      <c r="DP166" s="28">
        <v>11808.899072765826</v>
      </c>
      <c r="DQ166" s="318">
        <v>-701.26432058194405</v>
      </c>
      <c r="DS166" s="8">
        <v>11914.441326997876</v>
      </c>
      <c r="DT166" s="5">
        <v>595.72206634989391</v>
      </c>
      <c r="DW166" s="5">
        <v>8071.2611530078193</v>
      </c>
      <c r="DX166" s="5">
        <v>2948.4</v>
      </c>
    </row>
    <row r="167" spans="1:128" x14ac:dyDescent="0.3">
      <c r="A167" s="325">
        <v>150001007</v>
      </c>
      <c r="B167" s="41" t="s">
        <v>616</v>
      </c>
      <c r="C167" s="42" t="s">
        <v>214</v>
      </c>
      <c r="D167" s="42" t="s">
        <v>214</v>
      </c>
      <c r="E167" s="293">
        <v>2046.1999999999998</v>
      </c>
      <c r="F167" s="305">
        <v>2000.1</v>
      </c>
      <c r="G167" s="51"/>
      <c r="H167" s="651">
        <v>46.1</v>
      </c>
      <c r="I167" s="73">
        <v>1147.7079527078063</v>
      </c>
      <c r="J167" s="40">
        <v>1272.8050509240825</v>
      </c>
      <c r="K167" s="52">
        <v>125.09709821627621</v>
      </c>
      <c r="L167" s="73">
        <v>225.48197673345339</v>
      </c>
      <c r="M167" s="40">
        <v>254.03212938354864</v>
      </c>
      <c r="N167" s="52">
        <v>28.550152650095242</v>
      </c>
      <c r="O167" s="73">
        <v>380.16721307469663</v>
      </c>
      <c r="P167" s="40">
        <v>380.16</v>
      </c>
      <c r="Q167" s="52">
        <v>-7.213074696608146E-3</v>
      </c>
      <c r="R167" s="73">
        <v>0</v>
      </c>
      <c r="S167" s="40">
        <v>0</v>
      </c>
      <c r="T167" s="52">
        <v>0</v>
      </c>
      <c r="U167" s="73">
        <v>0</v>
      </c>
      <c r="V167" s="40">
        <v>0</v>
      </c>
      <c r="W167" s="52">
        <v>0</v>
      </c>
      <c r="X167" s="73">
        <v>461.53397748619682</v>
      </c>
      <c r="Y167" s="40">
        <v>466.24670831105459</v>
      </c>
      <c r="Z167" s="52">
        <v>4.7127308248577719</v>
      </c>
      <c r="AA167" s="73">
        <v>163.696</v>
      </c>
      <c r="AB167" s="40">
        <v>0</v>
      </c>
      <c r="AC167" s="52">
        <v>-163.696</v>
      </c>
      <c r="AD167" s="73">
        <v>1472.306471783593</v>
      </c>
      <c r="AE167" s="40">
        <v>1844.2505841821653</v>
      </c>
      <c r="AF167" s="35">
        <v>371.94411239857232</v>
      </c>
      <c r="AG167" s="77">
        <v>3850.8935917857461</v>
      </c>
      <c r="AH167" s="53">
        <v>4217.4944728008504</v>
      </c>
      <c r="AI167" s="52">
        <v>366.60088101510428</v>
      </c>
      <c r="AJ167" s="73">
        <v>0</v>
      </c>
      <c r="AK167" s="40">
        <v>0</v>
      </c>
      <c r="AL167" s="52">
        <v>0</v>
      </c>
      <c r="AM167" s="73">
        <v>0</v>
      </c>
      <c r="AN167" s="40">
        <v>0</v>
      </c>
      <c r="AO167" s="52">
        <v>0</v>
      </c>
      <c r="AP167" s="73">
        <v>888.78762499999993</v>
      </c>
      <c r="AQ167" s="40">
        <v>0</v>
      </c>
      <c r="AR167" s="52">
        <v>-888.78762499999993</v>
      </c>
      <c r="AS167" s="73">
        <v>2016.6502584489135</v>
      </c>
      <c r="AT167" s="40">
        <v>1932</v>
      </c>
      <c r="AU167" s="54">
        <v>-84.650258448913519</v>
      </c>
      <c r="AV167" s="73">
        <v>489.89102686612836</v>
      </c>
      <c r="AW167" s="40">
        <v>0</v>
      </c>
      <c r="AX167" s="55">
        <v>-489.89102686612836</v>
      </c>
      <c r="AY167" s="73">
        <v>624.13092185947824</v>
      </c>
      <c r="AZ167" s="40">
        <v>0</v>
      </c>
      <c r="BA167" s="35">
        <v>-624.13092185947824</v>
      </c>
      <c r="BB167" s="73">
        <v>123.42673006504319</v>
      </c>
      <c r="BC167" s="40">
        <v>0</v>
      </c>
      <c r="BD167" s="55">
        <v>-123.42673006504319</v>
      </c>
      <c r="BE167" s="73">
        <v>0</v>
      </c>
      <c r="BF167" s="40">
        <v>0</v>
      </c>
      <c r="BG167" s="38">
        <v>0</v>
      </c>
      <c r="BH167" s="73">
        <v>0</v>
      </c>
      <c r="BI167" s="40">
        <v>0</v>
      </c>
      <c r="BJ167" s="55">
        <v>0</v>
      </c>
      <c r="BK167" s="73">
        <v>232.83572137995338</v>
      </c>
      <c r="BL167" s="40">
        <v>0</v>
      </c>
      <c r="BM167" s="38">
        <v>-232.83572137995338</v>
      </c>
      <c r="BN167" s="73">
        <v>40.923999999999999</v>
      </c>
      <c r="BO167" s="40">
        <v>0</v>
      </c>
      <c r="BP167" s="55">
        <v>-40.923999999999999</v>
      </c>
      <c r="BQ167" s="77">
        <v>1511.208400170603</v>
      </c>
      <c r="BR167" s="40">
        <v>0</v>
      </c>
      <c r="BS167" s="55">
        <v>-1511.208400170603</v>
      </c>
      <c r="BT167" s="73">
        <v>1492.1485239509079</v>
      </c>
      <c r="BU167" s="40">
        <v>336.09877243761139</v>
      </c>
      <c r="BV167" s="52">
        <v>-1156.0497515132965</v>
      </c>
      <c r="BW167" s="73">
        <v>1140.316446307678</v>
      </c>
      <c r="BX167" s="40">
        <v>1135.489921676183</v>
      </c>
      <c r="BY167" s="52">
        <v>-4.8265246314949763</v>
      </c>
      <c r="BZ167" s="73">
        <v>985.84189718049402</v>
      </c>
      <c r="CA167" s="40">
        <v>2416.4926565025362</v>
      </c>
      <c r="CB167" s="52">
        <v>1430.6507593220422</v>
      </c>
      <c r="CC167" s="73">
        <v>260.74608389500003</v>
      </c>
      <c r="CD167" s="40">
        <v>329.00039803758261</v>
      </c>
      <c r="CE167" s="52">
        <v>68.254314142582587</v>
      </c>
      <c r="CF167" s="73">
        <v>30.979732739999999</v>
      </c>
      <c r="CG167" s="40">
        <v>0</v>
      </c>
      <c r="CH167" s="52">
        <v>-30.979732739999999</v>
      </c>
      <c r="CI167" s="73">
        <v>622.94000000000005</v>
      </c>
      <c r="CJ167" s="40">
        <v>656.51727330783228</v>
      </c>
      <c r="CK167" s="52">
        <v>33.577273307832229</v>
      </c>
      <c r="CL167" s="73">
        <v>0</v>
      </c>
      <c r="CM167" s="40">
        <v>0</v>
      </c>
      <c r="CN167" s="52">
        <v>0</v>
      </c>
      <c r="CO167" s="39">
        <v>622.94000000000005</v>
      </c>
      <c r="CP167" s="40">
        <v>656.51727330783228</v>
      </c>
      <c r="CQ167" s="52">
        <v>33.577273307832229</v>
      </c>
      <c r="CR167" s="72">
        <v>12800.512559479339</v>
      </c>
      <c r="CS167" s="5">
        <v>11023.093494762596</v>
      </c>
      <c r="CT167" s="52">
        <v>-1777.4190647167434</v>
      </c>
      <c r="CU167" s="77">
        <v>15360.615071375207</v>
      </c>
      <c r="CV167" s="65">
        <v>13227.712193715115</v>
      </c>
      <c r="CW167" s="35">
        <v>-2132.9028776600917</v>
      </c>
      <c r="CX167" s="73">
        <v>857.62969194792799</v>
      </c>
      <c r="CY167" s="40">
        <v>2990.5325696080199</v>
      </c>
      <c r="CZ167" s="52">
        <v>2132.9028776600917</v>
      </c>
      <c r="DA167" s="150">
        <v>21706.023199727511</v>
      </c>
      <c r="DB167" s="2">
        <v>2</v>
      </c>
      <c r="DC167" s="648">
        <v>9832.25</v>
      </c>
      <c r="DD167" s="648">
        <v>-11.04</v>
      </c>
      <c r="DE167" s="649">
        <v>-6397.0347633231358</v>
      </c>
      <c r="DG167" s="321">
        <v>-13454.819526009393</v>
      </c>
      <c r="DH167" s="5">
        <v>194618.93715987762</v>
      </c>
      <c r="DI167" s="306">
        <v>3.9492137571269539</v>
      </c>
      <c r="DJ167" s="306"/>
      <c r="DK167" s="306">
        <v>3.5900320356261104</v>
      </c>
      <c r="DL167" s="28">
        <v>7898.8224356296205</v>
      </c>
      <c r="DM167" s="28">
        <v>165.5004768423637</v>
      </c>
      <c r="DN167" s="650">
        <v>7898.8</v>
      </c>
      <c r="DO167" s="94">
        <v>2.2435629620304098E-2</v>
      </c>
      <c r="DP167" s="28">
        <v>8064.3229124719837</v>
      </c>
      <c r="DQ167" s="318">
        <v>0</v>
      </c>
      <c r="DS167" s="8">
        <v>7680.3075356876034</v>
      </c>
      <c r="DT167" s="5">
        <v>384.01537678438018</v>
      </c>
      <c r="DW167" s="5">
        <v>4233.4303903434193</v>
      </c>
      <c r="DX167" s="5">
        <v>2318.4</v>
      </c>
    </row>
    <row r="168" spans="1:128" ht="15.6" customHeight="1" x14ac:dyDescent="0.3">
      <c r="A168" s="325">
        <v>150001018</v>
      </c>
      <c r="B168" s="41" t="s">
        <v>852</v>
      </c>
      <c r="C168" s="43" t="s">
        <v>430</v>
      </c>
      <c r="D168" s="43" t="s">
        <v>430</v>
      </c>
      <c r="E168" s="293">
        <v>2816.07</v>
      </c>
      <c r="F168" s="305">
        <v>2338.0700000000002</v>
      </c>
      <c r="G168" s="51"/>
      <c r="H168" s="651">
        <v>478</v>
      </c>
      <c r="I168" s="73">
        <v>906.12</v>
      </c>
      <c r="J168" s="40">
        <v>1005.0816188034205</v>
      </c>
      <c r="K168" s="52">
        <v>98.961618803420492</v>
      </c>
      <c r="L168" s="73">
        <v>199.6</v>
      </c>
      <c r="M168" s="40">
        <v>224.87611376738741</v>
      </c>
      <c r="N168" s="52">
        <v>25.276113767387415</v>
      </c>
      <c r="O168" s="73">
        <v>480.12</v>
      </c>
      <c r="P168" s="40">
        <v>480.12</v>
      </c>
      <c r="Q168" s="52">
        <v>0</v>
      </c>
      <c r="R168" s="73">
        <v>141.86000000000001</v>
      </c>
      <c r="S168" s="40">
        <v>141.86000000000001</v>
      </c>
      <c r="T168" s="52">
        <v>0</v>
      </c>
      <c r="U168" s="73">
        <v>0</v>
      </c>
      <c r="V168" s="40">
        <v>0</v>
      </c>
      <c r="W168" s="52">
        <v>0</v>
      </c>
      <c r="X168" s="73">
        <v>599.41999999999996</v>
      </c>
      <c r="Y168" s="40">
        <v>619.1020385496704</v>
      </c>
      <c r="Z168" s="52">
        <v>19.682038549670438</v>
      </c>
      <c r="AA168" s="73">
        <v>219.98</v>
      </c>
      <c r="AB168" s="40">
        <v>0</v>
      </c>
      <c r="AC168" s="52">
        <v>-219.98</v>
      </c>
      <c r="AD168" s="73">
        <v>1964.6</v>
      </c>
      <c r="AE168" s="40">
        <v>2538.1383748401286</v>
      </c>
      <c r="AF168" s="35">
        <v>573.53837484012865</v>
      </c>
      <c r="AG168" s="77">
        <v>4511.7000000000007</v>
      </c>
      <c r="AH168" s="53">
        <v>5009.1781459606063</v>
      </c>
      <c r="AI168" s="52">
        <v>497.47814596060562</v>
      </c>
      <c r="AJ168" s="73">
        <v>0</v>
      </c>
      <c r="AK168" s="40">
        <v>0</v>
      </c>
      <c r="AL168" s="52">
        <v>0</v>
      </c>
      <c r="AM168" s="73">
        <v>0</v>
      </c>
      <c r="AN168" s="40">
        <v>0</v>
      </c>
      <c r="AO168" s="52">
        <v>0</v>
      </c>
      <c r="AP168" s="73">
        <v>208.01412499999998</v>
      </c>
      <c r="AQ168" s="40">
        <v>0</v>
      </c>
      <c r="AR168" s="52">
        <v>-208.01412499999998</v>
      </c>
      <c r="AS168" s="73">
        <v>2589.365875</v>
      </c>
      <c r="AT168" s="40">
        <v>0</v>
      </c>
      <c r="AU168" s="54">
        <v>-2589.365875</v>
      </c>
      <c r="AV168" s="73">
        <v>434.2</v>
      </c>
      <c r="AW168" s="40">
        <v>2403</v>
      </c>
      <c r="AX168" s="55">
        <v>1968.8</v>
      </c>
      <c r="AY168" s="73">
        <v>552.41999999999996</v>
      </c>
      <c r="AZ168" s="40">
        <v>0</v>
      </c>
      <c r="BA168" s="35">
        <v>-552.41999999999996</v>
      </c>
      <c r="BB168" s="73">
        <v>173.86</v>
      </c>
      <c r="BC168" s="40">
        <v>0</v>
      </c>
      <c r="BD168" s="55">
        <v>-173.86</v>
      </c>
      <c r="BE168" s="73">
        <v>759.36</v>
      </c>
      <c r="BF168" s="40">
        <v>0</v>
      </c>
      <c r="BG168" s="38">
        <v>-759.36</v>
      </c>
      <c r="BH168" s="73">
        <v>0</v>
      </c>
      <c r="BI168" s="40">
        <v>0</v>
      </c>
      <c r="BJ168" s="55">
        <v>0</v>
      </c>
      <c r="BK168" s="73">
        <v>355.9</v>
      </c>
      <c r="BL168" s="40">
        <v>0</v>
      </c>
      <c r="BM168" s="38">
        <v>-355.9</v>
      </c>
      <c r="BN168" s="73">
        <v>55</v>
      </c>
      <c r="BO168" s="40">
        <v>0</v>
      </c>
      <c r="BP168" s="55">
        <v>-55</v>
      </c>
      <c r="BQ168" s="77">
        <v>2330.7400000000002</v>
      </c>
      <c r="BR168" s="40">
        <v>2403</v>
      </c>
      <c r="BS168" s="55">
        <v>72.259999999999764</v>
      </c>
      <c r="BT168" s="73">
        <v>3914.22</v>
      </c>
      <c r="BU168" s="40">
        <v>1145.4164815378765</v>
      </c>
      <c r="BV168" s="52">
        <v>-2768.8035184621231</v>
      </c>
      <c r="BW168" s="73">
        <v>2208.84</v>
      </c>
      <c r="BX168" s="40">
        <v>2373.7566052719735</v>
      </c>
      <c r="BY168" s="52">
        <v>164.91660527197337</v>
      </c>
      <c r="BZ168" s="73">
        <v>2278.7399999999998</v>
      </c>
      <c r="CA168" s="40">
        <v>6795.0283462664302</v>
      </c>
      <c r="CB168" s="52">
        <v>4516.2883462664304</v>
      </c>
      <c r="CC168" s="73">
        <v>223.08</v>
      </c>
      <c r="CD168" s="40">
        <v>281.47704725160889</v>
      </c>
      <c r="CE168" s="52">
        <v>58.397047251608882</v>
      </c>
      <c r="CF168" s="73">
        <v>26.5</v>
      </c>
      <c r="CG168" s="40">
        <v>0</v>
      </c>
      <c r="CH168" s="52">
        <v>-26.5</v>
      </c>
      <c r="CI168" s="73">
        <v>124.58</v>
      </c>
      <c r="CJ168" s="40">
        <v>156.37356477632306</v>
      </c>
      <c r="CK168" s="52">
        <v>31.793564776323066</v>
      </c>
      <c r="CL168" s="73">
        <v>0</v>
      </c>
      <c r="CM168" s="40">
        <v>0</v>
      </c>
      <c r="CN168" s="52">
        <v>0</v>
      </c>
      <c r="CO168" s="39">
        <v>124.58</v>
      </c>
      <c r="CP168" s="40">
        <v>156.37356477632306</v>
      </c>
      <c r="CQ168" s="52">
        <v>31.793564776323066</v>
      </c>
      <c r="CR168" s="72">
        <v>18415.780000000002</v>
      </c>
      <c r="CS168" s="5">
        <v>18164.230191064824</v>
      </c>
      <c r="CT168" s="52">
        <v>-251.54980893517859</v>
      </c>
      <c r="CU168" s="77">
        <v>22098.936000000002</v>
      </c>
      <c r="CV168" s="65">
        <v>21797.076229277787</v>
      </c>
      <c r="CW168" s="35">
        <v>-301.85977072221431</v>
      </c>
      <c r="CX168" s="73">
        <v>1233.8505708261446</v>
      </c>
      <c r="CY168" s="40">
        <v>1535.710341548358</v>
      </c>
      <c r="CZ168" s="52">
        <v>301.8597707222134</v>
      </c>
      <c r="DA168" s="150">
        <v>259073.86412082153</v>
      </c>
      <c r="DB168" s="2">
        <v>2</v>
      </c>
      <c r="DC168" s="648">
        <v>13410.45</v>
      </c>
      <c r="DD168" s="648">
        <v>4113.8999999999996</v>
      </c>
      <c r="DE168" s="649">
        <v>-5808.4365708261466</v>
      </c>
      <c r="DG168" s="321">
        <v>-83774.612579423949</v>
      </c>
      <c r="DH168" s="5">
        <v>279993.43884991377</v>
      </c>
      <c r="DI168" s="306">
        <v>4.2118000000000002</v>
      </c>
      <c r="DJ168" s="306"/>
      <c r="DK168" s="306">
        <v>3.6318999999999999</v>
      </c>
      <c r="DL168" s="28">
        <v>9847.4832260000003</v>
      </c>
      <c r="DM168" s="28">
        <v>1736.0482</v>
      </c>
      <c r="DN168" s="650">
        <v>9847.5</v>
      </c>
      <c r="DO168" s="94">
        <v>-1.6773999999713851E-2</v>
      </c>
      <c r="DP168" s="28">
        <v>11583.531426</v>
      </c>
      <c r="DQ168" s="318">
        <v>-18.409974000001966</v>
      </c>
      <c r="DS168" s="8">
        <v>11049.468000000001</v>
      </c>
      <c r="DT168" s="5">
        <v>552.47340000000008</v>
      </c>
      <c r="DW168" s="5">
        <v>5904.1270500000001</v>
      </c>
      <c r="DX168" s="5">
        <v>2883.6</v>
      </c>
    </row>
    <row r="169" spans="1:128" x14ac:dyDescent="0.3">
      <c r="A169" s="325">
        <v>150001019</v>
      </c>
      <c r="B169" s="41" t="s">
        <v>617</v>
      </c>
      <c r="C169" s="42" t="s">
        <v>420</v>
      </c>
      <c r="D169" s="42" t="s">
        <v>420</v>
      </c>
      <c r="E169" s="293">
        <v>6921.8</v>
      </c>
      <c r="F169" s="652">
        <v>6921.8</v>
      </c>
      <c r="G169" s="51">
        <v>646.80000000000018</v>
      </c>
      <c r="H169" s="651">
        <v>0</v>
      </c>
      <c r="I169" s="73">
        <v>3698.5058004690213</v>
      </c>
      <c r="J169" s="40">
        <v>4110.8467196217607</v>
      </c>
      <c r="K169" s="52">
        <v>412.34091915273939</v>
      </c>
      <c r="L169" s="73">
        <v>606.85207301479193</v>
      </c>
      <c r="M169" s="40">
        <v>712.14915029682584</v>
      </c>
      <c r="N169" s="52">
        <v>105.29707728203391</v>
      </c>
      <c r="O169" s="73">
        <v>1386.82989738485</v>
      </c>
      <c r="P169" s="40">
        <v>1386.84</v>
      </c>
      <c r="Q169" s="52">
        <v>1.0102615149889971E-2</v>
      </c>
      <c r="R169" s="73">
        <v>291.37396922489665</v>
      </c>
      <c r="S169" s="40">
        <v>291.36</v>
      </c>
      <c r="T169" s="52">
        <v>-1.3969224896641208E-2</v>
      </c>
      <c r="U169" s="73">
        <v>138.67717289490514</v>
      </c>
      <c r="V169" s="40">
        <v>259.9288479613752</v>
      </c>
      <c r="W169" s="52">
        <v>121.25167506647006</v>
      </c>
      <c r="X169" s="73">
        <v>1268.1766601942199</v>
      </c>
      <c r="Y169" s="40">
        <v>1265.1514027500191</v>
      </c>
      <c r="Z169" s="52">
        <v>-3.0252574442008608</v>
      </c>
      <c r="AA169" s="73">
        <v>553.76</v>
      </c>
      <c r="AB169" s="40">
        <v>0</v>
      </c>
      <c r="AC169" s="52">
        <v>-553.76</v>
      </c>
      <c r="AD169" s="73">
        <v>4986.726706839072</v>
      </c>
      <c r="AE169" s="40">
        <v>6238.6539407643986</v>
      </c>
      <c r="AF169" s="35">
        <v>1251.9272339253266</v>
      </c>
      <c r="AG169" s="77">
        <v>12930.902280021757</v>
      </c>
      <c r="AH169" s="53">
        <v>14264.930061394378</v>
      </c>
      <c r="AI169" s="52">
        <v>1334.0277813726207</v>
      </c>
      <c r="AJ169" s="73">
        <v>7133.78</v>
      </c>
      <c r="AK169" s="40">
        <v>7026.1552534003422</v>
      </c>
      <c r="AL169" s="52">
        <v>-107.62474659965756</v>
      </c>
      <c r="AM169" s="73">
        <v>0</v>
      </c>
      <c r="AN169" s="40">
        <v>0</v>
      </c>
      <c r="AO169" s="52">
        <v>0</v>
      </c>
      <c r="AP169" s="73">
        <v>743.80808333333323</v>
      </c>
      <c r="AQ169" s="40">
        <v>0</v>
      </c>
      <c r="AR169" s="52">
        <v>-743.80808333333323</v>
      </c>
      <c r="AS169" s="73">
        <v>8486.0250038250961</v>
      </c>
      <c r="AT169" s="40">
        <v>11868</v>
      </c>
      <c r="AU169" s="54">
        <v>3381.9749961749039</v>
      </c>
      <c r="AV169" s="73">
        <v>1554.6367852993483</v>
      </c>
      <c r="AW169" s="40">
        <v>0</v>
      </c>
      <c r="AX169" s="55">
        <v>-1554.6367852993483</v>
      </c>
      <c r="AY169" s="73">
        <v>1601.9025704917506</v>
      </c>
      <c r="AZ169" s="40">
        <v>0</v>
      </c>
      <c r="BA169" s="35">
        <v>-1601.9025704917506</v>
      </c>
      <c r="BB169" s="73">
        <v>504.91532959089602</v>
      </c>
      <c r="BC169" s="40">
        <v>0</v>
      </c>
      <c r="BD169" s="55">
        <v>-504.91532959089602</v>
      </c>
      <c r="BE169" s="73">
        <v>1398.280509055536</v>
      </c>
      <c r="BF169" s="40">
        <v>0</v>
      </c>
      <c r="BG169" s="38">
        <v>-1398.280509055536</v>
      </c>
      <c r="BH169" s="73">
        <v>669.65508160516561</v>
      </c>
      <c r="BI169" s="40">
        <v>0</v>
      </c>
      <c r="BJ169" s="55">
        <v>-669.65508160516561</v>
      </c>
      <c r="BK169" s="73">
        <v>885.64134628135503</v>
      </c>
      <c r="BL169" s="40">
        <v>0</v>
      </c>
      <c r="BM169" s="38">
        <v>-885.64134628135503</v>
      </c>
      <c r="BN169" s="73">
        <v>83.157029451153065</v>
      </c>
      <c r="BO169" s="40">
        <v>0</v>
      </c>
      <c r="BP169" s="55">
        <v>-83.157029451153065</v>
      </c>
      <c r="BQ169" s="77">
        <v>6698.1886517752046</v>
      </c>
      <c r="BR169" s="40">
        <v>0</v>
      </c>
      <c r="BS169" s="55">
        <v>-6698.1886517752046</v>
      </c>
      <c r="BT169" s="73">
        <v>9263.3584268648592</v>
      </c>
      <c r="BU169" s="40">
        <v>2206.0884987227541</v>
      </c>
      <c r="BV169" s="52">
        <v>-7057.2699281421046</v>
      </c>
      <c r="BW169" s="73">
        <v>7646.8052069287196</v>
      </c>
      <c r="BX169" s="40">
        <v>6731.7952454086972</v>
      </c>
      <c r="BY169" s="52">
        <v>-915.00996152002244</v>
      </c>
      <c r="BZ169" s="73">
        <v>3018.2634867752199</v>
      </c>
      <c r="CA169" s="40">
        <v>8024.2668209816757</v>
      </c>
      <c r="CB169" s="52">
        <v>5006.0033342064562</v>
      </c>
      <c r="CC169" s="73">
        <v>212.6905495</v>
      </c>
      <c r="CD169" s="40">
        <v>257.85996623221024</v>
      </c>
      <c r="CE169" s="52">
        <v>45.169416732210237</v>
      </c>
      <c r="CF169" s="73">
        <v>24.280921500000002</v>
      </c>
      <c r="CG169" s="40">
        <v>0</v>
      </c>
      <c r="CH169" s="52">
        <v>-24.280921500000002</v>
      </c>
      <c r="CI169" s="73">
        <v>2304.84</v>
      </c>
      <c r="CJ169" s="40">
        <v>2104.2795708402646</v>
      </c>
      <c r="CK169" s="52">
        <v>-200.56042915973558</v>
      </c>
      <c r="CL169" s="73">
        <v>3410.5417499999999</v>
      </c>
      <c r="CM169" s="40">
        <v>3154.8857795708254</v>
      </c>
      <c r="CN169" s="52">
        <v>-255.65597042917443</v>
      </c>
      <c r="CO169" s="39">
        <v>5715.3817500000005</v>
      </c>
      <c r="CP169" s="40">
        <v>5259.16535041109</v>
      </c>
      <c r="CQ169" s="52">
        <v>-456.21639958891046</v>
      </c>
      <c r="CR169" s="72">
        <v>61873.484360524199</v>
      </c>
      <c r="CS169" s="5">
        <v>55638.261196551146</v>
      </c>
      <c r="CT169" s="52">
        <v>-6235.2231639730526</v>
      </c>
      <c r="CU169" s="77">
        <v>74248.181232629038</v>
      </c>
      <c r="CV169" s="65">
        <v>66765.913435861366</v>
      </c>
      <c r="CW169" s="35">
        <v>-7482.2677967676718</v>
      </c>
      <c r="CX169" s="73">
        <v>4145.500977815509</v>
      </c>
      <c r="CY169" s="40">
        <v>11627.768774583179</v>
      </c>
      <c r="CZ169" s="52">
        <v>7482.26779676767</v>
      </c>
      <c r="DA169" s="150">
        <v>-94105.119719615977</v>
      </c>
      <c r="DB169" s="2">
        <v>1</v>
      </c>
      <c r="DC169" s="648">
        <v>87079.19</v>
      </c>
      <c r="DD169" s="648"/>
      <c r="DE169" s="649">
        <v>8685.5077895554568</v>
      </c>
      <c r="DG169" s="321">
        <v>-88875.094183951529</v>
      </c>
      <c r="DH169" s="5">
        <v>940724.1865253346</v>
      </c>
      <c r="DI169" s="306">
        <v>4.6716805034137883</v>
      </c>
      <c r="DJ169" s="306">
        <v>5.7302790713279581</v>
      </c>
      <c r="DK169" s="306"/>
      <c r="DL169" s="28">
        <v>38979.144122190977</v>
      </c>
      <c r="DM169" s="28">
        <v>0</v>
      </c>
      <c r="DN169" s="650">
        <v>38979.11</v>
      </c>
      <c r="DO169" s="94">
        <v>3.4122190976631828E-2</v>
      </c>
      <c r="DP169" s="28">
        <v>38979.144122190977</v>
      </c>
      <c r="DQ169" s="318">
        <v>-1.1510249392667902</v>
      </c>
      <c r="DS169" s="8">
        <v>37124.090616314519</v>
      </c>
      <c r="DT169" s="5">
        <v>1856.2045308157258</v>
      </c>
      <c r="DW169" s="5">
        <v>18221.05638672036</v>
      </c>
      <c r="DX169" s="5">
        <v>14241.6</v>
      </c>
    </row>
    <row r="170" spans="1:128" x14ac:dyDescent="0.3">
      <c r="A170" s="325">
        <v>150001020</v>
      </c>
      <c r="B170" s="41" t="s">
        <v>618</v>
      </c>
      <c r="C170" s="42" t="s">
        <v>101</v>
      </c>
      <c r="D170" s="42" t="s">
        <v>101</v>
      </c>
      <c r="E170" s="293">
        <v>320.5</v>
      </c>
      <c r="F170" s="305">
        <v>320.5</v>
      </c>
      <c r="G170" s="51"/>
      <c r="H170" s="651">
        <v>0</v>
      </c>
      <c r="I170" s="73">
        <v>0</v>
      </c>
      <c r="J170" s="40">
        <v>0</v>
      </c>
      <c r="K170" s="52">
        <v>0</v>
      </c>
      <c r="L170" s="73">
        <v>0</v>
      </c>
      <c r="M170" s="40">
        <v>0</v>
      </c>
      <c r="N170" s="52">
        <v>0</v>
      </c>
      <c r="O170" s="73">
        <v>0</v>
      </c>
      <c r="P170" s="40">
        <v>0</v>
      </c>
      <c r="Q170" s="52">
        <v>0</v>
      </c>
      <c r="R170" s="73">
        <v>0</v>
      </c>
      <c r="S170" s="40">
        <v>0</v>
      </c>
      <c r="T170" s="52">
        <v>0</v>
      </c>
      <c r="U170" s="73">
        <v>0</v>
      </c>
      <c r="V170" s="40">
        <v>0</v>
      </c>
      <c r="W170" s="52">
        <v>0</v>
      </c>
      <c r="X170" s="73">
        <v>0</v>
      </c>
      <c r="Y170" s="40">
        <v>0</v>
      </c>
      <c r="Z170" s="52">
        <v>0</v>
      </c>
      <c r="AA170" s="73">
        <v>25.64</v>
      </c>
      <c r="AB170" s="40">
        <v>0</v>
      </c>
      <c r="AC170" s="52">
        <v>-25.64</v>
      </c>
      <c r="AD170" s="73">
        <v>205.25220217988783</v>
      </c>
      <c r="AE170" s="40">
        <v>288.86829842165184</v>
      </c>
      <c r="AF170" s="35">
        <v>83.616096241764012</v>
      </c>
      <c r="AG170" s="77">
        <v>230.89220217988782</v>
      </c>
      <c r="AH170" s="53">
        <v>288.86829842165184</v>
      </c>
      <c r="AI170" s="52">
        <v>57.976096241764026</v>
      </c>
      <c r="AJ170" s="73">
        <v>0</v>
      </c>
      <c r="AK170" s="40">
        <v>0</v>
      </c>
      <c r="AL170" s="52">
        <v>0</v>
      </c>
      <c r="AM170" s="73">
        <v>0</v>
      </c>
      <c r="AN170" s="40">
        <v>0</v>
      </c>
      <c r="AO170" s="52">
        <v>0</v>
      </c>
      <c r="AP170" s="73">
        <v>75.641499999999994</v>
      </c>
      <c r="AQ170" s="40">
        <v>0</v>
      </c>
      <c r="AR170" s="52">
        <v>-75.641499999999994</v>
      </c>
      <c r="AS170" s="73">
        <v>329.63712294470753</v>
      </c>
      <c r="AT170" s="40">
        <v>0</v>
      </c>
      <c r="AU170" s="54">
        <v>-329.63712294470753</v>
      </c>
      <c r="AV170" s="73">
        <v>0</v>
      </c>
      <c r="AW170" s="40">
        <v>0</v>
      </c>
      <c r="AX170" s="55">
        <v>0</v>
      </c>
      <c r="AY170" s="73">
        <v>0</v>
      </c>
      <c r="AZ170" s="40">
        <v>0</v>
      </c>
      <c r="BA170" s="35">
        <v>0</v>
      </c>
      <c r="BB170" s="73">
        <v>0</v>
      </c>
      <c r="BC170" s="40">
        <v>0</v>
      </c>
      <c r="BD170" s="55">
        <v>0</v>
      </c>
      <c r="BE170" s="73">
        <v>0</v>
      </c>
      <c r="BF170" s="40">
        <v>0</v>
      </c>
      <c r="BG170" s="38">
        <v>0</v>
      </c>
      <c r="BH170" s="73">
        <v>0</v>
      </c>
      <c r="BI170" s="40">
        <v>0</v>
      </c>
      <c r="BJ170" s="55">
        <v>0</v>
      </c>
      <c r="BK170" s="73">
        <v>0</v>
      </c>
      <c r="BL170" s="40">
        <v>0</v>
      </c>
      <c r="BM170" s="38">
        <v>0</v>
      </c>
      <c r="BN170" s="73">
        <v>6.41</v>
      </c>
      <c r="BO170" s="40">
        <v>0</v>
      </c>
      <c r="BP170" s="55">
        <v>-6.41</v>
      </c>
      <c r="BQ170" s="77">
        <v>6.41</v>
      </c>
      <c r="BR170" s="40">
        <v>0</v>
      </c>
      <c r="BS170" s="55">
        <v>-6.41</v>
      </c>
      <c r="BT170" s="73">
        <v>0</v>
      </c>
      <c r="BU170" s="40">
        <v>0</v>
      </c>
      <c r="BV170" s="52">
        <v>0</v>
      </c>
      <c r="BW170" s="73">
        <v>0</v>
      </c>
      <c r="BX170" s="40">
        <v>1.1899592943584874</v>
      </c>
      <c r="BY170" s="52">
        <v>1.1899592943584874</v>
      </c>
      <c r="BZ170" s="73">
        <v>0</v>
      </c>
      <c r="CA170" s="40">
        <v>0</v>
      </c>
      <c r="CB170" s="52">
        <v>0</v>
      </c>
      <c r="CC170" s="73">
        <v>0</v>
      </c>
      <c r="CD170" s="40">
        <v>0</v>
      </c>
      <c r="CE170" s="52">
        <v>0</v>
      </c>
      <c r="CF170" s="73">
        <v>0</v>
      </c>
      <c r="CG170" s="40">
        <v>0</v>
      </c>
      <c r="CH170" s="52">
        <v>0</v>
      </c>
      <c r="CI170" s="73">
        <v>0</v>
      </c>
      <c r="CJ170" s="40">
        <v>0</v>
      </c>
      <c r="CK170" s="52">
        <v>0</v>
      </c>
      <c r="CL170" s="73">
        <v>0</v>
      </c>
      <c r="CM170" s="40">
        <v>0</v>
      </c>
      <c r="CN170" s="52">
        <v>0</v>
      </c>
      <c r="CO170" s="39">
        <v>0</v>
      </c>
      <c r="CP170" s="40">
        <v>0</v>
      </c>
      <c r="CQ170" s="52">
        <v>0</v>
      </c>
      <c r="CR170" s="72">
        <v>642.58082512459532</v>
      </c>
      <c r="CS170" s="5">
        <v>290.0582577160103</v>
      </c>
      <c r="CT170" s="52">
        <v>-352.52256740858502</v>
      </c>
      <c r="CU170" s="77">
        <v>771.09699014951434</v>
      </c>
      <c r="CV170" s="65">
        <v>348.06990925921235</v>
      </c>
      <c r="CW170" s="35">
        <v>-423.02708089030199</v>
      </c>
      <c r="CX170" s="73">
        <v>43.05268187836284</v>
      </c>
      <c r="CY170" s="40">
        <v>466.07976276866481</v>
      </c>
      <c r="CZ170" s="52">
        <v>423.02708089030199</v>
      </c>
      <c r="DA170" s="150">
        <v>-4224.0069850088212</v>
      </c>
      <c r="DB170" s="2">
        <v>2</v>
      </c>
      <c r="DC170" s="648">
        <v>404.82</v>
      </c>
      <c r="DD170" s="648"/>
      <c r="DE170" s="649">
        <v>-409.32967202787717</v>
      </c>
      <c r="DG170" s="321">
        <v>-6156.2102914276584</v>
      </c>
      <c r="DH170" s="5">
        <v>9769.796064334525</v>
      </c>
      <c r="DI170" s="306">
        <v>1.263107394160671</v>
      </c>
      <c r="DJ170" s="306"/>
      <c r="DK170" s="306"/>
      <c r="DL170" s="28">
        <v>404.82591982849505</v>
      </c>
      <c r="DM170" s="28">
        <v>0</v>
      </c>
      <c r="DN170" s="650">
        <v>404.82</v>
      </c>
      <c r="DO170" s="94">
        <v>5.9198284950525704E-3</v>
      </c>
      <c r="DP170" s="28">
        <v>404.82591982849505</v>
      </c>
      <c r="DQ170" s="318">
        <v>0</v>
      </c>
      <c r="DS170" s="8">
        <v>385.54849507475717</v>
      </c>
      <c r="DT170" s="5">
        <v>19.277424753737861</v>
      </c>
      <c r="DW170" s="5">
        <v>403.25654753364904</v>
      </c>
      <c r="DX170" s="5">
        <v>0</v>
      </c>
    </row>
    <row r="171" spans="1:128" x14ac:dyDescent="0.3">
      <c r="A171" s="325">
        <v>150001021</v>
      </c>
      <c r="B171" s="41" t="s">
        <v>619</v>
      </c>
      <c r="C171" s="42" t="s">
        <v>364</v>
      </c>
      <c r="D171" s="42" t="s">
        <v>364</v>
      </c>
      <c r="E171" s="293">
        <v>11582.02</v>
      </c>
      <c r="F171" s="652">
        <v>11582.02</v>
      </c>
      <c r="G171" s="51">
        <v>1227.630000000001</v>
      </c>
      <c r="H171" s="651">
        <v>0</v>
      </c>
      <c r="I171" s="73">
        <v>4259.9279228716277</v>
      </c>
      <c r="J171" s="40">
        <v>4730.8620672108336</v>
      </c>
      <c r="K171" s="52">
        <v>470.93414433920589</v>
      </c>
      <c r="L171" s="73">
        <v>1296.3962337229291</v>
      </c>
      <c r="M171" s="40">
        <v>1508.1724897258864</v>
      </c>
      <c r="N171" s="52">
        <v>211.77625600295733</v>
      </c>
      <c r="O171" s="73">
        <v>2317.7749336079569</v>
      </c>
      <c r="P171" s="40">
        <v>2317.7600000000002</v>
      </c>
      <c r="Q171" s="52">
        <v>-1.4933607956663764E-2</v>
      </c>
      <c r="R171" s="73">
        <v>504.75586761824997</v>
      </c>
      <c r="S171" s="40">
        <v>504.76</v>
      </c>
      <c r="T171" s="52">
        <v>4.1323817500256155E-3</v>
      </c>
      <c r="U171" s="73">
        <v>383.54443012810549</v>
      </c>
      <c r="V171" s="40">
        <v>735.81004873016877</v>
      </c>
      <c r="W171" s="52">
        <v>352.26561860206328</v>
      </c>
      <c r="X171" s="73">
        <v>2586.9655770861282</v>
      </c>
      <c r="Y171" s="40">
        <v>2912.5488704550435</v>
      </c>
      <c r="Z171" s="52">
        <v>325.58329336891529</v>
      </c>
      <c r="AA171" s="73">
        <v>926.66880000000003</v>
      </c>
      <c r="AB171" s="40">
        <v>0</v>
      </c>
      <c r="AC171" s="52">
        <v>-926.66880000000003</v>
      </c>
      <c r="AD171" s="73">
        <v>8344.9029298820387</v>
      </c>
      <c r="AE171" s="40">
        <v>10438.934195586709</v>
      </c>
      <c r="AF171" s="35">
        <v>2094.0312657046707</v>
      </c>
      <c r="AG171" s="77">
        <v>20620.936694917036</v>
      </c>
      <c r="AH171" s="53">
        <v>23148.847671708641</v>
      </c>
      <c r="AI171" s="52">
        <v>2527.9109767916052</v>
      </c>
      <c r="AJ171" s="73">
        <v>16538.035085</v>
      </c>
      <c r="AK171" s="40">
        <v>16288.5278568678</v>
      </c>
      <c r="AL171" s="52">
        <v>-249.50722813219909</v>
      </c>
      <c r="AM171" s="73">
        <v>840.59954000000005</v>
      </c>
      <c r="AN171" s="40">
        <v>206.94522013844158</v>
      </c>
      <c r="AO171" s="52">
        <v>-633.65431986155841</v>
      </c>
      <c r="AP171" s="73">
        <v>1348.9400833333332</v>
      </c>
      <c r="AQ171" s="40">
        <v>0</v>
      </c>
      <c r="AR171" s="52">
        <v>-1348.9400833333332</v>
      </c>
      <c r="AS171" s="73">
        <v>13979.979827641744</v>
      </c>
      <c r="AT171" s="40">
        <v>2455</v>
      </c>
      <c r="AU171" s="54">
        <v>-11524.979827641744</v>
      </c>
      <c r="AV171" s="73">
        <v>1949.9365360818379</v>
      </c>
      <c r="AW171" s="40">
        <v>740</v>
      </c>
      <c r="AX171" s="55">
        <v>-1209.9365360818379</v>
      </c>
      <c r="AY171" s="73">
        <v>3443.8393227426477</v>
      </c>
      <c r="AZ171" s="40">
        <v>25005</v>
      </c>
      <c r="BA171" s="35">
        <v>21561.16067725735</v>
      </c>
      <c r="BB171" s="73">
        <v>742.11463231082007</v>
      </c>
      <c r="BC171" s="40">
        <v>0</v>
      </c>
      <c r="BD171" s="55">
        <v>-742.11463231082007</v>
      </c>
      <c r="BE171" s="73">
        <v>2181.9500821934198</v>
      </c>
      <c r="BF171" s="40">
        <v>0</v>
      </c>
      <c r="BG171" s="38">
        <v>-2181.9500821934198</v>
      </c>
      <c r="BH171" s="73">
        <v>1852.2167975243626</v>
      </c>
      <c r="BI171" s="40">
        <v>0</v>
      </c>
      <c r="BJ171" s="55">
        <v>-1852.2167975243626</v>
      </c>
      <c r="BK171" s="73">
        <v>1793.3457165718582</v>
      </c>
      <c r="BL171" s="40">
        <v>0</v>
      </c>
      <c r="BM171" s="38">
        <v>-1793.3457165718582</v>
      </c>
      <c r="BN171" s="73">
        <v>131.79552179353632</v>
      </c>
      <c r="BO171" s="40">
        <v>0</v>
      </c>
      <c r="BP171" s="55">
        <v>-131.79552179353632</v>
      </c>
      <c r="BQ171" s="77">
        <v>12095.198609218483</v>
      </c>
      <c r="BR171" s="40">
        <v>25745</v>
      </c>
      <c r="BS171" s="55">
        <v>13649.801390781517</v>
      </c>
      <c r="BT171" s="73">
        <v>15925.052264514719</v>
      </c>
      <c r="BU171" s="40">
        <v>3649.757203657523</v>
      </c>
      <c r="BV171" s="52">
        <v>-12275.295060857195</v>
      </c>
      <c r="BW171" s="73">
        <v>10848.8093722181</v>
      </c>
      <c r="BX171" s="40">
        <v>14673.295720705864</v>
      </c>
      <c r="BY171" s="52">
        <v>3824.4863484877642</v>
      </c>
      <c r="BZ171" s="73">
        <v>3996.4079361941399</v>
      </c>
      <c r="CA171" s="40">
        <v>21239.877190420222</v>
      </c>
      <c r="CB171" s="52">
        <v>17243.469254226082</v>
      </c>
      <c r="CC171" s="73">
        <v>232.630316325</v>
      </c>
      <c r="CD171" s="40">
        <v>281.95902849690282</v>
      </c>
      <c r="CE171" s="52">
        <v>49.328712171902822</v>
      </c>
      <c r="CF171" s="73">
        <v>26.5501665</v>
      </c>
      <c r="CG171" s="40">
        <v>0</v>
      </c>
      <c r="CH171" s="52">
        <v>-26.5501665</v>
      </c>
      <c r="CI171" s="73">
        <v>1407.82</v>
      </c>
      <c r="CJ171" s="40">
        <v>1761.9148598747647</v>
      </c>
      <c r="CK171" s="52">
        <v>354.09485987476478</v>
      </c>
      <c r="CL171" s="73">
        <v>6036.1917000000003</v>
      </c>
      <c r="CM171" s="40">
        <v>4469.5454342331223</v>
      </c>
      <c r="CN171" s="52">
        <v>-1566.6462657668781</v>
      </c>
      <c r="CO171" s="39">
        <v>7444.0117</v>
      </c>
      <c r="CP171" s="40">
        <v>6231.4602941078865</v>
      </c>
      <c r="CQ171" s="52">
        <v>-1212.5514058921135</v>
      </c>
      <c r="CR171" s="72">
        <v>103897.15159586257</v>
      </c>
      <c r="CS171" s="5">
        <v>113920.67018610328</v>
      </c>
      <c r="CT171" s="52">
        <v>10023.51859024071</v>
      </c>
      <c r="CU171" s="77">
        <v>124676.58191503507</v>
      </c>
      <c r="CV171" s="65">
        <v>136704.80422332394</v>
      </c>
      <c r="CW171" s="35">
        <v>12028.222308288867</v>
      </c>
      <c r="CX171" s="73">
        <v>6961.0714183035134</v>
      </c>
      <c r="CY171" s="40">
        <v>-5067.1508899853507</v>
      </c>
      <c r="CZ171" s="52">
        <v>-12028.222308288863</v>
      </c>
      <c r="DA171" s="150">
        <v>-24520.463010882573</v>
      </c>
      <c r="DB171" s="2">
        <v>1</v>
      </c>
      <c r="DC171" s="648">
        <v>111881.39</v>
      </c>
      <c r="DD171" s="648"/>
      <c r="DE171" s="649">
        <v>-19756.263333338589</v>
      </c>
      <c r="DG171" s="321">
        <v>12788.756639393454</v>
      </c>
      <c r="DH171" s="5">
        <v>1579651.8400000632</v>
      </c>
      <c r="DI171" s="306">
        <v>4.3773020022379869</v>
      </c>
      <c r="DJ171" s="306">
        <v>5.8017636852627472</v>
      </c>
      <c r="DK171" s="306"/>
      <c r="DL171" s="28">
        <v>65447.43114205516</v>
      </c>
      <c r="DM171" s="28">
        <v>0</v>
      </c>
      <c r="DN171" s="650">
        <v>65447.94</v>
      </c>
      <c r="DO171" s="94">
        <v>-0.50885794484202052</v>
      </c>
      <c r="DP171" s="28">
        <v>65447.43114205516</v>
      </c>
      <c r="DQ171" s="318">
        <v>-7.7743633382560802</v>
      </c>
      <c r="DS171" s="8">
        <v>62338.290957517536</v>
      </c>
      <c r="DT171" s="5">
        <v>3116.9145478758774</v>
      </c>
      <c r="DW171" s="5">
        <v>31290.214124232272</v>
      </c>
      <c r="DX171" s="5">
        <v>33840</v>
      </c>
    </row>
    <row r="172" spans="1:128" ht="18.75" customHeight="1" x14ac:dyDescent="0.3">
      <c r="A172" s="325">
        <v>150001035</v>
      </c>
      <c r="B172" s="41" t="s">
        <v>620</v>
      </c>
      <c r="C172" s="42" t="s">
        <v>263</v>
      </c>
      <c r="D172" s="42" t="s">
        <v>263</v>
      </c>
      <c r="E172" s="293">
        <v>2850.7000000000003</v>
      </c>
      <c r="F172" s="305">
        <v>2771.3</v>
      </c>
      <c r="G172" s="51"/>
      <c r="H172" s="651">
        <v>79.400000000000006</v>
      </c>
      <c r="I172" s="73">
        <v>1512.4810884470321</v>
      </c>
      <c r="J172" s="40">
        <v>1675.6321389603204</v>
      </c>
      <c r="K172" s="52">
        <v>163.15105051328828</v>
      </c>
      <c r="L172" s="73">
        <v>311.84626119014803</v>
      </c>
      <c r="M172" s="40">
        <v>363.05813091366826</v>
      </c>
      <c r="N172" s="52">
        <v>51.211869723520238</v>
      </c>
      <c r="O172" s="73">
        <v>589.79502460325</v>
      </c>
      <c r="P172" s="40">
        <v>589.79999999999995</v>
      </c>
      <c r="Q172" s="52">
        <v>4.9753967499555074E-3</v>
      </c>
      <c r="R172" s="73">
        <v>124.57017273461</v>
      </c>
      <c r="S172" s="40">
        <v>124.56</v>
      </c>
      <c r="T172" s="52">
        <v>-1.0172734609994905E-2</v>
      </c>
      <c r="U172" s="73">
        <v>78.670373845636448</v>
      </c>
      <c r="V172" s="40">
        <v>147.45496328276144</v>
      </c>
      <c r="W172" s="52">
        <v>68.784589437124993</v>
      </c>
      <c r="X172" s="73">
        <v>815.2530815613311</v>
      </c>
      <c r="Y172" s="40">
        <v>850.62257651362893</v>
      </c>
      <c r="Z172" s="52">
        <v>35.369494952297828</v>
      </c>
      <c r="AA172" s="73">
        <v>228.05600000000004</v>
      </c>
      <c r="AB172" s="40">
        <v>0</v>
      </c>
      <c r="AC172" s="52">
        <v>-228.05600000000004</v>
      </c>
      <c r="AD172" s="73">
        <v>2050.5460411409731</v>
      </c>
      <c r="AE172" s="40">
        <v>2569.3505719519594</v>
      </c>
      <c r="AF172" s="35">
        <v>518.80453081098631</v>
      </c>
      <c r="AG172" s="77">
        <v>5711.2180435229802</v>
      </c>
      <c r="AH172" s="53">
        <v>6320.4783816223389</v>
      </c>
      <c r="AI172" s="52">
        <v>609.26033809935871</v>
      </c>
      <c r="AJ172" s="73">
        <v>0</v>
      </c>
      <c r="AK172" s="40">
        <v>0</v>
      </c>
      <c r="AL172" s="52">
        <v>0</v>
      </c>
      <c r="AM172" s="73">
        <v>0</v>
      </c>
      <c r="AN172" s="40">
        <v>0</v>
      </c>
      <c r="AO172" s="52">
        <v>0</v>
      </c>
      <c r="AP172" s="73">
        <v>371.90404166666661</v>
      </c>
      <c r="AQ172" s="40">
        <v>0</v>
      </c>
      <c r="AR172" s="52">
        <v>-371.90404166666661</v>
      </c>
      <c r="AS172" s="73">
        <v>5725.4032379942601</v>
      </c>
      <c r="AT172" s="40">
        <v>903</v>
      </c>
      <c r="AU172" s="54">
        <v>-4822.4032379942601</v>
      </c>
      <c r="AV172" s="73">
        <v>701.25791999989599</v>
      </c>
      <c r="AW172" s="40">
        <v>0</v>
      </c>
      <c r="AX172" s="55">
        <v>-701.25791999989599</v>
      </c>
      <c r="AY172" s="73">
        <v>863.07667294638827</v>
      </c>
      <c r="AZ172" s="40">
        <v>0</v>
      </c>
      <c r="BA172" s="35">
        <v>-863.07667294638827</v>
      </c>
      <c r="BB172" s="73">
        <v>199.2300089812</v>
      </c>
      <c r="BC172" s="40">
        <v>0</v>
      </c>
      <c r="BD172" s="55">
        <v>-199.2300089812</v>
      </c>
      <c r="BE172" s="73">
        <v>551.57095840243994</v>
      </c>
      <c r="BF172" s="40">
        <v>0</v>
      </c>
      <c r="BG172" s="38">
        <v>-551.57095840243994</v>
      </c>
      <c r="BH172" s="73">
        <v>379.92449008976422</v>
      </c>
      <c r="BI172" s="40">
        <v>0</v>
      </c>
      <c r="BJ172" s="55">
        <v>-379.92449008976422</v>
      </c>
      <c r="BK172" s="73">
        <v>518.92836217764341</v>
      </c>
      <c r="BL172" s="40">
        <v>0</v>
      </c>
      <c r="BM172" s="38">
        <v>-518.92836217764341</v>
      </c>
      <c r="BN172" s="73">
        <v>163.58032068952198</v>
      </c>
      <c r="BO172" s="40">
        <v>0</v>
      </c>
      <c r="BP172" s="55">
        <v>-163.58032068952198</v>
      </c>
      <c r="BQ172" s="77">
        <v>3377.5687332868542</v>
      </c>
      <c r="BR172" s="40">
        <v>0</v>
      </c>
      <c r="BS172" s="55">
        <v>-3377.5687332868542</v>
      </c>
      <c r="BT172" s="73">
        <v>2687.0615620628801</v>
      </c>
      <c r="BU172" s="40">
        <v>853.02053029680792</v>
      </c>
      <c r="BV172" s="52">
        <v>-1834.0410317660721</v>
      </c>
      <c r="BW172" s="73">
        <v>1948.938181744868</v>
      </c>
      <c r="BX172" s="40">
        <v>2719.9281078045278</v>
      </c>
      <c r="BY172" s="52">
        <v>770.98992605965987</v>
      </c>
      <c r="BZ172" s="73">
        <v>1474.6779185238199</v>
      </c>
      <c r="CA172" s="40">
        <v>2942.3580069359173</v>
      </c>
      <c r="CB172" s="52">
        <v>1467.6800884120973</v>
      </c>
      <c r="CC172" s="73">
        <v>216.97007859999999</v>
      </c>
      <c r="CD172" s="40">
        <v>273.76534732690732</v>
      </c>
      <c r="CE172" s="52">
        <v>56.795268726907324</v>
      </c>
      <c r="CF172" s="73">
        <v>25.778623199999998</v>
      </c>
      <c r="CG172" s="40">
        <v>0</v>
      </c>
      <c r="CH172" s="52">
        <v>-25.778623199999998</v>
      </c>
      <c r="CI172" s="73">
        <v>1012.26</v>
      </c>
      <c r="CJ172" s="40">
        <v>1365.7326647120194</v>
      </c>
      <c r="CK172" s="52">
        <v>353.47266471201942</v>
      </c>
      <c r="CL172" s="73">
        <v>0</v>
      </c>
      <c r="CM172" s="40">
        <v>0</v>
      </c>
      <c r="CN172" s="52">
        <v>0</v>
      </c>
      <c r="CO172" s="39">
        <v>1012.26</v>
      </c>
      <c r="CP172" s="40">
        <v>1365.7326647120194</v>
      </c>
      <c r="CQ172" s="52">
        <v>353.47266471201942</v>
      </c>
      <c r="CR172" s="72">
        <v>22551.780420602325</v>
      </c>
      <c r="CS172" s="5">
        <v>15378.283038698519</v>
      </c>
      <c r="CT172" s="52">
        <v>-7173.4973819038059</v>
      </c>
      <c r="CU172" s="77">
        <v>27062.136504722788</v>
      </c>
      <c r="CV172" s="65">
        <v>18453.939646438223</v>
      </c>
      <c r="CW172" s="35">
        <v>-8608.1968582845657</v>
      </c>
      <c r="CX172" s="73">
        <v>1510.961096684802</v>
      </c>
      <c r="CY172" s="40">
        <v>10119.157954969367</v>
      </c>
      <c r="CZ172" s="52">
        <v>8608.1968582845657</v>
      </c>
      <c r="DA172" s="150">
        <v>29072.521968934005</v>
      </c>
      <c r="DB172" s="2">
        <v>1</v>
      </c>
      <c r="DC172" s="648">
        <v>21113.79</v>
      </c>
      <c r="DD172" s="648">
        <v>361.52</v>
      </c>
      <c r="DE172" s="649">
        <v>-7097.7876014075882</v>
      </c>
      <c r="DG172" s="321">
        <v>-24830.220981961342</v>
      </c>
      <c r="DH172" s="5">
        <v>342877.17121689109</v>
      </c>
      <c r="DI172" s="306">
        <v>4.9962465442782396</v>
      </c>
      <c r="DJ172" s="306"/>
      <c r="DK172" s="306">
        <v>4.5531941665135562</v>
      </c>
      <c r="DL172" s="28">
        <v>13846.098048158286</v>
      </c>
      <c r="DM172" s="28">
        <v>361.5236168211764</v>
      </c>
      <c r="DN172" s="650">
        <v>13846.23</v>
      </c>
      <c r="DO172" s="94">
        <v>-0.13195184171308938</v>
      </c>
      <c r="DP172" s="28">
        <v>14207.621664979462</v>
      </c>
      <c r="DQ172" s="318">
        <v>0</v>
      </c>
      <c r="DS172" s="8">
        <v>13531.068252361394</v>
      </c>
      <c r="DT172" s="5">
        <v>676.55341261806973</v>
      </c>
      <c r="DW172" s="5">
        <v>10923.566365537337</v>
      </c>
      <c r="DX172" s="5">
        <v>1083.5999999999999</v>
      </c>
    </row>
    <row r="173" spans="1:128" x14ac:dyDescent="0.3">
      <c r="A173" s="325">
        <v>150001022</v>
      </c>
      <c r="B173" s="41" t="s">
        <v>621</v>
      </c>
      <c r="C173" s="42" t="s">
        <v>365</v>
      </c>
      <c r="D173" s="42" t="s">
        <v>365</v>
      </c>
      <c r="E173" s="293">
        <v>3771.47</v>
      </c>
      <c r="F173" s="652">
        <v>3771.47</v>
      </c>
      <c r="G173" s="51">
        <v>405</v>
      </c>
      <c r="H173" s="651">
        <v>0</v>
      </c>
      <c r="I173" s="73">
        <v>1421.0646725859704</v>
      </c>
      <c r="J173" s="40">
        <v>1577.8508600408472</v>
      </c>
      <c r="K173" s="52">
        <v>156.78618745487688</v>
      </c>
      <c r="L173" s="73">
        <v>347.79832365059787</v>
      </c>
      <c r="M173" s="40">
        <v>407.34730587123533</v>
      </c>
      <c r="N173" s="52">
        <v>59.54898222063747</v>
      </c>
      <c r="O173" s="73">
        <v>715.3816124811766</v>
      </c>
      <c r="P173" s="40">
        <v>715.38</v>
      </c>
      <c r="Q173" s="52">
        <v>-1.6124811766076164E-3</v>
      </c>
      <c r="R173" s="73">
        <v>152.45538455098</v>
      </c>
      <c r="S173" s="40">
        <v>152.46</v>
      </c>
      <c r="T173" s="52">
        <v>4.6154490200081E-3</v>
      </c>
      <c r="U173" s="73">
        <v>80.65719167108152</v>
      </c>
      <c r="V173" s="40">
        <v>168.09629388368865</v>
      </c>
      <c r="W173" s="52">
        <v>87.439102212607125</v>
      </c>
      <c r="X173" s="73">
        <v>765.80671228956214</v>
      </c>
      <c r="Y173" s="40">
        <v>753.73384288154261</v>
      </c>
      <c r="Z173" s="52">
        <v>-12.072869408019528</v>
      </c>
      <c r="AA173" s="73">
        <v>301.7176</v>
      </c>
      <c r="AB173" s="40">
        <v>0</v>
      </c>
      <c r="AC173" s="52">
        <v>-301.7176</v>
      </c>
      <c r="AD173" s="73">
        <v>2717.0620351709704</v>
      </c>
      <c r="AE173" s="40">
        <v>3399.2453087310678</v>
      </c>
      <c r="AF173" s="35">
        <v>682.1832735600974</v>
      </c>
      <c r="AG173" s="77">
        <v>6501.9435324003389</v>
      </c>
      <c r="AH173" s="53">
        <v>7174.113611408382</v>
      </c>
      <c r="AI173" s="52">
        <v>672.1700790080431</v>
      </c>
      <c r="AJ173" s="73">
        <v>4904.0200000000004</v>
      </c>
      <c r="AK173" s="40">
        <v>4830.0366515633232</v>
      </c>
      <c r="AL173" s="52">
        <v>-73.983348436677261</v>
      </c>
      <c r="AM173" s="73">
        <v>420.29977000000002</v>
      </c>
      <c r="AN173" s="40">
        <v>206.94522013844158</v>
      </c>
      <c r="AO173" s="52">
        <v>-213.35454986155844</v>
      </c>
      <c r="AP173" s="73">
        <v>453.84899999999993</v>
      </c>
      <c r="AQ173" s="40">
        <v>2676.9543577252994</v>
      </c>
      <c r="AR173" s="52">
        <v>2223.1053577252997</v>
      </c>
      <c r="AS173" s="73">
        <v>4364.3344300458884</v>
      </c>
      <c r="AT173" s="40">
        <v>214</v>
      </c>
      <c r="AU173" s="54">
        <v>-4150.3344300458884</v>
      </c>
      <c r="AV173" s="73">
        <v>652.06506547962817</v>
      </c>
      <c r="AW173" s="40">
        <v>0</v>
      </c>
      <c r="AX173" s="55">
        <v>-652.06506547962817</v>
      </c>
      <c r="AY173" s="73">
        <v>911.03305209662255</v>
      </c>
      <c r="AZ173" s="40">
        <v>0</v>
      </c>
      <c r="BA173" s="35">
        <v>-911.03305209662255</v>
      </c>
      <c r="BB173" s="73">
        <v>201.74144849306319</v>
      </c>
      <c r="BC173" s="40">
        <v>0</v>
      </c>
      <c r="BD173" s="55">
        <v>-201.74144849306319</v>
      </c>
      <c r="BE173" s="73">
        <v>736.48510365014397</v>
      </c>
      <c r="BF173" s="40">
        <v>0</v>
      </c>
      <c r="BG173" s="38">
        <v>-736.48510365014397</v>
      </c>
      <c r="BH173" s="73">
        <v>389.45655961307102</v>
      </c>
      <c r="BI173" s="40">
        <v>0</v>
      </c>
      <c r="BJ173" s="55">
        <v>-389.45655961307102</v>
      </c>
      <c r="BK173" s="73">
        <v>490.81565768025098</v>
      </c>
      <c r="BL173" s="40">
        <v>0</v>
      </c>
      <c r="BM173" s="38">
        <v>-490.81565768025098</v>
      </c>
      <c r="BN173" s="73">
        <v>45.814489168375502</v>
      </c>
      <c r="BO173" s="40">
        <v>0</v>
      </c>
      <c r="BP173" s="55">
        <v>-45.814489168375502</v>
      </c>
      <c r="BQ173" s="77">
        <v>3427.4113761811554</v>
      </c>
      <c r="BR173" s="40">
        <v>0</v>
      </c>
      <c r="BS173" s="55">
        <v>-3427.4113761811554</v>
      </c>
      <c r="BT173" s="73">
        <v>5649.2216125880204</v>
      </c>
      <c r="BU173" s="40">
        <v>1351.6788705110935</v>
      </c>
      <c r="BV173" s="52">
        <v>-4297.5427420769265</v>
      </c>
      <c r="BW173" s="73">
        <v>4065.4107925452199</v>
      </c>
      <c r="BX173" s="40">
        <v>5668.5286416146491</v>
      </c>
      <c r="BY173" s="52">
        <v>1603.1178490694292</v>
      </c>
      <c r="BZ173" s="73">
        <v>1801.360622676734</v>
      </c>
      <c r="CA173" s="40">
        <v>8269.9199239929294</v>
      </c>
      <c r="CB173" s="52">
        <v>6468.5593013161952</v>
      </c>
      <c r="CC173" s="73">
        <v>124.52815649999999</v>
      </c>
      <c r="CD173" s="40">
        <v>154.23399849403228</v>
      </c>
      <c r="CE173" s="52">
        <v>29.705841994032284</v>
      </c>
      <c r="CF173" s="73">
        <v>14.523168</v>
      </c>
      <c r="CG173" s="40">
        <v>0</v>
      </c>
      <c r="CH173" s="52">
        <v>-14.523168</v>
      </c>
      <c r="CI173" s="73">
        <v>1420.28</v>
      </c>
      <c r="CJ173" s="40">
        <v>2086.272066027911</v>
      </c>
      <c r="CK173" s="52">
        <v>665.99206602791105</v>
      </c>
      <c r="CL173" s="73">
        <v>1924.8536999999999</v>
      </c>
      <c r="CM173" s="40">
        <v>1549.080874164049</v>
      </c>
      <c r="CN173" s="52">
        <v>-375.77282583595093</v>
      </c>
      <c r="CO173" s="39">
        <v>3345.1336999999999</v>
      </c>
      <c r="CP173" s="40">
        <v>3635.35294019196</v>
      </c>
      <c r="CQ173" s="52">
        <v>290.21924019196013</v>
      </c>
      <c r="CR173" s="72">
        <v>35072.036160937358</v>
      </c>
      <c r="CS173" s="5">
        <v>34181.764215640113</v>
      </c>
      <c r="CT173" s="52">
        <v>-890.27194529724511</v>
      </c>
      <c r="CU173" s="77">
        <v>42086.443393124828</v>
      </c>
      <c r="CV173" s="65">
        <v>41018.117058768134</v>
      </c>
      <c r="CW173" s="35">
        <v>-1068.3263343566941</v>
      </c>
      <c r="CX173" s="73">
        <v>2349.8136835478995</v>
      </c>
      <c r="CY173" s="40">
        <v>3418.1400179045959</v>
      </c>
      <c r="CZ173" s="52">
        <v>1068.3263343566964</v>
      </c>
      <c r="DA173" s="150">
        <v>38926.840304507699</v>
      </c>
      <c r="DB173" s="2">
        <v>1</v>
      </c>
      <c r="DC173" s="648">
        <v>26619.32</v>
      </c>
      <c r="DD173" s="648"/>
      <c r="DE173" s="649">
        <v>-17816.93707667273</v>
      </c>
      <c r="DG173" s="321">
        <v>66686.170487617899</v>
      </c>
      <c r="DH173" s="5">
        <v>533235.0849200727</v>
      </c>
      <c r="DI173" s="306">
        <v>4.6999196852395837</v>
      </c>
      <c r="DJ173" s="306">
        <v>5.9979478777082527</v>
      </c>
      <c r="DK173" s="306"/>
      <c r="DL173" s="28">
        <v>22095.37906439053</v>
      </c>
      <c r="DM173" s="28">
        <v>0</v>
      </c>
      <c r="DN173" s="650">
        <v>22095.54</v>
      </c>
      <c r="DO173" s="94">
        <v>-0.16093560947047081</v>
      </c>
      <c r="DP173" s="28">
        <v>22095.37906439053</v>
      </c>
      <c r="DQ173" s="318">
        <v>-3.7170000032347161E-3</v>
      </c>
      <c r="DS173" s="8">
        <v>21043.221696562414</v>
      </c>
      <c r="DT173" s="5">
        <v>1052.1610848281207</v>
      </c>
      <c r="DW173" s="5">
        <v>9350.0949674724525</v>
      </c>
      <c r="DX173" s="5">
        <v>256.8</v>
      </c>
    </row>
    <row r="174" spans="1:128" x14ac:dyDescent="0.3">
      <c r="A174" s="325">
        <v>150001023</v>
      </c>
      <c r="B174" s="41" t="s">
        <v>622</v>
      </c>
      <c r="C174" s="42" t="s">
        <v>366</v>
      </c>
      <c r="D174" s="42" t="s">
        <v>366</v>
      </c>
      <c r="E174" s="293">
        <v>3767.85</v>
      </c>
      <c r="F174" s="652">
        <v>3767.85</v>
      </c>
      <c r="G174" s="51">
        <v>406.42999999999984</v>
      </c>
      <c r="H174" s="651">
        <v>0</v>
      </c>
      <c r="I174" s="73">
        <v>1420.9785818389159</v>
      </c>
      <c r="J174" s="40">
        <v>1577.754077402803</v>
      </c>
      <c r="K174" s="52">
        <v>156.77549556388703</v>
      </c>
      <c r="L174" s="73">
        <v>347.79832365059787</v>
      </c>
      <c r="M174" s="40">
        <v>407.32544993644547</v>
      </c>
      <c r="N174" s="52">
        <v>59.527126285847601</v>
      </c>
      <c r="O174" s="73">
        <v>638.6849482189366</v>
      </c>
      <c r="P174" s="40">
        <v>638.67999999999995</v>
      </c>
      <c r="Q174" s="52">
        <v>-4.9482189366472085E-3</v>
      </c>
      <c r="R174" s="73">
        <v>157.01268771953667</v>
      </c>
      <c r="S174" s="40">
        <v>157</v>
      </c>
      <c r="T174" s="52">
        <v>-1.2687719536671693E-2</v>
      </c>
      <c r="U174" s="73">
        <v>80.65719167108152</v>
      </c>
      <c r="V174" s="40">
        <v>168.09629388368865</v>
      </c>
      <c r="W174" s="52">
        <v>87.439102212607125</v>
      </c>
      <c r="X174" s="73">
        <v>833.22762600271994</v>
      </c>
      <c r="Y174" s="40">
        <v>816.81839614748628</v>
      </c>
      <c r="Z174" s="52">
        <v>-16.409229855233662</v>
      </c>
      <c r="AA174" s="73">
        <v>301.428</v>
      </c>
      <c r="AB174" s="40">
        <v>0</v>
      </c>
      <c r="AC174" s="52">
        <v>-301.428</v>
      </c>
      <c r="AD174" s="73">
        <v>2714.4397425759803</v>
      </c>
      <c r="AE174" s="40">
        <v>3395.9825841123893</v>
      </c>
      <c r="AF174" s="35">
        <v>681.54284153640901</v>
      </c>
      <c r="AG174" s="77">
        <v>6494.2271016777686</v>
      </c>
      <c r="AH174" s="53">
        <v>7161.6568014828126</v>
      </c>
      <c r="AI174" s="52">
        <v>667.42969980504404</v>
      </c>
      <c r="AJ174" s="73">
        <v>3964.9494500000001</v>
      </c>
      <c r="AK174" s="40">
        <v>3905.1360161575803</v>
      </c>
      <c r="AL174" s="52">
        <v>-59.813433842419727</v>
      </c>
      <c r="AM174" s="73">
        <v>420.29977000000002</v>
      </c>
      <c r="AN174" s="40">
        <v>0</v>
      </c>
      <c r="AO174" s="52">
        <v>-420.29977000000002</v>
      </c>
      <c r="AP174" s="73">
        <v>453.84899999999993</v>
      </c>
      <c r="AQ174" s="40">
        <v>0</v>
      </c>
      <c r="AR174" s="52">
        <v>-453.84899999999993</v>
      </c>
      <c r="AS174" s="73">
        <v>4700.2539462656132</v>
      </c>
      <c r="AT174" s="40">
        <v>60897</v>
      </c>
      <c r="AU174" s="54">
        <v>56196.746053734387</v>
      </c>
      <c r="AV174" s="73">
        <v>652.06506547962817</v>
      </c>
      <c r="AW174" s="40">
        <v>0</v>
      </c>
      <c r="AX174" s="55">
        <v>-652.06506547962817</v>
      </c>
      <c r="AY174" s="73">
        <v>911.03305209662255</v>
      </c>
      <c r="AZ174" s="40">
        <v>0</v>
      </c>
      <c r="BA174" s="35">
        <v>-911.03305209662255</v>
      </c>
      <c r="BB174" s="73">
        <v>310.59167909690336</v>
      </c>
      <c r="BC174" s="40">
        <v>0</v>
      </c>
      <c r="BD174" s="55">
        <v>-310.59167909690336</v>
      </c>
      <c r="BE174" s="73">
        <v>825.63093850338601</v>
      </c>
      <c r="BF174" s="40">
        <v>0</v>
      </c>
      <c r="BG174" s="38">
        <v>-825.63093850338601</v>
      </c>
      <c r="BH174" s="73">
        <v>389.45655961307102</v>
      </c>
      <c r="BI174" s="40">
        <v>0</v>
      </c>
      <c r="BJ174" s="55">
        <v>-389.45655961307102</v>
      </c>
      <c r="BK174" s="73">
        <v>544.93429266750263</v>
      </c>
      <c r="BL174" s="40">
        <v>0</v>
      </c>
      <c r="BM174" s="38">
        <v>-544.93429266750263</v>
      </c>
      <c r="BN174" s="73">
        <v>44.381298394946661</v>
      </c>
      <c r="BO174" s="40">
        <v>0</v>
      </c>
      <c r="BP174" s="55">
        <v>-44.381298394946661</v>
      </c>
      <c r="BQ174" s="77">
        <v>3678.0928858520606</v>
      </c>
      <c r="BR174" s="40">
        <v>0</v>
      </c>
      <c r="BS174" s="55">
        <v>-3678.0928858520606</v>
      </c>
      <c r="BT174" s="73">
        <v>5669.2011400871997</v>
      </c>
      <c r="BU174" s="40">
        <v>1297.0531383614723</v>
      </c>
      <c r="BV174" s="52">
        <v>-4372.1480017257272</v>
      </c>
      <c r="BW174" s="73">
        <v>4064.08682166366</v>
      </c>
      <c r="BX174" s="40">
        <v>4857.3620131101143</v>
      </c>
      <c r="BY174" s="52">
        <v>793.2751914464543</v>
      </c>
      <c r="BZ174" s="73">
        <v>1271.3649147983319</v>
      </c>
      <c r="CA174" s="40">
        <v>7793.269559359278</v>
      </c>
      <c r="CB174" s="52">
        <v>6521.9046445609456</v>
      </c>
      <c r="CC174" s="73">
        <v>124.52815649999999</v>
      </c>
      <c r="CD174" s="40">
        <v>154.23399849403228</v>
      </c>
      <c r="CE174" s="52">
        <v>29.705841994032284</v>
      </c>
      <c r="CF174" s="73">
        <v>14.523168</v>
      </c>
      <c r="CG174" s="40">
        <v>0</v>
      </c>
      <c r="CH174" s="52">
        <v>-14.523168</v>
      </c>
      <c r="CI174" s="73">
        <v>1245.8599999999999</v>
      </c>
      <c r="CJ174" s="40">
        <v>1317.5144552930583</v>
      </c>
      <c r="CK174" s="52">
        <v>71.65445529305839</v>
      </c>
      <c r="CL174" s="73">
        <v>1507.4906000000001</v>
      </c>
      <c r="CM174" s="40">
        <v>1548.9783590441409</v>
      </c>
      <c r="CN174" s="52">
        <v>41.48775904414083</v>
      </c>
      <c r="CO174" s="39">
        <v>2753.3505999999998</v>
      </c>
      <c r="CP174" s="40">
        <v>2866.492814337199</v>
      </c>
      <c r="CQ174" s="52">
        <v>113.14221433719922</v>
      </c>
      <c r="CR174" s="72">
        <v>33608.726954844635</v>
      </c>
      <c r="CS174" s="5">
        <v>88932.204341302495</v>
      </c>
      <c r="CT174" s="52">
        <v>55323.47738645786</v>
      </c>
      <c r="CU174" s="77">
        <v>40330.472345813563</v>
      </c>
      <c r="CV174" s="65">
        <v>106718.64520956299</v>
      </c>
      <c r="CW174" s="35">
        <v>66388.172863749438</v>
      </c>
      <c r="CX174" s="73">
        <v>2251.7724982582918</v>
      </c>
      <c r="CY174" s="40">
        <v>-64136.400365491136</v>
      </c>
      <c r="CZ174" s="52">
        <v>-66388.172863749423</v>
      </c>
      <c r="DA174" s="150">
        <v>26717.034794624895</v>
      </c>
      <c r="DB174" s="2">
        <v>1</v>
      </c>
      <c r="DC174" s="648">
        <v>50566.69</v>
      </c>
      <c r="DD174" s="648"/>
      <c r="DE174" s="649">
        <v>7984.4451559281442</v>
      </c>
      <c r="DG174" s="321">
        <v>-30755.780692639593</v>
      </c>
      <c r="DH174" s="5">
        <v>510986.9381288623</v>
      </c>
      <c r="DI174" s="306">
        <v>4.6342269185217351</v>
      </c>
      <c r="DJ174" s="306">
        <v>5.7386488850120871</v>
      </c>
      <c r="DK174" s="306"/>
      <c r="DL174" s="28">
        <v>21173.497981552118</v>
      </c>
      <c r="DM174" s="28">
        <v>0</v>
      </c>
      <c r="DN174" s="650">
        <v>21173.64</v>
      </c>
      <c r="DO174" s="94">
        <v>-0.14201844788112794</v>
      </c>
      <c r="DP174" s="28">
        <v>21173.497981552118</v>
      </c>
      <c r="DQ174" s="318">
        <v>0</v>
      </c>
      <c r="DS174" s="8">
        <v>20165.236172906782</v>
      </c>
      <c r="DT174" s="5">
        <v>1008.2618086453391</v>
      </c>
      <c r="DW174" s="5">
        <v>10054.016198541207</v>
      </c>
      <c r="DX174" s="5">
        <v>73076.399999999994</v>
      </c>
    </row>
    <row r="175" spans="1:128" x14ac:dyDescent="0.3">
      <c r="A175" s="325">
        <v>150001024</v>
      </c>
      <c r="B175" s="41" t="s">
        <v>623</v>
      </c>
      <c r="C175" s="42" t="s">
        <v>367</v>
      </c>
      <c r="D175" s="42" t="s">
        <v>367</v>
      </c>
      <c r="E175" s="293">
        <v>4293.3200000000006</v>
      </c>
      <c r="F175" s="652">
        <v>4227.22</v>
      </c>
      <c r="G175" s="653">
        <v>344.65999999999985</v>
      </c>
      <c r="H175" s="651">
        <v>66.099999999999994</v>
      </c>
      <c r="I175" s="73">
        <v>2283.4055599510175</v>
      </c>
      <c r="J175" s="40">
        <v>2535.8378078827427</v>
      </c>
      <c r="K175" s="52">
        <v>252.43224793172521</v>
      </c>
      <c r="L175" s="73">
        <v>378.55820062427983</v>
      </c>
      <c r="M175" s="40">
        <v>444.14541973223714</v>
      </c>
      <c r="N175" s="52">
        <v>65.58721910795731</v>
      </c>
      <c r="O175" s="73">
        <v>808.37700428023663</v>
      </c>
      <c r="P175" s="40">
        <v>808.38</v>
      </c>
      <c r="Q175" s="52">
        <v>2.9957197633621035E-3</v>
      </c>
      <c r="R175" s="73">
        <v>186.74891265139337</v>
      </c>
      <c r="S175" s="40">
        <v>186.76</v>
      </c>
      <c r="T175" s="52">
        <v>1.1087348606622527E-2</v>
      </c>
      <c r="U175" s="73">
        <v>86.533130947417462</v>
      </c>
      <c r="V175" s="40">
        <v>179.1088556664759</v>
      </c>
      <c r="W175" s="52">
        <v>92.575724719058442</v>
      </c>
      <c r="X175" s="73">
        <v>772.50202502236391</v>
      </c>
      <c r="Y175" s="40">
        <v>990.346712618531</v>
      </c>
      <c r="Z175" s="52">
        <v>217.84468759616709</v>
      </c>
      <c r="AA175" s="73">
        <v>343.36800000000005</v>
      </c>
      <c r="AB175" s="40">
        <v>0</v>
      </c>
      <c r="AC175" s="52">
        <v>-343.36800000000005</v>
      </c>
      <c r="AD175" s="73">
        <v>3089.4778483303644</v>
      </c>
      <c r="AE175" s="40">
        <v>3869.5913977524069</v>
      </c>
      <c r="AF175" s="35">
        <v>780.11354942204252</v>
      </c>
      <c r="AG175" s="77">
        <v>7948.9706818070736</v>
      </c>
      <c r="AH175" s="53">
        <v>9014.170193652395</v>
      </c>
      <c r="AI175" s="52">
        <v>1065.1995118453215</v>
      </c>
      <c r="AJ175" s="73">
        <v>5521.7405099999996</v>
      </c>
      <c r="AK175" s="40">
        <v>5438.4201185626225</v>
      </c>
      <c r="AL175" s="52">
        <v>-83.320391437377111</v>
      </c>
      <c r="AM175" s="73">
        <v>0</v>
      </c>
      <c r="AN175" s="40">
        <v>0</v>
      </c>
      <c r="AO175" s="52">
        <v>0</v>
      </c>
      <c r="AP175" s="73">
        <v>441.24208333333331</v>
      </c>
      <c r="AQ175" s="40">
        <v>0</v>
      </c>
      <c r="AR175" s="52">
        <v>-441.24208333333331</v>
      </c>
      <c r="AS175" s="73">
        <v>5586.8648884185741</v>
      </c>
      <c r="AT175" s="40">
        <v>1249</v>
      </c>
      <c r="AU175" s="54">
        <v>-4337.8648884185741</v>
      </c>
      <c r="AV175" s="73">
        <v>977.56018853857893</v>
      </c>
      <c r="AW175" s="40">
        <v>0</v>
      </c>
      <c r="AX175" s="55">
        <v>-977.56018853857893</v>
      </c>
      <c r="AY175" s="73">
        <v>1013.9546929185241</v>
      </c>
      <c r="AZ175" s="40">
        <v>0</v>
      </c>
      <c r="BA175" s="35">
        <v>-1013.9546929185241</v>
      </c>
      <c r="BB175" s="73">
        <v>283.68476009064318</v>
      </c>
      <c r="BC175" s="40">
        <v>0</v>
      </c>
      <c r="BD175" s="55">
        <v>-283.68476009064318</v>
      </c>
      <c r="BE175" s="73">
        <v>996.86058404424</v>
      </c>
      <c r="BF175" s="40">
        <v>0</v>
      </c>
      <c r="BG175" s="38">
        <v>-996.86058404424</v>
      </c>
      <c r="BH175" s="73">
        <v>417.92545115516577</v>
      </c>
      <c r="BI175" s="40">
        <v>0</v>
      </c>
      <c r="BJ175" s="55">
        <v>-417.92545115516577</v>
      </c>
      <c r="BK175" s="73">
        <v>474.83462395061417</v>
      </c>
      <c r="BL175" s="40">
        <v>0</v>
      </c>
      <c r="BM175" s="38">
        <v>-474.83462395061417</v>
      </c>
      <c r="BN175" s="73">
        <v>44.844902528472943</v>
      </c>
      <c r="BO175" s="40">
        <v>0</v>
      </c>
      <c r="BP175" s="55">
        <v>-44.844902528472943</v>
      </c>
      <c r="BQ175" s="77">
        <v>4209.6652032262391</v>
      </c>
      <c r="BR175" s="40">
        <v>0</v>
      </c>
      <c r="BS175" s="55">
        <v>-4209.6652032262391</v>
      </c>
      <c r="BT175" s="73">
        <v>5944.6131962815398</v>
      </c>
      <c r="BU175" s="40">
        <v>1319.3575201195442</v>
      </c>
      <c r="BV175" s="52">
        <v>-4625.2556761619953</v>
      </c>
      <c r="BW175" s="73">
        <v>4530.3207833984397</v>
      </c>
      <c r="BX175" s="40">
        <v>5308.0656308351854</v>
      </c>
      <c r="BY175" s="52">
        <v>777.74484743674566</v>
      </c>
      <c r="BZ175" s="73">
        <v>1353.6876614002019</v>
      </c>
      <c r="CA175" s="40">
        <v>7885.9404630674799</v>
      </c>
      <c r="CB175" s="52">
        <v>6532.2528016672777</v>
      </c>
      <c r="CC175" s="73">
        <v>97.979324849999998</v>
      </c>
      <c r="CD175" s="40">
        <v>115.67549887052422</v>
      </c>
      <c r="CE175" s="52">
        <v>17.696174020524225</v>
      </c>
      <c r="CF175" s="73">
        <v>10.892376000000001</v>
      </c>
      <c r="CG175" s="40">
        <v>0</v>
      </c>
      <c r="CH175" s="52">
        <v>-10.892376000000001</v>
      </c>
      <c r="CI175" s="73">
        <v>2684.82</v>
      </c>
      <c r="CJ175" s="40">
        <v>2455.9629020802304</v>
      </c>
      <c r="CK175" s="52">
        <v>-228.85709791976979</v>
      </c>
      <c r="CL175" s="73">
        <v>2061.8982999999998</v>
      </c>
      <c r="CM175" s="40">
        <v>1717.6351823541645</v>
      </c>
      <c r="CN175" s="52">
        <v>-344.26311764583534</v>
      </c>
      <c r="CO175" s="39">
        <v>4746.7183000000005</v>
      </c>
      <c r="CP175" s="40">
        <v>4173.5980844343949</v>
      </c>
      <c r="CQ175" s="52">
        <v>-573.12021556560558</v>
      </c>
      <c r="CR175" s="72">
        <v>40392.695008715404</v>
      </c>
      <c r="CS175" s="5">
        <v>34504.22750954215</v>
      </c>
      <c r="CT175" s="52">
        <v>-5888.4674991732536</v>
      </c>
      <c r="CU175" s="77">
        <v>48471.23401045848</v>
      </c>
      <c r="CV175" s="65">
        <v>41405.073011450579</v>
      </c>
      <c r="CW175" s="35">
        <v>-7066.1609990079014</v>
      </c>
      <c r="CX175" s="73">
        <v>2706.2958937232011</v>
      </c>
      <c r="CY175" s="40">
        <v>9772.4568927311047</v>
      </c>
      <c r="CZ175" s="52">
        <v>7066.1609990079032</v>
      </c>
      <c r="DA175" s="150">
        <v>-18137.214050849991</v>
      </c>
      <c r="DB175" s="2">
        <v>1</v>
      </c>
      <c r="DC175" s="648">
        <v>28767.37</v>
      </c>
      <c r="DD175" s="648">
        <v>274.37</v>
      </c>
      <c r="DE175" s="649">
        <v>-22135.789904181685</v>
      </c>
      <c r="DG175" s="321">
        <v>-6386.2796844294062</v>
      </c>
      <c r="DH175" s="5">
        <v>614130.35885018017</v>
      </c>
      <c r="DI175" s="306">
        <v>4.8261567022907812</v>
      </c>
      <c r="DJ175" s="306">
        <v>6.0570956177941895</v>
      </c>
      <c r="DK175" s="306">
        <v>4.1507894298011889</v>
      </c>
      <c r="DL175" s="28">
        <v>25180.42033083455</v>
      </c>
      <c r="DM175" s="28">
        <v>274.36718130985855</v>
      </c>
      <c r="DN175" s="650">
        <v>25180.42</v>
      </c>
      <c r="DO175" s="94">
        <v>3.3083455127780326E-4</v>
      </c>
      <c r="DP175" s="28">
        <v>25454.787512144409</v>
      </c>
      <c r="DQ175" s="318">
        <v>7.3896566537077888</v>
      </c>
      <c r="DS175" s="8">
        <v>24235.61700522924</v>
      </c>
      <c r="DT175" s="5">
        <v>1211.7808502614621</v>
      </c>
      <c r="DW175" s="5">
        <v>11755.836109973776</v>
      </c>
      <c r="DX175" s="5">
        <v>1498.8</v>
      </c>
    </row>
    <row r="176" spans="1:128" x14ac:dyDescent="0.3">
      <c r="A176" s="325">
        <v>150001025</v>
      </c>
      <c r="B176" s="41" t="s">
        <v>624</v>
      </c>
      <c r="C176" s="42" t="s">
        <v>421</v>
      </c>
      <c r="D176" s="42" t="s">
        <v>421</v>
      </c>
      <c r="E176" s="293">
        <v>5265.4</v>
      </c>
      <c r="F176" s="652">
        <v>5062.2</v>
      </c>
      <c r="G176" s="51">
        <v>311.80000000000018</v>
      </c>
      <c r="H176" s="651">
        <v>203.2</v>
      </c>
      <c r="I176" s="73">
        <v>2686.4384134923312</v>
      </c>
      <c r="J176" s="40">
        <v>2984.6272230275144</v>
      </c>
      <c r="K176" s="52">
        <v>298.18880953518328</v>
      </c>
      <c r="L176" s="73">
        <v>478.40575912991261</v>
      </c>
      <c r="M176" s="40">
        <v>560.63178716597122</v>
      </c>
      <c r="N176" s="52">
        <v>82.226028036058608</v>
      </c>
      <c r="O176" s="73">
        <v>1034.4698790556736</v>
      </c>
      <c r="P176" s="40">
        <v>1034.46</v>
      </c>
      <c r="Q176" s="52">
        <v>-9.8790556735366408E-3</v>
      </c>
      <c r="R176" s="73">
        <v>211.98212508908333</v>
      </c>
      <c r="S176" s="40">
        <v>211.98</v>
      </c>
      <c r="T176" s="52">
        <v>-2.1250890833357516E-3</v>
      </c>
      <c r="U176" s="73">
        <v>92.451448596603427</v>
      </c>
      <c r="V176" s="40">
        <v>190.20239216825419</v>
      </c>
      <c r="W176" s="52">
        <v>97.750943571650765</v>
      </c>
      <c r="X176" s="73">
        <v>811.70041064981444</v>
      </c>
      <c r="Y176" s="40">
        <v>924.80799455173292</v>
      </c>
      <c r="Z176" s="52">
        <v>113.10758390191847</v>
      </c>
      <c r="AA176" s="73">
        <v>421.23199999999997</v>
      </c>
      <c r="AB176" s="40">
        <v>0</v>
      </c>
      <c r="AC176" s="52">
        <v>-421.23199999999997</v>
      </c>
      <c r="AD176" s="73">
        <v>3785.2187117723665</v>
      </c>
      <c r="AE176" s="40">
        <v>4745.7321014332774</v>
      </c>
      <c r="AF176" s="35">
        <v>960.51338966091089</v>
      </c>
      <c r="AG176" s="77">
        <v>9521.8987477857845</v>
      </c>
      <c r="AH176" s="53">
        <v>10652.44149834675</v>
      </c>
      <c r="AI176" s="52">
        <v>1130.5427505609659</v>
      </c>
      <c r="AJ176" s="73">
        <v>4755.8480749999999</v>
      </c>
      <c r="AK176" s="40">
        <v>4684.1035022668948</v>
      </c>
      <c r="AL176" s="52">
        <v>-71.744572733105088</v>
      </c>
      <c r="AM176" s="73">
        <v>0</v>
      </c>
      <c r="AN176" s="40">
        <v>0</v>
      </c>
      <c r="AO176" s="52">
        <v>0</v>
      </c>
      <c r="AP176" s="73">
        <v>485.3662916666666</v>
      </c>
      <c r="AQ176" s="40">
        <v>0</v>
      </c>
      <c r="AR176" s="52">
        <v>-485.3662916666666</v>
      </c>
      <c r="AS176" s="73">
        <v>6536.5284044087039</v>
      </c>
      <c r="AT176" s="40">
        <v>845</v>
      </c>
      <c r="AU176" s="54">
        <v>-5691.5284044087039</v>
      </c>
      <c r="AV176" s="73">
        <v>1206.9468209427957</v>
      </c>
      <c r="AW176" s="40">
        <v>302</v>
      </c>
      <c r="AX176" s="55">
        <v>-904.94682094279574</v>
      </c>
      <c r="AY176" s="73">
        <v>1245.9122045710662</v>
      </c>
      <c r="AZ176" s="40">
        <v>0</v>
      </c>
      <c r="BA176" s="35">
        <v>-1245.9122045710662</v>
      </c>
      <c r="BB176" s="73">
        <v>361.93650903204662</v>
      </c>
      <c r="BC176" s="40">
        <v>0</v>
      </c>
      <c r="BD176" s="55">
        <v>-361.93650903204662</v>
      </c>
      <c r="BE176" s="73">
        <v>1104.21352203832</v>
      </c>
      <c r="BF176" s="40">
        <v>0</v>
      </c>
      <c r="BG176" s="38">
        <v>-1104.21352203832</v>
      </c>
      <c r="BH176" s="73">
        <v>446.43672107011059</v>
      </c>
      <c r="BI176" s="40">
        <v>0</v>
      </c>
      <c r="BJ176" s="55">
        <v>-446.43672107011059</v>
      </c>
      <c r="BK176" s="73">
        <v>509.93676894178896</v>
      </c>
      <c r="BL176" s="40">
        <v>0</v>
      </c>
      <c r="BM176" s="38">
        <v>-509.93676894178896</v>
      </c>
      <c r="BN176" s="73">
        <v>56.826088032989958</v>
      </c>
      <c r="BO176" s="40">
        <v>0</v>
      </c>
      <c r="BP176" s="55">
        <v>-56.826088032989958</v>
      </c>
      <c r="BQ176" s="77">
        <v>4932.2086346291171</v>
      </c>
      <c r="BR176" s="40">
        <v>302</v>
      </c>
      <c r="BS176" s="55">
        <v>-4630.2086346291171</v>
      </c>
      <c r="BT176" s="73">
        <v>7654.98706375658</v>
      </c>
      <c r="BU176" s="40">
        <v>1726.6927641891175</v>
      </c>
      <c r="BV176" s="52">
        <v>-5928.2942995674621</v>
      </c>
      <c r="BW176" s="73">
        <v>4986.36119938088</v>
      </c>
      <c r="BX176" s="40">
        <v>5491.458644435369</v>
      </c>
      <c r="BY176" s="52">
        <v>505.09744505448907</v>
      </c>
      <c r="BZ176" s="73">
        <v>1865.4422654418779</v>
      </c>
      <c r="CA176" s="40">
        <v>10201.991096383288</v>
      </c>
      <c r="CB176" s="52">
        <v>8336.5488309414104</v>
      </c>
      <c r="CC176" s="73">
        <v>79.224237400000007</v>
      </c>
      <c r="CD176" s="40">
        <v>96.396249058770181</v>
      </c>
      <c r="CE176" s="52">
        <v>17.172011658770174</v>
      </c>
      <c r="CF176" s="73">
        <v>9.0769800000000007</v>
      </c>
      <c r="CG176" s="40">
        <v>0</v>
      </c>
      <c r="CH176" s="52">
        <v>-9.0769800000000007</v>
      </c>
      <c r="CI176" s="73">
        <v>2239.44</v>
      </c>
      <c r="CJ176" s="40">
        <v>2891.5792295127048</v>
      </c>
      <c r="CK176" s="52">
        <v>652.13922951270479</v>
      </c>
      <c r="CL176" s="73">
        <v>1956.0001999999999</v>
      </c>
      <c r="CM176" s="40">
        <v>1647.1419121938366</v>
      </c>
      <c r="CN176" s="52">
        <v>-308.85828780616339</v>
      </c>
      <c r="CO176" s="39">
        <v>4195.4402</v>
      </c>
      <c r="CP176" s="40">
        <v>4538.7211417065409</v>
      </c>
      <c r="CQ176" s="52">
        <v>343.28094170654094</v>
      </c>
      <c r="CR176" s="72">
        <v>45022.382099469607</v>
      </c>
      <c r="CS176" s="5">
        <v>38538.804896386733</v>
      </c>
      <c r="CT176" s="52">
        <v>-6483.5772030828739</v>
      </c>
      <c r="CU176" s="77">
        <v>54026.85851936353</v>
      </c>
      <c r="CV176" s="65">
        <v>46246.565875664077</v>
      </c>
      <c r="CW176" s="35">
        <v>-7780.292643699453</v>
      </c>
      <c r="CX176" s="73">
        <v>3016.4832471599552</v>
      </c>
      <c r="CY176" s="40">
        <v>10796.775890859411</v>
      </c>
      <c r="CZ176" s="52">
        <v>7780.2926436994567</v>
      </c>
      <c r="DA176" s="150">
        <v>-17033.168944114794</v>
      </c>
      <c r="DB176" s="2">
        <v>1</v>
      </c>
      <c r="DC176" s="648">
        <v>30230.25</v>
      </c>
      <c r="DD176" s="648">
        <v>3456.97</v>
      </c>
      <c r="DE176" s="649">
        <v>-23356.121766523487</v>
      </c>
      <c r="DG176" s="321">
        <v>-23593.273924216468</v>
      </c>
      <c r="DH176" s="5">
        <v>684520.10119828186</v>
      </c>
      <c r="DI176" s="306">
        <v>4.6077666372141213</v>
      </c>
      <c r="DJ176" s="306">
        <v>5.4978947134287557</v>
      </c>
      <c r="DK176" s="306">
        <v>3.9872049139297876</v>
      </c>
      <c r="DL176" s="28">
        <v>27553.90068415532</v>
      </c>
      <c r="DM176" s="28">
        <v>810.20003851053275</v>
      </c>
      <c r="DN176" s="650">
        <v>27553.99</v>
      </c>
      <c r="DO176" s="94">
        <v>-8.9315844681550516E-2</v>
      </c>
      <c r="DP176" s="28">
        <v>28364.100722665851</v>
      </c>
      <c r="DQ176" s="318">
        <v>0</v>
      </c>
      <c r="DS176" s="8">
        <v>27013.429259681765</v>
      </c>
      <c r="DT176" s="5">
        <v>1350.6714629840881</v>
      </c>
      <c r="DW176" s="5">
        <v>13762.484446845383</v>
      </c>
      <c r="DX176" s="5">
        <v>1376.3999999999999</v>
      </c>
    </row>
    <row r="177" spans="1:128" x14ac:dyDescent="0.3">
      <c r="A177" s="325">
        <v>150001026</v>
      </c>
      <c r="B177" s="41" t="s">
        <v>625</v>
      </c>
      <c r="C177" s="42" t="s">
        <v>335</v>
      </c>
      <c r="D177" s="42" t="s">
        <v>335</v>
      </c>
      <c r="E177" s="293">
        <v>7052.84</v>
      </c>
      <c r="F177" s="652">
        <v>7052.84</v>
      </c>
      <c r="G177" s="51">
        <v>879.69999999999982</v>
      </c>
      <c r="H177" s="651">
        <v>0</v>
      </c>
      <c r="I177" s="73">
        <v>1672.5581015039513</v>
      </c>
      <c r="J177" s="40">
        <v>1865.7785851110773</v>
      </c>
      <c r="K177" s="52">
        <v>193.22048360712597</v>
      </c>
      <c r="L177" s="73">
        <v>599.67209951977611</v>
      </c>
      <c r="M177" s="40">
        <v>704.60465643827069</v>
      </c>
      <c r="N177" s="52">
        <v>104.93255691849458</v>
      </c>
      <c r="O177" s="73">
        <v>1346.8487388463666</v>
      </c>
      <c r="P177" s="40">
        <v>1346.86</v>
      </c>
      <c r="Q177" s="52">
        <v>1.126115363331337E-2</v>
      </c>
      <c r="R177" s="73">
        <v>305.16223837246997</v>
      </c>
      <c r="S177" s="40">
        <v>305.16000000000003</v>
      </c>
      <c r="T177" s="52">
        <v>-2.2383724699466256E-3</v>
      </c>
      <c r="U177" s="73">
        <v>249.79213565145122</v>
      </c>
      <c r="V177" s="40">
        <v>485.11231873377699</v>
      </c>
      <c r="W177" s="52">
        <v>235.32018308232577</v>
      </c>
      <c r="X177" s="73">
        <v>2066.9323396180539</v>
      </c>
      <c r="Y177" s="40">
        <v>2131.1895735452754</v>
      </c>
      <c r="Z177" s="52">
        <v>64.257233927221478</v>
      </c>
      <c r="AA177" s="73">
        <v>564.11519999999996</v>
      </c>
      <c r="AB177" s="40">
        <v>0</v>
      </c>
      <c r="AC177" s="52">
        <v>-564.11519999999996</v>
      </c>
      <c r="AD177" s="73">
        <v>5079.9874508151033</v>
      </c>
      <c r="AE177" s="40">
        <v>6356.7609667399784</v>
      </c>
      <c r="AF177" s="35">
        <v>1276.773515924875</v>
      </c>
      <c r="AG177" s="77">
        <v>11885.068304327171</v>
      </c>
      <c r="AH177" s="53">
        <v>13195.466100568377</v>
      </c>
      <c r="AI177" s="52">
        <v>1310.3977962412064</v>
      </c>
      <c r="AJ177" s="73">
        <v>8347.26</v>
      </c>
      <c r="AK177" s="40">
        <v>8221.3389813843787</v>
      </c>
      <c r="AL177" s="52">
        <v>-125.92101861562151</v>
      </c>
      <c r="AM177" s="73">
        <v>840.59954000000005</v>
      </c>
      <c r="AN177" s="40">
        <v>413.89044027688317</v>
      </c>
      <c r="AO177" s="52">
        <v>-426.70909972311688</v>
      </c>
      <c r="AP177" s="73">
        <v>806.84266666666667</v>
      </c>
      <c r="AQ177" s="40">
        <v>0</v>
      </c>
      <c r="AR177" s="52">
        <v>-806.84266666666667</v>
      </c>
      <c r="AS177" s="73">
        <v>8315.3805447954819</v>
      </c>
      <c r="AT177" s="40">
        <v>6666</v>
      </c>
      <c r="AU177" s="54">
        <v>-1649.3805447954819</v>
      </c>
      <c r="AV177" s="73">
        <v>744.2942422666988</v>
      </c>
      <c r="AW177" s="40">
        <v>0</v>
      </c>
      <c r="AX177" s="55">
        <v>-744.2942422666988</v>
      </c>
      <c r="AY177" s="73">
        <v>1652.4986847434161</v>
      </c>
      <c r="AZ177" s="40">
        <v>0</v>
      </c>
      <c r="BA177" s="35">
        <v>-1652.4986847434161</v>
      </c>
      <c r="BB177" s="73">
        <v>506.57455988939</v>
      </c>
      <c r="BC177" s="40">
        <v>0</v>
      </c>
      <c r="BD177" s="55">
        <v>-506.57455988939</v>
      </c>
      <c r="BE177" s="73">
        <v>1491.0671072045561</v>
      </c>
      <c r="BF177" s="40">
        <v>0</v>
      </c>
      <c r="BG177" s="38">
        <v>-1491.0671072045561</v>
      </c>
      <c r="BH177" s="73">
        <v>1206.2857618860639</v>
      </c>
      <c r="BI177" s="40">
        <v>0</v>
      </c>
      <c r="BJ177" s="55">
        <v>-1206.2857618860639</v>
      </c>
      <c r="BK177" s="73">
        <v>1374.9505204426875</v>
      </c>
      <c r="BL177" s="40">
        <v>0</v>
      </c>
      <c r="BM177" s="38">
        <v>-1374.9505204426875</v>
      </c>
      <c r="BN177" s="73">
        <v>131.02423034457539</v>
      </c>
      <c r="BO177" s="40">
        <v>0</v>
      </c>
      <c r="BP177" s="55">
        <v>-131.02423034457539</v>
      </c>
      <c r="BQ177" s="77">
        <v>7106.695106777388</v>
      </c>
      <c r="BR177" s="40">
        <v>0</v>
      </c>
      <c r="BS177" s="55">
        <v>-7106.695106777388</v>
      </c>
      <c r="BT177" s="73">
        <v>10521.624575285339</v>
      </c>
      <c r="BU177" s="40">
        <v>2309.5107721993331</v>
      </c>
      <c r="BV177" s="52">
        <v>-8212.1138030860056</v>
      </c>
      <c r="BW177" s="73">
        <v>9141.6107272670197</v>
      </c>
      <c r="BX177" s="40">
        <v>10105.690920453184</v>
      </c>
      <c r="BY177" s="52">
        <v>964.08019318616425</v>
      </c>
      <c r="BZ177" s="73">
        <v>1740.946533547718</v>
      </c>
      <c r="CA177" s="40">
        <v>13556.857856834851</v>
      </c>
      <c r="CB177" s="52">
        <v>11815.911323287133</v>
      </c>
      <c r="CC177" s="73">
        <v>390.96588506249998</v>
      </c>
      <c r="CD177" s="40">
        <v>488.48799210531797</v>
      </c>
      <c r="CE177" s="52">
        <v>97.522107042817993</v>
      </c>
      <c r="CF177" s="73">
        <v>45.99759615</v>
      </c>
      <c r="CG177" s="40">
        <v>0</v>
      </c>
      <c r="CH177" s="52">
        <v>-45.99759615</v>
      </c>
      <c r="CI177" s="73">
        <v>5020.82</v>
      </c>
      <c r="CJ177" s="40">
        <v>4189.8340310288186</v>
      </c>
      <c r="CK177" s="52">
        <v>-830.98596897118114</v>
      </c>
      <c r="CL177" s="73">
        <v>4186.0896000000002</v>
      </c>
      <c r="CM177" s="40">
        <v>5056.6014222335052</v>
      </c>
      <c r="CN177" s="52">
        <v>870.51182223350497</v>
      </c>
      <c r="CO177" s="39">
        <v>9206.909599999999</v>
      </c>
      <c r="CP177" s="40">
        <v>9246.4354532623238</v>
      </c>
      <c r="CQ177" s="52">
        <v>39.525853262324745</v>
      </c>
      <c r="CR177" s="72">
        <v>68349.901079879288</v>
      </c>
      <c r="CS177" s="5">
        <v>64203.678517084656</v>
      </c>
      <c r="CT177" s="52">
        <v>-4146.2225627946318</v>
      </c>
      <c r="CU177" s="77">
        <v>82019.881295855143</v>
      </c>
      <c r="CV177" s="65">
        <v>77044.414220501581</v>
      </c>
      <c r="CW177" s="35">
        <v>-4975.4670753535611</v>
      </c>
      <c r="CX177" s="73">
        <v>4579.4185455799079</v>
      </c>
      <c r="CY177" s="40">
        <v>9554.8856209334626</v>
      </c>
      <c r="CZ177" s="52">
        <v>4975.4670753535547</v>
      </c>
      <c r="DA177" s="150">
        <v>6315.5569905886441</v>
      </c>
      <c r="DB177" s="2">
        <v>1</v>
      </c>
      <c r="DC177" s="648">
        <v>53398.59</v>
      </c>
      <c r="DD177" s="648"/>
      <c r="DE177" s="649">
        <v>-33200.709841435048</v>
      </c>
      <c r="DG177" s="321">
        <v>130460.11697759054</v>
      </c>
      <c r="DH177" s="5">
        <v>1039191.5980972205</v>
      </c>
      <c r="DI177" s="306">
        <v>4.9397076798673671</v>
      </c>
      <c r="DJ177" s="306">
        <v>6.2729435506995799</v>
      </c>
      <c r="DK177" s="306"/>
      <c r="DL177" s="28">
        <v>43069.219596544928</v>
      </c>
      <c r="DM177" s="28">
        <v>0</v>
      </c>
      <c r="DN177" s="650">
        <v>43068.07</v>
      </c>
      <c r="DO177" s="94">
        <v>1.1495965449284995</v>
      </c>
      <c r="DP177" s="28">
        <v>43069.219596544928</v>
      </c>
      <c r="DQ177" s="318">
        <v>8.7819162209780188</v>
      </c>
      <c r="DS177" s="8">
        <v>41009.940647927571</v>
      </c>
      <c r="DT177" s="5">
        <v>2050.4970323963785</v>
      </c>
      <c r="DW177" s="5">
        <v>18506.490781887442</v>
      </c>
      <c r="DX177" s="5">
        <v>7999.2</v>
      </c>
    </row>
    <row r="178" spans="1:128" x14ac:dyDescent="0.3">
      <c r="A178" s="325">
        <v>150001027</v>
      </c>
      <c r="B178" s="41" t="s">
        <v>626</v>
      </c>
      <c r="C178" s="42" t="s">
        <v>368</v>
      </c>
      <c r="D178" s="42" t="s">
        <v>368</v>
      </c>
      <c r="E178" s="293">
        <v>10383.44</v>
      </c>
      <c r="F178" s="652">
        <v>10262.19</v>
      </c>
      <c r="G178" s="51">
        <v>1160.4500000000007</v>
      </c>
      <c r="H178" s="651">
        <v>121.25</v>
      </c>
      <c r="I178" s="73">
        <v>3848.1952778238674</v>
      </c>
      <c r="J178" s="40">
        <v>4275.8873713376906</v>
      </c>
      <c r="K178" s="52">
        <v>427.69209351382324</v>
      </c>
      <c r="L178" s="73">
        <v>685.25974816022665</v>
      </c>
      <c r="M178" s="40">
        <v>814.7434073312761</v>
      </c>
      <c r="N178" s="52">
        <v>129.48365917104945</v>
      </c>
      <c r="O178" s="73">
        <v>2070.6291784622267</v>
      </c>
      <c r="P178" s="40">
        <v>2070.64</v>
      </c>
      <c r="Q178" s="52">
        <v>1.0821537773153977E-2</v>
      </c>
      <c r="R178" s="73">
        <v>462.78373527683664</v>
      </c>
      <c r="S178" s="40">
        <v>462.78</v>
      </c>
      <c r="T178" s="52">
        <v>-3.735276836664525E-3</v>
      </c>
      <c r="U178" s="73">
        <v>511.42084596484887</v>
      </c>
      <c r="V178" s="40">
        <v>975.49521694377336</v>
      </c>
      <c r="W178" s="52">
        <v>464.07437097892449</v>
      </c>
      <c r="X178" s="73">
        <v>2789.373845340122</v>
      </c>
      <c r="Y178" s="40">
        <v>3483.6381927105685</v>
      </c>
      <c r="Z178" s="52">
        <v>694.26434737044656</v>
      </c>
      <c r="AA178" s="73">
        <v>830.74800000000005</v>
      </c>
      <c r="AB178" s="40">
        <v>0</v>
      </c>
      <c r="AC178" s="52">
        <v>-830.74800000000005</v>
      </c>
      <c r="AD178" s="73">
        <v>7476.2738308787293</v>
      </c>
      <c r="AE178" s="40">
        <v>9358.6478769526257</v>
      </c>
      <c r="AF178" s="35">
        <v>1882.3740460738964</v>
      </c>
      <c r="AG178" s="77">
        <v>18674.684461906858</v>
      </c>
      <c r="AH178" s="53">
        <v>21441.832065275936</v>
      </c>
      <c r="AI178" s="52">
        <v>2767.1476033690778</v>
      </c>
      <c r="AJ178" s="73">
        <v>12079.547095</v>
      </c>
      <c r="AK178" s="40">
        <v>11897.320511754864</v>
      </c>
      <c r="AL178" s="52">
        <v>-182.22658324513577</v>
      </c>
      <c r="AM178" s="73">
        <v>420.29977000000002</v>
      </c>
      <c r="AN178" s="40">
        <v>0</v>
      </c>
      <c r="AO178" s="52">
        <v>-420.29977000000002</v>
      </c>
      <c r="AP178" s="73">
        <v>1008.5533333333332</v>
      </c>
      <c r="AQ178" s="40">
        <v>0</v>
      </c>
      <c r="AR178" s="52">
        <v>-1008.5533333333332</v>
      </c>
      <c r="AS178" s="73">
        <v>12584.98605020584</v>
      </c>
      <c r="AT178" s="40">
        <v>693</v>
      </c>
      <c r="AU178" s="54">
        <v>-11891.98605020584</v>
      </c>
      <c r="AV178" s="73">
        <v>1738.7429354852759</v>
      </c>
      <c r="AW178" s="40">
        <v>1503</v>
      </c>
      <c r="AX178" s="55">
        <v>-235.74293548527589</v>
      </c>
      <c r="AY178" s="73">
        <v>1922.0197184138194</v>
      </c>
      <c r="AZ178" s="40">
        <v>3114</v>
      </c>
      <c r="BA178" s="35">
        <v>1191.9802815861806</v>
      </c>
      <c r="BB178" s="73">
        <v>747.89540358224008</v>
      </c>
      <c r="BC178" s="40">
        <v>0</v>
      </c>
      <c r="BD178" s="55">
        <v>-747.89540358224008</v>
      </c>
      <c r="BE178" s="73">
        <v>2508.7421349984861</v>
      </c>
      <c r="BF178" s="40">
        <v>0</v>
      </c>
      <c r="BG178" s="38">
        <v>-2508.7421349984861</v>
      </c>
      <c r="BH178" s="73">
        <v>2469.5941242384442</v>
      </c>
      <c r="BI178" s="40">
        <v>459</v>
      </c>
      <c r="BJ178" s="55">
        <v>-2010.5941242384442</v>
      </c>
      <c r="BK178" s="73">
        <v>2091.766849879762</v>
      </c>
      <c r="BL178" s="40">
        <v>511</v>
      </c>
      <c r="BM178" s="38">
        <v>-1580.766849879762</v>
      </c>
      <c r="BN178" s="73">
        <v>89.268639932694725</v>
      </c>
      <c r="BO178" s="40">
        <v>0</v>
      </c>
      <c r="BP178" s="55">
        <v>-89.268639932694725</v>
      </c>
      <c r="BQ178" s="77">
        <v>11568.02980653072</v>
      </c>
      <c r="BR178" s="40">
        <v>5587</v>
      </c>
      <c r="BS178" s="55">
        <v>-5981.0298065307197</v>
      </c>
      <c r="BT178" s="73">
        <v>13005.38055091258</v>
      </c>
      <c r="BU178" s="40">
        <v>2890.7189515028845</v>
      </c>
      <c r="BV178" s="52">
        <v>-10114.661599409696</v>
      </c>
      <c r="BW178" s="73">
        <v>9550.2772616201401</v>
      </c>
      <c r="BX178" s="40">
        <v>10551.813648178881</v>
      </c>
      <c r="BY178" s="52">
        <v>1001.5363865587406</v>
      </c>
      <c r="BZ178" s="73">
        <v>2741.98587064404</v>
      </c>
      <c r="CA178" s="40">
        <v>16790.100662041608</v>
      </c>
      <c r="CB178" s="52">
        <v>14048.114791397569</v>
      </c>
      <c r="CC178" s="73">
        <v>287.94329668500001</v>
      </c>
      <c r="CD178" s="40">
        <v>358.49765024956628</v>
      </c>
      <c r="CE178" s="52">
        <v>70.55435356456627</v>
      </c>
      <c r="CF178" s="73">
        <v>33.757288619999997</v>
      </c>
      <c r="CG178" s="40">
        <v>0</v>
      </c>
      <c r="CH178" s="52">
        <v>-33.757288619999997</v>
      </c>
      <c r="CI178" s="73">
        <v>6466.02</v>
      </c>
      <c r="CJ178" s="40">
        <v>4823.8638908469038</v>
      </c>
      <c r="CK178" s="52">
        <v>-1642.1561091530966</v>
      </c>
      <c r="CL178" s="73">
        <v>3750.0385999999999</v>
      </c>
      <c r="CM178" s="40">
        <v>2789.6602071787702</v>
      </c>
      <c r="CN178" s="52">
        <v>-960.37839282122968</v>
      </c>
      <c r="CO178" s="39">
        <v>10216.0586</v>
      </c>
      <c r="CP178" s="40">
        <v>7613.524098025674</v>
      </c>
      <c r="CQ178" s="52">
        <v>-2602.5345019743263</v>
      </c>
      <c r="CR178" s="72">
        <v>92171.50338545852</v>
      </c>
      <c r="CS178" s="5">
        <v>77823.807587029427</v>
      </c>
      <c r="CT178" s="52">
        <v>-14347.695798429093</v>
      </c>
      <c r="CU178" s="77">
        <v>110605.80406255022</v>
      </c>
      <c r="CV178" s="65">
        <v>93388.569104435315</v>
      </c>
      <c r="CW178" s="35">
        <v>-17217.234958114903</v>
      </c>
      <c r="CX178" s="73">
        <v>6175.4572473200642</v>
      </c>
      <c r="CY178" s="40">
        <v>23392.692205434971</v>
      </c>
      <c r="CZ178" s="52">
        <v>17217.234958114906</v>
      </c>
      <c r="DA178" s="150">
        <v>-17956.690668733281</v>
      </c>
      <c r="DB178" s="2">
        <v>1</v>
      </c>
      <c r="DC178" s="648">
        <v>132646.96</v>
      </c>
      <c r="DD178" s="648">
        <v>1464.69</v>
      </c>
      <c r="DE178" s="649">
        <v>17330.388690129708</v>
      </c>
      <c r="DG178" s="321">
        <v>-57240.662401787456</v>
      </c>
      <c r="DH178" s="5">
        <v>1401375.1357184434</v>
      </c>
      <c r="DI178" s="306">
        <v>4.6128743062943265</v>
      </c>
      <c r="DJ178" s="306">
        <v>5.7375388647415919</v>
      </c>
      <c r="DK178" s="306">
        <v>4.0266309027592655</v>
      </c>
      <c r="DL178" s="28">
        <v>57574.596975512395</v>
      </c>
      <c r="DM178" s="28">
        <v>488.22899695956096</v>
      </c>
      <c r="DN178" s="650">
        <v>57574.38</v>
      </c>
      <c r="DO178" s="94">
        <v>0.21697551239776658</v>
      </c>
      <c r="DP178" s="28">
        <v>58062.825972471954</v>
      </c>
      <c r="DQ178" s="318">
        <v>-5.2211603669129545</v>
      </c>
      <c r="DS178" s="8">
        <v>55302.902031275109</v>
      </c>
      <c r="DT178" s="5">
        <v>2765.1451015637558</v>
      </c>
      <c r="DW178" s="5">
        <v>28983.619028083867</v>
      </c>
      <c r="DX178" s="5">
        <v>7536</v>
      </c>
    </row>
    <row r="179" spans="1:128" x14ac:dyDescent="0.3">
      <c r="A179" s="325">
        <v>150001028</v>
      </c>
      <c r="B179" s="41" t="s">
        <v>627</v>
      </c>
      <c r="C179" s="42" t="s">
        <v>102</v>
      </c>
      <c r="D179" s="42" t="s">
        <v>102</v>
      </c>
      <c r="E179" s="293">
        <v>110.7</v>
      </c>
      <c r="F179" s="305">
        <v>110.7</v>
      </c>
      <c r="G179" s="51"/>
      <c r="H179" s="651">
        <v>0</v>
      </c>
      <c r="I179" s="73">
        <v>0</v>
      </c>
      <c r="J179" s="40">
        <v>0</v>
      </c>
      <c r="K179" s="52">
        <v>0</v>
      </c>
      <c r="L179" s="73">
        <v>0</v>
      </c>
      <c r="M179" s="40">
        <v>0</v>
      </c>
      <c r="N179" s="52">
        <v>0</v>
      </c>
      <c r="O179" s="73">
        <v>0</v>
      </c>
      <c r="P179" s="40">
        <v>0</v>
      </c>
      <c r="Q179" s="52">
        <v>0</v>
      </c>
      <c r="R179" s="73">
        <v>0</v>
      </c>
      <c r="S179" s="40">
        <v>0</v>
      </c>
      <c r="T179" s="52">
        <v>0</v>
      </c>
      <c r="U179" s="73">
        <v>0</v>
      </c>
      <c r="V179" s="40">
        <v>0</v>
      </c>
      <c r="W179" s="52">
        <v>0</v>
      </c>
      <c r="X179" s="73">
        <v>0</v>
      </c>
      <c r="Y179" s="40">
        <v>0</v>
      </c>
      <c r="Z179" s="52">
        <v>0</v>
      </c>
      <c r="AA179" s="73">
        <v>8.8559999999999999</v>
      </c>
      <c r="AB179" s="40">
        <v>0</v>
      </c>
      <c r="AC179" s="52">
        <v>-8.8559999999999999</v>
      </c>
      <c r="AD179" s="73">
        <v>70.882819827581585</v>
      </c>
      <c r="AE179" s="40">
        <v>99.774479361238249</v>
      </c>
      <c r="AF179" s="35">
        <v>28.891659533656664</v>
      </c>
      <c r="AG179" s="77">
        <v>79.73881982758158</v>
      </c>
      <c r="AH179" s="53">
        <v>99.774479361238249</v>
      </c>
      <c r="AI179" s="52">
        <v>20.03565953365667</v>
      </c>
      <c r="AJ179" s="73">
        <v>0</v>
      </c>
      <c r="AK179" s="40">
        <v>0</v>
      </c>
      <c r="AL179" s="52">
        <v>0</v>
      </c>
      <c r="AM179" s="73">
        <v>0</v>
      </c>
      <c r="AN179" s="40">
        <v>0</v>
      </c>
      <c r="AO179" s="52">
        <v>0</v>
      </c>
      <c r="AP179" s="73">
        <v>31.517291666666662</v>
      </c>
      <c r="AQ179" s="40">
        <v>0</v>
      </c>
      <c r="AR179" s="52">
        <v>-31.517291666666662</v>
      </c>
      <c r="AS179" s="73">
        <v>211.0115084641526</v>
      </c>
      <c r="AT179" s="40">
        <v>2298</v>
      </c>
      <c r="AU179" s="54">
        <v>2086.9884915358475</v>
      </c>
      <c r="AV179" s="73">
        <v>0</v>
      </c>
      <c r="AW179" s="40">
        <v>0</v>
      </c>
      <c r="AX179" s="55">
        <v>0</v>
      </c>
      <c r="AY179" s="73">
        <v>0</v>
      </c>
      <c r="AZ179" s="40">
        <v>0</v>
      </c>
      <c r="BA179" s="35">
        <v>0</v>
      </c>
      <c r="BB179" s="73">
        <v>0</v>
      </c>
      <c r="BC179" s="40">
        <v>0</v>
      </c>
      <c r="BD179" s="55">
        <v>0</v>
      </c>
      <c r="BE179" s="73">
        <v>0</v>
      </c>
      <c r="BF179" s="40">
        <v>0</v>
      </c>
      <c r="BG179" s="38">
        <v>0</v>
      </c>
      <c r="BH179" s="73">
        <v>0</v>
      </c>
      <c r="BI179" s="40">
        <v>0</v>
      </c>
      <c r="BJ179" s="55">
        <v>0</v>
      </c>
      <c r="BK179" s="73">
        <v>0</v>
      </c>
      <c r="BL179" s="40">
        <v>0</v>
      </c>
      <c r="BM179" s="38">
        <v>0</v>
      </c>
      <c r="BN179" s="73">
        <v>4.8343365262045817</v>
      </c>
      <c r="BO179" s="40">
        <v>0</v>
      </c>
      <c r="BP179" s="55">
        <v>-4.8343365262045817</v>
      </c>
      <c r="BQ179" s="77">
        <v>4.8343365262045817</v>
      </c>
      <c r="BR179" s="40">
        <v>0</v>
      </c>
      <c r="BS179" s="55">
        <v>-4.8343365262045817</v>
      </c>
      <c r="BT179" s="73">
        <v>0</v>
      </c>
      <c r="BU179" s="40">
        <v>0</v>
      </c>
      <c r="BV179" s="52">
        <v>0</v>
      </c>
      <c r="BW179" s="73">
        <v>0</v>
      </c>
      <c r="BX179" s="40">
        <v>0.41100934129636368</v>
      </c>
      <c r="BY179" s="52">
        <v>0.41100934129636368</v>
      </c>
      <c r="BZ179" s="73">
        <v>0</v>
      </c>
      <c r="CA179" s="40">
        <v>0</v>
      </c>
      <c r="CB179" s="52">
        <v>0</v>
      </c>
      <c r="CC179" s="73">
        <v>0</v>
      </c>
      <c r="CD179" s="40">
        <v>0</v>
      </c>
      <c r="CE179" s="52">
        <v>0</v>
      </c>
      <c r="CF179" s="73">
        <v>0</v>
      </c>
      <c r="CG179" s="40">
        <v>0</v>
      </c>
      <c r="CH179" s="52">
        <v>0</v>
      </c>
      <c r="CI179" s="73">
        <v>0</v>
      </c>
      <c r="CJ179" s="40">
        <v>0</v>
      </c>
      <c r="CK179" s="52">
        <v>0</v>
      </c>
      <c r="CL179" s="73">
        <v>0</v>
      </c>
      <c r="CM179" s="40">
        <v>0</v>
      </c>
      <c r="CN179" s="52">
        <v>0</v>
      </c>
      <c r="CO179" s="39">
        <v>0</v>
      </c>
      <c r="CP179" s="40">
        <v>0</v>
      </c>
      <c r="CQ179" s="52">
        <v>0</v>
      </c>
      <c r="CR179" s="72">
        <v>327.10195648460541</v>
      </c>
      <c r="CS179" s="5">
        <v>2398.1854887025347</v>
      </c>
      <c r="CT179" s="52">
        <v>2071.0835322179291</v>
      </c>
      <c r="CU179" s="77">
        <v>392.52234778152649</v>
      </c>
      <c r="CV179" s="65">
        <v>2877.8225864430415</v>
      </c>
      <c r="CW179" s="35">
        <v>2485.3002386615149</v>
      </c>
      <c r="CX179" s="73">
        <v>21.915712271045759</v>
      </c>
      <c r="CY179" s="40">
        <v>-2463.3845263904691</v>
      </c>
      <c r="CZ179" s="52">
        <v>-2485.3002386615149</v>
      </c>
      <c r="DA179" s="150">
        <v>-1.8728023424346247</v>
      </c>
      <c r="DB179" s="2">
        <v>1</v>
      </c>
      <c r="DC179" s="648">
        <v>307.08999999999997</v>
      </c>
      <c r="DD179" s="648"/>
      <c r="DE179" s="649">
        <v>-107.34806005257229</v>
      </c>
      <c r="DG179" s="321">
        <v>-2738.2197123146307</v>
      </c>
      <c r="DH179" s="5">
        <v>4973.2567206308668</v>
      </c>
      <c r="DI179" s="306">
        <v>1.8615558499123885</v>
      </c>
      <c r="DJ179" s="306"/>
      <c r="DK179" s="306"/>
      <c r="DL179" s="28">
        <v>206.07423258530142</v>
      </c>
      <c r="DM179" s="28">
        <v>0</v>
      </c>
      <c r="DN179" s="650">
        <v>206.08</v>
      </c>
      <c r="DO179" s="94">
        <v>-5.7674146985959851E-3</v>
      </c>
      <c r="DP179" s="28">
        <v>206.07423258530142</v>
      </c>
      <c r="DQ179" s="318">
        <v>0</v>
      </c>
      <c r="DS179" s="8">
        <v>196.26117389076325</v>
      </c>
      <c r="DT179" s="5">
        <v>9.8130586945381619</v>
      </c>
      <c r="DW179" s="5">
        <v>259.01501398842862</v>
      </c>
      <c r="DX179" s="5">
        <v>2757.6</v>
      </c>
    </row>
    <row r="180" spans="1:128" x14ac:dyDescent="0.3">
      <c r="A180" s="325">
        <v>150001036</v>
      </c>
      <c r="B180" s="41" t="s">
        <v>628</v>
      </c>
      <c r="C180" s="42" t="s">
        <v>103</v>
      </c>
      <c r="D180" s="42" t="s">
        <v>103</v>
      </c>
      <c r="E180" s="293">
        <v>211.4</v>
      </c>
      <c r="F180" s="305">
        <v>211.4</v>
      </c>
      <c r="G180" s="51"/>
      <c r="H180" s="651">
        <v>0</v>
      </c>
      <c r="I180" s="73">
        <v>0</v>
      </c>
      <c r="J180" s="40">
        <v>0</v>
      </c>
      <c r="K180" s="52">
        <v>0</v>
      </c>
      <c r="L180" s="73">
        <v>0</v>
      </c>
      <c r="M180" s="40">
        <v>0</v>
      </c>
      <c r="N180" s="52">
        <v>0</v>
      </c>
      <c r="O180" s="73">
        <v>0</v>
      </c>
      <c r="P180" s="40">
        <v>0</v>
      </c>
      <c r="Q180" s="52">
        <v>0</v>
      </c>
      <c r="R180" s="73">
        <v>0</v>
      </c>
      <c r="S180" s="40">
        <v>0</v>
      </c>
      <c r="T180" s="52">
        <v>0</v>
      </c>
      <c r="U180" s="73">
        <v>0</v>
      </c>
      <c r="V180" s="40">
        <v>0</v>
      </c>
      <c r="W180" s="52">
        <v>0</v>
      </c>
      <c r="X180" s="73">
        <v>0</v>
      </c>
      <c r="Y180" s="40">
        <v>0</v>
      </c>
      <c r="Z180" s="52">
        <v>0</v>
      </c>
      <c r="AA180" s="73">
        <v>16.911999999999999</v>
      </c>
      <c r="AB180" s="40">
        <v>0</v>
      </c>
      <c r="AC180" s="52">
        <v>-16.911999999999999</v>
      </c>
      <c r="AD180" s="73">
        <v>135.37348121817107</v>
      </c>
      <c r="AE180" s="40">
        <v>190.53590728966367</v>
      </c>
      <c r="AF180" s="35">
        <v>55.162426071492604</v>
      </c>
      <c r="AG180" s="77">
        <v>152.28548121817107</v>
      </c>
      <c r="AH180" s="53">
        <v>190.53590728966367</v>
      </c>
      <c r="AI180" s="52">
        <v>38.250426071492598</v>
      </c>
      <c r="AJ180" s="73">
        <v>0</v>
      </c>
      <c r="AK180" s="40">
        <v>0</v>
      </c>
      <c r="AL180" s="52">
        <v>0</v>
      </c>
      <c r="AM180" s="73">
        <v>0</v>
      </c>
      <c r="AN180" s="40">
        <v>0</v>
      </c>
      <c r="AO180" s="52">
        <v>0</v>
      </c>
      <c r="AP180" s="73">
        <v>31.517291666666662</v>
      </c>
      <c r="AQ180" s="40">
        <v>0</v>
      </c>
      <c r="AR180" s="52">
        <v>-31.517291666666662</v>
      </c>
      <c r="AS180" s="73">
        <v>315.71844442011184</v>
      </c>
      <c r="AT180" s="40">
        <v>0</v>
      </c>
      <c r="AU180" s="54">
        <v>-315.71844442011184</v>
      </c>
      <c r="AV180" s="73">
        <v>0</v>
      </c>
      <c r="AW180" s="40">
        <v>0</v>
      </c>
      <c r="AX180" s="55">
        <v>0</v>
      </c>
      <c r="AY180" s="73">
        <v>0</v>
      </c>
      <c r="AZ180" s="40">
        <v>0</v>
      </c>
      <c r="BA180" s="35">
        <v>0</v>
      </c>
      <c r="BB180" s="73">
        <v>0</v>
      </c>
      <c r="BC180" s="40">
        <v>0</v>
      </c>
      <c r="BD180" s="55">
        <v>0</v>
      </c>
      <c r="BE180" s="73">
        <v>0</v>
      </c>
      <c r="BF180" s="40">
        <v>0</v>
      </c>
      <c r="BG180" s="38">
        <v>0</v>
      </c>
      <c r="BH180" s="73">
        <v>0</v>
      </c>
      <c r="BI180" s="40">
        <v>0</v>
      </c>
      <c r="BJ180" s="55">
        <v>0</v>
      </c>
      <c r="BK180" s="73">
        <v>0</v>
      </c>
      <c r="BL180" s="40">
        <v>0</v>
      </c>
      <c r="BM180" s="38">
        <v>0</v>
      </c>
      <c r="BN180" s="73">
        <v>5.0408030857937973</v>
      </c>
      <c r="BO180" s="40">
        <v>0</v>
      </c>
      <c r="BP180" s="55">
        <v>-5.0408030857937973</v>
      </c>
      <c r="BQ180" s="77">
        <v>5.0408030857937973</v>
      </c>
      <c r="BR180" s="40">
        <v>0</v>
      </c>
      <c r="BS180" s="55">
        <v>-5.0408030857937973</v>
      </c>
      <c r="BT180" s="73">
        <v>0</v>
      </c>
      <c r="BU180" s="40">
        <v>0</v>
      </c>
      <c r="BV180" s="52">
        <v>0</v>
      </c>
      <c r="BW180" s="73">
        <v>0</v>
      </c>
      <c r="BX180" s="40">
        <v>0.78489046748013802</v>
      </c>
      <c r="BY180" s="52">
        <v>0.78489046748013802</v>
      </c>
      <c r="BZ180" s="73">
        <v>0</v>
      </c>
      <c r="CA180" s="40">
        <v>0</v>
      </c>
      <c r="CB180" s="52">
        <v>0</v>
      </c>
      <c r="CC180" s="73">
        <v>0</v>
      </c>
      <c r="CD180" s="40">
        <v>0</v>
      </c>
      <c r="CE180" s="52">
        <v>0</v>
      </c>
      <c r="CF180" s="73">
        <v>0</v>
      </c>
      <c r="CG180" s="40">
        <v>0</v>
      </c>
      <c r="CH180" s="52">
        <v>0</v>
      </c>
      <c r="CI180" s="73">
        <v>0</v>
      </c>
      <c r="CJ180" s="40">
        <v>0</v>
      </c>
      <c r="CK180" s="52">
        <v>0</v>
      </c>
      <c r="CL180" s="73">
        <v>0</v>
      </c>
      <c r="CM180" s="40">
        <v>0</v>
      </c>
      <c r="CN180" s="52">
        <v>0</v>
      </c>
      <c r="CO180" s="39">
        <v>0</v>
      </c>
      <c r="CP180" s="40">
        <v>0</v>
      </c>
      <c r="CQ180" s="52">
        <v>0</v>
      </c>
      <c r="CR180" s="72">
        <v>504.56202039074338</v>
      </c>
      <c r="CS180" s="5">
        <v>191.32079775714379</v>
      </c>
      <c r="CT180" s="52">
        <v>-313.24122263359959</v>
      </c>
      <c r="CU180" s="77">
        <v>605.47442446889204</v>
      </c>
      <c r="CV180" s="65">
        <v>229.58495730857254</v>
      </c>
      <c r="CW180" s="35">
        <v>-375.8894671603195</v>
      </c>
      <c r="CX180" s="73">
        <v>33.805472093840798</v>
      </c>
      <c r="CY180" s="40">
        <v>409.69493925416026</v>
      </c>
      <c r="CZ180" s="52">
        <v>375.88946716031944</v>
      </c>
      <c r="DA180" s="150">
        <v>-4178.0372950720193</v>
      </c>
      <c r="DB180" s="2">
        <v>1</v>
      </c>
      <c r="DC180" s="648">
        <v>317.88</v>
      </c>
      <c r="DD180" s="648"/>
      <c r="DE180" s="649">
        <v>-321.39989656273281</v>
      </c>
      <c r="DG180" s="321">
        <v>-4741.2084674956714</v>
      </c>
      <c r="DH180" s="5">
        <v>7671.3587587527936</v>
      </c>
      <c r="DI180" s="306">
        <v>1.5036616501710893</v>
      </c>
      <c r="DJ180" s="306"/>
      <c r="DK180" s="306"/>
      <c r="DL180" s="28">
        <v>317.8740728461683</v>
      </c>
      <c r="DM180" s="28">
        <v>0</v>
      </c>
      <c r="DN180" s="650">
        <v>317.88</v>
      </c>
      <c r="DO180" s="94">
        <v>-5.9271538316920669E-3</v>
      </c>
      <c r="DP180" s="28">
        <v>317.8740728461683</v>
      </c>
      <c r="DQ180" s="318">
        <v>0</v>
      </c>
      <c r="DS180" s="8">
        <v>302.73721223444602</v>
      </c>
      <c r="DT180" s="5">
        <v>15.136860611722302</v>
      </c>
      <c r="DW180" s="5">
        <v>384.91109700708677</v>
      </c>
      <c r="DX180" s="5">
        <v>0</v>
      </c>
    </row>
    <row r="181" spans="1:128" x14ac:dyDescent="0.3">
      <c r="A181" s="325">
        <v>150001029</v>
      </c>
      <c r="B181" s="41" t="s">
        <v>629</v>
      </c>
      <c r="C181" s="42" t="s">
        <v>369</v>
      </c>
      <c r="D181" s="42" t="s">
        <v>369</v>
      </c>
      <c r="E181" s="293">
        <v>7425.45</v>
      </c>
      <c r="F181" s="652">
        <v>7425.45</v>
      </c>
      <c r="G181" s="51">
        <v>926.05000000000018</v>
      </c>
      <c r="H181" s="651">
        <v>0</v>
      </c>
      <c r="I181" s="73">
        <v>2955.7727972045318</v>
      </c>
      <c r="J181" s="40">
        <v>3286.7718491878909</v>
      </c>
      <c r="K181" s="52">
        <v>330.9990519833591</v>
      </c>
      <c r="L181" s="73">
        <v>547.48155592252533</v>
      </c>
      <c r="M181" s="40">
        <v>647.35765174103256</v>
      </c>
      <c r="N181" s="52">
        <v>99.876095818507224</v>
      </c>
      <c r="O181" s="73">
        <v>1676.2615842555435</v>
      </c>
      <c r="P181" s="40">
        <v>1676.26</v>
      </c>
      <c r="Q181" s="52">
        <v>-1.5842555435483519E-3</v>
      </c>
      <c r="R181" s="73">
        <v>312.34928979231665</v>
      </c>
      <c r="S181" s="40">
        <v>312.36</v>
      </c>
      <c r="T181" s="52">
        <v>1.071020768335984E-2</v>
      </c>
      <c r="U181" s="73">
        <v>383.54443012810549</v>
      </c>
      <c r="V181" s="40">
        <v>718.89355520283129</v>
      </c>
      <c r="W181" s="52">
        <v>335.34912507472581</v>
      </c>
      <c r="X181" s="73">
        <v>1763.5712666926593</v>
      </c>
      <c r="Y181" s="40">
        <v>1800.6927728476003</v>
      </c>
      <c r="Z181" s="52">
        <v>37.121506154941017</v>
      </c>
      <c r="AA181" s="73">
        <v>594.18799999999999</v>
      </c>
      <c r="AB181" s="40">
        <v>0</v>
      </c>
      <c r="AC181" s="52">
        <v>-594.18799999999999</v>
      </c>
      <c r="AD181" s="73">
        <v>5350.8153544509778</v>
      </c>
      <c r="AE181" s="40">
        <v>6692.5962761780174</v>
      </c>
      <c r="AF181" s="35">
        <v>1341.7809217270396</v>
      </c>
      <c r="AG181" s="77">
        <v>13583.98427844666</v>
      </c>
      <c r="AH181" s="53">
        <v>15134.932105157372</v>
      </c>
      <c r="AI181" s="52">
        <v>1550.9478267107115</v>
      </c>
      <c r="AJ181" s="73">
        <v>9447.0226674999994</v>
      </c>
      <c r="AK181" s="40">
        <v>9304.5091569354827</v>
      </c>
      <c r="AL181" s="52">
        <v>-142.51351056451676</v>
      </c>
      <c r="AM181" s="73">
        <v>210.14988500000001</v>
      </c>
      <c r="AN181" s="40">
        <v>0</v>
      </c>
      <c r="AO181" s="52">
        <v>-210.14988500000001</v>
      </c>
      <c r="AP181" s="73">
        <v>756.41499999999996</v>
      </c>
      <c r="AQ181" s="40">
        <v>0</v>
      </c>
      <c r="AR181" s="52">
        <v>-756.41499999999996</v>
      </c>
      <c r="AS181" s="73">
        <v>9147.0068833521145</v>
      </c>
      <c r="AT181" s="40">
        <v>3448</v>
      </c>
      <c r="AU181" s="54">
        <v>-5699.0068833521145</v>
      </c>
      <c r="AV181" s="73">
        <v>1361.8838833503041</v>
      </c>
      <c r="AW181" s="40">
        <v>0</v>
      </c>
      <c r="AX181" s="55">
        <v>-1361.8838833503041</v>
      </c>
      <c r="AY181" s="73">
        <v>1534.2847180891008</v>
      </c>
      <c r="AZ181" s="40">
        <v>5133</v>
      </c>
      <c r="BA181" s="35">
        <v>3598.7152819108992</v>
      </c>
      <c r="BB181" s="73">
        <v>552.462334849272</v>
      </c>
      <c r="BC181" s="40">
        <v>0</v>
      </c>
      <c r="BD181" s="55">
        <v>-552.462334849272</v>
      </c>
      <c r="BE181" s="73">
        <v>1507.4619447404639</v>
      </c>
      <c r="BF181" s="40">
        <v>0</v>
      </c>
      <c r="BG181" s="38">
        <v>-1507.4619447404639</v>
      </c>
      <c r="BH181" s="73">
        <v>1852.2167975243626</v>
      </c>
      <c r="BI181" s="40">
        <v>0</v>
      </c>
      <c r="BJ181" s="55">
        <v>-1852.2167975243626</v>
      </c>
      <c r="BK181" s="73">
        <v>1143.1813583112739</v>
      </c>
      <c r="BL181" s="40">
        <v>0</v>
      </c>
      <c r="BM181" s="38">
        <v>-1143.1813583112739</v>
      </c>
      <c r="BN181" s="73">
        <v>100.48670535689853</v>
      </c>
      <c r="BO181" s="40">
        <v>0</v>
      </c>
      <c r="BP181" s="55">
        <v>-100.48670535689853</v>
      </c>
      <c r="BQ181" s="77">
        <v>8051.9777422216766</v>
      </c>
      <c r="BR181" s="40">
        <v>5133</v>
      </c>
      <c r="BS181" s="55">
        <v>-2918.9777422216766</v>
      </c>
      <c r="BT181" s="73">
        <v>12335.224788633501</v>
      </c>
      <c r="BU181" s="40">
        <v>3786.1483804302397</v>
      </c>
      <c r="BV181" s="52">
        <v>-8549.076408203262</v>
      </c>
      <c r="BW181" s="73">
        <v>6663.5323084907996</v>
      </c>
      <c r="BX181" s="40">
        <v>7407.3102728774147</v>
      </c>
      <c r="BY181" s="52">
        <v>743.77796438661517</v>
      </c>
      <c r="BZ181" s="73">
        <v>2773.1166523611801</v>
      </c>
      <c r="CA181" s="40">
        <v>18676.652203430207</v>
      </c>
      <c r="CB181" s="52">
        <v>15903.535551069028</v>
      </c>
      <c r="CC181" s="73">
        <v>289.50956517999998</v>
      </c>
      <c r="CD181" s="40">
        <v>361.67872646850572</v>
      </c>
      <c r="CE181" s="52">
        <v>72.169161288505734</v>
      </c>
      <c r="CF181" s="73">
        <v>34.056828959999997</v>
      </c>
      <c r="CG181" s="40">
        <v>0</v>
      </c>
      <c r="CH181" s="52">
        <v>-34.056828959999997</v>
      </c>
      <c r="CI181" s="73">
        <v>4980.32</v>
      </c>
      <c r="CJ181" s="40">
        <v>4886.8979690534734</v>
      </c>
      <c r="CK181" s="52">
        <v>-93.42203094652632</v>
      </c>
      <c r="CL181" s="73">
        <v>1924.8536999999999</v>
      </c>
      <c r="CM181" s="40">
        <v>1866.5202651424697</v>
      </c>
      <c r="CN181" s="52">
        <v>-58.333434857530165</v>
      </c>
      <c r="CO181" s="39">
        <v>6905.1736999999994</v>
      </c>
      <c r="CP181" s="40">
        <v>6753.4182341959431</v>
      </c>
      <c r="CQ181" s="52">
        <v>-151.75546580405626</v>
      </c>
      <c r="CR181" s="72">
        <v>70197.170300145939</v>
      </c>
      <c r="CS181" s="5">
        <v>70005.649079495168</v>
      </c>
      <c r="CT181" s="52">
        <v>-191.52122065077128</v>
      </c>
      <c r="CU181" s="77">
        <v>84236.60436017513</v>
      </c>
      <c r="CV181" s="65">
        <v>84006.778895394193</v>
      </c>
      <c r="CW181" s="35">
        <v>-229.82546478093718</v>
      </c>
      <c r="CX181" s="73">
        <v>4703.1849123531638</v>
      </c>
      <c r="CY181" s="40">
        <v>4933.0103771340946</v>
      </c>
      <c r="CZ181" s="52">
        <v>229.82546478093082</v>
      </c>
      <c r="DA181" s="150">
        <v>32127.560630588472</v>
      </c>
      <c r="DB181" s="2">
        <v>1</v>
      </c>
      <c r="DC181" s="648">
        <v>71008.179999999993</v>
      </c>
      <c r="DD181" s="648"/>
      <c r="DE181" s="649">
        <v>-17931.609272528294</v>
      </c>
      <c r="DG181" s="321">
        <v>44644.067483023609</v>
      </c>
      <c r="DH181" s="5">
        <v>1067277.4712703396</v>
      </c>
      <c r="DI181" s="306">
        <v>4.9718325849753873</v>
      </c>
      <c r="DJ181" s="306">
        <v>6.094173738140908</v>
      </c>
      <c r="DK181" s="306"/>
      <c r="DL181" s="28">
        <v>44212.638358989469</v>
      </c>
      <c r="DM181" s="28">
        <v>0</v>
      </c>
      <c r="DN181" s="650">
        <v>44213.38</v>
      </c>
      <c r="DO181" s="94">
        <v>-0.7416410105288378</v>
      </c>
      <c r="DP181" s="28">
        <v>44212.638358989469</v>
      </c>
      <c r="DQ181" s="318">
        <v>-11.578930102477898</v>
      </c>
      <c r="DS181" s="8">
        <v>42118.302180087565</v>
      </c>
      <c r="DT181" s="5">
        <v>2105.9151090043783</v>
      </c>
      <c r="DW181" s="5">
        <v>20638.781550688549</v>
      </c>
      <c r="DX181" s="5">
        <v>10297.199999999999</v>
      </c>
    </row>
    <row r="182" spans="1:128" x14ac:dyDescent="0.3">
      <c r="A182" s="325">
        <v>150001030</v>
      </c>
      <c r="B182" s="41" t="s">
        <v>630</v>
      </c>
      <c r="C182" s="42" t="s">
        <v>336</v>
      </c>
      <c r="D182" s="42" t="s">
        <v>336</v>
      </c>
      <c r="E182" s="293">
        <v>6125.65</v>
      </c>
      <c r="F182" s="652">
        <v>6125.65</v>
      </c>
      <c r="G182" s="51">
        <v>715.15000000000055</v>
      </c>
      <c r="H182" s="651">
        <v>0</v>
      </c>
      <c r="I182" s="73">
        <v>1431.8266080412848</v>
      </c>
      <c r="J182" s="40">
        <v>1591.2074684292147</v>
      </c>
      <c r="K182" s="52">
        <v>159.38086038792994</v>
      </c>
      <c r="L182" s="73">
        <v>437.5704689869599</v>
      </c>
      <c r="M182" s="40">
        <v>518.17506169496005</v>
      </c>
      <c r="N182" s="52">
        <v>80.604592708000155</v>
      </c>
      <c r="O182" s="73">
        <v>1268.5191842084732</v>
      </c>
      <c r="P182" s="40">
        <v>1268.52</v>
      </c>
      <c r="Q182" s="52">
        <v>8.1579152674748912E-4</v>
      </c>
      <c r="R182" s="73">
        <v>258.44648858065335</v>
      </c>
      <c r="S182" s="40">
        <v>258.45999999999998</v>
      </c>
      <c r="T182" s="52">
        <v>1.3511419346627918E-2</v>
      </c>
      <c r="U182" s="73">
        <v>120.96465895662244</v>
      </c>
      <c r="V182" s="40">
        <v>226.7292131750313</v>
      </c>
      <c r="W182" s="52">
        <v>105.76455421840886</v>
      </c>
      <c r="X182" s="73">
        <v>1455.0947461669139</v>
      </c>
      <c r="Y182" s="40">
        <v>1439.2706578345226</v>
      </c>
      <c r="Z182" s="52">
        <v>-15.824088332391284</v>
      </c>
      <c r="AA182" s="73">
        <v>490.10800000000006</v>
      </c>
      <c r="AB182" s="40">
        <v>0</v>
      </c>
      <c r="AC182" s="52">
        <v>-490.10800000000006</v>
      </c>
      <c r="AD182" s="73">
        <v>4413.5433041655779</v>
      </c>
      <c r="AE182" s="40">
        <v>5521.0798509410033</v>
      </c>
      <c r="AF182" s="35">
        <v>1107.5365467754254</v>
      </c>
      <c r="AG182" s="77">
        <v>9876.0734591064866</v>
      </c>
      <c r="AH182" s="53">
        <v>10823.442252074732</v>
      </c>
      <c r="AI182" s="52">
        <v>947.36879296824554</v>
      </c>
      <c r="AJ182" s="73">
        <v>9888.3908200000005</v>
      </c>
      <c r="AK182" s="40">
        <v>9739.2190291414663</v>
      </c>
      <c r="AL182" s="52">
        <v>-149.17179085853422</v>
      </c>
      <c r="AM182" s="73">
        <v>210.14988500000001</v>
      </c>
      <c r="AN182" s="40">
        <v>0</v>
      </c>
      <c r="AO182" s="52">
        <v>-210.14988500000001</v>
      </c>
      <c r="AP182" s="73">
        <v>642.95274999999992</v>
      </c>
      <c r="AQ182" s="40">
        <v>0</v>
      </c>
      <c r="AR182" s="52">
        <v>-642.95274999999992</v>
      </c>
      <c r="AS182" s="73">
        <v>7979.4368845950557</v>
      </c>
      <c r="AT182" s="40">
        <v>948</v>
      </c>
      <c r="AU182" s="54">
        <v>-7031.4368845950557</v>
      </c>
      <c r="AV182" s="73">
        <v>682.16179346712545</v>
      </c>
      <c r="AW182" s="40">
        <v>335</v>
      </c>
      <c r="AX182" s="55">
        <v>-347.16179346712545</v>
      </c>
      <c r="AY182" s="73">
        <v>1205.6607188368791</v>
      </c>
      <c r="AZ182" s="40">
        <v>0</v>
      </c>
      <c r="BA182" s="35">
        <v>-1205.6607188368791</v>
      </c>
      <c r="BB182" s="73">
        <v>456.55938055717002</v>
      </c>
      <c r="BC182" s="40">
        <v>0</v>
      </c>
      <c r="BD182" s="55">
        <v>-456.55938055717002</v>
      </c>
      <c r="BE182" s="73">
        <v>1247.0300880967561</v>
      </c>
      <c r="BF182" s="40">
        <v>0</v>
      </c>
      <c r="BG182" s="38">
        <v>-1247.0300880967561</v>
      </c>
      <c r="BH182" s="73">
        <v>584.16358959675699</v>
      </c>
      <c r="BI182" s="40">
        <v>0</v>
      </c>
      <c r="BJ182" s="55">
        <v>-584.16358959675699</v>
      </c>
      <c r="BK182" s="73">
        <v>772.46886820233453</v>
      </c>
      <c r="BL182" s="40">
        <v>513</v>
      </c>
      <c r="BM182" s="38">
        <v>-259.46886820233453</v>
      </c>
      <c r="BN182" s="73">
        <v>129.63756426474555</v>
      </c>
      <c r="BO182" s="40">
        <v>0</v>
      </c>
      <c r="BP182" s="55">
        <v>-129.63756426474555</v>
      </c>
      <c r="BQ182" s="77">
        <v>5077.6820030217668</v>
      </c>
      <c r="BR182" s="40">
        <v>848</v>
      </c>
      <c r="BS182" s="55">
        <v>-4229.6820030217668</v>
      </c>
      <c r="BT182" s="73">
        <v>8922.0622404664191</v>
      </c>
      <c r="BU182" s="40">
        <v>1992.1994235422408</v>
      </c>
      <c r="BV182" s="52">
        <v>-6929.8628169241783</v>
      </c>
      <c r="BW182" s="73">
        <v>6316.8247730328403</v>
      </c>
      <c r="BX182" s="40">
        <v>6953.8223923521546</v>
      </c>
      <c r="BY182" s="52">
        <v>636.99761931931425</v>
      </c>
      <c r="BZ182" s="73">
        <v>2205.9585094938002</v>
      </c>
      <c r="CA182" s="40">
        <v>11904.672350719158</v>
      </c>
      <c r="CB182" s="52">
        <v>9698.7138412253589</v>
      </c>
      <c r="CC182" s="73">
        <v>323.73583109999998</v>
      </c>
      <c r="CD182" s="40">
        <v>404.86424604683469</v>
      </c>
      <c r="CE182" s="52">
        <v>81.12841494683471</v>
      </c>
      <c r="CF182" s="73">
        <v>38.123316000000003</v>
      </c>
      <c r="CG182" s="40">
        <v>0</v>
      </c>
      <c r="CH182" s="52">
        <v>-38.123316000000003</v>
      </c>
      <c r="CI182" s="73">
        <v>2513.52</v>
      </c>
      <c r="CJ182" s="40">
        <v>2028.0254418584591</v>
      </c>
      <c r="CK182" s="52">
        <v>-485.49455814154089</v>
      </c>
      <c r="CL182" s="73">
        <v>1840.7581499999999</v>
      </c>
      <c r="CM182" s="40">
        <v>1875.6411776856844</v>
      </c>
      <c r="CN182" s="52">
        <v>34.88302768568451</v>
      </c>
      <c r="CO182" s="39">
        <v>4354.2781500000001</v>
      </c>
      <c r="CP182" s="40">
        <v>3903.6666195441435</v>
      </c>
      <c r="CQ182" s="52">
        <v>-450.61153045585661</v>
      </c>
      <c r="CR182" s="72">
        <v>55835.66862181636</v>
      </c>
      <c r="CS182" s="5">
        <v>47517.886313420728</v>
      </c>
      <c r="CT182" s="52">
        <v>-8317.7823083956318</v>
      </c>
      <c r="CU182" s="77">
        <v>67002.802346179626</v>
      </c>
      <c r="CV182" s="65">
        <v>57021.46357610487</v>
      </c>
      <c r="CW182" s="35">
        <v>-9981.3387700747553</v>
      </c>
      <c r="CX182" s="73">
        <v>3740.9695164412014</v>
      </c>
      <c r="CY182" s="40">
        <v>13722.308286515952</v>
      </c>
      <c r="CZ182" s="52">
        <v>9981.3387700747517</v>
      </c>
      <c r="DA182" s="150">
        <v>-62418.61917983702</v>
      </c>
      <c r="DB182" s="2">
        <v>1</v>
      </c>
      <c r="DC182" s="648">
        <v>53079.82</v>
      </c>
      <c r="DD182" s="648"/>
      <c r="DE182" s="649">
        <v>-17663.951862620823</v>
      </c>
      <c r="DG182" s="321">
        <v>-30045.16564011258</v>
      </c>
      <c r="DH182" s="5">
        <v>848925.26235144981</v>
      </c>
      <c r="DI182" s="306">
        <v>4.5140602402889654</v>
      </c>
      <c r="DJ182" s="306">
        <v>5.9040954041435629</v>
      </c>
      <c r="DK182" s="306"/>
      <c r="DL182" s="28">
        <v>35172.338364961397</v>
      </c>
      <c r="DM182" s="28">
        <v>0</v>
      </c>
      <c r="DN182" s="650">
        <v>35172.42</v>
      </c>
      <c r="DO182" s="94">
        <v>-8.1635038601234555E-2</v>
      </c>
      <c r="DP182" s="28">
        <v>35172.338364961397</v>
      </c>
      <c r="DQ182" s="318">
        <v>-4.132866782907513</v>
      </c>
      <c r="DS182" s="8">
        <v>33501.401173089813</v>
      </c>
      <c r="DT182" s="5">
        <v>1675.070058654491</v>
      </c>
      <c r="DW182" s="5">
        <v>15668.542665140187</v>
      </c>
      <c r="DX182" s="5">
        <v>2155.1999999999998</v>
      </c>
    </row>
    <row r="183" spans="1:128" x14ac:dyDescent="0.3">
      <c r="A183" s="325">
        <v>150001031</v>
      </c>
      <c r="B183" s="41" t="s">
        <v>631</v>
      </c>
      <c r="C183" s="42" t="s">
        <v>104</v>
      </c>
      <c r="D183" s="42" t="s">
        <v>104</v>
      </c>
      <c r="E183" s="293">
        <v>159.9</v>
      </c>
      <c r="F183" s="305">
        <v>159.9</v>
      </c>
      <c r="G183" s="51"/>
      <c r="H183" s="651">
        <v>0</v>
      </c>
      <c r="I183" s="73">
        <v>0</v>
      </c>
      <c r="J183" s="40">
        <v>0</v>
      </c>
      <c r="K183" s="52">
        <v>0</v>
      </c>
      <c r="L183" s="73">
        <v>0</v>
      </c>
      <c r="M183" s="40">
        <v>0</v>
      </c>
      <c r="N183" s="52">
        <v>0</v>
      </c>
      <c r="O183" s="73">
        <v>0</v>
      </c>
      <c r="P183" s="40">
        <v>0</v>
      </c>
      <c r="Q183" s="52">
        <v>0</v>
      </c>
      <c r="R183" s="73">
        <v>0</v>
      </c>
      <c r="S183" s="40">
        <v>0</v>
      </c>
      <c r="T183" s="52">
        <v>0</v>
      </c>
      <c r="U183" s="73">
        <v>0</v>
      </c>
      <c r="V183" s="40">
        <v>0</v>
      </c>
      <c r="W183" s="52">
        <v>0</v>
      </c>
      <c r="X183" s="73">
        <v>0</v>
      </c>
      <c r="Y183" s="40">
        <v>0</v>
      </c>
      <c r="Z183" s="52">
        <v>0</v>
      </c>
      <c r="AA183" s="73">
        <v>12.792000000000002</v>
      </c>
      <c r="AB183" s="40">
        <v>0</v>
      </c>
      <c r="AC183" s="52">
        <v>-12.792000000000002</v>
      </c>
      <c r="AD183" s="73">
        <v>102.40513013888449</v>
      </c>
      <c r="AE183" s="40">
        <v>144.11869241067745</v>
      </c>
      <c r="AF183" s="35">
        <v>41.713562271792966</v>
      </c>
      <c r="AG183" s="77">
        <v>115.19713013888449</v>
      </c>
      <c r="AH183" s="53">
        <v>144.11869241067745</v>
      </c>
      <c r="AI183" s="52">
        <v>28.921562271792965</v>
      </c>
      <c r="AJ183" s="73">
        <v>0</v>
      </c>
      <c r="AK183" s="40">
        <v>0</v>
      </c>
      <c r="AL183" s="52">
        <v>0</v>
      </c>
      <c r="AM183" s="73">
        <v>0</v>
      </c>
      <c r="AN183" s="40">
        <v>0</v>
      </c>
      <c r="AO183" s="52">
        <v>0</v>
      </c>
      <c r="AP183" s="73">
        <v>31.517291666666662</v>
      </c>
      <c r="AQ183" s="40">
        <v>0</v>
      </c>
      <c r="AR183" s="52">
        <v>-31.517291666666662</v>
      </c>
      <c r="AS183" s="73">
        <v>295.17824933900391</v>
      </c>
      <c r="AT183" s="40">
        <v>2069</v>
      </c>
      <c r="AU183" s="54">
        <v>1773.821750660996</v>
      </c>
      <c r="AV183" s="73">
        <v>0</v>
      </c>
      <c r="AW183" s="40">
        <v>0</v>
      </c>
      <c r="AX183" s="55">
        <v>0</v>
      </c>
      <c r="AY183" s="73">
        <v>0</v>
      </c>
      <c r="AZ183" s="40">
        <v>0</v>
      </c>
      <c r="BA183" s="35">
        <v>0</v>
      </c>
      <c r="BB183" s="73">
        <v>0</v>
      </c>
      <c r="BC183" s="40">
        <v>0</v>
      </c>
      <c r="BD183" s="55">
        <v>0</v>
      </c>
      <c r="BE183" s="73">
        <v>0</v>
      </c>
      <c r="BF183" s="40">
        <v>0</v>
      </c>
      <c r="BG183" s="38">
        <v>0</v>
      </c>
      <c r="BH183" s="73">
        <v>0</v>
      </c>
      <c r="BI183" s="40">
        <v>0</v>
      </c>
      <c r="BJ183" s="55">
        <v>0</v>
      </c>
      <c r="BK183" s="73">
        <v>0</v>
      </c>
      <c r="BL183" s="40">
        <v>0</v>
      </c>
      <c r="BM183" s="38">
        <v>0</v>
      </c>
      <c r="BN183" s="73">
        <v>5.0408030857937973</v>
      </c>
      <c r="BO183" s="40">
        <v>0</v>
      </c>
      <c r="BP183" s="55">
        <v>-5.0408030857937973</v>
      </c>
      <c r="BQ183" s="77">
        <v>5.0408030857937973</v>
      </c>
      <c r="BR183" s="40">
        <v>0</v>
      </c>
      <c r="BS183" s="55">
        <v>-5.0408030857937973</v>
      </c>
      <c r="BT183" s="73">
        <v>0</v>
      </c>
      <c r="BU183" s="40">
        <v>0</v>
      </c>
      <c r="BV183" s="52">
        <v>0</v>
      </c>
      <c r="BW183" s="73">
        <v>0</v>
      </c>
      <c r="BX183" s="40">
        <v>0.59368015965030319</v>
      </c>
      <c r="BY183" s="52">
        <v>0.59368015965030319</v>
      </c>
      <c r="BZ183" s="73">
        <v>0</v>
      </c>
      <c r="CA183" s="40">
        <v>0</v>
      </c>
      <c r="CB183" s="52">
        <v>0</v>
      </c>
      <c r="CC183" s="73">
        <v>0</v>
      </c>
      <c r="CD183" s="40">
        <v>0</v>
      </c>
      <c r="CE183" s="52">
        <v>0</v>
      </c>
      <c r="CF183" s="73">
        <v>0</v>
      </c>
      <c r="CG183" s="40">
        <v>0</v>
      </c>
      <c r="CH183" s="52">
        <v>0</v>
      </c>
      <c r="CI183" s="73">
        <v>0</v>
      </c>
      <c r="CJ183" s="40">
        <v>0</v>
      </c>
      <c r="CK183" s="52">
        <v>0</v>
      </c>
      <c r="CL183" s="73">
        <v>0</v>
      </c>
      <c r="CM183" s="40">
        <v>0</v>
      </c>
      <c r="CN183" s="52">
        <v>0</v>
      </c>
      <c r="CO183" s="39">
        <v>0</v>
      </c>
      <c r="CP183" s="40">
        <v>0</v>
      </c>
      <c r="CQ183" s="52">
        <v>0</v>
      </c>
      <c r="CR183" s="72">
        <v>446.93347423034885</v>
      </c>
      <c r="CS183" s="5">
        <v>2213.7123725703277</v>
      </c>
      <c r="CT183" s="52">
        <v>1766.7788983399789</v>
      </c>
      <c r="CU183" s="77">
        <v>536.32016907641855</v>
      </c>
      <c r="CV183" s="65">
        <v>2656.4548470843934</v>
      </c>
      <c r="CW183" s="35">
        <v>2120.1346780079748</v>
      </c>
      <c r="CX183" s="73">
        <v>29.944380433542744</v>
      </c>
      <c r="CY183" s="40">
        <v>-2090.190297574432</v>
      </c>
      <c r="CZ183" s="52">
        <v>-2120.1346780079748</v>
      </c>
      <c r="DA183" s="150">
        <v>-1521.664892060734</v>
      </c>
      <c r="DB183" s="2">
        <v>1</v>
      </c>
      <c r="DC183" s="648">
        <v>202.22</v>
      </c>
      <c r="DD183" s="648"/>
      <c r="DE183" s="649">
        <v>-364.04454950996126</v>
      </c>
      <c r="DG183" s="321">
        <v>-4172.3516543104688</v>
      </c>
      <c r="DH183" s="5">
        <v>6795.174594119535</v>
      </c>
      <c r="DI183" s="306">
        <v>1.7609011179807363</v>
      </c>
      <c r="DJ183" s="306"/>
      <c r="DK183" s="306"/>
      <c r="DL183" s="28">
        <v>281.56808876511974</v>
      </c>
      <c r="DM183" s="28">
        <v>0</v>
      </c>
      <c r="DN183" s="650">
        <v>281.57</v>
      </c>
      <c r="DO183" s="94">
        <v>-1.9112348802536872E-3</v>
      </c>
      <c r="DP183" s="28">
        <v>281.56808876511974</v>
      </c>
      <c r="DQ183" s="318">
        <v>0</v>
      </c>
      <c r="DS183" s="8">
        <v>268.16008453820928</v>
      </c>
      <c r="DT183" s="5">
        <v>13.408004226910466</v>
      </c>
      <c r="DW183" s="5">
        <v>360.26286290975725</v>
      </c>
      <c r="DX183" s="5">
        <v>2482.7999999999997</v>
      </c>
    </row>
    <row r="184" spans="1:128" x14ac:dyDescent="0.3">
      <c r="A184" s="325">
        <v>150001037</v>
      </c>
      <c r="B184" s="41" t="s">
        <v>632</v>
      </c>
      <c r="C184" s="42" t="s">
        <v>105</v>
      </c>
      <c r="D184" s="42" t="s">
        <v>105</v>
      </c>
      <c r="E184" s="293">
        <v>161.4</v>
      </c>
      <c r="F184" s="305">
        <v>161.4</v>
      </c>
      <c r="G184" s="51"/>
      <c r="H184" s="651">
        <v>0</v>
      </c>
      <c r="I184" s="73">
        <v>0</v>
      </c>
      <c r="J184" s="40">
        <v>0</v>
      </c>
      <c r="K184" s="52">
        <v>0</v>
      </c>
      <c r="L184" s="73">
        <v>0</v>
      </c>
      <c r="M184" s="40">
        <v>0</v>
      </c>
      <c r="N184" s="52">
        <v>0</v>
      </c>
      <c r="O184" s="73">
        <v>0</v>
      </c>
      <c r="P184" s="40">
        <v>0</v>
      </c>
      <c r="Q184" s="52">
        <v>0</v>
      </c>
      <c r="R184" s="73">
        <v>0</v>
      </c>
      <c r="S184" s="40">
        <v>0</v>
      </c>
      <c r="T184" s="52">
        <v>0</v>
      </c>
      <c r="U184" s="73">
        <v>0</v>
      </c>
      <c r="V184" s="40">
        <v>0</v>
      </c>
      <c r="W184" s="52">
        <v>0</v>
      </c>
      <c r="X184" s="73">
        <v>0</v>
      </c>
      <c r="Y184" s="40">
        <v>0</v>
      </c>
      <c r="Z184" s="52">
        <v>0</v>
      </c>
      <c r="AA184" s="73">
        <v>12.912000000000001</v>
      </c>
      <c r="AB184" s="40">
        <v>0</v>
      </c>
      <c r="AC184" s="52">
        <v>-12.912000000000001</v>
      </c>
      <c r="AD184" s="73">
        <v>103.37031066036076</v>
      </c>
      <c r="AE184" s="40">
        <v>145.47065012559938</v>
      </c>
      <c r="AF184" s="35">
        <v>42.100339465238619</v>
      </c>
      <c r="AG184" s="77">
        <v>116.28231066036076</v>
      </c>
      <c r="AH184" s="53">
        <v>145.47065012559938</v>
      </c>
      <c r="AI184" s="52">
        <v>29.188339465238613</v>
      </c>
      <c r="AJ184" s="73">
        <v>0</v>
      </c>
      <c r="AK184" s="40">
        <v>0</v>
      </c>
      <c r="AL184" s="52">
        <v>0</v>
      </c>
      <c r="AM184" s="73">
        <v>0</v>
      </c>
      <c r="AN184" s="40">
        <v>0</v>
      </c>
      <c r="AO184" s="52">
        <v>0</v>
      </c>
      <c r="AP184" s="73">
        <v>44.124208333333328</v>
      </c>
      <c r="AQ184" s="40">
        <v>0</v>
      </c>
      <c r="AR184" s="52">
        <v>-44.124208333333328</v>
      </c>
      <c r="AS184" s="73">
        <v>259.27842098591236</v>
      </c>
      <c r="AT184" s="40">
        <v>0</v>
      </c>
      <c r="AU184" s="54">
        <v>-259.27842098591236</v>
      </c>
      <c r="AV184" s="73">
        <v>0</v>
      </c>
      <c r="AW184" s="40">
        <v>0</v>
      </c>
      <c r="AX184" s="55">
        <v>0</v>
      </c>
      <c r="AY184" s="73">
        <v>0</v>
      </c>
      <c r="AZ184" s="40">
        <v>0</v>
      </c>
      <c r="BA184" s="35">
        <v>0</v>
      </c>
      <c r="BB184" s="73">
        <v>0</v>
      </c>
      <c r="BC184" s="40">
        <v>0</v>
      </c>
      <c r="BD184" s="55">
        <v>0</v>
      </c>
      <c r="BE184" s="73">
        <v>0</v>
      </c>
      <c r="BF184" s="40">
        <v>0</v>
      </c>
      <c r="BG184" s="38">
        <v>0</v>
      </c>
      <c r="BH184" s="73">
        <v>0</v>
      </c>
      <c r="BI184" s="40">
        <v>0</v>
      </c>
      <c r="BJ184" s="55">
        <v>0</v>
      </c>
      <c r="BK184" s="73">
        <v>0</v>
      </c>
      <c r="BL184" s="40">
        <v>0</v>
      </c>
      <c r="BM184" s="38">
        <v>0</v>
      </c>
      <c r="BN184" s="73">
        <v>5.660324037411816</v>
      </c>
      <c r="BO184" s="40">
        <v>0</v>
      </c>
      <c r="BP184" s="55">
        <v>-5.660324037411816</v>
      </c>
      <c r="BQ184" s="77">
        <v>5.660324037411816</v>
      </c>
      <c r="BR184" s="40">
        <v>0</v>
      </c>
      <c r="BS184" s="55">
        <v>-5.660324037411816</v>
      </c>
      <c r="BT184" s="73">
        <v>0</v>
      </c>
      <c r="BU184" s="40">
        <v>0</v>
      </c>
      <c r="BV184" s="52">
        <v>0</v>
      </c>
      <c r="BW184" s="73">
        <v>0</v>
      </c>
      <c r="BX184" s="40">
        <v>0.59924939191719151</v>
      </c>
      <c r="BY184" s="52">
        <v>0.59924939191719151</v>
      </c>
      <c r="BZ184" s="73">
        <v>0</v>
      </c>
      <c r="CA184" s="40">
        <v>0</v>
      </c>
      <c r="CB184" s="52">
        <v>0</v>
      </c>
      <c r="CC184" s="73">
        <v>0</v>
      </c>
      <c r="CD184" s="40">
        <v>0</v>
      </c>
      <c r="CE184" s="52">
        <v>0</v>
      </c>
      <c r="CF184" s="73">
        <v>0</v>
      </c>
      <c r="CG184" s="40">
        <v>0</v>
      </c>
      <c r="CH184" s="52">
        <v>0</v>
      </c>
      <c r="CI184" s="73">
        <v>0</v>
      </c>
      <c r="CJ184" s="40">
        <v>0</v>
      </c>
      <c r="CK184" s="52">
        <v>0</v>
      </c>
      <c r="CL184" s="73">
        <v>0</v>
      </c>
      <c r="CM184" s="40">
        <v>0</v>
      </c>
      <c r="CN184" s="52">
        <v>0</v>
      </c>
      <c r="CO184" s="39">
        <v>0</v>
      </c>
      <c r="CP184" s="40">
        <v>0</v>
      </c>
      <c r="CQ184" s="52">
        <v>0</v>
      </c>
      <c r="CR184" s="72">
        <v>425.34526401701828</v>
      </c>
      <c r="CS184" s="5">
        <v>146.06989951751657</v>
      </c>
      <c r="CT184" s="52">
        <v>-279.27536449950173</v>
      </c>
      <c r="CU184" s="77">
        <v>510.4143168204219</v>
      </c>
      <c r="CV184" s="65">
        <v>175.28387942101989</v>
      </c>
      <c r="CW184" s="35">
        <v>-335.13043739940201</v>
      </c>
      <c r="CX184" s="73">
        <v>28.497978190747016</v>
      </c>
      <c r="CY184" s="40">
        <v>363.62841559014902</v>
      </c>
      <c r="CZ184" s="52">
        <v>335.13043739940201</v>
      </c>
      <c r="DA184" s="150">
        <v>-3516.9972164555056</v>
      </c>
      <c r="DB184" s="2">
        <v>1</v>
      </c>
      <c r="DC184" s="648">
        <v>267.98</v>
      </c>
      <c r="DD184" s="648"/>
      <c r="DE184" s="649">
        <v>-270.93229501116889</v>
      </c>
      <c r="DG184" s="321">
        <v>-2122.8046687430401</v>
      </c>
      <c r="DH184" s="5">
        <v>6466.9475401340269</v>
      </c>
      <c r="DI184" s="306">
        <v>1.660269617910294</v>
      </c>
      <c r="DJ184" s="306"/>
      <c r="DK184" s="306"/>
      <c r="DL184" s="28">
        <v>267.96751633072148</v>
      </c>
      <c r="DM184" s="28">
        <v>0</v>
      </c>
      <c r="DN184" s="650">
        <v>267.98</v>
      </c>
      <c r="DO184" s="94">
        <v>-1.2483669278537946E-2</v>
      </c>
      <c r="DP184" s="28">
        <v>267.96751633072148</v>
      </c>
      <c r="DQ184" s="318">
        <v>0</v>
      </c>
      <c r="DS184" s="8">
        <v>255.20715841021095</v>
      </c>
      <c r="DT184" s="5">
        <v>12.760357920510549</v>
      </c>
      <c r="DW184" s="5">
        <v>317.92649402798901</v>
      </c>
      <c r="DX184" s="5">
        <v>0</v>
      </c>
    </row>
    <row r="185" spans="1:128" x14ac:dyDescent="0.3">
      <c r="A185" s="325">
        <v>150001032</v>
      </c>
      <c r="B185" s="41" t="s">
        <v>633</v>
      </c>
      <c r="C185" s="42" t="s">
        <v>370</v>
      </c>
      <c r="D185" s="42" t="s">
        <v>370</v>
      </c>
      <c r="E185" s="293">
        <v>6020</v>
      </c>
      <c r="F185" s="652">
        <v>6020</v>
      </c>
      <c r="G185" s="51">
        <v>736</v>
      </c>
      <c r="H185" s="651">
        <v>0</v>
      </c>
      <c r="I185" s="73">
        <v>2102.8676763381723</v>
      </c>
      <c r="J185" s="40">
        <v>2337.8039977257467</v>
      </c>
      <c r="K185" s="52">
        <v>234.93632138757448</v>
      </c>
      <c r="L185" s="73">
        <v>289.25179293429142</v>
      </c>
      <c r="M185" s="40">
        <v>350.63844114560459</v>
      </c>
      <c r="N185" s="52">
        <v>61.386648211313172</v>
      </c>
      <c r="O185" s="73">
        <v>1186.8242517848935</v>
      </c>
      <c r="P185" s="40">
        <v>1186.82</v>
      </c>
      <c r="Q185" s="52">
        <v>-4.251784893540389E-3</v>
      </c>
      <c r="R185" s="73">
        <v>249.09398121882001</v>
      </c>
      <c r="S185" s="40">
        <v>249.1</v>
      </c>
      <c r="T185" s="52">
        <v>6.0187811799892188E-3</v>
      </c>
      <c r="U185" s="73">
        <v>191.77221506405272</v>
      </c>
      <c r="V185" s="40">
        <v>376.36327112875313</v>
      </c>
      <c r="W185" s="52">
        <v>184.59105606470041</v>
      </c>
      <c r="X185" s="73">
        <v>1740.4658818068847</v>
      </c>
      <c r="Y185" s="40">
        <v>1918.6687673068516</v>
      </c>
      <c r="Z185" s="52">
        <v>178.2028854999669</v>
      </c>
      <c r="AA185" s="73">
        <v>481.68400000000003</v>
      </c>
      <c r="AB185" s="40">
        <v>0</v>
      </c>
      <c r="AC185" s="52">
        <v>-481.68400000000003</v>
      </c>
      <c r="AD185" s="73">
        <v>4337.694182866172</v>
      </c>
      <c r="AE185" s="40">
        <v>5425.8569625533355</v>
      </c>
      <c r="AF185" s="35">
        <v>1088.1627796871635</v>
      </c>
      <c r="AG185" s="77">
        <v>10579.653982013286</v>
      </c>
      <c r="AH185" s="53">
        <v>11845.251439860291</v>
      </c>
      <c r="AI185" s="52">
        <v>1265.597457847005</v>
      </c>
      <c r="AJ185" s="73">
        <v>8206.4130774999994</v>
      </c>
      <c r="AK185" s="40">
        <v>8082.5929301313781</v>
      </c>
      <c r="AL185" s="52">
        <v>-123.82014736862129</v>
      </c>
      <c r="AM185" s="73">
        <v>0</v>
      </c>
      <c r="AN185" s="40">
        <v>0</v>
      </c>
      <c r="AO185" s="52">
        <v>0</v>
      </c>
      <c r="AP185" s="73">
        <v>674.47004166666659</v>
      </c>
      <c r="AQ185" s="40">
        <v>0</v>
      </c>
      <c r="AR185" s="52">
        <v>-674.47004166666659</v>
      </c>
      <c r="AS185" s="73">
        <v>7946.5499660187315</v>
      </c>
      <c r="AT185" s="40">
        <v>929</v>
      </c>
      <c r="AU185" s="54">
        <v>-7017.5499660187315</v>
      </c>
      <c r="AV185" s="73">
        <v>791.97494812644857</v>
      </c>
      <c r="AW185" s="40">
        <v>2084</v>
      </c>
      <c r="AX185" s="55">
        <v>1292.0250518735515</v>
      </c>
      <c r="AY185" s="73">
        <v>819.62295638497858</v>
      </c>
      <c r="AZ185" s="40">
        <v>0</v>
      </c>
      <c r="BA185" s="35">
        <v>-819.62295638497858</v>
      </c>
      <c r="BB185" s="73">
        <v>423.84311067063339</v>
      </c>
      <c r="BC185" s="40">
        <v>996</v>
      </c>
      <c r="BD185" s="55">
        <v>572.15688932936655</v>
      </c>
      <c r="BE185" s="73">
        <v>1202.6212567493599</v>
      </c>
      <c r="BF185" s="40">
        <v>996</v>
      </c>
      <c r="BG185" s="38">
        <v>-206.62125674935987</v>
      </c>
      <c r="BH185" s="73">
        <v>926.08717925754399</v>
      </c>
      <c r="BI185" s="40">
        <v>0</v>
      </c>
      <c r="BJ185" s="55">
        <v>-926.08717925754399</v>
      </c>
      <c r="BK185" s="73">
        <v>1150.9749535972965</v>
      </c>
      <c r="BL185" s="40">
        <v>0</v>
      </c>
      <c r="BM185" s="38">
        <v>-1150.9749535972965</v>
      </c>
      <c r="BN185" s="73">
        <v>129.63756426474555</v>
      </c>
      <c r="BO185" s="40">
        <v>0</v>
      </c>
      <c r="BP185" s="55">
        <v>-129.63756426474555</v>
      </c>
      <c r="BQ185" s="77">
        <v>5444.7619690510073</v>
      </c>
      <c r="BR185" s="40">
        <v>4076</v>
      </c>
      <c r="BS185" s="55">
        <v>-1368.7619690510073</v>
      </c>
      <c r="BT185" s="73">
        <v>10752.182004754701</v>
      </c>
      <c r="BU185" s="40">
        <v>2472.2184937015882</v>
      </c>
      <c r="BV185" s="52">
        <v>-8279.9635110531126</v>
      </c>
      <c r="BW185" s="73">
        <v>7703.9047821516997</v>
      </c>
      <c r="BX185" s="40">
        <v>8506.2077788552269</v>
      </c>
      <c r="BY185" s="52">
        <v>802.30299670352724</v>
      </c>
      <c r="BZ185" s="73">
        <v>2676.8130826502802</v>
      </c>
      <c r="CA185" s="40">
        <v>14484.296723321226</v>
      </c>
      <c r="CB185" s="52">
        <v>11807.483640670946</v>
      </c>
      <c r="CC185" s="73">
        <v>353.60721563750002</v>
      </c>
      <c r="CD185" s="40">
        <v>442.69977380240209</v>
      </c>
      <c r="CE185" s="52">
        <v>89.092558164902073</v>
      </c>
      <c r="CF185" s="73">
        <v>41.686030649999999</v>
      </c>
      <c r="CG185" s="40">
        <v>0</v>
      </c>
      <c r="CH185" s="52">
        <v>-41.686030649999999</v>
      </c>
      <c r="CI185" s="73">
        <v>4650.18</v>
      </c>
      <c r="CJ185" s="40">
        <v>4280.7214549388782</v>
      </c>
      <c r="CK185" s="52">
        <v>-369.45854506112209</v>
      </c>
      <c r="CL185" s="73">
        <v>2205.1722</v>
      </c>
      <c r="CM185" s="40">
        <v>2053.5653637102196</v>
      </c>
      <c r="CN185" s="52">
        <v>-151.6068362897804</v>
      </c>
      <c r="CO185" s="39">
        <v>6855.3522000000003</v>
      </c>
      <c r="CP185" s="40">
        <v>6334.2868186490978</v>
      </c>
      <c r="CQ185" s="52">
        <v>-521.0653813509025</v>
      </c>
      <c r="CR185" s="72">
        <v>61235.394352093877</v>
      </c>
      <c r="CS185" s="5">
        <v>57172.553958321201</v>
      </c>
      <c r="CT185" s="52">
        <v>-4062.8403937726762</v>
      </c>
      <c r="CU185" s="77">
        <v>73482.47322251265</v>
      </c>
      <c r="CV185" s="65">
        <v>68607.064749985439</v>
      </c>
      <c r="CW185" s="35">
        <v>-4875.4084725272114</v>
      </c>
      <c r="CX185" s="73">
        <v>4102.7491790244612</v>
      </c>
      <c r="CY185" s="40">
        <v>8978.157651551679</v>
      </c>
      <c r="CZ185" s="52">
        <v>4875.4084725272178</v>
      </c>
      <c r="DA185" s="150">
        <v>-54420.518749677707</v>
      </c>
      <c r="DB185" s="2">
        <v>1</v>
      </c>
      <c r="DC185" s="648">
        <v>48670.54</v>
      </c>
      <c r="DD185" s="648"/>
      <c r="DE185" s="649">
        <v>-28914.682401537117</v>
      </c>
      <c r="DG185" s="321">
        <v>-20727.175093138696</v>
      </c>
      <c r="DH185" s="5">
        <v>931022.66881844541</v>
      </c>
      <c r="DI185" s="306">
        <v>5.3178431863203501</v>
      </c>
      <c r="DJ185" s="306">
        <v>6.5589475703517213</v>
      </c>
      <c r="DK185" s="306"/>
      <c r="DL185" s="28">
        <v>38571.411546870273</v>
      </c>
      <c r="DM185" s="28">
        <v>0</v>
      </c>
      <c r="DN185" s="650">
        <v>38572.239999999998</v>
      </c>
      <c r="DO185" s="94">
        <v>-0.82845312972494867</v>
      </c>
      <c r="DP185" s="28">
        <v>38571.411546870273</v>
      </c>
      <c r="DQ185" s="318">
        <v>-6.8868949488678481</v>
      </c>
      <c r="DS185" s="8">
        <v>36741.236611256325</v>
      </c>
      <c r="DT185" s="5">
        <v>1837.0618305628163</v>
      </c>
      <c r="DW185" s="5">
        <v>16069.574322083685</v>
      </c>
      <c r="DX185" s="5">
        <v>6006</v>
      </c>
    </row>
    <row r="186" spans="1:128" x14ac:dyDescent="0.3">
      <c r="A186" s="325">
        <v>150000537</v>
      </c>
      <c r="B186" s="41" t="s">
        <v>634</v>
      </c>
      <c r="C186" s="42" t="s">
        <v>106</v>
      </c>
      <c r="D186" s="42" t="s">
        <v>106</v>
      </c>
      <c r="E186" s="293">
        <v>108.3</v>
      </c>
      <c r="F186" s="305">
        <v>108.3</v>
      </c>
      <c r="G186" s="51"/>
      <c r="H186" s="651">
        <v>0</v>
      </c>
      <c r="I186" s="73">
        <v>0</v>
      </c>
      <c r="J186" s="40">
        <v>0</v>
      </c>
      <c r="K186" s="52">
        <v>0</v>
      </c>
      <c r="L186" s="73">
        <v>0</v>
      </c>
      <c r="M186" s="40">
        <v>0</v>
      </c>
      <c r="N186" s="52">
        <v>0</v>
      </c>
      <c r="O186" s="73">
        <v>0</v>
      </c>
      <c r="P186" s="40">
        <v>0</v>
      </c>
      <c r="Q186" s="52">
        <v>0</v>
      </c>
      <c r="R186" s="73">
        <v>0</v>
      </c>
      <c r="S186" s="40">
        <v>0</v>
      </c>
      <c r="T186" s="52">
        <v>0</v>
      </c>
      <c r="U186" s="73">
        <v>0</v>
      </c>
      <c r="V186" s="40">
        <v>0</v>
      </c>
      <c r="W186" s="52">
        <v>0</v>
      </c>
      <c r="X186" s="73">
        <v>0</v>
      </c>
      <c r="Y186" s="40">
        <v>0</v>
      </c>
      <c r="Z186" s="52">
        <v>0</v>
      </c>
      <c r="AA186" s="73">
        <v>8.6639999999999997</v>
      </c>
      <c r="AB186" s="40">
        <v>0</v>
      </c>
      <c r="AC186" s="52">
        <v>-8.6639999999999997</v>
      </c>
      <c r="AD186" s="73">
        <v>0</v>
      </c>
      <c r="AE186" s="40">
        <v>0</v>
      </c>
      <c r="AF186" s="35">
        <v>0</v>
      </c>
      <c r="AG186" s="77">
        <v>8.6639999999999997</v>
      </c>
      <c r="AH186" s="53">
        <v>0</v>
      </c>
      <c r="AI186" s="52">
        <v>-8.6639999999999997</v>
      </c>
      <c r="AJ186" s="73">
        <v>0</v>
      </c>
      <c r="AK186" s="40">
        <v>0</v>
      </c>
      <c r="AL186" s="52">
        <v>0</v>
      </c>
      <c r="AM186" s="73">
        <v>0</v>
      </c>
      <c r="AN186" s="40">
        <v>0</v>
      </c>
      <c r="AO186" s="52">
        <v>0</v>
      </c>
      <c r="AP186" s="73">
        <v>56.731124999999992</v>
      </c>
      <c r="AQ186" s="40">
        <v>0</v>
      </c>
      <c r="AR186" s="52">
        <v>-56.731124999999992</v>
      </c>
      <c r="AS186" s="73">
        <v>7.5026697878846491</v>
      </c>
      <c r="AT186" s="40">
        <v>0</v>
      </c>
      <c r="AU186" s="54">
        <v>-7.5026697878846491</v>
      </c>
      <c r="AV186" s="73">
        <v>0</v>
      </c>
      <c r="AW186" s="40">
        <v>0</v>
      </c>
      <c r="AX186" s="55">
        <v>0</v>
      </c>
      <c r="AY186" s="73">
        <v>0</v>
      </c>
      <c r="AZ186" s="40">
        <v>0</v>
      </c>
      <c r="BA186" s="35">
        <v>0</v>
      </c>
      <c r="BB186" s="73">
        <v>0</v>
      </c>
      <c r="BC186" s="40">
        <v>0</v>
      </c>
      <c r="BD186" s="55">
        <v>0</v>
      </c>
      <c r="BE186" s="73">
        <v>0</v>
      </c>
      <c r="BF186" s="40">
        <v>0</v>
      </c>
      <c r="BG186" s="38">
        <v>0</v>
      </c>
      <c r="BH186" s="73">
        <v>0</v>
      </c>
      <c r="BI186" s="40">
        <v>0</v>
      </c>
      <c r="BJ186" s="55">
        <v>0</v>
      </c>
      <c r="BK186" s="73">
        <v>0</v>
      </c>
      <c r="BL186" s="40">
        <v>0</v>
      </c>
      <c r="BM186" s="38">
        <v>0</v>
      </c>
      <c r="BN186" s="73">
        <v>2.1659999999999999</v>
      </c>
      <c r="BO186" s="40">
        <v>0</v>
      </c>
      <c r="BP186" s="55">
        <v>-2.1659999999999999</v>
      </c>
      <c r="BQ186" s="77">
        <v>2.1659999999999999</v>
      </c>
      <c r="BR186" s="40">
        <v>0</v>
      </c>
      <c r="BS186" s="55">
        <v>-2.1659999999999999</v>
      </c>
      <c r="BT186" s="73">
        <v>0</v>
      </c>
      <c r="BU186" s="40">
        <v>0</v>
      </c>
      <c r="BV186" s="52">
        <v>0</v>
      </c>
      <c r="BW186" s="73">
        <v>0</v>
      </c>
      <c r="BX186" s="40">
        <v>0.40209856966934221</v>
      </c>
      <c r="BY186" s="52">
        <v>0.40209856966934221</v>
      </c>
      <c r="BZ186" s="73">
        <v>0</v>
      </c>
      <c r="CA186" s="40">
        <v>0</v>
      </c>
      <c r="CB186" s="52">
        <v>0</v>
      </c>
      <c r="CC186" s="73">
        <v>0</v>
      </c>
      <c r="CD186" s="40">
        <v>0</v>
      </c>
      <c r="CE186" s="52">
        <v>0</v>
      </c>
      <c r="CF186" s="73">
        <v>0</v>
      </c>
      <c r="CG186" s="40">
        <v>0</v>
      </c>
      <c r="CH186" s="52">
        <v>0</v>
      </c>
      <c r="CI186" s="73">
        <v>0</v>
      </c>
      <c r="CJ186" s="40">
        <v>0</v>
      </c>
      <c r="CK186" s="52">
        <v>0</v>
      </c>
      <c r="CL186" s="73">
        <v>0</v>
      </c>
      <c r="CM186" s="40">
        <v>0</v>
      </c>
      <c r="CN186" s="52">
        <v>0</v>
      </c>
      <c r="CO186" s="39">
        <v>0</v>
      </c>
      <c r="CP186" s="40">
        <v>0</v>
      </c>
      <c r="CQ186" s="52">
        <v>0</v>
      </c>
      <c r="CR186" s="72">
        <v>75.063794787884632</v>
      </c>
      <c r="CS186" s="5">
        <v>0.40209856966934221</v>
      </c>
      <c r="CT186" s="52">
        <v>-74.661696218215283</v>
      </c>
      <c r="CU186" s="77">
        <v>90.076553745461553</v>
      </c>
      <c r="CV186" s="65">
        <v>0.48251828360321064</v>
      </c>
      <c r="CW186" s="35">
        <v>-89.59403546185834</v>
      </c>
      <c r="CX186" s="73">
        <v>5.0292469853249777</v>
      </c>
      <c r="CY186" s="40">
        <v>94.623282447183314</v>
      </c>
      <c r="CZ186" s="52">
        <v>89.59403546185834</v>
      </c>
      <c r="DA186" s="150">
        <v>-368.64138481755265</v>
      </c>
      <c r="DB186" s="2">
        <v>2</v>
      </c>
      <c r="DC186" s="648">
        <v>47.3</v>
      </c>
      <c r="DD186" s="648"/>
      <c r="DE186" s="649">
        <v>-47.80580073078653</v>
      </c>
      <c r="DG186" s="321">
        <v>318.2139187341719</v>
      </c>
      <c r="DH186" s="5">
        <v>1141.2696087694383</v>
      </c>
      <c r="DI186" s="306">
        <v>0.43665919405694659</v>
      </c>
      <c r="DJ186" s="306"/>
      <c r="DK186" s="306"/>
      <c r="DL186" s="28">
        <v>47.290190716367313</v>
      </c>
      <c r="DM186" s="28">
        <v>0</v>
      </c>
      <c r="DN186" s="650">
        <v>47.3</v>
      </c>
      <c r="DO186" s="94">
        <v>-9.8092836326841848E-3</v>
      </c>
      <c r="DP186" s="28">
        <v>47.290190716367313</v>
      </c>
      <c r="DQ186" s="318">
        <v>0</v>
      </c>
      <c r="DS186" s="8">
        <v>45.038276872730776</v>
      </c>
      <c r="DT186" s="5">
        <v>2.2519138436365389</v>
      </c>
      <c r="DW186" s="5">
        <v>11.602403745461579</v>
      </c>
      <c r="DX186" s="5">
        <v>0</v>
      </c>
    </row>
    <row r="187" spans="1:128" x14ac:dyDescent="0.3">
      <c r="A187" s="325">
        <v>150000545</v>
      </c>
      <c r="B187" s="41" t="s">
        <v>635</v>
      </c>
      <c r="C187" s="42" t="s">
        <v>107</v>
      </c>
      <c r="D187" s="42" t="s">
        <v>107</v>
      </c>
      <c r="E187" s="293">
        <v>95</v>
      </c>
      <c r="F187" s="305">
        <v>95</v>
      </c>
      <c r="G187" s="51"/>
      <c r="H187" s="651">
        <v>0</v>
      </c>
      <c r="I187" s="73">
        <v>0</v>
      </c>
      <c r="J187" s="40">
        <v>0</v>
      </c>
      <c r="K187" s="52">
        <v>0</v>
      </c>
      <c r="L187" s="73">
        <v>0</v>
      </c>
      <c r="M187" s="40">
        <v>0</v>
      </c>
      <c r="N187" s="52">
        <v>0</v>
      </c>
      <c r="O187" s="73">
        <v>0</v>
      </c>
      <c r="P187" s="40">
        <v>0</v>
      </c>
      <c r="Q187" s="52">
        <v>0</v>
      </c>
      <c r="R187" s="73">
        <v>0</v>
      </c>
      <c r="S187" s="40">
        <v>0</v>
      </c>
      <c r="T187" s="52">
        <v>0</v>
      </c>
      <c r="U187" s="73">
        <v>0</v>
      </c>
      <c r="V187" s="40">
        <v>0</v>
      </c>
      <c r="W187" s="52">
        <v>0</v>
      </c>
      <c r="X187" s="73">
        <v>0</v>
      </c>
      <c r="Y187" s="40">
        <v>0</v>
      </c>
      <c r="Z187" s="52">
        <v>0</v>
      </c>
      <c r="AA187" s="73">
        <v>7.6000000000000005</v>
      </c>
      <c r="AB187" s="40">
        <v>0</v>
      </c>
      <c r="AC187" s="52">
        <v>-7.6000000000000005</v>
      </c>
      <c r="AD187" s="73">
        <v>60.831451083549545</v>
      </c>
      <c r="AE187" s="40">
        <v>85.623988611722069</v>
      </c>
      <c r="AF187" s="35">
        <v>24.792537528172524</v>
      </c>
      <c r="AG187" s="77">
        <v>68.431451083549547</v>
      </c>
      <c r="AH187" s="53">
        <v>85.623988611722069</v>
      </c>
      <c r="AI187" s="52">
        <v>17.192537528172522</v>
      </c>
      <c r="AJ187" s="73">
        <v>0</v>
      </c>
      <c r="AK187" s="40">
        <v>0</v>
      </c>
      <c r="AL187" s="52">
        <v>0</v>
      </c>
      <c r="AM187" s="73">
        <v>0</v>
      </c>
      <c r="AN187" s="40">
        <v>0</v>
      </c>
      <c r="AO187" s="52">
        <v>0</v>
      </c>
      <c r="AP187" s="73">
        <v>56.731124999999992</v>
      </c>
      <c r="AQ187" s="40">
        <v>0</v>
      </c>
      <c r="AR187" s="52">
        <v>-56.731124999999992</v>
      </c>
      <c r="AS187" s="73">
        <v>85.629059226949721</v>
      </c>
      <c r="AT187" s="40">
        <v>0</v>
      </c>
      <c r="AU187" s="54">
        <v>-85.629059226949721</v>
      </c>
      <c r="AV187" s="73">
        <v>0</v>
      </c>
      <c r="AW187" s="40">
        <v>0</v>
      </c>
      <c r="AX187" s="55">
        <v>0</v>
      </c>
      <c r="AY187" s="73">
        <v>0</v>
      </c>
      <c r="AZ187" s="40">
        <v>0</v>
      </c>
      <c r="BA187" s="35">
        <v>0</v>
      </c>
      <c r="BB187" s="73">
        <v>0</v>
      </c>
      <c r="BC187" s="40">
        <v>0</v>
      </c>
      <c r="BD187" s="55">
        <v>0</v>
      </c>
      <c r="BE187" s="73">
        <v>0</v>
      </c>
      <c r="BF187" s="40">
        <v>0</v>
      </c>
      <c r="BG187" s="38">
        <v>0</v>
      </c>
      <c r="BH187" s="73">
        <v>0</v>
      </c>
      <c r="BI187" s="40">
        <v>0</v>
      </c>
      <c r="BJ187" s="55">
        <v>0</v>
      </c>
      <c r="BK187" s="73">
        <v>0</v>
      </c>
      <c r="BL187" s="40">
        <v>0</v>
      </c>
      <c r="BM187" s="38">
        <v>0</v>
      </c>
      <c r="BN187" s="73">
        <v>1.9000000000000001</v>
      </c>
      <c r="BO187" s="40">
        <v>0</v>
      </c>
      <c r="BP187" s="55">
        <v>-1.9000000000000001</v>
      </c>
      <c r="BQ187" s="77">
        <v>1.9000000000000001</v>
      </c>
      <c r="BR187" s="40">
        <v>0</v>
      </c>
      <c r="BS187" s="55">
        <v>-1.9000000000000001</v>
      </c>
      <c r="BT187" s="73">
        <v>0</v>
      </c>
      <c r="BU187" s="40">
        <v>0</v>
      </c>
      <c r="BV187" s="52">
        <v>0</v>
      </c>
      <c r="BW187" s="73">
        <v>0</v>
      </c>
      <c r="BX187" s="40">
        <v>0.35271804356959846</v>
      </c>
      <c r="BY187" s="52">
        <v>0.35271804356959846</v>
      </c>
      <c r="BZ187" s="73">
        <v>0</v>
      </c>
      <c r="CA187" s="40">
        <v>0</v>
      </c>
      <c r="CB187" s="52">
        <v>0</v>
      </c>
      <c r="CC187" s="73">
        <v>0</v>
      </c>
      <c r="CD187" s="40">
        <v>0</v>
      </c>
      <c r="CE187" s="52">
        <v>0</v>
      </c>
      <c r="CF187" s="73">
        <v>0</v>
      </c>
      <c r="CG187" s="40">
        <v>0</v>
      </c>
      <c r="CH187" s="52">
        <v>0</v>
      </c>
      <c r="CI187" s="73">
        <v>0</v>
      </c>
      <c r="CJ187" s="40">
        <v>0</v>
      </c>
      <c r="CK187" s="52">
        <v>0</v>
      </c>
      <c r="CL187" s="73">
        <v>0</v>
      </c>
      <c r="CM187" s="40">
        <v>0</v>
      </c>
      <c r="CN187" s="52">
        <v>0</v>
      </c>
      <c r="CO187" s="39">
        <v>0</v>
      </c>
      <c r="CP187" s="40">
        <v>0</v>
      </c>
      <c r="CQ187" s="52">
        <v>0</v>
      </c>
      <c r="CR187" s="72">
        <v>212.69163531049927</v>
      </c>
      <c r="CS187" s="5">
        <v>85.976706655291665</v>
      </c>
      <c r="CT187" s="52">
        <v>-126.7149286552076</v>
      </c>
      <c r="CU187" s="77">
        <v>255.22996237259912</v>
      </c>
      <c r="CV187" s="65">
        <v>103.17204798634999</v>
      </c>
      <c r="CW187" s="35">
        <v>-152.05791438624914</v>
      </c>
      <c r="CX187" s="73">
        <v>14.250262309704267</v>
      </c>
      <c r="CY187" s="40">
        <v>166.30817669595342</v>
      </c>
      <c r="CZ187" s="52">
        <v>152.05791438624917</v>
      </c>
      <c r="DA187" s="150">
        <v>-1143.4862080550515</v>
      </c>
      <c r="DB187" s="2">
        <v>2</v>
      </c>
      <c r="DC187" s="648">
        <v>134</v>
      </c>
      <c r="DD187" s="648"/>
      <c r="DE187" s="649">
        <v>-135.4802246823034</v>
      </c>
      <c r="DG187" s="321">
        <v>-1658.6998276536203</v>
      </c>
      <c r="DH187" s="5">
        <v>3233.7626961876408</v>
      </c>
      <c r="DI187" s="306">
        <v>1.4104813710064688</v>
      </c>
      <c r="DJ187" s="306"/>
      <c r="DK187" s="306"/>
      <c r="DL187" s="28">
        <v>133.99573024561454</v>
      </c>
      <c r="DM187" s="28">
        <v>0</v>
      </c>
      <c r="DN187" s="650">
        <v>134</v>
      </c>
      <c r="DO187" s="94">
        <v>-4.2697543854615105E-3</v>
      </c>
      <c r="DP187" s="28">
        <v>133.99573024561454</v>
      </c>
      <c r="DQ187" s="318">
        <v>0</v>
      </c>
      <c r="DS187" s="8">
        <v>127.61498118629956</v>
      </c>
      <c r="DT187" s="5">
        <v>6.3807490593149776</v>
      </c>
      <c r="DW187" s="5">
        <v>105.03487107233967</v>
      </c>
      <c r="DX187" s="5">
        <v>0</v>
      </c>
    </row>
    <row r="188" spans="1:128" x14ac:dyDescent="0.3">
      <c r="A188" s="325">
        <v>150000546</v>
      </c>
      <c r="B188" s="41" t="s">
        <v>636</v>
      </c>
      <c r="C188" s="42" t="s">
        <v>108</v>
      </c>
      <c r="D188" s="42" t="s">
        <v>108</v>
      </c>
      <c r="E188" s="293">
        <v>131.15</v>
      </c>
      <c r="F188" s="305">
        <v>131.15</v>
      </c>
      <c r="G188" s="51"/>
      <c r="H188" s="651">
        <v>0</v>
      </c>
      <c r="I188" s="73">
        <v>0</v>
      </c>
      <c r="J188" s="40">
        <v>0</v>
      </c>
      <c r="K188" s="52">
        <v>0</v>
      </c>
      <c r="L188" s="73">
        <v>0</v>
      </c>
      <c r="M188" s="40">
        <v>0</v>
      </c>
      <c r="N188" s="52">
        <v>0</v>
      </c>
      <c r="O188" s="73">
        <v>0</v>
      </c>
      <c r="P188" s="40">
        <v>0</v>
      </c>
      <c r="Q188" s="52">
        <v>0</v>
      </c>
      <c r="R188" s="73">
        <v>0</v>
      </c>
      <c r="S188" s="40">
        <v>0</v>
      </c>
      <c r="T188" s="52">
        <v>0</v>
      </c>
      <c r="U188" s="73">
        <v>0</v>
      </c>
      <c r="V188" s="40">
        <v>0</v>
      </c>
      <c r="W188" s="52">
        <v>0</v>
      </c>
      <c r="X188" s="73">
        <v>0</v>
      </c>
      <c r="Y188" s="40">
        <v>0</v>
      </c>
      <c r="Z188" s="52">
        <v>0</v>
      </c>
      <c r="AA188" s="73">
        <v>10.492000000000001</v>
      </c>
      <c r="AB188" s="40">
        <v>0</v>
      </c>
      <c r="AC188" s="52">
        <v>-10.492000000000001</v>
      </c>
      <c r="AD188" s="73">
        <v>83.99059355628853</v>
      </c>
      <c r="AE188" s="40">
        <v>118.20616954134053</v>
      </c>
      <c r="AF188" s="35">
        <v>34.215575985051998</v>
      </c>
      <c r="AG188" s="77">
        <v>94.482593556288535</v>
      </c>
      <c r="AH188" s="53">
        <v>118.20616954134053</v>
      </c>
      <c r="AI188" s="52">
        <v>23.723575985051994</v>
      </c>
      <c r="AJ188" s="73">
        <v>0</v>
      </c>
      <c r="AK188" s="40">
        <v>0</v>
      </c>
      <c r="AL188" s="52">
        <v>0</v>
      </c>
      <c r="AM188" s="73">
        <v>0</v>
      </c>
      <c r="AN188" s="40">
        <v>0</v>
      </c>
      <c r="AO188" s="52">
        <v>0</v>
      </c>
      <c r="AP188" s="73">
        <v>56.731124999999992</v>
      </c>
      <c r="AQ188" s="40">
        <v>0</v>
      </c>
      <c r="AR188" s="52">
        <v>-56.731124999999992</v>
      </c>
      <c r="AS188" s="73">
        <v>115.37191275024264</v>
      </c>
      <c r="AT188" s="40">
        <v>0</v>
      </c>
      <c r="AU188" s="54">
        <v>-115.37191275024264</v>
      </c>
      <c r="AV188" s="73">
        <v>0</v>
      </c>
      <c r="AW188" s="40">
        <v>0</v>
      </c>
      <c r="AX188" s="55">
        <v>0</v>
      </c>
      <c r="AY188" s="73">
        <v>0</v>
      </c>
      <c r="AZ188" s="40">
        <v>0</v>
      </c>
      <c r="BA188" s="35">
        <v>0</v>
      </c>
      <c r="BB188" s="73">
        <v>0</v>
      </c>
      <c r="BC188" s="40">
        <v>0</v>
      </c>
      <c r="BD188" s="55">
        <v>0</v>
      </c>
      <c r="BE188" s="73">
        <v>0</v>
      </c>
      <c r="BF188" s="40">
        <v>0</v>
      </c>
      <c r="BG188" s="38">
        <v>0</v>
      </c>
      <c r="BH188" s="73">
        <v>0</v>
      </c>
      <c r="BI188" s="40">
        <v>0</v>
      </c>
      <c r="BJ188" s="55">
        <v>0</v>
      </c>
      <c r="BK188" s="73">
        <v>0</v>
      </c>
      <c r="BL188" s="40">
        <v>0</v>
      </c>
      <c r="BM188" s="38">
        <v>0</v>
      </c>
      <c r="BN188" s="73">
        <v>2.6230000000000002</v>
      </c>
      <c r="BO188" s="40">
        <v>0</v>
      </c>
      <c r="BP188" s="55">
        <v>-2.6230000000000002</v>
      </c>
      <c r="BQ188" s="77">
        <v>2.6230000000000002</v>
      </c>
      <c r="BR188" s="40">
        <v>0</v>
      </c>
      <c r="BS188" s="55">
        <v>-2.6230000000000002</v>
      </c>
      <c r="BT188" s="73">
        <v>0</v>
      </c>
      <c r="BU188" s="40">
        <v>0</v>
      </c>
      <c r="BV188" s="52">
        <v>0</v>
      </c>
      <c r="BW188" s="73">
        <v>0</v>
      </c>
      <c r="BX188" s="40">
        <v>0.48693654120160884</v>
      </c>
      <c r="BY188" s="52">
        <v>0.48693654120160884</v>
      </c>
      <c r="BZ188" s="73">
        <v>0</v>
      </c>
      <c r="CA188" s="40">
        <v>0</v>
      </c>
      <c r="CB188" s="52">
        <v>0</v>
      </c>
      <c r="CC188" s="73">
        <v>0</v>
      </c>
      <c r="CD188" s="40">
        <v>0</v>
      </c>
      <c r="CE188" s="52">
        <v>0</v>
      </c>
      <c r="CF188" s="73">
        <v>0</v>
      </c>
      <c r="CG188" s="40">
        <v>0</v>
      </c>
      <c r="CH188" s="52">
        <v>0</v>
      </c>
      <c r="CI188" s="73">
        <v>0</v>
      </c>
      <c r="CJ188" s="40">
        <v>0</v>
      </c>
      <c r="CK188" s="52">
        <v>0</v>
      </c>
      <c r="CL188" s="73">
        <v>0</v>
      </c>
      <c r="CM188" s="40">
        <v>0</v>
      </c>
      <c r="CN188" s="52">
        <v>0</v>
      </c>
      <c r="CO188" s="39">
        <v>0</v>
      </c>
      <c r="CP188" s="40">
        <v>0</v>
      </c>
      <c r="CQ188" s="52">
        <v>0</v>
      </c>
      <c r="CR188" s="72">
        <v>269.20863130653117</v>
      </c>
      <c r="CS188" s="5">
        <v>118.69310608254214</v>
      </c>
      <c r="CT188" s="52">
        <v>-150.51552522398902</v>
      </c>
      <c r="CU188" s="77">
        <v>323.05035756783741</v>
      </c>
      <c r="CV188" s="65">
        <v>142.43172729905058</v>
      </c>
      <c r="CW188" s="35">
        <v>-180.61863026878683</v>
      </c>
      <c r="CX188" s="73">
        <v>18.036880512738996</v>
      </c>
      <c r="CY188" s="40">
        <v>198.65551078152583</v>
      </c>
      <c r="CZ188" s="52">
        <v>180.61863026878683</v>
      </c>
      <c r="DA188" s="150">
        <v>-1496.6522749018206</v>
      </c>
      <c r="DB188" s="2">
        <v>2</v>
      </c>
      <c r="DC188" s="648">
        <v>169.8</v>
      </c>
      <c r="DD188" s="648"/>
      <c r="DE188" s="649">
        <v>-171.2872380805764</v>
      </c>
      <c r="DG188" s="321">
        <v>-1938.1549684243882</v>
      </c>
      <c r="DH188" s="5">
        <v>4093.0468569669169</v>
      </c>
      <c r="DI188" s="306">
        <v>1.2931867153878354</v>
      </c>
      <c r="DJ188" s="306"/>
      <c r="DK188" s="306"/>
      <c r="DL188" s="28">
        <v>169.60143772311463</v>
      </c>
      <c r="DM188" s="28">
        <v>0</v>
      </c>
      <c r="DN188" s="650">
        <v>169.6</v>
      </c>
      <c r="DO188" s="94">
        <v>1.4377231146340819E-3</v>
      </c>
      <c r="DP188" s="28">
        <v>169.60143772311463</v>
      </c>
      <c r="DQ188" s="318">
        <v>0</v>
      </c>
      <c r="DS188" s="8">
        <v>161.5251787839187</v>
      </c>
      <c r="DT188" s="5">
        <v>8.0762589391959345</v>
      </c>
      <c r="DW188" s="5">
        <v>141.59389530029117</v>
      </c>
      <c r="DX188" s="5">
        <v>0</v>
      </c>
    </row>
    <row r="189" spans="1:128" x14ac:dyDescent="0.3">
      <c r="A189" s="325">
        <v>150000502</v>
      </c>
      <c r="B189" s="41" t="s">
        <v>637</v>
      </c>
      <c r="C189" s="42" t="s">
        <v>109</v>
      </c>
      <c r="D189" s="42" t="s">
        <v>109</v>
      </c>
      <c r="E189" s="293">
        <v>137.30000000000001</v>
      </c>
      <c r="F189" s="305">
        <v>137.30000000000001</v>
      </c>
      <c r="G189" s="51"/>
      <c r="H189" s="651">
        <v>0</v>
      </c>
      <c r="I189" s="73">
        <v>0</v>
      </c>
      <c r="J189" s="40">
        <v>0</v>
      </c>
      <c r="K189" s="52">
        <v>0</v>
      </c>
      <c r="L189" s="73">
        <v>0</v>
      </c>
      <c r="M189" s="40">
        <v>0</v>
      </c>
      <c r="N189" s="52">
        <v>0</v>
      </c>
      <c r="O189" s="73">
        <v>0</v>
      </c>
      <c r="P189" s="40">
        <v>0</v>
      </c>
      <c r="Q189" s="52">
        <v>0</v>
      </c>
      <c r="R189" s="73">
        <v>0</v>
      </c>
      <c r="S189" s="40">
        <v>0</v>
      </c>
      <c r="T189" s="52">
        <v>0</v>
      </c>
      <c r="U189" s="73">
        <v>0</v>
      </c>
      <c r="V189" s="40">
        <v>0</v>
      </c>
      <c r="W189" s="52">
        <v>0</v>
      </c>
      <c r="X189" s="73">
        <v>0</v>
      </c>
      <c r="Y189" s="40">
        <v>0</v>
      </c>
      <c r="Z189" s="52">
        <v>0</v>
      </c>
      <c r="AA189" s="73">
        <v>10.984000000000002</v>
      </c>
      <c r="AB189" s="40">
        <v>0</v>
      </c>
      <c r="AC189" s="52">
        <v>-10.984000000000002</v>
      </c>
      <c r="AD189" s="73">
        <v>82.484354748229208</v>
      </c>
      <c r="AE189" s="40">
        <v>123.74919617252044</v>
      </c>
      <c r="AF189" s="35">
        <v>41.264841424291234</v>
      </c>
      <c r="AG189" s="77">
        <v>93.468354748229217</v>
      </c>
      <c r="AH189" s="53">
        <v>123.74919617252044</v>
      </c>
      <c r="AI189" s="52">
        <v>30.280841424291225</v>
      </c>
      <c r="AJ189" s="73">
        <v>0</v>
      </c>
      <c r="AK189" s="40">
        <v>0</v>
      </c>
      <c r="AL189" s="52">
        <v>0</v>
      </c>
      <c r="AM189" s="73">
        <v>0</v>
      </c>
      <c r="AN189" s="40">
        <v>0</v>
      </c>
      <c r="AO189" s="52">
        <v>0</v>
      </c>
      <c r="AP189" s="73">
        <v>37.820749999999997</v>
      </c>
      <c r="AQ189" s="40">
        <v>0</v>
      </c>
      <c r="AR189" s="52">
        <v>-37.820749999999997</v>
      </c>
      <c r="AS189" s="73">
        <v>161.84312652911905</v>
      </c>
      <c r="AT189" s="40">
        <v>0</v>
      </c>
      <c r="AU189" s="54">
        <v>-161.84312652911905</v>
      </c>
      <c r="AV189" s="73">
        <v>0</v>
      </c>
      <c r="AW189" s="40">
        <v>0</v>
      </c>
      <c r="AX189" s="55">
        <v>0</v>
      </c>
      <c r="AY189" s="73">
        <v>0</v>
      </c>
      <c r="AZ189" s="40">
        <v>0</v>
      </c>
      <c r="BA189" s="35">
        <v>0</v>
      </c>
      <c r="BB189" s="73">
        <v>0</v>
      </c>
      <c r="BC189" s="40">
        <v>0</v>
      </c>
      <c r="BD189" s="55">
        <v>0</v>
      </c>
      <c r="BE189" s="73">
        <v>0</v>
      </c>
      <c r="BF189" s="40">
        <v>0</v>
      </c>
      <c r="BG189" s="38">
        <v>0</v>
      </c>
      <c r="BH189" s="73">
        <v>0</v>
      </c>
      <c r="BI189" s="40">
        <v>0</v>
      </c>
      <c r="BJ189" s="55">
        <v>0</v>
      </c>
      <c r="BK189" s="73">
        <v>0</v>
      </c>
      <c r="BL189" s="40">
        <v>0</v>
      </c>
      <c r="BM189" s="38">
        <v>0</v>
      </c>
      <c r="BN189" s="73">
        <v>2.7460000000000004</v>
      </c>
      <c r="BO189" s="40">
        <v>0</v>
      </c>
      <c r="BP189" s="55">
        <v>-2.7460000000000004</v>
      </c>
      <c r="BQ189" s="77">
        <v>2.7460000000000004</v>
      </c>
      <c r="BR189" s="40">
        <v>0</v>
      </c>
      <c r="BS189" s="55">
        <v>-2.7460000000000004</v>
      </c>
      <c r="BT189" s="73">
        <v>0</v>
      </c>
      <c r="BU189" s="40">
        <v>0</v>
      </c>
      <c r="BV189" s="52">
        <v>0</v>
      </c>
      <c r="BW189" s="73">
        <v>0</v>
      </c>
      <c r="BX189" s="40">
        <v>0.50977039349585129</v>
      </c>
      <c r="BY189" s="52">
        <v>0.50977039349585129</v>
      </c>
      <c r="BZ189" s="73">
        <v>0</v>
      </c>
      <c r="CA189" s="40">
        <v>0</v>
      </c>
      <c r="CB189" s="52">
        <v>0</v>
      </c>
      <c r="CC189" s="73">
        <v>0</v>
      </c>
      <c r="CD189" s="40">
        <v>0</v>
      </c>
      <c r="CE189" s="52">
        <v>0</v>
      </c>
      <c r="CF189" s="73">
        <v>0</v>
      </c>
      <c r="CG189" s="40">
        <v>0</v>
      </c>
      <c r="CH189" s="52">
        <v>0</v>
      </c>
      <c r="CI189" s="73">
        <v>0</v>
      </c>
      <c r="CJ189" s="40">
        <v>0</v>
      </c>
      <c r="CK189" s="52">
        <v>0</v>
      </c>
      <c r="CL189" s="73">
        <v>0</v>
      </c>
      <c r="CM189" s="40">
        <v>0</v>
      </c>
      <c r="CN189" s="52">
        <v>0</v>
      </c>
      <c r="CO189" s="39">
        <v>0</v>
      </c>
      <c r="CP189" s="40">
        <v>0</v>
      </c>
      <c r="CQ189" s="52">
        <v>0</v>
      </c>
      <c r="CR189" s="72">
        <v>295.87823127734828</v>
      </c>
      <c r="CS189" s="5">
        <v>124.2589665660163</v>
      </c>
      <c r="CT189" s="52">
        <v>-171.61926471133199</v>
      </c>
      <c r="CU189" s="77">
        <v>355.05387753281792</v>
      </c>
      <c r="CV189" s="65">
        <v>149.11075987921956</v>
      </c>
      <c r="CW189" s="35">
        <v>-205.94311765359836</v>
      </c>
      <c r="CX189" s="73">
        <v>19.823734023570339</v>
      </c>
      <c r="CY189" s="40">
        <v>225.76685167716872</v>
      </c>
      <c r="CZ189" s="52">
        <v>205.94311765359839</v>
      </c>
      <c r="DA189" s="150">
        <v>-2038.5389234463908</v>
      </c>
      <c r="DB189" s="2">
        <v>3</v>
      </c>
      <c r="DC189" s="648">
        <v>186.4</v>
      </c>
      <c r="DD189" s="648"/>
      <c r="DE189" s="649">
        <v>-188.47761155638827</v>
      </c>
      <c r="DG189" s="321">
        <v>-3030.1088997514253</v>
      </c>
      <c r="DH189" s="5">
        <v>4498.5313386766593</v>
      </c>
      <c r="DI189" s="306">
        <v>1.3576350014911098</v>
      </c>
      <c r="DJ189" s="306"/>
      <c r="DK189" s="306"/>
      <c r="DL189" s="28">
        <v>186.4032857047294</v>
      </c>
      <c r="DM189" s="28">
        <v>0</v>
      </c>
      <c r="DN189" s="650">
        <v>186.4</v>
      </c>
      <c r="DO189" s="94">
        <v>3.2857047293930464E-3</v>
      </c>
      <c r="DP189" s="28">
        <v>186.4032857047294</v>
      </c>
      <c r="DQ189" s="318">
        <v>0</v>
      </c>
      <c r="DS189" s="8">
        <v>177.52693876640896</v>
      </c>
      <c r="DT189" s="5">
        <v>8.8763469383204487</v>
      </c>
      <c r="DW189" s="5">
        <v>197.50695183494287</v>
      </c>
      <c r="DX189" s="5">
        <v>0</v>
      </c>
    </row>
    <row r="190" spans="1:128" x14ac:dyDescent="0.3">
      <c r="A190" s="325">
        <v>150000503</v>
      </c>
      <c r="B190" s="41" t="s">
        <v>638</v>
      </c>
      <c r="C190" s="42" t="s">
        <v>110</v>
      </c>
      <c r="D190" s="42" t="s">
        <v>110</v>
      </c>
      <c r="E190" s="293">
        <v>211.6</v>
      </c>
      <c r="F190" s="305">
        <v>211.6</v>
      </c>
      <c r="G190" s="51"/>
      <c r="H190" s="651">
        <v>0</v>
      </c>
      <c r="I190" s="73">
        <v>4.3300820438223329E-2</v>
      </c>
      <c r="J190" s="40">
        <v>0</v>
      </c>
      <c r="K190" s="52">
        <v>-4.3300820438223329E-2</v>
      </c>
      <c r="L190" s="73">
        <v>0</v>
      </c>
      <c r="M190" s="40">
        <v>0</v>
      </c>
      <c r="N190" s="52">
        <v>0</v>
      </c>
      <c r="O190" s="73">
        <v>0</v>
      </c>
      <c r="P190" s="40">
        <v>0</v>
      </c>
      <c r="Q190" s="52">
        <v>0</v>
      </c>
      <c r="R190" s="73">
        <v>0</v>
      </c>
      <c r="S190" s="40">
        <v>0</v>
      </c>
      <c r="T190" s="52">
        <v>0</v>
      </c>
      <c r="U190" s="73">
        <v>0</v>
      </c>
      <c r="V190" s="40">
        <v>0</v>
      </c>
      <c r="W190" s="52">
        <v>0</v>
      </c>
      <c r="X190" s="73">
        <v>0</v>
      </c>
      <c r="Y190" s="40">
        <v>0</v>
      </c>
      <c r="Z190" s="52">
        <v>0</v>
      </c>
      <c r="AA190" s="73">
        <v>17.216000000000001</v>
      </c>
      <c r="AB190" s="40">
        <v>0</v>
      </c>
      <c r="AC190" s="52">
        <v>-17.216000000000001</v>
      </c>
      <c r="AD190" s="73">
        <v>137.82708088048105</v>
      </c>
      <c r="AE190" s="40">
        <v>190.71616831831989</v>
      </c>
      <c r="AF190" s="35">
        <v>52.889087437838839</v>
      </c>
      <c r="AG190" s="77">
        <v>155.08638170091928</v>
      </c>
      <c r="AH190" s="53">
        <v>190.71616831831989</v>
      </c>
      <c r="AI190" s="52">
        <v>35.629786617400612</v>
      </c>
      <c r="AJ190" s="73">
        <v>0</v>
      </c>
      <c r="AK190" s="40">
        <v>0</v>
      </c>
      <c r="AL190" s="52">
        <v>0</v>
      </c>
      <c r="AM190" s="73">
        <v>0</v>
      </c>
      <c r="AN190" s="40">
        <v>0</v>
      </c>
      <c r="AO190" s="52">
        <v>0</v>
      </c>
      <c r="AP190" s="73">
        <v>50.427666666666667</v>
      </c>
      <c r="AQ190" s="40">
        <v>0</v>
      </c>
      <c r="AR190" s="52">
        <v>-50.427666666666667</v>
      </c>
      <c r="AS190" s="73">
        <v>215.0927520120525</v>
      </c>
      <c r="AT190" s="40">
        <v>0</v>
      </c>
      <c r="AU190" s="54">
        <v>-215.0927520120525</v>
      </c>
      <c r="AV190" s="73">
        <v>7.9870459758472536E-3</v>
      </c>
      <c r="AW190" s="40">
        <v>0</v>
      </c>
      <c r="AX190" s="55">
        <v>-7.9870459758472536E-3</v>
      </c>
      <c r="AY190" s="73">
        <v>0</v>
      </c>
      <c r="AZ190" s="40">
        <v>0</v>
      </c>
      <c r="BA190" s="35">
        <v>0</v>
      </c>
      <c r="BB190" s="73">
        <v>0</v>
      </c>
      <c r="BC190" s="40">
        <v>0</v>
      </c>
      <c r="BD190" s="55">
        <v>0</v>
      </c>
      <c r="BE190" s="73">
        <v>0</v>
      </c>
      <c r="BF190" s="40">
        <v>0</v>
      </c>
      <c r="BG190" s="38">
        <v>0</v>
      </c>
      <c r="BH190" s="73">
        <v>0</v>
      </c>
      <c r="BI190" s="40">
        <v>0</v>
      </c>
      <c r="BJ190" s="55">
        <v>0</v>
      </c>
      <c r="BK190" s="73">
        <v>14.29190587896956</v>
      </c>
      <c r="BL190" s="40">
        <v>0</v>
      </c>
      <c r="BM190" s="38">
        <v>-14.29190587896956</v>
      </c>
      <c r="BN190" s="73">
        <v>4.3040000000000003</v>
      </c>
      <c r="BO190" s="40">
        <v>0</v>
      </c>
      <c r="BP190" s="55">
        <v>-4.3040000000000003</v>
      </c>
      <c r="BQ190" s="77">
        <v>18.603892924945406</v>
      </c>
      <c r="BR190" s="40">
        <v>0</v>
      </c>
      <c r="BS190" s="55">
        <v>-18.603892924945406</v>
      </c>
      <c r="BT190" s="73">
        <v>0</v>
      </c>
      <c r="BU190" s="40">
        <v>0</v>
      </c>
      <c r="BV190" s="52">
        <v>0</v>
      </c>
      <c r="BW190" s="73">
        <v>0</v>
      </c>
      <c r="BX190" s="40">
        <v>0.78563303178238986</v>
      </c>
      <c r="BY190" s="52">
        <v>0.78563303178238986</v>
      </c>
      <c r="BZ190" s="73">
        <v>0</v>
      </c>
      <c r="CA190" s="40">
        <v>0</v>
      </c>
      <c r="CB190" s="52">
        <v>0</v>
      </c>
      <c r="CC190" s="73">
        <v>0</v>
      </c>
      <c r="CD190" s="40">
        <v>0</v>
      </c>
      <c r="CE190" s="52">
        <v>0</v>
      </c>
      <c r="CF190" s="73">
        <v>0</v>
      </c>
      <c r="CG190" s="40">
        <v>0</v>
      </c>
      <c r="CH190" s="52">
        <v>0</v>
      </c>
      <c r="CI190" s="73">
        <v>0</v>
      </c>
      <c r="CJ190" s="40">
        <v>0</v>
      </c>
      <c r="CK190" s="52">
        <v>0</v>
      </c>
      <c r="CL190" s="73">
        <v>0</v>
      </c>
      <c r="CM190" s="40">
        <v>0</v>
      </c>
      <c r="CN190" s="52">
        <v>0</v>
      </c>
      <c r="CO190" s="39">
        <v>0</v>
      </c>
      <c r="CP190" s="40">
        <v>0</v>
      </c>
      <c r="CQ190" s="52">
        <v>0</v>
      </c>
      <c r="CR190" s="72">
        <v>439.21069330458386</v>
      </c>
      <c r="CS190" s="5">
        <v>191.50180135010228</v>
      </c>
      <c r="CT190" s="52">
        <v>-247.70889195448157</v>
      </c>
      <c r="CU190" s="77">
        <v>527.05283196550056</v>
      </c>
      <c r="CV190" s="65">
        <v>229.80216162012275</v>
      </c>
      <c r="CW190" s="35">
        <v>-297.25067034537778</v>
      </c>
      <c r="CX190" s="73">
        <v>29.426956916666434</v>
      </c>
      <c r="CY190" s="40">
        <v>326.67762726204421</v>
      </c>
      <c r="CZ190" s="52">
        <v>297.25067034537778</v>
      </c>
      <c r="DA190" s="150">
        <v>-2609.0442235651417</v>
      </c>
      <c r="DB190" s="2">
        <v>3</v>
      </c>
      <c r="DC190" s="648">
        <v>314.74</v>
      </c>
      <c r="DD190" s="648"/>
      <c r="DE190" s="649">
        <v>-241.73978888216698</v>
      </c>
      <c r="DG190" s="321">
        <v>-1975.8513665932501</v>
      </c>
      <c r="DH190" s="5">
        <v>6677.7574665860038</v>
      </c>
      <c r="DI190" s="306">
        <v>1.2857933865329358</v>
      </c>
      <c r="DJ190" s="306"/>
      <c r="DK190" s="306"/>
      <c r="DL190" s="28">
        <v>272.07388059036924</v>
      </c>
      <c r="DM190" s="28">
        <v>0</v>
      </c>
      <c r="DN190" s="650">
        <v>272.07</v>
      </c>
      <c r="DO190" s="94">
        <v>3.8805903692491484E-3</v>
      </c>
      <c r="DP190" s="28">
        <v>272.07388059036924</v>
      </c>
      <c r="DQ190" s="318">
        <v>-4.6288561915185369</v>
      </c>
      <c r="DS190" s="8">
        <v>263.52641598275028</v>
      </c>
      <c r="DT190" s="5">
        <v>13.176320799137516</v>
      </c>
      <c r="DW190" s="5">
        <v>280.43597392439744</v>
      </c>
      <c r="DX190" s="5">
        <v>0</v>
      </c>
    </row>
    <row r="191" spans="1:128" x14ac:dyDescent="0.3">
      <c r="A191" s="325">
        <v>150000504</v>
      </c>
      <c r="B191" s="41" t="s">
        <v>639</v>
      </c>
      <c r="C191" s="42" t="s">
        <v>111</v>
      </c>
      <c r="D191" s="42" t="s">
        <v>111</v>
      </c>
      <c r="E191" s="293">
        <v>180.6</v>
      </c>
      <c r="F191" s="305">
        <v>180.6</v>
      </c>
      <c r="G191" s="51"/>
      <c r="H191" s="651">
        <v>0</v>
      </c>
      <c r="I191" s="73">
        <v>0</v>
      </c>
      <c r="J191" s="40">
        <v>0</v>
      </c>
      <c r="K191" s="52">
        <v>0</v>
      </c>
      <c r="L191" s="73">
        <v>0</v>
      </c>
      <c r="M191" s="40">
        <v>0</v>
      </c>
      <c r="N191" s="52">
        <v>0</v>
      </c>
      <c r="O191" s="73">
        <v>0</v>
      </c>
      <c r="P191" s="40">
        <v>0</v>
      </c>
      <c r="Q191" s="52">
        <v>0</v>
      </c>
      <c r="R191" s="73">
        <v>0</v>
      </c>
      <c r="S191" s="40">
        <v>0</v>
      </c>
      <c r="T191" s="52">
        <v>0</v>
      </c>
      <c r="U191" s="73">
        <v>0</v>
      </c>
      <c r="V191" s="40">
        <v>0</v>
      </c>
      <c r="W191" s="52">
        <v>0</v>
      </c>
      <c r="X191" s="73">
        <v>0</v>
      </c>
      <c r="Y191" s="40">
        <v>0</v>
      </c>
      <c r="Z191" s="52">
        <v>0</v>
      </c>
      <c r="AA191" s="73">
        <v>14.448</v>
      </c>
      <c r="AB191" s="40">
        <v>0</v>
      </c>
      <c r="AC191" s="52">
        <v>-14.448</v>
      </c>
      <c r="AD191" s="73">
        <v>108.50958022291994</v>
      </c>
      <c r="AE191" s="40">
        <v>162.77570887660005</v>
      </c>
      <c r="AF191" s="35">
        <v>54.266128653680113</v>
      </c>
      <c r="AG191" s="77">
        <v>122.95758022291994</v>
      </c>
      <c r="AH191" s="53">
        <v>162.77570887660005</v>
      </c>
      <c r="AI191" s="52">
        <v>39.818128653680105</v>
      </c>
      <c r="AJ191" s="73">
        <v>0</v>
      </c>
      <c r="AK191" s="40">
        <v>0</v>
      </c>
      <c r="AL191" s="52">
        <v>0</v>
      </c>
      <c r="AM191" s="73">
        <v>0</v>
      </c>
      <c r="AN191" s="40">
        <v>0</v>
      </c>
      <c r="AO191" s="52">
        <v>0</v>
      </c>
      <c r="AP191" s="73">
        <v>31.517291666666662</v>
      </c>
      <c r="AQ191" s="40">
        <v>0</v>
      </c>
      <c r="AR191" s="52">
        <v>-31.517291666666662</v>
      </c>
      <c r="AS191" s="73">
        <v>220.36085708260285</v>
      </c>
      <c r="AT191" s="40">
        <v>0</v>
      </c>
      <c r="AU191" s="54">
        <v>-220.36085708260285</v>
      </c>
      <c r="AV191" s="73">
        <v>0</v>
      </c>
      <c r="AW191" s="40">
        <v>0</v>
      </c>
      <c r="AX191" s="55">
        <v>0</v>
      </c>
      <c r="AY191" s="73">
        <v>0</v>
      </c>
      <c r="AZ191" s="40">
        <v>0</v>
      </c>
      <c r="BA191" s="35">
        <v>0</v>
      </c>
      <c r="BB191" s="73">
        <v>0</v>
      </c>
      <c r="BC191" s="40">
        <v>0</v>
      </c>
      <c r="BD191" s="55">
        <v>0</v>
      </c>
      <c r="BE191" s="73">
        <v>0</v>
      </c>
      <c r="BF191" s="40">
        <v>0</v>
      </c>
      <c r="BG191" s="38">
        <v>0</v>
      </c>
      <c r="BH191" s="73">
        <v>0</v>
      </c>
      <c r="BI191" s="40">
        <v>0</v>
      </c>
      <c r="BJ191" s="55">
        <v>0</v>
      </c>
      <c r="BK191" s="73">
        <v>0</v>
      </c>
      <c r="BL191" s="40">
        <v>0</v>
      </c>
      <c r="BM191" s="38">
        <v>0</v>
      </c>
      <c r="BN191" s="73">
        <v>3.6120000000000001</v>
      </c>
      <c r="BO191" s="40">
        <v>0</v>
      </c>
      <c r="BP191" s="55">
        <v>-3.6120000000000001</v>
      </c>
      <c r="BQ191" s="77">
        <v>3.6120000000000001</v>
      </c>
      <c r="BR191" s="40">
        <v>0</v>
      </c>
      <c r="BS191" s="55">
        <v>-3.6120000000000001</v>
      </c>
      <c r="BT191" s="73">
        <v>0</v>
      </c>
      <c r="BU191" s="40">
        <v>0</v>
      </c>
      <c r="BV191" s="52">
        <v>0</v>
      </c>
      <c r="BW191" s="73">
        <v>0</v>
      </c>
      <c r="BX191" s="40">
        <v>0.67053556493336297</v>
      </c>
      <c r="BY191" s="52">
        <v>0.67053556493336297</v>
      </c>
      <c r="BZ191" s="73">
        <v>0</v>
      </c>
      <c r="CA191" s="40">
        <v>0</v>
      </c>
      <c r="CB191" s="52">
        <v>0</v>
      </c>
      <c r="CC191" s="73">
        <v>0</v>
      </c>
      <c r="CD191" s="40">
        <v>0</v>
      </c>
      <c r="CE191" s="52">
        <v>0</v>
      </c>
      <c r="CF191" s="73">
        <v>0</v>
      </c>
      <c r="CG191" s="40">
        <v>0</v>
      </c>
      <c r="CH191" s="52">
        <v>0</v>
      </c>
      <c r="CI191" s="73">
        <v>0</v>
      </c>
      <c r="CJ191" s="40">
        <v>0</v>
      </c>
      <c r="CK191" s="52">
        <v>0</v>
      </c>
      <c r="CL191" s="73">
        <v>0</v>
      </c>
      <c r="CM191" s="40">
        <v>0</v>
      </c>
      <c r="CN191" s="52">
        <v>0</v>
      </c>
      <c r="CO191" s="39">
        <v>0</v>
      </c>
      <c r="CP191" s="40">
        <v>0</v>
      </c>
      <c r="CQ191" s="52">
        <v>0</v>
      </c>
      <c r="CR191" s="72">
        <v>378.44772897218951</v>
      </c>
      <c r="CS191" s="5">
        <v>163.44624444153342</v>
      </c>
      <c r="CT191" s="52">
        <v>-215.00148453065609</v>
      </c>
      <c r="CU191" s="77">
        <v>454.1372747666274</v>
      </c>
      <c r="CV191" s="65">
        <v>196.1354933298401</v>
      </c>
      <c r="CW191" s="35">
        <v>-258.00178143678727</v>
      </c>
      <c r="CX191" s="73">
        <v>25.35586037736083</v>
      </c>
      <c r="CY191" s="40">
        <v>283.35764181414811</v>
      </c>
      <c r="CZ191" s="52">
        <v>258.00178143678727</v>
      </c>
      <c r="DA191" s="150">
        <v>-2754.479051552948</v>
      </c>
      <c r="DB191" s="2">
        <v>3</v>
      </c>
      <c r="DC191" s="648">
        <v>238.44</v>
      </c>
      <c r="DD191" s="648"/>
      <c r="DE191" s="649">
        <v>-241.05313514398824</v>
      </c>
      <c r="DG191" s="321">
        <v>-3872.0116419982305</v>
      </c>
      <c r="DH191" s="5">
        <v>5753.9176217278591</v>
      </c>
      <c r="DI191" s="306">
        <v>1.3201664964146147</v>
      </c>
      <c r="DJ191" s="306"/>
      <c r="DK191" s="306"/>
      <c r="DL191" s="28">
        <v>238.42206925247942</v>
      </c>
      <c r="DM191" s="28">
        <v>0</v>
      </c>
      <c r="DN191" s="650">
        <v>238.44</v>
      </c>
      <c r="DO191" s="94">
        <v>-1.7930747520580326E-2</v>
      </c>
      <c r="DP191" s="28">
        <v>238.42206925247942</v>
      </c>
      <c r="DQ191" s="318">
        <v>0</v>
      </c>
      <c r="DS191" s="8">
        <v>227.0686373833137</v>
      </c>
      <c r="DT191" s="5">
        <v>11.353431869165686</v>
      </c>
      <c r="DW191" s="5">
        <v>268.76742849912341</v>
      </c>
      <c r="DX191" s="5">
        <v>0</v>
      </c>
    </row>
    <row r="192" spans="1:128" x14ac:dyDescent="0.3">
      <c r="A192" s="325">
        <v>150000506</v>
      </c>
      <c r="B192" s="41" t="s">
        <v>640</v>
      </c>
      <c r="C192" s="42" t="s">
        <v>112</v>
      </c>
      <c r="D192" s="42" t="s">
        <v>112</v>
      </c>
      <c r="E192" s="293">
        <v>102.4</v>
      </c>
      <c r="F192" s="305">
        <v>102.4</v>
      </c>
      <c r="G192" s="51"/>
      <c r="H192" s="651">
        <v>0</v>
      </c>
      <c r="I192" s="73">
        <v>0</v>
      </c>
      <c r="J192" s="40">
        <v>0</v>
      </c>
      <c r="K192" s="52">
        <v>0</v>
      </c>
      <c r="L192" s="73">
        <v>0</v>
      </c>
      <c r="M192" s="40">
        <v>0</v>
      </c>
      <c r="N192" s="52">
        <v>0</v>
      </c>
      <c r="O192" s="73">
        <v>0</v>
      </c>
      <c r="P192" s="40">
        <v>0</v>
      </c>
      <c r="Q192" s="52">
        <v>0</v>
      </c>
      <c r="R192" s="73">
        <v>0</v>
      </c>
      <c r="S192" s="40">
        <v>0</v>
      </c>
      <c r="T192" s="52">
        <v>0</v>
      </c>
      <c r="U192" s="73">
        <v>0</v>
      </c>
      <c r="V192" s="40">
        <v>0</v>
      </c>
      <c r="W192" s="52">
        <v>0</v>
      </c>
      <c r="X192" s="73">
        <v>0</v>
      </c>
      <c r="Y192" s="40">
        <v>0</v>
      </c>
      <c r="Z192" s="52">
        <v>0</v>
      </c>
      <c r="AA192" s="73">
        <v>8.1920000000000002</v>
      </c>
      <c r="AB192" s="40">
        <v>0</v>
      </c>
      <c r="AC192" s="52">
        <v>-8.1920000000000002</v>
      </c>
      <c r="AD192" s="73">
        <v>61.513970841646362</v>
      </c>
      <c r="AE192" s="40">
        <v>92.29364667200359</v>
      </c>
      <c r="AF192" s="35">
        <v>30.779675830357228</v>
      </c>
      <c r="AG192" s="77">
        <v>69.705970841646362</v>
      </c>
      <c r="AH192" s="53">
        <v>92.29364667200359</v>
      </c>
      <c r="AI192" s="52">
        <v>22.587675830357227</v>
      </c>
      <c r="AJ192" s="73">
        <v>0</v>
      </c>
      <c r="AK192" s="40">
        <v>0</v>
      </c>
      <c r="AL192" s="52">
        <v>0</v>
      </c>
      <c r="AM192" s="73">
        <v>0</v>
      </c>
      <c r="AN192" s="40">
        <v>0</v>
      </c>
      <c r="AO192" s="52">
        <v>0</v>
      </c>
      <c r="AP192" s="73">
        <v>44.124208333333328</v>
      </c>
      <c r="AQ192" s="40">
        <v>0</v>
      </c>
      <c r="AR192" s="52">
        <v>-44.124208333333328</v>
      </c>
      <c r="AS192" s="73">
        <v>153.53662805780098</v>
      </c>
      <c r="AT192" s="40">
        <v>0</v>
      </c>
      <c r="AU192" s="54">
        <v>-153.53662805780098</v>
      </c>
      <c r="AV192" s="73">
        <v>0</v>
      </c>
      <c r="AW192" s="40">
        <v>0</v>
      </c>
      <c r="AX192" s="55">
        <v>0</v>
      </c>
      <c r="AY192" s="73">
        <v>0</v>
      </c>
      <c r="AZ192" s="40">
        <v>0</v>
      </c>
      <c r="BA192" s="35">
        <v>0</v>
      </c>
      <c r="BB192" s="73">
        <v>0</v>
      </c>
      <c r="BC192" s="40">
        <v>0</v>
      </c>
      <c r="BD192" s="55">
        <v>0</v>
      </c>
      <c r="BE192" s="73">
        <v>0</v>
      </c>
      <c r="BF192" s="40">
        <v>0</v>
      </c>
      <c r="BG192" s="38">
        <v>0</v>
      </c>
      <c r="BH192" s="73">
        <v>0</v>
      </c>
      <c r="BI192" s="40">
        <v>0</v>
      </c>
      <c r="BJ192" s="55">
        <v>0</v>
      </c>
      <c r="BK192" s="73">
        <v>0</v>
      </c>
      <c r="BL192" s="40">
        <v>0</v>
      </c>
      <c r="BM192" s="38">
        <v>0</v>
      </c>
      <c r="BN192" s="73">
        <v>2.048</v>
      </c>
      <c r="BO192" s="40">
        <v>0</v>
      </c>
      <c r="BP192" s="55">
        <v>-2.048</v>
      </c>
      <c r="BQ192" s="77">
        <v>2.048</v>
      </c>
      <c r="BR192" s="40">
        <v>0</v>
      </c>
      <c r="BS192" s="55">
        <v>-2.048</v>
      </c>
      <c r="BT192" s="73">
        <v>0</v>
      </c>
      <c r="BU192" s="40">
        <v>0</v>
      </c>
      <c r="BV192" s="52">
        <v>0</v>
      </c>
      <c r="BW192" s="73">
        <v>0</v>
      </c>
      <c r="BX192" s="40">
        <v>0.38019292275291455</v>
      </c>
      <c r="BY192" s="52">
        <v>0.38019292275291455</v>
      </c>
      <c r="BZ192" s="73">
        <v>0</v>
      </c>
      <c r="CA192" s="40">
        <v>0</v>
      </c>
      <c r="CB192" s="52">
        <v>0</v>
      </c>
      <c r="CC192" s="73">
        <v>0</v>
      </c>
      <c r="CD192" s="40">
        <v>0</v>
      </c>
      <c r="CE192" s="52">
        <v>0</v>
      </c>
      <c r="CF192" s="73">
        <v>0</v>
      </c>
      <c r="CG192" s="40">
        <v>0</v>
      </c>
      <c r="CH192" s="52">
        <v>0</v>
      </c>
      <c r="CI192" s="73">
        <v>0</v>
      </c>
      <c r="CJ192" s="40">
        <v>0</v>
      </c>
      <c r="CK192" s="52">
        <v>0</v>
      </c>
      <c r="CL192" s="73">
        <v>0</v>
      </c>
      <c r="CM192" s="40">
        <v>0</v>
      </c>
      <c r="CN192" s="52">
        <v>0</v>
      </c>
      <c r="CO192" s="39">
        <v>0</v>
      </c>
      <c r="CP192" s="40">
        <v>0</v>
      </c>
      <c r="CQ192" s="52">
        <v>0</v>
      </c>
      <c r="CR192" s="72">
        <v>269.41480723278067</v>
      </c>
      <c r="CS192" s="5">
        <v>92.673839594756501</v>
      </c>
      <c r="CT192" s="52">
        <v>-176.74096763802419</v>
      </c>
      <c r="CU192" s="77">
        <v>323.2977686793368</v>
      </c>
      <c r="CV192" s="65">
        <v>111.2086075137078</v>
      </c>
      <c r="CW192" s="35">
        <v>-212.08916116562898</v>
      </c>
      <c r="CX192" s="73">
        <v>18.050694224908316</v>
      </c>
      <c r="CY192" s="40">
        <v>230.13985539053732</v>
      </c>
      <c r="CZ192" s="52">
        <v>212.08916116562901</v>
      </c>
      <c r="DA192" s="150">
        <v>-2023.4670164739468</v>
      </c>
      <c r="DB192" s="2">
        <v>3</v>
      </c>
      <c r="DC192" s="648">
        <v>237.82</v>
      </c>
      <c r="DD192" s="648"/>
      <c r="DE192" s="649">
        <v>-103.52846290424515</v>
      </c>
      <c r="DG192" s="321">
        <v>-2755.9274156818419</v>
      </c>
      <c r="DH192" s="5">
        <v>4096.1815548509421</v>
      </c>
      <c r="DI192" s="306">
        <v>1.6575325054360528</v>
      </c>
      <c r="DJ192" s="306"/>
      <c r="DK192" s="306"/>
      <c r="DL192" s="28">
        <v>169.73132855665182</v>
      </c>
      <c r="DM192" s="28">
        <v>0</v>
      </c>
      <c r="DN192" s="650">
        <v>169.73</v>
      </c>
      <c r="DO192" s="94">
        <v>1.3285566518277392E-3</v>
      </c>
      <c r="DP192" s="28">
        <v>169.73132855665182</v>
      </c>
      <c r="DQ192" s="318">
        <v>0</v>
      </c>
      <c r="DS192" s="8">
        <v>161.6488843396684</v>
      </c>
      <c r="DT192" s="5">
        <v>8.0824442169834203</v>
      </c>
      <c r="DW192" s="5">
        <v>186.70155366936118</v>
      </c>
      <c r="DX192" s="5">
        <v>0</v>
      </c>
    </row>
    <row r="193" spans="1:128" x14ac:dyDescent="0.3">
      <c r="A193" s="325">
        <v>150000505</v>
      </c>
      <c r="B193" s="41" t="s">
        <v>641</v>
      </c>
      <c r="C193" s="42" t="s">
        <v>113</v>
      </c>
      <c r="D193" s="42" t="s">
        <v>113</v>
      </c>
      <c r="E193" s="293">
        <v>180.22</v>
      </c>
      <c r="F193" s="305">
        <v>180.22</v>
      </c>
      <c r="G193" s="51"/>
      <c r="H193" s="651">
        <v>0</v>
      </c>
      <c r="I193" s="73">
        <v>0</v>
      </c>
      <c r="J193" s="40">
        <v>0</v>
      </c>
      <c r="K193" s="52">
        <v>0</v>
      </c>
      <c r="L193" s="73">
        <v>0</v>
      </c>
      <c r="M193" s="40">
        <v>0</v>
      </c>
      <c r="N193" s="52">
        <v>0</v>
      </c>
      <c r="O193" s="73">
        <v>0</v>
      </c>
      <c r="P193" s="40">
        <v>0</v>
      </c>
      <c r="Q193" s="52">
        <v>0</v>
      </c>
      <c r="R193" s="73">
        <v>0</v>
      </c>
      <c r="S193" s="40">
        <v>0</v>
      </c>
      <c r="T193" s="52">
        <v>0</v>
      </c>
      <c r="U193" s="73">
        <v>0</v>
      </c>
      <c r="V193" s="40">
        <v>0</v>
      </c>
      <c r="W193" s="52">
        <v>0</v>
      </c>
      <c r="X193" s="73">
        <v>0</v>
      </c>
      <c r="Y193" s="40">
        <v>0</v>
      </c>
      <c r="Z193" s="52">
        <v>0</v>
      </c>
      <c r="AA193" s="73">
        <v>14.4176</v>
      </c>
      <c r="AB193" s="40">
        <v>0</v>
      </c>
      <c r="AC193" s="52">
        <v>-14.4176</v>
      </c>
      <c r="AD193" s="73">
        <v>108.2835322417296</v>
      </c>
      <c r="AE193" s="40">
        <v>162.43321292215319</v>
      </c>
      <c r="AF193" s="35">
        <v>54.149680680423586</v>
      </c>
      <c r="AG193" s="77">
        <v>122.7011322417296</v>
      </c>
      <c r="AH193" s="53">
        <v>162.43321292215319</v>
      </c>
      <c r="AI193" s="52">
        <v>39.732080680423593</v>
      </c>
      <c r="AJ193" s="73">
        <v>0</v>
      </c>
      <c r="AK193" s="40">
        <v>0</v>
      </c>
      <c r="AL193" s="52">
        <v>0</v>
      </c>
      <c r="AM193" s="73">
        <v>0</v>
      </c>
      <c r="AN193" s="40">
        <v>0</v>
      </c>
      <c r="AO193" s="52">
        <v>0</v>
      </c>
      <c r="AP193" s="73">
        <v>56.731124999999992</v>
      </c>
      <c r="AQ193" s="40">
        <v>0</v>
      </c>
      <c r="AR193" s="52">
        <v>-56.731124999999992</v>
      </c>
      <c r="AS193" s="73">
        <v>225.81514338649481</v>
      </c>
      <c r="AT193" s="40">
        <v>0</v>
      </c>
      <c r="AU193" s="54">
        <v>-225.81514338649481</v>
      </c>
      <c r="AV193" s="73">
        <v>0</v>
      </c>
      <c r="AW193" s="40">
        <v>0</v>
      </c>
      <c r="AX193" s="55">
        <v>0</v>
      </c>
      <c r="AY193" s="73">
        <v>0</v>
      </c>
      <c r="AZ193" s="40">
        <v>0</v>
      </c>
      <c r="BA193" s="35">
        <v>0</v>
      </c>
      <c r="BB193" s="73">
        <v>0</v>
      </c>
      <c r="BC193" s="40">
        <v>0</v>
      </c>
      <c r="BD193" s="55">
        <v>0</v>
      </c>
      <c r="BE193" s="73">
        <v>0</v>
      </c>
      <c r="BF193" s="40">
        <v>0</v>
      </c>
      <c r="BG193" s="38">
        <v>0</v>
      </c>
      <c r="BH193" s="73">
        <v>0</v>
      </c>
      <c r="BI193" s="40">
        <v>0</v>
      </c>
      <c r="BJ193" s="55">
        <v>0</v>
      </c>
      <c r="BK193" s="73">
        <v>0</v>
      </c>
      <c r="BL193" s="40">
        <v>0</v>
      </c>
      <c r="BM193" s="38">
        <v>0</v>
      </c>
      <c r="BN193" s="73">
        <v>3.6044</v>
      </c>
      <c r="BO193" s="40">
        <v>0</v>
      </c>
      <c r="BP193" s="55">
        <v>-3.6044</v>
      </c>
      <c r="BQ193" s="77">
        <v>3.6044</v>
      </c>
      <c r="BR193" s="40">
        <v>0</v>
      </c>
      <c r="BS193" s="55">
        <v>-3.6044</v>
      </c>
      <c r="BT193" s="73">
        <v>0</v>
      </c>
      <c r="BU193" s="40">
        <v>0</v>
      </c>
      <c r="BV193" s="52">
        <v>0</v>
      </c>
      <c r="BW193" s="73">
        <v>0</v>
      </c>
      <c r="BX193" s="40">
        <v>0.66912469275908459</v>
      </c>
      <c r="BY193" s="52">
        <v>0.66912469275908459</v>
      </c>
      <c r="BZ193" s="73">
        <v>0</v>
      </c>
      <c r="CA193" s="40">
        <v>0</v>
      </c>
      <c r="CB193" s="52">
        <v>0</v>
      </c>
      <c r="CC193" s="73">
        <v>0</v>
      </c>
      <c r="CD193" s="40">
        <v>0</v>
      </c>
      <c r="CE193" s="52">
        <v>0</v>
      </c>
      <c r="CF193" s="73">
        <v>0</v>
      </c>
      <c r="CG193" s="40">
        <v>0</v>
      </c>
      <c r="CH193" s="52">
        <v>0</v>
      </c>
      <c r="CI193" s="73">
        <v>0</v>
      </c>
      <c r="CJ193" s="40">
        <v>0</v>
      </c>
      <c r="CK193" s="52">
        <v>0</v>
      </c>
      <c r="CL193" s="73">
        <v>0</v>
      </c>
      <c r="CM193" s="40">
        <v>0</v>
      </c>
      <c r="CN193" s="52">
        <v>0</v>
      </c>
      <c r="CO193" s="39">
        <v>0</v>
      </c>
      <c r="CP193" s="40">
        <v>0</v>
      </c>
      <c r="CQ193" s="52">
        <v>0</v>
      </c>
      <c r="CR193" s="72">
        <v>408.8518006282244</v>
      </c>
      <c r="CS193" s="5">
        <v>163.10233761491227</v>
      </c>
      <c r="CT193" s="52">
        <v>-245.74946301331212</v>
      </c>
      <c r="CU193" s="77">
        <v>490.62216075386925</v>
      </c>
      <c r="CV193" s="65">
        <v>195.72280513789471</v>
      </c>
      <c r="CW193" s="35">
        <v>-294.89935561597451</v>
      </c>
      <c r="CX193" s="73">
        <v>27.392922134627568</v>
      </c>
      <c r="CY193" s="40">
        <v>322.29227775060212</v>
      </c>
      <c r="CZ193" s="52">
        <v>294.89935561597457</v>
      </c>
      <c r="DA193" s="150">
        <v>-1728.9888064511279</v>
      </c>
      <c r="DB193" s="2">
        <v>3</v>
      </c>
      <c r="DC193" s="648">
        <v>257.57</v>
      </c>
      <c r="DD193" s="648"/>
      <c r="DE193" s="649">
        <v>-260.44508288849687</v>
      </c>
      <c r="DG193" s="321">
        <v>-4452.3236299815062</v>
      </c>
      <c r="DH193" s="5">
        <v>6216.1809946619624</v>
      </c>
      <c r="DI193" s="306">
        <v>1.4292344600809086</v>
      </c>
      <c r="DJ193" s="306"/>
      <c r="DK193" s="306"/>
      <c r="DL193" s="28">
        <v>257.57663439578135</v>
      </c>
      <c r="DM193" s="28">
        <v>0</v>
      </c>
      <c r="DN193" s="650">
        <v>257.57</v>
      </c>
      <c r="DO193" s="94">
        <v>6.6343957813614907E-3</v>
      </c>
      <c r="DP193" s="28">
        <v>257.57663439578135</v>
      </c>
      <c r="DQ193" s="318">
        <v>0</v>
      </c>
      <c r="DS193" s="8">
        <v>245.31108037693463</v>
      </c>
      <c r="DT193" s="5">
        <v>12.265554018846732</v>
      </c>
      <c r="DW193" s="5">
        <v>275.30345206379377</v>
      </c>
      <c r="DX193" s="5">
        <v>0</v>
      </c>
    </row>
    <row r="194" spans="1:128" x14ac:dyDescent="0.3">
      <c r="A194" s="325">
        <v>150000507</v>
      </c>
      <c r="B194" s="41" t="s">
        <v>642</v>
      </c>
      <c r="C194" s="42" t="s">
        <v>114</v>
      </c>
      <c r="D194" s="42" t="s">
        <v>114</v>
      </c>
      <c r="E194" s="293">
        <v>329.7</v>
      </c>
      <c r="F194" s="305">
        <v>278.3</v>
      </c>
      <c r="G194" s="51"/>
      <c r="H194" s="651">
        <v>51.4</v>
      </c>
      <c r="I194" s="73">
        <v>0</v>
      </c>
      <c r="J194" s="40">
        <v>0</v>
      </c>
      <c r="K194" s="52">
        <v>0</v>
      </c>
      <c r="L194" s="73">
        <v>0</v>
      </c>
      <c r="M194" s="40">
        <v>0</v>
      </c>
      <c r="N194" s="52">
        <v>0</v>
      </c>
      <c r="O194" s="73">
        <v>0</v>
      </c>
      <c r="P194" s="40">
        <v>0</v>
      </c>
      <c r="Q194" s="52">
        <v>0</v>
      </c>
      <c r="R194" s="73">
        <v>0</v>
      </c>
      <c r="S194" s="40">
        <v>0</v>
      </c>
      <c r="T194" s="52">
        <v>0</v>
      </c>
      <c r="U194" s="73">
        <v>0</v>
      </c>
      <c r="V194" s="40">
        <v>0</v>
      </c>
      <c r="W194" s="52">
        <v>0</v>
      </c>
      <c r="X194" s="73">
        <v>0</v>
      </c>
      <c r="Y194" s="40">
        <v>0</v>
      </c>
      <c r="Z194" s="52">
        <v>0</v>
      </c>
      <c r="AA194" s="73">
        <v>25.647999999999996</v>
      </c>
      <c r="AB194" s="40">
        <v>0</v>
      </c>
      <c r="AC194" s="52">
        <v>-25.647999999999996</v>
      </c>
      <c r="AD194" s="73">
        <v>192.61567844855162</v>
      </c>
      <c r="AE194" s="40">
        <v>297.1603057398396</v>
      </c>
      <c r="AF194" s="35">
        <v>104.54462729128798</v>
      </c>
      <c r="AG194" s="77">
        <v>218.26367844855162</v>
      </c>
      <c r="AH194" s="53">
        <v>297.1603057398396</v>
      </c>
      <c r="AI194" s="52">
        <v>78.896627291287984</v>
      </c>
      <c r="AJ194" s="73">
        <v>0</v>
      </c>
      <c r="AK194" s="40">
        <v>0</v>
      </c>
      <c r="AL194" s="52">
        <v>0</v>
      </c>
      <c r="AM194" s="73">
        <v>0</v>
      </c>
      <c r="AN194" s="40">
        <v>0</v>
      </c>
      <c r="AO194" s="52">
        <v>0</v>
      </c>
      <c r="AP194" s="73">
        <v>50.427666666666667</v>
      </c>
      <c r="AQ194" s="40">
        <v>0</v>
      </c>
      <c r="AR194" s="52">
        <v>-50.427666666666667</v>
      </c>
      <c r="AS194" s="73">
        <v>301.9493506999753</v>
      </c>
      <c r="AT194" s="40">
        <v>0</v>
      </c>
      <c r="AU194" s="54">
        <v>-301.9493506999753</v>
      </c>
      <c r="AV194" s="73">
        <v>0</v>
      </c>
      <c r="AW194" s="40">
        <v>0</v>
      </c>
      <c r="AX194" s="55">
        <v>0</v>
      </c>
      <c r="AY194" s="73">
        <v>0</v>
      </c>
      <c r="AZ194" s="40">
        <v>0</v>
      </c>
      <c r="BA194" s="35">
        <v>0</v>
      </c>
      <c r="BB194" s="73">
        <v>0</v>
      </c>
      <c r="BC194" s="40">
        <v>0</v>
      </c>
      <c r="BD194" s="55">
        <v>0</v>
      </c>
      <c r="BE194" s="73">
        <v>0</v>
      </c>
      <c r="BF194" s="40">
        <v>0</v>
      </c>
      <c r="BG194" s="38">
        <v>0</v>
      </c>
      <c r="BH194" s="73">
        <v>0</v>
      </c>
      <c r="BI194" s="40">
        <v>0</v>
      </c>
      <c r="BJ194" s="55">
        <v>0</v>
      </c>
      <c r="BK194" s="73">
        <v>0</v>
      </c>
      <c r="BL194" s="40">
        <v>0</v>
      </c>
      <c r="BM194" s="38">
        <v>0</v>
      </c>
      <c r="BN194" s="73">
        <v>6.411999999999999</v>
      </c>
      <c r="BO194" s="40">
        <v>0</v>
      </c>
      <c r="BP194" s="55">
        <v>-6.411999999999999</v>
      </c>
      <c r="BQ194" s="77">
        <v>6.411999999999999</v>
      </c>
      <c r="BR194" s="40">
        <v>0</v>
      </c>
      <c r="BS194" s="55">
        <v>-6.411999999999999</v>
      </c>
      <c r="BT194" s="73">
        <v>0</v>
      </c>
      <c r="BU194" s="40">
        <v>0</v>
      </c>
      <c r="BV194" s="52">
        <v>0</v>
      </c>
      <c r="BW194" s="73">
        <v>0</v>
      </c>
      <c r="BX194" s="40">
        <v>1.2241172522620696</v>
      </c>
      <c r="BY194" s="52">
        <v>1.2241172522620696</v>
      </c>
      <c r="BZ194" s="73">
        <v>0</v>
      </c>
      <c r="CA194" s="40">
        <v>0</v>
      </c>
      <c r="CB194" s="52">
        <v>0</v>
      </c>
      <c r="CC194" s="73">
        <v>0</v>
      </c>
      <c r="CD194" s="40">
        <v>0</v>
      </c>
      <c r="CE194" s="52">
        <v>0</v>
      </c>
      <c r="CF194" s="73">
        <v>0</v>
      </c>
      <c r="CG194" s="40">
        <v>0</v>
      </c>
      <c r="CH194" s="52">
        <v>0</v>
      </c>
      <c r="CI194" s="73">
        <v>0</v>
      </c>
      <c r="CJ194" s="40">
        <v>0</v>
      </c>
      <c r="CK194" s="52">
        <v>0</v>
      </c>
      <c r="CL194" s="73">
        <v>0</v>
      </c>
      <c r="CM194" s="40">
        <v>0</v>
      </c>
      <c r="CN194" s="52">
        <v>0</v>
      </c>
      <c r="CO194" s="39">
        <v>0</v>
      </c>
      <c r="CP194" s="40">
        <v>0</v>
      </c>
      <c r="CQ194" s="52">
        <v>0</v>
      </c>
      <c r="CR194" s="72">
        <v>577.0526958151936</v>
      </c>
      <c r="CS194" s="5">
        <v>298.38442299210169</v>
      </c>
      <c r="CT194" s="52">
        <v>-278.66827282309191</v>
      </c>
      <c r="CU194" s="77">
        <v>692.46323497823232</v>
      </c>
      <c r="CV194" s="65">
        <v>358.06130759052201</v>
      </c>
      <c r="CW194" s="35">
        <v>-334.40192738771032</v>
      </c>
      <c r="CX194" s="73">
        <v>38.662321016451223</v>
      </c>
      <c r="CY194" s="40">
        <v>373.0642484041615</v>
      </c>
      <c r="CZ194" s="52">
        <v>334.40192738771026</v>
      </c>
      <c r="DA194" s="150">
        <v>-3533.6111689848699</v>
      </c>
      <c r="DB194" s="2">
        <v>3</v>
      </c>
      <c r="DC194" s="648">
        <v>780.9</v>
      </c>
      <c r="DD194" s="648">
        <v>-63.919999999999995</v>
      </c>
      <c r="DE194" s="649">
        <v>-14.145555994683491</v>
      </c>
      <c r="DG194" s="321">
        <v>-6072.7130631141845</v>
      </c>
      <c r="DH194" s="5">
        <v>8773.5066719362021</v>
      </c>
      <c r="DI194" s="306">
        <v>1.1339463454883718</v>
      </c>
      <c r="DJ194" s="306"/>
      <c r="DK194" s="306">
        <v>1.1339463454883718</v>
      </c>
      <c r="DL194" s="28">
        <v>315.57726794941391</v>
      </c>
      <c r="DM194" s="28">
        <v>58.284842158102308</v>
      </c>
      <c r="DN194" s="650">
        <v>315.58999999999997</v>
      </c>
      <c r="DO194" s="94">
        <v>-1.2732050586066634E-2</v>
      </c>
      <c r="DP194" s="28">
        <v>373.86211010751623</v>
      </c>
      <c r="DQ194" s="318">
        <v>10.318911743944284</v>
      </c>
      <c r="DS194" s="8">
        <v>346.23161748911616</v>
      </c>
      <c r="DT194" s="5">
        <v>17.311580874455807</v>
      </c>
      <c r="DW194" s="5">
        <v>370.0336208399703</v>
      </c>
      <c r="DX194" s="5">
        <v>0</v>
      </c>
    </row>
    <row r="195" spans="1:128" x14ac:dyDescent="0.3">
      <c r="A195" s="325">
        <v>150000508</v>
      </c>
      <c r="B195" s="41" t="s">
        <v>643</v>
      </c>
      <c r="C195" s="42" t="s">
        <v>115</v>
      </c>
      <c r="D195" s="42" t="s">
        <v>115</v>
      </c>
      <c r="E195" s="293">
        <v>151.80000000000001</v>
      </c>
      <c r="F195" s="305">
        <v>151.80000000000001</v>
      </c>
      <c r="G195" s="51"/>
      <c r="H195" s="651">
        <v>0</v>
      </c>
      <c r="I195" s="73">
        <v>0</v>
      </c>
      <c r="J195" s="40">
        <v>0</v>
      </c>
      <c r="K195" s="52">
        <v>0</v>
      </c>
      <c r="L195" s="73">
        <v>0</v>
      </c>
      <c r="M195" s="40">
        <v>0</v>
      </c>
      <c r="N195" s="52">
        <v>0</v>
      </c>
      <c r="O195" s="73">
        <v>0</v>
      </c>
      <c r="P195" s="40">
        <v>0</v>
      </c>
      <c r="Q195" s="52">
        <v>0</v>
      </c>
      <c r="R195" s="73">
        <v>0</v>
      </c>
      <c r="S195" s="40">
        <v>0</v>
      </c>
      <c r="T195" s="52">
        <v>0</v>
      </c>
      <c r="U195" s="73">
        <v>0</v>
      </c>
      <c r="V195" s="40">
        <v>0</v>
      </c>
      <c r="W195" s="52">
        <v>0</v>
      </c>
      <c r="X195" s="73">
        <v>0</v>
      </c>
      <c r="Y195" s="40">
        <v>0</v>
      </c>
      <c r="Z195" s="52">
        <v>0</v>
      </c>
      <c r="AA195" s="73">
        <v>12.144000000000002</v>
      </c>
      <c r="AB195" s="40">
        <v>0</v>
      </c>
      <c r="AC195" s="52">
        <v>-12.144000000000002</v>
      </c>
      <c r="AD195" s="73">
        <v>91.196857006342839</v>
      </c>
      <c r="AE195" s="40">
        <v>136.81812075009907</v>
      </c>
      <c r="AF195" s="35">
        <v>45.621263743756231</v>
      </c>
      <c r="AG195" s="77">
        <v>103.34085700634284</v>
      </c>
      <c r="AH195" s="53">
        <v>136.81812075009907</v>
      </c>
      <c r="AI195" s="52">
        <v>33.477263743756225</v>
      </c>
      <c r="AJ195" s="73">
        <v>0</v>
      </c>
      <c r="AK195" s="40">
        <v>0</v>
      </c>
      <c r="AL195" s="52">
        <v>0</v>
      </c>
      <c r="AM195" s="73">
        <v>0</v>
      </c>
      <c r="AN195" s="40">
        <v>0</v>
      </c>
      <c r="AO195" s="52">
        <v>0</v>
      </c>
      <c r="AP195" s="73">
        <v>25.213833333333334</v>
      </c>
      <c r="AQ195" s="40">
        <v>0</v>
      </c>
      <c r="AR195" s="52">
        <v>-25.213833333333334</v>
      </c>
      <c r="AS195" s="73">
        <v>122.09926896509211</v>
      </c>
      <c r="AT195" s="40">
        <v>0</v>
      </c>
      <c r="AU195" s="54">
        <v>-122.09926896509211</v>
      </c>
      <c r="AV195" s="73">
        <v>0</v>
      </c>
      <c r="AW195" s="40">
        <v>0</v>
      </c>
      <c r="AX195" s="55">
        <v>0</v>
      </c>
      <c r="AY195" s="73">
        <v>0</v>
      </c>
      <c r="AZ195" s="40">
        <v>0</v>
      </c>
      <c r="BA195" s="35">
        <v>0</v>
      </c>
      <c r="BB195" s="73">
        <v>0</v>
      </c>
      <c r="BC195" s="40">
        <v>0</v>
      </c>
      <c r="BD195" s="55">
        <v>0</v>
      </c>
      <c r="BE195" s="73">
        <v>0</v>
      </c>
      <c r="BF195" s="40">
        <v>0</v>
      </c>
      <c r="BG195" s="38">
        <v>0</v>
      </c>
      <c r="BH195" s="73">
        <v>0</v>
      </c>
      <c r="BI195" s="40">
        <v>0</v>
      </c>
      <c r="BJ195" s="55">
        <v>0</v>
      </c>
      <c r="BK195" s="73">
        <v>0</v>
      </c>
      <c r="BL195" s="40">
        <v>0</v>
      </c>
      <c r="BM195" s="38">
        <v>0</v>
      </c>
      <c r="BN195" s="73">
        <v>3.0360000000000005</v>
      </c>
      <c r="BO195" s="40">
        <v>0</v>
      </c>
      <c r="BP195" s="55">
        <v>-3.0360000000000005</v>
      </c>
      <c r="BQ195" s="77">
        <v>3.0360000000000005</v>
      </c>
      <c r="BR195" s="40">
        <v>0</v>
      </c>
      <c r="BS195" s="55">
        <v>-3.0360000000000005</v>
      </c>
      <c r="BT195" s="73">
        <v>0</v>
      </c>
      <c r="BU195" s="40">
        <v>0</v>
      </c>
      <c r="BV195" s="52">
        <v>0</v>
      </c>
      <c r="BW195" s="73">
        <v>0</v>
      </c>
      <c r="BX195" s="40">
        <v>0.56360630540910583</v>
      </c>
      <c r="BY195" s="52">
        <v>0.56360630540910583</v>
      </c>
      <c r="BZ195" s="73">
        <v>0</v>
      </c>
      <c r="CA195" s="40">
        <v>0</v>
      </c>
      <c r="CB195" s="52">
        <v>0</v>
      </c>
      <c r="CC195" s="73">
        <v>0</v>
      </c>
      <c r="CD195" s="40">
        <v>0</v>
      </c>
      <c r="CE195" s="52">
        <v>0</v>
      </c>
      <c r="CF195" s="73">
        <v>0</v>
      </c>
      <c r="CG195" s="40">
        <v>0</v>
      </c>
      <c r="CH195" s="52">
        <v>0</v>
      </c>
      <c r="CI195" s="73">
        <v>0</v>
      </c>
      <c r="CJ195" s="40">
        <v>0</v>
      </c>
      <c r="CK195" s="52">
        <v>0</v>
      </c>
      <c r="CL195" s="73">
        <v>0</v>
      </c>
      <c r="CM195" s="40">
        <v>0</v>
      </c>
      <c r="CN195" s="52">
        <v>0</v>
      </c>
      <c r="CO195" s="39">
        <v>0</v>
      </c>
      <c r="CP195" s="40">
        <v>0</v>
      </c>
      <c r="CQ195" s="52">
        <v>0</v>
      </c>
      <c r="CR195" s="72">
        <v>253.68995930476828</v>
      </c>
      <c r="CS195" s="5">
        <v>137.38172705550818</v>
      </c>
      <c r="CT195" s="52">
        <v>-116.3082322492601</v>
      </c>
      <c r="CU195" s="77">
        <v>304.42795116572194</v>
      </c>
      <c r="CV195" s="65">
        <v>164.8580724666098</v>
      </c>
      <c r="CW195" s="35">
        <v>-139.56987869911214</v>
      </c>
      <c r="CX195" s="73">
        <v>16.997135125476614</v>
      </c>
      <c r="CY195" s="40">
        <v>156.56701382458877</v>
      </c>
      <c r="CZ195" s="52">
        <v>139.56987869911217</v>
      </c>
      <c r="DA195" s="150">
        <v>-1403.7155190436881</v>
      </c>
      <c r="DB195" s="2">
        <v>3</v>
      </c>
      <c r="DC195" s="648">
        <v>159.83000000000001</v>
      </c>
      <c r="DD195" s="648"/>
      <c r="DE195" s="649">
        <v>-161.59508629119856</v>
      </c>
      <c r="DG195" s="321">
        <v>-2410.8731290972491</v>
      </c>
      <c r="DH195" s="5">
        <v>3857.1010354943828</v>
      </c>
      <c r="DI195" s="306">
        <v>1.0528634674703821</v>
      </c>
      <c r="DJ195" s="306"/>
      <c r="DK195" s="306"/>
      <c r="DL195" s="28">
        <v>159.824674362004</v>
      </c>
      <c r="DM195" s="28">
        <v>0</v>
      </c>
      <c r="DN195" s="650">
        <v>159.83000000000001</v>
      </c>
      <c r="DO195" s="94">
        <v>-5.3256379960089362E-3</v>
      </c>
      <c r="DP195" s="28">
        <v>159.824674362004</v>
      </c>
      <c r="DQ195" s="318">
        <v>0</v>
      </c>
      <c r="DS195" s="8">
        <v>152.21397558286097</v>
      </c>
      <c r="DT195" s="5">
        <v>7.610698779143048</v>
      </c>
      <c r="DW195" s="5">
        <v>150.16232275811052</v>
      </c>
      <c r="DX195" s="5">
        <v>0</v>
      </c>
    </row>
    <row r="196" spans="1:128" x14ac:dyDescent="0.3">
      <c r="A196" s="325">
        <v>150000501</v>
      </c>
      <c r="B196" s="41" t="s">
        <v>644</v>
      </c>
      <c r="C196" s="42" t="s">
        <v>264</v>
      </c>
      <c r="D196" s="42" t="s">
        <v>264</v>
      </c>
      <c r="E196" s="293">
        <v>4529.63</v>
      </c>
      <c r="F196" s="305">
        <v>4489.03</v>
      </c>
      <c r="G196" s="51"/>
      <c r="H196" s="651">
        <v>40.6</v>
      </c>
      <c r="I196" s="73">
        <v>2396.4228092587687</v>
      </c>
      <c r="J196" s="40">
        <v>2659.152482399516</v>
      </c>
      <c r="K196" s="52">
        <v>262.72967314074731</v>
      </c>
      <c r="L196" s="73">
        <v>536.11835909652677</v>
      </c>
      <c r="M196" s="40">
        <v>604.00166574448269</v>
      </c>
      <c r="N196" s="52">
        <v>67.883306647955919</v>
      </c>
      <c r="O196" s="73">
        <v>796.81205843122655</v>
      </c>
      <c r="P196" s="40">
        <v>797.18333333333339</v>
      </c>
      <c r="Q196" s="52">
        <v>0.37127490210684755</v>
      </c>
      <c r="R196" s="73">
        <v>0</v>
      </c>
      <c r="S196" s="40">
        <v>0</v>
      </c>
      <c r="T196" s="52">
        <v>0</v>
      </c>
      <c r="U196" s="73">
        <v>0</v>
      </c>
      <c r="V196" s="40">
        <v>0</v>
      </c>
      <c r="W196" s="52">
        <v>0</v>
      </c>
      <c r="X196" s="73">
        <v>1465.6912643341191</v>
      </c>
      <c r="Y196" s="40">
        <v>1597.5508527318225</v>
      </c>
      <c r="Z196" s="52">
        <v>131.85958839770342</v>
      </c>
      <c r="AA196" s="73">
        <v>363.38959999999997</v>
      </c>
      <c r="AB196" s="40">
        <v>0</v>
      </c>
      <c r="AC196" s="52">
        <v>-363.38959999999997</v>
      </c>
      <c r="AD196" s="73">
        <v>3270.2826002521069</v>
      </c>
      <c r="AE196" s="40">
        <v>4082.5788161612072</v>
      </c>
      <c r="AF196" s="35">
        <v>812.29621590910028</v>
      </c>
      <c r="AG196" s="77">
        <v>8828.7166913727488</v>
      </c>
      <c r="AH196" s="53">
        <v>9740.4671503703612</v>
      </c>
      <c r="AI196" s="52">
        <v>911.75045899761244</v>
      </c>
      <c r="AJ196" s="73">
        <v>0</v>
      </c>
      <c r="AK196" s="40">
        <v>0</v>
      </c>
      <c r="AL196" s="52">
        <v>0</v>
      </c>
      <c r="AM196" s="73">
        <v>0</v>
      </c>
      <c r="AN196" s="40">
        <v>0</v>
      </c>
      <c r="AO196" s="52">
        <v>0</v>
      </c>
      <c r="AP196" s="73">
        <v>1872.1271249999998</v>
      </c>
      <c r="AQ196" s="40">
        <v>0</v>
      </c>
      <c r="AR196" s="52">
        <v>-1872.1271249999998</v>
      </c>
      <c r="AS196" s="73">
        <v>4421.472740224166</v>
      </c>
      <c r="AT196" s="40">
        <v>382</v>
      </c>
      <c r="AU196" s="54">
        <v>-4039.472740224166</v>
      </c>
      <c r="AV196" s="73">
        <v>1078.7830404353633</v>
      </c>
      <c r="AW196" s="40">
        <v>0</v>
      </c>
      <c r="AX196" s="55">
        <v>-1078.7830404353633</v>
      </c>
      <c r="AY196" s="73">
        <v>1483.8171617159803</v>
      </c>
      <c r="AZ196" s="40">
        <v>0</v>
      </c>
      <c r="BA196" s="35">
        <v>-1483.8171617159803</v>
      </c>
      <c r="BB196" s="73">
        <v>316.3381781307566</v>
      </c>
      <c r="BC196" s="40">
        <v>0</v>
      </c>
      <c r="BD196" s="55">
        <v>-316.3381781307566</v>
      </c>
      <c r="BE196" s="73">
        <v>0</v>
      </c>
      <c r="BF196" s="40">
        <v>0</v>
      </c>
      <c r="BG196" s="38">
        <v>0</v>
      </c>
      <c r="BH196" s="73">
        <v>0</v>
      </c>
      <c r="BI196" s="40">
        <v>0</v>
      </c>
      <c r="BJ196" s="55">
        <v>0</v>
      </c>
      <c r="BK196" s="73">
        <v>1155.2035409240466</v>
      </c>
      <c r="BL196" s="40">
        <v>0</v>
      </c>
      <c r="BM196" s="38">
        <v>-1155.2035409240466</v>
      </c>
      <c r="BN196" s="73">
        <v>90.847399999999993</v>
      </c>
      <c r="BO196" s="40">
        <v>0</v>
      </c>
      <c r="BP196" s="55">
        <v>-90.847399999999993</v>
      </c>
      <c r="BQ196" s="77">
        <v>4124.989321206147</v>
      </c>
      <c r="BR196" s="40">
        <v>0</v>
      </c>
      <c r="BS196" s="55">
        <v>-4124.989321206147</v>
      </c>
      <c r="BT196" s="73">
        <v>4900.07711422388</v>
      </c>
      <c r="BU196" s="40">
        <v>1181.3191710115964</v>
      </c>
      <c r="BV196" s="52">
        <v>-3718.7579432122839</v>
      </c>
      <c r="BW196" s="73">
        <v>2662.9138868926798</v>
      </c>
      <c r="BX196" s="40">
        <v>3864.0974963178437</v>
      </c>
      <c r="BY196" s="52">
        <v>1201.1836094251639</v>
      </c>
      <c r="BZ196" s="73">
        <v>3741.0187685043002</v>
      </c>
      <c r="CA196" s="40">
        <v>8122.0624494869335</v>
      </c>
      <c r="CB196" s="52">
        <v>4381.0436809826333</v>
      </c>
      <c r="CC196" s="73">
        <v>344.63099456499998</v>
      </c>
      <c r="CD196" s="40">
        <v>434.84347950411234</v>
      </c>
      <c r="CE196" s="52">
        <v>90.212484939112358</v>
      </c>
      <c r="CF196" s="73">
        <v>40.946256779999999</v>
      </c>
      <c r="CG196" s="40">
        <v>0</v>
      </c>
      <c r="CH196" s="52">
        <v>-40.946256779999999</v>
      </c>
      <c r="CI196" s="73">
        <v>1576.02</v>
      </c>
      <c r="CJ196" s="40">
        <v>1560.8798694229358</v>
      </c>
      <c r="CK196" s="52">
        <v>-15.140130577064156</v>
      </c>
      <c r="CL196" s="73">
        <v>0</v>
      </c>
      <c r="CM196" s="40">
        <v>0</v>
      </c>
      <c r="CN196" s="52">
        <v>0</v>
      </c>
      <c r="CO196" s="39">
        <v>1576.02</v>
      </c>
      <c r="CP196" s="40">
        <v>1560.8798694229358</v>
      </c>
      <c r="CQ196" s="52">
        <v>-15.140130577064156</v>
      </c>
      <c r="CR196" s="72">
        <v>32512.912898768922</v>
      </c>
      <c r="CS196" s="5">
        <v>25285.669616113788</v>
      </c>
      <c r="CT196" s="52">
        <v>-7227.243282655134</v>
      </c>
      <c r="CU196" s="77">
        <v>39015.495478522702</v>
      </c>
      <c r="CV196" s="65">
        <v>30342.803539336543</v>
      </c>
      <c r="CW196" s="35">
        <v>-8672.6919391861593</v>
      </c>
      <c r="CX196" s="73">
        <v>2178.3533545343585</v>
      </c>
      <c r="CY196" s="40">
        <v>10851.045293720519</v>
      </c>
      <c r="CZ196" s="52">
        <v>8672.6919391861611</v>
      </c>
      <c r="DA196" s="150">
        <v>45126.687168387398</v>
      </c>
      <c r="DB196" s="2">
        <v>2</v>
      </c>
      <c r="DC196" s="648">
        <v>44269.71</v>
      </c>
      <c r="DD196" s="648">
        <v>1431.57</v>
      </c>
      <c r="DE196" s="649">
        <v>4507.4311669429371</v>
      </c>
      <c r="DG196" s="321">
        <v>46361.075761034939</v>
      </c>
      <c r="DH196" s="5">
        <v>494326.18599668471</v>
      </c>
      <c r="DI196" s="306">
        <v>4.5137932222827937</v>
      </c>
      <c r="DJ196" s="306"/>
      <c r="DK196" s="306">
        <v>4.1400192801295423</v>
      </c>
      <c r="DL196" s="28">
        <v>20262.55318862413</v>
      </c>
      <c r="DM196" s="28">
        <v>168.08478277325943</v>
      </c>
      <c r="DN196" s="650">
        <v>20262.580000000002</v>
      </c>
      <c r="DO196" s="94">
        <v>-2.6811375872057397E-2</v>
      </c>
      <c r="DP196" s="28">
        <v>20430.637971397387</v>
      </c>
      <c r="DQ196" s="318">
        <v>-52.49715482702959</v>
      </c>
      <c r="DS196" s="8">
        <v>19507.747739261351</v>
      </c>
      <c r="DT196" s="5">
        <v>975.38738696306768</v>
      </c>
      <c r="DW196" s="5">
        <v>10255.754473716375</v>
      </c>
      <c r="DX196" s="5">
        <v>458.4</v>
      </c>
    </row>
    <row r="197" spans="1:128" x14ac:dyDescent="0.3">
      <c r="A197" s="325">
        <v>150000778</v>
      </c>
      <c r="B197" s="41" t="s">
        <v>645</v>
      </c>
      <c r="C197" s="42" t="s">
        <v>215</v>
      </c>
      <c r="D197" s="42" t="s">
        <v>215</v>
      </c>
      <c r="E197" s="293">
        <v>2055.6</v>
      </c>
      <c r="F197" s="305">
        <v>2055.6</v>
      </c>
      <c r="G197" s="51"/>
      <c r="H197" s="651">
        <v>0</v>
      </c>
      <c r="I197" s="73">
        <v>1059.3140253133095</v>
      </c>
      <c r="J197" s="40">
        <v>1190.5028347777609</v>
      </c>
      <c r="K197" s="52">
        <v>131.18880946445142</v>
      </c>
      <c r="L197" s="73">
        <v>210.14453789231294</v>
      </c>
      <c r="M197" s="40">
        <v>236.75268774124942</v>
      </c>
      <c r="N197" s="52">
        <v>26.608149848936478</v>
      </c>
      <c r="O197" s="73">
        <v>398.02409352223998</v>
      </c>
      <c r="P197" s="40">
        <v>398.16666666666669</v>
      </c>
      <c r="Q197" s="52">
        <v>0.14257314442670577</v>
      </c>
      <c r="R197" s="73">
        <v>89.012064028623342</v>
      </c>
      <c r="S197" s="40">
        <v>89.016666666666666</v>
      </c>
      <c r="T197" s="52">
        <v>4.6026380433232816E-3</v>
      </c>
      <c r="U197" s="73">
        <v>0</v>
      </c>
      <c r="V197" s="40">
        <v>0</v>
      </c>
      <c r="W197" s="52">
        <v>0</v>
      </c>
      <c r="X197" s="73">
        <v>565.85693662672475</v>
      </c>
      <c r="Y197" s="40">
        <v>595.39392530860209</v>
      </c>
      <c r="Z197" s="52">
        <v>29.536988681877347</v>
      </c>
      <c r="AA197" s="73">
        <v>166.92000000000002</v>
      </c>
      <c r="AB197" s="40">
        <v>0</v>
      </c>
      <c r="AC197" s="52">
        <v>-166.92000000000002</v>
      </c>
      <c r="AD197" s="73">
        <v>1502.0213323322805</v>
      </c>
      <c r="AE197" s="40">
        <v>1852.7228525290093</v>
      </c>
      <c r="AF197" s="35">
        <v>350.70152019672878</v>
      </c>
      <c r="AG197" s="77">
        <v>3991.2929897154909</v>
      </c>
      <c r="AH197" s="53">
        <v>4362.5556336899554</v>
      </c>
      <c r="AI197" s="52">
        <v>371.26264397446448</v>
      </c>
      <c r="AJ197" s="73">
        <v>0</v>
      </c>
      <c r="AK197" s="40">
        <v>0</v>
      </c>
      <c r="AL197" s="52">
        <v>0</v>
      </c>
      <c r="AM197" s="73">
        <v>0</v>
      </c>
      <c r="AN197" s="40">
        <v>0</v>
      </c>
      <c r="AO197" s="52">
        <v>0</v>
      </c>
      <c r="AP197" s="73">
        <v>302.56599999999997</v>
      </c>
      <c r="AQ197" s="40">
        <v>1784.6362384835329</v>
      </c>
      <c r="AR197" s="52">
        <v>1482.0702384835329</v>
      </c>
      <c r="AS197" s="73">
        <v>1901.9791528624967</v>
      </c>
      <c r="AT197" s="40">
        <v>6964</v>
      </c>
      <c r="AU197" s="54">
        <v>5062.0208471375036</v>
      </c>
      <c r="AV197" s="73">
        <v>444.00627570224157</v>
      </c>
      <c r="AW197" s="40">
        <v>0</v>
      </c>
      <c r="AX197" s="55">
        <v>-444.00627570224157</v>
      </c>
      <c r="AY197" s="73">
        <v>581.66965344682615</v>
      </c>
      <c r="AZ197" s="40">
        <v>0</v>
      </c>
      <c r="BA197" s="35">
        <v>-581.66965344682615</v>
      </c>
      <c r="BB197" s="73">
        <v>128.32418748486339</v>
      </c>
      <c r="BC197" s="40">
        <v>0</v>
      </c>
      <c r="BD197" s="55">
        <v>-128.32418748486339</v>
      </c>
      <c r="BE197" s="73">
        <v>398.94272892284175</v>
      </c>
      <c r="BF197" s="40">
        <v>0</v>
      </c>
      <c r="BG197" s="38">
        <v>-398.94272892284175</v>
      </c>
      <c r="BH197" s="73">
        <v>0</v>
      </c>
      <c r="BI197" s="40">
        <v>0</v>
      </c>
      <c r="BJ197" s="55">
        <v>0</v>
      </c>
      <c r="BK197" s="73">
        <v>383.38517595353994</v>
      </c>
      <c r="BL197" s="40">
        <v>0</v>
      </c>
      <c r="BM197" s="38">
        <v>-383.38517595353994</v>
      </c>
      <c r="BN197" s="73">
        <v>41.730000000000004</v>
      </c>
      <c r="BO197" s="40">
        <v>0</v>
      </c>
      <c r="BP197" s="55">
        <v>-41.730000000000004</v>
      </c>
      <c r="BQ197" s="77">
        <v>1978.0580215103128</v>
      </c>
      <c r="BR197" s="40">
        <v>0</v>
      </c>
      <c r="BS197" s="55">
        <v>-1978.0580215103128</v>
      </c>
      <c r="BT197" s="73">
        <v>2819.63406285872</v>
      </c>
      <c r="BU197" s="40">
        <v>784.73498193110277</v>
      </c>
      <c r="BV197" s="52">
        <v>-2034.8990809276172</v>
      </c>
      <c r="BW197" s="73">
        <v>1141.6746558534339</v>
      </c>
      <c r="BX197" s="40">
        <v>856.88640978810599</v>
      </c>
      <c r="BY197" s="52">
        <v>-284.78824606532794</v>
      </c>
      <c r="BZ197" s="73">
        <v>1218.3362347018301</v>
      </c>
      <c r="CA197" s="40">
        <v>3230.3959821546396</v>
      </c>
      <c r="CB197" s="52">
        <v>2012.0597474528095</v>
      </c>
      <c r="CC197" s="73">
        <v>199.60101262475001</v>
      </c>
      <c r="CD197" s="40">
        <v>251.84966010339588</v>
      </c>
      <c r="CE197" s="52">
        <v>52.248647478645864</v>
      </c>
      <c r="CF197" s="73">
        <v>23.714971797</v>
      </c>
      <c r="CG197" s="40">
        <v>0</v>
      </c>
      <c r="CH197" s="52">
        <v>-23.714971797</v>
      </c>
      <c r="CI197" s="73">
        <v>591.78</v>
      </c>
      <c r="CJ197" s="40">
        <v>668.69069421305983</v>
      </c>
      <c r="CK197" s="52">
        <v>76.910694213059855</v>
      </c>
      <c r="CL197" s="73">
        <v>0</v>
      </c>
      <c r="CM197" s="40">
        <v>0</v>
      </c>
      <c r="CN197" s="52">
        <v>0</v>
      </c>
      <c r="CO197" s="39">
        <v>591.78</v>
      </c>
      <c r="CP197" s="40">
        <v>668.69069421305983</v>
      </c>
      <c r="CQ197" s="52">
        <v>76.910694213059855</v>
      </c>
      <c r="CR197" s="72">
        <v>14168.637101924034</v>
      </c>
      <c r="CS197" s="5">
        <v>18903.74960036379</v>
      </c>
      <c r="CT197" s="52">
        <v>4735.1124984397557</v>
      </c>
      <c r="CU197" s="77">
        <v>17002.364522308839</v>
      </c>
      <c r="CV197" s="65">
        <v>22684.499520436548</v>
      </c>
      <c r="CW197" s="35">
        <v>5682.134998127709</v>
      </c>
      <c r="CX197" s="73">
        <v>949.29353934709559</v>
      </c>
      <c r="CY197" s="40">
        <v>-4732.8414587806146</v>
      </c>
      <c r="CZ197" s="52">
        <v>-5682.1349981277099</v>
      </c>
      <c r="DA197" s="150">
        <v>-21246.983059792459</v>
      </c>
      <c r="DB197" s="2">
        <v>3</v>
      </c>
      <c r="DC197" s="648">
        <v>37532.35</v>
      </c>
      <c r="DD197" s="648"/>
      <c r="DE197" s="649">
        <v>19580.691938344065</v>
      </c>
      <c r="DG197" s="321">
        <v>-34951.882915740869</v>
      </c>
      <c r="DH197" s="5">
        <v>215419.89673987118</v>
      </c>
      <c r="DI197" s="306">
        <v>4.2829518869999905</v>
      </c>
      <c r="DJ197" s="306"/>
      <c r="DK197" s="306">
        <v>3.9333747141262783</v>
      </c>
      <c r="DL197" s="28">
        <v>8804.03589891718</v>
      </c>
      <c r="DM197" s="28">
        <v>0</v>
      </c>
      <c r="DN197" s="650">
        <v>8804.2099999999991</v>
      </c>
      <c r="DO197" s="94">
        <v>-0.17410108281910652</v>
      </c>
      <c r="DP197" s="28">
        <v>8804.03589891718</v>
      </c>
      <c r="DQ197" s="318">
        <v>-122.20547529496071</v>
      </c>
      <c r="DS197" s="8">
        <v>8501.1822611544194</v>
      </c>
      <c r="DT197" s="5">
        <v>425.05911305772105</v>
      </c>
      <c r="DW197" s="5">
        <v>4656.0446092473712</v>
      </c>
      <c r="DX197" s="5">
        <v>8356.7999999999993</v>
      </c>
    </row>
    <row r="198" spans="1:128" x14ac:dyDescent="0.3">
      <c r="A198" s="325">
        <v>150001071</v>
      </c>
      <c r="B198" s="41" t="s">
        <v>646</v>
      </c>
      <c r="C198" s="42" t="s">
        <v>168</v>
      </c>
      <c r="D198" s="42" t="s">
        <v>168</v>
      </c>
      <c r="E198" s="293">
        <v>373.83</v>
      </c>
      <c r="F198" s="305">
        <v>373.83</v>
      </c>
      <c r="G198" s="51"/>
      <c r="H198" s="651">
        <v>0</v>
      </c>
      <c r="I198" s="73">
        <v>260.41635978515018</v>
      </c>
      <c r="J198" s="40">
        <v>292.85421553334311</v>
      </c>
      <c r="K198" s="52">
        <v>32.437855748192931</v>
      </c>
      <c r="L198" s="73">
        <v>44.80237705992193</v>
      </c>
      <c r="M198" s="40">
        <v>50.475439388913571</v>
      </c>
      <c r="N198" s="52">
        <v>5.6730623289916409</v>
      </c>
      <c r="O198" s="73">
        <v>88.506364132843345</v>
      </c>
      <c r="P198" s="40">
        <v>88.533333333333331</v>
      </c>
      <c r="Q198" s="52">
        <v>2.6969200489986633E-2</v>
      </c>
      <c r="R198" s="73">
        <v>0</v>
      </c>
      <c r="S198" s="40">
        <v>0</v>
      </c>
      <c r="T198" s="52">
        <v>0</v>
      </c>
      <c r="U198" s="73">
        <v>0</v>
      </c>
      <c r="V198" s="40">
        <v>0</v>
      </c>
      <c r="W198" s="52">
        <v>0</v>
      </c>
      <c r="X198" s="73">
        <v>139.94137036799142</v>
      </c>
      <c r="Y198" s="40">
        <v>369.79620037904516</v>
      </c>
      <c r="Z198" s="52">
        <v>229.85483001105374</v>
      </c>
      <c r="AA198" s="73">
        <v>29.906399999999998</v>
      </c>
      <c r="AB198" s="40">
        <v>0</v>
      </c>
      <c r="AC198" s="52">
        <v>-29.906399999999998</v>
      </c>
      <c r="AD198" s="73">
        <v>269.33498592382756</v>
      </c>
      <c r="AE198" s="40">
        <v>336.93490171284276</v>
      </c>
      <c r="AF198" s="35">
        <v>67.599915789015199</v>
      </c>
      <c r="AG198" s="77">
        <v>832.90785726973445</v>
      </c>
      <c r="AH198" s="53">
        <v>1138.594090347478</v>
      </c>
      <c r="AI198" s="52">
        <v>305.68623307774351</v>
      </c>
      <c r="AJ198" s="73">
        <v>0</v>
      </c>
      <c r="AK198" s="40">
        <v>0</v>
      </c>
      <c r="AL198" s="52">
        <v>0</v>
      </c>
      <c r="AM198" s="73">
        <v>0</v>
      </c>
      <c r="AN198" s="40">
        <v>0</v>
      </c>
      <c r="AO198" s="52">
        <v>0</v>
      </c>
      <c r="AP198" s="73">
        <v>12.606916666666667</v>
      </c>
      <c r="AQ198" s="40">
        <v>0</v>
      </c>
      <c r="AR198" s="52">
        <v>-12.606916666666667</v>
      </c>
      <c r="AS198" s="73">
        <v>404.79937358936456</v>
      </c>
      <c r="AT198" s="40">
        <v>0</v>
      </c>
      <c r="AU198" s="54">
        <v>-404.79937358936456</v>
      </c>
      <c r="AV198" s="73">
        <v>112.59469296673024</v>
      </c>
      <c r="AW198" s="40">
        <v>0</v>
      </c>
      <c r="AX198" s="55">
        <v>-112.59469296673024</v>
      </c>
      <c r="AY198" s="73">
        <v>123.99343278449206</v>
      </c>
      <c r="AZ198" s="40">
        <v>0</v>
      </c>
      <c r="BA198" s="35">
        <v>-123.99343278449206</v>
      </c>
      <c r="BB198" s="73">
        <v>21.972919175606659</v>
      </c>
      <c r="BC198" s="40">
        <v>0</v>
      </c>
      <c r="BD198" s="55">
        <v>-21.972919175606659</v>
      </c>
      <c r="BE198" s="73">
        <v>0</v>
      </c>
      <c r="BF198" s="40">
        <v>0</v>
      </c>
      <c r="BG198" s="38">
        <v>0</v>
      </c>
      <c r="BH198" s="73">
        <v>0</v>
      </c>
      <c r="BI198" s="40">
        <v>0</v>
      </c>
      <c r="BJ198" s="55">
        <v>0</v>
      </c>
      <c r="BK198" s="73">
        <v>52.623178116886479</v>
      </c>
      <c r="BL198" s="40">
        <v>0</v>
      </c>
      <c r="BM198" s="38">
        <v>-52.623178116886479</v>
      </c>
      <c r="BN198" s="73">
        <v>12.748763455731433</v>
      </c>
      <c r="BO198" s="40">
        <v>0</v>
      </c>
      <c r="BP198" s="55">
        <v>-12.748763455731433</v>
      </c>
      <c r="BQ198" s="77">
        <v>323.93298649944688</v>
      </c>
      <c r="BR198" s="40">
        <v>0</v>
      </c>
      <c r="BS198" s="55">
        <v>-323.93298649944688</v>
      </c>
      <c r="BT198" s="73">
        <v>0</v>
      </c>
      <c r="BU198" s="40">
        <v>0</v>
      </c>
      <c r="BV198" s="52">
        <v>0</v>
      </c>
      <c r="BW198" s="73">
        <v>0</v>
      </c>
      <c r="BX198" s="40">
        <v>1.3879640655539263</v>
      </c>
      <c r="BY198" s="52">
        <v>1.3879640655539263</v>
      </c>
      <c r="BZ198" s="73">
        <v>0</v>
      </c>
      <c r="CA198" s="40">
        <v>0</v>
      </c>
      <c r="CB198" s="52">
        <v>0</v>
      </c>
      <c r="CC198" s="73">
        <v>11.45968725</v>
      </c>
      <c r="CD198" s="40">
        <v>14.459437358815528</v>
      </c>
      <c r="CE198" s="52">
        <v>2.9997501088155278</v>
      </c>
      <c r="CF198" s="73">
        <v>1.3615470000000001</v>
      </c>
      <c r="CG198" s="40">
        <v>0</v>
      </c>
      <c r="CH198" s="52">
        <v>-1.3615470000000001</v>
      </c>
      <c r="CI198" s="73">
        <v>155.74</v>
      </c>
      <c r="CJ198" s="40">
        <v>441.04767336853405</v>
      </c>
      <c r="CK198" s="52">
        <v>285.30767336853404</v>
      </c>
      <c r="CL198" s="73">
        <v>0</v>
      </c>
      <c r="CM198" s="40">
        <v>0</v>
      </c>
      <c r="CN198" s="52">
        <v>0</v>
      </c>
      <c r="CO198" s="39">
        <v>155.74</v>
      </c>
      <c r="CP198" s="40">
        <v>441.04767336853405</v>
      </c>
      <c r="CQ198" s="52">
        <v>285.30767336853404</v>
      </c>
      <c r="CR198" s="72">
        <v>1742.8083682752126</v>
      </c>
      <c r="CS198" s="5">
        <v>1595.4891651403814</v>
      </c>
      <c r="CT198" s="52">
        <v>-147.31920313483124</v>
      </c>
      <c r="CU198" s="77">
        <v>2091.370041930255</v>
      </c>
      <c r="CV198" s="65">
        <v>1914.5869981684575</v>
      </c>
      <c r="CW198" s="35">
        <v>-176.78304376179744</v>
      </c>
      <c r="CX198" s="73">
        <v>116.76752763320111</v>
      </c>
      <c r="CY198" s="40">
        <v>293.55057139499854</v>
      </c>
      <c r="CZ198" s="52">
        <v>176.78304376179744</v>
      </c>
      <c r="DA198" s="150">
        <v>9678.6848975090616</v>
      </c>
      <c r="DB198" s="2">
        <v>3</v>
      </c>
      <c r="DC198" s="648">
        <v>1782.72</v>
      </c>
      <c r="DD198" s="648"/>
      <c r="DE198" s="649">
        <v>-425.41756956345603</v>
      </c>
      <c r="DG198" s="321">
        <v>16354.436143371624</v>
      </c>
      <c r="DH198" s="5">
        <v>26497.650834761473</v>
      </c>
      <c r="DI198" s="306">
        <v>2.9370817537741325</v>
      </c>
      <c r="DJ198" s="306"/>
      <c r="DK198" s="306"/>
      <c r="DL198" s="28">
        <v>1097.9692720133839</v>
      </c>
      <c r="DM198" s="28">
        <v>0</v>
      </c>
      <c r="DN198" s="650">
        <v>1097.98</v>
      </c>
      <c r="DO198" s="94">
        <v>-1.0727986616075214E-2</v>
      </c>
      <c r="DP198" s="28">
        <v>1097.9692720133839</v>
      </c>
      <c r="DQ198" s="318">
        <v>0</v>
      </c>
      <c r="DS198" s="8">
        <v>1045.6850209651275</v>
      </c>
      <c r="DT198" s="5">
        <v>52.284251048256387</v>
      </c>
      <c r="DW198" s="5">
        <v>874.47883210657369</v>
      </c>
      <c r="DX198" s="5">
        <v>0</v>
      </c>
    </row>
    <row r="199" spans="1:128" x14ac:dyDescent="0.3">
      <c r="A199" s="325">
        <v>150000768</v>
      </c>
      <c r="B199" s="41" t="s">
        <v>647</v>
      </c>
      <c r="C199" s="42" t="s">
        <v>117</v>
      </c>
      <c r="D199" s="42" t="s">
        <v>117</v>
      </c>
      <c r="E199" s="293">
        <v>119.3</v>
      </c>
      <c r="F199" s="305">
        <v>119.3</v>
      </c>
      <c r="G199" s="51"/>
      <c r="H199" s="651">
        <v>0</v>
      </c>
      <c r="I199" s="73">
        <v>0</v>
      </c>
      <c r="J199" s="40">
        <v>0</v>
      </c>
      <c r="K199" s="52">
        <v>0</v>
      </c>
      <c r="L199" s="73">
        <v>0</v>
      </c>
      <c r="M199" s="40">
        <v>0</v>
      </c>
      <c r="N199" s="52">
        <v>0</v>
      </c>
      <c r="O199" s="73">
        <v>0</v>
      </c>
      <c r="P199" s="40">
        <v>0</v>
      </c>
      <c r="Q199" s="52">
        <v>0</v>
      </c>
      <c r="R199" s="73">
        <v>0</v>
      </c>
      <c r="S199" s="40">
        <v>0</v>
      </c>
      <c r="T199" s="52">
        <v>0</v>
      </c>
      <c r="U199" s="73">
        <v>0</v>
      </c>
      <c r="V199" s="40">
        <v>0</v>
      </c>
      <c r="W199" s="52">
        <v>0</v>
      </c>
      <c r="X199" s="73">
        <v>0</v>
      </c>
      <c r="Y199" s="40">
        <v>0</v>
      </c>
      <c r="Z199" s="52">
        <v>0</v>
      </c>
      <c r="AA199" s="73">
        <v>9.4391999999999996</v>
      </c>
      <c r="AB199" s="40">
        <v>0</v>
      </c>
      <c r="AC199" s="52">
        <v>-9.4391999999999996</v>
      </c>
      <c r="AD199" s="73">
        <v>70.865952125206036</v>
      </c>
      <c r="AE199" s="40">
        <v>107.52570359345731</v>
      </c>
      <c r="AF199" s="35">
        <v>36.659751468251272</v>
      </c>
      <c r="AG199" s="77">
        <v>80.305152125206035</v>
      </c>
      <c r="AH199" s="53">
        <v>107.52570359345731</v>
      </c>
      <c r="AI199" s="52">
        <v>27.220551468251273</v>
      </c>
      <c r="AJ199" s="73">
        <v>0</v>
      </c>
      <c r="AK199" s="40">
        <v>0</v>
      </c>
      <c r="AL199" s="52">
        <v>0</v>
      </c>
      <c r="AM199" s="73">
        <v>0</v>
      </c>
      <c r="AN199" s="40">
        <v>0</v>
      </c>
      <c r="AO199" s="52">
        <v>0</v>
      </c>
      <c r="AP199" s="73">
        <v>25.213833333333334</v>
      </c>
      <c r="AQ199" s="40">
        <v>0</v>
      </c>
      <c r="AR199" s="52">
        <v>-25.213833333333334</v>
      </c>
      <c r="AS199" s="73">
        <v>182.7027902006524</v>
      </c>
      <c r="AT199" s="40">
        <v>0</v>
      </c>
      <c r="AU199" s="54">
        <v>-182.7027902006524</v>
      </c>
      <c r="AV199" s="73">
        <v>0</v>
      </c>
      <c r="AW199" s="40">
        <v>0</v>
      </c>
      <c r="AX199" s="55">
        <v>0</v>
      </c>
      <c r="AY199" s="73">
        <v>0</v>
      </c>
      <c r="AZ199" s="40">
        <v>0</v>
      </c>
      <c r="BA199" s="35">
        <v>0</v>
      </c>
      <c r="BB199" s="73">
        <v>0</v>
      </c>
      <c r="BC199" s="40">
        <v>0</v>
      </c>
      <c r="BD199" s="55">
        <v>0</v>
      </c>
      <c r="BE199" s="73">
        <v>0</v>
      </c>
      <c r="BF199" s="40">
        <v>0</v>
      </c>
      <c r="BG199" s="38">
        <v>0</v>
      </c>
      <c r="BH199" s="73">
        <v>0</v>
      </c>
      <c r="BI199" s="40">
        <v>0</v>
      </c>
      <c r="BJ199" s="55">
        <v>0</v>
      </c>
      <c r="BK199" s="73">
        <v>0</v>
      </c>
      <c r="BL199" s="40">
        <v>0</v>
      </c>
      <c r="BM199" s="38">
        <v>0</v>
      </c>
      <c r="BN199" s="73">
        <v>2.3597999999999999</v>
      </c>
      <c r="BO199" s="40">
        <v>0</v>
      </c>
      <c r="BP199" s="55">
        <v>-2.3597999999999999</v>
      </c>
      <c r="BQ199" s="77">
        <v>2.3597999999999999</v>
      </c>
      <c r="BR199" s="40">
        <v>0</v>
      </c>
      <c r="BS199" s="55">
        <v>-2.3597999999999999</v>
      </c>
      <c r="BT199" s="73">
        <v>0</v>
      </c>
      <c r="BU199" s="40">
        <v>0</v>
      </c>
      <c r="BV199" s="52">
        <v>0</v>
      </c>
      <c r="BW199" s="73">
        <v>0</v>
      </c>
      <c r="BX199" s="40">
        <v>0.44293960629319051</v>
      </c>
      <c r="BY199" s="52">
        <v>0.44293960629319051</v>
      </c>
      <c r="BZ199" s="73">
        <v>0</v>
      </c>
      <c r="CA199" s="40">
        <v>0</v>
      </c>
      <c r="CB199" s="52">
        <v>0</v>
      </c>
      <c r="CC199" s="73">
        <v>0</v>
      </c>
      <c r="CD199" s="40">
        <v>0</v>
      </c>
      <c r="CE199" s="52">
        <v>0</v>
      </c>
      <c r="CF199" s="73">
        <v>0</v>
      </c>
      <c r="CG199" s="40">
        <v>0</v>
      </c>
      <c r="CH199" s="52">
        <v>0</v>
      </c>
      <c r="CI199" s="73">
        <v>0</v>
      </c>
      <c r="CJ199" s="40">
        <v>0</v>
      </c>
      <c r="CK199" s="52">
        <v>0</v>
      </c>
      <c r="CL199" s="73">
        <v>0</v>
      </c>
      <c r="CM199" s="40">
        <v>0</v>
      </c>
      <c r="CN199" s="52">
        <v>0</v>
      </c>
      <c r="CO199" s="39">
        <v>0</v>
      </c>
      <c r="CP199" s="40">
        <v>0</v>
      </c>
      <c r="CQ199" s="52">
        <v>0</v>
      </c>
      <c r="CR199" s="72">
        <v>290.58157565919174</v>
      </c>
      <c r="CS199" s="5">
        <v>107.9686431997505</v>
      </c>
      <c r="CT199" s="52">
        <v>-182.61293245944125</v>
      </c>
      <c r="CU199" s="77">
        <v>348.69789079103009</v>
      </c>
      <c r="CV199" s="65">
        <v>129.5623718397006</v>
      </c>
      <c r="CW199" s="35">
        <v>-219.13551895132949</v>
      </c>
      <c r="CX199" s="73">
        <v>19.468860021060973</v>
      </c>
      <c r="CY199" s="40">
        <v>238.60437897239044</v>
      </c>
      <c r="CZ199" s="52">
        <v>219.13551895132946</v>
      </c>
      <c r="DA199" s="150">
        <v>-2357.1088478101196</v>
      </c>
      <c r="DB199" s="2">
        <v>3</v>
      </c>
      <c r="DC199" s="648">
        <v>185.09</v>
      </c>
      <c r="DD199" s="648"/>
      <c r="DE199" s="649">
        <v>-183.07675081209103</v>
      </c>
      <c r="DG199" s="321">
        <v>-751.68908938980007</v>
      </c>
      <c r="DH199" s="5">
        <v>4418.0010097450922</v>
      </c>
      <c r="DI199" s="306">
        <v>1.551541593908728</v>
      </c>
      <c r="DJ199" s="306"/>
      <c r="DK199" s="306"/>
      <c r="DL199" s="28">
        <v>185.09891215331126</v>
      </c>
      <c r="DM199" s="28">
        <v>0</v>
      </c>
      <c r="DN199" s="650">
        <v>185.09</v>
      </c>
      <c r="DO199" s="94">
        <v>8.912153311257498E-3</v>
      </c>
      <c r="DP199" s="28">
        <v>185.09891215331126</v>
      </c>
      <c r="DQ199" s="318">
        <v>2.0325194880204549</v>
      </c>
      <c r="DS199" s="8">
        <v>174.34894539551505</v>
      </c>
      <c r="DT199" s="5">
        <v>8.7174472697757519</v>
      </c>
      <c r="DW199" s="5">
        <v>222.0751082407829</v>
      </c>
      <c r="DX199" s="5">
        <v>0</v>
      </c>
    </row>
    <row r="200" spans="1:128" x14ac:dyDescent="0.3">
      <c r="A200" s="325">
        <v>150000763</v>
      </c>
      <c r="B200" s="41" t="s">
        <v>648</v>
      </c>
      <c r="C200" s="42" t="s">
        <v>118</v>
      </c>
      <c r="D200" s="42" t="s">
        <v>118</v>
      </c>
      <c r="E200" s="293">
        <v>182.8</v>
      </c>
      <c r="F200" s="305">
        <v>182.8</v>
      </c>
      <c r="G200" s="51"/>
      <c r="H200" s="651">
        <v>0</v>
      </c>
      <c r="I200" s="73">
        <v>0</v>
      </c>
      <c r="J200" s="40">
        <v>0</v>
      </c>
      <c r="K200" s="52">
        <v>0</v>
      </c>
      <c r="L200" s="73">
        <v>0</v>
      </c>
      <c r="M200" s="40">
        <v>0</v>
      </c>
      <c r="N200" s="52">
        <v>0</v>
      </c>
      <c r="O200" s="73">
        <v>0</v>
      </c>
      <c r="P200" s="40">
        <v>0</v>
      </c>
      <c r="Q200" s="52">
        <v>0</v>
      </c>
      <c r="R200" s="73">
        <v>0</v>
      </c>
      <c r="S200" s="40">
        <v>0</v>
      </c>
      <c r="T200" s="52">
        <v>0</v>
      </c>
      <c r="U200" s="73">
        <v>0</v>
      </c>
      <c r="V200" s="40">
        <v>0</v>
      </c>
      <c r="W200" s="52">
        <v>0</v>
      </c>
      <c r="X200" s="73">
        <v>0</v>
      </c>
      <c r="Y200" s="40">
        <v>0</v>
      </c>
      <c r="Z200" s="52">
        <v>0</v>
      </c>
      <c r="AA200" s="73">
        <v>14.624000000000001</v>
      </c>
      <c r="AB200" s="40">
        <v>0</v>
      </c>
      <c r="AC200" s="52">
        <v>-14.624000000000001</v>
      </c>
      <c r="AD200" s="73">
        <v>109.82943126477204</v>
      </c>
      <c r="AE200" s="40">
        <v>164.75858019181891</v>
      </c>
      <c r="AF200" s="35">
        <v>54.929148927046867</v>
      </c>
      <c r="AG200" s="77">
        <v>124.45343126477204</v>
      </c>
      <c r="AH200" s="53">
        <v>164.75858019181891</v>
      </c>
      <c r="AI200" s="52">
        <v>40.305148927046872</v>
      </c>
      <c r="AJ200" s="73">
        <v>0</v>
      </c>
      <c r="AK200" s="40">
        <v>0</v>
      </c>
      <c r="AL200" s="52">
        <v>0</v>
      </c>
      <c r="AM200" s="73">
        <v>0</v>
      </c>
      <c r="AN200" s="40">
        <v>0</v>
      </c>
      <c r="AO200" s="52">
        <v>0</v>
      </c>
      <c r="AP200" s="73">
        <v>31.517291666666662</v>
      </c>
      <c r="AQ200" s="40">
        <v>0</v>
      </c>
      <c r="AR200" s="52">
        <v>-31.517291666666662</v>
      </c>
      <c r="AS200" s="73">
        <v>213.83420823081116</v>
      </c>
      <c r="AT200" s="40">
        <v>0</v>
      </c>
      <c r="AU200" s="54">
        <v>-213.83420823081116</v>
      </c>
      <c r="AV200" s="73">
        <v>0</v>
      </c>
      <c r="AW200" s="40">
        <v>0</v>
      </c>
      <c r="AX200" s="55">
        <v>0</v>
      </c>
      <c r="AY200" s="73">
        <v>0</v>
      </c>
      <c r="AZ200" s="40">
        <v>0</v>
      </c>
      <c r="BA200" s="35">
        <v>0</v>
      </c>
      <c r="BB200" s="73">
        <v>0</v>
      </c>
      <c r="BC200" s="40">
        <v>0</v>
      </c>
      <c r="BD200" s="55">
        <v>0</v>
      </c>
      <c r="BE200" s="73">
        <v>0</v>
      </c>
      <c r="BF200" s="40">
        <v>0</v>
      </c>
      <c r="BG200" s="38">
        <v>0</v>
      </c>
      <c r="BH200" s="73">
        <v>0</v>
      </c>
      <c r="BI200" s="40">
        <v>0</v>
      </c>
      <c r="BJ200" s="55">
        <v>0</v>
      </c>
      <c r="BK200" s="73">
        <v>0</v>
      </c>
      <c r="BL200" s="40">
        <v>0</v>
      </c>
      <c r="BM200" s="38">
        <v>0</v>
      </c>
      <c r="BN200" s="73">
        <v>3.6560000000000001</v>
      </c>
      <c r="BO200" s="40">
        <v>0</v>
      </c>
      <c r="BP200" s="55">
        <v>-3.6560000000000001</v>
      </c>
      <c r="BQ200" s="77">
        <v>3.6560000000000001</v>
      </c>
      <c r="BR200" s="40">
        <v>0</v>
      </c>
      <c r="BS200" s="55">
        <v>-3.6560000000000001</v>
      </c>
      <c r="BT200" s="73">
        <v>0</v>
      </c>
      <c r="BU200" s="40">
        <v>0</v>
      </c>
      <c r="BV200" s="52">
        <v>0</v>
      </c>
      <c r="BW200" s="73">
        <v>0</v>
      </c>
      <c r="BX200" s="40">
        <v>0.67870377225813261</v>
      </c>
      <c r="BY200" s="52">
        <v>0.67870377225813261</v>
      </c>
      <c r="BZ200" s="73">
        <v>0</v>
      </c>
      <c r="CA200" s="40">
        <v>0</v>
      </c>
      <c r="CB200" s="52">
        <v>0</v>
      </c>
      <c r="CC200" s="73">
        <v>0</v>
      </c>
      <c r="CD200" s="40">
        <v>0</v>
      </c>
      <c r="CE200" s="52">
        <v>0</v>
      </c>
      <c r="CF200" s="73">
        <v>0</v>
      </c>
      <c r="CG200" s="40">
        <v>0</v>
      </c>
      <c r="CH200" s="52">
        <v>0</v>
      </c>
      <c r="CI200" s="73">
        <v>0</v>
      </c>
      <c r="CJ200" s="40">
        <v>0</v>
      </c>
      <c r="CK200" s="52">
        <v>0</v>
      </c>
      <c r="CL200" s="73">
        <v>0</v>
      </c>
      <c r="CM200" s="40">
        <v>0</v>
      </c>
      <c r="CN200" s="52">
        <v>0</v>
      </c>
      <c r="CO200" s="39">
        <v>0</v>
      </c>
      <c r="CP200" s="40">
        <v>0</v>
      </c>
      <c r="CQ200" s="52">
        <v>0</v>
      </c>
      <c r="CR200" s="72">
        <v>373.46093116224989</v>
      </c>
      <c r="CS200" s="5">
        <v>165.43728396407704</v>
      </c>
      <c r="CT200" s="52">
        <v>-208.02364719817285</v>
      </c>
      <c r="CU200" s="77">
        <v>448.15311739469985</v>
      </c>
      <c r="CV200" s="65">
        <v>198.52474075689244</v>
      </c>
      <c r="CW200" s="35">
        <v>-249.62837663780741</v>
      </c>
      <c r="CX200" s="73">
        <v>25.021746735452176</v>
      </c>
      <c r="CY200" s="40">
        <v>274.65012337325959</v>
      </c>
      <c r="CZ200" s="52">
        <v>249.62837663780741</v>
      </c>
      <c r="DA200" s="150">
        <v>-2654.6333930734572</v>
      </c>
      <c r="DB200" s="2">
        <v>3</v>
      </c>
      <c r="DC200" s="648">
        <v>162.52000000000001</v>
      </c>
      <c r="DD200" s="648"/>
      <c r="DE200" s="649">
        <v>-310.65486413015196</v>
      </c>
      <c r="DG200" s="321">
        <v>-750.68960490687391</v>
      </c>
      <c r="DH200" s="5">
        <v>5678.0983695618243</v>
      </c>
      <c r="DI200" s="306">
        <v>1.2870918305919989</v>
      </c>
      <c r="DJ200" s="306"/>
      <c r="DK200" s="306"/>
      <c r="DL200" s="28">
        <v>235.28038663221741</v>
      </c>
      <c r="DM200" s="28">
        <v>0</v>
      </c>
      <c r="DN200" s="650">
        <v>235.27</v>
      </c>
      <c r="DO200" s="94">
        <v>1.0386632217404212E-2</v>
      </c>
      <c r="DP200" s="28">
        <v>235.28038663221741</v>
      </c>
      <c r="DQ200" s="318">
        <v>0</v>
      </c>
      <c r="DS200" s="8">
        <v>224.07655869734992</v>
      </c>
      <c r="DT200" s="5">
        <v>11.203827934867498</v>
      </c>
      <c r="DW200" s="5">
        <v>260.98824987697338</v>
      </c>
      <c r="DX200" s="5">
        <v>0</v>
      </c>
    </row>
    <row r="201" spans="1:128" x14ac:dyDescent="0.3">
      <c r="A201" s="325">
        <v>150000764</v>
      </c>
      <c r="B201" s="41" t="s">
        <v>649</v>
      </c>
      <c r="C201" s="42" t="s">
        <v>119</v>
      </c>
      <c r="D201" s="42" t="s">
        <v>119</v>
      </c>
      <c r="E201" s="293">
        <v>229</v>
      </c>
      <c r="F201" s="305">
        <v>229</v>
      </c>
      <c r="G201" s="51"/>
      <c r="H201" s="651">
        <v>0</v>
      </c>
      <c r="I201" s="73">
        <v>0</v>
      </c>
      <c r="J201" s="40">
        <v>0</v>
      </c>
      <c r="K201" s="52">
        <v>0</v>
      </c>
      <c r="L201" s="73">
        <v>0</v>
      </c>
      <c r="M201" s="40">
        <v>0</v>
      </c>
      <c r="N201" s="52">
        <v>0</v>
      </c>
      <c r="O201" s="73">
        <v>0</v>
      </c>
      <c r="P201" s="40">
        <v>0</v>
      </c>
      <c r="Q201" s="52">
        <v>0</v>
      </c>
      <c r="R201" s="73">
        <v>0</v>
      </c>
      <c r="S201" s="40">
        <v>0</v>
      </c>
      <c r="T201" s="52">
        <v>0</v>
      </c>
      <c r="U201" s="73">
        <v>0</v>
      </c>
      <c r="V201" s="40">
        <v>0</v>
      </c>
      <c r="W201" s="52">
        <v>0</v>
      </c>
      <c r="X201" s="73">
        <v>0</v>
      </c>
      <c r="Y201" s="40">
        <v>0</v>
      </c>
      <c r="Z201" s="52">
        <v>0</v>
      </c>
      <c r="AA201" s="73">
        <v>18.32</v>
      </c>
      <c r="AB201" s="40">
        <v>0</v>
      </c>
      <c r="AC201" s="52">
        <v>-18.32</v>
      </c>
      <c r="AD201" s="73">
        <v>137.58868151651549</v>
      </c>
      <c r="AE201" s="40">
        <v>206.39887781141425</v>
      </c>
      <c r="AF201" s="35">
        <v>68.810196294898759</v>
      </c>
      <c r="AG201" s="77">
        <v>155.90868151651549</v>
      </c>
      <c r="AH201" s="53">
        <v>206.39887781141425</v>
      </c>
      <c r="AI201" s="52">
        <v>50.490196294898766</v>
      </c>
      <c r="AJ201" s="73">
        <v>0</v>
      </c>
      <c r="AK201" s="40">
        <v>0</v>
      </c>
      <c r="AL201" s="52">
        <v>0</v>
      </c>
      <c r="AM201" s="73">
        <v>0</v>
      </c>
      <c r="AN201" s="40">
        <v>0</v>
      </c>
      <c r="AO201" s="52">
        <v>0</v>
      </c>
      <c r="AP201" s="73">
        <v>18.910374999999998</v>
      </c>
      <c r="AQ201" s="40">
        <v>0</v>
      </c>
      <c r="AR201" s="52">
        <v>-18.910374999999998</v>
      </c>
      <c r="AS201" s="73">
        <v>261.56335348270164</v>
      </c>
      <c r="AT201" s="40">
        <v>0</v>
      </c>
      <c r="AU201" s="54">
        <v>-261.56335348270164</v>
      </c>
      <c r="AV201" s="73">
        <v>0</v>
      </c>
      <c r="AW201" s="40">
        <v>0</v>
      </c>
      <c r="AX201" s="55">
        <v>0</v>
      </c>
      <c r="AY201" s="73">
        <v>0</v>
      </c>
      <c r="AZ201" s="40">
        <v>0</v>
      </c>
      <c r="BA201" s="35">
        <v>0</v>
      </c>
      <c r="BB201" s="73">
        <v>0</v>
      </c>
      <c r="BC201" s="40">
        <v>0</v>
      </c>
      <c r="BD201" s="55">
        <v>0</v>
      </c>
      <c r="BE201" s="73">
        <v>0</v>
      </c>
      <c r="BF201" s="40">
        <v>0</v>
      </c>
      <c r="BG201" s="38">
        <v>0</v>
      </c>
      <c r="BH201" s="73">
        <v>0</v>
      </c>
      <c r="BI201" s="40">
        <v>0</v>
      </c>
      <c r="BJ201" s="55">
        <v>0</v>
      </c>
      <c r="BK201" s="73">
        <v>0</v>
      </c>
      <c r="BL201" s="40">
        <v>0</v>
      </c>
      <c r="BM201" s="38">
        <v>0</v>
      </c>
      <c r="BN201" s="73">
        <v>4.58</v>
      </c>
      <c r="BO201" s="40">
        <v>0</v>
      </c>
      <c r="BP201" s="55">
        <v>-4.58</v>
      </c>
      <c r="BQ201" s="77">
        <v>4.58</v>
      </c>
      <c r="BR201" s="40">
        <v>0</v>
      </c>
      <c r="BS201" s="55">
        <v>-4.58</v>
      </c>
      <c r="BT201" s="73">
        <v>0</v>
      </c>
      <c r="BU201" s="40">
        <v>0</v>
      </c>
      <c r="BV201" s="52">
        <v>0</v>
      </c>
      <c r="BW201" s="73">
        <v>0</v>
      </c>
      <c r="BX201" s="40">
        <v>0.85023612607829535</v>
      </c>
      <c r="BY201" s="52">
        <v>0.85023612607829535</v>
      </c>
      <c r="BZ201" s="73">
        <v>0</v>
      </c>
      <c r="CA201" s="40">
        <v>0</v>
      </c>
      <c r="CB201" s="52">
        <v>0</v>
      </c>
      <c r="CC201" s="73">
        <v>0</v>
      </c>
      <c r="CD201" s="40">
        <v>0</v>
      </c>
      <c r="CE201" s="52">
        <v>0</v>
      </c>
      <c r="CF201" s="73">
        <v>0</v>
      </c>
      <c r="CG201" s="40">
        <v>0</v>
      </c>
      <c r="CH201" s="52">
        <v>0</v>
      </c>
      <c r="CI201" s="73">
        <v>0</v>
      </c>
      <c r="CJ201" s="40">
        <v>0</v>
      </c>
      <c r="CK201" s="52">
        <v>0</v>
      </c>
      <c r="CL201" s="73">
        <v>0</v>
      </c>
      <c r="CM201" s="40">
        <v>0</v>
      </c>
      <c r="CN201" s="52">
        <v>0</v>
      </c>
      <c r="CO201" s="39">
        <v>0</v>
      </c>
      <c r="CP201" s="40">
        <v>0</v>
      </c>
      <c r="CQ201" s="52">
        <v>0</v>
      </c>
      <c r="CR201" s="72">
        <v>440.96240999921707</v>
      </c>
      <c r="CS201" s="5">
        <v>207.24911393749255</v>
      </c>
      <c r="CT201" s="52">
        <v>-233.71329606172452</v>
      </c>
      <c r="CU201" s="77">
        <v>529.15489199906051</v>
      </c>
      <c r="CV201" s="65">
        <v>248.69893672499106</v>
      </c>
      <c r="CW201" s="35">
        <v>-280.45595527406942</v>
      </c>
      <c r="CX201" s="73">
        <v>29.544321298929852</v>
      </c>
      <c r="CY201" s="40">
        <v>310.00027657299927</v>
      </c>
      <c r="CZ201" s="52">
        <v>280.45595527406942</v>
      </c>
      <c r="DA201" s="150">
        <v>-994.57278622985029</v>
      </c>
      <c r="DB201" s="2">
        <v>3</v>
      </c>
      <c r="DC201" s="648">
        <v>150.16</v>
      </c>
      <c r="DD201" s="648"/>
      <c r="DE201" s="649">
        <v>-408.53921329799039</v>
      </c>
      <c r="DG201" s="321">
        <v>-3848.8922741026954</v>
      </c>
      <c r="DH201" s="5">
        <v>6704.3905595758843</v>
      </c>
      <c r="DI201" s="306">
        <v>1.213128027508763</v>
      </c>
      <c r="DJ201" s="306"/>
      <c r="DK201" s="306"/>
      <c r="DL201" s="28">
        <v>277.80631829950676</v>
      </c>
      <c r="DM201" s="28">
        <v>0</v>
      </c>
      <c r="DN201" s="650">
        <v>277.8</v>
      </c>
      <c r="DO201" s="94">
        <v>6.3182995067450065E-3</v>
      </c>
      <c r="DP201" s="28">
        <v>277.80631829950676</v>
      </c>
      <c r="DQ201" s="318">
        <v>0</v>
      </c>
      <c r="DS201" s="8">
        <v>264.57744599953025</v>
      </c>
      <c r="DT201" s="5">
        <v>13.228872299976514</v>
      </c>
      <c r="DW201" s="5">
        <v>319.37202417924192</v>
      </c>
      <c r="DX201" s="5">
        <v>0</v>
      </c>
    </row>
    <row r="202" spans="1:128" x14ac:dyDescent="0.3">
      <c r="A202" s="325">
        <v>150000770</v>
      </c>
      <c r="B202" s="41" t="s">
        <v>650</v>
      </c>
      <c r="C202" s="42" t="s">
        <v>120</v>
      </c>
      <c r="D202" s="42" t="s">
        <v>120</v>
      </c>
      <c r="E202" s="293">
        <v>144.5</v>
      </c>
      <c r="F202" s="305">
        <v>144.5</v>
      </c>
      <c r="G202" s="51"/>
      <c r="H202" s="651">
        <v>0</v>
      </c>
      <c r="I202" s="73">
        <v>0</v>
      </c>
      <c r="J202" s="40">
        <v>0</v>
      </c>
      <c r="K202" s="52">
        <v>0</v>
      </c>
      <c r="L202" s="73">
        <v>0</v>
      </c>
      <c r="M202" s="40">
        <v>0</v>
      </c>
      <c r="N202" s="52">
        <v>0</v>
      </c>
      <c r="O202" s="73">
        <v>0</v>
      </c>
      <c r="P202" s="40">
        <v>0</v>
      </c>
      <c r="Q202" s="52">
        <v>0</v>
      </c>
      <c r="R202" s="73">
        <v>0</v>
      </c>
      <c r="S202" s="40">
        <v>0</v>
      </c>
      <c r="T202" s="52">
        <v>0</v>
      </c>
      <c r="U202" s="73">
        <v>0</v>
      </c>
      <c r="V202" s="40">
        <v>0</v>
      </c>
      <c r="W202" s="52">
        <v>0</v>
      </c>
      <c r="X202" s="73">
        <v>0</v>
      </c>
      <c r="Y202" s="40">
        <v>0</v>
      </c>
      <c r="Z202" s="52">
        <v>0</v>
      </c>
      <c r="AA202" s="73">
        <v>11.56</v>
      </c>
      <c r="AB202" s="40">
        <v>0</v>
      </c>
      <c r="AC202" s="52">
        <v>-11.56</v>
      </c>
      <c r="AD202" s="73">
        <v>86.823130145585949</v>
      </c>
      <c r="AE202" s="40">
        <v>130.23859320414567</v>
      </c>
      <c r="AF202" s="35">
        <v>43.415463058559723</v>
      </c>
      <c r="AG202" s="77">
        <v>98.383130145585952</v>
      </c>
      <c r="AH202" s="53">
        <v>130.23859320414567</v>
      </c>
      <c r="AI202" s="52">
        <v>31.855463058559721</v>
      </c>
      <c r="AJ202" s="73">
        <v>0</v>
      </c>
      <c r="AK202" s="40">
        <v>0</v>
      </c>
      <c r="AL202" s="52">
        <v>0</v>
      </c>
      <c r="AM202" s="73">
        <v>0</v>
      </c>
      <c r="AN202" s="40">
        <v>0</v>
      </c>
      <c r="AO202" s="52">
        <v>0</v>
      </c>
      <c r="AP202" s="73">
        <v>31.517291666666662</v>
      </c>
      <c r="AQ202" s="40">
        <v>0</v>
      </c>
      <c r="AR202" s="52">
        <v>-31.517291666666662</v>
      </c>
      <c r="AS202" s="73">
        <v>200.11137638128048</v>
      </c>
      <c r="AT202" s="40">
        <v>0</v>
      </c>
      <c r="AU202" s="54">
        <v>-200.11137638128048</v>
      </c>
      <c r="AV202" s="73">
        <v>0</v>
      </c>
      <c r="AW202" s="40">
        <v>0</v>
      </c>
      <c r="AX202" s="55">
        <v>0</v>
      </c>
      <c r="AY202" s="73">
        <v>0</v>
      </c>
      <c r="AZ202" s="40">
        <v>0</v>
      </c>
      <c r="BA202" s="35">
        <v>0</v>
      </c>
      <c r="BB202" s="73">
        <v>0</v>
      </c>
      <c r="BC202" s="40">
        <v>0</v>
      </c>
      <c r="BD202" s="55">
        <v>0</v>
      </c>
      <c r="BE202" s="73">
        <v>0</v>
      </c>
      <c r="BF202" s="40">
        <v>0</v>
      </c>
      <c r="BG202" s="38">
        <v>0</v>
      </c>
      <c r="BH202" s="73">
        <v>0</v>
      </c>
      <c r="BI202" s="40">
        <v>0</v>
      </c>
      <c r="BJ202" s="55">
        <v>0</v>
      </c>
      <c r="BK202" s="73">
        <v>0</v>
      </c>
      <c r="BL202" s="40">
        <v>0</v>
      </c>
      <c r="BM202" s="38">
        <v>0</v>
      </c>
      <c r="BN202" s="73">
        <v>2.89</v>
      </c>
      <c r="BO202" s="40">
        <v>0</v>
      </c>
      <c r="BP202" s="55">
        <v>-2.89</v>
      </c>
      <c r="BQ202" s="77">
        <v>2.89</v>
      </c>
      <c r="BR202" s="40">
        <v>0</v>
      </c>
      <c r="BS202" s="55">
        <v>-2.89</v>
      </c>
      <c r="BT202" s="73">
        <v>0</v>
      </c>
      <c r="BU202" s="40">
        <v>0</v>
      </c>
      <c r="BV202" s="52">
        <v>0</v>
      </c>
      <c r="BW202" s="73">
        <v>0</v>
      </c>
      <c r="BX202" s="40">
        <v>0.5365027083769156</v>
      </c>
      <c r="BY202" s="52">
        <v>0.5365027083769156</v>
      </c>
      <c r="BZ202" s="73">
        <v>0</v>
      </c>
      <c r="CA202" s="40">
        <v>0</v>
      </c>
      <c r="CB202" s="52">
        <v>0</v>
      </c>
      <c r="CC202" s="73">
        <v>0</v>
      </c>
      <c r="CD202" s="40">
        <v>0</v>
      </c>
      <c r="CE202" s="52">
        <v>0</v>
      </c>
      <c r="CF202" s="73">
        <v>0</v>
      </c>
      <c r="CG202" s="40">
        <v>0</v>
      </c>
      <c r="CH202" s="52">
        <v>0</v>
      </c>
      <c r="CI202" s="73">
        <v>0</v>
      </c>
      <c r="CJ202" s="40">
        <v>0</v>
      </c>
      <c r="CK202" s="52">
        <v>0</v>
      </c>
      <c r="CL202" s="73">
        <v>0</v>
      </c>
      <c r="CM202" s="40">
        <v>0</v>
      </c>
      <c r="CN202" s="52">
        <v>0</v>
      </c>
      <c r="CO202" s="39">
        <v>0</v>
      </c>
      <c r="CP202" s="40">
        <v>0</v>
      </c>
      <c r="CQ202" s="52">
        <v>0</v>
      </c>
      <c r="CR202" s="72">
        <v>332.90179819353307</v>
      </c>
      <c r="CS202" s="5">
        <v>130.7750959125226</v>
      </c>
      <c r="CT202" s="52">
        <v>-202.12670228101047</v>
      </c>
      <c r="CU202" s="77">
        <v>399.48215783223969</v>
      </c>
      <c r="CV202" s="65">
        <v>156.93011509502711</v>
      </c>
      <c r="CW202" s="35">
        <v>-242.55204273721259</v>
      </c>
      <c r="CX202" s="73">
        <v>22.30429955886423</v>
      </c>
      <c r="CY202" s="40">
        <v>264.85634229607683</v>
      </c>
      <c r="CZ202" s="52">
        <v>242.55204273721262</v>
      </c>
      <c r="DA202" s="150">
        <v>-2550.1262983583183</v>
      </c>
      <c r="DB202" s="2">
        <v>3</v>
      </c>
      <c r="DC202" s="648">
        <v>665.47</v>
      </c>
      <c r="DD202" s="648"/>
      <c r="DE202" s="649">
        <v>243.68354260889612</v>
      </c>
      <c r="DG202" s="321">
        <v>-3843.710387977148</v>
      </c>
      <c r="DH202" s="5">
        <v>5061.4374886932474</v>
      </c>
      <c r="DI202" s="306">
        <v>1.4514057637503519</v>
      </c>
      <c r="DJ202" s="306"/>
      <c r="DK202" s="306"/>
      <c r="DL202" s="28">
        <v>209.72813286192584</v>
      </c>
      <c r="DM202" s="28">
        <v>0</v>
      </c>
      <c r="DN202" s="650">
        <v>209.72</v>
      </c>
      <c r="DO202" s="94">
        <v>8.1328619258442814E-3</v>
      </c>
      <c r="DP202" s="28">
        <v>209.72813286192584</v>
      </c>
      <c r="DQ202" s="318">
        <v>0</v>
      </c>
      <c r="DS202" s="8">
        <v>199.74107891611985</v>
      </c>
      <c r="DT202" s="5">
        <v>9.9870539458059913</v>
      </c>
      <c r="DW202" s="5">
        <v>243.60165165753654</v>
      </c>
      <c r="DX202" s="5">
        <v>0</v>
      </c>
    </row>
    <row r="203" spans="1:128" x14ac:dyDescent="0.3">
      <c r="A203" s="325">
        <v>150000777</v>
      </c>
      <c r="B203" s="41" t="s">
        <v>651</v>
      </c>
      <c r="C203" s="42" t="s">
        <v>169</v>
      </c>
      <c r="D203" s="42" t="s">
        <v>169</v>
      </c>
      <c r="E203" s="293">
        <v>393</v>
      </c>
      <c r="F203" s="305">
        <v>393</v>
      </c>
      <c r="G203" s="51"/>
      <c r="H203" s="651">
        <v>0</v>
      </c>
      <c r="I203" s="73">
        <v>212.59704993152761</v>
      </c>
      <c r="J203" s="40">
        <v>238.69685353891018</v>
      </c>
      <c r="K203" s="52">
        <v>26.099803607382569</v>
      </c>
      <c r="L203" s="73">
        <v>35.340998767967648</v>
      </c>
      <c r="M203" s="40">
        <v>39.815727502537413</v>
      </c>
      <c r="N203" s="52">
        <v>4.4747287345697657</v>
      </c>
      <c r="O203" s="73">
        <v>76.867333480949995</v>
      </c>
      <c r="P203" s="40">
        <v>76.900000000000006</v>
      </c>
      <c r="Q203" s="52">
        <v>3.2666519050010834E-2</v>
      </c>
      <c r="R203" s="73">
        <v>15.694398881206666</v>
      </c>
      <c r="S203" s="40">
        <v>15.716666666666667</v>
      </c>
      <c r="T203" s="52">
        <v>2.2267785460000411E-2</v>
      </c>
      <c r="U203" s="73">
        <v>0</v>
      </c>
      <c r="V203" s="40">
        <v>0</v>
      </c>
      <c r="W203" s="52">
        <v>0</v>
      </c>
      <c r="X203" s="73">
        <v>67.49212770718448</v>
      </c>
      <c r="Y203" s="40">
        <v>62.512373269116452</v>
      </c>
      <c r="Z203" s="52">
        <v>-4.9797544380680279</v>
      </c>
      <c r="AA203" s="73">
        <v>31.44</v>
      </c>
      <c r="AB203" s="40">
        <v>0</v>
      </c>
      <c r="AC203" s="52">
        <v>-31.44</v>
      </c>
      <c r="AD203" s="73">
        <v>283.13070218699283</v>
      </c>
      <c r="AE203" s="40">
        <v>354.21292130954498</v>
      </c>
      <c r="AF203" s="35">
        <v>71.082219122552146</v>
      </c>
      <c r="AG203" s="77">
        <v>722.5626109558292</v>
      </c>
      <c r="AH203" s="53">
        <v>787.85454228677554</v>
      </c>
      <c r="AI203" s="52">
        <v>65.29193133094634</v>
      </c>
      <c r="AJ203" s="73">
        <v>0</v>
      </c>
      <c r="AK203" s="40">
        <v>0</v>
      </c>
      <c r="AL203" s="52">
        <v>0</v>
      </c>
      <c r="AM203" s="73">
        <v>0</v>
      </c>
      <c r="AN203" s="40">
        <v>0</v>
      </c>
      <c r="AO203" s="52">
        <v>0</v>
      </c>
      <c r="AP203" s="73">
        <v>50.427666666666667</v>
      </c>
      <c r="AQ203" s="40">
        <v>0</v>
      </c>
      <c r="AR203" s="52">
        <v>-50.427666666666667</v>
      </c>
      <c r="AS203" s="73">
        <v>495.34317204239227</v>
      </c>
      <c r="AT203" s="40">
        <v>127</v>
      </c>
      <c r="AU203" s="54">
        <v>-368.34317204239227</v>
      </c>
      <c r="AV203" s="73">
        <v>100.61388421971253</v>
      </c>
      <c r="AW203" s="40">
        <v>0</v>
      </c>
      <c r="AX203" s="55">
        <v>-100.61388421971253</v>
      </c>
      <c r="AY203" s="73">
        <v>97.855548595349887</v>
      </c>
      <c r="AZ203" s="40">
        <v>0</v>
      </c>
      <c r="BA203" s="35">
        <v>-97.855548595349887</v>
      </c>
      <c r="BB203" s="73">
        <v>11.67220517505166</v>
      </c>
      <c r="BC203" s="40">
        <v>0</v>
      </c>
      <c r="BD203" s="55">
        <v>-11.67220517505166</v>
      </c>
      <c r="BE203" s="73">
        <v>72.401137088704999</v>
      </c>
      <c r="BF203" s="40">
        <v>0</v>
      </c>
      <c r="BG203" s="38">
        <v>-72.401137088704999</v>
      </c>
      <c r="BH203" s="73">
        <v>0</v>
      </c>
      <c r="BI203" s="40">
        <v>0</v>
      </c>
      <c r="BJ203" s="55">
        <v>0</v>
      </c>
      <c r="BK203" s="73">
        <v>23.895716162443499</v>
      </c>
      <c r="BL203" s="40">
        <v>0</v>
      </c>
      <c r="BM203" s="38">
        <v>-23.895716162443499</v>
      </c>
      <c r="BN203" s="73">
        <v>7.86</v>
      </c>
      <c r="BO203" s="40">
        <v>0</v>
      </c>
      <c r="BP203" s="55">
        <v>-7.86</v>
      </c>
      <c r="BQ203" s="77">
        <v>314.29849124126258</v>
      </c>
      <c r="BR203" s="40">
        <v>0</v>
      </c>
      <c r="BS203" s="55">
        <v>-314.29849124126258</v>
      </c>
      <c r="BT203" s="73">
        <v>356.07932930463602</v>
      </c>
      <c r="BU203" s="40">
        <v>125.67509542978772</v>
      </c>
      <c r="BV203" s="52">
        <v>-230.4042338748483</v>
      </c>
      <c r="BW203" s="73">
        <v>266.70634073946599</v>
      </c>
      <c r="BX203" s="40">
        <v>283.81627189929702</v>
      </c>
      <c r="BY203" s="52">
        <v>17.109931159831035</v>
      </c>
      <c r="BZ203" s="73">
        <v>59.660585571555799</v>
      </c>
      <c r="CA203" s="40">
        <v>860.79450894558818</v>
      </c>
      <c r="CB203" s="52">
        <v>801.13392337403241</v>
      </c>
      <c r="CC203" s="73">
        <v>0</v>
      </c>
      <c r="CD203" s="40">
        <v>0</v>
      </c>
      <c r="CE203" s="52">
        <v>0</v>
      </c>
      <c r="CF203" s="73">
        <v>0</v>
      </c>
      <c r="CG203" s="40">
        <v>0</v>
      </c>
      <c r="CH203" s="52">
        <v>0</v>
      </c>
      <c r="CI203" s="73">
        <v>56.06</v>
      </c>
      <c r="CJ203" s="40">
        <v>44.470062743286547</v>
      </c>
      <c r="CK203" s="52">
        <v>-11.589937256713455</v>
      </c>
      <c r="CL203" s="73">
        <v>0</v>
      </c>
      <c r="CM203" s="40">
        <v>0</v>
      </c>
      <c r="CN203" s="52">
        <v>0</v>
      </c>
      <c r="CO203" s="39">
        <v>56.06</v>
      </c>
      <c r="CP203" s="40">
        <v>44.470062743286547</v>
      </c>
      <c r="CQ203" s="52">
        <v>-11.589937256713455</v>
      </c>
      <c r="CR203" s="72">
        <v>2321.1381965218084</v>
      </c>
      <c r="CS203" s="5">
        <v>2229.610481304735</v>
      </c>
      <c r="CT203" s="52">
        <v>-91.527715217073364</v>
      </c>
      <c r="CU203" s="77">
        <v>2785.36583582617</v>
      </c>
      <c r="CV203" s="65">
        <v>2675.532577565682</v>
      </c>
      <c r="CW203" s="35">
        <v>-109.83325826048804</v>
      </c>
      <c r="CX203" s="73">
        <v>155.51541605866277</v>
      </c>
      <c r="CY203" s="40">
        <v>265.34867431915063</v>
      </c>
      <c r="CZ203" s="52">
        <v>109.83325826048787</v>
      </c>
      <c r="DA203" s="150">
        <v>9008.6079559372738</v>
      </c>
      <c r="DB203" s="2">
        <v>3</v>
      </c>
      <c r="DC203" s="648">
        <v>1938.04</v>
      </c>
      <c r="DD203" s="648"/>
      <c r="DE203" s="649">
        <v>-1002.8412518848327</v>
      </c>
      <c r="DG203" s="321">
        <v>-11544.928649293954</v>
      </c>
      <c r="DH203" s="5">
        <v>35290.575022617995</v>
      </c>
      <c r="DI203" s="306">
        <v>3.7209085593097693</v>
      </c>
      <c r="DJ203" s="306"/>
      <c r="DK203" s="306"/>
      <c r="DL203" s="28">
        <v>1462.3170638087392</v>
      </c>
      <c r="DM203" s="28">
        <v>0</v>
      </c>
      <c r="DN203" s="650">
        <v>1462.32</v>
      </c>
      <c r="DO203" s="94">
        <v>-2.9361912606873375E-3</v>
      </c>
      <c r="DP203" s="28">
        <v>1462.3170638087392</v>
      </c>
      <c r="DQ203" s="318">
        <v>0</v>
      </c>
      <c r="DS203" s="8">
        <v>1392.682917913085</v>
      </c>
      <c r="DT203" s="5">
        <v>69.634145895654243</v>
      </c>
      <c r="DW203" s="5">
        <v>971.56999594038587</v>
      </c>
      <c r="DX203" s="5">
        <v>152.4</v>
      </c>
    </row>
    <row r="204" spans="1:128" x14ac:dyDescent="0.3">
      <c r="A204" s="325">
        <v>150000765</v>
      </c>
      <c r="B204" s="41" t="s">
        <v>652</v>
      </c>
      <c r="C204" s="42" t="s">
        <v>265</v>
      </c>
      <c r="D204" s="42" t="s">
        <v>265</v>
      </c>
      <c r="E204" s="293">
        <v>4524.01</v>
      </c>
      <c r="F204" s="305">
        <v>4524.01</v>
      </c>
      <c r="G204" s="51"/>
      <c r="H204" s="651">
        <v>0</v>
      </c>
      <c r="I204" s="73">
        <v>2306.4335710263867</v>
      </c>
      <c r="J204" s="40">
        <v>2563.6326457954829</v>
      </c>
      <c r="K204" s="52">
        <v>257.19907476909611</v>
      </c>
      <c r="L204" s="73">
        <v>509.50472372281968</v>
      </c>
      <c r="M204" s="40">
        <v>605.43609016922846</v>
      </c>
      <c r="N204" s="52">
        <v>95.931366446408788</v>
      </c>
      <c r="O204" s="73">
        <v>814.98054117392337</v>
      </c>
      <c r="P204" s="40">
        <v>815</v>
      </c>
      <c r="Q204" s="52">
        <v>1.9458826076629521E-2</v>
      </c>
      <c r="R204" s="73">
        <v>0</v>
      </c>
      <c r="S204" s="40">
        <v>0</v>
      </c>
      <c r="T204" s="52">
        <v>0</v>
      </c>
      <c r="U204" s="73">
        <v>143.60199067673076</v>
      </c>
      <c r="V204" s="40">
        <v>269.15996592635861</v>
      </c>
      <c r="W204" s="52">
        <v>125.55797524962784</v>
      </c>
      <c r="X204" s="73">
        <v>1313.2676845992717</v>
      </c>
      <c r="Y204" s="40">
        <v>1424.4335035609008</v>
      </c>
      <c r="Z204" s="52">
        <v>111.16581896162916</v>
      </c>
      <c r="AA204" s="73">
        <v>361.88959999999997</v>
      </c>
      <c r="AB204" s="40">
        <v>0</v>
      </c>
      <c r="AC204" s="52">
        <v>-361.88959999999997</v>
      </c>
      <c r="AD204" s="73">
        <v>3258.9023378402007</v>
      </c>
      <c r="AE204" s="40">
        <v>4077.5134812559663</v>
      </c>
      <c r="AF204" s="35">
        <v>818.61114341576558</v>
      </c>
      <c r="AG204" s="77">
        <v>8708.5804490393311</v>
      </c>
      <c r="AH204" s="53">
        <v>9755.1756867079384</v>
      </c>
      <c r="AI204" s="52">
        <v>1046.5952376686073</v>
      </c>
      <c r="AJ204" s="73">
        <v>0</v>
      </c>
      <c r="AK204" s="40">
        <v>0</v>
      </c>
      <c r="AL204" s="52">
        <v>0</v>
      </c>
      <c r="AM204" s="73">
        <v>0</v>
      </c>
      <c r="AN204" s="40">
        <v>0</v>
      </c>
      <c r="AO204" s="52">
        <v>0</v>
      </c>
      <c r="AP204" s="73">
        <v>2521.3833333333328</v>
      </c>
      <c r="AQ204" s="40">
        <v>0</v>
      </c>
      <c r="AR204" s="52">
        <v>-2521.3833333333328</v>
      </c>
      <c r="AS204" s="73">
        <v>5236.8507072742213</v>
      </c>
      <c r="AT204" s="40">
        <v>1288</v>
      </c>
      <c r="AU204" s="54">
        <v>-3948.8507072742213</v>
      </c>
      <c r="AV204" s="73">
        <v>1008.2534544924165</v>
      </c>
      <c r="AW204" s="40">
        <v>0</v>
      </c>
      <c r="AX204" s="55">
        <v>-1008.2534544924165</v>
      </c>
      <c r="AY204" s="73">
        <v>1410.1536093022112</v>
      </c>
      <c r="AZ204" s="40">
        <v>0</v>
      </c>
      <c r="BA204" s="35">
        <v>-1410.1536093022112</v>
      </c>
      <c r="BB204" s="73">
        <v>320.27755086580339</v>
      </c>
      <c r="BC204" s="40">
        <v>0</v>
      </c>
      <c r="BD204" s="55">
        <v>-320.27755086580339</v>
      </c>
      <c r="BE204" s="73">
        <v>0</v>
      </c>
      <c r="BF204" s="40">
        <v>0</v>
      </c>
      <c r="BG204" s="38">
        <v>0</v>
      </c>
      <c r="BH204" s="73">
        <v>693.37918820845721</v>
      </c>
      <c r="BI204" s="40">
        <v>0</v>
      </c>
      <c r="BJ204" s="55">
        <v>-693.37918820845721</v>
      </c>
      <c r="BK204" s="73">
        <v>980.13055299390396</v>
      </c>
      <c r="BL204" s="40">
        <v>0</v>
      </c>
      <c r="BM204" s="38">
        <v>-980.13055299390396</v>
      </c>
      <c r="BN204" s="73">
        <v>90.472399999999993</v>
      </c>
      <c r="BO204" s="40">
        <v>0</v>
      </c>
      <c r="BP204" s="55">
        <v>-90.472399999999993</v>
      </c>
      <c r="BQ204" s="77">
        <v>4502.6667558627914</v>
      </c>
      <c r="BR204" s="40">
        <v>0</v>
      </c>
      <c r="BS204" s="55">
        <v>-4502.6667558627914</v>
      </c>
      <c r="BT204" s="73">
        <v>5151.6932883503196</v>
      </c>
      <c r="BU204" s="40">
        <v>888.89983705483451</v>
      </c>
      <c r="BV204" s="52">
        <v>-4262.7934512954853</v>
      </c>
      <c r="BW204" s="73">
        <v>2766.35289289096</v>
      </c>
      <c r="BX204" s="40">
        <v>2147.6324943523528</v>
      </c>
      <c r="BY204" s="52">
        <v>-618.72039853860724</v>
      </c>
      <c r="BZ204" s="73">
        <v>2512.47991659122</v>
      </c>
      <c r="CA204" s="40">
        <v>7229.3706397060323</v>
      </c>
      <c r="CB204" s="52">
        <v>4716.8907231148123</v>
      </c>
      <c r="CC204" s="73">
        <v>270.372221185</v>
      </c>
      <c r="CD204" s="40">
        <v>341.1463254189876</v>
      </c>
      <c r="CE204" s="52">
        <v>70.7741042339876</v>
      </c>
      <c r="CF204" s="73">
        <v>32.123432219999998</v>
      </c>
      <c r="CG204" s="40">
        <v>0</v>
      </c>
      <c r="CH204" s="52">
        <v>-32.123432219999998</v>
      </c>
      <c r="CI204" s="73">
        <v>1192.92</v>
      </c>
      <c r="CJ204" s="40">
        <v>2668.2037645971923</v>
      </c>
      <c r="CK204" s="52">
        <v>1475.2837645971922</v>
      </c>
      <c r="CL204" s="73">
        <v>0</v>
      </c>
      <c r="CM204" s="40">
        <v>0</v>
      </c>
      <c r="CN204" s="52">
        <v>0</v>
      </c>
      <c r="CO204" s="39">
        <v>1192.92</v>
      </c>
      <c r="CP204" s="40">
        <v>2668.2037645971923</v>
      </c>
      <c r="CQ204" s="52">
        <v>1475.2837645971922</v>
      </c>
      <c r="CR204" s="72">
        <v>32895.422996747177</v>
      </c>
      <c r="CS204" s="5">
        <v>24318.428747837337</v>
      </c>
      <c r="CT204" s="52">
        <v>-8576.9942489098394</v>
      </c>
      <c r="CU204" s="77">
        <v>39474.507596096613</v>
      </c>
      <c r="CV204" s="65">
        <v>29182.114497404804</v>
      </c>
      <c r="CW204" s="35">
        <v>-10292.393098691809</v>
      </c>
      <c r="CX204" s="73">
        <v>2203.9813921595492</v>
      </c>
      <c r="CY204" s="40">
        <v>12496.374490851358</v>
      </c>
      <c r="CZ204" s="52">
        <v>10292.393098691809</v>
      </c>
      <c r="DA204" s="150">
        <v>-70879.981704506499</v>
      </c>
      <c r="DB204" s="2">
        <v>2</v>
      </c>
      <c r="DC204" s="648">
        <v>55051.11</v>
      </c>
      <c r="DD204" s="648"/>
      <c r="DE204" s="649">
        <v>13372.621011743839</v>
      </c>
      <c r="DG204" s="321">
        <v>67395.53605099651</v>
      </c>
      <c r="DH204" s="5">
        <v>500141.86785907391</v>
      </c>
      <c r="DI204" s="306">
        <v>4.5813124196883743</v>
      </c>
      <c r="DJ204" s="306"/>
      <c r="DK204" s="306"/>
      <c r="DL204" s="28">
        <v>20725.903199794404</v>
      </c>
      <c r="DM204" s="28">
        <v>0</v>
      </c>
      <c r="DN204" s="650">
        <v>20725.830000000002</v>
      </c>
      <c r="DO204" s="94">
        <v>7.3199794402171392E-2</v>
      </c>
      <c r="DP204" s="28">
        <v>20725.903199794404</v>
      </c>
      <c r="DQ204" s="318">
        <v>1.7867118436806777</v>
      </c>
      <c r="DS204" s="8">
        <v>19737.253798048307</v>
      </c>
      <c r="DT204" s="5">
        <v>986.86268990241535</v>
      </c>
      <c r="DW204" s="5">
        <v>11687.420955764415</v>
      </c>
      <c r="DX204" s="5">
        <v>1545.6</v>
      </c>
    </row>
    <row r="205" spans="1:128" x14ac:dyDescent="0.3">
      <c r="A205" s="325">
        <v>150000683</v>
      </c>
      <c r="B205" s="41" t="s">
        <v>653</v>
      </c>
      <c r="C205" s="42" t="s">
        <v>116</v>
      </c>
      <c r="D205" s="42" t="s">
        <v>116</v>
      </c>
      <c r="E205" s="293">
        <v>256.60000000000002</v>
      </c>
      <c r="F205" s="305">
        <v>256.60000000000002</v>
      </c>
      <c r="G205" s="51"/>
      <c r="H205" s="651">
        <v>0</v>
      </c>
      <c r="I205" s="73">
        <v>0</v>
      </c>
      <c r="J205" s="40">
        <v>0</v>
      </c>
      <c r="K205" s="52">
        <v>0</v>
      </c>
      <c r="L205" s="73">
        <v>0</v>
      </c>
      <c r="M205" s="40">
        <v>0</v>
      </c>
      <c r="N205" s="52">
        <v>0</v>
      </c>
      <c r="O205" s="73">
        <v>0</v>
      </c>
      <c r="P205" s="40">
        <v>0</v>
      </c>
      <c r="Q205" s="52">
        <v>0</v>
      </c>
      <c r="R205" s="73">
        <v>0</v>
      </c>
      <c r="S205" s="40">
        <v>0</v>
      </c>
      <c r="T205" s="52">
        <v>0</v>
      </c>
      <c r="U205" s="73">
        <v>0</v>
      </c>
      <c r="V205" s="40">
        <v>0</v>
      </c>
      <c r="W205" s="52">
        <v>0</v>
      </c>
      <c r="X205" s="73">
        <v>0</v>
      </c>
      <c r="Y205" s="40">
        <v>0</v>
      </c>
      <c r="Z205" s="52">
        <v>0</v>
      </c>
      <c r="AA205" s="73">
        <v>20.528000000000002</v>
      </c>
      <c r="AB205" s="40">
        <v>0</v>
      </c>
      <c r="AC205" s="52">
        <v>-20.528000000000002</v>
      </c>
      <c r="AD205" s="73">
        <v>154.14296018949145</v>
      </c>
      <c r="AE205" s="40">
        <v>231.27489976597775</v>
      </c>
      <c r="AF205" s="35">
        <v>77.131939576486303</v>
      </c>
      <c r="AG205" s="77">
        <v>174.67096018949144</v>
      </c>
      <c r="AH205" s="53">
        <v>231.27489976597775</v>
      </c>
      <c r="AI205" s="52">
        <v>56.603939576486312</v>
      </c>
      <c r="AJ205" s="73">
        <v>0</v>
      </c>
      <c r="AK205" s="40">
        <v>0</v>
      </c>
      <c r="AL205" s="52">
        <v>0</v>
      </c>
      <c r="AM205" s="73">
        <v>0</v>
      </c>
      <c r="AN205" s="40">
        <v>0</v>
      </c>
      <c r="AO205" s="52">
        <v>0</v>
      </c>
      <c r="AP205" s="73">
        <v>69.338041666666669</v>
      </c>
      <c r="AQ205" s="40">
        <v>0</v>
      </c>
      <c r="AR205" s="52">
        <v>-69.338041666666669</v>
      </c>
      <c r="AS205" s="73">
        <v>339.10197058591058</v>
      </c>
      <c r="AT205" s="40">
        <v>0</v>
      </c>
      <c r="AU205" s="54">
        <v>-339.10197058591058</v>
      </c>
      <c r="AV205" s="73">
        <v>0</v>
      </c>
      <c r="AW205" s="40">
        <v>0</v>
      </c>
      <c r="AX205" s="55">
        <v>0</v>
      </c>
      <c r="AY205" s="73">
        <v>0</v>
      </c>
      <c r="AZ205" s="40">
        <v>0</v>
      </c>
      <c r="BA205" s="35">
        <v>0</v>
      </c>
      <c r="BB205" s="73">
        <v>0</v>
      </c>
      <c r="BC205" s="40">
        <v>0</v>
      </c>
      <c r="BD205" s="55">
        <v>0</v>
      </c>
      <c r="BE205" s="73">
        <v>0</v>
      </c>
      <c r="BF205" s="40">
        <v>0</v>
      </c>
      <c r="BG205" s="38">
        <v>0</v>
      </c>
      <c r="BH205" s="73">
        <v>0</v>
      </c>
      <c r="BI205" s="40">
        <v>0</v>
      </c>
      <c r="BJ205" s="55">
        <v>0</v>
      </c>
      <c r="BK205" s="73">
        <v>0</v>
      </c>
      <c r="BL205" s="40">
        <v>0</v>
      </c>
      <c r="BM205" s="38">
        <v>0</v>
      </c>
      <c r="BN205" s="73">
        <v>5.1320000000000006</v>
      </c>
      <c r="BO205" s="40">
        <v>0</v>
      </c>
      <c r="BP205" s="55">
        <v>-5.1320000000000006</v>
      </c>
      <c r="BQ205" s="77">
        <v>5.1320000000000006</v>
      </c>
      <c r="BR205" s="40">
        <v>0</v>
      </c>
      <c r="BS205" s="55">
        <v>-5.1320000000000006</v>
      </c>
      <c r="BT205" s="73">
        <v>0</v>
      </c>
      <c r="BU205" s="40">
        <v>0</v>
      </c>
      <c r="BV205" s="52">
        <v>0</v>
      </c>
      <c r="BW205" s="73">
        <v>0</v>
      </c>
      <c r="BX205" s="40">
        <v>0.95270999978904181</v>
      </c>
      <c r="BY205" s="52">
        <v>0.95270999978904181</v>
      </c>
      <c r="BZ205" s="73">
        <v>0</v>
      </c>
      <c r="CA205" s="40">
        <v>0</v>
      </c>
      <c r="CB205" s="52">
        <v>0</v>
      </c>
      <c r="CC205" s="73">
        <v>0</v>
      </c>
      <c r="CD205" s="40">
        <v>0</v>
      </c>
      <c r="CE205" s="52">
        <v>0</v>
      </c>
      <c r="CF205" s="73">
        <v>0</v>
      </c>
      <c r="CG205" s="40">
        <v>0</v>
      </c>
      <c r="CH205" s="52">
        <v>0</v>
      </c>
      <c r="CI205" s="73">
        <v>0</v>
      </c>
      <c r="CJ205" s="40">
        <v>0</v>
      </c>
      <c r="CK205" s="52">
        <v>0</v>
      </c>
      <c r="CL205" s="73">
        <v>0</v>
      </c>
      <c r="CM205" s="40">
        <v>0</v>
      </c>
      <c r="CN205" s="52">
        <v>0</v>
      </c>
      <c r="CO205" s="39">
        <v>0</v>
      </c>
      <c r="CP205" s="40">
        <v>0</v>
      </c>
      <c r="CQ205" s="52">
        <v>0</v>
      </c>
      <c r="CR205" s="72">
        <v>588.24297244206866</v>
      </c>
      <c r="CS205" s="5">
        <v>232.2276097657668</v>
      </c>
      <c r="CT205" s="52">
        <v>-356.01536267630183</v>
      </c>
      <c r="CU205" s="77">
        <v>705.89156693048233</v>
      </c>
      <c r="CV205" s="65">
        <v>278.67313171892016</v>
      </c>
      <c r="CW205" s="35">
        <v>-427.21843521156217</v>
      </c>
      <c r="CX205" s="73">
        <v>39.412065485801541</v>
      </c>
      <c r="CY205" s="40">
        <v>466.63050069736374</v>
      </c>
      <c r="CZ205" s="52">
        <v>427.21843521156222</v>
      </c>
      <c r="DA205" s="150">
        <v>3125.8117758387657</v>
      </c>
      <c r="DB205" s="2">
        <v>3</v>
      </c>
      <c r="DC205" s="648">
        <v>1432.84</v>
      </c>
      <c r="DD205" s="648"/>
      <c r="DE205" s="649">
        <v>687.53636758371601</v>
      </c>
      <c r="DG205" s="321">
        <v>1186.2412012826871</v>
      </c>
      <c r="DH205" s="5">
        <v>8943.6435889954064</v>
      </c>
      <c r="DI205" s="306">
        <v>1.444244242550675</v>
      </c>
      <c r="DJ205" s="306"/>
      <c r="DK205" s="306"/>
      <c r="DL205" s="28">
        <v>370.5930726385032</v>
      </c>
      <c r="DM205" s="28">
        <v>0</v>
      </c>
      <c r="DN205" s="650">
        <v>370.58</v>
      </c>
      <c r="DO205" s="94">
        <v>1.3072638503217604E-2</v>
      </c>
      <c r="DP205" s="28">
        <v>370.5930726385032</v>
      </c>
      <c r="DQ205" s="318">
        <v>0</v>
      </c>
      <c r="DS205" s="8">
        <v>352.94578346524116</v>
      </c>
      <c r="DT205" s="5">
        <v>17.64728917326206</v>
      </c>
      <c r="DW205" s="5">
        <v>413.08076470309271</v>
      </c>
      <c r="DX205" s="5">
        <v>0</v>
      </c>
    </row>
    <row r="206" spans="1:128" x14ac:dyDescent="0.3">
      <c r="A206" s="325">
        <v>150000696</v>
      </c>
      <c r="B206" s="41" t="s">
        <v>654</v>
      </c>
      <c r="C206" s="42" t="s">
        <v>371</v>
      </c>
      <c r="D206" s="42" t="s">
        <v>371</v>
      </c>
      <c r="E206" s="293">
        <v>6305.17</v>
      </c>
      <c r="F206" s="652">
        <v>6305.17</v>
      </c>
      <c r="G206" s="51">
        <v>704.22000000000025</v>
      </c>
      <c r="H206" s="651">
        <v>0</v>
      </c>
      <c r="I206" s="73">
        <v>3123.1708850366767</v>
      </c>
      <c r="J206" s="40">
        <v>3513.478661630078</v>
      </c>
      <c r="K206" s="52">
        <v>390.30777659340129</v>
      </c>
      <c r="L206" s="73">
        <v>640.80270427132473</v>
      </c>
      <c r="M206" s="40">
        <v>721.93993926361236</v>
      </c>
      <c r="N206" s="52">
        <v>81.137234992287631</v>
      </c>
      <c r="O206" s="73">
        <v>1086.6645148642601</v>
      </c>
      <c r="P206" s="40">
        <v>1086.3833333333334</v>
      </c>
      <c r="Q206" s="52">
        <v>-0.28118153092668763</v>
      </c>
      <c r="R206" s="73">
        <v>269.86451577959667</v>
      </c>
      <c r="S206" s="40">
        <v>270.01666666666665</v>
      </c>
      <c r="T206" s="52">
        <v>0.15215088706997904</v>
      </c>
      <c r="U206" s="73">
        <v>129.82091592576384</v>
      </c>
      <c r="V206" s="40">
        <v>243.32903056820322</v>
      </c>
      <c r="W206" s="52">
        <v>113.50811464243938</v>
      </c>
      <c r="X206" s="73">
        <v>1398.8837030739112</v>
      </c>
      <c r="Y206" s="40">
        <v>1495.4139819302991</v>
      </c>
      <c r="Z206" s="52">
        <v>96.530278856387895</v>
      </c>
      <c r="AA206" s="73">
        <v>504.31599999999997</v>
      </c>
      <c r="AB206" s="40">
        <v>0</v>
      </c>
      <c r="AC206" s="52">
        <v>-504.31599999999997</v>
      </c>
      <c r="AD206" s="73">
        <v>4541.494710410464</v>
      </c>
      <c r="AE206" s="40">
        <v>5682.8821502628598</v>
      </c>
      <c r="AF206" s="35">
        <v>1141.3874398523958</v>
      </c>
      <c r="AG206" s="77">
        <v>11695.017949361998</v>
      </c>
      <c r="AH206" s="53">
        <v>13013.443763655052</v>
      </c>
      <c r="AI206" s="52">
        <v>1318.4258142930539</v>
      </c>
      <c r="AJ206" s="73">
        <v>8282.6107649999994</v>
      </c>
      <c r="AK206" s="40">
        <v>8157.6411337860727</v>
      </c>
      <c r="AL206" s="52">
        <v>-124.96963121392673</v>
      </c>
      <c r="AM206" s="73">
        <v>0</v>
      </c>
      <c r="AN206" s="40">
        <v>0</v>
      </c>
      <c r="AO206" s="52">
        <v>0</v>
      </c>
      <c r="AP206" s="73">
        <v>680.7734999999999</v>
      </c>
      <c r="AQ206" s="40">
        <v>0</v>
      </c>
      <c r="AR206" s="52">
        <v>-680.7734999999999</v>
      </c>
      <c r="AS206" s="73">
        <v>7527.0925296753348</v>
      </c>
      <c r="AT206" s="40">
        <v>314</v>
      </c>
      <c r="AU206" s="54">
        <v>-7213.0925296753348</v>
      </c>
      <c r="AV206" s="73">
        <v>1553.6732409094129</v>
      </c>
      <c r="AW206" s="40">
        <v>0</v>
      </c>
      <c r="AX206" s="55">
        <v>-1553.6732409094129</v>
      </c>
      <c r="AY206" s="73">
        <v>1792.6299261946579</v>
      </c>
      <c r="AZ206" s="40">
        <v>0</v>
      </c>
      <c r="BA206" s="35">
        <v>-1792.6299261946579</v>
      </c>
      <c r="BB206" s="73">
        <v>547.64022117553804</v>
      </c>
      <c r="BC206" s="40">
        <v>1185</v>
      </c>
      <c r="BD206" s="55">
        <v>637.35977882446196</v>
      </c>
      <c r="BE206" s="73">
        <v>1404.8807066670179</v>
      </c>
      <c r="BF206" s="40">
        <v>0</v>
      </c>
      <c r="BG206" s="38">
        <v>-1404.8807066670179</v>
      </c>
      <c r="BH206" s="73">
        <v>626.90933560096028</v>
      </c>
      <c r="BI206" s="40">
        <v>0</v>
      </c>
      <c r="BJ206" s="55">
        <v>-626.90933560096028</v>
      </c>
      <c r="BK206" s="73">
        <v>1165.1534167148218</v>
      </c>
      <c r="BL206" s="40">
        <v>0</v>
      </c>
      <c r="BM206" s="38">
        <v>-1165.1534167148218</v>
      </c>
      <c r="BN206" s="73">
        <v>126.07899999999999</v>
      </c>
      <c r="BO206" s="40">
        <v>0</v>
      </c>
      <c r="BP206" s="55">
        <v>-126.07899999999999</v>
      </c>
      <c r="BQ206" s="77">
        <v>7216.9658472624087</v>
      </c>
      <c r="BR206" s="40">
        <v>1185</v>
      </c>
      <c r="BS206" s="55">
        <v>-6031.9658472624087</v>
      </c>
      <c r="BT206" s="73">
        <v>8502.2296640423992</v>
      </c>
      <c r="BU206" s="40">
        <v>1502.5964629381176</v>
      </c>
      <c r="BV206" s="52">
        <v>-6999.6332011042814</v>
      </c>
      <c r="BW206" s="73">
        <v>6511.9248201014598</v>
      </c>
      <c r="BX206" s="40">
        <v>5772.5922270334868</v>
      </c>
      <c r="BY206" s="52">
        <v>-739.33259306797299</v>
      </c>
      <c r="BZ206" s="73">
        <v>1551.6412480861579</v>
      </c>
      <c r="CA206" s="40">
        <v>9023.9525401429182</v>
      </c>
      <c r="CB206" s="52">
        <v>7472.3112920567601</v>
      </c>
      <c r="CC206" s="73">
        <v>234.77008087499999</v>
      </c>
      <c r="CD206" s="40">
        <v>289.18874717631053</v>
      </c>
      <c r="CE206" s="52">
        <v>54.418666301310537</v>
      </c>
      <c r="CF206" s="73">
        <v>27.23094</v>
      </c>
      <c r="CG206" s="40">
        <v>0</v>
      </c>
      <c r="CH206" s="52">
        <v>-27.23094</v>
      </c>
      <c r="CI206" s="73">
        <v>7799.08</v>
      </c>
      <c r="CJ206" s="40">
        <v>5847.2684571362479</v>
      </c>
      <c r="CK206" s="52">
        <v>-1951.811542863752</v>
      </c>
      <c r="CL206" s="73">
        <v>2251.8919500000002</v>
      </c>
      <c r="CM206" s="40">
        <v>2185.8044394244685</v>
      </c>
      <c r="CN206" s="52">
        <v>-66.087510575531724</v>
      </c>
      <c r="CO206" s="39">
        <v>10050.971949999999</v>
      </c>
      <c r="CP206" s="40">
        <v>8033.0728965607159</v>
      </c>
      <c r="CQ206" s="52">
        <v>-2017.8990534392833</v>
      </c>
      <c r="CR206" s="72">
        <v>62281.229294404751</v>
      </c>
      <c r="CS206" s="5">
        <v>47291.487771292668</v>
      </c>
      <c r="CT206" s="52">
        <v>-14989.741523112083</v>
      </c>
      <c r="CU206" s="77">
        <v>74737.475153285704</v>
      </c>
      <c r="CV206" s="65">
        <v>56749.785325551202</v>
      </c>
      <c r="CW206" s="35">
        <v>-17987.689827734503</v>
      </c>
      <c r="CX206" s="73">
        <v>4172.8197402800906</v>
      </c>
      <c r="CY206" s="40">
        <v>22160.50956801459</v>
      </c>
      <c r="CZ206" s="52">
        <v>17987.689827734499</v>
      </c>
      <c r="DA206" s="150">
        <v>-83133.339140670956</v>
      </c>
      <c r="DB206" s="2">
        <v>3</v>
      </c>
      <c r="DC206" s="648">
        <v>80289.34</v>
      </c>
      <c r="DD206" s="648"/>
      <c r="DE206" s="649">
        <v>1379.0451064342051</v>
      </c>
      <c r="DG206" s="321">
        <v>133456.23992386635</v>
      </c>
      <c r="DH206" s="5">
        <v>946923.5387227895</v>
      </c>
      <c r="DI206" s="306">
        <v>5.1714302532578778</v>
      </c>
      <c r="DJ206" s="306">
        <v>6.3566189517219112</v>
      </c>
      <c r="DK206" s="306"/>
      <c r="DL206" s="28">
        <v>39244.929530596099</v>
      </c>
      <c r="DM206" s="28">
        <v>0</v>
      </c>
      <c r="DN206" s="650">
        <v>39248.94</v>
      </c>
      <c r="DO206" s="94">
        <v>-4.0104694039036985</v>
      </c>
      <c r="DP206" s="28">
        <v>39244.929530596099</v>
      </c>
      <c r="DQ206" s="318">
        <v>7.7550751211019815</v>
      </c>
      <c r="DS206" s="8">
        <v>37368.737576642852</v>
      </c>
      <c r="DT206" s="5">
        <v>1868.4368788321426</v>
      </c>
      <c r="DW206" s="5">
        <v>17692.870052325292</v>
      </c>
      <c r="DX206" s="5">
        <v>1798.8</v>
      </c>
    </row>
    <row r="207" spans="1:128" x14ac:dyDescent="0.3">
      <c r="A207" s="325">
        <v>150000697</v>
      </c>
      <c r="B207" s="41" t="s">
        <v>655</v>
      </c>
      <c r="C207" s="42" t="s">
        <v>266</v>
      </c>
      <c r="D207" s="42" t="s">
        <v>266</v>
      </c>
      <c r="E207" s="293">
        <v>2744.3</v>
      </c>
      <c r="F207" s="305">
        <v>2744.3</v>
      </c>
      <c r="G207" s="51"/>
      <c r="H207" s="651">
        <v>0</v>
      </c>
      <c r="I207" s="73">
        <v>1525.0331259327436</v>
      </c>
      <c r="J207" s="40">
        <v>1709.5517360518393</v>
      </c>
      <c r="K207" s="52">
        <v>184.51861011909568</v>
      </c>
      <c r="L207" s="73">
        <v>414.41301523543927</v>
      </c>
      <c r="M207" s="40">
        <v>466.88564572657572</v>
      </c>
      <c r="N207" s="52">
        <v>52.472630491136442</v>
      </c>
      <c r="O207" s="73">
        <v>541.1418484953</v>
      </c>
      <c r="P207" s="40">
        <v>541.1</v>
      </c>
      <c r="Q207" s="52">
        <v>-4.1848495299973365E-2</v>
      </c>
      <c r="R207" s="73">
        <v>129.15713462674665</v>
      </c>
      <c r="S207" s="40">
        <v>128.98333333333335</v>
      </c>
      <c r="T207" s="52">
        <v>-0.1738012934133053</v>
      </c>
      <c r="U207" s="73">
        <v>78.670373845636448</v>
      </c>
      <c r="V207" s="40">
        <v>147.45496328276144</v>
      </c>
      <c r="W207" s="52">
        <v>68.784589437124993</v>
      </c>
      <c r="X207" s="73">
        <v>901.39363273173171</v>
      </c>
      <c r="Y207" s="40">
        <v>961.24673147865838</v>
      </c>
      <c r="Z207" s="52">
        <v>59.853098746926662</v>
      </c>
      <c r="AA207" s="73">
        <v>219.55200000000002</v>
      </c>
      <c r="AB207" s="40">
        <v>0</v>
      </c>
      <c r="AC207" s="52">
        <v>-219.55200000000002</v>
      </c>
      <c r="AD207" s="73">
        <v>1977.1231696653138</v>
      </c>
      <c r="AE207" s="40">
        <v>2473.4517047068302</v>
      </c>
      <c r="AF207" s="35">
        <v>496.32853504151649</v>
      </c>
      <c r="AG207" s="77">
        <v>5786.4843005329112</v>
      </c>
      <c r="AH207" s="53">
        <v>6428.6741145799988</v>
      </c>
      <c r="AI207" s="52">
        <v>642.18981404708757</v>
      </c>
      <c r="AJ207" s="73">
        <v>0</v>
      </c>
      <c r="AK207" s="40">
        <v>0</v>
      </c>
      <c r="AL207" s="52">
        <v>0</v>
      </c>
      <c r="AM207" s="73">
        <v>0</v>
      </c>
      <c r="AN207" s="40">
        <v>0</v>
      </c>
      <c r="AO207" s="52">
        <v>0</v>
      </c>
      <c r="AP207" s="73">
        <v>378.20749999999998</v>
      </c>
      <c r="AQ207" s="40">
        <v>0</v>
      </c>
      <c r="AR207" s="52">
        <v>-378.20749999999998</v>
      </c>
      <c r="AS207" s="73">
        <v>5172.6323278703203</v>
      </c>
      <c r="AT207" s="40">
        <v>206</v>
      </c>
      <c r="AU207" s="54">
        <v>-4966.6323278703203</v>
      </c>
      <c r="AV207" s="73">
        <v>704.33476163498267</v>
      </c>
      <c r="AW207" s="40">
        <v>0</v>
      </c>
      <c r="AX207" s="55">
        <v>-704.33476163498267</v>
      </c>
      <c r="AY207" s="73">
        <v>1147.0158620337227</v>
      </c>
      <c r="AZ207" s="40">
        <v>0</v>
      </c>
      <c r="BA207" s="35">
        <v>-1147.0158620337227</v>
      </c>
      <c r="BB207" s="73">
        <v>164.94828525171999</v>
      </c>
      <c r="BC207" s="40">
        <v>0</v>
      </c>
      <c r="BD207" s="55">
        <v>-164.94828525171999</v>
      </c>
      <c r="BE207" s="73">
        <v>583.09988544995394</v>
      </c>
      <c r="BF207" s="40">
        <v>0</v>
      </c>
      <c r="BG207" s="38">
        <v>-583.09988544995394</v>
      </c>
      <c r="BH207" s="73">
        <v>379.92449008976422</v>
      </c>
      <c r="BI207" s="40">
        <v>0</v>
      </c>
      <c r="BJ207" s="55">
        <v>-379.92449008976422</v>
      </c>
      <c r="BK207" s="73">
        <v>532.15873153182702</v>
      </c>
      <c r="BL207" s="40">
        <v>0</v>
      </c>
      <c r="BM207" s="38">
        <v>-532.15873153182702</v>
      </c>
      <c r="BN207" s="73">
        <v>54.888000000000005</v>
      </c>
      <c r="BO207" s="40">
        <v>0</v>
      </c>
      <c r="BP207" s="55">
        <v>-54.888000000000005</v>
      </c>
      <c r="BQ207" s="77">
        <v>3566.3700159919704</v>
      </c>
      <c r="BR207" s="40">
        <v>0</v>
      </c>
      <c r="BS207" s="55">
        <v>-3566.3700159919704</v>
      </c>
      <c r="BT207" s="73">
        <v>2500.9147243417601</v>
      </c>
      <c r="BU207" s="40">
        <v>746.52052572235777</v>
      </c>
      <c r="BV207" s="52">
        <v>-1754.3941986194022</v>
      </c>
      <c r="BW207" s="73">
        <v>2019.65358515312</v>
      </c>
      <c r="BX207" s="40">
        <v>2072.5831625097144</v>
      </c>
      <c r="BY207" s="52">
        <v>52.929577356594336</v>
      </c>
      <c r="BZ207" s="73">
        <v>1216.7134477674099</v>
      </c>
      <c r="CA207" s="40">
        <v>4496.169292791903</v>
      </c>
      <c r="CB207" s="52">
        <v>3279.4558450244931</v>
      </c>
      <c r="CC207" s="73">
        <v>210.09426625</v>
      </c>
      <c r="CD207" s="40">
        <v>265.08968491161795</v>
      </c>
      <c r="CE207" s="52">
        <v>54.995418661617947</v>
      </c>
      <c r="CF207" s="73">
        <v>24.961694999999999</v>
      </c>
      <c r="CG207" s="40">
        <v>0</v>
      </c>
      <c r="CH207" s="52">
        <v>-24.961694999999999</v>
      </c>
      <c r="CI207" s="73">
        <v>1333.08</v>
      </c>
      <c r="CJ207" s="40">
        <v>1932.7093668309603</v>
      </c>
      <c r="CK207" s="52">
        <v>599.62936683096041</v>
      </c>
      <c r="CL207" s="73">
        <v>0</v>
      </c>
      <c r="CM207" s="40">
        <v>0</v>
      </c>
      <c r="CN207" s="52">
        <v>0</v>
      </c>
      <c r="CO207" s="39">
        <v>1333.08</v>
      </c>
      <c r="CP207" s="40">
        <v>1932.7093668309603</v>
      </c>
      <c r="CQ207" s="52">
        <v>599.62936683096041</v>
      </c>
      <c r="CR207" s="72">
        <v>22209.111862907492</v>
      </c>
      <c r="CS207" s="5">
        <v>16147.746147346552</v>
      </c>
      <c r="CT207" s="52">
        <v>-6061.3657155609399</v>
      </c>
      <c r="CU207" s="77">
        <v>26650.934235488989</v>
      </c>
      <c r="CV207" s="65">
        <v>19377.295376815862</v>
      </c>
      <c r="CW207" s="35">
        <v>-7273.6388586731264</v>
      </c>
      <c r="CX207" s="73">
        <v>1488.0024277869361</v>
      </c>
      <c r="CY207" s="40">
        <v>8761.6412864600643</v>
      </c>
      <c r="CZ207" s="52">
        <v>7273.6388586731282</v>
      </c>
      <c r="DA207" s="150">
        <v>-19631.591670591366</v>
      </c>
      <c r="DB207" s="2">
        <v>3</v>
      </c>
      <c r="DC207" s="648">
        <v>35979.56</v>
      </c>
      <c r="DD207" s="648"/>
      <c r="DE207" s="649">
        <v>7840.6233367240711</v>
      </c>
      <c r="DG207" s="321">
        <v>-61925.65418756556</v>
      </c>
      <c r="DH207" s="5">
        <v>337667.23995931109</v>
      </c>
      <c r="DI207" s="306">
        <v>5.0982875942398049</v>
      </c>
      <c r="DJ207" s="306"/>
      <c r="DK207" s="306"/>
      <c r="DL207" s="28">
        <v>13991.230644872297</v>
      </c>
      <c r="DM207" s="28">
        <v>0</v>
      </c>
      <c r="DN207" s="650">
        <v>13991.14</v>
      </c>
      <c r="DO207" s="94">
        <v>9.0644872298071277E-2</v>
      </c>
      <c r="DP207" s="28">
        <v>13991.230644872297</v>
      </c>
      <c r="DQ207" s="318">
        <v>-0.50982875942099781</v>
      </c>
      <c r="DS207" s="8">
        <v>13325.467117744494</v>
      </c>
      <c r="DT207" s="5">
        <v>666.27335588722474</v>
      </c>
      <c r="DW207" s="5">
        <v>10486.802812634747</v>
      </c>
      <c r="DX207" s="5">
        <v>247.2</v>
      </c>
    </row>
    <row r="208" spans="1:128" x14ac:dyDescent="0.3">
      <c r="A208" s="325">
        <v>150000694</v>
      </c>
      <c r="B208" s="41" t="s">
        <v>656</v>
      </c>
      <c r="C208" s="42" t="s">
        <v>372</v>
      </c>
      <c r="D208" s="42" t="s">
        <v>372</v>
      </c>
      <c r="E208" s="293">
        <v>6138.38</v>
      </c>
      <c r="F208" s="652">
        <v>6138.38</v>
      </c>
      <c r="G208" s="653">
        <v>688.0600000000004</v>
      </c>
      <c r="H208" s="651">
        <v>0</v>
      </c>
      <c r="I208" s="73">
        <v>3121.8592556484605</v>
      </c>
      <c r="J208" s="40">
        <v>3510.5649525180997</v>
      </c>
      <c r="K208" s="52">
        <v>388.70569686963927</v>
      </c>
      <c r="L208" s="73">
        <v>640.50029520098121</v>
      </c>
      <c r="M208" s="40">
        <v>721.59921787911651</v>
      </c>
      <c r="N208" s="52">
        <v>81.098922678135295</v>
      </c>
      <c r="O208" s="73">
        <v>1060.0551136761733</v>
      </c>
      <c r="P208" s="40">
        <v>1059.9000000000001</v>
      </c>
      <c r="Q208" s="52">
        <v>-0.15511367617318683</v>
      </c>
      <c r="R208" s="73">
        <v>258.43365226396668</v>
      </c>
      <c r="S208" s="40">
        <v>258.83333333333337</v>
      </c>
      <c r="T208" s="52">
        <v>0.39968106936669301</v>
      </c>
      <c r="U208" s="73">
        <v>129.82091592576384</v>
      </c>
      <c r="V208" s="40">
        <v>243.32903056820322</v>
      </c>
      <c r="W208" s="52">
        <v>113.50811464243938</v>
      </c>
      <c r="X208" s="73">
        <v>1395.976412440049</v>
      </c>
      <c r="Y208" s="40">
        <v>1492.1952928045951</v>
      </c>
      <c r="Z208" s="52">
        <v>96.218880364546067</v>
      </c>
      <c r="AA208" s="73">
        <v>491.07040000000001</v>
      </c>
      <c r="AB208" s="40">
        <v>0</v>
      </c>
      <c r="AC208" s="52">
        <v>-491.07040000000001</v>
      </c>
      <c r="AD208" s="73">
        <v>4422.2261103288492</v>
      </c>
      <c r="AE208" s="40">
        <v>5532.5534654149742</v>
      </c>
      <c r="AF208" s="35">
        <v>1110.327355086125</v>
      </c>
      <c r="AG208" s="77">
        <v>11519.942155484245</v>
      </c>
      <c r="AH208" s="53">
        <v>12818.97529251832</v>
      </c>
      <c r="AI208" s="52">
        <v>1299.0331370340755</v>
      </c>
      <c r="AJ208" s="73">
        <v>11503.58</v>
      </c>
      <c r="AK208" s="40">
        <v>11330.043739662486</v>
      </c>
      <c r="AL208" s="52">
        <v>-173.53626033751425</v>
      </c>
      <c r="AM208" s="73">
        <v>0</v>
      </c>
      <c r="AN208" s="40">
        <v>0</v>
      </c>
      <c r="AO208" s="52">
        <v>0</v>
      </c>
      <c r="AP208" s="73">
        <v>680.7734999999999</v>
      </c>
      <c r="AQ208" s="40">
        <v>0</v>
      </c>
      <c r="AR208" s="52">
        <v>-680.7734999999999</v>
      </c>
      <c r="AS208" s="73">
        <v>4179.4747829647749</v>
      </c>
      <c r="AT208" s="40">
        <v>12316</v>
      </c>
      <c r="AU208" s="54">
        <v>8136.5252170352251</v>
      </c>
      <c r="AV208" s="73">
        <v>1552.7138051728364</v>
      </c>
      <c r="AW208" s="40">
        <v>0</v>
      </c>
      <c r="AX208" s="55">
        <v>-1552.7138051728364</v>
      </c>
      <c r="AY208" s="73">
        <v>1791.8141017018249</v>
      </c>
      <c r="AZ208" s="40">
        <v>2744</v>
      </c>
      <c r="BA208" s="35">
        <v>952.18589829817506</v>
      </c>
      <c r="BB208" s="73">
        <v>531.25128053553408</v>
      </c>
      <c r="BC208" s="40">
        <v>0</v>
      </c>
      <c r="BD208" s="55">
        <v>-531.25128053553408</v>
      </c>
      <c r="BE208" s="73">
        <v>1347.5466982468961</v>
      </c>
      <c r="BF208" s="40">
        <v>0</v>
      </c>
      <c r="BG208" s="38">
        <v>-1347.5466982468961</v>
      </c>
      <c r="BH208" s="73">
        <v>626.90933560096028</v>
      </c>
      <c r="BI208" s="40">
        <v>0</v>
      </c>
      <c r="BJ208" s="55">
        <v>-626.90933560096028</v>
      </c>
      <c r="BK208" s="73">
        <v>1155.465931777127</v>
      </c>
      <c r="BL208" s="40">
        <v>0</v>
      </c>
      <c r="BM208" s="38">
        <v>-1155.465931777127</v>
      </c>
      <c r="BN208" s="73">
        <v>122.7676</v>
      </c>
      <c r="BO208" s="40">
        <v>0</v>
      </c>
      <c r="BP208" s="55">
        <v>-122.7676</v>
      </c>
      <c r="BQ208" s="77">
        <v>7128.4687530351794</v>
      </c>
      <c r="BR208" s="40">
        <v>2744</v>
      </c>
      <c r="BS208" s="55">
        <v>-4384.4687530351794</v>
      </c>
      <c r="BT208" s="73">
        <v>8100.5718576564796</v>
      </c>
      <c r="BU208" s="40">
        <v>901.04513062522108</v>
      </c>
      <c r="BV208" s="52">
        <v>-7199.5267270312588</v>
      </c>
      <c r="BW208" s="73">
        <v>6471.5534506089198</v>
      </c>
      <c r="BX208" s="40">
        <v>3610.2801933834426</v>
      </c>
      <c r="BY208" s="52">
        <v>-2861.2732572254772</v>
      </c>
      <c r="BZ208" s="73">
        <v>1746.1880759747239</v>
      </c>
      <c r="CA208" s="40">
        <v>5388.9968111875505</v>
      </c>
      <c r="CB208" s="52">
        <v>3642.8087352128268</v>
      </c>
      <c r="CC208" s="73">
        <v>234.77008087499999</v>
      </c>
      <c r="CD208" s="40">
        <v>289.18874717631053</v>
      </c>
      <c r="CE208" s="52">
        <v>54.418666301310537</v>
      </c>
      <c r="CF208" s="73">
        <v>27.23094</v>
      </c>
      <c r="CG208" s="40">
        <v>0</v>
      </c>
      <c r="CH208" s="52">
        <v>-27.23094</v>
      </c>
      <c r="CI208" s="73">
        <v>2469.92</v>
      </c>
      <c r="CJ208" s="40">
        <v>1796.2100576962634</v>
      </c>
      <c r="CK208" s="52">
        <v>-673.70994230373663</v>
      </c>
      <c r="CL208" s="73">
        <v>3709.5481500000001</v>
      </c>
      <c r="CM208" s="40">
        <v>2693.5464675724684</v>
      </c>
      <c r="CN208" s="52">
        <v>-1016.0016824275317</v>
      </c>
      <c r="CO208" s="39">
        <v>6179.4681500000006</v>
      </c>
      <c r="CP208" s="40">
        <v>4489.7565252687318</v>
      </c>
      <c r="CQ208" s="52">
        <v>-1689.7116247312688</v>
      </c>
      <c r="CR208" s="72">
        <v>57772.021746599312</v>
      </c>
      <c r="CS208" s="5">
        <v>53888.286439822063</v>
      </c>
      <c r="CT208" s="52">
        <v>-3883.7353067772492</v>
      </c>
      <c r="CU208" s="77">
        <v>69326.426095919174</v>
      </c>
      <c r="CV208" s="65">
        <v>64665.943727786471</v>
      </c>
      <c r="CW208" s="35">
        <v>-4660.4823681327034</v>
      </c>
      <c r="CX208" s="73">
        <v>3870.7044724590537</v>
      </c>
      <c r="CY208" s="40">
        <v>8531.1868405917558</v>
      </c>
      <c r="CZ208" s="52">
        <v>4660.4823681327016</v>
      </c>
      <c r="DA208" s="150">
        <v>-50951.766511507099</v>
      </c>
      <c r="DB208" s="2">
        <v>3</v>
      </c>
      <c r="DC208" s="648">
        <v>74588.27</v>
      </c>
      <c r="DD208" s="648"/>
      <c r="DE208" s="649">
        <v>1391.1394316217775</v>
      </c>
      <c r="DG208" s="321">
        <v>51940.821438521823</v>
      </c>
      <c r="DH208" s="5">
        <v>878365.56682053872</v>
      </c>
      <c r="DI208" s="306">
        <v>4.6985210700311102</v>
      </c>
      <c r="DJ208" s="306">
        <v>6.0846892429915966</v>
      </c>
      <c r="DK208" s="306"/>
      <c r="DL208" s="28">
        <v>36396.367882307568</v>
      </c>
      <c r="DM208" s="28">
        <v>0</v>
      </c>
      <c r="DN208" s="650">
        <v>36403.769999999997</v>
      </c>
      <c r="DO208" s="94">
        <v>-7.4021176924288739</v>
      </c>
      <c r="DP208" s="28">
        <v>36396.367882307568</v>
      </c>
      <c r="DQ208" s="318">
        <v>-5.8180499981972389E-3</v>
      </c>
      <c r="DS208" s="8">
        <v>34663.213047959587</v>
      </c>
      <c r="DT208" s="5">
        <v>1733.1606523979792</v>
      </c>
      <c r="DW208" s="5">
        <v>13569.532243199947</v>
      </c>
      <c r="DX208" s="5">
        <v>18072</v>
      </c>
    </row>
    <row r="209" spans="1:128" x14ac:dyDescent="0.3">
      <c r="A209" s="325">
        <v>150000695</v>
      </c>
      <c r="B209" s="41" t="s">
        <v>657</v>
      </c>
      <c r="C209" s="42" t="s">
        <v>373</v>
      </c>
      <c r="D209" s="42" t="s">
        <v>373</v>
      </c>
      <c r="E209" s="293">
        <v>6304.32</v>
      </c>
      <c r="F209" s="652">
        <v>6304.32</v>
      </c>
      <c r="G209" s="51">
        <v>695.19999999999982</v>
      </c>
      <c r="H209" s="651">
        <v>0</v>
      </c>
      <c r="I209" s="73">
        <v>3125.5238368244077</v>
      </c>
      <c r="J209" s="40">
        <v>3516.0059381866276</v>
      </c>
      <c r="K209" s="52">
        <v>390.48210136221996</v>
      </c>
      <c r="L209" s="73">
        <v>598.28876583366377</v>
      </c>
      <c r="M209" s="40">
        <v>674.04424750016892</v>
      </c>
      <c r="N209" s="52">
        <v>75.755481666505148</v>
      </c>
      <c r="O209" s="73">
        <v>1086.6645148642601</v>
      </c>
      <c r="P209" s="40">
        <v>1086.45</v>
      </c>
      <c r="Q209" s="52">
        <v>-0.21451486426008159</v>
      </c>
      <c r="R209" s="73">
        <v>269.86451577959667</v>
      </c>
      <c r="S209" s="40">
        <v>270.03333333333336</v>
      </c>
      <c r="T209" s="52">
        <v>0.16881755373668739</v>
      </c>
      <c r="U209" s="73">
        <v>129.82091592576384</v>
      </c>
      <c r="V209" s="40">
        <v>243.32903056820322</v>
      </c>
      <c r="W209" s="52">
        <v>113.50811464243938</v>
      </c>
      <c r="X209" s="73">
        <v>1407.3264219224477</v>
      </c>
      <c r="Y209" s="40">
        <v>1515.4024582994889</v>
      </c>
      <c r="Z209" s="52">
        <v>108.07603637704119</v>
      </c>
      <c r="AA209" s="73">
        <v>504.34559999999999</v>
      </c>
      <c r="AB209" s="40">
        <v>0</v>
      </c>
      <c r="AC209" s="52">
        <v>-504.34559999999999</v>
      </c>
      <c r="AD209" s="73">
        <v>4541.7657785422543</v>
      </c>
      <c r="AE209" s="40">
        <v>5682.11604089107</v>
      </c>
      <c r="AF209" s="35">
        <v>1140.3502623488157</v>
      </c>
      <c r="AG209" s="77">
        <v>11663.600349692393</v>
      </c>
      <c r="AH209" s="53">
        <v>12987.381048778892</v>
      </c>
      <c r="AI209" s="52">
        <v>1323.7806990864992</v>
      </c>
      <c r="AJ209" s="73">
        <v>9964.5400000000009</v>
      </c>
      <c r="AK209" s="40">
        <v>9814.2234090276033</v>
      </c>
      <c r="AL209" s="52">
        <v>-150.31659097239753</v>
      </c>
      <c r="AM209" s="73">
        <v>210.14988500000001</v>
      </c>
      <c r="AN209" s="40">
        <v>0</v>
      </c>
      <c r="AO209" s="52">
        <v>-210.14988500000001</v>
      </c>
      <c r="AP209" s="73">
        <v>680.7734999999999</v>
      </c>
      <c r="AQ209" s="40">
        <v>0</v>
      </c>
      <c r="AR209" s="52">
        <v>-680.7734999999999</v>
      </c>
      <c r="AS209" s="73">
        <v>5854.8158986531507</v>
      </c>
      <c r="AT209" s="40">
        <v>1203</v>
      </c>
      <c r="AU209" s="54">
        <v>-4651.8158986531507</v>
      </c>
      <c r="AV209" s="73">
        <v>1555.4072602437814</v>
      </c>
      <c r="AW209" s="40">
        <v>0</v>
      </c>
      <c r="AX209" s="55">
        <v>-1555.4072602437814</v>
      </c>
      <c r="AY209" s="73">
        <v>1701.3480778495482</v>
      </c>
      <c r="AZ209" s="40">
        <v>3532</v>
      </c>
      <c r="BA209" s="35">
        <v>1830.6519221504518</v>
      </c>
      <c r="BB209" s="73">
        <v>547.64022117553804</v>
      </c>
      <c r="BC209" s="40">
        <v>0</v>
      </c>
      <c r="BD209" s="55">
        <v>-547.64022117553804</v>
      </c>
      <c r="BE209" s="73">
        <v>1404.8807066670179</v>
      </c>
      <c r="BF209" s="40">
        <v>0</v>
      </c>
      <c r="BG209" s="38">
        <v>-1404.8807066670179</v>
      </c>
      <c r="BH209" s="73">
        <v>626.90933560096028</v>
      </c>
      <c r="BI209" s="40">
        <v>0</v>
      </c>
      <c r="BJ209" s="55">
        <v>-626.90933560096028</v>
      </c>
      <c r="BK209" s="73">
        <v>1167.490248900787</v>
      </c>
      <c r="BL209" s="40">
        <v>0</v>
      </c>
      <c r="BM209" s="38">
        <v>-1167.490248900787</v>
      </c>
      <c r="BN209" s="73">
        <v>126.0864</v>
      </c>
      <c r="BO209" s="40">
        <v>0</v>
      </c>
      <c r="BP209" s="55">
        <v>-126.0864</v>
      </c>
      <c r="BQ209" s="77">
        <v>7129.7622504376322</v>
      </c>
      <c r="BR209" s="40">
        <v>3532</v>
      </c>
      <c r="BS209" s="55">
        <v>-3597.7622504376322</v>
      </c>
      <c r="BT209" s="73">
        <v>8194.1468618110193</v>
      </c>
      <c r="BU209" s="40">
        <v>1826.8238079832643</v>
      </c>
      <c r="BV209" s="52">
        <v>-6367.3230538277548</v>
      </c>
      <c r="BW209" s="73">
        <v>6667.85671908312</v>
      </c>
      <c r="BX209" s="40">
        <v>7350.4418339389322</v>
      </c>
      <c r="BY209" s="52">
        <v>682.58511485581221</v>
      </c>
      <c r="BZ209" s="73">
        <v>1736.1280998899499</v>
      </c>
      <c r="CA209" s="40">
        <v>10843.616800947137</v>
      </c>
      <c r="CB209" s="52">
        <v>9107.4887010571874</v>
      </c>
      <c r="CC209" s="73">
        <v>234.868859775</v>
      </c>
      <c r="CD209" s="40">
        <v>289.18874717631053</v>
      </c>
      <c r="CE209" s="52">
        <v>54.319887401310524</v>
      </c>
      <c r="CF209" s="73">
        <v>27.23094</v>
      </c>
      <c r="CG209" s="40">
        <v>0</v>
      </c>
      <c r="CH209" s="52">
        <v>-27.23094</v>
      </c>
      <c r="CI209" s="73">
        <v>3709.54</v>
      </c>
      <c r="CJ209" s="40">
        <v>4119.9412065708102</v>
      </c>
      <c r="CK209" s="52">
        <v>410.40120657081025</v>
      </c>
      <c r="CL209" s="73">
        <v>5559.6502499999997</v>
      </c>
      <c r="CM209" s="40">
        <v>6179.9044873476496</v>
      </c>
      <c r="CN209" s="52">
        <v>620.25423734764991</v>
      </c>
      <c r="CO209" s="39">
        <v>9269.1902499999997</v>
      </c>
      <c r="CP209" s="40">
        <v>10299.84569391846</v>
      </c>
      <c r="CQ209" s="52">
        <v>1030.6554439184602</v>
      </c>
      <c r="CR209" s="72">
        <v>61633.063614342274</v>
      </c>
      <c r="CS209" s="5">
        <v>58146.521341770604</v>
      </c>
      <c r="CT209" s="52">
        <v>-3486.5422725716708</v>
      </c>
      <c r="CU209" s="77">
        <v>73959.676337210723</v>
      </c>
      <c r="CV209" s="65">
        <v>69775.825610124724</v>
      </c>
      <c r="CW209" s="35">
        <v>-4183.8507270859991</v>
      </c>
      <c r="CX209" s="73">
        <v>4129.3928751494796</v>
      </c>
      <c r="CY209" s="40">
        <v>8313.2436022354814</v>
      </c>
      <c r="CZ209" s="52">
        <v>4183.8507270860018</v>
      </c>
      <c r="DA209" s="150">
        <v>-95072.392662473241</v>
      </c>
      <c r="DB209" s="2">
        <v>3</v>
      </c>
      <c r="DC209" s="648">
        <v>78131.289999999994</v>
      </c>
      <c r="DD209" s="648"/>
      <c r="DE209" s="649">
        <v>42.220787639787886</v>
      </c>
      <c r="DG209" s="321">
        <v>17714.843340028601</v>
      </c>
      <c r="DH209" s="5">
        <v>937068.83054832253</v>
      </c>
      <c r="DI209" s="306">
        <v>4.7524095528122983</v>
      </c>
      <c r="DJ209" s="306">
        <v>6.3334290414575758</v>
      </c>
      <c r="DK209" s="306"/>
      <c r="DL209" s="28">
        <v>38828.838626135628</v>
      </c>
      <c r="DM209" s="28">
        <v>0</v>
      </c>
      <c r="DN209" s="650">
        <v>38828.57</v>
      </c>
      <c r="DO209" s="94">
        <v>0.26862613562843762</v>
      </c>
      <c r="DP209" s="28">
        <v>38828.838626135628</v>
      </c>
      <c r="DQ209" s="318">
        <v>8.5490999990724958E-3</v>
      </c>
      <c r="DS209" s="8">
        <v>36979.838168605362</v>
      </c>
      <c r="DT209" s="5">
        <v>1848.9919084302683</v>
      </c>
      <c r="DW209" s="5">
        <v>15581.493778908938</v>
      </c>
      <c r="DX209" s="5">
        <v>5682</v>
      </c>
    </row>
    <row r="210" spans="1:128" x14ac:dyDescent="0.3">
      <c r="A210" s="325">
        <v>150000698</v>
      </c>
      <c r="B210" s="41" t="s">
        <v>658</v>
      </c>
      <c r="C210" s="42" t="s">
        <v>121</v>
      </c>
      <c r="D210" s="42" t="s">
        <v>121</v>
      </c>
      <c r="E210" s="293">
        <v>180</v>
      </c>
      <c r="F210" s="305">
        <v>180</v>
      </c>
      <c r="G210" s="51"/>
      <c r="H210" s="651">
        <v>0</v>
      </c>
      <c r="I210" s="73">
        <v>0</v>
      </c>
      <c r="J210" s="40">
        <v>0</v>
      </c>
      <c r="K210" s="52">
        <v>0</v>
      </c>
      <c r="L210" s="73">
        <v>0</v>
      </c>
      <c r="M210" s="40">
        <v>0</v>
      </c>
      <c r="N210" s="52">
        <v>0</v>
      </c>
      <c r="O210" s="73">
        <v>0</v>
      </c>
      <c r="P210" s="40">
        <v>0</v>
      </c>
      <c r="Q210" s="52">
        <v>0</v>
      </c>
      <c r="R210" s="73">
        <v>0</v>
      </c>
      <c r="S210" s="40">
        <v>0</v>
      </c>
      <c r="T210" s="52">
        <v>0</v>
      </c>
      <c r="U210" s="73">
        <v>0</v>
      </c>
      <c r="V210" s="40">
        <v>0</v>
      </c>
      <c r="W210" s="52">
        <v>0</v>
      </c>
      <c r="X210" s="73">
        <v>0</v>
      </c>
      <c r="Y210" s="40">
        <v>0</v>
      </c>
      <c r="Z210" s="52">
        <v>0</v>
      </c>
      <c r="AA210" s="73">
        <v>14.4</v>
      </c>
      <c r="AB210" s="40">
        <v>0</v>
      </c>
      <c r="AC210" s="52">
        <v>-14.4</v>
      </c>
      <c r="AD210" s="73">
        <v>108.13035795111938</v>
      </c>
      <c r="AE210" s="40">
        <v>162.23492579063128</v>
      </c>
      <c r="AF210" s="35">
        <v>54.104567839511901</v>
      </c>
      <c r="AG210" s="77">
        <v>122.53035795111938</v>
      </c>
      <c r="AH210" s="53">
        <v>162.23492579063128</v>
      </c>
      <c r="AI210" s="52">
        <v>39.704567839511895</v>
      </c>
      <c r="AJ210" s="73">
        <v>0</v>
      </c>
      <c r="AK210" s="40">
        <v>0</v>
      </c>
      <c r="AL210" s="52">
        <v>0</v>
      </c>
      <c r="AM210" s="73">
        <v>0</v>
      </c>
      <c r="AN210" s="40">
        <v>0</v>
      </c>
      <c r="AO210" s="52">
        <v>0</v>
      </c>
      <c r="AP210" s="73">
        <v>25.213833333333334</v>
      </c>
      <c r="AQ210" s="40">
        <v>0</v>
      </c>
      <c r="AR210" s="52">
        <v>-25.213833333333334</v>
      </c>
      <c r="AS210" s="73">
        <v>227.23636805879158</v>
      </c>
      <c r="AT210" s="40">
        <v>0</v>
      </c>
      <c r="AU210" s="54">
        <v>-227.23636805879158</v>
      </c>
      <c r="AV210" s="73">
        <v>0</v>
      </c>
      <c r="AW210" s="40">
        <v>0</v>
      </c>
      <c r="AX210" s="55">
        <v>0</v>
      </c>
      <c r="AY210" s="73">
        <v>0</v>
      </c>
      <c r="AZ210" s="40">
        <v>0</v>
      </c>
      <c r="BA210" s="35">
        <v>0</v>
      </c>
      <c r="BB210" s="73">
        <v>0</v>
      </c>
      <c r="BC210" s="40">
        <v>0</v>
      </c>
      <c r="BD210" s="55">
        <v>0</v>
      </c>
      <c r="BE210" s="73">
        <v>0</v>
      </c>
      <c r="BF210" s="40">
        <v>0</v>
      </c>
      <c r="BG210" s="38">
        <v>0</v>
      </c>
      <c r="BH210" s="73">
        <v>0</v>
      </c>
      <c r="BI210" s="40">
        <v>0</v>
      </c>
      <c r="BJ210" s="55">
        <v>0</v>
      </c>
      <c r="BK210" s="73">
        <v>0</v>
      </c>
      <c r="BL210" s="40">
        <v>0</v>
      </c>
      <c r="BM210" s="38">
        <v>0</v>
      </c>
      <c r="BN210" s="73">
        <v>3.6</v>
      </c>
      <c r="BO210" s="40">
        <v>0</v>
      </c>
      <c r="BP210" s="55">
        <v>-3.6</v>
      </c>
      <c r="BQ210" s="77">
        <v>3.6</v>
      </c>
      <c r="BR210" s="40">
        <v>0</v>
      </c>
      <c r="BS210" s="55">
        <v>-3.6</v>
      </c>
      <c r="BT210" s="73">
        <v>0</v>
      </c>
      <c r="BU210" s="40">
        <v>0</v>
      </c>
      <c r="BV210" s="52">
        <v>0</v>
      </c>
      <c r="BW210" s="73">
        <v>0</v>
      </c>
      <c r="BX210" s="40">
        <v>0.66830787202660757</v>
      </c>
      <c r="BY210" s="52">
        <v>0.66830787202660757</v>
      </c>
      <c r="BZ210" s="73">
        <v>0</v>
      </c>
      <c r="CA210" s="40">
        <v>0</v>
      </c>
      <c r="CB210" s="52">
        <v>0</v>
      </c>
      <c r="CC210" s="73">
        <v>0</v>
      </c>
      <c r="CD210" s="40">
        <v>0</v>
      </c>
      <c r="CE210" s="52">
        <v>0</v>
      </c>
      <c r="CF210" s="73">
        <v>0</v>
      </c>
      <c r="CG210" s="40">
        <v>0</v>
      </c>
      <c r="CH210" s="52">
        <v>0</v>
      </c>
      <c r="CI210" s="73">
        <v>0</v>
      </c>
      <c r="CJ210" s="40">
        <v>0</v>
      </c>
      <c r="CK210" s="52">
        <v>0</v>
      </c>
      <c r="CL210" s="73">
        <v>0</v>
      </c>
      <c r="CM210" s="40">
        <v>0</v>
      </c>
      <c r="CN210" s="52">
        <v>0</v>
      </c>
      <c r="CO210" s="39">
        <v>0</v>
      </c>
      <c r="CP210" s="40">
        <v>0</v>
      </c>
      <c r="CQ210" s="52">
        <v>0</v>
      </c>
      <c r="CR210" s="72">
        <v>378.58055934324432</v>
      </c>
      <c r="CS210" s="5">
        <v>162.9032336626579</v>
      </c>
      <c r="CT210" s="52">
        <v>-215.67732568058642</v>
      </c>
      <c r="CU210" s="77">
        <v>454.29667121189317</v>
      </c>
      <c r="CV210" s="65">
        <v>195.48388039518946</v>
      </c>
      <c r="CW210" s="35">
        <v>-258.81279081670368</v>
      </c>
      <c r="CX210" s="73">
        <v>25.364759963973452</v>
      </c>
      <c r="CY210" s="40">
        <v>284.17755078067717</v>
      </c>
      <c r="CZ210" s="52">
        <v>258.81279081670374</v>
      </c>
      <c r="DA210" s="150">
        <v>-2842.7725621153158</v>
      </c>
      <c r="DB210" s="2">
        <v>3</v>
      </c>
      <c r="DC210" s="648">
        <v>3674.7</v>
      </c>
      <c r="DD210" s="648"/>
      <c r="DE210" s="649">
        <v>3195.0385688241331</v>
      </c>
      <c r="DG210" s="321">
        <v>-4333.1027136260427</v>
      </c>
      <c r="DH210" s="5">
        <v>5755.9371741103987</v>
      </c>
      <c r="DI210" s="306">
        <v>1.3250319577013552</v>
      </c>
      <c r="DJ210" s="306"/>
      <c r="DK210" s="306"/>
      <c r="DL210" s="28">
        <v>238.50575238624393</v>
      </c>
      <c r="DM210" s="28">
        <v>0</v>
      </c>
      <c r="DN210" s="650">
        <v>238.5</v>
      </c>
      <c r="DO210" s="94">
        <v>5.7523862439268214E-3</v>
      </c>
      <c r="DP210" s="28">
        <v>238.50575238624393</v>
      </c>
      <c r="DQ210" s="318">
        <v>0</v>
      </c>
      <c r="DS210" s="8">
        <v>227.14833560594658</v>
      </c>
      <c r="DT210" s="5">
        <v>11.35741678029733</v>
      </c>
      <c r="DW210" s="5">
        <v>277.00364167054988</v>
      </c>
      <c r="DX210" s="5">
        <v>0</v>
      </c>
    </row>
    <row r="211" spans="1:128" x14ac:dyDescent="0.3">
      <c r="A211" s="325">
        <v>150000699</v>
      </c>
      <c r="B211" s="41" t="s">
        <v>659</v>
      </c>
      <c r="C211" s="42" t="s">
        <v>374</v>
      </c>
      <c r="D211" s="42" t="s">
        <v>374</v>
      </c>
      <c r="E211" s="293">
        <v>4191.3</v>
      </c>
      <c r="F211" s="652">
        <v>4191.3</v>
      </c>
      <c r="G211" s="51">
        <v>468.70000000000027</v>
      </c>
      <c r="H211" s="651">
        <v>0</v>
      </c>
      <c r="I211" s="73">
        <v>1915.5060148229895</v>
      </c>
      <c r="J211" s="40">
        <v>2157.7690388974856</v>
      </c>
      <c r="K211" s="52">
        <v>242.26302407449612</v>
      </c>
      <c r="L211" s="73">
        <v>269.93895998592996</v>
      </c>
      <c r="M211" s="40">
        <v>304.11817290446675</v>
      </c>
      <c r="N211" s="52">
        <v>34.179212918536791</v>
      </c>
      <c r="O211" s="73">
        <v>728.33299522077664</v>
      </c>
      <c r="P211" s="40">
        <v>728.4666666666667</v>
      </c>
      <c r="Q211" s="52">
        <v>0.13367144589005875</v>
      </c>
      <c r="R211" s="73">
        <v>175.25722095317334</v>
      </c>
      <c r="S211" s="40">
        <v>175.3</v>
      </c>
      <c r="T211" s="52">
        <v>4.2779046826666445E-2</v>
      </c>
      <c r="U211" s="73">
        <v>86.533130947417462</v>
      </c>
      <c r="V211" s="40">
        <v>162.19236213913845</v>
      </c>
      <c r="W211" s="52">
        <v>75.659231191720991</v>
      </c>
      <c r="X211" s="73">
        <v>689.19713757491172</v>
      </c>
      <c r="Y211" s="40">
        <v>698.09653897974385</v>
      </c>
      <c r="Z211" s="52">
        <v>8.8994014048321333</v>
      </c>
      <c r="AA211" s="73">
        <v>335.24800000000005</v>
      </c>
      <c r="AB211" s="40">
        <v>0</v>
      </c>
      <c r="AC211" s="52">
        <v>-335.24800000000005</v>
      </c>
      <c r="AD211" s="73">
        <v>3019.008435026552</v>
      </c>
      <c r="AE211" s="40">
        <v>3777.6402470348498</v>
      </c>
      <c r="AF211" s="35">
        <v>758.63181200829786</v>
      </c>
      <c r="AG211" s="77">
        <v>7219.0218945317501</v>
      </c>
      <c r="AH211" s="53">
        <v>8003.5830266223511</v>
      </c>
      <c r="AI211" s="52">
        <v>784.56113209060095</v>
      </c>
      <c r="AJ211" s="73">
        <v>1669.4523999999999</v>
      </c>
      <c r="AK211" s="40">
        <v>1644.2677962768757</v>
      </c>
      <c r="AL211" s="52">
        <v>-25.184603723124155</v>
      </c>
      <c r="AM211" s="73">
        <v>210.14988500000001</v>
      </c>
      <c r="AN211" s="40">
        <v>0</v>
      </c>
      <c r="AO211" s="52">
        <v>-210.14988500000001</v>
      </c>
      <c r="AP211" s="73">
        <v>1077.8913749999999</v>
      </c>
      <c r="AQ211" s="40">
        <v>0</v>
      </c>
      <c r="AR211" s="52">
        <v>-1077.8913749999999</v>
      </c>
      <c r="AS211" s="73">
        <v>4463.6988048176627</v>
      </c>
      <c r="AT211" s="40">
        <v>2539</v>
      </c>
      <c r="AU211" s="54">
        <v>-1924.6988048176627</v>
      </c>
      <c r="AV211" s="73">
        <v>815.7428805687922</v>
      </c>
      <c r="AW211" s="40">
        <v>3130</v>
      </c>
      <c r="AX211" s="55">
        <v>2314.2571194312077</v>
      </c>
      <c r="AY211" s="73">
        <v>753.47833570579166</v>
      </c>
      <c r="AZ211" s="40">
        <v>6960</v>
      </c>
      <c r="BA211" s="35">
        <v>6206.5216642942087</v>
      </c>
      <c r="BB211" s="73">
        <v>349.22572243131003</v>
      </c>
      <c r="BC211" s="40">
        <v>540</v>
      </c>
      <c r="BD211" s="55">
        <v>190.77427756868997</v>
      </c>
      <c r="BE211" s="73">
        <v>908.58293070810396</v>
      </c>
      <c r="BF211" s="40">
        <v>0</v>
      </c>
      <c r="BG211" s="38">
        <v>-908.58293070810396</v>
      </c>
      <c r="BH211" s="73">
        <v>417.92545115516577</v>
      </c>
      <c r="BI211" s="40">
        <v>0</v>
      </c>
      <c r="BJ211" s="55">
        <v>-417.92545115516577</v>
      </c>
      <c r="BK211" s="73">
        <v>367.49616946338176</v>
      </c>
      <c r="BL211" s="40">
        <v>0</v>
      </c>
      <c r="BM211" s="38">
        <v>-367.49616946338176</v>
      </c>
      <c r="BN211" s="73">
        <v>83.812000000000012</v>
      </c>
      <c r="BO211" s="40">
        <v>0</v>
      </c>
      <c r="BP211" s="55">
        <v>-83.812000000000012</v>
      </c>
      <c r="BQ211" s="77">
        <v>3696.2634900325452</v>
      </c>
      <c r="BR211" s="40">
        <v>10630</v>
      </c>
      <c r="BS211" s="55">
        <v>6933.7365099674553</v>
      </c>
      <c r="BT211" s="73">
        <v>6296.7953401735804</v>
      </c>
      <c r="BU211" s="40">
        <v>812.69472272619157</v>
      </c>
      <c r="BV211" s="52">
        <v>-5484.1006174473887</v>
      </c>
      <c r="BW211" s="73">
        <v>5199.7079487561996</v>
      </c>
      <c r="BX211" s="40">
        <v>5465.7190724052598</v>
      </c>
      <c r="BY211" s="52">
        <v>266.01112364906021</v>
      </c>
      <c r="BZ211" s="73">
        <v>655.46687287747602</v>
      </c>
      <c r="CA211" s="40">
        <v>5043.5295089629672</v>
      </c>
      <c r="CB211" s="52">
        <v>4388.0626360854912</v>
      </c>
      <c r="CC211" s="73">
        <v>228.54389552500001</v>
      </c>
      <c r="CD211" s="40">
        <v>284.36893472337204</v>
      </c>
      <c r="CE211" s="52">
        <v>55.825039198372025</v>
      </c>
      <c r="CF211" s="73">
        <v>26.777090999999999</v>
      </c>
      <c r="CG211" s="40">
        <v>0</v>
      </c>
      <c r="CH211" s="52">
        <v>-26.777090999999999</v>
      </c>
      <c r="CI211" s="73">
        <v>3575.62</v>
      </c>
      <c r="CJ211" s="40">
        <v>4580.3066249300409</v>
      </c>
      <c r="CK211" s="52">
        <v>1004.686624930041</v>
      </c>
      <c r="CL211" s="73">
        <v>1504.3759500000001</v>
      </c>
      <c r="CM211" s="40">
        <v>1275.9724182661821</v>
      </c>
      <c r="CN211" s="52">
        <v>-228.403531733818</v>
      </c>
      <c r="CO211" s="39">
        <v>5079.9959500000004</v>
      </c>
      <c r="CP211" s="40">
        <v>5856.279043196223</v>
      </c>
      <c r="CQ211" s="52">
        <v>776.28309319622258</v>
      </c>
      <c r="CR211" s="72">
        <v>35823.764947714211</v>
      </c>
      <c r="CS211" s="5">
        <v>40279.442104913243</v>
      </c>
      <c r="CT211" s="52">
        <v>4455.6771571990321</v>
      </c>
      <c r="CU211" s="77">
        <v>42988.517937257049</v>
      </c>
      <c r="CV211" s="65">
        <v>48335.330525895894</v>
      </c>
      <c r="CW211" s="35">
        <v>5346.8125886388443</v>
      </c>
      <c r="CX211" s="73">
        <v>2400.1792392110897</v>
      </c>
      <c r="CY211" s="40">
        <v>-2946.6333494277569</v>
      </c>
      <c r="CZ211" s="52">
        <v>-5346.8125886388461</v>
      </c>
      <c r="DA211" s="150">
        <v>44940.833850242743</v>
      </c>
      <c r="DB211" s="2">
        <v>3</v>
      </c>
      <c r="DC211" s="648">
        <v>81582.850000000006</v>
      </c>
      <c r="DD211" s="648"/>
      <c r="DE211" s="649">
        <v>36194.152823531869</v>
      </c>
      <c r="DG211" s="321">
        <v>265409.97742095322</v>
      </c>
      <c r="DH211" s="5">
        <v>544664.36611761758</v>
      </c>
      <c r="DI211" s="306">
        <v>4.8768829353815581</v>
      </c>
      <c r="DJ211" s="306">
        <v>5.4496834641571832</v>
      </c>
      <c r="DK211" s="306"/>
      <c r="DL211" s="28">
        <v>22572.786695484865</v>
      </c>
      <c r="DM211" s="28">
        <v>0</v>
      </c>
      <c r="DN211" s="650">
        <v>22572.81</v>
      </c>
      <c r="DO211" s="94">
        <v>-2.3304515136260306E-2</v>
      </c>
      <c r="DP211" s="28">
        <v>22572.786695484865</v>
      </c>
      <c r="DQ211" s="318">
        <v>3.8147784249158576</v>
      </c>
      <c r="DS211" s="8">
        <v>21494.258968628525</v>
      </c>
      <c r="DT211" s="5">
        <v>1074.7129484314264</v>
      </c>
      <c r="DW211" s="5">
        <v>9791.9547538202478</v>
      </c>
      <c r="DX211" s="5">
        <v>15802.8</v>
      </c>
    </row>
    <row r="212" spans="1:128" x14ac:dyDescent="0.3">
      <c r="A212" s="325">
        <v>150000928</v>
      </c>
      <c r="B212" s="41" t="s">
        <v>660</v>
      </c>
      <c r="C212" s="42" t="s">
        <v>170</v>
      </c>
      <c r="D212" s="42" t="s">
        <v>170</v>
      </c>
      <c r="E212" s="293">
        <v>479.2</v>
      </c>
      <c r="F212" s="305">
        <v>234.6</v>
      </c>
      <c r="G212" s="51"/>
      <c r="H212" s="651">
        <v>244.6</v>
      </c>
      <c r="I212" s="73">
        <v>351.92125737664571</v>
      </c>
      <c r="J212" s="40">
        <v>385.60472921943438</v>
      </c>
      <c r="K212" s="52">
        <v>33.683471842788663</v>
      </c>
      <c r="L212" s="73">
        <v>87.358390688306883</v>
      </c>
      <c r="M212" s="40">
        <v>98.419805635856562</v>
      </c>
      <c r="N212" s="52">
        <v>11.061414947549679</v>
      </c>
      <c r="O212" s="73">
        <v>86.986944357493343</v>
      </c>
      <c r="P212" s="40">
        <v>86.98</v>
      </c>
      <c r="Q212" s="52">
        <v>-6.9443574933387708E-3</v>
      </c>
      <c r="R212" s="73">
        <v>0</v>
      </c>
      <c r="S212" s="40">
        <v>0</v>
      </c>
      <c r="T212" s="52">
        <v>0</v>
      </c>
      <c r="U212" s="73">
        <v>0</v>
      </c>
      <c r="V212" s="40">
        <v>0</v>
      </c>
      <c r="W212" s="52">
        <v>0</v>
      </c>
      <c r="X212" s="73">
        <v>135.32866873618718</v>
      </c>
      <c r="Y212" s="40">
        <v>137.59709600037991</v>
      </c>
      <c r="Z212" s="52">
        <v>2.2684272641927237</v>
      </c>
      <c r="AA212" s="73">
        <v>38.448</v>
      </c>
      <c r="AB212" s="40">
        <v>0</v>
      </c>
      <c r="AC212" s="52">
        <v>-38.448</v>
      </c>
      <c r="AD212" s="73">
        <v>338.91061883792537</v>
      </c>
      <c r="AE212" s="40">
        <v>431.90542466039176</v>
      </c>
      <c r="AF212" s="35">
        <v>92.99480582246639</v>
      </c>
      <c r="AG212" s="77">
        <v>1038.9538799965585</v>
      </c>
      <c r="AH212" s="53">
        <v>1140.5070555160626</v>
      </c>
      <c r="AI212" s="52">
        <v>101.55317551950407</v>
      </c>
      <c r="AJ212" s="73">
        <v>0</v>
      </c>
      <c r="AK212" s="40">
        <v>0</v>
      </c>
      <c r="AL212" s="52">
        <v>0</v>
      </c>
      <c r="AM212" s="73">
        <v>0</v>
      </c>
      <c r="AN212" s="40">
        <v>0</v>
      </c>
      <c r="AO212" s="52">
        <v>0</v>
      </c>
      <c r="AP212" s="73">
        <v>94.551874999999995</v>
      </c>
      <c r="AQ212" s="40">
        <v>0</v>
      </c>
      <c r="AR212" s="52">
        <v>-94.551874999999995</v>
      </c>
      <c r="AS212" s="73">
        <v>713.52803368650359</v>
      </c>
      <c r="AT212" s="40">
        <v>0</v>
      </c>
      <c r="AU212" s="54">
        <v>-713.52803368650359</v>
      </c>
      <c r="AV212" s="73">
        <v>190.31376975525572</v>
      </c>
      <c r="AW212" s="40">
        <v>0</v>
      </c>
      <c r="AX212" s="55">
        <v>-190.31376975525572</v>
      </c>
      <c r="AY212" s="73">
        <v>241.79228096942921</v>
      </c>
      <c r="AZ212" s="40">
        <v>0</v>
      </c>
      <c r="BA212" s="35">
        <v>-241.79228096942921</v>
      </c>
      <c r="BB212" s="73">
        <v>28.015919021283317</v>
      </c>
      <c r="BC212" s="40">
        <v>0</v>
      </c>
      <c r="BD212" s="55">
        <v>-28.015919021283317</v>
      </c>
      <c r="BE212" s="73">
        <v>0</v>
      </c>
      <c r="BF212" s="40">
        <v>0</v>
      </c>
      <c r="BG212" s="38">
        <v>0</v>
      </c>
      <c r="BH212" s="73">
        <v>0</v>
      </c>
      <c r="BI212" s="40">
        <v>0</v>
      </c>
      <c r="BJ212" s="55">
        <v>0</v>
      </c>
      <c r="BK212" s="73">
        <v>14.085035329655852</v>
      </c>
      <c r="BL212" s="40">
        <v>0</v>
      </c>
      <c r="BM212" s="38">
        <v>-14.085035329655852</v>
      </c>
      <c r="BN212" s="73">
        <v>9.6120000000000001</v>
      </c>
      <c r="BO212" s="40">
        <v>0</v>
      </c>
      <c r="BP212" s="55">
        <v>-9.6120000000000001</v>
      </c>
      <c r="BQ212" s="77">
        <v>483.81900507562409</v>
      </c>
      <c r="BR212" s="40">
        <v>0</v>
      </c>
      <c r="BS212" s="55">
        <v>-483.81900507562409</v>
      </c>
      <c r="BT212" s="73">
        <v>461.92821027232202</v>
      </c>
      <c r="BU212" s="40">
        <v>138.63207468291802</v>
      </c>
      <c r="BV212" s="52">
        <v>-323.296135589404</v>
      </c>
      <c r="BW212" s="73">
        <v>354.64</v>
      </c>
      <c r="BX212" s="40">
        <v>699.86312588658598</v>
      </c>
      <c r="BY212" s="52">
        <v>345.22312588658599</v>
      </c>
      <c r="BZ212" s="73">
        <v>323.34527639219402</v>
      </c>
      <c r="CA212" s="40">
        <v>913.8180926737939</v>
      </c>
      <c r="CB212" s="52">
        <v>590.47281628159988</v>
      </c>
      <c r="CC212" s="73">
        <v>0</v>
      </c>
      <c r="CD212" s="40">
        <v>0</v>
      </c>
      <c r="CE212" s="52">
        <v>0</v>
      </c>
      <c r="CF212" s="73">
        <v>0</v>
      </c>
      <c r="CG212" s="40">
        <v>0</v>
      </c>
      <c r="CH212" s="52">
        <v>0</v>
      </c>
      <c r="CI212" s="73">
        <v>333.26</v>
      </c>
      <c r="CJ212" s="40">
        <v>138.07315962137494</v>
      </c>
      <c r="CK212" s="52">
        <v>-195.18684037862505</v>
      </c>
      <c r="CL212" s="73">
        <v>0</v>
      </c>
      <c r="CM212" s="40">
        <v>0</v>
      </c>
      <c r="CN212" s="52">
        <v>0</v>
      </c>
      <c r="CO212" s="39">
        <v>333.26</v>
      </c>
      <c r="CP212" s="40">
        <v>138.07315962137494</v>
      </c>
      <c r="CQ212" s="52">
        <v>-195.18684037862505</v>
      </c>
      <c r="CR212" s="72">
        <v>3804.0262804232016</v>
      </c>
      <c r="CS212" s="5">
        <v>3030.8935083807355</v>
      </c>
      <c r="CT212" s="52">
        <v>-773.13277204246606</v>
      </c>
      <c r="CU212" s="77">
        <v>4564.8315365078415</v>
      </c>
      <c r="CV212" s="65">
        <v>3637.0722100568823</v>
      </c>
      <c r="CW212" s="35">
        <v>-927.75932645095918</v>
      </c>
      <c r="CX212" s="73">
        <v>254.86837904980521</v>
      </c>
      <c r="CY212" s="40">
        <v>1182.6277055007645</v>
      </c>
      <c r="CZ212" s="52">
        <v>927.75932645095929</v>
      </c>
      <c r="DA212" s="150">
        <v>193.61542610553033</v>
      </c>
      <c r="DB212" s="2">
        <v>2</v>
      </c>
      <c r="DC212" s="648">
        <v>1237.75</v>
      </c>
      <c r="DD212" s="648">
        <v>1353.8</v>
      </c>
      <c r="DE212" s="649">
        <v>-2228.1499155576466</v>
      </c>
      <c r="DG212" s="321">
        <v>12519.330665178199</v>
      </c>
      <c r="DH212" s="5">
        <v>57836.398986691762</v>
      </c>
      <c r="DI212" s="306">
        <v>5.2759658557897318</v>
      </c>
      <c r="DJ212" s="306"/>
      <c r="DK212" s="306">
        <v>4.5216674087944586</v>
      </c>
      <c r="DL212" s="28">
        <v>1237.7415897682711</v>
      </c>
      <c r="DM212" s="28">
        <v>1105.9998481911246</v>
      </c>
      <c r="DN212" s="650">
        <v>1237.75</v>
      </c>
      <c r="DO212" s="94">
        <v>-8.4102317289307393E-3</v>
      </c>
      <c r="DP212" s="28">
        <v>2343.7414379593956</v>
      </c>
      <c r="DQ212" s="318">
        <v>-52.795118707221263</v>
      </c>
      <c r="DS212" s="8">
        <v>2282.4157682539208</v>
      </c>
      <c r="DT212" s="5">
        <v>114.12078841269606</v>
      </c>
      <c r="DW212" s="5">
        <v>1436.8164465145533</v>
      </c>
      <c r="DX212" s="5">
        <v>0</v>
      </c>
    </row>
    <row r="213" spans="1:128" x14ac:dyDescent="0.3">
      <c r="A213" s="325">
        <v>150000951</v>
      </c>
      <c r="B213" s="41" t="s">
        <v>661</v>
      </c>
      <c r="C213" s="42" t="s">
        <v>171</v>
      </c>
      <c r="D213" s="42" t="s">
        <v>171</v>
      </c>
      <c r="E213" s="293">
        <v>553.20000000000005</v>
      </c>
      <c r="F213" s="305">
        <v>553.20000000000005</v>
      </c>
      <c r="G213" s="51"/>
      <c r="H213" s="651">
        <v>0</v>
      </c>
      <c r="I213" s="73">
        <v>0</v>
      </c>
      <c r="J213" s="40">
        <v>0</v>
      </c>
      <c r="K213" s="52">
        <v>0</v>
      </c>
      <c r="L213" s="73">
        <v>0</v>
      </c>
      <c r="M213" s="40">
        <v>0</v>
      </c>
      <c r="N213" s="52">
        <v>0</v>
      </c>
      <c r="O213" s="73">
        <v>0</v>
      </c>
      <c r="P213" s="40">
        <v>0</v>
      </c>
      <c r="Q213" s="52">
        <v>0</v>
      </c>
      <c r="R213" s="73">
        <v>0</v>
      </c>
      <c r="S213" s="40">
        <v>0</v>
      </c>
      <c r="T213" s="52">
        <v>0</v>
      </c>
      <c r="U213" s="73">
        <v>0</v>
      </c>
      <c r="V213" s="40">
        <v>0</v>
      </c>
      <c r="W213" s="52">
        <v>0</v>
      </c>
      <c r="X213" s="73">
        <v>124.50106913556293</v>
      </c>
      <c r="Y213" s="40">
        <v>130.10527061017768</v>
      </c>
      <c r="Z213" s="52">
        <v>5.6042014746147544</v>
      </c>
      <c r="AA213" s="73">
        <v>44.256000000000007</v>
      </c>
      <c r="AB213" s="40">
        <v>0</v>
      </c>
      <c r="AC213" s="52">
        <v>-44.256000000000007</v>
      </c>
      <c r="AD213" s="73">
        <v>354.29734410474259</v>
      </c>
      <c r="AE213" s="40">
        <v>498.60200526320688</v>
      </c>
      <c r="AF213" s="35">
        <v>144.30466115846428</v>
      </c>
      <c r="AG213" s="77">
        <v>523.05441324030551</v>
      </c>
      <c r="AH213" s="53">
        <v>628.70727587338456</v>
      </c>
      <c r="AI213" s="52">
        <v>105.65286263307905</v>
      </c>
      <c r="AJ213" s="73">
        <v>0</v>
      </c>
      <c r="AK213" s="40">
        <v>0</v>
      </c>
      <c r="AL213" s="52">
        <v>0</v>
      </c>
      <c r="AM213" s="73">
        <v>0</v>
      </c>
      <c r="AN213" s="40">
        <v>0</v>
      </c>
      <c r="AO213" s="52">
        <v>0</v>
      </c>
      <c r="AP213" s="73">
        <v>138.67608333333334</v>
      </c>
      <c r="AQ213" s="40">
        <v>408.97913798580959</v>
      </c>
      <c r="AR213" s="52">
        <v>270.30305465247625</v>
      </c>
      <c r="AS213" s="73">
        <v>571.33132271506213</v>
      </c>
      <c r="AT213" s="40">
        <v>0</v>
      </c>
      <c r="AU213" s="54">
        <v>-571.33132271506213</v>
      </c>
      <c r="AV213" s="73">
        <v>0</v>
      </c>
      <c r="AW213" s="40">
        <v>0</v>
      </c>
      <c r="AX213" s="55">
        <v>0</v>
      </c>
      <c r="AY213" s="73">
        <v>0</v>
      </c>
      <c r="AZ213" s="40">
        <v>0</v>
      </c>
      <c r="BA213" s="35">
        <v>0</v>
      </c>
      <c r="BB213" s="73">
        <v>0</v>
      </c>
      <c r="BC213" s="40">
        <v>0</v>
      </c>
      <c r="BD213" s="55">
        <v>0</v>
      </c>
      <c r="BE213" s="73">
        <v>0</v>
      </c>
      <c r="BF213" s="40">
        <v>0</v>
      </c>
      <c r="BG213" s="38">
        <v>0</v>
      </c>
      <c r="BH213" s="73">
        <v>0</v>
      </c>
      <c r="BI213" s="40">
        <v>0</v>
      </c>
      <c r="BJ213" s="55">
        <v>0</v>
      </c>
      <c r="BK213" s="73">
        <v>17.157186226697657</v>
      </c>
      <c r="BL213" s="40">
        <v>0</v>
      </c>
      <c r="BM213" s="38">
        <v>-17.157186226697657</v>
      </c>
      <c r="BN213" s="73">
        <v>13.263907038952516</v>
      </c>
      <c r="BO213" s="40">
        <v>0</v>
      </c>
      <c r="BP213" s="55">
        <v>-13.263907038952516</v>
      </c>
      <c r="BQ213" s="77">
        <v>30.421093265650171</v>
      </c>
      <c r="BR213" s="40">
        <v>0</v>
      </c>
      <c r="BS213" s="55">
        <v>-30.421093265650171</v>
      </c>
      <c r="BT213" s="73">
        <v>0</v>
      </c>
      <c r="BU213" s="40">
        <v>0</v>
      </c>
      <c r="BV213" s="52">
        <v>0</v>
      </c>
      <c r="BW213" s="73">
        <v>0</v>
      </c>
      <c r="BX213" s="40">
        <v>2.053932860028441</v>
      </c>
      <c r="BY213" s="52">
        <v>2.053932860028441</v>
      </c>
      <c r="BZ213" s="73">
        <v>0</v>
      </c>
      <c r="CA213" s="40">
        <v>0</v>
      </c>
      <c r="CB213" s="52">
        <v>0</v>
      </c>
      <c r="CC213" s="73">
        <v>0</v>
      </c>
      <c r="CD213" s="40">
        <v>0</v>
      </c>
      <c r="CE213" s="52">
        <v>0</v>
      </c>
      <c r="CF213" s="73">
        <v>0</v>
      </c>
      <c r="CG213" s="40">
        <v>0</v>
      </c>
      <c r="CH213" s="52">
        <v>0</v>
      </c>
      <c r="CI213" s="73">
        <v>0</v>
      </c>
      <c r="CJ213" s="40">
        <v>0</v>
      </c>
      <c r="CK213" s="52">
        <v>0</v>
      </c>
      <c r="CL213" s="73">
        <v>0</v>
      </c>
      <c r="CM213" s="40">
        <v>0</v>
      </c>
      <c r="CN213" s="52">
        <v>0</v>
      </c>
      <c r="CO213" s="39">
        <v>0</v>
      </c>
      <c r="CP213" s="40">
        <v>0</v>
      </c>
      <c r="CQ213" s="52">
        <v>0</v>
      </c>
      <c r="CR213" s="72">
        <v>1263.4829125543511</v>
      </c>
      <c r="CS213" s="5">
        <v>1039.7403467192225</v>
      </c>
      <c r="CT213" s="52">
        <v>-223.74256583512852</v>
      </c>
      <c r="CU213" s="77">
        <v>1516.1794950652213</v>
      </c>
      <c r="CV213" s="65">
        <v>1247.6884160630671</v>
      </c>
      <c r="CW213" s="35">
        <v>-268.49107900215427</v>
      </c>
      <c r="CX213" s="73">
        <v>84.652896205551201</v>
      </c>
      <c r="CY213" s="40">
        <v>353.14397520770535</v>
      </c>
      <c r="CZ213" s="52">
        <v>268.49107900215415</v>
      </c>
      <c r="DA213" s="150">
        <v>-7172.6056781441303</v>
      </c>
      <c r="DB213" s="2">
        <v>1</v>
      </c>
      <c r="DC213" s="648">
        <v>1114.6600000000001</v>
      </c>
      <c r="DD213" s="648"/>
      <c r="DE213" s="649">
        <v>-486.17239127077232</v>
      </c>
      <c r="DG213" s="321">
        <v>-3411.1458211325034</v>
      </c>
      <c r="DH213" s="5">
        <v>19209.988695249267</v>
      </c>
      <c r="DI213" s="306">
        <v>1.4388905186356491</v>
      </c>
      <c r="DJ213" s="306"/>
      <c r="DK213" s="306"/>
      <c r="DL213" s="28">
        <v>795.99423490924119</v>
      </c>
      <c r="DM213" s="28">
        <v>0</v>
      </c>
      <c r="DN213" s="650">
        <v>796</v>
      </c>
      <c r="DO213" s="94">
        <v>-5.7650907588140399E-3</v>
      </c>
      <c r="DP213" s="28">
        <v>795.99423490924119</v>
      </c>
      <c r="DQ213" s="318">
        <v>0</v>
      </c>
      <c r="DS213" s="8">
        <v>758.08974753261066</v>
      </c>
      <c r="DT213" s="5">
        <v>37.904487376630534</v>
      </c>
      <c r="DW213" s="5">
        <v>722.10289917685475</v>
      </c>
      <c r="DX213" s="5">
        <v>0</v>
      </c>
    </row>
    <row r="214" spans="1:128" x14ac:dyDescent="0.3">
      <c r="A214" s="325">
        <v>150000954</v>
      </c>
      <c r="B214" s="41" t="s">
        <v>662</v>
      </c>
      <c r="C214" s="42" t="s">
        <v>172</v>
      </c>
      <c r="D214" s="42" t="s">
        <v>172</v>
      </c>
      <c r="E214" s="293">
        <v>358.84</v>
      </c>
      <c r="F214" s="305">
        <v>358.84</v>
      </c>
      <c r="G214" s="51"/>
      <c r="H214" s="651">
        <v>0</v>
      </c>
      <c r="I214" s="73">
        <v>166.6919121523982</v>
      </c>
      <c r="J214" s="40">
        <v>185.50032099200007</v>
      </c>
      <c r="K214" s="52">
        <v>18.808408839601867</v>
      </c>
      <c r="L214" s="73">
        <v>37.587422835929821</v>
      </c>
      <c r="M214" s="40">
        <v>43.82207624282232</v>
      </c>
      <c r="N214" s="52">
        <v>6.2346534068924981</v>
      </c>
      <c r="O214" s="73">
        <v>71.743198983749991</v>
      </c>
      <c r="P214" s="40">
        <v>71.76666666666668</v>
      </c>
      <c r="Q214" s="52">
        <v>2.3467682916688659E-2</v>
      </c>
      <c r="R214" s="73">
        <v>0</v>
      </c>
      <c r="S214" s="40">
        <v>0</v>
      </c>
      <c r="T214" s="52">
        <v>0</v>
      </c>
      <c r="U214" s="73">
        <v>0</v>
      </c>
      <c r="V214" s="40">
        <v>0</v>
      </c>
      <c r="W214" s="52">
        <v>0</v>
      </c>
      <c r="X214" s="73">
        <v>103.43003094501128</v>
      </c>
      <c r="Y214" s="40">
        <v>86.021720309420843</v>
      </c>
      <c r="Z214" s="52">
        <v>-17.408310635590439</v>
      </c>
      <c r="AA214" s="73">
        <v>28.7072</v>
      </c>
      <c r="AB214" s="40">
        <v>0</v>
      </c>
      <c r="AC214" s="52">
        <v>-28.7072</v>
      </c>
      <c r="AD214" s="73">
        <v>258.52601307906838</v>
      </c>
      <c r="AE214" s="40">
        <v>323.42433761505629</v>
      </c>
      <c r="AF214" s="35">
        <v>64.898324535987911</v>
      </c>
      <c r="AG214" s="77">
        <v>666.68577799615764</v>
      </c>
      <c r="AH214" s="53">
        <v>710.53512182596626</v>
      </c>
      <c r="AI214" s="52">
        <v>43.849343829808618</v>
      </c>
      <c r="AJ214" s="73">
        <v>0</v>
      </c>
      <c r="AK214" s="40">
        <v>0</v>
      </c>
      <c r="AL214" s="52">
        <v>0</v>
      </c>
      <c r="AM214" s="73">
        <v>0</v>
      </c>
      <c r="AN214" s="40">
        <v>0</v>
      </c>
      <c r="AO214" s="52">
        <v>0</v>
      </c>
      <c r="AP214" s="73">
        <v>100.85533333333333</v>
      </c>
      <c r="AQ214" s="40">
        <v>297.43937308058878</v>
      </c>
      <c r="AR214" s="52">
        <v>196.58403974725545</v>
      </c>
      <c r="AS214" s="73">
        <v>348.37947827701123</v>
      </c>
      <c r="AT214" s="40">
        <v>0</v>
      </c>
      <c r="AU214" s="54">
        <v>-348.37947827701123</v>
      </c>
      <c r="AV214" s="73">
        <v>97.427572577505714</v>
      </c>
      <c r="AW214" s="40">
        <v>0</v>
      </c>
      <c r="AX214" s="55">
        <v>-97.427572577505714</v>
      </c>
      <c r="AY214" s="73">
        <v>104.00769418562975</v>
      </c>
      <c r="AZ214" s="40">
        <v>0</v>
      </c>
      <c r="BA214" s="35">
        <v>-104.00769418562975</v>
      </c>
      <c r="BB214" s="73">
        <v>25.02373377968166</v>
      </c>
      <c r="BC214" s="40">
        <v>0</v>
      </c>
      <c r="BD214" s="55">
        <v>-25.02373377968166</v>
      </c>
      <c r="BE214" s="73">
        <v>0</v>
      </c>
      <c r="BF214" s="40">
        <v>0</v>
      </c>
      <c r="BG214" s="38">
        <v>0</v>
      </c>
      <c r="BH214" s="73">
        <v>0</v>
      </c>
      <c r="BI214" s="40">
        <v>0</v>
      </c>
      <c r="BJ214" s="55">
        <v>0</v>
      </c>
      <c r="BK214" s="73">
        <v>43.310373408912973</v>
      </c>
      <c r="BL214" s="40">
        <v>0</v>
      </c>
      <c r="BM214" s="38">
        <v>-43.310373408912973</v>
      </c>
      <c r="BN214" s="73">
        <v>19.640826463078763</v>
      </c>
      <c r="BO214" s="40">
        <v>0</v>
      </c>
      <c r="BP214" s="55">
        <v>-19.640826463078763</v>
      </c>
      <c r="BQ214" s="77">
        <v>289.41020041480891</v>
      </c>
      <c r="BR214" s="40">
        <v>0</v>
      </c>
      <c r="BS214" s="55">
        <v>-289.41020041480891</v>
      </c>
      <c r="BT214" s="73">
        <v>0</v>
      </c>
      <c r="BU214" s="40">
        <v>0</v>
      </c>
      <c r="BV214" s="52">
        <v>0</v>
      </c>
      <c r="BW214" s="73">
        <v>0</v>
      </c>
      <c r="BX214" s="40">
        <v>1.3323088711001549</v>
      </c>
      <c r="BY214" s="52">
        <v>1.3323088711001549</v>
      </c>
      <c r="BZ214" s="73">
        <v>0</v>
      </c>
      <c r="CA214" s="40">
        <v>0</v>
      </c>
      <c r="CB214" s="52">
        <v>0</v>
      </c>
      <c r="CC214" s="73">
        <v>0</v>
      </c>
      <c r="CD214" s="40">
        <v>0</v>
      </c>
      <c r="CE214" s="52">
        <v>0</v>
      </c>
      <c r="CF214" s="73">
        <v>0</v>
      </c>
      <c r="CG214" s="40">
        <v>0</v>
      </c>
      <c r="CH214" s="52">
        <v>0</v>
      </c>
      <c r="CI214" s="73">
        <v>688.34</v>
      </c>
      <c r="CJ214" s="40">
        <v>78.20874991385611</v>
      </c>
      <c r="CK214" s="52">
        <v>-610.13125008614395</v>
      </c>
      <c r="CL214" s="73">
        <v>0</v>
      </c>
      <c r="CM214" s="40">
        <v>0</v>
      </c>
      <c r="CN214" s="52">
        <v>0</v>
      </c>
      <c r="CO214" s="39">
        <v>688.34</v>
      </c>
      <c r="CP214" s="40">
        <v>78.20874991385611</v>
      </c>
      <c r="CQ214" s="52">
        <v>-610.13125008614395</v>
      </c>
      <c r="CR214" s="72">
        <v>2093.6707900213114</v>
      </c>
      <c r="CS214" s="5">
        <v>1087.5155536915113</v>
      </c>
      <c r="CT214" s="52">
        <v>-1006.1552363298001</v>
      </c>
      <c r="CU214" s="77">
        <v>2512.4049480255735</v>
      </c>
      <c r="CV214" s="65">
        <v>1305.0186644298135</v>
      </c>
      <c r="CW214" s="35">
        <v>-1207.38628359576</v>
      </c>
      <c r="CX214" s="73">
        <v>140.27518244624011</v>
      </c>
      <c r="CY214" s="40">
        <v>1347.6614660420003</v>
      </c>
      <c r="CZ214" s="52">
        <v>1207.3862835957602</v>
      </c>
      <c r="DA214" s="150">
        <v>-15031.218126129314</v>
      </c>
      <c r="DB214" s="2">
        <v>1</v>
      </c>
      <c r="DC214" s="648">
        <v>3175.13</v>
      </c>
      <c r="DD214" s="648"/>
      <c r="DE214" s="649">
        <v>522.44986952818635</v>
      </c>
      <c r="DG214" s="321">
        <v>19157.226925994913</v>
      </c>
      <c r="DH214" s="5">
        <v>31832.161565661765</v>
      </c>
      <c r="DI214" s="306">
        <v>3.6757680239477937</v>
      </c>
      <c r="DJ214" s="306"/>
      <c r="DK214" s="306"/>
      <c r="DL214" s="28">
        <v>1319.0125977134262</v>
      </c>
      <c r="DM214" s="28">
        <v>0</v>
      </c>
      <c r="DN214" s="650">
        <v>1319.02</v>
      </c>
      <c r="DO214" s="94">
        <v>-7.4022865737788379E-3</v>
      </c>
      <c r="DP214" s="28">
        <v>1319.0125977134262</v>
      </c>
      <c r="DQ214" s="318">
        <v>0</v>
      </c>
      <c r="DS214" s="8">
        <v>1256.2024740127868</v>
      </c>
      <c r="DT214" s="5">
        <v>62.810123700639345</v>
      </c>
      <c r="DW214" s="5">
        <v>765.34761443018419</v>
      </c>
      <c r="DX214" s="5">
        <v>0</v>
      </c>
    </row>
    <row r="215" spans="1:128" x14ac:dyDescent="0.3">
      <c r="A215" s="325">
        <v>150000929</v>
      </c>
      <c r="B215" s="41" t="s">
        <v>1041</v>
      </c>
      <c r="C215" s="42" t="s">
        <v>1034</v>
      </c>
      <c r="D215" s="42" t="s">
        <v>1034</v>
      </c>
      <c r="E215" s="654">
        <v>488.8</v>
      </c>
      <c r="F215" s="655">
        <v>170.2</v>
      </c>
      <c r="G215" s="51"/>
      <c r="H215" s="656">
        <v>318.60000000000002</v>
      </c>
      <c r="I215" s="73">
        <v>358.98</v>
      </c>
      <c r="J215" s="40">
        <v>393.13821987369431</v>
      </c>
      <c r="K215" s="52">
        <v>34.158219873694293</v>
      </c>
      <c r="L215" s="73">
        <v>87.36</v>
      </c>
      <c r="M215" s="40">
        <v>98.419805635856562</v>
      </c>
      <c r="N215" s="52">
        <v>11.059805635856563</v>
      </c>
      <c r="O215" s="73">
        <v>0</v>
      </c>
      <c r="P215" s="40">
        <v>0</v>
      </c>
      <c r="Q215" s="52">
        <v>0</v>
      </c>
      <c r="R215" s="73">
        <v>0</v>
      </c>
      <c r="S215" s="40">
        <v>0</v>
      </c>
      <c r="T215" s="52">
        <v>0</v>
      </c>
      <c r="U215" s="73">
        <v>0</v>
      </c>
      <c r="V215" s="40">
        <v>0</v>
      </c>
      <c r="W215" s="52">
        <v>0</v>
      </c>
      <c r="X215" s="73">
        <v>135.32</v>
      </c>
      <c r="Y215" s="40">
        <v>137.59709600037991</v>
      </c>
      <c r="Z215" s="52">
        <v>2.2770960003799132</v>
      </c>
      <c r="AA215" s="73">
        <v>39.1</v>
      </c>
      <c r="AB215" s="40">
        <v>0</v>
      </c>
      <c r="AC215" s="52">
        <v>-39.1</v>
      </c>
      <c r="AD215" s="73">
        <v>300.39999999999998</v>
      </c>
      <c r="AE215" s="40">
        <v>440.55795403589212</v>
      </c>
      <c r="AF215" s="35">
        <v>140.15795403589215</v>
      </c>
      <c r="AG215" s="77">
        <v>921.16000000000008</v>
      </c>
      <c r="AH215" s="53">
        <v>1069.7130755458229</v>
      </c>
      <c r="AI215" s="52">
        <v>148.55307554582282</v>
      </c>
      <c r="AJ215" s="73">
        <v>0</v>
      </c>
      <c r="AK215" s="40">
        <v>0</v>
      </c>
      <c r="AL215" s="52">
        <v>0</v>
      </c>
      <c r="AM215" s="73">
        <v>0</v>
      </c>
      <c r="AN215" s="40">
        <v>0</v>
      </c>
      <c r="AO215" s="52">
        <v>0</v>
      </c>
      <c r="AP215" s="73">
        <v>58.06</v>
      </c>
      <c r="AQ215" s="40">
        <v>0</v>
      </c>
      <c r="AR215" s="52">
        <v>-58.06</v>
      </c>
      <c r="AS215" s="73">
        <v>928.26</v>
      </c>
      <c r="AT215" s="40">
        <v>0</v>
      </c>
      <c r="AU215" s="54">
        <v>-928.26</v>
      </c>
      <c r="AV215" s="73">
        <v>216.12</v>
      </c>
      <c r="AW215" s="40">
        <v>0</v>
      </c>
      <c r="AX215" s="55">
        <v>-216.12</v>
      </c>
      <c r="AY215" s="73">
        <v>241.8</v>
      </c>
      <c r="AZ215" s="40">
        <v>0</v>
      </c>
      <c r="BA215" s="35">
        <v>-241.8</v>
      </c>
      <c r="BB215" s="73">
        <v>0</v>
      </c>
      <c r="BC215" s="40">
        <v>0</v>
      </c>
      <c r="BD215" s="55">
        <v>0</v>
      </c>
      <c r="BE215" s="73">
        <v>0</v>
      </c>
      <c r="BF215" s="40">
        <v>0</v>
      </c>
      <c r="BG215" s="38">
        <v>0</v>
      </c>
      <c r="BH215" s="73">
        <v>0</v>
      </c>
      <c r="BI215" s="40">
        <v>0</v>
      </c>
      <c r="BJ215" s="55">
        <v>0</v>
      </c>
      <c r="BK215" s="73">
        <v>14.08</v>
      </c>
      <c r="BL215" s="40">
        <v>0</v>
      </c>
      <c r="BM215" s="38">
        <v>-14.08</v>
      </c>
      <c r="BN215" s="73">
        <v>9.7799999999999994</v>
      </c>
      <c r="BO215" s="40">
        <v>0</v>
      </c>
      <c r="BP215" s="55">
        <v>-9.7799999999999994</v>
      </c>
      <c r="BQ215" s="77">
        <v>481.78</v>
      </c>
      <c r="BR215" s="40">
        <v>0</v>
      </c>
      <c r="BS215" s="55">
        <v>-481.78</v>
      </c>
      <c r="BT215" s="73">
        <v>681.38</v>
      </c>
      <c r="BU215" s="40">
        <v>188.95254126775751</v>
      </c>
      <c r="BV215" s="52">
        <v>-492.42745873224248</v>
      </c>
      <c r="BW215" s="73">
        <v>180.28</v>
      </c>
      <c r="BX215" s="40">
        <v>533.43756894922137</v>
      </c>
      <c r="BY215" s="52">
        <v>353.1575689492214</v>
      </c>
      <c r="BZ215" s="73">
        <v>313.8</v>
      </c>
      <c r="CA215" s="40">
        <v>1248.2015148706523</v>
      </c>
      <c r="CB215" s="52">
        <v>934.40151487065236</v>
      </c>
      <c r="CC215" s="73">
        <v>0</v>
      </c>
      <c r="CD215" s="40">
        <v>0</v>
      </c>
      <c r="CE215" s="52">
        <v>0</v>
      </c>
      <c r="CF215" s="73">
        <v>0</v>
      </c>
      <c r="CG215" s="40">
        <v>0</v>
      </c>
      <c r="CH215" s="52">
        <v>0</v>
      </c>
      <c r="CI215" s="73">
        <v>115.24</v>
      </c>
      <c r="CJ215" s="40">
        <v>24.522582016011782</v>
      </c>
      <c r="CK215" s="52">
        <v>-90.717417983988213</v>
      </c>
      <c r="CL215" s="73">
        <v>0</v>
      </c>
      <c r="CM215" s="40">
        <v>0</v>
      </c>
      <c r="CN215" s="52">
        <v>0</v>
      </c>
      <c r="CO215" s="39">
        <v>115.24</v>
      </c>
      <c r="CP215" s="40">
        <v>24.522582016011782</v>
      </c>
      <c r="CQ215" s="52">
        <v>-90.717417983988213</v>
      </c>
      <c r="CR215" s="72">
        <v>3679.9600000000005</v>
      </c>
      <c r="CS215" s="5">
        <v>3064.8272826494658</v>
      </c>
      <c r="CT215" s="52">
        <v>-615.13271735053468</v>
      </c>
      <c r="CU215" s="77">
        <v>4415.9520000000002</v>
      </c>
      <c r="CV215" s="65">
        <v>3677.7927391793587</v>
      </c>
      <c r="CW215" s="35">
        <v>-738.15926082064152</v>
      </c>
      <c r="CX215" s="73">
        <v>246.55598332611373</v>
      </c>
      <c r="CY215" s="40">
        <v>984.71524414675559</v>
      </c>
      <c r="CZ215" s="52">
        <v>738.15926082064186</v>
      </c>
      <c r="DA215" s="150">
        <v>24916.759538433915</v>
      </c>
      <c r="DB215" s="2">
        <v>2</v>
      </c>
      <c r="DC215" s="648">
        <v>18112.54</v>
      </c>
      <c r="DD215" s="648">
        <v>3373.2000000000003</v>
      </c>
      <c r="DE215" s="649">
        <v>16823.232016673886</v>
      </c>
      <c r="DG215" s="657">
        <v>-15748.877708276832</v>
      </c>
      <c r="DH215" s="5">
        <v>55950.095799913368</v>
      </c>
      <c r="DI215" s="306">
        <v>5.1779999999999999</v>
      </c>
      <c r="DJ215" s="306"/>
      <c r="DK215" s="306">
        <v>4.5106999999999999</v>
      </c>
      <c r="DL215" s="28">
        <v>881.29559999999992</v>
      </c>
      <c r="DM215" s="28">
        <v>1437.1090200000001</v>
      </c>
      <c r="DN215" s="650">
        <v>881.29</v>
      </c>
      <c r="DO215" s="94">
        <v>5.599999999958527E-3</v>
      </c>
      <c r="DP215" s="28">
        <v>2318.4046200000003</v>
      </c>
      <c r="DQ215" s="318">
        <v>1.4620000000377331E-2</v>
      </c>
      <c r="DS215" s="8">
        <v>2207.9899999999998</v>
      </c>
      <c r="DT215" s="5">
        <v>110.4</v>
      </c>
      <c r="DW215" s="5">
        <v>1692.048</v>
      </c>
      <c r="DX215" s="5">
        <v>0</v>
      </c>
    </row>
    <row r="216" spans="1:128" x14ac:dyDescent="0.3">
      <c r="A216" s="325">
        <v>150000930</v>
      </c>
      <c r="B216" s="41" t="s">
        <v>663</v>
      </c>
      <c r="C216" s="42" t="s">
        <v>173</v>
      </c>
      <c r="D216" s="42" t="s">
        <v>173</v>
      </c>
      <c r="E216" s="293">
        <v>327.9</v>
      </c>
      <c r="F216" s="305">
        <v>239.5</v>
      </c>
      <c r="G216" s="51"/>
      <c r="H216" s="651">
        <v>88.4</v>
      </c>
      <c r="I216" s="73">
        <v>236.62905279754094</v>
      </c>
      <c r="J216" s="40">
        <v>259.9036092590685</v>
      </c>
      <c r="K216" s="52">
        <v>23.274556461527567</v>
      </c>
      <c r="L216" s="73">
        <v>52.838103929339034</v>
      </c>
      <c r="M216" s="40">
        <v>59.52889331980839</v>
      </c>
      <c r="N216" s="52">
        <v>6.6907893904693552</v>
      </c>
      <c r="O216" s="73">
        <v>66.296932338206659</v>
      </c>
      <c r="P216" s="40">
        <v>66.3</v>
      </c>
      <c r="Q216" s="52">
        <v>3.0676617933380612E-3</v>
      </c>
      <c r="R216" s="73">
        <v>0</v>
      </c>
      <c r="S216" s="40">
        <v>0</v>
      </c>
      <c r="T216" s="52">
        <v>0</v>
      </c>
      <c r="U216" s="73">
        <v>0</v>
      </c>
      <c r="V216" s="40">
        <v>0</v>
      </c>
      <c r="W216" s="52">
        <v>0</v>
      </c>
      <c r="X216" s="73">
        <v>97.863259094995513</v>
      </c>
      <c r="Y216" s="40">
        <v>94.110760707233112</v>
      </c>
      <c r="Z216" s="52">
        <v>-3.752498387762401</v>
      </c>
      <c r="AA216" s="73">
        <v>25.911999999999999</v>
      </c>
      <c r="AB216" s="40">
        <v>0</v>
      </c>
      <c r="AC216" s="52">
        <v>-25.911999999999999</v>
      </c>
      <c r="AD216" s="73">
        <v>229.98694579194665</v>
      </c>
      <c r="AE216" s="40">
        <v>295.53795648193329</v>
      </c>
      <c r="AF216" s="35">
        <v>65.55101068998664</v>
      </c>
      <c r="AG216" s="77">
        <v>709.52629395202871</v>
      </c>
      <c r="AH216" s="53">
        <v>775.38121976804337</v>
      </c>
      <c r="AI216" s="52">
        <v>65.854925816014656</v>
      </c>
      <c r="AJ216" s="73">
        <v>0</v>
      </c>
      <c r="AK216" s="40">
        <v>0</v>
      </c>
      <c r="AL216" s="52">
        <v>0</v>
      </c>
      <c r="AM216" s="73">
        <v>0</v>
      </c>
      <c r="AN216" s="40">
        <v>0</v>
      </c>
      <c r="AO216" s="52">
        <v>0</v>
      </c>
      <c r="AP216" s="73">
        <v>113.46224999999998</v>
      </c>
      <c r="AQ216" s="40">
        <v>0</v>
      </c>
      <c r="AR216" s="52">
        <v>-113.46224999999998</v>
      </c>
      <c r="AS216" s="73">
        <v>521.42227995988958</v>
      </c>
      <c r="AT216" s="40">
        <v>0</v>
      </c>
      <c r="AU216" s="54">
        <v>-521.42227995988958</v>
      </c>
      <c r="AV216" s="73">
        <v>123.10353654519277</v>
      </c>
      <c r="AW216" s="40">
        <v>0</v>
      </c>
      <c r="AX216" s="55">
        <v>-123.10353654519277</v>
      </c>
      <c r="AY216" s="73">
        <v>146.19704131281082</v>
      </c>
      <c r="AZ216" s="40">
        <v>0</v>
      </c>
      <c r="BA216" s="35">
        <v>-146.19704131281082</v>
      </c>
      <c r="BB216" s="73">
        <v>21.057858001106659</v>
      </c>
      <c r="BC216" s="40">
        <v>0</v>
      </c>
      <c r="BD216" s="55">
        <v>-21.057858001106659</v>
      </c>
      <c r="BE216" s="73">
        <v>0</v>
      </c>
      <c r="BF216" s="40">
        <v>0</v>
      </c>
      <c r="BG216" s="38">
        <v>0</v>
      </c>
      <c r="BH216" s="73">
        <v>0</v>
      </c>
      <c r="BI216" s="40">
        <v>0</v>
      </c>
      <c r="BJ216" s="55">
        <v>0</v>
      </c>
      <c r="BK216" s="73">
        <v>7.042525732062324</v>
      </c>
      <c r="BL216" s="40">
        <v>0</v>
      </c>
      <c r="BM216" s="38">
        <v>-7.042525732062324</v>
      </c>
      <c r="BN216" s="73">
        <v>6.4779999999999998</v>
      </c>
      <c r="BO216" s="40">
        <v>0</v>
      </c>
      <c r="BP216" s="55">
        <v>-6.4779999999999998</v>
      </c>
      <c r="BQ216" s="77">
        <v>303.87896159117253</v>
      </c>
      <c r="BR216" s="40">
        <v>0</v>
      </c>
      <c r="BS216" s="55">
        <v>-303.87896159117253</v>
      </c>
      <c r="BT216" s="73">
        <v>473.65677990655797</v>
      </c>
      <c r="BU216" s="40">
        <v>142.05836436102894</v>
      </c>
      <c r="BV216" s="52">
        <v>-331.59841554552906</v>
      </c>
      <c r="BW216" s="73">
        <v>357.10169562003199</v>
      </c>
      <c r="BX216" s="40">
        <v>376.49492177829671</v>
      </c>
      <c r="BY216" s="52">
        <v>19.393226158264724</v>
      </c>
      <c r="BZ216" s="73">
        <v>294.56375046217602</v>
      </c>
      <c r="CA216" s="40">
        <v>828.49650632278997</v>
      </c>
      <c r="CB216" s="52">
        <v>533.93275586061395</v>
      </c>
      <c r="CC216" s="73">
        <v>23.301364074999999</v>
      </c>
      <c r="CD216" s="40">
        <v>29.400855962924908</v>
      </c>
      <c r="CE216" s="52">
        <v>6.0994918879249092</v>
      </c>
      <c r="CF216" s="73">
        <v>2.7684788999999999</v>
      </c>
      <c r="CG216" s="40">
        <v>0</v>
      </c>
      <c r="CH216" s="52">
        <v>-2.7684788999999999</v>
      </c>
      <c r="CI216" s="73">
        <v>49.84</v>
      </c>
      <c r="CJ216" s="40">
        <v>15.328444387148579</v>
      </c>
      <c r="CK216" s="52">
        <v>-34.511555612851424</v>
      </c>
      <c r="CL216" s="73">
        <v>0</v>
      </c>
      <c r="CM216" s="40">
        <v>0</v>
      </c>
      <c r="CN216" s="52">
        <v>0</v>
      </c>
      <c r="CO216" s="39">
        <v>49.84</v>
      </c>
      <c r="CP216" s="40">
        <v>15.328444387148579</v>
      </c>
      <c r="CQ216" s="52">
        <v>-34.511555612851424</v>
      </c>
      <c r="CR216" s="72">
        <v>2849.5218544668569</v>
      </c>
      <c r="CS216" s="5">
        <v>2167.1603125802326</v>
      </c>
      <c r="CT216" s="52">
        <v>-682.36154188662431</v>
      </c>
      <c r="CU216" s="77">
        <v>3419.4262253602283</v>
      </c>
      <c r="CV216" s="65">
        <v>2600.5923750962788</v>
      </c>
      <c r="CW216" s="35">
        <v>-818.83385026394944</v>
      </c>
      <c r="CX216" s="73">
        <v>190.91692921589555</v>
      </c>
      <c r="CY216" s="40">
        <v>1009.7507794798448</v>
      </c>
      <c r="CZ216" s="52">
        <v>818.83385026394922</v>
      </c>
      <c r="DA216" s="150">
        <v>19208.931155232905</v>
      </c>
      <c r="DB216" s="2">
        <v>2</v>
      </c>
      <c r="DC216" s="648">
        <v>4234.5600000000004</v>
      </c>
      <c r="DD216" s="648">
        <v>428.55</v>
      </c>
      <c r="DE216" s="649">
        <v>1052.7668454238769</v>
      </c>
      <c r="DG216" s="321">
        <v>14410.658148795988</v>
      </c>
      <c r="DH216" s="5">
        <v>43324.117854913486</v>
      </c>
      <c r="DI216" s="306">
        <v>5.7872177148252542</v>
      </c>
      <c r="DJ216" s="306"/>
      <c r="DK216" s="306">
        <v>4.847868786889471</v>
      </c>
      <c r="DL216" s="28">
        <v>1386.0386427006483</v>
      </c>
      <c r="DM216" s="28">
        <v>428.55160076102925</v>
      </c>
      <c r="DN216" s="650">
        <v>1386.03</v>
      </c>
      <c r="DO216" s="94">
        <v>8.6427006483518198E-3</v>
      </c>
      <c r="DP216" s="28">
        <v>1814.5902434616776</v>
      </c>
      <c r="DQ216" s="318">
        <v>19.391475147557685</v>
      </c>
      <c r="DS216" s="8">
        <v>1709.7131126801141</v>
      </c>
      <c r="DT216" s="5">
        <v>85.48565563400571</v>
      </c>
      <c r="DW216" s="5">
        <v>990.36148986127444</v>
      </c>
      <c r="DX216" s="5">
        <v>0</v>
      </c>
    </row>
    <row r="217" spans="1:128" x14ac:dyDescent="0.3">
      <c r="A217" s="325">
        <v>150000931</v>
      </c>
      <c r="B217" s="41" t="s">
        <v>664</v>
      </c>
      <c r="C217" s="42" t="s">
        <v>267</v>
      </c>
      <c r="D217" s="42" t="s">
        <v>267</v>
      </c>
      <c r="E217" s="293">
        <v>2292.33</v>
      </c>
      <c r="F217" s="305">
        <v>2128.4299999999998</v>
      </c>
      <c r="G217" s="51"/>
      <c r="H217" s="651">
        <v>163.9</v>
      </c>
      <c r="I217" s="73">
        <v>1115.0435664855813</v>
      </c>
      <c r="J217" s="40">
        <v>1232.1853865289727</v>
      </c>
      <c r="K217" s="52">
        <v>117.14182004339136</v>
      </c>
      <c r="L217" s="73">
        <v>256.76173319284686</v>
      </c>
      <c r="M217" s="40">
        <v>331.15935446187075</v>
      </c>
      <c r="N217" s="52">
        <v>74.397621269023887</v>
      </c>
      <c r="O217" s="73">
        <v>413.88804539357335</v>
      </c>
      <c r="P217" s="40">
        <v>413.88</v>
      </c>
      <c r="Q217" s="52">
        <v>-8.0453935733544313E-3</v>
      </c>
      <c r="R217" s="73">
        <v>104.43905111488667</v>
      </c>
      <c r="S217" s="40">
        <v>104.44</v>
      </c>
      <c r="T217" s="52">
        <v>9.488851133312437E-4</v>
      </c>
      <c r="U217" s="73">
        <v>59.013359818333555</v>
      </c>
      <c r="V217" s="40">
        <v>153.41631442772371</v>
      </c>
      <c r="W217" s="52">
        <v>94.40295460939015</v>
      </c>
      <c r="X217" s="73">
        <v>672.83093453368542</v>
      </c>
      <c r="Y217" s="40">
        <v>716.34053072381266</v>
      </c>
      <c r="Z217" s="52">
        <v>43.50959619012724</v>
      </c>
      <c r="AA217" s="73">
        <v>183.38640000000001</v>
      </c>
      <c r="AB217" s="40">
        <v>0</v>
      </c>
      <c r="AC217" s="52">
        <v>-183.38640000000001</v>
      </c>
      <c r="AD217" s="73">
        <v>1647.2118960671467</v>
      </c>
      <c r="AE217" s="40">
        <v>2066.0888190979881</v>
      </c>
      <c r="AF217" s="35">
        <v>418.87692303084145</v>
      </c>
      <c r="AG217" s="77">
        <v>4452.5749866060532</v>
      </c>
      <c r="AH217" s="53">
        <v>5017.5104052403676</v>
      </c>
      <c r="AI217" s="52">
        <v>564.93541863431437</v>
      </c>
      <c r="AJ217" s="73">
        <v>0</v>
      </c>
      <c r="AK217" s="40">
        <v>0</v>
      </c>
      <c r="AL217" s="52">
        <v>0</v>
      </c>
      <c r="AM217" s="73">
        <v>0</v>
      </c>
      <c r="AN217" s="40">
        <v>0</v>
      </c>
      <c r="AO217" s="52">
        <v>0</v>
      </c>
      <c r="AP217" s="73">
        <v>233.22795833333331</v>
      </c>
      <c r="AQ217" s="40">
        <v>0</v>
      </c>
      <c r="AR217" s="52">
        <v>-233.22795833333331</v>
      </c>
      <c r="AS217" s="73">
        <v>2856.9663615949357</v>
      </c>
      <c r="AT217" s="40">
        <v>0</v>
      </c>
      <c r="AU217" s="54">
        <v>-2856.9663615949357</v>
      </c>
      <c r="AV217" s="73">
        <v>555.41728791565561</v>
      </c>
      <c r="AW217" s="40">
        <v>1810</v>
      </c>
      <c r="AX217" s="55">
        <v>1254.5827120843444</v>
      </c>
      <c r="AY217" s="73">
        <v>710.72748604329558</v>
      </c>
      <c r="AZ217" s="40">
        <v>1964</v>
      </c>
      <c r="BA217" s="35">
        <v>1253.2725139567044</v>
      </c>
      <c r="BB217" s="73">
        <v>144.99954023849318</v>
      </c>
      <c r="BC217" s="40">
        <v>0</v>
      </c>
      <c r="BD217" s="55">
        <v>-144.99954023849318</v>
      </c>
      <c r="BE217" s="73">
        <v>523.36488469556002</v>
      </c>
      <c r="BF217" s="40">
        <v>0</v>
      </c>
      <c r="BG217" s="38">
        <v>-523.36488469556002</v>
      </c>
      <c r="BH217" s="73">
        <v>284.94336756732315</v>
      </c>
      <c r="BI217" s="40">
        <v>0</v>
      </c>
      <c r="BJ217" s="55">
        <v>-284.94336756732315</v>
      </c>
      <c r="BK217" s="73">
        <v>417.22970116677675</v>
      </c>
      <c r="BL217" s="40">
        <v>0</v>
      </c>
      <c r="BM217" s="38">
        <v>-417.22970116677675</v>
      </c>
      <c r="BN217" s="73">
        <v>45.846600000000002</v>
      </c>
      <c r="BO217" s="40">
        <v>0</v>
      </c>
      <c r="BP217" s="55">
        <v>-45.846600000000002</v>
      </c>
      <c r="BQ217" s="77">
        <v>2682.5288676271039</v>
      </c>
      <c r="BR217" s="40">
        <v>3774</v>
      </c>
      <c r="BS217" s="55">
        <v>1091.4711323728961</v>
      </c>
      <c r="BT217" s="73">
        <v>2234.6145232509998</v>
      </c>
      <c r="BU217" s="40">
        <v>698.75643755100509</v>
      </c>
      <c r="BV217" s="52">
        <v>-1535.8580856999947</v>
      </c>
      <c r="BW217" s="73">
        <v>2603.7729541200601</v>
      </c>
      <c r="BX217" s="40">
        <v>2684.7980973543572</v>
      </c>
      <c r="BY217" s="52">
        <v>81.025143234297047</v>
      </c>
      <c r="BZ217" s="73">
        <v>1312.9783153978919</v>
      </c>
      <c r="CA217" s="40">
        <v>4567.9339516517648</v>
      </c>
      <c r="CB217" s="52">
        <v>3254.9556362538729</v>
      </c>
      <c r="CC217" s="73">
        <v>255.93301525000001</v>
      </c>
      <c r="CD217" s="40">
        <v>322.92743434688009</v>
      </c>
      <c r="CE217" s="52">
        <v>66.99441909688008</v>
      </c>
      <c r="CF217" s="73">
        <v>30.407883000000002</v>
      </c>
      <c r="CG217" s="40">
        <v>0</v>
      </c>
      <c r="CH217" s="52">
        <v>-30.407883000000002</v>
      </c>
      <c r="CI217" s="73">
        <v>432.94</v>
      </c>
      <c r="CJ217" s="40">
        <v>710.01305598299029</v>
      </c>
      <c r="CK217" s="52">
        <v>277.0730559829903</v>
      </c>
      <c r="CL217" s="73">
        <v>0</v>
      </c>
      <c r="CM217" s="40">
        <v>0</v>
      </c>
      <c r="CN217" s="52">
        <v>0</v>
      </c>
      <c r="CO217" s="39">
        <v>432.94</v>
      </c>
      <c r="CP217" s="40">
        <v>710.01305598299029</v>
      </c>
      <c r="CQ217" s="52">
        <v>277.0730559829903</v>
      </c>
      <c r="CR217" s="72">
        <v>17095.944865180376</v>
      </c>
      <c r="CS217" s="5">
        <v>17775.939382127362</v>
      </c>
      <c r="CT217" s="52">
        <v>679.99451694698655</v>
      </c>
      <c r="CU217" s="77">
        <v>20515.13383821645</v>
      </c>
      <c r="CV217" s="65">
        <v>21331.127258552835</v>
      </c>
      <c r="CW217" s="35">
        <v>815.99342033638459</v>
      </c>
      <c r="CX217" s="73">
        <v>1145.4220961976685</v>
      </c>
      <c r="CY217" s="40">
        <v>329.42867586128341</v>
      </c>
      <c r="CZ217" s="52">
        <v>-815.99342033638504</v>
      </c>
      <c r="DA217" s="150">
        <v>49440.763631216316</v>
      </c>
      <c r="DB217" s="2">
        <v>2</v>
      </c>
      <c r="DC217" s="648">
        <v>18458.59</v>
      </c>
      <c r="DD217" s="648">
        <v>475.8599999999999</v>
      </c>
      <c r="DE217" s="649">
        <v>-2726.1059344141177</v>
      </c>
      <c r="DG217" s="321">
        <v>-11182.179157154122</v>
      </c>
      <c r="DH217" s="5">
        <v>259926.67121296941</v>
      </c>
      <c r="DI217" s="306">
        <v>4.733302145206741</v>
      </c>
      <c r="DJ217" s="306"/>
      <c r="DK217" s="306">
        <v>3.9828769435325619</v>
      </c>
      <c r="DL217" s="28">
        <v>10074.502284922382</v>
      </c>
      <c r="DM217" s="28">
        <v>652.79353104498693</v>
      </c>
      <c r="DN217" s="650">
        <v>10074.48</v>
      </c>
      <c r="DO217" s="94">
        <v>2.2284922382823424E-2</v>
      </c>
      <c r="DP217" s="28">
        <v>10727.295815967369</v>
      </c>
      <c r="DQ217" s="318">
        <v>-43.149449096266835</v>
      </c>
      <c r="DS217" s="8">
        <v>10257.566919108225</v>
      </c>
      <c r="DT217" s="5">
        <v>512.87834595541131</v>
      </c>
      <c r="DW217" s="5">
        <v>6647.3942750664473</v>
      </c>
      <c r="DX217" s="5">
        <v>4528.8</v>
      </c>
    </row>
    <row r="218" spans="1:128" x14ac:dyDescent="0.3">
      <c r="A218" s="325">
        <v>150000932</v>
      </c>
      <c r="B218" s="41" t="s">
        <v>665</v>
      </c>
      <c r="C218" s="42" t="s">
        <v>174</v>
      </c>
      <c r="D218" s="42" t="s">
        <v>174</v>
      </c>
      <c r="E218" s="293">
        <v>354.3</v>
      </c>
      <c r="F218" s="305">
        <v>354.3</v>
      </c>
      <c r="G218" s="51"/>
      <c r="H218" s="651">
        <v>0</v>
      </c>
      <c r="I218" s="73">
        <v>196.68616730556556</v>
      </c>
      <c r="J218" s="40">
        <v>215.22921981358121</v>
      </c>
      <c r="K218" s="52">
        <v>18.543052508015649</v>
      </c>
      <c r="L218" s="73">
        <v>37.587422835929821</v>
      </c>
      <c r="M218" s="40">
        <v>42.346800644508008</v>
      </c>
      <c r="N218" s="52">
        <v>4.7593778085781864</v>
      </c>
      <c r="O218" s="73">
        <v>64.501264171800003</v>
      </c>
      <c r="P218" s="40">
        <v>64.5</v>
      </c>
      <c r="Q218" s="52">
        <v>-1.2641718000026003E-3</v>
      </c>
      <c r="R218" s="73">
        <v>0</v>
      </c>
      <c r="S218" s="40">
        <v>0</v>
      </c>
      <c r="T218" s="52">
        <v>0</v>
      </c>
      <c r="U218" s="73">
        <v>0</v>
      </c>
      <c r="V218" s="40">
        <v>0</v>
      </c>
      <c r="W218" s="52">
        <v>0</v>
      </c>
      <c r="X218" s="73">
        <v>27.430219246176918</v>
      </c>
      <c r="Y218" s="40">
        <v>14.091223742233804</v>
      </c>
      <c r="Z218" s="52">
        <v>-13.338995503943114</v>
      </c>
      <c r="AA218" s="73">
        <v>28.344000000000001</v>
      </c>
      <c r="AB218" s="40">
        <v>0</v>
      </c>
      <c r="AC218" s="52">
        <v>-28.344000000000001</v>
      </c>
      <c r="AD218" s="73">
        <v>255.22627715317401</v>
      </c>
      <c r="AE218" s="40">
        <v>319.33241226455925</v>
      </c>
      <c r="AF218" s="35">
        <v>64.106135111385242</v>
      </c>
      <c r="AG218" s="77">
        <v>609.77535071264629</v>
      </c>
      <c r="AH218" s="53">
        <v>655.49965646488226</v>
      </c>
      <c r="AI218" s="52">
        <v>45.724305752235978</v>
      </c>
      <c r="AJ218" s="73">
        <v>0</v>
      </c>
      <c r="AK218" s="40">
        <v>0</v>
      </c>
      <c r="AL218" s="52">
        <v>0</v>
      </c>
      <c r="AM218" s="73">
        <v>0</v>
      </c>
      <c r="AN218" s="40">
        <v>0</v>
      </c>
      <c r="AO218" s="52">
        <v>0</v>
      </c>
      <c r="AP218" s="73">
        <v>308.86945833333334</v>
      </c>
      <c r="AQ218" s="40">
        <v>0</v>
      </c>
      <c r="AR218" s="52">
        <v>-308.86945833333334</v>
      </c>
      <c r="AS218" s="73">
        <v>128.40469094358895</v>
      </c>
      <c r="AT218" s="40">
        <v>0</v>
      </c>
      <c r="AU218" s="54">
        <v>-128.40469094358895</v>
      </c>
      <c r="AV218" s="73">
        <v>111.550582988697</v>
      </c>
      <c r="AW218" s="40">
        <v>0</v>
      </c>
      <c r="AX218" s="55">
        <v>-111.550582988697</v>
      </c>
      <c r="AY218" s="73">
        <v>104.00769418562975</v>
      </c>
      <c r="AZ218" s="40">
        <v>0</v>
      </c>
      <c r="BA218" s="35">
        <v>-104.00769418562975</v>
      </c>
      <c r="BB218" s="73">
        <v>22.664514721639321</v>
      </c>
      <c r="BC218" s="40">
        <v>0</v>
      </c>
      <c r="BD218" s="55">
        <v>-22.664514721639321</v>
      </c>
      <c r="BE218" s="73">
        <v>0</v>
      </c>
      <c r="BF218" s="40">
        <v>0</v>
      </c>
      <c r="BG218" s="38">
        <v>0</v>
      </c>
      <c r="BH218" s="73">
        <v>0</v>
      </c>
      <c r="BI218" s="40">
        <v>0</v>
      </c>
      <c r="BJ218" s="55">
        <v>0</v>
      </c>
      <c r="BK218" s="73">
        <v>1.5756253074155249</v>
      </c>
      <c r="BL218" s="40">
        <v>0</v>
      </c>
      <c r="BM218" s="38">
        <v>-1.5756253074155249</v>
      </c>
      <c r="BN218" s="73">
        <v>7.0860000000000003</v>
      </c>
      <c r="BO218" s="40">
        <v>0</v>
      </c>
      <c r="BP218" s="55">
        <v>-7.0860000000000003</v>
      </c>
      <c r="BQ218" s="77">
        <v>246.88441720338159</v>
      </c>
      <c r="BR218" s="40">
        <v>0</v>
      </c>
      <c r="BS218" s="55">
        <v>-246.88441720338159</v>
      </c>
      <c r="BT218" s="73">
        <v>915.79418855990195</v>
      </c>
      <c r="BU218" s="40">
        <v>203.40477429605835</v>
      </c>
      <c r="BV218" s="52">
        <v>-712.38941426384361</v>
      </c>
      <c r="BW218" s="73">
        <v>0</v>
      </c>
      <c r="BX218" s="40">
        <v>1.3154526614390396</v>
      </c>
      <c r="BY218" s="52">
        <v>1.3154526614390396</v>
      </c>
      <c r="BZ218" s="73">
        <v>209.05812985354399</v>
      </c>
      <c r="CA218" s="40">
        <v>1202.8795950529334</v>
      </c>
      <c r="CB218" s="52">
        <v>993.82146519938942</v>
      </c>
      <c r="CC218" s="73">
        <v>0</v>
      </c>
      <c r="CD218" s="40">
        <v>0</v>
      </c>
      <c r="CE218" s="52">
        <v>0</v>
      </c>
      <c r="CF218" s="73">
        <v>0</v>
      </c>
      <c r="CG218" s="40">
        <v>0</v>
      </c>
      <c r="CH218" s="52">
        <v>0</v>
      </c>
      <c r="CI218" s="73">
        <v>0</v>
      </c>
      <c r="CJ218" s="40">
        <v>0</v>
      </c>
      <c r="CK218" s="52">
        <v>0</v>
      </c>
      <c r="CL218" s="73">
        <v>0</v>
      </c>
      <c r="CM218" s="40">
        <v>0</v>
      </c>
      <c r="CN218" s="52">
        <v>0</v>
      </c>
      <c r="CO218" s="39">
        <v>0</v>
      </c>
      <c r="CP218" s="40">
        <v>0</v>
      </c>
      <c r="CQ218" s="52">
        <v>0</v>
      </c>
      <c r="CR218" s="72">
        <v>2418.7862356063961</v>
      </c>
      <c r="CS218" s="5">
        <v>2063.0994784753129</v>
      </c>
      <c r="CT218" s="52">
        <v>-355.68675713108314</v>
      </c>
      <c r="CU218" s="77">
        <v>2902.5434827276754</v>
      </c>
      <c r="CV218" s="65">
        <v>2475.7193741703754</v>
      </c>
      <c r="CW218" s="35">
        <v>-426.82410855729995</v>
      </c>
      <c r="CX218" s="73">
        <v>162.05779920857944</v>
      </c>
      <c r="CY218" s="40">
        <v>588.88190776587953</v>
      </c>
      <c r="CZ218" s="52">
        <v>426.82410855730006</v>
      </c>
      <c r="DA218" s="150">
        <v>-3748.7096341920137</v>
      </c>
      <c r="DB218" s="2">
        <v>2</v>
      </c>
      <c r="DC218" s="648">
        <v>1523.84</v>
      </c>
      <c r="DD218" s="648"/>
      <c r="DE218" s="649">
        <v>-1540.761281936255</v>
      </c>
      <c r="DG218" s="321">
        <v>4247.2683031774986</v>
      </c>
      <c r="DH218" s="5">
        <v>36775.21538323506</v>
      </c>
      <c r="DI218" s="306">
        <v>4.3009746780469369</v>
      </c>
      <c r="DJ218" s="306"/>
      <c r="DK218" s="306"/>
      <c r="DL218" s="28">
        <v>1523.8353284320299</v>
      </c>
      <c r="DM218" s="28">
        <v>0</v>
      </c>
      <c r="DN218" s="650">
        <v>1523.84</v>
      </c>
      <c r="DO218" s="94">
        <v>-4.6715679700355395E-3</v>
      </c>
      <c r="DP218" s="28">
        <v>1523.8353284320299</v>
      </c>
      <c r="DQ218" s="318">
        <v>0</v>
      </c>
      <c r="DS218" s="8">
        <v>1451.2717413638377</v>
      </c>
      <c r="DT218" s="5">
        <v>72.563587068191879</v>
      </c>
      <c r="DW218" s="5">
        <v>450.34692977636462</v>
      </c>
      <c r="DX218" s="5">
        <v>0</v>
      </c>
    </row>
    <row r="219" spans="1:128" x14ac:dyDescent="0.3">
      <c r="A219" s="325">
        <v>150000924</v>
      </c>
      <c r="B219" s="41" t="s">
        <v>666</v>
      </c>
      <c r="C219" s="42" t="s">
        <v>175</v>
      </c>
      <c r="D219" s="42" t="s">
        <v>175</v>
      </c>
      <c r="E219" s="293">
        <v>474.29999999999995</v>
      </c>
      <c r="F219" s="305">
        <v>397.4</v>
      </c>
      <c r="G219" s="51"/>
      <c r="H219" s="651">
        <v>76.900000000000006</v>
      </c>
      <c r="I219" s="73">
        <v>338.19652156951281</v>
      </c>
      <c r="J219" s="40">
        <v>371.31836214048741</v>
      </c>
      <c r="K219" s="52">
        <v>33.121840570974598</v>
      </c>
      <c r="L219" s="73">
        <v>101.87517815687289</v>
      </c>
      <c r="M219" s="40">
        <v>114.77443209166654</v>
      </c>
      <c r="N219" s="52">
        <v>12.899253934793649</v>
      </c>
      <c r="O219" s="73">
        <v>87.464444605543349</v>
      </c>
      <c r="P219" s="40">
        <v>87.46</v>
      </c>
      <c r="Q219" s="52">
        <v>-4.4446055433553511E-3</v>
      </c>
      <c r="R219" s="73">
        <v>0</v>
      </c>
      <c r="S219" s="40">
        <v>0</v>
      </c>
      <c r="T219" s="52">
        <v>0</v>
      </c>
      <c r="U219" s="73">
        <v>0</v>
      </c>
      <c r="V219" s="40">
        <v>0</v>
      </c>
      <c r="W219" s="52">
        <v>0</v>
      </c>
      <c r="X219" s="73">
        <v>137.81400047796194</v>
      </c>
      <c r="Y219" s="40">
        <v>139.74242398884013</v>
      </c>
      <c r="Z219" s="52">
        <v>1.92842351087819</v>
      </c>
      <c r="AA219" s="73">
        <v>37.943999999999996</v>
      </c>
      <c r="AB219" s="40">
        <v>0</v>
      </c>
      <c r="AC219" s="52">
        <v>-37.943999999999996</v>
      </c>
      <c r="AD219" s="73">
        <v>338.65116040845567</v>
      </c>
      <c r="AE219" s="40">
        <v>427.48902945831344</v>
      </c>
      <c r="AF219" s="35">
        <v>88.837869049857773</v>
      </c>
      <c r="AG219" s="77">
        <v>1041.9453052183467</v>
      </c>
      <c r="AH219" s="53">
        <v>1140.7842476793076</v>
      </c>
      <c r="AI219" s="52">
        <v>98.83894246096088</v>
      </c>
      <c r="AJ219" s="73">
        <v>0</v>
      </c>
      <c r="AK219" s="40">
        <v>0</v>
      </c>
      <c r="AL219" s="52">
        <v>0</v>
      </c>
      <c r="AM219" s="73">
        <v>0</v>
      </c>
      <c r="AN219" s="40">
        <v>0</v>
      </c>
      <c r="AO219" s="52">
        <v>0</v>
      </c>
      <c r="AP219" s="73">
        <v>132.372625</v>
      </c>
      <c r="AQ219" s="40">
        <v>0</v>
      </c>
      <c r="AR219" s="52">
        <v>-132.372625</v>
      </c>
      <c r="AS219" s="73">
        <v>701.60933411761118</v>
      </c>
      <c r="AT219" s="40">
        <v>0</v>
      </c>
      <c r="AU219" s="54">
        <v>-701.60933411761118</v>
      </c>
      <c r="AV219" s="73">
        <v>164.80716422995164</v>
      </c>
      <c r="AW219" s="40">
        <v>0</v>
      </c>
      <c r="AX219" s="55">
        <v>-164.80716422995164</v>
      </c>
      <c r="AY219" s="73">
        <v>281.9933010797734</v>
      </c>
      <c r="AZ219" s="40">
        <v>0</v>
      </c>
      <c r="BA219" s="35">
        <v>-281.9933010797734</v>
      </c>
      <c r="BB219" s="73">
        <v>27.975068546496658</v>
      </c>
      <c r="BC219" s="40">
        <v>0</v>
      </c>
      <c r="BD219" s="55">
        <v>-27.975068546496658</v>
      </c>
      <c r="BE219" s="73">
        <v>0</v>
      </c>
      <c r="BF219" s="40">
        <v>0</v>
      </c>
      <c r="BG219" s="38">
        <v>0</v>
      </c>
      <c r="BH219" s="73">
        <v>0</v>
      </c>
      <c r="BI219" s="40">
        <v>0</v>
      </c>
      <c r="BJ219" s="55">
        <v>0</v>
      </c>
      <c r="BK219" s="73">
        <v>14.085004385047821</v>
      </c>
      <c r="BL219" s="40">
        <v>0</v>
      </c>
      <c r="BM219" s="38">
        <v>-14.085004385047821</v>
      </c>
      <c r="BN219" s="73">
        <v>9.4859999999999989</v>
      </c>
      <c r="BO219" s="40">
        <v>0</v>
      </c>
      <c r="BP219" s="55">
        <v>-9.4859999999999989</v>
      </c>
      <c r="BQ219" s="77">
        <v>498.34653824126951</v>
      </c>
      <c r="BR219" s="40">
        <v>0</v>
      </c>
      <c r="BS219" s="55">
        <v>-498.34653824126951</v>
      </c>
      <c r="BT219" s="73">
        <v>495.73678095533398</v>
      </c>
      <c r="BU219" s="40">
        <v>170.58193002446362</v>
      </c>
      <c r="BV219" s="52">
        <v>-325.15485093087034</v>
      </c>
      <c r="BW219" s="73">
        <v>404.29424685566801</v>
      </c>
      <c r="BX219" s="40">
        <v>428.38233129847555</v>
      </c>
      <c r="BY219" s="52">
        <v>24.088084442807542</v>
      </c>
      <c r="BZ219" s="73">
        <v>425.06440368414599</v>
      </c>
      <c r="CA219" s="40">
        <v>995.3507904921463</v>
      </c>
      <c r="CB219" s="52">
        <v>570.28638680800032</v>
      </c>
      <c r="CC219" s="73">
        <v>40.872884525000003</v>
      </c>
      <c r="CD219" s="40">
        <v>51.571993246442048</v>
      </c>
      <c r="CE219" s="52">
        <v>10.699108721442045</v>
      </c>
      <c r="CF219" s="73">
        <v>4.8561842999999998</v>
      </c>
      <c r="CG219" s="40">
        <v>0</v>
      </c>
      <c r="CH219" s="52">
        <v>-4.8561842999999998</v>
      </c>
      <c r="CI219" s="73">
        <v>177.54</v>
      </c>
      <c r="CJ219" s="40">
        <v>298.81679544661898</v>
      </c>
      <c r="CK219" s="52">
        <v>121.27679544661899</v>
      </c>
      <c r="CL219" s="73">
        <v>0</v>
      </c>
      <c r="CM219" s="40">
        <v>0</v>
      </c>
      <c r="CN219" s="52">
        <v>0</v>
      </c>
      <c r="CO219" s="39">
        <v>177.54</v>
      </c>
      <c r="CP219" s="40">
        <v>298.81679544661898</v>
      </c>
      <c r="CQ219" s="52">
        <v>121.27679544661899</v>
      </c>
      <c r="CR219" s="72">
        <v>3922.6383028973751</v>
      </c>
      <c r="CS219" s="5">
        <v>3085.4880881874542</v>
      </c>
      <c r="CT219" s="52">
        <v>-837.15021470992087</v>
      </c>
      <c r="CU219" s="77">
        <v>4707.1659634768503</v>
      </c>
      <c r="CV219" s="65">
        <v>3702.5857058249449</v>
      </c>
      <c r="CW219" s="35">
        <v>-1004.5802576519054</v>
      </c>
      <c r="CX219" s="73">
        <v>262.81534147206497</v>
      </c>
      <c r="CY219" s="40">
        <v>1267.39559912397</v>
      </c>
      <c r="CZ219" s="52">
        <v>1004.580257651905</v>
      </c>
      <c r="DA219" s="150">
        <v>-10632.695997756367</v>
      </c>
      <c r="DB219" s="2">
        <v>2</v>
      </c>
      <c r="DC219" s="648">
        <v>2407.67</v>
      </c>
      <c r="DD219" s="648">
        <v>2460.54</v>
      </c>
      <c r="DE219" s="649">
        <v>-101.7713049489148</v>
      </c>
      <c r="DG219" s="321">
        <v>-4949.3814879538277</v>
      </c>
      <c r="DH219" s="5">
        <v>59639.775659386978</v>
      </c>
      <c r="DI219" s="306">
        <v>5.3142517559976303</v>
      </c>
      <c r="DJ219" s="306"/>
      <c r="DK219" s="306">
        <v>4.6733222755772204</v>
      </c>
      <c r="DL219" s="28">
        <v>2111.8836478334583</v>
      </c>
      <c r="DM219" s="28">
        <v>359.37848299188829</v>
      </c>
      <c r="DN219" s="650">
        <v>2111.91</v>
      </c>
      <c r="DO219" s="94">
        <v>-2.6352166541528277E-2</v>
      </c>
      <c r="DP219" s="28">
        <v>2471.2621308253465</v>
      </c>
      <c r="DQ219" s="318">
        <v>0</v>
      </c>
      <c r="DS219" s="8">
        <v>2353.5829817384251</v>
      </c>
      <c r="DT219" s="5">
        <v>117.67914908692126</v>
      </c>
      <c r="DW219" s="5">
        <v>1439.9470468306567</v>
      </c>
      <c r="DX219" s="5">
        <v>0</v>
      </c>
    </row>
    <row r="220" spans="1:128" x14ac:dyDescent="0.3">
      <c r="A220" s="325">
        <v>150000933</v>
      </c>
      <c r="B220" s="41" t="s">
        <v>667</v>
      </c>
      <c r="C220" s="42" t="s">
        <v>268</v>
      </c>
      <c r="D220" s="42" t="s">
        <v>268</v>
      </c>
      <c r="E220" s="293">
        <v>4735.0700000000006</v>
      </c>
      <c r="F220" s="305">
        <v>4358.7700000000004</v>
      </c>
      <c r="G220" s="51"/>
      <c r="H220" s="651">
        <v>376.3</v>
      </c>
      <c r="I220" s="73">
        <v>2003.1537607509899</v>
      </c>
      <c r="J220" s="40">
        <v>2223.6065094981095</v>
      </c>
      <c r="K220" s="52">
        <v>220.45274874711959</v>
      </c>
      <c r="L220" s="73">
        <v>448.457438065026</v>
      </c>
      <c r="M220" s="40">
        <v>505.24113872413011</v>
      </c>
      <c r="N220" s="52">
        <v>56.783700659104113</v>
      </c>
      <c r="O220" s="73">
        <v>862.57911894607662</v>
      </c>
      <c r="P220" s="40">
        <v>862.58</v>
      </c>
      <c r="Q220" s="52">
        <v>8.8105392342185951E-4</v>
      </c>
      <c r="R220" s="73">
        <v>205.62968603003333</v>
      </c>
      <c r="S220" s="40">
        <v>205.64</v>
      </c>
      <c r="T220" s="52">
        <v>1.0313969966659897E-2</v>
      </c>
      <c r="U220" s="73">
        <v>98.327327236514193</v>
      </c>
      <c r="V220" s="40">
        <v>222.8195454907999</v>
      </c>
      <c r="W220" s="52">
        <v>124.4922182542857</v>
      </c>
      <c r="X220" s="73">
        <v>1202.6830403659028</v>
      </c>
      <c r="Y220" s="40">
        <v>1283.5303570123588</v>
      </c>
      <c r="Z220" s="52">
        <v>80.847316646455965</v>
      </c>
      <c r="AA220" s="73">
        <v>377.27760000000001</v>
      </c>
      <c r="AB220" s="40">
        <v>0</v>
      </c>
      <c r="AC220" s="52">
        <v>-377.27760000000001</v>
      </c>
      <c r="AD220" s="73">
        <v>3383.3126086164498</v>
      </c>
      <c r="AE220" s="40">
        <v>4267.7429447969143</v>
      </c>
      <c r="AF220" s="35">
        <v>884.43033618046456</v>
      </c>
      <c r="AG220" s="77">
        <v>8581.4205800109921</v>
      </c>
      <c r="AH220" s="53">
        <v>9571.160495522312</v>
      </c>
      <c r="AI220" s="52">
        <v>989.73991551131985</v>
      </c>
      <c r="AJ220" s="73">
        <v>0</v>
      </c>
      <c r="AK220" s="40">
        <v>0</v>
      </c>
      <c r="AL220" s="52">
        <v>0</v>
      </c>
      <c r="AM220" s="73">
        <v>0</v>
      </c>
      <c r="AN220" s="40">
        <v>0</v>
      </c>
      <c r="AO220" s="52">
        <v>0</v>
      </c>
      <c r="AP220" s="73">
        <v>497.97320833333333</v>
      </c>
      <c r="AQ220" s="40">
        <v>0</v>
      </c>
      <c r="AR220" s="52">
        <v>-497.97320833333333</v>
      </c>
      <c r="AS220" s="73">
        <v>4105.5557677027318</v>
      </c>
      <c r="AT220" s="40">
        <v>1897</v>
      </c>
      <c r="AU220" s="54">
        <v>-2208.5557677027318</v>
      </c>
      <c r="AV220" s="73">
        <v>926.1543623133557</v>
      </c>
      <c r="AW220" s="40">
        <v>0</v>
      </c>
      <c r="AX220" s="55">
        <v>-926.1543623133557</v>
      </c>
      <c r="AY220" s="73">
        <v>1241.209056253716</v>
      </c>
      <c r="AZ220" s="40">
        <v>0</v>
      </c>
      <c r="BA220" s="35">
        <v>-1241.209056253716</v>
      </c>
      <c r="BB220" s="73">
        <v>356.77767091885323</v>
      </c>
      <c r="BC220" s="40">
        <v>0</v>
      </c>
      <c r="BD220" s="55">
        <v>-356.77767091885323</v>
      </c>
      <c r="BE220" s="73">
        <v>1021.1121572589141</v>
      </c>
      <c r="BF220" s="40">
        <v>0</v>
      </c>
      <c r="BG220" s="38">
        <v>-1021.1121572589141</v>
      </c>
      <c r="BH220" s="73">
        <v>474.90567324863116</v>
      </c>
      <c r="BI220" s="40">
        <v>0</v>
      </c>
      <c r="BJ220" s="55">
        <v>-474.90567324863116</v>
      </c>
      <c r="BK220" s="73">
        <v>887.99804125580431</v>
      </c>
      <c r="BL220" s="40">
        <v>0</v>
      </c>
      <c r="BM220" s="38">
        <v>-887.99804125580431</v>
      </c>
      <c r="BN220" s="73">
        <v>94.319400000000002</v>
      </c>
      <c r="BO220" s="40">
        <v>0</v>
      </c>
      <c r="BP220" s="55">
        <v>-94.319400000000002</v>
      </c>
      <c r="BQ220" s="77">
        <v>5002.4763612492752</v>
      </c>
      <c r="BR220" s="40">
        <v>0</v>
      </c>
      <c r="BS220" s="55">
        <v>-5002.4763612492752</v>
      </c>
      <c r="BT220" s="73">
        <v>7125.1495252014402</v>
      </c>
      <c r="BU220" s="40">
        <v>1763.2922334083999</v>
      </c>
      <c r="BV220" s="52">
        <v>-5361.8572917930405</v>
      </c>
      <c r="BW220" s="73">
        <v>3419.1977964438802</v>
      </c>
      <c r="BX220" s="40">
        <v>3412.4062751341189</v>
      </c>
      <c r="BY220" s="52">
        <v>-6.791521309761265</v>
      </c>
      <c r="BZ220" s="73">
        <v>2358.95286827358</v>
      </c>
      <c r="CA220" s="40">
        <v>11009.818942811817</v>
      </c>
      <c r="CB220" s="52">
        <v>8650.8660745382367</v>
      </c>
      <c r="CC220" s="73">
        <v>352.57637772499999</v>
      </c>
      <c r="CD220" s="40">
        <v>444.86868940622446</v>
      </c>
      <c r="CE220" s="52">
        <v>92.292311681224476</v>
      </c>
      <c r="CF220" s="73">
        <v>41.890262700000001</v>
      </c>
      <c r="CG220" s="40">
        <v>0</v>
      </c>
      <c r="CH220" s="52">
        <v>-41.890262700000001</v>
      </c>
      <c r="CI220" s="73">
        <v>1398.48</v>
      </c>
      <c r="CJ220" s="40">
        <v>2155.1773295391972</v>
      </c>
      <c r="CK220" s="52">
        <v>756.6973295391972</v>
      </c>
      <c r="CL220" s="73">
        <v>0</v>
      </c>
      <c r="CM220" s="40">
        <v>0</v>
      </c>
      <c r="CN220" s="52">
        <v>0</v>
      </c>
      <c r="CO220" s="39">
        <v>1398.48</v>
      </c>
      <c r="CP220" s="40">
        <v>2155.1773295391972</v>
      </c>
      <c r="CQ220" s="52">
        <v>756.6973295391972</v>
      </c>
      <c r="CR220" s="72">
        <v>32883.67274764023</v>
      </c>
      <c r="CS220" s="5">
        <v>30253.723965822068</v>
      </c>
      <c r="CT220" s="52">
        <v>-2629.9487818181624</v>
      </c>
      <c r="CU220" s="77">
        <v>39460.407297168276</v>
      </c>
      <c r="CV220" s="65">
        <v>36304.468758986477</v>
      </c>
      <c r="CW220" s="35">
        <v>-3155.9385381817992</v>
      </c>
      <c r="CX220" s="73">
        <v>2203.1941297374333</v>
      </c>
      <c r="CY220" s="40">
        <v>5359.1326679192352</v>
      </c>
      <c r="CZ220" s="52">
        <v>3155.938538181802</v>
      </c>
      <c r="DA220" s="150">
        <v>51549.619968696381</v>
      </c>
      <c r="DB220" s="2">
        <v>2</v>
      </c>
      <c r="DC220" s="648">
        <v>30313.119999999999</v>
      </c>
      <c r="DD220" s="648">
        <v>28757.06</v>
      </c>
      <c r="DE220" s="649">
        <v>17406.578573094288</v>
      </c>
      <c r="DG220" s="321">
        <v>-25572.44261937651</v>
      </c>
      <c r="DH220" s="5">
        <v>499963.21712286852</v>
      </c>
      <c r="DI220" s="306">
        <v>4.4303168363387329</v>
      </c>
      <c r="DJ220" s="306"/>
      <c r="DK220" s="306">
        <v>3.9361190209551169</v>
      </c>
      <c r="DL220" s="28">
        <v>19310.732116728181</v>
      </c>
      <c r="DM220" s="28">
        <v>1481.1615875854106</v>
      </c>
      <c r="DN220" s="650">
        <v>19310.63</v>
      </c>
      <c r="DO220" s="94">
        <v>0.10211672817968065</v>
      </c>
      <c r="DP220" s="28">
        <v>20791.893704313592</v>
      </c>
      <c r="DQ220" s="318">
        <v>75.179873300246982</v>
      </c>
      <c r="DS220" s="8">
        <v>19730.203648584138</v>
      </c>
      <c r="DT220" s="5">
        <v>986.51018242920691</v>
      </c>
      <c r="DW220" s="5">
        <v>10929.638554742409</v>
      </c>
      <c r="DX220" s="5">
        <v>2276.4</v>
      </c>
    </row>
    <row r="221" spans="1:128" x14ac:dyDescent="0.3">
      <c r="A221" s="325">
        <v>150000934</v>
      </c>
      <c r="B221" s="41" t="s">
        <v>668</v>
      </c>
      <c r="C221" s="42" t="s">
        <v>216</v>
      </c>
      <c r="D221" s="42" t="s">
        <v>216</v>
      </c>
      <c r="E221" s="293">
        <v>1981.17</v>
      </c>
      <c r="F221" s="305">
        <v>1981.17</v>
      </c>
      <c r="G221" s="51"/>
      <c r="H221" s="651">
        <v>0</v>
      </c>
      <c r="I221" s="73">
        <v>934.30864991374949</v>
      </c>
      <c r="J221" s="40">
        <v>1032.1843533700003</v>
      </c>
      <c r="K221" s="52">
        <v>97.87570345625079</v>
      </c>
      <c r="L221" s="73">
        <v>145.5543735010263</v>
      </c>
      <c r="M221" s="40">
        <v>163.98433490959485</v>
      </c>
      <c r="N221" s="52">
        <v>18.429961408568545</v>
      </c>
      <c r="O221" s="73">
        <v>339.91135420892329</v>
      </c>
      <c r="P221" s="40">
        <v>339.92</v>
      </c>
      <c r="Q221" s="52">
        <v>8.6457910767308022E-3</v>
      </c>
      <c r="R221" s="73">
        <v>0</v>
      </c>
      <c r="S221" s="40">
        <v>0</v>
      </c>
      <c r="T221" s="52">
        <v>0</v>
      </c>
      <c r="U221" s="73">
        <v>0</v>
      </c>
      <c r="V221" s="40">
        <v>0</v>
      </c>
      <c r="W221" s="52">
        <v>0</v>
      </c>
      <c r="X221" s="73">
        <v>524.35564705517095</v>
      </c>
      <c r="Y221" s="40">
        <v>554.1090017596764</v>
      </c>
      <c r="Z221" s="52">
        <v>29.753354704505455</v>
      </c>
      <c r="AA221" s="73">
        <v>158.49360000000001</v>
      </c>
      <c r="AB221" s="40">
        <v>0</v>
      </c>
      <c r="AC221" s="52">
        <v>-158.49360000000001</v>
      </c>
      <c r="AD221" s="73">
        <v>1427.2788661551772</v>
      </c>
      <c r="AE221" s="40">
        <v>1785.6387107145833</v>
      </c>
      <c r="AF221" s="35">
        <v>358.35984455940616</v>
      </c>
      <c r="AG221" s="77">
        <v>3529.9024908340475</v>
      </c>
      <c r="AH221" s="53">
        <v>3875.8364007538553</v>
      </c>
      <c r="AI221" s="52">
        <v>345.93390991980777</v>
      </c>
      <c r="AJ221" s="73">
        <v>0</v>
      </c>
      <c r="AK221" s="40">
        <v>0</v>
      </c>
      <c r="AL221" s="52">
        <v>0</v>
      </c>
      <c r="AM221" s="73">
        <v>0</v>
      </c>
      <c r="AN221" s="40">
        <v>0</v>
      </c>
      <c r="AO221" s="52">
        <v>0</v>
      </c>
      <c r="AP221" s="73">
        <v>680.7734999999999</v>
      </c>
      <c r="AQ221" s="40">
        <v>0</v>
      </c>
      <c r="AR221" s="52">
        <v>-680.7734999999999</v>
      </c>
      <c r="AS221" s="73">
        <v>2008.0605817764808</v>
      </c>
      <c r="AT221" s="40">
        <v>0</v>
      </c>
      <c r="AU221" s="54">
        <v>-2008.0605817764808</v>
      </c>
      <c r="AV221" s="73">
        <v>440.26163707092786</v>
      </c>
      <c r="AW221" s="40">
        <v>0</v>
      </c>
      <c r="AX221" s="55">
        <v>-440.26163707092786</v>
      </c>
      <c r="AY221" s="73">
        <v>402.86822205985038</v>
      </c>
      <c r="AZ221" s="40">
        <v>0</v>
      </c>
      <c r="BA221" s="35">
        <v>-402.86822205985038</v>
      </c>
      <c r="BB221" s="73">
        <v>133.77697419146</v>
      </c>
      <c r="BC221" s="40">
        <v>0</v>
      </c>
      <c r="BD221" s="55">
        <v>-133.77697419146</v>
      </c>
      <c r="BE221" s="73">
        <v>0</v>
      </c>
      <c r="BF221" s="40">
        <v>0</v>
      </c>
      <c r="BG221" s="38">
        <v>0</v>
      </c>
      <c r="BH221" s="73">
        <v>0</v>
      </c>
      <c r="BI221" s="40">
        <v>0</v>
      </c>
      <c r="BJ221" s="55">
        <v>0</v>
      </c>
      <c r="BK221" s="73">
        <v>298.84129229097721</v>
      </c>
      <c r="BL221" s="40">
        <v>896</v>
      </c>
      <c r="BM221" s="38">
        <v>597.15870770902279</v>
      </c>
      <c r="BN221" s="73">
        <v>39.623400000000004</v>
      </c>
      <c r="BO221" s="40">
        <v>0</v>
      </c>
      <c r="BP221" s="55">
        <v>-39.623400000000004</v>
      </c>
      <c r="BQ221" s="77">
        <v>1315.3715256132155</v>
      </c>
      <c r="BR221" s="40">
        <v>896</v>
      </c>
      <c r="BS221" s="55">
        <v>-419.37152561321545</v>
      </c>
      <c r="BT221" s="73">
        <v>3253.3041766921601</v>
      </c>
      <c r="BU221" s="40">
        <v>770.69162269477215</v>
      </c>
      <c r="BV221" s="52">
        <v>-2482.6125539973882</v>
      </c>
      <c r="BW221" s="73">
        <v>1535.9365846057419</v>
      </c>
      <c r="BX221" s="40">
        <v>1610.6655812482279</v>
      </c>
      <c r="BY221" s="52">
        <v>74.728996642485981</v>
      </c>
      <c r="BZ221" s="73">
        <v>952.93134337332594</v>
      </c>
      <c r="CA221" s="40">
        <v>4558.4041117606994</v>
      </c>
      <c r="CB221" s="52">
        <v>3605.4727683873734</v>
      </c>
      <c r="CC221" s="73">
        <v>0</v>
      </c>
      <c r="CD221" s="40">
        <v>0</v>
      </c>
      <c r="CE221" s="52">
        <v>0</v>
      </c>
      <c r="CF221" s="73">
        <v>0</v>
      </c>
      <c r="CG221" s="40">
        <v>0</v>
      </c>
      <c r="CH221" s="52">
        <v>0</v>
      </c>
      <c r="CI221" s="73">
        <v>1476.34</v>
      </c>
      <c r="CJ221" s="40">
        <v>964.55749641757393</v>
      </c>
      <c r="CK221" s="52">
        <v>-511.78250358242599</v>
      </c>
      <c r="CL221" s="73">
        <v>0</v>
      </c>
      <c r="CM221" s="40">
        <v>0</v>
      </c>
      <c r="CN221" s="52">
        <v>0</v>
      </c>
      <c r="CO221" s="39">
        <v>1476.34</v>
      </c>
      <c r="CP221" s="40">
        <v>964.55749641757393</v>
      </c>
      <c r="CQ221" s="52">
        <v>-511.78250358242599</v>
      </c>
      <c r="CR221" s="72">
        <v>14752.620202894972</v>
      </c>
      <c r="CS221" s="5">
        <v>12676.155212875128</v>
      </c>
      <c r="CT221" s="52">
        <v>-2076.4649900198438</v>
      </c>
      <c r="CU221" s="77">
        <v>17703.144243473966</v>
      </c>
      <c r="CV221" s="65">
        <v>15211.386255450154</v>
      </c>
      <c r="CW221" s="35">
        <v>-2491.7579880238118</v>
      </c>
      <c r="CX221" s="73">
        <v>988.42019499164689</v>
      </c>
      <c r="CY221" s="40">
        <v>3480.1781830154578</v>
      </c>
      <c r="CZ221" s="52">
        <v>2491.7579880238109</v>
      </c>
      <c r="DA221" s="150">
        <v>-28747.92007430191</v>
      </c>
      <c r="DB221" s="2">
        <v>2</v>
      </c>
      <c r="DC221" s="648">
        <v>50273.02</v>
      </c>
      <c r="DD221" s="648"/>
      <c r="DE221" s="649">
        <v>31581.455561534385</v>
      </c>
      <c r="DG221" s="321">
        <v>18784.907743289765</v>
      </c>
      <c r="DH221" s="5">
        <v>224298.77326158734</v>
      </c>
      <c r="DI221" s="306">
        <v>4.6912434207179752</v>
      </c>
      <c r="DJ221" s="306"/>
      <c r="DK221" s="306"/>
      <c r="DL221" s="28">
        <v>9294.1507278238314</v>
      </c>
      <c r="DM221" s="28">
        <v>0</v>
      </c>
      <c r="DN221" s="650">
        <v>9294.07</v>
      </c>
      <c r="DO221" s="94">
        <v>8.0727823831693968E-2</v>
      </c>
      <c r="DP221" s="28">
        <v>9294.1507278238314</v>
      </c>
      <c r="DQ221" s="318">
        <v>0</v>
      </c>
      <c r="DS221" s="8">
        <v>8851.5721217369828</v>
      </c>
      <c r="DT221" s="5">
        <v>442.57860608684916</v>
      </c>
      <c r="DW221" s="5">
        <v>3988.1185288676352</v>
      </c>
      <c r="DX221" s="5">
        <v>1075.2</v>
      </c>
    </row>
    <row r="222" spans="1:128" x14ac:dyDescent="0.3">
      <c r="A222" s="325">
        <v>150000935</v>
      </c>
      <c r="B222" s="41" t="s">
        <v>669</v>
      </c>
      <c r="C222" s="42" t="s">
        <v>176</v>
      </c>
      <c r="D222" s="42" t="s">
        <v>176</v>
      </c>
      <c r="E222" s="293">
        <v>286.2</v>
      </c>
      <c r="F222" s="305">
        <v>286.2</v>
      </c>
      <c r="G222" s="51"/>
      <c r="H222" s="651">
        <v>0</v>
      </c>
      <c r="I222" s="73">
        <v>255.49022760636714</v>
      </c>
      <c r="J222" s="40">
        <v>280.03261968926768</v>
      </c>
      <c r="K222" s="52">
        <v>24.542392082900534</v>
      </c>
      <c r="L222" s="73">
        <v>43.463422748690981</v>
      </c>
      <c r="M222" s="40">
        <v>48.966530400431111</v>
      </c>
      <c r="N222" s="52">
        <v>5.5031076517401303</v>
      </c>
      <c r="O222" s="73">
        <v>51.142492053116662</v>
      </c>
      <c r="P222" s="40">
        <v>51.16</v>
      </c>
      <c r="Q222" s="52">
        <v>1.7507946883334569E-2</v>
      </c>
      <c r="R222" s="73">
        <v>0</v>
      </c>
      <c r="S222" s="40">
        <v>0</v>
      </c>
      <c r="T222" s="52">
        <v>0</v>
      </c>
      <c r="U222" s="73">
        <v>0</v>
      </c>
      <c r="V222" s="40">
        <v>0</v>
      </c>
      <c r="W222" s="52">
        <v>0</v>
      </c>
      <c r="X222" s="73">
        <v>96.003439129675812</v>
      </c>
      <c r="Y222" s="40">
        <v>92.545284924858663</v>
      </c>
      <c r="Z222" s="52">
        <v>-3.4581542048171485</v>
      </c>
      <c r="AA222" s="73">
        <v>22.896000000000001</v>
      </c>
      <c r="AB222" s="40">
        <v>0</v>
      </c>
      <c r="AC222" s="52">
        <v>-22.896000000000001</v>
      </c>
      <c r="AD222" s="73">
        <v>206.19640036610957</v>
      </c>
      <c r="AE222" s="40">
        <v>257.95353200710372</v>
      </c>
      <c r="AF222" s="35">
        <v>51.757131640994146</v>
      </c>
      <c r="AG222" s="77">
        <v>675.19198190396014</v>
      </c>
      <c r="AH222" s="53">
        <v>730.65796702166108</v>
      </c>
      <c r="AI222" s="52">
        <v>55.465985117700939</v>
      </c>
      <c r="AJ222" s="73">
        <v>0</v>
      </c>
      <c r="AK222" s="40">
        <v>0</v>
      </c>
      <c r="AL222" s="52">
        <v>0</v>
      </c>
      <c r="AM222" s="73">
        <v>0</v>
      </c>
      <c r="AN222" s="40">
        <v>0</v>
      </c>
      <c r="AO222" s="52">
        <v>0</v>
      </c>
      <c r="AP222" s="73">
        <v>113.46224999999998</v>
      </c>
      <c r="AQ222" s="40">
        <v>0</v>
      </c>
      <c r="AR222" s="52">
        <v>-113.46224999999998</v>
      </c>
      <c r="AS222" s="73">
        <v>382.20956081438442</v>
      </c>
      <c r="AT222" s="40">
        <v>0</v>
      </c>
      <c r="AU222" s="54">
        <v>-382.20956081438442</v>
      </c>
      <c r="AV222" s="73">
        <v>137.18801116699714</v>
      </c>
      <c r="AW222" s="40">
        <v>0</v>
      </c>
      <c r="AX222" s="55">
        <v>-137.18801116699714</v>
      </c>
      <c r="AY222" s="73">
        <v>120.331078409138</v>
      </c>
      <c r="AZ222" s="40">
        <v>0</v>
      </c>
      <c r="BA222" s="35">
        <v>-120.331078409138</v>
      </c>
      <c r="BB222" s="73">
        <v>13.044365884893342</v>
      </c>
      <c r="BC222" s="40">
        <v>0</v>
      </c>
      <c r="BD222" s="55">
        <v>-13.044365884893342</v>
      </c>
      <c r="BE222" s="73">
        <v>0</v>
      </c>
      <c r="BF222" s="40">
        <v>0</v>
      </c>
      <c r="BG222" s="38">
        <v>0</v>
      </c>
      <c r="BH222" s="73">
        <v>0</v>
      </c>
      <c r="BI222" s="40">
        <v>0</v>
      </c>
      <c r="BJ222" s="55">
        <v>0</v>
      </c>
      <c r="BK222" s="73">
        <v>7.042531206322197</v>
      </c>
      <c r="BL222" s="40">
        <v>0</v>
      </c>
      <c r="BM222" s="38">
        <v>-7.042531206322197</v>
      </c>
      <c r="BN222" s="73">
        <v>5.7240000000000002</v>
      </c>
      <c r="BO222" s="40">
        <v>0</v>
      </c>
      <c r="BP222" s="55">
        <v>-5.7240000000000002</v>
      </c>
      <c r="BQ222" s="77">
        <v>283.32998666735068</v>
      </c>
      <c r="BR222" s="40">
        <v>0</v>
      </c>
      <c r="BS222" s="55">
        <v>-283.32998666735068</v>
      </c>
      <c r="BT222" s="73">
        <v>367.265351642864</v>
      </c>
      <c r="BU222" s="40">
        <v>101.04188897350217</v>
      </c>
      <c r="BV222" s="52">
        <v>-266.22346266936182</v>
      </c>
      <c r="BW222" s="73">
        <v>152.587225722798</v>
      </c>
      <c r="BX222" s="40">
        <v>161.48344068771291</v>
      </c>
      <c r="BY222" s="52">
        <v>8.8962149649149183</v>
      </c>
      <c r="BZ222" s="73">
        <v>195.6660311219288</v>
      </c>
      <c r="CA222" s="40">
        <v>596.75392266493714</v>
      </c>
      <c r="CB222" s="52">
        <v>401.08789154300837</v>
      </c>
      <c r="CC222" s="73">
        <v>0</v>
      </c>
      <c r="CD222" s="40">
        <v>0</v>
      </c>
      <c r="CE222" s="52">
        <v>0</v>
      </c>
      <c r="CF222" s="73">
        <v>0</v>
      </c>
      <c r="CG222" s="40">
        <v>0</v>
      </c>
      <c r="CH222" s="52">
        <v>0</v>
      </c>
      <c r="CI222" s="73">
        <v>211.8</v>
      </c>
      <c r="CJ222" s="40">
        <v>164.14762459837024</v>
      </c>
      <c r="CK222" s="52">
        <v>-47.652375401629769</v>
      </c>
      <c r="CL222" s="73">
        <v>0</v>
      </c>
      <c r="CM222" s="40">
        <v>0</v>
      </c>
      <c r="CN222" s="52">
        <v>0</v>
      </c>
      <c r="CO222" s="39">
        <v>211.8</v>
      </c>
      <c r="CP222" s="40">
        <v>164.14762459837024</v>
      </c>
      <c r="CQ222" s="52">
        <v>-47.652375401629769</v>
      </c>
      <c r="CR222" s="72">
        <v>2381.5123878732861</v>
      </c>
      <c r="CS222" s="5">
        <v>1754.0848439461836</v>
      </c>
      <c r="CT222" s="52">
        <v>-627.42754392710253</v>
      </c>
      <c r="CU222" s="77">
        <v>2857.8148654479432</v>
      </c>
      <c r="CV222" s="65">
        <v>2104.9018127354202</v>
      </c>
      <c r="CW222" s="35">
        <v>-752.91305271252304</v>
      </c>
      <c r="CX222" s="73">
        <v>159.56046494946119</v>
      </c>
      <c r="CY222" s="40">
        <v>912.47351766198426</v>
      </c>
      <c r="CZ222" s="52">
        <v>752.91305271252304</v>
      </c>
      <c r="DA222" s="150">
        <v>12132.134550979385</v>
      </c>
      <c r="DB222" s="2">
        <v>2</v>
      </c>
      <c r="DC222" s="648">
        <v>1499.88</v>
      </c>
      <c r="DD222" s="648"/>
      <c r="DE222" s="649">
        <v>-1517.4953303974044</v>
      </c>
      <c r="DG222" s="321">
        <v>-10158.593182874807</v>
      </c>
      <c r="DH222" s="5">
        <v>36208.503964768854</v>
      </c>
      <c r="DI222" s="306">
        <v>5.2423228663877364</v>
      </c>
      <c r="DJ222" s="306"/>
      <c r="DK222" s="306"/>
      <c r="DL222" s="28">
        <v>1500.35280436017</v>
      </c>
      <c r="DM222" s="28">
        <v>0</v>
      </c>
      <c r="DN222" s="650">
        <v>1500.34</v>
      </c>
      <c r="DO222" s="94">
        <v>1.2804360170093787E-2</v>
      </c>
      <c r="DP222" s="28">
        <v>1500.35280436017</v>
      </c>
      <c r="DQ222" s="318">
        <v>0</v>
      </c>
      <c r="DS222" s="8">
        <v>1428.9074327239716</v>
      </c>
      <c r="DT222" s="5">
        <v>71.445371636198587</v>
      </c>
      <c r="DW222" s="5">
        <v>798.64745697808212</v>
      </c>
      <c r="DX222" s="5">
        <v>0</v>
      </c>
    </row>
    <row r="223" spans="1:128" x14ac:dyDescent="0.3">
      <c r="A223" s="325">
        <v>150000936</v>
      </c>
      <c r="B223" s="41" t="s">
        <v>670</v>
      </c>
      <c r="C223" s="42" t="s">
        <v>122</v>
      </c>
      <c r="D223" s="42" t="s">
        <v>122</v>
      </c>
      <c r="E223" s="293">
        <v>341.75</v>
      </c>
      <c r="F223" s="305">
        <v>341.75</v>
      </c>
      <c r="G223" s="51"/>
      <c r="H223" s="651">
        <v>0</v>
      </c>
      <c r="I223" s="73">
        <v>0</v>
      </c>
      <c r="J223" s="40">
        <v>0</v>
      </c>
      <c r="K223" s="52">
        <v>0</v>
      </c>
      <c r="L223" s="73">
        <v>0</v>
      </c>
      <c r="M223" s="40">
        <v>0</v>
      </c>
      <c r="N223" s="52">
        <v>0</v>
      </c>
      <c r="O223" s="73">
        <v>0</v>
      </c>
      <c r="P223" s="40">
        <v>0</v>
      </c>
      <c r="Q223" s="52">
        <v>0</v>
      </c>
      <c r="R223" s="73">
        <v>0</v>
      </c>
      <c r="S223" s="40">
        <v>0</v>
      </c>
      <c r="T223" s="52">
        <v>0</v>
      </c>
      <c r="U223" s="73">
        <v>0</v>
      </c>
      <c r="V223" s="40">
        <v>0</v>
      </c>
      <c r="W223" s="52">
        <v>0</v>
      </c>
      <c r="X223" s="73">
        <v>0</v>
      </c>
      <c r="Y223" s="40">
        <v>0</v>
      </c>
      <c r="Z223" s="52">
        <v>0</v>
      </c>
      <c r="AA223" s="73">
        <v>27.34</v>
      </c>
      <c r="AB223" s="40">
        <v>0</v>
      </c>
      <c r="AC223" s="52">
        <v>-27.34</v>
      </c>
      <c r="AD223" s="73">
        <v>218.88321452795213</v>
      </c>
      <c r="AE223" s="40">
        <v>308.02103271637918</v>
      </c>
      <c r="AF223" s="35">
        <v>89.137818188427048</v>
      </c>
      <c r="AG223" s="77">
        <v>246.22321452795214</v>
      </c>
      <c r="AH223" s="53">
        <v>308.02103271637918</v>
      </c>
      <c r="AI223" s="52">
        <v>61.797818188427044</v>
      </c>
      <c r="AJ223" s="73">
        <v>0</v>
      </c>
      <c r="AK223" s="40">
        <v>0</v>
      </c>
      <c r="AL223" s="52">
        <v>0</v>
      </c>
      <c r="AM223" s="73">
        <v>0</v>
      </c>
      <c r="AN223" s="40">
        <v>0</v>
      </c>
      <c r="AO223" s="52">
        <v>0</v>
      </c>
      <c r="AP223" s="73">
        <v>75.641499999999994</v>
      </c>
      <c r="AQ223" s="40">
        <v>0</v>
      </c>
      <c r="AR223" s="52">
        <v>-75.641499999999994</v>
      </c>
      <c r="AS223" s="73">
        <v>242.46134679247422</v>
      </c>
      <c r="AT223" s="40">
        <v>2069</v>
      </c>
      <c r="AU223" s="54">
        <v>1826.5386532075258</v>
      </c>
      <c r="AV223" s="73">
        <v>0</v>
      </c>
      <c r="AW223" s="40">
        <v>0</v>
      </c>
      <c r="AX223" s="55">
        <v>0</v>
      </c>
      <c r="AY223" s="73">
        <v>0</v>
      </c>
      <c r="AZ223" s="40">
        <v>0</v>
      </c>
      <c r="BA223" s="35">
        <v>0</v>
      </c>
      <c r="BB223" s="73">
        <v>0</v>
      </c>
      <c r="BC223" s="40">
        <v>0</v>
      </c>
      <c r="BD223" s="55">
        <v>0</v>
      </c>
      <c r="BE223" s="73">
        <v>0</v>
      </c>
      <c r="BF223" s="40">
        <v>0</v>
      </c>
      <c r="BG223" s="38">
        <v>0</v>
      </c>
      <c r="BH223" s="73">
        <v>0</v>
      </c>
      <c r="BI223" s="40">
        <v>0</v>
      </c>
      <c r="BJ223" s="55">
        <v>0</v>
      </c>
      <c r="BK223" s="73">
        <v>0</v>
      </c>
      <c r="BL223" s="40">
        <v>0</v>
      </c>
      <c r="BM223" s="38">
        <v>0</v>
      </c>
      <c r="BN223" s="73">
        <v>7.9742590207195052</v>
      </c>
      <c r="BO223" s="40">
        <v>0</v>
      </c>
      <c r="BP223" s="55">
        <v>-7.9742590207195052</v>
      </c>
      <c r="BQ223" s="77">
        <v>7.9742590207195052</v>
      </c>
      <c r="BR223" s="40">
        <v>0</v>
      </c>
      <c r="BS223" s="55">
        <v>-7.9742590207195052</v>
      </c>
      <c r="BT223" s="73">
        <v>0</v>
      </c>
      <c r="BU223" s="40">
        <v>0</v>
      </c>
      <c r="BV223" s="52">
        <v>0</v>
      </c>
      <c r="BW223" s="73">
        <v>0</v>
      </c>
      <c r="BX223" s="40">
        <v>1.2688567514727398</v>
      </c>
      <c r="BY223" s="52">
        <v>1.2688567514727398</v>
      </c>
      <c r="BZ223" s="73">
        <v>0</v>
      </c>
      <c r="CA223" s="40">
        <v>0</v>
      </c>
      <c r="CB223" s="52">
        <v>0</v>
      </c>
      <c r="CC223" s="73">
        <v>0</v>
      </c>
      <c r="CD223" s="40">
        <v>0</v>
      </c>
      <c r="CE223" s="52">
        <v>0</v>
      </c>
      <c r="CF223" s="73">
        <v>0</v>
      </c>
      <c r="CG223" s="40">
        <v>0</v>
      </c>
      <c r="CH223" s="52">
        <v>0</v>
      </c>
      <c r="CI223" s="73">
        <v>0</v>
      </c>
      <c r="CJ223" s="40">
        <v>0</v>
      </c>
      <c r="CK223" s="52">
        <v>0</v>
      </c>
      <c r="CL223" s="73">
        <v>0</v>
      </c>
      <c r="CM223" s="40">
        <v>0</v>
      </c>
      <c r="CN223" s="52">
        <v>0</v>
      </c>
      <c r="CO223" s="39">
        <v>0</v>
      </c>
      <c r="CP223" s="40">
        <v>0</v>
      </c>
      <c r="CQ223" s="52">
        <v>0</v>
      </c>
      <c r="CR223" s="72">
        <v>572.30032034114583</v>
      </c>
      <c r="CS223" s="5">
        <v>2378.2898894678519</v>
      </c>
      <c r="CT223" s="52">
        <v>1805.9895691267061</v>
      </c>
      <c r="CU223" s="77">
        <v>686.76038440937498</v>
      </c>
      <c r="CV223" s="65">
        <v>2853.9478673614221</v>
      </c>
      <c r="CW223" s="35">
        <v>2167.187482952047</v>
      </c>
      <c r="CX223" s="73">
        <v>38.343913585897965</v>
      </c>
      <c r="CY223" s="40">
        <v>-2128.843569366149</v>
      </c>
      <c r="CZ223" s="52">
        <v>-2167.187482952047</v>
      </c>
      <c r="DA223" s="150">
        <v>4638.0323351672341</v>
      </c>
      <c r="DB223" s="2">
        <v>1</v>
      </c>
      <c r="DC223" s="648">
        <v>2163.9299999999998</v>
      </c>
      <c r="DD223" s="648"/>
      <c r="DE223" s="649">
        <v>1438.8257020047267</v>
      </c>
      <c r="DG223" s="321">
        <v>5189.8062626816172</v>
      </c>
      <c r="DH223" s="5">
        <v>8701.2515759432754</v>
      </c>
      <c r="DI223" s="306">
        <v>1.0550086373516367</v>
      </c>
      <c r="DJ223" s="306"/>
      <c r="DK223" s="306"/>
      <c r="DL223" s="28">
        <v>360.54920181492184</v>
      </c>
      <c r="DM223" s="28">
        <v>0</v>
      </c>
      <c r="DN223" s="650">
        <v>360.53</v>
      </c>
      <c r="DO223" s="94">
        <v>1.9201814921871119E-2</v>
      </c>
      <c r="DP223" s="28">
        <v>360.54920181492184</v>
      </c>
      <c r="DQ223" s="318">
        <v>0</v>
      </c>
      <c r="DS223" s="8">
        <v>343.38019220468749</v>
      </c>
      <c r="DT223" s="5">
        <v>17.169009610234376</v>
      </c>
      <c r="DW223" s="5">
        <v>300.52272697583243</v>
      </c>
      <c r="DX223" s="5">
        <v>2482.7999999999997</v>
      </c>
    </row>
    <row r="224" spans="1:128" x14ac:dyDescent="0.3">
      <c r="A224" s="325">
        <v>150000937</v>
      </c>
      <c r="B224" s="41" t="s">
        <v>671</v>
      </c>
      <c r="C224" s="42" t="s">
        <v>375</v>
      </c>
      <c r="D224" s="42" t="s">
        <v>375</v>
      </c>
      <c r="E224" s="293">
        <v>3813.3</v>
      </c>
      <c r="F224" s="652">
        <v>3813.3</v>
      </c>
      <c r="G224" s="51">
        <v>407.65000000000009</v>
      </c>
      <c r="H224" s="651">
        <v>0</v>
      </c>
      <c r="I224" s="73">
        <v>843.60242981546241</v>
      </c>
      <c r="J224" s="40">
        <v>945.9666185354115</v>
      </c>
      <c r="K224" s="52">
        <v>102.36418871994908</v>
      </c>
      <c r="L224" s="73">
        <v>347.10662648932902</v>
      </c>
      <c r="M224" s="40">
        <v>406.73243364616826</v>
      </c>
      <c r="N224" s="52">
        <v>59.625807156839244</v>
      </c>
      <c r="O224" s="73">
        <v>706.64507013618675</v>
      </c>
      <c r="P224" s="40">
        <v>706.66</v>
      </c>
      <c r="Q224" s="52">
        <v>1.4929863813222255E-2</v>
      </c>
      <c r="R224" s="73">
        <v>165.90599777288</v>
      </c>
      <c r="S224" s="40">
        <v>165.9</v>
      </c>
      <c r="T224" s="52">
        <v>-5.9977728799935903E-3</v>
      </c>
      <c r="U224" s="73">
        <v>127.83397682746835</v>
      </c>
      <c r="V224" s="40">
        <v>239.60419349461341</v>
      </c>
      <c r="W224" s="52">
        <v>111.77021666714506</v>
      </c>
      <c r="X224" s="73">
        <v>1022.906061270048</v>
      </c>
      <c r="Y224" s="40">
        <v>1197.706990197976</v>
      </c>
      <c r="Z224" s="52">
        <v>174.800928927928</v>
      </c>
      <c r="AA224" s="73">
        <v>305.06400000000002</v>
      </c>
      <c r="AB224" s="40">
        <v>0</v>
      </c>
      <c r="AC224" s="52">
        <v>-305.06400000000002</v>
      </c>
      <c r="AD224" s="73">
        <v>2747.1851015835923</v>
      </c>
      <c r="AE224" s="40">
        <v>3436.9469028745243</v>
      </c>
      <c r="AF224" s="35">
        <v>689.761801290932</v>
      </c>
      <c r="AG224" s="77">
        <v>6266.2492638949661</v>
      </c>
      <c r="AH224" s="53">
        <v>7099.5171387486935</v>
      </c>
      <c r="AI224" s="52">
        <v>833.26787485372733</v>
      </c>
      <c r="AJ224" s="73">
        <v>3964.9494500000001</v>
      </c>
      <c r="AK224" s="40">
        <v>3905.1360161575803</v>
      </c>
      <c r="AL224" s="52">
        <v>-59.813433842419727</v>
      </c>
      <c r="AM224" s="73">
        <v>420.29977000000002</v>
      </c>
      <c r="AN224" s="40">
        <v>0</v>
      </c>
      <c r="AO224" s="52">
        <v>-420.29977000000002</v>
      </c>
      <c r="AP224" s="73">
        <v>453.84899999999993</v>
      </c>
      <c r="AQ224" s="40">
        <v>2676.9543577252994</v>
      </c>
      <c r="AR224" s="52">
        <v>2223.1053577252997</v>
      </c>
      <c r="AS224" s="73">
        <v>4274.3301353084053</v>
      </c>
      <c r="AT224" s="40">
        <v>627</v>
      </c>
      <c r="AU224" s="54">
        <v>-3647.3301353084053</v>
      </c>
      <c r="AV224" s="73">
        <v>489.5986922258416</v>
      </c>
      <c r="AW224" s="40">
        <v>0</v>
      </c>
      <c r="AX224" s="55">
        <v>-489.5986922258416</v>
      </c>
      <c r="AY224" s="73">
        <v>909.04472507978437</v>
      </c>
      <c r="AZ224" s="40">
        <v>0</v>
      </c>
      <c r="BA224" s="35">
        <v>-909.04472507978437</v>
      </c>
      <c r="BB224" s="73">
        <v>229.58797641938003</v>
      </c>
      <c r="BC224" s="40">
        <v>0</v>
      </c>
      <c r="BD224" s="55">
        <v>-229.58797641938003</v>
      </c>
      <c r="BE224" s="73">
        <v>876.70456025755198</v>
      </c>
      <c r="BF224" s="40">
        <v>582</v>
      </c>
      <c r="BG224" s="38">
        <v>-294.70456025755198</v>
      </c>
      <c r="BH224" s="73">
        <v>617.41970508692941</v>
      </c>
      <c r="BI224" s="40">
        <v>0</v>
      </c>
      <c r="BJ224" s="55">
        <v>-617.41970508692941</v>
      </c>
      <c r="BK224" s="73">
        <v>640.73544400680805</v>
      </c>
      <c r="BL224" s="40">
        <v>0</v>
      </c>
      <c r="BM224" s="38">
        <v>-640.73544400680805</v>
      </c>
      <c r="BN224" s="73">
        <v>67.930675648377203</v>
      </c>
      <c r="BO224" s="40">
        <v>0</v>
      </c>
      <c r="BP224" s="55">
        <v>-67.930675648377203</v>
      </c>
      <c r="BQ224" s="77">
        <v>3831.0217787246725</v>
      </c>
      <c r="BR224" s="40">
        <v>582</v>
      </c>
      <c r="BS224" s="55">
        <v>-3249.0217787246725</v>
      </c>
      <c r="BT224" s="73">
        <v>6019.0036690193401</v>
      </c>
      <c r="BU224" s="40">
        <v>1184.8947986930766</v>
      </c>
      <c r="BV224" s="52">
        <v>-4834.1088703262631</v>
      </c>
      <c r="BW224" s="73">
        <v>3971.46123544588</v>
      </c>
      <c r="BX224" s="40">
        <v>3328.3687847626597</v>
      </c>
      <c r="BY224" s="52">
        <v>-643.09245068322025</v>
      </c>
      <c r="BZ224" s="73">
        <v>1216.6895074946619</v>
      </c>
      <c r="CA224" s="40">
        <v>4768.8918336633042</v>
      </c>
      <c r="CB224" s="52">
        <v>3552.2023261686422</v>
      </c>
      <c r="CC224" s="73">
        <v>124.68077434999999</v>
      </c>
      <c r="CD224" s="40">
        <v>154.23399849403228</v>
      </c>
      <c r="CE224" s="52">
        <v>29.553224144032285</v>
      </c>
      <c r="CF224" s="73">
        <v>14.523168</v>
      </c>
      <c r="CG224" s="40">
        <v>0</v>
      </c>
      <c r="CH224" s="52">
        <v>-14.523168</v>
      </c>
      <c r="CI224" s="73">
        <v>2264.36</v>
      </c>
      <c r="CJ224" s="40">
        <v>1199.5352265702554</v>
      </c>
      <c r="CK224" s="52">
        <v>-1064.8247734297447</v>
      </c>
      <c r="CL224" s="73">
        <v>2628.7646</v>
      </c>
      <c r="CM224" s="40">
        <v>2162.5335175182809</v>
      </c>
      <c r="CN224" s="52">
        <v>-466.23108248171911</v>
      </c>
      <c r="CO224" s="39">
        <v>4893.1246000000001</v>
      </c>
      <c r="CP224" s="40">
        <v>3362.0687440885363</v>
      </c>
      <c r="CQ224" s="52">
        <v>-1531.0558559114638</v>
      </c>
      <c r="CR224" s="72">
        <v>35450.182352237927</v>
      </c>
      <c r="CS224" s="5">
        <v>27689.065672333185</v>
      </c>
      <c r="CT224" s="52">
        <v>-7761.1166799047423</v>
      </c>
      <c r="CU224" s="77">
        <v>42540.218822685514</v>
      </c>
      <c r="CV224" s="65">
        <v>33226.878806799818</v>
      </c>
      <c r="CW224" s="35">
        <v>-9313.3400158856966</v>
      </c>
      <c r="CX224" s="73">
        <v>2375.1493410107896</v>
      </c>
      <c r="CY224" s="40">
        <v>11688.489356896484</v>
      </c>
      <c r="CZ224" s="52">
        <v>9313.340015885693</v>
      </c>
      <c r="DA224" s="150">
        <v>-58813.00865365249</v>
      </c>
      <c r="DB224" s="2">
        <v>1</v>
      </c>
      <c r="DC224" s="648">
        <v>46076.83</v>
      </c>
      <c r="DD224" s="648"/>
      <c r="DE224" s="649">
        <v>1161.4618363037007</v>
      </c>
      <c r="DG224" s="321">
        <v>80027.142170770894</v>
      </c>
      <c r="DH224" s="5">
        <v>538984.41796435555</v>
      </c>
      <c r="DI224" s="306">
        <v>4.697974503791964</v>
      </c>
      <c r="DJ224" s="306">
        <v>5.9954738670853143</v>
      </c>
      <c r="DK224" s="306"/>
      <c r="DL224" s="28">
        <v>22333.614881909896</v>
      </c>
      <c r="DM224" s="28">
        <v>0</v>
      </c>
      <c r="DN224" s="650">
        <v>22333.47</v>
      </c>
      <c r="DO224" s="94">
        <v>0.14488190989504801</v>
      </c>
      <c r="DP224" s="28">
        <v>22333.614881909896</v>
      </c>
      <c r="DQ224" s="318">
        <v>0</v>
      </c>
      <c r="DS224" s="8">
        <v>21270.109411342757</v>
      </c>
      <c r="DT224" s="5">
        <v>1063.5054705671378</v>
      </c>
      <c r="DW224" s="5">
        <v>9726.4222968396916</v>
      </c>
      <c r="DX224" s="5">
        <v>1450.8</v>
      </c>
    </row>
    <row r="225" spans="1:128" x14ac:dyDescent="0.3">
      <c r="A225" s="325">
        <v>150000938</v>
      </c>
      <c r="B225" s="41" t="s">
        <v>672</v>
      </c>
      <c r="C225" s="42" t="s">
        <v>376</v>
      </c>
      <c r="D225" s="42" t="s">
        <v>376</v>
      </c>
      <c r="E225" s="293">
        <v>15434.300000000001</v>
      </c>
      <c r="F225" s="652">
        <v>14575.2</v>
      </c>
      <c r="G225" s="51">
        <v>1189.7200000000012</v>
      </c>
      <c r="H225" s="651">
        <v>859.1</v>
      </c>
      <c r="I225" s="73">
        <v>7808.8377835261581</v>
      </c>
      <c r="J225" s="40">
        <v>8679.2853032682615</v>
      </c>
      <c r="K225" s="52">
        <v>870.4475197421034</v>
      </c>
      <c r="L225" s="73">
        <v>1285.6792632276643</v>
      </c>
      <c r="M225" s="40">
        <v>1511.9249146058719</v>
      </c>
      <c r="N225" s="52">
        <v>226.24565137820764</v>
      </c>
      <c r="O225" s="73">
        <v>2998.0419975677501</v>
      </c>
      <c r="P225" s="40">
        <v>2998.06</v>
      </c>
      <c r="Q225" s="52">
        <v>1.8002432249886624E-2</v>
      </c>
      <c r="R225" s="73">
        <v>668.74837813034662</v>
      </c>
      <c r="S225" s="40">
        <v>668.76</v>
      </c>
      <c r="T225" s="52">
        <v>1.1621869653367867E-2</v>
      </c>
      <c r="U225" s="73">
        <v>302.88717782059871</v>
      </c>
      <c r="V225" s="40">
        <v>567.71375484648024</v>
      </c>
      <c r="W225" s="52">
        <v>264.82657702588153</v>
      </c>
      <c r="X225" s="73">
        <v>3968.3405650138102</v>
      </c>
      <c r="Y225" s="40">
        <v>4711.7730601285293</v>
      </c>
      <c r="Z225" s="52">
        <v>743.43249511471913</v>
      </c>
      <c r="AA225" s="73">
        <v>1234.4304000000002</v>
      </c>
      <c r="AB225" s="40">
        <v>0</v>
      </c>
      <c r="AC225" s="52">
        <v>-1234.4304000000002</v>
      </c>
      <c r="AD225" s="73">
        <v>11082.389117098881</v>
      </c>
      <c r="AE225" s="40">
        <v>13911.013972946337</v>
      </c>
      <c r="AF225" s="35">
        <v>2828.6248558474563</v>
      </c>
      <c r="AG225" s="77">
        <v>29349.354682385216</v>
      </c>
      <c r="AH225" s="53">
        <v>33048.531005795478</v>
      </c>
      <c r="AI225" s="52">
        <v>3699.1763234102618</v>
      </c>
      <c r="AJ225" s="73">
        <v>15129.412375</v>
      </c>
      <c r="AK225" s="40">
        <v>14901.176903759188</v>
      </c>
      <c r="AL225" s="52">
        <v>-228.23547124081233</v>
      </c>
      <c r="AM225" s="73">
        <v>1471.0491950000001</v>
      </c>
      <c r="AN225" s="40">
        <v>0</v>
      </c>
      <c r="AO225" s="52">
        <v>-1471.0491950000001</v>
      </c>
      <c r="AP225" s="73">
        <v>1544.3472916666665</v>
      </c>
      <c r="AQ225" s="40">
        <v>0</v>
      </c>
      <c r="AR225" s="52">
        <v>-1544.3472916666665</v>
      </c>
      <c r="AS225" s="73">
        <v>17535.960312578816</v>
      </c>
      <c r="AT225" s="40">
        <v>15148</v>
      </c>
      <c r="AU225" s="54">
        <v>-2387.9603125788162</v>
      </c>
      <c r="AV225" s="73">
        <v>3269.1986251630237</v>
      </c>
      <c r="AW225" s="40">
        <v>267</v>
      </c>
      <c r="AX225" s="55">
        <v>-3002.1986251630237</v>
      </c>
      <c r="AY225" s="73">
        <v>3453.7758238756719</v>
      </c>
      <c r="AZ225" s="40">
        <v>2185</v>
      </c>
      <c r="BA225" s="35">
        <v>-1268.7758238756719</v>
      </c>
      <c r="BB225" s="73">
        <v>1018.9615807584739</v>
      </c>
      <c r="BC225" s="40">
        <v>0</v>
      </c>
      <c r="BD225" s="55">
        <v>-1018.9615807584739</v>
      </c>
      <c r="BE225" s="73">
        <v>3428.3922395515401</v>
      </c>
      <c r="BF225" s="40">
        <v>1324</v>
      </c>
      <c r="BG225" s="38">
        <v>-2104.3922395515401</v>
      </c>
      <c r="BH225" s="73">
        <v>1462.7602379112923</v>
      </c>
      <c r="BI225" s="40">
        <v>0</v>
      </c>
      <c r="BJ225" s="55">
        <v>-1462.7602379112923</v>
      </c>
      <c r="BK225" s="73">
        <v>3723.0157905205078</v>
      </c>
      <c r="BL225" s="40">
        <v>1705</v>
      </c>
      <c r="BM225" s="38">
        <v>-2018.0157905205078</v>
      </c>
      <c r="BN225" s="73">
        <v>165.68358215606645</v>
      </c>
      <c r="BO225" s="40">
        <v>0</v>
      </c>
      <c r="BP225" s="55">
        <v>-165.68358215606645</v>
      </c>
      <c r="BQ225" s="77">
        <v>16521.787879936575</v>
      </c>
      <c r="BR225" s="40">
        <v>5481</v>
      </c>
      <c r="BS225" s="55">
        <v>-11040.787879936575</v>
      </c>
      <c r="BT225" s="73">
        <v>23634.152761228201</v>
      </c>
      <c r="BU225" s="40">
        <v>4713.3514068591949</v>
      </c>
      <c r="BV225" s="52">
        <v>-18920.801354369007</v>
      </c>
      <c r="BW225" s="73">
        <v>15853.31756605738</v>
      </c>
      <c r="BX225" s="40">
        <v>15218.447724647674</v>
      </c>
      <c r="BY225" s="52">
        <v>-634.86984140970526</v>
      </c>
      <c r="BZ225" s="73">
        <v>2986.7322916707999</v>
      </c>
      <c r="CA225" s="40">
        <v>24060.363687398916</v>
      </c>
      <c r="CB225" s="52">
        <v>21073.631395728116</v>
      </c>
      <c r="CC225" s="73">
        <v>294.89194735000001</v>
      </c>
      <c r="CD225" s="40">
        <v>344.13460913980953</v>
      </c>
      <c r="CE225" s="52">
        <v>49.242661789809517</v>
      </c>
      <c r="CF225" s="73">
        <v>32.404818599999999</v>
      </c>
      <c r="CG225" s="40">
        <v>0</v>
      </c>
      <c r="CH225" s="52">
        <v>-32.404818599999999</v>
      </c>
      <c r="CI225" s="73">
        <v>4936.72</v>
      </c>
      <c r="CJ225" s="40">
        <v>3699.4043582342779</v>
      </c>
      <c r="CK225" s="52">
        <v>-1237.3156417657224</v>
      </c>
      <c r="CL225" s="73">
        <v>3226.7773999999999</v>
      </c>
      <c r="CM225" s="40">
        <v>2722.1755103290661</v>
      </c>
      <c r="CN225" s="52">
        <v>-504.60188967093382</v>
      </c>
      <c r="CO225" s="39">
        <v>8163.4974000000002</v>
      </c>
      <c r="CP225" s="40">
        <v>6421.5798685633436</v>
      </c>
      <c r="CQ225" s="52">
        <v>-1741.9175314366566</v>
      </c>
      <c r="CR225" s="72">
        <v>132516.90852147367</v>
      </c>
      <c r="CS225" s="5">
        <v>119336.58520616361</v>
      </c>
      <c r="CT225" s="52">
        <v>-13180.323315310059</v>
      </c>
      <c r="CU225" s="77">
        <v>159020.2902257684</v>
      </c>
      <c r="CV225" s="65">
        <v>143203.90224739633</v>
      </c>
      <c r="CW225" s="35">
        <v>-15816.387978372077</v>
      </c>
      <c r="CX225" s="73">
        <v>8878.5847367494753</v>
      </c>
      <c r="CY225" s="40">
        <v>24694.972715121548</v>
      </c>
      <c r="CZ225" s="52">
        <v>15816.387978372073</v>
      </c>
      <c r="DA225" s="150">
        <v>127485.2205731279</v>
      </c>
      <c r="DB225" s="2">
        <v>1</v>
      </c>
      <c r="DC225" s="648">
        <v>125547.88</v>
      </c>
      <c r="DD225" s="648">
        <v>30761.109999999997</v>
      </c>
      <c r="DE225" s="649">
        <v>-11589.884962517885</v>
      </c>
      <c r="DG225" s="321">
        <v>-41405.43206028155</v>
      </c>
      <c r="DH225" s="5">
        <v>2014786.4995502145</v>
      </c>
      <c r="DI225" s="306">
        <v>4.6389575178164906</v>
      </c>
      <c r="DJ225" s="306">
        <v>5.5721811173715139</v>
      </c>
      <c r="DK225" s="306">
        <v>3.9536875793604729</v>
      </c>
      <c r="DL225" s="28">
        <v>80105.379441050696</v>
      </c>
      <c r="DM225" s="28">
        <v>3396.6129994285825</v>
      </c>
      <c r="DN225" s="650">
        <v>80105.87</v>
      </c>
      <c r="DO225" s="94">
        <v>-0.49055894929915667</v>
      </c>
      <c r="DP225" s="28">
        <v>83501.992440479284</v>
      </c>
      <c r="DQ225" s="318">
        <v>16.340071950864512</v>
      </c>
      <c r="DS225" s="8">
        <v>79510.145112884202</v>
      </c>
      <c r="DT225" s="5">
        <v>3975.5072556442101</v>
      </c>
      <c r="DW225" s="5">
        <v>40869.29783101847</v>
      </c>
      <c r="DX225" s="5">
        <v>24754.799999999999</v>
      </c>
    </row>
    <row r="226" spans="1:128" x14ac:dyDescent="0.3">
      <c r="A226" s="325">
        <v>150000925</v>
      </c>
      <c r="B226" s="41" t="s">
        <v>673</v>
      </c>
      <c r="C226" s="42" t="s">
        <v>177</v>
      </c>
      <c r="D226" s="42" t="s">
        <v>177</v>
      </c>
      <c r="E226" s="293">
        <v>479.1</v>
      </c>
      <c r="F226" s="305">
        <v>365.7</v>
      </c>
      <c r="G226" s="51"/>
      <c r="H226" s="651">
        <v>113.4</v>
      </c>
      <c r="I226" s="73">
        <v>332.64775364051042</v>
      </c>
      <c r="J226" s="40">
        <v>364.84770222167577</v>
      </c>
      <c r="K226" s="52">
        <v>32.199948581165359</v>
      </c>
      <c r="L226" s="73">
        <v>83.599678722926498</v>
      </c>
      <c r="M226" s="40">
        <v>94.185125571405763</v>
      </c>
      <c r="N226" s="52">
        <v>10.585446848479265</v>
      </c>
      <c r="O226" s="73">
        <v>76.687185745960008</v>
      </c>
      <c r="P226" s="40">
        <v>76.680000000000007</v>
      </c>
      <c r="Q226" s="52">
        <v>-7.1857459600010998E-3</v>
      </c>
      <c r="R226" s="73">
        <v>0</v>
      </c>
      <c r="S226" s="40">
        <v>0</v>
      </c>
      <c r="T226" s="52">
        <v>0</v>
      </c>
      <c r="U226" s="73">
        <v>0</v>
      </c>
      <c r="V226" s="40">
        <v>0</v>
      </c>
      <c r="W226" s="52">
        <v>0</v>
      </c>
      <c r="X226" s="73">
        <v>135.32866873618718</v>
      </c>
      <c r="Y226" s="40">
        <v>137.56425979456253</v>
      </c>
      <c r="Z226" s="52">
        <v>2.2355910583753484</v>
      </c>
      <c r="AA226" s="73">
        <v>33.984000000000002</v>
      </c>
      <c r="AB226" s="40">
        <v>0</v>
      </c>
      <c r="AC226" s="52">
        <v>-33.984000000000002</v>
      </c>
      <c r="AD226" s="73">
        <v>303.67344313420972</v>
      </c>
      <c r="AE226" s="40">
        <v>431.81529414606365</v>
      </c>
      <c r="AF226" s="35">
        <v>128.14185101185393</v>
      </c>
      <c r="AG226" s="77">
        <v>965.92072997979392</v>
      </c>
      <c r="AH226" s="53">
        <v>1105.0923817337077</v>
      </c>
      <c r="AI226" s="52">
        <v>139.17165175391381</v>
      </c>
      <c r="AJ226" s="73">
        <v>0</v>
      </c>
      <c r="AK226" s="40">
        <v>0</v>
      </c>
      <c r="AL226" s="52">
        <v>0</v>
      </c>
      <c r="AM226" s="73">
        <v>0</v>
      </c>
      <c r="AN226" s="40">
        <v>0</v>
      </c>
      <c r="AO226" s="52">
        <v>0</v>
      </c>
      <c r="AP226" s="73">
        <v>113.46224999999998</v>
      </c>
      <c r="AQ226" s="40">
        <v>0</v>
      </c>
      <c r="AR226" s="52">
        <v>-113.46224999999998</v>
      </c>
      <c r="AS226" s="73">
        <v>985.28636419300926</v>
      </c>
      <c r="AT226" s="40">
        <v>0</v>
      </c>
      <c r="AU226" s="54">
        <v>-985.28636419300926</v>
      </c>
      <c r="AV226" s="73">
        <v>176.04622960121276</v>
      </c>
      <c r="AW226" s="40">
        <v>0</v>
      </c>
      <c r="AX226" s="55">
        <v>-176.04622960121276</v>
      </c>
      <c r="AY226" s="73">
        <v>231.39149942358119</v>
      </c>
      <c r="AZ226" s="40">
        <v>0</v>
      </c>
      <c r="BA226" s="35">
        <v>-231.39149942358119</v>
      </c>
      <c r="BB226" s="73">
        <v>29.753638164439998</v>
      </c>
      <c r="BC226" s="40">
        <v>0</v>
      </c>
      <c r="BD226" s="55">
        <v>-29.753638164439998</v>
      </c>
      <c r="BE226" s="73">
        <v>0</v>
      </c>
      <c r="BF226" s="40">
        <v>0</v>
      </c>
      <c r="BG226" s="38">
        <v>0</v>
      </c>
      <c r="BH226" s="73">
        <v>0</v>
      </c>
      <c r="BI226" s="40">
        <v>0</v>
      </c>
      <c r="BJ226" s="55">
        <v>0</v>
      </c>
      <c r="BK226" s="73">
        <v>14.085035329655852</v>
      </c>
      <c r="BL226" s="40">
        <v>0</v>
      </c>
      <c r="BM226" s="38">
        <v>-14.085035329655852</v>
      </c>
      <c r="BN226" s="73">
        <v>8.4960000000000004</v>
      </c>
      <c r="BO226" s="40">
        <v>0</v>
      </c>
      <c r="BP226" s="55">
        <v>-8.4960000000000004</v>
      </c>
      <c r="BQ226" s="77">
        <v>459.77240251888981</v>
      </c>
      <c r="BR226" s="40">
        <v>0</v>
      </c>
      <c r="BS226" s="55">
        <v>-459.77240251888981</v>
      </c>
      <c r="BT226" s="73">
        <v>294.94509863223999</v>
      </c>
      <c r="BU226" s="40">
        <v>97.747979914114509</v>
      </c>
      <c r="BV226" s="52">
        <v>-197.19711871812547</v>
      </c>
      <c r="BW226" s="73">
        <v>196.2719611895694</v>
      </c>
      <c r="BX226" s="40">
        <v>401.31713516580612</v>
      </c>
      <c r="BY226" s="52">
        <v>205.04517397623673</v>
      </c>
      <c r="BZ226" s="73">
        <v>237.66403546908199</v>
      </c>
      <c r="CA226" s="40">
        <v>571.49405158583704</v>
      </c>
      <c r="CB226" s="52">
        <v>333.83001611675502</v>
      </c>
      <c r="CC226" s="73">
        <v>0</v>
      </c>
      <c r="CD226" s="40">
        <v>0</v>
      </c>
      <c r="CE226" s="52">
        <v>0</v>
      </c>
      <c r="CF226" s="73">
        <v>0</v>
      </c>
      <c r="CG226" s="40">
        <v>0</v>
      </c>
      <c r="CH226" s="52">
        <v>0</v>
      </c>
      <c r="CI226" s="73">
        <v>355.08</v>
      </c>
      <c r="CJ226" s="40">
        <v>48.964616437810129</v>
      </c>
      <c r="CK226" s="52">
        <v>-306.11538356218983</v>
      </c>
      <c r="CL226" s="73">
        <v>0</v>
      </c>
      <c r="CM226" s="40">
        <v>0</v>
      </c>
      <c r="CN226" s="52">
        <v>0</v>
      </c>
      <c r="CO226" s="39">
        <v>355.08</v>
      </c>
      <c r="CP226" s="40">
        <v>48.964616437810129</v>
      </c>
      <c r="CQ226" s="52">
        <v>-306.11538356218983</v>
      </c>
      <c r="CR226" s="72">
        <v>3608.4028419825845</v>
      </c>
      <c r="CS226" s="5">
        <v>2224.6161648372754</v>
      </c>
      <c r="CT226" s="52">
        <v>-1383.7866771453091</v>
      </c>
      <c r="CU226" s="77">
        <v>4330.0834103791012</v>
      </c>
      <c r="CV226" s="65">
        <v>2669.5393978047305</v>
      </c>
      <c r="CW226" s="35">
        <v>-1660.5440125743708</v>
      </c>
      <c r="CX226" s="73">
        <v>241.76167973069258</v>
      </c>
      <c r="CY226" s="40">
        <v>1902.3056923050635</v>
      </c>
      <c r="CZ226" s="52">
        <v>1660.544012574371</v>
      </c>
      <c r="DA226" s="150">
        <v>-16704.969115106614</v>
      </c>
      <c r="DB226" s="2">
        <v>2</v>
      </c>
      <c r="DC226" s="648">
        <v>2280.84</v>
      </c>
      <c r="DD226" s="648">
        <v>7804.98</v>
      </c>
      <c r="DE226" s="649">
        <v>5513.9749098902057</v>
      </c>
      <c r="DG226" s="321">
        <v>2295.5803981330628</v>
      </c>
      <c r="DH226" s="5">
        <v>54862.141081317532</v>
      </c>
      <c r="DI226" s="306">
        <v>5.3984859229428483</v>
      </c>
      <c r="DJ226" s="306"/>
      <c r="DK226" s="306">
        <v>5.0603635943964207</v>
      </c>
      <c r="DL226" s="28">
        <v>1974.2263020201997</v>
      </c>
      <c r="DM226" s="28">
        <v>573.8452316045541</v>
      </c>
      <c r="DN226" s="650">
        <v>1974.24</v>
      </c>
      <c r="DO226" s="94">
        <v>-1.3697979800326721E-2</v>
      </c>
      <c r="DP226" s="28">
        <v>2548.071533624754</v>
      </c>
      <c r="DQ226" s="318">
        <v>274.77774317572585</v>
      </c>
      <c r="DS226" s="8">
        <v>2165.0417051895506</v>
      </c>
      <c r="DT226" s="5">
        <v>108.25208525947754</v>
      </c>
      <c r="DW226" s="5">
        <v>1734.0705200542789</v>
      </c>
      <c r="DX226" s="5">
        <v>0</v>
      </c>
    </row>
    <row r="227" spans="1:128" x14ac:dyDescent="0.3">
      <c r="A227" s="325">
        <v>150000939</v>
      </c>
      <c r="B227" s="41" t="s">
        <v>674</v>
      </c>
      <c r="C227" s="42" t="s">
        <v>337</v>
      </c>
      <c r="D227" s="42" t="s">
        <v>337</v>
      </c>
      <c r="E227" s="293">
        <v>5141.3999999999996</v>
      </c>
      <c r="F227" s="652">
        <v>5141.3999999999996</v>
      </c>
      <c r="G227" s="51">
        <v>642.44999999999982</v>
      </c>
      <c r="H227" s="651">
        <v>0</v>
      </c>
      <c r="I227" s="73">
        <v>1926.9357749932265</v>
      </c>
      <c r="J227" s="40">
        <v>2140.474778685134</v>
      </c>
      <c r="K227" s="52">
        <v>213.53900369190751</v>
      </c>
      <c r="L227" s="73">
        <v>357.7295022294137</v>
      </c>
      <c r="M227" s="40">
        <v>424.17034028448944</v>
      </c>
      <c r="N227" s="52">
        <v>66.440838055075744</v>
      </c>
      <c r="O227" s="73">
        <v>1046.5826384261666</v>
      </c>
      <c r="P227" s="40">
        <v>1046.58</v>
      </c>
      <c r="Q227" s="52">
        <v>-2.6384261666407838E-3</v>
      </c>
      <c r="R227" s="73">
        <v>218.54080668011332</v>
      </c>
      <c r="S227" s="40">
        <v>218.54</v>
      </c>
      <c r="T227" s="52">
        <v>-8.0668011332818423E-4</v>
      </c>
      <c r="U227" s="73">
        <v>249.79213565145122</v>
      </c>
      <c r="V227" s="40">
        <v>468.19582520643962</v>
      </c>
      <c r="W227" s="52">
        <v>218.4036895549884</v>
      </c>
      <c r="X227" s="73">
        <v>925.90827091589995</v>
      </c>
      <c r="Y227" s="40">
        <v>1054.1399231634045</v>
      </c>
      <c r="Z227" s="52">
        <v>128.2316522475046</v>
      </c>
      <c r="AA227" s="73">
        <v>411.31199999999995</v>
      </c>
      <c r="AB227" s="40">
        <v>0</v>
      </c>
      <c r="AC227" s="52">
        <v>-411.31199999999995</v>
      </c>
      <c r="AD227" s="73">
        <v>3703.9525628542538</v>
      </c>
      <c r="AE227" s="40">
        <v>4633.9702636663988</v>
      </c>
      <c r="AF227" s="35">
        <v>930.01770081214499</v>
      </c>
      <c r="AG227" s="77">
        <v>8840.7536917505258</v>
      </c>
      <c r="AH227" s="53">
        <v>9986.0711310058668</v>
      </c>
      <c r="AI227" s="52">
        <v>1145.317439255341</v>
      </c>
      <c r="AJ227" s="73">
        <v>5112.697975</v>
      </c>
      <c r="AK227" s="40">
        <v>5035.5701260979322</v>
      </c>
      <c r="AL227" s="52">
        <v>-77.127848902067853</v>
      </c>
      <c r="AM227" s="73">
        <v>420.29977000000002</v>
      </c>
      <c r="AN227" s="40">
        <v>0</v>
      </c>
      <c r="AO227" s="52">
        <v>-420.29977000000002</v>
      </c>
      <c r="AP227" s="73">
        <v>504.27666666666659</v>
      </c>
      <c r="AQ227" s="40">
        <v>0</v>
      </c>
      <c r="AR227" s="52">
        <v>-504.27666666666659</v>
      </c>
      <c r="AS227" s="73">
        <v>6101.0759631356832</v>
      </c>
      <c r="AT227" s="40">
        <v>0</v>
      </c>
      <c r="AU227" s="54">
        <v>-6101.0759631356832</v>
      </c>
      <c r="AV227" s="73">
        <v>871.99549402570631</v>
      </c>
      <c r="AW227" s="40">
        <v>0</v>
      </c>
      <c r="AX227" s="55">
        <v>-871.99549402570631</v>
      </c>
      <c r="AY227" s="73">
        <v>986.50945896929352</v>
      </c>
      <c r="AZ227" s="40">
        <v>0</v>
      </c>
      <c r="BA227" s="35">
        <v>-986.50945896929352</v>
      </c>
      <c r="BB227" s="73">
        <v>412.90399086330001</v>
      </c>
      <c r="BC227" s="40">
        <v>0</v>
      </c>
      <c r="BD227" s="55">
        <v>-412.90399086330001</v>
      </c>
      <c r="BE227" s="73">
        <v>1068.0121206828539</v>
      </c>
      <c r="BF227" s="40">
        <v>0</v>
      </c>
      <c r="BG227" s="38">
        <v>-1068.0121206828539</v>
      </c>
      <c r="BH227" s="73">
        <v>1206.2857618860639</v>
      </c>
      <c r="BI227" s="40">
        <v>0</v>
      </c>
      <c r="BJ227" s="55">
        <v>-1206.2857618860639</v>
      </c>
      <c r="BK227" s="73">
        <v>453.81762083643179</v>
      </c>
      <c r="BL227" s="40">
        <v>0</v>
      </c>
      <c r="BM227" s="38">
        <v>-453.81762083643179</v>
      </c>
      <c r="BN227" s="73">
        <v>69.318703622981701</v>
      </c>
      <c r="BO227" s="40">
        <v>0</v>
      </c>
      <c r="BP227" s="55">
        <v>-69.318703622981701</v>
      </c>
      <c r="BQ227" s="77">
        <v>5068.8431508866315</v>
      </c>
      <c r="BR227" s="40">
        <v>0</v>
      </c>
      <c r="BS227" s="55">
        <v>-5068.8431508866315</v>
      </c>
      <c r="BT227" s="73">
        <v>7440.9510324001203</v>
      </c>
      <c r="BU227" s="40">
        <v>2031.1250797734447</v>
      </c>
      <c r="BV227" s="52">
        <v>-5409.8259526266756</v>
      </c>
      <c r="BW227" s="73">
        <v>3702.92204268776</v>
      </c>
      <c r="BX227" s="40">
        <v>4084.3321543523512</v>
      </c>
      <c r="BY227" s="52">
        <v>381.41011166459111</v>
      </c>
      <c r="BZ227" s="73">
        <v>3046.7465154250599</v>
      </c>
      <c r="CA227" s="40">
        <v>11528.428784686519</v>
      </c>
      <c r="CB227" s="52">
        <v>8481.6822692614587</v>
      </c>
      <c r="CC227" s="73">
        <v>235.6873453</v>
      </c>
      <c r="CD227" s="40">
        <v>294.97252211983675</v>
      </c>
      <c r="CE227" s="52">
        <v>59.285176819836749</v>
      </c>
      <c r="CF227" s="73">
        <v>27.775558799999999</v>
      </c>
      <c r="CG227" s="40">
        <v>0</v>
      </c>
      <c r="CH227" s="52">
        <v>-27.775558799999999</v>
      </c>
      <c r="CI227" s="73">
        <v>5948.98</v>
      </c>
      <c r="CJ227" s="40">
        <v>4291.6578607514111</v>
      </c>
      <c r="CK227" s="52">
        <v>-1657.3221392485884</v>
      </c>
      <c r="CL227" s="73">
        <v>1526.1785</v>
      </c>
      <c r="CM227" s="40">
        <v>1334.1604623671151</v>
      </c>
      <c r="CN227" s="52">
        <v>-192.0180376328849</v>
      </c>
      <c r="CO227" s="39">
        <v>7475.1584999999995</v>
      </c>
      <c r="CP227" s="40">
        <v>5625.8183231185267</v>
      </c>
      <c r="CQ227" s="52">
        <v>-1849.3401768814729</v>
      </c>
      <c r="CR227" s="72">
        <v>47977.188212052446</v>
      </c>
      <c r="CS227" s="5">
        <v>38586.318121154472</v>
      </c>
      <c r="CT227" s="52">
        <v>-9390.8700908979736</v>
      </c>
      <c r="CU227" s="77">
        <v>57572.625854462931</v>
      </c>
      <c r="CV227" s="65">
        <v>46303.581745385367</v>
      </c>
      <c r="CW227" s="35">
        <v>-11269.044109077564</v>
      </c>
      <c r="CX227" s="73">
        <v>3214.4541834271627</v>
      </c>
      <c r="CY227" s="40">
        <v>14483.49829250473</v>
      </c>
      <c r="CZ227" s="52">
        <v>11269.044109077568</v>
      </c>
      <c r="DA227" s="150">
        <v>-14467.182333697845</v>
      </c>
      <c r="DB227" s="2">
        <v>1</v>
      </c>
      <c r="DC227" s="648">
        <v>52615.67</v>
      </c>
      <c r="DD227" s="648"/>
      <c r="DE227" s="649">
        <v>-8171.4100378900985</v>
      </c>
      <c r="DG227" s="321">
        <v>27727.664647060574</v>
      </c>
      <c r="DH227" s="5">
        <v>729444.96045468119</v>
      </c>
      <c r="DI227" s="306">
        <v>5.0138770644655235</v>
      </c>
      <c r="DJ227" s="306">
        <v>6.0023923923420277</v>
      </c>
      <c r="DK227" s="306"/>
      <c r="DL227" s="28">
        <v>30225.628573593036</v>
      </c>
      <c r="DM227" s="28">
        <v>0</v>
      </c>
      <c r="DN227" s="650">
        <v>30226.51</v>
      </c>
      <c r="DO227" s="94">
        <v>-0.8814264069624187</v>
      </c>
      <c r="DP227" s="28">
        <v>30225.628573593036</v>
      </c>
      <c r="DQ227" s="318">
        <v>0</v>
      </c>
      <c r="DS227" s="8">
        <v>28786.312927231465</v>
      </c>
      <c r="DT227" s="5">
        <v>1439.3156463615735</v>
      </c>
      <c r="DW227" s="5">
        <v>13403.902936826778</v>
      </c>
      <c r="DX227" s="5">
        <v>0</v>
      </c>
    </row>
    <row r="228" spans="1:128" x14ac:dyDescent="0.3">
      <c r="A228" s="325">
        <v>150000926</v>
      </c>
      <c r="B228" s="41" t="s">
        <v>675</v>
      </c>
      <c r="C228" s="42" t="s">
        <v>178</v>
      </c>
      <c r="D228" s="42" t="s">
        <v>178</v>
      </c>
      <c r="E228" s="293">
        <v>404.5</v>
      </c>
      <c r="F228" s="305">
        <v>284.10000000000002</v>
      </c>
      <c r="G228" s="51"/>
      <c r="H228" s="651">
        <v>120.4</v>
      </c>
      <c r="I228" s="73">
        <v>188.62490226144044</v>
      </c>
      <c r="J228" s="40">
        <v>206.94047512698609</v>
      </c>
      <c r="K228" s="52">
        <v>18.315572865545647</v>
      </c>
      <c r="L228" s="73">
        <v>83.599678722926498</v>
      </c>
      <c r="M228" s="40">
        <v>94.185125571405763</v>
      </c>
      <c r="N228" s="52">
        <v>10.585446848479265</v>
      </c>
      <c r="O228" s="73">
        <v>0</v>
      </c>
      <c r="P228" s="40">
        <v>0</v>
      </c>
      <c r="Q228" s="52">
        <v>0</v>
      </c>
      <c r="R228" s="73">
        <v>0</v>
      </c>
      <c r="S228" s="40">
        <v>0</v>
      </c>
      <c r="T228" s="52">
        <v>0</v>
      </c>
      <c r="U228" s="73">
        <v>0</v>
      </c>
      <c r="V228" s="40">
        <v>0</v>
      </c>
      <c r="W228" s="52">
        <v>0</v>
      </c>
      <c r="X228" s="73">
        <v>135.32866873618718</v>
      </c>
      <c r="Y228" s="40">
        <v>137.55333182716763</v>
      </c>
      <c r="Z228" s="52">
        <v>2.2246630909804423</v>
      </c>
      <c r="AA228" s="73">
        <v>32.392000000000003</v>
      </c>
      <c r="AB228" s="40">
        <v>0</v>
      </c>
      <c r="AC228" s="52">
        <v>-32.392000000000003</v>
      </c>
      <c r="AD228" s="73">
        <v>254.49647903481639</v>
      </c>
      <c r="AE228" s="40">
        <v>364.57793045727976</v>
      </c>
      <c r="AF228" s="35">
        <v>110.08145142246337</v>
      </c>
      <c r="AG228" s="77">
        <v>694.44172875537049</v>
      </c>
      <c r="AH228" s="53">
        <v>803.25686298283927</v>
      </c>
      <c r="AI228" s="52">
        <v>108.81513422746877</v>
      </c>
      <c r="AJ228" s="73">
        <v>0</v>
      </c>
      <c r="AK228" s="40">
        <v>0</v>
      </c>
      <c r="AL228" s="52">
        <v>0</v>
      </c>
      <c r="AM228" s="73">
        <v>0</v>
      </c>
      <c r="AN228" s="40">
        <v>0</v>
      </c>
      <c r="AO228" s="52">
        <v>0</v>
      </c>
      <c r="AP228" s="73">
        <v>94.551874999999995</v>
      </c>
      <c r="AQ228" s="40">
        <v>0</v>
      </c>
      <c r="AR228" s="52">
        <v>-94.551874999999995</v>
      </c>
      <c r="AS228" s="73">
        <v>773.21157961632446</v>
      </c>
      <c r="AT228" s="40">
        <v>0</v>
      </c>
      <c r="AU228" s="54">
        <v>-773.21157961632446</v>
      </c>
      <c r="AV228" s="73">
        <v>119.54000427887672</v>
      </c>
      <c r="AW228" s="40">
        <v>0</v>
      </c>
      <c r="AX228" s="55">
        <v>-119.54000427887672</v>
      </c>
      <c r="AY228" s="73">
        <v>231.39149942358119</v>
      </c>
      <c r="AZ228" s="40">
        <v>0</v>
      </c>
      <c r="BA228" s="35">
        <v>-231.39149942358119</v>
      </c>
      <c r="BB228" s="73">
        <v>0</v>
      </c>
      <c r="BC228" s="40">
        <v>0</v>
      </c>
      <c r="BD228" s="55">
        <v>0</v>
      </c>
      <c r="BE228" s="73">
        <v>0</v>
      </c>
      <c r="BF228" s="40">
        <v>0</v>
      </c>
      <c r="BG228" s="38">
        <v>0</v>
      </c>
      <c r="BH228" s="73">
        <v>0</v>
      </c>
      <c r="BI228" s="40">
        <v>0</v>
      </c>
      <c r="BJ228" s="55">
        <v>0</v>
      </c>
      <c r="BK228" s="73">
        <v>14.085035329655852</v>
      </c>
      <c r="BL228" s="40">
        <v>0</v>
      </c>
      <c r="BM228" s="38">
        <v>-14.085035329655852</v>
      </c>
      <c r="BN228" s="73">
        <v>8.0980000000000008</v>
      </c>
      <c r="BO228" s="40">
        <v>0</v>
      </c>
      <c r="BP228" s="55">
        <v>-8.0980000000000008</v>
      </c>
      <c r="BQ228" s="77">
        <v>373.11453903211378</v>
      </c>
      <c r="BR228" s="40">
        <v>0</v>
      </c>
      <c r="BS228" s="55">
        <v>-373.11453903211378</v>
      </c>
      <c r="BT228" s="73">
        <v>640.58449353557398</v>
      </c>
      <c r="BU228" s="40">
        <v>196.88036033289231</v>
      </c>
      <c r="BV228" s="52">
        <v>-443.70413320268165</v>
      </c>
      <c r="BW228" s="73">
        <v>156.4143192731226</v>
      </c>
      <c r="BX228" s="40">
        <v>210.73006689262058</v>
      </c>
      <c r="BY228" s="52">
        <v>54.315747619497984</v>
      </c>
      <c r="BZ228" s="73">
        <v>398.48219820979602</v>
      </c>
      <c r="CA228" s="40">
        <v>1147.3801285943134</v>
      </c>
      <c r="CB228" s="52">
        <v>748.89793038451739</v>
      </c>
      <c r="CC228" s="73">
        <v>0</v>
      </c>
      <c r="CD228" s="40">
        <v>0</v>
      </c>
      <c r="CE228" s="52">
        <v>0</v>
      </c>
      <c r="CF228" s="73">
        <v>0</v>
      </c>
      <c r="CG228" s="40">
        <v>0</v>
      </c>
      <c r="CH228" s="52">
        <v>0</v>
      </c>
      <c r="CI228" s="73">
        <v>249.18</v>
      </c>
      <c r="CJ228" s="40">
        <v>96.692217782925667</v>
      </c>
      <c r="CK228" s="52">
        <v>-152.48778221707434</v>
      </c>
      <c r="CL228" s="73">
        <v>0</v>
      </c>
      <c r="CM228" s="40">
        <v>0</v>
      </c>
      <c r="CN228" s="52">
        <v>0</v>
      </c>
      <c r="CO228" s="39">
        <v>249.18</v>
      </c>
      <c r="CP228" s="40">
        <v>96.692217782925667</v>
      </c>
      <c r="CQ228" s="52">
        <v>-152.48778221707434</v>
      </c>
      <c r="CR228" s="72">
        <v>3379.9807334223015</v>
      </c>
      <c r="CS228" s="5">
        <v>2454.939636585591</v>
      </c>
      <c r="CT228" s="52">
        <v>-925.04109683671049</v>
      </c>
      <c r="CU228" s="77">
        <v>4055.9768801067617</v>
      </c>
      <c r="CV228" s="65">
        <v>2945.9275639027092</v>
      </c>
      <c r="CW228" s="35">
        <v>-1110.0493162040525</v>
      </c>
      <c r="CX228" s="73">
        <v>226.45748142704122</v>
      </c>
      <c r="CY228" s="40">
        <v>1336.5067976310938</v>
      </c>
      <c r="CZ228" s="52">
        <v>1110.0493162040525</v>
      </c>
      <c r="DA228" s="150">
        <v>-15626.356078203296</v>
      </c>
      <c r="DB228" s="2">
        <v>2</v>
      </c>
      <c r="DC228" s="648">
        <v>3216.17</v>
      </c>
      <c r="DD228" s="648">
        <v>1934.33</v>
      </c>
      <c r="DE228" s="649">
        <v>868.06563846619702</v>
      </c>
      <c r="DG228" s="321">
        <v>24458.151028254884</v>
      </c>
      <c r="DH228" s="5">
        <v>51389.212338405632</v>
      </c>
      <c r="DI228" s="306">
        <v>5.3625283776386699</v>
      </c>
      <c r="DJ228" s="306"/>
      <c r="DK228" s="306">
        <v>5.0156750825240373</v>
      </c>
      <c r="DL228" s="28">
        <v>1523.4943120871462</v>
      </c>
      <c r="DM228" s="28">
        <v>603.88727993589407</v>
      </c>
      <c r="DN228" s="650">
        <v>1523.49</v>
      </c>
      <c r="DO228" s="94">
        <v>4.3120871462178911E-3</v>
      </c>
      <c r="DP228" s="28">
        <v>2127.3815920230404</v>
      </c>
      <c r="DQ228" s="318">
        <v>-2.006270033009514</v>
      </c>
      <c r="DS228" s="8">
        <v>2027.9884400533808</v>
      </c>
      <c r="DT228" s="5">
        <v>101.39942200266904</v>
      </c>
      <c r="DW228" s="5">
        <v>1375.591342378126</v>
      </c>
      <c r="DX228" s="5">
        <v>0</v>
      </c>
    </row>
    <row r="229" spans="1:128" x14ac:dyDescent="0.3">
      <c r="A229" s="325">
        <v>150000940</v>
      </c>
      <c r="B229" s="41" t="s">
        <v>676</v>
      </c>
      <c r="C229" s="42" t="s">
        <v>377</v>
      </c>
      <c r="D229" s="42" t="s">
        <v>377</v>
      </c>
      <c r="E229" s="293">
        <v>7453.85</v>
      </c>
      <c r="F229" s="652">
        <v>7453.85</v>
      </c>
      <c r="G229" s="51">
        <v>941.36000000000058</v>
      </c>
      <c r="H229" s="651">
        <v>0</v>
      </c>
      <c r="I229" s="73">
        <v>2945.7575639296488</v>
      </c>
      <c r="J229" s="40">
        <v>3275.6372186669719</v>
      </c>
      <c r="K229" s="52">
        <v>329.87965473732311</v>
      </c>
      <c r="L229" s="73">
        <v>547.48155592252533</v>
      </c>
      <c r="M229" s="40">
        <v>647.46693141498179</v>
      </c>
      <c r="N229" s="52">
        <v>99.985375492456456</v>
      </c>
      <c r="O229" s="73">
        <v>1602.5558550773967</v>
      </c>
      <c r="P229" s="40">
        <v>1602.56</v>
      </c>
      <c r="Q229" s="52">
        <v>4.1449226032455044E-3</v>
      </c>
      <c r="R229" s="73">
        <v>312.14132612206333</v>
      </c>
      <c r="S229" s="40">
        <v>312.14</v>
      </c>
      <c r="T229" s="52">
        <v>-1.3261220633467019E-3</v>
      </c>
      <c r="U229" s="73">
        <v>129.82091592576384</v>
      </c>
      <c r="V229" s="40">
        <v>243.32903056820322</v>
      </c>
      <c r="W229" s="52">
        <v>113.50811464243938</v>
      </c>
      <c r="X229" s="73">
        <v>1764.6631378022639</v>
      </c>
      <c r="Y229" s="40">
        <v>1804.6042157369034</v>
      </c>
      <c r="Z229" s="52">
        <v>39.941077934639452</v>
      </c>
      <c r="AA229" s="73">
        <v>596.30799999999999</v>
      </c>
      <c r="AB229" s="40">
        <v>0</v>
      </c>
      <c r="AC229" s="52">
        <v>-596.30799999999999</v>
      </c>
      <c r="AD229" s="73">
        <v>5369.9021202513595</v>
      </c>
      <c r="AE229" s="40">
        <v>6718.1933422472066</v>
      </c>
      <c r="AF229" s="35">
        <v>1348.2912219958471</v>
      </c>
      <c r="AG229" s="77">
        <v>13268.630475031023</v>
      </c>
      <c r="AH229" s="53">
        <v>14603.930738634266</v>
      </c>
      <c r="AI229" s="52">
        <v>1335.3002636032434</v>
      </c>
      <c r="AJ229" s="73">
        <v>11275.077495</v>
      </c>
      <c r="AK229" s="40">
        <v>11105.008688119797</v>
      </c>
      <c r="AL229" s="52">
        <v>-170.06880688020283</v>
      </c>
      <c r="AM229" s="73">
        <v>0</v>
      </c>
      <c r="AN229" s="40">
        <v>0</v>
      </c>
      <c r="AO229" s="52">
        <v>0</v>
      </c>
      <c r="AP229" s="73">
        <v>756.41499999999996</v>
      </c>
      <c r="AQ229" s="40">
        <v>0</v>
      </c>
      <c r="AR229" s="52">
        <v>-756.41499999999996</v>
      </c>
      <c r="AS229" s="73">
        <v>9301.1315451567789</v>
      </c>
      <c r="AT229" s="40">
        <v>553</v>
      </c>
      <c r="AU229" s="54">
        <v>-8748.1315451567789</v>
      </c>
      <c r="AV229" s="73">
        <v>1360.7258525519428</v>
      </c>
      <c r="AW229" s="40">
        <v>740</v>
      </c>
      <c r="AX229" s="55">
        <v>-620.72585255194281</v>
      </c>
      <c r="AY229" s="73">
        <v>1534.2847180891008</v>
      </c>
      <c r="AZ229" s="40">
        <v>0</v>
      </c>
      <c r="BA229" s="35">
        <v>-1534.2847180891008</v>
      </c>
      <c r="BB229" s="73">
        <v>574.25331718686994</v>
      </c>
      <c r="BC229" s="40">
        <v>0</v>
      </c>
      <c r="BD229" s="55">
        <v>-574.25331718686994</v>
      </c>
      <c r="BE229" s="73">
        <v>1509.2281174106201</v>
      </c>
      <c r="BF229" s="40">
        <v>0</v>
      </c>
      <c r="BG229" s="38">
        <v>-1509.2281174106201</v>
      </c>
      <c r="BH229" s="73">
        <v>626.90933560096028</v>
      </c>
      <c r="BI229" s="40">
        <v>1608</v>
      </c>
      <c r="BJ229" s="55">
        <v>981.09066439903972</v>
      </c>
      <c r="BK229" s="73">
        <v>1269.8617028043061</v>
      </c>
      <c r="BL229" s="40">
        <v>0</v>
      </c>
      <c r="BM229" s="38">
        <v>-1269.8617028043061</v>
      </c>
      <c r="BN229" s="73">
        <v>100.48670535689853</v>
      </c>
      <c r="BO229" s="40">
        <v>0</v>
      </c>
      <c r="BP229" s="55">
        <v>-100.48670535689853</v>
      </c>
      <c r="BQ229" s="77">
        <v>6975.7497490006981</v>
      </c>
      <c r="BR229" s="40">
        <v>2348</v>
      </c>
      <c r="BS229" s="55">
        <v>-4627.7497490006981</v>
      </c>
      <c r="BT229" s="73">
        <v>11574.22833952928</v>
      </c>
      <c r="BU229" s="40">
        <v>2462.0644753700958</v>
      </c>
      <c r="BV229" s="52">
        <v>-9112.1638641591835</v>
      </c>
      <c r="BW229" s="73">
        <v>6529.8330736626604</v>
      </c>
      <c r="BX229" s="40">
        <v>7198.926482400776</v>
      </c>
      <c r="BY229" s="52">
        <v>669.09340873811561</v>
      </c>
      <c r="BZ229" s="73">
        <v>2191.7588614562201</v>
      </c>
      <c r="CA229" s="40">
        <v>14823.245350587413</v>
      </c>
      <c r="CB229" s="52">
        <v>12631.486489131192</v>
      </c>
      <c r="CC229" s="73">
        <v>300.01438973</v>
      </c>
      <c r="CD229" s="40">
        <v>375.17420133673357</v>
      </c>
      <c r="CE229" s="52">
        <v>75.15981160673357</v>
      </c>
      <c r="CF229" s="73">
        <v>35.327606160000002</v>
      </c>
      <c r="CG229" s="40">
        <v>0</v>
      </c>
      <c r="CH229" s="52">
        <v>-35.327606160000002</v>
      </c>
      <c r="CI229" s="73">
        <v>5674.9</v>
      </c>
      <c r="CJ229" s="40">
        <v>5514.5592018391972</v>
      </c>
      <c r="CK229" s="52">
        <v>-160.34079816080248</v>
      </c>
      <c r="CL229" s="73">
        <v>4494.43995</v>
      </c>
      <c r="CM229" s="40">
        <v>1878.7229760819569</v>
      </c>
      <c r="CN229" s="52">
        <v>-2615.7169739180431</v>
      </c>
      <c r="CO229" s="39">
        <v>10169.33995</v>
      </c>
      <c r="CP229" s="40">
        <v>7393.2821779211536</v>
      </c>
      <c r="CQ229" s="52">
        <v>-2776.057772078846</v>
      </c>
      <c r="CR229" s="72">
        <v>72377.506484726662</v>
      </c>
      <c r="CS229" s="5">
        <v>60862.63211437023</v>
      </c>
      <c r="CT229" s="52">
        <v>-11514.874370356432</v>
      </c>
      <c r="CU229" s="77">
        <v>86853.007781671986</v>
      </c>
      <c r="CV229" s="65">
        <v>73035.158537244279</v>
      </c>
      <c r="CW229" s="35">
        <v>-13817.849244427707</v>
      </c>
      <c r="CX229" s="73">
        <v>4849.2666447553647</v>
      </c>
      <c r="CY229" s="40">
        <v>18667.115889183071</v>
      </c>
      <c r="CZ229" s="52">
        <v>13817.849244427707</v>
      </c>
      <c r="DA229" s="150">
        <v>22817.906170577866</v>
      </c>
      <c r="DB229" s="2">
        <v>1</v>
      </c>
      <c r="DC229" s="648">
        <v>82655.649999999994</v>
      </c>
      <c r="DD229" s="648"/>
      <c r="DE229" s="649">
        <v>-9046.6244264273555</v>
      </c>
      <c r="DG229" s="321">
        <v>16309.246749088619</v>
      </c>
      <c r="DH229" s="5">
        <v>1100427.2931171283</v>
      </c>
      <c r="DI229" s="306">
        <v>4.784511775126651</v>
      </c>
      <c r="DJ229" s="306">
        <v>6.3100106227793926</v>
      </c>
      <c r="DK229" s="306"/>
      <c r="DL229" s="28">
        <v>45597.829085377787</v>
      </c>
      <c r="DM229" s="28">
        <v>0</v>
      </c>
      <c r="DN229" s="650">
        <v>45597.94</v>
      </c>
      <c r="DO229" s="94">
        <v>-0.11091462221520487</v>
      </c>
      <c r="DP229" s="28">
        <v>45597.829085377787</v>
      </c>
      <c r="DQ229" s="318">
        <v>0</v>
      </c>
      <c r="DS229" s="8">
        <v>43426.503890835993</v>
      </c>
      <c r="DT229" s="5">
        <v>2171.3251945417996</v>
      </c>
      <c r="DW229" s="5">
        <v>19532.257552988969</v>
      </c>
      <c r="DX229" s="5">
        <v>3481.2</v>
      </c>
    </row>
    <row r="230" spans="1:128" x14ac:dyDescent="0.3">
      <c r="A230" s="325">
        <v>150000941</v>
      </c>
      <c r="B230" s="41" t="s">
        <v>677</v>
      </c>
      <c r="C230" s="42" t="s">
        <v>338</v>
      </c>
      <c r="D230" s="42" t="s">
        <v>338</v>
      </c>
      <c r="E230" s="293">
        <v>6120.35</v>
      </c>
      <c r="F230" s="652">
        <v>6120.35</v>
      </c>
      <c r="G230" s="51">
        <v>717.15000000000055</v>
      </c>
      <c r="H230" s="651">
        <v>0</v>
      </c>
      <c r="I230" s="73">
        <v>1431.8266080412848</v>
      </c>
      <c r="J230" s="40">
        <v>1591.1965404618199</v>
      </c>
      <c r="K230" s="52">
        <v>159.36993242053518</v>
      </c>
      <c r="L230" s="73">
        <v>437.5704689869599</v>
      </c>
      <c r="M230" s="40">
        <v>518.15320576017018</v>
      </c>
      <c r="N230" s="52">
        <v>80.582736773210286</v>
      </c>
      <c r="O230" s="73">
        <v>1308.8002775985565</v>
      </c>
      <c r="P230" s="40">
        <v>1308.8</v>
      </c>
      <c r="Q230" s="52">
        <v>-2.7759855652220722E-4</v>
      </c>
      <c r="R230" s="73">
        <v>241.54177544982997</v>
      </c>
      <c r="S230" s="40">
        <v>241.56</v>
      </c>
      <c r="T230" s="52">
        <v>1.8224550170032217E-2</v>
      </c>
      <c r="U230" s="73">
        <v>120.96465895662244</v>
      </c>
      <c r="V230" s="40">
        <v>226.7292131750313</v>
      </c>
      <c r="W230" s="52">
        <v>105.76455421840886</v>
      </c>
      <c r="X230" s="73">
        <v>1456.1444868075496</v>
      </c>
      <c r="Y230" s="40">
        <v>1443.1319540201168</v>
      </c>
      <c r="Z230" s="52">
        <v>-13.012532787432747</v>
      </c>
      <c r="AA230" s="73">
        <v>489.66400000000004</v>
      </c>
      <c r="AB230" s="40">
        <v>0</v>
      </c>
      <c r="AC230" s="52">
        <v>-489.66400000000004</v>
      </c>
      <c r="AD230" s="73">
        <v>4409.5620389343967</v>
      </c>
      <c r="AE230" s="40">
        <v>5516.3029336816126</v>
      </c>
      <c r="AF230" s="35">
        <v>1106.7408947472159</v>
      </c>
      <c r="AG230" s="77">
        <v>9896.0743147752</v>
      </c>
      <c r="AH230" s="53">
        <v>10845.873847098752</v>
      </c>
      <c r="AI230" s="52">
        <v>949.79953232355183</v>
      </c>
      <c r="AJ230" s="73">
        <v>7147.34</v>
      </c>
      <c r="AK230" s="40">
        <v>7039.5215028103758</v>
      </c>
      <c r="AL230" s="52">
        <v>-107.8184971896244</v>
      </c>
      <c r="AM230" s="73">
        <v>210.14988500000001</v>
      </c>
      <c r="AN230" s="40">
        <v>206.94522013844158</v>
      </c>
      <c r="AO230" s="52">
        <v>-3.2046648615584274</v>
      </c>
      <c r="AP230" s="73">
        <v>642.95274999999992</v>
      </c>
      <c r="AQ230" s="40">
        <v>0</v>
      </c>
      <c r="AR230" s="52">
        <v>-642.95274999999992</v>
      </c>
      <c r="AS230" s="73">
        <v>10697.260164438307</v>
      </c>
      <c r="AT230" s="40">
        <v>8182</v>
      </c>
      <c r="AU230" s="54">
        <v>-2515.2601644383067</v>
      </c>
      <c r="AV230" s="73">
        <v>682.16179346712545</v>
      </c>
      <c r="AW230" s="40">
        <v>267</v>
      </c>
      <c r="AX230" s="55">
        <v>-415.16179346712545</v>
      </c>
      <c r="AY230" s="73">
        <v>1205.6607188368791</v>
      </c>
      <c r="AZ230" s="40">
        <v>0</v>
      </c>
      <c r="BA230" s="35">
        <v>-1205.6607188368791</v>
      </c>
      <c r="BB230" s="73">
        <v>457.58433116833396</v>
      </c>
      <c r="BC230" s="40">
        <v>0</v>
      </c>
      <c r="BD230" s="55">
        <v>-457.58433116833396</v>
      </c>
      <c r="BE230" s="73">
        <v>1278.74403857316</v>
      </c>
      <c r="BF230" s="40">
        <v>0</v>
      </c>
      <c r="BG230" s="38">
        <v>-1278.74403857316</v>
      </c>
      <c r="BH230" s="73">
        <v>584.16358959675699</v>
      </c>
      <c r="BI230" s="40">
        <v>0</v>
      </c>
      <c r="BJ230" s="55">
        <v>-584.16358959675699</v>
      </c>
      <c r="BK230" s="73">
        <v>899.14931828937904</v>
      </c>
      <c r="BL230" s="40">
        <v>0</v>
      </c>
      <c r="BM230" s="38">
        <v>-899.14931828937904</v>
      </c>
      <c r="BN230" s="73">
        <v>126.96533158808072</v>
      </c>
      <c r="BO230" s="40">
        <v>0</v>
      </c>
      <c r="BP230" s="55">
        <v>-126.96533158808072</v>
      </c>
      <c r="BQ230" s="77">
        <v>5234.4291215197154</v>
      </c>
      <c r="BR230" s="40">
        <v>267</v>
      </c>
      <c r="BS230" s="55">
        <v>-4967.4291215197154</v>
      </c>
      <c r="BT230" s="73">
        <v>7809.0731830909199</v>
      </c>
      <c r="BU230" s="40">
        <v>1833.8074689086936</v>
      </c>
      <c r="BV230" s="52">
        <v>-5975.2657141822265</v>
      </c>
      <c r="BW230" s="73">
        <v>7221.9801402027797</v>
      </c>
      <c r="BX230" s="40">
        <v>7963.50200888381</v>
      </c>
      <c r="BY230" s="52">
        <v>741.52186868103036</v>
      </c>
      <c r="BZ230" s="73">
        <v>2049.99955362328</v>
      </c>
      <c r="CA230" s="40">
        <v>10906.201426767344</v>
      </c>
      <c r="CB230" s="52">
        <v>8856.2018731440639</v>
      </c>
      <c r="CC230" s="73">
        <v>239.16293873999999</v>
      </c>
      <c r="CD230" s="40">
        <v>298.44278708595249</v>
      </c>
      <c r="CE230" s="52">
        <v>59.279848345952502</v>
      </c>
      <c r="CF230" s="73">
        <v>28.102330080000002</v>
      </c>
      <c r="CG230" s="40">
        <v>0</v>
      </c>
      <c r="CH230" s="52">
        <v>-28.102330080000002</v>
      </c>
      <c r="CI230" s="73">
        <v>2971.38</v>
      </c>
      <c r="CJ230" s="40">
        <v>3805.0051358120377</v>
      </c>
      <c r="CK230" s="52">
        <v>833.62513581203757</v>
      </c>
      <c r="CL230" s="73">
        <v>1794.0383999999999</v>
      </c>
      <c r="CM230" s="40">
        <v>1594.9929822398462</v>
      </c>
      <c r="CN230" s="52">
        <v>-199.04541776015367</v>
      </c>
      <c r="CO230" s="39">
        <v>4765.4184000000005</v>
      </c>
      <c r="CP230" s="40">
        <v>5399.9981180518844</v>
      </c>
      <c r="CQ230" s="52">
        <v>634.5797180518839</v>
      </c>
      <c r="CR230" s="72">
        <v>55941.942781470207</v>
      </c>
      <c r="CS230" s="5">
        <v>52943.292379745253</v>
      </c>
      <c r="CT230" s="52">
        <v>-2998.6504017249536</v>
      </c>
      <c r="CU230" s="77">
        <v>67130.331337764248</v>
      </c>
      <c r="CV230" s="65">
        <v>63531.950855694304</v>
      </c>
      <c r="CW230" s="35">
        <v>-3598.3804820699443</v>
      </c>
      <c r="CX230" s="73">
        <v>3748.0898465359883</v>
      </c>
      <c r="CY230" s="40">
        <v>7346.4703286059375</v>
      </c>
      <c r="CZ230" s="52">
        <v>3598.3804820699493</v>
      </c>
      <c r="DA230" s="150">
        <v>54677.882955053152</v>
      </c>
      <c r="DB230" s="2">
        <v>1</v>
      </c>
      <c r="DC230" s="648">
        <v>48100.43</v>
      </c>
      <c r="DD230" s="648"/>
      <c r="DE230" s="649">
        <v>-22777.991184300241</v>
      </c>
      <c r="DG230" s="321">
        <v>35436.402843070216</v>
      </c>
      <c r="DH230" s="5">
        <v>850541.0542116029</v>
      </c>
      <c r="DI230" s="306">
        <v>4.5661202020612048</v>
      </c>
      <c r="DJ230" s="306">
        <v>5.916155968885481</v>
      </c>
      <c r="DK230" s="306"/>
      <c r="DL230" s="28">
        <v>35240.767033990225</v>
      </c>
      <c r="DM230" s="28">
        <v>0</v>
      </c>
      <c r="DN230" s="650">
        <v>35241.03</v>
      </c>
      <c r="DO230" s="94">
        <v>-0.26296600977366325</v>
      </c>
      <c r="DP230" s="28">
        <v>35240.767033990225</v>
      </c>
      <c r="DQ230" s="318">
        <v>-2.6569183360043098</v>
      </c>
      <c r="DS230" s="8">
        <v>33565.165668882124</v>
      </c>
      <c r="DT230" s="5">
        <v>1678.2582834441062</v>
      </c>
      <c r="DW230" s="5">
        <v>19118.027143149626</v>
      </c>
      <c r="DX230" s="5">
        <v>10138.799999999999</v>
      </c>
    </row>
    <row r="231" spans="1:128" x14ac:dyDescent="0.3">
      <c r="A231" s="325">
        <v>150000957</v>
      </c>
      <c r="B231" s="41" t="s">
        <v>678</v>
      </c>
      <c r="C231" s="42" t="s">
        <v>378</v>
      </c>
      <c r="D231" s="42" t="s">
        <v>378</v>
      </c>
      <c r="E231" s="293">
        <v>2163.8200000000002</v>
      </c>
      <c r="F231" s="652">
        <v>2163.8200000000002</v>
      </c>
      <c r="G231" s="51">
        <v>234.20000000000005</v>
      </c>
      <c r="H231" s="651">
        <v>0</v>
      </c>
      <c r="I231" s="73">
        <v>1162.2217746371416</v>
      </c>
      <c r="J231" s="40">
        <v>1290.2171847292866</v>
      </c>
      <c r="K231" s="52">
        <v>127.99541009214499</v>
      </c>
      <c r="L231" s="73">
        <v>186.5550538584659</v>
      </c>
      <c r="M231" s="40">
        <v>219.08271317741864</v>
      </c>
      <c r="N231" s="52">
        <v>32.527659318952743</v>
      </c>
      <c r="O231" s="73">
        <v>421.35079065605669</v>
      </c>
      <c r="P231" s="40">
        <v>421.36</v>
      </c>
      <c r="Q231" s="52">
        <v>9.2093439433256208E-3</v>
      </c>
      <c r="R231" s="73">
        <v>98.497855100116666</v>
      </c>
      <c r="S231" s="40">
        <v>98.5</v>
      </c>
      <c r="T231" s="52">
        <v>2.1448998833335509E-3</v>
      </c>
      <c r="U231" s="73">
        <v>43.28778497834633</v>
      </c>
      <c r="V231" s="40">
        <v>98.042233989007286</v>
      </c>
      <c r="W231" s="52">
        <v>54.754449010660956</v>
      </c>
      <c r="X231" s="73">
        <v>242.17757750765685</v>
      </c>
      <c r="Y231" s="40">
        <v>581.79266511911885</v>
      </c>
      <c r="Z231" s="52">
        <v>339.615087611462</v>
      </c>
      <c r="AA231" s="73">
        <v>173.2448</v>
      </c>
      <c r="AB231" s="40">
        <v>0</v>
      </c>
      <c r="AC231" s="52">
        <v>-173.2448</v>
      </c>
      <c r="AD231" s="73">
        <v>1560.1154007353202</v>
      </c>
      <c r="AE231" s="40">
        <v>1950.2620951349102</v>
      </c>
      <c r="AF231" s="35">
        <v>390.14669439958993</v>
      </c>
      <c r="AG231" s="77">
        <v>3887.451037473104</v>
      </c>
      <c r="AH231" s="53">
        <v>4659.2568921497414</v>
      </c>
      <c r="AI231" s="52">
        <v>771.80585467663741</v>
      </c>
      <c r="AJ231" s="73">
        <v>2295.4970499999999</v>
      </c>
      <c r="AK231" s="40">
        <v>2260.8682198807041</v>
      </c>
      <c r="AL231" s="52">
        <v>-34.628830119295799</v>
      </c>
      <c r="AM231" s="73">
        <v>210.14988500000001</v>
      </c>
      <c r="AN231" s="40">
        <v>206.94522013844158</v>
      </c>
      <c r="AO231" s="52">
        <v>-3.2046648615584274</v>
      </c>
      <c r="AP231" s="73">
        <v>226.92449999999997</v>
      </c>
      <c r="AQ231" s="40">
        <v>0</v>
      </c>
      <c r="AR231" s="52">
        <v>-226.92449999999997</v>
      </c>
      <c r="AS231" s="73">
        <v>2669.3431067025872</v>
      </c>
      <c r="AT231" s="40">
        <v>0</v>
      </c>
      <c r="AU231" s="54">
        <v>-2669.3431067025872</v>
      </c>
      <c r="AV231" s="73">
        <v>498.3827642375644</v>
      </c>
      <c r="AW231" s="40">
        <v>0</v>
      </c>
      <c r="AX231" s="55">
        <v>-498.3827642375644</v>
      </c>
      <c r="AY231" s="73">
        <v>522.67305722599815</v>
      </c>
      <c r="AZ231" s="40">
        <v>0</v>
      </c>
      <c r="BA231" s="35">
        <v>-522.67305722599815</v>
      </c>
      <c r="BB231" s="73">
        <v>112.53048111622999</v>
      </c>
      <c r="BC231" s="40">
        <v>0</v>
      </c>
      <c r="BD231" s="55">
        <v>-112.53048111622999</v>
      </c>
      <c r="BE231" s="73">
        <v>503.31104478152599</v>
      </c>
      <c r="BF231" s="40">
        <v>0</v>
      </c>
      <c r="BG231" s="38">
        <v>-503.31104478152599</v>
      </c>
      <c r="BH231" s="73">
        <v>208.98388444579521</v>
      </c>
      <c r="BI231" s="40">
        <v>0</v>
      </c>
      <c r="BJ231" s="55">
        <v>-208.98388444579521</v>
      </c>
      <c r="BK231" s="73">
        <v>160.81387975610616</v>
      </c>
      <c r="BL231" s="40">
        <v>0</v>
      </c>
      <c r="BM231" s="38">
        <v>-160.81387975610616</v>
      </c>
      <c r="BN231" s="73">
        <v>27.046174910102941</v>
      </c>
      <c r="BO231" s="40">
        <v>0</v>
      </c>
      <c r="BP231" s="55">
        <v>-27.046174910102941</v>
      </c>
      <c r="BQ231" s="77">
        <v>2033.741286473323</v>
      </c>
      <c r="BR231" s="40">
        <v>0</v>
      </c>
      <c r="BS231" s="55">
        <v>-2033.741286473323</v>
      </c>
      <c r="BT231" s="73">
        <v>3350.1394280579998</v>
      </c>
      <c r="BU231" s="40">
        <v>786.3929010433925</v>
      </c>
      <c r="BV231" s="52">
        <v>-2563.7465270146072</v>
      </c>
      <c r="BW231" s="73">
        <v>1973.6635424786621</v>
      </c>
      <c r="BX231" s="40">
        <v>2629.5710269285355</v>
      </c>
      <c r="BY231" s="52">
        <v>655.90748444987344</v>
      </c>
      <c r="BZ231" s="73">
        <v>930.18450763824796</v>
      </c>
      <c r="CA231" s="40">
        <v>4775.9320533838927</v>
      </c>
      <c r="CB231" s="52">
        <v>3845.7475457456449</v>
      </c>
      <c r="CC231" s="73">
        <v>105.2374604875</v>
      </c>
      <c r="CD231" s="40">
        <v>127.96602062551742</v>
      </c>
      <c r="CE231" s="52">
        <v>22.728560138017414</v>
      </c>
      <c r="CF231" s="73">
        <v>12.04969095</v>
      </c>
      <c r="CG231" s="40">
        <v>0</v>
      </c>
      <c r="CH231" s="52">
        <v>-12.04969095</v>
      </c>
      <c r="CI231" s="73">
        <v>800.46</v>
      </c>
      <c r="CJ231" s="40">
        <v>1030.70998556324</v>
      </c>
      <c r="CK231" s="52">
        <v>230.24998556323999</v>
      </c>
      <c r="CL231" s="73">
        <v>794.23575000000005</v>
      </c>
      <c r="CM231" s="40">
        <v>680.93001769537113</v>
      </c>
      <c r="CN231" s="52">
        <v>-113.30573230462892</v>
      </c>
      <c r="CO231" s="39">
        <v>1594.6957500000001</v>
      </c>
      <c r="CP231" s="40">
        <v>1711.6400032586112</v>
      </c>
      <c r="CQ231" s="52">
        <v>116.94425325861107</v>
      </c>
      <c r="CR231" s="72">
        <v>19289.077245261422</v>
      </c>
      <c r="CS231" s="5">
        <v>17158.572337408837</v>
      </c>
      <c r="CT231" s="52">
        <v>-2130.5049078525844</v>
      </c>
      <c r="CU231" s="77">
        <v>23146.892694313705</v>
      </c>
      <c r="CV231" s="65">
        <v>20590.286804890606</v>
      </c>
      <c r="CW231" s="35">
        <v>-2556.6058894230991</v>
      </c>
      <c r="CX231" s="73">
        <v>1292.3611690504229</v>
      </c>
      <c r="CY231" s="40">
        <v>3848.9670584735213</v>
      </c>
      <c r="CZ231" s="52">
        <v>2556.6058894230982</v>
      </c>
      <c r="DA231" s="150">
        <v>-5406.9608324960427</v>
      </c>
      <c r="DB231" s="2">
        <v>1</v>
      </c>
      <c r="DC231" s="648">
        <v>20454.21</v>
      </c>
      <c r="DD231" s="648"/>
      <c r="DE231" s="649">
        <v>-3985.0438633641279</v>
      </c>
      <c r="DG231" s="321">
        <v>8390.7022111580591</v>
      </c>
      <c r="DH231" s="5">
        <v>293271.04636036954</v>
      </c>
      <c r="DI231" s="306">
        <v>4.6515416672660628</v>
      </c>
      <c r="DJ231" s="306">
        <v>5.7279469420724167</v>
      </c>
      <c r="DK231" s="306"/>
      <c r="DL231" s="28">
        <v>12142.152036835489</v>
      </c>
      <c r="DM231" s="28">
        <v>0</v>
      </c>
      <c r="DN231" s="650">
        <v>12142.37</v>
      </c>
      <c r="DO231" s="94">
        <v>-0.21796316451218445</v>
      </c>
      <c r="DP231" s="28">
        <v>12142.152036835489</v>
      </c>
      <c r="DQ231" s="318">
        <v>-9.9666276792067947</v>
      </c>
      <c r="DS231" s="8">
        <v>11573.446347156852</v>
      </c>
      <c r="DT231" s="5">
        <v>578.67231735784264</v>
      </c>
      <c r="DW231" s="5">
        <v>5643.7012718110918</v>
      </c>
      <c r="DX231" s="5">
        <v>0</v>
      </c>
    </row>
    <row r="232" spans="1:128" x14ac:dyDescent="0.3">
      <c r="A232" s="325">
        <v>150000960</v>
      </c>
      <c r="B232" s="41" t="s">
        <v>679</v>
      </c>
      <c r="C232" s="42" t="s">
        <v>379</v>
      </c>
      <c r="D232" s="42" t="s">
        <v>379</v>
      </c>
      <c r="E232" s="293">
        <v>4314.34</v>
      </c>
      <c r="F232" s="652">
        <v>4314.34</v>
      </c>
      <c r="G232" s="51">
        <v>457.60000000000036</v>
      </c>
      <c r="H232" s="651">
        <v>0</v>
      </c>
      <c r="I232" s="73">
        <v>2300.1714691564121</v>
      </c>
      <c r="J232" s="40">
        <v>2554.6090125175506</v>
      </c>
      <c r="K232" s="52">
        <v>254.43754336113852</v>
      </c>
      <c r="L232" s="73">
        <v>373.11016835335687</v>
      </c>
      <c r="M232" s="40">
        <v>438.09985855046773</v>
      </c>
      <c r="N232" s="52">
        <v>64.98969019711086</v>
      </c>
      <c r="O232" s="73">
        <v>856.01706462596349</v>
      </c>
      <c r="P232" s="40">
        <v>856</v>
      </c>
      <c r="Q232" s="52">
        <v>-1.7064625963485014E-2</v>
      </c>
      <c r="R232" s="73">
        <v>188.35365008018664</v>
      </c>
      <c r="S232" s="40">
        <v>188.36</v>
      </c>
      <c r="T232" s="52">
        <v>6.349919813374072E-3</v>
      </c>
      <c r="U232" s="73">
        <v>86.533130947417462</v>
      </c>
      <c r="V232" s="40">
        <v>179.09792769908097</v>
      </c>
      <c r="W232" s="52">
        <v>92.564796751663508</v>
      </c>
      <c r="X232" s="73">
        <v>799.4584946077639</v>
      </c>
      <c r="Y232" s="40">
        <v>890.0599221177697</v>
      </c>
      <c r="Z232" s="52">
        <v>90.601427510005806</v>
      </c>
      <c r="AA232" s="73">
        <v>345.1472</v>
      </c>
      <c r="AB232" s="40">
        <v>0</v>
      </c>
      <c r="AC232" s="52">
        <v>-345.1472</v>
      </c>
      <c r="AD232" s="73">
        <v>3108.1539686955443</v>
      </c>
      <c r="AE232" s="40">
        <v>3888.5368318641795</v>
      </c>
      <c r="AF232" s="35">
        <v>780.38286316863514</v>
      </c>
      <c r="AG232" s="77">
        <v>8056.9451464666454</v>
      </c>
      <c r="AH232" s="53">
        <v>8994.7635527490493</v>
      </c>
      <c r="AI232" s="52">
        <v>937.81840628240388</v>
      </c>
      <c r="AJ232" s="73">
        <v>4904.0164249999998</v>
      </c>
      <c r="AK232" s="40">
        <v>4830.0366515633232</v>
      </c>
      <c r="AL232" s="52">
        <v>-73.979773436676624</v>
      </c>
      <c r="AM232" s="73">
        <v>420.29977000000002</v>
      </c>
      <c r="AN232" s="40">
        <v>413.89044027688317</v>
      </c>
      <c r="AO232" s="52">
        <v>-6.4093297231168549</v>
      </c>
      <c r="AP232" s="73">
        <v>453.84899999999993</v>
      </c>
      <c r="AQ232" s="40">
        <v>0</v>
      </c>
      <c r="AR232" s="52">
        <v>-453.84899999999993</v>
      </c>
      <c r="AS232" s="73">
        <v>5170.9023455620518</v>
      </c>
      <c r="AT232" s="40">
        <v>870</v>
      </c>
      <c r="AU232" s="54">
        <v>-4300.9023455620518</v>
      </c>
      <c r="AV232" s="73">
        <v>976.92347436439377</v>
      </c>
      <c r="AW232" s="40">
        <v>0</v>
      </c>
      <c r="AX232" s="55">
        <v>-976.92347436439377</v>
      </c>
      <c r="AY232" s="73">
        <v>1045.3461144519963</v>
      </c>
      <c r="AZ232" s="40">
        <v>2478</v>
      </c>
      <c r="BA232" s="35">
        <v>1432.6538855480037</v>
      </c>
      <c r="BB232" s="73">
        <v>243.16500078851001</v>
      </c>
      <c r="BC232" s="40">
        <v>0</v>
      </c>
      <c r="BD232" s="55">
        <v>-243.16500078851001</v>
      </c>
      <c r="BE232" s="73">
        <v>922.028564913644</v>
      </c>
      <c r="BF232" s="40">
        <v>0</v>
      </c>
      <c r="BG232" s="38">
        <v>-922.028564913644</v>
      </c>
      <c r="BH232" s="73">
        <v>417.92545115516577</v>
      </c>
      <c r="BI232" s="40">
        <v>0</v>
      </c>
      <c r="BJ232" s="55">
        <v>-417.92545115516577</v>
      </c>
      <c r="BK232" s="73">
        <v>431.44040578260001</v>
      </c>
      <c r="BL232" s="40">
        <v>0</v>
      </c>
      <c r="BM232" s="38">
        <v>-431.44040578260001</v>
      </c>
      <c r="BN232" s="73">
        <v>56.153232913900183</v>
      </c>
      <c r="BO232" s="40">
        <v>0</v>
      </c>
      <c r="BP232" s="55">
        <v>-56.153232913900183</v>
      </c>
      <c r="BQ232" s="77">
        <v>4092.9822443702096</v>
      </c>
      <c r="BR232" s="40">
        <v>2478</v>
      </c>
      <c r="BS232" s="55">
        <v>-1614.9822443702096</v>
      </c>
      <c r="BT232" s="73">
        <v>6111.76156800012</v>
      </c>
      <c r="BU232" s="40">
        <v>2335.7777031568876</v>
      </c>
      <c r="BV232" s="52">
        <v>-3775.9838648432324</v>
      </c>
      <c r="BW232" s="73">
        <v>4022.1410357099799</v>
      </c>
      <c r="BX232" s="40">
        <v>5301.6736289781666</v>
      </c>
      <c r="BY232" s="52">
        <v>1279.5325932681867</v>
      </c>
      <c r="BZ232" s="73">
        <v>1347.306069899096</v>
      </c>
      <c r="CA232" s="40">
        <v>10398.198977545046</v>
      </c>
      <c r="CB232" s="52">
        <v>9050.8929076459499</v>
      </c>
      <c r="CC232" s="73">
        <v>196.723296275</v>
      </c>
      <c r="CD232" s="40">
        <v>238.58071642045616</v>
      </c>
      <c r="CE232" s="52">
        <v>41.85742014545616</v>
      </c>
      <c r="CF232" s="73">
        <v>22.465525499999998</v>
      </c>
      <c r="CG232" s="40">
        <v>0</v>
      </c>
      <c r="CH232" s="52">
        <v>-22.465525499999998</v>
      </c>
      <c r="CI232" s="73">
        <v>1591.58</v>
      </c>
      <c r="CJ232" s="40">
        <v>2050.6885955537637</v>
      </c>
      <c r="CK232" s="52">
        <v>459.10859555376373</v>
      </c>
      <c r="CL232" s="73">
        <v>1582.2421999999999</v>
      </c>
      <c r="CM232" s="40">
        <v>1355.718406123892</v>
      </c>
      <c r="CN232" s="52">
        <v>-226.5237938761079</v>
      </c>
      <c r="CO232" s="39">
        <v>3173.8221999999996</v>
      </c>
      <c r="CP232" s="40">
        <v>3406.4070016776559</v>
      </c>
      <c r="CQ232" s="52">
        <v>232.58480167765629</v>
      </c>
      <c r="CR232" s="72">
        <v>37973.214626783112</v>
      </c>
      <c r="CS232" s="5">
        <v>39267.328672367468</v>
      </c>
      <c r="CT232" s="52">
        <v>1294.1140455843561</v>
      </c>
      <c r="CU232" s="77">
        <v>45567.857552139736</v>
      </c>
      <c r="CV232" s="65">
        <v>47120.794406840963</v>
      </c>
      <c r="CW232" s="35">
        <v>1552.9368547012273</v>
      </c>
      <c r="CX232" s="73">
        <v>2544.191586962922</v>
      </c>
      <c r="CY232" s="40">
        <v>991.25473226169561</v>
      </c>
      <c r="CZ232" s="52">
        <v>-1552.9368547012264</v>
      </c>
      <c r="DA232" s="150">
        <v>131026.90877663267</v>
      </c>
      <c r="DB232" s="2">
        <v>1</v>
      </c>
      <c r="DC232" s="648">
        <v>26996.13</v>
      </c>
      <c r="DD232" s="648"/>
      <c r="DE232" s="649">
        <v>-21115.919139102658</v>
      </c>
      <c r="DG232" s="321">
        <v>-78258.809867363583</v>
      </c>
      <c r="DH232" s="5">
        <v>577344.58966923191</v>
      </c>
      <c r="DI232" s="306">
        <v>4.5364976858623471</v>
      </c>
      <c r="DJ232" s="306">
        <v>5.6646867234562741</v>
      </c>
      <c r="DK232" s="306"/>
      <c r="DL232" s="28">
        <v>23923.125214873362</v>
      </c>
      <c r="DM232" s="28">
        <v>0</v>
      </c>
      <c r="DN232" s="650">
        <v>23921.27</v>
      </c>
      <c r="DO232" s="94">
        <v>1.8552148733615468</v>
      </c>
      <c r="DP232" s="28">
        <v>23923.125214873362</v>
      </c>
      <c r="DQ232" s="318">
        <v>0</v>
      </c>
      <c r="DS232" s="8">
        <v>22783.928776069868</v>
      </c>
      <c r="DT232" s="5">
        <v>1139.1964388034935</v>
      </c>
      <c r="DW232" s="5">
        <v>11116.661507918714</v>
      </c>
      <c r="DX232" s="5">
        <v>4017.6</v>
      </c>
    </row>
    <row r="233" spans="1:128" x14ac:dyDescent="0.3">
      <c r="A233" s="325">
        <v>150000963</v>
      </c>
      <c r="B233" s="41" t="s">
        <v>680</v>
      </c>
      <c r="C233" s="42" t="s">
        <v>380</v>
      </c>
      <c r="D233" s="42" t="s">
        <v>380</v>
      </c>
      <c r="E233" s="293">
        <v>2140.7399999999998</v>
      </c>
      <c r="F233" s="652">
        <v>2140.7399999999998</v>
      </c>
      <c r="G233" s="51">
        <v>236.5</v>
      </c>
      <c r="H233" s="651">
        <v>0</v>
      </c>
      <c r="I233" s="73">
        <v>1162.2217746371416</v>
      </c>
      <c r="J233" s="40">
        <v>1290.1624925886792</v>
      </c>
      <c r="K233" s="52">
        <v>127.94071795153764</v>
      </c>
      <c r="L233" s="73">
        <v>186.5550538584659</v>
      </c>
      <c r="M233" s="40">
        <v>218.98436147086434</v>
      </c>
      <c r="N233" s="52">
        <v>32.429307612398446</v>
      </c>
      <c r="O233" s="73">
        <v>420.97427007616</v>
      </c>
      <c r="P233" s="40">
        <v>420.96</v>
      </c>
      <c r="Q233" s="52">
        <v>-1.4270076160016743E-2</v>
      </c>
      <c r="R233" s="73">
        <v>93.372639916903353</v>
      </c>
      <c r="S233" s="40">
        <v>93.36</v>
      </c>
      <c r="T233" s="52">
        <v>-1.263991690335331E-2</v>
      </c>
      <c r="U233" s="73">
        <v>43.28778497834633</v>
      </c>
      <c r="V233" s="40">
        <v>98.042233989007286</v>
      </c>
      <c r="W233" s="52">
        <v>54.754449010660956</v>
      </c>
      <c r="X233" s="73">
        <v>242.17757750765685</v>
      </c>
      <c r="Y233" s="40">
        <v>278.53064194267125</v>
      </c>
      <c r="Z233" s="52">
        <v>36.353064435014403</v>
      </c>
      <c r="AA233" s="73">
        <v>171.3168</v>
      </c>
      <c r="AB233" s="40">
        <v>0</v>
      </c>
      <c r="AC233" s="52">
        <v>-171.3168</v>
      </c>
      <c r="AD233" s="73">
        <v>1542.7479724201612</v>
      </c>
      <c r="AE233" s="40">
        <v>1929.4599724279778</v>
      </c>
      <c r="AF233" s="35">
        <v>386.71200000781664</v>
      </c>
      <c r="AG233" s="77">
        <v>3862.6538733948355</v>
      </c>
      <c r="AH233" s="53">
        <v>4329.4997024191998</v>
      </c>
      <c r="AI233" s="52">
        <v>466.84582902436432</v>
      </c>
      <c r="AJ233" s="73">
        <v>2608.5193749999999</v>
      </c>
      <c r="AK233" s="40">
        <v>2569.1684316826186</v>
      </c>
      <c r="AL233" s="52">
        <v>-39.350943317381279</v>
      </c>
      <c r="AM233" s="73">
        <v>210.14988500000001</v>
      </c>
      <c r="AN233" s="40">
        <v>206.94522013844158</v>
      </c>
      <c r="AO233" s="52">
        <v>-3.2046648615584274</v>
      </c>
      <c r="AP233" s="73">
        <v>226.92449999999997</v>
      </c>
      <c r="AQ233" s="40">
        <v>0</v>
      </c>
      <c r="AR233" s="52">
        <v>-226.92449999999997</v>
      </c>
      <c r="AS233" s="73">
        <v>2632.7146585001078</v>
      </c>
      <c r="AT233" s="40">
        <v>1415</v>
      </c>
      <c r="AU233" s="54">
        <v>-1217.7146585001078</v>
      </c>
      <c r="AV233" s="73">
        <v>498.3827642375644</v>
      </c>
      <c r="AW233" s="40">
        <v>0</v>
      </c>
      <c r="AX233" s="55">
        <v>-498.3827642375644</v>
      </c>
      <c r="AY233" s="73">
        <v>522.67305722599815</v>
      </c>
      <c r="AZ233" s="40">
        <v>0</v>
      </c>
      <c r="BA233" s="35">
        <v>-522.67305722599815</v>
      </c>
      <c r="BB233" s="73">
        <v>110.8904875635732</v>
      </c>
      <c r="BC233" s="40">
        <v>0</v>
      </c>
      <c r="BD233" s="55">
        <v>-110.8904875635732</v>
      </c>
      <c r="BE233" s="73">
        <v>475.36427571270337</v>
      </c>
      <c r="BF233" s="40">
        <v>0</v>
      </c>
      <c r="BG233" s="38">
        <v>-475.36427571270337</v>
      </c>
      <c r="BH233" s="73">
        <v>208.98388444579521</v>
      </c>
      <c r="BI233" s="40">
        <v>0</v>
      </c>
      <c r="BJ233" s="55">
        <v>-208.98388444579521</v>
      </c>
      <c r="BK233" s="73">
        <v>160.81387975610616</v>
      </c>
      <c r="BL233" s="40">
        <v>0</v>
      </c>
      <c r="BM233" s="38">
        <v>-160.81387975610616</v>
      </c>
      <c r="BN233" s="73">
        <v>19.640826463078763</v>
      </c>
      <c r="BO233" s="40">
        <v>0</v>
      </c>
      <c r="BP233" s="55">
        <v>-19.640826463078763</v>
      </c>
      <c r="BQ233" s="77">
        <v>1996.7491754048194</v>
      </c>
      <c r="BR233" s="40">
        <v>0</v>
      </c>
      <c r="BS233" s="55">
        <v>-1996.7491754048194</v>
      </c>
      <c r="BT233" s="73">
        <v>4165.7063498133002</v>
      </c>
      <c r="BU233" s="40">
        <v>1002.8366859156852</v>
      </c>
      <c r="BV233" s="52">
        <v>-3162.8696638976153</v>
      </c>
      <c r="BW233" s="73">
        <v>1968.597762477162</v>
      </c>
      <c r="BX233" s="40">
        <v>2825.7478617881679</v>
      </c>
      <c r="BY233" s="52">
        <v>857.15009931100599</v>
      </c>
      <c r="BZ233" s="73">
        <v>876.68845701053601</v>
      </c>
      <c r="CA233" s="40">
        <v>6018.9521406475487</v>
      </c>
      <c r="CB233" s="52">
        <v>5142.2636836370129</v>
      </c>
      <c r="CC233" s="73">
        <v>96.795490880000003</v>
      </c>
      <c r="CD233" s="40">
        <v>117.31423510452331</v>
      </c>
      <c r="CE233" s="52">
        <v>20.518744224523303</v>
      </c>
      <c r="CF233" s="73">
        <v>11.04668466</v>
      </c>
      <c r="CG233" s="40">
        <v>0</v>
      </c>
      <c r="CH233" s="52">
        <v>-11.04668466</v>
      </c>
      <c r="CI233" s="73">
        <v>794.24</v>
      </c>
      <c r="CJ233" s="40">
        <v>1021.508525425812</v>
      </c>
      <c r="CK233" s="52">
        <v>227.26852542581196</v>
      </c>
      <c r="CL233" s="73">
        <v>784.89179999999999</v>
      </c>
      <c r="CM233" s="40">
        <v>674.7957109370858</v>
      </c>
      <c r="CN233" s="52">
        <v>-110.09608906291419</v>
      </c>
      <c r="CO233" s="39">
        <v>1579.1318000000001</v>
      </c>
      <c r="CP233" s="40">
        <v>1696.3042363628979</v>
      </c>
      <c r="CQ233" s="52">
        <v>117.17243636289777</v>
      </c>
      <c r="CR233" s="72">
        <v>20235.678012140757</v>
      </c>
      <c r="CS233" s="5">
        <v>20181.768514059084</v>
      </c>
      <c r="CT233" s="52">
        <v>-53.909498081673519</v>
      </c>
      <c r="CU233" s="77">
        <v>24282.81361456891</v>
      </c>
      <c r="CV233" s="65">
        <v>24218.122216870899</v>
      </c>
      <c r="CW233" s="35">
        <v>-64.691397698010405</v>
      </c>
      <c r="CX233" s="73">
        <v>1355.7830765970236</v>
      </c>
      <c r="CY233" s="40">
        <v>1420.4744742950352</v>
      </c>
      <c r="CZ233" s="52">
        <v>64.691397698011542</v>
      </c>
      <c r="DA233" s="150">
        <v>7955.9594304058355</v>
      </c>
      <c r="DB233" s="2">
        <v>1</v>
      </c>
      <c r="DC233" s="648">
        <v>20270.3</v>
      </c>
      <c r="DD233" s="648"/>
      <c r="DE233" s="649">
        <v>-5368.296691165935</v>
      </c>
      <c r="DG233" s="321">
        <v>-29188.612644238929</v>
      </c>
      <c r="DH233" s="5">
        <v>307663.16029399121</v>
      </c>
      <c r="DI233" s="306">
        <v>4.8930326412114526</v>
      </c>
      <c r="DJ233" s="306">
        <v>6.0847865194031208</v>
      </c>
      <c r="DK233" s="306"/>
      <c r="DL233" s="28">
        <v>12744.096101354706</v>
      </c>
      <c r="DM233" s="28">
        <v>0</v>
      </c>
      <c r="DN233" s="650">
        <v>12744.1</v>
      </c>
      <c r="DO233" s="94">
        <v>-3.8986452946119243E-3</v>
      </c>
      <c r="DP233" s="28">
        <v>12744.096101354706</v>
      </c>
      <c r="DQ233" s="318">
        <v>-4.3810462939709396</v>
      </c>
      <c r="DS233" s="8">
        <v>12141.406807284455</v>
      </c>
      <c r="DT233" s="5">
        <v>607.07034036422272</v>
      </c>
      <c r="DW233" s="5">
        <v>5555.3566006859119</v>
      </c>
      <c r="DX233" s="5">
        <v>1698</v>
      </c>
    </row>
    <row r="234" spans="1:128" x14ac:dyDescent="0.3">
      <c r="A234" s="325">
        <v>150000927</v>
      </c>
      <c r="B234" s="41" t="s">
        <v>681</v>
      </c>
      <c r="C234" s="42" t="s">
        <v>179</v>
      </c>
      <c r="D234" s="42" t="s">
        <v>179</v>
      </c>
      <c r="E234" s="293">
        <v>602.9</v>
      </c>
      <c r="F234" s="305">
        <v>418.2</v>
      </c>
      <c r="G234" s="51"/>
      <c r="H234" s="651">
        <v>184.7</v>
      </c>
      <c r="I234" s="73">
        <v>388.12022568763467</v>
      </c>
      <c r="J234" s="40">
        <v>425.52252508689696</v>
      </c>
      <c r="K234" s="52">
        <v>37.40229939926229</v>
      </c>
      <c r="L234" s="73">
        <v>110.51578380340216</v>
      </c>
      <c r="M234" s="40">
        <v>124.50932879155346</v>
      </c>
      <c r="N234" s="52">
        <v>13.993544988151299</v>
      </c>
      <c r="O234" s="73">
        <v>120.58079933303334</v>
      </c>
      <c r="P234" s="40">
        <v>120.58</v>
      </c>
      <c r="Q234" s="52">
        <v>-7.99333033342009E-4</v>
      </c>
      <c r="R234" s="73">
        <v>0</v>
      </c>
      <c r="S234" s="40">
        <v>0</v>
      </c>
      <c r="T234" s="52">
        <v>0</v>
      </c>
      <c r="U234" s="73">
        <v>0</v>
      </c>
      <c r="V234" s="40">
        <v>0</v>
      </c>
      <c r="W234" s="52">
        <v>0</v>
      </c>
      <c r="X234" s="73">
        <v>137.81400047796194</v>
      </c>
      <c r="Y234" s="40">
        <v>139.88469677950454</v>
      </c>
      <c r="Z234" s="52">
        <v>2.070696301542597</v>
      </c>
      <c r="AA234" s="73">
        <v>56.76</v>
      </c>
      <c r="AB234" s="40">
        <v>0</v>
      </c>
      <c r="AC234" s="52">
        <v>-56.76</v>
      </c>
      <c r="AD234" s="73">
        <v>499.57356532394874</v>
      </c>
      <c r="AE234" s="40">
        <v>543.39687088428673</v>
      </c>
      <c r="AF234" s="35">
        <v>43.823305560337985</v>
      </c>
      <c r="AG234" s="77">
        <v>1313.3643746259809</v>
      </c>
      <c r="AH234" s="53">
        <v>1353.8934215422419</v>
      </c>
      <c r="AI234" s="52">
        <v>40.529046916260995</v>
      </c>
      <c r="AJ234" s="73">
        <v>0</v>
      </c>
      <c r="AK234" s="40">
        <v>0</v>
      </c>
      <c r="AL234" s="52">
        <v>0</v>
      </c>
      <c r="AM234" s="73">
        <v>0</v>
      </c>
      <c r="AN234" s="40">
        <v>0</v>
      </c>
      <c r="AO234" s="52">
        <v>0</v>
      </c>
      <c r="AP234" s="73">
        <v>151.28299999999999</v>
      </c>
      <c r="AQ234" s="40">
        <v>0</v>
      </c>
      <c r="AR234" s="52">
        <v>-151.28299999999999</v>
      </c>
      <c r="AS234" s="73">
        <v>979.37685638771768</v>
      </c>
      <c r="AT234" s="40">
        <v>0</v>
      </c>
      <c r="AU234" s="54">
        <v>-979.37685638771768</v>
      </c>
      <c r="AV234" s="73">
        <v>211.01239605367124</v>
      </c>
      <c r="AW234" s="40">
        <v>0</v>
      </c>
      <c r="AX234" s="55">
        <v>-211.01239605367124</v>
      </c>
      <c r="AY234" s="73">
        <v>305.87087633018399</v>
      </c>
      <c r="AZ234" s="40">
        <v>0</v>
      </c>
      <c r="BA234" s="35">
        <v>-305.87087633018399</v>
      </c>
      <c r="BB234" s="73">
        <v>44.938849768090002</v>
      </c>
      <c r="BC234" s="40">
        <v>0</v>
      </c>
      <c r="BD234" s="55">
        <v>-44.938849768090002</v>
      </c>
      <c r="BE234" s="73">
        <v>0</v>
      </c>
      <c r="BF234" s="40">
        <v>0</v>
      </c>
      <c r="BG234" s="38">
        <v>0</v>
      </c>
      <c r="BH234" s="73">
        <v>0</v>
      </c>
      <c r="BI234" s="40">
        <v>0</v>
      </c>
      <c r="BJ234" s="55">
        <v>0</v>
      </c>
      <c r="BK234" s="73">
        <v>14.085004385047821</v>
      </c>
      <c r="BL234" s="40">
        <v>0</v>
      </c>
      <c r="BM234" s="38">
        <v>-14.085004385047821</v>
      </c>
      <c r="BN234" s="73">
        <v>14.19</v>
      </c>
      <c r="BO234" s="40">
        <v>0</v>
      </c>
      <c r="BP234" s="55">
        <v>-14.19</v>
      </c>
      <c r="BQ234" s="77">
        <v>590.09712653699307</v>
      </c>
      <c r="BR234" s="40">
        <v>0</v>
      </c>
      <c r="BS234" s="55">
        <v>-590.09712653699307</v>
      </c>
      <c r="BT234" s="73">
        <v>690.14058394032998</v>
      </c>
      <c r="BU234" s="40">
        <v>241.47675503103707</v>
      </c>
      <c r="BV234" s="52">
        <v>-448.66382890929287</v>
      </c>
      <c r="BW234" s="73">
        <v>610.91943397284797</v>
      </c>
      <c r="BX234" s="40">
        <v>856.48118575458534</v>
      </c>
      <c r="BY234" s="52">
        <v>245.56175178173737</v>
      </c>
      <c r="BZ234" s="73">
        <v>581.24481294364602</v>
      </c>
      <c r="CA234" s="40">
        <v>1481.959303649702</v>
      </c>
      <c r="CB234" s="52">
        <v>900.71449070605593</v>
      </c>
      <c r="CC234" s="73">
        <v>77.925873300000006</v>
      </c>
      <c r="CD234" s="40">
        <v>98.324174039945589</v>
      </c>
      <c r="CE234" s="52">
        <v>20.398300739945583</v>
      </c>
      <c r="CF234" s="73">
        <v>9.2585195999999996</v>
      </c>
      <c r="CG234" s="40">
        <v>0</v>
      </c>
      <c r="CH234" s="52">
        <v>-9.2585195999999996</v>
      </c>
      <c r="CI234" s="73">
        <v>202.46</v>
      </c>
      <c r="CJ234" s="40">
        <v>220.81307577257894</v>
      </c>
      <c r="CK234" s="52">
        <v>18.353075772578933</v>
      </c>
      <c r="CL234" s="73">
        <v>0</v>
      </c>
      <c r="CM234" s="40">
        <v>0</v>
      </c>
      <c r="CN234" s="52">
        <v>0</v>
      </c>
      <c r="CO234" s="39">
        <v>202.46</v>
      </c>
      <c r="CP234" s="40">
        <v>220.81307577257894</v>
      </c>
      <c r="CQ234" s="52">
        <v>18.353075772578933</v>
      </c>
      <c r="CR234" s="72">
        <v>5206.0705813075156</v>
      </c>
      <c r="CS234" s="5">
        <v>4252.9479157900905</v>
      </c>
      <c r="CT234" s="52">
        <v>-953.12266551742505</v>
      </c>
      <c r="CU234" s="77">
        <v>6247.2846975690181</v>
      </c>
      <c r="CV234" s="65">
        <v>5103.5374989481088</v>
      </c>
      <c r="CW234" s="35">
        <v>-1143.7471986209093</v>
      </c>
      <c r="CX234" s="73">
        <v>348.80483794373492</v>
      </c>
      <c r="CY234" s="40">
        <v>1492.5520365646444</v>
      </c>
      <c r="CZ234" s="52">
        <v>1143.7471986209093</v>
      </c>
      <c r="DA234" s="150">
        <v>-3465.9816644696107</v>
      </c>
      <c r="DB234" s="2">
        <v>2</v>
      </c>
      <c r="DC234" s="648">
        <v>3575.47</v>
      </c>
      <c r="DD234" s="648">
        <v>7644.18</v>
      </c>
      <c r="DE234" s="649">
        <v>4623.5604644872465</v>
      </c>
      <c r="DG234" s="321">
        <v>-20482.390117137627</v>
      </c>
      <c r="DH234" s="5">
        <v>79153.074426153034</v>
      </c>
      <c r="DI234" s="306">
        <v>5.0005844551350105</v>
      </c>
      <c r="DJ234" s="306"/>
      <c r="DK234" s="306">
        <v>4.080261061058267</v>
      </c>
      <c r="DL234" s="28">
        <v>2091.2444191374611</v>
      </c>
      <c r="DM234" s="28">
        <v>753.62421797746185</v>
      </c>
      <c r="DN234" s="650">
        <v>2091.25</v>
      </c>
      <c r="DO234" s="94">
        <v>-5.5808625388635846E-3</v>
      </c>
      <c r="DP234" s="28">
        <v>2844.8686371149229</v>
      </c>
      <c r="DQ234" s="318">
        <v>-434.95582910881149</v>
      </c>
      <c r="DS234" s="8">
        <v>3123.6423487845091</v>
      </c>
      <c r="DT234" s="5">
        <v>156.18211743922549</v>
      </c>
      <c r="DW234" s="5">
        <v>1883.3687795096528</v>
      </c>
      <c r="DX234" s="5">
        <v>0</v>
      </c>
    </row>
    <row r="235" spans="1:128" x14ac:dyDescent="0.3">
      <c r="A235" s="325">
        <v>150000958</v>
      </c>
      <c r="B235" s="41" t="s">
        <v>682</v>
      </c>
      <c r="C235" s="42" t="s">
        <v>381</v>
      </c>
      <c r="D235" s="42" t="s">
        <v>381</v>
      </c>
      <c r="E235" s="293">
        <v>2136</v>
      </c>
      <c r="F235" s="652">
        <v>2136</v>
      </c>
      <c r="G235" s="51">
        <v>233.5</v>
      </c>
      <c r="H235" s="651">
        <v>0</v>
      </c>
      <c r="I235" s="73">
        <v>1162.2215927278658</v>
      </c>
      <c r="J235" s="40">
        <v>1290.1624925886792</v>
      </c>
      <c r="K235" s="52">
        <v>127.94089986081349</v>
      </c>
      <c r="L235" s="73">
        <v>186.5550538584659</v>
      </c>
      <c r="M235" s="40">
        <v>218.9625055360745</v>
      </c>
      <c r="N235" s="52">
        <v>32.407451677608606</v>
      </c>
      <c r="O235" s="73">
        <v>413.96383547618336</v>
      </c>
      <c r="P235" s="40">
        <v>413.96</v>
      </c>
      <c r="Q235" s="52">
        <v>-3.8354761833829798E-3</v>
      </c>
      <c r="R235" s="73">
        <v>92.991577001796657</v>
      </c>
      <c r="S235" s="40">
        <v>92.98</v>
      </c>
      <c r="T235" s="52">
        <v>-1.1577001796652553E-2</v>
      </c>
      <c r="U235" s="73">
        <v>43.28778497834633</v>
      </c>
      <c r="V235" s="40">
        <v>98.042233989007286</v>
      </c>
      <c r="W235" s="52">
        <v>54.754449010660956</v>
      </c>
      <c r="X235" s="73">
        <v>242.17757750765685</v>
      </c>
      <c r="Y235" s="40">
        <v>278.53064194267125</v>
      </c>
      <c r="Z235" s="52">
        <v>36.353064435014403</v>
      </c>
      <c r="AA235" s="73">
        <v>170.88</v>
      </c>
      <c r="AB235" s="40">
        <v>0</v>
      </c>
      <c r="AC235" s="52">
        <v>-170.88</v>
      </c>
      <c r="AD235" s="73">
        <v>1538.8131715362128</v>
      </c>
      <c r="AE235" s="40">
        <v>1925.1877860488248</v>
      </c>
      <c r="AF235" s="35">
        <v>386.37461451261197</v>
      </c>
      <c r="AG235" s="77">
        <v>3850.890593086528</v>
      </c>
      <c r="AH235" s="53">
        <v>4317.8256601052572</v>
      </c>
      <c r="AI235" s="52">
        <v>466.93506701872911</v>
      </c>
      <c r="AJ235" s="73">
        <v>2295.4970499999999</v>
      </c>
      <c r="AK235" s="40">
        <v>2260.8682198807041</v>
      </c>
      <c r="AL235" s="52">
        <v>-34.628830119295799</v>
      </c>
      <c r="AM235" s="73">
        <v>210.14988500000001</v>
      </c>
      <c r="AN235" s="40">
        <v>206.94522013844158</v>
      </c>
      <c r="AO235" s="52">
        <v>-3.2046648615584274</v>
      </c>
      <c r="AP235" s="73">
        <v>226.92449999999997</v>
      </c>
      <c r="AQ235" s="40">
        <v>0</v>
      </c>
      <c r="AR235" s="52">
        <v>-226.92449999999997</v>
      </c>
      <c r="AS235" s="73">
        <v>2685.691572888833</v>
      </c>
      <c r="AT235" s="40">
        <v>0</v>
      </c>
      <c r="AU235" s="54">
        <v>-2685.691572888833</v>
      </c>
      <c r="AV235" s="73">
        <v>498.3827642375644</v>
      </c>
      <c r="AW235" s="40">
        <v>501</v>
      </c>
      <c r="AX235" s="55">
        <v>2.6172357624355982</v>
      </c>
      <c r="AY235" s="73">
        <v>522.67305722599815</v>
      </c>
      <c r="AZ235" s="40">
        <v>0</v>
      </c>
      <c r="BA235" s="35">
        <v>-522.67305722599815</v>
      </c>
      <c r="BB235" s="73">
        <v>108.30015431366</v>
      </c>
      <c r="BC235" s="40">
        <v>0</v>
      </c>
      <c r="BD235" s="55">
        <v>-108.30015431366</v>
      </c>
      <c r="BE235" s="73">
        <v>469.69732088701994</v>
      </c>
      <c r="BF235" s="40">
        <v>445</v>
      </c>
      <c r="BG235" s="38">
        <v>-24.697320887019941</v>
      </c>
      <c r="BH235" s="73">
        <v>208.98388444579521</v>
      </c>
      <c r="BI235" s="40">
        <v>0</v>
      </c>
      <c r="BJ235" s="55">
        <v>-208.98388444579521</v>
      </c>
      <c r="BK235" s="73">
        <v>160.81387975610616</v>
      </c>
      <c r="BL235" s="40">
        <v>0</v>
      </c>
      <c r="BM235" s="38">
        <v>-160.81387975610616</v>
      </c>
      <c r="BN235" s="73">
        <v>36.407100010652321</v>
      </c>
      <c r="BO235" s="40">
        <v>0</v>
      </c>
      <c r="BP235" s="55">
        <v>-36.407100010652321</v>
      </c>
      <c r="BQ235" s="77">
        <v>2005.2581608767962</v>
      </c>
      <c r="BR235" s="40">
        <v>946</v>
      </c>
      <c r="BS235" s="55">
        <v>-1059.2581608767962</v>
      </c>
      <c r="BT235" s="73">
        <v>3428.1461516381601</v>
      </c>
      <c r="BU235" s="40">
        <v>916.35819238638896</v>
      </c>
      <c r="BV235" s="52">
        <v>-2511.7879592517711</v>
      </c>
      <c r="BW235" s="73">
        <v>1933.097743187338</v>
      </c>
      <c r="BX235" s="40">
        <v>2791.2180996453144</v>
      </c>
      <c r="BY235" s="52">
        <v>858.12035645797641</v>
      </c>
      <c r="BZ235" s="73">
        <v>1526.4341676937161</v>
      </c>
      <c r="CA235" s="40">
        <v>5532.0676184194781</v>
      </c>
      <c r="CB235" s="52">
        <v>4005.633450725762</v>
      </c>
      <c r="CC235" s="73">
        <v>95.916914857500004</v>
      </c>
      <c r="CD235" s="40">
        <v>116.20567824034745</v>
      </c>
      <c r="CE235" s="52">
        <v>20.288763382847449</v>
      </c>
      <c r="CF235" s="73">
        <v>10.942299390000001</v>
      </c>
      <c r="CG235" s="40">
        <v>0</v>
      </c>
      <c r="CH235" s="52">
        <v>-10.942299390000001</v>
      </c>
      <c r="CI235" s="73">
        <v>74.760000000000005</v>
      </c>
      <c r="CJ235" s="40">
        <v>36.813163058277112</v>
      </c>
      <c r="CK235" s="52">
        <v>-37.946836941722893</v>
      </c>
      <c r="CL235" s="73">
        <v>1457.6561999999999</v>
      </c>
      <c r="CM235" s="40">
        <v>1503.1028635111679</v>
      </c>
      <c r="CN235" s="52">
        <v>45.446663511168026</v>
      </c>
      <c r="CO235" s="39">
        <v>1532.4161999999999</v>
      </c>
      <c r="CP235" s="40">
        <v>1539.916026569445</v>
      </c>
      <c r="CQ235" s="52">
        <v>7.4998265694450765</v>
      </c>
      <c r="CR235" s="72">
        <v>19801.36523861887</v>
      </c>
      <c r="CS235" s="5">
        <v>18627.404715385379</v>
      </c>
      <c r="CT235" s="52">
        <v>-1173.9605232334907</v>
      </c>
      <c r="CU235" s="77">
        <v>23761.638286342644</v>
      </c>
      <c r="CV235" s="65">
        <v>22352.885658462455</v>
      </c>
      <c r="CW235" s="35">
        <v>-1408.7526278801888</v>
      </c>
      <c r="CX235" s="73">
        <v>1326.6842785267236</v>
      </c>
      <c r="CY235" s="40">
        <v>2735.4369064069142</v>
      </c>
      <c r="CZ235" s="52">
        <v>1408.7526278801906</v>
      </c>
      <c r="DA235" s="150">
        <v>-41013.873103376274</v>
      </c>
      <c r="DB235" s="2">
        <v>1</v>
      </c>
      <c r="DC235" s="648">
        <v>48082.28</v>
      </c>
      <c r="DD235" s="648"/>
      <c r="DE235" s="649">
        <v>22993.957435130629</v>
      </c>
      <c r="DG235" s="321">
        <v>-1411.147026562885</v>
      </c>
      <c r="DH235" s="5">
        <v>301059.87077843247</v>
      </c>
      <c r="DI235" s="306">
        <v>4.6713385417977005</v>
      </c>
      <c r="DJ235" s="306">
        <v>5.9837595536505255</v>
      </c>
      <c r="DK235" s="306"/>
      <c r="DL235" s="28">
        <v>12474.860100329888</v>
      </c>
      <c r="DM235" s="28">
        <v>0</v>
      </c>
      <c r="DN235" s="650">
        <v>12475.46</v>
      </c>
      <c r="DO235" s="94">
        <v>-0.59989967011097178</v>
      </c>
      <c r="DP235" s="28">
        <v>12474.860100329888</v>
      </c>
      <c r="DQ235" s="318">
        <v>0</v>
      </c>
      <c r="DS235" s="8">
        <v>11880.819143171322</v>
      </c>
      <c r="DT235" s="5">
        <v>594.04095715856613</v>
      </c>
      <c r="DW235" s="5">
        <v>5629.1396805187551</v>
      </c>
      <c r="DX235" s="5">
        <v>1135.2</v>
      </c>
    </row>
    <row r="236" spans="1:128" x14ac:dyDescent="0.3">
      <c r="A236" s="325">
        <v>150000961</v>
      </c>
      <c r="B236" s="41" t="s">
        <v>683</v>
      </c>
      <c r="C236" s="42" t="s">
        <v>382</v>
      </c>
      <c r="D236" s="42" t="s">
        <v>382</v>
      </c>
      <c r="E236" s="293">
        <v>4349.8999999999996</v>
      </c>
      <c r="F236" s="652">
        <v>4349.8999999999996</v>
      </c>
      <c r="G236" s="51">
        <v>477.79999999999973</v>
      </c>
      <c r="H236" s="651">
        <v>0</v>
      </c>
      <c r="I236" s="73">
        <v>2290.1136149629779</v>
      </c>
      <c r="J236" s="40">
        <v>2543.4369186450049</v>
      </c>
      <c r="K236" s="52">
        <v>253.32330368202702</v>
      </c>
      <c r="L236" s="73">
        <v>373.11016835335687</v>
      </c>
      <c r="M236" s="40">
        <v>438.24192212660171</v>
      </c>
      <c r="N236" s="52">
        <v>65.131753773244839</v>
      </c>
      <c r="O236" s="73">
        <v>868.20304071089993</v>
      </c>
      <c r="P236" s="40">
        <v>868.2</v>
      </c>
      <c r="Q236" s="52">
        <v>-3.0407108998815602E-3</v>
      </c>
      <c r="R236" s="73">
        <v>187.59146973919667</v>
      </c>
      <c r="S236" s="40">
        <v>187.58</v>
      </c>
      <c r="T236" s="52">
        <v>-1.1469739196655837E-2</v>
      </c>
      <c r="U236" s="73">
        <v>86.533130947417462</v>
      </c>
      <c r="V236" s="40">
        <v>179.09792769908097</v>
      </c>
      <c r="W236" s="52">
        <v>92.564796751663508</v>
      </c>
      <c r="X236" s="73">
        <v>1041.5221146455585</v>
      </c>
      <c r="Y236" s="40">
        <v>786.90553522219034</v>
      </c>
      <c r="Z236" s="52">
        <v>-254.61657942336819</v>
      </c>
      <c r="AA236" s="73">
        <v>347.99199999999996</v>
      </c>
      <c r="AB236" s="40">
        <v>0</v>
      </c>
      <c r="AC236" s="52">
        <v>-347.99199999999996</v>
      </c>
      <c r="AD236" s="73">
        <v>3133.754541607706</v>
      </c>
      <c r="AE236" s="40">
        <v>3920.5872427592612</v>
      </c>
      <c r="AF236" s="35">
        <v>786.83270115155528</v>
      </c>
      <c r="AG236" s="77">
        <v>8328.8200809671143</v>
      </c>
      <c r="AH236" s="53">
        <v>8924.0495464521391</v>
      </c>
      <c r="AI236" s="52">
        <v>595.22946548502478</v>
      </c>
      <c r="AJ236" s="73">
        <v>4590.9940999999999</v>
      </c>
      <c r="AK236" s="40">
        <v>4521.7364397614083</v>
      </c>
      <c r="AL236" s="52">
        <v>-69.257660238591598</v>
      </c>
      <c r="AM236" s="73">
        <v>420.29977000000002</v>
      </c>
      <c r="AN236" s="40">
        <v>413.89044027688317</v>
      </c>
      <c r="AO236" s="52">
        <v>-6.4093297231168549</v>
      </c>
      <c r="AP236" s="73">
        <v>447.54554166666662</v>
      </c>
      <c r="AQ236" s="40">
        <v>0</v>
      </c>
      <c r="AR236" s="52">
        <v>-447.54554166666662</v>
      </c>
      <c r="AS236" s="73">
        <v>5231.4200285748466</v>
      </c>
      <c r="AT236" s="40">
        <v>0</v>
      </c>
      <c r="AU236" s="54">
        <v>-5231.4200285748466</v>
      </c>
      <c r="AV236" s="73">
        <v>975.76550420245474</v>
      </c>
      <c r="AW236" s="40">
        <v>626</v>
      </c>
      <c r="AX236" s="55">
        <v>-349.76550420245474</v>
      </c>
      <c r="AY236" s="73">
        <v>1045.3461144519963</v>
      </c>
      <c r="AZ236" s="40">
        <v>0</v>
      </c>
      <c r="BA236" s="35">
        <v>-1045.3461144519963</v>
      </c>
      <c r="BB236" s="73">
        <v>250.09459869322336</v>
      </c>
      <c r="BC236" s="40">
        <v>0</v>
      </c>
      <c r="BD236" s="55">
        <v>-250.09459869322336</v>
      </c>
      <c r="BE236" s="73">
        <v>924.82472794342402</v>
      </c>
      <c r="BF236" s="40">
        <v>556</v>
      </c>
      <c r="BG236" s="38">
        <v>-368.82472794342402</v>
      </c>
      <c r="BH236" s="73">
        <v>417.92545115516577</v>
      </c>
      <c r="BI236" s="40">
        <v>0</v>
      </c>
      <c r="BJ236" s="55">
        <v>-417.92545115516577</v>
      </c>
      <c r="BK236" s="73">
        <v>432.62209111834119</v>
      </c>
      <c r="BL236" s="40">
        <v>0</v>
      </c>
      <c r="BM236" s="38">
        <v>-432.62209111834119</v>
      </c>
      <c r="BN236" s="73">
        <v>38.775731056206467</v>
      </c>
      <c r="BO236" s="40">
        <v>0</v>
      </c>
      <c r="BP236" s="55">
        <v>-38.775731056206467</v>
      </c>
      <c r="BQ236" s="77">
        <v>4085.3542186208119</v>
      </c>
      <c r="BR236" s="40">
        <v>1182</v>
      </c>
      <c r="BS236" s="55">
        <v>-2903.3542186208119</v>
      </c>
      <c r="BT236" s="73">
        <v>6576.4844141717804</v>
      </c>
      <c r="BU236" s="40">
        <v>1396.3445317070671</v>
      </c>
      <c r="BV236" s="52">
        <v>-5180.1398824647131</v>
      </c>
      <c r="BW236" s="73">
        <v>3951.1591302593602</v>
      </c>
      <c r="BX236" s="40">
        <v>4351.16843326244</v>
      </c>
      <c r="BY236" s="52">
        <v>400.00930300307982</v>
      </c>
      <c r="BZ236" s="73">
        <v>1211.059767068562</v>
      </c>
      <c r="CA236" s="40">
        <v>8416.091680426438</v>
      </c>
      <c r="CB236" s="52">
        <v>7205.031913357876</v>
      </c>
      <c r="CC236" s="73">
        <v>188.89295493750001</v>
      </c>
      <c r="CD236" s="40">
        <v>230.62802587310765</v>
      </c>
      <c r="CE236" s="52">
        <v>41.735070935607638</v>
      </c>
      <c r="CF236" s="73">
        <v>21.716674650000002</v>
      </c>
      <c r="CG236" s="40">
        <v>0</v>
      </c>
      <c r="CH236" s="52">
        <v>-21.716674650000002</v>
      </c>
      <c r="CI236" s="73">
        <v>155.74</v>
      </c>
      <c r="CJ236" s="40">
        <v>73.619003607989356</v>
      </c>
      <c r="CK236" s="52">
        <v>-82.120996392010653</v>
      </c>
      <c r="CL236" s="73">
        <v>2971.3761</v>
      </c>
      <c r="CM236" s="40">
        <v>2990.8699601266226</v>
      </c>
      <c r="CN236" s="52">
        <v>19.493860126622621</v>
      </c>
      <c r="CO236" s="39">
        <v>3127.1161000000002</v>
      </c>
      <c r="CP236" s="40">
        <v>3064.4889637346118</v>
      </c>
      <c r="CQ236" s="52">
        <v>-62.627136265388344</v>
      </c>
      <c r="CR236" s="72">
        <v>38180.862780916643</v>
      </c>
      <c r="CS236" s="5">
        <v>32500.398061494099</v>
      </c>
      <c r="CT236" s="52">
        <v>-5680.4647194225436</v>
      </c>
      <c r="CU236" s="77">
        <v>45817.035337099973</v>
      </c>
      <c r="CV236" s="65">
        <v>39000.477673792921</v>
      </c>
      <c r="CW236" s="35">
        <v>-6816.5576633070523</v>
      </c>
      <c r="CX236" s="73">
        <v>2558.103937865716</v>
      </c>
      <c r="CY236" s="40">
        <v>9374.6616011727674</v>
      </c>
      <c r="CZ236" s="52">
        <v>6816.5576633070514</v>
      </c>
      <c r="DA236" s="150">
        <v>-20712.988947224647</v>
      </c>
      <c r="DB236" s="2">
        <v>1</v>
      </c>
      <c r="DC236" s="648">
        <v>31030.59</v>
      </c>
      <c r="DD236" s="648"/>
      <c r="DE236" s="649">
        <v>-17344.549274965688</v>
      </c>
      <c r="DG236" s="321">
        <v>-37394.015702555102</v>
      </c>
      <c r="DH236" s="5">
        <v>580501.67129958828</v>
      </c>
      <c r="DI236" s="306">
        <v>4.3736319158779473</v>
      </c>
      <c r="DJ236" s="306">
        <v>5.6724315546011201</v>
      </c>
      <c r="DK236" s="306"/>
      <c r="DL236" s="28">
        <v>24053.943551977478</v>
      </c>
      <c r="DM236" s="28">
        <v>0</v>
      </c>
      <c r="DN236" s="650">
        <v>24053.78</v>
      </c>
      <c r="DO236" s="94">
        <v>0.16355197747907368</v>
      </c>
      <c r="DP236" s="28">
        <v>24053.943551977478</v>
      </c>
      <c r="DQ236" s="318">
        <v>0</v>
      </c>
      <c r="DS236" s="8">
        <v>22908.517668549986</v>
      </c>
      <c r="DT236" s="5">
        <v>1145.4258834274992</v>
      </c>
      <c r="DW236" s="5">
        <v>11180.12909663479</v>
      </c>
      <c r="DX236" s="5">
        <v>1418.3999999999999</v>
      </c>
    </row>
    <row r="237" spans="1:128" x14ac:dyDescent="0.3">
      <c r="A237" s="325">
        <v>150000964</v>
      </c>
      <c r="B237" s="41" t="s">
        <v>684</v>
      </c>
      <c r="C237" s="42" t="s">
        <v>383</v>
      </c>
      <c r="D237" s="42" t="s">
        <v>383</v>
      </c>
      <c r="E237" s="293">
        <v>2131.85</v>
      </c>
      <c r="F237" s="652">
        <v>2131.85</v>
      </c>
      <c r="G237" s="51">
        <v>233.99999999999977</v>
      </c>
      <c r="H237" s="651">
        <v>0</v>
      </c>
      <c r="I237" s="73">
        <v>1162.2215927278658</v>
      </c>
      <c r="J237" s="40">
        <v>1290.1515646212843</v>
      </c>
      <c r="K237" s="52">
        <v>127.9299718934185</v>
      </c>
      <c r="L237" s="73">
        <v>186.5550538584659</v>
      </c>
      <c r="M237" s="40">
        <v>218.95157756867957</v>
      </c>
      <c r="N237" s="52">
        <v>32.396523710213671</v>
      </c>
      <c r="O237" s="73">
        <v>422.04856586137328</v>
      </c>
      <c r="P237" s="40">
        <v>422.04</v>
      </c>
      <c r="Q237" s="52">
        <v>-8.5658613732562117E-3</v>
      </c>
      <c r="R237" s="73">
        <v>92.967122491020007</v>
      </c>
      <c r="S237" s="40">
        <v>92.94</v>
      </c>
      <c r="T237" s="52">
        <v>-2.7122491020008965E-2</v>
      </c>
      <c r="U237" s="73">
        <v>43.28778497834633</v>
      </c>
      <c r="V237" s="40">
        <v>98.042233989007286</v>
      </c>
      <c r="W237" s="52">
        <v>54.754449010660956</v>
      </c>
      <c r="X237" s="73">
        <v>242.17757750765685</v>
      </c>
      <c r="Y237" s="40">
        <v>278.53064194267125</v>
      </c>
      <c r="Z237" s="52">
        <v>36.353064435014403</v>
      </c>
      <c r="AA237" s="73">
        <v>170.57599999999999</v>
      </c>
      <c r="AB237" s="40">
        <v>0</v>
      </c>
      <c r="AC237" s="52">
        <v>-170.57599999999999</v>
      </c>
      <c r="AD237" s="73">
        <v>1536.097950246753</v>
      </c>
      <c r="AE237" s="40">
        <v>1921.4473697042072</v>
      </c>
      <c r="AF237" s="35">
        <v>385.34941945745413</v>
      </c>
      <c r="AG237" s="77">
        <v>3855.9316476714812</v>
      </c>
      <c r="AH237" s="53">
        <v>4322.1033878258495</v>
      </c>
      <c r="AI237" s="52">
        <v>466.17174015436831</v>
      </c>
      <c r="AJ237" s="73">
        <v>2295.4970499999999</v>
      </c>
      <c r="AK237" s="40">
        <v>2260.8682198807041</v>
      </c>
      <c r="AL237" s="52">
        <v>-34.628830119295799</v>
      </c>
      <c r="AM237" s="73">
        <v>210.14988500000001</v>
      </c>
      <c r="AN237" s="40">
        <v>206.94522013844158</v>
      </c>
      <c r="AO237" s="52">
        <v>-3.2046648615584274</v>
      </c>
      <c r="AP237" s="73">
        <v>226.92449999999997</v>
      </c>
      <c r="AQ237" s="40">
        <v>0</v>
      </c>
      <c r="AR237" s="52">
        <v>-226.92449999999997</v>
      </c>
      <c r="AS237" s="73">
        <v>2643.1717991379865</v>
      </c>
      <c r="AT237" s="40">
        <v>0</v>
      </c>
      <c r="AU237" s="54">
        <v>-2643.1717991379865</v>
      </c>
      <c r="AV237" s="73">
        <v>498.3827642375644</v>
      </c>
      <c r="AW237" s="40">
        <v>626</v>
      </c>
      <c r="AX237" s="55">
        <v>127.6172357624356</v>
      </c>
      <c r="AY237" s="73">
        <v>522.67305722599815</v>
      </c>
      <c r="AZ237" s="40">
        <v>0</v>
      </c>
      <c r="BA237" s="35">
        <v>-522.67305722599815</v>
      </c>
      <c r="BB237" s="73">
        <v>137.70930208148999</v>
      </c>
      <c r="BC237" s="40">
        <v>0</v>
      </c>
      <c r="BD237" s="55">
        <v>-137.70930208148999</v>
      </c>
      <c r="BE237" s="73">
        <v>466.67542155809343</v>
      </c>
      <c r="BF237" s="40">
        <v>556</v>
      </c>
      <c r="BG237" s="38">
        <v>89.324578441906567</v>
      </c>
      <c r="BH237" s="73">
        <v>208.98388444579521</v>
      </c>
      <c r="BI237" s="40">
        <v>0</v>
      </c>
      <c r="BJ237" s="55">
        <v>-208.98388444579521</v>
      </c>
      <c r="BK237" s="73">
        <v>160.81387975610616</v>
      </c>
      <c r="BL237" s="40">
        <v>0</v>
      </c>
      <c r="BM237" s="38">
        <v>-160.81387975610616</v>
      </c>
      <c r="BN237" s="73">
        <v>19.640826463078763</v>
      </c>
      <c r="BO237" s="40">
        <v>0</v>
      </c>
      <c r="BP237" s="55">
        <v>-19.640826463078763</v>
      </c>
      <c r="BQ237" s="77">
        <v>2014.8791357681262</v>
      </c>
      <c r="BR237" s="40">
        <v>1182</v>
      </c>
      <c r="BS237" s="55">
        <v>-832.87913576812616</v>
      </c>
      <c r="BT237" s="73">
        <v>3443.0321673437202</v>
      </c>
      <c r="BU237" s="40">
        <v>798.476907695504</v>
      </c>
      <c r="BV237" s="52">
        <v>-2644.5552596482162</v>
      </c>
      <c r="BW237" s="73">
        <v>1934.6105449540539</v>
      </c>
      <c r="BX237" s="40">
        <v>2131.4694876447329</v>
      </c>
      <c r="BY237" s="52">
        <v>196.85894269067899</v>
      </c>
      <c r="BZ237" s="73">
        <v>897.70364389290205</v>
      </c>
      <c r="CA237" s="40">
        <v>4868.7284851004897</v>
      </c>
      <c r="CB237" s="52">
        <v>3971.0248412075875</v>
      </c>
      <c r="CC237" s="73">
        <v>99.316844549999999</v>
      </c>
      <c r="CD237" s="40">
        <v>121.45927381405043</v>
      </c>
      <c r="CE237" s="52">
        <v>22.142429264050435</v>
      </c>
      <c r="CF237" s="73">
        <v>11.436994800000001</v>
      </c>
      <c r="CG237" s="40">
        <v>0</v>
      </c>
      <c r="CH237" s="52">
        <v>-11.436994800000001</v>
      </c>
      <c r="CI237" s="73">
        <v>74.760000000000005</v>
      </c>
      <c r="CJ237" s="40">
        <v>35.275925114423337</v>
      </c>
      <c r="CK237" s="52">
        <v>-39.484074885576668</v>
      </c>
      <c r="CL237" s="73">
        <v>1451.4268999999999</v>
      </c>
      <c r="CM237" s="40">
        <v>1490.8342499945975</v>
      </c>
      <c r="CN237" s="52">
        <v>39.407349994597553</v>
      </c>
      <c r="CO237" s="39">
        <v>1526.1868999999999</v>
      </c>
      <c r="CP237" s="40">
        <v>1526.1101751090209</v>
      </c>
      <c r="CQ237" s="52">
        <v>-7.6724890978994154E-2</v>
      </c>
      <c r="CR237" s="72">
        <v>19158.841113118273</v>
      </c>
      <c r="CS237" s="5">
        <v>17418.161157208793</v>
      </c>
      <c r="CT237" s="52">
        <v>-1740.6799559094798</v>
      </c>
      <c r="CU237" s="77">
        <v>22990.609335741927</v>
      </c>
      <c r="CV237" s="65">
        <v>20901.793388650553</v>
      </c>
      <c r="CW237" s="35">
        <v>-2088.8159470913743</v>
      </c>
      <c r="CX237" s="73">
        <v>1283.6353955025736</v>
      </c>
      <c r="CY237" s="40">
        <v>3372.4513425939476</v>
      </c>
      <c r="CZ237" s="52">
        <v>2088.8159470913743</v>
      </c>
      <c r="DA237" s="150">
        <v>90279.360084240703</v>
      </c>
      <c r="DB237" s="2">
        <v>1</v>
      </c>
      <c r="DC237" s="648">
        <v>14803.31</v>
      </c>
      <c r="DD237" s="648"/>
      <c r="DE237" s="649">
        <v>-9470.9347312445007</v>
      </c>
      <c r="DG237" s="321">
        <v>-81577.915368777816</v>
      </c>
      <c r="DH237" s="5">
        <v>291290.936774934</v>
      </c>
      <c r="DI237" s="306">
        <v>4.491658092681039</v>
      </c>
      <c r="DJ237" s="306">
        <v>5.8049846736788258</v>
      </c>
      <c r="DK237" s="306"/>
      <c r="DL237" s="28">
        <v>12068.038156628721</v>
      </c>
      <c r="DM237" s="28">
        <v>0</v>
      </c>
      <c r="DN237" s="650">
        <v>12068.12</v>
      </c>
      <c r="DO237" s="94">
        <v>-8.1843371279319399E-2</v>
      </c>
      <c r="DP237" s="28">
        <v>12068.038156628721</v>
      </c>
      <c r="DQ237" s="318">
        <v>-2.0317446357894369</v>
      </c>
      <c r="DS237" s="8">
        <v>11495.304667870963</v>
      </c>
      <c r="DT237" s="5">
        <v>574.76523339354821</v>
      </c>
      <c r="DW237" s="5">
        <v>5589.661121887334</v>
      </c>
      <c r="DX237" s="5">
        <v>1418.3999999999999</v>
      </c>
    </row>
    <row r="238" spans="1:128" x14ac:dyDescent="0.3">
      <c r="A238" s="325">
        <v>150000943</v>
      </c>
      <c r="B238" s="41" t="s">
        <v>685</v>
      </c>
      <c r="C238" s="42" t="s">
        <v>123</v>
      </c>
      <c r="D238" s="42" t="s">
        <v>123</v>
      </c>
      <c r="E238" s="293">
        <v>105</v>
      </c>
      <c r="F238" s="305">
        <v>105</v>
      </c>
      <c r="G238" s="51"/>
      <c r="H238" s="651">
        <v>0</v>
      </c>
      <c r="I238" s="73">
        <v>0</v>
      </c>
      <c r="J238" s="40">
        <v>0</v>
      </c>
      <c r="K238" s="52">
        <v>0</v>
      </c>
      <c r="L238" s="73">
        <v>0</v>
      </c>
      <c r="M238" s="40">
        <v>0</v>
      </c>
      <c r="N238" s="52">
        <v>0</v>
      </c>
      <c r="O238" s="73">
        <v>0</v>
      </c>
      <c r="P238" s="40">
        <v>0</v>
      </c>
      <c r="Q238" s="52">
        <v>0</v>
      </c>
      <c r="R238" s="73">
        <v>0</v>
      </c>
      <c r="S238" s="40">
        <v>0</v>
      </c>
      <c r="T238" s="52">
        <v>0</v>
      </c>
      <c r="U238" s="73">
        <v>0</v>
      </c>
      <c r="V238" s="40">
        <v>0</v>
      </c>
      <c r="W238" s="52">
        <v>0</v>
      </c>
      <c r="X238" s="73">
        <v>0</v>
      </c>
      <c r="Y238" s="40">
        <v>0</v>
      </c>
      <c r="Z238" s="52">
        <v>0</v>
      </c>
      <c r="AA238" s="73">
        <v>8.4</v>
      </c>
      <c r="AB238" s="40">
        <v>0</v>
      </c>
      <c r="AC238" s="52">
        <v>-8.4</v>
      </c>
      <c r="AD238" s="73">
        <v>67.223609520541544</v>
      </c>
      <c r="AE238" s="40">
        <v>94.637040044534928</v>
      </c>
      <c r="AF238" s="35">
        <v>27.413430523993384</v>
      </c>
      <c r="AG238" s="77">
        <v>75.62360952054155</v>
      </c>
      <c r="AH238" s="53">
        <v>94.637040044534928</v>
      </c>
      <c r="AI238" s="52">
        <v>19.013430523993378</v>
      </c>
      <c r="AJ238" s="73">
        <v>0</v>
      </c>
      <c r="AK238" s="40">
        <v>0</v>
      </c>
      <c r="AL238" s="52">
        <v>0</v>
      </c>
      <c r="AM238" s="73">
        <v>0</v>
      </c>
      <c r="AN238" s="40">
        <v>0</v>
      </c>
      <c r="AO238" s="52">
        <v>0</v>
      </c>
      <c r="AP238" s="73">
        <v>50.427666666666667</v>
      </c>
      <c r="AQ238" s="40">
        <v>148.71968654029439</v>
      </c>
      <c r="AR238" s="52">
        <v>98.292019873627723</v>
      </c>
      <c r="AS238" s="73">
        <v>142.43923221965451</v>
      </c>
      <c r="AT238" s="40">
        <v>1379</v>
      </c>
      <c r="AU238" s="54">
        <v>1236.5607677803455</v>
      </c>
      <c r="AV238" s="73">
        <v>0</v>
      </c>
      <c r="AW238" s="40">
        <v>0</v>
      </c>
      <c r="AX238" s="55">
        <v>0</v>
      </c>
      <c r="AY238" s="73">
        <v>0</v>
      </c>
      <c r="AZ238" s="40">
        <v>0</v>
      </c>
      <c r="BA238" s="35">
        <v>0</v>
      </c>
      <c r="BB238" s="73">
        <v>0</v>
      </c>
      <c r="BC238" s="40">
        <v>0</v>
      </c>
      <c r="BD238" s="55">
        <v>0</v>
      </c>
      <c r="BE238" s="73">
        <v>0</v>
      </c>
      <c r="BF238" s="40">
        <v>0</v>
      </c>
      <c r="BG238" s="38">
        <v>0</v>
      </c>
      <c r="BH238" s="73">
        <v>0</v>
      </c>
      <c r="BI238" s="40">
        <v>0</v>
      </c>
      <c r="BJ238" s="55">
        <v>0</v>
      </c>
      <c r="BK238" s="73">
        <v>0</v>
      </c>
      <c r="BL238" s="40">
        <v>0</v>
      </c>
      <c r="BM238" s="38">
        <v>0</v>
      </c>
      <c r="BN238" s="73">
        <v>5.0408030857937973</v>
      </c>
      <c r="BO238" s="40">
        <v>0</v>
      </c>
      <c r="BP238" s="55">
        <v>-5.0408030857937973</v>
      </c>
      <c r="BQ238" s="77">
        <v>5.0408030857937973</v>
      </c>
      <c r="BR238" s="40">
        <v>0</v>
      </c>
      <c r="BS238" s="55">
        <v>-5.0408030857937973</v>
      </c>
      <c r="BT238" s="73">
        <v>0</v>
      </c>
      <c r="BU238" s="40">
        <v>0</v>
      </c>
      <c r="BV238" s="52">
        <v>0</v>
      </c>
      <c r="BW238" s="73">
        <v>0</v>
      </c>
      <c r="BX238" s="40">
        <v>0.38984625868218775</v>
      </c>
      <c r="BY238" s="52">
        <v>0.38984625868218775</v>
      </c>
      <c r="BZ238" s="73">
        <v>0</v>
      </c>
      <c r="CA238" s="40">
        <v>0</v>
      </c>
      <c r="CB238" s="52">
        <v>0</v>
      </c>
      <c r="CC238" s="73">
        <v>0</v>
      </c>
      <c r="CD238" s="40">
        <v>0</v>
      </c>
      <c r="CE238" s="52">
        <v>0</v>
      </c>
      <c r="CF238" s="73">
        <v>0</v>
      </c>
      <c r="CG238" s="40">
        <v>0</v>
      </c>
      <c r="CH238" s="52">
        <v>0</v>
      </c>
      <c r="CI238" s="73">
        <v>0</v>
      </c>
      <c r="CJ238" s="40">
        <v>0</v>
      </c>
      <c r="CK238" s="52">
        <v>0</v>
      </c>
      <c r="CL238" s="73">
        <v>0</v>
      </c>
      <c r="CM238" s="40">
        <v>0</v>
      </c>
      <c r="CN238" s="52">
        <v>0</v>
      </c>
      <c r="CO238" s="39">
        <v>0</v>
      </c>
      <c r="CP238" s="40">
        <v>0</v>
      </c>
      <c r="CQ238" s="52">
        <v>0</v>
      </c>
      <c r="CR238" s="72">
        <v>273.53131149265653</v>
      </c>
      <c r="CS238" s="5">
        <v>1622.7465728435116</v>
      </c>
      <c r="CT238" s="52">
        <v>1349.2152613508551</v>
      </c>
      <c r="CU238" s="77">
        <v>328.2375737911878</v>
      </c>
      <c r="CV238" s="65">
        <v>1947.2958874122137</v>
      </c>
      <c r="CW238" s="35">
        <v>1619.0583136210259</v>
      </c>
      <c r="CX238" s="73">
        <v>18.326498515079901</v>
      </c>
      <c r="CY238" s="40">
        <v>-1600.731815105946</v>
      </c>
      <c r="CZ238" s="52">
        <v>-1619.0583136210259</v>
      </c>
      <c r="DA238" s="150">
        <v>1658.8233358365856</v>
      </c>
      <c r="DB238" s="2">
        <v>1</v>
      </c>
      <c r="DC238" s="648">
        <v>236.83</v>
      </c>
      <c r="DD238" s="648"/>
      <c r="DE238" s="649">
        <v>-109.73407230626768</v>
      </c>
      <c r="DG238" s="321">
        <v>1740.9054203588269</v>
      </c>
      <c r="DH238" s="5">
        <v>4158.7688676752123</v>
      </c>
      <c r="DI238" s="306">
        <v>1.6411878689559396</v>
      </c>
      <c r="DJ238" s="306"/>
      <c r="DK238" s="306"/>
      <c r="DL238" s="28">
        <v>172.32472624037365</v>
      </c>
      <c r="DM238" s="28">
        <v>0</v>
      </c>
      <c r="DN238" s="650">
        <v>172.33</v>
      </c>
      <c r="DO238" s="94">
        <v>-5.2737596263625619E-3</v>
      </c>
      <c r="DP238" s="28">
        <v>172.32472624037365</v>
      </c>
      <c r="DQ238" s="318">
        <v>0</v>
      </c>
      <c r="DS238" s="8">
        <v>164.1187868955939</v>
      </c>
      <c r="DT238" s="5">
        <v>8.2059393447796953</v>
      </c>
      <c r="DW238" s="5">
        <v>176.976042366538</v>
      </c>
      <c r="DX238" s="5">
        <v>1654.8</v>
      </c>
    </row>
    <row r="239" spans="1:128" x14ac:dyDescent="0.3">
      <c r="A239" s="325">
        <v>150000944</v>
      </c>
      <c r="B239" s="41" t="s">
        <v>686</v>
      </c>
      <c r="C239" s="42" t="s">
        <v>124</v>
      </c>
      <c r="D239" s="42" t="s">
        <v>124</v>
      </c>
      <c r="E239" s="293">
        <v>140.69999999999999</v>
      </c>
      <c r="F239" s="305">
        <v>140.69999999999999</v>
      </c>
      <c r="G239" s="51"/>
      <c r="H239" s="651">
        <v>0</v>
      </c>
      <c r="I239" s="73">
        <v>0</v>
      </c>
      <c r="J239" s="40">
        <v>0</v>
      </c>
      <c r="K239" s="52">
        <v>0</v>
      </c>
      <c r="L239" s="73">
        <v>0</v>
      </c>
      <c r="M239" s="40">
        <v>0</v>
      </c>
      <c r="N239" s="52">
        <v>0</v>
      </c>
      <c r="O239" s="73">
        <v>0</v>
      </c>
      <c r="P239" s="40">
        <v>0</v>
      </c>
      <c r="Q239" s="52">
        <v>0</v>
      </c>
      <c r="R239" s="73">
        <v>0</v>
      </c>
      <c r="S239" s="40">
        <v>0</v>
      </c>
      <c r="T239" s="52">
        <v>0</v>
      </c>
      <c r="U239" s="73">
        <v>0</v>
      </c>
      <c r="V239" s="40">
        <v>0</v>
      </c>
      <c r="W239" s="52">
        <v>0</v>
      </c>
      <c r="X239" s="73">
        <v>0</v>
      </c>
      <c r="Y239" s="40">
        <v>0</v>
      </c>
      <c r="Z239" s="52">
        <v>0</v>
      </c>
      <c r="AA239" s="73">
        <v>11.255999999999998</v>
      </c>
      <c r="AB239" s="40">
        <v>0</v>
      </c>
      <c r="AC239" s="52">
        <v>-11.255999999999998</v>
      </c>
      <c r="AD239" s="73">
        <v>90.101673511407739</v>
      </c>
      <c r="AE239" s="40">
        <v>126.81363365967678</v>
      </c>
      <c r="AF239" s="35">
        <v>36.711960148269043</v>
      </c>
      <c r="AG239" s="77">
        <v>101.35767351140774</v>
      </c>
      <c r="AH239" s="53">
        <v>126.81363365967678</v>
      </c>
      <c r="AI239" s="52">
        <v>25.455960148269043</v>
      </c>
      <c r="AJ239" s="73">
        <v>0</v>
      </c>
      <c r="AK239" s="40">
        <v>0</v>
      </c>
      <c r="AL239" s="52">
        <v>0</v>
      </c>
      <c r="AM239" s="73">
        <v>0</v>
      </c>
      <c r="AN239" s="40">
        <v>0</v>
      </c>
      <c r="AO239" s="52">
        <v>0</v>
      </c>
      <c r="AP239" s="73">
        <v>50.427666666666667</v>
      </c>
      <c r="AQ239" s="40">
        <v>148.71968654029439</v>
      </c>
      <c r="AR239" s="52">
        <v>98.292019873627723</v>
      </c>
      <c r="AS239" s="73">
        <v>253.17908727590893</v>
      </c>
      <c r="AT239" s="40">
        <v>1379</v>
      </c>
      <c r="AU239" s="54">
        <v>1125.8209127240912</v>
      </c>
      <c r="AV239" s="73">
        <v>0</v>
      </c>
      <c r="AW239" s="40">
        <v>0</v>
      </c>
      <c r="AX239" s="55">
        <v>0</v>
      </c>
      <c r="AY239" s="73">
        <v>0</v>
      </c>
      <c r="AZ239" s="40">
        <v>0</v>
      </c>
      <c r="BA239" s="35">
        <v>0</v>
      </c>
      <c r="BB239" s="73">
        <v>0</v>
      </c>
      <c r="BC239" s="40">
        <v>0</v>
      </c>
      <c r="BD239" s="55">
        <v>0</v>
      </c>
      <c r="BE239" s="73">
        <v>0</v>
      </c>
      <c r="BF239" s="40">
        <v>0</v>
      </c>
      <c r="BG239" s="38">
        <v>0</v>
      </c>
      <c r="BH239" s="73">
        <v>0</v>
      </c>
      <c r="BI239" s="40">
        <v>0</v>
      </c>
      <c r="BJ239" s="55">
        <v>0</v>
      </c>
      <c r="BK239" s="73">
        <v>0</v>
      </c>
      <c r="BL239" s="40">
        <v>0</v>
      </c>
      <c r="BM239" s="38">
        <v>0</v>
      </c>
      <c r="BN239" s="73">
        <v>6.9417443134978658</v>
      </c>
      <c r="BO239" s="40">
        <v>0</v>
      </c>
      <c r="BP239" s="55">
        <v>-6.9417443134978658</v>
      </c>
      <c r="BQ239" s="77">
        <v>6.9417443134978658</v>
      </c>
      <c r="BR239" s="40">
        <v>0</v>
      </c>
      <c r="BS239" s="55">
        <v>-6.9417443134978658</v>
      </c>
      <c r="BT239" s="73">
        <v>0</v>
      </c>
      <c r="BU239" s="40">
        <v>0</v>
      </c>
      <c r="BV239" s="52">
        <v>0</v>
      </c>
      <c r="BW239" s="73">
        <v>0</v>
      </c>
      <c r="BX239" s="40">
        <v>0.52239398663413161</v>
      </c>
      <c r="BY239" s="52">
        <v>0.52239398663413161</v>
      </c>
      <c r="BZ239" s="73">
        <v>0</v>
      </c>
      <c r="CA239" s="40">
        <v>0</v>
      </c>
      <c r="CB239" s="52">
        <v>0</v>
      </c>
      <c r="CC239" s="73">
        <v>0</v>
      </c>
      <c r="CD239" s="40">
        <v>0</v>
      </c>
      <c r="CE239" s="52">
        <v>0</v>
      </c>
      <c r="CF239" s="73">
        <v>0</v>
      </c>
      <c r="CG239" s="40">
        <v>0</v>
      </c>
      <c r="CH239" s="52">
        <v>0</v>
      </c>
      <c r="CI239" s="73">
        <v>0</v>
      </c>
      <c r="CJ239" s="40">
        <v>0</v>
      </c>
      <c r="CK239" s="52">
        <v>0</v>
      </c>
      <c r="CL239" s="73">
        <v>0</v>
      </c>
      <c r="CM239" s="40">
        <v>0</v>
      </c>
      <c r="CN239" s="52">
        <v>0</v>
      </c>
      <c r="CO239" s="39">
        <v>0</v>
      </c>
      <c r="CP239" s="40">
        <v>0</v>
      </c>
      <c r="CQ239" s="52">
        <v>0</v>
      </c>
      <c r="CR239" s="72">
        <v>411.90617176748123</v>
      </c>
      <c r="CS239" s="5">
        <v>1655.0557141866052</v>
      </c>
      <c r="CT239" s="52">
        <v>1243.1495424191239</v>
      </c>
      <c r="CU239" s="77">
        <v>494.28740612097744</v>
      </c>
      <c r="CV239" s="65">
        <v>1986.0668570239261</v>
      </c>
      <c r="CW239" s="35">
        <v>1491.7794509029486</v>
      </c>
      <c r="CX239" s="73">
        <v>27.59756389151687</v>
      </c>
      <c r="CY239" s="40">
        <v>-1464.1818870114319</v>
      </c>
      <c r="CZ239" s="52">
        <v>-1491.7794509029486</v>
      </c>
      <c r="DA239" s="150">
        <v>13875.569434053668</v>
      </c>
      <c r="DB239" s="2">
        <v>1</v>
      </c>
      <c r="DC239" s="648">
        <v>318.99</v>
      </c>
      <c r="DD239" s="648"/>
      <c r="DE239" s="649">
        <v>-202.89497001249424</v>
      </c>
      <c r="DG239" s="321">
        <v>11537.929251423064</v>
      </c>
      <c r="DH239" s="5">
        <v>6262.619640149931</v>
      </c>
      <c r="DI239" s="306">
        <v>1.8443559929887217</v>
      </c>
      <c r="DJ239" s="306"/>
      <c r="DK239" s="306"/>
      <c r="DL239" s="28">
        <v>259.50088821351312</v>
      </c>
      <c r="DM239" s="28">
        <v>0</v>
      </c>
      <c r="DN239" s="650">
        <v>259.5</v>
      </c>
      <c r="DO239" s="94">
        <v>8.8821351312162733E-4</v>
      </c>
      <c r="DP239" s="28">
        <v>259.50088821351312</v>
      </c>
      <c r="DQ239" s="318">
        <v>0</v>
      </c>
      <c r="DS239" s="8">
        <v>247.14370306048872</v>
      </c>
      <c r="DT239" s="5">
        <v>12.357185153024437</v>
      </c>
      <c r="DW239" s="5">
        <v>312.14499790728814</v>
      </c>
      <c r="DX239" s="5">
        <v>1654.8</v>
      </c>
    </row>
    <row r="240" spans="1:128" x14ac:dyDescent="0.3">
      <c r="A240" s="325">
        <v>150000945</v>
      </c>
      <c r="B240" s="41" t="s">
        <v>687</v>
      </c>
      <c r="C240" s="42" t="s">
        <v>422</v>
      </c>
      <c r="D240" s="42" t="s">
        <v>422</v>
      </c>
      <c r="E240" s="293">
        <v>6743.51</v>
      </c>
      <c r="F240" s="652">
        <v>6678.6</v>
      </c>
      <c r="G240" s="51">
        <v>613.75</v>
      </c>
      <c r="H240" s="651">
        <v>64.91</v>
      </c>
      <c r="I240" s="73">
        <v>3669.0527137664103</v>
      </c>
      <c r="J240" s="40">
        <v>4077.6233455067768</v>
      </c>
      <c r="K240" s="52">
        <v>408.57063174036648</v>
      </c>
      <c r="L240" s="73">
        <v>605.68354174133901</v>
      </c>
      <c r="M240" s="40">
        <v>710.10276542688121</v>
      </c>
      <c r="N240" s="52">
        <v>104.41922368554219</v>
      </c>
      <c r="O240" s="73">
        <v>1293.1560345710434</v>
      </c>
      <c r="P240" s="40">
        <v>1293.1600000000001</v>
      </c>
      <c r="Q240" s="52">
        <v>3.9654289566897205E-3</v>
      </c>
      <c r="R240" s="73">
        <v>281.29027863281334</v>
      </c>
      <c r="S240" s="40">
        <v>281.27999999999997</v>
      </c>
      <c r="T240" s="52">
        <v>-1.0278632813367494E-2</v>
      </c>
      <c r="U240" s="73">
        <v>138.67717289490514</v>
      </c>
      <c r="V240" s="40">
        <v>276.84534148871262</v>
      </c>
      <c r="W240" s="52">
        <v>138.16816859380748</v>
      </c>
      <c r="X240" s="73">
        <v>1273.5910700931418</v>
      </c>
      <c r="Y240" s="40">
        <v>1530.5114874470826</v>
      </c>
      <c r="Z240" s="52">
        <v>256.92041735394082</v>
      </c>
      <c r="AA240" s="73">
        <v>539.48080000000004</v>
      </c>
      <c r="AB240" s="40">
        <v>0</v>
      </c>
      <c r="AC240" s="52">
        <v>-539.48080000000004</v>
      </c>
      <c r="AD240" s="73">
        <v>4855.5666951780731</v>
      </c>
      <c r="AE240" s="40">
        <v>6077.9602467687782</v>
      </c>
      <c r="AF240" s="35">
        <v>1222.3935515907051</v>
      </c>
      <c r="AG240" s="77">
        <v>12656.498306877726</v>
      </c>
      <c r="AH240" s="53">
        <v>14247.48318663823</v>
      </c>
      <c r="AI240" s="52">
        <v>1590.9848797605046</v>
      </c>
      <c r="AJ240" s="73">
        <v>5070.9399999999996</v>
      </c>
      <c r="AK240" s="40">
        <v>4994.4415193067307</v>
      </c>
      <c r="AL240" s="52">
        <v>-76.498480693268903</v>
      </c>
      <c r="AM240" s="73">
        <v>630.44965500000001</v>
      </c>
      <c r="AN240" s="40">
        <v>206.94522013844158</v>
      </c>
      <c r="AO240" s="52">
        <v>-423.50443486155842</v>
      </c>
      <c r="AP240" s="73">
        <v>724.89770833333318</v>
      </c>
      <c r="AQ240" s="40">
        <v>0</v>
      </c>
      <c r="AR240" s="52">
        <v>-724.89770833333318</v>
      </c>
      <c r="AS240" s="73">
        <v>7334.4708758298093</v>
      </c>
      <c r="AT240" s="40">
        <v>486</v>
      </c>
      <c r="AU240" s="54">
        <v>-6848.4708758298093</v>
      </c>
      <c r="AV240" s="73">
        <v>1551.2051319135369</v>
      </c>
      <c r="AW240" s="40">
        <v>432</v>
      </c>
      <c r="AX240" s="55">
        <v>-1119.2051319135369</v>
      </c>
      <c r="AY240" s="73">
        <v>1621.2643958184597</v>
      </c>
      <c r="AZ240" s="40">
        <v>0</v>
      </c>
      <c r="BA240" s="35">
        <v>-1621.2643958184597</v>
      </c>
      <c r="BB240" s="73">
        <v>515.84800752630997</v>
      </c>
      <c r="BC240" s="40">
        <v>0</v>
      </c>
      <c r="BD240" s="55">
        <v>-515.84800752630997</v>
      </c>
      <c r="BE240" s="73">
        <v>1481.58072913469</v>
      </c>
      <c r="BF240" s="40">
        <v>0</v>
      </c>
      <c r="BG240" s="38">
        <v>-1481.58072913469</v>
      </c>
      <c r="BH240" s="73">
        <v>669.65508160516561</v>
      </c>
      <c r="BI240" s="40">
        <v>363</v>
      </c>
      <c r="BJ240" s="55">
        <v>-306.65508160516561</v>
      </c>
      <c r="BK240" s="73">
        <v>864.5562176030827</v>
      </c>
      <c r="BL240" s="40">
        <v>1441</v>
      </c>
      <c r="BM240" s="38">
        <v>576.4437823969173</v>
      </c>
      <c r="BN240" s="73">
        <v>83.87226294309292</v>
      </c>
      <c r="BO240" s="40">
        <v>0</v>
      </c>
      <c r="BP240" s="55">
        <v>-83.87226294309292</v>
      </c>
      <c r="BQ240" s="77">
        <v>6787.9818265443382</v>
      </c>
      <c r="BR240" s="40">
        <v>2236</v>
      </c>
      <c r="BS240" s="55">
        <v>-4551.9818265443382</v>
      </c>
      <c r="BT240" s="73">
        <v>9361.59884609658</v>
      </c>
      <c r="BU240" s="40">
        <v>2122.4432938636237</v>
      </c>
      <c r="BV240" s="52">
        <v>-7239.1555522329563</v>
      </c>
      <c r="BW240" s="73">
        <v>8180.8612409655598</v>
      </c>
      <c r="BX240" s="40">
        <v>9395.1575248791705</v>
      </c>
      <c r="BY240" s="52">
        <v>1214.2962839136108</v>
      </c>
      <c r="BZ240" s="73">
        <v>1944.5950739644379</v>
      </c>
      <c r="CA240" s="40">
        <v>12457.90367224765</v>
      </c>
      <c r="CB240" s="52">
        <v>10513.308598283213</v>
      </c>
      <c r="CC240" s="73">
        <v>291.07507726</v>
      </c>
      <c r="CD240" s="40">
        <v>358.49765024956628</v>
      </c>
      <c r="CE240" s="52">
        <v>67.422572989566277</v>
      </c>
      <c r="CF240" s="73">
        <v>33.757288619999997</v>
      </c>
      <c r="CG240" s="40">
        <v>0</v>
      </c>
      <c r="CH240" s="52">
        <v>-33.757288619999997</v>
      </c>
      <c r="CI240" s="73">
        <v>4830.82</v>
      </c>
      <c r="CJ240" s="40">
        <v>4937.5462736064346</v>
      </c>
      <c r="CK240" s="52">
        <v>106.72627360643492</v>
      </c>
      <c r="CL240" s="73">
        <v>2962.03215</v>
      </c>
      <c r="CM240" s="40">
        <v>2070.5408836696952</v>
      </c>
      <c r="CN240" s="52">
        <v>-891.49126633030482</v>
      </c>
      <c r="CO240" s="39">
        <v>7792.8521499999997</v>
      </c>
      <c r="CP240" s="40">
        <v>7008.0871572761298</v>
      </c>
      <c r="CQ240" s="52">
        <v>-784.76499272386991</v>
      </c>
      <c r="CR240" s="72">
        <v>60809.978049491787</v>
      </c>
      <c r="CS240" s="5">
        <v>53512.959224599545</v>
      </c>
      <c r="CT240" s="52">
        <v>-7297.0188248922423</v>
      </c>
      <c r="CU240" s="77">
        <v>72971.973659390147</v>
      </c>
      <c r="CV240" s="65">
        <v>64215.551069519453</v>
      </c>
      <c r="CW240" s="35">
        <v>-8756.4225898706936</v>
      </c>
      <c r="CX240" s="73">
        <v>4074.2464412743179</v>
      </c>
      <c r="CY240" s="40">
        <v>12830.669031145007</v>
      </c>
      <c r="CZ240" s="52">
        <v>8756.42258987069</v>
      </c>
      <c r="DA240" s="150">
        <v>-42470.478891388302</v>
      </c>
      <c r="DB240" s="2">
        <v>1</v>
      </c>
      <c r="DC240" s="648">
        <v>61616.53</v>
      </c>
      <c r="DD240" s="648">
        <v>0</v>
      </c>
      <c r="DE240" s="649">
        <v>-15429.690100664462</v>
      </c>
      <c r="DG240" s="321">
        <v>28611.539147811491</v>
      </c>
      <c r="DH240" s="5">
        <v>924554.64120797347</v>
      </c>
      <c r="DI240" s="306">
        <v>4.9434590193887935</v>
      </c>
      <c r="DJ240" s="306">
        <v>5.7718588056407203</v>
      </c>
      <c r="DK240" s="306">
        <v>4.1717489930646678</v>
      </c>
      <c r="DL240" s="28">
        <v>38039.505850539994</v>
      </c>
      <c r="DM240" s="28">
        <v>270.7882271398276</v>
      </c>
      <c r="DN240" s="650">
        <v>38039.89</v>
      </c>
      <c r="DO240" s="94">
        <v>-0.38414946000557393</v>
      </c>
      <c r="DP240" s="28">
        <v>38310.29407767982</v>
      </c>
      <c r="DQ240" s="318">
        <v>7.906499995442573E-3</v>
      </c>
      <c r="DS240" s="8">
        <v>36485.986829695074</v>
      </c>
      <c r="DT240" s="5">
        <v>1824.2993414847538</v>
      </c>
      <c r="DW240" s="5">
        <v>16946.943242848974</v>
      </c>
      <c r="DX240" s="5">
        <v>3266.4</v>
      </c>
    </row>
    <row r="241" spans="1:128" x14ac:dyDescent="0.3">
      <c r="A241" s="325">
        <v>150000946</v>
      </c>
      <c r="B241" s="41" t="s">
        <v>688</v>
      </c>
      <c r="C241" s="42" t="s">
        <v>125</v>
      </c>
      <c r="D241" s="42" t="s">
        <v>125</v>
      </c>
      <c r="E241" s="293">
        <v>100.2</v>
      </c>
      <c r="F241" s="305">
        <v>100.2</v>
      </c>
      <c r="G241" s="51"/>
      <c r="H241" s="651">
        <v>0</v>
      </c>
      <c r="I241" s="73">
        <v>0</v>
      </c>
      <c r="J241" s="40">
        <v>0</v>
      </c>
      <c r="K241" s="52">
        <v>0</v>
      </c>
      <c r="L241" s="73">
        <v>0</v>
      </c>
      <c r="M241" s="40">
        <v>0</v>
      </c>
      <c r="N241" s="52">
        <v>0</v>
      </c>
      <c r="O241" s="73">
        <v>0</v>
      </c>
      <c r="P241" s="40">
        <v>0</v>
      </c>
      <c r="Q241" s="52">
        <v>0</v>
      </c>
      <c r="R241" s="73">
        <v>0</v>
      </c>
      <c r="S241" s="40">
        <v>0</v>
      </c>
      <c r="T241" s="52">
        <v>0</v>
      </c>
      <c r="U241" s="73">
        <v>0</v>
      </c>
      <c r="V241" s="40">
        <v>0</v>
      </c>
      <c r="W241" s="52">
        <v>0</v>
      </c>
      <c r="X241" s="73">
        <v>0</v>
      </c>
      <c r="Y241" s="40">
        <v>0</v>
      </c>
      <c r="Z241" s="52">
        <v>0</v>
      </c>
      <c r="AA241" s="73">
        <v>8.016</v>
      </c>
      <c r="AB241" s="40">
        <v>0</v>
      </c>
      <c r="AC241" s="52">
        <v>-8.016</v>
      </c>
      <c r="AD241" s="73">
        <v>64.168934550097376</v>
      </c>
      <c r="AE241" s="40">
        <v>90.310775356784745</v>
      </c>
      <c r="AF241" s="35">
        <v>26.14184080668737</v>
      </c>
      <c r="AG241" s="77">
        <v>72.184934550097381</v>
      </c>
      <c r="AH241" s="53">
        <v>90.310775356784745</v>
      </c>
      <c r="AI241" s="52">
        <v>18.125840806687364</v>
      </c>
      <c r="AJ241" s="73">
        <v>0</v>
      </c>
      <c r="AK241" s="40">
        <v>0</v>
      </c>
      <c r="AL241" s="52">
        <v>0</v>
      </c>
      <c r="AM241" s="73">
        <v>0</v>
      </c>
      <c r="AN241" s="40">
        <v>0</v>
      </c>
      <c r="AO241" s="52">
        <v>0</v>
      </c>
      <c r="AP241" s="73">
        <v>44.124208333333328</v>
      </c>
      <c r="AQ241" s="40">
        <v>130.1297257227576</v>
      </c>
      <c r="AR241" s="52">
        <v>86.00551738942427</v>
      </c>
      <c r="AS241" s="73">
        <v>135.1624736024915</v>
      </c>
      <c r="AT241" s="40">
        <v>3218</v>
      </c>
      <c r="AU241" s="54">
        <v>3082.8375263975086</v>
      </c>
      <c r="AV241" s="73">
        <v>0</v>
      </c>
      <c r="AW241" s="40">
        <v>0</v>
      </c>
      <c r="AX241" s="55">
        <v>0</v>
      </c>
      <c r="AY241" s="73">
        <v>0</v>
      </c>
      <c r="AZ241" s="40">
        <v>0</v>
      </c>
      <c r="BA241" s="35">
        <v>0</v>
      </c>
      <c r="BB241" s="73">
        <v>0</v>
      </c>
      <c r="BC241" s="40">
        <v>0</v>
      </c>
      <c r="BD241" s="55">
        <v>0</v>
      </c>
      <c r="BE241" s="73">
        <v>0</v>
      </c>
      <c r="BF241" s="40">
        <v>0</v>
      </c>
      <c r="BG241" s="38">
        <v>0</v>
      </c>
      <c r="BH241" s="73">
        <v>0</v>
      </c>
      <c r="BI241" s="40">
        <v>0</v>
      </c>
      <c r="BJ241" s="55">
        <v>0</v>
      </c>
      <c r="BK241" s="73">
        <v>0</v>
      </c>
      <c r="BL241" s="40">
        <v>0</v>
      </c>
      <c r="BM241" s="38">
        <v>0</v>
      </c>
      <c r="BN241" s="73">
        <v>4.8343365262045817</v>
      </c>
      <c r="BO241" s="40">
        <v>0</v>
      </c>
      <c r="BP241" s="55">
        <v>-4.8343365262045817</v>
      </c>
      <c r="BQ241" s="77">
        <v>4.8343365262045817</v>
      </c>
      <c r="BR241" s="40">
        <v>0</v>
      </c>
      <c r="BS241" s="55">
        <v>-4.8343365262045817</v>
      </c>
      <c r="BT241" s="73">
        <v>0</v>
      </c>
      <c r="BU241" s="40">
        <v>0</v>
      </c>
      <c r="BV241" s="52">
        <v>0</v>
      </c>
      <c r="BW241" s="73">
        <v>0</v>
      </c>
      <c r="BX241" s="40">
        <v>0.37202471542814491</v>
      </c>
      <c r="BY241" s="52">
        <v>0.37202471542814491</v>
      </c>
      <c r="BZ241" s="73">
        <v>0</v>
      </c>
      <c r="CA241" s="40">
        <v>0</v>
      </c>
      <c r="CB241" s="52">
        <v>0</v>
      </c>
      <c r="CC241" s="73">
        <v>0</v>
      </c>
      <c r="CD241" s="40">
        <v>0</v>
      </c>
      <c r="CE241" s="52">
        <v>0</v>
      </c>
      <c r="CF241" s="73">
        <v>0</v>
      </c>
      <c r="CG241" s="40">
        <v>0</v>
      </c>
      <c r="CH241" s="52">
        <v>0</v>
      </c>
      <c r="CI241" s="73">
        <v>0</v>
      </c>
      <c r="CJ241" s="40">
        <v>0</v>
      </c>
      <c r="CK241" s="52">
        <v>0</v>
      </c>
      <c r="CL241" s="73">
        <v>0</v>
      </c>
      <c r="CM241" s="40">
        <v>0</v>
      </c>
      <c r="CN241" s="52">
        <v>0</v>
      </c>
      <c r="CO241" s="39">
        <v>0</v>
      </c>
      <c r="CP241" s="40">
        <v>0</v>
      </c>
      <c r="CQ241" s="52">
        <v>0</v>
      </c>
      <c r="CR241" s="72">
        <v>256.30595301212679</v>
      </c>
      <c r="CS241" s="5">
        <v>3438.8125257949705</v>
      </c>
      <c r="CT241" s="52">
        <v>3182.5065727828437</v>
      </c>
      <c r="CU241" s="77">
        <v>307.56714361455215</v>
      </c>
      <c r="CV241" s="65">
        <v>4126.5750309539644</v>
      </c>
      <c r="CW241" s="35">
        <v>3819.0078873394123</v>
      </c>
      <c r="CX241" s="73">
        <v>17.172405753660804</v>
      </c>
      <c r="CY241" s="40">
        <v>-3801.8354815857515</v>
      </c>
      <c r="CZ241" s="52">
        <v>-3819.0078873394123</v>
      </c>
      <c r="DA241" s="150">
        <v>1962.8991227381289</v>
      </c>
      <c r="DB241" s="2">
        <v>1</v>
      </c>
      <c r="DC241" s="648">
        <v>1826.19</v>
      </c>
      <c r="DD241" s="648"/>
      <c r="DE241" s="649">
        <v>1501.4504506317871</v>
      </c>
      <c r="DG241" s="321">
        <v>-2894.916857352438</v>
      </c>
      <c r="DH241" s="5">
        <v>3896.8745924185559</v>
      </c>
      <c r="DI241" s="306">
        <v>1.6115044949864259</v>
      </c>
      <c r="DJ241" s="306"/>
      <c r="DK241" s="306"/>
      <c r="DL241" s="28">
        <v>161.47275039763989</v>
      </c>
      <c r="DM241" s="28">
        <v>0</v>
      </c>
      <c r="DN241" s="650">
        <v>161.47999999999999</v>
      </c>
      <c r="DO241" s="94">
        <v>-7.2496023601047455E-3</v>
      </c>
      <c r="DP241" s="28">
        <v>161.47275039763989</v>
      </c>
      <c r="DQ241" s="318">
        <v>0</v>
      </c>
      <c r="DS241" s="8">
        <v>153.78357180727608</v>
      </c>
      <c r="DT241" s="5">
        <v>7.6891785903638032</v>
      </c>
      <c r="DW241" s="5">
        <v>167.9961721544353</v>
      </c>
      <c r="DX241" s="5">
        <v>3861.6</v>
      </c>
    </row>
    <row r="242" spans="1:128" x14ac:dyDescent="0.3">
      <c r="A242" s="325">
        <v>150000947</v>
      </c>
      <c r="B242" s="41" t="s">
        <v>689</v>
      </c>
      <c r="C242" s="42" t="s">
        <v>269</v>
      </c>
      <c r="D242" s="42" t="s">
        <v>269</v>
      </c>
      <c r="E242" s="293">
        <v>3267.3</v>
      </c>
      <c r="F242" s="305">
        <v>3267.3</v>
      </c>
      <c r="G242" s="51"/>
      <c r="H242" s="651">
        <v>0</v>
      </c>
      <c r="I242" s="73">
        <v>1599.9613123041811</v>
      </c>
      <c r="J242" s="40">
        <v>1770.4113384288462</v>
      </c>
      <c r="K242" s="52">
        <v>170.4500261246651</v>
      </c>
      <c r="L242" s="73">
        <v>363.64788051502478</v>
      </c>
      <c r="M242" s="40">
        <v>423.13452751049283</v>
      </c>
      <c r="N242" s="52">
        <v>59.48664699546805</v>
      </c>
      <c r="O242" s="73">
        <v>723.76326143055996</v>
      </c>
      <c r="P242" s="40">
        <v>723.76</v>
      </c>
      <c r="Q242" s="52">
        <v>-3.2614305599736326E-3</v>
      </c>
      <c r="R242" s="73">
        <v>142.38224503378666</v>
      </c>
      <c r="S242" s="40">
        <v>142.38</v>
      </c>
      <c r="T242" s="52">
        <v>-2.2450337866644077E-3</v>
      </c>
      <c r="U242" s="73">
        <v>78.670373845636448</v>
      </c>
      <c r="V242" s="40">
        <v>147.45496328276144</v>
      </c>
      <c r="W242" s="52">
        <v>68.784589437124993</v>
      </c>
      <c r="X242" s="73">
        <v>918.69828460946871</v>
      </c>
      <c r="Y242" s="40">
        <v>964.14659869401362</v>
      </c>
      <c r="Z242" s="52">
        <v>45.448314084544904</v>
      </c>
      <c r="AA242" s="73">
        <v>261.38400000000001</v>
      </c>
      <c r="AB242" s="40">
        <v>0</v>
      </c>
      <c r="AC242" s="52">
        <v>-261.38400000000001</v>
      </c>
      <c r="AD242" s="73">
        <v>2353.8321483073646</v>
      </c>
      <c r="AE242" s="40">
        <v>2944.8342946429425</v>
      </c>
      <c r="AF242" s="35">
        <v>591.00214633557789</v>
      </c>
      <c r="AG242" s="77">
        <v>6442.3395060460225</v>
      </c>
      <c r="AH242" s="53">
        <v>7116.1217225590572</v>
      </c>
      <c r="AI242" s="52">
        <v>673.78221651303465</v>
      </c>
      <c r="AJ242" s="73">
        <v>0</v>
      </c>
      <c r="AK242" s="40">
        <v>0</v>
      </c>
      <c r="AL242" s="52">
        <v>0</v>
      </c>
      <c r="AM242" s="73">
        <v>0</v>
      </c>
      <c r="AN242" s="40">
        <v>0</v>
      </c>
      <c r="AO242" s="52">
        <v>0</v>
      </c>
      <c r="AP242" s="73">
        <v>567.31124999999997</v>
      </c>
      <c r="AQ242" s="40">
        <v>0</v>
      </c>
      <c r="AR242" s="52">
        <v>-567.31124999999997</v>
      </c>
      <c r="AS242" s="73">
        <v>4302.5537561697247</v>
      </c>
      <c r="AT242" s="40">
        <v>10146</v>
      </c>
      <c r="AU242" s="54">
        <v>5843.4462438302753</v>
      </c>
      <c r="AV242" s="73">
        <v>765.80675654152526</v>
      </c>
      <c r="AW242" s="40">
        <v>246</v>
      </c>
      <c r="AX242" s="55">
        <v>-519.80675654152526</v>
      </c>
      <c r="AY242" s="73">
        <v>1006.4695627495272</v>
      </c>
      <c r="AZ242" s="40">
        <v>0</v>
      </c>
      <c r="BA242" s="35">
        <v>-1006.4695627495272</v>
      </c>
      <c r="BB242" s="73">
        <v>232.0673885283266</v>
      </c>
      <c r="BC242" s="40">
        <v>0</v>
      </c>
      <c r="BD242" s="55">
        <v>-232.0673885283266</v>
      </c>
      <c r="BE242" s="73">
        <v>718.58567416467395</v>
      </c>
      <c r="BF242" s="40">
        <v>0</v>
      </c>
      <c r="BG242" s="38">
        <v>-718.58567416467395</v>
      </c>
      <c r="BH242" s="73">
        <v>379.92449008976422</v>
      </c>
      <c r="BI242" s="40">
        <v>0</v>
      </c>
      <c r="BJ242" s="55">
        <v>-379.92449008976422</v>
      </c>
      <c r="BK242" s="73">
        <v>631.89225752472919</v>
      </c>
      <c r="BL242" s="40">
        <v>0</v>
      </c>
      <c r="BM242" s="38">
        <v>-631.89225752472919</v>
      </c>
      <c r="BN242" s="73">
        <v>75.696984941882477</v>
      </c>
      <c r="BO242" s="40">
        <v>0</v>
      </c>
      <c r="BP242" s="55">
        <v>-75.696984941882477</v>
      </c>
      <c r="BQ242" s="77">
        <v>3810.4431145404292</v>
      </c>
      <c r="BR242" s="40">
        <v>246</v>
      </c>
      <c r="BS242" s="55">
        <v>-3564.4431145404292</v>
      </c>
      <c r="BT242" s="73">
        <v>3793.0884127566601</v>
      </c>
      <c r="BU242" s="40">
        <v>1073.9279951356716</v>
      </c>
      <c r="BV242" s="52">
        <v>-2719.1604176209885</v>
      </c>
      <c r="BW242" s="73">
        <v>2128.8158429436398</v>
      </c>
      <c r="BX242" s="40">
        <v>2164.0800228427888</v>
      </c>
      <c r="BY242" s="52">
        <v>35.264179899148985</v>
      </c>
      <c r="BZ242" s="73">
        <v>1662.4463603075239</v>
      </c>
      <c r="CA242" s="40">
        <v>6306.3365481312112</v>
      </c>
      <c r="CB242" s="52">
        <v>4643.8901878236875</v>
      </c>
      <c r="CC242" s="73">
        <v>146.03461452249999</v>
      </c>
      <c r="CD242" s="40">
        <v>184.26143007583923</v>
      </c>
      <c r="CE242" s="52">
        <v>38.226815553339236</v>
      </c>
      <c r="CF242" s="73">
        <v>17.35064727</v>
      </c>
      <c r="CG242" s="40">
        <v>0</v>
      </c>
      <c r="CH242" s="52">
        <v>-17.35064727</v>
      </c>
      <c r="CI242" s="73">
        <v>1404.7</v>
      </c>
      <c r="CJ242" s="40">
        <v>1997.8293822689816</v>
      </c>
      <c r="CK242" s="52">
        <v>593.12938226898154</v>
      </c>
      <c r="CL242" s="73">
        <v>0</v>
      </c>
      <c r="CM242" s="40">
        <v>0</v>
      </c>
      <c r="CN242" s="52">
        <v>0</v>
      </c>
      <c r="CO242" s="39">
        <v>1404.7</v>
      </c>
      <c r="CP242" s="40">
        <v>1997.8293822689816</v>
      </c>
      <c r="CQ242" s="52">
        <v>593.12938226898154</v>
      </c>
      <c r="CR242" s="72">
        <v>24275.0835045565</v>
      </c>
      <c r="CS242" s="5">
        <v>29234.557101013554</v>
      </c>
      <c r="CT242" s="52">
        <v>4959.4735964570536</v>
      </c>
      <c r="CU242" s="77">
        <v>29130.100205467799</v>
      </c>
      <c r="CV242" s="65">
        <v>35081.468521216266</v>
      </c>
      <c r="CW242" s="35">
        <v>5951.3683157484666</v>
      </c>
      <c r="CX242" s="73">
        <v>1626.4217773534087</v>
      </c>
      <c r="CY242" s="40">
        <v>-4324.9465383950592</v>
      </c>
      <c r="CZ242" s="52">
        <v>-5951.3683157484684</v>
      </c>
      <c r="DA242" s="150">
        <v>24612.780822871886</v>
      </c>
      <c r="DB242" s="2">
        <v>1</v>
      </c>
      <c r="DC242" s="648">
        <v>40118</v>
      </c>
      <c r="DD242" s="648"/>
      <c r="DE242" s="649">
        <v>9361.4780171787934</v>
      </c>
      <c r="DG242" s="321">
        <v>2338.5299649703393</v>
      </c>
      <c r="DH242" s="5">
        <v>369078.26379385451</v>
      </c>
      <c r="DI242" s="306">
        <v>4.6807157615984432</v>
      </c>
      <c r="DJ242" s="306"/>
      <c r="DK242" s="306"/>
      <c r="DL242" s="28">
        <v>15293.302607870593</v>
      </c>
      <c r="DM242" s="28">
        <v>0</v>
      </c>
      <c r="DN242" s="650">
        <v>15293.26</v>
      </c>
      <c r="DO242" s="94">
        <v>4.2607870593201369E-2</v>
      </c>
      <c r="DP242" s="28">
        <v>15293.302607870593</v>
      </c>
      <c r="DQ242" s="318">
        <v>0</v>
      </c>
      <c r="DS242" s="8">
        <v>14565.0501027339</v>
      </c>
      <c r="DT242" s="5">
        <v>728.25250513669505</v>
      </c>
      <c r="DW242" s="5">
        <v>9735.5962448521841</v>
      </c>
      <c r="DX242" s="5">
        <v>12470.4</v>
      </c>
    </row>
    <row r="243" spans="1:128" x14ac:dyDescent="0.3">
      <c r="A243" s="325">
        <v>150000948</v>
      </c>
      <c r="B243" s="41" t="s">
        <v>690</v>
      </c>
      <c r="C243" s="42" t="s">
        <v>384</v>
      </c>
      <c r="D243" s="42" t="s">
        <v>384</v>
      </c>
      <c r="E243" s="293">
        <v>6607.75</v>
      </c>
      <c r="F243" s="652">
        <v>6607.75</v>
      </c>
      <c r="G243" s="653">
        <v>699.69999999999982</v>
      </c>
      <c r="H243" s="651">
        <v>0</v>
      </c>
      <c r="I243" s="73">
        <v>2443.7101033359727</v>
      </c>
      <c r="J243" s="40">
        <v>2714.8173710301553</v>
      </c>
      <c r="K243" s="52">
        <v>271.10726769418261</v>
      </c>
      <c r="L243" s="73">
        <v>543.34368214922699</v>
      </c>
      <c r="M243" s="40">
        <v>639.29723143266142</v>
      </c>
      <c r="N243" s="52">
        <v>95.953549283434427</v>
      </c>
      <c r="O243" s="73">
        <v>1307.4785461411934</v>
      </c>
      <c r="P243" s="40">
        <v>1307.48</v>
      </c>
      <c r="Q243" s="52">
        <v>1.4538588065988733E-3</v>
      </c>
      <c r="R243" s="73">
        <v>267.31180494088665</v>
      </c>
      <c r="S243" s="40">
        <v>267.32</v>
      </c>
      <c r="T243" s="52">
        <v>8.1950591133477246E-3</v>
      </c>
      <c r="U243" s="73">
        <v>96.382827147493927</v>
      </c>
      <c r="V243" s="40">
        <v>197.56016362904779</v>
      </c>
      <c r="W243" s="52">
        <v>101.17733648155387</v>
      </c>
      <c r="X243" s="73">
        <v>1446.8476286672767</v>
      </c>
      <c r="Y243" s="40">
        <v>1569.3818063640538</v>
      </c>
      <c r="Z243" s="52">
        <v>122.53417769677708</v>
      </c>
      <c r="AA243" s="73">
        <v>528.45600000000002</v>
      </c>
      <c r="AB243" s="40">
        <v>0</v>
      </c>
      <c r="AC243" s="52">
        <v>-528.45600000000002</v>
      </c>
      <c r="AD243" s="73">
        <v>4758.8645344447459</v>
      </c>
      <c r="AE243" s="40">
        <v>5955.5990605169109</v>
      </c>
      <c r="AF243" s="35">
        <v>1196.734526072165</v>
      </c>
      <c r="AG243" s="77">
        <v>11392.395126826796</v>
      </c>
      <c r="AH243" s="53">
        <v>12651.455632972829</v>
      </c>
      <c r="AI243" s="52">
        <v>1259.0605061460337</v>
      </c>
      <c r="AJ243" s="73">
        <v>11503.603815</v>
      </c>
      <c r="AK243" s="40">
        <v>11330.043739662486</v>
      </c>
      <c r="AL243" s="52">
        <v>-173.56007533751472</v>
      </c>
      <c r="AM243" s="73">
        <v>0</v>
      </c>
      <c r="AN243" s="40">
        <v>0</v>
      </c>
      <c r="AO243" s="52">
        <v>0</v>
      </c>
      <c r="AP243" s="73">
        <v>680.7734999999999</v>
      </c>
      <c r="AQ243" s="40">
        <v>0</v>
      </c>
      <c r="AR243" s="52">
        <v>-680.7734999999999</v>
      </c>
      <c r="AS243" s="73">
        <v>7924.7111031765489</v>
      </c>
      <c r="AT243" s="40">
        <v>2984</v>
      </c>
      <c r="AU243" s="54">
        <v>-4940.7111031765489</v>
      </c>
      <c r="AV243" s="73">
        <v>1113.4220915404726</v>
      </c>
      <c r="AW243" s="40">
        <v>0</v>
      </c>
      <c r="AX243" s="55">
        <v>-1113.4220915404726</v>
      </c>
      <c r="AY243" s="73">
        <v>1412.7116788321648</v>
      </c>
      <c r="AZ243" s="40">
        <v>0</v>
      </c>
      <c r="BA243" s="35">
        <v>-1412.7116788321648</v>
      </c>
      <c r="BB243" s="73">
        <v>461.79752570072003</v>
      </c>
      <c r="BC243" s="40">
        <v>0</v>
      </c>
      <c r="BD243" s="55">
        <v>-461.79752570072003</v>
      </c>
      <c r="BE243" s="73">
        <v>1345.4073196416239</v>
      </c>
      <c r="BF243" s="40">
        <v>2112</v>
      </c>
      <c r="BG243" s="38">
        <v>766.59268035837613</v>
      </c>
      <c r="BH243" s="73">
        <v>465.41598209817357</v>
      </c>
      <c r="BI243" s="40">
        <v>0</v>
      </c>
      <c r="BJ243" s="55">
        <v>-465.41598209817357</v>
      </c>
      <c r="BK243" s="73">
        <v>1158.7682110676462</v>
      </c>
      <c r="BL243" s="40">
        <v>0</v>
      </c>
      <c r="BM243" s="38">
        <v>-1158.7682110676462</v>
      </c>
      <c r="BN243" s="73">
        <v>99.141055755143952</v>
      </c>
      <c r="BO243" s="40">
        <v>0</v>
      </c>
      <c r="BP243" s="55">
        <v>-99.141055755143952</v>
      </c>
      <c r="BQ243" s="77">
        <v>6056.6638646359443</v>
      </c>
      <c r="BR243" s="40">
        <v>2112</v>
      </c>
      <c r="BS243" s="55">
        <v>-3944.6638646359443</v>
      </c>
      <c r="BT243" s="73">
        <v>10315.63262473022</v>
      </c>
      <c r="BU243" s="40">
        <v>2283.5424920204982</v>
      </c>
      <c r="BV243" s="52">
        <v>-8032.0901327097217</v>
      </c>
      <c r="BW243" s="73">
        <v>7533.5276294803198</v>
      </c>
      <c r="BX243" s="40">
        <v>8707.6742895467451</v>
      </c>
      <c r="BY243" s="52">
        <v>1174.1466600664253</v>
      </c>
      <c r="BZ243" s="73">
        <v>1931.5485741392861</v>
      </c>
      <c r="CA243" s="40">
        <v>13578.749031036003</v>
      </c>
      <c r="CB243" s="52">
        <v>11647.200456896717</v>
      </c>
      <c r="CC243" s="73">
        <v>249.66722935000001</v>
      </c>
      <c r="CD243" s="40">
        <v>305.57610951630147</v>
      </c>
      <c r="CE243" s="52">
        <v>55.908880166301458</v>
      </c>
      <c r="CF243" s="73">
        <v>28.774026599999999</v>
      </c>
      <c r="CG243" s="40">
        <v>0</v>
      </c>
      <c r="CH243" s="52">
        <v>-28.774026599999999</v>
      </c>
      <c r="CI243" s="73">
        <v>1825.18</v>
      </c>
      <c r="CJ243" s="40">
        <v>1894.271095726051</v>
      </c>
      <c r="CK243" s="52">
        <v>69.09109572605098</v>
      </c>
      <c r="CL243" s="73">
        <v>2700.40155</v>
      </c>
      <c r="CM243" s="40">
        <v>2760.5625238740213</v>
      </c>
      <c r="CN243" s="52">
        <v>60.160973874021238</v>
      </c>
      <c r="CO243" s="39">
        <v>4525.5815499999999</v>
      </c>
      <c r="CP243" s="40">
        <v>4654.8336196000728</v>
      </c>
      <c r="CQ243" s="52">
        <v>129.2520696000729</v>
      </c>
      <c r="CR243" s="72">
        <v>62142.879043939109</v>
      </c>
      <c r="CS243" s="5">
        <v>58607.874914354936</v>
      </c>
      <c r="CT243" s="52">
        <v>-3535.0041295841729</v>
      </c>
      <c r="CU243" s="77">
        <v>74571.454852726922</v>
      </c>
      <c r="CV243" s="65">
        <v>70329.449897225917</v>
      </c>
      <c r="CW243" s="35">
        <v>-4242.0049555010046</v>
      </c>
      <c r="CX243" s="73">
        <v>4163.5503237519297</v>
      </c>
      <c r="CY243" s="40">
        <v>8405.5552792529343</v>
      </c>
      <c r="CZ243" s="52">
        <v>4242.0049555010046</v>
      </c>
      <c r="DA243" s="150">
        <v>-41756.453987688161</v>
      </c>
      <c r="DB243" s="2">
        <v>1</v>
      </c>
      <c r="DC243" s="648">
        <v>58541.45</v>
      </c>
      <c r="DD243" s="648"/>
      <c r="DE243" s="649">
        <v>-20193.555176478854</v>
      </c>
      <c r="DG243" s="321">
        <v>-7758.3008314594408</v>
      </c>
      <c r="DH243" s="5">
        <v>944820.06211774622</v>
      </c>
      <c r="DI243" s="306">
        <v>4.5720348210986916</v>
      </c>
      <c r="DJ243" s="306">
        <v>6.087192860372312</v>
      </c>
      <c r="DK243" s="306"/>
      <c r="DL243" s="28">
        <v>39162.492543045395</v>
      </c>
      <c r="DM243" s="28">
        <v>0</v>
      </c>
      <c r="DN243" s="650">
        <v>39157.33</v>
      </c>
      <c r="DO243" s="94">
        <v>5.1625430453932495</v>
      </c>
      <c r="DP243" s="28">
        <v>39162.492543045395</v>
      </c>
      <c r="DQ243" s="318">
        <v>12.478745363761846</v>
      </c>
      <c r="DS243" s="8">
        <v>37285.727426363461</v>
      </c>
      <c r="DT243" s="5">
        <v>1864.2863713181732</v>
      </c>
      <c r="DW243" s="5">
        <v>16777.649961374991</v>
      </c>
      <c r="DX243" s="5">
        <v>6115.2</v>
      </c>
    </row>
    <row r="244" spans="1:128" x14ac:dyDescent="0.3">
      <c r="A244" s="325">
        <v>150000949</v>
      </c>
      <c r="B244" s="41" t="s">
        <v>691</v>
      </c>
      <c r="C244" s="42" t="s">
        <v>385</v>
      </c>
      <c r="D244" s="42" t="s">
        <v>385</v>
      </c>
      <c r="E244" s="293">
        <v>9390.7800000000007</v>
      </c>
      <c r="F244" s="652">
        <v>9390.7800000000007</v>
      </c>
      <c r="G244" s="51">
        <v>999.75</v>
      </c>
      <c r="H244" s="651">
        <v>0</v>
      </c>
      <c r="I244" s="73">
        <v>3474.1685253280807</v>
      </c>
      <c r="J244" s="40">
        <v>3862.3612481324981</v>
      </c>
      <c r="K244" s="52">
        <v>388.19272280441737</v>
      </c>
      <c r="L244" s="73">
        <v>757.8111302310881</v>
      </c>
      <c r="M244" s="40">
        <v>892.38080532112622</v>
      </c>
      <c r="N244" s="52">
        <v>134.56967509003812</v>
      </c>
      <c r="O244" s="73">
        <v>1890.9737053392166</v>
      </c>
      <c r="P244" s="40">
        <v>1890.96</v>
      </c>
      <c r="Q244" s="52">
        <v>-1.3705339216585344E-2</v>
      </c>
      <c r="R244" s="73">
        <v>390.16689347511334</v>
      </c>
      <c r="S244" s="40">
        <v>390.16</v>
      </c>
      <c r="T244" s="52">
        <v>-6.8934751133156169E-3</v>
      </c>
      <c r="U244" s="73">
        <v>319.60619189152118</v>
      </c>
      <c r="V244" s="40">
        <v>615.9565366559716</v>
      </c>
      <c r="W244" s="52">
        <v>296.35034476445043</v>
      </c>
      <c r="X244" s="73">
        <v>2551.710209456402</v>
      </c>
      <c r="Y244" s="40">
        <v>2962.9487583482432</v>
      </c>
      <c r="Z244" s="52">
        <v>411.23854889184122</v>
      </c>
      <c r="AA244" s="73">
        <v>751.24</v>
      </c>
      <c r="AB244" s="40">
        <v>0</v>
      </c>
      <c r="AC244" s="52">
        <v>-751.24</v>
      </c>
      <c r="AD244" s="73">
        <v>6765.1135247269822</v>
      </c>
      <c r="AE244" s="40">
        <v>8463.958313423027</v>
      </c>
      <c r="AF244" s="35">
        <v>1698.8447886960448</v>
      </c>
      <c r="AG244" s="77">
        <v>16900.790180448403</v>
      </c>
      <c r="AH244" s="53">
        <v>19078.725661880868</v>
      </c>
      <c r="AI244" s="52">
        <v>2177.9354814324652</v>
      </c>
      <c r="AJ244" s="73">
        <v>17946.657794999999</v>
      </c>
      <c r="AK244" s="40">
        <v>17675.878809976417</v>
      </c>
      <c r="AL244" s="52">
        <v>-270.77898502358221</v>
      </c>
      <c r="AM244" s="73">
        <v>210.14988500000001</v>
      </c>
      <c r="AN244" s="40">
        <v>0</v>
      </c>
      <c r="AO244" s="52">
        <v>-210.14988500000001</v>
      </c>
      <c r="AP244" s="73">
        <v>1128.3190416666666</v>
      </c>
      <c r="AQ244" s="40">
        <v>0</v>
      </c>
      <c r="AR244" s="52">
        <v>-1128.3190416666666</v>
      </c>
      <c r="AS244" s="73">
        <v>11647.49488431904</v>
      </c>
      <c r="AT244" s="40">
        <v>7840</v>
      </c>
      <c r="AU244" s="54">
        <v>-3807.4948843190396</v>
      </c>
      <c r="AV244" s="73">
        <v>1568.1690156833604</v>
      </c>
      <c r="AW244" s="40">
        <v>1818</v>
      </c>
      <c r="AX244" s="55">
        <v>249.83098431663961</v>
      </c>
      <c r="AY244" s="73">
        <v>1991.2333446061618</v>
      </c>
      <c r="AZ244" s="40">
        <v>2185</v>
      </c>
      <c r="BA244" s="35">
        <v>193.76665539383816</v>
      </c>
      <c r="BB244" s="73">
        <v>656.47741062406601</v>
      </c>
      <c r="BC244" s="40">
        <v>0</v>
      </c>
      <c r="BD244" s="55">
        <v>-656.47741062406601</v>
      </c>
      <c r="BE244" s="73">
        <v>1955.3894893207757</v>
      </c>
      <c r="BF244" s="40">
        <v>2805</v>
      </c>
      <c r="BG244" s="38">
        <v>849.61051067922426</v>
      </c>
      <c r="BH244" s="73">
        <v>1543.5069449809</v>
      </c>
      <c r="BI244" s="40">
        <v>0</v>
      </c>
      <c r="BJ244" s="55">
        <v>-1543.5069449809</v>
      </c>
      <c r="BK244" s="73">
        <v>2159.7215133657837</v>
      </c>
      <c r="BL244" s="40">
        <v>254</v>
      </c>
      <c r="BM244" s="38">
        <v>-1905.7215133657837</v>
      </c>
      <c r="BN244" s="73">
        <v>110.30027879635236</v>
      </c>
      <c r="BO244" s="40">
        <v>0</v>
      </c>
      <c r="BP244" s="55">
        <v>-110.30027879635236</v>
      </c>
      <c r="BQ244" s="77">
        <v>9984.7979973773981</v>
      </c>
      <c r="BR244" s="40">
        <v>7062</v>
      </c>
      <c r="BS244" s="55">
        <v>-2922.7979973773981</v>
      </c>
      <c r="BT244" s="73">
        <v>13007.5608436929</v>
      </c>
      <c r="BU244" s="40">
        <v>2914.8010058727491</v>
      </c>
      <c r="BV244" s="52">
        <v>-10092.759837820151</v>
      </c>
      <c r="BW244" s="73">
        <v>10561.07852456838</v>
      </c>
      <c r="BX244" s="40">
        <v>12185.785839962849</v>
      </c>
      <c r="BY244" s="52">
        <v>1624.7073153944693</v>
      </c>
      <c r="BZ244" s="73">
        <v>2801.3400253611399</v>
      </c>
      <c r="CA244" s="40">
        <v>17306.419445413474</v>
      </c>
      <c r="CB244" s="52">
        <v>14505.079420052334</v>
      </c>
      <c r="CC244" s="73">
        <v>343.59851033749999</v>
      </c>
      <c r="CD244" s="40">
        <v>426.31241146241109</v>
      </c>
      <c r="CE244" s="52">
        <v>82.713901124911104</v>
      </c>
      <c r="CF244" s="73">
        <v>40.142944049999997</v>
      </c>
      <c r="CG244" s="40">
        <v>0</v>
      </c>
      <c r="CH244" s="52">
        <v>-40.142944049999997</v>
      </c>
      <c r="CI244" s="73">
        <v>2544.66</v>
      </c>
      <c r="CJ244" s="40">
        <v>3446.5362834062807</v>
      </c>
      <c r="CK244" s="52">
        <v>901.87628340628089</v>
      </c>
      <c r="CL244" s="73">
        <v>3067.9302499999999</v>
      </c>
      <c r="CM244" s="40">
        <v>2879.9545078950759</v>
      </c>
      <c r="CN244" s="52">
        <v>-187.97574210492394</v>
      </c>
      <c r="CO244" s="39">
        <v>5612.5902499999993</v>
      </c>
      <c r="CP244" s="40">
        <v>6326.4907913013567</v>
      </c>
      <c r="CQ244" s="52">
        <v>713.90054130135741</v>
      </c>
      <c r="CR244" s="72">
        <v>90184.520881821431</v>
      </c>
      <c r="CS244" s="5">
        <v>90816.413965870117</v>
      </c>
      <c r="CT244" s="52">
        <v>631.89308404868643</v>
      </c>
      <c r="CU244" s="77">
        <v>108221.42505818572</v>
      </c>
      <c r="CV244" s="65">
        <v>108979.69675904413</v>
      </c>
      <c r="CW244" s="35">
        <v>758.27170085841499</v>
      </c>
      <c r="CX244" s="73">
        <v>6042.3301413091231</v>
      </c>
      <c r="CY244" s="40">
        <v>5284.0584404507099</v>
      </c>
      <c r="CZ244" s="52">
        <v>-758.27170085841317</v>
      </c>
      <c r="DA244" s="150">
        <v>-50273.546863334224</v>
      </c>
      <c r="DB244" s="2">
        <v>1</v>
      </c>
      <c r="DC244" s="648">
        <v>143196.15</v>
      </c>
      <c r="DD244" s="648"/>
      <c r="DE244" s="649">
        <v>28932.39480050515</v>
      </c>
      <c r="DG244" s="321">
        <v>-72098.553029169852</v>
      </c>
      <c r="DH244" s="5">
        <v>1371165.0623939382</v>
      </c>
      <c r="DI244" s="306">
        <v>4.6264483530853004</v>
      </c>
      <c r="DJ244" s="306">
        <v>6.22005856622477</v>
      </c>
      <c r="DK244" s="306"/>
      <c r="DL244" s="28">
        <v>56817.989771946071</v>
      </c>
      <c r="DM244" s="28">
        <v>0</v>
      </c>
      <c r="DN244" s="650">
        <v>56818.400000000001</v>
      </c>
      <c r="DO244" s="94">
        <v>-0.41022805393004091</v>
      </c>
      <c r="DP244" s="28">
        <v>56817.989771946071</v>
      </c>
      <c r="DQ244" s="318">
        <v>1.7416163985690218</v>
      </c>
      <c r="DS244" s="8">
        <v>54110.71252909286</v>
      </c>
      <c r="DT244" s="5">
        <v>2705.5356264546426</v>
      </c>
      <c r="DW244" s="5">
        <v>25958.751458035724</v>
      </c>
      <c r="DX244" s="5">
        <v>17882.399999999998</v>
      </c>
    </row>
    <row r="245" spans="1:128" x14ac:dyDescent="0.3">
      <c r="A245" s="325">
        <v>150001044</v>
      </c>
      <c r="B245" s="41" t="s">
        <v>692</v>
      </c>
      <c r="C245" s="42" t="s">
        <v>270</v>
      </c>
      <c r="D245" s="42" t="s">
        <v>270</v>
      </c>
      <c r="E245" s="293">
        <v>3506</v>
      </c>
      <c r="F245" s="305">
        <v>3229.3</v>
      </c>
      <c r="G245" s="51"/>
      <c r="H245" s="651">
        <v>276.7</v>
      </c>
      <c r="I245" s="73">
        <v>1762.7519378840927</v>
      </c>
      <c r="J245" s="40">
        <v>1957.3482262892537</v>
      </c>
      <c r="K245" s="52">
        <v>194.59628840516098</v>
      </c>
      <c r="L245" s="73">
        <v>356.34616854330136</v>
      </c>
      <c r="M245" s="40">
        <v>401.46713990333581</v>
      </c>
      <c r="N245" s="52">
        <v>45.120971360034446</v>
      </c>
      <c r="O245" s="73">
        <v>659.7469294363267</v>
      </c>
      <c r="P245" s="40">
        <v>659.76</v>
      </c>
      <c r="Q245" s="52">
        <v>1.307056367329551E-2</v>
      </c>
      <c r="R245" s="73">
        <v>0</v>
      </c>
      <c r="S245" s="40">
        <v>0</v>
      </c>
      <c r="T245" s="52">
        <v>0</v>
      </c>
      <c r="U245" s="73">
        <v>0</v>
      </c>
      <c r="V245" s="40">
        <v>0</v>
      </c>
      <c r="W245" s="52">
        <v>0</v>
      </c>
      <c r="X245" s="73">
        <v>851.02059917533632</v>
      </c>
      <c r="Y245" s="40">
        <v>913.92206435904927</v>
      </c>
      <c r="Z245" s="52">
        <v>62.901465183712958</v>
      </c>
      <c r="AA245" s="73">
        <v>280.50399999999996</v>
      </c>
      <c r="AB245" s="40">
        <v>0</v>
      </c>
      <c r="AC245" s="52">
        <v>-280.50399999999996</v>
      </c>
      <c r="AD245" s="73">
        <v>2515.0407860294404</v>
      </c>
      <c r="AE245" s="40">
        <v>3159.9758323441852</v>
      </c>
      <c r="AF245" s="35">
        <v>644.9350463147448</v>
      </c>
      <c r="AG245" s="77">
        <v>6425.4104210684982</v>
      </c>
      <c r="AH245" s="53">
        <v>7092.4732628958236</v>
      </c>
      <c r="AI245" s="52">
        <v>667.06284182732543</v>
      </c>
      <c r="AJ245" s="73">
        <v>0</v>
      </c>
      <c r="AK245" s="40">
        <v>0</v>
      </c>
      <c r="AL245" s="52">
        <v>0</v>
      </c>
      <c r="AM245" s="73">
        <v>0</v>
      </c>
      <c r="AN245" s="40">
        <v>0</v>
      </c>
      <c r="AO245" s="52">
        <v>0</v>
      </c>
      <c r="AP245" s="73">
        <v>1512.83</v>
      </c>
      <c r="AQ245" s="40">
        <v>0</v>
      </c>
      <c r="AR245" s="52">
        <v>-1512.83</v>
      </c>
      <c r="AS245" s="73">
        <v>2836.0592645774777</v>
      </c>
      <c r="AT245" s="40">
        <v>0</v>
      </c>
      <c r="AU245" s="54">
        <v>-2836.0592645774777</v>
      </c>
      <c r="AV245" s="73">
        <v>754.84131260221113</v>
      </c>
      <c r="AW245" s="40">
        <v>0</v>
      </c>
      <c r="AX245" s="55">
        <v>-754.84131260221113</v>
      </c>
      <c r="AY245" s="73">
        <v>986.21190286519538</v>
      </c>
      <c r="AZ245" s="40">
        <v>0</v>
      </c>
      <c r="BA245" s="35">
        <v>-986.21190286519538</v>
      </c>
      <c r="BB245" s="73">
        <v>223.06492365500998</v>
      </c>
      <c r="BC245" s="40">
        <v>0</v>
      </c>
      <c r="BD245" s="55">
        <v>-223.06492365500998</v>
      </c>
      <c r="BE245" s="73">
        <v>0</v>
      </c>
      <c r="BF245" s="40">
        <v>0</v>
      </c>
      <c r="BG245" s="38">
        <v>0</v>
      </c>
      <c r="BH245" s="73">
        <v>0</v>
      </c>
      <c r="BI245" s="40">
        <v>0</v>
      </c>
      <c r="BJ245" s="55">
        <v>0</v>
      </c>
      <c r="BK245" s="73">
        <v>577.45029998178416</v>
      </c>
      <c r="BL245" s="40">
        <v>0</v>
      </c>
      <c r="BM245" s="38">
        <v>-577.45029998178416</v>
      </c>
      <c r="BN245" s="73">
        <v>70.125999999999991</v>
      </c>
      <c r="BO245" s="40">
        <v>0</v>
      </c>
      <c r="BP245" s="55">
        <v>-70.125999999999991</v>
      </c>
      <c r="BQ245" s="77">
        <v>2611.6944391042007</v>
      </c>
      <c r="BR245" s="40">
        <v>0</v>
      </c>
      <c r="BS245" s="55">
        <v>-2611.6944391042007</v>
      </c>
      <c r="BT245" s="73">
        <v>2146.8714149121402</v>
      </c>
      <c r="BU245" s="40">
        <v>673.34380861364946</v>
      </c>
      <c r="BV245" s="52">
        <v>-1473.5276062984908</v>
      </c>
      <c r="BW245" s="73">
        <v>1530.0989325135199</v>
      </c>
      <c r="BX245" s="40">
        <v>1638.1256357973598</v>
      </c>
      <c r="BY245" s="52">
        <v>108.02670328383988</v>
      </c>
      <c r="BZ245" s="73">
        <v>1495.086166208444</v>
      </c>
      <c r="CA245" s="40">
        <v>4000.3326078399896</v>
      </c>
      <c r="CB245" s="52">
        <v>2505.2464416315456</v>
      </c>
      <c r="CC245" s="73">
        <v>168.38100466</v>
      </c>
      <c r="CD245" s="40">
        <v>212.4573329255295</v>
      </c>
      <c r="CE245" s="52">
        <v>44.076328265529497</v>
      </c>
      <c r="CF245" s="73">
        <v>20.00566392</v>
      </c>
      <c r="CG245" s="40">
        <v>0</v>
      </c>
      <c r="CH245" s="52">
        <v>-20.00566392</v>
      </c>
      <c r="CI245" s="73">
        <v>445.4</v>
      </c>
      <c r="CJ245" s="40">
        <v>450.58596889994556</v>
      </c>
      <c r="CK245" s="52">
        <v>5.1859688999455784</v>
      </c>
      <c r="CL245" s="73">
        <v>0</v>
      </c>
      <c r="CM245" s="40">
        <v>0</v>
      </c>
      <c r="CN245" s="52">
        <v>0</v>
      </c>
      <c r="CO245" s="39">
        <v>445.4</v>
      </c>
      <c r="CP245" s="40">
        <v>450.58596889994556</v>
      </c>
      <c r="CQ245" s="52">
        <v>5.1859688999455784</v>
      </c>
      <c r="CR245" s="72">
        <v>19191.837306964284</v>
      </c>
      <c r="CS245" s="5">
        <v>14067.318616972298</v>
      </c>
      <c r="CT245" s="52">
        <v>-5124.5186899919863</v>
      </c>
      <c r="CU245" s="77">
        <v>23030.20476835714</v>
      </c>
      <c r="CV245" s="65">
        <v>16880.782340366757</v>
      </c>
      <c r="CW245" s="35">
        <v>-6149.4224279903829</v>
      </c>
      <c r="CX245" s="73">
        <v>1285.8461285050307</v>
      </c>
      <c r="CY245" s="40">
        <v>7435.2685564954154</v>
      </c>
      <c r="CZ245" s="52">
        <v>6149.4224279903847</v>
      </c>
      <c r="DA245" s="150">
        <v>12132.094879140142</v>
      </c>
      <c r="DB245" s="2">
        <v>2</v>
      </c>
      <c r="DC245" s="648">
        <v>17232.53</v>
      </c>
      <c r="DD245" s="648">
        <v>33497.800000000003</v>
      </c>
      <c r="DE245" s="649">
        <v>26414.279103137829</v>
      </c>
      <c r="DG245" s="321">
        <v>52148.584140836552</v>
      </c>
      <c r="DH245" s="5">
        <v>291792.61076234607</v>
      </c>
      <c r="DI245" s="306">
        <v>3.4718780981871045</v>
      </c>
      <c r="DJ245" s="306"/>
      <c r="DK245" s="306">
        <v>3.1734007859863622</v>
      </c>
      <c r="DL245" s="28">
        <v>11211.735942475618</v>
      </c>
      <c r="DM245" s="28">
        <v>878.07999748242639</v>
      </c>
      <c r="DN245" s="650">
        <v>11211.82</v>
      </c>
      <c r="DO245" s="94">
        <v>-8.4057524381933035E-2</v>
      </c>
      <c r="DP245" s="28">
        <v>12089.815939958044</v>
      </c>
      <c r="DQ245" s="318">
        <v>-1.0415634294549818</v>
      </c>
      <c r="DS245" s="8">
        <v>11515.10238417857</v>
      </c>
      <c r="DT245" s="5">
        <v>575.75511920892848</v>
      </c>
      <c r="DW245" s="5">
        <v>6537.3044444180141</v>
      </c>
      <c r="DX245" s="5">
        <v>0</v>
      </c>
    </row>
    <row r="246" spans="1:128" x14ac:dyDescent="0.3">
      <c r="A246" s="325">
        <v>150001050</v>
      </c>
      <c r="B246" s="41" t="s">
        <v>693</v>
      </c>
      <c r="C246" s="42" t="s">
        <v>271</v>
      </c>
      <c r="D246" s="42" t="s">
        <v>271</v>
      </c>
      <c r="E246" s="293">
        <v>3563.6</v>
      </c>
      <c r="F246" s="305">
        <v>3563.6</v>
      </c>
      <c r="G246" s="51"/>
      <c r="H246" s="651">
        <v>0</v>
      </c>
      <c r="I246" s="73">
        <v>1772.6641728766554</v>
      </c>
      <c r="J246" s="40">
        <v>1968.1101584878372</v>
      </c>
      <c r="K246" s="52">
        <v>195.44598561118187</v>
      </c>
      <c r="L246" s="73">
        <v>321.61010918887081</v>
      </c>
      <c r="M246" s="40">
        <v>362.33285516979043</v>
      </c>
      <c r="N246" s="52">
        <v>40.722745980919626</v>
      </c>
      <c r="O246" s="73">
        <v>645.32230509609008</v>
      </c>
      <c r="P246" s="40">
        <v>645.32000000000005</v>
      </c>
      <c r="Q246" s="52">
        <v>-2.3050960900263817E-3</v>
      </c>
      <c r="R246" s="73">
        <v>0</v>
      </c>
      <c r="S246" s="40">
        <v>0</v>
      </c>
      <c r="T246" s="52">
        <v>0</v>
      </c>
      <c r="U246" s="73">
        <v>0</v>
      </c>
      <c r="V246" s="40">
        <v>0</v>
      </c>
      <c r="W246" s="52">
        <v>0</v>
      </c>
      <c r="X246" s="73">
        <v>862.50428905531294</v>
      </c>
      <c r="Y246" s="40">
        <v>915.32684699599849</v>
      </c>
      <c r="Z246" s="52">
        <v>52.822557940685556</v>
      </c>
      <c r="AA246" s="73">
        <v>285.08</v>
      </c>
      <c r="AB246" s="40">
        <v>0</v>
      </c>
      <c r="AC246" s="52">
        <v>-285.08</v>
      </c>
      <c r="AD246" s="73">
        <v>2567.2207071104672</v>
      </c>
      <c r="AE246" s="40">
        <v>3211.891008597187</v>
      </c>
      <c r="AF246" s="35">
        <v>644.67030148671984</v>
      </c>
      <c r="AG246" s="77">
        <v>6454.401583327397</v>
      </c>
      <c r="AH246" s="53">
        <v>7102.9808692508132</v>
      </c>
      <c r="AI246" s="52">
        <v>648.57928592341614</v>
      </c>
      <c r="AJ246" s="73">
        <v>0</v>
      </c>
      <c r="AK246" s="40">
        <v>0</v>
      </c>
      <c r="AL246" s="52">
        <v>0</v>
      </c>
      <c r="AM246" s="73">
        <v>0</v>
      </c>
      <c r="AN246" s="40">
        <v>0</v>
      </c>
      <c r="AO246" s="52">
        <v>0</v>
      </c>
      <c r="AP246" s="73">
        <v>1512.83</v>
      </c>
      <c r="AQ246" s="40">
        <v>0</v>
      </c>
      <c r="AR246" s="52">
        <v>-1512.83</v>
      </c>
      <c r="AS246" s="73">
        <v>6827.4323794951115</v>
      </c>
      <c r="AT246" s="40">
        <v>901</v>
      </c>
      <c r="AU246" s="54">
        <v>-5926.4323794951115</v>
      </c>
      <c r="AV246" s="73">
        <v>761.82769472208201</v>
      </c>
      <c r="AW246" s="40">
        <v>0</v>
      </c>
      <c r="AX246" s="55">
        <v>-761.82769472208201</v>
      </c>
      <c r="AY246" s="73">
        <v>890.0727600012134</v>
      </c>
      <c r="AZ246" s="40">
        <v>5982</v>
      </c>
      <c r="BA246" s="35">
        <v>5091.9272399987867</v>
      </c>
      <c r="BB246" s="73">
        <v>257.72722256328319</v>
      </c>
      <c r="BC246" s="40">
        <v>0</v>
      </c>
      <c r="BD246" s="55">
        <v>-257.72722256328319</v>
      </c>
      <c r="BE246" s="73">
        <v>0</v>
      </c>
      <c r="BF246" s="40">
        <v>0</v>
      </c>
      <c r="BG246" s="38">
        <v>0</v>
      </c>
      <c r="BH246" s="73">
        <v>0</v>
      </c>
      <c r="BI246" s="40">
        <v>0</v>
      </c>
      <c r="BJ246" s="55">
        <v>0</v>
      </c>
      <c r="BK246" s="73">
        <v>591.33482696023373</v>
      </c>
      <c r="BL246" s="40">
        <v>1680</v>
      </c>
      <c r="BM246" s="38">
        <v>1088.6651730397662</v>
      </c>
      <c r="BN246" s="73">
        <v>71.27</v>
      </c>
      <c r="BO246" s="40">
        <v>0</v>
      </c>
      <c r="BP246" s="55">
        <v>-71.27</v>
      </c>
      <c r="BQ246" s="77">
        <v>2572.2325042468124</v>
      </c>
      <c r="BR246" s="40">
        <v>7662</v>
      </c>
      <c r="BS246" s="55">
        <v>5089.7674957531872</v>
      </c>
      <c r="BT246" s="73">
        <v>1765.612200516226</v>
      </c>
      <c r="BU246" s="40">
        <v>433.1979044622056</v>
      </c>
      <c r="BV246" s="52">
        <v>-1332.4142960540205</v>
      </c>
      <c r="BW246" s="73">
        <v>1585.326508831952</v>
      </c>
      <c r="BX246" s="40">
        <v>1435.365728351401</v>
      </c>
      <c r="BY246" s="52">
        <v>-149.96078048055097</v>
      </c>
      <c r="BZ246" s="73">
        <v>1258.551698948678</v>
      </c>
      <c r="CA246" s="40">
        <v>3635.6051924472772</v>
      </c>
      <c r="CB246" s="52">
        <v>2377.053493498599</v>
      </c>
      <c r="CC246" s="73">
        <v>272.54956176249999</v>
      </c>
      <c r="CD246" s="40">
        <v>343.89361851716262</v>
      </c>
      <c r="CE246" s="52">
        <v>71.344056754662631</v>
      </c>
      <c r="CF246" s="73">
        <v>32.382126149999998</v>
      </c>
      <c r="CG246" s="40">
        <v>0</v>
      </c>
      <c r="CH246" s="52">
        <v>-32.382126149999998</v>
      </c>
      <c r="CI246" s="73">
        <v>242.94</v>
      </c>
      <c r="CJ246" s="40">
        <v>361.95338877309655</v>
      </c>
      <c r="CK246" s="52">
        <v>119.01338877309655</v>
      </c>
      <c r="CL246" s="73">
        <v>0</v>
      </c>
      <c r="CM246" s="40">
        <v>0</v>
      </c>
      <c r="CN246" s="52">
        <v>0</v>
      </c>
      <c r="CO246" s="39">
        <v>242.94</v>
      </c>
      <c r="CP246" s="40">
        <v>361.95338877309655</v>
      </c>
      <c r="CQ246" s="52">
        <v>119.01338877309655</v>
      </c>
      <c r="CR246" s="72">
        <v>22524.258563278676</v>
      </c>
      <c r="CS246" s="5">
        <v>21875.996701801956</v>
      </c>
      <c r="CT246" s="52">
        <v>-648.26186147671979</v>
      </c>
      <c r="CU246" s="77">
        <v>27029.11027593441</v>
      </c>
      <c r="CV246" s="65">
        <v>26251.196042162348</v>
      </c>
      <c r="CW246" s="35">
        <v>-777.91423377206229</v>
      </c>
      <c r="CX246" s="73">
        <v>1509.117142240897</v>
      </c>
      <c r="CY246" s="40">
        <v>2287.0313760129611</v>
      </c>
      <c r="CZ246" s="52">
        <v>777.91423377206411</v>
      </c>
      <c r="DA246" s="150">
        <v>131214.68203822631</v>
      </c>
      <c r="DB246" s="2">
        <v>2</v>
      </c>
      <c r="DC246" s="648">
        <v>23098.240000000002</v>
      </c>
      <c r="DD246" s="648"/>
      <c r="DE246" s="649">
        <v>-5439.9874181753075</v>
      </c>
      <c r="DG246" s="321">
        <v>-34750.228771861191</v>
      </c>
      <c r="DH246" s="5">
        <v>342458.72901810368</v>
      </c>
      <c r="DI246" s="306">
        <v>3.982119515887629</v>
      </c>
      <c r="DJ246" s="306"/>
      <c r="DK246" s="306"/>
      <c r="DL246" s="28">
        <v>14190.681106817154</v>
      </c>
      <c r="DM246" s="28">
        <v>0</v>
      </c>
      <c r="DN246" s="650">
        <v>14190.61</v>
      </c>
      <c r="DO246" s="94">
        <v>7.1106817153122392E-2</v>
      </c>
      <c r="DP246" s="28">
        <v>14190.681106817154</v>
      </c>
      <c r="DQ246" s="318">
        <v>0.39821195158765477</v>
      </c>
      <c r="DS246" s="8">
        <v>13514.555137967205</v>
      </c>
      <c r="DT246" s="5">
        <v>675.72775689836033</v>
      </c>
      <c r="DW246" s="5">
        <v>11279.597860490308</v>
      </c>
      <c r="DX246" s="5">
        <v>10275.6</v>
      </c>
    </row>
    <row r="247" spans="1:128" x14ac:dyDescent="0.3">
      <c r="A247" s="325">
        <v>150001045</v>
      </c>
      <c r="B247" s="41" t="s">
        <v>694</v>
      </c>
      <c r="C247" s="42" t="s">
        <v>272</v>
      </c>
      <c r="D247" s="42" t="s">
        <v>272</v>
      </c>
      <c r="E247" s="293">
        <v>3571.4</v>
      </c>
      <c r="F247" s="305">
        <v>3571.4</v>
      </c>
      <c r="G247" s="51"/>
      <c r="H247" s="651">
        <v>0</v>
      </c>
      <c r="I247" s="73">
        <v>1727.6370990841062</v>
      </c>
      <c r="J247" s="40">
        <v>1918.3264191813773</v>
      </c>
      <c r="K247" s="52">
        <v>190.68932009727109</v>
      </c>
      <c r="L247" s="73">
        <v>321.61010918887081</v>
      </c>
      <c r="M247" s="40">
        <v>362.33285516979043</v>
      </c>
      <c r="N247" s="52">
        <v>40.722745980919626</v>
      </c>
      <c r="O247" s="73">
        <v>707.25942019580339</v>
      </c>
      <c r="P247" s="40">
        <v>707.26</v>
      </c>
      <c r="Q247" s="52">
        <v>5.7980419660452753E-4</v>
      </c>
      <c r="R247" s="73">
        <v>0</v>
      </c>
      <c r="S247" s="40">
        <v>0</v>
      </c>
      <c r="T247" s="52">
        <v>0</v>
      </c>
      <c r="U247" s="73">
        <v>0</v>
      </c>
      <c r="V247" s="40">
        <v>0</v>
      </c>
      <c r="W247" s="52">
        <v>0</v>
      </c>
      <c r="X247" s="73">
        <v>862.50428905531294</v>
      </c>
      <c r="Y247" s="40">
        <v>915.32684699599849</v>
      </c>
      <c r="Z247" s="52">
        <v>52.822557940685556</v>
      </c>
      <c r="AA247" s="73">
        <v>285.72000000000003</v>
      </c>
      <c r="AB247" s="40">
        <v>0</v>
      </c>
      <c r="AC247" s="52">
        <v>-285.72000000000003</v>
      </c>
      <c r="AD247" s="73">
        <v>2572.9659581854917</v>
      </c>
      <c r="AE247" s="40">
        <v>3218.9211887147812</v>
      </c>
      <c r="AF247" s="35">
        <v>645.95523052928957</v>
      </c>
      <c r="AG247" s="77">
        <v>6477.6968757095856</v>
      </c>
      <c r="AH247" s="53">
        <v>7122.1673100619473</v>
      </c>
      <c r="AI247" s="52">
        <v>644.47043435236174</v>
      </c>
      <c r="AJ247" s="73">
        <v>0</v>
      </c>
      <c r="AK247" s="40">
        <v>0</v>
      </c>
      <c r="AL247" s="52">
        <v>0</v>
      </c>
      <c r="AM247" s="73">
        <v>0</v>
      </c>
      <c r="AN247" s="40">
        <v>0</v>
      </c>
      <c r="AO247" s="52">
        <v>0</v>
      </c>
      <c r="AP247" s="73">
        <v>1512.83</v>
      </c>
      <c r="AQ247" s="40">
        <v>0</v>
      </c>
      <c r="AR247" s="52">
        <v>-1512.83</v>
      </c>
      <c r="AS247" s="73">
        <v>6999.9067050378335</v>
      </c>
      <c r="AT247" s="40">
        <v>0</v>
      </c>
      <c r="AU247" s="54">
        <v>-6999.9067050378335</v>
      </c>
      <c r="AV247" s="73">
        <v>726.39427358192552</v>
      </c>
      <c r="AW247" s="40">
        <v>1590</v>
      </c>
      <c r="AX247" s="55">
        <v>863.60572641807448</v>
      </c>
      <c r="AY247" s="73">
        <v>890.0727600012134</v>
      </c>
      <c r="AZ247" s="40">
        <v>1814</v>
      </c>
      <c r="BA247" s="35">
        <v>923.9272399987866</v>
      </c>
      <c r="BB247" s="73">
        <v>281.45320492675677</v>
      </c>
      <c r="BC247" s="40">
        <v>0</v>
      </c>
      <c r="BD247" s="55">
        <v>-281.45320492675677</v>
      </c>
      <c r="BE247" s="73">
        <v>0</v>
      </c>
      <c r="BF247" s="40">
        <v>0</v>
      </c>
      <c r="BG247" s="38">
        <v>0</v>
      </c>
      <c r="BH247" s="73">
        <v>0</v>
      </c>
      <c r="BI247" s="40">
        <v>0</v>
      </c>
      <c r="BJ247" s="55">
        <v>0</v>
      </c>
      <c r="BK247" s="73">
        <v>591.33482696023373</v>
      </c>
      <c r="BL247" s="40">
        <v>0</v>
      </c>
      <c r="BM247" s="38">
        <v>-591.33482696023373</v>
      </c>
      <c r="BN247" s="73">
        <v>71.430000000000007</v>
      </c>
      <c r="BO247" s="40">
        <v>0</v>
      </c>
      <c r="BP247" s="55">
        <v>-71.430000000000007</v>
      </c>
      <c r="BQ247" s="77">
        <v>2560.6850654701293</v>
      </c>
      <c r="BR247" s="40">
        <v>3404</v>
      </c>
      <c r="BS247" s="55">
        <v>843.3149345298707</v>
      </c>
      <c r="BT247" s="73">
        <v>1450.385178388452</v>
      </c>
      <c r="BU247" s="40">
        <v>517.77666859708233</v>
      </c>
      <c r="BV247" s="52">
        <v>-932.60850979136967</v>
      </c>
      <c r="BW247" s="73">
        <v>1876.6628533976179</v>
      </c>
      <c r="BX247" s="40">
        <v>2043.3371945248634</v>
      </c>
      <c r="BY247" s="52">
        <v>166.6743411272455</v>
      </c>
      <c r="BZ247" s="73">
        <v>1303.1771923828039</v>
      </c>
      <c r="CA247" s="40">
        <v>3082.8833825674837</v>
      </c>
      <c r="CB247" s="52">
        <v>1779.7061901846798</v>
      </c>
      <c r="CC247" s="73">
        <v>277.59182415250001</v>
      </c>
      <c r="CD247" s="40">
        <v>350.2557709550415</v>
      </c>
      <c r="CE247" s="52">
        <v>72.663946802541489</v>
      </c>
      <c r="CF247" s="73">
        <v>32.981206829999998</v>
      </c>
      <c r="CG247" s="40">
        <v>0</v>
      </c>
      <c r="CH247" s="52">
        <v>-32.981206829999998</v>
      </c>
      <c r="CI247" s="73">
        <v>1784.7</v>
      </c>
      <c r="CJ247" s="40">
        <v>1539.1618081872646</v>
      </c>
      <c r="CK247" s="52">
        <v>-245.53819181273548</v>
      </c>
      <c r="CL247" s="73">
        <v>0</v>
      </c>
      <c r="CM247" s="40">
        <v>0</v>
      </c>
      <c r="CN247" s="52">
        <v>0</v>
      </c>
      <c r="CO247" s="39">
        <v>1784.7</v>
      </c>
      <c r="CP247" s="40">
        <v>1539.1618081872646</v>
      </c>
      <c r="CQ247" s="52">
        <v>-245.53819181273548</v>
      </c>
      <c r="CR247" s="72">
        <v>24276.616901368929</v>
      </c>
      <c r="CS247" s="5">
        <v>18059.582134893684</v>
      </c>
      <c r="CT247" s="52">
        <v>-6217.0347664752444</v>
      </c>
      <c r="CU247" s="77">
        <v>29131.940281642714</v>
      </c>
      <c r="CV247" s="65">
        <v>21671.49856187242</v>
      </c>
      <c r="CW247" s="35">
        <v>-7460.4417197702933</v>
      </c>
      <c r="CX247" s="73">
        <v>1626.5245143828649</v>
      </c>
      <c r="CY247" s="40">
        <v>9086.9662341531584</v>
      </c>
      <c r="CZ247" s="52">
        <v>7460.4417197702933</v>
      </c>
      <c r="DA247" s="150">
        <v>36546.07179686195</v>
      </c>
      <c r="DB247" s="2">
        <v>2</v>
      </c>
      <c r="DC247" s="648">
        <v>28123.57</v>
      </c>
      <c r="DD247" s="648"/>
      <c r="DE247" s="649">
        <v>-2634.8947960255791</v>
      </c>
      <c r="DG247" s="321">
        <v>-43695.113962520263</v>
      </c>
      <c r="DH247" s="5">
        <v>369101.57755230693</v>
      </c>
      <c r="DI247" s="306">
        <v>4.2823095752099745</v>
      </c>
      <c r="DJ247" s="306"/>
      <c r="DK247" s="306"/>
      <c r="DL247" s="28">
        <v>15293.840416904903</v>
      </c>
      <c r="DM247" s="28">
        <v>0</v>
      </c>
      <c r="DN247" s="650">
        <v>15293.79</v>
      </c>
      <c r="DO247" s="94">
        <v>5.0416904901794624E-2</v>
      </c>
      <c r="DP247" s="28">
        <v>15293.840416904903</v>
      </c>
      <c r="DQ247" s="318">
        <v>-0.42823095752282825</v>
      </c>
      <c r="DS247" s="8">
        <v>14565.970140821357</v>
      </c>
      <c r="DT247" s="5">
        <v>728.29850704106786</v>
      </c>
      <c r="DW247" s="5">
        <v>11472.710124609555</v>
      </c>
      <c r="DX247" s="5">
        <v>4084.7999999999997</v>
      </c>
    </row>
    <row r="248" spans="1:128" x14ac:dyDescent="0.3">
      <c r="A248" s="325">
        <v>150001046</v>
      </c>
      <c r="B248" s="41" t="s">
        <v>695</v>
      </c>
      <c r="C248" s="42" t="s">
        <v>273</v>
      </c>
      <c r="D248" s="42" t="s">
        <v>273</v>
      </c>
      <c r="E248" s="293">
        <v>2682.1</v>
      </c>
      <c r="F248" s="305">
        <v>2471.5</v>
      </c>
      <c r="G248" s="51"/>
      <c r="H248" s="651">
        <v>210.6</v>
      </c>
      <c r="I248" s="73">
        <v>1257.8967622848231</v>
      </c>
      <c r="J248" s="40">
        <v>1398.5755354745259</v>
      </c>
      <c r="K248" s="52">
        <v>140.67877318970272</v>
      </c>
      <c r="L248" s="73">
        <v>280.35067149886703</v>
      </c>
      <c r="M248" s="40">
        <v>315.84872342783046</v>
      </c>
      <c r="N248" s="52">
        <v>35.498051928963434</v>
      </c>
      <c r="O248" s="73">
        <v>467.40655377572335</v>
      </c>
      <c r="P248" s="40">
        <v>467.4</v>
      </c>
      <c r="Q248" s="52">
        <v>-6.5537757233755656E-3</v>
      </c>
      <c r="R248" s="73">
        <v>0</v>
      </c>
      <c r="S248" s="40">
        <v>0</v>
      </c>
      <c r="T248" s="52">
        <v>0</v>
      </c>
      <c r="U248" s="73">
        <v>0</v>
      </c>
      <c r="V248" s="40">
        <v>0</v>
      </c>
      <c r="W248" s="52">
        <v>0</v>
      </c>
      <c r="X248" s="73">
        <v>642.27415437258333</v>
      </c>
      <c r="Y248" s="40">
        <v>677.06253716349772</v>
      </c>
      <c r="Z248" s="52">
        <v>34.788382790914397</v>
      </c>
      <c r="AA248" s="73">
        <v>211.36799999999999</v>
      </c>
      <c r="AB248" s="40">
        <v>0</v>
      </c>
      <c r="AC248" s="52">
        <v>-211.36799999999999</v>
      </c>
      <c r="AD248" s="73">
        <v>1896.6146976649832</v>
      </c>
      <c r="AE248" s="40">
        <v>2417.3905247947341</v>
      </c>
      <c r="AF248" s="35">
        <v>520.77582712975095</v>
      </c>
      <c r="AG248" s="77">
        <v>4755.9108395969797</v>
      </c>
      <c r="AH248" s="53">
        <v>5276.2773208605886</v>
      </c>
      <c r="AI248" s="52">
        <v>520.36648126360888</v>
      </c>
      <c r="AJ248" s="73">
        <v>0</v>
      </c>
      <c r="AK248" s="40">
        <v>0</v>
      </c>
      <c r="AL248" s="52">
        <v>0</v>
      </c>
      <c r="AM248" s="73">
        <v>0</v>
      </c>
      <c r="AN248" s="40">
        <v>0</v>
      </c>
      <c r="AO248" s="52">
        <v>0</v>
      </c>
      <c r="AP248" s="73">
        <v>1096.8017499999999</v>
      </c>
      <c r="AQ248" s="40">
        <v>0</v>
      </c>
      <c r="AR248" s="52">
        <v>-1096.8017499999999</v>
      </c>
      <c r="AS248" s="73">
        <v>2245.7562700194253</v>
      </c>
      <c r="AT248" s="40">
        <v>0</v>
      </c>
      <c r="AU248" s="54">
        <v>-2245.7562700194253</v>
      </c>
      <c r="AV248" s="73">
        <v>531.783562360161</v>
      </c>
      <c r="AW248" s="40">
        <v>0</v>
      </c>
      <c r="AX248" s="55">
        <v>-531.783562360161</v>
      </c>
      <c r="AY248" s="73">
        <v>775.93620555520386</v>
      </c>
      <c r="AZ248" s="40">
        <v>104</v>
      </c>
      <c r="BA248" s="35">
        <v>-671.93620555520386</v>
      </c>
      <c r="BB248" s="73">
        <v>156.55701663827679</v>
      </c>
      <c r="BC248" s="40">
        <v>1402</v>
      </c>
      <c r="BD248" s="55">
        <v>1245.4429833617232</v>
      </c>
      <c r="BE248" s="73">
        <v>0</v>
      </c>
      <c r="BF248" s="40">
        <v>0</v>
      </c>
      <c r="BG248" s="38">
        <v>0</v>
      </c>
      <c r="BH248" s="73">
        <v>0</v>
      </c>
      <c r="BI248" s="40">
        <v>0</v>
      </c>
      <c r="BJ248" s="55">
        <v>0</v>
      </c>
      <c r="BK248" s="73">
        <v>421.32347987700246</v>
      </c>
      <c r="BL248" s="40">
        <v>0</v>
      </c>
      <c r="BM248" s="38">
        <v>-421.32347987700246</v>
      </c>
      <c r="BN248" s="73">
        <v>52.841999999999999</v>
      </c>
      <c r="BO248" s="40">
        <v>0</v>
      </c>
      <c r="BP248" s="55">
        <v>-52.841999999999999</v>
      </c>
      <c r="BQ248" s="77">
        <v>1938.4422644306442</v>
      </c>
      <c r="BR248" s="40">
        <v>1506</v>
      </c>
      <c r="BS248" s="55">
        <v>-432.44226443064417</v>
      </c>
      <c r="BT248" s="73">
        <v>2017.9074447554401</v>
      </c>
      <c r="BU248" s="40">
        <v>649.35728421006138</v>
      </c>
      <c r="BV248" s="52">
        <v>-1368.5501605453787</v>
      </c>
      <c r="BW248" s="73">
        <v>1153.768294068148</v>
      </c>
      <c r="BX248" s="40">
        <v>1327.4130392936518</v>
      </c>
      <c r="BY248" s="52">
        <v>173.64474522550381</v>
      </c>
      <c r="BZ248" s="73">
        <v>1437.2369238132419</v>
      </c>
      <c r="CA248" s="40">
        <v>3851.4368394730791</v>
      </c>
      <c r="CB248" s="52">
        <v>2414.1999156598372</v>
      </c>
      <c r="CC248" s="73">
        <v>90.111340742500005</v>
      </c>
      <c r="CD248" s="40">
        <v>113.69937576481944</v>
      </c>
      <c r="CE248" s="52">
        <v>23.588035022319431</v>
      </c>
      <c r="CF248" s="73">
        <v>10.70629791</v>
      </c>
      <c r="CG248" s="40">
        <v>0</v>
      </c>
      <c r="CH248" s="52">
        <v>-10.70629791</v>
      </c>
      <c r="CI248" s="73">
        <v>731.94</v>
      </c>
      <c r="CJ248" s="40">
        <v>728.71619910900563</v>
      </c>
      <c r="CK248" s="52">
        <v>-3.2238008909944256</v>
      </c>
      <c r="CL248" s="73">
        <v>0</v>
      </c>
      <c r="CM248" s="40">
        <v>0</v>
      </c>
      <c r="CN248" s="52">
        <v>0</v>
      </c>
      <c r="CO248" s="39">
        <v>731.94</v>
      </c>
      <c r="CP248" s="40">
        <v>728.71619910900563</v>
      </c>
      <c r="CQ248" s="52">
        <v>-3.2238008909944256</v>
      </c>
      <c r="CR248" s="72">
        <v>15478.581425336377</v>
      </c>
      <c r="CS248" s="5">
        <v>13452.900058711206</v>
      </c>
      <c r="CT248" s="52">
        <v>-2025.681366625171</v>
      </c>
      <c r="CU248" s="77">
        <v>18574.297710403651</v>
      </c>
      <c r="CV248" s="65">
        <v>16143.480070453446</v>
      </c>
      <c r="CW248" s="35">
        <v>-2430.8176399502045</v>
      </c>
      <c r="CX248" s="73">
        <v>1037.0593332039286</v>
      </c>
      <c r="CY248" s="40">
        <v>3467.8769731541324</v>
      </c>
      <c r="CZ248" s="52">
        <v>2430.8176399502036</v>
      </c>
      <c r="DA248" s="150">
        <v>16797.954610728575</v>
      </c>
      <c r="DB248" s="2">
        <v>2</v>
      </c>
      <c r="DC248" s="648">
        <v>25880.54</v>
      </c>
      <c r="DD248" s="648">
        <v>2158.02</v>
      </c>
      <c r="DE248" s="649">
        <v>8427.2029563924225</v>
      </c>
      <c r="DG248" s="321">
        <v>-7005.9873227057087</v>
      </c>
      <c r="DH248" s="5">
        <v>235336.28452329093</v>
      </c>
      <c r="DI248" s="306">
        <v>3.7098661659285224</v>
      </c>
      <c r="DJ248" s="306"/>
      <c r="DK248" s="306">
        <v>3.4157042779224791</v>
      </c>
      <c r="DL248" s="28">
        <v>9168.9342290923432</v>
      </c>
      <c r="DM248" s="28">
        <v>719.3473209304741</v>
      </c>
      <c r="DN248" s="650">
        <v>9169.02</v>
      </c>
      <c r="DO248" s="94">
        <v>-8.5770907657206408E-2</v>
      </c>
      <c r="DP248" s="28">
        <v>9888.2815500228171</v>
      </c>
      <c r="DQ248" s="318">
        <v>136.77525206090104</v>
      </c>
      <c r="DS248" s="8">
        <v>9287.1488552018254</v>
      </c>
      <c r="DT248" s="5">
        <v>464.35744276009132</v>
      </c>
      <c r="DW248" s="5">
        <v>5021.0382413400839</v>
      </c>
      <c r="DX248" s="5">
        <v>1807.2</v>
      </c>
    </row>
    <row r="249" spans="1:128" x14ac:dyDescent="0.3">
      <c r="A249" s="325">
        <v>150001040</v>
      </c>
      <c r="B249" s="41" t="s">
        <v>696</v>
      </c>
      <c r="C249" s="42" t="s">
        <v>217</v>
      </c>
      <c r="D249" s="42" t="s">
        <v>217</v>
      </c>
      <c r="E249" s="293">
        <v>2482.6</v>
      </c>
      <c r="F249" s="305">
        <v>2012.4</v>
      </c>
      <c r="G249" s="51"/>
      <c r="H249" s="651">
        <v>470.2</v>
      </c>
      <c r="I249" s="73">
        <v>1240.970332399276</v>
      </c>
      <c r="J249" s="40">
        <v>1370.416882433093</v>
      </c>
      <c r="K249" s="52">
        <v>129.44655003381695</v>
      </c>
      <c r="L249" s="73">
        <v>353.79733540499558</v>
      </c>
      <c r="M249" s="40">
        <v>398.59534537686909</v>
      </c>
      <c r="N249" s="52">
        <v>44.798009971873512</v>
      </c>
      <c r="O249" s="73">
        <v>454.99999477038995</v>
      </c>
      <c r="P249" s="40">
        <v>455</v>
      </c>
      <c r="Q249" s="52">
        <v>5.2296100534476864E-6</v>
      </c>
      <c r="R249" s="73">
        <v>0</v>
      </c>
      <c r="S249" s="40">
        <v>0</v>
      </c>
      <c r="T249" s="52">
        <v>0</v>
      </c>
      <c r="U249" s="73">
        <v>0</v>
      </c>
      <c r="V249" s="40">
        <v>0</v>
      </c>
      <c r="W249" s="52">
        <v>0</v>
      </c>
      <c r="X249" s="73">
        <v>1034.7943793700831</v>
      </c>
      <c r="Y249" s="40">
        <v>1129.6055390251581</v>
      </c>
      <c r="Z249" s="52">
        <v>94.811159655075016</v>
      </c>
      <c r="AA249" s="73">
        <v>192.5136</v>
      </c>
      <c r="AB249" s="40">
        <v>0</v>
      </c>
      <c r="AC249" s="52">
        <v>-192.5136</v>
      </c>
      <c r="AD249" s="73">
        <v>1717.9835099651559</v>
      </c>
      <c r="AE249" s="40">
        <v>2237.580148710118</v>
      </c>
      <c r="AF249" s="35">
        <v>519.59663874496209</v>
      </c>
      <c r="AG249" s="77">
        <v>4995.0591519099016</v>
      </c>
      <c r="AH249" s="53">
        <v>5591.1979155452382</v>
      </c>
      <c r="AI249" s="52">
        <v>596.13876363533655</v>
      </c>
      <c r="AJ249" s="73">
        <v>0</v>
      </c>
      <c r="AK249" s="40">
        <v>0</v>
      </c>
      <c r="AL249" s="52">
        <v>0</v>
      </c>
      <c r="AM249" s="73">
        <v>0</v>
      </c>
      <c r="AN249" s="40">
        <v>0</v>
      </c>
      <c r="AO249" s="52">
        <v>0</v>
      </c>
      <c r="AP249" s="73">
        <v>624.04237499999999</v>
      </c>
      <c r="AQ249" s="40">
        <v>0</v>
      </c>
      <c r="AR249" s="52">
        <v>-624.04237499999999</v>
      </c>
      <c r="AS249" s="73">
        <v>2757.3883861250406</v>
      </c>
      <c r="AT249" s="40">
        <v>4531</v>
      </c>
      <c r="AU249" s="54">
        <v>1773.6116138749594</v>
      </c>
      <c r="AV249" s="73">
        <v>637.83563692398081</v>
      </c>
      <c r="AW249" s="40">
        <v>0</v>
      </c>
      <c r="AX249" s="55">
        <v>-637.83563692398081</v>
      </c>
      <c r="AY249" s="73">
        <v>979.20149377280734</v>
      </c>
      <c r="AZ249" s="40">
        <v>0</v>
      </c>
      <c r="BA249" s="35">
        <v>-979.20149377280734</v>
      </c>
      <c r="BB249" s="73">
        <v>126.72465476357999</v>
      </c>
      <c r="BC249" s="40">
        <v>5306</v>
      </c>
      <c r="BD249" s="55">
        <v>5179.2753452364204</v>
      </c>
      <c r="BE249" s="73">
        <v>0</v>
      </c>
      <c r="BF249" s="40">
        <v>0</v>
      </c>
      <c r="BG249" s="38">
        <v>0</v>
      </c>
      <c r="BH249" s="73">
        <v>0</v>
      </c>
      <c r="BI249" s="40">
        <v>0</v>
      </c>
      <c r="BJ249" s="55">
        <v>0</v>
      </c>
      <c r="BK249" s="73">
        <v>806.48473650909273</v>
      </c>
      <c r="BL249" s="40">
        <v>0</v>
      </c>
      <c r="BM249" s="38">
        <v>-806.48473650909273</v>
      </c>
      <c r="BN249" s="73">
        <v>48.128399999999999</v>
      </c>
      <c r="BO249" s="40">
        <v>0</v>
      </c>
      <c r="BP249" s="55">
        <v>-48.128399999999999</v>
      </c>
      <c r="BQ249" s="77">
        <v>2598.374921969461</v>
      </c>
      <c r="BR249" s="40">
        <v>5306</v>
      </c>
      <c r="BS249" s="55">
        <v>2707.625078030539</v>
      </c>
      <c r="BT249" s="73">
        <v>1921.088581994906</v>
      </c>
      <c r="BU249" s="40">
        <v>545.00300317003496</v>
      </c>
      <c r="BV249" s="52">
        <v>-1376.0855788248709</v>
      </c>
      <c r="BW249" s="73">
        <v>1739.1196892749199</v>
      </c>
      <c r="BX249" s="40">
        <v>2359.2414649102079</v>
      </c>
      <c r="BY249" s="52">
        <v>620.12177563528803</v>
      </c>
      <c r="BZ249" s="73">
        <v>991.177013677638</v>
      </c>
      <c r="CA249" s="40">
        <v>3685.7256799246097</v>
      </c>
      <c r="CB249" s="52">
        <v>2694.5486662469716</v>
      </c>
      <c r="CC249" s="73">
        <v>112.3889727565</v>
      </c>
      <c r="CD249" s="40">
        <v>141.80852199035684</v>
      </c>
      <c r="CE249" s="52">
        <v>29.419549233856841</v>
      </c>
      <c r="CF249" s="73">
        <v>13.353145278</v>
      </c>
      <c r="CG249" s="40">
        <v>0</v>
      </c>
      <c r="CH249" s="52">
        <v>-13.353145278</v>
      </c>
      <c r="CI249" s="73">
        <v>853.42</v>
      </c>
      <c r="CJ249" s="40">
        <v>958.18886938521314</v>
      </c>
      <c r="CK249" s="52">
        <v>104.76886938521318</v>
      </c>
      <c r="CL249" s="73">
        <v>0</v>
      </c>
      <c r="CM249" s="40">
        <v>0</v>
      </c>
      <c r="CN249" s="52">
        <v>0</v>
      </c>
      <c r="CO249" s="39">
        <v>853.42</v>
      </c>
      <c r="CP249" s="40">
        <v>958.18886938521314</v>
      </c>
      <c r="CQ249" s="52">
        <v>104.76886938521318</v>
      </c>
      <c r="CR249" s="72">
        <v>16605.412237986366</v>
      </c>
      <c r="CS249" s="5">
        <v>23118.16545492566</v>
      </c>
      <c r="CT249" s="52">
        <v>6512.7532169392944</v>
      </c>
      <c r="CU249" s="77">
        <v>19926.494685583639</v>
      </c>
      <c r="CV249" s="65">
        <v>27741.798545910791</v>
      </c>
      <c r="CW249" s="35">
        <v>7815.3038603271525</v>
      </c>
      <c r="CX249" s="73">
        <v>1112.5565883521047</v>
      </c>
      <c r="CY249" s="40">
        <v>-6702.7472719750476</v>
      </c>
      <c r="CZ249" s="52">
        <v>-7815.3038603271525</v>
      </c>
      <c r="DA249" s="150">
        <v>103643.40392421077</v>
      </c>
      <c r="DB249" s="2">
        <v>2</v>
      </c>
      <c r="DC249" s="648">
        <v>14935.94</v>
      </c>
      <c r="DD249" s="648">
        <v>1337.07</v>
      </c>
      <c r="DE249" s="649">
        <v>-4766.0412739357434</v>
      </c>
      <c r="DG249" s="321">
        <v>50829.550216587384</v>
      </c>
      <c r="DH249" s="5">
        <v>252468.61528722892</v>
      </c>
      <c r="DI249" s="306">
        <v>4.4364378487799128</v>
      </c>
      <c r="DJ249" s="306"/>
      <c r="DK249" s="306">
        <v>3.8919907188637932</v>
      </c>
      <c r="DL249" s="28">
        <v>8927.8875268846969</v>
      </c>
      <c r="DM249" s="28">
        <v>1830.0140360097555</v>
      </c>
      <c r="DN249" s="650">
        <v>8927.7999999999993</v>
      </c>
      <c r="DO249" s="94">
        <v>8.7526884697581409E-2</v>
      </c>
      <c r="DP249" s="28">
        <v>10757.901562894453</v>
      </c>
      <c r="DQ249" s="318">
        <v>296.49185296304313</v>
      </c>
      <c r="DS249" s="8">
        <v>9963.2473427918194</v>
      </c>
      <c r="DT249" s="5">
        <v>498.16236713959097</v>
      </c>
      <c r="DW249" s="5">
        <v>6426.9159697134019</v>
      </c>
      <c r="DX249" s="5">
        <v>11804.4</v>
      </c>
    </row>
    <row r="250" spans="1:128" x14ac:dyDescent="0.3">
      <c r="A250" s="325">
        <v>150001047</v>
      </c>
      <c r="B250" s="41" t="s">
        <v>697</v>
      </c>
      <c r="C250" s="42" t="s">
        <v>180</v>
      </c>
      <c r="D250" s="42" t="s">
        <v>180</v>
      </c>
      <c r="E250" s="293">
        <v>762.81000000000006</v>
      </c>
      <c r="F250" s="305">
        <v>635.11</v>
      </c>
      <c r="G250" s="51"/>
      <c r="H250" s="651">
        <v>127.7</v>
      </c>
      <c r="I250" s="73">
        <v>334.48827521865644</v>
      </c>
      <c r="J250" s="40">
        <v>366.72422361214177</v>
      </c>
      <c r="K250" s="52">
        <v>32.23594839348533</v>
      </c>
      <c r="L250" s="73">
        <v>65.929179338942646</v>
      </c>
      <c r="M250" s="40">
        <v>74.277261820137056</v>
      </c>
      <c r="N250" s="52">
        <v>8.3480824811944103</v>
      </c>
      <c r="O250" s="73">
        <v>150.94299869095335</v>
      </c>
      <c r="P250" s="40">
        <v>150.96</v>
      </c>
      <c r="Q250" s="52">
        <v>1.7001309046662527E-2</v>
      </c>
      <c r="R250" s="73">
        <v>0</v>
      </c>
      <c r="S250" s="40">
        <v>0</v>
      </c>
      <c r="T250" s="52">
        <v>0</v>
      </c>
      <c r="U250" s="73">
        <v>0</v>
      </c>
      <c r="V250" s="40">
        <v>0</v>
      </c>
      <c r="W250" s="52">
        <v>0</v>
      </c>
      <c r="X250" s="73">
        <v>140.54523436610742</v>
      </c>
      <c r="Y250" s="40">
        <v>136.106331199804</v>
      </c>
      <c r="Z250" s="52">
        <v>-4.4389031663034189</v>
      </c>
      <c r="AA250" s="73">
        <v>61.024800000000006</v>
      </c>
      <c r="AB250" s="40">
        <v>0</v>
      </c>
      <c r="AC250" s="52">
        <v>-61.024800000000006</v>
      </c>
      <c r="AD250" s="73">
        <v>544.46287999763319</v>
      </c>
      <c r="AE250" s="40">
        <v>687.524576346397</v>
      </c>
      <c r="AF250" s="35">
        <v>143.0616963487638</v>
      </c>
      <c r="AG250" s="77">
        <v>1297.3933676122931</v>
      </c>
      <c r="AH250" s="53">
        <v>1415.5923929784799</v>
      </c>
      <c r="AI250" s="52">
        <v>118.19902536618679</v>
      </c>
      <c r="AJ250" s="73">
        <v>0</v>
      </c>
      <c r="AK250" s="40">
        <v>0</v>
      </c>
      <c r="AL250" s="52">
        <v>0</v>
      </c>
      <c r="AM250" s="73">
        <v>0</v>
      </c>
      <c r="AN250" s="40">
        <v>0</v>
      </c>
      <c r="AO250" s="52">
        <v>0</v>
      </c>
      <c r="AP250" s="73">
        <v>6.3034583333333334</v>
      </c>
      <c r="AQ250" s="40">
        <v>0</v>
      </c>
      <c r="AR250" s="52">
        <v>-6.3034583333333334</v>
      </c>
      <c r="AS250" s="73">
        <v>535.25077362380966</v>
      </c>
      <c r="AT250" s="40">
        <v>0</v>
      </c>
      <c r="AU250" s="54">
        <v>-535.25077362380966</v>
      </c>
      <c r="AV250" s="73">
        <v>189.86777345904761</v>
      </c>
      <c r="AW250" s="40">
        <v>0</v>
      </c>
      <c r="AX250" s="55">
        <v>-189.86777345904761</v>
      </c>
      <c r="AY250" s="73">
        <v>182.46372512590622</v>
      </c>
      <c r="AZ250" s="40">
        <v>0</v>
      </c>
      <c r="BA250" s="35">
        <v>-182.46372512590622</v>
      </c>
      <c r="BB250" s="73">
        <v>50.044635583569999</v>
      </c>
      <c r="BC250" s="40">
        <v>0</v>
      </c>
      <c r="BD250" s="55">
        <v>-50.044635583569999</v>
      </c>
      <c r="BE250" s="73">
        <v>0</v>
      </c>
      <c r="BF250" s="40">
        <v>0</v>
      </c>
      <c r="BG250" s="38">
        <v>0</v>
      </c>
      <c r="BH250" s="73">
        <v>0</v>
      </c>
      <c r="BI250" s="40">
        <v>0</v>
      </c>
      <c r="BJ250" s="55">
        <v>0</v>
      </c>
      <c r="BK250" s="73">
        <v>30.901346875690781</v>
      </c>
      <c r="BL250" s="40">
        <v>0</v>
      </c>
      <c r="BM250" s="38">
        <v>-30.901346875690781</v>
      </c>
      <c r="BN250" s="73">
        <v>15.256200000000002</v>
      </c>
      <c r="BO250" s="40">
        <v>0</v>
      </c>
      <c r="BP250" s="55">
        <v>-15.256200000000002</v>
      </c>
      <c r="BQ250" s="77">
        <v>468.53368104421452</v>
      </c>
      <c r="BR250" s="40">
        <v>0</v>
      </c>
      <c r="BS250" s="55">
        <v>-468.53368104421452</v>
      </c>
      <c r="BT250" s="73">
        <v>392.83532712964399</v>
      </c>
      <c r="BU250" s="40">
        <v>130.94105561757297</v>
      </c>
      <c r="BV250" s="52">
        <v>-261.89427151207099</v>
      </c>
      <c r="BW250" s="73">
        <v>877.09554324744204</v>
      </c>
      <c r="BX250" s="40">
        <v>2.8321773770034255</v>
      </c>
      <c r="BY250" s="52">
        <v>-874.26336587043863</v>
      </c>
      <c r="BZ250" s="73">
        <v>209.49840817108</v>
      </c>
      <c r="CA250" s="40">
        <v>943.70914328817776</v>
      </c>
      <c r="CB250" s="52">
        <v>734.21073511709778</v>
      </c>
      <c r="CC250" s="73">
        <v>0</v>
      </c>
      <c r="CD250" s="40">
        <v>0</v>
      </c>
      <c r="CE250" s="52">
        <v>0</v>
      </c>
      <c r="CF250" s="73">
        <v>0</v>
      </c>
      <c r="CG250" s="40">
        <v>0</v>
      </c>
      <c r="CH250" s="52">
        <v>0</v>
      </c>
      <c r="CI250" s="73">
        <v>507.68</v>
      </c>
      <c r="CJ250" s="40">
        <v>952.53784819220834</v>
      </c>
      <c r="CK250" s="52">
        <v>444.85784819220834</v>
      </c>
      <c r="CL250" s="73">
        <v>0</v>
      </c>
      <c r="CM250" s="40">
        <v>0</v>
      </c>
      <c r="CN250" s="52">
        <v>0</v>
      </c>
      <c r="CO250" s="39">
        <v>507.68</v>
      </c>
      <c r="CP250" s="40">
        <v>952.53784819220834</v>
      </c>
      <c r="CQ250" s="52">
        <v>444.85784819220834</v>
      </c>
      <c r="CR250" s="72">
        <v>4294.5905591618166</v>
      </c>
      <c r="CS250" s="5">
        <v>3445.6126174534425</v>
      </c>
      <c r="CT250" s="52">
        <v>-848.97794170837415</v>
      </c>
      <c r="CU250" s="77">
        <v>5153.5086709941797</v>
      </c>
      <c r="CV250" s="65">
        <v>4134.7351409441308</v>
      </c>
      <c r="CW250" s="35">
        <v>-1018.773530050049</v>
      </c>
      <c r="CX250" s="73">
        <v>287.73600753736076</v>
      </c>
      <c r="CY250" s="40">
        <v>1306.5095375874098</v>
      </c>
      <c r="CZ250" s="52">
        <v>1018.773530050049</v>
      </c>
      <c r="DA250" s="150">
        <v>-3691.1569553779032</v>
      </c>
      <c r="DB250" s="2">
        <v>2</v>
      </c>
      <c r="DC250" s="648">
        <v>12996.97</v>
      </c>
      <c r="DD250" s="648">
        <v>803.04</v>
      </c>
      <c r="DE250" s="649">
        <v>8358.7653214684578</v>
      </c>
      <c r="DG250" s="321">
        <v>34127.542691991577</v>
      </c>
      <c r="DH250" s="5">
        <v>65294.936142378487</v>
      </c>
      <c r="DI250" s="306">
        <v>3.6925262868438651</v>
      </c>
      <c r="DJ250" s="306"/>
      <c r="DK250" s="306">
        <v>2.8224877230582397</v>
      </c>
      <c r="DL250" s="28">
        <v>2345.1603700374071</v>
      </c>
      <c r="DM250" s="28">
        <v>360.43168223453722</v>
      </c>
      <c r="DN250" s="650">
        <v>2345.12</v>
      </c>
      <c r="DO250" s="94">
        <v>4.0370037407228665E-2</v>
      </c>
      <c r="DP250" s="28">
        <v>2705.5920522719443</v>
      </c>
      <c r="DQ250" s="318">
        <v>0</v>
      </c>
      <c r="DS250" s="8">
        <v>2576.7543354970899</v>
      </c>
      <c r="DT250" s="5">
        <v>128.8377167748545</v>
      </c>
      <c r="DW250" s="5">
        <v>1204.541345601629</v>
      </c>
      <c r="DX250" s="5">
        <v>0</v>
      </c>
    </row>
    <row r="251" spans="1:128" x14ac:dyDescent="0.3">
      <c r="A251" s="325">
        <v>150001048</v>
      </c>
      <c r="B251" s="41" t="s">
        <v>698</v>
      </c>
      <c r="C251" s="42" t="s">
        <v>126</v>
      </c>
      <c r="D251" s="42" t="s">
        <v>126</v>
      </c>
      <c r="E251" s="293">
        <v>63</v>
      </c>
      <c r="F251" s="305">
        <v>63</v>
      </c>
      <c r="G251" s="51"/>
      <c r="H251" s="651">
        <v>0</v>
      </c>
      <c r="I251" s="73">
        <v>0</v>
      </c>
      <c r="J251" s="40">
        <v>0</v>
      </c>
      <c r="K251" s="52">
        <v>0</v>
      </c>
      <c r="L251" s="73">
        <v>0</v>
      </c>
      <c r="M251" s="40">
        <v>0</v>
      </c>
      <c r="N251" s="52">
        <v>0</v>
      </c>
      <c r="O251" s="73">
        <v>0</v>
      </c>
      <c r="P251" s="40">
        <v>0</v>
      </c>
      <c r="Q251" s="52">
        <v>0</v>
      </c>
      <c r="R251" s="73">
        <v>0</v>
      </c>
      <c r="S251" s="40">
        <v>0</v>
      </c>
      <c r="T251" s="52">
        <v>0</v>
      </c>
      <c r="U251" s="73">
        <v>0</v>
      </c>
      <c r="V251" s="40">
        <v>0</v>
      </c>
      <c r="W251" s="52">
        <v>0</v>
      </c>
      <c r="X251" s="73">
        <v>0</v>
      </c>
      <c r="Y251" s="40">
        <v>0</v>
      </c>
      <c r="Z251" s="52">
        <v>0</v>
      </c>
      <c r="AA251" s="73">
        <v>5.04</v>
      </c>
      <c r="AB251" s="40">
        <v>0</v>
      </c>
      <c r="AC251" s="52">
        <v>-5.04</v>
      </c>
      <c r="AD251" s="73">
        <v>37.826555015109271</v>
      </c>
      <c r="AE251" s="40">
        <v>56.782224026720954</v>
      </c>
      <c r="AF251" s="35">
        <v>18.955669011611683</v>
      </c>
      <c r="AG251" s="77">
        <v>42.86655501510927</v>
      </c>
      <c r="AH251" s="53">
        <v>56.782224026720954</v>
      </c>
      <c r="AI251" s="52">
        <v>13.915669011611683</v>
      </c>
      <c r="AJ251" s="73">
        <v>0</v>
      </c>
      <c r="AK251" s="40">
        <v>0</v>
      </c>
      <c r="AL251" s="52">
        <v>0</v>
      </c>
      <c r="AM251" s="73">
        <v>0</v>
      </c>
      <c r="AN251" s="40">
        <v>0</v>
      </c>
      <c r="AO251" s="52">
        <v>0</v>
      </c>
      <c r="AP251" s="73">
        <v>37.820749999999997</v>
      </c>
      <c r="AQ251" s="40">
        <v>0</v>
      </c>
      <c r="AR251" s="52">
        <v>-37.820749999999997</v>
      </c>
      <c r="AS251" s="73">
        <v>98.051912234446377</v>
      </c>
      <c r="AT251" s="40">
        <v>0</v>
      </c>
      <c r="AU251" s="54">
        <v>-98.051912234446377</v>
      </c>
      <c r="AV251" s="73">
        <v>0</v>
      </c>
      <c r="AW251" s="40">
        <v>0</v>
      </c>
      <c r="AX251" s="55">
        <v>0</v>
      </c>
      <c r="AY251" s="73">
        <v>0</v>
      </c>
      <c r="AZ251" s="40">
        <v>0</v>
      </c>
      <c r="BA251" s="35">
        <v>0</v>
      </c>
      <c r="BB251" s="73">
        <v>0</v>
      </c>
      <c r="BC251" s="40">
        <v>0</v>
      </c>
      <c r="BD251" s="55">
        <v>0</v>
      </c>
      <c r="BE251" s="73">
        <v>0</v>
      </c>
      <c r="BF251" s="40">
        <v>0</v>
      </c>
      <c r="BG251" s="38">
        <v>0</v>
      </c>
      <c r="BH251" s="73">
        <v>0</v>
      </c>
      <c r="BI251" s="40">
        <v>0</v>
      </c>
      <c r="BJ251" s="55">
        <v>0</v>
      </c>
      <c r="BK251" s="73">
        <v>0</v>
      </c>
      <c r="BL251" s="40">
        <v>0</v>
      </c>
      <c r="BM251" s="38">
        <v>0</v>
      </c>
      <c r="BN251" s="73">
        <v>1.26</v>
      </c>
      <c r="BO251" s="40">
        <v>0</v>
      </c>
      <c r="BP251" s="55">
        <v>-1.26</v>
      </c>
      <c r="BQ251" s="77">
        <v>1.26</v>
      </c>
      <c r="BR251" s="40">
        <v>0</v>
      </c>
      <c r="BS251" s="55">
        <v>-1.26</v>
      </c>
      <c r="BT251" s="73">
        <v>0</v>
      </c>
      <c r="BU251" s="40">
        <v>0</v>
      </c>
      <c r="BV251" s="52">
        <v>0</v>
      </c>
      <c r="BW251" s="73">
        <v>0</v>
      </c>
      <c r="BX251" s="40">
        <v>0.23390775520931267</v>
      </c>
      <c r="BY251" s="52">
        <v>0.23390775520931267</v>
      </c>
      <c r="BZ251" s="73">
        <v>0</v>
      </c>
      <c r="CA251" s="40">
        <v>0</v>
      </c>
      <c r="CB251" s="52">
        <v>0</v>
      </c>
      <c r="CC251" s="73">
        <v>0</v>
      </c>
      <c r="CD251" s="40">
        <v>0</v>
      </c>
      <c r="CE251" s="52">
        <v>0</v>
      </c>
      <c r="CF251" s="73">
        <v>0</v>
      </c>
      <c r="CG251" s="40">
        <v>0</v>
      </c>
      <c r="CH251" s="52">
        <v>0</v>
      </c>
      <c r="CI251" s="73">
        <v>0</v>
      </c>
      <c r="CJ251" s="40">
        <v>0</v>
      </c>
      <c r="CK251" s="52">
        <v>0</v>
      </c>
      <c r="CL251" s="73">
        <v>0</v>
      </c>
      <c r="CM251" s="40">
        <v>0</v>
      </c>
      <c r="CN251" s="52">
        <v>0</v>
      </c>
      <c r="CO251" s="39">
        <v>0</v>
      </c>
      <c r="CP251" s="40">
        <v>0</v>
      </c>
      <c r="CQ251" s="52">
        <v>0</v>
      </c>
      <c r="CR251" s="72">
        <v>179.99921724955564</v>
      </c>
      <c r="CS251" s="5">
        <v>57.01613178193027</v>
      </c>
      <c r="CT251" s="52">
        <v>-122.98308546762537</v>
      </c>
      <c r="CU251" s="77">
        <v>215.99906069946675</v>
      </c>
      <c r="CV251" s="65">
        <v>68.419358138316326</v>
      </c>
      <c r="CW251" s="35">
        <v>-147.57970256115044</v>
      </c>
      <c r="CX251" s="73">
        <v>12.059882174505962</v>
      </c>
      <c r="CY251" s="40">
        <v>159.6395847356564</v>
      </c>
      <c r="CZ251" s="52">
        <v>147.57970256115044</v>
      </c>
      <c r="DA251" s="150">
        <v>-968.71230876866321</v>
      </c>
      <c r="DB251" s="2">
        <v>2</v>
      </c>
      <c r="DC251" s="648">
        <v>113.4</v>
      </c>
      <c r="DD251" s="648"/>
      <c r="DE251" s="649">
        <v>-114.65894287397271</v>
      </c>
      <c r="DG251" s="321">
        <v>-1619.8985893769766</v>
      </c>
      <c r="DH251" s="5">
        <v>2736.7073144876726</v>
      </c>
      <c r="DI251" s="306">
        <v>1.7999921724955561</v>
      </c>
      <c r="DJ251" s="306"/>
      <c r="DK251" s="306"/>
      <c r="DL251" s="28">
        <v>113.39950686722004</v>
      </c>
      <c r="DM251" s="28">
        <v>0</v>
      </c>
      <c r="DN251" s="650">
        <v>113.4</v>
      </c>
      <c r="DO251" s="94">
        <v>-4.9313277996532179E-4</v>
      </c>
      <c r="DP251" s="28">
        <v>113.39950686722004</v>
      </c>
      <c r="DQ251" s="318">
        <v>0</v>
      </c>
      <c r="DS251" s="8">
        <v>107.99953034973338</v>
      </c>
      <c r="DT251" s="5">
        <v>5.3999765174866701</v>
      </c>
      <c r="DW251" s="5">
        <v>119.17429468133565</v>
      </c>
      <c r="DX251" s="5">
        <v>0</v>
      </c>
    </row>
    <row r="252" spans="1:128" x14ac:dyDescent="0.3">
      <c r="A252" s="325">
        <v>150001049</v>
      </c>
      <c r="B252" s="41" t="s">
        <v>699</v>
      </c>
      <c r="C252" s="42" t="s">
        <v>181</v>
      </c>
      <c r="D252" s="42" t="s">
        <v>181</v>
      </c>
      <c r="E252" s="293">
        <v>253.7</v>
      </c>
      <c r="F252" s="305">
        <v>253.7</v>
      </c>
      <c r="G252" s="51"/>
      <c r="H252" s="651">
        <v>0</v>
      </c>
      <c r="I252" s="73">
        <v>189.03863664816157</v>
      </c>
      <c r="J252" s="40">
        <v>206.77736467762858</v>
      </c>
      <c r="K252" s="52">
        <v>17.738728029467012</v>
      </c>
      <c r="L252" s="73">
        <v>36.075013665661238</v>
      </c>
      <c r="M252" s="40">
        <v>40.64319372202781</v>
      </c>
      <c r="N252" s="52">
        <v>4.5681800563665718</v>
      </c>
      <c r="O252" s="73">
        <v>0</v>
      </c>
      <c r="P252" s="40">
        <v>0</v>
      </c>
      <c r="Q252" s="52">
        <v>0</v>
      </c>
      <c r="R252" s="73">
        <v>0</v>
      </c>
      <c r="S252" s="40">
        <v>0</v>
      </c>
      <c r="T252" s="52">
        <v>0</v>
      </c>
      <c r="U252" s="73">
        <v>0</v>
      </c>
      <c r="V252" s="40">
        <v>0</v>
      </c>
      <c r="W252" s="52">
        <v>0</v>
      </c>
      <c r="X252" s="73">
        <v>86.616800041781019</v>
      </c>
      <c r="Y252" s="40">
        <v>81.791982092706547</v>
      </c>
      <c r="Z252" s="52">
        <v>-4.8248179490744718</v>
      </c>
      <c r="AA252" s="73">
        <v>20.295999999999999</v>
      </c>
      <c r="AB252" s="40">
        <v>0</v>
      </c>
      <c r="AC252" s="52">
        <v>-20.295999999999999</v>
      </c>
      <c r="AD252" s="73">
        <v>162.47291247982295</v>
      </c>
      <c r="AE252" s="40">
        <v>228.66111485046198</v>
      </c>
      <c r="AF252" s="35">
        <v>66.188202370639033</v>
      </c>
      <c r="AG252" s="77">
        <v>494.49936283542672</v>
      </c>
      <c r="AH252" s="53">
        <v>557.87365534282492</v>
      </c>
      <c r="AI252" s="52">
        <v>63.374292507398195</v>
      </c>
      <c r="AJ252" s="73">
        <v>0</v>
      </c>
      <c r="AK252" s="40">
        <v>0</v>
      </c>
      <c r="AL252" s="52">
        <v>0</v>
      </c>
      <c r="AM252" s="73">
        <v>0</v>
      </c>
      <c r="AN252" s="40">
        <v>0</v>
      </c>
      <c r="AO252" s="52">
        <v>0</v>
      </c>
      <c r="AP252" s="73">
        <v>50.427666666666667</v>
      </c>
      <c r="AQ252" s="40">
        <v>0</v>
      </c>
      <c r="AR252" s="52">
        <v>-50.427666666666667</v>
      </c>
      <c r="AS252" s="73">
        <v>410.60051816811068</v>
      </c>
      <c r="AT252" s="40">
        <v>0</v>
      </c>
      <c r="AU252" s="54">
        <v>-410.60051816811068</v>
      </c>
      <c r="AV252" s="73">
        <v>103.70561178705314</v>
      </c>
      <c r="AW252" s="40">
        <v>0</v>
      </c>
      <c r="AX252" s="55">
        <v>-103.70561178705314</v>
      </c>
      <c r="AY252" s="73">
        <v>99.801497239336811</v>
      </c>
      <c r="AZ252" s="40">
        <v>0</v>
      </c>
      <c r="BA252" s="35">
        <v>-99.801497239336811</v>
      </c>
      <c r="BB252" s="73">
        <v>0</v>
      </c>
      <c r="BC252" s="40">
        <v>0</v>
      </c>
      <c r="BD252" s="55">
        <v>0</v>
      </c>
      <c r="BE252" s="73">
        <v>0</v>
      </c>
      <c r="BF252" s="40">
        <v>0</v>
      </c>
      <c r="BG252" s="38">
        <v>0</v>
      </c>
      <c r="BH252" s="73">
        <v>0</v>
      </c>
      <c r="BI252" s="40">
        <v>0</v>
      </c>
      <c r="BJ252" s="55">
        <v>0</v>
      </c>
      <c r="BK252" s="73">
        <v>7.0425147062594791</v>
      </c>
      <c r="BL252" s="40">
        <v>0</v>
      </c>
      <c r="BM252" s="38">
        <v>-7.0425147062594791</v>
      </c>
      <c r="BN252" s="73">
        <v>5.0739999999999998</v>
      </c>
      <c r="BO252" s="40">
        <v>0</v>
      </c>
      <c r="BP252" s="55">
        <v>-5.0739999999999998</v>
      </c>
      <c r="BQ252" s="77">
        <v>215.62362373264946</v>
      </c>
      <c r="BR252" s="40">
        <v>0</v>
      </c>
      <c r="BS252" s="55">
        <v>-215.62362373264946</v>
      </c>
      <c r="BT252" s="73">
        <v>137.17604745715059</v>
      </c>
      <c r="BU252" s="40">
        <v>88.423759557096318</v>
      </c>
      <c r="BV252" s="52">
        <v>-48.75228790005427</v>
      </c>
      <c r="BW252" s="73">
        <v>218.51786799029</v>
      </c>
      <c r="BX252" s="40">
        <v>229.00653432211925</v>
      </c>
      <c r="BY252" s="52">
        <v>10.488666331829251</v>
      </c>
      <c r="BZ252" s="73">
        <v>174.416371193217</v>
      </c>
      <c r="CA252" s="40">
        <v>415.9057874232326</v>
      </c>
      <c r="CB252" s="52">
        <v>241.48941623001559</v>
      </c>
      <c r="CC252" s="73">
        <v>0</v>
      </c>
      <c r="CD252" s="40">
        <v>0</v>
      </c>
      <c r="CE252" s="52">
        <v>0</v>
      </c>
      <c r="CF252" s="73">
        <v>0</v>
      </c>
      <c r="CG252" s="40">
        <v>0</v>
      </c>
      <c r="CH252" s="52">
        <v>0</v>
      </c>
      <c r="CI252" s="73">
        <v>137.04</v>
      </c>
      <c r="CJ252" s="40">
        <v>297.5651353367947</v>
      </c>
      <c r="CK252" s="52">
        <v>160.5251353367947</v>
      </c>
      <c r="CL252" s="73">
        <v>0</v>
      </c>
      <c r="CM252" s="40">
        <v>0</v>
      </c>
      <c r="CN252" s="52">
        <v>0</v>
      </c>
      <c r="CO252" s="39">
        <v>137.04</v>
      </c>
      <c r="CP252" s="40">
        <v>297.5651353367947</v>
      </c>
      <c r="CQ252" s="52">
        <v>160.5251353367947</v>
      </c>
      <c r="CR252" s="72">
        <v>1838.301458043511</v>
      </c>
      <c r="CS252" s="5">
        <v>1588.7748719820679</v>
      </c>
      <c r="CT252" s="52">
        <v>-249.52658606144314</v>
      </c>
      <c r="CU252" s="77">
        <v>2205.9617496522133</v>
      </c>
      <c r="CV252" s="65">
        <v>1906.5298463784814</v>
      </c>
      <c r="CW252" s="35">
        <v>-299.4319032737319</v>
      </c>
      <c r="CX252" s="73">
        <v>123.16552996166982</v>
      </c>
      <c r="CY252" s="40">
        <v>422.59743323540192</v>
      </c>
      <c r="CZ252" s="52">
        <v>299.43190327373213</v>
      </c>
      <c r="DA252" s="150">
        <v>2635.9018938450213</v>
      </c>
      <c r="DB252" s="2">
        <v>2</v>
      </c>
      <c r="DC252" s="648">
        <v>2407.25</v>
      </c>
      <c r="DD252" s="648"/>
      <c r="DE252" s="649">
        <v>78.122720386116725</v>
      </c>
      <c r="DG252" s="321">
        <v>7730.3728397101495</v>
      </c>
      <c r="DH252" s="5">
        <v>27949.527355366597</v>
      </c>
      <c r="DI252" s="306">
        <v>4.5649582915546398</v>
      </c>
      <c r="DJ252" s="306"/>
      <c r="DK252" s="306"/>
      <c r="DL252" s="28">
        <v>1158.129918567412</v>
      </c>
      <c r="DM252" s="28">
        <v>0</v>
      </c>
      <c r="DN252" s="650">
        <v>1158.1400000000001</v>
      </c>
      <c r="DO252" s="94">
        <v>-1.0081432588094685E-2</v>
      </c>
      <c r="DP252" s="28">
        <v>1158.129918567412</v>
      </c>
      <c r="DQ252" s="318">
        <v>0</v>
      </c>
      <c r="DS252" s="8">
        <v>1102.9808748261066</v>
      </c>
      <c r="DT252" s="5">
        <v>55.149043741305327</v>
      </c>
      <c r="DW252" s="5">
        <v>751.46897028091223</v>
      </c>
      <c r="DX252" s="5">
        <v>0</v>
      </c>
    </row>
    <row r="253" spans="1:128" x14ac:dyDescent="0.3">
      <c r="A253" s="325">
        <v>150001041</v>
      </c>
      <c r="B253" s="41" t="s">
        <v>700</v>
      </c>
      <c r="C253" s="42" t="s">
        <v>197</v>
      </c>
      <c r="D253" s="42" t="s">
        <v>197</v>
      </c>
      <c r="E253" s="293">
        <v>601.4</v>
      </c>
      <c r="F253" s="305">
        <v>601.4</v>
      </c>
      <c r="G253" s="51"/>
      <c r="H253" s="651">
        <v>0</v>
      </c>
      <c r="I253" s="73">
        <v>346.90137166959084</v>
      </c>
      <c r="J253" s="40">
        <v>382.41155756364685</v>
      </c>
      <c r="K253" s="52">
        <v>35.510185894056008</v>
      </c>
      <c r="L253" s="73">
        <v>57.288513055988183</v>
      </c>
      <c r="M253" s="40">
        <v>64.542365120250139</v>
      </c>
      <c r="N253" s="52">
        <v>7.2538520642619559</v>
      </c>
      <c r="O253" s="73">
        <v>119.86357339494667</v>
      </c>
      <c r="P253" s="40">
        <v>119.86</v>
      </c>
      <c r="Q253" s="52">
        <v>-3.5733949466703052E-3</v>
      </c>
      <c r="R253" s="73">
        <v>0</v>
      </c>
      <c r="S253" s="40">
        <v>0</v>
      </c>
      <c r="T253" s="52">
        <v>0</v>
      </c>
      <c r="U253" s="73">
        <v>0</v>
      </c>
      <c r="V253" s="40">
        <v>0</v>
      </c>
      <c r="W253" s="52">
        <v>0</v>
      </c>
      <c r="X253" s="73">
        <v>148.54585908798475</v>
      </c>
      <c r="Y253" s="40">
        <v>124.07295940323843</v>
      </c>
      <c r="Z253" s="52">
        <v>-24.472899684746324</v>
      </c>
      <c r="AA253" s="73">
        <v>48.112000000000002</v>
      </c>
      <c r="AB253" s="40">
        <v>0</v>
      </c>
      <c r="AC253" s="52">
        <v>-48.112000000000002</v>
      </c>
      <c r="AD253" s="73">
        <v>433.24582236221119</v>
      </c>
      <c r="AE253" s="40">
        <v>542.04491316936469</v>
      </c>
      <c r="AF253" s="35">
        <v>108.7990908071535</v>
      </c>
      <c r="AG253" s="77">
        <v>1153.9571395707217</v>
      </c>
      <c r="AH253" s="53">
        <v>1232.9317952565002</v>
      </c>
      <c r="AI253" s="52">
        <v>78.974655685778544</v>
      </c>
      <c r="AJ253" s="73">
        <v>0</v>
      </c>
      <c r="AK253" s="40">
        <v>0</v>
      </c>
      <c r="AL253" s="52">
        <v>0</v>
      </c>
      <c r="AM253" s="73">
        <v>0</v>
      </c>
      <c r="AN253" s="40">
        <v>0</v>
      </c>
      <c r="AO253" s="52">
        <v>0</v>
      </c>
      <c r="AP253" s="73">
        <v>226.92449999999997</v>
      </c>
      <c r="AQ253" s="40">
        <v>0</v>
      </c>
      <c r="AR253" s="52">
        <v>-226.92449999999997</v>
      </c>
      <c r="AS253" s="73">
        <v>681.34094062990664</v>
      </c>
      <c r="AT253" s="40">
        <v>0</v>
      </c>
      <c r="AU253" s="54">
        <v>-681.34094062990664</v>
      </c>
      <c r="AV253" s="73">
        <v>168.41917663294726</v>
      </c>
      <c r="AW253" s="40">
        <v>0</v>
      </c>
      <c r="AX253" s="55">
        <v>-168.41917663294726</v>
      </c>
      <c r="AY253" s="73">
        <v>158.54377150264548</v>
      </c>
      <c r="AZ253" s="40">
        <v>0</v>
      </c>
      <c r="BA253" s="35">
        <v>-158.54377150264548</v>
      </c>
      <c r="BB253" s="73">
        <v>40.671029145073398</v>
      </c>
      <c r="BC253" s="40">
        <v>0</v>
      </c>
      <c r="BD253" s="55">
        <v>-40.671029145073398</v>
      </c>
      <c r="BE253" s="73">
        <v>0</v>
      </c>
      <c r="BF253" s="40">
        <v>0</v>
      </c>
      <c r="BG253" s="38">
        <v>0</v>
      </c>
      <c r="BH253" s="73">
        <v>0</v>
      </c>
      <c r="BI253" s="40">
        <v>0</v>
      </c>
      <c r="BJ253" s="55">
        <v>0</v>
      </c>
      <c r="BK253" s="73">
        <v>17.77440822917432</v>
      </c>
      <c r="BL253" s="40">
        <v>0</v>
      </c>
      <c r="BM253" s="38">
        <v>-17.77440822917432</v>
      </c>
      <c r="BN253" s="73">
        <v>12.028</v>
      </c>
      <c r="BO253" s="40">
        <v>0</v>
      </c>
      <c r="BP253" s="55">
        <v>-12.028</v>
      </c>
      <c r="BQ253" s="77">
        <v>397.43638550984048</v>
      </c>
      <c r="BR253" s="40">
        <v>0</v>
      </c>
      <c r="BS253" s="55">
        <v>-397.43638550984048</v>
      </c>
      <c r="BT253" s="73">
        <v>646.81119243110402</v>
      </c>
      <c r="BU253" s="40">
        <v>217.75519968406161</v>
      </c>
      <c r="BV253" s="52">
        <v>-429.05599274704241</v>
      </c>
      <c r="BW253" s="73">
        <v>526.60159978351805</v>
      </c>
      <c r="BX253" s="40">
        <v>550.3757616728692</v>
      </c>
      <c r="BY253" s="52">
        <v>23.774161889351149</v>
      </c>
      <c r="BZ253" s="73">
        <v>392.24515575633399</v>
      </c>
      <c r="CA253" s="40">
        <v>1771.577105086237</v>
      </c>
      <c r="CB253" s="52">
        <v>1379.331949329903</v>
      </c>
      <c r="CC253" s="73">
        <v>0</v>
      </c>
      <c r="CD253" s="40">
        <v>0</v>
      </c>
      <c r="CE253" s="52">
        <v>0</v>
      </c>
      <c r="CF253" s="73">
        <v>0</v>
      </c>
      <c r="CG253" s="40">
        <v>0</v>
      </c>
      <c r="CH253" s="52">
        <v>0</v>
      </c>
      <c r="CI253" s="73">
        <v>190</v>
      </c>
      <c r="CJ253" s="40">
        <v>134.92545864801883</v>
      </c>
      <c r="CK253" s="52">
        <v>-55.074541351981168</v>
      </c>
      <c r="CL253" s="73">
        <v>0</v>
      </c>
      <c r="CM253" s="40">
        <v>0</v>
      </c>
      <c r="CN253" s="52">
        <v>0</v>
      </c>
      <c r="CO253" s="39">
        <v>190</v>
      </c>
      <c r="CP253" s="40">
        <v>134.92545864801883</v>
      </c>
      <c r="CQ253" s="52">
        <v>-55.074541351981168</v>
      </c>
      <c r="CR253" s="72">
        <v>4215.3169136814249</v>
      </c>
      <c r="CS253" s="5">
        <v>3907.5653203476868</v>
      </c>
      <c r="CT253" s="52">
        <v>-307.75159333373813</v>
      </c>
      <c r="CU253" s="77">
        <v>5058.3802964177094</v>
      </c>
      <c r="CV253" s="65">
        <v>4689.0783844172238</v>
      </c>
      <c r="CW253" s="35">
        <v>-369.30191200048557</v>
      </c>
      <c r="CX253" s="73">
        <v>282.4247020847842</v>
      </c>
      <c r="CY253" s="40">
        <v>651.72661408526983</v>
      </c>
      <c r="CZ253" s="52">
        <v>369.30191200048563</v>
      </c>
      <c r="DA253" s="150">
        <v>3169.0704485994593</v>
      </c>
      <c r="DB253" s="2">
        <v>2</v>
      </c>
      <c r="DC253" s="648">
        <v>3198.02</v>
      </c>
      <c r="DD253" s="648"/>
      <c r="DE253" s="649">
        <v>-2142.7849985024936</v>
      </c>
      <c r="DG253" s="321">
        <v>4776.0840431174965</v>
      </c>
      <c r="DH253" s="5">
        <v>64089.659982029923</v>
      </c>
      <c r="DI253" s="306">
        <v>4.4157792743919151</v>
      </c>
      <c r="DJ253" s="306"/>
      <c r="DK253" s="306"/>
      <c r="DL253" s="28">
        <v>2655.6496556192978</v>
      </c>
      <c r="DM253" s="28">
        <v>0</v>
      </c>
      <c r="DN253" s="650">
        <v>2655.65</v>
      </c>
      <c r="DO253" s="94">
        <v>-3.4438070224496187E-4</v>
      </c>
      <c r="DP253" s="28">
        <v>2655.6496556192978</v>
      </c>
      <c r="DQ253" s="318">
        <v>0</v>
      </c>
      <c r="DS253" s="8">
        <v>2529.1901482088547</v>
      </c>
      <c r="DT253" s="5">
        <v>126.45950741044274</v>
      </c>
      <c r="DW253" s="5">
        <v>1294.5327913676965</v>
      </c>
      <c r="DX253" s="5">
        <v>0</v>
      </c>
    </row>
    <row r="254" spans="1:128" x14ac:dyDescent="0.3">
      <c r="A254" s="325">
        <v>150001042</v>
      </c>
      <c r="B254" s="41" t="s">
        <v>701</v>
      </c>
      <c r="C254" s="42" t="s">
        <v>182</v>
      </c>
      <c r="D254" s="42" t="s">
        <v>182</v>
      </c>
      <c r="E254" s="293">
        <v>427.1</v>
      </c>
      <c r="F254" s="305">
        <v>427.1</v>
      </c>
      <c r="G254" s="51"/>
      <c r="H254" s="651">
        <v>0</v>
      </c>
      <c r="I254" s="73">
        <v>306.88253179637678</v>
      </c>
      <c r="J254" s="40">
        <v>336.93689141688799</v>
      </c>
      <c r="K254" s="52">
        <v>30.054359620511207</v>
      </c>
      <c r="L254" s="73">
        <v>64.719239875442739</v>
      </c>
      <c r="M254" s="40">
        <v>72.914376282152887</v>
      </c>
      <c r="N254" s="52">
        <v>8.195136406710148</v>
      </c>
      <c r="O254" s="73">
        <v>82.274773615979996</v>
      </c>
      <c r="P254" s="40">
        <v>82.283333333333331</v>
      </c>
      <c r="Q254" s="52">
        <v>8.5597173533358273E-3</v>
      </c>
      <c r="R254" s="73">
        <v>0</v>
      </c>
      <c r="S254" s="40">
        <v>0</v>
      </c>
      <c r="T254" s="52">
        <v>0</v>
      </c>
      <c r="U254" s="73">
        <v>0</v>
      </c>
      <c r="V254" s="40">
        <v>0</v>
      </c>
      <c r="W254" s="52">
        <v>0</v>
      </c>
      <c r="X254" s="73">
        <v>135.32866873618718</v>
      </c>
      <c r="Y254" s="40">
        <v>137.56425979456253</v>
      </c>
      <c r="Z254" s="52">
        <v>2.2355910583753484</v>
      </c>
      <c r="AA254" s="73">
        <v>34.167999999999999</v>
      </c>
      <c r="AB254" s="40">
        <v>0</v>
      </c>
      <c r="AC254" s="52">
        <v>-34.167999999999999</v>
      </c>
      <c r="AD254" s="73">
        <v>307.69028893914412</v>
      </c>
      <c r="AE254" s="40">
        <v>384.94742669543683</v>
      </c>
      <c r="AF254" s="35">
        <v>77.257137756292707</v>
      </c>
      <c r="AG254" s="77">
        <v>931.06350296313076</v>
      </c>
      <c r="AH254" s="53">
        <v>1014.6462875223735</v>
      </c>
      <c r="AI254" s="52">
        <v>83.582784559242782</v>
      </c>
      <c r="AJ254" s="73">
        <v>0</v>
      </c>
      <c r="AK254" s="40">
        <v>0</v>
      </c>
      <c r="AL254" s="52">
        <v>0</v>
      </c>
      <c r="AM254" s="73">
        <v>0</v>
      </c>
      <c r="AN254" s="40">
        <v>0</v>
      </c>
      <c r="AO254" s="52">
        <v>0</v>
      </c>
      <c r="AP254" s="73">
        <v>151.28299999999999</v>
      </c>
      <c r="AQ254" s="40">
        <v>0</v>
      </c>
      <c r="AR254" s="52">
        <v>-151.28299999999999</v>
      </c>
      <c r="AS254" s="73">
        <v>554.85953752188175</v>
      </c>
      <c r="AT254" s="40">
        <v>0</v>
      </c>
      <c r="AU254" s="54">
        <v>-554.85953752188175</v>
      </c>
      <c r="AV254" s="73">
        <v>163.4139248484681</v>
      </c>
      <c r="AW254" s="40">
        <v>0</v>
      </c>
      <c r="AX254" s="55">
        <v>-163.4139248484681</v>
      </c>
      <c r="AY254" s="73">
        <v>179.07335267244687</v>
      </c>
      <c r="AZ254" s="40">
        <v>0</v>
      </c>
      <c r="BA254" s="35">
        <v>-179.07335267244687</v>
      </c>
      <c r="BB254" s="73">
        <v>26.08755456968332</v>
      </c>
      <c r="BC254" s="40">
        <v>0</v>
      </c>
      <c r="BD254" s="55">
        <v>-26.08755456968332</v>
      </c>
      <c r="BE254" s="73">
        <v>0</v>
      </c>
      <c r="BF254" s="40">
        <v>0</v>
      </c>
      <c r="BG254" s="38">
        <v>0</v>
      </c>
      <c r="BH254" s="73">
        <v>0</v>
      </c>
      <c r="BI254" s="40">
        <v>0</v>
      </c>
      <c r="BJ254" s="55">
        <v>0</v>
      </c>
      <c r="BK254" s="73">
        <v>14.085035329655852</v>
      </c>
      <c r="BL254" s="40">
        <v>0</v>
      </c>
      <c r="BM254" s="38">
        <v>-14.085035329655852</v>
      </c>
      <c r="BN254" s="73">
        <v>8.5419999999999998</v>
      </c>
      <c r="BO254" s="40">
        <v>0</v>
      </c>
      <c r="BP254" s="55">
        <v>-8.5419999999999998</v>
      </c>
      <c r="BQ254" s="77">
        <v>391.20186742025413</v>
      </c>
      <c r="BR254" s="40">
        <v>0</v>
      </c>
      <c r="BS254" s="55">
        <v>-391.20186742025413</v>
      </c>
      <c r="BT254" s="73">
        <v>449.04113082745801</v>
      </c>
      <c r="BU254" s="40">
        <v>157.48165601049996</v>
      </c>
      <c r="BV254" s="52">
        <v>-291.55947481695807</v>
      </c>
      <c r="BW254" s="73">
        <v>475.66822079398202</v>
      </c>
      <c r="BX254" s="40">
        <v>494.85787856804183</v>
      </c>
      <c r="BY254" s="52">
        <v>19.18965777405981</v>
      </c>
      <c r="BZ254" s="73">
        <v>246.25906986417399</v>
      </c>
      <c r="CA254" s="40">
        <v>1526.6844443858133</v>
      </c>
      <c r="CB254" s="52">
        <v>1280.4253745216392</v>
      </c>
      <c r="CC254" s="73">
        <v>0</v>
      </c>
      <c r="CD254" s="40">
        <v>0</v>
      </c>
      <c r="CE254" s="52">
        <v>0</v>
      </c>
      <c r="CF254" s="73">
        <v>0</v>
      </c>
      <c r="CG254" s="40">
        <v>0</v>
      </c>
      <c r="CH254" s="52">
        <v>0</v>
      </c>
      <c r="CI254" s="73">
        <v>274.08</v>
      </c>
      <c r="CJ254" s="40">
        <v>174.84971013682775</v>
      </c>
      <c r="CK254" s="52">
        <v>-99.230289863172231</v>
      </c>
      <c r="CL254" s="73">
        <v>0</v>
      </c>
      <c r="CM254" s="40">
        <v>0</v>
      </c>
      <c r="CN254" s="52">
        <v>0</v>
      </c>
      <c r="CO254" s="39">
        <v>274.08</v>
      </c>
      <c r="CP254" s="40">
        <v>174.84971013682775</v>
      </c>
      <c r="CQ254" s="52">
        <v>-99.230289863172231</v>
      </c>
      <c r="CR254" s="72">
        <v>3473.4563293908805</v>
      </c>
      <c r="CS254" s="5">
        <v>3368.5199766235564</v>
      </c>
      <c r="CT254" s="52">
        <v>-104.93635276732402</v>
      </c>
      <c r="CU254" s="77">
        <v>4168.1475952690562</v>
      </c>
      <c r="CV254" s="65">
        <v>4042.2239719482677</v>
      </c>
      <c r="CW254" s="35">
        <v>-125.92362332078847</v>
      </c>
      <c r="CX254" s="73">
        <v>232.72031240374406</v>
      </c>
      <c r="CY254" s="40">
        <v>358.64393572453264</v>
      </c>
      <c r="CZ254" s="52">
        <v>125.92362332078858</v>
      </c>
      <c r="DA254" s="150">
        <v>5756.2896267318902</v>
      </c>
      <c r="DB254" s="2">
        <v>2</v>
      </c>
      <c r="DC254" s="648">
        <v>7943.72</v>
      </c>
      <c r="DD254" s="648"/>
      <c r="DE254" s="649">
        <v>3542.8520923271999</v>
      </c>
      <c r="DG254" s="321">
        <v>5459.0582198445354</v>
      </c>
      <c r="DH254" s="5">
        <v>52810.414892073604</v>
      </c>
      <c r="DI254" s="306">
        <v>5.1235717338240567</v>
      </c>
      <c r="DJ254" s="306"/>
      <c r="DK254" s="306"/>
      <c r="DL254" s="28">
        <v>2188.277487516255</v>
      </c>
      <c r="DM254" s="28">
        <v>0</v>
      </c>
      <c r="DN254" s="650">
        <v>2188.3000000000002</v>
      </c>
      <c r="DO254" s="94">
        <v>-2.2512483745231293E-2</v>
      </c>
      <c r="DP254" s="28">
        <v>2188.277487516255</v>
      </c>
      <c r="DQ254" s="318">
        <v>0</v>
      </c>
      <c r="DS254" s="8">
        <v>2084.0737976345281</v>
      </c>
      <c r="DT254" s="5">
        <v>104.20368988172642</v>
      </c>
      <c r="DW254" s="5">
        <v>1135.273685930563</v>
      </c>
      <c r="DX254" s="5">
        <v>0</v>
      </c>
    </row>
    <row r="255" spans="1:128" x14ac:dyDescent="0.3">
      <c r="A255" s="325">
        <v>150001043</v>
      </c>
      <c r="B255" s="41" t="s">
        <v>702</v>
      </c>
      <c r="C255" s="42" t="s">
        <v>218</v>
      </c>
      <c r="D255" s="42" t="s">
        <v>218</v>
      </c>
      <c r="E255" s="293">
        <v>1282.0999999999999</v>
      </c>
      <c r="F255" s="305">
        <v>1282.0999999999999</v>
      </c>
      <c r="G255" s="51"/>
      <c r="H255" s="651">
        <v>0</v>
      </c>
      <c r="I255" s="73">
        <v>656.65593793079483</v>
      </c>
      <c r="J255" s="40">
        <v>726.56001401056824</v>
      </c>
      <c r="K255" s="52">
        <v>69.904076079773404</v>
      </c>
      <c r="L255" s="73">
        <v>141.49313119245204</v>
      </c>
      <c r="M255" s="40">
        <v>159.408933460648</v>
      </c>
      <c r="N255" s="52">
        <v>17.915802268195961</v>
      </c>
      <c r="O255" s="73">
        <v>255.77900374667334</v>
      </c>
      <c r="P255" s="40">
        <v>255.78</v>
      </c>
      <c r="Q255" s="52">
        <v>9.9625332666164468E-4</v>
      </c>
      <c r="R255" s="73">
        <v>0</v>
      </c>
      <c r="S255" s="40">
        <v>0</v>
      </c>
      <c r="T255" s="52">
        <v>0</v>
      </c>
      <c r="U255" s="73">
        <v>0</v>
      </c>
      <c r="V255" s="40">
        <v>0</v>
      </c>
      <c r="W255" s="52">
        <v>0</v>
      </c>
      <c r="X255" s="73">
        <v>327.90345666075876</v>
      </c>
      <c r="Y255" s="40">
        <v>329.07631606233372</v>
      </c>
      <c r="Z255" s="52">
        <v>1.1728594015749536</v>
      </c>
      <c r="AA255" s="73">
        <v>102.568</v>
      </c>
      <c r="AB255" s="40">
        <v>0</v>
      </c>
      <c r="AC255" s="52">
        <v>-102.568</v>
      </c>
      <c r="AD255" s="73">
        <v>923.65810543678958</v>
      </c>
      <c r="AE255" s="40">
        <v>1155.5633242009353</v>
      </c>
      <c r="AF255" s="35">
        <v>231.90521876414573</v>
      </c>
      <c r="AG255" s="77">
        <v>2408.0576349674684</v>
      </c>
      <c r="AH255" s="53">
        <v>2626.3885877344856</v>
      </c>
      <c r="AI255" s="52">
        <v>218.33095276701715</v>
      </c>
      <c r="AJ255" s="73">
        <v>0</v>
      </c>
      <c r="AK255" s="40">
        <v>0</v>
      </c>
      <c r="AL255" s="52">
        <v>0</v>
      </c>
      <c r="AM255" s="73">
        <v>0</v>
      </c>
      <c r="AN255" s="40">
        <v>0</v>
      </c>
      <c r="AO255" s="52">
        <v>0</v>
      </c>
      <c r="AP255" s="73">
        <v>416.02824999999996</v>
      </c>
      <c r="AQ255" s="40">
        <v>0</v>
      </c>
      <c r="AR255" s="52">
        <v>-416.02824999999996</v>
      </c>
      <c r="AS255" s="73">
        <v>1336.5096200490916</v>
      </c>
      <c r="AT255" s="40">
        <v>0</v>
      </c>
      <c r="AU255" s="54">
        <v>-1336.5096200490916</v>
      </c>
      <c r="AV255" s="73">
        <v>322.5199869885202</v>
      </c>
      <c r="AW255" s="40">
        <v>0</v>
      </c>
      <c r="AX255" s="55">
        <v>-322.5199869885202</v>
      </c>
      <c r="AY255" s="73">
        <v>391.60923764831881</v>
      </c>
      <c r="AZ255" s="40">
        <v>0</v>
      </c>
      <c r="BA255" s="35">
        <v>-391.60923764831881</v>
      </c>
      <c r="BB255" s="73">
        <v>91.574619109426607</v>
      </c>
      <c r="BC255" s="40">
        <v>0</v>
      </c>
      <c r="BD255" s="55">
        <v>-91.574619109426607</v>
      </c>
      <c r="BE255" s="73">
        <v>0</v>
      </c>
      <c r="BF255" s="40">
        <v>0</v>
      </c>
      <c r="BG255" s="38">
        <v>0</v>
      </c>
      <c r="BH255" s="73">
        <v>0</v>
      </c>
      <c r="BI255" s="40">
        <v>0</v>
      </c>
      <c r="BJ255" s="55">
        <v>0</v>
      </c>
      <c r="BK255" s="73">
        <v>158.20146671213467</v>
      </c>
      <c r="BL255" s="40">
        <v>0</v>
      </c>
      <c r="BM255" s="38">
        <v>-158.20146671213467</v>
      </c>
      <c r="BN255" s="73">
        <v>25.641999999999999</v>
      </c>
      <c r="BO255" s="40">
        <v>0</v>
      </c>
      <c r="BP255" s="55">
        <v>-25.641999999999999</v>
      </c>
      <c r="BQ255" s="77">
        <v>989.54731045840037</v>
      </c>
      <c r="BR255" s="40">
        <v>0</v>
      </c>
      <c r="BS255" s="55">
        <v>-989.54731045840037</v>
      </c>
      <c r="BT255" s="73">
        <v>2180.4902450451</v>
      </c>
      <c r="BU255" s="40">
        <v>541.1412245928866</v>
      </c>
      <c r="BV255" s="52">
        <v>-1639.3490204522134</v>
      </c>
      <c r="BW255" s="73">
        <v>769.54611311118799</v>
      </c>
      <c r="BX255" s="40">
        <v>895.50147477719929</v>
      </c>
      <c r="BY255" s="52">
        <v>125.9553616660113</v>
      </c>
      <c r="BZ255" s="73">
        <v>602.73179340993397</v>
      </c>
      <c r="CA255" s="40">
        <v>3681.2965120840563</v>
      </c>
      <c r="CB255" s="52">
        <v>3078.5647186741226</v>
      </c>
      <c r="CC255" s="73">
        <v>116.3158255875</v>
      </c>
      <c r="CD255" s="40">
        <v>146.76328919197758</v>
      </c>
      <c r="CE255" s="52">
        <v>30.447463604477576</v>
      </c>
      <c r="CF255" s="73">
        <v>13.81970205</v>
      </c>
      <c r="CG255" s="40">
        <v>0</v>
      </c>
      <c r="CH255" s="52">
        <v>-13.81970205</v>
      </c>
      <c r="CI255" s="73">
        <v>305.24</v>
      </c>
      <c r="CJ255" s="40">
        <v>289.85697809183125</v>
      </c>
      <c r="CK255" s="52">
        <v>-15.383021908168757</v>
      </c>
      <c r="CL255" s="73">
        <v>0</v>
      </c>
      <c r="CM255" s="40">
        <v>0</v>
      </c>
      <c r="CN255" s="52">
        <v>0</v>
      </c>
      <c r="CO255" s="39">
        <v>305.24</v>
      </c>
      <c r="CP255" s="40">
        <v>289.85697809183125</v>
      </c>
      <c r="CQ255" s="52">
        <v>-15.383021908168757</v>
      </c>
      <c r="CR255" s="72">
        <v>9138.2864946786813</v>
      </c>
      <c r="CS255" s="5">
        <v>8180.9480664724369</v>
      </c>
      <c r="CT255" s="52">
        <v>-957.33842820624432</v>
      </c>
      <c r="CU255" s="77">
        <v>10965.943793614417</v>
      </c>
      <c r="CV255" s="65">
        <v>9817.1376797669236</v>
      </c>
      <c r="CW255" s="35">
        <v>-1148.8061138474932</v>
      </c>
      <c r="CX255" s="73">
        <v>612.26187583866317</v>
      </c>
      <c r="CY255" s="40">
        <v>1761.0679896861566</v>
      </c>
      <c r="CZ255" s="52">
        <v>1148.8061138474934</v>
      </c>
      <c r="DA255" s="150">
        <v>73182.176264738679</v>
      </c>
      <c r="DB255" s="2">
        <v>2</v>
      </c>
      <c r="DC255" s="648">
        <v>7072.44</v>
      </c>
      <c r="DD255" s="648"/>
      <c r="DE255" s="649">
        <v>-4505.7656694530806</v>
      </c>
      <c r="DG255" s="321">
        <v>18979.613316855881</v>
      </c>
      <c r="DH255" s="5">
        <v>138938.46803343698</v>
      </c>
      <c r="DI255" s="306">
        <v>4.4903833489178453</v>
      </c>
      <c r="DJ255" s="306"/>
      <c r="DK255" s="306"/>
      <c r="DL255" s="28">
        <v>5757.120491647569</v>
      </c>
      <c r="DM255" s="28">
        <v>0</v>
      </c>
      <c r="DN255" s="650">
        <v>5757.14</v>
      </c>
      <c r="DO255" s="94">
        <v>-1.9508352431330422E-2</v>
      </c>
      <c r="DP255" s="28">
        <v>5757.120491647569</v>
      </c>
      <c r="DQ255" s="318">
        <v>0</v>
      </c>
      <c r="DS255" s="8">
        <v>5482.9718968072084</v>
      </c>
      <c r="DT255" s="5">
        <v>274.14859484036043</v>
      </c>
      <c r="DW255" s="5">
        <v>2791.2683166089901</v>
      </c>
      <c r="DX255" s="5">
        <v>0</v>
      </c>
    </row>
    <row r="256" spans="1:128" ht="14.1" customHeight="1" x14ac:dyDescent="0.3">
      <c r="A256" s="325">
        <v>150000672</v>
      </c>
      <c r="B256" s="41"/>
      <c r="C256" s="43" t="s">
        <v>429</v>
      </c>
      <c r="D256" s="43" t="s">
        <v>429</v>
      </c>
      <c r="E256" s="293">
        <v>3173.9</v>
      </c>
      <c r="F256" s="305">
        <v>3106.9</v>
      </c>
      <c r="G256" s="51"/>
      <c r="H256" s="651">
        <v>67</v>
      </c>
      <c r="I256" s="73">
        <v>1915.12</v>
      </c>
      <c r="J256" s="40">
        <v>2127.5858498306252</v>
      </c>
      <c r="K256" s="52">
        <v>212.4658498306253</v>
      </c>
      <c r="L256" s="73">
        <v>400.2</v>
      </c>
      <c r="M256" s="40">
        <v>450.87174065526176</v>
      </c>
      <c r="N256" s="52">
        <v>50.671740655261772</v>
      </c>
      <c r="O256" s="73">
        <v>590.14</v>
      </c>
      <c r="P256" s="40">
        <v>590.14</v>
      </c>
      <c r="Q256" s="52">
        <v>0</v>
      </c>
      <c r="R256" s="73">
        <v>0</v>
      </c>
      <c r="S256" s="40">
        <v>0</v>
      </c>
      <c r="T256" s="52">
        <v>0</v>
      </c>
      <c r="U256" s="73">
        <v>0</v>
      </c>
      <c r="V256" s="40">
        <v>0</v>
      </c>
      <c r="W256" s="52">
        <v>0</v>
      </c>
      <c r="X256" s="73">
        <v>839.96</v>
      </c>
      <c r="Y256" s="40">
        <v>888.73085997899409</v>
      </c>
      <c r="Z256" s="52">
        <v>48.770859978994054</v>
      </c>
      <c r="AA256" s="73">
        <v>257.14</v>
      </c>
      <c r="AB256" s="40">
        <v>0</v>
      </c>
      <c r="AC256" s="52">
        <v>-257.14</v>
      </c>
      <c r="AD256" s="73">
        <v>2311.2800000000002</v>
      </c>
      <c r="AE256" s="40">
        <v>2860.6523942604708</v>
      </c>
      <c r="AF256" s="35">
        <v>549.37239426047063</v>
      </c>
      <c r="AG256" s="77">
        <v>6313.84</v>
      </c>
      <c r="AH256" s="53">
        <v>6917.9808447253517</v>
      </c>
      <c r="AI256" s="52">
        <v>604.1408447253516</v>
      </c>
      <c r="AJ256" s="73">
        <v>0</v>
      </c>
      <c r="AK256" s="40">
        <v>0</v>
      </c>
      <c r="AL256" s="52">
        <v>0</v>
      </c>
      <c r="AM256" s="73">
        <v>0</v>
      </c>
      <c r="AN256" s="40">
        <v>0</v>
      </c>
      <c r="AO256" s="52">
        <v>0</v>
      </c>
      <c r="AP256" s="73">
        <v>1304.8158749999998</v>
      </c>
      <c r="AQ256" s="40">
        <v>0</v>
      </c>
      <c r="AR256" s="52">
        <v>-1304.8158749999998</v>
      </c>
      <c r="AS256" s="73">
        <v>3362.2241250000006</v>
      </c>
      <c r="AT256" s="40">
        <v>0</v>
      </c>
      <c r="AU256" s="54">
        <v>-3362.2241250000006</v>
      </c>
      <c r="AV256" s="73">
        <v>795.64</v>
      </c>
      <c r="AW256" s="40">
        <v>0</v>
      </c>
      <c r="AX256" s="55">
        <v>-795.64</v>
      </c>
      <c r="AY256" s="73">
        <v>1107.68</v>
      </c>
      <c r="AZ256" s="40">
        <v>0</v>
      </c>
      <c r="BA256" s="35">
        <v>-1107.68</v>
      </c>
      <c r="BB256" s="73">
        <v>217.46</v>
      </c>
      <c r="BC256" s="40">
        <v>2811</v>
      </c>
      <c r="BD256" s="55">
        <v>2593.54</v>
      </c>
      <c r="BE256" s="73">
        <v>0</v>
      </c>
      <c r="BF256" s="40">
        <v>0</v>
      </c>
      <c r="BG256" s="38">
        <v>0</v>
      </c>
      <c r="BH256" s="73">
        <v>0</v>
      </c>
      <c r="BI256" s="40">
        <v>0</v>
      </c>
      <c r="BJ256" s="55">
        <v>0</v>
      </c>
      <c r="BK256" s="73">
        <v>564.12</v>
      </c>
      <c r="BL256" s="40">
        <v>0</v>
      </c>
      <c r="BM256" s="38">
        <v>-564.12</v>
      </c>
      <c r="BN256" s="73">
        <v>141.16</v>
      </c>
      <c r="BO256" s="40">
        <v>0</v>
      </c>
      <c r="BP256" s="55">
        <v>-141.16</v>
      </c>
      <c r="BQ256" s="77">
        <v>2826.06</v>
      </c>
      <c r="BR256" s="40">
        <v>2811</v>
      </c>
      <c r="BS256" s="55">
        <v>-15.059999999999945</v>
      </c>
      <c r="BT256" s="73">
        <v>2712.24</v>
      </c>
      <c r="BU256" s="40">
        <v>779.93277849216531</v>
      </c>
      <c r="BV256" s="52">
        <v>-1932.3072215078346</v>
      </c>
      <c r="BW256" s="73">
        <v>1393.2</v>
      </c>
      <c r="BX256" s="40">
        <v>1490.7356426089434</v>
      </c>
      <c r="BY256" s="52">
        <v>97.535642608943363</v>
      </c>
      <c r="BZ256" s="73">
        <v>1555.68</v>
      </c>
      <c r="CA256" s="40">
        <v>4506.0460594320939</v>
      </c>
      <c r="CB256" s="52">
        <v>2950.3660594320936</v>
      </c>
      <c r="CC256" s="73">
        <v>136.38</v>
      </c>
      <c r="CD256" s="40">
        <v>172.06730456990476</v>
      </c>
      <c r="CE256" s="52">
        <v>35.687304569904768</v>
      </c>
      <c r="CF256" s="73">
        <v>16.2</v>
      </c>
      <c r="CG256" s="40">
        <v>0</v>
      </c>
      <c r="CH256" s="52">
        <v>-16.2</v>
      </c>
      <c r="CI256" s="73">
        <v>1650.76</v>
      </c>
      <c r="CJ256" s="40">
        <v>1671.7084292612376</v>
      </c>
      <c r="CK256" s="52">
        <v>20.948429261237607</v>
      </c>
      <c r="CL256" s="73">
        <v>0</v>
      </c>
      <c r="CM256" s="40">
        <v>0</v>
      </c>
      <c r="CN256" s="52">
        <v>0</v>
      </c>
      <c r="CO256" s="39">
        <v>1650.76</v>
      </c>
      <c r="CP256" s="40">
        <v>1671.7084292612376</v>
      </c>
      <c r="CQ256" s="52">
        <v>20.948429261237607</v>
      </c>
      <c r="CR256" s="72">
        <v>21271.4</v>
      </c>
      <c r="CS256" s="5">
        <v>18349.471059089698</v>
      </c>
      <c r="CT256" s="52">
        <v>-2921.9289409103039</v>
      </c>
      <c r="CU256" s="77">
        <v>25525.68</v>
      </c>
      <c r="CV256" s="65">
        <v>22019.365270907638</v>
      </c>
      <c r="CW256" s="35">
        <v>-3506.3147290923625</v>
      </c>
      <c r="CX256" s="73">
        <v>1425.1760735777279</v>
      </c>
      <c r="CY256" s="40">
        <v>4931.4908026700905</v>
      </c>
      <c r="CZ256" s="52">
        <v>3506.3147290923625</v>
      </c>
      <c r="DA256" s="150">
        <v>-7863.2729058750174</v>
      </c>
      <c r="DB256" s="2">
        <v>2</v>
      </c>
      <c r="DC256" s="648">
        <v>21243.98</v>
      </c>
      <c r="DD256" s="648">
        <v>-261.05</v>
      </c>
      <c r="DE256" s="649">
        <v>-5967.9260735777279</v>
      </c>
      <c r="DG256" s="321">
        <v>32463.42058370763</v>
      </c>
      <c r="DH256" s="5">
        <v>323410.27288293274</v>
      </c>
      <c r="DI256" s="306">
        <v>4.1788167701613537</v>
      </c>
      <c r="DJ256" s="306"/>
      <c r="DK256" s="306">
        <v>3.8962204356791594</v>
      </c>
      <c r="DL256" s="28">
        <v>12983.165823214311</v>
      </c>
      <c r="DM256" s="28">
        <v>261.04676919050371</v>
      </c>
      <c r="DN256" s="650">
        <v>12983.14</v>
      </c>
      <c r="DO256" s="94">
        <v>2.5823214311458287E-2</v>
      </c>
      <c r="DP256" s="28">
        <v>13244.212592404814</v>
      </c>
      <c r="DQ256" s="318">
        <v>-156.76940759518584</v>
      </c>
      <c r="DS256" s="8">
        <v>12762.84</v>
      </c>
      <c r="DT256" s="5">
        <v>638.14200000000005</v>
      </c>
      <c r="DW256" s="5">
        <v>7425.9409500000002</v>
      </c>
      <c r="DX256" s="5">
        <v>3373.2</v>
      </c>
    </row>
    <row r="257" spans="1:128" x14ac:dyDescent="0.3">
      <c r="A257" s="325">
        <v>150000673</v>
      </c>
      <c r="B257" s="41" t="s">
        <v>703</v>
      </c>
      <c r="C257" s="42" t="s">
        <v>183</v>
      </c>
      <c r="D257" s="42" t="s">
        <v>183</v>
      </c>
      <c r="E257" s="293">
        <v>603.29999999999995</v>
      </c>
      <c r="F257" s="305">
        <v>603.29999999999995</v>
      </c>
      <c r="G257" s="51"/>
      <c r="H257" s="651">
        <v>0</v>
      </c>
      <c r="I257" s="73">
        <v>500.65536121800255</v>
      </c>
      <c r="J257" s="40">
        <v>549.60356478538324</v>
      </c>
      <c r="K257" s="52">
        <v>48.948203567380688</v>
      </c>
      <c r="L257" s="73">
        <v>95.7832843757989</v>
      </c>
      <c r="M257" s="40">
        <v>107.91132991824631</v>
      </c>
      <c r="N257" s="52">
        <v>12.12804554244741</v>
      </c>
      <c r="O257" s="73">
        <v>110.21180875226</v>
      </c>
      <c r="P257" s="40">
        <v>110.22</v>
      </c>
      <c r="Q257" s="52">
        <v>8.1912477400010175E-3</v>
      </c>
      <c r="R257" s="73">
        <v>0</v>
      </c>
      <c r="S257" s="40">
        <v>0</v>
      </c>
      <c r="T257" s="52">
        <v>0</v>
      </c>
      <c r="U257" s="73">
        <v>0</v>
      </c>
      <c r="V257" s="40">
        <v>0</v>
      </c>
      <c r="W257" s="52">
        <v>0</v>
      </c>
      <c r="X257" s="73">
        <v>137.81400047796194</v>
      </c>
      <c r="Y257" s="40">
        <v>139.81902436786982</v>
      </c>
      <c r="Z257" s="52">
        <v>2.0050238899078749</v>
      </c>
      <c r="AA257" s="73">
        <v>48.263999999999996</v>
      </c>
      <c r="AB257" s="40">
        <v>0</v>
      </c>
      <c r="AC257" s="52">
        <v>-48.263999999999996</v>
      </c>
      <c r="AD257" s="73">
        <v>434.64581137979138</v>
      </c>
      <c r="AE257" s="40">
        <v>543.75739294159916</v>
      </c>
      <c r="AF257" s="35">
        <v>109.11158156180778</v>
      </c>
      <c r="AG257" s="77">
        <v>1327.3742662038148</v>
      </c>
      <c r="AH257" s="53">
        <v>1451.3113120130986</v>
      </c>
      <c r="AI257" s="52">
        <v>123.93704580928375</v>
      </c>
      <c r="AJ257" s="73">
        <v>0</v>
      </c>
      <c r="AK257" s="40">
        <v>0</v>
      </c>
      <c r="AL257" s="52">
        <v>0</v>
      </c>
      <c r="AM257" s="73">
        <v>0</v>
      </c>
      <c r="AN257" s="40">
        <v>0</v>
      </c>
      <c r="AO257" s="52">
        <v>0</v>
      </c>
      <c r="AP257" s="73">
        <v>226.92449999999997</v>
      </c>
      <c r="AQ257" s="40">
        <v>0</v>
      </c>
      <c r="AR257" s="52">
        <v>-226.92449999999997</v>
      </c>
      <c r="AS257" s="73">
        <v>961.99456428680583</v>
      </c>
      <c r="AT257" s="40">
        <v>499</v>
      </c>
      <c r="AU257" s="54">
        <v>-462.99456428680583</v>
      </c>
      <c r="AV257" s="73">
        <v>256.05025476458445</v>
      </c>
      <c r="AW257" s="40">
        <v>0</v>
      </c>
      <c r="AX257" s="55">
        <v>-256.05025476458445</v>
      </c>
      <c r="AY257" s="73">
        <v>265.12601364890099</v>
      </c>
      <c r="AZ257" s="40">
        <v>0</v>
      </c>
      <c r="BA257" s="35">
        <v>-265.12601364890099</v>
      </c>
      <c r="BB257" s="73">
        <v>38.105149287949999</v>
      </c>
      <c r="BC257" s="40">
        <v>0</v>
      </c>
      <c r="BD257" s="55">
        <v>-38.105149287949999</v>
      </c>
      <c r="BE257" s="73">
        <v>0</v>
      </c>
      <c r="BF257" s="40">
        <v>0</v>
      </c>
      <c r="BG257" s="38">
        <v>0</v>
      </c>
      <c r="BH257" s="73">
        <v>0</v>
      </c>
      <c r="BI257" s="40">
        <v>0</v>
      </c>
      <c r="BJ257" s="55">
        <v>0</v>
      </c>
      <c r="BK257" s="73">
        <v>14.085004385047821</v>
      </c>
      <c r="BL257" s="40">
        <v>0</v>
      </c>
      <c r="BM257" s="38">
        <v>-14.085004385047821</v>
      </c>
      <c r="BN257" s="73">
        <v>12.065999999999999</v>
      </c>
      <c r="BO257" s="40">
        <v>0</v>
      </c>
      <c r="BP257" s="55">
        <v>-12.065999999999999</v>
      </c>
      <c r="BQ257" s="77">
        <v>585.43242208648326</v>
      </c>
      <c r="BR257" s="40">
        <v>0</v>
      </c>
      <c r="BS257" s="55">
        <v>-585.43242208648326</v>
      </c>
      <c r="BT257" s="73">
        <v>816.99007949454403</v>
      </c>
      <c r="BU257" s="40">
        <v>219.50391949336682</v>
      </c>
      <c r="BV257" s="52">
        <v>-597.48616000117727</v>
      </c>
      <c r="BW257" s="73">
        <v>487.43056945092201</v>
      </c>
      <c r="BX257" s="40">
        <v>510.65032554301467</v>
      </c>
      <c r="BY257" s="52">
        <v>23.219756092092666</v>
      </c>
      <c r="BZ257" s="73">
        <v>400.37141151856201</v>
      </c>
      <c r="CA257" s="40">
        <v>1300.1628598541806</v>
      </c>
      <c r="CB257" s="52">
        <v>899.79144833561861</v>
      </c>
      <c r="CC257" s="73">
        <v>0</v>
      </c>
      <c r="CD257" s="40">
        <v>0</v>
      </c>
      <c r="CE257" s="52">
        <v>0</v>
      </c>
      <c r="CF257" s="73">
        <v>0</v>
      </c>
      <c r="CG257" s="40">
        <v>0</v>
      </c>
      <c r="CH257" s="52">
        <v>0</v>
      </c>
      <c r="CI257" s="73">
        <v>118.36</v>
      </c>
      <c r="CJ257" s="40">
        <v>46.080525772788896</v>
      </c>
      <c r="CK257" s="52">
        <v>-72.279474227211097</v>
      </c>
      <c r="CL257" s="73">
        <v>0</v>
      </c>
      <c r="CM257" s="40">
        <v>0</v>
      </c>
      <c r="CN257" s="52">
        <v>0</v>
      </c>
      <c r="CO257" s="39">
        <v>118.36</v>
      </c>
      <c r="CP257" s="40">
        <v>46.080525772788896</v>
      </c>
      <c r="CQ257" s="52">
        <v>-72.279474227211097</v>
      </c>
      <c r="CR257" s="72">
        <v>4924.877813041132</v>
      </c>
      <c r="CS257" s="5">
        <v>4026.7089426764496</v>
      </c>
      <c r="CT257" s="52">
        <v>-898.16887036468233</v>
      </c>
      <c r="CU257" s="77">
        <v>5909.853375649358</v>
      </c>
      <c r="CV257" s="65">
        <v>4832.0507312117397</v>
      </c>
      <c r="CW257" s="35">
        <v>-1077.8026444376183</v>
      </c>
      <c r="CX257" s="73">
        <v>329.96502460769045</v>
      </c>
      <c r="CY257" s="40">
        <v>1407.767669045309</v>
      </c>
      <c r="CZ257" s="52">
        <v>1077.8026444376187</v>
      </c>
      <c r="DA257" s="150">
        <v>-9518.3947606908459</v>
      </c>
      <c r="DB257" s="2">
        <v>2</v>
      </c>
      <c r="DC257" s="648">
        <v>26032.82</v>
      </c>
      <c r="DD257" s="648"/>
      <c r="DE257" s="649">
        <v>19793.001599742951</v>
      </c>
      <c r="DG257" s="321">
        <v>-4168.5669994463215</v>
      </c>
      <c r="DH257" s="5">
        <v>74877.820803084585</v>
      </c>
      <c r="DI257" s="306">
        <v>5.1428361051150562</v>
      </c>
      <c r="DJ257" s="306"/>
      <c r="DK257" s="306"/>
      <c r="DL257" s="28">
        <v>3102.6730222159131</v>
      </c>
      <c r="DM257" s="28">
        <v>0</v>
      </c>
      <c r="DN257" s="650">
        <v>3102.65</v>
      </c>
      <c r="DO257" s="94">
        <v>2.3022215912988031E-2</v>
      </c>
      <c r="DP257" s="28">
        <v>3102.6730222159131</v>
      </c>
      <c r="DQ257" s="318">
        <v>0</v>
      </c>
      <c r="DS257" s="8">
        <v>2954.926687824679</v>
      </c>
      <c r="DT257" s="5">
        <v>147.74633439123397</v>
      </c>
      <c r="DW257" s="5">
        <v>1856.9123836479469</v>
      </c>
      <c r="DX257" s="5">
        <v>598.79999999999995</v>
      </c>
    </row>
    <row r="258" spans="1:128" x14ac:dyDescent="0.3">
      <c r="A258" s="325">
        <v>150000670</v>
      </c>
      <c r="B258" s="41" t="s">
        <v>704</v>
      </c>
      <c r="C258" s="42" t="s">
        <v>127</v>
      </c>
      <c r="D258" s="42" t="s">
        <v>127</v>
      </c>
      <c r="E258" s="293">
        <v>211.6</v>
      </c>
      <c r="F258" s="305">
        <v>211.6</v>
      </c>
      <c r="G258" s="51"/>
      <c r="H258" s="651">
        <v>0</v>
      </c>
      <c r="I258" s="73">
        <v>0</v>
      </c>
      <c r="J258" s="40">
        <v>0</v>
      </c>
      <c r="K258" s="52">
        <v>0</v>
      </c>
      <c r="L258" s="73">
        <v>0</v>
      </c>
      <c r="M258" s="40">
        <v>0</v>
      </c>
      <c r="N258" s="52">
        <v>0</v>
      </c>
      <c r="O258" s="73">
        <v>0</v>
      </c>
      <c r="P258" s="40">
        <v>0</v>
      </c>
      <c r="Q258" s="52">
        <v>0</v>
      </c>
      <c r="R258" s="73">
        <v>0</v>
      </c>
      <c r="S258" s="40">
        <v>0</v>
      </c>
      <c r="T258" s="52">
        <v>0</v>
      </c>
      <c r="U258" s="73">
        <v>0</v>
      </c>
      <c r="V258" s="40">
        <v>0</v>
      </c>
      <c r="W258" s="52">
        <v>0</v>
      </c>
      <c r="X258" s="73">
        <v>0</v>
      </c>
      <c r="Y258" s="40">
        <v>0</v>
      </c>
      <c r="Z258" s="52">
        <v>0</v>
      </c>
      <c r="AA258" s="73">
        <v>16.760000000000002</v>
      </c>
      <c r="AB258" s="40">
        <v>0</v>
      </c>
      <c r="AC258" s="52">
        <v>-16.760000000000002</v>
      </c>
      <c r="AD258" s="73">
        <v>134.16787057344104</v>
      </c>
      <c r="AE258" s="40">
        <v>190.71616831831989</v>
      </c>
      <c r="AF258" s="35">
        <v>56.548297744878852</v>
      </c>
      <c r="AG258" s="77">
        <v>150.92787057344103</v>
      </c>
      <c r="AH258" s="53">
        <v>190.71616831831989</v>
      </c>
      <c r="AI258" s="52">
        <v>39.788297744878861</v>
      </c>
      <c r="AJ258" s="73">
        <v>0</v>
      </c>
      <c r="AK258" s="40">
        <v>0</v>
      </c>
      <c r="AL258" s="52">
        <v>0</v>
      </c>
      <c r="AM258" s="73">
        <v>0</v>
      </c>
      <c r="AN258" s="40">
        <v>0</v>
      </c>
      <c r="AO258" s="52">
        <v>0</v>
      </c>
      <c r="AP258" s="73">
        <v>63.034583333333323</v>
      </c>
      <c r="AQ258" s="40">
        <v>0</v>
      </c>
      <c r="AR258" s="52">
        <v>-63.034583333333323</v>
      </c>
      <c r="AS258" s="73">
        <v>258.13679665487894</v>
      </c>
      <c r="AT258" s="40">
        <v>0</v>
      </c>
      <c r="AU258" s="54">
        <v>-258.13679665487894</v>
      </c>
      <c r="AV258" s="73">
        <v>0</v>
      </c>
      <c r="AW258" s="40">
        <v>0</v>
      </c>
      <c r="AX258" s="55">
        <v>0</v>
      </c>
      <c r="AY258" s="73">
        <v>0</v>
      </c>
      <c r="AZ258" s="40">
        <v>0</v>
      </c>
      <c r="BA258" s="35">
        <v>0</v>
      </c>
      <c r="BB258" s="73">
        <v>0</v>
      </c>
      <c r="BC258" s="40">
        <v>0</v>
      </c>
      <c r="BD258" s="55">
        <v>0</v>
      </c>
      <c r="BE258" s="73">
        <v>0</v>
      </c>
      <c r="BF258" s="40">
        <v>0</v>
      </c>
      <c r="BG258" s="38">
        <v>0</v>
      </c>
      <c r="BH258" s="73">
        <v>0</v>
      </c>
      <c r="BI258" s="40">
        <v>0</v>
      </c>
      <c r="BJ258" s="55">
        <v>0</v>
      </c>
      <c r="BK258" s="73">
        <v>0</v>
      </c>
      <c r="BL258" s="40">
        <v>0</v>
      </c>
      <c r="BM258" s="38">
        <v>0</v>
      </c>
      <c r="BN258" s="73">
        <v>4.1900000000000004</v>
      </c>
      <c r="BO258" s="40">
        <v>0</v>
      </c>
      <c r="BP258" s="55">
        <v>-4.1900000000000004</v>
      </c>
      <c r="BQ258" s="77">
        <v>4.1900000000000004</v>
      </c>
      <c r="BR258" s="40">
        <v>0</v>
      </c>
      <c r="BS258" s="55">
        <v>-4.1900000000000004</v>
      </c>
      <c r="BT258" s="73">
        <v>0</v>
      </c>
      <c r="BU258" s="40">
        <v>0</v>
      </c>
      <c r="BV258" s="52">
        <v>0</v>
      </c>
      <c r="BW258" s="73">
        <v>0</v>
      </c>
      <c r="BX258" s="40">
        <v>0.78563303178238986</v>
      </c>
      <c r="BY258" s="52">
        <v>0.78563303178238986</v>
      </c>
      <c r="BZ258" s="73">
        <v>0</v>
      </c>
      <c r="CA258" s="40">
        <v>0</v>
      </c>
      <c r="CB258" s="52">
        <v>0</v>
      </c>
      <c r="CC258" s="73">
        <v>0</v>
      </c>
      <c r="CD258" s="40">
        <v>0</v>
      </c>
      <c r="CE258" s="52">
        <v>0</v>
      </c>
      <c r="CF258" s="73">
        <v>0</v>
      </c>
      <c r="CG258" s="40">
        <v>0</v>
      </c>
      <c r="CH258" s="52">
        <v>0</v>
      </c>
      <c r="CI258" s="73">
        <v>0</v>
      </c>
      <c r="CJ258" s="40">
        <v>0</v>
      </c>
      <c r="CK258" s="52">
        <v>0</v>
      </c>
      <c r="CL258" s="73">
        <v>0</v>
      </c>
      <c r="CM258" s="40">
        <v>0</v>
      </c>
      <c r="CN258" s="52">
        <v>0</v>
      </c>
      <c r="CO258" s="39">
        <v>0</v>
      </c>
      <c r="CP258" s="40">
        <v>0</v>
      </c>
      <c r="CQ258" s="52">
        <v>0</v>
      </c>
      <c r="CR258" s="72">
        <v>476.28925056165332</v>
      </c>
      <c r="CS258" s="5">
        <v>191.50180135010228</v>
      </c>
      <c r="CT258" s="52">
        <v>-284.78744921155101</v>
      </c>
      <c r="CU258" s="77">
        <v>571.547100673984</v>
      </c>
      <c r="CV258" s="65">
        <v>229.80216162012275</v>
      </c>
      <c r="CW258" s="35">
        <v>-341.74493905386123</v>
      </c>
      <c r="CX258" s="73">
        <v>31.911206784825431</v>
      </c>
      <c r="CY258" s="40">
        <v>373.65614583868671</v>
      </c>
      <c r="CZ258" s="52">
        <v>341.74493905386129</v>
      </c>
      <c r="DA258" s="150">
        <v>-3387.4554203624011</v>
      </c>
      <c r="DB258" s="2">
        <v>2</v>
      </c>
      <c r="DC258" s="648">
        <v>1311.4</v>
      </c>
      <c r="DD258" s="648"/>
      <c r="DE258" s="649">
        <v>707.9416925411906</v>
      </c>
      <c r="DG258" s="321">
        <v>-4947.8152477619496</v>
      </c>
      <c r="DH258" s="5">
        <v>7241.4996895057138</v>
      </c>
      <c r="DI258" s="306">
        <v>1.4322779372498404</v>
      </c>
      <c r="DJ258" s="306"/>
      <c r="DK258" s="306"/>
      <c r="DL258" s="28">
        <v>303.07001152206624</v>
      </c>
      <c r="DM258" s="28">
        <v>0</v>
      </c>
      <c r="DN258" s="650">
        <v>303.07</v>
      </c>
      <c r="DO258" s="94">
        <v>1.1522066245106544E-5</v>
      </c>
      <c r="DP258" s="28">
        <v>303.07001152206624</v>
      </c>
      <c r="DQ258" s="318">
        <v>3.007783668224647</v>
      </c>
      <c r="DS258" s="8">
        <v>285.773550336992</v>
      </c>
      <c r="DT258" s="5">
        <v>14.288677516849601</v>
      </c>
      <c r="DW258" s="5">
        <v>314.79215598585472</v>
      </c>
      <c r="DX258" s="5">
        <v>0</v>
      </c>
    </row>
    <row r="259" spans="1:128" x14ac:dyDescent="0.3">
      <c r="A259" s="325">
        <v>150000676</v>
      </c>
      <c r="B259" s="41" t="s">
        <v>705</v>
      </c>
      <c r="C259" s="42" t="s">
        <v>386</v>
      </c>
      <c r="D259" s="42" t="s">
        <v>386</v>
      </c>
      <c r="E259" s="293">
        <v>4198.3</v>
      </c>
      <c r="F259" s="652">
        <v>4198.3</v>
      </c>
      <c r="G259" s="51">
        <v>460.20000000000027</v>
      </c>
      <c r="H259" s="651">
        <v>0</v>
      </c>
      <c r="I259" s="73">
        <v>2277.0516797111973</v>
      </c>
      <c r="J259" s="40">
        <v>2533.3239370583797</v>
      </c>
      <c r="K259" s="52">
        <v>256.2722573471824</v>
      </c>
      <c r="L259" s="73">
        <v>368.53068374255162</v>
      </c>
      <c r="M259" s="40">
        <v>415.19334425017632</v>
      </c>
      <c r="N259" s="52">
        <v>46.662660507624707</v>
      </c>
      <c r="O259" s="73">
        <v>809.08450483069339</v>
      </c>
      <c r="P259" s="40">
        <v>809.08</v>
      </c>
      <c r="Q259" s="52">
        <v>-4.5048306933495041E-3</v>
      </c>
      <c r="R259" s="73">
        <v>201.35428221430334</v>
      </c>
      <c r="S259" s="40">
        <v>201.36</v>
      </c>
      <c r="T259" s="52">
        <v>5.7177856966745821E-3</v>
      </c>
      <c r="U259" s="73">
        <v>86.533130947417462</v>
      </c>
      <c r="V259" s="40">
        <v>297.71008580355152</v>
      </c>
      <c r="W259" s="52">
        <v>211.17695485613405</v>
      </c>
      <c r="X259" s="73">
        <v>731.30943978267885</v>
      </c>
      <c r="Y259" s="40">
        <v>713.80818718398382</v>
      </c>
      <c r="Z259" s="52">
        <v>-17.501252598695032</v>
      </c>
      <c r="AA259" s="73">
        <v>335.86400000000003</v>
      </c>
      <c r="AB259" s="40">
        <v>0</v>
      </c>
      <c r="AC259" s="52">
        <v>-335.86400000000003</v>
      </c>
      <c r="AD259" s="73">
        <v>3024.5281743227097</v>
      </c>
      <c r="AE259" s="40">
        <v>3783.9493830378187</v>
      </c>
      <c r="AF259" s="35">
        <v>759.42120871510906</v>
      </c>
      <c r="AG259" s="77">
        <v>7834.2558955515506</v>
      </c>
      <c r="AH259" s="53">
        <v>8754.4249373339117</v>
      </c>
      <c r="AI259" s="52">
        <v>920.16904178236109</v>
      </c>
      <c r="AJ259" s="73">
        <v>4904.0200000000004</v>
      </c>
      <c r="AK259" s="40">
        <v>4830.0366515633232</v>
      </c>
      <c r="AL259" s="52">
        <v>-73.983348436677261</v>
      </c>
      <c r="AM259" s="73">
        <v>420.29977000000002</v>
      </c>
      <c r="AN259" s="40">
        <v>0</v>
      </c>
      <c r="AO259" s="52">
        <v>-420.29977000000002</v>
      </c>
      <c r="AP259" s="73">
        <v>453.84899999999993</v>
      </c>
      <c r="AQ259" s="40">
        <v>0</v>
      </c>
      <c r="AR259" s="52">
        <v>-453.84899999999993</v>
      </c>
      <c r="AS259" s="73">
        <v>4815.0875004859172</v>
      </c>
      <c r="AT259" s="40">
        <v>0</v>
      </c>
      <c r="AU259" s="54">
        <v>-4815.0875004859172</v>
      </c>
      <c r="AV259" s="73">
        <v>961.9149906777152</v>
      </c>
      <c r="AW259" s="40">
        <v>0</v>
      </c>
      <c r="AX259" s="55">
        <v>-961.9149906777152</v>
      </c>
      <c r="AY259" s="73">
        <v>1032.6850846038428</v>
      </c>
      <c r="AZ259" s="40">
        <v>0</v>
      </c>
      <c r="BA259" s="35">
        <v>-1032.6850846038428</v>
      </c>
      <c r="BB259" s="73">
        <v>350.93259166920001</v>
      </c>
      <c r="BC259" s="40">
        <v>0</v>
      </c>
      <c r="BD259" s="55">
        <v>-350.93259166920001</v>
      </c>
      <c r="BE259" s="73">
        <v>1049.9269477725741</v>
      </c>
      <c r="BF259" s="40">
        <v>0</v>
      </c>
      <c r="BG259" s="38">
        <v>-1049.9269477725741</v>
      </c>
      <c r="BH259" s="73">
        <v>417.92545115516577</v>
      </c>
      <c r="BI259" s="40">
        <v>0</v>
      </c>
      <c r="BJ259" s="55">
        <v>-417.92545115516577</v>
      </c>
      <c r="BK259" s="73">
        <v>520.18048625919403</v>
      </c>
      <c r="BL259" s="40">
        <v>0</v>
      </c>
      <c r="BM259" s="38">
        <v>-520.18048625919403</v>
      </c>
      <c r="BN259" s="73">
        <v>83.966000000000008</v>
      </c>
      <c r="BO259" s="40">
        <v>0</v>
      </c>
      <c r="BP259" s="55">
        <v>-83.966000000000008</v>
      </c>
      <c r="BQ259" s="77">
        <v>4417.5315521376924</v>
      </c>
      <c r="BR259" s="40">
        <v>0</v>
      </c>
      <c r="BS259" s="55">
        <v>-4417.5315521376924</v>
      </c>
      <c r="BT259" s="73">
        <v>5851.5063047910198</v>
      </c>
      <c r="BU259" s="40">
        <v>1348.3492370342562</v>
      </c>
      <c r="BV259" s="52">
        <v>-4503.1570677567634</v>
      </c>
      <c r="BW259" s="73">
        <v>3908.7190331305001</v>
      </c>
      <c r="BX259" s="40">
        <v>4312.7098683986915</v>
      </c>
      <c r="BY259" s="52">
        <v>403.9908352681914</v>
      </c>
      <c r="BZ259" s="73">
        <v>1471.224884341354</v>
      </c>
      <c r="CA259" s="40">
        <v>8372.604322424444</v>
      </c>
      <c r="CB259" s="52">
        <v>6901.3794380830896</v>
      </c>
      <c r="CC259" s="73">
        <v>71.336163799999994</v>
      </c>
      <c r="CD259" s="40">
        <v>86.756624152893153</v>
      </c>
      <c r="CE259" s="52">
        <v>15.420460352893159</v>
      </c>
      <c r="CF259" s="73">
        <v>8.1692820000000008</v>
      </c>
      <c r="CG259" s="40">
        <v>0</v>
      </c>
      <c r="CH259" s="52">
        <v>-8.1692820000000008</v>
      </c>
      <c r="CI259" s="73">
        <v>1663.22</v>
      </c>
      <c r="CJ259" s="40">
        <v>1395.5914000527471</v>
      </c>
      <c r="CK259" s="52">
        <v>-267.62859994725295</v>
      </c>
      <c r="CL259" s="73">
        <v>2161.5671000000002</v>
      </c>
      <c r="CM259" s="40">
        <v>2094.9170155144093</v>
      </c>
      <c r="CN259" s="52">
        <v>-66.650084485590924</v>
      </c>
      <c r="CO259" s="39">
        <v>3824.7871000000005</v>
      </c>
      <c r="CP259" s="40">
        <v>3490.5084155671566</v>
      </c>
      <c r="CQ259" s="52">
        <v>-334.27868443284387</v>
      </c>
      <c r="CR259" s="72">
        <v>37980.786486238037</v>
      </c>
      <c r="CS259" s="5">
        <v>31195.390056474676</v>
      </c>
      <c r="CT259" s="52">
        <v>-6785.3964297633611</v>
      </c>
      <c r="CU259" s="77">
        <v>45576.943783485644</v>
      </c>
      <c r="CV259" s="65">
        <v>37434.468067769609</v>
      </c>
      <c r="CW259" s="35">
        <v>-8142.4757157160348</v>
      </c>
      <c r="CX259" s="73">
        <v>2544.6988987960713</v>
      </c>
      <c r="CY259" s="40">
        <v>10687.174614512107</v>
      </c>
      <c r="CZ259" s="52">
        <v>8142.4757157160357</v>
      </c>
      <c r="DA259" s="150">
        <v>-101393.61424480616</v>
      </c>
      <c r="DB259" s="2">
        <v>2</v>
      </c>
      <c r="DC259" s="648">
        <v>74726.740000000005</v>
      </c>
      <c r="DD259" s="648"/>
      <c r="DE259" s="649">
        <v>26605.09731771829</v>
      </c>
      <c r="DG259" s="321">
        <v>54841.834993527722</v>
      </c>
      <c r="DH259" s="5">
        <v>577459.71218738053</v>
      </c>
      <c r="DI259" s="306">
        <v>4.6230591806755026</v>
      </c>
      <c r="DJ259" s="306">
        <v>5.8319359927190542</v>
      </c>
      <c r="DK259" s="306"/>
      <c r="DL259" s="28">
        <v>23927.891769329966</v>
      </c>
      <c r="DM259" s="28">
        <v>0</v>
      </c>
      <c r="DN259" s="650">
        <v>23927.200000000001</v>
      </c>
      <c r="DO259" s="94">
        <v>0.69176932996560936</v>
      </c>
      <c r="DP259" s="28">
        <v>23927.891769329966</v>
      </c>
      <c r="DQ259" s="318">
        <v>-3.7169999959587585E-3</v>
      </c>
      <c r="DS259" s="8">
        <v>22788.471891742822</v>
      </c>
      <c r="DT259" s="5">
        <v>1139.4235945871412</v>
      </c>
      <c r="DW259" s="5">
        <v>11079.14286314833</v>
      </c>
      <c r="DX259" s="5">
        <v>0</v>
      </c>
    </row>
    <row r="260" spans="1:128" x14ac:dyDescent="0.3">
      <c r="A260" s="325">
        <v>150000671</v>
      </c>
      <c r="B260" s="41" t="s">
        <v>706</v>
      </c>
      <c r="C260" s="42" t="s">
        <v>128</v>
      </c>
      <c r="D260" s="42" t="s">
        <v>128</v>
      </c>
      <c r="E260" s="293">
        <v>226.9</v>
      </c>
      <c r="F260" s="305">
        <v>226.9</v>
      </c>
      <c r="G260" s="51"/>
      <c r="H260" s="651">
        <v>0</v>
      </c>
      <c r="I260" s="73">
        <v>0</v>
      </c>
      <c r="J260" s="40">
        <v>0</v>
      </c>
      <c r="K260" s="52">
        <v>0</v>
      </c>
      <c r="L260" s="73">
        <v>0</v>
      </c>
      <c r="M260" s="40">
        <v>0</v>
      </c>
      <c r="N260" s="52">
        <v>0</v>
      </c>
      <c r="O260" s="73">
        <v>0</v>
      </c>
      <c r="P260" s="40">
        <v>0</v>
      </c>
      <c r="Q260" s="52">
        <v>0</v>
      </c>
      <c r="R260" s="73">
        <v>0</v>
      </c>
      <c r="S260" s="40">
        <v>0</v>
      </c>
      <c r="T260" s="52">
        <v>0</v>
      </c>
      <c r="U260" s="73">
        <v>0</v>
      </c>
      <c r="V260" s="40">
        <v>0</v>
      </c>
      <c r="W260" s="52">
        <v>0</v>
      </c>
      <c r="X260" s="73">
        <v>0</v>
      </c>
      <c r="Y260" s="40">
        <v>0</v>
      </c>
      <c r="Z260" s="52">
        <v>0</v>
      </c>
      <c r="AA260" s="73">
        <v>18.152000000000001</v>
      </c>
      <c r="AB260" s="40">
        <v>0</v>
      </c>
      <c r="AC260" s="52">
        <v>-18.152000000000001</v>
      </c>
      <c r="AD260" s="73">
        <v>145.30463490057627</v>
      </c>
      <c r="AE260" s="40">
        <v>204.50613701052356</v>
      </c>
      <c r="AF260" s="35">
        <v>59.201502109947285</v>
      </c>
      <c r="AG260" s="77">
        <v>163.45663490057626</v>
      </c>
      <c r="AH260" s="53">
        <v>204.50613701052356</v>
      </c>
      <c r="AI260" s="52">
        <v>41.049502109947298</v>
      </c>
      <c r="AJ260" s="73">
        <v>0</v>
      </c>
      <c r="AK260" s="40">
        <v>0</v>
      </c>
      <c r="AL260" s="52">
        <v>0</v>
      </c>
      <c r="AM260" s="73">
        <v>0</v>
      </c>
      <c r="AN260" s="40">
        <v>0</v>
      </c>
      <c r="AO260" s="52">
        <v>0</v>
      </c>
      <c r="AP260" s="73">
        <v>75.641499999999994</v>
      </c>
      <c r="AQ260" s="40">
        <v>0</v>
      </c>
      <c r="AR260" s="52">
        <v>-75.641499999999994</v>
      </c>
      <c r="AS260" s="73">
        <v>314.77194573353347</v>
      </c>
      <c r="AT260" s="40">
        <v>0</v>
      </c>
      <c r="AU260" s="54">
        <v>-314.77194573353347</v>
      </c>
      <c r="AV260" s="73">
        <v>0</v>
      </c>
      <c r="AW260" s="40">
        <v>0</v>
      </c>
      <c r="AX260" s="55">
        <v>0</v>
      </c>
      <c r="AY260" s="73">
        <v>0</v>
      </c>
      <c r="AZ260" s="40">
        <v>0</v>
      </c>
      <c r="BA260" s="35">
        <v>0</v>
      </c>
      <c r="BB260" s="73">
        <v>0</v>
      </c>
      <c r="BC260" s="40">
        <v>0</v>
      </c>
      <c r="BD260" s="55">
        <v>0</v>
      </c>
      <c r="BE260" s="73">
        <v>0</v>
      </c>
      <c r="BF260" s="40">
        <v>0</v>
      </c>
      <c r="BG260" s="38">
        <v>0</v>
      </c>
      <c r="BH260" s="73">
        <v>0</v>
      </c>
      <c r="BI260" s="40">
        <v>0</v>
      </c>
      <c r="BJ260" s="55">
        <v>0</v>
      </c>
      <c r="BK260" s="73">
        <v>0</v>
      </c>
      <c r="BL260" s="40">
        <v>0</v>
      </c>
      <c r="BM260" s="38">
        <v>0</v>
      </c>
      <c r="BN260" s="73">
        <v>4.5380000000000003</v>
      </c>
      <c r="BO260" s="40">
        <v>0</v>
      </c>
      <c r="BP260" s="55">
        <v>-4.5380000000000003</v>
      </c>
      <c r="BQ260" s="77">
        <v>4.5380000000000003</v>
      </c>
      <c r="BR260" s="40">
        <v>0</v>
      </c>
      <c r="BS260" s="55">
        <v>-4.5380000000000003</v>
      </c>
      <c r="BT260" s="73">
        <v>0</v>
      </c>
      <c r="BU260" s="40">
        <v>0</v>
      </c>
      <c r="BV260" s="52">
        <v>0</v>
      </c>
      <c r="BW260" s="73">
        <v>0</v>
      </c>
      <c r="BX260" s="40">
        <v>0.84243920090465152</v>
      </c>
      <c r="BY260" s="52">
        <v>0.84243920090465152</v>
      </c>
      <c r="BZ260" s="73">
        <v>0</v>
      </c>
      <c r="CA260" s="40">
        <v>0</v>
      </c>
      <c r="CB260" s="52">
        <v>0</v>
      </c>
      <c r="CC260" s="73">
        <v>0</v>
      </c>
      <c r="CD260" s="40">
        <v>0</v>
      </c>
      <c r="CE260" s="52">
        <v>0</v>
      </c>
      <c r="CF260" s="73">
        <v>0</v>
      </c>
      <c r="CG260" s="40">
        <v>0</v>
      </c>
      <c r="CH260" s="52">
        <v>0</v>
      </c>
      <c r="CI260" s="73">
        <v>0</v>
      </c>
      <c r="CJ260" s="40">
        <v>0</v>
      </c>
      <c r="CK260" s="52">
        <v>0</v>
      </c>
      <c r="CL260" s="73">
        <v>0</v>
      </c>
      <c r="CM260" s="40">
        <v>0</v>
      </c>
      <c r="CN260" s="52">
        <v>0</v>
      </c>
      <c r="CO260" s="39">
        <v>0</v>
      </c>
      <c r="CP260" s="40">
        <v>0</v>
      </c>
      <c r="CQ260" s="52">
        <v>0</v>
      </c>
      <c r="CR260" s="72">
        <v>558.40808063410975</v>
      </c>
      <c r="CS260" s="5">
        <v>205.34857621142822</v>
      </c>
      <c r="CT260" s="52">
        <v>-353.05950442268153</v>
      </c>
      <c r="CU260" s="77">
        <v>670.0896967609317</v>
      </c>
      <c r="CV260" s="65">
        <v>246.41829145371386</v>
      </c>
      <c r="CW260" s="35">
        <v>-423.67140530721781</v>
      </c>
      <c r="CX260" s="73">
        <v>37.413138571612386</v>
      </c>
      <c r="CY260" s="40">
        <v>461.08454387883023</v>
      </c>
      <c r="CZ260" s="52">
        <v>423.67140530721787</v>
      </c>
      <c r="DA260" s="150">
        <v>-4204.7140432236738</v>
      </c>
      <c r="DB260" s="2">
        <v>2</v>
      </c>
      <c r="DC260" s="648">
        <v>356.14</v>
      </c>
      <c r="DD260" s="648"/>
      <c r="DE260" s="649">
        <v>-351.36283533254414</v>
      </c>
      <c r="DG260" s="321">
        <v>-6134.0028454945559</v>
      </c>
      <c r="DH260" s="5">
        <v>8490.034023990529</v>
      </c>
      <c r="DI260" s="306">
        <v>1.5504499374151128</v>
      </c>
      <c r="DJ260" s="306"/>
      <c r="DK260" s="306"/>
      <c r="DL260" s="28">
        <v>351.79709079948913</v>
      </c>
      <c r="DM260" s="28">
        <v>0</v>
      </c>
      <c r="DN260" s="650">
        <v>351.8</v>
      </c>
      <c r="DO260" s="94">
        <v>-2.9092005108850572E-3</v>
      </c>
      <c r="DP260" s="28">
        <v>351.79709079948913</v>
      </c>
      <c r="DQ260" s="318">
        <v>0</v>
      </c>
      <c r="DS260" s="8">
        <v>335.04484838046585</v>
      </c>
      <c r="DT260" s="5">
        <v>16.752242419023293</v>
      </c>
      <c r="DW260" s="5">
        <v>383.17193488024014</v>
      </c>
      <c r="DX260" s="5">
        <v>0</v>
      </c>
    </row>
    <row r="261" spans="1:128" x14ac:dyDescent="0.3">
      <c r="A261" s="325">
        <v>150000726</v>
      </c>
      <c r="B261" s="41" t="s">
        <v>707</v>
      </c>
      <c r="C261" s="42" t="s">
        <v>184</v>
      </c>
      <c r="D261" s="42" t="s">
        <v>184</v>
      </c>
      <c r="E261" s="293">
        <v>409.7</v>
      </c>
      <c r="F261" s="305">
        <v>409.7</v>
      </c>
      <c r="G261" s="51"/>
      <c r="H261" s="651">
        <v>0</v>
      </c>
      <c r="I261" s="73">
        <v>276.4740850027236</v>
      </c>
      <c r="J261" s="40">
        <v>304.3631805897229</v>
      </c>
      <c r="K261" s="52">
        <v>27.889095586999304</v>
      </c>
      <c r="L261" s="73">
        <v>52.104149668070626</v>
      </c>
      <c r="M261" s="40">
        <v>58.701427100318007</v>
      </c>
      <c r="N261" s="52">
        <v>6.5972774322473811</v>
      </c>
      <c r="O261" s="73">
        <v>76.39531803588666</v>
      </c>
      <c r="P261" s="40">
        <v>76.400000000000006</v>
      </c>
      <c r="Q261" s="52">
        <v>4.681964113345316E-3</v>
      </c>
      <c r="R261" s="73">
        <v>0</v>
      </c>
      <c r="S261" s="40">
        <v>0</v>
      </c>
      <c r="T261" s="52">
        <v>0</v>
      </c>
      <c r="U261" s="73">
        <v>0</v>
      </c>
      <c r="V261" s="40">
        <v>0</v>
      </c>
      <c r="W261" s="52">
        <v>0</v>
      </c>
      <c r="X261" s="73">
        <v>110.31470107170991</v>
      </c>
      <c r="Y261" s="40">
        <v>109.37088434270004</v>
      </c>
      <c r="Z261" s="52">
        <v>-0.94381672900986757</v>
      </c>
      <c r="AA261" s="73">
        <v>32.695999999999998</v>
      </c>
      <c r="AB261" s="40">
        <v>0</v>
      </c>
      <c r="AC261" s="52">
        <v>-32.695999999999998</v>
      </c>
      <c r="AD261" s="73">
        <v>294.43807093102481</v>
      </c>
      <c r="AE261" s="40">
        <v>369.26471720234247</v>
      </c>
      <c r="AF261" s="35">
        <v>74.826646271317657</v>
      </c>
      <c r="AG261" s="77">
        <v>842.42232470941553</v>
      </c>
      <c r="AH261" s="53">
        <v>918.10020923508341</v>
      </c>
      <c r="AI261" s="52">
        <v>75.677884525667878</v>
      </c>
      <c r="AJ261" s="73">
        <v>0</v>
      </c>
      <c r="AK261" s="40">
        <v>0</v>
      </c>
      <c r="AL261" s="52">
        <v>0</v>
      </c>
      <c r="AM261" s="73">
        <v>0</v>
      </c>
      <c r="AN261" s="40">
        <v>0</v>
      </c>
      <c r="AO261" s="52">
        <v>0</v>
      </c>
      <c r="AP261" s="73">
        <v>151.28299999999999</v>
      </c>
      <c r="AQ261" s="40">
        <v>0</v>
      </c>
      <c r="AR261" s="52">
        <v>-151.28299999999999</v>
      </c>
      <c r="AS261" s="73">
        <v>524.71541807393874</v>
      </c>
      <c r="AT261" s="40">
        <v>0</v>
      </c>
      <c r="AU261" s="54">
        <v>-524.71541807393874</v>
      </c>
      <c r="AV261" s="73">
        <v>131.89123478474067</v>
      </c>
      <c r="AW261" s="40">
        <v>0</v>
      </c>
      <c r="AX261" s="55">
        <v>-131.89123478474067</v>
      </c>
      <c r="AY261" s="73">
        <v>144.20871429597392</v>
      </c>
      <c r="AZ261" s="40">
        <v>0</v>
      </c>
      <c r="BA261" s="35">
        <v>-144.20871429597392</v>
      </c>
      <c r="BB261" s="73">
        <v>26.523864302700002</v>
      </c>
      <c r="BC261" s="40">
        <v>0</v>
      </c>
      <c r="BD261" s="55">
        <v>-26.523864302700002</v>
      </c>
      <c r="BE261" s="73">
        <v>0</v>
      </c>
      <c r="BF261" s="40">
        <v>0</v>
      </c>
      <c r="BG261" s="38">
        <v>0</v>
      </c>
      <c r="BH261" s="73">
        <v>0</v>
      </c>
      <c r="BI261" s="40">
        <v>0</v>
      </c>
      <c r="BJ261" s="55">
        <v>0</v>
      </c>
      <c r="BK261" s="73">
        <v>24.345810115983802</v>
      </c>
      <c r="BL261" s="40">
        <v>0</v>
      </c>
      <c r="BM261" s="38">
        <v>-24.345810115983802</v>
      </c>
      <c r="BN261" s="73">
        <v>8.1739999999999995</v>
      </c>
      <c r="BO261" s="40">
        <v>0</v>
      </c>
      <c r="BP261" s="55">
        <v>-8.1739999999999995</v>
      </c>
      <c r="BQ261" s="77">
        <v>335.14362349939842</v>
      </c>
      <c r="BR261" s="40">
        <v>0</v>
      </c>
      <c r="BS261" s="55">
        <v>-335.14362349939842</v>
      </c>
      <c r="BT261" s="73">
        <v>468.61343963417397</v>
      </c>
      <c r="BU261" s="40">
        <v>161.37707107725961</v>
      </c>
      <c r="BV261" s="52">
        <v>-307.23636855691439</v>
      </c>
      <c r="BW261" s="73">
        <v>494.488333844154</v>
      </c>
      <c r="BX261" s="40">
        <v>515.18965586078411</v>
      </c>
      <c r="BY261" s="52">
        <v>20.701322016630115</v>
      </c>
      <c r="BZ261" s="73">
        <v>246.178931540978</v>
      </c>
      <c r="CA261" s="40">
        <v>1399.5597522264516</v>
      </c>
      <c r="CB261" s="52">
        <v>1153.3808206854735</v>
      </c>
      <c r="CC261" s="73">
        <v>0</v>
      </c>
      <c r="CD261" s="40">
        <v>0</v>
      </c>
      <c r="CE261" s="52">
        <v>0</v>
      </c>
      <c r="CF261" s="73">
        <v>0</v>
      </c>
      <c r="CG261" s="40">
        <v>0</v>
      </c>
      <c r="CH261" s="52">
        <v>0</v>
      </c>
      <c r="CI261" s="73">
        <v>59.18</v>
      </c>
      <c r="CJ261" s="40">
        <v>84.36502419783605</v>
      </c>
      <c r="CK261" s="52">
        <v>25.18502419783605</v>
      </c>
      <c r="CL261" s="73">
        <v>0</v>
      </c>
      <c r="CM261" s="40">
        <v>0</v>
      </c>
      <c r="CN261" s="52">
        <v>0</v>
      </c>
      <c r="CO261" s="39">
        <v>59.18</v>
      </c>
      <c r="CP261" s="40">
        <v>84.36502419783605</v>
      </c>
      <c r="CQ261" s="52">
        <v>25.18502419783605</v>
      </c>
      <c r="CR261" s="72">
        <v>3122.0250713020587</v>
      </c>
      <c r="CS261" s="5">
        <v>3078.5917125974152</v>
      </c>
      <c r="CT261" s="52">
        <v>-43.433358704643524</v>
      </c>
      <c r="CU261" s="77">
        <v>3746.4300855624701</v>
      </c>
      <c r="CV261" s="65">
        <v>3694.3100551168982</v>
      </c>
      <c r="CW261" s="35">
        <v>-52.120030445571956</v>
      </c>
      <c r="CX261" s="73">
        <v>209.17454576236136</v>
      </c>
      <c r="CY261" s="40">
        <v>261.29457620793346</v>
      </c>
      <c r="CZ261" s="52">
        <v>52.120030445572098</v>
      </c>
      <c r="DA261" s="150">
        <v>12563.118148768248</v>
      </c>
      <c r="DB261" s="2">
        <v>2</v>
      </c>
      <c r="DC261" s="648">
        <v>2728.98</v>
      </c>
      <c r="DD261" s="648"/>
      <c r="DE261" s="649">
        <v>-1226.6246313248316</v>
      </c>
      <c r="DG261" s="321">
        <v>-2375.6894417913409</v>
      </c>
      <c r="DH261" s="5">
        <v>47467.25557589798</v>
      </c>
      <c r="DI261" s="306">
        <v>4.8125172373875627</v>
      </c>
      <c r="DJ261" s="306"/>
      <c r="DK261" s="306"/>
      <c r="DL261" s="28">
        <v>1971.6883121576843</v>
      </c>
      <c r="DM261" s="28">
        <v>0</v>
      </c>
      <c r="DN261" s="650">
        <v>1971.68</v>
      </c>
      <c r="DO261" s="94">
        <v>8.3121576842586364E-3</v>
      </c>
      <c r="DP261" s="28">
        <v>1971.6883121576843</v>
      </c>
      <c r="DQ261" s="318">
        <v>4.8125172373875102</v>
      </c>
      <c r="DS261" s="8">
        <v>1873.2150427812351</v>
      </c>
      <c r="DT261" s="5">
        <v>93.660752139061771</v>
      </c>
      <c r="DW261" s="5">
        <v>1031.8308498880046</v>
      </c>
      <c r="DX261" s="5">
        <v>0</v>
      </c>
    </row>
    <row r="262" spans="1:128" x14ac:dyDescent="0.3">
      <c r="A262" s="325">
        <v>150000727</v>
      </c>
      <c r="B262" s="41" t="s">
        <v>708</v>
      </c>
      <c r="C262" s="42" t="s">
        <v>129</v>
      </c>
      <c r="D262" s="42" t="s">
        <v>129</v>
      </c>
      <c r="E262" s="293">
        <v>188.44</v>
      </c>
      <c r="F262" s="305">
        <v>188.44</v>
      </c>
      <c r="G262" s="51"/>
      <c r="H262" s="651">
        <v>0</v>
      </c>
      <c r="I262" s="73">
        <v>0</v>
      </c>
      <c r="J262" s="40">
        <v>0</v>
      </c>
      <c r="K262" s="52">
        <v>0</v>
      </c>
      <c r="L262" s="73">
        <v>0</v>
      </c>
      <c r="M262" s="40">
        <v>0</v>
      </c>
      <c r="N262" s="52">
        <v>0</v>
      </c>
      <c r="O262" s="73">
        <v>0</v>
      </c>
      <c r="P262" s="40">
        <v>0</v>
      </c>
      <c r="Q262" s="52">
        <v>0</v>
      </c>
      <c r="R262" s="73">
        <v>0</v>
      </c>
      <c r="S262" s="40">
        <v>0</v>
      </c>
      <c r="T262" s="52">
        <v>0</v>
      </c>
      <c r="U262" s="73">
        <v>0</v>
      </c>
      <c r="V262" s="40">
        <v>0</v>
      </c>
      <c r="W262" s="52">
        <v>0</v>
      </c>
      <c r="X262" s="73">
        <v>0</v>
      </c>
      <c r="Y262" s="40">
        <v>0</v>
      </c>
      <c r="Z262" s="52">
        <v>0</v>
      </c>
      <c r="AA262" s="73">
        <v>15.075200000000001</v>
      </c>
      <c r="AB262" s="40">
        <v>0</v>
      </c>
      <c r="AC262" s="52">
        <v>-15.075200000000001</v>
      </c>
      <c r="AD262" s="73">
        <v>120.69979766269969</v>
      </c>
      <c r="AE262" s="40">
        <v>169.84194119992532</v>
      </c>
      <c r="AF262" s="35">
        <v>49.142143537225621</v>
      </c>
      <c r="AG262" s="77">
        <v>135.77499766269969</v>
      </c>
      <c r="AH262" s="53">
        <v>169.84194119992532</v>
      </c>
      <c r="AI262" s="52">
        <v>34.066943537225626</v>
      </c>
      <c r="AJ262" s="73">
        <v>0</v>
      </c>
      <c r="AK262" s="40">
        <v>0</v>
      </c>
      <c r="AL262" s="52">
        <v>0</v>
      </c>
      <c r="AM262" s="73">
        <v>0</v>
      </c>
      <c r="AN262" s="40">
        <v>0</v>
      </c>
      <c r="AO262" s="52">
        <v>0</v>
      </c>
      <c r="AP262" s="73">
        <v>94.551874999999995</v>
      </c>
      <c r="AQ262" s="40">
        <v>0</v>
      </c>
      <c r="AR262" s="52">
        <v>-94.551874999999995</v>
      </c>
      <c r="AS262" s="73">
        <v>226.07227777375235</v>
      </c>
      <c r="AT262" s="40">
        <v>0</v>
      </c>
      <c r="AU262" s="54">
        <v>-226.07227777375235</v>
      </c>
      <c r="AV262" s="73">
        <v>0</v>
      </c>
      <c r="AW262" s="40">
        <v>0</v>
      </c>
      <c r="AX262" s="55">
        <v>0</v>
      </c>
      <c r="AY262" s="73">
        <v>0</v>
      </c>
      <c r="AZ262" s="40">
        <v>0</v>
      </c>
      <c r="BA262" s="35">
        <v>0</v>
      </c>
      <c r="BB262" s="73">
        <v>0</v>
      </c>
      <c r="BC262" s="40">
        <v>0</v>
      </c>
      <c r="BD262" s="55">
        <v>0</v>
      </c>
      <c r="BE262" s="73">
        <v>0</v>
      </c>
      <c r="BF262" s="40">
        <v>0</v>
      </c>
      <c r="BG262" s="38">
        <v>0</v>
      </c>
      <c r="BH262" s="73">
        <v>0</v>
      </c>
      <c r="BI262" s="40">
        <v>0</v>
      </c>
      <c r="BJ262" s="55">
        <v>0</v>
      </c>
      <c r="BK262" s="73">
        <v>0</v>
      </c>
      <c r="BL262" s="40">
        <v>0</v>
      </c>
      <c r="BM262" s="38">
        <v>0</v>
      </c>
      <c r="BN262" s="73">
        <v>3.7688000000000001</v>
      </c>
      <c r="BO262" s="40">
        <v>0</v>
      </c>
      <c r="BP262" s="55">
        <v>-3.7688000000000001</v>
      </c>
      <c r="BQ262" s="77">
        <v>3.7688000000000001</v>
      </c>
      <c r="BR262" s="40">
        <v>0</v>
      </c>
      <c r="BS262" s="55">
        <v>-3.7688000000000001</v>
      </c>
      <c r="BT262" s="73">
        <v>0</v>
      </c>
      <c r="BU262" s="40">
        <v>0</v>
      </c>
      <c r="BV262" s="52">
        <v>0</v>
      </c>
      <c r="BW262" s="73">
        <v>0</v>
      </c>
      <c r="BX262" s="40">
        <v>0.69964408558163305</v>
      </c>
      <c r="BY262" s="52">
        <v>0.69964408558163305</v>
      </c>
      <c r="BZ262" s="73">
        <v>0</v>
      </c>
      <c r="CA262" s="40">
        <v>0</v>
      </c>
      <c r="CB262" s="52">
        <v>0</v>
      </c>
      <c r="CC262" s="73">
        <v>0</v>
      </c>
      <c r="CD262" s="40">
        <v>0</v>
      </c>
      <c r="CE262" s="52">
        <v>0</v>
      </c>
      <c r="CF262" s="73">
        <v>0</v>
      </c>
      <c r="CG262" s="40">
        <v>0</v>
      </c>
      <c r="CH262" s="52">
        <v>0</v>
      </c>
      <c r="CI262" s="73">
        <v>0</v>
      </c>
      <c r="CJ262" s="40">
        <v>0</v>
      </c>
      <c r="CK262" s="52">
        <v>0</v>
      </c>
      <c r="CL262" s="73">
        <v>0</v>
      </c>
      <c r="CM262" s="40">
        <v>0</v>
      </c>
      <c r="CN262" s="52">
        <v>0</v>
      </c>
      <c r="CO262" s="39">
        <v>0</v>
      </c>
      <c r="CP262" s="40">
        <v>0</v>
      </c>
      <c r="CQ262" s="52">
        <v>0</v>
      </c>
      <c r="CR262" s="72">
        <v>460.16795043645203</v>
      </c>
      <c r="CS262" s="5">
        <v>170.54158528550695</v>
      </c>
      <c r="CT262" s="52">
        <v>-289.62636515094505</v>
      </c>
      <c r="CU262" s="77">
        <v>552.20154052374244</v>
      </c>
      <c r="CV262" s="65">
        <v>204.64990234260833</v>
      </c>
      <c r="CW262" s="35">
        <v>-347.55163818113408</v>
      </c>
      <c r="CX262" s="73">
        <v>30.831085532185618</v>
      </c>
      <c r="CY262" s="40">
        <v>378.38272371331971</v>
      </c>
      <c r="CZ262" s="52">
        <v>347.55163818113408</v>
      </c>
      <c r="DA262" s="150">
        <v>-3043.9556174720219</v>
      </c>
      <c r="DB262" s="2">
        <v>2</v>
      </c>
      <c r="DC262" s="648">
        <v>3171.44</v>
      </c>
      <c r="DD262" s="648"/>
      <c r="DE262" s="649">
        <v>2588.4073739440719</v>
      </c>
      <c r="DG262" s="321">
        <v>-3949.7897459897258</v>
      </c>
      <c r="DH262" s="5">
        <v>6996.3915126711363</v>
      </c>
      <c r="DI262" s="306">
        <v>1.5384515430639185</v>
      </c>
      <c r="DJ262" s="306"/>
      <c r="DK262" s="306"/>
      <c r="DL262" s="28">
        <v>289.90580877496478</v>
      </c>
      <c r="DM262" s="28">
        <v>0</v>
      </c>
      <c r="DN262" s="650">
        <v>289.92</v>
      </c>
      <c r="DO262" s="94">
        <v>-1.4191225035233401E-2</v>
      </c>
      <c r="DP262" s="28">
        <v>289.90580877496478</v>
      </c>
      <c r="DQ262" s="318">
        <v>0</v>
      </c>
      <c r="DS262" s="8">
        <v>276.10077026187122</v>
      </c>
      <c r="DT262" s="5">
        <v>13.80503851309356</v>
      </c>
      <c r="DW262" s="5">
        <v>275.8092933285028</v>
      </c>
      <c r="DX262" s="5">
        <v>0</v>
      </c>
    </row>
    <row r="263" spans="1:128" x14ac:dyDescent="0.3">
      <c r="A263" s="325">
        <v>150000728</v>
      </c>
      <c r="B263" s="41" t="s">
        <v>709</v>
      </c>
      <c r="C263" s="42" t="s">
        <v>185</v>
      </c>
      <c r="D263" s="42" t="s">
        <v>185</v>
      </c>
      <c r="E263" s="293">
        <v>450.6</v>
      </c>
      <c r="F263" s="305">
        <v>386.5</v>
      </c>
      <c r="G263" s="51"/>
      <c r="H263" s="651">
        <v>64.099999999999994</v>
      </c>
      <c r="I263" s="73">
        <v>278.22917412832999</v>
      </c>
      <c r="J263" s="40">
        <v>306.32246756844131</v>
      </c>
      <c r="K263" s="52">
        <v>28.093293440111324</v>
      </c>
      <c r="L263" s="73">
        <v>52.104149668070626</v>
      </c>
      <c r="M263" s="40">
        <v>58.701427100318007</v>
      </c>
      <c r="N263" s="52">
        <v>6.5972774322473811</v>
      </c>
      <c r="O263" s="73">
        <v>86.018850061546672</v>
      </c>
      <c r="P263" s="40">
        <v>86</v>
      </c>
      <c r="Q263" s="52">
        <v>-1.8850061546672237E-2</v>
      </c>
      <c r="R263" s="73">
        <v>0</v>
      </c>
      <c r="S263" s="40">
        <v>0</v>
      </c>
      <c r="T263" s="52">
        <v>0</v>
      </c>
      <c r="U263" s="73">
        <v>0</v>
      </c>
      <c r="V263" s="40">
        <v>0</v>
      </c>
      <c r="W263" s="52">
        <v>0</v>
      </c>
      <c r="X263" s="73">
        <v>110.31470107170991</v>
      </c>
      <c r="Y263" s="40">
        <v>109.39274027748988</v>
      </c>
      <c r="Z263" s="52">
        <v>-0.92196079422002697</v>
      </c>
      <c r="AA263" s="73">
        <v>36.048000000000002</v>
      </c>
      <c r="AB263" s="40">
        <v>0</v>
      </c>
      <c r="AC263" s="52">
        <v>-36.048000000000002</v>
      </c>
      <c r="AD263" s="73">
        <v>322.0639229830557</v>
      </c>
      <c r="AE263" s="40">
        <v>406.12809756254705</v>
      </c>
      <c r="AF263" s="35">
        <v>84.06417457949135</v>
      </c>
      <c r="AG263" s="77">
        <v>884.77879791271289</v>
      </c>
      <c r="AH263" s="53">
        <v>966.5447325087963</v>
      </c>
      <c r="AI263" s="52">
        <v>81.765934596083412</v>
      </c>
      <c r="AJ263" s="73">
        <v>0</v>
      </c>
      <c r="AK263" s="40">
        <v>0</v>
      </c>
      <c r="AL263" s="52">
        <v>0</v>
      </c>
      <c r="AM263" s="73">
        <v>0</v>
      </c>
      <c r="AN263" s="40">
        <v>0</v>
      </c>
      <c r="AO263" s="52">
        <v>0</v>
      </c>
      <c r="AP263" s="73">
        <v>132.372625</v>
      </c>
      <c r="AQ263" s="40">
        <v>0</v>
      </c>
      <c r="AR263" s="52">
        <v>-132.372625</v>
      </c>
      <c r="AS263" s="73">
        <v>624.14451847702503</v>
      </c>
      <c r="AT263" s="40">
        <v>0</v>
      </c>
      <c r="AU263" s="54">
        <v>-624.14451847702503</v>
      </c>
      <c r="AV263" s="73">
        <v>140.00572436500028</v>
      </c>
      <c r="AW263" s="40">
        <v>0</v>
      </c>
      <c r="AX263" s="55">
        <v>-140.00572436500028</v>
      </c>
      <c r="AY263" s="73">
        <v>144.20871429597392</v>
      </c>
      <c r="AZ263" s="40">
        <v>0</v>
      </c>
      <c r="BA263" s="35">
        <v>-144.20871429597392</v>
      </c>
      <c r="BB263" s="73">
        <v>30.45834020580984</v>
      </c>
      <c r="BC263" s="40">
        <v>0</v>
      </c>
      <c r="BD263" s="55">
        <v>-30.45834020580984</v>
      </c>
      <c r="BE263" s="73">
        <v>0</v>
      </c>
      <c r="BF263" s="40">
        <v>0</v>
      </c>
      <c r="BG263" s="38">
        <v>0</v>
      </c>
      <c r="BH263" s="73">
        <v>0</v>
      </c>
      <c r="BI263" s="40">
        <v>0</v>
      </c>
      <c r="BJ263" s="55">
        <v>0</v>
      </c>
      <c r="BK263" s="73">
        <v>24.345810115983802</v>
      </c>
      <c r="BL263" s="40">
        <v>0</v>
      </c>
      <c r="BM263" s="38">
        <v>-24.345810115983802</v>
      </c>
      <c r="BN263" s="73">
        <v>9.0120000000000005</v>
      </c>
      <c r="BO263" s="40">
        <v>0</v>
      </c>
      <c r="BP263" s="55">
        <v>-9.0120000000000005</v>
      </c>
      <c r="BQ263" s="77">
        <v>348.03058898276788</v>
      </c>
      <c r="BR263" s="40">
        <v>0</v>
      </c>
      <c r="BS263" s="55">
        <v>-348.03058898276788</v>
      </c>
      <c r="BT263" s="73">
        <v>496.19296038322199</v>
      </c>
      <c r="BU263" s="40">
        <v>151.17279608503182</v>
      </c>
      <c r="BV263" s="52">
        <v>-345.02016429819014</v>
      </c>
      <c r="BW263" s="73">
        <v>494.53117624748</v>
      </c>
      <c r="BX263" s="40">
        <v>515.97653535304994</v>
      </c>
      <c r="BY263" s="52">
        <v>21.445359105569935</v>
      </c>
      <c r="BZ263" s="73">
        <v>199.26690415384479</v>
      </c>
      <c r="CA263" s="40">
        <v>1339.5932538667594</v>
      </c>
      <c r="CB263" s="52">
        <v>1140.3263497129146</v>
      </c>
      <c r="CC263" s="73">
        <v>0</v>
      </c>
      <c r="CD263" s="40">
        <v>0</v>
      </c>
      <c r="CE263" s="52">
        <v>0</v>
      </c>
      <c r="CF263" s="73">
        <v>0</v>
      </c>
      <c r="CG263" s="40">
        <v>0</v>
      </c>
      <c r="CH263" s="52">
        <v>0</v>
      </c>
      <c r="CI263" s="73">
        <v>77.86</v>
      </c>
      <c r="CJ263" s="40">
        <v>68.992644759298329</v>
      </c>
      <c r="CK263" s="52">
        <v>-8.86735524070167</v>
      </c>
      <c r="CL263" s="73">
        <v>0</v>
      </c>
      <c r="CM263" s="40">
        <v>0</v>
      </c>
      <c r="CN263" s="52">
        <v>0</v>
      </c>
      <c r="CO263" s="39">
        <v>77.86</v>
      </c>
      <c r="CP263" s="40">
        <v>68.992644759298329</v>
      </c>
      <c r="CQ263" s="52">
        <v>-8.86735524070167</v>
      </c>
      <c r="CR263" s="72">
        <v>3257.1775711570522</v>
      </c>
      <c r="CS263" s="5">
        <v>3042.2799625729358</v>
      </c>
      <c r="CT263" s="52">
        <v>-214.89760858411637</v>
      </c>
      <c r="CU263" s="77">
        <v>3908.6130853884624</v>
      </c>
      <c r="CV263" s="65">
        <v>3650.7359550875231</v>
      </c>
      <c r="CW263" s="35">
        <v>-257.87713030093937</v>
      </c>
      <c r="CX263" s="73">
        <v>218.22971416112938</v>
      </c>
      <c r="CY263" s="40">
        <v>476.10684446206915</v>
      </c>
      <c r="CZ263" s="52">
        <v>257.87713030093977</v>
      </c>
      <c r="DA263" s="150">
        <v>29647.728503448674</v>
      </c>
      <c r="DB263" s="2">
        <v>2</v>
      </c>
      <c r="DC263" s="648">
        <v>3099.01</v>
      </c>
      <c r="DD263" s="648">
        <v>0</v>
      </c>
      <c r="DE263" s="649">
        <v>-1027.832799549592</v>
      </c>
      <c r="DG263" s="321">
        <v>-5904.3263651682146</v>
      </c>
      <c r="DH263" s="5">
        <v>49522.11359459511</v>
      </c>
      <c r="DI263" s="306">
        <v>4.6686470945411198</v>
      </c>
      <c r="DJ263" s="306"/>
      <c r="DK263" s="306">
        <v>3.862554879700467</v>
      </c>
      <c r="DL263" s="28">
        <v>1804.4321020401428</v>
      </c>
      <c r="DM263" s="28">
        <v>247.58976778879992</v>
      </c>
      <c r="DN263" s="650">
        <v>1804.47</v>
      </c>
      <c r="DO263" s="94">
        <v>-3.7897959857218666E-2</v>
      </c>
      <c r="DP263" s="28">
        <v>2052.0218698289427</v>
      </c>
      <c r="DQ263" s="318">
        <v>0</v>
      </c>
      <c r="DS263" s="8">
        <v>1954.3065426942312</v>
      </c>
      <c r="DT263" s="5">
        <v>97.715327134711572</v>
      </c>
      <c r="DW263" s="5">
        <v>1166.6101289517514</v>
      </c>
      <c r="DX263" s="5">
        <v>0</v>
      </c>
    </row>
    <row r="264" spans="1:128" x14ac:dyDescent="0.3">
      <c r="A264" s="325">
        <v>150000729</v>
      </c>
      <c r="B264" s="41" t="s">
        <v>710</v>
      </c>
      <c r="C264" s="42" t="s">
        <v>274</v>
      </c>
      <c r="D264" s="42" t="s">
        <v>274</v>
      </c>
      <c r="E264" s="293">
        <v>2102.6</v>
      </c>
      <c r="F264" s="305">
        <v>2102.6</v>
      </c>
      <c r="G264" s="51"/>
      <c r="H264" s="651">
        <v>0</v>
      </c>
      <c r="I264" s="73">
        <v>1186.7538731281907</v>
      </c>
      <c r="J264" s="40">
        <v>1312.5159198653428</v>
      </c>
      <c r="K264" s="52">
        <v>125.7620467371521</v>
      </c>
      <c r="L264" s="73">
        <v>278.83832296502362</v>
      </c>
      <c r="M264" s="40">
        <v>314.1451165053503</v>
      </c>
      <c r="N264" s="52">
        <v>35.30679354032668</v>
      </c>
      <c r="O264" s="73">
        <v>419.17487469020006</v>
      </c>
      <c r="P264" s="40">
        <v>419.16</v>
      </c>
      <c r="Q264" s="52">
        <v>-1.4874690200031182E-2</v>
      </c>
      <c r="R264" s="73">
        <v>0</v>
      </c>
      <c r="S264" s="40">
        <v>0</v>
      </c>
      <c r="T264" s="52">
        <v>0</v>
      </c>
      <c r="U264" s="73">
        <v>0</v>
      </c>
      <c r="V264" s="40">
        <v>0</v>
      </c>
      <c r="W264" s="52">
        <v>0</v>
      </c>
      <c r="X264" s="73">
        <v>635.50353479750765</v>
      </c>
      <c r="Y264" s="40">
        <v>668.82208079759209</v>
      </c>
      <c r="Z264" s="52">
        <v>33.318546000084439</v>
      </c>
      <c r="AA264" s="73">
        <v>168.45599999999999</v>
      </c>
      <c r="AB264" s="40">
        <v>0</v>
      </c>
      <c r="AC264" s="52">
        <v>-168.45599999999999</v>
      </c>
      <c r="AD264" s="73">
        <v>1516.9688060735216</v>
      </c>
      <c r="AE264" s="40">
        <v>1895.0841942632296</v>
      </c>
      <c r="AF264" s="35">
        <v>378.11538818970803</v>
      </c>
      <c r="AG264" s="77">
        <v>4205.6954116544439</v>
      </c>
      <c r="AH264" s="53">
        <v>4609.7273114315149</v>
      </c>
      <c r="AI264" s="52">
        <v>404.03189977707098</v>
      </c>
      <c r="AJ264" s="73">
        <v>0</v>
      </c>
      <c r="AK264" s="40">
        <v>0</v>
      </c>
      <c r="AL264" s="52">
        <v>0</v>
      </c>
      <c r="AM264" s="73">
        <v>0</v>
      </c>
      <c r="AN264" s="40">
        <v>0</v>
      </c>
      <c r="AO264" s="52">
        <v>0</v>
      </c>
      <c r="AP264" s="73">
        <v>756.41499999999996</v>
      </c>
      <c r="AQ264" s="40">
        <v>0</v>
      </c>
      <c r="AR264" s="52">
        <v>-756.41499999999996</v>
      </c>
      <c r="AS264" s="73">
        <v>2323.5554473163611</v>
      </c>
      <c r="AT264" s="40">
        <v>0</v>
      </c>
      <c r="AU264" s="54">
        <v>-2323.5554473163611</v>
      </c>
      <c r="AV264" s="73">
        <v>591.74440455356739</v>
      </c>
      <c r="AW264" s="40">
        <v>0</v>
      </c>
      <c r="AX264" s="55">
        <v>-591.74440455356739</v>
      </c>
      <c r="AY264" s="73">
        <v>771.73000860891148</v>
      </c>
      <c r="AZ264" s="40">
        <v>0</v>
      </c>
      <c r="BA264" s="35">
        <v>-771.73000860891148</v>
      </c>
      <c r="BB264" s="73">
        <v>138.18543624170999</v>
      </c>
      <c r="BC264" s="40">
        <v>2186</v>
      </c>
      <c r="BD264" s="55">
        <v>2047.81456375829</v>
      </c>
      <c r="BE264" s="73">
        <v>0</v>
      </c>
      <c r="BF264" s="40">
        <v>0</v>
      </c>
      <c r="BG264" s="38">
        <v>0</v>
      </c>
      <c r="BH264" s="73">
        <v>0</v>
      </c>
      <c r="BI264" s="40">
        <v>0</v>
      </c>
      <c r="BJ264" s="55">
        <v>0</v>
      </c>
      <c r="BK264" s="73">
        <v>413.13588736146318</v>
      </c>
      <c r="BL264" s="40">
        <v>0</v>
      </c>
      <c r="BM264" s="38">
        <v>-413.13588736146318</v>
      </c>
      <c r="BN264" s="73">
        <v>42.113999999999997</v>
      </c>
      <c r="BO264" s="40">
        <v>0</v>
      </c>
      <c r="BP264" s="55">
        <v>-42.113999999999997</v>
      </c>
      <c r="BQ264" s="77">
        <v>1956.909736765652</v>
      </c>
      <c r="BR264" s="40">
        <v>2186</v>
      </c>
      <c r="BS264" s="55">
        <v>229.09026323434796</v>
      </c>
      <c r="BT264" s="73">
        <v>1336.733690883402</v>
      </c>
      <c r="BU264" s="40">
        <v>475.06730085607569</v>
      </c>
      <c r="BV264" s="52">
        <v>-861.66639002732632</v>
      </c>
      <c r="BW264" s="73">
        <v>1204.178735217404</v>
      </c>
      <c r="BX264" s="40">
        <v>1279.5592868274141</v>
      </c>
      <c r="BY264" s="52">
        <v>75.380551610010116</v>
      </c>
      <c r="BZ264" s="73">
        <v>1059.192578944336</v>
      </c>
      <c r="CA264" s="40">
        <v>3261.7048980989648</v>
      </c>
      <c r="CB264" s="52">
        <v>2202.512319154629</v>
      </c>
      <c r="CC264" s="73">
        <v>144.39205935000001</v>
      </c>
      <c r="CD264" s="40">
        <v>182.18891072107567</v>
      </c>
      <c r="CE264" s="52">
        <v>37.796851371075661</v>
      </c>
      <c r="CF264" s="73">
        <v>17.155492200000001</v>
      </c>
      <c r="CG264" s="40">
        <v>0</v>
      </c>
      <c r="CH264" s="52">
        <v>-17.155492200000001</v>
      </c>
      <c r="CI264" s="73">
        <v>607.36</v>
      </c>
      <c r="CJ264" s="40">
        <v>659.47458905850203</v>
      </c>
      <c r="CK264" s="52">
        <v>52.11458905850202</v>
      </c>
      <c r="CL264" s="73">
        <v>0</v>
      </c>
      <c r="CM264" s="40">
        <v>0</v>
      </c>
      <c r="CN264" s="52">
        <v>0</v>
      </c>
      <c r="CO264" s="39">
        <v>607.36</v>
      </c>
      <c r="CP264" s="40">
        <v>659.47458905850203</v>
      </c>
      <c r="CQ264" s="52">
        <v>52.11458905850202</v>
      </c>
      <c r="CR264" s="72">
        <v>13611.588152331598</v>
      </c>
      <c r="CS264" s="5">
        <v>12653.722296993546</v>
      </c>
      <c r="CT264" s="52">
        <v>-957.86585533805192</v>
      </c>
      <c r="CU264" s="77">
        <v>16333.905782797918</v>
      </c>
      <c r="CV264" s="65">
        <v>15184.466756392256</v>
      </c>
      <c r="CW264" s="35">
        <v>-1149.4390264056619</v>
      </c>
      <c r="CX264" s="73">
        <v>911.97146206159755</v>
      </c>
      <c r="CY264" s="40">
        <v>2061.4104884672597</v>
      </c>
      <c r="CZ264" s="52">
        <v>1149.4390264056622</v>
      </c>
      <c r="DA264" s="150">
        <v>40.520812352408029</v>
      </c>
      <c r="DB264" s="2">
        <v>2</v>
      </c>
      <c r="DC264" s="648">
        <v>17095.419999999998</v>
      </c>
      <c r="DD264" s="648"/>
      <c r="DE264" s="649">
        <v>-150.45724485951723</v>
      </c>
      <c r="DG264" s="321">
        <v>10452.663635201618</v>
      </c>
      <c r="DH264" s="5">
        <v>206950.5269383142</v>
      </c>
      <c r="DI264" s="306">
        <v>4.0724227268694069</v>
      </c>
      <c r="DJ264" s="306"/>
      <c r="DK264" s="306"/>
      <c r="DL264" s="28">
        <v>8562.676025515615</v>
      </c>
      <c r="DM264" s="28">
        <v>0</v>
      </c>
      <c r="DN264" s="650">
        <v>8562.61</v>
      </c>
      <c r="DO264" s="94">
        <v>6.6025515614455799E-2</v>
      </c>
      <c r="DP264" s="28">
        <v>8562.676025515615</v>
      </c>
      <c r="DQ264" s="318">
        <v>-12.624510453291805</v>
      </c>
      <c r="DS264" s="8">
        <v>8166.9528913989589</v>
      </c>
      <c r="DT264" s="5">
        <v>408.34764456994793</v>
      </c>
      <c r="DW264" s="5">
        <v>5136.558220898416</v>
      </c>
      <c r="DX264" s="5">
        <v>2623.2</v>
      </c>
    </row>
    <row r="265" spans="1:128" x14ac:dyDescent="0.3">
      <c r="A265" s="325">
        <v>150000721</v>
      </c>
      <c r="B265" s="41" t="s">
        <v>711</v>
      </c>
      <c r="C265" s="42" t="s">
        <v>219</v>
      </c>
      <c r="D265" s="42" t="s">
        <v>219</v>
      </c>
      <c r="E265" s="293">
        <v>2790</v>
      </c>
      <c r="F265" s="305">
        <v>2723.3</v>
      </c>
      <c r="G265" s="51"/>
      <c r="H265" s="651">
        <v>66.7</v>
      </c>
      <c r="I265" s="73">
        <v>1542.1415420090361</v>
      </c>
      <c r="J265" s="40">
        <v>1710.7658709790953</v>
      </c>
      <c r="K265" s="52">
        <v>168.6243289700592</v>
      </c>
      <c r="L265" s="73">
        <v>230.57964301006467</v>
      </c>
      <c r="M265" s="40">
        <v>259.7757184364819</v>
      </c>
      <c r="N265" s="52">
        <v>29.196075426417224</v>
      </c>
      <c r="O265" s="73">
        <v>500.26279409877668</v>
      </c>
      <c r="P265" s="40">
        <v>500.26</v>
      </c>
      <c r="Q265" s="52">
        <v>-2.7940987766896797E-3</v>
      </c>
      <c r="R265" s="73">
        <v>0</v>
      </c>
      <c r="S265" s="40">
        <v>0</v>
      </c>
      <c r="T265" s="52">
        <v>0</v>
      </c>
      <c r="U265" s="73">
        <v>0</v>
      </c>
      <c r="V265" s="40">
        <v>0</v>
      </c>
      <c r="W265" s="52">
        <v>0</v>
      </c>
      <c r="X265" s="73">
        <v>527.40078232092367</v>
      </c>
      <c r="Y265" s="40">
        <v>524.71501420190521</v>
      </c>
      <c r="Z265" s="52">
        <v>-2.6857681190184621</v>
      </c>
      <c r="AA265" s="73">
        <v>223.16</v>
      </c>
      <c r="AB265" s="40">
        <v>0</v>
      </c>
      <c r="AC265" s="52">
        <v>-223.16</v>
      </c>
      <c r="AD265" s="73">
        <v>2006.8770881774492</v>
      </c>
      <c r="AE265" s="40">
        <v>2514.6413497547851</v>
      </c>
      <c r="AF265" s="35">
        <v>507.7642615773359</v>
      </c>
      <c r="AG265" s="77">
        <v>5030.4218496162503</v>
      </c>
      <c r="AH265" s="53">
        <v>5510.157953372267</v>
      </c>
      <c r="AI265" s="52">
        <v>479.73610375601675</v>
      </c>
      <c r="AJ265" s="73">
        <v>0</v>
      </c>
      <c r="AK265" s="40">
        <v>0</v>
      </c>
      <c r="AL265" s="52">
        <v>0</v>
      </c>
      <c r="AM265" s="73">
        <v>0</v>
      </c>
      <c r="AN265" s="40">
        <v>0</v>
      </c>
      <c r="AO265" s="52">
        <v>0</v>
      </c>
      <c r="AP265" s="73">
        <v>1304.8158749999998</v>
      </c>
      <c r="AQ265" s="40">
        <v>0</v>
      </c>
      <c r="AR265" s="52">
        <v>-1304.8158749999998</v>
      </c>
      <c r="AS265" s="73">
        <v>3615.0480893338199</v>
      </c>
      <c r="AT265" s="40">
        <v>3219</v>
      </c>
      <c r="AU265" s="54">
        <v>-396.04808933381992</v>
      </c>
      <c r="AV265" s="73">
        <v>649.08185794189797</v>
      </c>
      <c r="AW265" s="40">
        <v>0</v>
      </c>
      <c r="AX265" s="55">
        <v>-649.08185794189797</v>
      </c>
      <c r="AY265" s="73">
        <v>638.19399714425504</v>
      </c>
      <c r="AZ265" s="40">
        <v>0</v>
      </c>
      <c r="BA265" s="35">
        <v>-638.19399714425504</v>
      </c>
      <c r="BB265" s="73">
        <v>184.77196585935999</v>
      </c>
      <c r="BC265" s="40">
        <v>0</v>
      </c>
      <c r="BD265" s="55">
        <v>-184.77196585935999</v>
      </c>
      <c r="BE265" s="73">
        <v>0</v>
      </c>
      <c r="BF265" s="40">
        <v>0</v>
      </c>
      <c r="BG265" s="38">
        <v>0</v>
      </c>
      <c r="BH265" s="73">
        <v>0</v>
      </c>
      <c r="BI265" s="40">
        <v>0</v>
      </c>
      <c r="BJ265" s="55">
        <v>0</v>
      </c>
      <c r="BK265" s="73">
        <v>238.4464063619684</v>
      </c>
      <c r="BL265" s="40">
        <v>0</v>
      </c>
      <c r="BM265" s="38">
        <v>-238.4464063619684</v>
      </c>
      <c r="BN265" s="73">
        <v>55.79</v>
      </c>
      <c r="BO265" s="40">
        <v>0</v>
      </c>
      <c r="BP265" s="55">
        <v>-55.79</v>
      </c>
      <c r="BQ265" s="77">
        <v>1766.2842273074816</v>
      </c>
      <c r="BR265" s="40">
        <v>0</v>
      </c>
      <c r="BS265" s="55">
        <v>-1766.2842273074816</v>
      </c>
      <c r="BT265" s="73">
        <v>3947.8400157023998</v>
      </c>
      <c r="BU265" s="40">
        <v>719.12525513343223</v>
      </c>
      <c r="BV265" s="52">
        <v>-3228.7147605689674</v>
      </c>
      <c r="BW265" s="73">
        <v>1839.7673084693761</v>
      </c>
      <c r="BX265" s="40">
        <v>1759.763006786985</v>
      </c>
      <c r="BY265" s="52">
        <v>-80.004301682391088</v>
      </c>
      <c r="BZ265" s="73">
        <v>1317.963493665776</v>
      </c>
      <c r="CA265" s="40">
        <v>6079.0740083624323</v>
      </c>
      <c r="CB265" s="52">
        <v>4761.1105146966565</v>
      </c>
      <c r="CC265" s="73">
        <v>0</v>
      </c>
      <c r="CD265" s="40">
        <v>0</v>
      </c>
      <c r="CE265" s="52">
        <v>0</v>
      </c>
      <c r="CF265" s="73">
        <v>0</v>
      </c>
      <c r="CG265" s="40">
        <v>0</v>
      </c>
      <c r="CH265" s="52">
        <v>0</v>
      </c>
      <c r="CI265" s="73">
        <v>345.72</v>
      </c>
      <c r="CJ265" s="40">
        <v>456.95459593230646</v>
      </c>
      <c r="CK265" s="52">
        <v>111.23459593230643</v>
      </c>
      <c r="CL265" s="73">
        <v>0</v>
      </c>
      <c r="CM265" s="40">
        <v>0</v>
      </c>
      <c r="CN265" s="52">
        <v>0</v>
      </c>
      <c r="CO265" s="39">
        <v>345.72</v>
      </c>
      <c r="CP265" s="40">
        <v>456.95459593230646</v>
      </c>
      <c r="CQ265" s="52">
        <v>111.23459593230643</v>
      </c>
      <c r="CR265" s="72">
        <v>19167.860859095104</v>
      </c>
      <c r="CS265" s="5">
        <v>17744.074819587426</v>
      </c>
      <c r="CT265" s="52">
        <v>-1423.7860395076787</v>
      </c>
      <c r="CU265" s="77">
        <v>23001.433030914126</v>
      </c>
      <c r="CV265" s="65">
        <v>21292.88978350491</v>
      </c>
      <c r="CW265" s="35">
        <v>-1708.5432474092158</v>
      </c>
      <c r="CX265" s="73">
        <v>1284.239715206774</v>
      </c>
      <c r="CY265" s="40">
        <v>2992.782962615991</v>
      </c>
      <c r="CZ265" s="52">
        <v>1708.543247409217</v>
      </c>
      <c r="DA265" s="150">
        <v>38147.77193613784</v>
      </c>
      <c r="DB265" s="2">
        <v>2</v>
      </c>
      <c r="DC265" s="648">
        <v>33294.15</v>
      </c>
      <c r="DD265" s="648">
        <v>229.34</v>
      </c>
      <c r="DE265" s="649">
        <v>9237.8172538790968</v>
      </c>
      <c r="DG265" s="321">
        <v>30640.981388067754</v>
      </c>
      <c r="DH265" s="5">
        <v>291428.07295345084</v>
      </c>
      <c r="DI265" s="306">
        <v>4.3394782866918558</v>
      </c>
      <c r="DJ265" s="306"/>
      <c r="DK265" s="306">
        <v>3.9134966613709299</v>
      </c>
      <c r="DL265" s="28">
        <v>11817.701218147931</v>
      </c>
      <c r="DM265" s="28">
        <v>261.03022731344106</v>
      </c>
      <c r="DN265" s="650">
        <v>11817.71</v>
      </c>
      <c r="DO265" s="94">
        <v>-8.7818520678411005E-3</v>
      </c>
      <c r="DP265" s="28">
        <v>12078.731445461372</v>
      </c>
      <c r="DQ265" s="318">
        <v>2.9791042314554943</v>
      </c>
      <c r="DS265" s="8">
        <v>11500.716515457063</v>
      </c>
      <c r="DT265" s="5">
        <v>575.03582577285317</v>
      </c>
      <c r="DW265" s="5">
        <v>6457.5987799695613</v>
      </c>
      <c r="DX265" s="5">
        <v>3862.7999999999997</v>
      </c>
    </row>
    <row r="266" spans="1:128" x14ac:dyDescent="0.3">
      <c r="A266" s="325">
        <v>150000722</v>
      </c>
      <c r="B266" s="41" t="s">
        <v>712</v>
      </c>
      <c r="C266" s="42" t="s">
        <v>275</v>
      </c>
      <c r="D266" s="42" t="s">
        <v>275</v>
      </c>
      <c r="E266" s="293">
        <v>3559.5</v>
      </c>
      <c r="F266" s="305">
        <v>3559.5</v>
      </c>
      <c r="G266" s="51"/>
      <c r="H266" s="651">
        <v>0</v>
      </c>
      <c r="I266" s="73">
        <v>1772.074185485189</v>
      </c>
      <c r="J266" s="40">
        <v>1967.470091069521</v>
      </c>
      <c r="K266" s="52">
        <v>195.39590558433201</v>
      </c>
      <c r="L266" s="73">
        <v>321.61010918887081</v>
      </c>
      <c r="M266" s="40">
        <v>362.33285516979043</v>
      </c>
      <c r="N266" s="52">
        <v>40.722745980919626</v>
      </c>
      <c r="O266" s="73">
        <v>650.39305115852994</v>
      </c>
      <c r="P266" s="40">
        <v>650.4</v>
      </c>
      <c r="Q266" s="52">
        <v>6.9488414700344947E-3</v>
      </c>
      <c r="R266" s="73">
        <v>0</v>
      </c>
      <c r="S266" s="40">
        <v>0</v>
      </c>
      <c r="T266" s="52">
        <v>0</v>
      </c>
      <c r="U266" s="73">
        <v>0</v>
      </c>
      <c r="V266" s="40">
        <v>0</v>
      </c>
      <c r="W266" s="52">
        <v>0</v>
      </c>
      <c r="X266" s="73">
        <v>862.4187975505447</v>
      </c>
      <c r="Y266" s="40">
        <v>915.21557331755298</v>
      </c>
      <c r="Z266" s="52">
        <v>52.796775767008285</v>
      </c>
      <c r="AA266" s="73">
        <v>284.76</v>
      </c>
      <c r="AB266" s="40">
        <v>0</v>
      </c>
      <c r="AC266" s="52">
        <v>-284.76</v>
      </c>
      <c r="AD266" s="73">
        <v>2564.326892386528</v>
      </c>
      <c r="AE266" s="40">
        <v>3208.1956575097338</v>
      </c>
      <c r="AF266" s="35">
        <v>643.86876512320578</v>
      </c>
      <c r="AG266" s="77">
        <v>6455.5830357696623</v>
      </c>
      <c r="AH266" s="53">
        <v>7103.6141770665981</v>
      </c>
      <c r="AI266" s="52">
        <v>648.03114129693586</v>
      </c>
      <c r="AJ266" s="73">
        <v>0</v>
      </c>
      <c r="AK266" s="40">
        <v>0</v>
      </c>
      <c r="AL266" s="52">
        <v>0</v>
      </c>
      <c r="AM266" s="73">
        <v>0</v>
      </c>
      <c r="AN266" s="40">
        <v>0</v>
      </c>
      <c r="AO266" s="52">
        <v>0</v>
      </c>
      <c r="AP266" s="73">
        <v>1512.83</v>
      </c>
      <c r="AQ266" s="40">
        <v>0</v>
      </c>
      <c r="AR266" s="52">
        <v>-1512.83</v>
      </c>
      <c r="AS266" s="73">
        <v>6778.6415634677269</v>
      </c>
      <c r="AT266" s="40">
        <v>1196</v>
      </c>
      <c r="AU266" s="54">
        <v>-5582.6415634677269</v>
      </c>
      <c r="AV266" s="73">
        <v>761.76861917791973</v>
      </c>
      <c r="AW266" s="40">
        <v>0</v>
      </c>
      <c r="AX266" s="55">
        <v>-761.76861917791973</v>
      </c>
      <c r="AY266" s="73">
        <v>890.0727600012134</v>
      </c>
      <c r="AZ266" s="40">
        <v>0</v>
      </c>
      <c r="BA266" s="35">
        <v>-890.0727600012134</v>
      </c>
      <c r="BB266" s="73">
        <v>250.78264929428337</v>
      </c>
      <c r="BC266" s="40">
        <v>0</v>
      </c>
      <c r="BD266" s="55">
        <v>-250.78264929428337</v>
      </c>
      <c r="BE266" s="73">
        <v>0</v>
      </c>
      <c r="BF266" s="40">
        <v>0</v>
      </c>
      <c r="BG266" s="38">
        <v>0</v>
      </c>
      <c r="BH266" s="73">
        <v>0</v>
      </c>
      <c r="BI266" s="40">
        <v>0</v>
      </c>
      <c r="BJ266" s="55">
        <v>0</v>
      </c>
      <c r="BK266" s="73">
        <v>591.20834552213762</v>
      </c>
      <c r="BL266" s="40">
        <v>0</v>
      </c>
      <c r="BM266" s="38">
        <v>-591.20834552213762</v>
      </c>
      <c r="BN266" s="73">
        <v>71.19</v>
      </c>
      <c r="BO266" s="40">
        <v>0</v>
      </c>
      <c r="BP266" s="55">
        <v>-71.19</v>
      </c>
      <c r="BQ266" s="77">
        <v>2565.0223739955541</v>
      </c>
      <c r="BR266" s="40">
        <v>0</v>
      </c>
      <c r="BS266" s="55">
        <v>-2565.0223739955541</v>
      </c>
      <c r="BT266" s="73">
        <v>2440.6070988137999</v>
      </c>
      <c r="BU266" s="40">
        <v>553.84700689682109</v>
      </c>
      <c r="BV266" s="52">
        <v>-1886.7600919169788</v>
      </c>
      <c r="BW266" s="73">
        <v>1855.6448669788219</v>
      </c>
      <c r="BX266" s="40">
        <v>1666.0116191266948</v>
      </c>
      <c r="BY266" s="52">
        <v>-189.63324785212717</v>
      </c>
      <c r="BZ266" s="73">
        <v>1787.68299644031</v>
      </c>
      <c r="CA266" s="40">
        <v>4095.1705599662491</v>
      </c>
      <c r="CB266" s="52">
        <v>2307.4875635259391</v>
      </c>
      <c r="CC266" s="73">
        <v>238.285096885</v>
      </c>
      <c r="CD266" s="40">
        <v>300.65990081430414</v>
      </c>
      <c r="CE266" s="52">
        <v>62.374803929304136</v>
      </c>
      <c r="CF266" s="73">
        <v>28.311100620000001</v>
      </c>
      <c r="CG266" s="40">
        <v>0</v>
      </c>
      <c r="CH266" s="52">
        <v>-28.311100620000001</v>
      </c>
      <c r="CI266" s="73">
        <v>426.7</v>
      </c>
      <c r="CJ266" s="40">
        <v>348.17682734693147</v>
      </c>
      <c r="CK266" s="52">
        <v>-78.523172653068514</v>
      </c>
      <c r="CL266" s="73">
        <v>0</v>
      </c>
      <c r="CM266" s="40">
        <v>0</v>
      </c>
      <c r="CN266" s="52">
        <v>0</v>
      </c>
      <c r="CO266" s="39">
        <v>426.7</v>
      </c>
      <c r="CP266" s="40">
        <v>348.17682734693147</v>
      </c>
      <c r="CQ266" s="52">
        <v>-78.523172653068514</v>
      </c>
      <c r="CR266" s="72">
        <v>24089.30813297088</v>
      </c>
      <c r="CS266" s="5">
        <v>15263.4800912176</v>
      </c>
      <c r="CT266" s="52">
        <v>-8825.8280417532806</v>
      </c>
      <c r="CU266" s="77">
        <v>28907.169759565055</v>
      </c>
      <c r="CV266" s="65">
        <v>18316.176109461117</v>
      </c>
      <c r="CW266" s="35">
        <v>-10590.993650103937</v>
      </c>
      <c r="CX266" s="73">
        <v>1613.9748949364623</v>
      </c>
      <c r="CY266" s="40">
        <v>12204.968545040399</v>
      </c>
      <c r="CZ266" s="52">
        <v>10590.993650103937</v>
      </c>
      <c r="DA266" s="150">
        <v>6923.5415743466619</v>
      </c>
      <c r="DB266" s="2">
        <v>2</v>
      </c>
      <c r="DC266" s="648">
        <v>37329.910000000003</v>
      </c>
      <c r="DD266" s="648"/>
      <c r="DE266" s="649">
        <v>6808.7653454984866</v>
      </c>
      <c r="DG266" s="321">
        <v>1867.3567453412397</v>
      </c>
      <c r="DH266" s="5">
        <v>366253.73585401819</v>
      </c>
      <c r="DI266" s="306">
        <v>4.263594359817855</v>
      </c>
      <c r="DJ266" s="306"/>
      <c r="DK266" s="306"/>
      <c r="DL266" s="28">
        <v>15176.264123771654</v>
      </c>
      <c r="DM266" s="28">
        <v>0</v>
      </c>
      <c r="DN266" s="650">
        <v>15176.3</v>
      </c>
      <c r="DO266" s="94">
        <v>-3.5876228344932315E-2</v>
      </c>
      <c r="DP266" s="28">
        <v>15176.264123771654</v>
      </c>
      <c r="DQ266" s="318">
        <v>0</v>
      </c>
      <c r="DS266" s="8">
        <v>14453.584879782527</v>
      </c>
      <c r="DT266" s="5">
        <v>722.67924398912646</v>
      </c>
      <c r="DW266" s="5">
        <v>11212.396724955937</v>
      </c>
      <c r="DX266" s="5">
        <v>1435.2</v>
      </c>
    </row>
    <row r="267" spans="1:128" x14ac:dyDescent="0.3">
      <c r="A267" s="325">
        <v>150000723</v>
      </c>
      <c r="B267" s="41" t="s">
        <v>713</v>
      </c>
      <c r="C267" s="42" t="s">
        <v>276</v>
      </c>
      <c r="D267" s="42" t="s">
        <v>276</v>
      </c>
      <c r="E267" s="293">
        <v>3575.4</v>
      </c>
      <c r="F267" s="305">
        <v>3575.4</v>
      </c>
      <c r="G267" s="51"/>
      <c r="H267" s="651">
        <v>0</v>
      </c>
      <c r="I267" s="73">
        <v>1772.2097872084553</v>
      </c>
      <c r="J267" s="40">
        <v>1967.6590815034322</v>
      </c>
      <c r="K267" s="52">
        <v>195.44929429497688</v>
      </c>
      <c r="L267" s="73">
        <v>321.61010918887081</v>
      </c>
      <c r="M267" s="40">
        <v>362.33285516979043</v>
      </c>
      <c r="N267" s="52">
        <v>40.722745980919626</v>
      </c>
      <c r="O267" s="73">
        <v>656.22283456619664</v>
      </c>
      <c r="P267" s="40">
        <v>656.22</v>
      </c>
      <c r="Q267" s="52">
        <v>-2.8345661966113767E-3</v>
      </c>
      <c r="R267" s="73">
        <v>0</v>
      </c>
      <c r="S267" s="40">
        <v>0</v>
      </c>
      <c r="T267" s="52">
        <v>0</v>
      </c>
      <c r="U267" s="73">
        <v>0</v>
      </c>
      <c r="V267" s="40">
        <v>0</v>
      </c>
      <c r="W267" s="52">
        <v>0</v>
      </c>
      <c r="X267" s="73">
        <v>862.50428905531294</v>
      </c>
      <c r="Y267" s="40">
        <v>1103.0894815667093</v>
      </c>
      <c r="Z267" s="52">
        <v>240.58519251139637</v>
      </c>
      <c r="AA267" s="73">
        <v>286.03200000000004</v>
      </c>
      <c r="AB267" s="40">
        <v>0</v>
      </c>
      <c r="AC267" s="52">
        <v>-286.03200000000004</v>
      </c>
      <c r="AD267" s="73">
        <v>2575.7704761921887</v>
      </c>
      <c r="AE267" s="40">
        <v>3222.5264092879061</v>
      </c>
      <c r="AF267" s="35">
        <v>646.75593309571741</v>
      </c>
      <c r="AG267" s="77">
        <v>6474.3494962110244</v>
      </c>
      <c r="AH267" s="53">
        <v>7311.8278275278371</v>
      </c>
      <c r="AI267" s="52">
        <v>837.47833131681273</v>
      </c>
      <c r="AJ267" s="73">
        <v>0</v>
      </c>
      <c r="AK267" s="40">
        <v>0</v>
      </c>
      <c r="AL267" s="52">
        <v>0</v>
      </c>
      <c r="AM267" s="73">
        <v>0</v>
      </c>
      <c r="AN267" s="40">
        <v>0</v>
      </c>
      <c r="AO267" s="52">
        <v>0</v>
      </c>
      <c r="AP267" s="73">
        <v>1512.83</v>
      </c>
      <c r="AQ267" s="40">
        <v>0</v>
      </c>
      <c r="AR267" s="52">
        <v>-1512.83</v>
      </c>
      <c r="AS267" s="73">
        <v>6793.0198603368144</v>
      </c>
      <c r="AT267" s="40">
        <v>0</v>
      </c>
      <c r="AU267" s="54">
        <v>-6793.0198603368144</v>
      </c>
      <c r="AV267" s="73">
        <v>761.83604330773937</v>
      </c>
      <c r="AW267" s="40">
        <v>2355</v>
      </c>
      <c r="AX267" s="55">
        <v>1593.1639566922606</v>
      </c>
      <c r="AY267" s="73">
        <v>890.0727600012134</v>
      </c>
      <c r="AZ267" s="40">
        <v>0</v>
      </c>
      <c r="BA267" s="35">
        <v>-890.0727600012134</v>
      </c>
      <c r="BB267" s="73">
        <v>252.6812532341134</v>
      </c>
      <c r="BC267" s="40">
        <v>0</v>
      </c>
      <c r="BD267" s="55">
        <v>-252.6812532341134</v>
      </c>
      <c r="BE267" s="73">
        <v>0</v>
      </c>
      <c r="BF267" s="40">
        <v>0</v>
      </c>
      <c r="BG267" s="38">
        <v>0</v>
      </c>
      <c r="BH267" s="73">
        <v>0</v>
      </c>
      <c r="BI267" s="40">
        <v>0</v>
      </c>
      <c r="BJ267" s="55">
        <v>0</v>
      </c>
      <c r="BK267" s="73">
        <v>591.33482696023373</v>
      </c>
      <c r="BL267" s="40">
        <v>0</v>
      </c>
      <c r="BM267" s="38">
        <v>-591.33482696023373</v>
      </c>
      <c r="BN267" s="73">
        <v>71.50800000000001</v>
      </c>
      <c r="BO267" s="40">
        <v>0</v>
      </c>
      <c r="BP267" s="55">
        <v>-71.50800000000001</v>
      </c>
      <c r="BQ267" s="77">
        <v>2567.4328835032998</v>
      </c>
      <c r="BR267" s="40">
        <v>2355</v>
      </c>
      <c r="BS267" s="55">
        <v>-212.43288350329976</v>
      </c>
      <c r="BT267" s="73">
        <v>3082.85010344376</v>
      </c>
      <c r="BU267" s="40">
        <v>711.87055482915878</v>
      </c>
      <c r="BV267" s="52">
        <v>-2370.9795486146013</v>
      </c>
      <c r="BW267" s="73">
        <v>2009.9976445851</v>
      </c>
      <c r="BX267" s="40">
        <v>1799.3692159798702</v>
      </c>
      <c r="BY267" s="52">
        <v>-210.62842860522983</v>
      </c>
      <c r="BZ267" s="73">
        <v>1978.7002460747181</v>
      </c>
      <c r="CA267" s="40">
        <v>5522.9298540003037</v>
      </c>
      <c r="CB267" s="52">
        <v>3544.2296079255857</v>
      </c>
      <c r="CC267" s="73">
        <v>328.96942199</v>
      </c>
      <c r="CD267" s="40">
        <v>415.08224844706444</v>
      </c>
      <c r="CE267" s="52">
        <v>86.112826457064443</v>
      </c>
      <c r="CF267" s="73">
        <v>39.085475879999997</v>
      </c>
      <c r="CG267" s="40">
        <v>0</v>
      </c>
      <c r="CH267" s="52">
        <v>-39.085475879999997</v>
      </c>
      <c r="CI267" s="73">
        <v>489</v>
      </c>
      <c r="CJ267" s="40">
        <v>708.71746082177685</v>
      </c>
      <c r="CK267" s="52">
        <v>219.71746082177685</v>
      </c>
      <c r="CL267" s="73">
        <v>0</v>
      </c>
      <c r="CM267" s="40">
        <v>0</v>
      </c>
      <c r="CN267" s="52">
        <v>0</v>
      </c>
      <c r="CO267" s="39">
        <v>489</v>
      </c>
      <c r="CP267" s="40">
        <v>708.71746082177685</v>
      </c>
      <c r="CQ267" s="52">
        <v>219.71746082177685</v>
      </c>
      <c r="CR267" s="72">
        <v>25276.235132024718</v>
      </c>
      <c r="CS267" s="5">
        <v>18824.797161606009</v>
      </c>
      <c r="CT267" s="52">
        <v>-6451.4379704187086</v>
      </c>
      <c r="CU267" s="77">
        <v>30331.482158429659</v>
      </c>
      <c r="CV267" s="65">
        <v>22589.75659392721</v>
      </c>
      <c r="CW267" s="35">
        <v>-7741.7255645024488</v>
      </c>
      <c r="CX267" s="73">
        <v>1693.4985727449255</v>
      </c>
      <c r="CY267" s="40">
        <v>9435.2241372473727</v>
      </c>
      <c r="CZ267" s="52">
        <v>7741.725564502447</v>
      </c>
      <c r="DA267" s="150">
        <v>26519.573087751793</v>
      </c>
      <c r="DB267" s="2">
        <v>2</v>
      </c>
      <c r="DC267" s="648">
        <v>40032.379999999997</v>
      </c>
      <c r="DD267" s="648"/>
      <c r="DE267" s="649">
        <v>8007.3992688254148</v>
      </c>
      <c r="DG267" s="321">
        <v>-72247.761618738266</v>
      </c>
      <c r="DH267" s="5">
        <v>384299.76877409499</v>
      </c>
      <c r="DI267" s="306">
        <v>4.4537752791787124</v>
      </c>
      <c r="DJ267" s="306"/>
      <c r="DK267" s="306"/>
      <c r="DL267" s="28">
        <v>15924.028133175569</v>
      </c>
      <c r="DM267" s="28">
        <v>0</v>
      </c>
      <c r="DN267" s="650">
        <v>15924.09</v>
      </c>
      <c r="DO267" s="94">
        <v>-6.1866824431490386E-2</v>
      </c>
      <c r="DP267" s="28">
        <v>15924.028133175569</v>
      </c>
      <c r="DQ267" s="318">
        <v>0</v>
      </c>
      <c r="DS267" s="8">
        <v>15165.741079214829</v>
      </c>
      <c r="DT267" s="5">
        <v>758.28705396074167</v>
      </c>
      <c r="DW267" s="5">
        <v>11232.543292608138</v>
      </c>
      <c r="DX267" s="5">
        <v>2826</v>
      </c>
    </row>
    <row r="268" spans="1:128" x14ac:dyDescent="0.3">
      <c r="A268" s="325">
        <v>150000724</v>
      </c>
      <c r="B268" s="41" t="s">
        <v>714</v>
      </c>
      <c r="C268" s="42" t="s">
        <v>277</v>
      </c>
      <c r="D268" s="42" t="s">
        <v>277</v>
      </c>
      <c r="E268" s="293">
        <v>3565</v>
      </c>
      <c r="F268" s="305">
        <v>3565</v>
      </c>
      <c r="G268" s="51"/>
      <c r="H268" s="651">
        <v>0</v>
      </c>
      <c r="I268" s="73">
        <v>1772.6641728766554</v>
      </c>
      <c r="J268" s="40">
        <v>1968.1101584878372</v>
      </c>
      <c r="K268" s="52">
        <v>195.44598561118187</v>
      </c>
      <c r="L268" s="73">
        <v>321.61010918887081</v>
      </c>
      <c r="M268" s="40">
        <v>362.33285516979043</v>
      </c>
      <c r="N268" s="52">
        <v>40.722745980919626</v>
      </c>
      <c r="O268" s="73">
        <v>656.22283456619664</v>
      </c>
      <c r="P268" s="40">
        <v>656.22</v>
      </c>
      <c r="Q268" s="52">
        <v>-2.8345661966113767E-3</v>
      </c>
      <c r="R268" s="73">
        <v>0</v>
      </c>
      <c r="S268" s="40">
        <v>0</v>
      </c>
      <c r="T268" s="52">
        <v>0</v>
      </c>
      <c r="U268" s="73">
        <v>0</v>
      </c>
      <c r="V268" s="40">
        <v>0</v>
      </c>
      <c r="W268" s="52">
        <v>0</v>
      </c>
      <c r="X268" s="73">
        <v>862.50428905531294</v>
      </c>
      <c r="Y268" s="40">
        <v>915.32684699599849</v>
      </c>
      <c r="Z268" s="52">
        <v>52.822557940685556</v>
      </c>
      <c r="AA268" s="73">
        <v>285.2</v>
      </c>
      <c r="AB268" s="40">
        <v>0</v>
      </c>
      <c r="AC268" s="52">
        <v>-285.2</v>
      </c>
      <c r="AD268" s="73">
        <v>2568.3058876319428</v>
      </c>
      <c r="AE268" s="40">
        <v>3213.1528357977809</v>
      </c>
      <c r="AF268" s="35">
        <v>644.84694816583806</v>
      </c>
      <c r="AG268" s="77">
        <v>6466.5072933189786</v>
      </c>
      <c r="AH268" s="53">
        <v>7115.1426964514067</v>
      </c>
      <c r="AI268" s="52">
        <v>648.63540313242811</v>
      </c>
      <c r="AJ268" s="73">
        <v>0</v>
      </c>
      <c r="AK268" s="40">
        <v>0</v>
      </c>
      <c r="AL268" s="52">
        <v>0</v>
      </c>
      <c r="AM268" s="73">
        <v>0</v>
      </c>
      <c r="AN268" s="40">
        <v>0</v>
      </c>
      <c r="AO268" s="52">
        <v>0</v>
      </c>
      <c r="AP268" s="73">
        <v>1512.83</v>
      </c>
      <c r="AQ268" s="40">
        <v>0</v>
      </c>
      <c r="AR268" s="52">
        <v>-1512.83</v>
      </c>
      <c r="AS268" s="73">
        <v>6800.3667830635231</v>
      </c>
      <c r="AT268" s="40">
        <v>1196</v>
      </c>
      <c r="AU268" s="54">
        <v>-5604.3667830635231</v>
      </c>
      <c r="AV268" s="73">
        <v>761.82769472208201</v>
      </c>
      <c r="AW268" s="40">
        <v>484</v>
      </c>
      <c r="AX268" s="55">
        <v>-277.82769472208201</v>
      </c>
      <c r="AY268" s="73">
        <v>890.0727600012134</v>
      </c>
      <c r="AZ268" s="40">
        <v>64</v>
      </c>
      <c r="BA268" s="35">
        <v>-826.0727600012134</v>
      </c>
      <c r="BB268" s="73">
        <v>252.6812532341134</v>
      </c>
      <c r="BC268" s="40">
        <v>0</v>
      </c>
      <c r="BD268" s="55">
        <v>-252.6812532341134</v>
      </c>
      <c r="BE268" s="73">
        <v>0</v>
      </c>
      <c r="BF268" s="40">
        <v>0</v>
      </c>
      <c r="BG268" s="38">
        <v>0</v>
      </c>
      <c r="BH268" s="73">
        <v>0</v>
      </c>
      <c r="BI268" s="40">
        <v>0</v>
      </c>
      <c r="BJ268" s="55">
        <v>0</v>
      </c>
      <c r="BK268" s="73">
        <v>591.33482696023373</v>
      </c>
      <c r="BL268" s="40">
        <v>0</v>
      </c>
      <c r="BM268" s="38">
        <v>-591.33482696023373</v>
      </c>
      <c r="BN268" s="73">
        <v>71.3</v>
      </c>
      <c r="BO268" s="40">
        <v>0</v>
      </c>
      <c r="BP268" s="55">
        <v>-71.3</v>
      </c>
      <c r="BQ268" s="77">
        <v>2567.2165349176425</v>
      </c>
      <c r="BR268" s="40">
        <v>548</v>
      </c>
      <c r="BS268" s="55">
        <v>-2019.2165349176425</v>
      </c>
      <c r="BT268" s="73">
        <v>2706.77482943922</v>
      </c>
      <c r="BU268" s="40">
        <v>818.110577934709</v>
      </c>
      <c r="BV268" s="52">
        <v>-1888.664251504511</v>
      </c>
      <c r="BW268" s="73">
        <v>1944.017804487808</v>
      </c>
      <c r="BX268" s="40">
        <v>1816.1862804351535</v>
      </c>
      <c r="BY268" s="52">
        <v>-127.83152405265446</v>
      </c>
      <c r="BZ268" s="73">
        <v>1618.3694810687359</v>
      </c>
      <c r="CA268" s="40">
        <v>4713.6440250771102</v>
      </c>
      <c r="CB268" s="52">
        <v>3095.2745440083745</v>
      </c>
      <c r="CC268" s="73">
        <v>273.35173987000002</v>
      </c>
      <c r="CD268" s="40">
        <v>344.90577913227975</v>
      </c>
      <c r="CE268" s="52">
        <v>71.55403926227973</v>
      </c>
      <c r="CF268" s="73">
        <v>32.477434440000003</v>
      </c>
      <c r="CG268" s="40">
        <v>0</v>
      </c>
      <c r="CH268" s="52">
        <v>-32.477434440000003</v>
      </c>
      <c r="CI268" s="73">
        <v>1068.32</v>
      </c>
      <c r="CJ268" s="40">
        <v>2343.7581994865013</v>
      </c>
      <c r="CK268" s="52">
        <v>1275.4381994865014</v>
      </c>
      <c r="CL268" s="73">
        <v>0</v>
      </c>
      <c r="CM268" s="40">
        <v>0</v>
      </c>
      <c r="CN268" s="52">
        <v>0</v>
      </c>
      <c r="CO268" s="39">
        <v>1068.32</v>
      </c>
      <c r="CP268" s="40">
        <v>2343.7581994865013</v>
      </c>
      <c r="CQ268" s="52">
        <v>1275.4381994865014</v>
      </c>
      <c r="CR268" s="72">
        <v>24990.231900605908</v>
      </c>
      <c r="CS268" s="5">
        <v>18895.747558517163</v>
      </c>
      <c r="CT268" s="52">
        <v>-6094.4843420887446</v>
      </c>
      <c r="CU268" s="77">
        <v>29988.278280727089</v>
      </c>
      <c r="CV268" s="65">
        <v>22674.897070220595</v>
      </c>
      <c r="CW268" s="35">
        <v>-7313.3812105064935</v>
      </c>
      <c r="CX268" s="73">
        <v>1674.3364601249757</v>
      </c>
      <c r="CY268" s="40">
        <v>8987.7176706314676</v>
      </c>
      <c r="CZ268" s="52">
        <v>7313.3812105064917</v>
      </c>
      <c r="DA268" s="150">
        <v>159998.16977078101</v>
      </c>
      <c r="DB268" s="2">
        <v>2</v>
      </c>
      <c r="DC268" s="648">
        <v>39149.300000000003</v>
      </c>
      <c r="DD268" s="648"/>
      <c r="DE268" s="649">
        <v>7486.6852591479401</v>
      </c>
      <c r="DG268" s="321">
        <v>-68837.15054738136</v>
      </c>
      <c r="DH268" s="5">
        <v>379951.37689022475</v>
      </c>
      <c r="DI268" s="306">
        <v>4.4162261142725736</v>
      </c>
      <c r="DJ268" s="306"/>
      <c r="DK268" s="306"/>
      <c r="DL268" s="28">
        <v>15743.846097381725</v>
      </c>
      <c r="DM268" s="28">
        <v>0</v>
      </c>
      <c r="DN268" s="650">
        <v>15743.75</v>
      </c>
      <c r="DO268" s="94">
        <v>9.609738172548532E-2</v>
      </c>
      <c r="DP268" s="28">
        <v>15743.846097381725</v>
      </c>
      <c r="DQ268" s="318">
        <v>0</v>
      </c>
      <c r="DS268" s="8">
        <v>14994.139140363544</v>
      </c>
      <c r="DT268" s="5">
        <v>749.70695701817726</v>
      </c>
      <c r="DW268" s="5">
        <v>11241.099981577398</v>
      </c>
      <c r="DX268" s="5">
        <v>2092.7999999999997</v>
      </c>
    </row>
    <row r="269" spans="1:128" x14ac:dyDescent="0.3">
      <c r="A269" s="325">
        <v>150000725</v>
      </c>
      <c r="B269" s="41" t="s">
        <v>715</v>
      </c>
      <c r="C269" s="42" t="s">
        <v>278</v>
      </c>
      <c r="D269" s="42" t="s">
        <v>278</v>
      </c>
      <c r="E269" s="293">
        <v>3572.16</v>
      </c>
      <c r="F269" s="305">
        <v>3572.16</v>
      </c>
      <c r="G269" s="51"/>
      <c r="H269" s="651">
        <v>0</v>
      </c>
      <c r="I269" s="73">
        <v>1772.1645462097497</v>
      </c>
      <c r="J269" s="40">
        <v>1967.5997622170153</v>
      </c>
      <c r="K269" s="52">
        <v>195.43521600726558</v>
      </c>
      <c r="L269" s="73">
        <v>321.61010918887081</v>
      </c>
      <c r="M269" s="40">
        <v>362.33285516979043</v>
      </c>
      <c r="N269" s="52">
        <v>40.722745980919626</v>
      </c>
      <c r="O269" s="73">
        <v>649.21239996622012</v>
      </c>
      <c r="P269" s="40">
        <v>649.22</v>
      </c>
      <c r="Q269" s="52">
        <v>7.6000337799086992E-3</v>
      </c>
      <c r="R269" s="73">
        <v>0</v>
      </c>
      <c r="S269" s="40">
        <v>0</v>
      </c>
      <c r="T269" s="52">
        <v>0</v>
      </c>
      <c r="U269" s="73">
        <v>0</v>
      </c>
      <c r="V269" s="40">
        <v>0</v>
      </c>
      <c r="W269" s="52">
        <v>0</v>
      </c>
      <c r="X269" s="73">
        <v>862.50428905531294</v>
      </c>
      <c r="Y269" s="40">
        <v>915.32684699599849</v>
      </c>
      <c r="Z269" s="52">
        <v>52.822557940685556</v>
      </c>
      <c r="AA269" s="73">
        <v>285.77280000000002</v>
      </c>
      <c r="AB269" s="40">
        <v>0</v>
      </c>
      <c r="AC269" s="52">
        <v>-285.77280000000002</v>
      </c>
      <c r="AD269" s="73">
        <v>2573.4620840989946</v>
      </c>
      <c r="AE269" s="40">
        <v>3219.6061806236748</v>
      </c>
      <c r="AF269" s="35">
        <v>646.14409652468021</v>
      </c>
      <c r="AG269" s="77">
        <v>6464.7262285191482</v>
      </c>
      <c r="AH269" s="53">
        <v>7114.0856450064794</v>
      </c>
      <c r="AI269" s="52">
        <v>649.35941648733115</v>
      </c>
      <c r="AJ269" s="73">
        <v>0</v>
      </c>
      <c r="AK269" s="40">
        <v>0</v>
      </c>
      <c r="AL269" s="52">
        <v>0</v>
      </c>
      <c r="AM269" s="73">
        <v>0</v>
      </c>
      <c r="AN269" s="40">
        <v>0</v>
      </c>
      <c r="AO269" s="52">
        <v>0</v>
      </c>
      <c r="AP269" s="73">
        <v>1512.83</v>
      </c>
      <c r="AQ269" s="40">
        <v>0</v>
      </c>
      <c r="AR269" s="52">
        <v>-1512.83</v>
      </c>
      <c r="AS269" s="73">
        <v>6771.0005867413838</v>
      </c>
      <c r="AT269" s="40">
        <v>0</v>
      </c>
      <c r="AU269" s="54">
        <v>-6771.0005867413838</v>
      </c>
      <c r="AV269" s="73">
        <v>761.82769472208201</v>
      </c>
      <c r="AW269" s="40">
        <v>220</v>
      </c>
      <c r="AX269" s="55">
        <v>-541.82769472208201</v>
      </c>
      <c r="AY269" s="73">
        <v>890.0727600012134</v>
      </c>
      <c r="AZ269" s="40">
        <v>0</v>
      </c>
      <c r="BA269" s="35">
        <v>-890.0727600012134</v>
      </c>
      <c r="BB269" s="73">
        <v>250.3932012127834</v>
      </c>
      <c r="BC269" s="40">
        <v>0</v>
      </c>
      <c r="BD269" s="55">
        <v>-250.3932012127834</v>
      </c>
      <c r="BE269" s="73">
        <v>0</v>
      </c>
      <c r="BF269" s="40">
        <v>0</v>
      </c>
      <c r="BG269" s="38">
        <v>0</v>
      </c>
      <c r="BH269" s="73">
        <v>0</v>
      </c>
      <c r="BI269" s="40">
        <v>0</v>
      </c>
      <c r="BJ269" s="55">
        <v>0</v>
      </c>
      <c r="BK269" s="73">
        <v>591.33482696023373</v>
      </c>
      <c r="BL269" s="40">
        <v>0</v>
      </c>
      <c r="BM269" s="38">
        <v>-591.33482696023373</v>
      </c>
      <c r="BN269" s="73">
        <v>71.443200000000004</v>
      </c>
      <c r="BO269" s="40">
        <v>0</v>
      </c>
      <c r="BP269" s="55">
        <v>-71.443200000000004</v>
      </c>
      <c r="BQ269" s="77">
        <v>2565.0716828963127</v>
      </c>
      <c r="BR269" s="40">
        <v>220</v>
      </c>
      <c r="BS269" s="55">
        <v>-2345.0716828963127</v>
      </c>
      <c r="BT269" s="73">
        <v>3753.2307235220601</v>
      </c>
      <c r="BU269" s="40">
        <v>1031.9593556817276</v>
      </c>
      <c r="BV269" s="52">
        <v>-2721.2713678403325</v>
      </c>
      <c r="BW269" s="73">
        <v>1985.712659668176</v>
      </c>
      <c r="BX269" s="40">
        <v>1853.882890803523</v>
      </c>
      <c r="BY269" s="52">
        <v>-131.82976886465303</v>
      </c>
      <c r="BZ269" s="73">
        <v>1683.3111137279179</v>
      </c>
      <c r="CA269" s="40">
        <v>5807.6264773910916</v>
      </c>
      <c r="CB269" s="52">
        <v>4124.3153636631741</v>
      </c>
      <c r="CC269" s="73">
        <v>272.51136280499998</v>
      </c>
      <c r="CD269" s="40">
        <v>343.84542039263329</v>
      </c>
      <c r="CE269" s="52">
        <v>71.334057587633311</v>
      </c>
      <c r="CF269" s="73">
        <v>32.377587660000003</v>
      </c>
      <c r="CG269" s="40">
        <v>0</v>
      </c>
      <c r="CH269" s="52">
        <v>-32.377587660000003</v>
      </c>
      <c r="CI269" s="73">
        <v>1392.24</v>
      </c>
      <c r="CJ269" s="40">
        <v>1601.2151591009097</v>
      </c>
      <c r="CK269" s="52">
        <v>208.97515910090965</v>
      </c>
      <c r="CL269" s="73">
        <v>0</v>
      </c>
      <c r="CM269" s="40">
        <v>0</v>
      </c>
      <c r="CN269" s="52">
        <v>0</v>
      </c>
      <c r="CO269" s="39">
        <v>1392.24</v>
      </c>
      <c r="CP269" s="40">
        <v>1601.2151591009097</v>
      </c>
      <c r="CQ269" s="52">
        <v>208.97515910090965</v>
      </c>
      <c r="CR269" s="72">
        <v>26433.011945540005</v>
      </c>
      <c r="CS269" s="5">
        <v>17972.614948376366</v>
      </c>
      <c r="CT269" s="52">
        <v>-8460.3969971636398</v>
      </c>
      <c r="CU269" s="77">
        <v>31719.614334648006</v>
      </c>
      <c r="CV269" s="65">
        <v>21567.137938051637</v>
      </c>
      <c r="CW269" s="35">
        <v>-10152.476396596368</v>
      </c>
      <c r="CX269" s="73">
        <v>1771.0021990737741</v>
      </c>
      <c r="CY269" s="40">
        <v>11923.478595670145</v>
      </c>
      <c r="CZ269" s="52">
        <v>10152.476396596372</v>
      </c>
      <c r="DA269" s="150">
        <v>-41222.790271920137</v>
      </c>
      <c r="DB269" s="2">
        <v>2</v>
      </c>
      <c r="DC269" s="648">
        <v>47834.76</v>
      </c>
      <c r="DD269" s="648"/>
      <c r="DE269" s="649">
        <v>14344.143466278219</v>
      </c>
      <c r="DG269" s="321">
        <v>-13168.337453942588</v>
      </c>
      <c r="DH269" s="5">
        <v>401887.39840466139</v>
      </c>
      <c r="DI269" s="306">
        <v>4.6618285647032049</v>
      </c>
      <c r="DJ269" s="306"/>
      <c r="DK269" s="306"/>
      <c r="DL269" s="28">
        <v>16652.797525690199</v>
      </c>
      <c r="DM269" s="28">
        <v>0</v>
      </c>
      <c r="DN269" s="650">
        <v>16652.740000000002</v>
      </c>
      <c r="DO269" s="94">
        <v>5.7525690197508084E-2</v>
      </c>
      <c r="DP269" s="28">
        <v>16652.797525690199</v>
      </c>
      <c r="DQ269" s="318">
        <v>0</v>
      </c>
      <c r="DS269" s="8">
        <v>15859.807167324003</v>
      </c>
      <c r="DT269" s="5">
        <v>792.99035836620021</v>
      </c>
      <c r="DW269" s="5">
        <v>11203.286723565236</v>
      </c>
      <c r="DX269" s="5">
        <v>264</v>
      </c>
    </row>
    <row r="270" spans="1:128" x14ac:dyDescent="0.3">
      <c r="A270" s="325">
        <v>150000710</v>
      </c>
      <c r="B270" s="41" t="s">
        <v>716</v>
      </c>
      <c r="C270" s="42" t="s">
        <v>279</v>
      </c>
      <c r="D270" s="42" t="s">
        <v>279</v>
      </c>
      <c r="E270" s="293">
        <v>4572.3</v>
      </c>
      <c r="F270" s="305">
        <v>4471.5</v>
      </c>
      <c r="G270" s="51"/>
      <c r="H270" s="651">
        <v>100.8</v>
      </c>
      <c r="I270" s="73">
        <v>2398.3600764138719</v>
      </c>
      <c r="J270" s="40">
        <v>2691.6212251494235</v>
      </c>
      <c r="K270" s="52">
        <v>293.26114873555161</v>
      </c>
      <c r="L270" s="73">
        <v>527.90923800449741</v>
      </c>
      <c r="M270" s="40">
        <v>594.75351387959006</v>
      </c>
      <c r="N270" s="52">
        <v>66.844275875092649</v>
      </c>
      <c r="O270" s="73">
        <v>885.28951412771016</v>
      </c>
      <c r="P270" s="40">
        <v>885.25</v>
      </c>
      <c r="Q270" s="52">
        <v>-3.9514127710162938E-2</v>
      </c>
      <c r="R270" s="73">
        <v>0</v>
      </c>
      <c r="S270" s="40">
        <v>0</v>
      </c>
      <c r="T270" s="52">
        <v>0</v>
      </c>
      <c r="U270" s="73">
        <v>0</v>
      </c>
      <c r="V270" s="40">
        <v>0</v>
      </c>
      <c r="W270" s="52">
        <v>0</v>
      </c>
      <c r="X270" s="73">
        <v>1430.2917506267706</v>
      </c>
      <c r="Y270" s="40">
        <v>1564.6000325445038</v>
      </c>
      <c r="Z270" s="52">
        <v>134.30828191773321</v>
      </c>
      <c r="AA270" s="73">
        <v>364.42400000000004</v>
      </c>
      <c r="AB270" s="40">
        <v>0</v>
      </c>
      <c r="AC270" s="52">
        <v>-364.42400000000004</v>
      </c>
      <c r="AD270" s="73">
        <v>3278.4094990826275</v>
      </c>
      <c r="AE270" s="40">
        <v>4121.037506625019</v>
      </c>
      <c r="AF270" s="35">
        <v>842.62800754239152</v>
      </c>
      <c r="AG270" s="77">
        <v>8884.6840782554773</v>
      </c>
      <c r="AH270" s="53">
        <v>9857.2622781985374</v>
      </c>
      <c r="AI270" s="52">
        <v>972.5781999430601</v>
      </c>
      <c r="AJ270" s="73">
        <v>0</v>
      </c>
      <c r="AK270" s="40">
        <v>0</v>
      </c>
      <c r="AL270" s="52">
        <v>0</v>
      </c>
      <c r="AM270" s="73">
        <v>0</v>
      </c>
      <c r="AN270" s="40">
        <v>0</v>
      </c>
      <c r="AO270" s="52">
        <v>0</v>
      </c>
      <c r="AP270" s="73">
        <v>1853.2167499999998</v>
      </c>
      <c r="AQ270" s="40">
        <v>0</v>
      </c>
      <c r="AR270" s="52">
        <v>-1853.2167499999998</v>
      </c>
      <c r="AS270" s="73">
        <v>3829.2690157436946</v>
      </c>
      <c r="AT270" s="40">
        <v>2177</v>
      </c>
      <c r="AU270" s="54">
        <v>-1652.2690157436946</v>
      </c>
      <c r="AV270" s="73">
        <v>1074.7671176686865</v>
      </c>
      <c r="AW270" s="40">
        <v>0</v>
      </c>
      <c r="AX270" s="55">
        <v>-1074.7671176686865</v>
      </c>
      <c r="AY270" s="73">
        <v>1461.0696499802978</v>
      </c>
      <c r="AZ270" s="40">
        <v>0</v>
      </c>
      <c r="BA270" s="35">
        <v>-1461.0696499802978</v>
      </c>
      <c r="BB270" s="73">
        <v>278.5775625262466</v>
      </c>
      <c r="BC270" s="40">
        <v>1225</v>
      </c>
      <c r="BD270" s="55">
        <v>946.42243747375346</v>
      </c>
      <c r="BE270" s="73">
        <v>0</v>
      </c>
      <c r="BF270" s="40">
        <v>0</v>
      </c>
      <c r="BG270" s="38">
        <v>0</v>
      </c>
      <c r="BH270" s="73">
        <v>0</v>
      </c>
      <c r="BI270" s="40">
        <v>0</v>
      </c>
      <c r="BJ270" s="55">
        <v>0</v>
      </c>
      <c r="BK270" s="73">
        <v>1133.1626168583609</v>
      </c>
      <c r="BL270" s="40">
        <v>0</v>
      </c>
      <c r="BM270" s="38">
        <v>-1133.1626168583609</v>
      </c>
      <c r="BN270" s="73">
        <v>91.106000000000009</v>
      </c>
      <c r="BO270" s="40">
        <v>0</v>
      </c>
      <c r="BP270" s="55">
        <v>-91.106000000000009</v>
      </c>
      <c r="BQ270" s="77">
        <v>4038.682947033592</v>
      </c>
      <c r="BR270" s="40">
        <v>1225</v>
      </c>
      <c r="BS270" s="55">
        <v>-2813.682947033592</v>
      </c>
      <c r="BT270" s="73">
        <v>4851.6980976305204</v>
      </c>
      <c r="BU270" s="40">
        <v>1399.1224261567777</v>
      </c>
      <c r="BV270" s="52">
        <v>-3452.5756714737427</v>
      </c>
      <c r="BW270" s="73">
        <v>2671.3713915195799</v>
      </c>
      <c r="BX270" s="40">
        <v>2827.9317007990267</v>
      </c>
      <c r="BY270" s="52">
        <v>156.56030927944676</v>
      </c>
      <c r="BZ270" s="73">
        <v>2562.6928541195002</v>
      </c>
      <c r="CA270" s="40">
        <v>8412.1877749884788</v>
      </c>
      <c r="CB270" s="52">
        <v>5849.4949208689786</v>
      </c>
      <c r="CC270" s="73">
        <v>76.397914999999998</v>
      </c>
      <c r="CD270" s="40">
        <v>96.396249058770181</v>
      </c>
      <c r="CE270" s="52">
        <v>19.998334058770183</v>
      </c>
      <c r="CF270" s="73">
        <v>9.0769800000000007</v>
      </c>
      <c r="CG270" s="40">
        <v>0</v>
      </c>
      <c r="CH270" s="52">
        <v>-9.0769800000000007</v>
      </c>
      <c r="CI270" s="73">
        <v>1619.62</v>
      </c>
      <c r="CJ270" s="40">
        <v>923.39622983607035</v>
      </c>
      <c r="CK270" s="52">
        <v>-696.22377016392954</v>
      </c>
      <c r="CL270" s="73">
        <v>0</v>
      </c>
      <c r="CM270" s="40">
        <v>0</v>
      </c>
      <c r="CN270" s="52">
        <v>0</v>
      </c>
      <c r="CO270" s="39">
        <v>1619.62</v>
      </c>
      <c r="CP270" s="40">
        <v>923.39622983607035</v>
      </c>
      <c r="CQ270" s="52">
        <v>-696.22377016392954</v>
      </c>
      <c r="CR270" s="72">
        <v>30396.710029302365</v>
      </c>
      <c r="CS270" s="5">
        <v>26918.296659037664</v>
      </c>
      <c r="CT270" s="52">
        <v>-3478.4133702647014</v>
      </c>
      <c r="CU270" s="77">
        <v>36476.052035162837</v>
      </c>
      <c r="CV270" s="65">
        <v>32301.955990845196</v>
      </c>
      <c r="CW270" s="35">
        <v>-4174.0960443176409</v>
      </c>
      <c r="CX270" s="73">
        <v>2036.5685309496264</v>
      </c>
      <c r="CY270" s="40">
        <v>6210.6645752672666</v>
      </c>
      <c r="CZ270" s="52">
        <v>4174.09604431764</v>
      </c>
      <c r="DA270" s="150">
        <v>13180.316975402198</v>
      </c>
      <c r="DB270" s="2">
        <v>3</v>
      </c>
      <c r="DC270" s="648">
        <v>41721.199999999997</v>
      </c>
      <c r="DD270" s="648">
        <v>1159.53</v>
      </c>
      <c r="DE270" s="649">
        <v>4368.1094338875337</v>
      </c>
      <c r="DG270" s="321">
        <v>2145.8479075563137</v>
      </c>
      <c r="DH270" s="5">
        <v>462151.44679334958</v>
      </c>
      <c r="DI270" s="306">
        <v>4.2108191100600099</v>
      </c>
      <c r="DJ270" s="306"/>
      <c r="DK270" s="306">
        <v>3.8344265672520268</v>
      </c>
      <c r="DL270" s="28">
        <v>18828.677650633334</v>
      </c>
      <c r="DM270" s="28">
        <v>386.51019797900432</v>
      </c>
      <c r="DN270" s="650">
        <v>18828.61</v>
      </c>
      <c r="DO270" s="94">
        <v>6.7650633332959842E-2</v>
      </c>
      <c r="DP270" s="28">
        <v>19215.187848612339</v>
      </c>
      <c r="DQ270" s="318">
        <v>65.260530151848798</v>
      </c>
      <c r="DS270" s="8">
        <v>18238.026017581418</v>
      </c>
      <c r="DT270" s="5">
        <v>911.90130087907096</v>
      </c>
      <c r="DW270" s="5">
        <v>9441.5423553327437</v>
      </c>
      <c r="DX270" s="5">
        <v>4082.3999999999996</v>
      </c>
    </row>
    <row r="271" spans="1:128" x14ac:dyDescent="0.3">
      <c r="A271" s="325">
        <v>150000711</v>
      </c>
      <c r="B271" s="41" t="s">
        <v>717</v>
      </c>
      <c r="C271" s="42" t="s">
        <v>280</v>
      </c>
      <c r="D271" s="42" t="s">
        <v>280</v>
      </c>
      <c r="E271" s="293">
        <v>4577.8</v>
      </c>
      <c r="F271" s="305">
        <v>4538</v>
      </c>
      <c r="G271" s="51"/>
      <c r="H271" s="651">
        <v>39.799999999999997</v>
      </c>
      <c r="I271" s="73">
        <v>2398.7696835731012</v>
      </c>
      <c r="J271" s="40">
        <v>2692.2537642555271</v>
      </c>
      <c r="K271" s="52">
        <v>293.48408068242588</v>
      </c>
      <c r="L271" s="73">
        <v>527.99593511580338</v>
      </c>
      <c r="M271" s="40">
        <v>594.85086284658905</v>
      </c>
      <c r="N271" s="52">
        <v>66.854927730785676</v>
      </c>
      <c r="O271" s="73">
        <v>914.08543841372</v>
      </c>
      <c r="P271" s="40">
        <v>913.91666666666674</v>
      </c>
      <c r="Q271" s="52">
        <v>-0.16877174705325615</v>
      </c>
      <c r="R271" s="73">
        <v>0</v>
      </c>
      <c r="S271" s="40">
        <v>0</v>
      </c>
      <c r="T271" s="52">
        <v>0</v>
      </c>
      <c r="U271" s="73">
        <v>143.60199067673076</v>
      </c>
      <c r="V271" s="40">
        <v>269.15996592635861</v>
      </c>
      <c r="W271" s="52">
        <v>125.55797524962784</v>
      </c>
      <c r="X271" s="73">
        <v>1431.1485635827867</v>
      </c>
      <c r="Y271" s="40">
        <v>1565.6139468897118</v>
      </c>
      <c r="Z271" s="52">
        <v>134.4653833069251</v>
      </c>
      <c r="AA271" s="73">
        <v>366.17599999999999</v>
      </c>
      <c r="AB271" s="40">
        <v>0</v>
      </c>
      <c r="AC271" s="52">
        <v>-366.17599999999999</v>
      </c>
      <c r="AD271" s="73">
        <v>3295.9471663710315</v>
      </c>
      <c r="AE271" s="40">
        <v>4125.9946849130665</v>
      </c>
      <c r="AF271" s="35">
        <v>830.04751854203505</v>
      </c>
      <c r="AG271" s="77">
        <v>9077.7247777331741</v>
      </c>
      <c r="AH271" s="53">
        <v>10161.78989149792</v>
      </c>
      <c r="AI271" s="52">
        <v>1084.0651137647455</v>
      </c>
      <c r="AJ271" s="73">
        <v>0</v>
      </c>
      <c r="AK271" s="40">
        <v>0</v>
      </c>
      <c r="AL271" s="52">
        <v>0</v>
      </c>
      <c r="AM271" s="73">
        <v>0</v>
      </c>
      <c r="AN271" s="40">
        <v>0</v>
      </c>
      <c r="AO271" s="52">
        <v>0</v>
      </c>
      <c r="AP271" s="73">
        <v>1891.0374999999999</v>
      </c>
      <c r="AQ271" s="40">
        <v>0</v>
      </c>
      <c r="AR271" s="52">
        <v>-1891.0374999999999</v>
      </c>
      <c r="AS271" s="73">
        <v>5757.3373586981234</v>
      </c>
      <c r="AT271" s="40">
        <v>1437</v>
      </c>
      <c r="AU271" s="54">
        <v>-4320.3373586981234</v>
      </c>
      <c r="AV271" s="73">
        <v>1075.0624953895006</v>
      </c>
      <c r="AW271" s="40">
        <v>0</v>
      </c>
      <c r="AX271" s="55">
        <v>-1075.0624953895006</v>
      </c>
      <c r="AY271" s="73">
        <v>1461.3416319021926</v>
      </c>
      <c r="AZ271" s="40">
        <v>0</v>
      </c>
      <c r="BA271" s="35">
        <v>-1461.3416319021926</v>
      </c>
      <c r="BB271" s="73">
        <v>287.35973825005999</v>
      </c>
      <c r="BC271" s="40">
        <v>3066</v>
      </c>
      <c r="BD271" s="55">
        <v>2778.6402617499398</v>
      </c>
      <c r="BE271" s="73">
        <v>0</v>
      </c>
      <c r="BF271" s="40">
        <v>0</v>
      </c>
      <c r="BG271" s="38">
        <v>0</v>
      </c>
      <c r="BH271" s="73">
        <v>693.37918820845721</v>
      </c>
      <c r="BI271" s="40">
        <v>0</v>
      </c>
      <c r="BJ271" s="55">
        <v>-693.37918820845721</v>
      </c>
      <c r="BK271" s="73">
        <v>1134.217519502854</v>
      </c>
      <c r="BL271" s="40">
        <v>0</v>
      </c>
      <c r="BM271" s="38">
        <v>-1134.217519502854</v>
      </c>
      <c r="BN271" s="73">
        <v>91.543999999999997</v>
      </c>
      <c r="BO271" s="40">
        <v>0</v>
      </c>
      <c r="BP271" s="55">
        <v>-91.543999999999997</v>
      </c>
      <c r="BQ271" s="77">
        <v>4742.904573253064</v>
      </c>
      <c r="BR271" s="40">
        <v>3066</v>
      </c>
      <c r="BS271" s="55">
        <v>-1676.904573253064</v>
      </c>
      <c r="BT271" s="73">
        <v>4765.1718144329798</v>
      </c>
      <c r="BU271" s="40">
        <v>1335.9950599729607</v>
      </c>
      <c r="BV271" s="52">
        <v>-3429.1767544600189</v>
      </c>
      <c r="BW271" s="73">
        <v>2809.8244205994001</v>
      </c>
      <c r="BX271" s="40">
        <v>2825.0836757693523</v>
      </c>
      <c r="BY271" s="52">
        <v>15.259255169952212</v>
      </c>
      <c r="BZ271" s="73">
        <v>2313.1513916952199</v>
      </c>
      <c r="CA271" s="40">
        <v>8043.8933926901354</v>
      </c>
      <c r="CB271" s="52">
        <v>5730.7420009949155</v>
      </c>
      <c r="CC271" s="73">
        <v>76.397914999999998</v>
      </c>
      <c r="CD271" s="40">
        <v>96.396249058770181</v>
      </c>
      <c r="CE271" s="52">
        <v>19.998334058770183</v>
      </c>
      <c r="CF271" s="73">
        <v>9.0769800000000007</v>
      </c>
      <c r="CG271" s="40">
        <v>0</v>
      </c>
      <c r="CH271" s="52">
        <v>-9.0769800000000007</v>
      </c>
      <c r="CI271" s="73">
        <v>1068.32</v>
      </c>
      <c r="CJ271" s="40">
        <v>1026.1714968173274</v>
      </c>
      <c r="CK271" s="52">
        <v>-42.148503182672584</v>
      </c>
      <c r="CL271" s="73">
        <v>0</v>
      </c>
      <c r="CM271" s="40">
        <v>0</v>
      </c>
      <c r="CN271" s="52">
        <v>0</v>
      </c>
      <c r="CO271" s="39">
        <v>1068.32</v>
      </c>
      <c r="CP271" s="40">
        <v>1026.1714968173274</v>
      </c>
      <c r="CQ271" s="52">
        <v>-42.148503182672584</v>
      </c>
      <c r="CR271" s="72">
        <v>32510.946731411965</v>
      </c>
      <c r="CS271" s="5">
        <v>27992.329765806469</v>
      </c>
      <c r="CT271" s="52">
        <v>-4518.6169656054954</v>
      </c>
      <c r="CU271" s="77">
        <v>39013.136077694355</v>
      </c>
      <c r="CV271" s="65">
        <v>33590.795718967762</v>
      </c>
      <c r="CW271" s="35">
        <v>-5422.340358726593</v>
      </c>
      <c r="CX271" s="73">
        <v>2178.2216220356145</v>
      </c>
      <c r="CY271" s="40">
        <v>7600.5619807622061</v>
      </c>
      <c r="CZ271" s="52">
        <v>5422.3403587265911</v>
      </c>
      <c r="DA271" s="150">
        <v>110641.53310398749</v>
      </c>
      <c r="DB271" s="2">
        <v>3</v>
      </c>
      <c r="DC271" s="648">
        <v>74314.33</v>
      </c>
      <c r="DD271" s="648">
        <v>162.93</v>
      </c>
      <c r="DE271" s="649">
        <v>33285.902300270027</v>
      </c>
      <c r="DG271" s="321">
        <v>5578.8841651014882</v>
      </c>
      <c r="DH271" s="5">
        <v>494296.29239675961</v>
      </c>
      <c r="DI271" s="306">
        <v>4.478157767501294</v>
      </c>
      <c r="DJ271" s="306"/>
      <c r="DK271" s="306">
        <v>4.088024787165061</v>
      </c>
      <c r="DL271" s="28">
        <v>20321.879948920872</v>
      </c>
      <c r="DM271" s="28">
        <v>162.70338652916942</v>
      </c>
      <c r="DN271" s="650">
        <v>20322.07</v>
      </c>
      <c r="DO271" s="94">
        <v>-0.19005107912744279</v>
      </c>
      <c r="DP271" s="28">
        <v>20484.583335450043</v>
      </c>
      <c r="DQ271" s="318">
        <v>2.6868946605063684</v>
      </c>
      <c r="DS271" s="8">
        <v>19506.568038847177</v>
      </c>
      <c r="DT271" s="5">
        <v>975.32840194235905</v>
      </c>
      <c r="DW271" s="5">
        <v>12600.290318341424</v>
      </c>
      <c r="DX271" s="5">
        <v>5403.5999999999995</v>
      </c>
    </row>
    <row r="272" spans="1:128" x14ac:dyDescent="0.3">
      <c r="A272" s="325">
        <v>150000712</v>
      </c>
      <c r="B272" s="41" t="s">
        <v>718</v>
      </c>
      <c r="C272" s="42" t="s">
        <v>281</v>
      </c>
      <c r="D272" s="42" t="s">
        <v>281</v>
      </c>
      <c r="E272" s="293">
        <v>3208.93</v>
      </c>
      <c r="F272" s="305">
        <v>3208.93</v>
      </c>
      <c r="G272" s="51"/>
      <c r="H272" s="651">
        <v>0</v>
      </c>
      <c r="I272" s="73">
        <v>1653.503757525524</v>
      </c>
      <c r="J272" s="40">
        <v>1855.8971462427764</v>
      </c>
      <c r="K272" s="52">
        <v>202.39338871725249</v>
      </c>
      <c r="L272" s="73">
        <v>354.48897192983929</v>
      </c>
      <c r="M272" s="40">
        <v>399.37413711286013</v>
      </c>
      <c r="N272" s="52">
        <v>44.885165183020831</v>
      </c>
      <c r="O272" s="73">
        <v>635.56918313261008</v>
      </c>
      <c r="P272" s="40">
        <v>635.36666666666679</v>
      </c>
      <c r="Q272" s="52">
        <v>-0.20251646594329031</v>
      </c>
      <c r="R272" s="73">
        <v>0</v>
      </c>
      <c r="S272" s="40">
        <v>0</v>
      </c>
      <c r="T272" s="52">
        <v>0</v>
      </c>
      <c r="U272" s="73">
        <v>0</v>
      </c>
      <c r="V272" s="40">
        <v>0</v>
      </c>
      <c r="W272" s="52">
        <v>0</v>
      </c>
      <c r="X272" s="73">
        <v>841.51312301105656</v>
      </c>
      <c r="Y272" s="40">
        <v>893.96217735457947</v>
      </c>
      <c r="Z272" s="52">
        <v>52.449054343522903</v>
      </c>
      <c r="AA272" s="73">
        <v>256.71440000000001</v>
      </c>
      <c r="AB272" s="40">
        <v>0</v>
      </c>
      <c r="AC272" s="52">
        <v>-256.71440000000001</v>
      </c>
      <c r="AD272" s="73">
        <v>2311.7702801698888</v>
      </c>
      <c r="AE272" s="40">
        <v>2892.2251134296139</v>
      </c>
      <c r="AF272" s="35">
        <v>580.45483325972509</v>
      </c>
      <c r="AG272" s="77">
        <v>6053.5597157689181</v>
      </c>
      <c r="AH272" s="53">
        <v>6676.8252408064964</v>
      </c>
      <c r="AI272" s="52">
        <v>623.2655250375783</v>
      </c>
      <c r="AJ272" s="73">
        <v>0</v>
      </c>
      <c r="AK272" s="40">
        <v>0</v>
      </c>
      <c r="AL272" s="52">
        <v>0</v>
      </c>
      <c r="AM272" s="73">
        <v>0</v>
      </c>
      <c r="AN272" s="40">
        <v>0</v>
      </c>
      <c r="AO272" s="52">
        <v>0</v>
      </c>
      <c r="AP272" s="73">
        <v>1323.7262499999999</v>
      </c>
      <c r="AQ272" s="40">
        <v>0</v>
      </c>
      <c r="AR272" s="52">
        <v>-1323.7262499999999</v>
      </c>
      <c r="AS272" s="73">
        <v>3964.2863499368482</v>
      </c>
      <c r="AT272" s="40">
        <v>46236</v>
      </c>
      <c r="AU272" s="54">
        <v>42271.713650063153</v>
      </c>
      <c r="AV272" s="73">
        <v>736.63751862383003</v>
      </c>
      <c r="AW272" s="40">
        <v>0</v>
      </c>
      <c r="AX272" s="55">
        <v>-736.63751862383003</v>
      </c>
      <c r="AY272" s="73">
        <v>981.1474424167933</v>
      </c>
      <c r="AZ272" s="40">
        <v>0</v>
      </c>
      <c r="BA272" s="35">
        <v>-981.1474424167933</v>
      </c>
      <c r="BB272" s="73">
        <v>201.71665817177001</v>
      </c>
      <c r="BC272" s="40">
        <v>2044</v>
      </c>
      <c r="BD272" s="55">
        <v>1842.28334182823</v>
      </c>
      <c r="BE272" s="73">
        <v>0</v>
      </c>
      <c r="BF272" s="40">
        <v>0</v>
      </c>
      <c r="BG272" s="38">
        <v>0</v>
      </c>
      <c r="BH272" s="73">
        <v>0</v>
      </c>
      <c r="BI272" s="40">
        <v>0</v>
      </c>
      <c r="BJ272" s="55">
        <v>0</v>
      </c>
      <c r="BK272" s="73">
        <v>573.50394718893358</v>
      </c>
      <c r="BL272" s="40">
        <v>0</v>
      </c>
      <c r="BM272" s="38">
        <v>-573.50394718893358</v>
      </c>
      <c r="BN272" s="73">
        <v>64.178600000000003</v>
      </c>
      <c r="BO272" s="40">
        <v>0</v>
      </c>
      <c r="BP272" s="55">
        <v>-64.178600000000003</v>
      </c>
      <c r="BQ272" s="77">
        <v>2557.1841664013273</v>
      </c>
      <c r="BR272" s="40">
        <v>2044</v>
      </c>
      <c r="BS272" s="55">
        <v>-513.18416640132727</v>
      </c>
      <c r="BT272" s="73">
        <v>4553.4975839318204</v>
      </c>
      <c r="BU272" s="40">
        <v>1174.7786834073031</v>
      </c>
      <c r="BV272" s="52">
        <v>-3378.7189005245173</v>
      </c>
      <c r="BW272" s="73">
        <v>1954.6385582568339</v>
      </c>
      <c r="BX272" s="40">
        <v>2067.9180799688406</v>
      </c>
      <c r="BY272" s="52">
        <v>113.27952171200673</v>
      </c>
      <c r="BZ272" s="73">
        <v>1691.2247097645941</v>
      </c>
      <c r="CA272" s="40">
        <v>7093.8275210747997</v>
      </c>
      <c r="CB272" s="52">
        <v>5402.6028113102057</v>
      </c>
      <c r="CC272" s="73">
        <v>38.198957499999999</v>
      </c>
      <c r="CD272" s="40">
        <v>48.19812452938509</v>
      </c>
      <c r="CE272" s="52">
        <v>9.9991670293850916</v>
      </c>
      <c r="CF272" s="73">
        <v>4.5384900000000004</v>
      </c>
      <c r="CG272" s="40">
        <v>0</v>
      </c>
      <c r="CH272" s="52">
        <v>-4.5384900000000004</v>
      </c>
      <c r="CI272" s="73">
        <v>921.94</v>
      </c>
      <c r="CJ272" s="40">
        <v>768.77225575198202</v>
      </c>
      <c r="CK272" s="52">
        <v>-153.16774424801804</v>
      </c>
      <c r="CL272" s="73">
        <v>0</v>
      </c>
      <c r="CM272" s="40">
        <v>0</v>
      </c>
      <c r="CN272" s="52">
        <v>0</v>
      </c>
      <c r="CO272" s="39">
        <v>921.94</v>
      </c>
      <c r="CP272" s="40">
        <v>768.77225575198202</v>
      </c>
      <c r="CQ272" s="52">
        <v>-153.16774424801804</v>
      </c>
      <c r="CR272" s="72">
        <v>23062.79478156034</v>
      </c>
      <c r="CS272" s="5">
        <v>66110.31990553881</v>
      </c>
      <c r="CT272" s="52">
        <v>43047.52512397847</v>
      </c>
      <c r="CU272" s="77">
        <v>27675.353737872407</v>
      </c>
      <c r="CV272" s="65">
        <v>79332.383886646567</v>
      </c>
      <c r="CW272" s="35">
        <v>51657.03014877416</v>
      </c>
      <c r="CX272" s="73">
        <v>1545.1988732529628</v>
      </c>
      <c r="CY272" s="40">
        <v>-50111.831275521195</v>
      </c>
      <c r="CZ272" s="52">
        <v>-51657.03014877416</v>
      </c>
      <c r="DA272" s="150">
        <v>40377.558023230195</v>
      </c>
      <c r="DB272" s="2">
        <v>3</v>
      </c>
      <c r="DC272" s="648">
        <v>32622.38</v>
      </c>
      <c r="DD272" s="648"/>
      <c r="DE272" s="649">
        <v>3401.8273888746298</v>
      </c>
      <c r="DG272" s="321">
        <v>17494.958382704157</v>
      </c>
      <c r="DH272" s="5">
        <v>350646.63133350445</v>
      </c>
      <c r="DI272" s="306">
        <v>4.5278521851156039</v>
      </c>
      <c r="DJ272" s="306"/>
      <c r="DK272" s="306"/>
      <c r="DL272" s="28">
        <v>14529.560712383014</v>
      </c>
      <c r="DM272" s="28">
        <v>0</v>
      </c>
      <c r="DN272" s="650">
        <v>14529.7</v>
      </c>
      <c r="DO272" s="94">
        <v>-0.13928761698662129</v>
      </c>
      <c r="DP272" s="28">
        <v>14529.560712383014</v>
      </c>
      <c r="DQ272" s="318">
        <v>0</v>
      </c>
      <c r="DS272" s="8">
        <v>13837.676868936203</v>
      </c>
      <c r="DT272" s="5">
        <v>691.88384344681026</v>
      </c>
      <c r="DW272" s="5">
        <v>7825.7646196058095</v>
      </c>
      <c r="DX272" s="5">
        <v>57936</v>
      </c>
    </row>
    <row r="273" spans="1:128" x14ac:dyDescent="0.3">
      <c r="A273" s="325">
        <v>150000713</v>
      </c>
      <c r="B273" s="41" t="s">
        <v>719</v>
      </c>
      <c r="C273" s="42" t="s">
        <v>282</v>
      </c>
      <c r="D273" s="42" t="s">
        <v>282</v>
      </c>
      <c r="E273" s="293">
        <v>6257.2</v>
      </c>
      <c r="F273" s="305">
        <v>5131.2</v>
      </c>
      <c r="G273" s="51"/>
      <c r="H273" s="651">
        <v>1126</v>
      </c>
      <c r="I273" s="73">
        <v>3130.500079400229</v>
      </c>
      <c r="J273" s="40">
        <v>3515.1349680463964</v>
      </c>
      <c r="K273" s="52">
        <v>384.63488864616738</v>
      </c>
      <c r="L273" s="73">
        <v>704.61429248076081</v>
      </c>
      <c r="M273" s="40">
        <v>793.8321513922773</v>
      </c>
      <c r="N273" s="52">
        <v>89.217858911516487</v>
      </c>
      <c r="O273" s="73">
        <v>1166.5181021578032</v>
      </c>
      <c r="P273" s="40">
        <v>1166.3499999999999</v>
      </c>
      <c r="Q273" s="52">
        <v>-0.16810215780333237</v>
      </c>
      <c r="R273" s="73">
        <v>0</v>
      </c>
      <c r="S273" s="40">
        <v>0</v>
      </c>
      <c r="T273" s="52">
        <v>0</v>
      </c>
      <c r="U273" s="73">
        <v>222.27236452236727</v>
      </c>
      <c r="V273" s="40">
        <v>416.61492920911996</v>
      </c>
      <c r="W273" s="52">
        <v>194.3425646867527</v>
      </c>
      <c r="X273" s="73">
        <v>2273.6163638559005</v>
      </c>
      <c r="Y273" s="40">
        <v>2495.0227433506548</v>
      </c>
      <c r="Z273" s="52">
        <v>221.40637949475422</v>
      </c>
      <c r="AA273" s="73">
        <v>496.32</v>
      </c>
      <c r="AB273" s="40">
        <v>0</v>
      </c>
      <c r="AC273" s="52">
        <v>-496.32</v>
      </c>
      <c r="AD273" s="73">
        <v>4426.9736088477266</v>
      </c>
      <c r="AE273" s="40">
        <v>5639.6465425396564</v>
      </c>
      <c r="AF273" s="35">
        <v>1212.6729336919298</v>
      </c>
      <c r="AG273" s="77">
        <v>12420.814811264787</v>
      </c>
      <c r="AH273" s="53">
        <v>14026.601334538105</v>
      </c>
      <c r="AI273" s="52">
        <v>1605.7865232733184</v>
      </c>
      <c r="AJ273" s="73">
        <v>0</v>
      </c>
      <c r="AK273" s="40">
        <v>0</v>
      </c>
      <c r="AL273" s="52">
        <v>0</v>
      </c>
      <c r="AM273" s="73">
        <v>0</v>
      </c>
      <c r="AN273" s="40">
        <v>0</v>
      </c>
      <c r="AO273" s="52">
        <v>0</v>
      </c>
      <c r="AP273" s="73">
        <v>2023.4101249999999</v>
      </c>
      <c r="AQ273" s="40">
        <v>0</v>
      </c>
      <c r="AR273" s="52">
        <v>-2023.4101249999999</v>
      </c>
      <c r="AS273" s="73">
        <v>7925.5332449346006</v>
      </c>
      <c r="AT273" s="40">
        <v>10343</v>
      </c>
      <c r="AU273" s="54">
        <v>2417.4667550653994</v>
      </c>
      <c r="AV273" s="73">
        <v>1422.3016480109366</v>
      </c>
      <c r="AW273" s="40">
        <v>0</v>
      </c>
      <c r="AX273" s="55">
        <v>-1422.3016480109366</v>
      </c>
      <c r="AY273" s="73">
        <v>1950.2201365656483</v>
      </c>
      <c r="AZ273" s="40">
        <v>0</v>
      </c>
      <c r="BA273" s="35">
        <v>-1950.2201365656483</v>
      </c>
      <c r="BB273" s="73">
        <v>370.37416356840004</v>
      </c>
      <c r="BC273" s="40">
        <v>2044</v>
      </c>
      <c r="BD273" s="55">
        <v>1673.6258364316</v>
      </c>
      <c r="BE273" s="73">
        <v>0</v>
      </c>
      <c r="BF273" s="40">
        <v>0</v>
      </c>
      <c r="BG273" s="38">
        <v>0</v>
      </c>
      <c r="BH273" s="73">
        <v>1073.3461173074966</v>
      </c>
      <c r="BI273" s="40">
        <v>0</v>
      </c>
      <c r="BJ273" s="55">
        <v>-1073.3461173074966</v>
      </c>
      <c r="BK273" s="73">
        <v>1926.7105418662136</v>
      </c>
      <c r="BL273" s="40">
        <v>0</v>
      </c>
      <c r="BM273" s="38">
        <v>-1926.7105418662136</v>
      </c>
      <c r="BN273" s="73">
        <v>124.08</v>
      </c>
      <c r="BO273" s="40">
        <v>0</v>
      </c>
      <c r="BP273" s="55">
        <v>-124.08</v>
      </c>
      <c r="BQ273" s="77">
        <v>6867.0326073186952</v>
      </c>
      <c r="BR273" s="40">
        <v>2044</v>
      </c>
      <c r="BS273" s="55">
        <v>-4823.0326073186952</v>
      </c>
      <c r="BT273" s="73">
        <v>6082.3258728227402</v>
      </c>
      <c r="BU273" s="40">
        <v>1764.5135447126008</v>
      </c>
      <c r="BV273" s="52">
        <v>-4317.8123281101398</v>
      </c>
      <c r="BW273" s="73">
        <v>3612.5799764897201</v>
      </c>
      <c r="BX273" s="40">
        <v>2579.4500613842624</v>
      </c>
      <c r="BY273" s="52">
        <v>-1033.1299151054577</v>
      </c>
      <c r="BZ273" s="73">
        <v>3188.9607001723398</v>
      </c>
      <c r="CA273" s="40">
        <v>6866.0399436723983</v>
      </c>
      <c r="CB273" s="52">
        <v>3677.0792435000585</v>
      </c>
      <c r="CC273" s="73">
        <v>114.5968725</v>
      </c>
      <c r="CD273" s="40">
        <v>144.59437358815526</v>
      </c>
      <c r="CE273" s="52">
        <v>29.997501088155261</v>
      </c>
      <c r="CF273" s="73">
        <v>13.61547</v>
      </c>
      <c r="CG273" s="40">
        <v>0</v>
      </c>
      <c r="CH273" s="52">
        <v>-13.61547</v>
      </c>
      <c r="CI273" s="73">
        <v>420.48</v>
      </c>
      <c r="CJ273" s="40">
        <v>682.58441577626263</v>
      </c>
      <c r="CK273" s="52">
        <v>262.10441577626261</v>
      </c>
      <c r="CL273" s="73">
        <v>0</v>
      </c>
      <c r="CM273" s="40">
        <v>0</v>
      </c>
      <c r="CN273" s="52">
        <v>0</v>
      </c>
      <c r="CO273" s="39">
        <v>420.48</v>
      </c>
      <c r="CP273" s="40">
        <v>682.58441577626263</v>
      </c>
      <c r="CQ273" s="52">
        <v>262.10441577626261</v>
      </c>
      <c r="CR273" s="72">
        <v>42669.349680502877</v>
      </c>
      <c r="CS273" s="5">
        <v>38450.78367367178</v>
      </c>
      <c r="CT273" s="52">
        <v>-4218.5660068310972</v>
      </c>
      <c r="CU273" s="77">
        <v>51203.219616603448</v>
      </c>
      <c r="CV273" s="65">
        <v>46140.940408406132</v>
      </c>
      <c r="CW273" s="35">
        <v>-5062.2792081973166</v>
      </c>
      <c r="CX273" s="73">
        <v>2858.8309297824385</v>
      </c>
      <c r="CY273" s="40">
        <v>7921.1101379797547</v>
      </c>
      <c r="CZ273" s="52">
        <v>5062.2792081973166</v>
      </c>
      <c r="DA273" s="150">
        <v>43208.124281120603</v>
      </c>
      <c r="DB273" s="2">
        <v>3</v>
      </c>
      <c r="DC273" s="648">
        <v>58236.72</v>
      </c>
      <c r="DD273" s="648">
        <v>6999.3899999999994</v>
      </c>
      <c r="DE273" s="649">
        <v>11174.059453614114</v>
      </c>
      <c r="DG273" s="321">
        <v>9711.5393007118655</v>
      </c>
      <c r="DH273" s="5">
        <v>648744.60655663069</v>
      </c>
      <c r="DI273" s="306">
        <v>4.4095729724560844</v>
      </c>
      <c r="DJ273" s="306"/>
      <c r="DK273" s="306">
        <v>3.9661129776802526</v>
      </c>
      <c r="DL273" s="28">
        <v>22626.400836266661</v>
      </c>
      <c r="DM273" s="28">
        <v>4465.8432128679642</v>
      </c>
      <c r="DN273" s="650">
        <v>22626.52</v>
      </c>
      <c r="DO273" s="94">
        <v>-0.11916373333951924</v>
      </c>
      <c r="DP273" s="28">
        <v>27092.244049134624</v>
      </c>
      <c r="DQ273" s="318">
        <v>210.55375041781372</v>
      </c>
      <c r="DS273" s="8">
        <v>25601.609808301724</v>
      </c>
      <c r="DT273" s="5">
        <v>1280.0804904150864</v>
      </c>
      <c r="DW273" s="5">
        <v>17751.079022703954</v>
      </c>
      <c r="DX273" s="5">
        <v>14864.4</v>
      </c>
    </row>
    <row r="274" spans="1:128" x14ac:dyDescent="0.3">
      <c r="A274" s="325">
        <v>150000714</v>
      </c>
      <c r="B274" s="41" t="s">
        <v>720</v>
      </c>
      <c r="C274" s="42" t="s">
        <v>283</v>
      </c>
      <c r="D274" s="42" t="s">
        <v>283</v>
      </c>
      <c r="E274" s="293">
        <v>2767.8</v>
      </c>
      <c r="F274" s="305">
        <v>2767.8</v>
      </c>
      <c r="G274" s="51"/>
      <c r="H274" s="651">
        <v>0</v>
      </c>
      <c r="I274" s="73">
        <v>1511.3247540174737</v>
      </c>
      <c r="J274" s="40">
        <v>1695.0861836230142</v>
      </c>
      <c r="K274" s="52">
        <v>183.76142960554057</v>
      </c>
      <c r="L274" s="73">
        <v>346.2798508378097</v>
      </c>
      <c r="M274" s="40">
        <v>390.12598524796755</v>
      </c>
      <c r="N274" s="52">
        <v>43.846134410157845</v>
      </c>
      <c r="O274" s="73">
        <v>545.0861944430967</v>
      </c>
      <c r="P274" s="40">
        <v>544.93333333333328</v>
      </c>
      <c r="Q274" s="52">
        <v>-0.15286110976342115</v>
      </c>
      <c r="R274" s="73">
        <v>0</v>
      </c>
      <c r="S274" s="40">
        <v>0</v>
      </c>
      <c r="T274" s="52">
        <v>0</v>
      </c>
      <c r="U274" s="73">
        <v>0</v>
      </c>
      <c r="V274" s="40">
        <v>0</v>
      </c>
      <c r="W274" s="52">
        <v>0</v>
      </c>
      <c r="X274" s="73">
        <v>798.19024430157742</v>
      </c>
      <c r="Y274" s="40">
        <v>835.79065906972517</v>
      </c>
      <c r="Z274" s="52">
        <v>37.600414768147743</v>
      </c>
      <c r="AA274" s="73">
        <v>221.29599999999999</v>
      </c>
      <c r="AB274" s="40">
        <v>0</v>
      </c>
      <c r="AC274" s="52">
        <v>-221.29599999999999</v>
      </c>
      <c r="AD274" s="73">
        <v>1992.8181788396389</v>
      </c>
      <c r="AE274" s="40">
        <v>2494.6323755739404</v>
      </c>
      <c r="AF274" s="35">
        <v>501.8141967343015</v>
      </c>
      <c r="AG274" s="77">
        <v>5414.9952224395965</v>
      </c>
      <c r="AH274" s="53">
        <v>5960.5685368479808</v>
      </c>
      <c r="AI274" s="52">
        <v>545.57331440838425</v>
      </c>
      <c r="AJ274" s="73">
        <v>0</v>
      </c>
      <c r="AK274" s="40">
        <v>0</v>
      </c>
      <c r="AL274" s="52">
        <v>0</v>
      </c>
      <c r="AM274" s="73">
        <v>0</v>
      </c>
      <c r="AN274" s="40">
        <v>0</v>
      </c>
      <c r="AO274" s="52">
        <v>0</v>
      </c>
      <c r="AP274" s="73">
        <v>567.31124999999997</v>
      </c>
      <c r="AQ274" s="40">
        <v>0</v>
      </c>
      <c r="AR274" s="52">
        <v>-567.31124999999997</v>
      </c>
      <c r="AS274" s="73">
        <v>4039.9001924271024</v>
      </c>
      <c r="AT274" s="40">
        <v>516</v>
      </c>
      <c r="AU274" s="54">
        <v>-3523.9001924271024</v>
      </c>
      <c r="AV274" s="73">
        <v>694.12529251193973</v>
      </c>
      <c r="AW274" s="40">
        <v>0</v>
      </c>
      <c r="AX274" s="55">
        <v>-694.12529251193973</v>
      </c>
      <c r="AY274" s="73">
        <v>958.39999131753746</v>
      </c>
      <c r="AZ274" s="40">
        <v>0</v>
      </c>
      <c r="BA274" s="35">
        <v>-958.39999131753746</v>
      </c>
      <c r="BB274" s="73">
        <v>166.80596803392339</v>
      </c>
      <c r="BC274" s="40">
        <v>1079</v>
      </c>
      <c r="BD274" s="55">
        <v>912.19403196607664</v>
      </c>
      <c r="BE274" s="73">
        <v>0</v>
      </c>
      <c r="BF274" s="40">
        <v>0</v>
      </c>
      <c r="BG274" s="38">
        <v>0</v>
      </c>
      <c r="BH274" s="73">
        <v>0</v>
      </c>
      <c r="BI274" s="40">
        <v>0</v>
      </c>
      <c r="BJ274" s="55">
        <v>0</v>
      </c>
      <c r="BK274" s="73">
        <v>512.3937077807841</v>
      </c>
      <c r="BL274" s="40">
        <v>0</v>
      </c>
      <c r="BM274" s="38">
        <v>-512.3937077807841</v>
      </c>
      <c r="BN274" s="73">
        <v>55.323999999999998</v>
      </c>
      <c r="BO274" s="40">
        <v>0</v>
      </c>
      <c r="BP274" s="55">
        <v>-55.323999999999998</v>
      </c>
      <c r="BQ274" s="77">
        <v>2387.0489596441848</v>
      </c>
      <c r="BR274" s="40">
        <v>1079</v>
      </c>
      <c r="BS274" s="55">
        <v>-1308.0489596441848</v>
      </c>
      <c r="BT274" s="73">
        <v>3621.8288921497401</v>
      </c>
      <c r="BU274" s="40">
        <v>981.56708876595303</v>
      </c>
      <c r="BV274" s="52">
        <v>-2640.2618033837871</v>
      </c>
      <c r="BW274" s="73">
        <v>1953.3462172070481</v>
      </c>
      <c r="BX274" s="40">
        <v>1454.6240143109269</v>
      </c>
      <c r="BY274" s="52">
        <v>-498.72220289612119</v>
      </c>
      <c r="BZ274" s="73">
        <v>1434.7135133222121</v>
      </c>
      <c r="CA274" s="40">
        <v>3916.7517564086629</v>
      </c>
      <c r="CB274" s="52">
        <v>2482.0382430864511</v>
      </c>
      <c r="CC274" s="73">
        <v>76.397914999999998</v>
      </c>
      <c r="CD274" s="40">
        <v>96.396249058770181</v>
      </c>
      <c r="CE274" s="52">
        <v>19.998334058770183</v>
      </c>
      <c r="CF274" s="73">
        <v>9.0769800000000007</v>
      </c>
      <c r="CG274" s="40">
        <v>0</v>
      </c>
      <c r="CH274" s="52">
        <v>-9.0769800000000007</v>
      </c>
      <c r="CI274" s="73">
        <v>1750.44</v>
      </c>
      <c r="CJ274" s="40">
        <v>1547.6974089000573</v>
      </c>
      <c r="CK274" s="52">
        <v>-202.74259109994273</v>
      </c>
      <c r="CL274" s="73">
        <v>0</v>
      </c>
      <c r="CM274" s="40">
        <v>0</v>
      </c>
      <c r="CN274" s="52">
        <v>0</v>
      </c>
      <c r="CO274" s="39">
        <v>1750.44</v>
      </c>
      <c r="CP274" s="40">
        <v>1547.6974089000573</v>
      </c>
      <c r="CQ274" s="52">
        <v>-202.74259109994273</v>
      </c>
      <c r="CR274" s="72">
        <v>21255.059142189883</v>
      </c>
      <c r="CS274" s="5">
        <v>15552.605054292351</v>
      </c>
      <c r="CT274" s="52">
        <v>-5702.4540878975313</v>
      </c>
      <c r="CU274" s="77">
        <v>25506.070970627858</v>
      </c>
      <c r="CV274" s="65">
        <v>18663.12606515082</v>
      </c>
      <c r="CW274" s="35">
        <v>-6842.9449054770375</v>
      </c>
      <c r="CX274" s="73">
        <v>1424.0812420399486</v>
      </c>
      <c r="CY274" s="40">
        <v>8267.0261475169864</v>
      </c>
      <c r="CZ274" s="52">
        <v>6842.9449054770375</v>
      </c>
      <c r="DA274" s="150">
        <v>93712.828873215287</v>
      </c>
      <c r="DB274" s="2">
        <v>3</v>
      </c>
      <c r="DC274" s="648">
        <v>23704.1</v>
      </c>
      <c r="DD274" s="648"/>
      <c r="DE274" s="649">
        <v>-3226.0522126678079</v>
      </c>
      <c r="DG274" s="321">
        <v>114342.50110686746</v>
      </c>
      <c r="DH274" s="5">
        <v>323161.82655201369</v>
      </c>
      <c r="DI274" s="306">
        <v>4.8408239677462319</v>
      </c>
      <c r="DJ274" s="306"/>
      <c r="DK274" s="306"/>
      <c r="DL274" s="28">
        <v>13398.432577928021</v>
      </c>
      <c r="DM274" s="28">
        <v>0</v>
      </c>
      <c r="DN274" s="650">
        <v>13398.37</v>
      </c>
      <c r="DO274" s="94">
        <v>6.257792801989126E-2</v>
      </c>
      <c r="DP274" s="28">
        <v>13398.432577928021</v>
      </c>
      <c r="DQ274" s="318">
        <v>7.7453183483958128</v>
      </c>
      <c r="DS274" s="8">
        <v>12753.035485313929</v>
      </c>
      <c r="DT274" s="5">
        <v>637.65177426569653</v>
      </c>
      <c r="DW274" s="5">
        <v>7712.338982485544</v>
      </c>
      <c r="DX274" s="5">
        <v>1914</v>
      </c>
    </row>
    <row r="275" spans="1:128" x14ac:dyDescent="0.3">
      <c r="A275" s="325">
        <v>150000715</v>
      </c>
      <c r="B275" s="41" t="s">
        <v>721</v>
      </c>
      <c r="C275" s="42" t="s">
        <v>284</v>
      </c>
      <c r="D275" s="42" t="s">
        <v>284</v>
      </c>
      <c r="E275" s="293">
        <v>4580.3</v>
      </c>
      <c r="F275" s="305">
        <v>4580.3</v>
      </c>
      <c r="G275" s="51"/>
      <c r="H275" s="651">
        <v>0</v>
      </c>
      <c r="I275" s="73">
        <v>2402.2064227593778</v>
      </c>
      <c r="J275" s="40">
        <v>2695.9643407070325</v>
      </c>
      <c r="K275" s="52">
        <v>293.75791794765473</v>
      </c>
      <c r="L275" s="73">
        <v>528.60087452934067</v>
      </c>
      <c r="M275" s="40">
        <v>595.53230561558109</v>
      </c>
      <c r="N275" s="52">
        <v>66.931431086240423</v>
      </c>
      <c r="O275" s="73">
        <v>923.38223105346344</v>
      </c>
      <c r="P275" s="40">
        <v>923.7</v>
      </c>
      <c r="Q275" s="52">
        <v>0.31776894653660293</v>
      </c>
      <c r="R275" s="73">
        <v>0</v>
      </c>
      <c r="S275" s="40">
        <v>0</v>
      </c>
      <c r="T275" s="52">
        <v>0</v>
      </c>
      <c r="U275" s="73">
        <v>146.53992999668617</v>
      </c>
      <c r="V275" s="40">
        <v>274.66624681775221</v>
      </c>
      <c r="W275" s="52">
        <v>128.12631682106604</v>
      </c>
      <c r="X275" s="73">
        <v>1430.0784062634496</v>
      </c>
      <c r="Y275" s="40">
        <v>2195.6121676674966</v>
      </c>
      <c r="Z275" s="52">
        <v>765.53376140404703</v>
      </c>
      <c r="AA275" s="73">
        <v>366.42400000000004</v>
      </c>
      <c r="AB275" s="40">
        <v>0</v>
      </c>
      <c r="AC275" s="52">
        <v>-366.42400000000004</v>
      </c>
      <c r="AD275" s="73">
        <v>3299.743264391725</v>
      </c>
      <c r="AE275" s="40">
        <v>4128.2479477712695</v>
      </c>
      <c r="AF275" s="35">
        <v>828.50468337954453</v>
      </c>
      <c r="AG275" s="77">
        <v>9096.9751289940432</v>
      </c>
      <c r="AH275" s="53">
        <v>10813.723008579131</v>
      </c>
      <c r="AI275" s="52">
        <v>1716.7478795850875</v>
      </c>
      <c r="AJ275" s="73">
        <v>0</v>
      </c>
      <c r="AK275" s="40">
        <v>0</v>
      </c>
      <c r="AL275" s="52">
        <v>0</v>
      </c>
      <c r="AM275" s="73">
        <v>0</v>
      </c>
      <c r="AN275" s="40">
        <v>0</v>
      </c>
      <c r="AO275" s="52">
        <v>0</v>
      </c>
      <c r="AP275" s="73">
        <v>1891.0374999999999</v>
      </c>
      <c r="AQ275" s="40">
        <v>5576.98824526104</v>
      </c>
      <c r="AR275" s="52">
        <v>3685.9507452610401</v>
      </c>
      <c r="AS275" s="73">
        <v>5775.094993419887</v>
      </c>
      <c r="AT275" s="40">
        <v>3448</v>
      </c>
      <c r="AU275" s="54">
        <v>-2327.094993419887</v>
      </c>
      <c r="AV275" s="73">
        <v>1077.6291498832056</v>
      </c>
      <c r="AW275" s="40">
        <v>1200</v>
      </c>
      <c r="AX275" s="55">
        <v>122.37085011679437</v>
      </c>
      <c r="AY275" s="73">
        <v>1463.0155986242839</v>
      </c>
      <c r="AZ275" s="40">
        <v>0</v>
      </c>
      <c r="BA275" s="35">
        <v>-1463.0155986242839</v>
      </c>
      <c r="BB275" s="73">
        <v>291.49472053263662</v>
      </c>
      <c r="BC275" s="40">
        <v>1811</v>
      </c>
      <c r="BD275" s="55">
        <v>1519.5052794673634</v>
      </c>
      <c r="BE275" s="73">
        <v>0</v>
      </c>
      <c r="BF275" s="40">
        <v>0</v>
      </c>
      <c r="BG275" s="38">
        <v>0</v>
      </c>
      <c r="BH275" s="73">
        <v>707.65604267056574</v>
      </c>
      <c r="BI275" s="40">
        <v>0</v>
      </c>
      <c r="BJ275" s="55">
        <v>-707.65604267056574</v>
      </c>
      <c r="BK275" s="73">
        <v>1141.6310784044597</v>
      </c>
      <c r="BL275" s="40">
        <v>0</v>
      </c>
      <c r="BM275" s="38">
        <v>-1141.6310784044597</v>
      </c>
      <c r="BN275" s="73">
        <v>91.606000000000009</v>
      </c>
      <c r="BO275" s="40">
        <v>0</v>
      </c>
      <c r="BP275" s="55">
        <v>-91.606000000000009</v>
      </c>
      <c r="BQ275" s="77">
        <v>4773.0325901151518</v>
      </c>
      <c r="BR275" s="40">
        <v>3011</v>
      </c>
      <c r="BS275" s="55">
        <v>-1762.0325901151518</v>
      </c>
      <c r="BT275" s="73">
        <v>4812.1574935840599</v>
      </c>
      <c r="BU275" s="40">
        <v>1379.1938611589669</v>
      </c>
      <c r="BV275" s="52">
        <v>-3432.9636324250932</v>
      </c>
      <c r="BW275" s="73">
        <v>2618.21890977152</v>
      </c>
      <c r="BX275" s="40">
        <v>1863.5732574372219</v>
      </c>
      <c r="BY275" s="52">
        <v>-754.64565233429812</v>
      </c>
      <c r="BZ275" s="73">
        <v>2292.6583060949602</v>
      </c>
      <c r="CA275" s="40">
        <v>5450.2549977748986</v>
      </c>
      <c r="CB275" s="52">
        <v>3157.5966916799384</v>
      </c>
      <c r="CC275" s="73">
        <v>76.397914999999998</v>
      </c>
      <c r="CD275" s="40">
        <v>96.396249058770181</v>
      </c>
      <c r="CE275" s="52">
        <v>19.998334058770183</v>
      </c>
      <c r="CF275" s="73">
        <v>9.0769800000000007</v>
      </c>
      <c r="CG275" s="40">
        <v>0</v>
      </c>
      <c r="CH275" s="52">
        <v>-9.0769800000000007</v>
      </c>
      <c r="CI275" s="73">
        <v>971.78</v>
      </c>
      <c r="CJ275" s="40">
        <v>854.36697253394777</v>
      </c>
      <c r="CK275" s="52">
        <v>-117.4130274660522</v>
      </c>
      <c r="CL275" s="73">
        <v>0</v>
      </c>
      <c r="CM275" s="40">
        <v>0</v>
      </c>
      <c r="CN275" s="52">
        <v>0</v>
      </c>
      <c r="CO275" s="39">
        <v>971.78</v>
      </c>
      <c r="CP275" s="40">
        <v>854.36697253394777</v>
      </c>
      <c r="CQ275" s="52">
        <v>-117.4130274660522</v>
      </c>
      <c r="CR275" s="72">
        <v>32316.429816979628</v>
      </c>
      <c r="CS275" s="5">
        <v>32493.496591803974</v>
      </c>
      <c r="CT275" s="52">
        <v>177.06677482434679</v>
      </c>
      <c r="CU275" s="77">
        <v>38779.715780375554</v>
      </c>
      <c r="CV275" s="65">
        <v>38992.195910164766</v>
      </c>
      <c r="CW275" s="35">
        <v>212.48012978921179</v>
      </c>
      <c r="CX275" s="73">
        <v>2165.1890594231331</v>
      </c>
      <c r="CY275" s="40">
        <v>1952.7089296339182</v>
      </c>
      <c r="CZ275" s="52">
        <v>-212.48012978921497</v>
      </c>
      <c r="DA275" s="150">
        <v>-18434.807614206773</v>
      </c>
      <c r="DB275" s="2">
        <v>3</v>
      </c>
      <c r="DC275" s="648">
        <v>34116.019999999997</v>
      </c>
      <c r="DD275" s="648"/>
      <c r="DE275" s="649">
        <v>-6828.8848397986876</v>
      </c>
      <c r="DG275" s="321">
        <v>41819.653571427552</v>
      </c>
      <c r="DH275" s="5">
        <v>491338.85807758418</v>
      </c>
      <c r="DI275" s="306">
        <v>4.4449819410731086</v>
      </c>
      <c r="DJ275" s="306"/>
      <c r="DK275" s="306"/>
      <c r="DL275" s="28">
        <v>20359.350784697159</v>
      </c>
      <c r="DM275" s="28">
        <v>0</v>
      </c>
      <c r="DN275" s="650">
        <v>20359.47</v>
      </c>
      <c r="DO275" s="94">
        <v>-0.11921530284234905</v>
      </c>
      <c r="DP275" s="28">
        <v>20359.350784697159</v>
      </c>
      <c r="DQ275" s="318">
        <v>0</v>
      </c>
      <c r="DS275" s="8">
        <v>19389.857890187777</v>
      </c>
      <c r="DT275" s="5">
        <v>969.49289450938886</v>
      </c>
      <c r="DW275" s="5">
        <v>12657.753100242046</v>
      </c>
      <c r="DX275" s="5">
        <v>7750.7999999999993</v>
      </c>
    </row>
    <row r="276" spans="1:128" x14ac:dyDescent="0.3">
      <c r="A276" s="325">
        <v>150000719</v>
      </c>
      <c r="B276" s="41" t="s">
        <v>722</v>
      </c>
      <c r="C276" s="42" t="s">
        <v>285</v>
      </c>
      <c r="D276" s="42" t="s">
        <v>285</v>
      </c>
      <c r="E276" s="293">
        <v>6211.0999999999995</v>
      </c>
      <c r="F276" s="305">
        <v>5975.2</v>
      </c>
      <c r="G276" s="51"/>
      <c r="H276" s="651">
        <v>235.9</v>
      </c>
      <c r="I276" s="73">
        <v>3133.2209745228934</v>
      </c>
      <c r="J276" s="40">
        <v>3518.1041195993639</v>
      </c>
      <c r="K276" s="52">
        <v>384.88314507647056</v>
      </c>
      <c r="L276" s="73">
        <v>705.13247414656666</v>
      </c>
      <c r="M276" s="40">
        <v>794.41624519427046</v>
      </c>
      <c r="N276" s="52">
        <v>89.283771047703794</v>
      </c>
      <c r="O276" s="73">
        <v>1204.0587015553133</v>
      </c>
      <c r="P276" s="40">
        <v>1203.9000000000001</v>
      </c>
      <c r="Q276" s="52">
        <v>-0.15870155531320052</v>
      </c>
      <c r="R276" s="73">
        <v>0</v>
      </c>
      <c r="S276" s="40">
        <v>0</v>
      </c>
      <c r="T276" s="52">
        <v>0</v>
      </c>
      <c r="U276" s="73">
        <v>222.27236452236727</v>
      </c>
      <c r="V276" s="40">
        <v>416.61492920911996</v>
      </c>
      <c r="W276" s="52">
        <v>194.3425646867527</v>
      </c>
      <c r="X276" s="73">
        <v>2326.7591770925619</v>
      </c>
      <c r="Y276" s="40">
        <v>3417.7863251043609</v>
      </c>
      <c r="Z276" s="52">
        <v>1091.027148011799</v>
      </c>
      <c r="AA276" s="73">
        <v>496.88</v>
      </c>
      <c r="AB276" s="40">
        <v>0</v>
      </c>
      <c r="AC276" s="52">
        <v>-496.88</v>
      </c>
      <c r="AD276" s="73">
        <v>4465.1545644231901</v>
      </c>
      <c r="AE276" s="40">
        <v>5598.0963754343884</v>
      </c>
      <c r="AF276" s="35">
        <v>1132.9418110111983</v>
      </c>
      <c r="AG276" s="77">
        <v>12553.478256262892</v>
      </c>
      <c r="AH276" s="53">
        <v>14948.917994541504</v>
      </c>
      <c r="AI276" s="52">
        <v>2395.4397382786119</v>
      </c>
      <c r="AJ276" s="73">
        <v>0</v>
      </c>
      <c r="AK276" s="40">
        <v>0</v>
      </c>
      <c r="AL276" s="52">
        <v>0</v>
      </c>
      <c r="AM276" s="73">
        <v>0</v>
      </c>
      <c r="AN276" s="40">
        <v>0</v>
      </c>
      <c r="AO276" s="52">
        <v>0</v>
      </c>
      <c r="AP276" s="73">
        <v>2401.6176249999999</v>
      </c>
      <c r="AQ276" s="40">
        <v>0</v>
      </c>
      <c r="AR276" s="52">
        <v>-2401.6176249999999</v>
      </c>
      <c r="AS276" s="73">
        <v>5220.9696533972219</v>
      </c>
      <c r="AT276" s="40">
        <v>296</v>
      </c>
      <c r="AU276" s="54">
        <v>-4924.9696533972219</v>
      </c>
      <c r="AV276" s="73">
        <v>1424.3233589233982</v>
      </c>
      <c r="AW276" s="40">
        <v>0</v>
      </c>
      <c r="AX276" s="55">
        <v>-1424.3233589233982</v>
      </c>
      <c r="AY276" s="73">
        <v>1951.6221820022693</v>
      </c>
      <c r="AZ276" s="40">
        <v>0</v>
      </c>
      <c r="BA276" s="35">
        <v>-1951.6221820022693</v>
      </c>
      <c r="BB276" s="73">
        <v>381.20180271434003</v>
      </c>
      <c r="BC276" s="40">
        <v>456</v>
      </c>
      <c r="BD276" s="55">
        <v>74.798197285659967</v>
      </c>
      <c r="BE276" s="73">
        <v>0</v>
      </c>
      <c r="BF276" s="40">
        <v>0</v>
      </c>
      <c r="BG276" s="38">
        <v>0</v>
      </c>
      <c r="BH276" s="73">
        <v>1073.3461173074966</v>
      </c>
      <c r="BI276" s="40">
        <v>0</v>
      </c>
      <c r="BJ276" s="55">
        <v>-1073.3461173074966</v>
      </c>
      <c r="BK276" s="73">
        <v>1948.9832332997153</v>
      </c>
      <c r="BL276" s="40">
        <v>0</v>
      </c>
      <c r="BM276" s="38">
        <v>-1948.9832332997153</v>
      </c>
      <c r="BN276" s="73">
        <v>124.22</v>
      </c>
      <c r="BO276" s="40">
        <v>0</v>
      </c>
      <c r="BP276" s="55">
        <v>-124.22</v>
      </c>
      <c r="BQ276" s="77">
        <v>6903.69669424722</v>
      </c>
      <c r="BR276" s="40">
        <v>456</v>
      </c>
      <c r="BS276" s="55">
        <v>-6447.69669424722</v>
      </c>
      <c r="BT276" s="73">
        <v>8120.1540663321603</v>
      </c>
      <c r="BU276" s="40">
        <v>2097.4298411901477</v>
      </c>
      <c r="BV276" s="52">
        <v>-6022.7242251420121</v>
      </c>
      <c r="BW276" s="73">
        <v>3893.84132913952</v>
      </c>
      <c r="BX276" s="40">
        <v>3918.6735955872227</v>
      </c>
      <c r="BY276" s="52">
        <v>24.83226644770275</v>
      </c>
      <c r="BZ276" s="73">
        <v>3359.79135256986</v>
      </c>
      <c r="CA276" s="40">
        <v>12522.360216005294</v>
      </c>
      <c r="CB276" s="52">
        <v>9162.5688634354337</v>
      </c>
      <c r="CC276" s="73">
        <v>461.51980451499998</v>
      </c>
      <c r="CD276" s="40">
        <v>582.32974056403077</v>
      </c>
      <c r="CE276" s="52">
        <v>120.8099360490308</v>
      </c>
      <c r="CF276" s="73">
        <v>54.834036179999998</v>
      </c>
      <c r="CG276" s="40">
        <v>0</v>
      </c>
      <c r="CH276" s="52">
        <v>-54.834036179999998</v>
      </c>
      <c r="CI276" s="73">
        <v>3500.86</v>
      </c>
      <c r="CJ276" s="40">
        <v>4402.997529624954</v>
      </c>
      <c r="CK276" s="52">
        <v>902.13752962495391</v>
      </c>
      <c r="CL276" s="73">
        <v>0</v>
      </c>
      <c r="CM276" s="40">
        <v>0</v>
      </c>
      <c r="CN276" s="52">
        <v>0</v>
      </c>
      <c r="CO276" s="39">
        <v>3500.86</v>
      </c>
      <c r="CP276" s="40">
        <v>4402.997529624954</v>
      </c>
      <c r="CQ276" s="52">
        <v>902.13752962495391</v>
      </c>
      <c r="CR276" s="72">
        <v>46470.762817643874</v>
      </c>
      <c r="CS276" s="5">
        <v>39224.708917513162</v>
      </c>
      <c r="CT276" s="52">
        <v>-7246.0539001307116</v>
      </c>
      <c r="CU276" s="77">
        <v>55764.91538117265</v>
      </c>
      <c r="CV276" s="65">
        <v>47069.650701015795</v>
      </c>
      <c r="CW276" s="35">
        <v>-8695.2646801568553</v>
      </c>
      <c r="CX276" s="73">
        <v>3113.5242291815098</v>
      </c>
      <c r="CY276" s="40">
        <v>11808.788909338364</v>
      </c>
      <c r="CZ276" s="52">
        <v>8695.2646801568535</v>
      </c>
      <c r="DA276" s="150">
        <v>-28318.554649066464</v>
      </c>
      <c r="DB276" s="2">
        <v>3</v>
      </c>
      <c r="DC276" s="648">
        <v>79809.62</v>
      </c>
      <c r="DD276" s="648">
        <v>3056.34</v>
      </c>
      <c r="DE276" s="649">
        <v>23987.520389645833</v>
      </c>
      <c r="DG276" s="321">
        <v>-41428.637249539257</v>
      </c>
      <c r="DH276" s="5">
        <v>706541.27532424987</v>
      </c>
      <c r="DI276" s="306">
        <v>4.7292595406876439</v>
      </c>
      <c r="DJ276" s="306"/>
      <c r="DK276" s="306">
        <v>4.3187023889482763</v>
      </c>
      <c r="DL276" s="28">
        <v>28258.27160751681</v>
      </c>
      <c r="DM276" s="28">
        <v>1018.7818935528984</v>
      </c>
      <c r="DN276" s="650">
        <v>28258.48</v>
      </c>
      <c r="DO276" s="94">
        <v>-0.20839248318952741</v>
      </c>
      <c r="DP276" s="28">
        <v>29277.053501069709</v>
      </c>
      <c r="DQ276" s="318">
        <v>0.47292595406906912</v>
      </c>
      <c r="DS276" s="8">
        <v>27882.457690586325</v>
      </c>
      <c r="DT276" s="5">
        <v>1394.122884529316</v>
      </c>
      <c r="DW276" s="5">
        <v>14549.59961717333</v>
      </c>
      <c r="DX276" s="5">
        <v>902.4</v>
      </c>
    </row>
    <row r="277" spans="1:128" x14ac:dyDescent="0.3">
      <c r="A277" s="325">
        <v>150000716</v>
      </c>
      <c r="B277" s="41" t="s">
        <v>723</v>
      </c>
      <c r="C277" s="42" t="s">
        <v>286</v>
      </c>
      <c r="D277" s="42" t="s">
        <v>286</v>
      </c>
      <c r="E277" s="293">
        <v>3171.42</v>
      </c>
      <c r="F277" s="305">
        <v>2685</v>
      </c>
      <c r="G277" s="51"/>
      <c r="H277" s="651">
        <v>486.42</v>
      </c>
      <c r="I277" s="73">
        <v>1757.966633014853</v>
      </c>
      <c r="J277" s="40">
        <v>1970.5563632654071</v>
      </c>
      <c r="K277" s="52">
        <v>212.58973025055411</v>
      </c>
      <c r="L277" s="73">
        <v>354.40227481853299</v>
      </c>
      <c r="M277" s="40">
        <v>399.27678814586125</v>
      </c>
      <c r="N277" s="52">
        <v>44.874513327328259</v>
      </c>
      <c r="O277" s="73">
        <v>619.71260315599011</v>
      </c>
      <c r="P277" s="40">
        <v>619.45000000000005</v>
      </c>
      <c r="Q277" s="52">
        <v>-0.2626031559900639</v>
      </c>
      <c r="R277" s="73">
        <v>0</v>
      </c>
      <c r="S277" s="40">
        <v>0</v>
      </c>
      <c r="T277" s="52">
        <v>0</v>
      </c>
      <c r="U277" s="73">
        <v>0</v>
      </c>
      <c r="V277" s="40">
        <v>0</v>
      </c>
      <c r="W277" s="52">
        <v>0</v>
      </c>
      <c r="X277" s="73">
        <v>827.45559429481443</v>
      </c>
      <c r="Y277" s="40">
        <v>885.48738442775561</v>
      </c>
      <c r="Z277" s="52">
        <v>58.031790132941182</v>
      </c>
      <c r="AA277" s="73">
        <v>256.10560000000004</v>
      </c>
      <c r="AB277" s="40">
        <v>0</v>
      </c>
      <c r="AC277" s="52">
        <v>-256.10560000000004</v>
      </c>
      <c r="AD277" s="73">
        <v>2285.811238421049</v>
      </c>
      <c r="AE277" s="40">
        <v>2858.4171575051332</v>
      </c>
      <c r="AF277" s="35">
        <v>572.60591908408423</v>
      </c>
      <c r="AG277" s="77">
        <v>6101.453943705239</v>
      </c>
      <c r="AH277" s="53">
        <v>6733.1876933441572</v>
      </c>
      <c r="AI277" s="52">
        <v>631.7337496389182</v>
      </c>
      <c r="AJ277" s="73">
        <v>0</v>
      </c>
      <c r="AK277" s="40">
        <v>0</v>
      </c>
      <c r="AL277" s="52">
        <v>0</v>
      </c>
      <c r="AM277" s="73">
        <v>0</v>
      </c>
      <c r="AN277" s="40">
        <v>0</v>
      </c>
      <c r="AO277" s="52">
        <v>0</v>
      </c>
      <c r="AP277" s="73">
        <v>1134.6224999999999</v>
      </c>
      <c r="AQ277" s="40">
        <v>3346.1929471566241</v>
      </c>
      <c r="AR277" s="52">
        <v>2211.5704471566241</v>
      </c>
      <c r="AS277" s="73">
        <v>4002.371603358165</v>
      </c>
      <c r="AT277" s="40">
        <v>3075</v>
      </c>
      <c r="AU277" s="54">
        <v>-927.37160335816498</v>
      </c>
      <c r="AV277" s="73">
        <v>872.81790108520806</v>
      </c>
      <c r="AW277" s="40">
        <v>0</v>
      </c>
      <c r="AX277" s="55">
        <v>-872.81790108520806</v>
      </c>
      <c r="AY277" s="73">
        <v>980.87552113132313</v>
      </c>
      <c r="AZ277" s="40">
        <v>0</v>
      </c>
      <c r="BA277" s="35">
        <v>-980.87552113132313</v>
      </c>
      <c r="BB277" s="73">
        <v>197.2065616441966</v>
      </c>
      <c r="BC277" s="40">
        <v>0</v>
      </c>
      <c r="BD277" s="55">
        <v>-197.2065616441966</v>
      </c>
      <c r="BE277" s="73">
        <v>0</v>
      </c>
      <c r="BF277" s="40">
        <v>0</v>
      </c>
      <c r="BG277" s="38">
        <v>0</v>
      </c>
      <c r="BH277" s="73">
        <v>0</v>
      </c>
      <c r="BI277" s="40">
        <v>0</v>
      </c>
      <c r="BJ277" s="55">
        <v>0</v>
      </c>
      <c r="BK277" s="73">
        <v>581.76860368019493</v>
      </c>
      <c r="BL277" s="40">
        <v>0</v>
      </c>
      <c r="BM277" s="38">
        <v>-581.76860368019493</v>
      </c>
      <c r="BN277" s="73">
        <v>64.02640000000001</v>
      </c>
      <c r="BO277" s="40">
        <v>0</v>
      </c>
      <c r="BP277" s="55">
        <v>-64.02640000000001</v>
      </c>
      <c r="BQ277" s="77">
        <v>2696.6949875409232</v>
      </c>
      <c r="BR277" s="40">
        <v>0</v>
      </c>
      <c r="BS277" s="55">
        <v>-2696.6949875409232</v>
      </c>
      <c r="BT277" s="73">
        <v>1785.6153103515519</v>
      </c>
      <c r="BU277" s="40">
        <v>638.51854834035589</v>
      </c>
      <c r="BV277" s="52">
        <v>-1147.096762011196</v>
      </c>
      <c r="BW277" s="73">
        <v>2251.7107718356401</v>
      </c>
      <c r="BX277" s="40">
        <v>2372.2695787890748</v>
      </c>
      <c r="BY277" s="52">
        <v>120.55880695343467</v>
      </c>
      <c r="BZ277" s="73">
        <v>1569.50734441893</v>
      </c>
      <c r="CA277" s="40">
        <v>3926.4793789929399</v>
      </c>
      <c r="CB277" s="52">
        <v>2356.9720345740097</v>
      </c>
      <c r="CC277" s="73">
        <v>251.84572679749999</v>
      </c>
      <c r="CD277" s="40">
        <v>317.77023502223585</v>
      </c>
      <c r="CE277" s="52">
        <v>65.92450822473586</v>
      </c>
      <c r="CF277" s="73">
        <v>29.922264569999999</v>
      </c>
      <c r="CG277" s="40">
        <v>0</v>
      </c>
      <c r="CH277" s="52">
        <v>-29.922264569999999</v>
      </c>
      <c r="CI277" s="73">
        <v>1270.78</v>
      </c>
      <c r="CJ277" s="40">
        <v>863.14372717461401</v>
      </c>
      <c r="CK277" s="52">
        <v>-407.63627282538596</v>
      </c>
      <c r="CL277" s="73">
        <v>0</v>
      </c>
      <c r="CM277" s="40">
        <v>0</v>
      </c>
      <c r="CN277" s="52">
        <v>0</v>
      </c>
      <c r="CO277" s="39">
        <v>1270.78</v>
      </c>
      <c r="CP277" s="40">
        <v>863.14372717461401</v>
      </c>
      <c r="CQ277" s="52">
        <v>-407.63627282538596</v>
      </c>
      <c r="CR277" s="72">
        <v>21094.524452577945</v>
      </c>
      <c r="CS277" s="5">
        <v>21272.562108820002</v>
      </c>
      <c r="CT277" s="52">
        <v>178.03765624205698</v>
      </c>
      <c r="CU277" s="77">
        <v>25313.429343093532</v>
      </c>
      <c r="CV277" s="65">
        <v>25527.074530584003</v>
      </c>
      <c r="CW277" s="35">
        <v>213.64518749047056</v>
      </c>
      <c r="CX277" s="73">
        <v>1413.3254761470521</v>
      </c>
      <c r="CY277" s="40">
        <v>1199.680288656582</v>
      </c>
      <c r="CZ277" s="52">
        <v>-213.64518749047011</v>
      </c>
      <c r="DA277" s="150">
        <v>-30293.836163422457</v>
      </c>
      <c r="DB277" s="2">
        <v>3</v>
      </c>
      <c r="DC277" s="648">
        <v>16058.78</v>
      </c>
      <c r="DD277" s="648">
        <v>8801.3499999999985</v>
      </c>
      <c r="DE277" s="649">
        <v>-1866.6248192405874</v>
      </c>
      <c r="DG277" s="321">
        <v>-37786.5010035823</v>
      </c>
      <c r="DH277" s="5">
        <v>320721.05783088703</v>
      </c>
      <c r="DI277" s="306">
        <v>4.2365033808326613</v>
      </c>
      <c r="DJ277" s="306"/>
      <c r="DK277" s="306">
        <v>3.7081493317967742</v>
      </c>
      <c r="DL277" s="28">
        <v>11375.011577535695</v>
      </c>
      <c r="DM277" s="28">
        <v>1803.717997972587</v>
      </c>
      <c r="DN277" s="650">
        <v>11375.03</v>
      </c>
      <c r="DO277" s="94">
        <v>-1.8422464305331232E-2</v>
      </c>
      <c r="DP277" s="28">
        <v>13178.729575508281</v>
      </c>
      <c r="DQ277" s="318">
        <v>-110.82082961582273</v>
      </c>
      <c r="DS277" s="8">
        <v>12656.714671546766</v>
      </c>
      <c r="DT277" s="5">
        <v>632.83573357733837</v>
      </c>
      <c r="DW277" s="5">
        <v>8038.8799090789062</v>
      </c>
      <c r="DX277" s="5">
        <v>3690</v>
      </c>
    </row>
    <row r="278" spans="1:128" x14ac:dyDescent="0.3">
      <c r="A278" s="325">
        <v>150000717</v>
      </c>
      <c r="B278" s="41" t="s">
        <v>724</v>
      </c>
      <c r="C278" s="42" t="s">
        <v>287</v>
      </c>
      <c r="D278" s="42" t="s">
        <v>287</v>
      </c>
      <c r="E278" s="293">
        <v>3165.2999999999997</v>
      </c>
      <c r="F278" s="305">
        <v>2595.6999999999998</v>
      </c>
      <c r="G278" s="51"/>
      <c r="H278" s="651">
        <v>569.6</v>
      </c>
      <c r="I278" s="73">
        <v>1718.3160476128655</v>
      </c>
      <c r="J278" s="40">
        <v>1925.9499443019113</v>
      </c>
      <c r="K278" s="52">
        <v>207.63389668904574</v>
      </c>
      <c r="L278" s="73">
        <v>354.40227481853299</v>
      </c>
      <c r="M278" s="40">
        <v>399.2865230425611</v>
      </c>
      <c r="N278" s="52">
        <v>44.884248224028113</v>
      </c>
      <c r="O278" s="73">
        <v>617.9034728103901</v>
      </c>
      <c r="P278" s="40">
        <v>617.76666666666677</v>
      </c>
      <c r="Q278" s="52">
        <v>-0.13680614372333366</v>
      </c>
      <c r="R278" s="73">
        <v>0</v>
      </c>
      <c r="S278" s="40">
        <v>0</v>
      </c>
      <c r="T278" s="52">
        <v>0</v>
      </c>
      <c r="U278" s="73">
        <v>0</v>
      </c>
      <c r="V278" s="40">
        <v>0</v>
      </c>
      <c r="W278" s="52">
        <v>0</v>
      </c>
      <c r="X278" s="73">
        <v>827.79765890905696</v>
      </c>
      <c r="Y278" s="40">
        <v>885.86664981900526</v>
      </c>
      <c r="Z278" s="52">
        <v>58.068990909948297</v>
      </c>
      <c r="AA278" s="73">
        <v>253.22640000000001</v>
      </c>
      <c r="AB278" s="40">
        <v>0</v>
      </c>
      <c r="AC278" s="52">
        <v>-253.22640000000001</v>
      </c>
      <c r="AD278" s="73">
        <v>2257.7837176474331</v>
      </c>
      <c r="AE278" s="40">
        <v>2852.9011700282508</v>
      </c>
      <c r="AF278" s="35">
        <v>595.11745238081767</v>
      </c>
      <c r="AG278" s="77">
        <v>6029.4295717982786</v>
      </c>
      <c r="AH278" s="53">
        <v>6681.7709538583949</v>
      </c>
      <c r="AI278" s="52">
        <v>652.3413820601163</v>
      </c>
      <c r="AJ278" s="73">
        <v>0</v>
      </c>
      <c r="AK278" s="40">
        <v>0</v>
      </c>
      <c r="AL278" s="52">
        <v>0</v>
      </c>
      <c r="AM278" s="73">
        <v>0</v>
      </c>
      <c r="AN278" s="40">
        <v>0</v>
      </c>
      <c r="AO278" s="52">
        <v>0</v>
      </c>
      <c r="AP278" s="73">
        <v>1077.8913749999999</v>
      </c>
      <c r="AQ278" s="40">
        <v>3178.8832997987929</v>
      </c>
      <c r="AR278" s="52">
        <v>2100.9919247987928</v>
      </c>
      <c r="AS278" s="73">
        <v>3931.8127793041999</v>
      </c>
      <c r="AT278" s="40">
        <v>0</v>
      </c>
      <c r="AU278" s="54">
        <v>-3931.8127793041999</v>
      </c>
      <c r="AV278" s="73">
        <v>868.574020677097</v>
      </c>
      <c r="AW278" s="40">
        <v>0</v>
      </c>
      <c r="AX278" s="55">
        <v>-868.574020677097</v>
      </c>
      <c r="AY278" s="73">
        <v>980.87552113132313</v>
      </c>
      <c r="AZ278" s="40">
        <v>2744</v>
      </c>
      <c r="BA278" s="35">
        <v>1763.1244788686768</v>
      </c>
      <c r="BB278" s="73">
        <v>196.93669936641001</v>
      </c>
      <c r="BC278" s="40">
        <v>0</v>
      </c>
      <c r="BD278" s="55">
        <v>-196.93669936641001</v>
      </c>
      <c r="BE278" s="73">
        <v>0</v>
      </c>
      <c r="BF278" s="40">
        <v>0</v>
      </c>
      <c r="BG278" s="38">
        <v>0</v>
      </c>
      <c r="BH278" s="73">
        <v>0</v>
      </c>
      <c r="BI278" s="40">
        <v>0</v>
      </c>
      <c r="BJ278" s="55">
        <v>0</v>
      </c>
      <c r="BK278" s="73">
        <v>582.11983780920343</v>
      </c>
      <c r="BL278" s="40">
        <v>0</v>
      </c>
      <c r="BM278" s="38">
        <v>-582.11983780920343</v>
      </c>
      <c r="BN278" s="73">
        <v>63.306600000000003</v>
      </c>
      <c r="BO278" s="40">
        <v>0</v>
      </c>
      <c r="BP278" s="55">
        <v>-63.306600000000003</v>
      </c>
      <c r="BQ278" s="77">
        <v>2691.8126789840335</v>
      </c>
      <c r="BR278" s="40">
        <v>2744</v>
      </c>
      <c r="BS278" s="55">
        <v>52.187321015966518</v>
      </c>
      <c r="BT278" s="73">
        <v>3204.97537010412</v>
      </c>
      <c r="BU278" s="40">
        <v>899.0582870903487</v>
      </c>
      <c r="BV278" s="52">
        <v>-2305.9170830137714</v>
      </c>
      <c r="BW278" s="73">
        <v>2223.4942680713202</v>
      </c>
      <c r="BX278" s="40">
        <v>2342.5934101911744</v>
      </c>
      <c r="BY278" s="52">
        <v>119.09914211985415</v>
      </c>
      <c r="BZ278" s="73">
        <v>1606.204537517636</v>
      </c>
      <c r="CA278" s="40">
        <v>5461.609445859789</v>
      </c>
      <c r="CB278" s="52">
        <v>3855.4049083421532</v>
      </c>
      <c r="CC278" s="73">
        <v>244.47332800000001</v>
      </c>
      <c r="CD278" s="40">
        <v>308.46799698806456</v>
      </c>
      <c r="CE278" s="52">
        <v>63.994668988064547</v>
      </c>
      <c r="CF278" s="73">
        <v>29.046336</v>
      </c>
      <c r="CG278" s="40">
        <v>0</v>
      </c>
      <c r="CH278" s="52">
        <v>-29.046336</v>
      </c>
      <c r="CI278" s="73">
        <v>1663.22</v>
      </c>
      <c r="CJ278" s="40">
        <v>1139.0117910918993</v>
      </c>
      <c r="CK278" s="52">
        <v>-524.20820890810069</v>
      </c>
      <c r="CL278" s="73">
        <v>0</v>
      </c>
      <c r="CM278" s="40">
        <v>0</v>
      </c>
      <c r="CN278" s="52">
        <v>0</v>
      </c>
      <c r="CO278" s="39">
        <v>1663.22</v>
      </c>
      <c r="CP278" s="40">
        <v>1139.0117910918993</v>
      </c>
      <c r="CQ278" s="52">
        <v>-524.20820890810069</v>
      </c>
      <c r="CR278" s="72">
        <v>22702.360244779589</v>
      </c>
      <c r="CS278" s="5">
        <v>22755.39518487846</v>
      </c>
      <c r="CT278" s="52">
        <v>53.03494009887072</v>
      </c>
      <c r="CU278" s="77">
        <v>27242.832293735508</v>
      </c>
      <c r="CV278" s="65">
        <v>27306.474221854151</v>
      </c>
      <c r="CW278" s="35">
        <v>63.641928118642682</v>
      </c>
      <c r="CX278" s="73">
        <v>1521.0498902094869</v>
      </c>
      <c r="CY278" s="40">
        <v>1457.4079620908451</v>
      </c>
      <c r="CZ278" s="52">
        <v>-63.641928118641772</v>
      </c>
      <c r="DA278" s="150">
        <v>-11935.339513080005</v>
      </c>
      <c r="DB278" s="2">
        <v>3</v>
      </c>
      <c r="DC278" s="648">
        <v>17874.02</v>
      </c>
      <c r="DD278" s="648">
        <v>10517.59</v>
      </c>
      <c r="DE278" s="649">
        <v>-372.27218394499505</v>
      </c>
      <c r="DG278" s="321">
        <v>-10383.833201603564</v>
      </c>
      <c r="DH278" s="5">
        <v>345166.58620733995</v>
      </c>
      <c r="DI278" s="306">
        <v>4.6155992521077867</v>
      </c>
      <c r="DJ278" s="306"/>
      <c r="DK278" s="306">
        <v>4.0759369687603533</v>
      </c>
      <c r="DL278" s="28">
        <v>11980.710978696181</v>
      </c>
      <c r="DM278" s="28">
        <v>2321.6536974058972</v>
      </c>
      <c r="DN278" s="650">
        <v>11980.75</v>
      </c>
      <c r="DO278" s="94">
        <v>-3.9021303819026798E-2</v>
      </c>
      <c r="DP278" s="28">
        <v>14302.364676102079</v>
      </c>
      <c r="DQ278" s="318">
        <v>-0.12227810906188097</v>
      </c>
      <c r="DS278" s="8">
        <v>13621.416146867754</v>
      </c>
      <c r="DT278" s="5">
        <v>681.07080734338763</v>
      </c>
      <c r="DW278" s="5">
        <v>7948.3505499458806</v>
      </c>
      <c r="DX278" s="5">
        <v>3292.7999999999997</v>
      </c>
    </row>
    <row r="279" spans="1:128" x14ac:dyDescent="0.3">
      <c r="A279" s="325">
        <v>150000718</v>
      </c>
      <c r="B279" s="41" t="s">
        <v>725</v>
      </c>
      <c r="C279" s="42" t="s">
        <v>288</v>
      </c>
      <c r="D279" s="42" t="s">
        <v>288</v>
      </c>
      <c r="E279" s="293">
        <v>4456.7</v>
      </c>
      <c r="F279" s="305">
        <v>4456.7</v>
      </c>
      <c r="G279" s="51"/>
      <c r="H279" s="651">
        <v>0</v>
      </c>
      <c r="I279" s="73">
        <v>2279.300983623888</v>
      </c>
      <c r="J279" s="40">
        <v>2558.7122536360021</v>
      </c>
      <c r="K279" s="52">
        <v>279.41127001211407</v>
      </c>
      <c r="L279" s="73">
        <v>524.15046540269179</v>
      </c>
      <c r="M279" s="40">
        <v>590.51883381513949</v>
      </c>
      <c r="N279" s="52">
        <v>66.368368412447694</v>
      </c>
      <c r="O279" s="73">
        <v>880.84163260856337</v>
      </c>
      <c r="P279" s="40">
        <v>880.93333333333328</v>
      </c>
      <c r="Q279" s="52">
        <v>9.1700724769907538E-2</v>
      </c>
      <c r="R279" s="73">
        <v>0</v>
      </c>
      <c r="S279" s="40">
        <v>0</v>
      </c>
      <c r="T279" s="52">
        <v>0</v>
      </c>
      <c r="U279" s="73">
        <v>143.60199067673076</v>
      </c>
      <c r="V279" s="40">
        <v>269.15996592635861</v>
      </c>
      <c r="W279" s="52">
        <v>125.55797524962784</v>
      </c>
      <c r="X279" s="73">
        <v>1539.9272190509216</v>
      </c>
      <c r="Y279" s="40">
        <v>1657.7679579916944</v>
      </c>
      <c r="Z279" s="52">
        <v>117.84073894077278</v>
      </c>
      <c r="AA279" s="73">
        <v>356.536</v>
      </c>
      <c r="AB279" s="40">
        <v>0</v>
      </c>
      <c r="AC279" s="52">
        <v>-356.536</v>
      </c>
      <c r="AD279" s="73">
        <v>3210.6888434285893</v>
      </c>
      <c r="AE279" s="40">
        <v>4016.8466320617026</v>
      </c>
      <c r="AF279" s="35">
        <v>806.15778863311334</v>
      </c>
      <c r="AG279" s="77">
        <v>8935.0471347913845</v>
      </c>
      <c r="AH279" s="53">
        <v>9973.9389767642297</v>
      </c>
      <c r="AI279" s="52">
        <v>1038.8918419728452</v>
      </c>
      <c r="AJ279" s="73">
        <v>0</v>
      </c>
      <c r="AK279" s="40">
        <v>0</v>
      </c>
      <c r="AL279" s="52">
        <v>0</v>
      </c>
      <c r="AM279" s="73">
        <v>0</v>
      </c>
      <c r="AN279" s="40">
        <v>0</v>
      </c>
      <c r="AO279" s="52">
        <v>0</v>
      </c>
      <c r="AP279" s="73">
        <v>1021.1602499999999</v>
      </c>
      <c r="AQ279" s="40">
        <v>4015.4315365879488</v>
      </c>
      <c r="AR279" s="52">
        <v>2994.2712865879489</v>
      </c>
      <c r="AS279" s="73">
        <v>5784.3020828514627</v>
      </c>
      <c r="AT279" s="40">
        <v>5382</v>
      </c>
      <c r="AU279" s="54">
        <v>-402.30208285146273</v>
      </c>
      <c r="AV279" s="73">
        <v>1049.3844639253559</v>
      </c>
      <c r="AW279" s="40">
        <v>0</v>
      </c>
      <c r="AX279" s="55">
        <v>-1049.3844639253559</v>
      </c>
      <c r="AY279" s="73">
        <v>1450.668929070875</v>
      </c>
      <c r="AZ279" s="40">
        <v>0</v>
      </c>
      <c r="BA279" s="35">
        <v>-1450.668929070875</v>
      </c>
      <c r="BB279" s="73">
        <v>276.63508795992681</v>
      </c>
      <c r="BC279" s="40">
        <v>0</v>
      </c>
      <c r="BD279" s="55">
        <v>-276.63508795992681</v>
      </c>
      <c r="BE279" s="73">
        <v>0</v>
      </c>
      <c r="BF279" s="40">
        <v>0</v>
      </c>
      <c r="BG279" s="38">
        <v>0</v>
      </c>
      <c r="BH279" s="73">
        <v>693.37918820845721</v>
      </c>
      <c r="BI279" s="40">
        <v>0</v>
      </c>
      <c r="BJ279" s="55">
        <v>-693.37918820845721</v>
      </c>
      <c r="BK279" s="73">
        <v>1090.7484151266012</v>
      </c>
      <c r="BL279" s="40">
        <v>0</v>
      </c>
      <c r="BM279" s="38">
        <v>-1090.7484151266012</v>
      </c>
      <c r="BN279" s="73">
        <v>89.134</v>
      </c>
      <c r="BO279" s="40">
        <v>0</v>
      </c>
      <c r="BP279" s="55">
        <v>-89.134</v>
      </c>
      <c r="BQ279" s="77">
        <v>4649.9500842912166</v>
      </c>
      <c r="BR279" s="40">
        <v>0</v>
      </c>
      <c r="BS279" s="55">
        <v>-4649.9500842912166</v>
      </c>
      <c r="BT279" s="73">
        <v>4606.1998255238404</v>
      </c>
      <c r="BU279" s="40">
        <v>1094.677862834146</v>
      </c>
      <c r="BV279" s="52">
        <v>-3511.5219626896942</v>
      </c>
      <c r="BW279" s="73">
        <v>2886.6848304526402</v>
      </c>
      <c r="BX279" s="40">
        <v>2812.1529350336168</v>
      </c>
      <c r="BY279" s="52">
        <v>-74.531895419023385</v>
      </c>
      <c r="BZ279" s="73">
        <v>1626.323187287476</v>
      </c>
      <c r="CA279" s="40">
        <v>6773.7035165254902</v>
      </c>
      <c r="CB279" s="52">
        <v>5147.3803292380144</v>
      </c>
      <c r="CC279" s="73">
        <v>321.63522215</v>
      </c>
      <c r="CD279" s="40">
        <v>405.82820853742248</v>
      </c>
      <c r="CE279" s="52">
        <v>84.192986387422479</v>
      </c>
      <c r="CF279" s="73">
        <v>38.214085799999999</v>
      </c>
      <c r="CG279" s="40">
        <v>0</v>
      </c>
      <c r="CH279" s="52">
        <v>-38.214085799999999</v>
      </c>
      <c r="CI279" s="73">
        <v>1694.36</v>
      </c>
      <c r="CJ279" s="40">
        <v>1819.7660685817141</v>
      </c>
      <c r="CK279" s="52">
        <v>125.40606858171418</v>
      </c>
      <c r="CL279" s="73">
        <v>0</v>
      </c>
      <c r="CM279" s="40">
        <v>0</v>
      </c>
      <c r="CN279" s="52">
        <v>0</v>
      </c>
      <c r="CO279" s="39">
        <v>1694.36</v>
      </c>
      <c r="CP279" s="40">
        <v>1819.7660685817141</v>
      </c>
      <c r="CQ279" s="52">
        <v>125.40606858171418</v>
      </c>
      <c r="CR279" s="72">
        <v>31563.876703148017</v>
      </c>
      <c r="CS279" s="5">
        <v>32277.499104864568</v>
      </c>
      <c r="CT279" s="52">
        <v>713.62240171655139</v>
      </c>
      <c r="CU279" s="77">
        <v>37876.65204377762</v>
      </c>
      <c r="CV279" s="65">
        <v>38732.998925837477</v>
      </c>
      <c r="CW279" s="35">
        <v>856.34688205985731</v>
      </c>
      <c r="CX279" s="73">
        <v>2114.7682741466951</v>
      </c>
      <c r="CY279" s="40">
        <v>1258.4213920868351</v>
      </c>
      <c r="CZ279" s="52">
        <v>-856.34688205986004</v>
      </c>
      <c r="DA279" s="150">
        <v>-2834.7941102094774</v>
      </c>
      <c r="DB279" s="2">
        <v>3</v>
      </c>
      <c r="DC279" s="648">
        <v>42489.81</v>
      </c>
      <c r="DD279" s="648"/>
      <c r="DE279" s="649">
        <v>2498.3896820756854</v>
      </c>
      <c r="DG279" s="321">
        <v>-60164.347097913596</v>
      </c>
      <c r="DH279" s="5">
        <v>479897.04381509172</v>
      </c>
      <c r="DI279" s="306">
        <v>4.4618758998773203</v>
      </c>
      <c r="DJ279" s="306"/>
      <c r="DK279" s="306"/>
      <c r="DL279" s="28">
        <v>19885.242322983253</v>
      </c>
      <c r="DM279" s="28">
        <v>0</v>
      </c>
      <c r="DN279" s="650">
        <v>19885.36</v>
      </c>
      <c r="DO279" s="94">
        <v>-0.11767701674762066</v>
      </c>
      <c r="DP279" s="28">
        <v>19885.242322983253</v>
      </c>
      <c r="DQ279" s="318">
        <v>0</v>
      </c>
      <c r="DS279" s="8">
        <v>18938.32602188881</v>
      </c>
      <c r="DT279" s="5">
        <v>946.91630109444043</v>
      </c>
      <c r="DW279" s="5">
        <v>12521.102600571216</v>
      </c>
      <c r="DX279" s="5">
        <v>6458.4</v>
      </c>
    </row>
    <row r="280" spans="1:128" x14ac:dyDescent="0.3">
      <c r="A280" s="325">
        <v>150000720</v>
      </c>
      <c r="B280" s="41" t="s">
        <v>726</v>
      </c>
      <c r="C280" s="42" t="s">
        <v>289</v>
      </c>
      <c r="D280" s="42" t="s">
        <v>289</v>
      </c>
      <c r="E280" s="293">
        <v>3670.1</v>
      </c>
      <c r="F280" s="305">
        <v>3569.1</v>
      </c>
      <c r="G280" s="51"/>
      <c r="H280" s="651">
        <v>101</v>
      </c>
      <c r="I280" s="73">
        <v>1531.8338215601439</v>
      </c>
      <c r="J280" s="40">
        <v>1724.3842297539916</v>
      </c>
      <c r="K280" s="52">
        <v>192.55040819384772</v>
      </c>
      <c r="L280" s="73">
        <v>339.97230573412361</v>
      </c>
      <c r="M280" s="40">
        <v>383.01951065705009</v>
      </c>
      <c r="N280" s="52">
        <v>43.047204922926483</v>
      </c>
      <c r="O280" s="73">
        <v>699.37884867951664</v>
      </c>
      <c r="P280" s="40">
        <v>699.15000000000009</v>
      </c>
      <c r="Q280" s="52">
        <v>-0.22884867951654542</v>
      </c>
      <c r="R280" s="73">
        <v>176.59072026525666</v>
      </c>
      <c r="S280" s="40">
        <v>176.58333333333334</v>
      </c>
      <c r="T280" s="52">
        <v>-7.3869319233210717E-3</v>
      </c>
      <c r="U280" s="73">
        <v>0</v>
      </c>
      <c r="V280" s="40">
        <v>0</v>
      </c>
      <c r="W280" s="52">
        <v>0</v>
      </c>
      <c r="X280" s="73">
        <v>527.7894486520546</v>
      </c>
      <c r="Y280" s="40">
        <v>495.30820512131561</v>
      </c>
      <c r="Z280" s="52">
        <v>-32.481243530738993</v>
      </c>
      <c r="AA280" s="73">
        <v>293.608</v>
      </c>
      <c r="AB280" s="40">
        <v>0</v>
      </c>
      <c r="AC280" s="52">
        <v>-293.608</v>
      </c>
      <c r="AD280" s="73">
        <v>2640.0122440715127</v>
      </c>
      <c r="AE280" s="40">
        <v>3307.8800063566437</v>
      </c>
      <c r="AF280" s="35">
        <v>667.86776228513099</v>
      </c>
      <c r="AG280" s="77">
        <v>6209.1853889626082</v>
      </c>
      <c r="AH280" s="53">
        <v>6786.3252852223341</v>
      </c>
      <c r="AI280" s="52">
        <v>577.1398962597259</v>
      </c>
      <c r="AJ280" s="73">
        <v>0</v>
      </c>
      <c r="AK280" s="40">
        <v>0</v>
      </c>
      <c r="AL280" s="52">
        <v>0</v>
      </c>
      <c r="AM280" s="73">
        <v>0</v>
      </c>
      <c r="AN280" s="40">
        <v>0</v>
      </c>
      <c r="AO280" s="52">
        <v>0</v>
      </c>
      <c r="AP280" s="73">
        <v>365.6005833333333</v>
      </c>
      <c r="AQ280" s="40">
        <v>0</v>
      </c>
      <c r="AR280" s="52">
        <v>-365.6005833333333</v>
      </c>
      <c r="AS280" s="73">
        <v>2445.9485398179104</v>
      </c>
      <c r="AT280" s="40">
        <v>2955</v>
      </c>
      <c r="AU280" s="54">
        <v>509.05146018208961</v>
      </c>
      <c r="AV280" s="73">
        <v>721.87684188399896</v>
      </c>
      <c r="AW280" s="40">
        <v>0</v>
      </c>
      <c r="AX280" s="55">
        <v>-721.87684188399896</v>
      </c>
      <c r="AY280" s="73">
        <v>940.94648294287435</v>
      </c>
      <c r="AZ280" s="40">
        <v>0</v>
      </c>
      <c r="BA280" s="35">
        <v>-940.94648294287435</v>
      </c>
      <c r="BB280" s="73">
        <v>229.03226626894337</v>
      </c>
      <c r="BC280" s="40">
        <v>0</v>
      </c>
      <c r="BD280" s="55">
        <v>-229.03226626894337</v>
      </c>
      <c r="BE280" s="73">
        <v>825.2511485308919</v>
      </c>
      <c r="BF280" s="40">
        <v>0</v>
      </c>
      <c r="BG280" s="38">
        <v>-825.2511485308919</v>
      </c>
      <c r="BH280" s="73">
        <v>0</v>
      </c>
      <c r="BI280" s="40">
        <v>0</v>
      </c>
      <c r="BJ280" s="55">
        <v>0</v>
      </c>
      <c r="BK280" s="73">
        <v>336.36351732325585</v>
      </c>
      <c r="BL280" s="40">
        <v>0</v>
      </c>
      <c r="BM280" s="38">
        <v>-336.36351732325585</v>
      </c>
      <c r="BN280" s="73">
        <v>73.402000000000001</v>
      </c>
      <c r="BO280" s="40">
        <v>0</v>
      </c>
      <c r="BP280" s="55">
        <v>-73.402000000000001</v>
      </c>
      <c r="BQ280" s="77">
        <v>3126.872256949965</v>
      </c>
      <c r="BR280" s="40">
        <v>0</v>
      </c>
      <c r="BS280" s="55">
        <v>-3126.872256949965</v>
      </c>
      <c r="BT280" s="73">
        <v>3517.6432201062598</v>
      </c>
      <c r="BU280" s="40">
        <v>964.92703399248887</v>
      </c>
      <c r="BV280" s="52">
        <v>-2552.7161861137711</v>
      </c>
      <c r="BW280" s="73">
        <v>2391.2982374442199</v>
      </c>
      <c r="BX280" s="40">
        <v>2525.5001547755951</v>
      </c>
      <c r="BY280" s="52">
        <v>134.20191733137517</v>
      </c>
      <c r="BZ280" s="73">
        <v>1515.6012841603019</v>
      </c>
      <c r="CA280" s="40">
        <v>6006.808012224712</v>
      </c>
      <c r="CB280" s="52">
        <v>4491.2067280644096</v>
      </c>
      <c r="CC280" s="73">
        <v>318.42650972000001</v>
      </c>
      <c r="CD280" s="40">
        <v>401.77956607695415</v>
      </c>
      <c r="CE280" s="52">
        <v>83.353056356954141</v>
      </c>
      <c r="CF280" s="73">
        <v>37.832852639999999</v>
      </c>
      <c r="CG280" s="40">
        <v>0</v>
      </c>
      <c r="CH280" s="52">
        <v>-37.832852639999999</v>
      </c>
      <c r="CI280" s="73">
        <v>2438.7800000000002</v>
      </c>
      <c r="CJ280" s="40">
        <v>2047.8411174315663</v>
      </c>
      <c r="CK280" s="52">
        <v>-390.93888256843388</v>
      </c>
      <c r="CL280" s="73">
        <v>0</v>
      </c>
      <c r="CM280" s="40">
        <v>0</v>
      </c>
      <c r="CN280" s="52">
        <v>0</v>
      </c>
      <c r="CO280" s="39">
        <v>2438.7800000000002</v>
      </c>
      <c r="CP280" s="40">
        <v>2047.8411174315663</v>
      </c>
      <c r="CQ280" s="52">
        <v>-390.93888256843388</v>
      </c>
      <c r="CR280" s="72">
        <v>22367.188873134593</v>
      </c>
      <c r="CS280" s="5">
        <v>21688.181169723652</v>
      </c>
      <c r="CT280" s="52">
        <v>-679.00770341094176</v>
      </c>
      <c r="CU280" s="77">
        <v>26840.62664776151</v>
      </c>
      <c r="CV280" s="65">
        <v>26025.817403668381</v>
      </c>
      <c r="CW280" s="35">
        <v>-814.80924409312865</v>
      </c>
      <c r="CX280" s="73">
        <v>1498.5935300537528</v>
      </c>
      <c r="CY280" s="40">
        <v>2313.4027741468817</v>
      </c>
      <c r="CZ280" s="52">
        <v>814.80924409312888</v>
      </c>
      <c r="DA280" s="150">
        <v>-15414.251493994176</v>
      </c>
      <c r="DB280" s="2">
        <v>3</v>
      </c>
      <c r="DC280" s="648">
        <v>40345.96</v>
      </c>
      <c r="DD280" s="648">
        <v>3632.06</v>
      </c>
      <c r="DE280" s="649">
        <v>15638.799822184734</v>
      </c>
      <c r="DG280" s="321">
        <v>27780.038529262911</v>
      </c>
      <c r="DH280" s="5">
        <v>340070.64213378314</v>
      </c>
      <c r="DI280" s="306">
        <v>3.8511106269954452</v>
      </c>
      <c r="DJ280" s="306"/>
      <c r="DK280" s="306">
        <v>3.4290104085678701</v>
      </c>
      <c r="DL280" s="28">
        <v>13744.998938809444</v>
      </c>
      <c r="DM280" s="28">
        <v>346.33005126535488</v>
      </c>
      <c r="DN280" s="650">
        <v>13744.96</v>
      </c>
      <c r="DO280" s="94">
        <v>3.8938809444516664E-2</v>
      </c>
      <c r="DP280" s="28">
        <v>14091.328990074799</v>
      </c>
      <c r="DQ280" s="318">
        <v>0</v>
      </c>
      <c r="DS280" s="8">
        <v>13420.313323880755</v>
      </c>
      <c r="DT280" s="5">
        <v>671.01566619403786</v>
      </c>
      <c r="DW280" s="5">
        <v>6687.3849561214502</v>
      </c>
      <c r="DX280" s="5">
        <v>3546</v>
      </c>
    </row>
    <row r="281" spans="1:128" x14ac:dyDescent="0.3">
      <c r="A281" s="325">
        <v>150000750</v>
      </c>
      <c r="B281" s="41" t="s">
        <v>727</v>
      </c>
      <c r="C281" s="42" t="s">
        <v>130</v>
      </c>
      <c r="D281" s="42" t="s">
        <v>130</v>
      </c>
      <c r="E281" s="293">
        <v>275.8</v>
      </c>
      <c r="F281" s="305">
        <v>275.8</v>
      </c>
      <c r="G281" s="51"/>
      <c r="H281" s="651">
        <v>0</v>
      </c>
      <c r="I281" s="73">
        <v>0</v>
      </c>
      <c r="J281" s="40">
        <v>0</v>
      </c>
      <c r="K281" s="52">
        <v>0</v>
      </c>
      <c r="L281" s="73">
        <v>0</v>
      </c>
      <c r="M281" s="40">
        <v>0</v>
      </c>
      <c r="N281" s="52">
        <v>0</v>
      </c>
      <c r="O281" s="73">
        <v>0</v>
      </c>
      <c r="P281" s="40">
        <v>0</v>
      </c>
      <c r="Q281" s="52">
        <v>0</v>
      </c>
      <c r="R281" s="73">
        <v>0</v>
      </c>
      <c r="S281" s="40">
        <v>0</v>
      </c>
      <c r="T281" s="52">
        <v>0</v>
      </c>
      <c r="U281" s="73">
        <v>0</v>
      </c>
      <c r="V281" s="40">
        <v>0</v>
      </c>
      <c r="W281" s="52">
        <v>0</v>
      </c>
      <c r="X281" s="73">
        <v>0</v>
      </c>
      <c r="Y281" s="40">
        <v>0</v>
      </c>
      <c r="Z281" s="52">
        <v>0</v>
      </c>
      <c r="AA281" s="73">
        <v>22.064</v>
      </c>
      <c r="AB281" s="40">
        <v>0</v>
      </c>
      <c r="AC281" s="52">
        <v>-22.064</v>
      </c>
      <c r="AD281" s="73">
        <v>176.62543343301397</v>
      </c>
      <c r="AE281" s="40">
        <v>248.57995851697842</v>
      </c>
      <c r="AF281" s="35">
        <v>71.954525083964455</v>
      </c>
      <c r="AG281" s="77">
        <v>198.68943343301396</v>
      </c>
      <c r="AH281" s="53">
        <v>248.57995851697842</v>
      </c>
      <c r="AI281" s="52">
        <v>49.890525083964462</v>
      </c>
      <c r="AJ281" s="73">
        <v>0</v>
      </c>
      <c r="AK281" s="40">
        <v>0</v>
      </c>
      <c r="AL281" s="52">
        <v>0</v>
      </c>
      <c r="AM281" s="73">
        <v>0</v>
      </c>
      <c r="AN281" s="40">
        <v>0</v>
      </c>
      <c r="AO281" s="52">
        <v>0</v>
      </c>
      <c r="AP281" s="73">
        <v>75.641499999999994</v>
      </c>
      <c r="AQ281" s="40">
        <v>0</v>
      </c>
      <c r="AR281" s="52">
        <v>-75.641499999999994</v>
      </c>
      <c r="AS281" s="73">
        <v>408.58067276389249</v>
      </c>
      <c r="AT281" s="40">
        <v>2298</v>
      </c>
      <c r="AU281" s="54">
        <v>1889.4193272361076</v>
      </c>
      <c r="AV281" s="73">
        <v>0</v>
      </c>
      <c r="AW281" s="40">
        <v>0</v>
      </c>
      <c r="AX281" s="55">
        <v>0</v>
      </c>
      <c r="AY281" s="73">
        <v>0</v>
      </c>
      <c r="AZ281" s="40">
        <v>0</v>
      </c>
      <c r="BA281" s="35">
        <v>0</v>
      </c>
      <c r="BB281" s="73">
        <v>0</v>
      </c>
      <c r="BC281" s="40">
        <v>0</v>
      </c>
      <c r="BD281" s="55">
        <v>0</v>
      </c>
      <c r="BE281" s="73">
        <v>0</v>
      </c>
      <c r="BF281" s="40">
        <v>0</v>
      </c>
      <c r="BG281" s="38">
        <v>0</v>
      </c>
      <c r="BH281" s="73">
        <v>0</v>
      </c>
      <c r="BI281" s="40">
        <v>0</v>
      </c>
      <c r="BJ281" s="55">
        <v>0</v>
      </c>
      <c r="BK281" s="73">
        <v>0</v>
      </c>
      <c r="BL281" s="40">
        <v>0</v>
      </c>
      <c r="BM281" s="38">
        <v>0</v>
      </c>
      <c r="BN281" s="73">
        <v>9.0490914643659472</v>
      </c>
      <c r="BO281" s="40">
        <v>0</v>
      </c>
      <c r="BP281" s="55">
        <v>-9.0490914643659472</v>
      </c>
      <c r="BQ281" s="77">
        <v>9.0490914643659472</v>
      </c>
      <c r="BR281" s="40">
        <v>0</v>
      </c>
      <c r="BS281" s="55">
        <v>-9.0490914643659472</v>
      </c>
      <c r="BT281" s="73">
        <v>0</v>
      </c>
      <c r="BU281" s="40">
        <v>0</v>
      </c>
      <c r="BV281" s="52">
        <v>0</v>
      </c>
      <c r="BW281" s="73">
        <v>0</v>
      </c>
      <c r="BX281" s="40">
        <v>1.0239961728052134</v>
      </c>
      <c r="BY281" s="52">
        <v>1.0239961728052134</v>
      </c>
      <c r="BZ281" s="73">
        <v>0</v>
      </c>
      <c r="CA281" s="40">
        <v>0</v>
      </c>
      <c r="CB281" s="52">
        <v>0</v>
      </c>
      <c r="CC281" s="73">
        <v>0</v>
      </c>
      <c r="CD281" s="40">
        <v>0</v>
      </c>
      <c r="CE281" s="52">
        <v>0</v>
      </c>
      <c r="CF281" s="73">
        <v>0</v>
      </c>
      <c r="CG281" s="40">
        <v>0</v>
      </c>
      <c r="CH281" s="52">
        <v>0</v>
      </c>
      <c r="CI281" s="73">
        <v>0</v>
      </c>
      <c r="CJ281" s="40">
        <v>0</v>
      </c>
      <c r="CK281" s="52">
        <v>0</v>
      </c>
      <c r="CL281" s="73">
        <v>0</v>
      </c>
      <c r="CM281" s="40">
        <v>0</v>
      </c>
      <c r="CN281" s="52">
        <v>0</v>
      </c>
      <c r="CO281" s="39">
        <v>0</v>
      </c>
      <c r="CP281" s="40">
        <v>0</v>
      </c>
      <c r="CQ281" s="52">
        <v>0</v>
      </c>
      <c r="CR281" s="72">
        <v>691.96069766127232</v>
      </c>
      <c r="CS281" s="5">
        <v>2547.6039546897837</v>
      </c>
      <c r="CT281" s="52">
        <v>1855.6432570285115</v>
      </c>
      <c r="CU281" s="77">
        <v>830.35283719352674</v>
      </c>
      <c r="CV281" s="65">
        <v>3057.1247456277401</v>
      </c>
      <c r="CW281" s="35">
        <v>2226.7719084342134</v>
      </c>
      <c r="CX281" s="73">
        <v>46.361115402042053</v>
      </c>
      <c r="CY281" s="40">
        <v>-2180.4107930321716</v>
      </c>
      <c r="CZ281" s="52">
        <v>-2226.7719084342134</v>
      </c>
      <c r="DA281" s="150">
        <v>-2747.1262494630246</v>
      </c>
      <c r="DB281" s="2">
        <v>1</v>
      </c>
      <c r="DC281" s="648">
        <v>692.37</v>
      </c>
      <c r="DD281" s="648"/>
      <c r="DE281" s="649">
        <v>-184.34395259556879</v>
      </c>
      <c r="DG281" s="321">
        <v>-6165.3695332093321</v>
      </c>
      <c r="DH281" s="5">
        <v>10520.567431146825</v>
      </c>
      <c r="DI281" s="306">
        <v>1.5806208829826016</v>
      </c>
      <c r="DJ281" s="306"/>
      <c r="DK281" s="306"/>
      <c r="DL281" s="28">
        <v>435.93523952660155</v>
      </c>
      <c r="DM281" s="28">
        <v>0</v>
      </c>
      <c r="DN281" s="650">
        <v>435.93</v>
      </c>
      <c r="DO281" s="94">
        <v>5.2395266015423658E-3</v>
      </c>
      <c r="DP281" s="28">
        <v>435.93523952660155</v>
      </c>
      <c r="DQ281" s="318">
        <v>0</v>
      </c>
      <c r="DS281" s="8">
        <v>415.17641859676337</v>
      </c>
      <c r="DT281" s="5">
        <v>20.758820929838169</v>
      </c>
      <c r="DW281" s="5">
        <v>501.15571707391013</v>
      </c>
      <c r="DX281" s="5">
        <v>2757.6</v>
      </c>
    </row>
    <row r="282" spans="1:128" x14ac:dyDescent="0.3">
      <c r="A282" s="325">
        <v>150000751</v>
      </c>
      <c r="B282" s="41" t="s">
        <v>728</v>
      </c>
      <c r="C282" s="42" t="s">
        <v>131</v>
      </c>
      <c r="D282" s="42" t="s">
        <v>131</v>
      </c>
      <c r="E282" s="293">
        <v>146.1</v>
      </c>
      <c r="F282" s="305">
        <v>146.1</v>
      </c>
      <c r="G282" s="51"/>
      <c r="H282" s="651">
        <v>0</v>
      </c>
      <c r="I282" s="73">
        <v>0</v>
      </c>
      <c r="J282" s="40">
        <v>0</v>
      </c>
      <c r="K282" s="52">
        <v>0</v>
      </c>
      <c r="L282" s="73">
        <v>0</v>
      </c>
      <c r="M282" s="40">
        <v>0</v>
      </c>
      <c r="N282" s="52">
        <v>0</v>
      </c>
      <c r="O282" s="73">
        <v>0</v>
      </c>
      <c r="P282" s="40">
        <v>0</v>
      </c>
      <c r="Q282" s="52">
        <v>0</v>
      </c>
      <c r="R282" s="73">
        <v>0</v>
      </c>
      <c r="S282" s="40">
        <v>0</v>
      </c>
      <c r="T282" s="52">
        <v>0</v>
      </c>
      <c r="U282" s="73">
        <v>0</v>
      </c>
      <c r="V282" s="40">
        <v>0</v>
      </c>
      <c r="W282" s="52">
        <v>0</v>
      </c>
      <c r="X282" s="73">
        <v>0</v>
      </c>
      <c r="Y282" s="40">
        <v>0</v>
      </c>
      <c r="Z282" s="52">
        <v>0</v>
      </c>
      <c r="AA282" s="73">
        <v>11.688000000000001</v>
      </c>
      <c r="AB282" s="40">
        <v>0</v>
      </c>
      <c r="AC282" s="52">
        <v>-11.688000000000001</v>
      </c>
      <c r="AD282" s="73">
        <v>93.559372039582442</v>
      </c>
      <c r="AE282" s="40">
        <v>131.68068143339573</v>
      </c>
      <c r="AF282" s="35">
        <v>38.121309393813291</v>
      </c>
      <c r="AG282" s="77">
        <v>105.24737203958244</v>
      </c>
      <c r="AH282" s="53">
        <v>131.68068143339573</v>
      </c>
      <c r="AI282" s="52">
        <v>26.433309393813289</v>
      </c>
      <c r="AJ282" s="73">
        <v>0</v>
      </c>
      <c r="AK282" s="40">
        <v>0</v>
      </c>
      <c r="AL282" s="52">
        <v>0</v>
      </c>
      <c r="AM282" s="73">
        <v>0</v>
      </c>
      <c r="AN282" s="40">
        <v>0</v>
      </c>
      <c r="AO282" s="52">
        <v>0</v>
      </c>
      <c r="AP282" s="73">
        <v>44.124208333333328</v>
      </c>
      <c r="AQ282" s="40">
        <v>0</v>
      </c>
      <c r="AR282" s="52">
        <v>-44.124208333333328</v>
      </c>
      <c r="AS282" s="73">
        <v>175.86195080752293</v>
      </c>
      <c r="AT282" s="40">
        <v>1839</v>
      </c>
      <c r="AU282" s="54">
        <v>1663.138049192477</v>
      </c>
      <c r="AV282" s="73">
        <v>0</v>
      </c>
      <c r="AW282" s="40">
        <v>0</v>
      </c>
      <c r="AX282" s="55">
        <v>0</v>
      </c>
      <c r="AY282" s="73">
        <v>0</v>
      </c>
      <c r="AZ282" s="40">
        <v>0</v>
      </c>
      <c r="BA282" s="35">
        <v>0</v>
      </c>
      <c r="BB282" s="73">
        <v>0</v>
      </c>
      <c r="BC282" s="40">
        <v>0</v>
      </c>
      <c r="BD282" s="55">
        <v>0</v>
      </c>
      <c r="BE282" s="73">
        <v>0</v>
      </c>
      <c r="BF282" s="40">
        <v>0</v>
      </c>
      <c r="BG282" s="38">
        <v>0</v>
      </c>
      <c r="BH282" s="73">
        <v>0</v>
      </c>
      <c r="BI282" s="40">
        <v>0</v>
      </c>
      <c r="BJ282" s="55">
        <v>0</v>
      </c>
      <c r="BK282" s="73">
        <v>0</v>
      </c>
      <c r="BL282" s="40">
        <v>0</v>
      </c>
      <c r="BM282" s="38">
        <v>0</v>
      </c>
      <c r="BN282" s="73">
        <v>3.801821818982944</v>
      </c>
      <c r="BO282" s="40">
        <v>0</v>
      </c>
      <c r="BP282" s="55">
        <v>-3.801821818982944</v>
      </c>
      <c r="BQ282" s="77">
        <v>3.801821818982944</v>
      </c>
      <c r="BR282" s="40">
        <v>0</v>
      </c>
      <c r="BS282" s="55">
        <v>-3.801821818982944</v>
      </c>
      <c r="BT282" s="73">
        <v>0</v>
      </c>
      <c r="BU282" s="40">
        <v>0</v>
      </c>
      <c r="BV282" s="52">
        <v>0</v>
      </c>
      <c r="BW282" s="73">
        <v>0</v>
      </c>
      <c r="BX282" s="40">
        <v>0.54244322279492985</v>
      </c>
      <c r="BY282" s="52">
        <v>0.54244322279492985</v>
      </c>
      <c r="BZ282" s="73">
        <v>0</v>
      </c>
      <c r="CA282" s="40">
        <v>0</v>
      </c>
      <c r="CB282" s="52">
        <v>0</v>
      </c>
      <c r="CC282" s="73">
        <v>0</v>
      </c>
      <c r="CD282" s="40">
        <v>0</v>
      </c>
      <c r="CE282" s="52">
        <v>0</v>
      </c>
      <c r="CF282" s="73">
        <v>0</v>
      </c>
      <c r="CG282" s="40">
        <v>0</v>
      </c>
      <c r="CH282" s="52">
        <v>0</v>
      </c>
      <c r="CI282" s="73">
        <v>0</v>
      </c>
      <c r="CJ282" s="40">
        <v>0</v>
      </c>
      <c r="CK282" s="52">
        <v>0</v>
      </c>
      <c r="CL282" s="73">
        <v>0</v>
      </c>
      <c r="CM282" s="40">
        <v>0</v>
      </c>
      <c r="CN282" s="52">
        <v>0</v>
      </c>
      <c r="CO282" s="39">
        <v>0</v>
      </c>
      <c r="CP282" s="40">
        <v>0</v>
      </c>
      <c r="CQ282" s="52">
        <v>0</v>
      </c>
      <c r="CR282" s="72">
        <v>329.03535299942166</v>
      </c>
      <c r="CS282" s="5">
        <v>1971.2231246561905</v>
      </c>
      <c r="CT282" s="52">
        <v>1642.1877716567687</v>
      </c>
      <c r="CU282" s="77">
        <v>394.84242359930596</v>
      </c>
      <c r="CV282" s="65">
        <v>2365.4677495874284</v>
      </c>
      <c r="CW282" s="35">
        <v>1970.6253259881225</v>
      </c>
      <c r="CX282" s="73">
        <v>22.045249135269771</v>
      </c>
      <c r="CY282" s="40">
        <v>-1948.5800768528527</v>
      </c>
      <c r="CZ282" s="52">
        <v>-1970.6253259881225</v>
      </c>
      <c r="DA282" s="150">
        <v>113.28946526592949</v>
      </c>
      <c r="DB282" s="2">
        <v>1</v>
      </c>
      <c r="DC282" s="648">
        <v>105.06</v>
      </c>
      <c r="DD282" s="648"/>
      <c r="DE282" s="649">
        <v>-311.82767273457574</v>
      </c>
      <c r="DG282" s="321">
        <v>-2240.0830915776205</v>
      </c>
      <c r="DH282" s="5">
        <v>5002.6520728149089</v>
      </c>
      <c r="DI282" s="306">
        <v>1.4188382778209148</v>
      </c>
      <c r="DJ282" s="306"/>
      <c r="DK282" s="306"/>
      <c r="DL282" s="28">
        <v>207.29227238963563</v>
      </c>
      <c r="DM282" s="28">
        <v>0</v>
      </c>
      <c r="DN282" s="650">
        <v>207.29</v>
      </c>
      <c r="DO282" s="94">
        <v>2.2723896356353634E-3</v>
      </c>
      <c r="DP282" s="28">
        <v>207.29227238963563</v>
      </c>
      <c r="DQ282" s="318">
        <v>0</v>
      </c>
      <c r="DS282" s="8">
        <v>197.42121179965298</v>
      </c>
      <c r="DT282" s="5">
        <v>9.8710605899826511</v>
      </c>
      <c r="DW282" s="5">
        <v>215.59652715180704</v>
      </c>
      <c r="DX282" s="5">
        <v>2206.7999999999997</v>
      </c>
    </row>
    <row r="283" spans="1:128" x14ac:dyDescent="0.3">
      <c r="A283" s="325">
        <v>150000752</v>
      </c>
      <c r="B283" s="41" t="s">
        <v>729</v>
      </c>
      <c r="C283" s="42" t="s">
        <v>387</v>
      </c>
      <c r="D283" s="42" t="s">
        <v>387</v>
      </c>
      <c r="E283" s="293">
        <v>3990.71</v>
      </c>
      <c r="F283" s="652">
        <v>3818.4</v>
      </c>
      <c r="G283" s="51">
        <v>276.30000000000018</v>
      </c>
      <c r="H283" s="651">
        <v>172.31</v>
      </c>
      <c r="I283" s="73">
        <v>1660.1932916990136</v>
      </c>
      <c r="J283" s="40">
        <v>1845.4539224343764</v>
      </c>
      <c r="K283" s="52">
        <v>185.26063073536284</v>
      </c>
      <c r="L283" s="73">
        <v>301.47832268784049</v>
      </c>
      <c r="M283" s="40">
        <v>356.0534249188301</v>
      </c>
      <c r="N283" s="52">
        <v>54.575102230989614</v>
      </c>
      <c r="O283" s="73">
        <v>779.89020574627</v>
      </c>
      <c r="P283" s="40">
        <v>779.88</v>
      </c>
      <c r="Q283" s="52">
        <v>-1.0205746270003146E-2</v>
      </c>
      <c r="R283" s="73">
        <v>167.93541888983663</v>
      </c>
      <c r="S283" s="40">
        <v>167.94</v>
      </c>
      <c r="T283" s="52">
        <v>4.5811101633717044E-3</v>
      </c>
      <c r="U283" s="73">
        <v>86.533130947417462</v>
      </c>
      <c r="V283" s="40">
        <v>162.19236213913845</v>
      </c>
      <c r="W283" s="52">
        <v>75.659231191720991</v>
      </c>
      <c r="X283" s="73">
        <v>942.87738063096845</v>
      </c>
      <c r="Y283" s="40">
        <v>902.18361156815899</v>
      </c>
      <c r="Z283" s="52">
        <v>-40.693769062809451</v>
      </c>
      <c r="AA283" s="73">
        <v>319.25600000000003</v>
      </c>
      <c r="AB283" s="40">
        <v>0</v>
      </c>
      <c r="AC283" s="52">
        <v>-319.25600000000003</v>
      </c>
      <c r="AD283" s="73">
        <v>2868.1653568239626</v>
      </c>
      <c r="AE283" s="40">
        <v>3596.8474483440568</v>
      </c>
      <c r="AF283" s="35">
        <v>728.68209152009422</v>
      </c>
      <c r="AG283" s="77">
        <v>7126.3291074253093</v>
      </c>
      <c r="AH283" s="53">
        <v>7810.5507694045609</v>
      </c>
      <c r="AI283" s="52">
        <v>684.22166197925162</v>
      </c>
      <c r="AJ283" s="73">
        <v>4601.4059299999999</v>
      </c>
      <c r="AK283" s="40">
        <v>4531.9912016038616</v>
      </c>
      <c r="AL283" s="52">
        <v>-69.414728396138344</v>
      </c>
      <c r="AM283" s="73">
        <v>0</v>
      </c>
      <c r="AN283" s="40">
        <v>0</v>
      </c>
      <c r="AO283" s="52">
        <v>0</v>
      </c>
      <c r="AP283" s="73">
        <v>428.63516666666658</v>
      </c>
      <c r="AQ283" s="40">
        <v>0</v>
      </c>
      <c r="AR283" s="52">
        <v>-428.63516666666658</v>
      </c>
      <c r="AS283" s="73">
        <v>5411.3256305760051</v>
      </c>
      <c r="AT283" s="40">
        <v>0</v>
      </c>
      <c r="AU283" s="54">
        <v>-5411.3256305760051</v>
      </c>
      <c r="AV283" s="73">
        <v>759.13386216803394</v>
      </c>
      <c r="AW283" s="40">
        <v>4864</v>
      </c>
      <c r="AX283" s="55">
        <v>4104.8661378319657</v>
      </c>
      <c r="AY283" s="73">
        <v>847.14528668279684</v>
      </c>
      <c r="AZ283" s="40">
        <v>0</v>
      </c>
      <c r="BA283" s="35">
        <v>-847.14528668279684</v>
      </c>
      <c r="BB283" s="73">
        <v>338.57956515498836</v>
      </c>
      <c r="BC283" s="40">
        <v>0</v>
      </c>
      <c r="BD283" s="55">
        <v>-338.57956515498836</v>
      </c>
      <c r="BE283" s="73">
        <v>818.77578862826203</v>
      </c>
      <c r="BF283" s="40">
        <v>0</v>
      </c>
      <c r="BG283" s="38">
        <v>-818.77578862826203</v>
      </c>
      <c r="BH283" s="73">
        <v>417.92545115516577</v>
      </c>
      <c r="BI283" s="40">
        <v>0</v>
      </c>
      <c r="BJ283" s="55">
        <v>-417.92545115516577</v>
      </c>
      <c r="BK283" s="73">
        <v>511.86602718019418</v>
      </c>
      <c r="BL283" s="40">
        <v>0</v>
      </c>
      <c r="BM283" s="38">
        <v>-511.86602718019418</v>
      </c>
      <c r="BN283" s="73">
        <v>66.180203659666546</v>
      </c>
      <c r="BO283" s="40">
        <v>0</v>
      </c>
      <c r="BP283" s="55">
        <v>-66.180203659666546</v>
      </c>
      <c r="BQ283" s="77">
        <v>3759.6061846291077</v>
      </c>
      <c r="BR283" s="40">
        <v>4864</v>
      </c>
      <c r="BS283" s="55">
        <v>1104.3938153708923</v>
      </c>
      <c r="BT283" s="73">
        <v>6029.0421312096596</v>
      </c>
      <c r="BU283" s="40">
        <v>1407.2768052191152</v>
      </c>
      <c r="BV283" s="52">
        <v>-4621.7653259905446</v>
      </c>
      <c r="BW283" s="73">
        <v>5236.1669518040999</v>
      </c>
      <c r="BX283" s="40">
        <v>5763.0000266394409</v>
      </c>
      <c r="BY283" s="52">
        <v>526.83307483534099</v>
      </c>
      <c r="BZ283" s="73">
        <v>1780.90915448184</v>
      </c>
      <c r="CA283" s="40">
        <v>8450.0888099100612</v>
      </c>
      <c r="CB283" s="52">
        <v>6669.1796554282209</v>
      </c>
      <c r="CC283" s="73">
        <v>193.36290038999999</v>
      </c>
      <c r="CD283" s="40">
        <v>241.56900014127808</v>
      </c>
      <c r="CE283" s="52">
        <v>48.206099751278089</v>
      </c>
      <c r="CF283" s="73">
        <v>22.746911879999999</v>
      </c>
      <c r="CG283" s="40">
        <v>0</v>
      </c>
      <c r="CH283" s="52">
        <v>-22.746911879999999</v>
      </c>
      <c r="CI283" s="73">
        <v>741.28</v>
      </c>
      <c r="CJ283" s="40">
        <v>653.27437972313305</v>
      </c>
      <c r="CK283" s="52">
        <v>-88.005620276866921</v>
      </c>
      <c r="CL283" s="73">
        <v>2990.0639999999999</v>
      </c>
      <c r="CM283" s="40">
        <v>2013.2969543188624</v>
      </c>
      <c r="CN283" s="52">
        <v>-976.76704568113746</v>
      </c>
      <c r="CO283" s="39">
        <v>3731.3440000000001</v>
      </c>
      <c r="CP283" s="40">
        <v>2666.5713340419952</v>
      </c>
      <c r="CQ283" s="52">
        <v>-1064.7726659580048</v>
      </c>
      <c r="CR283" s="72">
        <v>38320.87406906268</v>
      </c>
      <c r="CS283" s="5">
        <v>35735.047946960323</v>
      </c>
      <c r="CT283" s="52">
        <v>-2585.8261221023567</v>
      </c>
      <c r="CU283" s="77">
        <v>45985.048882875213</v>
      </c>
      <c r="CV283" s="65">
        <v>42882.057536352389</v>
      </c>
      <c r="CW283" s="35">
        <v>-3102.9913465228237</v>
      </c>
      <c r="CX283" s="73">
        <v>2567.4846433151233</v>
      </c>
      <c r="CY283" s="40">
        <v>5670.4759898379489</v>
      </c>
      <c r="CZ283" s="52">
        <v>3102.9913465228256</v>
      </c>
      <c r="DA283" s="150">
        <v>-31706.967349565111</v>
      </c>
      <c r="DB283" s="2">
        <v>1</v>
      </c>
      <c r="DC283" s="648">
        <v>45230.41</v>
      </c>
      <c r="DD283" s="648">
        <v>226.75</v>
      </c>
      <c r="DE283" s="649">
        <v>-3095.3735261903348</v>
      </c>
      <c r="DG283" s="321">
        <v>1096.9421258767943</v>
      </c>
      <c r="DH283" s="5">
        <v>582630.40231428412</v>
      </c>
      <c r="DI283" s="306">
        <v>4.8884600972446517</v>
      </c>
      <c r="DJ283" s="306">
        <v>6.2386834268796143</v>
      </c>
      <c r="DK283" s="306">
        <v>4.0245419169501346</v>
      </c>
      <c r="DL283" s="28">
        <v>23448.72209121898</v>
      </c>
      <c r="DM283" s="28">
        <v>693.46881770967775</v>
      </c>
      <c r="DN283" s="650">
        <v>23448.76</v>
      </c>
      <c r="DO283" s="94">
        <v>-3.7908781017904403E-2</v>
      </c>
      <c r="DP283" s="28">
        <v>24142.190908928656</v>
      </c>
      <c r="DQ283" s="318">
        <v>4.0245419168059016E-2</v>
      </c>
      <c r="DS283" s="8">
        <v>22992.524441437607</v>
      </c>
      <c r="DT283" s="5">
        <v>1149.6262220718804</v>
      </c>
      <c r="DW283" s="5">
        <v>11005.118178246135</v>
      </c>
      <c r="DX283" s="5">
        <v>5836.8</v>
      </c>
    </row>
    <row r="284" spans="1:128" x14ac:dyDescent="0.3">
      <c r="A284" s="325">
        <v>150000760</v>
      </c>
      <c r="B284" s="41" t="s">
        <v>730</v>
      </c>
      <c r="C284" s="42" t="s">
        <v>388</v>
      </c>
      <c r="D284" s="42" t="s">
        <v>388</v>
      </c>
      <c r="E284" s="293">
        <v>11337.72</v>
      </c>
      <c r="F284" s="652">
        <v>11337.72</v>
      </c>
      <c r="G284" s="51">
        <v>1200.3999999999996</v>
      </c>
      <c r="H284" s="651">
        <v>0</v>
      </c>
      <c r="I284" s="73">
        <v>3920.712598627802</v>
      </c>
      <c r="J284" s="40">
        <v>4368.5228009335451</v>
      </c>
      <c r="K284" s="52">
        <v>447.81020230574313</v>
      </c>
      <c r="L284" s="73">
        <v>1261.1260453228665</v>
      </c>
      <c r="M284" s="40">
        <v>1458.5096608609697</v>
      </c>
      <c r="N284" s="52">
        <v>197.38361553810319</v>
      </c>
      <c r="O284" s="73">
        <v>2111.697687846593</v>
      </c>
      <c r="P284" s="40">
        <v>2112.6</v>
      </c>
      <c r="Q284" s="52">
        <v>0.90231215340691051</v>
      </c>
      <c r="R284" s="73">
        <v>480.40973886492338</v>
      </c>
      <c r="S284" s="40">
        <v>479.9666666666667</v>
      </c>
      <c r="T284" s="52">
        <v>-0.44307219825668653</v>
      </c>
      <c r="U284" s="73">
        <v>129.82091592576384</v>
      </c>
      <c r="V284" s="40">
        <v>243.32903056820322</v>
      </c>
      <c r="W284" s="52">
        <v>113.50811464243938</v>
      </c>
      <c r="X284" s="73">
        <v>2742.046626517802</v>
      </c>
      <c r="Y284" s="40">
        <v>3013.5688692449357</v>
      </c>
      <c r="Z284" s="52">
        <v>271.52224272713374</v>
      </c>
      <c r="AA284" s="73">
        <v>907.01760000000002</v>
      </c>
      <c r="AB284" s="40">
        <v>0</v>
      </c>
      <c r="AC284" s="52">
        <v>-907.01760000000002</v>
      </c>
      <c r="AD284" s="73">
        <v>8167.9243708330177</v>
      </c>
      <c r="AE284" s="40">
        <v>10218.745349083089</v>
      </c>
      <c r="AF284" s="35">
        <v>2050.8209782500708</v>
      </c>
      <c r="AG284" s="77">
        <v>19720.755583938768</v>
      </c>
      <c r="AH284" s="53">
        <v>21895.242377357412</v>
      </c>
      <c r="AI284" s="52">
        <v>2174.4867934186441</v>
      </c>
      <c r="AJ284" s="73">
        <v>11894.84835</v>
      </c>
      <c r="AK284" s="40">
        <v>11635.656048962217</v>
      </c>
      <c r="AL284" s="52">
        <v>-259.19230103778318</v>
      </c>
      <c r="AM284" s="73">
        <v>1260.89931</v>
      </c>
      <c r="AN284" s="40">
        <v>1034.7261006922081</v>
      </c>
      <c r="AO284" s="52">
        <v>-226.17320930779192</v>
      </c>
      <c r="AP284" s="73">
        <v>1361.5469999999998</v>
      </c>
      <c r="AQ284" s="40">
        <v>8030.8630731758976</v>
      </c>
      <c r="AR284" s="52">
        <v>6669.3160731758981</v>
      </c>
      <c r="AS284" s="73">
        <v>15473.384391376007</v>
      </c>
      <c r="AT284" s="40">
        <v>7334</v>
      </c>
      <c r="AU284" s="54">
        <v>-8139.3843913760065</v>
      </c>
      <c r="AV284" s="73">
        <v>1687.3504018287563</v>
      </c>
      <c r="AW284" s="40">
        <v>0</v>
      </c>
      <c r="AX284" s="55">
        <v>-1687.3504018287563</v>
      </c>
      <c r="AY284" s="73">
        <v>3528.5059051428398</v>
      </c>
      <c r="AZ284" s="40">
        <v>0</v>
      </c>
      <c r="BA284" s="35">
        <v>-3528.5059051428398</v>
      </c>
      <c r="BB284" s="73">
        <v>842.52235028367204</v>
      </c>
      <c r="BC284" s="40">
        <v>0</v>
      </c>
      <c r="BD284" s="55">
        <v>-842.52235028367204</v>
      </c>
      <c r="BE284" s="73">
        <v>2337.3885238594739</v>
      </c>
      <c r="BF284" s="40">
        <v>477</v>
      </c>
      <c r="BG284" s="38">
        <v>-1860.3885238594739</v>
      </c>
      <c r="BH284" s="73">
        <v>626.90933560096028</v>
      </c>
      <c r="BI284" s="40">
        <v>0</v>
      </c>
      <c r="BJ284" s="55">
        <v>-626.90933560096028</v>
      </c>
      <c r="BK284" s="73">
        <v>2425.6630596876939</v>
      </c>
      <c r="BL284" s="40">
        <v>0</v>
      </c>
      <c r="BM284" s="38">
        <v>-2425.6630596876939</v>
      </c>
      <c r="BN284" s="73">
        <v>226.7544</v>
      </c>
      <c r="BO284" s="40">
        <v>0</v>
      </c>
      <c r="BP284" s="55">
        <v>-226.7544</v>
      </c>
      <c r="BQ284" s="77">
        <v>11675.093976403396</v>
      </c>
      <c r="BR284" s="40">
        <v>477</v>
      </c>
      <c r="BS284" s="55">
        <v>-11198.093976403396</v>
      </c>
      <c r="BT284" s="73">
        <v>13473.3920600478</v>
      </c>
      <c r="BU284" s="40">
        <v>2772.5064763644982</v>
      </c>
      <c r="BV284" s="52">
        <v>-10700.885583683301</v>
      </c>
      <c r="BW284" s="73">
        <v>12626.916017526381</v>
      </c>
      <c r="BX284" s="40">
        <v>13983.478909523332</v>
      </c>
      <c r="BY284" s="52">
        <v>1356.5628919969513</v>
      </c>
      <c r="BZ284" s="73">
        <v>1971.179547629574</v>
      </c>
      <c r="CA284" s="40">
        <v>16319.941857651113</v>
      </c>
      <c r="CB284" s="52">
        <v>14348.762310021539</v>
      </c>
      <c r="CC284" s="73">
        <v>513.43040350800004</v>
      </c>
      <c r="CD284" s="40">
        <v>638.64442926416427</v>
      </c>
      <c r="CE284" s="52">
        <v>125.21402575616423</v>
      </c>
      <c r="CF284" s="73">
        <v>60.136807896000001</v>
      </c>
      <c r="CG284" s="40">
        <v>0</v>
      </c>
      <c r="CH284" s="52">
        <v>-60.136807896000001</v>
      </c>
      <c r="CI284" s="73">
        <v>4447.72</v>
      </c>
      <c r="CJ284" s="40">
        <v>4310.4122614373809</v>
      </c>
      <c r="CK284" s="52">
        <v>-137.30773856261931</v>
      </c>
      <c r="CL284" s="73">
        <v>4055.2743</v>
      </c>
      <c r="CM284" s="40">
        <v>3719.6374167955823</v>
      </c>
      <c r="CN284" s="52">
        <v>-335.6368832044177</v>
      </c>
      <c r="CO284" s="39">
        <v>8502.9943000000003</v>
      </c>
      <c r="CP284" s="40">
        <v>8030.0496782329628</v>
      </c>
      <c r="CQ284" s="52">
        <v>-472.94462176703746</v>
      </c>
      <c r="CR284" s="72">
        <v>98534.57774832593</v>
      </c>
      <c r="CS284" s="5">
        <v>92152.108951223796</v>
      </c>
      <c r="CT284" s="52">
        <v>-6382.468797102134</v>
      </c>
      <c r="CU284" s="77">
        <v>118241.49329799111</v>
      </c>
      <c r="CV284" s="65">
        <v>110582.53074146855</v>
      </c>
      <c r="CW284" s="35">
        <v>-7658.9625565225579</v>
      </c>
      <c r="CX284" s="73">
        <v>6601.7809183691952</v>
      </c>
      <c r="CY284" s="40">
        <v>14260.743474891759</v>
      </c>
      <c r="CZ284" s="52">
        <v>7658.9625565225633</v>
      </c>
      <c r="DA284" s="150">
        <v>117363.40631040718</v>
      </c>
      <c r="DB284" s="2">
        <v>2</v>
      </c>
      <c r="DC284" s="648">
        <v>128327.81</v>
      </c>
      <c r="DD284" s="648"/>
      <c r="DE284" s="649">
        <v>3484.535783639687</v>
      </c>
      <c r="DG284" s="321">
        <v>78093.355183338164</v>
      </c>
      <c r="DH284" s="5">
        <v>1498119.2905963238</v>
      </c>
      <c r="DI284" s="306">
        <v>4.5188838802374143</v>
      </c>
      <c r="DJ284" s="306">
        <v>5.5884904266224549</v>
      </c>
      <c r="DK284" s="306"/>
      <c r="DL284" s="28">
        <v>62076.783981445333</v>
      </c>
      <c r="DM284" s="28">
        <v>0</v>
      </c>
      <c r="DN284" s="650">
        <v>62076.42</v>
      </c>
      <c r="DO284" s="94">
        <v>0.3639814453345025</v>
      </c>
      <c r="DP284" s="28">
        <v>62076.783981445333</v>
      </c>
      <c r="DQ284" s="318">
        <v>0</v>
      </c>
      <c r="DS284" s="8">
        <v>59120.746648995555</v>
      </c>
      <c r="DT284" s="5">
        <v>2956.0373324497782</v>
      </c>
      <c r="DW284" s="5">
        <v>32578.174041335282</v>
      </c>
      <c r="DX284" s="5">
        <v>9373.1999999999989</v>
      </c>
    </row>
    <row r="285" spans="1:128" x14ac:dyDescent="0.3">
      <c r="A285" s="325">
        <v>150000758</v>
      </c>
      <c r="B285" s="41" t="s">
        <v>731</v>
      </c>
      <c r="C285" s="42" t="s">
        <v>389</v>
      </c>
      <c r="D285" s="42" t="s">
        <v>389</v>
      </c>
      <c r="E285" s="293">
        <v>13218.32</v>
      </c>
      <c r="F285" s="652">
        <v>13211.52</v>
      </c>
      <c r="G285" s="51">
        <v>1410.9499999999989</v>
      </c>
      <c r="H285" s="651">
        <v>6.8</v>
      </c>
      <c r="I285" s="73">
        <v>4861.1218831635861</v>
      </c>
      <c r="J285" s="40">
        <v>5414.0095367927979</v>
      </c>
      <c r="K285" s="52">
        <v>552.88765362921185</v>
      </c>
      <c r="L285" s="73">
        <v>1471.2275984780774</v>
      </c>
      <c r="M285" s="40">
        <v>1657.5121866062429</v>
      </c>
      <c r="N285" s="52">
        <v>186.28458812816552</v>
      </c>
      <c r="O285" s="73">
        <v>2425.7039871259799</v>
      </c>
      <c r="P285" s="40">
        <v>2425.15</v>
      </c>
      <c r="Q285" s="52">
        <v>-0.55398712597980193</v>
      </c>
      <c r="R285" s="73">
        <v>527.06159479746998</v>
      </c>
      <c r="S285" s="40">
        <v>526.43333333333339</v>
      </c>
      <c r="T285" s="52">
        <v>-0.62826146413658535</v>
      </c>
      <c r="U285" s="73">
        <v>151.46480841493698</v>
      </c>
      <c r="V285" s="40">
        <v>323.11783976310642</v>
      </c>
      <c r="W285" s="52">
        <v>171.65303134816943</v>
      </c>
      <c r="X285" s="73">
        <v>2556.1109609343298</v>
      </c>
      <c r="Y285" s="40">
        <v>3363.0765484521248</v>
      </c>
      <c r="Z285" s="52">
        <v>806.96558751779503</v>
      </c>
      <c r="AA285" s="73">
        <v>1056.7439999999999</v>
      </c>
      <c r="AB285" s="40">
        <v>0</v>
      </c>
      <c r="AC285" s="52">
        <v>-1056.7439999999999</v>
      </c>
      <c r="AD285" s="73">
        <v>9516.2352431831368</v>
      </c>
      <c r="AE285" s="40">
        <v>11913.739801537875</v>
      </c>
      <c r="AF285" s="35">
        <v>2397.504558354738</v>
      </c>
      <c r="AG285" s="77">
        <v>22565.670076097515</v>
      </c>
      <c r="AH285" s="53">
        <v>25623.039246485481</v>
      </c>
      <c r="AI285" s="52">
        <v>3057.3691703879667</v>
      </c>
      <c r="AJ285" s="73">
        <v>22537.599999999999</v>
      </c>
      <c r="AK285" s="40">
        <v>22197.615249737824</v>
      </c>
      <c r="AL285" s="52">
        <v>-339.9847502621742</v>
      </c>
      <c r="AM285" s="73">
        <v>630.44965500000001</v>
      </c>
      <c r="AN285" s="40">
        <v>206.94522013844158</v>
      </c>
      <c r="AO285" s="52">
        <v>-423.50443486155842</v>
      </c>
      <c r="AP285" s="73">
        <v>1582.1680416666663</v>
      </c>
      <c r="AQ285" s="40">
        <v>0</v>
      </c>
      <c r="AR285" s="52">
        <v>-1582.1680416666663</v>
      </c>
      <c r="AS285" s="73">
        <v>16825.039477396986</v>
      </c>
      <c r="AT285" s="40">
        <v>1748</v>
      </c>
      <c r="AU285" s="54">
        <v>-15077.039477396986</v>
      </c>
      <c r="AV285" s="73">
        <v>2192.8662223484657</v>
      </c>
      <c r="AW285" s="40">
        <v>0</v>
      </c>
      <c r="AX285" s="55">
        <v>-2192.8662223484657</v>
      </c>
      <c r="AY285" s="73">
        <v>4116.3877425171759</v>
      </c>
      <c r="AZ285" s="40">
        <v>0</v>
      </c>
      <c r="BA285" s="35">
        <v>-4116.3877425171759</v>
      </c>
      <c r="BB285" s="73">
        <v>946.30165200423198</v>
      </c>
      <c r="BC285" s="40">
        <v>1259</v>
      </c>
      <c r="BD285" s="55">
        <v>312.69834799576802</v>
      </c>
      <c r="BE285" s="73">
        <v>2535.6944948975943</v>
      </c>
      <c r="BF285" s="40">
        <v>0</v>
      </c>
      <c r="BG285" s="38">
        <v>-2535.6944948975943</v>
      </c>
      <c r="BH285" s="73">
        <v>731.38014927385962</v>
      </c>
      <c r="BI285" s="40">
        <v>0</v>
      </c>
      <c r="BJ285" s="55">
        <v>-731.38014927385962</v>
      </c>
      <c r="BK285" s="73">
        <v>2132.0256146126158</v>
      </c>
      <c r="BL285" s="40">
        <v>0</v>
      </c>
      <c r="BM285" s="38">
        <v>-2132.0256146126158</v>
      </c>
      <c r="BN285" s="73">
        <v>264.18599999999998</v>
      </c>
      <c r="BO285" s="40">
        <v>0</v>
      </c>
      <c r="BP285" s="55">
        <v>-264.18599999999998</v>
      </c>
      <c r="BQ285" s="77">
        <v>12918.841875653945</v>
      </c>
      <c r="BR285" s="40">
        <v>1259</v>
      </c>
      <c r="BS285" s="55">
        <v>-11659.841875653945</v>
      </c>
      <c r="BT285" s="73">
        <v>18724.374913195741</v>
      </c>
      <c r="BU285" s="40">
        <v>3775.7402010986129</v>
      </c>
      <c r="BV285" s="52">
        <v>-14948.634712097128</v>
      </c>
      <c r="BW285" s="73">
        <v>14140.80382290642</v>
      </c>
      <c r="BX285" s="40">
        <v>15571.074102487266</v>
      </c>
      <c r="BY285" s="52">
        <v>1430.2702795808455</v>
      </c>
      <c r="BZ285" s="73">
        <v>2680.05439923726</v>
      </c>
      <c r="CA285" s="40">
        <v>22067.965693548911</v>
      </c>
      <c r="CB285" s="52">
        <v>19387.911294311652</v>
      </c>
      <c r="CC285" s="73">
        <v>593.30843263999998</v>
      </c>
      <c r="CD285" s="40">
        <v>737.52770154865084</v>
      </c>
      <c r="CE285" s="52">
        <v>144.21926890865086</v>
      </c>
      <c r="CF285" s="73">
        <v>69.44797398</v>
      </c>
      <c r="CG285" s="40">
        <v>0</v>
      </c>
      <c r="CH285" s="52">
        <v>-69.44797398</v>
      </c>
      <c r="CI285" s="73">
        <v>4173.6400000000003</v>
      </c>
      <c r="CJ285" s="40">
        <v>3128.4232216398923</v>
      </c>
      <c r="CK285" s="52">
        <v>-1045.216778360108</v>
      </c>
      <c r="CL285" s="73">
        <v>4796.5609999999997</v>
      </c>
      <c r="CM285" s="40">
        <v>4430.4622935197385</v>
      </c>
      <c r="CN285" s="52">
        <v>-366.09870648026117</v>
      </c>
      <c r="CO285" s="39">
        <v>8970.2010000000009</v>
      </c>
      <c r="CP285" s="40">
        <v>7558.8855151596308</v>
      </c>
      <c r="CQ285" s="52">
        <v>-1411.3154848403701</v>
      </c>
      <c r="CR285" s="72">
        <v>122237.95966777453</v>
      </c>
      <c r="CS285" s="5">
        <v>100745.79293020483</v>
      </c>
      <c r="CT285" s="52">
        <v>-21492.1667375697</v>
      </c>
      <c r="CU285" s="77">
        <v>146685.55160132944</v>
      </c>
      <c r="CV285" s="65">
        <v>120894.95151624578</v>
      </c>
      <c r="CW285" s="35">
        <v>-25790.600085083657</v>
      </c>
      <c r="CX285" s="73">
        <v>8189.8988971798553</v>
      </c>
      <c r="CY285" s="40">
        <v>33980.498982263525</v>
      </c>
      <c r="CZ285" s="52">
        <v>25790.600085083672</v>
      </c>
      <c r="DA285" s="150">
        <v>-62971.333546848524</v>
      </c>
      <c r="DB285" s="2">
        <v>2</v>
      </c>
      <c r="DC285" s="648">
        <v>158104.12</v>
      </c>
      <c r="DD285" s="648">
        <v>989.92</v>
      </c>
      <c r="DE285" s="649">
        <v>4218.5895014907001</v>
      </c>
      <c r="DG285" s="321">
        <v>-26220.010742889863</v>
      </c>
      <c r="DH285" s="5">
        <v>1858505.4059821116</v>
      </c>
      <c r="DI285" s="306">
        <v>4.5410273427091488</v>
      </c>
      <c r="DJ285" s="306">
        <v>5.9841210983826114</v>
      </c>
      <c r="DK285" s="306"/>
      <c r="DL285" s="28">
        <v>77023.202439136367</v>
      </c>
      <c r="DM285" s="28">
        <v>26.29</v>
      </c>
      <c r="DN285" s="650">
        <v>77022.929999999993</v>
      </c>
      <c r="DO285" s="94">
        <v>0.27243913637357764</v>
      </c>
      <c r="DP285" s="28">
        <v>77049.49243913636</v>
      </c>
      <c r="DQ285" s="318">
        <v>39.577848438406363</v>
      </c>
      <c r="DS285" s="8">
        <v>73342.77580066472</v>
      </c>
      <c r="DT285" s="5">
        <v>3667.1387900332361</v>
      </c>
      <c r="DW285" s="5">
        <v>35692.657623661114</v>
      </c>
      <c r="DX285" s="5">
        <v>3608.4</v>
      </c>
    </row>
    <row r="286" spans="1:128" x14ac:dyDescent="0.3">
      <c r="A286" s="325">
        <v>150000759</v>
      </c>
      <c r="B286" s="41" t="s">
        <v>732</v>
      </c>
      <c r="C286" s="42" t="s">
        <v>390</v>
      </c>
      <c r="D286" s="42" t="s">
        <v>390</v>
      </c>
      <c r="E286" s="293">
        <v>5689.68</v>
      </c>
      <c r="F286" s="652">
        <v>5689.68</v>
      </c>
      <c r="G286" s="653">
        <v>618.44999999999982</v>
      </c>
      <c r="H286" s="651">
        <v>0</v>
      </c>
      <c r="I286" s="73">
        <v>2119.7391134563773</v>
      </c>
      <c r="J286" s="40">
        <v>2359.2023457054643</v>
      </c>
      <c r="K286" s="52">
        <v>239.46323224908701</v>
      </c>
      <c r="L286" s="73">
        <v>360.7545024792264</v>
      </c>
      <c r="M286" s="40">
        <v>406.43193722027809</v>
      </c>
      <c r="N286" s="52">
        <v>45.677434741051684</v>
      </c>
      <c r="O286" s="73">
        <v>1121.6781357166267</v>
      </c>
      <c r="P286" s="40">
        <v>1121.4000000000001</v>
      </c>
      <c r="Q286" s="52">
        <v>-0.27813571662659342</v>
      </c>
      <c r="R286" s="73">
        <v>259.22184015927331</v>
      </c>
      <c r="S286" s="40">
        <v>258.78333333333336</v>
      </c>
      <c r="T286" s="52">
        <v>-0.43850682593995316</v>
      </c>
      <c r="U286" s="73">
        <v>64.889238458244307</v>
      </c>
      <c r="V286" s="40">
        <v>121.62402792460607</v>
      </c>
      <c r="W286" s="52">
        <v>56.734789466361761</v>
      </c>
      <c r="X286" s="73">
        <v>1317.401270737962</v>
      </c>
      <c r="Y286" s="40">
        <v>1426.5091836488659</v>
      </c>
      <c r="Z286" s="52">
        <v>109.10791291090391</v>
      </c>
      <c r="AA286" s="73">
        <v>455.00639999999999</v>
      </c>
      <c r="AB286" s="40">
        <v>0</v>
      </c>
      <c r="AC286" s="52">
        <v>-455.00639999999999</v>
      </c>
      <c r="AD286" s="73">
        <v>4097.4408231978005</v>
      </c>
      <c r="AE286" s="40">
        <v>5128.1378476246618</v>
      </c>
      <c r="AF286" s="35">
        <v>1030.6970244268614</v>
      </c>
      <c r="AG286" s="77">
        <v>9796.1313242055112</v>
      </c>
      <c r="AH286" s="53">
        <v>10822.088675457209</v>
      </c>
      <c r="AI286" s="52">
        <v>1025.9573512516981</v>
      </c>
      <c r="AJ286" s="73">
        <v>11503.58</v>
      </c>
      <c r="AK286" s="40">
        <v>11330.043739662486</v>
      </c>
      <c r="AL286" s="52">
        <v>-173.53626033751425</v>
      </c>
      <c r="AM286" s="73">
        <v>0</v>
      </c>
      <c r="AN286" s="40">
        <v>0</v>
      </c>
      <c r="AO286" s="52">
        <v>0</v>
      </c>
      <c r="AP286" s="73">
        <v>680.7734999999999</v>
      </c>
      <c r="AQ286" s="40">
        <v>0</v>
      </c>
      <c r="AR286" s="52">
        <v>-680.7734999999999</v>
      </c>
      <c r="AS286" s="73">
        <v>8097.6640408924814</v>
      </c>
      <c r="AT286" s="40">
        <v>9121</v>
      </c>
      <c r="AU286" s="54">
        <v>1023.3359591075186</v>
      </c>
      <c r="AV286" s="73">
        <v>967.83947751334779</v>
      </c>
      <c r="AW286" s="40">
        <v>495</v>
      </c>
      <c r="AX286" s="55">
        <v>-472.83947751334779</v>
      </c>
      <c r="AY286" s="73">
        <v>1017.5518628687124</v>
      </c>
      <c r="AZ286" s="40">
        <v>32</v>
      </c>
      <c r="BA286" s="35">
        <v>-985.55186286871242</v>
      </c>
      <c r="BB286" s="73">
        <v>446.02102209052401</v>
      </c>
      <c r="BC286" s="40">
        <v>0</v>
      </c>
      <c r="BD286" s="55">
        <v>-446.02102209052401</v>
      </c>
      <c r="BE286" s="73">
        <v>1325.8999794766819</v>
      </c>
      <c r="BF286" s="40">
        <v>0</v>
      </c>
      <c r="BG286" s="38">
        <v>-1325.8999794766819</v>
      </c>
      <c r="BH286" s="73">
        <v>313.45469811869293</v>
      </c>
      <c r="BI286" s="40">
        <v>0</v>
      </c>
      <c r="BJ286" s="55">
        <v>-313.45469811869293</v>
      </c>
      <c r="BK286" s="73">
        <v>1138.7088513793617</v>
      </c>
      <c r="BL286" s="40">
        <v>0</v>
      </c>
      <c r="BM286" s="38">
        <v>-1138.7088513793617</v>
      </c>
      <c r="BN286" s="73">
        <v>113.7516</v>
      </c>
      <c r="BO286" s="40">
        <v>0</v>
      </c>
      <c r="BP286" s="55">
        <v>-113.7516</v>
      </c>
      <c r="BQ286" s="77">
        <v>5323.2274914473201</v>
      </c>
      <c r="BR286" s="40">
        <v>527</v>
      </c>
      <c r="BS286" s="55">
        <v>-4796.2274914473201</v>
      </c>
      <c r="BT286" s="73">
        <v>7773.323936842</v>
      </c>
      <c r="BU286" s="40">
        <v>1613.9739249051142</v>
      </c>
      <c r="BV286" s="52">
        <v>-6159.3500119368855</v>
      </c>
      <c r="BW286" s="73">
        <v>5111.0629358094002</v>
      </c>
      <c r="BX286" s="40">
        <v>5733.2449801706534</v>
      </c>
      <c r="BY286" s="52">
        <v>622.18204436125325</v>
      </c>
      <c r="BZ286" s="73">
        <v>1028.5166978025441</v>
      </c>
      <c r="CA286" s="40">
        <v>9562.6016058515143</v>
      </c>
      <c r="CB286" s="52">
        <v>8534.0849080489697</v>
      </c>
      <c r="CC286" s="73">
        <v>355.74646849499999</v>
      </c>
      <c r="CD286" s="40">
        <v>444.19391566281308</v>
      </c>
      <c r="CE286" s="52">
        <v>88.447447167813095</v>
      </c>
      <c r="CF286" s="73">
        <v>41.82672384</v>
      </c>
      <c r="CG286" s="40">
        <v>0</v>
      </c>
      <c r="CH286" s="52">
        <v>-41.82672384</v>
      </c>
      <c r="CI286" s="73">
        <v>3245.46</v>
      </c>
      <c r="CJ286" s="40">
        <v>2714.3209029128056</v>
      </c>
      <c r="CK286" s="52">
        <v>-531.13909708719439</v>
      </c>
      <c r="CL286" s="73">
        <v>1597.8154500000001</v>
      </c>
      <c r="CM286" s="40">
        <v>1533.2837892287494</v>
      </c>
      <c r="CN286" s="52">
        <v>-64.531660771250699</v>
      </c>
      <c r="CO286" s="39">
        <v>4843.2754500000001</v>
      </c>
      <c r="CP286" s="40">
        <v>4247.6046921415546</v>
      </c>
      <c r="CQ286" s="52">
        <v>-595.67075785844554</v>
      </c>
      <c r="CR286" s="72">
        <v>54555.128569334265</v>
      </c>
      <c r="CS286" s="5">
        <v>53401.751533851348</v>
      </c>
      <c r="CT286" s="52">
        <v>-1153.3770354829176</v>
      </c>
      <c r="CU286" s="77">
        <v>65466.154283201118</v>
      </c>
      <c r="CV286" s="65">
        <v>64082.101840621617</v>
      </c>
      <c r="CW286" s="35">
        <v>-1384.0524425795011</v>
      </c>
      <c r="CX286" s="73">
        <v>3655.1737980561661</v>
      </c>
      <c r="CY286" s="40">
        <v>5039.2262406356604</v>
      </c>
      <c r="CZ286" s="52">
        <v>1384.0524425794943</v>
      </c>
      <c r="DA286" s="150">
        <v>-70686.702455995488</v>
      </c>
      <c r="DB286" s="2">
        <v>2</v>
      </c>
      <c r="DC286" s="648">
        <v>84439.2</v>
      </c>
      <c r="DD286" s="648"/>
      <c r="DE286" s="649">
        <v>15317.87191874272</v>
      </c>
      <c r="DG286" s="321">
        <v>10377.051541261346</v>
      </c>
      <c r="DH286" s="5">
        <v>829455.93697508727</v>
      </c>
      <c r="DI286" s="306">
        <v>4.5917335431203758</v>
      </c>
      <c r="DJ286" s="306">
        <v>6.2200663180048235</v>
      </c>
      <c r="DK286" s="306"/>
      <c r="DL286" s="28">
        <v>34383.144523598399</v>
      </c>
      <c r="DM286" s="28">
        <v>0</v>
      </c>
      <c r="DN286" s="650">
        <v>34377.58</v>
      </c>
      <c r="DO286" s="94">
        <v>5.5645235983974999</v>
      </c>
      <c r="DP286" s="28">
        <v>34383.144523598399</v>
      </c>
      <c r="DQ286" s="318">
        <v>13.413524917814357</v>
      </c>
      <c r="DS286" s="8">
        <v>32733.077141600559</v>
      </c>
      <c r="DT286" s="5">
        <v>1636.6538570800278</v>
      </c>
      <c r="DW286" s="5">
        <v>16105.069838807762</v>
      </c>
      <c r="DX286" s="5">
        <v>11577.6</v>
      </c>
    </row>
    <row r="287" spans="1:128" x14ac:dyDescent="0.3">
      <c r="A287" s="325">
        <v>150000761</v>
      </c>
      <c r="B287" s="41" t="s">
        <v>733</v>
      </c>
      <c r="C287" s="42" t="s">
        <v>391</v>
      </c>
      <c r="D287" s="42" t="s">
        <v>391</v>
      </c>
      <c r="E287" s="293">
        <v>6815.39</v>
      </c>
      <c r="F287" s="652">
        <v>6720.79</v>
      </c>
      <c r="G287" s="51">
        <v>727.39999999999964</v>
      </c>
      <c r="H287" s="651">
        <v>94.6</v>
      </c>
      <c r="I287" s="73">
        <v>2280.9908855885683</v>
      </c>
      <c r="J287" s="40">
        <v>2544.3106326807974</v>
      </c>
      <c r="K287" s="52">
        <v>263.31974709222914</v>
      </c>
      <c r="L287" s="73">
        <v>369.35139575155148</v>
      </c>
      <c r="M287" s="40">
        <v>416.11815943666545</v>
      </c>
      <c r="N287" s="52">
        <v>46.766763685113972</v>
      </c>
      <c r="O287" s="73">
        <v>1324.8316304397767</v>
      </c>
      <c r="P287" s="40">
        <v>1324.45</v>
      </c>
      <c r="Q287" s="52">
        <v>-0.38163043977669986</v>
      </c>
      <c r="R287" s="73">
        <v>264.89695513046996</v>
      </c>
      <c r="S287" s="40">
        <v>264.66666666666669</v>
      </c>
      <c r="T287" s="52">
        <v>-0.2302884638032765</v>
      </c>
      <c r="U287" s="73">
        <v>86.533130947417462</v>
      </c>
      <c r="V287" s="40">
        <v>162.19236213913845</v>
      </c>
      <c r="W287" s="52">
        <v>75.659231191720991</v>
      </c>
      <c r="X287" s="73">
        <v>879.5691781166862</v>
      </c>
      <c r="Y287" s="40">
        <v>931.4220795285687</v>
      </c>
      <c r="Z287" s="52">
        <v>51.852901411882499</v>
      </c>
      <c r="AA287" s="73">
        <v>537.66319999999996</v>
      </c>
      <c r="AB287" s="40">
        <v>0</v>
      </c>
      <c r="AC287" s="52">
        <v>-537.66319999999996</v>
      </c>
      <c r="AD287" s="73">
        <v>4841.8115234952156</v>
      </c>
      <c r="AE287" s="40">
        <v>6142.7460604678363</v>
      </c>
      <c r="AF287" s="35">
        <v>1300.9345369726207</v>
      </c>
      <c r="AG287" s="77">
        <v>10585.647899469686</v>
      </c>
      <c r="AH287" s="53">
        <v>11785.905960919674</v>
      </c>
      <c r="AI287" s="52">
        <v>1200.2580614499875</v>
      </c>
      <c r="AJ287" s="73">
        <v>5521.7405099999996</v>
      </c>
      <c r="AK287" s="40">
        <v>5438.4201185626225</v>
      </c>
      <c r="AL287" s="52">
        <v>-83.320391437377111</v>
      </c>
      <c r="AM287" s="73">
        <v>0</v>
      </c>
      <c r="AN287" s="40">
        <v>0</v>
      </c>
      <c r="AO287" s="52">
        <v>0</v>
      </c>
      <c r="AP287" s="73">
        <v>567.31124999999997</v>
      </c>
      <c r="AQ287" s="40">
        <v>3346.1929471566241</v>
      </c>
      <c r="AR287" s="52">
        <v>2778.8816971566239</v>
      </c>
      <c r="AS287" s="73">
        <v>7208.4281754079284</v>
      </c>
      <c r="AT287" s="40">
        <v>1329</v>
      </c>
      <c r="AU287" s="54">
        <v>-5879.4281754079284</v>
      </c>
      <c r="AV287" s="73">
        <v>962.72335834017008</v>
      </c>
      <c r="AW287" s="40">
        <v>661</v>
      </c>
      <c r="AX287" s="55">
        <v>-301.72335834017008</v>
      </c>
      <c r="AY287" s="73">
        <v>1034.9453935425736</v>
      </c>
      <c r="AZ287" s="40">
        <v>0</v>
      </c>
      <c r="BA287" s="35">
        <v>-1034.9453935425736</v>
      </c>
      <c r="BB287" s="73">
        <v>552.95291529365795</v>
      </c>
      <c r="BC287" s="40">
        <v>2521</v>
      </c>
      <c r="BD287" s="55">
        <v>1968.047084706342</v>
      </c>
      <c r="BE287" s="73">
        <v>1264.9509255277262</v>
      </c>
      <c r="BF287" s="40">
        <v>0</v>
      </c>
      <c r="BG287" s="38">
        <v>-1264.9509255277262</v>
      </c>
      <c r="BH287" s="73">
        <v>417.92545115516577</v>
      </c>
      <c r="BI287" s="40">
        <v>0</v>
      </c>
      <c r="BJ287" s="55">
        <v>-417.92545115516577</v>
      </c>
      <c r="BK287" s="73">
        <v>490.86050030690205</v>
      </c>
      <c r="BL287" s="40">
        <v>0</v>
      </c>
      <c r="BM287" s="38">
        <v>-490.86050030690205</v>
      </c>
      <c r="BN287" s="73">
        <v>134.41579999999999</v>
      </c>
      <c r="BO287" s="40">
        <v>0</v>
      </c>
      <c r="BP287" s="55">
        <v>-134.41579999999999</v>
      </c>
      <c r="BQ287" s="77">
        <v>4858.774344166196</v>
      </c>
      <c r="BR287" s="40">
        <v>3182</v>
      </c>
      <c r="BS287" s="55">
        <v>-1676.774344166196</v>
      </c>
      <c r="BT287" s="73">
        <v>9074.1581929207205</v>
      </c>
      <c r="BU287" s="40">
        <v>1940.6067793724637</v>
      </c>
      <c r="BV287" s="52">
        <v>-7133.5514135482572</v>
      </c>
      <c r="BW287" s="73">
        <v>5361.4803301804805</v>
      </c>
      <c r="BX287" s="40">
        <v>5924.2437090979129</v>
      </c>
      <c r="BY287" s="52">
        <v>562.76337891743242</v>
      </c>
      <c r="BZ287" s="73">
        <v>1531.8763278558481</v>
      </c>
      <c r="CA287" s="40">
        <v>11342.525359875173</v>
      </c>
      <c r="CB287" s="52">
        <v>9810.6490320193261</v>
      </c>
      <c r="CC287" s="73">
        <v>312.04649403125001</v>
      </c>
      <c r="CD287" s="40">
        <v>387.87440715022649</v>
      </c>
      <c r="CE287" s="52">
        <v>75.827913118976483</v>
      </c>
      <c r="CF287" s="73">
        <v>36.523498275000001</v>
      </c>
      <c r="CG287" s="40">
        <v>0</v>
      </c>
      <c r="CH287" s="52">
        <v>-36.523498275000001</v>
      </c>
      <c r="CI287" s="73">
        <v>3846.6</v>
      </c>
      <c r="CJ287" s="40">
        <v>4400.1568851565553</v>
      </c>
      <c r="CK287" s="52">
        <v>553.55688515655538</v>
      </c>
      <c r="CL287" s="73">
        <v>2715.9748</v>
      </c>
      <c r="CM287" s="40">
        <v>3019.7548018282241</v>
      </c>
      <c r="CN287" s="52">
        <v>303.78000182822416</v>
      </c>
      <c r="CO287" s="39">
        <v>6562.5748000000003</v>
      </c>
      <c r="CP287" s="40">
        <v>7419.9116869847794</v>
      </c>
      <c r="CQ287" s="52">
        <v>857.33688698477908</v>
      </c>
      <c r="CR287" s="72">
        <v>51620.561822307107</v>
      </c>
      <c r="CS287" s="5">
        <v>52096.680969119479</v>
      </c>
      <c r="CT287" s="52">
        <v>476.11914681237249</v>
      </c>
      <c r="CU287" s="77">
        <v>61944.674186768527</v>
      </c>
      <c r="CV287" s="65">
        <v>62516.017162943375</v>
      </c>
      <c r="CW287" s="35">
        <v>571.34297617484845</v>
      </c>
      <c r="CX287" s="73">
        <v>3458.5588919296333</v>
      </c>
      <c r="CY287" s="40">
        <v>2887.2159157547867</v>
      </c>
      <c r="CZ287" s="52">
        <v>-571.34297617484663</v>
      </c>
      <c r="DA287" s="150">
        <v>162586.81200531064</v>
      </c>
      <c r="DB287" s="2">
        <v>2</v>
      </c>
      <c r="DC287" s="648">
        <v>47776.75</v>
      </c>
      <c r="DD287" s="648">
        <v>1554.07</v>
      </c>
      <c r="DE287" s="649">
        <v>-16072.413078698162</v>
      </c>
      <c r="DG287" s="321">
        <v>38212.834533103101</v>
      </c>
      <c r="DH287" s="5">
        <v>784838.79694437794</v>
      </c>
      <c r="DI287" s="306">
        <v>4.066663785470678</v>
      </c>
      <c r="DJ287" s="306">
        <v>4.9325778416725941</v>
      </c>
      <c r="DK287" s="306"/>
      <c r="DL287" s="28">
        <v>32520.95394805348</v>
      </c>
      <c r="DM287" s="28">
        <v>337.15</v>
      </c>
      <c r="DN287" s="650">
        <v>32521.14</v>
      </c>
      <c r="DO287" s="94">
        <v>-0.18605194651900092</v>
      </c>
      <c r="DP287" s="28">
        <v>32858.103948053482</v>
      </c>
      <c r="DQ287" s="318">
        <v>337.15000000000509</v>
      </c>
      <c r="DS287" s="8">
        <v>30972.337093384263</v>
      </c>
      <c r="DT287" s="5">
        <v>1548.6168546692131</v>
      </c>
      <c r="DW287" s="5">
        <v>14480.643023488949</v>
      </c>
      <c r="DX287" s="5">
        <v>5413.2</v>
      </c>
    </row>
    <row r="288" spans="1:128" x14ac:dyDescent="0.3">
      <c r="A288" s="325">
        <v>150000762</v>
      </c>
      <c r="B288" s="41" t="s">
        <v>734</v>
      </c>
      <c r="C288" s="42" t="s">
        <v>392</v>
      </c>
      <c r="D288" s="42" t="s">
        <v>392</v>
      </c>
      <c r="E288" s="293">
        <v>2823.8</v>
      </c>
      <c r="F288" s="652">
        <v>2823.8</v>
      </c>
      <c r="G288" s="51">
        <v>312.10000000000036</v>
      </c>
      <c r="H288" s="651">
        <v>0</v>
      </c>
      <c r="I288" s="73">
        <v>1246.1688481379722</v>
      </c>
      <c r="J288" s="40">
        <v>1387.1155273705656</v>
      </c>
      <c r="K288" s="52">
        <v>140.9466792325934</v>
      </c>
      <c r="L288" s="73">
        <v>215.2860378159788</v>
      </c>
      <c r="M288" s="40">
        <v>242.54495127768212</v>
      </c>
      <c r="N288" s="52">
        <v>27.258913461703315</v>
      </c>
      <c r="O288" s="73">
        <v>0</v>
      </c>
      <c r="P288" s="40">
        <v>0</v>
      </c>
      <c r="Q288" s="52">
        <v>0</v>
      </c>
      <c r="R288" s="73">
        <v>0</v>
      </c>
      <c r="S288" s="40">
        <v>0</v>
      </c>
      <c r="T288" s="52">
        <v>0</v>
      </c>
      <c r="U288" s="73">
        <v>43.28778497834633</v>
      </c>
      <c r="V288" s="40">
        <v>81.13666842906477</v>
      </c>
      <c r="W288" s="52">
        <v>37.848883450718439</v>
      </c>
      <c r="X288" s="73">
        <v>386.6955130192618</v>
      </c>
      <c r="Y288" s="40">
        <v>356.83477815151082</v>
      </c>
      <c r="Z288" s="52">
        <v>-29.860734867750978</v>
      </c>
      <c r="AA288" s="73">
        <v>225.90400000000002</v>
      </c>
      <c r="AB288" s="40">
        <v>0</v>
      </c>
      <c r="AC288" s="52">
        <v>-225.90400000000002</v>
      </c>
      <c r="AD288" s="73">
        <v>2034.336548722069</v>
      </c>
      <c r="AE288" s="40">
        <v>2545.1054635976925</v>
      </c>
      <c r="AF288" s="35">
        <v>510.76891487562352</v>
      </c>
      <c r="AG288" s="77">
        <v>4151.6787326736285</v>
      </c>
      <c r="AH288" s="53">
        <v>4612.7373888265156</v>
      </c>
      <c r="AI288" s="52">
        <v>461.05865615288712</v>
      </c>
      <c r="AJ288" s="73">
        <v>1993.9544350000001</v>
      </c>
      <c r="AK288" s="40">
        <v>1963.8745403666217</v>
      </c>
      <c r="AL288" s="52">
        <v>-30.079894633378444</v>
      </c>
      <c r="AM288" s="73">
        <v>0</v>
      </c>
      <c r="AN288" s="40">
        <v>0</v>
      </c>
      <c r="AO288" s="52">
        <v>0</v>
      </c>
      <c r="AP288" s="73">
        <v>226.92449999999997</v>
      </c>
      <c r="AQ288" s="40">
        <v>0</v>
      </c>
      <c r="AR288" s="52">
        <v>-226.92449999999997</v>
      </c>
      <c r="AS288" s="73">
        <v>2730.4003539093396</v>
      </c>
      <c r="AT288" s="40">
        <v>0</v>
      </c>
      <c r="AU288" s="54">
        <v>-2730.4003539093396</v>
      </c>
      <c r="AV288" s="73">
        <v>558.08909948192377</v>
      </c>
      <c r="AW288" s="40">
        <v>0</v>
      </c>
      <c r="AX288" s="55">
        <v>-558.08909948192377</v>
      </c>
      <c r="AY288" s="73">
        <v>602.21689458100218</v>
      </c>
      <c r="AZ288" s="40">
        <v>0</v>
      </c>
      <c r="BA288" s="35">
        <v>-602.21689458100218</v>
      </c>
      <c r="BB288" s="73">
        <v>0</v>
      </c>
      <c r="BC288" s="40">
        <v>0</v>
      </c>
      <c r="BD288" s="55">
        <v>0</v>
      </c>
      <c r="BE288" s="73">
        <v>0</v>
      </c>
      <c r="BF288" s="40">
        <v>0</v>
      </c>
      <c r="BG288" s="38">
        <v>0</v>
      </c>
      <c r="BH288" s="73">
        <v>208.98388444579521</v>
      </c>
      <c r="BI288" s="40">
        <v>0</v>
      </c>
      <c r="BJ288" s="55">
        <v>-208.98388444579521</v>
      </c>
      <c r="BK288" s="73">
        <v>209.18110523393679</v>
      </c>
      <c r="BL288" s="40">
        <v>0</v>
      </c>
      <c r="BM288" s="38">
        <v>-209.18110523393679</v>
      </c>
      <c r="BN288" s="73">
        <v>56.476000000000006</v>
      </c>
      <c r="BO288" s="40">
        <v>0</v>
      </c>
      <c r="BP288" s="55">
        <v>-56.476000000000006</v>
      </c>
      <c r="BQ288" s="77">
        <v>1634.9469837426579</v>
      </c>
      <c r="BR288" s="40">
        <v>0</v>
      </c>
      <c r="BS288" s="55">
        <v>-1634.9469837426579</v>
      </c>
      <c r="BT288" s="73">
        <v>4522.6378229165002</v>
      </c>
      <c r="BU288" s="40">
        <v>1028.0744814044756</v>
      </c>
      <c r="BV288" s="52">
        <v>-3494.5633415120246</v>
      </c>
      <c r="BW288" s="73">
        <v>2459.83703964596</v>
      </c>
      <c r="BX288" s="40">
        <v>2753.603909671669</v>
      </c>
      <c r="BY288" s="52">
        <v>293.76687002570907</v>
      </c>
      <c r="BZ288" s="73">
        <v>881.37436926594603</v>
      </c>
      <c r="CA288" s="40">
        <v>6079.0651014992982</v>
      </c>
      <c r="CB288" s="52">
        <v>5197.6907322333518</v>
      </c>
      <c r="CC288" s="73">
        <v>138.16134663374999</v>
      </c>
      <c r="CD288" s="40">
        <v>171.3202336396993</v>
      </c>
      <c r="CE288" s="52">
        <v>33.15888700594931</v>
      </c>
      <c r="CF288" s="73">
        <v>16.132062704999999</v>
      </c>
      <c r="CG288" s="40">
        <v>0</v>
      </c>
      <c r="CH288" s="52">
        <v>-16.132062704999999</v>
      </c>
      <c r="CI288" s="73">
        <v>1588.48</v>
      </c>
      <c r="CJ288" s="40">
        <v>475.22571105299511</v>
      </c>
      <c r="CK288" s="52">
        <v>-1113.2542889470049</v>
      </c>
      <c r="CL288" s="73">
        <v>650.96185000000003</v>
      </c>
      <c r="CM288" s="40">
        <v>689.63354725038892</v>
      </c>
      <c r="CN288" s="52">
        <v>38.671697250388888</v>
      </c>
      <c r="CO288" s="39">
        <v>2239.4418500000002</v>
      </c>
      <c r="CP288" s="40">
        <v>1164.859258303384</v>
      </c>
      <c r="CQ288" s="52">
        <v>-1074.5825916966162</v>
      </c>
      <c r="CR288" s="72">
        <v>20995.489496492784</v>
      </c>
      <c r="CS288" s="5">
        <v>17773.534913711665</v>
      </c>
      <c r="CT288" s="52">
        <v>-3221.9545827811198</v>
      </c>
      <c r="CU288" s="77">
        <v>25194.587395791339</v>
      </c>
      <c r="CV288" s="65">
        <v>21328.241896453997</v>
      </c>
      <c r="CW288" s="35">
        <v>-3866.3454993373416</v>
      </c>
      <c r="CX288" s="73">
        <v>1406.6901700618675</v>
      </c>
      <c r="CY288" s="40">
        <v>5273.0356693992107</v>
      </c>
      <c r="CZ288" s="52">
        <v>3866.3454993373434</v>
      </c>
      <c r="DA288" s="150">
        <v>-34687.230132204364</v>
      </c>
      <c r="DB288" s="2">
        <v>2</v>
      </c>
      <c r="DC288" s="648">
        <v>20328.490000000002</v>
      </c>
      <c r="DD288" s="648"/>
      <c r="DE288" s="649">
        <v>-6272.7875658532066</v>
      </c>
      <c r="DG288" s="321">
        <v>22378.704082453598</v>
      </c>
      <c r="DH288" s="5">
        <v>319215.33079023851</v>
      </c>
      <c r="DI288" s="306">
        <v>4.0940792985482153</v>
      </c>
      <c r="DJ288" s="306">
        <v>4.7574934242598843</v>
      </c>
      <c r="DK288" s="306"/>
      <c r="DL288" s="28">
        <v>13227.158382790451</v>
      </c>
      <c r="DM288" s="28">
        <v>0</v>
      </c>
      <c r="DN288" s="650">
        <v>13227.14</v>
      </c>
      <c r="DO288" s="94">
        <v>1.8382790451141773E-2</v>
      </c>
      <c r="DP288" s="28">
        <v>13227.158382790451</v>
      </c>
      <c r="DQ288" s="318">
        <v>0</v>
      </c>
      <c r="DS288" s="8">
        <v>12597.29369789567</v>
      </c>
      <c r="DT288" s="5">
        <v>629.86468489478364</v>
      </c>
      <c r="DW288" s="5">
        <v>5238.4168051823972</v>
      </c>
      <c r="DX288" s="5">
        <v>0</v>
      </c>
    </row>
    <row r="289" spans="1:128" x14ac:dyDescent="0.3">
      <c r="A289" s="325">
        <v>150000638</v>
      </c>
      <c r="B289" s="41" t="s">
        <v>735</v>
      </c>
      <c r="C289" s="42" t="s">
        <v>132</v>
      </c>
      <c r="D289" s="42" t="s">
        <v>132</v>
      </c>
      <c r="E289" s="293">
        <v>90.7</v>
      </c>
      <c r="F289" s="305">
        <v>90.7</v>
      </c>
      <c r="G289" s="51"/>
      <c r="H289" s="651">
        <v>0</v>
      </c>
      <c r="I289" s="73">
        <v>0</v>
      </c>
      <c r="J289" s="40">
        <v>0</v>
      </c>
      <c r="K289" s="52">
        <v>0</v>
      </c>
      <c r="L289" s="73">
        <v>0</v>
      </c>
      <c r="M289" s="40">
        <v>0</v>
      </c>
      <c r="N289" s="52">
        <v>0</v>
      </c>
      <c r="O289" s="73">
        <v>0</v>
      </c>
      <c r="P289" s="40">
        <v>0</v>
      </c>
      <c r="Q289" s="52">
        <v>0</v>
      </c>
      <c r="R289" s="73">
        <v>0</v>
      </c>
      <c r="S289" s="40">
        <v>0</v>
      </c>
      <c r="T289" s="52">
        <v>0</v>
      </c>
      <c r="U289" s="73">
        <v>0</v>
      </c>
      <c r="V289" s="40">
        <v>0</v>
      </c>
      <c r="W289" s="52">
        <v>0</v>
      </c>
      <c r="X289" s="73">
        <v>0</v>
      </c>
      <c r="Y289" s="40">
        <v>0</v>
      </c>
      <c r="Z289" s="52">
        <v>0</v>
      </c>
      <c r="AA289" s="73">
        <v>7.2560000000000002</v>
      </c>
      <c r="AB289" s="40">
        <v>0</v>
      </c>
      <c r="AC289" s="52">
        <v>-7.2560000000000002</v>
      </c>
      <c r="AD289" s="73">
        <v>58.09850295359746</v>
      </c>
      <c r="AE289" s="40">
        <v>81.748376495612547</v>
      </c>
      <c r="AF289" s="35">
        <v>23.649873542015087</v>
      </c>
      <c r="AG289" s="77">
        <v>65.354502953597461</v>
      </c>
      <c r="AH289" s="53">
        <v>81.748376495612547</v>
      </c>
      <c r="AI289" s="52">
        <v>16.393873542015086</v>
      </c>
      <c r="AJ289" s="73">
        <v>0</v>
      </c>
      <c r="AK289" s="40">
        <v>0</v>
      </c>
      <c r="AL289" s="52">
        <v>0</v>
      </c>
      <c r="AM289" s="73">
        <v>0</v>
      </c>
      <c r="AN289" s="40">
        <v>0</v>
      </c>
      <c r="AO289" s="52">
        <v>0</v>
      </c>
      <c r="AP289" s="73">
        <v>50.427666666666667</v>
      </c>
      <c r="AQ289" s="40">
        <v>0</v>
      </c>
      <c r="AR289" s="52">
        <v>-50.427666666666667</v>
      </c>
      <c r="AS289" s="73">
        <v>137.40029918202674</v>
      </c>
      <c r="AT289" s="40">
        <v>0</v>
      </c>
      <c r="AU289" s="54">
        <v>-137.40029918202674</v>
      </c>
      <c r="AV289" s="73">
        <v>0</v>
      </c>
      <c r="AW289" s="40">
        <v>0</v>
      </c>
      <c r="AX289" s="55">
        <v>0</v>
      </c>
      <c r="AY289" s="73">
        <v>0</v>
      </c>
      <c r="AZ289" s="40">
        <v>0</v>
      </c>
      <c r="BA289" s="35">
        <v>0</v>
      </c>
      <c r="BB289" s="73">
        <v>0</v>
      </c>
      <c r="BC289" s="40">
        <v>0</v>
      </c>
      <c r="BD289" s="55">
        <v>0</v>
      </c>
      <c r="BE289" s="73">
        <v>0</v>
      </c>
      <c r="BF289" s="40">
        <v>0</v>
      </c>
      <c r="BG289" s="38">
        <v>0</v>
      </c>
      <c r="BH289" s="73">
        <v>0</v>
      </c>
      <c r="BI289" s="40">
        <v>0</v>
      </c>
      <c r="BJ289" s="55">
        <v>0</v>
      </c>
      <c r="BK289" s="73">
        <v>0</v>
      </c>
      <c r="BL289" s="40">
        <v>0</v>
      </c>
      <c r="BM289" s="38">
        <v>0</v>
      </c>
      <c r="BN289" s="73">
        <v>1.8140000000000001</v>
      </c>
      <c r="BO289" s="40">
        <v>0</v>
      </c>
      <c r="BP289" s="55">
        <v>-1.8140000000000001</v>
      </c>
      <c r="BQ289" s="77">
        <v>1.8140000000000001</v>
      </c>
      <c r="BR289" s="40">
        <v>0</v>
      </c>
      <c r="BS289" s="55">
        <v>-1.8140000000000001</v>
      </c>
      <c r="BT289" s="73">
        <v>0</v>
      </c>
      <c r="BU289" s="40">
        <v>0</v>
      </c>
      <c r="BV289" s="52">
        <v>0</v>
      </c>
      <c r="BW289" s="73">
        <v>0</v>
      </c>
      <c r="BX289" s="40">
        <v>0.33675291107118505</v>
      </c>
      <c r="BY289" s="52">
        <v>0.33675291107118505</v>
      </c>
      <c r="BZ289" s="73">
        <v>0</v>
      </c>
      <c r="CA289" s="40">
        <v>0</v>
      </c>
      <c r="CB289" s="52">
        <v>0</v>
      </c>
      <c r="CC289" s="73">
        <v>0</v>
      </c>
      <c r="CD289" s="40">
        <v>0</v>
      </c>
      <c r="CE289" s="52">
        <v>0</v>
      </c>
      <c r="CF289" s="73">
        <v>0</v>
      </c>
      <c r="CG289" s="40">
        <v>0</v>
      </c>
      <c r="CH289" s="52">
        <v>0</v>
      </c>
      <c r="CI289" s="73">
        <v>0</v>
      </c>
      <c r="CJ289" s="40">
        <v>0</v>
      </c>
      <c r="CK289" s="52">
        <v>0</v>
      </c>
      <c r="CL289" s="73">
        <v>0</v>
      </c>
      <c r="CM289" s="40">
        <v>0</v>
      </c>
      <c r="CN289" s="52">
        <v>0</v>
      </c>
      <c r="CO289" s="39">
        <v>0</v>
      </c>
      <c r="CP289" s="40">
        <v>0</v>
      </c>
      <c r="CQ289" s="52">
        <v>0</v>
      </c>
      <c r="CR289" s="72">
        <v>254.99646880229088</v>
      </c>
      <c r="CS289" s="5">
        <v>82.085129406683734</v>
      </c>
      <c r="CT289" s="52">
        <v>-172.91133939560714</v>
      </c>
      <c r="CU289" s="77">
        <v>305.99576256274906</v>
      </c>
      <c r="CV289" s="65">
        <v>98.502155288020475</v>
      </c>
      <c r="CW289" s="35">
        <v>-207.49360727472859</v>
      </c>
      <c r="CX289" s="73">
        <v>17.084670787246466</v>
      </c>
      <c r="CY289" s="40">
        <v>224.57827806197506</v>
      </c>
      <c r="CZ289" s="52">
        <v>207.49360727472859</v>
      </c>
      <c r="DA289" s="150">
        <v>-1886.2076313108169</v>
      </c>
      <c r="DB289" s="2">
        <v>2</v>
      </c>
      <c r="DC289" s="648">
        <v>1034.3699999999999</v>
      </c>
      <c r="DD289" s="648"/>
      <c r="DE289" s="649">
        <v>711.28956665000442</v>
      </c>
      <c r="DG289" s="321">
        <v>-2960.994432469477</v>
      </c>
      <c r="DH289" s="5">
        <v>3876.9652001999466</v>
      </c>
      <c r="DI289" s="306">
        <v>1.7711992871603446</v>
      </c>
      <c r="DJ289" s="306"/>
      <c r="DK289" s="306"/>
      <c r="DL289" s="28">
        <v>160.64777534544325</v>
      </c>
      <c r="DM289" s="28">
        <v>0</v>
      </c>
      <c r="DN289" s="650">
        <v>160.65</v>
      </c>
      <c r="DO289" s="94">
        <v>-2.2246545567554676E-3</v>
      </c>
      <c r="DP289" s="28">
        <v>160.64777534544325</v>
      </c>
      <c r="DQ289" s="318">
        <v>0</v>
      </c>
      <c r="DS289" s="8">
        <v>152.99788128137453</v>
      </c>
      <c r="DT289" s="5">
        <v>7.649894064068727</v>
      </c>
      <c r="DW289" s="5">
        <v>167.05715901843209</v>
      </c>
      <c r="DX289" s="5">
        <v>0</v>
      </c>
    </row>
    <row r="290" spans="1:128" x14ac:dyDescent="0.3">
      <c r="A290" s="325">
        <v>150000639</v>
      </c>
      <c r="B290" s="41" t="s">
        <v>736</v>
      </c>
      <c r="C290" s="42" t="s">
        <v>133</v>
      </c>
      <c r="D290" s="42" t="s">
        <v>133</v>
      </c>
      <c r="E290" s="293">
        <v>171</v>
      </c>
      <c r="F290" s="305">
        <v>171</v>
      </c>
      <c r="G290" s="51"/>
      <c r="H290" s="651">
        <v>0</v>
      </c>
      <c r="I290" s="73">
        <v>0</v>
      </c>
      <c r="J290" s="40">
        <v>0</v>
      </c>
      <c r="K290" s="52">
        <v>0</v>
      </c>
      <c r="L290" s="73">
        <v>0</v>
      </c>
      <c r="M290" s="40">
        <v>0</v>
      </c>
      <c r="N290" s="52">
        <v>0</v>
      </c>
      <c r="O290" s="73">
        <v>0</v>
      </c>
      <c r="P290" s="40">
        <v>0</v>
      </c>
      <c r="Q290" s="52">
        <v>0</v>
      </c>
      <c r="R290" s="73">
        <v>0</v>
      </c>
      <c r="S290" s="40">
        <v>0</v>
      </c>
      <c r="T290" s="52">
        <v>0</v>
      </c>
      <c r="U290" s="73">
        <v>0</v>
      </c>
      <c r="V290" s="40">
        <v>0</v>
      </c>
      <c r="W290" s="52">
        <v>0</v>
      </c>
      <c r="X290" s="73">
        <v>0</v>
      </c>
      <c r="Y290" s="40">
        <v>0</v>
      </c>
      <c r="Z290" s="52">
        <v>0</v>
      </c>
      <c r="AA290" s="73">
        <v>13.68</v>
      </c>
      <c r="AB290" s="40">
        <v>0</v>
      </c>
      <c r="AC290" s="52">
        <v>-13.68</v>
      </c>
      <c r="AD290" s="73">
        <v>109.52203897409913</v>
      </c>
      <c r="AE290" s="40">
        <v>154.12317950109974</v>
      </c>
      <c r="AF290" s="35">
        <v>44.601140527000609</v>
      </c>
      <c r="AG290" s="77">
        <v>123.20203897409914</v>
      </c>
      <c r="AH290" s="53">
        <v>154.12317950109974</v>
      </c>
      <c r="AI290" s="52">
        <v>30.921140527000603</v>
      </c>
      <c r="AJ290" s="73">
        <v>0</v>
      </c>
      <c r="AK290" s="40">
        <v>0</v>
      </c>
      <c r="AL290" s="52">
        <v>0</v>
      </c>
      <c r="AM290" s="73">
        <v>0</v>
      </c>
      <c r="AN290" s="40">
        <v>0</v>
      </c>
      <c r="AO290" s="52">
        <v>0</v>
      </c>
      <c r="AP290" s="73">
        <v>50.427666666666667</v>
      </c>
      <c r="AQ290" s="40">
        <v>0</v>
      </c>
      <c r="AR290" s="52">
        <v>-50.427666666666667</v>
      </c>
      <c r="AS290" s="73">
        <v>174.32648098700648</v>
      </c>
      <c r="AT290" s="40">
        <v>0</v>
      </c>
      <c r="AU290" s="54">
        <v>-174.32648098700648</v>
      </c>
      <c r="AV290" s="73">
        <v>0</v>
      </c>
      <c r="AW290" s="40">
        <v>0</v>
      </c>
      <c r="AX290" s="55">
        <v>0</v>
      </c>
      <c r="AY290" s="73">
        <v>0</v>
      </c>
      <c r="AZ290" s="40">
        <v>0</v>
      </c>
      <c r="BA290" s="35">
        <v>0</v>
      </c>
      <c r="BB290" s="73">
        <v>0</v>
      </c>
      <c r="BC290" s="40">
        <v>0</v>
      </c>
      <c r="BD290" s="55">
        <v>0</v>
      </c>
      <c r="BE290" s="73">
        <v>0</v>
      </c>
      <c r="BF290" s="40">
        <v>0</v>
      </c>
      <c r="BG290" s="38">
        <v>0</v>
      </c>
      <c r="BH290" s="73">
        <v>0</v>
      </c>
      <c r="BI290" s="40">
        <v>0</v>
      </c>
      <c r="BJ290" s="55">
        <v>0</v>
      </c>
      <c r="BK290" s="73">
        <v>0</v>
      </c>
      <c r="BL290" s="40">
        <v>0</v>
      </c>
      <c r="BM290" s="38">
        <v>0</v>
      </c>
      <c r="BN290" s="73">
        <v>3.42</v>
      </c>
      <c r="BO290" s="40">
        <v>0</v>
      </c>
      <c r="BP290" s="55">
        <v>-3.42</v>
      </c>
      <c r="BQ290" s="77">
        <v>3.42</v>
      </c>
      <c r="BR290" s="40">
        <v>0</v>
      </c>
      <c r="BS290" s="55">
        <v>-3.42</v>
      </c>
      <c r="BT290" s="73">
        <v>0</v>
      </c>
      <c r="BU290" s="40">
        <v>0</v>
      </c>
      <c r="BV290" s="52">
        <v>0</v>
      </c>
      <c r="BW290" s="73">
        <v>0</v>
      </c>
      <c r="BX290" s="40">
        <v>0.6348924784252773</v>
      </c>
      <c r="BY290" s="52">
        <v>0.6348924784252773</v>
      </c>
      <c r="BZ290" s="73">
        <v>0</v>
      </c>
      <c r="CA290" s="40">
        <v>0</v>
      </c>
      <c r="CB290" s="52">
        <v>0</v>
      </c>
      <c r="CC290" s="73">
        <v>0</v>
      </c>
      <c r="CD290" s="40">
        <v>0</v>
      </c>
      <c r="CE290" s="52">
        <v>0</v>
      </c>
      <c r="CF290" s="73">
        <v>0</v>
      </c>
      <c r="CG290" s="40">
        <v>0</v>
      </c>
      <c r="CH290" s="52">
        <v>0</v>
      </c>
      <c r="CI290" s="73">
        <v>0</v>
      </c>
      <c r="CJ290" s="40">
        <v>0</v>
      </c>
      <c r="CK290" s="52">
        <v>0</v>
      </c>
      <c r="CL290" s="73">
        <v>0</v>
      </c>
      <c r="CM290" s="40">
        <v>0</v>
      </c>
      <c r="CN290" s="52">
        <v>0</v>
      </c>
      <c r="CO290" s="39">
        <v>0</v>
      </c>
      <c r="CP290" s="40">
        <v>0</v>
      </c>
      <c r="CQ290" s="52">
        <v>0</v>
      </c>
      <c r="CR290" s="72">
        <v>351.37618662777226</v>
      </c>
      <c r="CS290" s="5">
        <v>154.75807197952503</v>
      </c>
      <c r="CT290" s="52">
        <v>-196.61811464824723</v>
      </c>
      <c r="CU290" s="77">
        <v>421.65142395332668</v>
      </c>
      <c r="CV290" s="65">
        <v>185.70968637543004</v>
      </c>
      <c r="CW290" s="35">
        <v>-235.94173757789665</v>
      </c>
      <c r="CX290" s="73">
        <v>23.542076873496026</v>
      </c>
      <c r="CY290" s="40">
        <v>259.48381445139262</v>
      </c>
      <c r="CZ290" s="52">
        <v>235.94173757789659</v>
      </c>
      <c r="DA290" s="150">
        <v>-2250.7699624006236</v>
      </c>
      <c r="DB290" s="2">
        <v>2</v>
      </c>
      <c r="DC290" s="648">
        <v>1943.98</v>
      </c>
      <c r="DD290" s="648"/>
      <c r="DE290" s="649">
        <v>1498.7864991731774</v>
      </c>
      <c r="DG290" s="321">
        <v>-3586.2045114305602</v>
      </c>
      <c r="DH290" s="5">
        <v>5342.3220099218724</v>
      </c>
      <c r="DI290" s="306">
        <v>1.2945438454707401</v>
      </c>
      <c r="DJ290" s="306"/>
      <c r="DK290" s="306"/>
      <c r="DL290" s="28">
        <v>221.36699757549655</v>
      </c>
      <c r="DM290" s="28">
        <v>0</v>
      </c>
      <c r="DN290" s="650">
        <v>221.36</v>
      </c>
      <c r="DO290" s="94">
        <v>6.9975754965412307E-3</v>
      </c>
      <c r="DP290" s="28">
        <v>221.36699757549655</v>
      </c>
      <c r="DQ290" s="318">
        <v>0</v>
      </c>
      <c r="DS290" s="8">
        <v>210.82571197666334</v>
      </c>
      <c r="DT290" s="5">
        <v>10.541285598833168</v>
      </c>
      <c r="DW290" s="5">
        <v>213.29577718440774</v>
      </c>
      <c r="DX290" s="5">
        <v>0</v>
      </c>
    </row>
    <row r="291" spans="1:128" x14ac:dyDescent="0.3">
      <c r="A291" s="325">
        <v>150000736</v>
      </c>
      <c r="B291" s="41" t="s">
        <v>737</v>
      </c>
      <c r="C291" s="42" t="s">
        <v>220</v>
      </c>
      <c r="D291" s="42" t="s">
        <v>220</v>
      </c>
      <c r="E291" s="293">
        <v>2901.8999999999996</v>
      </c>
      <c r="F291" s="305">
        <v>2708.7</v>
      </c>
      <c r="G291" s="51"/>
      <c r="H291" s="651">
        <v>193.2</v>
      </c>
      <c r="I291" s="73">
        <v>1333.2426002025547</v>
      </c>
      <c r="J291" s="40">
        <v>1484.8832728880429</v>
      </c>
      <c r="K291" s="52">
        <v>151.6406726854882</v>
      </c>
      <c r="L291" s="73">
        <v>284.10944410067265</v>
      </c>
      <c r="M291" s="40">
        <v>320.08340349228126</v>
      </c>
      <c r="N291" s="52">
        <v>35.973959391608616</v>
      </c>
      <c r="O291" s="73">
        <v>522.2222999206333</v>
      </c>
      <c r="P291" s="40">
        <v>522.22</v>
      </c>
      <c r="Q291" s="52">
        <v>-2.2999206332769973E-3</v>
      </c>
      <c r="R291" s="73">
        <v>0</v>
      </c>
      <c r="S291" s="40">
        <v>0</v>
      </c>
      <c r="T291" s="52">
        <v>0</v>
      </c>
      <c r="U291" s="73">
        <v>0</v>
      </c>
      <c r="V291" s="40">
        <v>0</v>
      </c>
      <c r="W291" s="52">
        <v>0</v>
      </c>
      <c r="X291" s="73">
        <v>775.29395614071359</v>
      </c>
      <c r="Y291" s="40">
        <v>824.77557869877182</v>
      </c>
      <c r="Z291" s="52">
        <v>49.481622558058234</v>
      </c>
      <c r="AA291" s="73">
        <v>227.75199999999998</v>
      </c>
      <c r="AB291" s="40">
        <v>0</v>
      </c>
      <c r="AC291" s="52">
        <v>-227.75199999999998</v>
      </c>
      <c r="AD291" s="73">
        <v>2045.4982938303779</v>
      </c>
      <c r="AE291" s="40">
        <v>2615.4973952879609</v>
      </c>
      <c r="AF291" s="35">
        <v>569.99910145758304</v>
      </c>
      <c r="AG291" s="77">
        <v>5188.1185941949525</v>
      </c>
      <c r="AH291" s="53">
        <v>5767.4596503670573</v>
      </c>
      <c r="AI291" s="52">
        <v>579.3410561721048</v>
      </c>
      <c r="AJ291" s="73">
        <v>0</v>
      </c>
      <c r="AK291" s="40">
        <v>0</v>
      </c>
      <c r="AL291" s="52">
        <v>0</v>
      </c>
      <c r="AM291" s="73">
        <v>0</v>
      </c>
      <c r="AN291" s="40">
        <v>0</v>
      </c>
      <c r="AO291" s="52">
        <v>0</v>
      </c>
      <c r="AP291" s="73">
        <v>1191.353625</v>
      </c>
      <c r="AQ291" s="40">
        <v>3513.5025945144553</v>
      </c>
      <c r="AR291" s="52">
        <v>2322.1489695144555</v>
      </c>
      <c r="AS291" s="73">
        <v>2818.4253719012377</v>
      </c>
      <c r="AT291" s="40">
        <v>1340</v>
      </c>
      <c r="AU291" s="54">
        <v>-1478.4253719012377</v>
      </c>
      <c r="AV291" s="73">
        <v>531.89065514096626</v>
      </c>
      <c r="AW291" s="40">
        <v>0</v>
      </c>
      <c r="AX291" s="55">
        <v>-531.89065514096626</v>
      </c>
      <c r="AY291" s="73">
        <v>786.33698710105307</v>
      </c>
      <c r="AZ291" s="40">
        <v>0</v>
      </c>
      <c r="BA291" s="35">
        <v>-786.33698710105307</v>
      </c>
      <c r="BB291" s="73">
        <v>198.72299199179321</v>
      </c>
      <c r="BC291" s="40">
        <v>1405</v>
      </c>
      <c r="BD291" s="55">
        <v>1206.2770080082068</v>
      </c>
      <c r="BE291" s="73">
        <v>0</v>
      </c>
      <c r="BF291" s="40">
        <v>0</v>
      </c>
      <c r="BG291" s="38">
        <v>0</v>
      </c>
      <c r="BH291" s="73">
        <v>0</v>
      </c>
      <c r="BI291" s="40">
        <v>0</v>
      </c>
      <c r="BJ291" s="55">
        <v>0</v>
      </c>
      <c r="BK291" s="73">
        <v>543.34320399363253</v>
      </c>
      <c r="BL291" s="40">
        <v>0</v>
      </c>
      <c r="BM291" s="38">
        <v>-543.34320399363253</v>
      </c>
      <c r="BN291" s="73">
        <v>56.937999999999995</v>
      </c>
      <c r="BO291" s="40">
        <v>0</v>
      </c>
      <c r="BP291" s="55">
        <v>-56.937999999999995</v>
      </c>
      <c r="BQ291" s="77">
        <v>2117.2318382274452</v>
      </c>
      <c r="BR291" s="40">
        <v>1405</v>
      </c>
      <c r="BS291" s="55">
        <v>-712.23183822744522</v>
      </c>
      <c r="BT291" s="73">
        <v>1951.729285512748</v>
      </c>
      <c r="BU291" s="40">
        <v>626.22230133389439</v>
      </c>
      <c r="BV291" s="52">
        <v>-1325.5069841788536</v>
      </c>
      <c r="BW291" s="73">
        <v>1997.3597986916141</v>
      </c>
      <c r="BX291" s="40">
        <v>2100.7568461147112</v>
      </c>
      <c r="BY291" s="52">
        <v>103.39704742309709</v>
      </c>
      <c r="BZ291" s="73">
        <v>1324.2261627223379</v>
      </c>
      <c r="CA291" s="40">
        <v>4190.1392145283653</v>
      </c>
      <c r="CB291" s="52">
        <v>2865.9130518060274</v>
      </c>
      <c r="CC291" s="73">
        <v>77.734878512500003</v>
      </c>
      <c r="CD291" s="40">
        <v>98.08318341729867</v>
      </c>
      <c r="CE291" s="52">
        <v>20.348304904798667</v>
      </c>
      <c r="CF291" s="73">
        <v>9.2358271500000004</v>
      </c>
      <c r="CG291" s="40">
        <v>0</v>
      </c>
      <c r="CH291" s="52">
        <v>-9.2358271500000004</v>
      </c>
      <c r="CI291" s="73">
        <v>679</v>
      </c>
      <c r="CJ291" s="40">
        <v>558.22191500396912</v>
      </c>
      <c r="CK291" s="52">
        <v>-120.77808499603088</v>
      </c>
      <c r="CL291" s="73">
        <v>0</v>
      </c>
      <c r="CM291" s="40">
        <v>0</v>
      </c>
      <c r="CN291" s="52">
        <v>0</v>
      </c>
      <c r="CO291" s="39">
        <v>679</v>
      </c>
      <c r="CP291" s="40">
        <v>558.22191500396912</v>
      </c>
      <c r="CQ291" s="52">
        <v>-120.77808499603088</v>
      </c>
      <c r="CR291" s="72">
        <v>17354.415381912837</v>
      </c>
      <c r="CS291" s="5">
        <v>19599.385705279754</v>
      </c>
      <c r="CT291" s="52">
        <v>2244.970323366917</v>
      </c>
      <c r="CU291" s="77">
        <v>20825.298458295405</v>
      </c>
      <c r="CV291" s="65">
        <v>23519.262846335703</v>
      </c>
      <c r="CW291" s="35">
        <v>2693.9643880402982</v>
      </c>
      <c r="CX291" s="73">
        <v>1162.739526934356</v>
      </c>
      <c r="CY291" s="40">
        <v>-1531.2248611059404</v>
      </c>
      <c r="CZ291" s="52">
        <v>-2693.9643880402964</v>
      </c>
      <c r="DA291" s="150">
        <v>25955.19745243428</v>
      </c>
      <c r="DB291" s="2">
        <v>2</v>
      </c>
      <c r="DC291" s="648">
        <v>9261.2999999999993</v>
      </c>
      <c r="DD291" s="648">
        <v>2396.9699999999998</v>
      </c>
      <c r="DE291" s="649">
        <v>-10329.767985229764</v>
      </c>
      <c r="DG291" s="321">
        <v>-22881.500736182821</v>
      </c>
      <c r="DH291" s="5">
        <v>263856.45582275715</v>
      </c>
      <c r="DI291" s="306">
        <v>3.8629677949038363</v>
      </c>
      <c r="DJ291" s="306"/>
      <c r="DK291" s="306">
        <v>3.3984140705431773</v>
      </c>
      <c r="DL291" s="28">
        <v>10463.620866056021</v>
      </c>
      <c r="DM291" s="28">
        <v>656.57359842894186</v>
      </c>
      <c r="DN291" s="650">
        <v>10463.74</v>
      </c>
      <c r="DO291" s="94">
        <v>-0.11913394397925003</v>
      </c>
      <c r="DP291" s="28">
        <v>11120.194464484963</v>
      </c>
      <c r="DQ291" s="318">
        <v>186.91277387987429</v>
      </c>
      <c r="DS291" s="8">
        <v>10412.649229147702</v>
      </c>
      <c r="DT291" s="5">
        <v>520.63246145738515</v>
      </c>
      <c r="DW291" s="5">
        <v>5922.7886521544197</v>
      </c>
      <c r="DX291" s="5">
        <v>3294</v>
      </c>
    </row>
    <row r="292" spans="1:128" x14ac:dyDescent="0.3">
      <c r="A292" s="325">
        <v>150000743</v>
      </c>
      <c r="B292" s="41" t="s">
        <v>738</v>
      </c>
      <c r="C292" s="42" t="s">
        <v>221</v>
      </c>
      <c r="D292" s="42" t="s">
        <v>221</v>
      </c>
      <c r="E292" s="293">
        <v>2296.6999999999998</v>
      </c>
      <c r="F292" s="305">
        <v>1773.9</v>
      </c>
      <c r="G292" s="51"/>
      <c r="H292" s="651">
        <v>522.79999999999995</v>
      </c>
      <c r="I292" s="73">
        <v>1122.9403964931259</v>
      </c>
      <c r="J292" s="40">
        <v>1245.3684315342134</v>
      </c>
      <c r="K292" s="52">
        <v>122.42803504108747</v>
      </c>
      <c r="L292" s="73">
        <v>212.60667391931233</v>
      </c>
      <c r="M292" s="40">
        <v>239.5271333007172</v>
      </c>
      <c r="N292" s="52">
        <v>26.920459381404868</v>
      </c>
      <c r="O292" s="73">
        <v>379.4586863490033</v>
      </c>
      <c r="P292" s="40">
        <v>379.46</v>
      </c>
      <c r="Q292" s="52">
        <v>1.3136509966784615E-3</v>
      </c>
      <c r="R292" s="73">
        <v>0</v>
      </c>
      <c r="S292" s="40">
        <v>0</v>
      </c>
      <c r="T292" s="52">
        <v>0</v>
      </c>
      <c r="U292" s="73">
        <v>0</v>
      </c>
      <c r="V292" s="40">
        <v>0</v>
      </c>
      <c r="W292" s="52">
        <v>0</v>
      </c>
      <c r="X292" s="73">
        <v>531.14043633315737</v>
      </c>
      <c r="Y292" s="40">
        <v>550.4849509181081</v>
      </c>
      <c r="Z292" s="52">
        <v>19.34451458495073</v>
      </c>
      <c r="AA292" s="73">
        <v>183.73600000000002</v>
      </c>
      <c r="AB292" s="40">
        <v>0</v>
      </c>
      <c r="AC292" s="52">
        <v>-183.73600000000002</v>
      </c>
      <c r="AD292" s="73">
        <v>1635.0685851889236</v>
      </c>
      <c r="AE292" s="40">
        <v>2070.027522574127</v>
      </c>
      <c r="AF292" s="35">
        <v>434.9589373852034</v>
      </c>
      <c r="AG292" s="77">
        <v>4064.9507782835226</v>
      </c>
      <c r="AH292" s="53">
        <v>4484.8680383271658</v>
      </c>
      <c r="AI292" s="52">
        <v>419.91726004364318</v>
      </c>
      <c r="AJ292" s="73">
        <v>0</v>
      </c>
      <c r="AK292" s="40">
        <v>0</v>
      </c>
      <c r="AL292" s="52">
        <v>0</v>
      </c>
      <c r="AM292" s="73">
        <v>0</v>
      </c>
      <c r="AN292" s="40">
        <v>0</v>
      </c>
      <c r="AO292" s="52">
        <v>0</v>
      </c>
      <c r="AP292" s="73">
        <v>813.14612499999987</v>
      </c>
      <c r="AQ292" s="40">
        <v>2398.1049454622471</v>
      </c>
      <c r="AR292" s="52">
        <v>1584.9588204622473</v>
      </c>
      <c r="AS292" s="73">
        <v>1888.7733621436403</v>
      </c>
      <c r="AT292" s="40">
        <v>0</v>
      </c>
      <c r="AU292" s="54">
        <v>-1888.7733621436403</v>
      </c>
      <c r="AV292" s="73">
        <v>490.43355974460161</v>
      </c>
      <c r="AW292" s="40">
        <v>0</v>
      </c>
      <c r="AX292" s="55">
        <v>-490.43355974460161</v>
      </c>
      <c r="AY292" s="73">
        <v>588.40808061732162</v>
      </c>
      <c r="AZ292" s="40">
        <v>0</v>
      </c>
      <c r="BA292" s="35">
        <v>-588.40808061732162</v>
      </c>
      <c r="BB292" s="73">
        <v>114.27881447829</v>
      </c>
      <c r="BC292" s="40">
        <v>0</v>
      </c>
      <c r="BD292" s="55">
        <v>-114.27881447829</v>
      </c>
      <c r="BE292" s="73">
        <v>0</v>
      </c>
      <c r="BF292" s="40">
        <v>0</v>
      </c>
      <c r="BG292" s="38">
        <v>0</v>
      </c>
      <c r="BH292" s="73">
        <v>0</v>
      </c>
      <c r="BI292" s="40">
        <v>0</v>
      </c>
      <c r="BJ292" s="55">
        <v>0</v>
      </c>
      <c r="BK292" s="73">
        <v>321.44809662666898</v>
      </c>
      <c r="BL292" s="40">
        <v>985</v>
      </c>
      <c r="BM292" s="38">
        <v>663.55190337333102</v>
      </c>
      <c r="BN292" s="73">
        <v>45.934000000000005</v>
      </c>
      <c r="BO292" s="40">
        <v>1409</v>
      </c>
      <c r="BP292" s="55">
        <v>1363.066</v>
      </c>
      <c r="BQ292" s="77">
        <v>1560.5025514668823</v>
      </c>
      <c r="BR292" s="40">
        <v>2394</v>
      </c>
      <c r="BS292" s="55">
        <v>833.49744853311768</v>
      </c>
      <c r="BT292" s="73">
        <v>1441.8307157297361</v>
      </c>
      <c r="BU292" s="40">
        <v>472.56852250217844</v>
      </c>
      <c r="BV292" s="52">
        <v>-969.26219322755765</v>
      </c>
      <c r="BW292" s="73">
        <v>1202.2872611046359</v>
      </c>
      <c r="BX292" s="40">
        <v>1124.3034151933591</v>
      </c>
      <c r="BY292" s="52">
        <v>-77.983845911276831</v>
      </c>
      <c r="BZ292" s="73">
        <v>1004.970083124936</v>
      </c>
      <c r="CA292" s="40">
        <v>2973.9481478131952</v>
      </c>
      <c r="CB292" s="52">
        <v>1968.9780646882591</v>
      </c>
      <c r="CC292" s="73">
        <v>214.14335574500001</v>
      </c>
      <c r="CD292" s="40">
        <v>270.19868611173285</v>
      </c>
      <c r="CE292" s="52">
        <v>56.055330366732846</v>
      </c>
      <c r="CF292" s="73">
        <v>25.44277494</v>
      </c>
      <c r="CG292" s="40">
        <v>0</v>
      </c>
      <c r="CH292" s="52">
        <v>-25.44277494</v>
      </c>
      <c r="CI292" s="73">
        <v>308.36</v>
      </c>
      <c r="CJ292" s="40">
        <v>133.50538084120276</v>
      </c>
      <c r="CK292" s="52">
        <v>-174.85461915879725</v>
      </c>
      <c r="CL292" s="73">
        <v>0</v>
      </c>
      <c r="CM292" s="40">
        <v>0</v>
      </c>
      <c r="CN292" s="52">
        <v>0</v>
      </c>
      <c r="CO292" s="39">
        <v>308.36</v>
      </c>
      <c r="CP292" s="40">
        <v>133.50538084120276</v>
      </c>
      <c r="CQ292" s="52">
        <v>-174.85461915879725</v>
      </c>
      <c r="CR292" s="72">
        <v>12524.407007538355</v>
      </c>
      <c r="CS292" s="5">
        <v>14251.497136251081</v>
      </c>
      <c r="CT292" s="52">
        <v>1727.0901287127253</v>
      </c>
      <c r="CU292" s="77">
        <v>15029.288409046025</v>
      </c>
      <c r="CV292" s="65">
        <v>17101.796563501295</v>
      </c>
      <c r="CW292" s="35">
        <v>2072.5081544552704</v>
      </c>
      <c r="CX292" s="73">
        <v>839.13072025785289</v>
      </c>
      <c r="CY292" s="40">
        <v>-1233.3774341974167</v>
      </c>
      <c r="CZ292" s="52">
        <v>-2072.5081544552695</v>
      </c>
      <c r="DA292" s="150">
        <v>-28726.999691776826</v>
      </c>
      <c r="DB292" s="2">
        <v>2</v>
      </c>
      <c r="DC292" s="648">
        <v>43892.36</v>
      </c>
      <c r="DD292" s="648">
        <v>2662.0299999999997</v>
      </c>
      <c r="DE292" s="649">
        <v>30685.970870696121</v>
      </c>
      <c r="DG292" s="321">
        <v>52472.556944864373</v>
      </c>
      <c r="DH292" s="5">
        <v>190421.02955164656</v>
      </c>
      <c r="DI292" s="306">
        <v>3.5255067552268029</v>
      </c>
      <c r="DJ292" s="306"/>
      <c r="DK292" s="306">
        <v>3.1057323291040362</v>
      </c>
      <c r="DL292" s="28">
        <v>6253.8964330968256</v>
      </c>
      <c r="DM292" s="28">
        <v>1623.6768616555901</v>
      </c>
      <c r="DN292" s="650">
        <v>6253.86</v>
      </c>
      <c r="DO292" s="94">
        <v>3.6433096825930988E-2</v>
      </c>
      <c r="DP292" s="28">
        <v>7877.5732947524157</v>
      </c>
      <c r="DQ292" s="318">
        <v>-12.803119996747228</v>
      </c>
      <c r="DS292" s="8">
        <v>7514.6442045230124</v>
      </c>
      <c r="DT292" s="5">
        <v>375.7322102261507</v>
      </c>
      <c r="DW292" s="5">
        <v>4139.1310963326268</v>
      </c>
      <c r="DX292" s="5">
        <v>2872.7999999999997</v>
      </c>
    </row>
    <row r="293" spans="1:128" x14ac:dyDescent="0.3">
      <c r="A293" s="325">
        <v>150000737</v>
      </c>
      <c r="B293" s="41" t="s">
        <v>739</v>
      </c>
      <c r="C293" s="42" t="s">
        <v>222</v>
      </c>
      <c r="D293" s="42" t="s">
        <v>222</v>
      </c>
      <c r="E293" s="293">
        <v>2573.3999999999996</v>
      </c>
      <c r="F293" s="305">
        <v>2311.6999999999998</v>
      </c>
      <c r="G293" s="51"/>
      <c r="H293" s="651">
        <v>261.7</v>
      </c>
      <c r="I293" s="73">
        <v>1452.7353704813213</v>
      </c>
      <c r="J293" s="40">
        <v>1610.3543514916928</v>
      </c>
      <c r="K293" s="52">
        <v>157.6189810103715</v>
      </c>
      <c r="L293" s="73">
        <v>281.56055032594185</v>
      </c>
      <c r="M293" s="40">
        <v>317.21160896581461</v>
      </c>
      <c r="N293" s="52">
        <v>35.651058639872758</v>
      </c>
      <c r="O293" s="73">
        <v>551.35532064012659</v>
      </c>
      <c r="P293" s="40">
        <v>551.36</v>
      </c>
      <c r="Q293" s="52">
        <v>4.6793598734211628E-3</v>
      </c>
      <c r="R293" s="73">
        <v>0</v>
      </c>
      <c r="S293" s="40">
        <v>0</v>
      </c>
      <c r="T293" s="52">
        <v>0</v>
      </c>
      <c r="U293" s="73">
        <v>0</v>
      </c>
      <c r="V293" s="40">
        <v>0</v>
      </c>
      <c r="W293" s="52">
        <v>0</v>
      </c>
      <c r="X293" s="73">
        <v>759.91080124208713</v>
      </c>
      <c r="Y293" s="40">
        <v>806.60878334178051</v>
      </c>
      <c r="Z293" s="52">
        <v>46.697982099693377</v>
      </c>
      <c r="AA293" s="73">
        <v>205.928</v>
      </c>
      <c r="AB293" s="40">
        <v>0</v>
      </c>
      <c r="AC293" s="52">
        <v>-205.928</v>
      </c>
      <c r="AD293" s="73">
        <v>1846.5408469505171</v>
      </c>
      <c r="AE293" s="40">
        <v>2319.4186557200583</v>
      </c>
      <c r="AF293" s="35">
        <v>472.87780876954116</v>
      </c>
      <c r="AG293" s="77">
        <v>5098.0308896399938</v>
      </c>
      <c r="AH293" s="53">
        <v>5604.953399519346</v>
      </c>
      <c r="AI293" s="52">
        <v>506.92250987935222</v>
      </c>
      <c r="AJ293" s="73">
        <v>0</v>
      </c>
      <c r="AK293" s="40">
        <v>0</v>
      </c>
      <c r="AL293" s="52">
        <v>0</v>
      </c>
      <c r="AM293" s="73">
        <v>0</v>
      </c>
      <c r="AN293" s="40">
        <v>0</v>
      </c>
      <c r="AO293" s="52">
        <v>0</v>
      </c>
      <c r="AP293" s="73">
        <v>1096.8017499999999</v>
      </c>
      <c r="AQ293" s="40">
        <v>0</v>
      </c>
      <c r="AR293" s="52">
        <v>-1096.8017499999999</v>
      </c>
      <c r="AS293" s="73">
        <v>2849.8086173349088</v>
      </c>
      <c r="AT293" s="40">
        <v>0</v>
      </c>
      <c r="AU293" s="54">
        <v>-2849.8086173349088</v>
      </c>
      <c r="AV293" s="73">
        <v>639.4117436497047</v>
      </c>
      <c r="AW293" s="40">
        <v>0</v>
      </c>
      <c r="AX293" s="55">
        <v>-639.4117436497047</v>
      </c>
      <c r="AY293" s="73">
        <v>779.32663864508982</v>
      </c>
      <c r="AZ293" s="40">
        <v>0</v>
      </c>
      <c r="BA293" s="35">
        <v>-779.32663864508982</v>
      </c>
      <c r="BB293" s="73">
        <v>162.35077962254002</v>
      </c>
      <c r="BC293" s="40">
        <v>1577</v>
      </c>
      <c r="BD293" s="55">
        <v>1414.6492203774601</v>
      </c>
      <c r="BE293" s="73">
        <v>0</v>
      </c>
      <c r="BF293" s="40">
        <v>0</v>
      </c>
      <c r="BG293" s="38">
        <v>0</v>
      </c>
      <c r="BH293" s="73">
        <v>0</v>
      </c>
      <c r="BI293" s="40">
        <v>0</v>
      </c>
      <c r="BJ293" s="55">
        <v>0</v>
      </c>
      <c r="BK293" s="73">
        <v>524.71757482040198</v>
      </c>
      <c r="BL293" s="40">
        <v>0</v>
      </c>
      <c r="BM293" s="38">
        <v>-524.71757482040198</v>
      </c>
      <c r="BN293" s="73">
        <v>51.481999999999999</v>
      </c>
      <c r="BO293" s="40">
        <v>0</v>
      </c>
      <c r="BP293" s="55">
        <v>-51.481999999999999</v>
      </c>
      <c r="BQ293" s="77">
        <v>2157.2887367377361</v>
      </c>
      <c r="BR293" s="40">
        <v>1577</v>
      </c>
      <c r="BS293" s="55">
        <v>-580.28873673773614</v>
      </c>
      <c r="BT293" s="73">
        <v>1743.568113773222</v>
      </c>
      <c r="BU293" s="40">
        <v>572.82251210575794</v>
      </c>
      <c r="BV293" s="52">
        <v>-1170.7456016674641</v>
      </c>
      <c r="BW293" s="73">
        <v>1514.787233821168</v>
      </c>
      <c r="BX293" s="40">
        <v>1647.0676070631557</v>
      </c>
      <c r="BY293" s="52">
        <v>132.28037324198772</v>
      </c>
      <c r="BZ293" s="73">
        <v>1272.3080317456261</v>
      </c>
      <c r="CA293" s="40">
        <v>3869.407619592138</v>
      </c>
      <c r="CB293" s="52">
        <v>2597.0995878465119</v>
      </c>
      <c r="CC293" s="73">
        <v>127.24072743249999</v>
      </c>
      <c r="CD293" s="40">
        <v>160.54795280738176</v>
      </c>
      <c r="CE293" s="52">
        <v>33.307225374881767</v>
      </c>
      <c r="CF293" s="73">
        <v>15.11771019</v>
      </c>
      <c r="CG293" s="40">
        <v>0</v>
      </c>
      <c r="CH293" s="52">
        <v>-15.11771019</v>
      </c>
      <c r="CI293" s="73">
        <v>756.86</v>
      </c>
      <c r="CJ293" s="40">
        <v>714.66870486594075</v>
      </c>
      <c r="CK293" s="52">
        <v>-42.19129513405926</v>
      </c>
      <c r="CL293" s="73">
        <v>0</v>
      </c>
      <c r="CM293" s="40">
        <v>0</v>
      </c>
      <c r="CN293" s="52">
        <v>0</v>
      </c>
      <c r="CO293" s="39">
        <v>756.86</v>
      </c>
      <c r="CP293" s="40">
        <v>714.66870486594075</v>
      </c>
      <c r="CQ293" s="52">
        <v>-42.19129513405926</v>
      </c>
      <c r="CR293" s="72">
        <v>16631.811810675154</v>
      </c>
      <c r="CS293" s="5">
        <v>14146.467795953718</v>
      </c>
      <c r="CT293" s="52">
        <v>-2485.3440147214351</v>
      </c>
      <c r="CU293" s="77">
        <v>19958.174172810184</v>
      </c>
      <c r="CV293" s="65">
        <v>16975.761355144463</v>
      </c>
      <c r="CW293" s="35">
        <v>-2982.4128176657214</v>
      </c>
      <c r="CX293" s="73">
        <v>1114.3253501331221</v>
      </c>
      <c r="CY293" s="40">
        <v>4096.7381677988451</v>
      </c>
      <c r="CZ293" s="52">
        <v>2982.4128176657232</v>
      </c>
      <c r="DA293" s="150">
        <v>19780.633095302725</v>
      </c>
      <c r="DB293" s="2">
        <v>2</v>
      </c>
      <c r="DC293" s="648">
        <v>41495.78</v>
      </c>
      <c r="DD293" s="648">
        <v>1703.2</v>
      </c>
      <c r="DE293" s="649">
        <v>22126.480477056688</v>
      </c>
      <c r="DG293" s="321">
        <v>8593.6641475588694</v>
      </c>
      <c r="DH293" s="5">
        <v>252869.99427531968</v>
      </c>
      <c r="DI293" s="306">
        <v>4.1015599817272577</v>
      </c>
      <c r="DJ293" s="306"/>
      <c r="DK293" s="306">
        <v>3.6998273118441443</v>
      </c>
      <c r="DL293" s="28">
        <v>9481.5762097589013</v>
      </c>
      <c r="DM293" s="28">
        <v>968.24480750961254</v>
      </c>
      <c r="DN293" s="650">
        <v>9481.69</v>
      </c>
      <c r="DO293" s="94">
        <v>-0.11379024109919555</v>
      </c>
      <c r="DP293" s="28">
        <v>10449.821017268514</v>
      </c>
      <c r="DQ293" s="318">
        <v>-28.220423456832577</v>
      </c>
      <c r="DS293" s="8">
        <v>9979.0870864050921</v>
      </c>
      <c r="DT293" s="5">
        <v>498.95435432025459</v>
      </c>
      <c r="DW293" s="5">
        <v>6008.5168248871732</v>
      </c>
      <c r="DX293" s="5">
        <v>1892.3999999999999</v>
      </c>
    </row>
    <row r="294" spans="1:128" x14ac:dyDescent="0.3">
      <c r="A294" s="325">
        <v>150000738</v>
      </c>
      <c r="B294" s="41" t="s">
        <v>740</v>
      </c>
      <c r="C294" s="42" t="s">
        <v>290</v>
      </c>
      <c r="D294" s="42" t="s">
        <v>290</v>
      </c>
      <c r="E294" s="293">
        <v>3568.1</v>
      </c>
      <c r="F294" s="305">
        <v>3568.1</v>
      </c>
      <c r="G294" s="51"/>
      <c r="H294" s="651">
        <v>0</v>
      </c>
      <c r="I294" s="73">
        <v>1772.8459380462157</v>
      </c>
      <c r="J294" s="40">
        <v>1968.3146517313205</v>
      </c>
      <c r="K294" s="52">
        <v>195.46871368510483</v>
      </c>
      <c r="L294" s="73">
        <v>321.69680630017717</v>
      </c>
      <c r="M294" s="40">
        <v>362.43020413678926</v>
      </c>
      <c r="N294" s="52">
        <v>40.733397836612085</v>
      </c>
      <c r="O294" s="73">
        <v>696.28904788197656</v>
      </c>
      <c r="P294" s="40">
        <v>696.28</v>
      </c>
      <c r="Q294" s="52">
        <v>-9.0478819765849039E-3</v>
      </c>
      <c r="R294" s="73">
        <v>0</v>
      </c>
      <c r="S294" s="40">
        <v>0</v>
      </c>
      <c r="T294" s="52">
        <v>0</v>
      </c>
      <c r="U294" s="73">
        <v>0</v>
      </c>
      <c r="V294" s="40">
        <v>0</v>
      </c>
      <c r="W294" s="52">
        <v>0</v>
      </c>
      <c r="X294" s="73">
        <v>858.96612190244275</v>
      </c>
      <c r="Y294" s="40">
        <v>913.82244588472815</v>
      </c>
      <c r="Z294" s="52">
        <v>54.856323982285403</v>
      </c>
      <c r="AA294" s="73">
        <v>285.44799999999998</v>
      </c>
      <c r="AB294" s="40">
        <v>0</v>
      </c>
      <c r="AC294" s="52">
        <v>-285.44799999999998</v>
      </c>
      <c r="AD294" s="73">
        <v>2570.5231670192843</v>
      </c>
      <c r="AE294" s="40">
        <v>3215.9468817419529</v>
      </c>
      <c r="AF294" s="35">
        <v>645.42371472266859</v>
      </c>
      <c r="AG294" s="77">
        <v>6505.7690811500961</v>
      </c>
      <c r="AH294" s="53">
        <v>7156.7941834947906</v>
      </c>
      <c r="AI294" s="52">
        <v>651.02510234469446</v>
      </c>
      <c r="AJ294" s="73">
        <v>0</v>
      </c>
      <c r="AK294" s="40">
        <v>0</v>
      </c>
      <c r="AL294" s="52">
        <v>0</v>
      </c>
      <c r="AM294" s="73">
        <v>0</v>
      </c>
      <c r="AN294" s="40">
        <v>0</v>
      </c>
      <c r="AO294" s="52">
        <v>0</v>
      </c>
      <c r="AP294" s="73">
        <v>1512.83</v>
      </c>
      <c r="AQ294" s="40">
        <v>0</v>
      </c>
      <c r="AR294" s="52">
        <v>-1512.83</v>
      </c>
      <c r="AS294" s="73">
        <v>6583.5598860034652</v>
      </c>
      <c r="AT294" s="40">
        <v>1196</v>
      </c>
      <c r="AU294" s="54">
        <v>-5387.5598860034652</v>
      </c>
      <c r="AV294" s="73">
        <v>761.95383285638218</v>
      </c>
      <c r="AW294" s="40">
        <v>0</v>
      </c>
      <c r="AX294" s="55">
        <v>-761.95383285638218</v>
      </c>
      <c r="AY294" s="73">
        <v>890.34468128668141</v>
      </c>
      <c r="AZ294" s="40">
        <v>0</v>
      </c>
      <c r="BA294" s="35">
        <v>-890.34468128668141</v>
      </c>
      <c r="BB294" s="73">
        <v>265.81095294742317</v>
      </c>
      <c r="BC294" s="40">
        <v>0</v>
      </c>
      <c r="BD294" s="55">
        <v>-265.81095294742317</v>
      </c>
      <c r="BE294" s="73">
        <v>0</v>
      </c>
      <c r="BF294" s="40">
        <v>0</v>
      </c>
      <c r="BG294" s="38">
        <v>0</v>
      </c>
      <c r="BH294" s="73">
        <v>0</v>
      </c>
      <c r="BI294" s="40">
        <v>0</v>
      </c>
      <c r="BJ294" s="55">
        <v>0</v>
      </c>
      <c r="BK294" s="73">
        <v>591.60209225687936</v>
      </c>
      <c r="BL294" s="40">
        <v>0</v>
      </c>
      <c r="BM294" s="38">
        <v>-591.60209225687936</v>
      </c>
      <c r="BN294" s="73">
        <v>71.361999999999995</v>
      </c>
      <c r="BO294" s="40">
        <v>0</v>
      </c>
      <c r="BP294" s="55">
        <v>-71.361999999999995</v>
      </c>
      <c r="BQ294" s="77">
        <v>2581.0735593473664</v>
      </c>
      <c r="BR294" s="40">
        <v>0</v>
      </c>
      <c r="BS294" s="55">
        <v>-2581.0735593473664</v>
      </c>
      <c r="BT294" s="73">
        <v>2919.09832133382</v>
      </c>
      <c r="BU294" s="40">
        <v>783.60075250391469</v>
      </c>
      <c r="BV294" s="52">
        <v>-2135.4975688299055</v>
      </c>
      <c r="BW294" s="73">
        <v>1898.1536891750779</v>
      </c>
      <c r="BX294" s="40">
        <v>2014.4483926044304</v>
      </c>
      <c r="BY294" s="52">
        <v>116.29470342935247</v>
      </c>
      <c r="BZ294" s="73">
        <v>1090.6323861284559</v>
      </c>
      <c r="CA294" s="40">
        <v>5096.5481115779603</v>
      </c>
      <c r="CB294" s="52">
        <v>4005.9157254495044</v>
      </c>
      <c r="CC294" s="73">
        <v>269.83743578000002</v>
      </c>
      <c r="CD294" s="40">
        <v>340.47155167557628</v>
      </c>
      <c r="CE294" s="52">
        <v>70.634115895576258</v>
      </c>
      <c r="CF294" s="73">
        <v>32.059893359999997</v>
      </c>
      <c r="CG294" s="40">
        <v>0</v>
      </c>
      <c r="CH294" s="52">
        <v>-32.059893359999997</v>
      </c>
      <c r="CI294" s="73">
        <v>897.02</v>
      </c>
      <c r="CJ294" s="40">
        <v>1726.5740098927904</v>
      </c>
      <c r="CK294" s="52">
        <v>829.55400989279042</v>
      </c>
      <c r="CL294" s="73">
        <v>0</v>
      </c>
      <c r="CM294" s="40">
        <v>0</v>
      </c>
      <c r="CN294" s="52">
        <v>0</v>
      </c>
      <c r="CO294" s="39">
        <v>897.02</v>
      </c>
      <c r="CP294" s="40">
        <v>1726.5740098927904</v>
      </c>
      <c r="CQ294" s="52">
        <v>829.55400989279042</v>
      </c>
      <c r="CR294" s="72">
        <v>24290.034252278278</v>
      </c>
      <c r="CS294" s="5">
        <v>18314.437001749462</v>
      </c>
      <c r="CT294" s="52">
        <v>-5975.5972505288155</v>
      </c>
      <c r="CU294" s="77">
        <v>29148.041102733932</v>
      </c>
      <c r="CV294" s="65">
        <v>21977.324402099355</v>
      </c>
      <c r="CW294" s="35">
        <v>-7170.7167006345771</v>
      </c>
      <c r="CX294" s="73">
        <v>1627.4234720201996</v>
      </c>
      <c r="CY294" s="40">
        <v>8798.1401726547774</v>
      </c>
      <c r="CZ294" s="52">
        <v>7170.716700634578</v>
      </c>
      <c r="DA294" s="150">
        <v>33527.14129378269</v>
      </c>
      <c r="DB294" s="2">
        <v>2</v>
      </c>
      <c r="DC294" s="648">
        <v>32912.879999999997</v>
      </c>
      <c r="DD294" s="648"/>
      <c r="DE294" s="649">
        <v>2137.4154252458648</v>
      </c>
      <c r="DG294" s="321">
        <v>50227.294595843763</v>
      </c>
      <c r="DH294" s="5">
        <v>369305.57489704958</v>
      </c>
      <c r="DI294" s="306">
        <v>4.2887591656442678</v>
      </c>
      <c r="DJ294" s="306"/>
      <c r="DK294" s="306"/>
      <c r="DL294" s="28">
        <v>15302.721578935312</v>
      </c>
      <c r="DM294" s="28">
        <v>0</v>
      </c>
      <c r="DN294" s="650">
        <v>15302.87</v>
      </c>
      <c r="DO294" s="94">
        <v>-0.14842106468859129</v>
      </c>
      <c r="DP294" s="28">
        <v>15302.721578935312</v>
      </c>
      <c r="DQ294" s="318">
        <v>0</v>
      </c>
      <c r="DS294" s="8">
        <v>14574.020551366966</v>
      </c>
      <c r="DT294" s="5">
        <v>728.70102756834831</v>
      </c>
      <c r="DW294" s="5">
        <v>10997.560134420997</v>
      </c>
      <c r="DX294" s="5">
        <v>1435.2</v>
      </c>
    </row>
    <row r="295" spans="1:128" x14ac:dyDescent="0.3">
      <c r="A295" s="325">
        <v>150000739</v>
      </c>
      <c r="B295" s="41" t="s">
        <v>741</v>
      </c>
      <c r="C295" s="42" t="s">
        <v>223</v>
      </c>
      <c r="D295" s="42" t="s">
        <v>223</v>
      </c>
      <c r="E295" s="293">
        <v>3631.9</v>
      </c>
      <c r="F295" s="305">
        <v>3340.9</v>
      </c>
      <c r="G295" s="51"/>
      <c r="H295" s="651">
        <v>291</v>
      </c>
      <c r="I295" s="73">
        <v>1857.4240597027188</v>
      </c>
      <c r="J295" s="40">
        <v>2059.265574391884</v>
      </c>
      <c r="K295" s="52">
        <v>201.84151468916525</v>
      </c>
      <c r="L295" s="73">
        <v>357.72944159298839</v>
      </c>
      <c r="M295" s="40">
        <v>403.02472337531765</v>
      </c>
      <c r="N295" s="52">
        <v>45.295281782329255</v>
      </c>
      <c r="O295" s="73">
        <v>679.3812846894499</v>
      </c>
      <c r="P295" s="40">
        <v>679.38</v>
      </c>
      <c r="Q295" s="52">
        <v>-1.2846894499034534E-3</v>
      </c>
      <c r="R295" s="73">
        <v>0</v>
      </c>
      <c r="S295" s="40">
        <v>0</v>
      </c>
      <c r="T295" s="52">
        <v>0</v>
      </c>
      <c r="U295" s="73">
        <v>0</v>
      </c>
      <c r="V295" s="40">
        <v>0</v>
      </c>
      <c r="W295" s="52">
        <v>0</v>
      </c>
      <c r="X295" s="73">
        <v>1133.0167479249446</v>
      </c>
      <c r="Y295" s="40">
        <v>1218.0342065184157</v>
      </c>
      <c r="Z295" s="52">
        <v>85.017458593471019</v>
      </c>
      <c r="AA295" s="73">
        <v>289.21600000000001</v>
      </c>
      <c r="AB295" s="40">
        <v>0</v>
      </c>
      <c r="AC295" s="52">
        <v>-289.21600000000001</v>
      </c>
      <c r="AD295" s="73">
        <v>2593.5641187004017</v>
      </c>
      <c r="AE295" s="40">
        <v>3273.4501498832988</v>
      </c>
      <c r="AF295" s="35">
        <v>679.88603118289711</v>
      </c>
      <c r="AG295" s="77">
        <v>6910.3316526105027</v>
      </c>
      <c r="AH295" s="53">
        <v>7633.1546541689158</v>
      </c>
      <c r="AI295" s="52">
        <v>722.82300155841313</v>
      </c>
      <c r="AJ295" s="73">
        <v>0</v>
      </c>
      <c r="AK295" s="40">
        <v>0</v>
      </c>
      <c r="AL295" s="52">
        <v>0</v>
      </c>
      <c r="AM295" s="73">
        <v>0</v>
      </c>
      <c r="AN295" s="40">
        <v>0</v>
      </c>
      <c r="AO295" s="52">
        <v>0</v>
      </c>
      <c r="AP295" s="73">
        <v>1418.2781249999998</v>
      </c>
      <c r="AQ295" s="40">
        <v>4182.74118394578</v>
      </c>
      <c r="AR295" s="52">
        <v>2764.4630589457802</v>
      </c>
      <c r="AS295" s="73">
        <v>3509.0893585400654</v>
      </c>
      <c r="AT295" s="40">
        <v>0</v>
      </c>
      <c r="AU295" s="54">
        <v>-3509.0893585400654</v>
      </c>
      <c r="AV295" s="73">
        <v>818.08684587421055</v>
      </c>
      <c r="AW295" s="40">
        <v>0</v>
      </c>
      <c r="AX295" s="55">
        <v>-818.08684587421055</v>
      </c>
      <c r="AY295" s="73">
        <v>990.14617852601964</v>
      </c>
      <c r="AZ295" s="40">
        <v>0</v>
      </c>
      <c r="BA295" s="35">
        <v>-990.14617852601964</v>
      </c>
      <c r="BB295" s="73">
        <v>255.26307947725999</v>
      </c>
      <c r="BC295" s="40">
        <v>0</v>
      </c>
      <c r="BD295" s="55">
        <v>-255.26307947725999</v>
      </c>
      <c r="BE295" s="73">
        <v>0</v>
      </c>
      <c r="BF295" s="40">
        <v>0</v>
      </c>
      <c r="BG295" s="38">
        <v>0</v>
      </c>
      <c r="BH295" s="73">
        <v>0</v>
      </c>
      <c r="BI295" s="40">
        <v>0</v>
      </c>
      <c r="BJ295" s="55">
        <v>0</v>
      </c>
      <c r="BK295" s="73">
        <v>842.69484965292304</v>
      </c>
      <c r="BL295" s="40">
        <v>0</v>
      </c>
      <c r="BM295" s="38">
        <v>-842.69484965292304</v>
      </c>
      <c r="BN295" s="73">
        <v>72.304000000000002</v>
      </c>
      <c r="BO295" s="40">
        <v>0</v>
      </c>
      <c r="BP295" s="55">
        <v>-72.304000000000002</v>
      </c>
      <c r="BQ295" s="77">
        <v>2978.4949535304131</v>
      </c>
      <c r="BR295" s="40">
        <v>0</v>
      </c>
      <c r="BS295" s="55">
        <v>-2978.4949535304131</v>
      </c>
      <c r="BT295" s="73">
        <v>3030.5062502179399</v>
      </c>
      <c r="BU295" s="40">
        <v>880.53649558671157</v>
      </c>
      <c r="BV295" s="52">
        <v>-2149.9697546312282</v>
      </c>
      <c r="BW295" s="73">
        <v>2194.40759782226</v>
      </c>
      <c r="BX295" s="40">
        <v>2318.0652785240864</v>
      </c>
      <c r="BY295" s="52">
        <v>123.65768070182639</v>
      </c>
      <c r="BZ295" s="73">
        <v>1730.800008684942</v>
      </c>
      <c r="CA295" s="40">
        <v>5644.1090022510016</v>
      </c>
      <c r="CB295" s="52">
        <v>3913.3089935660596</v>
      </c>
      <c r="CC295" s="73">
        <v>354.33352976999998</v>
      </c>
      <c r="CD295" s="40">
        <v>447.08580313457605</v>
      </c>
      <c r="CE295" s="52">
        <v>92.75227336457607</v>
      </c>
      <c r="CF295" s="73">
        <v>42.099033239999997</v>
      </c>
      <c r="CG295" s="40">
        <v>0</v>
      </c>
      <c r="CH295" s="52">
        <v>-42.099033239999997</v>
      </c>
      <c r="CI295" s="73">
        <v>650.96</v>
      </c>
      <c r="CJ295" s="40">
        <v>703.47601125363769</v>
      </c>
      <c r="CK295" s="52">
        <v>52.516011253637657</v>
      </c>
      <c r="CL295" s="73">
        <v>0</v>
      </c>
      <c r="CM295" s="40">
        <v>0</v>
      </c>
      <c r="CN295" s="52">
        <v>0</v>
      </c>
      <c r="CO295" s="39">
        <v>650.96</v>
      </c>
      <c r="CP295" s="40">
        <v>703.47601125363769</v>
      </c>
      <c r="CQ295" s="52">
        <v>52.516011253637657</v>
      </c>
      <c r="CR295" s="72">
        <v>22819.300509416124</v>
      </c>
      <c r="CS295" s="5">
        <v>21809.168428864708</v>
      </c>
      <c r="CT295" s="52">
        <v>-1010.1320805514151</v>
      </c>
      <c r="CU295" s="77">
        <v>27383.160611299347</v>
      </c>
      <c r="CV295" s="65">
        <v>26171.002114637649</v>
      </c>
      <c r="CW295" s="35">
        <v>-1212.1584966616974</v>
      </c>
      <c r="CX295" s="73">
        <v>1528.8848454638583</v>
      </c>
      <c r="CY295" s="40">
        <v>2741.0433421255548</v>
      </c>
      <c r="CZ295" s="52">
        <v>1212.1584966616965</v>
      </c>
      <c r="DA295" s="150">
        <v>-13214.169967288077</v>
      </c>
      <c r="DB295" s="2">
        <v>2</v>
      </c>
      <c r="DC295" s="648">
        <v>21759.99</v>
      </c>
      <c r="DD295" s="648">
        <v>2592.4399999999996</v>
      </c>
      <c r="DE295" s="649">
        <v>-4559.6154567632038</v>
      </c>
      <c r="DG295" s="321">
        <v>9042.6997269288768</v>
      </c>
      <c r="DH295" s="5">
        <v>346944.54548115842</v>
      </c>
      <c r="DI295" s="306">
        <v>4.007984530946322</v>
      </c>
      <c r="DJ295" s="306"/>
      <c r="DK295" s="306">
        <v>3.5941808293605146</v>
      </c>
      <c r="DL295" s="28">
        <v>13390.275519438568</v>
      </c>
      <c r="DM295" s="28">
        <v>1045.9066213439098</v>
      </c>
      <c r="DN295" s="650">
        <v>13390.33</v>
      </c>
      <c r="DO295" s="94">
        <v>-5.4480561431773822E-2</v>
      </c>
      <c r="DP295" s="28">
        <v>14436.182140782477</v>
      </c>
      <c r="DQ295" s="318">
        <v>60.022819850320957</v>
      </c>
      <c r="DS295" s="8">
        <v>13691.580305649673</v>
      </c>
      <c r="DT295" s="5">
        <v>684.57901528248374</v>
      </c>
      <c r="DW295" s="5">
        <v>7785.1011744845737</v>
      </c>
      <c r="DX295" s="5">
        <v>0</v>
      </c>
    </row>
    <row r="296" spans="1:128" x14ac:dyDescent="0.3">
      <c r="A296" s="325">
        <v>150000740</v>
      </c>
      <c r="B296" s="41" t="s">
        <v>742</v>
      </c>
      <c r="C296" s="42" t="s">
        <v>198</v>
      </c>
      <c r="D296" s="42" t="s">
        <v>198</v>
      </c>
      <c r="E296" s="293">
        <v>1366.1</v>
      </c>
      <c r="F296" s="305">
        <v>1236.8</v>
      </c>
      <c r="G296" s="51"/>
      <c r="H296" s="651">
        <v>129.30000000000001</v>
      </c>
      <c r="I296" s="73">
        <v>786.97536098929311</v>
      </c>
      <c r="J296" s="40">
        <v>872.67876633585888</v>
      </c>
      <c r="K296" s="52">
        <v>85.703405346565773</v>
      </c>
      <c r="L296" s="73">
        <v>217.05708304596146</v>
      </c>
      <c r="M296" s="40">
        <v>244.54060510115895</v>
      </c>
      <c r="N296" s="52">
        <v>27.483522055197483</v>
      </c>
      <c r="O296" s="73">
        <v>264.23535995530665</v>
      </c>
      <c r="P296" s="40">
        <v>264.24</v>
      </c>
      <c r="Q296" s="52">
        <v>4.6400446933603234E-3</v>
      </c>
      <c r="R296" s="73">
        <v>0</v>
      </c>
      <c r="S296" s="40">
        <v>0</v>
      </c>
      <c r="T296" s="52">
        <v>0</v>
      </c>
      <c r="U296" s="73">
        <v>0</v>
      </c>
      <c r="V296" s="40">
        <v>0</v>
      </c>
      <c r="W296" s="52">
        <v>0</v>
      </c>
      <c r="X296" s="73">
        <v>445.80902696519973</v>
      </c>
      <c r="Y296" s="40">
        <v>448.49114330142913</v>
      </c>
      <c r="Z296" s="52">
        <v>2.6821163362293987</v>
      </c>
      <c r="AA296" s="73">
        <v>109.288</v>
      </c>
      <c r="AB296" s="40">
        <v>0</v>
      </c>
      <c r="AC296" s="52">
        <v>-109.288</v>
      </c>
      <c r="AD296" s="73">
        <v>979.04476728445718</v>
      </c>
      <c r="AE296" s="40">
        <v>1231.2729562365632</v>
      </c>
      <c r="AF296" s="35">
        <v>252.22818895210605</v>
      </c>
      <c r="AG296" s="77">
        <v>2802.4095982402182</v>
      </c>
      <c r="AH296" s="53">
        <v>3061.2234709750101</v>
      </c>
      <c r="AI296" s="52">
        <v>258.81387273479186</v>
      </c>
      <c r="AJ296" s="73">
        <v>0</v>
      </c>
      <c r="AK296" s="40">
        <v>0</v>
      </c>
      <c r="AL296" s="52">
        <v>0</v>
      </c>
      <c r="AM296" s="73">
        <v>0</v>
      </c>
      <c r="AN296" s="40">
        <v>0</v>
      </c>
      <c r="AO296" s="52">
        <v>0</v>
      </c>
      <c r="AP296" s="73">
        <v>378.20749999999998</v>
      </c>
      <c r="AQ296" s="40">
        <v>0</v>
      </c>
      <c r="AR296" s="52">
        <v>-378.20749999999998</v>
      </c>
      <c r="AS296" s="73">
        <v>1635.3419629578195</v>
      </c>
      <c r="AT296" s="40">
        <v>0</v>
      </c>
      <c r="AU296" s="54">
        <v>-1635.3419629578195</v>
      </c>
      <c r="AV296" s="73">
        <v>392.73184561956083</v>
      </c>
      <c r="AW296" s="40">
        <v>0</v>
      </c>
      <c r="AX296" s="55">
        <v>-392.73184561956083</v>
      </c>
      <c r="AY296" s="73">
        <v>600.79718918000719</v>
      </c>
      <c r="AZ296" s="40">
        <v>0</v>
      </c>
      <c r="BA296" s="35">
        <v>-600.79718918000719</v>
      </c>
      <c r="BB296" s="73">
        <v>99.367502560426601</v>
      </c>
      <c r="BC296" s="40">
        <v>2499</v>
      </c>
      <c r="BD296" s="55">
        <v>2399.6324974395734</v>
      </c>
      <c r="BE296" s="73">
        <v>0</v>
      </c>
      <c r="BF296" s="40">
        <v>0</v>
      </c>
      <c r="BG296" s="38">
        <v>0</v>
      </c>
      <c r="BH296" s="73">
        <v>0</v>
      </c>
      <c r="BI296" s="40">
        <v>0</v>
      </c>
      <c r="BJ296" s="55">
        <v>0</v>
      </c>
      <c r="BK296" s="73">
        <v>243.64515203087697</v>
      </c>
      <c r="BL296" s="40">
        <v>0</v>
      </c>
      <c r="BM296" s="38">
        <v>-243.64515203087697</v>
      </c>
      <c r="BN296" s="73">
        <v>27.321999999999999</v>
      </c>
      <c r="BO296" s="40">
        <v>0</v>
      </c>
      <c r="BP296" s="55">
        <v>-27.321999999999999</v>
      </c>
      <c r="BQ296" s="77">
        <v>1363.8636893908715</v>
      </c>
      <c r="BR296" s="40">
        <v>2499</v>
      </c>
      <c r="BS296" s="55">
        <v>1135.1363106091285</v>
      </c>
      <c r="BT296" s="73">
        <v>1290.246416166598</v>
      </c>
      <c r="BU296" s="40">
        <v>411.34278314916298</v>
      </c>
      <c r="BV296" s="52">
        <v>-878.90363301743503</v>
      </c>
      <c r="BW296" s="73">
        <v>1271.30855744839</v>
      </c>
      <c r="BX296" s="40">
        <v>1327.8786881947221</v>
      </c>
      <c r="BY296" s="52">
        <v>56.570130746332097</v>
      </c>
      <c r="BZ296" s="73">
        <v>810.05482139809396</v>
      </c>
      <c r="CA296" s="40">
        <v>2873.07587625415</v>
      </c>
      <c r="CB296" s="52">
        <v>2063.0210548560563</v>
      </c>
      <c r="CC296" s="73">
        <v>131.78640337499999</v>
      </c>
      <c r="CD296" s="40">
        <v>166.28352962637857</v>
      </c>
      <c r="CE296" s="52">
        <v>34.497126251378575</v>
      </c>
      <c r="CF296" s="73">
        <v>15.657790500000001</v>
      </c>
      <c r="CG296" s="40">
        <v>0</v>
      </c>
      <c r="CH296" s="52">
        <v>-15.657790500000001</v>
      </c>
      <c r="CI296" s="73">
        <v>286.54000000000002</v>
      </c>
      <c r="CJ296" s="40">
        <v>251.5358671239598</v>
      </c>
      <c r="CK296" s="52">
        <v>-35.004132876040217</v>
      </c>
      <c r="CL296" s="73">
        <v>0</v>
      </c>
      <c r="CM296" s="40">
        <v>0</v>
      </c>
      <c r="CN296" s="52">
        <v>0</v>
      </c>
      <c r="CO296" s="39">
        <v>286.54000000000002</v>
      </c>
      <c r="CP296" s="40">
        <v>251.5358671239598</v>
      </c>
      <c r="CQ296" s="52">
        <v>-35.004132876040217</v>
      </c>
      <c r="CR296" s="72">
        <v>9985.416739476992</v>
      </c>
      <c r="CS296" s="5">
        <v>10590.340215323382</v>
      </c>
      <c r="CT296" s="52">
        <v>604.92347584638992</v>
      </c>
      <c r="CU296" s="77">
        <v>11982.500087372389</v>
      </c>
      <c r="CV296" s="65">
        <v>12708.408258388057</v>
      </c>
      <c r="CW296" s="35">
        <v>725.9081710156679</v>
      </c>
      <c r="CX296" s="73">
        <v>669.01929453656714</v>
      </c>
      <c r="CY296" s="40">
        <v>-56.888876479100873</v>
      </c>
      <c r="CZ296" s="52">
        <v>-725.90817101566802</v>
      </c>
      <c r="DA296" s="150">
        <v>37484.122266799728</v>
      </c>
      <c r="DB296" s="2">
        <v>2</v>
      </c>
      <c r="DC296" s="648">
        <v>4538.87</v>
      </c>
      <c r="DD296" s="648">
        <v>1543.2</v>
      </c>
      <c r="DE296" s="649">
        <v>-6569.4493819089566</v>
      </c>
      <c r="DG296" s="321">
        <v>-14517.263011535473</v>
      </c>
      <c r="DH296" s="5">
        <v>151818.23258290748</v>
      </c>
      <c r="DI296" s="306">
        <v>4.6662355413145704</v>
      </c>
      <c r="DJ296" s="306"/>
      <c r="DK296" s="306">
        <v>4.0186576053568688</v>
      </c>
      <c r="DL296" s="28">
        <v>5771.2001174978604</v>
      </c>
      <c r="DM296" s="28">
        <v>519.61242837264319</v>
      </c>
      <c r="DN296" s="650">
        <v>5771.13</v>
      </c>
      <c r="DO296" s="94">
        <v>7.0117497860337608E-2</v>
      </c>
      <c r="DP296" s="28">
        <v>6290.8125458705035</v>
      </c>
      <c r="DQ296" s="318">
        <v>0</v>
      </c>
      <c r="DS296" s="8">
        <v>5991.2500436861947</v>
      </c>
      <c r="DT296" s="5">
        <v>299.56250218430978</v>
      </c>
      <c r="DW296" s="5">
        <v>3599.0467828184287</v>
      </c>
      <c r="DX296" s="5">
        <v>2998.7999999999997</v>
      </c>
    </row>
    <row r="297" spans="1:128" x14ac:dyDescent="0.3">
      <c r="A297" s="325">
        <v>150000744</v>
      </c>
      <c r="B297" s="41" t="s">
        <v>743</v>
      </c>
      <c r="C297" s="42" t="s">
        <v>224</v>
      </c>
      <c r="D297" s="42" t="s">
        <v>224</v>
      </c>
      <c r="E297" s="293">
        <v>1504.4</v>
      </c>
      <c r="F297" s="305">
        <v>1504.4</v>
      </c>
      <c r="G297" s="51"/>
      <c r="H297" s="651">
        <v>0</v>
      </c>
      <c r="I297" s="73">
        <v>819.57502444367526</v>
      </c>
      <c r="J297" s="40">
        <v>909.63483435530088</v>
      </c>
      <c r="K297" s="52">
        <v>90.059809911625621</v>
      </c>
      <c r="L297" s="73">
        <v>169.14325117062131</v>
      </c>
      <c r="M297" s="40">
        <v>190.56060290028606</v>
      </c>
      <c r="N297" s="52">
        <v>21.417351729664745</v>
      </c>
      <c r="O297" s="73">
        <v>293.40769579965996</v>
      </c>
      <c r="P297" s="40">
        <v>293.39999999999998</v>
      </c>
      <c r="Q297" s="52">
        <v>-7.6957996599844591E-3</v>
      </c>
      <c r="R297" s="73">
        <v>0</v>
      </c>
      <c r="S297" s="40">
        <v>0</v>
      </c>
      <c r="T297" s="52">
        <v>0</v>
      </c>
      <c r="U297" s="73">
        <v>0</v>
      </c>
      <c r="V297" s="40">
        <v>0</v>
      </c>
      <c r="W297" s="52">
        <v>0</v>
      </c>
      <c r="X297" s="73">
        <v>312.52019309858338</v>
      </c>
      <c r="Y297" s="40">
        <v>323.28324008071314</v>
      </c>
      <c r="Z297" s="52">
        <v>10.763046982129765</v>
      </c>
      <c r="AA297" s="73">
        <v>120.36799999999999</v>
      </c>
      <c r="AB297" s="40">
        <v>0</v>
      </c>
      <c r="AC297" s="52">
        <v>-120.36799999999999</v>
      </c>
      <c r="AD297" s="73">
        <v>1083.9484954901759</v>
      </c>
      <c r="AE297" s="40">
        <v>1355.9234575523651</v>
      </c>
      <c r="AF297" s="35">
        <v>271.97496206218921</v>
      </c>
      <c r="AG297" s="77">
        <v>2798.9626600027159</v>
      </c>
      <c r="AH297" s="53">
        <v>3072.802134888665</v>
      </c>
      <c r="AI297" s="52">
        <v>273.83947488594913</v>
      </c>
      <c r="AJ297" s="73">
        <v>0</v>
      </c>
      <c r="AK297" s="40">
        <v>0</v>
      </c>
      <c r="AL297" s="52">
        <v>0</v>
      </c>
      <c r="AM297" s="73">
        <v>0</v>
      </c>
      <c r="AN297" s="40">
        <v>0</v>
      </c>
      <c r="AO297" s="52">
        <v>0</v>
      </c>
      <c r="AP297" s="73">
        <v>605.13199999999995</v>
      </c>
      <c r="AQ297" s="40">
        <v>0</v>
      </c>
      <c r="AR297" s="52">
        <v>-605.13199999999995</v>
      </c>
      <c r="AS297" s="73">
        <v>1459.3234960551945</v>
      </c>
      <c r="AT297" s="40">
        <v>404</v>
      </c>
      <c r="AU297" s="54">
        <v>-1055.3234960551945</v>
      </c>
      <c r="AV297" s="73">
        <v>370.99500921313825</v>
      </c>
      <c r="AW297" s="40">
        <v>0</v>
      </c>
      <c r="AX297" s="55">
        <v>-370.99500921313825</v>
      </c>
      <c r="AY297" s="73">
        <v>468.07700220818361</v>
      </c>
      <c r="AZ297" s="40">
        <v>0</v>
      </c>
      <c r="BA297" s="35">
        <v>-468.07700220818361</v>
      </c>
      <c r="BB297" s="73">
        <v>108.39893259387</v>
      </c>
      <c r="BC297" s="40">
        <v>1226</v>
      </c>
      <c r="BD297" s="55">
        <v>1117.6010674061299</v>
      </c>
      <c r="BE297" s="73">
        <v>0</v>
      </c>
      <c r="BF297" s="40">
        <v>0</v>
      </c>
      <c r="BG297" s="38">
        <v>0</v>
      </c>
      <c r="BH297" s="73">
        <v>0</v>
      </c>
      <c r="BI297" s="40">
        <v>0</v>
      </c>
      <c r="BJ297" s="55">
        <v>0</v>
      </c>
      <c r="BK297" s="73">
        <v>139.63205353724535</v>
      </c>
      <c r="BL297" s="40">
        <v>0</v>
      </c>
      <c r="BM297" s="38">
        <v>-139.63205353724535</v>
      </c>
      <c r="BN297" s="73">
        <v>30.091999999999999</v>
      </c>
      <c r="BO297" s="40">
        <v>0</v>
      </c>
      <c r="BP297" s="55">
        <v>-30.091999999999999</v>
      </c>
      <c r="BQ297" s="77">
        <v>1117.1949975524371</v>
      </c>
      <c r="BR297" s="40">
        <v>1226</v>
      </c>
      <c r="BS297" s="55">
        <v>108.80500244756286</v>
      </c>
      <c r="BT297" s="73">
        <v>2296.58179918214</v>
      </c>
      <c r="BU297" s="40">
        <v>565.87407318163127</v>
      </c>
      <c r="BV297" s="52">
        <v>-1730.7077260005087</v>
      </c>
      <c r="BW297" s="73">
        <v>743.30377272519399</v>
      </c>
      <c r="BX297" s="40">
        <v>790.3722131197344</v>
      </c>
      <c r="BY297" s="52">
        <v>47.068440394540403</v>
      </c>
      <c r="BZ297" s="73">
        <v>895.84160652772402</v>
      </c>
      <c r="CA297" s="40">
        <v>3337.7219863669125</v>
      </c>
      <c r="CB297" s="52">
        <v>2441.8803798391882</v>
      </c>
      <c r="CC297" s="73">
        <v>113.450903775</v>
      </c>
      <c r="CD297" s="40">
        <v>143.14842985227372</v>
      </c>
      <c r="CE297" s="52">
        <v>29.697526077273722</v>
      </c>
      <c r="CF297" s="73">
        <v>13.4793153</v>
      </c>
      <c r="CG297" s="40">
        <v>0</v>
      </c>
      <c r="CH297" s="52">
        <v>-13.4793153</v>
      </c>
      <c r="CI297" s="73">
        <v>669.64</v>
      </c>
      <c r="CJ297" s="40">
        <v>722.55260231646071</v>
      </c>
      <c r="CK297" s="52">
        <v>52.91260231646072</v>
      </c>
      <c r="CL297" s="73">
        <v>0</v>
      </c>
      <c r="CM297" s="40">
        <v>0</v>
      </c>
      <c r="CN297" s="52">
        <v>0</v>
      </c>
      <c r="CO297" s="39">
        <v>669.64</v>
      </c>
      <c r="CP297" s="40">
        <v>722.55260231646071</v>
      </c>
      <c r="CQ297" s="52">
        <v>52.91260231646072</v>
      </c>
      <c r="CR297" s="72">
        <v>10712.910551120403</v>
      </c>
      <c r="CS297" s="5">
        <v>10262.471439725678</v>
      </c>
      <c r="CT297" s="52">
        <v>-450.43911139472584</v>
      </c>
      <c r="CU297" s="77">
        <v>12855.492661344484</v>
      </c>
      <c r="CV297" s="65">
        <v>12314.965727670813</v>
      </c>
      <c r="CW297" s="35">
        <v>-540.52693367367101</v>
      </c>
      <c r="CX297" s="73">
        <v>717.7611156687002</v>
      </c>
      <c r="CY297" s="40">
        <v>1258.2880493423709</v>
      </c>
      <c r="CZ297" s="52">
        <v>540.52693367367067</v>
      </c>
      <c r="DA297" s="150">
        <v>-31150.463485385062</v>
      </c>
      <c r="DB297" s="2">
        <v>2</v>
      </c>
      <c r="DC297" s="648">
        <v>11614.59</v>
      </c>
      <c r="DD297" s="648"/>
      <c r="DE297" s="649">
        <v>-1958.6637770131838</v>
      </c>
      <c r="DG297" s="321">
        <v>-3882.6457384639834</v>
      </c>
      <c r="DH297" s="5">
        <v>162879.04532415821</v>
      </c>
      <c r="DI297" s="306">
        <v>4.4856663878810679</v>
      </c>
      <c r="DJ297" s="306"/>
      <c r="DK297" s="306"/>
      <c r="DL297" s="28">
        <v>6748.2365139282792</v>
      </c>
      <c r="DM297" s="28">
        <v>0</v>
      </c>
      <c r="DN297" s="650">
        <v>6748.3</v>
      </c>
      <c r="DO297" s="94">
        <v>-6.3486071720944892E-2</v>
      </c>
      <c r="DP297" s="28">
        <v>6748.2365139282792</v>
      </c>
      <c r="DQ297" s="318">
        <v>-0.89713327757453953</v>
      </c>
      <c r="DS297" s="8">
        <v>6427.746330672242</v>
      </c>
      <c r="DT297" s="5">
        <v>321.38731653361208</v>
      </c>
      <c r="DW297" s="5">
        <v>3091.822192329158</v>
      </c>
      <c r="DX297" s="5">
        <v>1956</v>
      </c>
    </row>
    <row r="298" spans="1:128" x14ac:dyDescent="0.3">
      <c r="A298" s="325">
        <v>150000741</v>
      </c>
      <c r="B298" s="41" t="s">
        <v>744</v>
      </c>
      <c r="C298" s="42" t="s">
        <v>225</v>
      </c>
      <c r="D298" s="42" t="s">
        <v>225</v>
      </c>
      <c r="E298" s="293">
        <v>2597.3000000000002</v>
      </c>
      <c r="F298" s="305">
        <v>2276.5</v>
      </c>
      <c r="G298" s="51"/>
      <c r="H298" s="651">
        <v>320.8</v>
      </c>
      <c r="I298" s="73">
        <v>1442.8521271086304</v>
      </c>
      <c r="J298" s="40">
        <v>1599.8685228933941</v>
      </c>
      <c r="K298" s="52">
        <v>157.01639578476374</v>
      </c>
      <c r="L298" s="73">
        <v>245.00967273089955</v>
      </c>
      <c r="M298" s="40">
        <v>276.03299592529299</v>
      </c>
      <c r="N298" s="52">
        <v>31.023323194393441</v>
      </c>
      <c r="O298" s="73">
        <v>485.31726607738</v>
      </c>
      <c r="P298" s="40">
        <v>485.32</v>
      </c>
      <c r="Q298" s="52">
        <v>2.7339226199956101E-3</v>
      </c>
      <c r="R298" s="73">
        <v>0</v>
      </c>
      <c r="S298" s="40">
        <v>0</v>
      </c>
      <c r="T298" s="52">
        <v>0</v>
      </c>
      <c r="U298" s="73">
        <v>0</v>
      </c>
      <c r="V298" s="40">
        <v>0</v>
      </c>
      <c r="W298" s="52">
        <v>0</v>
      </c>
      <c r="X298" s="73">
        <v>739.50247120539575</v>
      </c>
      <c r="Y298" s="40">
        <v>774.93613774250559</v>
      </c>
      <c r="Z298" s="52">
        <v>35.433666537109843</v>
      </c>
      <c r="AA298" s="73">
        <v>221.88800000000001</v>
      </c>
      <c r="AB298" s="40">
        <v>0</v>
      </c>
      <c r="AC298" s="52">
        <v>-221.88800000000001</v>
      </c>
      <c r="AD298" s="73">
        <v>1978.4433530987885</v>
      </c>
      <c r="AE298" s="40">
        <v>2340.9598486444816</v>
      </c>
      <c r="AF298" s="35">
        <v>362.51649554569303</v>
      </c>
      <c r="AG298" s="77">
        <v>5113.0128902210945</v>
      </c>
      <c r="AH298" s="53">
        <v>5477.1175052056751</v>
      </c>
      <c r="AI298" s="52">
        <v>364.10461498458062</v>
      </c>
      <c r="AJ298" s="73">
        <v>0</v>
      </c>
      <c r="AK298" s="40">
        <v>0</v>
      </c>
      <c r="AL298" s="52">
        <v>0</v>
      </c>
      <c r="AM298" s="73">
        <v>0</v>
      </c>
      <c r="AN298" s="40">
        <v>0</v>
      </c>
      <c r="AO298" s="52">
        <v>0</v>
      </c>
      <c r="AP298" s="73">
        <v>1058.981</v>
      </c>
      <c r="AQ298" s="40">
        <v>0</v>
      </c>
      <c r="AR298" s="52">
        <v>-1058.981</v>
      </c>
      <c r="AS298" s="73">
        <v>3781.3512697916531</v>
      </c>
      <c r="AT298" s="40">
        <v>4507</v>
      </c>
      <c r="AU298" s="54">
        <v>725.64873020834693</v>
      </c>
      <c r="AV298" s="73">
        <v>638.3784654633472</v>
      </c>
      <c r="AW298" s="40">
        <v>454</v>
      </c>
      <c r="AX298" s="55">
        <v>-184.3784654633472</v>
      </c>
      <c r="AY298" s="73">
        <v>678.08071759628069</v>
      </c>
      <c r="AZ298" s="40">
        <v>0</v>
      </c>
      <c r="BA298" s="35">
        <v>-678.08071759628069</v>
      </c>
      <c r="BB298" s="73">
        <v>156.5832093359634</v>
      </c>
      <c r="BC298" s="40">
        <v>0</v>
      </c>
      <c r="BD298" s="55">
        <v>-156.5832093359634</v>
      </c>
      <c r="BE298" s="73">
        <v>0</v>
      </c>
      <c r="BF298" s="40">
        <v>0</v>
      </c>
      <c r="BG298" s="38">
        <v>0</v>
      </c>
      <c r="BH298" s="73">
        <v>0</v>
      </c>
      <c r="BI298" s="40">
        <v>0</v>
      </c>
      <c r="BJ298" s="55">
        <v>0</v>
      </c>
      <c r="BK298" s="73">
        <v>486.41134993869616</v>
      </c>
      <c r="BL298" s="40">
        <v>0</v>
      </c>
      <c r="BM298" s="38">
        <v>-486.41134993869616</v>
      </c>
      <c r="BN298" s="73">
        <v>55.472000000000001</v>
      </c>
      <c r="BO298" s="40">
        <v>0</v>
      </c>
      <c r="BP298" s="55">
        <v>-55.472000000000001</v>
      </c>
      <c r="BQ298" s="77">
        <v>2014.9257423342872</v>
      </c>
      <c r="BR298" s="40">
        <v>454</v>
      </c>
      <c r="BS298" s="55">
        <v>-1560.9257423342872</v>
      </c>
      <c r="BT298" s="73">
        <v>3283.23834314136</v>
      </c>
      <c r="BU298" s="40">
        <v>885.02524636432827</v>
      </c>
      <c r="BV298" s="52">
        <v>-2398.2130967770318</v>
      </c>
      <c r="BW298" s="73">
        <v>1843.9570295330659</v>
      </c>
      <c r="BX298" s="40">
        <v>1941.4821586826133</v>
      </c>
      <c r="BY298" s="52">
        <v>97.525129149547411</v>
      </c>
      <c r="BZ298" s="73">
        <v>1374.755430109476</v>
      </c>
      <c r="CA298" s="40">
        <v>5654.5616346036804</v>
      </c>
      <c r="CB298" s="52">
        <v>4279.8062044942044</v>
      </c>
      <c r="CC298" s="73">
        <v>0</v>
      </c>
      <c r="CD298" s="40">
        <v>0</v>
      </c>
      <c r="CE298" s="52">
        <v>0</v>
      </c>
      <c r="CF298" s="73">
        <v>0</v>
      </c>
      <c r="CG298" s="40">
        <v>0</v>
      </c>
      <c r="CH298" s="52">
        <v>0</v>
      </c>
      <c r="CI298" s="73">
        <v>361.3</v>
      </c>
      <c r="CJ298" s="40">
        <v>377.3550582458937</v>
      </c>
      <c r="CK298" s="52">
        <v>16.05505824589369</v>
      </c>
      <c r="CL298" s="73">
        <v>0</v>
      </c>
      <c r="CM298" s="40">
        <v>0</v>
      </c>
      <c r="CN298" s="52">
        <v>0</v>
      </c>
      <c r="CO298" s="39">
        <v>361.3</v>
      </c>
      <c r="CP298" s="40">
        <v>377.3550582458937</v>
      </c>
      <c r="CQ298" s="52">
        <v>16.05505824589369</v>
      </c>
      <c r="CR298" s="72">
        <v>18831.521705130937</v>
      </c>
      <c r="CS298" s="5">
        <v>19296.541603102189</v>
      </c>
      <c r="CT298" s="52">
        <v>465.01989797125134</v>
      </c>
      <c r="CU298" s="77">
        <v>22597.826046157123</v>
      </c>
      <c r="CV298" s="65">
        <v>23155.849923722624</v>
      </c>
      <c r="CW298" s="35">
        <v>558.02387756550161</v>
      </c>
      <c r="CX298" s="73">
        <v>1261.7051140598298</v>
      </c>
      <c r="CY298" s="40">
        <v>703.68123649432891</v>
      </c>
      <c r="CZ298" s="52">
        <v>-558.02387756550092</v>
      </c>
      <c r="DA298" s="150">
        <v>28636.773950695191</v>
      </c>
      <c r="DB298" s="2">
        <v>2</v>
      </c>
      <c r="DC298" s="648">
        <v>13631.28</v>
      </c>
      <c r="DD298" s="648">
        <v>1924.3700000000001</v>
      </c>
      <c r="DE298" s="649">
        <v>-8303.8811602169517</v>
      </c>
      <c r="DG298" s="321">
        <v>4348.9079702763011</v>
      </c>
      <c r="DH298" s="5">
        <v>286314.37392260344</v>
      </c>
      <c r="DI298" s="306">
        <v>4.3688359436246378</v>
      </c>
      <c r="DJ298" s="306"/>
      <c r="DK298" s="306">
        <v>3.8585829772233415</v>
      </c>
      <c r="DL298" s="28">
        <v>9945.6550256614883</v>
      </c>
      <c r="DM298" s="28">
        <v>1237.833419093248</v>
      </c>
      <c r="DN298" s="650">
        <v>9945.56</v>
      </c>
      <c r="DO298" s="94">
        <v>9.5025661488762125E-2</v>
      </c>
      <c r="DP298" s="28">
        <v>11183.488444754736</v>
      </c>
      <c r="DQ298" s="318">
        <v>-680.37022947775404</v>
      </c>
      <c r="DS298" s="8">
        <v>11298.913023078561</v>
      </c>
      <c r="DT298" s="5">
        <v>564.94565115392811</v>
      </c>
      <c r="DW298" s="5">
        <v>6955.5324145511277</v>
      </c>
      <c r="DX298" s="5">
        <v>5953.2</v>
      </c>
    </row>
    <row r="299" spans="1:128" x14ac:dyDescent="0.3">
      <c r="A299" s="325">
        <v>150000742</v>
      </c>
      <c r="B299" s="41" t="s">
        <v>745</v>
      </c>
      <c r="C299" s="42" t="s">
        <v>291</v>
      </c>
      <c r="D299" s="42" t="s">
        <v>291</v>
      </c>
      <c r="E299" s="293">
        <v>1869.5</v>
      </c>
      <c r="F299" s="305">
        <v>1700.4</v>
      </c>
      <c r="G299" s="51"/>
      <c r="H299" s="651">
        <v>169.1</v>
      </c>
      <c r="I299" s="73">
        <v>889.61210929517415</v>
      </c>
      <c r="J299" s="40">
        <v>986.56914041198479</v>
      </c>
      <c r="K299" s="52">
        <v>96.95703111681064</v>
      </c>
      <c r="L299" s="73">
        <v>181.41361457122511</v>
      </c>
      <c r="M299" s="40">
        <v>204.38415621412548</v>
      </c>
      <c r="N299" s="52">
        <v>22.970541642900372</v>
      </c>
      <c r="O299" s="73">
        <v>343.86829775285338</v>
      </c>
      <c r="P299" s="40">
        <v>343.86</v>
      </c>
      <c r="Q299" s="52">
        <v>-8.2977528533660916E-3</v>
      </c>
      <c r="R299" s="73">
        <v>0</v>
      </c>
      <c r="S299" s="40">
        <v>0</v>
      </c>
      <c r="T299" s="52">
        <v>0</v>
      </c>
      <c r="U299" s="73">
        <v>0</v>
      </c>
      <c r="V299" s="40">
        <v>0</v>
      </c>
      <c r="W299" s="52">
        <v>0</v>
      </c>
      <c r="X299" s="73">
        <v>371.09552138064339</v>
      </c>
      <c r="Y299" s="40">
        <v>379.2284887615827</v>
      </c>
      <c r="Z299" s="52">
        <v>8.1329673809393057</v>
      </c>
      <c r="AA299" s="73">
        <v>143.10400000000001</v>
      </c>
      <c r="AB299" s="40">
        <v>0</v>
      </c>
      <c r="AC299" s="52">
        <v>-143.10400000000001</v>
      </c>
      <c r="AD299" s="73">
        <v>1285.1872988196483</v>
      </c>
      <c r="AE299" s="40">
        <v>1684.9899653643624</v>
      </c>
      <c r="AF299" s="35">
        <v>399.80266654471416</v>
      </c>
      <c r="AG299" s="77">
        <v>3214.2808418195445</v>
      </c>
      <c r="AH299" s="53">
        <v>3599.0317507520558</v>
      </c>
      <c r="AI299" s="52">
        <v>384.75090893251127</v>
      </c>
      <c r="AJ299" s="73">
        <v>0</v>
      </c>
      <c r="AK299" s="40">
        <v>0</v>
      </c>
      <c r="AL299" s="52">
        <v>0</v>
      </c>
      <c r="AM299" s="73">
        <v>0</v>
      </c>
      <c r="AN299" s="40">
        <v>0</v>
      </c>
      <c r="AO299" s="52">
        <v>0</v>
      </c>
      <c r="AP299" s="73">
        <v>661.86312499999997</v>
      </c>
      <c r="AQ299" s="40">
        <v>1951.9458858413641</v>
      </c>
      <c r="AR299" s="52">
        <v>1290.0827608413642</v>
      </c>
      <c r="AS299" s="73">
        <v>1684.7297870652424</v>
      </c>
      <c r="AT299" s="40">
        <v>0</v>
      </c>
      <c r="AU299" s="54">
        <v>-1684.7297870652424</v>
      </c>
      <c r="AV299" s="73">
        <v>397.01620519235763</v>
      </c>
      <c r="AW299" s="40">
        <v>0</v>
      </c>
      <c r="AX299" s="55">
        <v>-397.01620519235763</v>
      </c>
      <c r="AY299" s="73">
        <v>502.12581609182439</v>
      </c>
      <c r="AZ299" s="40">
        <v>0</v>
      </c>
      <c r="BA299" s="35">
        <v>-502.12581609182439</v>
      </c>
      <c r="BB299" s="73">
        <v>113.0055946683634</v>
      </c>
      <c r="BC299" s="40">
        <v>0</v>
      </c>
      <c r="BD299" s="55">
        <v>-113.0055946683634</v>
      </c>
      <c r="BE299" s="73">
        <v>0</v>
      </c>
      <c r="BF299" s="40">
        <v>0</v>
      </c>
      <c r="BG299" s="38">
        <v>0</v>
      </c>
      <c r="BH299" s="73">
        <v>0</v>
      </c>
      <c r="BI299" s="40">
        <v>0</v>
      </c>
      <c r="BJ299" s="55">
        <v>0</v>
      </c>
      <c r="BK299" s="73">
        <v>189.85017666453501</v>
      </c>
      <c r="BL299" s="40">
        <v>0</v>
      </c>
      <c r="BM299" s="38">
        <v>-189.85017666453501</v>
      </c>
      <c r="BN299" s="73">
        <v>35.776000000000003</v>
      </c>
      <c r="BO299" s="40">
        <v>0</v>
      </c>
      <c r="BP299" s="55">
        <v>-35.776000000000003</v>
      </c>
      <c r="BQ299" s="77">
        <v>1237.7737926170805</v>
      </c>
      <c r="BR299" s="40">
        <v>0</v>
      </c>
      <c r="BS299" s="55">
        <v>-1237.7737926170805</v>
      </c>
      <c r="BT299" s="73">
        <v>1676.7584697211621</v>
      </c>
      <c r="BU299" s="40">
        <v>505.32203607472127</v>
      </c>
      <c r="BV299" s="52">
        <v>-1171.4364336464409</v>
      </c>
      <c r="BW299" s="73">
        <v>934.52042341267997</v>
      </c>
      <c r="BX299" s="40">
        <v>875.05725615792903</v>
      </c>
      <c r="BY299" s="52">
        <v>-59.463167254750942</v>
      </c>
      <c r="BZ299" s="73">
        <v>1163.156417455878</v>
      </c>
      <c r="CA299" s="40">
        <v>2670.4594705931472</v>
      </c>
      <c r="CB299" s="52">
        <v>1507.3030531372692</v>
      </c>
      <c r="CC299" s="73">
        <v>194.05070409999999</v>
      </c>
      <c r="CD299" s="40">
        <v>244.84647260927625</v>
      </c>
      <c r="CE299" s="52">
        <v>50.795768509276257</v>
      </c>
      <c r="CF299" s="73">
        <v>23.055529199999999</v>
      </c>
      <c r="CG299" s="40">
        <v>0</v>
      </c>
      <c r="CH299" s="52">
        <v>-23.055529199999999</v>
      </c>
      <c r="CI299" s="73">
        <v>663.42</v>
      </c>
      <c r="CJ299" s="40">
        <v>1082.7344328716281</v>
      </c>
      <c r="CK299" s="52">
        <v>419.31443287162813</v>
      </c>
      <c r="CL299" s="73">
        <v>0</v>
      </c>
      <c r="CM299" s="40">
        <v>0</v>
      </c>
      <c r="CN299" s="52">
        <v>0</v>
      </c>
      <c r="CO299" s="39">
        <v>663.42</v>
      </c>
      <c r="CP299" s="40">
        <v>1082.7344328716281</v>
      </c>
      <c r="CQ299" s="52">
        <v>419.31443287162813</v>
      </c>
      <c r="CR299" s="72">
        <v>11453.609090391588</v>
      </c>
      <c r="CS299" s="5">
        <v>10929.397304900122</v>
      </c>
      <c r="CT299" s="52">
        <v>-524.2117854914668</v>
      </c>
      <c r="CU299" s="77">
        <v>13744.330908469905</v>
      </c>
      <c r="CV299" s="65">
        <v>13115.276765880146</v>
      </c>
      <c r="CW299" s="35">
        <v>-629.05414258975907</v>
      </c>
      <c r="CX299" s="73">
        <v>767.38764875553341</v>
      </c>
      <c r="CY299" s="40">
        <v>1396.4417913452926</v>
      </c>
      <c r="CZ299" s="52">
        <v>629.05414258975918</v>
      </c>
      <c r="DA299" s="150">
        <v>18605.492458365625</v>
      </c>
      <c r="DB299" s="2">
        <v>2</v>
      </c>
      <c r="DC299" s="648">
        <v>28727.38</v>
      </c>
      <c r="DD299" s="648">
        <v>3666.8900000000003</v>
      </c>
      <c r="DE299" s="649">
        <v>17882.551442774562</v>
      </c>
      <c r="DG299" s="321">
        <v>28456.784616263754</v>
      </c>
      <c r="DH299" s="5">
        <v>174140.62268670526</v>
      </c>
      <c r="DI299" s="306">
        <v>4.0509938732448667</v>
      </c>
      <c r="DJ299" s="306"/>
      <c r="DK299" s="306">
        <v>3.7047327035983404</v>
      </c>
      <c r="DL299" s="28">
        <v>6888.3099820655716</v>
      </c>
      <c r="DM299" s="28">
        <v>626.47030017847931</v>
      </c>
      <c r="DN299" s="650">
        <v>6888.35</v>
      </c>
      <c r="DO299" s="94">
        <v>-4.0017934428760782E-2</v>
      </c>
      <c r="DP299" s="28">
        <v>7514.7802822440508</v>
      </c>
      <c r="DQ299" s="318">
        <v>299.00655529735104</v>
      </c>
      <c r="DS299" s="8">
        <v>6872.1654542349524</v>
      </c>
      <c r="DT299" s="5">
        <v>343.6082727117477</v>
      </c>
      <c r="DW299" s="5">
        <v>3507.0042956187876</v>
      </c>
      <c r="DX299" s="5">
        <v>0</v>
      </c>
    </row>
    <row r="300" spans="1:128" x14ac:dyDescent="0.3">
      <c r="A300" s="325">
        <v>150000745</v>
      </c>
      <c r="B300" s="41" t="s">
        <v>746</v>
      </c>
      <c r="C300" s="42" t="s">
        <v>134</v>
      </c>
      <c r="D300" s="42" t="s">
        <v>134</v>
      </c>
      <c r="E300" s="293">
        <v>275.3</v>
      </c>
      <c r="F300" s="305">
        <v>275.3</v>
      </c>
      <c r="G300" s="51"/>
      <c r="H300" s="651">
        <v>0</v>
      </c>
      <c r="I300" s="73">
        <v>0</v>
      </c>
      <c r="J300" s="40">
        <v>0</v>
      </c>
      <c r="K300" s="52">
        <v>0</v>
      </c>
      <c r="L300" s="73">
        <v>0</v>
      </c>
      <c r="M300" s="40">
        <v>0</v>
      </c>
      <c r="N300" s="52">
        <v>0</v>
      </c>
      <c r="O300" s="73">
        <v>0</v>
      </c>
      <c r="P300" s="40">
        <v>0</v>
      </c>
      <c r="Q300" s="52">
        <v>0</v>
      </c>
      <c r="R300" s="73">
        <v>0</v>
      </c>
      <c r="S300" s="40">
        <v>0</v>
      </c>
      <c r="T300" s="52">
        <v>0</v>
      </c>
      <c r="U300" s="73">
        <v>0</v>
      </c>
      <c r="V300" s="40">
        <v>0</v>
      </c>
      <c r="W300" s="52">
        <v>0</v>
      </c>
      <c r="X300" s="73">
        <v>0</v>
      </c>
      <c r="Y300" s="40">
        <v>0</v>
      </c>
      <c r="Z300" s="52">
        <v>0</v>
      </c>
      <c r="AA300" s="73">
        <v>22.024000000000001</v>
      </c>
      <c r="AB300" s="40">
        <v>0</v>
      </c>
      <c r="AC300" s="52">
        <v>-22.024000000000001</v>
      </c>
      <c r="AD300" s="73">
        <v>176.30370659252168</v>
      </c>
      <c r="AE300" s="40">
        <v>248.12930594533776</v>
      </c>
      <c r="AF300" s="35">
        <v>71.825599352816084</v>
      </c>
      <c r="AG300" s="77">
        <v>198.32770659252168</v>
      </c>
      <c r="AH300" s="53">
        <v>248.12930594533776</v>
      </c>
      <c r="AI300" s="52">
        <v>49.801599352816083</v>
      </c>
      <c r="AJ300" s="73">
        <v>0</v>
      </c>
      <c r="AK300" s="40">
        <v>0</v>
      </c>
      <c r="AL300" s="52">
        <v>0</v>
      </c>
      <c r="AM300" s="73">
        <v>0</v>
      </c>
      <c r="AN300" s="40">
        <v>0</v>
      </c>
      <c r="AO300" s="52">
        <v>0</v>
      </c>
      <c r="AP300" s="73">
        <v>113.46224999999998</v>
      </c>
      <c r="AQ300" s="40">
        <v>0</v>
      </c>
      <c r="AR300" s="52">
        <v>-113.46224999999998</v>
      </c>
      <c r="AS300" s="73">
        <v>223.36657097939371</v>
      </c>
      <c r="AT300" s="40">
        <v>0</v>
      </c>
      <c r="AU300" s="54">
        <v>-223.36657097939371</v>
      </c>
      <c r="AV300" s="73">
        <v>0</v>
      </c>
      <c r="AW300" s="40">
        <v>0</v>
      </c>
      <c r="AX300" s="55">
        <v>0</v>
      </c>
      <c r="AY300" s="73">
        <v>0</v>
      </c>
      <c r="AZ300" s="40">
        <v>0</v>
      </c>
      <c r="BA300" s="35">
        <v>0</v>
      </c>
      <c r="BB300" s="73">
        <v>0</v>
      </c>
      <c r="BC300" s="40">
        <v>0</v>
      </c>
      <c r="BD300" s="55">
        <v>0</v>
      </c>
      <c r="BE300" s="73">
        <v>0</v>
      </c>
      <c r="BF300" s="40">
        <v>0</v>
      </c>
      <c r="BG300" s="38">
        <v>0</v>
      </c>
      <c r="BH300" s="73">
        <v>0</v>
      </c>
      <c r="BI300" s="40">
        <v>0</v>
      </c>
      <c r="BJ300" s="55">
        <v>0</v>
      </c>
      <c r="BK300" s="73">
        <v>0</v>
      </c>
      <c r="BL300" s="40">
        <v>0</v>
      </c>
      <c r="BM300" s="38">
        <v>0</v>
      </c>
      <c r="BN300" s="73">
        <v>5.5060000000000002</v>
      </c>
      <c r="BO300" s="40">
        <v>0</v>
      </c>
      <c r="BP300" s="55">
        <v>-5.5060000000000002</v>
      </c>
      <c r="BQ300" s="77">
        <v>5.5060000000000002</v>
      </c>
      <c r="BR300" s="40">
        <v>0</v>
      </c>
      <c r="BS300" s="55">
        <v>-5.5060000000000002</v>
      </c>
      <c r="BT300" s="73">
        <v>0</v>
      </c>
      <c r="BU300" s="40">
        <v>0</v>
      </c>
      <c r="BV300" s="52">
        <v>0</v>
      </c>
      <c r="BW300" s="73">
        <v>0</v>
      </c>
      <c r="BX300" s="40">
        <v>1.0221397620495838</v>
      </c>
      <c r="BY300" s="52">
        <v>1.0221397620495838</v>
      </c>
      <c r="BZ300" s="73">
        <v>0</v>
      </c>
      <c r="CA300" s="40">
        <v>0</v>
      </c>
      <c r="CB300" s="52">
        <v>0</v>
      </c>
      <c r="CC300" s="73">
        <v>0</v>
      </c>
      <c r="CD300" s="40">
        <v>0</v>
      </c>
      <c r="CE300" s="52">
        <v>0</v>
      </c>
      <c r="CF300" s="73">
        <v>0</v>
      </c>
      <c r="CG300" s="40">
        <v>0</v>
      </c>
      <c r="CH300" s="52">
        <v>0</v>
      </c>
      <c r="CI300" s="73">
        <v>0</v>
      </c>
      <c r="CJ300" s="40">
        <v>0</v>
      </c>
      <c r="CK300" s="52">
        <v>0</v>
      </c>
      <c r="CL300" s="73">
        <v>0</v>
      </c>
      <c r="CM300" s="40">
        <v>0</v>
      </c>
      <c r="CN300" s="52">
        <v>0</v>
      </c>
      <c r="CO300" s="39">
        <v>0</v>
      </c>
      <c r="CP300" s="40">
        <v>0</v>
      </c>
      <c r="CQ300" s="52">
        <v>0</v>
      </c>
      <c r="CR300" s="72">
        <v>540.66252757191535</v>
      </c>
      <c r="CS300" s="5">
        <v>249.15144570738735</v>
      </c>
      <c r="CT300" s="52">
        <v>-291.51108186452802</v>
      </c>
      <c r="CU300" s="77">
        <v>648.79503308629842</v>
      </c>
      <c r="CV300" s="65">
        <v>298.98173484886479</v>
      </c>
      <c r="CW300" s="35">
        <v>-349.81329823743363</v>
      </c>
      <c r="CX300" s="73">
        <v>36.224192962172324</v>
      </c>
      <c r="CY300" s="40">
        <v>386.03749119960594</v>
      </c>
      <c r="CZ300" s="52">
        <v>349.81329823743363</v>
      </c>
      <c r="DA300" s="150">
        <v>-2859.9443416099343</v>
      </c>
      <c r="DB300" s="2">
        <v>2</v>
      </c>
      <c r="DC300" s="648">
        <v>342.25</v>
      </c>
      <c r="DD300" s="648"/>
      <c r="DE300" s="649">
        <v>-342.76922604847073</v>
      </c>
      <c r="DG300" s="321">
        <v>-4311.1669132401412</v>
      </c>
      <c r="DH300" s="5">
        <v>8220.2307125816478</v>
      </c>
      <c r="DI300" s="306">
        <v>1.2372589624784114</v>
      </c>
      <c r="DJ300" s="306"/>
      <c r="DK300" s="306"/>
      <c r="DL300" s="28">
        <v>340.61739237030667</v>
      </c>
      <c r="DM300" s="28">
        <v>0</v>
      </c>
      <c r="DN300" s="650">
        <v>340.63</v>
      </c>
      <c r="DO300" s="94">
        <v>-1.2607629693320632E-2</v>
      </c>
      <c r="DP300" s="28">
        <v>340.61739237030667</v>
      </c>
      <c r="DQ300" s="318">
        <v>0</v>
      </c>
      <c r="DS300" s="8">
        <v>324.39751654314921</v>
      </c>
      <c r="DT300" s="5">
        <v>16.219875827157459</v>
      </c>
      <c r="DW300" s="5">
        <v>274.64708517527242</v>
      </c>
      <c r="DX300" s="5">
        <v>0</v>
      </c>
    </row>
    <row r="301" spans="1:128" ht="13.95" customHeight="1" x14ac:dyDescent="0.3">
      <c r="A301" s="325">
        <v>150001094</v>
      </c>
      <c r="B301" s="41" t="s">
        <v>747</v>
      </c>
      <c r="C301" s="42" t="s">
        <v>186</v>
      </c>
      <c r="D301" s="42" t="s">
        <v>186</v>
      </c>
      <c r="E301" s="293">
        <v>304.89999999999998</v>
      </c>
      <c r="F301" s="305">
        <v>304.89999999999998</v>
      </c>
      <c r="G301" s="51"/>
      <c r="H301" s="651">
        <v>0</v>
      </c>
      <c r="I301" s="73">
        <v>0</v>
      </c>
      <c r="J301" s="40">
        <v>0</v>
      </c>
      <c r="K301" s="52">
        <v>0</v>
      </c>
      <c r="L301" s="73">
        <v>0</v>
      </c>
      <c r="M301" s="40">
        <v>0</v>
      </c>
      <c r="N301" s="52">
        <v>0</v>
      </c>
      <c r="O301" s="73">
        <v>0</v>
      </c>
      <c r="P301" s="40">
        <v>0</v>
      </c>
      <c r="Q301" s="52">
        <v>0</v>
      </c>
      <c r="R301" s="73">
        <v>0</v>
      </c>
      <c r="S301" s="40">
        <v>0</v>
      </c>
      <c r="T301" s="52">
        <v>0</v>
      </c>
      <c r="U301" s="73">
        <v>0</v>
      </c>
      <c r="V301" s="40">
        <v>0</v>
      </c>
      <c r="W301" s="52">
        <v>0</v>
      </c>
      <c r="X301" s="73">
        <v>58.234216885912964</v>
      </c>
      <c r="Y301" s="40">
        <v>46.484209548292931</v>
      </c>
      <c r="Z301" s="52">
        <v>-11.750007337620033</v>
      </c>
      <c r="AA301" s="73">
        <v>24.400000000000002</v>
      </c>
      <c r="AB301" s="40">
        <v>0</v>
      </c>
      <c r="AC301" s="52">
        <v>-24.400000000000002</v>
      </c>
      <c r="AD301" s="73">
        <v>183.22206148308697</v>
      </c>
      <c r="AE301" s="40">
        <v>274.80793818646373</v>
      </c>
      <c r="AF301" s="35">
        <v>91.585876703376755</v>
      </c>
      <c r="AG301" s="77">
        <v>265.85627836899994</v>
      </c>
      <c r="AH301" s="53">
        <v>321.29214773475667</v>
      </c>
      <c r="AI301" s="52">
        <v>55.43586936575673</v>
      </c>
      <c r="AJ301" s="73">
        <v>0</v>
      </c>
      <c r="AK301" s="40">
        <v>0</v>
      </c>
      <c r="AL301" s="52">
        <v>0</v>
      </c>
      <c r="AM301" s="73">
        <v>0</v>
      </c>
      <c r="AN301" s="40">
        <v>0</v>
      </c>
      <c r="AO301" s="52">
        <v>0</v>
      </c>
      <c r="AP301" s="73">
        <v>0</v>
      </c>
      <c r="AQ301" s="40">
        <v>0</v>
      </c>
      <c r="AR301" s="52">
        <v>0</v>
      </c>
      <c r="AS301" s="73">
        <v>604.62761547003765</v>
      </c>
      <c r="AT301" s="40">
        <v>0</v>
      </c>
      <c r="AU301" s="54">
        <v>-604.62761547003765</v>
      </c>
      <c r="AV301" s="73">
        <v>0</v>
      </c>
      <c r="AW301" s="40">
        <v>0</v>
      </c>
      <c r="AX301" s="55">
        <v>0</v>
      </c>
      <c r="AY301" s="73">
        <v>0</v>
      </c>
      <c r="AZ301" s="40">
        <v>0</v>
      </c>
      <c r="BA301" s="35">
        <v>0</v>
      </c>
      <c r="BB301" s="73">
        <v>0</v>
      </c>
      <c r="BC301" s="40">
        <v>0</v>
      </c>
      <c r="BD301" s="55">
        <v>0</v>
      </c>
      <c r="BE301" s="73">
        <v>0</v>
      </c>
      <c r="BF301" s="40">
        <v>0</v>
      </c>
      <c r="BG301" s="38">
        <v>0</v>
      </c>
      <c r="BH301" s="73">
        <v>0</v>
      </c>
      <c r="BI301" s="40">
        <v>0</v>
      </c>
      <c r="BJ301" s="55">
        <v>0</v>
      </c>
      <c r="BK301" s="73">
        <v>16.432486765707239</v>
      </c>
      <c r="BL301" s="40">
        <v>0</v>
      </c>
      <c r="BM301" s="38">
        <v>-16.432486765707239</v>
      </c>
      <c r="BN301" s="73">
        <v>6.1000000000000005</v>
      </c>
      <c r="BO301" s="40">
        <v>0</v>
      </c>
      <c r="BP301" s="55">
        <v>-6.1000000000000005</v>
      </c>
      <c r="BQ301" s="77">
        <v>22.53248676570724</v>
      </c>
      <c r="BR301" s="40">
        <v>0</v>
      </c>
      <c r="BS301" s="55">
        <v>-22.53248676570724</v>
      </c>
      <c r="BT301" s="73">
        <v>0</v>
      </c>
      <c r="BU301" s="40">
        <v>0</v>
      </c>
      <c r="BV301" s="52">
        <v>0</v>
      </c>
      <c r="BW301" s="73">
        <v>0</v>
      </c>
      <c r="BX301" s="40">
        <v>1.1320392787828482</v>
      </c>
      <c r="BY301" s="52">
        <v>1.1320392787828482</v>
      </c>
      <c r="BZ301" s="73">
        <v>0</v>
      </c>
      <c r="CA301" s="40">
        <v>0</v>
      </c>
      <c r="CB301" s="52">
        <v>0</v>
      </c>
      <c r="CC301" s="73">
        <v>0</v>
      </c>
      <c r="CD301" s="40">
        <v>0</v>
      </c>
      <c r="CE301" s="52">
        <v>0</v>
      </c>
      <c r="CF301" s="73">
        <v>0</v>
      </c>
      <c r="CG301" s="40">
        <v>0</v>
      </c>
      <c r="CH301" s="52">
        <v>0</v>
      </c>
      <c r="CI301" s="73">
        <v>59.18</v>
      </c>
      <c r="CJ301" s="40">
        <v>15.335766895713437</v>
      </c>
      <c r="CK301" s="52">
        <v>-43.844233104286559</v>
      </c>
      <c r="CL301" s="73">
        <v>0</v>
      </c>
      <c r="CM301" s="40">
        <v>0</v>
      </c>
      <c r="CN301" s="52">
        <v>0</v>
      </c>
      <c r="CO301" s="39">
        <v>59.18</v>
      </c>
      <c r="CP301" s="40">
        <v>15.335766895713437</v>
      </c>
      <c r="CQ301" s="52">
        <v>-43.844233104286559</v>
      </c>
      <c r="CR301" s="72">
        <v>952.19638060474483</v>
      </c>
      <c r="CS301" s="5">
        <v>337.75995390925294</v>
      </c>
      <c r="CT301" s="52">
        <v>-614.43642669549195</v>
      </c>
      <c r="CU301" s="77">
        <v>1142.6356567256937</v>
      </c>
      <c r="CV301" s="65">
        <v>405.31194469110352</v>
      </c>
      <c r="CW301" s="35">
        <v>-737.32371203459024</v>
      </c>
      <c r="CX301" s="73">
        <v>63.796811633705062</v>
      </c>
      <c r="CY301" s="40">
        <v>801.12052366829539</v>
      </c>
      <c r="CZ301" s="52">
        <v>737.32371203459036</v>
      </c>
      <c r="DA301" s="150">
        <v>-5440.3678421296354</v>
      </c>
      <c r="DB301" s="2">
        <v>1</v>
      </c>
      <c r="DC301" s="648">
        <v>480.49</v>
      </c>
      <c r="DD301" s="648"/>
      <c r="DE301" s="649">
        <v>-725.94246835939884</v>
      </c>
      <c r="DG301" s="321">
        <v>2323.4134986025747</v>
      </c>
      <c r="DH301" s="5">
        <v>14477.189620312787</v>
      </c>
      <c r="DI301" s="306">
        <v>1.9668318681343908</v>
      </c>
      <c r="DJ301" s="306"/>
      <c r="DK301" s="306"/>
      <c r="DL301" s="28">
        <v>599.68703659417577</v>
      </c>
      <c r="DM301" s="28">
        <v>0</v>
      </c>
      <c r="DN301" s="650">
        <v>599.67999999999995</v>
      </c>
      <c r="DO301" s="94">
        <v>7.0365941758154804E-3</v>
      </c>
      <c r="DP301" s="28">
        <v>599.68703659417577</v>
      </c>
      <c r="DQ301" s="318">
        <v>-0.19668318681340224</v>
      </c>
      <c r="DS301" s="8">
        <v>571.31782836284685</v>
      </c>
      <c r="DT301" s="5">
        <v>28.565891418142346</v>
      </c>
      <c r="DW301" s="5">
        <v>752.59212268289389</v>
      </c>
      <c r="DX301" s="5">
        <v>0</v>
      </c>
    </row>
    <row r="302" spans="1:128" x14ac:dyDescent="0.3">
      <c r="A302" s="325">
        <v>150000851</v>
      </c>
      <c r="B302" s="41" t="s">
        <v>748</v>
      </c>
      <c r="C302" s="42" t="s">
        <v>135</v>
      </c>
      <c r="D302" s="42" t="s">
        <v>135</v>
      </c>
      <c r="E302" s="293">
        <v>168.1</v>
      </c>
      <c r="F302" s="305">
        <v>168.1</v>
      </c>
      <c r="G302" s="51"/>
      <c r="H302" s="651">
        <v>0</v>
      </c>
      <c r="I302" s="73">
        <v>0</v>
      </c>
      <c r="J302" s="40">
        <v>0</v>
      </c>
      <c r="K302" s="52">
        <v>0</v>
      </c>
      <c r="L302" s="73">
        <v>0</v>
      </c>
      <c r="M302" s="40">
        <v>0</v>
      </c>
      <c r="N302" s="52">
        <v>0</v>
      </c>
      <c r="O302" s="73">
        <v>0</v>
      </c>
      <c r="P302" s="40">
        <v>0</v>
      </c>
      <c r="Q302" s="52">
        <v>0</v>
      </c>
      <c r="R302" s="73">
        <v>0</v>
      </c>
      <c r="S302" s="40">
        <v>0</v>
      </c>
      <c r="T302" s="52">
        <v>0</v>
      </c>
      <c r="U302" s="73">
        <v>0</v>
      </c>
      <c r="V302" s="40">
        <v>0</v>
      </c>
      <c r="W302" s="52">
        <v>0</v>
      </c>
      <c r="X302" s="73">
        <v>0</v>
      </c>
      <c r="Y302" s="40">
        <v>0</v>
      </c>
      <c r="Z302" s="52">
        <v>0</v>
      </c>
      <c r="AA302" s="73">
        <v>13.448</v>
      </c>
      <c r="AB302" s="40">
        <v>0</v>
      </c>
      <c r="AC302" s="52">
        <v>-13.448</v>
      </c>
      <c r="AD302" s="73">
        <v>101.00464770700819</v>
      </c>
      <c r="AE302" s="40">
        <v>151.509394585584</v>
      </c>
      <c r="AF302" s="35">
        <v>50.504746878575816</v>
      </c>
      <c r="AG302" s="77">
        <v>114.4526477070082</v>
      </c>
      <c r="AH302" s="53">
        <v>151.509394585584</v>
      </c>
      <c r="AI302" s="52">
        <v>37.056746878575808</v>
      </c>
      <c r="AJ302" s="73">
        <v>0</v>
      </c>
      <c r="AK302" s="40">
        <v>0</v>
      </c>
      <c r="AL302" s="52">
        <v>0</v>
      </c>
      <c r="AM302" s="73">
        <v>0</v>
      </c>
      <c r="AN302" s="40">
        <v>0</v>
      </c>
      <c r="AO302" s="52">
        <v>0</v>
      </c>
      <c r="AP302" s="73">
        <v>37.820749999999997</v>
      </c>
      <c r="AQ302" s="40">
        <v>0</v>
      </c>
      <c r="AR302" s="52">
        <v>-37.820749999999997</v>
      </c>
      <c r="AS302" s="73">
        <v>152.29286804031682</v>
      </c>
      <c r="AT302" s="40">
        <v>0</v>
      </c>
      <c r="AU302" s="54">
        <v>-152.29286804031682</v>
      </c>
      <c r="AV302" s="73">
        <v>0</v>
      </c>
      <c r="AW302" s="40">
        <v>0</v>
      </c>
      <c r="AX302" s="55">
        <v>0</v>
      </c>
      <c r="AY302" s="73">
        <v>0</v>
      </c>
      <c r="AZ302" s="40">
        <v>0</v>
      </c>
      <c r="BA302" s="35">
        <v>0</v>
      </c>
      <c r="BB302" s="73">
        <v>0</v>
      </c>
      <c r="BC302" s="40">
        <v>0</v>
      </c>
      <c r="BD302" s="55">
        <v>0</v>
      </c>
      <c r="BE302" s="73">
        <v>0</v>
      </c>
      <c r="BF302" s="40">
        <v>0</v>
      </c>
      <c r="BG302" s="38">
        <v>0</v>
      </c>
      <c r="BH302" s="73">
        <v>0</v>
      </c>
      <c r="BI302" s="40">
        <v>0</v>
      </c>
      <c r="BJ302" s="55">
        <v>0</v>
      </c>
      <c r="BK302" s="73">
        <v>0</v>
      </c>
      <c r="BL302" s="40">
        <v>0</v>
      </c>
      <c r="BM302" s="38">
        <v>0</v>
      </c>
      <c r="BN302" s="73">
        <v>3.3620000000000001</v>
      </c>
      <c r="BO302" s="40">
        <v>0</v>
      </c>
      <c r="BP302" s="55">
        <v>-3.3620000000000001</v>
      </c>
      <c r="BQ302" s="77">
        <v>3.3620000000000001</v>
      </c>
      <c r="BR302" s="40">
        <v>0</v>
      </c>
      <c r="BS302" s="55">
        <v>-3.3620000000000001</v>
      </c>
      <c r="BT302" s="73">
        <v>0</v>
      </c>
      <c r="BU302" s="40">
        <v>0</v>
      </c>
      <c r="BV302" s="52">
        <v>0</v>
      </c>
      <c r="BW302" s="73">
        <v>0</v>
      </c>
      <c r="BX302" s="40">
        <v>0.62412529604262634</v>
      </c>
      <c r="BY302" s="52">
        <v>0.62412529604262634</v>
      </c>
      <c r="BZ302" s="73">
        <v>0</v>
      </c>
      <c r="CA302" s="40">
        <v>0</v>
      </c>
      <c r="CB302" s="52">
        <v>0</v>
      </c>
      <c r="CC302" s="73">
        <v>0</v>
      </c>
      <c r="CD302" s="40">
        <v>0</v>
      </c>
      <c r="CE302" s="52">
        <v>0</v>
      </c>
      <c r="CF302" s="73">
        <v>0</v>
      </c>
      <c r="CG302" s="40">
        <v>0</v>
      </c>
      <c r="CH302" s="52">
        <v>0</v>
      </c>
      <c r="CI302" s="73">
        <v>0</v>
      </c>
      <c r="CJ302" s="40">
        <v>0</v>
      </c>
      <c r="CK302" s="52">
        <v>0</v>
      </c>
      <c r="CL302" s="73">
        <v>0</v>
      </c>
      <c r="CM302" s="40">
        <v>0</v>
      </c>
      <c r="CN302" s="52">
        <v>0</v>
      </c>
      <c r="CO302" s="39">
        <v>0</v>
      </c>
      <c r="CP302" s="40">
        <v>0</v>
      </c>
      <c r="CQ302" s="52">
        <v>0</v>
      </c>
      <c r="CR302" s="72">
        <v>307.92826574732504</v>
      </c>
      <c r="CS302" s="5">
        <v>152.13351988162663</v>
      </c>
      <c r="CT302" s="52">
        <v>-155.79474586569842</v>
      </c>
      <c r="CU302" s="77">
        <v>369.51391889679002</v>
      </c>
      <c r="CV302" s="65">
        <v>182.56022385795194</v>
      </c>
      <c r="CW302" s="35">
        <v>-186.95369503883808</v>
      </c>
      <c r="CX302" s="73">
        <v>20.631081956118159</v>
      </c>
      <c r="CY302" s="40">
        <v>207.58477699495626</v>
      </c>
      <c r="CZ302" s="52">
        <v>186.95369503883811</v>
      </c>
      <c r="DA302" s="150">
        <v>-1819.5454122640913</v>
      </c>
      <c r="DB302" s="2">
        <v>3</v>
      </c>
      <c r="DC302" s="648">
        <v>722.35</v>
      </c>
      <c r="DD302" s="648"/>
      <c r="DE302" s="649">
        <v>332.20499914709183</v>
      </c>
      <c r="DG302" s="321">
        <v>-2838.0166205772493</v>
      </c>
      <c r="DH302" s="5">
        <v>4681.7400102348984</v>
      </c>
      <c r="DI302" s="306">
        <v>1.1540440655610635</v>
      </c>
      <c r="DJ302" s="306"/>
      <c r="DK302" s="306"/>
      <c r="DL302" s="28">
        <v>193.99480742081477</v>
      </c>
      <c r="DM302" s="28">
        <v>0</v>
      </c>
      <c r="DN302" s="650">
        <v>193.99</v>
      </c>
      <c r="DO302" s="94">
        <v>4.8074208147568243E-3</v>
      </c>
      <c r="DP302" s="28">
        <v>193.99480742081477</v>
      </c>
      <c r="DQ302" s="318">
        <v>0</v>
      </c>
      <c r="DS302" s="8">
        <v>184.75695944839501</v>
      </c>
      <c r="DT302" s="5">
        <v>9.2378479724197504</v>
      </c>
      <c r="DW302" s="5">
        <v>186.78584164838017</v>
      </c>
      <c r="DX302" s="5">
        <v>0</v>
      </c>
    </row>
    <row r="303" spans="1:128" x14ac:dyDescent="0.3">
      <c r="A303" s="325">
        <v>150000795</v>
      </c>
      <c r="B303" s="41" t="s">
        <v>749</v>
      </c>
      <c r="C303" s="42" t="s">
        <v>292</v>
      </c>
      <c r="D303" s="42" t="s">
        <v>292</v>
      </c>
      <c r="E303" s="293">
        <v>2762.24</v>
      </c>
      <c r="F303" s="305">
        <v>2762.24</v>
      </c>
      <c r="G303" s="51"/>
      <c r="H303" s="651">
        <v>0</v>
      </c>
      <c r="I303" s="73">
        <v>1511.5027601033498</v>
      </c>
      <c r="J303" s="40">
        <v>1695.2469126932854</v>
      </c>
      <c r="K303" s="52">
        <v>183.74415258993554</v>
      </c>
      <c r="L303" s="73">
        <v>309.68659486991743</v>
      </c>
      <c r="M303" s="40">
        <v>348.8986977239465</v>
      </c>
      <c r="N303" s="52">
        <v>39.212102854029069</v>
      </c>
      <c r="O303" s="73">
        <v>0</v>
      </c>
      <c r="P303" s="40">
        <v>0</v>
      </c>
      <c r="Q303" s="52">
        <v>0</v>
      </c>
      <c r="R303" s="73">
        <v>0</v>
      </c>
      <c r="S303" s="40">
        <v>0</v>
      </c>
      <c r="T303" s="52">
        <v>0</v>
      </c>
      <c r="U303" s="73">
        <v>0</v>
      </c>
      <c r="V303" s="40">
        <v>0</v>
      </c>
      <c r="W303" s="52">
        <v>0</v>
      </c>
      <c r="X303" s="73">
        <v>804.25792238439738</v>
      </c>
      <c r="Y303" s="40">
        <v>840.25371569982769</v>
      </c>
      <c r="Z303" s="52">
        <v>35.995793315430319</v>
      </c>
      <c r="AA303" s="73">
        <v>220.97919999999999</v>
      </c>
      <c r="AB303" s="40">
        <v>0</v>
      </c>
      <c r="AC303" s="52">
        <v>-220.97919999999999</v>
      </c>
      <c r="AD303" s="73">
        <v>1768.9893584771678</v>
      </c>
      <c r="AE303" s="40">
        <v>2489.6211189772966</v>
      </c>
      <c r="AF303" s="35">
        <v>720.63176050012885</v>
      </c>
      <c r="AG303" s="77">
        <v>4615.4158358348323</v>
      </c>
      <c r="AH303" s="53">
        <v>5374.0204450943565</v>
      </c>
      <c r="AI303" s="52">
        <v>758.6046092595243</v>
      </c>
      <c r="AJ303" s="73">
        <v>0</v>
      </c>
      <c r="AK303" s="40">
        <v>0</v>
      </c>
      <c r="AL303" s="52">
        <v>0</v>
      </c>
      <c r="AM303" s="73">
        <v>0</v>
      </c>
      <c r="AN303" s="40">
        <v>0</v>
      </c>
      <c r="AO303" s="52">
        <v>0</v>
      </c>
      <c r="AP303" s="73">
        <v>378.20749999999998</v>
      </c>
      <c r="AQ303" s="40">
        <v>0</v>
      </c>
      <c r="AR303" s="52">
        <v>-378.20749999999998</v>
      </c>
      <c r="AS303" s="73">
        <v>4693.1186752718349</v>
      </c>
      <c r="AT303" s="40">
        <v>0</v>
      </c>
      <c r="AU303" s="54">
        <v>-4693.1186752718349</v>
      </c>
      <c r="AV303" s="73">
        <v>694.25076820330457</v>
      </c>
      <c r="AW303" s="40">
        <v>0</v>
      </c>
      <c r="AX303" s="55">
        <v>-694.25076820330457</v>
      </c>
      <c r="AY303" s="73">
        <v>857.19644864157817</v>
      </c>
      <c r="AZ303" s="40">
        <v>0</v>
      </c>
      <c r="BA303" s="35">
        <v>-857.19644864157817</v>
      </c>
      <c r="BB303" s="73">
        <v>0</v>
      </c>
      <c r="BC303" s="40">
        <v>0</v>
      </c>
      <c r="BD303" s="55">
        <v>0</v>
      </c>
      <c r="BE303" s="73">
        <v>0</v>
      </c>
      <c r="BF303" s="40">
        <v>0</v>
      </c>
      <c r="BG303" s="38">
        <v>0</v>
      </c>
      <c r="BH303" s="73">
        <v>0</v>
      </c>
      <c r="BI303" s="40">
        <v>0</v>
      </c>
      <c r="BJ303" s="55">
        <v>0</v>
      </c>
      <c r="BK303" s="73">
        <v>575.55103277996704</v>
      </c>
      <c r="BL303" s="40">
        <v>0</v>
      </c>
      <c r="BM303" s="38">
        <v>-575.55103277996704</v>
      </c>
      <c r="BN303" s="73">
        <v>55.244799999999998</v>
      </c>
      <c r="BO303" s="40">
        <v>0</v>
      </c>
      <c r="BP303" s="55">
        <v>-55.244799999999998</v>
      </c>
      <c r="BQ303" s="77">
        <v>2182.2430496248498</v>
      </c>
      <c r="BR303" s="40">
        <v>0</v>
      </c>
      <c r="BS303" s="55">
        <v>-2182.2430496248498</v>
      </c>
      <c r="BT303" s="73">
        <v>3365.6863284163001</v>
      </c>
      <c r="BU303" s="40">
        <v>930.06361638190731</v>
      </c>
      <c r="BV303" s="52">
        <v>-2435.6227120343929</v>
      </c>
      <c r="BW303" s="73">
        <v>1901.6955821552101</v>
      </c>
      <c r="BX303" s="40">
        <v>2022.5555588634895</v>
      </c>
      <c r="BY303" s="52">
        <v>120.85997670827942</v>
      </c>
      <c r="BZ303" s="73">
        <v>1581.054597305706</v>
      </c>
      <c r="CA303" s="40">
        <v>5773.8819196039294</v>
      </c>
      <c r="CB303" s="52">
        <v>4192.8273222982234</v>
      </c>
      <c r="CC303" s="73">
        <v>223.84589095000001</v>
      </c>
      <c r="CD303" s="40">
        <v>282.44100974219657</v>
      </c>
      <c r="CE303" s="52">
        <v>58.595118792196558</v>
      </c>
      <c r="CF303" s="73">
        <v>26.595551400000002</v>
      </c>
      <c r="CG303" s="40">
        <v>0</v>
      </c>
      <c r="CH303" s="52">
        <v>-26.595551400000002</v>
      </c>
      <c r="CI303" s="73">
        <v>868.98</v>
      </c>
      <c r="CJ303" s="40">
        <v>1003.0104125396128</v>
      </c>
      <c r="CK303" s="52">
        <v>134.03041253961283</v>
      </c>
      <c r="CL303" s="73">
        <v>0</v>
      </c>
      <c r="CM303" s="40">
        <v>0</v>
      </c>
      <c r="CN303" s="52">
        <v>0</v>
      </c>
      <c r="CO303" s="39">
        <v>868.98</v>
      </c>
      <c r="CP303" s="40">
        <v>1003.0104125396128</v>
      </c>
      <c r="CQ303" s="52">
        <v>134.03041253961283</v>
      </c>
      <c r="CR303" s="72">
        <v>19836.843010958735</v>
      </c>
      <c r="CS303" s="5">
        <v>15385.972962225493</v>
      </c>
      <c r="CT303" s="52">
        <v>-4450.8700487332426</v>
      </c>
      <c r="CU303" s="77">
        <v>23804.211613150481</v>
      </c>
      <c r="CV303" s="65">
        <v>18463.167554670592</v>
      </c>
      <c r="CW303" s="35">
        <v>-5341.0440584798889</v>
      </c>
      <c r="CX303" s="73">
        <v>1329.0612763868839</v>
      </c>
      <c r="CY303" s="40">
        <v>6670.1053348667738</v>
      </c>
      <c r="CZ303" s="52">
        <v>5341.0440584798898</v>
      </c>
      <c r="DA303" s="150">
        <v>31529.174117189104</v>
      </c>
      <c r="DB303" s="2">
        <v>3</v>
      </c>
      <c r="DC303" s="648">
        <v>12554.37</v>
      </c>
      <c r="DD303" s="648"/>
      <c r="DE303" s="649">
        <v>-12578.902889537365</v>
      </c>
      <c r="DG303" s="321">
        <v>3476.8640158891449</v>
      </c>
      <c r="DH303" s="5">
        <v>301599.27467444842</v>
      </c>
      <c r="DI303" s="306">
        <v>4.5243031369120734</v>
      </c>
      <c r="DJ303" s="306"/>
      <c r="DK303" s="306"/>
      <c r="DL303" s="28">
        <v>12497.211096904004</v>
      </c>
      <c r="DM303" s="28">
        <v>0</v>
      </c>
      <c r="DN303" s="650">
        <v>12497.19</v>
      </c>
      <c r="DO303" s="94">
        <v>2.1096904003570671E-2</v>
      </c>
      <c r="DP303" s="28">
        <v>12497.211096904004</v>
      </c>
      <c r="DQ303" s="318">
        <v>0</v>
      </c>
      <c r="DS303" s="8">
        <v>11902.10580657524</v>
      </c>
      <c r="DT303" s="5">
        <v>595.10529032876207</v>
      </c>
      <c r="DW303" s="5">
        <v>8250.4340698760207</v>
      </c>
      <c r="DX303" s="5">
        <v>0</v>
      </c>
    </row>
    <row r="304" spans="1:128" x14ac:dyDescent="0.3">
      <c r="A304" s="325">
        <v>150000832</v>
      </c>
      <c r="B304" s="41" t="s">
        <v>750</v>
      </c>
      <c r="C304" s="42" t="s">
        <v>423</v>
      </c>
      <c r="D304" s="42" t="s">
        <v>423</v>
      </c>
      <c r="E304" s="293">
        <v>4396.8</v>
      </c>
      <c r="F304" s="652">
        <v>4396.8</v>
      </c>
      <c r="G304" s="653">
        <v>394.30000000000018</v>
      </c>
      <c r="H304" s="651">
        <v>0</v>
      </c>
      <c r="I304" s="73">
        <v>2443.4392606338756</v>
      </c>
      <c r="J304" s="40">
        <v>2717.1667749620647</v>
      </c>
      <c r="K304" s="52">
        <v>273.72751432818905</v>
      </c>
      <c r="L304" s="73">
        <v>395.66874633385959</v>
      </c>
      <c r="M304" s="40">
        <v>464.30568055700178</v>
      </c>
      <c r="N304" s="52">
        <v>68.636934223142191</v>
      </c>
      <c r="O304" s="73">
        <v>895.76529404790347</v>
      </c>
      <c r="P304" s="40">
        <v>895.76</v>
      </c>
      <c r="Q304" s="52">
        <v>-5.2940479034759846E-3</v>
      </c>
      <c r="R304" s="73">
        <v>179.70276188746666</v>
      </c>
      <c r="S304" s="40">
        <v>179.7</v>
      </c>
      <c r="T304" s="52">
        <v>-2.7618874666757165E-3</v>
      </c>
      <c r="U304" s="73">
        <v>59.013359818333555</v>
      </c>
      <c r="V304" s="40">
        <v>127.51703170176137</v>
      </c>
      <c r="W304" s="52">
        <v>68.503671883427813</v>
      </c>
      <c r="X304" s="73">
        <v>829.26118090067916</v>
      </c>
      <c r="Y304" s="40">
        <v>1543.4914448371196</v>
      </c>
      <c r="Z304" s="52">
        <v>714.23026393644045</v>
      </c>
      <c r="AA304" s="73">
        <v>360.98400000000004</v>
      </c>
      <c r="AB304" s="40">
        <v>0</v>
      </c>
      <c r="AC304" s="52">
        <v>-360.98400000000004</v>
      </c>
      <c r="AD304" s="73">
        <v>3246.170624645556</v>
      </c>
      <c r="AE304" s="40">
        <v>3962.8584539791541</v>
      </c>
      <c r="AF304" s="35">
        <v>716.68782933359807</v>
      </c>
      <c r="AG304" s="77">
        <v>8410.0052282676734</v>
      </c>
      <c r="AH304" s="53">
        <v>9890.7993860371007</v>
      </c>
      <c r="AI304" s="52">
        <v>1480.7941577694273</v>
      </c>
      <c r="AJ304" s="73">
        <v>4755.8480749999999</v>
      </c>
      <c r="AK304" s="40">
        <v>4684.1035022668948</v>
      </c>
      <c r="AL304" s="52">
        <v>-71.744572733105088</v>
      </c>
      <c r="AM304" s="73">
        <v>0</v>
      </c>
      <c r="AN304" s="40">
        <v>0</v>
      </c>
      <c r="AO304" s="52">
        <v>0</v>
      </c>
      <c r="AP304" s="73">
        <v>504.27666666666659</v>
      </c>
      <c r="AQ304" s="40">
        <v>0</v>
      </c>
      <c r="AR304" s="52">
        <v>-504.27666666666659</v>
      </c>
      <c r="AS304" s="73">
        <v>5241.8465562598612</v>
      </c>
      <c r="AT304" s="40">
        <v>0</v>
      </c>
      <c r="AU304" s="54">
        <v>-5241.8465562598612</v>
      </c>
      <c r="AV304" s="73">
        <v>1012.2315604342243</v>
      </c>
      <c r="AW304" s="40">
        <v>0</v>
      </c>
      <c r="AX304" s="55">
        <v>-1012.2315604342243</v>
      </c>
      <c r="AY304" s="73">
        <v>1018.0160330772276</v>
      </c>
      <c r="AZ304" s="40">
        <v>0</v>
      </c>
      <c r="BA304" s="35">
        <v>-1018.0160330772276</v>
      </c>
      <c r="BB304" s="73">
        <v>302.86782486431002</v>
      </c>
      <c r="BC304" s="40">
        <v>0</v>
      </c>
      <c r="BD304" s="55">
        <v>-302.86782486431002</v>
      </c>
      <c r="BE304" s="73">
        <v>943.59185187389608</v>
      </c>
      <c r="BF304" s="40">
        <v>0</v>
      </c>
      <c r="BG304" s="38">
        <v>-943.59185187389608</v>
      </c>
      <c r="BH304" s="73">
        <v>284.94336756732315</v>
      </c>
      <c r="BI304" s="40">
        <v>0</v>
      </c>
      <c r="BJ304" s="55">
        <v>-284.94336756732315</v>
      </c>
      <c r="BK304" s="73">
        <v>446.8854024887882</v>
      </c>
      <c r="BL304" s="40">
        <v>1695</v>
      </c>
      <c r="BM304" s="38">
        <v>1248.1145975112117</v>
      </c>
      <c r="BN304" s="73">
        <v>56.153232913900183</v>
      </c>
      <c r="BO304" s="40">
        <v>0</v>
      </c>
      <c r="BP304" s="55">
        <v>-56.153232913900183</v>
      </c>
      <c r="BQ304" s="77">
        <v>4064.6892732196693</v>
      </c>
      <c r="BR304" s="40">
        <v>1695</v>
      </c>
      <c r="BS304" s="55">
        <v>-2369.6892732196693</v>
      </c>
      <c r="BT304" s="73">
        <v>6627.0337647167798</v>
      </c>
      <c r="BU304" s="40">
        <v>1580.5007239796962</v>
      </c>
      <c r="BV304" s="52">
        <v>-5046.5330407370839</v>
      </c>
      <c r="BW304" s="73">
        <v>5187.8462651733398</v>
      </c>
      <c r="BX304" s="40">
        <v>7023.5174212878455</v>
      </c>
      <c r="BY304" s="52">
        <v>1835.6711561145057</v>
      </c>
      <c r="BZ304" s="73">
        <v>1465.18610007542</v>
      </c>
      <c r="CA304" s="40">
        <v>9199.1652433389481</v>
      </c>
      <c r="CB304" s="52">
        <v>7733.9791432635284</v>
      </c>
      <c r="CC304" s="73">
        <v>187.96868255000001</v>
      </c>
      <c r="CD304" s="40">
        <v>230.38703525046074</v>
      </c>
      <c r="CE304" s="52">
        <v>42.41835270046073</v>
      </c>
      <c r="CF304" s="73">
        <v>21.693982200000001</v>
      </c>
      <c r="CG304" s="40">
        <v>0</v>
      </c>
      <c r="CH304" s="52">
        <v>-21.693982200000001</v>
      </c>
      <c r="CI304" s="73">
        <v>3569.38</v>
      </c>
      <c r="CJ304" s="40">
        <v>2888.870879053241</v>
      </c>
      <c r="CK304" s="52">
        <v>-680.50912094675914</v>
      </c>
      <c r="CL304" s="73">
        <v>1202.2548999999999</v>
      </c>
      <c r="CM304" s="40">
        <v>983.56086239474848</v>
      </c>
      <c r="CN304" s="52">
        <v>-218.69403760525142</v>
      </c>
      <c r="CO304" s="39">
        <v>4771.6349</v>
      </c>
      <c r="CP304" s="40">
        <v>3872.4317414479892</v>
      </c>
      <c r="CQ304" s="52">
        <v>-899.20315855201079</v>
      </c>
      <c r="CR304" s="72">
        <v>41238.029494129412</v>
      </c>
      <c r="CS304" s="5">
        <v>38175.905053608934</v>
      </c>
      <c r="CT304" s="52">
        <v>-3062.1244405204779</v>
      </c>
      <c r="CU304" s="77">
        <v>49485.635392955293</v>
      </c>
      <c r="CV304" s="65">
        <v>45811.086064330717</v>
      </c>
      <c r="CW304" s="35">
        <v>-3674.5493286245764</v>
      </c>
      <c r="CX304" s="73">
        <v>2762.9329971946318</v>
      </c>
      <c r="CY304" s="40">
        <v>6437.4823258192118</v>
      </c>
      <c r="CZ304" s="52">
        <v>3674.5493286245801</v>
      </c>
      <c r="DA304" s="150">
        <v>-17079.386390769494</v>
      </c>
      <c r="DB304" s="2">
        <v>1</v>
      </c>
      <c r="DC304" s="648">
        <v>44310.92</v>
      </c>
      <c r="DD304" s="648">
        <v>0</v>
      </c>
      <c r="DE304" s="649">
        <v>-7937.6483901499305</v>
      </c>
      <c r="DG304" s="321">
        <v>-11302.01251298553</v>
      </c>
      <c r="DH304" s="5">
        <v>626982.8206817992</v>
      </c>
      <c r="DI304" s="306">
        <v>4.9447870791475079</v>
      </c>
      <c r="DJ304" s="306">
        <v>5.8826490270899408</v>
      </c>
      <c r="DK304" s="306">
        <v>4.2014073886914272</v>
      </c>
      <c r="DL304" s="28">
        <v>25495.03227623535</v>
      </c>
      <c r="DM304" s="28">
        <v>0</v>
      </c>
      <c r="DN304" s="650">
        <v>25495.03</v>
      </c>
      <c r="DO304" s="94">
        <v>2.2762353510188404E-3</v>
      </c>
      <c r="DP304" s="28">
        <v>25495.03227623535</v>
      </c>
      <c r="DQ304" s="318">
        <v>-484.92630506617934</v>
      </c>
      <c r="DS304" s="8">
        <v>24742.817696477647</v>
      </c>
      <c r="DT304" s="5">
        <v>1237.1408848238823</v>
      </c>
      <c r="DW304" s="5">
        <v>11167.842995375435</v>
      </c>
      <c r="DX304" s="5">
        <v>2034</v>
      </c>
    </row>
    <row r="305" spans="1:128" x14ac:dyDescent="0.3">
      <c r="A305" s="325">
        <v>150000833</v>
      </c>
      <c r="B305" s="41" t="s">
        <v>751</v>
      </c>
      <c r="C305" s="42" t="s">
        <v>393</v>
      </c>
      <c r="D305" s="42" t="s">
        <v>393</v>
      </c>
      <c r="E305" s="293">
        <v>4752.1000000000004</v>
      </c>
      <c r="F305" s="652">
        <v>4752.1000000000004</v>
      </c>
      <c r="G305" s="51">
        <v>455.30000000000018</v>
      </c>
      <c r="H305" s="651">
        <v>0</v>
      </c>
      <c r="I305" s="73">
        <v>2443.3956695325205</v>
      </c>
      <c r="J305" s="40">
        <v>2719.0859408104543</v>
      </c>
      <c r="K305" s="52">
        <v>275.69027127793379</v>
      </c>
      <c r="L305" s="73">
        <v>364.73377731765964</v>
      </c>
      <c r="M305" s="40">
        <v>430.46012337173943</v>
      </c>
      <c r="N305" s="52">
        <v>65.726346054079784</v>
      </c>
      <c r="O305" s="73">
        <v>939.42587469267346</v>
      </c>
      <c r="P305" s="40">
        <v>939.44</v>
      </c>
      <c r="Q305" s="52">
        <v>1.4125307326594339E-2</v>
      </c>
      <c r="R305" s="73">
        <v>194.11742696373332</v>
      </c>
      <c r="S305" s="40">
        <v>194.12</v>
      </c>
      <c r="T305" s="52">
        <v>2.5730362666820383E-3</v>
      </c>
      <c r="U305" s="73">
        <v>92.451448596603427</v>
      </c>
      <c r="V305" s="40">
        <v>190.19146420085929</v>
      </c>
      <c r="W305" s="52">
        <v>97.740015604255859</v>
      </c>
      <c r="X305" s="73">
        <v>800.69306250908062</v>
      </c>
      <c r="Y305" s="40">
        <v>985.61003090347788</v>
      </c>
      <c r="Z305" s="52">
        <v>184.91696839439726</v>
      </c>
      <c r="AA305" s="73">
        <v>380.16800000000006</v>
      </c>
      <c r="AB305" s="40">
        <v>0</v>
      </c>
      <c r="AC305" s="52">
        <v>-380.16800000000006</v>
      </c>
      <c r="AD305" s="73">
        <v>3423.4901636123336</v>
      </c>
      <c r="AE305" s="40">
        <v>4283.0921713869948</v>
      </c>
      <c r="AF305" s="35">
        <v>859.60200777466116</v>
      </c>
      <c r="AG305" s="77">
        <v>8638.4754232246032</v>
      </c>
      <c r="AH305" s="53">
        <v>9741.9997306735277</v>
      </c>
      <c r="AI305" s="52">
        <v>1103.5243074489244</v>
      </c>
      <c r="AJ305" s="73">
        <v>4755.8480749999999</v>
      </c>
      <c r="AK305" s="40">
        <v>4684.1035022668948</v>
      </c>
      <c r="AL305" s="52">
        <v>-71.744572733105088</v>
      </c>
      <c r="AM305" s="73">
        <v>0</v>
      </c>
      <c r="AN305" s="40">
        <v>0</v>
      </c>
      <c r="AO305" s="52">
        <v>0</v>
      </c>
      <c r="AP305" s="73">
        <v>504.27666666666659</v>
      </c>
      <c r="AQ305" s="40">
        <v>0</v>
      </c>
      <c r="AR305" s="52">
        <v>-504.27666666666659</v>
      </c>
      <c r="AS305" s="73">
        <v>5584.0064186344762</v>
      </c>
      <c r="AT305" s="40">
        <v>904</v>
      </c>
      <c r="AU305" s="54">
        <v>-4680.0064186344762</v>
      </c>
      <c r="AV305" s="73">
        <v>1012.2315604342243</v>
      </c>
      <c r="AW305" s="40">
        <v>221</v>
      </c>
      <c r="AX305" s="55">
        <v>-791.23156043422432</v>
      </c>
      <c r="AY305" s="73">
        <v>941.43288661911515</v>
      </c>
      <c r="AZ305" s="40">
        <v>2162</v>
      </c>
      <c r="BA305" s="35">
        <v>1220.5671133808848</v>
      </c>
      <c r="BB305" s="73">
        <v>342.51636336168662</v>
      </c>
      <c r="BC305" s="40">
        <v>0</v>
      </c>
      <c r="BD305" s="55">
        <v>-342.51636336168662</v>
      </c>
      <c r="BE305" s="73">
        <v>1026.095292548672</v>
      </c>
      <c r="BF305" s="40">
        <v>0</v>
      </c>
      <c r="BG305" s="38">
        <v>-1026.095292548672</v>
      </c>
      <c r="BH305" s="73">
        <v>446.43672107011059</v>
      </c>
      <c r="BI305" s="40">
        <v>0</v>
      </c>
      <c r="BJ305" s="55">
        <v>-446.43672107011059</v>
      </c>
      <c r="BK305" s="73">
        <v>427.93625550016998</v>
      </c>
      <c r="BL305" s="40">
        <v>0</v>
      </c>
      <c r="BM305" s="38">
        <v>-427.93625550016998</v>
      </c>
      <c r="BN305" s="73">
        <v>55.437999421960299</v>
      </c>
      <c r="BO305" s="40">
        <v>0</v>
      </c>
      <c r="BP305" s="55">
        <v>-55.437999421960299</v>
      </c>
      <c r="BQ305" s="77">
        <v>4252.0870789559394</v>
      </c>
      <c r="BR305" s="40">
        <v>2383</v>
      </c>
      <c r="BS305" s="55">
        <v>-1869.0870789559394</v>
      </c>
      <c r="BT305" s="73">
        <v>6304.28250018976</v>
      </c>
      <c r="BU305" s="40">
        <v>1527.852531622523</v>
      </c>
      <c r="BV305" s="52">
        <v>-4776.4299685672368</v>
      </c>
      <c r="BW305" s="73">
        <v>4359.6653655525797</v>
      </c>
      <c r="BX305" s="40">
        <v>6588.0669645477919</v>
      </c>
      <c r="BY305" s="52">
        <v>2228.4015989952122</v>
      </c>
      <c r="BZ305" s="73">
        <v>1794.891761858348</v>
      </c>
      <c r="CA305" s="40">
        <v>9283.2013772450537</v>
      </c>
      <c r="CB305" s="52">
        <v>7488.3096153867054</v>
      </c>
      <c r="CC305" s="73">
        <v>208.71821388000001</v>
      </c>
      <c r="CD305" s="40">
        <v>257.57077748503389</v>
      </c>
      <c r="CE305" s="52">
        <v>48.852563605033879</v>
      </c>
      <c r="CF305" s="73">
        <v>24.253690559999999</v>
      </c>
      <c r="CG305" s="40">
        <v>0</v>
      </c>
      <c r="CH305" s="52">
        <v>-24.253690559999999</v>
      </c>
      <c r="CI305" s="73">
        <v>825.38</v>
      </c>
      <c r="CJ305" s="40">
        <v>935.83326104963282</v>
      </c>
      <c r="CK305" s="52">
        <v>110.45326104963283</v>
      </c>
      <c r="CL305" s="73">
        <v>4167.4017000000003</v>
      </c>
      <c r="CM305" s="40">
        <v>4926.3755475198259</v>
      </c>
      <c r="CN305" s="52">
        <v>758.97384751982554</v>
      </c>
      <c r="CO305" s="39">
        <v>4992.7817000000005</v>
      </c>
      <c r="CP305" s="40">
        <v>5862.2088085694586</v>
      </c>
      <c r="CQ305" s="52">
        <v>869.42710856945814</v>
      </c>
      <c r="CR305" s="72">
        <v>41419.286894522374</v>
      </c>
      <c r="CS305" s="5">
        <v>41232.003692410275</v>
      </c>
      <c r="CT305" s="52">
        <v>-187.28320211209939</v>
      </c>
      <c r="CU305" s="77">
        <v>49703.144273426849</v>
      </c>
      <c r="CV305" s="65">
        <v>49478.404430892326</v>
      </c>
      <c r="CW305" s="35">
        <v>-224.73984253452363</v>
      </c>
      <c r="CX305" s="73">
        <v>2775.0771771827353</v>
      </c>
      <c r="CY305" s="40">
        <v>2999.8170197172585</v>
      </c>
      <c r="CZ305" s="52">
        <v>224.73984253452318</v>
      </c>
      <c r="DA305" s="150">
        <v>-43188.880015702365</v>
      </c>
      <c r="DB305" s="2">
        <v>1</v>
      </c>
      <c r="DC305" s="648">
        <v>50229.36</v>
      </c>
      <c r="DD305" s="648"/>
      <c r="DE305" s="649">
        <v>-2248.8614506095837</v>
      </c>
      <c r="DG305" s="321">
        <v>-35057.635144168147</v>
      </c>
      <c r="DH305" s="5">
        <v>629738.65740731498</v>
      </c>
      <c r="DI305" s="306">
        <v>4.3080960807430602</v>
      </c>
      <c r="DJ305" s="306">
        <v>5.6164295750295059</v>
      </c>
      <c r="DK305" s="306"/>
      <c r="DL305" s="28">
        <v>26094.150743549097</v>
      </c>
      <c r="DM305" s="28">
        <v>0</v>
      </c>
      <c r="DN305" s="650">
        <v>26093.99</v>
      </c>
      <c r="DO305" s="94">
        <v>0.16074354909505928</v>
      </c>
      <c r="DP305" s="28">
        <v>26094.150743549097</v>
      </c>
      <c r="DQ305" s="318">
        <v>0</v>
      </c>
      <c r="DS305" s="8">
        <v>24851.572136713425</v>
      </c>
      <c r="DT305" s="5">
        <v>1242.5786068356713</v>
      </c>
      <c r="DW305" s="5">
        <v>11803.3121971085</v>
      </c>
      <c r="DX305" s="5">
        <v>3944.3999999999996</v>
      </c>
    </row>
    <row r="306" spans="1:128" x14ac:dyDescent="0.3">
      <c r="A306" s="325">
        <v>150000836</v>
      </c>
      <c r="B306" s="41" t="s">
        <v>752</v>
      </c>
      <c r="C306" s="42" t="s">
        <v>199</v>
      </c>
      <c r="D306" s="42" t="s">
        <v>199</v>
      </c>
      <c r="E306" s="293">
        <v>1578.7</v>
      </c>
      <c r="F306" s="305">
        <v>1578.7</v>
      </c>
      <c r="G306" s="51"/>
      <c r="H306" s="651">
        <v>0</v>
      </c>
      <c r="I306" s="73">
        <v>908.2793023787525</v>
      </c>
      <c r="J306" s="40">
        <v>1002.6793602969447</v>
      </c>
      <c r="K306" s="52">
        <v>94.400057918192147</v>
      </c>
      <c r="L306" s="73">
        <v>222.37282610219273</v>
      </c>
      <c r="M306" s="40">
        <v>257.00785123677741</v>
      </c>
      <c r="N306" s="52">
        <v>34.63502513458468</v>
      </c>
      <c r="O306" s="73">
        <v>296.09246075123997</v>
      </c>
      <c r="P306" s="40">
        <v>296.10000000000002</v>
      </c>
      <c r="Q306" s="52">
        <v>7.5392487600538516E-3</v>
      </c>
      <c r="R306" s="73">
        <v>71.878497660130009</v>
      </c>
      <c r="S306" s="40">
        <v>71.88</v>
      </c>
      <c r="T306" s="52">
        <v>1.502339869986713E-3</v>
      </c>
      <c r="U306" s="73">
        <v>23.588392578193435</v>
      </c>
      <c r="V306" s="40">
        <v>44.212196569131102</v>
      </c>
      <c r="W306" s="52">
        <v>20.623803990937667</v>
      </c>
      <c r="X306" s="73">
        <v>302.77109246109222</v>
      </c>
      <c r="Y306" s="40">
        <v>214.81960704323225</v>
      </c>
      <c r="Z306" s="52">
        <v>-87.951485417859971</v>
      </c>
      <c r="AA306" s="73">
        <v>126.29600000000001</v>
      </c>
      <c r="AB306" s="40">
        <v>0</v>
      </c>
      <c r="AC306" s="52">
        <v>-126.29600000000001</v>
      </c>
      <c r="AD306" s="73">
        <v>1137.3190943631453</v>
      </c>
      <c r="AE306" s="40">
        <v>1422.8904296981646</v>
      </c>
      <c r="AF306" s="35">
        <v>285.57133533501928</v>
      </c>
      <c r="AG306" s="77">
        <v>3088.597666294746</v>
      </c>
      <c r="AH306" s="53">
        <v>3309.5894448442505</v>
      </c>
      <c r="AI306" s="52">
        <v>220.99177854950449</v>
      </c>
      <c r="AJ306" s="73">
        <v>0</v>
      </c>
      <c r="AK306" s="40">
        <v>0</v>
      </c>
      <c r="AL306" s="52">
        <v>0</v>
      </c>
      <c r="AM306" s="73">
        <v>0</v>
      </c>
      <c r="AN306" s="40">
        <v>0</v>
      </c>
      <c r="AO306" s="52">
        <v>0</v>
      </c>
      <c r="AP306" s="73">
        <v>75.641499999999994</v>
      </c>
      <c r="AQ306" s="40">
        <v>0</v>
      </c>
      <c r="AR306" s="52">
        <v>-75.641499999999994</v>
      </c>
      <c r="AS306" s="73">
        <v>3173.1861948294154</v>
      </c>
      <c r="AT306" s="40">
        <v>0</v>
      </c>
      <c r="AU306" s="54">
        <v>-3173.1861948294154</v>
      </c>
      <c r="AV306" s="73">
        <v>463.33951476355958</v>
      </c>
      <c r="AW306" s="40">
        <v>0</v>
      </c>
      <c r="AX306" s="55">
        <v>-463.33951476355958</v>
      </c>
      <c r="AY306" s="73">
        <v>589.86768724045817</v>
      </c>
      <c r="AZ306" s="40">
        <v>0</v>
      </c>
      <c r="BA306" s="35">
        <v>-589.86768724045817</v>
      </c>
      <c r="BB306" s="73">
        <v>92.004944660703188</v>
      </c>
      <c r="BC306" s="40">
        <v>0</v>
      </c>
      <c r="BD306" s="55">
        <v>-92.004944660703188</v>
      </c>
      <c r="BE306" s="73">
        <v>342.88164672202339</v>
      </c>
      <c r="BF306" s="40">
        <v>0</v>
      </c>
      <c r="BG306" s="38">
        <v>-342.88164672202339</v>
      </c>
      <c r="BH306" s="73">
        <v>113.96038355050413</v>
      </c>
      <c r="BI306" s="40">
        <v>0</v>
      </c>
      <c r="BJ306" s="55">
        <v>-113.96038355050413</v>
      </c>
      <c r="BK306" s="73">
        <v>65.687592086859439</v>
      </c>
      <c r="BL306" s="40">
        <v>0</v>
      </c>
      <c r="BM306" s="38">
        <v>-65.687592086859439</v>
      </c>
      <c r="BN306" s="73">
        <v>22.422451264236457</v>
      </c>
      <c r="BO306" s="40">
        <v>0</v>
      </c>
      <c r="BP306" s="55">
        <v>-22.422451264236457</v>
      </c>
      <c r="BQ306" s="77">
        <v>1690.1642202883443</v>
      </c>
      <c r="BR306" s="40">
        <v>0</v>
      </c>
      <c r="BS306" s="55">
        <v>-1690.1642202883443</v>
      </c>
      <c r="BT306" s="73">
        <v>2679.04301074666</v>
      </c>
      <c r="BU306" s="40">
        <v>670.8088517615638</v>
      </c>
      <c r="BV306" s="52">
        <v>-2008.2341589850962</v>
      </c>
      <c r="BW306" s="73">
        <v>1349.3193619739641</v>
      </c>
      <c r="BX306" s="40">
        <v>1343.6484941058768</v>
      </c>
      <c r="BY306" s="52">
        <v>-5.6708678680872708</v>
      </c>
      <c r="BZ306" s="73">
        <v>906.64715259565799</v>
      </c>
      <c r="CA306" s="40">
        <v>3888.4752242861687</v>
      </c>
      <c r="CB306" s="52">
        <v>2981.8280716905106</v>
      </c>
      <c r="CC306" s="73">
        <v>122.236664</v>
      </c>
      <c r="CD306" s="40">
        <v>154.23399849403228</v>
      </c>
      <c r="CE306" s="52">
        <v>31.997334494032273</v>
      </c>
      <c r="CF306" s="73">
        <v>14.523168</v>
      </c>
      <c r="CG306" s="40">
        <v>0</v>
      </c>
      <c r="CH306" s="52">
        <v>-14.523168</v>
      </c>
      <c r="CI306" s="73">
        <v>1442.08</v>
      </c>
      <c r="CJ306" s="40">
        <v>895.85775200086982</v>
      </c>
      <c r="CK306" s="52">
        <v>-546.2222479991301</v>
      </c>
      <c r="CL306" s="73">
        <v>0</v>
      </c>
      <c r="CM306" s="40">
        <v>0</v>
      </c>
      <c r="CN306" s="52">
        <v>0</v>
      </c>
      <c r="CO306" s="39">
        <v>1442.08</v>
      </c>
      <c r="CP306" s="40">
        <v>895.85775200086982</v>
      </c>
      <c r="CQ306" s="52">
        <v>-546.2222479991301</v>
      </c>
      <c r="CR306" s="72">
        <v>14541.43893872879</v>
      </c>
      <c r="CS306" s="5">
        <v>10262.613765492761</v>
      </c>
      <c r="CT306" s="52">
        <v>-4278.8251732360295</v>
      </c>
      <c r="CU306" s="77">
        <v>17449.726726474546</v>
      </c>
      <c r="CV306" s="65">
        <v>12315.136518591313</v>
      </c>
      <c r="CW306" s="35">
        <v>-5134.5902078832332</v>
      </c>
      <c r="CX306" s="73">
        <v>974.27112699999884</v>
      </c>
      <c r="CY306" s="40">
        <v>6108.8613348832332</v>
      </c>
      <c r="CZ306" s="52">
        <v>5134.5902078832341</v>
      </c>
      <c r="DA306" s="150">
        <v>-66417.523918027597</v>
      </c>
      <c r="DB306" s="2">
        <v>1</v>
      </c>
      <c r="DC306" s="648">
        <v>14337.22</v>
      </c>
      <c r="DD306" s="648"/>
      <c r="DE306" s="649">
        <v>-4086.7778534745466</v>
      </c>
      <c r="DG306" s="321">
        <v>29408.749391087338</v>
      </c>
      <c r="DH306" s="5">
        <v>221087.97424169455</v>
      </c>
      <c r="DI306" s="306">
        <v>5.8029432643308656</v>
      </c>
      <c r="DJ306" s="306"/>
      <c r="DK306" s="306"/>
      <c r="DL306" s="28">
        <v>9161.1065313991385</v>
      </c>
      <c r="DM306" s="28">
        <v>0</v>
      </c>
      <c r="DN306" s="650">
        <v>9161.0300000000007</v>
      </c>
      <c r="DO306" s="94">
        <v>7.6531399137820699E-2</v>
      </c>
      <c r="DP306" s="28">
        <v>9161.1065313991385</v>
      </c>
      <c r="DQ306" s="318">
        <v>0</v>
      </c>
      <c r="DS306" s="8">
        <v>8724.863363237273</v>
      </c>
      <c r="DT306" s="5">
        <v>436.24316816186371</v>
      </c>
      <c r="DW306" s="5">
        <v>5836.0204981413108</v>
      </c>
      <c r="DX306" s="5">
        <v>0</v>
      </c>
    </row>
    <row r="307" spans="1:128" x14ac:dyDescent="0.3">
      <c r="A307" s="325">
        <v>150000837</v>
      </c>
      <c r="B307" s="41" t="s">
        <v>753</v>
      </c>
      <c r="C307" s="42" t="s">
        <v>200</v>
      </c>
      <c r="D307" s="42" t="s">
        <v>200</v>
      </c>
      <c r="E307" s="293">
        <v>631.1</v>
      </c>
      <c r="F307" s="305">
        <v>525.20000000000005</v>
      </c>
      <c r="G307" s="51"/>
      <c r="H307" s="651">
        <v>105.9</v>
      </c>
      <c r="I307" s="73">
        <v>401.89934697374542</v>
      </c>
      <c r="J307" s="40">
        <v>442.95218024480914</v>
      </c>
      <c r="K307" s="52">
        <v>41.052833271063719</v>
      </c>
      <c r="L307" s="73">
        <v>67.354830761479846</v>
      </c>
      <c r="M307" s="40">
        <v>78.64829552653336</v>
      </c>
      <c r="N307" s="52">
        <v>11.293464765053514</v>
      </c>
      <c r="O307" s="73">
        <v>107.43122055536666</v>
      </c>
      <c r="P307" s="40">
        <v>107.44</v>
      </c>
      <c r="Q307" s="52">
        <v>8.7794446333333553E-3</v>
      </c>
      <c r="R307" s="73">
        <v>0</v>
      </c>
      <c r="S307" s="40">
        <v>0</v>
      </c>
      <c r="T307" s="52">
        <v>0</v>
      </c>
      <c r="U307" s="73">
        <v>0</v>
      </c>
      <c r="V307" s="40">
        <v>0</v>
      </c>
      <c r="W307" s="52">
        <v>0</v>
      </c>
      <c r="X307" s="73">
        <v>167.48414847217856</v>
      </c>
      <c r="Y307" s="40">
        <v>144.68065089160999</v>
      </c>
      <c r="Z307" s="52">
        <v>-22.803497580568575</v>
      </c>
      <c r="AA307" s="73">
        <v>54.048000000000002</v>
      </c>
      <c r="AB307" s="40">
        <v>0</v>
      </c>
      <c r="AC307" s="52">
        <v>-54.048000000000002</v>
      </c>
      <c r="AD307" s="73">
        <v>480.73952894597642</v>
      </c>
      <c r="AE307" s="40">
        <v>568.81367592481899</v>
      </c>
      <c r="AF307" s="35">
        <v>88.074146978842577</v>
      </c>
      <c r="AG307" s="77">
        <v>1278.957075708747</v>
      </c>
      <c r="AH307" s="53">
        <v>1342.5348025877715</v>
      </c>
      <c r="AI307" s="52">
        <v>63.577726879024567</v>
      </c>
      <c r="AJ307" s="73">
        <v>0</v>
      </c>
      <c r="AK307" s="40">
        <v>0</v>
      </c>
      <c r="AL307" s="52">
        <v>0</v>
      </c>
      <c r="AM307" s="73">
        <v>0</v>
      </c>
      <c r="AN307" s="40">
        <v>0</v>
      </c>
      <c r="AO307" s="52">
        <v>0</v>
      </c>
      <c r="AP307" s="73">
        <v>208.01412499999998</v>
      </c>
      <c r="AQ307" s="40">
        <v>0</v>
      </c>
      <c r="AR307" s="52">
        <v>-208.01412499999998</v>
      </c>
      <c r="AS307" s="73">
        <v>695.51052956223634</v>
      </c>
      <c r="AT307" s="40">
        <v>690</v>
      </c>
      <c r="AU307" s="54">
        <v>-5.5105295622363428</v>
      </c>
      <c r="AV307" s="73">
        <v>211.63328353101539</v>
      </c>
      <c r="AW307" s="40">
        <v>0</v>
      </c>
      <c r="AX307" s="55">
        <v>-211.63328353101539</v>
      </c>
      <c r="AY307" s="73">
        <v>186.39800078672963</v>
      </c>
      <c r="AZ307" s="40">
        <v>0</v>
      </c>
      <c r="BA307" s="35">
        <v>-186.39800078672963</v>
      </c>
      <c r="BB307" s="73">
        <v>28.874441426940002</v>
      </c>
      <c r="BC307" s="40">
        <v>0</v>
      </c>
      <c r="BD307" s="55">
        <v>-28.874441426940002</v>
      </c>
      <c r="BE307" s="73">
        <v>0</v>
      </c>
      <c r="BF307" s="40">
        <v>0</v>
      </c>
      <c r="BG307" s="38">
        <v>0</v>
      </c>
      <c r="BH307" s="73">
        <v>0</v>
      </c>
      <c r="BI307" s="40">
        <v>0</v>
      </c>
      <c r="BJ307" s="55">
        <v>0</v>
      </c>
      <c r="BK307" s="73">
        <v>54.88430718800214</v>
      </c>
      <c r="BL307" s="40">
        <v>0</v>
      </c>
      <c r="BM307" s="38">
        <v>-54.88430718800214</v>
      </c>
      <c r="BN307" s="73">
        <v>10.747651816804538</v>
      </c>
      <c r="BO307" s="40">
        <v>0</v>
      </c>
      <c r="BP307" s="55">
        <v>-10.747651816804538</v>
      </c>
      <c r="BQ307" s="77">
        <v>492.53768474949169</v>
      </c>
      <c r="BR307" s="40">
        <v>0</v>
      </c>
      <c r="BS307" s="55">
        <v>-492.53768474949169</v>
      </c>
      <c r="BT307" s="73">
        <v>853.64065258837604</v>
      </c>
      <c r="BU307" s="40">
        <v>220.26203268303718</v>
      </c>
      <c r="BV307" s="52">
        <v>-633.37861990533884</v>
      </c>
      <c r="BW307" s="73">
        <v>598.41839330979803</v>
      </c>
      <c r="BX307" s="40">
        <v>430.37610285481855</v>
      </c>
      <c r="BY307" s="52">
        <v>-168.04229045497948</v>
      </c>
      <c r="BZ307" s="73">
        <v>388.69304533108402</v>
      </c>
      <c r="CA307" s="40">
        <v>763.1555346562161</v>
      </c>
      <c r="CB307" s="52">
        <v>374.46248932513208</v>
      </c>
      <c r="CC307" s="73">
        <v>0</v>
      </c>
      <c r="CD307" s="40">
        <v>0</v>
      </c>
      <c r="CE307" s="52">
        <v>0</v>
      </c>
      <c r="CF307" s="73">
        <v>0</v>
      </c>
      <c r="CG307" s="40">
        <v>0</v>
      </c>
      <c r="CH307" s="52">
        <v>0</v>
      </c>
      <c r="CI307" s="73">
        <v>177.54</v>
      </c>
      <c r="CJ307" s="40">
        <v>76.70080200426176</v>
      </c>
      <c r="CK307" s="52">
        <v>-100.83919799573823</v>
      </c>
      <c r="CL307" s="73">
        <v>0</v>
      </c>
      <c r="CM307" s="40">
        <v>0</v>
      </c>
      <c r="CN307" s="52">
        <v>0</v>
      </c>
      <c r="CO307" s="39">
        <v>177.54</v>
      </c>
      <c r="CP307" s="40">
        <v>76.70080200426176</v>
      </c>
      <c r="CQ307" s="52">
        <v>-100.83919799573823</v>
      </c>
      <c r="CR307" s="72">
        <v>4693.3115062497336</v>
      </c>
      <c r="CS307" s="5">
        <v>3523.0292747861054</v>
      </c>
      <c r="CT307" s="52">
        <v>-1170.2822314636282</v>
      </c>
      <c r="CU307" s="77">
        <v>5631.9738074996803</v>
      </c>
      <c r="CV307" s="65">
        <v>4227.6351297433266</v>
      </c>
      <c r="CW307" s="35">
        <v>-1404.3386777563537</v>
      </c>
      <c r="CX307" s="73">
        <v>314.45016616462323</v>
      </c>
      <c r="CY307" s="40">
        <v>1718.7888439209773</v>
      </c>
      <c r="CZ307" s="52">
        <v>1404.3386777563542</v>
      </c>
      <c r="DA307" s="150">
        <v>16810.94279327914</v>
      </c>
      <c r="DB307" s="2">
        <v>1</v>
      </c>
      <c r="DC307" s="648">
        <v>2963.55</v>
      </c>
      <c r="DD307" s="648">
        <v>1041.4100000000001</v>
      </c>
      <c r="DE307" s="649">
        <v>-1941.4639736643039</v>
      </c>
      <c r="DG307" s="321">
        <v>7118.9615361380338</v>
      </c>
      <c r="DH307" s="5">
        <v>71357.087683971651</v>
      </c>
      <c r="DI307" s="306">
        <v>4.5363346246307943</v>
      </c>
      <c r="DJ307" s="306"/>
      <c r="DK307" s="306">
        <v>3.8185060111784472</v>
      </c>
      <c r="DL307" s="28">
        <v>2382.4829448560936</v>
      </c>
      <c r="DM307" s="28">
        <v>404.37978658379757</v>
      </c>
      <c r="DN307" s="650">
        <v>2382.4699999999998</v>
      </c>
      <c r="DO307" s="94">
        <v>1.2944856093781709E-2</v>
      </c>
      <c r="DP307" s="28">
        <v>2786.8627314398909</v>
      </c>
      <c r="DQ307" s="318">
        <v>-169.92351749744103</v>
      </c>
      <c r="DS307" s="8">
        <v>2815.9869037498402</v>
      </c>
      <c r="DT307" s="5">
        <v>140.79934518749201</v>
      </c>
      <c r="DW307" s="5">
        <v>1425.6578571740736</v>
      </c>
      <c r="DX307" s="5">
        <v>828</v>
      </c>
    </row>
    <row r="308" spans="1:128" x14ac:dyDescent="0.3">
      <c r="A308" s="325">
        <v>150000839</v>
      </c>
      <c r="B308" s="41" t="s">
        <v>754</v>
      </c>
      <c r="C308" s="42" t="s">
        <v>136</v>
      </c>
      <c r="D308" s="42" t="s">
        <v>136</v>
      </c>
      <c r="E308" s="293">
        <v>128.19999999999999</v>
      </c>
      <c r="F308" s="305">
        <v>128.19999999999999</v>
      </c>
      <c r="G308" s="51"/>
      <c r="H308" s="651">
        <v>0</v>
      </c>
      <c r="I308" s="73">
        <v>0</v>
      </c>
      <c r="J308" s="40">
        <v>0</v>
      </c>
      <c r="K308" s="52">
        <v>0</v>
      </c>
      <c r="L308" s="73">
        <v>0</v>
      </c>
      <c r="M308" s="40">
        <v>0</v>
      </c>
      <c r="N308" s="52">
        <v>0</v>
      </c>
      <c r="O308" s="73">
        <v>0</v>
      </c>
      <c r="P308" s="40">
        <v>0</v>
      </c>
      <c r="Q308" s="52">
        <v>0</v>
      </c>
      <c r="R308" s="73">
        <v>0</v>
      </c>
      <c r="S308" s="40">
        <v>0</v>
      </c>
      <c r="T308" s="52">
        <v>0</v>
      </c>
      <c r="U308" s="73">
        <v>0</v>
      </c>
      <c r="V308" s="40">
        <v>0</v>
      </c>
      <c r="W308" s="52">
        <v>0</v>
      </c>
      <c r="X308" s="73">
        <v>0</v>
      </c>
      <c r="Y308" s="40">
        <v>0</v>
      </c>
      <c r="Z308" s="52">
        <v>0</v>
      </c>
      <c r="AA308" s="73">
        <v>10.255999999999998</v>
      </c>
      <c r="AB308" s="40">
        <v>0</v>
      </c>
      <c r="AC308" s="52">
        <v>-10.255999999999998</v>
      </c>
      <c r="AD308" s="73">
        <v>82.100880871955155</v>
      </c>
      <c r="AE308" s="40">
        <v>115.54731936866072</v>
      </c>
      <c r="AF308" s="35">
        <v>33.446438496705568</v>
      </c>
      <c r="AG308" s="77">
        <v>92.356880871955155</v>
      </c>
      <c r="AH308" s="53">
        <v>115.54731936866072</v>
      </c>
      <c r="AI308" s="52">
        <v>23.190438496705568</v>
      </c>
      <c r="AJ308" s="73">
        <v>0</v>
      </c>
      <c r="AK308" s="40">
        <v>0</v>
      </c>
      <c r="AL308" s="52">
        <v>0</v>
      </c>
      <c r="AM308" s="73">
        <v>0</v>
      </c>
      <c r="AN308" s="40">
        <v>0</v>
      </c>
      <c r="AO308" s="52">
        <v>0</v>
      </c>
      <c r="AP308" s="73">
        <v>56.731124999999992</v>
      </c>
      <c r="AQ308" s="40">
        <v>0</v>
      </c>
      <c r="AR308" s="52">
        <v>-56.731124999999992</v>
      </c>
      <c r="AS308" s="73">
        <v>242.0379523677301</v>
      </c>
      <c r="AT308" s="40">
        <v>0</v>
      </c>
      <c r="AU308" s="54">
        <v>-242.0379523677301</v>
      </c>
      <c r="AV308" s="73">
        <v>0</v>
      </c>
      <c r="AW308" s="40">
        <v>0</v>
      </c>
      <c r="AX308" s="55">
        <v>0</v>
      </c>
      <c r="AY308" s="73">
        <v>0</v>
      </c>
      <c r="AZ308" s="40">
        <v>0</v>
      </c>
      <c r="BA308" s="35">
        <v>0</v>
      </c>
      <c r="BB308" s="73">
        <v>0</v>
      </c>
      <c r="BC308" s="40">
        <v>0</v>
      </c>
      <c r="BD308" s="55">
        <v>0</v>
      </c>
      <c r="BE308" s="73">
        <v>0</v>
      </c>
      <c r="BF308" s="40">
        <v>0</v>
      </c>
      <c r="BG308" s="38">
        <v>0</v>
      </c>
      <c r="BH308" s="73">
        <v>0</v>
      </c>
      <c r="BI308" s="40">
        <v>0</v>
      </c>
      <c r="BJ308" s="55">
        <v>0</v>
      </c>
      <c r="BK308" s="73">
        <v>0</v>
      </c>
      <c r="BL308" s="40">
        <v>0</v>
      </c>
      <c r="BM308" s="38">
        <v>0</v>
      </c>
      <c r="BN308" s="73">
        <v>3.801821818982944</v>
      </c>
      <c r="BO308" s="40">
        <v>0</v>
      </c>
      <c r="BP308" s="55">
        <v>-3.801821818982944</v>
      </c>
      <c r="BQ308" s="77">
        <v>3.801821818982944</v>
      </c>
      <c r="BR308" s="40">
        <v>0</v>
      </c>
      <c r="BS308" s="55">
        <v>-3.801821818982944</v>
      </c>
      <c r="BT308" s="73">
        <v>0</v>
      </c>
      <c r="BU308" s="40">
        <v>0</v>
      </c>
      <c r="BV308" s="52">
        <v>0</v>
      </c>
      <c r="BW308" s="73">
        <v>0</v>
      </c>
      <c r="BX308" s="40">
        <v>0.47598371774339499</v>
      </c>
      <c r="BY308" s="52">
        <v>0.47598371774339499</v>
      </c>
      <c r="BZ308" s="73">
        <v>0</v>
      </c>
      <c r="CA308" s="40">
        <v>0</v>
      </c>
      <c r="CB308" s="52">
        <v>0</v>
      </c>
      <c r="CC308" s="73">
        <v>0</v>
      </c>
      <c r="CD308" s="40">
        <v>0</v>
      </c>
      <c r="CE308" s="52">
        <v>0</v>
      </c>
      <c r="CF308" s="73">
        <v>0</v>
      </c>
      <c r="CG308" s="40">
        <v>0</v>
      </c>
      <c r="CH308" s="52">
        <v>0</v>
      </c>
      <c r="CI308" s="73">
        <v>0</v>
      </c>
      <c r="CJ308" s="40">
        <v>0</v>
      </c>
      <c r="CK308" s="52">
        <v>0</v>
      </c>
      <c r="CL308" s="73">
        <v>0</v>
      </c>
      <c r="CM308" s="40">
        <v>0</v>
      </c>
      <c r="CN308" s="52">
        <v>0</v>
      </c>
      <c r="CO308" s="39">
        <v>0</v>
      </c>
      <c r="CP308" s="40">
        <v>0</v>
      </c>
      <c r="CQ308" s="52">
        <v>0</v>
      </c>
      <c r="CR308" s="72">
        <v>394.92778005866819</v>
      </c>
      <c r="CS308" s="5">
        <v>116.02330308640411</v>
      </c>
      <c r="CT308" s="52">
        <v>-278.90447697226409</v>
      </c>
      <c r="CU308" s="77">
        <v>473.91333607040178</v>
      </c>
      <c r="CV308" s="65">
        <v>139.22796370368494</v>
      </c>
      <c r="CW308" s="35">
        <v>-334.68537236671682</v>
      </c>
      <c r="CX308" s="73">
        <v>26.460017814096918</v>
      </c>
      <c r="CY308" s="40">
        <v>361.14539018081382</v>
      </c>
      <c r="CZ308" s="52">
        <v>334.68537236671688</v>
      </c>
      <c r="DA308" s="150">
        <v>-1103.0014358181663</v>
      </c>
      <c r="DB308" s="2">
        <v>1</v>
      </c>
      <c r="DC308" s="648">
        <v>912.62</v>
      </c>
      <c r="DD308" s="648"/>
      <c r="DE308" s="649">
        <v>412.24664611550128</v>
      </c>
      <c r="DG308" s="321">
        <v>443.27605877095971</v>
      </c>
      <c r="DH308" s="5">
        <v>6004.4802466139845</v>
      </c>
      <c r="DI308" s="306">
        <v>1.9407527413179482</v>
      </c>
      <c r="DJ308" s="306"/>
      <c r="DK308" s="306"/>
      <c r="DL308" s="28">
        <v>248.80450143696095</v>
      </c>
      <c r="DM308" s="28">
        <v>0</v>
      </c>
      <c r="DN308" s="650">
        <v>248.82</v>
      </c>
      <c r="DO308" s="94">
        <v>-1.5498563039045621E-2</v>
      </c>
      <c r="DP308" s="28">
        <v>248.80450143696095</v>
      </c>
      <c r="DQ308" s="318">
        <v>0</v>
      </c>
      <c r="DS308" s="8">
        <v>236.95666803520089</v>
      </c>
      <c r="DT308" s="5">
        <v>11.847833401760047</v>
      </c>
      <c r="DW308" s="5">
        <v>295.00772902405566</v>
      </c>
      <c r="DX308" s="5">
        <v>0</v>
      </c>
    </row>
    <row r="309" spans="1:128" x14ac:dyDescent="0.3">
      <c r="A309" s="325">
        <v>150000840</v>
      </c>
      <c r="B309" s="41" t="s">
        <v>755</v>
      </c>
      <c r="C309" s="42" t="s">
        <v>394</v>
      </c>
      <c r="D309" s="42" t="s">
        <v>394</v>
      </c>
      <c r="E309" s="293">
        <v>4215.9399999999996</v>
      </c>
      <c r="F309" s="652">
        <v>4215.9399999999996</v>
      </c>
      <c r="G309" s="51">
        <v>460.10999999999967</v>
      </c>
      <c r="H309" s="651">
        <v>0</v>
      </c>
      <c r="I309" s="73">
        <v>2299.8060608402102</v>
      </c>
      <c r="J309" s="40">
        <v>2554.0358973051293</v>
      </c>
      <c r="K309" s="52">
        <v>254.22983646491912</v>
      </c>
      <c r="L309" s="73">
        <v>378.55820062427983</v>
      </c>
      <c r="M309" s="40">
        <v>443.8285086777845</v>
      </c>
      <c r="N309" s="52">
        <v>65.270308053504664</v>
      </c>
      <c r="O309" s="73">
        <v>793.44808087885337</v>
      </c>
      <c r="P309" s="40">
        <v>793.46</v>
      </c>
      <c r="Q309" s="52">
        <v>1.1919121146661382E-2</v>
      </c>
      <c r="R309" s="73">
        <v>177.12452785775665</v>
      </c>
      <c r="S309" s="40">
        <v>177.12</v>
      </c>
      <c r="T309" s="52">
        <v>-4.5278577566421063E-3</v>
      </c>
      <c r="U309" s="73">
        <v>86.533130947417462</v>
      </c>
      <c r="V309" s="40">
        <v>162.19236213913845</v>
      </c>
      <c r="W309" s="52">
        <v>75.659231191720991</v>
      </c>
      <c r="X309" s="73">
        <v>775.20845620856562</v>
      </c>
      <c r="Y309" s="40">
        <v>749.05115645237925</v>
      </c>
      <c r="Z309" s="52">
        <v>-26.157299756186376</v>
      </c>
      <c r="AA309" s="73">
        <v>337.27519999999998</v>
      </c>
      <c r="AB309" s="40">
        <v>0</v>
      </c>
      <c r="AC309" s="52">
        <v>-337.27519999999998</v>
      </c>
      <c r="AD309" s="73">
        <v>3037.2373480729384</v>
      </c>
      <c r="AE309" s="40">
        <v>3799.8484057653004</v>
      </c>
      <c r="AF309" s="35">
        <v>762.61105769236201</v>
      </c>
      <c r="AG309" s="77">
        <v>7885.1910054300215</v>
      </c>
      <c r="AH309" s="53">
        <v>8679.5363303397316</v>
      </c>
      <c r="AI309" s="52">
        <v>794.34532490971014</v>
      </c>
      <c r="AJ309" s="73">
        <v>4590.9940999999999</v>
      </c>
      <c r="AK309" s="40">
        <v>4521.7364397614083</v>
      </c>
      <c r="AL309" s="52">
        <v>-69.257660238591598</v>
      </c>
      <c r="AM309" s="73">
        <v>420.29977000000002</v>
      </c>
      <c r="AN309" s="40">
        <v>0</v>
      </c>
      <c r="AO309" s="52">
        <v>-420.29977000000002</v>
      </c>
      <c r="AP309" s="73">
        <v>453.84899999999993</v>
      </c>
      <c r="AQ309" s="40">
        <v>0</v>
      </c>
      <c r="AR309" s="52">
        <v>-453.84899999999993</v>
      </c>
      <c r="AS309" s="73">
        <v>5113.0434064478795</v>
      </c>
      <c r="AT309" s="40">
        <v>0</v>
      </c>
      <c r="AU309" s="54">
        <v>-5113.0434064478795</v>
      </c>
      <c r="AV309" s="73">
        <v>976.92347436439377</v>
      </c>
      <c r="AW309" s="40">
        <v>0</v>
      </c>
      <c r="AX309" s="55">
        <v>-976.92347436439377</v>
      </c>
      <c r="AY309" s="73">
        <v>1013.9546929185241</v>
      </c>
      <c r="AZ309" s="40">
        <v>0</v>
      </c>
      <c r="BA309" s="35">
        <v>-1013.9546929185241</v>
      </c>
      <c r="BB309" s="73">
        <v>332.29956719767</v>
      </c>
      <c r="BC309" s="40">
        <v>0</v>
      </c>
      <c r="BD309" s="55">
        <v>-332.29956719767</v>
      </c>
      <c r="BE309" s="73">
        <v>862.96562801363007</v>
      </c>
      <c r="BF309" s="40">
        <v>0</v>
      </c>
      <c r="BG309" s="38">
        <v>-862.96562801363007</v>
      </c>
      <c r="BH309" s="73">
        <v>417.92545115516577</v>
      </c>
      <c r="BI309" s="40">
        <v>0</v>
      </c>
      <c r="BJ309" s="55">
        <v>-417.92545115516577</v>
      </c>
      <c r="BK309" s="73">
        <v>474.83468287679017</v>
      </c>
      <c r="BL309" s="40">
        <v>0</v>
      </c>
      <c r="BM309" s="38">
        <v>-474.83468287679017</v>
      </c>
      <c r="BN309" s="73">
        <v>71.937602132174732</v>
      </c>
      <c r="BO309" s="40">
        <v>0</v>
      </c>
      <c r="BP309" s="55">
        <v>-71.937602132174732</v>
      </c>
      <c r="BQ309" s="77">
        <v>4150.8410986583485</v>
      </c>
      <c r="BR309" s="40">
        <v>0</v>
      </c>
      <c r="BS309" s="55">
        <v>-4150.8410986583485</v>
      </c>
      <c r="BT309" s="73">
        <v>6216.2644707579802</v>
      </c>
      <c r="BU309" s="40">
        <v>1409.9724359456422</v>
      </c>
      <c r="BV309" s="52">
        <v>-4806.292034812338</v>
      </c>
      <c r="BW309" s="73">
        <v>3994.24643522818</v>
      </c>
      <c r="BX309" s="40">
        <v>4388.2644002045145</v>
      </c>
      <c r="BY309" s="52">
        <v>394.0179649763345</v>
      </c>
      <c r="BZ309" s="73">
        <v>1611.6650680840639</v>
      </c>
      <c r="CA309" s="40">
        <v>8387.9561105399807</v>
      </c>
      <c r="CB309" s="52">
        <v>6776.2910424559168</v>
      </c>
      <c r="CC309" s="73">
        <v>257.91882709999999</v>
      </c>
      <c r="CD309" s="40">
        <v>321.96347185629241</v>
      </c>
      <c r="CE309" s="52">
        <v>64.044644756292428</v>
      </c>
      <c r="CF309" s="73">
        <v>30.317113200000001</v>
      </c>
      <c r="CG309" s="40">
        <v>0</v>
      </c>
      <c r="CH309" s="52">
        <v>-30.317113200000001</v>
      </c>
      <c r="CI309" s="73">
        <v>2152.2199999999998</v>
      </c>
      <c r="CJ309" s="40">
        <v>1359.1370399141479</v>
      </c>
      <c r="CK309" s="52">
        <v>-793.08296008585194</v>
      </c>
      <c r="CL309" s="73">
        <v>1208.4842000000001</v>
      </c>
      <c r="CM309" s="40">
        <v>1015.3376061247023</v>
      </c>
      <c r="CN309" s="52">
        <v>-193.14659387529775</v>
      </c>
      <c r="CO309" s="39">
        <v>3360.7042000000001</v>
      </c>
      <c r="CP309" s="40">
        <v>2374.4746460388501</v>
      </c>
      <c r="CQ309" s="52">
        <v>-986.22955396115003</v>
      </c>
      <c r="CR309" s="72">
        <v>38085.33449490647</v>
      </c>
      <c r="CS309" s="5">
        <v>30083.903834686418</v>
      </c>
      <c r="CT309" s="52">
        <v>-8001.4306602200522</v>
      </c>
      <c r="CU309" s="77">
        <v>45702.401393887762</v>
      </c>
      <c r="CV309" s="65">
        <v>36100.684601623703</v>
      </c>
      <c r="CW309" s="35">
        <v>-9601.7167922640583</v>
      </c>
      <c r="CX309" s="73">
        <v>2551.7035774018259</v>
      </c>
      <c r="CY309" s="40">
        <v>12153.420369665888</v>
      </c>
      <c r="CZ309" s="52">
        <v>9601.716792264062</v>
      </c>
      <c r="DA309" s="150">
        <v>102221.25637041457</v>
      </c>
      <c r="DB309" s="2">
        <v>1</v>
      </c>
      <c r="DC309" s="648">
        <v>31842.12</v>
      </c>
      <c r="DD309" s="648"/>
      <c r="DE309" s="649">
        <v>-16411.984971289592</v>
      </c>
      <c r="DG309" s="321">
        <v>-58237.573978822569</v>
      </c>
      <c r="DH309" s="5">
        <v>579049.25965547515</v>
      </c>
      <c r="DI309" s="306">
        <v>4.7617614452983377</v>
      </c>
      <c r="DJ309" s="306">
        <v>5.8050621761887129</v>
      </c>
      <c r="DK309" s="306"/>
      <c r="DL309" s="28">
        <v>23993.76073179107</v>
      </c>
      <c r="DM309" s="28">
        <v>0</v>
      </c>
      <c r="DN309" s="650">
        <v>23994.1</v>
      </c>
      <c r="DO309" s="94">
        <v>-0.3392682089288428</v>
      </c>
      <c r="DP309" s="28">
        <v>23993.76073179107</v>
      </c>
      <c r="DQ309" s="318">
        <v>0</v>
      </c>
      <c r="DS309" s="8">
        <v>22851.200696943881</v>
      </c>
      <c r="DT309" s="5">
        <v>1142.5600348471942</v>
      </c>
      <c r="DW309" s="5">
        <v>11116.661406127472</v>
      </c>
      <c r="DX309" s="5">
        <v>0</v>
      </c>
    </row>
    <row r="310" spans="1:128" x14ac:dyDescent="0.3">
      <c r="A310" s="325">
        <v>150000841</v>
      </c>
      <c r="B310" s="41" t="s">
        <v>756</v>
      </c>
      <c r="C310" s="42" t="s">
        <v>137</v>
      </c>
      <c r="D310" s="42" t="s">
        <v>137</v>
      </c>
      <c r="E310" s="293">
        <v>172.4</v>
      </c>
      <c r="F310" s="305">
        <v>172.4</v>
      </c>
      <c r="G310" s="51"/>
      <c r="H310" s="651">
        <v>0</v>
      </c>
      <c r="I310" s="73">
        <v>0</v>
      </c>
      <c r="J310" s="40">
        <v>0</v>
      </c>
      <c r="K310" s="52">
        <v>0</v>
      </c>
      <c r="L310" s="73">
        <v>0</v>
      </c>
      <c r="M310" s="40">
        <v>0</v>
      </c>
      <c r="N310" s="52">
        <v>0</v>
      </c>
      <c r="O310" s="73">
        <v>0</v>
      </c>
      <c r="P310" s="40">
        <v>0</v>
      </c>
      <c r="Q310" s="52">
        <v>0</v>
      </c>
      <c r="R310" s="73">
        <v>0</v>
      </c>
      <c r="S310" s="40">
        <v>0</v>
      </c>
      <c r="T310" s="52">
        <v>0</v>
      </c>
      <c r="U310" s="73">
        <v>0</v>
      </c>
      <c r="V310" s="40">
        <v>0</v>
      </c>
      <c r="W310" s="52">
        <v>0</v>
      </c>
      <c r="X310" s="73">
        <v>0</v>
      </c>
      <c r="Y310" s="40">
        <v>0</v>
      </c>
      <c r="Z310" s="52">
        <v>0</v>
      </c>
      <c r="AA310" s="73">
        <v>13.792000000000002</v>
      </c>
      <c r="AB310" s="40">
        <v>0</v>
      </c>
      <c r="AC310" s="52">
        <v>-13.792000000000002</v>
      </c>
      <c r="AD310" s="73">
        <v>110.40592277833706</v>
      </c>
      <c r="AE310" s="40">
        <v>155.38500670169356</v>
      </c>
      <c r="AF310" s="35">
        <v>44.979083923356498</v>
      </c>
      <c r="AG310" s="77">
        <v>124.19792277833706</v>
      </c>
      <c r="AH310" s="53">
        <v>155.38500670169356</v>
      </c>
      <c r="AI310" s="52">
        <v>31.187083923356496</v>
      </c>
      <c r="AJ310" s="73">
        <v>0</v>
      </c>
      <c r="AK310" s="40">
        <v>0</v>
      </c>
      <c r="AL310" s="52">
        <v>0</v>
      </c>
      <c r="AM310" s="73">
        <v>0</v>
      </c>
      <c r="AN310" s="40">
        <v>0</v>
      </c>
      <c r="AO310" s="52">
        <v>0</v>
      </c>
      <c r="AP310" s="73">
        <v>37.820749999999997</v>
      </c>
      <c r="AQ310" s="40">
        <v>0</v>
      </c>
      <c r="AR310" s="52">
        <v>-37.820749999999997</v>
      </c>
      <c r="AS310" s="73">
        <v>216.02606859502492</v>
      </c>
      <c r="AT310" s="40">
        <v>0</v>
      </c>
      <c r="AU310" s="54">
        <v>-216.02606859502492</v>
      </c>
      <c r="AV310" s="73">
        <v>0</v>
      </c>
      <c r="AW310" s="40">
        <v>0</v>
      </c>
      <c r="AX310" s="55">
        <v>0</v>
      </c>
      <c r="AY310" s="73">
        <v>0</v>
      </c>
      <c r="AZ310" s="40">
        <v>0</v>
      </c>
      <c r="BA310" s="35">
        <v>0</v>
      </c>
      <c r="BB310" s="73">
        <v>0</v>
      </c>
      <c r="BC310" s="40">
        <v>0</v>
      </c>
      <c r="BD310" s="55">
        <v>0</v>
      </c>
      <c r="BE310" s="73">
        <v>0</v>
      </c>
      <c r="BF310" s="40">
        <v>0</v>
      </c>
      <c r="BG310" s="38">
        <v>0</v>
      </c>
      <c r="BH310" s="73">
        <v>0</v>
      </c>
      <c r="BI310" s="40">
        <v>0</v>
      </c>
      <c r="BJ310" s="55">
        <v>0</v>
      </c>
      <c r="BK310" s="73">
        <v>0</v>
      </c>
      <c r="BL310" s="40">
        <v>0</v>
      </c>
      <c r="BM310" s="38">
        <v>0</v>
      </c>
      <c r="BN310" s="73">
        <v>5.0408030857937973</v>
      </c>
      <c r="BO310" s="40">
        <v>0</v>
      </c>
      <c r="BP310" s="55">
        <v>-5.0408030857937973</v>
      </c>
      <c r="BQ310" s="77">
        <v>5.0408030857937973</v>
      </c>
      <c r="BR310" s="40">
        <v>0</v>
      </c>
      <c r="BS310" s="55">
        <v>-5.0408030857937973</v>
      </c>
      <c r="BT310" s="73">
        <v>0</v>
      </c>
      <c r="BU310" s="40">
        <v>0</v>
      </c>
      <c r="BV310" s="52">
        <v>0</v>
      </c>
      <c r="BW310" s="73">
        <v>0</v>
      </c>
      <c r="BX310" s="40">
        <v>0.64009042854103981</v>
      </c>
      <c r="BY310" s="52">
        <v>0.64009042854103981</v>
      </c>
      <c r="BZ310" s="73">
        <v>0</v>
      </c>
      <c r="CA310" s="40">
        <v>0</v>
      </c>
      <c r="CB310" s="52">
        <v>0</v>
      </c>
      <c r="CC310" s="73">
        <v>0</v>
      </c>
      <c r="CD310" s="40">
        <v>0</v>
      </c>
      <c r="CE310" s="52">
        <v>0</v>
      </c>
      <c r="CF310" s="73">
        <v>0</v>
      </c>
      <c r="CG310" s="40">
        <v>0</v>
      </c>
      <c r="CH310" s="52">
        <v>0</v>
      </c>
      <c r="CI310" s="73">
        <v>0</v>
      </c>
      <c r="CJ310" s="40">
        <v>0</v>
      </c>
      <c r="CK310" s="52">
        <v>0</v>
      </c>
      <c r="CL310" s="73">
        <v>0</v>
      </c>
      <c r="CM310" s="40">
        <v>0</v>
      </c>
      <c r="CN310" s="52">
        <v>0</v>
      </c>
      <c r="CO310" s="39">
        <v>0</v>
      </c>
      <c r="CP310" s="40">
        <v>0</v>
      </c>
      <c r="CQ310" s="52">
        <v>0</v>
      </c>
      <c r="CR310" s="72">
        <v>383.08554445915576</v>
      </c>
      <c r="CS310" s="5">
        <v>156.0250971302346</v>
      </c>
      <c r="CT310" s="52">
        <v>-227.06044732892116</v>
      </c>
      <c r="CU310" s="77">
        <v>459.70265335098691</v>
      </c>
      <c r="CV310" s="65">
        <v>187.2301165562815</v>
      </c>
      <c r="CW310" s="35">
        <v>-272.47253679470543</v>
      </c>
      <c r="CX310" s="73">
        <v>25.66659233039131</v>
      </c>
      <c r="CY310" s="40">
        <v>298.1391291250967</v>
      </c>
      <c r="CZ310" s="52">
        <v>272.47253679470538</v>
      </c>
      <c r="DA310" s="150">
        <v>-2847.0130388642965</v>
      </c>
      <c r="DB310" s="2">
        <v>1</v>
      </c>
      <c r="DC310" s="648">
        <v>860.01</v>
      </c>
      <c r="DD310" s="648"/>
      <c r="DE310" s="649">
        <v>374.64075431862176</v>
      </c>
      <c r="DG310" s="321">
        <v>-541.9247094401112</v>
      </c>
      <c r="DH310" s="5">
        <v>5824.4309481765385</v>
      </c>
      <c r="DI310" s="306">
        <v>1.3999065719795134</v>
      </c>
      <c r="DJ310" s="306"/>
      <c r="DK310" s="306"/>
      <c r="DL310" s="28">
        <v>241.34389300926813</v>
      </c>
      <c r="DM310" s="28">
        <v>0</v>
      </c>
      <c r="DN310" s="650">
        <v>241.35</v>
      </c>
      <c r="DO310" s="94">
        <v>-6.1069907318653804E-3</v>
      </c>
      <c r="DP310" s="28">
        <v>241.34389300926813</v>
      </c>
      <c r="DQ310" s="318">
        <v>0</v>
      </c>
      <c r="DS310" s="8">
        <v>229.85132667549345</v>
      </c>
      <c r="DT310" s="5">
        <v>11.492566333774672</v>
      </c>
      <c r="DW310" s="5">
        <v>265.28024601698246</v>
      </c>
      <c r="DX310" s="5">
        <v>0</v>
      </c>
    </row>
    <row r="311" spans="1:128" x14ac:dyDescent="0.3">
      <c r="A311" s="325">
        <v>150000848</v>
      </c>
      <c r="B311" s="41" t="s">
        <v>757</v>
      </c>
      <c r="C311" s="42" t="s">
        <v>187</v>
      </c>
      <c r="D311" s="42" t="s">
        <v>187</v>
      </c>
      <c r="E311" s="293">
        <v>261.2</v>
      </c>
      <c r="F311" s="305">
        <v>261.2</v>
      </c>
      <c r="G311" s="51"/>
      <c r="H311" s="651">
        <v>0</v>
      </c>
      <c r="I311" s="73">
        <v>134.05381129091339</v>
      </c>
      <c r="J311" s="40">
        <v>147.08438524264358</v>
      </c>
      <c r="K311" s="52">
        <v>13.03057395173019</v>
      </c>
      <c r="L311" s="73">
        <v>35.340998767967648</v>
      </c>
      <c r="M311" s="40">
        <v>39.815727502537413</v>
      </c>
      <c r="N311" s="52">
        <v>4.4747287345697657</v>
      </c>
      <c r="O311" s="73">
        <v>52.247599282029995</v>
      </c>
      <c r="P311" s="40">
        <v>0</v>
      </c>
      <c r="Q311" s="52">
        <v>-52.247599282029995</v>
      </c>
      <c r="R311" s="73">
        <v>0</v>
      </c>
      <c r="S311" s="40">
        <v>0</v>
      </c>
      <c r="T311" s="52">
        <v>0</v>
      </c>
      <c r="U311" s="73">
        <v>0</v>
      </c>
      <c r="V311" s="40">
        <v>0</v>
      </c>
      <c r="W311" s="52">
        <v>0</v>
      </c>
      <c r="X311" s="73">
        <v>97.863259094995513</v>
      </c>
      <c r="Y311" s="40">
        <v>94.088904772443271</v>
      </c>
      <c r="Z311" s="52">
        <v>-3.7743543225522416</v>
      </c>
      <c r="AA311" s="73">
        <v>20.896000000000001</v>
      </c>
      <c r="AB311" s="40">
        <v>0</v>
      </c>
      <c r="AC311" s="52">
        <v>-20.896000000000001</v>
      </c>
      <c r="AD311" s="73">
        <v>188.19481508720452</v>
      </c>
      <c r="AE311" s="40">
        <v>235.42090342507163</v>
      </c>
      <c r="AF311" s="35">
        <v>47.226088337867111</v>
      </c>
      <c r="AG311" s="77">
        <v>528.59648352311115</v>
      </c>
      <c r="AH311" s="53">
        <v>516.40992094269586</v>
      </c>
      <c r="AI311" s="52">
        <v>-12.186562580415284</v>
      </c>
      <c r="AJ311" s="73">
        <v>0</v>
      </c>
      <c r="AK311" s="40">
        <v>0</v>
      </c>
      <c r="AL311" s="52">
        <v>0</v>
      </c>
      <c r="AM311" s="73">
        <v>0</v>
      </c>
      <c r="AN311" s="40">
        <v>0</v>
      </c>
      <c r="AO311" s="52">
        <v>0</v>
      </c>
      <c r="AP311" s="73">
        <v>75.641499999999994</v>
      </c>
      <c r="AQ311" s="40">
        <v>0</v>
      </c>
      <c r="AR311" s="52">
        <v>-75.641499999999994</v>
      </c>
      <c r="AS311" s="73">
        <v>442.47695902689037</v>
      </c>
      <c r="AT311" s="40">
        <v>0</v>
      </c>
      <c r="AU311" s="54">
        <v>-442.47695902689037</v>
      </c>
      <c r="AV311" s="73">
        <v>77.746088330735816</v>
      </c>
      <c r="AW311" s="40">
        <v>0</v>
      </c>
      <c r="AX311" s="55">
        <v>-77.746088330735816</v>
      </c>
      <c r="AY311" s="73">
        <v>97.855548595349887</v>
      </c>
      <c r="AZ311" s="40">
        <v>0</v>
      </c>
      <c r="BA311" s="35">
        <v>-97.855548595349887</v>
      </c>
      <c r="BB311" s="73">
        <v>13.182200949417339</v>
      </c>
      <c r="BC311" s="40">
        <v>0</v>
      </c>
      <c r="BD311" s="55">
        <v>-13.182200949417339</v>
      </c>
      <c r="BE311" s="73">
        <v>0</v>
      </c>
      <c r="BF311" s="40">
        <v>0</v>
      </c>
      <c r="BG311" s="38">
        <v>0</v>
      </c>
      <c r="BH311" s="73">
        <v>0</v>
      </c>
      <c r="BI311" s="40">
        <v>0</v>
      </c>
      <c r="BJ311" s="55">
        <v>0</v>
      </c>
      <c r="BK311" s="73">
        <v>7.042525732062324</v>
      </c>
      <c r="BL311" s="40">
        <v>0</v>
      </c>
      <c r="BM311" s="38">
        <v>-7.042525732062324</v>
      </c>
      <c r="BN311" s="73">
        <v>5.2240000000000002</v>
      </c>
      <c r="BO311" s="40">
        <v>0</v>
      </c>
      <c r="BP311" s="55">
        <v>-5.2240000000000002</v>
      </c>
      <c r="BQ311" s="77">
        <v>201.05036360756534</v>
      </c>
      <c r="BR311" s="40">
        <v>0</v>
      </c>
      <c r="BS311" s="55">
        <v>-201.05036360756534</v>
      </c>
      <c r="BT311" s="73">
        <v>234.54574437594999</v>
      </c>
      <c r="BU311" s="40">
        <v>87.563914202980072</v>
      </c>
      <c r="BV311" s="52">
        <v>-146.98183017296992</v>
      </c>
      <c r="BW311" s="73">
        <v>222.63000312006801</v>
      </c>
      <c r="BX311" s="40">
        <v>232.86761904781088</v>
      </c>
      <c r="BY311" s="52">
        <v>10.237615927742866</v>
      </c>
      <c r="BZ311" s="73">
        <v>236.86663041928401</v>
      </c>
      <c r="CA311" s="40">
        <v>518.83495829745573</v>
      </c>
      <c r="CB311" s="52">
        <v>281.96832787817175</v>
      </c>
      <c r="CC311" s="73">
        <v>0</v>
      </c>
      <c r="CD311" s="40">
        <v>0</v>
      </c>
      <c r="CE311" s="52">
        <v>0</v>
      </c>
      <c r="CF311" s="73">
        <v>0</v>
      </c>
      <c r="CG311" s="40">
        <v>0</v>
      </c>
      <c r="CH311" s="52">
        <v>0</v>
      </c>
      <c r="CI311" s="73">
        <v>183.76</v>
      </c>
      <c r="CJ311" s="40">
        <v>153.3723139742641</v>
      </c>
      <c r="CK311" s="52">
        <v>-30.387686025735889</v>
      </c>
      <c r="CL311" s="73">
        <v>0</v>
      </c>
      <c r="CM311" s="40">
        <v>0</v>
      </c>
      <c r="CN311" s="52">
        <v>0</v>
      </c>
      <c r="CO311" s="39">
        <v>183.76</v>
      </c>
      <c r="CP311" s="40">
        <v>153.3723139742641</v>
      </c>
      <c r="CQ311" s="52">
        <v>-30.387686025735889</v>
      </c>
      <c r="CR311" s="72">
        <v>2125.5676840728688</v>
      </c>
      <c r="CS311" s="5">
        <v>1509.0487264652065</v>
      </c>
      <c r="CT311" s="52">
        <v>-616.51895760766229</v>
      </c>
      <c r="CU311" s="77">
        <v>2550.6812208874426</v>
      </c>
      <c r="CV311" s="65">
        <v>1810.8584717582478</v>
      </c>
      <c r="CW311" s="35">
        <v>-739.82274912919479</v>
      </c>
      <c r="CX311" s="73">
        <v>142.41226276176818</v>
      </c>
      <c r="CY311" s="40">
        <v>882.23501189096282</v>
      </c>
      <c r="CZ311" s="52">
        <v>739.82274912919468</v>
      </c>
      <c r="DA311" s="150">
        <v>-9759.8715889698615</v>
      </c>
      <c r="DB311" s="2">
        <v>2</v>
      </c>
      <c r="DC311" s="648">
        <v>2363.44</v>
      </c>
      <c r="DD311" s="648"/>
      <c r="DE311" s="649">
        <v>-329.65348364921056</v>
      </c>
      <c r="DG311" s="321">
        <v>-13331.883083443001</v>
      </c>
      <c r="DH311" s="5">
        <v>32317.121803790527</v>
      </c>
      <c r="DI311" s="306">
        <v>5.1267520710792791</v>
      </c>
      <c r="DJ311" s="306"/>
      <c r="DK311" s="306"/>
      <c r="DL311" s="28">
        <v>1339.1076409659076</v>
      </c>
      <c r="DM311" s="28">
        <v>0</v>
      </c>
      <c r="DN311" s="650">
        <v>1339.12</v>
      </c>
      <c r="DO311" s="94">
        <v>-1.2359034092241927E-2</v>
      </c>
      <c r="DP311" s="28">
        <v>1339.1076409659076</v>
      </c>
      <c r="DQ311" s="318">
        <v>0</v>
      </c>
      <c r="DS311" s="8">
        <v>1275.3406104437213</v>
      </c>
      <c r="DT311" s="5">
        <v>63.767030522186062</v>
      </c>
      <c r="DW311" s="5">
        <v>772.23278716134678</v>
      </c>
      <c r="DX311" s="5">
        <v>0</v>
      </c>
    </row>
    <row r="312" spans="1:128" x14ac:dyDescent="0.3">
      <c r="A312" s="325">
        <v>150000835</v>
      </c>
      <c r="B312" s="41" t="s">
        <v>758</v>
      </c>
      <c r="C312" s="42" t="s">
        <v>138</v>
      </c>
      <c r="D312" s="42" t="s">
        <v>138</v>
      </c>
      <c r="E312" s="293">
        <v>128.6</v>
      </c>
      <c r="F312" s="305">
        <v>128.6</v>
      </c>
      <c r="G312" s="51"/>
      <c r="H312" s="651">
        <v>0</v>
      </c>
      <c r="I312" s="73">
        <v>0</v>
      </c>
      <c r="J312" s="40">
        <v>0</v>
      </c>
      <c r="K312" s="52">
        <v>0</v>
      </c>
      <c r="L312" s="73">
        <v>0</v>
      </c>
      <c r="M312" s="40">
        <v>0</v>
      </c>
      <c r="N312" s="52">
        <v>0</v>
      </c>
      <c r="O312" s="73">
        <v>0</v>
      </c>
      <c r="P312" s="40">
        <v>0</v>
      </c>
      <c r="Q312" s="52">
        <v>0</v>
      </c>
      <c r="R312" s="73">
        <v>0</v>
      </c>
      <c r="S312" s="40">
        <v>0</v>
      </c>
      <c r="T312" s="52">
        <v>0</v>
      </c>
      <c r="U312" s="73">
        <v>0</v>
      </c>
      <c r="V312" s="40">
        <v>0</v>
      </c>
      <c r="W312" s="52">
        <v>0</v>
      </c>
      <c r="X312" s="73">
        <v>0</v>
      </c>
      <c r="Y312" s="40">
        <v>0</v>
      </c>
      <c r="Z312" s="52">
        <v>0</v>
      </c>
      <c r="AA312" s="73">
        <v>10.288</v>
      </c>
      <c r="AB312" s="40">
        <v>0</v>
      </c>
      <c r="AC312" s="52">
        <v>-10.288</v>
      </c>
      <c r="AD312" s="73">
        <v>82.341310995208829</v>
      </c>
      <c r="AE312" s="40">
        <v>115.90784142597325</v>
      </c>
      <c r="AF312" s="35">
        <v>33.566530430764416</v>
      </c>
      <c r="AG312" s="77">
        <v>92.629310995208826</v>
      </c>
      <c r="AH312" s="53">
        <v>115.90784142597325</v>
      </c>
      <c r="AI312" s="52">
        <v>23.27853043076442</v>
      </c>
      <c r="AJ312" s="73">
        <v>0</v>
      </c>
      <c r="AK312" s="40">
        <v>0</v>
      </c>
      <c r="AL312" s="52">
        <v>0</v>
      </c>
      <c r="AM312" s="73">
        <v>0</v>
      </c>
      <c r="AN312" s="40">
        <v>0</v>
      </c>
      <c r="AO312" s="52">
        <v>0</v>
      </c>
      <c r="AP312" s="73">
        <v>50.427666666666667</v>
      </c>
      <c r="AQ312" s="40">
        <v>0</v>
      </c>
      <c r="AR312" s="52">
        <v>-50.427666666666667</v>
      </c>
      <c r="AS312" s="73">
        <v>168.58232303709207</v>
      </c>
      <c r="AT312" s="40">
        <v>0</v>
      </c>
      <c r="AU312" s="54">
        <v>-168.58232303709207</v>
      </c>
      <c r="AV312" s="73">
        <v>0</v>
      </c>
      <c r="AW312" s="40">
        <v>0</v>
      </c>
      <c r="AX312" s="55">
        <v>0</v>
      </c>
      <c r="AY312" s="73">
        <v>0</v>
      </c>
      <c r="AZ312" s="40">
        <v>0</v>
      </c>
      <c r="BA312" s="35">
        <v>0</v>
      </c>
      <c r="BB312" s="73">
        <v>0</v>
      </c>
      <c r="BC312" s="40">
        <v>0</v>
      </c>
      <c r="BD312" s="55">
        <v>0</v>
      </c>
      <c r="BE312" s="73">
        <v>0</v>
      </c>
      <c r="BF312" s="40">
        <v>0</v>
      </c>
      <c r="BG312" s="38">
        <v>0</v>
      </c>
      <c r="BH312" s="73">
        <v>0</v>
      </c>
      <c r="BI312" s="40">
        <v>0</v>
      </c>
      <c r="BJ312" s="55">
        <v>0</v>
      </c>
      <c r="BK312" s="73">
        <v>0</v>
      </c>
      <c r="BL312" s="40">
        <v>0</v>
      </c>
      <c r="BM312" s="38">
        <v>0</v>
      </c>
      <c r="BN312" s="73">
        <v>2.5720000000000001</v>
      </c>
      <c r="BO312" s="40">
        <v>0</v>
      </c>
      <c r="BP312" s="55">
        <v>-2.5720000000000001</v>
      </c>
      <c r="BQ312" s="77">
        <v>2.5720000000000001</v>
      </c>
      <c r="BR312" s="40">
        <v>0</v>
      </c>
      <c r="BS312" s="55">
        <v>-2.5720000000000001</v>
      </c>
      <c r="BT312" s="73">
        <v>0</v>
      </c>
      <c r="BU312" s="40">
        <v>0</v>
      </c>
      <c r="BV312" s="52">
        <v>0</v>
      </c>
      <c r="BW312" s="73">
        <v>0</v>
      </c>
      <c r="BX312" s="40">
        <v>0.47746884634789855</v>
      </c>
      <c r="BY312" s="52">
        <v>0.47746884634789855</v>
      </c>
      <c r="BZ312" s="73">
        <v>0</v>
      </c>
      <c r="CA312" s="40">
        <v>0</v>
      </c>
      <c r="CB312" s="52">
        <v>0</v>
      </c>
      <c r="CC312" s="73">
        <v>0</v>
      </c>
      <c r="CD312" s="40">
        <v>0</v>
      </c>
      <c r="CE312" s="52">
        <v>0</v>
      </c>
      <c r="CF312" s="73">
        <v>0</v>
      </c>
      <c r="CG312" s="40">
        <v>0</v>
      </c>
      <c r="CH312" s="52">
        <v>0</v>
      </c>
      <c r="CI312" s="73">
        <v>0</v>
      </c>
      <c r="CJ312" s="40">
        <v>0</v>
      </c>
      <c r="CK312" s="52">
        <v>0</v>
      </c>
      <c r="CL312" s="73">
        <v>0</v>
      </c>
      <c r="CM312" s="40">
        <v>0</v>
      </c>
      <c r="CN312" s="52">
        <v>0</v>
      </c>
      <c r="CO312" s="39">
        <v>0</v>
      </c>
      <c r="CP312" s="40">
        <v>0</v>
      </c>
      <c r="CQ312" s="52">
        <v>0</v>
      </c>
      <c r="CR312" s="72">
        <v>314.21130069896753</v>
      </c>
      <c r="CS312" s="5">
        <v>116.38531027232115</v>
      </c>
      <c r="CT312" s="52">
        <v>-197.8259904266464</v>
      </c>
      <c r="CU312" s="77">
        <v>377.05356083876103</v>
      </c>
      <c r="CV312" s="65">
        <v>139.66237232678537</v>
      </c>
      <c r="CW312" s="35">
        <v>-237.39118851197566</v>
      </c>
      <c r="CX312" s="73">
        <v>21.052043015687982</v>
      </c>
      <c r="CY312" s="40">
        <v>258.44323152766361</v>
      </c>
      <c r="CZ312" s="52">
        <v>237.39118851197563</v>
      </c>
      <c r="DA312" s="150">
        <v>6464.4786455679623</v>
      </c>
      <c r="DB312" s="2">
        <v>2</v>
      </c>
      <c r="DC312" s="648">
        <v>1710.98</v>
      </c>
      <c r="DD312" s="648"/>
      <c r="DE312" s="649">
        <v>1312.8743961455511</v>
      </c>
      <c r="DG312" s="321">
        <v>5307.1986957772187</v>
      </c>
      <c r="DH312" s="5">
        <v>4777.2672462533883</v>
      </c>
      <c r="DI312" s="306">
        <v>1.5392933082453311</v>
      </c>
      <c r="DJ312" s="306"/>
      <c r="DK312" s="306"/>
      <c r="DL312" s="28">
        <v>197.95311944034955</v>
      </c>
      <c r="DM312" s="28">
        <v>0</v>
      </c>
      <c r="DN312" s="650">
        <v>197.95</v>
      </c>
      <c r="DO312" s="94">
        <v>3.1194403495646839E-3</v>
      </c>
      <c r="DP312" s="28">
        <v>197.95311944034955</v>
      </c>
      <c r="DQ312" s="318">
        <v>0</v>
      </c>
      <c r="DS312" s="8">
        <v>188.52678041938051</v>
      </c>
      <c r="DT312" s="5">
        <v>9.4263390209690261</v>
      </c>
      <c r="DW312" s="5">
        <v>205.38518764451047</v>
      </c>
      <c r="DX312" s="5">
        <v>0</v>
      </c>
    </row>
    <row r="313" spans="1:128" x14ac:dyDescent="0.3">
      <c r="A313" s="325">
        <v>150000845</v>
      </c>
      <c r="B313" s="41" t="s">
        <v>759</v>
      </c>
      <c r="C313" s="42" t="s">
        <v>139</v>
      </c>
      <c r="D313" s="42" t="s">
        <v>139</v>
      </c>
      <c r="E313" s="293">
        <v>252.8</v>
      </c>
      <c r="F313" s="305">
        <v>252.8</v>
      </c>
      <c r="G313" s="51"/>
      <c r="H313" s="651">
        <v>0</v>
      </c>
      <c r="I313" s="73">
        <v>0</v>
      </c>
      <c r="J313" s="40">
        <v>0</v>
      </c>
      <c r="K313" s="52">
        <v>0</v>
      </c>
      <c r="L313" s="73">
        <v>0</v>
      </c>
      <c r="M313" s="40">
        <v>0</v>
      </c>
      <c r="N313" s="52">
        <v>0</v>
      </c>
      <c r="O313" s="73">
        <v>0</v>
      </c>
      <c r="P313" s="40">
        <v>0</v>
      </c>
      <c r="Q313" s="52">
        <v>0</v>
      </c>
      <c r="R313" s="73">
        <v>0</v>
      </c>
      <c r="S313" s="40">
        <v>0</v>
      </c>
      <c r="T313" s="52">
        <v>0</v>
      </c>
      <c r="U313" s="73">
        <v>0</v>
      </c>
      <c r="V313" s="40">
        <v>0</v>
      </c>
      <c r="W313" s="52">
        <v>0</v>
      </c>
      <c r="X313" s="73">
        <v>0</v>
      </c>
      <c r="Y313" s="40">
        <v>0</v>
      </c>
      <c r="Z313" s="52">
        <v>0</v>
      </c>
      <c r="AA313" s="73">
        <v>20.224</v>
      </c>
      <c r="AB313" s="40">
        <v>0</v>
      </c>
      <c r="AC313" s="52">
        <v>-20.224</v>
      </c>
      <c r="AD313" s="73">
        <v>161.91075551607722</v>
      </c>
      <c r="AE313" s="40">
        <v>227.84994022150886</v>
      </c>
      <c r="AF313" s="35">
        <v>65.939184705431643</v>
      </c>
      <c r="AG313" s="77">
        <v>182.13475551607721</v>
      </c>
      <c r="AH313" s="53">
        <v>227.84994022150886</v>
      </c>
      <c r="AI313" s="52">
        <v>45.715184705431653</v>
      </c>
      <c r="AJ313" s="73">
        <v>0</v>
      </c>
      <c r="AK313" s="40">
        <v>0</v>
      </c>
      <c r="AL313" s="52">
        <v>0</v>
      </c>
      <c r="AM313" s="73">
        <v>0</v>
      </c>
      <c r="AN313" s="40">
        <v>0</v>
      </c>
      <c r="AO313" s="52">
        <v>0</v>
      </c>
      <c r="AP313" s="73">
        <v>50.427666666666667</v>
      </c>
      <c r="AQ313" s="40">
        <v>0</v>
      </c>
      <c r="AR313" s="52">
        <v>-50.427666666666667</v>
      </c>
      <c r="AS313" s="73">
        <v>370.5073709989075</v>
      </c>
      <c r="AT313" s="40">
        <v>0</v>
      </c>
      <c r="AU313" s="54">
        <v>-370.5073709989075</v>
      </c>
      <c r="AV313" s="73">
        <v>0</v>
      </c>
      <c r="AW313" s="40">
        <v>0</v>
      </c>
      <c r="AX313" s="55">
        <v>0</v>
      </c>
      <c r="AY313" s="73">
        <v>0</v>
      </c>
      <c r="AZ313" s="40">
        <v>0</v>
      </c>
      <c r="BA313" s="35">
        <v>0</v>
      </c>
      <c r="BB313" s="73">
        <v>0</v>
      </c>
      <c r="BC313" s="40">
        <v>0</v>
      </c>
      <c r="BD313" s="55">
        <v>0</v>
      </c>
      <c r="BE313" s="73">
        <v>0</v>
      </c>
      <c r="BF313" s="40">
        <v>0</v>
      </c>
      <c r="BG313" s="38">
        <v>0</v>
      </c>
      <c r="BH313" s="73">
        <v>0</v>
      </c>
      <c r="BI313" s="40">
        <v>0</v>
      </c>
      <c r="BJ313" s="55">
        <v>0</v>
      </c>
      <c r="BK313" s="73">
        <v>0</v>
      </c>
      <c r="BL313" s="40">
        <v>0</v>
      </c>
      <c r="BM313" s="38">
        <v>0</v>
      </c>
      <c r="BN313" s="73">
        <v>7.3547380691014803</v>
      </c>
      <c r="BO313" s="40">
        <v>0</v>
      </c>
      <c r="BP313" s="55">
        <v>-7.3547380691014803</v>
      </c>
      <c r="BQ313" s="77">
        <v>7.3547380691014803</v>
      </c>
      <c r="BR313" s="40">
        <v>0</v>
      </c>
      <c r="BS313" s="55">
        <v>-7.3547380691014803</v>
      </c>
      <c r="BT313" s="73">
        <v>0</v>
      </c>
      <c r="BU313" s="40">
        <v>0</v>
      </c>
      <c r="BV313" s="52">
        <v>0</v>
      </c>
      <c r="BW313" s="73">
        <v>0</v>
      </c>
      <c r="BX313" s="40">
        <v>0.93860127804625781</v>
      </c>
      <c r="BY313" s="52">
        <v>0.93860127804625781</v>
      </c>
      <c r="BZ313" s="73">
        <v>0</v>
      </c>
      <c r="CA313" s="40">
        <v>0</v>
      </c>
      <c r="CB313" s="52">
        <v>0</v>
      </c>
      <c r="CC313" s="73">
        <v>0</v>
      </c>
      <c r="CD313" s="40">
        <v>0</v>
      </c>
      <c r="CE313" s="52">
        <v>0</v>
      </c>
      <c r="CF313" s="73">
        <v>0</v>
      </c>
      <c r="CG313" s="40">
        <v>0</v>
      </c>
      <c r="CH313" s="52">
        <v>0</v>
      </c>
      <c r="CI313" s="73">
        <v>0</v>
      </c>
      <c r="CJ313" s="40">
        <v>0</v>
      </c>
      <c r="CK313" s="52">
        <v>0</v>
      </c>
      <c r="CL313" s="73">
        <v>0</v>
      </c>
      <c r="CM313" s="40">
        <v>0</v>
      </c>
      <c r="CN313" s="52">
        <v>0</v>
      </c>
      <c r="CO313" s="39">
        <v>0</v>
      </c>
      <c r="CP313" s="40">
        <v>0</v>
      </c>
      <c r="CQ313" s="52">
        <v>0</v>
      </c>
      <c r="CR313" s="72">
        <v>610.42453125075292</v>
      </c>
      <c r="CS313" s="5">
        <v>228.78854149955512</v>
      </c>
      <c r="CT313" s="52">
        <v>-381.63598975119783</v>
      </c>
      <c r="CU313" s="77">
        <v>732.50943750090346</v>
      </c>
      <c r="CV313" s="65">
        <v>274.54624979946612</v>
      </c>
      <c r="CW313" s="35">
        <v>-457.96318770143733</v>
      </c>
      <c r="CX313" s="73">
        <v>40.898221868963631</v>
      </c>
      <c r="CY313" s="40">
        <v>498.86140957040101</v>
      </c>
      <c r="CZ313" s="52">
        <v>457.96318770143739</v>
      </c>
      <c r="DA313" s="150">
        <v>-4444.3811610332423</v>
      </c>
      <c r="DB313" s="2">
        <v>1</v>
      </c>
      <c r="DC313" s="648">
        <v>559.15</v>
      </c>
      <c r="DD313" s="648"/>
      <c r="DE313" s="649">
        <v>-214.25765936986716</v>
      </c>
      <c r="DG313" s="321">
        <v>1342.5193145253124</v>
      </c>
      <c r="DH313" s="5">
        <v>9280.8919124384047</v>
      </c>
      <c r="DI313" s="306">
        <v>1.5212320201264804</v>
      </c>
      <c r="DJ313" s="306"/>
      <c r="DK313" s="306"/>
      <c r="DL313" s="28">
        <v>384.56745468797425</v>
      </c>
      <c r="DM313" s="28">
        <v>0</v>
      </c>
      <c r="DN313" s="650">
        <v>384.56</v>
      </c>
      <c r="DO313" s="94">
        <v>7.454687974245644E-3</v>
      </c>
      <c r="DP313" s="28">
        <v>384.56745468797425</v>
      </c>
      <c r="DQ313" s="318">
        <v>0</v>
      </c>
      <c r="DS313" s="8">
        <v>366.25471875045173</v>
      </c>
      <c r="DT313" s="5">
        <v>18.312735937522589</v>
      </c>
      <c r="DW313" s="5">
        <v>453.43453088161078</v>
      </c>
      <c r="DX313" s="5">
        <v>0</v>
      </c>
    </row>
    <row r="314" spans="1:128" x14ac:dyDescent="0.3">
      <c r="A314" s="325">
        <v>150000846</v>
      </c>
      <c r="B314" s="41" t="s">
        <v>760</v>
      </c>
      <c r="C314" s="42" t="s">
        <v>140</v>
      </c>
      <c r="D314" s="42" t="s">
        <v>140</v>
      </c>
      <c r="E314" s="293">
        <v>126.2</v>
      </c>
      <c r="F314" s="305">
        <v>126.2</v>
      </c>
      <c r="G314" s="51"/>
      <c r="H314" s="651">
        <v>0</v>
      </c>
      <c r="I314" s="73">
        <v>0</v>
      </c>
      <c r="J314" s="40">
        <v>0</v>
      </c>
      <c r="K314" s="52">
        <v>0</v>
      </c>
      <c r="L314" s="73">
        <v>0</v>
      </c>
      <c r="M314" s="40">
        <v>0</v>
      </c>
      <c r="N314" s="52">
        <v>0</v>
      </c>
      <c r="O314" s="73">
        <v>0</v>
      </c>
      <c r="P314" s="40">
        <v>0</v>
      </c>
      <c r="Q314" s="52">
        <v>0</v>
      </c>
      <c r="R314" s="73">
        <v>0</v>
      </c>
      <c r="S314" s="40">
        <v>0</v>
      </c>
      <c r="T314" s="52">
        <v>0</v>
      </c>
      <c r="U314" s="73">
        <v>0</v>
      </c>
      <c r="V314" s="40">
        <v>0</v>
      </c>
      <c r="W314" s="52">
        <v>0</v>
      </c>
      <c r="X314" s="73">
        <v>0</v>
      </c>
      <c r="Y314" s="40">
        <v>0</v>
      </c>
      <c r="Z314" s="52">
        <v>0</v>
      </c>
      <c r="AA314" s="73">
        <v>10.096</v>
      </c>
      <c r="AB314" s="40">
        <v>0</v>
      </c>
      <c r="AC314" s="52">
        <v>-10.096</v>
      </c>
      <c r="AD314" s="73">
        <v>80.81397350998671</v>
      </c>
      <c r="AE314" s="40">
        <v>113.74470908209817</v>
      </c>
      <c r="AF314" s="35">
        <v>32.930735572111459</v>
      </c>
      <c r="AG314" s="77">
        <v>90.909973509986713</v>
      </c>
      <c r="AH314" s="53">
        <v>113.74470908209817</v>
      </c>
      <c r="AI314" s="52">
        <v>22.834735572111455</v>
      </c>
      <c r="AJ314" s="73">
        <v>0</v>
      </c>
      <c r="AK314" s="40">
        <v>0</v>
      </c>
      <c r="AL314" s="52">
        <v>0</v>
      </c>
      <c r="AM314" s="73">
        <v>0</v>
      </c>
      <c r="AN314" s="40">
        <v>0</v>
      </c>
      <c r="AO314" s="52">
        <v>0</v>
      </c>
      <c r="AP314" s="73">
        <v>37.820749999999997</v>
      </c>
      <c r="AQ314" s="40">
        <v>0</v>
      </c>
      <c r="AR314" s="52">
        <v>-37.820749999999997</v>
      </c>
      <c r="AS314" s="73">
        <v>167.57013596123994</v>
      </c>
      <c r="AT314" s="40">
        <v>0</v>
      </c>
      <c r="AU314" s="54">
        <v>-167.57013596123994</v>
      </c>
      <c r="AV314" s="73">
        <v>0</v>
      </c>
      <c r="AW314" s="40">
        <v>0</v>
      </c>
      <c r="AX314" s="55">
        <v>0</v>
      </c>
      <c r="AY314" s="73">
        <v>0</v>
      </c>
      <c r="AZ314" s="40">
        <v>0</v>
      </c>
      <c r="BA314" s="35">
        <v>0</v>
      </c>
      <c r="BB314" s="73">
        <v>0</v>
      </c>
      <c r="BC314" s="40">
        <v>0</v>
      </c>
      <c r="BD314" s="55">
        <v>0</v>
      </c>
      <c r="BE314" s="73">
        <v>0</v>
      </c>
      <c r="BF314" s="40">
        <v>0</v>
      </c>
      <c r="BG314" s="38">
        <v>0</v>
      </c>
      <c r="BH314" s="73">
        <v>0</v>
      </c>
      <c r="BI314" s="40">
        <v>0</v>
      </c>
      <c r="BJ314" s="55">
        <v>0</v>
      </c>
      <c r="BK314" s="73">
        <v>0</v>
      </c>
      <c r="BL314" s="40">
        <v>0</v>
      </c>
      <c r="BM314" s="38">
        <v>0</v>
      </c>
      <c r="BN314" s="73">
        <v>4.0082883785721561</v>
      </c>
      <c r="BO314" s="40">
        <v>0</v>
      </c>
      <c r="BP314" s="55">
        <v>-4.0082883785721561</v>
      </c>
      <c r="BQ314" s="77">
        <v>4.0082883785721561</v>
      </c>
      <c r="BR314" s="40">
        <v>0</v>
      </c>
      <c r="BS314" s="55">
        <v>-4.0082883785721561</v>
      </c>
      <c r="BT314" s="73">
        <v>0</v>
      </c>
      <c r="BU314" s="40">
        <v>0</v>
      </c>
      <c r="BV314" s="52">
        <v>0</v>
      </c>
      <c r="BW314" s="73">
        <v>0</v>
      </c>
      <c r="BX314" s="40">
        <v>0.46855807472087718</v>
      </c>
      <c r="BY314" s="52">
        <v>0.46855807472087718</v>
      </c>
      <c r="BZ314" s="73">
        <v>0</v>
      </c>
      <c r="CA314" s="40">
        <v>0</v>
      </c>
      <c r="CB314" s="52">
        <v>0</v>
      </c>
      <c r="CC314" s="73">
        <v>0</v>
      </c>
      <c r="CD314" s="40">
        <v>0</v>
      </c>
      <c r="CE314" s="52">
        <v>0</v>
      </c>
      <c r="CF314" s="73">
        <v>0</v>
      </c>
      <c r="CG314" s="40">
        <v>0</v>
      </c>
      <c r="CH314" s="52">
        <v>0</v>
      </c>
      <c r="CI314" s="73">
        <v>0</v>
      </c>
      <c r="CJ314" s="40">
        <v>0</v>
      </c>
      <c r="CK314" s="52">
        <v>0</v>
      </c>
      <c r="CL314" s="73">
        <v>0</v>
      </c>
      <c r="CM314" s="40">
        <v>0</v>
      </c>
      <c r="CN314" s="52">
        <v>0</v>
      </c>
      <c r="CO314" s="39">
        <v>0</v>
      </c>
      <c r="CP314" s="40">
        <v>0</v>
      </c>
      <c r="CQ314" s="52">
        <v>0</v>
      </c>
      <c r="CR314" s="72">
        <v>300.30914784979882</v>
      </c>
      <c r="CS314" s="5">
        <v>114.21326715681904</v>
      </c>
      <c r="CT314" s="52">
        <v>-186.09588069297979</v>
      </c>
      <c r="CU314" s="77">
        <v>360.37097741975856</v>
      </c>
      <c r="CV314" s="65">
        <v>137.05592058818286</v>
      </c>
      <c r="CW314" s="35">
        <v>-223.3150568315757</v>
      </c>
      <c r="CX314" s="73">
        <v>20.12060382448027</v>
      </c>
      <c r="CY314" s="40">
        <v>243.43566065605597</v>
      </c>
      <c r="CZ314" s="52">
        <v>223.3150568315757</v>
      </c>
      <c r="DA314" s="150">
        <v>-2243.784098033108</v>
      </c>
      <c r="DB314" s="2">
        <v>1</v>
      </c>
      <c r="DC314" s="648">
        <v>1226.71</v>
      </c>
      <c r="DD314" s="648"/>
      <c r="DE314" s="649">
        <v>846.21841875576115</v>
      </c>
      <c r="DG314" s="321">
        <v>-2750.6936039083589</v>
      </c>
      <c r="DH314" s="5">
        <v>4565.8989749308657</v>
      </c>
      <c r="DI314" s="306">
        <v>1.4991661105021652</v>
      </c>
      <c r="DJ314" s="306"/>
      <c r="DK314" s="306"/>
      <c r="DL314" s="28">
        <v>189.19476314537326</v>
      </c>
      <c r="DM314" s="28">
        <v>0</v>
      </c>
      <c r="DN314" s="650">
        <v>189.2</v>
      </c>
      <c r="DO314" s="94">
        <v>-5.2368546267302918E-3</v>
      </c>
      <c r="DP314" s="28">
        <v>189.19476314537326</v>
      </c>
      <c r="DQ314" s="318">
        <v>0</v>
      </c>
      <c r="DS314" s="8">
        <v>180.18548870987928</v>
      </c>
      <c r="DT314" s="5">
        <v>9.0092744354939658</v>
      </c>
      <c r="DW314" s="5">
        <v>205.89410920777451</v>
      </c>
      <c r="DX314" s="5">
        <v>0</v>
      </c>
    </row>
    <row r="315" spans="1:128" x14ac:dyDescent="0.3">
      <c r="A315" s="325">
        <v>150000798</v>
      </c>
      <c r="B315" s="41" t="s">
        <v>761</v>
      </c>
      <c r="C315" s="42" t="s">
        <v>226</v>
      </c>
      <c r="D315" s="42" t="s">
        <v>226</v>
      </c>
      <c r="E315" s="293">
        <v>1317.9</v>
      </c>
      <c r="F315" s="305">
        <v>996.3</v>
      </c>
      <c r="G315" s="51"/>
      <c r="H315" s="651">
        <v>321.60000000000002</v>
      </c>
      <c r="I315" s="73">
        <v>538.81689764435112</v>
      </c>
      <c r="J315" s="40">
        <v>595.03413488760839</v>
      </c>
      <c r="K315" s="52">
        <v>56.217237243257273</v>
      </c>
      <c r="L315" s="73">
        <v>109.47929919893987</v>
      </c>
      <c r="M315" s="40">
        <v>123.34114118756702</v>
      </c>
      <c r="N315" s="52">
        <v>13.861841988627148</v>
      </c>
      <c r="O315" s="73">
        <v>251.90319065753999</v>
      </c>
      <c r="P315" s="40">
        <v>251.9</v>
      </c>
      <c r="Q315" s="52">
        <v>-3.190657539988706E-3</v>
      </c>
      <c r="R315" s="73">
        <v>0</v>
      </c>
      <c r="S315" s="40">
        <v>0</v>
      </c>
      <c r="T315" s="52">
        <v>0</v>
      </c>
      <c r="U315" s="73">
        <v>0</v>
      </c>
      <c r="V315" s="40">
        <v>0</v>
      </c>
      <c r="W315" s="52">
        <v>0</v>
      </c>
      <c r="X315" s="73">
        <v>331.8883138617914</v>
      </c>
      <c r="Y315" s="40">
        <v>333.77279571308969</v>
      </c>
      <c r="Z315" s="52">
        <v>1.8844818512982897</v>
      </c>
      <c r="AA315" s="73">
        <v>105.87200000000001</v>
      </c>
      <c r="AB315" s="40">
        <v>0</v>
      </c>
      <c r="AC315" s="52">
        <v>-105.87200000000001</v>
      </c>
      <c r="AD315" s="73">
        <v>940.41464713772325</v>
      </c>
      <c r="AE315" s="40">
        <v>1187.8300483304056</v>
      </c>
      <c r="AF315" s="35">
        <v>247.41540119268234</v>
      </c>
      <c r="AG315" s="77">
        <v>2278.3743485003456</v>
      </c>
      <c r="AH315" s="53">
        <v>2491.8781201186707</v>
      </c>
      <c r="AI315" s="52">
        <v>213.50377161832512</v>
      </c>
      <c r="AJ315" s="73">
        <v>0</v>
      </c>
      <c r="AK315" s="40">
        <v>0</v>
      </c>
      <c r="AL315" s="52">
        <v>0</v>
      </c>
      <c r="AM315" s="73">
        <v>0</v>
      </c>
      <c r="AN315" s="40">
        <v>0</v>
      </c>
      <c r="AO315" s="52">
        <v>0</v>
      </c>
      <c r="AP315" s="73">
        <v>340.38674999999995</v>
      </c>
      <c r="AQ315" s="40">
        <v>0</v>
      </c>
      <c r="AR315" s="52">
        <v>-340.38674999999995</v>
      </c>
      <c r="AS315" s="73">
        <v>1601.6632885241511</v>
      </c>
      <c r="AT315" s="40">
        <v>113421</v>
      </c>
      <c r="AU315" s="54">
        <v>111819.33671147584</v>
      </c>
      <c r="AV315" s="73">
        <v>296.83313874190924</v>
      </c>
      <c r="AW315" s="40">
        <v>0</v>
      </c>
      <c r="AX315" s="55">
        <v>-296.83313874190924</v>
      </c>
      <c r="AY315" s="73">
        <v>303.06678545693899</v>
      </c>
      <c r="AZ315" s="40">
        <v>0</v>
      </c>
      <c r="BA315" s="35">
        <v>-303.06678545693899</v>
      </c>
      <c r="BB315" s="73">
        <v>90.803165871918395</v>
      </c>
      <c r="BC315" s="40">
        <v>2186</v>
      </c>
      <c r="BD315" s="55">
        <v>2095.1968341280817</v>
      </c>
      <c r="BE315" s="73">
        <v>0</v>
      </c>
      <c r="BF315" s="40">
        <v>0</v>
      </c>
      <c r="BG315" s="38">
        <v>0</v>
      </c>
      <c r="BH315" s="73">
        <v>0</v>
      </c>
      <c r="BI315" s="40">
        <v>0</v>
      </c>
      <c r="BJ315" s="55">
        <v>0</v>
      </c>
      <c r="BK315" s="73">
        <v>163.02655920506453</v>
      </c>
      <c r="BL315" s="40">
        <v>0</v>
      </c>
      <c r="BM315" s="38">
        <v>-163.02655920506453</v>
      </c>
      <c r="BN315" s="73">
        <v>26.468000000000004</v>
      </c>
      <c r="BO315" s="40">
        <v>0</v>
      </c>
      <c r="BP315" s="55">
        <v>-26.468000000000004</v>
      </c>
      <c r="BQ315" s="77">
        <v>880.19764927583117</v>
      </c>
      <c r="BR315" s="40">
        <v>2186</v>
      </c>
      <c r="BS315" s="55">
        <v>1305.8023507241687</v>
      </c>
      <c r="BT315" s="73">
        <v>1048.398484292034</v>
      </c>
      <c r="BU315" s="40">
        <v>351.69436947383133</v>
      </c>
      <c r="BV315" s="52">
        <v>-696.7041148182027</v>
      </c>
      <c r="BW315" s="73">
        <v>929.91668174312804</v>
      </c>
      <c r="BX315" s="40">
        <v>980.89118163184594</v>
      </c>
      <c r="BY315" s="52">
        <v>50.974499888717901</v>
      </c>
      <c r="BZ315" s="73">
        <v>700.33618272287595</v>
      </c>
      <c r="CA315" s="40">
        <v>2827.171304979061</v>
      </c>
      <c r="CB315" s="52">
        <v>2126.8351222561851</v>
      </c>
      <c r="CC315" s="73">
        <v>182.51461893499999</v>
      </c>
      <c r="CD315" s="40">
        <v>230.29063900140196</v>
      </c>
      <c r="CE315" s="52">
        <v>47.776020066401969</v>
      </c>
      <c r="CF315" s="73">
        <v>21.684905220000001</v>
      </c>
      <c r="CG315" s="40">
        <v>0</v>
      </c>
      <c r="CH315" s="52">
        <v>-21.684905220000001</v>
      </c>
      <c r="CI315" s="73">
        <v>551.29999999999995</v>
      </c>
      <c r="CJ315" s="40">
        <v>559.81041050777685</v>
      </c>
      <c r="CK315" s="52">
        <v>8.5104105077768963</v>
      </c>
      <c r="CL315" s="73">
        <v>0</v>
      </c>
      <c r="CM315" s="40">
        <v>0</v>
      </c>
      <c r="CN315" s="52">
        <v>0</v>
      </c>
      <c r="CO315" s="39">
        <v>551.29999999999995</v>
      </c>
      <c r="CP315" s="40">
        <v>559.81041050777685</v>
      </c>
      <c r="CQ315" s="52">
        <v>8.5104105077768963</v>
      </c>
      <c r="CR315" s="72">
        <v>8534.772909213365</v>
      </c>
      <c r="CS315" s="5">
        <v>123048.73602571257</v>
      </c>
      <c r="CT315" s="52">
        <v>114513.9631164992</v>
      </c>
      <c r="CU315" s="77">
        <v>10241.727491056037</v>
      </c>
      <c r="CV315" s="65">
        <v>147658.48323085508</v>
      </c>
      <c r="CW315" s="35">
        <v>137416.75573979906</v>
      </c>
      <c r="CX315" s="73">
        <v>571.82668482705719</v>
      </c>
      <c r="CY315" s="40">
        <v>-136844.92905497199</v>
      </c>
      <c r="CZ315" s="52">
        <v>-137416.75573979903</v>
      </c>
      <c r="DA315" s="150">
        <v>111128.78882326499</v>
      </c>
      <c r="DB315" s="2">
        <v>2</v>
      </c>
      <c r="DC315" s="648">
        <v>16676.12</v>
      </c>
      <c r="DD315" s="648">
        <v>231.67999999999998</v>
      </c>
      <c r="DE315" s="649">
        <v>6094.2458241169043</v>
      </c>
      <c r="DG315" s="321">
        <v>10402.659418976555</v>
      </c>
      <c r="DH315" s="5">
        <v>129762.65011059714</v>
      </c>
      <c r="DI315" s="306">
        <v>4.2087021764689982</v>
      </c>
      <c r="DJ315" s="306"/>
      <c r="DK315" s="306">
        <v>3.6202655457958657</v>
      </c>
      <c r="DL315" s="28">
        <v>4193.1299784160628</v>
      </c>
      <c r="DM315" s="28">
        <v>1164.2773995279506</v>
      </c>
      <c r="DN315" s="650">
        <v>4193.13</v>
      </c>
      <c r="DO315" s="94">
        <v>-2.1583937268587761E-5</v>
      </c>
      <c r="DP315" s="28">
        <v>5357.4073779440132</v>
      </c>
      <c r="DQ315" s="318">
        <v>-19.499554860406533</v>
      </c>
      <c r="DS315" s="8">
        <v>5120.8637455280186</v>
      </c>
      <c r="DT315" s="5">
        <v>256.04318727640094</v>
      </c>
      <c r="DW315" s="5">
        <v>2978.2331253599787</v>
      </c>
      <c r="DX315" s="5">
        <v>138728.4</v>
      </c>
    </row>
    <row r="316" spans="1:128" x14ac:dyDescent="0.3">
      <c r="A316" s="325">
        <v>150000819</v>
      </c>
      <c r="B316" s="41" t="s">
        <v>762</v>
      </c>
      <c r="C316" s="42" t="s">
        <v>424</v>
      </c>
      <c r="D316" s="42" t="s">
        <v>424</v>
      </c>
      <c r="E316" s="293">
        <v>6771.65</v>
      </c>
      <c r="F316" s="652">
        <v>6586.25</v>
      </c>
      <c r="G316" s="51">
        <v>226.30000000000018</v>
      </c>
      <c r="H316" s="651">
        <v>185.4</v>
      </c>
      <c r="I316" s="73">
        <v>3837.230341353451</v>
      </c>
      <c r="J316" s="40">
        <v>4317.7368901337804</v>
      </c>
      <c r="K316" s="52">
        <v>480.50654878032947</v>
      </c>
      <c r="L316" s="73">
        <v>697.01041398439463</v>
      </c>
      <c r="M316" s="40">
        <v>785.26544229637682</v>
      </c>
      <c r="N316" s="52">
        <v>88.255028311982187</v>
      </c>
      <c r="O316" s="73">
        <v>1142.0235264534767</v>
      </c>
      <c r="P316" s="40">
        <v>1142.25</v>
      </c>
      <c r="Q316" s="52">
        <v>0.22647354652326612</v>
      </c>
      <c r="R316" s="73">
        <v>289.60851499764669</v>
      </c>
      <c r="S316" s="40">
        <v>290.08333333333337</v>
      </c>
      <c r="T316" s="52">
        <v>0.47481833568667753</v>
      </c>
      <c r="U316" s="73">
        <v>138.67717289490514</v>
      </c>
      <c r="V316" s="40">
        <v>259.9288479613752</v>
      </c>
      <c r="W316" s="52">
        <v>121.25167506647006</v>
      </c>
      <c r="X316" s="73">
        <v>1140.8063494551338</v>
      </c>
      <c r="Y316" s="40">
        <v>1192.94138741093</v>
      </c>
      <c r="Z316" s="52">
        <v>52.135037955796179</v>
      </c>
      <c r="AA316" s="73">
        <v>541.78</v>
      </c>
      <c r="AB316" s="40">
        <v>0</v>
      </c>
      <c r="AC316" s="52">
        <v>-541.78</v>
      </c>
      <c r="AD316" s="73">
        <v>4871.5010828606783</v>
      </c>
      <c r="AE316" s="40">
        <v>6103.3229735007135</v>
      </c>
      <c r="AF316" s="35">
        <v>1231.8218906400352</v>
      </c>
      <c r="AG316" s="77">
        <v>12658.637401999686</v>
      </c>
      <c r="AH316" s="53">
        <v>14091.528874636509</v>
      </c>
      <c r="AI316" s="52">
        <v>1432.8914726368239</v>
      </c>
      <c r="AJ316" s="73">
        <v>6937.62</v>
      </c>
      <c r="AK316" s="40">
        <v>6832.9581697146641</v>
      </c>
      <c r="AL316" s="52">
        <v>-104.66183028533578</v>
      </c>
      <c r="AM316" s="73">
        <v>210.14988500000001</v>
      </c>
      <c r="AN316" s="40">
        <v>206.94522013844158</v>
      </c>
      <c r="AO316" s="52">
        <v>-3.2046648615584274</v>
      </c>
      <c r="AP316" s="73">
        <v>705.98733333333325</v>
      </c>
      <c r="AQ316" s="40">
        <v>0</v>
      </c>
      <c r="AR316" s="52">
        <v>-705.98733333333325</v>
      </c>
      <c r="AS316" s="73">
        <v>7649.871599060365</v>
      </c>
      <c r="AT316" s="40">
        <v>48517</v>
      </c>
      <c r="AU316" s="54">
        <v>40867.128400939633</v>
      </c>
      <c r="AV316" s="73">
        <v>1688.6682621313289</v>
      </c>
      <c r="AW316" s="40">
        <v>0</v>
      </c>
      <c r="AX316" s="55">
        <v>-1688.6682621313289</v>
      </c>
      <c r="AY316" s="73">
        <v>1948.0975642657372</v>
      </c>
      <c r="AZ316" s="40">
        <v>0</v>
      </c>
      <c r="BA316" s="35">
        <v>-1948.0975642657372</v>
      </c>
      <c r="BB316" s="73">
        <v>604.78199710034801</v>
      </c>
      <c r="BC316" s="40">
        <v>0</v>
      </c>
      <c r="BD316" s="55">
        <v>-604.78199710034801</v>
      </c>
      <c r="BE316" s="73">
        <v>1514.3758914680102</v>
      </c>
      <c r="BF316" s="40">
        <v>0</v>
      </c>
      <c r="BG316" s="38">
        <v>-1514.3758914680102</v>
      </c>
      <c r="BH316" s="73">
        <v>669.65508160516561</v>
      </c>
      <c r="BI316" s="40">
        <v>0</v>
      </c>
      <c r="BJ316" s="55">
        <v>-669.65508160516561</v>
      </c>
      <c r="BK316" s="73">
        <v>758.8134424472812</v>
      </c>
      <c r="BL316" s="40">
        <v>0</v>
      </c>
      <c r="BM316" s="38">
        <v>-758.8134424472812</v>
      </c>
      <c r="BN316" s="73">
        <v>135.44499999999999</v>
      </c>
      <c r="BO316" s="40">
        <v>0</v>
      </c>
      <c r="BP316" s="55">
        <v>-135.44499999999999</v>
      </c>
      <c r="BQ316" s="77">
        <v>7319.8372390178711</v>
      </c>
      <c r="BR316" s="40">
        <v>0</v>
      </c>
      <c r="BS316" s="55">
        <v>-7319.8372390178711</v>
      </c>
      <c r="BT316" s="73">
        <v>7013.4460639531198</v>
      </c>
      <c r="BU316" s="40">
        <v>1582.7667695733685</v>
      </c>
      <c r="BV316" s="52">
        <v>-5430.6792943797518</v>
      </c>
      <c r="BW316" s="73">
        <v>6962.2290207513797</v>
      </c>
      <c r="BX316" s="40">
        <v>7671.1999317844038</v>
      </c>
      <c r="BY316" s="52">
        <v>708.97091103302409</v>
      </c>
      <c r="BZ316" s="73">
        <v>1556.9728278407181</v>
      </c>
      <c r="CA316" s="40">
        <v>9500.5310155830684</v>
      </c>
      <c r="CB316" s="52">
        <v>7943.5581877423501</v>
      </c>
      <c r="CC316" s="73">
        <v>88.315233324999994</v>
      </c>
      <c r="CD316" s="40">
        <v>106.03587396464721</v>
      </c>
      <c r="CE316" s="52">
        <v>17.720640639647215</v>
      </c>
      <c r="CF316" s="73">
        <v>9.9846780000000006</v>
      </c>
      <c r="CG316" s="40">
        <v>0</v>
      </c>
      <c r="CH316" s="52">
        <v>-9.9846780000000006</v>
      </c>
      <c r="CI316" s="73">
        <v>2828.1</v>
      </c>
      <c r="CJ316" s="40">
        <v>1839.1575275128259</v>
      </c>
      <c r="CK316" s="52">
        <v>-988.94247248717397</v>
      </c>
      <c r="CL316" s="73">
        <v>4242.1532999999999</v>
      </c>
      <c r="CM316" s="40">
        <v>2759.5085714954485</v>
      </c>
      <c r="CN316" s="52">
        <v>-1482.6447285045515</v>
      </c>
      <c r="CO316" s="39">
        <v>7070.2533000000003</v>
      </c>
      <c r="CP316" s="40">
        <v>4598.6660990082746</v>
      </c>
      <c r="CQ316" s="52">
        <v>-2471.5872009917257</v>
      </c>
      <c r="CR316" s="72">
        <v>58183.304582281475</v>
      </c>
      <c r="CS316" s="5">
        <v>93107.631954403376</v>
      </c>
      <c r="CT316" s="52">
        <v>34924.327372121901</v>
      </c>
      <c r="CU316" s="77">
        <v>69819.965498737773</v>
      </c>
      <c r="CV316" s="65">
        <v>111729.15834528404</v>
      </c>
      <c r="CW316" s="35">
        <v>41909.19284654627</v>
      </c>
      <c r="CX316" s="73">
        <v>3898.2602730592689</v>
      </c>
      <c r="CY316" s="40">
        <v>-38010.932573487007</v>
      </c>
      <c r="CZ316" s="52">
        <v>-41909.192846546277</v>
      </c>
      <c r="DA316" s="150">
        <v>44123.210714647154</v>
      </c>
      <c r="DB316" s="2">
        <v>3</v>
      </c>
      <c r="DC316" s="648">
        <v>41060.74</v>
      </c>
      <c r="DD316" s="648">
        <v>1218.6099999999999</v>
      </c>
      <c r="DE316" s="649">
        <v>-31438.875771797037</v>
      </c>
      <c r="DG316" s="321">
        <v>20705.925892333817</v>
      </c>
      <c r="DH316" s="5">
        <v>884618.70926156442</v>
      </c>
      <c r="DI316" s="306">
        <v>4.4334833958670714</v>
      </c>
      <c r="DJ316" s="306">
        <v>5.495386576162014</v>
      </c>
      <c r="DK316" s="306">
        <v>3.7675802277254911</v>
      </c>
      <c r="DL316" s="28">
        <v>35953.681147546318</v>
      </c>
      <c r="DM316" s="28">
        <v>698.50937422030609</v>
      </c>
      <c r="DN316" s="650">
        <v>35953.85</v>
      </c>
      <c r="DO316" s="94">
        <v>-0.16885245368030155</v>
      </c>
      <c r="DP316" s="28">
        <v>36652.190521766621</v>
      </c>
      <c r="DQ316" s="318">
        <v>-3.2913650707123452</v>
      </c>
      <c r="DS316" s="8">
        <v>34909.982749368886</v>
      </c>
      <c r="DT316" s="5">
        <v>1745.4991374684444</v>
      </c>
      <c r="DW316" s="5">
        <v>17963.650605693885</v>
      </c>
      <c r="DX316" s="5">
        <v>58220.4</v>
      </c>
    </row>
    <row r="317" spans="1:128" x14ac:dyDescent="0.3">
      <c r="A317" s="325">
        <v>150000820</v>
      </c>
      <c r="B317" s="41" t="s">
        <v>763</v>
      </c>
      <c r="C317" s="42" t="s">
        <v>395</v>
      </c>
      <c r="D317" s="42" t="s">
        <v>395</v>
      </c>
      <c r="E317" s="293">
        <v>4188.63</v>
      </c>
      <c r="F317" s="652">
        <v>4138.63</v>
      </c>
      <c r="G317" s="51">
        <v>409.07999999999947</v>
      </c>
      <c r="H317" s="651">
        <v>50</v>
      </c>
      <c r="I317" s="73">
        <v>2140.0758470095434</v>
      </c>
      <c r="J317" s="40">
        <v>2409.5974630890682</v>
      </c>
      <c r="K317" s="52">
        <v>269.52161607952485</v>
      </c>
      <c r="L317" s="73">
        <v>427.0290756256145</v>
      </c>
      <c r="M317" s="40">
        <v>481.09859490841063</v>
      </c>
      <c r="N317" s="52">
        <v>54.069519282796136</v>
      </c>
      <c r="O317" s="73">
        <v>733.47120659292341</v>
      </c>
      <c r="P317" s="40">
        <v>733.36666666666667</v>
      </c>
      <c r="Q317" s="52">
        <v>-0.10453992625673436</v>
      </c>
      <c r="R317" s="73">
        <v>199.41727229419001</v>
      </c>
      <c r="S317" s="40">
        <v>199.75</v>
      </c>
      <c r="T317" s="52">
        <v>0.33272770580998667</v>
      </c>
      <c r="U317" s="73">
        <v>86.533130947417462</v>
      </c>
      <c r="V317" s="40">
        <v>162.19236213913845</v>
      </c>
      <c r="W317" s="52">
        <v>75.659231191720991</v>
      </c>
      <c r="X317" s="73">
        <v>722.35972039606781</v>
      </c>
      <c r="Y317" s="40">
        <v>716.75111275949826</v>
      </c>
      <c r="Z317" s="52">
        <v>-5.608607636569559</v>
      </c>
      <c r="AA317" s="73">
        <v>335.25199999999995</v>
      </c>
      <c r="AB317" s="40">
        <v>0</v>
      </c>
      <c r="AC317" s="52">
        <v>-335.25199999999995</v>
      </c>
      <c r="AD317" s="73">
        <v>3017.0272645181585</v>
      </c>
      <c r="AE317" s="40">
        <v>3775.2337623022886</v>
      </c>
      <c r="AF317" s="35">
        <v>758.20649778413008</v>
      </c>
      <c r="AG317" s="77">
        <v>7661.1655173839144</v>
      </c>
      <c r="AH317" s="53">
        <v>8477.9899618650707</v>
      </c>
      <c r="AI317" s="52">
        <v>816.82444448115621</v>
      </c>
      <c r="AJ317" s="73">
        <v>5521.7405099999996</v>
      </c>
      <c r="AK317" s="40">
        <v>5438.4201185626225</v>
      </c>
      <c r="AL317" s="52">
        <v>-83.320391437377111</v>
      </c>
      <c r="AM317" s="73">
        <v>0</v>
      </c>
      <c r="AN317" s="40">
        <v>0</v>
      </c>
      <c r="AO317" s="52">
        <v>0</v>
      </c>
      <c r="AP317" s="73">
        <v>447.54554166666662</v>
      </c>
      <c r="AQ317" s="40">
        <v>0</v>
      </c>
      <c r="AR317" s="52">
        <v>-447.54554166666662</v>
      </c>
      <c r="AS317" s="73">
        <v>5121.1006045851427</v>
      </c>
      <c r="AT317" s="40">
        <v>613</v>
      </c>
      <c r="AU317" s="54">
        <v>-4508.1006045851427</v>
      </c>
      <c r="AV317" s="73">
        <v>845.70997648860202</v>
      </c>
      <c r="AW317" s="40">
        <v>0</v>
      </c>
      <c r="AX317" s="55">
        <v>-845.70997648860202</v>
      </c>
      <c r="AY317" s="73">
        <v>1194.6192285599477</v>
      </c>
      <c r="AZ317" s="40">
        <v>5837</v>
      </c>
      <c r="BA317" s="35">
        <v>4642.3807714400518</v>
      </c>
      <c r="BB317" s="73">
        <v>380.96122624961998</v>
      </c>
      <c r="BC317" s="40">
        <v>0</v>
      </c>
      <c r="BD317" s="55">
        <v>-380.96122624961998</v>
      </c>
      <c r="BE317" s="73">
        <v>1064.07659575505</v>
      </c>
      <c r="BF317" s="40">
        <v>0</v>
      </c>
      <c r="BG317" s="38">
        <v>-1064.07659575505</v>
      </c>
      <c r="BH317" s="73">
        <v>417.92545115516577</v>
      </c>
      <c r="BI317" s="40">
        <v>0</v>
      </c>
      <c r="BJ317" s="55">
        <v>-417.92545115516577</v>
      </c>
      <c r="BK317" s="73">
        <v>368.6253177556838</v>
      </c>
      <c r="BL317" s="40">
        <v>0</v>
      </c>
      <c r="BM317" s="38">
        <v>-368.6253177556838</v>
      </c>
      <c r="BN317" s="73">
        <v>83.812999999999988</v>
      </c>
      <c r="BO317" s="40">
        <v>0</v>
      </c>
      <c r="BP317" s="55">
        <v>-83.812999999999988</v>
      </c>
      <c r="BQ317" s="77">
        <v>4355.7307959640693</v>
      </c>
      <c r="BR317" s="40">
        <v>5837</v>
      </c>
      <c r="BS317" s="55">
        <v>1481.2692040359307</v>
      </c>
      <c r="BT317" s="73">
        <v>6707.5945467752599</v>
      </c>
      <c r="BU317" s="40">
        <v>1199.7120278004058</v>
      </c>
      <c r="BV317" s="52">
        <v>-5507.8825189748541</v>
      </c>
      <c r="BW317" s="73">
        <v>4398.63421936534</v>
      </c>
      <c r="BX317" s="40">
        <v>4380.3845715420493</v>
      </c>
      <c r="BY317" s="52">
        <v>-18.249647823290616</v>
      </c>
      <c r="BZ317" s="73">
        <v>1238.853726546422</v>
      </c>
      <c r="CA317" s="40">
        <v>8044.8620807803463</v>
      </c>
      <c r="CB317" s="52">
        <v>6806.0083542339244</v>
      </c>
      <c r="CC317" s="73">
        <v>174.30159835000001</v>
      </c>
      <c r="CD317" s="40">
        <v>216.89156038223291</v>
      </c>
      <c r="CE317" s="52">
        <v>42.589962032232904</v>
      </c>
      <c r="CF317" s="73">
        <v>20.423204999999999</v>
      </c>
      <c r="CG317" s="40">
        <v>0</v>
      </c>
      <c r="CH317" s="52">
        <v>-20.423204999999999</v>
      </c>
      <c r="CI317" s="73">
        <v>5126.72</v>
      </c>
      <c r="CJ317" s="40">
        <v>5328.8096984326603</v>
      </c>
      <c r="CK317" s="52">
        <v>202.08969843266004</v>
      </c>
      <c r="CL317" s="73">
        <v>1401.5925</v>
      </c>
      <c r="CM317" s="40">
        <v>1463.3323847022211</v>
      </c>
      <c r="CN317" s="52">
        <v>61.739884702221161</v>
      </c>
      <c r="CO317" s="39">
        <v>6528.3125</v>
      </c>
      <c r="CP317" s="40">
        <v>6792.1420831348814</v>
      </c>
      <c r="CQ317" s="52">
        <v>263.82958313488143</v>
      </c>
      <c r="CR317" s="72">
        <v>42175.40276563682</v>
      </c>
      <c r="CS317" s="5">
        <v>41000.402404067609</v>
      </c>
      <c r="CT317" s="52">
        <v>-1175.0003615692112</v>
      </c>
      <c r="CU317" s="77">
        <v>50610.483318764185</v>
      </c>
      <c r="CV317" s="65">
        <v>49200.48288488113</v>
      </c>
      <c r="CW317" s="35">
        <v>-1410.0004338830549</v>
      </c>
      <c r="CX317" s="73">
        <v>2825.7366659030213</v>
      </c>
      <c r="CY317" s="40">
        <v>4235.737099786078</v>
      </c>
      <c r="CZ317" s="52">
        <v>1410.0004338830568</v>
      </c>
      <c r="DA317" s="150">
        <v>43452.673630770609</v>
      </c>
      <c r="DB317" s="2">
        <v>3</v>
      </c>
      <c r="DC317" s="648">
        <v>34923.33</v>
      </c>
      <c r="DD317" s="648">
        <v>147.27000000000001</v>
      </c>
      <c r="DE317" s="649">
        <v>-18365.61998466721</v>
      </c>
      <c r="DG317" s="321">
        <v>89504.622343863462</v>
      </c>
      <c r="DH317" s="5">
        <v>641234.63981600653</v>
      </c>
      <c r="DI317" s="306">
        <v>5.3075934667221878</v>
      </c>
      <c r="DJ317" s="306">
        <v>6.476457991922036</v>
      </c>
      <c r="DK317" s="306">
        <v>4.6383411613594632</v>
      </c>
      <c r="DL317" s="28">
        <v>26325.504239139544</v>
      </c>
      <c r="DM317" s="28">
        <v>231.91705806797316</v>
      </c>
      <c r="DN317" s="650">
        <v>26325.74</v>
      </c>
      <c r="DO317" s="94">
        <v>-0.23576086045795819</v>
      </c>
      <c r="DP317" s="28">
        <v>26557.421297207518</v>
      </c>
      <c r="DQ317" s="318">
        <v>-13.082445143678342</v>
      </c>
      <c r="DS317" s="8">
        <v>25305.241659382093</v>
      </c>
      <c r="DT317" s="5">
        <v>1265.2620829691045</v>
      </c>
      <c r="DW317" s="5">
        <v>11372.197680659054</v>
      </c>
      <c r="DX317" s="5">
        <v>7740</v>
      </c>
    </row>
    <row r="318" spans="1:128" x14ac:dyDescent="0.3">
      <c r="A318" s="325">
        <v>150000799</v>
      </c>
      <c r="B318" s="41" t="s">
        <v>764</v>
      </c>
      <c r="C318" s="42" t="s">
        <v>293</v>
      </c>
      <c r="D318" s="42" t="s">
        <v>293</v>
      </c>
      <c r="E318" s="293">
        <v>2066.5</v>
      </c>
      <c r="F318" s="305">
        <v>1762.3</v>
      </c>
      <c r="G318" s="51"/>
      <c r="H318" s="651">
        <v>304.2</v>
      </c>
      <c r="I318" s="73">
        <v>945.14280802160306</v>
      </c>
      <c r="J318" s="40">
        <v>1045.8140796413295</v>
      </c>
      <c r="K318" s="52">
        <v>100.67127161972644</v>
      </c>
      <c r="L318" s="73">
        <v>196.36182595786562</v>
      </c>
      <c r="M318" s="40">
        <v>221.2255275049298</v>
      </c>
      <c r="N318" s="52">
        <v>24.863701547064181</v>
      </c>
      <c r="O318" s="73">
        <v>368.46617317281999</v>
      </c>
      <c r="P318" s="40">
        <v>368.46</v>
      </c>
      <c r="Q318" s="52">
        <v>-6.173172820012951E-3</v>
      </c>
      <c r="R318" s="73">
        <v>0</v>
      </c>
      <c r="S318" s="40">
        <v>0</v>
      </c>
      <c r="T318" s="52">
        <v>0</v>
      </c>
      <c r="U318" s="73">
        <v>0</v>
      </c>
      <c r="V318" s="40">
        <v>0</v>
      </c>
      <c r="W318" s="52">
        <v>0</v>
      </c>
      <c r="X318" s="73">
        <v>412.18808580363657</v>
      </c>
      <c r="Y318" s="40">
        <v>427.49423431137927</v>
      </c>
      <c r="Z318" s="52">
        <v>15.306148507742705</v>
      </c>
      <c r="AA318" s="73">
        <v>166.83200000000002</v>
      </c>
      <c r="AB318" s="40">
        <v>0</v>
      </c>
      <c r="AC318" s="52">
        <v>-166.83200000000002</v>
      </c>
      <c r="AD318" s="73">
        <v>1489.5419849473897</v>
      </c>
      <c r="AE318" s="40">
        <v>1862.5470785907755</v>
      </c>
      <c r="AF318" s="35">
        <v>373.00509364338586</v>
      </c>
      <c r="AG318" s="77">
        <v>3578.5328779033148</v>
      </c>
      <c r="AH318" s="53">
        <v>3925.5409200484141</v>
      </c>
      <c r="AI318" s="52">
        <v>347.00804214509935</v>
      </c>
      <c r="AJ318" s="73">
        <v>0</v>
      </c>
      <c r="AK318" s="40">
        <v>0</v>
      </c>
      <c r="AL318" s="52">
        <v>0</v>
      </c>
      <c r="AM318" s="73">
        <v>0</v>
      </c>
      <c r="AN318" s="40">
        <v>0</v>
      </c>
      <c r="AO318" s="52">
        <v>0</v>
      </c>
      <c r="AP318" s="73">
        <v>680.7734999999999</v>
      </c>
      <c r="AQ318" s="40">
        <v>2007.7157682939744</v>
      </c>
      <c r="AR318" s="52">
        <v>1326.9422682939744</v>
      </c>
      <c r="AS318" s="73">
        <v>1597.199270182439</v>
      </c>
      <c r="AT318" s="40">
        <v>938</v>
      </c>
      <c r="AU318" s="54">
        <v>-659.19927018243902</v>
      </c>
      <c r="AV318" s="73">
        <v>450.77783567228494</v>
      </c>
      <c r="AW318" s="40">
        <v>0</v>
      </c>
      <c r="AX318" s="55">
        <v>-450.77783567228494</v>
      </c>
      <c r="AY318" s="73">
        <v>543.41458198047098</v>
      </c>
      <c r="AZ318" s="40">
        <v>0</v>
      </c>
      <c r="BA318" s="35">
        <v>-543.41458198047098</v>
      </c>
      <c r="BB318" s="73">
        <v>127.11548275973001</v>
      </c>
      <c r="BC318" s="40">
        <v>0</v>
      </c>
      <c r="BD318" s="55">
        <v>-127.11548275973001</v>
      </c>
      <c r="BE318" s="73">
        <v>0</v>
      </c>
      <c r="BF318" s="40">
        <v>0</v>
      </c>
      <c r="BG318" s="38">
        <v>0</v>
      </c>
      <c r="BH318" s="73">
        <v>0</v>
      </c>
      <c r="BI318" s="40">
        <v>0</v>
      </c>
      <c r="BJ318" s="55">
        <v>0</v>
      </c>
      <c r="BK318" s="73">
        <v>239.46692055247883</v>
      </c>
      <c r="BL318" s="40">
        <v>0</v>
      </c>
      <c r="BM318" s="38">
        <v>-239.46692055247883</v>
      </c>
      <c r="BN318" s="73">
        <v>41.708000000000006</v>
      </c>
      <c r="BO318" s="40">
        <v>0</v>
      </c>
      <c r="BP318" s="55">
        <v>-41.708000000000006</v>
      </c>
      <c r="BQ318" s="77">
        <v>1402.4828209649647</v>
      </c>
      <c r="BR318" s="40">
        <v>0</v>
      </c>
      <c r="BS318" s="55">
        <v>-1402.4828209649647</v>
      </c>
      <c r="BT318" s="73">
        <v>611.39386698989802</v>
      </c>
      <c r="BU318" s="40">
        <v>226.11899483148309</v>
      </c>
      <c r="BV318" s="52">
        <v>-385.27487215841495</v>
      </c>
      <c r="BW318" s="73">
        <v>1072.0207929985299</v>
      </c>
      <c r="BX318" s="40">
        <v>1138.7432574836289</v>
      </c>
      <c r="BY318" s="52">
        <v>66.722464485098953</v>
      </c>
      <c r="BZ318" s="73">
        <v>360.21258763273403</v>
      </c>
      <c r="CA318" s="40">
        <v>1837.3854523839348</v>
      </c>
      <c r="CB318" s="52">
        <v>1477.1728647512007</v>
      </c>
      <c r="CC318" s="73">
        <v>95.802985410000005</v>
      </c>
      <c r="CD318" s="40">
        <v>120.88089631969783</v>
      </c>
      <c r="CE318" s="52">
        <v>25.07791090969782</v>
      </c>
      <c r="CF318" s="73">
        <v>11.382532919999999</v>
      </c>
      <c r="CG318" s="40">
        <v>0</v>
      </c>
      <c r="CH318" s="52">
        <v>-11.382532919999999</v>
      </c>
      <c r="CI318" s="73">
        <v>513.91999999999996</v>
      </c>
      <c r="CJ318" s="40">
        <v>581.85163982983465</v>
      </c>
      <c r="CK318" s="52">
        <v>67.931639829834694</v>
      </c>
      <c r="CL318" s="73">
        <v>0</v>
      </c>
      <c r="CM318" s="40">
        <v>0</v>
      </c>
      <c r="CN318" s="52">
        <v>0</v>
      </c>
      <c r="CO318" s="39">
        <v>513.91999999999996</v>
      </c>
      <c r="CP318" s="40">
        <v>581.85163982983465</v>
      </c>
      <c r="CQ318" s="52">
        <v>67.931639829834694</v>
      </c>
      <c r="CR318" s="72">
        <v>9923.7212350018817</v>
      </c>
      <c r="CS318" s="5">
        <v>10776.236929190967</v>
      </c>
      <c r="CT318" s="52">
        <v>852.51569418908548</v>
      </c>
      <c r="CU318" s="77">
        <v>11908.465482002257</v>
      </c>
      <c r="CV318" s="65">
        <v>12931.48431502916</v>
      </c>
      <c r="CW318" s="35">
        <v>1023.0188330269029</v>
      </c>
      <c r="CX318" s="73">
        <v>664.88571814642671</v>
      </c>
      <c r="CY318" s="40">
        <v>-358.13311488047657</v>
      </c>
      <c r="CZ318" s="52">
        <v>-1023.0188330269033</v>
      </c>
      <c r="DA318" s="150">
        <v>-12973.039520844457</v>
      </c>
      <c r="DB318" s="2">
        <v>2</v>
      </c>
      <c r="DC318" s="648">
        <v>7231.86</v>
      </c>
      <c r="DD318" s="648">
        <v>0</v>
      </c>
      <c r="DE318" s="649">
        <v>-5341.4912001486837</v>
      </c>
      <c r="DG318" s="321">
        <v>-11110.469403238385</v>
      </c>
      <c r="DH318" s="5">
        <v>150880.21440178421</v>
      </c>
      <c r="DI318" s="306">
        <v>3.0573354036178504</v>
      </c>
      <c r="DJ318" s="306"/>
      <c r="DK318" s="306">
        <v>2.6741015049688839</v>
      </c>
      <c r="DL318" s="28">
        <v>5387.9421817957373</v>
      </c>
      <c r="DM318" s="28">
        <v>813.4616778115344</v>
      </c>
      <c r="DN318" s="650">
        <v>5387.91</v>
      </c>
      <c r="DO318" s="94">
        <v>3.2181795737415086E-2</v>
      </c>
      <c r="DP318" s="28">
        <v>6201.4038596072714</v>
      </c>
      <c r="DQ318" s="318">
        <v>-50.540518443913243</v>
      </c>
      <c r="DS318" s="8">
        <v>5954.2327410011285</v>
      </c>
      <c r="DT318" s="5">
        <v>297.71163705005642</v>
      </c>
      <c r="DW318" s="5">
        <v>3599.6185093768845</v>
      </c>
      <c r="DX318" s="5">
        <v>1125.5999999999999</v>
      </c>
    </row>
    <row r="319" spans="1:128" x14ac:dyDescent="0.3">
      <c r="A319" s="325">
        <v>150000830</v>
      </c>
      <c r="B319" s="41" t="s">
        <v>765</v>
      </c>
      <c r="C319" s="42" t="s">
        <v>294</v>
      </c>
      <c r="D319" s="42" t="s">
        <v>294</v>
      </c>
      <c r="E319" s="293">
        <v>5961.3</v>
      </c>
      <c r="F319" s="305">
        <v>4483.3</v>
      </c>
      <c r="G319" s="51"/>
      <c r="H319" s="651">
        <v>1478</v>
      </c>
      <c r="I319" s="73">
        <v>2378.170006391179</v>
      </c>
      <c r="J319" s="40">
        <v>2680.9212429802474</v>
      </c>
      <c r="K319" s="52">
        <v>302.75123658906841</v>
      </c>
      <c r="L319" s="73">
        <v>527.56432928845334</v>
      </c>
      <c r="M319" s="40">
        <v>594.36411801159466</v>
      </c>
      <c r="N319" s="52">
        <v>66.799788723141319</v>
      </c>
      <c r="O319" s="73">
        <v>934.84038364025662</v>
      </c>
      <c r="P319" s="40">
        <v>934.93333333333339</v>
      </c>
      <c r="Q319" s="52">
        <v>9.2949693076775475E-2</v>
      </c>
      <c r="R319" s="73">
        <v>0</v>
      </c>
      <c r="S319" s="40">
        <v>0</v>
      </c>
      <c r="T319" s="52">
        <v>0</v>
      </c>
      <c r="U319" s="73">
        <v>143.60199067673076</v>
      </c>
      <c r="V319" s="40">
        <v>269.15996592635861</v>
      </c>
      <c r="W319" s="52">
        <v>125.55797524962784</v>
      </c>
      <c r="X319" s="73">
        <v>1517.7484539159511</v>
      </c>
      <c r="Y319" s="40">
        <v>1616.9117728079887</v>
      </c>
      <c r="Z319" s="52">
        <v>99.163318892037523</v>
      </c>
      <c r="AA319" s="73">
        <v>476.904</v>
      </c>
      <c r="AB319" s="40">
        <v>0</v>
      </c>
      <c r="AC319" s="52">
        <v>-476.904</v>
      </c>
      <c r="AD319" s="73">
        <v>4236.0068379113009</v>
      </c>
      <c r="AE319" s="40">
        <v>5372.9503506427245</v>
      </c>
      <c r="AF319" s="35">
        <v>1136.9435127314237</v>
      </c>
      <c r="AG319" s="77">
        <v>10214.836001823871</v>
      </c>
      <c r="AH319" s="53">
        <v>11469.240783702247</v>
      </c>
      <c r="AI319" s="52">
        <v>1254.4047818783765</v>
      </c>
      <c r="AJ319" s="73">
        <v>0</v>
      </c>
      <c r="AK319" s="40">
        <v>0</v>
      </c>
      <c r="AL319" s="52">
        <v>0</v>
      </c>
      <c r="AM319" s="73">
        <v>0</v>
      </c>
      <c r="AN319" s="40">
        <v>0</v>
      </c>
      <c r="AO319" s="52">
        <v>0</v>
      </c>
      <c r="AP319" s="73">
        <v>1777.5752499999999</v>
      </c>
      <c r="AQ319" s="40">
        <v>0</v>
      </c>
      <c r="AR319" s="52">
        <v>-1777.5752499999999</v>
      </c>
      <c r="AS319" s="73">
        <v>6083.7653052197202</v>
      </c>
      <c r="AT319" s="40">
        <v>0</v>
      </c>
      <c r="AU319" s="54">
        <v>-6083.7653052197202</v>
      </c>
      <c r="AV319" s="73">
        <v>1084.7801764090539</v>
      </c>
      <c r="AW319" s="40">
        <v>0</v>
      </c>
      <c r="AX319" s="55">
        <v>-1084.7801764090539</v>
      </c>
      <c r="AY319" s="73">
        <v>1460.2114471146149</v>
      </c>
      <c r="AZ319" s="40">
        <v>0</v>
      </c>
      <c r="BA319" s="35">
        <v>-1460.2114471146149</v>
      </c>
      <c r="BB319" s="73">
        <v>296.92750445361321</v>
      </c>
      <c r="BC319" s="40">
        <v>0</v>
      </c>
      <c r="BD319" s="55">
        <v>-296.92750445361321</v>
      </c>
      <c r="BE319" s="73">
        <v>0</v>
      </c>
      <c r="BF319" s="40">
        <v>0</v>
      </c>
      <c r="BG319" s="38">
        <v>0</v>
      </c>
      <c r="BH319" s="73">
        <v>693.37918820845721</v>
      </c>
      <c r="BI319" s="40">
        <v>0</v>
      </c>
      <c r="BJ319" s="55">
        <v>-693.37918820845721</v>
      </c>
      <c r="BK319" s="73">
        <v>1130.5316338595351</v>
      </c>
      <c r="BL319" s="40">
        <v>0</v>
      </c>
      <c r="BM319" s="38">
        <v>-1130.5316338595351</v>
      </c>
      <c r="BN319" s="73">
        <v>119.226</v>
      </c>
      <c r="BO319" s="40">
        <v>0</v>
      </c>
      <c r="BP319" s="55">
        <v>-119.226</v>
      </c>
      <c r="BQ319" s="77">
        <v>4785.0559500452737</v>
      </c>
      <c r="BR319" s="40">
        <v>0</v>
      </c>
      <c r="BS319" s="55">
        <v>-4785.0559500452737</v>
      </c>
      <c r="BT319" s="73">
        <v>3813.4452704959799</v>
      </c>
      <c r="BU319" s="40">
        <v>1090.0900683106568</v>
      </c>
      <c r="BV319" s="52">
        <v>-2723.3552021853229</v>
      </c>
      <c r="BW319" s="73">
        <v>2929.0032839476398</v>
      </c>
      <c r="BX319" s="40">
        <v>2983.926280044619</v>
      </c>
      <c r="BY319" s="52">
        <v>54.922996096979205</v>
      </c>
      <c r="BZ319" s="73">
        <v>1594.4685313301541</v>
      </c>
      <c r="CA319" s="40">
        <v>6524.6300778844634</v>
      </c>
      <c r="CB319" s="52">
        <v>4930.1615465543091</v>
      </c>
      <c r="CC319" s="73">
        <v>139.42619487499999</v>
      </c>
      <c r="CD319" s="40">
        <v>175.92315453225558</v>
      </c>
      <c r="CE319" s="52">
        <v>36.496959657255587</v>
      </c>
      <c r="CF319" s="73">
        <v>16.565488500000001</v>
      </c>
      <c r="CG319" s="40">
        <v>0</v>
      </c>
      <c r="CH319" s="52">
        <v>-16.565488500000001</v>
      </c>
      <c r="CI319" s="73">
        <v>1423.4</v>
      </c>
      <c r="CJ319" s="40">
        <v>315.98270062878055</v>
      </c>
      <c r="CK319" s="52">
        <v>-1107.4172993712195</v>
      </c>
      <c r="CL319" s="73">
        <v>0</v>
      </c>
      <c r="CM319" s="40">
        <v>0</v>
      </c>
      <c r="CN319" s="52">
        <v>0</v>
      </c>
      <c r="CO319" s="39">
        <v>1423.4</v>
      </c>
      <c r="CP319" s="40">
        <v>315.98270062878055</v>
      </c>
      <c r="CQ319" s="52">
        <v>-1107.4172993712195</v>
      </c>
      <c r="CR319" s="72">
        <v>32777.541276237636</v>
      </c>
      <c r="CS319" s="5">
        <v>22559.793065103026</v>
      </c>
      <c r="CT319" s="52">
        <v>-10217.748211134611</v>
      </c>
      <c r="CU319" s="77">
        <v>39333.049531485165</v>
      </c>
      <c r="CV319" s="65">
        <v>27071.75167812363</v>
      </c>
      <c r="CW319" s="35">
        <v>-12261.297853361535</v>
      </c>
      <c r="CX319" s="73">
        <v>2196.0833597036521</v>
      </c>
      <c r="CY319" s="40">
        <v>14457.38121306519</v>
      </c>
      <c r="CZ319" s="52">
        <v>12261.297853361537</v>
      </c>
      <c r="DA319" s="150">
        <v>-96751.594603351419</v>
      </c>
      <c r="DB319" s="2">
        <v>3</v>
      </c>
      <c r="DC319" s="648">
        <v>32790.82</v>
      </c>
      <c r="DD319" s="648">
        <v>103132.69000000002</v>
      </c>
      <c r="DE319" s="649">
        <v>94394.377108811197</v>
      </c>
      <c r="DG319" s="321">
        <v>-12855.651827720547</v>
      </c>
      <c r="DH319" s="5">
        <v>498349.59469426586</v>
      </c>
      <c r="DI319" s="306">
        <v>3.5660305524578697</v>
      </c>
      <c r="DJ319" s="306"/>
      <c r="DK319" s="306">
        <v>3.1544426442458353</v>
      </c>
      <c r="DL319" s="28">
        <v>15987.584775834368</v>
      </c>
      <c r="DM319" s="28">
        <v>4662.2662281953444</v>
      </c>
      <c r="DN319" s="650">
        <v>15987.41</v>
      </c>
      <c r="DO319" s="94">
        <v>0.17477583436811983</v>
      </c>
      <c r="DP319" s="28">
        <v>20649.851004029711</v>
      </c>
      <c r="DQ319" s="318">
        <v>0</v>
      </c>
      <c r="DS319" s="8">
        <v>19666.524765742583</v>
      </c>
      <c r="DT319" s="5">
        <v>983.32623828712917</v>
      </c>
      <c r="DW319" s="5">
        <v>13042.585506317992</v>
      </c>
      <c r="DX319" s="5">
        <v>0</v>
      </c>
    </row>
    <row r="320" spans="1:128" x14ac:dyDescent="0.3">
      <c r="A320" s="325">
        <v>150000800</v>
      </c>
      <c r="B320" s="41" t="s">
        <v>766</v>
      </c>
      <c r="C320" s="42" t="s">
        <v>227</v>
      </c>
      <c r="D320" s="42" t="s">
        <v>227</v>
      </c>
      <c r="E320" s="293">
        <v>1452.8</v>
      </c>
      <c r="F320" s="305">
        <v>1452.8</v>
      </c>
      <c r="G320" s="51"/>
      <c r="H320" s="651">
        <v>0</v>
      </c>
      <c r="I320" s="73">
        <v>680.09953950119836</v>
      </c>
      <c r="J320" s="40">
        <v>753.18854881926495</v>
      </c>
      <c r="K320" s="52">
        <v>73.089009318066587</v>
      </c>
      <c r="L320" s="73">
        <v>111.03402610563327</v>
      </c>
      <c r="M320" s="40">
        <v>125.09342259354666</v>
      </c>
      <c r="N320" s="52">
        <v>14.059396487913389</v>
      </c>
      <c r="O320" s="73">
        <v>276.43108221333</v>
      </c>
      <c r="P320" s="40">
        <v>276.44</v>
      </c>
      <c r="Q320" s="52">
        <v>8.9177866699969854E-3</v>
      </c>
      <c r="R320" s="73">
        <v>0</v>
      </c>
      <c r="S320" s="40">
        <v>0</v>
      </c>
      <c r="T320" s="52">
        <v>0</v>
      </c>
      <c r="U320" s="73">
        <v>0</v>
      </c>
      <c r="V320" s="40">
        <v>0</v>
      </c>
      <c r="W320" s="52">
        <v>0</v>
      </c>
      <c r="X320" s="73">
        <v>335.91637551634778</v>
      </c>
      <c r="Y320" s="40">
        <v>338.56318624076698</v>
      </c>
      <c r="Z320" s="52">
        <v>2.646810724419197</v>
      </c>
      <c r="AA320" s="73">
        <v>116.224</v>
      </c>
      <c r="AB320" s="40">
        <v>0</v>
      </c>
      <c r="AC320" s="52">
        <v>-116.224</v>
      </c>
      <c r="AD320" s="73">
        <v>1046.6346326320236</v>
      </c>
      <c r="AE320" s="40">
        <v>1309.4161121590507</v>
      </c>
      <c r="AF320" s="35">
        <v>262.78147952702716</v>
      </c>
      <c r="AG320" s="77">
        <v>2566.3396559685325</v>
      </c>
      <c r="AH320" s="53">
        <v>2802.7012698126291</v>
      </c>
      <c r="AI320" s="52">
        <v>236.36161384409661</v>
      </c>
      <c r="AJ320" s="73">
        <v>0</v>
      </c>
      <c r="AK320" s="40">
        <v>0</v>
      </c>
      <c r="AL320" s="52">
        <v>0</v>
      </c>
      <c r="AM320" s="73">
        <v>0</v>
      </c>
      <c r="AN320" s="40">
        <v>0</v>
      </c>
      <c r="AO320" s="52">
        <v>0</v>
      </c>
      <c r="AP320" s="73">
        <v>605.13199999999995</v>
      </c>
      <c r="AQ320" s="40">
        <v>0</v>
      </c>
      <c r="AR320" s="52">
        <v>-605.13199999999995</v>
      </c>
      <c r="AS320" s="73">
        <v>1472.0612270746203</v>
      </c>
      <c r="AT320" s="40">
        <v>0</v>
      </c>
      <c r="AU320" s="54">
        <v>-1472.0612270746203</v>
      </c>
      <c r="AV320" s="73">
        <v>286.09917779848178</v>
      </c>
      <c r="AW320" s="40">
        <v>0</v>
      </c>
      <c r="AX320" s="55">
        <v>-286.09917779848178</v>
      </c>
      <c r="AY320" s="73">
        <v>307.27298240323199</v>
      </c>
      <c r="AZ320" s="40">
        <v>0</v>
      </c>
      <c r="BA320" s="35">
        <v>-307.27298240323199</v>
      </c>
      <c r="BB320" s="73">
        <v>101.44592834786</v>
      </c>
      <c r="BC320" s="40">
        <v>1874</v>
      </c>
      <c r="BD320" s="55">
        <v>1772.55407165214</v>
      </c>
      <c r="BE320" s="73">
        <v>0</v>
      </c>
      <c r="BF320" s="40">
        <v>0</v>
      </c>
      <c r="BG320" s="38">
        <v>0</v>
      </c>
      <c r="BH320" s="73">
        <v>0</v>
      </c>
      <c r="BI320" s="40">
        <v>0</v>
      </c>
      <c r="BJ320" s="55">
        <v>0</v>
      </c>
      <c r="BK320" s="73">
        <v>167.85195679912547</v>
      </c>
      <c r="BL320" s="40">
        <v>0</v>
      </c>
      <c r="BM320" s="38">
        <v>-167.85195679912547</v>
      </c>
      <c r="BN320" s="73">
        <v>29.056000000000001</v>
      </c>
      <c r="BO320" s="40">
        <v>0</v>
      </c>
      <c r="BP320" s="55">
        <v>-29.056000000000001</v>
      </c>
      <c r="BQ320" s="77">
        <v>891.72604534869924</v>
      </c>
      <c r="BR320" s="40">
        <v>1874</v>
      </c>
      <c r="BS320" s="55">
        <v>982.27395465130076</v>
      </c>
      <c r="BT320" s="73">
        <v>972.31132818625201</v>
      </c>
      <c r="BU320" s="40">
        <v>315.67985386873511</v>
      </c>
      <c r="BV320" s="52">
        <v>-656.6314743175169</v>
      </c>
      <c r="BW320" s="73">
        <v>995.80101795047005</v>
      </c>
      <c r="BX320" s="40">
        <v>1050.912854350242</v>
      </c>
      <c r="BY320" s="52">
        <v>55.11183639977196</v>
      </c>
      <c r="BZ320" s="73">
        <v>768.07459212068602</v>
      </c>
      <c r="CA320" s="40">
        <v>1874.1325887157675</v>
      </c>
      <c r="CB320" s="52">
        <v>1106.0579965950815</v>
      </c>
      <c r="CC320" s="73">
        <v>188.1298656875</v>
      </c>
      <c r="CD320" s="40">
        <v>237.37576330722158</v>
      </c>
      <c r="CE320" s="52">
        <v>49.245897619721575</v>
      </c>
      <c r="CF320" s="73">
        <v>22.35206325</v>
      </c>
      <c r="CG320" s="40">
        <v>0</v>
      </c>
      <c r="CH320" s="52">
        <v>-22.35206325</v>
      </c>
      <c r="CI320" s="73">
        <v>445.4</v>
      </c>
      <c r="CJ320" s="40">
        <v>533.77988058217079</v>
      </c>
      <c r="CK320" s="52">
        <v>88.379880582170813</v>
      </c>
      <c r="CL320" s="73">
        <v>0</v>
      </c>
      <c r="CM320" s="40">
        <v>0</v>
      </c>
      <c r="CN320" s="52">
        <v>0</v>
      </c>
      <c r="CO320" s="39">
        <v>445.4</v>
      </c>
      <c r="CP320" s="40">
        <v>533.77988058217079</v>
      </c>
      <c r="CQ320" s="52">
        <v>88.379880582170813</v>
      </c>
      <c r="CR320" s="72">
        <v>8927.3277955867597</v>
      </c>
      <c r="CS320" s="5">
        <v>8688.5822106367668</v>
      </c>
      <c r="CT320" s="52">
        <v>-238.74558494999292</v>
      </c>
      <c r="CU320" s="77">
        <v>10712.793354704112</v>
      </c>
      <c r="CV320" s="65">
        <v>10426.298652764121</v>
      </c>
      <c r="CW320" s="35">
        <v>-286.4947019399915</v>
      </c>
      <c r="CX320" s="73">
        <v>598.12771962614829</v>
      </c>
      <c r="CY320" s="40">
        <v>884.62242156614047</v>
      </c>
      <c r="CZ320" s="52">
        <v>286.49470193999218</v>
      </c>
      <c r="DA320" s="150">
        <v>-26587.318003795532</v>
      </c>
      <c r="DB320" s="2">
        <v>2</v>
      </c>
      <c r="DC320" s="648">
        <v>6143.43</v>
      </c>
      <c r="DD320" s="648"/>
      <c r="DE320" s="649">
        <v>-5167.4910743302607</v>
      </c>
      <c r="DG320" s="321">
        <v>22834.504421620135</v>
      </c>
      <c r="DH320" s="5">
        <v>135731.05289196313</v>
      </c>
      <c r="DI320" s="306">
        <v>3.8712944047492148</v>
      </c>
      <c r="DJ320" s="306"/>
      <c r="DK320" s="306"/>
      <c r="DL320" s="28">
        <v>5624.216511219659</v>
      </c>
      <c r="DM320" s="28">
        <v>0</v>
      </c>
      <c r="DN320" s="650">
        <v>5624.21</v>
      </c>
      <c r="DO320" s="94">
        <v>6.5112196589325322E-3</v>
      </c>
      <c r="DP320" s="28">
        <v>5624.216511219659</v>
      </c>
      <c r="DQ320" s="318">
        <v>0</v>
      </c>
      <c r="DS320" s="8">
        <v>5356.396677352056</v>
      </c>
      <c r="DT320" s="5">
        <v>267.81983386760282</v>
      </c>
      <c r="DW320" s="5">
        <v>2836.5447269079832</v>
      </c>
      <c r="DX320" s="5">
        <v>2248.7999999999997</v>
      </c>
    </row>
    <row r="321" spans="1:128" x14ac:dyDescent="0.3">
      <c r="A321" s="325">
        <v>150000801</v>
      </c>
      <c r="B321" s="41" t="s">
        <v>767</v>
      </c>
      <c r="C321" s="42" t="s">
        <v>295</v>
      </c>
      <c r="D321" s="42" t="s">
        <v>295</v>
      </c>
      <c r="E321" s="293">
        <v>4211.8</v>
      </c>
      <c r="F321" s="305">
        <v>3766.2</v>
      </c>
      <c r="G321" s="51"/>
      <c r="H321" s="651">
        <v>445.6</v>
      </c>
      <c r="I321" s="73">
        <v>2115.8087627779855</v>
      </c>
      <c r="J321" s="40">
        <v>2349.3200121805539</v>
      </c>
      <c r="K321" s="52">
        <v>233.51124940256841</v>
      </c>
      <c r="L321" s="73">
        <v>442.66813526357123</v>
      </c>
      <c r="M321" s="40">
        <v>498.71875793520587</v>
      </c>
      <c r="N321" s="52">
        <v>56.050622671634642</v>
      </c>
      <c r="O321" s="73">
        <v>737.2726380869999</v>
      </c>
      <c r="P321" s="40">
        <v>737.26</v>
      </c>
      <c r="Q321" s="52">
        <v>-1.2638086999913867E-2</v>
      </c>
      <c r="R321" s="73">
        <v>0</v>
      </c>
      <c r="S321" s="40">
        <v>0</v>
      </c>
      <c r="T321" s="52">
        <v>0</v>
      </c>
      <c r="U321" s="73">
        <v>0</v>
      </c>
      <c r="V321" s="40">
        <v>0</v>
      </c>
      <c r="W321" s="52">
        <v>0</v>
      </c>
      <c r="X321" s="73">
        <v>1168.8382231126698</v>
      </c>
      <c r="Y321" s="40">
        <v>1258.573737813459</v>
      </c>
      <c r="Z321" s="52">
        <v>89.735514700789281</v>
      </c>
      <c r="AA321" s="73">
        <v>337.7928</v>
      </c>
      <c r="AB321" s="40">
        <v>0</v>
      </c>
      <c r="AC321" s="52">
        <v>-337.7928</v>
      </c>
      <c r="AD321" s="73">
        <v>3026.028135993618</v>
      </c>
      <c r="AE321" s="40">
        <v>3796.1170024721159</v>
      </c>
      <c r="AF321" s="35">
        <v>770.08886647849795</v>
      </c>
      <c r="AG321" s="77">
        <v>7828.4086952348443</v>
      </c>
      <c r="AH321" s="53">
        <v>8639.989510401334</v>
      </c>
      <c r="AI321" s="52">
        <v>811.58081516648963</v>
      </c>
      <c r="AJ321" s="73">
        <v>0</v>
      </c>
      <c r="AK321" s="40">
        <v>0</v>
      </c>
      <c r="AL321" s="52">
        <v>0</v>
      </c>
      <c r="AM321" s="73">
        <v>0</v>
      </c>
      <c r="AN321" s="40">
        <v>0</v>
      </c>
      <c r="AO321" s="52">
        <v>0</v>
      </c>
      <c r="AP321" s="73">
        <v>1701.9337499999999</v>
      </c>
      <c r="AQ321" s="40">
        <v>0</v>
      </c>
      <c r="AR321" s="52">
        <v>-1701.9337499999999</v>
      </c>
      <c r="AS321" s="73">
        <v>4099.9074864621589</v>
      </c>
      <c r="AT321" s="40">
        <v>0</v>
      </c>
      <c r="AU321" s="54">
        <v>-4099.9074864621589</v>
      </c>
      <c r="AV321" s="73">
        <v>922.12073676097543</v>
      </c>
      <c r="AW321" s="40">
        <v>0</v>
      </c>
      <c r="AX321" s="55">
        <v>-922.12073676097543</v>
      </c>
      <c r="AY321" s="73">
        <v>1225.2000323249533</v>
      </c>
      <c r="AZ321" s="40">
        <v>90</v>
      </c>
      <c r="BA321" s="35">
        <v>-1135.2000323249533</v>
      </c>
      <c r="BB321" s="73">
        <v>237.53549761243659</v>
      </c>
      <c r="BC321" s="40">
        <v>1051</v>
      </c>
      <c r="BD321" s="55">
        <v>813.46450238756347</v>
      </c>
      <c r="BE321" s="73">
        <v>0</v>
      </c>
      <c r="BF321" s="40">
        <v>0</v>
      </c>
      <c r="BG321" s="38">
        <v>0</v>
      </c>
      <c r="BH321" s="73">
        <v>0</v>
      </c>
      <c r="BI321" s="40">
        <v>0</v>
      </c>
      <c r="BJ321" s="55">
        <v>0</v>
      </c>
      <c r="BK321" s="73">
        <v>837.53703750896079</v>
      </c>
      <c r="BL321" s="40">
        <v>0</v>
      </c>
      <c r="BM321" s="38">
        <v>-837.53703750896079</v>
      </c>
      <c r="BN321" s="73">
        <v>84.4482</v>
      </c>
      <c r="BO321" s="40">
        <v>0</v>
      </c>
      <c r="BP321" s="55">
        <v>-84.4482</v>
      </c>
      <c r="BQ321" s="77">
        <v>3306.8415042073266</v>
      </c>
      <c r="BR321" s="40">
        <v>1141</v>
      </c>
      <c r="BS321" s="55">
        <v>-2165.8415042073266</v>
      </c>
      <c r="BT321" s="73">
        <v>3465.2689511254998</v>
      </c>
      <c r="BU321" s="40">
        <v>1064.7359066990557</v>
      </c>
      <c r="BV321" s="52">
        <v>-2400.5330444264441</v>
      </c>
      <c r="BW321" s="73">
        <v>2217.7845634936398</v>
      </c>
      <c r="BX321" s="40">
        <v>2354.5456811630152</v>
      </c>
      <c r="BY321" s="52">
        <v>136.76111766937538</v>
      </c>
      <c r="BZ321" s="73">
        <v>2153.1496539648401</v>
      </c>
      <c r="CA321" s="40">
        <v>6788.3041187986209</v>
      </c>
      <c r="CB321" s="52">
        <v>4635.1544648337804</v>
      </c>
      <c r="CC321" s="73">
        <v>100.3486613525</v>
      </c>
      <c r="CD321" s="40">
        <v>126.61647313869463</v>
      </c>
      <c r="CE321" s="52">
        <v>26.267811786194628</v>
      </c>
      <c r="CF321" s="73">
        <v>11.92261323</v>
      </c>
      <c r="CG321" s="40">
        <v>0</v>
      </c>
      <c r="CH321" s="52">
        <v>-11.92261323</v>
      </c>
      <c r="CI321" s="73">
        <v>635.38</v>
      </c>
      <c r="CJ321" s="40">
        <v>864.91528539254341</v>
      </c>
      <c r="CK321" s="52">
        <v>229.53528539254341</v>
      </c>
      <c r="CL321" s="73">
        <v>0</v>
      </c>
      <c r="CM321" s="40">
        <v>0</v>
      </c>
      <c r="CN321" s="52">
        <v>0</v>
      </c>
      <c r="CO321" s="39">
        <v>635.38</v>
      </c>
      <c r="CP321" s="40">
        <v>864.91528539254341</v>
      </c>
      <c r="CQ321" s="52">
        <v>229.53528539254341</v>
      </c>
      <c r="CR321" s="72">
        <v>25520.945879070809</v>
      </c>
      <c r="CS321" s="5">
        <v>20980.106975593266</v>
      </c>
      <c r="CT321" s="52">
        <v>-4540.8389034775428</v>
      </c>
      <c r="CU321" s="77">
        <v>30625.13505488497</v>
      </c>
      <c r="CV321" s="65">
        <v>25176.128370711918</v>
      </c>
      <c r="CW321" s="35">
        <v>-5449.0066841730513</v>
      </c>
      <c r="CX321" s="73">
        <v>1709.8941039105948</v>
      </c>
      <c r="CY321" s="40">
        <v>7158.9007880836471</v>
      </c>
      <c r="CZ321" s="52">
        <v>5449.0066841730522</v>
      </c>
      <c r="DA321" s="150">
        <v>40371.440463273597</v>
      </c>
      <c r="DB321" s="2">
        <v>2</v>
      </c>
      <c r="DC321" s="648">
        <v>32747.200000000001</v>
      </c>
      <c r="DD321" s="648">
        <v>2164.85</v>
      </c>
      <c r="DE321" s="649">
        <v>2577.0208412044376</v>
      </c>
      <c r="DG321" s="321">
        <v>5080.5746685007907</v>
      </c>
      <c r="DH321" s="5">
        <v>388020.34990554675</v>
      </c>
      <c r="DI321" s="306">
        <v>3.8424529618360244</v>
      </c>
      <c r="DJ321" s="306"/>
      <c r="DK321" s="306">
        <v>3.4769223331731443</v>
      </c>
      <c r="DL321" s="28">
        <v>14471.446344866834</v>
      </c>
      <c r="DM321" s="28">
        <v>1549.3165916619532</v>
      </c>
      <c r="DN321" s="650">
        <v>14471.61</v>
      </c>
      <c r="DO321" s="94">
        <v>-0.16365513316668512</v>
      </c>
      <c r="DP321" s="28">
        <v>16020.762936528787</v>
      </c>
      <c r="DQ321" s="318">
        <v>-57.432967285822087</v>
      </c>
      <c r="DS321" s="8">
        <v>15312.567527442485</v>
      </c>
      <c r="DT321" s="5">
        <v>765.62837637212431</v>
      </c>
      <c r="DW321" s="5">
        <v>8888.0987888033815</v>
      </c>
      <c r="DX321" s="5">
        <v>1369.2</v>
      </c>
    </row>
    <row r="322" spans="1:128" x14ac:dyDescent="0.3">
      <c r="A322" s="325">
        <v>150000802</v>
      </c>
      <c r="B322" s="41" t="s">
        <v>768</v>
      </c>
      <c r="C322" s="42" t="s">
        <v>296</v>
      </c>
      <c r="D322" s="42" t="s">
        <v>296</v>
      </c>
      <c r="E322" s="293">
        <v>3203.6</v>
      </c>
      <c r="F322" s="305">
        <v>3203.6</v>
      </c>
      <c r="G322" s="51"/>
      <c r="H322" s="651">
        <v>0</v>
      </c>
      <c r="I322" s="73">
        <v>1754.1118832942002</v>
      </c>
      <c r="J322" s="40">
        <v>1947.306330538102</v>
      </c>
      <c r="K322" s="52">
        <v>193.19444724390178</v>
      </c>
      <c r="L322" s="73">
        <v>354.48897192983929</v>
      </c>
      <c r="M322" s="40">
        <v>399.37413711286013</v>
      </c>
      <c r="N322" s="52">
        <v>44.885165183020831</v>
      </c>
      <c r="O322" s="73">
        <v>554.41328718658326</v>
      </c>
      <c r="P322" s="40">
        <v>554.41999999999996</v>
      </c>
      <c r="Q322" s="52">
        <v>6.7128134166978271E-3</v>
      </c>
      <c r="R322" s="73">
        <v>0</v>
      </c>
      <c r="S322" s="40">
        <v>0</v>
      </c>
      <c r="T322" s="52">
        <v>0</v>
      </c>
      <c r="U322" s="73">
        <v>0</v>
      </c>
      <c r="V322" s="40">
        <v>0</v>
      </c>
      <c r="W322" s="52">
        <v>0</v>
      </c>
      <c r="X322" s="73">
        <v>839.96575226609025</v>
      </c>
      <c r="Y322" s="40">
        <v>888.73085997899409</v>
      </c>
      <c r="Z322" s="52">
        <v>48.765107712903841</v>
      </c>
      <c r="AA322" s="73">
        <v>256.392</v>
      </c>
      <c r="AB322" s="40">
        <v>0</v>
      </c>
      <c r="AC322" s="52">
        <v>-256.392</v>
      </c>
      <c r="AD322" s="73">
        <v>2308.8751034544885</v>
      </c>
      <c r="AE322" s="40">
        <v>2887.4211570159241</v>
      </c>
      <c r="AF322" s="35">
        <v>578.54605356143566</v>
      </c>
      <c r="AG322" s="77">
        <v>6068.2469981312015</v>
      </c>
      <c r="AH322" s="53">
        <v>6677.25248464588</v>
      </c>
      <c r="AI322" s="52">
        <v>609.00548651467852</v>
      </c>
      <c r="AJ322" s="73">
        <v>0</v>
      </c>
      <c r="AK322" s="40">
        <v>0</v>
      </c>
      <c r="AL322" s="52">
        <v>0</v>
      </c>
      <c r="AM322" s="73">
        <v>0</v>
      </c>
      <c r="AN322" s="40">
        <v>0</v>
      </c>
      <c r="AO322" s="52">
        <v>0</v>
      </c>
      <c r="AP322" s="73">
        <v>1512.83</v>
      </c>
      <c r="AQ322" s="40">
        <v>0</v>
      </c>
      <c r="AR322" s="52">
        <v>-1512.83</v>
      </c>
      <c r="AS322" s="73">
        <v>2946.2069598165253</v>
      </c>
      <c r="AT322" s="40">
        <v>1910</v>
      </c>
      <c r="AU322" s="54">
        <v>-1036.2069598165253</v>
      </c>
      <c r="AV322" s="73">
        <v>748.04807057035532</v>
      </c>
      <c r="AW322" s="40">
        <v>2107</v>
      </c>
      <c r="AX322" s="55">
        <v>1358.9519294296447</v>
      </c>
      <c r="AY322" s="73">
        <v>981.1474424167933</v>
      </c>
      <c r="AZ322" s="40">
        <v>0</v>
      </c>
      <c r="BA322" s="35">
        <v>-981.1474424167933</v>
      </c>
      <c r="BB322" s="73">
        <v>184.1386040840234</v>
      </c>
      <c r="BC322" s="40">
        <v>788</v>
      </c>
      <c r="BD322" s="55">
        <v>603.86139591597657</v>
      </c>
      <c r="BE322" s="73">
        <v>0</v>
      </c>
      <c r="BF322" s="40">
        <v>0</v>
      </c>
      <c r="BG322" s="38">
        <v>0</v>
      </c>
      <c r="BH322" s="73">
        <v>0</v>
      </c>
      <c r="BI322" s="40">
        <v>0</v>
      </c>
      <c r="BJ322" s="55">
        <v>0</v>
      </c>
      <c r="BK322" s="73">
        <v>564.11401756871328</v>
      </c>
      <c r="BL322" s="40">
        <v>0</v>
      </c>
      <c r="BM322" s="38">
        <v>-564.11401756871328</v>
      </c>
      <c r="BN322" s="73">
        <v>64.097999999999999</v>
      </c>
      <c r="BO322" s="40">
        <v>0</v>
      </c>
      <c r="BP322" s="55">
        <v>-64.097999999999999</v>
      </c>
      <c r="BQ322" s="77">
        <v>2541.5461346398852</v>
      </c>
      <c r="BR322" s="40">
        <v>2895</v>
      </c>
      <c r="BS322" s="55">
        <v>353.45386536011483</v>
      </c>
      <c r="BT322" s="73">
        <v>3450.7041196576602</v>
      </c>
      <c r="BU322" s="40">
        <v>939.89358870348542</v>
      </c>
      <c r="BV322" s="52">
        <v>-2510.8105309541747</v>
      </c>
      <c r="BW322" s="73">
        <v>1830.131111261926</v>
      </c>
      <c r="BX322" s="40">
        <v>1937.9903424479887</v>
      </c>
      <c r="BY322" s="52">
        <v>107.85923118606274</v>
      </c>
      <c r="BZ322" s="73">
        <v>1708.92989008163</v>
      </c>
      <c r="CA322" s="40">
        <v>5558.1664804031607</v>
      </c>
      <c r="CB322" s="52">
        <v>3849.2365903215305</v>
      </c>
      <c r="CC322" s="73">
        <v>270.066629525</v>
      </c>
      <c r="CD322" s="40">
        <v>340.76074042275258</v>
      </c>
      <c r="CE322" s="52">
        <v>70.69411089775258</v>
      </c>
      <c r="CF322" s="73">
        <v>32.087124299999999</v>
      </c>
      <c r="CG322" s="40">
        <v>0</v>
      </c>
      <c r="CH322" s="52">
        <v>-32.087124299999999</v>
      </c>
      <c r="CI322" s="73">
        <v>566.86</v>
      </c>
      <c r="CJ322" s="40">
        <v>725.58314315277926</v>
      </c>
      <c r="CK322" s="52">
        <v>158.72314315277924</v>
      </c>
      <c r="CL322" s="73">
        <v>0</v>
      </c>
      <c r="CM322" s="40">
        <v>0</v>
      </c>
      <c r="CN322" s="52">
        <v>0</v>
      </c>
      <c r="CO322" s="39">
        <v>566.86</v>
      </c>
      <c r="CP322" s="40">
        <v>725.58314315277926</v>
      </c>
      <c r="CQ322" s="52">
        <v>158.72314315277924</v>
      </c>
      <c r="CR322" s="72">
        <v>20927.608967413827</v>
      </c>
      <c r="CS322" s="5">
        <v>20984.646779776049</v>
      </c>
      <c r="CT322" s="52">
        <v>57.037812362221302</v>
      </c>
      <c r="CU322" s="77">
        <v>25113.130760896591</v>
      </c>
      <c r="CV322" s="65">
        <v>25181.576135731259</v>
      </c>
      <c r="CW322" s="35">
        <v>68.445374834667746</v>
      </c>
      <c r="CX322" s="73">
        <v>1402.1421992698592</v>
      </c>
      <c r="CY322" s="40">
        <v>1333.696824435192</v>
      </c>
      <c r="CZ322" s="52">
        <v>-68.445374834667291</v>
      </c>
      <c r="DA322" s="150">
        <v>3323.5389946403502</v>
      </c>
      <c r="DB322" s="2">
        <v>2</v>
      </c>
      <c r="DC322" s="648">
        <v>25210.52</v>
      </c>
      <c r="DD322" s="648"/>
      <c r="DE322" s="649">
        <v>-1304.7529601664501</v>
      </c>
      <c r="DG322" s="321">
        <v>52844.694053223597</v>
      </c>
      <c r="DH322" s="5">
        <v>318183.27552199742</v>
      </c>
      <c r="DI322" s="306">
        <v>4.1138237228839305</v>
      </c>
      <c r="DJ322" s="306"/>
      <c r="DK322" s="306"/>
      <c r="DL322" s="28">
        <v>13179.045678630959</v>
      </c>
      <c r="DM322" s="28">
        <v>0</v>
      </c>
      <c r="DN322" s="650">
        <v>13178.98</v>
      </c>
      <c r="DO322" s="94">
        <v>6.5678630959155271E-2</v>
      </c>
      <c r="DP322" s="28">
        <v>13179.045678630959</v>
      </c>
      <c r="DQ322" s="318">
        <v>-5.3479708397517243</v>
      </c>
      <c r="DS322" s="8">
        <v>12556.565380448295</v>
      </c>
      <c r="DT322" s="5">
        <v>627.82826902241493</v>
      </c>
      <c r="DW322" s="5">
        <v>6585.3037133476928</v>
      </c>
      <c r="DX322" s="5">
        <v>5766</v>
      </c>
    </row>
    <row r="323" spans="1:128" x14ac:dyDescent="0.3">
      <c r="A323" s="325">
        <v>150000803</v>
      </c>
      <c r="B323" s="41" t="s">
        <v>769</v>
      </c>
      <c r="C323" s="42" t="s">
        <v>228</v>
      </c>
      <c r="D323" s="42" t="s">
        <v>228</v>
      </c>
      <c r="E323" s="293">
        <v>1562</v>
      </c>
      <c r="F323" s="305">
        <v>1311.9</v>
      </c>
      <c r="G323" s="51"/>
      <c r="H323" s="651">
        <v>250.1</v>
      </c>
      <c r="I323" s="73">
        <v>720.53249587598771</v>
      </c>
      <c r="J323" s="40">
        <v>799.54523897945091</v>
      </c>
      <c r="K323" s="52">
        <v>79.012743103463208</v>
      </c>
      <c r="L323" s="73">
        <v>138.12352540872138</v>
      </c>
      <c r="M323" s="40">
        <v>155.6123237476921</v>
      </c>
      <c r="N323" s="52">
        <v>17.488798338970724</v>
      </c>
      <c r="O323" s="73">
        <v>308.49227443821667</v>
      </c>
      <c r="P323" s="40">
        <v>308.5</v>
      </c>
      <c r="Q323" s="52">
        <v>7.7255617833316137E-3</v>
      </c>
      <c r="R323" s="73">
        <v>0</v>
      </c>
      <c r="S323" s="40">
        <v>0</v>
      </c>
      <c r="T323" s="52">
        <v>0</v>
      </c>
      <c r="U323" s="73">
        <v>0</v>
      </c>
      <c r="V323" s="40">
        <v>0</v>
      </c>
      <c r="W323" s="52">
        <v>0</v>
      </c>
      <c r="X323" s="73">
        <v>319.29067623368536</v>
      </c>
      <c r="Y323" s="40">
        <v>319.21564948288272</v>
      </c>
      <c r="Z323" s="52">
        <v>-7.5026750802635434E-2</v>
      </c>
      <c r="AA323" s="73">
        <v>130.63200000000001</v>
      </c>
      <c r="AB323" s="40">
        <v>0</v>
      </c>
      <c r="AC323" s="52">
        <v>-130.63200000000001</v>
      </c>
      <c r="AD323" s="73">
        <v>1165.3905452177517</v>
      </c>
      <c r="AE323" s="40">
        <v>1407.8386338053672</v>
      </c>
      <c r="AF323" s="35">
        <v>242.44808858761553</v>
      </c>
      <c r="AG323" s="77">
        <v>2782.4615171743631</v>
      </c>
      <c r="AH323" s="53">
        <v>2990.7118460153933</v>
      </c>
      <c r="AI323" s="52">
        <v>208.2503288410303</v>
      </c>
      <c r="AJ323" s="73">
        <v>0</v>
      </c>
      <c r="AK323" s="40">
        <v>0</v>
      </c>
      <c r="AL323" s="52">
        <v>0</v>
      </c>
      <c r="AM323" s="73">
        <v>0</v>
      </c>
      <c r="AN323" s="40">
        <v>0</v>
      </c>
      <c r="AO323" s="52">
        <v>0</v>
      </c>
      <c r="AP323" s="73">
        <v>510.58012499999995</v>
      </c>
      <c r="AQ323" s="40">
        <v>0</v>
      </c>
      <c r="AR323" s="52">
        <v>-510.58012499999995</v>
      </c>
      <c r="AS323" s="73">
        <v>1618.6938031006875</v>
      </c>
      <c r="AT323" s="40">
        <v>0</v>
      </c>
      <c r="AU323" s="54">
        <v>-1618.6938031006875</v>
      </c>
      <c r="AV323" s="73">
        <v>319.48547429918983</v>
      </c>
      <c r="AW323" s="40">
        <v>0</v>
      </c>
      <c r="AX323" s="55">
        <v>-319.48547429918983</v>
      </c>
      <c r="AY323" s="73">
        <v>382.33864089004896</v>
      </c>
      <c r="AZ323" s="40">
        <v>0</v>
      </c>
      <c r="BA323" s="35">
        <v>-382.33864089004896</v>
      </c>
      <c r="BB323" s="73">
        <v>90.440452873486606</v>
      </c>
      <c r="BC323" s="40">
        <v>0</v>
      </c>
      <c r="BD323" s="55">
        <v>-90.440452873486606</v>
      </c>
      <c r="BE323" s="73">
        <v>0</v>
      </c>
      <c r="BF323" s="40">
        <v>0</v>
      </c>
      <c r="BG323" s="38">
        <v>0</v>
      </c>
      <c r="BH323" s="73">
        <v>0</v>
      </c>
      <c r="BI323" s="40">
        <v>0</v>
      </c>
      <c r="BJ323" s="55">
        <v>0</v>
      </c>
      <c r="BK323" s="73">
        <v>147.81957039670397</v>
      </c>
      <c r="BL323" s="40">
        <v>0</v>
      </c>
      <c r="BM323" s="38">
        <v>-147.81957039670397</v>
      </c>
      <c r="BN323" s="73">
        <v>32.658000000000001</v>
      </c>
      <c r="BO323" s="40">
        <v>0</v>
      </c>
      <c r="BP323" s="55">
        <v>-32.658000000000001</v>
      </c>
      <c r="BQ323" s="77">
        <v>972.74213845942938</v>
      </c>
      <c r="BR323" s="40">
        <v>0</v>
      </c>
      <c r="BS323" s="55">
        <v>-972.74213845942938</v>
      </c>
      <c r="BT323" s="73">
        <v>515.779726720638</v>
      </c>
      <c r="BU323" s="40">
        <v>173.28418322694392</v>
      </c>
      <c r="BV323" s="52">
        <v>-342.49554349369407</v>
      </c>
      <c r="BW323" s="73">
        <v>1175.386114853344</v>
      </c>
      <c r="BX323" s="40">
        <v>1235.705967133747</v>
      </c>
      <c r="BY323" s="52">
        <v>60.319852280402984</v>
      </c>
      <c r="BZ323" s="73">
        <v>356.80740183683798</v>
      </c>
      <c r="CA323" s="40">
        <v>1037.1861043392034</v>
      </c>
      <c r="CB323" s="52">
        <v>680.37870250236551</v>
      </c>
      <c r="CC323" s="73">
        <v>190.88019062750001</v>
      </c>
      <c r="CD323" s="40">
        <v>240.84602827333731</v>
      </c>
      <c r="CE323" s="52">
        <v>49.965837645837297</v>
      </c>
      <c r="CF323" s="73">
        <v>22.67883453</v>
      </c>
      <c r="CG323" s="40">
        <v>0</v>
      </c>
      <c r="CH323" s="52">
        <v>-22.67883453</v>
      </c>
      <c r="CI323" s="73">
        <v>174.42</v>
      </c>
      <c r="CJ323" s="40">
        <v>131.90224032026526</v>
      </c>
      <c r="CK323" s="52">
        <v>-42.517759679734723</v>
      </c>
      <c r="CL323" s="73">
        <v>0</v>
      </c>
      <c r="CM323" s="40">
        <v>0</v>
      </c>
      <c r="CN323" s="52">
        <v>0</v>
      </c>
      <c r="CO323" s="39">
        <v>174.42</v>
      </c>
      <c r="CP323" s="40">
        <v>131.90224032026526</v>
      </c>
      <c r="CQ323" s="52">
        <v>-42.517759679734723</v>
      </c>
      <c r="CR323" s="72">
        <v>8320.4298523027992</v>
      </c>
      <c r="CS323" s="5">
        <v>5809.6363693088915</v>
      </c>
      <c r="CT323" s="52">
        <v>-2510.7934829939077</v>
      </c>
      <c r="CU323" s="77">
        <v>9984.5158227633583</v>
      </c>
      <c r="CV323" s="65">
        <v>6971.5636431706698</v>
      </c>
      <c r="CW323" s="35">
        <v>-3012.9521795926885</v>
      </c>
      <c r="CX323" s="73">
        <v>557.46577786999524</v>
      </c>
      <c r="CY323" s="40">
        <v>3570.4179574626833</v>
      </c>
      <c r="CZ323" s="52">
        <v>3012.952179592688</v>
      </c>
      <c r="DA323" s="150">
        <v>78969.828255784378</v>
      </c>
      <c r="DB323" s="2">
        <v>2</v>
      </c>
      <c r="DC323" s="648">
        <v>20657.95</v>
      </c>
      <c r="DD323" s="648">
        <v>1725.02</v>
      </c>
      <c r="DE323" s="649">
        <v>11840.988399366648</v>
      </c>
      <c r="DG323" s="321">
        <v>-23001.325936764824</v>
      </c>
      <c r="DH323" s="5">
        <v>126503.77920760024</v>
      </c>
      <c r="DI323" s="306">
        <v>3.3029647077043576</v>
      </c>
      <c r="DJ323" s="306"/>
      <c r="DK323" s="306">
        <v>2.7566768048215788</v>
      </c>
      <c r="DL323" s="28">
        <v>4333.159400037347</v>
      </c>
      <c r="DM323" s="28">
        <v>689.44486888587687</v>
      </c>
      <c r="DN323" s="650">
        <v>4333.21</v>
      </c>
      <c r="DO323" s="94">
        <v>-5.05999626529956E-2</v>
      </c>
      <c r="DP323" s="28">
        <v>5022.6042689232236</v>
      </c>
      <c r="DQ323" s="318">
        <v>-219.26653802753935</v>
      </c>
      <c r="DS323" s="8">
        <v>4992.2579113816792</v>
      </c>
      <c r="DT323" s="5">
        <v>249.612895569084</v>
      </c>
      <c r="DW323" s="5">
        <v>3109.7231298721404</v>
      </c>
      <c r="DX323" s="5">
        <v>0</v>
      </c>
    </row>
    <row r="324" spans="1:128" x14ac:dyDescent="0.3">
      <c r="A324" s="325">
        <v>150000805</v>
      </c>
      <c r="B324" s="41" t="s">
        <v>770</v>
      </c>
      <c r="C324" s="42" t="s">
        <v>297</v>
      </c>
      <c r="D324" s="42" t="s">
        <v>297</v>
      </c>
      <c r="E324" s="293">
        <v>3710.4399999999996</v>
      </c>
      <c r="F324" s="305">
        <v>2920.74</v>
      </c>
      <c r="G324" s="51"/>
      <c r="H324" s="651">
        <v>789.7</v>
      </c>
      <c r="I324" s="73">
        <v>1664.9560388143145</v>
      </c>
      <c r="J324" s="40">
        <v>1871.7957398576204</v>
      </c>
      <c r="K324" s="52">
        <v>206.83970104330592</v>
      </c>
      <c r="L324" s="73">
        <v>356.73533536137603</v>
      </c>
      <c r="M324" s="40">
        <v>401.90521025483065</v>
      </c>
      <c r="N324" s="52">
        <v>45.169874893454619</v>
      </c>
      <c r="O324" s="73">
        <v>691.02254545583332</v>
      </c>
      <c r="P324" s="40">
        <v>690.75</v>
      </c>
      <c r="Q324" s="52">
        <v>-0.27254545583332401</v>
      </c>
      <c r="R324" s="73">
        <v>0</v>
      </c>
      <c r="S324" s="40">
        <v>0</v>
      </c>
      <c r="T324" s="52">
        <v>0</v>
      </c>
      <c r="U324" s="73">
        <v>0</v>
      </c>
      <c r="V324" s="40">
        <v>0</v>
      </c>
      <c r="W324" s="52">
        <v>0</v>
      </c>
      <c r="X324" s="73">
        <v>901.59756235743623</v>
      </c>
      <c r="Y324" s="40">
        <v>920.01789702724068</v>
      </c>
      <c r="Z324" s="52">
        <v>18.420334669804447</v>
      </c>
      <c r="AA324" s="73">
        <v>288.56319999999999</v>
      </c>
      <c r="AB324" s="40">
        <v>0</v>
      </c>
      <c r="AC324" s="52">
        <v>-288.56319999999999</v>
      </c>
      <c r="AD324" s="73">
        <v>2571.3409188804594</v>
      </c>
      <c r="AE324" s="40">
        <v>3344.2386558366106</v>
      </c>
      <c r="AF324" s="35">
        <v>772.89773695615122</v>
      </c>
      <c r="AG324" s="77">
        <v>6474.2156008694201</v>
      </c>
      <c r="AH324" s="53">
        <v>7228.7075029763027</v>
      </c>
      <c r="AI324" s="52">
        <v>754.49190210688266</v>
      </c>
      <c r="AJ324" s="73">
        <v>0</v>
      </c>
      <c r="AK324" s="40">
        <v>0</v>
      </c>
      <c r="AL324" s="52">
        <v>0</v>
      </c>
      <c r="AM324" s="73">
        <v>0</v>
      </c>
      <c r="AN324" s="40">
        <v>0</v>
      </c>
      <c r="AO324" s="52">
        <v>0</v>
      </c>
      <c r="AP324" s="73">
        <v>1248.08475</v>
      </c>
      <c r="AQ324" s="40">
        <v>3680.8122418722864</v>
      </c>
      <c r="AR324" s="52">
        <v>2432.7274918722865</v>
      </c>
      <c r="AS324" s="73">
        <v>2768.1361552673425</v>
      </c>
      <c r="AT324" s="40">
        <v>5942</v>
      </c>
      <c r="AU324" s="54">
        <v>3173.8638447326575</v>
      </c>
      <c r="AV324" s="73">
        <v>745.2234939945364</v>
      </c>
      <c r="AW324" s="40">
        <v>0</v>
      </c>
      <c r="AX324" s="55">
        <v>-745.2234939945364</v>
      </c>
      <c r="AY324" s="73">
        <v>987.34202701634842</v>
      </c>
      <c r="AZ324" s="40">
        <v>0</v>
      </c>
      <c r="BA324" s="35">
        <v>-987.34202701634842</v>
      </c>
      <c r="BB324" s="73">
        <v>229.19368683542001</v>
      </c>
      <c r="BC324" s="40">
        <v>0</v>
      </c>
      <c r="BD324" s="55">
        <v>-229.19368683542001</v>
      </c>
      <c r="BE324" s="73">
        <v>0</v>
      </c>
      <c r="BF324" s="40">
        <v>0</v>
      </c>
      <c r="BG324" s="38">
        <v>0</v>
      </c>
      <c r="BH324" s="73">
        <v>0</v>
      </c>
      <c r="BI324" s="40">
        <v>0</v>
      </c>
      <c r="BJ324" s="55">
        <v>0</v>
      </c>
      <c r="BK324" s="73">
        <v>618.47053050311786</v>
      </c>
      <c r="BL324" s="40">
        <v>0</v>
      </c>
      <c r="BM324" s="38">
        <v>-618.47053050311786</v>
      </c>
      <c r="BN324" s="73">
        <v>72.140799999999999</v>
      </c>
      <c r="BO324" s="40">
        <v>0</v>
      </c>
      <c r="BP324" s="55">
        <v>-72.140799999999999</v>
      </c>
      <c r="BQ324" s="77">
        <v>2652.370538349423</v>
      </c>
      <c r="BR324" s="40">
        <v>0</v>
      </c>
      <c r="BS324" s="55">
        <v>-2652.370538349423</v>
      </c>
      <c r="BT324" s="73">
        <v>2783.2446323019799</v>
      </c>
      <c r="BU324" s="40">
        <v>876.09922772216237</v>
      </c>
      <c r="BV324" s="52">
        <v>-1907.1454045798175</v>
      </c>
      <c r="BW324" s="73">
        <v>1787.062400620702</v>
      </c>
      <c r="BX324" s="40">
        <v>1349.2010912001451</v>
      </c>
      <c r="BY324" s="52">
        <v>-437.86130942055684</v>
      </c>
      <c r="BZ324" s="73">
        <v>1634.649584626354</v>
      </c>
      <c r="CA324" s="40">
        <v>3613.4052835426764</v>
      </c>
      <c r="CB324" s="52">
        <v>1978.7556989163224</v>
      </c>
      <c r="CC324" s="73">
        <v>162.09727615125001</v>
      </c>
      <c r="CD324" s="40">
        <v>204.52874144044566</v>
      </c>
      <c r="CE324" s="52">
        <v>42.431465289195643</v>
      </c>
      <c r="CF324" s="73">
        <v>19.259082315000001</v>
      </c>
      <c r="CG324" s="40">
        <v>0</v>
      </c>
      <c r="CH324" s="52">
        <v>-19.259082315000001</v>
      </c>
      <c r="CI324" s="73">
        <v>582.44000000000005</v>
      </c>
      <c r="CJ324" s="40">
        <v>555.12547159056703</v>
      </c>
      <c r="CK324" s="52">
        <v>-27.314528409433024</v>
      </c>
      <c r="CL324" s="73">
        <v>0</v>
      </c>
      <c r="CM324" s="40">
        <v>0</v>
      </c>
      <c r="CN324" s="52">
        <v>0</v>
      </c>
      <c r="CO324" s="39">
        <v>582.44000000000005</v>
      </c>
      <c r="CP324" s="40">
        <v>555.12547159056703</v>
      </c>
      <c r="CQ324" s="52">
        <v>-27.314528409433024</v>
      </c>
      <c r="CR324" s="72">
        <v>20111.560020501467</v>
      </c>
      <c r="CS324" s="5">
        <v>23449.879560344587</v>
      </c>
      <c r="CT324" s="52">
        <v>3338.3195398431199</v>
      </c>
      <c r="CU324" s="77">
        <v>24133.872024601758</v>
      </c>
      <c r="CV324" s="65">
        <v>28139.855472413503</v>
      </c>
      <c r="CW324" s="35">
        <v>4005.9834478117446</v>
      </c>
      <c r="CX324" s="73">
        <v>1347.4672162406371</v>
      </c>
      <c r="CY324" s="40">
        <v>-2658.5162315711059</v>
      </c>
      <c r="CZ324" s="52">
        <v>-4005.9834478117427</v>
      </c>
      <c r="DA324" s="150">
        <v>1920.8913342034029</v>
      </c>
      <c r="DB324" s="2">
        <v>3</v>
      </c>
      <c r="DC324" s="648">
        <v>10899.13</v>
      </c>
      <c r="DD324" s="648">
        <v>1416.6100000000001</v>
      </c>
      <c r="DE324" s="649">
        <v>-13165.599240842397</v>
      </c>
      <c r="DG324" s="321">
        <v>-26118.897809876944</v>
      </c>
      <c r="DH324" s="5">
        <v>305776.07089010876</v>
      </c>
      <c r="DI324" s="306">
        <v>3.5859954187660015</v>
      </c>
      <c r="DJ324" s="306"/>
      <c r="DK324" s="306">
        <v>3.2005282726348696</v>
      </c>
      <c r="DL324" s="28">
        <v>10473.76025940661</v>
      </c>
      <c r="DM324" s="28">
        <v>2527.4571768997566</v>
      </c>
      <c r="DN324" s="650">
        <v>10473.77</v>
      </c>
      <c r="DO324" s="94">
        <v>-9.7405933902336983E-3</v>
      </c>
      <c r="DP324" s="28">
        <v>13001.217436306368</v>
      </c>
      <c r="DQ324" s="318">
        <v>330.93462339044527</v>
      </c>
      <c r="DS324" s="8">
        <v>12066.936012300879</v>
      </c>
      <c r="DT324" s="5">
        <v>603.346800615044</v>
      </c>
      <c r="DW324" s="5">
        <v>6504.6080323401193</v>
      </c>
      <c r="DX324" s="5">
        <v>7130.4</v>
      </c>
    </row>
    <row r="325" spans="1:128" ht="24" customHeight="1" x14ac:dyDescent="0.3">
      <c r="A325" s="325">
        <v>150000806</v>
      </c>
      <c r="B325" s="41" t="s">
        <v>771</v>
      </c>
      <c r="C325" s="42" t="s">
        <v>229</v>
      </c>
      <c r="D325" s="42" t="s">
        <v>229</v>
      </c>
      <c r="E325" s="293">
        <v>2716.7</v>
      </c>
      <c r="F325" s="305">
        <v>2014.7</v>
      </c>
      <c r="G325" s="51"/>
      <c r="H325" s="651">
        <v>702</v>
      </c>
      <c r="I325" s="73">
        <v>1153.3681073150251</v>
      </c>
      <c r="J325" s="40">
        <v>1274.1417917967246</v>
      </c>
      <c r="K325" s="52">
        <v>120.77368448169955</v>
      </c>
      <c r="L325" s="73">
        <v>265.61817207126393</v>
      </c>
      <c r="M325" s="40">
        <v>299.25072455452329</v>
      </c>
      <c r="N325" s="52">
        <v>33.63255248325936</v>
      </c>
      <c r="O325" s="73">
        <v>434.63672580358997</v>
      </c>
      <c r="P325" s="40">
        <v>434.64</v>
      </c>
      <c r="Q325" s="52">
        <v>3.2741964100182486E-3</v>
      </c>
      <c r="R325" s="73">
        <v>0</v>
      </c>
      <c r="S325" s="40">
        <v>0</v>
      </c>
      <c r="T325" s="52">
        <v>0</v>
      </c>
      <c r="U325" s="73">
        <v>0</v>
      </c>
      <c r="V325" s="40">
        <v>0</v>
      </c>
      <c r="W325" s="52">
        <v>0</v>
      </c>
      <c r="X325" s="73">
        <v>837.99510807435809</v>
      </c>
      <c r="Y325" s="40">
        <v>887.36866934168643</v>
      </c>
      <c r="Z325" s="52">
        <v>49.373561267328341</v>
      </c>
      <c r="AA325" s="73">
        <v>195.99200000000002</v>
      </c>
      <c r="AB325" s="40">
        <v>0</v>
      </c>
      <c r="AC325" s="52">
        <v>-195.99200000000002</v>
      </c>
      <c r="AD325" s="73">
        <v>1747.7318091940019</v>
      </c>
      <c r="AE325" s="40">
        <v>2448.5756827522664</v>
      </c>
      <c r="AF325" s="35">
        <v>700.84387355826448</v>
      </c>
      <c r="AG325" s="77">
        <v>4635.3419224582394</v>
      </c>
      <c r="AH325" s="53">
        <v>5343.976868445201</v>
      </c>
      <c r="AI325" s="52">
        <v>708.63494598696161</v>
      </c>
      <c r="AJ325" s="73">
        <v>0</v>
      </c>
      <c r="AK325" s="40">
        <v>0</v>
      </c>
      <c r="AL325" s="52">
        <v>0</v>
      </c>
      <c r="AM325" s="73">
        <v>0</v>
      </c>
      <c r="AN325" s="40">
        <v>0</v>
      </c>
      <c r="AO325" s="52">
        <v>0</v>
      </c>
      <c r="AP325" s="73">
        <v>624.04237499999999</v>
      </c>
      <c r="AQ325" s="40">
        <v>0</v>
      </c>
      <c r="AR325" s="52">
        <v>-624.04237499999999</v>
      </c>
      <c r="AS325" s="73">
        <v>2671.6289938053023</v>
      </c>
      <c r="AT325" s="40">
        <v>1288</v>
      </c>
      <c r="AU325" s="54">
        <v>-1383.6289938053023</v>
      </c>
      <c r="AV325" s="73">
        <v>589.92517473348062</v>
      </c>
      <c r="AW325" s="40">
        <v>0</v>
      </c>
      <c r="AX325" s="55">
        <v>-589.92517473348062</v>
      </c>
      <c r="AY325" s="73">
        <v>735.14896450106983</v>
      </c>
      <c r="AZ325" s="40">
        <v>0</v>
      </c>
      <c r="BA325" s="35">
        <v>-735.14896450106983</v>
      </c>
      <c r="BB325" s="73">
        <v>139.55816300965</v>
      </c>
      <c r="BC325" s="40">
        <v>1489</v>
      </c>
      <c r="BD325" s="55">
        <v>1349.4418369903501</v>
      </c>
      <c r="BE325" s="73">
        <v>0</v>
      </c>
      <c r="BF325" s="40">
        <v>0</v>
      </c>
      <c r="BG325" s="38">
        <v>0</v>
      </c>
      <c r="BH325" s="73">
        <v>0</v>
      </c>
      <c r="BI325" s="40">
        <v>0</v>
      </c>
      <c r="BJ325" s="55">
        <v>0</v>
      </c>
      <c r="BK325" s="73">
        <v>600.83779354056003</v>
      </c>
      <c r="BL325" s="40">
        <v>0</v>
      </c>
      <c r="BM325" s="38">
        <v>-600.83779354056003</v>
      </c>
      <c r="BN325" s="73">
        <v>48.998000000000005</v>
      </c>
      <c r="BO325" s="40">
        <v>0</v>
      </c>
      <c r="BP325" s="55">
        <v>-48.998000000000005</v>
      </c>
      <c r="BQ325" s="77">
        <v>2114.4680957847604</v>
      </c>
      <c r="BR325" s="40">
        <v>1489</v>
      </c>
      <c r="BS325" s="55">
        <v>-625.46809578476041</v>
      </c>
      <c r="BT325" s="73">
        <v>2081.7078778165201</v>
      </c>
      <c r="BU325" s="40">
        <v>635.51867783582554</v>
      </c>
      <c r="BV325" s="52">
        <v>-1446.1891999806944</v>
      </c>
      <c r="BW325" s="73">
        <v>1531.226289063208</v>
      </c>
      <c r="BX325" s="40">
        <v>1620.8992911897672</v>
      </c>
      <c r="BY325" s="52">
        <v>89.67300212655914</v>
      </c>
      <c r="BZ325" s="73">
        <v>1222.564781132342</v>
      </c>
      <c r="CA325" s="40">
        <v>3720.2753987083715</v>
      </c>
      <c r="CB325" s="52">
        <v>2497.7106175760296</v>
      </c>
      <c r="CC325" s="73">
        <v>229.07914812749999</v>
      </c>
      <c r="CD325" s="40">
        <v>289.04415280272235</v>
      </c>
      <c r="CE325" s="52">
        <v>59.96500467522236</v>
      </c>
      <c r="CF325" s="73">
        <v>27.217324529999999</v>
      </c>
      <c r="CG325" s="40">
        <v>0</v>
      </c>
      <c r="CH325" s="52">
        <v>-27.217324529999999</v>
      </c>
      <c r="CI325" s="73">
        <v>912.6</v>
      </c>
      <c r="CJ325" s="40">
        <v>1459.4519440176127</v>
      </c>
      <c r="CK325" s="52">
        <v>546.85194401761271</v>
      </c>
      <c r="CL325" s="73">
        <v>0</v>
      </c>
      <c r="CM325" s="40">
        <v>0</v>
      </c>
      <c r="CN325" s="52">
        <v>0</v>
      </c>
      <c r="CO325" s="39">
        <v>912.6</v>
      </c>
      <c r="CP325" s="40">
        <v>1459.4519440176127</v>
      </c>
      <c r="CQ325" s="52">
        <v>546.85194401761271</v>
      </c>
      <c r="CR325" s="72">
        <v>16049.87680771787</v>
      </c>
      <c r="CS325" s="5">
        <v>15846.166332999499</v>
      </c>
      <c r="CT325" s="52">
        <v>-203.71047471837119</v>
      </c>
      <c r="CU325" s="77">
        <v>19259.852169261445</v>
      </c>
      <c r="CV325" s="65">
        <v>19015.399599599397</v>
      </c>
      <c r="CW325" s="35">
        <v>-244.45256966204761</v>
      </c>
      <c r="CX325" s="73">
        <v>1075.335916311554</v>
      </c>
      <c r="CY325" s="40">
        <v>1319.7884859736005</v>
      </c>
      <c r="CZ325" s="52">
        <v>244.45256966204647</v>
      </c>
      <c r="DA325" s="150">
        <v>-24514.391499250927</v>
      </c>
      <c r="DB325" s="2">
        <v>2</v>
      </c>
      <c r="DC325" s="648">
        <v>34508.160000000003</v>
      </c>
      <c r="DD325" s="648">
        <v>1950.7600000000002</v>
      </c>
      <c r="DE325" s="649">
        <v>16123.731914427008</v>
      </c>
      <c r="DG325" s="321">
        <v>-25177.338500332342</v>
      </c>
      <c r="DH325" s="5">
        <v>244022.25702687597</v>
      </c>
      <c r="DI325" s="306">
        <v>4.2120990972929402</v>
      </c>
      <c r="DJ325" s="306"/>
      <c r="DK325" s="306">
        <v>3.7335196647832309</v>
      </c>
      <c r="DL325" s="28">
        <v>8486.1160513160867</v>
      </c>
      <c r="DM325" s="28">
        <v>2620.9308046778283</v>
      </c>
      <c r="DN325" s="650">
        <v>8486.11</v>
      </c>
      <c r="DO325" s="94">
        <v>6.0513160860864446E-3</v>
      </c>
      <c r="DP325" s="28">
        <v>11107.046855993915</v>
      </c>
      <c r="DQ325" s="318">
        <v>995.62446713165627</v>
      </c>
      <c r="DS325" s="8">
        <v>9629.9260846307225</v>
      </c>
      <c r="DT325" s="5">
        <v>481.4963042315361</v>
      </c>
      <c r="DW325" s="5">
        <v>5743.3165075080751</v>
      </c>
      <c r="DX325" s="5">
        <v>3332.4</v>
      </c>
    </row>
    <row r="326" spans="1:128" x14ac:dyDescent="0.3">
      <c r="A326" s="325">
        <v>150000807</v>
      </c>
      <c r="B326" s="41" t="s">
        <v>772</v>
      </c>
      <c r="C326" s="42" t="s">
        <v>188</v>
      </c>
      <c r="D326" s="42" t="s">
        <v>188</v>
      </c>
      <c r="E326" s="293">
        <v>300.7</v>
      </c>
      <c r="F326" s="305">
        <v>194.4</v>
      </c>
      <c r="G326" s="51"/>
      <c r="H326" s="651">
        <v>106.3</v>
      </c>
      <c r="I326" s="73">
        <v>267.44468371163083</v>
      </c>
      <c r="J326" s="40">
        <v>295.86430369528875</v>
      </c>
      <c r="K326" s="52">
        <v>28.419619983657924</v>
      </c>
      <c r="L326" s="73">
        <v>51.888316436182997</v>
      </c>
      <c r="M326" s="40">
        <v>58.45805468282083</v>
      </c>
      <c r="N326" s="52">
        <v>6.5697382466378329</v>
      </c>
      <c r="O326" s="73">
        <v>0</v>
      </c>
      <c r="P326" s="40">
        <v>0</v>
      </c>
      <c r="Q326" s="52">
        <v>0</v>
      </c>
      <c r="R326" s="73">
        <v>0</v>
      </c>
      <c r="S326" s="40">
        <v>0</v>
      </c>
      <c r="T326" s="52">
        <v>0</v>
      </c>
      <c r="U326" s="73">
        <v>0</v>
      </c>
      <c r="V326" s="40">
        <v>0</v>
      </c>
      <c r="W326" s="52">
        <v>0</v>
      </c>
      <c r="X326" s="73">
        <v>44.452412727795803</v>
      </c>
      <c r="Y326" s="40">
        <v>43.451975815526559</v>
      </c>
      <c r="Z326" s="52">
        <v>-1.0004369122692438</v>
      </c>
      <c r="AA326" s="73">
        <v>24.056000000000001</v>
      </c>
      <c r="AB326" s="40">
        <v>0</v>
      </c>
      <c r="AC326" s="52">
        <v>-24.056000000000001</v>
      </c>
      <c r="AD326" s="73">
        <v>192.58810036753061</v>
      </c>
      <c r="AE326" s="40">
        <v>271.02245658468235</v>
      </c>
      <c r="AF326" s="35">
        <v>78.434356217151731</v>
      </c>
      <c r="AG326" s="77">
        <v>580.42951324314026</v>
      </c>
      <c r="AH326" s="53">
        <v>668.7967907783185</v>
      </c>
      <c r="AI326" s="52">
        <v>88.367277535178232</v>
      </c>
      <c r="AJ326" s="73">
        <v>0</v>
      </c>
      <c r="AK326" s="40">
        <v>0</v>
      </c>
      <c r="AL326" s="52">
        <v>0</v>
      </c>
      <c r="AM326" s="73">
        <v>0</v>
      </c>
      <c r="AN326" s="40">
        <v>0</v>
      </c>
      <c r="AO326" s="52">
        <v>0</v>
      </c>
      <c r="AP326" s="73">
        <v>126.06916666666665</v>
      </c>
      <c r="AQ326" s="40">
        <v>0</v>
      </c>
      <c r="AR326" s="52">
        <v>-126.06916666666665</v>
      </c>
      <c r="AS326" s="73">
        <v>483.04559028091001</v>
      </c>
      <c r="AT326" s="40">
        <v>575</v>
      </c>
      <c r="AU326" s="54">
        <v>91.954409719089995</v>
      </c>
      <c r="AV326" s="73">
        <v>140.42179070204082</v>
      </c>
      <c r="AW326" s="40">
        <v>0</v>
      </c>
      <c r="AX326" s="55">
        <v>-140.42179070204082</v>
      </c>
      <c r="AY326" s="73">
        <v>143.66481108860992</v>
      </c>
      <c r="AZ326" s="40">
        <v>0</v>
      </c>
      <c r="BA326" s="35">
        <v>-143.66481108860992</v>
      </c>
      <c r="BB326" s="73">
        <v>0</v>
      </c>
      <c r="BC326" s="40">
        <v>0</v>
      </c>
      <c r="BD326" s="55">
        <v>0</v>
      </c>
      <c r="BE326" s="73">
        <v>0</v>
      </c>
      <c r="BF326" s="40">
        <v>0</v>
      </c>
      <c r="BG326" s="38">
        <v>0</v>
      </c>
      <c r="BH326" s="73">
        <v>0</v>
      </c>
      <c r="BI326" s="40">
        <v>0</v>
      </c>
      <c r="BJ326" s="55">
        <v>0</v>
      </c>
      <c r="BK326" s="73">
        <v>7.0425150427609911</v>
      </c>
      <c r="BL326" s="40">
        <v>0</v>
      </c>
      <c r="BM326" s="38">
        <v>-7.0425150427609911</v>
      </c>
      <c r="BN326" s="73">
        <v>6.0140000000000002</v>
      </c>
      <c r="BO326" s="40">
        <v>0</v>
      </c>
      <c r="BP326" s="55">
        <v>-6.0140000000000002</v>
      </c>
      <c r="BQ326" s="77">
        <v>297.1431168334118</v>
      </c>
      <c r="BR326" s="40">
        <v>0</v>
      </c>
      <c r="BS326" s="55">
        <v>-297.1431168334118</v>
      </c>
      <c r="BT326" s="73">
        <v>400.17542152181801</v>
      </c>
      <c r="BU326" s="40">
        <v>112.14602537244454</v>
      </c>
      <c r="BV326" s="52">
        <v>-288.0293961493735</v>
      </c>
      <c r="BW326" s="73">
        <v>251.24887066866199</v>
      </c>
      <c r="BX326" s="40">
        <v>185.62411784864014</v>
      </c>
      <c r="BY326" s="52">
        <v>-65.624752820021854</v>
      </c>
      <c r="BZ326" s="73">
        <v>54.369033958125002</v>
      </c>
      <c r="CA326" s="40">
        <v>532.49998095455953</v>
      </c>
      <c r="CB326" s="52">
        <v>478.13094699643455</v>
      </c>
      <c r="CC326" s="73">
        <v>0</v>
      </c>
      <c r="CD326" s="40">
        <v>0</v>
      </c>
      <c r="CE326" s="52">
        <v>0</v>
      </c>
      <c r="CF326" s="73">
        <v>0</v>
      </c>
      <c r="CG326" s="40">
        <v>0</v>
      </c>
      <c r="CH326" s="52">
        <v>0</v>
      </c>
      <c r="CI326" s="73">
        <v>0</v>
      </c>
      <c r="CJ326" s="40">
        <v>0</v>
      </c>
      <c r="CK326" s="52">
        <v>0</v>
      </c>
      <c r="CL326" s="73">
        <v>0</v>
      </c>
      <c r="CM326" s="40">
        <v>0</v>
      </c>
      <c r="CN326" s="52">
        <v>0</v>
      </c>
      <c r="CO326" s="39">
        <v>0</v>
      </c>
      <c r="CP326" s="40">
        <v>0</v>
      </c>
      <c r="CQ326" s="52">
        <v>0</v>
      </c>
      <c r="CR326" s="72">
        <v>2192.4807131727334</v>
      </c>
      <c r="CS326" s="5">
        <v>2074.0669149539626</v>
      </c>
      <c r="CT326" s="52">
        <v>-118.41379821877081</v>
      </c>
      <c r="CU326" s="77">
        <v>2630.9768558072801</v>
      </c>
      <c r="CV326" s="65">
        <v>2488.8802979447551</v>
      </c>
      <c r="CW326" s="35">
        <v>-142.09655786252506</v>
      </c>
      <c r="CX326" s="73">
        <v>146.8954114066029</v>
      </c>
      <c r="CY326" s="40">
        <v>288.99196926912782</v>
      </c>
      <c r="CZ326" s="52">
        <v>142.09655786252492</v>
      </c>
      <c r="DA326" s="150">
        <v>-8148.1581934066826</v>
      </c>
      <c r="DB326" s="2">
        <v>3</v>
      </c>
      <c r="DC326" s="648">
        <v>9489.11</v>
      </c>
      <c r="DD326" s="648">
        <v>431.68</v>
      </c>
      <c r="DE326" s="649">
        <v>7142.917732786118</v>
      </c>
      <c r="DG326" s="321">
        <v>5234.0015507983298</v>
      </c>
      <c r="DH326" s="5">
        <v>33334.467206566595</v>
      </c>
      <c r="DI326" s="306">
        <v>4.5934913511766595</v>
      </c>
      <c r="DJ326" s="306"/>
      <c r="DK326" s="306"/>
      <c r="DL326" s="28">
        <v>892.97471866874264</v>
      </c>
      <c r="DM326" s="28">
        <v>432.34</v>
      </c>
      <c r="DN326" s="650">
        <v>892.98</v>
      </c>
      <c r="DO326" s="94">
        <v>-5.2813312573789517E-3</v>
      </c>
      <c r="DP326" s="28">
        <v>1325.3147186687427</v>
      </c>
      <c r="DQ326" s="318">
        <v>-55.948130630078595</v>
      </c>
      <c r="DS326" s="8">
        <v>1315.4884279036394</v>
      </c>
      <c r="DT326" s="5">
        <v>65.774421395181975</v>
      </c>
      <c r="DW326" s="5">
        <v>936.22644853718612</v>
      </c>
      <c r="DX326" s="5">
        <v>690</v>
      </c>
    </row>
    <row r="327" spans="1:128" x14ac:dyDescent="0.3">
      <c r="A327" s="325">
        <v>150000808</v>
      </c>
      <c r="B327" s="41" t="s">
        <v>773</v>
      </c>
      <c r="C327" s="42" t="s">
        <v>298</v>
      </c>
      <c r="D327" s="42" t="s">
        <v>298</v>
      </c>
      <c r="E327" s="293">
        <v>1950.8</v>
      </c>
      <c r="F327" s="305">
        <v>1754.6</v>
      </c>
      <c r="G327" s="51"/>
      <c r="H327" s="651">
        <v>196.2</v>
      </c>
      <c r="I327" s="73">
        <v>888.16401637252716</v>
      </c>
      <c r="J327" s="40">
        <v>985.45852145356002</v>
      </c>
      <c r="K327" s="52">
        <v>97.294505081032867</v>
      </c>
      <c r="L327" s="73">
        <v>181.11114486445646</v>
      </c>
      <c r="M327" s="40">
        <v>204.0434348296294</v>
      </c>
      <c r="N327" s="52">
        <v>22.932289965172941</v>
      </c>
      <c r="O327" s="73">
        <v>365.17056355928668</v>
      </c>
      <c r="P327" s="40">
        <v>365.16</v>
      </c>
      <c r="Q327" s="52">
        <v>-1.056355928665198E-2</v>
      </c>
      <c r="R327" s="73">
        <v>0</v>
      </c>
      <c r="S327" s="40">
        <v>0</v>
      </c>
      <c r="T327" s="52">
        <v>0</v>
      </c>
      <c r="U327" s="73">
        <v>0</v>
      </c>
      <c r="V327" s="40">
        <v>0</v>
      </c>
      <c r="W327" s="52">
        <v>0</v>
      </c>
      <c r="X327" s="73">
        <v>370.23847550315077</v>
      </c>
      <c r="Y327" s="40">
        <v>378.3349912722494</v>
      </c>
      <c r="Z327" s="52">
        <v>8.0965157690986302</v>
      </c>
      <c r="AA327" s="73">
        <v>156.17600000000002</v>
      </c>
      <c r="AB327" s="40">
        <v>0</v>
      </c>
      <c r="AC327" s="52">
        <v>-156.17600000000002</v>
      </c>
      <c r="AD327" s="73">
        <v>1398.6018076446996</v>
      </c>
      <c r="AE327" s="40">
        <v>1758.2660735131308</v>
      </c>
      <c r="AF327" s="35">
        <v>359.66426586843113</v>
      </c>
      <c r="AG327" s="77">
        <v>3359.4620079441206</v>
      </c>
      <c r="AH327" s="53">
        <v>3691.2630210685697</v>
      </c>
      <c r="AI327" s="52">
        <v>331.80101312444913</v>
      </c>
      <c r="AJ327" s="73">
        <v>0</v>
      </c>
      <c r="AK327" s="40">
        <v>0</v>
      </c>
      <c r="AL327" s="52">
        <v>0</v>
      </c>
      <c r="AM327" s="73">
        <v>0</v>
      </c>
      <c r="AN327" s="40">
        <v>0</v>
      </c>
      <c r="AO327" s="52">
        <v>0</v>
      </c>
      <c r="AP327" s="73">
        <v>718.59424999999987</v>
      </c>
      <c r="AQ327" s="40">
        <v>0</v>
      </c>
      <c r="AR327" s="52">
        <v>-718.59424999999987</v>
      </c>
      <c r="AS327" s="73">
        <v>1624.5729514237514</v>
      </c>
      <c r="AT327" s="40">
        <v>1592</v>
      </c>
      <c r="AU327" s="54">
        <v>-32.572951423751419</v>
      </c>
      <c r="AV327" s="73">
        <v>395.9389192707124</v>
      </c>
      <c r="AW327" s="40">
        <v>0</v>
      </c>
      <c r="AX327" s="55">
        <v>-395.9389192707124</v>
      </c>
      <c r="AY327" s="73">
        <v>501.26761322613913</v>
      </c>
      <c r="AZ327" s="40">
        <v>90</v>
      </c>
      <c r="BA327" s="35">
        <v>-411.26761322613913</v>
      </c>
      <c r="BB327" s="73">
        <v>150.7893576058068</v>
      </c>
      <c r="BC327" s="40">
        <v>0</v>
      </c>
      <c r="BD327" s="55">
        <v>-150.7893576058068</v>
      </c>
      <c r="BE327" s="73">
        <v>0</v>
      </c>
      <c r="BF327" s="40">
        <v>0</v>
      </c>
      <c r="BG327" s="38">
        <v>0</v>
      </c>
      <c r="BH327" s="73">
        <v>0</v>
      </c>
      <c r="BI327" s="40">
        <v>0</v>
      </c>
      <c r="BJ327" s="55">
        <v>0</v>
      </c>
      <c r="BK327" s="73">
        <v>188.79508274075556</v>
      </c>
      <c r="BL327" s="40">
        <v>0</v>
      </c>
      <c r="BM327" s="38">
        <v>-188.79508274075556</v>
      </c>
      <c r="BN327" s="73">
        <v>39.044000000000004</v>
      </c>
      <c r="BO327" s="40">
        <v>0</v>
      </c>
      <c r="BP327" s="55">
        <v>-39.044000000000004</v>
      </c>
      <c r="BQ327" s="77">
        <v>1275.8349728434141</v>
      </c>
      <c r="BR327" s="40">
        <v>90</v>
      </c>
      <c r="BS327" s="55">
        <v>-1185.8349728434141</v>
      </c>
      <c r="BT327" s="73">
        <v>2207.1232644603801</v>
      </c>
      <c r="BU327" s="40">
        <v>573.88229622629319</v>
      </c>
      <c r="BV327" s="52">
        <v>-1633.2409682340869</v>
      </c>
      <c r="BW327" s="73">
        <v>941.70919193855605</v>
      </c>
      <c r="BX327" s="40">
        <v>1002.8002833028273</v>
      </c>
      <c r="BY327" s="52">
        <v>61.091091364271279</v>
      </c>
      <c r="BZ327" s="73">
        <v>944.827119962702</v>
      </c>
      <c r="CA327" s="40">
        <v>3394.4133898298833</v>
      </c>
      <c r="CB327" s="52">
        <v>2449.5862698671813</v>
      </c>
      <c r="CC327" s="73">
        <v>108.10304972500001</v>
      </c>
      <c r="CD327" s="40">
        <v>136.40069241815979</v>
      </c>
      <c r="CE327" s="52">
        <v>28.297642693159787</v>
      </c>
      <c r="CF327" s="73">
        <v>12.843926700000001</v>
      </c>
      <c r="CG327" s="40">
        <v>0</v>
      </c>
      <c r="CH327" s="52">
        <v>-12.843926700000001</v>
      </c>
      <c r="CI327" s="73">
        <v>476.54</v>
      </c>
      <c r="CJ327" s="40">
        <v>2463.926858270197</v>
      </c>
      <c r="CK327" s="52">
        <v>1987.3868582701971</v>
      </c>
      <c r="CL327" s="73">
        <v>0</v>
      </c>
      <c r="CM327" s="40">
        <v>0</v>
      </c>
      <c r="CN327" s="52">
        <v>0</v>
      </c>
      <c r="CO327" s="39">
        <v>476.54</v>
      </c>
      <c r="CP327" s="40">
        <v>2463.926858270197</v>
      </c>
      <c r="CQ327" s="52">
        <v>1987.3868582701971</v>
      </c>
      <c r="CR327" s="72">
        <v>11669.610734997923</v>
      </c>
      <c r="CS327" s="5">
        <v>12944.686541115929</v>
      </c>
      <c r="CT327" s="52">
        <v>1275.0758061180059</v>
      </c>
      <c r="CU327" s="77">
        <v>14003.532881997508</v>
      </c>
      <c r="CV327" s="65">
        <v>15533.623849339114</v>
      </c>
      <c r="CW327" s="35">
        <v>1530.0909673416063</v>
      </c>
      <c r="CX327" s="73">
        <v>781.85968048576217</v>
      </c>
      <c r="CY327" s="40">
        <v>-748.23128685584379</v>
      </c>
      <c r="CZ327" s="52">
        <v>-1530.0909673416058</v>
      </c>
      <c r="DA327" s="150">
        <v>27186.790328845665</v>
      </c>
      <c r="DB327" s="2">
        <v>2</v>
      </c>
      <c r="DC327" s="648">
        <v>9286.8700000000008</v>
      </c>
      <c r="DD327" s="648">
        <v>0</v>
      </c>
      <c r="DE327" s="649">
        <v>-5498.5225624832692</v>
      </c>
      <c r="DG327" s="321">
        <v>4390.4545830315983</v>
      </c>
      <c r="DH327" s="5">
        <v>177424.71074979924</v>
      </c>
      <c r="DI327" s="306">
        <v>3.7998884823046035</v>
      </c>
      <c r="DJ327" s="306"/>
      <c r="DK327" s="306">
        <v>3.4620315398665111</v>
      </c>
      <c r="DL327" s="28">
        <v>6667.2843310516573</v>
      </c>
      <c r="DM327" s="28">
        <v>679.25058812180941</v>
      </c>
      <c r="DN327" s="650">
        <v>6667.38</v>
      </c>
      <c r="DO327" s="94">
        <v>-9.5668948342790827E-2</v>
      </c>
      <c r="DP327" s="28">
        <v>7346.5349191734667</v>
      </c>
      <c r="DQ327" s="318">
        <v>-5.3198438752251604</v>
      </c>
      <c r="DS327" s="8">
        <v>7001.7664409987538</v>
      </c>
      <c r="DT327" s="5">
        <v>350.08832204993769</v>
      </c>
      <c r="DW327" s="5">
        <v>3480.4895091205985</v>
      </c>
      <c r="DX327" s="5">
        <v>2018.3999999999999</v>
      </c>
    </row>
    <row r="328" spans="1:128" x14ac:dyDescent="0.3">
      <c r="A328" s="325">
        <v>150000827</v>
      </c>
      <c r="B328" s="41" t="s">
        <v>774</v>
      </c>
      <c r="C328" s="42" t="s">
        <v>299</v>
      </c>
      <c r="D328" s="42" t="s">
        <v>299</v>
      </c>
      <c r="E328" s="293">
        <v>4399.5999999999995</v>
      </c>
      <c r="F328" s="305">
        <v>3724.7</v>
      </c>
      <c r="G328" s="51"/>
      <c r="H328" s="651">
        <v>674.9</v>
      </c>
      <c r="I328" s="73">
        <v>2115.8087627779855</v>
      </c>
      <c r="J328" s="40">
        <v>2349.8126598750796</v>
      </c>
      <c r="K328" s="52">
        <v>234.00389709709407</v>
      </c>
      <c r="L328" s="73">
        <v>443.18631692937697</v>
      </c>
      <c r="M328" s="40">
        <v>499.30285173719915</v>
      </c>
      <c r="N328" s="52">
        <v>56.116534807822177</v>
      </c>
      <c r="O328" s="73">
        <v>768.67517301626992</v>
      </c>
      <c r="P328" s="40">
        <v>768.68</v>
      </c>
      <c r="Q328" s="52">
        <v>4.8269837300267682E-3</v>
      </c>
      <c r="R328" s="73">
        <v>0</v>
      </c>
      <c r="S328" s="40">
        <v>0</v>
      </c>
      <c r="T328" s="52">
        <v>0</v>
      </c>
      <c r="U328" s="73">
        <v>0</v>
      </c>
      <c r="V328" s="40">
        <v>0</v>
      </c>
      <c r="W328" s="52">
        <v>0</v>
      </c>
      <c r="X328" s="73">
        <v>1138.3046387490667</v>
      </c>
      <c r="Y328" s="40">
        <v>1223.8311630169067</v>
      </c>
      <c r="Z328" s="52">
        <v>85.526524267839932</v>
      </c>
      <c r="AA328" s="73">
        <v>352.35200000000003</v>
      </c>
      <c r="AB328" s="40">
        <v>0</v>
      </c>
      <c r="AC328" s="52">
        <v>-352.35200000000003</v>
      </c>
      <c r="AD328" s="73">
        <v>3146.0741649382207</v>
      </c>
      <c r="AE328" s="40">
        <v>3965.3821083803409</v>
      </c>
      <c r="AF328" s="35">
        <v>819.30794344212018</v>
      </c>
      <c r="AG328" s="77">
        <v>7964.4010564109194</v>
      </c>
      <c r="AH328" s="53">
        <v>8807.0087830095254</v>
      </c>
      <c r="AI328" s="52">
        <v>842.60772659860595</v>
      </c>
      <c r="AJ328" s="73">
        <v>0</v>
      </c>
      <c r="AK328" s="40">
        <v>0</v>
      </c>
      <c r="AL328" s="52">
        <v>0</v>
      </c>
      <c r="AM328" s="73">
        <v>0</v>
      </c>
      <c r="AN328" s="40">
        <v>0</v>
      </c>
      <c r="AO328" s="52">
        <v>0</v>
      </c>
      <c r="AP328" s="73">
        <v>1683.0233749999998</v>
      </c>
      <c r="AQ328" s="40">
        <v>0</v>
      </c>
      <c r="AR328" s="52">
        <v>-1683.0233749999998</v>
      </c>
      <c r="AS328" s="73">
        <v>4005.1019150427633</v>
      </c>
      <c r="AT328" s="40">
        <v>0</v>
      </c>
      <c r="AU328" s="54">
        <v>-4005.1019150427633</v>
      </c>
      <c r="AV328" s="73">
        <v>922.12073676097543</v>
      </c>
      <c r="AW328" s="40">
        <v>221</v>
      </c>
      <c r="AX328" s="55">
        <v>-701.12073676097543</v>
      </c>
      <c r="AY328" s="73">
        <v>1226.6020777615765</v>
      </c>
      <c r="AZ328" s="40">
        <v>0</v>
      </c>
      <c r="BA328" s="35">
        <v>-1226.6020777615765</v>
      </c>
      <c r="BB328" s="73">
        <v>293.48407161551</v>
      </c>
      <c r="BC328" s="40">
        <v>0</v>
      </c>
      <c r="BD328" s="55">
        <v>-293.48407161551</v>
      </c>
      <c r="BE328" s="73">
        <v>0</v>
      </c>
      <c r="BF328" s="40">
        <v>0</v>
      </c>
      <c r="BG328" s="38">
        <v>0</v>
      </c>
      <c r="BH328" s="73">
        <v>0</v>
      </c>
      <c r="BI328" s="40">
        <v>0</v>
      </c>
      <c r="BJ328" s="55">
        <v>0</v>
      </c>
      <c r="BK328" s="73">
        <v>837.5368842852024</v>
      </c>
      <c r="BL328" s="40">
        <v>0</v>
      </c>
      <c r="BM328" s="38">
        <v>-837.5368842852024</v>
      </c>
      <c r="BN328" s="73">
        <v>88.088000000000008</v>
      </c>
      <c r="BO328" s="40">
        <v>0</v>
      </c>
      <c r="BP328" s="55">
        <v>-88.088000000000008</v>
      </c>
      <c r="BQ328" s="77">
        <v>3367.8317704232645</v>
      </c>
      <c r="BR328" s="40">
        <v>221</v>
      </c>
      <c r="BS328" s="55">
        <v>-3146.8317704232645</v>
      </c>
      <c r="BT328" s="73">
        <v>3300.9880344090402</v>
      </c>
      <c r="BU328" s="40">
        <v>1021.4988428578841</v>
      </c>
      <c r="BV328" s="52">
        <v>-2279.4891915511562</v>
      </c>
      <c r="BW328" s="73">
        <v>2238.8563858572002</v>
      </c>
      <c r="BX328" s="40">
        <v>2425.7734022023014</v>
      </c>
      <c r="BY328" s="52">
        <v>186.91701634510127</v>
      </c>
      <c r="BZ328" s="73">
        <v>2087.6644669723801</v>
      </c>
      <c r="CA328" s="40">
        <v>6491.5372917454624</v>
      </c>
      <c r="CB328" s="52">
        <v>4403.8728247730824</v>
      </c>
      <c r="CC328" s="73">
        <v>263.30541404749999</v>
      </c>
      <c r="CD328" s="40">
        <v>332.22967238105139</v>
      </c>
      <c r="CE328" s="52">
        <v>68.924258333551393</v>
      </c>
      <c r="CF328" s="73">
        <v>31.283811570000001</v>
      </c>
      <c r="CG328" s="40">
        <v>0</v>
      </c>
      <c r="CH328" s="52">
        <v>-31.283811570000001</v>
      </c>
      <c r="CI328" s="73">
        <v>1046.52</v>
      </c>
      <c r="CJ328" s="40">
        <v>294.46136941482769</v>
      </c>
      <c r="CK328" s="52">
        <v>-752.0586305851723</v>
      </c>
      <c r="CL328" s="73">
        <v>0</v>
      </c>
      <c r="CM328" s="40">
        <v>0</v>
      </c>
      <c r="CN328" s="52">
        <v>0</v>
      </c>
      <c r="CO328" s="39">
        <v>1046.52</v>
      </c>
      <c r="CP328" s="40">
        <v>294.46136941482769</v>
      </c>
      <c r="CQ328" s="52">
        <v>-752.0586305851723</v>
      </c>
      <c r="CR328" s="72">
        <v>25988.976229733071</v>
      </c>
      <c r="CS328" s="5">
        <v>19593.509361611053</v>
      </c>
      <c r="CT328" s="52">
        <v>-6395.4668681220173</v>
      </c>
      <c r="CU328" s="77">
        <v>31186.771475679685</v>
      </c>
      <c r="CV328" s="65">
        <v>23512.211233933263</v>
      </c>
      <c r="CW328" s="35">
        <v>-7674.5602417464215</v>
      </c>
      <c r="CX328" s="73">
        <v>1741.2519674020459</v>
      </c>
      <c r="CY328" s="40">
        <v>9415.8122091484656</v>
      </c>
      <c r="CZ328" s="52">
        <v>7674.5602417464197</v>
      </c>
      <c r="DA328" s="150">
        <v>-75681.646048295821</v>
      </c>
      <c r="DB328" s="2">
        <v>2</v>
      </c>
      <c r="DC328" s="648">
        <v>43305.82</v>
      </c>
      <c r="DD328" s="648">
        <v>13059.180000000002</v>
      </c>
      <c r="DE328" s="649">
        <v>23436.976556918271</v>
      </c>
      <c r="DG328" s="321">
        <v>-21049.867983573888</v>
      </c>
      <c r="DH328" s="5">
        <v>395136.28131698072</v>
      </c>
      <c r="DI328" s="306">
        <v>3.7758098810677962</v>
      </c>
      <c r="DJ328" s="306"/>
      <c r="DK328" s="306">
        <v>3.3971881531290968</v>
      </c>
      <c r="DL328" s="28">
        <v>14063.75906401322</v>
      </c>
      <c r="DM328" s="28">
        <v>2292.7622845468272</v>
      </c>
      <c r="DN328" s="650">
        <v>14063.64</v>
      </c>
      <c r="DO328" s="94">
        <v>0.11906401322085003</v>
      </c>
      <c r="DP328" s="28">
        <v>16356.521348560047</v>
      </c>
      <c r="DQ328" s="318">
        <v>-16.533676171788102</v>
      </c>
      <c r="DS328" s="8">
        <v>15593.385737839842</v>
      </c>
      <c r="DT328" s="5">
        <v>779.6692868919921</v>
      </c>
      <c r="DW328" s="5">
        <v>8847.5204225592333</v>
      </c>
      <c r="DX328" s="5">
        <v>265.2</v>
      </c>
    </row>
    <row r="329" spans="1:128" x14ac:dyDescent="0.3">
      <c r="A329" s="325">
        <v>150000809</v>
      </c>
      <c r="B329" s="41" t="s">
        <v>775</v>
      </c>
      <c r="C329" s="42" t="s">
        <v>300</v>
      </c>
      <c r="D329" s="42" t="s">
        <v>300</v>
      </c>
      <c r="E329" s="293">
        <v>2543.14</v>
      </c>
      <c r="F329" s="305">
        <v>2104.64</v>
      </c>
      <c r="G329" s="51"/>
      <c r="H329" s="651">
        <v>438.5</v>
      </c>
      <c r="I329" s="73">
        <v>1192.1512943646949</v>
      </c>
      <c r="J329" s="40">
        <v>1322.7583894174793</v>
      </c>
      <c r="K329" s="52">
        <v>130.60709505278442</v>
      </c>
      <c r="L329" s="73">
        <v>238.70212762721326</v>
      </c>
      <c r="M329" s="40">
        <v>268.92652133437559</v>
      </c>
      <c r="N329" s="52">
        <v>30.224393707162335</v>
      </c>
      <c r="O329" s="73">
        <v>465.26367293947334</v>
      </c>
      <c r="P329" s="40">
        <v>465.46666666666664</v>
      </c>
      <c r="Q329" s="52">
        <v>0.20299372719330222</v>
      </c>
      <c r="R329" s="73">
        <v>0</v>
      </c>
      <c r="S329" s="40">
        <v>0</v>
      </c>
      <c r="T329" s="52">
        <v>0</v>
      </c>
      <c r="U329" s="73">
        <v>0</v>
      </c>
      <c r="V329" s="40">
        <v>0</v>
      </c>
      <c r="W329" s="52">
        <v>0</v>
      </c>
      <c r="X329" s="73">
        <v>540.74918429211527</v>
      </c>
      <c r="Y329" s="40">
        <v>566.996905052702</v>
      </c>
      <c r="Z329" s="52">
        <v>26.247720760586731</v>
      </c>
      <c r="AA329" s="73">
        <v>204.416</v>
      </c>
      <c r="AB329" s="40">
        <v>0</v>
      </c>
      <c r="AC329" s="52">
        <v>-204.416</v>
      </c>
      <c r="AD329" s="73">
        <v>1822.9660639402177</v>
      </c>
      <c r="AE329" s="40">
        <v>2292.1451620843673</v>
      </c>
      <c r="AF329" s="35">
        <v>469.17909814414952</v>
      </c>
      <c r="AG329" s="77">
        <v>4464.2483431637147</v>
      </c>
      <c r="AH329" s="53">
        <v>4916.2936445555906</v>
      </c>
      <c r="AI329" s="52">
        <v>452.04530139187591</v>
      </c>
      <c r="AJ329" s="73">
        <v>0</v>
      </c>
      <c r="AK329" s="40">
        <v>0</v>
      </c>
      <c r="AL329" s="52">
        <v>0</v>
      </c>
      <c r="AM329" s="73">
        <v>0</v>
      </c>
      <c r="AN329" s="40">
        <v>0</v>
      </c>
      <c r="AO329" s="52">
        <v>0</v>
      </c>
      <c r="AP329" s="73">
        <v>869.87724999999989</v>
      </c>
      <c r="AQ329" s="40">
        <v>0</v>
      </c>
      <c r="AR329" s="52">
        <v>-869.87724999999989</v>
      </c>
      <c r="AS329" s="73">
        <v>3460.6999593417081</v>
      </c>
      <c r="AT329" s="40">
        <v>1288</v>
      </c>
      <c r="AU329" s="54">
        <v>-2172.6999593417081</v>
      </c>
      <c r="AV329" s="73">
        <v>552.03706079802214</v>
      </c>
      <c r="AW329" s="40">
        <v>0</v>
      </c>
      <c r="AX329" s="55">
        <v>-552.03706079802214</v>
      </c>
      <c r="AY329" s="73">
        <v>660.66958759446982</v>
      </c>
      <c r="AZ329" s="40">
        <v>0</v>
      </c>
      <c r="BA329" s="35">
        <v>-660.66958759446982</v>
      </c>
      <c r="BB329" s="73">
        <v>162.17834503757001</v>
      </c>
      <c r="BC329" s="40">
        <v>0</v>
      </c>
      <c r="BD329" s="55">
        <v>-162.17834503757001</v>
      </c>
      <c r="BE329" s="73">
        <v>0</v>
      </c>
      <c r="BF329" s="40">
        <v>0</v>
      </c>
      <c r="BG329" s="38">
        <v>0</v>
      </c>
      <c r="BH329" s="73">
        <v>0</v>
      </c>
      <c r="BI329" s="40">
        <v>0</v>
      </c>
      <c r="BJ329" s="55">
        <v>0</v>
      </c>
      <c r="BK329" s="73">
        <v>316.13913090562266</v>
      </c>
      <c r="BL329" s="40">
        <v>0</v>
      </c>
      <c r="BM329" s="38">
        <v>-316.13913090562266</v>
      </c>
      <c r="BN329" s="73">
        <v>51.103999999999999</v>
      </c>
      <c r="BO329" s="40">
        <v>0</v>
      </c>
      <c r="BP329" s="55">
        <v>-51.103999999999999</v>
      </c>
      <c r="BQ329" s="77">
        <v>1742.1281243356846</v>
      </c>
      <c r="BR329" s="40">
        <v>0</v>
      </c>
      <c r="BS329" s="55">
        <v>-1742.1281243356846</v>
      </c>
      <c r="BT329" s="73">
        <v>2739.3504678549202</v>
      </c>
      <c r="BU329" s="40">
        <v>585.44042547278298</v>
      </c>
      <c r="BV329" s="52">
        <v>-2153.9100423821374</v>
      </c>
      <c r="BW329" s="73">
        <v>987.88198475414799</v>
      </c>
      <c r="BX329" s="40">
        <v>896.39800967457722</v>
      </c>
      <c r="BY329" s="52">
        <v>-91.483975079570769</v>
      </c>
      <c r="BZ329" s="73">
        <v>1557.8324092720859</v>
      </c>
      <c r="CA329" s="40">
        <v>4071.5858995800691</v>
      </c>
      <c r="CB329" s="52">
        <v>2513.7534903079832</v>
      </c>
      <c r="CC329" s="73">
        <v>0</v>
      </c>
      <c r="CD329" s="40">
        <v>0</v>
      </c>
      <c r="CE329" s="52">
        <v>0</v>
      </c>
      <c r="CF329" s="73">
        <v>0</v>
      </c>
      <c r="CG329" s="40">
        <v>0</v>
      </c>
      <c r="CH329" s="52">
        <v>0</v>
      </c>
      <c r="CI329" s="73">
        <v>1083.9000000000001</v>
      </c>
      <c r="CJ329" s="40">
        <v>1103.2232903779359</v>
      </c>
      <c r="CK329" s="52">
        <v>19.323290377935791</v>
      </c>
      <c r="CL329" s="73">
        <v>0</v>
      </c>
      <c r="CM329" s="40">
        <v>0</v>
      </c>
      <c r="CN329" s="52">
        <v>0</v>
      </c>
      <c r="CO329" s="39">
        <v>1083.9000000000001</v>
      </c>
      <c r="CP329" s="40">
        <v>1103.2232903779359</v>
      </c>
      <c r="CQ329" s="52">
        <v>19.323290377935791</v>
      </c>
      <c r="CR329" s="72">
        <v>16905.918538722261</v>
      </c>
      <c r="CS329" s="5">
        <v>12860.941269660958</v>
      </c>
      <c r="CT329" s="52">
        <v>-4044.9772690613026</v>
      </c>
      <c r="CU329" s="77">
        <v>20287.102246466711</v>
      </c>
      <c r="CV329" s="65">
        <v>15433.129523593148</v>
      </c>
      <c r="CW329" s="35">
        <v>-4853.9727228735628</v>
      </c>
      <c r="CX329" s="73">
        <v>1132.6904013483413</v>
      </c>
      <c r="CY329" s="40">
        <v>5986.6631242219028</v>
      </c>
      <c r="CZ329" s="52">
        <v>4853.972722873561</v>
      </c>
      <c r="DA329" s="150">
        <v>-30952.856754657827</v>
      </c>
      <c r="DB329" s="2">
        <v>2</v>
      </c>
      <c r="DC329" s="648">
        <v>21665.39</v>
      </c>
      <c r="DD329" s="648">
        <v>251.46</v>
      </c>
      <c r="DE329" s="649">
        <v>497.05735218494738</v>
      </c>
      <c r="DG329" s="321">
        <v>50249.812913279915</v>
      </c>
      <c r="DH329" s="5">
        <v>257037.51177378063</v>
      </c>
      <c r="DI329" s="306">
        <v>4.2202785284018685</v>
      </c>
      <c r="DJ329" s="306"/>
      <c r="DK329" s="306">
        <v>3.9246880983875663</v>
      </c>
      <c r="DL329" s="28">
        <v>8882.1670020157071</v>
      </c>
      <c r="DM329" s="28">
        <v>1720.9757311429478</v>
      </c>
      <c r="DN329" s="650">
        <v>8882.26</v>
      </c>
      <c r="DO329" s="94">
        <v>-9.2997984293106128E-2</v>
      </c>
      <c r="DP329" s="28">
        <v>10603.142733158655</v>
      </c>
      <c r="DQ329" s="318">
        <v>-47.585946236369637</v>
      </c>
      <c r="DS329" s="8">
        <v>10143.551123233356</v>
      </c>
      <c r="DT329" s="5">
        <v>507.17755616166784</v>
      </c>
      <c r="DW329" s="5">
        <v>6243.3937004128711</v>
      </c>
      <c r="DX329" s="5">
        <v>1545.6</v>
      </c>
    </row>
    <row r="330" spans="1:128" x14ac:dyDescent="0.3">
      <c r="A330" s="325">
        <v>150000810</v>
      </c>
      <c r="B330" s="41" t="s">
        <v>776</v>
      </c>
      <c r="C330" s="42" t="s">
        <v>301</v>
      </c>
      <c r="D330" s="42" t="s">
        <v>301</v>
      </c>
      <c r="E330" s="293">
        <v>2998.76</v>
      </c>
      <c r="F330" s="305">
        <v>2552.36</v>
      </c>
      <c r="G330" s="51"/>
      <c r="H330" s="651">
        <v>446.4</v>
      </c>
      <c r="I330" s="73">
        <v>1461.5498628345306</v>
      </c>
      <c r="J330" s="40">
        <v>1626.2038609251877</v>
      </c>
      <c r="K330" s="52">
        <v>164.65399809065707</v>
      </c>
      <c r="L330" s="73">
        <v>306.87760976126782</v>
      </c>
      <c r="M330" s="40">
        <v>377.15276255688059</v>
      </c>
      <c r="N330" s="52">
        <v>70.275152795612769</v>
      </c>
      <c r="O330" s="73">
        <v>486.79873035385998</v>
      </c>
      <c r="P330" s="40">
        <v>486.86666666666667</v>
      </c>
      <c r="Q330" s="52">
        <v>6.7936312806693877E-2</v>
      </c>
      <c r="R330" s="73">
        <v>0</v>
      </c>
      <c r="S330" s="40">
        <v>0</v>
      </c>
      <c r="T330" s="52">
        <v>0</v>
      </c>
      <c r="U330" s="73">
        <v>0</v>
      </c>
      <c r="V330" s="40">
        <v>0</v>
      </c>
      <c r="W330" s="52">
        <v>0</v>
      </c>
      <c r="X330" s="73">
        <v>726.00642831763548</v>
      </c>
      <c r="Y330" s="40">
        <v>766.79322415015486</v>
      </c>
      <c r="Z330" s="52">
        <v>40.786795832519374</v>
      </c>
      <c r="AA330" s="73">
        <v>239.93200000000002</v>
      </c>
      <c r="AB330" s="40">
        <v>0</v>
      </c>
      <c r="AC330" s="52">
        <v>-239.93200000000002</v>
      </c>
      <c r="AD330" s="73">
        <v>2142.9520274528518</v>
      </c>
      <c r="AE330" s="40">
        <v>2702.7978114661864</v>
      </c>
      <c r="AF330" s="35">
        <v>559.84578401333465</v>
      </c>
      <c r="AG330" s="77">
        <v>5364.116658720146</v>
      </c>
      <c r="AH330" s="53">
        <v>5959.8143257650763</v>
      </c>
      <c r="AI330" s="52">
        <v>595.69766704493031</v>
      </c>
      <c r="AJ330" s="73">
        <v>0</v>
      </c>
      <c r="AK330" s="40">
        <v>0</v>
      </c>
      <c r="AL330" s="52">
        <v>0</v>
      </c>
      <c r="AM330" s="73">
        <v>0</v>
      </c>
      <c r="AN330" s="40">
        <v>0</v>
      </c>
      <c r="AO330" s="52">
        <v>0</v>
      </c>
      <c r="AP330" s="73">
        <v>1210.2639999999999</v>
      </c>
      <c r="AQ330" s="40">
        <v>0</v>
      </c>
      <c r="AR330" s="52">
        <v>-1210.2639999999999</v>
      </c>
      <c r="AS330" s="73">
        <v>2799.8547899454088</v>
      </c>
      <c r="AT330" s="40">
        <v>428</v>
      </c>
      <c r="AU330" s="54">
        <v>-2371.8547899454088</v>
      </c>
      <c r="AV330" s="73">
        <v>631.96646086000396</v>
      </c>
      <c r="AW330" s="40">
        <v>0</v>
      </c>
      <c r="AX330" s="55">
        <v>-631.96646086000396</v>
      </c>
      <c r="AY330" s="73">
        <v>849.28545831065503</v>
      </c>
      <c r="AZ330" s="40">
        <v>0</v>
      </c>
      <c r="BA330" s="35">
        <v>-849.28545831065503</v>
      </c>
      <c r="BB330" s="73">
        <v>162.19225083036341</v>
      </c>
      <c r="BC330" s="40">
        <v>0</v>
      </c>
      <c r="BD330" s="55">
        <v>-162.19225083036341</v>
      </c>
      <c r="BE330" s="73">
        <v>0</v>
      </c>
      <c r="BF330" s="40">
        <v>0</v>
      </c>
      <c r="BG330" s="38">
        <v>0</v>
      </c>
      <c r="BH330" s="73">
        <v>0</v>
      </c>
      <c r="BI330" s="40">
        <v>0</v>
      </c>
      <c r="BJ330" s="55">
        <v>0</v>
      </c>
      <c r="BK330" s="73">
        <v>449.20891732977003</v>
      </c>
      <c r="BL330" s="40">
        <v>0</v>
      </c>
      <c r="BM330" s="38">
        <v>-449.20891732977003</v>
      </c>
      <c r="BN330" s="73">
        <v>59.983000000000004</v>
      </c>
      <c r="BO330" s="40">
        <v>0</v>
      </c>
      <c r="BP330" s="55">
        <v>-59.983000000000004</v>
      </c>
      <c r="BQ330" s="77">
        <v>2152.6360873307926</v>
      </c>
      <c r="BR330" s="40">
        <v>0</v>
      </c>
      <c r="BS330" s="55">
        <v>-2152.6360873307926</v>
      </c>
      <c r="BT330" s="73">
        <v>3064.7536638913002</v>
      </c>
      <c r="BU330" s="40">
        <v>720.71641033111348</v>
      </c>
      <c r="BV330" s="52">
        <v>-2344.0372535601869</v>
      </c>
      <c r="BW330" s="73">
        <v>1304.9606004347061</v>
      </c>
      <c r="BX330" s="40">
        <v>1176.681424599557</v>
      </c>
      <c r="BY330" s="52">
        <v>-128.27917583514909</v>
      </c>
      <c r="BZ330" s="73">
        <v>1888.389079542738</v>
      </c>
      <c r="CA330" s="40">
        <v>5585.8699677767409</v>
      </c>
      <c r="CB330" s="52">
        <v>3697.480888234003</v>
      </c>
      <c r="CC330" s="73">
        <v>0</v>
      </c>
      <c r="CD330" s="40">
        <v>0</v>
      </c>
      <c r="CE330" s="52">
        <v>0</v>
      </c>
      <c r="CF330" s="73">
        <v>0</v>
      </c>
      <c r="CG330" s="40">
        <v>0</v>
      </c>
      <c r="CH330" s="52">
        <v>0</v>
      </c>
      <c r="CI330" s="73">
        <v>738.18</v>
      </c>
      <c r="CJ330" s="40">
        <v>858.87617124560109</v>
      </c>
      <c r="CK330" s="52">
        <v>120.69617124560114</v>
      </c>
      <c r="CL330" s="73">
        <v>0</v>
      </c>
      <c r="CM330" s="40">
        <v>0</v>
      </c>
      <c r="CN330" s="52">
        <v>0</v>
      </c>
      <c r="CO330" s="39">
        <v>738.18</v>
      </c>
      <c r="CP330" s="40">
        <v>858.87617124560109</v>
      </c>
      <c r="CQ330" s="52">
        <v>120.69617124560114</v>
      </c>
      <c r="CR330" s="72">
        <v>18523.154879865095</v>
      </c>
      <c r="CS330" s="5">
        <v>14729.95829971809</v>
      </c>
      <c r="CT330" s="52">
        <v>-3793.1965801470051</v>
      </c>
      <c r="CU330" s="77">
        <v>22227.785855838112</v>
      </c>
      <c r="CV330" s="65">
        <v>17675.949959661706</v>
      </c>
      <c r="CW330" s="35">
        <v>-4551.8358961764061</v>
      </c>
      <c r="CX330" s="73">
        <v>1241.0446487752693</v>
      </c>
      <c r="CY330" s="40">
        <v>5792.8805449516767</v>
      </c>
      <c r="CZ330" s="52">
        <v>4551.8358961764079</v>
      </c>
      <c r="DA330" s="150">
        <v>-34424.110874543621</v>
      </c>
      <c r="DB330" s="2">
        <v>2</v>
      </c>
      <c r="DC330" s="648">
        <v>38198.76</v>
      </c>
      <c r="DD330" s="648">
        <v>1621.42</v>
      </c>
      <c r="DE330" s="649">
        <v>16351.349495386617</v>
      </c>
      <c r="DG330" s="321">
        <v>20319.661246878495</v>
      </c>
      <c r="DH330" s="5">
        <v>281625.96605536062</v>
      </c>
      <c r="DI330" s="306">
        <v>3.9389002883777064</v>
      </c>
      <c r="DJ330" s="306"/>
      <c r="DK330" s="306">
        <v>3.6168455715923318</v>
      </c>
      <c r="DL330" s="28">
        <v>10053.491540043724</v>
      </c>
      <c r="DM330" s="28">
        <v>1614.5598631588168</v>
      </c>
      <c r="DN330" s="650">
        <v>10053.48</v>
      </c>
      <c r="DO330" s="94">
        <v>1.1540043724380666E-2</v>
      </c>
      <c r="DP330" s="28">
        <v>11668.05140320254</v>
      </c>
      <c r="DQ330" s="318">
        <v>-1.536171112467855</v>
      </c>
      <c r="DS330" s="8">
        <v>11113.892927919056</v>
      </c>
      <c r="DT330" s="5">
        <v>555.69464639595287</v>
      </c>
      <c r="DW330" s="5">
        <v>5942.989052731441</v>
      </c>
      <c r="DX330" s="5">
        <v>513.6</v>
      </c>
    </row>
    <row r="331" spans="1:128" x14ac:dyDescent="0.3">
      <c r="A331" s="325">
        <v>150000811</v>
      </c>
      <c r="B331" s="41" t="s">
        <v>777</v>
      </c>
      <c r="C331" s="42" t="s">
        <v>302</v>
      </c>
      <c r="D331" s="42" t="s">
        <v>302</v>
      </c>
      <c r="E331" s="293">
        <v>2599.8000000000002</v>
      </c>
      <c r="F331" s="305">
        <v>2557.8000000000002</v>
      </c>
      <c r="G331" s="51"/>
      <c r="H331" s="651">
        <v>42</v>
      </c>
      <c r="I331" s="73">
        <v>1330.904161911021</v>
      </c>
      <c r="J331" s="40">
        <v>1477.3548768632768</v>
      </c>
      <c r="K331" s="52">
        <v>146.45071495225579</v>
      </c>
      <c r="L331" s="73">
        <v>240.34355164521298</v>
      </c>
      <c r="M331" s="40">
        <v>270.77615170735419</v>
      </c>
      <c r="N331" s="52">
        <v>30.432600062141205</v>
      </c>
      <c r="O331" s="73">
        <v>473.45893527610667</v>
      </c>
      <c r="P331" s="40">
        <v>473.60000000000008</v>
      </c>
      <c r="Q331" s="52">
        <v>0.14106472389340752</v>
      </c>
      <c r="R331" s="73">
        <v>0</v>
      </c>
      <c r="S331" s="40">
        <v>0</v>
      </c>
      <c r="T331" s="52">
        <v>0</v>
      </c>
      <c r="U331" s="73">
        <v>0</v>
      </c>
      <c r="V331" s="40">
        <v>0</v>
      </c>
      <c r="W331" s="52">
        <v>0</v>
      </c>
      <c r="X331" s="73">
        <v>586.05523361749056</v>
      </c>
      <c r="Y331" s="40">
        <v>611.24815365884479</v>
      </c>
      <c r="Z331" s="52">
        <v>25.192920041354228</v>
      </c>
      <c r="AA331" s="73">
        <v>207.98400000000001</v>
      </c>
      <c r="AB331" s="40">
        <v>0</v>
      </c>
      <c r="AC331" s="52">
        <v>-207.98400000000001</v>
      </c>
      <c r="AD331" s="73">
        <v>1871.2948881321108</v>
      </c>
      <c r="AE331" s="40">
        <v>2343.213111502685</v>
      </c>
      <c r="AF331" s="35">
        <v>471.9182233705742</v>
      </c>
      <c r="AG331" s="77">
        <v>4710.0407705819416</v>
      </c>
      <c r="AH331" s="53">
        <v>5176.1922937321606</v>
      </c>
      <c r="AI331" s="52">
        <v>466.15152315021896</v>
      </c>
      <c r="AJ331" s="73">
        <v>0</v>
      </c>
      <c r="AK331" s="40">
        <v>0</v>
      </c>
      <c r="AL331" s="52">
        <v>0</v>
      </c>
      <c r="AM331" s="73">
        <v>0</v>
      </c>
      <c r="AN331" s="40">
        <v>0</v>
      </c>
      <c r="AO331" s="52">
        <v>0</v>
      </c>
      <c r="AP331" s="73">
        <v>1115.7121249999998</v>
      </c>
      <c r="AQ331" s="40">
        <v>0</v>
      </c>
      <c r="AR331" s="52">
        <v>-1115.7121249999998</v>
      </c>
      <c r="AS331" s="73">
        <v>4524.2797212224123</v>
      </c>
      <c r="AT331" s="40">
        <v>1654</v>
      </c>
      <c r="AU331" s="54">
        <v>-2870.2797212224123</v>
      </c>
      <c r="AV331" s="73">
        <v>572.85687107744423</v>
      </c>
      <c r="AW331" s="40">
        <v>0</v>
      </c>
      <c r="AX331" s="55">
        <v>-572.85687107744423</v>
      </c>
      <c r="AY331" s="73">
        <v>665.14770582623021</v>
      </c>
      <c r="AZ331" s="40">
        <v>0</v>
      </c>
      <c r="BA331" s="35">
        <v>-665.14770582623021</v>
      </c>
      <c r="BB331" s="73">
        <v>178.38546035764341</v>
      </c>
      <c r="BC331" s="40">
        <v>0</v>
      </c>
      <c r="BD331" s="55">
        <v>-178.38546035764341</v>
      </c>
      <c r="BE331" s="73">
        <v>0</v>
      </c>
      <c r="BF331" s="40">
        <v>0</v>
      </c>
      <c r="BG331" s="38">
        <v>0</v>
      </c>
      <c r="BH331" s="73">
        <v>0</v>
      </c>
      <c r="BI331" s="40">
        <v>0</v>
      </c>
      <c r="BJ331" s="55">
        <v>0</v>
      </c>
      <c r="BK331" s="73">
        <v>353.46079268365298</v>
      </c>
      <c r="BL331" s="40">
        <v>828</v>
      </c>
      <c r="BM331" s="38">
        <v>474.53920731634702</v>
      </c>
      <c r="BN331" s="73">
        <v>51.996000000000002</v>
      </c>
      <c r="BO331" s="40">
        <v>0</v>
      </c>
      <c r="BP331" s="55">
        <v>-51.996000000000002</v>
      </c>
      <c r="BQ331" s="77">
        <v>1821.846829944971</v>
      </c>
      <c r="BR331" s="40">
        <v>828</v>
      </c>
      <c r="BS331" s="55">
        <v>-993.84682994497098</v>
      </c>
      <c r="BT331" s="73">
        <v>2960.1967294661399</v>
      </c>
      <c r="BU331" s="40">
        <v>596.82341265474849</v>
      </c>
      <c r="BV331" s="52">
        <v>-2363.3733168113913</v>
      </c>
      <c r="BW331" s="73">
        <v>1475.4474809316141</v>
      </c>
      <c r="BX331" s="40">
        <v>1316.9762415978078</v>
      </c>
      <c r="BY331" s="52">
        <v>-158.47123933380635</v>
      </c>
      <c r="BZ331" s="73">
        <v>1441.1589336873419</v>
      </c>
      <c r="CA331" s="40">
        <v>4272.0483903459826</v>
      </c>
      <c r="CB331" s="52">
        <v>2830.8894566586405</v>
      </c>
      <c r="CC331" s="73">
        <v>177.12856592750001</v>
      </c>
      <c r="CD331" s="40">
        <v>223.49470344275869</v>
      </c>
      <c r="CE331" s="52">
        <v>46.366137515258686</v>
      </c>
      <c r="CF331" s="73">
        <v>21.044978130000001</v>
      </c>
      <c r="CG331" s="40">
        <v>0</v>
      </c>
      <c r="CH331" s="52">
        <v>-21.044978130000001</v>
      </c>
      <c r="CI331" s="73">
        <v>520.14</v>
      </c>
      <c r="CJ331" s="40">
        <v>383.28433476436305</v>
      </c>
      <c r="CK331" s="52">
        <v>-136.85566523563693</v>
      </c>
      <c r="CL331" s="73">
        <v>0</v>
      </c>
      <c r="CM331" s="40">
        <v>0</v>
      </c>
      <c r="CN331" s="52">
        <v>0</v>
      </c>
      <c r="CO331" s="39">
        <v>520.14</v>
      </c>
      <c r="CP331" s="40">
        <v>383.28433476436305</v>
      </c>
      <c r="CQ331" s="52">
        <v>-136.85566523563693</v>
      </c>
      <c r="CR331" s="72">
        <v>18766.996134891921</v>
      </c>
      <c r="CS331" s="5">
        <v>14450.81937653782</v>
      </c>
      <c r="CT331" s="52">
        <v>-4316.1767583541005</v>
      </c>
      <c r="CU331" s="77">
        <v>22520.395361870305</v>
      </c>
      <c r="CV331" s="65">
        <v>17340.983251845384</v>
      </c>
      <c r="CW331" s="35">
        <v>-5179.4121100249213</v>
      </c>
      <c r="CX331" s="73">
        <v>1257.3819242914742</v>
      </c>
      <c r="CY331" s="40">
        <v>6436.7940343163937</v>
      </c>
      <c r="CZ331" s="52">
        <v>5179.4121100249195</v>
      </c>
      <c r="DA331" s="150">
        <v>94035.611723652648</v>
      </c>
      <c r="DB331" s="2">
        <v>2</v>
      </c>
      <c r="DC331" s="648">
        <v>23287.45</v>
      </c>
      <c r="DD331" s="648">
        <v>7136.71</v>
      </c>
      <c r="DE331" s="649">
        <v>6646.3827138382221</v>
      </c>
      <c r="DG331" s="321">
        <v>-23065.847281157294</v>
      </c>
      <c r="DH331" s="5">
        <v>285333.3274339413</v>
      </c>
      <c r="DI331" s="306">
        <v>4.5536082832466542</v>
      </c>
      <c r="DJ331" s="306"/>
      <c r="DK331" s="306">
        <v>4.1901975736575867</v>
      </c>
      <c r="DL331" s="28">
        <v>11647.219266888293</v>
      </c>
      <c r="DM331" s="28">
        <v>175.98829809361865</v>
      </c>
      <c r="DN331" s="650">
        <v>11647.23</v>
      </c>
      <c r="DO331" s="94">
        <v>-1.073311170694069E-2</v>
      </c>
      <c r="DP331" s="28">
        <v>11823.207564981911</v>
      </c>
      <c r="DQ331" s="318">
        <v>0</v>
      </c>
      <c r="DS331" s="8">
        <v>11260.197680935153</v>
      </c>
      <c r="DT331" s="5">
        <v>563.00988404675763</v>
      </c>
      <c r="DW331" s="5">
        <v>7615.351861400859</v>
      </c>
      <c r="DX331" s="5">
        <v>2978.4</v>
      </c>
    </row>
    <row r="332" spans="1:128" x14ac:dyDescent="0.3">
      <c r="A332" s="325">
        <v>150000812</v>
      </c>
      <c r="B332" s="41" t="s">
        <v>778</v>
      </c>
      <c r="C332" s="42" t="s">
        <v>303</v>
      </c>
      <c r="D332" s="42" t="s">
        <v>303</v>
      </c>
      <c r="E332" s="293">
        <v>2871.4</v>
      </c>
      <c r="F332" s="305">
        <v>2385.8000000000002</v>
      </c>
      <c r="G332" s="51"/>
      <c r="H332" s="651">
        <v>485.6</v>
      </c>
      <c r="I332" s="73">
        <v>832.5238775447865</v>
      </c>
      <c r="J332" s="40">
        <v>923.77453337443637</v>
      </c>
      <c r="K332" s="52">
        <v>91.250655829649872</v>
      </c>
      <c r="L332" s="73">
        <v>180.59284192580009</v>
      </c>
      <c r="M332" s="40">
        <v>203.45934102763619</v>
      </c>
      <c r="N332" s="52">
        <v>22.866499101836098</v>
      </c>
      <c r="O332" s="73">
        <v>556.2764674294034</v>
      </c>
      <c r="P332" s="40">
        <v>556.2166666666667</v>
      </c>
      <c r="Q332" s="52">
        <v>-5.9800762736699653E-2</v>
      </c>
      <c r="R332" s="73">
        <v>0</v>
      </c>
      <c r="S332" s="40">
        <v>0</v>
      </c>
      <c r="T332" s="52">
        <v>0</v>
      </c>
      <c r="U332" s="73">
        <v>0</v>
      </c>
      <c r="V332" s="40">
        <v>0</v>
      </c>
      <c r="W332" s="52">
        <v>0</v>
      </c>
      <c r="X332" s="73">
        <v>560.75996646489364</v>
      </c>
      <c r="Y332" s="40">
        <v>590.72176489729895</v>
      </c>
      <c r="Z332" s="52">
        <v>29.961798432405317</v>
      </c>
      <c r="AA332" s="73">
        <v>244.488</v>
      </c>
      <c r="AB332" s="40">
        <v>0</v>
      </c>
      <c r="AC332" s="52">
        <v>-244.488</v>
      </c>
      <c r="AD332" s="73">
        <v>2178.6789392995161</v>
      </c>
      <c r="AE332" s="40">
        <v>2588.0075884178818</v>
      </c>
      <c r="AF332" s="35">
        <v>409.32864911836577</v>
      </c>
      <c r="AG332" s="77">
        <v>4553.3200926643995</v>
      </c>
      <c r="AH332" s="53">
        <v>4862.1798943839203</v>
      </c>
      <c r="AI332" s="52">
        <v>308.85980171952087</v>
      </c>
      <c r="AJ332" s="73">
        <v>0</v>
      </c>
      <c r="AK332" s="40">
        <v>0</v>
      </c>
      <c r="AL332" s="52">
        <v>0</v>
      </c>
      <c r="AM332" s="73">
        <v>0</v>
      </c>
      <c r="AN332" s="40">
        <v>0</v>
      </c>
      <c r="AO332" s="52">
        <v>0</v>
      </c>
      <c r="AP332" s="73">
        <v>163.88991666666666</v>
      </c>
      <c r="AQ332" s="40">
        <v>0</v>
      </c>
      <c r="AR332" s="52">
        <v>-163.88991666666666</v>
      </c>
      <c r="AS332" s="73">
        <v>3027.9213218904956</v>
      </c>
      <c r="AT332" s="40">
        <v>6844</v>
      </c>
      <c r="AU332" s="54">
        <v>3816.0786781095044</v>
      </c>
      <c r="AV332" s="73">
        <v>423.69111987637382</v>
      </c>
      <c r="AW332" s="40">
        <v>0</v>
      </c>
      <c r="AX332" s="55">
        <v>-423.69111987637382</v>
      </c>
      <c r="AY332" s="73">
        <v>499.86556778951581</v>
      </c>
      <c r="AZ332" s="40">
        <v>0</v>
      </c>
      <c r="BA332" s="35">
        <v>-499.86556778951581</v>
      </c>
      <c r="BB332" s="73">
        <v>215.55420254467339</v>
      </c>
      <c r="BC332" s="40">
        <v>0</v>
      </c>
      <c r="BD332" s="55">
        <v>-215.55420254467339</v>
      </c>
      <c r="BE332" s="73">
        <v>0</v>
      </c>
      <c r="BF332" s="40">
        <v>0</v>
      </c>
      <c r="BG332" s="38">
        <v>0</v>
      </c>
      <c r="BH332" s="73">
        <v>0</v>
      </c>
      <c r="BI332" s="40">
        <v>0</v>
      </c>
      <c r="BJ332" s="55">
        <v>0</v>
      </c>
      <c r="BK332" s="73">
        <v>340.32143567157982</v>
      </c>
      <c r="BL332" s="40">
        <v>0</v>
      </c>
      <c r="BM332" s="38">
        <v>-340.32143567157982</v>
      </c>
      <c r="BN332" s="73">
        <v>61.122</v>
      </c>
      <c r="BO332" s="40">
        <v>0</v>
      </c>
      <c r="BP332" s="55">
        <v>-61.122</v>
      </c>
      <c r="BQ332" s="77">
        <v>1540.5543258821428</v>
      </c>
      <c r="BR332" s="40">
        <v>0</v>
      </c>
      <c r="BS332" s="55">
        <v>-1540.5543258821428</v>
      </c>
      <c r="BT332" s="73">
        <v>4169.6111385871</v>
      </c>
      <c r="BU332" s="40">
        <v>910.66555124017293</v>
      </c>
      <c r="BV332" s="52">
        <v>-3258.9455873469269</v>
      </c>
      <c r="BW332" s="73">
        <v>1252.2669608169699</v>
      </c>
      <c r="BX332" s="40">
        <v>1132.4801879526981</v>
      </c>
      <c r="BY332" s="52">
        <v>-119.78677286427182</v>
      </c>
      <c r="BZ332" s="73">
        <v>2364.0760219234398</v>
      </c>
      <c r="CA332" s="40">
        <v>6176.0827038173538</v>
      </c>
      <c r="CB332" s="52">
        <v>3812.006681893914</v>
      </c>
      <c r="CC332" s="73">
        <v>0</v>
      </c>
      <c r="CD332" s="40">
        <v>0</v>
      </c>
      <c r="CE332" s="52">
        <v>0</v>
      </c>
      <c r="CF332" s="73">
        <v>0</v>
      </c>
      <c r="CG332" s="40">
        <v>0</v>
      </c>
      <c r="CH332" s="52">
        <v>0</v>
      </c>
      <c r="CI332" s="73">
        <v>897.02</v>
      </c>
      <c r="CJ332" s="40">
        <v>1295.3414208168333</v>
      </c>
      <c r="CK332" s="52">
        <v>398.32142081683332</v>
      </c>
      <c r="CL332" s="73">
        <v>0</v>
      </c>
      <c r="CM332" s="40">
        <v>0</v>
      </c>
      <c r="CN332" s="52">
        <v>0</v>
      </c>
      <c r="CO332" s="39">
        <v>897.02</v>
      </c>
      <c r="CP332" s="40">
        <v>1295.3414208168333</v>
      </c>
      <c r="CQ332" s="52">
        <v>398.32142081683332</v>
      </c>
      <c r="CR332" s="72">
        <v>17968.659778431218</v>
      </c>
      <c r="CS332" s="5">
        <v>21220.749758210979</v>
      </c>
      <c r="CT332" s="52">
        <v>3252.0899797797611</v>
      </c>
      <c r="CU332" s="77">
        <v>21562.39173411746</v>
      </c>
      <c r="CV332" s="65">
        <v>25464.899709853173</v>
      </c>
      <c r="CW332" s="35">
        <v>3902.5079757357125</v>
      </c>
      <c r="CX332" s="73">
        <v>1203.8936783887589</v>
      </c>
      <c r="CY332" s="40">
        <v>-2698.6142973469541</v>
      </c>
      <c r="CZ332" s="52">
        <v>-3902.507975735713</v>
      </c>
      <c r="DA332" s="150">
        <v>72407.784563930793</v>
      </c>
      <c r="DB332" s="2">
        <v>2</v>
      </c>
      <c r="DC332" s="648">
        <v>35247.68</v>
      </c>
      <c r="DD332" s="648">
        <v>1699.99</v>
      </c>
      <c r="DE332" s="649">
        <v>14181.38458749378</v>
      </c>
      <c r="DG332" s="321">
        <v>29678.87265234864</v>
      </c>
      <c r="DH332" s="5">
        <v>273195.42495007464</v>
      </c>
      <c r="DI332" s="306">
        <v>3.7646066375295657</v>
      </c>
      <c r="DJ332" s="306"/>
      <c r="DK332" s="306">
        <v>3.4460022496308937</v>
      </c>
      <c r="DL332" s="28">
        <v>8981.5985158180392</v>
      </c>
      <c r="DM332" s="28">
        <v>1673.378692420762</v>
      </c>
      <c r="DN332" s="650">
        <v>8981.5499999999993</v>
      </c>
      <c r="DO332" s="94">
        <v>4.8515818039959413E-2</v>
      </c>
      <c r="DP332" s="28">
        <v>10654.977208238801</v>
      </c>
      <c r="DQ332" s="318">
        <v>-665.27845217286631</v>
      </c>
      <c r="DS332" s="8">
        <v>10781.19586705873</v>
      </c>
      <c r="DT332" s="5">
        <v>539.05979335293659</v>
      </c>
      <c r="DW332" s="5">
        <v>5482.1707773271664</v>
      </c>
      <c r="DX332" s="5">
        <v>8212.7999999999993</v>
      </c>
    </row>
    <row r="333" spans="1:128" x14ac:dyDescent="0.3">
      <c r="A333" s="325">
        <v>150000828</v>
      </c>
      <c r="B333" s="41" t="s">
        <v>779</v>
      </c>
      <c r="C333" s="42" t="s">
        <v>304</v>
      </c>
      <c r="D333" s="42" t="s">
        <v>304</v>
      </c>
      <c r="E333" s="293">
        <v>2595.52</v>
      </c>
      <c r="F333" s="305">
        <v>2595.52</v>
      </c>
      <c r="G333" s="51"/>
      <c r="H333" s="651">
        <v>0</v>
      </c>
      <c r="I333" s="73">
        <v>1330.904161911021</v>
      </c>
      <c r="J333" s="40">
        <v>1477.3329686248542</v>
      </c>
      <c r="K333" s="52">
        <v>146.42880671383318</v>
      </c>
      <c r="L333" s="73">
        <v>240.34355164521298</v>
      </c>
      <c r="M333" s="40">
        <v>270.77615170735419</v>
      </c>
      <c r="N333" s="52">
        <v>30.432600062141205</v>
      </c>
      <c r="O333" s="73">
        <v>472.88083693533997</v>
      </c>
      <c r="P333" s="40">
        <v>472.81666666666666</v>
      </c>
      <c r="Q333" s="52">
        <v>-6.4170268673308328E-2</v>
      </c>
      <c r="R333" s="73">
        <v>0</v>
      </c>
      <c r="S333" s="40">
        <v>0</v>
      </c>
      <c r="T333" s="52">
        <v>0</v>
      </c>
      <c r="U333" s="73">
        <v>0</v>
      </c>
      <c r="V333" s="40">
        <v>0</v>
      </c>
      <c r="W333" s="52">
        <v>0</v>
      </c>
      <c r="X333" s="73">
        <v>574.7554206095142</v>
      </c>
      <c r="Y333" s="40">
        <v>605.93260306568891</v>
      </c>
      <c r="Z333" s="52">
        <v>31.177182456174705</v>
      </c>
      <c r="AA333" s="73">
        <v>207.64160000000001</v>
      </c>
      <c r="AB333" s="40">
        <v>0</v>
      </c>
      <c r="AC333" s="52">
        <v>-207.64160000000001</v>
      </c>
      <c r="AD333" s="73">
        <v>1869.884938011563</v>
      </c>
      <c r="AE333" s="40">
        <v>2339.3555254894409</v>
      </c>
      <c r="AF333" s="35">
        <v>469.47058747787787</v>
      </c>
      <c r="AG333" s="77">
        <v>4696.4105091126512</v>
      </c>
      <c r="AH333" s="53">
        <v>5166.2139155540044</v>
      </c>
      <c r="AI333" s="52">
        <v>469.80340644135322</v>
      </c>
      <c r="AJ333" s="73">
        <v>0</v>
      </c>
      <c r="AK333" s="40">
        <v>0</v>
      </c>
      <c r="AL333" s="52">
        <v>0</v>
      </c>
      <c r="AM333" s="73">
        <v>0</v>
      </c>
      <c r="AN333" s="40">
        <v>0</v>
      </c>
      <c r="AO333" s="52">
        <v>0</v>
      </c>
      <c r="AP333" s="73">
        <v>1134.6224999999999</v>
      </c>
      <c r="AQ333" s="40">
        <v>0</v>
      </c>
      <c r="AR333" s="52">
        <v>-1134.6224999999999</v>
      </c>
      <c r="AS333" s="73">
        <v>4770.207252924416</v>
      </c>
      <c r="AT333" s="40">
        <v>0</v>
      </c>
      <c r="AU333" s="54">
        <v>-4770.207252924416</v>
      </c>
      <c r="AV333" s="73">
        <v>572.85687107744423</v>
      </c>
      <c r="AW333" s="40">
        <v>278</v>
      </c>
      <c r="AX333" s="55">
        <v>-294.85687107744423</v>
      </c>
      <c r="AY333" s="73">
        <v>665.14770582623021</v>
      </c>
      <c r="AZ333" s="40">
        <v>0</v>
      </c>
      <c r="BA333" s="35">
        <v>-665.14770582623021</v>
      </c>
      <c r="BB333" s="73">
        <v>178.15991551278341</v>
      </c>
      <c r="BC333" s="40">
        <v>0</v>
      </c>
      <c r="BD333" s="55">
        <v>-178.15991551278341</v>
      </c>
      <c r="BE333" s="73">
        <v>0</v>
      </c>
      <c r="BF333" s="40">
        <v>0</v>
      </c>
      <c r="BG333" s="38">
        <v>0</v>
      </c>
      <c r="BH333" s="73">
        <v>0</v>
      </c>
      <c r="BI333" s="40">
        <v>0</v>
      </c>
      <c r="BJ333" s="55">
        <v>0</v>
      </c>
      <c r="BK333" s="73">
        <v>353.46083737967581</v>
      </c>
      <c r="BL333" s="40">
        <v>0</v>
      </c>
      <c r="BM333" s="38">
        <v>-353.46083737967581</v>
      </c>
      <c r="BN333" s="73">
        <v>51.910400000000003</v>
      </c>
      <c r="BO333" s="40">
        <v>0</v>
      </c>
      <c r="BP333" s="55">
        <v>-51.910400000000003</v>
      </c>
      <c r="BQ333" s="77">
        <v>1821.5357297961339</v>
      </c>
      <c r="BR333" s="40">
        <v>278</v>
      </c>
      <c r="BS333" s="55">
        <v>-1543.5357297961339</v>
      </c>
      <c r="BT333" s="73">
        <v>2384.0206287677001</v>
      </c>
      <c r="BU333" s="40">
        <v>405.39483287795633</v>
      </c>
      <c r="BV333" s="52">
        <v>-1978.6257958897438</v>
      </c>
      <c r="BW333" s="73">
        <v>1503.7890661533379</v>
      </c>
      <c r="BX333" s="40">
        <v>1297.4490904912366</v>
      </c>
      <c r="BY333" s="52">
        <v>-206.33997566210132</v>
      </c>
      <c r="BZ333" s="73">
        <v>1246.5868394653139</v>
      </c>
      <c r="CA333" s="40">
        <v>3287.0064798652043</v>
      </c>
      <c r="CB333" s="52">
        <v>2040.4196403998903</v>
      </c>
      <c r="CC333" s="73">
        <v>213.86832325099999</v>
      </c>
      <c r="CD333" s="40">
        <v>269.85165961512126</v>
      </c>
      <c r="CE333" s="52">
        <v>55.983336364121271</v>
      </c>
      <c r="CF333" s="73">
        <v>25.410097812</v>
      </c>
      <c r="CG333" s="40">
        <v>0</v>
      </c>
      <c r="CH333" s="52">
        <v>-25.410097812</v>
      </c>
      <c r="CI333" s="73">
        <v>763.08</v>
      </c>
      <c r="CJ333" s="40">
        <v>851.1533689835079</v>
      </c>
      <c r="CK333" s="52">
        <v>88.073368983507862</v>
      </c>
      <c r="CL333" s="73">
        <v>0</v>
      </c>
      <c r="CM333" s="40">
        <v>0</v>
      </c>
      <c r="CN333" s="52">
        <v>0</v>
      </c>
      <c r="CO333" s="39">
        <v>763.08</v>
      </c>
      <c r="CP333" s="40">
        <v>851.1533689835079</v>
      </c>
      <c r="CQ333" s="52">
        <v>88.073368983507862</v>
      </c>
      <c r="CR333" s="72">
        <v>18559.530947282557</v>
      </c>
      <c r="CS333" s="5">
        <v>11555.069347387032</v>
      </c>
      <c r="CT333" s="52">
        <v>-7004.4615998955251</v>
      </c>
      <c r="CU333" s="77">
        <v>22271.437136739067</v>
      </c>
      <c r="CV333" s="65">
        <v>13866.083216864439</v>
      </c>
      <c r="CW333" s="35">
        <v>-8405.3539198746275</v>
      </c>
      <c r="CX333" s="73">
        <v>1243.4818320793404</v>
      </c>
      <c r="CY333" s="40">
        <v>9648.8357519539695</v>
      </c>
      <c r="CZ333" s="52">
        <v>8405.3539198746294</v>
      </c>
      <c r="DA333" s="150">
        <v>-7273.9761639481012</v>
      </c>
      <c r="DB333" s="2">
        <v>2</v>
      </c>
      <c r="DC333" s="648">
        <v>26248.37</v>
      </c>
      <c r="DD333" s="648"/>
      <c r="DE333" s="649">
        <v>2733.4510311815902</v>
      </c>
      <c r="DG333" s="321">
        <v>-55307.903528451796</v>
      </c>
      <c r="DH333" s="5">
        <v>282179.02762582089</v>
      </c>
      <c r="DI333" s="306">
        <v>4.5048793678291865</v>
      </c>
      <c r="DJ333" s="306"/>
      <c r="DK333" s="306"/>
      <c r="DL333" s="28">
        <v>11692.504496788009</v>
      </c>
      <c r="DM333" s="28">
        <v>0</v>
      </c>
      <c r="DN333" s="650">
        <v>11692.57</v>
      </c>
      <c r="DO333" s="94">
        <v>-6.5503211990289856E-2</v>
      </c>
      <c r="DP333" s="28">
        <v>11692.504496788009</v>
      </c>
      <c r="DQ333" s="318">
        <v>0</v>
      </c>
      <c r="DS333" s="8">
        <v>11135.718568369533</v>
      </c>
      <c r="DT333" s="5">
        <v>556.78592841847671</v>
      </c>
      <c r="DW333" s="5">
        <v>7910.0915792646592</v>
      </c>
      <c r="DX333" s="5">
        <v>333.59999999999997</v>
      </c>
    </row>
    <row r="334" spans="1:128" x14ac:dyDescent="0.3">
      <c r="A334" s="325">
        <v>150000813</v>
      </c>
      <c r="B334" s="41" t="s">
        <v>780</v>
      </c>
      <c r="C334" s="42" t="s">
        <v>189</v>
      </c>
      <c r="D334" s="42" t="s">
        <v>189</v>
      </c>
      <c r="E334" s="293">
        <v>373.3</v>
      </c>
      <c r="F334" s="305">
        <v>373.3</v>
      </c>
      <c r="G334" s="51"/>
      <c r="H334" s="651">
        <v>0</v>
      </c>
      <c r="I334" s="73">
        <v>277.6126581132965</v>
      </c>
      <c r="J334" s="40">
        <v>310.61382961449419</v>
      </c>
      <c r="K334" s="52">
        <v>33.001171501197689</v>
      </c>
      <c r="L334" s="73">
        <v>53.011498151951486</v>
      </c>
      <c r="M334" s="40">
        <v>59.723591253806134</v>
      </c>
      <c r="N334" s="52">
        <v>6.7120931018546486</v>
      </c>
      <c r="O334" s="73">
        <v>0</v>
      </c>
      <c r="P334" s="40">
        <v>0</v>
      </c>
      <c r="Q334" s="52">
        <v>0</v>
      </c>
      <c r="R334" s="73">
        <v>0</v>
      </c>
      <c r="S334" s="40">
        <v>0</v>
      </c>
      <c r="T334" s="52">
        <v>0</v>
      </c>
      <c r="U334" s="73">
        <v>0</v>
      </c>
      <c r="V334" s="40">
        <v>0</v>
      </c>
      <c r="W334" s="52">
        <v>0</v>
      </c>
      <c r="X334" s="73">
        <v>130.02381659404151</v>
      </c>
      <c r="Y334" s="40">
        <v>131.59262274171957</v>
      </c>
      <c r="Z334" s="52">
        <v>1.5688061476780604</v>
      </c>
      <c r="AA334" s="73">
        <v>29.864000000000001</v>
      </c>
      <c r="AB334" s="40">
        <v>0</v>
      </c>
      <c r="AC334" s="52">
        <v>-29.864000000000001</v>
      </c>
      <c r="AD334" s="73">
        <v>239.0655187190238</v>
      </c>
      <c r="AE334" s="40">
        <v>336.45720998690365</v>
      </c>
      <c r="AF334" s="35">
        <v>97.39169126787985</v>
      </c>
      <c r="AG334" s="77">
        <v>729.57749157831324</v>
      </c>
      <c r="AH334" s="53">
        <v>838.38725359692353</v>
      </c>
      <c r="AI334" s="52">
        <v>108.80976201861029</v>
      </c>
      <c r="AJ334" s="73">
        <v>0</v>
      </c>
      <c r="AK334" s="40">
        <v>0</v>
      </c>
      <c r="AL334" s="52">
        <v>0</v>
      </c>
      <c r="AM334" s="73">
        <v>0</v>
      </c>
      <c r="AN334" s="40">
        <v>0</v>
      </c>
      <c r="AO334" s="52">
        <v>0</v>
      </c>
      <c r="AP334" s="73">
        <v>50.427666666666667</v>
      </c>
      <c r="AQ334" s="40">
        <v>0</v>
      </c>
      <c r="AR334" s="52">
        <v>-50.427666666666667</v>
      </c>
      <c r="AS334" s="73">
        <v>490.58378992682071</v>
      </c>
      <c r="AT334" s="40">
        <v>74</v>
      </c>
      <c r="AU334" s="54">
        <v>-416.58378992682071</v>
      </c>
      <c r="AV334" s="73">
        <v>138.24654075413844</v>
      </c>
      <c r="AW334" s="40">
        <v>0</v>
      </c>
      <c r="AX334" s="55">
        <v>-138.24654075413844</v>
      </c>
      <c r="AY334" s="73">
        <v>146.74088388374975</v>
      </c>
      <c r="AZ334" s="40">
        <v>0</v>
      </c>
      <c r="BA334" s="35">
        <v>-146.74088388374975</v>
      </c>
      <c r="BB334" s="73">
        <v>0</v>
      </c>
      <c r="BC334" s="40">
        <v>0</v>
      </c>
      <c r="BD334" s="55">
        <v>0</v>
      </c>
      <c r="BE334" s="73">
        <v>0</v>
      </c>
      <c r="BF334" s="40">
        <v>0</v>
      </c>
      <c r="BG334" s="38">
        <v>0</v>
      </c>
      <c r="BH334" s="73">
        <v>0</v>
      </c>
      <c r="BI334" s="40">
        <v>0</v>
      </c>
      <c r="BJ334" s="55">
        <v>0</v>
      </c>
      <c r="BK334" s="73">
        <v>31.655666275395017</v>
      </c>
      <c r="BL334" s="40">
        <v>0</v>
      </c>
      <c r="BM334" s="38">
        <v>-31.655666275395017</v>
      </c>
      <c r="BN334" s="73">
        <v>7.4660000000000002</v>
      </c>
      <c r="BO334" s="40">
        <v>0</v>
      </c>
      <c r="BP334" s="55">
        <v>-7.4660000000000002</v>
      </c>
      <c r="BQ334" s="77">
        <v>324.10909091328318</v>
      </c>
      <c r="BR334" s="40">
        <v>0</v>
      </c>
      <c r="BS334" s="55">
        <v>-324.10909091328318</v>
      </c>
      <c r="BT334" s="73">
        <v>239.26809754172601</v>
      </c>
      <c r="BU334" s="40">
        <v>53.200854647842732</v>
      </c>
      <c r="BV334" s="52">
        <v>-186.06724289388328</v>
      </c>
      <c r="BW334" s="73">
        <v>251.83932374554399</v>
      </c>
      <c r="BX334" s="40">
        <v>187.31100294572275</v>
      </c>
      <c r="BY334" s="52">
        <v>-64.528320799821245</v>
      </c>
      <c r="BZ334" s="73">
        <v>38.840699434577203</v>
      </c>
      <c r="CA334" s="40">
        <v>196.28184711641421</v>
      </c>
      <c r="CB334" s="52">
        <v>157.44114768183701</v>
      </c>
      <c r="CC334" s="73">
        <v>0</v>
      </c>
      <c r="CD334" s="40">
        <v>0</v>
      </c>
      <c r="CE334" s="52">
        <v>0</v>
      </c>
      <c r="CF334" s="73">
        <v>0</v>
      </c>
      <c r="CG334" s="40">
        <v>0</v>
      </c>
      <c r="CH334" s="52">
        <v>0</v>
      </c>
      <c r="CI334" s="73">
        <v>137.04</v>
      </c>
      <c r="CJ334" s="40">
        <v>118.05977631701646</v>
      </c>
      <c r="CK334" s="52">
        <v>-18.980223682983535</v>
      </c>
      <c r="CL334" s="73">
        <v>0</v>
      </c>
      <c r="CM334" s="40">
        <v>0</v>
      </c>
      <c r="CN334" s="52">
        <v>0</v>
      </c>
      <c r="CO334" s="39">
        <v>137.04</v>
      </c>
      <c r="CP334" s="40">
        <v>118.05977631701646</v>
      </c>
      <c r="CQ334" s="52">
        <v>-18.980223682983535</v>
      </c>
      <c r="CR334" s="72">
        <v>2261.6861598069313</v>
      </c>
      <c r="CS334" s="5">
        <v>1467.2407346239197</v>
      </c>
      <c r="CT334" s="52">
        <v>-794.44542518301159</v>
      </c>
      <c r="CU334" s="77">
        <v>2714.0233917683177</v>
      </c>
      <c r="CV334" s="65">
        <v>1760.6888815487036</v>
      </c>
      <c r="CW334" s="35">
        <v>-953.334510219614</v>
      </c>
      <c r="CX334" s="73">
        <v>151.53215119356187</v>
      </c>
      <c r="CY334" s="40">
        <v>1104.8666614131757</v>
      </c>
      <c r="CZ334" s="52">
        <v>953.33451021961389</v>
      </c>
      <c r="DA334" s="150">
        <v>-2602.2722773284599</v>
      </c>
      <c r="DB334" s="2">
        <v>3</v>
      </c>
      <c r="DC334" s="648">
        <v>12380.53</v>
      </c>
      <c r="DD334" s="648"/>
      <c r="DE334" s="649">
        <v>9514.9744570381208</v>
      </c>
      <c r="DG334" s="321">
        <v>-1126.6484421175778</v>
      </c>
      <c r="DH334" s="5">
        <v>34386.666515542551</v>
      </c>
      <c r="DI334" s="306">
        <v>3.816936192548531</v>
      </c>
      <c r="DJ334" s="306"/>
      <c r="DK334" s="306"/>
      <c r="DL334" s="28">
        <v>1424.8622806783667</v>
      </c>
      <c r="DM334" s="28">
        <v>0</v>
      </c>
      <c r="DN334" s="650">
        <v>1424.85</v>
      </c>
      <c r="DO334" s="94">
        <v>1.2280678366778375E-2</v>
      </c>
      <c r="DP334" s="28">
        <v>1424.8622806783667</v>
      </c>
      <c r="DQ334" s="318">
        <v>0</v>
      </c>
      <c r="DS334" s="8">
        <v>1357.0116958841588</v>
      </c>
      <c r="DT334" s="5">
        <v>67.850584794207947</v>
      </c>
      <c r="DW334" s="5">
        <v>977.6314570081247</v>
      </c>
      <c r="DX334" s="5">
        <v>88.8</v>
      </c>
    </row>
    <row r="335" spans="1:128" x14ac:dyDescent="0.3">
      <c r="A335" s="325">
        <v>150000814</v>
      </c>
      <c r="B335" s="41" t="s">
        <v>781</v>
      </c>
      <c r="C335" s="42" t="s">
        <v>305</v>
      </c>
      <c r="D335" s="42" t="s">
        <v>305</v>
      </c>
      <c r="E335" s="293">
        <v>3608.6000000000004</v>
      </c>
      <c r="F335" s="305">
        <v>2559.3000000000002</v>
      </c>
      <c r="G335" s="51"/>
      <c r="H335" s="651">
        <v>1049.3</v>
      </c>
      <c r="I335" s="73">
        <v>1528.3123260781078</v>
      </c>
      <c r="J335" s="40">
        <v>1698.4095945478598</v>
      </c>
      <c r="K335" s="52">
        <v>170.09726846975195</v>
      </c>
      <c r="L335" s="73">
        <v>341.61372975212328</v>
      </c>
      <c r="M335" s="40">
        <v>384.86914103002857</v>
      </c>
      <c r="N335" s="52">
        <v>43.255411277905296</v>
      </c>
      <c r="O335" s="73">
        <v>510.99492204305665</v>
      </c>
      <c r="P335" s="40">
        <v>511.25</v>
      </c>
      <c r="Q335" s="52">
        <v>0.255077956943353</v>
      </c>
      <c r="R335" s="73">
        <v>0</v>
      </c>
      <c r="S335" s="40">
        <v>0</v>
      </c>
      <c r="T335" s="52">
        <v>0</v>
      </c>
      <c r="U335" s="73">
        <v>0</v>
      </c>
      <c r="V335" s="40">
        <v>0</v>
      </c>
      <c r="W335" s="52">
        <v>0</v>
      </c>
      <c r="X335" s="73">
        <v>745.42648948722706</v>
      </c>
      <c r="Y335" s="40">
        <v>788.64896734319086</v>
      </c>
      <c r="Z335" s="52">
        <v>43.222477855963803</v>
      </c>
      <c r="AA335" s="73">
        <v>258.59199999999998</v>
      </c>
      <c r="AB335" s="40">
        <v>0</v>
      </c>
      <c r="AC335" s="52">
        <v>-258.59199999999998</v>
      </c>
      <c r="AD335" s="73">
        <v>2301.8811080977357</v>
      </c>
      <c r="AE335" s="40">
        <v>3252.4497400448454</v>
      </c>
      <c r="AF335" s="35">
        <v>950.56863194710968</v>
      </c>
      <c r="AG335" s="77">
        <v>5686.8205754582505</v>
      </c>
      <c r="AH335" s="53">
        <v>6635.6274429659243</v>
      </c>
      <c r="AI335" s="52">
        <v>948.80686750767381</v>
      </c>
      <c r="AJ335" s="73">
        <v>0</v>
      </c>
      <c r="AK335" s="40">
        <v>0</v>
      </c>
      <c r="AL335" s="52">
        <v>0</v>
      </c>
      <c r="AM335" s="73">
        <v>0</v>
      </c>
      <c r="AN335" s="40">
        <v>0</v>
      </c>
      <c r="AO335" s="52">
        <v>0</v>
      </c>
      <c r="AP335" s="73">
        <v>1210.2639999999999</v>
      </c>
      <c r="AQ335" s="40">
        <v>0</v>
      </c>
      <c r="AR335" s="52">
        <v>-1210.2639999999999</v>
      </c>
      <c r="AS335" s="73">
        <v>2877.5931318249341</v>
      </c>
      <c r="AT335" s="40">
        <v>0</v>
      </c>
      <c r="AU335" s="54">
        <v>-2877.5931318249341</v>
      </c>
      <c r="AV335" s="73">
        <v>681.29014787958977</v>
      </c>
      <c r="AW335" s="40">
        <v>0</v>
      </c>
      <c r="AX335" s="55">
        <v>-681.29014787958977</v>
      </c>
      <c r="AY335" s="73">
        <v>945.46697954748697</v>
      </c>
      <c r="AZ335" s="40">
        <v>0</v>
      </c>
      <c r="BA335" s="35">
        <v>-945.46697954748697</v>
      </c>
      <c r="BB335" s="73">
        <v>177.85920632034001</v>
      </c>
      <c r="BC335" s="40">
        <v>0</v>
      </c>
      <c r="BD335" s="55">
        <v>-177.85920632034001</v>
      </c>
      <c r="BE335" s="73">
        <v>0</v>
      </c>
      <c r="BF335" s="40">
        <v>0</v>
      </c>
      <c r="BG335" s="38">
        <v>0</v>
      </c>
      <c r="BH335" s="73">
        <v>0</v>
      </c>
      <c r="BI335" s="40">
        <v>0</v>
      </c>
      <c r="BJ335" s="55">
        <v>0</v>
      </c>
      <c r="BK335" s="73">
        <v>468.11570512700206</v>
      </c>
      <c r="BL335" s="40">
        <v>0</v>
      </c>
      <c r="BM335" s="38">
        <v>-468.11570512700206</v>
      </c>
      <c r="BN335" s="73">
        <v>64.647999999999996</v>
      </c>
      <c r="BO335" s="40">
        <v>0</v>
      </c>
      <c r="BP335" s="55">
        <v>-64.647999999999996</v>
      </c>
      <c r="BQ335" s="77">
        <v>2337.3800388744189</v>
      </c>
      <c r="BR335" s="40">
        <v>0</v>
      </c>
      <c r="BS335" s="55">
        <v>-2337.3800388744189</v>
      </c>
      <c r="BT335" s="73">
        <v>3234.86292079548</v>
      </c>
      <c r="BU335" s="40">
        <v>568.85469509122686</v>
      </c>
      <c r="BV335" s="52">
        <v>-2666.0082257042532</v>
      </c>
      <c r="BW335" s="73">
        <v>1350.4984401453901</v>
      </c>
      <c r="BX335" s="40">
        <v>1100.1976322499174</v>
      </c>
      <c r="BY335" s="52">
        <v>-250.30080789547264</v>
      </c>
      <c r="BZ335" s="73">
        <v>1708.565550314346</v>
      </c>
      <c r="CA335" s="40">
        <v>4706.9798696590951</v>
      </c>
      <c r="CB335" s="52">
        <v>2998.4143193447489</v>
      </c>
      <c r="CC335" s="73">
        <v>4.7748696874999998</v>
      </c>
      <c r="CD335" s="40">
        <v>6.0247655661731363</v>
      </c>
      <c r="CE335" s="52">
        <v>1.2498958786731365</v>
      </c>
      <c r="CF335" s="73">
        <v>0.56731125000000004</v>
      </c>
      <c r="CG335" s="40">
        <v>0</v>
      </c>
      <c r="CH335" s="52">
        <v>-0.56731125000000004</v>
      </c>
      <c r="CI335" s="73">
        <v>1012.26</v>
      </c>
      <c r="CJ335" s="40">
        <v>1211.6354223898345</v>
      </c>
      <c r="CK335" s="52">
        <v>199.37542238983451</v>
      </c>
      <c r="CL335" s="73">
        <v>0</v>
      </c>
      <c r="CM335" s="40">
        <v>0</v>
      </c>
      <c r="CN335" s="52">
        <v>0</v>
      </c>
      <c r="CO335" s="39">
        <v>1012.26</v>
      </c>
      <c r="CP335" s="40">
        <v>1211.6354223898345</v>
      </c>
      <c r="CQ335" s="52">
        <v>199.37542238983451</v>
      </c>
      <c r="CR335" s="72">
        <v>19423.586838350318</v>
      </c>
      <c r="CS335" s="5">
        <v>14229.319827922171</v>
      </c>
      <c r="CT335" s="52">
        <v>-5194.2670104281478</v>
      </c>
      <c r="CU335" s="77">
        <v>23308.304206020381</v>
      </c>
      <c r="CV335" s="65">
        <v>17075.183793506603</v>
      </c>
      <c r="CW335" s="35">
        <v>-6233.1204125137774</v>
      </c>
      <c r="CX335" s="73">
        <v>1301.3732629293859</v>
      </c>
      <c r="CY335" s="40">
        <v>7534.4936754431619</v>
      </c>
      <c r="CZ335" s="52">
        <v>6233.1204125137756</v>
      </c>
      <c r="DA335" s="150">
        <v>-3369.4140534250728</v>
      </c>
      <c r="DB335" s="2">
        <v>2</v>
      </c>
      <c r="DC335" s="648">
        <v>26439.7</v>
      </c>
      <c r="DD335" s="648">
        <v>5968</v>
      </c>
      <c r="DE335" s="649">
        <v>7798.0225310502356</v>
      </c>
      <c r="DG335" s="321">
        <v>5108.9661389292196</v>
      </c>
      <c r="DH335" s="5">
        <v>295316.12962739717</v>
      </c>
      <c r="DI335" s="306">
        <v>3.8552524242493571</v>
      </c>
      <c r="DJ335" s="306"/>
      <c r="DK335" s="306">
        <v>3.522474226849742</v>
      </c>
      <c r="DL335" s="28">
        <v>9866.7475293813804</v>
      </c>
      <c r="DM335" s="28">
        <v>3696.1322062334343</v>
      </c>
      <c r="DN335" s="650">
        <v>9866.89</v>
      </c>
      <c r="DO335" s="94">
        <v>-0.14247061861897237</v>
      </c>
      <c r="DP335" s="28">
        <v>13562.879735614815</v>
      </c>
      <c r="DQ335" s="318">
        <v>1326.0200274541148</v>
      </c>
      <c r="DS335" s="8">
        <v>11654.15210301019</v>
      </c>
      <c r="DT335" s="5">
        <v>582.70760515050961</v>
      </c>
      <c r="DW335" s="5">
        <v>6257.9678048392243</v>
      </c>
      <c r="DX335" s="5">
        <v>0</v>
      </c>
    </row>
    <row r="336" spans="1:128" x14ac:dyDescent="0.3">
      <c r="A336" s="325">
        <v>150000816</v>
      </c>
      <c r="B336" s="41" t="s">
        <v>782</v>
      </c>
      <c r="C336" s="42" t="s">
        <v>230</v>
      </c>
      <c r="D336" s="42" t="s">
        <v>230</v>
      </c>
      <c r="E336" s="293">
        <v>2592.62</v>
      </c>
      <c r="F336" s="305">
        <v>2100.42</v>
      </c>
      <c r="G336" s="51"/>
      <c r="H336" s="651">
        <v>492.2</v>
      </c>
      <c r="I336" s="73">
        <v>1344.5615442562225</v>
      </c>
      <c r="J336" s="40">
        <v>1491.9885297636879</v>
      </c>
      <c r="K336" s="52">
        <v>147.42698550746536</v>
      </c>
      <c r="L336" s="73">
        <v>233.43100649156423</v>
      </c>
      <c r="M336" s="40">
        <v>262.98823434744463</v>
      </c>
      <c r="N336" s="52">
        <v>29.557227855880399</v>
      </c>
      <c r="O336" s="73">
        <v>459.90986347811003</v>
      </c>
      <c r="P336" s="40">
        <v>460.08333333333337</v>
      </c>
      <c r="Q336" s="52">
        <v>0.17346985522334535</v>
      </c>
      <c r="R336" s="73">
        <v>118.75200068151999</v>
      </c>
      <c r="S336" s="40">
        <v>118.7</v>
      </c>
      <c r="T336" s="52">
        <v>-5.2000681519984937E-2</v>
      </c>
      <c r="U336" s="73">
        <v>0</v>
      </c>
      <c r="V336" s="40">
        <v>0</v>
      </c>
      <c r="W336" s="52">
        <v>0</v>
      </c>
      <c r="X336" s="73">
        <v>663.41253999873675</v>
      </c>
      <c r="Y336" s="40">
        <v>705.66917637292909</v>
      </c>
      <c r="Z336" s="52">
        <v>42.25663637419234</v>
      </c>
      <c r="AA336" s="73">
        <v>195.78080000000003</v>
      </c>
      <c r="AB336" s="40">
        <v>0</v>
      </c>
      <c r="AC336" s="52">
        <v>-195.78080000000003</v>
      </c>
      <c r="AD336" s="73">
        <v>1749.3348181983799</v>
      </c>
      <c r="AE336" s="40">
        <v>2336.7417405739252</v>
      </c>
      <c r="AF336" s="35">
        <v>587.40692237554526</v>
      </c>
      <c r="AG336" s="77">
        <v>4765.1825731045328</v>
      </c>
      <c r="AH336" s="53">
        <v>5376.1710143913206</v>
      </c>
      <c r="AI336" s="52">
        <v>610.98844128678775</v>
      </c>
      <c r="AJ336" s="73">
        <v>0</v>
      </c>
      <c r="AK336" s="40">
        <v>0</v>
      </c>
      <c r="AL336" s="52">
        <v>0</v>
      </c>
      <c r="AM336" s="73">
        <v>0</v>
      </c>
      <c r="AN336" s="40">
        <v>0</v>
      </c>
      <c r="AO336" s="52">
        <v>0</v>
      </c>
      <c r="AP336" s="73">
        <v>334.08329166666664</v>
      </c>
      <c r="AQ336" s="40">
        <v>0</v>
      </c>
      <c r="AR336" s="52">
        <v>-334.08329166666664</v>
      </c>
      <c r="AS336" s="73">
        <v>2400.5791612849907</v>
      </c>
      <c r="AT336" s="40">
        <v>6439</v>
      </c>
      <c r="AU336" s="54">
        <v>4038.4208387150093</v>
      </c>
      <c r="AV336" s="73">
        <v>590.27083467268949</v>
      </c>
      <c r="AW336" s="40">
        <v>0</v>
      </c>
      <c r="AX336" s="55">
        <v>-590.27083467268949</v>
      </c>
      <c r="AY336" s="73">
        <v>646.0625484659015</v>
      </c>
      <c r="AZ336" s="40">
        <v>0</v>
      </c>
      <c r="BA336" s="35">
        <v>-646.0625484659015</v>
      </c>
      <c r="BB336" s="73">
        <v>164.91424593109321</v>
      </c>
      <c r="BC336" s="40">
        <v>0</v>
      </c>
      <c r="BD336" s="55">
        <v>-164.91424593109321</v>
      </c>
      <c r="BE336" s="73">
        <v>531.03978657057598</v>
      </c>
      <c r="BF336" s="40">
        <v>0</v>
      </c>
      <c r="BG336" s="38">
        <v>-531.03978657057598</v>
      </c>
      <c r="BH336" s="73">
        <v>0</v>
      </c>
      <c r="BI336" s="40">
        <v>0</v>
      </c>
      <c r="BJ336" s="55">
        <v>0</v>
      </c>
      <c r="BK336" s="73">
        <v>408.16640460668179</v>
      </c>
      <c r="BL336" s="40">
        <v>0</v>
      </c>
      <c r="BM336" s="38">
        <v>-408.16640460668179</v>
      </c>
      <c r="BN336" s="73">
        <v>48.945200000000007</v>
      </c>
      <c r="BO336" s="40">
        <v>0</v>
      </c>
      <c r="BP336" s="55">
        <v>-48.945200000000007</v>
      </c>
      <c r="BQ336" s="77">
        <v>2389.3990202469417</v>
      </c>
      <c r="BR336" s="40">
        <v>0</v>
      </c>
      <c r="BS336" s="55">
        <v>-2389.3990202469417</v>
      </c>
      <c r="BT336" s="73">
        <v>3596.9180378153401</v>
      </c>
      <c r="BU336" s="40">
        <v>923.28045532889416</v>
      </c>
      <c r="BV336" s="52">
        <v>-2673.6375824864458</v>
      </c>
      <c r="BW336" s="73">
        <v>1476.508352156914</v>
      </c>
      <c r="BX336" s="40">
        <v>1578.257439949185</v>
      </c>
      <c r="BY336" s="52">
        <v>101.74908779227098</v>
      </c>
      <c r="BZ336" s="73">
        <v>1446.4511483311339</v>
      </c>
      <c r="CA336" s="40">
        <v>5426.8367808413568</v>
      </c>
      <c r="CB336" s="52">
        <v>3980.3856325102229</v>
      </c>
      <c r="CC336" s="73">
        <v>0</v>
      </c>
      <c r="CD336" s="40">
        <v>0</v>
      </c>
      <c r="CE336" s="52">
        <v>0</v>
      </c>
      <c r="CF336" s="73">
        <v>0</v>
      </c>
      <c r="CG336" s="40">
        <v>0</v>
      </c>
      <c r="CH336" s="52">
        <v>0</v>
      </c>
      <c r="CI336" s="73">
        <v>485.88</v>
      </c>
      <c r="CJ336" s="40">
        <v>460.07300687140309</v>
      </c>
      <c r="CK336" s="52">
        <v>-25.806993128596901</v>
      </c>
      <c r="CL336" s="73">
        <v>0</v>
      </c>
      <c r="CM336" s="40">
        <v>0</v>
      </c>
      <c r="CN336" s="52">
        <v>0</v>
      </c>
      <c r="CO336" s="39">
        <v>485.88</v>
      </c>
      <c r="CP336" s="40">
        <v>460.07300687140309</v>
      </c>
      <c r="CQ336" s="52">
        <v>-25.806993128596901</v>
      </c>
      <c r="CR336" s="72">
        <v>16895.001584606522</v>
      </c>
      <c r="CS336" s="5">
        <v>20203.61869738216</v>
      </c>
      <c r="CT336" s="52">
        <v>3308.6171127756388</v>
      </c>
      <c r="CU336" s="77">
        <v>20274.001901527827</v>
      </c>
      <c r="CV336" s="65">
        <v>24244.342436858591</v>
      </c>
      <c r="CW336" s="35">
        <v>3970.3405353307644</v>
      </c>
      <c r="CX336" s="73">
        <v>1131.9589693879582</v>
      </c>
      <c r="CY336" s="40">
        <v>-2838.3815659428074</v>
      </c>
      <c r="CZ336" s="52">
        <v>-3970.3405353307653</v>
      </c>
      <c r="DA336" s="150">
        <v>106470.11691880463</v>
      </c>
      <c r="DB336" s="2">
        <v>2</v>
      </c>
      <c r="DC336" s="648">
        <v>11988.51</v>
      </c>
      <c r="DD336" s="648">
        <v>3996.21</v>
      </c>
      <c r="DE336" s="649">
        <v>-5421.2408709157826</v>
      </c>
      <c r="DG336" s="321">
        <v>-33061.310431170161</v>
      </c>
      <c r="DH336" s="5">
        <v>256871.5304509894</v>
      </c>
      <c r="DI336" s="306">
        <v>4.4118602468888408</v>
      </c>
      <c r="DJ336" s="306"/>
      <c r="DK336" s="306">
        <v>3.9691944200629492</v>
      </c>
      <c r="DL336" s="28">
        <v>9266.7594997702599</v>
      </c>
      <c r="DM336" s="28">
        <v>1953.6374935549836</v>
      </c>
      <c r="DN336" s="650">
        <v>9266.84</v>
      </c>
      <c r="DO336" s="94">
        <v>-8.0500229740209761E-2</v>
      </c>
      <c r="DP336" s="28">
        <v>11220.396993325243</v>
      </c>
      <c r="DQ336" s="318">
        <v>576.54599502313431</v>
      </c>
      <c r="DS336" s="8">
        <v>10137.000950763913</v>
      </c>
      <c r="DT336" s="5">
        <v>506.85004753819567</v>
      </c>
      <c r="DW336" s="5">
        <v>5747.9738178383195</v>
      </c>
      <c r="DX336" s="5">
        <v>7726.7999999999993</v>
      </c>
    </row>
    <row r="337" spans="1:128" x14ac:dyDescent="0.3">
      <c r="A337" s="325">
        <v>150000829</v>
      </c>
      <c r="B337" s="41" t="s">
        <v>783</v>
      </c>
      <c r="C337" s="42" t="s">
        <v>231</v>
      </c>
      <c r="D337" s="42" t="s">
        <v>231</v>
      </c>
      <c r="E337" s="293">
        <v>2581.1999999999998</v>
      </c>
      <c r="F337" s="305">
        <v>2581.1999999999998</v>
      </c>
      <c r="G337" s="51"/>
      <c r="H337" s="651">
        <v>0</v>
      </c>
      <c r="I337" s="73">
        <v>1416.2068733733092</v>
      </c>
      <c r="J337" s="40">
        <v>1572.2439003406134</v>
      </c>
      <c r="K337" s="52">
        <v>156.0370269673042</v>
      </c>
      <c r="L337" s="73">
        <v>234.33841561187026</v>
      </c>
      <c r="M337" s="40">
        <v>264.01039850093275</v>
      </c>
      <c r="N337" s="52">
        <v>29.671982889062491</v>
      </c>
      <c r="O337" s="73">
        <v>507.72769171622002</v>
      </c>
      <c r="P337" s="40">
        <v>507.86666666666673</v>
      </c>
      <c r="Q337" s="52">
        <v>0.13897495044670904</v>
      </c>
      <c r="R337" s="73">
        <v>0</v>
      </c>
      <c r="S337" s="40">
        <v>0</v>
      </c>
      <c r="T337" s="52">
        <v>0</v>
      </c>
      <c r="U337" s="73">
        <v>0</v>
      </c>
      <c r="V337" s="40">
        <v>0</v>
      </c>
      <c r="W337" s="52">
        <v>0</v>
      </c>
      <c r="X337" s="73">
        <v>661.34696393379875</v>
      </c>
      <c r="Y337" s="40">
        <v>692.27429888522147</v>
      </c>
      <c r="Z337" s="52">
        <v>30.927334951422722</v>
      </c>
      <c r="AA337" s="73">
        <v>206.59200000000001</v>
      </c>
      <c r="AB337" s="40">
        <v>0</v>
      </c>
      <c r="AC337" s="52">
        <v>-206.59200000000001</v>
      </c>
      <c r="AD337" s="73">
        <v>1860.4322138200723</v>
      </c>
      <c r="AE337" s="40">
        <v>2326.448835837653</v>
      </c>
      <c r="AF337" s="35">
        <v>466.01662201758063</v>
      </c>
      <c r="AG337" s="77">
        <v>4886.6441584552704</v>
      </c>
      <c r="AH337" s="53">
        <v>5362.8441002310874</v>
      </c>
      <c r="AI337" s="52">
        <v>476.19994177581702</v>
      </c>
      <c r="AJ337" s="73">
        <v>0</v>
      </c>
      <c r="AK337" s="40">
        <v>0</v>
      </c>
      <c r="AL337" s="52">
        <v>0</v>
      </c>
      <c r="AM337" s="73">
        <v>0</v>
      </c>
      <c r="AN337" s="40">
        <v>0</v>
      </c>
      <c r="AO337" s="52">
        <v>0</v>
      </c>
      <c r="AP337" s="73">
        <v>1210.2639999999999</v>
      </c>
      <c r="AQ337" s="40">
        <v>0</v>
      </c>
      <c r="AR337" s="52">
        <v>-1210.2639999999999</v>
      </c>
      <c r="AS337" s="73">
        <v>2211.9709181935691</v>
      </c>
      <c r="AT337" s="40">
        <v>885</v>
      </c>
      <c r="AU337" s="54">
        <v>-1326.9709181935691</v>
      </c>
      <c r="AV337" s="73">
        <v>599.38603406278344</v>
      </c>
      <c r="AW337" s="40">
        <v>0</v>
      </c>
      <c r="AX337" s="55">
        <v>-599.38603406278344</v>
      </c>
      <c r="AY337" s="73">
        <v>648.5947786901022</v>
      </c>
      <c r="AZ337" s="40">
        <v>0</v>
      </c>
      <c r="BA337" s="35">
        <v>-648.5947786901022</v>
      </c>
      <c r="BB337" s="73">
        <v>181.2971465206266</v>
      </c>
      <c r="BC337" s="40">
        <v>0</v>
      </c>
      <c r="BD337" s="55">
        <v>-181.2971465206266</v>
      </c>
      <c r="BE337" s="73">
        <v>0</v>
      </c>
      <c r="BF337" s="40">
        <v>0</v>
      </c>
      <c r="BG337" s="38">
        <v>0</v>
      </c>
      <c r="BH337" s="73">
        <v>0</v>
      </c>
      <c r="BI337" s="40">
        <v>0</v>
      </c>
      <c r="BJ337" s="55">
        <v>0</v>
      </c>
      <c r="BK337" s="73">
        <v>410.22044024795377</v>
      </c>
      <c r="BL337" s="40">
        <v>0</v>
      </c>
      <c r="BM337" s="38">
        <v>-410.22044024795377</v>
      </c>
      <c r="BN337" s="73">
        <v>51.648000000000003</v>
      </c>
      <c r="BO337" s="40">
        <v>0</v>
      </c>
      <c r="BP337" s="55">
        <v>-51.648000000000003</v>
      </c>
      <c r="BQ337" s="77">
        <v>1891.146399521466</v>
      </c>
      <c r="BR337" s="40">
        <v>0</v>
      </c>
      <c r="BS337" s="55">
        <v>-1891.146399521466</v>
      </c>
      <c r="BT337" s="73">
        <v>3653.0198602649998</v>
      </c>
      <c r="BU337" s="40">
        <v>581.72880986820371</v>
      </c>
      <c r="BV337" s="52">
        <v>-3071.291050396796</v>
      </c>
      <c r="BW337" s="73">
        <v>1418.6891438222319</v>
      </c>
      <c r="BX337" s="40">
        <v>1138.0074464115203</v>
      </c>
      <c r="BY337" s="52">
        <v>-280.68169741071165</v>
      </c>
      <c r="BZ337" s="73">
        <v>1416.455436995954</v>
      </c>
      <c r="CA337" s="40">
        <v>5517.1416152111979</v>
      </c>
      <c r="CB337" s="52">
        <v>4100.6861782152437</v>
      </c>
      <c r="CC337" s="73">
        <v>0</v>
      </c>
      <c r="CD337" s="40">
        <v>0</v>
      </c>
      <c r="CE337" s="52">
        <v>0</v>
      </c>
      <c r="CF337" s="73">
        <v>0</v>
      </c>
      <c r="CG337" s="40">
        <v>0</v>
      </c>
      <c r="CH337" s="52">
        <v>0</v>
      </c>
      <c r="CI337" s="73">
        <v>903.24</v>
      </c>
      <c r="CJ337" s="40">
        <v>966.18992697277088</v>
      </c>
      <c r="CK337" s="52">
        <v>62.949926972770868</v>
      </c>
      <c r="CL337" s="73">
        <v>0</v>
      </c>
      <c r="CM337" s="40">
        <v>0</v>
      </c>
      <c r="CN337" s="52">
        <v>0</v>
      </c>
      <c r="CO337" s="39">
        <v>903.24</v>
      </c>
      <c r="CP337" s="40">
        <v>966.18992697277088</v>
      </c>
      <c r="CQ337" s="52">
        <v>62.949926972770868</v>
      </c>
      <c r="CR337" s="72">
        <v>17591.429917253492</v>
      </c>
      <c r="CS337" s="5">
        <v>14450.911898694781</v>
      </c>
      <c r="CT337" s="52">
        <v>-3140.5180185587105</v>
      </c>
      <c r="CU337" s="77">
        <v>21109.715900704188</v>
      </c>
      <c r="CV337" s="65">
        <v>17341.094278433739</v>
      </c>
      <c r="CW337" s="35">
        <v>-3768.6216222704497</v>
      </c>
      <c r="CX337" s="73">
        <v>1178.6194147112603</v>
      </c>
      <c r="CY337" s="40">
        <v>4947.2410369817117</v>
      </c>
      <c r="CZ337" s="52">
        <v>3768.6216222704516</v>
      </c>
      <c r="DA337" s="150">
        <v>-126.52391462267315</v>
      </c>
      <c r="DB337" s="2">
        <v>2</v>
      </c>
      <c r="DC337" s="648">
        <v>24715.71</v>
      </c>
      <c r="DD337" s="648"/>
      <c r="DE337" s="649">
        <v>2427.374684584549</v>
      </c>
      <c r="DG337" s="321">
        <v>44893.347001396847</v>
      </c>
      <c r="DH337" s="5">
        <v>267460.02378498542</v>
      </c>
      <c r="DI337" s="306">
        <v>4.2915895476571011</v>
      </c>
      <c r="DJ337" s="306"/>
      <c r="DK337" s="306"/>
      <c r="DL337" s="28">
        <v>11077.450940412509</v>
      </c>
      <c r="DM337" s="28">
        <v>0</v>
      </c>
      <c r="DN337" s="650">
        <v>11077.47</v>
      </c>
      <c r="DO337" s="94">
        <v>-1.9059587490119156E-2</v>
      </c>
      <c r="DP337" s="28">
        <v>11077.450940412509</v>
      </c>
      <c r="DQ337" s="318">
        <v>-5.1499074571893289</v>
      </c>
      <c r="DS337" s="8">
        <v>10554.857950352094</v>
      </c>
      <c r="DT337" s="5">
        <v>527.74289751760477</v>
      </c>
      <c r="DW337" s="5">
        <v>4923.7407812580414</v>
      </c>
      <c r="DX337" s="5">
        <v>1062</v>
      </c>
    </row>
    <row r="338" spans="1:128" x14ac:dyDescent="0.3">
      <c r="A338" s="325">
        <v>150000797</v>
      </c>
      <c r="B338" s="41" t="s">
        <v>784</v>
      </c>
      <c r="C338" s="42" t="s">
        <v>232</v>
      </c>
      <c r="D338" s="42" t="s">
        <v>232</v>
      </c>
      <c r="E338" s="293">
        <v>5596.9</v>
      </c>
      <c r="F338" s="305">
        <v>3993</v>
      </c>
      <c r="G338" s="51"/>
      <c r="H338" s="651">
        <v>1603.9</v>
      </c>
      <c r="I338" s="73">
        <v>2432.3854896440757</v>
      </c>
      <c r="J338" s="40">
        <v>2690.0261439356864</v>
      </c>
      <c r="K338" s="52">
        <v>257.64065429161064</v>
      </c>
      <c r="L338" s="73">
        <v>574.39735782087519</v>
      </c>
      <c r="M338" s="40">
        <v>647.12725812498161</v>
      </c>
      <c r="N338" s="52">
        <v>72.729900304106422</v>
      </c>
      <c r="O338" s="73">
        <v>789.83523615250658</v>
      </c>
      <c r="P338" s="40">
        <v>789.84</v>
      </c>
      <c r="Q338" s="52">
        <v>4.7638474934501573E-3</v>
      </c>
      <c r="R338" s="73">
        <v>0</v>
      </c>
      <c r="S338" s="40">
        <v>0</v>
      </c>
      <c r="T338" s="52">
        <v>0</v>
      </c>
      <c r="U338" s="73">
        <v>0</v>
      </c>
      <c r="V338" s="40">
        <v>0</v>
      </c>
      <c r="W338" s="52">
        <v>0</v>
      </c>
      <c r="X338" s="73">
        <v>2269.6075237431555</v>
      </c>
      <c r="Y338" s="40">
        <v>2538.0021340907297</v>
      </c>
      <c r="Z338" s="52">
        <v>268.39461034757414</v>
      </c>
      <c r="AA338" s="73">
        <v>363.512</v>
      </c>
      <c r="AB338" s="40">
        <v>0</v>
      </c>
      <c r="AC338" s="52">
        <v>-363.512</v>
      </c>
      <c r="AD338" s="73">
        <v>3251.6577111340512</v>
      </c>
      <c r="AE338" s="40">
        <v>5044.5147564310237</v>
      </c>
      <c r="AF338" s="35">
        <v>1792.8570452969725</v>
      </c>
      <c r="AG338" s="77">
        <v>9681.395318494664</v>
      </c>
      <c r="AH338" s="53">
        <v>11709.510292582421</v>
      </c>
      <c r="AI338" s="52">
        <v>2028.1149740877572</v>
      </c>
      <c r="AJ338" s="73">
        <v>0</v>
      </c>
      <c r="AK338" s="40">
        <v>0</v>
      </c>
      <c r="AL338" s="52">
        <v>0</v>
      </c>
      <c r="AM338" s="73">
        <v>0</v>
      </c>
      <c r="AN338" s="40">
        <v>0</v>
      </c>
      <c r="AO338" s="52">
        <v>0</v>
      </c>
      <c r="AP338" s="73">
        <v>1399.3677499999999</v>
      </c>
      <c r="AQ338" s="40">
        <v>4126.9713014931694</v>
      </c>
      <c r="AR338" s="52">
        <v>2727.6035514931696</v>
      </c>
      <c r="AS338" s="73">
        <v>4871.2644646757981</v>
      </c>
      <c r="AT338" s="40">
        <v>2477</v>
      </c>
      <c r="AU338" s="54">
        <v>-2394.2644646757981</v>
      </c>
      <c r="AV338" s="73">
        <v>1219.3401951149119</v>
      </c>
      <c r="AW338" s="40">
        <v>142</v>
      </c>
      <c r="AX338" s="55">
        <v>-1077.3401951149119</v>
      </c>
      <c r="AY338" s="73">
        <v>1589.813182918447</v>
      </c>
      <c r="AZ338" s="40">
        <v>104</v>
      </c>
      <c r="BA338" s="35">
        <v>-1485.813182918447</v>
      </c>
      <c r="BB338" s="73">
        <v>280.69568335365</v>
      </c>
      <c r="BC338" s="40">
        <v>0</v>
      </c>
      <c r="BD338" s="55">
        <v>-280.69568335365</v>
      </c>
      <c r="BE338" s="73">
        <v>0</v>
      </c>
      <c r="BF338" s="40">
        <v>0</v>
      </c>
      <c r="BG338" s="38">
        <v>0</v>
      </c>
      <c r="BH338" s="73">
        <v>0</v>
      </c>
      <c r="BI338" s="40">
        <v>0</v>
      </c>
      <c r="BJ338" s="55">
        <v>0</v>
      </c>
      <c r="BK338" s="73">
        <v>2074.1975215003458</v>
      </c>
      <c r="BL338" s="40">
        <v>0</v>
      </c>
      <c r="BM338" s="38">
        <v>-2074.1975215003458</v>
      </c>
      <c r="BN338" s="73">
        <v>90.878</v>
      </c>
      <c r="BO338" s="40">
        <v>0</v>
      </c>
      <c r="BP338" s="55">
        <v>-90.878</v>
      </c>
      <c r="BQ338" s="77">
        <v>5254.9245828873545</v>
      </c>
      <c r="BR338" s="40">
        <v>246</v>
      </c>
      <c r="BS338" s="55">
        <v>-5008.9245828873545</v>
      </c>
      <c r="BT338" s="73">
        <v>2747.72392896376</v>
      </c>
      <c r="BU338" s="40">
        <v>922.29254681962573</v>
      </c>
      <c r="BV338" s="52">
        <v>-1825.4313821441342</v>
      </c>
      <c r="BW338" s="73">
        <v>4939.1639477352201</v>
      </c>
      <c r="BX338" s="40">
        <v>4528.7804025349396</v>
      </c>
      <c r="BY338" s="52">
        <v>-410.38354520028042</v>
      </c>
      <c r="BZ338" s="73">
        <v>2048.6023141488199</v>
      </c>
      <c r="CA338" s="40">
        <v>5486.9320153131621</v>
      </c>
      <c r="CB338" s="52">
        <v>3438.3297011643422</v>
      </c>
      <c r="CC338" s="73">
        <v>106.957081</v>
      </c>
      <c r="CD338" s="40">
        <v>134.95474868227825</v>
      </c>
      <c r="CE338" s="52">
        <v>27.997667682278248</v>
      </c>
      <c r="CF338" s="73">
        <v>12.707772</v>
      </c>
      <c r="CG338" s="40">
        <v>0</v>
      </c>
      <c r="CH338" s="52">
        <v>-12.707772</v>
      </c>
      <c r="CI338" s="73">
        <v>1146.2</v>
      </c>
      <c r="CJ338" s="40">
        <v>2822.9756554168775</v>
      </c>
      <c r="CK338" s="52">
        <v>1676.7756554168775</v>
      </c>
      <c r="CL338" s="73">
        <v>0</v>
      </c>
      <c r="CM338" s="40">
        <v>0</v>
      </c>
      <c r="CN338" s="52">
        <v>0</v>
      </c>
      <c r="CO338" s="39">
        <v>1146.2</v>
      </c>
      <c r="CP338" s="40">
        <v>2822.9756554168775</v>
      </c>
      <c r="CQ338" s="52">
        <v>1676.7756554168775</v>
      </c>
      <c r="CR338" s="72">
        <v>32208.307159905617</v>
      </c>
      <c r="CS338" s="5">
        <v>32455.416962842475</v>
      </c>
      <c r="CT338" s="52">
        <v>247.10980293685861</v>
      </c>
      <c r="CU338" s="77">
        <v>38649.96859188674</v>
      </c>
      <c r="CV338" s="65">
        <v>38946.500355410972</v>
      </c>
      <c r="CW338" s="35">
        <v>296.53176352423179</v>
      </c>
      <c r="CX338" s="73">
        <v>2157.9448806726264</v>
      </c>
      <c r="CY338" s="40">
        <v>1861.4131171483969</v>
      </c>
      <c r="CZ338" s="52">
        <v>-296.53176352422952</v>
      </c>
      <c r="DA338" s="150">
        <v>-79359.841650144343</v>
      </c>
      <c r="DB338" s="2">
        <v>2</v>
      </c>
      <c r="DC338" s="648">
        <v>44930.51</v>
      </c>
      <c r="DD338" s="648">
        <v>12721.779999999997</v>
      </c>
      <c r="DE338" s="649">
        <v>16844.376527440632</v>
      </c>
      <c r="DG338" s="321">
        <v>48351.041566588261</v>
      </c>
      <c r="DH338" s="5">
        <v>489694.96167071245</v>
      </c>
      <c r="DI338" s="306">
        <v>4.5600783469178188</v>
      </c>
      <c r="DJ338" s="306"/>
      <c r="DK338" s="306">
        <v>3.7807962815351019</v>
      </c>
      <c r="DL338" s="28">
        <v>18208.39283924285</v>
      </c>
      <c r="DM338" s="28">
        <v>6064.0191559541499</v>
      </c>
      <c r="DN338" s="650">
        <v>18208.52</v>
      </c>
      <c r="DO338" s="94">
        <v>-0.12716075715070474</v>
      </c>
      <c r="DP338" s="28">
        <v>24272.411995196999</v>
      </c>
      <c r="DQ338" s="318">
        <v>3981.1784844564609</v>
      </c>
      <c r="DS338" s="8">
        <v>19324.98429594337</v>
      </c>
      <c r="DT338" s="5">
        <v>966.24921479716841</v>
      </c>
      <c r="DW338" s="5">
        <v>12151.426857075781</v>
      </c>
      <c r="DX338" s="5">
        <v>3267.6</v>
      </c>
    </row>
    <row r="339" spans="1:128" x14ac:dyDescent="0.3">
      <c r="A339" s="325">
        <v>150000705</v>
      </c>
      <c r="B339" s="41" t="s">
        <v>785</v>
      </c>
      <c r="C339" s="42" t="s">
        <v>142</v>
      </c>
      <c r="D339" s="42" t="s">
        <v>142</v>
      </c>
      <c r="E339" s="293">
        <v>240.6</v>
      </c>
      <c r="F339" s="305">
        <v>240.6</v>
      </c>
      <c r="G339" s="51"/>
      <c r="H339" s="651">
        <v>0</v>
      </c>
      <c r="I339" s="73">
        <v>0</v>
      </c>
      <c r="J339" s="40">
        <v>0</v>
      </c>
      <c r="K339" s="52">
        <v>0</v>
      </c>
      <c r="L339" s="73">
        <v>0</v>
      </c>
      <c r="M339" s="40">
        <v>0</v>
      </c>
      <c r="N339" s="52">
        <v>0</v>
      </c>
      <c r="O339" s="73">
        <v>0</v>
      </c>
      <c r="P339" s="40">
        <v>0</v>
      </c>
      <c r="Q339" s="52">
        <v>0</v>
      </c>
      <c r="R339" s="73">
        <v>0</v>
      </c>
      <c r="S339" s="40">
        <v>0</v>
      </c>
      <c r="T339" s="52">
        <v>0</v>
      </c>
      <c r="U339" s="73">
        <v>0</v>
      </c>
      <c r="V339" s="40">
        <v>0</v>
      </c>
      <c r="W339" s="52">
        <v>0</v>
      </c>
      <c r="X339" s="73">
        <v>0</v>
      </c>
      <c r="Y339" s="40">
        <v>0</v>
      </c>
      <c r="Z339" s="52">
        <v>0</v>
      </c>
      <c r="AA339" s="73">
        <v>19.248000000000001</v>
      </c>
      <c r="AB339" s="40">
        <v>0</v>
      </c>
      <c r="AC339" s="52">
        <v>-19.248000000000001</v>
      </c>
      <c r="AD339" s="73">
        <v>144.52478062472642</v>
      </c>
      <c r="AE339" s="40">
        <v>216.85401747347714</v>
      </c>
      <c r="AF339" s="35">
        <v>72.329236848750725</v>
      </c>
      <c r="AG339" s="77">
        <v>163.77278062472641</v>
      </c>
      <c r="AH339" s="53">
        <v>216.85401747347714</v>
      </c>
      <c r="AI339" s="52">
        <v>53.081236848750734</v>
      </c>
      <c r="AJ339" s="73">
        <v>0</v>
      </c>
      <c r="AK339" s="40">
        <v>0</v>
      </c>
      <c r="AL339" s="52">
        <v>0</v>
      </c>
      <c r="AM339" s="73">
        <v>0</v>
      </c>
      <c r="AN339" s="40">
        <v>0</v>
      </c>
      <c r="AO339" s="52">
        <v>0</v>
      </c>
      <c r="AP339" s="73">
        <v>75.641499999999994</v>
      </c>
      <c r="AQ339" s="40">
        <v>0</v>
      </c>
      <c r="AR339" s="52">
        <v>-75.641499999999994</v>
      </c>
      <c r="AS339" s="73">
        <v>218.67942398534063</v>
      </c>
      <c r="AT339" s="40">
        <v>0</v>
      </c>
      <c r="AU339" s="54">
        <v>-218.67942398534063</v>
      </c>
      <c r="AV339" s="73">
        <v>0</v>
      </c>
      <c r="AW339" s="40">
        <v>0</v>
      </c>
      <c r="AX339" s="55">
        <v>0</v>
      </c>
      <c r="AY339" s="73">
        <v>0</v>
      </c>
      <c r="AZ339" s="40">
        <v>0</v>
      </c>
      <c r="BA339" s="35">
        <v>0</v>
      </c>
      <c r="BB339" s="73">
        <v>0</v>
      </c>
      <c r="BC339" s="40">
        <v>0</v>
      </c>
      <c r="BD339" s="55">
        <v>0</v>
      </c>
      <c r="BE339" s="73">
        <v>0</v>
      </c>
      <c r="BF339" s="40">
        <v>0</v>
      </c>
      <c r="BG339" s="38">
        <v>0</v>
      </c>
      <c r="BH339" s="73">
        <v>0</v>
      </c>
      <c r="BI339" s="40">
        <v>0</v>
      </c>
      <c r="BJ339" s="55">
        <v>0</v>
      </c>
      <c r="BK339" s="73">
        <v>0</v>
      </c>
      <c r="BL339" s="40">
        <v>0</v>
      </c>
      <c r="BM339" s="38">
        <v>0</v>
      </c>
      <c r="BN339" s="73">
        <v>4.8120000000000003</v>
      </c>
      <c r="BO339" s="40">
        <v>0</v>
      </c>
      <c r="BP339" s="55">
        <v>-4.8120000000000003</v>
      </c>
      <c r="BQ339" s="77">
        <v>4.8120000000000003</v>
      </c>
      <c r="BR339" s="40">
        <v>0</v>
      </c>
      <c r="BS339" s="55">
        <v>-4.8120000000000003</v>
      </c>
      <c r="BT339" s="73">
        <v>0</v>
      </c>
      <c r="BU339" s="40">
        <v>0</v>
      </c>
      <c r="BV339" s="52">
        <v>0</v>
      </c>
      <c r="BW339" s="73">
        <v>0</v>
      </c>
      <c r="BX339" s="40">
        <v>0.89330485560889883</v>
      </c>
      <c r="BY339" s="52">
        <v>0.89330485560889883</v>
      </c>
      <c r="BZ339" s="73">
        <v>0</v>
      </c>
      <c r="CA339" s="40">
        <v>0</v>
      </c>
      <c r="CB339" s="52">
        <v>0</v>
      </c>
      <c r="CC339" s="73">
        <v>0</v>
      </c>
      <c r="CD339" s="40">
        <v>0</v>
      </c>
      <c r="CE339" s="52">
        <v>0</v>
      </c>
      <c r="CF339" s="73">
        <v>0</v>
      </c>
      <c r="CG339" s="40">
        <v>0</v>
      </c>
      <c r="CH339" s="52">
        <v>0</v>
      </c>
      <c r="CI339" s="73">
        <v>0</v>
      </c>
      <c r="CJ339" s="40">
        <v>0</v>
      </c>
      <c r="CK339" s="52">
        <v>0</v>
      </c>
      <c r="CL339" s="73">
        <v>0</v>
      </c>
      <c r="CM339" s="40">
        <v>0</v>
      </c>
      <c r="CN339" s="52">
        <v>0</v>
      </c>
      <c r="CO339" s="39">
        <v>0</v>
      </c>
      <c r="CP339" s="40">
        <v>0</v>
      </c>
      <c r="CQ339" s="52">
        <v>0</v>
      </c>
      <c r="CR339" s="72">
        <v>462.90570461006706</v>
      </c>
      <c r="CS339" s="5">
        <v>217.74732232908605</v>
      </c>
      <c r="CT339" s="52">
        <v>-245.15838228098102</v>
      </c>
      <c r="CU339" s="77">
        <v>555.48684553208045</v>
      </c>
      <c r="CV339" s="65">
        <v>261.29678679490326</v>
      </c>
      <c r="CW339" s="35">
        <v>-294.1900587371772</v>
      </c>
      <c r="CX339" s="73">
        <v>31.014514067381878</v>
      </c>
      <c r="CY339" s="40">
        <v>325.20457280455912</v>
      </c>
      <c r="CZ339" s="52">
        <v>294.19005873717725</v>
      </c>
      <c r="DA339" s="150">
        <v>2729.5065575335066</v>
      </c>
      <c r="DB339" s="2">
        <v>3</v>
      </c>
      <c r="DC339" s="648">
        <v>3035.4</v>
      </c>
      <c r="DD339" s="648"/>
      <c r="DE339" s="649">
        <v>2448.8986404005377</v>
      </c>
      <c r="DG339" s="321">
        <v>-2568.0338416763848</v>
      </c>
      <c r="DH339" s="5">
        <v>7038.0163151935485</v>
      </c>
      <c r="DI339" s="306">
        <v>1.2120972315226195</v>
      </c>
      <c r="DJ339" s="306"/>
      <c r="DK339" s="306"/>
      <c r="DL339" s="28">
        <v>291.63059390434222</v>
      </c>
      <c r="DM339" s="28">
        <v>0</v>
      </c>
      <c r="DN339" s="650">
        <v>291.62</v>
      </c>
      <c r="DO339" s="94">
        <v>1.059390434221541E-2</v>
      </c>
      <c r="DP339" s="28">
        <v>291.63059390434222</v>
      </c>
      <c r="DQ339" s="318">
        <v>0</v>
      </c>
      <c r="DS339" s="8">
        <v>277.74342276604023</v>
      </c>
      <c r="DT339" s="5">
        <v>13.887171138302012</v>
      </c>
      <c r="DW339" s="5">
        <v>268.18970878240879</v>
      </c>
      <c r="DX339" s="5">
        <v>0</v>
      </c>
    </row>
    <row r="340" spans="1:128" x14ac:dyDescent="0.3">
      <c r="A340" s="325">
        <v>150000709</v>
      </c>
      <c r="B340" s="41" t="s">
        <v>786</v>
      </c>
      <c r="C340" s="42" t="s">
        <v>143</v>
      </c>
      <c r="D340" s="42" t="s">
        <v>143</v>
      </c>
      <c r="E340" s="293">
        <v>201.1</v>
      </c>
      <c r="F340" s="305">
        <v>201.1</v>
      </c>
      <c r="G340" s="51"/>
      <c r="H340" s="651">
        <v>0</v>
      </c>
      <c r="I340" s="73">
        <v>0</v>
      </c>
      <c r="J340" s="40">
        <v>0</v>
      </c>
      <c r="K340" s="52">
        <v>0</v>
      </c>
      <c r="L340" s="73">
        <v>0</v>
      </c>
      <c r="M340" s="40">
        <v>0</v>
      </c>
      <c r="N340" s="52">
        <v>0</v>
      </c>
      <c r="O340" s="73">
        <v>0</v>
      </c>
      <c r="P340" s="40">
        <v>0</v>
      </c>
      <c r="Q340" s="52">
        <v>0</v>
      </c>
      <c r="R340" s="73">
        <v>0</v>
      </c>
      <c r="S340" s="40">
        <v>0</v>
      </c>
      <c r="T340" s="52">
        <v>0</v>
      </c>
      <c r="U340" s="73">
        <v>0</v>
      </c>
      <c r="V340" s="40">
        <v>0</v>
      </c>
      <c r="W340" s="52">
        <v>0</v>
      </c>
      <c r="X340" s="73">
        <v>0</v>
      </c>
      <c r="Y340" s="40">
        <v>0</v>
      </c>
      <c r="Z340" s="52">
        <v>0</v>
      </c>
      <c r="AA340" s="73">
        <v>16.088000000000001</v>
      </c>
      <c r="AB340" s="40">
        <v>0</v>
      </c>
      <c r="AC340" s="52">
        <v>-16.088000000000001</v>
      </c>
      <c r="AD340" s="73">
        <v>120.80241333478924</v>
      </c>
      <c r="AE340" s="40">
        <v>181.25246431386643</v>
      </c>
      <c r="AF340" s="35">
        <v>60.45005097907719</v>
      </c>
      <c r="AG340" s="77">
        <v>136.89041333478923</v>
      </c>
      <c r="AH340" s="53">
        <v>181.25246431386643</v>
      </c>
      <c r="AI340" s="52">
        <v>44.362050979077196</v>
      </c>
      <c r="AJ340" s="73">
        <v>0</v>
      </c>
      <c r="AK340" s="40">
        <v>0</v>
      </c>
      <c r="AL340" s="52">
        <v>0</v>
      </c>
      <c r="AM340" s="73">
        <v>0</v>
      </c>
      <c r="AN340" s="40">
        <v>0</v>
      </c>
      <c r="AO340" s="52">
        <v>0</v>
      </c>
      <c r="AP340" s="73">
        <v>50.427666666666667</v>
      </c>
      <c r="AQ340" s="40">
        <v>0</v>
      </c>
      <c r="AR340" s="52">
        <v>-50.427666666666667</v>
      </c>
      <c r="AS340" s="73">
        <v>203.03328029850138</v>
      </c>
      <c r="AT340" s="40">
        <v>0</v>
      </c>
      <c r="AU340" s="54">
        <v>-203.03328029850138</v>
      </c>
      <c r="AV340" s="73">
        <v>0</v>
      </c>
      <c r="AW340" s="40">
        <v>0</v>
      </c>
      <c r="AX340" s="55">
        <v>0</v>
      </c>
      <c r="AY340" s="73">
        <v>0</v>
      </c>
      <c r="AZ340" s="40">
        <v>0</v>
      </c>
      <c r="BA340" s="35">
        <v>0</v>
      </c>
      <c r="BB340" s="73">
        <v>0</v>
      </c>
      <c r="BC340" s="40">
        <v>0</v>
      </c>
      <c r="BD340" s="55">
        <v>0</v>
      </c>
      <c r="BE340" s="73">
        <v>0</v>
      </c>
      <c r="BF340" s="40">
        <v>0</v>
      </c>
      <c r="BG340" s="38">
        <v>0</v>
      </c>
      <c r="BH340" s="73">
        <v>0</v>
      </c>
      <c r="BI340" s="40">
        <v>0</v>
      </c>
      <c r="BJ340" s="55">
        <v>0</v>
      </c>
      <c r="BK340" s="73">
        <v>0</v>
      </c>
      <c r="BL340" s="40">
        <v>0</v>
      </c>
      <c r="BM340" s="38">
        <v>0</v>
      </c>
      <c r="BN340" s="73">
        <v>4.0220000000000002</v>
      </c>
      <c r="BO340" s="40">
        <v>0</v>
      </c>
      <c r="BP340" s="55">
        <v>-4.0220000000000002</v>
      </c>
      <c r="BQ340" s="77">
        <v>4.0220000000000002</v>
      </c>
      <c r="BR340" s="40">
        <v>0</v>
      </c>
      <c r="BS340" s="55">
        <v>-4.0220000000000002</v>
      </c>
      <c r="BT340" s="73">
        <v>0</v>
      </c>
      <c r="BU340" s="40">
        <v>0</v>
      </c>
      <c r="BV340" s="52">
        <v>0</v>
      </c>
      <c r="BW340" s="73">
        <v>0</v>
      </c>
      <c r="BX340" s="40">
        <v>0.74664840591417103</v>
      </c>
      <c r="BY340" s="52">
        <v>0.74664840591417103</v>
      </c>
      <c r="BZ340" s="73">
        <v>0</v>
      </c>
      <c r="CA340" s="40">
        <v>0</v>
      </c>
      <c r="CB340" s="52">
        <v>0</v>
      </c>
      <c r="CC340" s="73">
        <v>0</v>
      </c>
      <c r="CD340" s="40">
        <v>0</v>
      </c>
      <c r="CE340" s="52">
        <v>0</v>
      </c>
      <c r="CF340" s="73">
        <v>0</v>
      </c>
      <c r="CG340" s="40">
        <v>0</v>
      </c>
      <c r="CH340" s="52">
        <v>0</v>
      </c>
      <c r="CI340" s="73">
        <v>0</v>
      </c>
      <c r="CJ340" s="40">
        <v>0</v>
      </c>
      <c r="CK340" s="52">
        <v>0</v>
      </c>
      <c r="CL340" s="73">
        <v>0</v>
      </c>
      <c r="CM340" s="40">
        <v>0</v>
      </c>
      <c r="CN340" s="52">
        <v>0</v>
      </c>
      <c r="CO340" s="39">
        <v>0</v>
      </c>
      <c r="CP340" s="40">
        <v>0</v>
      </c>
      <c r="CQ340" s="52">
        <v>0</v>
      </c>
      <c r="CR340" s="72">
        <v>394.37336029995726</v>
      </c>
      <c r="CS340" s="5">
        <v>181.99911271978058</v>
      </c>
      <c r="CT340" s="52">
        <v>-212.37424758017667</v>
      </c>
      <c r="CU340" s="77">
        <v>473.2480323599487</v>
      </c>
      <c r="CV340" s="65">
        <v>218.39893526373669</v>
      </c>
      <c r="CW340" s="35">
        <v>-254.84909709621201</v>
      </c>
      <c r="CX340" s="73">
        <v>26.422871891645478</v>
      </c>
      <c r="CY340" s="40">
        <v>281.27196898785746</v>
      </c>
      <c r="CZ340" s="52">
        <v>254.84909709621198</v>
      </c>
      <c r="DA340" s="150">
        <v>-2486.3489553289846</v>
      </c>
      <c r="DB340" s="2">
        <v>3</v>
      </c>
      <c r="DC340" s="648">
        <v>248.46</v>
      </c>
      <c r="DD340" s="648"/>
      <c r="DE340" s="649">
        <v>-251.21090425159414</v>
      </c>
      <c r="DG340" s="321">
        <v>-2932.2139368340559</v>
      </c>
      <c r="DH340" s="5">
        <v>5996.0508510191303</v>
      </c>
      <c r="DI340" s="306">
        <v>1.2354809397760969</v>
      </c>
      <c r="DJ340" s="306"/>
      <c r="DK340" s="306"/>
      <c r="DL340" s="28">
        <v>248.45521698897306</v>
      </c>
      <c r="DM340" s="28">
        <v>0</v>
      </c>
      <c r="DN340" s="650">
        <v>248.46</v>
      </c>
      <c r="DO340" s="94">
        <v>-4.7830110269444504E-3</v>
      </c>
      <c r="DP340" s="28">
        <v>248.45521698897306</v>
      </c>
      <c r="DQ340" s="318">
        <v>0</v>
      </c>
      <c r="DS340" s="8">
        <v>236.62401617997435</v>
      </c>
      <c r="DT340" s="5">
        <v>11.831200808998718</v>
      </c>
      <c r="DW340" s="5">
        <v>248.46633635820163</v>
      </c>
      <c r="DX340" s="5">
        <v>0</v>
      </c>
    </row>
    <row r="341" spans="1:128" x14ac:dyDescent="0.3">
      <c r="A341" s="325">
        <v>150000706</v>
      </c>
      <c r="B341" s="41" t="s">
        <v>787</v>
      </c>
      <c r="C341" s="42" t="s">
        <v>144</v>
      </c>
      <c r="D341" s="42" t="s">
        <v>144</v>
      </c>
      <c r="E341" s="293">
        <v>243.32</v>
      </c>
      <c r="F341" s="305">
        <v>243.32</v>
      </c>
      <c r="G341" s="51"/>
      <c r="H341" s="651">
        <v>0</v>
      </c>
      <c r="I341" s="73">
        <v>0</v>
      </c>
      <c r="J341" s="40">
        <v>0</v>
      </c>
      <c r="K341" s="52">
        <v>0</v>
      </c>
      <c r="L341" s="73">
        <v>0</v>
      </c>
      <c r="M341" s="40">
        <v>0</v>
      </c>
      <c r="N341" s="52">
        <v>0</v>
      </c>
      <c r="O341" s="73">
        <v>0</v>
      </c>
      <c r="P341" s="40">
        <v>0</v>
      </c>
      <c r="Q341" s="52">
        <v>0</v>
      </c>
      <c r="R341" s="73">
        <v>0</v>
      </c>
      <c r="S341" s="40">
        <v>0</v>
      </c>
      <c r="T341" s="52">
        <v>0</v>
      </c>
      <c r="U341" s="73">
        <v>0</v>
      </c>
      <c r="V341" s="40">
        <v>0</v>
      </c>
      <c r="W341" s="52">
        <v>0</v>
      </c>
      <c r="X341" s="73">
        <v>0</v>
      </c>
      <c r="Y341" s="40">
        <v>0</v>
      </c>
      <c r="Z341" s="52">
        <v>0</v>
      </c>
      <c r="AA341" s="73">
        <v>19.465599999999998</v>
      </c>
      <c r="AB341" s="40">
        <v>0</v>
      </c>
      <c r="AC341" s="52">
        <v>-19.465599999999998</v>
      </c>
      <c r="AD341" s="73">
        <v>146.18741709308892</v>
      </c>
      <c r="AE341" s="40">
        <v>219.30556746320224</v>
      </c>
      <c r="AF341" s="35">
        <v>73.118150370113312</v>
      </c>
      <c r="AG341" s="77">
        <v>165.65301709308892</v>
      </c>
      <c r="AH341" s="53">
        <v>219.30556746320224</v>
      </c>
      <c r="AI341" s="52">
        <v>53.652550370113318</v>
      </c>
      <c r="AJ341" s="73">
        <v>0</v>
      </c>
      <c r="AK341" s="40">
        <v>0</v>
      </c>
      <c r="AL341" s="52">
        <v>0</v>
      </c>
      <c r="AM341" s="73">
        <v>0</v>
      </c>
      <c r="AN341" s="40">
        <v>0</v>
      </c>
      <c r="AO341" s="52">
        <v>0</v>
      </c>
      <c r="AP341" s="73">
        <v>75.641499999999994</v>
      </c>
      <c r="AQ341" s="40">
        <v>0</v>
      </c>
      <c r="AR341" s="52">
        <v>-75.641499999999994</v>
      </c>
      <c r="AS341" s="73">
        <v>226.28646716756555</v>
      </c>
      <c r="AT341" s="40">
        <v>0</v>
      </c>
      <c r="AU341" s="54">
        <v>-226.28646716756555</v>
      </c>
      <c r="AV341" s="73">
        <v>0</v>
      </c>
      <c r="AW341" s="40">
        <v>0</v>
      </c>
      <c r="AX341" s="55">
        <v>0</v>
      </c>
      <c r="AY341" s="73">
        <v>0</v>
      </c>
      <c r="AZ341" s="40">
        <v>0</v>
      </c>
      <c r="BA341" s="35">
        <v>0</v>
      </c>
      <c r="BB341" s="73">
        <v>0</v>
      </c>
      <c r="BC341" s="40">
        <v>0</v>
      </c>
      <c r="BD341" s="55">
        <v>0</v>
      </c>
      <c r="BE341" s="73">
        <v>0</v>
      </c>
      <c r="BF341" s="40">
        <v>0</v>
      </c>
      <c r="BG341" s="38">
        <v>0</v>
      </c>
      <c r="BH341" s="73">
        <v>0</v>
      </c>
      <c r="BI341" s="40">
        <v>0</v>
      </c>
      <c r="BJ341" s="55">
        <v>0</v>
      </c>
      <c r="BK341" s="73">
        <v>0</v>
      </c>
      <c r="BL341" s="40">
        <v>0</v>
      </c>
      <c r="BM341" s="38">
        <v>0</v>
      </c>
      <c r="BN341" s="73">
        <v>4.8663999999999996</v>
      </c>
      <c r="BO341" s="40">
        <v>0</v>
      </c>
      <c r="BP341" s="55">
        <v>-4.8663999999999996</v>
      </c>
      <c r="BQ341" s="77">
        <v>4.8663999999999996</v>
      </c>
      <c r="BR341" s="40">
        <v>0</v>
      </c>
      <c r="BS341" s="55">
        <v>-4.8663999999999996</v>
      </c>
      <c r="BT341" s="73">
        <v>0</v>
      </c>
      <c r="BU341" s="40">
        <v>0</v>
      </c>
      <c r="BV341" s="52">
        <v>0</v>
      </c>
      <c r="BW341" s="73">
        <v>0</v>
      </c>
      <c r="BX341" s="40">
        <v>0.90340373011952313</v>
      </c>
      <c r="BY341" s="52">
        <v>0.90340373011952313</v>
      </c>
      <c r="BZ341" s="73">
        <v>0</v>
      </c>
      <c r="CA341" s="40">
        <v>0</v>
      </c>
      <c r="CB341" s="52">
        <v>0</v>
      </c>
      <c r="CC341" s="73">
        <v>0</v>
      </c>
      <c r="CD341" s="40">
        <v>0</v>
      </c>
      <c r="CE341" s="52">
        <v>0</v>
      </c>
      <c r="CF341" s="73">
        <v>0</v>
      </c>
      <c r="CG341" s="40">
        <v>0</v>
      </c>
      <c r="CH341" s="52">
        <v>0</v>
      </c>
      <c r="CI341" s="73">
        <v>0</v>
      </c>
      <c r="CJ341" s="40">
        <v>0</v>
      </c>
      <c r="CK341" s="52">
        <v>0</v>
      </c>
      <c r="CL341" s="73">
        <v>0</v>
      </c>
      <c r="CM341" s="40">
        <v>0</v>
      </c>
      <c r="CN341" s="52">
        <v>0</v>
      </c>
      <c r="CO341" s="39">
        <v>0</v>
      </c>
      <c r="CP341" s="40">
        <v>0</v>
      </c>
      <c r="CQ341" s="52">
        <v>0</v>
      </c>
      <c r="CR341" s="72">
        <v>472.44738426065447</v>
      </c>
      <c r="CS341" s="5">
        <v>220.20897119332176</v>
      </c>
      <c r="CT341" s="52">
        <v>-252.23841306733271</v>
      </c>
      <c r="CU341" s="77">
        <v>566.93686111278532</v>
      </c>
      <c r="CV341" s="65">
        <v>264.25076543198611</v>
      </c>
      <c r="CW341" s="35">
        <v>-302.68609568079921</v>
      </c>
      <c r="CX341" s="73">
        <v>31.653803138141708</v>
      </c>
      <c r="CY341" s="40">
        <v>334.33989881894092</v>
      </c>
      <c r="CZ341" s="52">
        <v>302.68609568079921</v>
      </c>
      <c r="DA341" s="150">
        <v>-2281.2312228692704</v>
      </c>
      <c r="DB341" s="2">
        <v>3</v>
      </c>
      <c r="DC341" s="648">
        <v>252.83</v>
      </c>
      <c r="DD341" s="648"/>
      <c r="DE341" s="649">
        <v>-345.76066425092699</v>
      </c>
      <c r="DG341" s="321">
        <v>2151.0544705569459</v>
      </c>
      <c r="DH341" s="5">
        <v>7183.087971011124</v>
      </c>
      <c r="DI341" s="306">
        <v>1.2232527210431214</v>
      </c>
      <c r="DJ341" s="306"/>
      <c r="DK341" s="306"/>
      <c r="DL341" s="28">
        <v>297.6418520842123</v>
      </c>
      <c r="DM341" s="28">
        <v>0</v>
      </c>
      <c r="DN341" s="650">
        <v>297.66000000000003</v>
      </c>
      <c r="DO341" s="94">
        <v>-1.8147915787722013E-2</v>
      </c>
      <c r="DP341" s="28">
        <v>297.6418520842123</v>
      </c>
      <c r="DQ341" s="318">
        <v>0</v>
      </c>
      <c r="DS341" s="8">
        <v>283.46843055639266</v>
      </c>
      <c r="DT341" s="5">
        <v>14.173421527819636</v>
      </c>
      <c r="DW341" s="5">
        <v>277.38344060107863</v>
      </c>
      <c r="DX341" s="5">
        <v>0</v>
      </c>
    </row>
    <row r="342" spans="1:128" x14ac:dyDescent="0.3">
      <c r="A342" s="325">
        <v>150000707</v>
      </c>
      <c r="B342" s="41" t="s">
        <v>788</v>
      </c>
      <c r="C342" s="42" t="s">
        <v>145</v>
      </c>
      <c r="D342" s="42" t="s">
        <v>145</v>
      </c>
      <c r="E342" s="293">
        <v>326.10000000000002</v>
      </c>
      <c r="F342" s="305">
        <v>326.10000000000002</v>
      </c>
      <c r="G342" s="51"/>
      <c r="H342" s="651">
        <v>0</v>
      </c>
      <c r="I342" s="73">
        <v>0</v>
      </c>
      <c r="J342" s="40">
        <v>0</v>
      </c>
      <c r="K342" s="52">
        <v>0</v>
      </c>
      <c r="L342" s="73">
        <v>0</v>
      </c>
      <c r="M342" s="40">
        <v>0</v>
      </c>
      <c r="N342" s="52">
        <v>0</v>
      </c>
      <c r="O342" s="73">
        <v>0</v>
      </c>
      <c r="P342" s="40">
        <v>0</v>
      </c>
      <c r="Q342" s="52">
        <v>0</v>
      </c>
      <c r="R342" s="73">
        <v>0</v>
      </c>
      <c r="S342" s="40">
        <v>0</v>
      </c>
      <c r="T342" s="52">
        <v>0</v>
      </c>
      <c r="U342" s="73">
        <v>0</v>
      </c>
      <c r="V342" s="40">
        <v>0</v>
      </c>
      <c r="W342" s="52">
        <v>0</v>
      </c>
      <c r="X342" s="73">
        <v>0</v>
      </c>
      <c r="Y342" s="40">
        <v>0</v>
      </c>
      <c r="Z342" s="52">
        <v>0</v>
      </c>
      <c r="AA342" s="73">
        <v>26.088000000000001</v>
      </c>
      <c r="AB342" s="40">
        <v>0</v>
      </c>
      <c r="AC342" s="52">
        <v>-26.088000000000001</v>
      </c>
      <c r="AD342" s="73">
        <v>195.89411686675686</v>
      </c>
      <c r="AE342" s="40">
        <v>293.91560722402704</v>
      </c>
      <c r="AF342" s="35">
        <v>98.021490357270181</v>
      </c>
      <c r="AG342" s="77">
        <v>221.98211686675685</v>
      </c>
      <c r="AH342" s="53">
        <v>293.91560722402704</v>
      </c>
      <c r="AI342" s="52">
        <v>71.933490357270188</v>
      </c>
      <c r="AJ342" s="73">
        <v>0</v>
      </c>
      <c r="AK342" s="40">
        <v>0</v>
      </c>
      <c r="AL342" s="52">
        <v>0</v>
      </c>
      <c r="AM342" s="73">
        <v>0</v>
      </c>
      <c r="AN342" s="40">
        <v>0</v>
      </c>
      <c r="AO342" s="52">
        <v>0</v>
      </c>
      <c r="AP342" s="73">
        <v>63.034583333333323</v>
      </c>
      <c r="AQ342" s="40">
        <v>0</v>
      </c>
      <c r="AR342" s="52">
        <v>-63.034583333333323</v>
      </c>
      <c r="AS342" s="73">
        <v>337.62920592122549</v>
      </c>
      <c r="AT342" s="40">
        <v>0</v>
      </c>
      <c r="AU342" s="54">
        <v>-337.62920592122549</v>
      </c>
      <c r="AV342" s="73">
        <v>0</v>
      </c>
      <c r="AW342" s="40">
        <v>0</v>
      </c>
      <c r="AX342" s="55">
        <v>0</v>
      </c>
      <c r="AY342" s="73">
        <v>0</v>
      </c>
      <c r="AZ342" s="40">
        <v>0</v>
      </c>
      <c r="BA342" s="35">
        <v>0</v>
      </c>
      <c r="BB342" s="73">
        <v>0</v>
      </c>
      <c r="BC342" s="40">
        <v>0</v>
      </c>
      <c r="BD342" s="55">
        <v>0</v>
      </c>
      <c r="BE342" s="73">
        <v>0</v>
      </c>
      <c r="BF342" s="40">
        <v>0</v>
      </c>
      <c r="BG342" s="38">
        <v>0</v>
      </c>
      <c r="BH342" s="73">
        <v>0</v>
      </c>
      <c r="BI342" s="40">
        <v>0</v>
      </c>
      <c r="BJ342" s="55">
        <v>0</v>
      </c>
      <c r="BK342" s="73">
        <v>0</v>
      </c>
      <c r="BL342" s="40">
        <v>0</v>
      </c>
      <c r="BM342" s="38">
        <v>0</v>
      </c>
      <c r="BN342" s="73">
        <v>6.5220000000000002</v>
      </c>
      <c r="BO342" s="40">
        <v>0</v>
      </c>
      <c r="BP342" s="55">
        <v>-6.5220000000000002</v>
      </c>
      <c r="BQ342" s="77">
        <v>6.5220000000000002</v>
      </c>
      <c r="BR342" s="40">
        <v>0</v>
      </c>
      <c r="BS342" s="55">
        <v>-6.5220000000000002</v>
      </c>
      <c r="BT342" s="73">
        <v>0</v>
      </c>
      <c r="BU342" s="40">
        <v>0</v>
      </c>
      <c r="BV342" s="52">
        <v>0</v>
      </c>
      <c r="BW342" s="73">
        <v>0</v>
      </c>
      <c r="BX342" s="40">
        <v>1.2107510948215374</v>
      </c>
      <c r="BY342" s="52">
        <v>1.2107510948215374</v>
      </c>
      <c r="BZ342" s="73">
        <v>0</v>
      </c>
      <c r="CA342" s="40">
        <v>0</v>
      </c>
      <c r="CB342" s="52">
        <v>0</v>
      </c>
      <c r="CC342" s="73">
        <v>0</v>
      </c>
      <c r="CD342" s="40">
        <v>0</v>
      </c>
      <c r="CE342" s="52">
        <v>0</v>
      </c>
      <c r="CF342" s="73">
        <v>0</v>
      </c>
      <c r="CG342" s="40">
        <v>0</v>
      </c>
      <c r="CH342" s="52">
        <v>0</v>
      </c>
      <c r="CI342" s="73">
        <v>0</v>
      </c>
      <c r="CJ342" s="40">
        <v>0</v>
      </c>
      <c r="CK342" s="52">
        <v>0</v>
      </c>
      <c r="CL342" s="73">
        <v>0</v>
      </c>
      <c r="CM342" s="40">
        <v>0</v>
      </c>
      <c r="CN342" s="52">
        <v>0</v>
      </c>
      <c r="CO342" s="39">
        <v>0</v>
      </c>
      <c r="CP342" s="40">
        <v>0</v>
      </c>
      <c r="CQ342" s="52">
        <v>0</v>
      </c>
      <c r="CR342" s="72">
        <v>629.1679061213157</v>
      </c>
      <c r="CS342" s="5">
        <v>295.12635831884859</v>
      </c>
      <c r="CT342" s="52">
        <v>-334.04154780246711</v>
      </c>
      <c r="CU342" s="77">
        <v>755.00148734557877</v>
      </c>
      <c r="CV342" s="65">
        <v>354.15162998261832</v>
      </c>
      <c r="CW342" s="35">
        <v>-400.84985736296045</v>
      </c>
      <c r="CX342" s="73">
        <v>42.154021177125017</v>
      </c>
      <c r="CY342" s="40">
        <v>443.00387854008551</v>
      </c>
      <c r="CZ342" s="52">
        <v>400.84985736296051</v>
      </c>
      <c r="DA342" s="150">
        <v>-4116.9796687066791</v>
      </c>
      <c r="DB342" s="2">
        <v>3</v>
      </c>
      <c r="DC342" s="648">
        <v>523.83000000000004</v>
      </c>
      <c r="DD342" s="648"/>
      <c r="DE342" s="649">
        <v>-273.32550852270379</v>
      </c>
      <c r="DG342" s="321">
        <v>-4982.4488735435079</v>
      </c>
      <c r="DH342" s="5">
        <v>9565.8661022724464</v>
      </c>
      <c r="DI342" s="306">
        <v>1.2155037744754027</v>
      </c>
      <c r="DJ342" s="306"/>
      <c r="DK342" s="306"/>
      <c r="DL342" s="28">
        <v>396.37578085642883</v>
      </c>
      <c r="DM342" s="28">
        <v>0</v>
      </c>
      <c r="DN342" s="650">
        <v>396.39</v>
      </c>
      <c r="DO342" s="94">
        <v>-1.4219143571153836E-2</v>
      </c>
      <c r="DP342" s="28">
        <v>396.37578085642883</v>
      </c>
      <c r="DQ342" s="318">
        <v>0</v>
      </c>
      <c r="DS342" s="8">
        <v>377.50074367278938</v>
      </c>
      <c r="DT342" s="5">
        <v>18.875037183639471</v>
      </c>
      <c r="DW342" s="5">
        <v>412.98144710547058</v>
      </c>
      <c r="DX342" s="5">
        <v>0</v>
      </c>
    </row>
    <row r="343" spans="1:128" x14ac:dyDescent="0.3">
      <c r="A343" s="325">
        <v>150000708</v>
      </c>
      <c r="B343" s="41" t="s">
        <v>789</v>
      </c>
      <c r="C343" s="42" t="s">
        <v>146</v>
      </c>
      <c r="D343" s="42" t="s">
        <v>146</v>
      </c>
      <c r="E343" s="293">
        <v>241.4</v>
      </c>
      <c r="F343" s="305">
        <v>241.4</v>
      </c>
      <c r="G343" s="51"/>
      <c r="H343" s="651">
        <v>0</v>
      </c>
      <c r="I343" s="73">
        <v>0</v>
      </c>
      <c r="J343" s="40">
        <v>0</v>
      </c>
      <c r="K343" s="52">
        <v>0</v>
      </c>
      <c r="L343" s="73">
        <v>0</v>
      </c>
      <c r="M343" s="40">
        <v>0</v>
      </c>
      <c r="N343" s="52">
        <v>0</v>
      </c>
      <c r="O343" s="73">
        <v>0</v>
      </c>
      <c r="P343" s="40">
        <v>0</v>
      </c>
      <c r="Q343" s="52">
        <v>0</v>
      </c>
      <c r="R343" s="73">
        <v>0</v>
      </c>
      <c r="S343" s="40">
        <v>0</v>
      </c>
      <c r="T343" s="52">
        <v>0</v>
      </c>
      <c r="U343" s="73">
        <v>0</v>
      </c>
      <c r="V343" s="40">
        <v>0</v>
      </c>
      <c r="W343" s="52">
        <v>0</v>
      </c>
      <c r="X343" s="73">
        <v>0</v>
      </c>
      <c r="Y343" s="40">
        <v>0</v>
      </c>
      <c r="Z343" s="52">
        <v>0</v>
      </c>
      <c r="AA343" s="73">
        <v>19.312000000000001</v>
      </c>
      <c r="AB343" s="40">
        <v>0</v>
      </c>
      <c r="AC343" s="52">
        <v>-19.312000000000001</v>
      </c>
      <c r="AD343" s="73">
        <v>145.01628419617717</v>
      </c>
      <c r="AE343" s="40">
        <v>217.57506158810219</v>
      </c>
      <c r="AF343" s="35">
        <v>72.55877739192502</v>
      </c>
      <c r="AG343" s="77">
        <v>164.32828419617718</v>
      </c>
      <c r="AH343" s="53">
        <v>217.57506158810219</v>
      </c>
      <c r="AI343" s="52">
        <v>53.246777391925008</v>
      </c>
      <c r="AJ343" s="73">
        <v>0</v>
      </c>
      <c r="AK343" s="40">
        <v>0</v>
      </c>
      <c r="AL343" s="52">
        <v>0</v>
      </c>
      <c r="AM343" s="73">
        <v>0</v>
      </c>
      <c r="AN343" s="40">
        <v>0</v>
      </c>
      <c r="AO343" s="52">
        <v>0</v>
      </c>
      <c r="AP343" s="73">
        <v>69.338041666666669</v>
      </c>
      <c r="AQ343" s="40">
        <v>0</v>
      </c>
      <c r="AR343" s="52">
        <v>-69.338041666666669</v>
      </c>
      <c r="AS343" s="73">
        <v>225.73673344484041</v>
      </c>
      <c r="AT343" s="40">
        <v>0</v>
      </c>
      <c r="AU343" s="54">
        <v>-225.73673344484041</v>
      </c>
      <c r="AV343" s="73">
        <v>0</v>
      </c>
      <c r="AW343" s="40">
        <v>0</v>
      </c>
      <c r="AX343" s="55">
        <v>0</v>
      </c>
      <c r="AY343" s="73">
        <v>0</v>
      </c>
      <c r="AZ343" s="40">
        <v>0</v>
      </c>
      <c r="BA343" s="35">
        <v>0</v>
      </c>
      <c r="BB343" s="73">
        <v>0</v>
      </c>
      <c r="BC343" s="40">
        <v>0</v>
      </c>
      <c r="BD343" s="55">
        <v>0</v>
      </c>
      <c r="BE343" s="73">
        <v>0</v>
      </c>
      <c r="BF343" s="40">
        <v>0</v>
      </c>
      <c r="BG343" s="38">
        <v>0</v>
      </c>
      <c r="BH343" s="73">
        <v>0</v>
      </c>
      <c r="BI343" s="40">
        <v>0</v>
      </c>
      <c r="BJ343" s="55">
        <v>0</v>
      </c>
      <c r="BK343" s="73">
        <v>0</v>
      </c>
      <c r="BL343" s="40">
        <v>0</v>
      </c>
      <c r="BM343" s="38">
        <v>0</v>
      </c>
      <c r="BN343" s="73">
        <v>4.8280000000000003</v>
      </c>
      <c r="BO343" s="40">
        <v>0</v>
      </c>
      <c r="BP343" s="55">
        <v>-4.8280000000000003</v>
      </c>
      <c r="BQ343" s="77">
        <v>4.8280000000000003</v>
      </c>
      <c r="BR343" s="40">
        <v>0</v>
      </c>
      <c r="BS343" s="55">
        <v>-4.8280000000000003</v>
      </c>
      <c r="BT343" s="73">
        <v>0</v>
      </c>
      <c r="BU343" s="40">
        <v>0</v>
      </c>
      <c r="BV343" s="52">
        <v>0</v>
      </c>
      <c r="BW343" s="73">
        <v>0</v>
      </c>
      <c r="BX343" s="40">
        <v>0.89627511281790606</v>
      </c>
      <c r="BY343" s="52">
        <v>0.89627511281790606</v>
      </c>
      <c r="BZ343" s="73">
        <v>0</v>
      </c>
      <c r="CA343" s="40">
        <v>0</v>
      </c>
      <c r="CB343" s="52">
        <v>0</v>
      </c>
      <c r="CC343" s="73">
        <v>0</v>
      </c>
      <c r="CD343" s="40">
        <v>0</v>
      </c>
      <c r="CE343" s="52">
        <v>0</v>
      </c>
      <c r="CF343" s="73">
        <v>0</v>
      </c>
      <c r="CG343" s="40">
        <v>0</v>
      </c>
      <c r="CH343" s="52">
        <v>0</v>
      </c>
      <c r="CI343" s="73">
        <v>0</v>
      </c>
      <c r="CJ343" s="40">
        <v>0</v>
      </c>
      <c r="CK343" s="52">
        <v>0</v>
      </c>
      <c r="CL343" s="73">
        <v>0</v>
      </c>
      <c r="CM343" s="40">
        <v>0</v>
      </c>
      <c r="CN343" s="52">
        <v>0</v>
      </c>
      <c r="CO343" s="39">
        <v>0</v>
      </c>
      <c r="CP343" s="40">
        <v>0</v>
      </c>
      <c r="CQ343" s="52">
        <v>0</v>
      </c>
      <c r="CR343" s="72">
        <v>464.23105930768423</v>
      </c>
      <c r="CS343" s="5">
        <v>218.47133670092009</v>
      </c>
      <c r="CT343" s="52">
        <v>-245.75972260676414</v>
      </c>
      <c r="CU343" s="77">
        <v>557.07727116922104</v>
      </c>
      <c r="CV343" s="65">
        <v>262.16560404110407</v>
      </c>
      <c r="CW343" s="35">
        <v>-294.91166712811696</v>
      </c>
      <c r="CX343" s="73">
        <v>31.103312350712912</v>
      </c>
      <c r="CY343" s="40">
        <v>326.0149794788299</v>
      </c>
      <c r="CZ343" s="52">
        <v>294.91166712811696</v>
      </c>
      <c r="DA343" s="150">
        <v>-2742.5315860964242</v>
      </c>
      <c r="DB343" s="2">
        <v>3</v>
      </c>
      <c r="DC343" s="648">
        <v>239.45</v>
      </c>
      <c r="DD343" s="648"/>
      <c r="DE343" s="649">
        <v>-348.73058351993399</v>
      </c>
      <c r="DG343" s="321">
        <v>-1684.9861657746908</v>
      </c>
      <c r="DH343" s="5">
        <v>7058.1670022392082</v>
      </c>
      <c r="DI343" s="306">
        <v>1.211539218574321</v>
      </c>
      <c r="DJ343" s="306"/>
      <c r="DK343" s="306"/>
      <c r="DL343" s="28">
        <v>292.4655673638411</v>
      </c>
      <c r="DM343" s="28">
        <v>0</v>
      </c>
      <c r="DN343" s="650">
        <v>292.47000000000003</v>
      </c>
      <c r="DO343" s="94">
        <v>-4.4326361589241969E-3</v>
      </c>
      <c r="DP343" s="28">
        <v>292.4655673638411</v>
      </c>
      <c r="DQ343" s="318">
        <v>0</v>
      </c>
      <c r="DS343" s="8">
        <v>278.53863558461052</v>
      </c>
      <c r="DT343" s="5">
        <v>13.926931779230529</v>
      </c>
      <c r="DW343" s="5">
        <v>276.67768013380851</v>
      </c>
      <c r="DX343" s="5">
        <v>0</v>
      </c>
    </row>
    <row r="344" spans="1:128" x14ac:dyDescent="0.3">
      <c r="A344" s="325">
        <v>150000591</v>
      </c>
      <c r="B344" s="41" t="s">
        <v>790</v>
      </c>
      <c r="C344" s="42" t="s">
        <v>192</v>
      </c>
      <c r="D344" s="42" t="s">
        <v>192</v>
      </c>
      <c r="E344" s="293">
        <v>148.4</v>
      </c>
      <c r="F344" s="305">
        <v>148.4</v>
      </c>
      <c r="G344" s="51"/>
      <c r="H344" s="651">
        <v>0</v>
      </c>
      <c r="I344" s="73">
        <v>128.25213512134403</v>
      </c>
      <c r="J344" s="40">
        <v>141.49841999059538</v>
      </c>
      <c r="K344" s="52">
        <v>13.246284869251355</v>
      </c>
      <c r="L344" s="73">
        <v>25.403756546632252</v>
      </c>
      <c r="M344" s="40">
        <v>28.620596297667483</v>
      </c>
      <c r="N344" s="52">
        <v>3.2168397510352307</v>
      </c>
      <c r="O344" s="73">
        <v>33.029304711636662</v>
      </c>
      <c r="P344" s="40">
        <v>33.016666666666666</v>
      </c>
      <c r="Q344" s="52">
        <v>-1.2638044969996542E-2</v>
      </c>
      <c r="R344" s="73">
        <v>9.9577898212566662</v>
      </c>
      <c r="S344" s="40">
        <v>9.9666666666666686</v>
      </c>
      <c r="T344" s="52">
        <v>8.876845410002332E-3</v>
      </c>
      <c r="U344" s="73">
        <v>0</v>
      </c>
      <c r="V344" s="40">
        <v>0</v>
      </c>
      <c r="W344" s="52">
        <v>0</v>
      </c>
      <c r="X344" s="73">
        <v>56.083492852081378</v>
      </c>
      <c r="Y344" s="40">
        <v>46.874559817835355</v>
      </c>
      <c r="Z344" s="52">
        <v>-9.2089330342460229</v>
      </c>
      <c r="AA344" s="73">
        <v>11.872</v>
      </c>
      <c r="AB344" s="40">
        <v>0</v>
      </c>
      <c r="AC344" s="52">
        <v>-11.872</v>
      </c>
      <c r="AD344" s="73">
        <v>106.91979118041608</v>
      </c>
      <c r="AE344" s="40">
        <v>133.7536832629427</v>
      </c>
      <c r="AF344" s="35">
        <v>26.833892082526617</v>
      </c>
      <c r="AG344" s="77">
        <v>371.51827023336705</v>
      </c>
      <c r="AH344" s="53">
        <v>393.73059270237422</v>
      </c>
      <c r="AI344" s="52">
        <v>22.212322469007177</v>
      </c>
      <c r="AJ344" s="73">
        <v>0</v>
      </c>
      <c r="AK344" s="40">
        <v>0</v>
      </c>
      <c r="AL344" s="52">
        <v>0</v>
      </c>
      <c r="AM344" s="73">
        <v>0</v>
      </c>
      <c r="AN344" s="40">
        <v>0</v>
      </c>
      <c r="AO344" s="52">
        <v>0</v>
      </c>
      <c r="AP344" s="73">
        <v>25.213833333333334</v>
      </c>
      <c r="AQ344" s="40">
        <v>0</v>
      </c>
      <c r="AR344" s="52">
        <v>-25.213833333333334</v>
      </c>
      <c r="AS344" s="73">
        <v>251.06821826882873</v>
      </c>
      <c r="AT344" s="40">
        <v>0</v>
      </c>
      <c r="AU344" s="54">
        <v>-251.06821826882873</v>
      </c>
      <c r="AV344" s="73">
        <v>73.337415605705573</v>
      </c>
      <c r="AW344" s="40">
        <v>0</v>
      </c>
      <c r="AX344" s="55">
        <v>-73.337415605705573</v>
      </c>
      <c r="AY344" s="73">
        <v>70.273179960309932</v>
      </c>
      <c r="AZ344" s="40">
        <v>0</v>
      </c>
      <c r="BA344" s="35">
        <v>-70.273179960309932</v>
      </c>
      <c r="BB344" s="73">
        <v>6.2091100557800001</v>
      </c>
      <c r="BC344" s="40">
        <v>0</v>
      </c>
      <c r="BD344" s="55">
        <v>-6.2091100557800001</v>
      </c>
      <c r="BE344" s="73">
        <v>48.225041732716804</v>
      </c>
      <c r="BF344" s="40">
        <v>0</v>
      </c>
      <c r="BG344" s="38">
        <v>-48.225041732716804</v>
      </c>
      <c r="BH344" s="73">
        <v>0</v>
      </c>
      <c r="BI344" s="40">
        <v>0</v>
      </c>
      <c r="BJ344" s="55">
        <v>0</v>
      </c>
      <c r="BK344" s="73">
        <v>7.0425084983769235</v>
      </c>
      <c r="BL344" s="40">
        <v>0</v>
      </c>
      <c r="BM344" s="38">
        <v>-7.0425084983769235</v>
      </c>
      <c r="BN344" s="73">
        <v>2.968</v>
      </c>
      <c r="BO344" s="40">
        <v>0</v>
      </c>
      <c r="BP344" s="55">
        <v>-2.968</v>
      </c>
      <c r="BQ344" s="77">
        <v>208.05525585288922</v>
      </c>
      <c r="BR344" s="40">
        <v>0</v>
      </c>
      <c r="BS344" s="55">
        <v>-208.05525585288922</v>
      </c>
      <c r="BT344" s="73">
        <v>0</v>
      </c>
      <c r="BU344" s="40">
        <v>0</v>
      </c>
      <c r="BV344" s="52">
        <v>0</v>
      </c>
      <c r="BW344" s="73">
        <v>0</v>
      </c>
      <c r="BX344" s="40">
        <v>0.55098271227082551</v>
      </c>
      <c r="BY344" s="52">
        <v>0.55098271227082551</v>
      </c>
      <c r="BZ344" s="73">
        <v>0</v>
      </c>
      <c r="CA344" s="40">
        <v>0</v>
      </c>
      <c r="CB344" s="52">
        <v>0</v>
      </c>
      <c r="CC344" s="73">
        <v>0</v>
      </c>
      <c r="CD344" s="40">
        <v>0</v>
      </c>
      <c r="CE344" s="52">
        <v>0</v>
      </c>
      <c r="CF344" s="73">
        <v>0</v>
      </c>
      <c r="CG344" s="40">
        <v>0</v>
      </c>
      <c r="CH344" s="52">
        <v>0</v>
      </c>
      <c r="CI344" s="73">
        <v>52.94</v>
      </c>
      <c r="CJ344" s="40">
        <v>18.417565291985841</v>
      </c>
      <c r="CK344" s="52">
        <v>-34.52243470801416</v>
      </c>
      <c r="CL344" s="73">
        <v>0</v>
      </c>
      <c r="CM344" s="40">
        <v>0</v>
      </c>
      <c r="CN344" s="52">
        <v>0</v>
      </c>
      <c r="CO344" s="39">
        <v>52.94</v>
      </c>
      <c r="CP344" s="40">
        <v>18.417565291985841</v>
      </c>
      <c r="CQ344" s="52">
        <v>-34.52243470801416</v>
      </c>
      <c r="CR344" s="72">
        <v>908.79557768841823</v>
      </c>
      <c r="CS344" s="5">
        <v>412.69914070663089</v>
      </c>
      <c r="CT344" s="52">
        <v>-496.09643698178735</v>
      </c>
      <c r="CU344" s="77">
        <v>1090.5546932261018</v>
      </c>
      <c r="CV344" s="65">
        <v>495.23896884795704</v>
      </c>
      <c r="CW344" s="35">
        <v>-595.31572437814475</v>
      </c>
      <c r="CX344" s="73">
        <v>60.888973602808591</v>
      </c>
      <c r="CY344" s="40">
        <v>656.20469798095337</v>
      </c>
      <c r="CZ344" s="52">
        <v>595.31572437814475</v>
      </c>
      <c r="DA344" s="150">
        <v>-2725.6311837788608</v>
      </c>
      <c r="DB344" s="2">
        <v>3</v>
      </c>
      <c r="DC344" s="648">
        <v>716.37</v>
      </c>
      <c r="DD344" s="648"/>
      <c r="DE344" s="649">
        <v>-435.0736668289104</v>
      </c>
      <c r="DG344" s="321">
        <v>-5025.5966773732907</v>
      </c>
      <c r="DH344" s="5">
        <v>13817.324001946925</v>
      </c>
      <c r="DI344" s="306">
        <v>3.8580944335829077</v>
      </c>
      <c r="DJ344" s="306"/>
      <c r="DK344" s="306"/>
      <c r="DL344" s="28">
        <v>572.5412139437035</v>
      </c>
      <c r="DM344" s="28">
        <v>0</v>
      </c>
      <c r="DN344" s="650">
        <v>572.54999999999995</v>
      </c>
      <c r="DO344" s="94">
        <v>-8.7860562964579003E-3</v>
      </c>
      <c r="DP344" s="28">
        <v>572.5412139437035</v>
      </c>
      <c r="DQ344" s="318">
        <v>0</v>
      </c>
      <c r="DS344" s="8">
        <v>545.2773466130509</v>
      </c>
      <c r="DT344" s="5">
        <v>27.263867330652548</v>
      </c>
      <c r="DW344" s="5">
        <v>550.94816894606151</v>
      </c>
      <c r="DX344" s="5">
        <v>0</v>
      </c>
    </row>
    <row r="345" spans="1:128" x14ac:dyDescent="0.3">
      <c r="A345" s="325">
        <v>150000861</v>
      </c>
      <c r="B345" s="41" t="s">
        <v>791</v>
      </c>
      <c r="C345" s="42" t="s">
        <v>233</v>
      </c>
      <c r="D345" s="42" t="s">
        <v>233</v>
      </c>
      <c r="E345" s="293">
        <v>3401.3999999999996</v>
      </c>
      <c r="F345" s="305">
        <v>2784.6</v>
      </c>
      <c r="G345" s="51"/>
      <c r="H345" s="651">
        <v>616.79999999999995</v>
      </c>
      <c r="I345" s="73">
        <v>1664.5198263543032</v>
      </c>
      <c r="J345" s="40">
        <v>1838.1188368274284</v>
      </c>
      <c r="K345" s="52">
        <v>173.59901047312519</v>
      </c>
      <c r="L345" s="73">
        <v>379.20109195162792</v>
      </c>
      <c r="M345" s="40">
        <v>427.21594167453657</v>
      </c>
      <c r="N345" s="52">
        <v>48.01484972290865</v>
      </c>
      <c r="O345" s="73">
        <v>613.79327949767662</v>
      </c>
      <c r="P345" s="40">
        <v>613.79999999999995</v>
      </c>
      <c r="Q345" s="52">
        <v>6.7205023233327665E-3</v>
      </c>
      <c r="R345" s="73">
        <v>0</v>
      </c>
      <c r="S345" s="40">
        <v>0</v>
      </c>
      <c r="T345" s="52">
        <v>0</v>
      </c>
      <c r="U345" s="73">
        <v>0</v>
      </c>
      <c r="V345" s="40">
        <v>0</v>
      </c>
      <c r="W345" s="52">
        <v>0</v>
      </c>
      <c r="X345" s="73">
        <v>1233.4274045548825</v>
      </c>
      <c r="Y345" s="40">
        <v>1359.9639801695262</v>
      </c>
      <c r="Z345" s="52">
        <v>126.53657561464365</v>
      </c>
      <c r="AA345" s="73">
        <v>264.72800000000001</v>
      </c>
      <c r="AB345" s="40">
        <v>0</v>
      </c>
      <c r="AC345" s="52">
        <v>-264.72800000000001</v>
      </c>
      <c r="AD345" s="73">
        <v>2363.0880587299275</v>
      </c>
      <c r="AE345" s="40">
        <v>3065.6993143569625</v>
      </c>
      <c r="AF345" s="35">
        <v>702.61125562703501</v>
      </c>
      <c r="AG345" s="77">
        <v>6518.7576610884171</v>
      </c>
      <c r="AH345" s="53">
        <v>7304.7980730284535</v>
      </c>
      <c r="AI345" s="52">
        <v>786.04041194003639</v>
      </c>
      <c r="AJ345" s="73">
        <v>0</v>
      </c>
      <c r="AK345" s="40">
        <v>0</v>
      </c>
      <c r="AL345" s="52">
        <v>0</v>
      </c>
      <c r="AM345" s="73">
        <v>0</v>
      </c>
      <c r="AN345" s="40">
        <v>0</v>
      </c>
      <c r="AO345" s="52">
        <v>0</v>
      </c>
      <c r="AP345" s="73">
        <v>567.31124999999997</v>
      </c>
      <c r="AQ345" s="40">
        <v>1673.096473578312</v>
      </c>
      <c r="AR345" s="52">
        <v>1105.7852235783121</v>
      </c>
      <c r="AS345" s="73">
        <v>3757.9397424039807</v>
      </c>
      <c r="AT345" s="40">
        <v>1932</v>
      </c>
      <c r="AU345" s="54">
        <v>-1825.9397424039807</v>
      </c>
      <c r="AV345" s="73">
        <v>864.07412262352273</v>
      </c>
      <c r="AW345" s="40">
        <v>625</v>
      </c>
      <c r="AX345" s="55">
        <v>-239.07412262352273</v>
      </c>
      <c r="AY345" s="73">
        <v>1049.4746737331175</v>
      </c>
      <c r="AZ345" s="40">
        <v>0</v>
      </c>
      <c r="BA345" s="35">
        <v>-1049.4746737331175</v>
      </c>
      <c r="BB345" s="73">
        <v>230.91494713060339</v>
      </c>
      <c r="BC345" s="40">
        <v>4320</v>
      </c>
      <c r="BD345" s="55">
        <v>4089.0850528693968</v>
      </c>
      <c r="BE345" s="73">
        <v>0</v>
      </c>
      <c r="BF345" s="40">
        <v>0</v>
      </c>
      <c r="BG345" s="38">
        <v>0</v>
      </c>
      <c r="BH345" s="73">
        <v>0</v>
      </c>
      <c r="BI345" s="40">
        <v>0</v>
      </c>
      <c r="BJ345" s="55">
        <v>0</v>
      </c>
      <c r="BK345" s="73">
        <v>1041.8372574122495</v>
      </c>
      <c r="BL345" s="40">
        <v>0</v>
      </c>
      <c r="BM345" s="38">
        <v>-1041.8372574122495</v>
      </c>
      <c r="BN345" s="73">
        <v>66.182000000000002</v>
      </c>
      <c r="BO345" s="40">
        <v>0</v>
      </c>
      <c r="BP345" s="55">
        <v>-66.182000000000002</v>
      </c>
      <c r="BQ345" s="77">
        <v>3252.4830008994927</v>
      </c>
      <c r="BR345" s="40">
        <v>4945</v>
      </c>
      <c r="BS345" s="55">
        <v>1692.5169991005073</v>
      </c>
      <c r="BT345" s="73">
        <v>3304.0378519451001</v>
      </c>
      <c r="BU345" s="40">
        <v>990.74439370742255</v>
      </c>
      <c r="BV345" s="52">
        <v>-2313.2934582376774</v>
      </c>
      <c r="BW345" s="73">
        <v>2761.6317027722998</v>
      </c>
      <c r="BX345" s="40">
        <v>3617.976959592509</v>
      </c>
      <c r="BY345" s="52">
        <v>856.34525682020922</v>
      </c>
      <c r="BZ345" s="73">
        <v>1886.5469103513519</v>
      </c>
      <c r="CA345" s="40">
        <v>6392.5112396844452</v>
      </c>
      <c r="CB345" s="52">
        <v>4505.9643293330937</v>
      </c>
      <c r="CC345" s="73">
        <v>281.72877124975003</v>
      </c>
      <c r="CD345" s="40">
        <v>355.4756278415739</v>
      </c>
      <c r="CE345" s="52">
        <v>73.746856591823871</v>
      </c>
      <c r="CF345" s="73">
        <v>33.472725296999997</v>
      </c>
      <c r="CG345" s="40">
        <v>0</v>
      </c>
      <c r="CH345" s="52">
        <v>-33.472725296999997</v>
      </c>
      <c r="CI345" s="73">
        <v>1277</v>
      </c>
      <c r="CJ345" s="40">
        <v>1065.9859106776635</v>
      </c>
      <c r="CK345" s="52">
        <v>-211.01408932233653</v>
      </c>
      <c r="CL345" s="73">
        <v>0</v>
      </c>
      <c r="CM345" s="40">
        <v>0</v>
      </c>
      <c r="CN345" s="52">
        <v>0</v>
      </c>
      <c r="CO345" s="39">
        <v>1277</v>
      </c>
      <c r="CP345" s="40">
        <v>1065.9859106776635</v>
      </c>
      <c r="CQ345" s="52">
        <v>-211.01408932233653</v>
      </c>
      <c r="CR345" s="72">
        <v>23640.909616007393</v>
      </c>
      <c r="CS345" s="5">
        <v>28277.58867811038</v>
      </c>
      <c r="CT345" s="52">
        <v>4636.6790621029868</v>
      </c>
      <c r="CU345" s="77">
        <v>28369.091539208872</v>
      </c>
      <c r="CV345" s="65">
        <v>33933.106413732457</v>
      </c>
      <c r="CW345" s="35">
        <v>5564.0148745235856</v>
      </c>
      <c r="CX345" s="73">
        <v>1583.9323571719476</v>
      </c>
      <c r="CY345" s="40">
        <v>-3980.0825173516387</v>
      </c>
      <c r="CZ345" s="52">
        <v>-5564.0148745235865</v>
      </c>
      <c r="DA345" s="150">
        <v>-25309.061402469677</v>
      </c>
      <c r="DB345" s="2">
        <v>2</v>
      </c>
      <c r="DC345" s="648">
        <v>27526.01</v>
      </c>
      <c r="DD345" s="648">
        <v>6390.7000000000007</v>
      </c>
      <c r="DE345" s="649">
        <v>3963.6861036191804</v>
      </c>
      <c r="DG345" s="321">
        <v>-15658.266024667464</v>
      </c>
      <c r="DH345" s="5">
        <v>359436.28675656981</v>
      </c>
      <c r="DI345" s="306">
        <v>4.6002226758351146</v>
      </c>
      <c r="DJ345" s="306"/>
      <c r="DK345" s="306">
        <v>3.9750823744637844</v>
      </c>
      <c r="DL345" s="28">
        <v>12809.78006313046</v>
      </c>
      <c r="DM345" s="28">
        <v>2451.830808569262</v>
      </c>
      <c r="DN345" s="650">
        <v>12809.7</v>
      </c>
      <c r="DO345" s="94">
        <v>8.0063130459166132E-2</v>
      </c>
      <c r="DP345" s="28">
        <v>15261.610871699722</v>
      </c>
      <c r="DQ345" s="318">
        <v>367.83781361506408</v>
      </c>
      <c r="DS345" s="8">
        <v>14184.545769604436</v>
      </c>
      <c r="DT345" s="5">
        <v>709.22728848022177</v>
      </c>
      <c r="DW345" s="5">
        <v>8412.507291964168</v>
      </c>
      <c r="DX345" s="5">
        <v>8252.4</v>
      </c>
    </row>
    <row r="346" spans="1:128" x14ac:dyDescent="0.3">
      <c r="A346" s="325">
        <v>150000872</v>
      </c>
      <c r="B346" s="41" t="s">
        <v>792</v>
      </c>
      <c r="C346" s="42" t="s">
        <v>234</v>
      </c>
      <c r="D346" s="42" t="s">
        <v>234</v>
      </c>
      <c r="E346" s="293">
        <v>1210.4000000000001</v>
      </c>
      <c r="F346" s="305">
        <v>1113.4000000000001</v>
      </c>
      <c r="G346" s="51"/>
      <c r="H346" s="651">
        <v>97</v>
      </c>
      <c r="I346" s="73">
        <v>1052.1942490129832</v>
      </c>
      <c r="J346" s="40">
        <v>1164.9818600893452</v>
      </c>
      <c r="K346" s="52">
        <v>112.78761107636205</v>
      </c>
      <c r="L346" s="73">
        <v>290.20127724532131</v>
      </c>
      <c r="M346" s="40">
        <v>326.94650566570158</v>
      </c>
      <c r="N346" s="52">
        <v>36.745228420380272</v>
      </c>
      <c r="O346" s="73">
        <v>223.00800465604999</v>
      </c>
      <c r="P346" s="40">
        <v>223</v>
      </c>
      <c r="Q346" s="52">
        <v>-8.0046560499908992E-3</v>
      </c>
      <c r="R346" s="73">
        <v>54.355164141873331</v>
      </c>
      <c r="S346" s="40">
        <v>54.36</v>
      </c>
      <c r="T346" s="52">
        <v>4.8358581266683132E-3</v>
      </c>
      <c r="U346" s="73">
        <v>0</v>
      </c>
      <c r="V346" s="40">
        <v>0</v>
      </c>
      <c r="W346" s="52">
        <v>0</v>
      </c>
      <c r="X346" s="73">
        <v>337.59897103394758</v>
      </c>
      <c r="Y346" s="40">
        <v>329.83489914846564</v>
      </c>
      <c r="Z346" s="52">
        <v>-7.7640718854819397</v>
      </c>
      <c r="AA346" s="73">
        <v>96.751200000000011</v>
      </c>
      <c r="AB346" s="40">
        <v>0</v>
      </c>
      <c r="AC346" s="52">
        <v>-96.751200000000011</v>
      </c>
      <c r="AD346" s="73">
        <v>867.4751273102097</v>
      </c>
      <c r="AE346" s="40">
        <v>1090.9397454276673</v>
      </c>
      <c r="AF346" s="35">
        <v>223.46461811745758</v>
      </c>
      <c r="AG346" s="77">
        <v>2921.5839934003852</v>
      </c>
      <c r="AH346" s="53">
        <v>3190.0630103311796</v>
      </c>
      <c r="AI346" s="52">
        <v>268.47901693079439</v>
      </c>
      <c r="AJ346" s="73">
        <v>0</v>
      </c>
      <c r="AK346" s="40">
        <v>0</v>
      </c>
      <c r="AL346" s="52">
        <v>0</v>
      </c>
      <c r="AM346" s="73">
        <v>0</v>
      </c>
      <c r="AN346" s="40">
        <v>0</v>
      </c>
      <c r="AO346" s="52">
        <v>0</v>
      </c>
      <c r="AP346" s="73">
        <v>132.372625</v>
      </c>
      <c r="AQ346" s="40">
        <v>780.77835433654559</v>
      </c>
      <c r="AR346" s="52">
        <v>648.40572933654562</v>
      </c>
      <c r="AS346" s="73">
        <v>1191.4384032355636</v>
      </c>
      <c r="AT346" s="40">
        <v>0</v>
      </c>
      <c r="AU346" s="54">
        <v>-1191.4384032355636</v>
      </c>
      <c r="AV346" s="73">
        <v>579.9593498746874</v>
      </c>
      <c r="AW346" s="40">
        <v>0</v>
      </c>
      <c r="AX346" s="55">
        <v>-579.9593498746874</v>
      </c>
      <c r="AY346" s="73">
        <v>803.20427453192576</v>
      </c>
      <c r="AZ346" s="40">
        <v>0</v>
      </c>
      <c r="BA346" s="35">
        <v>-803.20427453192576</v>
      </c>
      <c r="BB346" s="73">
        <v>85.1166117549582</v>
      </c>
      <c r="BC346" s="40">
        <v>1402</v>
      </c>
      <c r="BD346" s="55">
        <v>1316.8833882450417</v>
      </c>
      <c r="BE346" s="73">
        <v>250.41453551547662</v>
      </c>
      <c r="BF346" s="40">
        <v>0</v>
      </c>
      <c r="BG346" s="38">
        <v>-250.41453551547662</v>
      </c>
      <c r="BH346" s="73">
        <v>0</v>
      </c>
      <c r="BI346" s="40">
        <v>0</v>
      </c>
      <c r="BJ346" s="55">
        <v>0</v>
      </c>
      <c r="BK346" s="73">
        <v>151.71621046354187</v>
      </c>
      <c r="BL346" s="40">
        <v>0</v>
      </c>
      <c r="BM346" s="38">
        <v>-151.71621046354187</v>
      </c>
      <c r="BN346" s="73">
        <v>24.187800000000003</v>
      </c>
      <c r="BO346" s="40">
        <v>0</v>
      </c>
      <c r="BP346" s="55">
        <v>-24.187800000000003</v>
      </c>
      <c r="BQ346" s="77">
        <v>1894.5987821405899</v>
      </c>
      <c r="BR346" s="40">
        <v>1402</v>
      </c>
      <c r="BS346" s="55">
        <v>-492.59878214058995</v>
      </c>
      <c r="BT346" s="73">
        <v>1744.238623360824</v>
      </c>
      <c r="BU346" s="40">
        <v>399.14625819389488</v>
      </c>
      <c r="BV346" s="52">
        <v>-1345.0923651669291</v>
      </c>
      <c r="BW346" s="73">
        <v>824.93667209764601</v>
      </c>
      <c r="BX346" s="40">
        <v>914.66937842805339</v>
      </c>
      <c r="BY346" s="52">
        <v>89.732706330407382</v>
      </c>
      <c r="BZ346" s="73">
        <v>476.95843117724002</v>
      </c>
      <c r="CA346" s="40">
        <v>2359.1862675314806</v>
      </c>
      <c r="CB346" s="52">
        <v>1882.2278363542405</v>
      </c>
      <c r="CC346" s="73">
        <v>119.0661505275</v>
      </c>
      <c r="CD346" s="40">
        <v>150.23355415809331</v>
      </c>
      <c r="CE346" s="52">
        <v>31.167403630593313</v>
      </c>
      <c r="CF346" s="73">
        <v>14.146473329999999</v>
      </c>
      <c r="CG346" s="40">
        <v>0</v>
      </c>
      <c r="CH346" s="52">
        <v>-14.146473329999999</v>
      </c>
      <c r="CI346" s="73">
        <v>214.92</v>
      </c>
      <c r="CJ346" s="40">
        <v>325.18416076620861</v>
      </c>
      <c r="CK346" s="52">
        <v>110.26416076620862</v>
      </c>
      <c r="CL346" s="73">
        <v>0</v>
      </c>
      <c r="CM346" s="40">
        <v>0</v>
      </c>
      <c r="CN346" s="52">
        <v>0</v>
      </c>
      <c r="CO346" s="39">
        <v>214.92</v>
      </c>
      <c r="CP346" s="40">
        <v>325.18416076620861</v>
      </c>
      <c r="CQ346" s="52">
        <v>110.26416076620862</v>
      </c>
      <c r="CR346" s="72">
        <v>9534.2601542697485</v>
      </c>
      <c r="CS346" s="5">
        <v>9521.2609837454565</v>
      </c>
      <c r="CT346" s="52">
        <v>-12.999170524291912</v>
      </c>
      <c r="CU346" s="77">
        <v>11441.112185123699</v>
      </c>
      <c r="CV346" s="65">
        <v>11425.513180494547</v>
      </c>
      <c r="CW346" s="35">
        <v>-15.59900462915175</v>
      </c>
      <c r="CX346" s="73">
        <v>638.7919672015355</v>
      </c>
      <c r="CY346" s="40">
        <v>654.3909718306877</v>
      </c>
      <c r="CZ346" s="52">
        <v>15.599004629152205</v>
      </c>
      <c r="DA346" s="150">
        <v>3621.1431052766666</v>
      </c>
      <c r="DB346" s="2">
        <v>2</v>
      </c>
      <c r="DC346" s="648">
        <v>7117.35</v>
      </c>
      <c r="DD346" s="648">
        <v>1872.74</v>
      </c>
      <c r="DE346" s="649">
        <v>-3089.8141523252343</v>
      </c>
      <c r="DG346" s="321">
        <v>-3521.8226127372577</v>
      </c>
      <c r="DH346" s="5">
        <v>144958.8498279028</v>
      </c>
      <c r="DI346" s="306">
        <v>5.0036711668077665</v>
      </c>
      <c r="DJ346" s="306"/>
      <c r="DK346" s="306">
        <v>4.5368936354430129</v>
      </c>
      <c r="DL346" s="28">
        <v>5571.0874771237677</v>
      </c>
      <c r="DM346" s="28">
        <v>440.07868263797224</v>
      </c>
      <c r="DN346" s="650">
        <v>5571.15</v>
      </c>
      <c r="DO346" s="94">
        <v>-6.2522876231923874E-2</v>
      </c>
      <c r="DP346" s="28">
        <v>6011.1661597617403</v>
      </c>
      <c r="DQ346" s="318">
        <v>4.5822625717983101</v>
      </c>
      <c r="DS346" s="8">
        <v>5720.5560925618493</v>
      </c>
      <c r="DT346" s="5">
        <v>286.02780462809244</v>
      </c>
      <c r="DW346" s="5">
        <v>3703.2446224513842</v>
      </c>
      <c r="DX346" s="5">
        <v>1682.3999999999999</v>
      </c>
    </row>
    <row r="347" spans="1:128" x14ac:dyDescent="0.3">
      <c r="A347" s="325">
        <v>150000862</v>
      </c>
      <c r="B347" s="41" t="s">
        <v>793</v>
      </c>
      <c r="C347" s="42" t="s">
        <v>235</v>
      </c>
      <c r="D347" s="42" t="s">
        <v>235</v>
      </c>
      <c r="E347" s="293">
        <v>4186.2</v>
      </c>
      <c r="F347" s="305">
        <v>3517.2</v>
      </c>
      <c r="G347" s="51"/>
      <c r="H347" s="651">
        <v>669</v>
      </c>
      <c r="I347" s="73">
        <v>1995.7968045994639</v>
      </c>
      <c r="J347" s="40">
        <v>2207.5824941641781</v>
      </c>
      <c r="K347" s="52">
        <v>211.78568956471418</v>
      </c>
      <c r="L347" s="73">
        <v>444.91443805868283</v>
      </c>
      <c r="M347" s="40">
        <v>501.24983107717651</v>
      </c>
      <c r="N347" s="52">
        <v>56.335393018493676</v>
      </c>
      <c r="O347" s="73">
        <v>725.11155259905343</v>
      </c>
      <c r="P347" s="40">
        <v>725.1</v>
      </c>
      <c r="Q347" s="52">
        <v>-1.1552599053402446E-2</v>
      </c>
      <c r="R347" s="73">
        <v>0</v>
      </c>
      <c r="S347" s="40">
        <v>0</v>
      </c>
      <c r="T347" s="52">
        <v>0</v>
      </c>
      <c r="U347" s="73">
        <v>0</v>
      </c>
      <c r="V347" s="40">
        <v>0</v>
      </c>
      <c r="W347" s="52">
        <v>0</v>
      </c>
      <c r="X347" s="73">
        <v>1567.1003286030282</v>
      </c>
      <c r="Y347" s="40">
        <v>2322.5726361583875</v>
      </c>
      <c r="Z347" s="52">
        <v>755.47230755535929</v>
      </c>
      <c r="AA347" s="73">
        <v>348.08800000000002</v>
      </c>
      <c r="AB347" s="40">
        <v>0</v>
      </c>
      <c r="AC347" s="52">
        <v>-348.08800000000002</v>
      </c>
      <c r="AD347" s="73">
        <v>3101.5304229076737</v>
      </c>
      <c r="AE347" s="40">
        <v>3773.043590804115</v>
      </c>
      <c r="AF347" s="35">
        <v>671.51316789644125</v>
      </c>
      <c r="AG347" s="77">
        <v>8182.5415467679013</v>
      </c>
      <c r="AH347" s="53">
        <v>9529.5485522038562</v>
      </c>
      <c r="AI347" s="52">
        <v>1347.0070054359549</v>
      </c>
      <c r="AJ347" s="73">
        <v>0</v>
      </c>
      <c r="AK347" s="40">
        <v>0</v>
      </c>
      <c r="AL347" s="52">
        <v>0</v>
      </c>
      <c r="AM347" s="73">
        <v>0</v>
      </c>
      <c r="AN347" s="40">
        <v>0</v>
      </c>
      <c r="AO347" s="52">
        <v>0</v>
      </c>
      <c r="AP347" s="73">
        <v>1191.353625</v>
      </c>
      <c r="AQ347" s="40">
        <v>0</v>
      </c>
      <c r="AR347" s="52">
        <v>-1191.353625</v>
      </c>
      <c r="AS347" s="73">
        <v>4162.1201195940166</v>
      </c>
      <c r="AT347" s="40">
        <v>1288</v>
      </c>
      <c r="AU347" s="54">
        <v>-2874.1201195940166</v>
      </c>
      <c r="AV347" s="73">
        <v>1005.6207036206198</v>
      </c>
      <c r="AW347" s="40">
        <v>0</v>
      </c>
      <c r="AX347" s="55">
        <v>-1005.6207036206198</v>
      </c>
      <c r="AY347" s="73">
        <v>1231.3521779152336</v>
      </c>
      <c r="AZ347" s="40">
        <v>0</v>
      </c>
      <c r="BA347" s="35">
        <v>-1231.3521779152336</v>
      </c>
      <c r="BB347" s="73">
        <v>247.84792120635001</v>
      </c>
      <c r="BC347" s="40">
        <v>1405</v>
      </c>
      <c r="BD347" s="55">
        <v>1157.1520787936499</v>
      </c>
      <c r="BE347" s="73">
        <v>0</v>
      </c>
      <c r="BF347" s="40">
        <v>0</v>
      </c>
      <c r="BG347" s="38">
        <v>0</v>
      </c>
      <c r="BH347" s="73">
        <v>0</v>
      </c>
      <c r="BI347" s="40">
        <v>0</v>
      </c>
      <c r="BJ347" s="55">
        <v>0</v>
      </c>
      <c r="BK347" s="73">
        <v>1362.7130056003916</v>
      </c>
      <c r="BL347" s="40">
        <v>0</v>
      </c>
      <c r="BM347" s="38">
        <v>-1362.7130056003916</v>
      </c>
      <c r="BN347" s="73">
        <v>87.022000000000006</v>
      </c>
      <c r="BO347" s="40">
        <v>0</v>
      </c>
      <c r="BP347" s="55">
        <v>-87.022000000000006</v>
      </c>
      <c r="BQ347" s="77">
        <v>3934.5558083425949</v>
      </c>
      <c r="BR347" s="40">
        <v>1405</v>
      </c>
      <c r="BS347" s="55">
        <v>-2529.5558083425949</v>
      </c>
      <c r="BT347" s="73">
        <v>7566.4866210058999</v>
      </c>
      <c r="BU347" s="40">
        <v>1790.4641077661317</v>
      </c>
      <c r="BV347" s="52">
        <v>-5776.0225132397682</v>
      </c>
      <c r="BW347" s="73">
        <v>3141.8466742669202</v>
      </c>
      <c r="BX347" s="40">
        <v>3847.9921675872424</v>
      </c>
      <c r="BY347" s="52">
        <v>706.1454933203222</v>
      </c>
      <c r="BZ347" s="73">
        <v>1772.8004444337439</v>
      </c>
      <c r="CA347" s="40">
        <v>9889.5021917716658</v>
      </c>
      <c r="CB347" s="52">
        <v>8116.7017473379219</v>
      </c>
      <c r="CC347" s="73">
        <v>151.8408560625</v>
      </c>
      <c r="CD347" s="40">
        <v>191.58754500430575</v>
      </c>
      <c r="CE347" s="52">
        <v>39.746688941805758</v>
      </c>
      <c r="CF347" s="73">
        <v>18.04049775</v>
      </c>
      <c r="CG347" s="40">
        <v>549.01355137634744</v>
      </c>
      <c r="CH347" s="52">
        <v>530.97305362634745</v>
      </c>
      <c r="CI347" s="73">
        <v>626.04</v>
      </c>
      <c r="CJ347" s="40">
        <v>279.11828001054943</v>
      </c>
      <c r="CK347" s="52">
        <v>-346.92171998945054</v>
      </c>
      <c r="CL347" s="73">
        <v>0</v>
      </c>
      <c r="CM347" s="40">
        <v>0</v>
      </c>
      <c r="CN347" s="52">
        <v>0</v>
      </c>
      <c r="CO347" s="39">
        <v>626.04</v>
      </c>
      <c r="CP347" s="40">
        <v>279.11828001054943</v>
      </c>
      <c r="CQ347" s="52">
        <v>-346.92171998945054</v>
      </c>
      <c r="CR347" s="72">
        <v>30747.626193223576</v>
      </c>
      <c r="CS347" s="5">
        <v>28770.226395720099</v>
      </c>
      <c r="CT347" s="52">
        <v>-1977.3997975034763</v>
      </c>
      <c r="CU347" s="77">
        <v>36897.151431868289</v>
      </c>
      <c r="CV347" s="65">
        <v>34524.271674864118</v>
      </c>
      <c r="CW347" s="35">
        <v>-2372.8797570041716</v>
      </c>
      <c r="CX347" s="73">
        <v>2060.079786468877</v>
      </c>
      <c r="CY347" s="40">
        <v>4432.9595434730509</v>
      </c>
      <c r="CZ347" s="52">
        <v>2372.8797570041738</v>
      </c>
      <c r="DA347" s="150">
        <v>-52080.261426545287</v>
      </c>
      <c r="DB347" s="2">
        <v>2</v>
      </c>
      <c r="DC347" s="648">
        <v>26353.19</v>
      </c>
      <c r="DD347" s="648">
        <v>1040.04</v>
      </c>
      <c r="DE347" s="649">
        <v>-11564.001218337169</v>
      </c>
      <c r="DG347" s="321">
        <v>308215.72267989028</v>
      </c>
      <c r="DH347" s="5">
        <v>467486.77462004602</v>
      </c>
      <c r="DI347" s="306">
        <v>4.5598504657246419</v>
      </c>
      <c r="DJ347" s="306"/>
      <c r="DK347" s="306">
        <v>3.9970676603485762</v>
      </c>
      <c r="DL347" s="28">
        <v>16037.90605804671</v>
      </c>
      <c r="DM347" s="28">
        <v>2674.0382647731976</v>
      </c>
      <c r="DN347" s="650">
        <v>16038.06</v>
      </c>
      <c r="DO347" s="94">
        <v>-0.15394195328917704</v>
      </c>
      <c r="DP347" s="28">
        <v>18711.944322819909</v>
      </c>
      <c r="DQ347" s="318">
        <v>-659.06017891094234</v>
      </c>
      <c r="DS347" s="8">
        <v>18448.575715934145</v>
      </c>
      <c r="DT347" s="5">
        <v>922.4287857967073</v>
      </c>
      <c r="DW347" s="5">
        <v>9716.0111135239331</v>
      </c>
      <c r="DX347" s="5">
        <v>3231.6</v>
      </c>
    </row>
    <row r="348" spans="1:128" x14ac:dyDescent="0.3">
      <c r="A348" s="325">
        <v>150000863</v>
      </c>
      <c r="B348" s="41" t="s">
        <v>794</v>
      </c>
      <c r="C348" s="42" t="s">
        <v>236</v>
      </c>
      <c r="D348" s="42" t="s">
        <v>236</v>
      </c>
      <c r="E348" s="293">
        <v>3272.8</v>
      </c>
      <c r="F348" s="305">
        <v>2228.3000000000002</v>
      </c>
      <c r="G348" s="51"/>
      <c r="H348" s="651">
        <v>1044.5</v>
      </c>
      <c r="I348" s="73">
        <v>1497.2882268444175</v>
      </c>
      <c r="J348" s="40">
        <v>1654.7808070488409</v>
      </c>
      <c r="K348" s="52">
        <v>157.49258020442335</v>
      </c>
      <c r="L348" s="73">
        <v>356.82203247268245</v>
      </c>
      <c r="M348" s="40">
        <v>402.00255922182953</v>
      </c>
      <c r="N348" s="52">
        <v>45.180526749147077</v>
      </c>
      <c r="O348" s="73">
        <v>545.33719601831001</v>
      </c>
      <c r="P348" s="40">
        <v>545.34</v>
      </c>
      <c r="Q348" s="52">
        <v>2.8039816900218284E-3</v>
      </c>
      <c r="R348" s="73">
        <v>157.00198048342665</v>
      </c>
      <c r="S348" s="40">
        <v>157</v>
      </c>
      <c r="T348" s="52">
        <v>-1.9804834266494709E-3</v>
      </c>
      <c r="U348" s="73">
        <v>0</v>
      </c>
      <c r="V348" s="40">
        <v>0</v>
      </c>
      <c r="W348" s="52">
        <v>0</v>
      </c>
      <c r="X348" s="73">
        <v>1161.3460715347296</v>
      </c>
      <c r="Y348" s="40">
        <v>1243.9199623499621</v>
      </c>
      <c r="Z348" s="52">
        <v>82.573890815232517</v>
      </c>
      <c r="AA348" s="73">
        <v>256.38</v>
      </c>
      <c r="AB348" s="40">
        <v>0</v>
      </c>
      <c r="AC348" s="52">
        <v>-256.38</v>
      </c>
      <c r="AD348" s="73">
        <v>2269.9933910071327</v>
      </c>
      <c r="AE348" s="40">
        <v>2949.7914729309896</v>
      </c>
      <c r="AF348" s="35">
        <v>679.7980819238569</v>
      </c>
      <c r="AG348" s="77">
        <v>6244.1688983606982</v>
      </c>
      <c r="AH348" s="53">
        <v>6952.8348015516221</v>
      </c>
      <c r="AI348" s="52">
        <v>708.66590319092393</v>
      </c>
      <c r="AJ348" s="73">
        <v>0</v>
      </c>
      <c r="AK348" s="40">
        <v>0</v>
      </c>
      <c r="AL348" s="52">
        <v>0</v>
      </c>
      <c r="AM348" s="73">
        <v>0</v>
      </c>
      <c r="AN348" s="40">
        <v>0</v>
      </c>
      <c r="AO348" s="52">
        <v>0</v>
      </c>
      <c r="AP348" s="73">
        <v>245.83487499999998</v>
      </c>
      <c r="AQ348" s="40">
        <v>0</v>
      </c>
      <c r="AR348" s="52">
        <v>-245.83487499999998</v>
      </c>
      <c r="AS348" s="73">
        <v>3370.6268227502833</v>
      </c>
      <c r="AT348" s="40">
        <v>2576</v>
      </c>
      <c r="AU348" s="54">
        <v>-794.62682275028328</v>
      </c>
      <c r="AV348" s="73">
        <v>796.75144085918942</v>
      </c>
      <c r="AW348" s="40">
        <v>0</v>
      </c>
      <c r="AX348" s="55">
        <v>-796.75144085918942</v>
      </c>
      <c r="AY348" s="73">
        <v>987.6139483018186</v>
      </c>
      <c r="AZ348" s="40">
        <v>0</v>
      </c>
      <c r="BA348" s="35">
        <v>-987.6139483018186</v>
      </c>
      <c r="BB348" s="73">
        <v>195.47924909544679</v>
      </c>
      <c r="BC348" s="40">
        <v>712</v>
      </c>
      <c r="BD348" s="55">
        <v>516.52075090455321</v>
      </c>
      <c r="BE348" s="73">
        <v>734.68319464139995</v>
      </c>
      <c r="BF348" s="40">
        <v>0</v>
      </c>
      <c r="BG348" s="38">
        <v>-734.68319464139995</v>
      </c>
      <c r="BH348" s="73">
        <v>0</v>
      </c>
      <c r="BI348" s="40">
        <v>0</v>
      </c>
      <c r="BJ348" s="55">
        <v>0</v>
      </c>
      <c r="BK348" s="73">
        <v>900.10521282160119</v>
      </c>
      <c r="BL348" s="40">
        <v>0</v>
      </c>
      <c r="BM348" s="38">
        <v>-900.10521282160119</v>
      </c>
      <c r="BN348" s="73">
        <v>64.094999999999999</v>
      </c>
      <c r="BO348" s="40">
        <v>0</v>
      </c>
      <c r="BP348" s="55">
        <v>-64.094999999999999</v>
      </c>
      <c r="BQ348" s="77">
        <v>3678.7280457194556</v>
      </c>
      <c r="BR348" s="40">
        <v>712</v>
      </c>
      <c r="BS348" s="55">
        <v>-2966.7280457194556</v>
      </c>
      <c r="BT348" s="73">
        <v>5151.1538020606004</v>
      </c>
      <c r="BU348" s="40">
        <v>764.6057551189823</v>
      </c>
      <c r="BV348" s="52">
        <v>-4386.5480469416179</v>
      </c>
      <c r="BW348" s="73">
        <v>2955.8270262344599</v>
      </c>
      <c r="BX348" s="40">
        <v>2753.8924696957361</v>
      </c>
      <c r="BY348" s="52">
        <v>-201.93455653872388</v>
      </c>
      <c r="BZ348" s="73">
        <v>2748.08088680832</v>
      </c>
      <c r="CA348" s="40">
        <v>7075.7417940873484</v>
      </c>
      <c r="CB348" s="52">
        <v>4327.6609072790288</v>
      </c>
      <c r="CC348" s="73">
        <v>141.33614274999999</v>
      </c>
      <c r="CD348" s="40">
        <v>178.33306075872486</v>
      </c>
      <c r="CE348" s="52">
        <v>36.996918008724862</v>
      </c>
      <c r="CF348" s="73">
        <v>16.792413</v>
      </c>
      <c r="CG348" s="40">
        <v>0</v>
      </c>
      <c r="CH348" s="52">
        <v>-16.792413</v>
      </c>
      <c r="CI348" s="73">
        <v>834.72</v>
      </c>
      <c r="CJ348" s="40">
        <v>1145.7465435525032</v>
      </c>
      <c r="CK348" s="52">
        <v>311.0265435525032</v>
      </c>
      <c r="CL348" s="73">
        <v>0</v>
      </c>
      <c r="CM348" s="40">
        <v>0</v>
      </c>
      <c r="CN348" s="52">
        <v>0</v>
      </c>
      <c r="CO348" s="39">
        <v>834.72</v>
      </c>
      <c r="CP348" s="40">
        <v>1145.7465435525032</v>
      </c>
      <c r="CQ348" s="52">
        <v>311.0265435525032</v>
      </c>
      <c r="CR348" s="72">
        <v>25387.268912683812</v>
      </c>
      <c r="CS348" s="5">
        <v>22159.154424764918</v>
      </c>
      <c r="CT348" s="52">
        <v>-3228.1144879188942</v>
      </c>
      <c r="CU348" s="77">
        <v>30464.722695220575</v>
      </c>
      <c r="CV348" s="65">
        <v>26590.9853097179</v>
      </c>
      <c r="CW348" s="35">
        <v>-3873.7373855026744</v>
      </c>
      <c r="CX348" s="73">
        <v>1700.9377957182239</v>
      </c>
      <c r="CY348" s="40">
        <v>5574.6751812208968</v>
      </c>
      <c r="CZ348" s="52">
        <v>3873.7373855026726</v>
      </c>
      <c r="DA348" s="150">
        <v>3539.818363821083</v>
      </c>
      <c r="DB348" s="2">
        <v>2</v>
      </c>
      <c r="DC348" s="648">
        <v>30824</v>
      </c>
      <c r="DD348" s="648">
        <v>7399.21</v>
      </c>
      <c r="DE348" s="649">
        <v>6057.5495090612021</v>
      </c>
      <c r="DG348" s="321">
        <v>-32155.243716401848</v>
      </c>
      <c r="DH348" s="5">
        <v>385987.92589126556</v>
      </c>
      <c r="DI348" s="306">
        <v>5.2458612809878131</v>
      </c>
      <c r="DJ348" s="306"/>
      <c r="DK348" s="306">
        <v>4.409644555258005</v>
      </c>
      <c r="DL348" s="28">
        <v>11689.352692425146</v>
      </c>
      <c r="DM348" s="28">
        <v>4605.8737379669865</v>
      </c>
      <c r="DN348" s="650">
        <v>11689.47</v>
      </c>
      <c r="DO348" s="94">
        <v>-0.11730757485383947</v>
      </c>
      <c r="DP348" s="28">
        <v>16295.226430392133</v>
      </c>
      <c r="DQ348" s="318">
        <v>301.24701540133174</v>
      </c>
      <c r="DS348" s="8">
        <v>15232.361347610287</v>
      </c>
      <c r="DT348" s="5">
        <v>761.61806738051439</v>
      </c>
      <c r="DW348" s="5">
        <v>8459.225842163687</v>
      </c>
      <c r="DX348" s="5">
        <v>3945.6</v>
      </c>
    </row>
    <row r="349" spans="1:128" x14ac:dyDescent="0.3">
      <c r="A349" s="325">
        <v>150000864</v>
      </c>
      <c r="B349" s="41" t="s">
        <v>795</v>
      </c>
      <c r="C349" s="42" t="s">
        <v>201</v>
      </c>
      <c r="D349" s="42" t="s">
        <v>201</v>
      </c>
      <c r="E349" s="293">
        <v>3973.0600000000004</v>
      </c>
      <c r="F349" s="305">
        <v>3022.76</v>
      </c>
      <c r="G349" s="51"/>
      <c r="H349" s="651">
        <v>950.3</v>
      </c>
      <c r="I349" s="73">
        <v>1508.537085690828</v>
      </c>
      <c r="J349" s="40">
        <v>1665.3851825682793</v>
      </c>
      <c r="K349" s="52">
        <v>156.84809687745133</v>
      </c>
      <c r="L349" s="73">
        <v>310.11814006084234</v>
      </c>
      <c r="M349" s="40">
        <v>349.38544255894078</v>
      </c>
      <c r="N349" s="52">
        <v>39.267302498098445</v>
      </c>
      <c r="O349" s="73">
        <v>614.21375814797011</v>
      </c>
      <c r="P349" s="40">
        <v>614.20000000000005</v>
      </c>
      <c r="Q349" s="52">
        <v>-1.3758147970065693E-2</v>
      </c>
      <c r="R349" s="73">
        <v>0</v>
      </c>
      <c r="S349" s="40">
        <v>0</v>
      </c>
      <c r="T349" s="52">
        <v>0</v>
      </c>
      <c r="U349" s="73">
        <v>0</v>
      </c>
      <c r="V349" s="40">
        <v>0</v>
      </c>
      <c r="W349" s="52">
        <v>0</v>
      </c>
      <c r="X349" s="73">
        <v>1531.9576451353441</v>
      </c>
      <c r="Y349" s="40">
        <v>1663.1108185176645</v>
      </c>
      <c r="Z349" s="52">
        <v>131.15317338232035</v>
      </c>
      <c r="AA349" s="73">
        <v>312.61279999999999</v>
      </c>
      <c r="AB349" s="40">
        <v>0</v>
      </c>
      <c r="AC349" s="52">
        <v>-312.61279999999999</v>
      </c>
      <c r="AD349" s="73">
        <v>2779.9735118733502</v>
      </c>
      <c r="AE349" s="40">
        <v>3580.9394125651424</v>
      </c>
      <c r="AF349" s="35">
        <v>800.96590069179229</v>
      </c>
      <c r="AG349" s="77">
        <v>7057.4129409083343</v>
      </c>
      <c r="AH349" s="53">
        <v>7873.020856210027</v>
      </c>
      <c r="AI349" s="52">
        <v>815.60791530169263</v>
      </c>
      <c r="AJ349" s="73">
        <v>0</v>
      </c>
      <c r="AK349" s="40">
        <v>0</v>
      </c>
      <c r="AL349" s="52">
        <v>0</v>
      </c>
      <c r="AM349" s="73">
        <v>0</v>
      </c>
      <c r="AN349" s="40">
        <v>0</v>
      </c>
      <c r="AO349" s="52">
        <v>0</v>
      </c>
      <c r="AP349" s="73">
        <v>983.33949999999993</v>
      </c>
      <c r="AQ349" s="40">
        <v>2900.0338875357406</v>
      </c>
      <c r="AR349" s="52">
        <v>1916.6943875357406</v>
      </c>
      <c r="AS349" s="73">
        <v>4013.5191325560113</v>
      </c>
      <c r="AT349" s="40">
        <v>0</v>
      </c>
      <c r="AU349" s="54">
        <v>-4013.5191325560113</v>
      </c>
      <c r="AV349" s="73">
        <v>732.20624104180138</v>
      </c>
      <c r="AW349" s="40">
        <v>0</v>
      </c>
      <c r="AX349" s="55">
        <v>-732.20624104180138</v>
      </c>
      <c r="AY349" s="73">
        <v>858.28419441987899</v>
      </c>
      <c r="AZ349" s="40">
        <v>0</v>
      </c>
      <c r="BA349" s="35">
        <v>-858.28419441987899</v>
      </c>
      <c r="BB349" s="73">
        <v>230.52514125833341</v>
      </c>
      <c r="BC349" s="40">
        <v>0</v>
      </c>
      <c r="BD349" s="55">
        <v>-230.52514125833341</v>
      </c>
      <c r="BE349" s="73">
        <v>0</v>
      </c>
      <c r="BF349" s="40">
        <v>0</v>
      </c>
      <c r="BG349" s="38">
        <v>0</v>
      </c>
      <c r="BH349" s="73">
        <v>0</v>
      </c>
      <c r="BI349" s="40">
        <v>0</v>
      </c>
      <c r="BJ349" s="55">
        <v>0</v>
      </c>
      <c r="BK349" s="73">
        <v>1323.320266173904</v>
      </c>
      <c r="BL349" s="40">
        <v>0</v>
      </c>
      <c r="BM349" s="38">
        <v>-1323.320266173904</v>
      </c>
      <c r="BN349" s="73">
        <v>78.153199999999998</v>
      </c>
      <c r="BO349" s="40">
        <v>0</v>
      </c>
      <c r="BP349" s="55">
        <v>-78.153199999999998</v>
      </c>
      <c r="BQ349" s="77">
        <v>3222.4890428939179</v>
      </c>
      <c r="BR349" s="40">
        <v>0</v>
      </c>
      <c r="BS349" s="55">
        <v>-3222.4890428939179</v>
      </c>
      <c r="BT349" s="73">
        <v>5976.2785395366</v>
      </c>
      <c r="BU349" s="40">
        <v>1594.6861304427593</v>
      </c>
      <c r="BV349" s="52">
        <v>-4381.5924090938406</v>
      </c>
      <c r="BW349" s="73">
        <v>4140.7745816383404</v>
      </c>
      <c r="BX349" s="40">
        <v>5381.3059817375961</v>
      </c>
      <c r="BY349" s="52">
        <v>1240.5314000992557</v>
      </c>
      <c r="BZ349" s="73">
        <v>2483.8658803426001</v>
      </c>
      <c r="CA349" s="40">
        <v>9241.8875301897406</v>
      </c>
      <c r="CB349" s="52">
        <v>6758.02164984714</v>
      </c>
      <c r="CC349" s="73">
        <v>106.957081</v>
      </c>
      <c r="CD349" s="40">
        <v>134.95474868227825</v>
      </c>
      <c r="CE349" s="52">
        <v>27.997667682278248</v>
      </c>
      <c r="CF349" s="73">
        <v>12.707772</v>
      </c>
      <c r="CG349" s="40">
        <v>0</v>
      </c>
      <c r="CH349" s="52">
        <v>-12.707772</v>
      </c>
      <c r="CI349" s="73">
        <v>825.38</v>
      </c>
      <c r="CJ349" s="40">
        <v>480.02048759867785</v>
      </c>
      <c r="CK349" s="52">
        <v>-345.35951240132215</v>
      </c>
      <c r="CL349" s="73">
        <v>0</v>
      </c>
      <c r="CM349" s="40">
        <v>0</v>
      </c>
      <c r="CN349" s="52">
        <v>0</v>
      </c>
      <c r="CO349" s="39">
        <v>825.38</v>
      </c>
      <c r="CP349" s="40">
        <v>480.02048759867785</v>
      </c>
      <c r="CQ349" s="52">
        <v>-345.35951240132215</v>
      </c>
      <c r="CR349" s="72">
        <v>28822.724470875808</v>
      </c>
      <c r="CS349" s="5">
        <v>27605.909622396819</v>
      </c>
      <c r="CT349" s="52">
        <v>-1216.814848478989</v>
      </c>
      <c r="CU349" s="77">
        <v>34587.269365050968</v>
      </c>
      <c r="CV349" s="65">
        <v>33127.091546876181</v>
      </c>
      <c r="CW349" s="35">
        <v>-1460.1778181747868</v>
      </c>
      <c r="CX349" s="73">
        <v>1931.1120702546837</v>
      </c>
      <c r="CY349" s="40">
        <v>3391.28988842947</v>
      </c>
      <c r="CZ349" s="52">
        <v>1460.1778181747864</v>
      </c>
      <c r="DA349" s="150">
        <v>-20661.601559986342</v>
      </c>
      <c r="DB349" s="2">
        <v>2</v>
      </c>
      <c r="DC349" s="648">
        <v>31326.07</v>
      </c>
      <c r="DD349" s="648">
        <v>15055.570000000002</v>
      </c>
      <c r="DE349" s="649">
        <v>9863.258564694348</v>
      </c>
      <c r="DG349" s="321">
        <v>25032.335112737663</v>
      </c>
      <c r="DH349" s="5">
        <v>438220.57722366782</v>
      </c>
      <c r="DI349" s="306">
        <v>4.8429123445135245</v>
      </c>
      <c r="DJ349" s="306"/>
      <c r="DK349" s="306">
        <v>3.979268521370745</v>
      </c>
      <c r="DL349" s="28">
        <v>14638.961718501703</v>
      </c>
      <c r="DM349" s="28">
        <v>3781.4988758586187</v>
      </c>
      <c r="DN349" s="650">
        <v>14638.91</v>
      </c>
      <c r="DO349" s="94">
        <v>5.1718501703362563E-2</v>
      </c>
      <c r="DP349" s="28">
        <v>18420.460594360324</v>
      </c>
      <c r="DQ349" s="318">
        <v>262.1441777085638</v>
      </c>
      <c r="DS349" s="8">
        <v>17293.634682525484</v>
      </c>
      <c r="DT349" s="5">
        <v>864.68173412627425</v>
      </c>
      <c r="DW349" s="5">
        <v>8683.2098105399145</v>
      </c>
      <c r="DX349" s="5">
        <v>0</v>
      </c>
    </row>
    <row r="350" spans="1:128" x14ac:dyDescent="0.3">
      <c r="A350" s="325">
        <v>150000865</v>
      </c>
      <c r="B350" s="41" t="s">
        <v>796</v>
      </c>
      <c r="C350" s="42" t="s">
        <v>306</v>
      </c>
      <c r="D350" s="42" t="s">
        <v>306</v>
      </c>
      <c r="E350" s="293">
        <v>9137</v>
      </c>
      <c r="F350" s="305">
        <v>6585.6</v>
      </c>
      <c r="G350" s="51"/>
      <c r="H350" s="651">
        <v>2551.4</v>
      </c>
      <c r="I350" s="73">
        <v>3979.9193996255772</v>
      </c>
      <c r="J350" s="40">
        <v>4420.3326702047461</v>
      </c>
      <c r="K350" s="52">
        <v>440.41327057916897</v>
      </c>
      <c r="L350" s="73">
        <v>888.57667955386637</v>
      </c>
      <c r="M350" s="40">
        <v>1001.0881021328693</v>
      </c>
      <c r="N350" s="52">
        <v>112.5114225790029</v>
      </c>
      <c r="O350" s="73">
        <v>1656.1404317744034</v>
      </c>
      <c r="P350" s="40">
        <v>1656.14</v>
      </c>
      <c r="Q350" s="52">
        <v>-4.3177440329600358E-4</v>
      </c>
      <c r="R350" s="73">
        <v>0</v>
      </c>
      <c r="S350" s="40">
        <v>0</v>
      </c>
      <c r="T350" s="52">
        <v>0</v>
      </c>
      <c r="U350" s="73">
        <v>0</v>
      </c>
      <c r="V350" s="40">
        <v>0</v>
      </c>
      <c r="W350" s="52">
        <v>0</v>
      </c>
      <c r="X350" s="73">
        <v>3461.3978764050698</v>
      </c>
      <c r="Y350" s="40">
        <v>3817.0758170034828</v>
      </c>
      <c r="Z350" s="52">
        <v>355.67794059841299</v>
      </c>
      <c r="AA350" s="73">
        <v>733.63519999999994</v>
      </c>
      <c r="AB350" s="40">
        <v>0</v>
      </c>
      <c r="AC350" s="52">
        <v>-733.63519999999994</v>
      </c>
      <c r="AD350" s="73">
        <v>6504.0626273769858</v>
      </c>
      <c r="AE350" s="40">
        <v>8235.2250941611019</v>
      </c>
      <c r="AF350" s="35">
        <v>1731.1624667841161</v>
      </c>
      <c r="AG350" s="77">
        <v>17223.732214735905</v>
      </c>
      <c r="AH350" s="53">
        <v>19129.8616835022</v>
      </c>
      <c r="AI350" s="52">
        <v>1906.1294687662958</v>
      </c>
      <c r="AJ350" s="73">
        <v>0</v>
      </c>
      <c r="AK350" s="40">
        <v>0</v>
      </c>
      <c r="AL350" s="52">
        <v>0</v>
      </c>
      <c r="AM350" s="73">
        <v>0</v>
      </c>
      <c r="AN350" s="40">
        <v>0</v>
      </c>
      <c r="AO350" s="52">
        <v>0</v>
      </c>
      <c r="AP350" s="73">
        <v>3044.5703749999998</v>
      </c>
      <c r="AQ350" s="40">
        <v>8978.9510748702742</v>
      </c>
      <c r="AR350" s="52">
        <v>5934.3806998702748</v>
      </c>
      <c r="AS350" s="73">
        <v>7642.0840535438901</v>
      </c>
      <c r="AT350" s="40">
        <v>2576</v>
      </c>
      <c r="AU350" s="54">
        <v>-5066.0840535438901</v>
      </c>
      <c r="AV350" s="73">
        <v>1809.7742844227569</v>
      </c>
      <c r="AW350" s="40">
        <v>0</v>
      </c>
      <c r="AX350" s="55">
        <v>-1809.7742844227569</v>
      </c>
      <c r="AY350" s="73">
        <v>2459.3563011134338</v>
      </c>
      <c r="AZ350" s="40">
        <v>0</v>
      </c>
      <c r="BA350" s="35">
        <v>-2459.3563011134338</v>
      </c>
      <c r="BB350" s="73">
        <v>571.11774525335397</v>
      </c>
      <c r="BC350" s="40">
        <v>731</v>
      </c>
      <c r="BD350" s="55">
        <v>159.88225474664603</v>
      </c>
      <c r="BE350" s="73">
        <v>0</v>
      </c>
      <c r="BF350" s="40">
        <v>0</v>
      </c>
      <c r="BG350" s="38">
        <v>0</v>
      </c>
      <c r="BH350" s="73">
        <v>0</v>
      </c>
      <c r="BI350" s="40">
        <v>0</v>
      </c>
      <c r="BJ350" s="55">
        <v>0</v>
      </c>
      <c r="BK350" s="73">
        <v>3044.1582925055322</v>
      </c>
      <c r="BL350" s="40">
        <v>0</v>
      </c>
      <c r="BM350" s="38">
        <v>-3044.1582925055322</v>
      </c>
      <c r="BN350" s="73">
        <v>183.40879999999999</v>
      </c>
      <c r="BO350" s="40">
        <v>0</v>
      </c>
      <c r="BP350" s="55">
        <v>-183.40879999999999</v>
      </c>
      <c r="BQ350" s="77">
        <v>8067.8154232950774</v>
      </c>
      <c r="BR350" s="40">
        <v>731</v>
      </c>
      <c r="BS350" s="55">
        <v>-7336.8154232950774</v>
      </c>
      <c r="BT350" s="73">
        <v>9642.8568567908806</v>
      </c>
      <c r="BU350" s="40">
        <v>2719.3542898218288</v>
      </c>
      <c r="BV350" s="52">
        <v>-6923.5025669690513</v>
      </c>
      <c r="BW350" s="73">
        <v>5764.8867333427997</v>
      </c>
      <c r="BX350" s="40">
        <v>6626.5223586827178</v>
      </c>
      <c r="BY350" s="52">
        <v>861.63562533991808</v>
      </c>
      <c r="BZ350" s="73">
        <v>5335.6690371589202</v>
      </c>
      <c r="CA350" s="40">
        <v>17050.360424399943</v>
      </c>
      <c r="CB350" s="52">
        <v>11714.691387241022</v>
      </c>
      <c r="CC350" s="73">
        <v>118.034778675</v>
      </c>
      <c r="CD350" s="40">
        <v>148.93220479579995</v>
      </c>
      <c r="CE350" s="52">
        <v>30.897426120799949</v>
      </c>
      <c r="CF350" s="73">
        <v>14.0239341</v>
      </c>
      <c r="CG350" s="40">
        <v>0</v>
      </c>
      <c r="CH350" s="52">
        <v>-14.0239341</v>
      </c>
      <c r="CI350" s="73">
        <v>2535.3200000000002</v>
      </c>
      <c r="CJ350" s="40">
        <v>2867.8689570926263</v>
      </c>
      <c r="CK350" s="52">
        <v>332.5489570926261</v>
      </c>
      <c r="CL350" s="73">
        <v>0</v>
      </c>
      <c r="CM350" s="40">
        <v>0</v>
      </c>
      <c r="CN350" s="52">
        <v>0</v>
      </c>
      <c r="CO350" s="39">
        <v>2535.3200000000002</v>
      </c>
      <c r="CP350" s="40">
        <v>2867.8689570926263</v>
      </c>
      <c r="CQ350" s="52">
        <v>332.5489570926261</v>
      </c>
      <c r="CR350" s="72">
        <v>59388.993406642468</v>
      </c>
      <c r="CS350" s="5">
        <v>60828.85099316539</v>
      </c>
      <c r="CT350" s="52">
        <v>1439.8575865229213</v>
      </c>
      <c r="CU350" s="77">
        <v>71266.792087970956</v>
      </c>
      <c r="CV350" s="65">
        <v>72994.621191798462</v>
      </c>
      <c r="CW350" s="35">
        <v>1727.8291038275056</v>
      </c>
      <c r="CX350" s="73">
        <v>3979.0409863484433</v>
      </c>
      <c r="CY350" s="40">
        <v>2251.2118825209327</v>
      </c>
      <c r="CZ350" s="52">
        <v>-1727.8291038275106</v>
      </c>
      <c r="DA350" s="150">
        <v>-13210.277976258873</v>
      </c>
      <c r="DB350" s="2">
        <v>2</v>
      </c>
      <c r="DC350" s="648">
        <v>68558.149999999994</v>
      </c>
      <c r="DD350" s="648">
        <v>14161.43</v>
      </c>
      <c r="DE350" s="649">
        <v>7473.7469256805925</v>
      </c>
      <c r="DG350" s="321">
        <v>126053.74307665952</v>
      </c>
      <c r="DH350" s="5">
        <v>902949.99689183268</v>
      </c>
      <c r="DI350" s="306">
        <v>4.2353815861654516</v>
      </c>
      <c r="DJ350" s="306"/>
      <c r="DK350" s="306">
        <v>3.6839221677671721</v>
      </c>
      <c r="DL350" s="28">
        <v>27892.5289738512</v>
      </c>
      <c r="DM350" s="28">
        <v>9399.1590188411628</v>
      </c>
      <c r="DN350" s="650">
        <v>27892.69</v>
      </c>
      <c r="DO350" s="94">
        <v>-0.16102614879855537</v>
      </c>
      <c r="DP350" s="28">
        <v>37291.687992692365</v>
      </c>
      <c r="DQ350" s="318">
        <v>-123.37785349238402</v>
      </c>
      <c r="DS350" s="8">
        <v>35633.396043985478</v>
      </c>
      <c r="DT350" s="5">
        <v>1781.6698021992743</v>
      </c>
      <c r="DW350" s="5">
        <v>18851.87937220676</v>
      </c>
      <c r="DX350" s="5">
        <v>3968.3999999999996</v>
      </c>
    </row>
    <row r="351" spans="1:128" x14ac:dyDescent="0.3">
      <c r="A351" s="325">
        <v>150000873</v>
      </c>
      <c r="B351" s="41" t="s">
        <v>797</v>
      </c>
      <c r="C351" s="42" t="s">
        <v>307</v>
      </c>
      <c r="D351" s="42" t="s">
        <v>307</v>
      </c>
      <c r="E351" s="293">
        <v>2609.52</v>
      </c>
      <c r="F351" s="305">
        <v>2468.92</v>
      </c>
      <c r="G351" s="51"/>
      <c r="H351" s="651">
        <v>140.6</v>
      </c>
      <c r="I351" s="73">
        <v>1313.1814061502803</v>
      </c>
      <c r="J351" s="40">
        <v>1457.4769727125431</v>
      </c>
      <c r="K351" s="52">
        <v>144.29556656226282</v>
      </c>
      <c r="L351" s="73">
        <v>268.16706584599478</v>
      </c>
      <c r="M351" s="40">
        <v>302.12251908098995</v>
      </c>
      <c r="N351" s="52">
        <v>33.955453234995161</v>
      </c>
      <c r="O351" s="73">
        <v>469.8939444685933</v>
      </c>
      <c r="P351" s="40">
        <v>469.88</v>
      </c>
      <c r="Q351" s="52">
        <v>-1.3944468593308557E-2</v>
      </c>
      <c r="R351" s="73">
        <v>0</v>
      </c>
      <c r="S351" s="40">
        <v>0</v>
      </c>
      <c r="T351" s="52">
        <v>0</v>
      </c>
      <c r="U351" s="73">
        <v>0</v>
      </c>
      <c r="V351" s="40">
        <v>0</v>
      </c>
      <c r="W351" s="52">
        <v>0</v>
      </c>
      <c r="X351" s="73">
        <v>599.41144119563455</v>
      </c>
      <c r="Y351" s="40">
        <v>631.06002443134071</v>
      </c>
      <c r="Z351" s="52">
        <v>31.648583235706155</v>
      </c>
      <c r="AA351" s="73">
        <v>208.7568</v>
      </c>
      <c r="AB351" s="40">
        <v>0</v>
      </c>
      <c r="AC351" s="52">
        <v>-208.7568</v>
      </c>
      <c r="AD351" s="73">
        <v>1874.3483741471323</v>
      </c>
      <c r="AE351" s="40">
        <v>2351.9737974953787</v>
      </c>
      <c r="AF351" s="35">
        <v>477.62542334824639</v>
      </c>
      <c r="AG351" s="77">
        <v>4733.7590318076345</v>
      </c>
      <c r="AH351" s="53">
        <v>5212.5133137202529</v>
      </c>
      <c r="AI351" s="52">
        <v>478.75428191261835</v>
      </c>
      <c r="AJ351" s="73">
        <v>0</v>
      </c>
      <c r="AK351" s="40">
        <v>0</v>
      </c>
      <c r="AL351" s="52">
        <v>0</v>
      </c>
      <c r="AM351" s="73">
        <v>0</v>
      </c>
      <c r="AN351" s="40">
        <v>0</v>
      </c>
      <c r="AO351" s="52">
        <v>0</v>
      </c>
      <c r="AP351" s="73">
        <v>1096.8017499999999</v>
      </c>
      <c r="AQ351" s="40">
        <v>0</v>
      </c>
      <c r="AR351" s="52">
        <v>-1096.8017499999999</v>
      </c>
      <c r="AS351" s="73">
        <v>2252.3722794381633</v>
      </c>
      <c r="AT351" s="40">
        <v>0</v>
      </c>
      <c r="AU351" s="54">
        <v>-2252.3722794381633</v>
      </c>
      <c r="AV351" s="73">
        <v>572.30885860228034</v>
      </c>
      <c r="AW351" s="40">
        <v>0</v>
      </c>
      <c r="AX351" s="55">
        <v>-572.30885860228034</v>
      </c>
      <c r="AY351" s="73">
        <v>742.20169132988531</v>
      </c>
      <c r="AZ351" s="40">
        <v>0</v>
      </c>
      <c r="BA351" s="35">
        <v>-742.20169132988531</v>
      </c>
      <c r="BB351" s="73">
        <v>160.94790721874</v>
      </c>
      <c r="BC351" s="40">
        <v>756</v>
      </c>
      <c r="BD351" s="55">
        <v>595.05209278125994</v>
      </c>
      <c r="BE351" s="73">
        <v>0</v>
      </c>
      <c r="BF351" s="40">
        <v>0</v>
      </c>
      <c r="BG351" s="38">
        <v>0</v>
      </c>
      <c r="BH351" s="73">
        <v>0</v>
      </c>
      <c r="BI351" s="40">
        <v>0</v>
      </c>
      <c r="BJ351" s="55">
        <v>0</v>
      </c>
      <c r="BK351" s="73">
        <v>355.90848560922518</v>
      </c>
      <c r="BL351" s="40">
        <v>0</v>
      </c>
      <c r="BM351" s="38">
        <v>-355.90848560922518</v>
      </c>
      <c r="BN351" s="73">
        <v>52.1892</v>
      </c>
      <c r="BO351" s="40">
        <v>0</v>
      </c>
      <c r="BP351" s="55">
        <v>-52.1892</v>
      </c>
      <c r="BQ351" s="77">
        <v>1883.556142760131</v>
      </c>
      <c r="BR351" s="40">
        <v>756</v>
      </c>
      <c r="BS351" s="55">
        <v>-1127.556142760131</v>
      </c>
      <c r="BT351" s="73">
        <v>3586.2358651838599</v>
      </c>
      <c r="BU351" s="40">
        <v>636.70100386968545</v>
      </c>
      <c r="BV351" s="52">
        <v>-2949.5348613141746</v>
      </c>
      <c r="BW351" s="73">
        <v>1374.7310440295321</v>
      </c>
      <c r="BX351" s="40">
        <v>1249.3946669244801</v>
      </c>
      <c r="BY351" s="52">
        <v>-125.33637710505195</v>
      </c>
      <c r="BZ351" s="73">
        <v>1671.0361470976541</v>
      </c>
      <c r="CA351" s="40">
        <v>4933.5323476266312</v>
      </c>
      <c r="CB351" s="52">
        <v>3262.4962005289772</v>
      </c>
      <c r="CC351" s="73">
        <v>88.621581399999997</v>
      </c>
      <c r="CD351" s="40">
        <v>111.81964890817341</v>
      </c>
      <c r="CE351" s="52">
        <v>23.198067508173409</v>
      </c>
      <c r="CF351" s="73">
        <v>10.529296799999999</v>
      </c>
      <c r="CG351" s="40">
        <v>0</v>
      </c>
      <c r="CH351" s="52">
        <v>-10.529296799999999</v>
      </c>
      <c r="CI351" s="73">
        <v>1043.4000000000001</v>
      </c>
      <c r="CJ351" s="40">
        <v>1364.9345112784499</v>
      </c>
      <c r="CK351" s="52">
        <v>321.53451127844983</v>
      </c>
      <c r="CL351" s="73">
        <v>0</v>
      </c>
      <c r="CM351" s="40">
        <v>0</v>
      </c>
      <c r="CN351" s="52">
        <v>0</v>
      </c>
      <c r="CO351" s="39">
        <v>1043.4000000000001</v>
      </c>
      <c r="CP351" s="40">
        <v>1364.9345112784499</v>
      </c>
      <c r="CQ351" s="52">
        <v>321.53451127844983</v>
      </c>
      <c r="CR351" s="72">
        <v>17741.043138516976</v>
      </c>
      <c r="CS351" s="5">
        <v>14264.895492327672</v>
      </c>
      <c r="CT351" s="52">
        <v>-3476.1476461893035</v>
      </c>
      <c r="CU351" s="77">
        <v>21289.251766220372</v>
      </c>
      <c r="CV351" s="65">
        <v>17117.874590793206</v>
      </c>
      <c r="CW351" s="35">
        <v>-4171.3771754271656</v>
      </c>
      <c r="CX351" s="73">
        <v>1188.6434461918216</v>
      </c>
      <c r="CY351" s="40">
        <v>5360.0206216189872</v>
      </c>
      <c r="CZ351" s="52">
        <v>4171.3771754271656</v>
      </c>
      <c r="DA351" s="150">
        <v>84499.003668444377</v>
      </c>
      <c r="DB351" s="2">
        <v>2</v>
      </c>
      <c r="DC351" s="648">
        <v>16392.759999999998</v>
      </c>
      <c r="DD351" s="648">
        <v>6243.62</v>
      </c>
      <c r="DE351" s="649">
        <v>158.48478758780402</v>
      </c>
      <c r="DG351" s="321">
        <v>48081.118220302917</v>
      </c>
      <c r="DH351" s="5">
        <v>269734.74254894629</v>
      </c>
      <c r="DI351" s="306">
        <v>4.3021084484201539</v>
      </c>
      <c r="DJ351" s="306"/>
      <c r="DK351" s="306">
        <v>3.9513066379737918</v>
      </c>
      <c r="DL351" s="28">
        <v>10621.561590473486</v>
      </c>
      <c r="DM351" s="28">
        <v>555.55371329911509</v>
      </c>
      <c r="DN351" s="650">
        <v>10621.53</v>
      </c>
      <c r="DO351" s="94">
        <v>3.1590473485266557E-2</v>
      </c>
      <c r="DP351" s="28">
        <v>11177.115303772602</v>
      </c>
      <c r="DQ351" s="318">
        <v>0.25812650690568262</v>
      </c>
      <c r="DS351" s="8">
        <v>10644.625883110186</v>
      </c>
      <c r="DT351" s="5">
        <v>532.23129415550932</v>
      </c>
      <c r="DW351" s="5">
        <v>4963.1141066379532</v>
      </c>
      <c r="DX351" s="5">
        <v>907.19999999999993</v>
      </c>
    </row>
    <row r="352" spans="1:128" x14ac:dyDescent="0.3">
      <c r="A352" s="325">
        <v>150000874</v>
      </c>
      <c r="B352" s="41" t="s">
        <v>798</v>
      </c>
      <c r="C352" s="42" t="s">
        <v>308</v>
      </c>
      <c r="D352" s="42" t="s">
        <v>308</v>
      </c>
      <c r="E352" s="293">
        <v>2914.7</v>
      </c>
      <c r="F352" s="305">
        <v>2004.8</v>
      </c>
      <c r="G352" s="51"/>
      <c r="H352" s="651">
        <v>909.9</v>
      </c>
      <c r="I352" s="73">
        <v>1162.8674832806639</v>
      </c>
      <c r="J352" s="40">
        <v>1288.8284631619681</v>
      </c>
      <c r="K352" s="52">
        <v>125.96097988130418</v>
      </c>
      <c r="L352" s="73">
        <v>268.16706584599478</v>
      </c>
      <c r="M352" s="40">
        <v>327.25684408930783</v>
      </c>
      <c r="N352" s="52">
        <v>59.089778243313049</v>
      </c>
      <c r="O352" s="73">
        <v>426.04302006781001</v>
      </c>
      <c r="P352" s="40">
        <v>426.06</v>
      </c>
      <c r="Q352" s="52">
        <v>1.6979932189997271E-2</v>
      </c>
      <c r="R352" s="73">
        <v>96.458299092203333</v>
      </c>
      <c r="S352" s="40">
        <v>96.46</v>
      </c>
      <c r="T352" s="52">
        <v>1.7009077966605446E-3</v>
      </c>
      <c r="U352" s="73">
        <v>59.013359818333555</v>
      </c>
      <c r="V352" s="40">
        <v>203.32434152032707</v>
      </c>
      <c r="W352" s="52">
        <v>144.31098170199351</v>
      </c>
      <c r="X352" s="73">
        <v>622.05362661646711</v>
      </c>
      <c r="Y352" s="40">
        <v>629.45508129241512</v>
      </c>
      <c r="Z352" s="52">
        <v>7.4014546759480027</v>
      </c>
      <c r="AA352" s="73">
        <v>182.328</v>
      </c>
      <c r="AB352" s="40">
        <v>0</v>
      </c>
      <c r="AC352" s="52">
        <v>-182.328</v>
      </c>
      <c r="AD352" s="73">
        <v>1631.0090279818633</v>
      </c>
      <c r="AE352" s="40">
        <v>2627.0341011219612</v>
      </c>
      <c r="AF352" s="35">
        <v>996.0250731400979</v>
      </c>
      <c r="AG352" s="77">
        <v>4447.9398827033365</v>
      </c>
      <c r="AH352" s="53">
        <v>5598.4188311859798</v>
      </c>
      <c r="AI352" s="52">
        <v>1150.4789484826433</v>
      </c>
      <c r="AJ352" s="73">
        <v>0</v>
      </c>
      <c r="AK352" s="40">
        <v>0</v>
      </c>
      <c r="AL352" s="52">
        <v>0</v>
      </c>
      <c r="AM352" s="73">
        <v>0</v>
      </c>
      <c r="AN352" s="40">
        <v>0</v>
      </c>
      <c r="AO352" s="52">
        <v>0</v>
      </c>
      <c r="AP352" s="73">
        <v>252.13833333333329</v>
      </c>
      <c r="AQ352" s="40">
        <v>0</v>
      </c>
      <c r="AR352" s="52">
        <v>-252.13833333333329</v>
      </c>
      <c r="AS352" s="73">
        <v>2220.0334467807234</v>
      </c>
      <c r="AT352" s="40">
        <v>1626</v>
      </c>
      <c r="AU352" s="54">
        <v>-594.03344678072335</v>
      </c>
      <c r="AV352" s="73">
        <v>555.19309131891941</v>
      </c>
      <c r="AW352" s="40">
        <v>0</v>
      </c>
      <c r="AX352" s="55">
        <v>-555.19309131891941</v>
      </c>
      <c r="AY352" s="73">
        <v>742.20169132988531</v>
      </c>
      <c r="AZ352" s="40">
        <v>0</v>
      </c>
      <c r="BA352" s="35">
        <v>-742.20169132988531</v>
      </c>
      <c r="BB352" s="73">
        <v>146.90989316913999</v>
      </c>
      <c r="BC352" s="40">
        <v>0</v>
      </c>
      <c r="BD352" s="55">
        <v>-146.90989316913999</v>
      </c>
      <c r="BE352" s="73">
        <v>475.41875833070799</v>
      </c>
      <c r="BF352" s="40">
        <v>0</v>
      </c>
      <c r="BG352" s="38">
        <v>-475.41875833070799</v>
      </c>
      <c r="BH352" s="73">
        <v>284.94336756732315</v>
      </c>
      <c r="BI352" s="40">
        <v>0</v>
      </c>
      <c r="BJ352" s="55">
        <v>-284.94336756732315</v>
      </c>
      <c r="BK352" s="73">
        <v>355.90849797921055</v>
      </c>
      <c r="BL352" s="40">
        <v>0</v>
      </c>
      <c r="BM352" s="38">
        <v>-355.90849797921055</v>
      </c>
      <c r="BN352" s="73">
        <v>45.582000000000001</v>
      </c>
      <c r="BO352" s="40">
        <v>0</v>
      </c>
      <c r="BP352" s="55">
        <v>-45.582000000000001</v>
      </c>
      <c r="BQ352" s="77">
        <v>2606.1572996951863</v>
      </c>
      <c r="BR352" s="40">
        <v>0</v>
      </c>
      <c r="BS352" s="55">
        <v>-2606.1572996951863</v>
      </c>
      <c r="BT352" s="73">
        <v>3566.3361392115398</v>
      </c>
      <c r="BU352" s="40">
        <v>628.91927336048911</v>
      </c>
      <c r="BV352" s="52">
        <v>-2937.4168658510507</v>
      </c>
      <c r="BW352" s="73">
        <v>1979.8833592482599</v>
      </c>
      <c r="BX352" s="40">
        <v>1736.4611999293588</v>
      </c>
      <c r="BY352" s="52">
        <v>-243.42215931890109</v>
      </c>
      <c r="BZ352" s="73">
        <v>1498.593466859194</v>
      </c>
      <c r="CA352" s="40">
        <v>4817.3428778319158</v>
      </c>
      <c r="CB352" s="52">
        <v>3318.7494109727218</v>
      </c>
      <c r="CC352" s="73">
        <v>45.838749</v>
      </c>
      <c r="CD352" s="40">
        <v>57.837749435262111</v>
      </c>
      <c r="CE352" s="52">
        <v>11.999000435262111</v>
      </c>
      <c r="CF352" s="73">
        <v>5.4461880000000003</v>
      </c>
      <c r="CG352" s="40">
        <v>0</v>
      </c>
      <c r="CH352" s="52">
        <v>-5.4461880000000003</v>
      </c>
      <c r="CI352" s="73">
        <v>1015.38</v>
      </c>
      <c r="CJ352" s="40">
        <v>687.03503441939711</v>
      </c>
      <c r="CK352" s="52">
        <v>-328.34496558060289</v>
      </c>
      <c r="CL352" s="73">
        <v>0</v>
      </c>
      <c r="CM352" s="40">
        <v>0</v>
      </c>
      <c r="CN352" s="52">
        <v>0</v>
      </c>
      <c r="CO352" s="39">
        <v>1015.38</v>
      </c>
      <c r="CP352" s="40">
        <v>687.03503441939711</v>
      </c>
      <c r="CQ352" s="52">
        <v>-328.34496558060289</v>
      </c>
      <c r="CR352" s="72">
        <v>17637.746864831573</v>
      </c>
      <c r="CS352" s="5">
        <v>15152.014966162404</v>
      </c>
      <c r="CT352" s="52">
        <v>-2485.7318986691698</v>
      </c>
      <c r="CU352" s="77">
        <v>21165.296237797887</v>
      </c>
      <c r="CV352" s="65">
        <v>18182.417959394883</v>
      </c>
      <c r="CW352" s="35">
        <v>-2982.8782784030045</v>
      </c>
      <c r="CX352" s="73">
        <v>1181.7226333752617</v>
      </c>
      <c r="CY352" s="40">
        <v>4164.6009117782669</v>
      </c>
      <c r="CZ352" s="52">
        <v>2982.8782784030054</v>
      </c>
      <c r="DA352" s="150">
        <v>34281.782710220992</v>
      </c>
      <c r="DB352" s="2">
        <v>2</v>
      </c>
      <c r="DC352" s="648">
        <v>28477.91</v>
      </c>
      <c r="DD352" s="648">
        <v>741.28000000000009</v>
      </c>
      <c r="DE352" s="649">
        <v>6872.1711288268489</v>
      </c>
      <c r="DG352" s="321">
        <v>40635.619076161507</v>
      </c>
      <c r="DH352" s="5">
        <v>268164.22645407781</v>
      </c>
      <c r="DI352" s="306">
        <v>4.9503934753063543</v>
      </c>
      <c r="DJ352" s="306"/>
      <c r="DK352" s="306">
        <v>4.3282234252632561</v>
      </c>
      <c r="DL352" s="28">
        <v>9924.5488392941788</v>
      </c>
      <c r="DM352" s="28">
        <v>3938.2504946470367</v>
      </c>
      <c r="DN352" s="650">
        <v>9924.5499999999993</v>
      </c>
      <c r="DO352" s="94">
        <v>-1.1607058204390341E-3</v>
      </c>
      <c r="DP352" s="28">
        <v>13862.799333941215</v>
      </c>
      <c r="DQ352" s="318">
        <v>2751.0188090973243</v>
      </c>
      <c r="DS352" s="8">
        <v>10582.648118898944</v>
      </c>
      <c r="DT352" s="5">
        <v>529.13240594494721</v>
      </c>
      <c r="DW352" s="5">
        <v>5791.4288957710914</v>
      </c>
      <c r="DX352" s="5">
        <v>1951.1999999999998</v>
      </c>
    </row>
    <row r="353" spans="1:128" x14ac:dyDescent="0.3">
      <c r="A353" s="325">
        <v>150000866</v>
      </c>
      <c r="B353" s="41" t="s">
        <v>799</v>
      </c>
      <c r="C353" s="42" t="s">
        <v>309</v>
      </c>
      <c r="D353" s="42" t="s">
        <v>309</v>
      </c>
      <c r="E353" s="293">
        <v>5026.5</v>
      </c>
      <c r="F353" s="305">
        <v>3834.8</v>
      </c>
      <c r="G353" s="51"/>
      <c r="H353" s="651">
        <v>1191.7</v>
      </c>
      <c r="I353" s="73">
        <v>2506.8442991165512</v>
      </c>
      <c r="J353" s="40">
        <v>2773.8544257442668</v>
      </c>
      <c r="K353" s="52">
        <v>267.01012662771564</v>
      </c>
      <c r="L353" s="73">
        <v>531.75470771760911</v>
      </c>
      <c r="M353" s="40">
        <v>619.76125722223014</v>
      </c>
      <c r="N353" s="52">
        <v>88.006549504621034</v>
      </c>
      <c r="O353" s="73">
        <v>1017.1137723138701</v>
      </c>
      <c r="P353" s="40">
        <v>1017.12</v>
      </c>
      <c r="Q353" s="52">
        <v>6.2276861299324082E-3</v>
      </c>
      <c r="R353" s="73">
        <v>0</v>
      </c>
      <c r="S353" s="40">
        <v>0</v>
      </c>
      <c r="T353" s="52">
        <v>0</v>
      </c>
      <c r="U353" s="73">
        <v>0</v>
      </c>
      <c r="V353" s="40">
        <v>0</v>
      </c>
      <c r="W353" s="52">
        <v>0</v>
      </c>
      <c r="X353" s="73">
        <v>1599.6978544324518</v>
      </c>
      <c r="Y353" s="40">
        <v>1672.1134877522509</v>
      </c>
      <c r="Z353" s="52">
        <v>72.415633319799099</v>
      </c>
      <c r="AA353" s="73">
        <v>402.15440000000001</v>
      </c>
      <c r="AB353" s="40">
        <v>0</v>
      </c>
      <c r="AC353" s="52">
        <v>-402.15440000000001</v>
      </c>
      <c r="AD353" s="73">
        <v>3574.2265629907879</v>
      </c>
      <c r="AE353" s="40">
        <v>4530.4103027033789</v>
      </c>
      <c r="AF353" s="35">
        <v>956.18373971259098</v>
      </c>
      <c r="AG353" s="77">
        <v>9631.7915965712709</v>
      </c>
      <c r="AH353" s="53">
        <v>10613.259473422127</v>
      </c>
      <c r="AI353" s="52">
        <v>981.46787685085656</v>
      </c>
      <c r="AJ353" s="73">
        <v>0</v>
      </c>
      <c r="AK353" s="40">
        <v>0</v>
      </c>
      <c r="AL353" s="52">
        <v>0</v>
      </c>
      <c r="AM353" s="73">
        <v>0</v>
      </c>
      <c r="AN353" s="40">
        <v>0</v>
      </c>
      <c r="AO353" s="52">
        <v>0</v>
      </c>
      <c r="AP353" s="73">
        <v>1739.7544999999998</v>
      </c>
      <c r="AQ353" s="40">
        <v>0</v>
      </c>
      <c r="AR353" s="52">
        <v>-1739.7544999999998</v>
      </c>
      <c r="AS353" s="73">
        <v>4391.1546262668426</v>
      </c>
      <c r="AT353" s="40">
        <v>6023</v>
      </c>
      <c r="AU353" s="54">
        <v>1631.8453737331574</v>
      </c>
      <c r="AV353" s="73">
        <v>1221.3850308307949</v>
      </c>
      <c r="AW353" s="40">
        <v>0</v>
      </c>
      <c r="AX353" s="55">
        <v>-1221.3850308307949</v>
      </c>
      <c r="AY353" s="73">
        <v>1471.7423528116151</v>
      </c>
      <c r="AZ353" s="40">
        <v>0</v>
      </c>
      <c r="BA353" s="35">
        <v>-1471.7423528116151</v>
      </c>
      <c r="BB353" s="73">
        <v>287.62119818814665</v>
      </c>
      <c r="BC353" s="40">
        <v>0</v>
      </c>
      <c r="BD353" s="55">
        <v>-287.62119818814665</v>
      </c>
      <c r="BE353" s="73">
        <v>0</v>
      </c>
      <c r="BF353" s="40">
        <v>0</v>
      </c>
      <c r="BG353" s="38">
        <v>0</v>
      </c>
      <c r="BH353" s="73">
        <v>0</v>
      </c>
      <c r="BI353" s="40">
        <v>0</v>
      </c>
      <c r="BJ353" s="55">
        <v>0</v>
      </c>
      <c r="BK353" s="73">
        <v>1163.9393956659567</v>
      </c>
      <c r="BL353" s="40">
        <v>0</v>
      </c>
      <c r="BM353" s="38">
        <v>-1163.9393956659567</v>
      </c>
      <c r="BN353" s="73">
        <v>167.02929239424589</v>
      </c>
      <c r="BO353" s="40">
        <v>0</v>
      </c>
      <c r="BP353" s="55">
        <v>-167.02929239424589</v>
      </c>
      <c r="BQ353" s="77">
        <v>4311.7172698907589</v>
      </c>
      <c r="BR353" s="40">
        <v>0</v>
      </c>
      <c r="BS353" s="55">
        <v>-4311.7172698907589</v>
      </c>
      <c r="BT353" s="73">
        <v>4430.6937135695398</v>
      </c>
      <c r="BU353" s="40">
        <v>1438.5066814497825</v>
      </c>
      <c r="BV353" s="52">
        <v>-2992.1870321197575</v>
      </c>
      <c r="BW353" s="73">
        <v>2729.8230405332802</v>
      </c>
      <c r="BX353" s="40">
        <v>2932.2489888186483</v>
      </c>
      <c r="BY353" s="52">
        <v>202.42594828536812</v>
      </c>
      <c r="BZ353" s="73">
        <v>3247.8994344427001</v>
      </c>
      <c r="CA353" s="40">
        <v>8961.8123695679624</v>
      </c>
      <c r="CB353" s="52">
        <v>5713.9129351252623</v>
      </c>
      <c r="CC353" s="73">
        <v>12.223666400000001</v>
      </c>
      <c r="CD353" s="40">
        <v>15.423399849403229</v>
      </c>
      <c r="CE353" s="52">
        <v>3.1997334494032277</v>
      </c>
      <c r="CF353" s="73">
        <v>1.4523168</v>
      </c>
      <c r="CG353" s="40">
        <v>0</v>
      </c>
      <c r="CH353" s="52">
        <v>-1.4523168</v>
      </c>
      <c r="CI353" s="73">
        <v>1725.52</v>
      </c>
      <c r="CJ353" s="40">
        <v>2520.6074433163021</v>
      </c>
      <c r="CK353" s="52">
        <v>795.08744331630214</v>
      </c>
      <c r="CL353" s="73">
        <v>0</v>
      </c>
      <c r="CM353" s="40">
        <v>0</v>
      </c>
      <c r="CN353" s="52">
        <v>0</v>
      </c>
      <c r="CO353" s="39">
        <v>1725.52</v>
      </c>
      <c r="CP353" s="40">
        <v>2520.6074433163021</v>
      </c>
      <c r="CQ353" s="52">
        <v>795.08744331630214</v>
      </c>
      <c r="CR353" s="72">
        <v>32222.030164474396</v>
      </c>
      <c r="CS353" s="5">
        <v>32504.858356424222</v>
      </c>
      <c r="CT353" s="52">
        <v>282.82819194982585</v>
      </c>
      <c r="CU353" s="77">
        <v>38666.436197369272</v>
      </c>
      <c r="CV353" s="65">
        <v>39005.830027709068</v>
      </c>
      <c r="CW353" s="35">
        <v>339.39383033979539</v>
      </c>
      <c r="CX353" s="73">
        <v>2158.8643169941201</v>
      </c>
      <c r="CY353" s="40">
        <v>1819.4704866543252</v>
      </c>
      <c r="CZ353" s="52">
        <v>-339.39383033979493</v>
      </c>
      <c r="DA353" s="150">
        <v>-1997.4471182156976</v>
      </c>
      <c r="DB353" s="2">
        <v>1</v>
      </c>
      <c r="DC353" s="648">
        <v>53357.63</v>
      </c>
      <c r="DD353" s="648">
        <v>218.8</v>
      </c>
      <c r="DE353" s="649">
        <v>12751.129485636608</v>
      </c>
      <c r="DG353" s="321">
        <v>6874.8404744491181</v>
      </c>
      <c r="DH353" s="5">
        <v>489903.60617236071</v>
      </c>
      <c r="DI353" s="306">
        <v>4.1445294571903331</v>
      </c>
      <c r="DJ353" s="306"/>
      <c r="DK353" s="306">
        <v>3.6961108446075239</v>
      </c>
      <c r="DL353" s="28">
        <v>15893.441562433491</v>
      </c>
      <c r="DM353" s="28">
        <v>4404.6552935187865</v>
      </c>
      <c r="DN353" s="650">
        <v>15893.26</v>
      </c>
      <c r="DO353" s="94">
        <v>0.18156243349039869</v>
      </c>
      <c r="DP353" s="28">
        <v>20298.096855952277</v>
      </c>
      <c r="DQ353" s="318">
        <v>-1.7821476665922091</v>
      </c>
      <c r="DS353" s="8">
        <v>19333.218098684636</v>
      </c>
      <c r="DT353" s="5">
        <v>966.66090493423189</v>
      </c>
      <c r="DW353" s="5">
        <v>10443.446275389122</v>
      </c>
      <c r="DX353" s="5">
        <v>7227.5999999999995</v>
      </c>
    </row>
    <row r="354" spans="1:128" x14ac:dyDescent="0.3">
      <c r="A354" s="325">
        <v>150000867</v>
      </c>
      <c r="B354" s="41" t="s">
        <v>800</v>
      </c>
      <c r="C354" s="42" t="s">
        <v>310</v>
      </c>
      <c r="D354" s="42" t="s">
        <v>310</v>
      </c>
      <c r="E354" s="293">
        <v>2840.51</v>
      </c>
      <c r="F354" s="305">
        <v>2289.0100000000002</v>
      </c>
      <c r="G354" s="51"/>
      <c r="H354" s="651">
        <v>551.5</v>
      </c>
      <c r="I354" s="73">
        <v>1246.1651875772077</v>
      </c>
      <c r="J354" s="40">
        <v>1379.7457062201042</v>
      </c>
      <c r="K354" s="52">
        <v>133.58051864289655</v>
      </c>
      <c r="L354" s="73">
        <v>272.74648982037496</v>
      </c>
      <c r="M354" s="40">
        <v>318.96401147710037</v>
      </c>
      <c r="N354" s="52">
        <v>46.21752165672541</v>
      </c>
      <c r="O354" s="73">
        <v>621.45414961129336</v>
      </c>
      <c r="P354" s="40">
        <v>621.46</v>
      </c>
      <c r="Q354" s="52">
        <v>5.8503887066763127E-3</v>
      </c>
      <c r="R354" s="73">
        <v>0</v>
      </c>
      <c r="S354" s="40">
        <v>0</v>
      </c>
      <c r="T354" s="52">
        <v>0</v>
      </c>
      <c r="U354" s="73">
        <v>0</v>
      </c>
      <c r="V354" s="40">
        <v>0</v>
      </c>
      <c r="W354" s="52">
        <v>0</v>
      </c>
      <c r="X354" s="73">
        <v>637.95571313311621</v>
      </c>
      <c r="Y354" s="40">
        <v>646.32490560309338</v>
      </c>
      <c r="Z354" s="52">
        <v>8.3691924699771789</v>
      </c>
      <c r="AA354" s="73">
        <v>227.19280000000003</v>
      </c>
      <c r="AB354" s="40">
        <v>0</v>
      </c>
      <c r="AC354" s="52">
        <v>-227.19280000000003</v>
      </c>
      <c r="AD354" s="73">
        <v>2024.0632542218191</v>
      </c>
      <c r="AE354" s="40">
        <v>2560.1662725419228</v>
      </c>
      <c r="AF354" s="35">
        <v>536.10301832010373</v>
      </c>
      <c r="AG354" s="77">
        <v>5029.5775943638118</v>
      </c>
      <c r="AH354" s="53">
        <v>5526.6608958422212</v>
      </c>
      <c r="AI354" s="52">
        <v>497.08330147840934</v>
      </c>
      <c r="AJ354" s="73">
        <v>0</v>
      </c>
      <c r="AK354" s="40">
        <v>0</v>
      </c>
      <c r="AL354" s="52">
        <v>0</v>
      </c>
      <c r="AM354" s="73">
        <v>0</v>
      </c>
      <c r="AN354" s="40">
        <v>0</v>
      </c>
      <c r="AO354" s="52">
        <v>0</v>
      </c>
      <c r="AP354" s="73">
        <v>926.60837499999991</v>
      </c>
      <c r="AQ354" s="40">
        <v>0</v>
      </c>
      <c r="AR354" s="52">
        <v>-926.60837499999991</v>
      </c>
      <c r="AS354" s="73">
        <v>2252.781677587162</v>
      </c>
      <c r="AT354" s="40">
        <v>1724</v>
      </c>
      <c r="AU354" s="54">
        <v>-528.78167758716199</v>
      </c>
      <c r="AV354" s="73">
        <v>585.4641765769253</v>
      </c>
      <c r="AW354" s="40">
        <v>412</v>
      </c>
      <c r="AX354" s="55">
        <v>-173.4641765769253</v>
      </c>
      <c r="AY354" s="73">
        <v>754.86272117803901</v>
      </c>
      <c r="AZ354" s="40">
        <v>0</v>
      </c>
      <c r="BA354" s="35">
        <v>-754.86272117803901</v>
      </c>
      <c r="BB354" s="73">
        <v>186.89963011532001</v>
      </c>
      <c r="BC354" s="40">
        <v>0</v>
      </c>
      <c r="BD354" s="55">
        <v>-186.89963011532001</v>
      </c>
      <c r="BE354" s="73">
        <v>0</v>
      </c>
      <c r="BF354" s="40">
        <v>0</v>
      </c>
      <c r="BG354" s="38">
        <v>0</v>
      </c>
      <c r="BH354" s="73">
        <v>0</v>
      </c>
      <c r="BI354" s="40">
        <v>0</v>
      </c>
      <c r="BJ354" s="55">
        <v>0</v>
      </c>
      <c r="BK354" s="73">
        <v>380.42848268850139</v>
      </c>
      <c r="BL354" s="40">
        <v>0</v>
      </c>
      <c r="BM354" s="38">
        <v>-380.42848268850139</v>
      </c>
      <c r="BN354" s="73">
        <v>83.87226294309292</v>
      </c>
      <c r="BO354" s="40">
        <v>0</v>
      </c>
      <c r="BP354" s="55">
        <v>-83.87226294309292</v>
      </c>
      <c r="BQ354" s="77">
        <v>1991.5272735018784</v>
      </c>
      <c r="BR354" s="40">
        <v>412</v>
      </c>
      <c r="BS354" s="55">
        <v>-1579.5272735018784</v>
      </c>
      <c r="BT354" s="73">
        <v>1616.7366536010561</v>
      </c>
      <c r="BU354" s="40">
        <v>483.95251517831207</v>
      </c>
      <c r="BV354" s="52">
        <v>-1132.784138422744</v>
      </c>
      <c r="BW354" s="73">
        <v>1614.6678588898019</v>
      </c>
      <c r="BX354" s="40">
        <v>1231.9383725771961</v>
      </c>
      <c r="BY354" s="52">
        <v>-382.72948631260579</v>
      </c>
      <c r="BZ354" s="73">
        <v>1201.25964369246</v>
      </c>
      <c r="CA354" s="40">
        <v>2395.4827139317217</v>
      </c>
      <c r="CB354" s="52">
        <v>1194.2230702392617</v>
      </c>
      <c r="CC354" s="73">
        <v>89.767550125</v>
      </c>
      <c r="CD354" s="40">
        <v>113.26559264405495</v>
      </c>
      <c r="CE354" s="52">
        <v>23.498042519054948</v>
      </c>
      <c r="CF354" s="73">
        <v>10.6654515</v>
      </c>
      <c r="CG354" s="40">
        <v>0</v>
      </c>
      <c r="CH354" s="52">
        <v>-10.6654515</v>
      </c>
      <c r="CI354" s="73">
        <v>538.84</v>
      </c>
      <c r="CJ354" s="40">
        <v>796.31805609574735</v>
      </c>
      <c r="CK354" s="52">
        <v>257.47805609574732</v>
      </c>
      <c r="CL354" s="73">
        <v>0</v>
      </c>
      <c r="CM354" s="40">
        <v>0</v>
      </c>
      <c r="CN354" s="52">
        <v>0</v>
      </c>
      <c r="CO354" s="39">
        <v>538.84</v>
      </c>
      <c r="CP354" s="40">
        <v>796.31805609574735</v>
      </c>
      <c r="CQ354" s="52">
        <v>257.47805609574732</v>
      </c>
      <c r="CR354" s="72">
        <v>15272.432078261168</v>
      </c>
      <c r="CS354" s="5">
        <v>12683.618146269255</v>
      </c>
      <c r="CT354" s="52">
        <v>-2588.8139319919137</v>
      </c>
      <c r="CU354" s="77">
        <v>18326.918493913403</v>
      </c>
      <c r="CV354" s="65">
        <v>15220.341775523106</v>
      </c>
      <c r="CW354" s="35">
        <v>-3106.5767183902972</v>
      </c>
      <c r="CX354" s="73">
        <v>1023.24740182963</v>
      </c>
      <c r="CY354" s="40">
        <v>4129.8241202199279</v>
      </c>
      <c r="CZ354" s="52">
        <v>3106.5767183902981</v>
      </c>
      <c r="DA354" s="150">
        <v>-18497.68279289113</v>
      </c>
      <c r="DB354" s="2">
        <v>1</v>
      </c>
      <c r="DC354" s="648">
        <v>15651.15</v>
      </c>
      <c r="DD354" s="648">
        <v>369.63</v>
      </c>
      <c r="DE354" s="649">
        <v>-3329.3858957430348</v>
      </c>
      <c r="DG354" s="321">
        <v>4906.7124347014797</v>
      </c>
      <c r="DH354" s="5">
        <v>232201.9907489164</v>
      </c>
      <c r="DI354" s="306">
        <v>3.4742133737233156</v>
      </c>
      <c r="DJ354" s="306"/>
      <c r="DK354" s="306">
        <v>3.0298113173318733</v>
      </c>
      <c r="DL354" s="28">
        <v>7952.509154586407</v>
      </c>
      <c r="DM354" s="28">
        <v>1670.9409415085281</v>
      </c>
      <c r="DN354" s="650">
        <v>7952.49</v>
      </c>
      <c r="DO354" s="94">
        <v>1.9154586407239549E-2</v>
      </c>
      <c r="DP354" s="28">
        <v>9623.4500960949354</v>
      </c>
      <c r="DQ354" s="318">
        <v>1.8178867903989158</v>
      </c>
      <c r="DS354" s="8">
        <v>9163.4592469567015</v>
      </c>
      <c r="DT354" s="5">
        <v>458.1729623478351</v>
      </c>
      <c r="DW354" s="5">
        <v>5093.170741306848</v>
      </c>
      <c r="DX354" s="5">
        <v>2563.1999999999998</v>
      </c>
    </row>
    <row r="355" spans="1:128" x14ac:dyDescent="0.3">
      <c r="A355" s="325">
        <v>150000868</v>
      </c>
      <c r="B355" s="41" t="s">
        <v>801</v>
      </c>
      <c r="C355" s="42" t="s">
        <v>311</v>
      </c>
      <c r="D355" s="42" t="s">
        <v>311</v>
      </c>
      <c r="E355" s="293">
        <v>3295.38</v>
      </c>
      <c r="F355" s="305">
        <v>2609.98</v>
      </c>
      <c r="G355" s="51"/>
      <c r="H355" s="651">
        <v>685.4</v>
      </c>
      <c r="I355" s="73">
        <v>1601.0181715466615</v>
      </c>
      <c r="J355" s="40">
        <v>1773.4553120778028</v>
      </c>
      <c r="K355" s="52">
        <v>172.43714053114127</v>
      </c>
      <c r="L355" s="73">
        <v>356.04369883653271</v>
      </c>
      <c r="M355" s="40">
        <v>414.68802605593646</v>
      </c>
      <c r="N355" s="52">
        <v>58.644327219403749</v>
      </c>
      <c r="O355" s="73">
        <v>697.18669310285657</v>
      </c>
      <c r="P355" s="40">
        <v>697.16</v>
      </c>
      <c r="Q355" s="52">
        <v>-2.6693102856597761E-2</v>
      </c>
      <c r="R355" s="73">
        <v>0</v>
      </c>
      <c r="S355" s="40">
        <v>0</v>
      </c>
      <c r="T355" s="52">
        <v>0</v>
      </c>
      <c r="U355" s="73">
        <v>0</v>
      </c>
      <c r="V355" s="40">
        <v>0</v>
      </c>
      <c r="W355" s="52">
        <v>0</v>
      </c>
      <c r="X355" s="73">
        <v>854.45494615225221</v>
      </c>
      <c r="Y355" s="40">
        <v>901.91453939112341</v>
      </c>
      <c r="Z355" s="52">
        <v>47.459593238871207</v>
      </c>
      <c r="AA355" s="73">
        <v>263.69119999999998</v>
      </c>
      <c r="AB355" s="40">
        <v>0</v>
      </c>
      <c r="AC355" s="52">
        <v>-263.69119999999998</v>
      </c>
      <c r="AD355" s="73">
        <v>2347.4041469432068</v>
      </c>
      <c r="AE355" s="40">
        <v>2970.1429430662811</v>
      </c>
      <c r="AF355" s="35">
        <v>622.73879612307428</v>
      </c>
      <c r="AG355" s="77">
        <v>6119.7988565815103</v>
      </c>
      <c r="AH355" s="53">
        <v>6757.3608205911441</v>
      </c>
      <c r="AI355" s="52">
        <v>637.56196400963381</v>
      </c>
      <c r="AJ355" s="73">
        <v>0</v>
      </c>
      <c r="AK355" s="40">
        <v>0</v>
      </c>
      <c r="AL355" s="52">
        <v>0</v>
      </c>
      <c r="AM355" s="73">
        <v>0</v>
      </c>
      <c r="AN355" s="40">
        <v>0</v>
      </c>
      <c r="AO355" s="52">
        <v>0</v>
      </c>
      <c r="AP355" s="73">
        <v>1210.2639999999999</v>
      </c>
      <c r="AQ355" s="40">
        <v>0</v>
      </c>
      <c r="AR355" s="52">
        <v>-1210.2639999999999</v>
      </c>
      <c r="AS355" s="73">
        <v>2992.9775841578412</v>
      </c>
      <c r="AT355" s="40">
        <v>973</v>
      </c>
      <c r="AU355" s="54">
        <v>-2019.9775841578412</v>
      </c>
      <c r="AV355" s="73">
        <v>741.81892140833884</v>
      </c>
      <c r="AW355" s="40">
        <v>0</v>
      </c>
      <c r="AX355" s="55">
        <v>-741.81892140833884</v>
      </c>
      <c r="AY355" s="73">
        <v>985.39607837236235</v>
      </c>
      <c r="AZ355" s="40">
        <v>0</v>
      </c>
      <c r="BA355" s="35">
        <v>-985.39607837236235</v>
      </c>
      <c r="BB355" s="73">
        <v>195.38526748035659</v>
      </c>
      <c r="BC355" s="40">
        <v>0</v>
      </c>
      <c r="BD355" s="55">
        <v>-195.38526748035659</v>
      </c>
      <c r="BE355" s="73">
        <v>0</v>
      </c>
      <c r="BF355" s="40">
        <v>0</v>
      </c>
      <c r="BG355" s="38">
        <v>0</v>
      </c>
      <c r="BH355" s="73">
        <v>0</v>
      </c>
      <c r="BI355" s="40">
        <v>0</v>
      </c>
      <c r="BJ355" s="55">
        <v>0</v>
      </c>
      <c r="BK355" s="73">
        <v>575.41035054480369</v>
      </c>
      <c r="BL355" s="40">
        <v>0</v>
      </c>
      <c r="BM355" s="38">
        <v>-575.41035054480369</v>
      </c>
      <c r="BN355" s="73">
        <v>75.233380808356202</v>
      </c>
      <c r="BO355" s="40">
        <v>0</v>
      </c>
      <c r="BP355" s="55">
        <v>-75.233380808356202</v>
      </c>
      <c r="BQ355" s="77">
        <v>2573.2439986142176</v>
      </c>
      <c r="BR355" s="40">
        <v>0</v>
      </c>
      <c r="BS355" s="55">
        <v>-2573.2439986142176</v>
      </c>
      <c r="BT355" s="73">
        <v>4326.1602806298397</v>
      </c>
      <c r="BU355" s="40">
        <v>1333.6030788646617</v>
      </c>
      <c r="BV355" s="52">
        <v>-2992.557201765178</v>
      </c>
      <c r="BW355" s="73">
        <v>1662.1728435763559</v>
      </c>
      <c r="BX355" s="40">
        <v>1791.275915967914</v>
      </c>
      <c r="BY355" s="52">
        <v>129.10307239155804</v>
      </c>
      <c r="BZ355" s="73">
        <v>2032.69797248234</v>
      </c>
      <c r="CA355" s="40">
        <v>7269.6963994456946</v>
      </c>
      <c r="CB355" s="52">
        <v>5236.9984269633551</v>
      </c>
      <c r="CC355" s="73">
        <v>153.25421749</v>
      </c>
      <c r="CD355" s="40">
        <v>193.37087561189298</v>
      </c>
      <c r="CE355" s="52">
        <v>40.116658121892982</v>
      </c>
      <c r="CF355" s="73">
        <v>18.20842188</v>
      </c>
      <c r="CG355" s="40">
        <v>0</v>
      </c>
      <c r="CH355" s="52">
        <v>-18.20842188</v>
      </c>
      <c r="CI355" s="73">
        <v>1323.72</v>
      </c>
      <c r="CJ355" s="40">
        <v>1762.3981454400455</v>
      </c>
      <c r="CK355" s="52">
        <v>438.67814544004545</v>
      </c>
      <c r="CL355" s="73">
        <v>0</v>
      </c>
      <c r="CM355" s="40">
        <v>0</v>
      </c>
      <c r="CN355" s="52">
        <v>0</v>
      </c>
      <c r="CO355" s="39">
        <v>1323.72</v>
      </c>
      <c r="CP355" s="40">
        <v>1762.3981454400455</v>
      </c>
      <c r="CQ355" s="52">
        <v>438.67814544004545</v>
      </c>
      <c r="CR355" s="72">
        <v>22412.498175412107</v>
      </c>
      <c r="CS355" s="5">
        <v>20080.705235921352</v>
      </c>
      <c r="CT355" s="52">
        <v>-2331.7929394907551</v>
      </c>
      <c r="CU355" s="77">
        <v>26894.997810494529</v>
      </c>
      <c r="CV355" s="65">
        <v>24096.84628310562</v>
      </c>
      <c r="CW355" s="35">
        <v>-2798.151527388909</v>
      </c>
      <c r="CX355" s="73">
        <v>1501.6292368486238</v>
      </c>
      <c r="CY355" s="40">
        <v>4299.7807642375337</v>
      </c>
      <c r="CZ355" s="52">
        <v>2798.1515273889099</v>
      </c>
      <c r="DA355" s="150">
        <v>18682.882848130794</v>
      </c>
      <c r="DB355" s="2">
        <v>1</v>
      </c>
      <c r="DC355" s="648">
        <v>21570.04</v>
      </c>
      <c r="DD355" s="648">
        <v>2718.3599999999997</v>
      </c>
      <c r="DE355" s="649">
        <v>-4108.2270473431527</v>
      </c>
      <c r="DG355" s="321">
        <v>31674.92382384144</v>
      </c>
      <c r="DH355" s="5">
        <v>340759.52456811786</v>
      </c>
      <c r="DI355" s="306">
        <v>4.3671652518929394</v>
      </c>
      <c r="DJ355" s="306"/>
      <c r="DK355" s="306">
        <v>3.9660648391926689</v>
      </c>
      <c r="DL355" s="28">
        <v>11398.213964135533</v>
      </c>
      <c r="DM355" s="28">
        <v>2718.3408407826551</v>
      </c>
      <c r="DN355" s="650">
        <v>11398.27</v>
      </c>
      <c r="DO355" s="94">
        <v>-5.6035864467048668E-2</v>
      </c>
      <c r="DP355" s="28">
        <v>14116.554804918189</v>
      </c>
      <c r="DQ355" s="318">
        <v>-3.319045591439135</v>
      </c>
      <c r="DS355" s="8">
        <v>13447.498905247265</v>
      </c>
      <c r="DT355" s="5">
        <v>672.37494526236321</v>
      </c>
      <c r="DW355" s="5">
        <v>6679.4658993264711</v>
      </c>
      <c r="DX355" s="5">
        <v>1167.5999999999999</v>
      </c>
    </row>
    <row r="356" spans="1:128" x14ac:dyDescent="0.3">
      <c r="A356" s="325">
        <v>150000869</v>
      </c>
      <c r="B356" s="41" t="s">
        <v>802</v>
      </c>
      <c r="C356" s="42" t="s">
        <v>312</v>
      </c>
      <c r="D356" s="42" t="s">
        <v>312</v>
      </c>
      <c r="E356" s="293">
        <v>5761.1900000000005</v>
      </c>
      <c r="F356" s="305">
        <v>4602.8900000000003</v>
      </c>
      <c r="G356" s="51"/>
      <c r="H356" s="651">
        <v>1158.3</v>
      </c>
      <c r="I356" s="73">
        <v>2554.4596539668937</v>
      </c>
      <c r="J356" s="40">
        <v>2827.4782621963791</v>
      </c>
      <c r="K356" s="52">
        <v>273.01860822948538</v>
      </c>
      <c r="L356" s="73">
        <v>635.44755402707824</v>
      </c>
      <c r="M356" s="40">
        <v>739.60706458926597</v>
      </c>
      <c r="N356" s="52">
        <v>104.15951056218773</v>
      </c>
      <c r="O356" s="73">
        <v>1051.84988012913</v>
      </c>
      <c r="P356" s="40">
        <v>1051.8599999999999</v>
      </c>
      <c r="Q356" s="52">
        <v>1.011987086985755E-2</v>
      </c>
      <c r="R356" s="73">
        <v>238.66084058972336</v>
      </c>
      <c r="S356" s="40">
        <v>238.66</v>
      </c>
      <c r="T356" s="52">
        <v>-8.4058972336720217E-4</v>
      </c>
      <c r="U356" s="73">
        <v>137.68367302754481</v>
      </c>
      <c r="V356" s="40">
        <v>258.06642942458029</v>
      </c>
      <c r="W356" s="52">
        <v>120.38275639703548</v>
      </c>
      <c r="X356" s="73">
        <v>2007.9701499853409</v>
      </c>
      <c r="Y356" s="40">
        <v>2160.3099870180231</v>
      </c>
      <c r="Z356" s="52">
        <v>152.33983703268223</v>
      </c>
      <c r="AA356" s="73">
        <v>460.98080000000004</v>
      </c>
      <c r="AB356" s="40">
        <v>0</v>
      </c>
      <c r="AC356" s="52">
        <v>-460.98080000000004</v>
      </c>
      <c r="AD356" s="73">
        <v>4105.3131551464085</v>
      </c>
      <c r="AE356" s="40">
        <v>5192.5901784207072</v>
      </c>
      <c r="AF356" s="35">
        <v>1087.2770232742987</v>
      </c>
      <c r="AG356" s="77">
        <v>11192.365706872119</v>
      </c>
      <c r="AH356" s="53">
        <v>12468.571921648956</v>
      </c>
      <c r="AI356" s="52">
        <v>1276.2062147768374</v>
      </c>
      <c r="AJ356" s="73">
        <v>0</v>
      </c>
      <c r="AK356" s="40">
        <v>0</v>
      </c>
      <c r="AL356" s="52">
        <v>0</v>
      </c>
      <c r="AM356" s="73">
        <v>0</v>
      </c>
      <c r="AN356" s="40">
        <v>0</v>
      </c>
      <c r="AO356" s="52">
        <v>0</v>
      </c>
      <c r="AP356" s="73">
        <v>535.79395833333331</v>
      </c>
      <c r="AQ356" s="40">
        <v>3160.2933389812561</v>
      </c>
      <c r="AR356" s="52">
        <v>2624.4993806479229</v>
      </c>
      <c r="AS356" s="73">
        <v>7377.4724493729091</v>
      </c>
      <c r="AT356" s="40">
        <v>0</v>
      </c>
      <c r="AU356" s="54">
        <v>-7377.4724493729091</v>
      </c>
      <c r="AV356" s="73">
        <v>1265.7544839358477</v>
      </c>
      <c r="AW356" s="40">
        <v>412</v>
      </c>
      <c r="AX356" s="55">
        <v>-853.7544839358477</v>
      </c>
      <c r="AY356" s="73">
        <v>1725.4118971782702</v>
      </c>
      <c r="AZ356" s="40">
        <v>0</v>
      </c>
      <c r="BA356" s="35">
        <v>-1725.4118971782702</v>
      </c>
      <c r="BB356" s="73">
        <v>318.83451775040999</v>
      </c>
      <c r="BC356" s="40">
        <v>0</v>
      </c>
      <c r="BD356" s="55">
        <v>-318.83451775040999</v>
      </c>
      <c r="BE356" s="73">
        <v>1057.5978143067659</v>
      </c>
      <c r="BF356" s="40">
        <v>0</v>
      </c>
      <c r="BG356" s="38">
        <v>-1057.5978143067659</v>
      </c>
      <c r="BH356" s="73">
        <v>664.91029666636234</v>
      </c>
      <c r="BI356" s="40">
        <v>1318</v>
      </c>
      <c r="BJ356" s="55">
        <v>653.08970333363766</v>
      </c>
      <c r="BK356" s="73">
        <v>1636.1675397117797</v>
      </c>
      <c r="BL356" s="40">
        <v>0</v>
      </c>
      <c r="BM356" s="38">
        <v>-1636.1675397117797</v>
      </c>
      <c r="BN356" s="73">
        <v>163.06882996762221</v>
      </c>
      <c r="BO356" s="40">
        <v>0</v>
      </c>
      <c r="BP356" s="55">
        <v>-163.06882996762221</v>
      </c>
      <c r="BQ356" s="77">
        <v>6831.7453795170577</v>
      </c>
      <c r="BR356" s="40">
        <v>1730</v>
      </c>
      <c r="BS356" s="55">
        <v>-5101.7453795170577</v>
      </c>
      <c r="BT356" s="73">
        <v>5643.0922867181998</v>
      </c>
      <c r="BU356" s="40">
        <v>1630.2954739022518</v>
      </c>
      <c r="BV356" s="52">
        <v>-4012.7968128159482</v>
      </c>
      <c r="BW356" s="73">
        <v>3764.60165801822</v>
      </c>
      <c r="BX356" s="40">
        <v>3852.4664788590253</v>
      </c>
      <c r="BY356" s="52">
        <v>87.864820840805351</v>
      </c>
      <c r="BZ356" s="73">
        <v>2897.6877511320399</v>
      </c>
      <c r="CA356" s="40">
        <v>9535.9595745562874</v>
      </c>
      <c r="CB356" s="52">
        <v>6638.2718234242475</v>
      </c>
      <c r="CC356" s="73">
        <v>336.38001974500003</v>
      </c>
      <c r="CD356" s="40">
        <v>424.43268460576508</v>
      </c>
      <c r="CE356" s="52">
        <v>88.052664860765049</v>
      </c>
      <c r="CF356" s="73">
        <v>39.965942939999998</v>
      </c>
      <c r="CG356" s="40">
        <v>0</v>
      </c>
      <c r="CH356" s="52">
        <v>-39.965942939999998</v>
      </c>
      <c r="CI356" s="73">
        <v>2360.9</v>
      </c>
      <c r="CJ356" s="40">
        <v>2943.5158067183147</v>
      </c>
      <c r="CK356" s="52">
        <v>582.61580671831462</v>
      </c>
      <c r="CL356" s="73">
        <v>0</v>
      </c>
      <c r="CM356" s="40">
        <v>0</v>
      </c>
      <c r="CN356" s="52">
        <v>0</v>
      </c>
      <c r="CO356" s="39">
        <v>2360.9</v>
      </c>
      <c r="CP356" s="40">
        <v>2943.5158067183147</v>
      </c>
      <c r="CQ356" s="52">
        <v>582.61580671831462</v>
      </c>
      <c r="CR356" s="72">
        <v>40980.005152648882</v>
      </c>
      <c r="CS356" s="5">
        <v>35745.535279271855</v>
      </c>
      <c r="CT356" s="52">
        <v>-5234.4698733770274</v>
      </c>
      <c r="CU356" s="77">
        <v>49176.006183178659</v>
      </c>
      <c r="CV356" s="65">
        <v>42894.642335126227</v>
      </c>
      <c r="CW356" s="35">
        <v>-6281.3638480524314</v>
      </c>
      <c r="CX356" s="73">
        <v>2745.6454600377592</v>
      </c>
      <c r="CY356" s="40">
        <v>9027.0093080901934</v>
      </c>
      <c r="CZ356" s="52">
        <v>6281.3638480524342</v>
      </c>
      <c r="DA356" s="150">
        <v>84051.643127756848</v>
      </c>
      <c r="DB356" s="2">
        <v>1</v>
      </c>
      <c r="DC356" s="648">
        <v>44619.31</v>
      </c>
      <c r="DD356" s="648">
        <v>7274.8300000000008</v>
      </c>
      <c r="DE356" s="649">
        <v>-27.511643216421362</v>
      </c>
      <c r="DG356" s="321">
        <v>-23838.599498017607</v>
      </c>
      <c r="DH356" s="5">
        <v>623059.81971859699</v>
      </c>
      <c r="DI356" s="306">
        <v>4.5839815809536981</v>
      </c>
      <c r="DJ356" s="306"/>
      <c r="DK356" s="306">
        <v>4.0688383033076114</v>
      </c>
      <c r="DL356" s="28">
        <v>21099.56297915597</v>
      </c>
      <c r="DM356" s="28">
        <v>4712.9354067212062</v>
      </c>
      <c r="DN356" s="650">
        <v>21099.63</v>
      </c>
      <c r="DO356" s="94">
        <v>-6.7020844031503657E-2</v>
      </c>
      <c r="DP356" s="28">
        <v>25812.498385877174</v>
      </c>
      <c r="DQ356" s="318">
        <v>-4.9048602916227537</v>
      </c>
      <c r="DS356" s="8">
        <v>24588.003091589329</v>
      </c>
      <c r="DT356" s="5">
        <v>1229.4001545794665</v>
      </c>
      <c r="DW356" s="5">
        <v>17051.061394667959</v>
      </c>
      <c r="DX356" s="5">
        <v>2076</v>
      </c>
    </row>
    <row r="357" spans="1:128" x14ac:dyDescent="0.3">
      <c r="A357" s="325">
        <v>150000875</v>
      </c>
      <c r="B357" s="41" t="s">
        <v>803</v>
      </c>
      <c r="C357" s="42" t="s">
        <v>313</v>
      </c>
      <c r="D357" s="42" t="s">
        <v>313</v>
      </c>
      <c r="E357" s="293">
        <v>3190.1</v>
      </c>
      <c r="F357" s="305">
        <v>3190.1</v>
      </c>
      <c r="G357" s="51"/>
      <c r="H357" s="651">
        <v>0</v>
      </c>
      <c r="I357" s="73">
        <v>1889.9748780606853</v>
      </c>
      <c r="J357" s="40">
        <v>2098.6042175075108</v>
      </c>
      <c r="K357" s="52">
        <v>208.6293394468255</v>
      </c>
      <c r="L357" s="73">
        <v>400.19875811006705</v>
      </c>
      <c r="M357" s="40">
        <v>463.99622949656168</v>
      </c>
      <c r="N357" s="52">
        <v>63.797471386494635</v>
      </c>
      <c r="O357" s="73">
        <v>658.47259176400007</v>
      </c>
      <c r="P357" s="40">
        <v>658.46</v>
      </c>
      <c r="Q357" s="52">
        <v>-1.2591764000035255E-2</v>
      </c>
      <c r="R357" s="73">
        <v>0</v>
      </c>
      <c r="S357" s="40">
        <v>0</v>
      </c>
      <c r="T357" s="52">
        <v>0</v>
      </c>
      <c r="U357" s="73">
        <v>0</v>
      </c>
      <c r="V357" s="40">
        <v>0</v>
      </c>
      <c r="W357" s="52">
        <v>0</v>
      </c>
      <c r="X357" s="73">
        <v>845.11375694873698</v>
      </c>
      <c r="Y357" s="40">
        <v>890.93874150571287</v>
      </c>
      <c r="Z357" s="52">
        <v>45.824984556975892</v>
      </c>
      <c r="AA357" s="73">
        <v>255.22</v>
      </c>
      <c r="AB357" s="40">
        <v>0</v>
      </c>
      <c r="AC357" s="52">
        <v>-255.22</v>
      </c>
      <c r="AD357" s="73">
        <v>2298.3358367500614</v>
      </c>
      <c r="AE357" s="40">
        <v>2875.2535375816269</v>
      </c>
      <c r="AF357" s="35">
        <v>576.91770083156553</v>
      </c>
      <c r="AG357" s="77">
        <v>6347.3158216335505</v>
      </c>
      <c r="AH357" s="53">
        <v>6987.2527260914121</v>
      </c>
      <c r="AI357" s="52">
        <v>639.9369044578616</v>
      </c>
      <c r="AJ357" s="73">
        <v>0</v>
      </c>
      <c r="AK357" s="40">
        <v>0</v>
      </c>
      <c r="AL357" s="52">
        <v>0</v>
      </c>
      <c r="AM357" s="73">
        <v>0</v>
      </c>
      <c r="AN357" s="40">
        <v>0</v>
      </c>
      <c r="AO357" s="52">
        <v>0</v>
      </c>
      <c r="AP357" s="73">
        <v>1323.7262499999999</v>
      </c>
      <c r="AQ357" s="40">
        <v>0</v>
      </c>
      <c r="AR357" s="52">
        <v>-1323.7262499999999</v>
      </c>
      <c r="AS357" s="73">
        <v>1783.0323922047082</v>
      </c>
      <c r="AT357" s="40">
        <v>1423</v>
      </c>
      <c r="AU357" s="54">
        <v>-360.03239220470823</v>
      </c>
      <c r="AV357" s="73">
        <v>788.19573422994711</v>
      </c>
      <c r="AW357" s="40">
        <v>0</v>
      </c>
      <c r="AX357" s="55">
        <v>-788.19573422994711</v>
      </c>
      <c r="AY357" s="73">
        <v>1107.6731054254863</v>
      </c>
      <c r="AZ357" s="40">
        <v>0</v>
      </c>
      <c r="BA357" s="35">
        <v>-1107.6731054254863</v>
      </c>
      <c r="BB357" s="73">
        <v>213.71929291462661</v>
      </c>
      <c r="BC357" s="40">
        <v>0</v>
      </c>
      <c r="BD357" s="55">
        <v>-213.71929291462661</v>
      </c>
      <c r="BE357" s="73">
        <v>0</v>
      </c>
      <c r="BF357" s="40">
        <v>0</v>
      </c>
      <c r="BG357" s="38">
        <v>0</v>
      </c>
      <c r="BH357" s="73">
        <v>0</v>
      </c>
      <c r="BI357" s="40">
        <v>0</v>
      </c>
      <c r="BJ357" s="55">
        <v>0</v>
      </c>
      <c r="BK357" s="73">
        <v>564.11400536492465</v>
      </c>
      <c r="BL357" s="40">
        <v>0</v>
      </c>
      <c r="BM357" s="38">
        <v>-564.11400536492465</v>
      </c>
      <c r="BN357" s="73">
        <v>141.16059321483451</v>
      </c>
      <c r="BO357" s="40">
        <v>0</v>
      </c>
      <c r="BP357" s="55">
        <v>-141.16059321483451</v>
      </c>
      <c r="BQ357" s="77">
        <v>2814.8627311498194</v>
      </c>
      <c r="BR357" s="40">
        <v>0</v>
      </c>
      <c r="BS357" s="55">
        <v>-2814.8627311498194</v>
      </c>
      <c r="BT357" s="73">
        <v>2981.8732844227202</v>
      </c>
      <c r="BU357" s="40">
        <v>959.7964608351125</v>
      </c>
      <c r="BV357" s="52">
        <v>-2022.0768235876076</v>
      </c>
      <c r="BW357" s="73">
        <v>1803.515414519452</v>
      </c>
      <c r="BX357" s="40">
        <v>1934.6442527188988</v>
      </c>
      <c r="BY357" s="52">
        <v>131.12883819944682</v>
      </c>
      <c r="BZ357" s="73">
        <v>1999.173788233938</v>
      </c>
      <c r="CA357" s="40">
        <v>5312.7989554764854</v>
      </c>
      <c r="CB357" s="52">
        <v>3313.6251672425474</v>
      </c>
      <c r="CC357" s="73">
        <v>112.686924625</v>
      </c>
      <c r="CD357" s="40">
        <v>142.18446736168602</v>
      </c>
      <c r="CE357" s="52">
        <v>29.497542736686015</v>
      </c>
      <c r="CF357" s="73">
        <v>13.388545499999999</v>
      </c>
      <c r="CG357" s="40">
        <v>0</v>
      </c>
      <c r="CH357" s="52">
        <v>-13.388545499999999</v>
      </c>
      <c r="CI357" s="73">
        <v>1516.84</v>
      </c>
      <c r="CJ357" s="40">
        <v>1153.5645384259394</v>
      </c>
      <c r="CK357" s="52">
        <v>-363.2754615740605</v>
      </c>
      <c r="CL357" s="73">
        <v>0</v>
      </c>
      <c r="CM357" s="40">
        <v>0</v>
      </c>
      <c r="CN357" s="52">
        <v>0</v>
      </c>
      <c r="CO357" s="39">
        <v>1516.84</v>
      </c>
      <c r="CP357" s="40">
        <v>1153.5645384259394</v>
      </c>
      <c r="CQ357" s="52">
        <v>-363.2754615740605</v>
      </c>
      <c r="CR357" s="72">
        <v>20696.415152289184</v>
      </c>
      <c r="CS357" s="5">
        <v>17913.241400909537</v>
      </c>
      <c r="CT357" s="52">
        <v>-2783.173751379647</v>
      </c>
      <c r="CU357" s="77">
        <v>24835.698182747019</v>
      </c>
      <c r="CV357" s="65">
        <v>21495.889681091445</v>
      </c>
      <c r="CW357" s="35">
        <v>-3339.8085016555742</v>
      </c>
      <c r="CX357" s="73">
        <v>1386.6522976331642</v>
      </c>
      <c r="CY357" s="40">
        <v>4726.4607992887395</v>
      </c>
      <c r="CZ357" s="52">
        <v>3339.8085016555751</v>
      </c>
      <c r="DA357" s="150">
        <v>-9828.7803127991046</v>
      </c>
      <c r="DB357" s="2">
        <v>1</v>
      </c>
      <c r="DC357" s="648">
        <v>22405.439999999999</v>
      </c>
      <c r="DD357" s="648"/>
      <c r="DE357" s="649">
        <v>-3816.9104803801856</v>
      </c>
      <c r="DG357" s="321">
        <v>60833.880763089488</v>
      </c>
      <c r="DH357" s="5">
        <v>314668.20576456224</v>
      </c>
      <c r="DI357" s="306">
        <v>4.0870594924981374</v>
      </c>
      <c r="DJ357" s="306"/>
      <c r="DK357" s="306"/>
      <c r="DL357" s="28">
        <v>13038.128487018308</v>
      </c>
      <c r="DM357" s="28">
        <v>0</v>
      </c>
      <c r="DN357" s="650">
        <v>13038.29</v>
      </c>
      <c r="DO357" s="94">
        <v>-0.16151298169279471</v>
      </c>
      <c r="DP357" s="28">
        <v>13038.128487018308</v>
      </c>
      <c r="DQ357" s="318">
        <v>-0.61305892387645144</v>
      </c>
      <c r="DS357" s="8">
        <v>12417.84909137351</v>
      </c>
      <c r="DT357" s="5">
        <v>620.89245456867559</v>
      </c>
      <c r="DW357" s="5">
        <v>5517.4741480254334</v>
      </c>
      <c r="DX357" s="5">
        <v>1707.6</v>
      </c>
    </row>
    <row r="358" spans="1:128" x14ac:dyDescent="0.3">
      <c r="A358" s="325">
        <v>150000871</v>
      </c>
      <c r="B358" s="41" t="s">
        <v>804</v>
      </c>
      <c r="C358" s="42" t="s">
        <v>141</v>
      </c>
      <c r="D358" s="42" t="s">
        <v>141</v>
      </c>
      <c r="E358" s="293">
        <v>152.6</v>
      </c>
      <c r="F358" s="305">
        <v>152.6</v>
      </c>
      <c r="G358" s="51"/>
      <c r="H358" s="651">
        <v>0</v>
      </c>
      <c r="I358" s="73">
        <v>0</v>
      </c>
      <c r="J358" s="40">
        <v>0</v>
      </c>
      <c r="K358" s="52">
        <v>0</v>
      </c>
      <c r="L358" s="73">
        <v>0</v>
      </c>
      <c r="M358" s="40">
        <v>0</v>
      </c>
      <c r="N358" s="52">
        <v>0</v>
      </c>
      <c r="O358" s="73">
        <v>0</v>
      </c>
      <c r="P358" s="40">
        <v>0</v>
      </c>
      <c r="Q358" s="52">
        <v>0</v>
      </c>
      <c r="R358" s="73">
        <v>0</v>
      </c>
      <c r="S358" s="40">
        <v>0</v>
      </c>
      <c r="T358" s="52">
        <v>0</v>
      </c>
      <c r="U358" s="73">
        <v>0</v>
      </c>
      <c r="V358" s="40">
        <v>0</v>
      </c>
      <c r="W358" s="52">
        <v>0</v>
      </c>
      <c r="X358" s="73">
        <v>0</v>
      </c>
      <c r="Y358" s="40">
        <v>0</v>
      </c>
      <c r="Z358" s="52">
        <v>0</v>
      </c>
      <c r="AA358" s="73">
        <v>11.84</v>
      </c>
      <c r="AB358" s="40">
        <v>0</v>
      </c>
      <c r="AC358" s="52">
        <v>-11.84</v>
      </c>
      <c r="AD358" s="73">
        <v>94.764982684312457</v>
      </c>
      <c r="AE358" s="40">
        <v>137.53916486472406</v>
      </c>
      <c r="AF358" s="35">
        <v>42.7741821804116</v>
      </c>
      <c r="AG358" s="77">
        <v>106.60498268431246</v>
      </c>
      <c r="AH358" s="53">
        <v>137.53916486472406</v>
      </c>
      <c r="AI358" s="52">
        <v>30.934182180411597</v>
      </c>
      <c r="AJ358" s="73">
        <v>0</v>
      </c>
      <c r="AK358" s="40">
        <v>0</v>
      </c>
      <c r="AL358" s="52">
        <v>0</v>
      </c>
      <c r="AM358" s="73">
        <v>0</v>
      </c>
      <c r="AN358" s="40">
        <v>0</v>
      </c>
      <c r="AO358" s="52">
        <v>0</v>
      </c>
      <c r="AP358" s="73">
        <v>37.820749999999997</v>
      </c>
      <c r="AQ358" s="40">
        <v>0</v>
      </c>
      <c r="AR358" s="52">
        <v>-37.820749999999997</v>
      </c>
      <c r="AS358" s="73">
        <v>168.6644080065256</v>
      </c>
      <c r="AT358" s="40">
        <v>0</v>
      </c>
      <c r="AU358" s="54">
        <v>-168.6644080065256</v>
      </c>
      <c r="AV358" s="73">
        <v>0</v>
      </c>
      <c r="AW358" s="40">
        <v>0</v>
      </c>
      <c r="AX358" s="55">
        <v>0</v>
      </c>
      <c r="AY358" s="73">
        <v>0</v>
      </c>
      <c r="AZ358" s="40">
        <v>0</v>
      </c>
      <c r="BA358" s="35">
        <v>0</v>
      </c>
      <c r="BB358" s="73">
        <v>0</v>
      </c>
      <c r="BC358" s="40">
        <v>0</v>
      </c>
      <c r="BD358" s="55">
        <v>0</v>
      </c>
      <c r="BE358" s="73">
        <v>0</v>
      </c>
      <c r="BF358" s="40">
        <v>0</v>
      </c>
      <c r="BG358" s="38">
        <v>0</v>
      </c>
      <c r="BH358" s="73">
        <v>0</v>
      </c>
      <c r="BI358" s="40">
        <v>0</v>
      </c>
      <c r="BJ358" s="55">
        <v>0</v>
      </c>
      <c r="BK358" s="73">
        <v>0</v>
      </c>
      <c r="BL358" s="40">
        <v>0</v>
      </c>
      <c r="BM358" s="38">
        <v>0</v>
      </c>
      <c r="BN358" s="73">
        <v>2.96</v>
      </c>
      <c r="BO358" s="40">
        <v>0</v>
      </c>
      <c r="BP358" s="55">
        <v>-2.96</v>
      </c>
      <c r="BQ358" s="77">
        <v>2.96</v>
      </c>
      <c r="BR358" s="40">
        <v>0</v>
      </c>
      <c r="BS358" s="55">
        <v>-2.96</v>
      </c>
      <c r="BT358" s="73">
        <v>0</v>
      </c>
      <c r="BU358" s="40">
        <v>0</v>
      </c>
      <c r="BV358" s="52">
        <v>0</v>
      </c>
      <c r="BW358" s="73">
        <v>0</v>
      </c>
      <c r="BX358" s="40">
        <v>0.56657656261811296</v>
      </c>
      <c r="BY358" s="52">
        <v>0.56657656261811296</v>
      </c>
      <c r="BZ358" s="73">
        <v>0</v>
      </c>
      <c r="CA358" s="40">
        <v>0</v>
      </c>
      <c r="CB358" s="52">
        <v>0</v>
      </c>
      <c r="CC358" s="73">
        <v>0</v>
      </c>
      <c r="CD358" s="40">
        <v>0</v>
      </c>
      <c r="CE358" s="52">
        <v>0</v>
      </c>
      <c r="CF358" s="73">
        <v>0</v>
      </c>
      <c r="CG358" s="40">
        <v>0</v>
      </c>
      <c r="CH358" s="52">
        <v>0</v>
      </c>
      <c r="CI358" s="73">
        <v>0</v>
      </c>
      <c r="CJ358" s="40">
        <v>0</v>
      </c>
      <c r="CK358" s="52">
        <v>0</v>
      </c>
      <c r="CL358" s="73">
        <v>0</v>
      </c>
      <c r="CM358" s="40">
        <v>0</v>
      </c>
      <c r="CN358" s="52">
        <v>0</v>
      </c>
      <c r="CO358" s="39">
        <v>0</v>
      </c>
      <c r="CP358" s="40">
        <v>0</v>
      </c>
      <c r="CQ358" s="52">
        <v>0</v>
      </c>
      <c r="CR358" s="72">
        <v>316.05014069083808</v>
      </c>
      <c r="CS358" s="5">
        <v>138.10574142734217</v>
      </c>
      <c r="CT358" s="52">
        <v>-177.94439926349591</v>
      </c>
      <c r="CU358" s="77">
        <v>379.26016882900569</v>
      </c>
      <c r="CV358" s="65">
        <v>165.72688971281059</v>
      </c>
      <c r="CW358" s="35">
        <v>-213.5332791161951</v>
      </c>
      <c r="CX358" s="73">
        <v>21.175244627220451</v>
      </c>
      <c r="CY358" s="40">
        <v>234.70852374341553</v>
      </c>
      <c r="CZ358" s="52">
        <v>213.53327911619508</v>
      </c>
      <c r="DA358" s="150">
        <v>-1866.8790761818668</v>
      </c>
      <c r="DB358" s="2">
        <v>2</v>
      </c>
      <c r="DC358" s="648">
        <v>204.79</v>
      </c>
      <c r="DD358" s="648"/>
      <c r="DE358" s="649">
        <v>-195.64541345622612</v>
      </c>
      <c r="DG358" s="321">
        <v>-1523.8775594804542</v>
      </c>
      <c r="DH358" s="5">
        <v>4805.2249614747134</v>
      </c>
      <c r="DI358" s="306">
        <v>1.3453485718596483</v>
      </c>
      <c r="DJ358" s="306"/>
      <c r="DK358" s="306"/>
      <c r="DL358" s="28">
        <v>205.30019206578231</v>
      </c>
      <c r="DM358" s="28">
        <v>0</v>
      </c>
      <c r="DN358" s="650">
        <v>205.31</v>
      </c>
      <c r="DO358" s="94">
        <v>-9.8079342176902173E-3</v>
      </c>
      <c r="DP358" s="28">
        <v>205.30019206578231</v>
      </c>
      <c r="DQ358" s="318">
        <v>6.1886034305543376</v>
      </c>
      <c r="DS358" s="8">
        <v>189.63008441450285</v>
      </c>
      <c r="DT358" s="5">
        <v>9.4815042207251423</v>
      </c>
      <c r="DW358" s="5">
        <v>205.94928960783074</v>
      </c>
      <c r="DX358" s="5">
        <v>0</v>
      </c>
    </row>
    <row r="359" spans="1:128" x14ac:dyDescent="0.3">
      <c r="A359" s="325">
        <v>150000886</v>
      </c>
      <c r="B359" s="41" t="s">
        <v>805</v>
      </c>
      <c r="C359" s="42" t="s">
        <v>397</v>
      </c>
      <c r="D359" s="42" t="s">
        <v>397</v>
      </c>
      <c r="E359" s="293">
        <v>2133.27</v>
      </c>
      <c r="F359" s="652">
        <v>2133.27</v>
      </c>
      <c r="G359" s="51">
        <v>0</v>
      </c>
      <c r="H359" s="651">
        <v>0</v>
      </c>
      <c r="I359" s="73">
        <v>1001.7623795936097</v>
      </c>
      <c r="J359" s="40">
        <v>1114.1287929668933</v>
      </c>
      <c r="K359" s="52">
        <v>112.36641337328365</v>
      </c>
      <c r="L359" s="73">
        <v>154.49744885432426</v>
      </c>
      <c r="M359" s="40">
        <v>174.05995299397776</v>
      </c>
      <c r="N359" s="52">
        <v>19.562504139653498</v>
      </c>
      <c r="O359" s="73">
        <v>384.86795906498332</v>
      </c>
      <c r="P359" s="40">
        <v>384.86</v>
      </c>
      <c r="Q359" s="52">
        <v>-7.9590649833107818E-3</v>
      </c>
      <c r="R359" s="73">
        <v>97.414888269766664</v>
      </c>
      <c r="S359" s="40">
        <v>97.4</v>
      </c>
      <c r="T359" s="52">
        <v>-1.4888269766657913E-2</v>
      </c>
      <c r="U359" s="73">
        <v>43.28778497834633</v>
      </c>
      <c r="V359" s="40">
        <v>81.13666842906477</v>
      </c>
      <c r="W359" s="52">
        <v>37.848883450718439</v>
      </c>
      <c r="X359" s="73">
        <v>466.05371180348783</v>
      </c>
      <c r="Y359" s="40">
        <v>437.7569980738362</v>
      </c>
      <c r="Z359" s="52">
        <v>-28.296713729651628</v>
      </c>
      <c r="AA359" s="73">
        <v>170.66159999999999</v>
      </c>
      <c r="AB359" s="40">
        <v>0</v>
      </c>
      <c r="AC359" s="52">
        <v>-170.66159999999999</v>
      </c>
      <c r="AD359" s="73">
        <v>1536.866960280664</v>
      </c>
      <c r="AE359" s="40">
        <v>1922.7272230076667</v>
      </c>
      <c r="AF359" s="35">
        <v>385.86026272700269</v>
      </c>
      <c r="AG359" s="77">
        <v>3855.4127328451818</v>
      </c>
      <c r="AH359" s="53">
        <v>4212.0696354714391</v>
      </c>
      <c r="AI359" s="52">
        <v>356.65690262625731</v>
      </c>
      <c r="AJ359" s="73">
        <v>3834.5346049999998</v>
      </c>
      <c r="AK359" s="40">
        <v>3776.6885505155883</v>
      </c>
      <c r="AL359" s="52">
        <v>-57.846054484411525</v>
      </c>
      <c r="AM359" s="73">
        <v>0</v>
      </c>
      <c r="AN359" s="40">
        <v>0</v>
      </c>
      <c r="AO359" s="52">
        <v>0</v>
      </c>
      <c r="AP359" s="73">
        <v>302.56599999999997</v>
      </c>
      <c r="AQ359" s="40">
        <v>0</v>
      </c>
      <c r="AR359" s="52">
        <v>-302.56599999999997</v>
      </c>
      <c r="AS359" s="73">
        <v>2803.7416941385286</v>
      </c>
      <c r="AT359" s="40">
        <v>4306</v>
      </c>
      <c r="AU359" s="54">
        <v>1502.2583058614714</v>
      </c>
      <c r="AV359" s="73">
        <v>419.73448460127639</v>
      </c>
      <c r="AW359" s="40">
        <v>0</v>
      </c>
      <c r="AX359" s="55">
        <v>-419.73448460127639</v>
      </c>
      <c r="AY359" s="73">
        <v>425.76454216579583</v>
      </c>
      <c r="AZ359" s="40">
        <v>1153</v>
      </c>
      <c r="BA359" s="35">
        <v>727.23545783420423</v>
      </c>
      <c r="BB359" s="73">
        <v>155.67613795155339</v>
      </c>
      <c r="BC359" s="40">
        <v>0</v>
      </c>
      <c r="BD359" s="55">
        <v>-155.67613795155339</v>
      </c>
      <c r="BE359" s="73">
        <v>497.62608580668399</v>
      </c>
      <c r="BF359" s="40">
        <v>0</v>
      </c>
      <c r="BG359" s="38">
        <v>-497.62608580668399</v>
      </c>
      <c r="BH359" s="73">
        <v>208.98388444579521</v>
      </c>
      <c r="BI359" s="40">
        <v>0</v>
      </c>
      <c r="BJ359" s="55">
        <v>-208.98388444579521</v>
      </c>
      <c r="BK359" s="73">
        <v>190.78077203068941</v>
      </c>
      <c r="BL359" s="40">
        <v>0</v>
      </c>
      <c r="BM359" s="38">
        <v>-190.78077203068941</v>
      </c>
      <c r="BN359" s="73">
        <v>42.665399999999998</v>
      </c>
      <c r="BO359" s="40">
        <v>0</v>
      </c>
      <c r="BP359" s="55">
        <v>-42.665399999999998</v>
      </c>
      <c r="BQ359" s="77">
        <v>1941.2313070017942</v>
      </c>
      <c r="BR359" s="40">
        <v>1153</v>
      </c>
      <c r="BS359" s="55">
        <v>-788.23130700179422</v>
      </c>
      <c r="BT359" s="73">
        <v>4055.0280530827599</v>
      </c>
      <c r="BU359" s="40">
        <v>839.31188184322025</v>
      </c>
      <c r="BV359" s="52">
        <v>-3215.7161712395396</v>
      </c>
      <c r="BW359" s="73">
        <v>2078.3902513725802</v>
      </c>
      <c r="BX359" s="40">
        <v>2246.5001821561482</v>
      </c>
      <c r="BY359" s="52">
        <v>168.10993078356796</v>
      </c>
      <c r="BZ359" s="73">
        <v>792.32584035816205</v>
      </c>
      <c r="CA359" s="40">
        <v>4969.7968561503294</v>
      </c>
      <c r="CB359" s="52">
        <v>4177.4710157921672</v>
      </c>
      <c r="CC359" s="73">
        <v>25.286730975000001</v>
      </c>
      <c r="CD359" s="40">
        <v>24.099062264692545</v>
      </c>
      <c r="CE359" s="52">
        <v>-1.1876687103074559</v>
      </c>
      <c r="CF359" s="73">
        <v>2.2692450000000002</v>
      </c>
      <c r="CG359" s="40">
        <v>0</v>
      </c>
      <c r="CH359" s="52">
        <v>-2.2692450000000002</v>
      </c>
      <c r="CI359" s="73">
        <v>1840.76</v>
      </c>
      <c r="CJ359" s="40">
        <v>1309.7696855052709</v>
      </c>
      <c r="CK359" s="52">
        <v>-530.99031449472909</v>
      </c>
      <c r="CL359" s="73">
        <v>834.72619999999995</v>
      </c>
      <c r="CM359" s="40">
        <v>607.17188642464953</v>
      </c>
      <c r="CN359" s="52">
        <v>-227.55431357535042</v>
      </c>
      <c r="CO359" s="39">
        <v>2675.4861999999998</v>
      </c>
      <c r="CP359" s="40">
        <v>1916.9415719299204</v>
      </c>
      <c r="CQ359" s="52">
        <v>-758.5446280700794</v>
      </c>
      <c r="CR359" s="72">
        <v>22366.272659774004</v>
      </c>
      <c r="CS359" s="5">
        <v>23444.407740331339</v>
      </c>
      <c r="CT359" s="52">
        <v>1078.1350805573347</v>
      </c>
      <c r="CU359" s="77">
        <v>26839.527191728805</v>
      </c>
      <c r="CV359" s="65">
        <v>28133.289288397606</v>
      </c>
      <c r="CW359" s="35">
        <v>1293.762096668801</v>
      </c>
      <c r="CX359" s="73">
        <v>1498.5321440913901</v>
      </c>
      <c r="CY359" s="40">
        <v>204.77004742258941</v>
      </c>
      <c r="CZ359" s="52">
        <v>-1293.7620966688007</v>
      </c>
      <c r="DA359" s="150">
        <v>132469.85539581734</v>
      </c>
      <c r="DB359" s="2">
        <v>2</v>
      </c>
      <c r="DC359" s="648">
        <v>59401.3</v>
      </c>
      <c r="DD359" s="648"/>
      <c r="DE359" s="649">
        <v>31063.240664179808</v>
      </c>
      <c r="DG359" s="321">
        <v>133435.38974346415</v>
      </c>
      <c r="DH359" s="5">
        <v>340056.71202984231</v>
      </c>
      <c r="DI359" s="306">
        <v>5.2263039692620357</v>
      </c>
      <c r="DJ359" s="306">
        <v>6.6052359877828977</v>
      </c>
      <c r="DK359" s="306"/>
      <c r="DL359" s="28">
        <v>14090.751775657622</v>
      </c>
      <c r="DM359" s="28">
        <v>0</v>
      </c>
      <c r="DN359" s="650">
        <v>14090.67</v>
      </c>
      <c r="DO359" s="94">
        <v>8.1775657621619757E-2</v>
      </c>
      <c r="DP359" s="28">
        <v>14090.751775657622</v>
      </c>
      <c r="DQ359" s="318">
        <v>0</v>
      </c>
      <c r="DS359" s="8">
        <v>13419.763595864402</v>
      </c>
      <c r="DT359" s="5">
        <v>670.98817979322007</v>
      </c>
      <c r="DW359" s="5">
        <v>5693.9676013683866</v>
      </c>
      <c r="DX359" s="5">
        <v>6550.8</v>
      </c>
    </row>
    <row r="360" spans="1:128" x14ac:dyDescent="0.3">
      <c r="A360" s="325">
        <v>150000887</v>
      </c>
      <c r="B360" s="41" t="s">
        <v>806</v>
      </c>
      <c r="C360" s="42" t="s">
        <v>398</v>
      </c>
      <c r="D360" s="42" t="s">
        <v>398</v>
      </c>
      <c r="E360" s="293">
        <v>6420.63</v>
      </c>
      <c r="F360" s="652">
        <v>6420.63</v>
      </c>
      <c r="G360" s="653">
        <v>690.8</v>
      </c>
      <c r="H360" s="651">
        <v>0</v>
      </c>
      <c r="I360" s="73">
        <v>3415.0991907604161</v>
      </c>
      <c r="J360" s="40">
        <v>3800.3307642041</v>
      </c>
      <c r="K360" s="52">
        <v>385.23157344368383</v>
      </c>
      <c r="L360" s="73">
        <v>558.93120731412932</v>
      </c>
      <c r="M360" s="40">
        <v>629.70179303218413</v>
      </c>
      <c r="N360" s="52">
        <v>70.770585718054804</v>
      </c>
      <c r="O360" s="73">
        <v>1273.6112751681201</v>
      </c>
      <c r="P360" s="40">
        <v>1273.5999999999999</v>
      </c>
      <c r="Q360" s="52">
        <v>-1.1275168120164381E-2</v>
      </c>
      <c r="R360" s="73">
        <v>270.22727529779002</v>
      </c>
      <c r="S360" s="40">
        <v>270.24</v>
      </c>
      <c r="T360" s="52">
        <v>1.2724702209993666E-2</v>
      </c>
      <c r="U360" s="73">
        <v>129.82091592576384</v>
      </c>
      <c r="V360" s="40">
        <v>243.32903056820322</v>
      </c>
      <c r="W360" s="52">
        <v>113.50811464243938</v>
      </c>
      <c r="X360" s="73">
        <v>1172.1763125046587</v>
      </c>
      <c r="Y360" s="40">
        <v>1238.6173508699785</v>
      </c>
      <c r="Z360" s="52">
        <v>66.441038365319855</v>
      </c>
      <c r="AA360" s="73">
        <v>513.72480000000007</v>
      </c>
      <c r="AB360" s="40">
        <v>0</v>
      </c>
      <c r="AC360" s="52">
        <v>-513.72480000000007</v>
      </c>
      <c r="AD360" s="73">
        <v>4626.208863284849</v>
      </c>
      <c r="AE360" s="40">
        <v>5786.9468421061174</v>
      </c>
      <c r="AF360" s="35">
        <v>1160.7379788212684</v>
      </c>
      <c r="AG360" s="77">
        <v>11959.799840255728</v>
      </c>
      <c r="AH360" s="53">
        <v>13242.765780780583</v>
      </c>
      <c r="AI360" s="52">
        <v>1282.9659405248549</v>
      </c>
      <c r="AJ360" s="73">
        <v>11503.603815</v>
      </c>
      <c r="AK360" s="40">
        <v>11330.043739662486</v>
      </c>
      <c r="AL360" s="52">
        <v>-173.56007533751472</v>
      </c>
      <c r="AM360" s="73">
        <v>0</v>
      </c>
      <c r="AN360" s="40">
        <v>0</v>
      </c>
      <c r="AO360" s="52">
        <v>0</v>
      </c>
      <c r="AP360" s="73">
        <v>680.7734999999999</v>
      </c>
      <c r="AQ360" s="40">
        <v>0</v>
      </c>
      <c r="AR360" s="52">
        <v>-680.7734999999999</v>
      </c>
      <c r="AS360" s="73">
        <v>7815.173785965967</v>
      </c>
      <c r="AT360" s="40">
        <v>968</v>
      </c>
      <c r="AU360" s="54">
        <v>-6847.173785965967</v>
      </c>
      <c r="AV360" s="73">
        <v>1450.4811848676754</v>
      </c>
      <c r="AW360" s="40">
        <v>0</v>
      </c>
      <c r="AX360" s="55">
        <v>-1450.4811848676754</v>
      </c>
      <c r="AY360" s="73">
        <v>1566.0309052975831</v>
      </c>
      <c r="AZ360" s="40">
        <v>0</v>
      </c>
      <c r="BA360" s="35">
        <v>-1566.0309052975831</v>
      </c>
      <c r="BB360" s="73">
        <v>500.46208868717798</v>
      </c>
      <c r="BC360" s="40">
        <v>0</v>
      </c>
      <c r="BD360" s="55">
        <v>-500.46208868717798</v>
      </c>
      <c r="BE360" s="73">
        <v>1341.4433606631319</v>
      </c>
      <c r="BF360" s="40">
        <v>0</v>
      </c>
      <c r="BG360" s="38">
        <v>-1341.4433606631319</v>
      </c>
      <c r="BH360" s="73">
        <v>626.90933560096028</v>
      </c>
      <c r="BI360" s="40">
        <v>0</v>
      </c>
      <c r="BJ360" s="55">
        <v>-626.90933560096028</v>
      </c>
      <c r="BK360" s="73">
        <v>917.36735111453447</v>
      </c>
      <c r="BL360" s="40">
        <v>0</v>
      </c>
      <c r="BM360" s="38">
        <v>-917.36735111453447</v>
      </c>
      <c r="BN360" s="73">
        <v>128.43120000000002</v>
      </c>
      <c r="BO360" s="40">
        <v>0</v>
      </c>
      <c r="BP360" s="55">
        <v>-128.43120000000002</v>
      </c>
      <c r="BQ360" s="77">
        <v>6531.1254262310631</v>
      </c>
      <c r="BR360" s="40">
        <v>0</v>
      </c>
      <c r="BS360" s="55">
        <v>-6531.1254262310631</v>
      </c>
      <c r="BT360" s="73">
        <v>6189.8167121875204</v>
      </c>
      <c r="BU360" s="40">
        <v>1447.4129320151628</v>
      </c>
      <c r="BV360" s="52">
        <v>-4742.4037801723571</v>
      </c>
      <c r="BW360" s="73">
        <v>5870.4214716657998</v>
      </c>
      <c r="BX360" s="40">
        <v>6410.7809011723148</v>
      </c>
      <c r="BY360" s="52">
        <v>540.35942950651497</v>
      </c>
      <c r="BZ360" s="73">
        <v>1794.0430790703219</v>
      </c>
      <c r="CA360" s="40">
        <v>9038.0288089271944</v>
      </c>
      <c r="CB360" s="52">
        <v>7243.9857298568722</v>
      </c>
      <c r="CC360" s="73">
        <v>136.36961084999999</v>
      </c>
      <c r="CD360" s="40">
        <v>169.17541709814168</v>
      </c>
      <c r="CE360" s="52">
        <v>32.805806248141693</v>
      </c>
      <c r="CF360" s="73">
        <v>15.9300999</v>
      </c>
      <c r="CG360" s="40">
        <v>0</v>
      </c>
      <c r="CH360" s="52">
        <v>-15.9300999</v>
      </c>
      <c r="CI360" s="73">
        <v>1921.74</v>
      </c>
      <c r="CJ360" s="40">
        <v>1715.8563016276703</v>
      </c>
      <c r="CK360" s="52">
        <v>-205.88369837232972</v>
      </c>
      <c r="CL360" s="73">
        <v>1569.7836</v>
      </c>
      <c r="CM360" s="40">
        <v>2371.6999041475356</v>
      </c>
      <c r="CN360" s="52">
        <v>801.91630414753558</v>
      </c>
      <c r="CO360" s="39">
        <v>3491.5236</v>
      </c>
      <c r="CP360" s="40">
        <v>4087.5562057752059</v>
      </c>
      <c r="CQ360" s="52">
        <v>596.03260577520587</v>
      </c>
      <c r="CR360" s="72">
        <v>55988.580941126405</v>
      </c>
      <c r="CS360" s="5">
        <v>46693.763785431081</v>
      </c>
      <c r="CT360" s="52">
        <v>-9294.8171556953239</v>
      </c>
      <c r="CU360" s="77">
        <v>67186.297129351689</v>
      </c>
      <c r="CV360" s="65">
        <v>56032.516542517296</v>
      </c>
      <c r="CW360" s="35">
        <v>-11153.780586834393</v>
      </c>
      <c r="CX360" s="73">
        <v>3751.2145862925495</v>
      </c>
      <c r="CY360" s="40">
        <v>14904.995173126947</v>
      </c>
      <c r="CZ360" s="52">
        <v>11153.780586834397</v>
      </c>
      <c r="DA360" s="150">
        <v>166733.55035985139</v>
      </c>
      <c r="DB360" s="2">
        <v>2</v>
      </c>
      <c r="DC360" s="648">
        <v>74445.83</v>
      </c>
      <c r="DD360" s="648"/>
      <c r="DE360" s="649">
        <v>3508.3182843557588</v>
      </c>
      <c r="DG360" s="321">
        <v>132772.71366927735</v>
      </c>
      <c r="DH360" s="5">
        <v>851250.14058773092</v>
      </c>
      <c r="DI360" s="306">
        <v>4.2102809786811353</v>
      </c>
      <c r="DJ360" s="306">
        <v>5.6382589235765543</v>
      </c>
      <c r="DK360" s="306"/>
      <c r="DL360" s="28">
        <v>35214.727228149575</v>
      </c>
      <c r="DM360" s="28">
        <v>0</v>
      </c>
      <c r="DN360" s="650">
        <v>35214.94</v>
      </c>
      <c r="DO360" s="94">
        <v>-0.21277185042708879</v>
      </c>
      <c r="DP360" s="28">
        <v>35214.727228149575</v>
      </c>
      <c r="DQ360" s="318">
        <v>-58.07876476005913</v>
      </c>
      <c r="DS360" s="8">
        <v>33593.148564675845</v>
      </c>
      <c r="DT360" s="5">
        <v>1679.6574282337922</v>
      </c>
      <c r="DW360" s="5">
        <v>17215.559054636436</v>
      </c>
      <c r="DX360" s="5">
        <v>1161.5999999999999</v>
      </c>
    </row>
    <row r="361" spans="1:128" x14ac:dyDescent="0.3">
      <c r="A361" s="325">
        <v>150000888</v>
      </c>
      <c r="B361" s="41" t="s">
        <v>807</v>
      </c>
      <c r="C361" s="42" t="s">
        <v>314</v>
      </c>
      <c r="D361" s="42" t="s">
        <v>314</v>
      </c>
      <c r="E361" s="293">
        <v>3374.56</v>
      </c>
      <c r="F361" s="305">
        <v>2586.9899999999998</v>
      </c>
      <c r="G361" s="51"/>
      <c r="H361" s="651">
        <v>787.57</v>
      </c>
      <c r="I361" s="73">
        <v>1593.8254087046778</v>
      </c>
      <c r="J361" s="40">
        <v>1768.8524553306715</v>
      </c>
      <c r="K361" s="52">
        <v>175.02704662599376</v>
      </c>
      <c r="L361" s="73">
        <v>354.48897192983929</v>
      </c>
      <c r="M361" s="40">
        <v>399.37413711286013</v>
      </c>
      <c r="N361" s="52">
        <v>44.885165183020831</v>
      </c>
      <c r="O361" s="73">
        <v>612.09946511200337</v>
      </c>
      <c r="P361" s="40">
        <v>612.1</v>
      </c>
      <c r="Q361" s="52">
        <v>5.3488799665046827E-4</v>
      </c>
      <c r="R361" s="73">
        <v>0</v>
      </c>
      <c r="S361" s="40">
        <v>0</v>
      </c>
      <c r="T361" s="52">
        <v>0</v>
      </c>
      <c r="U361" s="73">
        <v>0</v>
      </c>
      <c r="V361" s="40">
        <v>0</v>
      </c>
      <c r="W361" s="52">
        <v>0</v>
      </c>
      <c r="X361" s="73">
        <v>858.8553816116297</v>
      </c>
      <c r="Y361" s="40">
        <v>897.74450158562377</v>
      </c>
      <c r="Z361" s="52">
        <v>38.88911997399407</v>
      </c>
      <c r="AA361" s="73">
        <v>269.99600000000004</v>
      </c>
      <c r="AB361" s="40">
        <v>0</v>
      </c>
      <c r="AC361" s="52">
        <v>-269.99600000000004</v>
      </c>
      <c r="AD361" s="73">
        <v>2400.156372506462</v>
      </c>
      <c r="AE361" s="40">
        <v>3041.5082843112932</v>
      </c>
      <c r="AF361" s="35">
        <v>641.35191180483116</v>
      </c>
      <c r="AG361" s="77">
        <v>6089.4215998646123</v>
      </c>
      <c r="AH361" s="53">
        <v>6719.5793783404479</v>
      </c>
      <c r="AI361" s="52">
        <v>630.15777847583558</v>
      </c>
      <c r="AJ361" s="73">
        <v>0</v>
      </c>
      <c r="AK361" s="40">
        <v>0</v>
      </c>
      <c r="AL361" s="52">
        <v>0</v>
      </c>
      <c r="AM361" s="73">
        <v>0</v>
      </c>
      <c r="AN361" s="40">
        <v>0</v>
      </c>
      <c r="AO361" s="52">
        <v>0</v>
      </c>
      <c r="AP361" s="73">
        <v>1210.2639999999999</v>
      </c>
      <c r="AQ361" s="40">
        <v>0</v>
      </c>
      <c r="AR361" s="52">
        <v>-1210.2639999999999</v>
      </c>
      <c r="AS361" s="73">
        <v>3147.3142970463909</v>
      </c>
      <c r="AT361" s="40">
        <v>110990</v>
      </c>
      <c r="AU361" s="54">
        <v>107842.6857029536</v>
      </c>
      <c r="AV361" s="73">
        <v>729.81665086148155</v>
      </c>
      <c r="AW361" s="40">
        <v>0</v>
      </c>
      <c r="AX361" s="55">
        <v>-729.81665086148155</v>
      </c>
      <c r="AY361" s="73">
        <v>981.1474424167933</v>
      </c>
      <c r="AZ361" s="40">
        <v>0</v>
      </c>
      <c r="BA361" s="35">
        <v>-981.1474424167933</v>
      </c>
      <c r="BB361" s="73">
        <v>245.86128013337319</v>
      </c>
      <c r="BC361" s="40">
        <v>1665</v>
      </c>
      <c r="BD361" s="55">
        <v>1419.1387198666268</v>
      </c>
      <c r="BE361" s="73">
        <v>0</v>
      </c>
      <c r="BF361" s="40">
        <v>0</v>
      </c>
      <c r="BG361" s="38">
        <v>0</v>
      </c>
      <c r="BH361" s="73">
        <v>0</v>
      </c>
      <c r="BI361" s="40">
        <v>0</v>
      </c>
      <c r="BJ361" s="55">
        <v>0</v>
      </c>
      <c r="BK361" s="73">
        <v>564.11400486930404</v>
      </c>
      <c r="BL361" s="40">
        <v>0</v>
      </c>
      <c r="BM361" s="38">
        <v>-564.11400486930404</v>
      </c>
      <c r="BN361" s="73">
        <v>67.499000000000009</v>
      </c>
      <c r="BO361" s="40">
        <v>0</v>
      </c>
      <c r="BP361" s="55">
        <v>-67.499000000000009</v>
      </c>
      <c r="BQ361" s="77">
        <v>2588.4383782809518</v>
      </c>
      <c r="BR361" s="40">
        <v>1665</v>
      </c>
      <c r="BS361" s="55">
        <v>-923.43837828095184</v>
      </c>
      <c r="BT361" s="73">
        <v>3651.0525601197201</v>
      </c>
      <c r="BU361" s="40">
        <v>990.94936837194973</v>
      </c>
      <c r="BV361" s="52">
        <v>-2660.1031917477703</v>
      </c>
      <c r="BW361" s="73">
        <v>2509.9714611886402</v>
      </c>
      <c r="BX361" s="40">
        <v>2671.8857769677825</v>
      </c>
      <c r="BY361" s="52">
        <v>161.91431577914227</v>
      </c>
      <c r="BZ361" s="73">
        <v>1625.958044939978</v>
      </c>
      <c r="CA361" s="40">
        <v>5784.0865890428195</v>
      </c>
      <c r="CB361" s="52">
        <v>4158.1285441028413</v>
      </c>
      <c r="CC361" s="73">
        <v>101.60922694999999</v>
      </c>
      <c r="CD361" s="40">
        <v>128.20701124816435</v>
      </c>
      <c r="CE361" s="52">
        <v>26.597784298164356</v>
      </c>
      <c r="CF361" s="73">
        <v>12.0723834</v>
      </c>
      <c r="CG361" s="40">
        <v>0</v>
      </c>
      <c r="CH361" s="52">
        <v>-12.0723834</v>
      </c>
      <c r="CI361" s="73">
        <v>1248.98</v>
      </c>
      <c r="CJ361" s="40">
        <v>652.03004212187352</v>
      </c>
      <c r="CK361" s="52">
        <v>-596.9499578781265</v>
      </c>
      <c r="CL361" s="73">
        <v>0</v>
      </c>
      <c r="CM361" s="40">
        <v>0</v>
      </c>
      <c r="CN361" s="52">
        <v>0</v>
      </c>
      <c r="CO361" s="39">
        <v>1248.98</v>
      </c>
      <c r="CP361" s="40">
        <v>652.03004212187352</v>
      </c>
      <c r="CQ361" s="52">
        <v>-596.9499578781265</v>
      </c>
      <c r="CR361" s="72">
        <v>22185.081951790289</v>
      </c>
      <c r="CS361" s="5">
        <v>129601.73816609304</v>
      </c>
      <c r="CT361" s="52">
        <v>107416.65621430275</v>
      </c>
      <c r="CU361" s="77">
        <v>26622.098342148347</v>
      </c>
      <c r="CV361" s="65">
        <v>155522.08579931164</v>
      </c>
      <c r="CW361" s="35">
        <v>128899.98745716328</v>
      </c>
      <c r="CX361" s="73">
        <v>1486.3924324704815</v>
      </c>
      <c r="CY361" s="40">
        <v>-127413.59502469281</v>
      </c>
      <c r="CZ361" s="52">
        <v>-128899.9874571633</v>
      </c>
      <c r="DA361" s="150">
        <v>78355.359559467906</v>
      </c>
      <c r="DB361" s="2">
        <v>2</v>
      </c>
      <c r="DC361" s="648">
        <v>23924.799999999999</v>
      </c>
      <c r="DD361" s="648">
        <v>2011.6399999999999</v>
      </c>
      <c r="DE361" s="649">
        <v>-2172.0507746188305</v>
      </c>
      <c r="DG361" s="321">
        <v>15222.898904278198</v>
      </c>
      <c r="DH361" s="5">
        <v>337301.88929542596</v>
      </c>
      <c r="DI361" s="306">
        <v>4.2838935320428631</v>
      </c>
      <c r="DJ361" s="306"/>
      <c r="DK361" s="306">
        <v>3.6727417025671603</v>
      </c>
      <c r="DL361" s="28">
        <v>11082.389728459566</v>
      </c>
      <c r="DM361" s="28">
        <v>2892.5411826908185</v>
      </c>
      <c r="DN361" s="650">
        <v>11082.38</v>
      </c>
      <c r="DO361" s="94">
        <v>9.7284595667588292E-3</v>
      </c>
      <c r="DP361" s="28">
        <v>13974.930911150384</v>
      </c>
      <c r="DQ361" s="318">
        <v>-1.6707184774986672</v>
      </c>
      <c r="DS361" s="8">
        <v>13311.049171074174</v>
      </c>
      <c r="DT361" s="5">
        <v>665.55245855370868</v>
      </c>
      <c r="DW361" s="5">
        <v>6882.9032103928121</v>
      </c>
      <c r="DX361" s="5">
        <v>135186</v>
      </c>
    </row>
    <row r="362" spans="1:128" x14ac:dyDescent="0.3">
      <c r="A362" s="325">
        <v>150000889</v>
      </c>
      <c r="B362" s="41" t="s">
        <v>808</v>
      </c>
      <c r="C362" s="42" t="s">
        <v>428</v>
      </c>
      <c r="D362" s="42" t="s">
        <v>428</v>
      </c>
      <c r="E362" s="293">
        <v>5256.18</v>
      </c>
      <c r="F362" s="652">
        <v>4414.38</v>
      </c>
      <c r="G362" s="51">
        <v>0</v>
      </c>
      <c r="H362" s="651">
        <v>841.8</v>
      </c>
      <c r="I362" s="73">
        <v>3205.794055470596</v>
      </c>
      <c r="J362" s="40">
        <v>3571.8523243214258</v>
      </c>
      <c r="K362" s="52">
        <v>366.05826885082979</v>
      </c>
      <c r="L362" s="73">
        <v>547.26548014493687</v>
      </c>
      <c r="M362" s="40">
        <v>616.55968248733689</v>
      </c>
      <c r="N362" s="52">
        <v>69.294202342400013</v>
      </c>
      <c r="O362" s="73">
        <v>910.20153989722007</v>
      </c>
      <c r="P362" s="40">
        <v>910.2</v>
      </c>
      <c r="Q362" s="52">
        <v>-1.539897220027342E-3</v>
      </c>
      <c r="R362" s="73">
        <v>211.18097924194001</v>
      </c>
      <c r="S362" s="40">
        <v>211.18</v>
      </c>
      <c r="T362" s="52">
        <v>-9.7924194000142961E-4</v>
      </c>
      <c r="U362" s="73">
        <v>98.327327236514193</v>
      </c>
      <c r="V362" s="40">
        <v>184.298460423704</v>
      </c>
      <c r="W362" s="52">
        <v>85.971133187189807</v>
      </c>
      <c r="X362" s="73">
        <v>775.48377520971701</v>
      </c>
      <c r="Y362" s="40">
        <v>735.70499622000159</v>
      </c>
      <c r="Z362" s="52">
        <v>-39.77877898971542</v>
      </c>
      <c r="AA362" s="73">
        <v>0</v>
      </c>
      <c r="AB362" s="40">
        <v>0</v>
      </c>
      <c r="AC362" s="52">
        <v>0</v>
      </c>
      <c r="AD362" s="73">
        <v>3754.6909031745736</v>
      </c>
      <c r="AE362" s="40">
        <v>4737.4220680122253</v>
      </c>
      <c r="AF362" s="35">
        <v>982.7311648376517</v>
      </c>
      <c r="AG362" s="77">
        <v>9502.9440603754974</v>
      </c>
      <c r="AH362" s="53">
        <v>10967.217531464694</v>
      </c>
      <c r="AI362" s="52">
        <v>1464.2734710891964</v>
      </c>
      <c r="AJ362" s="73">
        <v>6244.8</v>
      </c>
      <c r="AK362" s="40">
        <v>6150.6001813903276</v>
      </c>
      <c r="AL362" s="52">
        <v>-94.199818609672548</v>
      </c>
      <c r="AM362" s="73">
        <v>420.29977000000002</v>
      </c>
      <c r="AN362" s="40">
        <v>0</v>
      </c>
      <c r="AO362" s="52">
        <v>-420.29977000000002</v>
      </c>
      <c r="AP362" s="73">
        <v>567.31124999999997</v>
      </c>
      <c r="AQ362" s="40">
        <v>0</v>
      </c>
      <c r="AR362" s="52">
        <v>-567.31124999999997</v>
      </c>
      <c r="AS362" s="73">
        <v>5176.6890388543434</v>
      </c>
      <c r="AT362" s="40">
        <v>482</v>
      </c>
      <c r="AU362" s="54">
        <v>-4694.6890388543434</v>
      </c>
      <c r="AV362" s="73">
        <v>1426.4369958435695</v>
      </c>
      <c r="AW362" s="40">
        <v>0</v>
      </c>
      <c r="AX362" s="55">
        <v>-1426.4369958435695</v>
      </c>
      <c r="AY362" s="73">
        <v>1520.5551176951462</v>
      </c>
      <c r="AZ362" s="40">
        <v>0</v>
      </c>
      <c r="BA362" s="35">
        <v>-1520.5551176951462</v>
      </c>
      <c r="BB362" s="73">
        <v>441.40388049294199</v>
      </c>
      <c r="BC362" s="40">
        <v>2186</v>
      </c>
      <c r="BD362" s="55">
        <v>1744.5961195070581</v>
      </c>
      <c r="BE362" s="73">
        <v>1130.1629672429701</v>
      </c>
      <c r="BF362" s="40">
        <v>0</v>
      </c>
      <c r="BG362" s="38">
        <v>-1130.1629672429701</v>
      </c>
      <c r="BH362" s="73">
        <v>474.90567324863116</v>
      </c>
      <c r="BI362" s="40">
        <v>0</v>
      </c>
      <c r="BJ362" s="55">
        <v>-474.90567324863116</v>
      </c>
      <c r="BK362" s="73">
        <v>605.71339460294996</v>
      </c>
      <c r="BL362" s="40">
        <v>0</v>
      </c>
      <c r="BM362" s="38">
        <v>-605.71339460294996</v>
      </c>
      <c r="BN362" s="73">
        <v>0</v>
      </c>
      <c r="BO362" s="40">
        <v>0</v>
      </c>
      <c r="BP362" s="55">
        <v>0</v>
      </c>
      <c r="BQ362" s="77">
        <v>5599.1780291262094</v>
      </c>
      <c r="BR362" s="40">
        <v>2186</v>
      </c>
      <c r="BS362" s="55">
        <v>-3413.1780291262094</v>
      </c>
      <c r="BT362" s="73">
        <v>6262.1475727627803</v>
      </c>
      <c r="BU362" s="40">
        <v>566.08561708263358</v>
      </c>
      <c r="BV362" s="52">
        <v>-5696.0619556801466</v>
      </c>
      <c r="BW362" s="73">
        <v>6611.1794666857204</v>
      </c>
      <c r="BX362" s="40">
        <v>5039.8885077467794</v>
      </c>
      <c r="BY362" s="52">
        <v>-1571.290958938941</v>
      </c>
      <c r="BZ362" s="73">
        <v>889.55646280898202</v>
      </c>
      <c r="CA362" s="40">
        <v>6511.9393137910856</v>
      </c>
      <c r="CB362" s="52">
        <v>5622.3828509821033</v>
      </c>
      <c r="CC362" s="73">
        <v>111.94096595000001</v>
      </c>
      <c r="CD362" s="40">
        <v>133.02682370110284</v>
      </c>
      <c r="CE362" s="52">
        <v>21.085857751102836</v>
      </c>
      <c r="CF362" s="73">
        <v>12.5262324</v>
      </c>
      <c r="CG362" s="40">
        <v>0</v>
      </c>
      <c r="CH362" s="52">
        <v>-12.5262324</v>
      </c>
      <c r="CI362" s="73">
        <v>2952.68</v>
      </c>
      <c r="CJ362" s="40">
        <v>2571.0868413175049</v>
      </c>
      <c r="CK362" s="52">
        <v>-381.59315868249496</v>
      </c>
      <c r="CL362" s="73">
        <v>6403.7204000000002</v>
      </c>
      <c r="CM362" s="40">
        <v>5932.4082006776589</v>
      </c>
      <c r="CN362" s="52">
        <v>-471.31219932234126</v>
      </c>
      <c r="CO362" s="39">
        <v>9356.4004000000004</v>
      </c>
      <c r="CP362" s="40">
        <v>8503.4950419951638</v>
      </c>
      <c r="CQ362" s="52">
        <v>-852.90535800483667</v>
      </c>
      <c r="CR362" s="72">
        <v>50754.973248963528</v>
      </c>
      <c r="CS362" s="5">
        <v>40540.253017171788</v>
      </c>
      <c r="CT362" s="52">
        <v>-10214.72023179174</v>
      </c>
      <c r="CU362" s="77">
        <v>60905.967898756229</v>
      </c>
      <c r="CV362" s="65">
        <v>48648.303620606144</v>
      </c>
      <c r="CW362" s="35">
        <v>-12257.664278150085</v>
      </c>
      <c r="CX362" s="73">
        <v>3400.564771923825</v>
      </c>
      <c r="CY362" s="40">
        <v>15658.229050073911</v>
      </c>
      <c r="CZ362" s="52">
        <v>12257.664278150085</v>
      </c>
      <c r="DA362" s="150">
        <v>26268.139791385347</v>
      </c>
      <c r="DB362" s="2">
        <v>2</v>
      </c>
      <c r="DC362" s="648">
        <v>56014.8</v>
      </c>
      <c r="DD362" s="648">
        <v>2972.4</v>
      </c>
      <c r="DE362" s="649">
        <v>-5319.3326706800508</v>
      </c>
      <c r="DG362" s="321">
        <v>88228.744153200401</v>
      </c>
      <c r="DH362" s="5">
        <v>771678.39204816066</v>
      </c>
      <c r="DI362" s="306">
        <v>4.7078977782915734</v>
      </c>
      <c r="DJ362" s="306">
        <v>6.5238769916069197</v>
      </c>
      <c r="DK362" s="306">
        <v>3.7643806673921936</v>
      </c>
      <c r="DL362" s="28">
        <v>28798.872114209757</v>
      </c>
      <c r="DM362" s="28">
        <v>3168.8556458107482</v>
      </c>
      <c r="DN362" s="650">
        <v>28799.02</v>
      </c>
      <c r="DO362" s="94">
        <v>-0.14788579024389037</v>
      </c>
      <c r="DP362" s="28">
        <v>31967.727760020505</v>
      </c>
      <c r="DQ362" s="318">
        <v>-7.9053868265145866</v>
      </c>
      <c r="DS362" s="8">
        <v>30452.983949378115</v>
      </c>
      <c r="DT362" s="5">
        <v>1522.6491974689059</v>
      </c>
      <c r="DW362" s="5">
        <v>12931.040481576663</v>
      </c>
      <c r="DX362" s="5">
        <v>3201.6</v>
      </c>
    </row>
    <row r="363" spans="1:128" x14ac:dyDescent="0.3">
      <c r="A363" s="325">
        <v>150000890</v>
      </c>
      <c r="B363" s="41" t="s">
        <v>809</v>
      </c>
      <c r="C363" s="42" t="s">
        <v>399</v>
      </c>
      <c r="D363" s="42" t="s">
        <v>399</v>
      </c>
      <c r="E363" s="293">
        <v>8484.5</v>
      </c>
      <c r="F363" s="652">
        <v>8324.4</v>
      </c>
      <c r="G363" s="653">
        <v>799.38000000000011</v>
      </c>
      <c r="H363" s="651">
        <v>160.1</v>
      </c>
      <c r="I363" s="73">
        <v>2963.4196583230841</v>
      </c>
      <c r="J363" s="40">
        <v>3298.2539157450819</v>
      </c>
      <c r="K363" s="52">
        <v>334.83425742199779</v>
      </c>
      <c r="L363" s="73">
        <v>633.24235623988739</v>
      </c>
      <c r="M363" s="40">
        <v>755.30880367594295</v>
      </c>
      <c r="N363" s="52">
        <v>122.06644743605557</v>
      </c>
      <c r="O363" s="73">
        <v>1671.6540316064936</v>
      </c>
      <c r="P363" s="40">
        <v>1671.66</v>
      </c>
      <c r="Q363" s="52">
        <v>5.9683935064640536E-3</v>
      </c>
      <c r="R363" s="73">
        <v>393.84557653745998</v>
      </c>
      <c r="S363" s="40">
        <v>393.86</v>
      </c>
      <c r="T363" s="52">
        <v>1.4423462540037235E-2</v>
      </c>
      <c r="U363" s="73">
        <v>173.10864026768496</v>
      </c>
      <c r="V363" s="40">
        <v>438.58646250242612</v>
      </c>
      <c r="W363" s="52">
        <v>265.47782223474115</v>
      </c>
      <c r="X363" s="73">
        <v>1664.9891498151596</v>
      </c>
      <c r="Y363" s="40">
        <v>1750.1052804837584</v>
      </c>
      <c r="Z363" s="52">
        <v>85.116130668598771</v>
      </c>
      <c r="AA363" s="73">
        <v>665.81280000000004</v>
      </c>
      <c r="AB363" s="40">
        <v>0</v>
      </c>
      <c r="AC363" s="52">
        <v>-665.81280000000004</v>
      </c>
      <c r="AD363" s="73">
        <v>5995.8201488454624</v>
      </c>
      <c r="AE363" s="40">
        <v>7647.123488170062</v>
      </c>
      <c r="AF363" s="35">
        <v>1651.3033393245996</v>
      </c>
      <c r="AG363" s="77">
        <v>14161.892361635233</v>
      </c>
      <c r="AH363" s="53">
        <v>15954.897950577271</v>
      </c>
      <c r="AI363" s="52">
        <v>1793.0055889420382</v>
      </c>
      <c r="AJ363" s="73">
        <v>9495.0105249999997</v>
      </c>
      <c r="AK363" s="40">
        <v>9351.7730913247306</v>
      </c>
      <c r="AL363" s="52">
        <v>-143.23743367526913</v>
      </c>
      <c r="AM363" s="73">
        <v>840.59954000000005</v>
      </c>
      <c r="AN363" s="40">
        <v>0</v>
      </c>
      <c r="AO363" s="52">
        <v>-840.59954000000005</v>
      </c>
      <c r="AP363" s="73">
        <v>895.09108333333324</v>
      </c>
      <c r="AQ363" s="40">
        <v>5279.5488721804513</v>
      </c>
      <c r="AR363" s="52">
        <v>4384.4577888471176</v>
      </c>
      <c r="AS363" s="73">
        <v>10186.803767214766</v>
      </c>
      <c r="AT363" s="40">
        <v>19295</v>
      </c>
      <c r="AU363" s="54">
        <v>9108.1962327852343</v>
      </c>
      <c r="AV363" s="73">
        <v>1362.3302119642001</v>
      </c>
      <c r="AW363" s="40">
        <v>0</v>
      </c>
      <c r="AX363" s="55">
        <v>-1362.3302119642001</v>
      </c>
      <c r="AY363" s="73">
        <v>1778.0405470304654</v>
      </c>
      <c r="AZ363" s="40">
        <v>0</v>
      </c>
      <c r="BA363" s="35">
        <v>-1778.0405470304654</v>
      </c>
      <c r="BB363" s="73">
        <v>661.00913152251997</v>
      </c>
      <c r="BC363" s="40">
        <v>0</v>
      </c>
      <c r="BD363" s="55">
        <v>-661.00913152251997</v>
      </c>
      <c r="BE363" s="73">
        <v>2027.3943761612979</v>
      </c>
      <c r="BF363" s="40">
        <v>0</v>
      </c>
      <c r="BG363" s="38">
        <v>-2027.3943761612979</v>
      </c>
      <c r="BH363" s="73">
        <v>835.85090231032973</v>
      </c>
      <c r="BI363" s="40">
        <v>0</v>
      </c>
      <c r="BJ363" s="55">
        <v>-835.85090231032973</v>
      </c>
      <c r="BK363" s="73">
        <v>1420.3583001658153</v>
      </c>
      <c r="BL363" s="40">
        <v>0</v>
      </c>
      <c r="BM363" s="38">
        <v>-1420.3583001658153</v>
      </c>
      <c r="BN363" s="73">
        <v>166.45320000000001</v>
      </c>
      <c r="BO363" s="40">
        <v>0</v>
      </c>
      <c r="BP363" s="55">
        <v>-166.45320000000001</v>
      </c>
      <c r="BQ363" s="77">
        <v>8251.4366691546293</v>
      </c>
      <c r="BR363" s="40">
        <v>0</v>
      </c>
      <c r="BS363" s="55">
        <v>-8251.4366691546293</v>
      </c>
      <c r="BT363" s="73">
        <v>13755.350201470061</v>
      </c>
      <c r="BU363" s="40">
        <v>2897.0809801207338</v>
      </c>
      <c r="BV363" s="52">
        <v>-10858.269221349326</v>
      </c>
      <c r="BW363" s="73">
        <v>8997.4638549490792</v>
      </c>
      <c r="BX363" s="40">
        <v>9938.0720705022432</v>
      </c>
      <c r="BY363" s="52">
        <v>940.60821555316397</v>
      </c>
      <c r="BZ363" s="73">
        <v>1993.217050212344</v>
      </c>
      <c r="CA363" s="40">
        <v>17354.568184666765</v>
      </c>
      <c r="CB363" s="52">
        <v>15361.35113445442</v>
      </c>
      <c r="CC363" s="73">
        <v>237.59707069999999</v>
      </c>
      <c r="CD363" s="40">
        <v>294.97252211983675</v>
      </c>
      <c r="CE363" s="52">
        <v>57.375451419836764</v>
      </c>
      <c r="CF363" s="73">
        <v>27.775558799999999</v>
      </c>
      <c r="CG363" s="40">
        <v>0</v>
      </c>
      <c r="CH363" s="52">
        <v>-27.775558799999999</v>
      </c>
      <c r="CI363" s="73">
        <v>2292.38</v>
      </c>
      <c r="CJ363" s="40">
        <v>2412.9495296865844</v>
      </c>
      <c r="CK363" s="52">
        <v>120.56952968658425</v>
      </c>
      <c r="CL363" s="73">
        <v>3064.8155999999999</v>
      </c>
      <c r="CM363" s="40">
        <v>2789.4698219560842</v>
      </c>
      <c r="CN363" s="52">
        <v>-275.34577804391574</v>
      </c>
      <c r="CO363" s="39">
        <v>5357.1956</v>
      </c>
      <c r="CP363" s="40">
        <v>5202.4193516426685</v>
      </c>
      <c r="CQ363" s="52">
        <v>-154.7762483573315</v>
      </c>
      <c r="CR363" s="72">
        <v>74199.433282469443</v>
      </c>
      <c r="CS363" s="5">
        <v>85568.333023134706</v>
      </c>
      <c r="CT363" s="52">
        <v>11368.899740665263</v>
      </c>
      <c r="CU363" s="77">
        <v>89039.319938963323</v>
      </c>
      <c r="CV363" s="65">
        <v>102681.99962776164</v>
      </c>
      <c r="CW363" s="35">
        <v>13642.679688798322</v>
      </c>
      <c r="CX363" s="73">
        <v>4971.3350784246622</v>
      </c>
      <c r="CY363" s="40">
        <v>-8671.3446103736642</v>
      </c>
      <c r="CZ363" s="52">
        <v>-13642.679688798326</v>
      </c>
      <c r="DA363" s="150">
        <v>-15278.198133328322</v>
      </c>
      <c r="DB363" s="2">
        <v>2</v>
      </c>
      <c r="DC363" s="648">
        <v>84032.54</v>
      </c>
      <c r="DD363" s="648">
        <v>4886.3999999999996</v>
      </c>
      <c r="DE363" s="649">
        <v>-5091.7150173879927</v>
      </c>
      <c r="DG363" s="321">
        <v>50387.063084631409</v>
      </c>
      <c r="DH363" s="5">
        <v>1128127.8602086557</v>
      </c>
      <c r="DI363" s="306">
        <v>4.6022996012099195</v>
      </c>
      <c r="DJ363" s="306">
        <v>5.7244521954174994</v>
      </c>
      <c r="DK363" s="306"/>
      <c r="DL363" s="28">
        <v>46755.603514775772</v>
      </c>
      <c r="DM363" s="28">
        <v>491.34</v>
      </c>
      <c r="DN363" s="650">
        <v>46760.24</v>
      </c>
      <c r="DO363" s="94">
        <v>-4.6364852242259076</v>
      </c>
      <c r="DP363" s="28">
        <v>47246.943514775769</v>
      </c>
      <c r="DQ363" s="318">
        <v>501.30054682002083</v>
      </c>
      <c r="DS363" s="8">
        <v>44519.659969481661</v>
      </c>
      <c r="DT363" s="5">
        <v>2225.9829984740832</v>
      </c>
      <c r="DW363" s="5">
        <v>22125.888523643272</v>
      </c>
      <c r="DX363" s="5">
        <v>23154</v>
      </c>
    </row>
    <row r="364" spans="1:128" x14ac:dyDescent="0.3">
      <c r="A364" s="325">
        <v>150000891</v>
      </c>
      <c r="B364" s="41" t="s">
        <v>810</v>
      </c>
      <c r="C364" s="42" t="s">
        <v>190</v>
      </c>
      <c r="D364" s="42" t="s">
        <v>190</v>
      </c>
      <c r="E364" s="293">
        <v>294.26</v>
      </c>
      <c r="F364" s="305">
        <v>232.46</v>
      </c>
      <c r="G364" s="51"/>
      <c r="H364" s="651">
        <v>61.8</v>
      </c>
      <c r="I364" s="73">
        <v>235.988474950609</v>
      </c>
      <c r="J364" s="40">
        <v>263.74571844983802</v>
      </c>
      <c r="K364" s="52">
        <v>27.75724349922902</v>
      </c>
      <c r="L364" s="73">
        <v>47.524604420840049</v>
      </c>
      <c r="M364" s="40">
        <v>53.541931849377953</v>
      </c>
      <c r="N364" s="52">
        <v>6.0173274285379037</v>
      </c>
      <c r="O364" s="73">
        <v>0</v>
      </c>
      <c r="P364" s="40">
        <v>0</v>
      </c>
      <c r="Q364" s="52">
        <v>0</v>
      </c>
      <c r="R364" s="73">
        <v>0</v>
      </c>
      <c r="S364" s="40">
        <v>0</v>
      </c>
      <c r="T364" s="52">
        <v>0</v>
      </c>
      <c r="U364" s="73">
        <v>0</v>
      </c>
      <c r="V364" s="40">
        <v>0</v>
      </c>
      <c r="W364" s="52">
        <v>0</v>
      </c>
      <c r="X364" s="73">
        <v>84.744418412226864</v>
      </c>
      <c r="Y364" s="40">
        <v>80.711586402864356</v>
      </c>
      <c r="Z364" s="52">
        <v>-4.0328320093625081</v>
      </c>
      <c r="AA364" s="73">
        <v>57.684800000000003</v>
      </c>
      <c r="AB364" s="40">
        <v>0</v>
      </c>
      <c r="AC364" s="52">
        <v>-57.684800000000003</v>
      </c>
      <c r="AD364" s="73">
        <v>442.38455044822234</v>
      </c>
      <c r="AE364" s="40">
        <v>265.21805146195095</v>
      </c>
      <c r="AF364" s="35">
        <v>-177.16649898627139</v>
      </c>
      <c r="AG364" s="77">
        <v>868.32684823189834</v>
      </c>
      <c r="AH364" s="53">
        <v>663.21728816403129</v>
      </c>
      <c r="AI364" s="52">
        <v>-205.10956006786705</v>
      </c>
      <c r="AJ364" s="73">
        <v>0</v>
      </c>
      <c r="AK364" s="40">
        <v>0</v>
      </c>
      <c r="AL364" s="52">
        <v>0</v>
      </c>
      <c r="AM364" s="73">
        <v>0</v>
      </c>
      <c r="AN364" s="40">
        <v>0</v>
      </c>
      <c r="AO364" s="52">
        <v>0</v>
      </c>
      <c r="AP364" s="73">
        <v>75.641499999999994</v>
      </c>
      <c r="AQ364" s="40">
        <v>0</v>
      </c>
      <c r="AR364" s="52">
        <v>-75.641499999999994</v>
      </c>
      <c r="AS364" s="73">
        <v>638.68640605972405</v>
      </c>
      <c r="AT364" s="40">
        <v>0</v>
      </c>
      <c r="AU364" s="54">
        <v>-638.68640605972405</v>
      </c>
      <c r="AV364" s="73">
        <v>133.83058264815946</v>
      </c>
      <c r="AW364" s="40">
        <v>0</v>
      </c>
      <c r="AX364" s="55">
        <v>-133.83058264815946</v>
      </c>
      <c r="AY364" s="73">
        <v>131.59006282066974</v>
      </c>
      <c r="AZ364" s="40">
        <v>0</v>
      </c>
      <c r="BA364" s="35">
        <v>-131.59006282066974</v>
      </c>
      <c r="BB364" s="73">
        <v>0</v>
      </c>
      <c r="BC364" s="40">
        <v>0</v>
      </c>
      <c r="BD364" s="55">
        <v>0</v>
      </c>
      <c r="BE364" s="73">
        <v>0</v>
      </c>
      <c r="BF364" s="40">
        <v>0</v>
      </c>
      <c r="BG364" s="38">
        <v>0</v>
      </c>
      <c r="BH364" s="73">
        <v>0</v>
      </c>
      <c r="BI364" s="40">
        <v>0</v>
      </c>
      <c r="BJ364" s="55">
        <v>0</v>
      </c>
      <c r="BK364" s="73">
        <v>33.889082634838417</v>
      </c>
      <c r="BL364" s="40">
        <v>0</v>
      </c>
      <c r="BM364" s="38">
        <v>-33.889082634838417</v>
      </c>
      <c r="BN364" s="73">
        <v>14.421200000000001</v>
      </c>
      <c r="BO364" s="40">
        <v>0</v>
      </c>
      <c r="BP364" s="55">
        <v>-14.421200000000001</v>
      </c>
      <c r="BQ364" s="77">
        <v>313.73092810366762</v>
      </c>
      <c r="BR364" s="40">
        <v>0</v>
      </c>
      <c r="BS364" s="55">
        <v>-313.73092810366762</v>
      </c>
      <c r="BT364" s="73">
        <v>765.87836937095199</v>
      </c>
      <c r="BU364" s="40">
        <v>243.45374882235535</v>
      </c>
      <c r="BV364" s="52">
        <v>-522.42462054859664</v>
      </c>
      <c r="BW364" s="73">
        <v>0</v>
      </c>
      <c r="BX364" s="40">
        <v>11.942758177516399</v>
      </c>
      <c r="BY364" s="52">
        <v>11.942758177516399</v>
      </c>
      <c r="BZ364" s="73">
        <v>346.61379731980401</v>
      </c>
      <c r="CA364" s="40">
        <v>1865.6831410235086</v>
      </c>
      <c r="CB364" s="52">
        <v>1519.0693437037046</v>
      </c>
      <c r="CC364" s="73">
        <v>0</v>
      </c>
      <c r="CD364" s="40">
        <v>0</v>
      </c>
      <c r="CE364" s="52">
        <v>0</v>
      </c>
      <c r="CF364" s="73">
        <v>0</v>
      </c>
      <c r="CG364" s="40">
        <v>0</v>
      </c>
      <c r="CH364" s="52">
        <v>0</v>
      </c>
      <c r="CI364" s="73">
        <v>0</v>
      </c>
      <c r="CJ364" s="40">
        <v>0</v>
      </c>
      <c r="CK364" s="52">
        <v>0</v>
      </c>
      <c r="CL364" s="73">
        <v>0</v>
      </c>
      <c r="CM364" s="40">
        <v>0</v>
      </c>
      <c r="CN364" s="52">
        <v>0</v>
      </c>
      <c r="CO364" s="39">
        <v>0</v>
      </c>
      <c r="CP364" s="40">
        <v>0</v>
      </c>
      <c r="CQ364" s="52">
        <v>0</v>
      </c>
      <c r="CR364" s="72">
        <v>3008.8778490860459</v>
      </c>
      <c r="CS364" s="5">
        <v>2784.2969361874116</v>
      </c>
      <c r="CT364" s="52">
        <v>-224.58091289863432</v>
      </c>
      <c r="CU364" s="77">
        <v>3610.653418903255</v>
      </c>
      <c r="CV364" s="65">
        <v>3341.1563234248938</v>
      </c>
      <c r="CW364" s="35">
        <v>-269.49709547836119</v>
      </c>
      <c r="CX364" s="73">
        <v>201.593722972416</v>
      </c>
      <c r="CY364" s="40">
        <v>471.09081845077708</v>
      </c>
      <c r="CZ364" s="52">
        <v>269.49709547836108</v>
      </c>
      <c r="DA364" s="150">
        <v>-10102.756810841285</v>
      </c>
      <c r="DB364" s="2">
        <v>2</v>
      </c>
      <c r="DC364" s="648">
        <v>2413.88</v>
      </c>
      <c r="DD364" s="648">
        <v>-631.39</v>
      </c>
      <c r="DE364" s="649">
        <v>-2029.7571418756706</v>
      </c>
      <c r="DG364" s="321">
        <v>-2130.5902725902251</v>
      </c>
      <c r="DH364" s="5">
        <v>45746.965702508052</v>
      </c>
      <c r="DI364" s="306">
        <v>2.628897796194781</v>
      </c>
      <c r="DJ364" s="306"/>
      <c r="DK364" s="306">
        <v>2.628897796194781</v>
      </c>
      <c r="DL364" s="28">
        <v>611.11358170343885</v>
      </c>
      <c r="DM364" s="28">
        <v>162.46588380483746</v>
      </c>
      <c r="DN364" s="650">
        <v>611.12</v>
      </c>
      <c r="DO364" s="94">
        <v>-6.4182965611507825E-3</v>
      </c>
      <c r="DP364" s="28">
        <v>773.57946550827637</v>
      </c>
      <c r="DQ364" s="318">
        <v>-1122.0135794159326</v>
      </c>
      <c r="DS364" s="8">
        <v>1805.3267094516275</v>
      </c>
      <c r="DT364" s="5">
        <v>90.266335472581375</v>
      </c>
      <c r="DW364" s="5">
        <v>1142.9008009960698</v>
      </c>
      <c r="DX364" s="5">
        <v>0</v>
      </c>
    </row>
    <row r="365" spans="1:128" x14ac:dyDescent="0.3">
      <c r="A365" s="325">
        <v>150001561</v>
      </c>
      <c r="B365" s="41" t="s">
        <v>811</v>
      </c>
      <c r="C365" s="42" t="s">
        <v>400</v>
      </c>
      <c r="D365" s="42" t="s">
        <v>400</v>
      </c>
      <c r="E365" s="293">
        <v>3511.2</v>
      </c>
      <c r="F365" s="652">
        <v>3511.2</v>
      </c>
      <c r="G365" s="51">
        <v>191</v>
      </c>
      <c r="H365" s="651">
        <v>0</v>
      </c>
      <c r="I365" s="73">
        <v>2874.9422941113812</v>
      </c>
      <c r="J365" s="40">
        <v>3204.9092668876519</v>
      </c>
      <c r="K365" s="52">
        <v>329.96697277627072</v>
      </c>
      <c r="L365" s="73">
        <v>481.46537629015035</v>
      </c>
      <c r="M365" s="40">
        <v>542.42844411769806</v>
      </c>
      <c r="N365" s="52">
        <v>60.963067827547718</v>
      </c>
      <c r="O365" s="73">
        <v>0</v>
      </c>
      <c r="P365" s="40">
        <v>0</v>
      </c>
      <c r="Q365" s="52">
        <v>0</v>
      </c>
      <c r="R365" s="73">
        <v>0</v>
      </c>
      <c r="S365" s="40">
        <v>0</v>
      </c>
      <c r="T365" s="52">
        <v>0</v>
      </c>
      <c r="U365" s="73">
        <v>29.506649590954193</v>
      </c>
      <c r="V365" s="40">
        <v>216.49325214599151</v>
      </c>
      <c r="W365" s="52">
        <v>186.98660255503731</v>
      </c>
      <c r="X365" s="73">
        <v>852.74171940138638</v>
      </c>
      <c r="Y365" s="40">
        <v>817.59730399762088</v>
      </c>
      <c r="Z365" s="52">
        <v>-35.144415403765493</v>
      </c>
      <c r="AA365" s="73">
        <v>280.89600000000002</v>
      </c>
      <c r="AB365" s="40">
        <v>0</v>
      </c>
      <c r="AC365" s="52">
        <v>-280.89600000000002</v>
      </c>
      <c r="AD365" s="73">
        <v>2248.6491174118228</v>
      </c>
      <c r="AE365" s="40">
        <v>3164.6626190892475</v>
      </c>
      <c r="AF365" s="35">
        <v>916.01350167742476</v>
      </c>
      <c r="AG365" s="77">
        <v>6768.2011568056942</v>
      </c>
      <c r="AH365" s="53">
        <v>7946.0908862382094</v>
      </c>
      <c r="AI365" s="52">
        <v>1177.8897294325152</v>
      </c>
      <c r="AJ365" s="73">
        <v>1441.64</v>
      </c>
      <c r="AK365" s="40">
        <v>1419.8901012625474</v>
      </c>
      <c r="AL365" s="52">
        <v>-21.749898737452668</v>
      </c>
      <c r="AM365" s="73">
        <v>181</v>
      </c>
      <c r="AN365" s="40">
        <v>219.08238422447766</v>
      </c>
      <c r="AO365" s="52">
        <v>38.082384224477664</v>
      </c>
      <c r="AP365" s="73">
        <v>624.04237499999999</v>
      </c>
      <c r="AQ365" s="40">
        <v>0</v>
      </c>
      <c r="AR365" s="52">
        <v>-624.04237499999999</v>
      </c>
      <c r="AS365" s="73">
        <v>2917.7736942339056</v>
      </c>
      <c r="AT365" s="40">
        <v>0</v>
      </c>
      <c r="AU365" s="54">
        <v>-2917.7736942339056</v>
      </c>
      <c r="AV365" s="73">
        <v>1207.24781308811</v>
      </c>
      <c r="AW365" s="40">
        <v>348</v>
      </c>
      <c r="AX365" s="55">
        <v>-859.24781308810998</v>
      </c>
      <c r="AY365" s="73">
        <v>1332.5980989640432</v>
      </c>
      <c r="AZ365" s="40">
        <v>0</v>
      </c>
      <c r="BA365" s="35">
        <v>-1332.5980989640432</v>
      </c>
      <c r="BB365" s="73">
        <v>0</v>
      </c>
      <c r="BC365" s="40">
        <v>0</v>
      </c>
      <c r="BD365" s="55">
        <v>0</v>
      </c>
      <c r="BE365" s="73">
        <v>0</v>
      </c>
      <c r="BF365" s="40">
        <v>0</v>
      </c>
      <c r="BG365" s="38">
        <v>0</v>
      </c>
      <c r="BH365" s="73">
        <v>142.47171410187423</v>
      </c>
      <c r="BI365" s="40">
        <v>0</v>
      </c>
      <c r="BJ365" s="55">
        <v>-142.47171410187423</v>
      </c>
      <c r="BK365" s="73">
        <v>110.24779520253645</v>
      </c>
      <c r="BL365" s="40">
        <v>0</v>
      </c>
      <c r="BM365" s="38">
        <v>-110.24779520253645</v>
      </c>
      <c r="BN365" s="73">
        <v>70.224000000000004</v>
      </c>
      <c r="BO365" s="40">
        <v>0</v>
      </c>
      <c r="BP365" s="55">
        <v>-70.224000000000004</v>
      </c>
      <c r="BQ365" s="77">
        <v>2862.7894213565637</v>
      </c>
      <c r="BR365" s="40">
        <v>348</v>
      </c>
      <c r="BS365" s="55">
        <v>-2514.7894213565637</v>
      </c>
      <c r="BT365" s="73">
        <v>2666.8583394755001</v>
      </c>
      <c r="BU365" s="40">
        <v>706.95452436948551</v>
      </c>
      <c r="BV365" s="52">
        <v>-1959.9038151060145</v>
      </c>
      <c r="BW365" s="73">
        <v>2574.8143731882601</v>
      </c>
      <c r="BX365" s="40">
        <v>2671.0133780818901</v>
      </c>
      <c r="BY365" s="52">
        <v>96.19900489362999</v>
      </c>
      <c r="BZ365" s="73">
        <v>1002.860079457548</v>
      </c>
      <c r="CA365" s="40">
        <v>3909.7491007785311</v>
      </c>
      <c r="CB365" s="52">
        <v>2906.8890213209834</v>
      </c>
      <c r="CC365" s="73">
        <v>13.0258445075</v>
      </c>
      <c r="CD365" s="40">
        <v>16.435560464520314</v>
      </c>
      <c r="CE365" s="52">
        <v>3.4097159570203139</v>
      </c>
      <c r="CF365" s="73">
        <v>1.5476250899999999</v>
      </c>
      <c r="CG365" s="40">
        <v>0</v>
      </c>
      <c r="CH365" s="52">
        <v>-1.5476250899999999</v>
      </c>
      <c r="CI365" s="73">
        <v>921.94</v>
      </c>
      <c r="CJ365" s="40">
        <v>689.11693416399794</v>
      </c>
      <c r="CK365" s="52">
        <v>-232.82306583600212</v>
      </c>
      <c r="CL365" s="73">
        <v>1529.29315</v>
      </c>
      <c r="CM365" s="40">
        <v>2574.5782113386431</v>
      </c>
      <c r="CN365" s="52">
        <v>1045.2850613386431</v>
      </c>
      <c r="CO365" s="39">
        <v>2451.23315</v>
      </c>
      <c r="CP365" s="40">
        <v>3263.695145502641</v>
      </c>
      <c r="CQ365" s="52">
        <v>812.461995502641</v>
      </c>
      <c r="CR365" s="72">
        <v>23505.786059114969</v>
      </c>
      <c r="CS365" s="5">
        <v>20500.911080922298</v>
      </c>
      <c r="CT365" s="52">
        <v>-3004.8749781926708</v>
      </c>
      <c r="CU365" s="77">
        <v>28206.943270937962</v>
      </c>
      <c r="CV365" s="65">
        <v>24601.093297106756</v>
      </c>
      <c r="CW365" s="35">
        <v>-3605.8499738312057</v>
      </c>
      <c r="CX365" s="73">
        <v>1574.8791279411587</v>
      </c>
      <c r="CY365" s="40">
        <v>5180.7291017723655</v>
      </c>
      <c r="CZ365" s="52">
        <v>3605.8499738312066</v>
      </c>
      <c r="DA365" s="150">
        <v>-75143.643556349445</v>
      </c>
      <c r="DB365" s="2">
        <v>2</v>
      </c>
      <c r="DC365" s="648">
        <v>41674.92</v>
      </c>
      <c r="DD365" s="648"/>
      <c r="DE365" s="649">
        <v>11893.097601120877</v>
      </c>
      <c r="DG365" s="321">
        <v>-45080.252862166562</v>
      </c>
      <c r="DH365" s="5">
        <v>357381.86878654943</v>
      </c>
      <c r="DI365" s="306">
        <v>3.6947750435014899</v>
      </c>
      <c r="DJ365" s="306">
        <v>4.2476185723551731</v>
      </c>
      <c r="DK365" s="306"/>
      <c r="DL365" s="28">
        <v>14808.645217242429</v>
      </c>
      <c r="DM365" s="28">
        <v>0</v>
      </c>
      <c r="DN365" s="650">
        <v>14808.56</v>
      </c>
      <c r="DO365" s="94">
        <v>8.5217242429280304E-2</v>
      </c>
      <c r="DP365" s="28">
        <v>14808.645217242429</v>
      </c>
      <c r="DQ365" s="318">
        <v>0</v>
      </c>
      <c r="DS365" s="8">
        <v>14103.471635468981</v>
      </c>
      <c r="DT365" s="5">
        <v>705.17358177344909</v>
      </c>
      <c r="DW365" s="5">
        <v>6936.6757387085627</v>
      </c>
      <c r="DX365" s="5">
        <v>417.59999999999997</v>
      </c>
    </row>
    <row r="366" spans="1:128" x14ac:dyDescent="0.3">
      <c r="A366" s="325">
        <v>150000892</v>
      </c>
      <c r="B366" s="41" t="s">
        <v>812</v>
      </c>
      <c r="C366" s="42" t="s">
        <v>401</v>
      </c>
      <c r="D366" s="42" t="s">
        <v>401</v>
      </c>
      <c r="E366" s="293">
        <v>4153.8999999999996</v>
      </c>
      <c r="F366" s="652">
        <v>4153.8999999999996</v>
      </c>
      <c r="G366" s="51">
        <v>391.14999999999964</v>
      </c>
      <c r="H366" s="651">
        <v>0</v>
      </c>
      <c r="I366" s="73">
        <v>2417.9116257140581</v>
      </c>
      <c r="J366" s="40">
        <v>2717.3173099588898</v>
      </c>
      <c r="K366" s="52">
        <v>299.40568424483172</v>
      </c>
      <c r="L366" s="73">
        <v>422.66536361027141</v>
      </c>
      <c r="M366" s="40">
        <v>476.18247207496773</v>
      </c>
      <c r="N366" s="52">
        <v>53.517108464696321</v>
      </c>
      <c r="O366" s="73">
        <v>719.29935848773005</v>
      </c>
      <c r="P366" s="40">
        <v>719.31666666666661</v>
      </c>
      <c r="Q366" s="52">
        <v>1.7308178936559671E-2</v>
      </c>
      <c r="R366" s="73">
        <v>177.99199510367001</v>
      </c>
      <c r="S366" s="40">
        <v>177.93333333333334</v>
      </c>
      <c r="T366" s="52">
        <v>-5.8661770336669861E-2</v>
      </c>
      <c r="U366" s="73">
        <v>86.533130947417462</v>
      </c>
      <c r="V366" s="40">
        <v>162.19236213913845</v>
      </c>
      <c r="W366" s="52">
        <v>75.659231191720991</v>
      </c>
      <c r="X366" s="73">
        <v>664.40591168146159</v>
      </c>
      <c r="Y366" s="40">
        <v>675.97086237303984</v>
      </c>
      <c r="Z366" s="52">
        <v>11.564950691578247</v>
      </c>
      <c r="AA366" s="73">
        <v>332.31199999999995</v>
      </c>
      <c r="AB366" s="40">
        <v>0</v>
      </c>
      <c r="AC366" s="52">
        <v>-332.31199999999995</v>
      </c>
      <c r="AD366" s="73">
        <v>2992.5509173547034</v>
      </c>
      <c r="AE366" s="40">
        <v>3743.9314346761294</v>
      </c>
      <c r="AF366" s="35">
        <v>751.38051732142594</v>
      </c>
      <c r="AG366" s="77">
        <v>7813.6703028993115</v>
      </c>
      <c r="AH366" s="53">
        <v>8672.8444412221652</v>
      </c>
      <c r="AI366" s="52">
        <v>859.17413832285365</v>
      </c>
      <c r="AJ366" s="73">
        <v>7669.04</v>
      </c>
      <c r="AK366" s="40">
        <v>7553.3551891468987</v>
      </c>
      <c r="AL366" s="52">
        <v>-115.68481085310123</v>
      </c>
      <c r="AM366" s="73">
        <v>0</v>
      </c>
      <c r="AN366" s="40">
        <v>0</v>
      </c>
      <c r="AO366" s="52">
        <v>0</v>
      </c>
      <c r="AP366" s="73">
        <v>447.54554166666662</v>
      </c>
      <c r="AQ366" s="40">
        <v>0</v>
      </c>
      <c r="AR366" s="52">
        <v>-447.54554166666662</v>
      </c>
      <c r="AS366" s="73">
        <v>2838.8042468795893</v>
      </c>
      <c r="AT366" s="40">
        <v>3856</v>
      </c>
      <c r="AU366" s="54">
        <v>1017.1957531204107</v>
      </c>
      <c r="AV366" s="73">
        <v>1065.2958986737071</v>
      </c>
      <c r="AW366" s="40">
        <v>0</v>
      </c>
      <c r="AX366" s="55">
        <v>-1065.2958986737071</v>
      </c>
      <c r="AY366" s="73">
        <v>1182.5444802920067</v>
      </c>
      <c r="AZ366" s="40">
        <v>0</v>
      </c>
      <c r="BA366" s="35">
        <v>-1182.5444802920067</v>
      </c>
      <c r="BB366" s="73">
        <v>376.74456501902</v>
      </c>
      <c r="BC366" s="40">
        <v>0</v>
      </c>
      <c r="BD366" s="55">
        <v>-376.74456501902</v>
      </c>
      <c r="BE366" s="73">
        <v>917.70975322414404</v>
      </c>
      <c r="BF366" s="40">
        <v>0</v>
      </c>
      <c r="BG366" s="38">
        <v>-917.70975322414404</v>
      </c>
      <c r="BH366" s="73">
        <v>417.92545115516577</v>
      </c>
      <c r="BI366" s="40">
        <v>22</v>
      </c>
      <c r="BJ366" s="55">
        <v>-395.92545115516577</v>
      </c>
      <c r="BK366" s="73">
        <v>428.91427314051816</v>
      </c>
      <c r="BL366" s="40">
        <v>0</v>
      </c>
      <c r="BM366" s="38">
        <v>-428.91427314051816</v>
      </c>
      <c r="BN366" s="73">
        <v>83.077999999999989</v>
      </c>
      <c r="BO366" s="40">
        <v>0</v>
      </c>
      <c r="BP366" s="55">
        <v>-83.077999999999989</v>
      </c>
      <c r="BQ366" s="77">
        <v>4472.2124215045633</v>
      </c>
      <c r="BR366" s="40">
        <v>22</v>
      </c>
      <c r="BS366" s="55">
        <v>-4450.2124215045633</v>
      </c>
      <c r="BT366" s="73">
        <v>6533.7013939182798</v>
      </c>
      <c r="BU366" s="40">
        <v>1508.6977311974067</v>
      </c>
      <c r="BV366" s="52">
        <v>-5025.0036627208729</v>
      </c>
      <c r="BW366" s="73">
        <v>4329.8985666826402</v>
      </c>
      <c r="BX366" s="40">
        <v>4780.4955624948834</v>
      </c>
      <c r="BY366" s="52">
        <v>450.59699581224322</v>
      </c>
      <c r="BZ366" s="73">
        <v>1893.3575305728959</v>
      </c>
      <c r="CA366" s="40">
        <v>9122.1519795101849</v>
      </c>
      <c r="CB366" s="52">
        <v>7228.7944489372894</v>
      </c>
      <c r="CC366" s="73">
        <v>190.66161116475001</v>
      </c>
      <c r="CD366" s="40">
        <v>234.11275027658223</v>
      </c>
      <c r="CE366" s="52">
        <v>43.451139111832219</v>
      </c>
      <c r="CF366" s="73">
        <v>22.044807476999999</v>
      </c>
      <c r="CG366" s="40">
        <v>0</v>
      </c>
      <c r="CH366" s="52">
        <v>-22.044807476999999</v>
      </c>
      <c r="CI366" s="73">
        <v>1931.08</v>
      </c>
      <c r="CJ366" s="40">
        <v>2263.6031288586923</v>
      </c>
      <c r="CK366" s="52">
        <v>332.52312885869242</v>
      </c>
      <c r="CL366" s="73">
        <v>1426.5097000000001</v>
      </c>
      <c r="CM366" s="40">
        <v>1102.57207597043</v>
      </c>
      <c r="CN366" s="52">
        <v>-323.93762402957009</v>
      </c>
      <c r="CO366" s="39">
        <v>3357.5897</v>
      </c>
      <c r="CP366" s="40">
        <v>3366.1752048291223</v>
      </c>
      <c r="CQ366" s="52">
        <v>8.5855048291223284</v>
      </c>
      <c r="CR366" s="72">
        <v>39568.526122765696</v>
      </c>
      <c r="CS366" s="5">
        <v>39115.832858677248</v>
      </c>
      <c r="CT366" s="52">
        <v>-452.6932640884479</v>
      </c>
      <c r="CU366" s="77">
        <v>47482.231347318833</v>
      </c>
      <c r="CV366" s="65">
        <v>46938.999430412696</v>
      </c>
      <c r="CW366" s="35">
        <v>-543.23191690613749</v>
      </c>
      <c r="CX366" s="73">
        <v>2651.0768777278868</v>
      </c>
      <c r="CY366" s="40">
        <v>3194.3087946340238</v>
      </c>
      <c r="CZ366" s="52">
        <v>543.23191690613703</v>
      </c>
      <c r="DA366" s="150">
        <v>92473.251948751451</v>
      </c>
      <c r="DB366" s="2">
        <v>3</v>
      </c>
      <c r="DC366" s="648">
        <v>48005.86</v>
      </c>
      <c r="DD366" s="648"/>
      <c r="DE366" s="649">
        <v>-2127.448225046719</v>
      </c>
      <c r="DG366" s="321">
        <v>29075.809991979419</v>
      </c>
      <c r="DH366" s="5">
        <v>601599.69870056061</v>
      </c>
      <c r="DI366" s="306">
        <v>4.9473444585431485</v>
      </c>
      <c r="DJ366" s="306">
        <v>6.1106951016366304</v>
      </c>
      <c r="DK366" s="306"/>
      <c r="DL366" s="28">
        <v>24928.171778642383</v>
      </c>
      <c r="DM366" s="28">
        <v>0</v>
      </c>
      <c r="DN366" s="650">
        <v>24927.89</v>
      </c>
      <c r="DO366" s="94">
        <v>0.28177864238386974</v>
      </c>
      <c r="DP366" s="28">
        <v>24928.171778642383</v>
      </c>
      <c r="DQ366" s="318">
        <v>3.2129999453900382E-4</v>
      </c>
      <c r="DS366" s="8">
        <v>23741.115673659417</v>
      </c>
      <c r="DT366" s="5">
        <v>1187.055783682971</v>
      </c>
      <c r="DW366" s="5">
        <v>8773.2200020609835</v>
      </c>
      <c r="DX366" s="5">
        <v>4653.5999999999995</v>
      </c>
    </row>
    <row r="367" spans="1:128" x14ac:dyDescent="0.3">
      <c r="A367" s="325">
        <v>150000893</v>
      </c>
      <c r="B367" s="41" t="s">
        <v>813</v>
      </c>
      <c r="C367" s="42" t="s">
        <v>315</v>
      </c>
      <c r="D367" s="42" t="s">
        <v>315</v>
      </c>
      <c r="E367" s="293">
        <v>2749.1</v>
      </c>
      <c r="F367" s="305">
        <v>2749.1</v>
      </c>
      <c r="G367" s="51"/>
      <c r="H367" s="651">
        <v>0</v>
      </c>
      <c r="I367" s="73">
        <v>1511.818186817909</v>
      </c>
      <c r="J367" s="40">
        <v>1695.4652350705662</v>
      </c>
      <c r="K367" s="52">
        <v>183.64704825265721</v>
      </c>
      <c r="L367" s="73">
        <v>309.68659486991743</v>
      </c>
      <c r="M367" s="40">
        <v>348.8986977239465</v>
      </c>
      <c r="N367" s="52">
        <v>39.212102854029069</v>
      </c>
      <c r="O367" s="73">
        <v>531.94923087407665</v>
      </c>
      <c r="P367" s="40">
        <v>532.06666666666672</v>
      </c>
      <c r="Q367" s="52">
        <v>0.1174357925900722</v>
      </c>
      <c r="R367" s="73">
        <v>0</v>
      </c>
      <c r="S367" s="40">
        <v>0</v>
      </c>
      <c r="T367" s="52">
        <v>0</v>
      </c>
      <c r="U367" s="73">
        <v>78.670373845636448</v>
      </c>
      <c r="V367" s="40">
        <v>147.45496328276144</v>
      </c>
      <c r="W367" s="52">
        <v>68.784589437124993</v>
      </c>
      <c r="X367" s="73">
        <v>806.06917267610856</v>
      </c>
      <c r="Y367" s="40">
        <v>837.58496013222225</v>
      </c>
      <c r="Z367" s="52">
        <v>31.515787456113685</v>
      </c>
      <c r="AA367" s="73">
        <v>219.976</v>
      </c>
      <c r="AB367" s="40">
        <v>0</v>
      </c>
      <c r="AC367" s="52">
        <v>-219.976</v>
      </c>
      <c r="AD367" s="73">
        <v>1980.923571476251</v>
      </c>
      <c r="AE367" s="40">
        <v>2477.7779693945804</v>
      </c>
      <c r="AF367" s="35">
        <v>496.85439791832937</v>
      </c>
      <c r="AG367" s="77">
        <v>5439.0931305598997</v>
      </c>
      <c r="AH367" s="53">
        <v>6039.2484922707436</v>
      </c>
      <c r="AI367" s="52">
        <v>600.15536171084386</v>
      </c>
      <c r="AJ367" s="73">
        <v>0</v>
      </c>
      <c r="AK367" s="40">
        <v>0</v>
      </c>
      <c r="AL367" s="52">
        <v>0</v>
      </c>
      <c r="AM367" s="73">
        <v>0</v>
      </c>
      <c r="AN367" s="40">
        <v>0</v>
      </c>
      <c r="AO367" s="52">
        <v>0</v>
      </c>
      <c r="AP367" s="73">
        <v>680.7734999999999</v>
      </c>
      <c r="AQ367" s="40">
        <v>669.23858943132484</v>
      </c>
      <c r="AR367" s="52">
        <v>-11.534910568675059</v>
      </c>
      <c r="AS367" s="73">
        <v>5162.0490934235058</v>
      </c>
      <c r="AT367" s="40">
        <v>0</v>
      </c>
      <c r="AU367" s="54">
        <v>-5162.0490934235058</v>
      </c>
      <c r="AV367" s="73">
        <v>694.48640793701918</v>
      </c>
      <c r="AW367" s="40">
        <v>0</v>
      </c>
      <c r="AX367" s="55">
        <v>-694.48640793701918</v>
      </c>
      <c r="AY367" s="73">
        <v>857.19644864157817</v>
      </c>
      <c r="AZ367" s="40">
        <v>0</v>
      </c>
      <c r="BA367" s="35">
        <v>-857.19644864157817</v>
      </c>
      <c r="BB367" s="73">
        <v>172.16657630945321</v>
      </c>
      <c r="BC367" s="40">
        <v>0</v>
      </c>
      <c r="BD367" s="55">
        <v>-172.16657630945321</v>
      </c>
      <c r="BE367" s="73">
        <v>0</v>
      </c>
      <c r="BF367" s="40">
        <v>0</v>
      </c>
      <c r="BG367" s="38">
        <v>0</v>
      </c>
      <c r="BH367" s="73">
        <v>379.92449008976422</v>
      </c>
      <c r="BI367" s="40">
        <v>0</v>
      </c>
      <c r="BJ367" s="55">
        <v>-379.92449008976422</v>
      </c>
      <c r="BK367" s="73">
        <v>517.35585706727738</v>
      </c>
      <c r="BL367" s="40">
        <v>0</v>
      </c>
      <c r="BM367" s="38">
        <v>-517.35585706727738</v>
      </c>
      <c r="BN367" s="73">
        <v>54.994</v>
      </c>
      <c r="BO367" s="40">
        <v>0</v>
      </c>
      <c r="BP367" s="55">
        <v>-54.994</v>
      </c>
      <c r="BQ367" s="77">
        <v>2676.1237800450922</v>
      </c>
      <c r="BR367" s="40">
        <v>0</v>
      </c>
      <c r="BS367" s="55">
        <v>-2676.1237800450922</v>
      </c>
      <c r="BT367" s="73">
        <v>3231.30916433018</v>
      </c>
      <c r="BU367" s="40">
        <v>920.53499483241512</v>
      </c>
      <c r="BV367" s="52">
        <v>-2310.7741694977649</v>
      </c>
      <c r="BW367" s="73">
        <v>1980.574213928724</v>
      </c>
      <c r="BX367" s="40">
        <v>2041.9442803146403</v>
      </c>
      <c r="BY367" s="52">
        <v>61.370066385916289</v>
      </c>
      <c r="BZ367" s="73">
        <v>1497.261906661</v>
      </c>
      <c r="CA367" s="40">
        <v>5636.7522581750454</v>
      </c>
      <c r="CB367" s="52">
        <v>4139.490351514045</v>
      </c>
      <c r="CC367" s="73">
        <v>226.74901172</v>
      </c>
      <c r="CD367" s="40">
        <v>286.10406720642993</v>
      </c>
      <c r="CE367" s="52">
        <v>59.355055486429933</v>
      </c>
      <c r="CF367" s="73">
        <v>26.94047664</v>
      </c>
      <c r="CG367" s="40">
        <v>0</v>
      </c>
      <c r="CH367" s="52">
        <v>-26.94047664</v>
      </c>
      <c r="CI367" s="73">
        <v>557.52</v>
      </c>
      <c r="CJ367" s="40">
        <v>568.88738799960242</v>
      </c>
      <c r="CK367" s="52">
        <v>11.367387999602443</v>
      </c>
      <c r="CL367" s="73">
        <v>0</v>
      </c>
      <c r="CM367" s="40">
        <v>0</v>
      </c>
      <c r="CN367" s="52">
        <v>0</v>
      </c>
      <c r="CO367" s="39">
        <v>557.52</v>
      </c>
      <c r="CP367" s="40">
        <v>568.88738799960242</v>
      </c>
      <c r="CQ367" s="52">
        <v>11.367387999602443</v>
      </c>
      <c r="CR367" s="72">
        <v>21478.394277308402</v>
      </c>
      <c r="CS367" s="5">
        <v>16162.710070230201</v>
      </c>
      <c r="CT367" s="52">
        <v>-5315.6842070782004</v>
      </c>
      <c r="CU367" s="77">
        <v>25774.073132770081</v>
      </c>
      <c r="CV367" s="65">
        <v>19395.252084276242</v>
      </c>
      <c r="CW367" s="35">
        <v>-6378.821048493839</v>
      </c>
      <c r="CX367" s="73">
        <v>1439.0446149707459</v>
      </c>
      <c r="CY367" s="40">
        <v>7817.8656634645849</v>
      </c>
      <c r="CZ367" s="52">
        <v>6378.821048493839</v>
      </c>
      <c r="DA367" s="150">
        <v>-5630.9073980626563</v>
      </c>
      <c r="DB367" s="2">
        <v>3</v>
      </c>
      <c r="DC367" s="648">
        <v>29957.4</v>
      </c>
      <c r="DD367" s="648"/>
      <c r="DE367" s="649">
        <v>2744.2822522591741</v>
      </c>
      <c r="DG367" s="321">
        <v>-37343.294753472066</v>
      </c>
      <c r="DH367" s="5">
        <v>326557.41297288996</v>
      </c>
      <c r="DI367" s="306">
        <v>4.9210417117155663</v>
      </c>
      <c r="DJ367" s="306"/>
      <c r="DK367" s="306"/>
      <c r="DL367" s="28">
        <v>13528.435769677262</v>
      </c>
      <c r="DM367" s="28">
        <v>0</v>
      </c>
      <c r="DN367" s="650">
        <v>13528.36</v>
      </c>
      <c r="DO367" s="94">
        <v>7.5769677261632751E-2</v>
      </c>
      <c r="DP367" s="28">
        <v>13528.435769677262</v>
      </c>
      <c r="DQ367" s="318">
        <v>-2.9526250270300807</v>
      </c>
      <c r="DS367" s="8">
        <v>12887.036566385041</v>
      </c>
      <c r="DT367" s="5">
        <v>644.35182831925204</v>
      </c>
      <c r="DW367" s="5">
        <v>9405.8074481623171</v>
      </c>
      <c r="DX367" s="5">
        <v>0</v>
      </c>
    </row>
    <row r="368" spans="1:128" x14ac:dyDescent="0.3">
      <c r="A368" s="325">
        <v>150000894</v>
      </c>
      <c r="B368" s="41" t="s">
        <v>814</v>
      </c>
      <c r="C368" s="42" t="s">
        <v>316</v>
      </c>
      <c r="D368" s="42" t="s">
        <v>316</v>
      </c>
      <c r="E368" s="293">
        <v>4401</v>
      </c>
      <c r="F368" s="305">
        <v>3582</v>
      </c>
      <c r="G368" s="51"/>
      <c r="H368" s="651">
        <v>819</v>
      </c>
      <c r="I368" s="73">
        <v>2059.6585233985397</v>
      </c>
      <c r="J368" s="40">
        <v>2310.0110297077617</v>
      </c>
      <c r="K368" s="52">
        <v>250.35250630922201</v>
      </c>
      <c r="L368" s="73">
        <v>528.21170771126594</v>
      </c>
      <c r="M368" s="40">
        <v>595.09423526408625</v>
      </c>
      <c r="N368" s="52">
        <v>66.882527552820306</v>
      </c>
      <c r="O368" s="73">
        <v>749.67772016460333</v>
      </c>
      <c r="P368" s="40">
        <v>749.51666666666665</v>
      </c>
      <c r="Q368" s="52">
        <v>-0.16105349793667756</v>
      </c>
      <c r="R368" s="73">
        <v>0</v>
      </c>
      <c r="S368" s="40">
        <v>0</v>
      </c>
      <c r="T368" s="52">
        <v>0</v>
      </c>
      <c r="U368" s="73">
        <v>118.02671963666707</v>
      </c>
      <c r="V368" s="40">
        <v>221.2229322836377</v>
      </c>
      <c r="W368" s="52">
        <v>103.19621264697064</v>
      </c>
      <c r="X368" s="73">
        <v>1470.4618746914068</v>
      </c>
      <c r="Y368" s="40">
        <v>1581.330431406662</v>
      </c>
      <c r="Z368" s="52">
        <v>110.86855671525518</v>
      </c>
      <c r="AA368" s="73">
        <v>334.04720000000003</v>
      </c>
      <c r="AB368" s="40">
        <v>0</v>
      </c>
      <c r="AC368" s="52">
        <v>-334.04720000000003</v>
      </c>
      <c r="AD368" s="73">
        <v>2984.6515453288794</v>
      </c>
      <c r="AE368" s="40">
        <v>3966.6439355809352</v>
      </c>
      <c r="AF368" s="35">
        <v>981.99239025205588</v>
      </c>
      <c r="AG368" s="77">
        <v>8244.7352909313631</v>
      </c>
      <c r="AH368" s="53">
        <v>9423.8192309097503</v>
      </c>
      <c r="AI368" s="52">
        <v>1179.0839399783872</v>
      </c>
      <c r="AJ368" s="73">
        <v>0</v>
      </c>
      <c r="AK368" s="40">
        <v>0</v>
      </c>
      <c r="AL368" s="52">
        <v>0</v>
      </c>
      <c r="AM368" s="73">
        <v>0</v>
      </c>
      <c r="AN368" s="40">
        <v>0</v>
      </c>
      <c r="AO368" s="52">
        <v>0</v>
      </c>
      <c r="AP368" s="73">
        <v>1134.6224999999999</v>
      </c>
      <c r="AQ368" s="40">
        <v>0</v>
      </c>
      <c r="AR368" s="52">
        <v>-1134.6224999999999</v>
      </c>
      <c r="AS368" s="73">
        <v>4814.9414978464856</v>
      </c>
      <c r="AT368" s="40">
        <v>0</v>
      </c>
      <c r="AU368" s="54">
        <v>-4814.9414978464856</v>
      </c>
      <c r="AV368" s="73">
        <v>1037.4192327614726</v>
      </c>
      <c r="AW368" s="40">
        <v>0</v>
      </c>
      <c r="AX368" s="55">
        <v>-1037.4192327614726</v>
      </c>
      <c r="AY368" s="73">
        <v>1461.8854744731329</v>
      </c>
      <c r="AZ368" s="40">
        <v>0</v>
      </c>
      <c r="BA368" s="35">
        <v>-1461.8854744731329</v>
      </c>
      <c r="BB368" s="73">
        <v>227.59827840414661</v>
      </c>
      <c r="BC368" s="40">
        <v>0</v>
      </c>
      <c r="BD368" s="55">
        <v>-227.59827840414661</v>
      </c>
      <c r="BE368" s="73">
        <v>0</v>
      </c>
      <c r="BF368" s="40">
        <v>0</v>
      </c>
      <c r="BG368" s="38">
        <v>0</v>
      </c>
      <c r="BH368" s="73">
        <v>569.92917414392082</v>
      </c>
      <c r="BI368" s="40">
        <v>0</v>
      </c>
      <c r="BJ368" s="55">
        <v>-569.92917414392082</v>
      </c>
      <c r="BK368" s="73">
        <v>1132.7582157613845</v>
      </c>
      <c r="BL368" s="40">
        <v>0</v>
      </c>
      <c r="BM368" s="38">
        <v>-1132.7582157613845</v>
      </c>
      <c r="BN368" s="73">
        <v>83.511800000000008</v>
      </c>
      <c r="BO368" s="40">
        <v>0</v>
      </c>
      <c r="BP368" s="55">
        <v>-83.511800000000008</v>
      </c>
      <c r="BQ368" s="77">
        <v>4513.102175544057</v>
      </c>
      <c r="BR368" s="40">
        <v>0</v>
      </c>
      <c r="BS368" s="55">
        <v>-4513.102175544057</v>
      </c>
      <c r="BT368" s="73">
        <v>3187.2422114310998</v>
      </c>
      <c r="BU368" s="40">
        <v>959.51030413948263</v>
      </c>
      <c r="BV368" s="52">
        <v>-2227.7319072916171</v>
      </c>
      <c r="BW368" s="73">
        <v>3030.53031004184</v>
      </c>
      <c r="BX368" s="40">
        <v>3128.9190143372994</v>
      </c>
      <c r="BY368" s="52">
        <v>98.38870429545932</v>
      </c>
      <c r="BZ368" s="73">
        <v>1705.3499423714079</v>
      </c>
      <c r="CA368" s="40">
        <v>5879.1341504501543</v>
      </c>
      <c r="CB368" s="52">
        <v>4173.7842080787468</v>
      </c>
      <c r="CC368" s="73">
        <v>312.42545349674998</v>
      </c>
      <c r="CD368" s="40">
        <v>394.20764071338772</v>
      </c>
      <c r="CE368" s="52">
        <v>81.782187216637737</v>
      </c>
      <c r="CF368" s="73">
        <v>37.119855860999998</v>
      </c>
      <c r="CG368" s="40">
        <v>0</v>
      </c>
      <c r="CH368" s="52">
        <v>-37.119855860999998</v>
      </c>
      <c r="CI368" s="73">
        <v>1744.2</v>
      </c>
      <c r="CJ368" s="40">
        <v>959.98239512883686</v>
      </c>
      <c r="CK368" s="52">
        <v>-784.21760487116319</v>
      </c>
      <c r="CL368" s="73">
        <v>0</v>
      </c>
      <c r="CM368" s="40">
        <v>0</v>
      </c>
      <c r="CN368" s="52">
        <v>0</v>
      </c>
      <c r="CO368" s="39">
        <v>1744.2</v>
      </c>
      <c r="CP368" s="40">
        <v>959.98239512883686</v>
      </c>
      <c r="CQ368" s="52">
        <v>-784.21760487116319</v>
      </c>
      <c r="CR368" s="72">
        <v>28724.269237524008</v>
      </c>
      <c r="CS368" s="5">
        <v>20745.57273567891</v>
      </c>
      <c r="CT368" s="52">
        <v>-7978.6965018450974</v>
      </c>
      <c r="CU368" s="77">
        <v>34469.123085028805</v>
      </c>
      <c r="CV368" s="65">
        <v>24894.687282814692</v>
      </c>
      <c r="CW368" s="35">
        <v>-9574.4358022141132</v>
      </c>
      <c r="CX368" s="73">
        <v>1924.515605382061</v>
      </c>
      <c r="CY368" s="40">
        <v>11498.951407596174</v>
      </c>
      <c r="CZ368" s="52">
        <v>9574.4358022141132</v>
      </c>
      <c r="DA368" s="150">
        <v>-35834.83852368145</v>
      </c>
      <c r="DB368" s="2">
        <v>3</v>
      </c>
      <c r="DC368" s="648">
        <v>27700.46</v>
      </c>
      <c r="DD368" s="648">
        <v>16067.93</v>
      </c>
      <c r="DE368" s="649">
        <v>7374.7513095891336</v>
      </c>
      <c r="DG368" s="321">
        <v>-75722.472544723016</v>
      </c>
      <c r="DH368" s="5">
        <v>436723.66428493039</v>
      </c>
      <c r="DI368" s="306">
        <v>4.409599061557353</v>
      </c>
      <c r="DJ368" s="306"/>
      <c r="DK368" s="306">
        <v>3.8765912180826576</v>
      </c>
      <c r="DL368" s="28">
        <v>15795.183838498438</v>
      </c>
      <c r="DM368" s="28">
        <v>3174.9282076096965</v>
      </c>
      <c r="DN368" s="650">
        <v>15795.2</v>
      </c>
      <c r="DO368" s="94">
        <v>-1.616150156223739E-2</v>
      </c>
      <c r="DP368" s="28">
        <v>18970.112046108134</v>
      </c>
      <c r="DQ368" s="318">
        <v>873.82242646801024</v>
      </c>
      <c r="DS368" s="8">
        <v>17234.561542514402</v>
      </c>
      <c r="DT368" s="5">
        <v>861.72807712572023</v>
      </c>
      <c r="DW368" s="5">
        <v>11193.65240806865</v>
      </c>
      <c r="DX368" s="5">
        <v>0</v>
      </c>
    </row>
    <row r="369" spans="1:128" x14ac:dyDescent="0.3">
      <c r="A369" s="325">
        <v>150000895</v>
      </c>
      <c r="B369" s="41" t="s">
        <v>815</v>
      </c>
      <c r="C369" s="42" t="s">
        <v>317</v>
      </c>
      <c r="D369" s="42" t="s">
        <v>317</v>
      </c>
      <c r="E369" s="293">
        <v>2741.4</v>
      </c>
      <c r="F369" s="305">
        <v>2741.4</v>
      </c>
      <c r="G369" s="51"/>
      <c r="H369" s="651">
        <v>0</v>
      </c>
      <c r="I369" s="73">
        <v>1500.4089639869455</v>
      </c>
      <c r="J369" s="40">
        <v>1683.3875875740287</v>
      </c>
      <c r="K369" s="52">
        <v>182.97862358708312</v>
      </c>
      <c r="L369" s="73">
        <v>306.35936745903672</v>
      </c>
      <c r="M369" s="40">
        <v>345.15076249448998</v>
      </c>
      <c r="N369" s="52">
        <v>38.791395035453263</v>
      </c>
      <c r="O369" s="73">
        <v>528.67760595978666</v>
      </c>
      <c r="P369" s="40">
        <v>528.65</v>
      </c>
      <c r="Q369" s="52">
        <v>-2.7605959786683343E-2</v>
      </c>
      <c r="R369" s="73">
        <v>0</v>
      </c>
      <c r="S369" s="40">
        <v>0</v>
      </c>
      <c r="T369" s="52">
        <v>0</v>
      </c>
      <c r="U369" s="73">
        <v>0</v>
      </c>
      <c r="V369" s="40">
        <v>0</v>
      </c>
      <c r="W369" s="52">
        <v>0</v>
      </c>
      <c r="X369" s="73">
        <v>777.95370297581758</v>
      </c>
      <c r="Y369" s="40">
        <v>809.95412638855373</v>
      </c>
      <c r="Z369" s="52">
        <v>32.000423412736154</v>
      </c>
      <c r="AA369" s="73">
        <v>219.32</v>
      </c>
      <c r="AB369" s="40">
        <v>0</v>
      </c>
      <c r="AC369" s="52">
        <v>-219.32</v>
      </c>
      <c r="AD369" s="73">
        <v>1975.0421053395994</v>
      </c>
      <c r="AE369" s="40">
        <v>2470.8379197913146</v>
      </c>
      <c r="AF369" s="35">
        <v>495.79581445171516</v>
      </c>
      <c r="AG369" s="77">
        <v>5307.7617457211854</v>
      </c>
      <c r="AH369" s="53">
        <v>5837.9803962483866</v>
      </c>
      <c r="AI369" s="52">
        <v>530.21865052720113</v>
      </c>
      <c r="AJ369" s="73">
        <v>0</v>
      </c>
      <c r="AK369" s="40">
        <v>0</v>
      </c>
      <c r="AL369" s="52">
        <v>0</v>
      </c>
      <c r="AM369" s="73">
        <v>0</v>
      </c>
      <c r="AN369" s="40">
        <v>0</v>
      </c>
      <c r="AO369" s="52">
        <v>0</v>
      </c>
      <c r="AP369" s="73">
        <v>567.31124999999997</v>
      </c>
      <c r="AQ369" s="40">
        <v>0</v>
      </c>
      <c r="AR369" s="52">
        <v>-567.31124999999997</v>
      </c>
      <c r="AS369" s="73">
        <v>5041.5670712311658</v>
      </c>
      <c r="AT369" s="40">
        <v>0</v>
      </c>
      <c r="AU369" s="54">
        <v>-5041.5670712311658</v>
      </c>
      <c r="AV369" s="73">
        <v>686.3020263099512</v>
      </c>
      <c r="AW369" s="40">
        <v>0</v>
      </c>
      <c r="AX369" s="55">
        <v>-686.3020263099512</v>
      </c>
      <c r="AY369" s="73">
        <v>847.88341287403182</v>
      </c>
      <c r="AZ369" s="40">
        <v>2605</v>
      </c>
      <c r="BA369" s="35">
        <v>1757.1165871259682</v>
      </c>
      <c r="BB369" s="73">
        <v>163.00263321409341</v>
      </c>
      <c r="BC369" s="40">
        <v>0</v>
      </c>
      <c r="BD369" s="55">
        <v>-163.00263321409341</v>
      </c>
      <c r="BE369" s="73">
        <v>0</v>
      </c>
      <c r="BF369" s="40">
        <v>0</v>
      </c>
      <c r="BG369" s="38">
        <v>0</v>
      </c>
      <c r="BH369" s="73">
        <v>0</v>
      </c>
      <c r="BI369" s="40">
        <v>0</v>
      </c>
      <c r="BJ369" s="55">
        <v>0</v>
      </c>
      <c r="BK369" s="73">
        <v>492.45603354615019</v>
      </c>
      <c r="BL369" s="40">
        <v>0</v>
      </c>
      <c r="BM369" s="38">
        <v>-492.45603354615019</v>
      </c>
      <c r="BN369" s="73">
        <v>54.83</v>
      </c>
      <c r="BO369" s="40">
        <v>0</v>
      </c>
      <c r="BP369" s="55">
        <v>-54.83</v>
      </c>
      <c r="BQ369" s="77">
        <v>2244.4741059442263</v>
      </c>
      <c r="BR369" s="40">
        <v>2605</v>
      </c>
      <c r="BS369" s="55">
        <v>360.52589405577373</v>
      </c>
      <c r="BT369" s="73">
        <v>2446.15615543376</v>
      </c>
      <c r="BU369" s="40">
        <v>738.68545467648744</v>
      </c>
      <c r="BV369" s="52">
        <v>-1707.4707007572724</v>
      </c>
      <c r="BW369" s="73">
        <v>1912.275749462294</v>
      </c>
      <c r="BX369" s="40">
        <v>2033.4644008628818</v>
      </c>
      <c r="BY369" s="52">
        <v>121.18865140058779</v>
      </c>
      <c r="BZ369" s="73">
        <v>1357.4691587887321</v>
      </c>
      <c r="CA369" s="40">
        <v>4617.2631386082157</v>
      </c>
      <c r="CB369" s="52">
        <v>3259.7939798194839</v>
      </c>
      <c r="CC369" s="73">
        <v>225.97739277849999</v>
      </c>
      <c r="CD369" s="40">
        <v>285.13046509093635</v>
      </c>
      <c r="CE369" s="52">
        <v>59.153072312436365</v>
      </c>
      <c r="CF369" s="73">
        <v>26.848799142000001</v>
      </c>
      <c r="CG369" s="40">
        <v>0</v>
      </c>
      <c r="CH369" s="52">
        <v>-26.848799142000001</v>
      </c>
      <c r="CI369" s="73">
        <v>1414.06</v>
      </c>
      <c r="CJ369" s="40">
        <v>1248.3753603624632</v>
      </c>
      <c r="CK369" s="52">
        <v>-165.68463963753675</v>
      </c>
      <c r="CL369" s="73">
        <v>0</v>
      </c>
      <c r="CM369" s="40">
        <v>0</v>
      </c>
      <c r="CN369" s="52">
        <v>0</v>
      </c>
      <c r="CO369" s="39">
        <v>1414.06</v>
      </c>
      <c r="CP369" s="40">
        <v>1248.3753603624632</v>
      </c>
      <c r="CQ369" s="52">
        <v>-165.68463963753675</v>
      </c>
      <c r="CR369" s="72">
        <v>20543.901428501864</v>
      </c>
      <c r="CS369" s="5">
        <v>17365.899215849371</v>
      </c>
      <c r="CT369" s="52">
        <v>-3178.0022126524927</v>
      </c>
      <c r="CU369" s="77">
        <v>24652.681714202237</v>
      </c>
      <c r="CV369" s="65">
        <v>20839.079059019245</v>
      </c>
      <c r="CW369" s="35">
        <v>-3813.6026551829927</v>
      </c>
      <c r="CX369" s="73">
        <v>1376.4339335370573</v>
      </c>
      <c r="CY369" s="40">
        <v>5190.0365887200496</v>
      </c>
      <c r="CZ369" s="52">
        <v>3813.6026551829923</v>
      </c>
      <c r="DA369" s="150">
        <v>-48010.634301084814</v>
      </c>
      <c r="DB369" s="2">
        <v>3</v>
      </c>
      <c r="DC369" s="648">
        <v>21271.25</v>
      </c>
      <c r="DD369" s="648"/>
      <c r="DE369" s="649">
        <v>-4757.8656477392942</v>
      </c>
      <c r="DG369" s="321">
        <v>-41135.654855199849</v>
      </c>
      <c r="DH369" s="5">
        <v>312349.38777287153</v>
      </c>
      <c r="DI369" s="306">
        <v>4.7210132773868967</v>
      </c>
      <c r="DJ369" s="306"/>
      <c r="DK369" s="306"/>
      <c r="DL369" s="28">
        <v>12942.185798628439</v>
      </c>
      <c r="DM369" s="28">
        <v>0</v>
      </c>
      <c r="DN369" s="650">
        <v>12942.16</v>
      </c>
      <c r="DO369" s="94">
        <v>2.5798628439588356E-2</v>
      </c>
      <c r="DP369" s="28">
        <v>12942.185798628439</v>
      </c>
      <c r="DQ369" s="318">
        <v>-0.47210132773579971</v>
      </c>
      <c r="DS369" s="8">
        <v>12326.340857101119</v>
      </c>
      <c r="DT369" s="5">
        <v>616.31704285505589</v>
      </c>
      <c r="DW369" s="5">
        <v>8743.2494126104702</v>
      </c>
      <c r="DX369" s="5">
        <v>3126</v>
      </c>
    </row>
    <row r="370" spans="1:128" x14ac:dyDescent="0.3">
      <c r="A370" s="325">
        <v>150000922</v>
      </c>
      <c r="B370" s="41" t="s">
        <v>816</v>
      </c>
      <c r="C370" s="42" t="s">
        <v>402</v>
      </c>
      <c r="D370" s="42" t="s">
        <v>402</v>
      </c>
      <c r="E370" s="293">
        <v>4247.05</v>
      </c>
      <c r="F370" s="652">
        <v>4247.05</v>
      </c>
      <c r="G370" s="51">
        <v>410.5</v>
      </c>
      <c r="H370" s="651">
        <v>0</v>
      </c>
      <c r="I370" s="73">
        <v>2423.6872014417741</v>
      </c>
      <c r="J370" s="40">
        <v>2724.52691849645</v>
      </c>
      <c r="K370" s="52">
        <v>300.83971705467593</v>
      </c>
      <c r="L370" s="73">
        <v>425.81919679853968</v>
      </c>
      <c r="M370" s="40">
        <v>479.73570937042643</v>
      </c>
      <c r="N370" s="52">
        <v>53.916512571886756</v>
      </c>
      <c r="O370" s="73">
        <v>734.50082436921673</v>
      </c>
      <c r="P370" s="40">
        <v>734.85</v>
      </c>
      <c r="Q370" s="52">
        <v>0.34917563078329295</v>
      </c>
      <c r="R370" s="73">
        <v>183.06204155573664</v>
      </c>
      <c r="S370" s="40">
        <v>182.81666666666666</v>
      </c>
      <c r="T370" s="52">
        <v>-0.24537488906997851</v>
      </c>
      <c r="U370" s="73">
        <v>86.533130947417462</v>
      </c>
      <c r="V370" s="40">
        <v>162.19236213913845</v>
      </c>
      <c r="W370" s="52">
        <v>75.659231191720991</v>
      </c>
      <c r="X370" s="73">
        <v>673.55541077214161</v>
      </c>
      <c r="Y370" s="40">
        <v>687.75370986559074</v>
      </c>
      <c r="Z370" s="52">
        <v>14.198299093449123</v>
      </c>
      <c r="AA370" s="73">
        <v>345.476</v>
      </c>
      <c r="AB370" s="40">
        <v>0</v>
      </c>
      <c r="AC370" s="52">
        <v>-345.476</v>
      </c>
      <c r="AD370" s="73">
        <v>3108.2985046642516</v>
      </c>
      <c r="AE370" s="40">
        <v>3827.8880087727812</v>
      </c>
      <c r="AF370" s="35">
        <v>719.58950410852958</v>
      </c>
      <c r="AG370" s="77">
        <v>7980.9323105490766</v>
      </c>
      <c r="AH370" s="53">
        <v>8799.7633753110531</v>
      </c>
      <c r="AI370" s="52">
        <v>818.83106476197645</v>
      </c>
      <c r="AJ370" s="73">
        <v>7669.0692099999997</v>
      </c>
      <c r="AK370" s="40">
        <v>7553.3551891468987</v>
      </c>
      <c r="AL370" s="52">
        <v>-115.71402085310092</v>
      </c>
      <c r="AM370" s="73">
        <v>0</v>
      </c>
      <c r="AN370" s="40">
        <v>0</v>
      </c>
      <c r="AO370" s="52">
        <v>0</v>
      </c>
      <c r="AP370" s="73">
        <v>441.24208333333331</v>
      </c>
      <c r="AQ370" s="40">
        <v>0</v>
      </c>
      <c r="AR370" s="52">
        <v>-441.24208333333331</v>
      </c>
      <c r="AS370" s="73">
        <v>5079.596199288052</v>
      </c>
      <c r="AT370" s="40">
        <v>0</v>
      </c>
      <c r="AU370" s="54">
        <v>-5079.596199288052</v>
      </c>
      <c r="AV370" s="73">
        <v>1075.8804694655948</v>
      </c>
      <c r="AW370" s="40">
        <v>0</v>
      </c>
      <c r="AX370" s="55">
        <v>-1075.8804694655948</v>
      </c>
      <c r="AY370" s="73">
        <v>1191.2712344793385</v>
      </c>
      <c r="AZ370" s="40">
        <v>0</v>
      </c>
      <c r="BA370" s="35">
        <v>-1191.2712344793385</v>
      </c>
      <c r="BB370" s="73">
        <v>386.28103032560398</v>
      </c>
      <c r="BC370" s="40">
        <v>0</v>
      </c>
      <c r="BD370" s="55">
        <v>-386.28103032560398</v>
      </c>
      <c r="BE370" s="73">
        <v>945.24100330761007</v>
      </c>
      <c r="BF370" s="40">
        <v>0</v>
      </c>
      <c r="BG370" s="38">
        <v>-945.24100330761007</v>
      </c>
      <c r="BH370" s="73">
        <v>417.92545115516577</v>
      </c>
      <c r="BI370" s="40">
        <v>22</v>
      </c>
      <c r="BJ370" s="55">
        <v>-395.92545115516577</v>
      </c>
      <c r="BK370" s="73">
        <v>419.30997835304504</v>
      </c>
      <c r="BL370" s="40">
        <v>0</v>
      </c>
      <c r="BM370" s="38">
        <v>-419.30997835304504</v>
      </c>
      <c r="BN370" s="73">
        <v>86.369</v>
      </c>
      <c r="BO370" s="40">
        <v>0</v>
      </c>
      <c r="BP370" s="55">
        <v>-86.369</v>
      </c>
      <c r="BQ370" s="77">
        <v>4522.2781670863578</v>
      </c>
      <c r="BR370" s="40">
        <v>22</v>
      </c>
      <c r="BS370" s="55">
        <v>-4500.2781670863578</v>
      </c>
      <c r="BT370" s="73">
        <v>5202.1272508690599</v>
      </c>
      <c r="BU370" s="40">
        <v>1200.4456549668387</v>
      </c>
      <c r="BV370" s="52">
        <v>-4001.6815959022215</v>
      </c>
      <c r="BW370" s="73">
        <v>4247.1208466763801</v>
      </c>
      <c r="BX370" s="40">
        <v>4688.6252370964467</v>
      </c>
      <c r="BY370" s="52">
        <v>441.50439042006656</v>
      </c>
      <c r="BZ370" s="73">
        <v>1175.214187979024</v>
      </c>
      <c r="CA370" s="40">
        <v>7350.9066522710491</v>
      </c>
      <c r="CB370" s="52">
        <v>6175.6924642920249</v>
      </c>
      <c r="CC370" s="73">
        <v>243.059054425</v>
      </c>
      <c r="CD370" s="40">
        <v>301.23827830865685</v>
      </c>
      <c r="CE370" s="52">
        <v>58.179223883656846</v>
      </c>
      <c r="CF370" s="73">
        <v>28.365562499999999</v>
      </c>
      <c r="CG370" s="40">
        <v>0</v>
      </c>
      <c r="CH370" s="52">
        <v>-28.365562499999999</v>
      </c>
      <c r="CI370" s="73">
        <v>3152.02</v>
      </c>
      <c r="CJ370" s="40">
        <v>2849.1804589837411</v>
      </c>
      <c r="CK370" s="52">
        <v>-302.83954101625886</v>
      </c>
      <c r="CL370" s="73">
        <v>897.01919999999996</v>
      </c>
      <c r="CM370" s="40">
        <v>1315.8600572121668</v>
      </c>
      <c r="CN370" s="52">
        <v>418.84085721216684</v>
      </c>
      <c r="CO370" s="39">
        <v>4049.0392000000002</v>
      </c>
      <c r="CP370" s="40">
        <v>4165.0405161959079</v>
      </c>
      <c r="CQ370" s="52">
        <v>116.00131619590775</v>
      </c>
      <c r="CR370" s="72">
        <v>40638.044072706281</v>
      </c>
      <c r="CS370" s="5">
        <v>34081.374903296855</v>
      </c>
      <c r="CT370" s="52">
        <v>-6556.6691694094261</v>
      </c>
      <c r="CU370" s="77">
        <v>48765.652887247539</v>
      </c>
      <c r="CV370" s="65">
        <v>40897.649883956226</v>
      </c>
      <c r="CW370" s="35">
        <v>-7868.0030032913128</v>
      </c>
      <c r="CX370" s="73">
        <v>2722.7341918923153</v>
      </c>
      <c r="CY370" s="40">
        <v>10590.737195183625</v>
      </c>
      <c r="CZ370" s="52">
        <v>7868.0030032913091</v>
      </c>
      <c r="DA370" s="150">
        <v>-2447.4232904775381</v>
      </c>
      <c r="DB370" s="2">
        <v>3</v>
      </c>
      <c r="DC370" s="648">
        <v>36686.86</v>
      </c>
      <c r="DD370" s="648"/>
      <c r="DE370" s="649">
        <v>-14801.527079139851</v>
      </c>
      <c r="DG370" s="321">
        <v>2116.3833129715458</v>
      </c>
      <c r="DH370" s="5">
        <v>617860.64494967822</v>
      </c>
      <c r="DI370" s="306">
        <v>4.6891218835886299</v>
      </c>
      <c r="DJ370" s="306">
        <v>6.0954296395984802</v>
      </c>
      <c r="DK370" s="306">
        <v>4.0592448526899325</v>
      </c>
      <c r="DL370" s="28">
        <v>25310.305117014683</v>
      </c>
      <c r="DM370" s="28">
        <v>0</v>
      </c>
      <c r="DN370" s="650">
        <v>25310.63</v>
      </c>
      <c r="DO370" s="94">
        <v>-0.32488298531825421</v>
      </c>
      <c r="DP370" s="28">
        <v>25310.305117014683</v>
      </c>
      <c r="DQ370" s="318">
        <v>-291.66264879027585</v>
      </c>
      <c r="DS370" s="8">
        <v>24382.82644362377</v>
      </c>
      <c r="DT370" s="5">
        <v>1219.1413221811886</v>
      </c>
      <c r="DW370" s="5">
        <v>11522.249239649291</v>
      </c>
      <c r="DX370" s="5">
        <v>26.4</v>
      </c>
    </row>
    <row r="371" spans="1:128" x14ac:dyDescent="0.3">
      <c r="A371" s="325">
        <v>150000896</v>
      </c>
      <c r="B371" s="41" t="s">
        <v>817</v>
      </c>
      <c r="C371" s="42" t="s">
        <v>318</v>
      </c>
      <c r="D371" s="42" t="s">
        <v>318</v>
      </c>
      <c r="E371" s="293">
        <v>2712.05</v>
      </c>
      <c r="F371" s="305">
        <v>2712.05</v>
      </c>
      <c r="G371" s="51"/>
      <c r="H371" s="651">
        <v>0</v>
      </c>
      <c r="I371" s="73">
        <v>1516.9698919425236</v>
      </c>
      <c r="J371" s="40">
        <v>1700.8361206896184</v>
      </c>
      <c r="K371" s="52">
        <v>183.86622874709474</v>
      </c>
      <c r="L371" s="73">
        <v>309.68659486991743</v>
      </c>
      <c r="M371" s="40">
        <v>348.8986977239465</v>
      </c>
      <c r="N371" s="52">
        <v>39.212102854029069</v>
      </c>
      <c r="O371" s="73">
        <v>543.14726125333004</v>
      </c>
      <c r="P371" s="40">
        <v>543.33333333333337</v>
      </c>
      <c r="Q371" s="52">
        <v>0.18607208000332776</v>
      </c>
      <c r="R371" s="73">
        <v>0</v>
      </c>
      <c r="S371" s="40">
        <v>0</v>
      </c>
      <c r="T371" s="52">
        <v>0</v>
      </c>
      <c r="U371" s="73">
        <v>0</v>
      </c>
      <c r="V371" s="40">
        <v>0</v>
      </c>
      <c r="W371" s="52">
        <v>0</v>
      </c>
      <c r="X371" s="73">
        <v>800.59907561404975</v>
      </c>
      <c r="Y371" s="40">
        <v>835.45689033802091</v>
      </c>
      <c r="Z371" s="52">
        <v>34.85781472397116</v>
      </c>
      <c r="AA371" s="73">
        <v>216.97200000000001</v>
      </c>
      <c r="AB371" s="40">
        <v>0</v>
      </c>
      <c r="AC371" s="52">
        <v>-216.97200000000001</v>
      </c>
      <c r="AD371" s="73">
        <v>1953.8765451992731</v>
      </c>
      <c r="AE371" s="40">
        <v>2444.3846138360091</v>
      </c>
      <c r="AF371" s="35">
        <v>490.50806863673597</v>
      </c>
      <c r="AG371" s="77">
        <v>5341.251368879095</v>
      </c>
      <c r="AH371" s="53">
        <v>5872.9096559209283</v>
      </c>
      <c r="AI371" s="52">
        <v>531.65828704183332</v>
      </c>
      <c r="AJ371" s="73">
        <v>0</v>
      </c>
      <c r="AK371" s="40">
        <v>0</v>
      </c>
      <c r="AL371" s="52">
        <v>0</v>
      </c>
      <c r="AM371" s="73">
        <v>0</v>
      </c>
      <c r="AN371" s="40">
        <v>0</v>
      </c>
      <c r="AO371" s="52">
        <v>0</v>
      </c>
      <c r="AP371" s="73">
        <v>567.31124999999997</v>
      </c>
      <c r="AQ371" s="40">
        <v>0</v>
      </c>
      <c r="AR371" s="52">
        <v>-567.31124999999997</v>
      </c>
      <c r="AS371" s="73">
        <v>4949.6312587942666</v>
      </c>
      <c r="AT371" s="40">
        <v>0</v>
      </c>
      <c r="AU371" s="54">
        <v>-4949.6312587942666</v>
      </c>
      <c r="AV371" s="73">
        <v>698.59954585623086</v>
      </c>
      <c r="AW371" s="40">
        <v>0</v>
      </c>
      <c r="AX371" s="55">
        <v>-698.59954585623086</v>
      </c>
      <c r="AY371" s="73">
        <v>857.19644864157817</v>
      </c>
      <c r="AZ371" s="40">
        <v>4606</v>
      </c>
      <c r="BA371" s="35">
        <v>3748.8035513584218</v>
      </c>
      <c r="BB371" s="73">
        <v>198.88373215837998</v>
      </c>
      <c r="BC371" s="40">
        <v>0</v>
      </c>
      <c r="BD371" s="55">
        <v>-198.88373215837998</v>
      </c>
      <c r="BE371" s="73">
        <v>0</v>
      </c>
      <c r="BF371" s="40">
        <v>0</v>
      </c>
      <c r="BG371" s="38">
        <v>0</v>
      </c>
      <c r="BH371" s="73">
        <v>0</v>
      </c>
      <c r="BI371" s="40">
        <v>0</v>
      </c>
      <c r="BJ371" s="55">
        <v>0</v>
      </c>
      <c r="BK371" s="73">
        <v>540.50739063927779</v>
      </c>
      <c r="BL371" s="40">
        <v>0</v>
      </c>
      <c r="BM371" s="38">
        <v>-540.50739063927779</v>
      </c>
      <c r="BN371" s="73">
        <v>54.243000000000002</v>
      </c>
      <c r="BO371" s="40">
        <v>0</v>
      </c>
      <c r="BP371" s="55">
        <v>-54.243000000000002</v>
      </c>
      <c r="BQ371" s="77">
        <v>2349.4301172954665</v>
      </c>
      <c r="BR371" s="40">
        <v>4606</v>
      </c>
      <c r="BS371" s="55">
        <v>2256.5698827045335</v>
      </c>
      <c r="BT371" s="73">
        <v>3275.1592145207401</v>
      </c>
      <c r="BU371" s="40">
        <v>883.86849225537878</v>
      </c>
      <c r="BV371" s="52">
        <v>-2391.2907222653612</v>
      </c>
      <c r="BW371" s="73">
        <v>1931.096485904804</v>
      </c>
      <c r="BX371" s="40">
        <v>2052.3403034516787</v>
      </c>
      <c r="BY371" s="52">
        <v>121.24381754687465</v>
      </c>
      <c r="BZ371" s="73">
        <v>1439.951821767354</v>
      </c>
      <c r="CA371" s="40">
        <v>5508.7309632568231</v>
      </c>
      <c r="CB371" s="52">
        <v>4068.7791414894691</v>
      </c>
      <c r="CC371" s="73">
        <v>226.11872892125001</v>
      </c>
      <c r="CD371" s="40">
        <v>285.3087981516951</v>
      </c>
      <c r="CE371" s="52">
        <v>59.19006923044509</v>
      </c>
      <c r="CF371" s="73">
        <v>26.865591555000002</v>
      </c>
      <c r="CG371" s="40">
        <v>0</v>
      </c>
      <c r="CH371" s="52">
        <v>-26.865591555000002</v>
      </c>
      <c r="CI371" s="73">
        <v>1834.52</v>
      </c>
      <c r="CJ371" s="40">
        <v>1136.3546981923887</v>
      </c>
      <c r="CK371" s="52">
        <v>-698.16530180761129</v>
      </c>
      <c r="CL371" s="73">
        <v>0</v>
      </c>
      <c r="CM371" s="40">
        <v>0</v>
      </c>
      <c r="CN371" s="52">
        <v>0</v>
      </c>
      <c r="CO371" s="39">
        <v>1834.52</v>
      </c>
      <c r="CP371" s="40">
        <v>1136.3546981923887</v>
      </c>
      <c r="CQ371" s="52">
        <v>-698.16530180761129</v>
      </c>
      <c r="CR371" s="72">
        <v>21941.335837637977</v>
      </c>
      <c r="CS371" s="5">
        <v>20345.512911228896</v>
      </c>
      <c r="CT371" s="52">
        <v>-1595.8229264090805</v>
      </c>
      <c r="CU371" s="77">
        <v>26329.603005165573</v>
      </c>
      <c r="CV371" s="65">
        <v>24414.615493474674</v>
      </c>
      <c r="CW371" s="35">
        <v>-1914.9875116908988</v>
      </c>
      <c r="CX371" s="73">
        <v>1470.0615313583112</v>
      </c>
      <c r="CY371" s="40">
        <v>3385.04904304921</v>
      </c>
      <c r="CZ371" s="52">
        <v>1914.9875116908988</v>
      </c>
      <c r="DA371" s="150">
        <v>-42120.464205070944</v>
      </c>
      <c r="DB371" s="2">
        <v>3</v>
      </c>
      <c r="DC371" s="648">
        <v>36766.28</v>
      </c>
      <c r="DD371" s="648"/>
      <c r="DE371" s="649">
        <v>8966.6154634761151</v>
      </c>
      <c r="DG371" s="321">
        <v>-62945.037998928514</v>
      </c>
      <c r="DH371" s="5">
        <v>333595.97443828662</v>
      </c>
      <c r="DI371" s="306">
        <v>5.0967098345268234</v>
      </c>
      <c r="DJ371" s="306"/>
      <c r="DK371" s="306"/>
      <c r="DL371" s="28">
        <v>13822.531906728473</v>
      </c>
      <c r="DM371" s="28">
        <v>0</v>
      </c>
      <c r="DN371" s="650">
        <v>13822.45</v>
      </c>
      <c r="DO371" s="94">
        <v>8.1906728471949464E-2</v>
      </c>
      <c r="DP371" s="28">
        <v>13822.531906728473</v>
      </c>
      <c r="DQ371" s="318">
        <v>-0.50967098345245176</v>
      </c>
      <c r="DS371" s="8">
        <v>13164.801502582786</v>
      </c>
      <c r="DT371" s="5">
        <v>658.2400751291392</v>
      </c>
      <c r="DW371" s="5">
        <v>8758.8736513076801</v>
      </c>
      <c r="DX371" s="5">
        <v>5527.2</v>
      </c>
    </row>
    <row r="372" spans="1:128" x14ac:dyDescent="0.3">
      <c r="A372" s="325">
        <v>150000898</v>
      </c>
      <c r="B372" s="41" t="s">
        <v>818</v>
      </c>
      <c r="C372" s="42" t="s">
        <v>191</v>
      </c>
      <c r="D372" s="42" t="s">
        <v>191</v>
      </c>
      <c r="E372" s="293">
        <v>472.1</v>
      </c>
      <c r="F372" s="305">
        <v>472.1</v>
      </c>
      <c r="G372" s="51"/>
      <c r="H372" s="651">
        <v>0</v>
      </c>
      <c r="I372" s="73">
        <v>274.41862815181713</v>
      </c>
      <c r="J372" s="40">
        <v>307.98969681773167</v>
      </c>
      <c r="K372" s="52">
        <v>33.571068665914538</v>
      </c>
      <c r="L372" s="73">
        <v>68.478012477248342</v>
      </c>
      <c r="M372" s="40">
        <v>75.834845292118956</v>
      </c>
      <c r="N372" s="52">
        <v>7.3568328148706144</v>
      </c>
      <c r="O372" s="73">
        <v>85.781969211269995</v>
      </c>
      <c r="P372" s="40">
        <v>85.766666666666666</v>
      </c>
      <c r="Q372" s="52">
        <v>-1.5302544603329693E-2</v>
      </c>
      <c r="R372" s="73">
        <v>0</v>
      </c>
      <c r="S372" s="40">
        <v>0</v>
      </c>
      <c r="T372" s="52">
        <v>0</v>
      </c>
      <c r="U372" s="73">
        <v>0</v>
      </c>
      <c r="V372" s="40">
        <v>0</v>
      </c>
      <c r="W372" s="52">
        <v>0</v>
      </c>
      <c r="X372" s="73">
        <v>85.301130647801813</v>
      </c>
      <c r="Y372" s="40">
        <v>80.69836852123062</v>
      </c>
      <c r="Z372" s="52">
        <v>-4.6027621265711929</v>
      </c>
      <c r="AA372" s="73">
        <v>37.768000000000001</v>
      </c>
      <c r="AB372" s="40">
        <v>0</v>
      </c>
      <c r="AC372" s="52">
        <v>-37.768000000000001</v>
      </c>
      <c r="AD372" s="73">
        <v>340.11856946488336</v>
      </c>
      <c r="AE372" s="40">
        <v>425.50615814309469</v>
      </c>
      <c r="AF372" s="35">
        <v>85.38758867821133</v>
      </c>
      <c r="AG372" s="77">
        <v>891.86630995302062</v>
      </c>
      <c r="AH372" s="53">
        <v>975.79573544084258</v>
      </c>
      <c r="AI372" s="52">
        <v>83.929425487821959</v>
      </c>
      <c r="AJ372" s="73">
        <v>0</v>
      </c>
      <c r="AK372" s="40">
        <v>0</v>
      </c>
      <c r="AL372" s="52">
        <v>0</v>
      </c>
      <c r="AM372" s="73">
        <v>0</v>
      </c>
      <c r="AN372" s="40">
        <v>0</v>
      </c>
      <c r="AO372" s="52">
        <v>0</v>
      </c>
      <c r="AP372" s="73">
        <v>201.71066666666667</v>
      </c>
      <c r="AQ372" s="40">
        <v>0</v>
      </c>
      <c r="AR372" s="52">
        <v>-201.71066666666667</v>
      </c>
      <c r="AS372" s="73">
        <v>816.02236979445797</v>
      </c>
      <c r="AT372" s="40">
        <v>0</v>
      </c>
      <c r="AU372" s="54">
        <v>-816.02236979445797</v>
      </c>
      <c r="AV372" s="73">
        <v>135.72661782974464</v>
      </c>
      <c r="AW372" s="40">
        <v>0</v>
      </c>
      <c r="AX372" s="55">
        <v>-135.72661782974464</v>
      </c>
      <c r="AY372" s="73">
        <v>189.47413421829481</v>
      </c>
      <c r="AZ372" s="40">
        <v>0</v>
      </c>
      <c r="BA372" s="35">
        <v>-189.47413421829481</v>
      </c>
      <c r="BB372" s="73">
        <v>19.261662238383341</v>
      </c>
      <c r="BC372" s="40">
        <v>0</v>
      </c>
      <c r="BD372" s="55">
        <v>-19.261662238383341</v>
      </c>
      <c r="BE372" s="73">
        <v>0</v>
      </c>
      <c r="BF372" s="40">
        <v>0</v>
      </c>
      <c r="BG372" s="38">
        <v>0</v>
      </c>
      <c r="BH372" s="73">
        <v>0</v>
      </c>
      <c r="BI372" s="40">
        <v>0</v>
      </c>
      <c r="BJ372" s="55">
        <v>0</v>
      </c>
      <c r="BK372" s="73">
        <v>7.0425331139952432</v>
      </c>
      <c r="BL372" s="40">
        <v>0</v>
      </c>
      <c r="BM372" s="38">
        <v>-7.0425331139952432</v>
      </c>
      <c r="BN372" s="73">
        <v>9.4420000000000002</v>
      </c>
      <c r="BO372" s="40">
        <v>0</v>
      </c>
      <c r="BP372" s="55">
        <v>-9.4420000000000002</v>
      </c>
      <c r="BQ372" s="77">
        <v>360.94694740041808</v>
      </c>
      <c r="BR372" s="40">
        <v>0</v>
      </c>
      <c r="BS372" s="55">
        <v>-360.94694740041808</v>
      </c>
      <c r="BT372" s="73">
        <v>311.88275546148799</v>
      </c>
      <c r="BU372" s="40">
        <v>96.714491993114436</v>
      </c>
      <c r="BV372" s="52">
        <v>-215.16826346837354</v>
      </c>
      <c r="BW372" s="73">
        <v>363.85006455213397</v>
      </c>
      <c r="BX372" s="40">
        <v>385.00747598717072</v>
      </c>
      <c r="BY372" s="52">
        <v>21.157411435036749</v>
      </c>
      <c r="BZ372" s="73">
        <v>85.511122781279198</v>
      </c>
      <c r="CA372" s="40">
        <v>633.55715384821997</v>
      </c>
      <c r="CB372" s="52">
        <v>548.04603106694071</v>
      </c>
      <c r="CC372" s="73">
        <v>0</v>
      </c>
      <c r="CD372" s="40">
        <v>0</v>
      </c>
      <c r="CE372" s="52">
        <v>0</v>
      </c>
      <c r="CF372" s="73">
        <v>0</v>
      </c>
      <c r="CG372" s="40">
        <v>0</v>
      </c>
      <c r="CH372" s="52">
        <v>0</v>
      </c>
      <c r="CI372" s="73">
        <v>239.82</v>
      </c>
      <c r="CJ372" s="40">
        <v>191.70806995926526</v>
      </c>
      <c r="CK372" s="52">
        <v>-48.111930040734734</v>
      </c>
      <c r="CL372" s="73">
        <v>0</v>
      </c>
      <c r="CM372" s="40">
        <v>0</v>
      </c>
      <c r="CN372" s="52">
        <v>0</v>
      </c>
      <c r="CO372" s="39">
        <v>239.82</v>
      </c>
      <c r="CP372" s="40">
        <v>191.70806995926526</v>
      </c>
      <c r="CQ372" s="52">
        <v>-48.111930040734734</v>
      </c>
      <c r="CR372" s="72">
        <v>3271.6102366094647</v>
      </c>
      <c r="CS372" s="5">
        <v>2282.7829272286126</v>
      </c>
      <c r="CT372" s="52">
        <v>-988.82730938085206</v>
      </c>
      <c r="CU372" s="77">
        <v>3925.9322839313572</v>
      </c>
      <c r="CV372" s="65">
        <v>2739.3395126743349</v>
      </c>
      <c r="CW372" s="35">
        <v>-1186.5927712570224</v>
      </c>
      <c r="CX372" s="73">
        <v>219.19669750405603</v>
      </c>
      <c r="CY372" s="40">
        <v>1405.7894687610783</v>
      </c>
      <c r="CZ372" s="52">
        <v>1186.5927712570224</v>
      </c>
      <c r="DA372" s="150">
        <v>-11479.793295873751</v>
      </c>
      <c r="DB372" s="2">
        <v>3</v>
      </c>
      <c r="DC372" s="648">
        <v>2061.1</v>
      </c>
      <c r="DD372" s="648"/>
      <c r="DE372" s="649">
        <v>-2084.0289814354132</v>
      </c>
      <c r="DG372" s="321">
        <v>-10825.53275336403</v>
      </c>
      <c r="DH372" s="5">
        <v>49741.547777224958</v>
      </c>
      <c r="DI372" s="306">
        <v>4.3658429338359728</v>
      </c>
      <c r="DJ372" s="306"/>
      <c r="DK372" s="306"/>
      <c r="DL372" s="28">
        <v>2061.1144490639626</v>
      </c>
      <c r="DM372" s="28">
        <v>0</v>
      </c>
      <c r="DN372" s="650">
        <v>2061.1</v>
      </c>
      <c r="DO372" s="94">
        <v>1.4449063962729269E-2</v>
      </c>
      <c r="DP372" s="28">
        <v>2061.1144490639626</v>
      </c>
      <c r="DQ372" s="318">
        <v>0</v>
      </c>
      <c r="DS372" s="8">
        <v>1962.9661419656786</v>
      </c>
      <c r="DT372" s="5">
        <v>98.148307098283951</v>
      </c>
      <c r="DW372" s="5">
        <v>1412.3631806338512</v>
      </c>
      <c r="DX372" s="5">
        <v>0</v>
      </c>
    </row>
    <row r="373" spans="1:128" x14ac:dyDescent="0.3">
      <c r="A373" s="325">
        <v>150000899</v>
      </c>
      <c r="B373" s="41" t="s">
        <v>819</v>
      </c>
      <c r="C373" s="42" t="s">
        <v>403</v>
      </c>
      <c r="D373" s="42" t="s">
        <v>403</v>
      </c>
      <c r="E373" s="293">
        <v>6212.05</v>
      </c>
      <c r="F373" s="652">
        <v>6212.05</v>
      </c>
      <c r="G373" s="51">
        <v>656.19999999999982</v>
      </c>
      <c r="H373" s="651">
        <v>0</v>
      </c>
      <c r="I373" s="73">
        <v>3707.3023516763142</v>
      </c>
      <c r="J373" s="40">
        <v>4164.4669677790262</v>
      </c>
      <c r="K373" s="52">
        <v>457.16461610271199</v>
      </c>
      <c r="L373" s="73">
        <v>641.45008269413734</v>
      </c>
      <c r="M373" s="40">
        <v>722.67005651610407</v>
      </c>
      <c r="N373" s="52">
        <v>81.219973821966732</v>
      </c>
      <c r="O373" s="73">
        <v>1066.56678827254</v>
      </c>
      <c r="P373" s="40">
        <v>1066.2166666666667</v>
      </c>
      <c r="Q373" s="52">
        <v>-0.35012160587325525</v>
      </c>
      <c r="R373" s="73">
        <v>261.09554508900669</v>
      </c>
      <c r="S373" s="40">
        <v>260.86666666666667</v>
      </c>
      <c r="T373" s="52">
        <v>-0.2288784223400171</v>
      </c>
      <c r="U373" s="73">
        <v>129.82091592576384</v>
      </c>
      <c r="V373" s="40">
        <v>282.25445042891118</v>
      </c>
      <c r="W373" s="52">
        <v>152.43353450314734</v>
      </c>
      <c r="X373" s="73">
        <v>1108.6605105093886</v>
      </c>
      <c r="Y373" s="40">
        <v>1157.0193752576879</v>
      </c>
      <c r="Z373" s="52">
        <v>48.358864748299311</v>
      </c>
      <c r="AA373" s="73">
        <v>496.87599999999998</v>
      </c>
      <c r="AB373" s="40">
        <v>0</v>
      </c>
      <c r="AC373" s="52">
        <v>-496.87599999999998</v>
      </c>
      <c r="AD373" s="73">
        <v>4474.5101666888822</v>
      </c>
      <c r="AE373" s="40">
        <v>5598.9526153205061</v>
      </c>
      <c r="AF373" s="35">
        <v>1124.4424486316238</v>
      </c>
      <c r="AG373" s="77">
        <v>11886.282360856034</v>
      </c>
      <c r="AH373" s="53">
        <v>13252.44679863557</v>
      </c>
      <c r="AI373" s="52">
        <v>1366.1644377795365</v>
      </c>
      <c r="AJ373" s="73">
        <v>11580.80264</v>
      </c>
      <c r="AK373" s="40">
        <v>11406.077978109726</v>
      </c>
      <c r="AL373" s="52">
        <v>-174.72466189027364</v>
      </c>
      <c r="AM373" s="73">
        <v>0</v>
      </c>
      <c r="AN373" s="40">
        <v>0</v>
      </c>
      <c r="AO373" s="52">
        <v>0</v>
      </c>
      <c r="AP373" s="73">
        <v>705.98733333333325</v>
      </c>
      <c r="AQ373" s="40">
        <v>0</v>
      </c>
      <c r="AR373" s="52">
        <v>-705.98733333333325</v>
      </c>
      <c r="AS373" s="73">
        <v>6997.627118054892</v>
      </c>
      <c r="AT373" s="40">
        <v>649</v>
      </c>
      <c r="AU373" s="54">
        <v>-6348.627118054892</v>
      </c>
      <c r="AV373" s="73">
        <v>1622.0931532870243</v>
      </c>
      <c r="AW373" s="40">
        <v>0</v>
      </c>
      <c r="AX373" s="55">
        <v>-1622.0931532870243</v>
      </c>
      <c r="AY373" s="73">
        <v>1794.3463319260256</v>
      </c>
      <c r="AZ373" s="40">
        <v>0</v>
      </c>
      <c r="BA373" s="35">
        <v>-1794.3463319260256</v>
      </c>
      <c r="BB373" s="73">
        <v>557.47708981622009</v>
      </c>
      <c r="BC373" s="40">
        <v>0</v>
      </c>
      <c r="BD373" s="55">
        <v>-557.47708981622009</v>
      </c>
      <c r="BE373" s="73">
        <v>1355.3066028631879</v>
      </c>
      <c r="BF373" s="40">
        <v>0</v>
      </c>
      <c r="BG373" s="38">
        <v>-1355.3066028631879</v>
      </c>
      <c r="BH373" s="73">
        <v>626.90933560096028</v>
      </c>
      <c r="BI373" s="40">
        <v>0</v>
      </c>
      <c r="BJ373" s="55">
        <v>-626.90933560096028</v>
      </c>
      <c r="BK373" s="73">
        <v>733.07631471596005</v>
      </c>
      <c r="BL373" s="40">
        <v>0</v>
      </c>
      <c r="BM373" s="38">
        <v>-733.07631471596005</v>
      </c>
      <c r="BN373" s="73">
        <v>124.21899999999999</v>
      </c>
      <c r="BO373" s="40">
        <v>0</v>
      </c>
      <c r="BP373" s="55">
        <v>-124.21899999999999</v>
      </c>
      <c r="BQ373" s="77">
        <v>6813.4278282093774</v>
      </c>
      <c r="BR373" s="40">
        <v>0</v>
      </c>
      <c r="BS373" s="55">
        <v>-6813.4278282093774</v>
      </c>
      <c r="BT373" s="73">
        <v>9512.1947236579399</v>
      </c>
      <c r="BU373" s="40">
        <v>2035.4949310202996</v>
      </c>
      <c r="BV373" s="52">
        <v>-7476.6997926376407</v>
      </c>
      <c r="BW373" s="73">
        <v>5147.6691146215999</v>
      </c>
      <c r="BX373" s="40">
        <v>5695.9584547786581</v>
      </c>
      <c r="BY373" s="52">
        <v>548.28934015705818</v>
      </c>
      <c r="BZ373" s="73">
        <v>1580.203146507406</v>
      </c>
      <c r="CA373" s="40">
        <v>12355.516670748537</v>
      </c>
      <c r="CB373" s="52">
        <v>10775.31352424113</v>
      </c>
      <c r="CC373" s="73">
        <v>258.739537375</v>
      </c>
      <c r="CD373" s="40">
        <v>317.14365940335392</v>
      </c>
      <c r="CE373" s="52">
        <v>58.404122028353925</v>
      </c>
      <c r="CF373" s="73">
        <v>29.8632642</v>
      </c>
      <c r="CG373" s="40">
        <v>0</v>
      </c>
      <c r="CH373" s="52">
        <v>-29.8632642</v>
      </c>
      <c r="CI373" s="73">
        <v>6170.12</v>
      </c>
      <c r="CJ373" s="40">
        <v>5807.1606540785506</v>
      </c>
      <c r="CK373" s="52">
        <v>-362.95934592144931</v>
      </c>
      <c r="CL373" s="73">
        <v>2382.7072499999999</v>
      </c>
      <c r="CM373" s="40">
        <v>2576.1452281715228</v>
      </c>
      <c r="CN373" s="52">
        <v>193.4379781715229</v>
      </c>
      <c r="CO373" s="39">
        <v>8552.8272500000003</v>
      </c>
      <c r="CP373" s="40">
        <v>8383.3058822500734</v>
      </c>
      <c r="CQ373" s="52">
        <v>-169.52136774992687</v>
      </c>
      <c r="CR373" s="72">
        <v>63065.624316815592</v>
      </c>
      <c r="CS373" s="5">
        <v>54094.944374946215</v>
      </c>
      <c r="CT373" s="52">
        <v>-8970.6799418693772</v>
      </c>
      <c r="CU373" s="77">
        <v>75678.749180178711</v>
      </c>
      <c r="CV373" s="65">
        <v>64913.933249935457</v>
      </c>
      <c r="CW373" s="35">
        <v>-10764.815930243254</v>
      </c>
      <c r="CX373" s="73">
        <v>4225.3739218653836</v>
      </c>
      <c r="CY373" s="40">
        <v>14990.189852108633</v>
      </c>
      <c r="CZ373" s="52">
        <v>10764.81593024325</v>
      </c>
      <c r="DA373" s="150">
        <v>-83702.848826100555</v>
      </c>
      <c r="DB373" s="2">
        <v>3</v>
      </c>
      <c r="DC373" s="648">
        <v>82027.92</v>
      </c>
      <c r="DD373" s="648"/>
      <c r="DE373" s="649">
        <v>2123.7968979559082</v>
      </c>
      <c r="DG373" s="321">
        <v>94880.460033200419</v>
      </c>
      <c r="DH373" s="5">
        <v>958849.47722452902</v>
      </c>
      <c r="DI373" s="306">
        <v>4.9806119979864327</v>
      </c>
      <c r="DJ373" s="306">
        <v>6.5643036548026714</v>
      </c>
      <c r="DK373" s="306"/>
      <c r="DL373" s="28">
        <v>39738.564053614122</v>
      </c>
      <c r="DM373" s="28">
        <v>0</v>
      </c>
      <c r="DN373" s="650">
        <v>39738.57</v>
      </c>
      <c r="DO373" s="94">
        <v>-5.9463858779054135E-3</v>
      </c>
      <c r="DP373" s="28">
        <v>39738.564053614122</v>
      </c>
      <c r="DQ373" s="318">
        <v>7.2207340202949126</v>
      </c>
      <c r="DS373" s="8">
        <v>37839.374590089355</v>
      </c>
      <c r="DT373" s="5">
        <v>1891.9687295044678</v>
      </c>
      <c r="DW373" s="5">
        <v>16573.265935517124</v>
      </c>
      <c r="DX373" s="5">
        <v>778.8</v>
      </c>
    </row>
    <row r="374" spans="1:128" x14ac:dyDescent="0.3">
      <c r="A374" s="325">
        <v>150000900</v>
      </c>
      <c r="B374" s="41" t="s">
        <v>820</v>
      </c>
      <c r="C374" s="42" t="s">
        <v>426</v>
      </c>
      <c r="D374" s="42" t="s">
        <v>426</v>
      </c>
      <c r="E374" s="293">
        <v>4357.8100000000004</v>
      </c>
      <c r="F374" s="652">
        <v>3895.01</v>
      </c>
      <c r="G374" s="51">
        <v>0</v>
      </c>
      <c r="H374" s="651">
        <v>462.8</v>
      </c>
      <c r="I374" s="73">
        <v>1618.4589578224404</v>
      </c>
      <c r="J374" s="40">
        <v>1825.4041079093936</v>
      </c>
      <c r="K374" s="52">
        <v>206.94515008695316</v>
      </c>
      <c r="L374" s="73">
        <v>227.21416050324734</v>
      </c>
      <c r="M374" s="40">
        <v>255.97910872352605</v>
      </c>
      <c r="N374" s="52">
        <v>28.764948220278711</v>
      </c>
      <c r="O374" s="73">
        <v>686.06459096541653</v>
      </c>
      <c r="P374" s="40">
        <v>686.13333333333333</v>
      </c>
      <c r="Q374" s="52">
        <v>6.8742367916797775E-2</v>
      </c>
      <c r="R374" s="73">
        <v>174.48242146808332</v>
      </c>
      <c r="S374" s="40">
        <v>174.43333333333334</v>
      </c>
      <c r="T374" s="52">
        <v>-4.9088134749979417E-2</v>
      </c>
      <c r="U374" s="73">
        <v>88.520070045712927</v>
      </c>
      <c r="V374" s="40">
        <v>165.91719921272824</v>
      </c>
      <c r="W374" s="52">
        <v>77.397129167015308</v>
      </c>
      <c r="X374" s="73">
        <v>636.65186885856633</v>
      </c>
      <c r="Y374" s="40">
        <v>650.32421048795629</v>
      </c>
      <c r="Z374" s="52">
        <v>13.672341629389962</v>
      </c>
      <c r="AA374" s="73">
        <v>0</v>
      </c>
      <c r="AB374" s="40">
        <v>0</v>
      </c>
      <c r="AC374" s="52">
        <v>0</v>
      </c>
      <c r="AD374" s="73">
        <v>3110.7668866578515</v>
      </c>
      <c r="AE374" s="40">
        <v>3927.7165664426166</v>
      </c>
      <c r="AF374" s="35">
        <v>816.94967978476507</v>
      </c>
      <c r="AG374" s="77">
        <v>6542.1589563213183</v>
      </c>
      <c r="AH374" s="53">
        <v>7685.9078594428875</v>
      </c>
      <c r="AI374" s="52">
        <v>1143.7489031215691</v>
      </c>
      <c r="AJ374" s="73">
        <v>5037.58</v>
      </c>
      <c r="AK374" s="40">
        <v>4961.5736928886163</v>
      </c>
      <c r="AL374" s="52">
        <v>-76.006307111383649</v>
      </c>
      <c r="AM374" s="73">
        <v>210.14988500000001</v>
      </c>
      <c r="AN374" s="40">
        <v>0</v>
      </c>
      <c r="AO374" s="52">
        <v>-210.14988500000001</v>
      </c>
      <c r="AP374" s="73">
        <v>403.42133333333334</v>
      </c>
      <c r="AQ374" s="40">
        <v>0</v>
      </c>
      <c r="AR374" s="52">
        <v>-403.42133333333334</v>
      </c>
      <c r="AS374" s="73">
        <v>3891.2871880324069</v>
      </c>
      <c r="AT374" s="40">
        <v>0</v>
      </c>
      <c r="AU374" s="54">
        <v>-3891.2871880324069</v>
      </c>
      <c r="AV374" s="73">
        <v>1344.4995092914583</v>
      </c>
      <c r="AW374" s="40">
        <v>0</v>
      </c>
      <c r="AX374" s="55">
        <v>-1344.4995092914583</v>
      </c>
      <c r="AY374" s="73">
        <v>589.53880101698587</v>
      </c>
      <c r="AZ374" s="40">
        <v>0</v>
      </c>
      <c r="BA374" s="35">
        <v>-589.53880101698587</v>
      </c>
      <c r="BB374" s="73">
        <v>355.62970281351659</v>
      </c>
      <c r="BC374" s="40">
        <v>2321</v>
      </c>
      <c r="BD374" s="55">
        <v>1965.3702971864834</v>
      </c>
      <c r="BE374" s="73">
        <v>926.62899633703</v>
      </c>
      <c r="BF374" s="40">
        <v>0</v>
      </c>
      <c r="BG374" s="38">
        <v>-926.62899633703</v>
      </c>
      <c r="BH374" s="73">
        <v>427.41508166919743</v>
      </c>
      <c r="BI374" s="40">
        <v>16.5</v>
      </c>
      <c r="BJ374" s="55">
        <v>-410.91508166919743</v>
      </c>
      <c r="BK374" s="73">
        <v>290.48779898210978</v>
      </c>
      <c r="BL374" s="40">
        <v>0</v>
      </c>
      <c r="BM374" s="38">
        <v>-290.48779898210978</v>
      </c>
      <c r="BN374" s="73">
        <v>0</v>
      </c>
      <c r="BO374" s="40">
        <v>0</v>
      </c>
      <c r="BP374" s="55">
        <v>0</v>
      </c>
      <c r="BQ374" s="77">
        <v>3934.1998901102979</v>
      </c>
      <c r="BR374" s="40">
        <v>2337.5</v>
      </c>
      <c r="BS374" s="55">
        <v>-1596.6998901102979</v>
      </c>
      <c r="BT374" s="73">
        <v>4162.98378141172</v>
      </c>
      <c r="BU374" s="40">
        <v>899.17845538757194</v>
      </c>
      <c r="BV374" s="52">
        <v>-3263.8053260241481</v>
      </c>
      <c r="BW374" s="73">
        <v>4571.6363735597397</v>
      </c>
      <c r="BX374" s="40">
        <v>5112.5679036113706</v>
      </c>
      <c r="BY374" s="52">
        <v>540.93153005163094</v>
      </c>
      <c r="BZ374" s="73">
        <v>543.81661461066994</v>
      </c>
      <c r="CA374" s="40">
        <v>5537.3412136185143</v>
      </c>
      <c r="CB374" s="52">
        <v>4993.5245990078447</v>
      </c>
      <c r="CC374" s="73">
        <v>157.07291187499999</v>
      </c>
      <c r="CD374" s="40">
        <v>189.41862940048338</v>
      </c>
      <c r="CE374" s="52">
        <v>32.345717525483394</v>
      </c>
      <c r="CF374" s="73">
        <v>17.836265699999998</v>
      </c>
      <c r="CG374" s="40">
        <v>0</v>
      </c>
      <c r="CH374" s="52">
        <v>-17.836265699999998</v>
      </c>
      <c r="CI374" s="73">
        <v>2691.06</v>
      </c>
      <c r="CJ374" s="40">
        <v>2195.0205445790261</v>
      </c>
      <c r="CK374" s="52">
        <v>-496.03945542097381</v>
      </c>
      <c r="CL374" s="73">
        <v>4036.5864000000001</v>
      </c>
      <c r="CM374" s="40">
        <v>3294.8330125300376</v>
      </c>
      <c r="CN374" s="52">
        <v>-741.75338746996249</v>
      </c>
      <c r="CO374" s="39">
        <v>6727.6463999999996</v>
      </c>
      <c r="CP374" s="40">
        <v>5489.8535571090633</v>
      </c>
      <c r="CQ374" s="52">
        <v>-1237.7928428909363</v>
      </c>
      <c r="CR374" s="72">
        <v>36199.789599954485</v>
      </c>
      <c r="CS374" s="5">
        <v>32213.341311458506</v>
      </c>
      <c r="CT374" s="52">
        <v>-3986.4482884959798</v>
      </c>
      <c r="CU374" s="77">
        <v>43439.747519945384</v>
      </c>
      <c r="CV374" s="65">
        <v>38656.009573750205</v>
      </c>
      <c r="CW374" s="35">
        <v>-4783.7379461951787</v>
      </c>
      <c r="CX374" s="73">
        <v>2425.3727543275477</v>
      </c>
      <c r="CY374" s="40">
        <v>7209.1107005227241</v>
      </c>
      <c r="CZ374" s="52">
        <v>4783.7379461951768</v>
      </c>
      <c r="DA374" s="150">
        <v>73736.533956946834</v>
      </c>
      <c r="DB374" s="2">
        <v>3</v>
      </c>
      <c r="DC374" s="648">
        <v>44700.71</v>
      </c>
      <c r="DD374" s="648">
        <v>982.87999999999988</v>
      </c>
      <c r="DE374" s="649">
        <v>-181.53027427293273</v>
      </c>
      <c r="DG374" s="321">
        <v>66132.56586033295</v>
      </c>
      <c r="DH374" s="5">
        <v>550381.44329127518</v>
      </c>
      <c r="DI374" s="306">
        <v>4.0795920499979319</v>
      </c>
      <c r="DJ374" s="306">
        <v>5.4711135239710131</v>
      </c>
      <c r="DK374" s="306">
        <v>3.3402229713324747</v>
      </c>
      <c r="DL374" s="28">
        <v>21310.041887002339</v>
      </c>
      <c r="DM374" s="28">
        <v>1545.8551911326692</v>
      </c>
      <c r="DN374" s="650">
        <v>21309.96</v>
      </c>
      <c r="DO374" s="94">
        <v>8.1887002339499304E-2</v>
      </c>
      <c r="DP374" s="28">
        <v>22855.897078135007</v>
      </c>
      <c r="DQ374" s="318">
        <v>50.029630163680849</v>
      </c>
      <c r="DS374" s="8">
        <v>21719.873759972692</v>
      </c>
      <c r="DT374" s="5">
        <v>1085.9936879986346</v>
      </c>
      <c r="DW374" s="5">
        <v>9390.5844937712463</v>
      </c>
      <c r="DX374" s="5">
        <v>2805</v>
      </c>
    </row>
    <row r="375" spans="1:128" x14ac:dyDescent="0.3">
      <c r="A375" s="325">
        <v>150000901</v>
      </c>
      <c r="B375" s="41" t="s">
        <v>821</v>
      </c>
      <c r="C375" s="42" t="s">
        <v>425</v>
      </c>
      <c r="D375" s="42" t="s">
        <v>425</v>
      </c>
      <c r="E375" s="293">
        <v>9955.2999999999993</v>
      </c>
      <c r="F375" s="652">
        <v>8350.2999999999993</v>
      </c>
      <c r="G375" s="51">
        <v>0</v>
      </c>
      <c r="H375" s="651">
        <v>1605</v>
      </c>
      <c r="I375" s="73">
        <v>4936.6860521487915</v>
      </c>
      <c r="J375" s="40">
        <v>5558.9041801187968</v>
      </c>
      <c r="K375" s="52">
        <v>622.2181279700053</v>
      </c>
      <c r="L375" s="73">
        <v>929.36195113439453</v>
      </c>
      <c r="M375" s="40">
        <v>1047.0368145563357</v>
      </c>
      <c r="N375" s="52">
        <v>117.67486342194115</v>
      </c>
      <c r="O375" s="73">
        <v>1557.5617058163334</v>
      </c>
      <c r="P375" s="40">
        <v>1557.6833333333334</v>
      </c>
      <c r="Q375" s="52">
        <v>0.12162751699997898</v>
      </c>
      <c r="R375" s="73">
        <v>384.22309100221332</v>
      </c>
      <c r="S375" s="40">
        <v>383.63333333333338</v>
      </c>
      <c r="T375" s="52">
        <v>-0.58975766887994041</v>
      </c>
      <c r="U375" s="73">
        <v>184.90283655678164</v>
      </c>
      <c r="V375" s="40">
        <v>385.50814510993638</v>
      </c>
      <c r="W375" s="52">
        <v>200.60530855315474</v>
      </c>
      <c r="X375" s="73">
        <v>1642.7128709779615</v>
      </c>
      <c r="Y375" s="40">
        <v>2284.8414031554921</v>
      </c>
      <c r="Z375" s="52">
        <v>642.12853217753059</v>
      </c>
      <c r="AA375" s="73">
        <v>793.72799999999995</v>
      </c>
      <c r="AB375" s="40">
        <v>0</v>
      </c>
      <c r="AC375" s="52">
        <v>-793.72799999999995</v>
      </c>
      <c r="AD375" s="73">
        <v>7085.3326997262266</v>
      </c>
      <c r="AE375" s="40">
        <v>8972.7630929081752</v>
      </c>
      <c r="AF375" s="35">
        <v>1887.4303931819486</v>
      </c>
      <c r="AG375" s="77">
        <v>17514.509207362702</v>
      </c>
      <c r="AH375" s="53">
        <v>20190.370302515403</v>
      </c>
      <c r="AI375" s="52">
        <v>2675.8610951527007</v>
      </c>
      <c r="AJ375" s="73">
        <v>11044.48</v>
      </c>
      <c r="AK375" s="40">
        <v>10877.870095686347</v>
      </c>
      <c r="AL375" s="52">
        <v>-166.60990431365281</v>
      </c>
      <c r="AM375" s="73">
        <v>0</v>
      </c>
      <c r="AN375" s="40">
        <v>0</v>
      </c>
      <c r="AO375" s="52">
        <v>0</v>
      </c>
      <c r="AP375" s="73">
        <v>832.05649999999991</v>
      </c>
      <c r="AQ375" s="40">
        <v>0</v>
      </c>
      <c r="AR375" s="52">
        <v>-832.05649999999991</v>
      </c>
      <c r="AS375" s="73">
        <v>10118.111703280647</v>
      </c>
      <c r="AT375" s="40">
        <v>121</v>
      </c>
      <c r="AU375" s="54">
        <v>-9997.1117032806469</v>
      </c>
      <c r="AV375" s="73">
        <v>2280.8292779758481</v>
      </c>
      <c r="AW375" s="40">
        <v>4335</v>
      </c>
      <c r="AX375" s="55">
        <v>2054.1707220241519</v>
      </c>
      <c r="AY375" s="73">
        <v>2597.5682057858985</v>
      </c>
      <c r="AZ375" s="40">
        <v>0</v>
      </c>
      <c r="BA375" s="35">
        <v>-2597.5682057858985</v>
      </c>
      <c r="BB375" s="73">
        <v>777.81123728560601</v>
      </c>
      <c r="BC375" s="40">
        <v>2296</v>
      </c>
      <c r="BD375" s="55">
        <v>1518.188762714394</v>
      </c>
      <c r="BE375" s="73">
        <v>2006.9866738549558</v>
      </c>
      <c r="BF375" s="40">
        <v>0</v>
      </c>
      <c r="BG375" s="38">
        <v>-2006.9866738549558</v>
      </c>
      <c r="BH375" s="73">
        <v>892.87350277664598</v>
      </c>
      <c r="BI375" s="40">
        <v>16.5</v>
      </c>
      <c r="BJ375" s="55">
        <v>-876.37350277664598</v>
      </c>
      <c r="BK375" s="73">
        <v>1176.8091883259917</v>
      </c>
      <c r="BL375" s="40">
        <v>0</v>
      </c>
      <c r="BM375" s="38">
        <v>-1176.8091883259917</v>
      </c>
      <c r="BN375" s="73">
        <v>198.43199999999999</v>
      </c>
      <c r="BO375" s="40">
        <v>0</v>
      </c>
      <c r="BP375" s="55">
        <v>-198.43199999999999</v>
      </c>
      <c r="BQ375" s="77">
        <v>9931.3100860049453</v>
      </c>
      <c r="BR375" s="40">
        <v>6647.5</v>
      </c>
      <c r="BS375" s="55">
        <v>-3283.8100860049453</v>
      </c>
      <c r="BT375" s="73">
        <v>11381.434477749681</v>
      </c>
      <c r="BU375" s="40">
        <v>2368.5857478708908</v>
      </c>
      <c r="BV375" s="52">
        <v>-9012.8487298787895</v>
      </c>
      <c r="BW375" s="73">
        <v>9229.5967845154591</v>
      </c>
      <c r="BX375" s="40">
        <v>10134.075856604984</v>
      </c>
      <c r="BY375" s="52">
        <v>904.47907208952529</v>
      </c>
      <c r="BZ375" s="73">
        <v>1634.787468651504</v>
      </c>
      <c r="CA375" s="40">
        <v>14411.371386718221</v>
      </c>
      <c r="CB375" s="52">
        <v>12776.583918066717</v>
      </c>
      <c r="CC375" s="73">
        <v>332.09813241000001</v>
      </c>
      <c r="CD375" s="40">
        <v>394.64624364660506</v>
      </c>
      <c r="CE375" s="52">
        <v>62.548111236605052</v>
      </c>
      <c r="CF375" s="73">
        <v>37.161156120000001</v>
      </c>
      <c r="CG375" s="40">
        <v>0</v>
      </c>
      <c r="CH375" s="52">
        <v>-37.161156120000001</v>
      </c>
      <c r="CI375" s="73">
        <v>3855.94</v>
      </c>
      <c r="CJ375" s="40">
        <v>2992.6341958359872</v>
      </c>
      <c r="CK375" s="52">
        <v>-863.3058041640129</v>
      </c>
      <c r="CL375" s="73">
        <v>2666.1404000000002</v>
      </c>
      <c r="CM375" s="40">
        <v>2981.9101427718351</v>
      </c>
      <c r="CN375" s="52">
        <v>315.7697427718349</v>
      </c>
      <c r="CO375" s="39">
        <v>6522.0804000000007</v>
      </c>
      <c r="CP375" s="40">
        <v>5974.5443386078223</v>
      </c>
      <c r="CQ375" s="52">
        <v>-547.53606139217845</v>
      </c>
      <c r="CR375" s="72">
        <v>78577.625916094927</v>
      </c>
      <c r="CS375" s="5">
        <v>71119.963971650272</v>
      </c>
      <c r="CT375" s="52">
        <v>-7457.6619444446551</v>
      </c>
      <c r="CU375" s="77">
        <v>94293.151099313909</v>
      </c>
      <c r="CV375" s="65">
        <v>85343.956765980329</v>
      </c>
      <c r="CW375" s="35">
        <v>-8949.1943333335803</v>
      </c>
      <c r="CX375" s="73">
        <v>5264.6723945842623</v>
      </c>
      <c r="CY375" s="40">
        <v>14213.866727917848</v>
      </c>
      <c r="CZ375" s="52">
        <v>8949.1943333335857</v>
      </c>
      <c r="DA375" s="150">
        <v>181079.04676830783</v>
      </c>
      <c r="DB375" s="2">
        <v>3</v>
      </c>
      <c r="DC375" s="648">
        <v>112755.64</v>
      </c>
      <c r="DD375" s="648">
        <v>62726.460000000006</v>
      </c>
      <c r="DE375" s="649">
        <v>75924.276506101829</v>
      </c>
      <c r="DG375" s="321">
        <v>30307.749913706211</v>
      </c>
      <c r="DH375" s="5">
        <v>1194693.8819267782</v>
      </c>
      <c r="DI375" s="306">
        <v>4.3461515910248636</v>
      </c>
      <c r="DJ375" s="306">
        <v>5.2418090339482228</v>
      </c>
      <c r="DK375" s="306">
        <v>3.6497284209094358</v>
      </c>
      <c r="DL375" s="28">
        <v>43770.677976177838</v>
      </c>
      <c r="DM375" s="28">
        <v>5857.814115559645</v>
      </c>
      <c r="DN375" s="650">
        <v>43770.65</v>
      </c>
      <c r="DO375" s="94">
        <v>2.7976177836535498E-2</v>
      </c>
      <c r="DP375" s="28">
        <v>49628.492091737484</v>
      </c>
      <c r="DQ375" s="318">
        <v>124.58776459767978</v>
      </c>
      <c r="DS375" s="8">
        <v>47146.575549656955</v>
      </c>
      <c r="DT375" s="5">
        <v>2357.3287774828477</v>
      </c>
      <c r="DW375" s="5">
        <v>24059.30614714271</v>
      </c>
      <c r="DX375" s="5">
        <v>8122.2</v>
      </c>
    </row>
    <row r="376" spans="1:128" x14ac:dyDescent="0.3">
      <c r="A376" s="325">
        <v>150000902</v>
      </c>
      <c r="B376" s="41" t="s">
        <v>822</v>
      </c>
      <c r="C376" s="42" t="s">
        <v>404</v>
      </c>
      <c r="D376" s="42" t="s">
        <v>404</v>
      </c>
      <c r="E376" s="293">
        <v>3581.3</v>
      </c>
      <c r="F376" s="652">
        <v>3581.3</v>
      </c>
      <c r="G376" s="51">
        <v>455.70000000000027</v>
      </c>
      <c r="H376" s="651">
        <v>0</v>
      </c>
      <c r="I376" s="73">
        <v>1567.7074492641673</v>
      </c>
      <c r="J376" s="40">
        <v>1767.3200572756632</v>
      </c>
      <c r="K376" s="52">
        <v>199.61260801149592</v>
      </c>
      <c r="L376" s="73">
        <v>423.18366654892799</v>
      </c>
      <c r="M376" s="40">
        <v>476.76656587696095</v>
      </c>
      <c r="N376" s="52">
        <v>53.582899328032966</v>
      </c>
      <c r="O376" s="73">
        <v>618.38930677868666</v>
      </c>
      <c r="P376" s="40">
        <v>618.36666666666667</v>
      </c>
      <c r="Q376" s="52">
        <v>-2.2640112019985281E-2</v>
      </c>
      <c r="R376" s="73">
        <v>152.52591373894336</v>
      </c>
      <c r="S376" s="40">
        <v>152.80000000000001</v>
      </c>
      <c r="T376" s="52">
        <v>0.27408626105665235</v>
      </c>
      <c r="U376" s="73">
        <v>86.533130947417462</v>
      </c>
      <c r="V376" s="40">
        <v>201.12870996724135</v>
      </c>
      <c r="W376" s="52">
        <v>114.59557901982389</v>
      </c>
      <c r="X376" s="73">
        <v>1040.2287370121992</v>
      </c>
      <c r="Y376" s="40">
        <v>1092.5507962515462</v>
      </c>
      <c r="Z376" s="52">
        <v>52.322059239347027</v>
      </c>
      <c r="AA376" s="73">
        <v>286.50400000000002</v>
      </c>
      <c r="AB376" s="40">
        <v>0</v>
      </c>
      <c r="AC376" s="52">
        <v>-286.50400000000002</v>
      </c>
      <c r="AD376" s="73">
        <v>2580.0219015608559</v>
      </c>
      <c r="AE376" s="40">
        <v>3227.8441096332663</v>
      </c>
      <c r="AF376" s="35">
        <v>647.82220807241038</v>
      </c>
      <c r="AG376" s="77">
        <v>6755.094105851198</v>
      </c>
      <c r="AH376" s="53">
        <v>7536.776905671345</v>
      </c>
      <c r="AI376" s="52">
        <v>781.68279982014701</v>
      </c>
      <c r="AJ376" s="73">
        <v>4586.82</v>
      </c>
      <c r="AK376" s="40">
        <v>4517.6389174012838</v>
      </c>
      <c r="AL376" s="52">
        <v>-69.181082598715875</v>
      </c>
      <c r="AM376" s="73">
        <v>210.14988500000001</v>
      </c>
      <c r="AN376" s="40">
        <v>0</v>
      </c>
      <c r="AO376" s="52">
        <v>-210.14988500000001</v>
      </c>
      <c r="AP376" s="73">
        <v>403.42133333333334</v>
      </c>
      <c r="AQ376" s="40">
        <v>2379.5149846447102</v>
      </c>
      <c r="AR376" s="52">
        <v>1976.093651311377</v>
      </c>
      <c r="AS376" s="73">
        <v>4408.9089269281649</v>
      </c>
      <c r="AT376" s="40">
        <v>0</v>
      </c>
      <c r="AU376" s="54">
        <v>-4408.9089269281649</v>
      </c>
      <c r="AV376" s="73">
        <v>686.19716524556702</v>
      </c>
      <c r="AW376" s="40">
        <v>0</v>
      </c>
      <c r="AX376" s="55">
        <v>-686.19716524556702</v>
      </c>
      <c r="AY376" s="73">
        <v>1183.9465257286281</v>
      </c>
      <c r="AZ376" s="40">
        <v>0</v>
      </c>
      <c r="BA376" s="35">
        <v>-1183.9465257286281</v>
      </c>
      <c r="BB376" s="73">
        <v>314.14782656390003</v>
      </c>
      <c r="BC376" s="40">
        <v>0</v>
      </c>
      <c r="BD376" s="55">
        <v>-314.14782656390003</v>
      </c>
      <c r="BE376" s="73">
        <v>790.65998291821404</v>
      </c>
      <c r="BF376" s="40">
        <v>0</v>
      </c>
      <c r="BG376" s="38">
        <v>-790.65998291821404</v>
      </c>
      <c r="BH376" s="73">
        <v>417.92545115516577</v>
      </c>
      <c r="BI376" s="40">
        <v>22</v>
      </c>
      <c r="BJ376" s="55">
        <v>-395.92545115516577</v>
      </c>
      <c r="BK376" s="73">
        <v>743.66269680751566</v>
      </c>
      <c r="BL376" s="40">
        <v>0</v>
      </c>
      <c r="BM376" s="38">
        <v>-743.66269680751566</v>
      </c>
      <c r="BN376" s="73">
        <v>71.626000000000005</v>
      </c>
      <c r="BO376" s="40">
        <v>0</v>
      </c>
      <c r="BP376" s="55">
        <v>-71.626000000000005</v>
      </c>
      <c r="BQ376" s="77">
        <v>4208.1656484189907</v>
      </c>
      <c r="BR376" s="40">
        <v>22</v>
      </c>
      <c r="BS376" s="55">
        <v>-4186.1656484189907</v>
      </c>
      <c r="BT376" s="73">
        <v>4856.18614605332</v>
      </c>
      <c r="BU376" s="40">
        <v>533.82129419410774</v>
      </c>
      <c r="BV376" s="52">
        <v>-4322.3648518592126</v>
      </c>
      <c r="BW376" s="73">
        <v>4151.0719673064796</v>
      </c>
      <c r="BX376" s="40">
        <v>3105.1700330570093</v>
      </c>
      <c r="BY376" s="52">
        <v>-1045.9019342494703</v>
      </c>
      <c r="BZ376" s="73">
        <v>1808.6754321207759</v>
      </c>
      <c r="CA376" s="40">
        <v>5969.8616511250721</v>
      </c>
      <c r="CB376" s="52">
        <v>4161.1862190042957</v>
      </c>
      <c r="CC376" s="73">
        <v>190.53617753500001</v>
      </c>
      <c r="CD376" s="40">
        <v>238.00233892610359</v>
      </c>
      <c r="CE376" s="52">
        <v>47.466161391103583</v>
      </c>
      <c r="CF376" s="73">
        <v>22.41106362</v>
      </c>
      <c r="CG376" s="40">
        <v>0</v>
      </c>
      <c r="CH376" s="52">
        <v>-22.41106362</v>
      </c>
      <c r="CI376" s="73">
        <v>408.02</v>
      </c>
      <c r="CJ376" s="40">
        <v>953.81879833629205</v>
      </c>
      <c r="CK376" s="52">
        <v>545.79879833629207</v>
      </c>
      <c r="CL376" s="73">
        <v>2005.8345999999999</v>
      </c>
      <c r="CM376" s="40">
        <v>1209.9444117661187</v>
      </c>
      <c r="CN376" s="52">
        <v>-795.89018823388119</v>
      </c>
      <c r="CO376" s="39">
        <v>2413.8545999999997</v>
      </c>
      <c r="CP376" s="40">
        <v>2163.763210102411</v>
      </c>
      <c r="CQ376" s="52">
        <v>-250.09138989758867</v>
      </c>
      <c r="CR376" s="72">
        <v>34015.295286167267</v>
      </c>
      <c r="CS376" s="5">
        <v>26466.549335122039</v>
      </c>
      <c r="CT376" s="52">
        <v>-7548.7459510452281</v>
      </c>
      <c r="CU376" s="77">
        <v>40818.354343400722</v>
      </c>
      <c r="CV376" s="65">
        <v>31759.859202146446</v>
      </c>
      <c r="CW376" s="35">
        <v>-9058.4951412542759</v>
      </c>
      <c r="CX376" s="73">
        <v>2279.0124287788703</v>
      </c>
      <c r="CY376" s="40">
        <v>11337.507570033147</v>
      </c>
      <c r="CZ376" s="52">
        <v>9058.4951412542759</v>
      </c>
      <c r="DA376" s="150">
        <v>-28701.247732632313</v>
      </c>
      <c r="DB376" s="2">
        <v>3</v>
      </c>
      <c r="DC376" s="648">
        <v>46240.55</v>
      </c>
      <c r="DD376" s="648"/>
      <c r="DE376" s="649">
        <v>3143.1832278204092</v>
      </c>
      <c r="DG376" s="321">
        <v>175602.45510154823</v>
      </c>
      <c r="DH376" s="5">
        <v>517168.40126615512</v>
      </c>
      <c r="DI376" s="306">
        <v>4.9230649777274662</v>
      </c>
      <c r="DJ376" s="306">
        <v>6.1384047758862197</v>
      </c>
      <c r="DK376" s="306"/>
      <c r="DL376" s="28">
        <v>21429.638677860377</v>
      </c>
      <c r="DM376" s="28">
        <v>0</v>
      </c>
      <c r="DN376" s="650">
        <v>21429.61</v>
      </c>
      <c r="DO376" s="94">
        <v>2.8677860376774333E-2</v>
      </c>
      <c r="DP376" s="28">
        <v>21429.638677860377</v>
      </c>
      <c r="DQ376" s="318">
        <v>2.6475749982637353E-3</v>
      </c>
      <c r="DS376" s="8">
        <v>20409.177171700361</v>
      </c>
      <c r="DT376" s="5">
        <v>1020.4588585850181</v>
      </c>
      <c r="DW376" s="5">
        <v>10340.489490416587</v>
      </c>
      <c r="DX376" s="5">
        <v>26.4</v>
      </c>
    </row>
    <row r="377" spans="1:128" x14ac:dyDescent="0.3">
      <c r="A377" s="325">
        <v>150000903</v>
      </c>
      <c r="B377" s="41" t="s">
        <v>823</v>
      </c>
      <c r="C377" s="42" t="s">
        <v>405</v>
      </c>
      <c r="D377" s="42" t="s">
        <v>405</v>
      </c>
      <c r="E377" s="293">
        <v>4073.8</v>
      </c>
      <c r="F377" s="652">
        <v>4073.8</v>
      </c>
      <c r="G377" s="51">
        <v>500.70000000000027</v>
      </c>
      <c r="H377" s="651">
        <v>0</v>
      </c>
      <c r="I377" s="73">
        <v>1577.3894421309406</v>
      </c>
      <c r="J377" s="40">
        <v>1782.1850784962601</v>
      </c>
      <c r="K377" s="52">
        <v>204.79563636531952</v>
      </c>
      <c r="L377" s="73">
        <v>242.28829427993384</v>
      </c>
      <c r="M377" s="40">
        <v>272.96650346482869</v>
      </c>
      <c r="N377" s="52">
        <v>30.678209184894854</v>
      </c>
      <c r="O377" s="73">
        <v>711.83598717203347</v>
      </c>
      <c r="P377" s="40">
        <v>712.15000000000009</v>
      </c>
      <c r="Q377" s="52">
        <v>0.31401282796662144</v>
      </c>
      <c r="R377" s="73">
        <v>183.82790508627332</v>
      </c>
      <c r="S377" s="40">
        <v>183.98333333333335</v>
      </c>
      <c r="T377" s="52">
        <v>0.15542824706002989</v>
      </c>
      <c r="U377" s="73">
        <v>86.533130947417462</v>
      </c>
      <c r="V377" s="40">
        <v>201.12870996724135</v>
      </c>
      <c r="W377" s="52">
        <v>114.59557901982389</v>
      </c>
      <c r="X377" s="73">
        <v>1047.8150334080201</v>
      </c>
      <c r="Y377" s="40">
        <v>1295.4049409457589</v>
      </c>
      <c r="Z377" s="52">
        <v>247.58990753773878</v>
      </c>
      <c r="AA377" s="73">
        <v>325.86400000000003</v>
      </c>
      <c r="AB377" s="40">
        <v>0</v>
      </c>
      <c r="AC377" s="52">
        <v>-325.86400000000003</v>
      </c>
      <c r="AD377" s="73">
        <v>2934.4778695553359</v>
      </c>
      <c r="AE377" s="40">
        <v>3671.736892699299</v>
      </c>
      <c r="AF377" s="35">
        <v>737.25902314396308</v>
      </c>
      <c r="AG377" s="77">
        <v>7110.0316625799551</v>
      </c>
      <c r="AH377" s="53">
        <v>8119.5554589067215</v>
      </c>
      <c r="AI377" s="52">
        <v>1009.5237963267664</v>
      </c>
      <c r="AJ377" s="73">
        <v>5521.72</v>
      </c>
      <c r="AK377" s="40">
        <v>5438.4201185626225</v>
      </c>
      <c r="AL377" s="52">
        <v>-83.299881437377735</v>
      </c>
      <c r="AM377" s="73">
        <v>0</v>
      </c>
      <c r="AN377" s="40">
        <v>0</v>
      </c>
      <c r="AO377" s="52">
        <v>0</v>
      </c>
      <c r="AP377" s="73">
        <v>403.42133333333334</v>
      </c>
      <c r="AQ377" s="40">
        <v>2379.5149846447102</v>
      </c>
      <c r="AR377" s="52">
        <v>1976.093651311377</v>
      </c>
      <c r="AS377" s="73">
        <v>5260.1272961135264</v>
      </c>
      <c r="AT377" s="40">
        <v>513</v>
      </c>
      <c r="AU377" s="54">
        <v>-4747.1272961135264</v>
      </c>
      <c r="AV377" s="73">
        <v>693.36047309467006</v>
      </c>
      <c r="AW377" s="40">
        <v>0</v>
      </c>
      <c r="AX377" s="55">
        <v>-693.36047309467006</v>
      </c>
      <c r="AY377" s="73">
        <v>683.22281570985376</v>
      </c>
      <c r="AZ377" s="40">
        <v>0</v>
      </c>
      <c r="BA377" s="35">
        <v>-683.22281570985376</v>
      </c>
      <c r="BB377" s="73">
        <v>354.50224509075338</v>
      </c>
      <c r="BC377" s="40">
        <v>0</v>
      </c>
      <c r="BD377" s="55">
        <v>-354.50224509075338</v>
      </c>
      <c r="BE377" s="73">
        <v>965.94564503723404</v>
      </c>
      <c r="BF377" s="40">
        <v>0</v>
      </c>
      <c r="BG377" s="38">
        <v>-965.94564503723404</v>
      </c>
      <c r="BH377" s="73">
        <v>417.92545115516577</v>
      </c>
      <c r="BI377" s="40">
        <v>16.5</v>
      </c>
      <c r="BJ377" s="55">
        <v>-401.42545115516577</v>
      </c>
      <c r="BK377" s="73">
        <v>711.48404031559119</v>
      </c>
      <c r="BL377" s="40">
        <v>0</v>
      </c>
      <c r="BM377" s="38">
        <v>-711.48404031559119</v>
      </c>
      <c r="BN377" s="73">
        <v>81.466000000000008</v>
      </c>
      <c r="BO377" s="40">
        <v>0</v>
      </c>
      <c r="BP377" s="55">
        <v>-81.466000000000008</v>
      </c>
      <c r="BQ377" s="77">
        <v>3907.9066704032684</v>
      </c>
      <c r="BR377" s="40">
        <v>16.5</v>
      </c>
      <c r="BS377" s="55">
        <v>-3891.4066704032684</v>
      </c>
      <c r="BT377" s="73">
        <v>6586.9949085049602</v>
      </c>
      <c r="BU377" s="40">
        <v>1129.8853237265237</v>
      </c>
      <c r="BV377" s="52">
        <v>-5457.1095847784363</v>
      </c>
      <c r="BW377" s="73">
        <v>4021.31275666376</v>
      </c>
      <c r="BX377" s="40">
        <v>3711.5127723400819</v>
      </c>
      <c r="BY377" s="52">
        <v>-309.79998432367802</v>
      </c>
      <c r="BZ377" s="73">
        <v>1906.5117514385299</v>
      </c>
      <c r="CA377" s="40">
        <v>8601.3741373626362</v>
      </c>
      <c r="CB377" s="52">
        <v>6694.8623859241061</v>
      </c>
      <c r="CC377" s="73">
        <v>222.27951121749999</v>
      </c>
      <c r="CD377" s="40">
        <v>278.05498041002261</v>
      </c>
      <c r="CE377" s="52">
        <v>55.775469192522621</v>
      </c>
      <c r="CF377" s="73">
        <v>26.18254881</v>
      </c>
      <c r="CG377" s="40">
        <v>0</v>
      </c>
      <c r="CH377" s="52">
        <v>-26.18254881</v>
      </c>
      <c r="CI377" s="73">
        <v>1111.94</v>
      </c>
      <c r="CJ377" s="40">
        <v>1294.4412411181222</v>
      </c>
      <c r="CK377" s="52">
        <v>182.50124111812215</v>
      </c>
      <c r="CL377" s="73">
        <v>1308.153</v>
      </c>
      <c r="CM377" s="40">
        <v>1579.5180876814004</v>
      </c>
      <c r="CN377" s="52">
        <v>271.36508768140038</v>
      </c>
      <c r="CO377" s="39">
        <v>2420.0929999999998</v>
      </c>
      <c r="CP377" s="40">
        <v>2873.9593287995226</v>
      </c>
      <c r="CQ377" s="52">
        <v>453.86632879952276</v>
      </c>
      <c r="CR377" s="72">
        <v>37386.581439064837</v>
      </c>
      <c r="CS377" s="5">
        <v>33061.777104752837</v>
      </c>
      <c r="CT377" s="52">
        <v>-4324.8043343120007</v>
      </c>
      <c r="CU377" s="77">
        <v>44863.897726877804</v>
      </c>
      <c r="CV377" s="65">
        <v>39674.132525703404</v>
      </c>
      <c r="CW377" s="35">
        <v>-5189.7652011743994</v>
      </c>
      <c r="CX377" s="73">
        <v>2504.8873764688915</v>
      </c>
      <c r="CY377" s="40">
        <v>7694.65257764329</v>
      </c>
      <c r="CZ377" s="52">
        <v>5189.7652011743985</v>
      </c>
      <c r="DA377" s="150">
        <v>-17611.968001657795</v>
      </c>
      <c r="DB377" s="2">
        <v>3</v>
      </c>
      <c r="DC377" s="648">
        <v>33093.980000000003</v>
      </c>
      <c r="DD377" s="648"/>
      <c r="DE377" s="649">
        <v>-14274.805103346691</v>
      </c>
      <c r="DG377" s="321">
        <v>42027.180929808004</v>
      </c>
      <c r="DH377" s="5">
        <v>568425.42124016036</v>
      </c>
      <c r="DI377" s="306">
        <v>4.8684182153563063</v>
      </c>
      <c r="DJ377" s="306">
        <v>5.9105226003700215</v>
      </c>
      <c r="DK377" s="306"/>
      <c r="DL377" s="28">
        <v>23556.505303811027</v>
      </c>
      <c r="DM377" s="28">
        <v>0</v>
      </c>
      <c r="DN377" s="650">
        <v>23556.35</v>
      </c>
      <c r="DO377" s="94">
        <v>0.15530381102871615</v>
      </c>
      <c r="DP377" s="28">
        <v>23556.505303811027</v>
      </c>
      <c r="DQ377" s="318">
        <v>2.9589972001813294</v>
      </c>
      <c r="DS377" s="8">
        <v>22431.948863438902</v>
      </c>
      <c r="DT377" s="5">
        <v>1121.5974431719451</v>
      </c>
      <c r="DW377" s="5">
        <v>11001.640759820155</v>
      </c>
      <c r="DX377" s="5">
        <v>635.4</v>
      </c>
    </row>
    <row r="378" spans="1:128" x14ac:dyDescent="0.3">
      <c r="A378" s="325">
        <v>150000904</v>
      </c>
      <c r="B378" s="41" t="s">
        <v>824</v>
      </c>
      <c r="C378" s="42" t="s">
        <v>406</v>
      </c>
      <c r="D378" s="42" t="s">
        <v>406</v>
      </c>
      <c r="E378" s="293">
        <v>4387.3</v>
      </c>
      <c r="F378" s="652">
        <v>4387.3</v>
      </c>
      <c r="G378" s="51">
        <v>446.30000000000018</v>
      </c>
      <c r="H378" s="651">
        <v>0</v>
      </c>
      <c r="I378" s="73">
        <v>2357.0277243749224</v>
      </c>
      <c r="J378" s="40">
        <v>2651.2197989084375</v>
      </c>
      <c r="K378" s="52">
        <v>294.1920745335151</v>
      </c>
      <c r="L378" s="73">
        <v>428.67049964361422</v>
      </c>
      <c r="M378" s="40">
        <v>482.94822528138911</v>
      </c>
      <c r="N378" s="52">
        <v>54.277725637774893</v>
      </c>
      <c r="O378" s="73">
        <v>757.06500896290663</v>
      </c>
      <c r="P378" s="40">
        <v>756.81666666666661</v>
      </c>
      <c r="Q378" s="52">
        <v>-0.24834229624002546</v>
      </c>
      <c r="R378" s="73">
        <v>182.50575688779665</v>
      </c>
      <c r="S378" s="40">
        <v>182.8</v>
      </c>
      <c r="T378" s="52">
        <v>0.29424311220336108</v>
      </c>
      <c r="U378" s="73">
        <v>86.533130947417462</v>
      </c>
      <c r="V378" s="40">
        <v>201.12870996724135</v>
      </c>
      <c r="W378" s="52">
        <v>114.59557901982389</v>
      </c>
      <c r="X378" s="73">
        <v>695.51899153061208</v>
      </c>
      <c r="Y378" s="40">
        <v>739.31735137720261</v>
      </c>
      <c r="Z378" s="52">
        <v>43.798359846590529</v>
      </c>
      <c r="AA378" s="73">
        <v>350.98400000000004</v>
      </c>
      <c r="AB378" s="40">
        <v>0</v>
      </c>
      <c r="AC378" s="52">
        <v>-350.98400000000004</v>
      </c>
      <c r="AD378" s="73">
        <v>3160.7100011816756</v>
      </c>
      <c r="AE378" s="40">
        <v>3954.2960551179817</v>
      </c>
      <c r="AF378" s="35">
        <v>793.58605393630614</v>
      </c>
      <c r="AG378" s="77">
        <v>8019.0151135289452</v>
      </c>
      <c r="AH378" s="53">
        <v>8968.52680731892</v>
      </c>
      <c r="AI378" s="52">
        <v>949.51169378997474</v>
      </c>
      <c r="AJ378" s="73">
        <v>3630.02</v>
      </c>
      <c r="AK378" s="40">
        <v>3575.2525983411042</v>
      </c>
      <c r="AL378" s="52">
        <v>-54.767401658895778</v>
      </c>
      <c r="AM378" s="73">
        <v>0</v>
      </c>
      <c r="AN378" s="40">
        <v>206.94522013844158</v>
      </c>
      <c r="AO378" s="52">
        <v>206.94522013844158</v>
      </c>
      <c r="AP378" s="73">
        <v>472.75937499999998</v>
      </c>
      <c r="AQ378" s="40">
        <v>0</v>
      </c>
      <c r="AR378" s="52">
        <v>-472.75937499999998</v>
      </c>
      <c r="AS378" s="73">
        <v>6031.707133462568</v>
      </c>
      <c r="AT378" s="40">
        <v>0</v>
      </c>
      <c r="AU378" s="54">
        <v>-6031.707133462568</v>
      </c>
      <c r="AV378" s="73">
        <v>1002.5643122404397</v>
      </c>
      <c r="AW378" s="40">
        <v>0</v>
      </c>
      <c r="AX378" s="55">
        <v>-1002.5643122404397</v>
      </c>
      <c r="AY378" s="73">
        <v>1199.1397858009848</v>
      </c>
      <c r="AZ378" s="40">
        <v>0</v>
      </c>
      <c r="BA378" s="35">
        <v>-1199.1397858009848</v>
      </c>
      <c r="BB378" s="73">
        <v>400.52825377158001</v>
      </c>
      <c r="BC378" s="40">
        <v>403</v>
      </c>
      <c r="BD378" s="55">
        <v>2.4717462284199883</v>
      </c>
      <c r="BE378" s="73">
        <v>967.42328022684001</v>
      </c>
      <c r="BF378" s="40">
        <v>0</v>
      </c>
      <c r="BG378" s="38">
        <v>-967.42328022684001</v>
      </c>
      <c r="BH378" s="73">
        <v>417.92545115516577</v>
      </c>
      <c r="BI378" s="40">
        <v>0</v>
      </c>
      <c r="BJ378" s="55">
        <v>-417.92545115516577</v>
      </c>
      <c r="BK378" s="73">
        <v>502.63479506757159</v>
      </c>
      <c r="BL378" s="40">
        <v>0</v>
      </c>
      <c r="BM378" s="38">
        <v>-502.63479506757159</v>
      </c>
      <c r="BN378" s="73">
        <v>87.746000000000009</v>
      </c>
      <c r="BO378" s="40">
        <v>0</v>
      </c>
      <c r="BP378" s="55">
        <v>-87.746000000000009</v>
      </c>
      <c r="BQ378" s="77">
        <v>4577.9618782625812</v>
      </c>
      <c r="BR378" s="40">
        <v>403</v>
      </c>
      <c r="BS378" s="55">
        <v>-4174.9618782625812</v>
      </c>
      <c r="BT378" s="73">
        <v>5643.8651043623804</v>
      </c>
      <c r="BU378" s="40">
        <v>1366.2878880562926</v>
      </c>
      <c r="BV378" s="52">
        <v>-4277.5772163060883</v>
      </c>
      <c r="BW378" s="73">
        <v>3736.89137223024</v>
      </c>
      <c r="BX378" s="40">
        <v>4139.2645752922836</v>
      </c>
      <c r="BY378" s="52">
        <v>402.37320306204356</v>
      </c>
      <c r="BZ378" s="73">
        <v>1661.0963620092259</v>
      </c>
      <c r="CA378" s="40">
        <v>8331.0207303514053</v>
      </c>
      <c r="CB378" s="52">
        <v>6669.9243683421792</v>
      </c>
      <c r="CC378" s="73">
        <v>210.49071670000001</v>
      </c>
      <c r="CD378" s="40">
        <v>260.26987245867952</v>
      </c>
      <c r="CE378" s="52">
        <v>49.779155758679508</v>
      </c>
      <c r="CF378" s="73">
        <v>24.507846000000001</v>
      </c>
      <c r="CG378" s="40">
        <v>0</v>
      </c>
      <c r="CH378" s="52">
        <v>-24.507846000000001</v>
      </c>
      <c r="CI378" s="73">
        <v>1305.04</v>
      </c>
      <c r="CJ378" s="40">
        <v>1135.0737480483049</v>
      </c>
      <c r="CK378" s="52">
        <v>-169.96625195169509</v>
      </c>
      <c r="CL378" s="73">
        <v>1551.0957000000001</v>
      </c>
      <c r="CM378" s="40">
        <v>1119.7306586440268</v>
      </c>
      <c r="CN378" s="52">
        <v>-431.36504135597329</v>
      </c>
      <c r="CO378" s="39">
        <v>2856.1356999999998</v>
      </c>
      <c r="CP378" s="40">
        <v>2254.8044066923317</v>
      </c>
      <c r="CQ378" s="52">
        <v>-601.33129330766815</v>
      </c>
      <c r="CR378" s="72">
        <v>36864.450601555931</v>
      </c>
      <c r="CS378" s="5">
        <v>29505.372098649459</v>
      </c>
      <c r="CT378" s="52">
        <v>-7359.0785029064718</v>
      </c>
      <c r="CU378" s="77">
        <v>44237.340721867113</v>
      </c>
      <c r="CV378" s="65">
        <v>35406.446518379351</v>
      </c>
      <c r="CW378" s="35">
        <v>-8830.8942034877618</v>
      </c>
      <c r="CX378" s="73">
        <v>2469.904800009665</v>
      </c>
      <c r="CY378" s="40">
        <v>11300.799003497428</v>
      </c>
      <c r="CZ378" s="52">
        <v>8830.8942034877637</v>
      </c>
      <c r="DA378" s="150">
        <v>113546.62467204238</v>
      </c>
      <c r="DB378" s="2">
        <v>3</v>
      </c>
      <c r="DC378" s="648">
        <v>38521.71</v>
      </c>
      <c r="DD378" s="648"/>
      <c r="DE378" s="649">
        <v>-8185.53552187678</v>
      </c>
      <c r="DG378" s="321">
        <v>-66997.143920662042</v>
      </c>
      <c r="DH378" s="5">
        <v>560486.94626252132</v>
      </c>
      <c r="DI378" s="306">
        <v>4.399031383306415</v>
      </c>
      <c r="DJ378" s="306">
        <v>5.3949017975604114</v>
      </c>
      <c r="DK378" s="306"/>
      <c r="DL378" s="28">
        <v>23224.595690555234</v>
      </c>
      <c r="DM378" s="28">
        <v>0</v>
      </c>
      <c r="DN378" s="650">
        <v>23224.55</v>
      </c>
      <c r="DO378" s="94">
        <v>4.5690555234614294E-2</v>
      </c>
      <c r="DP378" s="28">
        <v>23224.595690555234</v>
      </c>
      <c r="DQ378" s="318">
        <v>-8.188424999389099E-3</v>
      </c>
      <c r="DS378" s="8">
        <v>22118.670360933556</v>
      </c>
      <c r="DT378" s="5">
        <v>1105.9335180466778</v>
      </c>
      <c r="DW378" s="5">
        <v>12731.602814070178</v>
      </c>
      <c r="DX378" s="5">
        <v>483.59999999999997</v>
      </c>
    </row>
    <row r="379" spans="1:128" x14ac:dyDescent="0.3">
      <c r="A379" s="325">
        <v>150000905</v>
      </c>
      <c r="B379" s="41" t="s">
        <v>825</v>
      </c>
      <c r="C379" s="42" t="s">
        <v>427</v>
      </c>
      <c r="D379" s="42" t="s">
        <v>427</v>
      </c>
      <c r="E379" s="293">
        <v>5222.9000000000005</v>
      </c>
      <c r="F379" s="652">
        <v>5047.1000000000004</v>
      </c>
      <c r="G379" s="51">
        <v>0</v>
      </c>
      <c r="H379" s="651">
        <v>175.8</v>
      </c>
      <c r="I379" s="73">
        <v>1666.3354042797971</v>
      </c>
      <c r="J379" s="40">
        <v>1893.0511098277461</v>
      </c>
      <c r="K379" s="52">
        <v>226.71570554794903</v>
      </c>
      <c r="L379" s="73">
        <v>310.50748878819263</v>
      </c>
      <c r="M379" s="40">
        <v>349.82351291043574</v>
      </c>
      <c r="N379" s="52">
        <v>39.316024122243107</v>
      </c>
      <c r="O379" s="73">
        <v>890.62159101022667</v>
      </c>
      <c r="P379" s="40">
        <v>890.5</v>
      </c>
      <c r="Q379" s="52">
        <v>-0.12159101022666619</v>
      </c>
      <c r="R379" s="73">
        <v>206.92741162777</v>
      </c>
      <c r="S379" s="40">
        <v>207.18333333333334</v>
      </c>
      <c r="T379" s="52">
        <v>0.25592170556333826</v>
      </c>
      <c r="U379" s="73">
        <v>88.520070045712927</v>
      </c>
      <c r="V379" s="40">
        <v>165.91719921272824</v>
      </c>
      <c r="W379" s="52">
        <v>77.397129167015308</v>
      </c>
      <c r="X379" s="73">
        <v>855.8266287778572</v>
      </c>
      <c r="Y379" s="40">
        <v>943.09433097701481</v>
      </c>
      <c r="Z379" s="52">
        <v>87.267702199157611</v>
      </c>
      <c r="AA379" s="73">
        <v>0</v>
      </c>
      <c r="AB379" s="40">
        <v>0</v>
      </c>
      <c r="AC379" s="52">
        <v>0</v>
      </c>
      <c r="AD379" s="73">
        <v>3755.7283692127403</v>
      </c>
      <c r="AE379" s="40">
        <v>4707.4266328438243</v>
      </c>
      <c r="AF379" s="35">
        <v>951.69826363108405</v>
      </c>
      <c r="AG379" s="77">
        <v>7774.4669637422976</v>
      </c>
      <c r="AH379" s="53">
        <v>9156.9961191050825</v>
      </c>
      <c r="AI379" s="52">
        <v>1382.5291553627849</v>
      </c>
      <c r="AJ379" s="73">
        <v>4992.7</v>
      </c>
      <c r="AK379" s="40">
        <v>4917.3993341826717</v>
      </c>
      <c r="AL379" s="52">
        <v>-75.300665817328081</v>
      </c>
      <c r="AM379" s="73">
        <v>0</v>
      </c>
      <c r="AN379" s="40">
        <v>0</v>
      </c>
      <c r="AO379" s="52">
        <v>0</v>
      </c>
      <c r="AP379" s="73">
        <v>422.33170833333332</v>
      </c>
      <c r="AQ379" s="40">
        <v>0</v>
      </c>
      <c r="AR379" s="52">
        <v>-422.33170833333332</v>
      </c>
      <c r="AS379" s="73">
        <v>5801.3813439851447</v>
      </c>
      <c r="AT379" s="40">
        <v>16087</v>
      </c>
      <c r="AU379" s="54">
        <v>10285.618656014856</v>
      </c>
      <c r="AV379" s="73">
        <v>813.30743654708226</v>
      </c>
      <c r="AW379" s="40">
        <v>0</v>
      </c>
      <c r="AX379" s="55">
        <v>-813.30743654708226</v>
      </c>
      <c r="AY379" s="73">
        <v>865.08632915757858</v>
      </c>
      <c r="AZ379" s="40">
        <v>0</v>
      </c>
      <c r="BA379" s="35">
        <v>-865.08632915757858</v>
      </c>
      <c r="BB379" s="73">
        <v>532.16966633576601</v>
      </c>
      <c r="BC379" s="40">
        <v>540</v>
      </c>
      <c r="BD379" s="55">
        <v>7.83033366423399</v>
      </c>
      <c r="BE379" s="73">
        <v>1096.8420267996601</v>
      </c>
      <c r="BF379" s="40">
        <v>0</v>
      </c>
      <c r="BG379" s="38">
        <v>-1096.8420267996601</v>
      </c>
      <c r="BH379" s="73">
        <v>427.41508166919743</v>
      </c>
      <c r="BI379" s="40">
        <v>0</v>
      </c>
      <c r="BJ379" s="55">
        <v>-427.41508166919743</v>
      </c>
      <c r="BK379" s="73">
        <v>610.80966368225438</v>
      </c>
      <c r="BL379" s="40">
        <v>0</v>
      </c>
      <c r="BM379" s="38">
        <v>-610.80966368225438</v>
      </c>
      <c r="BN379" s="73">
        <v>0</v>
      </c>
      <c r="BO379" s="40">
        <v>0</v>
      </c>
      <c r="BP379" s="55">
        <v>0</v>
      </c>
      <c r="BQ379" s="77">
        <v>4345.6302041915387</v>
      </c>
      <c r="BR379" s="40">
        <v>540</v>
      </c>
      <c r="BS379" s="55">
        <v>-3805.6302041915387</v>
      </c>
      <c r="BT379" s="73">
        <v>4457.5211509007804</v>
      </c>
      <c r="BU379" s="40">
        <v>1014.0783994976364</v>
      </c>
      <c r="BV379" s="52">
        <v>-3443.442751403144</v>
      </c>
      <c r="BW379" s="73">
        <v>5806.1082879980004</v>
      </c>
      <c r="BX379" s="40">
        <v>6489.4353507681881</v>
      </c>
      <c r="BY379" s="52">
        <v>683.32706277018769</v>
      </c>
      <c r="BZ379" s="73">
        <v>908.79226409195405</v>
      </c>
      <c r="CA379" s="40">
        <v>6239.6640044957121</v>
      </c>
      <c r="CB379" s="52">
        <v>5330.8717404037579</v>
      </c>
      <c r="CC379" s="73">
        <v>167.86862248750001</v>
      </c>
      <c r="CD379" s="40">
        <v>207.4929260990028</v>
      </c>
      <c r="CE379" s="52">
        <v>39.624303611502796</v>
      </c>
      <c r="CF379" s="73">
        <v>19.53819945</v>
      </c>
      <c r="CG379" s="40">
        <v>0</v>
      </c>
      <c r="CH379" s="52">
        <v>-19.53819945</v>
      </c>
      <c r="CI379" s="73">
        <v>4385.42</v>
      </c>
      <c r="CJ379" s="40">
        <v>2223.7740699812266</v>
      </c>
      <c r="CK379" s="52">
        <v>-2161.6459300187735</v>
      </c>
      <c r="CL379" s="73">
        <v>2223.8600999999999</v>
      </c>
      <c r="CM379" s="40">
        <v>1506.7987749173558</v>
      </c>
      <c r="CN379" s="52">
        <v>-717.06132508264409</v>
      </c>
      <c r="CO379" s="39">
        <v>6609.2800999999999</v>
      </c>
      <c r="CP379" s="40">
        <v>3730.5728448985824</v>
      </c>
      <c r="CQ379" s="52">
        <v>-2878.7072551014176</v>
      </c>
      <c r="CR379" s="72">
        <v>41305.61884518055</v>
      </c>
      <c r="CS379" s="5">
        <v>48382.638979046875</v>
      </c>
      <c r="CT379" s="52">
        <v>7077.0201338663246</v>
      </c>
      <c r="CU379" s="77">
        <v>49566.742614216659</v>
      </c>
      <c r="CV379" s="65">
        <v>58059.166774856247</v>
      </c>
      <c r="CW379" s="35">
        <v>8492.4241606395881</v>
      </c>
      <c r="CX379" s="73">
        <v>2767.4614591645409</v>
      </c>
      <c r="CY379" s="40">
        <v>-5724.962701475044</v>
      </c>
      <c r="CZ379" s="52">
        <v>-8492.4241606395844</v>
      </c>
      <c r="DA379" s="150">
        <v>-18471.459946153249</v>
      </c>
      <c r="DB379" s="2">
        <v>3</v>
      </c>
      <c r="DC379" s="648">
        <v>42033.14</v>
      </c>
      <c r="DD379" s="648">
        <v>926.58999999999992</v>
      </c>
      <c r="DE379" s="649">
        <v>-9374.4740733812068</v>
      </c>
      <c r="DG379" s="321">
        <v>102582.89116188695</v>
      </c>
      <c r="DH379" s="5">
        <v>628010.44888057443</v>
      </c>
      <c r="DI379" s="306">
        <v>4.1363067937628637</v>
      </c>
      <c r="DJ379" s="306">
        <v>5.0371099686008893</v>
      </c>
      <c r="DK379" s="306">
        <v>3.4115642244777811</v>
      </c>
      <c r="DL379" s="28">
        <v>25422.797722525549</v>
      </c>
      <c r="DM379" s="28">
        <v>599.75299066319394</v>
      </c>
      <c r="DN379" s="650">
        <v>25422.75</v>
      </c>
      <c r="DO379" s="94">
        <v>4.772252554903389E-2</v>
      </c>
      <c r="DP379" s="28">
        <v>26022.550713188743</v>
      </c>
      <c r="DQ379" s="318">
        <v>1.0840724997251527E-2</v>
      </c>
      <c r="DS379" s="8">
        <v>24783.371307108329</v>
      </c>
      <c r="DT379" s="5">
        <v>1239.1685653554166</v>
      </c>
      <c r="DW379" s="5">
        <v>12176.41385781202</v>
      </c>
      <c r="DX379" s="5">
        <v>19952.399999999998</v>
      </c>
    </row>
    <row r="380" spans="1:128" x14ac:dyDescent="0.3">
      <c r="A380" s="325">
        <v>150000906</v>
      </c>
      <c r="B380" s="41" t="s">
        <v>826</v>
      </c>
      <c r="C380" s="42" t="s">
        <v>407</v>
      </c>
      <c r="D380" s="42" t="s">
        <v>407</v>
      </c>
      <c r="E380" s="293">
        <v>3935.64</v>
      </c>
      <c r="F380" s="652">
        <v>3935.64</v>
      </c>
      <c r="G380" s="51">
        <v>436.59999999999991</v>
      </c>
      <c r="H380" s="651">
        <v>0</v>
      </c>
      <c r="I380" s="73">
        <v>1565.3125979255062</v>
      </c>
      <c r="J380" s="40">
        <v>1768.8769885749075</v>
      </c>
      <c r="K380" s="52">
        <v>203.56439064940128</v>
      </c>
      <c r="L380" s="73">
        <v>422.4919693876592</v>
      </c>
      <c r="M380" s="40">
        <v>475.98777414096992</v>
      </c>
      <c r="N380" s="52">
        <v>53.495804753310722</v>
      </c>
      <c r="O380" s="73">
        <v>670.19897270595322</v>
      </c>
      <c r="P380" s="40">
        <v>670.36666666666679</v>
      </c>
      <c r="Q380" s="52">
        <v>0.16769396071356368</v>
      </c>
      <c r="R380" s="73">
        <v>162.70941594562333</v>
      </c>
      <c r="S380" s="40">
        <v>162.66666666666666</v>
      </c>
      <c r="T380" s="52">
        <v>-4.2749278956677017E-2</v>
      </c>
      <c r="U380" s="73">
        <v>86.533130947417462</v>
      </c>
      <c r="V380" s="40">
        <v>201.11778199984644</v>
      </c>
      <c r="W380" s="52">
        <v>114.58465105242898</v>
      </c>
      <c r="X380" s="73">
        <v>1037.8935428619989</v>
      </c>
      <c r="Y380" s="40">
        <v>1089.0481992011735</v>
      </c>
      <c r="Z380" s="52">
        <v>51.154656339174608</v>
      </c>
      <c r="AA380" s="73">
        <v>314.85120000000001</v>
      </c>
      <c r="AB380" s="40">
        <v>0</v>
      </c>
      <c r="AC380" s="52">
        <v>-314.85120000000001</v>
      </c>
      <c r="AD380" s="73">
        <v>2835.3347514483448</v>
      </c>
      <c r="AE380" s="40">
        <v>3547.2125741035561</v>
      </c>
      <c r="AF380" s="35">
        <v>711.87782265521128</v>
      </c>
      <c r="AG380" s="77">
        <v>7095.3255812225025</v>
      </c>
      <c r="AH380" s="53">
        <v>7915.2766513537872</v>
      </c>
      <c r="AI380" s="52">
        <v>819.95107013128472</v>
      </c>
      <c r="AJ380" s="73">
        <v>5521.7405099999996</v>
      </c>
      <c r="AK380" s="40">
        <v>5438.4201185626225</v>
      </c>
      <c r="AL380" s="52">
        <v>-83.320391437377111</v>
      </c>
      <c r="AM380" s="73">
        <v>0</v>
      </c>
      <c r="AN380" s="40">
        <v>0</v>
      </c>
      <c r="AO380" s="52">
        <v>0</v>
      </c>
      <c r="AP380" s="73">
        <v>453.84899999999993</v>
      </c>
      <c r="AQ380" s="40">
        <v>0</v>
      </c>
      <c r="AR380" s="52">
        <v>-453.84899999999993</v>
      </c>
      <c r="AS380" s="73">
        <v>5829.5281269607813</v>
      </c>
      <c r="AT380" s="40">
        <v>0</v>
      </c>
      <c r="AU380" s="54">
        <v>-5829.5281269607813</v>
      </c>
      <c r="AV380" s="73">
        <v>630.56316000309471</v>
      </c>
      <c r="AW380" s="40">
        <v>831</v>
      </c>
      <c r="AX380" s="55">
        <v>200.43683999690529</v>
      </c>
      <c r="AY380" s="73">
        <v>1181.9581987117942</v>
      </c>
      <c r="AZ380" s="40">
        <v>0</v>
      </c>
      <c r="BA380" s="35">
        <v>-1181.9581987117942</v>
      </c>
      <c r="BB380" s="73">
        <v>342.19613413083005</v>
      </c>
      <c r="BC380" s="40">
        <v>0</v>
      </c>
      <c r="BD380" s="55">
        <v>-342.19613413083005</v>
      </c>
      <c r="BE380" s="73">
        <v>862.682970139914</v>
      </c>
      <c r="BF380" s="40">
        <v>0</v>
      </c>
      <c r="BG380" s="38">
        <v>-862.682970139914</v>
      </c>
      <c r="BH380" s="73">
        <v>417.92545115516577</v>
      </c>
      <c r="BI380" s="40">
        <v>0</v>
      </c>
      <c r="BJ380" s="55">
        <v>-417.92545115516577</v>
      </c>
      <c r="BK380" s="73">
        <v>761.53910474472923</v>
      </c>
      <c r="BL380" s="40">
        <v>0</v>
      </c>
      <c r="BM380" s="38">
        <v>-761.53910474472923</v>
      </c>
      <c r="BN380" s="73">
        <v>78.712800000000001</v>
      </c>
      <c r="BO380" s="40">
        <v>0</v>
      </c>
      <c r="BP380" s="55">
        <v>-78.712800000000001</v>
      </c>
      <c r="BQ380" s="77">
        <v>4275.5778188855284</v>
      </c>
      <c r="BR380" s="40">
        <v>831</v>
      </c>
      <c r="BS380" s="55">
        <v>-3444.5778188855284</v>
      </c>
      <c r="BT380" s="73">
        <v>5516.0673301303405</v>
      </c>
      <c r="BU380" s="40">
        <v>582.81124842743509</v>
      </c>
      <c r="BV380" s="52">
        <v>-4933.2560817029052</v>
      </c>
      <c r="BW380" s="73">
        <v>4873.4614837305398</v>
      </c>
      <c r="BX380" s="40">
        <v>3648.3198535556448</v>
      </c>
      <c r="BY380" s="52">
        <v>-1225.141630174895</v>
      </c>
      <c r="BZ380" s="73">
        <v>1810.3381896874059</v>
      </c>
      <c r="CA380" s="40">
        <v>6534.1797269831914</v>
      </c>
      <c r="CB380" s="52">
        <v>4723.8415372957852</v>
      </c>
      <c r="CC380" s="73">
        <v>185.45564944500001</v>
      </c>
      <c r="CD380" s="40">
        <v>231.64018648822477</v>
      </c>
      <c r="CE380" s="52">
        <v>46.184537043224765</v>
      </c>
      <c r="CF380" s="73">
        <v>21.81198294</v>
      </c>
      <c r="CG380" s="40">
        <v>0</v>
      </c>
      <c r="CH380" s="52">
        <v>-21.81198294</v>
      </c>
      <c r="CI380" s="73">
        <v>868.98</v>
      </c>
      <c r="CJ380" s="40">
        <v>1081.2118399449041</v>
      </c>
      <c r="CK380" s="52">
        <v>212.2318399449041</v>
      </c>
      <c r="CL380" s="73">
        <v>1034.0637999999999</v>
      </c>
      <c r="CM380" s="40">
        <v>1170.0640953286988</v>
      </c>
      <c r="CN380" s="52">
        <v>136.00029532869894</v>
      </c>
      <c r="CO380" s="39">
        <v>1903.0437999999999</v>
      </c>
      <c r="CP380" s="40">
        <v>2251.275935273603</v>
      </c>
      <c r="CQ380" s="52">
        <v>348.23213527360303</v>
      </c>
      <c r="CR380" s="72">
        <v>37486.199473002103</v>
      </c>
      <c r="CS380" s="5">
        <v>27432.923720644507</v>
      </c>
      <c r="CT380" s="52">
        <v>-10053.275752357597</v>
      </c>
      <c r="CU380" s="77">
        <v>44983.439367602521</v>
      </c>
      <c r="CV380" s="65">
        <v>32919.508464773404</v>
      </c>
      <c r="CW380" s="35">
        <v>-12063.930902829117</v>
      </c>
      <c r="CX380" s="73">
        <v>2511.5617485583753</v>
      </c>
      <c r="CY380" s="40">
        <v>14575.492651387496</v>
      </c>
      <c r="CZ380" s="52">
        <v>12063.930902829121</v>
      </c>
      <c r="DA380" s="150">
        <v>120382.13547079801</v>
      </c>
      <c r="DB380" s="2">
        <v>3</v>
      </c>
      <c r="DC380" s="648">
        <v>36648.07</v>
      </c>
      <c r="DD380" s="648"/>
      <c r="DE380" s="649">
        <v>-10846.9311161609</v>
      </c>
      <c r="DG380" s="321">
        <v>98053.129628535302</v>
      </c>
      <c r="DH380" s="5">
        <v>569940.01339393086</v>
      </c>
      <c r="DI380" s="306">
        <v>4.9512020796341449</v>
      </c>
      <c r="DJ380" s="306">
        <v>6.1315706136606209</v>
      </c>
      <c r="DK380" s="306"/>
      <c r="DL380" s="28">
        <v>23616.305667991328</v>
      </c>
      <c r="DM380" s="28">
        <v>0</v>
      </c>
      <c r="DN380" s="650">
        <v>23613.65</v>
      </c>
      <c r="DO380" s="94">
        <v>2.6556679913264816</v>
      </c>
      <c r="DP380" s="28">
        <v>23616.305667991328</v>
      </c>
      <c r="DQ380" s="318">
        <v>0</v>
      </c>
      <c r="DS380" s="8">
        <v>22491.719683801261</v>
      </c>
      <c r="DT380" s="5">
        <v>1124.5859841900631</v>
      </c>
      <c r="DW380" s="5">
        <v>12126.127135015571</v>
      </c>
      <c r="DX380" s="5">
        <v>997.19999999999993</v>
      </c>
    </row>
    <row r="381" spans="1:128" x14ac:dyDescent="0.3">
      <c r="A381" s="325">
        <v>150000907</v>
      </c>
      <c r="B381" s="41" t="s">
        <v>827</v>
      </c>
      <c r="C381" s="42" t="s">
        <v>408</v>
      </c>
      <c r="D381" s="42" t="s">
        <v>408</v>
      </c>
      <c r="E381" s="293">
        <v>6307.7</v>
      </c>
      <c r="F381" s="652">
        <v>6307.7</v>
      </c>
      <c r="G381" s="51">
        <v>689.99000000000069</v>
      </c>
      <c r="H381" s="651">
        <v>0</v>
      </c>
      <c r="I381" s="73">
        <v>3673.0319453721931</v>
      </c>
      <c r="J381" s="40">
        <v>4126.8449833618106</v>
      </c>
      <c r="K381" s="52">
        <v>453.81303798961744</v>
      </c>
      <c r="L381" s="73">
        <v>642.53082540063065</v>
      </c>
      <c r="M381" s="40">
        <v>723.88691860358995</v>
      </c>
      <c r="N381" s="52">
        <v>81.3560932029593</v>
      </c>
      <c r="O381" s="73">
        <v>1095.2625505520466</v>
      </c>
      <c r="P381" s="40">
        <v>1095.5</v>
      </c>
      <c r="Q381" s="52">
        <v>0.23744944795339507</v>
      </c>
      <c r="R381" s="73">
        <v>257.98824872572999</v>
      </c>
      <c r="S381" s="40">
        <v>257.58333333333337</v>
      </c>
      <c r="T381" s="52">
        <v>-0.40491539239661734</v>
      </c>
      <c r="U381" s="73">
        <v>129.82091592576384</v>
      </c>
      <c r="V381" s="40">
        <v>282.25445042891118</v>
      </c>
      <c r="W381" s="52">
        <v>152.43353450314734</v>
      </c>
      <c r="X381" s="73">
        <v>1115.8272881746707</v>
      </c>
      <c r="Y381" s="40">
        <v>1184.183480301431</v>
      </c>
      <c r="Z381" s="52">
        <v>68.356192126760334</v>
      </c>
      <c r="AA381" s="73">
        <v>504.64800000000002</v>
      </c>
      <c r="AB381" s="40">
        <v>0</v>
      </c>
      <c r="AC381" s="52">
        <v>-504.64800000000002</v>
      </c>
      <c r="AD381" s="73">
        <v>4544.4800918374076</v>
      </c>
      <c r="AE381" s="40">
        <v>5685.1624522753609</v>
      </c>
      <c r="AF381" s="35">
        <v>1140.6823604379533</v>
      </c>
      <c r="AG381" s="77">
        <v>11963.589865988442</v>
      </c>
      <c r="AH381" s="53">
        <v>13355.415618304436</v>
      </c>
      <c r="AI381" s="52">
        <v>1391.8257523159937</v>
      </c>
      <c r="AJ381" s="73">
        <v>11503.603815</v>
      </c>
      <c r="AK381" s="40">
        <v>11330.043739662486</v>
      </c>
      <c r="AL381" s="52">
        <v>-173.56007533751472</v>
      </c>
      <c r="AM381" s="73">
        <v>0</v>
      </c>
      <c r="AN381" s="40">
        <v>0</v>
      </c>
      <c r="AO381" s="52">
        <v>0</v>
      </c>
      <c r="AP381" s="73">
        <v>680.7734999999999</v>
      </c>
      <c r="AQ381" s="40">
        <v>0</v>
      </c>
      <c r="AR381" s="52">
        <v>-680.7734999999999</v>
      </c>
      <c r="AS381" s="73">
        <v>7642.7573991322388</v>
      </c>
      <c r="AT381" s="40">
        <v>7563</v>
      </c>
      <c r="AU381" s="54">
        <v>-79.757399132238788</v>
      </c>
      <c r="AV381" s="73">
        <v>1621.7964567882027</v>
      </c>
      <c r="AW381" s="40">
        <v>0</v>
      </c>
      <c r="AX381" s="55">
        <v>-1621.7964567882027</v>
      </c>
      <c r="AY381" s="73">
        <v>1797.4224047211651</v>
      </c>
      <c r="AZ381" s="40">
        <v>0</v>
      </c>
      <c r="BA381" s="35">
        <v>-1797.4224047211651</v>
      </c>
      <c r="BB381" s="73">
        <v>581.10576771859792</v>
      </c>
      <c r="BC381" s="40">
        <v>0</v>
      </c>
      <c r="BD381" s="55">
        <v>-581.10576771859792</v>
      </c>
      <c r="BE381" s="73">
        <v>1362.6967347330001</v>
      </c>
      <c r="BF381" s="40">
        <v>0</v>
      </c>
      <c r="BG381" s="38">
        <v>-1362.6967347330001</v>
      </c>
      <c r="BH381" s="73">
        <v>626.90933560096028</v>
      </c>
      <c r="BI381" s="40">
        <v>0</v>
      </c>
      <c r="BJ381" s="55">
        <v>-626.90933560096028</v>
      </c>
      <c r="BK381" s="73">
        <v>820.83929813908662</v>
      </c>
      <c r="BL381" s="40">
        <v>0</v>
      </c>
      <c r="BM381" s="38">
        <v>-820.83929813908662</v>
      </c>
      <c r="BN381" s="73">
        <v>126.16200000000001</v>
      </c>
      <c r="BO381" s="40">
        <v>0</v>
      </c>
      <c r="BP381" s="55">
        <v>-126.16200000000001</v>
      </c>
      <c r="BQ381" s="77">
        <v>6936.9319977010127</v>
      </c>
      <c r="BR381" s="40">
        <v>0</v>
      </c>
      <c r="BS381" s="55">
        <v>-6936.9319977010127</v>
      </c>
      <c r="BT381" s="73">
        <v>8289.6707617137199</v>
      </c>
      <c r="BU381" s="40">
        <v>1008.041970776128</v>
      </c>
      <c r="BV381" s="52">
        <v>-7281.6287909375915</v>
      </c>
      <c r="BW381" s="73">
        <v>4721.0502027904404</v>
      </c>
      <c r="BX381" s="40">
        <v>4471.6757189791051</v>
      </c>
      <c r="BY381" s="52">
        <v>-249.37448381133527</v>
      </c>
      <c r="BZ381" s="73">
        <v>1714.3554523690041</v>
      </c>
      <c r="CA381" s="40">
        <v>6312.6606884051653</v>
      </c>
      <c r="CB381" s="52">
        <v>4598.3052360361617</v>
      </c>
      <c r="CC381" s="73">
        <v>307.23341426249999</v>
      </c>
      <c r="CD381" s="40">
        <v>379.56023066890759</v>
      </c>
      <c r="CE381" s="52">
        <v>72.326816406407602</v>
      </c>
      <c r="CF381" s="73">
        <v>35.74060875</v>
      </c>
      <c r="CG381" s="40">
        <v>0</v>
      </c>
      <c r="CH381" s="52">
        <v>-35.74060875</v>
      </c>
      <c r="CI381" s="73">
        <v>6008.16</v>
      </c>
      <c r="CJ381" s="40">
        <v>4632.3022710589357</v>
      </c>
      <c r="CK381" s="52">
        <v>-1375.8577289410641</v>
      </c>
      <c r="CL381" s="73">
        <v>2074.3569000000002</v>
      </c>
      <c r="CM381" s="40">
        <v>1993.5545038314037</v>
      </c>
      <c r="CN381" s="52">
        <v>-80.802396168596488</v>
      </c>
      <c r="CO381" s="39">
        <v>8082.5169000000005</v>
      </c>
      <c r="CP381" s="40">
        <v>6625.8567748903397</v>
      </c>
      <c r="CQ381" s="52">
        <v>-1456.6601251096608</v>
      </c>
      <c r="CR381" s="72">
        <v>61878.22391770735</v>
      </c>
      <c r="CS381" s="5">
        <v>51046.254741686564</v>
      </c>
      <c r="CT381" s="52">
        <v>-10831.969176020786</v>
      </c>
      <c r="CU381" s="77">
        <v>74253.868701248823</v>
      </c>
      <c r="CV381" s="65">
        <v>61255.505690023871</v>
      </c>
      <c r="CW381" s="35">
        <v>-12998.363011224952</v>
      </c>
      <c r="CX381" s="73">
        <v>4145.8185264252288</v>
      </c>
      <c r="CY381" s="40">
        <v>17144.181537650176</v>
      </c>
      <c r="CZ381" s="52">
        <v>12998.363011224948</v>
      </c>
      <c r="DA381" s="150">
        <v>43030.348595839096</v>
      </c>
      <c r="DB381" s="2">
        <v>3</v>
      </c>
      <c r="DC381" s="648">
        <v>63769.97</v>
      </c>
      <c r="DD381" s="648"/>
      <c r="DE381" s="649">
        <v>-14629.717227674046</v>
      </c>
      <c r="DG381" s="321">
        <v>63859.543497020451</v>
      </c>
      <c r="DH381" s="5">
        <v>940796.2467320885</v>
      </c>
      <c r="DI381" s="306">
        <v>4.8238242605072266</v>
      </c>
      <c r="DJ381" s="306">
        <v>6.3464208722592215</v>
      </c>
      <c r="DK381" s="306"/>
      <c r="DL381" s="28">
        <v>38980.742499806729</v>
      </c>
      <c r="DM381" s="28">
        <v>0</v>
      </c>
      <c r="DN381" s="650">
        <v>38980.620000000003</v>
      </c>
      <c r="DO381" s="94">
        <v>0.12249980672640959</v>
      </c>
      <c r="DP381" s="28">
        <v>38980.742499806729</v>
      </c>
      <c r="DQ381" s="318">
        <v>-2.5385683489002986</v>
      </c>
      <c r="DS381" s="8">
        <v>37126.934350624411</v>
      </c>
      <c r="DT381" s="5">
        <v>1856.3467175312205</v>
      </c>
      <c r="DW381" s="5">
        <v>17495.627276199903</v>
      </c>
      <c r="DX381" s="5">
        <v>9075.6</v>
      </c>
    </row>
    <row r="382" spans="1:128" x14ac:dyDescent="0.3">
      <c r="A382" s="325">
        <v>150000908</v>
      </c>
      <c r="B382" s="41" t="s">
        <v>828</v>
      </c>
      <c r="C382" s="42" t="s">
        <v>409</v>
      </c>
      <c r="D382" s="42" t="s">
        <v>409</v>
      </c>
      <c r="E382" s="293">
        <v>6324.72</v>
      </c>
      <c r="F382" s="652">
        <v>6280.52</v>
      </c>
      <c r="G382" s="51">
        <v>653.29</v>
      </c>
      <c r="H382" s="651">
        <v>44.2</v>
      </c>
      <c r="I382" s="73">
        <v>3659.5160823973738</v>
      </c>
      <c r="J382" s="40">
        <v>4111.5221640207492</v>
      </c>
      <c r="K382" s="52">
        <v>452.00608162337539</v>
      </c>
      <c r="L382" s="73">
        <v>643.86977971186161</v>
      </c>
      <c r="M382" s="40">
        <v>725.39582759207246</v>
      </c>
      <c r="N382" s="52">
        <v>81.526047880210854</v>
      </c>
      <c r="O382" s="73">
        <v>1097.90021151006</v>
      </c>
      <c r="P382" s="40">
        <v>1098.0833333333335</v>
      </c>
      <c r="Q382" s="52">
        <v>0.18312182327349547</v>
      </c>
      <c r="R382" s="73">
        <v>257.85362028499003</v>
      </c>
      <c r="S382" s="40">
        <v>257.93333333333334</v>
      </c>
      <c r="T382" s="52">
        <v>7.9713048343307946E-2</v>
      </c>
      <c r="U382" s="73">
        <v>129.82091592576384</v>
      </c>
      <c r="V382" s="40">
        <v>282.26537839630612</v>
      </c>
      <c r="W382" s="52">
        <v>152.44446247054228</v>
      </c>
      <c r="X382" s="73">
        <v>1123.3257526735149</v>
      </c>
      <c r="Y382" s="40">
        <v>1178.1357875633475</v>
      </c>
      <c r="Z382" s="52">
        <v>54.81003488983265</v>
      </c>
      <c r="AA382" s="73">
        <v>505.34640000000002</v>
      </c>
      <c r="AB382" s="40">
        <v>0</v>
      </c>
      <c r="AC382" s="52">
        <v>-505.34640000000002</v>
      </c>
      <c r="AD382" s="73">
        <v>4549.334981142074</v>
      </c>
      <c r="AE382" s="40">
        <v>5700.5026658140087</v>
      </c>
      <c r="AF382" s="35">
        <v>1151.1676846719347</v>
      </c>
      <c r="AG382" s="77">
        <v>11966.967743645639</v>
      </c>
      <c r="AH382" s="53">
        <v>13353.838490053151</v>
      </c>
      <c r="AI382" s="52">
        <v>1386.8707464075123</v>
      </c>
      <c r="AJ382" s="73">
        <v>11503.603815</v>
      </c>
      <c r="AK382" s="40">
        <v>11330.043739662486</v>
      </c>
      <c r="AL382" s="52">
        <v>-173.56007533751472</v>
      </c>
      <c r="AM382" s="73">
        <v>0</v>
      </c>
      <c r="AN382" s="40">
        <v>0</v>
      </c>
      <c r="AO382" s="52">
        <v>0</v>
      </c>
      <c r="AP382" s="73">
        <v>668.16658333333328</v>
      </c>
      <c r="AQ382" s="40">
        <v>0</v>
      </c>
      <c r="AR382" s="52">
        <v>-668.16658333333328</v>
      </c>
      <c r="AS382" s="73">
        <v>7652.5437683092659</v>
      </c>
      <c r="AT382" s="40">
        <v>1948</v>
      </c>
      <c r="AU382" s="54">
        <v>-5704.5437683092659</v>
      </c>
      <c r="AV382" s="73">
        <v>1624.3544042105009</v>
      </c>
      <c r="AW382" s="40">
        <v>0</v>
      </c>
      <c r="AX382" s="55">
        <v>-1624.3544042105009</v>
      </c>
      <c r="AY382" s="73">
        <v>1801.0847590965191</v>
      </c>
      <c r="AZ382" s="40">
        <v>0</v>
      </c>
      <c r="BA382" s="35">
        <v>-1801.0847590965191</v>
      </c>
      <c r="BB382" s="73">
        <v>567.26451333945795</v>
      </c>
      <c r="BC382" s="40">
        <v>0</v>
      </c>
      <c r="BD382" s="55">
        <v>-567.26451333945795</v>
      </c>
      <c r="BE382" s="73">
        <v>1363.0401091864719</v>
      </c>
      <c r="BF382" s="40">
        <v>0</v>
      </c>
      <c r="BG382" s="38">
        <v>-1363.0401091864719</v>
      </c>
      <c r="BH382" s="73">
        <v>626.90933560096028</v>
      </c>
      <c r="BI382" s="40">
        <v>0</v>
      </c>
      <c r="BJ382" s="55">
        <v>-626.90933560096028</v>
      </c>
      <c r="BK382" s="73">
        <v>829.84249859878832</v>
      </c>
      <c r="BL382" s="40">
        <v>0</v>
      </c>
      <c r="BM382" s="38">
        <v>-829.84249859878832</v>
      </c>
      <c r="BN382" s="73">
        <v>126.3366</v>
      </c>
      <c r="BO382" s="40">
        <v>0</v>
      </c>
      <c r="BP382" s="55">
        <v>-126.3366</v>
      </c>
      <c r="BQ382" s="77">
        <v>6938.8322200326984</v>
      </c>
      <c r="BR382" s="40">
        <v>0</v>
      </c>
      <c r="BS382" s="55">
        <v>-6938.8322200326984</v>
      </c>
      <c r="BT382" s="73">
        <v>8567.7733910100796</v>
      </c>
      <c r="BU382" s="40">
        <v>1086.3448211275388</v>
      </c>
      <c r="BV382" s="52">
        <v>-7481.4285698825406</v>
      </c>
      <c r="BW382" s="73">
        <v>5155.18396790716</v>
      </c>
      <c r="BX382" s="40">
        <v>5028.4974360237738</v>
      </c>
      <c r="BY382" s="52">
        <v>-126.68653188338612</v>
      </c>
      <c r="BZ382" s="73">
        <v>1677.2723294619859</v>
      </c>
      <c r="CA382" s="40">
        <v>6769.252037460883</v>
      </c>
      <c r="CB382" s="52">
        <v>5091.9797079988966</v>
      </c>
      <c r="CC382" s="73">
        <v>324.99592949999999</v>
      </c>
      <c r="CD382" s="40">
        <v>401.97235857507167</v>
      </c>
      <c r="CE382" s="52">
        <v>76.976429075071678</v>
      </c>
      <c r="CF382" s="73">
        <v>37.851006599999998</v>
      </c>
      <c r="CG382" s="40">
        <v>0</v>
      </c>
      <c r="CH382" s="52">
        <v>-37.851006599999998</v>
      </c>
      <c r="CI382" s="73">
        <v>3008.76</v>
      </c>
      <c r="CJ382" s="40">
        <v>4426.407579193874</v>
      </c>
      <c r="CK382" s="52">
        <v>1417.6475791938738</v>
      </c>
      <c r="CL382" s="73">
        <v>1962.2294999999999</v>
      </c>
      <c r="CM382" s="40">
        <v>1804.9501997941056</v>
      </c>
      <c r="CN382" s="52">
        <v>-157.27930020589429</v>
      </c>
      <c r="CO382" s="39">
        <v>4970.9894999999997</v>
      </c>
      <c r="CP382" s="40">
        <v>6231.3577789879801</v>
      </c>
      <c r="CQ382" s="52">
        <v>1260.3682789879804</v>
      </c>
      <c r="CR382" s="72">
        <v>59464.180254800158</v>
      </c>
      <c r="CS382" s="5">
        <v>46149.306661890885</v>
      </c>
      <c r="CT382" s="52">
        <v>-13314.873592909273</v>
      </c>
      <c r="CU382" s="77">
        <v>71357.016305760189</v>
      </c>
      <c r="CV382" s="65">
        <v>55379.167994269061</v>
      </c>
      <c r="CW382" s="35">
        <v>-15977.848311491129</v>
      </c>
      <c r="CX382" s="73">
        <v>3984.0784778648485</v>
      </c>
      <c r="CY382" s="40">
        <v>19961.926789355981</v>
      </c>
      <c r="CZ382" s="52">
        <v>15977.848311491132</v>
      </c>
      <c r="DA382" s="150">
        <v>3877.7110522536532</v>
      </c>
      <c r="DB382" s="2">
        <v>3</v>
      </c>
      <c r="DC382" s="648">
        <v>69512.58</v>
      </c>
      <c r="DD382" s="648">
        <v>180.05</v>
      </c>
      <c r="DE382" s="649">
        <v>-5648.4647836250369</v>
      </c>
      <c r="DG382" s="321">
        <v>105301.50172932954</v>
      </c>
      <c r="DH382" s="5">
        <v>904093.1374035005</v>
      </c>
      <c r="DI382" s="306">
        <v>4.5905344744863568</v>
      </c>
      <c r="DJ382" s="306">
        <v>6.0980538773498258</v>
      </c>
      <c r="DK382" s="306">
        <v>4.0734344081275875</v>
      </c>
      <c r="DL382" s="28">
        <v>37314.101987076458</v>
      </c>
      <c r="DM382" s="28">
        <v>180.04580083923938</v>
      </c>
      <c r="DN382" s="650">
        <v>37314.269999999997</v>
      </c>
      <c r="DO382" s="94">
        <v>-0.16801292353920871</v>
      </c>
      <c r="DP382" s="28">
        <v>37494.147787915696</v>
      </c>
      <c r="DQ382" s="318">
        <v>31.714227391596069</v>
      </c>
      <c r="DS382" s="8">
        <v>35678.508152880095</v>
      </c>
      <c r="DT382" s="5">
        <v>1783.9254076440047</v>
      </c>
      <c r="DW382" s="5">
        <v>17509.651186010356</v>
      </c>
      <c r="DX382" s="5">
        <v>2337.6</v>
      </c>
    </row>
    <row r="383" spans="1:128" x14ac:dyDescent="0.3">
      <c r="A383" s="325">
        <v>150000909</v>
      </c>
      <c r="B383" s="41" t="s">
        <v>829</v>
      </c>
      <c r="C383" s="42" t="s">
        <v>410</v>
      </c>
      <c r="D383" s="42" t="s">
        <v>410</v>
      </c>
      <c r="E383" s="293">
        <v>6335.43</v>
      </c>
      <c r="F383" s="652">
        <v>6335.43</v>
      </c>
      <c r="G383" s="51">
        <v>691.97000000000025</v>
      </c>
      <c r="H383" s="651">
        <v>0</v>
      </c>
      <c r="I383" s="73">
        <v>3661.6296730522263</v>
      </c>
      <c r="J383" s="40">
        <v>4114.8801721053032</v>
      </c>
      <c r="K383" s="52">
        <v>453.25049905307696</v>
      </c>
      <c r="L383" s="73">
        <v>640.32690097836883</v>
      </c>
      <c r="M383" s="40">
        <v>721.40451994511875</v>
      </c>
      <c r="N383" s="52">
        <v>81.077618966749924</v>
      </c>
      <c r="O383" s="73">
        <v>1100.86542951564</v>
      </c>
      <c r="P383" s="40">
        <v>1101.3166666666666</v>
      </c>
      <c r="Q383" s="52">
        <v>0.45123715102658934</v>
      </c>
      <c r="R383" s="73">
        <v>266.40394950947001</v>
      </c>
      <c r="S383" s="40">
        <v>266.10000000000002</v>
      </c>
      <c r="T383" s="52">
        <v>-0.30394950946998733</v>
      </c>
      <c r="U383" s="73">
        <v>129.82091592576384</v>
      </c>
      <c r="V383" s="40">
        <v>282.26537839630612</v>
      </c>
      <c r="W383" s="52">
        <v>152.44446247054228</v>
      </c>
      <c r="X383" s="73">
        <v>1102.7151597620239</v>
      </c>
      <c r="Y383" s="40">
        <v>1154.0262033503379</v>
      </c>
      <c r="Z383" s="52">
        <v>51.311043588314078</v>
      </c>
      <c r="AA383" s="73">
        <v>506.84160000000003</v>
      </c>
      <c r="AB383" s="40">
        <v>0</v>
      </c>
      <c r="AC383" s="52">
        <v>-506.84160000000003</v>
      </c>
      <c r="AD383" s="73">
        <v>4564.2443009686931</v>
      </c>
      <c r="AE383" s="40">
        <v>5710.1556438985517</v>
      </c>
      <c r="AF383" s="35">
        <v>1145.9113429298586</v>
      </c>
      <c r="AG383" s="77">
        <v>11972.847929712187</v>
      </c>
      <c r="AH383" s="53">
        <v>13350.148584362283</v>
      </c>
      <c r="AI383" s="52">
        <v>1377.3006546500965</v>
      </c>
      <c r="AJ383" s="73">
        <v>6886.4911499999998</v>
      </c>
      <c r="AK383" s="40">
        <v>6782.6046596421129</v>
      </c>
      <c r="AL383" s="52">
        <v>-103.88649035788694</v>
      </c>
      <c r="AM383" s="73">
        <v>630.44965500000001</v>
      </c>
      <c r="AN383" s="40">
        <v>0</v>
      </c>
      <c r="AO383" s="52">
        <v>-630.44965500000001</v>
      </c>
      <c r="AP383" s="73">
        <v>680.7734999999999</v>
      </c>
      <c r="AQ383" s="40">
        <v>0</v>
      </c>
      <c r="AR383" s="52">
        <v>-680.7734999999999</v>
      </c>
      <c r="AS383" s="73">
        <v>7683.1875549262095</v>
      </c>
      <c r="AT383" s="40">
        <v>2078</v>
      </c>
      <c r="AU383" s="54">
        <v>-5605.1875549262095</v>
      </c>
      <c r="AV383" s="73">
        <v>1613.3706493389891</v>
      </c>
      <c r="AW383" s="40">
        <v>0</v>
      </c>
      <c r="AX383" s="55">
        <v>-1613.3706493389891</v>
      </c>
      <c r="AY383" s="73">
        <v>1791.2278201216075</v>
      </c>
      <c r="AZ383" s="40">
        <v>0</v>
      </c>
      <c r="BA383" s="35">
        <v>-1791.2278201216075</v>
      </c>
      <c r="BB383" s="73">
        <v>584.61665096388197</v>
      </c>
      <c r="BC383" s="40">
        <v>4456</v>
      </c>
      <c r="BD383" s="55">
        <v>3871.383349036118</v>
      </c>
      <c r="BE383" s="73">
        <v>1382.7176157173139</v>
      </c>
      <c r="BF383" s="40">
        <v>0</v>
      </c>
      <c r="BG383" s="38">
        <v>-1382.7176157173139</v>
      </c>
      <c r="BH383" s="73">
        <v>626.90933560096028</v>
      </c>
      <c r="BI383" s="40">
        <v>16.5</v>
      </c>
      <c r="BJ383" s="55">
        <v>-610.40933560096028</v>
      </c>
      <c r="BK383" s="73">
        <v>804.98498547576048</v>
      </c>
      <c r="BL383" s="40">
        <v>0</v>
      </c>
      <c r="BM383" s="38">
        <v>-804.98498547576048</v>
      </c>
      <c r="BN383" s="73">
        <v>126.71040000000001</v>
      </c>
      <c r="BO383" s="40">
        <v>0</v>
      </c>
      <c r="BP383" s="55">
        <v>-126.71040000000001</v>
      </c>
      <c r="BQ383" s="77">
        <v>6930.5374572185128</v>
      </c>
      <c r="BR383" s="40">
        <v>4472.5</v>
      </c>
      <c r="BS383" s="55">
        <v>-2458.0374572185128</v>
      </c>
      <c r="BT383" s="73">
        <v>8130.5827384998802</v>
      </c>
      <c r="BU383" s="40">
        <v>1126.9483224501148</v>
      </c>
      <c r="BV383" s="52">
        <v>-7003.6344160497656</v>
      </c>
      <c r="BW383" s="73">
        <v>5212.0787089096602</v>
      </c>
      <c r="BX383" s="40">
        <v>5186.7688845438461</v>
      </c>
      <c r="BY383" s="52">
        <v>-25.309824365814166</v>
      </c>
      <c r="BZ383" s="73">
        <v>1677.2723294619859</v>
      </c>
      <c r="CA383" s="40">
        <v>7003.804276729089</v>
      </c>
      <c r="CB383" s="52">
        <v>5326.5319472671035</v>
      </c>
      <c r="CC383" s="73">
        <v>324.81608070999999</v>
      </c>
      <c r="CD383" s="40">
        <v>401.87596232601288</v>
      </c>
      <c r="CE383" s="52">
        <v>77.059881616012888</v>
      </c>
      <c r="CF383" s="73">
        <v>37.841929620000002</v>
      </c>
      <c r="CG383" s="40">
        <v>0</v>
      </c>
      <c r="CH383" s="52">
        <v>-37.841929620000002</v>
      </c>
      <c r="CI383" s="73">
        <v>1812.72</v>
      </c>
      <c r="CJ383" s="40">
        <v>2344.849742117432</v>
      </c>
      <c r="CK383" s="52">
        <v>532.12974211743199</v>
      </c>
      <c r="CL383" s="73">
        <v>2065.0129499999998</v>
      </c>
      <c r="CM383" s="40">
        <v>3514.9724175146494</v>
      </c>
      <c r="CN383" s="52">
        <v>1449.9594675146495</v>
      </c>
      <c r="CO383" s="39">
        <v>3877.7329499999996</v>
      </c>
      <c r="CP383" s="40">
        <v>5859.8221596320818</v>
      </c>
      <c r="CQ383" s="52">
        <v>1982.0892096320822</v>
      </c>
      <c r="CR383" s="72">
        <v>54044.611984058429</v>
      </c>
      <c r="CS383" s="5">
        <v>46262.472849685539</v>
      </c>
      <c r="CT383" s="52">
        <v>-7782.1391343728901</v>
      </c>
      <c r="CU383" s="77">
        <v>64853.534380870115</v>
      </c>
      <c r="CV383" s="65">
        <v>55514.967419622648</v>
      </c>
      <c r="CW383" s="35">
        <v>-9338.5669612474667</v>
      </c>
      <c r="CX383" s="73">
        <v>3620.9693722779039</v>
      </c>
      <c r="CY383" s="40">
        <v>12959.536333525371</v>
      </c>
      <c r="CZ383" s="52">
        <v>9338.5669612474667</v>
      </c>
      <c r="DA383" s="150">
        <v>51090.433807562338</v>
      </c>
      <c r="DB383" s="2">
        <v>3</v>
      </c>
      <c r="DC383" s="648">
        <v>64035.43</v>
      </c>
      <c r="DD383" s="648"/>
      <c r="DE383" s="649">
        <v>-4439.073753148019</v>
      </c>
      <c r="DG383" s="321">
        <v>1168.3082463747305</v>
      </c>
      <c r="DH383" s="5">
        <v>821694.04503777623</v>
      </c>
      <c r="DI383" s="306">
        <v>4.4213378987528742</v>
      </c>
      <c r="DJ383" s="306">
        <v>5.4909892468670929</v>
      </c>
      <c r="DK383" s="306"/>
      <c r="DL383" s="28">
        <v>34047.611360924595</v>
      </c>
      <c r="DM383" s="28">
        <v>0</v>
      </c>
      <c r="DN383" s="650">
        <v>34047.81</v>
      </c>
      <c r="DO383" s="94">
        <v>-0.1986390754027525</v>
      </c>
      <c r="DP383" s="28">
        <v>34047.611360924595</v>
      </c>
      <c r="DQ383" s="318">
        <v>-0.49418903221521759</v>
      </c>
      <c r="DS383" s="8">
        <v>32426.767190435057</v>
      </c>
      <c r="DT383" s="5">
        <v>1621.3383595217529</v>
      </c>
      <c r="DW383" s="5">
        <v>17536.470014573664</v>
      </c>
      <c r="DX383" s="5">
        <v>7860.5999999999995</v>
      </c>
    </row>
    <row r="384" spans="1:128" x14ac:dyDescent="0.3">
      <c r="A384" s="325">
        <v>150000910</v>
      </c>
      <c r="B384" s="41" t="s">
        <v>830</v>
      </c>
      <c r="C384" s="42" t="s">
        <v>411</v>
      </c>
      <c r="D384" s="42" t="s">
        <v>411</v>
      </c>
      <c r="E384" s="293">
        <v>6347.35</v>
      </c>
      <c r="F384" s="652">
        <v>6232.25</v>
      </c>
      <c r="G384" s="51">
        <v>576.05999999999949</v>
      </c>
      <c r="H384" s="651">
        <v>115.1</v>
      </c>
      <c r="I384" s="73">
        <v>3641.599206502462</v>
      </c>
      <c r="J384" s="40">
        <v>4092.632819301889</v>
      </c>
      <c r="K384" s="52">
        <v>451.03361279942692</v>
      </c>
      <c r="L384" s="73">
        <v>641.45008269413734</v>
      </c>
      <c r="M384" s="40">
        <v>722.67005651610407</v>
      </c>
      <c r="N384" s="52">
        <v>81.219973821966732</v>
      </c>
      <c r="O384" s="73">
        <v>1100.86542951564</v>
      </c>
      <c r="P384" s="40">
        <v>1101.25</v>
      </c>
      <c r="Q384" s="52">
        <v>0.38457048435998331</v>
      </c>
      <c r="R384" s="73">
        <v>259.71291340000664</v>
      </c>
      <c r="S384" s="40">
        <v>260.23333333333335</v>
      </c>
      <c r="T384" s="52">
        <v>0.520419933326707</v>
      </c>
      <c r="U384" s="73">
        <v>129.82091592576384</v>
      </c>
      <c r="V384" s="40">
        <v>282.26537839630612</v>
      </c>
      <c r="W384" s="52">
        <v>152.44446247054228</v>
      </c>
      <c r="X384" s="73">
        <v>1109.2712178265137</v>
      </c>
      <c r="Y384" s="40">
        <v>1176.522014904979</v>
      </c>
      <c r="Z384" s="52">
        <v>67.250797078465212</v>
      </c>
      <c r="AA384" s="73">
        <v>507.78000000000003</v>
      </c>
      <c r="AB384" s="40">
        <v>0</v>
      </c>
      <c r="AC384" s="52">
        <v>-507.78000000000003</v>
      </c>
      <c r="AD384" s="73">
        <v>4568.1357153355348</v>
      </c>
      <c r="AE384" s="40">
        <v>5720.8992012064646</v>
      </c>
      <c r="AF384" s="35">
        <v>1152.7634858709298</v>
      </c>
      <c r="AG384" s="77">
        <v>11958.635481200059</v>
      </c>
      <c r="AH384" s="53">
        <v>13356.472803659077</v>
      </c>
      <c r="AI384" s="52">
        <v>1397.8373224590177</v>
      </c>
      <c r="AJ384" s="73">
        <v>6886.4911499999998</v>
      </c>
      <c r="AK384" s="40">
        <v>6782.6046596421129</v>
      </c>
      <c r="AL384" s="52">
        <v>-103.88649035788694</v>
      </c>
      <c r="AM384" s="73">
        <v>630.44965500000001</v>
      </c>
      <c r="AN384" s="40">
        <v>0</v>
      </c>
      <c r="AO384" s="52">
        <v>-630.44965500000001</v>
      </c>
      <c r="AP384" s="73">
        <v>668.16658333333328</v>
      </c>
      <c r="AQ384" s="40">
        <v>0</v>
      </c>
      <c r="AR384" s="52">
        <v>-668.16658333333328</v>
      </c>
      <c r="AS384" s="73">
        <v>7550.9888319679221</v>
      </c>
      <c r="AT384" s="40">
        <v>2563</v>
      </c>
      <c r="AU384" s="54">
        <v>-4987.9888319679221</v>
      </c>
      <c r="AV384" s="73">
        <v>1611.0546483786911</v>
      </c>
      <c r="AW384" s="40">
        <v>0</v>
      </c>
      <c r="AX384" s="55">
        <v>-1611.0546483786911</v>
      </c>
      <c r="AY384" s="73">
        <v>1794.3463319260256</v>
      </c>
      <c r="AZ384" s="40">
        <v>0</v>
      </c>
      <c r="BA384" s="35">
        <v>-1794.3463319260256</v>
      </c>
      <c r="BB384" s="73">
        <v>584.61665096388197</v>
      </c>
      <c r="BC384" s="40">
        <v>0</v>
      </c>
      <c r="BD384" s="55">
        <v>-584.61665096388197</v>
      </c>
      <c r="BE384" s="73">
        <v>1372.6596563532039</v>
      </c>
      <c r="BF384" s="40">
        <v>0</v>
      </c>
      <c r="BG384" s="38">
        <v>-1372.6596563532039</v>
      </c>
      <c r="BH384" s="73">
        <v>626.90933560096028</v>
      </c>
      <c r="BI384" s="40">
        <v>0</v>
      </c>
      <c r="BJ384" s="55">
        <v>-626.90933560096028</v>
      </c>
      <c r="BK384" s="73">
        <v>812.86294045412137</v>
      </c>
      <c r="BL384" s="40">
        <v>0</v>
      </c>
      <c r="BM384" s="38">
        <v>-812.86294045412137</v>
      </c>
      <c r="BN384" s="73">
        <v>126.94500000000001</v>
      </c>
      <c r="BO384" s="40">
        <v>0</v>
      </c>
      <c r="BP384" s="55">
        <v>-126.94500000000001</v>
      </c>
      <c r="BQ384" s="77">
        <v>6929.3945636768831</v>
      </c>
      <c r="BR384" s="40">
        <v>0</v>
      </c>
      <c r="BS384" s="55">
        <v>-6929.3945636768831</v>
      </c>
      <c r="BT384" s="73">
        <v>8185.5858196136396</v>
      </c>
      <c r="BU384" s="40">
        <v>1118.4738018085243</v>
      </c>
      <c r="BV384" s="52">
        <v>-7067.1120178051151</v>
      </c>
      <c r="BW384" s="73">
        <v>4648.08835549588</v>
      </c>
      <c r="BX384" s="40">
        <v>4527.3228722817412</v>
      </c>
      <c r="BY384" s="52">
        <v>-120.76548321413884</v>
      </c>
      <c r="BZ384" s="73">
        <v>1648.623382443242</v>
      </c>
      <c r="CA384" s="40">
        <v>6950.960080943496</v>
      </c>
      <c r="CB384" s="52">
        <v>5302.336698500254</v>
      </c>
      <c r="CC384" s="73">
        <v>302.93586468749999</v>
      </c>
      <c r="CD384" s="40">
        <v>373.77645572538142</v>
      </c>
      <c r="CE384" s="52">
        <v>70.840591037881438</v>
      </c>
      <c r="CF384" s="73">
        <v>35.195989949999998</v>
      </c>
      <c r="CG384" s="40">
        <v>0</v>
      </c>
      <c r="CH384" s="52">
        <v>-35.195989949999998</v>
      </c>
      <c r="CI384" s="73">
        <v>5466.22</v>
      </c>
      <c r="CJ384" s="40">
        <v>4510.6554432546718</v>
      </c>
      <c r="CK384" s="52">
        <v>-955.56455674532845</v>
      </c>
      <c r="CL384" s="73">
        <v>2083.7008500000002</v>
      </c>
      <c r="CM384" s="40">
        <v>1727.9272074129899</v>
      </c>
      <c r="CN384" s="52">
        <v>-355.77364258701027</v>
      </c>
      <c r="CO384" s="39">
        <v>7549.9208500000004</v>
      </c>
      <c r="CP384" s="40">
        <v>6238.5826506676622</v>
      </c>
      <c r="CQ384" s="52">
        <v>-1311.3381993323383</v>
      </c>
      <c r="CR384" s="72">
        <v>56994.476527368453</v>
      </c>
      <c r="CS384" s="5">
        <v>41911.193324727989</v>
      </c>
      <c r="CT384" s="52">
        <v>-15083.283202640465</v>
      </c>
      <c r="CU384" s="77">
        <v>68393.371832842138</v>
      </c>
      <c r="CV384" s="65">
        <v>50293.431989673583</v>
      </c>
      <c r="CW384" s="35">
        <v>-18099.939843168555</v>
      </c>
      <c r="CX384" s="73">
        <v>3818.6092251987616</v>
      </c>
      <c r="CY384" s="40">
        <v>21918.549068367312</v>
      </c>
      <c r="CZ384" s="52">
        <v>18099.939843168551</v>
      </c>
      <c r="DA384" s="150">
        <v>-30666.601598898891</v>
      </c>
      <c r="DB384" s="2">
        <v>3</v>
      </c>
      <c r="DC384" s="648">
        <v>87441.69</v>
      </c>
      <c r="DD384" s="648">
        <v>0</v>
      </c>
      <c r="DE384" s="649">
        <v>15229.708941959107</v>
      </c>
      <c r="DG384" s="321">
        <v>32743.408685609094</v>
      </c>
      <c r="DH384" s="5">
        <v>866543.77269649075</v>
      </c>
      <c r="DI384" s="306">
        <v>4.7126232495319567</v>
      </c>
      <c r="DJ384" s="306">
        <v>5.781984635692714</v>
      </c>
      <c r="DK384" s="306">
        <v>4.2427539967119179</v>
      </c>
      <c r="DL384" s="28">
        <v>35418.757425684154</v>
      </c>
      <c r="DM384" s="28">
        <v>488.34098502154171</v>
      </c>
      <c r="DN384" s="650">
        <v>35418.879999999997</v>
      </c>
      <c r="DO384" s="94">
        <v>-0.12257431584293954</v>
      </c>
      <c r="DP384" s="28">
        <v>35907.098410705694</v>
      </c>
      <c r="DQ384" s="318">
        <v>0.57819846356869675</v>
      </c>
      <c r="DS384" s="8">
        <v>34196.685916421069</v>
      </c>
      <c r="DT384" s="5">
        <v>1709.8342958210537</v>
      </c>
      <c r="DW384" s="5">
        <v>17376.460074773764</v>
      </c>
      <c r="DX384" s="5">
        <v>3075.6</v>
      </c>
    </row>
    <row r="385" spans="1:128" x14ac:dyDescent="0.3">
      <c r="A385" s="325">
        <v>150000911</v>
      </c>
      <c r="B385" s="41" t="s">
        <v>831</v>
      </c>
      <c r="C385" s="42" t="s">
        <v>319</v>
      </c>
      <c r="D385" s="42" t="s">
        <v>319</v>
      </c>
      <c r="E385" s="293">
        <v>5864.08</v>
      </c>
      <c r="F385" s="305">
        <v>5864.08</v>
      </c>
      <c r="G385" s="51"/>
      <c r="H385" s="651">
        <v>0</v>
      </c>
      <c r="I385" s="73">
        <v>2915.1052196473702</v>
      </c>
      <c r="J385" s="40">
        <v>3278.1888318893239</v>
      </c>
      <c r="K385" s="52">
        <v>363.08361224195369</v>
      </c>
      <c r="L385" s="73">
        <v>624.1683863096772</v>
      </c>
      <c r="M385" s="40">
        <v>703.20026311633023</v>
      </c>
      <c r="N385" s="52">
        <v>79.031876806653031</v>
      </c>
      <c r="O385" s="73">
        <v>1167.03922388207</v>
      </c>
      <c r="P385" s="40">
        <v>1166.95</v>
      </c>
      <c r="Q385" s="52">
        <v>-8.9223882069973115E-2</v>
      </c>
      <c r="R385" s="73">
        <v>0</v>
      </c>
      <c r="S385" s="40">
        <v>0</v>
      </c>
      <c r="T385" s="52">
        <v>0</v>
      </c>
      <c r="U385" s="73">
        <v>222.27236452236727</v>
      </c>
      <c r="V385" s="40">
        <v>416.61492920911996</v>
      </c>
      <c r="W385" s="52">
        <v>194.3425646867527</v>
      </c>
      <c r="X385" s="73">
        <v>2159.8174014563633</v>
      </c>
      <c r="Y385" s="40">
        <v>2368.7566514731188</v>
      </c>
      <c r="Z385" s="52">
        <v>208.93925001675552</v>
      </c>
      <c r="AA385" s="73">
        <v>469.12639999999999</v>
      </c>
      <c r="AB385" s="40">
        <v>0</v>
      </c>
      <c r="AC385" s="52">
        <v>-469.12639999999999</v>
      </c>
      <c r="AD385" s="73">
        <v>4224.5794790444616</v>
      </c>
      <c r="AE385" s="40">
        <v>5285.3254646129171</v>
      </c>
      <c r="AF385" s="35">
        <v>1060.7459855684556</v>
      </c>
      <c r="AG385" s="77">
        <v>11782.108474862311</v>
      </c>
      <c r="AH385" s="53">
        <v>13219.03614030081</v>
      </c>
      <c r="AI385" s="52">
        <v>1436.9276654384994</v>
      </c>
      <c r="AJ385" s="73">
        <v>0</v>
      </c>
      <c r="AK385" s="40">
        <v>0</v>
      </c>
      <c r="AL385" s="52">
        <v>0</v>
      </c>
      <c r="AM385" s="73">
        <v>0</v>
      </c>
      <c r="AN385" s="40">
        <v>0</v>
      </c>
      <c r="AO385" s="52">
        <v>0</v>
      </c>
      <c r="AP385" s="73">
        <v>1352.0918124999998</v>
      </c>
      <c r="AQ385" s="40">
        <v>1338.4771788626497</v>
      </c>
      <c r="AR385" s="52">
        <v>-13.614633637350153</v>
      </c>
      <c r="AS385" s="73">
        <v>12028.55257747261</v>
      </c>
      <c r="AT385" s="40">
        <v>14947</v>
      </c>
      <c r="AU385" s="54">
        <v>2918.4474225273898</v>
      </c>
      <c r="AV385" s="73">
        <v>1313.3430379895406</v>
      </c>
      <c r="AW385" s="40">
        <v>0</v>
      </c>
      <c r="AX385" s="55">
        <v>-1313.3430379895406</v>
      </c>
      <c r="AY385" s="73">
        <v>1727.5553913293979</v>
      </c>
      <c r="AZ385" s="40">
        <v>0</v>
      </c>
      <c r="BA385" s="35">
        <v>-1727.5553913293979</v>
      </c>
      <c r="BB385" s="73">
        <v>360.70221492185999</v>
      </c>
      <c r="BC385" s="40">
        <v>0</v>
      </c>
      <c r="BD385" s="55">
        <v>-360.70221492185999</v>
      </c>
      <c r="BE385" s="73">
        <v>0</v>
      </c>
      <c r="BF385" s="40">
        <v>0</v>
      </c>
      <c r="BG385" s="38">
        <v>0</v>
      </c>
      <c r="BH385" s="73">
        <v>1073.3461173074966</v>
      </c>
      <c r="BI385" s="40">
        <v>0</v>
      </c>
      <c r="BJ385" s="55">
        <v>-1073.3461173074966</v>
      </c>
      <c r="BK385" s="73">
        <v>1811.4819461045431</v>
      </c>
      <c r="BL385" s="40">
        <v>0</v>
      </c>
      <c r="BM385" s="38">
        <v>-1811.4819461045431</v>
      </c>
      <c r="BN385" s="73">
        <v>117.2816</v>
      </c>
      <c r="BO385" s="40">
        <v>0</v>
      </c>
      <c r="BP385" s="55">
        <v>-117.2816</v>
      </c>
      <c r="BQ385" s="77">
        <v>6403.7103076528383</v>
      </c>
      <c r="BR385" s="40">
        <v>0</v>
      </c>
      <c r="BS385" s="55">
        <v>-6403.7103076528383</v>
      </c>
      <c r="BT385" s="73">
        <v>5210.9213688645004</v>
      </c>
      <c r="BU385" s="40">
        <v>938.52896774621831</v>
      </c>
      <c r="BV385" s="52">
        <v>-4272.3924011182826</v>
      </c>
      <c r="BW385" s="73">
        <v>3991.2973278465001</v>
      </c>
      <c r="BX385" s="40">
        <v>3999.5617716777479</v>
      </c>
      <c r="BY385" s="52">
        <v>8.2644438312477178</v>
      </c>
      <c r="BZ385" s="73">
        <v>2053.9487377519799</v>
      </c>
      <c r="CA385" s="40">
        <v>7023.538670523777</v>
      </c>
      <c r="CB385" s="52">
        <v>4969.5899327717971</v>
      </c>
      <c r="CC385" s="73">
        <v>339.85612487750001</v>
      </c>
      <c r="CD385" s="40">
        <v>428.81871393793926</v>
      </c>
      <c r="CE385" s="52">
        <v>88.962589060439257</v>
      </c>
      <c r="CF385" s="73">
        <v>40.378945530000003</v>
      </c>
      <c r="CG385" s="40">
        <v>0</v>
      </c>
      <c r="CH385" s="52">
        <v>-40.378945530000003</v>
      </c>
      <c r="CI385" s="73">
        <v>2226.98</v>
      </c>
      <c r="CJ385" s="40">
        <v>1824.4290399732295</v>
      </c>
      <c r="CK385" s="52">
        <v>-402.55096002677055</v>
      </c>
      <c r="CL385" s="73">
        <v>0</v>
      </c>
      <c r="CM385" s="40">
        <v>0</v>
      </c>
      <c r="CN385" s="52">
        <v>0</v>
      </c>
      <c r="CO385" s="39">
        <v>2226.98</v>
      </c>
      <c r="CP385" s="40">
        <v>1824.4290399732295</v>
      </c>
      <c r="CQ385" s="52">
        <v>-402.55096002677055</v>
      </c>
      <c r="CR385" s="72">
        <v>45429.845677358244</v>
      </c>
      <c r="CS385" s="5">
        <v>43719.390483022362</v>
      </c>
      <c r="CT385" s="52">
        <v>-1710.455194335882</v>
      </c>
      <c r="CU385" s="77">
        <v>54515.814812829893</v>
      </c>
      <c r="CV385" s="65">
        <v>52463.268579626834</v>
      </c>
      <c r="CW385" s="35">
        <v>-2052.5462332030584</v>
      </c>
      <c r="CX385" s="73">
        <v>3043.7831588752756</v>
      </c>
      <c r="CY385" s="40">
        <v>5096.3293920783326</v>
      </c>
      <c r="CZ385" s="52">
        <v>2052.546233203057</v>
      </c>
      <c r="DA385" s="150">
        <v>35156.276508195093</v>
      </c>
      <c r="DB385" s="2">
        <v>3</v>
      </c>
      <c r="DC385" s="648">
        <v>67120.39</v>
      </c>
      <c r="DD385" s="648"/>
      <c r="DE385" s="649">
        <v>9560.7920282948326</v>
      </c>
      <c r="DG385" s="321">
        <v>-106488.28604405263</v>
      </c>
      <c r="DH385" s="5">
        <v>690715.175660462</v>
      </c>
      <c r="DI385" s="306">
        <v>4.8806978719143821</v>
      </c>
      <c r="DJ385" s="306"/>
      <c r="DK385" s="306"/>
      <c r="DL385" s="28">
        <v>28620.802776735691</v>
      </c>
      <c r="DM385" s="28">
        <v>0</v>
      </c>
      <c r="DN385" s="650">
        <v>28620.83</v>
      </c>
      <c r="DO385" s="94">
        <v>-2.7223264311032835E-2</v>
      </c>
      <c r="DP385" s="28">
        <v>28620.802776735691</v>
      </c>
      <c r="DQ385" s="318">
        <v>0</v>
      </c>
      <c r="DS385" s="8">
        <v>27257.907406414946</v>
      </c>
      <c r="DT385" s="5">
        <v>1362.8953703207474</v>
      </c>
      <c r="DW385" s="5">
        <v>22118.715462150536</v>
      </c>
      <c r="DX385" s="5">
        <v>17936.399999999998</v>
      </c>
    </row>
    <row r="386" spans="1:128" x14ac:dyDescent="0.3">
      <c r="A386" s="325">
        <v>150000912</v>
      </c>
      <c r="B386" s="41" t="s">
        <v>832</v>
      </c>
      <c r="C386" s="42" t="s">
        <v>320</v>
      </c>
      <c r="D386" s="42" t="s">
        <v>320</v>
      </c>
      <c r="E386" s="293">
        <v>4467.42</v>
      </c>
      <c r="F386" s="305">
        <v>4467.42</v>
      </c>
      <c r="G386" s="51"/>
      <c r="H386" s="651">
        <v>0</v>
      </c>
      <c r="I386" s="73">
        <v>2276.405720226182</v>
      </c>
      <c r="J386" s="40">
        <v>2555.7137178360326</v>
      </c>
      <c r="K386" s="52">
        <v>279.30799760985064</v>
      </c>
      <c r="L386" s="73">
        <v>468.67683122374075</v>
      </c>
      <c r="M386" s="40">
        <v>528.0207970018655</v>
      </c>
      <c r="N386" s="52">
        <v>59.343965778124755</v>
      </c>
      <c r="O386" s="73">
        <v>835.73586456555336</v>
      </c>
      <c r="P386" s="40">
        <v>835.40000000000009</v>
      </c>
      <c r="Q386" s="52">
        <v>-0.33586456555326549</v>
      </c>
      <c r="R386" s="73">
        <v>0</v>
      </c>
      <c r="S386" s="40">
        <v>0</v>
      </c>
      <c r="T386" s="52">
        <v>0</v>
      </c>
      <c r="U386" s="73">
        <v>106.19008433829519</v>
      </c>
      <c r="V386" s="40">
        <v>199.03585928008101</v>
      </c>
      <c r="W386" s="52">
        <v>92.84577494178582</v>
      </c>
      <c r="X386" s="73">
        <v>1394.2111891949967</v>
      </c>
      <c r="Y386" s="40">
        <v>1517.5076277175735</v>
      </c>
      <c r="Z386" s="52">
        <v>123.29643852257686</v>
      </c>
      <c r="AA386" s="73">
        <v>357.39359999999999</v>
      </c>
      <c r="AB386" s="40">
        <v>0</v>
      </c>
      <c r="AC386" s="52">
        <v>-357.39359999999999</v>
      </c>
      <c r="AD386" s="73">
        <v>3218.4222301348586</v>
      </c>
      <c r="AE386" s="40">
        <v>4026.5086231976779</v>
      </c>
      <c r="AF386" s="35">
        <v>808.0863930628193</v>
      </c>
      <c r="AG386" s="77">
        <v>8657.0355196836263</v>
      </c>
      <c r="AH386" s="53">
        <v>9662.1866250332314</v>
      </c>
      <c r="AI386" s="52">
        <v>1005.1511053496051</v>
      </c>
      <c r="AJ386" s="73">
        <v>0</v>
      </c>
      <c r="AK386" s="40">
        <v>0</v>
      </c>
      <c r="AL386" s="52">
        <v>0</v>
      </c>
      <c r="AM386" s="73">
        <v>0</v>
      </c>
      <c r="AN386" s="40">
        <v>0</v>
      </c>
      <c r="AO386" s="52">
        <v>0</v>
      </c>
      <c r="AP386" s="73">
        <v>1021.1602499999999</v>
      </c>
      <c r="AQ386" s="40">
        <v>1003.8578841469872</v>
      </c>
      <c r="AR386" s="52">
        <v>-17.302365853012702</v>
      </c>
      <c r="AS386" s="73">
        <v>9077.3062540449537</v>
      </c>
      <c r="AT386" s="40">
        <v>10717</v>
      </c>
      <c r="AU386" s="54">
        <v>1639.6937459550463</v>
      </c>
      <c r="AV386" s="73">
        <v>1047.2380004008926</v>
      </c>
      <c r="AW386" s="40">
        <v>1653</v>
      </c>
      <c r="AX386" s="55">
        <v>605.76199959910741</v>
      </c>
      <c r="AY386" s="73">
        <v>1297.1471790073567</v>
      </c>
      <c r="AZ386" s="40">
        <v>0</v>
      </c>
      <c r="BA386" s="35">
        <v>-1297.1471790073567</v>
      </c>
      <c r="BB386" s="73">
        <v>263.31899264872658</v>
      </c>
      <c r="BC386" s="40">
        <v>0</v>
      </c>
      <c r="BD386" s="55">
        <v>-263.31899264872658</v>
      </c>
      <c r="BE386" s="73">
        <v>0</v>
      </c>
      <c r="BF386" s="40">
        <v>0</v>
      </c>
      <c r="BG386" s="38">
        <v>0</v>
      </c>
      <c r="BH386" s="73">
        <v>512.90657367760684</v>
      </c>
      <c r="BI386" s="40">
        <v>0</v>
      </c>
      <c r="BJ386" s="55">
        <v>-512.90657367760684</v>
      </c>
      <c r="BK386" s="73">
        <v>1083.7426176887946</v>
      </c>
      <c r="BL386" s="40">
        <v>0</v>
      </c>
      <c r="BM386" s="38">
        <v>-1083.7426176887946</v>
      </c>
      <c r="BN386" s="73">
        <v>89.348399999999998</v>
      </c>
      <c r="BO386" s="40">
        <v>0</v>
      </c>
      <c r="BP386" s="55">
        <v>-89.348399999999998</v>
      </c>
      <c r="BQ386" s="77">
        <v>4293.7017634233771</v>
      </c>
      <c r="BR386" s="40">
        <v>1653</v>
      </c>
      <c r="BS386" s="55">
        <v>-2640.7017634233771</v>
      </c>
      <c r="BT386" s="73">
        <v>3133.08843545644</v>
      </c>
      <c r="BU386" s="40">
        <v>707.56572664828388</v>
      </c>
      <c r="BV386" s="52">
        <v>-2425.522708808156</v>
      </c>
      <c r="BW386" s="73">
        <v>2911.5617361142999</v>
      </c>
      <c r="BX386" s="40">
        <v>2936.4507340314922</v>
      </c>
      <c r="BY386" s="52">
        <v>24.888997917192228</v>
      </c>
      <c r="BZ386" s="73">
        <v>1885.0874708343181</v>
      </c>
      <c r="CA386" s="40">
        <v>5177.9326147359934</v>
      </c>
      <c r="CB386" s="52">
        <v>3292.8451439016753</v>
      </c>
      <c r="CC386" s="73">
        <v>319.87807010500001</v>
      </c>
      <c r="CD386" s="40">
        <v>403.61109480907066</v>
      </c>
      <c r="CE386" s="52">
        <v>83.733024704070658</v>
      </c>
      <c r="CF386" s="73">
        <v>38.005315260000003</v>
      </c>
      <c r="CG386" s="40">
        <v>0</v>
      </c>
      <c r="CH386" s="52">
        <v>-38.005315260000003</v>
      </c>
      <c r="CI386" s="73">
        <v>1538.64</v>
      </c>
      <c r="CJ386" s="40">
        <v>860.80150214339233</v>
      </c>
      <c r="CK386" s="52">
        <v>-677.83849785660777</v>
      </c>
      <c r="CL386" s="73">
        <v>0</v>
      </c>
      <c r="CM386" s="40">
        <v>0</v>
      </c>
      <c r="CN386" s="52">
        <v>0</v>
      </c>
      <c r="CO386" s="39">
        <v>1538.64</v>
      </c>
      <c r="CP386" s="40">
        <v>860.80150214339233</v>
      </c>
      <c r="CQ386" s="52">
        <v>-677.83849785660777</v>
      </c>
      <c r="CR386" s="72">
        <v>32875.464814922016</v>
      </c>
      <c r="CS386" s="5">
        <v>33122.406181548453</v>
      </c>
      <c r="CT386" s="52">
        <v>246.94136662643723</v>
      </c>
      <c r="CU386" s="77">
        <v>39450.557777906419</v>
      </c>
      <c r="CV386" s="65">
        <v>39746.887417858139</v>
      </c>
      <c r="CW386" s="35">
        <v>296.32963995172031</v>
      </c>
      <c r="CX386" s="73">
        <v>2202.6442012266848</v>
      </c>
      <c r="CY386" s="40">
        <v>1906.3145612749649</v>
      </c>
      <c r="CZ386" s="52">
        <v>-296.32963995171986</v>
      </c>
      <c r="DA386" s="150">
        <v>18709.928722338071</v>
      </c>
      <c r="DB386" s="2">
        <v>3</v>
      </c>
      <c r="DC386" s="648">
        <v>37387.18</v>
      </c>
      <c r="DD386" s="648"/>
      <c r="DE386" s="649">
        <v>-4266.0219791331037</v>
      </c>
      <c r="DG386" s="321">
        <v>21644.404204050279</v>
      </c>
      <c r="DH386" s="5">
        <v>499838.42374959728</v>
      </c>
      <c r="DI386" s="306">
        <v>4.6361306600679733</v>
      </c>
      <c r="DJ386" s="306"/>
      <c r="DK386" s="306"/>
      <c r="DL386" s="28">
        <v>20711.542833400865</v>
      </c>
      <c r="DM386" s="28">
        <v>0</v>
      </c>
      <c r="DN386" s="650">
        <v>20711.400000000001</v>
      </c>
      <c r="DO386" s="94">
        <v>0.14283340086331009</v>
      </c>
      <c r="DP386" s="28">
        <v>20711.542833400865</v>
      </c>
      <c r="DQ386" s="318">
        <v>0</v>
      </c>
      <c r="DS386" s="8">
        <v>19725.278888953209</v>
      </c>
      <c r="DT386" s="5">
        <v>986.26394444766038</v>
      </c>
      <c r="DW386" s="5">
        <v>16045.209620961998</v>
      </c>
      <c r="DX386" s="5">
        <v>14844</v>
      </c>
    </row>
    <row r="387" spans="1:128" x14ac:dyDescent="0.3">
      <c r="A387" s="325">
        <v>150000913</v>
      </c>
      <c r="B387" s="41" t="s">
        <v>833</v>
      </c>
      <c r="C387" s="42" t="s">
        <v>321</v>
      </c>
      <c r="D387" s="42" t="s">
        <v>321</v>
      </c>
      <c r="E387" s="293">
        <v>2779.82</v>
      </c>
      <c r="F387" s="305">
        <v>2779.82</v>
      </c>
      <c r="G387" s="51"/>
      <c r="H387" s="651">
        <v>0</v>
      </c>
      <c r="I387" s="73">
        <v>1511.6844646364848</v>
      </c>
      <c r="J387" s="40">
        <v>1695.5936787274336</v>
      </c>
      <c r="K387" s="52">
        <v>183.90921409094881</v>
      </c>
      <c r="L387" s="73">
        <v>309.68659486991743</v>
      </c>
      <c r="M387" s="40">
        <v>348.8986977239465</v>
      </c>
      <c r="N387" s="52">
        <v>39.212102854029069</v>
      </c>
      <c r="O387" s="73">
        <v>551.24271723668005</v>
      </c>
      <c r="P387" s="40">
        <v>551.2833333333333</v>
      </c>
      <c r="Q387" s="52">
        <v>4.0616096653252498E-2</v>
      </c>
      <c r="R387" s="73">
        <v>0</v>
      </c>
      <c r="S387" s="40">
        <v>0</v>
      </c>
      <c r="T387" s="52">
        <v>0</v>
      </c>
      <c r="U387" s="73">
        <v>106.19008433829519</v>
      </c>
      <c r="V387" s="40">
        <v>199.03585928008101</v>
      </c>
      <c r="W387" s="52">
        <v>92.84577494178582</v>
      </c>
      <c r="X387" s="73">
        <v>805.5168517790014</v>
      </c>
      <c r="Y387" s="40">
        <v>956.68683074655462</v>
      </c>
      <c r="Z387" s="52">
        <v>151.16997896755322</v>
      </c>
      <c r="AA387" s="73">
        <v>222.36959999999999</v>
      </c>
      <c r="AB387" s="40">
        <v>0</v>
      </c>
      <c r="AC387" s="52">
        <v>-222.36959999999999</v>
      </c>
      <c r="AD387" s="73">
        <v>2002.4964148099959</v>
      </c>
      <c r="AE387" s="40">
        <v>2505.4660633961817</v>
      </c>
      <c r="AF387" s="35">
        <v>502.96964858618571</v>
      </c>
      <c r="AG387" s="77">
        <v>5509.1867276703751</v>
      </c>
      <c r="AH387" s="53">
        <v>6256.9644632075306</v>
      </c>
      <c r="AI387" s="52">
        <v>747.77773553715542</v>
      </c>
      <c r="AJ387" s="73">
        <v>0</v>
      </c>
      <c r="AK387" s="40">
        <v>0</v>
      </c>
      <c r="AL387" s="52">
        <v>0</v>
      </c>
      <c r="AM387" s="73">
        <v>0</v>
      </c>
      <c r="AN387" s="40">
        <v>0</v>
      </c>
      <c r="AO387" s="52">
        <v>0</v>
      </c>
      <c r="AP387" s="73">
        <v>680.7734999999999</v>
      </c>
      <c r="AQ387" s="40">
        <v>0</v>
      </c>
      <c r="AR387" s="52">
        <v>-680.7734999999999</v>
      </c>
      <c r="AS387" s="73">
        <v>5546.0072409317254</v>
      </c>
      <c r="AT387" s="40">
        <v>17190</v>
      </c>
      <c r="AU387" s="54">
        <v>11643.992759068275</v>
      </c>
      <c r="AV387" s="73">
        <v>694.41928471045503</v>
      </c>
      <c r="AW387" s="40">
        <v>0</v>
      </c>
      <c r="AX387" s="55">
        <v>-694.41928471045503</v>
      </c>
      <c r="AY387" s="73">
        <v>857.19644864157817</v>
      </c>
      <c r="AZ387" s="40">
        <v>2586</v>
      </c>
      <c r="BA387" s="35">
        <v>1728.8035513584218</v>
      </c>
      <c r="BB387" s="73">
        <v>168.4692852767368</v>
      </c>
      <c r="BC387" s="40">
        <v>4329</v>
      </c>
      <c r="BD387" s="55">
        <v>4160.5307147232634</v>
      </c>
      <c r="BE387" s="73">
        <v>0</v>
      </c>
      <c r="BF387" s="40">
        <v>0</v>
      </c>
      <c r="BG387" s="38">
        <v>0</v>
      </c>
      <c r="BH387" s="73">
        <v>512.90657367760684</v>
      </c>
      <c r="BI387" s="40">
        <v>0</v>
      </c>
      <c r="BJ387" s="55">
        <v>-512.90657367760684</v>
      </c>
      <c r="BK387" s="73">
        <v>512.520520362154</v>
      </c>
      <c r="BL387" s="40">
        <v>0</v>
      </c>
      <c r="BM387" s="38">
        <v>-512.520520362154</v>
      </c>
      <c r="BN387" s="73">
        <v>55.592399999999998</v>
      </c>
      <c r="BO387" s="40">
        <v>0</v>
      </c>
      <c r="BP387" s="55">
        <v>-55.592399999999998</v>
      </c>
      <c r="BQ387" s="77">
        <v>2801.1045126685308</v>
      </c>
      <c r="BR387" s="40">
        <v>6915</v>
      </c>
      <c r="BS387" s="55">
        <v>4113.8954873314688</v>
      </c>
      <c r="BT387" s="73">
        <v>3110.2430792784398</v>
      </c>
      <c r="BU387" s="40">
        <v>937.99117457140676</v>
      </c>
      <c r="BV387" s="52">
        <v>-2172.2519047070332</v>
      </c>
      <c r="BW387" s="73">
        <v>1952.8654458045719</v>
      </c>
      <c r="BX387" s="40">
        <v>1989.4452878541113</v>
      </c>
      <c r="BY387" s="52">
        <v>36.579842049539366</v>
      </c>
      <c r="BZ387" s="73">
        <v>1920.8299371189939</v>
      </c>
      <c r="CA387" s="40">
        <v>5800.027025406459</v>
      </c>
      <c r="CB387" s="52">
        <v>3879.1970882874648</v>
      </c>
      <c r="CC387" s="73">
        <v>225.03005863249999</v>
      </c>
      <c r="CD387" s="40">
        <v>283.93515160260756</v>
      </c>
      <c r="CE387" s="52">
        <v>58.905092970107575</v>
      </c>
      <c r="CF387" s="73">
        <v>26.736244589999998</v>
      </c>
      <c r="CG387" s="40">
        <v>0</v>
      </c>
      <c r="CH387" s="52">
        <v>-26.736244589999998</v>
      </c>
      <c r="CI387" s="73">
        <v>822.26</v>
      </c>
      <c r="CJ387" s="40">
        <v>820.07909722101385</v>
      </c>
      <c r="CK387" s="52">
        <v>-2.1809027789861375</v>
      </c>
      <c r="CL387" s="73">
        <v>0</v>
      </c>
      <c r="CM387" s="40">
        <v>0</v>
      </c>
      <c r="CN387" s="52">
        <v>0</v>
      </c>
      <c r="CO387" s="39">
        <v>822.26</v>
      </c>
      <c r="CP387" s="40">
        <v>820.07909722101385</v>
      </c>
      <c r="CQ387" s="52">
        <v>-2.1809027789861375</v>
      </c>
      <c r="CR387" s="72">
        <v>22595.036746695136</v>
      </c>
      <c r="CS387" s="5">
        <v>40193.44219986313</v>
      </c>
      <c r="CT387" s="52">
        <v>17598.405453167994</v>
      </c>
      <c r="CU387" s="77">
        <v>27114.044096034162</v>
      </c>
      <c r="CV387" s="65">
        <v>48232.130639835756</v>
      </c>
      <c r="CW387" s="35">
        <v>21118.086543801594</v>
      </c>
      <c r="CX387" s="73">
        <v>1513.8592548210015</v>
      </c>
      <c r="CY387" s="40">
        <v>-19604.227288980594</v>
      </c>
      <c r="CZ387" s="52">
        <v>-21118.086543801594</v>
      </c>
      <c r="DA387" s="150">
        <v>66934.01440260747</v>
      </c>
      <c r="DB387" s="2">
        <v>3</v>
      </c>
      <c r="DC387" s="648">
        <v>17137.52</v>
      </c>
      <c r="DD387" s="648"/>
      <c r="DE387" s="649">
        <v>-11490.383350855162</v>
      </c>
      <c r="DG387" s="321">
        <v>-44408.093998915181</v>
      </c>
      <c r="DH387" s="5">
        <v>343534.84021026193</v>
      </c>
      <c r="DI387" s="306">
        <v>5.1211579821766771</v>
      </c>
      <c r="DJ387" s="306"/>
      <c r="DK387" s="306"/>
      <c r="DL387" s="28">
        <v>14235.897382014371</v>
      </c>
      <c r="DM387" s="28">
        <v>0</v>
      </c>
      <c r="DN387" s="650">
        <v>14235.98</v>
      </c>
      <c r="DO387" s="94">
        <v>-8.2617985628530732E-2</v>
      </c>
      <c r="DP387" s="28">
        <v>14235.897382014371</v>
      </c>
      <c r="DQ387" s="318">
        <v>1.0242315964351292</v>
      </c>
      <c r="DS387" s="8">
        <v>13557.022048017081</v>
      </c>
      <c r="DT387" s="5">
        <v>677.85110240085407</v>
      </c>
      <c r="DW387" s="5">
        <v>10016.534104320308</v>
      </c>
      <c r="DX387" s="5">
        <v>28926</v>
      </c>
    </row>
    <row r="388" spans="1:128" x14ac:dyDescent="0.3">
      <c r="A388" s="325">
        <v>150000914</v>
      </c>
      <c r="B388" s="41" t="s">
        <v>834</v>
      </c>
      <c r="C388" s="42" t="s">
        <v>322</v>
      </c>
      <c r="D388" s="42" t="s">
        <v>322</v>
      </c>
      <c r="E388" s="293">
        <v>2762.3</v>
      </c>
      <c r="F388" s="305">
        <v>2762.3</v>
      </c>
      <c r="G388" s="51"/>
      <c r="H388" s="651">
        <v>0</v>
      </c>
      <c r="I388" s="73">
        <v>1511.6844646364848</v>
      </c>
      <c r="J388" s="40">
        <v>1695.4404779693743</v>
      </c>
      <c r="K388" s="52">
        <v>183.75601333288955</v>
      </c>
      <c r="L388" s="73">
        <v>309.68659486991743</v>
      </c>
      <c r="M388" s="40">
        <v>348.8986977239465</v>
      </c>
      <c r="N388" s="52">
        <v>39.212102854029069</v>
      </c>
      <c r="O388" s="73">
        <v>551.24271723668005</v>
      </c>
      <c r="P388" s="40">
        <v>551.08333333333337</v>
      </c>
      <c r="Q388" s="52">
        <v>-0.15938390334667929</v>
      </c>
      <c r="R388" s="73">
        <v>0</v>
      </c>
      <c r="S388" s="40">
        <v>0</v>
      </c>
      <c r="T388" s="52">
        <v>0</v>
      </c>
      <c r="U388" s="73">
        <v>106.19008433829519</v>
      </c>
      <c r="V388" s="40">
        <v>199.03585928008101</v>
      </c>
      <c r="W388" s="52">
        <v>92.84577494178582</v>
      </c>
      <c r="X388" s="73">
        <v>805.5168517790014</v>
      </c>
      <c r="Y388" s="40">
        <v>837.13369210247356</v>
      </c>
      <c r="Z388" s="52">
        <v>31.616840323472161</v>
      </c>
      <c r="AA388" s="73">
        <v>220.98400000000001</v>
      </c>
      <c r="AB388" s="40">
        <v>0</v>
      </c>
      <c r="AC388" s="52">
        <v>-220.98400000000001</v>
      </c>
      <c r="AD388" s="73">
        <v>1990.0136608329419</v>
      </c>
      <c r="AE388" s="40">
        <v>2489.6751972858938</v>
      </c>
      <c r="AF388" s="35">
        <v>499.66153645295185</v>
      </c>
      <c r="AG388" s="77">
        <v>5495.3183736933206</v>
      </c>
      <c r="AH388" s="53">
        <v>6121.2672576951027</v>
      </c>
      <c r="AI388" s="52">
        <v>625.94888400178206</v>
      </c>
      <c r="AJ388" s="73">
        <v>0</v>
      </c>
      <c r="AK388" s="40">
        <v>0</v>
      </c>
      <c r="AL388" s="52">
        <v>0</v>
      </c>
      <c r="AM388" s="73">
        <v>0</v>
      </c>
      <c r="AN388" s="40">
        <v>0</v>
      </c>
      <c r="AO388" s="52">
        <v>0</v>
      </c>
      <c r="AP388" s="73">
        <v>680.7734999999999</v>
      </c>
      <c r="AQ388" s="40">
        <v>0</v>
      </c>
      <c r="AR388" s="52">
        <v>-680.7734999999999</v>
      </c>
      <c r="AS388" s="73">
        <v>5550.1384520486863</v>
      </c>
      <c r="AT388" s="40">
        <v>0</v>
      </c>
      <c r="AU388" s="54">
        <v>-5550.1384520486863</v>
      </c>
      <c r="AV388" s="73">
        <v>694.41928471045503</v>
      </c>
      <c r="AW388" s="40">
        <v>0</v>
      </c>
      <c r="AX388" s="55">
        <v>-694.41928471045503</v>
      </c>
      <c r="AY388" s="73">
        <v>857.19644864157817</v>
      </c>
      <c r="AZ388" s="40">
        <v>0</v>
      </c>
      <c r="BA388" s="35">
        <v>-857.19644864157817</v>
      </c>
      <c r="BB388" s="73">
        <v>168.4692852767368</v>
      </c>
      <c r="BC388" s="40">
        <v>0</v>
      </c>
      <c r="BD388" s="55">
        <v>-168.4692852767368</v>
      </c>
      <c r="BE388" s="73">
        <v>0</v>
      </c>
      <c r="BF388" s="40">
        <v>0</v>
      </c>
      <c r="BG388" s="38">
        <v>0</v>
      </c>
      <c r="BH388" s="73">
        <v>512.90657367760684</v>
      </c>
      <c r="BI388" s="40">
        <v>0</v>
      </c>
      <c r="BJ388" s="55">
        <v>-512.90657367760684</v>
      </c>
      <c r="BK388" s="73">
        <v>512.520520362154</v>
      </c>
      <c r="BL388" s="40">
        <v>0</v>
      </c>
      <c r="BM388" s="38">
        <v>-512.520520362154</v>
      </c>
      <c r="BN388" s="73">
        <v>55.246000000000002</v>
      </c>
      <c r="BO388" s="40">
        <v>0</v>
      </c>
      <c r="BP388" s="55">
        <v>-55.246000000000002</v>
      </c>
      <c r="BQ388" s="77">
        <v>2800.7581126685309</v>
      </c>
      <c r="BR388" s="40">
        <v>0</v>
      </c>
      <c r="BS388" s="55">
        <v>-2800.7581126685309</v>
      </c>
      <c r="BT388" s="73">
        <v>2853.66835753946</v>
      </c>
      <c r="BU388" s="40">
        <v>877.76426131349285</v>
      </c>
      <c r="BV388" s="52">
        <v>-1975.9040962259671</v>
      </c>
      <c r="BW388" s="73">
        <v>1953.77992913293</v>
      </c>
      <c r="BX388" s="40">
        <v>2980.3499683734035</v>
      </c>
      <c r="BY388" s="52">
        <v>1026.5700392404735</v>
      </c>
      <c r="BZ388" s="73">
        <v>1757.646151623072</v>
      </c>
      <c r="CA388" s="40">
        <v>5444.5885203038033</v>
      </c>
      <c r="CB388" s="52">
        <v>3686.9423686807313</v>
      </c>
      <c r="CC388" s="73">
        <v>199.89514459750001</v>
      </c>
      <c r="CD388" s="40">
        <v>252.22078566227214</v>
      </c>
      <c r="CE388" s="52">
        <v>52.325641064772128</v>
      </c>
      <c r="CF388" s="73">
        <v>23.749918170000001</v>
      </c>
      <c r="CG388" s="40">
        <v>0</v>
      </c>
      <c r="CH388" s="52">
        <v>-23.749918170000001</v>
      </c>
      <c r="CI388" s="73">
        <v>1382.9</v>
      </c>
      <c r="CJ388" s="40">
        <v>1838.073796245227</v>
      </c>
      <c r="CK388" s="52">
        <v>455.17379624522687</v>
      </c>
      <c r="CL388" s="73">
        <v>0</v>
      </c>
      <c r="CM388" s="40">
        <v>0</v>
      </c>
      <c r="CN388" s="52">
        <v>0</v>
      </c>
      <c r="CO388" s="39">
        <v>1382.9</v>
      </c>
      <c r="CP388" s="40">
        <v>1838.073796245227</v>
      </c>
      <c r="CQ388" s="52">
        <v>455.17379624522687</v>
      </c>
      <c r="CR388" s="72">
        <v>22698.627939473496</v>
      </c>
      <c r="CS388" s="5">
        <v>17514.264589593302</v>
      </c>
      <c r="CT388" s="52">
        <v>-5184.3633498801937</v>
      </c>
      <c r="CU388" s="77">
        <v>27238.353527368196</v>
      </c>
      <c r="CV388" s="65">
        <v>21017.117507511961</v>
      </c>
      <c r="CW388" s="35">
        <v>-6221.2360198562346</v>
      </c>
      <c r="CX388" s="73">
        <v>1520.799827109666</v>
      </c>
      <c r="CY388" s="40">
        <v>7742.0358469659004</v>
      </c>
      <c r="CZ388" s="52">
        <v>6221.2360198562346</v>
      </c>
      <c r="DA388" s="150">
        <v>9233.9894998496784</v>
      </c>
      <c r="DB388" s="2">
        <v>3</v>
      </c>
      <c r="DC388" s="648">
        <v>25153.05</v>
      </c>
      <c r="DD388" s="648"/>
      <c r="DE388" s="649">
        <v>-3606.103354477862</v>
      </c>
      <c r="DG388" s="321">
        <v>-28534.099539050432</v>
      </c>
      <c r="DH388" s="5">
        <v>345109.84025373432</v>
      </c>
      <c r="DI388" s="306">
        <v>5.1768944726743298</v>
      </c>
      <c r="DJ388" s="306"/>
      <c r="DK388" s="306"/>
      <c r="DL388" s="28">
        <v>14300.135601868302</v>
      </c>
      <c r="DM388" s="28">
        <v>0</v>
      </c>
      <c r="DN388" s="650">
        <v>14300.15</v>
      </c>
      <c r="DO388" s="94">
        <v>-1.4398131697817007E-2</v>
      </c>
      <c r="DP388" s="28">
        <v>14300.135601868302</v>
      </c>
      <c r="DQ388" s="318">
        <v>0</v>
      </c>
      <c r="DS388" s="8">
        <v>13619.176763684098</v>
      </c>
      <c r="DT388" s="5">
        <v>680.95883818420486</v>
      </c>
      <c r="DW388" s="5">
        <v>10021.07587766066</v>
      </c>
      <c r="DX388" s="5">
        <v>0</v>
      </c>
    </row>
    <row r="389" spans="1:128" x14ac:dyDescent="0.3">
      <c r="A389" s="325">
        <v>150000915</v>
      </c>
      <c r="B389" s="41" t="s">
        <v>835</v>
      </c>
      <c r="C389" s="42" t="s">
        <v>323</v>
      </c>
      <c r="D389" s="42" t="s">
        <v>323</v>
      </c>
      <c r="E389" s="293">
        <v>2743.4</v>
      </c>
      <c r="F389" s="305">
        <v>2743.4</v>
      </c>
      <c r="G389" s="51"/>
      <c r="H389" s="651">
        <v>0</v>
      </c>
      <c r="I389" s="73">
        <v>1511.5479404656298</v>
      </c>
      <c r="J389" s="40">
        <v>1695.109214744798</v>
      </c>
      <c r="K389" s="52">
        <v>183.56127427916817</v>
      </c>
      <c r="L389" s="73">
        <v>309.68659486991743</v>
      </c>
      <c r="M389" s="40">
        <v>348.8986977239465</v>
      </c>
      <c r="N389" s="52">
        <v>39.212102854029069</v>
      </c>
      <c r="O389" s="73">
        <v>551.24271723668005</v>
      </c>
      <c r="P389" s="40">
        <v>551.41666666666674</v>
      </c>
      <c r="Q389" s="52">
        <v>0.17394942998669194</v>
      </c>
      <c r="R389" s="73">
        <v>0</v>
      </c>
      <c r="S389" s="40">
        <v>0</v>
      </c>
      <c r="T389" s="52">
        <v>0</v>
      </c>
      <c r="U389" s="73">
        <v>106.19008433829519</v>
      </c>
      <c r="V389" s="40">
        <v>199.03585928008101</v>
      </c>
      <c r="W389" s="52">
        <v>92.84577494178582</v>
      </c>
      <c r="X389" s="73">
        <v>805.38794644617712</v>
      </c>
      <c r="Y389" s="40">
        <v>836.9722717203191</v>
      </c>
      <c r="Z389" s="52">
        <v>31.584325274141975</v>
      </c>
      <c r="AA389" s="73">
        <v>219.47200000000001</v>
      </c>
      <c r="AB389" s="40">
        <v>0</v>
      </c>
      <c r="AC389" s="52">
        <v>-219.47200000000001</v>
      </c>
      <c r="AD389" s="73">
        <v>1976.3997159843295</v>
      </c>
      <c r="AE389" s="40">
        <v>2472.640530077877</v>
      </c>
      <c r="AF389" s="35">
        <v>496.24081409354744</v>
      </c>
      <c r="AG389" s="77">
        <v>5479.9269993410289</v>
      </c>
      <c r="AH389" s="53">
        <v>6104.0732402136891</v>
      </c>
      <c r="AI389" s="52">
        <v>624.1462408726602</v>
      </c>
      <c r="AJ389" s="73">
        <v>0</v>
      </c>
      <c r="AK389" s="40">
        <v>0</v>
      </c>
      <c r="AL389" s="52">
        <v>0</v>
      </c>
      <c r="AM389" s="73">
        <v>0</v>
      </c>
      <c r="AN389" s="40">
        <v>0</v>
      </c>
      <c r="AO389" s="52">
        <v>0</v>
      </c>
      <c r="AP389" s="73">
        <v>680.7734999999999</v>
      </c>
      <c r="AQ389" s="40">
        <v>669.23858943132484</v>
      </c>
      <c r="AR389" s="52">
        <v>-11.534910568675059</v>
      </c>
      <c r="AS389" s="73">
        <v>4352.1984325649546</v>
      </c>
      <c r="AT389" s="40">
        <v>7957</v>
      </c>
      <c r="AU389" s="54">
        <v>3604.8015674350454</v>
      </c>
      <c r="AV389" s="73">
        <v>694.30149516181064</v>
      </c>
      <c r="AW389" s="40">
        <v>0</v>
      </c>
      <c r="AX389" s="55">
        <v>-694.30149516181064</v>
      </c>
      <c r="AY389" s="73">
        <v>857.19644864157817</v>
      </c>
      <c r="AZ389" s="40">
        <v>0</v>
      </c>
      <c r="BA389" s="35">
        <v>-857.19644864157817</v>
      </c>
      <c r="BB389" s="73">
        <v>168.4692852767368</v>
      </c>
      <c r="BC389" s="40">
        <v>0</v>
      </c>
      <c r="BD389" s="55">
        <v>-168.4692852767368</v>
      </c>
      <c r="BE389" s="73">
        <v>0</v>
      </c>
      <c r="BF389" s="40">
        <v>0</v>
      </c>
      <c r="BG389" s="38">
        <v>0</v>
      </c>
      <c r="BH389" s="73">
        <v>512.90657367760684</v>
      </c>
      <c r="BI389" s="40">
        <v>0</v>
      </c>
      <c r="BJ389" s="55">
        <v>-512.90657367760684</v>
      </c>
      <c r="BK389" s="73">
        <v>512.33734096513103</v>
      </c>
      <c r="BL389" s="40">
        <v>0</v>
      </c>
      <c r="BM389" s="38">
        <v>-512.33734096513103</v>
      </c>
      <c r="BN389" s="73">
        <v>54.868000000000002</v>
      </c>
      <c r="BO389" s="40">
        <v>0</v>
      </c>
      <c r="BP389" s="55">
        <v>-54.868000000000002</v>
      </c>
      <c r="BQ389" s="77">
        <v>2800.0791437228631</v>
      </c>
      <c r="BR389" s="40">
        <v>0</v>
      </c>
      <c r="BS389" s="55">
        <v>-2800.0791437228631</v>
      </c>
      <c r="BT389" s="73">
        <v>3477.51166090988</v>
      </c>
      <c r="BU389" s="40">
        <v>1018.2745946781431</v>
      </c>
      <c r="BV389" s="52">
        <v>-2459.2370662317371</v>
      </c>
      <c r="BW389" s="73">
        <v>1922.96745431824</v>
      </c>
      <c r="BX389" s="40">
        <v>2982.901272780769</v>
      </c>
      <c r="BY389" s="52">
        <v>1059.933818462529</v>
      </c>
      <c r="BZ389" s="73">
        <v>1832.6595909535481</v>
      </c>
      <c r="CA389" s="40">
        <v>6147.1415061928856</v>
      </c>
      <c r="CB389" s="52">
        <v>4314.4819152393375</v>
      </c>
      <c r="CC389" s="73">
        <v>199.85694563999999</v>
      </c>
      <c r="CD389" s="40">
        <v>252.17258753774286</v>
      </c>
      <c r="CE389" s="52">
        <v>52.315641897742864</v>
      </c>
      <c r="CF389" s="73">
        <v>23.745379679999999</v>
      </c>
      <c r="CG389" s="40">
        <v>0</v>
      </c>
      <c r="CH389" s="52">
        <v>-23.745379679999999</v>
      </c>
      <c r="CI389" s="73">
        <v>1177.3399999999999</v>
      </c>
      <c r="CJ389" s="40">
        <v>1100.8005177525008</v>
      </c>
      <c r="CK389" s="52">
        <v>-76.539482247499109</v>
      </c>
      <c r="CL389" s="73">
        <v>0</v>
      </c>
      <c r="CM389" s="40">
        <v>0</v>
      </c>
      <c r="CN389" s="52">
        <v>0</v>
      </c>
      <c r="CO389" s="39">
        <v>1177.3399999999999</v>
      </c>
      <c r="CP389" s="40">
        <v>1100.8005177525008</v>
      </c>
      <c r="CQ389" s="52">
        <v>-76.539482247499109</v>
      </c>
      <c r="CR389" s="72">
        <v>21947.059107130517</v>
      </c>
      <c r="CS389" s="5">
        <v>26231.602308587055</v>
      </c>
      <c r="CT389" s="52">
        <v>4284.5432014565376</v>
      </c>
      <c r="CU389" s="77">
        <v>26336.47092855662</v>
      </c>
      <c r="CV389" s="65">
        <v>31477.922770304463</v>
      </c>
      <c r="CW389" s="35">
        <v>5141.451841747843</v>
      </c>
      <c r="CX389" s="73">
        <v>1470.444988335445</v>
      </c>
      <c r="CY389" s="40">
        <v>-3671.0068534123966</v>
      </c>
      <c r="CZ389" s="52">
        <v>-5141.4518417478412</v>
      </c>
      <c r="DA389" s="150">
        <v>74595.167066612717</v>
      </c>
      <c r="DB389" s="2">
        <v>3</v>
      </c>
      <c r="DC389" s="648">
        <v>24728.49</v>
      </c>
      <c r="DD389" s="648"/>
      <c r="DE389" s="649">
        <v>-3078.4259168920653</v>
      </c>
      <c r="DG389" s="321">
        <v>28714.196773694704</v>
      </c>
      <c r="DH389" s="5">
        <v>333682.99100270483</v>
      </c>
      <c r="DI389" s="306">
        <v>5.0399676450726201</v>
      </c>
      <c r="DJ389" s="306"/>
      <c r="DK389" s="306"/>
      <c r="DL389" s="28">
        <v>13826.647237492227</v>
      </c>
      <c r="DM389" s="28">
        <v>0</v>
      </c>
      <c r="DN389" s="650">
        <v>13826.76</v>
      </c>
      <c r="DO389" s="94">
        <v>-0.11276250777336827</v>
      </c>
      <c r="DP389" s="28">
        <v>13826.647237492227</v>
      </c>
      <c r="DQ389" s="318">
        <v>0</v>
      </c>
      <c r="DS389" s="8">
        <v>13168.23546427831</v>
      </c>
      <c r="DT389" s="5">
        <v>658.41177321391547</v>
      </c>
      <c r="DW389" s="5">
        <v>8582.7330915453804</v>
      </c>
      <c r="DX389" s="5">
        <v>9548.4</v>
      </c>
    </row>
    <row r="390" spans="1:128" x14ac:dyDescent="0.3">
      <c r="A390" s="325">
        <v>150000916</v>
      </c>
      <c r="B390" s="41" t="s">
        <v>836</v>
      </c>
      <c r="C390" s="42" t="s">
        <v>324</v>
      </c>
      <c r="D390" s="42" t="s">
        <v>324</v>
      </c>
      <c r="E390" s="293">
        <v>5790.5</v>
      </c>
      <c r="F390" s="305">
        <v>5601.9</v>
      </c>
      <c r="G390" s="51"/>
      <c r="H390" s="651">
        <v>188.6</v>
      </c>
      <c r="I390" s="73">
        <v>2972.3174952277682</v>
      </c>
      <c r="J390" s="40">
        <v>3337.1168045115737</v>
      </c>
      <c r="K390" s="52">
        <v>364.79930928380554</v>
      </c>
      <c r="L390" s="73">
        <v>623.9949920870647</v>
      </c>
      <c r="M390" s="40">
        <v>703.00556518233248</v>
      </c>
      <c r="N390" s="52">
        <v>79.010573095267773</v>
      </c>
      <c r="O390" s="73">
        <v>1155.5637031854667</v>
      </c>
      <c r="P390" s="40">
        <v>1155.9000000000001</v>
      </c>
      <c r="Q390" s="52">
        <v>0.33629681453339799</v>
      </c>
      <c r="R390" s="73">
        <v>0</v>
      </c>
      <c r="S390" s="40">
        <v>0</v>
      </c>
      <c r="T390" s="52">
        <v>0</v>
      </c>
      <c r="U390" s="73">
        <v>222.27236452236727</v>
      </c>
      <c r="V390" s="40">
        <v>416.61492920911996</v>
      </c>
      <c r="W390" s="52">
        <v>194.3425646867527</v>
      </c>
      <c r="X390" s="73">
        <v>2195.7550960290805</v>
      </c>
      <c r="Y390" s="40">
        <v>2399.2869158922294</v>
      </c>
      <c r="Z390" s="52">
        <v>203.53181986314894</v>
      </c>
      <c r="AA390" s="73">
        <v>468.21600000000001</v>
      </c>
      <c r="AB390" s="40">
        <v>0</v>
      </c>
      <c r="AC390" s="52">
        <v>-468.21600000000001</v>
      </c>
      <c r="AD390" s="73">
        <v>4206.4434072788163</v>
      </c>
      <c r="AE390" s="40">
        <v>5219.0074321702814</v>
      </c>
      <c r="AF390" s="35">
        <v>1012.5640248914651</v>
      </c>
      <c r="AG390" s="77">
        <v>11844.563058330565</v>
      </c>
      <c r="AH390" s="53">
        <v>13230.931646965537</v>
      </c>
      <c r="AI390" s="52">
        <v>1386.3685886349722</v>
      </c>
      <c r="AJ390" s="73">
        <v>0</v>
      </c>
      <c r="AK390" s="40">
        <v>0</v>
      </c>
      <c r="AL390" s="52">
        <v>0</v>
      </c>
      <c r="AM390" s="73">
        <v>0</v>
      </c>
      <c r="AN390" s="40">
        <v>0</v>
      </c>
      <c r="AO390" s="52">
        <v>0</v>
      </c>
      <c r="AP390" s="73">
        <v>1304.8158749999998</v>
      </c>
      <c r="AQ390" s="40">
        <v>6357.7665995975858</v>
      </c>
      <c r="AR390" s="52">
        <v>5052.9507245975856</v>
      </c>
      <c r="AS390" s="73">
        <v>11925.430250926631</v>
      </c>
      <c r="AT390" s="40">
        <v>2578</v>
      </c>
      <c r="AU390" s="54">
        <v>-9347.4302509266308</v>
      </c>
      <c r="AV390" s="73">
        <v>1380.4959826144391</v>
      </c>
      <c r="AW390" s="40">
        <v>0</v>
      </c>
      <c r="AX390" s="55">
        <v>-1380.4959826144391</v>
      </c>
      <c r="AY390" s="73">
        <v>1727.0114881220306</v>
      </c>
      <c r="AZ390" s="40">
        <v>0</v>
      </c>
      <c r="BA390" s="35">
        <v>-1727.0114881220306</v>
      </c>
      <c r="BB390" s="73">
        <v>363.87293214132001</v>
      </c>
      <c r="BC390" s="40">
        <v>3494</v>
      </c>
      <c r="BD390" s="55">
        <v>3130.1270678586798</v>
      </c>
      <c r="BE390" s="73">
        <v>0</v>
      </c>
      <c r="BF390" s="40">
        <v>0</v>
      </c>
      <c r="BG390" s="38">
        <v>0</v>
      </c>
      <c r="BH390" s="73">
        <v>1073.3461173074966</v>
      </c>
      <c r="BI390" s="40">
        <v>0</v>
      </c>
      <c r="BJ390" s="55">
        <v>-1073.3461173074966</v>
      </c>
      <c r="BK390" s="73">
        <v>1809.3154678753031</v>
      </c>
      <c r="BL390" s="40">
        <v>0</v>
      </c>
      <c r="BM390" s="38">
        <v>-1809.3154678753031</v>
      </c>
      <c r="BN390" s="73">
        <v>117.054</v>
      </c>
      <c r="BO390" s="40">
        <v>0</v>
      </c>
      <c r="BP390" s="55">
        <v>-117.054</v>
      </c>
      <c r="BQ390" s="77">
        <v>6471.0959880605897</v>
      </c>
      <c r="BR390" s="40">
        <v>3494</v>
      </c>
      <c r="BS390" s="55">
        <v>-2977.0959880605897</v>
      </c>
      <c r="BT390" s="73">
        <v>5184.3242336491203</v>
      </c>
      <c r="BU390" s="40">
        <v>914.08999743978222</v>
      </c>
      <c r="BV390" s="52">
        <v>-4270.2342362093377</v>
      </c>
      <c r="BW390" s="73">
        <v>4033.8925720627399</v>
      </c>
      <c r="BX390" s="40">
        <v>6435.3090326087822</v>
      </c>
      <c r="BY390" s="52">
        <v>2401.4164605460423</v>
      </c>
      <c r="BZ390" s="73">
        <v>2019.7009820241201</v>
      </c>
      <c r="CA390" s="40">
        <v>6846.1109008072453</v>
      </c>
      <c r="CB390" s="52">
        <v>4826.4099187831252</v>
      </c>
      <c r="CC390" s="73">
        <v>302.34474861249998</v>
      </c>
      <c r="CD390" s="40">
        <v>381.48815565008294</v>
      </c>
      <c r="CE390" s="52">
        <v>79.143407037582961</v>
      </c>
      <c r="CF390" s="73">
        <v>35.922148350000001</v>
      </c>
      <c r="CG390" s="40">
        <v>0</v>
      </c>
      <c r="CH390" s="52">
        <v>-35.922148350000001</v>
      </c>
      <c r="CI390" s="73">
        <v>233.6</v>
      </c>
      <c r="CJ390" s="40">
        <v>1089.9812720770055</v>
      </c>
      <c r="CK390" s="52">
        <v>856.38127207700552</v>
      </c>
      <c r="CL390" s="73">
        <v>0</v>
      </c>
      <c r="CM390" s="40">
        <v>0</v>
      </c>
      <c r="CN390" s="52">
        <v>0</v>
      </c>
      <c r="CO390" s="39">
        <v>233.6</v>
      </c>
      <c r="CP390" s="40">
        <v>1089.9812720770055</v>
      </c>
      <c r="CQ390" s="52">
        <v>856.38127207700552</v>
      </c>
      <c r="CR390" s="72">
        <v>43355.689857016267</v>
      </c>
      <c r="CS390" s="5">
        <v>41327.677605146026</v>
      </c>
      <c r="CT390" s="52">
        <v>-2028.012251870241</v>
      </c>
      <c r="CU390" s="77">
        <v>52026.827828419518</v>
      </c>
      <c r="CV390" s="65">
        <v>49593.213126175229</v>
      </c>
      <c r="CW390" s="35">
        <v>-2433.6147022442892</v>
      </c>
      <c r="CX390" s="73">
        <v>2904.8154723091175</v>
      </c>
      <c r="CY390" s="40">
        <v>5338.4301745534103</v>
      </c>
      <c r="CZ390" s="52">
        <v>2433.6147022442929</v>
      </c>
      <c r="DA390" s="150">
        <v>102142.17359200369</v>
      </c>
      <c r="DB390" s="2">
        <v>3</v>
      </c>
      <c r="DC390" s="648">
        <v>65175.28</v>
      </c>
      <c r="DD390" s="648">
        <v>384.74999999999994</v>
      </c>
      <c r="DE390" s="649">
        <v>10628.386699271359</v>
      </c>
      <c r="DG390" s="321">
        <v>55172.539682145871</v>
      </c>
      <c r="DH390" s="5">
        <v>659179.71960874368</v>
      </c>
      <c r="DI390" s="306">
        <v>4.6863605320110375</v>
      </c>
      <c r="DJ390" s="306"/>
      <c r="DK390" s="306">
        <v>4.2327015376699162</v>
      </c>
      <c r="DL390" s="28">
        <v>26252.523064272631</v>
      </c>
      <c r="DM390" s="28">
        <v>798.28751000454622</v>
      </c>
      <c r="DN390" s="650">
        <v>26252.77</v>
      </c>
      <c r="DO390" s="94">
        <v>-0.2469357273694186</v>
      </c>
      <c r="DP390" s="28">
        <v>27050.810574277177</v>
      </c>
      <c r="DQ390" s="318">
        <v>-263.27403564306951</v>
      </c>
      <c r="DS390" s="8">
        <v>26013.413914209759</v>
      </c>
      <c r="DT390" s="5">
        <v>1300.670695710488</v>
      </c>
      <c r="DW390" s="5">
        <v>22075.831486784668</v>
      </c>
      <c r="DX390" s="5">
        <v>7286.4</v>
      </c>
    </row>
    <row r="391" spans="1:128" x14ac:dyDescent="0.3">
      <c r="A391" s="325">
        <v>150000917</v>
      </c>
      <c r="B391" s="41" t="s">
        <v>837</v>
      </c>
      <c r="C391" s="42" t="s">
        <v>325</v>
      </c>
      <c r="D391" s="42" t="s">
        <v>325</v>
      </c>
      <c r="E391" s="293">
        <v>4445.5</v>
      </c>
      <c r="F391" s="305">
        <v>4445.5</v>
      </c>
      <c r="G391" s="51"/>
      <c r="H391" s="651">
        <v>0</v>
      </c>
      <c r="I391" s="73">
        <v>2279.4827487934481</v>
      </c>
      <c r="J391" s="40">
        <v>2558.8073102946396</v>
      </c>
      <c r="K391" s="52">
        <v>279.32456150119151</v>
      </c>
      <c r="L391" s="73">
        <v>469.28177063727816</v>
      </c>
      <c r="M391" s="40">
        <v>528.70223977085755</v>
      </c>
      <c r="N391" s="52">
        <v>59.420469133579388</v>
      </c>
      <c r="O391" s="73">
        <v>864.23146636438332</v>
      </c>
      <c r="P391" s="40">
        <v>863.95</v>
      </c>
      <c r="Q391" s="52">
        <v>-0.28146636438327732</v>
      </c>
      <c r="R391" s="73">
        <v>0</v>
      </c>
      <c r="S391" s="40">
        <v>0</v>
      </c>
      <c r="T391" s="52">
        <v>0</v>
      </c>
      <c r="U391" s="73">
        <v>143.60199067673076</v>
      </c>
      <c r="V391" s="40">
        <v>269.15996592635861</v>
      </c>
      <c r="W391" s="52">
        <v>125.55797524962784</v>
      </c>
      <c r="X391" s="73">
        <v>1400.167369981355</v>
      </c>
      <c r="Y391" s="40">
        <v>1524.4889998041544</v>
      </c>
      <c r="Z391" s="52">
        <v>124.32162982279942</v>
      </c>
      <c r="AA391" s="73">
        <v>355.65600000000001</v>
      </c>
      <c r="AB391" s="40">
        <v>0</v>
      </c>
      <c r="AC391" s="52">
        <v>-355.65600000000001</v>
      </c>
      <c r="AD391" s="73">
        <v>3202.7732313106126</v>
      </c>
      <c r="AE391" s="40">
        <v>4006.7520144569526</v>
      </c>
      <c r="AF391" s="35">
        <v>803.97878314633999</v>
      </c>
      <c r="AG391" s="77">
        <v>8715.1945777638066</v>
      </c>
      <c r="AH391" s="53">
        <v>9751.8605302529613</v>
      </c>
      <c r="AI391" s="52">
        <v>1036.6659524891547</v>
      </c>
      <c r="AJ391" s="73">
        <v>0</v>
      </c>
      <c r="AK391" s="40">
        <v>0</v>
      </c>
      <c r="AL391" s="52">
        <v>0</v>
      </c>
      <c r="AM391" s="73">
        <v>0</v>
      </c>
      <c r="AN391" s="40">
        <v>0</v>
      </c>
      <c r="AO391" s="52">
        <v>0</v>
      </c>
      <c r="AP391" s="73">
        <v>1021.1602499999999</v>
      </c>
      <c r="AQ391" s="40">
        <v>5019.2894207349364</v>
      </c>
      <c r="AR391" s="52">
        <v>3998.1291707349365</v>
      </c>
      <c r="AS391" s="73">
        <v>7793.853028238258</v>
      </c>
      <c r="AT391" s="40">
        <v>0</v>
      </c>
      <c r="AU391" s="54">
        <v>-7793.853028238258</v>
      </c>
      <c r="AV391" s="73">
        <v>1049.5529804325081</v>
      </c>
      <c r="AW391" s="40">
        <v>0</v>
      </c>
      <c r="AX391" s="55">
        <v>-1049.5529804325081</v>
      </c>
      <c r="AY391" s="73">
        <v>1298.8212063658725</v>
      </c>
      <c r="AZ391" s="40">
        <v>0</v>
      </c>
      <c r="BA391" s="35">
        <v>-1298.8212063658725</v>
      </c>
      <c r="BB391" s="73">
        <v>270.84428789176661</v>
      </c>
      <c r="BC391" s="40">
        <v>0</v>
      </c>
      <c r="BD391" s="55">
        <v>-270.84428789176661</v>
      </c>
      <c r="BE391" s="73">
        <v>0</v>
      </c>
      <c r="BF391" s="40">
        <v>0</v>
      </c>
      <c r="BG391" s="38">
        <v>0</v>
      </c>
      <c r="BH391" s="73">
        <v>693.37918820845721</v>
      </c>
      <c r="BI391" s="40">
        <v>16.5</v>
      </c>
      <c r="BJ391" s="55">
        <v>-676.87918820845721</v>
      </c>
      <c r="BK391" s="73">
        <v>1090.9452894415601</v>
      </c>
      <c r="BL391" s="40">
        <v>0</v>
      </c>
      <c r="BM391" s="38">
        <v>-1090.9452894415601</v>
      </c>
      <c r="BN391" s="73">
        <v>88.914000000000001</v>
      </c>
      <c r="BO391" s="40">
        <v>0</v>
      </c>
      <c r="BP391" s="55">
        <v>-88.914000000000001</v>
      </c>
      <c r="BQ391" s="77">
        <v>4492.4569523401642</v>
      </c>
      <c r="BR391" s="40">
        <v>16.5</v>
      </c>
      <c r="BS391" s="55">
        <v>-4475.9569523401642</v>
      </c>
      <c r="BT391" s="73">
        <v>4972.5647710912799</v>
      </c>
      <c r="BU391" s="40">
        <v>1293.9584146655905</v>
      </c>
      <c r="BV391" s="52">
        <v>-3678.6063564256892</v>
      </c>
      <c r="BW391" s="73">
        <v>2910.0925679847601</v>
      </c>
      <c r="BX391" s="40">
        <v>4633.4638981469589</v>
      </c>
      <c r="BY391" s="52">
        <v>1723.3713301621988</v>
      </c>
      <c r="BZ391" s="73">
        <v>1881.420974346092</v>
      </c>
      <c r="CA391" s="40">
        <v>7525.5630734508823</v>
      </c>
      <c r="CB391" s="52">
        <v>5644.1420991047908</v>
      </c>
      <c r="CC391" s="73">
        <v>358.76460883999999</v>
      </c>
      <c r="CD391" s="40">
        <v>452.67678557998482</v>
      </c>
      <c r="CE391" s="52">
        <v>93.91217673998483</v>
      </c>
      <c r="CF391" s="73">
        <v>42.62549808</v>
      </c>
      <c r="CG391" s="40">
        <v>0</v>
      </c>
      <c r="CH391" s="52">
        <v>-42.62549808</v>
      </c>
      <c r="CI391" s="73">
        <v>816.04</v>
      </c>
      <c r="CJ391" s="40">
        <v>785.54274547164118</v>
      </c>
      <c r="CK391" s="52">
        <v>-30.497254528358781</v>
      </c>
      <c r="CL391" s="73">
        <v>0</v>
      </c>
      <c r="CM391" s="40">
        <v>0</v>
      </c>
      <c r="CN391" s="52">
        <v>0</v>
      </c>
      <c r="CO391" s="39">
        <v>816.04</v>
      </c>
      <c r="CP391" s="40">
        <v>785.54274547164118</v>
      </c>
      <c r="CQ391" s="52">
        <v>-30.497254528358781</v>
      </c>
      <c r="CR391" s="72">
        <v>33004.173228684369</v>
      </c>
      <c r="CS391" s="5">
        <v>29478.854868302955</v>
      </c>
      <c r="CT391" s="52">
        <v>-3525.3183603814141</v>
      </c>
      <c r="CU391" s="77">
        <v>39605.007874421244</v>
      </c>
      <c r="CV391" s="65">
        <v>35374.625841963541</v>
      </c>
      <c r="CW391" s="35">
        <v>-4230.3820324577027</v>
      </c>
      <c r="CX391" s="73">
        <v>2211.267618197935</v>
      </c>
      <c r="CY391" s="40">
        <v>6441.6496506556359</v>
      </c>
      <c r="CZ391" s="52">
        <v>4230.3820324577009</v>
      </c>
      <c r="DA391" s="150">
        <v>-64428.60603624161</v>
      </c>
      <c r="DB391" s="2">
        <v>3</v>
      </c>
      <c r="DC391" s="648">
        <v>86152.95</v>
      </c>
      <c r="DD391" s="648"/>
      <c r="DE391" s="649">
        <v>44336.67450738082</v>
      </c>
      <c r="DG391" s="321">
        <v>-19145.383589734403</v>
      </c>
      <c r="DH391" s="5">
        <v>501795.30591143016</v>
      </c>
      <c r="DI391" s="306">
        <v>4.6770202969321248</v>
      </c>
      <c r="DJ391" s="306"/>
      <c r="DK391" s="306"/>
      <c r="DL391" s="28">
        <v>20791.693730011761</v>
      </c>
      <c r="DM391" s="28">
        <v>0</v>
      </c>
      <c r="DN391" s="650">
        <v>20791.61</v>
      </c>
      <c r="DO391" s="94">
        <v>8.3730011760053458E-2</v>
      </c>
      <c r="DP391" s="28">
        <v>20791.693730011761</v>
      </c>
      <c r="DQ391" s="318">
        <v>-0.93540405939347693</v>
      </c>
      <c r="DS391" s="8">
        <v>19802.503937210622</v>
      </c>
      <c r="DT391" s="5">
        <v>990.1251968605311</v>
      </c>
      <c r="DW391" s="5">
        <v>14743.571976694106</v>
      </c>
      <c r="DX391" s="5">
        <v>19.8</v>
      </c>
    </row>
    <row r="392" spans="1:128" x14ac:dyDescent="0.3">
      <c r="A392" s="325">
        <v>150000918</v>
      </c>
      <c r="B392" s="41" t="s">
        <v>838</v>
      </c>
      <c r="C392" s="42" t="s">
        <v>326</v>
      </c>
      <c r="D392" s="42" t="s">
        <v>326</v>
      </c>
      <c r="E392" s="293">
        <v>4590.1000000000004</v>
      </c>
      <c r="F392" s="305">
        <v>4590.1000000000004</v>
      </c>
      <c r="G392" s="51"/>
      <c r="H392" s="651">
        <v>0</v>
      </c>
      <c r="I392" s="73">
        <v>2378.6967173776352</v>
      </c>
      <c r="J392" s="40">
        <v>2669.9690004041186</v>
      </c>
      <c r="K392" s="52">
        <v>291.27228302648336</v>
      </c>
      <c r="L392" s="73">
        <v>527.99593511580338</v>
      </c>
      <c r="M392" s="40">
        <v>594.85086284658905</v>
      </c>
      <c r="N392" s="52">
        <v>66.854927730785676</v>
      </c>
      <c r="O392" s="73">
        <v>895.41374716433347</v>
      </c>
      <c r="P392" s="40">
        <v>895.55000000000007</v>
      </c>
      <c r="Q392" s="52">
        <v>0.13625283566659618</v>
      </c>
      <c r="R392" s="73">
        <v>0</v>
      </c>
      <c r="S392" s="40">
        <v>0</v>
      </c>
      <c r="T392" s="52">
        <v>0</v>
      </c>
      <c r="U392" s="73">
        <v>143.60199067673076</v>
      </c>
      <c r="V392" s="40">
        <v>269.15996592635861</v>
      </c>
      <c r="W392" s="52">
        <v>125.55797524962784</v>
      </c>
      <c r="X392" s="73">
        <v>1435.9896271588364</v>
      </c>
      <c r="Y392" s="40">
        <v>2254.6329669609618</v>
      </c>
      <c r="Z392" s="52">
        <v>818.64333980212541</v>
      </c>
      <c r="AA392" s="73">
        <v>367.08800000000002</v>
      </c>
      <c r="AB392" s="40">
        <v>0</v>
      </c>
      <c r="AC392" s="52">
        <v>-367.08800000000002</v>
      </c>
      <c r="AD392" s="73">
        <v>3305.7140272456154</v>
      </c>
      <c r="AE392" s="40">
        <v>4137.0807381754257</v>
      </c>
      <c r="AF392" s="35">
        <v>831.36671092981032</v>
      </c>
      <c r="AG392" s="77">
        <v>9054.5000447389539</v>
      </c>
      <c r="AH392" s="53">
        <v>10821.243534313453</v>
      </c>
      <c r="AI392" s="52">
        <v>1766.7434895744991</v>
      </c>
      <c r="AJ392" s="73">
        <v>0</v>
      </c>
      <c r="AK392" s="40">
        <v>0</v>
      </c>
      <c r="AL392" s="52">
        <v>0</v>
      </c>
      <c r="AM392" s="73">
        <v>0</v>
      </c>
      <c r="AN392" s="40">
        <v>0</v>
      </c>
      <c r="AO392" s="52">
        <v>0</v>
      </c>
      <c r="AP392" s="73">
        <v>1853.2167499999998</v>
      </c>
      <c r="AQ392" s="40">
        <v>5465.4484803558189</v>
      </c>
      <c r="AR392" s="52">
        <v>3612.2317303558193</v>
      </c>
      <c r="AS392" s="73">
        <v>5732.9342394921041</v>
      </c>
      <c r="AT392" s="40">
        <v>5308</v>
      </c>
      <c r="AU392" s="54">
        <v>-424.9342394921041</v>
      </c>
      <c r="AV392" s="73">
        <v>1072.7889334384747</v>
      </c>
      <c r="AW392" s="40">
        <v>0</v>
      </c>
      <c r="AX392" s="55">
        <v>-1072.7889334384747</v>
      </c>
      <c r="AY392" s="73">
        <v>1461.3416319021926</v>
      </c>
      <c r="AZ392" s="40">
        <v>0</v>
      </c>
      <c r="BA392" s="35">
        <v>-1461.3416319021926</v>
      </c>
      <c r="BB392" s="73">
        <v>283.2354235302634</v>
      </c>
      <c r="BC392" s="40">
        <v>2495</v>
      </c>
      <c r="BD392" s="55">
        <v>2211.7645764697368</v>
      </c>
      <c r="BE392" s="73">
        <v>0</v>
      </c>
      <c r="BF392" s="40">
        <v>0</v>
      </c>
      <c r="BG392" s="38">
        <v>0</v>
      </c>
      <c r="BH392" s="73">
        <v>693.37918820845721</v>
      </c>
      <c r="BI392" s="40">
        <v>16.5</v>
      </c>
      <c r="BJ392" s="55">
        <v>-676.87918820845721</v>
      </c>
      <c r="BK392" s="73">
        <v>1134.2175064683415</v>
      </c>
      <c r="BL392" s="40">
        <v>0</v>
      </c>
      <c r="BM392" s="38">
        <v>-1134.2175064683415</v>
      </c>
      <c r="BN392" s="73">
        <v>91.772000000000006</v>
      </c>
      <c r="BO392" s="40">
        <v>0</v>
      </c>
      <c r="BP392" s="55">
        <v>-91.772000000000006</v>
      </c>
      <c r="BQ392" s="77">
        <v>4736.7346835477292</v>
      </c>
      <c r="BR392" s="40">
        <v>2511.5</v>
      </c>
      <c r="BS392" s="55">
        <v>-2225.2346835477292</v>
      </c>
      <c r="BT392" s="73">
        <v>4845.4517340560196</v>
      </c>
      <c r="BU392" s="40">
        <v>1339.2816050974661</v>
      </c>
      <c r="BV392" s="52">
        <v>-3506.1701289585535</v>
      </c>
      <c r="BW392" s="73">
        <v>2876.9008600617199</v>
      </c>
      <c r="BX392" s="40">
        <v>5004.4565818413303</v>
      </c>
      <c r="BY392" s="52">
        <v>2127.5557217796104</v>
      </c>
      <c r="BZ392" s="73">
        <v>2225.6782453348401</v>
      </c>
      <c r="CA392" s="40">
        <v>7822.6770344068336</v>
      </c>
      <c r="CB392" s="52">
        <v>5596.9987890719931</v>
      </c>
      <c r="CC392" s="73">
        <v>208.79550169500001</v>
      </c>
      <c r="CD392" s="40">
        <v>263.45094867761895</v>
      </c>
      <c r="CE392" s="52">
        <v>54.65544698261894</v>
      </c>
      <c r="CF392" s="73">
        <v>24.807386340000001</v>
      </c>
      <c r="CG392" s="40">
        <v>0</v>
      </c>
      <c r="CH392" s="52">
        <v>-24.807386340000001</v>
      </c>
      <c r="CI392" s="73">
        <v>1616.5</v>
      </c>
      <c r="CJ392" s="40">
        <v>2067.0563473023553</v>
      </c>
      <c r="CK392" s="52">
        <v>450.55634730235533</v>
      </c>
      <c r="CL392" s="73">
        <v>0</v>
      </c>
      <c r="CM392" s="40">
        <v>0</v>
      </c>
      <c r="CN392" s="52">
        <v>0</v>
      </c>
      <c r="CO392" s="39">
        <v>1616.5</v>
      </c>
      <c r="CP392" s="40">
        <v>2067.0563473023553</v>
      </c>
      <c r="CQ392" s="52">
        <v>450.55634730235533</v>
      </c>
      <c r="CR392" s="72">
        <v>33175.519445266364</v>
      </c>
      <c r="CS392" s="5">
        <v>40603.114531994885</v>
      </c>
      <c r="CT392" s="52">
        <v>7427.595086728521</v>
      </c>
      <c r="CU392" s="77">
        <v>39810.623334319636</v>
      </c>
      <c r="CV392" s="65">
        <v>48723.737438393859</v>
      </c>
      <c r="CW392" s="35">
        <v>8913.1141040742223</v>
      </c>
      <c r="CX392" s="73">
        <v>2222.7477524707483</v>
      </c>
      <c r="CY392" s="40">
        <v>-6690.3663516034721</v>
      </c>
      <c r="CZ392" s="52">
        <v>-8913.1141040742204</v>
      </c>
      <c r="DA392" s="150">
        <v>-16302.394259468594</v>
      </c>
      <c r="DB392" s="2">
        <v>3</v>
      </c>
      <c r="DC392" s="648">
        <v>50091.57</v>
      </c>
      <c r="DD392" s="648"/>
      <c r="DE392" s="649">
        <v>8058.1989132096132</v>
      </c>
      <c r="DG392" s="321">
        <v>-98411.674257270817</v>
      </c>
      <c r="DH392" s="5">
        <v>504400.45304148464</v>
      </c>
      <c r="DI392" s="306">
        <v>4.554891960623678</v>
      </c>
      <c r="DJ392" s="306"/>
      <c r="DK392" s="306"/>
      <c r="DL392" s="28">
        <v>20907.409588458744</v>
      </c>
      <c r="DM392" s="28">
        <v>0</v>
      </c>
      <c r="DN392" s="650">
        <v>20907.45</v>
      </c>
      <c r="DO392" s="94">
        <v>-4.0411541256617056E-2</v>
      </c>
      <c r="DP392" s="28">
        <v>20907.409588458744</v>
      </c>
      <c r="DQ392" s="318">
        <v>6.8323379409339395</v>
      </c>
      <c r="DS392" s="8">
        <v>19905.311667159818</v>
      </c>
      <c r="DT392" s="5">
        <v>995.26558335799086</v>
      </c>
      <c r="DW392" s="5">
        <v>12563.6027076478</v>
      </c>
      <c r="DX392" s="5">
        <v>9383.4</v>
      </c>
    </row>
    <row r="393" spans="1:128" x14ac:dyDescent="0.3">
      <c r="A393" s="325">
        <v>150000919</v>
      </c>
      <c r="B393" s="41" t="s">
        <v>839</v>
      </c>
      <c r="C393" s="42" t="s">
        <v>327</v>
      </c>
      <c r="D393" s="42" t="s">
        <v>327</v>
      </c>
      <c r="E393" s="293">
        <v>4566.8</v>
      </c>
      <c r="F393" s="305">
        <v>4566.8</v>
      </c>
      <c r="G393" s="51"/>
      <c r="H393" s="651">
        <v>0</v>
      </c>
      <c r="I393" s="73">
        <v>2398.3600764138719</v>
      </c>
      <c r="J393" s="40">
        <v>2691.7307140379035</v>
      </c>
      <c r="K393" s="52">
        <v>293.37063762403159</v>
      </c>
      <c r="L393" s="73">
        <v>527.90923800449741</v>
      </c>
      <c r="M393" s="40">
        <v>594.75351387959006</v>
      </c>
      <c r="N393" s="52">
        <v>66.844275875092649</v>
      </c>
      <c r="O393" s="73">
        <v>880.33706133245664</v>
      </c>
      <c r="P393" s="40">
        <v>880.65</v>
      </c>
      <c r="Q393" s="52">
        <v>0.31293866754333521</v>
      </c>
      <c r="R393" s="73">
        <v>0</v>
      </c>
      <c r="S393" s="40">
        <v>0</v>
      </c>
      <c r="T393" s="52">
        <v>0</v>
      </c>
      <c r="U393" s="73">
        <v>143.60199067673076</v>
      </c>
      <c r="V393" s="40">
        <v>269.15996592635861</v>
      </c>
      <c r="W393" s="52">
        <v>125.55797524962784</v>
      </c>
      <c r="X393" s="73">
        <v>1472.9560858838995</v>
      </c>
      <c r="Y393" s="40">
        <v>1583.3658800027042</v>
      </c>
      <c r="Z393" s="52">
        <v>110.40979411880471</v>
      </c>
      <c r="AA393" s="73">
        <v>365.35199999999998</v>
      </c>
      <c r="AB393" s="40">
        <v>0</v>
      </c>
      <c r="AC393" s="52">
        <v>-365.35199999999998</v>
      </c>
      <c r="AD393" s="73">
        <v>3290.0659364156777</v>
      </c>
      <c r="AE393" s="40">
        <v>4116.0803283369723</v>
      </c>
      <c r="AF393" s="35">
        <v>826.01439192129465</v>
      </c>
      <c r="AG393" s="77">
        <v>9078.5823887271345</v>
      </c>
      <c r="AH393" s="53">
        <v>10135.740402183528</v>
      </c>
      <c r="AI393" s="52">
        <v>1057.1580134563937</v>
      </c>
      <c r="AJ393" s="73">
        <v>0</v>
      </c>
      <c r="AK393" s="40">
        <v>0</v>
      </c>
      <c r="AL393" s="52">
        <v>0</v>
      </c>
      <c r="AM393" s="73">
        <v>0</v>
      </c>
      <c r="AN393" s="40">
        <v>0</v>
      </c>
      <c r="AO393" s="52">
        <v>0</v>
      </c>
      <c r="AP393" s="73">
        <v>1891.0374999999999</v>
      </c>
      <c r="AQ393" s="40">
        <v>0</v>
      </c>
      <c r="AR393" s="52">
        <v>-1891.0374999999999</v>
      </c>
      <c r="AS393" s="73">
        <v>5741.4749784015639</v>
      </c>
      <c r="AT393" s="40">
        <v>3215</v>
      </c>
      <c r="AU393" s="54">
        <v>-2526.4749784015639</v>
      </c>
      <c r="AV393" s="73">
        <v>1074.7671176686865</v>
      </c>
      <c r="AW393" s="40">
        <v>0</v>
      </c>
      <c r="AX393" s="55">
        <v>-1074.7671176686865</v>
      </c>
      <c r="AY393" s="73">
        <v>1461.0696499802978</v>
      </c>
      <c r="AZ393" s="40">
        <v>0</v>
      </c>
      <c r="BA393" s="35">
        <v>-1461.0696499802978</v>
      </c>
      <c r="BB393" s="73">
        <v>278.48957238703997</v>
      </c>
      <c r="BC393" s="40">
        <v>0</v>
      </c>
      <c r="BD393" s="55">
        <v>-278.48957238703997</v>
      </c>
      <c r="BE393" s="73">
        <v>0</v>
      </c>
      <c r="BF393" s="40">
        <v>0</v>
      </c>
      <c r="BG393" s="38">
        <v>0</v>
      </c>
      <c r="BH393" s="73">
        <v>693.37918820845721</v>
      </c>
      <c r="BI393" s="40">
        <v>0</v>
      </c>
      <c r="BJ393" s="55">
        <v>-693.37918820845721</v>
      </c>
      <c r="BK393" s="73">
        <v>1133.3594809620979</v>
      </c>
      <c r="BL393" s="40">
        <v>0</v>
      </c>
      <c r="BM393" s="38">
        <v>-1133.3594809620979</v>
      </c>
      <c r="BN393" s="73">
        <v>91.337999999999994</v>
      </c>
      <c r="BO393" s="40">
        <v>0</v>
      </c>
      <c r="BP393" s="55">
        <v>-91.337999999999994</v>
      </c>
      <c r="BQ393" s="77">
        <v>4732.4030092065796</v>
      </c>
      <c r="BR393" s="40">
        <v>0</v>
      </c>
      <c r="BS393" s="55">
        <v>-4732.4030092065796</v>
      </c>
      <c r="BT393" s="73">
        <v>3682.4325765868598</v>
      </c>
      <c r="BU393" s="40">
        <v>1056.8810675586724</v>
      </c>
      <c r="BV393" s="52">
        <v>-2625.5515090281874</v>
      </c>
      <c r="BW393" s="73">
        <v>2862.0326912412802</v>
      </c>
      <c r="BX393" s="40">
        <v>4981.8944673992301</v>
      </c>
      <c r="BY393" s="52">
        <v>2119.8617761579499</v>
      </c>
      <c r="BZ393" s="73">
        <v>1647.2983477176881</v>
      </c>
      <c r="CA393" s="40">
        <v>6363.0310549609658</v>
      </c>
      <c r="CB393" s="52">
        <v>4715.7327072432781</v>
      </c>
      <c r="CC393" s="73">
        <v>415.6046576</v>
      </c>
      <c r="CD393" s="40">
        <v>524.39559487970973</v>
      </c>
      <c r="CE393" s="52">
        <v>108.79093727970974</v>
      </c>
      <c r="CF393" s="73">
        <v>49.378771200000003</v>
      </c>
      <c r="CG393" s="40">
        <v>0</v>
      </c>
      <c r="CH393" s="52">
        <v>-49.378771200000003</v>
      </c>
      <c r="CI393" s="73">
        <v>1407.82</v>
      </c>
      <c r="CJ393" s="40">
        <v>1484.0702074997344</v>
      </c>
      <c r="CK393" s="52">
        <v>76.250207499734415</v>
      </c>
      <c r="CL393" s="73">
        <v>0</v>
      </c>
      <c r="CM393" s="40">
        <v>0</v>
      </c>
      <c r="CN393" s="52">
        <v>0</v>
      </c>
      <c r="CO393" s="39">
        <v>1407.82</v>
      </c>
      <c r="CP393" s="40">
        <v>1484.0702074997344</v>
      </c>
      <c r="CQ393" s="52">
        <v>76.250207499734415</v>
      </c>
      <c r="CR393" s="72">
        <v>31508.06492068111</v>
      </c>
      <c r="CS393" s="5">
        <v>27761.012794481841</v>
      </c>
      <c r="CT393" s="52">
        <v>-3747.052126199269</v>
      </c>
      <c r="CU393" s="77">
        <v>37809.677904817334</v>
      </c>
      <c r="CV393" s="65">
        <v>33313.215353378211</v>
      </c>
      <c r="CW393" s="35">
        <v>-4496.4625514391228</v>
      </c>
      <c r="CX393" s="73">
        <v>2111.0289049939565</v>
      </c>
      <c r="CY393" s="40">
        <v>6607.4914564330829</v>
      </c>
      <c r="CZ393" s="52">
        <v>4496.4625514391264</v>
      </c>
      <c r="DA393" s="150">
        <v>-30303.417935143105</v>
      </c>
      <c r="DB393" s="2">
        <v>3</v>
      </c>
      <c r="DC393" s="648">
        <v>39926.6</v>
      </c>
      <c r="DD393" s="648"/>
      <c r="DE393" s="649">
        <v>5.893190188704466</v>
      </c>
      <c r="DG393" s="321">
        <v>-47218.359814074851</v>
      </c>
      <c r="DH393" s="5">
        <v>479048.48171773553</v>
      </c>
      <c r="DI393" s="306">
        <v>4.3465109593004234</v>
      </c>
      <c r="DJ393" s="306"/>
      <c r="DK393" s="306"/>
      <c r="DL393" s="28">
        <v>19849.646248933175</v>
      </c>
      <c r="DM393" s="28">
        <v>0</v>
      </c>
      <c r="DN393" s="650">
        <v>19849.57</v>
      </c>
      <c r="DO393" s="94">
        <v>7.6248933175520506E-2</v>
      </c>
      <c r="DP393" s="28">
        <v>19849.646248933175</v>
      </c>
      <c r="DQ393" s="318">
        <v>-0.4346510959258012</v>
      </c>
      <c r="DS393" s="8">
        <v>18904.838952408667</v>
      </c>
      <c r="DT393" s="5">
        <v>945.24194762043339</v>
      </c>
      <c r="DW393" s="5">
        <v>12568.65358512977</v>
      </c>
      <c r="DX393" s="5">
        <v>3858</v>
      </c>
    </row>
    <row r="394" spans="1:128" x14ac:dyDescent="0.3">
      <c r="A394" s="325">
        <v>150000920</v>
      </c>
      <c r="B394" s="41" t="s">
        <v>840</v>
      </c>
      <c r="C394" s="42" t="s">
        <v>328</v>
      </c>
      <c r="D394" s="42" t="s">
        <v>328</v>
      </c>
      <c r="E394" s="293">
        <v>4553.8</v>
      </c>
      <c r="F394" s="305">
        <v>4553.8</v>
      </c>
      <c r="G394" s="51"/>
      <c r="H394" s="651">
        <v>0</v>
      </c>
      <c r="I394" s="73">
        <v>2398.7696835731012</v>
      </c>
      <c r="J394" s="40">
        <v>2692.0458190532281</v>
      </c>
      <c r="K394" s="52">
        <v>293.27613548012687</v>
      </c>
      <c r="L394" s="73">
        <v>527.99593511580338</v>
      </c>
      <c r="M394" s="40">
        <v>594.85086284658905</v>
      </c>
      <c r="N394" s="52">
        <v>66.854927730785676</v>
      </c>
      <c r="O394" s="73">
        <v>886.24124397721005</v>
      </c>
      <c r="P394" s="40">
        <v>886.5</v>
      </c>
      <c r="Q394" s="52">
        <v>0.25875602278995302</v>
      </c>
      <c r="R394" s="73">
        <v>0</v>
      </c>
      <c r="S394" s="40">
        <v>0</v>
      </c>
      <c r="T394" s="52">
        <v>0</v>
      </c>
      <c r="U394" s="73">
        <v>143.60199067673076</v>
      </c>
      <c r="V394" s="40">
        <v>269.15996592635861</v>
      </c>
      <c r="W394" s="52">
        <v>125.55797524962784</v>
      </c>
      <c r="X394" s="73">
        <v>1474.1555665499266</v>
      </c>
      <c r="Y394" s="40">
        <v>1961.3823036797035</v>
      </c>
      <c r="Z394" s="52">
        <v>487.22673712977689</v>
      </c>
      <c r="AA394" s="73">
        <v>364.31199999999995</v>
      </c>
      <c r="AB394" s="40">
        <v>0</v>
      </c>
      <c r="AC394" s="52">
        <v>-364.31199999999995</v>
      </c>
      <c r="AD394" s="73">
        <v>3280.7034169357348</v>
      </c>
      <c r="AE394" s="40">
        <v>4104.3633614743158</v>
      </c>
      <c r="AF394" s="35">
        <v>823.65994453858093</v>
      </c>
      <c r="AG394" s="77">
        <v>9075.7798368285075</v>
      </c>
      <c r="AH394" s="53">
        <v>10508.302312980195</v>
      </c>
      <c r="AI394" s="52">
        <v>1432.5224761516874</v>
      </c>
      <c r="AJ394" s="73">
        <v>0</v>
      </c>
      <c r="AK394" s="40">
        <v>0</v>
      </c>
      <c r="AL394" s="52">
        <v>0</v>
      </c>
      <c r="AM394" s="73">
        <v>0</v>
      </c>
      <c r="AN394" s="40">
        <v>0</v>
      </c>
      <c r="AO394" s="52">
        <v>0</v>
      </c>
      <c r="AP394" s="73">
        <v>1891.0374999999999</v>
      </c>
      <c r="AQ394" s="40">
        <v>5576.98824526104</v>
      </c>
      <c r="AR394" s="52">
        <v>3685.9507452610401</v>
      </c>
      <c r="AS394" s="73">
        <v>5748.1981476996261</v>
      </c>
      <c r="AT394" s="40">
        <v>6708</v>
      </c>
      <c r="AU394" s="54">
        <v>959.80185230037387</v>
      </c>
      <c r="AV394" s="73">
        <v>1075.0624953895006</v>
      </c>
      <c r="AW394" s="40">
        <v>0</v>
      </c>
      <c r="AX394" s="55">
        <v>-1075.0624953895006</v>
      </c>
      <c r="AY394" s="73">
        <v>1461.3416319021926</v>
      </c>
      <c r="AZ394" s="40">
        <v>0</v>
      </c>
      <c r="BA394" s="35">
        <v>-1461.3416319021926</v>
      </c>
      <c r="BB394" s="73">
        <v>282.4781631059534</v>
      </c>
      <c r="BC394" s="40">
        <v>0</v>
      </c>
      <c r="BD394" s="55">
        <v>-282.4781631059534</v>
      </c>
      <c r="BE394" s="73">
        <v>0</v>
      </c>
      <c r="BF394" s="40">
        <v>0</v>
      </c>
      <c r="BG394" s="38">
        <v>0</v>
      </c>
      <c r="BH394" s="73">
        <v>693.37918820845721</v>
      </c>
      <c r="BI394" s="40">
        <v>0</v>
      </c>
      <c r="BJ394" s="55">
        <v>-693.37918820845721</v>
      </c>
      <c r="BK394" s="73">
        <v>1134.7522047735426</v>
      </c>
      <c r="BL394" s="40">
        <v>0</v>
      </c>
      <c r="BM394" s="38">
        <v>-1134.7522047735426</v>
      </c>
      <c r="BN394" s="73">
        <v>91.077999999999989</v>
      </c>
      <c r="BO394" s="40">
        <v>0</v>
      </c>
      <c r="BP394" s="55">
        <v>-91.077999999999989</v>
      </c>
      <c r="BQ394" s="77">
        <v>4738.0916833796464</v>
      </c>
      <c r="BR394" s="40">
        <v>0</v>
      </c>
      <c r="BS394" s="55">
        <v>-4738.0916833796464</v>
      </c>
      <c r="BT394" s="73">
        <v>4060.4122787940801</v>
      </c>
      <c r="BU394" s="40">
        <v>1067.8087937405514</v>
      </c>
      <c r="BV394" s="52">
        <v>-2992.6034850535289</v>
      </c>
      <c r="BW394" s="73">
        <v>2846.98061711846</v>
      </c>
      <c r="BX394" s="40">
        <v>4094.1234992676232</v>
      </c>
      <c r="BY394" s="52">
        <v>1247.1428821491631</v>
      </c>
      <c r="BZ394" s="73">
        <v>1610.2501930897261</v>
      </c>
      <c r="CA394" s="40">
        <v>4392.881388366025</v>
      </c>
      <c r="CB394" s="52">
        <v>2782.631195276299</v>
      </c>
      <c r="CC394" s="73">
        <v>416.13944300499998</v>
      </c>
      <c r="CD394" s="40">
        <v>525.07036862312123</v>
      </c>
      <c r="CE394" s="52">
        <v>108.93092561812125</v>
      </c>
      <c r="CF394" s="73">
        <v>49.442310059999997</v>
      </c>
      <c r="CG394" s="40">
        <v>0</v>
      </c>
      <c r="CH394" s="52">
        <v>-49.442310059999997</v>
      </c>
      <c r="CI394" s="73">
        <v>2080.58</v>
      </c>
      <c r="CJ394" s="40">
        <v>1829.0334312962259</v>
      </c>
      <c r="CK394" s="52">
        <v>-251.54656870377403</v>
      </c>
      <c r="CL394" s="73">
        <v>0</v>
      </c>
      <c r="CM394" s="40">
        <v>0</v>
      </c>
      <c r="CN394" s="52">
        <v>0</v>
      </c>
      <c r="CO394" s="39">
        <v>2080.58</v>
      </c>
      <c r="CP394" s="40">
        <v>1829.0334312962259</v>
      </c>
      <c r="CQ394" s="52">
        <v>-251.54656870377403</v>
      </c>
      <c r="CR394" s="72">
        <v>32516.912009975051</v>
      </c>
      <c r="CS394" s="5">
        <v>34702.208039534788</v>
      </c>
      <c r="CT394" s="52">
        <v>2185.2960295597368</v>
      </c>
      <c r="CU394" s="77">
        <v>39020.294411970062</v>
      </c>
      <c r="CV394" s="65">
        <v>41642.649647441744</v>
      </c>
      <c r="CW394" s="35">
        <v>2622.3552354716812</v>
      </c>
      <c r="CX394" s="73">
        <v>2178.6212935325698</v>
      </c>
      <c r="CY394" s="40">
        <v>-443.73394193911372</v>
      </c>
      <c r="CZ394" s="52">
        <v>-2622.3552354716835</v>
      </c>
      <c r="DA394" s="150">
        <v>-22522.293104112156</v>
      </c>
      <c r="DB394" s="2">
        <v>3</v>
      </c>
      <c r="DC394" s="648">
        <v>34919.49</v>
      </c>
      <c r="DD394" s="648"/>
      <c r="DE394" s="649">
        <v>-6279.4257055026319</v>
      </c>
      <c r="DG394" s="321">
        <v>-23621.97066906144</v>
      </c>
      <c r="DH394" s="5">
        <v>494386.98846603156</v>
      </c>
      <c r="DI394" s="306">
        <v>4.4984858179328233</v>
      </c>
      <c r="DJ394" s="306"/>
      <c r="DK394" s="306"/>
      <c r="DL394" s="28">
        <v>20485.204717702491</v>
      </c>
      <c r="DM394" s="28">
        <v>0</v>
      </c>
      <c r="DN394" s="650">
        <v>20485.150000000001</v>
      </c>
      <c r="DO394" s="94">
        <v>5.4717702489142539E-2</v>
      </c>
      <c r="DP394" s="28">
        <v>20485.204717702491</v>
      </c>
      <c r="DQ394" s="318">
        <v>-0.44984858179304865</v>
      </c>
      <c r="DS394" s="8">
        <v>19510.147205985031</v>
      </c>
      <c r="DT394" s="5">
        <v>975.50736029925156</v>
      </c>
      <c r="DW394" s="5">
        <v>12583.547797295128</v>
      </c>
      <c r="DX394" s="5">
        <v>8049.5999999999995</v>
      </c>
    </row>
    <row r="395" spans="1:128" x14ac:dyDescent="0.3">
      <c r="A395" s="325">
        <v>150000921</v>
      </c>
      <c r="B395" s="41" t="s">
        <v>841</v>
      </c>
      <c r="C395" s="42" t="s">
        <v>329</v>
      </c>
      <c r="D395" s="42" t="s">
        <v>329</v>
      </c>
      <c r="E395" s="293">
        <v>6174.2300000000005</v>
      </c>
      <c r="F395" s="305">
        <v>6129.13</v>
      </c>
      <c r="G395" s="51"/>
      <c r="H395" s="651">
        <v>45.1</v>
      </c>
      <c r="I395" s="73">
        <v>3142.466950655959</v>
      </c>
      <c r="J395" s="40">
        <v>3528.1205718445485</v>
      </c>
      <c r="K395" s="52">
        <v>385.65362118858957</v>
      </c>
      <c r="L395" s="73">
        <v>705.04577703526036</v>
      </c>
      <c r="M395" s="40">
        <v>794.31889622727158</v>
      </c>
      <c r="N395" s="52">
        <v>89.273119192011222</v>
      </c>
      <c r="O395" s="73">
        <v>1221.2201676660866</v>
      </c>
      <c r="P395" s="40">
        <v>1221.3833333333334</v>
      </c>
      <c r="Q395" s="52">
        <v>0.16316566724685799</v>
      </c>
      <c r="R395" s="73">
        <v>0</v>
      </c>
      <c r="S395" s="40">
        <v>0</v>
      </c>
      <c r="T395" s="52">
        <v>0</v>
      </c>
      <c r="U395" s="73">
        <v>222.27236452236727</v>
      </c>
      <c r="V395" s="40">
        <v>416.61492920911996</v>
      </c>
      <c r="W395" s="52">
        <v>194.3425646867527</v>
      </c>
      <c r="X395" s="73">
        <v>2347.380360247188</v>
      </c>
      <c r="Y395" s="40">
        <v>2513.3545286697326</v>
      </c>
      <c r="Z395" s="52">
        <v>165.97416842254461</v>
      </c>
      <c r="AA395" s="73">
        <v>493.90640000000002</v>
      </c>
      <c r="AB395" s="40">
        <v>0</v>
      </c>
      <c r="AC395" s="52">
        <v>-493.90640000000002</v>
      </c>
      <c r="AD395" s="73">
        <v>4445.9478692008834</v>
      </c>
      <c r="AE395" s="40">
        <v>5564.8652548016089</v>
      </c>
      <c r="AF395" s="35">
        <v>1118.9173856007255</v>
      </c>
      <c r="AG395" s="77">
        <v>12578.239889327744</v>
      </c>
      <c r="AH395" s="53">
        <v>14038.657514085613</v>
      </c>
      <c r="AI395" s="52">
        <v>1460.4176247578689</v>
      </c>
      <c r="AJ395" s="73">
        <v>0</v>
      </c>
      <c r="AK395" s="40">
        <v>0</v>
      </c>
      <c r="AL395" s="52">
        <v>0</v>
      </c>
      <c r="AM395" s="73">
        <v>0</v>
      </c>
      <c r="AN395" s="40">
        <v>0</v>
      </c>
      <c r="AO395" s="52">
        <v>0</v>
      </c>
      <c r="AP395" s="73">
        <v>2420.5279999999998</v>
      </c>
      <c r="AQ395" s="40">
        <v>7138.5449539341316</v>
      </c>
      <c r="AR395" s="52">
        <v>4718.0169539341314</v>
      </c>
      <c r="AS395" s="73">
        <v>5026.9377823626537</v>
      </c>
      <c r="AT395" s="40">
        <v>6095</v>
      </c>
      <c r="AU395" s="54">
        <v>1068.0622176373463</v>
      </c>
      <c r="AV395" s="73">
        <v>1424.89201980243</v>
      </c>
      <c r="AW395" s="40">
        <v>0</v>
      </c>
      <c r="AX395" s="55">
        <v>-1424.89201980243</v>
      </c>
      <c r="AY395" s="73">
        <v>1951.3502607167991</v>
      </c>
      <c r="AZ395" s="40">
        <v>0</v>
      </c>
      <c r="BA395" s="35">
        <v>-1951.3502607167991</v>
      </c>
      <c r="BB395" s="73">
        <v>385.8559733812566</v>
      </c>
      <c r="BC395" s="40">
        <v>0</v>
      </c>
      <c r="BD395" s="55">
        <v>-385.8559733812566</v>
      </c>
      <c r="BE395" s="73">
        <v>0</v>
      </c>
      <c r="BF395" s="40">
        <v>0</v>
      </c>
      <c r="BG395" s="38">
        <v>0</v>
      </c>
      <c r="BH395" s="73">
        <v>1073.3461173074966</v>
      </c>
      <c r="BI395" s="40">
        <v>0</v>
      </c>
      <c r="BJ395" s="55">
        <v>-1073.3461173074966</v>
      </c>
      <c r="BK395" s="73">
        <v>1946.6900116130491</v>
      </c>
      <c r="BL395" s="40">
        <v>0</v>
      </c>
      <c r="BM395" s="38">
        <v>-1946.6900116130491</v>
      </c>
      <c r="BN395" s="73">
        <v>123.4766</v>
      </c>
      <c r="BO395" s="40">
        <v>0</v>
      </c>
      <c r="BP395" s="55">
        <v>-123.4766</v>
      </c>
      <c r="BQ395" s="77">
        <v>6905.6109828210319</v>
      </c>
      <c r="BR395" s="40">
        <v>0</v>
      </c>
      <c r="BS395" s="55">
        <v>-6905.6109828210319</v>
      </c>
      <c r="BT395" s="73">
        <v>5753.8123862216598</v>
      </c>
      <c r="BU395" s="40">
        <v>1416.5482687814579</v>
      </c>
      <c r="BV395" s="52">
        <v>-4337.2641174402015</v>
      </c>
      <c r="BW395" s="73">
        <v>3896.3497931010202</v>
      </c>
      <c r="BX395" s="40">
        <v>6755.3995818300009</v>
      </c>
      <c r="BY395" s="52">
        <v>2859.0497887289807</v>
      </c>
      <c r="BZ395" s="73">
        <v>1972.986191213492</v>
      </c>
      <c r="CA395" s="40">
        <v>8272.4657878836297</v>
      </c>
      <c r="CB395" s="52">
        <v>6299.4795966701377</v>
      </c>
      <c r="CC395" s="73">
        <v>489.481441405</v>
      </c>
      <c r="CD395" s="40">
        <v>617.61076771954049</v>
      </c>
      <c r="CE395" s="52">
        <v>128.12932631454049</v>
      </c>
      <c r="CF395" s="73">
        <v>58.156210860000002</v>
      </c>
      <c r="CG395" s="40">
        <v>0</v>
      </c>
      <c r="CH395" s="52">
        <v>-58.156210860000002</v>
      </c>
      <c r="CI395" s="73">
        <v>1625.84</v>
      </c>
      <c r="CJ395" s="40">
        <v>1563.113723389984</v>
      </c>
      <c r="CK395" s="52">
        <v>-62.72627661001593</v>
      </c>
      <c r="CL395" s="73">
        <v>0</v>
      </c>
      <c r="CM395" s="40">
        <v>0</v>
      </c>
      <c r="CN395" s="52">
        <v>0</v>
      </c>
      <c r="CO395" s="39">
        <v>1625.84</v>
      </c>
      <c r="CP395" s="40">
        <v>1563.113723389984</v>
      </c>
      <c r="CQ395" s="52">
        <v>-62.72627661001593</v>
      </c>
      <c r="CR395" s="72">
        <v>40727.942677312596</v>
      </c>
      <c r="CS395" s="5">
        <v>45897.340597624359</v>
      </c>
      <c r="CT395" s="52">
        <v>5169.3979203117633</v>
      </c>
      <c r="CU395" s="77">
        <v>48873.531212775117</v>
      </c>
      <c r="CV395" s="65">
        <v>55076.80871714923</v>
      </c>
      <c r="CW395" s="35">
        <v>6203.2775043741131</v>
      </c>
      <c r="CX395" s="73">
        <v>2728.7573657470189</v>
      </c>
      <c r="CY395" s="40">
        <v>-3474.5201386270928</v>
      </c>
      <c r="CZ395" s="52">
        <v>-6203.2775043741112</v>
      </c>
      <c r="DA395" s="150">
        <v>-56160.103818231451</v>
      </c>
      <c r="DB395" s="2">
        <v>3</v>
      </c>
      <c r="DC395" s="648">
        <v>42381.52</v>
      </c>
      <c r="DD395" s="648">
        <v>339</v>
      </c>
      <c r="DE395" s="649">
        <v>-8881.7685785221402</v>
      </c>
      <c r="DG395" s="321">
        <v>40787.896529030288</v>
      </c>
      <c r="DH395" s="5">
        <v>619227.46294226567</v>
      </c>
      <c r="DI395" s="306">
        <v>4.1589527888532842</v>
      </c>
      <c r="DJ395" s="306"/>
      <c r="DK395" s="306">
        <v>3.7584292921984073</v>
      </c>
      <c r="DL395" s="28">
        <v>25490.762306744331</v>
      </c>
      <c r="DM395" s="28">
        <v>169.50516107814818</v>
      </c>
      <c r="DN395" s="650">
        <v>25491.01</v>
      </c>
      <c r="DO395" s="94">
        <v>-0.24769325566740008</v>
      </c>
      <c r="DP395" s="28">
        <v>25660.267467822479</v>
      </c>
      <c r="DQ395" s="318">
        <v>1.663581115542911</v>
      </c>
      <c r="DS395" s="8">
        <v>24436.765606387558</v>
      </c>
      <c r="DT395" s="5">
        <v>1221.8382803193779</v>
      </c>
      <c r="DW395" s="5">
        <v>14319.058518220421</v>
      </c>
      <c r="DX395" s="5">
        <v>7314</v>
      </c>
    </row>
    <row r="396" spans="1:128" x14ac:dyDescent="0.3">
      <c r="A396" s="325">
        <v>150000878</v>
      </c>
      <c r="B396" s="41" t="s">
        <v>842</v>
      </c>
      <c r="C396" s="42" t="s">
        <v>237</v>
      </c>
      <c r="D396" s="42" t="s">
        <v>237</v>
      </c>
      <c r="E396" s="293">
        <v>2116.4899999999998</v>
      </c>
      <c r="F396" s="305">
        <v>1686.26</v>
      </c>
      <c r="G396" s="51"/>
      <c r="H396" s="651">
        <v>430.23</v>
      </c>
      <c r="I396" s="73">
        <v>939.21016915786299</v>
      </c>
      <c r="J396" s="40">
        <v>1035.6146272110327</v>
      </c>
      <c r="K396" s="52">
        <v>96.404458053169719</v>
      </c>
      <c r="L396" s="73">
        <v>170.9580694112334</v>
      </c>
      <c r="M396" s="40">
        <v>192.60493120726233</v>
      </c>
      <c r="N396" s="52">
        <v>21.646861796028929</v>
      </c>
      <c r="O396" s="73">
        <v>457.49549972338997</v>
      </c>
      <c r="P396" s="40">
        <v>457.5</v>
      </c>
      <c r="Q396" s="52">
        <v>4.500276610031051E-3</v>
      </c>
      <c r="R396" s="73">
        <v>0</v>
      </c>
      <c r="S396" s="40">
        <v>0</v>
      </c>
      <c r="T396" s="52">
        <v>0</v>
      </c>
      <c r="U396" s="73">
        <v>0</v>
      </c>
      <c r="V396" s="40">
        <v>0</v>
      </c>
      <c r="W396" s="52">
        <v>0</v>
      </c>
      <c r="X396" s="73">
        <v>565.60385679739534</v>
      </c>
      <c r="Y396" s="40">
        <v>580.34869330029392</v>
      </c>
      <c r="Z396" s="52">
        <v>14.744836502898579</v>
      </c>
      <c r="AA396" s="73">
        <v>194.2928</v>
      </c>
      <c r="AB396" s="40">
        <v>0</v>
      </c>
      <c r="AC396" s="52">
        <v>-194.2928</v>
      </c>
      <c r="AD396" s="73">
        <v>1720.2177020099189</v>
      </c>
      <c r="AE396" s="40">
        <v>1907.6033227034068</v>
      </c>
      <c r="AF396" s="35">
        <v>187.38562069348791</v>
      </c>
      <c r="AG396" s="77">
        <v>4047.778097099801</v>
      </c>
      <c r="AH396" s="53">
        <v>4173.6715744219955</v>
      </c>
      <c r="AI396" s="52">
        <v>125.89347732219449</v>
      </c>
      <c r="AJ396" s="73">
        <v>0</v>
      </c>
      <c r="AK396" s="40">
        <v>0</v>
      </c>
      <c r="AL396" s="52">
        <v>0</v>
      </c>
      <c r="AM396" s="73">
        <v>0</v>
      </c>
      <c r="AN396" s="40">
        <v>0</v>
      </c>
      <c r="AO396" s="52">
        <v>0</v>
      </c>
      <c r="AP396" s="73">
        <v>529.4905</v>
      </c>
      <c r="AQ396" s="40">
        <v>0</v>
      </c>
      <c r="AR396" s="52">
        <v>-529.4905</v>
      </c>
      <c r="AS396" s="73">
        <v>2284.4538102672977</v>
      </c>
      <c r="AT396" s="40">
        <v>0</v>
      </c>
      <c r="AU396" s="54">
        <v>-2284.4538102672977</v>
      </c>
      <c r="AV396" s="73">
        <v>488.44437780382617</v>
      </c>
      <c r="AW396" s="40">
        <v>0</v>
      </c>
      <c r="AX396" s="55">
        <v>-488.44437780382617</v>
      </c>
      <c r="AY396" s="73">
        <v>473.14140202016097</v>
      </c>
      <c r="AZ396" s="40">
        <v>0</v>
      </c>
      <c r="BA396" s="35">
        <v>-473.14140202016097</v>
      </c>
      <c r="BB396" s="73">
        <v>195.55037532358</v>
      </c>
      <c r="BC396" s="40">
        <v>718</v>
      </c>
      <c r="BD396" s="55">
        <v>522.44962467641994</v>
      </c>
      <c r="BE396" s="73">
        <v>0</v>
      </c>
      <c r="BF396" s="40">
        <v>0</v>
      </c>
      <c r="BG396" s="38">
        <v>0</v>
      </c>
      <c r="BH396" s="73">
        <v>0</v>
      </c>
      <c r="BI396" s="40">
        <v>0</v>
      </c>
      <c r="BJ396" s="55">
        <v>0</v>
      </c>
      <c r="BK396" s="73">
        <v>344.89898612500679</v>
      </c>
      <c r="BL396" s="40">
        <v>0</v>
      </c>
      <c r="BM396" s="38">
        <v>-344.89898612500679</v>
      </c>
      <c r="BN396" s="73">
        <v>48.5732</v>
      </c>
      <c r="BO396" s="40">
        <v>0</v>
      </c>
      <c r="BP396" s="55">
        <v>-48.5732</v>
      </c>
      <c r="BQ396" s="77">
        <v>1550.6083412725741</v>
      </c>
      <c r="BR396" s="40">
        <v>718</v>
      </c>
      <c r="BS396" s="55">
        <v>-832.60834127257408</v>
      </c>
      <c r="BT396" s="73">
        <v>3610.7862161140201</v>
      </c>
      <c r="BU396" s="40">
        <v>955.12344411154231</v>
      </c>
      <c r="BV396" s="52">
        <v>-2655.6627720024781</v>
      </c>
      <c r="BW396" s="73">
        <v>2446.8946267494998</v>
      </c>
      <c r="BX396" s="40">
        <v>2973.9544339538179</v>
      </c>
      <c r="BY396" s="52">
        <v>527.05980720431808</v>
      </c>
      <c r="BZ396" s="73">
        <v>1519.027946668368</v>
      </c>
      <c r="CA396" s="40">
        <v>5544.0411403985208</v>
      </c>
      <c r="CB396" s="52">
        <v>4025.013193730153</v>
      </c>
      <c r="CC396" s="73">
        <v>70.286081800000005</v>
      </c>
      <c r="CD396" s="40">
        <v>88.684549134068575</v>
      </c>
      <c r="CE396" s="52">
        <v>18.39846733406857</v>
      </c>
      <c r="CF396" s="73">
        <v>8.3508215999999997</v>
      </c>
      <c r="CG396" s="40">
        <v>0</v>
      </c>
      <c r="CH396" s="52">
        <v>-8.3508215999999997</v>
      </c>
      <c r="CI396" s="73">
        <v>485.88</v>
      </c>
      <c r="CJ396" s="40">
        <v>276.3220594483065</v>
      </c>
      <c r="CK396" s="52">
        <v>-209.55794055169349</v>
      </c>
      <c r="CL396" s="73">
        <v>0</v>
      </c>
      <c r="CM396" s="40">
        <v>0</v>
      </c>
      <c r="CN396" s="52">
        <v>0</v>
      </c>
      <c r="CO396" s="39">
        <v>485.88</v>
      </c>
      <c r="CP396" s="40">
        <v>276.3220594483065</v>
      </c>
      <c r="CQ396" s="52">
        <v>-209.55794055169349</v>
      </c>
      <c r="CR396" s="72">
        <v>16553.55644157156</v>
      </c>
      <c r="CS396" s="5">
        <v>14729.797201468249</v>
      </c>
      <c r="CT396" s="52">
        <v>-1823.7592401033107</v>
      </c>
      <c r="CU396" s="77">
        <v>19864.267729885873</v>
      </c>
      <c r="CV396" s="65">
        <v>17675.756641761898</v>
      </c>
      <c r="CW396" s="35">
        <v>-2188.5110881239743</v>
      </c>
      <c r="CX396" s="73">
        <v>1109.082268827922</v>
      </c>
      <c r="CY396" s="40">
        <v>3297.5933569518966</v>
      </c>
      <c r="CZ396" s="52">
        <v>2188.5110881239743</v>
      </c>
      <c r="DA396" s="150">
        <v>-9721.2730365143725</v>
      </c>
      <c r="DB396" s="2">
        <v>2</v>
      </c>
      <c r="DC396" s="648">
        <v>24124.47</v>
      </c>
      <c r="DD396" s="648">
        <v>7040.2800000000007</v>
      </c>
      <c r="DE396" s="649">
        <v>10191.400001286205</v>
      </c>
      <c r="DG396" s="321">
        <v>-1509.638307116983</v>
      </c>
      <c r="DH396" s="5">
        <v>251680.19998456555</v>
      </c>
      <c r="DI396" s="306">
        <v>4.5734796582983774</v>
      </c>
      <c r="DJ396" s="306"/>
      <c r="DK396" s="306">
        <v>3.6593005786474428</v>
      </c>
      <c r="DL396" s="28">
        <v>7712.0758086022215</v>
      </c>
      <c r="DM396" s="28">
        <v>1574.3408879514893</v>
      </c>
      <c r="DN396" s="650">
        <v>7712.11</v>
      </c>
      <c r="DO396" s="94">
        <v>-3.4191397778158716E-2</v>
      </c>
      <c r="DP396" s="28">
        <v>9286.4166965537115</v>
      </c>
      <c r="DQ396" s="318">
        <v>-1142.3238616363724</v>
      </c>
      <c r="DS396" s="8">
        <v>9932.1338649429363</v>
      </c>
      <c r="DT396" s="5">
        <v>496.60669324714684</v>
      </c>
      <c r="DW396" s="5">
        <v>4602.0745818478454</v>
      </c>
      <c r="DX396" s="5">
        <v>861.6</v>
      </c>
    </row>
    <row r="397" spans="1:128" x14ac:dyDescent="0.3">
      <c r="A397" s="325">
        <v>150000879</v>
      </c>
      <c r="B397" s="41" t="s">
        <v>843</v>
      </c>
      <c r="C397" s="42" t="s">
        <v>330</v>
      </c>
      <c r="D397" s="42" t="s">
        <v>330</v>
      </c>
      <c r="E397" s="293">
        <v>4441.68</v>
      </c>
      <c r="F397" s="305">
        <v>3612.08</v>
      </c>
      <c r="G397" s="51"/>
      <c r="H397" s="651">
        <v>829.6</v>
      </c>
      <c r="I397" s="73">
        <v>1886.8309553139952</v>
      </c>
      <c r="J397" s="40">
        <v>2100.1578732933654</v>
      </c>
      <c r="K397" s="52">
        <v>213.32691797937014</v>
      </c>
      <c r="L397" s="73">
        <v>373.80089533182257</v>
      </c>
      <c r="M397" s="40">
        <v>421.13163123710729</v>
      </c>
      <c r="N397" s="52">
        <v>47.330735905284712</v>
      </c>
      <c r="O397" s="73">
        <v>875.17057204676655</v>
      </c>
      <c r="P397" s="40">
        <v>875.16</v>
      </c>
      <c r="Q397" s="52">
        <v>-1.0572046766583298E-2</v>
      </c>
      <c r="R397" s="73">
        <v>0</v>
      </c>
      <c r="S397" s="40">
        <v>0</v>
      </c>
      <c r="T397" s="52">
        <v>0</v>
      </c>
      <c r="U397" s="73">
        <v>0</v>
      </c>
      <c r="V397" s="40">
        <v>0</v>
      </c>
      <c r="W397" s="52">
        <v>0</v>
      </c>
      <c r="X397" s="73">
        <v>1175.774712657224</v>
      </c>
      <c r="Y397" s="40">
        <v>1833.8428996745845</v>
      </c>
      <c r="Z397" s="52">
        <v>658.06818701736051</v>
      </c>
      <c r="AA397" s="73">
        <v>364.33840000000004</v>
      </c>
      <c r="AB397" s="40">
        <v>0</v>
      </c>
      <c r="AC397" s="52">
        <v>-364.33840000000004</v>
      </c>
      <c r="AD397" s="73">
        <v>3243.6006832878857</v>
      </c>
      <c r="AE397" s="40">
        <v>4003.3090288096182</v>
      </c>
      <c r="AF397" s="35">
        <v>759.70834552173255</v>
      </c>
      <c r="AG397" s="77">
        <v>7919.5162186376938</v>
      </c>
      <c r="AH397" s="53">
        <v>9233.6014330146754</v>
      </c>
      <c r="AI397" s="52">
        <v>1314.0852143769816</v>
      </c>
      <c r="AJ397" s="73">
        <v>0</v>
      </c>
      <c r="AK397" s="40">
        <v>0</v>
      </c>
      <c r="AL397" s="52">
        <v>0</v>
      </c>
      <c r="AM397" s="73">
        <v>0</v>
      </c>
      <c r="AN397" s="40">
        <v>0</v>
      </c>
      <c r="AO397" s="52">
        <v>0</v>
      </c>
      <c r="AP397" s="73">
        <v>1569.5611249999999</v>
      </c>
      <c r="AQ397" s="40">
        <v>0</v>
      </c>
      <c r="AR397" s="52">
        <v>-1569.5611249999999</v>
      </c>
      <c r="AS397" s="73">
        <v>2619.6697295869435</v>
      </c>
      <c r="AT397" s="40">
        <v>1932</v>
      </c>
      <c r="AU397" s="54">
        <v>-687.6697295869435</v>
      </c>
      <c r="AV397" s="73">
        <v>823.16365182276536</v>
      </c>
      <c r="AW397" s="40">
        <v>0</v>
      </c>
      <c r="AX397" s="55">
        <v>-823.16365182276536</v>
      </c>
      <c r="AY397" s="73">
        <v>1034.5957739555054</v>
      </c>
      <c r="AZ397" s="40">
        <v>0</v>
      </c>
      <c r="BA397" s="35">
        <v>-1034.5957739555054</v>
      </c>
      <c r="BB397" s="73">
        <v>298.36092431417001</v>
      </c>
      <c r="BC397" s="40">
        <v>0</v>
      </c>
      <c r="BD397" s="55">
        <v>-298.36092431417001</v>
      </c>
      <c r="BE397" s="73">
        <v>0</v>
      </c>
      <c r="BF397" s="40">
        <v>0</v>
      </c>
      <c r="BG397" s="38">
        <v>0</v>
      </c>
      <c r="BH397" s="73">
        <v>0</v>
      </c>
      <c r="BI397" s="40">
        <v>0</v>
      </c>
      <c r="BJ397" s="55">
        <v>0</v>
      </c>
      <c r="BK397" s="73">
        <v>837.53700065228622</v>
      </c>
      <c r="BL397" s="40">
        <v>0</v>
      </c>
      <c r="BM397" s="38">
        <v>-837.53700065228622</v>
      </c>
      <c r="BN397" s="73">
        <v>91.084600000000009</v>
      </c>
      <c r="BO397" s="40">
        <v>0</v>
      </c>
      <c r="BP397" s="55">
        <v>-91.084600000000009</v>
      </c>
      <c r="BQ397" s="77">
        <v>3084.7419507447271</v>
      </c>
      <c r="BR397" s="40">
        <v>0</v>
      </c>
      <c r="BS397" s="55">
        <v>-3084.7419507447271</v>
      </c>
      <c r="BT397" s="73">
        <v>4020.3953528311199</v>
      </c>
      <c r="BU397" s="40">
        <v>853.4142371279753</v>
      </c>
      <c r="BV397" s="52">
        <v>-3166.9811157031445</v>
      </c>
      <c r="BW397" s="73">
        <v>2204.1165612792802</v>
      </c>
      <c r="BX397" s="40">
        <v>2666.810021162853</v>
      </c>
      <c r="BY397" s="52">
        <v>462.69345988357281</v>
      </c>
      <c r="BZ397" s="73">
        <v>2234.2603438024798</v>
      </c>
      <c r="CA397" s="40">
        <v>6901.3922454217563</v>
      </c>
      <c r="CB397" s="52">
        <v>4667.1319016192765</v>
      </c>
      <c r="CC397" s="73">
        <v>0</v>
      </c>
      <c r="CD397" s="40">
        <v>0</v>
      </c>
      <c r="CE397" s="52">
        <v>0</v>
      </c>
      <c r="CF397" s="73">
        <v>0</v>
      </c>
      <c r="CG397" s="40">
        <v>0</v>
      </c>
      <c r="CH397" s="52">
        <v>0</v>
      </c>
      <c r="CI397" s="73">
        <v>825.38</v>
      </c>
      <c r="CJ397" s="40">
        <v>903.36087900601729</v>
      </c>
      <c r="CK397" s="52">
        <v>77.98087900601729</v>
      </c>
      <c r="CL397" s="73">
        <v>0</v>
      </c>
      <c r="CM397" s="40">
        <v>0</v>
      </c>
      <c r="CN397" s="52">
        <v>0</v>
      </c>
      <c r="CO397" s="39">
        <v>825.38</v>
      </c>
      <c r="CP397" s="40">
        <v>903.36087900601729</v>
      </c>
      <c r="CQ397" s="52">
        <v>77.98087900601729</v>
      </c>
      <c r="CR397" s="72">
        <v>24477.641281882246</v>
      </c>
      <c r="CS397" s="5">
        <v>22490.578815733279</v>
      </c>
      <c r="CT397" s="52">
        <v>-1987.0624661489674</v>
      </c>
      <c r="CU397" s="77">
        <v>29373.169538258695</v>
      </c>
      <c r="CV397" s="65">
        <v>26988.694578879935</v>
      </c>
      <c r="CW397" s="35">
        <v>-2384.4749593787601</v>
      </c>
      <c r="CX397" s="73">
        <v>1639.9930748590614</v>
      </c>
      <c r="CY397" s="40">
        <v>4024.4680342378197</v>
      </c>
      <c r="CZ397" s="52">
        <v>2384.4749593787583</v>
      </c>
      <c r="DA397" s="150">
        <v>18456.813721437975</v>
      </c>
      <c r="DB397" s="2">
        <v>2</v>
      </c>
      <c r="DC397" s="648">
        <v>24825.77</v>
      </c>
      <c r="DD397" s="648">
        <v>4126.0700000000006</v>
      </c>
      <c r="DE397" s="649">
        <v>-2061.3226131177544</v>
      </c>
      <c r="DG397" s="321">
        <v>-798.86251403194728</v>
      </c>
      <c r="DH397" s="5">
        <v>372157.95135741308</v>
      </c>
      <c r="DI397" s="306">
        <v>3.4655871340601263</v>
      </c>
      <c r="DJ397" s="306"/>
      <c r="DK397" s="306">
        <v>3.0811620348510873</v>
      </c>
      <c r="DL397" s="28">
        <v>12517.977975195901</v>
      </c>
      <c r="DM397" s="28">
        <v>2556.1320241124622</v>
      </c>
      <c r="DN397" s="650">
        <v>12518.04</v>
      </c>
      <c r="DO397" s="94">
        <v>-6.202480409956479E-2</v>
      </c>
      <c r="DP397" s="28">
        <v>15074.109999308363</v>
      </c>
      <c r="DQ397" s="318">
        <v>-346.80400827745143</v>
      </c>
      <c r="DS397" s="8">
        <v>14686.584769129347</v>
      </c>
      <c r="DT397" s="5">
        <v>734.32923845646735</v>
      </c>
      <c r="DW397" s="5">
        <v>6845.2940163980038</v>
      </c>
      <c r="DX397" s="5">
        <v>2318.4</v>
      </c>
    </row>
    <row r="398" spans="1:128" x14ac:dyDescent="0.3">
      <c r="A398" s="325">
        <v>150000880</v>
      </c>
      <c r="B398" s="41" t="s">
        <v>844</v>
      </c>
      <c r="C398" s="42" t="s">
        <v>238</v>
      </c>
      <c r="D398" s="42" t="s">
        <v>238</v>
      </c>
      <c r="E398" s="293">
        <v>2726.35</v>
      </c>
      <c r="F398" s="305">
        <v>1891.75</v>
      </c>
      <c r="G398" s="51"/>
      <c r="H398" s="651">
        <v>834.6</v>
      </c>
      <c r="I398" s="73">
        <v>1216.2311170719818</v>
      </c>
      <c r="J398" s="40">
        <v>1338.2679011220953</v>
      </c>
      <c r="K398" s="52">
        <v>122.03678405011351</v>
      </c>
      <c r="L398" s="73">
        <v>264.62406583965139</v>
      </c>
      <c r="M398" s="40">
        <v>298.13121143403629</v>
      </c>
      <c r="N398" s="52">
        <v>33.507145594384895</v>
      </c>
      <c r="O398" s="73">
        <v>526.47296454104332</v>
      </c>
      <c r="P398" s="40">
        <v>526.46</v>
      </c>
      <c r="Q398" s="52">
        <v>-1.2964541043288591E-2</v>
      </c>
      <c r="R398" s="73">
        <v>0</v>
      </c>
      <c r="S398" s="40">
        <v>0</v>
      </c>
      <c r="T398" s="52">
        <v>0</v>
      </c>
      <c r="U398" s="73">
        <v>0</v>
      </c>
      <c r="V398" s="40">
        <v>0</v>
      </c>
      <c r="W398" s="52">
        <v>0</v>
      </c>
      <c r="X398" s="73">
        <v>845.54254043668902</v>
      </c>
      <c r="Y398" s="40">
        <v>891.10419430150841</v>
      </c>
      <c r="Z398" s="52">
        <v>45.561653864819391</v>
      </c>
      <c r="AA398" s="73">
        <v>218.108</v>
      </c>
      <c r="AB398" s="40">
        <v>0</v>
      </c>
      <c r="AC398" s="52">
        <v>-218.108</v>
      </c>
      <c r="AD398" s="73">
        <v>1930.9911446932565</v>
      </c>
      <c r="AE398" s="40">
        <v>2457.2732773849311</v>
      </c>
      <c r="AF398" s="35">
        <v>526.28213269167463</v>
      </c>
      <c r="AG398" s="77">
        <v>5001.9698325826221</v>
      </c>
      <c r="AH398" s="53">
        <v>5511.2365842425716</v>
      </c>
      <c r="AI398" s="52">
        <v>509.26675165994948</v>
      </c>
      <c r="AJ398" s="73">
        <v>0</v>
      </c>
      <c r="AK398" s="40">
        <v>0</v>
      </c>
      <c r="AL398" s="52">
        <v>0</v>
      </c>
      <c r="AM398" s="73">
        <v>0</v>
      </c>
      <c r="AN398" s="40">
        <v>0</v>
      </c>
      <c r="AO398" s="52">
        <v>0</v>
      </c>
      <c r="AP398" s="73">
        <v>567.31124999999997</v>
      </c>
      <c r="AQ398" s="40">
        <v>1673.096473578312</v>
      </c>
      <c r="AR398" s="52">
        <v>1105.7852235783121</v>
      </c>
      <c r="AS398" s="73">
        <v>2574.2408921034721</v>
      </c>
      <c r="AT398" s="40">
        <v>0</v>
      </c>
      <c r="AU398" s="54">
        <v>-2574.2408921034721</v>
      </c>
      <c r="AV398" s="73">
        <v>680.03645636069393</v>
      </c>
      <c r="AW398" s="40">
        <v>0</v>
      </c>
      <c r="AX398" s="55">
        <v>-680.03645636069393</v>
      </c>
      <c r="AY398" s="73">
        <v>732.34481299140066</v>
      </c>
      <c r="AZ398" s="40">
        <v>0</v>
      </c>
      <c r="BA398" s="35">
        <v>-732.34481299140066</v>
      </c>
      <c r="BB398" s="73">
        <v>187.15094121685999</v>
      </c>
      <c r="BC398" s="40">
        <v>0</v>
      </c>
      <c r="BD398" s="55">
        <v>-187.15094121685999</v>
      </c>
      <c r="BE398" s="73">
        <v>0</v>
      </c>
      <c r="BF398" s="40">
        <v>0</v>
      </c>
      <c r="BG398" s="38">
        <v>0</v>
      </c>
      <c r="BH398" s="73">
        <v>0</v>
      </c>
      <c r="BI398" s="40">
        <v>0</v>
      </c>
      <c r="BJ398" s="55">
        <v>0</v>
      </c>
      <c r="BK398" s="73">
        <v>600.83783113890775</v>
      </c>
      <c r="BL398" s="40">
        <v>0</v>
      </c>
      <c r="BM398" s="38">
        <v>-600.83783113890775</v>
      </c>
      <c r="BN398" s="73">
        <v>54.527000000000001</v>
      </c>
      <c r="BO398" s="40">
        <v>0</v>
      </c>
      <c r="BP398" s="55">
        <v>-54.527000000000001</v>
      </c>
      <c r="BQ398" s="77">
        <v>2254.8970417078622</v>
      </c>
      <c r="BR398" s="40">
        <v>0</v>
      </c>
      <c r="BS398" s="55">
        <v>-2254.8970417078622</v>
      </c>
      <c r="BT398" s="73">
        <v>2732.0529992347801</v>
      </c>
      <c r="BU398" s="40">
        <v>817.57405565783381</v>
      </c>
      <c r="BV398" s="52">
        <v>-1914.4789435769462</v>
      </c>
      <c r="BW398" s="73">
        <v>1948.933092310974</v>
      </c>
      <c r="BX398" s="40">
        <v>2103.4427156865345</v>
      </c>
      <c r="BY398" s="52">
        <v>154.50962337556052</v>
      </c>
      <c r="BZ398" s="73">
        <v>1680.49440536865</v>
      </c>
      <c r="CA398" s="40">
        <v>4663.1959503744474</v>
      </c>
      <c r="CB398" s="52">
        <v>2982.7015450057975</v>
      </c>
      <c r="CC398" s="73">
        <v>124.146611875</v>
      </c>
      <c r="CD398" s="40">
        <v>156.64390472050155</v>
      </c>
      <c r="CE398" s="52">
        <v>32.497292845501548</v>
      </c>
      <c r="CF398" s="73">
        <v>14.750092499999999</v>
      </c>
      <c r="CG398" s="40">
        <v>0</v>
      </c>
      <c r="CH398" s="52">
        <v>-14.750092499999999</v>
      </c>
      <c r="CI398" s="73">
        <v>1270.78</v>
      </c>
      <c r="CJ398" s="40">
        <v>1355.784308700976</v>
      </c>
      <c r="CK398" s="52">
        <v>85.004308700976026</v>
      </c>
      <c r="CL398" s="73">
        <v>0</v>
      </c>
      <c r="CM398" s="40">
        <v>0</v>
      </c>
      <c r="CN398" s="52">
        <v>0</v>
      </c>
      <c r="CO398" s="39">
        <v>1270.78</v>
      </c>
      <c r="CP398" s="40">
        <v>1355.784308700976</v>
      </c>
      <c r="CQ398" s="52">
        <v>85.004308700976026</v>
      </c>
      <c r="CR398" s="72">
        <v>18169.576217683356</v>
      </c>
      <c r="CS398" s="5">
        <v>16280.973992961179</v>
      </c>
      <c r="CT398" s="52">
        <v>-1888.6022247221772</v>
      </c>
      <c r="CU398" s="77">
        <v>21803.491461220026</v>
      </c>
      <c r="CV398" s="65">
        <v>19537.168791553413</v>
      </c>
      <c r="CW398" s="35">
        <v>-2266.3226696666134</v>
      </c>
      <c r="CX398" s="73">
        <v>1217.3550068396639</v>
      </c>
      <c r="CY398" s="40">
        <v>3483.6776765062787</v>
      </c>
      <c r="CZ398" s="52">
        <v>2266.3226696666147</v>
      </c>
      <c r="DA398" s="150">
        <v>-48413.780566264279</v>
      </c>
      <c r="DB398" s="2">
        <v>2</v>
      </c>
      <c r="DC398" s="648">
        <v>3203.86</v>
      </c>
      <c r="DD398" s="648">
        <v>11175.17</v>
      </c>
      <c r="DE398" s="649">
        <v>-8641.816468059691</v>
      </c>
      <c r="DG398" s="321">
        <v>61590.972898895336</v>
      </c>
      <c r="DH398" s="5">
        <v>276250.15761671629</v>
      </c>
      <c r="DI398" s="306">
        <v>4.3972801133774624</v>
      </c>
      <c r="DJ398" s="306"/>
      <c r="DK398" s="306">
        <v>3.7482367153830585</v>
      </c>
      <c r="DL398" s="28">
        <v>8318.5546544818153</v>
      </c>
      <c r="DM398" s="28">
        <v>3128.2783626587006</v>
      </c>
      <c r="DN398" s="650">
        <v>8318.57</v>
      </c>
      <c r="DO398" s="94">
        <v>-1.5345518184403772E-2</v>
      </c>
      <c r="DP398" s="28">
        <v>11446.833017140516</v>
      </c>
      <c r="DQ398" s="318">
        <v>0</v>
      </c>
      <c r="DS398" s="8">
        <v>10901.745730610013</v>
      </c>
      <c r="DT398" s="5">
        <v>545.08728653050071</v>
      </c>
      <c r="DW398" s="5">
        <v>5794.9655205736017</v>
      </c>
      <c r="DX398" s="5">
        <v>0</v>
      </c>
    </row>
    <row r="399" spans="1:128" x14ac:dyDescent="0.3">
      <c r="A399" s="325">
        <v>150000881</v>
      </c>
      <c r="B399" s="41" t="s">
        <v>845</v>
      </c>
      <c r="C399" s="42" t="s">
        <v>412</v>
      </c>
      <c r="D399" s="42" t="s">
        <v>412</v>
      </c>
      <c r="E399" s="293">
        <v>2405.4</v>
      </c>
      <c r="F399" s="652">
        <v>2076.5</v>
      </c>
      <c r="G399" s="51">
        <v>0</v>
      </c>
      <c r="H399" s="651">
        <v>328.9</v>
      </c>
      <c r="I399" s="73">
        <v>1001.7623795936097</v>
      </c>
      <c r="J399" s="40">
        <v>1114.8623266768009</v>
      </c>
      <c r="K399" s="52">
        <v>113.09994708319118</v>
      </c>
      <c r="L399" s="73">
        <v>154.54122186495377</v>
      </c>
      <c r="M399" s="40">
        <v>174.10862747747723</v>
      </c>
      <c r="N399" s="52">
        <v>19.567405612523459</v>
      </c>
      <c r="O399" s="73">
        <v>441.95839798594329</v>
      </c>
      <c r="P399" s="40">
        <v>441.96</v>
      </c>
      <c r="Q399" s="52">
        <v>1.6020140566865848E-3</v>
      </c>
      <c r="R399" s="73">
        <v>102.46082843609999</v>
      </c>
      <c r="S399" s="40">
        <v>102.46</v>
      </c>
      <c r="T399" s="52">
        <v>-8.2843609999372347E-4</v>
      </c>
      <c r="U399" s="73">
        <v>43.28778497834633</v>
      </c>
      <c r="V399" s="40">
        <v>81.13666842906477</v>
      </c>
      <c r="W399" s="52">
        <v>37.848883450718439</v>
      </c>
      <c r="X399" s="73">
        <v>467.1917766069248</v>
      </c>
      <c r="Y399" s="40">
        <v>425.4565058141676</v>
      </c>
      <c r="Z399" s="52">
        <v>-41.735270792757206</v>
      </c>
      <c r="AA399" s="73">
        <v>192.43200000000002</v>
      </c>
      <c r="AB399" s="40">
        <v>0</v>
      </c>
      <c r="AC399" s="52">
        <v>-192.43200000000002</v>
      </c>
      <c r="AD399" s="73">
        <v>1719.8423811894625</v>
      </c>
      <c r="AE399" s="40">
        <v>2167.9993916488029</v>
      </c>
      <c r="AF399" s="35">
        <v>448.15701045934043</v>
      </c>
      <c r="AG399" s="77">
        <v>4123.4767706553403</v>
      </c>
      <c r="AH399" s="53">
        <v>4507.9835200463131</v>
      </c>
      <c r="AI399" s="52">
        <v>384.5067493909728</v>
      </c>
      <c r="AJ399" s="73">
        <v>2608.52</v>
      </c>
      <c r="AK399" s="40">
        <v>2569.1684316826186</v>
      </c>
      <c r="AL399" s="52">
        <v>-39.351568317381407</v>
      </c>
      <c r="AM399" s="73">
        <v>210.14988500000001</v>
      </c>
      <c r="AN399" s="40">
        <v>0</v>
      </c>
      <c r="AO399" s="52">
        <v>-210.14988500000001</v>
      </c>
      <c r="AP399" s="73">
        <v>302.56599999999997</v>
      </c>
      <c r="AQ399" s="40">
        <v>1784.6362384835329</v>
      </c>
      <c r="AR399" s="52">
        <v>1482.0702384835329</v>
      </c>
      <c r="AS399" s="73">
        <v>2449.818619963849</v>
      </c>
      <c r="AT399" s="40">
        <v>2223</v>
      </c>
      <c r="AU399" s="54">
        <v>-226.81861996384896</v>
      </c>
      <c r="AV399" s="73">
        <v>419.73448460127639</v>
      </c>
      <c r="AW399" s="40">
        <v>0</v>
      </c>
      <c r="AX399" s="55">
        <v>-419.73448460127639</v>
      </c>
      <c r="AY399" s="73">
        <v>434.13054439819246</v>
      </c>
      <c r="AZ399" s="40">
        <v>0</v>
      </c>
      <c r="BA399" s="35">
        <v>-434.13054439819246</v>
      </c>
      <c r="BB399" s="73">
        <v>172.64972157987341</v>
      </c>
      <c r="BC399" s="40">
        <v>788</v>
      </c>
      <c r="BD399" s="55">
        <v>615.35027842012664</v>
      </c>
      <c r="BE399" s="73">
        <v>510.62495609975201</v>
      </c>
      <c r="BF399" s="40">
        <v>0</v>
      </c>
      <c r="BG399" s="38">
        <v>-510.62495609975201</v>
      </c>
      <c r="BH399" s="73">
        <v>208.98388444579521</v>
      </c>
      <c r="BI399" s="40">
        <v>0</v>
      </c>
      <c r="BJ399" s="55">
        <v>-208.98388444579521</v>
      </c>
      <c r="BK399" s="73">
        <v>176.96648723499496</v>
      </c>
      <c r="BL399" s="40">
        <v>0</v>
      </c>
      <c r="BM399" s="38">
        <v>-176.96648723499496</v>
      </c>
      <c r="BN399" s="73">
        <v>48.108000000000004</v>
      </c>
      <c r="BO399" s="40">
        <v>0</v>
      </c>
      <c r="BP399" s="55">
        <v>-48.108000000000004</v>
      </c>
      <c r="BQ399" s="77">
        <v>1971.1980783598842</v>
      </c>
      <c r="BR399" s="40">
        <v>788</v>
      </c>
      <c r="BS399" s="55">
        <v>-1183.1980783598842</v>
      </c>
      <c r="BT399" s="73">
        <v>4354.3917088440603</v>
      </c>
      <c r="BU399" s="40">
        <v>935.66210623057759</v>
      </c>
      <c r="BV399" s="52">
        <v>-3418.7296026134827</v>
      </c>
      <c r="BW399" s="73">
        <v>2531.1417053545802</v>
      </c>
      <c r="BX399" s="40">
        <v>2791.646750827952</v>
      </c>
      <c r="BY399" s="52">
        <v>260.50504547337187</v>
      </c>
      <c r="BZ399" s="73">
        <v>820.84433710656401</v>
      </c>
      <c r="CA399" s="40">
        <v>5457.6946837910145</v>
      </c>
      <c r="CB399" s="52">
        <v>4636.8503466844504</v>
      </c>
      <c r="CC399" s="73">
        <v>9.0896610750000004</v>
      </c>
      <c r="CD399" s="40">
        <v>0</v>
      </c>
      <c r="CE399" s="52">
        <v>-9.0896610750000004</v>
      </c>
      <c r="CF399" s="73">
        <v>0</v>
      </c>
      <c r="CG399" s="40">
        <v>0</v>
      </c>
      <c r="CH399" s="52">
        <v>0</v>
      </c>
      <c r="CI399" s="73">
        <v>822.26</v>
      </c>
      <c r="CJ399" s="40">
        <v>555.10350406487237</v>
      </c>
      <c r="CK399" s="52">
        <v>-267.15649593512762</v>
      </c>
      <c r="CL399" s="73">
        <v>1258.3186000000001</v>
      </c>
      <c r="CM399" s="40">
        <v>1243.6171963596043</v>
      </c>
      <c r="CN399" s="52">
        <v>-14.701403640395711</v>
      </c>
      <c r="CO399" s="39">
        <v>2080.5785999999998</v>
      </c>
      <c r="CP399" s="40">
        <v>1798.7207004244767</v>
      </c>
      <c r="CQ399" s="52">
        <v>-281.85789957552311</v>
      </c>
      <c r="CR399" s="72">
        <v>21461.775366359278</v>
      </c>
      <c r="CS399" s="5">
        <v>22856.512431486488</v>
      </c>
      <c r="CT399" s="52">
        <v>1394.7370651272104</v>
      </c>
      <c r="CU399" s="77">
        <v>25754.130439631132</v>
      </c>
      <c r="CV399" s="65">
        <v>27427.814917783784</v>
      </c>
      <c r="CW399" s="35">
        <v>1673.6844781526524</v>
      </c>
      <c r="CX399" s="73">
        <v>1437.9311539736507</v>
      </c>
      <c r="CY399" s="40">
        <v>-235.75332417900063</v>
      </c>
      <c r="CZ399" s="52">
        <v>-1673.6844781526513</v>
      </c>
      <c r="DA399" s="150">
        <v>-42238.985470010361</v>
      </c>
      <c r="DB399" s="2">
        <v>2</v>
      </c>
      <c r="DC399" s="648">
        <v>17327.64</v>
      </c>
      <c r="DD399" s="648">
        <v>1044.28</v>
      </c>
      <c r="DE399" s="649">
        <v>-8820.1415936047852</v>
      </c>
      <c r="DG399" s="321">
        <v>141842.27286980243</v>
      </c>
      <c r="DH399" s="5">
        <v>326304.7391232574</v>
      </c>
      <c r="DI399" s="306">
        <v>4.7402479889590268</v>
      </c>
      <c r="DJ399" s="306">
        <v>5.8822168245236792</v>
      </c>
      <c r="DK399" s="306">
        <v>3.9723119069106829</v>
      </c>
      <c r="DL399" s="28">
        <v>12214.423236123421</v>
      </c>
      <c r="DM399" s="28">
        <v>1306.4933861829236</v>
      </c>
      <c r="DN399" s="650">
        <v>12214.4</v>
      </c>
      <c r="DO399" s="94">
        <v>2.3236123421156663E-2</v>
      </c>
      <c r="DP399" s="28">
        <v>13520.916622306344</v>
      </c>
      <c r="DQ399" s="318">
        <v>-1.8584999997983687E-3</v>
      </c>
      <c r="DS399" s="8">
        <v>12877.065219815566</v>
      </c>
      <c r="DT399" s="5">
        <v>643.85326099077838</v>
      </c>
      <c r="DW399" s="5">
        <v>5305.2200379884798</v>
      </c>
      <c r="DX399" s="5">
        <v>3613.2</v>
      </c>
    </row>
    <row r="400" spans="1:128" x14ac:dyDescent="0.3">
      <c r="A400" s="325">
        <v>150000882</v>
      </c>
      <c r="B400" s="41" t="s">
        <v>846</v>
      </c>
      <c r="C400" s="42" t="s">
        <v>331</v>
      </c>
      <c r="D400" s="42" t="s">
        <v>331</v>
      </c>
      <c r="E400" s="293">
        <v>3009.77</v>
      </c>
      <c r="F400" s="305">
        <v>2322.87</v>
      </c>
      <c r="G400" s="51"/>
      <c r="H400" s="651">
        <v>686.9</v>
      </c>
      <c r="I400" s="73">
        <v>1238.3865860484138</v>
      </c>
      <c r="J400" s="40">
        <v>1374.5022067146976</v>
      </c>
      <c r="K400" s="52">
        <v>136.1156206662838</v>
      </c>
      <c r="L400" s="73">
        <v>271.19176291368154</v>
      </c>
      <c r="M400" s="40">
        <v>305.52973292595038</v>
      </c>
      <c r="N400" s="52">
        <v>34.33797001226884</v>
      </c>
      <c r="O400" s="73">
        <v>577.37251645222659</v>
      </c>
      <c r="P400" s="40">
        <v>577.36</v>
      </c>
      <c r="Q400" s="52">
        <v>-1.2516452226577712E-2</v>
      </c>
      <c r="R400" s="73">
        <v>0</v>
      </c>
      <c r="S400" s="40">
        <v>0</v>
      </c>
      <c r="T400" s="52">
        <v>0</v>
      </c>
      <c r="U400" s="73">
        <v>0</v>
      </c>
      <c r="V400" s="40">
        <v>0</v>
      </c>
      <c r="W400" s="52">
        <v>0</v>
      </c>
      <c r="X400" s="73">
        <v>666.12729529775856</v>
      </c>
      <c r="Y400" s="40">
        <v>680.64578491859413</v>
      </c>
      <c r="Z400" s="52">
        <v>14.518489620835567</v>
      </c>
      <c r="AA400" s="73">
        <v>245.08559999999997</v>
      </c>
      <c r="AB400" s="40">
        <v>0</v>
      </c>
      <c r="AC400" s="52">
        <v>-245.08559999999997</v>
      </c>
      <c r="AD400" s="73">
        <v>2177.6823569133553</v>
      </c>
      <c r="AE400" s="40">
        <v>2712.7211810937133</v>
      </c>
      <c r="AF400" s="35">
        <v>535.03882418035801</v>
      </c>
      <c r="AG400" s="77">
        <v>5175.8461176254359</v>
      </c>
      <c r="AH400" s="53">
        <v>5650.7589056529559</v>
      </c>
      <c r="AI400" s="52">
        <v>474.91278802752004</v>
      </c>
      <c r="AJ400" s="73">
        <v>0</v>
      </c>
      <c r="AK400" s="40">
        <v>0</v>
      </c>
      <c r="AL400" s="52">
        <v>0</v>
      </c>
      <c r="AM400" s="73">
        <v>0</v>
      </c>
      <c r="AN400" s="40">
        <v>0</v>
      </c>
      <c r="AO400" s="52">
        <v>0</v>
      </c>
      <c r="AP400" s="73">
        <v>926.60837499999991</v>
      </c>
      <c r="AQ400" s="40">
        <v>0</v>
      </c>
      <c r="AR400" s="52">
        <v>-926.60837499999991</v>
      </c>
      <c r="AS400" s="73">
        <v>2689.7266064284072</v>
      </c>
      <c r="AT400" s="40">
        <v>400</v>
      </c>
      <c r="AU400" s="54">
        <v>-2289.7266064284072</v>
      </c>
      <c r="AV400" s="73">
        <v>573.46190603006835</v>
      </c>
      <c r="AW400" s="40">
        <v>0</v>
      </c>
      <c r="AX400" s="55">
        <v>-573.46190603006835</v>
      </c>
      <c r="AY400" s="73">
        <v>750.61414585889679</v>
      </c>
      <c r="AZ400" s="40">
        <v>0</v>
      </c>
      <c r="BA400" s="35">
        <v>-750.61414585889679</v>
      </c>
      <c r="BB400" s="73">
        <v>223.52786970512321</v>
      </c>
      <c r="BC400" s="40">
        <v>2811</v>
      </c>
      <c r="BD400" s="55">
        <v>2587.4721302948769</v>
      </c>
      <c r="BE400" s="73">
        <v>0</v>
      </c>
      <c r="BF400" s="40">
        <v>0</v>
      </c>
      <c r="BG400" s="38">
        <v>0</v>
      </c>
      <c r="BH400" s="73">
        <v>0</v>
      </c>
      <c r="BI400" s="40">
        <v>0</v>
      </c>
      <c r="BJ400" s="55">
        <v>0</v>
      </c>
      <c r="BK400" s="73">
        <v>372.24091596447795</v>
      </c>
      <c r="BL400" s="40">
        <v>0</v>
      </c>
      <c r="BM400" s="38">
        <v>-372.24091596447795</v>
      </c>
      <c r="BN400" s="73">
        <v>61.271399999999993</v>
      </c>
      <c r="BO400" s="40">
        <v>0</v>
      </c>
      <c r="BP400" s="55">
        <v>-61.271399999999993</v>
      </c>
      <c r="BQ400" s="77">
        <v>1981.1162375585664</v>
      </c>
      <c r="BR400" s="40">
        <v>2811</v>
      </c>
      <c r="BS400" s="55">
        <v>829.88376244143365</v>
      </c>
      <c r="BT400" s="73">
        <v>3131.11828944434</v>
      </c>
      <c r="BU400" s="40">
        <v>638.73813057593497</v>
      </c>
      <c r="BV400" s="52">
        <v>-2492.380158868405</v>
      </c>
      <c r="BW400" s="73">
        <v>1363.27338171322</v>
      </c>
      <c r="BX400" s="40">
        <v>1201.9058214630995</v>
      </c>
      <c r="BY400" s="52">
        <v>-161.3675602501205</v>
      </c>
      <c r="BZ400" s="73">
        <v>1706.917554555378</v>
      </c>
      <c r="CA400" s="40">
        <v>4575.1124962802378</v>
      </c>
      <c r="CB400" s="52">
        <v>2868.1949417248597</v>
      </c>
      <c r="CC400" s="73">
        <v>68.376133925000005</v>
      </c>
      <c r="CD400" s="40">
        <v>86.274642907599315</v>
      </c>
      <c r="CE400" s="52">
        <v>17.89850898259931</v>
      </c>
      <c r="CF400" s="73">
        <v>8.1238971000000006</v>
      </c>
      <c r="CG400" s="40">
        <v>0</v>
      </c>
      <c r="CH400" s="52">
        <v>-8.1238971000000006</v>
      </c>
      <c r="CI400" s="73">
        <v>1152.42</v>
      </c>
      <c r="CJ400" s="40">
        <v>493.80437153340785</v>
      </c>
      <c r="CK400" s="52">
        <v>-658.61562846659217</v>
      </c>
      <c r="CL400" s="73">
        <v>0</v>
      </c>
      <c r="CM400" s="40">
        <v>0</v>
      </c>
      <c r="CN400" s="52">
        <v>0</v>
      </c>
      <c r="CO400" s="39">
        <v>1152.42</v>
      </c>
      <c r="CP400" s="40">
        <v>493.80437153340785</v>
      </c>
      <c r="CQ400" s="52">
        <v>-658.61562846659217</v>
      </c>
      <c r="CR400" s="72">
        <v>18203.526593350347</v>
      </c>
      <c r="CS400" s="5">
        <v>15857.594368413238</v>
      </c>
      <c r="CT400" s="52">
        <v>-2345.9322249371089</v>
      </c>
      <c r="CU400" s="77">
        <v>21844.231912020416</v>
      </c>
      <c r="CV400" s="65">
        <v>19029.113242095886</v>
      </c>
      <c r="CW400" s="35">
        <v>-2815.11866992453</v>
      </c>
      <c r="CX400" s="73">
        <v>1219.6296696775387</v>
      </c>
      <c r="CY400" s="40">
        <v>4034.7483396020689</v>
      </c>
      <c r="CZ400" s="52">
        <v>2815.11866992453</v>
      </c>
      <c r="DA400" s="150">
        <v>45326.391868653969</v>
      </c>
      <c r="DB400" s="2">
        <v>2</v>
      </c>
      <c r="DC400" s="648">
        <v>22338.81</v>
      </c>
      <c r="DD400" s="648">
        <v>8669.5799999999981</v>
      </c>
      <c r="DE400" s="649">
        <v>7944.5284183020449</v>
      </c>
      <c r="DG400" s="321">
        <v>-60441.367778229287</v>
      </c>
      <c r="DH400" s="5">
        <v>276766.33898037544</v>
      </c>
      <c r="DI400" s="306">
        <v>3.8328125472985177</v>
      </c>
      <c r="DJ400" s="306"/>
      <c r="DK400" s="306">
        <v>3.4630707061798462</v>
      </c>
      <c r="DL400" s="28">
        <v>8903.1252817433069</v>
      </c>
      <c r="DM400" s="28">
        <v>2378.7832680749361</v>
      </c>
      <c r="DN400" s="650">
        <v>8903.11</v>
      </c>
      <c r="DO400" s="94">
        <v>1.5281743306331919E-2</v>
      </c>
      <c r="DP400" s="28">
        <v>11281.908549818243</v>
      </c>
      <c r="DQ400" s="318">
        <v>-186.31320399247488</v>
      </c>
      <c r="DS400" s="8">
        <v>10922.115956010208</v>
      </c>
      <c r="DT400" s="5">
        <v>546.10579780051046</v>
      </c>
      <c r="DW400" s="5">
        <v>5605.0114127843672</v>
      </c>
      <c r="DX400" s="5">
        <v>3853.2</v>
      </c>
    </row>
    <row r="401" spans="1:128" x14ac:dyDescent="0.3">
      <c r="A401" s="325">
        <v>150000883</v>
      </c>
      <c r="B401" s="41" t="s">
        <v>847</v>
      </c>
      <c r="C401" s="42" t="s">
        <v>332</v>
      </c>
      <c r="D401" s="42" t="s">
        <v>332</v>
      </c>
      <c r="E401" s="293">
        <v>1851.91</v>
      </c>
      <c r="F401" s="305">
        <v>1851.91</v>
      </c>
      <c r="G401" s="51"/>
      <c r="H401" s="651">
        <v>0</v>
      </c>
      <c r="I401" s="73">
        <v>900.73068724221866</v>
      </c>
      <c r="J401" s="40">
        <v>999.56800125298491</v>
      </c>
      <c r="K401" s="52">
        <v>98.837314010766249</v>
      </c>
      <c r="L401" s="73">
        <v>161.32329689666665</v>
      </c>
      <c r="M401" s="40">
        <v>181.75052138688847</v>
      </c>
      <c r="N401" s="52">
        <v>20.427224490221818</v>
      </c>
      <c r="O401" s="73">
        <v>366.25644931198332</v>
      </c>
      <c r="P401" s="40">
        <v>366.26</v>
      </c>
      <c r="Q401" s="52">
        <v>3.5506880166735755E-3</v>
      </c>
      <c r="R401" s="73">
        <v>0</v>
      </c>
      <c r="S401" s="40">
        <v>0</v>
      </c>
      <c r="T401" s="52">
        <v>0</v>
      </c>
      <c r="U401" s="73">
        <v>0</v>
      </c>
      <c r="V401" s="40">
        <v>0</v>
      </c>
      <c r="W401" s="52">
        <v>0</v>
      </c>
      <c r="X401" s="73">
        <v>373.19370931794538</v>
      </c>
      <c r="Y401" s="40">
        <v>364.02765500725388</v>
      </c>
      <c r="Z401" s="52">
        <v>-9.1660543106914929</v>
      </c>
      <c r="AA401" s="73">
        <v>148.15520000000001</v>
      </c>
      <c r="AB401" s="40">
        <v>0</v>
      </c>
      <c r="AC401" s="52">
        <v>-148.15520000000001</v>
      </c>
      <c r="AD401" s="73">
        <v>1334.1547912379256</v>
      </c>
      <c r="AE401" s="40">
        <v>1669.1360078940445</v>
      </c>
      <c r="AF401" s="35">
        <v>334.98121665611893</v>
      </c>
      <c r="AG401" s="77">
        <v>3283.8141340067396</v>
      </c>
      <c r="AH401" s="53">
        <v>3580.7421855411721</v>
      </c>
      <c r="AI401" s="52">
        <v>296.9280515344326</v>
      </c>
      <c r="AJ401" s="73">
        <v>0</v>
      </c>
      <c r="AK401" s="40">
        <v>0</v>
      </c>
      <c r="AL401" s="52">
        <v>0</v>
      </c>
      <c r="AM401" s="73">
        <v>0</v>
      </c>
      <c r="AN401" s="40">
        <v>0</v>
      </c>
      <c r="AO401" s="52">
        <v>0</v>
      </c>
      <c r="AP401" s="73">
        <v>756.41499999999996</v>
      </c>
      <c r="AQ401" s="40">
        <v>0</v>
      </c>
      <c r="AR401" s="52">
        <v>-756.41499999999996</v>
      </c>
      <c r="AS401" s="73">
        <v>1479.581411078452</v>
      </c>
      <c r="AT401" s="40">
        <v>0</v>
      </c>
      <c r="AU401" s="54">
        <v>-1479.581411078452</v>
      </c>
      <c r="AV401" s="73">
        <v>392.53097707482522</v>
      </c>
      <c r="AW401" s="40">
        <v>0</v>
      </c>
      <c r="AX401" s="55">
        <v>-392.53097707482522</v>
      </c>
      <c r="AY401" s="73">
        <v>446.45961462365403</v>
      </c>
      <c r="AZ401" s="40">
        <v>0</v>
      </c>
      <c r="BA401" s="35">
        <v>-446.45961462365403</v>
      </c>
      <c r="BB401" s="73">
        <v>127.3765968554</v>
      </c>
      <c r="BC401" s="40">
        <v>2186</v>
      </c>
      <c r="BD401" s="55">
        <v>2058.6234031446002</v>
      </c>
      <c r="BE401" s="73">
        <v>0</v>
      </c>
      <c r="BF401" s="40">
        <v>0</v>
      </c>
      <c r="BG401" s="38">
        <v>0</v>
      </c>
      <c r="BH401" s="73">
        <v>0</v>
      </c>
      <c r="BI401" s="40">
        <v>0</v>
      </c>
      <c r="BJ401" s="55">
        <v>0</v>
      </c>
      <c r="BK401" s="73">
        <v>163.48731546070061</v>
      </c>
      <c r="BL401" s="40">
        <v>0</v>
      </c>
      <c r="BM401" s="38">
        <v>-163.48731546070061</v>
      </c>
      <c r="BN401" s="73">
        <v>37.038800000000002</v>
      </c>
      <c r="BO401" s="40">
        <v>0</v>
      </c>
      <c r="BP401" s="55">
        <v>-37.038800000000002</v>
      </c>
      <c r="BQ401" s="77">
        <v>1166.8933040145798</v>
      </c>
      <c r="BR401" s="40">
        <v>2186</v>
      </c>
      <c r="BS401" s="55">
        <v>1019.1066959854202</v>
      </c>
      <c r="BT401" s="73">
        <v>2682.8323333867402</v>
      </c>
      <c r="BU401" s="40">
        <v>731.30632832856406</v>
      </c>
      <c r="BV401" s="52">
        <v>-1951.526005058176</v>
      </c>
      <c r="BW401" s="73">
        <v>852.554529901156</v>
      </c>
      <c r="BX401" s="40">
        <v>908.68481415587621</v>
      </c>
      <c r="BY401" s="52">
        <v>56.130284254720209</v>
      </c>
      <c r="BZ401" s="73">
        <v>1405.598055861386</v>
      </c>
      <c r="CA401" s="40">
        <v>4316.4115859206122</v>
      </c>
      <c r="CB401" s="52">
        <v>2910.8135300592262</v>
      </c>
      <c r="CC401" s="73">
        <v>0</v>
      </c>
      <c r="CD401" s="40">
        <v>0</v>
      </c>
      <c r="CE401" s="52">
        <v>0</v>
      </c>
      <c r="CF401" s="73">
        <v>0</v>
      </c>
      <c r="CG401" s="40">
        <v>0</v>
      </c>
      <c r="CH401" s="52">
        <v>0</v>
      </c>
      <c r="CI401" s="73">
        <v>174.42</v>
      </c>
      <c r="CJ401" s="40">
        <v>184.15368539416386</v>
      </c>
      <c r="CK401" s="52">
        <v>9.7336853941638708</v>
      </c>
      <c r="CL401" s="73">
        <v>0</v>
      </c>
      <c r="CM401" s="40">
        <v>0</v>
      </c>
      <c r="CN401" s="52">
        <v>0</v>
      </c>
      <c r="CO401" s="39">
        <v>174.42</v>
      </c>
      <c r="CP401" s="40">
        <v>184.15368539416386</v>
      </c>
      <c r="CQ401" s="52">
        <v>9.7336853941638708</v>
      </c>
      <c r="CR401" s="72">
        <v>11802.108768249052</v>
      </c>
      <c r="CS401" s="5">
        <v>11907.298599340387</v>
      </c>
      <c r="CT401" s="52">
        <v>105.18983109133478</v>
      </c>
      <c r="CU401" s="77">
        <v>14162.530521898863</v>
      </c>
      <c r="CV401" s="65">
        <v>14288.758319208464</v>
      </c>
      <c r="CW401" s="35">
        <v>126.22779730960065</v>
      </c>
      <c r="CX401" s="73">
        <v>790.73700058625468</v>
      </c>
      <c r="CY401" s="40">
        <v>664.50920327665335</v>
      </c>
      <c r="CZ401" s="52">
        <v>-126.22779730960133</v>
      </c>
      <c r="DA401" s="150">
        <v>-11408.974779217981</v>
      </c>
      <c r="DB401" s="2">
        <v>2</v>
      </c>
      <c r="DC401" s="648">
        <v>12787.37</v>
      </c>
      <c r="DD401" s="648"/>
      <c r="DE401" s="649">
        <v>-2165.8975224851165</v>
      </c>
      <c r="DG401" s="321">
        <v>-2908.0650749366323</v>
      </c>
      <c r="DH401" s="5">
        <v>179439.2102698214</v>
      </c>
      <c r="DI401" s="306">
        <v>4.014886294370716</v>
      </c>
      <c r="DJ401" s="306"/>
      <c r="DK401" s="306"/>
      <c r="DL401" s="28">
        <v>7435.2080774080732</v>
      </c>
      <c r="DM401" s="28">
        <v>0</v>
      </c>
      <c r="DN401" s="650">
        <v>7435.21</v>
      </c>
      <c r="DO401" s="94">
        <v>-1.9225919268137659E-3</v>
      </c>
      <c r="DP401" s="28">
        <v>7435.2080774080732</v>
      </c>
      <c r="DQ401" s="318">
        <v>-0.12044658882950898</v>
      </c>
      <c r="DS401" s="8">
        <v>7081.2652609494316</v>
      </c>
      <c r="DT401" s="5">
        <v>354.06326304747154</v>
      </c>
      <c r="DW401" s="5">
        <v>3175.7696581116379</v>
      </c>
      <c r="DX401" s="5">
        <v>2623.2</v>
      </c>
    </row>
    <row r="402" spans="1:128" x14ac:dyDescent="0.3">
      <c r="A402" s="325">
        <v>150000884</v>
      </c>
      <c r="B402" s="41" t="s">
        <v>848</v>
      </c>
      <c r="C402" s="42" t="s">
        <v>333</v>
      </c>
      <c r="D402" s="42" t="s">
        <v>333</v>
      </c>
      <c r="E402" s="293">
        <v>3400.35</v>
      </c>
      <c r="F402" s="305">
        <v>2555.1</v>
      </c>
      <c r="G402" s="51"/>
      <c r="H402" s="651">
        <v>845.25</v>
      </c>
      <c r="I402" s="73">
        <v>1597.671633777335</v>
      </c>
      <c r="J402" s="40">
        <v>1773.0533504012487</v>
      </c>
      <c r="K402" s="52">
        <v>175.38171662391369</v>
      </c>
      <c r="L402" s="73">
        <v>355.30968393883899</v>
      </c>
      <c r="M402" s="40">
        <v>400.29895229934925</v>
      </c>
      <c r="N402" s="52">
        <v>44.989268360510266</v>
      </c>
      <c r="O402" s="73">
        <v>627.0284971960167</v>
      </c>
      <c r="P402" s="40">
        <v>627.02</v>
      </c>
      <c r="Q402" s="52">
        <v>-8.4971960167194993E-3</v>
      </c>
      <c r="R402" s="73">
        <v>0</v>
      </c>
      <c r="S402" s="40">
        <v>0</v>
      </c>
      <c r="T402" s="52">
        <v>0</v>
      </c>
      <c r="U402" s="73">
        <v>0</v>
      </c>
      <c r="V402" s="40">
        <v>0</v>
      </c>
      <c r="W402" s="52">
        <v>0</v>
      </c>
      <c r="X402" s="73">
        <v>863.5258702792172</v>
      </c>
      <c r="Y402" s="40">
        <v>915.31064635497614</v>
      </c>
      <c r="Z402" s="52">
        <v>51.784776075758941</v>
      </c>
      <c r="AA402" s="73">
        <v>271.98</v>
      </c>
      <c r="AB402" s="40">
        <v>0</v>
      </c>
      <c r="AC402" s="52">
        <v>-271.98</v>
      </c>
      <c r="AD402" s="73">
        <v>2415.7574470556024</v>
      </c>
      <c r="AE402" s="40">
        <v>3064.7529439565174</v>
      </c>
      <c r="AF402" s="35">
        <v>648.99549690091499</v>
      </c>
      <c r="AG402" s="77">
        <v>6131.2731322470099</v>
      </c>
      <c r="AH402" s="53">
        <v>6780.4358930120916</v>
      </c>
      <c r="AI402" s="52">
        <v>649.16276076508166</v>
      </c>
      <c r="AJ402" s="73">
        <v>0</v>
      </c>
      <c r="AK402" s="40">
        <v>0</v>
      </c>
      <c r="AL402" s="52">
        <v>0</v>
      </c>
      <c r="AM402" s="73">
        <v>0</v>
      </c>
      <c r="AN402" s="40">
        <v>0</v>
      </c>
      <c r="AO402" s="52">
        <v>0</v>
      </c>
      <c r="AP402" s="73">
        <v>1210.2639999999999</v>
      </c>
      <c r="AQ402" s="40">
        <v>0</v>
      </c>
      <c r="AR402" s="52">
        <v>-1210.2639999999999</v>
      </c>
      <c r="AS402" s="73">
        <v>3171.6363763612694</v>
      </c>
      <c r="AT402" s="40">
        <v>0</v>
      </c>
      <c r="AU402" s="54">
        <v>-3171.6363763612694</v>
      </c>
      <c r="AV402" s="73">
        <v>732.67862243957416</v>
      </c>
      <c r="AW402" s="40">
        <v>0</v>
      </c>
      <c r="AX402" s="55">
        <v>-732.67862243957416</v>
      </c>
      <c r="AY402" s="73">
        <v>983.40775135552417</v>
      </c>
      <c r="AZ402" s="40">
        <v>0</v>
      </c>
      <c r="BA402" s="35">
        <v>-983.40775135552417</v>
      </c>
      <c r="BB402" s="73">
        <v>234.7274989986268</v>
      </c>
      <c r="BC402" s="40">
        <v>0</v>
      </c>
      <c r="BD402" s="55">
        <v>-234.7274989986268</v>
      </c>
      <c r="BE402" s="73">
        <v>0</v>
      </c>
      <c r="BF402" s="40">
        <v>0</v>
      </c>
      <c r="BG402" s="38">
        <v>0</v>
      </c>
      <c r="BH402" s="73">
        <v>0</v>
      </c>
      <c r="BI402" s="40">
        <v>0</v>
      </c>
      <c r="BJ402" s="55">
        <v>0</v>
      </c>
      <c r="BK402" s="73">
        <v>569.74095280346978</v>
      </c>
      <c r="BL402" s="40">
        <v>0</v>
      </c>
      <c r="BM402" s="38">
        <v>-569.74095280346978</v>
      </c>
      <c r="BN402" s="73">
        <v>67.995000000000005</v>
      </c>
      <c r="BO402" s="40">
        <v>0</v>
      </c>
      <c r="BP402" s="55">
        <v>-67.995000000000005</v>
      </c>
      <c r="BQ402" s="77">
        <v>2588.5498255971947</v>
      </c>
      <c r="BR402" s="40">
        <v>0</v>
      </c>
      <c r="BS402" s="55">
        <v>-2588.5498255971947</v>
      </c>
      <c r="BT402" s="73">
        <v>2152.3627958715201</v>
      </c>
      <c r="BU402" s="40">
        <v>717.1194123992417</v>
      </c>
      <c r="BV402" s="52">
        <v>-1435.2433834722783</v>
      </c>
      <c r="BW402" s="73">
        <v>2205.9647520512399</v>
      </c>
      <c r="BX402" s="40">
        <v>2921.4541878973796</v>
      </c>
      <c r="BY402" s="52">
        <v>715.48943584613971</v>
      </c>
      <c r="BZ402" s="73">
        <v>1625.344251287878</v>
      </c>
      <c r="CA402" s="40">
        <v>5088.3424510789137</v>
      </c>
      <c r="CB402" s="52">
        <v>3462.9981997910354</v>
      </c>
      <c r="CC402" s="73">
        <v>90.913518850000003</v>
      </c>
      <c r="CD402" s="40">
        <v>114.71153637993652</v>
      </c>
      <c r="CE402" s="52">
        <v>23.798017529936516</v>
      </c>
      <c r="CF402" s="73">
        <v>10.8016062</v>
      </c>
      <c r="CG402" s="40">
        <v>0</v>
      </c>
      <c r="CH402" s="52">
        <v>-10.8016062</v>
      </c>
      <c r="CI402" s="73">
        <v>703.92</v>
      </c>
      <c r="CJ402" s="40">
        <v>1081.3729351333309</v>
      </c>
      <c r="CK402" s="52">
        <v>377.45293513333093</v>
      </c>
      <c r="CL402" s="73">
        <v>0</v>
      </c>
      <c r="CM402" s="40">
        <v>0</v>
      </c>
      <c r="CN402" s="52">
        <v>0</v>
      </c>
      <c r="CO402" s="39">
        <v>703.92</v>
      </c>
      <c r="CP402" s="40">
        <v>1081.3729351333309</v>
      </c>
      <c r="CQ402" s="52">
        <v>377.45293513333093</v>
      </c>
      <c r="CR402" s="72">
        <v>19891.030258466111</v>
      </c>
      <c r="CS402" s="5">
        <v>16703.436415900895</v>
      </c>
      <c r="CT402" s="52">
        <v>-3187.5938425652166</v>
      </c>
      <c r="CU402" s="77">
        <v>23869.236310159333</v>
      </c>
      <c r="CV402" s="65">
        <v>20044.123699081072</v>
      </c>
      <c r="CW402" s="35">
        <v>-3825.1126110782607</v>
      </c>
      <c r="CX402" s="73">
        <v>1332.6918022874145</v>
      </c>
      <c r="CY402" s="40">
        <v>5157.8044133656767</v>
      </c>
      <c r="CZ402" s="52">
        <v>3825.1126110782625</v>
      </c>
      <c r="DA402" s="150">
        <v>-62297.91408623063</v>
      </c>
      <c r="DB402" s="2">
        <v>2</v>
      </c>
      <c r="DC402" s="648">
        <v>18189.38</v>
      </c>
      <c r="DD402" s="648">
        <v>9971.9599999999991</v>
      </c>
      <c r="DE402" s="649">
        <v>2959.4118875532513</v>
      </c>
      <c r="DG402" s="321">
        <v>19403.071290685206</v>
      </c>
      <c r="DH402" s="5">
        <v>302423.13734936097</v>
      </c>
      <c r="DI402" s="306">
        <v>3.8210948035654244</v>
      </c>
      <c r="DJ402" s="306"/>
      <c r="DK402" s="306">
        <v>3.2771795776281691</v>
      </c>
      <c r="DL402" s="28">
        <v>9763.2793325900147</v>
      </c>
      <c r="DM402" s="28">
        <v>2770.0360379902099</v>
      </c>
      <c r="DN402" s="650">
        <v>9763.26</v>
      </c>
      <c r="DO402" s="94">
        <v>1.933259001452825E-2</v>
      </c>
      <c r="DP402" s="28">
        <v>12533.315370580225</v>
      </c>
      <c r="DQ402" s="318">
        <v>1.9663077465756942</v>
      </c>
      <c r="DS402" s="8">
        <v>11934.618155079666</v>
      </c>
      <c r="DT402" s="5">
        <v>596.73090775398339</v>
      </c>
      <c r="DW402" s="5">
        <v>6912.2234423501568</v>
      </c>
      <c r="DX402" s="5">
        <v>0</v>
      </c>
    </row>
    <row r="403" spans="1:128" ht="15" thickBot="1" x14ac:dyDescent="0.35">
      <c r="A403" s="325">
        <v>150000885</v>
      </c>
      <c r="B403" s="44" t="s">
        <v>849</v>
      </c>
      <c r="C403" s="45" t="s">
        <v>239</v>
      </c>
      <c r="D403" s="45" t="s">
        <v>239</v>
      </c>
      <c r="E403" s="294">
        <v>1494.66</v>
      </c>
      <c r="F403" s="658">
        <v>1448.46</v>
      </c>
      <c r="G403" s="659"/>
      <c r="H403" s="660">
        <v>46.2</v>
      </c>
      <c r="I403" s="73">
        <v>772.64055798619017</v>
      </c>
      <c r="J403" s="661">
        <v>855.83924271580804</v>
      </c>
      <c r="K403" s="56">
        <v>83.198684729617867</v>
      </c>
      <c r="L403" s="73">
        <v>144.56020663298884</v>
      </c>
      <c r="M403" s="661">
        <v>162.86482178910785</v>
      </c>
      <c r="N403" s="56">
        <v>18.304615156119013</v>
      </c>
      <c r="O403" s="73">
        <v>290.59998673658333</v>
      </c>
      <c r="P403" s="661">
        <v>290.60000000000002</v>
      </c>
      <c r="Q403" s="56">
        <v>1.3263416690278973E-5</v>
      </c>
      <c r="R403" s="73">
        <v>0</v>
      </c>
      <c r="S403" s="661">
        <v>0</v>
      </c>
      <c r="T403" s="56">
        <v>0</v>
      </c>
      <c r="U403" s="73">
        <v>0</v>
      </c>
      <c r="V403" s="661">
        <v>0</v>
      </c>
      <c r="W403" s="56">
        <v>0</v>
      </c>
      <c r="X403" s="73">
        <v>351.01112446760379</v>
      </c>
      <c r="Y403" s="661">
        <v>345.7058741022372</v>
      </c>
      <c r="Z403" s="56">
        <v>-5.3052503653665894</v>
      </c>
      <c r="AA403" s="73">
        <v>119.56800000000001</v>
      </c>
      <c r="AB403" s="661">
        <v>0</v>
      </c>
      <c r="AC403" s="56">
        <v>-119.56800000000001</v>
      </c>
      <c r="AD403" s="73">
        <v>1074.9236380365769</v>
      </c>
      <c r="AE403" s="661">
        <v>1347.1447454568056</v>
      </c>
      <c r="AF403" s="36">
        <v>272.22110742022869</v>
      </c>
      <c r="AG403" s="80">
        <v>2753.303513859943</v>
      </c>
      <c r="AH403" s="57">
        <v>3002.1546840639585</v>
      </c>
      <c r="AI403" s="56">
        <v>248.85117020401549</v>
      </c>
      <c r="AJ403" s="73">
        <v>0</v>
      </c>
      <c r="AK403" s="661">
        <v>0</v>
      </c>
      <c r="AL403" s="56">
        <v>0</v>
      </c>
      <c r="AM403" s="73">
        <v>0</v>
      </c>
      <c r="AN403" s="661">
        <v>0</v>
      </c>
      <c r="AO403" s="56">
        <v>0</v>
      </c>
      <c r="AP403" s="73">
        <v>605.13199999999995</v>
      </c>
      <c r="AQ403" s="661">
        <v>0</v>
      </c>
      <c r="AR403" s="56">
        <v>-605.13199999999995</v>
      </c>
      <c r="AS403" s="73">
        <v>1534.0800524064878</v>
      </c>
      <c r="AT403" s="661">
        <v>479</v>
      </c>
      <c r="AU403" s="59">
        <v>-1055.0800524064878</v>
      </c>
      <c r="AV403" s="73">
        <v>345.33604687456881</v>
      </c>
      <c r="AW403" s="661">
        <v>0</v>
      </c>
      <c r="AX403" s="70">
        <v>-345.33604687456881</v>
      </c>
      <c r="AY403" s="73">
        <v>400.06407055018002</v>
      </c>
      <c r="AZ403" s="661">
        <v>0</v>
      </c>
      <c r="BA403" s="36">
        <v>-400.06407055018002</v>
      </c>
      <c r="BB403" s="73">
        <v>95.641022694303388</v>
      </c>
      <c r="BC403" s="661">
        <v>0</v>
      </c>
      <c r="BD403" s="70">
        <v>-95.641022694303388</v>
      </c>
      <c r="BE403" s="73">
        <v>0</v>
      </c>
      <c r="BF403" s="661">
        <v>0</v>
      </c>
      <c r="BG403" s="68">
        <v>0</v>
      </c>
      <c r="BH403" s="73">
        <v>0</v>
      </c>
      <c r="BI403" s="661">
        <v>0</v>
      </c>
      <c r="BJ403" s="70">
        <v>0</v>
      </c>
      <c r="BK403" s="73">
        <v>167.85193566722435</v>
      </c>
      <c r="BL403" s="661">
        <v>0</v>
      </c>
      <c r="BM403" s="68">
        <v>-167.85193566722435</v>
      </c>
      <c r="BN403" s="73">
        <v>29.892000000000003</v>
      </c>
      <c r="BO403" s="661">
        <v>0</v>
      </c>
      <c r="BP403" s="70">
        <v>-29.892000000000003</v>
      </c>
      <c r="BQ403" s="58">
        <v>1038.7850757862766</v>
      </c>
      <c r="BR403" s="34">
        <v>0</v>
      </c>
      <c r="BS403" s="70">
        <v>-1038.7850757862766</v>
      </c>
      <c r="BT403" s="73">
        <v>2202.6079957788002</v>
      </c>
      <c r="BU403" s="661">
        <v>619.501068131902</v>
      </c>
      <c r="BV403" s="56">
        <v>-1583.1069276468982</v>
      </c>
      <c r="BW403" s="73">
        <v>978.51676176220599</v>
      </c>
      <c r="BX403" s="661">
        <v>1030.6505448584926</v>
      </c>
      <c r="BY403" s="56">
        <v>52.133783096286606</v>
      </c>
      <c r="BZ403" s="73">
        <v>1243.713293686254</v>
      </c>
      <c r="CA403" s="661">
        <v>3656.7668904967204</v>
      </c>
      <c r="CB403" s="56">
        <v>2413.0535968104664</v>
      </c>
      <c r="CC403" s="73">
        <v>32.087124299999999</v>
      </c>
      <c r="CD403" s="661">
        <v>40.486424604683478</v>
      </c>
      <c r="CE403" s="56">
        <v>8.3993003046834787</v>
      </c>
      <c r="CF403" s="73">
        <v>3.8123315999999998</v>
      </c>
      <c r="CG403" s="661">
        <v>0</v>
      </c>
      <c r="CH403" s="56">
        <v>-3.8123315999999998</v>
      </c>
      <c r="CI403" s="73">
        <v>417.36</v>
      </c>
      <c r="CJ403" s="661">
        <v>245.39423785710957</v>
      </c>
      <c r="CK403" s="56">
        <v>-171.96576214289044</v>
      </c>
      <c r="CL403" s="73">
        <v>0</v>
      </c>
      <c r="CM403" s="661">
        <v>0</v>
      </c>
      <c r="CN403" s="56">
        <v>0</v>
      </c>
      <c r="CO403" s="71">
        <v>417.36</v>
      </c>
      <c r="CP403" s="40">
        <v>245.39423785710957</v>
      </c>
      <c r="CQ403" s="56">
        <v>-171.96576214289044</v>
      </c>
      <c r="CR403" s="69">
        <v>10809.39814917997</v>
      </c>
      <c r="CS403" s="5">
        <v>9073.9538500128656</v>
      </c>
      <c r="CT403" s="56">
        <v>-1735.444299167104</v>
      </c>
      <c r="CU403" s="77">
        <v>12971.277779015963</v>
      </c>
      <c r="CV403" s="65">
        <v>10888.744620015439</v>
      </c>
      <c r="CW403" s="36">
        <v>-2082.5331590005244</v>
      </c>
      <c r="CX403" s="73">
        <v>724.22574969144807</v>
      </c>
      <c r="CY403" s="40">
        <v>2806.7589086919725</v>
      </c>
      <c r="CZ403" s="56">
        <v>2082.5331590005244</v>
      </c>
      <c r="DA403" s="150">
        <v>-28937.986066251618</v>
      </c>
      <c r="DB403" s="2">
        <v>2</v>
      </c>
      <c r="DC403" s="648">
        <v>7591.92</v>
      </c>
      <c r="DD403" s="648">
        <v>0</v>
      </c>
      <c r="DE403" s="649">
        <v>-6103.5835287074115</v>
      </c>
      <c r="DG403" s="321">
        <v>9628.4814482895308</v>
      </c>
      <c r="DH403" s="5">
        <v>164346.04234448893</v>
      </c>
      <c r="DI403" s="306">
        <v>4.5695064899611983</v>
      </c>
      <c r="DJ403" s="306"/>
      <c r="DK403" s="306">
        <v>4.1438881801640504</v>
      </c>
      <c r="DL403" s="28">
        <v>6618.7473704491977</v>
      </c>
      <c r="DM403" s="28">
        <v>191.44763392357913</v>
      </c>
      <c r="DN403" s="650">
        <v>6618.76</v>
      </c>
      <c r="DO403" s="94">
        <v>-1.2629550802557787E-2</v>
      </c>
      <c r="DP403" s="28">
        <v>6810.1950043727766</v>
      </c>
      <c r="DQ403" s="318">
        <v>0.27417038939620397</v>
      </c>
      <c r="DS403" s="8">
        <v>6485.6388895079817</v>
      </c>
      <c r="DT403" s="5">
        <v>324.28194447539909</v>
      </c>
      <c r="DW403" s="5">
        <v>3087.4381538313169</v>
      </c>
      <c r="DX403" s="5">
        <v>574.79999999999995</v>
      </c>
    </row>
    <row r="404" spans="1:128" s="4" customFormat="1" ht="24.75" customHeight="1" thickBot="1" x14ac:dyDescent="0.35">
      <c r="A404" s="326"/>
      <c r="B404" s="47"/>
      <c r="C404" s="48" t="s">
        <v>853</v>
      </c>
      <c r="D404" s="1"/>
      <c r="E404" s="63">
        <v>1015320.4400000006</v>
      </c>
      <c r="F404" s="662">
        <v>964968.20000000054</v>
      </c>
      <c r="G404" s="663">
        <v>52716.010000000009</v>
      </c>
      <c r="H404" s="664">
        <v>50352.240000000005</v>
      </c>
      <c r="I404" s="61">
        <v>460240.00618452358</v>
      </c>
      <c r="J404" s="62">
        <v>513538.62790641893</v>
      </c>
      <c r="K404" s="63">
        <v>53298.621721895353</v>
      </c>
      <c r="L404" s="61">
        <v>92839.613907340128</v>
      </c>
      <c r="M404" s="62">
        <v>106269.83326534179</v>
      </c>
      <c r="N404" s="60">
        <v>13430.219358001661</v>
      </c>
      <c r="O404" s="64">
        <v>184284.00126688217</v>
      </c>
      <c r="P404" s="62">
        <v>184372.26666666675</v>
      </c>
      <c r="Q404" s="63">
        <v>88.265399784577312</v>
      </c>
      <c r="R404" s="61">
        <v>25163.074719399432</v>
      </c>
      <c r="S404" s="62">
        <v>25196.990000000005</v>
      </c>
      <c r="T404" s="60">
        <v>33.915280600573169</v>
      </c>
      <c r="U404" s="64">
        <v>17620.04278429049</v>
      </c>
      <c r="V404" s="62">
        <v>35044.40679017728</v>
      </c>
      <c r="W404" s="63">
        <v>17424.36400588679</v>
      </c>
      <c r="X404" s="61">
        <v>239089.33586934829</v>
      </c>
      <c r="Y404" s="62">
        <v>264339.248690432</v>
      </c>
      <c r="Z404" s="60">
        <v>25249.912821083708</v>
      </c>
      <c r="AA404" s="61">
        <v>79790.508799999952</v>
      </c>
      <c r="AB404" s="62">
        <v>0</v>
      </c>
      <c r="AC404" s="60">
        <v>-79790.508799999952</v>
      </c>
      <c r="AD404" s="64">
        <v>724490.86820529867</v>
      </c>
      <c r="AE404" s="62">
        <v>914795.82458761043</v>
      </c>
      <c r="AF404" s="63">
        <v>190304.95638231176</v>
      </c>
      <c r="AG404" s="61">
        <v>1823517.4517370821</v>
      </c>
      <c r="AH404" s="62">
        <v>2043557.1979066483</v>
      </c>
      <c r="AI404" s="60">
        <v>220039.74616956618</v>
      </c>
      <c r="AJ404" s="64">
        <v>659362.74112000014</v>
      </c>
      <c r="AK404" s="62">
        <v>650797.87041924137</v>
      </c>
      <c r="AL404" s="63">
        <v>-8564.8707007587655</v>
      </c>
      <c r="AM404" s="61">
        <v>19514.789420000001</v>
      </c>
      <c r="AN404" s="62">
        <v>6634.3842085161677</v>
      </c>
      <c r="AO404" s="63">
        <v>-12880.405211483834</v>
      </c>
      <c r="AP404" s="61">
        <v>204136.55287499999</v>
      </c>
      <c r="AQ404" s="62">
        <v>175545.00000000003</v>
      </c>
      <c r="AR404" s="63">
        <v>-28591.552874999965</v>
      </c>
      <c r="AS404" s="61">
        <v>1219757.2055461379</v>
      </c>
      <c r="AT404" s="62">
        <v>1142394</v>
      </c>
      <c r="AU404" s="60">
        <v>-77363.205546137877</v>
      </c>
      <c r="AV404" s="61">
        <v>209294.83658591335</v>
      </c>
      <c r="AW404" s="62">
        <v>51103</v>
      </c>
      <c r="AX404" s="60">
        <v>-158191.83658591335</v>
      </c>
      <c r="AY404" s="64">
        <v>256313.46258820797</v>
      </c>
      <c r="AZ404" s="62">
        <v>112904</v>
      </c>
      <c r="BA404" s="63">
        <v>-143409.46258820797</v>
      </c>
      <c r="BB404" s="61">
        <v>69101.054002364152</v>
      </c>
      <c r="BC404" s="62">
        <v>104938</v>
      </c>
      <c r="BD404" s="60">
        <v>35836.945997635848</v>
      </c>
      <c r="BE404" s="64">
        <v>125701.23253375078</v>
      </c>
      <c r="BF404" s="62">
        <v>21717</v>
      </c>
      <c r="BG404" s="63">
        <v>-103984.23253375078</v>
      </c>
      <c r="BH404" s="61">
        <v>85030.395010246153</v>
      </c>
      <c r="BI404" s="62">
        <v>6665</v>
      </c>
      <c r="BJ404" s="60">
        <v>-78365.395010246153</v>
      </c>
      <c r="BK404" s="64">
        <v>165031.15549149356</v>
      </c>
      <c r="BL404" s="62">
        <v>12043</v>
      </c>
      <c r="BM404" s="63">
        <v>-152988.15549149356</v>
      </c>
      <c r="BN404" s="61">
        <v>18641.142637195364</v>
      </c>
      <c r="BO404" s="62">
        <v>1409</v>
      </c>
      <c r="BP404" s="60">
        <v>-17232.142637195364</v>
      </c>
      <c r="BQ404" s="61">
        <v>929113.27884917159</v>
      </c>
      <c r="BR404" s="62">
        <v>310779</v>
      </c>
      <c r="BS404" s="60">
        <v>-618334.27884917159</v>
      </c>
      <c r="BT404" s="61">
        <v>1220301.3881819271</v>
      </c>
      <c r="BU404" s="62">
        <v>289346.60503500019</v>
      </c>
      <c r="BV404" s="63">
        <v>-930954.7831469269</v>
      </c>
      <c r="BW404" s="61">
        <v>829425.2194504072</v>
      </c>
      <c r="BX404" s="62">
        <v>965338.53296865325</v>
      </c>
      <c r="BY404" s="63">
        <v>135913.31351824605</v>
      </c>
      <c r="BZ404" s="61">
        <v>403708.85476357926</v>
      </c>
      <c r="CA404" s="62">
        <v>1720580.0312385624</v>
      </c>
      <c r="CB404" s="63">
        <v>1316871.1764749831</v>
      </c>
      <c r="CC404" s="61">
        <v>43324.743666064998</v>
      </c>
      <c r="CD404" s="62">
        <v>54102.009199238557</v>
      </c>
      <c r="CE404" s="63">
        <v>10777.265533173559</v>
      </c>
      <c r="CF404" s="61">
        <v>5087.7291316800029</v>
      </c>
      <c r="CG404" s="62">
        <v>549.01355137634744</v>
      </c>
      <c r="CH404" s="60">
        <v>-4538.7155803036558</v>
      </c>
      <c r="CI404" s="61">
        <v>418861.33999999991</v>
      </c>
      <c r="CJ404" s="62">
        <v>391677.86377119517</v>
      </c>
      <c r="CK404" s="63">
        <v>-27183.476228804735</v>
      </c>
      <c r="CL404" s="61">
        <v>229196.44620000003</v>
      </c>
      <c r="CM404" s="62">
        <v>206812.4354318213</v>
      </c>
      <c r="CN404" s="60">
        <v>-22384.010768178734</v>
      </c>
      <c r="CO404" s="64">
        <v>648057.78619999997</v>
      </c>
      <c r="CP404" s="62">
        <v>598490.29920301633</v>
      </c>
      <c r="CQ404" s="63">
        <v>-49567.486996983644</v>
      </c>
      <c r="CR404" s="61">
        <v>8005307.7409410561</v>
      </c>
      <c r="CS404" s="62">
        <v>7958113.9437302593</v>
      </c>
      <c r="CT404" s="63">
        <v>-47193.797210796736</v>
      </c>
      <c r="CU404" s="61">
        <v>9606369.2891292647</v>
      </c>
      <c r="CV404" s="62">
        <v>9549736.7324763052</v>
      </c>
      <c r="CW404" s="63">
        <v>-56632.556652959436</v>
      </c>
      <c r="CX404" s="61">
        <v>536352.710870735</v>
      </c>
      <c r="CY404" s="62">
        <v>592985.26752369129</v>
      </c>
      <c r="CZ404" s="665">
        <v>56632.556652956293</v>
      </c>
      <c r="DA404" s="74">
        <v>3302065.2669720058</v>
      </c>
      <c r="DB404" s="2"/>
      <c r="DC404" s="95">
        <v>10050732.440000005</v>
      </c>
      <c r="DD404" s="95">
        <v>750185.23</v>
      </c>
      <c r="DE404" s="95">
        <v>658195.67000000505</v>
      </c>
      <c r="DF404" s="1"/>
      <c r="DG404" s="320">
        <v>2716559.6321943426</v>
      </c>
      <c r="DH404" s="8">
        <v>121712663.99999996</v>
      </c>
      <c r="DI404" s="303"/>
      <c r="DJ404" s="303"/>
      <c r="DK404" s="30"/>
      <c r="DL404" s="95">
        <v>4862850.9592412477</v>
      </c>
      <c r="DM404" s="95">
        <v>186811.5396258581</v>
      </c>
      <c r="DN404" s="95">
        <v>4851821.0200000033</v>
      </c>
      <c r="DO404" s="311">
        <v>11029.939241245491</v>
      </c>
      <c r="DP404" s="95">
        <v>5049662.4988671076</v>
      </c>
      <c r="DQ404" s="318">
        <v>-30130.471213116311</v>
      </c>
      <c r="DS404" s="8">
        <v>4837898.0667430703</v>
      </c>
      <c r="DT404" s="8">
        <v>241894.90333715332</v>
      </c>
      <c r="DW404" s="8">
        <v>2578644.5812743702</v>
      </c>
      <c r="DX404" s="8">
        <v>1743807.6000000006</v>
      </c>
    </row>
    <row r="405" spans="1:128" x14ac:dyDescent="0.3">
      <c r="CX405" s="396">
        <v>10142722</v>
      </c>
      <c r="DS405" s="5"/>
      <c r="DT405" s="5">
        <v>5079792.9700802239</v>
      </c>
    </row>
    <row r="406" spans="1:128" x14ac:dyDescent="0.3">
      <c r="D406" s="26"/>
      <c r="DS406" s="5"/>
      <c r="DT406" s="5"/>
    </row>
    <row r="407" spans="1:128" s="2" customFormat="1" x14ac:dyDescent="0.3">
      <c r="A407" s="276"/>
      <c r="C407" s="26" t="s">
        <v>986</v>
      </c>
      <c r="D407" s="26"/>
      <c r="E407" s="5">
        <v>341257.38000000006</v>
      </c>
      <c r="F407" s="28">
        <v>335190.31000000006</v>
      </c>
      <c r="G407" s="5">
        <v>29694.420000000009</v>
      </c>
      <c r="H407" s="309">
        <v>6067.07</v>
      </c>
      <c r="I407" s="5">
        <v>141564.70328531237</v>
      </c>
      <c r="J407" s="5">
        <v>157264.25148764529</v>
      </c>
      <c r="K407" s="5">
        <v>15699.548202332924</v>
      </c>
      <c r="L407" s="5">
        <v>27617.563504083122</v>
      </c>
      <c r="M407" s="5">
        <v>32485.87847998182</v>
      </c>
      <c r="N407" s="5">
        <v>4868.3149758986983</v>
      </c>
      <c r="O407" s="5">
        <v>67068.093774056921</v>
      </c>
      <c r="P407" s="5">
        <v>67068.226666666684</v>
      </c>
      <c r="Q407" s="5">
        <v>0.1328926097630756</v>
      </c>
      <c r="R407" s="5">
        <v>13157.34367612075</v>
      </c>
      <c r="S407" s="5">
        <v>13157.733333333335</v>
      </c>
      <c r="T407" s="5">
        <v>0.38965721258500707</v>
      </c>
      <c r="U407" s="5">
        <v>9561.2604955649549</v>
      </c>
      <c r="V407" s="5">
        <v>18360.801434986253</v>
      </c>
      <c r="W407" s="5">
        <v>8799.5409394212984</v>
      </c>
      <c r="X407" s="5">
        <v>78499.917071657721</v>
      </c>
      <c r="Y407" s="5">
        <v>88258.227168399535</v>
      </c>
      <c r="Z407" s="5">
        <v>9758.310096741814</v>
      </c>
      <c r="AA407" s="5">
        <v>27307.134400000014</v>
      </c>
      <c r="AB407" s="5">
        <v>0</v>
      </c>
      <c r="AC407" s="5">
        <v>-27307.134400000014</v>
      </c>
      <c r="AD407" s="5">
        <v>245005.72919995055</v>
      </c>
      <c r="AE407" s="5">
        <v>307577.03177669592</v>
      </c>
      <c r="AF407" s="5">
        <v>62571.302576745366</v>
      </c>
      <c r="AG407" s="5">
        <v>609781.7454067464</v>
      </c>
      <c r="AH407" s="5">
        <v>684172.15034770884</v>
      </c>
      <c r="AI407" s="5">
        <v>74390.404940962442</v>
      </c>
      <c r="AJ407" s="5">
        <v>346532.62291499996</v>
      </c>
      <c r="AK407" s="5">
        <v>341304.85602546512</v>
      </c>
      <c r="AL407" s="5">
        <v>-5227.7668895348324</v>
      </c>
      <c r="AM407" s="5">
        <v>11978.543445000001</v>
      </c>
      <c r="AN407" s="5">
        <v>4759.7400631841565</v>
      </c>
      <c r="AO407" s="5">
        <v>-7218.8033818158447</v>
      </c>
      <c r="AP407" s="5">
        <v>43670.359333333348</v>
      </c>
      <c r="AQ407" s="5">
        <v>49542.245578735572</v>
      </c>
      <c r="AR407" s="5">
        <v>5871.8862454022237</v>
      </c>
      <c r="AS407" s="5">
        <v>414816.60215376911</v>
      </c>
      <c r="AT407" s="5">
        <v>367223</v>
      </c>
      <c r="AU407" s="5">
        <v>-47593.602153769112</v>
      </c>
      <c r="AV407" s="5">
        <v>63152.259368273597</v>
      </c>
      <c r="AW407" s="5">
        <v>20716</v>
      </c>
      <c r="AX407" s="5">
        <v>-42436.259368273597</v>
      </c>
      <c r="AY407" s="5">
        <v>75308.762495215211</v>
      </c>
      <c r="AZ407" s="5">
        <v>60960</v>
      </c>
      <c r="BA407" s="5">
        <v>-14348.762495215211</v>
      </c>
      <c r="BB407" s="5">
        <v>22740.805165410497</v>
      </c>
      <c r="BC407" s="5">
        <v>4260</v>
      </c>
      <c r="BD407" s="5">
        <v>-18480.805165410497</v>
      </c>
      <c r="BE407" s="5">
        <v>64411.145046823993</v>
      </c>
      <c r="BF407" s="5">
        <v>20768</v>
      </c>
      <c r="BG407" s="5">
        <v>-43643.145046823993</v>
      </c>
      <c r="BH407" s="5">
        <v>46172.098099901297</v>
      </c>
      <c r="BI407" s="5">
        <v>6401</v>
      </c>
      <c r="BJ407" s="5">
        <v>-39771.098099901297</v>
      </c>
      <c r="BK407" s="5">
        <v>54741.272987685421</v>
      </c>
      <c r="BL407" s="5">
        <v>7654</v>
      </c>
      <c r="BM407" s="5">
        <v>-47087.272987685421</v>
      </c>
      <c r="BN407" s="5">
        <v>5407.1234483183889</v>
      </c>
      <c r="BO407" s="5">
        <v>0</v>
      </c>
      <c r="BP407" s="5">
        <v>-5407.1234483183889</v>
      </c>
      <c r="BQ407" s="5">
        <v>331933.46661162836</v>
      </c>
      <c r="BR407" s="5">
        <v>120759</v>
      </c>
      <c r="BS407" s="5">
        <v>-211174.46661162836</v>
      </c>
      <c r="BT407" s="5">
        <v>474543.99143262405</v>
      </c>
      <c r="BU407" s="5">
        <v>116735.09620082554</v>
      </c>
      <c r="BV407" s="5">
        <v>-357808.89523179852</v>
      </c>
      <c r="BW407" s="5">
        <v>325374.83468782075</v>
      </c>
      <c r="BX407" s="5">
        <v>383231.08948618214</v>
      </c>
      <c r="BY407" s="5">
        <v>57856.254798361391</v>
      </c>
      <c r="BZ407" s="5">
        <v>126242.87594567111</v>
      </c>
      <c r="CA407" s="5">
        <v>650149.95382827695</v>
      </c>
      <c r="CB407" s="5">
        <v>523907.07788260584</v>
      </c>
      <c r="CC407" s="5">
        <v>12847.119883675003</v>
      </c>
      <c r="CD407" s="5">
        <v>15912.610813376488</v>
      </c>
      <c r="CE407" s="5">
        <v>3065.4909297014856</v>
      </c>
      <c r="CF407" s="5">
        <v>1498.3824735000007</v>
      </c>
      <c r="CG407" s="5">
        <v>0</v>
      </c>
      <c r="CH407" s="5">
        <v>-1498.3824735000007</v>
      </c>
      <c r="CI407" s="5">
        <v>159055.86000000002</v>
      </c>
      <c r="CJ407" s="5">
        <v>148188.18429359738</v>
      </c>
      <c r="CK407" s="5">
        <v>-10867.675706402631</v>
      </c>
      <c r="CL407" s="5">
        <v>125931.5288</v>
      </c>
      <c r="CM407" s="5">
        <v>111412.76727978194</v>
      </c>
      <c r="CN407" s="5">
        <v>-14518.76152021806</v>
      </c>
      <c r="CO407" s="5">
        <v>284987.38880000002</v>
      </c>
      <c r="CP407" s="5">
        <v>259600.95157337934</v>
      </c>
      <c r="CQ407" s="5">
        <v>-25386.437226620677</v>
      </c>
      <c r="CR407" s="5">
        <v>2984207.9330887678</v>
      </c>
      <c r="CS407" s="5">
        <v>2993390.6939171343</v>
      </c>
      <c r="CT407" s="5">
        <v>9182.7608283665031</v>
      </c>
      <c r="CU407" s="5">
        <v>3581049.5197065212</v>
      </c>
      <c r="CV407" s="5">
        <v>3592068.8327005613</v>
      </c>
      <c r="CW407" s="5">
        <v>11019.312994040083</v>
      </c>
      <c r="CX407" s="5">
        <v>199940.84756146555</v>
      </c>
      <c r="CY407" s="5">
        <v>188921.53456742672</v>
      </c>
      <c r="CZ407" s="5">
        <v>-11019.312994038832</v>
      </c>
      <c r="DA407" s="5">
        <v>54168.567084577444</v>
      </c>
      <c r="DC407" s="5">
        <v>3546732.36</v>
      </c>
      <c r="DD407" s="5">
        <v>53618.41</v>
      </c>
      <c r="DE407" s="649">
        <v>-180639.59726798674</v>
      </c>
      <c r="DG407" s="5">
        <v>-325709.50921005325</v>
      </c>
      <c r="DH407" s="7"/>
      <c r="DI407" s="298"/>
      <c r="DJ407" s="298"/>
      <c r="DL407" s="93">
        <v>4901500</v>
      </c>
      <c r="DM407" s="93"/>
      <c r="DQ407" s="314"/>
      <c r="DS407" s="5">
        <v>1790524.7598532606</v>
      </c>
      <c r="DT407" s="5">
        <v>89526.237992663038</v>
      </c>
      <c r="DW407" s="7">
        <v>2148870.4843953094</v>
      </c>
      <c r="DX407" s="7">
        <v>1453173</v>
      </c>
    </row>
    <row r="408" spans="1:128" s="2" customFormat="1" ht="13.8" x14ac:dyDescent="0.3">
      <c r="A408" s="276"/>
      <c r="C408" s="26" t="s">
        <v>987</v>
      </c>
      <c r="D408" s="275"/>
      <c r="E408" s="5">
        <v>357690.51000000007</v>
      </c>
      <c r="F408" s="5">
        <v>322321.47000000003</v>
      </c>
      <c r="G408" s="5">
        <v>7355.8799999999992</v>
      </c>
      <c r="H408" s="5">
        <v>35369.040000000001</v>
      </c>
      <c r="I408" s="5">
        <v>168292.71461495108</v>
      </c>
      <c r="J408" s="5">
        <v>186653.26311204</v>
      </c>
      <c r="K408" s="5">
        <v>18360.548497088945</v>
      </c>
      <c r="L408" s="5">
        <v>34834.521702885046</v>
      </c>
      <c r="M408" s="5">
        <v>39454.707979015126</v>
      </c>
      <c r="N408" s="5">
        <v>4620.1862761300445</v>
      </c>
      <c r="O408" s="5">
        <v>63172.283883829703</v>
      </c>
      <c r="P408" s="5">
        <v>63121.039999999994</v>
      </c>
      <c r="Q408" s="5">
        <v>-51.243883829715273</v>
      </c>
      <c r="R408" s="5">
        <v>4563.7471342729068</v>
      </c>
      <c r="S408" s="5">
        <v>4561.99</v>
      </c>
      <c r="T408" s="5">
        <v>-1.7571342729064057</v>
      </c>
      <c r="U408" s="5">
        <v>1742.7113886566719</v>
      </c>
      <c r="V408" s="5">
        <v>3968.9654292985551</v>
      </c>
      <c r="W408" s="5">
        <v>2226.2540406418834</v>
      </c>
      <c r="X408" s="5">
        <v>86314.607798418889</v>
      </c>
      <c r="Y408" s="5">
        <v>92708.60582983667</v>
      </c>
      <c r="Z408" s="5">
        <v>6393.9980314178247</v>
      </c>
      <c r="AA408" s="5">
        <v>28100.99519999999</v>
      </c>
      <c r="AB408" s="5">
        <v>0</v>
      </c>
      <c r="AC408" s="5">
        <v>-28100.99519999999</v>
      </c>
      <c r="AD408" s="5">
        <v>254536.74547338631</v>
      </c>
      <c r="AE408" s="5">
        <v>322290.68501888844</v>
      </c>
      <c r="AF408" s="5">
        <v>67753.9395455021</v>
      </c>
      <c r="AG408" s="5">
        <v>641558.32719640096</v>
      </c>
      <c r="AH408" s="5">
        <v>712759.25736907893</v>
      </c>
      <c r="AI408" s="5">
        <v>71200.930172678156</v>
      </c>
      <c r="AJ408" s="5">
        <v>102836.95224000001</v>
      </c>
      <c r="AK408" s="5">
        <v>101205.82953808831</v>
      </c>
      <c r="AL408" s="5">
        <v>-1631.1227019116977</v>
      </c>
      <c r="AM408" s="5">
        <v>4383.9976999999999</v>
      </c>
      <c r="AN408" s="5">
        <v>1460.7537050551273</v>
      </c>
      <c r="AO408" s="5">
        <v>-2923.2439949448726</v>
      </c>
      <c r="AP408" s="5">
        <v>98562.203374999997</v>
      </c>
      <c r="AQ408" s="5">
        <v>60435.962617812133</v>
      </c>
      <c r="AR408" s="5">
        <v>-38126.240757187887</v>
      </c>
      <c r="AS408" s="5">
        <v>408480.04155360418</v>
      </c>
      <c r="AT408" s="5">
        <v>464770</v>
      </c>
      <c r="AU408" s="5">
        <v>56289.9584463957</v>
      </c>
      <c r="AV408" s="5">
        <v>77023.429510376955</v>
      </c>
      <c r="AW408" s="5">
        <v>17576</v>
      </c>
      <c r="AX408" s="5">
        <v>-59447.429510376991</v>
      </c>
      <c r="AY408" s="5">
        <v>96625.417840723065</v>
      </c>
      <c r="AZ408" s="5">
        <v>12689</v>
      </c>
      <c r="BA408" s="5">
        <v>-83936.417840723137</v>
      </c>
      <c r="BB408" s="5">
        <v>23435.476448051049</v>
      </c>
      <c r="BC408" s="5">
        <v>57759</v>
      </c>
      <c r="BD408" s="5">
        <v>34323.523551948951</v>
      </c>
      <c r="BE408" s="5">
        <v>22634.428509878468</v>
      </c>
      <c r="BF408" s="5">
        <v>477</v>
      </c>
      <c r="BG408" s="5">
        <v>-22157.428509878468</v>
      </c>
      <c r="BH408" s="5">
        <v>8415.6161984060545</v>
      </c>
      <c r="BI408" s="5">
        <v>0</v>
      </c>
      <c r="BJ408" s="5">
        <v>-8415.6161984060545</v>
      </c>
      <c r="BK408" s="5">
        <v>56407.663398048848</v>
      </c>
      <c r="BL408" s="5">
        <v>4389</v>
      </c>
      <c r="BM408" s="5">
        <v>-52018.663398048848</v>
      </c>
      <c r="BN408" s="5">
        <v>7133.1522254212441</v>
      </c>
      <c r="BO408" s="5">
        <v>1409</v>
      </c>
      <c r="BP408" s="5">
        <v>-5724.1522254212459</v>
      </c>
      <c r="BQ408" s="5">
        <v>291675.18413090572</v>
      </c>
      <c r="BR408" s="5">
        <v>94299</v>
      </c>
      <c r="BS408" s="5">
        <v>-197376.18413090569</v>
      </c>
      <c r="BT408" s="5">
        <v>401398.22837225534</v>
      </c>
      <c r="BU408" s="5">
        <v>98741.372039334645</v>
      </c>
      <c r="BV408" s="5">
        <v>-302656.85633292061</v>
      </c>
      <c r="BW408" s="5">
        <v>253575.06770590032</v>
      </c>
      <c r="BX408" s="5">
        <v>306222.77464989619</v>
      </c>
      <c r="BY408" s="5">
        <v>52647.706943995909</v>
      </c>
      <c r="BZ408" s="5">
        <v>170228.51598506034</v>
      </c>
      <c r="CA408" s="5">
        <v>622010.26760188187</v>
      </c>
      <c r="CB408" s="5">
        <v>451781.75161682139</v>
      </c>
      <c r="CC408" s="5">
        <v>15118.792284980249</v>
      </c>
      <c r="CD408" s="5">
        <v>18994.336238223477</v>
      </c>
      <c r="CE408" s="5">
        <v>3875.5439532432342</v>
      </c>
      <c r="CF408" s="5">
        <v>1788.5604331629993</v>
      </c>
      <c r="CG408" s="5">
        <v>549.01355137634744</v>
      </c>
      <c r="CH408" s="5">
        <v>-1239.546881786652</v>
      </c>
      <c r="CI408" s="5">
        <v>117949.62000000001</v>
      </c>
      <c r="CJ408" s="5">
        <v>116370.92724543343</v>
      </c>
      <c r="CK408" s="5">
        <v>-1578.6927545665942</v>
      </c>
      <c r="CL408" s="5">
        <v>33280.035250000008</v>
      </c>
      <c r="CM408" s="5">
        <v>33403.171439073107</v>
      </c>
      <c r="CN408" s="5">
        <v>123.13618907310445</v>
      </c>
      <c r="CO408" s="5">
        <v>151229.65525000007</v>
      </c>
      <c r="CP408" s="5">
        <v>149774.09868450652</v>
      </c>
      <c r="CQ408" s="5">
        <v>-1455.5565654934924</v>
      </c>
      <c r="CR408" s="5">
        <v>2540835.5262272703</v>
      </c>
      <c r="CS408" s="5">
        <v>2631222.6659952528</v>
      </c>
      <c r="CT408" s="5">
        <v>90387.139767983681</v>
      </c>
      <c r="CU408" s="5">
        <v>3049002.631472724</v>
      </c>
      <c r="CV408" s="5">
        <v>3157467.1991943032</v>
      </c>
      <c r="CW408" s="5">
        <v>108464.5677215804</v>
      </c>
      <c r="CX408" s="5">
        <v>170235.05734814721</v>
      </c>
      <c r="CY408" s="5">
        <v>61770.489626567018</v>
      </c>
      <c r="CZ408" s="5">
        <v>-108464.56772158034</v>
      </c>
      <c r="DA408" s="5">
        <v>2216697.1111477436</v>
      </c>
      <c r="DB408" s="5">
        <v>328</v>
      </c>
      <c r="DC408" s="5">
        <v>3343460.1599999992</v>
      </c>
      <c r="DD408" s="5">
        <v>473739.63000000024</v>
      </c>
      <c r="DE408" s="5">
        <v>597962.10117912875</v>
      </c>
      <c r="DF408" s="5">
        <v>0</v>
      </c>
      <c r="DG408" s="5">
        <v>2019194.4476045037</v>
      </c>
      <c r="DH408" s="5">
        <v>38630852.265850462</v>
      </c>
      <c r="DI408" s="5">
        <v>663.71735808034362</v>
      </c>
      <c r="DJ408" s="5">
        <v>84.274879686902338</v>
      </c>
      <c r="DK408" s="5">
        <v>366.10849952142189</v>
      </c>
      <c r="DL408" s="5">
        <v>1474242.5101222466</v>
      </c>
      <c r="DM408" s="5">
        <v>131223.04895882</v>
      </c>
      <c r="DN408" s="5">
        <v>1474241.38</v>
      </c>
      <c r="DO408" s="5">
        <v>1.1301222463782281</v>
      </c>
      <c r="DP408" s="5">
        <v>1605465.5590810655</v>
      </c>
      <c r="DQ408" s="5">
        <v>4739.1623578863055</v>
      </c>
      <c r="DR408" s="5">
        <v>0</v>
      </c>
      <c r="DS408" s="5">
        <v>1524501.329736362</v>
      </c>
      <c r="DT408" s="5">
        <v>76225.066986818056</v>
      </c>
      <c r="DU408" s="5">
        <v>0</v>
      </c>
      <c r="DV408" s="5">
        <v>0</v>
      </c>
      <c r="DW408" s="5">
        <v>840186.27082141174</v>
      </c>
      <c r="DX408" s="5">
        <v>670882.79999999981</v>
      </c>
    </row>
    <row r="409" spans="1:128" s="274" customFormat="1" x14ac:dyDescent="0.3">
      <c r="A409" s="276"/>
      <c r="C409" s="275" t="s">
        <v>988</v>
      </c>
      <c r="D409" s="30"/>
      <c r="E409" s="152">
        <v>316372.54999999993</v>
      </c>
      <c r="F409" s="152">
        <v>307456.41999999993</v>
      </c>
      <c r="G409" s="152">
        <v>15665.710000000005</v>
      </c>
      <c r="H409" s="152">
        <v>8916.1300000000028</v>
      </c>
      <c r="I409" s="152">
        <v>150382.58828426004</v>
      </c>
      <c r="J409" s="152">
        <v>169621.11330673369</v>
      </c>
      <c r="K409" s="152">
        <v>19238.525022473688</v>
      </c>
      <c r="L409" s="152">
        <v>30387.528700371899</v>
      </c>
      <c r="M409" s="152">
        <v>34329.246806344861</v>
      </c>
      <c r="N409" s="152">
        <v>3941.7181059729473</v>
      </c>
      <c r="O409" s="152">
        <v>54043.623608995542</v>
      </c>
      <c r="P409" s="152">
        <v>54183.000000000015</v>
      </c>
      <c r="Q409" s="152">
        <v>139.37639100446142</v>
      </c>
      <c r="R409" s="152">
        <v>7441.9839090057703</v>
      </c>
      <c r="S409" s="152">
        <v>7477.2666666666682</v>
      </c>
      <c r="T409" s="152">
        <v>35.282757660896635</v>
      </c>
      <c r="U409" s="152">
        <v>6316.0709000688603</v>
      </c>
      <c r="V409" s="152">
        <v>12714.639925892456</v>
      </c>
      <c r="W409" s="152">
        <v>6398.5690258235891</v>
      </c>
      <c r="X409" s="152">
        <v>74274.810999271765</v>
      </c>
      <c r="Y409" s="152">
        <v>83372.415692195718</v>
      </c>
      <c r="Z409" s="152">
        <v>9097.6046929239692</v>
      </c>
      <c r="AA409" s="152">
        <v>24382.379200000003</v>
      </c>
      <c r="AB409" s="152">
        <v>0</v>
      </c>
      <c r="AC409" s="152">
        <v>-24382.379200000003</v>
      </c>
      <c r="AD409" s="152">
        <v>224948.3935319611</v>
      </c>
      <c r="AE409" s="152">
        <v>284928.10779202613</v>
      </c>
      <c r="AF409" s="152">
        <v>59979.714260065091</v>
      </c>
      <c r="AG409" s="152">
        <v>572177.37913393485</v>
      </c>
      <c r="AH409" s="152">
        <v>646625.79018985957</v>
      </c>
      <c r="AI409" s="152">
        <v>74448.411055924618</v>
      </c>
      <c r="AJ409" s="152">
        <v>209993.16596499999</v>
      </c>
      <c r="AK409" s="152">
        <v>208287.18485568766</v>
      </c>
      <c r="AL409" s="152">
        <v>-1705.9811093123287</v>
      </c>
      <c r="AM409" s="152">
        <v>3152.2482749999999</v>
      </c>
      <c r="AN409" s="152">
        <v>413.89044027688317</v>
      </c>
      <c r="AO409" s="152">
        <v>-2738.3578347231169</v>
      </c>
      <c r="AP409" s="152">
        <v>61903.99016666667</v>
      </c>
      <c r="AQ409" s="152">
        <v>65566.791803452288</v>
      </c>
      <c r="AR409" s="152">
        <v>3662.8016367856367</v>
      </c>
      <c r="AS409" s="152">
        <v>396460.56183876452</v>
      </c>
      <c r="AT409" s="152">
        <v>310401</v>
      </c>
      <c r="AU409" s="152">
        <v>-86059.56183876445</v>
      </c>
      <c r="AV409" s="152">
        <v>69119.147707262629</v>
      </c>
      <c r="AW409" s="152">
        <v>12811</v>
      </c>
      <c r="AX409" s="152">
        <v>-56308.147707262637</v>
      </c>
      <c r="AY409" s="152">
        <v>84379.282252269724</v>
      </c>
      <c r="AZ409" s="152">
        <v>39255</v>
      </c>
      <c r="BA409" s="152">
        <v>-45124.282252269673</v>
      </c>
      <c r="BB409" s="152">
        <v>22924.772388902613</v>
      </c>
      <c r="BC409" s="152">
        <v>42919</v>
      </c>
      <c r="BD409" s="152">
        <v>19994.227611097383</v>
      </c>
      <c r="BE409" s="152">
        <v>38655.658977048297</v>
      </c>
      <c r="BF409" s="152">
        <v>472</v>
      </c>
      <c r="BG409" s="152">
        <v>-38183.658977048297</v>
      </c>
      <c r="BH409" s="152">
        <v>30442.680711938832</v>
      </c>
      <c r="BI409" s="152">
        <v>264</v>
      </c>
      <c r="BJ409" s="152">
        <v>-30178.680711938829</v>
      </c>
      <c r="BK409" s="152">
        <v>53882.219105759141</v>
      </c>
      <c r="BL409" s="152">
        <v>0</v>
      </c>
      <c r="BM409" s="152">
        <v>-53882.219105759141</v>
      </c>
      <c r="BN409" s="152">
        <v>6100.8669634557318</v>
      </c>
      <c r="BO409" s="152">
        <v>0</v>
      </c>
      <c r="BP409" s="152">
        <v>-6100.8669634557318</v>
      </c>
      <c r="BQ409" s="152">
        <v>305504.62810663704</v>
      </c>
      <c r="BR409" s="152">
        <v>95721</v>
      </c>
      <c r="BS409" s="152">
        <v>-209783.62810663684</v>
      </c>
      <c r="BT409" s="152">
        <v>344359.16837704804</v>
      </c>
      <c r="BU409" s="152">
        <v>73870.136794840189</v>
      </c>
      <c r="BV409" s="152">
        <v>-270489.03158220794</v>
      </c>
      <c r="BW409" s="152">
        <v>250475.31705668612</v>
      </c>
      <c r="BX409" s="152">
        <v>275884.6688325752</v>
      </c>
      <c r="BY409" s="152">
        <v>25409.351775888965</v>
      </c>
      <c r="BZ409" s="152">
        <v>107237.46283284787</v>
      </c>
      <c r="CA409" s="152">
        <v>448419.80980840407</v>
      </c>
      <c r="CB409" s="152">
        <v>341182.34697555634</v>
      </c>
      <c r="CC409" s="152">
        <v>15358.831497409754</v>
      </c>
      <c r="CD409" s="152">
        <v>19195.062147638557</v>
      </c>
      <c r="CE409" s="152">
        <v>3836.2306502288093</v>
      </c>
      <c r="CF409" s="152">
        <v>1800.7862250170008</v>
      </c>
      <c r="CG409" s="152">
        <v>0</v>
      </c>
      <c r="CH409" s="152">
        <v>-1800.7862250170008</v>
      </c>
      <c r="CI409" s="152">
        <v>141855.86000000002</v>
      </c>
      <c r="CJ409" s="152">
        <v>127118.75223216436</v>
      </c>
      <c r="CK409" s="152">
        <v>-14737.107767835627</v>
      </c>
      <c r="CL409" s="152">
        <v>69984.88214999999</v>
      </c>
      <c r="CM409" s="152">
        <v>61996.496712966262</v>
      </c>
      <c r="CN409" s="152">
        <v>-7988.3854370337231</v>
      </c>
      <c r="CO409" s="152">
        <v>211840.74215000001</v>
      </c>
      <c r="CP409" s="152">
        <v>189115.24894513073</v>
      </c>
      <c r="CQ409" s="152">
        <v>-22725.493204869344</v>
      </c>
      <c r="CR409" s="152">
        <v>2480264.2816250115</v>
      </c>
      <c r="CS409" s="152">
        <v>2333500.5838178652</v>
      </c>
      <c r="CT409" s="152">
        <v>-146763.6978071467</v>
      </c>
      <c r="CU409" s="152">
        <v>2976317.137950012</v>
      </c>
      <c r="CV409" s="152">
        <v>2800200.700581437</v>
      </c>
      <c r="CW409" s="152">
        <v>-176116.43736857607</v>
      </c>
      <c r="CX409" s="152">
        <v>166176.80596112233</v>
      </c>
      <c r="CY409" s="152">
        <v>342293.24332969828</v>
      </c>
      <c r="CZ409" s="152">
        <v>176116.43736857601</v>
      </c>
      <c r="DA409" s="152" t="e">
        <v>#REF!</v>
      </c>
      <c r="DC409" s="152" t="e">
        <v>#REF!</v>
      </c>
      <c r="DD409" s="152" t="e">
        <v>#REF!</v>
      </c>
      <c r="DE409" s="649" t="e">
        <v>#REF!</v>
      </c>
      <c r="DG409" s="152" t="e">
        <v>#REF!</v>
      </c>
      <c r="DH409" s="151"/>
      <c r="DI409" s="299"/>
      <c r="DJ409" s="299"/>
      <c r="DL409" s="295"/>
      <c r="DM409" s="295"/>
      <c r="DQ409" s="314"/>
      <c r="DS409" s="5">
        <v>1503954.1936185465</v>
      </c>
      <c r="DT409" s="5">
        <v>75197.709680927321</v>
      </c>
      <c r="DW409" s="151"/>
      <c r="DX409" s="151"/>
    </row>
    <row r="410" spans="1:128" s="4" customFormat="1" ht="13.8" x14ac:dyDescent="0.3">
      <c r="A410" s="327"/>
      <c r="C410" s="30" t="s">
        <v>975</v>
      </c>
      <c r="D410" s="1"/>
      <c r="E410" s="8">
        <v>1015320.4400000001</v>
      </c>
      <c r="F410" s="95">
        <v>964968.2</v>
      </c>
      <c r="G410" s="8">
        <v>52716.010000000017</v>
      </c>
      <c r="H410" s="310">
        <v>50352.240000000005</v>
      </c>
      <c r="I410" s="8">
        <v>460240.00618452346</v>
      </c>
      <c r="J410" s="8">
        <v>513538.62790641899</v>
      </c>
      <c r="K410" s="8">
        <v>53298.621721895528</v>
      </c>
      <c r="L410" s="8">
        <v>92839.61390734007</v>
      </c>
      <c r="M410" s="8">
        <v>106269.8332653418</v>
      </c>
      <c r="N410" s="8">
        <v>13430.219358001734</v>
      </c>
      <c r="O410" s="8">
        <v>184284.00126688217</v>
      </c>
      <c r="P410" s="8">
        <v>184372.26666666669</v>
      </c>
      <c r="Q410" s="8">
        <v>88.265399784519104</v>
      </c>
      <c r="R410" s="8">
        <v>25163.074719399425</v>
      </c>
      <c r="S410" s="8">
        <v>25196.990000000005</v>
      </c>
      <c r="T410" s="8">
        <v>33.915280600580445</v>
      </c>
      <c r="U410" s="8">
        <v>17620.042784290486</v>
      </c>
      <c r="V410" s="8">
        <v>35044.406790177265</v>
      </c>
      <c r="W410" s="8">
        <v>17424.364005886779</v>
      </c>
      <c r="X410" s="8">
        <v>239089.33586934838</v>
      </c>
      <c r="Y410" s="8">
        <v>264339.24869043194</v>
      </c>
      <c r="Z410" s="8">
        <v>25249.912821083562</v>
      </c>
      <c r="AA410" s="8">
        <v>79790.508800000011</v>
      </c>
      <c r="AB410" s="8">
        <v>0</v>
      </c>
      <c r="AC410" s="8">
        <v>-79790.508800000011</v>
      </c>
      <c r="AD410" s="8">
        <v>724490.86820529797</v>
      </c>
      <c r="AE410" s="8">
        <v>914795.82458761055</v>
      </c>
      <c r="AF410" s="8">
        <v>190304.95638231258</v>
      </c>
      <c r="AG410" s="8">
        <v>1823517.4517370823</v>
      </c>
      <c r="AH410" s="8">
        <v>2043557.1979066473</v>
      </c>
      <c r="AI410" s="8">
        <v>220039.74616956501</v>
      </c>
      <c r="AJ410" s="8">
        <v>659362.7411199999</v>
      </c>
      <c r="AK410" s="8">
        <v>650797.87041924102</v>
      </c>
      <c r="AL410" s="8">
        <v>-8564.8707007588819</v>
      </c>
      <c r="AM410" s="8">
        <v>19514.789420000001</v>
      </c>
      <c r="AN410" s="8">
        <v>6634.3842085161668</v>
      </c>
      <c r="AO410" s="8">
        <v>-12880.405211483834</v>
      </c>
      <c r="AP410" s="8">
        <v>204136.55287499999</v>
      </c>
      <c r="AQ410" s="8">
        <v>175545</v>
      </c>
      <c r="AR410" s="8">
        <v>-28591.552874999994</v>
      </c>
      <c r="AS410" s="8">
        <v>1219757.2055461379</v>
      </c>
      <c r="AT410" s="8">
        <v>1142394</v>
      </c>
      <c r="AU410" s="8">
        <v>-77363.205546137877</v>
      </c>
      <c r="AV410" s="8">
        <v>209294.83658591317</v>
      </c>
      <c r="AW410" s="8">
        <v>51103</v>
      </c>
      <c r="AX410" s="8">
        <v>-158191.83658591317</v>
      </c>
      <c r="AY410" s="8">
        <v>256313.46258820803</v>
      </c>
      <c r="AZ410" s="8">
        <v>112904</v>
      </c>
      <c r="BA410" s="8">
        <v>-143409.46258820803</v>
      </c>
      <c r="BB410" s="8">
        <v>69101.054002364152</v>
      </c>
      <c r="BC410" s="8">
        <v>104938</v>
      </c>
      <c r="BD410" s="8">
        <v>35836.945997635848</v>
      </c>
      <c r="BE410" s="8">
        <v>125701.23253375076</v>
      </c>
      <c r="BF410" s="8">
        <v>21717</v>
      </c>
      <c r="BG410" s="8">
        <v>-103984.23253375076</v>
      </c>
      <c r="BH410" s="8">
        <v>85030.395010246182</v>
      </c>
      <c r="BI410" s="8">
        <v>6665</v>
      </c>
      <c r="BJ410" s="8">
        <v>-78365.395010246182</v>
      </c>
      <c r="BK410" s="8">
        <v>165031.15549149341</v>
      </c>
      <c r="BL410" s="8">
        <v>12043</v>
      </c>
      <c r="BM410" s="8">
        <v>-152988.15549149341</v>
      </c>
      <c r="BN410" s="8">
        <v>18641.142637195364</v>
      </c>
      <c r="BO410" s="8">
        <v>1409</v>
      </c>
      <c r="BP410" s="8">
        <v>-17232.142637195364</v>
      </c>
      <c r="BQ410" s="8">
        <v>929113.27884917113</v>
      </c>
      <c r="BR410" s="8">
        <v>310779</v>
      </c>
      <c r="BS410" s="8">
        <v>-618334.27884917113</v>
      </c>
      <c r="BT410" s="8">
        <v>1220301.3881819274</v>
      </c>
      <c r="BU410" s="8">
        <v>289346.60503500036</v>
      </c>
      <c r="BV410" s="8">
        <v>-930954.78314692702</v>
      </c>
      <c r="BW410" s="8">
        <v>829425.2194504072</v>
      </c>
      <c r="BX410" s="8">
        <v>965338.5329686536</v>
      </c>
      <c r="BY410" s="8">
        <v>135913.3135182464</v>
      </c>
      <c r="BZ410" s="8">
        <v>403708.85476357932</v>
      </c>
      <c r="CA410" s="8">
        <v>1720580.0312385629</v>
      </c>
      <c r="CB410" s="8">
        <v>1316871.1764749836</v>
      </c>
      <c r="CC410" s="8">
        <v>43324.743666065006</v>
      </c>
      <c r="CD410" s="8">
        <v>54102.009199238521</v>
      </c>
      <c r="CE410" s="8">
        <v>10777.265533173515</v>
      </c>
      <c r="CF410" s="8">
        <v>5087.729131680001</v>
      </c>
      <c r="CG410" s="8">
        <v>549.01355137634744</v>
      </c>
      <c r="CH410" s="8">
        <v>-4538.715580303654</v>
      </c>
      <c r="CI410" s="8">
        <v>418861.34000000008</v>
      </c>
      <c r="CJ410" s="8">
        <v>391677.86377119517</v>
      </c>
      <c r="CK410" s="8">
        <v>-27183.47622880491</v>
      </c>
      <c r="CL410" s="8">
        <v>229196.44620000001</v>
      </c>
      <c r="CM410" s="8">
        <v>206812.4354318213</v>
      </c>
      <c r="CN410" s="8">
        <v>-22384.010768178705</v>
      </c>
      <c r="CO410" s="8">
        <v>648057.78620000009</v>
      </c>
      <c r="CP410" s="8">
        <v>598490.29920301656</v>
      </c>
      <c r="CQ410" s="8">
        <v>-49567.486996983527</v>
      </c>
      <c r="CR410" s="8">
        <v>8005307.7409410495</v>
      </c>
      <c r="CS410" s="8">
        <v>7958113.9437302519</v>
      </c>
      <c r="CT410" s="8">
        <v>-47193.797210797668</v>
      </c>
      <c r="CU410" s="8">
        <v>9606369.2891292572</v>
      </c>
      <c r="CV410" s="8">
        <v>9549736.7324763015</v>
      </c>
      <c r="CW410" s="8">
        <v>-56632.556652955711</v>
      </c>
      <c r="CX410" s="8">
        <v>536352.71087073511</v>
      </c>
      <c r="CY410" s="8">
        <v>592985.26752369199</v>
      </c>
      <c r="CZ410" s="8">
        <v>56632.556652956875</v>
      </c>
      <c r="DA410" s="8" t="e">
        <v>#REF!</v>
      </c>
      <c r="DB410" s="96"/>
      <c r="DC410" s="95" t="e">
        <v>#REF!</v>
      </c>
      <c r="DD410" s="8" t="e">
        <v>#REF!</v>
      </c>
      <c r="DE410" s="8" t="e">
        <v>#REF!</v>
      </c>
      <c r="DG410" s="8" t="e">
        <v>#REF!</v>
      </c>
      <c r="DH410" s="50"/>
      <c r="DI410" s="297"/>
      <c r="DJ410" s="297"/>
      <c r="DL410" s="301"/>
      <c r="DM410" s="301"/>
      <c r="DP410" s="96"/>
      <c r="DQ410" s="319"/>
      <c r="DS410" s="8">
        <v>4837898.0667430665</v>
      </c>
      <c r="DT410" s="8">
        <v>241894.90333715337</v>
      </c>
      <c r="DW410" s="50"/>
      <c r="DX410" s="50"/>
    </row>
    <row r="411" spans="1:128" x14ac:dyDescent="0.3">
      <c r="CX411" s="93">
        <v>5.5833030641210266</v>
      </c>
      <c r="DS411" s="5"/>
      <c r="DT411" s="5"/>
    </row>
    <row r="412" spans="1:128" x14ac:dyDescent="0.3">
      <c r="C412" s="4" t="s">
        <v>999</v>
      </c>
      <c r="D412" s="3"/>
      <c r="DS412" s="5"/>
      <c r="DT412" s="5"/>
    </row>
    <row r="413" spans="1:128" x14ac:dyDescent="0.3">
      <c r="A413" s="276"/>
      <c r="C413" s="26" t="s">
        <v>986</v>
      </c>
      <c r="D413" s="3"/>
      <c r="E413" s="33"/>
      <c r="F413" s="28"/>
      <c r="G413" s="51"/>
      <c r="H413" s="309"/>
      <c r="I413" s="5"/>
      <c r="J413" s="335">
        <v>1.1109001597007677</v>
      </c>
      <c r="K413" s="335"/>
      <c r="L413" s="335"/>
      <c r="M413" s="335">
        <v>1.1762760489417881</v>
      </c>
      <c r="N413" s="335"/>
      <c r="O413" s="335"/>
      <c r="P413" s="335">
        <v>1.0000019814579824</v>
      </c>
      <c r="Q413" s="335"/>
      <c r="R413" s="335"/>
      <c r="S413" s="335">
        <v>1.0000296151884587</v>
      </c>
      <c r="T413" s="335"/>
      <c r="U413" s="335"/>
      <c r="V413" s="335">
        <v>1.9203327263704419</v>
      </c>
      <c r="W413" s="335"/>
      <c r="X413" s="335"/>
      <c r="Y413" s="335">
        <v>1.124309814083422</v>
      </c>
      <c r="Z413" s="335"/>
      <c r="AA413" s="335"/>
      <c r="AB413" s="335">
        <v>0</v>
      </c>
      <c r="AC413" s="335"/>
      <c r="AD413" s="335"/>
      <c r="AE413" s="335">
        <v>1.2553870996448437</v>
      </c>
      <c r="AF413" s="335"/>
      <c r="AG413" s="336"/>
      <c r="AH413" s="335">
        <v>1.1219951326869277</v>
      </c>
      <c r="AI413" s="335"/>
      <c r="AJ413" s="335"/>
      <c r="AK413" s="335">
        <v>0.9849140700071487</v>
      </c>
      <c r="AL413" s="335"/>
      <c r="AM413" s="335"/>
      <c r="AN413" s="335">
        <v>0.39735549526857822</v>
      </c>
      <c r="AO413" s="335"/>
      <c r="AP413" s="335"/>
      <c r="AQ413" s="335">
        <v>1.1344593068397366</v>
      </c>
      <c r="AR413" s="335"/>
      <c r="AS413" s="335"/>
      <c r="AT413" s="335">
        <v>0.88526591774133823</v>
      </c>
      <c r="AU413" s="335"/>
      <c r="AV413" s="335"/>
      <c r="AW413" s="335">
        <v>0.32803260258978628</v>
      </c>
      <c r="AX413" s="335"/>
      <c r="AY413" s="335"/>
      <c r="AZ413" s="335">
        <v>0.80946755703060624</v>
      </c>
      <c r="BA413" s="335"/>
      <c r="BB413" s="335"/>
      <c r="BC413" s="335">
        <v>0.18732845952524135</v>
      </c>
      <c r="BD413" s="335"/>
      <c r="BE413" s="335"/>
      <c r="BF413" s="335">
        <v>0.32242867262959851</v>
      </c>
      <c r="BG413" s="335"/>
      <c r="BH413" s="335"/>
      <c r="BI413" s="335">
        <v>0.13863350948770689</v>
      </c>
      <c r="BJ413" s="335"/>
      <c r="BK413" s="335"/>
      <c r="BL413" s="335">
        <v>0.13982137393337274</v>
      </c>
      <c r="BM413" s="335"/>
      <c r="BN413" s="335"/>
      <c r="BO413" s="335">
        <v>0</v>
      </c>
      <c r="BP413" s="335"/>
      <c r="BQ413" s="336"/>
      <c r="BR413" s="335">
        <v>0.36380483484448251</v>
      </c>
      <c r="BS413" s="335"/>
      <c r="BT413" s="335"/>
      <c r="BU413" s="335">
        <v>0.24599425618773141</v>
      </c>
      <c r="BV413" s="335"/>
      <c r="BW413" s="336"/>
      <c r="BX413" s="335">
        <v>1.1778141657878098</v>
      </c>
      <c r="BY413" s="335"/>
      <c r="BZ413" s="335"/>
      <c r="CA413" s="335">
        <v>5.1499932091856842</v>
      </c>
      <c r="CB413" s="335"/>
      <c r="CC413" s="335"/>
      <c r="CD413" s="335">
        <v>1.2386130866262752</v>
      </c>
      <c r="CE413" s="335"/>
      <c r="CF413" s="335"/>
      <c r="CG413" s="335">
        <v>0</v>
      </c>
      <c r="CH413" s="335"/>
      <c r="CI413" s="335"/>
      <c r="CJ413" s="335">
        <v>0.93167384272165366</v>
      </c>
      <c r="CK413" s="335"/>
      <c r="CL413" s="335"/>
      <c r="CM413" s="335">
        <v>0.88470908231983558</v>
      </c>
      <c r="CN413" s="335"/>
      <c r="CO413" s="335"/>
      <c r="CP413" s="335">
        <v>0.91092083992377459</v>
      </c>
      <c r="CQ413" s="335"/>
      <c r="CR413" s="335"/>
      <c r="CS413" s="335">
        <v>1.0030771182954608</v>
      </c>
      <c r="CT413" s="335"/>
      <c r="CU413" s="335"/>
      <c r="CV413" s="335">
        <v>1.0030771182954608</v>
      </c>
      <c r="CW413" s="5"/>
      <c r="CX413" s="5"/>
      <c r="CY413" s="143"/>
      <c r="CZ413" s="5"/>
      <c r="DD413" s="639"/>
      <c r="DS413" s="5"/>
      <c r="DT413" s="5"/>
    </row>
    <row r="414" spans="1:128" x14ac:dyDescent="0.3">
      <c r="A414" s="276"/>
      <c r="C414" s="26" t="s">
        <v>987</v>
      </c>
      <c r="D414" s="3"/>
      <c r="E414" s="33"/>
      <c r="F414" s="28"/>
      <c r="G414" s="51"/>
      <c r="H414" s="309"/>
      <c r="I414" s="5"/>
      <c r="J414" s="335">
        <v>1.109098890817094</v>
      </c>
      <c r="K414" s="335"/>
      <c r="L414" s="335"/>
      <c r="M414" s="335">
        <v>1.1326324017173868</v>
      </c>
      <c r="N414" s="335"/>
      <c r="O414" s="335"/>
      <c r="P414" s="335">
        <v>0.99918882331492176</v>
      </c>
      <c r="Q414" s="335"/>
      <c r="R414" s="335"/>
      <c r="S414" s="335">
        <v>0.9996149799230305</v>
      </c>
      <c r="T414" s="335"/>
      <c r="U414" s="335"/>
      <c r="V414" s="335">
        <v>2.2774657095446762</v>
      </c>
      <c r="W414" s="335"/>
      <c r="X414" s="335"/>
      <c r="Y414" s="335">
        <v>1.0740778205973023</v>
      </c>
      <c r="Z414" s="335"/>
      <c r="AA414" s="335"/>
      <c r="AB414" s="335">
        <v>0</v>
      </c>
      <c r="AC414" s="335"/>
      <c r="AD414" s="335"/>
      <c r="AE414" s="335">
        <v>1.2661852983917652</v>
      </c>
      <c r="AF414" s="335"/>
      <c r="AG414" s="336"/>
      <c r="AH414" s="335">
        <v>1.1109812267324544</v>
      </c>
      <c r="AI414" s="335"/>
      <c r="AJ414" s="335"/>
      <c r="AK414" s="335">
        <v>0.98413874909375954</v>
      </c>
      <c r="AL414" s="335"/>
      <c r="AM414" s="335"/>
      <c r="AN414" s="335">
        <v>0.33320129366288842</v>
      </c>
      <c r="AO414" s="335"/>
      <c r="AP414" s="335"/>
      <c r="AQ414" s="335">
        <v>0.61317584782344192</v>
      </c>
      <c r="AR414" s="335"/>
      <c r="AS414" s="335"/>
      <c r="AT414" s="335">
        <v>1.1378034486882243</v>
      </c>
      <c r="AU414" s="335"/>
      <c r="AV414" s="335"/>
      <c r="AW414" s="335">
        <v>0.22819030666028808</v>
      </c>
      <c r="AX414" s="335"/>
      <c r="AY414" s="335"/>
      <c r="AZ414" s="335">
        <v>0.13132155372322937</v>
      </c>
      <c r="BA414" s="335"/>
      <c r="BB414" s="335"/>
      <c r="BC414" s="335">
        <v>2.4645967888911162</v>
      </c>
      <c r="BD414" s="335"/>
      <c r="BE414" s="335"/>
      <c r="BF414" s="335">
        <v>2.1074090728282372E-2</v>
      </c>
      <c r="BG414" s="335"/>
      <c r="BH414" s="335"/>
      <c r="BI414" s="335">
        <v>0</v>
      </c>
      <c r="BJ414" s="335"/>
      <c r="BK414" s="335"/>
      <c r="BL414" s="335">
        <v>7.7808576629533222E-2</v>
      </c>
      <c r="BM414" s="335"/>
      <c r="BN414" s="335"/>
      <c r="BO414" s="335">
        <v>0.19752837952603658</v>
      </c>
      <c r="BP414" s="335"/>
      <c r="BQ414" s="336"/>
      <c r="BR414" s="335">
        <v>0.32330141585743544</v>
      </c>
      <c r="BS414" s="335"/>
      <c r="BT414" s="335"/>
      <c r="BU414" s="335">
        <v>0.24599354222301709</v>
      </c>
      <c r="BV414" s="335"/>
      <c r="BW414" s="336"/>
      <c r="BX414" s="335">
        <v>1.2076217800917928</v>
      </c>
      <c r="BY414" s="335"/>
      <c r="BZ414" s="335"/>
      <c r="CA414" s="335">
        <v>3.6539722149517591</v>
      </c>
      <c r="CB414" s="335"/>
      <c r="CC414" s="335"/>
      <c r="CD414" s="335">
        <v>1.2563395197309102</v>
      </c>
      <c r="CE414" s="335"/>
      <c r="CF414" s="335"/>
      <c r="CG414" s="335">
        <v>0.30695834549209972</v>
      </c>
      <c r="CH414" s="335"/>
      <c r="CI414" s="335"/>
      <c r="CJ414" s="335">
        <v>0.98661553335596519</v>
      </c>
      <c r="CK414" s="335"/>
      <c r="CL414" s="335"/>
      <c r="CM414" s="335">
        <v>1.0037000017622608</v>
      </c>
      <c r="CN414" s="335"/>
      <c r="CO414" s="335"/>
      <c r="CP414" s="335">
        <v>0.99037519087716397</v>
      </c>
      <c r="CQ414" s="335"/>
      <c r="CR414" s="335"/>
      <c r="CS414" s="335">
        <v>1.035573786195517</v>
      </c>
      <c r="CT414" s="335"/>
      <c r="CU414" s="335"/>
      <c r="CV414" s="335">
        <v>1.035573786195517</v>
      </c>
      <c r="CW414" s="5"/>
      <c r="CX414" s="5"/>
      <c r="CY414" s="143"/>
      <c r="CZ414" s="5"/>
      <c r="DD414" s="666"/>
      <c r="DS414" s="5"/>
      <c r="DT414" s="5"/>
    </row>
    <row r="415" spans="1:128" x14ac:dyDescent="0.3">
      <c r="A415" s="276"/>
      <c r="C415" s="26" t="s">
        <v>988</v>
      </c>
      <c r="D415" s="3"/>
      <c r="E415" s="33"/>
      <c r="F415" s="28"/>
      <c r="G415" s="51"/>
      <c r="H415" s="309"/>
      <c r="I415" s="5"/>
      <c r="J415" s="335">
        <v>1.1279305353230662</v>
      </c>
      <c r="K415" s="335"/>
      <c r="L415" s="335"/>
      <c r="M415" s="335">
        <v>1.1297149940964013</v>
      </c>
      <c r="N415" s="335"/>
      <c r="O415" s="335"/>
      <c r="P415" s="335">
        <v>1.0025789608782132</v>
      </c>
      <c r="Q415" s="335"/>
      <c r="R415" s="335"/>
      <c r="S415" s="335">
        <v>1.0047410419173577</v>
      </c>
      <c r="T415" s="335"/>
      <c r="U415" s="335"/>
      <c r="V415" s="335">
        <v>2.0130616212293999</v>
      </c>
      <c r="W415" s="335"/>
      <c r="X415" s="335"/>
      <c r="Y415" s="335">
        <v>1.1224857333263782</v>
      </c>
      <c r="Z415" s="335"/>
      <c r="AA415" s="335"/>
      <c r="AB415" s="335">
        <v>0</v>
      </c>
      <c r="AC415" s="335"/>
      <c r="AD415" s="335"/>
      <c r="AE415" s="335">
        <v>1.2666376643918686</v>
      </c>
      <c r="AF415" s="335"/>
      <c r="AG415" s="336"/>
      <c r="AH415" s="335">
        <v>1.1301142159248101</v>
      </c>
      <c r="AI415" s="335"/>
      <c r="AJ415" s="335"/>
      <c r="AK415" s="335">
        <v>0.99187601605284303</v>
      </c>
      <c r="AL415" s="335"/>
      <c r="AM415" s="335"/>
      <c r="AN415" s="335">
        <v>0.13130007669744326</v>
      </c>
      <c r="AO415" s="335"/>
      <c r="AP415" s="335"/>
      <c r="AQ415" s="335">
        <v>1.0591690717661997</v>
      </c>
      <c r="AR415" s="335"/>
      <c r="AS415" s="335"/>
      <c r="AT415" s="335">
        <v>0.78293033375217824</v>
      </c>
      <c r="AU415" s="335"/>
      <c r="AV415" s="335"/>
      <c r="AW415" s="335">
        <v>0.18534661414312978</v>
      </c>
      <c r="AX415" s="335"/>
      <c r="AY415" s="335"/>
      <c r="AZ415" s="335">
        <v>0.46522083326851332</v>
      </c>
      <c r="BA415" s="335"/>
      <c r="BB415" s="335"/>
      <c r="BC415" s="335">
        <v>1.8721668975337857</v>
      </c>
      <c r="BD415" s="335"/>
      <c r="BE415" s="335"/>
      <c r="BF415" s="335">
        <v>1.2210372620480971E-2</v>
      </c>
      <c r="BG415" s="335"/>
      <c r="BH415" s="335"/>
      <c r="BI415" s="335">
        <v>8.6720352421679487E-3</v>
      </c>
      <c r="BJ415" s="335"/>
      <c r="BK415" s="335"/>
      <c r="BL415" s="335">
        <v>0</v>
      </c>
      <c r="BM415" s="335"/>
      <c r="BN415" s="335"/>
      <c r="BO415" s="335">
        <v>0</v>
      </c>
      <c r="BP415" s="335"/>
      <c r="BQ415" s="336"/>
      <c r="BR415" s="335">
        <v>0.31332094899259066</v>
      </c>
      <c r="BS415" s="335"/>
      <c r="BT415" s="335"/>
      <c r="BU415" s="335">
        <v>0.21451479611531007</v>
      </c>
      <c r="BV415" s="335"/>
      <c r="BW415" s="336"/>
      <c r="BX415" s="335">
        <v>1.1014445338345997</v>
      </c>
      <c r="BY415" s="335"/>
      <c r="BZ415" s="335"/>
      <c r="CA415" s="335">
        <v>4.1815592980538954</v>
      </c>
      <c r="CB415" s="335"/>
      <c r="CC415" s="335"/>
      <c r="CD415" s="335">
        <v>1.2497736009979521</v>
      </c>
      <c r="CE415" s="335"/>
      <c r="CF415" s="335"/>
      <c r="CG415" s="335">
        <v>0</v>
      </c>
      <c r="CH415" s="335"/>
      <c r="CI415" s="335"/>
      <c r="CJ415" s="335">
        <v>0.89611209739353981</v>
      </c>
      <c r="CK415" s="335"/>
      <c r="CL415" s="335"/>
      <c r="CM415" s="335">
        <v>0.88585555634841162</v>
      </c>
      <c r="CN415" s="335"/>
      <c r="CO415" s="335"/>
      <c r="CP415" s="335">
        <v>0.89272368962539872</v>
      </c>
      <c r="CQ415" s="335"/>
      <c r="CR415" s="335"/>
      <c r="CS415" s="335">
        <v>0.94082739533264981</v>
      </c>
      <c r="CT415" s="335"/>
      <c r="CU415" s="335"/>
      <c r="CV415" s="335">
        <v>0.94082739533264992</v>
      </c>
      <c r="CW415" s="5"/>
      <c r="CX415" s="5"/>
      <c r="CY415" s="143"/>
      <c r="CZ415" s="5"/>
      <c r="DD415" s="639"/>
      <c r="DS415" s="5"/>
      <c r="DT415" s="5"/>
    </row>
    <row r="416" spans="1:128" x14ac:dyDescent="0.3">
      <c r="A416" s="276"/>
      <c r="C416" s="30" t="s">
        <v>975</v>
      </c>
      <c r="E416" s="33"/>
      <c r="F416" s="28"/>
      <c r="G416" s="51"/>
      <c r="H416" s="309"/>
      <c r="I416" s="5"/>
      <c r="J416" s="336">
        <v>1.11580614680534</v>
      </c>
      <c r="K416" s="335"/>
      <c r="L416" s="335"/>
      <c r="M416" s="336">
        <v>1.144660439577075</v>
      </c>
      <c r="N416" s="335"/>
      <c r="O416" s="335"/>
      <c r="P416" s="336">
        <v>1.0004789639859006</v>
      </c>
      <c r="Q416" s="335"/>
      <c r="R416" s="335"/>
      <c r="S416" s="336">
        <v>1.0013478194131193</v>
      </c>
      <c r="T416" s="335"/>
      <c r="U416" s="335"/>
      <c r="V416" s="336">
        <v>1.9888945344344924</v>
      </c>
      <c r="W416" s="335"/>
      <c r="X416" s="335"/>
      <c r="Y416" s="336">
        <v>1.1056086952990722</v>
      </c>
      <c r="Z416" s="335"/>
      <c r="AA416" s="335"/>
      <c r="AB416" s="336">
        <v>0</v>
      </c>
      <c r="AC416" s="335"/>
      <c r="AD416" s="335"/>
      <c r="AE416" s="336">
        <v>1.2626740580647127</v>
      </c>
      <c r="AF416" s="335"/>
      <c r="AG416" s="336"/>
      <c r="AH416" s="336">
        <v>1.1206677490034194</v>
      </c>
      <c r="AI416" s="335"/>
      <c r="AJ416" s="335"/>
      <c r="AK416" s="336">
        <v>0.98701038113526018</v>
      </c>
      <c r="AL416" s="335"/>
      <c r="AM416" s="335"/>
      <c r="AN416" s="336">
        <v>0.33996698943196524</v>
      </c>
      <c r="AO416" s="335"/>
      <c r="AP416" s="335"/>
      <c r="AQ416" s="336">
        <v>0.85993908257818186</v>
      </c>
      <c r="AR416" s="335"/>
      <c r="AS416" s="335"/>
      <c r="AT416" s="336">
        <v>0.93657491409407245</v>
      </c>
      <c r="AU416" s="335"/>
      <c r="AV416" s="335"/>
      <c r="AW416" s="336">
        <v>0.24416751427607625</v>
      </c>
      <c r="AX416" s="335"/>
      <c r="AY416" s="335"/>
      <c r="AZ416" s="336">
        <v>0.44049188388278698</v>
      </c>
      <c r="BA416" s="335"/>
      <c r="BB416" s="335"/>
      <c r="BC416" s="336">
        <v>1.5186164887790243</v>
      </c>
      <c r="BD416" s="335"/>
      <c r="BE416" s="335"/>
      <c r="BF416" s="336">
        <v>0.17276680237935604</v>
      </c>
      <c r="BG416" s="335"/>
      <c r="BH416" s="335"/>
      <c r="BI416" s="336">
        <v>7.8383735594746637E-2</v>
      </c>
      <c r="BJ416" s="335"/>
      <c r="BK416" s="335"/>
      <c r="BL416" s="336">
        <v>7.2974099733675801E-2</v>
      </c>
      <c r="BM416" s="335"/>
      <c r="BN416" s="335"/>
      <c r="BO416" s="336">
        <v>7.5585495343432965E-2</v>
      </c>
      <c r="BP416" s="335"/>
      <c r="BQ416" s="336"/>
      <c r="BR416" s="336">
        <v>0.33448989167923704</v>
      </c>
      <c r="BS416" s="335"/>
      <c r="BT416" s="335"/>
      <c r="BU416" s="336">
        <v>0.23711077266418992</v>
      </c>
      <c r="BV416" s="335"/>
      <c r="BW416" s="336"/>
      <c r="BX416" s="336">
        <v>1.1638644573748373</v>
      </c>
      <c r="BY416" s="335"/>
      <c r="BZ416" s="335"/>
      <c r="CA416" s="336">
        <v>4.2619328531849314</v>
      </c>
      <c r="CB416" s="335"/>
      <c r="CC416" s="335"/>
      <c r="CD416" s="336">
        <v>1.2487554367601494</v>
      </c>
      <c r="CE416" s="335"/>
      <c r="CF416" s="335"/>
      <c r="CG416" s="336">
        <v>0.10790935153323691</v>
      </c>
      <c r="CH416" s="335"/>
      <c r="CI416" s="335"/>
      <c r="CJ416" s="336">
        <v>0.93510149151314637</v>
      </c>
      <c r="CK416" s="335"/>
      <c r="CL416" s="335"/>
      <c r="CM416" s="336">
        <v>0.90233700766613933</v>
      </c>
      <c r="CN416" s="335"/>
      <c r="CO416" s="335"/>
      <c r="CP416" s="336">
        <v>0.92351378526345451</v>
      </c>
      <c r="CQ416" s="335"/>
      <c r="CR416" s="335"/>
      <c r="CS416" s="336">
        <v>0.99410468669812191</v>
      </c>
      <c r="CT416" s="335"/>
      <c r="CU416" s="335"/>
      <c r="CV416" s="336">
        <v>0.99410468669812202</v>
      </c>
      <c r="CW416" s="5"/>
      <c r="CX416" s="5"/>
      <c r="CY416" s="144"/>
      <c r="CZ416" s="5"/>
      <c r="DS416" s="5"/>
      <c r="DT416" s="5"/>
    </row>
    <row r="419" spans="43:79" x14ac:dyDescent="0.3">
      <c r="CA419" s="7">
        <v>2009926.6362735627</v>
      </c>
    </row>
    <row r="420" spans="43:79" x14ac:dyDescent="0.3">
      <c r="AQ420" s="7">
        <v>155017</v>
      </c>
      <c r="CA420" s="7">
        <v>1050260.2654024805</v>
      </c>
    </row>
    <row r="421" spans="43:79" x14ac:dyDescent="0.3">
      <c r="AQ421" s="7">
        <v>20528.000000000029</v>
      </c>
    </row>
  </sheetData>
  <mergeCells count="53">
    <mergeCell ref="CC6:CE7"/>
    <mergeCell ref="DK6:DK8"/>
    <mergeCell ref="DW6:DX6"/>
    <mergeCell ref="I7:K7"/>
    <mergeCell ref="L7:N7"/>
    <mergeCell ref="O7:Q7"/>
    <mergeCell ref="R7:T7"/>
    <mergeCell ref="U7:W7"/>
    <mergeCell ref="X7:Z7"/>
    <mergeCell ref="AA7:AC7"/>
    <mergeCell ref="AD7:AF7"/>
    <mergeCell ref="DC6:DD6"/>
    <mergeCell ref="DE6:DE8"/>
    <mergeCell ref="DG6:DG8"/>
    <mergeCell ref="DH6:DH8"/>
    <mergeCell ref="DI6:DI8"/>
    <mergeCell ref="DJ6:DJ8"/>
    <mergeCell ref="DC7:DD7"/>
    <mergeCell ref="CF6:CH7"/>
    <mergeCell ref="CI6:CQ6"/>
    <mergeCell ref="CR6:CT7"/>
    <mergeCell ref="CU6:CW7"/>
    <mergeCell ref="CX6:CZ7"/>
    <mergeCell ref="DA6:DA8"/>
    <mergeCell ref="CO7:CQ7"/>
    <mergeCell ref="CL7:CN7"/>
    <mergeCell ref="CI7:CK7"/>
    <mergeCell ref="AS6:AU7"/>
    <mergeCell ref="AV6:BS6"/>
    <mergeCell ref="BT6:BV7"/>
    <mergeCell ref="BW6:BY7"/>
    <mergeCell ref="BZ6:CB7"/>
    <mergeCell ref="AV7:AX7"/>
    <mergeCell ref="AY7:BA7"/>
    <mergeCell ref="BB7:BD7"/>
    <mergeCell ref="BE7:BG7"/>
    <mergeCell ref="BK7:BM7"/>
    <mergeCell ref="BN7:BP7"/>
    <mergeCell ref="BQ7:BS7"/>
    <mergeCell ref="BH7:BJ7"/>
    <mergeCell ref="AP6:AR7"/>
    <mergeCell ref="AG7:AI7"/>
    <mergeCell ref="A6:A8"/>
    <mergeCell ref="B6:B8"/>
    <mergeCell ref="C6:C8"/>
    <mergeCell ref="D6:D8"/>
    <mergeCell ref="E6:E8"/>
    <mergeCell ref="F6:F8"/>
    <mergeCell ref="G6:G8"/>
    <mergeCell ref="H6:H8"/>
    <mergeCell ref="I6:AI6"/>
    <mergeCell ref="AJ6:AL7"/>
    <mergeCell ref="AM6:AO7"/>
  </mergeCells>
  <conditionalFormatting sqref="A163">
    <cfRule type="duplicateValues" dxfId="1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05D4E-1A50-4AFE-B40D-5AB80BD8C7F0}">
  <dimension ref="A1:EU423"/>
  <sheetViews>
    <sheetView topLeftCell="CT1" workbookViewId="0">
      <selection activeCell="B5" sqref="B5:DA5"/>
    </sheetView>
  </sheetViews>
  <sheetFormatPr defaultColWidth="8.77734375" defaultRowHeight="14.4" x14ac:dyDescent="0.3"/>
  <cols>
    <col min="1" max="1" width="13.21875" style="324" customWidth="1"/>
    <col min="2" max="2" width="8.77734375" style="1"/>
    <col min="3" max="3" width="34.44140625" style="1" customWidth="1"/>
    <col min="4" max="4" width="6.21875" style="1" customWidth="1"/>
    <col min="5" max="5" width="15.77734375" style="32" customWidth="1"/>
    <col min="6" max="6" width="14.21875" style="93" customWidth="1"/>
    <col min="7" max="7" width="11.77734375" style="49" customWidth="1"/>
    <col min="8" max="8" width="12.44140625" style="308" customWidth="1"/>
    <col min="9" max="9" width="10.77734375" style="7" customWidth="1"/>
    <col min="10" max="10" width="10.21875" style="7" customWidth="1"/>
    <col min="11" max="11" width="9.5546875" style="7" customWidth="1"/>
    <col min="12" max="12" width="12.44140625" style="7" customWidth="1"/>
    <col min="13" max="13" width="10.77734375" style="7" customWidth="1"/>
    <col min="14" max="14" width="10.21875" style="7" customWidth="1"/>
    <col min="15" max="17" width="10.77734375" style="7" customWidth="1"/>
    <col min="18" max="20" width="11.44140625" style="7" customWidth="1"/>
    <col min="21" max="23" width="10.77734375" style="7" customWidth="1"/>
    <col min="24" max="26" width="12.21875" style="7" customWidth="1"/>
    <col min="27" max="29" width="10.77734375" style="7" customWidth="1"/>
    <col min="30" max="32" width="14.21875" style="7" customWidth="1"/>
    <col min="33" max="33" width="14.21875" style="50" customWidth="1"/>
    <col min="34" max="35" width="14.21875" style="7" customWidth="1"/>
    <col min="36" max="38" width="10.21875" style="7" customWidth="1"/>
    <col min="39" max="41" width="10.44140625" style="7" customWidth="1"/>
    <col min="42" max="44" width="11.21875" style="7" customWidth="1"/>
    <col min="45" max="47" width="12.21875" style="7" customWidth="1"/>
    <col min="48" max="50" width="11.21875" style="7" customWidth="1"/>
    <col min="51" max="51" width="10.21875" style="7" customWidth="1"/>
    <col min="52" max="52" width="8.21875" style="7" customWidth="1"/>
    <col min="53" max="54" width="10.77734375" style="7" customWidth="1"/>
    <col min="55" max="56" width="12.44140625" style="7" customWidth="1"/>
    <col min="57" max="59" width="12.21875" style="7" customWidth="1"/>
    <col min="60" max="62" width="11.5546875" style="7" customWidth="1"/>
    <col min="63" max="65" width="11.21875" style="7" customWidth="1"/>
    <col min="66" max="68" width="10.5546875" style="7" customWidth="1"/>
    <col min="69" max="69" width="10.5546875" style="50" customWidth="1"/>
    <col min="70" max="71" width="10.5546875" style="7" customWidth="1"/>
    <col min="72" max="74" width="11.77734375" style="7" customWidth="1"/>
    <col min="75" max="75" width="11.44140625" style="50" customWidth="1"/>
    <col min="76" max="77" width="11.44140625" style="7" customWidth="1"/>
    <col min="78" max="80" width="12.44140625" style="7" customWidth="1"/>
    <col min="81" max="81" width="10.77734375" style="7" customWidth="1"/>
    <col min="82" max="82" width="8.44140625" style="7" customWidth="1"/>
    <col min="83" max="83" width="11.21875" style="7" customWidth="1"/>
    <col min="84" max="84" width="10.77734375" style="7" customWidth="1"/>
    <col min="85" max="85" width="10.44140625" style="7" customWidth="1"/>
    <col min="86" max="86" width="10.77734375" style="7" customWidth="1"/>
    <col min="87" max="89" width="12.44140625" style="7" customWidth="1"/>
    <col min="90" max="95" width="11.21875" style="7" customWidth="1"/>
    <col min="96" max="97" width="12.77734375" style="7" customWidth="1"/>
    <col min="98" max="98" width="11.44140625" style="7" customWidth="1"/>
    <col min="99" max="99" width="12.44140625" style="7" customWidth="1"/>
    <col min="100" max="100" width="12.77734375" style="50" customWidth="1"/>
    <col min="101" max="101" width="13" style="7" customWidth="1"/>
    <col min="102" max="102" width="13.21875" style="7" customWidth="1"/>
    <col min="103" max="103" width="10.21875" style="7" customWidth="1"/>
    <col min="104" max="104" width="10.44140625" style="7" customWidth="1"/>
    <col min="105" max="105" width="22.77734375" style="7" customWidth="1"/>
    <col min="106" max="106" width="8.77734375" style="2"/>
    <col min="107" max="107" width="15.77734375" style="410" customWidth="1"/>
    <col min="108" max="108" width="14.21875" style="411" customWidth="1"/>
    <col min="109" max="109" width="20.77734375" style="412" customWidth="1"/>
    <col min="110" max="110" width="23" style="1" customWidth="1"/>
    <col min="111" max="113" width="22.77734375" style="7" customWidth="1"/>
    <col min="114" max="115" width="8.77734375" style="296"/>
    <col min="116" max="116" width="8.77734375" style="1"/>
    <col min="117" max="117" width="16.44140625" style="93" customWidth="1"/>
    <col min="118" max="118" width="14" style="93" customWidth="1"/>
    <col min="119" max="119" width="16" style="1" customWidth="1"/>
    <col min="120" max="120" width="12" style="1" customWidth="1"/>
    <col min="121" max="121" width="16" style="2" customWidth="1"/>
    <col min="122" max="122" width="11.5546875" style="314" customWidth="1"/>
    <col min="123" max="123" width="12.21875" style="1" customWidth="1"/>
    <col min="124" max="124" width="13.77734375" style="7" customWidth="1"/>
    <col min="125" max="125" width="13" style="7" customWidth="1"/>
    <col min="126" max="127" width="8.77734375" style="1"/>
    <col min="128" max="128" width="12.44140625" style="7" customWidth="1"/>
    <col min="129" max="129" width="12.5546875" style="7" customWidth="1"/>
    <col min="130" max="130" width="12" style="1" customWidth="1"/>
    <col min="131" max="131" width="17.21875" style="1" customWidth="1"/>
    <col min="132" max="134" width="8.77734375" style="1"/>
    <col min="135" max="136" width="11.77734375" style="1" customWidth="1"/>
    <col min="137" max="137" width="12.77734375" style="1" customWidth="1"/>
    <col min="138" max="138" width="11" style="1" customWidth="1"/>
    <col min="139" max="139" width="8.77734375" style="1"/>
    <col min="140" max="140" width="10.5546875" style="1" customWidth="1"/>
    <col min="141" max="143" width="8.77734375" style="1"/>
    <col min="144" max="144" width="11.21875" style="1" customWidth="1"/>
    <col min="145" max="146" width="8.77734375" style="1"/>
    <col min="147" max="147" width="15.21875" style="1" customWidth="1"/>
    <col min="148" max="148" width="13.6640625" style="1" customWidth="1"/>
    <col min="149" max="149" width="8.77734375" style="1"/>
    <col min="150" max="150" width="18.5546875" style="1" customWidth="1"/>
    <col min="151" max="151" width="19" style="1" customWidth="1"/>
    <col min="152" max="16384" width="8.77734375" style="1"/>
  </cols>
  <sheetData>
    <row r="1" spans="1:151" x14ac:dyDescent="0.3">
      <c r="B1" s="1" t="s">
        <v>0</v>
      </c>
      <c r="DA1" s="492">
        <v>12</v>
      </c>
      <c r="DB1" s="2" t="s">
        <v>1060</v>
      </c>
    </row>
    <row r="2" spans="1:151" x14ac:dyDescent="0.3">
      <c r="CV2" s="396"/>
      <c r="CW2" s="397" t="s">
        <v>1053</v>
      </c>
      <c r="CX2" s="388">
        <v>71108105.042787105</v>
      </c>
    </row>
    <row r="3" spans="1:151" ht="22.8" x14ac:dyDescent="0.3">
      <c r="B3" s="6" t="s">
        <v>1023</v>
      </c>
      <c r="H3" s="667" t="s">
        <v>1102</v>
      </c>
      <c r="I3" s="388"/>
      <c r="J3" s="388"/>
      <c r="BU3" s="392"/>
      <c r="CV3" s="396"/>
      <c r="CW3" s="388"/>
      <c r="CX3" s="388">
        <v>69142532.468650267</v>
      </c>
      <c r="DA3" s="424" t="s">
        <v>1103</v>
      </c>
      <c r="DB3" s="96"/>
      <c r="DC3" s="413" t="s">
        <v>1054</v>
      </c>
      <c r="DF3" s="4"/>
      <c r="DJ3" s="514" t="s">
        <v>1067</v>
      </c>
      <c r="DX3" s="389" t="s">
        <v>1050</v>
      </c>
    </row>
    <row r="4" spans="1:151" x14ac:dyDescent="0.3">
      <c r="CV4" s="398"/>
      <c r="CW4" s="388"/>
      <c r="CX4" s="399">
        <v>2.8427836007135499E-2</v>
      </c>
    </row>
    <row r="5" spans="1:151" ht="18" thickBot="1" x14ac:dyDescent="0.35">
      <c r="A5" s="324">
        <v>1</v>
      </c>
      <c r="B5" s="1">
        <f>A5+1</f>
        <v>2</v>
      </c>
      <c r="C5" s="1">
        <f t="shared" ref="C5:BN5" si="0">B5+1</f>
        <v>3</v>
      </c>
      <c r="D5" s="1">
        <f t="shared" si="0"/>
        <v>4</v>
      </c>
      <c r="E5" s="1">
        <f t="shared" si="0"/>
        <v>5</v>
      </c>
      <c r="F5" s="1">
        <f t="shared" si="0"/>
        <v>6</v>
      </c>
      <c r="G5" s="1">
        <f t="shared" si="0"/>
        <v>7</v>
      </c>
      <c r="H5" s="1">
        <f t="shared" si="0"/>
        <v>8</v>
      </c>
      <c r="I5" s="1">
        <f t="shared" si="0"/>
        <v>9</v>
      </c>
      <c r="J5" s="1">
        <f t="shared" si="0"/>
        <v>10</v>
      </c>
      <c r="K5" s="1">
        <f t="shared" si="0"/>
        <v>11</v>
      </c>
      <c r="L5" s="1">
        <f t="shared" si="0"/>
        <v>12</v>
      </c>
      <c r="M5" s="1">
        <f t="shared" si="0"/>
        <v>13</v>
      </c>
      <c r="N5" s="1">
        <f t="shared" si="0"/>
        <v>14</v>
      </c>
      <c r="O5" s="1">
        <f t="shared" si="0"/>
        <v>15</v>
      </c>
      <c r="P5" s="1">
        <f t="shared" si="0"/>
        <v>16</v>
      </c>
      <c r="Q5" s="1">
        <f t="shared" si="0"/>
        <v>17</v>
      </c>
      <c r="R5" s="1">
        <f t="shared" si="0"/>
        <v>18</v>
      </c>
      <c r="S5" s="1">
        <f t="shared" si="0"/>
        <v>19</v>
      </c>
      <c r="T5" s="1">
        <f t="shared" si="0"/>
        <v>20</v>
      </c>
      <c r="U5" s="1">
        <f t="shared" si="0"/>
        <v>21</v>
      </c>
      <c r="V5" s="1">
        <f t="shared" si="0"/>
        <v>22</v>
      </c>
      <c r="W5" s="1">
        <f t="shared" si="0"/>
        <v>23</v>
      </c>
      <c r="X5" s="1">
        <f t="shared" si="0"/>
        <v>24</v>
      </c>
      <c r="Y5" s="1">
        <f t="shared" si="0"/>
        <v>25</v>
      </c>
      <c r="Z5" s="1">
        <f t="shared" si="0"/>
        <v>26</v>
      </c>
      <c r="AA5" s="1">
        <f t="shared" si="0"/>
        <v>27</v>
      </c>
      <c r="AB5" s="1">
        <f t="shared" si="0"/>
        <v>28</v>
      </c>
      <c r="AC5" s="1">
        <f t="shared" si="0"/>
        <v>29</v>
      </c>
      <c r="AD5" s="1">
        <f t="shared" si="0"/>
        <v>30</v>
      </c>
      <c r="AE5" s="1">
        <f t="shared" si="0"/>
        <v>31</v>
      </c>
      <c r="AF5" s="1">
        <f t="shared" si="0"/>
        <v>32</v>
      </c>
      <c r="AG5" s="1">
        <f t="shared" si="0"/>
        <v>33</v>
      </c>
      <c r="AH5" s="1">
        <f t="shared" si="0"/>
        <v>34</v>
      </c>
      <c r="AI5" s="1">
        <f t="shared" si="0"/>
        <v>35</v>
      </c>
      <c r="AJ5" s="1">
        <f t="shared" si="0"/>
        <v>36</v>
      </c>
      <c r="AK5" s="1">
        <f t="shared" si="0"/>
        <v>37</v>
      </c>
      <c r="AL5" s="1">
        <f t="shared" si="0"/>
        <v>38</v>
      </c>
      <c r="AM5" s="1">
        <f t="shared" si="0"/>
        <v>39</v>
      </c>
      <c r="AN5" s="1">
        <f t="shared" si="0"/>
        <v>40</v>
      </c>
      <c r="AO5" s="1">
        <f t="shared" si="0"/>
        <v>41</v>
      </c>
      <c r="AP5" s="1">
        <f t="shared" si="0"/>
        <v>42</v>
      </c>
      <c r="AQ5" s="1">
        <f t="shared" si="0"/>
        <v>43</v>
      </c>
      <c r="AR5" s="1">
        <f t="shared" si="0"/>
        <v>44</v>
      </c>
      <c r="AS5" s="1">
        <f t="shared" si="0"/>
        <v>45</v>
      </c>
      <c r="AT5" s="1">
        <f t="shared" si="0"/>
        <v>46</v>
      </c>
      <c r="AU5" s="1">
        <f t="shared" si="0"/>
        <v>47</v>
      </c>
      <c r="AV5" s="1">
        <f t="shared" si="0"/>
        <v>48</v>
      </c>
      <c r="AW5" s="1">
        <f t="shared" si="0"/>
        <v>49</v>
      </c>
      <c r="AX5" s="1">
        <f t="shared" si="0"/>
        <v>50</v>
      </c>
      <c r="AY5" s="1">
        <f t="shared" si="0"/>
        <v>51</v>
      </c>
      <c r="AZ5" s="1">
        <f t="shared" si="0"/>
        <v>52</v>
      </c>
      <c r="BA5" s="1">
        <f t="shared" si="0"/>
        <v>53</v>
      </c>
      <c r="BB5" s="1">
        <f t="shared" si="0"/>
        <v>54</v>
      </c>
      <c r="BC5" s="1">
        <f t="shared" si="0"/>
        <v>55</v>
      </c>
      <c r="BD5" s="1">
        <f t="shared" si="0"/>
        <v>56</v>
      </c>
      <c r="BE5" s="1">
        <f t="shared" si="0"/>
        <v>57</v>
      </c>
      <c r="BF5" s="1">
        <f t="shared" si="0"/>
        <v>58</v>
      </c>
      <c r="BG5" s="1">
        <f t="shared" si="0"/>
        <v>59</v>
      </c>
      <c r="BH5" s="1">
        <f t="shared" si="0"/>
        <v>60</v>
      </c>
      <c r="BI5" s="1">
        <f t="shared" si="0"/>
        <v>61</v>
      </c>
      <c r="BJ5" s="1">
        <f t="shared" si="0"/>
        <v>62</v>
      </c>
      <c r="BK5" s="1">
        <f t="shared" si="0"/>
        <v>63</v>
      </c>
      <c r="BL5" s="1">
        <f t="shared" si="0"/>
        <v>64</v>
      </c>
      <c r="BM5" s="1">
        <f t="shared" si="0"/>
        <v>65</v>
      </c>
      <c r="BN5" s="1">
        <f t="shared" si="0"/>
        <v>66</v>
      </c>
      <c r="BO5" s="1">
        <f t="shared" ref="BO5:DA5" si="1">BN5+1</f>
        <v>67</v>
      </c>
      <c r="BP5" s="1">
        <f t="shared" si="1"/>
        <v>68</v>
      </c>
      <c r="BQ5" s="1">
        <f t="shared" si="1"/>
        <v>69</v>
      </c>
      <c r="BR5" s="1">
        <f t="shared" si="1"/>
        <v>70</v>
      </c>
      <c r="BS5" s="1">
        <f t="shared" si="1"/>
        <v>71</v>
      </c>
      <c r="BT5" s="1">
        <f t="shared" si="1"/>
        <v>72</v>
      </c>
      <c r="BU5" s="1">
        <f t="shared" si="1"/>
        <v>73</v>
      </c>
      <c r="BV5" s="1">
        <f t="shared" si="1"/>
        <v>74</v>
      </c>
      <c r="BW5" s="1">
        <f t="shared" si="1"/>
        <v>75</v>
      </c>
      <c r="BX5" s="1">
        <f t="shared" si="1"/>
        <v>76</v>
      </c>
      <c r="BY5" s="1">
        <f t="shared" si="1"/>
        <v>77</v>
      </c>
      <c r="BZ5" s="1">
        <f t="shared" si="1"/>
        <v>78</v>
      </c>
      <c r="CA5" s="1">
        <f t="shared" si="1"/>
        <v>79</v>
      </c>
      <c r="CB5" s="1">
        <f t="shared" si="1"/>
        <v>80</v>
      </c>
      <c r="CC5" s="1">
        <f t="shared" si="1"/>
        <v>81</v>
      </c>
      <c r="CD5" s="1">
        <f t="shared" si="1"/>
        <v>82</v>
      </c>
      <c r="CE5" s="1">
        <f t="shared" si="1"/>
        <v>83</v>
      </c>
      <c r="CF5" s="1">
        <f t="shared" si="1"/>
        <v>84</v>
      </c>
      <c r="CG5" s="1">
        <f t="shared" si="1"/>
        <v>85</v>
      </c>
      <c r="CH5" s="1">
        <f t="shared" si="1"/>
        <v>86</v>
      </c>
      <c r="CI5" s="1">
        <f t="shared" si="1"/>
        <v>87</v>
      </c>
      <c r="CJ5" s="1">
        <f t="shared" si="1"/>
        <v>88</v>
      </c>
      <c r="CK5" s="1">
        <f t="shared" si="1"/>
        <v>89</v>
      </c>
      <c r="CL5" s="1">
        <f t="shared" si="1"/>
        <v>90</v>
      </c>
      <c r="CM5" s="1">
        <f t="shared" si="1"/>
        <v>91</v>
      </c>
      <c r="CN5" s="1">
        <f t="shared" si="1"/>
        <v>92</v>
      </c>
      <c r="CO5" s="1">
        <f t="shared" si="1"/>
        <v>93</v>
      </c>
      <c r="CP5" s="1">
        <f t="shared" si="1"/>
        <v>94</v>
      </c>
      <c r="CQ5" s="1">
        <f t="shared" si="1"/>
        <v>95</v>
      </c>
      <c r="CR5" s="1">
        <f t="shared" si="1"/>
        <v>96</v>
      </c>
      <c r="CS5" s="1">
        <f t="shared" si="1"/>
        <v>97</v>
      </c>
      <c r="CT5" s="1">
        <f t="shared" si="1"/>
        <v>98</v>
      </c>
      <c r="CU5" s="1">
        <f t="shared" si="1"/>
        <v>99</v>
      </c>
      <c r="CV5" s="1">
        <f t="shared" si="1"/>
        <v>100</v>
      </c>
      <c r="CW5" s="1">
        <f t="shared" si="1"/>
        <v>101</v>
      </c>
      <c r="CX5" s="1">
        <f t="shared" si="1"/>
        <v>102</v>
      </c>
      <c r="CY5" s="1">
        <f t="shared" si="1"/>
        <v>103</v>
      </c>
      <c r="CZ5" s="1">
        <f t="shared" si="1"/>
        <v>104</v>
      </c>
      <c r="DA5" s="1">
        <f t="shared" si="1"/>
        <v>105</v>
      </c>
      <c r="DB5" s="331">
        <v>104</v>
      </c>
      <c r="DC5" s="331">
        <v>105</v>
      </c>
      <c r="DD5" s="331">
        <v>106</v>
      </c>
      <c r="DE5" s="331">
        <v>107</v>
      </c>
      <c r="DF5" s="331">
        <v>108</v>
      </c>
      <c r="DG5" s="331">
        <v>109</v>
      </c>
      <c r="DH5" s="331">
        <v>110</v>
      </c>
      <c r="DI5" s="331">
        <v>111</v>
      </c>
      <c r="DJ5" s="331">
        <v>112</v>
      </c>
      <c r="DK5" s="331">
        <v>113</v>
      </c>
      <c r="DL5" s="331">
        <v>114</v>
      </c>
      <c r="DM5" s="331">
        <v>115</v>
      </c>
      <c r="DN5" s="331">
        <v>116</v>
      </c>
      <c r="DO5" s="331">
        <v>117</v>
      </c>
      <c r="DP5" s="331">
        <v>118</v>
      </c>
      <c r="DQ5" s="331">
        <v>119</v>
      </c>
      <c r="DR5" s="331">
        <v>120</v>
      </c>
      <c r="DS5" s="331">
        <v>121</v>
      </c>
      <c r="DT5" s="331">
        <v>122</v>
      </c>
      <c r="DU5" s="331">
        <v>123</v>
      </c>
      <c r="DV5" s="331">
        <v>124</v>
      </c>
      <c r="DW5" s="331">
        <v>125</v>
      </c>
      <c r="DX5" s="331">
        <v>126</v>
      </c>
      <c r="DY5" s="331">
        <v>127</v>
      </c>
      <c r="DZ5" s="331">
        <v>128</v>
      </c>
      <c r="EA5" s="331">
        <v>129</v>
      </c>
      <c r="EB5" s="331">
        <v>130</v>
      </c>
      <c r="EC5" s="331">
        <v>131</v>
      </c>
      <c r="ED5" s="331">
        <v>132</v>
      </c>
      <c r="EE5" s="331">
        <v>133</v>
      </c>
      <c r="EF5" s="331">
        <v>134</v>
      </c>
      <c r="EG5" s="331">
        <v>135</v>
      </c>
      <c r="EH5" s="331">
        <v>136</v>
      </c>
      <c r="EI5" s="331">
        <v>137</v>
      </c>
      <c r="EJ5" s="331">
        <v>138</v>
      </c>
      <c r="EK5" s="331">
        <v>139</v>
      </c>
      <c r="EL5" s="331">
        <v>140</v>
      </c>
      <c r="EM5" s="331">
        <v>141</v>
      </c>
      <c r="EN5" s="331">
        <v>142</v>
      </c>
      <c r="EO5" s="331">
        <v>143</v>
      </c>
      <c r="EP5" s="331">
        <v>144</v>
      </c>
      <c r="EQ5" s="331">
        <v>145</v>
      </c>
      <c r="ER5" s="331">
        <v>146</v>
      </c>
      <c r="ES5" s="331">
        <v>147</v>
      </c>
      <c r="ET5" s="331">
        <v>148</v>
      </c>
      <c r="EU5" s="331">
        <v>149</v>
      </c>
    </row>
    <row r="6" spans="1:151" s="277" customFormat="1" ht="60.75" customHeight="1" thickBot="1" x14ac:dyDescent="0.35">
      <c r="A6" s="1030" t="s">
        <v>1038</v>
      </c>
      <c r="B6" s="1042" t="s">
        <v>850</v>
      </c>
      <c r="C6" s="1042" t="s">
        <v>1</v>
      </c>
      <c r="D6" s="1045" t="s">
        <v>2</v>
      </c>
      <c r="E6" s="1057" t="s">
        <v>431</v>
      </c>
      <c r="F6" s="1048" t="s">
        <v>3</v>
      </c>
      <c r="G6" s="1051" t="s">
        <v>4</v>
      </c>
      <c r="H6" s="1054" t="s">
        <v>5</v>
      </c>
      <c r="I6" s="1060" t="s">
        <v>444</v>
      </c>
      <c r="J6" s="1061"/>
      <c r="K6" s="1061"/>
      <c r="L6" s="1061"/>
      <c r="M6" s="1061"/>
      <c r="N6" s="1061"/>
      <c r="O6" s="1061"/>
      <c r="P6" s="1061"/>
      <c r="Q6" s="1061"/>
      <c r="R6" s="1061"/>
      <c r="S6" s="1061"/>
      <c r="T6" s="1061"/>
      <c r="U6" s="1061"/>
      <c r="V6" s="1061"/>
      <c r="W6" s="1061"/>
      <c r="X6" s="1061"/>
      <c r="Y6" s="1061"/>
      <c r="Z6" s="1061"/>
      <c r="AA6" s="1061"/>
      <c r="AB6" s="1061"/>
      <c r="AC6" s="1061"/>
      <c r="AD6" s="1061"/>
      <c r="AE6" s="1061"/>
      <c r="AF6" s="1061"/>
      <c r="AG6" s="1061"/>
      <c r="AH6" s="1061"/>
      <c r="AI6" s="1062"/>
      <c r="AJ6" s="1063" t="s">
        <v>7</v>
      </c>
      <c r="AK6" s="1064"/>
      <c r="AL6" s="1065"/>
      <c r="AM6" s="1069" t="s">
        <v>8</v>
      </c>
      <c r="AN6" s="1064"/>
      <c r="AO6" s="1064"/>
      <c r="AP6" s="1004" t="s">
        <v>9</v>
      </c>
      <c r="AQ6" s="1064"/>
      <c r="AR6" s="1064"/>
      <c r="AS6" s="988" t="s">
        <v>11</v>
      </c>
      <c r="AT6" s="1037"/>
      <c r="AU6" s="1038"/>
      <c r="AV6" s="1086" t="s">
        <v>452</v>
      </c>
      <c r="AW6" s="1086"/>
      <c r="AX6" s="1086"/>
      <c r="AY6" s="1086"/>
      <c r="AZ6" s="1086"/>
      <c r="BA6" s="1086"/>
      <c r="BB6" s="1086"/>
      <c r="BC6" s="1086"/>
      <c r="BD6" s="1086"/>
      <c r="BE6" s="1086"/>
      <c r="BF6" s="1086"/>
      <c r="BG6" s="1086"/>
      <c r="BH6" s="1086"/>
      <c r="BI6" s="1086"/>
      <c r="BJ6" s="1086"/>
      <c r="BK6" s="1086"/>
      <c r="BL6" s="1086"/>
      <c r="BM6" s="1086"/>
      <c r="BN6" s="1086"/>
      <c r="BO6" s="1086"/>
      <c r="BP6" s="1086"/>
      <c r="BQ6" s="1087"/>
      <c r="BR6" s="1087"/>
      <c r="BS6" s="1088"/>
      <c r="BT6" s="1004" t="s">
        <v>14</v>
      </c>
      <c r="BU6" s="1005"/>
      <c r="BV6" s="1006"/>
      <c r="BW6" s="1004" t="s">
        <v>15</v>
      </c>
      <c r="BX6" s="1005"/>
      <c r="BY6" s="1006"/>
      <c r="BZ6" s="1024" t="s">
        <v>16</v>
      </c>
      <c r="CA6" s="1025"/>
      <c r="CB6" s="1025"/>
      <c r="CC6" s="1004" t="s">
        <v>17</v>
      </c>
      <c r="CD6" s="1005"/>
      <c r="CE6" s="1006"/>
      <c r="CF6" s="1069" t="s">
        <v>18</v>
      </c>
      <c r="CG6" s="1005"/>
      <c r="CH6" s="1005"/>
      <c r="CI6" s="1080" t="s">
        <v>19</v>
      </c>
      <c r="CJ6" s="1081"/>
      <c r="CK6" s="1081"/>
      <c r="CL6" s="1081"/>
      <c r="CM6" s="1081"/>
      <c r="CN6" s="1081"/>
      <c r="CO6" s="1081"/>
      <c r="CP6" s="1081"/>
      <c r="CQ6" s="1082"/>
      <c r="CR6" s="1004" t="s">
        <v>21</v>
      </c>
      <c r="CS6" s="1010"/>
      <c r="CT6" s="1011"/>
      <c r="CU6" s="1015" t="s">
        <v>982</v>
      </c>
      <c r="CV6" s="1016"/>
      <c r="CW6" s="1017"/>
      <c r="CX6" s="988" t="s">
        <v>983</v>
      </c>
      <c r="CY6" s="989"/>
      <c r="CZ6" s="990"/>
      <c r="DA6" s="996" t="s">
        <v>1104</v>
      </c>
      <c r="DB6" s="2"/>
      <c r="DC6" s="1096" t="s">
        <v>1105</v>
      </c>
      <c r="DD6" s="1097"/>
      <c r="DE6" s="1098" t="s">
        <v>1081</v>
      </c>
      <c r="DF6" s="1099" t="s">
        <v>1082</v>
      </c>
      <c r="DG6" s="985" t="s">
        <v>1055</v>
      </c>
      <c r="DH6" s="994" t="s">
        <v>1057</v>
      </c>
      <c r="DI6" s="513" t="s">
        <v>1067</v>
      </c>
      <c r="DJ6" s="983" t="s">
        <v>1029</v>
      </c>
      <c r="DK6" s="983" t="s">
        <v>1030</v>
      </c>
      <c r="DL6" s="983" t="s">
        <v>1031</v>
      </c>
      <c r="DM6" s="300"/>
      <c r="DN6" s="300"/>
      <c r="DQ6" s="312"/>
      <c r="DR6" s="315"/>
      <c r="DT6" s="313"/>
      <c r="DU6" s="313"/>
      <c r="DX6" s="994" t="s">
        <v>1051</v>
      </c>
      <c r="DY6" s="1070"/>
      <c r="DZ6" s="1071"/>
      <c r="EQ6" s="1095" t="s">
        <v>1106</v>
      </c>
      <c r="ER6" s="999"/>
    </row>
    <row r="7" spans="1:151" s="277" customFormat="1" ht="38.700000000000003" customHeight="1" thickBot="1" x14ac:dyDescent="0.35">
      <c r="A7" s="1031"/>
      <c r="B7" s="1043"/>
      <c r="C7" s="1043"/>
      <c r="D7" s="1046"/>
      <c r="E7" s="1058"/>
      <c r="F7" s="1049"/>
      <c r="G7" s="1052"/>
      <c r="H7" s="1055"/>
      <c r="I7" s="1033" t="s">
        <v>432</v>
      </c>
      <c r="J7" s="1034"/>
      <c r="K7" s="1034"/>
      <c r="L7" s="1033" t="s">
        <v>433</v>
      </c>
      <c r="M7" s="1034"/>
      <c r="N7" s="1035"/>
      <c r="O7" s="1036" t="s">
        <v>434</v>
      </c>
      <c r="P7" s="1034"/>
      <c r="Q7" s="1034"/>
      <c r="R7" s="1033" t="s">
        <v>435</v>
      </c>
      <c r="S7" s="1034"/>
      <c r="T7" s="1035"/>
      <c r="U7" s="1036" t="s">
        <v>436</v>
      </c>
      <c r="V7" s="1034"/>
      <c r="W7" s="1034"/>
      <c r="X7" s="1033" t="s">
        <v>437</v>
      </c>
      <c r="Y7" s="1034"/>
      <c r="Z7" s="1035"/>
      <c r="AA7" s="1036" t="s">
        <v>438</v>
      </c>
      <c r="AB7" s="1034"/>
      <c r="AC7" s="1034"/>
      <c r="AD7" s="1033" t="s">
        <v>439</v>
      </c>
      <c r="AE7" s="1034"/>
      <c r="AF7" s="1034"/>
      <c r="AG7" s="1033" t="s">
        <v>443</v>
      </c>
      <c r="AH7" s="1034"/>
      <c r="AI7" s="1035"/>
      <c r="AJ7" s="1066"/>
      <c r="AK7" s="1067"/>
      <c r="AL7" s="1068"/>
      <c r="AM7" s="1067"/>
      <c r="AN7" s="1067"/>
      <c r="AO7" s="1067"/>
      <c r="AP7" s="1072"/>
      <c r="AQ7" s="1067"/>
      <c r="AR7" s="1067"/>
      <c r="AS7" s="1039"/>
      <c r="AT7" s="1040"/>
      <c r="AU7" s="1041"/>
      <c r="AV7" s="988" t="s">
        <v>445</v>
      </c>
      <c r="AW7" s="1076"/>
      <c r="AX7" s="1077"/>
      <c r="AY7" s="1078" t="s">
        <v>446</v>
      </c>
      <c r="AZ7" s="1079"/>
      <c r="BA7" s="1079"/>
      <c r="BB7" s="988" t="s">
        <v>447</v>
      </c>
      <c r="BC7" s="1076"/>
      <c r="BD7" s="1077"/>
      <c r="BE7" s="1078" t="s">
        <v>448</v>
      </c>
      <c r="BF7" s="1079"/>
      <c r="BG7" s="1079"/>
      <c r="BH7" s="988" t="s">
        <v>449</v>
      </c>
      <c r="BI7" s="1076"/>
      <c r="BJ7" s="1077"/>
      <c r="BK7" s="1078" t="s">
        <v>450</v>
      </c>
      <c r="BL7" s="1079"/>
      <c r="BM7" s="1079"/>
      <c r="BN7" s="988" t="s">
        <v>451</v>
      </c>
      <c r="BO7" s="1076"/>
      <c r="BP7" s="1077"/>
      <c r="BQ7" s="1083" t="s">
        <v>453</v>
      </c>
      <c r="BR7" s="1084"/>
      <c r="BS7" s="1085"/>
      <c r="BT7" s="1073"/>
      <c r="BU7" s="1074"/>
      <c r="BV7" s="1075"/>
      <c r="BW7" s="1021"/>
      <c r="BX7" s="1022"/>
      <c r="BY7" s="1023"/>
      <c r="BZ7" s="1026"/>
      <c r="CA7" s="1027"/>
      <c r="CB7" s="1027"/>
      <c r="CC7" s="1007"/>
      <c r="CD7" s="1008"/>
      <c r="CE7" s="1009"/>
      <c r="CF7" s="1008"/>
      <c r="CG7" s="1008"/>
      <c r="CH7" s="1008"/>
      <c r="CI7" s="1089" t="s">
        <v>32</v>
      </c>
      <c r="CJ7" s="1090"/>
      <c r="CK7" s="1090"/>
      <c r="CL7" s="988" t="s">
        <v>33</v>
      </c>
      <c r="CM7" s="1028"/>
      <c r="CN7" s="1029"/>
      <c r="CO7" s="988" t="s">
        <v>454</v>
      </c>
      <c r="CP7" s="1028"/>
      <c r="CQ7" s="1029"/>
      <c r="CR7" s="1012"/>
      <c r="CS7" s="1013"/>
      <c r="CT7" s="1014"/>
      <c r="CU7" s="1018"/>
      <c r="CV7" s="1019"/>
      <c r="CW7" s="1020"/>
      <c r="CX7" s="991"/>
      <c r="CY7" s="992"/>
      <c r="CZ7" s="993"/>
      <c r="DA7" s="997"/>
      <c r="DB7" s="2"/>
      <c r="DC7" s="1096" t="s">
        <v>1035</v>
      </c>
      <c r="DD7" s="1097"/>
      <c r="DE7" s="1097"/>
      <c r="DF7" s="1100"/>
      <c r="DG7" s="986"/>
      <c r="DH7" s="995"/>
      <c r="DI7" s="491" t="s">
        <v>900</v>
      </c>
      <c r="DJ7" s="984"/>
      <c r="DK7" s="984"/>
      <c r="DL7" s="984"/>
      <c r="DM7" s="300"/>
      <c r="DN7" s="300"/>
      <c r="DQ7" s="312"/>
      <c r="DR7" s="316"/>
      <c r="DT7" s="313"/>
      <c r="DU7" s="313"/>
      <c r="DX7" s="403" t="s">
        <v>985</v>
      </c>
      <c r="DY7" s="403" t="s">
        <v>441</v>
      </c>
      <c r="DZ7" s="538" t="s">
        <v>1073</v>
      </c>
      <c r="EB7" s="1101" t="s">
        <v>1107</v>
      </c>
      <c r="EC7" s="1102"/>
      <c r="ED7" s="1102"/>
      <c r="EE7" s="1102"/>
      <c r="EF7" s="1102"/>
      <c r="EG7" s="1102"/>
      <c r="EH7" s="1102"/>
      <c r="EI7" s="1102"/>
      <c r="EJ7" s="1102"/>
      <c r="EK7" s="1102"/>
      <c r="EL7" s="1102"/>
      <c r="EM7" s="1102"/>
      <c r="EN7" s="1103"/>
      <c r="EQ7" s="313" t="s">
        <v>985</v>
      </c>
      <c r="ER7" s="313" t="s">
        <v>441</v>
      </c>
    </row>
    <row r="8" spans="1:151" s="79" customFormat="1" ht="110.4" customHeight="1" thickBot="1" x14ac:dyDescent="0.35">
      <c r="A8" s="1032"/>
      <c r="B8" s="1044"/>
      <c r="C8" s="1044"/>
      <c r="D8" s="1047"/>
      <c r="E8" s="1059"/>
      <c r="F8" s="1050"/>
      <c r="G8" s="1053"/>
      <c r="H8" s="1056"/>
      <c r="I8" s="668" t="s">
        <v>440</v>
      </c>
      <c r="J8" s="644" t="s">
        <v>441</v>
      </c>
      <c r="K8" s="75" t="s">
        <v>442</v>
      </c>
      <c r="L8" s="84" t="s">
        <v>440</v>
      </c>
      <c r="M8" s="85" t="s">
        <v>441</v>
      </c>
      <c r="N8" s="86" t="s">
        <v>442</v>
      </c>
      <c r="O8" s="87" t="s">
        <v>440</v>
      </c>
      <c r="P8" s="85" t="s">
        <v>441</v>
      </c>
      <c r="Q8" s="88" t="s">
        <v>442</v>
      </c>
      <c r="R8" s="84" t="s">
        <v>440</v>
      </c>
      <c r="S8" s="85" t="s">
        <v>441</v>
      </c>
      <c r="T8" s="86" t="s">
        <v>442</v>
      </c>
      <c r="U8" s="87" t="s">
        <v>440</v>
      </c>
      <c r="V8" s="85" t="s">
        <v>441</v>
      </c>
      <c r="W8" s="88" t="s">
        <v>442</v>
      </c>
      <c r="X8" s="84" t="s">
        <v>440</v>
      </c>
      <c r="Y8" s="85" t="s">
        <v>441</v>
      </c>
      <c r="Z8" s="86" t="s">
        <v>442</v>
      </c>
      <c r="AA8" s="87" t="s">
        <v>440</v>
      </c>
      <c r="AB8" s="85" t="s">
        <v>441</v>
      </c>
      <c r="AC8" s="88" t="s">
        <v>442</v>
      </c>
      <c r="AD8" s="84" t="s">
        <v>440</v>
      </c>
      <c r="AE8" s="85" t="s">
        <v>441</v>
      </c>
      <c r="AF8" s="88" t="s">
        <v>442</v>
      </c>
      <c r="AG8" s="89" t="s">
        <v>440</v>
      </c>
      <c r="AH8" s="85" t="s">
        <v>441</v>
      </c>
      <c r="AI8" s="86" t="s">
        <v>442</v>
      </c>
      <c r="AJ8" s="278" t="s">
        <v>440</v>
      </c>
      <c r="AK8" s="82" t="s">
        <v>441</v>
      </c>
      <c r="AL8" s="83" t="s">
        <v>442</v>
      </c>
      <c r="AM8" s="278" t="s">
        <v>440</v>
      </c>
      <c r="AN8" s="82" t="s">
        <v>441</v>
      </c>
      <c r="AO8" s="90" t="s">
        <v>442</v>
      </c>
      <c r="AP8" s="91" t="s">
        <v>440</v>
      </c>
      <c r="AQ8" s="82" t="s">
        <v>441</v>
      </c>
      <c r="AR8" s="90" t="s">
        <v>442</v>
      </c>
      <c r="AS8" s="91" t="s">
        <v>440</v>
      </c>
      <c r="AT8" s="82" t="s">
        <v>441</v>
      </c>
      <c r="AU8" s="83" t="s">
        <v>442</v>
      </c>
      <c r="AV8" s="91" t="s">
        <v>440</v>
      </c>
      <c r="AW8" s="82" t="s">
        <v>441</v>
      </c>
      <c r="AX8" s="83" t="s">
        <v>442</v>
      </c>
      <c r="AY8" s="278" t="s">
        <v>440</v>
      </c>
      <c r="AZ8" s="82" t="s">
        <v>441</v>
      </c>
      <c r="BA8" s="90" t="s">
        <v>442</v>
      </c>
      <c r="BB8" s="91" t="s">
        <v>440</v>
      </c>
      <c r="BC8" s="82" t="s">
        <v>441</v>
      </c>
      <c r="BD8" s="83" t="s">
        <v>442</v>
      </c>
      <c r="BE8" s="278" t="s">
        <v>440</v>
      </c>
      <c r="BF8" s="82" t="s">
        <v>441</v>
      </c>
      <c r="BG8" s="90" t="s">
        <v>442</v>
      </c>
      <c r="BH8" s="91" t="s">
        <v>440</v>
      </c>
      <c r="BI8" s="82" t="s">
        <v>441</v>
      </c>
      <c r="BJ8" s="83" t="s">
        <v>442</v>
      </c>
      <c r="BK8" s="278" t="s">
        <v>440</v>
      </c>
      <c r="BL8" s="82" t="s">
        <v>441</v>
      </c>
      <c r="BM8" s="90" t="s">
        <v>442</v>
      </c>
      <c r="BN8" s="91" t="s">
        <v>440</v>
      </c>
      <c r="BO8" s="82" t="s">
        <v>441</v>
      </c>
      <c r="BP8" s="83" t="s">
        <v>442</v>
      </c>
      <c r="BQ8" s="81" t="s">
        <v>440</v>
      </c>
      <c r="BR8" s="82" t="s">
        <v>441</v>
      </c>
      <c r="BS8" s="83" t="s">
        <v>442</v>
      </c>
      <c r="BT8" s="91" t="s">
        <v>440</v>
      </c>
      <c r="BU8" s="82" t="s">
        <v>441</v>
      </c>
      <c r="BV8" s="83" t="s">
        <v>442</v>
      </c>
      <c r="BW8" s="81" t="s">
        <v>440</v>
      </c>
      <c r="BX8" s="82" t="s">
        <v>441</v>
      </c>
      <c r="BY8" s="83" t="s">
        <v>442</v>
      </c>
      <c r="BZ8" s="81" t="s">
        <v>440</v>
      </c>
      <c r="CA8" s="82" t="s">
        <v>441</v>
      </c>
      <c r="CB8" s="90" t="s">
        <v>442</v>
      </c>
      <c r="CC8" s="81" t="s">
        <v>440</v>
      </c>
      <c r="CD8" s="82" t="s">
        <v>441</v>
      </c>
      <c r="CE8" s="83" t="s">
        <v>442</v>
      </c>
      <c r="CF8" s="92" t="s">
        <v>440</v>
      </c>
      <c r="CG8" s="82" t="s">
        <v>441</v>
      </c>
      <c r="CH8" s="90" t="s">
        <v>442</v>
      </c>
      <c r="CI8" s="81" t="s">
        <v>440</v>
      </c>
      <c r="CJ8" s="82" t="s">
        <v>441</v>
      </c>
      <c r="CK8" s="90" t="s">
        <v>442</v>
      </c>
      <c r="CL8" s="81" t="s">
        <v>440</v>
      </c>
      <c r="CM8" s="82" t="s">
        <v>441</v>
      </c>
      <c r="CN8" s="83" t="s">
        <v>442</v>
      </c>
      <c r="CO8" s="81" t="s">
        <v>440</v>
      </c>
      <c r="CP8" s="82" t="s">
        <v>441</v>
      </c>
      <c r="CQ8" s="83" t="s">
        <v>442</v>
      </c>
      <c r="CR8" s="81" t="s">
        <v>440</v>
      </c>
      <c r="CS8" s="82" t="s">
        <v>441</v>
      </c>
      <c r="CT8" s="83" t="s">
        <v>442</v>
      </c>
      <c r="CU8" s="89" t="s">
        <v>984</v>
      </c>
      <c r="CV8" s="106" t="s">
        <v>441</v>
      </c>
      <c r="CW8" s="88" t="s">
        <v>442</v>
      </c>
      <c r="CX8" s="66" t="s">
        <v>985</v>
      </c>
      <c r="CY8" s="110" t="s">
        <v>441</v>
      </c>
      <c r="CZ8" s="111" t="s">
        <v>442</v>
      </c>
      <c r="DA8" s="998"/>
      <c r="DB8" s="2"/>
      <c r="DC8" s="669" t="s">
        <v>1036</v>
      </c>
      <c r="DD8" s="669" t="s">
        <v>1037</v>
      </c>
      <c r="DE8" s="1097"/>
      <c r="DF8" s="1100"/>
      <c r="DG8" s="987"/>
      <c r="DH8" s="995"/>
      <c r="DI8" s="491" t="s">
        <v>1028</v>
      </c>
      <c r="DJ8" s="984"/>
      <c r="DK8" s="984"/>
      <c r="DL8" s="984"/>
      <c r="DM8" s="302" t="s">
        <v>1032</v>
      </c>
      <c r="DN8" s="302" t="s">
        <v>1033</v>
      </c>
      <c r="DQ8" s="313"/>
      <c r="DR8" s="317"/>
      <c r="DT8" s="404"/>
      <c r="DU8" s="5"/>
      <c r="DX8" s="403" t="s">
        <v>1058</v>
      </c>
      <c r="DY8" s="403" t="s">
        <v>1058</v>
      </c>
      <c r="DZ8" s="538" t="s">
        <v>1059</v>
      </c>
      <c r="EB8" s="670">
        <v>44256</v>
      </c>
      <c r="EC8" s="670">
        <v>44287</v>
      </c>
      <c r="ED8" s="670">
        <v>44317</v>
      </c>
      <c r="EE8" s="670">
        <v>44348</v>
      </c>
      <c r="EF8" s="670">
        <v>44378</v>
      </c>
      <c r="EG8" s="670">
        <v>44409</v>
      </c>
      <c r="EH8" s="670">
        <v>44440</v>
      </c>
      <c r="EI8" s="670">
        <v>44470</v>
      </c>
      <c r="EJ8" s="670">
        <v>44501</v>
      </c>
      <c r="EK8" s="670">
        <v>44531</v>
      </c>
      <c r="EL8" s="670">
        <v>44562</v>
      </c>
      <c r="EM8" s="670">
        <v>44593</v>
      </c>
      <c r="EN8" s="671" t="s">
        <v>1108</v>
      </c>
      <c r="EQ8" s="313"/>
      <c r="ER8" s="313"/>
      <c r="ET8" s="672" t="s">
        <v>1098</v>
      </c>
      <c r="EU8" s="672" t="s">
        <v>1055</v>
      </c>
    </row>
    <row r="9" spans="1:151" ht="14.1" customHeight="1" x14ac:dyDescent="0.3">
      <c r="A9" s="325">
        <v>150001053</v>
      </c>
      <c r="B9" s="41" t="s">
        <v>458</v>
      </c>
      <c r="C9" s="76" t="s">
        <v>147</v>
      </c>
      <c r="D9" s="37">
        <v>2</v>
      </c>
      <c r="E9" s="293">
        <v>372.8</v>
      </c>
      <c r="F9" s="304">
        <v>372.8</v>
      </c>
      <c r="G9" s="511">
        <v>0</v>
      </c>
      <c r="H9" s="673">
        <v>0</v>
      </c>
      <c r="I9" s="674">
        <v>2021.6314518033123</v>
      </c>
      <c r="J9" s="647">
        <v>1891.5546765153615</v>
      </c>
      <c r="K9" s="512">
        <v>-130.0767752879508</v>
      </c>
      <c r="L9" s="674">
        <v>336.82870921231228</v>
      </c>
      <c r="M9" s="647">
        <v>321.90311487608739</v>
      </c>
      <c r="N9" s="70">
        <v>-14.92559433622489</v>
      </c>
      <c r="O9" s="674">
        <v>631.45098799072491</v>
      </c>
      <c r="P9" s="647">
        <v>631.40999999999985</v>
      </c>
      <c r="Q9" s="70">
        <v>-4.0987990725056989E-2</v>
      </c>
      <c r="R9" s="674">
        <v>0</v>
      </c>
      <c r="S9" s="647">
        <v>0</v>
      </c>
      <c r="T9" s="70">
        <v>0</v>
      </c>
      <c r="U9" s="674">
        <v>0</v>
      </c>
      <c r="V9" s="647">
        <v>0</v>
      </c>
      <c r="W9" s="70">
        <v>0</v>
      </c>
      <c r="X9" s="674">
        <v>408.32757906174959</v>
      </c>
      <c r="Y9" s="647">
        <v>253.89817314031862</v>
      </c>
      <c r="Z9" s="70">
        <v>-154.42940592143097</v>
      </c>
      <c r="AA9" s="674">
        <v>44.736000000000004</v>
      </c>
      <c r="AB9" s="647">
        <v>0</v>
      </c>
      <c r="AC9" s="70">
        <v>-44.736000000000004</v>
      </c>
      <c r="AD9" s="674">
        <v>1598.3741845016434</v>
      </c>
      <c r="AE9" s="647">
        <v>1583.9235027383747</v>
      </c>
      <c r="AF9" s="68">
        <v>-14.450681763268676</v>
      </c>
      <c r="AG9" s="77">
        <v>5041.3489125697424</v>
      </c>
      <c r="AH9" s="53">
        <v>4682.6894672701419</v>
      </c>
      <c r="AI9" s="70">
        <v>-358.65944529960052</v>
      </c>
      <c r="AJ9" s="674">
        <v>0</v>
      </c>
      <c r="AK9" s="647">
        <v>0</v>
      </c>
      <c r="AL9" s="70">
        <v>0</v>
      </c>
      <c r="AM9" s="674">
        <v>0</v>
      </c>
      <c r="AN9" s="647">
        <v>0</v>
      </c>
      <c r="AO9" s="70">
        <v>0</v>
      </c>
      <c r="AP9" s="674">
        <v>1438.9871714723795</v>
      </c>
      <c r="AQ9" s="647">
        <v>1063.1234441560705</v>
      </c>
      <c r="AR9" s="70">
        <v>-375.863727316309</v>
      </c>
      <c r="AS9" s="674">
        <v>5871.5368266313508</v>
      </c>
      <c r="AT9" s="647">
        <v>27013.370000000003</v>
      </c>
      <c r="AU9" s="78">
        <v>21141.83317336865</v>
      </c>
      <c r="AV9" s="674">
        <v>516.98190546215483</v>
      </c>
      <c r="AW9" s="647">
        <v>0</v>
      </c>
      <c r="AX9" s="55">
        <v>-516.98190546215483</v>
      </c>
      <c r="AY9" s="674">
        <v>552.42123096814862</v>
      </c>
      <c r="AZ9" s="647">
        <v>0</v>
      </c>
      <c r="BA9" s="38">
        <v>-552.42123096814862</v>
      </c>
      <c r="BB9" s="674">
        <v>236.96442018148048</v>
      </c>
      <c r="BC9" s="647">
        <v>633</v>
      </c>
      <c r="BD9" s="55">
        <v>396.03557981851952</v>
      </c>
      <c r="BE9" s="674">
        <v>0</v>
      </c>
      <c r="BF9" s="647">
        <v>0</v>
      </c>
      <c r="BG9" s="55">
        <v>0</v>
      </c>
      <c r="BH9" s="674">
        <v>0</v>
      </c>
      <c r="BI9" s="647">
        <v>0</v>
      </c>
      <c r="BJ9" s="55">
        <v>0</v>
      </c>
      <c r="BK9" s="674">
        <v>146.72508297593654</v>
      </c>
      <c r="BL9" s="647">
        <v>0</v>
      </c>
      <c r="BM9" s="55">
        <v>-146.72508297593654</v>
      </c>
      <c r="BN9" s="674">
        <v>11.184000000000001</v>
      </c>
      <c r="BO9" s="647">
        <v>0</v>
      </c>
      <c r="BP9" s="55">
        <v>-11.184000000000001</v>
      </c>
      <c r="BQ9" s="77">
        <v>1464.2766395877206</v>
      </c>
      <c r="BR9" s="40">
        <v>633</v>
      </c>
      <c r="BS9" s="55">
        <v>-831.27663958772064</v>
      </c>
      <c r="BT9" s="674">
        <v>3606.5372786998596</v>
      </c>
      <c r="BU9" s="647">
        <v>3565.80118432074</v>
      </c>
      <c r="BV9" s="70">
        <v>-40.73609437911955</v>
      </c>
      <c r="BW9" s="674">
        <v>1888.1532130592004</v>
      </c>
      <c r="BX9" s="647">
        <v>2904.8920340485593</v>
      </c>
      <c r="BY9" s="70">
        <v>1016.7388209893588</v>
      </c>
      <c r="BZ9" s="674">
        <v>668.79233217512331</v>
      </c>
      <c r="CA9" s="647">
        <v>1028.9987142243749</v>
      </c>
      <c r="CB9" s="70">
        <v>360.2063820492516</v>
      </c>
      <c r="CC9" s="674">
        <v>0</v>
      </c>
      <c r="CD9" s="647">
        <v>0</v>
      </c>
      <c r="CE9" s="70">
        <v>0</v>
      </c>
      <c r="CF9" s="674">
        <v>0</v>
      </c>
      <c r="CG9" s="647">
        <v>0</v>
      </c>
      <c r="CH9" s="70">
        <v>0</v>
      </c>
      <c r="CI9" s="674">
        <v>0</v>
      </c>
      <c r="CJ9" s="647">
        <v>0</v>
      </c>
      <c r="CK9" s="70">
        <v>0</v>
      </c>
      <c r="CL9" s="674">
        <v>0</v>
      </c>
      <c r="CM9" s="647">
        <v>0</v>
      </c>
      <c r="CN9" s="70">
        <v>0</v>
      </c>
      <c r="CO9" s="39">
        <v>0</v>
      </c>
      <c r="CP9" s="40">
        <v>0</v>
      </c>
      <c r="CQ9" s="70">
        <v>0</v>
      </c>
      <c r="CR9" s="73">
        <v>19979.632374195375</v>
      </c>
      <c r="CS9" s="40">
        <v>40891.874844019891</v>
      </c>
      <c r="CT9" s="70">
        <v>20912.242469824516</v>
      </c>
      <c r="CU9" s="77">
        <v>23975.558849034449</v>
      </c>
      <c r="CV9" s="65">
        <v>49070.249812823866</v>
      </c>
      <c r="CW9" s="68">
        <v>25094.690963789417</v>
      </c>
      <c r="CX9" s="73">
        <v>244.45462861837188</v>
      </c>
      <c r="CY9" s="647">
        <v>-24850.236335171034</v>
      </c>
      <c r="CZ9" s="55">
        <v>-25094.690963789406</v>
      </c>
      <c r="DA9" s="150">
        <v>19257.513042652627</v>
      </c>
      <c r="DB9" s="2">
        <v>3</v>
      </c>
      <c r="DC9" s="675">
        <v>2384.59</v>
      </c>
      <c r="DD9" s="675">
        <v>0</v>
      </c>
      <c r="DE9" s="675">
        <v>259.41287370358714</v>
      </c>
      <c r="DF9" s="675">
        <v>0</v>
      </c>
      <c r="DG9" s="321">
        <v>-5837.1779211367793</v>
      </c>
      <c r="DH9" s="40">
        <v>24218.184886523763</v>
      </c>
      <c r="DI9" s="422">
        <v>2125.1771262964135</v>
      </c>
      <c r="DJ9" s="306">
        <v>5.7005824203229967</v>
      </c>
      <c r="DK9" s="306">
        <v>5.7005824203229967</v>
      </c>
      <c r="DL9" s="306">
        <v>5.1294110528349899</v>
      </c>
      <c r="DM9" s="28">
        <v>2125.177126296413</v>
      </c>
      <c r="DN9" s="28">
        <v>0</v>
      </c>
      <c r="DO9" s="423">
        <v>2125.177126296413</v>
      </c>
      <c r="DP9" s="94">
        <v>0</v>
      </c>
      <c r="DQ9" s="28">
        <v>2125.177126296413</v>
      </c>
      <c r="DR9" s="318"/>
      <c r="DT9" s="8"/>
      <c r="DU9" s="5"/>
      <c r="DX9" s="5">
        <v>8802.9761594628853</v>
      </c>
      <c r="DY9" s="5">
        <v>33175.644</v>
      </c>
      <c r="DZ9" s="159">
        <v>768.62932443037528</v>
      </c>
      <c r="EB9" s="676">
        <v>-452.85446232638355</v>
      </c>
      <c r="EC9" s="676">
        <v>129.64362449393593</v>
      </c>
      <c r="ED9" s="676">
        <v>-634.85667864416791</v>
      </c>
      <c r="EE9" s="676">
        <v>-386.40181576673649</v>
      </c>
      <c r="EF9" s="676">
        <v>-363.97453648183864</v>
      </c>
      <c r="EG9" s="676">
        <v>-1263.6513371855203</v>
      </c>
      <c r="EH9" s="676">
        <v>-1122.834523311124</v>
      </c>
      <c r="EI9" s="676">
        <v>-449.40419219209002</v>
      </c>
      <c r="EJ9" s="676">
        <v>8662.9315751886315</v>
      </c>
      <c r="EK9" s="676">
        <v>21669.279617600459</v>
      </c>
      <c r="EL9" s="676">
        <v>270.57838600560126</v>
      </c>
      <c r="EM9" s="676">
        <v>-963.76469359136081</v>
      </c>
      <c r="EN9" s="676">
        <v>25094.690963789406</v>
      </c>
      <c r="EQ9" s="5">
        <v>8802.9761594628853</v>
      </c>
      <c r="ER9" s="5">
        <v>33175.644</v>
      </c>
      <c r="ET9" s="318">
        <v>943.22188390476197</v>
      </c>
      <c r="EU9" s="5">
        <v>-4542.399805041543</v>
      </c>
    </row>
    <row r="10" spans="1:151" x14ac:dyDescent="0.3">
      <c r="A10" s="325">
        <v>150000753</v>
      </c>
      <c r="B10" s="41" t="s">
        <v>459</v>
      </c>
      <c r="C10" s="42" t="s">
        <v>240</v>
      </c>
      <c r="D10" s="27">
        <v>5</v>
      </c>
      <c r="E10" s="293">
        <v>1840.7</v>
      </c>
      <c r="F10" s="305">
        <v>1840.7</v>
      </c>
      <c r="G10" s="508">
        <v>0</v>
      </c>
      <c r="H10" s="677">
        <v>0</v>
      </c>
      <c r="I10" s="674">
        <v>6762.4463290474678</v>
      </c>
      <c r="J10" s="40">
        <v>7366.6362686699586</v>
      </c>
      <c r="K10" s="52">
        <v>604.18993962249078</v>
      </c>
      <c r="L10" s="674">
        <v>1635.1220936470686</v>
      </c>
      <c r="M10" s="40">
        <v>1789.7063075434235</v>
      </c>
      <c r="N10" s="52">
        <v>154.58421389635487</v>
      </c>
      <c r="O10" s="674">
        <v>2310.1068338514292</v>
      </c>
      <c r="P10" s="40">
        <v>2310.0700000000006</v>
      </c>
      <c r="Q10" s="52">
        <v>-3.683385142858242E-2</v>
      </c>
      <c r="R10" s="674">
        <v>0</v>
      </c>
      <c r="S10" s="40">
        <v>0</v>
      </c>
      <c r="T10" s="52">
        <v>0</v>
      </c>
      <c r="U10" s="674">
        <v>0</v>
      </c>
      <c r="V10" s="40">
        <v>0</v>
      </c>
      <c r="W10" s="52">
        <v>0</v>
      </c>
      <c r="X10" s="674">
        <v>4351.9330723237326</v>
      </c>
      <c r="Y10" s="40">
        <v>3143.8329022888697</v>
      </c>
      <c r="Z10" s="52">
        <v>-1208.1001700348629</v>
      </c>
      <c r="AA10" s="674">
        <v>220.88400000000001</v>
      </c>
      <c r="AB10" s="40">
        <v>0</v>
      </c>
      <c r="AC10" s="52">
        <v>-220.88400000000001</v>
      </c>
      <c r="AD10" s="674">
        <v>7891.9804819217716</v>
      </c>
      <c r="AE10" s="40">
        <v>7820.6222947707256</v>
      </c>
      <c r="AF10" s="35">
        <v>-71.358187151045968</v>
      </c>
      <c r="AG10" s="77">
        <v>23172.472810791471</v>
      </c>
      <c r="AH10" s="53">
        <v>22430.867773272978</v>
      </c>
      <c r="AI10" s="52">
        <v>-741.60503751849319</v>
      </c>
      <c r="AJ10" s="674">
        <v>0</v>
      </c>
      <c r="AK10" s="40">
        <v>0</v>
      </c>
      <c r="AL10" s="52">
        <v>0</v>
      </c>
      <c r="AM10" s="674">
        <v>0</v>
      </c>
      <c r="AN10" s="40">
        <v>0</v>
      </c>
      <c r="AO10" s="52">
        <v>0</v>
      </c>
      <c r="AP10" s="674">
        <v>4047.1514197660686</v>
      </c>
      <c r="AQ10" s="40">
        <v>3410.5274243471986</v>
      </c>
      <c r="AR10" s="52">
        <v>-636.62399541886998</v>
      </c>
      <c r="AS10" s="674">
        <v>23459.614395143137</v>
      </c>
      <c r="AT10" s="40">
        <v>569</v>
      </c>
      <c r="AU10" s="54">
        <v>-22890.614395143137</v>
      </c>
      <c r="AV10" s="674">
        <v>1712.0469343468433</v>
      </c>
      <c r="AW10" s="40">
        <v>1664</v>
      </c>
      <c r="AX10" s="55">
        <v>-48.046934346843273</v>
      </c>
      <c r="AY10" s="674">
        <v>2680.5205029883023</v>
      </c>
      <c r="AZ10" s="40">
        <v>33</v>
      </c>
      <c r="BA10" s="35">
        <v>-2647.5205029883023</v>
      </c>
      <c r="BB10" s="674">
        <v>1278.8136500027638</v>
      </c>
      <c r="BC10" s="40">
        <v>0</v>
      </c>
      <c r="BD10" s="55">
        <v>-1278.8136500027638</v>
      </c>
      <c r="BE10" s="674">
        <v>0</v>
      </c>
      <c r="BF10" s="40">
        <v>0</v>
      </c>
      <c r="BG10" s="38">
        <v>0</v>
      </c>
      <c r="BH10" s="674">
        <v>0</v>
      </c>
      <c r="BI10" s="40">
        <v>0</v>
      </c>
      <c r="BJ10" s="55">
        <v>0</v>
      </c>
      <c r="BK10" s="674">
        <v>942.24486432531387</v>
      </c>
      <c r="BL10" s="40">
        <v>0</v>
      </c>
      <c r="BM10" s="38">
        <v>-942.24486432531387</v>
      </c>
      <c r="BN10" s="674">
        <v>372.97886066839845</v>
      </c>
      <c r="BO10" s="40">
        <v>0</v>
      </c>
      <c r="BP10" s="55">
        <v>-372.97886066839845</v>
      </c>
      <c r="BQ10" s="77">
        <v>6986.6048123316223</v>
      </c>
      <c r="BR10" s="40">
        <v>1697</v>
      </c>
      <c r="BS10" s="55">
        <v>-5289.6048123316223</v>
      </c>
      <c r="BT10" s="674">
        <v>13822.87883336535</v>
      </c>
      <c r="BU10" s="40">
        <v>19599.299272279888</v>
      </c>
      <c r="BV10" s="52">
        <v>5776.420438914538</v>
      </c>
      <c r="BW10" s="674">
        <v>13134.589469633134</v>
      </c>
      <c r="BX10" s="40">
        <v>12140.134017635684</v>
      </c>
      <c r="BY10" s="52">
        <v>-994.45545199744993</v>
      </c>
      <c r="BZ10" s="674">
        <v>8850.4774386610461</v>
      </c>
      <c r="CA10" s="40">
        <v>4121.8934439175109</v>
      </c>
      <c r="CB10" s="52">
        <v>-4728.5839947435352</v>
      </c>
      <c r="CC10" s="674">
        <v>1088.2479419257804</v>
      </c>
      <c r="CD10" s="40">
        <v>1143.7715046747219</v>
      </c>
      <c r="CE10" s="52">
        <v>55.523562748941458</v>
      </c>
      <c r="CF10" s="674">
        <v>133.00638621094836</v>
      </c>
      <c r="CG10" s="40">
        <v>0</v>
      </c>
      <c r="CH10" s="52">
        <v>-133.00638621094836</v>
      </c>
      <c r="CI10" s="674">
        <v>1908.0803739288929</v>
      </c>
      <c r="CJ10" s="40">
        <v>1295.2481190632318</v>
      </c>
      <c r="CK10" s="52">
        <v>-612.83225486566107</v>
      </c>
      <c r="CL10" s="674">
        <v>0</v>
      </c>
      <c r="CM10" s="40">
        <v>0</v>
      </c>
      <c r="CN10" s="52">
        <v>0</v>
      </c>
      <c r="CO10" s="39">
        <v>1908.0803739288929</v>
      </c>
      <c r="CP10" s="40">
        <v>1295.2481190632318</v>
      </c>
      <c r="CQ10" s="52">
        <v>-612.83225486566107</v>
      </c>
      <c r="CR10" s="72">
        <v>96603.123881757478</v>
      </c>
      <c r="CS10" s="5">
        <v>66407.741555191213</v>
      </c>
      <c r="CT10" s="52">
        <v>-30195.382326566265</v>
      </c>
      <c r="CU10" s="77">
        <v>115923.74865810898</v>
      </c>
      <c r="CV10" s="65">
        <v>79689.289866229446</v>
      </c>
      <c r="CW10" s="35">
        <v>-36234.45879187953</v>
      </c>
      <c r="CX10" s="73">
        <v>2955.4421119837721</v>
      </c>
      <c r="CY10" s="40">
        <v>39189.900903863243</v>
      </c>
      <c r="CZ10" s="52">
        <v>36234.458791879471</v>
      </c>
      <c r="DA10" s="150">
        <v>53534.572068238667</v>
      </c>
      <c r="DB10" s="2">
        <v>2</v>
      </c>
      <c r="DC10" s="675">
        <v>12462.02</v>
      </c>
      <c r="DD10" s="675">
        <v>0</v>
      </c>
      <c r="DE10" s="675">
        <v>2050.4613221551226</v>
      </c>
      <c r="DF10" s="675">
        <v>0</v>
      </c>
      <c r="DG10" s="321">
        <v>89769.030860118131</v>
      </c>
      <c r="DH10" s="40">
        <v>118870.15262183742</v>
      </c>
      <c r="DI10" s="422">
        <v>10411.558677844878</v>
      </c>
      <c r="DJ10" s="306">
        <v>5.65630394841358</v>
      </c>
      <c r="DK10" s="306">
        <v>5.65630394841358</v>
      </c>
      <c r="DL10" s="306">
        <v>4.8573719650353837</v>
      </c>
      <c r="DM10" s="28">
        <v>10411.558677844878</v>
      </c>
      <c r="DN10" s="28">
        <v>0</v>
      </c>
      <c r="DO10" s="423">
        <v>10411.558677844878</v>
      </c>
      <c r="DP10" s="94">
        <v>0</v>
      </c>
      <c r="DQ10" s="28">
        <v>10411.558677844878</v>
      </c>
      <c r="DR10" s="318"/>
      <c r="DT10" s="8"/>
      <c r="DU10" s="5"/>
      <c r="DX10" s="5">
        <v>36535.463048969708</v>
      </c>
      <c r="DY10" s="5">
        <v>2719.2</v>
      </c>
      <c r="DZ10" s="159">
        <v>3283.549403027404</v>
      </c>
      <c r="EB10" s="676">
        <v>494.00204768222375</v>
      </c>
      <c r="EC10" s="676">
        <v>-2096.508337588326</v>
      </c>
      <c r="ED10" s="676">
        <v>-1417.8583795727463</v>
      </c>
      <c r="EE10" s="676">
        <v>-2983.8898249760714</v>
      </c>
      <c r="EF10" s="676">
        <v>-2774.8943293227885</v>
      </c>
      <c r="EG10" s="676">
        <v>-6710.8307183573252</v>
      </c>
      <c r="EH10" s="676">
        <v>-4142.2648662519232</v>
      </c>
      <c r="EI10" s="676">
        <v>-3735.2308407881274</v>
      </c>
      <c r="EJ10" s="676">
        <v>-2570.4527654103822</v>
      </c>
      <c r="EK10" s="676">
        <v>-1259.1601580246606</v>
      </c>
      <c r="EL10" s="676">
        <v>-3958.2605298862818</v>
      </c>
      <c r="EM10" s="676">
        <v>-5079.1100893830562</v>
      </c>
      <c r="EN10" s="676">
        <v>-36234.458791879464</v>
      </c>
      <c r="EQ10" s="5">
        <v>36535.463048969708</v>
      </c>
      <c r="ER10" s="5">
        <v>2719.2</v>
      </c>
      <c r="ET10" s="318">
        <v>104298.65799119105</v>
      </c>
      <c r="EU10" s="5">
        <v>-19846.627131072939</v>
      </c>
    </row>
    <row r="11" spans="1:151" x14ac:dyDescent="0.3">
      <c r="A11" s="325">
        <v>150000754</v>
      </c>
      <c r="B11" s="41" t="s">
        <v>460</v>
      </c>
      <c r="C11" s="42" t="s">
        <v>241</v>
      </c>
      <c r="D11" s="27">
        <v>5</v>
      </c>
      <c r="E11" s="293">
        <v>2805.68</v>
      </c>
      <c r="F11" s="305">
        <v>2805.68</v>
      </c>
      <c r="G11" s="508">
        <v>0</v>
      </c>
      <c r="H11" s="677">
        <v>0</v>
      </c>
      <c r="I11" s="674">
        <v>10082.103996748992</v>
      </c>
      <c r="J11" s="40">
        <v>11016.772269086317</v>
      </c>
      <c r="K11" s="52">
        <v>934.66827233732511</v>
      </c>
      <c r="L11" s="674">
        <v>1942.5347318807126</v>
      </c>
      <c r="M11" s="40">
        <v>2126.1820914824029</v>
      </c>
      <c r="N11" s="52">
        <v>183.64735960169037</v>
      </c>
      <c r="O11" s="674">
        <v>3705.2368541145001</v>
      </c>
      <c r="P11" s="40">
        <v>3706.2299999999991</v>
      </c>
      <c r="Q11" s="52">
        <v>0.99314588549896143</v>
      </c>
      <c r="R11" s="674">
        <v>0</v>
      </c>
      <c r="S11" s="40">
        <v>0</v>
      </c>
      <c r="T11" s="52">
        <v>0</v>
      </c>
      <c r="U11" s="674">
        <v>650.02174156792057</v>
      </c>
      <c r="V11" s="40">
        <v>2195.5686372937616</v>
      </c>
      <c r="W11" s="52">
        <v>1545.5468957258411</v>
      </c>
      <c r="X11" s="674">
        <v>6184.3160690816185</v>
      </c>
      <c r="Y11" s="40">
        <v>5203.9628341617999</v>
      </c>
      <c r="Z11" s="52">
        <v>-980.35323491981853</v>
      </c>
      <c r="AA11" s="674">
        <v>337.05360000000002</v>
      </c>
      <c r="AB11" s="40">
        <v>0</v>
      </c>
      <c r="AC11" s="52">
        <v>-337.05360000000002</v>
      </c>
      <c r="AD11" s="674">
        <v>12032.6870153294</v>
      </c>
      <c r="AE11" s="40">
        <v>11921.705622779595</v>
      </c>
      <c r="AF11" s="35">
        <v>-110.98139254980561</v>
      </c>
      <c r="AG11" s="77">
        <v>34933.954008723143</v>
      </c>
      <c r="AH11" s="53">
        <v>36170.421454803873</v>
      </c>
      <c r="AI11" s="52">
        <v>1236.4674460807291</v>
      </c>
      <c r="AJ11" s="674">
        <v>0</v>
      </c>
      <c r="AK11" s="40">
        <v>0</v>
      </c>
      <c r="AL11" s="52">
        <v>0</v>
      </c>
      <c r="AM11" s="674">
        <v>0</v>
      </c>
      <c r="AN11" s="40">
        <v>0</v>
      </c>
      <c r="AO11" s="52">
        <v>0</v>
      </c>
      <c r="AP11" s="674">
        <v>4856.5817037192819</v>
      </c>
      <c r="AQ11" s="40">
        <v>6075.6276425306642</v>
      </c>
      <c r="AR11" s="52">
        <v>1219.0459388113823</v>
      </c>
      <c r="AS11" s="674">
        <v>46007.290770198451</v>
      </c>
      <c r="AT11" s="40">
        <v>81272.051019970109</v>
      </c>
      <c r="AU11" s="54">
        <v>35264.760249771658</v>
      </c>
      <c r="AV11" s="674">
        <v>2328.1587231093076</v>
      </c>
      <c r="AW11" s="40">
        <v>883</v>
      </c>
      <c r="AX11" s="55">
        <v>-1445.1587231093076</v>
      </c>
      <c r="AY11" s="674">
        <v>3184.3734628698135</v>
      </c>
      <c r="AZ11" s="40">
        <v>0</v>
      </c>
      <c r="BA11" s="35">
        <v>-3184.3734628698135</v>
      </c>
      <c r="BB11" s="674">
        <v>1794.246737950939</v>
      </c>
      <c r="BC11" s="40">
        <v>0</v>
      </c>
      <c r="BD11" s="55">
        <v>-1794.246737950939</v>
      </c>
      <c r="BE11" s="674">
        <v>0</v>
      </c>
      <c r="BF11" s="40">
        <v>0</v>
      </c>
      <c r="BG11" s="38">
        <v>0</v>
      </c>
      <c r="BH11" s="674">
        <v>1109.648866209001</v>
      </c>
      <c r="BI11" s="40">
        <v>0</v>
      </c>
      <c r="BJ11" s="55">
        <v>-1109.648866209001</v>
      </c>
      <c r="BK11" s="674">
        <v>1439.1536835975535</v>
      </c>
      <c r="BL11" s="40">
        <v>0</v>
      </c>
      <c r="BM11" s="38">
        <v>-1439.1536835975535</v>
      </c>
      <c r="BN11" s="674">
        <v>84.263400000000004</v>
      </c>
      <c r="BO11" s="40">
        <v>0</v>
      </c>
      <c r="BP11" s="55">
        <v>-84.263400000000004</v>
      </c>
      <c r="BQ11" s="77">
        <v>9939.8448737366143</v>
      </c>
      <c r="BR11" s="40">
        <v>883</v>
      </c>
      <c r="BS11" s="55">
        <v>-9056.8448737366143</v>
      </c>
      <c r="BT11" s="674">
        <v>24706.106413839669</v>
      </c>
      <c r="BU11" s="40">
        <v>30577.048966466667</v>
      </c>
      <c r="BV11" s="52">
        <v>5870.9425526269988</v>
      </c>
      <c r="BW11" s="674">
        <v>15078.794806708833</v>
      </c>
      <c r="BX11" s="40">
        <v>15005.770759653342</v>
      </c>
      <c r="BY11" s="52">
        <v>-73.024047055490882</v>
      </c>
      <c r="BZ11" s="674">
        <v>10683.60953418898</v>
      </c>
      <c r="CA11" s="40">
        <v>7022.4834164495878</v>
      </c>
      <c r="CB11" s="52">
        <v>-3661.1261177393917</v>
      </c>
      <c r="CC11" s="674">
        <v>1596.5230915126688</v>
      </c>
      <c r="CD11" s="40">
        <v>1677.9793907957808</v>
      </c>
      <c r="CE11" s="52">
        <v>81.456299283112003</v>
      </c>
      <c r="CF11" s="674">
        <v>195.12811255921815</v>
      </c>
      <c r="CG11" s="40">
        <v>847.43648595108107</v>
      </c>
      <c r="CH11" s="52">
        <v>652.30837339186292</v>
      </c>
      <c r="CI11" s="674">
        <v>9252.2456536812624</v>
      </c>
      <c r="CJ11" s="40">
        <v>9232.0583657287025</v>
      </c>
      <c r="CK11" s="52">
        <v>-20.187287952559927</v>
      </c>
      <c r="CL11" s="674">
        <v>0</v>
      </c>
      <c r="CM11" s="40">
        <v>0</v>
      </c>
      <c r="CN11" s="52">
        <v>0</v>
      </c>
      <c r="CO11" s="39">
        <v>9252.2456536812624</v>
      </c>
      <c r="CP11" s="40">
        <v>9232.0583657287025</v>
      </c>
      <c r="CQ11" s="52">
        <v>-20.187287952559927</v>
      </c>
      <c r="CR11" s="72">
        <v>157250.07896886813</v>
      </c>
      <c r="CS11" s="5">
        <v>188763.87750234982</v>
      </c>
      <c r="CT11" s="52">
        <v>31513.798533481691</v>
      </c>
      <c r="CU11" s="77">
        <v>188700.09476264173</v>
      </c>
      <c r="CV11" s="65">
        <v>226516.65300281977</v>
      </c>
      <c r="CW11" s="35">
        <v>37816.558240178041</v>
      </c>
      <c r="CX11" s="73">
        <v>9156.5726925483068</v>
      </c>
      <c r="CY11" s="40">
        <v>-28659.985547629716</v>
      </c>
      <c r="CZ11" s="52">
        <v>-37816.558240178027</v>
      </c>
      <c r="DA11" s="150">
        <v>-4152.3396421571233</v>
      </c>
      <c r="DB11" s="2">
        <v>2</v>
      </c>
      <c r="DC11" s="675">
        <v>65882.710000000006</v>
      </c>
      <c r="DD11" s="675">
        <v>0</v>
      </c>
      <c r="DE11" s="675">
        <v>48684.011893783623</v>
      </c>
      <c r="DF11" s="675">
        <v>0</v>
      </c>
      <c r="DG11" s="321">
        <v>-41968.897882335135</v>
      </c>
      <c r="DH11" s="40">
        <v>197841.20545205107</v>
      </c>
      <c r="DI11" s="422">
        <v>17198.69810621638</v>
      </c>
      <c r="DJ11" s="306">
        <v>6.1299571249096054</v>
      </c>
      <c r="DK11" s="306">
        <v>6.1299571249096054</v>
      </c>
      <c r="DL11" s="306">
        <v>5.5157034613044331</v>
      </c>
      <c r="DM11" s="28">
        <v>17198.69810621638</v>
      </c>
      <c r="DN11" s="28">
        <v>0</v>
      </c>
      <c r="DO11" s="423">
        <v>17198.69810621638</v>
      </c>
      <c r="DP11" s="94">
        <v>0</v>
      </c>
      <c r="DQ11" s="28">
        <v>17198.69810621638</v>
      </c>
      <c r="DR11" s="318"/>
      <c r="DT11" s="8"/>
      <c r="DU11" s="5"/>
      <c r="DX11" s="5">
        <v>67136.562772722071</v>
      </c>
      <c r="DY11" s="5">
        <v>98586.061223964134</v>
      </c>
      <c r="DZ11" s="159">
        <v>5719.9618627942518</v>
      </c>
      <c r="EB11" s="676">
        <v>-2752.7020620172625</v>
      </c>
      <c r="EC11" s="676">
        <v>-4797.6665881103199</v>
      </c>
      <c r="ED11" s="676">
        <v>-4986.6126803374718</v>
      </c>
      <c r="EE11" s="676">
        <v>-6353.4654087657727</v>
      </c>
      <c r="EF11" s="676">
        <v>-7857.9677491073526</v>
      </c>
      <c r="EG11" s="676">
        <v>18046.540048209652</v>
      </c>
      <c r="EH11" s="676">
        <v>-6246.3010577977821</v>
      </c>
      <c r="EI11" s="676">
        <v>-5359.2543299795379</v>
      </c>
      <c r="EJ11" s="676">
        <v>-3539.570113876789</v>
      </c>
      <c r="EK11" s="676">
        <v>7361.4895325125581</v>
      </c>
      <c r="EL11" s="676">
        <v>55802.31208320416</v>
      </c>
      <c r="EM11" s="676">
        <v>-1500.2434337560662</v>
      </c>
      <c r="EN11" s="676">
        <v>37816.558240178012</v>
      </c>
      <c r="EQ11" s="5">
        <v>67136.562772722071</v>
      </c>
      <c r="ER11" s="5">
        <v>98586.061223964134</v>
      </c>
      <c r="ET11" s="318">
        <v>-43056.738520082312</v>
      </c>
      <c r="EU11" s="5">
        <v>9339.8406377471874</v>
      </c>
    </row>
    <row r="12" spans="1:151" x14ac:dyDescent="0.3">
      <c r="A12" s="325">
        <v>150000702</v>
      </c>
      <c r="B12" s="41" t="s">
        <v>461</v>
      </c>
      <c r="C12" s="42" t="s">
        <v>339</v>
      </c>
      <c r="D12" s="27">
        <v>9</v>
      </c>
      <c r="E12" s="293">
        <v>6095.61</v>
      </c>
      <c r="F12" s="305">
        <v>6095.61</v>
      </c>
      <c r="G12" s="508">
        <v>601.05999999999995</v>
      </c>
      <c r="H12" s="677">
        <v>0</v>
      </c>
      <c r="I12" s="674">
        <v>21271.088408306317</v>
      </c>
      <c r="J12" s="40">
        <v>20200.603248516014</v>
      </c>
      <c r="K12" s="52">
        <v>-1070.4851597903034</v>
      </c>
      <c r="L12" s="674">
        <v>4077.5083911322736</v>
      </c>
      <c r="M12" s="40">
        <v>3896.6490055992817</v>
      </c>
      <c r="N12" s="52">
        <v>-180.85938553299184</v>
      </c>
      <c r="O12" s="674">
        <v>7498.3424102510198</v>
      </c>
      <c r="P12" s="40">
        <v>7498.9250000000011</v>
      </c>
      <c r="Q12" s="52">
        <v>0.58258974898126326</v>
      </c>
      <c r="R12" s="674">
        <v>1807.5861827543995</v>
      </c>
      <c r="S12" s="40">
        <v>1807.2950000000001</v>
      </c>
      <c r="T12" s="52">
        <v>-0.29118275439941499</v>
      </c>
      <c r="U12" s="674">
        <v>1072.4056650520611</v>
      </c>
      <c r="V12" s="40">
        <v>728.23875918198814</v>
      </c>
      <c r="W12" s="52">
        <v>-344.16690587007292</v>
      </c>
      <c r="X12" s="674">
        <v>11436.538813650097</v>
      </c>
      <c r="Y12" s="40">
        <v>9370.7748964318016</v>
      </c>
      <c r="Z12" s="52">
        <v>-2065.7639172182953</v>
      </c>
      <c r="AA12" s="674">
        <v>731.4588</v>
      </c>
      <c r="AB12" s="40">
        <v>0</v>
      </c>
      <c r="AC12" s="52">
        <v>-731.4588</v>
      </c>
      <c r="AD12" s="674">
        <v>26134.789253345269</v>
      </c>
      <c r="AE12" s="40">
        <v>25898.378589258798</v>
      </c>
      <c r="AF12" s="35">
        <v>-236.41066408647021</v>
      </c>
      <c r="AG12" s="77">
        <v>74029.717924491444</v>
      </c>
      <c r="AH12" s="53">
        <v>69400.864498987881</v>
      </c>
      <c r="AI12" s="52">
        <v>-4628.8534255035629</v>
      </c>
      <c r="AJ12" s="674">
        <v>59087.261901477847</v>
      </c>
      <c r="AK12" s="40">
        <v>58699.229283527355</v>
      </c>
      <c r="AL12" s="52">
        <v>-388.03261795049184</v>
      </c>
      <c r="AM12" s="674">
        <v>0</v>
      </c>
      <c r="AN12" s="40">
        <v>0</v>
      </c>
      <c r="AO12" s="52">
        <v>0</v>
      </c>
      <c r="AP12" s="674">
        <v>4721.6766563937463</v>
      </c>
      <c r="AQ12" s="40">
        <v>4000.6972543352604</v>
      </c>
      <c r="AR12" s="52">
        <v>-720.9794020584859</v>
      </c>
      <c r="AS12" s="674">
        <v>103518.04216664133</v>
      </c>
      <c r="AT12" s="40">
        <v>14679</v>
      </c>
      <c r="AU12" s="54">
        <v>-88839.042166641331</v>
      </c>
      <c r="AV12" s="674">
        <v>3221.2408843025137</v>
      </c>
      <c r="AW12" s="40">
        <v>0</v>
      </c>
      <c r="AX12" s="55">
        <v>-3221.2408843025137</v>
      </c>
      <c r="AY12" s="674">
        <v>3936.1101471247403</v>
      </c>
      <c r="AZ12" s="40">
        <v>0</v>
      </c>
      <c r="BA12" s="35">
        <v>-3936.1101471247403</v>
      </c>
      <c r="BB12" s="674">
        <v>2320.9734024476097</v>
      </c>
      <c r="BC12" s="40">
        <v>0</v>
      </c>
      <c r="BD12" s="55">
        <v>-2320.9734024476097</v>
      </c>
      <c r="BE12" s="674">
        <v>2489.8659039868508</v>
      </c>
      <c r="BF12" s="40">
        <v>0</v>
      </c>
      <c r="BG12" s="38">
        <v>-2489.8659039868508</v>
      </c>
      <c r="BH12" s="674">
        <v>1207.5068961463626</v>
      </c>
      <c r="BI12" s="40">
        <v>0</v>
      </c>
      <c r="BJ12" s="55">
        <v>-1207.5068961463626</v>
      </c>
      <c r="BK12" s="674">
        <v>2413.8249899557422</v>
      </c>
      <c r="BL12" s="40">
        <v>1183</v>
      </c>
      <c r="BM12" s="38">
        <v>-1230.8249899557422</v>
      </c>
      <c r="BN12" s="674">
        <v>182.8647</v>
      </c>
      <c r="BO12" s="40">
        <v>0</v>
      </c>
      <c r="BP12" s="55">
        <v>-182.8647</v>
      </c>
      <c r="BQ12" s="77">
        <v>15772.386923963817</v>
      </c>
      <c r="BR12" s="40">
        <v>1183</v>
      </c>
      <c r="BS12" s="55">
        <v>-14589.386923963817</v>
      </c>
      <c r="BT12" s="674">
        <v>61220.054256666037</v>
      </c>
      <c r="BU12" s="40">
        <v>52284.74345651146</v>
      </c>
      <c r="BV12" s="52">
        <v>-8935.310800154577</v>
      </c>
      <c r="BW12" s="674">
        <v>53608.106911624498</v>
      </c>
      <c r="BX12" s="40">
        <v>47547.685205936446</v>
      </c>
      <c r="BY12" s="52">
        <v>-6060.4217056880516</v>
      </c>
      <c r="BZ12" s="674">
        <v>7307.0057984765936</v>
      </c>
      <c r="CA12" s="40">
        <v>8423.1888923188926</v>
      </c>
      <c r="CB12" s="52">
        <v>1116.1830938422991</v>
      </c>
      <c r="CC12" s="674">
        <v>2066.2664309475995</v>
      </c>
      <c r="CD12" s="40">
        <v>2160.4897395502853</v>
      </c>
      <c r="CE12" s="52">
        <v>94.223308602685847</v>
      </c>
      <c r="CF12" s="674">
        <v>251.23805893830061</v>
      </c>
      <c r="CG12" s="40">
        <v>1663.3372303883007</v>
      </c>
      <c r="CH12" s="52">
        <v>1412.0991714500001</v>
      </c>
      <c r="CI12" s="674">
        <v>14345.543480521897</v>
      </c>
      <c r="CJ12" s="40">
        <v>12360.782503218452</v>
      </c>
      <c r="CK12" s="52">
        <v>-1984.7609773034455</v>
      </c>
      <c r="CL12" s="674">
        <v>21539.374461607182</v>
      </c>
      <c r="CM12" s="40">
        <v>18536.564480946123</v>
      </c>
      <c r="CN12" s="52">
        <v>-3002.8099806610589</v>
      </c>
      <c r="CO12" s="39">
        <v>35884.917942129076</v>
      </c>
      <c r="CP12" s="40">
        <v>30897.346984164575</v>
      </c>
      <c r="CQ12" s="52">
        <v>-4987.5709579645008</v>
      </c>
      <c r="CR12" s="72">
        <v>417466.67497175024</v>
      </c>
      <c r="CS12" s="5">
        <v>290939.58254572045</v>
      </c>
      <c r="CT12" s="52">
        <v>-126527.09242602979</v>
      </c>
      <c r="CU12" s="77">
        <v>500960.00996610028</v>
      </c>
      <c r="CV12" s="65">
        <v>349127.49905486451</v>
      </c>
      <c r="CW12" s="35">
        <v>-151832.51091123576</v>
      </c>
      <c r="CX12" s="73">
        <v>11217.325596701088</v>
      </c>
      <c r="CY12" s="40">
        <v>163049.83650793703</v>
      </c>
      <c r="CZ12" s="52">
        <v>151832.51091123594</v>
      </c>
      <c r="DA12" s="150">
        <v>-87420.694721064239</v>
      </c>
      <c r="DB12" s="2">
        <v>3</v>
      </c>
      <c r="DC12" s="675">
        <v>94043.17</v>
      </c>
      <c r="DD12" s="675">
        <v>0</v>
      </c>
      <c r="DE12" s="675">
        <v>49338.251581092532</v>
      </c>
      <c r="DF12" s="675">
        <v>0</v>
      </c>
      <c r="DG12" s="321">
        <v>63391.816190171667</v>
      </c>
      <c r="DH12" s="40">
        <v>512137.90433524008</v>
      </c>
      <c r="DI12" s="422">
        <v>44704.918418907473</v>
      </c>
      <c r="DJ12" s="306">
        <v>5.9482476944041096</v>
      </c>
      <c r="DK12" s="306">
        <v>7.4855383352065115</v>
      </c>
      <c r="DL12" s="306">
        <v>4.9623037621392525</v>
      </c>
      <c r="DM12" s="28">
        <v>44704.918418907466</v>
      </c>
      <c r="DN12" s="28">
        <v>0</v>
      </c>
      <c r="DO12" s="423">
        <v>44704.918418907466</v>
      </c>
      <c r="DP12" s="94">
        <v>0</v>
      </c>
      <c r="DQ12" s="28">
        <v>44704.918418907466</v>
      </c>
      <c r="DR12" s="318"/>
      <c r="DT12" s="8"/>
      <c r="DU12" s="5"/>
      <c r="DX12" s="5">
        <v>143148.51490872618</v>
      </c>
      <c r="DY12" s="5">
        <v>19034.399999999998</v>
      </c>
      <c r="DZ12" s="159">
        <v>12444.593083311318</v>
      </c>
      <c r="EB12" s="676">
        <v>-43.849898228232632</v>
      </c>
      <c r="EC12" s="676">
        <v>-4756.5453083683424</v>
      </c>
      <c r="ED12" s="676">
        <v>-10435.103350707319</v>
      </c>
      <c r="EE12" s="676">
        <v>-14539.587501819136</v>
      </c>
      <c r="EF12" s="676">
        <v>-13330.127880654767</v>
      </c>
      <c r="EG12" s="676">
        <v>-14912.927616707289</v>
      </c>
      <c r="EH12" s="676">
        <v>-15931.943613535888</v>
      </c>
      <c r="EI12" s="676">
        <v>-17188.320650814811</v>
      </c>
      <c r="EJ12" s="676">
        <v>-10677.893649223137</v>
      </c>
      <c r="EK12" s="676">
        <v>-12720.399461259065</v>
      </c>
      <c r="EL12" s="676">
        <v>-15600.942601642622</v>
      </c>
      <c r="EM12" s="676">
        <v>-20674.869378275296</v>
      </c>
      <c r="EN12" s="676">
        <v>-150812.51091123591</v>
      </c>
      <c r="EQ12" s="5">
        <v>143148.51490872618</v>
      </c>
      <c r="ER12" s="5">
        <v>19034.399999999998</v>
      </c>
      <c r="ET12" s="318">
        <v>172275.17398295092</v>
      </c>
      <c r="EU12" s="5">
        <v>-43579.357792779265</v>
      </c>
    </row>
    <row r="13" spans="1:151" x14ac:dyDescent="0.3">
      <c r="A13" s="325">
        <v>150000703</v>
      </c>
      <c r="B13" s="41" t="s">
        <v>462</v>
      </c>
      <c r="C13" s="42" t="s">
        <v>340</v>
      </c>
      <c r="D13" s="27">
        <v>9</v>
      </c>
      <c r="E13" s="293">
        <v>6316</v>
      </c>
      <c r="F13" s="305">
        <v>6316</v>
      </c>
      <c r="G13" s="508">
        <v>712.5</v>
      </c>
      <c r="H13" s="677">
        <v>0</v>
      </c>
      <c r="I13" s="674">
        <v>20971.141487091299</v>
      </c>
      <c r="J13" s="40">
        <v>20168.082109348936</v>
      </c>
      <c r="K13" s="52">
        <v>-803.05937774236372</v>
      </c>
      <c r="L13" s="674">
        <v>4027.8326501880538</v>
      </c>
      <c r="M13" s="40">
        <v>3849.1865137637419</v>
      </c>
      <c r="N13" s="52">
        <v>-178.64613642431186</v>
      </c>
      <c r="O13" s="674">
        <v>7879.8024399836204</v>
      </c>
      <c r="P13" s="40">
        <v>7879.9350000000013</v>
      </c>
      <c r="Q13" s="52">
        <v>0.1325600163809213</v>
      </c>
      <c r="R13" s="674">
        <v>1835.8655648054448</v>
      </c>
      <c r="S13" s="40">
        <v>1836.5299999999995</v>
      </c>
      <c r="T13" s="52">
        <v>0.66443519455469868</v>
      </c>
      <c r="U13" s="674">
        <v>1072.4056650520611</v>
      </c>
      <c r="V13" s="40">
        <v>728.23875918198814</v>
      </c>
      <c r="W13" s="52">
        <v>-344.16690587007292</v>
      </c>
      <c r="X13" s="674">
        <v>13153.102886629333</v>
      </c>
      <c r="Y13" s="40">
        <v>10765.348819799634</v>
      </c>
      <c r="Z13" s="52">
        <v>-2387.7540668296988</v>
      </c>
      <c r="AA13" s="674">
        <v>757.99200000000008</v>
      </c>
      <c r="AB13" s="40">
        <v>0</v>
      </c>
      <c r="AC13" s="52">
        <v>-757.99200000000008</v>
      </c>
      <c r="AD13" s="674">
        <v>27080.494577416848</v>
      </c>
      <c r="AE13" s="40">
        <v>26834.927154762805</v>
      </c>
      <c r="AF13" s="35">
        <v>-245.56742265404318</v>
      </c>
      <c r="AG13" s="77">
        <v>76778.637271166663</v>
      </c>
      <c r="AH13" s="53">
        <v>72062.248356857104</v>
      </c>
      <c r="AI13" s="52">
        <v>-4716.3889143095585</v>
      </c>
      <c r="AJ13" s="674">
        <v>59087.261901477847</v>
      </c>
      <c r="AK13" s="40">
        <v>58699.229283527355</v>
      </c>
      <c r="AL13" s="52">
        <v>-388.03261795049184</v>
      </c>
      <c r="AM13" s="674">
        <v>0</v>
      </c>
      <c r="AN13" s="40">
        <v>0</v>
      </c>
      <c r="AO13" s="52">
        <v>0</v>
      </c>
      <c r="AP13" s="674">
        <v>4766.6450055022578</v>
      </c>
      <c r="AQ13" s="40">
        <v>4038.7991329479769</v>
      </c>
      <c r="AR13" s="52">
        <v>-727.84587255428096</v>
      </c>
      <c r="AS13" s="674">
        <v>104229.47859246536</v>
      </c>
      <c r="AT13" s="40">
        <v>50335.617064696926</v>
      </c>
      <c r="AU13" s="54">
        <v>-53893.861527768429</v>
      </c>
      <c r="AV13" s="674">
        <v>3161.4423035952855</v>
      </c>
      <c r="AW13" s="40">
        <v>71</v>
      </c>
      <c r="AX13" s="55">
        <v>-3090.4423035952855</v>
      </c>
      <c r="AY13" s="674">
        <v>3889.041717378941</v>
      </c>
      <c r="AZ13" s="40">
        <v>1427</v>
      </c>
      <c r="BA13" s="35">
        <v>-2462.041717378941</v>
      </c>
      <c r="BB13" s="674">
        <v>2448.8177298232235</v>
      </c>
      <c r="BC13" s="40">
        <v>0</v>
      </c>
      <c r="BD13" s="55">
        <v>-2448.8177298232235</v>
      </c>
      <c r="BE13" s="674">
        <v>2519.7778900083895</v>
      </c>
      <c r="BF13" s="40">
        <v>0</v>
      </c>
      <c r="BG13" s="38">
        <v>-2519.7778900083895</v>
      </c>
      <c r="BH13" s="674">
        <v>1207.5068961463626</v>
      </c>
      <c r="BI13" s="40">
        <v>15</v>
      </c>
      <c r="BJ13" s="55">
        <v>-1192.5068961463626</v>
      </c>
      <c r="BK13" s="674">
        <v>2282.4908595012994</v>
      </c>
      <c r="BL13" s="40">
        <v>2760</v>
      </c>
      <c r="BM13" s="38">
        <v>477.50914049870062</v>
      </c>
      <c r="BN13" s="674">
        <v>189.49800000000002</v>
      </c>
      <c r="BO13" s="40">
        <v>0</v>
      </c>
      <c r="BP13" s="55">
        <v>-189.49800000000002</v>
      </c>
      <c r="BQ13" s="77">
        <v>15698.575396453503</v>
      </c>
      <c r="BR13" s="40">
        <v>4273</v>
      </c>
      <c r="BS13" s="55">
        <v>-11425.575396453503</v>
      </c>
      <c r="BT13" s="674">
        <v>62230.652990608229</v>
      </c>
      <c r="BU13" s="40">
        <v>54192.940726274042</v>
      </c>
      <c r="BV13" s="52">
        <v>-8037.7122643341863</v>
      </c>
      <c r="BW13" s="674">
        <v>54127.641255541625</v>
      </c>
      <c r="BX13" s="40">
        <v>50340.571425761409</v>
      </c>
      <c r="BY13" s="52">
        <v>-3787.0698297802155</v>
      </c>
      <c r="BZ13" s="674">
        <v>7804.6424198165923</v>
      </c>
      <c r="CA13" s="40">
        <v>9736.8964284968752</v>
      </c>
      <c r="CB13" s="52">
        <v>1932.2540086802828</v>
      </c>
      <c r="CC13" s="674">
        <v>2535.3819825149726</v>
      </c>
      <c r="CD13" s="40">
        <v>2660.5246772426053</v>
      </c>
      <c r="CE13" s="52">
        <v>125.14269472763272</v>
      </c>
      <c r="CF13" s="674">
        <v>309.38589683236177</v>
      </c>
      <c r="CG13" s="40">
        <v>1673.8491442262543</v>
      </c>
      <c r="CH13" s="52">
        <v>1364.4632473938925</v>
      </c>
      <c r="CI13" s="674">
        <v>10304.136257933873</v>
      </c>
      <c r="CJ13" s="40">
        <v>9920.0996637233147</v>
      </c>
      <c r="CK13" s="52">
        <v>-384.03659421055818</v>
      </c>
      <c r="CL13" s="674">
        <v>15449.197436900809</v>
      </c>
      <c r="CM13" s="40">
        <v>14883.316280975594</v>
      </c>
      <c r="CN13" s="52">
        <v>-565.88115592521535</v>
      </c>
      <c r="CO13" s="39">
        <v>25753.333694834684</v>
      </c>
      <c r="CP13" s="40">
        <v>24803.415944698907</v>
      </c>
      <c r="CQ13" s="52">
        <v>-949.91775013577717</v>
      </c>
      <c r="CR13" s="72">
        <v>413321.63640721404</v>
      </c>
      <c r="CS13" s="5">
        <v>332817.09218472941</v>
      </c>
      <c r="CT13" s="52">
        <v>-80504.544222484634</v>
      </c>
      <c r="CU13" s="77">
        <v>495985.9636886568</v>
      </c>
      <c r="CV13" s="65">
        <v>399380.51062167529</v>
      </c>
      <c r="CW13" s="35">
        <v>-96605.453066981514</v>
      </c>
      <c r="CX13" s="73">
        <v>15002.871452759917</v>
      </c>
      <c r="CY13" s="40">
        <v>111608.32451974155</v>
      </c>
      <c r="CZ13" s="52">
        <v>96605.45306698163</v>
      </c>
      <c r="DA13" s="150">
        <v>-124245.1792124659</v>
      </c>
      <c r="DB13" s="2">
        <v>3</v>
      </c>
      <c r="DC13" s="675">
        <v>104687.52</v>
      </c>
      <c r="DD13" s="675">
        <v>0</v>
      </c>
      <c r="DE13" s="675">
        <v>59866.262541240867</v>
      </c>
      <c r="DF13" s="675">
        <v>0</v>
      </c>
      <c r="DG13" s="321">
        <v>-26619.726145484266</v>
      </c>
      <c r="DH13" s="40">
        <v>510950.2304918475</v>
      </c>
      <c r="DI13" s="422">
        <v>44821.257458759137</v>
      </c>
      <c r="DJ13" s="306">
        <v>5.8452632836205494</v>
      </c>
      <c r="DK13" s="306">
        <v>7.2555558792146861</v>
      </c>
      <c r="DL13" s="306">
        <v>4.8749049911248123</v>
      </c>
      <c r="DM13" s="28">
        <v>44821.257458759137</v>
      </c>
      <c r="DN13" s="28">
        <v>0</v>
      </c>
      <c r="DO13" s="423">
        <v>44821.257458759137</v>
      </c>
      <c r="DP13" s="94">
        <v>0</v>
      </c>
      <c r="DQ13" s="28">
        <v>44821.257458759137</v>
      </c>
      <c r="DR13" s="318"/>
      <c r="DT13" s="8"/>
      <c r="DU13" s="5"/>
      <c r="DX13" s="5">
        <v>143913.66478670263</v>
      </c>
      <c r="DY13" s="5">
        <v>65530.34047763631</v>
      </c>
      <c r="DZ13" s="159">
        <v>12465.877527528964</v>
      </c>
      <c r="EB13" s="676">
        <v>-5549.609073049065</v>
      </c>
      <c r="EC13" s="676">
        <v>-5751.1551852986668</v>
      </c>
      <c r="ED13" s="676">
        <v>24813.319468348571</v>
      </c>
      <c r="EE13" s="676">
        <v>-13556.892586466522</v>
      </c>
      <c r="EF13" s="676">
        <v>-11891.062775366896</v>
      </c>
      <c r="EG13" s="676">
        <v>-16029.374158813102</v>
      </c>
      <c r="EH13" s="676">
        <v>-14826.442573383356</v>
      </c>
      <c r="EI13" s="676">
        <v>-12709.746929980291</v>
      </c>
      <c r="EJ13" s="676">
        <v>-9478.3265398130679</v>
      </c>
      <c r="EK13" s="676">
        <v>-5568.2673437604826</v>
      </c>
      <c r="EL13" s="676">
        <v>-11207.386420630166</v>
      </c>
      <c r="EM13" s="676">
        <v>-15870.508948768587</v>
      </c>
      <c r="EN13" s="676">
        <v>-97625.45306698163</v>
      </c>
      <c r="EQ13" s="5">
        <v>143913.66478670263</v>
      </c>
      <c r="ER13" s="5">
        <v>65530.34047763631</v>
      </c>
      <c r="ET13" s="318">
        <v>-30316.545353631536</v>
      </c>
      <c r="EU13" s="5">
        <v>-30787.18079185269</v>
      </c>
    </row>
    <row r="14" spans="1:151" x14ac:dyDescent="0.3">
      <c r="A14" s="325">
        <v>150000781</v>
      </c>
      <c r="B14" s="41" t="s">
        <v>463</v>
      </c>
      <c r="C14" s="42" t="s">
        <v>34</v>
      </c>
      <c r="D14" s="27">
        <v>1</v>
      </c>
      <c r="E14" s="293">
        <v>263.3</v>
      </c>
      <c r="F14" s="305">
        <v>263.3</v>
      </c>
      <c r="G14" s="508">
        <v>0</v>
      </c>
      <c r="H14" s="677">
        <v>0</v>
      </c>
      <c r="I14" s="674">
        <v>0</v>
      </c>
      <c r="J14" s="40">
        <v>0</v>
      </c>
      <c r="K14" s="52">
        <v>0</v>
      </c>
      <c r="L14" s="674">
        <v>0</v>
      </c>
      <c r="M14" s="40">
        <v>0</v>
      </c>
      <c r="N14" s="52">
        <v>0</v>
      </c>
      <c r="O14" s="674">
        <v>0</v>
      </c>
      <c r="P14" s="40">
        <v>0</v>
      </c>
      <c r="Q14" s="52">
        <v>0</v>
      </c>
      <c r="R14" s="674">
        <v>0</v>
      </c>
      <c r="S14" s="40">
        <v>0</v>
      </c>
      <c r="T14" s="52">
        <v>0</v>
      </c>
      <c r="U14" s="674">
        <v>0</v>
      </c>
      <c r="V14" s="40">
        <v>0</v>
      </c>
      <c r="W14" s="52">
        <v>0</v>
      </c>
      <c r="X14" s="674">
        <v>0</v>
      </c>
      <c r="Y14" s="40">
        <v>0</v>
      </c>
      <c r="Z14" s="52">
        <v>0</v>
      </c>
      <c r="AA14" s="674">
        <v>31.596</v>
      </c>
      <c r="AB14" s="40">
        <v>0</v>
      </c>
      <c r="AC14" s="52">
        <v>-31.596</v>
      </c>
      <c r="AD14" s="674">
        <v>237.26976472694662</v>
      </c>
      <c r="AE14" s="40">
        <v>1118.6884610273983</v>
      </c>
      <c r="AF14" s="35">
        <v>881.41869630045164</v>
      </c>
      <c r="AG14" s="77">
        <v>268.86576472694662</v>
      </c>
      <c r="AH14" s="53">
        <v>1118.6884610273983</v>
      </c>
      <c r="AI14" s="52">
        <v>849.82269630045164</v>
      </c>
      <c r="AJ14" s="674">
        <v>0</v>
      </c>
      <c r="AK14" s="40">
        <v>0</v>
      </c>
      <c r="AL14" s="52">
        <v>0</v>
      </c>
      <c r="AM14" s="674">
        <v>0</v>
      </c>
      <c r="AN14" s="40">
        <v>0</v>
      </c>
      <c r="AO14" s="52">
        <v>0</v>
      </c>
      <c r="AP14" s="674">
        <v>404.71514197660667</v>
      </c>
      <c r="AQ14" s="40">
        <v>336.57337442243158</v>
      </c>
      <c r="AR14" s="52">
        <v>-68.14176755417509</v>
      </c>
      <c r="AS14" s="674">
        <v>3288.8972921955615</v>
      </c>
      <c r="AT14" s="40">
        <v>0</v>
      </c>
      <c r="AU14" s="54">
        <v>-3288.8972921955615</v>
      </c>
      <c r="AV14" s="674">
        <v>0</v>
      </c>
      <c r="AW14" s="40">
        <v>0</v>
      </c>
      <c r="AX14" s="55">
        <v>0</v>
      </c>
      <c r="AY14" s="674">
        <v>0</v>
      </c>
      <c r="AZ14" s="40">
        <v>0</v>
      </c>
      <c r="BA14" s="35">
        <v>0</v>
      </c>
      <c r="BB14" s="674">
        <v>0</v>
      </c>
      <c r="BC14" s="40">
        <v>0</v>
      </c>
      <c r="BD14" s="55">
        <v>0</v>
      </c>
      <c r="BE14" s="674">
        <v>0</v>
      </c>
      <c r="BF14" s="40">
        <v>0</v>
      </c>
      <c r="BG14" s="38">
        <v>0</v>
      </c>
      <c r="BH14" s="674">
        <v>0</v>
      </c>
      <c r="BI14" s="40">
        <v>0</v>
      </c>
      <c r="BJ14" s="55">
        <v>0</v>
      </c>
      <c r="BK14" s="674">
        <v>0</v>
      </c>
      <c r="BL14" s="40">
        <v>0</v>
      </c>
      <c r="BM14" s="38">
        <v>0</v>
      </c>
      <c r="BN14" s="674">
        <v>7.899</v>
      </c>
      <c r="BO14" s="40">
        <v>0</v>
      </c>
      <c r="BP14" s="55">
        <v>-7.899</v>
      </c>
      <c r="BQ14" s="77">
        <v>7.899</v>
      </c>
      <c r="BR14" s="40">
        <v>0</v>
      </c>
      <c r="BS14" s="55">
        <v>-7.899</v>
      </c>
      <c r="BT14" s="674">
        <v>0</v>
      </c>
      <c r="BU14" s="40">
        <v>0</v>
      </c>
      <c r="BV14" s="52">
        <v>0</v>
      </c>
      <c r="BW14" s="674">
        <v>0</v>
      </c>
      <c r="BX14" s="40">
        <v>5.9892007679863095</v>
      </c>
      <c r="BY14" s="52">
        <v>5.9892007679863095</v>
      </c>
      <c r="BZ14" s="674">
        <v>0</v>
      </c>
      <c r="CA14" s="40">
        <v>0</v>
      </c>
      <c r="CB14" s="52">
        <v>0</v>
      </c>
      <c r="CC14" s="674">
        <v>0</v>
      </c>
      <c r="CD14" s="40">
        <v>0</v>
      </c>
      <c r="CE14" s="52">
        <v>0</v>
      </c>
      <c r="CF14" s="674">
        <v>0</v>
      </c>
      <c r="CG14" s="40">
        <v>0</v>
      </c>
      <c r="CH14" s="52">
        <v>0</v>
      </c>
      <c r="CI14" s="674">
        <v>0</v>
      </c>
      <c r="CJ14" s="40">
        <v>0</v>
      </c>
      <c r="CK14" s="52">
        <v>0</v>
      </c>
      <c r="CL14" s="674">
        <v>0</v>
      </c>
      <c r="CM14" s="40">
        <v>0</v>
      </c>
      <c r="CN14" s="52">
        <v>0</v>
      </c>
      <c r="CO14" s="39">
        <v>0</v>
      </c>
      <c r="CP14" s="40">
        <v>0</v>
      </c>
      <c r="CQ14" s="52">
        <v>0</v>
      </c>
      <c r="CR14" s="72">
        <v>3970.3771988991148</v>
      </c>
      <c r="CS14" s="5">
        <v>1461.2510362178164</v>
      </c>
      <c r="CT14" s="52">
        <v>-2509.1261626812984</v>
      </c>
      <c r="CU14" s="77">
        <v>4764.4526386789375</v>
      </c>
      <c r="CV14" s="65">
        <v>1753.5012434613795</v>
      </c>
      <c r="CW14" s="35">
        <v>-3010.951395217558</v>
      </c>
      <c r="CX14" s="73">
        <v>219.79666747576655</v>
      </c>
      <c r="CY14" s="40">
        <v>3230.7480626933238</v>
      </c>
      <c r="CZ14" s="52">
        <v>3010.9513952175571</v>
      </c>
      <c r="DA14" s="150">
        <v>-9956.1129278960798</v>
      </c>
      <c r="DB14" s="2">
        <v>3</v>
      </c>
      <c r="DC14" s="675">
        <v>1102.9000000000001</v>
      </c>
      <c r="DD14" s="675">
        <v>0</v>
      </c>
      <c r="DE14" s="675">
        <v>665.43034621612276</v>
      </c>
      <c r="DF14" s="675">
        <v>0</v>
      </c>
      <c r="DG14" s="321">
        <v>-6945.1615326785222</v>
      </c>
      <c r="DH14" s="40">
        <v>4983.8734140899014</v>
      </c>
      <c r="DI14" s="422">
        <v>437.46965378387728</v>
      </c>
      <c r="DJ14" s="306">
        <v>1.6614874811389189</v>
      </c>
      <c r="DK14" s="306">
        <v>1.6614874811389189</v>
      </c>
      <c r="DL14" s="306">
        <v>1.6614874811389189</v>
      </c>
      <c r="DM14" s="28">
        <v>437.46965378387733</v>
      </c>
      <c r="DN14" s="28">
        <v>0</v>
      </c>
      <c r="DO14" s="423">
        <v>437.46965378387733</v>
      </c>
      <c r="DP14" s="94">
        <v>0</v>
      </c>
      <c r="DQ14" s="28">
        <v>437.46965378387733</v>
      </c>
      <c r="DR14" s="318"/>
      <c r="DT14" s="8"/>
      <c r="DU14" s="5"/>
      <c r="DX14" s="5">
        <v>3956.1555506346735</v>
      </c>
      <c r="DY14" s="5">
        <v>0</v>
      </c>
      <c r="DZ14" s="159">
        <v>376.01545370985974</v>
      </c>
      <c r="EB14" s="676">
        <v>38.247885073070051</v>
      </c>
      <c r="EC14" s="676">
        <v>-190.66701722150862</v>
      </c>
      <c r="ED14" s="676">
        <v>-185.89955901179681</v>
      </c>
      <c r="EE14" s="676">
        <v>-339.44253306792029</v>
      </c>
      <c r="EF14" s="676">
        <v>-325.78224224026741</v>
      </c>
      <c r="EG14" s="676">
        <v>-331.07927593749832</v>
      </c>
      <c r="EH14" s="676">
        <v>-132.71263326409843</v>
      </c>
      <c r="EI14" s="676">
        <v>-287.70544094687739</v>
      </c>
      <c r="EJ14" s="676">
        <v>-330.07094349103772</v>
      </c>
      <c r="EK14" s="676">
        <v>-278.79599323628116</v>
      </c>
      <c r="EL14" s="676">
        <v>-312.84883199264476</v>
      </c>
      <c r="EM14" s="676">
        <v>-334.19480988069608</v>
      </c>
      <c r="EN14" s="676">
        <v>-3010.9513952175566</v>
      </c>
      <c r="EQ14" s="5">
        <v>3956.1555506346735</v>
      </c>
      <c r="ER14" s="5">
        <v>0</v>
      </c>
      <c r="ET14" s="318">
        <v>-2052.9980893170737</v>
      </c>
      <c r="EU14" s="5">
        <v>-1857.1634433614472</v>
      </c>
    </row>
    <row r="15" spans="1:151" x14ac:dyDescent="0.3">
      <c r="A15" s="325">
        <v>150000488</v>
      </c>
      <c r="B15" s="41" t="s">
        <v>464</v>
      </c>
      <c r="C15" s="42" t="s">
        <v>35</v>
      </c>
      <c r="D15" s="27">
        <v>1</v>
      </c>
      <c r="E15" s="293">
        <v>317.88</v>
      </c>
      <c r="F15" s="305">
        <v>317.88</v>
      </c>
      <c r="G15" s="508">
        <v>0</v>
      </c>
      <c r="H15" s="677">
        <v>0</v>
      </c>
      <c r="I15" s="674">
        <v>0</v>
      </c>
      <c r="J15" s="40">
        <v>0</v>
      </c>
      <c r="K15" s="52">
        <v>0</v>
      </c>
      <c r="L15" s="674">
        <v>0</v>
      </c>
      <c r="M15" s="40">
        <v>0</v>
      </c>
      <c r="N15" s="52">
        <v>0</v>
      </c>
      <c r="O15" s="674">
        <v>0</v>
      </c>
      <c r="P15" s="40">
        <v>0</v>
      </c>
      <c r="Q15" s="52">
        <v>0</v>
      </c>
      <c r="R15" s="674">
        <v>0</v>
      </c>
      <c r="S15" s="40">
        <v>0</v>
      </c>
      <c r="T15" s="52">
        <v>0</v>
      </c>
      <c r="U15" s="674">
        <v>0</v>
      </c>
      <c r="V15" s="40">
        <v>0</v>
      </c>
      <c r="W15" s="52">
        <v>0</v>
      </c>
      <c r="X15" s="674">
        <v>0</v>
      </c>
      <c r="Y15" s="40">
        <v>0</v>
      </c>
      <c r="Z15" s="52">
        <v>0</v>
      </c>
      <c r="AA15" s="674">
        <v>38.145600000000002</v>
      </c>
      <c r="AB15" s="40">
        <v>0</v>
      </c>
      <c r="AC15" s="52">
        <v>-38.145600000000002</v>
      </c>
      <c r="AD15" s="674">
        <v>286.4295629702836</v>
      </c>
      <c r="AE15" s="40">
        <v>1160.4956891542884</v>
      </c>
      <c r="AF15" s="35">
        <v>874.06612618400482</v>
      </c>
      <c r="AG15" s="77">
        <v>324.5751629702836</v>
      </c>
      <c r="AH15" s="53">
        <v>1160.4956891542884</v>
      </c>
      <c r="AI15" s="52">
        <v>835.92052618400476</v>
      </c>
      <c r="AJ15" s="674">
        <v>0</v>
      </c>
      <c r="AK15" s="40">
        <v>0</v>
      </c>
      <c r="AL15" s="52">
        <v>0</v>
      </c>
      <c r="AM15" s="674">
        <v>0</v>
      </c>
      <c r="AN15" s="40">
        <v>0</v>
      </c>
      <c r="AO15" s="52">
        <v>0</v>
      </c>
      <c r="AP15" s="674">
        <v>407.84188959504598</v>
      </c>
      <c r="AQ15" s="40">
        <v>411.3674576274164</v>
      </c>
      <c r="AR15" s="52">
        <v>3.5255680323704155</v>
      </c>
      <c r="AS15" s="674">
        <v>3297.9783358273571</v>
      </c>
      <c r="AT15" s="40">
        <v>0</v>
      </c>
      <c r="AU15" s="54">
        <v>-3297.9783358273571</v>
      </c>
      <c r="AV15" s="674">
        <v>0</v>
      </c>
      <c r="AW15" s="40">
        <v>0</v>
      </c>
      <c r="AX15" s="55">
        <v>0</v>
      </c>
      <c r="AY15" s="674">
        <v>0</v>
      </c>
      <c r="AZ15" s="40">
        <v>0</v>
      </c>
      <c r="BA15" s="35">
        <v>0</v>
      </c>
      <c r="BB15" s="674">
        <v>0</v>
      </c>
      <c r="BC15" s="40">
        <v>0</v>
      </c>
      <c r="BD15" s="55">
        <v>0</v>
      </c>
      <c r="BE15" s="674">
        <v>0</v>
      </c>
      <c r="BF15" s="40">
        <v>0</v>
      </c>
      <c r="BG15" s="38">
        <v>0</v>
      </c>
      <c r="BH15" s="674">
        <v>0</v>
      </c>
      <c r="BI15" s="40">
        <v>0</v>
      </c>
      <c r="BJ15" s="55">
        <v>0</v>
      </c>
      <c r="BK15" s="674">
        <v>0</v>
      </c>
      <c r="BL15" s="40">
        <v>0</v>
      </c>
      <c r="BM15" s="38">
        <v>0</v>
      </c>
      <c r="BN15" s="674">
        <v>9.5364000000000004</v>
      </c>
      <c r="BO15" s="40">
        <v>0</v>
      </c>
      <c r="BP15" s="55">
        <v>-9.5364000000000004</v>
      </c>
      <c r="BQ15" s="77">
        <v>9.5364000000000004</v>
      </c>
      <c r="BR15" s="40">
        <v>0</v>
      </c>
      <c r="BS15" s="55">
        <v>-9.5364000000000004</v>
      </c>
      <c r="BT15" s="674">
        <v>0</v>
      </c>
      <c r="BU15" s="40">
        <v>0</v>
      </c>
      <c r="BV15" s="52">
        <v>0</v>
      </c>
      <c r="BW15" s="674">
        <v>0</v>
      </c>
      <c r="BX15" s="40">
        <v>5.943964716025727</v>
      </c>
      <c r="BY15" s="52">
        <v>5.943964716025727</v>
      </c>
      <c r="BZ15" s="674">
        <v>0</v>
      </c>
      <c r="CA15" s="40">
        <v>0</v>
      </c>
      <c r="CB15" s="52">
        <v>0</v>
      </c>
      <c r="CC15" s="674">
        <v>0</v>
      </c>
      <c r="CD15" s="40">
        <v>0</v>
      </c>
      <c r="CE15" s="52">
        <v>0</v>
      </c>
      <c r="CF15" s="674">
        <v>0</v>
      </c>
      <c r="CG15" s="40">
        <v>0</v>
      </c>
      <c r="CH15" s="52">
        <v>0</v>
      </c>
      <c r="CI15" s="674">
        <v>0</v>
      </c>
      <c r="CJ15" s="40">
        <v>0</v>
      </c>
      <c r="CK15" s="52">
        <v>0</v>
      </c>
      <c r="CL15" s="674">
        <v>0</v>
      </c>
      <c r="CM15" s="40">
        <v>0</v>
      </c>
      <c r="CN15" s="52">
        <v>0</v>
      </c>
      <c r="CO15" s="39">
        <v>0</v>
      </c>
      <c r="CP15" s="40">
        <v>0</v>
      </c>
      <c r="CQ15" s="52">
        <v>0</v>
      </c>
      <c r="CR15" s="72">
        <v>4039.9317883926869</v>
      </c>
      <c r="CS15" s="5">
        <v>1577.8071114977304</v>
      </c>
      <c r="CT15" s="52">
        <v>-2462.1246768949568</v>
      </c>
      <c r="CU15" s="77">
        <v>4847.9181460712243</v>
      </c>
      <c r="CV15" s="65">
        <v>1893.3685337972763</v>
      </c>
      <c r="CW15" s="35">
        <v>-2954.5496122739478</v>
      </c>
      <c r="CX15" s="73">
        <v>60.277278687668272</v>
      </c>
      <c r="CY15" s="40">
        <v>3014.8268909616163</v>
      </c>
      <c r="CZ15" s="52">
        <v>2954.5496122739482</v>
      </c>
      <c r="DA15" s="150">
        <v>-7856.7226225419472</v>
      </c>
      <c r="DB15" s="2">
        <v>3</v>
      </c>
      <c r="DC15" s="675">
        <v>0</v>
      </c>
      <c r="DD15" s="675">
        <v>0</v>
      </c>
      <c r="DE15" s="675">
        <v>0</v>
      </c>
      <c r="DF15" s="675">
        <v>0</v>
      </c>
      <c r="DG15" s="321">
        <v>-4902.1730102679985</v>
      </c>
      <c r="DH15" s="40">
        <v>5951.2494600796272</v>
      </c>
      <c r="DI15" s="422">
        <v>521.75246337541739</v>
      </c>
      <c r="DJ15" s="306">
        <v>1.6413503944111532</v>
      </c>
      <c r="DK15" s="306">
        <v>1.6413503944111532</v>
      </c>
      <c r="DL15" s="306">
        <v>1.6413503944111532</v>
      </c>
      <c r="DM15" s="28">
        <v>521.75246337541739</v>
      </c>
      <c r="DN15" s="28">
        <v>0</v>
      </c>
      <c r="DO15" s="423">
        <v>521.75246337541739</v>
      </c>
      <c r="DP15" s="94">
        <v>0</v>
      </c>
      <c r="DQ15" s="28">
        <v>521.75246337541739</v>
      </c>
      <c r="DR15" s="318"/>
      <c r="DT15" s="8"/>
      <c r="DU15" s="5"/>
      <c r="DX15" s="5">
        <v>3969.0176829928282</v>
      </c>
      <c r="DY15" s="5">
        <v>0</v>
      </c>
      <c r="DZ15" s="159">
        <v>469.66649301626671</v>
      </c>
      <c r="EB15" s="676">
        <v>51.770539041757672</v>
      </c>
      <c r="EC15" s="676">
        <v>-227.60967354300683</v>
      </c>
      <c r="ED15" s="676">
        <v>-221.85395908913986</v>
      </c>
      <c r="EE15" s="676">
        <v>-426.14855684979574</v>
      </c>
      <c r="EF15" s="676">
        <v>-409.65659616504706</v>
      </c>
      <c r="EG15" s="676">
        <v>-416.05166290137737</v>
      </c>
      <c r="EH15" s="676">
        <v>-173.54814471251319</v>
      </c>
      <c r="EI15" s="676">
        <v>-363.68677620628216</v>
      </c>
      <c r="EJ15" s="676">
        <v>-414.8343111426197</v>
      </c>
      <c r="EK15" s="676">
        <v>-352.93047070592388</v>
      </c>
      <c r="EL15" s="676">
        <v>0</v>
      </c>
      <c r="EM15" s="676">
        <v>0</v>
      </c>
      <c r="EN15" s="676">
        <v>-2954.5496122739487</v>
      </c>
      <c r="EQ15" s="5">
        <v>3969.0176829928282</v>
      </c>
      <c r="ER15" s="5">
        <v>0</v>
      </c>
      <c r="ET15" s="318">
        <v>-2442.6859839767171</v>
      </c>
      <c r="EU15" s="5">
        <v>-2205.4870262912809</v>
      </c>
    </row>
    <row r="16" spans="1:151" x14ac:dyDescent="0.3">
      <c r="A16" s="325">
        <v>150000492</v>
      </c>
      <c r="B16" s="41" t="s">
        <v>465</v>
      </c>
      <c r="C16" s="42" t="s">
        <v>36</v>
      </c>
      <c r="D16" s="27">
        <v>1</v>
      </c>
      <c r="E16" s="293">
        <v>95.5</v>
      </c>
      <c r="F16" s="305">
        <v>95.5</v>
      </c>
      <c r="G16" s="508">
        <v>0</v>
      </c>
      <c r="H16" s="677">
        <v>0</v>
      </c>
      <c r="I16" s="674">
        <v>0</v>
      </c>
      <c r="J16" s="40">
        <v>0</v>
      </c>
      <c r="K16" s="52">
        <v>0</v>
      </c>
      <c r="L16" s="674">
        <v>0</v>
      </c>
      <c r="M16" s="40">
        <v>0</v>
      </c>
      <c r="N16" s="52">
        <v>0</v>
      </c>
      <c r="O16" s="674">
        <v>0</v>
      </c>
      <c r="P16" s="40">
        <v>0</v>
      </c>
      <c r="Q16" s="52">
        <v>0</v>
      </c>
      <c r="R16" s="674">
        <v>0</v>
      </c>
      <c r="S16" s="40">
        <v>0</v>
      </c>
      <c r="T16" s="52">
        <v>0</v>
      </c>
      <c r="U16" s="674">
        <v>0</v>
      </c>
      <c r="V16" s="40">
        <v>0</v>
      </c>
      <c r="W16" s="52">
        <v>0</v>
      </c>
      <c r="X16" s="674">
        <v>0</v>
      </c>
      <c r="Y16" s="40">
        <v>0</v>
      </c>
      <c r="Z16" s="52">
        <v>0</v>
      </c>
      <c r="AA16" s="674">
        <v>11.46</v>
      </c>
      <c r="AB16" s="40">
        <v>0</v>
      </c>
      <c r="AC16" s="52">
        <v>-11.46</v>
      </c>
      <c r="AD16" s="674">
        <v>86.047209870284803</v>
      </c>
      <c r="AE16" s="40">
        <v>348.64520672654629</v>
      </c>
      <c r="AF16" s="35">
        <v>262.59799685626149</v>
      </c>
      <c r="AG16" s="77">
        <v>97.507209870284811</v>
      </c>
      <c r="AH16" s="53">
        <v>348.64520672654629</v>
      </c>
      <c r="AI16" s="52">
        <v>251.13799685626148</v>
      </c>
      <c r="AJ16" s="674">
        <v>0</v>
      </c>
      <c r="AK16" s="40">
        <v>0</v>
      </c>
      <c r="AL16" s="52">
        <v>0</v>
      </c>
      <c r="AM16" s="674">
        <v>0</v>
      </c>
      <c r="AN16" s="40">
        <v>0</v>
      </c>
      <c r="AO16" s="52">
        <v>0</v>
      </c>
      <c r="AP16" s="674">
        <v>148.3061416709258</v>
      </c>
      <c r="AQ16" s="40">
        <v>149.58816640996957</v>
      </c>
      <c r="AR16" s="52">
        <v>1.2820247390437771</v>
      </c>
      <c r="AS16" s="674">
        <v>856.16848187528103</v>
      </c>
      <c r="AT16" s="40">
        <v>0</v>
      </c>
      <c r="AU16" s="54">
        <v>-856.16848187528103</v>
      </c>
      <c r="AV16" s="674">
        <v>0</v>
      </c>
      <c r="AW16" s="40">
        <v>0</v>
      </c>
      <c r="AX16" s="55">
        <v>0</v>
      </c>
      <c r="AY16" s="674">
        <v>0</v>
      </c>
      <c r="AZ16" s="40">
        <v>0</v>
      </c>
      <c r="BA16" s="35">
        <v>0</v>
      </c>
      <c r="BB16" s="674">
        <v>0</v>
      </c>
      <c r="BC16" s="40">
        <v>0</v>
      </c>
      <c r="BD16" s="55">
        <v>0</v>
      </c>
      <c r="BE16" s="674">
        <v>0</v>
      </c>
      <c r="BF16" s="40">
        <v>0</v>
      </c>
      <c r="BG16" s="38">
        <v>0</v>
      </c>
      <c r="BH16" s="674">
        <v>0</v>
      </c>
      <c r="BI16" s="40">
        <v>0</v>
      </c>
      <c r="BJ16" s="55">
        <v>0</v>
      </c>
      <c r="BK16" s="674">
        <v>0</v>
      </c>
      <c r="BL16" s="40">
        <v>0</v>
      </c>
      <c r="BM16" s="38">
        <v>0</v>
      </c>
      <c r="BN16" s="674">
        <v>2.8650000000000002</v>
      </c>
      <c r="BO16" s="40">
        <v>0</v>
      </c>
      <c r="BP16" s="55">
        <v>-2.8650000000000002</v>
      </c>
      <c r="BQ16" s="77">
        <v>2.8650000000000002</v>
      </c>
      <c r="BR16" s="40">
        <v>0</v>
      </c>
      <c r="BS16" s="55">
        <v>-2.8650000000000002</v>
      </c>
      <c r="BT16" s="674">
        <v>0</v>
      </c>
      <c r="BU16" s="40">
        <v>0</v>
      </c>
      <c r="BV16" s="52">
        <v>0</v>
      </c>
      <c r="BW16" s="674">
        <v>0</v>
      </c>
      <c r="BX16" s="40">
        <v>1.7857324474029725</v>
      </c>
      <c r="BY16" s="52">
        <v>1.7857324474029725</v>
      </c>
      <c r="BZ16" s="674">
        <v>0</v>
      </c>
      <c r="CA16" s="40">
        <v>0</v>
      </c>
      <c r="CB16" s="52">
        <v>0</v>
      </c>
      <c r="CC16" s="674">
        <v>0</v>
      </c>
      <c r="CD16" s="40">
        <v>0</v>
      </c>
      <c r="CE16" s="52">
        <v>0</v>
      </c>
      <c r="CF16" s="674">
        <v>0</v>
      </c>
      <c r="CG16" s="40">
        <v>0</v>
      </c>
      <c r="CH16" s="52">
        <v>0</v>
      </c>
      <c r="CI16" s="674">
        <v>0</v>
      </c>
      <c r="CJ16" s="40">
        <v>0</v>
      </c>
      <c r="CK16" s="52">
        <v>0</v>
      </c>
      <c r="CL16" s="674">
        <v>0</v>
      </c>
      <c r="CM16" s="40">
        <v>0</v>
      </c>
      <c r="CN16" s="52">
        <v>0</v>
      </c>
      <c r="CO16" s="39">
        <v>0</v>
      </c>
      <c r="CP16" s="40">
        <v>0</v>
      </c>
      <c r="CQ16" s="52">
        <v>0</v>
      </c>
      <c r="CR16" s="72">
        <v>1104.8468334164916</v>
      </c>
      <c r="CS16" s="5">
        <v>500.01910558391882</v>
      </c>
      <c r="CT16" s="52">
        <v>-604.82772783257269</v>
      </c>
      <c r="CU16" s="77">
        <v>1325.8162000997897</v>
      </c>
      <c r="CV16" s="65">
        <v>600.02292670070256</v>
      </c>
      <c r="CW16" s="35">
        <v>-725.79327339908718</v>
      </c>
      <c r="CX16" s="73">
        <v>41.588504668279512</v>
      </c>
      <c r="CY16" s="40">
        <v>767.38177806736689</v>
      </c>
      <c r="CZ16" s="52">
        <v>725.79327339908741</v>
      </c>
      <c r="DA16" s="150">
        <v>-2726.636550100834</v>
      </c>
      <c r="DB16" s="2">
        <v>3</v>
      </c>
      <c r="DC16" s="675">
        <v>0</v>
      </c>
      <c r="DD16" s="675">
        <v>0</v>
      </c>
      <c r="DE16" s="675">
        <v>0</v>
      </c>
      <c r="DF16" s="675">
        <v>0</v>
      </c>
      <c r="DG16" s="321">
        <v>-2000.8432767017466</v>
      </c>
      <c r="DH16" s="40">
        <v>1658.2596141618883</v>
      </c>
      <c r="DI16" s="422">
        <v>145.49009736977212</v>
      </c>
      <c r="DJ16" s="306">
        <v>1.5234565169609646</v>
      </c>
      <c r="DK16" s="306">
        <v>1.5234565169609646</v>
      </c>
      <c r="DL16" s="306">
        <v>1.5234565169609646</v>
      </c>
      <c r="DM16" s="28">
        <v>145.49009736977212</v>
      </c>
      <c r="DN16" s="28">
        <v>0</v>
      </c>
      <c r="DO16" s="423">
        <v>145.49009736977212</v>
      </c>
      <c r="DP16" s="94">
        <v>0</v>
      </c>
      <c r="DQ16" s="28">
        <v>145.49009736977212</v>
      </c>
      <c r="DR16" s="318"/>
      <c r="DT16" s="8"/>
      <c r="DU16" s="5"/>
      <c r="DX16" s="5">
        <v>1030.8401782503372</v>
      </c>
      <c r="DY16" s="5">
        <v>0</v>
      </c>
      <c r="DZ16" s="159">
        <v>123.00120555166077</v>
      </c>
      <c r="EB16" s="676">
        <v>40.138020915033067</v>
      </c>
      <c r="EC16" s="676">
        <v>-59.386441281719641</v>
      </c>
      <c r="ED16" s="676">
        <v>-57.657264452902801</v>
      </c>
      <c r="EE16" s="676">
        <v>-113.21948381158212</v>
      </c>
      <c r="EF16" s="676">
        <v>-108.26483977800501</v>
      </c>
      <c r="EG16" s="676">
        <v>-110.18609582846285</v>
      </c>
      <c r="EH16" s="676">
        <v>-21.719840613421866</v>
      </c>
      <c r="EI16" s="676">
        <v>-94.454226319901153</v>
      </c>
      <c r="EJ16" s="676">
        <v>-109.82036947587271</v>
      </c>
      <c r="EK16" s="676">
        <v>-91.222732752252313</v>
      </c>
      <c r="EL16" s="676">
        <v>0</v>
      </c>
      <c r="EM16" s="676">
        <v>0</v>
      </c>
      <c r="EN16" s="676">
        <v>-725.79327339908741</v>
      </c>
      <c r="EQ16" s="5">
        <v>1030.8401782503372</v>
      </c>
      <c r="ER16" s="5">
        <v>0</v>
      </c>
      <c r="ET16" s="318">
        <v>-600.56219067433676</v>
      </c>
      <c r="EU16" s="5">
        <v>-525.28108602740997</v>
      </c>
    </row>
    <row r="17" spans="1:151" x14ac:dyDescent="0.3">
      <c r="A17" s="325">
        <v>150000490</v>
      </c>
      <c r="B17" s="41" t="s">
        <v>466</v>
      </c>
      <c r="C17" s="42" t="s">
        <v>37</v>
      </c>
      <c r="D17" s="27">
        <v>1</v>
      </c>
      <c r="E17" s="293">
        <v>147.5</v>
      </c>
      <c r="F17" s="305">
        <v>147.5</v>
      </c>
      <c r="G17" s="508">
        <v>0</v>
      </c>
      <c r="H17" s="677">
        <v>0</v>
      </c>
      <c r="I17" s="674">
        <v>0</v>
      </c>
      <c r="J17" s="40">
        <v>0</v>
      </c>
      <c r="K17" s="52">
        <v>0</v>
      </c>
      <c r="L17" s="674">
        <v>0</v>
      </c>
      <c r="M17" s="40">
        <v>0</v>
      </c>
      <c r="N17" s="52">
        <v>0</v>
      </c>
      <c r="O17" s="674">
        <v>0</v>
      </c>
      <c r="P17" s="40">
        <v>0</v>
      </c>
      <c r="Q17" s="52">
        <v>0</v>
      </c>
      <c r="R17" s="674">
        <v>0</v>
      </c>
      <c r="S17" s="40">
        <v>0</v>
      </c>
      <c r="T17" s="52">
        <v>0</v>
      </c>
      <c r="U17" s="674">
        <v>0</v>
      </c>
      <c r="V17" s="40">
        <v>0</v>
      </c>
      <c r="W17" s="52">
        <v>0</v>
      </c>
      <c r="X17" s="674">
        <v>0</v>
      </c>
      <c r="Y17" s="40">
        <v>0</v>
      </c>
      <c r="Z17" s="52">
        <v>0</v>
      </c>
      <c r="AA17" s="674">
        <v>17.700000000000003</v>
      </c>
      <c r="AB17" s="40">
        <v>0</v>
      </c>
      <c r="AC17" s="52">
        <v>-17.700000000000003</v>
      </c>
      <c r="AD17" s="674">
        <v>132.8881595790582</v>
      </c>
      <c r="AE17" s="40">
        <v>538.48343447293792</v>
      </c>
      <c r="AF17" s="35">
        <v>405.59527489387972</v>
      </c>
      <c r="AG17" s="77">
        <v>150.58815957905819</v>
      </c>
      <c r="AH17" s="53">
        <v>538.48343447293792</v>
      </c>
      <c r="AI17" s="52">
        <v>387.89527489387973</v>
      </c>
      <c r="AJ17" s="674">
        <v>0</v>
      </c>
      <c r="AK17" s="40">
        <v>0</v>
      </c>
      <c r="AL17" s="52">
        <v>0</v>
      </c>
      <c r="AM17" s="674">
        <v>0</v>
      </c>
      <c r="AN17" s="40">
        <v>0</v>
      </c>
      <c r="AO17" s="52">
        <v>0</v>
      </c>
      <c r="AP17" s="674">
        <v>222.4592125063887</v>
      </c>
      <c r="AQ17" s="40">
        <v>224.38224961495439</v>
      </c>
      <c r="AR17" s="52">
        <v>1.9230371085656941</v>
      </c>
      <c r="AS17" s="674">
        <v>1810.3457751369569</v>
      </c>
      <c r="AT17" s="40">
        <v>0</v>
      </c>
      <c r="AU17" s="54">
        <v>-1810.3457751369569</v>
      </c>
      <c r="AV17" s="674">
        <v>0</v>
      </c>
      <c r="AW17" s="40">
        <v>0</v>
      </c>
      <c r="AX17" s="55">
        <v>0</v>
      </c>
      <c r="AY17" s="674">
        <v>0</v>
      </c>
      <c r="AZ17" s="40">
        <v>0</v>
      </c>
      <c r="BA17" s="35">
        <v>0</v>
      </c>
      <c r="BB17" s="674">
        <v>0</v>
      </c>
      <c r="BC17" s="40">
        <v>0</v>
      </c>
      <c r="BD17" s="55">
        <v>0</v>
      </c>
      <c r="BE17" s="674">
        <v>0</v>
      </c>
      <c r="BF17" s="40">
        <v>0</v>
      </c>
      <c r="BG17" s="38">
        <v>0</v>
      </c>
      <c r="BH17" s="674">
        <v>0</v>
      </c>
      <c r="BI17" s="40">
        <v>0</v>
      </c>
      <c r="BJ17" s="55">
        <v>0</v>
      </c>
      <c r="BK17" s="674">
        <v>0</v>
      </c>
      <c r="BL17" s="40">
        <v>0</v>
      </c>
      <c r="BM17" s="38">
        <v>0</v>
      </c>
      <c r="BN17" s="674">
        <v>4.4250000000000007</v>
      </c>
      <c r="BO17" s="40">
        <v>0</v>
      </c>
      <c r="BP17" s="55">
        <v>-4.4250000000000007</v>
      </c>
      <c r="BQ17" s="77">
        <v>4.4250000000000007</v>
      </c>
      <c r="BR17" s="40">
        <v>0</v>
      </c>
      <c r="BS17" s="55">
        <v>-4.4250000000000007</v>
      </c>
      <c r="BT17" s="674">
        <v>0</v>
      </c>
      <c r="BU17" s="40">
        <v>0</v>
      </c>
      <c r="BV17" s="52">
        <v>0</v>
      </c>
      <c r="BW17" s="674">
        <v>0</v>
      </c>
      <c r="BX17" s="40">
        <v>2.7580684397061614</v>
      </c>
      <c r="BY17" s="52">
        <v>2.7580684397061614</v>
      </c>
      <c r="BZ17" s="674">
        <v>0</v>
      </c>
      <c r="CA17" s="40">
        <v>0</v>
      </c>
      <c r="CB17" s="52">
        <v>0</v>
      </c>
      <c r="CC17" s="674">
        <v>0</v>
      </c>
      <c r="CD17" s="40">
        <v>0</v>
      </c>
      <c r="CE17" s="52">
        <v>0</v>
      </c>
      <c r="CF17" s="674">
        <v>0</v>
      </c>
      <c r="CG17" s="40">
        <v>0</v>
      </c>
      <c r="CH17" s="52">
        <v>0</v>
      </c>
      <c r="CI17" s="674">
        <v>0</v>
      </c>
      <c r="CJ17" s="40">
        <v>0</v>
      </c>
      <c r="CK17" s="52">
        <v>0</v>
      </c>
      <c r="CL17" s="674">
        <v>0</v>
      </c>
      <c r="CM17" s="40">
        <v>0</v>
      </c>
      <c r="CN17" s="52">
        <v>0</v>
      </c>
      <c r="CO17" s="39">
        <v>0</v>
      </c>
      <c r="CP17" s="40">
        <v>0</v>
      </c>
      <c r="CQ17" s="52">
        <v>0</v>
      </c>
      <c r="CR17" s="72">
        <v>2187.8181472224041</v>
      </c>
      <c r="CS17" s="5">
        <v>765.62375252759841</v>
      </c>
      <c r="CT17" s="52">
        <v>-1422.1943946948059</v>
      </c>
      <c r="CU17" s="77">
        <v>2625.3817766668849</v>
      </c>
      <c r="CV17" s="65">
        <v>918.74850303311803</v>
      </c>
      <c r="CW17" s="35">
        <v>-1706.6332736337667</v>
      </c>
      <c r="CX17" s="73">
        <v>73.782462418786963</v>
      </c>
      <c r="CY17" s="40">
        <v>1780.4157360525535</v>
      </c>
      <c r="CZ17" s="52">
        <v>1706.6332736337665</v>
      </c>
      <c r="DA17" s="150">
        <v>-2410.6308555609185</v>
      </c>
      <c r="DB17" s="2">
        <v>3</v>
      </c>
      <c r="DC17" s="675">
        <v>0</v>
      </c>
      <c r="DD17" s="675">
        <v>0</v>
      </c>
      <c r="DE17" s="675">
        <v>0</v>
      </c>
      <c r="DF17" s="675">
        <v>0</v>
      </c>
      <c r="DG17" s="321">
        <v>-703.99758192715194</v>
      </c>
      <c r="DH17" s="40">
        <v>3260.153689235306</v>
      </c>
      <c r="DI17" s="422">
        <v>280.62662157086845</v>
      </c>
      <c r="DJ17" s="306">
        <v>1.902553366582159</v>
      </c>
      <c r="DK17" s="306">
        <v>1.902553366582159</v>
      </c>
      <c r="DL17" s="306">
        <v>1.902553366582159</v>
      </c>
      <c r="DM17" s="28">
        <v>280.62662157086845</v>
      </c>
      <c r="DN17" s="28">
        <v>0</v>
      </c>
      <c r="DO17" s="423">
        <v>280.62662157086845</v>
      </c>
      <c r="DP17" s="94">
        <v>0</v>
      </c>
      <c r="DQ17" s="28">
        <v>280.62662157086845</v>
      </c>
      <c r="DR17" s="318"/>
      <c r="DT17" s="8"/>
      <c r="DU17" s="5"/>
      <c r="DX17" s="5">
        <v>2177.7249301643483</v>
      </c>
      <c r="DY17" s="5">
        <v>0</v>
      </c>
      <c r="DZ17" s="159">
        <v>246.71360950815955</v>
      </c>
      <c r="EB17" s="676">
        <v>-4.1283173847046726</v>
      </c>
      <c r="EC17" s="676">
        <v>-153.8525050524824</v>
      </c>
      <c r="ED17" s="676">
        <v>-151.1817869137339</v>
      </c>
      <c r="EE17" s="676">
        <v>-230.76281938975575</v>
      </c>
      <c r="EF17" s="676">
        <v>-223.11035870962357</v>
      </c>
      <c r="EG17" s="676">
        <v>-226.07774370902183</v>
      </c>
      <c r="EH17" s="676">
        <v>-93.438254208750067</v>
      </c>
      <c r="EI17" s="676">
        <v>-201.77983007014382</v>
      </c>
      <c r="EJ17" s="676">
        <v>-225.5128784000475</v>
      </c>
      <c r="EK17" s="676">
        <v>-196.78877979550293</v>
      </c>
      <c r="EL17" s="676">
        <v>0</v>
      </c>
      <c r="EM17" s="676">
        <v>0</v>
      </c>
      <c r="EN17" s="676">
        <v>-1706.6332736337665</v>
      </c>
      <c r="EQ17" s="5">
        <v>2177.7249301643483</v>
      </c>
      <c r="ER17" s="5">
        <v>0</v>
      </c>
      <c r="ET17" s="318">
        <v>-1679.6171062011422</v>
      </c>
      <c r="EU17" s="5">
        <v>-1564.38047572601</v>
      </c>
    </row>
    <row r="18" spans="1:151" x14ac:dyDescent="0.3">
      <c r="A18" s="325">
        <v>150000497</v>
      </c>
      <c r="B18" s="41" t="s">
        <v>467</v>
      </c>
      <c r="C18" s="42" t="s">
        <v>341</v>
      </c>
      <c r="D18" s="27">
        <v>9</v>
      </c>
      <c r="E18" s="293">
        <v>4163.4000000000005</v>
      </c>
      <c r="F18" s="305">
        <v>4099.3</v>
      </c>
      <c r="G18" s="508">
        <v>274</v>
      </c>
      <c r="H18" s="677">
        <v>64.099999999999994</v>
      </c>
      <c r="I18" s="674">
        <v>14820.672096487286</v>
      </c>
      <c r="J18" s="40">
        <v>12310.039256261076</v>
      </c>
      <c r="K18" s="52">
        <v>-2510.6328402262097</v>
      </c>
      <c r="L18" s="674">
        <v>2240.7410419357989</v>
      </c>
      <c r="M18" s="40">
        <v>1785.2384945291853</v>
      </c>
      <c r="N18" s="52">
        <v>-455.50254740661353</v>
      </c>
      <c r="O18" s="674">
        <v>6299.5231747790413</v>
      </c>
      <c r="P18" s="40">
        <v>6299.2250000000013</v>
      </c>
      <c r="Q18" s="52">
        <v>-0.29817477903998224</v>
      </c>
      <c r="R18" s="674">
        <v>1253.3137559724953</v>
      </c>
      <c r="S18" s="40">
        <v>1253.9650000000001</v>
      </c>
      <c r="T18" s="52">
        <v>0.65124402750484478</v>
      </c>
      <c r="U18" s="674">
        <v>714.84307937464087</v>
      </c>
      <c r="V18" s="40">
        <v>306.57844864907275</v>
      </c>
      <c r="W18" s="52">
        <v>-408.26463072556811</v>
      </c>
      <c r="X18" s="674">
        <v>5100.8079153575318</v>
      </c>
      <c r="Y18" s="40">
        <v>3539.4443378753481</v>
      </c>
      <c r="Z18" s="52">
        <v>-1561.3635774821837</v>
      </c>
      <c r="AA18" s="674">
        <v>499.52400000000011</v>
      </c>
      <c r="AB18" s="40">
        <v>0</v>
      </c>
      <c r="AC18" s="52">
        <v>-499.52400000000011</v>
      </c>
      <c r="AD18" s="674">
        <v>17846.008708509577</v>
      </c>
      <c r="AE18" s="40">
        <v>17688.120758229277</v>
      </c>
      <c r="AF18" s="35">
        <v>-157.88795028029926</v>
      </c>
      <c r="AG18" s="77">
        <v>48775.433772416378</v>
      </c>
      <c r="AH18" s="53">
        <v>43182.61129554396</v>
      </c>
      <c r="AI18" s="52">
        <v>-5592.8224768724176</v>
      </c>
      <c r="AJ18" s="674">
        <v>51489.379787684069</v>
      </c>
      <c r="AK18" s="40">
        <v>50919.352694870751</v>
      </c>
      <c r="AL18" s="52">
        <v>-570.02709281331772</v>
      </c>
      <c r="AM18" s="674">
        <v>0</v>
      </c>
      <c r="AN18" s="40">
        <v>0</v>
      </c>
      <c r="AO18" s="52">
        <v>0</v>
      </c>
      <c r="AP18" s="674">
        <v>3192.7527867043432</v>
      </c>
      <c r="AQ18" s="40">
        <v>2676.8640494382385</v>
      </c>
      <c r="AR18" s="52">
        <v>-515.88873726610473</v>
      </c>
      <c r="AS18" s="674">
        <v>53722.312956608395</v>
      </c>
      <c r="AT18" s="40">
        <v>20888.47</v>
      </c>
      <c r="AU18" s="54">
        <v>-32833.842956608394</v>
      </c>
      <c r="AV18" s="674">
        <v>2191.1662931757355</v>
      </c>
      <c r="AW18" s="40">
        <v>1404</v>
      </c>
      <c r="AX18" s="55">
        <v>-787.16629317573552</v>
      </c>
      <c r="AY18" s="674">
        <v>2430.3914207943353</v>
      </c>
      <c r="AZ18" s="40">
        <v>0</v>
      </c>
      <c r="BA18" s="35">
        <v>-2430.3914207943353</v>
      </c>
      <c r="BB18" s="674">
        <v>1433.2638094353456</v>
      </c>
      <c r="BC18" s="40">
        <v>0</v>
      </c>
      <c r="BD18" s="55">
        <v>-1433.2638094353456</v>
      </c>
      <c r="BE18" s="674">
        <v>1622.5040348163097</v>
      </c>
      <c r="BF18" s="40">
        <v>730</v>
      </c>
      <c r="BG18" s="38">
        <v>-892.50403481630974</v>
      </c>
      <c r="BH18" s="674">
        <v>923.71373565197098</v>
      </c>
      <c r="BI18" s="40">
        <v>0</v>
      </c>
      <c r="BJ18" s="55">
        <v>-923.71373565197098</v>
      </c>
      <c r="BK18" s="674">
        <v>955.06791238057144</v>
      </c>
      <c r="BL18" s="40">
        <v>0</v>
      </c>
      <c r="BM18" s="38">
        <v>-955.06791238057144</v>
      </c>
      <c r="BN18" s="674">
        <v>299.15320585630519</v>
      </c>
      <c r="BO18" s="40">
        <v>0</v>
      </c>
      <c r="BP18" s="55">
        <v>-299.15320585630519</v>
      </c>
      <c r="BQ18" s="77">
        <v>9855.2604121105724</v>
      </c>
      <c r="BR18" s="40">
        <v>2134</v>
      </c>
      <c r="BS18" s="55">
        <v>-7721.2604121105724</v>
      </c>
      <c r="BT18" s="674">
        <v>62892.335536203769</v>
      </c>
      <c r="BU18" s="40">
        <v>62142.397620084674</v>
      </c>
      <c r="BV18" s="52">
        <v>-749.93791611909546</v>
      </c>
      <c r="BW18" s="674">
        <v>36416.989666082751</v>
      </c>
      <c r="BX18" s="40">
        <v>36333.252655077689</v>
      </c>
      <c r="BY18" s="52">
        <v>-83.737011005061504</v>
      </c>
      <c r="BZ18" s="674">
        <v>12023.076515290211</v>
      </c>
      <c r="CA18" s="40">
        <v>15094.655597070245</v>
      </c>
      <c r="CB18" s="52">
        <v>3071.5790817800334</v>
      </c>
      <c r="CC18" s="674">
        <v>1623.0919857920103</v>
      </c>
      <c r="CD18" s="40">
        <v>1688.2020676761729</v>
      </c>
      <c r="CE18" s="52">
        <v>65.110081884162582</v>
      </c>
      <c r="CF18" s="674">
        <v>196.31688260962241</v>
      </c>
      <c r="CG18" s="40">
        <v>0</v>
      </c>
      <c r="CH18" s="52">
        <v>-196.31688260962241</v>
      </c>
      <c r="CI18" s="674">
        <v>13316.356703665351</v>
      </c>
      <c r="CJ18" s="40">
        <v>12118.701816556761</v>
      </c>
      <c r="CK18" s="52">
        <v>-1197.6548871085906</v>
      </c>
      <c r="CL18" s="674">
        <v>15653.120139566647</v>
      </c>
      <c r="CM18" s="40">
        <v>18171.889803131038</v>
      </c>
      <c r="CN18" s="52">
        <v>2518.7696635643915</v>
      </c>
      <c r="CO18" s="39">
        <v>28969.476843231998</v>
      </c>
      <c r="CP18" s="40">
        <v>30290.591619687799</v>
      </c>
      <c r="CQ18" s="52">
        <v>1321.1147764558009</v>
      </c>
      <c r="CR18" s="72">
        <v>309156.42714473413</v>
      </c>
      <c r="CS18" s="5">
        <v>265350.39759944956</v>
      </c>
      <c r="CT18" s="52">
        <v>-43806.029545284575</v>
      </c>
      <c r="CU18" s="77">
        <v>370987.71257368097</v>
      </c>
      <c r="CV18" s="65">
        <v>318420.47711933946</v>
      </c>
      <c r="CW18" s="35">
        <v>-52567.235454341513</v>
      </c>
      <c r="CX18" s="73">
        <v>8260.0337695695634</v>
      </c>
      <c r="CY18" s="40">
        <v>60827.26922391104</v>
      </c>
      <c r="CZ18" s="52">
        <v>52567.235454341477</v>
      </c>
      <c r="DA18" s="150">
        <v>-62071.465048049482</v>
      </c>
      <c r="DB18" s="2">
        <v>1</v>
      </c>
      <c r="DC18" s="675">
        <v>77769.13</v>
      </c>
      <c r="DD18" s="675">
        <v>0</v>
      </c>
      <c r="DE18" s="675">
        <v>44850.730109104632</v>
      </c>
      <c r="DF18" s="675">
        <v>-337.64983215577854</v>
      </c>
      <c r="DG18" s="321">
        <v>-9504.2295937079543</v>
      </c>
      <c r="DH18" s="40">
        <v>379219.04585791973</v>
      </c>
      <c r="DI18" s="422">
        <v>33256.049723051154</v>
      </c>
      <c r="DJ18" s="306">
        <v>6.2696809416747836</v>
      </c>
      <c r="DK18" s="306">
        <v>8.1563556617458719</v>
      </c>
      <c r="DL18" s="306">
        <v>5.2675480835534882</v>
      </c>
      <c r="DM18" s="28">
        <v>32918.399890895373</v>
      </c>
      <c r="DN18" s="28">
        <v>337.64983215577854</v>
      </c>
      <c r="DO18" s="423">
        <v>33256.049723051154</v>
      </c>
      <c r="DP18" s="94">
        <v>0</v>
      </c>
      <c r="DQ18" s="28">
        <v>33256.049723051154</v>
      </c>
      <c r="DR18" s="318"/>
      <c r="DT18" s="8"/>
      <c r="DU18" s="5"/>
      <c r="DX18" s="5">
        <v>76293.088042462754</v>
      </c>
      <c r="DY18" s="5">
        <v>27626.964</v>
      </c>
      <c r="DZ18" s="159">
        <v>6727.1265937332901</v>
      </c>
      <c r="EB18" s="676">
        <v>-1574.3517141333032</v>
      </c>
      <c r="EC18" s="676">
        <v>-7960.5911562680376</v>
      </c>
      <c r="ED18" s="676">
        <v>-4541.902621565856</v>
      </c>
      <c r="EE18" s="676">
        <v>-5480.3042897175474</v>
      </c>
      <c r="EF18" s="676">
        <v>-3017.919470822053</v>
      </c>
      <c r="EG18" s="676">
        <v>-7121.8447471024519</v>
      </c>
      <c r="EH18" s="676">
        <v>3640.3412339008792</v>
      </c>
      <c r="EI18" s="676">
        <v>-5712.4628700794274</v>
      </c>
      <c r="EJ18" s="676">
        <v>-7928.4986109983474</v>
      </c>
      <c r="EK18" s="676">
        <v>-1552.1187446198273</v>
      </c>
      <c r="EL18" s="676">
        <v>-5171.1600580632621</v>
      </c>
      <c r="EM18" s="676">
        <v>-6146.4224048722826</v>
      </c>
      <c r="EN18" s="676">
        <v>-52567.235454341528</v>
      </c>
      <c r="EQ18" s="5">
        <v>76293.088042462754</v>
      </c>
      <c r="ER18" s="5">
        <v>27626.964</v>
      </c>
      <c r="ET18" s="318">
        <v>-14939.032595669334</v>
      </c>
      <c r="EU18" s="5">
        <v>-13430.396998038606</v>
      </c>
    </row>
    <row r="19" spans="1:151" x14ac:dyDescent="0.3">
      <c r="A19" s="325">
        <v>150000495</v>
      </c>
      <c r="B19" s="41" t="s">
        <v>468</v>
      </c>
      <c r="C19" s="42" t="s">
        <v>148</v>
      </c>
      <c r="D19" s="27">
        <v>2</v>
      </c>
      <c r="E19" s="293">
        <v>409.93</v>
      </c>
      <c r="F19" s="305">
        <v>409.93</v>
      </c>
      <c r="G19" s="508">
        <v>0</v>
      </c>
      <c r="H19" s="677">
        <v>0</v>
      </c>
      <c r="I19" s="674">
        <v>1235.2339050528719</v>
      </c>
      <c r="J19" s="40">
        <v>1127.0061272305613</v>
      </c>
      <c r="K19" s="52">
        <v>-108.2277778223106</v>
      </c>
      <c r="L19" s="674">
        <v>417.92614260532406</v>
      </c>
      <c r="M19" s="40">
        <v>333.11848657930807</v>
      </c>
      <c r="N19" s="52">
        <v>-84.807656026015991</v>
      </c>
      <c r="O19" s="674">
        <v>623.35460746991987</v>
      </c>
      <c r="P19" s="40">
        <v>623.255</v>
      </c>
      <c r="Q19" s="52">
        <v>-9.9607469919874347E-2</v>
      </c>
      <c r="R19" s="674">
        <v>0</v>
      </c>
      <c r="S19" s="40">
        <v>0</v>
      </c>
      <c r="T19" s="52">
        <v>0</v>
      </c>
      <c r="U19" s="674">
        <v>0</v>
      </c>
      <c r="V19" s="40">
        <v>0</v>
      </c>
      <c r="W19" s="52">
        <v>0</v>
      </c>
      <c r="X19" s="674">
        <v>648.00434553652633</v>
      </c>
      <c r="Y19" s="40">
        <v>517.59517963751387</v>
      </c>
      <c r="Z19" s="52">
        <v>-130.40916589901246</v>
      </c>
      <c r="AA19" s="674">
        <v>49.328399999999995</v>
      </c>
      <c r="AB19" s="40">
        <v>0</v>
      </c>
      <c r="AC19" s="52">
        <v>-49.328399999999995</v>
      </c>
      <c r="AD19" s="674">
        <v>1758.8277849419223</v>
      </c>
      <c r="AE19" s="40">
        <v>1741.6785447358961</v>
      </c>
      <c r="AF19" s="35">
        <v>-17.149240206026207</v>
      </c>
      <c r="AG19" s="77">
        <v>4732.6751856065639</v>
      </c>
      <c r="AH19" s="53">
        <v>4342.6533381832796</v>
      </c>
      <c r="AI19" s="52">
        <v>-390.02184742328427</v>
      </c>
      <c r="AJ19" s="674">
        <v>0</v>
      </c>
      <c r="AK19" s="40">
        <v>0</v>
      </c>
      <c r="AL19" s="52">
        <v>0</v>
      </c>
      <c r="AM19" s="674">
        <v>0</v>
      </c>
      <c r="AN19" s="40">
        <v>0</v>
      </c>
      <c r="AO19" s="52">
        <v>0</v>
      </c>
      <c r="AP19" s="674">
        <v>1079.2403786042846</v>
      </c>
      <c r="AQ19" s="40">
        <v>943.40170589717445</v>
      </c>
      <c r="AR19" s="52">
        <v>-135.83867270711016</v>
      </c>
      <c r="AS19" s="674">
        <v>4830.9562374483576</v>
      </c>
      <c r="AT19" s="40">
        <v>2624.3449251113534</v>
      </c>
      <c r="AU19" s="54">
        <v>-2206.6113123370042</v>
      </c>
      <c r="AV19" s="674">
        <v>535.58870847211983</v>
      </c>
      <c r="AW19" s="40">
        <v>0</v>
      </c>
      <c r="AX19" s="55">
        <v>-535.58870847211983</v>
      </c>
      <c r="AY19" s="674">
        <v>685.11407161147292</v>
      </c>
      <c r="AZ19" s="40">
        <v>0</v>
      </c>
      <c r="BA19" s="35">
        <v>-685.11407161147292</v>
      </c>
      <c r="BB19" s="674">
        <v>170.65177968749666</v>
      </c>
      <c r="BC19" s="40">
        <v>745</v>
      </c>
      <c r="BD19" s="55">
        <v>574.34822031250337</v>
      </c>
      <c r="BE19" s="674">
        <v>0</v>
      </c>
      <c r="BF19" s="40">
        <v>0</v>
      </c>
      <c r="BG19" s="38">
        <v>0</v>
      </c>
      <c r="BH19" s="674">
        <v>0</v>
      </c>
      <c r="BI19" s="40">
        <v>0</v>
      </c>
      <c r="BJ19" s="55">
        <v>0</v>
      </c>
      <c r="BK19" s="674">
        <v>110.09829986336118</v>
      </c>
      <c r="BL19" s="40">
        <v>0</v>
      </c>
      <c r="BM19" s="38">
        <v>-110.09829986336118</v>
      </c>
      <c r="BN19" s="674">
        <v>155.04303146868628</v>
      </c>
      <c r="BO19" s="40">
        <v>0</v>
      </c>
      <c r="BP19" s="55">
        <v>-155.04303146868628</v>
      </c>
      <c r="BQ19" s="77">
        <v>1656.4958911031367</v>
      </c>
      <c r="BR19" s="40">
        <v>745</v>
      </c>
      <c r="BS19" s="55">
        <v>-911.49589110313673</v>
      </c>
      <c r="BT19" s="674">
        <v>5806.5904659131256</v>
      </c>
      <c r="BU19" s="40">
        <v>7190.7046406915333</v>
      </c>
      <c r="BV19" s="52">
        <v>1384.1141747784077</v>
      </c>
      <c r="BW19" s="674">
        <v>3065.4960368002494</v>
      </c>
      <c r="BX19" s="40">
        <v>3580.787956020562</v>
      </c>
      <c r="BY19" s="52">
        <v>515.29191922031259</v>
      </c>
      <c r="BZ19" s="674">
        <v>1810.8481932605137</v>
      </c>
      <c r="CA19" s="40">
        <v>1581.8665413264184</v>
      </c>
      <c r="CB19" s="52">
        <v>-228.98165193409523</v>
      </c>
      <c r="CC19" s="674">
        <v>0</v>
      </c>
      <c r="CD19" s="40">
        <v>0</v>
      </c>
      <c r="CE19" s="52">
        <v>0</v>
      </c>
      <c r="CF19" s="674">
        <v>0</v>
      </c>
      <c r="CG19" s="40">
        <v>0</v>
      </c>
      <c r="CH19" s="52">
        <v>0</v>
      </c>
      <c r="CI19" s="674">
        <v>1267.670071802587</v>
      </c>
      <c r="CJ19" s="40">
        <v>846.965424674215</v>
      </c>
      <c r="CK19" s="52">
        <v>-420.70464712837202</v>
      </c>
      <c r="CL19" s="674">
        <v>0</v>
      </c>
      <c r="CM19" s="40">
        <v>0</v>
      </c>
      <c r="CN19" s="52">
        <v>0</v>
      </c>
      <c r="CO19" s="39">
        <v>1267.670071802587</v>
      </c>
      <c r="CP19" s="40">
        <v>846.965424674215</v>
      </c>
      <c r="CQ19" s="52">
        <v>-420.70464712837202</v>
      </c>
      <c r="CR19" s="72">
        <v>24249.972460538818</v>
      </c>
      <c r="CS19" s="5">
        <v>21855.724531904532</v>
      </c>
      <c r="CT19" s="52">
        <v>-2394.2479286342859</v>
      </c>
      <c r="CU19" s="77">
        <v>29099.96695264658</v>
      </c>
      <c r="CV19" s="65">
        <v>26226.869438285437</v>
      </c>
      <c r="CW19" s="35">
        <v>-2873.0975143611431</v>
      </c>
      <c r="CX19" s="73">
        <v>297.89937291319978</v>
      </c>
      <c r="CY19" s="40">
        <v>3170.9968872743407</v>
      </c>
      <c r="CZ19" s="52">
        <v>2873.0975143611408</v>
      </c>
      <c r="DA19" s="150">
        <v>404.41326809583279</v>
      </c>
      <c r="DB19" s="2">
        <v>1</v>
      </c>
      <c r="DC19" s="675">
        <v>9323.2000000000007</v>
      </c>
      <c r="DD19" s="675">
        <v>0</v>
      </c>
      <c r="DE19" s="675">
        <v>6746.4355058346264</v>
      </c>
      <c r="DF19" s="675">
        <v>0</v>
      </c>
      <c r="DG19" s="321">
        <v>3277.5107824569741</v>
      </c>
      <c r="DH19" s="40">
        <v>29395.637952328565</v>
      </c>
      <c r="DI19" s="422">
        <v>2576.7644941653748</v>
      </c>
      <c r="DJ19" s="306">
        <v>6.2858646455867451</v>
      </c>
      <c r="DK19" s="306">
        <v>6.2858646455867451</v>
      </c>
      <c r="DL19" s="306">
        <v>5.378504172439234</v>
      </c>
      <c r="DM19" s="28">
        <v>2576.7644941653743</v>
      </c>
      <c r="DN19" s="28">
        <v>0</v>
      </c>
      <c r="DO19" s="423">
        <v>2576.7644941653743</v>
      </c>
      <c r="DP19" s="94">
        <v>0</v>
      </c>
      <c r="DQ19" s="28">
        <v>2576.7644941653743</v>
      </c>
      <c r="DR19" s="318"/>
      <c r="DT19" s="8"/>
      <c r="DU19" s="5"/>
      <c r="DX19" s="5">
        <v>7784.9425542617937</v>
      </c>
      <c r="DY19" s="5">
        <v>4043.2139101336238</v>
      </c>
      <c r="DZ19" s="159">
        <v>670.46976059571546</v>
      </c>
      <c r="EB19" s="676">
        <v>-356.31763354621216</v>
      </c>
      <c r="EC19" s="676">
        <v>-292.89219880666019</v>
      </c>
      <c r="ED19" s="676">
        <v>-544.11112744723664</v>
      </c>
      <c r="EE19" s="676">
        <v>-539.56352720114683</v>
      </c>
      <c r="EF19" s="676">
        <v>327.94749685805436</v>
      </c>
      <c r="EG19" s="676">
        <v>-633.41838661568158</v>
      </c>
      <c r="EH19" s="676">
        <v>-1167.4671264771489</v>
      </c>
      <c r="EI19" s="676">
        <v>-383.30857630055789</v>
      </c>
      <c r="EJ19" s="676">
        <v>-127.83441849562587</v>
      </c>
      <c r="EK19" s="676">
        <v>-50.69690676060236</v>
      </c>
      <c r="EL19" s="676">
        <v>1311.6573435099449</v>
      </c>
      <c r="EM19" s="676">
        <v>-417.09245307826814</v>
      </c>
      <c r="EN19" s="676">
        <v>-2873.0975143611413</v>
      </c>
      <c r="EQ19" s="5">
        <v>7784.9425542617937</v>
      </c>
      <c r="ER19" s="5">
        <v>4043.2139101336238</v>
      </c>
      <c r="ET19" s="318">
        <v>-2622.8008376932521</v>
      </c>
      <c r="EU19" s="5">
        <v>641.31162015022755</v>
      </c>
    </row>
    <row r="20" spans="1:151" x14ac:dyDescent="0.3">
      <c r="A20" s="325">
        <v>150000496</v>
      </c>
      <c r="B20" s="41" t="s">
        <v>469</v>
      </c>
      <c r="C20" s="42" t="s">
        <v>149</v>
      </c>
      <c r="D20" s="27">
        <v>2</v>
      </c>
      <c r="E20" s="293">
        <v>403.93</v>
      </c>
      <c r="F20" s="305">
        <v>403.93</v>
      </c>
      <c r="G20" s="508">
        <v>0</v>
      </c>
      <c r="H20" s="677">
        <v>0</v>
      </c>
      <c r="I20" s="674">
        <v>1235.2339050528719</v>
      </c>
      <c r="J20" s="40">
        <v>1125.8696239889557</v>
      </c>
      <c r="K20" s="52">
        <v>-109.36428106391622</v>
      </c>
      <c r="L20" s="674">
        <v>417.92614260532406</v>
      </c>
      <c r="M20" s="40">
        <v>333.11848657930807</v>
      </c>
      <c r="N20" s="52">
        <v>-84.807656026015991</v>
      </c>
      <c r="O20" s="674">
        <v>610.8166467026349</v>
      </c>
      <c r="P20" s="40">
        <v>610.86000000000024</v>
      </c>
      <c r="Q20" s="52">
        <v>4.3353297365342769E-2</v>
      </c>
      <c r="R20" s="674">
        <v>0</v>
      </c>
      <c r="S20" s="40">
        <v>0</v>
      </c>
      <c r="T20" s="52">
        <v>0</v>
      </c>
      <c r="U20" s="674">
        <v>0</v>
      </c>
      <c r="V20" s="40">
        <v>0</v>
      </c>
      <c r="W20" s="52">
        <v>0</v>
      </c>
      <c r="X20" s="674">
        <v>648.00434553652633</v>
      </c>
      <c r="Y20" s="40">
        <v>517.36663457607585</v>
      </c>
      <c r="Z20" s="52">
        <v>-130.63771096045048</v>
      </c>
      <c r="AA20" s="674">
        <v>48.471599999999995</v>
      </c>
      <c r="AB20" s="40">
        <v>0</v>
      </c>
      <c r="AC20" s="52">
        <v>-48.471599999999995</v>
      </c>
      <c r="AD20" s="674">
        <v>1731.85361033339</v>
      </c>
      <c r="AE20" s="40">
        <v>1716.1862136832394</v>
      </c>
      <c r="AF20" s="35">
        <v>-15.667396650150522</v>
      </c>
      <c r="AG20" s="77">
        <v>4692.3062502307475</v>
      </c>
      <c r="AH20" s="53">
        <v>4303.4009588275794</v>
      </c>
      <c r="AI20" s="52">
        <v>-388.90529140316812</v>
      </c>
      <c r="AJ20" s="674">
        <v>0</v>
      </c>
      <c r="AK20" s="40">
        <v>0</v>
      </c>
      <c r="AL20" s="52">
        <v>0</v>
      </c>
      <c r="AM20" s="674">
        <v>0</v>
      </c>
      <c r="AN20" s="40">
        <v>0</v>
      </c>
      <c r="AO20" s="52">
        <v>0</v>
      </c>
      <c r="AP20" s="674">
        <v>1079.2403786042846</v>
      </c>
      <c r="AQ20" s="40">
        <v>943.40170589717445</v>
      </c>
      <c r="AR20" s="52">
        <v>-135.83867270711016</v>
      </c>
      <c r="AS20" s="674">
        <v>4639.8621762468274</v>
      </c>
      <c r="AT20" s="40">
        <v>2611.3449251113534</v>
      </c>
      <c r="AU20" s="54">
        <v>-2028.517251135474</v>
      </c>
      <c r="AV20" s="674">
        <v>535.58870847211983</v>
      </c>
      <c r="AW20" s="40">
        <v>0</v>
      </c>
      <c r="AX20" s="55">
        <v>-535.58870847211983</v>
      </c>
      <c r="AY20" s="674">
        <v>685.11407161147292</v>
      </c>
      <c r="AZ20" s="40">
        <v>0</v>
      </c>
      <c r="BA20" s="35">
        <v>-685.11407161147292</v>
      </c>
      <c r="BB20" s="674">
        <v>165.75602232864102</v>
      </c>
      <c r="BC20" s="40">
        <v>0</v>
      </c>
      <c r="BD20" s="55">
        <v>-165.75602232864102</v>
      </c>
      <c r="BE20" s="674">
        <v>0</v>
      </c>
      <c r="BF20" s="40">
        <v>0</v>
      </c>
      <c r="BG20" s="38">
        <v>0</v>
      </c>
      <c r="BH20" s="674">
        <v>0</v>
      </c>
      <c r="BI20" s="40">
        <v>0</v>
      </c>
      <c r="BJ20" s="55">
        <v>0</v>
      </c>
      <c r="BK20" s="674">
        <v>110.09829986336118</v>
      </c>
      <c r="BL20" s="40">
        <v>0</v>
      </c>
      <c r="BM20" s="38">
        <v>-110.09829986336118</v>
      </c>
      <c r="BN20" s="674">
        <v>151.34721602375529</v>
      </c>
      <c r="BO20" s="40">
        <v>0</v>
      </c>
      <c r="BP20" s="55">
        <v>-151.34721602375529</v>
      </c>
      <c r="BQ20" s="77">
        <v>1647.9043182993501</v>
      </c>
      <c r="BR20" s="40">
        <v>0</v>
      </c>
      <c r="BS20" s="55">
        <v>-1647.9043182993501</v>
      </c>
      <c r="BT20" s="674">
        <v>4715.6960672935893</v>
      </c>
      <c r="BU20" s="40">
        <v>6118.7459833180274</v>
      </c>
      <c r="BV20" s="52">
        <v>1403.0499160244381</v>
      </c>
      <c r="BW20" s="674">
        <v>3119.3011131315511</v>
      </c>
      <c r="BX20" s="40">
        <v>3529.6674956345273</v>
      </c>
      <c r="BY20" s="52">
        <v>410.36638250297619</v>
      </c>
      <c r="BZ20" s="674">
        <v>1974.366466038296</v>
      </c>
      <c r="CA20" s="40">
        <v>1438.2119912981389</v>
      </c>
      <c r="CB20" s="52">
        <v>-536.15447474015718</v>
      </c>
      <c r="CC20" s="674">
        <v>0</v>
      </c>
      <c r="CD20" s="40">
        <v>0</v>
      </c>
      <c r="CE20" s="52">
        <v>0</v>
      </c>
      <c r="CF20" s="674">
        <v>0</v>
      </c>
      <c r="CG20" s="40">
        <v>0</v>
      </c>
      <c r="CH20" s="52">
        <v>0</v>
      </c>
      <c r="CI20" s="674">
        <v>1880.336244406516</v>
      </c>
      <c r="CJ20" s="40">
        <v>1712.0009744819799</v>
      </c>
      <c r="CK20" s="52">
        <v>-168.33526992453608</v>
      </c>
      <c r="CL20" s="674">
        <v>0</v>
      </c>
      <c r="CM20" s="40">
        <v>0</v>
      </c>
      <c r="CN20" s="52">
        <v>0</v>
      </c>
      <c r="CO20" s="39">
        <v>1880.336244406516</v>
      </c>
      <c r="CP20" s="40">
        <v>1712.0009744819799</v>
      </c>
      <c r="CQ20" s="52">
        <v>-168.33526992453608</v>
      </c>
      <c r="CR20" s="72">
        <v>23749.013014251163</v>
      </c>
      <c r="CS20" s="5">
        <v>20656.774034568782</v>
      </c>
      <c r="CT20" s="52">
        <v>-3092.2389796823809</v>
      </c>
      <c r="CU20" s="77">
        <v>28498.815617101394</v>
      </c>
      <c r="CV20" s="65">
        <v>24788.128841482536</v>
      </c>
      <c r="CW20" s="35">
        <v>-3710.6867756188585</v>
      </c>
      <c r="CX20" s="73">
        <v>861.66918057714531</v>
      </c>
      <c r="CY20" s="40">
        <v>4572.3559561960028</v>
      </c>
      <c r="CZ20" s="52">
        <v>3710.6867756188576</v>
      </c>
      <c r="DA20" s="150">
        <v>25324.034899954604</v>
      </c>
      <c r="DB20" s="2">
        <v>1</v>
      </c>
      <c r="DC20" s="675">
        <v>15613.23</v>
      </c>
      <c r="DD20" s="675">
        <v>0</v>
      </c>
      <c r="DE20" s="675">
        <v>13036.148582008333</v>
      </c>
      <c r="DF20" s="675">
        <v>0</v>
      </c>
      <c r="DG20" s="321">
        <v>29034.721675573459</v>
      </c>
      <c r="DH20" s="40">
        <v>29358.270868819985</v>
      </c>
      <c r="DI20" s="422">
        <v>2577.0814179916661</v>
      </c>
      <c r="DJ20" s="306">
        <v>6.3800198499533733</v>
      </c>
      <c r="DK20" s="306">
        <v>6.3800198499533733</v>
      </c>
      <c r="DL20" s="306">
        <v>5.4179558879841263</v>
      </c>
      <c r="DM20" s="28">
        <v>2577.0814179916661</v>
      </c>
      <c r="DN20" s="28">
        <v>0</v>
      </c>
      <c r="DO20" s="423">
        <v>2577.0814179916661</v>
      </c>
      <c r="DP20" s="94">
        <v>0</v>
      </c>
      <c r="DQ20" s="28">
        <v>2577.0814179916661</v>
      </c>
      <c r="DR20" s="318"/>
      <c r="DT20" s="8"/>
      <c r="DU20" s="5"/>
      <c r="DX20" s="5">
        <v>7545.3197934554128</v>
      </c>
      <c r="DY20" s="5">
        <v>3133.6139101336239</v>
      </c>
      <c r="DZ20" s="159">
        <v>651.38980347193876</v>
      </c>
      <c r="EB20" s="676">
        <v>-368.13774113218096</v>
      </c>
      <c r="EC20" s="676">
        <v>-859.16208039768117</v>
      </c>
      <c r="ED20" s="676">
        <v>-23.473264982575301</v>
      </c>
      <c r="EE20" s="676">
        <v>-758.15469289503085</v>
      </c>
      <c r="EF20" s="676">
        <v>-223.19760545927056</v>
      </c>
      <c r="EG20" s="676">
        <v>-579.30666094289563</v>
      </c>
      <c r="EH20" s="676">
        <v>-1061.1156732442373</v>
      </c>
      <c r="EI20" s="676">
        <v>-261.80846635060561</v>
      </c>
      <c r="EJ20" s="676">
        <v>-887.09720194953161</v>
      </c>
      <c r="EK20" s="676">
        <v>72.06682493899325</v>
      </c>
      <c r="EL20" s="676">
        <v>1432.4209622689318</v>
      </c>
      <c r="EM20" s="676">
        <v>-193.72117547277139</v>
      </c>
      <c r="EN20" s="676">
        <v>-3710.6867756188562</v>
      </c>
      <c r="EQ20" s="5">
        <v>7545.3197934554128</v>
      </c>
      <c r="ER20" s="5">
        <v>3133.6139101336239</v>
      </c>
      <c r="ET20" s="318">
        <v>-3410.5267152406468</v>
      </c>
      <c r="EU20" s="5">
        <v>-1121.751609185899</v>
      </c>
    </row>
    <row r="21" spans="1:151" x14ac:dyDescent="0.3">
      <c r="A21" s="325">
        <v>150000498</v>
      </c>
      <c r="B21" s="41" t="s">
        <v>470</v>
      </c>
      <c r="C21" s="42" t="s">
        <v>242</v>
      </c>
      <c r="D21" s="27">
        <v>5</v>
      </c>
      <c r="E21" s="293">
        <v>4890.7</v>
      </c>
      <c r="F21" s="305">
        <v>4845</v>
      </c>
      <c r="G21" s="508">
        <v>0</v>
      </c>
      <c r="H21" s="677">
        <v>45.7</v>
      </c>
      <c r="I21" s="674">
        <v>15848.006973927833</v>
      </c>
      <c r="J21" s="40">
        <v>13119.303406238792</v>
      </c>
      <c r="K21" s="52">
        <v>-2728.7035676890409</v>
      </c>
      <c r="L21" s="674">
        <v>3356.5667077877088</v>
      </c>
      <c r="M21" s="40">
        <v>2675.4694042993069</v>
      </c>
      <c r="N21" s="52">
        <v>-681.09730348840185</v>
      </c>
      <c r="O21" s="674">
        <v>7299.9984624532017</v>
      </c>
      <c r="P21" s="40">
        <v>7298.1850000000031</v>
      </c>
      <c r="Q21" s="52">
        <v>-1.8134624531985537</v>
      </c>
      <c r="R21" s="674">
        <v>0</v>
      </c>
      <c r="S21" s="40">
        <v>0</v>
      </c>
      <c r="T21" s="52">
        <v>0</v>
      </c>
      <c r="U21" s="674">
        <v>0</v>
      </c>
      <c r="V21" s="40">
        <v>0</v>
      </c>
      <c r="W21" s="52">
        <v>0</v>
      </c>
      <c r="X21" s="674">
        <v>12993.028681451278</v>
      </c>
      <c r="Y21" s="40">
        <v>10682.945330449744</v>
      </c>
      <c r="Z21" s="52">
        <v>-2310.0833510015345</v>
      </c>
      <c r="AA21" s="674">
        <v>587.18399999999997</v>
      </c>
      <c r="AB21" s="40">
        <v>0</v>
      </c>
      <c r="AC21" s="52">
        <v>-587.18399999999997</v>
      </c>
      <c r="AD21" s="674">
        <v>20968.881631092958</v>
      </c>
      <c r="AE21" s="40">
        <v>20783.542881242432</v>
      </c>
      <c r="AF21" s="35">
        <v>-185.33874985052535</v>
      </c>
      <c r="AG21" s="77">
        <v>61053.666456712977</v>
      </c>
      <c r="AH21" s="53">
        <v>54559.446022230273</v>
      </c>
      <c r="AI21" s="52">
        <v>-6494.2204344827041</v>
      </c>
      <c r="AJ21" s="674">
        <v>0</v>
      </c>
      <c r="AK21" s="40">
        <v>0</v>
      </c>
      <c r="AL21" s="52">
        <v>0</v>
      </c>
      <c r="AM21" s="674">
        <v>0</v>
      </c>
      <c r="AN21" s="40">
        <v>0</v>
      </c>
      <c r="AO21" s="52">
        <v>0</v>
      </c>
      <c r="AP21" s="674">
        <v>14839.555205808916</v>
      </c>
      <c r="AQ21" s="40">
        <v>13234.795230674481</v>
      </c>
      <c r="AR21" s="52">
        <v>-1604.7599751344351</v>
      </c>
      <c r="AS21" s="674">
        <v>39753.086361362293</v>
      </c>
      <c r="AT21" s="40">
        <v>141484.07139008056</v>
      </c>
      <c r="AU21" s="54">
        <v>101730.98502871826</v>
      </c>
      <c r="AV21" s="674">
        <v>3767.4657091205227</v>
      </c>
      <c r="AW21" s="40">
        <v>1920</v>
      </c>
      <c r="AX21" s="55">
        <v>-1847.4657091205227</v>
      </c>
      <c r="AY21" s="674">
        <v>5502.2809935676487</v>
      </c>
      <c r="AZ21" s="40">
        <v>1329</v>
      </c>
      <c r="BA21" s="35">
        <v>-4173.2809935676487</v>
      </c>
      <c r="BB21" s="674">
        <v>2396.227960867172</v>
      </c>
      <c r="BC21" s="40">
        <v>4578.05</v>
      </c>
      <c r="BD21" s="55">
        <v>2181.8220391328282</v>
      </c>
      <c r="BE21" s="674">
        <v>0</v>
      </c>
      <c r="BF21" s="40">
        <v>0</v>
      </c>
      <c r="BG21" s="38">
        <v>0</v>
      </c>
      <c r="BH21" s="674">
        <v>0</v>
      </c>
      <c r="BI21" s="40">
        <v>0</v>
      </c>
      <c r="BJ21" s="55">
        <v>0</v>
      </c>
      <c r="BK21" s="674">
        <v>3224.1598234264252</v>
      </c>
      <c r="BL21" s="40">
        <v>10612</v>
      </c>
      <c r="BM21" s="38">
        <v>7387.8401765735744</v>
      </c>
      <c r="BN21" s="674">
        <v>890.06789572441573</v>
      </c>
      <c r="BO21" s="40">
        <v>0</v>
      </c>
      <c r="BP21" s="55">
        <v>-890.06789572441573</v>
      </c>
      <c r="BQ21" s="77">
        <v>15780.202382706186</v>
      </c>
      <c r="BR21" s="40">
        <v>18439.05</v>
      </c>
      <c r="BS21" s="55">
        <v>2658.8476172938135</v>
      </c>
      <c r="BT21" s="674">
        <v>70314.411830091456</v>
      </c>
      <c r="BU21" s="40">
        <v>89303.459687404596</v>
      </c>
      <c r="BV21" s="52">
        <v>18989.04785731314</v>
      </c>
      <c r="BW21" s="674">
        <v>23563.481392850481</v>
      </c>
      <c r="BX21" s="40">
        <v>25653.933113335825</v>
      </c>
      <c r="BY21" s="52">
        <v>2090.4517204853437</v>
      </c>
      <c r="BZ21" s="674">
        <v>35811.48120279493</v>
      </c>
      <c r="CA21" s="40">
        <v>21941.939261415049</v>
      </c>
      <c r="CB21" s="52">
        <v>-13869.541941379881</v>
      </c>
      <c r="CC21" s="674">
        <v>1710.4612059635285</v>
      </c>
      <c r="CD21" s="40">
        <v>1797.7307485375163</v>
      </c>
      <c r="CE21" s="52">
        <v>87.269542573987792</v>
      </c>
      <c r="CF21" s="674">
        <v>209.05370457823989</v>
      </c>
      <c r="CG21" s="40">
        <v>0</v>
      </c>
      <c r="CH21" s="52">
        <v>-209.05370457823989</v>
      </c>
      <c r="CI21" s="674">
        <v>10337.363567240438</v>
      </c>
      <c r="CJ21" s="40">
        <v>10775.003469856047</v>
      </c>
      <c r="CK21" s="52">
        <v>437.63990261560866</v>
      </c>
      <c r="CL21" s="674">
        <v>0</v>
      </c>
      <c r="CM21" s="40">
        <v>0</v>
      </c>
      <c r="CN21" s="52">
        <v>0</v>
      </c>
      <c r="CO21" s="39">
        <v>10337.363567240438</v>
      </c>
      <c r="CP21" s="40">
        <v>10775.003469856047</v>
      </c>
      <c r="CQ21" s="52">
        <v>437.63990261560866</v>
      </c>
      <c r="CR21" s="72">
        <v>273372.76331010944</v>
      </c>
      <c r="CS21" s="5">
        <v>377189.42892353429</v>
      </c>
      <c r="CT21" s="52">
        <v>103816.66561342485</v>
      </c>
      <c r="CU21" s="77">
        <v>328047.31597213133</v>
      </c>
      <c r="CV21" s="65">
        <v>452627.31470824115</v>
      </c>
      <c r="CW21" s="35">
        <v>124579.99873610982</v>
      </c>
      <c r="CX21" s="73">
        <v>15135.429932460407</v>
      </c>
      <c r="CY21" s="40">
        <v>-109444.56880364951</v>
      </c>
      <c r="CZ21" s="52">
        <v>-124579.99873610992</v>
      </c>
      <c r="DA21" s="150">
        <v>52154.371303336666</v>
      </c>
      <c r="DB21" s="2">
        <v>1</v>
      </c>
      <c r="DC21" s="675">
        <v>62760.26</v>
      </c>
      <c r="DD21" s="675">
        <v>255.74</v>
      </c>
      <c r="DE21" s="675">
        <v>32932.374729203337</v>
      </c>
      <c r="DF21" s="675">
        <v>-6.9848746980767373E-3</v>
      </c>
      <c r="DG21" s="321">
        <v>-72425.627432773239</v>
      </c>
      <c r="DH21" s="40">
        <v>343156.74275262491</v>
      </c>
      <c r="DI21" s="422">
        <v>30083.63225567136</v>
      </c>
      <c r="DJ21" s="306">
        <v>6.1564262684822832</v>
      </c>
      <c r="DK21" s="306">
        <v>6.1564262684822832</v>
      </c>
      <c r="DL21" s="306">
        <v>5.5962141110437216</v>
      </c>
      <c r="DM21" s="28">
        <v>29827.885270796662</v>
      </c>
      <c r="DN21" s="28">
        <v>255.74698487469809</v>
      </c>
      <c r="DO21" s="423">
        <v>30083.63225567136</v>
      </c>
      <c r="DP21" s="94">
        <v>0</v>
      </c>
      <c r="DQ21" s="28">
        <v>30083.63225567136</v>
      </c>
      <c r="DR21" s="318"/>
      <c r="DT21" s="8"/>
      <c r="DU21" s="5"/>
      <c r="DX21" s="5">
        <v>66639.946492882169</v>
      </c>
      <c r="DY21" s="5">
        <v>191907.74566809664</v>
      </c>
      <c r="DZ21" s="159">
        <v>5723.8105207418594</v>
      </c>
      <c r="EB21" s="676">
        <v>-2327.1565748661706</v>
      </c>
      <c r="EC21" s="676">
        <v>-6664.437015166568</v>
      </c>
      <c r="ED21" s="676">
        <v>-2197.5200457543397</v>
      </c>
      <c r="EE21" s="676">
        <v>-8055.0768323938755</v>
      </c>
      <c r="EF21" s="676">
        <v>-4600.6683490174692</v>
      </c>
      <c r="EG21" s="676">
        <v>-1634.7613638299517</v>
      </c>
      <c r="EH21" s="676">
        <v>3582.8766375345222</v>
      </c>
      <c r="EI21" s="676">
        <v>2314.0467235821889</v>
      </c>
      <c r="EJ21" s="676">
        <v>143257.98159940465</v>
      </c>
      <c r="EK21" s="676">
        <v>277.41799044589789</v>
      </c>
      <c r="EL21" s="676">
        <v>-1146.7398481948985</v>
      </c>
      <c r="EM21" s="676">
        <v>1774.0358143659287</v>
      </c>
      <c r="EN21" s="676">
        <v>124579.9987361099</v>
      </c>
      <c r="EQ21" s="5">
        <v>66639.946492882169</v>
      </c>
      <c r="ER21" s="5">
        <v>191907.74566809664</v>
      </c>
      <c r="ET21" s="318">
        <v>-12776.109815016909</v>
      </c>
      <c r="EU21" s="5">
        <v>-14341.517617756339</v>
      </c>
    </row>
    <row r="22" spans="1:151" x14ac:dyDescent="0.3">
      <c r="A22" s="325">
        <v>150000969</v>
      </c>
      <c r="B22" s="41" t="s">
        <v>471</v>
      </c>
      <c r="C22" s="42" t="s">
        <v>193</v>
      </c>
      <c r="D22" s="27">
        <v>3</v>
      </c>
      <c r="E22" s="293">
        <v>753.3</v>
      </c>
      <c r="F22" s="305">
        <v>664</v>
      </c>
      <c r="G22" s="508">
        <v>0</v>
      </c>
      <c r="H22" s="677">
        <v>89.3</v>
      </c>
      <c r="I22" s="674">
        <v>3601.3121166810915</v>
      </c>
      <c r="J22" s="40">
        <v>3898.4653815312595</v>
      </c>
      <c r="K22" s="52">
        <v>297.15326485016794</v>
      </c>
      <c r="L22" s="674">
        <v>745.95492635746757</v>
      </c>
      <c r="M22" s="40">
        <v>816.47293549337928</v>
      </c>
      <c r="N22" s="52">
        <v>70.518009135911711</v>
      </c>
      <c r="O22" s="674">
        <v>974.00950862811032</v>
      </c>
      <c r="P22" s="40">
        <v>974.01000000000022</v>
      </c>
      <c r="Q22" s="52">
        <v>4.913718898933439E-4</v>
      </c>
      <c r="R22" s="674">
        <v>0</v>
      </c>
      <c r="S22" s="40">
        <v>0</v>
      </c>
      <c r="T22" s="52">
        <v>0</v>
      </c>
      <c r="U22" s="674">
        <v>0</v>
      </c>
      <c r="V22" s="40">
        <v>0</v>
      </c>
      <c r="W22" s="52">
        <v>0</v>
      </c>
      <c r="X22" s="674">
        <v>2077.9331696645695</v>
      </c>
      <c r="Y22" s="40">
        <v>1532.222829336773</v>
      </c>
      <c r="Z22" s="52">
        <v>-545.71034032779653</v>
      </c>
      <c r="AA22" s="674">
        <v>90.240000000000009</v>
      </c>
      <c r="AB22" s="40">
        <v>0</v>
      </c>
      <c r="AC22" s="52">
        <v>-90.240000000000009</v>
      </c>
      <c r="AD22" s="674">
        <v>3223.1068905522388</v>
      </c>
      <c r="AE22" s="40">
        <v>3200.1302668571798</v>
      </c>
      <c r="AF22" s="35">
        <v>-22.976623695059061</v>
      </c>
      <c r="AG22" s="77">
        <v>10712.556611883478</v>
      </c>
      <c r="AH22" s="53">
        <v>10421.301413218593</v>
      </c>
      <c r="AI22" s="52">
        <v>-291.25519866488503</v>
      </c>
      <c r="AJ22" s="674">
        <v>0</v>
      </c>
      <c r="AK22" s="40">
        <v>0</v>
      </c>
      <c r="AL22" s="52">
        <v>0</v>
      </c>
      <c r="AM22" s="674">
        <v>0</v>
      </c>
      <c r="AN22" s="40">
        <v>0</v>
      </c>
      <c r="AO22" s="52">
        <v>0</v>
      </c>
      <c r="AP22" s="674">
        <v>2833.0059938362469</v>
      </c>
      <c r="AQ22" s="40">
        <v>2163.8826222998582</v>
      </c>
      <c r="AR22" s="52">
        <v>-669.12337153638873</v>
      </c>
      <c r="AS22" s="674">
        <v>8605.5722344097467</v>
      </c>
      <c r="AT22" s="40">
        <v>8099.75</v>
      </c>
      <c r="AU22" s="54">
        <v>-505.82223440974667</v>
      </c>
      <c r="AV22" s="674">
        <v>823.90115713627574</v>
      </c>
      <c r="AW22" s="40">
        <v>0</v>
      </c>
      <c r="AX22" s="55">
        <v>-823.90115713627574</v>
      </c>
      <c r="AY22" s="674">
        <v>1222.7188433059059</v>
      </c>
      <c r="AZ22" s="40">
        <v>0</v>
      </c>
      <c r="BA22" s="35">
        <v>-1222.7188433059059</v>
      </c>
      <c r="BB22" s="674">
        <v>380.50909994130683</v>
      </c>
      <c r="BC22" s="40">
        <v>0</v>
      </c>
      <c r="BD22" s="55">
        <v>-380.50909994130683</v>
      </c>
      <c r="BE22" s="674">
        <v>0</v>
      </c>
      <c r="BF22" s="40">
        <v>0</v>
      </c>
      <c r="BG22" s="38">
        <v>0</v>
      </c>
      <c r="BH22" s="674">
        <v>0</v>
      </c>
      <c r="BI22" s="40">
        <v>0</v>
      </c>
      <c r="BJ22" s="55">
        <v>0</v>
      </c>
      <c r="BK22" s="674">
        <v>311.18837484172639</v>
      </c>
      <c r="BL22" s="40">
        <v>711</v>
      </c>
      <c r="BM22" s="38">
        <v>399.81162515827361</v>
      </c>
      <c r="BN22" s="674">
        <v>22.560000000000002</v>
      </c>
      <c r="BO22" s="40">
        <v>0</v>
      </c>
      <c r="BP22" s="55">
        <v>-22.560000000000002</v>
      </c>
      <c r="BQ22" s="77">
        <v>2760.8774752252148</v>
      </c>
      <c r="BR22" s="40">
        <v>711</v>
      </c>
      <c r="BS22" s="55">
        <v>-2049.8774752252148</v>
      </c>
      <c r="BT22" s="674">
        <v>7993.7096965385726</v>
      </c>
      <c r="BU22" s="40">
        <v>8056.9798760993026</v>
      </c>
      <c r="BV22" s="52">
        <v>63.270179560729957</v>
      </c>
      <c r="BW22" s="674">
        <v>5015.0189765103878</v>
      </c>
      <c r="BX22" s="40">
        <v>4459.1026670061992</v>
      </c>
      <c r="BY22" s="52">
        <v>-555.91630950418858</v>
      </c>
      <c r="BZ22" s="674">
        <v>3406.6400499078077</v>
      </c>
      <c r="CA22" s="40">
        <v>2167.305563345798</v>
      </c>
      <c r="CB22" s="52">
        <v>-1239.3344865620097</v>
      </c>
      <c r="CC22" s="674">
        <v>430.74165219227791</v>
      </c>
      <c r="CD22" s="40">
        <v>452.71854756021935</v>
      </c>
      <c r="CE22" s="52">
        <v>21.976895367941438</v>
      </c>
      <c r="CF22" s="674">
        <v>52.64553080361847</v>
      </c>
      <c r="CG22" s="40">
        <v>0</v>
      </c>
      <c r="CH22" s="52">
        <v>-52.64553080361847</v>
      </c>
      <c r="CI22" s="674">
        <v>1567.1773811091507</v>
      </c>
      <c r="CJ22" s="40">
        <v>1439.4863756295651</v>
      </c>
      <c r="CK22" s="52">
        <v>-127.69100547958556</v>
      </c>
      <c r="CL22" s="674">
        <v>0</v>
      </c>
      <c r="CM22" s="40">
        <v>0</v>
      </c>
      <c r="CN22" s="52">
        <v>0</v>
      </c>
      <c r="CO22" s="39">
        <v>1567.1773811091507</v>
      </c>
      <c r="CP22" s="40">
        <v>1439.4863756295651</v>
      </c>
      <c r="CQ22" s="52">
        <v>-127.69100547958556</v>
      </c>
      <c r="CR22" s="72">
        <v>43377.945602416497</v>
      </c>
      <c r="CS22" s="5">
        <v>37971.527065159535</v>
      </c>
      <c r="CT22" s="52">
        <v>-5406.4185372569627</v>
      </c>
      <c r="CU22" s="77">
        <v>52053.534722899793</v>
      </c>
      <c r="CV22" s="65">
        <v>45565.832478191442</v>
      </c>
      <c r="CW22" s="35">
        <v>-6487.7022447083509</v>
      </c>
      <c r="CX22" s="73">
        <v>530.37146293152648</v>
      </c>
      <c r="CY22" s="40">
        <v>7018.0737076398927</v>
      </c>
      <c r="CZ22" s="52">
        <v>6487.7022447083664</v>
      </c>
      <c r="DA22" s="150">
        <v>14304.750380403822</v>
      </c>
      <c r="DB22" s="2">
        <v>2</v>
      </c>
      <c r="DC22" s="675">
        <v>3754.45</v>
      </c>
      <c r="DD22" s="675">
        <v>2854.7500000000005</v>
      </c>
      <c r="DE22" s="675">
        <v>-379.08833710952877</v>
      </c>
      <c r="DF22" s="675">
        <v>2373.4919690372399</v>
      </c>
      <c r="DG22" s="321">
        <v>20792.45262511219</v>
      </c>
      <c r="DH22" s="40">
        <v>52579.938854315842</v>
      </c>
      <c r="DI22" s="422">
        <v>4614.7963680722887</v>
      </c>
      <c r="DJ22" s="306">
        <v>6.2252083390203738</v>
      </c>
      <c r="DK22" s="306">
        <v>6.2252083390203738</v>
      </c>
      <c r="DL22" s="306">
        <v>5.3892276703556599</v>
      </c>
      <c r="DM22" s="28">
        <v>4133.5383371095286</v>
      </c>
      <c r="DN22" s="28">
        <v>481.25803096276042</v>
      </c>
      <c r="DO22" s="423">
        <v>4614.7963680722887</v>
      </c>
      <c r="DP22" s="94">
        <v>0</v>
      </c>
      <c r="DQ22" s="28">
        <v>4614.7963680722887</v>
      </c>
      <c r="DR22" s="318"/>
      <c r="DT22" s="8"/>
      <c r="DU22" s="5"/>
      <c r="DX22" s="5">
        <v>13639.739651561955</v>
      </c>
      <c r="DY22" s="5">
        <v>10572.9</v>
      </c>
      <c r="DZ22" s="159">
        <v>1197.2245596060666</v>
      </c>
      <c r="EB22" s="676">
        <v>-507.55643119493789</v>
      </c>
      <c r="EC22" s="676">
        <v>-98.143859533727209</v>
      </c>
      <c r="ED22" s="676">
        <v>5329.0474780949207</v>
      </c>
      <c r="EE22" s="676">
        <v>-1767.0187382026011</v>
      </c>
      <c r="EF22" s="676">
        <v>-1867.5295735232739</v>
      </c>
      <c r="EG22" s="676">
        <v>-2966.0990531177076</v>
      </c>
      <c r="EH22" s="676">
        <v>-1207.8799622384299</v>
      </c>
      <c r="EI22" s="676">
        <v>-1475.3922847268045</v>
      </c>
      <c r="EJ22" s="676">
        <v>-1262.0115854234059</v>
      </c>
      <c r="EK22" s="676">
        <v>-1498.5595615629077</v>
      </c>
      <c r="EL22" s="676">
        <v>-310.54619457836634</v>
      </c>
      <c r="EM22" s="676">
        <v>1143.9875212988754</v>
      </c>
      <c r="EN22" s="676">
        <v>-6487.7022447083673</v>
      </c>
      <c r="EQ22" s="5">
        <v>13639.739651561955</v>
      </c>
      <c r="ER22" s="5">
        <v>10572.9</v>
      </c>
      <c r="ET22" s="318">
        <v>-10923.180966882068</v>
      </c>
      <c r="EU22" s="5">
        <v>21123.833591994269</v>
      </c>
    </row>
    <row r="23" spans="1:151" x14ac:dyDescent="0.3">
      <c r="A23" s="325">
        <v>150000989</v>
      </c>
      <c r="B23" s="41" t="s">
        <v>472</v>
      </c>
      <c r="C23" s="42" t="s">
        <v>38</v>
      </c>
      <c r="D23" s="27">
        <v>1</v>
      </c>
      <c r="E23" s="293">
        <v>256.91000000000003</v>
      </c>
      <c r="F23" s="305">
        <v>206.8</v>
      </c>
      <c r="G23" s="508">
        <v>0</v>
      </c>
      <c r="H23" s="677">
        <v>50.11</v>
      </c>
      <c r="I23" s="674">
        <v>0</v>
      </c>
      <c r="J23" s="40">
        <v>0</v>
      </c>
      <c r="K23" s="52">
        <v>0</v>
      </c>
      <c r="L23" s="674">
        <v>0</v>
      </c>
      <c r="M23" s="40">
        <v>0</v>
      </c>
      <c r="N23" s="52">
        <v>0</v>
      </c>
      <c r="O23" s="674">
        <v>0</v>
      </c>
      <c r="P23" s="40">
        <v>0</v>
      </c>
      <c r="Q23" s="52">
        <v>0</v>
      </c>
      <c r="R23" s="674">
        <v>0</v>
      </c>
      <c r="S23" s="40">
        <v>0</v>
      </c>
      <c r="T23" s="52">
        <v>0</v>
      </c>
      <c r="U23" s="674">
        <v>0</v>
      </c>
      <c r="V23" s="40">
        <v>0</v>
      </c>
      <c r="W23" s="52">
        <v>0</v>
      </c>
      <c r="X23" s="674">
        <v>0</v>
      </c>
      <c r="Y23" s="40">
        <v>0</v>
      </c>
      <c r="Z23" s="52">
        <v>0</v>
      </c>
      <c r="AA23" s="674">
        <v>30.8292</v>
      </c>
      <c r="AB23" s="40">
        <v>0</v>
      </c>
      <c r="AC23" s="52">
        <v>-30.8292</v>
      </c>
      <c r="AD23" s="674">
        <v>231.49774295167015</v>
      </c>
      <c r="AE23" s="40">
        <v>1019.3979656596591</v>
      </c>
      <c r="AF23" s="35">
        <v>787.90022270798897</v>
      </c>
      <c r="AG23" s="77">
        <v>262.32694295167016</v>
      </c>
      <c r="AH23" s="53">
        <v>1019.3979656596591</v>
      </c>
      <c r="AI23" s="52">
        <v>757.07102270798896</v>
      </c>
      <c r="AJ23" s="674">
        <v>0</v>
      </c>
      <c r="AK23" s="40">
        <v>0</v>
      </c>
      <c r="AL23" s="52">
        <v>0</v>
      </c>
      <c r="AM23" s="674">
        <v>0</v>
      </c>
      <c r="AN23" s="40">
        <v>0</v>
      </c>
      <c r="AO23" s="52">
        <v>0</v>
      </c>
      <c r="AP23" s="674">
        <v>449.6834910851187</v>
      </c>
      <c r="AQ23" s="40">
        <v>373.97041602492402</v>
      </c>
      <c r="AR23" s="52">
        <v>-75.713075060194683</v>
      </c>
      <c r="AS23" s="674">
        <v>2377.2926744278893</v>
      </c>
      <c r="AT23" s="40">
        <v>2126</v>
      </c>
      <c r="AU23" s="54">
        <v>-251.29267442788932</v>
      </c>
      <c r="AV23" s="674">
        <v>0</v>
      </c>
      <c r="AW23" s="40">
        <v>0</v>
      </c>
      <c r="AX23" s="55">
        <v>0</v>
      </c>
      <c r="AY23" s="674">
        <v>0</v>
      </c>
      <c r="AZ23" s="40">
        <v>0</v>
      </c>
      <c r="BA23" s="35">
        <v>0</v>
      </c>
      <c r="BB23" s="674">
        <v>0</v>
      </c>
      <c r="BC23" s="40">
        <v>0</v>
      </c>
      <c r="BD23" s="55">
        <v>0</v>
      </c>
      <c r="BE23" s="674">
        <v>0</v>
      </c>
      <c r="BF23" s="40">
        <v>0</v>
      </c>
      <c r="BG23" s="38">
        <v>0</v>
      </c>
      <c r="BH23" s="674">
        <v>0</v>
      </c>
      <c r="BI23" s="40">
        <v>0</v>
      </c>
      <c r="BJ23" s="55">
        <v>0</v>
      </c>
      <c r="BK23" s="674">
        <v>0</v>
      </c>
      <c r="BL23" s="40">
        <v>0</v>
      </c>
      <c r="BM23" s="38">
        <v>0</v>
      </c>
      <c r="BN23" s="674">
        <v>7.7073</v>
      </c>
      <c r="BO23" s="40">
        <v>0</v>
      </c>
      <c r="BP23" s="55">
        <v>-7.7073</v>
      </c>
      <c r="BQ23" s="77">
        <v>7.7073</v>
      </c>
      <c r="BR23" s="40">
        <v>0</v>
      </c>
      <c r="BS23" s="55">
        <v>-7.7073</v>
      </c>
      <c r="BT23" s="674">
        <v>71.781032262592504</v>
      </c>
      <c r="BU23" s="40">
        <v>93.869332493052823</v>
      </c>
      <c r="BV23" s="52">
        <v>22.08830023046032</v>
      </c>
      <c r="BW23" s="674">
        <v>0</v>
      </c>
      <c r="BX23" s="40">
        <v>5.5634254139171677</v>
      </c>
      <c r="BY23" s="52">
        <v>5.5634254139171677</v>
      </c>
      <c r="BZ23" s="674">
        <v>0</v>
      </c>
      <c r="CA23" s="40">
        <v>31.159034695084443</v>
      </c>
      <c r="CB23" s="52">
        <v>31.159034695084443</v>
      </c>
      <c r="CC23" s="674">
        <v>0</v>
      </c>
      <c r="CD23" s="40">
        <v>0</v>
      </c>
      <c r="CE23" s="52">
        <v>0</v>
      </c>
      <c r="CF23" s="674">
        <v>0</v>
      </c>
      <c r="CG23" s="40">
        <v>0</v>
      </c>
      <c r="CH23" s="52">
        <v>0</v>
      </c>
      <c r="CI23" s="674">
        <v>0</v>
      </c>
      <c r="CJ23" s="40">
        <v>0</v>
      </c>
      <c r="CK23" s="52">
        <v>0</v>
      </c>
      <c r="CL23" s="674">
        <v>0</v>
      </c>
      <c r="CM23" s="40">
        <v>0</v>
      </c>
      <c r="CN23" s="52">
        <v>0</v>
      </c>
      <c r="CO23" s="39">
        <v>0</v>
      </c>
      <c r="CP23" s="40">
        <v>0</v>
      </c>
      <c r="CQ23" s="52">
        <v>0</v>
      </c>
      <c r="CR23" s="72">
        <v>3168.7914407272706</v>
      </c>
      <c r="CS23" s="5">
        <v>3649.9601742866375</v>
      </c>
      <c r="CT23" s="52">
        <v>481.16873355936696</v>
      </c>
      <c r="CU23" s="77">
        <v>3802.5497288727247</v>
      </c>
      <c r="CV23" s="65">
        <v>4379.9522091439649</v>
      </c>
      <c r="CW23" s="35">
        <v>577.40248027124017</v>
      </c>
      <c r="CX23" s="73">
        <v>114.95738318262212</v>
      </c>
      <c r="CY23" s="40">
        <v>-462.44509708861801</v>
      </c>
      <c r="CZ23" s="52">
        <v>-577.40248027124017</v>
      </c>
      <c r="DA23" s="150">
        <v>-2274.5876142254947</v>
      </c>
      <c r="DB23" s="2">
        <v>3</v>
      </c>
      <c r="DC23" s="675">
        <v>497.07</v>
      </c>
      <c r="DD23" s="675">
        <v>-0.56000000000000005</v>
      </c>
      <c r="DE23" s="675">
        <v>220.23351097500455</v>
      </c>
      <c r="DF23" s="675">
        <v>-67.640640546627282</v>
      </c>
      <c r="DG23" s="321">
        <v>-2851.9900944967344</v>
      </c>
      <c r="DH23" s="40">
        <v>3917.2119145971997</v>
      </c>
      <c r="DI23" s="422">
        <v>343.91712957162275</v>
      </c>
      <c r="DJ23" s="306">
        <v>1.3386677419003647</v>
      </c>
      <c r="DK23" s="306">
        <v>1.3386677419003647</v>
      </c>
      <c r="DL23" s="306">
        <v>1.3386677419003647</v>
      </c>
      <c r="DM23" s="28">
        <v>276.83648902499544</v>
      </c>
      <c r="DN23" s="28">
        <v>67.080640546627279</v>
      </c>
      <c r="DO23" s="423">
        <v>343.9171295716227</v>
      </c>
      <c r="DP23" s="94">
        <v>0</v>
      </c>
      <c r="DQ23" s="28">
        <v>343.9171295716227</v>
      </c>
      <c r="DR23" s="318"/>
      <c r="DT23" s="8"/>
      <c r="DU23" s="5"/>
      <c r="DX23" s="5">
        <v>2861.9999693134673</v>
      </c>
      <c r="DY23" s="5">
        <v>2551.1999999999998</v>
      </c>
      <c r="DZ23" s="159">
        <v>278.60722045278266</v>
      </c>
      <c r="EB23" s="676">
        <v>819.39949920908521</v>
      </c>
      <c r="EC23" s="676">
        <v>-149.72272799900256</v>
      </c>
      <c r="ED23" s="676">
        <v>-145.97829063565882</v>
      </c>
      <c r="EE23" s="676">
        <v>1569.3379850899632</v>
      </c>
      <c r="EF23" s="676">
        <v>-226.88329870663244</v>
      </c>
      <c r="EG23" s="676">
        <v>-232.34809196235017</v>
      </c>
      <c r="EH23" s="676">
        <v>-11.423953927916159</v>
      </c>
      <c r="EI23" s="676">
        <v>-189.32043779052879</v>
      </c>
      <c r="EJ23" s="676">
        <v>-230.63508867813272</v>
      </c>
      <c r="EK23" s="676">
        <v>-179.27473048954067</v>
      </c>
      <c r="EL23" s="676">
        <v>-213.21343784614342</v>
      </c>
      <c r="EM23" s="676">
        <v>-232.53494599190265</v>
      </c>
      <c r="EN23" s="676">
        <v>577.40248027123994</v>
      </c>
      <c r="EQ23" s="5">
        <v>2861.9999693134673</v>
      </c>
      <c r="ER23" s="5">
        <v>2551.1999999999998</v>
      </c>
      <c r="ET23" s="318">
        <v>-1199.5525597112535</v>
      </c>
      <c r="EU23" s="5">
        <v>-1001.4375347854815</v>
      </c>
    </row>
    <row r="24" spans="1:151" x14ac:dyDescent="0.3">
      <c r="A24" s="325">
        <v>150000970</v>
      </c>
      <c r="B24" s="41" t="s">
        <v>473</v>
      </c>
      <c r="C24" s="42" t="s">
        <v>243</v>
      </c>
      <c r="D24" s="27">
        <v>5</v>
      </c>
      <c r="E24" s="293">
        <v>2947.6</v>
      </c>
      <c r="F24" s="305">
        <v>2589.4</v>
      </c>
      <c r="G24" s="508">
        <v>0</v>
      </c>
      <c r="H24" s="677">
        <v>358.2</v>
      </c>
      <c r="I24" s="674">
        <v>8421.9930824279963</v>
      </c>
      <c r="J24" s="40">
        <v>9279.0807373799671</v>
      </c>
      <c r="K24" s="52">
        <v>857.08765495197076</v>
      </c>
      <c r="L24" s="674">
        <v>1668.5501427818356</v>
      </c>
      <c r="M24" s="40">
        <v>1826.2917569832996</v>
      </c>
      <c r="N24" s="52">
        <v>157.74161420146402</v>
      </c>
      <c r="O24" s="674">
        <v>3526.8121582899194</v>
      </c>
      <c r="P24" s="40">
        <v>3526.7999999999993</v>
      </c>
      <c r="Q24" s="52">
        <v>-1.2158289920080279E-2</v>
      </c>
      <c r="R24" s="674">
        <v>0</v>
      </c>
      <c r="S24" s="40">
        <v>0</v>
      </c>
      <c r="T24" s="52">
        <v>0</v>
      </c>
      <c r="U24" s="674">
        <v>0</v>
      </c>
      <c r="V24" s="40">
        <v>0</v>
      </c>
      <c r="W24" s="52">
        <v>0</v>
      </c>
      <c r="X24" s="674">
        <v>4873.3256428277455</v>
      </c>
      <c r="Y24" s="40">
        <v>4057.1597814767283</v>
      </c>
      <c r="Z24" s="52">
        <v>-816.16586135101716</v>
      </c>
      <c r="AA24" s="674">
        <v>353.65199999999999</v>
      </c>
      <c r="AB24" s="40">
        <v>0</v>
      </c>
      <c r="AC24" s="52">
        <v>-353.65199999999999</v>
      </c>
      <c r="AD24" s="674">
        <v>12616.014905763368</v>
      </c>
      <c r="AE24" s="40">
        <v>12596.845670380593</v>
      </c>
      <c r="AF24" s="35">
        <v>-19.169235382774787</v>
      </c>
      <c r="AG24" s="77">
        <v>31460.347932090863</v>
      </c>
      <c r="AH24" s="53">
        <v>31286.177946220589</v>
      </c>
      <c r="AI24" s="52">
        <v>-174.1699858702741</v>
      </c>
      <c r="AJ24" s="674">
        <v>0</v>
      </c>
      <c r="AK24" s="40">
        <v>0</v>
      </c>
      <c r="AL24" s="52">
        <v>0</v>
      </c>
      <c r="AM24" s="674">
        <v>0</v>
      </c>
      <c r="AN24" s="40">
        <v>0</v>
      </c>
      <c r="AO24" s="52">
        <v>0</v>
      </c>
      <c r="AP24" s="674">
        <v>7284.8725555789233</v>
      </c>
      <c r="AQ24" s="40">
        <v>5523.9941680132179</v>
      </c>
      <c r="AR24" s="52">
        <v>-1760.8783875657055</v>
      </c>
      <c r="AS24" s="674">
        <v>27032.242060542048</v>
      </c>
      <c r="AT24" s="40">
        <v>3120</v>
      </c>
      <c r="AU24" s="54">
        <v>-23912.242060542048</v>
      </c>
      <c r="AV24" s="674">
        <v>1885.4386122993662</v>
      </c>
      <c r="AW24" s="40">
        <v>858</v>
      </c>
      <c r="AX24" s="55">
        <v>-1027.4386122993662</v>
      </c>
      <c r="AY24" s="674">
        <v>2735.2943369323934</v>
      </c>
      <c r="AZ24" s="40">
        <v>1427</v>
      </c>
      <c r="BA24" s="35">
        <v>-1308.2943369323934</v>
      </c>
      <c r="BB24" s="674">
        <v>1816.63832773883</v>
      </c>
      <c r="BC24" s="40">
        <v>10519</v>
      </c>
      <c r="BD24" s="55">
        <v>8702.3616722611696</v>
      </c>
      <c r="BE24" s="674">
        <v>0</v>
      </c>
      <c r="BF24" s="40">
        <v>0</v>
      </c>
      <c r="BG24" s="38">
        <v>0</v>
      </c>
      <c r="BH24" s="674">
        <v>0</v>
      </c>
      <c r="BI24" s="40">
        <v>0</v>
      </c>
      <c r="BJ24" s="55">
        <v>0</v>
      </c>
      <c r="BK24" s="674">
        <v>1008.3119661150819</v>
      </c>
      <c r="BL24" s="40">
        <v>13340</v>
      </c>
      <c r="BM24" s="38">
        <v>12331.688033884919</v>
      </c>
      <c r="BN24" s="674">
        <v>88.412999999999997</v>
      </c>
      <c r="BO24" s="40">
        <v>0</v>
      </c>
      <c r="BP24" s="55">
        <v>-88.412999999999997</v>
      </c>
      <c r="BQ24" s="77">
        <v>7534.0962430856707</v>
      </c>
      <c r="BR24" s="40">
        <v>26144</v>
      </c>
      <c r="BS24" s="55">
        <v>18609.903756914329</v>
      </c>
      <c r="BT24" s="674">
        <v>24599.369650182223</v>
      </c>
      <c r="BU24" s="40">
        <v>32078.934299039258</v>
      </c>
      <c r="BV24" s="52">
        <v>7479.5646488570346</v>
      </c>
      <c r="BW24" s="674">
        <v>10606.32610072018</v>
      </c>
      <c r="BX24" s="40">
        <v>10417.850254237066</v>
      </c>
      <c r="BY24" s="52">
        <v>-188.47584648311386</v>
      </c>
      <c r="BZ24" s="674">
        <v>11177.243133735603</v>
      </c>
      <c r="CA24" s="40">
        <v>6598.594698275273</v>
      </c>
      <c r="CB24" s="52">
        <v>-4578.6484354603299</v>
      </c>
      <c r="CC24" s="674">
        <v>1313.6230902663854</v>
      </c>
      <c r="CD24" s="40">
        <v>1380.6455318175206</v>
      </c>
      <c r="CE24" s="52">
        <v>67.022441551135216</v>
      </c>
      <c r="CF24" s="674">
        <v>160.55188652174485</v>
      </c>
      <c r="CG24" s="40">
        <v>0</v>
      </c>
      <c r="CH24" s="52">
        <v>-160.55188652174485</v>
      </c>
      <c r="CI24" s="674">
        <v>4307.3006326959248</v>
      </c>
      <c r="CJ24" s="40">
        <v>4813.8525155833322</v>
      </c>
      <c r="CK24" s="52">
        <v>506.55188288740737</v>
      </c>
      <c r="CL24" s="674">
        <v>0</v>
      </c>
      <c r="CM24" s="40">
        <v>0</v>
      </c>
      <c r="CN24" s="52">
        <v>0</v>
      </c>
      <c r="CO24" s="39">
        <v>4307.3006326959248</v>
      </c>
      <c r="CP24" s="40">
        <v>4813.8525155833322</v>
      </c>
      <c r="CQ24" s="52">
        <v>506.55188288740737</v>
      </c>
      <c r="CR24" s="72">
        <v>125475.97328541956</v>
      </c>
      <c r="CS24" s="5">
        <v>121364.04941318627</v>
      </c>
      <c r="CT24" s="52">
        <v>-4111.9238722332957</v>
      </c>
      <c r="CU24" s="77">
        <v>150571.16794250347</v>
      </c>
      <c r="CV24" s="65">
        <v>145636.85929582352</v>
      </c>
      <c r="CW24" s="35">
        <v>-4934.3086466799432</v>
      </c>
      <c r="CX24" s="73">
        <v>11216.118873058482</v>
      </c>
      <c r="CY24" s="40">
        <v>16150.427519738485</v>
      </c>
      <c r="CZ24" s="52">
        <v>4934.3086466800032</v>
      </c>
      <c r="DA24" s="150">
        <v>49060.260137070763</v>
      </c>
      <c r="DB24" s="2">
        <v>2</v>
      </c>
      <c r="DC24" s="675">
        <v>30641.51</v>
      </c>
      <c r="DD24" s="675">
        <v>3814.4700000000003</v>
      </c>
      <c r="DE24" s="675">
        <v>18322.405005704612</v>
      </c>
      <c r="DF24" s="675">
        <v>1755.9778248003086</v>
      </c>
      <c r="DG24" s="321">
        <v>53994.568783750765</v>
      </c>
      <c r="DH24" s="40">
        <v>158100.89361978008</v>
      </c>
      <c r="DI24" s="422">
        <v>13852.698790378017</v>
      </c>
      <c r="DJ24" s="306">
        <v>4.7575133213467931</v>
      </c>
      <c r="DK24" s="306">
        <v>4.7575133213467931</v>
      </c>
      <c r="DL24" s="306">
        <v>4.2813897154735692</v>
      </c>
      <c r="DM24" s="28">
        <v>12319.104994295387</v>
      </c>
      <c r="DN24" s="28">
        <v>1533.5937960826325</v>
      </c>
      <c r="DO24" s="423">
        <v>13852.698790378019</v>
      </c>
      <c r="DP24" s="94">
        <v>0</v>
      </c>
      <c r="DQ24" s="28">
        <v>13852.698790378019</v>
      </c>
      <c r="DR24" s="318"/>
      <c r="DT24" s="8"/>
      <c r="DU24" s="5"/>
      <c r="DX24" s="5">
        <v>41479.605964353264</v>
      </c>
      <c r="DY24" s="5">
        <v>35116.799999999996</v>
      </c>
      <c r="DZ24" s="159">
        <v>3759.9613044782668</v>
      </c>
      <c r="EB24" s="676">
        <v>-1579.9165483279612</v>
      </c>
      <c r="EC24" s="676">
        <v>14004.759368386995</v>
      </c>
      <c r="ED24" s="676">
        <v>-2290.8560165236522</v>
      </c>
      <c r="EE24" s="676">
        <v>-623.4587341394963</v>
      </c>
      <c r="EF24" s="676">
        <v>-4637.6625321882657</v>
      </c>
      <c r="EG24" s="676">
        <v>-5907.1186168355416</v>
      </c>
      <c r="EH24" s="676">
        <v>-4677.8225571482089</v>
      </c>
      <c r="EI24" s="676">
        <v>11208.860640116696</v>
      </c>
      <c r="EJ24" s="676">
        <v>-6681.1612017803673</v>
      </c>
      <c r="EK24" s="676">
        <v>-3124.5264238523669</v>
      </c>
      <c r="EL24" s="676">
        <v>636.36518727309158</v>
      </c>
      <c r="EM24" s="676">
        <v>-1261.7712116609255</v>
      </c>
      <c r="EN24" s="676">
        <v>-4934.3086466800032</v>
      </c>
      <c r="EQ24" s="5">
        <v>41479.605964353264</v>
      </c>
      <c r="ER24" s="5">
        <v>35116.799999999996</v>
      </c>
      <c r="ET24" s="318">
        <v>39289.607901605355</v>
      </c>
      <c r="EU24" s="5">
        <v>-12227.039117854592</v>
      </c>
    </row>
    <row r="25" spans="1:151" x14ac:dyDescent="0.3">
      <c r="A25" s="325">
        <v>150000971</v>
      </c>
      <c r="B25" s="41" t="s">
        <v>474</v>
      </c>
      <c r="C25" s="42" t="s">
        <v>194</v>
      </c>
      <c r="D25" s="27">
        <v>3</v>
      </c>
      <c r="E25" s="293">
        <v>1469.5300000000002</v>
      </c>
      <c r="F25" s="305">
        <v>1132.9000000000001</v>
      </c>
      <c r="G25" s="508" t="s">
        <v>1109</v>
      </c>
      <c r="H25" s="677">
        <v>336.63</v>
      </c>
      <c r="I25" s="674">
        <v>5671.3467120340401</v>
      </c>
      <c r="J25" s="40">
        <v>6154.545538022152</v>
      </c>
      <c r="K25" s="52">
        <v>483.19882598811182</v>
      </c>
      <c r="L25" s="674">
        <v>1162.5137383725296</v>
      </c>
      <c r="M25" s="40">
        <v>1272.4188557490447</v>
      </c>
      <c r="N25" s="52">
        <v>109.90511737651514</v>
      </c>
      <c r="O25" s="674">
        <v>1989.9942872612696</v>
      </c>
      <c r="P25" s="40">
        <v>1989.9899999999996</v>
      </c>
      <c r="Q25" s="52">
        <v>-4.287261270064846E-3</v>
      </c>
      <c r="R25" s="674">
        <v>0</v>
      </c>
      <c r="S25" s="40">
        <v>0</v>
      </c>
      <c r="T25" s="52">
        <v>0</v>
      </c>
      <c r="U25" s="674">
        <v>0</v>
      </c>
      <c r="V25" s="40">
        <v>0</v>
      </c>
      <c r="W25" s="52">
        <v>0</v>
      </c>
      <c r="X25" s="674">
        <v>3885.2443561293653</v>
      </c>
      <c r="Y25" s="40">
        <v>2897.3788871484394</v>
      </c>
      <c r="Z25" s="52">
        <v>-987.86546898092593</v>
      </c>
      <c r="AA25" s="674">
        <v>169.57560000000001</v>
      </c>
      <c r="AB25" s="40">
        <v>0</v>
      </c>
      <c r="AC25" s="52">
        <v>-169.57560000000001</v>
      </c>
      <c r="AD25" s="674">
        <v>6224.9201441127443</v>
      </c>
      <c r="AE25" s="40">
        <v>6242.9043806286363</v>
      </c>
      <c r="AF25" s="35">
        <v>17.984236515892007</v>
      </c>
      <c r="AG25" s="77">
        <v>19103.59483790995</v>
      </c>
      <c r="AH25" s="53">
        <v>18557.237661548272</v>
      </c>
      <c r="AI25" s="52">
        <v>-546.35717636167828</v>
      </c>
      <c r="AJ25" s="674">
        <v>0</v>
      </c>
      <c r="AK25" s="40">
        <v>0</v>
      </c>
      <c r="AL25" s="52">
        <v>0</v>
      </c>
      <c r="AM25" s="674">
        <v>0</v>
      </c>
      <c r="AN25" s="40">
        <v>0</v>
      </c>
      <c r="AO25" s="52">
        <v>0</v>
      </c>
      <c r="AP25" s="674">
        <v>3912.2463724405325</v>
      </c>
      <c r="AQ25" s="40">
        <v>3245.4565190808862</v>
      </c>
      <c r="AR25" s="52">
        <v>-666.78985335964626</v>
      </c>
      <c r="AS25" s="674">
        <v>19536.492761909303</v>
      </c>
      <c r="AT25" s="40">
        <v>19093.57</v>
      </c>
      <c r="AU25" s="54">
        <v>-442.92276190930352</v>
      </c>
      <c r="AV25" s="674">
        <v>1314.889583491442</v>
      </c>
      <c r="AW25" s="40">
        <v>207</v>
      </c>
      <c r="AX25" s="55">
        <v>-1107.889583491442</v>
      </c>
      <c r="AY25" s="674">
        <v>1905.7737904152364</v>
      </c>
      <c r="AZ25" s="40">
        <v>3215</v>
      </c>
      <c r="BA25" s="35">
        <v>1309.2262095847636</v>
      </c>
      <c r="BB25" s="674">
        <v>797.23802789051638</v>
      </c>
      <c r="BC25" s="40">
        <v>0</v>
      </c>
      <c r="BD25" s="55">
        <v>-797.23802789051638</v>
      </c>
      <c r="BE25" s="674">
        <v>0</v>
      </c>
      <c r="BF25" s="40">
        <v>0</v>
      </c>
      <c r="BG25" s="38">
        <v>0</v>
      </c>
      <c r="BH25" s="674">
        <v>0</v>
      </c>
      <c r="BI25" s="40">
        <v>0</v>
      </c>
      <c r="BJ25" s="55">
        <v>0</v>
      </c>
      <c r="BK25" s="674">
        <v>816.93793230578956</v>
      </c>
      <c r="BL25" s="40">
        <v>1175</v>
      </c>
      <c r="BM25" s="38">
        <v>358.06206769421044</v>
      </c>
      <c r="BN25" s="674">
        <v>42.393900000000002</v>
      </c>
      <c r="BO25" s="40">
        <v>0</v>
      </c>
      <c r="BP25" s="55">
        <v>-42.393900000000002</v>
      </c>
      <c r="BQ25" s="77">
        <v>4877.2332341029842</v>
      </c>
      <c r="BR25" s="40">
        <v>4597</v>
      </c>
      <c r="BS25" s="55">
        <v>-280.23323410298417</v>
      </c>
      <c r="BT25" s="674">
        <v>12320.570465226916</v>
      </c>
      <c r="BU25" s="40">
        <v>12675.969395328537</v>
      </c>
      <c r="BV25" s="52">
        <v>355.39893010162086</v>
      </c>
      <c r="BW25" s="674">
        <v>12243.480412180375</v>
      </c>
      <c r="BX25" s="40">
        <v>10411.008474576951</v>
      </c>
      <c r="BY25" s="52">
        <v>-1832.4719376034245</v>
      </c>
      <c r="BZ25" s="674">
        <v>4956.6877547347494</v>
      </c>
      <c r="CA25" s="40">
        <v>3354.443017568919</v>
      </c>
      <c r="CB25" s="52">
        <v>-1602.2447371658304</v>
      </c>
      <c r="CC25" s="674">
        <v>1859.1365504298958</v>
      </c>
      <c r="CD25" s="40">
        <v>1953.9916665663661</v>
      </c>
      <c r="CE25" s="52">
        <v>94.855116136470315</v>
      </c>
      <c r="CF25" s="674">
        <v>227.2249039201339</v>
      </c>
      <c r="CG25" s="40">
        <v>0</v>
      </c>
      <c r="CH25" s="52">
        <v>-227.2249039201339</v>
      </c>
      <c r="CI25" s="674">
        <v>3508.1510499840906</v>
      </c>
      <c r="CJ25" s="40">
        <v>2794.776269484908</v>
      </c>
      <c r="CK25" s="52">
        <v>-713.37478049918263</v>
      </c>
      <c r="CL25" s="674">
        <v>0</v>
      </c>
      <c r="CM25" s="40">
        <v>0</v>
      </c>
      <c r="CN25" s="52">
        <v>0</v>
      </c>
      <c r="CO25" s="39">
        <v>3508.1510499840906</v>
      </c>
      <c r="CP25" s="40">
        <v>2794.776269484908</v>
      </c>
      <c r="CQ25" s="52">
        <v>-713.37478049918263</v>
      </c>
      <c r="CR25" s="72">
        <v>82544.818342838946</v>
      </c>
      <c r="CS25" s="5">
        <v>76683.453004154842</v>
      </c>
      <c r="CT25" s="52">
        <v>-5861.3653386841033</v>
      </c>
      <c r="CU25" s="77">
        <v>99053.782011406729</v>
      </c>
      <c r="CV25" s="65">
        <v>92020.143604985802</v>
      </c>
      <c r="CW25" s="35">
        <v>-7033.6384064209269</v>
      </c>
      <c r="CX25" s="73">
        <v>2192.3580137654876</v>
      </c>
      <c r="CY25" s="40">
        <v>9225.996420186395</v>
      </c>
      <c r="CZ25" s="52">
        <v>7033.6384064209069</v>
      </c>
      <c r="DA25" s="150">
        <v>-12442.525089854615</v>
      </c>
      <c r="DB25" s="2">
        <v>2</v>
      </c>
      <c r="DC25" s="675">
        <v>11867.93</v>
      </c>
      <c r="DD25" s="675">
        <v>11615.619999999999</v>
      </c>
      <c r="DE25" s="675">
        <v>4676.4054340239009</v>
      </c>
      <c r="DF25" s="675">
        <v>9886.1436460773948</v>
      </c>
      <c r="DG25" s="321">
        <v>-5408.8866834337095</v>
      </c>
      <c r="DH25" s="40">
        <v>101238.6161943945</v>
      </c>
      <c r="DI25" s="422">
        <v>8921.0009198987045</v>
      </c>
      <c r="DJ25" s="306">
        <v>6.3478899867385463</v>
      </c>
      <c r="DK25" s="306">
        <v>6.3478899867385463</v>
      </c>
      <c r="DL25" s="306">
        <v>5.1376180195544219</v>
      </c>
      <c r="DM25" s="28">
        <v>7191.5245659760994</v>
      </c>
      <c r="DN25" s="28">
        <v>1729.4763539226051</v>
      </c>
      <c r="DO25" s="423">
        <v>8921.0009198987045</v>
      </c>
      <c r="DP25" s="94">
        <v>0</v>
      </c>
      <c r="DQ25" s="28">
        <v>8921.0009198987045</v>
      </c>
      <c r="DR25" s="318"/>
      <c r="DT25" s="8"/>
      <c r="DU25" s="5"/>
      <c r="DX25" s="5">
        <v>29296.471195214745</v>
      </c>
      <c r="DY25" s="5">
        <v>28428.683999999997</v>
      </c>
      <c r="DZ25" s="159">
        <v>2617.8887280929371</v>
      </c>
      <c r="EB25" s="676">
        <v>-778.30518949296402</v>
      </c>
      <c r="EC25" s="676">
        <v>-185.85993564899036</v>
      </c>
      <c r="ED25" s="676">
        <v>-2043.5293561715007</v>
      </c>
      <c r="EE25" s="676">
        <v>-1483.1849284666896</v>
      </c>
      <c r="EF25" s="676">
        <v>-1422.7562941404922</v>
      </c>
      <c r="EG25" s="676">
        <v>-4116.8158887911359</v>
      </c>
      <c r="EH25" s="676">
        <v>-5637.6393603155393</v>
      </c>
      <c r="EI25" s="676">
        <v>-1416.2507459455792</v>
      </c>
      <c r="EJ25" s="676">
        <v>16260.46280460977</v>
      </c>
      <c r="EK25" s="676">
        <v>-1335.416482462947</v>
      </c>
      <c r="EL25" s="676">
        <v>-2808.4107698906</v>
      </c>
      <c r="EM25" s="676">
        <v>-2065.9322597042365</v>
      </c>
      <c r="EN25" s="676">
        <v>-7033.6384064209042</v>
      </c>
      <c r="EQ25" s="5">
        <v>29296.471195214745</v>
      </c>
      <c r="ER25" s="5">
        <v>28428.683999999997</v>
      </c>
      <c r="ET25" s="318">
        <v>-9546.051813319129</v>
      </c>
      <c r="EU25" s="5">
        <v>-16681.834870114581</v>
      </c>
    </row>
    <row r="26" spans="1:151" x14ac:dyDescent="0.3">
      <c r="A26" s="325">
        <v>150000991</v>
      </c>
      <c r="B26" s="41" t="s">
        <v>475</v>
      </c>
      <c r="C26" s="42" t="s">
        <v>342</v>
      </c>
      <c r="D26" s="27">
        <v>9</v>
      </c>
      <c r="E26" s="293">
        <v>4082.7</v>
      </c>
      <c r="F26" s="305">
        <v>4082.7</v>
      </c>
      <c r="G26" s="508">
        <v>442.1</v>
      </c>
      <c r="H26" s="677">
        <v>0</v>
      </c>
      <c r="I26" s="674">
        <v>10718.456897524071</v>
      </c>
      <c r="J26" s="40">
        <v>10853.481604474766</v>
      </c>
      <c r="K26" s="52">
        <v>135.02470695069496</v>
      </c>
      <c r="L26" s="674">
        <v>1679.3527131809201</v>
      </c>
      <c r="M26" s="40">
        <v>1726.24117985154</v>
      </c>
      <c r="N26" s="52">
        <v>46.888466670619891</v>
      </c>
      <c r="O26" s="674">
        <v>3282.1387880311954</v>
      </c>
      <c r="P26" s="40">
        <v>3491.91</v>
      </c>
      <c r="Q26" s="52">
        <v>209.77121196880444</v>
      </c>
      <c r="R26" s="674">
        <v>765.10100662729508</v>
      </c>
      <c r="S26" s="40">
        <v>813.85999999999967</v>
      </c>
      <c r="T26" s="52">
        <v>48.758993372704595</v>
      </c>
      <c r="U26" s="674">
        <v>667.9750604210343</v>
      </c>
      <c r="V26" s="40">
        <v>485.50217443967978</v>
      </c>
      <c r="W26" s="52">
        <v>-182.47288598135452</v>
      </c>
      <c r="X26" s="674">
        <v>6785.683997408194</v>
      </c>
      <c r="Y26" s="40">
        <v>5906.9273704858542</v>
      </c>
      <c r="Z26" s="52">
        <v>-878.75662692233982</v>
      </c>
      <c r="AA26" s="674">
        <v>244.76400000000001</v>
      </c>
      <c r="AB26" s="40">
        <v>0</v>
      </c>
      <c r="AC26" s="52">
        <v>-244.76400000000001</v>
      </c>
      <c r="AD26" s="674">
        <v>16226.852182948276</v>
      </c>
      <c r="AE26" s="40">
        <v>17346.256664779943</v>
      </c>
      <c r="AF26" s="35">
        <v>1119.404481831667</v>
      </c>
      <c r="AG26" s="77">
        <v>40370.324646140987</v>
      </c>
      <c r="AH26" s="53">
        <v>40624.178994031783</v>
      </c>
      <c r="AI26" s="52">
        <v>253.85434789079591</v>
      </c>
      <c r="AJ26" s="674">
        <v>32523.087204213378</v>
      </c>
      <c r="AK26" s="40">
        <v>32173.051195833556</v>
      </c>
      <c r="AL26" s="52">
        <v>-350.03600837982231</v>
      </c>
      <c r="AM26" s="674">
        <v>315.2248275</v>
      </c>
      <c r="AN26" s="40">
        <v>0</v>
      </c>
      <c r="AO26" s="52">
        <v>-315.2248275</v>
      </c>
      <c r="AP26" s="674">
        <v>2736.9008518596406</v>
      </c>
      <c r="AQ26" s="40">
        <v>4078.576292240451</v>
      </c>
      <c r="AR26" s="52">
        <v>1341.6754403808104</v>
      </c>
      <c r="AS26" s="674">
        <v>54546.655199763882</v>
      </c>
      <c r="AT26" s="40">
        <v>17739</v>
      </c>
      <c r="AU26" s="54">
        <v>-36807.655199763882</v>
      </c>
      <c r="AV26" s="674">
        <v>1425.0274035996279</v>
      </c>
      <c r="AW26" s="40">
        <v>71</v>
      </c>
      <c r="AX26" s="55">
        <v>-1354.0274035996279</v>
      </c>
      <c r="AY26" s="674">
        <v>1503.767688056744</v>
      </c>
      <c r="AZ26" s="40">
        <v>4001</v>
      </c>
      <c r="BA26" s="35">
        <v>2497.2323119432558</v>
      </c>
      <c r="BB26" s="674">
        <v>893.11921605303291</v>
      </c>
      <c r="BC26" s="40">
        <v>0</v>
      </c>
      <c r="BD26" s="55">
        <v>-893.11921605303291</v>
      </c>
      <c r="BE26" s="674">
        <v>915.43094697870663</v>
      </c>
      <c r="BF26" s="40">
        <v>4424</v>
      </c>
      <c r="BG26" s="38">
        <v>3508.5690530212933</v>
      </c>
      <c r="BH26" s="674">
        <v>610.30138558791521</v>
      </c>
      <c r="BI26" s="40">
        <v>15</v>
      </c>
      <c r="BJ26" s="55">
        <v>-595.30138558791521</v>
      </c>
      <c r="BK26" s="674">
        <v>1351.2192206660102</v>
      </c>
      <c r="BL26" s="40">
        <v>0</v>
      </c>
      <c r="BM26" s="38">
        <v>-1351.2192206660102</v>
      </c>
      <c r="BN26" s="674">
        <v>61.191000000000003</v>
      </c>
      <c r="BO26" s="40">
        <v>0</v>
      </c>
      <c r="BP26" s="55">
        <v>-61.191000000000003</v>
      </c>
      <c r="BQ26" s="77">
        <v>6760.056860942037</v>
      </c>
      <c r="BR26" s="40">
        <v>8511</v>
      </c>
      <c r="BS26" s="55">
        <v>1750.943139057963</v>
      </c>
      <c r="BT26" s="674">
        <v>60589.969626018166</v>
      </c>
      <c r="BU26" s="40">
        <v>22587.144591630225</v>
      </c>
      <c r="BV26" s="52">
        <v>-38002.825034387941</v>
      </c>
      <c r="BW26" s="674">
        <v>24268.819331735744</v>
      </c>
      <c r="BX26" s="40">
        <v>13269.673141338728</v>
      </c>
      <c r="BY26" s="52">
        <v>-10999.146190397016</v>
      </c>
      <c r="BZ26" s="674">
        <v>2985.5018988530574</v>
      </c>
      <c r="CA26" s="40">
        <v>6966.5705492740308</v>
      </c>
      <c r="CB26" s="52">
        <v>3981.0686504209734</v>
      </c>
      <c r="CC26" s="674">
        <v>1702.4549061692057</v>
      </c>
      <c r="CD26" s="40">
        <v>1781.666542011186</v>
      </c>
      <c r="CE26" s="52">
        <v>79.211635841980296</v>
      </c>
      <c r="CF26" s="674">
        <v>197.16204560617595</v>
      </c>
      <c r="CG26" s="40">
        <v>0</v>
      </c>
      <c r="CH26" s="52">
        <v>-197.16204560617595</v>
      </c>
      <c r="CI26" s="674">
        <v>12726.744823440862</v>
      </c>
      <c r="CJ26" s="40">
        <v>15292.719031035802</v>
      </c>
      <c r="CK26" s="52">
        <v>2565.9742075949398</v>
      </c>
      <c r="CL26" s="674">
        <v>12631.136221754859</v>
      </c>
      <c r="CM26" s="40">
        <v>22313.741749729888</v>
      </c>
      <c r="CN26" s="52">
        <v>9682.605527975029</v>
      </c>
      <c r="CO26" s="39">
        <v>25357.881045195722</v>
      </c>
      <c r="CP26" s="40">
        <v>37606.460780765687</v>
      </c>
      <c r="CQ26" s="52">
        <v>12248.579735569965</v>
      </c>
      <c r="CR26" s="72">
        <v>252354.038443998</v>
      </c>
      <c r="CS26" s="5">
        <v>185337.32208712565</v>
      </c>
      <c r="CT26" s="52">
        <v>-67016.716356872348</v>
      </c>
      <c r="CU26" s="77">
        <v>302824.8461327976</v>
      </c>
      <c r="CV26" s="65">
        <v>222404.78650455078</v>
      </c>
      <c r="CW26" s="35">
        <v>-80420.059628246818</v>
      </c>
      <c r="CX26" s="73">
        <v>4809.7754346751126</v>
      </c>
      <c r="CY26" s="40">
        <v>85229.83506292192</v>
      </c>
      <c r="CZ26" s="52">
        <v>80420.059628246803</v>
      </c>
      <c r="DA26" s="150">
        <v>-92888.904494036542</v>
      </c>
      <c r="DB26" s="2">
        <v>3</v>
      </c>
      <c r="DC26" s="675">
        <v>50944.82</v>
      </c>
      <c r="DD26" s="675">
        <v>0</v>
      </c>
      <c r="DE26" s="675">
        <v>23332.138569177863</v>
      </c>
      <c r="DF26" s="675">
        <v>0</v>
      </c>
      <c r="DG26" s="321">
        <v>-12468.84486578973</v>
      </c>
      <c r="DH26" s="40">
        <v>307613.39669005206</v>
      </c>
      <c r="DI26" s="422">
        <v>27612.68143082214</v>
      </c>
      <c r="DJ26" s="306">
        <v>5.5669406455463317</v>
      </c>
      <c r="DK26" s="306">
        <v>6.9086241200423295</v>
      </c>
      <c r="DL26" s="306">
        <v>4.9320505683068916</v>
      </c>
      <c r="DM26" s="28">
        <v>27612.681430822136</v>
      </c>
      <c r="DN26" s="28">
        <v>0</v>
      </c>
      <c r="DO26" s="423">
        <v>27612.681430822136</v>
      </c>
      <c r="DP26" s="94">
        <v>0</v>
      </c>
      <c r="DQ26" s="28">
        <v>27612.681430822136</v>
      </c>
      <c r="DR26" s="318"/>
      <c r="DT26" s="8"/>
      <c r="DU26" s="5"/>
      <c r="DX26" s="5">
        <v>73568.0544728471</v>
      </c>
      <c r="DY26" s="5">
        <v>31500</v>
      </c>
      <c r="DZ26" s="159">
        <v>6391.732848699352</v>
      </c>
      <c r="EB26" s="676">
        <v>933.44868153642165</v>
      </c>
      <c r="EC26" s="676">
        <v>-2321.8001570944398</v>
      </c>
      <c r="ED26" s="676">
        <v>-3313.2230802933118</v>
      </c>
      <c r="EE26" s="676">
        <v>2891.7251595747402</v>
      </c>
      <c r="EF26" s="676">
        <v>-12633.263270250149</v>
      </c>
      <c r="EG26" s="676">
        <v>-13389.454439790057</v>
      </c>
      <c r="EH26" s="676">
        <v>-13548.37417575944</v>
      </c>
      <c r="EI26" s="676">
        <v>-4303.8483956080199</v>
      </c>
      <c r="EJ26" s="676">
        <v>-9994.0549342130034</v>
      </c>
      <c r="EK26" s="676">
        <v>-12714.953989555499</v>
      </c>
      <c r="EL26" s="676">
        <v>-8574.157619906684</v>
      </c>
      <c r="EM26" s="676">
        <v>-3452.1034068873851</v>
      </c>
      <c r="EN26" s="676">
        <v>-80420.059628246818</v>
      </c>
      <c r="EQ26" s="5">
        <v>73568.0544728471</v>
      </c>
      <c r="ER26" s="5">
        <v>31500</v>
      </c>
      <c r="ET26" s="318">
        <v>4067.1492217753585</v>
      </c>
      <c r="EU26" s="5">
        <v>-18814.994087565101</v>
      </c>
    </row>
    <row r="27" spans="1:151" x14ac:dyDescent="0.3">
      <c r="A27" s="325">
        <v>150000992</v>
      </c>
      <c r="B27" s="41" t="s">
        <v>476</v>
      </c>
      <c r="C27" s="42" t="s">
        <v>40</v>
      </c>
      <c r="D27" s="27">
        <v>1</v>
      </c>
      <c r="E27" s="293">
        <v>263.39999999999998</v>
      </c>
      <c r="F27" s="305">
        <v>263.39999999999998</v>
      </c>
      <c r="G27" s="508">
        <v>0</v>
      </c>
      <c r="H27" s="677">
        <v>0</v>
      </c>
      <c r="I27" s="674">
        <v>0</v>
      </c>
      <c r="J27" s="40">
        <v>0</v>
      </c>
      <c r="K27" s="52">
        <v>0</v>
      </c>
      <c r="L27" s="674">
        <v>0</v>
      </c>
      <c r="M27" s="40">
        <v>0</v>
      </c>
      <c r="N27" s="52">
        <v>0</v>
      </c>
      <c r="O27" s="674">
        <v>0</v>
      </c>
      <c r="P27" s="40">
        <v>0</v>
      </c>
      <c r="Q27" s="52">
        <v>0</v>
      </c>
      <c r="R27" s="674">
        <v>0</v>
      </c>
      <c r="S27" s="40">
        <v>0</v>
      </c>
      <c r="T27" s="52">
        <v>0</v>
      </c>
      <c r="U27" s="674">
        <v>0</v>
      </c>
      <c r="V27" s="40">
        <v>0</v>
      </c>
      <c r="W27" s="52">
        <v>0</v>
      </c>
      <c r="X27" s="674">
        <v>0</v>
      </c>
      <c r="Y27" s="40">
        <v>0</v>
      </c>
      <c r="Z27" s="52">
        <v>0</v>
      </c>
      <c r="AA27" s="674">
        <v>31.607999999999997</v>
      </c>
      <c r="AB27" s="40">
        <v>0</v>
      </c>
      <c r="AC27" s="52">
        <v>-31.607999999999997</v>
      </c>
      <c r="AD27" s="674">
        <v>237.38575948132177</v>
      </c>
      <c r="AE27" s="40">
        <v>1119.113333211609</v>
      </c>
      <c r="AF27" s="35">
        <v>881.72757373028719</v>
      </c>
      <c r="AG27" s="77">
        <v>268.99375948132177</v>
      </c>
      <c r="AH27" s="53">
        <v>1119.113333211609</v>
      </c>
      <c r="AI27" s="52">
        <v>850.11957373028713</v>
      </c>
      <c r="AJ27" s="674">
        <v>0</v>
      </c>
      <c r="AK27" s="40">
        <v>0</v>
      </c>
      <c r="AL27" s="52">
        <v>0</v>
      </c>
      <c r="AM27" s="674">
        <v>0</v>
      </c>
      <c r="AN27" s="40">
        <v>0</v>
      </c>
      <c r="AO27" s="52">
        <v>0</v>
      </c>
      <c r="AP27" s="674">
        <v>449.6834910851187</v>
      </c>
      <c r="AQ27" s="40">
        <v>373.97041602492402</v>
      </c>
      <c r="AR27" s="52">
        <v>-75.713075060194683</v>
      </c>
      <c r="AS27" s="674">
        <v>2669.2331541557642</v>
      </c>
      <c r="AT27" s="40">
        <v>1571.5700000000002</v>
      </c>
      <c r="AU27" s="54">
        <v>-1097.663154155764</v>
      </c>
      <c r="AV27" s="674">
        <v>0</v>
      </c>
      <c r="AW27" s="40">
        <v>0</v>
      </c>
      <c r="AX27" s="55">
        <v>0</v>
      </c>
      <c r="AY27" s="674">
        <v>0</v>
      </c>
      <c r="AZ27" s="40">
        <v>0</v>
      </c>
      <c r="BA27" s="35">
        <v>0</v>
      </c>
      <c r="BB27" s="674">
        <v>0</v>
      </c>
      <c r="BC27" s="40">
        <v>0</v>
      </c>
      <c r="BD27" s="55">
        <v>0</v>
      </c>
      <c r="BE27" s="674">
        <v>0</v>
      </c>
      <c r="BF27" s="40">
        <v>0</v>
      </c>
      <c r="BG27" s="38">
        <v>0</v>
      </c>
      <c r="BH27" s="674">
        <v>0</v>
      </c>
      <c r="BI27" s="40">
        <v>0</v>
      </c>
      <c r="BJ27" s="55">
        <v>0</v>
      </c>
      <c r="BK27" s="674">
        <v>0</v>
      </c>
      <c r="BL27" s="40">
        <v>0</v>
      </c>
      <c r="BM27" s="38">
        <v>0</v>
      </c>
      <c r="BN27" s="674">
        <v>7.9019999999999992</v>
      </c>
      <c r="BO27" s="40">
        <v>0</v>
      </c>
      <c r="BP27" s="55">
        <v>-7.9019999999999992</v>
      </c>
      <c r="BQ27" s="77">
        <v>7.9019999999999992</v>
      </c>
      <c r="BR27" s="40">
        <v>0</v>
      </c>
      <c r="BS27" s="55">
        <v>-7.9019999999999992</v>
      </c>
      <c r="BT27" s="674">
        <v>125.61680645953689</v>
      </c>
      <c r="BU27" s="40">
        <v>164.18066509728365</v>
      </c>
      <c r="BV27" s="52">
        <v>38.563858637746762</v>
      </c>
      <c r="BW27" s="674">
        <v>0</v>
      </c>
      <c r="BX27" s="40">
        <v>5.9914754359574394</v>
      </c>
      <c r="BY27" s="52">
        <v>5.9914754359574394</v>
      </c>
      <c r="BZ27" s="674">
        <v>0</v>
      </c>
      <c r="CA27" s="40">
        <v>54.556522463083091</v>
      </c>
      <c r="CB27" s="52">
        <v>54.556522463083091</v>
      </c>
      <c r="CC27" s="674">
        <v>0</v>
      </c>
      <c r="CD27" s="40">
        <v>0</v>
      </c>
      <c r="CE27" s="52">
        <v>0</v>
      </c>
      <c r="CF27" s="674">
        <v>0</v>
      </c>
      <c r="CG27" s="40">
        <v>0</v>
      </c>
      <c r="CH27" s="52">
        <v>0</v>
      </c>
      <c r="CI27" s="674">
        <v>0</v>
      </c>
      <c r="CJ27" s="40">
        <v>0</v>
      </c>
      <c r="CK27" s="52">
        <v>0</v>
      </c>
      <c r="CL27" s="674">
        <v>0</v>
      </c>
      <c r="CM27" s="40">
        <v>0</v>
      </c>
      <c r="CN27" s="52">
        <v>0</v>
      </c>
      <c r="CO27" s="39">
        <v>0</v>
      </c>
      <c r="CP27" s="40">
        <v>0</v>
      </c>
      <c r="CQ27" s="52">
        <v>0</v>
      </c>
      <c r="CR27" s="72">
        <v>3521.4292111817413</v>
      </c>
      <c r="CS27" s="5">
        <v>3289.3824122328574</v>
      </c>
      <c r="CT27" s="52">
        <v>-232.04679894888386</v>
      </c>
      <c r="CU27" s="77">
        <v>4225.7150534180892</v>
      </c>
      <c r="CV27" s="65">
        <v>3947.2588946794285</v>
      </c>
      <c r="CW27" s="35">
        <v>-278.45615873866063</v>
      </c>
      <c r="CX27" s="73">
        <v>128.30641868170662</v>
      </c>
      <c r="CY27" s="40">
        <v>406.76257742036807</v>
      </c>
      <c r="CZ27" s="52">
        <v>278.45615873866143</v>
      </c>
      <c r="DA27" s="150">
        <v>-3890.6779709667658</v>
      </c>
      <c r="DB27" s="2">
        <v>3</v>
      </c>
      <c r="DC27" s="675">
        <v>1600.99</v>
      </c>
      <c r="DD27" s="675">
        <v>0</v>
      </c>
      <c r="DE27" s="675">
        <v>1221.2920372198998</v>
      </c>
      <c r="DF27" s="675">
        <v>0</v>
      </c>
      <c r="DG27" s="321">
        <v>-3612.2218122281042</v>
      </c>
      <c r="DH27" s="40">
        <v>4353.6851726540226</v>
      </c>
      <c r="DI27" s="422">
        <v>379.69796278010017</v>
      </c>
      <c r="DJ27" s="306">
        <v>1.4415260545941542</v>
      </c>
      <c r="DK27" s="306">
        <v>1.4415260545941542</v>
      </c>
      <c r="DL27" s="306">
        <v>1.4415260545941542</v>
      </c>
      <c r="DM27" s="28">
        <v>379.69796278010017</v>
      </c>
      <c r="DN27" s="28">
        <v>0</v>
      </c>
      <c r="DO27" s="423">
        <v>379.69796278010017</v>
      </c>
      <c r="DP27" s="94">
        <v>0</v>
      </c>
      <c r="DQ27" s="28">
        <v>379.69796278010017</v>
      </c>
      <c r="DR27" s="318"/>
      <c r="DT27" s="8"/>
      <c r="DU27" s="5"/>
      <c r="DX27" s="5">
        <v>3212.5621849869171</v>
      </c>
      <c r="DY27" s="5">
        <v>1885.884</v>
      </c>
      <c r="DZ27" s="159">
        <v>306.3372471860136</v>
      </c>
      <c r="EB27" s="676">
        <v>95.731943581132441</v>
      </c>
      <c r="EC27" s="676">
        <v>-155.61667927211155</v>
      </c>
      <c r="ED27" s="676">
        <v>-150.8474104060345</v>
      </c>
      <c r="EE27" s="676">
        <v>962.7817531843026</v>
      </c>
      <c r="EF27" s="676">
        <v>-245.99339105555163</v>
      </c>
      <c r="EG27" s="676">
        <v>380.07347632764902</v>
      </c>
      <c r="EH27" s="676">
        <v>-30.967053176608715</v>
      </c>
      <c r="EI27" s="676">
        <v>-207.18501761437923</v>
      </c>
      <c r="EJ27" s="676">
        <v>-249.52694205867323</v>
      </c>
      <c r="EK27" s="676">
        <v>-195.85453264374587</v>
      </c>
      <c r="EL27" s="676">
        <v>-231.16761403270226</v>
      </c>
      <c r="EM27" s="676">
        <v>-249.88469157193842</v>
      </c>
      <c r="EN27" s="676">
        <v>-278.45615873866143</v>
      </c>
      <c r="EQ27" s="5">
        <v>3212.5621849869171</v>
      </c>
      <c r="ER27" s="5">
        <v>1885.884</v>
      </c>
      <c r="ET27" s="318">
        <v>-1595.9407554146833</v>
      </c>
      <c r="EU27" s="5">
        <v>-704.28105681341981</v>
      </c>
    </row>
    <row r="28" spans="1:151" x14ac:dyDescent="0.3">
      <c r="A28" s="325">
        <v>150000999</v>
      </c>
      <c r="B28" s="41" t="s">
        <v>477</v>
      </c>
      <c r="C28" s="42" t="s">
        <v>41</v>
      </c>
      <c r="D28" s="27">
        <v>1</v>
      </c>
      <c r="E28" s="293">
        <v>298.60000000000002</v>
      </c>
      <c r="F28" s="305">
        <v>298.60000000000002</v>
      </c>
      <c r="G28" s="508">
        <v>0</v>
      </c>
      <c r="H28" s="677">
        <v>0</v>
      </c>
      <c r="I28" s="674">
        <v>0</v>
      </c>
      <c r="J28" s="40">
        <v>0</v>
      </c>
      <c r="K28" s="52">
        <v>0</v>
      </c>
      <c r="L28" s="674">
        <v>0</v>
      </c>
      <c r="M28" s="40">
        <v>0</v>
      </c>
      <c r="N28" s="52">
        <v>0</v>
      </c>
      <c r="O28" s="674">
        <v>0</v>
      </c>
      <c r="P28" s="40">
        <v>0</v>
      </c>
      <c r="Q28" s="52">
        <v>0</v>
      </c>
      <c r="R28" s="674">
        <v>0</v>
      </c>
      <c r="S28" s="40">
        <v>0</v>
      </c>
      <c r="T28" s="52">
        <v>0</v>
      </c>
      <c r="U28" s="674">
        <v>0</v>
      </c>
      <c r="V28" s="40">
        <v>0</v>
      </c>
      <c r="W28" s="52">
        <v>0</v>
      </c>
      <c r="X28" s="674">
        <v>0</v>
      </c>
      <c r="Y28" s="40">
        <v>0</v>
      </c>
      <c r="Z28" s="52">
        <v>0</v>
      </c>
      <c r="AA28" s="674">
        <v>35.832000000000001</v>
      </c>
      <c r="AB28" s="40">
        <v>0</v>
      </c>
      <c r="AC28" s="52">
        <v>-35.832000000000001</v>
      </c>
      <c r="AD28" s="674">
        <v>269.06218448577135</v>
      </c>
      <c r="AE28" s="40">
        <v>1268.6683420538593</v>
      </c>
      <c r="AF28" s="35">
        <v>999.60615756808795</v>
      </c>
      <c r="AG28" s="77">
        <v>304.89418448577135</v>
      </c>
      <c r="AH28" s="53">
        <v>1268.6683420538593</v>
      </c>
      <c r="AI28" s="52">
        <v>963.77415756808796</v>
      </c>
      <c r="AJ28" s="674">
        <v>0</v>
      </c>
      <c r="AK28" s="40">
        <v>0</v>
      </c>
      <c r="AL28" s="52">
        <v>0</v>
      </c>
      <c r="AM28" s="674">
        <v>0</v>
      </c>
      <c r="AN28" s="40">
        <v>0</v>
      </c>
      <c r="AO28" s="52">
        <v>0</v>
      </c>
      <c r="AP28" s="674">
        <v>449.6834910851187</v>
      </c>
      <c r="AQ28" s="40">
        <v>373.97041602492402</v>
      </c>
      <c r="AR28" s="52">
        <v>-75.713075060194683</v>
      </c>
      <c r="AS28" s="674">
        <v>2976.8107288765968</v>
      </c>
      <c r="AT28" s="40">
        <v>1205</v>
      </c>
      <c r="AU28" s="54">
        <v>-1771.8107288765968</v>
      </c>
      <c r="AV28" s="674">
        <v>0</v>
      </c>
      <c r="AW28" s="40">
        <v>0</v>
      </c>
      <c r="AX28" s="55">
        <v>0</v>
      </c>
      <c r="AY28" s="674">
        <v>0</v>
      </c>
      <c r="AZ28" s="40">
        <v>0</v>
      </c>
      <c r="BA28" s="35">
        <v>0</v>
      </c>
      <c r="BB28" s="674">
        <v>0</v>
      </c>
      <c r="BC28" s="40">
        <v>0</v>
      </c>
      <c r="BD28" s="55">
        <v>0</v>
      </c>
      <c r="BE28" s="674">
        <v>0</v>
      </c>
      <c r="BF28" s="40">
        <v>0</v>
      </c>
      <c r="BG28" s="38">
        <v>0</v>
      </c>
      <c r="BH28" s="674">
        <v>0</v>
      </c>
      <c r="BI28" s="40">
        <v>0</v>
      </c>
      <c r="BJ28" s="55">
        <v>0</v>
      </c>
      <c r="BK28" s="674">
        <v>0</v>
      </c>
      <c r="BL28" s="40">
        <v>0</v>
      </c>
      <c r="BM28" s="38">
        <v>0</v>
      </c>
      <c r="BN28" s="674">
        <v>8.9580000000000002</v>
      </c>
      <c r="BO28" s="40">
        <v>0</v>
      </c>
      <c r="BP28" s="55">
        <v>-8.9580000000000002</v>
      </c>
      <c r="BQ28" s="77">
        <v>8.9580000000000002</v>
      </c>
      <c r="BR28" s="40">
        <v>0</v>
      </c>
      <c r="BS28" s="55">
        <v>-8.9580000000000002</v>
      </c>
      <c r="BT28" s="674">
        <v>161.50732259083321</v>
      </c>
      <c r="BU28" s="40">
        <v>211.10008393093352</v>
      </c>
      <c r="BV28" s="52">
        <v>49.59276134010031</v>
      </c>
      <c r="BW28" s="674">
        <v>0</v>
      </c>
      <c r="BX28" s="40">
        <v>6.7921585617953362</v>
      </c>
      <c r="BY28" s="52">
        <v>6.7921585617953362</v>
      </c>
      <c r="BZ28" s="674">
        <v>0</v>
      </c>
      <c r="CA28" s="40">
        <v>70.114840316099006</v>
      </c>
      <c r="CB28" s="52">
        <v>70.114840316099006</v>
      </c>
      <c r="CC28" s="674">
        <v>0</v>
      </c>
      <c r="CD28" s="40">
        <v>0</v>
      </c>
      <c r="CE28" s="52">
        <v>0</v>
      </c>
      <c r="CF28" s="674">
        <v>0</v>
      </c>
      <c r="CG28" s="40">
        <v>0</v>
      </c>
      <c r="CH28" s="52">
        <v>0</v>
      </c>
      <c r="CI28" s="674">
        <v>0</v>
      </c>
      <c r="CJ28" s="40">
        <v>0</v>
      </c>
      <c r="CK28" s="52">
        <v>0</v>
      </c>
      <c r="CL28" s="674">
        <v>0</v>
      </c>
      <c r="CM28" s="40">
        <v>0</v>
      </c>
      <c r="CN28" s="52">
        <v>0</v>
      </c>
      <c r="CO28" s="39">
        <v>0</v>
      </c>
      <c r="CP28" s="40">
        <v>0</v>
      </c>
      <c r="CQ28" s="52">
        <v>0</v>
      </c>
      <c r="CR28" s="72">
        <v>3901.8537270383204</v>
      </c>
      <c r="CS28" s="5">
        <v>3135.6458408876115</v>
      </c>
      <c r="CT28" s="52">
        <v>-766.20788615070887</v>
      </c>
      <c r="CU28" s="77">
        <v>4682.2244724459842</v>
      </c>
      <c r="CV28" s="65">
        <v>3762.7750090651334</v>
      </c>
      <c r="CW28" s="35">
        <v>-919.44946338085083</v>
      </c>
      <c r="CX28" s="73">
        <v>104.19148306409357</v>
      </c>
      <c r="CY28" s="40">
        <v>1023.6409464449441</v>
      </c>
      <c r="CZ28" s="52">
        <v>919.4494633808506</v>
      </c>
      <c r="DA28" s="150">
        <v>-4616.0100843049713</v>
      </c>
      <c r="DB28" s="2">
        <v>3</v>
      </c>
      <c r="DC28" s="675">
        <v>684.65</v>
      </c>
      <c r="DD28" s="675">
        <v>0</v>
      </c>
      <c r="DE28" s="675">
        <v>264.74124527439784</v>
      </c>
      <c r="DF28" s="675">
        <v>0</v>
      </c>
      <c r="DG28" s="321">
        <v>-3696.5606209241209</v>
      </c>
      <c r="DH28" s="40">
        <v>4786.0543467718635</v>
      </c>
      <c r="DI28" s="422">
        <v>419.90875472560214</v>
      </c>
      <c r="DJ28" s="306">
        <v>1.4062583882304156</v>
      </c>
      <c r="DK28" s="306">
        <v>1.4062583882304156</v>
      </c>
      <c r="DL28" s="306">
        <v>1.4062583882304156</v>
      </c>
      <c r="DM28" s="28">
        <v>419.90875472560214</v>
      </c>
      <c r="DN28" s="28">
        <v>0</v>
      </c>
      <c r="DO28" s="423">
        <v>419.90875472560214</v>
      </c>
      <c r="DP28" s="94">
        <v>0</v>
      </c>
      <c r="DQ28" s="28">
        <v>419.90875472560214</v>
      </c>
      <c r="DR28" s="318"/>
      <c r="DT28" s="8"/>
      <c r="DU28" s="5"/>
      <c r="DX28" s="5">
        <v>3582.9224746519162</v>
      </c>
      <c r="DY28" s="5">
        <v>1446</v>
      </c>
      <c r="DZ28" s="159">
        <v>344.81801480274873</v>
      </c>
      <c r="EB28" s="676">
        <v>1541.9130021273181</v>
      </c>
      <c r="EC28" s="676">
        <v>-159.05910352998069</v>
      </c>
      <c r="ED28" s="676">
        <v>-153.65248362333452</v>
      </c>
      <c r="EE28" s="676">
        <v>-323.89785086758741</v>
      </c>
      <c r="EF28" s="676">
        <v>-267.82180799371042</v>
      </c>
      <c r="EG28" s="676">
        <v>-274.49524579349486</v>
      </c>
      <c r="EH28" s="676">
        <v>-54.140622611856202</v>
      </c>
      <c r="EI28" s="676">
        <v>-223.71795967600946</v>
      </c>
      <c r="EJ28" s="676">
        <v>-271.71229144881613</v>
      </c>
      <c r="EK28" s="676">
        <v>-210.53491260976432</v>
      </c>
      <c r="EL28" s="676">
        <v>-250.75605929886063</v>
      </c>
      <c r="EM28" s="676">
        <v>-271.57412805475411</v>
      </c>
      <c r="EN28" s="676">
        <v>-919.44946338085083</v>
      </c>
      <c r="EQ28" s="5">
        <v>3582.9224746519162</v>
      </c>
      <c r="ER28" s="5">
        <v>1446</v>
      </c>
      <c r="ET28" s="318">
        <v>-1649.722834136908</v>
      </c>
      <c r="EU28" s="5">
        <v>-1428.837786787213</v>
      </c>
    </row>
    <row r="29" spans="1:151" x14ac:dyDescent="0.3">
      <c r="A29" s="325">
        <v>150000993</v>
      </c>
      <c r="B29" s="41" t="s">
        <v>478</v>
      </c>
      <c r="C29" s="42" t="s">
        <v>42</v>
      </c>
      <c r="D29" s="27">
        <v>1</v>
      </c>
      <c r="E29" s="293">
        <v>298.39999999999998</v>
      </c>
      <c r="F29" s="305">
        <v>298.39999999999998</v>
      </c>
      <c r="G29" s="508">
        <v>0</v>
      </c>
      <c r="H29" s="677">
        <v>0</v>
      </c>
      <c r="I29" s="674">
        <v>0</v>
      </c>
      <c r="J29" s="40">
        <v>0</v>
      </c>
      <c r="K29" s="52">
        <v>0</v>
      </c>
      <c r="L29" s="674">
        <v>0</v>
      </c>
      <c r="M29" s="40">
        <v>0</v>
      </c>
      <c r="N29" s="52">
        <v>0</v>
      </c>
      <c r="O29" s="674">
        <v>0</v>
      </c>
      <c r="P29" s="40">
        <v>0</v>
      </c>
      <c r="Q29" s="52">
        <v>0</v>
      </c>
      <c r="R29" s="674">
        <v>0</v>
      </c>
      <c r="S29" s="40">
        <v>0</v>
      </c>
      <c r="T29" s="52">
        <v>0</v>
      </c>
      <c r="U29" s="674">
        <v>0</v>
      </c>
      <c r="V29" s="40">
        <v>0</v>
      </c>
      <c r="W29" s="52">
        <v>0</v>
      </c>
      <c r="X29" s="674">
        <v>0</v>
      </c>
      <c r="Y29" s="40">
        <v>0</v>
      </c>
      <c r="Z29" s="52">
        <v>0</v>
      </c>
      <c r="AA29" s="674">
        <v>35.808</v>
      </c>
      <c r="AB29" s="40">
        <v>0</v>
      </c>
      <c r="AC29" s="52">
        <v>-35.808</v>
      </c>
      <c r="AD29" s="674">
        <v>268.89376253629621</v>
      </c>
      <c r="AE29" s="40">
        <v>1267.818597685437</v>
      </c>
      <c r="AF29" s="35">
        <v>998.92483514914079</v>
      </c>
      <c r="AG29" s="77">
        <v>304.7017625362962</v>
      </c>
      <c r="AH29" s="53">
        <v>1267.818597685437</v>
      </c>
      <c r="AI29" s="52">
        <v>963.1168351491408</v>
      </c>
      <c r="AJ29" s="674">
        <v>0</v>
      </c>
      <c r="AK29" s="40">
        <v>0</v>
      </c>
      <c r="AL29" s="52">
        <v>0</v>
      </c>
      <c r="AM29" s="674">
        <v>0</v>
      </c>
      <c r="AN29" s="40">
        <v>0</v>
      </c>
      <c r="AO29" s="52">
        <v>0</v>
      </c>
      <c r="AP29" s="674">
        <v>539.62018930214231</v>
      </c>
      <c r="AQ29" s="40">
        <v>448.76449922990878</v>
      </c>
      <c r="AR29" s="52">
        <v>-90.855690072233529</v>
      </c>
      <c r="AS29" s="674">
        <v>2944.419421144034</v>
      </c>
      <c r="AT29" s="40">
        <v>0</v>
      </c>
      <c r="AU29" s="54">
        <v>-2944.419421144034</v>
      </c>
      <c r="AV29" s="674">
        <v>0</v>
      </c>
      <c r="AW29" s="40">
        <v>0</v>
      </c>
      <c r="AX29" s="55">
        <v>0</v>
      </c>
      <c r="AY29" s="674">
        <v>0</v>
      </c>
      <c r="AZ29" s="40">
        <v>0</v>
      </c>
      <c r="BA29" s="35">
        <v>0</v>
      </c>
      <c r="BB29" s="674">
        <v>0</v>
      </c>
      <c r="BC29" s="40">
        <v>0</v>
      </c>
      <c r="BD29" s="55">
        <v>0</v>
      </c>
      <c r="BE29" s="674">
        <v>0</v>
      </c>
      <c r="BF29" s="40">
        <v>0</v>
      </c>
      <c r="BG29" s="38">
        <v>0</v>
      </c>
      <c r="BH29" s="674">
        <v>0</v>
      </c>
      <c r="BI29" s="40">
        <v>0</v>
      </c>
      <c r="BJ29" s="55">
        <v>0</v>
      </c>
      <c r="BK29" s="674">
        <v>0</v>
      </c>
      <c r="BL29" s="40">
        <v>0</v>
      </c>
      <c r="BM29" s="38">
        <v>0</v>
      </c>
      <c r="BN29" s="674">
        <v>8.952</v>
      </c>
      <c r="BO29" s="40">
        <v>0</v>
      </c>
      <c r="BP29" s="55">
        <v>-8.952</v>
      </c>
      <c r="BQ29" s="77">
        <v>8.952</v>
      </c>
      <c r="BR29" s="40">
        <v>0</v>
      </c>
      <c r="BS29" s="55">
        <v>-8.952</v>
      </c>
      <c r="BT29" s="674">
        <v>125.61680645953689</v>
      </c>
      <c r="BU29" s="40">
        <v>164.18066509728365</v>
      </c>
      <c r="BV29" s="52">
        <v>38.563858637746762</v>
      </c>
      <c r="BW29" s="674">
        <v>0</v>
      </c>
      <c r="BX29" s="40">
        <v>6.7876092258530738</v>
      </c>
      <c r="BY29" s="52">
        <v>6.7876092258530738</v>
      </c>
      <c r="BZ29" s="674">
        <v>0</v>
      </c>
      <c r="CA29" s="40">
        <v>54.556522463083091</v>
      </c>
      <c r="CB29" s="52">
        <v>54.556522463083091</v>
      </c>
      <c r="CC29" s="674">
        <v>0</v>
      </c>
      <c r="CD29" s="40">
        <v>0</v>
      </c>
      <c r="CE29" s="52">
        <v>0</v>
      </c>
      <c r="CF29" s="674">
        <v>0</v>
      </c>
      <c r="CG29" s="40">
        <v>0</v>
      </c>
      <c r="CH29" s="52">
        <v>0</v>
      </c>
      <c r="CI29" s="674">
        <v>0</v>
      </c>
      <c r="CJ29" s="40">
        <v>0</v>
      </c>
      <c r="CK29" s="52">
        <v>0</v>
      </c>
      <c r="CL29" s="674">
        <v>0</v>
      </c>
      <c r="CM29" s="40">
        <v>0</v>
      </c>
      <c r="CN29" s="52">
        <v>0</v>
      </c>
      <c r="CO29" s="39">
        <v>0</v>
      </c>
      <c r="CP29" s="40">
        <v>0</v>
      </c>
      <c r="CQ29" s="52">
        <v>0</v>
      </c>
      <c r="CR29" s="72">
        <v>3923.3101794420095</v>
      </c>
      <c r="CS29" s="5">
        <v>1942.1078937015657</v>
      </c>
      <c r="CT29" s="52">
        <v>-1981.2022857404438</v>
      </c>
      <c r="CU29" s="77">
        <v>4707.972215330411</v>
      </c>
      <c r="CV29" s="65">
        <v>2330.5294724418786</v>
      </c>
      <c r="CW29" s="35">
        <v>-2377.4427428885324</v>
      </c>
      <c r="CX29" s="73">
        <v>104.81148333912881</v>
      </c>
      <c r="CY29" s="40">
        <v>2482.2542262276615</v>
      </c>
      <c r="CZ29" s="52">
        <v>2377.4427428885328</v>
      </c>
      <c r="DA29" s="150">
        <v>-5446.8948197575228</v>
      </c>
      <c r="DB29" s="2">
        <v>3</v>
      </c>
      <c r="DC29" s="675">
        <v>485.58</v>
      </c>
      <c r="DD29" s="675">
        <v>0</v>
      </c>
      <c r="DE29" s="675">
        <v>63.511974800414748</v>
      </c>
      <c r="DF29" s="675">
        <v>0</v>
      </c>
      <c r="DG29" s="321">
        <v>-3069.4520768689899</v>
      </c>
      <c r="DH29" s="40">
        <v>4812.4196004414816</v>
      </c>
      <c r="DI29" s="422">
        <v>422.06802519958524</v>
      </c>
      <c r="DJ29" s="306">
        <v>1.4144370817680472</v>
      </c>
      <c r="DK29" s="306">
        <v>1.4144370817680472</v>
      </c>
      <c r="DL29" s="306">
        <v>1.4144370817680472</v>
      </c>
      <c r="DM29" s="28">
        <v>422.06802519958524</v>
      </c>
      <c r="DN29" s="28">
        <v>0</v>
      </c>
      <c r="DO29" s="423">
        <v>422.06802519958524</v>
      </c>
      <c r="DP29" s="94">
        <v>0</v>
      </c>
      <c r="DQ29" s="28">
        <v>422.06802519958524</v>
      </c>
      <c r="DR29" s="318"/>
      <c r="DT29" s="8"/>
      <c r="DU29" s="5"/>
      <c r="DX29" s="5">
        <v>3544.045705372841</v>
      </c>
      <c r="DY29" s="5">
        <v>0</v>
      </c>
      <c r="DZ29" s="159">
        <v>342.2606005975415</v>
      </c>
      <c r="EB29" s="676">
        <v>138.4312161473527</v>
      </c>
      <c r="EC29" s="676">
        <v>-161.3671546863217</v>
      </c>
      <c r="ED29" s="676">
        <v>-155.96415609240606</v>
      </c>
      <c r="EE29" s="676">
        <v>-326.08536188204357</v>
      </c>
      <c r="EF29" s="676">
        <v>-279.04466799440866</v>
      </c>
      <c r="EG29" s="676">
        <v>-285.56592586530257</v>
      </c>
      <c r="EH29" s="676">
        <v>-20.309647795170577</v>
      </c>
      <c r="EI29" s="676">
        <v>-235.17481318115634</v>
      </c>
      <c r="EJ29" s="676">
        <v>-283.148308415597</v>
      </c>
      <c r="EK29" s="676">
        <v>-222.66001119620137</v>
      </c>
      <c r="EL29" s="676">
        <v>-262.49967578482637</v>
      </c>
      <c r="EM29" s="676">
        <v>-284.05423614245137</v>
      </c>
      <c r="EN29" s="676">
        <v>-2377.4427428885328</v>
      </c>
      <c r="EQ29" s="5">
        <v>3544.045705372841</v>
      </c>
      <c r="ER29" s="5">
        <v>0</v>
      </c>
      <c r="ET29" s="318">
        <v>-1604.3976071398395</v>
      </c>
      <c r="EU29" s="5">
        <v>-682.05446972915024</v>
      </c>
    </row>
    <row r="30" spans="1:151" x14ac:dyDescent="0.3">
      <c r="A30" s="325">
        <v>150001000</v>
      </c>
      <c r="B30" s="41" t="s">
        <v>479</v>
      </c>
      <c r="C30" s="42" t="s">
        <v>43</v>
      </c>
      <c r="D30" s="27">
        <v>1</v>
      </c>
      <c r="E30" s="293">
        <v>236.7</v>
      </c>
      <c r="F30" s="305">
        <v>236.7</v>
      </c>
      <c r="G30" s="508">
        <v>0</v>
      </c>
      <c r="H30" s="677">
        <v>0</v>
      </c>
      <c r="I30" s="674">
        <v>0</v>
      </c>
      <c r="J30" s="40">
        <v>0</v>
      </c>
      <c r="K30" s="52">
        <v>0</v>
      </c>
      <c r="L30" s="674">
        <v>0</v>
      </c>
      <c r="M30" s="40">
        <v>0</v>
      </c>
      <c r="N30" s="52">
        <v>0</v>
      </c>
      <c r="O30" s="674">
        <v>0</v>
      </c>
      <c r="P30" s="40">
        <v>0</v>
      </c>
      <c r="Q30" s="52">
        <v>0</v>
      </c>
      <c r="R30" s="674">
        <v>0</v>
      </c>
      <c r="S30" s="40">
        <v>0</v>
      </c>
      <c r="T30" s="52">
        <v>0</v>
      </c>
      <c r="U30" s="674">
        <v>0</v>
      </c>
      <c r="V30" s="40">
        <v>0</v>
      </c>
      <c r="W30" s="52">
        <v>0</v>
      </c>
      <c r="X30" s="674">
        <v>0</v>
      </c>
      <c r="Y30" s="40">
        <v>0</v>
      </c>
      <c r="Z30" s="52">
        <v>0</v>
      </c>
      <c r="AA30" s="674">
        <v>28.404</v>
      </c>
      <c r="AB30" s="40">
        <v>0</v>
      </c>
      <c r="AC30" s="52">
        <v>-28.404</v>
      </c>
      <c r="AD30" s="674">
        <v>213.28045646485904</v>
      </c>
      <c r="AE30" s="40">
        <v>1005.6724600272887</v>
      </c>
      <c r="AF30" s="35">
        <v>792.39200356242964</v>
      </c>
      <c r="AG30" s="77">
        <v>241.68445646485904</v>
      </c>
      <c r="AH30" s="53">
        <v>1005.6724600272887</v>
      </c>
      <c r="AI30" s="52">
        <v>763.98800356242964</v>
      </c>
      <c r="AJ30" s="674">
        <v>0</v>
      </c>
      <c r="AK30" s="40">
        <v>0</v>
      </c>
      <c r="AL30" s="52">
        <v>0</v>
      </c>
      <c r="AM30" s="674">
        <v>0</v>
      </c>
      <c r="AN30" s="40">
        <v>0</v>
      </c>
      <c r="AO30" s="52">
        <v>0</v>
      </c>
      <c r="AP30" s="674">
        <v>449.6834910851187</v>
      </c>
      <c r="AQ30" s="40">
        <v>373.97041602492402</v>
      </c>
      <c r="AR30" s="52">
        <v>-75.713075060194683</v>
      </c>
      <c r="AS30" s="674">
        <v>2827.6264087822847</v>
      </c>
      <c r="AT30" s="40">
        <v>847</v>
      </c>
      <c r="AU30" s="54">
        <v>-1980.6264087822847</v>
      </c>
      <c r="AV30" s="674">
        <v>0</v>
      </c>
      <c r="AW30" s="40">
        <v>0</v>
      </c>
      <c r="AX30" s="55">
        <v>0</v>
      </c>
      <c r="AY30" s="674">
        <v>0</v>
      </c>
      <c r="AZ30" s="40">
        <v>0</v>
      </c>
      <c r="BA30" s="35">
        <v>0</v>
      </c>
      <c r="BB30" s="674">
        <v>0</v>
      </c>
      <c r="BC30" s="40">
        <v>0</v>
      </c>
      <c r="BD30" s="55">
        <v>0</v>
      </c>
      <c r="BE30" s="674">
        <v>0</v>
      </c>
      <c r="BF30" s="40">
        <v>0</v>
      </c>
      <c r="BG30" s="38">
        <v>0</v>
      </c>
      <c r="BH30" s="674">
        <v>0</v>
      </c>
      <c r="BI30" s="40">
        <v>0</v>
      </c>
      <c r="BJ30" s="55">
        <v>0</v>
      </c>
      <c r="BK30" s="674">
        <v>0</v>
      </c>
      <c r="BL30" s="40">
        <v>0</v>
      </c>
      <c r="BM30" s="38">
        <v>0</v>
      </c>
      <c r="BN30" s="674">
        <v>7.101</v>
      </c>
      <c r="BO30" s="40">
        <v>0</v>
      </c>
      <c r="BP30" s="55">
        <v>-7.101</v>
      </c>
      <c r="BQ30" s="77">
        <v>7.101</v>
      </c>
      <c r="BR30" s="40">
        <v>0</v>
      </c>
      <c r="BS30" s="55">
        <v>-7.101</v>
      </c>
      <c r="BT30" s="674">
        <v>71.781032262592504</v>
      </c>
      <c r="BU30" s="40">
        <v>93.869332493052823</v>
      </c>
      <c r="BV30" s="52">
        <v>22.08830023046032</v>
      </c>
      <c r="BW30" s="674">
        <v>0</v>
      </c>
      <c r="BX30" s="40">
        <v>5.3841390876656261</v>
      </c>
      <c r="BY30" s="52">
        <v>5.3841390876656261</v>
      </c>
      <c r="BZ30" s="674">
        <v>0</v>
      </c>
      <c r="CA30" s="40">
        <v>31.159034695084443</v>
      </c>
      <c r="CB30" s="52">
        <v>31.159034695084443</v>
      </c>
      <c r="CC30" s="674">
        <v>0</v>
      </c>
      <c r="CD30" s="40">
        <v>0</v>
      </c>
      <c r="CE30" s="52">
        <v>0</v>
      </c>
      <c r="CF30" s="674">
        <v>0</v>
      </c>
      <c r="CG30" s="40">
        <v>0</v>
      </c>
      <c r="CH30" s="52">
        <v>0</v>
      </c>
      <c r="CI30" s="674">
        <v>107.48628776578823</v>
      </c>
      <c r="CJ30" s="40">
        <v>406.06181123928246</v>
      </c>
      <c r="CK30" s="52">
        <v>298.57552347349423</v>
      </c>
      <c r="CL30" s="674">
        <v>0</v>
      </c>
      <c r="CM30" s="40">
        <v>0</v>
      </c>
      <c r="CN30" s="52">
        <v>0</v>
      </c>
      <c r="CO30" s="39">
        <v>107.48628776578823</v>
      </c>
      <c r="CP30" s="40">
        <v>406.06181123928246</v>
      </c>
      <c r="CQ30" s="52">
        <v>298.57552347349423</v>
      </c>
      <c r="CR30" s="72">
        <v>3705.362676360643</v>
      </c>
      <c r="CS30" s="5">
        <v>2763.1171935672978</v>
      </c>
      <c r="CT30" s="52">
        <v>-942.24548279334522</v>
      </c>
      <c r="CU30" s="77">
        <v>4446.4352116327718</v>
      </c>
      <c r="CV30" s="65">
        <v>3315.7406322807574</v>
      </c>
      <c r="CW30" s="35">
        <v>-1130.6945793520144</v>
      </c>
      <c r="CX30" s="73">
        <v>205.12320711759699</v>
      </c>
      <c r="CY30" s="40">
        <v>1335.8177864696104</v>
      </c>
      <c r="CZ30" s="52">
        <v>1130.6945793520133</v>
      </c>
      <c r="DA30" s="150">
        <v>-1174.8446284474296</v>
      </c>
      <c r="DB30" s="2">
        <v>3</v>
      </c>
      <c r="DC30" s="675">
        <v>1624.07</v>
      </c>
      <c r="DD30" s="675">
        <v>0</v>
      </c>
      <c r="DE30" s="675">
        <v>1215.7472657106484</v>
      </c>
      <c r="DF30" s="675">
        <v>0</v>
      </c>
      <c r="DG30" s="321">
        <v>-44.15004909541662</v>
      </c>
      <c r="DH30" s="40">
        <v>4651.2077897575764</v>
      </c>
      <c r="DI30" s="422">
        <v>408.32273428935156</v>
      </c>
      <c r="DJ30" s="306">
        <v>1.7250643611717429</v>
      </c>
      <c r="DK30" s="306">
        <v>1.7250643611717429</v>
      </c>
      <c r="DL30" s="306">
        <v>1.7250643611717429</v>
      </c>
      <c r="DM30" s="28">
        <v>408.3227342893515</v>
      </c>
      <c r="DN30" s="28">
        <v>0</v>
      </c>
      <c r="DO30" s="423">
        <v>408.3227342893515</v>
      </c>
      <c r="DP30" s="94">
        <v>0</v>
      </c>
      <c r="DQ30" s="28">
        <v>408.3227342893515</v>
      </c>
      <c r="DR30" s="318"/>
      <c r="DT30" s="8"/>
      <c r="DU30" s="5"/>
      <c r="DX30" s="5">
        <v>3401.6728905387417</v>
      </c>
      <c r="DY30" s="5">
        <v>1016.4</v>
      </c>
      <c r="DZ30" s="159">
        <v>330.07426716829724</v>
      </c>
      <c r="EB30" s="676">
        <v>152.67161676516258</v>
      </c>
      <c r="EC30" s="676">
        <v>-92.374880643019907</v>
      </c>
      <c r="ED30" s="676">
        <v>-91.67328592109115</v>
      </c>
      <c r="EE30" s="676">
        <v>-310.40192992072411</v>
      </c>
      <c r="EF30" s="676">
        <v>-283.52584673317949</v>
      </c>
      <c r="EG30" s="676">
        <v>-290.55295573884013</v>
      </c>
      <c r="EH30" s="676">
        <v>-71.220810226164588</v>
      </c>
      <c r="EI30" s="676">
        <v>-254.58040296065957</v>
      </c>
      <c r="EJ30" s="676">
        <v>723.75677602798976</v>
      </c>
      <c r="EK30" s="676">
        <v>-241.45761740502974</v>
      </c>
      <c r="EL30" s="676">
        <v>-176.92081696898242</v>
      </c>
      <c r="EM30" s="676">
        <v>-194.4144256274744</v>
      </c>
      <c r="EN30" s="676">
        <v>-1130.6945793520131</v>
      </c>
      <c r="EQ30" s="5">
        <v>3401.6728905387417</v>
      </c>
      <c r="ER30" s="5">
        <v>1016.4</v>
      </c>
      <c r="ET30" s="318">
        <v>-712.13799806289171</v>
      </c>
      <c r="EU30" s="5">
        <v>-1496.0120510325246</v>
      </c>
    </row>
    <row r="31" spans="1:151" x14ac:dyDescent="0.3">
      <c r="A31" s="325">
        <v>150001004</v>
      </c>
      <c r="B31" s="41" t="s">
        <v>480</v>
      </c>
      <c r="C31" s="42" t="s">
        <v>44</v>
      </c>
      <c r="D31" s="27">
        <v>1</v>
      </c>
      <c r="E31" s="293">
        <v>315.7</v>
      </c>
      <c r="F31" s="305">
        <v>315.7</v>
      </c>
      <c r="G31" s="508">
        <v>0</v>
      </c>
      <c r="H31" s="677">
        <v>0</v>
      </c>
      <c r="I31" s="674">
        <v>0</v>
      </c>
      <c r="J31" s="40">
        <v>0</v>
      </c>
      <c r="K31" s="52">
        <v>0</v>
      </c>
      <c r="L31" s="674">
        <v>0</v>
      </c>
      <c r="M31" s="40">
        <v>0</v>
      </c>
      <c r="N31" s="52">
        <v>0</v>
      </c>
      <c r="O31" s="674">
        <v>0</v>
      </c>
      <c r="P31" s="40">
        <v>0</v>
      </c>
      <c r="Q31" s="52">
        <v>0</v>
      </c>
      <c r="R31" s="674">
        <v>0</v>
      </c>
      <c r="S31" s="40">
        <v>0</v>
      </c>
      <c r="T31" s="52">
        <v>0</v>
      </c>
      <c r="U31" s="674">
        <v>0</v>
      </c>
      <c r="V31" s="40">
        <v>0</v>
      </c>
      <c r="W31" s="52">
        <v>0</v>
      </c>
      <c r="X31" s="674">
        <v>0</v>
      </c>
      <c r="Y31" s="40">
        <v>1139.0726923985831</v>
      </c>
      <c r="Z31" s="52">
        <v>1139.0726923985831</v>
      </c>
      <c r="AA31" s="674">
        <v>37.152000000000001</v>
      </c>
      <c r="AB31" s="40">
        <v>0</v>
      </c>
      <c r="AC31" s="52">
        <v>-37.152000000000001</v>
      </c>
      <c r="AD31" s="674">
        <v>278.96106729966186</v>
      </c>
      <c r="AE31" s="40">
        <v>1341.3214855539293</v>
      </c>
      <c r="AF31" s="35">
        <v>1062.3604182542674</v>
      </c>
      <c r="AG31" s="77">
        <v>316.11306729966185</v>
      </c>
      <c r="AH31" s="53">
        <v>2480.3941779525121</v>
      </c>
      <c r="AI31" s="52">
        <v>2164.2811106528502</v>
      </c>
      <c r="AJ31" s="674">
        <v>0</v>
      </c>
      <c r="AK31" s="40">
        <v>0</v>
      </c>
      <c r="AL31" s="52">
        <v>0</v>
      </c>
      <c r="AM31" s="674">
        <v>0</v>
      </c>
      <c r="AN31" s="40">
        <v>0</v>
      </c>
      <c r="AO31" s="52">
        <v>0</v>
      </c>
      <c r="AP31" s="674">
        <v>494.65184019363056</v>
      </c>
      <c r="AQ31" s="40">
        <v>411.3674576274164</v>
      </c>
      <c r="AR31" s="52">
        <v>-83.284382566214163</v>
      </c>
      <c r="AS31" s="674">
        <v>3101.7974447064762</v>
      </c>
      <c r="AT31" s="40">
        <v>0</v>
      </c>
      <c r="AU31" s="54">
        <v>-3101.7974447064762</v>
      </c>
      <c r="AV31" s="674">
        <v>0</v>
      </c>
      <c r="AW31" s="40">
        <v>0</v>
      </c>
      <c r="AX31" s="55">
        <v>0</v>
      </c>
      <c r="AY31" s="674">
        <v>0</v>
      </c>
      <c r="AZ31" s="40">
        <v>0</v>
      </c>
      <c r="BA31" s="35">
        <v>0</v>
      </c>
      <c r="BB31" s="674">
        <v>0</v>
      </c>
      <c r="BC31" s="40">
        <v>0</v>
      </c>
      <c r="BD31" s="55">
        <v>0</v>
      </c>
      <c r="BE31" s="674">
        <v>0</v>
      </c>
      <c r="BF31" s="40">
        <v>0</v>
      </c>
      <c r="BG31" s="38">
        <v>0</v>
      </c>
      <c r="BH31" s="674">
        <v>0</v>
      </c>
      <c r="BI31" s="40">
        <v>0</v>
      </c>
      <c r="BJ31" s="55">
        <v>0</v>
      </c>
      <c r="BK31" s="674">
        <v>0</v>
      </c>
      <c r="BL31" s="40">
        <v>0</v>
      </c>
      <c r="BM31" s="38">
        <v>0</v>
      </c>
      <c r="BN31" s="674">
        <v>9.2880000000000003</v>
      </c>
      <c r="BO31" s="40">
        <v>0</v>
      </c>
      <c r="BP31" s="55">
        <v>-9.2880000000000003</v>
      </c>
      <c r="BQ31" s="77">
        <v>9.2880000000000003</v>
      </c>
      <c r="BR31" s="40">
        <v>0</v>
      </c>
      <c r="BS31" s="55">
        <v>-9.2880000000000003</v>
      </c>
      <c r="BT31" s="674">
        <v>107.67154839388878</v>
      </c>
      <c r="BU31" s="40">
        <v>140.70570826758217</v>
      </c>
      <c r="BV31" s="52">
        <v>33.034159873693383</v>
      </c>
      <c r="BW31" s="674">
        <v>0</v>
      </c>
      <c r="BX31" s="40">
        <v>7.1811267848586322</v>
      </c>
      <c r="BY31" s="52">
        <v>7.1811267848586322</v>
      </c>
      <c r="BZ31" s="674">
        <v>0</v>
      </c>
      <c r="CA31" s="40">
        <v>46.756164042048823</v>
      </c>
      <c r="CB31" s="52">
        <v>46.756164042048823</v>
      </c>
      <c r="CC31" s="674">
        <v>0</v>
      </c>
      <c r="CD31" s="40">
        <v>0</v>
      </c>
      <c r="CE31" s="52">
        <v>0</v>
      </c>
      <c r="CF31" s="674">
        <v>0</v>
      </c>
      <c r="CG31" s="40">
        <v>0</v>
      </c>
      <c r="CH31" s="52">
        <v>0</v>
      </c>
      <c r="CI31" s="674">
        <v>0</v>
      </c>
      <c r="CJ31" s="40">
        <v>0</v>
      </c>
      <c r="CK31" s="52">
        <v>0</v>
      </c>
      <c r="CL31" s="674">
        <v>0</v>
      </c>
      <c r="CM31" s="40">
        <v>0</v>
      </c>
      <c r="CN31" s="52">
        <v>0</v>
      </c>
      <c r="CO31" s="39">
        <v>0</v>
      </c>
      <c r="CP31" s="40">
        <v>0</v>
      </c>
      <c r="CQ31" s="52">
        <v>0</v>
      </c>
      <c r="CR31" s="72">
        <v>4029.5219005936574</v>
      </c>
      <c r="CS31" s="5">
        <v>3086.4046346744185</v>
      </c>
      <c r="CT31" s="52">
        <v>-943.11726591923889</v>
      </c>
      <c r="CU31" s="77">
        <v>4835.4262807123887</v>
      </c>
      <c r="CV31" s="65">
        <v>3703.6855616093021</v>
      </c>
      <c r="CW31" s="35">
        <v>-1131.7407191030866</v>
      </c>
      <c r="CX31" s="73">
        <v>145.98461167902229</v>
      </c>
      <c r="CY31" s="40">
        <v>1277.7253307821093</v>
      </c>
      <c r="CZ31" s="52">
        <v>1131.740719103087</v>
      </c>
      <c r="DA31" s="150">
        <v>-4118.5862721787535</v>
      </c>
      <c r="DB31" s="2">
        <v>3</v>
      </c>
      <c r="DC31" s="675">
        <v>892.94</v>
      </c>
      <c r="DD31" s="675">
        <v>0</v>
      </c>
      <c r="DE31" s="675">
        <v>454.71672006849485</v>
      </c>
      <c r="DF31" s="675">
        <v>0</v>
      </c>
      <c r="DG31" s="321">
        <v>-2986.8455530756664</v>
      </c>
      <c r="DH31" s="40">
        <v>4981.0384543844521</v>
      </c>
      <c r="DI31" s="422">
        <v>438.2232799315052</v>
      </c>
      <c r="DJ31" s="306">
        <v>1.3881003482150942</v>
      </c>
      <c r="DK31" s="306">
        <v>1.3881003482150942</v>
      </c>
      <c r="DL31" s="306">
        <v>1.3881003482150942</v>
      </c>
      <c r="DM31" s="28">
        <v>438.2232799315052</v>
      </c>
      <c r="DN31" s="28">
        <v>0</v>
      </c>
      <c r="DO31" s="423">
        <v>438.2232799315052</v>
      </c>
      <c r="DP31" s="94">
        <v>0</v>
      </c>
      <c r="DQ31" s="28">
        <v>438.2232799315052</v>
      </c>
      <c r="DR31" s="318"/>
      <c r="DT31" s="8"/>
      <c r="DU31" s="5"/>
      <c r="DX31" s="5">
        <v>3733.3025336477713</v>
      </c>
      <c r="DY31" s="5">
        <v>0</v>
      </c>
      <c r="DZ31" s="159">
        <v>361.09273043857974</v>
      </c>
      <c r="EB31" s="676">
        <v>119.72009298374627</v>
      </c>
      <c r="EC31" s="676">
        <v>-159.43571072281259</v>
      </c>
      <c r="ED31" s="676">
        <v>-153.71946857770811</v>
      </c>
      <c r="EE31" s="676">
        <v>-332.58664598770099</v>
      </c>
      <c r="EF31" s="676">
        <v>-289.16089563837829</v>
      </c>
      <c r="EG31" s="676">
        <v>-295.95611438543392</v>
      </c>
      <c r="EH31" s="676">
        <v>1313.4869650003882</v>
      </c>
      <c r="EI31" s="676">
        <v>-242.89175826665911</v>
      </c>
      <c r="EJ31" s="676">
        <v>-293.65453042473246</v>
      </c>
      <c r="EK31" s="676">
        <v>-230.13706754238146</v>
      </c>
      <c r="EL31" s="676">
        <v>-272.0358188157328</v>
      </c>
      <c r="EM31" s="676">
        <v>-295.36976672568198</v>
      </c>
      <c r="EN31" s="676">
        <v>-1131.7407191030873</v>
      </c>
      <c r="EQ31" s="5">
        <v>3733.3025336477713</v>
      </c>
      <c r="ER31" s="5">
        <v>0</v>
      </c>
      <c r="ET31" s="318">
        <v>-893.02789462549538</v>
      </c>
      <c r="EU31" s="5">
        <v>-1381.0070904058966</v>
      </c>
    </row>
    <row r="32" spans="1:151" x14ac:dyDescent="0.3">
      <c r="A32" s="325">
        <v>150000994</v>
      </c>
      <c r="B32" s="41" t="s">
        <v>481</v>
      </c>
      <c r="C32" s="42" t="s">
        <v>45</v>
      </c>
      <c r="D32" s="27">
        <v>1</v>
      </c>
      <c r="E32" s="293">
        <v>239.9</v>
      </c>
      <c r="F32" s="305">
        <v>239.9</v>
      </c>
      <c r="G32" s="508">
        <v>0</v>
      </c>
      <c r="H32" s="677">
        <v>0</v>
      </c>
      <c r="I32" s="674">
        <v>0</v>
      </c>
      <c r="J32" s="40">
        <v>0</v>
      </c>
      <c r="K32" s="52">
        <v>0</v>
      </c>
      <c r="L32" s="674">
        <v>0</v>
      </c>
      <c r="M32" s="40">
        <v>0</v>
      </c>
      <c r="N32" s="52">
        <v>0</v>
      </c>
      <c r="O32" s="674">
        <v>0</v>
      </c>
      <c r="P32" s="40">
        <v>0</v>
      </c>
      <c r="Q32" s="52">
        <v>0</v>
      </c>
      <c r="R32" s="674">
        <v>0</v>
      </c>
      <c r="S32" s="40">
        <v>0</v>
      </c>
      <c r="T32" s="52">
        <v>0</v>
      </c>
      <c r="U32" s="674">
        <v>0</v>
      </c>
      <c r="V32" s="40">
        <v>0</v>
      </c>
      <c r="W32" s="52">
        <v>0</v>
      </c>
      <c r="X32" s="674">
        <v>0</v>
      </c>
      <c r="Y32" s="40">
        <v>0</v>
      </c>
      <c r="Z32" s="52">
        <v>0</v>
      </c>
      <c r="AA32" s="674">
        <v>28.788</v>
      </c>
      <c r="AB32" s="40">
        <v>0</v>
      </c>
      <c r="AC32" s="52">
        <v>-28.788</v>
      </c>
      <c r="AD32" s="674">
        <v>216.16591033428861</v>
      </c>
      <c r="AE32" s="40">
        <v>1019.2683699220387</v>
      </c>
      <c r="AF32" s="35">
        <v>803.1024595877501</v>
      </c>
      <c r="AG32" s="77">
        <v>244.95391033428862</v>
      </c>
      <c r="AH32" s="53">
        <v>1019.2683699220387</v>
      </c>
      <c r="AI32" s="52">
        <v>774.31445958775009</v>
      </c>
      <c r="AJ32" s="674">
        <v>0</v>
      </c>
      <c r="AK32" s="40">
        <v>0</v>
      </c>
      <c r="AL32" s="52">
        <v>0</v>
      </c>
      <c r="AM32" s="674">
        <v>0</v>
      </c>
      <c r="AN32" s="40">
        <v>0</v>
      </c>
      <c r="AO32" s="52">
        <v>0</v>
      </c>
      <c r="AP32" s="674">
        <v>539.62018930214231</v>
      </c>
      <c r="AQ32" s="40">
        <v>448.76449922990878</v>
      </c>
      <c r="AR32" s="52">
        <v>-90.855690072233529</v>
      </c>
      <c r="AS32" s="674">
        <v>2714.6497498618401</v>
      </c>
      <c r="AT32" s="40">
        <v>904</v>
      </c>
      <c r="AU32" s="54">
        <v>-1810.6497498618401</v>
      </c>
      <c r="AV32" s="674">
        <v>0</v>
      </c>
      <c r="AW32" s="40">
        <v>0</v>
      </c>
      <c r="AX32" s="55">
        <v>0</v>
      </c>
      <c r="AY32" s="674">
        <v>0</v>
      </c>
      <c r="AZ32" s="40">
        <v>0</v>
      </c>
      <c r="BA32" s="35">
        <v>0</v>
      </c>
      <c r="BB32" s="674">
        <v>0</v>
      </c>
      <c r="BC32" s="40">
        <v>0</v>
      </c>
      <c r="BD32" s="55">
        <v>0</v>
      </c>
      <c r="BE32" s="674">
        <v>0</v>
      </c>
      <c r="BF32" s="40">
        <v>0</v>
      </c>
      <c r="BG32" s="38">
        <v>0</v>
      </c>
      <c r="BH32" s="674">
        <v>0</v>
      </c>
      <c r="BI32" s="40">
        <v>0</v>
      </c>
      <c r="BJ32" s="55">
        <v>0</v>
      </c>
      <c r="BK32" s="674">
        <v>0</v>
      </c>
      <c r="BL32" s="40">
        <v>0</v>
      </c>
      <c r="BM32" s="38">
        <v>0</v>
      </c>
      <c r="BN32" s="674">
        <v>7.1970000000000001</v>
      </c>
      <c r="BO32" s="40">
        <v>0</v>
      </c>
      <c r="BP32" s="55">
        <v>-7.1970000000000001</v>
      </c>
      <c r="BQ32" s="77">
        <v>7.1970000000000001</v>
      </c>
      <c r="BR32" s="40">
        <v>0</v>
      </c>
      <c r="BS32" s="55">
        <v>-7.1970000000000001</v>
      </c>
      <c r="BT32" s="674">
        <v>71.781032262592504</v>
      </c>
      <c r="BU32" s="40">
        <v>93.869332493052823</v>
      </c>
      <c r="BV32" s="52">
        <v>22.08830023046032</v>
      </c>
      <c r="BW32" s="674">
        <v>0</v>
      </c>
      <c r="BX32" s="40">
        <v>5.4569284627417991</v>
      </c>
      <c r="BY32" s="52">
        <v>5.4569284627417991</v>
      </c>
      <c r="BZ32" s="674">
        <v>0</v>
      </c>
      <c r="CA32" s="40">
        <v>31.159034695084443</v>
      </c>
      <c r="CB32" s="52">
        <v>31.159034695084443</v>
      </c>
      <c r="CC32" s="674">
        <v>0</v>
      </c>
      <c r="CD32" s="40">
        <v>0</v>
      </c>
      <c r="CE32" s="52">
        <v>0</v>
      </c>
      <c r="CF32" s="674">
        <v>0</v>
      </c>
      <c r="CG32" s="40">
        <v>0</v>
      </c>
      <c r="CH32" s="52">
        <v>0</v>
      </c>
      <c r="CI32" s="674">
        <v>383.542877657882</v>
      </c>
      <c r="CJ32" s="40">
        <v>220.96438074040714</v>
      </c>
      <c r="CK32" s="52">
        <v>-162.57849691747487</v>
      </c>
      <c r="CL32" s="674">
        <v>0</v>
      </c>
      <c r="CM32" s="40">
        <v>0</v>
      </c>
      <c r="CN32" s="52">
        <v>0</v>
      </c>
      <c r="CO32" s="39">
        <v>383.542877657882</v>
      </c>
      <c r="CP32" s="40">
        <v>220.96438074040714</v>
      </c>
      <c r="CQ32" s="52">
        <v>-162.57849691747487</v>
      </c>
      <c r="CR32" s="72">
        <v>3961.7447594187456</v>
      </c>
      <c r="CS32" s="5">
        <v>2723.4825455432338</v>
      </c>
      <c r="CT32" s="52">
        <v>-1238.2622138755119</v>
      </c>
      <c r="CU32" s="77">
        <v>4754.0937113024947</v>
      </c>
      <c r="CV32" s="65">
        <v>3268.1790546518805</v>
      </c>
      <c r="CW32" s="35">
        <v>-1485.9146566506142</v>
      </c>
      <c r="CX32" s="73">
        <v>48.596850196781176</v>
      </c>
      <c r="CY32" s="40">
        <v>1534.5115068473947</v>
      </c>
      <c r="CZ32" s="52">
        <v>1485.9146566506136</v>
      </c>
      <c r="DA32" s="150">
        <v>-1120.1266978597062</v>
      </c>
      <c r="DB32" s="2">
        <v>3</v>
      </c>
      <c r="DC32" s="675">
        <v>-48.84</v>
      </c>
      <c r="DD32" s="675">
        <v>0</v>
      </c>
      <c r="DE32" s="675">
        <v>-469.96600067868076</v>
      </c>
      <c r="DF32" s="675">
        <v>0</v>
      </c>
      <c r="DG32" s="321">
        <v>365.7879587909074</v>
      </c>
      <c r="DH32" s="40">
        <v>4802.3270430432231</v>
      </c>
      <c r="DI32" s="422">
        <v>421.12600067868078</v>
      </c>
      <c r="DJ32" s="306">
        <v>1.7554230957844135</v>
      </c>
      <c r="DK32" s="306">
        <v>1.7554230957844135</v>
      </c>
      <c r="DL32" s="306">
        <v>1.7554230957844135</v>
      </c>
      <c r="DM32" s="28">
        <v>421.12600067868078</v>
      </c>
      <c r="DN32" s="28">
        <v>0</v>
      </c>
      <c r="DO32" s="423">
        <v>421.12600067868078</v>
      </c>
      <c r="DP32" s="94">
        <v>0</v>
      </c>
      <c r="DQ32" s="28">
        <v>421.12600067868078</v>
      </c>
      <c r="DR32" s="318"/>
      <c r="DT32" s="8"/>
      <c r="DU32" s="5"/>
      <c r="DX32" s="5">
        <v>3266.2160998342083</v>
      </c>
      <c r="DY32" s="5">
        <v>1084.8</v>
      </c>
      <c r="DZ32" s="159">
        <v>317.29908744899859</v>
      </c>
      <c r="EB32" s="676">
        <v>1191.7980343983172</v>
      </c>
      <c r="EC32" s="676">
        <v>-188.55210154984232</v>
      </c>
      <c r="ED32" s="676">
        <v>-186.12512521216374</v>
      </c>
      <c r="EE32" s="676">
        <v>-347.14516839268504</v>
      </c>
      <c r="EF32" s="676">
        <v>-318.47872739635028</v>
      </c>
      <c r="EG32" s="676">
        <v>-321.73837808054316</v>
      </c>
      <c r="EH32" s="676">
        <v>-57.531416830392345</v>
      </c>
      <c r="EI32" s="676">
        <v>-283.3757464270775</v>
      </c>
      <c r="EJ32" s="676">
        <v>-279.33046880848241</v>
      </c>
      <c r="EK32" s="676">
        <v>-225.01343962262999</v>
      </c>
      <c r="EL32" s="676">
        <v>-226.31524510702505</v>
      </c>
      <c r="EM32" s="676">
        <v>-244.10687362173903</v>
      </c>
      <c r="EN32" s="676">
        <v>-1485.9146566506136</v>
      </c>
      <c r="EQ32" s="5">
        <v>3266.2160998342083</v>
      </c>
      <c r="ER32" s="5">
        <v>1084.8</v>
      </c>
      <c r="ET32" s="318">
        <v>-1042.0073254361275</v>
      </c>
      <c r="EU32" s="5">
        <v>-611.2047157729653</v>
      </c>
    </row>
    <row r="33" spans="1:151" x14ac:dyDescent="0.3">
      <c r="A33" s="325">
        <v>150001001</v>
      </c>
      <c r="B33" s="41" t="s">
        <v>482</v>
      </c>
      <c r="C33" s="42" t="s">
        <v>46</v>
      </c>
      <c r="D33" s="27">
        <v>1</v>
      </c>
      <c r="E33" s="293">
        <v>239.8</v>
      </c>
      <c r="F33" s="305">
        <v>239.8</v>
      </c>
      <c r="G33" s="508">
        <v>0</v>
      </c>
      <c r="H33" s="677">
        <v>0</v>
      </c>
      <c r="I33" s="674">
        <v>0</v>
      </c>
      <c r="J33" s="40">
        <v>0</v>
      </c>
      <c r="K33" s="52">
        <v>0</v>
      </c>
      <c r="L33" s="674">
        <v>0</v>
      </c>
      <c r="M33" s="40">
        <v>0</v>
      </c>
      <c r="N33" s="52">
        <v>0</v>
      </c>
      <c r="O33" s="674">
        <v>0</v>
      </c>
      <c r="P33" s="40">
        <v>0</v>
      </c>
      <c r="Q33" s="52">
        <v>0</v>
      </c>
      <c r="R33" s="674">
        <v>0</v>
      </c>
      <c r="S33" s="40">
        <v>0</v>
      </c>
      <c r="T33" s="52">
        <v>0</v>
      </c>
      <c r="U33" s="674">
        <v>0</v>
      </c>
      <c r="V33" s="40">
        <v>0</v>
      </c>
      <c r="W33" s="52">
        <v>0</v>
      </c>
      <c r="X33" s="674">
        <v>0</v>
      </c>
      <c r="Y33" s="40">
        <v>0</v>
      </c>
      <c r="Z33" s="52">
        <v>0</v>
      </c>
      <c r="AA33" s="674">
        <v>28.6524</v>
      </c>
      <c r="AB33" s="40">
        <v>0</v>
      </c>
      <c r="AC33" s="52">
        <v>-28.6524</v>
      </c>
      <c r="AD33" s="674">
        <v>215.14758038251455</v>
      </c>
      <c r="AE33" s="40">
        <v>875.44628872278327</v>
      </c>
      <c r="AF33" s="35">
        <v>660.29870834026872</v>
      </c>
      <c r="AG33" s="77">
        <v>243.79998038251455</v>
      </c>
      <c r="AH33" s="53">
        <v>875.44628872278327</v>
      </c>
      <c r="AI33" s="52">
        <v>631.64630834026866</v>
      </c>
      <c r="AJ33" s="674">
        <v>0</v>
      </c>
      <c r="AK33" s="40">
        <v>0</v>
      </c>
      <c r="AL33" s="52">
        <v>0</v>
      </c>
      <c r="AM33" s="674">
        <v>0</v>
      </c>
      <c r="AN33" s="40">
        <v>0</v>
      </c>
      <c r="AO33" s="52">
        <v>0</v>
      </c>
      <c r="AP33" s="674">
        <v>407.84188959504598</v>
      </c>
      <c r="AQ33" s="40">
        <v>411.3674576274164</v>
      </c>
      <c r="AR33" s="52">
        <v>3.5255680323704155</v>
      </c>
      <c r="AS33" s="674">
        <v>2113.2444442552714</v>
      </c>
      <c r="AT33" s="40">
        <v>0</v>
      </c>
      <c r="AU33" s="54">
        <v>-2113.2444442552714</v>
      </c>
      <c r="AV33" s="674">
        <v>0</v>
      </c>
      <c r="AW33" s="40">
        <v>0</v>
      </c>
      <c r="AX33" s="55">
        <v>0</v>
      </c>
      <c r="AY33" s="674">
        <v>0</v>
      </c>
      <c r="AZ33" s="40">
        <v>0</v>
      </c>
      <c r="BA33" s="35">
        <v>0</v>
      </c>
      <c r="BB33" s="674">
        <v>0</v>
      </c>
      <c r="BC33" s="40">
        <v>0</v>
      </c>
      <c r="BD33" s="55">
        <v>0</v>
      </c>
      <c r="BE33" s="674">
        <v>0</v>
      </c>
      <c r="BF33" s="40">
        <v>0</v>
      </c>
      <c r="BG33" s="38">
        <v>0</v>
      </c>
      <c r="BH33" s="674">
        <v>0</v>
      </c>
      <c r="BI33" s="40">
        <v>0</v>
      </c>
      <c r="BJ33" s="55">
        <v>0</v>
      </c>
      <c r="BK33" s="674">
        <v>0</v>
      </c>
      <c r="BL33" s="40">
        <v>0</v>
      </c>
      <c r="BM33" s="38">
        <v>0</v>
      </c>
      <c r="BN33" s="674">
        <v>7.1631</v>
      </c>
      <c r="BO33" s="40">
        <v>0</v>
      </c>
      <c r="BP33" s="55">
        <v>-7.1631</v>
      </c>
      <c r="BQ33" s="77">
        <v>7.1631</v>
      </c>
      <c r="BR33" s="40">
        <v>0</v>
      </c>
      <c r="BS33" s="55">
        <v>-7.1631</v>
      </c>
      <c r="BT33" s="674">
        <v>97.701960579639803</v>
      </c>
      <c r="BU33" s="40">
        <v>151.55132144799228</v>
      </c>
      <c r="BV33" s="52">
        <v>53.849360868352477</v>
      </c>
      <c r="BW33" s="674">
        <v>0</v>
      </c>
      <c r="BX33" s="40">
        <v>4.483964826044323</v>
      </c>
      <c r="BY33" s="52">
        <v>4.483964826044323</v>
      </c>
      <c r="BZ33" s="674">
        <v>0</v>
      </c>
      <c r="CA33" s="40">
        <v>9.2436406512338429</v>
      </c>
      <c r="CB33" s="52">
        <v>9.2436406512338429</v>
      </c>
      <c r="CC33" s="674">
        <v>0</v>
      </c>
      <c r="CD33" s="40">
        <v>0</v>
      </c>
      <c r="CE33" s="52">
        <v>0</v>
      </c>
      <c r="CF33" s="674">
        <v>0</v>
      </c>
      <c r="CG33" s="40">
        <v>0</v>
      </c>
      <c r="CH33" s="52">
        <v>0</v>
      </c>
      <c r="CI33" s="674">
        <v>162.16411988698289</v>
      </c>
      <c r="CJ33" s="40">
        <v>184.74988164515344</v>
      </c>
      <c r="CK33" s="52">
        <v>22.585761758170548</v>
      </c>
      <c r="CL33" s="674">
        <v>0</v>
      </c>
      <c r="CM33" s="40">
        <v>0</v>
      </c>
      <c r="CN33" s="52">
        <v>0</v>
      </c>
      <c r="CO33" s="39">
        <v>162.16411988698289</v>
      </c>
      <c r="CP33" s="40">
        <v>184.74988164515344</v>
      </c>
      <c r="CQ33" s="52">
        <v>22.585761758170548</v>
      </c>
      <c r="CR33" s="72">
        <v>3031.9154946994549</v>
      </c>
      <c r="CS33" s="5">
        <v>1636.8425549206233</v>
      </c>
      <c r="CT33" s="52">
        <v>-1395.0729397788316</v>
      </c>
      <c r="CU33" s="77">
        <v>3638.2985936393457</v>
      </c>
      <c r="CV33" s="65">
        <v>1964.211065904748</v>
      </c>
      <c r="CW33" s="35">
        <v>-1674.0875277345976</v>
      </c>
      <c r="CX33" s="73">
        <v>44.913830265461584</v>
      </c>
      <c r="CY33" s="40">
        <v>1719.0013580000584</v>
      </c>
      <c r="CZ33" s="52">
        <v>1674.0875277345967</v>
      </c>
      <c r="DA33" s="150">
        <v>-5133.3577867140239</v>
      </c>
      <c r="DB33" s="2">
        <v>3</v>
      </c>
      <c r="DC33" s="675">
        <v>794.15</v>
      </c>
      <c r="DD33" s="675">
        <v>0</v>
      </c>
      <c r="DE33" s="675">
        <v>794.15</v>
      </c>
      <c r="DF33" s="675">
        <v>0</v>
      </c>
      <c r="DG33" s="321">
        <v>-3459.2702589794267</v>
      </c>
      <c r="DH33" s="40">
        <v>4467.846372590695</v>
      </c>
      <c r="DI33" s="422">
        <v>392.48495854528824</v>
      </c>
      <c r="DJ33" s="306">
        <v>1.6367179255433204</v>
      </c>
      <c r="DK33" s="306">
        <v>1.6367179255433204</v>
      </c>
      <c r="DL33" s="306">
        <v>1.6367179255433204</v>
      </c>
      <c r="DM33" s="28">
        <v>392.48495854528824</v>
      </c>
      <c r="DN33" s="28">
        <v>0</v>
      </c>
      <c r="DO33" s="423">
        <v>392.48495854528824</v>
      </c>
      <c r="DP33" s="94">
        <v>0</v>
      </c>
      <c r="DQ33" s="28">
        <v>392.48495854528824</v>
      </c>
      <c r="DR33" s="318"/>
      <c r="DT33" s="8"/>
      <c r="DU33" s="5"/>
      <c r="DX33" s="5">
        <v>2544.4890531063261</v>
      </c>
      <c r="DY33" s="5">
        <v>0</v>
      </c>
      <c r="DZ33" s="159">
        <v>303.06080296328787</v>
      </c>
      <c r="EB33" s="676">
        <v>156.83096785228508</v>
      </c>
      <c r="EC33" s="676">
        <v>-132.28476354795905</v>
      </c>
      <c r="ED33" s="676">
        <v>-136.00869851287413</v>
      </c>
      <c r="EE33" s="676">
        <v>-313.04486809874595</v>
      </c>
      <c r="EF33" s="676">
        <v>-247.8896516279045</v>
      </c>
      <c r="EG33" s="676">
        <v>-253.76180310223302</v>
      </c>
      <c r="EH33" s="676">
        <v>-34.378645609630439</v>
      </c>
      <c r="EI33" s="676">
        <v>-229.76407444594088</v>
      </c>
      <c r="EJ33" s="676">
        <v>-268.39362581663954</v>
      </c>
      <c r="EK33" s="676">
        <v>-215.39236482495443</v>
      </c>
      <c r="EL33" s="676">
        <v>0</v>
      </c>
      <c r="EM33" s="676">
        <v>0</v>
      </c>
      <c r="EN33" s="676">
        <v>-1674.087527734597</v>
      </c>
      <c r="EQ33" s="5">
        <v>2544.4890531063261</v>
      </c>
      <c r="ER33" s="5">
        <v>0</v>
      </c>
      <c r="ET33" s="318">
        <v>-1498.6466705988223</v>
      </c>
      <c r="EU33" s="5">
        <v>-1270.2784828392128</v>
      </c>
    </row>
    <row r="34" spans="1:151" x14ac:dyDescent="0.3">
      <c r="A34" s="325">
        <v>150001005</v>
      </c>
      <c r="B34" s="41" t="s">
        <v>483</v>
      </c>
      <c r="C34" s="42" t="s">
        <v>47</v>
      </c>
      <c r="D34" s="27">
        <v>1</v>
      </c>
      <c r="E34" s="293">
        <v>242.2</v>
      </c>
      <c r="F34" s="305">
        <v>242.2</v>
      </c>
      <c r="G34" s="508">
        <v>0</v>
      </c>
      <c r="H34" s="677">
        <v>0</v>
      </c>
      <c r="I34" s="674">
        <v>0</v>
      </c>
      <c r="J34" s="40">
        <v>0</v>
      </c>
      <c r="K34" s="52">
        <v>0</v>
      </c>
      <c r="L34" s="674">
        <v>0</v>
      </c>
      <c r="M34" s="40">
        <v>0</v>
      </c>
      <c r="N34" s="52">
        <v>0</v>
      </c>
      <c r="O34" s="674">
        <v>0</v>
      </c>
      <c r="P34" s="40">
        <v>0</v>
      </c>
      <c r="Q34" s="52">
        <v>0</v>
      </c>
      <c r="R34" s="674">
        <v>0</v>
      </c>
      <c r="S34" s="40">
        <v>0</v>
      </c>
      <c r="T34" s="52">
        <v>0</v>
      </c>
      <c r="U34" s="674">
        <v>0</v>
      </c>
      <c r="V34" s="40">
        <v>0</v>
      </c>
      <c r="W34" s="52">
        <v>0</v>
      </c>
      <c r="X34" s="674">
        <v>0</v>
      </c>
      <c r="Y34" s="40">
        <v>0</v>
      </c>
      <c r="Z34" s="52">
        <v>0</v>
      </c>
      <c r="AA34" s="674">
        <v>29.064</v>
      </c>
      <c r="AB34" s="40">
        <v>0</v>
      </c>
      <c r="AC34" s="52">
        <v>-29.064</v>
      </c>
      <c r="AD34" s="674">
        <v>218.26168165144185</v>
      </c>
      <c r="AE34" s="40">
        <v>884.20805308030879</v>
      </c>
      <c r="AF34" s="35">
        <v>665.946371428867</v>
      </c>
      <c r="AG34" s="77">
        <v>247.32568165144184</v>
      </c>
      <c r="AH34" s="53">
        <v>884.20805308030879</v>
      </c>
      <c r="AI34" s="52">
        <v>636.88237142886692</v>
      </c>
      <c r="AJ34" s="674">
        <v>0</v>
      </c>
      <c r="AK34" s="40">
        <v>0</v>
      </c>
      <c r="AL34" s="52">
        <v>0</v>
      </c>
      <c r="AM34" s="674">
        <v>0</v>
      </c>
      <c r="AN34" s="40">
        <v>0</v>
      </c>
      <c r="AO34" s="52">
        <v>0</v>
      </c>
      <c r="AP34" s="674">
        <v>333.688818759583</v>
      </c>
      <c r="AQ34" s="40">
        <v>336.57337442243158</v>
      </c>
      <c r="AR34" s="52">
        <v>2.8845556628485838</v>
      </c>
      <c r="AS34" s="674">
        <v>2291.8806732863754</v>
      </c>
      <c r="AT34" s="40">
        <v>0</v>
      </c>
      <c r="AU34" s="54">
        <v>-2291.8806732863754</v>
      </c>
      <c r="AV34" s="674">
        <v>0</v>
      </c>
      <c r="AW34" s="40">
        <v>0</v>
      </c>
      <c r="AX34" s="55">
        <v>0</v>
      </c>
      <c r="AY34" s="674">
        <v>0</v>
      </c>
      <c r="AZ34" s="40">
        <v>0</v>
      </c>
      <c r="BA34" s="35">
        <v>0</v>
      </c>
      <c r="BB34" s="674">
        <v>0</v>
      </c>
      <c r="BC34" s="40">
        <v>0</v>
      </c>
      <c r="BD34" s="55">
        <v>0</v>
      </c>
      <c r="BE34" s="674">
        <v>0</v>
      </c>
      <c r="BF34" s="40">
        <v>0</v>
      </c>
      <c r="BG34" s="38">
        <v>0</v>
      </c>
      <c r="BH34" s="674">
        <v>0</v>
      </c>
      <c r="BI34" s="40">
        <v>0</v>
      </c>
      <c r="BJ34" s="55">
        <v>0</v>
      </c>
      <c r="BK34" s="674">
        <v>0</v>
      </c>
      <c r="BL34" s="40">
        <v>0</v>
      </c>
      <c r="BM34" s="38">
        <v>0</v>
      </c>
      <c r="BN34" s="674">
        <v>7.266</v>
      </c>
      <c r="BO34" s="40">
        <v>0</v>
      </c>
      <c r="BP34" s="55">
        <v>-7.266</v>
      </c>
      <c r="BQ34" s="77">
        <v>7.266</v>
      </c>
      <c r="BR34" s="40">
        <v>0</v>
      </c>
      <c r="BS34" s="55">
        <v>-7.266</v>
      </c>
      <c r="BT34" s="674">
        <v>69.78711469974273</v>
      </c>
      <c r="BU34" s="40">
        <v>108.3262775993224</v>
      </c>
      <c r="BV34" s="52">
        <v>38.539162899579665</v>
      </c>
      <c r="BW34" s="674">
        <v>0</v>
      </c>
      <c r="BX34" s="40">
        <v>4.528841871842932</v>
      </c>
      <c r="BY34" s="52">
        <v>4.528841871842932</v>
      </c>
      <c r="BZ34" s="674">
        <v>0</v>
      </c>
      <c r="CA34" s="40">
        <v>6.6038975218732805</v>
      </c>
      <c r="CB34" s="52">
        <v>6.6038975218732805</v>
      </c>
      <c r="CC34" s="674">
        <v>0</v>
      </c>
      <c r="CD34" s="40">
        <v>0</v>
      </c>
      <c r="CE34" s="52">
        <v>0</v>
      </c>
      <c r="CF34" s="674">
        <v>0</v>
      </c>
      <c r="CG34" s="40">
        <v>0</v>
      </c>
      <c r="CH34" s="52">
        <v>0</v>
      </c>
      <c r="CI34" s="674">
        <v>0</v>
      </c>
      <c r="CJ34" s="40">
        <v>0</v>
      </c>
      <c r="CK34" s="52">
        <v>0</v>
      </c>
      <c r="CL34" s="674">
        <v>0</v>
      </c>
      <c r="CM34" s="40">
        <v>0</v>
      </c>
      <c r="CN34" s="52">
        <v>0</v>
      </c>
      <c r="CO34" s="39">
        <v>0</v>
      </c>
      <c r="CP34" s="40">
        <v>0</v>
      </c>
      <c r="CQ34" s="52">
        <v>0</v>
      </c>
      <c r="CR34" s="72">
        <v>2949.9482883971432</v>
      </c>
      <c r="CS34" s="5">
        <v>1340.240444495779</v>
      </c>
      <c r="CT34" s="52">
        <v>-1609.7078439013642</v>
      </c>
      <c r="CU34" s="77">
        <v>3539.9379460765717</v>
      </c>
      <c r="CV34" s="65">
        <v>1608.2885333949348</v>
      </c>
      <c r="CW34" s="35">
        <v>-1931.6494126816369</v>
      </c>
      <c r="CX34" s="73">
        <v>111.04446732023439</v>
      </c>
      <c r="CY34" s="40">
        <v>2042.6938800018704</v>
      </c>
      <c r="CZ34" s="52">
        <v>1931.649412681636</v>
      </c>
      <c r="DA34" s="150">
        <v>-6977.7866965940066</v>
      </c>
      <c r="DB34" s="2">
        <v>3</v>
      </c>
      <c r="DC34" s="675">
        <v>2048.8200000000002</v>
      </c>
      <c r="DD34" s="675">
        <v>0</v>
      </c>
      <c r="DE34" s="675">
        <v>2048.8200000000002</v>
      </c>
      <c r="DF34" s="675">
        <v>0</v>
      </c>
      <c r="DG34" s="321">
        <v>-5046.1372839123705</v>
      </c>
      <c r="DH34" s="40">
        <v>4427.5336145040465</v>
      </c>
      <c r="DI34" s="422">
        <v>388.44287832217708</v>
      </c>
      <c r="DJ34" s="306">
        <v>1.6038103976968501</v>
      </c>
      <c r="DK34" s="306">
        <v>1.6038103976968501</v>
      </c>
      <c r="DL34" s="306">
        <v>1.6038103976968501</v>
      </c>
      <c r="DM34" s="28">
        <v>388.44287832217708</v>
      </c>
      <c r="DN34" s="28">
        <v>0</v>
      </c>
      <c r="DO34" s="423">
        <v>388.44287832217708</v>
      </c>
      <c r="DP34" s="94">
        <v>0</v>
      </c>
      <c r="DQ34" s="28">
        <v>388.44287832217708</v>
      </c>
      <c r="DR34" s="318"/>
      <c r="DT34" s="8"/>
      <c r="DU34" s="5"/>
      <c r="DX34" s="5">
        <v>2758.9760079436505</v>
      </c>
      <c r="DY34" s="5">
        <v>0</v>
      </c>
      <c r="DZ34" s="159">
        <v>324.38936247042085</v>
      </c>
      <c r="EB34" s="676">
        <v>61.267317655094303</v>
      </c>
      <c r="EC34" s="676">
        <v>-165.47555375409922</v>
      </c>
      <c r="ED34" s="676">
        <v>-161.0901440374559</v>
      </c>
      <c r="EE34" s="676">
        <v>-306.1258715408344</v>
      </c>
      <c r="EF34" s="676">
        <v>-270.99783977768368</v>
      </c>
      <c r="EG34" s="676">
        <v>-276.24077742604271</v>
      </c>
      <c r="EH34" s="676">
        <v>-77.558756223358671</v>
      </c>
      <c r="EI34" s="676">
        <v>-235.45971179851301</v>
      </c>
      <c r="EJ34" s="676">
        <v>-274.40182200095501</v>
      </c>
      <c r="EK34" s="676">
        <v>-225.56625377778778</v>
      </c>
      <c r="EL34" s="676">
        <v>0</v>
      </c>
      <c r="EM34" s="676">
        <v>0</v>
      </c>
      <c r="EN34" s="676">
        <v>-1931.649412681636</v>
      </c>
      <c r="EQ34" s="5">
        <v>2758.9760079436505</v>
      </c>
      <c r="ER34" s="5">
        <v>0</v>
      </c>
      <c r="ET34" s="318">
        <v>-1743.2238220562724</v>
      </c>
      <c r="EU34" s="5">
        <v>-1558.9134618560984</v>
      </c>
    </row>
    <row r="35" spans="1:151" x14ac:dyDescent="0.3">
      <c r="A35" s="325">
        <v>150000995</v>
      </c>
      <c r="B35" s="41" t="s">
        <v>484</v>
      </c>
      <c r="C35" s="42" t="s">
        <v>48</v>
      </c>
      <c r="D35" s="27">
        <v>1</v>
      </c>
      <c r="E35" s="293">
        <v>135.6</v>
      </c>
      <c r="F35" s="305">
        <v>135.6</v>
      </c>
      <c r="G35" s="508">
        <v>0</v>
      </c>
      <c r="H35" s="677">
        <v>0</v>
      </c>
      <c r="I35" s="674">
        <v>0</v>
      </c>
      <c r="J35" s="40">
        <v>0</v>
      </c>
      <c r="K35" s="52">
        <v>0</v>
      </c>
      <c r="L35" s="674">
        <v>0</v>
      </c>
      <c r="M35" s="40">
        <v>0</v>
      </c>
      <c r="N35" s="52">
        <v>0</v>
      </c>
      <c r="O35" s="674">
        <v>0</v>
      </c>
      <c r="P35" s="40">
        <v>0</v>
      </c>
      <c r="Q35" s="52">
        <v>0</v>
      </c>
      <c r="R35" s="674">
        <v>0</v>
      </c>
      <c r="S35" s="40">
        <v>0</v>
      </c>
      <c r="T35" s="52">
        <v>0</v>
      </c>
      <c r="U35" s="674">
        <v>0</v>
      </c>
      <c r="V35" s="40">
        <v>0</v>
      </c>
      <c r="W35" s="52">
        <v>0</v>
      </c>
      <c r="X35" s="674">
        <v>0</v>
      </c>
      <c r="Y35" s="40">
        <v>0</v>
      </c>
      <c r="Z35" s="52">
        <v>0</v>
      </c>
      <c r="AA35" s="674">
        <v>16.271999999999998</v>
      </c>
      <c r="AB35" s="40">
        <v>0</v>
      </c>
      <c r="AC35" s="52">
        <v>-16.271999999999998</v>
      </c>
      <c r="AD35" s="674">
        <v>122.19959421289141</v>
      </c>
      <c r="AE35" s="40">
        <v>576.12668179003106</v>
      </c>
      <c r="AF35" s="35">
        <v>453.92708757713967</v>
      </c>
      <c r="AG35" s="77">
        <v>138.4715942128914</v>
      </c>
      <c r="AH35" s="53">
        <v>576.12668179003106</v>
      </c>
      <c r="AI35" s="52">
        <v>437.65508757713962</v>
      </c>
      <c r="AJ35" s="674">
        <v>0</v>
      </c>
      <c r="AK35" s="40">
        <v>0</v>
      </c>
      <c r="AL35" s="52">
        <v>0</v>
      </c>
      <c r="AM35" s="674">
        <v>0</v>
      </c>
      <c r="AN35" s="40">
        <v>0</v>
      </c>
      <c r="AO35" s="52">
        <v>0</v>
      </c>
      <c r="AP35" s="674">
        <v>269.81009465107115</v>
      </c>
      <c r="AQ35" s="40">
        <v>224.38224961495439</v>
      </c>
      <c r="AR35" s="52">
        <v>-45.427845036116764</v>
      </c>
      <c r="AS35" s="674">
        <v>1769.2976855332156</v>
      </c>
      <c r="AT35" s="40">
        <v>0</v>
      </c>
      <c r="AU35" s="54">
        <v>-1769.2976855332156</v>
      </c>
      <c r="AV35" s="674">
        <v>0</v>
      </c>
      <c r="AW35" s="40">
        <v>0</v>
      </c>
      <c r="AX35" s="55">
        <v>0</v>
      </c>
      <c r="AY35" s="674">
        <v>0</v>
      </c>
      <c r="AZ35" s="40">
        <v>0</v>
      </c>
      <c r="BA35" s="35">
        <v>0</v>
      </c>
      <c r="BB35" s="674">
        <v>0</v>
      </c>
      <c r="BC35" s="40">
        <v>0</v>
      </c>
      <c r="BD35" s="55">
        <v>0</v>
      </c>
      <c r="BE35" s="674">
        <v>0</v>
      </c>
      <c r="BF35" s="40">
        <v>0</v>
      </c>
      <c r="BG35" s="38">
        <v>0</v>
      </c>
      <c r="BH35" s="674">
        <v>0</v>
      </c>
      <c r="BI35" s="40">
        <v>0</v>
      </c>
      <c r="BJ35" s="55">
        <v>0</v>
      </c>
      <c r="BK35" s="674">
        <v>0</v>
      </c>
      <c r="BL35" s="40">
        <v>0</v>
      </c>
      <c r="BM35" s="38">
        <v>0</v>
      </c>
      <c r="BN35" s="674">
        <v>4.0679999999999996</v>
      </c>
      <c r="BO35" s="40">
        <v>0</v>
      </c>
      <c r="BP35" s="55">
        <v>-4.0679999999999996</v>
      </c>
      <c r="BQ35" s="77">
        <v>4.0679999999999996</v>
      </c>
      <c r="BR35" s="40">
        <v>0</v>
      </c>
      <c r="BS35" s="55">
        <v>-4.0679999999999996</v>
      </c>
      <c r="BT35" s="674">
        <v>53.835774196944392</v>
      </c>
      <c r="BU35" s="40">
        <v>70.394375663351312</v>
      </c>
      <c r="BV35" s="52">
        <v>16.55860146640692</v>
      </c>
      <c r="BW35" s="674">
        <v>0</v>
      </c>
      <c r="BX35" s="40">
        <v>3.0844497688528048</v>
      </c>
      <c r="BY35" s="52">
        <v>3.0844497688528048</v>
      </c>
      <c r="BZ35" s="674">
        <v>0</v>
      </c>
      <c r="CA35" s="40">
        <v>23.358676274050175</v>
      </c>
      <c r="CB35" s="52">
        <v>23.358676274050175</v>
      </c>
      <c r="CC35" s="674">
        <v>0</v>
      </c>
      <c r="CD35" s="40">
        <v>0</v>
      </c>
      <c r="CE35" s="52">
        <v>0</v>
      </c>
      <c r="CF35" s="674">
        <v>0</v>
      </c>
      <c r="CG35" s="40">
        <v>0</v>
      </c>
      <c r="CH35" s="52">
        <v>0</v>
      </c>
      <c r="CI35" s="674">
        <v>168.31886329736466</v>
      </c>
      <c r="CJ35" s="40">
        <v>184.43613021283474</v>
      </c>
      <c r="CK35" s="52">
        <v>16.117266915470083</v>
      </c>
      <c r="CL35" s="674">
        <v>0</v>
      </c>
      <c r="CM35" s="40">
        <v>0</v>
      </c>
      <c r="CN35" s="52">
        <v>0</v>
      </c>
      <c r="CO35" s="39">
        <v>168.31886329736466</v>
      </c>
      <c r="CP35" s="40">
        <v>184.43613021283474</v>
      </c>
      <c r="CQ35" s="52">
        <v>16.117266915470083</v>
      </c>
      <c r="CR35" s="72">
        <v>2403.8020118914874</v>
      </c>
      <c r="CS35" s="5">
        <v>1081.7825633240743</v>
      </c>
      <c r="CT35" s="52">
        <v>-1322.0194485674131</v>
      </c>
      <c r="CU35" s="77">
        <v>2884.5624142697848</v>
      </c>
      <c r="CV35" s="65">
        <v>1298.1390759888891</v>
      </c>
      <c r="CW35" s="35">
        <v>-1586.4233382808957</v>
      </c>
      <c r="CX35" s="73">
        <v>64.220236786350029</v>
      </c>
      <c r="CY35" s="40">
        <v>1650.643575067246</v>
      </c>
      <c r="CZ35" s="52">
        <v>1586.4233382808961</v>
      </c>
      <c r="DA35" s="150">
        <v>-917.28342581451602</v>
      </c>
      <c r="DB35" s="2">
        <v>3</v>
      </c>
      <c r="DC35" s="675">
        <v>338.11</v>
      </c>
      <c r="DD35" s="675">
        <v>0</v>
      </c>
      <c r="DE35" s="675">
        <v>79.518009987797598</v>
      </c>
      <c r="DF35" s="675">
        <v>0</v>
      </c>
      <c r="DG35" s="321">
        <v>669.13991246637966</v>
      </c>
      <c r="DH35" s="40">
        <v>2948.5595422660808</v>
      </c>
      <c r="DI35" s="422">
        <v>258.59199001220242</v>
      </c>
      <c r="DJ35" s="306">
        <v>1.9070205753112273</v>
      </c>
      <c r="DK35" s="306">
        <v>1.9070205753112273</v>
      </c>
      <c r="DL35" s="306">
        <v>1.9070205753112273</v>
      </c>
      <c r="DM35" s="28">
        <v>258.59199001220242</v>
      </c>
      <c r="DN35" s="28">
        <v>0</v>
      </c>
      <c r="DO35" s="423">
        <v>258.59199001220242</v>
      </c>
      <c r="DP35" s="94">
        <v>0</v>
      </c>
      <c r="DQ35" s="28">
        <v>258.59199001220242</v>
      </c>
      <c r="DR35" s="318"/>
      <c r="DT35" s="8"/>
      <c r="DU35" s="5"/>
      <c r="DX35" s="5">
        <v>2128.0388226398586</v>
      </c>
      <c r="DY35" s="5">
        <v>0</v>
      </c>
      <c r="DZ35" s="159">
        <v>207.951285890175</v>
      </c>
      <c r="EB35" s="676">
        <v>61.107717081975693</v>
      </c>
      <c r="EC35" s="676">
        <v>-96.082230247566187</v>
      </c>
      <c r="ED35" s="676">
        <v>-97.859292579947223</v>
      </c>
      <c r="EE35" s="676">
        <v>-192.03076060222733</v>
      </c>
      <c r="EF35" s="676">
        <v>-168.73820978730851</v>
      </c>
      <c r="EG35" s="676">
        <v>-183.32521331898084</v>
      </c>
      <c r="EH35" s="676">
        <v>-54.302408366960037</v>
      </c>
      <c r="EI35" s="676">
        <v>-166.02902632056202</v>
      </c>
      <c r="EJ35" s="676">
        <v>-189.74010782069757</v>
      </c>
      <c r="EK35" s="676">
        <v>-145.33734644925747</v>
      </c>
      <c r="EL35" s="676">
        <v>-185.97419812845334</v>
      </c>
      <c r="EM35" s="676">
        <v>-168.11226174091095</v>
      </c>
      <c r="EN35" s="676">
        <v>-1586.4233382808957</v>
      </c>
      <c r="EQ35" s="5">
        <v>2128.0388226398586</v>
      </c>
      <c r="ER35" s="5">
        <v>0</v>
      </c>
      <c r="ET35" s="318">
        <v>-516.67468568797915</v>
      </c>
      <c r="EU35" s="5">
        <v>-1012.1854018456413</v>
      </c>
    </row>
    <row r="36" spans="1:151" x14ac:dyDescent="0.3">
      <c r="A36" s="325">
        <v>150001002</v>
      </c>
      <c r="B36" s="41" t="s">
        <v>485</v>
      </c>
      <c r="C36" s="42" t="s">
        <v>49</v>
      </c>
      <c r="D36" s="27">
        <v>1</v>
      </c>
      <c r="E36" s="293">
        <v>229.9</v>
      </c>
      <c r="F36" s="305">
        <v>229.9</v>
      </c>
      <c r="G36" s="508">
        <v>0</v>
      </c>
      <c r="H36" s="677">
        <v>0</v>
      </c>
      <c r="I36" s="674">
        <v>0</v>
      </c>
      <c r="J36" s="40">
        <v>0</v>
      </c>
      <c r="K36" s="52">
        <v>0</v>
      </c>
      <c r="L36" s="674">
        <v>0</v>
      </c>
      <c r="M36" s="40">
        <v>0</v>
      </c>
      <c r="N36" s="52">
        <v>0</v>
      </c>
      <c r="O36" s="674">
        <v>0</v>
      </c>
      <c r="P36" s="40">
        <v>0</v>
      </c>
      <c r="Q36" s="52">
        <v>0</v>
      </c>
      <c r="R36" s="674">
        <v>0</v>
      </c>
      <c r="S36" s="40">
        <v>0</v>
      </c>
      <c r="T36" s="52">
        <v>0</v>
      </c>
      <c r="U36" s="674">
        <v>0</v>
      </c>
      <c r="V36" s="40">
        <v>0</v>
      </c>
      <c r="W36" s="52">
        <v>0</v>
      </c>
      <c r="X36" s="674">
        <v>0</v>
      </c>
      <c r="Y36" s="40">
        <v>0</v>
      </c>
      <c r="Z36" s="52">
        <v>0</v>
      </c>
      <c r="AA36" s="674">
        <v>27.588000000000001</v>
      </c>
      <c r="AB36" s="40">
        <v>0</v>
      </c>
      <c r="AC36" s="52">
        <v>-27.588000000000001</v>
      </c>
      <c r="AD36" s="674">
        <v>207.17270482704947</v>
      </c>
      <c r="AE36" s="40">
        <v>976.78115150094504</v>
      </c>
      <c r="AF36" s="35">
        <v>769.60844667389551</v>
      </c>
      <c r="AG36" s="77">
        <v>234.76070482704947</v>
      </c>
      <c r="AH36" s="53">
        <v>976.78115150094504</v>
      </c>
      <c r="AI36" s="52">
        <v>742.02044667389555</v>
      </c>
      <c r="AJ36" s="674">
        <v>0</v>
      </c>
      <c r="AK36" s="40">
        <v>0</v>
      </c>
      <c r="AL36" s="52">
        <v>0</v>
      </c>
      <c r="AM36" s="674">
        <v>0</v>
      </c>
      <c r="AN36" s="40">
        <v>0</v>
      </c>
      <c r="AO36" s="52">
        <v>0</v>
      </c>
      <c r="AP36" s="674">
        <v>449.6834910851187</v>
      </c>
      <c r="AQ36" s="40">
        <v>373.97041602492402</v>
      </c>
      <c r="AR36" s="52">
        <v>-75.713075060194683</v>
      </c>
      <c r="AS36" s="674">
        <v>2742.1756664612949</v>
      </c>
      <c r="AT36" s="40">
        <v>1970</v>
      </c>
      <c r="AU36" s="54">
        <v>-772.1756664612949</v>
      </c>
      <c r="AV36" s="674">
        <v>0</v>
      </c>
      <c r="AW36" s="40">
        <v>0</v>
      </c>
      <c r="AX36" s="55">
        <v>0</v>
      </c>
      <c r="AY36" s="674">
        <v>0</v>
      </c>
      <c r="AZ36" s="40">
        <v>0</v>
      </c>
      <c r="BA36" s="35">
        <v>0</v>
      </c>
      <c r="BB36" s="674">
        <v>0</v>
      </c>
      <c r="BC36" s="40">
        <v>0</v>
      </c>
      <c r="BD36" s="55">
        <v>0</v>
      </c>
      <c r="BE36" s="674">
        <v>0</v>
      </c>
      <c r="BF36" s="40">
        <v>0</v>
      </c>
      <c r="BG36" s="38">
        <v>0</v>
      </c>
      <c r="BH36" s="674">
        <v>0</v>
      </c>
      <c r="BI36" s="40">
        <v>0</v>
      </c>
      <c r="BJ36" s="55">
        <v>0</v>
      </c>
      <c r="BK36" s="674">
        <v>0</v>
      </c>
      <c r="BL36" s="40">
        <v>0</v>
      </c>
      <c r="BM36" s="38">
        <v>0</v>
      </c>
      <c r="BN36" s="674">
        <v>6.8970000000000002</v>
      </c>
      <c r="BO36" s="40">
        <v>0</v>
      </c>
      <c r="BP36" s="55">
        <v>-6.8970000000000002</v>
      </c>
      <c r="BQ36" s="77">
        <v>6.8970000000000002</v>
      </c>
      <c r="BR36" s="40">
        <v>0</v>
      </c>
      <c r="BS36" s="55">
        <v>-6.8970000000000002</v>
      </c>
      <c r="BT36" s="674">
        <v>125.61680645953689</v>
      </c>
      <c r="BU36" s="40">
        <v>164.18066509728365</v>
      </c>
      <c r="BV36" s="52">
        <v>38.563858637746762</v>
      </c>
      <c r="BW36" s="674">
        <v>0</v>
      </c>
      <c r="BX36" s="40">
        <v>5.2294616656287607</v>
      </c>
      <c r="BY36" s="52">
        <v>5.2294616656287607</v>
      </c>
      <c r="BZ36" s="674">
        <v>0</v>
      </c>
      <c r="CA36" s="40">
        <v>54.556522463083091</v>
      </c>
      <c r="CB36" s="52">
        <v>54.556522463083091</v>
      </c>
      <c r="CC36" s="674">
        <v>0</v>
      </c>
      <c r="CD36" s="40">
        <v>0</v>
      </c>
      <c r="CE36" s="52">
        <v>0</v>
      </c>
      <c r="CF36" s="674">
        <v>0</v>
      </c>
      <c r="CG36" s="40">
        <v>0</v>
      </c>
      <c r="CH36" s="52">
        <v>0</v>
      </c>
      <c r="CI36" s="674">
        <v>355.41215824341151</v>
      </c>
      <c r="CJ36" s="40">
        <v>704.32134878256625</v>
      </c>
      <c r="CK36" s="52">
        <v>348.90919053915474</v>
      </c>
      <c r="CL36" s="674">
        <v>0</v>
      </c>
      <c r="CM36" s="40">
        <v>0</v>
      </c>
      <c r="CN36" s="52">
        <v>0</v>
      </c>
      <c r="CO36" s="39">
        <v>355.41215824341151</v>
      </c>
      <c r="CP36" s="40">
        <v>704.32134878256625</v>
      </c>
      <c r="CQ36" s="52">
        <v>348.90919053915474</v>
      </c>
      <c r="CR36" s="72">
        <v>3914.5458270764111</v>
      </c>
      <c r="CS36" s="5">
        <v>4249.0395655344309</v>
      </c>
      <c r="CT36" s="52">
        <v>334.49373845801983</v>
      </c>
      <c r="CU36" s="77">
        <v>4697.4549924916928</v>
      </c>
      <c r="CV36" s="65">
        <v>5098.8474786413171</v>
      </c>
      <c r="CW36" s="35">
        <v>401.39248614962435</v>
      </c>
      <c r="CX36" s="73">
        <v>142.48936290593511</v>
      </c>
      <c r="CY36" s="40">
        <v>-258.90312324368853</v>
      </c>
      <c r="CZ36" s="52">
        <v>-401.39248614962366</v>
      </c>
      <c r="DA36" s="150">
        <v>1030.3493242005261</v>
      </c>
      <c r="DB36" s="2">
        <v>3</v>
      </c>
      <c r="DC36" s="675">
        <v>422.71</v>
      </c>
      <c r="DD36" s="675">
        <v>0</v>
      </c>
      <c r="DE36" s="675">
        <v>-5.8770444579181458E-3</v>
      </c>
      <c r="DF36" s="675">
        <v>0</v>
      </c>
      <c r="DG36" s="321">
        <v>628.95683805090255</v>
      </c>
      <c r="DH36" s="40">
        <v>4839.5725994787108</v>
      </c>
      <c r="DI36" s="422">
        <v>422.7158770444579</v>
      </c>
      <c r="DJ36" s="306">
        <v>1.8386945499976419</v>
      </c>
      <c r="DK36" s="306">
        <v>1.8386945499976419</v>
      </c>
      <c r="DL36" s="306">
        <v>1.8386945499976419</v>
      </c>
      <c r="DM36" s="28">
        <v>422.7158770444579</v>
      </c>
      <c r="DN36" s="28">
        <v>0</v>
      </c>
      <c r="DO36" s="423">
        <v>422.7158770444579</v>
      </c>
      <c r="DP36" s="94">
        <v>0</v>
      </c>
      <c r="DQ36" s="28">
        <v>422.7158770444579</v>
      </c>
      <c r="DR36" s="318"/>
      <c r="DT36" s="8"/>
      <c r="DU36" s="5"/>
      <c r="DX36" s="5">
        <v>3298.8871997535539</v>
      </c>
      <c r="DY36" s="5">
        <v>2364</v>
      </c>
      <c r="DZ36" s="159">
        <v>320.22965626350123</v>
      </c>
      <c r="EB36" s="676">
        <v>146.24495345706231</v>
      </c>
      <c r="EC36" s="676">
        <v>-92.139554950781587</v>
      </c>
      <c r="ED36" s="676">
        <v>-82.774615045943193</v>
      </c>
      <c r="EE36" s="676">
        <v>-270.07111128694817</v>
      </c>
      <c r="EF36" s="676">
        <v>-239.03113979167821</v>
      </c>
      <c r="EG36" s="676">
        <v>-271.38569269933248</v>
      </c>
      <c r="EH36" s="676">
        <v>1070.0877246482951</v>
      </c>
      <c r="EI36" s="676">
        <v>-249.00564302873082</v>
      </c>
      <c r="EJ36" s="676">
        <v>996.45730298853755</v>
      </c>
      <c r="EK36" s="676">
        <v>-178.51544691057501</v>
      </c>
      <c r="EL36" s="676">
        <v>-238.62867577466838</v>
      </c>
      <c r="EM36" s="676">
        <v>-189.84561545561337</v>
      </c>
      <c r="EN36" s="676">
        <v>401.39248614962366</v>
      </c>
      <c r="EQ36" s="5">
        <v>3298.8871997535539</v>
      </c>
      <c r="ER36" s="5">
        <v>2364</v>
      </c>
      <c r="ET36" s="318">
        <v>-898.42089282832512</v>
      </c>
      <c r="EU36" s="5">
        <v>-1515.6222691207724</v>
      </c>
    </row>
    <row r="37" spans="1:151" x14ac:dyDescent="0.3">
      <c r="A37" s="325">
        <v>150000972</v>
      </c>
      <c r="B37" s="41" t="s">
        <v>486</v>
      </c>
      <c r="C37" s="42" t="s">
        <v>202</v>
      </c>
      <c r="D37" s="27">
        <v>4</v>
      </c>
      <c r="E37" s="293">
        <v>2167.6</v>
      </c>
      <c r="F37" s="305">
        <v>1931.4</v>
      </c>
      <c r="G37" s="508">
        <v>0</v>
      </c>
      <c r="H37" s="677">
        <v>236.2</v>
      </c>
      <c r="I37" s="674">
        <v>8132.5915383641222</v>
      </c>
      <c r="J37" s="40">
        <v>8866.743295287064</v>
      </c>
      <c r="K37" s="52">
        <v>734.15175692294179</v>
      </c>
      <c r="L37" s="674">
        <v>1350.3312224020494</v>
      </c>
      <c r="M37" s="40">
        <v>1477.9866057032807</v>
      </c>
      <c r="N37" s="52">
        <v>127.65538330123127</v>
      </c>
      <c r="O37" s="674">
        <v>3119.0425172459945</v>
      </c>
      <c r="P37" s="40">
        <v>3119.0399999999995</v>
      </c>
      <c r="Q37" s="52">
        <v>-2.5172459950226767E-3</v>
      </c>
      <c r="R37" s="674">
        <v>0</v>
      </c>
      <c r="S37" s="40">
        <v>0</v>
      </c>
      <c r="T37" s="52">
        <v>0</v>
      </c>
      <c r="U37" s="674">
        <v>0</v>
      </c>
      <c r="V37" s="40">
        <v>0</v>
      </c>
      <c r="W37" s="52">
        <v>0</v>
      </c>
      <c r="X37" s="674">
        <v>4429.4903749306122</v>
      </c>
      <c r="Y37" s="40">
        <v>3382.7104649085991</v>
      </c>
      <c r="Z37" s="52">
        <v>-1046.7799100220132</v>
      </c>
      <c r="AA37" s="674">
        <v>275.91600000000005</v>
      </c>
      <c r="AB37" s="40">
        <v>0</v>
      </c>
      <c r="AC37" s="52">
        <v>-275.91600000000005</v>
      </c>
      <c r="AD37" s="674">
        <v>9413.9958294146927</v>
      </c>
      <c r="AE37" s="40">
        <v>9209.5294649562784</v>
      </c>
      <c r="AF37" s="35">
        <v>-204.46636445841432</v>
      </c>
      <c r="AG37" s="77">
        <v>26721.367482357473</v>
      </c>
      <c r="AH37" s="53">
        <v>26056.009830855222</v>
      </c>
      <c r="AI37" s="52">
        <v>-665.35765150225052</v>
      </c>
      <c r="AJ37" s="674">
        <v>0</v>
      </c>
      <c r="AK37" s="40">
        <v>0</v>
      </c>
      <c r="AL37" s="52">
        <v>0</v>
      </c>
      <c r="AM37" s="674">
        <v>0</v>
      </c>
      <c r="AN37" s="40">
        <v>0</v>
      </c>
      <c r="AO37" s="52">
        <v>0</v>
      </c>
      <c r="AP37" s="674">
        <v>5800.9170349980313</v>
      </c>
      <c r="AQ37" s="40">
        <v>4499.0280480142483</v>
      </c>
      <c r="AR37" s="52">
        <v>-1301.8889869837831</v>
      </c>
      <c r="AS37" s="674">
        <v>17931.792006114534</v>
      </c>
      <c r="AT37" s="40">
        <v>2656.3568812921435</v>
      </c>
      <c r="AU37" s="54">
        <v>-15275.43512482239</v>
      </c>
      <c r="AV37" s="674">
        <v>1867.1916857118808</v>
      </c>
      <c r="AW37" s="40">
        <v>98</v>
      </c>
      <c r="AX37" s="55">
        <v>-1769.1916857118808</v>
      </c>
      <c r="AY37" s="674">
        <v>2213.6764963208893</v>
      </c>
      <c r="AZ37" s="40">
        <v>0</v>
      </c>
      <c r="BA37" s="35">
        <v>-2213.6764963208893</v>
      </c>
      <c r="BB37" s="674">
        <v>1535.7376672261257</v>
      </c>
      <c r="BC37" s="40">
        <v>0</v>
      </c>
      <c r="BD37" s="55">
        <v>-1535.7376672261257</v>
      </c>
      <c r="BE37" s="674">
        <v>0</v>
      </c>
      <c r="BF37" s="40">
        <v>0</v>
      </c>
      <c r="BG37" s="38">
        <v>0</v>
      </c>
      <c r="BH37" s="674">
        <v>0</v>
      </c>
      <c r="BI37" s="40">
        <v>0</v>
      </c>
      <c r="BJ37" s="55">
        <v>0</v>
      </c>
      <c r="BK37" s="674">
        <v>954.78343975908228</v>
      </c>
      <c r="BL37" s="40">
        <v>727</v>
      </c>
      <c r="BM37" s="38">
        <v>-227.78343975908228</v>
      </c>
      <c r="BN37" s="674">
        <v>68.979000000000013</v>
      </c>
      <c r="BO37" s="40">
        <v>473</v>
      </c>
      <c r="BP37" s="55">
        <v>404.02099999999996</v>
      </c>
      <c r="BQ37" s="77">
        <v>6640.3682890179789</v>
      </c>
      <c r="BR37" s="40">
        <v>1298</v>
      </c>
      <c r="BS37" s="55">
        <v>-5342.3682890179789</v>
      </c>
      <c r="BT37" s="674">
        <v>23721.226969755702</v>
      </c>
      <c r="BU37" s="40">
        <v>22519.104821589299</v>
      </c>
      <c r="BV37" s="52">
        <v>-1202.1221481664033</v>
      </c>
      <c r="BW37" s="674">
        <v>12333.006466075651</v>
      </c>
      <c r="BX37" s="40">
        <v>10695.828062138728</v>
      </c>
      <c r="BY37" s="52">
        <v>-1637.1784039369231</v>
      </c>
      <c r="BZ37" s="674">
        <v>7312.0698697782809</v>
      </c>
      <c r="CA37" s="40">
        <v>5875.8033565728483</v>
      </c>
      <c r="CB37" s="52">
        <v>-1436.2665132054326</v>
      </c>
      <c r="CC37" s="674">
        <v>1264.4351725644281</v>
      </c>
      <c r="CD37" s="40">
        <v>1328.9479944509665</v>
      </c>
      <c r="CE37" s="52">
        <v>64.512821886538404</v>
      </c>
      <c r="CF37" s="674">
        <v>154.54010655255746</v>
      </c>
      <c r="CG37" s="40">
        <v>1684.3610580642082</v>
      </c>
      <c r="CH37" s="52">
        <v>1529.8209515116507</v>
      </c>
      <c r="CI37" s="674">
        <v>2643.1585896143738</v>
      </c>
      <c r="CJ37" s="40">
        <v>2732.4067085845509</v>
      </c>
      <c r="CK37" s="52">
        <v>89.248118970177075</v>
      </c>
      <c r="CL37" s="674">
        <v>0</v>
      </c>
      <c r="CM37" s="40">
        <v>0</v>
      </c>
      <c r="CN37" s="52">
        <v>0</v>
      </c>
      <c r="CO37" s="39">
        <v>2643.1585896143738</v>
      </c>
      <c r="CP37" s="40">
        <v>2732.4067085845509</v>
      </c>
      <c r="CQ37" s="52">
        <v>89.248118970177075</v>
      </c>
      <c r="CR37" s="72">
        <v>104522.881986829</v>
      </c>
      <c r="CS37" s="5">
        <v>79345.846761562221</v>
      </c>
      <c r="CT37" s="52">
        <v>-25177.03522526678</v>
      </c>
      <c r="CU37" s="77">
        <v>125427.45838419479</v>
      </c>
      <c r="CV37" s="65">
        <v>95215.016113874663</v>
      </c>
      <c r="CW37" s="35">
        <v>-30212.442270320127</v>
      </c>
      <c r="CX37" s="73">
        <v>3824.8042839571294</v>
      </c>
      <c r="CY37" s="40">
        <v>34037.24655427727</v>
      </c>
      <c r="CZ37" s="52">
        <v>30212.442270320142</v>
      </c>
      <c r="DA37" s="150">
        <v>14429.890750693412</v>
      </c>
      <c r="DB37" s="2">
        <v>2</v>
      </c>
      <c r="DC37" s="675">
        <v>23084.16</v>
      </c>
      <c r="DD37" s="675">
        <v>5097.84</v>
      </c>
      <c r="DE37" s="675">
        <v>12955.619274828076</v>
      </c>
      <c r="DF37" s="675">
        <v>4029.7882439345394</v>
      </c>
      <c r="DG37" s="321">
        <v>44642.333021013546</v>
      </c>
      <c r="DH37" s="40">
        <v>129242.03699650441</v>
      </c>
      <c r="DI37" s="422">
        <v>11196.592481237383</v>
      </c>
      <c r="DJ37" s="306">
        <v>5.2441445196085343</v>
      </c>
      <c r="DK37" s="306">
        <v>5.2441445196085343</v>
      </c>
      <c r="DL37" s="306">
        <v>4.5218109909630009</v>
      </c>
      <c r="DM37" s="28">
        <v>10128.540725171924</v>
      </c>
      <c r="DN37" s="28">
        <v>1068.0517560654607</v>
      </c>
      <c r="DO37" s="423">
        <v>11196.592481237385</v>
      </c>
      <c r="DP37" s="94">
        <v>0</v>
      </c>
      <c r="DQ37" s="28">
        <v>11196.592481237385</v>
      </c>
      <c r="DR37" s="318"/>
      <c r="DT37" s="8"/>
      <c r="DU37" s="5"/>
      <c r="DX37" s="5">
        <v>29486.592354159013</v>
      </c>
      <c r="DY37" s="5">
        <v>4745.2282575505724</v>
      </c>
      <c r="DZ37" s="159">
        <v>2495.0109952499606</v>
      </c>
      <c r="EB37" s="676">
        <v>-1339.1991542864207</v>
      </c>
      <c r="EC37" s="676">
        <v>729.1598701866078</v>
      </c>
      <c r="ED37" s="676">
        <v>-2912.5153858972453</v>
      </c>
      <c r="EE37" s="676">
        <v>-5868.2257305088924</v>
      </c>
      <c r="EF37" s="676">
        <v>-3268.6250626373148</v>
      </c>
      <c r="EG37" s="676">
        <v>-3345.8543249493214</v>
      </c>
      <c r="EH37" s="676">
        <v>-5566.738517975421</v>
      </c>
      <c r="EI37" s="676">
        <v>-1153.3021811147992</v>
      </c>
      <c r="EJ37" s="676">
        <v>-3080.1833734583724</v>
      </c>
      <c r="EK37" s="676">
        <v>567.61586657505541</v>
      </c>
      <c r="EL37" s="676">
        <v>-2580.603279958832</v>
      </c>
      <c r="EM37" s="676">
        <v>-2393.9709962951765</v>
      </c>
      <c r="EN37" s="676">
        <v>-30212.442270320134</v>
      </c>
      <c r="EQ37" s="5">
        <v>29486.592354159013</v>
      </c>
      <c r="ER37" s="5">
        <v>4745.2282575505724</v>
      </c>
      <c r="ET37" s="318">
        <v>50171.357033863977</v>
      </c>
      <c r="EU37" s="5">
        <v>9807.9759871495844</v>
      </c>
    </row>
    <row r="38" spans="1:151" x14ac:dyDescent="0.3">
      <c r="A38" s="325">
        <v>150000973</v>
      </c>
      <c r="B38" s="41" t="s">
        <v>487</v>
      </c>
      <c r="C38" s="42" t="s">
        <v>50</v>
      </c>
      <c r="D38" s="27">
        <v>1</v>
      </c>
      <c r="E38" s="293">
        <v>132.19999999999999</v>
      </c>
      <c r="F38" s="305">
        <v>132.19999999999999</v>
      </c>
      <c r="G38" s="508">
        <v>0</v>
      </c>
      <c r="H38" s="677">
        <v>0</v>
      </c>
      <c r="I38" s="674">
        <v>0</v>
      </c>
      <c r="J38" s="40">
        <v>0</v>
      </c>
      <c r="K38" s="52">
        <v>0</v>
      </c>
      <c r="L38" s="674">
        <v>0</v>
      </c>
      <c r="M38" s="40">
        <v>0</v>
      </c>
      <c r="N38" s="52">
        <v>0</v>
      </c>
      <c r="O38" s="674">
        <v>0</v>
      </c>
      <c r="P38" s="40">
        <v>0</v>
      </c>
      <c r="Q38" s="52">
        <v>0</v>
      </c>
      <c r="R38" s="674">
        <v>0</v>
      </c>
      <c r="S38" s="40">
        <v>0</v>
      </c>
      <c r="T38" s="52">
        <v>0</v>
      </c>
      <c r="U38" s="674">
        <v>0</v>
      </c>
      <c r="V38" s="40">
        <v>0</v>
      </c>
      <c r="W38" s="52">
        <v>0</v>
      </c>
      <c r="X38" s="674">
        <v>0</v>
      </c>
      <c r="Y38" s="40">
        <v>0</v>
      </c>
      <c r="Z38" s="52">
        <v>0</v>
      </c>
      <c r="AA38" s="674">
        <v>15.863999999999997</v>
      </c>
      <c r="AB38" s="40">
        <v>0</v>
      </c>
      <c r="AC38" s="52">
        <v>-15.863999999999997</v>
      </c>
      <c r="AD38" s="674">
        <v>127.01204339383803</v>
      </c>
      <c r="AE38" s="40">
        <v>482.62718669371111</v>
      </c>
      <c r="AF38" s="35">
        <v>355.61514329987307</v>
      </c>
      <c r="AG38" s="77">
        <v>142.87604339383802</v>
      </c>
      <c r="AH38" s="53">
        <v>482.62718669371111</v>
      </c>
      <c r="AI38" s="52">
        <v>339.75114329987309</v>
      </c>
      <c r="AJ38" s="674">
        <v>0</v>
      </c>
      <c r="AK38" s="40">
        <v>0</v>
      </c>
      <c r="AL38" s="52">
        <v>0</v>
      </c>
      <c r="AM38" s="674">
        <v>0</v>
      </c>
      <c r="AN38" s="40">
        <v>0</v>
      </c>
      <c r="AO38" s="52">
        <v>0</v>
      </c>
      <c r="AP38" s="674">
        <v>370.76535417731452</v>
      </c>
      <c r="AQ38" s="40">
        <v>373.97041602492402</v>
      </c>
      <c r="AR38" s="52">
        <v>3.2050618476094996</v>
      </c>
      <c r="AS38" s="674">
        <v>1572.1881468712984</v>
      </c>
      <c r="AT38" s="40">
        <v>0</v>
      </c>
      <c r="AU38" s="54">
        <v>-1572.1881468712984</v>
      </c>
      <c r="AV38" s="674">
        <v>0</v>
      </c>
      <c r="AW38" s="40">
        <v>0</v>
      </c>
      <c r="AX38" s="55">
        <v>0</v>
      </c>
      <c r="AY38" s="674">
        <v>0</v>
      </c>
      <c r="AZ38" s="40">
        <v>0</v>
      </c>
      <c r="BA38" s="35">
        <v>0</v>
      </c>
      <c r="BB38" s="674">
        <v>0</v>
      </c>
      <c r="BC38" s="40">
        <v>0</v>
      </c>
      <c r="BD38" s="55">
        <v>0</v>
      </c>
      <c r="BE38" s="674">
        <v>0</v>
      </c>
      <c r="BF38" s="40">
        <v>0</v>
      </c>
      <c r="BG38" s="38">
        <v>0</v>
      </c>
      <c r="BH38" s="674">
        <v>0</v>
      </c>
      <c r="BI38" s="40">
        <v>0</v>
      </c>
      <c r="BJ38" s="55">
        <v>0</v>
      </c>
      <c r="BK38" s="674">
        <v>0</v>
      </c>
      <c r="BL38" s="40">
        <v>0</v>
      </c>
      <c r="BM38" s="38">
        <v>0</v>
      </c>
      <c r="BN38" s="674">
        <v>3.9659999999999993</v>
      </c>
      <c r="BO38" s="40">
        <v>0</v>
      </c>
      <c r="BP38" s="55">
        <v>-3.9659999999999993</v>
      </c>
      <c r="BQ38" s="77">
        <v>3.9659999999999993</v>
      </c>
      <c r="BR38" s="40">
        <v>0</v>
      </c>
      <c r="BS38" s="55">
        <v>-3.9659999999999993</v>
      </c>
      <c r="BT38" s="674">
        <v>55.829691759794173</v>
      </c>
      <c r="BU38" s="40">
        <v>86.656986732550635</v>
      </c>
      <c r="BV38" s="52">
        <v>30.827294972756462</v>
      </c>
      <c r="BW38" s="674">
        <v>0</v>
      </c>
      <c r="BX38" s="40">
        <v>2.4719772727400309</v>
      </c>
      <c r="BY38" s="52">
        <v>2.4719772727400309</v>
      </c>
      <c r="BZ38" s="674">
        <v>0</v>
      </c>
      <c r="CA38" s="40">
        <v>5.2822322096409273</v>
      </c>
      <c r="CB38" s="52">
        <v>5.2822322096409273</v>
      </c>
      <c r="CC38" s="674">
        <v>0</v>
      </c>
      <c r="CD38" s="40">
        <v>0</v>
      </c>
      <c r="CE38" s="52">
        <v>0</v>
      </c>
      <c r="CF38" s="674">
        <v>0</v>
      </c>
      <c r="CG38" s="40">
        <v>0</v>
      </c>
      <c r="CH38" s="52">
        <v>0</v>
      </c>
      <c r="CI38" s="674">
        <v>0</v>
      </c>
      <c r="CJ38" s="40">
        <v>0</v>
      </c>
      <c r="CK38" s="52">
        <v>0</v>
      </c>
      <c r="CL38" s="674">
        <v>0</v>
      </c>
      <c r="CM38" s="40">
        <v>0</v>
      </c>
      <c r="CN38" s="52">
        <v>0</v>
      </c>
      <c r="CO38" s="39">
        <v>0</v>
      </c>
      <c r="CP38" s="40">
        <v>0</v>
      </c>
      <c r="CQ38" s="52">
        <v>0</v>
      </c>
      <c r="CR38" s="72">
        <v>2145.6252362022451</v>
      </c>
      <c r="CS38" s="5">
        <v>951.00879893356671</v>
      </c>
      <c r="CT38" s="52">
        <v>-1194.6164372686785</v>
      </c>
      <c r="CU38" s="77">
        <v>2574.7502834426941</v>
      </c>
      <c r="CV38" s="65">
        <v>1141.21055872028</v>
      </c>
      <c r="CW38" s="35">
        <v>-1433.5397247224141</v>
      </c>
      <c r="CX38" s="73">
        <v>80.829294046320825</v>
      </c>
      <c r="CY38" s="40">
        <v>1514.3690187687348</v>
      </c>
      <c r="CZ38" s="52">
        <v>1433.5397247224139</v>
      </c>
      <c r="DA38" s="150">
        <v>-6508.0828192493636</v>
      </c>
      <c r="DB38" s="2">
        <v>2</v>
      </c>
      <c r="DC38" s="675">
        <v>1659.84</v>
      </c>
      <c r="DD38" s="675">
        <v>0</v>
      </c>
      <c r="DE38" s="675">
        <v>1659.84</v>
      </c>
      <c r="DF38" s="675">
        <v>0</v>
      </c>
      <c r="DG38" s="321">
        <v>-5074.54309452695</v>
      </c>
      <c r="DH38" s="40">
        <v>3219.6853806075756</v>
      </c>
      <c r="DI38" s="422">
        <v>282.17502874867336</v>
      </c>
      <c r="DJ38" s="306">
        <v>2.1344555881140197</v>
      </c>
      <c r="DK38" s="306">
        <v>2.1344555881140197</v>
      </c>
      <c r="DL38" s="306">
        <v>2.1344555881140197</v>
      </c>
      <c r="DM38" s="28">
        <v>282.17502874867336</v>
      </c>
      <c r="DN38" s="28">
        <v>0</v>
      </c>
      <c r="DO38" s="423">
        <v>282.17502874867336</v>
      </c>
      <c r="DP38" s="94">
        <v>0</v>
      </c>
      <c r="DQ38" s="28">
        <v>282.17502874867336</v>
      </c>
      <c r="DR38" s="318"/>
      <c r="DT38" s="8"/>
      <c r="DU38" s="5"/>
      <c r="DX38" s="5">
        <v>1891.3849762455579</v>
      </c>
      <c r="DY38" s="5">
        <v>0</v>
      </c>
      <c r="DZ38" s="159">
        <v>218.37102452795395</v>
      </c>
      <c r="EB38" s="676">
        <v>93.033302025297132</v>
      </c>
      <c r="EC38" s="676">
        <v>-144.80961219465166</v>
      </c>
      <c r="ED38" s="676">
        <v>-142.4159244797869</v>
      </c>
      <c r="EE38" s="676">
        <v>-235.53293859893111</v>
      </c>
      <c r="EF38" s="676">
        <v>-210.62431304921691</v>
      </c>
      <c r="EG38" s="676">
        <v>-213.58020743527391</v>
      </c>
      <c r="EH38" s="676">
        <v>9.1014120633370794</v>
      </c>
      <c r="EI38" s="676">
        <v>-191.09623333060154</v>
      </c>
      <c r="EJ38" s="676">
        <v>-212.34479298280007</v>
      </c>
      <c r="EK38" s="676">
        <v>-185.27041673978607</v>
      </c>
      <c r="EL38" s="676">
        <v>0</v>
      </c>
      <c r="EM38" s="676">
        <v>0</v>
      </c>
      <c r="EN38" s="676">
        <v>-1433.5397247224139</v>
      </c>
      <c r="EQ38" s="5">
        <v>1891.3849762455579</v>
      </c>
      <c r="ER38" s="5">
        <v>0</v>
      </c>
      <c r="ET38" s="318">
        <v>-1419.7789511934047</v>
      </c>
      <c r="EU38" s="5">
        <v>-1289.764143333545</v>
      </c>
    </row>
    <row r="39" spans="1:151" x14ac:dyDescent="0.3">
      <c r="A39" s="325">
        <v>150000974</v>
      </c>
      <c r="B39" s="41" t="s">
        <v>488</v>
      </c>
      <c r="C39" s="42" t="s">
        <v>203</v>
      </c>
      <c r="D39" s="27">
        <v>4</v>
      </c>
      <c r="E39" s="293">
        <v>2315.5700000000002</v>
      </c>
      <c r="F39" s="305">
        <v>1907.4</v>
      </c>
      <c r="G39" s="508">
        <v>0</v>
      </c>
      <c r="H39" s="677">
        <v>408.17</v>
      </c>
      <c r="I39" s="674">
        <v>6299.2876460498901</v>
      </c>
      <c r="J39" s="40">
        <v>6909.7819059292215</v>
      </c>
      <c r="K39" s="52">
        <v>610.49425987933137</v>
      </c>
      <c r="L39" s="674">
        <v>926.03118652682895</v>
      </c>
      <c r="M39" s="40">
        <v>1013.5793950153649</v>
      </c>
      <c r="N39" s="52">
        <v>87.54820848853592</v>
      </c>
      <c r="O39" s="674">
        <v>3068.6579662423496</v>
      </c>
      <c r="P39" s="40">
        <v>3068.6699999999996</v>
      </c>
      <c r="Q39" s="52">
        <v>1.203375764998782E-2</v>
      </c>
      <c r="R39" s="674">
        <v>762.32697119315503</v>
      </c>
      <c r="S39" s="40">
        <v>762.33</v>
      </c>
      <c r="T39" s="52">
        <v>3.0288068450090577E-3</v>
      </c>
      <c r="U39" s="674">
        <v>0</v>
      </c>
      <c r="V39" s="40">
        <v>0</v>
      </c>
      <c r="W39" s="52">
        <v>0</v>
      </c>
      <c r="X39" s="674">
        <v>4198.7455609993003</v>
      </c>
      <c r="Y39" s="40">
        <v>3016.2543063132098</v>
      </c>
      <c r="Z39" s="52">
        <v>-1182.4912546860905</v>
      </c>
      <c r="AA39" s="674">
        <v>277.86840000000007</v>
      </c>
      <c r="AB39" s="40">
        <v>0</v>
      </c>
      <c r="AC39" s="52">
        <v>-277.86840000000007</v>
      </c>
      <c r="AD39" s="674">
        <v>9903.7046074789851</v>
      </c>
      <c r="AE39" s="40">
        <v>9838.2128359332055</v>
      </c>
      <c r="AF39" s="35">
        <v>-65.491771545779557</v>
      </c>
      <c r="AG39" s="77">
        <v>25436.62233849051</v>
      </c>
      <c r="AH39" s="53">
        <v>24608.828443191</v>
      </c>
      <c r="AI39" s="52">
        <v>-827.79389529951004</v>
      </c>
      <c r="AJ39" s="674">
        <v>0</v>
      </c>
      <c r="AK39" s="40">
        <v>0</v>
      </c>
      <c r="AL39" s="52">
        <v>0</v>
      </c>
      <c r="AM39" s="674">
        <v>0</v>
      </c>
      <c r="AN39" s="40">
        <v>0</v>
      </c>
      <c r="AO39" s="52">
        <v>0</v>
      </c>
      <c r="AP39" s="674">
        <v>1438.9871714723795</v>
      </c>
      <c r="AQ39" s="40">
        <v>1195.9160839160838</v>
      </c>
      <c r="AR39" s="52">
        <v>-243.07108755629565</v>
      </c>
      <c r="AS39" s="674">
        <v>23589.935626774575</v>
      </c>
      <c r="AT39" s="40">
        <v>9580.23</v>
      </c>
      <c r="AU39" s="54">
        <v>-14009.705626774576</v>
      </c>
      <c r="AV39" s="674">
        <v>1490.5639215806648</v>
      </c>
      <c r="AW39" s="40">
        <v>0</v>
      </c>
      <c r="AX39" s="55">
        <v>-1490.5639215806648</v>
      </c>
      <c r="AY39" s="674">
        <v>1517.7376288386351</v>
      </c>
      <c r="AZ39" s="40">
        <v>0</v>
      </c>
      <c r="BA39" s="35">
        <v>-1517.7376288386351</v>
      </c>
      <c r="BB39" s="674">
        <v>1510.1632766872958</v>
      </c>
      <c r="BC39" s="40">
        <v>0</v>
      </c>
      <c r="BD39" s="55">
        <v>-1510.1632766872958</v>
      </c>
      <c r="BE39" s="674">
        <v>1582.4726135606547</v>
      </c>
      <c r="BF39" s="40">
        <v>0</v>
      </c>
      <c r="BG39" s="38">
        <v>-1582.4726135606547</v>
      </c>
      <c r="BH39" s="674">
        <v>0</v>
      </c>
      <c r="BI39" s="40">
        <v>0</v>
      </c>
      <c r="BJ39" s="55">
        <v>0</v>
      </c>
      <c r="BK39" s="674">
        <v>901.729136538592</v>
      </c>
      <c r="BL39" s="40">
        <v>0</v>
      </c>
      <c r="BM39" s="38">
        <v>-901.729136538592</v>
      </c>
      <c r="BN39" s="674">
        <v>69.467100000000016</v>
      </c>
      <c r="BO39" s="40">
        <v>0</v>
      </c>
      <c r="BP39" s="55">
        <v>-69.467100000000016</v>
      </c>
      <c r="BQ39" s="77">
        <v>7072.1336772058421</v>
      </c>
      <c r="BR39" s="40">
        <v>0</v>
      </c>
      <c r="BS39" s="55">
        <v>-7072.1336772058421</v>
      </c>
      <c r="BT39" s="674">
        <v>39705.843931059942</v>
      </c>
      <c r="BU39" s="40">
        <v>36536.929715401653</v>
      </c>
      <c r="BV39" s="52">
        <v>-3168.9142156582893</v>
      </c>
      <c r="BW39" s="674">
        <v>20501.831627615556</v>
      </c>
      <c r="BX39" s="40">
        <v>16854.452879695404</v>
      </c>
      <c r="BY39" s="52">
        <v>-3647.3787479201528</v>
      </c>
      <c r="BZ39" s="674">
        <v>12852.078306249125</v>
      </c>
      <c r="CA39" s="40">
        <v>10195.419242474094</v>
      </c>
      <c r="CB39" s="52">
        <v>-2656.6590637750305</v>
      </c>
      <c r="CC39" s="674">
        <v>0</v>
      </c>
      <c r="CD39" s="40">
        <v>0</v>
      </c>
      <c r="CE39" s="52">
        <v>0</v>
      </c>
      <c r="CF39" s="674">
        <v>0</v>
      </c>
      <c r="CG39" s="40">
        <v>0</v>
      </c>
      <c r="CH39" s="52">
        <v>0</v>
      </c>
      <c r="CI39" s="674">
        <v>3488.6578701999047</v>
      </c>
      <c r="CJ39" s="40">
        <v>2563.3340696703153</v>
      </c>
      <c r="CK39" s="52">
        <v>-925.32380052958933</v>
      </c>
      <c r="CL39" s="674">
        <v>0</v>
      </c>
      <c r="CM39" s="40">
        <v>0</v>
      </c>
      <c r="CN39" s="52">
        <v>0</v>
      </c>
      <c r="CO39" s="39">
        <v>3488.6578701999047</v>
      </c>
      <c r="CP39" s="40">
        <v>2563.3340696703153</v>
      </c>
      <c r="CQ39" s="52">
        <v>-925.32380052958933</v>
      </c>
      <c r="CR39" s="72">
        <v>134086.09054906783</v>
      </c>
      <c r="CS39" s="5">
        <v>101535.11043434855</v>
      </c>
      <c r="CT39" s="52">
        <v>-32550.980114719277</v>
      </c>
      <c r="CU39" s="77">
        <v>160903.30865888137</v>
      </c>
      <c r="CV39" s="65">
        <v>121842.13252121826</v>
      </c>
      <c r="CW39" s="35">
        <v>-39061.176137663118</v>
      </c>
      <c r="CX39" s="73">
        <v>3585.388446254814</v>
      </c>
      <c r="CY39" s="40">
        <v>42646.564583917978</v>
      </c>
      <c r="CZ39" s="52">
        <v>39061.176137663162</v>
      </c>
      <c r="DA39" s="150">
        <v>12606.099311109327</v>
      </c>
      <c r="DB39" s="2">
        <v>2</v>
      </c>
      <c r="DC39" s="675">
        <v>22847.55</v>
      </c>
      <c r="DD39" s="675">
        <v>27753.350000000002</v>
      </c>
      <c r="DE39" s="675">
        <v>10570.483827468544</v>
      </c>
      <c r="DF39" s="675">
        <v>25615.90542860956</v>
      </c>
      <c r="DG39" s="321">
        <v>51667.275448772481</v>
      </c>
      <c r="DH39" s="40">
        <v>164476.21858141423</v>
      </c>
      <c r="DI39" s="422">
        <v>14414.510743921895</v>
      </c>
      <c r="DJ39" s="306">
        <v>6.4365451255800847</v>
      </c>
      <c r="DK39" s="306">
        <v>6.4365451255800847</v>
      </c>
      <c r="DL39" s="306">
        <v>5.2366527951354618</v>
      </c>
      <c r="DM39" s="28">
        <v>12277.066172531455</v>
      </c>
      <c r="DN39" s="28">
        <v>2137.4445713904415</v>
      </c>
      <c r="DO39" s="423">
        <v>14414.510743921895</v>
      </c>
      <c r="DP39" s="94">
        <v>0</v>
      </c>
      <c r="DQ39" s="28">
        <v>14414.510743921895</v>
      </c>
      <c r="DR39" s="318"/>
      <c r="DT39" s="8"/>
      <c r="DU39" s="5"/>
      <c r="DX39" s="5">
        <v>36794.483164776502</v>
      </c>
      <c r="DY39" s="5">
        <v>11496.276</v>
      </c>
      <c r="DZ39" s="159">
        <v>3190.9034040539382</v>
      </c>
      <c r="EB39" s="676">
        <v>232.12564743197981</v>
      </c>
      <c r="EC39" s="676">
        <v>-5056.4169831676563</v>
      </c>
      <c r="ED39" s="676">
        <v>-2002.8320049322374</v>
      </c>
      <c r="EE39" s="676">
        <v>-2854.5230227111369</v>
      </c>
      <c r="EF39" s="676">
        <v>-4663.0427618034792</v>
      </c>
      <c r="EG39" s="676">
        <v>2260.3767804474937</v>
      </c>
      <c r="EH39" s="676">
        <v>-5175.3772959819744</v>
      </c>
      <c r="EI39" s="676">
        <v>-8413.6275943902983</v>
      </c>
      <c r="EJ39" s="676">
        <v>-5319.3585576441274</v>
      </c>
      <c r="EK39" s="676">
        <v>-2903.5394335865185</v>
      </c>
      <c r="EL39" s="676">
        <v>-2822.0148274458861</v>
      </c>
      <c r="EM39" s="676">
        <v>-2342.9460838793093</v>
      </c>
      <c r="EN39" s="676">
        <v>-39061.176137663155</v>
      </c>
      <c r="EQ39" s="5">
        <v>36794.483164776502</v>
      </c>
      <c r="ER39" s="5">
        <v>11496.276</v>
      </c>
      <c r="ET39" s="318">
        <v>-26742.389894819666</v>
      </c>
      <c r="EU39" s="5">
        <v>117291.66534359216</v>
      </c>
    </row>
    <row r="40" spans="1:151" x14ac:dyDescent="0.3">
      <c r="A40" s="325">
        <v>150000975</v>
      </c>
      <c r="B40" s="41" t="s">
        <v>489</v>
      </c>
      <c r="C40" s="42" t="s">
        <v>204</v>
      </c>
      <c r="D40" s="27">
        <v>4</v>
      </c>
      <c r="E40" s="293">
        <v>3253.33</v>
      </c>
      <c r="F40" s="305">
        <v>2888.6</v>
      </c>
      <c r="G40" s="508">
        <v>0</v>
      </c>
      <c r="H40" s="677">
        <v>364.73</v>
      </c>
      <c r="I40" s="674">
        <v>9467.1993675616159</v>
      </c>
      <c r="J40" s="40">
        <v>10378.840388471574</v>
      </c>
      <c r="K40" s="52">
        <v>911.64102090995766</v>
      </c>
      <c r="L40" s="674">
        <v>1906.4631342145105</v>
      </c>
      <c r="M40" s="40">
        <v>2086.6981233525817</v>
      </c>
      <c r="N40" s="52">
        <v>180.23498913807111</v>
      </c>
      <c r="O40" s="674">
        <v>4343.9793016535059</v>
      </c>
      <c r="P40" s="40">
        <v>4343.9700000000012</v>
      </c>
      <c r="Q40" s="52">
        <v>-9.3016535047354409E-3</v>
      </c>
      <c r="R40" s="674">
        <v>0</v>
      </c>
      <c r="S40" s="40">
        <v>0</v>
      </c>
      <c r="T40" s="52">
        <v>0</v>
      </c>
      <c r="U40" s="674">
        <v>0</v>
      </c>
      <c r="V40" s="40">
        <v>0</v>
      </c>
      <c r="W40" s="52">
        <v>0</v>
      </c>
      <c r="X40" s="674">
        <v>7497.4140627411853</v>
      </c>
      <c r="Y40" s="40">
        <v>6171.6485008501695</v>
      </c>
      <c r="Z40" s="52">
        <v>-1325.7655618910158</v>
      </c>
      <c r="AA40" s="674">
        <v>390.43560000000002</v>
      </c>
      <c r="AB40" s="40">
        <v>0</v>
      </c>
      <c r="AC40" s="52">
        <v>-390.43560000000002</v>
      </c>
      <c r="AD40" s="674">
        <v>13927.275217271046</v>
      </c>
      <c r="AE40" s="40">
        <v>13822.494230589688</v>
      </c>
      <c r="AF40" s="35">
        <v>-104.78098668135863</v>
      </c>
      <c r="AG40" s="77">
        <v>37532.766683441863</v>
      </c>
      <c r="AH40" s="53">
        <v>36803.651243264016</v>
      </c>
      <c r="AI40" s="52">
        <v>-729.11544017784763</v>
      </c>
      <c r="AJ40" s="674">
        <v>0</v>
      </c>
      <c r="AK40" s="40">
        <v>0</v>
      </c>
      <c r="AL40" s="52">
        <v>0</v>
      </c>
      <c r="AM40" s="674">
        <v>0</v>
      </c>
      <c r="AN40" s="40">
        <v>0</v>
      </c>
      <c r="AO40" s="52">
        <v>0</v>
      </c>
      <c r="AP40" s="674">
        <v>6880.1574136023173</v>
      </c>
      <c r="AQ40" s="40">
        <v>8528.1308970524624</v>
      </c>
      <c r="AR40" s="52">
        <v>1647.9734834501451</v>
      </c>
      <c r="AS40" s="674">
        <v>23742.149994469797</v>
      </c>
      <c r="AT40" s="40">
        <v>27235.4</v>
      </c>
      <c r="AU40" s="54">
        <v>3493.2500055302044</v>
      </c>
      <c r="AV40" s="674">
        <v>2233.8959956415438</v>
      </c>
      <c r="AW40" s="40">
        <v>999.31</v>
      </c>
      <c r="AX40" s="55">
        <v>-1234.5859956415438</v>
      </c>
      <c r="AY40" s="674">
        <v>3125.3260554518647</v>
      </c>
      <c r="AZ40" s="40">
        <v>0</v>
      </c>
      <c r="BA40" s="35">
        <v>-3125.3260554518647</v>
      </c>
      <c r="BB40" s="674">
        <v>2195.891246843315</v>
      </c>
      <c r="BC40" s="40">
        <v>0</v>
      </c>
      <c r="BD40" s="55">
        <v>-2195.891246843315</v>
      </c>
      <c r="BE40" s="674">
        <v>0</v>
      </c>
      <c r="BF40" s="40">
        <v>0</v>
      </c>
      <c r="BG40" s="38">
        <v>0</v>
      </c>
      <c r="BH40" s="674">
        <v>0</v>
      </c>
      <c r="BI40" s="40">
        <v>0</v>
      </c>
      <c r="BJ40" s="55">
        <v>0</v>
      </c>
      <c r="BK40" s="674">
        <v>1821.6008994206197</v>
      </c>
      <c r="BL40" s="40">
        <v>0</v>
      </c>
      <c r="BM40" s="38">
        <v>-1821.6008994206197</v>
      </c>
      <c r="BN40" s="674">
        <v>97.608900000000006</v>
      </c>
      <c r="BO40" s="40">
        <v>0</v>
      </c>
      <c r="BP40" s="55">
        <v>-97.608900000000006</v>
      </c>
      <c r="BQ40" s="77">
        <v>9474.3230973573427</v>
      </c>
      <c r="BR40" s="40">
        <v>999.31</v>
      </c>
      <c r="BS40" s="55">
        <v>-8475.0130973573432</v>
      </c>
      <c r="BT40" s="674">
        <v>36905.70074360881</v>
      </c>
      <c r="BU40" s="40">
        <v>36368.831686741374</v>
      </c>
      <c r="BV40" s="52">
        <v>-536.86905686743557</v>
      </c>
      <c r="BW40" s="674">
        <v>24154.317562256667</v>
      </c>
      <c r="BX40" s="40">
        <v>20580.922808404212</v>
      </c>
      <c r="BY40" s="52">
        <v>-3573.3947538524553</v>
      </c>
      <c r="BZ40" s="674">
        <v>15518.374268016865</v>
      </c>
      <c r="CA40" s="40">
        <v>10452.044094489263</v>
      </c>
      <c r="CB40" s="52">
        <v>-5066.3301735276018</v>
      </c>
      <c r="CC40" s="674">
        <v>958.74754842797324</v>
      </c>
      <c r="CD40" s="40">
        <v>1007.6638639243594</v>
      </c>
      <c r="CE40" s="52">
        <v>48.916315496386119</v>
      </c>
      <c r="CF40" s="674">
        <v>117.17876211127987</v>
      </c>
      <c r="CG40" s="40">
        <v>0</v>
      </c>
      <c r="CH40" s="52">
        <v>-117.17876211127987</v>
      </c>
      <c r="CI40" s="674">
        <v>2235.9698414788681</v>
      </c>
      <c r="CJ40" s="40">
        <v>2157.9421230787084</v>
      </c>
      <c r="CK40" s="52">
        <v>-78.027718400159756</v>
      </c>
      <c r="CL40" s="674">
        <v>0</v>
      </c>
      <c r="CM40" s="40">
        <v>0</v>
      </c>
      <c r="CN40" s="52">
        <v>0</v>
      </c>
      <c r="CO40" s="39">
        <v>2235.9698414788681</v>
      </c>
      <c r="CP40" s="40">
        <v>2157.9421230787084</v>
      </c>
      <c r="CQ40" s="52">
        <v>-78.027718400159756</v>
      </c>
      <c r="CR40" s="72">
        <v>157519.68591477181</v>
      </c>
      <c r="CS40" s="5">
        <v>144133.89671695439</v>
      </c>
      <c r="CT40" s="52">
        <v>-13385.789197817416</v>
      </c>
      <c r="CU40" s="77">
        <v>189023.62309772617</v>
      </c>
      <c r="CV40" s="65">
        <v>172960.67606034526</v>
      </c>
      <c r="CW40" s="35">
        <v>-16062.947037380916</v>
      </c>
      <c r="CX40" s="73">
        <v>1931.5416668635739</v>
      </c>
      <c r="CY40" s="40">
        <v>17994.488704244428</v>
      </c>
      <c r="CZ40" s="52">
        <v>16062.947037380854</v>
      </c>
      <c r="DA40" s="150">
        <v>26824.162546917389</v>
      </c>
      <c r="DB40" s="2">
        <v>2</v>
      </c>
      <c r="DC40" s="675">
        <v>40177.29</v>
      </c>
      <c r="DD40" s="675">
        <v>1602.8600000000001</v>
      </c>
      <c r="DE40" s="675">
        <v>25010.697823509621</v>
      </c>
      <c r="DF40" s="675">
        <v>23.912473778252661</v>
      </c>
      <c r="DG40" s="321">
        <v>42887.109584298239</v>
      </c>
      <c r="DH40" s="40">
        <v>190940.71627581533</v>
      </c>
      <c r="DI40" s="422">
        <v>16745.539702712125</v>
      </c>
      <c r="DJ40" s="306">
        <v>5.2504992648654643</v>
      </c>
      <c r="DK40" s="306">
        <v>5.2504992648654643</v>
      </c>
      <c r="DL40" s="306">
        <v>4.3290859710518665</v>
      </c>
      <c r="DM40" s="28">
        <v>15166.59217649038</v>
      </c>
      <c r="DN40" s="28">
        <v>1578.9475262217475</v>
      </c>
      <c r="DO40" s="423">
        <v>16745.539702712129</v>
      </c>
      <c r="DP40" s="94">
        <v>0</v>
      </c>
      <c r="DQ40" s="28">
        <v>16745.539702712129</v>
      </c>
      <c r="DR40" s="318"/>
      <c r="DT40" s="8"/>
      <c r="DU40" s="5"/>
      <c r="DX40" s="5">
        <v>39859.767710192566</v>
      </c>
      <c r="DY40" s="5">
        <v>33881.652000000002</v>
      </c>
      <c r="DZ40" s="159">
        <v>3363.3029062394608</v>
      </c>
      <c r="EB40" s="676">
        <v>2804.5052709986558</v>
      </c>
      <c r="EC40" s="676">
        <v>-5323.526417381423</v>
      </c>
      <c r="ED40" s="676">
        <v>8526.2062907669479</v>
      </c>
      <c r="EE40" s="676">
        <v>-6186.5572615746642</v>
      </c>
      <c r="EF40" s="676">
        <v>-1454.2633224275105</v>
      </c>
      <c r="EG40" s="676">
        <v>-2016.6697751192241</v>
      </c>
      <c r="EH40" s="676">
        <v>-4034.2823353243839</v>
      </c>
      <c r="EI40" s="676">
        <v>-7839.8694471506733</v>
      </c>
      <c r="EJ40" s="676">
        <v>-5911.5743636108291</v>
      </c>
      <c r="EK40" s="676">
        <v>6989.8532825330258</v>
      </c>
      <c r="EL40" s="676">
        <v>-357.43965659276728</v>
      </c>
      <c r="EM40" s="676">
        <v>-1259.3293024980048</v>
      </c>
      <c r="EN40" s="676">
        <v>-16062.947037380851</v>
      </c>
      <c r="EQ40" s="5">
        <v>39859.767710192566</v>
      </c>
      <c r="ER40" s="5">
        <v>33881.652000000002</v>
      </c>
      <c r="ET40" s="318">
        <v>-7687.9209796521791</v>
      </c>
      <c r="EU40" s="5">
        <v>37283.030563950422</v>
      </c>
    </row>
    <row r="41" spans="1:151" x14ac:dyDescent="0.3">
      <c r="A41" s="325">
        <v>150000976</v>
      </c>
      <c r="B41" s="41" t="s">
        <v>490</v>
      </c>
      <c r="C41" s="42" t="s">
        <v>150</v>
      </c>
      <c r="D41" s="27">
        <v>2</v>
      </c>
      <c r="E41" s="293">
        <v>924.5</v>
      </c>
      <c r="F41" s="305">
        <v>821.7</v>
      </c>
      <c r="G41" s="508">
        <v>0</v>
      </c>
      <c r="H41" s="677">
        <v>102.8</v>
      </c>
      <c r="I41" s="674">
        <v>4341.2495843746638</v>
      </c>
      <c r="J41" s="40">
        <v>4688.2834511903293</v>
      </c>
      <c r="K41" s="52">
        <v>347.03386681566553</v>
      </c>
      <c r="L41" s="674">
        <v>815.23641634543537</v>
      </c>
      <c r="M41" s="40">
        <v>892.30706048181764</v>
      </c>
      <c r="N41" s="52">
        <v>77.070644136382271</v>
      </c>
      <c r="O41" s="674">
        <v>1194.4895386376149</v>
      </c>
      <c r="P41" s="40">
        <v>1194.5099999999998</v>
      </c>
      <c r="Q41" s="52">
        <v>2.0461362384821769E-2</v>
      </c>
      <c r="R41" s="674">
        <v>294.92220775006501</v>
      </c>
      <c r="S41" s="40">
        <v>294.93</v>
      </c>
      <c r="T41" s="52">
        <v>7.7922499349938334E-3</v>
      </c>
      <c r="U41" s="674">
        <v>0</v>
      </c>
      <c r="V41" s="40">
        <v>0</v>
      </c>
      <c r="W41" s="52">
        <v>0</v>
      </c>
      <c r="X41" s="674">
        <v>1523.9396325769421</v>
      </c>
      <c r="Y41" s="40">
        <v>1801.1690008423043</v>
      </c>
      <c r="Z41" s="52">
        <v>277.22936826536215</v>
      </c>
      <c r="AA41" s="674">
        <v>125.53200000000002</v>
      </c>
      <c r="AB41" s="40">
        <v>0</v>
      </c>
      <c r="AC41" s="52">
        <v>-125.53200000000002</v>
      </c>
      <c r="AD41" s="674">
        <v>4081.8673715230843</v>
      </c>
      <c r="AE41" s="40">
        <v>3927.943343030116</v>
      </c>
      <c r="AF41" s="35">
        <v>-153.92402849296832</v>
      </c>
      <c r="AG41" s="77">
        <v>12377.236751207805</v>
      </c>
      <c r="AH41" s="53">
        <v>12799.142855544567</v>
      </c>
      <c r="AI41" s="52">
        <v>421.90610433676193</v>
      </c>
      <c r="AJ41" s="674">
        <v>0</v>
      </c>
      <c r="AK41" s="40">
        <v>0</v>
      </c>
      <c r="AL41" s="52">
        <v>0</v>
      </c>
      <c r="AM41" s="674">
        <v>0</v>
      </c>
      <c r="AN41" s="40">
        <v>0</v>
      </c>
      <c r="AO41" s="52">
        <v>0</v>
      </c>
      <c r="AP41" s="674">
        <v>719.49358573618974</v>
      </c>
      <c r="AQ41" s="40">
        <v>598.74728932171479</v>
      </c>
      <c r="AR41" s="52">
        <v>-120.74629641447495</v>
      </c>
      <c r="AS41" s="674">
        <v>9480.3899859147223</v>
      </c>
      <c r="AT41" s="40">
        <v>722</v>
      </c>
      <c r="AU41" s="54">
        <v>-8758.3899859147223</v>
      </c>
      <c r="AV41" s="674">
        <v>1093.1728419489414</v>
      </c>
      <c r="AW41" s="40">
        <v>0</v>
      </c>
      <c r="AX41" s="55">
        <v>-1093.1728419489414</v>
      </c>
      <c r="AY41" s="674">
        <v>1336.5401756225824</v>
      </c>
      <c r="AZ41" s="40">
        <v>0</v>
      </c>
      <c r="BA41" s="35">
        <v>-1336.5401756225824</v>
      </c>
      <c r="BB41" s="674">
        <v>492.54244938410943</v>
      </c>
      <c r="BC41" s="40">
        <v>0</v>
      </c>
      <c r="BD41" s="55">
        <v>-492.54244938410943</v>
      </c>
      <c r="BE41" s="674">
        <v>588.07134115991789</v>
      </c>
      <c r="BF41" s="40">
        <v>0</v>
      </c>
      <c r="BG41" s="38">
        <v>-588.07134115991789</v>
      </c>
      <c r="BH41" s="674">
        <v>0</v>
      </c>
      <c r="BI41" s="40">
        <v>0</v>
      </c>
      <c r="BJ41" s="55">
        <v>0</v>
      </c>
      <c r="BK41" s="674">
        <v>165.03851446783483</v>
      </c>
      <c r="BL41" s="40">
        <v>0</v>
      </c>
      <c r="BM41" s="38">
        <v>-165.03851446783483</v>
      </c>
      <c r="BN41" s="674">
        <v>328.23281427540473</v>
      </c>
      <c r="BO41" s="40">
        <v>0</v>
      </c>
      <c r="BP41" s="55">
        <v>-328.23281427540473</v>
      </c>
      <c r="BQ41" s="77">
        <v>4003.5981368587909</v>
      </c>
      <c r="BR41" s="40">
        <v>0</v>
      </c>
      <c r="BS41" s="55">
        <v>-4003.5981368587909</v>
      </c>
      <c r="BT41" s="674">
        <v>11925.064209135706</v>
      </c>
      <c r="BU41" s="40">
        <v>12142.974599078549</v>
      </c>
      <c r="BV41" s="52">
        <v>217.91038994284281</v>
      </c>
      <c r="BW41" s="674">
        <v>6532.467779756329</v>
      </c>
      <c r="BX41" s="40">
        <v>6132.4454667688369</v>
      </c>
      <c r="BY41" s="52">
        <v>-400.02231298749211</v>
      </c>
      <c r="BZ41" s="674">
        <v>4643.7614700154309</v>
      </c>
      <c r="CA41" s="40">
        <v>3238.1980203703752</v>
      </c>
      <c r="CB41" s="52">
        <v>-1405.5634496450557</v>
      </c>
      <c r="CC41" s="674">
        <v>0</v>
      </c>
      <c r="CD41" s="40">
        <v>0</v>
      </c>
      <c r="CE41" s="52">
        <v>0</v>
      </c>
      <c r="CF41" s="674">
        <v>0</v>
      </c>
      <c r="CG41" s="40">
        <v>0</v>
      </c>
      <c r="CH41" s="52">
        <v>0</v>
      </c>
      <c r="CI41" s="674">
        <v>2680.1501436051744</v>
      </c>
      <c r="CJ41" s="40">
        <v>1691.9228791443966</v>
      </c>
      <c r="CK41" s="52">
        <v>-988.22726446077786</v>
      </c>
      <c r="CL41" s="674">
        <v>0</v>
      </c>
      <c r="CM41" s="40">
        <v>0</v>
      </c>
      <c r="CN41" s="52">
        <v>0</v>
      </c>
      <c r="CO41" s="39">
        <v>2680.1501436051744</v>
      </c>
      <c r="CP41" s="40">
        <v>1691.9228791443966</v>
      </c>
      <c r="CQ41" s="52">
        <v>-988.22726446077786</v>
      </c>
      <c r="CR41" s="72">
        <v>52362.162062230149</v>
      </c>
      <c r="CS41" s="5">
        <v>37325.431110228441</v>
      </c>
      <c r="CT41" s="52">
        <v>-15036.730952001708</v>
      </c>
      <c r="CU41" s="77">
        <v>62834.594474676174</v>
      </c>
      <c r="CV41" s="65">
        <v>44790.517332274125</v>
      </c>
      <c r="CW41" s="35">
        <v>-18044.07714240205</v>
      </c>
      <c r="CX41" s="73">
        <v>1930.7585247528027</v>
      </c>
      <c r="CY41" s="40">
        <v>19974.835667154861</v>
      </c>
      <c r="CZ41" s="52">
        <v>18044.077142402057</v>
      </c>
      <c r="DA41" s="150">
        <v>10979.09671930808</v>
      </c>
      <c r="DB41" s="2">
        <v>2</v>
      </c>
      <c r="DC41" s="675">
        <v>18877.46</v>
      </c>
      <c r="DD41" s="675">
        <v>8875.619999999999</v>
      </c>
      <c r="DE41" s="675">
        <v>13867.672809671032</v>
      </c>
      <c r="DF41" s="675">
        <v>8342.0666389546986</v>
      </c>
      <c r="DG41" s="321">
        <v>29023.173861710136</v>
      </c>
      <c r="DH41" s="40">
        <v>64760.012614527252</v>
      </c>
      <c r="DI41" s="422">
        <v>5543.3405513742664</v>
      </c>
      <c r="DJ41" s="306">
        <v>6.0968567486052896</v>
      </c>
      <c r="DK41" s="306">
        <v>6.0968567486052896</v>
      </c>
      <c r="DL41" s="306">
        <v>5.1902077922694545</v>
      </c>
      <c r="DM41" s="28">
        <v>5009.787190328967</v>
      </c>
      <c r="DN41" s="28">
        <v>533.55336104529988</v>
      </c>
      <c r="DO41" s="423">
        <v>5543.3405513742673</v>
      </c>
      <c r="DP41" s="94">
        <v>0</v>
      </c>
      <c r="DQ41" s="28">
        <v>5543.3405513742673</v>
      </c>
      <c r="DR41" s="318"/>
      <c r="DT41" s="8"/>
      <c r="DU41" s="5"/>
      <c r="DX41" s="5">
        <v>16180.785747328215</v>
      </c>
      <c r="DY41" s="5">
        <v>866.4</v>
      </c>
      <c r="DZ41" s="159">
        <v>1302.083540615484</v>
      </c>
      <c r="EB41" s="676">
        <v>-869.66777001936634</v>
      </c>
      <c r="EC41" s="676">
        <v>-1929.3903708003409</v>
      </c>
      <c r="ED41" s="676">
        <v>-1323.006465981463</v>
      </c>
      <c r="EE41" s="676">
        <v>-810.67836905918739</v>
      </c>
      <c r="EF41" s="676">
        <v>-1308.2488744218927</v>
      </c>
      <c r="EG41" s="676">
        <v>-3412.4624683785569</v>
      </c>
      <c r="EH41" s="676">
        <v>-1335.5605670833165</v>
      </c>
      <c r="EI41" s="676">
        <v>-2816.4892011940688</v>
      </c>
      <c r="EJ41" s="676">
        <v>-1993.1472296055113</v>
      </c>
      <c r="EK41" s="676">
        <v>-1340.8742076563649</v>
      </c>
      <c r="EL41" s="676">
        <v>-993.30137284562352</v>
      </c>
      <c r="EM41" s="676">
        <v>88.749754643635242</v>
      </c>
      <c r="EN41" s="676">
        <v>-18044.077142402057</v>
      </c>
      <c r="EQ41" s="5">
        <v>16180.785747328215</v>
      </c>
      <c r="ER41" s="5">
        <v>866.4</v>
      </c>
      <c r="ET41" s="318">
        <v>-16363.639633178071</v>
      </c>
      <c r="EU41" s="5">
        <v>675.81349488820388</v>
      </c>
    </row>
    <row r="42" spans="1:151" x14ac:dyDescent="0.3">
      <c r="A42" s="325">
        <v>150000977</v>
      </c>
      <c r="B42" s="41" t="s">
        <v>491</v>
      </c>
      <c r="C42" s="42" t="s">
        <v>151</v>
      </c>
      <c r="D42" s="27">
        <v>2</v>
      </c>
      <c r="E42" s="293">
        <v>909.2</v>
      </c>
      <c r="F42" s="305">
        <v>654.20000000000005</v>
      </c>
      <c r="G42" s="508">
        <v>0</v>
      </c>
      <c r="H42" s="677">
        <v>255</v>
      </c>
      <c r="I42" s="674">
        <v>4166.4737049082632</v>
      </c>
      <c r="J42" s="40">
        <v>4482.7309214898141</v>
      </c>
      <c r="K42" s="52">
        <v>316.25721658155089</v>
      </c>
      <c r="L42" s="674">
        <v>815.23641634543537</v>
      </c>
      <c r="M42" s="40">
        <v>892.30706048181764</v>
      </c>
      <c r="N42" s="52">
        <v>77.070644136382271</v>
      </c>
      <c r="O42" s="674">
        <v>1132.0158442041998</v>
      </c>
      <c r="P42" s="40">
        <v>1132.0199999999998</v>
      </c>
      <c r="Q42" s="52">
        <v>4.155795799988482E-3</v>
      </c>
      <c r="R42" s="674">
        <v>0</v>
      </c>
      <c r="S42" s="40">
        <v>0</v>
      </c>
      <c r="T42" s="52">
        <v>0</v>
      </c>
      <c r="U42" s="674">
        <v>0</v>
      </c>
      <c r="V42" s="40">
        <v>0</v>
      </c>
      <c r="W42" s="52">
        <v>0</v>
      </c>
      <c r="X42" s="674">
        <v>1523.9396325769421</v>
      </c>
      <c r="Y42" s="40">
        <v>1724.6676193777796</v>
      </c>
      <c r="Z42" s="52">
        <v>200.72798680083747</v>
      </c>
      <c r="AA42" s="674">
        <v>108.63600000000001</v>
      </c>
      <c r="AB42" s="40">
        <v>0</v>
      </c>
      <c r="AC42" s="52">
        <v>-108.63600000000001</v>
      </c>
      <c r="AD42" s="674">
        <v>3879.0430135007746</v>
      </c>
      <c r="AE42" s="40">
        <v>3862.9378988458429</v>
      </c>
      <c r="AF42" s="35">
        <v>-16.10511465493164</v>
      </c>
      <c r="AG42" s="77">
        <v>11625.344611535615</v>
      </c>
      <c r="AH42" s="53">
        <v>12094.663500195255</v>
      </c>
      <c r="AI42" s="52">
        <v>469.31888865963992</v>
      </c>
      <c r="AJ42" s="674">
        <v>0</v>
      </c>
      <c r="AK42" s="40">
        <v>0</v>
      </c>
      <c r="AL42" s="52">
        <v>0</v>
      </c>
      <c r="AM42" s="674">
        <v>0</v>
      </c>
      <c r="AN42" s="40">
        <v>0</v>
      </c>
      <c r="AO42" s="52">
        <v>0</v>
      </c>
      <c r="AP42" s="674">
        <v>1753.7656152319628</v>
      </c>
      <c r="AQ42" s="40">
        <v>2387.9733091045277</v>
      </c>
      <c r="AR42" s="52">
        <v>634.20769387256496</v>
      </c>
      <c r="AS42" s="674">
        <v>11987.842984309151</v>
      </c>
      <c r="AT42" s="40">
        <v>691.61</v>
      </c>
      <c r="AU42" s="54">
        <v>-11296.23298430915</v>
      </c>
      <c r="AV42" s="674">
        <v>1080.1563501955254</v>
      </c>
      <c r="AW42" s="40">
        <v>1991</v>
      </c>
      <c r="AX42" s="55">
        <v>910.84364980447458</v>
      </c>
      <c r="AY42" s="674">
        <v>1336.5401756225824</v>
      </c>
      <c r="AZ42" s="40">
        <v>0</v>
      </c>
      <c r="BA42" s="35">
        <v>-1336.5401756225824</v>
      </c>
      <c r="BB42" s="674">
        <v>560.72334696612927</v>
      </c>
      <c r="BC42" s="40">
        <v>0</v>
      </c>
      <c r="BD42" s="55">
        <v>-560.72334696612927</v>
      </c>
      <c r="BE42" s="674">
        <v>0</v>
      </c>
      <c r="BF42" s="40">
        <v>0</v>
      </c>
      <c r="BG42" s="38">
        <v>0</v>
      </c>
      <c r="BH42" s="674">
        <v>0</v>
      </c>
      <c r="BI42" s="40">
        <v>0</v>
      </c>
      <c r="BJ42" s="55">
        <v>0</v>
      </c>
      <c r="BK42" s="674">
        <v>165.03851446783483</v>
      </c>
      <c r="BL42" s="40">
        <v>0</v>
      </c>
      <c r="BM42" s="38">
        <v>-165.03851446783483</v>
      </c>
      <c r="BN42" s="674">
        <v>27.159000000000002</v>
      </c>
      <c r="BO42" s="40">
        <v>0</v>
      </c>
      <c r="BP42" s="55">
        <v>-27.159000000000002</v>
      </c>
      <c r="BQ42" s="77">
        <v>3169.6173872520721</v>
      </c>
      <c r="BR42" s="40">
        <v>1991</v>
      </c>
      <c r="BS42" s="55">
        <v>-1178.6173872520721</v>
      </c>
      <c r="BT42" s="674">
        <v>14521.680240582053</v>
      </c>
      <c r="BU42" s="40">
        <v>12390.230734324239</v>
      </c>
      <c r="BV42" s="52">
        <v>-2131.4495062578135</v>
      </c>
      <c r="BW42" s="674">
        <v>6106.0374412938099</v>
      </c>
      <c r="BX42" s="40">
        <v>5774.7271481558237</v>
      </c>
      <c r="BY42" s="52">
        <v>-331.31029313798626</v>
      </c>
      <c r="BZ42" s="674">
        <v>3156.6956902128736</v>
      </c>
      <c r="CA42" s="40">
        <v>3392.0123840759766</v>
      </c>
      <c r="CB42" s="52">
        <v>235.31669386310296</v>
      </c>
      <c r="CC42" s="674">
        <v>0</v>
      </c>
      <c r="CD42" s="40">
        <v>0</v>
      </c>
      <c r="CE42" s="52">
        <v>0</v>
      </c>
      <c r="CF42" s="674">
        <v>0</v>
      </c>
      <c r="CG42" s="40">
        <v>0</v>
      </c>
      <c r="CH42" s="52">
        <v>0</v>
      </c>
      <c r="CI42" s="674">
        <v>1089.852345207858</v>
      </c>
      <c r="CJ42" s="40">
        <v>1110.5974009015476</v>
      </c>
      <c r="CK42" s="52">
        <v>20.745055693689665</v>
      </c>
      <c r="CL42" s="674">
        <v>0</v>
      </c>
      <c r="CM42" s="40">
        <v>0</v>
      </c>
      <c r="CN42" s="52">
        <v>0</v>
      </c>
      <c r="CO42" s="39">
        <v>1089.852345207858</v>
      </c>
      <c r="CP42" s="40">
        <v>1110.5974009015476</v>
      </c>
      <c r="CQ42" s="52">
        <v>20.745055693689665</v>
      </c>
      <c r="CR42" s="72">
        <v>53410.836315625398</v>
      </c>
      <c r="CS42" s="5">
        <v>39832.814476757369</v>
      </c>
      <c r="CT42" s="52">
        <v>-13578.02183886803</v>
      </c>
      <c r="CU42" s="77">
        <v>64093.003578750475</v>
      </c>
      <c r="CV42" s="65">
        <v>47799.377372108844</v>
      </c>
      <c r="CW42" s="35">
        <v>-16293.626206641631</v>
      </c>
      <c r="CX42" s="73">
        <v>658.63190622340107</v>
      </c>
      <c r="CY42" s="40">
        <v>16952.258112865049</v>
      </c>
      <c r="CZ42" s="52">
        <v>16293.626206641648</v>
      </c>
      <c r="DA42" s="150">
        <v>5193.0315718800848</v>
      </c>
      <c r="DB42" s="2">
        <v>2</v>
      </c>
      <c r="DC42" s="675">
        <v>4455.74</v>
      </c>
      <c r="DD42" s="675">
        <v>6388.19</v>
      </c>
      <c r="DE42" s="675">
        <v>185.38718290882844</v>
      </c>
      <c r="DF42" s="675">
        <v>4988.7115297131731</v>
      </c>
      <c r="DG42" s="321">
        <v>21486.657778521731</v>
      </c>
      <c r="DH42" s="40">
        <v>64746.708728348967</v>
      </c>
      <c r="DI42" s="422">
        <v>5669.8312873779969</v>
      </c>
      <c r="DJ42" s="306">
        <v>6.5275952569415638</v>
      </c>
      <c r="DK42" s="306">
        <v>6.5275952569415638</v>
      </c>
      <c r="DL42" s="306">
        <v>5.4881508638699055</v>
      </c>
      <c r="DM42" s="28">
        <v>4270.3528170911713</v>
      </c>
      <c r="DN42" s="28">
        <v>1399.478470286826</v>
      </c>
      <c r="DO42" s="423">
        <v>5669.8312873779978</v>
      </c>
      <c r="DP42" s="94">
        <v>0</v>
      </c>
      <c r="DQ42" s="28">
        <v>5669.8312873779978</v>
      </c>
      <c r="DR42" s="318"/>
      <c r="DT42" s="8"/>
      <c r="DU42" s="5"/>
      <c r="DX42" s="5">
        <v>18188.952445873467</v>
      </c>
      <c r="DY42" s="5">
        <v>3219.1320000000001</v>
      </c>
      <c r="DZ42" s="159">
        <v>1576.3985409156107</v>
      </c>
      <c r="EB42" s="676">
        <v>1475.5755369930766</v>
      </c>
      <c r="EC42" s="676">
        <v>-2008.3309680721163</v>
      </c>
      <c r="ED42" s="676">
        <v>-1159.2568716104847</v>
      </c>
      <c r="EE42" s="676">
        <v>-1418.943597766176</v>
      </c>
      <c r="EF42" s="676">
        <v>-1363.3395093281651</v>
      </c>
      <c r="EG42" s="676">
        <v>-3287.5090564068146</v>
      </c>
      <c r="EH42" s="676">
        <v>-2548.3993103848502</v>
      </c>
      <c r="EI42" s="676">
        <v>-3452.4436233767783</v>
      </c>
      <c r="EJ42" s="676">
        <v>-2402.1810320139007</v>
      </c>
      <c r="EK42" s="676">
        <v>34.008253880882876</v>
      </c>
      <c r="EL42" s="676">
        <v>-248.16173680012434</v>
      </c>
      <c r="EM42" s="676">
        <v>85.355708243804656</v>
      </c>
      <c r="EN42" s="676">
        <v>-16293.626206641646</v>
      </c>
      <c r="EQ42" s="5">
        <v>18188.952445873467</v>
      </c>
      <c r="ER42" s="5">
        <v>3219.1320000000001</v>
      </c>
      <c r="ET42" s="318">
        <v>-13861.467976235966</v>
      </c>
      <c r="EU42" s="5">
        <v>32891.125754757712</v>
      </c>
    </row>
    <row r="43" spans="1:151" x14ac:dyDescent="0.3">
      <c r="A43" s="325">
        <v>150000978</v>
      </c>
      <c r="B43" s="41" t="s">
        <v>492</v>
      </c>
      <c r="C43" s="42" t="s">
        <v>244</v>
      </c>
      <c r="D43" s="27">
        <v>5</v>
      </c>
      <c r="E43" s="293">
        <v>1867.1</v>
      </c>
      <c r="F43" s="305">
        <v>1730</v>
      </c>
      <c r="G43" s="508">
        <v>0</v>
      </c>
      <c r="H43" s="677">
        <v>137.1</v>
      </c>
      <c r="I43" s="674">
        <v>5901.7077004428975</v>
      </c>
      <c r="J43" s="40">
        <v>6468.563931281994</v>
      </c>
      <c r="K43" s="52">
        <v>566.8562308390965</v>
      </c>
      <c r="L43" s="674">
        <v>1030.7457976024878</v>
      </c>
      <c r="M43" s="40">
        <v>1128.192637333522</v>
      </c>
      <c r="N43" s="52">
        <v>97.446839731034288</v>
      </c>
      <c r="O43" s="674">
        <v>2704.8668225703</v>
      </c>
      <c r="P43" s="40">
        <v>2704.86</v>
      </c>
      <c r="Q43" s="52">
        <v>-6.8225702998461202E-3</v>
      </c>
      <c r="R43" s="674">
        <v>0</v>
      </c>
      <c r="S43" s="40">
        <v>0</v>
      </c>
      <c r="T43" s="52">
        <v>0</v>
      </c>
      <c r="U43" s="674">
        <v>0</v>
      </c>
      <c r="V43" s="40">
        <v>0</v>
      </c>
      <c r="W43" s="52">
        <v>0</v>
      </c>
      <c r="X43" s="674">
        <v>2954.8146877913828</v>
      </c>
      <c r="Y43" s="40">
        <v>2231.4215555753954</v>
      </c>
      <c r="Z43" s="52">
        <v>-723.39313221598741</v>
      </c>
      <c r="AA43" s="674">
        <v>224.05199999999999</v>
      </c>
      <c r="AB43" s="40">
        <v>0</v>
      </c>
      <c r="AC43" s="52">
        <v>-224.05199999999999</v>
      </c>
      <c r="AD43" s="674">
        <v>7997.0438267107074</v>
      </c>
      <c r="AE43" s="40">
        <v>7932.7885514024128</v>
      </c>
      <c r="AF43" s="35">
        <v>-64.255275308294586</v>
      </c>
      <c r="AG43" s="77">
        <v>20813.230835117774</v>
      </c>
      <c r="AH43" s="53">
        <v>20465.826675593325</v>
      </c>
      <c r="AI43" s="52">
        <v>-347.40415952444891</v>
      </c>
      <c r="AJ43" s="674">
        <v>0</v>
      </c>
      <c r="AK43" s="40">
        <v>0</v>
      </c>
      <c r="AL43" s="52">
        <v>0</v>
      </c>
      <c r="AM43" s="674">
        <v>0</v>
      </c>
      <c r="AN43" s="40">
        <v>0</v>
      </c>
      <c r="AO43" s="52">
        <v>0</v>
      </c>
      <c r="AP43" s="674">
        <v>4991.4867510448184</v>
      </c>
      <c r="AQ43" s="40">
        <v>6796.5394182205782</v>
      </c>
      <c r="AR43" s="52">
        <v>1805.0526671757598</v>
      </c>
      <c r="AS43" s="674">
        <v>19610.859627041125</v>
      </c>
      <c r="AT43" s="40">
        <v>22011</v>
      </c>
      <c r="AU43" s="54">
        <v>2400.1403729588747</v>
      </c>
      <c r="AV43" s="674">
        <v>1353.7417082435709</v>
      </c>
      <c r="AW43" s="40">
        <v>471</v>
      </c>
      <c r="AX43" s="55">
        <v>-882.74170824357088</v>
      </c>
      <c r="AY43" s="674">
        <v>1689.7810067863211</v>
      </c>
      <c r="AZ43" s="40">
        <v>1487.64</v>
      </c>
      <c r="BA43" s="35">
        <v>-202.14100678632099</v>
      </c>
      <c r="BB43" s="674">
        <v>1077.5120600473863</v>
      </c>
      <c r="BC43" s="40">
        <v>0</v>
      </c>
      <c r="BD43" s="55">
        <v>-1077.5120600473863</v>
      </c>
      <c r="BE43" s="674">
        <v>0</v>
      </c>
      <c r="BF43" s="40">
        <v>0</v>
      </c>
      <c r="BG43" s="38">
        <v>0</v>
      </c>
      <c r="BH43" s="674">
        <v>0</v>
      </c>
      <c r="BI43" s="40">
        <v>0</v>
      </c>
      <c r="BJ43" s="55">
        <v>0</v>
      </c>
      <c r="BK43" s="674">
        <v>547.36825645481713</v>
      </c>
      <c r="BL43" s="40">
        <v>711</v>
      </c>
      <c r="BM43" s="38">
        <v>163.63174354518287</v>
      </c>
      <c r="BN43" s="674">
        <v>56.012999999999998</v>
      </c>
      <c r="BO43" s="40">
        <v>0</v>
      </c>
      <c r="BP43" s="55">
        <v>-56.012999999999998</v>
      </c>
      <c r="BQ43" s="77">
        <v>4724.4160315320951</v>
      </c>
      <c r="BR43" s="40">
        <v>2669.6400000000003</v>
      </c>
      <c r="BS43" s="55">
        <v>-2054.7760315320947</v>
      </c>
      <c r="BT43" s="674">
        <v>14196.826325411661</v>
      </c>
      <c r="BU43" s="40">
        <v>16951.822319610514</v>
      </c>
      <c r="BV43" s="52">
        <v>2754.9959941988527</v>
      </c>
      <c r="BW43" s="674">
        <v>7716.1913704427079</v>
      </c>
      <c r="BX43" s="40">
        <v>6874.1862129888468</v>
      </c>
      <c r="BY43" s="52">
        <v>-842.0051574538611</v>
      </c>
      <c r="BZ43" s="674">
        <v>7310.9185297613276</v>
      </c>
      <c r="CA43" s="40">
        <v>4108.3214257039826</v>
      </c>
      <c r="CB43" s="52">
        <v>-3202.5971040573449</v>
      </c>
      <c r="CC43" s="674">
        <v>0</v>
      </c>
      <c r="CD43" s="40">
        <v>0</v>
      </c>
      <c r="CE43" s="52">
        <v>0</v>
      </c>
      <c r="CF43" s="674">
        <v>0</v>
      </c>
      <c r="CG43" s="40">
        <v>0</v>
      </c>
      <c r="CH43" s="52">
        <v>0</v>
      </c>
      <c r="CI43" s="674">
        <v>2175.1372659472918</v>
      </c>
      <c r="CJ43" s="40">
        <v>1541.598543693698</v>
      </c>
      <c r="CK43" s="52">
        <v>-633.53872225359373</v>
      </c>
      <c r="CL43" s="674">
        <v>0</v>
      </c>
      <c r="CM43" s="40">
        <v>0</v>
      </c>
      <c r="CN43" s="52">
        <v>0</v>
      </c>
      <c r="CO43" s="39">
        <v>2175.1372659472918</v>
      </c>
      <c r="CP43" s="40">
        <v>1541.598543693698</v>
      </c>
      <c r="CQ43" s="52">
        <v>-633.53872225359373</v>
      </c>
      <c r="CR43" s="72">
        <v>81539.066736298817</v>
      </c>
      <c r="CS43" s="5">
        <v>81418.934595810948</v>
      </c>
      <c r="CT43" s="52">
        <v>-120.13214048786904</v>
      </c>
      <c r="CU43" s="77">
        <v>97846.880083558572</v>
      </c>
      <c r="CV43" s="65">
        <v>97702.721514973135</v>
      </c>
      <c r="CW43" s="35">
        <v>-144.15856858543702</v>
      </c>
      <c r="CX43" s="73">
        <v>3354.1592354546719</v>
      </c>
      <c r="CY43" s="40">
        <v>3498.3178040400962</v>
      </c>
      <c r="CZ43" s="52">
        <v>144.15856858542429</v>
      </c>
      <c r="DA43" s="150">
        <v>9816.9847659425977</v>
      </c>
      <c r="DB43" s="2">
        <v>2</v>
      </c>
      <c r="DC43" s="675">
        <v>26110.240000000002</v>
      </c>
      <c r="DD43" s="675">
        <v>380.78</v>
      </c>
      <c r="DE43" s="675">
        <v>17845.209419698986</v>
      </c>
      <c r="DF43" s="675">
        <v>-204.59425876481032</v>
      </c>
      <c r="DG43" s="321">
        <v>9961.1433345280202</v>
      </c>
      <c r="DH43" s="40">
        <v>101193.30357724195</v>
      </c>
      <c r="DI43" s="422">
        <v>8850.4048390658263</v>
      </c>
      <c r="DJ43" s="306">
        <v>4.7774743238734203</v>
      </c>
      <c r="DK43" s="306">
        <v>4.7774743238734203</v>
      </c>
      <c r="DL43" s="306">
        <v>4.2696882477374931</v>
      </c>
      <c r="DM43" s="28">
        <v>8265.0305803010178</v>
      </c>
      <c r="DN43" s="28">
        <v>585.37425876481029</v>
      </c>
      <c r="DO43" s="423">
        <v>8850.4048390658281</v>
      </c>
      <c r="DP43" s="94">
        <v>0</v>
      </c>
      <c r="DQ43" s="28">
        <v>8850.4048390658281</v>
      </c>
      <c r="DR43" s="318"/>
      <c r="DT43" s="8"/>
      <c r="DU43" s="5"/>
      <c r="DX43" s="5">
        <v>29202.330790287862</v>
      </c>
      <c r="DY43" s="5">
        <v>29616.767999999996</v>
      </c>
      <c r="DZ43" s="159">
        <v>2684.3316132479981</v>
      </c>
      <c r="EB43" s="676">
        <v>2299.0156533633572</v>
      </c>
      <c r="EC43" s="676">
        <v>-2600.9807055642814</v>
      </c>
      <c r="ED43" s="676">
        <v>-1150.6886406109479</v>
      </c>
      <c r="EE43" s="676">
        <v>-3771.4151486763967</v>
      </c>
      <c r="EF43" s="676">
        <v>-1368.35932266694</v>
      </c>
      <c r="EG43" s="676">
        <v>-2263.9667872271111</v>
      </c>
      <c r="EH43" s="676">
        <v>-3954.5576150455809</v>
      </c>
      <c r="EI43" s="676">
        <v>8971.8162277010761</v>
      </c>
      <c r="EJ43" s="676">
        <v>-1237.1932270053521</v>
      </c>
      <c r="EK43" s="676">
        <v>7246.5883803825836</v>
      </c>
      <c r="EL43" s="676">
        <v>1225.3351695855745</v>
      </c>
      <c r="EM43" s="676">
        <v>-3539.7525528214019</v>
      </c>
      <c r="EN43" s="676">
        <v>-144.15856858542247</v>
      </c>
      <c r="EQ43" s="5">
        <v>29202.330790287862</v>
      </c>
      <c r="ER43" s="5">
        <v>29616.767999999996</v>
      </c>
      <c r="ET43" s="318">
        <v>1697.5345122223725</v>
      </c>
      <c r="EU43" s="5">
        <v>3870.6088223056458</v>
      </c>
    </row>
    <row r="44" spans="1:151" x14ac:dyDescent="0.3">
      <c r="A44" s="325">
        <v>150000966</v>
      </c>
      <c r="B44" s="41" t="s">
        <v>493</v>
      </c>
      <c r="C44" s="42" t="s">
        <v>205</v>
      </c>
      <c r="D44" s="27">
        <v>4</v>
      </c>
      <c r="E44" s="293">
        <v>1172.81</v>
      </c>
      <c r="F44" s="305">
        <v>934</v>
      </c>
      <c r="G44" s="508">
        <v>0</v>
      </c>
      <c r="H44" s="677">
        <v>238.81</v>
      </c>
      <c r="I44" s="674">
        <v>4255.6052982266383</v>
      </c>
      <c r="J44" s="40">
        <v>4630.1090028830376</v>
      </c>
      <c r="K44" s="52">
        <v>374.50370465639935</v>
      </c>
      <c r="L44" s="674">
        <v>886.16650273337859</v>
      </c>
      <c r="M44" s="40">
        <v>969.94338368711681</v>
      </c>
      <c r="N44" s="52">
        <v>83.776880953738214</v>
      </c>
      <c r="O44" s="674">
        <v>1508.3376883387546</v>
      </c>
      <c r="P44" s="40">
        <v>1508.3399999999997</v>
      </c>
      <c r="Q44" s="52">
        <v>2.3116612451303808E-3</v>
      </c>
      <c r="R44" s="674">
        <v>0</v>
      </c>
      <c r="S44" s="40">
        <v>0</v>
      </c>
      <c r="T44" s="52">
        <v>0</v>
      </c>
      <c r="U44" s="674">
        <v>0</v>
      </c>
      <c r="V44" s="40">
        <v>0</v>
      </c>
      <c r="W44" s="52">
        <v>0</v>
      </c>
      <c r="X44" s="674">
        <v>2710.4281992871483</v>
      </c>
      <c r="Y44" s="40">
        <v>2528.3895444086002</v>
      </c>
      <c r="Z44" s="52">
        <v>-182.03865487854819</v>
      </c>
      <c r="AA44" s="674">
        <v>141.31319999999999</v>
      </c>
      <c r="AB44" s="40">
        <v>0</v>
      </c>
      <c r="AC44" s="52">
        <v>-141.31319999999999</v>
      </c>
      <c r="AD44" s="674">
        <v>5020.6899912296221</v>
      </c>
      <c r="AE44" s="40">
        <v>4982.9434636442948</v>
      </c>
      <c r="AF44" s="35">
        <v>-37.746527585327385</v>
      </c>
      <c r="AG44" s="77">
        <v>14522.54087981554</v>
      </c>
      <c r="AH44" s="53">
        <v>14619.72539462305</v>
      </c>
      <c r="AI44" s="52">
        <v>97.184514807509913</v>
      </c>
      <c r="AJ44" s="674">
        <v>0</v>
      </c>
      <c r="AK44" s="40">
        <v>0</v>
      </c>
      <c r="AL44" s="52">
        <v>0</v>
      </c>
      <c r="AM44" s="674">
        <v>0</v>
      </c>
      <c r="AN44" s="40">
        <v>0</v>
      </c>
      <c r="AO44" s="52">
        <v>0</v>
      </c>
      <c r="AP44" s="674">
        <v>2428.290851859641</v>
      </c>
      <c r="AQ44" s="40">
        <v>1823.5610694508046</v>
      </c>
      <c r="AR44" s="52">
        <v>-604.7297824088364</v>
      </c>
      <c r="AS44" s="674">
        <v>11528.6061001245</v>
      </c>
      <c r="AT44" s="40">
        <v>261</v>
      </c>
      <c r="AU44" s="54">
        <v>-11267.6061001245</v>
      </c>
      <c r="AV44" s="674">
        <v>1073.7718762406091</v>
      </c>
      <c r="AW44" s="40">
        <v>0</v>
      </c>
      <c r="AX44" s="55">
        <v>-1073.7718762406091</v>
      </c>
      <c r="AY44" s="674">
        <v>1452.4210000493254</v>
      </c>
      <c r="AZ44" s="40">
        <v>0</v>
      </c>
      <c r="BA44" s="35">
        <v>-1452.4210000493254</v>
      </c>
      <c r="BB44" s="674">
        <v>723.28940922064169</v>
      </c>
      <c r="BC44" s="40">
        <v>0</v>
      </c>
      <c r="BD44" s="55">
        <v>-723.28940922064169</v>
      </c>
      <c r="BE44" s="674">
        <v>0</v>
      </c>
      <c r="BF44" s="40">
        <v>0</v>
      </c>
      <c r="BG44" s="38">
        <v>0</v>
      </c>
      <c r="BH44" s="674">
        <v>0</v>
      </c>
      <c r="BI44" s="40">
        <v>0</v>
      </c>
      <c r="BJ44" s="55">
        <v>0</v>
      </c>
      <c r="BK44" s="674">
        <v>488.07203624047673</v>
      </c>
      <c r="BL44" s="40">
        <v>0</v>
      </c>
      <c r="BM44" s="38">
        <v>-488.07203624047673</v>
      </c>
      <c r="BN44" s="674">
        <v>35.328299999999999</v>
      </c>
      <c r="BO44" s="40">
        <v>0</v>
      </c>
      <c r="BP44" s="55">
        <v>-35.328299999999999</v>
      </c>
      <c r="BQ44" s="77">
        <v>3772.8826217510527</v>
      </c>
      <c r="BR44" s="40">
        <v>0</v>
      </c>
      <c r="BS44" s="55">
        <v>-3772.8826217510527</v>
      </c>
      <c r="BT44" s="674">
        <v>19783.282274930683</v>
      </c>
      <c r="BU44" s="40">
        <v>20417.929937035646</v>
      </c>
      <c r="BV44" s="52">
        <v>634.64766210496236</v>
      </c>
      <c r="BW44" s="674">
        <v>7279.8587135715625</v>
      </c>
      <c r="BX44" s="40">
        <v>6894.560706234166</v>
      </c>
      <c r="BY44" s="52">
        <v>-385.29800733739648</v>
      </c>
      <c r="BZ44" s="674">
        <v>5916.6020870456923</v>
      </c>
      <c r="CA44" s="40">
        <v>4922.5769892194867</v>
      </c>
      <c r="CB44" s="52">
        <v>-994.02509782620564</v>
      </c>
      <c r="CC44" s="674">
        <v>272.33988332156912</v>
      </c>
      <c r="CD44" s="40">
        <v>286.23495265097739</v>
      </c>
      <c r="CE44" s="52">
        <v>13.895069329408273</v>
      </c>
      <c r="CF44" s="674">
        <v>33.285561411320067</v>
      </c>
      <c r="CG44" s="40">
        <v>0</v>
      </c>
      <c r="CH44" s="52">
        <v>-33.285561411320067</v>
      </c>
      <c r="CI44" s="674">
        <v>2867.2152946683277</v>
      </c>
      <c r="CJ44" s="40">
        <v>2138.2574519613918</v>
      </c>
      <c r="CK44" s="52">
        <v>-728.95784270693593</v>
      </c>
      <c r="CL44" s="674">
        <v>0</v>
      </c>
      <c r="CM44" s="40">
        <v>0</v>
      </c>
      <c r="CN44" s="52">
        <v>0</v>
      </c>
      <c r="CO44" s="39">
        <v>2867.2152946683277</v>
      </c>
      <c r="CP44" s="40">
        <v>2138.2574519613918</v>
      </c>
      <c r="CQ44" s="52">
        <v>-728.95784270693593</v>
      </c>
      <c r="CR44" s="72">
        <v>68404.9042684999</v>
      </c>
      <c r="CS44" s="5">
        <v>51363.846501175525</v>
      </c>
      <c r="CT44" s="52">
        <v>-17041.057767324375</v>
      </c>
      <c r="CU44" s="77">
        <v>82085.885122199878</v>
      </c>
      <c r="CV44" s="65">
        <v>61636.615801410626</v>
      </c>
      <c r="CW44" s="35">
        <v>-20449.269320789252</v>
      </c>
      <c r="CX44" s="73">
        <v>2486.3082794753882</v>
      </c>
      <c r="CY44" s="40">
        <v>22935.577600264623</v>
      </c>
      <c r="CZ44" s="52">
        <v>20449.269320789237</v>
      </c>
      <c r="DA44" s="150">
        <v>-5377.8659454469234</v>
      </c>
      <c r="DB44" s="2">
        <v>2</v>
      </c>
      <c r="DC44" s="675">
        <v>50054.04</v>
      </c>
      <c r="DD44" s="675">
        <v>6874.34</v>
      </c>
      <c r="DE44" s="675">
        <v>43990.527540675947</v>
      </c>
      <c r="DF44" s="675">
        <v>5534.8249195088993</v>
      </c>
      <c r="DG44" s="321">
        <v>15071.403375342321</v>
      </c>
      <c r="DH44" s="40">
        <v>84565.750977434232</v>
      </c>
      <c r="DI44" s="422">
        <v>7403.027539815158</v>
      </c>
      <c r="DJ44" s="306">
        <v>6.4919833611606617</v>
      </c>
      <c r="DK44" s="306">
        <v>6.4919833611606617</v>
      </c>
      <c r="DL44" s="306">
        <v>5.6091247455764019</v>
      </c>
      <c r="DM44" s="28">
        <v>6063.512459324058</v>
      </c>
      <c r="DN44" s="28">
        <v>1339.5150804911007</v>
      </c>
      <c r="DO44" s="423">
        <v>7403.0275398151589</v>
      </c>
      <c r="DP44" s="94">
        <v>0</v>
      </c>
      <c r="DQ44" s="28">
        <v>7403.0275398151589</v>
      </c>
      <c r="DR44" s="318"/>
      <c r="DT44" s="8"/>
      <c r="DU44" s="5"/>
      <c r="DX44" s="5">
        <v>18361.786466250662</v>
      </c>
      <c r="DY44" s="5">
        <v>313.2</v>
      </c>
      <c r="DZ44" s="159">
        <v>1637.0193977344718</v>
      </c>
      <c r="EB44" s="676">
        <v>542.2097960487954</v>
      </c>
      <c r="EC44" s="676">
        <v>-1279.2299053015477</v>
      </c>
      <c r="ED44" s="676">
        <v>-1040.7927946033615</v>
      </c>
      <c r="EE44" s="676">
        <v>-1694.4722722100387</v>
      </c>
      <c r="EF44" s="676">
        <v>-2321.3598370066229</v>
      </c>
      <c r="EG44" s="676">
        <v>-2786.1050369597051</v>
      </c>
      <c r="EH44" s="676">
        <v>-2515.7165152810448</v>
      </c>
      <c r="EI44" s="676">
        <v>-1275.0331859775906</v>
      </c>
      <c r="EJ44" s="676">
        <v>-4029.1695801672668</v>
      </c>
      <c r="EK44" s="676">
        <v>-1541.806032499203</v>
      </c>
      <c r="EL44" s="676">
        <v>-1605.2534704101763</v>
      </c>
      <c r="EM44" s="676">
        <v>-902.54048642147791</v>
      </c>
      <c r="EN44" s="676">
        <v>-20449.269320789244</v>
      </c>
      <c r="EQ44" s="5">
        <v>18361.786466250662</v>
      </c>
      <c r="ER44" s="5">
        <v>313.2</v>
      </c>
      <c r="ET44" s="318">
        <v>34032.251574694288</v>
      </c>
      <c r="EU44" s="5">
        <v>-7156.8481993519654</v>
      </c>
    </row>
    <row r="45" spans="1:151" x14ac:dyDescent="0.3">
      <c r="A45" s="325">
        <v>150000967</v>
      </c>
      <c r="B45" s="41" t="s">
        <v>494</v>
      </c>
      <c r="C45" s="42" t="s">
        <v>206</v>
      </c>
      <c r="D45" s="27">
        <v>4</v>
      </c>
      <c r="E45" s="293">
        <v>1448.3</v>
      </c>
      <c r="F45" s="305">
        <v>1264.5999999999999</v>
      </c>
      <c r="G45" s="508">
        <v>0</v>
      </c>
      <c r="H45" s="677">
        <v>183.7</v>
      </c>
      <c r="I45" s="674">
        <v>5014.6862147234451</v>
      </c>
      <c r="J45" s="40">
        <v>5476.8122556855451</v>
      </c>
      <c r="K45" s="52">
        <v>462.12604096209998</v>
      </c>
      <c r="L45" s="674">
        <v>915.00766469281086</v>
      </c>
      <c r="M45" s="40">
        <v>1001.5147350930667</v>
      </c>
      <c r="N45" s="52">
        <v>86.507070400255884</v>
      </c>
      <c r="O45" s="674">
        <v>1947.4733678545447</v>
      </c>
      <c r="P45" s="40">
        <v>1947.4799999999998</v>
      </c>
      <c r="Q45" s="52">
        <v>6.6321454551143688E-3</v>
      </c>
      <c r="R45" s="674">
        <v>0</v>
      </c>
      <c r="S45" s="40">
        <v>0</v>
      </c>
      <c r="T45" s="52">
        <v>0</v>
      </c>
      <c r="U45" s="674">
        <v>0</v>
      </c>
      <c r="V45" s="40">
        <v>0</v>
      </c>
      <c r="W45" s="52">
        <v>0</v>
      </c>
      <c r="X45" s="674">
        <v>2731.1914339435548</v>
      </c>
      <c r="Y45" s="40">
        <v>1923.6586295530321</v>
      </c>
      <c r="Z45" s="52">
        <v>-807.53280439052264</v>
      </c>
      <c r="AA45" s="674">
        <v>179.304</v>
      </c>
      <c r="AB45" s="40">
        <v>0</v>
      </c>
      <c r="AC45" s="52">
        <v>-179.304</v>
      </c>
      <c r="AD45" s="674">
        <v>6245.6523192604609</v>
      </c>
      <c r="AE45" s="40">
        <v>6154.4316031359003</v>
      </c>
      <c r="AF45" s="35">
        <v>-91.220716124560568</v>
      </c>
      <c r="AG45" s="77">
        <v>17033.315000474817</v>
      </c>
      <c r="AH45" s="53">
        <v>16503.897223467546</v>
      </c>
      <c r="AI45" s="52">
        <v>-529.41777700727107</v>
      </c>
      <c r="AJ45" s="674">
        <v>0</v>
      </c>
      <c r="AK45" s="40">
        <v>0</v>
      </c>
      <c r="AL45" s="52">
        <v>0</v>
      </c>
      <c r="AM45" s="674">
        <v>0</v>
      </c>
      <c r="AN45" s="40">
        <v>0</v>
      </c>
      <c r="AO45" s="52">
        <v>0</v>
      </c>
      <c r="AP45" s="674">
        <v>3642.4362777894617</v>
      </c>
      <c r="AQ45" s="40">
        <v>4329.5828091411977</v>
      </c>
      <c r="AR45" s="52">
        <v>687.14653135173603</v>
      </c>
      <c r="AS45" s="674">
        <v>12335.215505350456</v>
      </c>
      <c r="AT45" s="40">
        <v>658.78040672954114</v>
      </c>
      <c r="AU45" s="54">
        <v>-11676.435098620914</v>
      </c>
      <c r="AV45" s="674">
        <v>1173.9979447980736</v>
      </c>
      <c r="AW45" s="40">
        <v>232</v>
      </c>
      <c r="AX45" s="55">
        <v>-941.9979447980736</v>
      </c>
      <c r="AY45" s="674">
        <v>1500.0366832758391</v>
      </c>
      <c r="AZ45" s="40">
        <v>0</v>
      </c>
      <c r="BA45" s="35">
        <v>-1500.0366832758391</v>
      </c>
      <c r="BB45" s="674">
        <v>1022.952987535195</v>
      </c>
      <c r="BC45" s="40">
        <v>0</v>
      </c>
      <c r="BD45" s="55">
        <v>-1022.952987535195</v>
      </c>
      <c r="BE45" s="674">
        <v>0</v>
      </c>
      <c r="BF45" s="40">
        <v>0</v>
      </c>
      <c r="BG45" s="38">
        <v>0</v>
      </c>
      <c r="BH45" s="674">
        <v>0</v>
      </c>
      <c r="BI45" s="40">
        <v>0</v>
      </c>
      <c r="BJ45" s="55">
        <v>0</v>
      </c>
      <c r="BK45" s="674">
        <v>522.03056588983156</v>
      </c>
      <c r="BL45" s="40">
        <v>0</v>
      </c>
      <c r="BM45" s="38">
        <v>-522.03056588983156</v>
      </c>
      <c r="BN45" s="674">
        <v>44.826000000000001</v>
      </c>
      <c r="BO45" s="40">
        <v>0</v>
      </c>
      <c r="BP45" s="55">
        <v>-44.826000000000001</v>
      </c>
      <c r="BQ45" s="77">
        <v>4263.8441814989392</v>
      </c>
      <c r="BR45" s="40">
        <v>232</v>
      </c>
      <c r="BS45" s="55">
        <v>-4031.8441814989392</v>
      </c>
      <c r="BT45" s="674">
        <v>25261.125038634669</v>
      </c>
      <c r="BU45" s="40">
        <v>29266.325898373143</v>
      </c>
      <c r="BV45" s="52">
        <v>4005.2008597384738</v>
      </c>
      <c r="BW45" s="674">
        <v>8133.591170609503</v>
      </c>
      <c r="BX45" s="40">
        <v>7632.7670586053591</v>
      </c>
      <c r="BY45" s="52">
        <v>-500.8241120041439</v>
      </c>
      <c r="BZ45" s="674">
        <v>11063.030263453382</v>
      </c>
      <c r="CA45" s="40">
        <v>6883.853334397927</v>
      </c>
      <c r="CB45" s="52">
        <v>-4179.1769290554548</v>
      </c>
      <c r="CC45" s="674">
        <v>855.92534758207455</v>
      </c>
      <c r="CD45" s="40">
        <v>899.5955654745004</v>
      </c>
      <c r="CE45" s="52">
        <v>43.670217892425853</v>
      </c>
      <c r="CF45" s="674">
        <v>104.61176443557736</v>
      </c>
      <c r="CG45" s="40">
        <v>554.44574346276681</v>
      </c>
      <c r="CH45" s="52">
        <v>449.83397902718946</v>
      </c>
      <c r="CI45" s="674">
        <v>2661.3231364249159</v>
      </c>
      <c r="CJ45" s="40">
        <v>1871.2742559467727</v>
      </c>
      <c r="CK45" s="52">
        <v>-790.04888047814325</v>
      </c>
      <c r="CL45" s="674">
        <v>0</v>
      </c>
      <c r="CM45" s="40">
        <v>0</v>
      </c>
      <c r="CN45" s="52">
        <v>0</v>
      </c>
      <c r="CO45" s="39">
        <v>2661.3231364249159</v>
      </c>
      <c r="CP45" s="40">
        <v>1871.2742559467727</v>
      </c>
      <c r="CQ45" s="52">
        <v>-790.04888047814325</v>
      </c>
      <c r="CR45" s="72">
        <v>85354.417686253815</v>
      </c>
      <c r="CS45" s="5">
        <v>68832.522295598756</v>
      </c>
      <c r="CT45" s="52">
        <v>-16521.89539065506</v>
      </c>
      <c r="CU45" s="77">
        <v>102425.30122350458</v>
      </c>
      <c r="CV45" s="65">
        <v>82599.026754718507</v>
      </c>
      <c r="CW45" s="35">
        <v>-19826.274468786069</v>
      </c>
      <c r="CX45" s="73">
        <v>1072.0353466911097</v>
      </c>
      <c r="CY45" s="40">
        <v>20898.309815477136</v>
      </c>
      <c r="CZ45" s="52">
        <v>19826.274468786025</v>
      </c>
      <c r="DA45" s="150">
        <v>30205.57583265318</v>
      </c>
      <c r="DB45" s="2">
        <v>2</v>
      </c>
      <c r="DC45" s="675">
        <v>11706.56</v>
      </c>
      <c r="DD45" s="675">
        <v>11676.869999999999</v>
      </c>
      <c r="DE45" s="675">
        <v>3718.6372809215882</v>
      </c>
      <c r="DF45" s="675">
        <v>10646.951422794893</v>
      </c>
      <c r="DG45" s="321">
        <v>50031.850301439204</v>
      </c>
      <c r="DH45" s="40">
        <v>103489.31743659984</v>
      </c>
      <c r="DI45" s="422">
        <v>9017.8412962835191</v>
      </c>
      <c r="DJ45" s="306">
        <v>6.3165607457523425</v>
      </c>
      <c r="DK45" s="306">
        <v>6.3165607457523425</v>
      </c>
      <c r="DL45" s="306">
        <v>5.606524644556921</v>
      </c>
      <c r="DM45" s="28">
        <v>7987.9227190784113</v>
      </c>
      <c r="DN45" s="28">
        <v>1029.9185772051064</v>
      </c>
      <c r="DO45" s="423">
        <v>9017.8412962835173</v>
      </c>
      <c r="DP45" s="94">
        <v>0</v>
      </c>
      <c r="DQ45" s="28">
        <v>9017.8412962835173</v>
      </c>
      <c r="DR45" s="318"/>
      <c r="DT45" s="8"/>
      <c r="DU45" s="5"/>
      <c r="DX45" s="5">
        <v>19918.871624219275</v>
      </c>
      <c r="DY45" s="5">
        <v>1068.9364880754492</v>
      </c>
      <c r="DZ45" s="159">
        <v>1669.9003451585202</v>
      </c>
      <c r="EB45" s="676">
        <v>917.52190424774926</v>
      </c>
      <c r="EC45" s="676">
        <v>-3032.3995876791132</v>
      </c>
      <c r="ED45" s="676">
        <v>-1520.6189585071252</v>
      </c>
      <c r="EE45" s="676">
        <v>-1088.0654648253148</v>
      </c>
      <c r="EF45" s="676">
        <v>-220.5978496855605</v>
      </c>
      <c r="EG45" s="676">
        <v>-2349.2191606180213</v>
      </c>
      <c r="EH45" s="676">
        <v>-2928.6458768823923</v>
      </c>
      <c r="EI45" s="676">
        <v>-2126.1121593126718</v>
      </c>
      <c r="EJ45" s="676">
        <v>-4581.3764553664651</v>
      </c>
      <c r="EK45" s="676">
        <v>-1937.2627489958404</v>
      </c>
      <c r="EL45" s="676">
        <v>-150.95747026151003</v>
      </c>
      <c r="EM45" s="676">
        <v>-808.54064089976418</v>
      </c>
      <c r="EN45" s="676">
        <v>-19826.274468786025</v>
      </c>
      <c r="EQ45" s="5">
        <v>19918.871624219275</v>
      </c>
      <c r="ER45" s="5">
        <v>1068.9364880754492</v>
      </c>
      <c r="ET45" s="318">
        <v>48962.876936041328</v>
      </c>
      <c r="EU45" s="5">
        <v>13656.973365397873</v>
      </c>
    </row>
    <row r="46" spans="1:151" x14ac:dyDescent="0.3">
      <c r="A46" s="325">
        <v>150000968</v>
      </c>
      <c r="B46" s="41" t="s">
        <v>495</v>
      </c>
      <c r="C46" s="42" t="s">
        <v>245</v>
      </c>
      <c r="D46" s="27">
        <v>5</v>
      </c>
      <c r="E46" s="293">
        <v>2117.4</v>
      </c>
      <c r="F46" s="305">
        <v>1759.4</v>
      </c>
      <c r="G46" s="508">
        <v>0</v>
      </c>
      <c r="H46" s="677">
        <v>358</v>
      </c>
      <c r="I46" s="674">
        <v>5901.7063247552105</v>
      </c>
      <c r="J46" s="40">
        <v>6522.9859643185537</v>
      </c>
      <c r="K46" s="52">
        <v>621.27963956334315</v>
      </c>
      <c r="L46" s="674">
        <v>1030.7457976024878</v>
      </c>
      <c r="M46" s="40">
        <v>1128.192637333522</v>
      </c>
      <c r="N46" s="52">
        <v>97.446839731034288</v>
      </c>
      <c r="O46" s="674">
        <v>2557.8137252530692</v>
      </c>
      <c r="P46" s="40">
        <v>2557.7999999999993</v>
      </c>
      <c r="Q46" s="52">
        <v>-1.3725253069878818E-2</v>
      </c>
      <c r="R46" s="674">
        <v>0</v>
      </c>
      <c r="S46" s="40">
        <v>0</v>
      </c>
      <c r="T46" s="52">
        <v>0</v>
      </c>
      <c r="U46" s="674">
        <v>0</v>
      </c>
      <c r="V46" s="40">
        <v>0</v>
      </c>
      <c r="W46" s="52">
        <v>0</v>
      </c>
      <c r="X46" s="674">
        <v>3282.9211828479088</v>
      </c>
      <c r="Y46" s="40">
        <v>2542.7197241216077</v>
      </c>
      <c r="Z46" s="52">
        <v>-740.2014587263011</v>
      </c>
      <c r="AA46" s="674">
        <v>275.74800000000005</v>
      </c>
      <c r="AB46" s="40">
        <v>0</v>
      </c>
      <c r="AC46" s="52">
        <v>-275.74800000000005</v>
      </c>
      <c r="AD46" s="674">
        <v>9241.3775986770452</v>
      </c>
      <c r="AE46" s="40">
        <v>8996.2436284823871</v>
      </c>
      <c r="AF46" s="35">
        <v>-245.1339701946581</v>
      </c>
      <c r="AG46" s="77">
        <v>22290.312629135722</v>
      </c>
      <c r="AH46" s="53">
        <v>21747.941954256068</v>
      </c>
      <c r="AI46" s="52">
        <v>-542.37067487965396</v>
      </c>
      <c r="AJ46" s="674">
        <v>0</v>
      </c>
      <c r="AK46" s="40">
        <v>0</v>
      </c>
      <c r="AL46" s="52">
        <v>0</v>
      </c>
      <c r="AM46" s="674">
        <v>0</v>
      </c>
      <c r="AN46" s="40">
        <v>0</v>
      </c>
      <c r="AO46" s="52">
        <v>0</v>
      </c>
      <c r="AP46" s="674">
        <v>4991.4867510448184</v>
      </c>
      <c r="AQ46" s="40">
        <v>4213.5957609874713</v>
      </c>
      <c r="AR46" s="52">
        <v>-777.89099005734715</v>
      </c>
      <c r="AS46" s="674">
        <v>12847.411927262803</v>
      </c>
      <c r="AT46" s="40">
        <v>2662.7523728130104</v>
      </c>
      <c r="AU46" s="54">
        <v>-10184.659554449792</v>
      </c>
      <c r="AV46" s="674">
        <v>1353.7417082435709</v>
      </c>
      <c r="AW46" s="40">
        <v>1341</v>
      </c>
      <c r="AX46" s="55">
        <v>-12.741708243570883</v>
      </c>
      <c r="AY46" s="674">
        <v>1689.7810067863211</v>
      </c>
      <c r="AZ46" s="40">
        <v>0</v>
      </c>
      <c r="BA46" s="35">
        <v>-1689.7810067863211</v>
      </c>
      <c r="BB46" s="674">
        <v>1444.5035983713478</v>
      </c>
      <c r="BC46" s="40">
        <v>0</v>
      </c>
      <c r="BD46" s="55">
        <v>-1444.5035983713478</v>
      </c>
      <c r="BE46" s="674">
        <v>0</v>
      </c>
      <c r="BF46" s="40">
        <v>0</v>
      </c>
      <c r="BG46" s="38">
        <v>0</v>
      </c>
      <c r="BH46" s="674">
        <v>0</v>
      </c>
      <c r="BI46" s="40">
        <v>0</v>
      </c>
      <c r="BJ46" s="55">
        <v>0</v>
      </c>
      <c r="BK46" s="674">
        <v>600.95515581207007</v>
      </c>
      <c r="BL46" s="40">
        <v>711</v>
      </c>
      <c r="BM46" s="38">
        <v>110.04484418792993</v>
      </c>
      <c r="BN46" s="674">
        <v>68.937000000000012</v>
      </c>
      <c r="BO46" s="40">
        <v>0</v>
      </c>
      <c r="BP46" s="55">
        <v>-68.937000000000012</v>
      </c>
      <c r="BQ46" s="77">
        <v>5157.9184692133103</v>
      </c>
      <c r="BR46" s="40">
        <v>2052</v>
      </c>
      <c r="BS46" s="55">
        <v>-3105.9184692133103</v>
      </c>
      <c r="BT46" s="674">
        <v>20342.677631014463</v>
      </c>
      <c r="BU46" s="40">
        <v>25900.881901469485</v>
      </c>
      <c r="BV46" s="52">
        <v>5558.2042704550222</v>
      </c>
      <c r="BW46" s="674">
        <v>8998.9447871083812</v>
      </c>
      <c r="BX46" s="40">
        <v>8536.3364365472735</v>
      </c>
      <c r="BY46" s="52">
        <v>-462.60835056110773</v>
      </c>
      <c r="BZ46" s="674">
        <v>10717.127588854628</v>
      </c>
      <c r="CA46" s="40">
        <v>5988.306438478653</v>
      </c>
      <c r="CB46" s="52">
        <v>-4728.8211503759749</v>
      </c>
      <c r="CC46" s="674">
        <v>0</v>
      </c>
      <c r="CD46" s="40">
        <v>0</v>
      </c>
      <c r="CE46" s="52">
        <v>0</v>
      </c>
      <c r="CF46" s="674">
        <v>0</v>
      </c>
      <c r="CG46" s="40">
        <v>0</v>
      </c>
      <c r="CH46" s="52">
        <v>0</v>
      </c>
      <c r="CI46" s="674">
        <v>3376.823740677527</v>
      </c>
      <c r="CJ46" s="40">
        <v>2945.1872644237524</v>
      </c>
      <c r="CK46" s="52">
        <v>-431.63647625377462</v>
      </c>
      <c r="CL46" s="674">
        <v>0</v>
      </c>
      <c r="CM46" s="40">
        <v>0</v>
      </c>
      <c r="CN46" s="52">
        <v>0</v>
      </c>
      <c r="CO46" s="39">
        <v>3376.823740677527</v>
      </c>
      <c r="CP46" s="40">
        <v>2945.1872644237524</v>
      </c>
      <c r="CQ46" s="52">
        <v>-431.63647625377462</v>
      </c>
      <c r="CR46" s="72">
        <v>88722.703524311655</v>
      </c>
      <c r="CS46" s="5">
        <v>74047.002128975713</v>
      </c>
      <c r="CT46" s="52">
        <v>-14675.701395335942</v>
      </c>
      <c r="CU46" s="77">
        <v>106467.24422917399</v>
      </c>
      <c r="CV46" s="65">
        <v>88856.402554770859</v>
      </c>
      <c r="CW46" s="35">
        <v>-17610.841674403127</v>
      </c>
      <c r="CX46" s="73">
        <v>1158.1018141960758</v>
      </c>
      <c r="CY46" s="40">
        <v>18768.943488599187</v>
      </c>
      <c r="CZ46" s="52">
        <v>17610.841674403113</v>
      </c>
      <c r="DA46" s="150">
        <v>25522.641621229897</v>
      </c>
      <c r="DB46" s="2">
        <v>2</v>
      </c>
      <c r="DC46" s="675">
        <v>10046.549999999999</v>
      </c>
      <c r="DD46" s="675">
        <v>1400.6399999999999</v>
      </c>
      <c r="DE46" s="675">
        <v>2169.9238469513339</v>
      </c>
      <c r="DF46" s="675">
        <v>9.1135458405915415E-3</v>
      </c>
      <c r="DG46" s="321">
        <v>43133.483295633006</v>
      </c>
      <c r="DH46" s="40">
        <v>107616.68310777354</v>
      </c>
      <c r="DI46" s="422">
        <v>9277.2570395028251</v>
      </c>
      <c r="DJ46" s="306">
        <v>4.4768819785430631</v>
      </c>
      <c r="DK46" s="306">
        <v>4.4768819785430631</v>
      </c>
      <c r="DL46" s="306">
        <v>3.9123767778049143</v>
      </c>
      <c r="DM46" s="28">
        <v>7876.6261530486654</v>
      </c>
      <c r="DN46" s="28">
        <v>1400.6308864541593</v>
      </c>
      <c r="DO46" s="423">
        <v>9277.2570395028251</v>
      </c>
      <c r="DP46" s="94">
        <v>0</v>
      </c>
      <c r="DQ46" s="28">
        <v>9277.2570395028251</v>
      </c>
      <c r="DR46" s="318"/>
      <c r="DT46" s="8"/>
      <c r="DU46" s="5"/>
      <c r="DX46" s="5">
        <v>21606.396475771337</v>
      </c>
      <c r="DY46" s="5">
        <v>5657.7028473756127</v>
      </c>
      <c r="DZ46" s="159">
        <v>1835.7178228681785</v>
      </c>
      <c r="EB46" s="676">
        <v>-954.86691504239661</v>
      </c>
      <c r="EC46" s="676">
        <v>-216.8204404296439</v>
      </c>
      <c r="ED46" s="676">
        <v>-1748.3818789264742</v>
      </c>
      <c r="EE46" s="676">
        <v>-54.411401964905963</v>
      </c>
      <c r="EF46" s="676">
        <v>-1293.692135204732</v>
      </c>
      <c r="EG46" s="676">
        <v>-3126.3988333015341</v>
      </c>
      <c r="EH46" s="676">
        <v>-2083.1991420441664</v>
      </c>
      <c r="EI46" s="676">
        <v>-316.50486999661007</v>
      </c>
      <c r="EJ46" s="676">
        <v>-4264.4060513774848</v>
      </c>
      <c r="EK46" s="676">
        <v>-1503.7561864926392</v>
      </c>
      <c r="EL46" s="676">
        <v>-855.73543063499528</v>
      </c>
      <c r="EM46" s="676">
        <v>-1192.6683889875267</v>
      </c>
      <c r="EN46" s="676">
        <v>-17610.841674403109</v>
      </c>
      <c r="EQ46" s="5">
        <v>21606.396475771337</v>
      </c>
      <c r="ER46" s="5">
        <v>5657.7028473756127</v>
      </c>
      <c r="ET46" s="318">
        <v>45658.601431468618</v>
      </c>
      <c r="EU46" s="5">
        <v>9711.8818641643793</v>
      </c>
    </row>
    <row r="47" spans="1:151" x14ac:dyDescent="0.3">
      <c r="A47" s="325">
        <v>150000981</v>
      </c>
      <c r="B47" s="41" t="s">
        <v>496</v>
      </c>
      <c r="C47" s="42" t="s">
        <v>343</v>
      </c>
      <c r="D47" s="27">
        <v>9</v>
      </c>
      <c r="E47" s="293">
        <v>2214.37</v>
      </c>
      <c r="F47" s="305">
        <v>2214.37</v>
      </c>
      <c r="G47" s="508">
        <v>213.63</v>
      </c>
      <c r="H47" s="677">
        <v>0</v>
      </c>
      <c r="I47" s="674">
        <v>7201.968210646035</v>
      </c>
      <c r="J47" s="40">
        <v>6844.3615914297288</v>
      </c>
      <c r="K47" s="52">
        <v>-357.60661921630617</v>
      </c>
      <c r="L47" s="674">
        <v>1356.7076965061638</v>
      </c>
      <c r="M47" s="40">
        <v>1296.5431020136832</v>
      </c>
      <c r="N47" s="52">
        <v>-60.164594492480546</v>
      </c>
      <c r="O47" s="674">
        <v>2747.0538606319296</v>
      </c>
      <c r="P47" s="40">
        <v>2747.5</v>
      </c>
      <c r="Q47" s="52">
        <v>0.44613936807036225</v>
      </c>
      <c r="R47" s="674">
        <v>690.73159581757523</v>
      </c>
      <c r="S47" s="40">
        <v>690.36999999999989</v>
      </c>
      <c r="T47" s="52">
        <v>-0.36159581757533488</v>
      </c>
      <c r="U47" s="674">
        <v>357.56258567742054</v>
      </c>
      <c r="V47" s="40">
        <v>242.81380214282237</v>
      </c>
      <c r="W47" s="52">
        <v>-114.74878353459818</v>
      </c>
      <c r="X47" s="674">
        <v>3528.611696810578</v>
      </c>
      <c r="Y47" s="40">
        <v>2786.8615629926931</v>
      </c>
      <c r="Z47" s="52">
        <v>-741.75013381788494</v>
      </c>
      <c r="AA47" s="674">
        <v>265.7244</v>
      </c>
      <c r="AB47" s="40">
        <v>0</v>
      </c>
      <c r="AC47" s="52">
        <v>-265.7244</v>
      </c>
      <c r="AD47" s="674">
        <v>9494.0938389572584</v>
      </c>
      <c r="AE47" s="40">
        <v>9408.2421855117336</v>
      </c>
      <c r="AF47" s="35">
        <v>-85.851653445524789</v>
      </c>
      <c r="AG47" s="77">
        <v>25642.453885046962</v>
      </c>
      <c r="AH47" s="53">
        <v>24016.69224409066</v>
      </c>
      <c r="AI47" s="52">
        <v>-1625.7616409563016</v>
      </c>
      <c r="AJ47" s="674">
        <v>19695.753967159279</v>
      </c>
      <c r="AK47" s="40">
        <v>19566.454017048443</v>
      </c>
      <c r="AL47" s="52">
        <v>-129.2999501108352</v>
      </c>
      <c r="AM47" s="674">
        <v>0</v>
      </c>
      <c r="AN47" s="40">
        <v>0</v>
      </c>
      <c r="AO47" s="52">
        <v>0</v>
      </c>
      <c r="AP47" s="674">
        <v>1573.8922187979158</v>
      </c>
      <c r="AQ47" s="40">
        <v>1357.8391478085161</v>
      </c>
      <c r="AR47" s="52">
        <v>-216.05307098939966</v>
      </c>
      <c r="AS47" s="674">
        <v>32061.304516714492</v>
      </c>
      <c r="AT47" s="40">
        <v>16660.337661123747</v>
      </c>
      <c r="AU47" s="54">
        <v>-15400.966855590745</v>
      </c>
      <c r="AV47" s="674">
        <v>1001.2577698355998</v>
      </c>
      <c r="AW47" s="40">
        <v>0</v>
      </c>
      <c r="AX47" s="55">
        <v>-1001.2577698355998</v>
      </c>
      <c r="AY47" s="674">
        <v>1172.9180861830041</v>
      </c>
      <c r="AZ47" s="40">
        <v>0</v>
      </c>
      <c r="BA47" s="35">
        <v>-1172.9180861830041</v>
      </c>
      <c r="BB47" s="674">
        <v>630.4215681876924</v>
      </c>
      <c r="BC47" s="40">
        <v>0</v>
      </c>
      <c r="BD47" s="55">
        <v>-630.4215681876924</v>
      </c>
      <c r="BE47" s="674">
        <v>907.25790190944929</v>
      </c>
      <c r="BF47" s="40">
        <v>0</v>
      </c>
      <c r="BG47" s="38">
        <v>-907.25790190944929</v>
      </c>
      <c r="BH47" s="674">
        <v>372.8409384525375</v>
      </c>
      <c r="BI47" s="40">
        <v>0</v>
      </c>
      <c r="BJ47" s="55">
        <v>-372.8409384525375</v>
      </c>
      <c r="BK47" s="674">
        <v>637.92469532719815</v>
      </c>
      <c r="BL47" s="40">
        <v>0</v>
      </c>
      <c r="BM47" s="38">
        <v>-637.92469532719815</v>
      </c>
      <c r="BN47" s="674">
        <v>66.431100000000001</v>
      </c>
      <c r="BO47" s="40">
        <v>0</v>
      </c>
      <c r="BP47" s="55">
        <v>-66.431100000000001</v>
      </c>
      <c r="BQ47" s="77">
        <v>4789.0520598954809</v>
      </c>
      <c r="BR47" s="40">
        <v>0</v>
      </c>
      <c r="BS47" s="55">
        <v>-4789.0520598954809</v>
      </c>
      <c r="BT47" s="674">
        <v>30107.516943544229</v>
      </c>
      <c r="BU47" s="40">
        <v>29164.005216856684</v>
      </c>
      <c r="BV47" s="52">
        <v>-943.51172668754589</v>
      </c>
      <c r="BW47" s="674">
        <v>20204.34788386838</v>
      </c>
      <c r="BX47" s="40">
        <v>20353.880601619723</v>
      </c>
      <c r="BY47" s="52">
        <v>149.53271775134272</v>
      </c>
      <c r="BZ47" s="674">
        <v>2916.2024287304203</v>
      </c>
      <c r="CA47" s="40">
        <v>6913.3028337495298</v>
      </c>
      <c r="CB47" s="52">
        <v>3997.1004050191095</v>
      </c>
      <c r="CC47" s="674">
        <v>695.89283030425702</v>
      </c>
      <c r="CD47" s="40">
        <v>728.14667036621086</v>
      </c>
      <c r="CE47" s="52">
        <v>32.253840061953838</v>
      </c>
      <c r="CF47" s="674">
        <v>84.674392447368319</v>
      </c>
      <c r="CG47" s="40">
        <v>0</v>
      </c>
      <c r="CH47" s="52">
        <v>-84.674392447368319</v>
      </c>
      <c r="CI47" s="674">
        <v>4518.5371074261602</v>
      </c>
      <c r="CJ47" s="40">
        <v>6528.5641733544217</v>
      </c>
      <c r="CK47" s="52">
        <v>2010.0270659282614</v>
      </c>
      <c r="CL47" s="674">
        <v>5926.1468653998072</v>
      </c>
      <c r="CM47" s="40">
        <v>4981.5895929203434</v>
      </c>
      <c r="CN47" s="52">
        <v>-944.55727247946379</v>
      </c>
      <c r="CO47" s="39">
        <v>10444.683972825967</v>
      </c>
      <c r="CP47" s="40">
        <v>11510.153766274765</v>
      </c>
      <c r="CQ47" s="52">
        <v>1065.4697934487976</v>
      </c>
      <c r="CR47" s="72">
        <v>148215.77509933471</v>
      </c>
      <c r="CS47" s="5">
        <v>130270.81215893829</v>
      </c>
      <c r="CT47" s="52">
        <v>-17944.962940396421</v>
      </c>
      <c r="CU47" s="77">
        <v>177858.93011920166</v>
      </c>
      <c r="CV47" s="65">
        <v>156324.97459072593</v>
      </c>
      <c r="CW47" s="35">
        <v>-21533.955528475723</v>
      </c>
      <c r="CX47" s="73">
        <v>5376.466938681895</v>
      </c>
      <c r="CY47" s="40">
        <v>26910.422467157652</v>
      </c>
      <c r="CZ47" s="52">
        <v>21533.955528475759</v>
      </c>
      <c r="DA47" s="150">
        <v>-2757.4429696341831</v>
      </c>
      <c r="DB47" s="2">
        <v>3</v>
      </c>
      <c r="DC47" s="675">
        <v>42757.25</v>
      </c>
      <c r="DD47" s="675">
        <v>0</v>
      </c>
      <c r="DE47" s="675">
        <v>26668.752620529289</v>
      </c>
      <c r="DF47" s="675">
        <v>0</v>
      </c>
      <c r="DG47" s="321">
        <v>18776.512558841569</v>
      </c>
      <c r="DH47" s="40">
        <v>183221.5970809737</v>
      </c>
      <c r="DI47" s="422">
        <v>16088.497379470715</v>
      </c>
      <c r="DJ47" s="306">
        <v>6.0421169690571013</v>
      </c>
      <c r="DK47" s="306">
        <v>7.3961234000275127</v>
      </c>
      <c r="DL47" s="306">
        <v>5.0321242600402067</v>
      </c>
      <c r="DM47" s="28">
        <v>16088.497379470713</v>
      </c>
      <c r="DN47" s="28">
        <v>0</v>
      </c>
      <c r="DO47" s="423">
        <v>16088.497379470713</v>
      </c>
      <c r="DP47" s="94">
        <v>0</v>
      </c>
      <c r="DQ47" s="28">
        <v>16088.497379470713</v>
      </c>
      <c r="DR47" s="318"/>
      <c r="DT47" s="8"/>
      <c r="DU47" s="5"/>
      <c r="DX47" s="5">
        <v>44220.427891931962</v>
      </c>
      <c r="DY47" s="5">
        <v>19992.405193348495</v>
      </c>
      <c r="DZ47" s="159">
        <v>3993.9761685019694</v>
      </c>
      <c r="EB47" s="676">
        <v>-2171.6111375382043</v>
      </c>
      <c r="EC47" s="676">
        <v>-5313.7158579590723</v>
      </c>
      <c r="ED47" s="676">
        <v>-1986.7143897277474</v>
      </c>
      <c r="EE47" s="676">
        <v>-2513.1029925843814</v>
      </c>
      <c r="EF47" s="676">
        <v>3840.9017535276944</v>
      </c>
      <c r="EG47" s="676">
        <v>-5411.8580949602638</v>
      </c>
      <c r="EH47" s="676">
        <v>-4943.8390720363477</v>
      </c>
      <c r="EI47" s="676">
        <v>7735.0302146949871</v>
      </c>
      <c r="EJ47" s="676">
        <v>-4006.56813023828</v>
      </c>
      <c r="EK47" s="676">
        <v>-102.90663339992898</v>
      </c>
      <c r="EL47" s="676">
        <v>-3008.9580667370083</v>
      </c>
      <c r="EM47" s="676">
        <v>-3650.613121517199</v>
      </c>
      <c r="EN47" s="676">
        <v>-21533.955528475752</v>
      </c>
      <c r="EQ47" s="5">
        <v>44220.427891931962</v>
      </c>
      <c r="ER47" s="5">
        <v>19992.405193348495</v>
      </c>
      <c r="ET47" s="318">
        <v>12515.923347362246</v>
      </c>
      <c r="EU47" s="5">
        <v>14167.589211479321</v>
      </c>
    </row>
    <row r="48" spans="1:151" x14ac:dyDescent="0.3">
      <c r="A48" s="325">
        <v>150000982</v>
      </c>
      <c r="B48" s="41" t="s">
        <v>497</v>
      </c>
      <c r="C48" s="42" t="s">
        <v>344</v>
      </c>
      <c r="D48" s="27">
        <v>9</v>
      </c>
      <c r="E48" s="293">
        <v>5953.29</v>
      </c>
      <c r="F48" s="305">
        <v>5953.29</v>
      </c>
      <c r="G48" s="508">
        <v>569.36</v>
      </c>
      <c r="H48" s="677">
        <v>0</v>
      </c>
      <c r="I48" s="674">
        <v>15439.475565371989</v>
      </c>
      <c r="J48" s="40">
        <v>14898.812335629455</v>
      </c>
      <c r="K48" s="52">
        <v>-540.6632297425349</v>
      </c>
      <c r="L48" s="674">
        <v>4052.3057260463634</v>
      </c>
      <c r="M48" s="40">
        <v>3872.5863604521364</v>
      </c>
      <c r="N48" s="52">
        <v>-179.71936559422693</v>
      </c>
      <c r="O48" s="674">
        <v>7378.4117101885386</v>
      </c>
      <c r="P48" s="40">
        <v>7379.7750000000024</v>
      </c>
      <c r="Q48" s="52">
        <v>1.363289811463801</v>
      </c>
      <c r="R48" s="674">
        <v>1799.1557783290896</v>
      </c>
      <c r="S48" s="40">
        <v>1799.135</v>
      </c>
      <c r="T48" s="52">
        <v>-2.0778329089580438E-2</v>
      </c>
      <c r="U48" s="674">
        <v>1072.4056650520611</v>
      </c>
      <c r="V48" s="40">
        <v>728.23875918198814</v>
      </c>
      <c r="W48" s="52">
        <v>-344.16690587007292</v>
      </c>
      <c r="X48" s="674">
        <v>11324.300601369343</v>
      </c>
      <c r="Y48" s="40">
        <v>9153.343451478373</v>
      </c>
      <c r="Z48" s="52">
        <v>-2170.95714989097</v>
      </c>
      <c r="AA48" s="674">
        <v>714.31560000000002</v>
      </c>
      <c r="AB48" s="40">
        <v>0</v>
      </c>
      <c r="AC48" s="52">
        <v>-714.31560000000002</v>
      </c>
      <c r="AD48" s="674">
        <v>25524.042093130774</v>
      </c>
      <c r="AE48" s="40">
        <v>25293.470151727757</v>
      </c>
      <c r="AF48" s="35">
        <v>-230.57194140301726</v>
      </c>
      <c r="AG48" s="77">
        <v>67304.412739488151</v>
      </c>
      <c r="AH48" s="53">
        <v>63125.361058469709</v>
      </c>
      <c r="AI48" s="52">
        <v>-4179.0516810184417</v>
      </c>
      <c r="AJ48" s="674">
        <v>77234.069681526118</v>
      </c>
      <c r="AK48" s="40">
        <v>76725.901238651073</v>
      </c>
      <c r="AL48" s="52">
        <v>-508.168442875045</v>
      </c>
      <c r="AM48" s="674">
        <v>0</v>
      </c>
      <c r="AN48" s="40">
        <v>0</v>
      </c>
      <c r="AO48" s="52">
        <v>0</v>
      </c>
      <c r="AP48" s="674">
        <v>4721.6766563937463</v>
      </c>
      <c r="AQ48" s="40">
        <v>3941.859995027226</v>
      </c>
      <c r="AR48" s="52">
        <v>-779.81666136652029</v>
      </c>
      <c r="AS48" s="674">
        <v>93681.216841992486</v>
      </c>
      <c r="AT48" s="40">
        <v>30273.927264915434</v>
      </c>
      <c r="AU48" s="54">
        <v>-63407.289577077056</v>
      </c>
      <c r="AV48" s="674">
        <v>1799.316333689351</v>
      </c>
      <c r="AW48" s="40">
        <v>184</v>
      </c>
      <c r="AX48" s="55">
        <v>-1615.316333689351</v>
      </c>
      <c r="AY48" s="674">
        <v>3503.3416719875163</v>
      </c>
      <c r="AZ48" s="40">
        <v>3814</v>
      </c>
      <c r="BA48" s="35">
        <v>310.65832801248371</v>
      </c>
      <c r="BB48" s="674">
        <v>1764.4079798083619</v>
      </c>
      <c r="BC48" s="40">
        <v>0</v>
      </c>
      <c r="BD48" s="55">
        <v>-1764.4079798083619</v>
      </c>
      <c r="BE48" s="674">
        <v>2300.5302124888362</v>
      </c>
      <c r="BF48" s="40">
        <v>556</v>
      </c>
      <c r="BG48" s="38">
        <v>-1744.5302124888362</v>
      </c>
      <c r="BH48" s="674">
        <v>1118.4592652313891</v>
      </c>
      <c r="BI48" s="40">
        <v>0</v>
      </c>
      <c r="BJ48" s="55">
        <v>-1118.4592652313891</v>
      </c>
      <c r="BK48" s="674">
        <v>1715.3149867826266</v>
      </c>
      <c r="BL48" s="40">
        <v>0</v>
      </c>
      <c r="BM48" s="38">
        <v>-1715.3149867826266</v>
      </c>
      <c r="BN48" s="674">
        <v>178.5789</v>
      </c>
      <c r="BO48" s="40">
        <v>0</v>
      </c>
      <c r="BP48" s="55">
        <v>-178.5789</v>
      </c>
      <c r="BQ48" s="77">
        <v>12379.949349988083</v>
      </c>
      <c r="BR48" s="40">
        <v>4554</v>
      </c>
      <c r="BS48" s="55">
        <v>-7825.9493499880828</v>
      </c>
      <c r="BT48" s="674">
        <v>59298.796466344713</v>
      </c>
      <c r="BU48" s="40">
        <v>56275.139703780253</v>
      </c>
      <c r="BV48" s="52">
        <v>-3023.6567625644602</v>
      </c>
      <c r="BW48" s="674">
        <v>61375.787884873564</v>
      </c>
      <c r="BX48" s="40">
        <v>61509.768023047356</v>
      </c>
      <c r="BY48" s="52">
        <v>133.98013817379251</v>
      </c>
      <c r="BZ48" s="674">
        <v>7382.98172047566</v>
      </c>
      <c r="CA48" s="40">
        <v>13537.463039504768</v>
      </c>
      <c r="CB48" s="52">
        <v>6154.4813190291079</v>
      </c>
      <c r="CC48" s="674">
        <v>2089.3934723238212</v>
      </c>
      <c r="CD48" s="40">
        <v>2184.5568416915521</v>
      </c>
      <c r="CE48" s="52">
        <v>95.163369367730866</v>
      </c>
      <c r="CF48" s="674">
        <v>254.03676328553803</v>
      </c>
      <c r="CG48" s="40">
        <v>0</v>
      </c>
      <c r="CH48" s="52">
        <v>-254.03676328553803</v>
      </c>
      <c r="CI48" s="674">
        <v>22924.843983139999</v>
      </c>
      <c r="CJ48" s="40">
        <v>20898.005830420963</v>
      </c>
      <c r="CK48" s="52">
        <v>-2026.8381527190359</v>
      </c>
      <c r="CL48" s="674">
        <v>12383.333469525423</v>
      </c>
      <c r="CM48" s="40">
        <v>13994.552306278547</v>
      </c>
      <c r="CN48" s="52">
        <v>1611.2188367531235</v>
      </c>
      <c r="CO48" s="39">
        <v>35308.177452665419</v>
      </c>
      <c r="CP48" s="40">
        <v>34892.55813669951</v>
      </c>
      <c r="CQ48" s="52">
        <v>-415.61931596590875</v>
      </c>
      <c r="CR48" s="72">
        <v>421030.49902935728</v>
      </c>
      <c r="CS48" s="5">
        <v>347020.53530178685</v>
      </c>
      <c r="CT48" s="52">
        <v>-74009.96372757043</v>
      </c>
      <c r="CU48" s="77">
        <v>505236.59883522871</v>
      </c>
      <c r="CV48" s="65">
        <v>416424.64236214419</v>
      </c>
      <c r="CW48" s="35">
        <v>-88811.956473084516</v>
      </c>
      <c r="CX48" s="73">
        <v>9218.5155123437398</v>
      </c>
      <c r="CY48" s="40">
        <v>98030.471985428303</v>
      </c>
      <c r="CZ48" s="52">
        <v>88811.95647308456</v>
      </c>
      <c r="DA48" s="150">
        <v>356.49577044008765</v>
      </c>
      <c r="DB48" s="2">
        <v>3</v>
      </c>
      <c r="DC48" s="675">
        <v>99296.86</v>
      </c>
      <c r="DD48" s="675">
        <v>0</v>
      </c>
      <c r="DE48" s="675">
        <v>54166.778428543847</v>
      </c>
      <c r="DF48" s="675">
        <v>0</v>
      </c>
      <c r="DG48" s="321">
        <v>89168.452243524633</v>
      </c>
      <c r="DH48" s="40">
        <v>514416.23911586637</v>
      </c>
      <c r="DI48" s="422">
        <v>45130.081571456161</v>
      </c>
      <c r="DJ48" s="306">
        <v>5.9306016635307897</v>
      </c>
      <c r="DK48" s="306">
        <v>7.7551963358194227</v>
      </c>
      <c r="DL48" s="306">
        <v>4.7935738498184897</v>
      </c>
      <c r="DM48" s="28">
        <v>45130.081571456154</v>
      </c>
      <c r="DN48" s="28">
        <v>0</v>
      </c>
      <c r="DO48" s="423">
        <v>45130.081571456154</v>
      </c>
      <c r="DP48" s="94">
        <v>0</v>
      </c>
      <c r="DQ48" s="28">
        <v>45130.081571456154</v>
      </c>
      <c r="DR48" s="318"/>
      <c r="DT48" s="8"/>
      <c r="DU48" s="5"/>
      <c r="DX48" s="5">
        <v>127273.39943037667</v>
      </c>
      <c r="DY48" s="5">
        <v>41793.512717898513</v>
      </c>
      <c r="DZ48" s="159">
        <v>11308.265917130453</v>
      </c>
      <c r="EB48" s="676">
        <v>-6848.2399839235622</v>
      </c>
      <c r="EC48" s="676">
        <v>-13643.662977364052</v>
      </c>
      <c r="ED48" s="676">
        <v>-2212.8010830248641</v>
      </c>
      <c r="EE48" s="676">
        <v>-7333.2250300282831</v>
      </c>
      <c r="EF48" s="676">
        <v>-3369.7789367637452</v>
      </c>
      <c r="EG48" s="676">
        <v>-14212.059792531505</v>
      </c>
      <c r="EH48" s="676">
        <v>-11885.789196590282</v>
      </c>
      <c r="EI48" s="676">
        <v>3953.6171101421642</v>
      </c>
      <c r="EJ48" s="676">
        <v>-2326.4340390913931</v>
      </c>
      <c r="EK48" s="676">
        <v>-11850.746070457557</v>
      </c>
      <c r="EL48" s="676">
        <v>-9265.7651794475241</v>
      </c>
      <c r="EM48" s="676">
        <v>-9817.0712940039375</v>
      </c>
      <c r="EN48" s="676">
        <v>-88811.956473084545</v>
      </c>
      <c r="EQ48" s="5">
        <v>127273.39943037667</v>
      </c>
      <c r="ER48" s="5">
        <v>41793.512717898513</v>
      </c>
      <c r="ET48" s="318">
        <v>58471.172013316398</v>
      </c>
      <c r="EU48" s="5">
        <v>-28201.719769791747</v>
      </c>
    </row>
    <row r="49" spans="1:151" x14ac:dyDescent="0.3">
      <c r="A49" s="325">
        <v>150000983</v>
      </c>
      <c r="B49" s="41" t="s">
        <v>498</v>
      </c>
      <c r="C49" s="42" t="s">
        <v>345</v>
      </c>
      <c r="D49" s="27">
        <v>9</v>
      </c>
      <c r="E49" s="293">
        <v>3858.65</v>
      </c>
      <c r="F49" s="305">
        <v>3858.65</v>
      </c>
      <c r="G49" s="508">
        <v>441.5</v>
      </c>
      <c r="H49" s="677">
        <v>0</v>
      </c>
      <c r="I49" s="674">
        <v>10158.921762698323</v>
      </c>
      <c r="J49" s="40">
        <v>9837.3845143472136</v>
      </c>
      <c r="K49" s="52">
        <v>-321.53724835110916</v>
      </c>
      <c r="L49" s="674">
        <v>1511.8295781160216</v>
      </c>
      <c r="M49" s="40">
        <v>1444.7414949194717</v>
      </c>
      <c r="N49" s="52">
        <v>-67.08808319654986</v>
      </c>
      <c r="O49" s="674">
        <v>4750.8354788175584</v>
      </c>
      <c r="P49" s="40">
        <v>4750.6899999999996</v>
      </c>
      <c r="Q49" s="52">
        <v>-0.14547881755879644</v>
      </c>
      <c r="R49" s="674">
        <v>1215.5726992549598</v>
      </c>
      <c r="S49" s="40">
        <v>1216.375</v>
      </c>
      <c r="T49" s="52">
        <v>0.80230074504015647</v>
      </c>
      <c r="U49" s="674">
        <v>714.84307937464087</v>
      </c>
      <c r="V49" s="40">
        <v>485.42495703916586</v>
      </c>
      <c r="W49" s="52">
        <v>-229.418122335475</v>
      </c>
      <c r="X49" s="674">
        <v>8286.8568892690091</v>
      </c>
      <c r="Y49" s="40">
        <v>6732.8067099349209</v>
      </c>
      <c r="Z49" s="52">
        <v>-1554.0501793340882</v>
      </c>
      <c r="AA49" s="674">
        <v>463.00800000000004</v>
      </c>
      <c r="AB49" s="40">
        <v>0</v>
      </c>
      <c r="AC49" s="52">
        <v>-463.00800000000004</v>
      </c>
      <c r="AD49" s="674">
        <v>16543.693459878865</v>
      </c>
      <c r="AE49" s="40">
        <v>16393.970622052158</v>
      </c>
      <c r="AF49" s="35">
        <v>-149.72283782670638</v>
      </c>
      <c r="AG49" s="77">
        <v>43645.56094740938</v>
      </c>
      <c r="AH49" s="53">
        <v>40861.393298292925</v>
      </c>
      <c r="AI49" s="52">
        <v>-2784.1676491164544</v>
      </c>
      <c r="AJ49" s="674">
        <v>51489.379787684069</v>
      </c>
      <c r="AK49" s="40">
        <v>51150.556569894725</v>
      </c>
      <c r="AL49" s="52">
        <v>-338.8232177893442</v>
      </c>
      <c r="AM49" s="674">
        <v>0</v>
      </c>
      <c r="AN49" s="40">
        <v>0</v>
      </c>
      <c r="AO49" s="52">
        <v>0</v>
      </c>
      <c r="AP49" s="674">
        <v>3147.7844375958316</v>
      </c>
      <c r="AQ49" s="40">
        <v>2698.4511487138489</v>
      </c>
      <c r="AR49" s="52">
        <v>-449.33328888198275</v>
      </c>
      <c r="AS49" s="674">
        <v>60424.461580630377</v>
      </c>
      <c r="AT49" s="40">
        <v>18602.489999999998</v>
      </c>
      <c r="AU49" s="54">
        <v>-41821.971580630379</v>
      </c>
      <c r="AV49" s="674">
        <v>1177.5951506193021</v>
      </c>
      <c r="AW49" s="40">
        <v>5875</v>
      </c>
      <c r="AX49" s="55">
        <v>4697.4048493806977</v>
      </c>
      <c r="AY49" s="674">
        <v>1321.2951236309177</v>
      </c>
      <c r="AZ49" s="40">
        <v>0</v>
      </c>
      <c r="BA49" s="35">
        <v>-1321.2951236309177</v>
      </c>
      <c r="BB49" s="674">
        <v>1134.8728079449741</v>
      </c>
      <c r="BC49" s="40">
        <v>0</v>
      </c>
      <c r="BD49" s="55">
        <v>-1134.8728079449741</v>
      </c>
      <c r="BE49" s="674">
        <v>1585.338280020437</v>
      </c>
      <c r="BF49" s="40">
        <v>586</v>
      </c>
      <c r="BG49" s="38">
        <v>-999.33828002043697</v>
      </c>
      <c r="BH49" s="674">
        <v>745.618400300438</v>
      </c>
      <c r="BI49" s="40">
        <v>17</v>
      </c>
      <c r="BJ49" s="55">
        <v>-728.618400300438</v>
      </c>
      <c r="BK49" s="674">
        <v>1087.966290710677</v>
      </c>
      <c r="BL49" s="40">
        <v>0</v>
      </c>
      <c r="BM49" s="38">
        <v>-1087.966290710677</v>
      </c>
      <c r="BN49" s="674">
        <v>115.75200000000001</v>
      </c>
      <c r="BO49" s="40">
        <v>0</v>
      </c>
      <c r="BP49" s="55">
        <v>-115.75200000000001</v>
      </c>
      <c r="BQ49" s="77">
        <v>7168.438053226746</v>
      </c>
      <c r="BR49" s="40">
        <v>6478</v>
      </c>
      <c r="BS49" s="55">
        <v>-690.43805322674598</v>
      </c>
      <c r="BT49" s="674">
        <v>36213.109722085363</v>
      </c>
      <c r="BU49" s="40">
        <v>35417.212032793963</v>
      </c>
      <c r="BV49" s="52">
        <v>-795.89768929139973</v>
      </c>
      <c r="BW49" s="674">
        <v>40963.5173186826</v>
      </c>
      <c r="BX49" s="40">
        <v>40695.416239542872</v>
      </c>
      <c r="BY49" s="52">
        <v>-268.10107913972752</v>
      </c>
      <c r="BZ49" s="674">
        <v>4860.8616211867884</v>
      </c>
      <c r="CA49" s="40">
        <v>8343.472547850557</v>
      </c>
      <c r="CB49" s="52">
        <v>3482.6109266637686</v>
      </c>
      <c r="CC49" s="674">
        <v>1125.1791672610389</v>
      </c>
      <c r="CD49" s="40">
        <v>1179.6969119972425</v>
      </c>
      <c r="CE49" s="52">
        <v>54.517744736203667</v>
      </c>
      <c r="CF49" s="674">
        <v>137.18406381665483</v>
      </c>
      <c r="CG49" s="40">
        <v>0</v>
      </c>
      <c r="CH49" s="52">
        <v>-137.18406381665483</v>
      </c>
      <c r="CI49" s="674">
        <v>1678.0150359012946</v>
      </c>
      <c r="CJ49" s="40">
        <v>1312.3847298232827</v>
      </c>
      <c r="CK49" s="52">
        <v>-365.63030607801193</v>
      </c>
      <c r="CL49" s="674">
        <v>5946.5092311487879</v>
      </c>
      <c r="CM49" s="40">
        <v>10180.377456699935</v>
      </c>
      <c r="CN49" s="52">
        <v>4233.8682255511467</v>
      </c>
      <c r="CO49" s="39">
        <v>7624.5242670500829</v>
      </c>
      <c r="CP49" s="40">
        <v>11492.762186523218</v>
      </c>
      <c r="CQ49" s="52">
        <v>3868.2379194731348</v>
      </c>
      <c r="CR49" s="72">
        <v>256800.0009666289</v>
      </c>
      <c r="CS49" s="5">
        <v>216919.45093560935</v>
      </c>
      <c r="CT49" s="52">
        <v>-39880.550031019549</v>
      </c>
      <c r="CU49" s="77">
        <v>308160.00115995464</v>
      </c>
      <c r="CV49" s="65">
        <v>260303.34112273122</v>
      </c>
      <c r="CW49" s="35">
        <v>-47856.660037223424</v>
      </c>
      <c r="CX49" s="73">
        <v>5621.9810004452384</v>
      </c>
      <c r="CY49" s="40">
        <v>53478.641037668749</v>
      </c>
      <c r="CZ49" s="52">
        <v>47856.660037223512</v>
      </c>
      <c r="DA49" s="150">
        <v>4689.0901293969873</v>
      </c>
      <c r="DB49" s="2">
        <v>3</v>
      </c>
      <c r="DC49" s="675">
        <v>55180.09</v>
      </c>
      <c r="DD49" s="675">
        <v>0</v>
      </c>
      <c r="DE49" s="675">
        <v>27651.898032538178</v>
      </c>
      <c r="DF49" s="675">
        <v>0</v>
      </c>
      <c r="DG49" s="321">
        <v>52545.750166620492</v>
      </c>
      <c r="DH49" s="40">
        <v>313758.27732239664</v>
      </c>
      <c r="DI49" s="422">
        <v>27528.191967461822</v>
      </c>
      <c r="DJ49" s="306">
        <v>5.5021858027701382</v>
      </c>
      <c r="DK49" s="306">
        <v>7.3450029807116461</v>
      </c>
      <c r="DL49" s="306">
        <v>4.2929902431640103</v>
      </c>
      <c r="DM49" s="28">
        <v>27528.191967461818</v>
      </c>
      <c r="DN49" s="28">
        <v>0</v>
      </c>
      <c r="DO49" s="423">
        <v>27528.191967461818</v>
      </c>
      <c r="DP49" s="94">
        <v>0</v>
      </c>
      <c r="DQ49" s="28">
        <v>27528.191967461818</v>
      </c>
      <c r="DR49" s="318"/>
      <c r="DT49" s="8"/>
      <c r="DU49" s="5"/>
      <c r="DX49" s="5">
        <v>81111.479560628548</v>
      </c>
      <c r="DY49" s="5">
        <v>30096.587999999996</v>
      </c>
      <c r="DZ49" s="159">
        <v>7111.6197140496124</v>
      </c>
      <c r="EB49" s="676">
        <v>-5214.5346156852647</v>
      </c>
      <c r="EC49" s="676">
        <v>-9231.0574758958137</v>
      </c>
      <c r="ED49" s="676">
        <v>1293.3059016315601</v>
      </c>
      <c r="EE49" s="676">
        <v>-3644.1093155199414</v>
      </c>
      <c r="EF49" s="676">
        <v>-6885.0775410430433</v>
      </c>
      <c r="EG49" s="676">
        <v>-7751.6816549675932</v>
      </c>
      <c r="EH49" s="676">
        <v>-7896.711407992254</v>
      </c>
      <c r="EI49" s="676">
        <v>6065.7922977414455</v>
      </c>
      <c r="EJ49" s="676">
        <v>-6372.4562950514592</v>
      </c>
      <c r="EK49" s="676">
        <v>1617.1521247009587</v>
      </c>
      <c r="EL49" s="676">
        <v>-4270.2877664974731</v>
      </c>
      <c r="EM49" s="676">
        <v>-5566.9942886446224</v>
      </c>
      <c r="EN49" s="676">
        <v>-47856.660037223504</v>
      </c>
      <c r="EQ49" s="5">
        <v>81111.479560628548</v>
      </c>
      <c r="ER49" s="5">
        <v>30096.587999999996</v>
      </c>
      <c r="ET49" s="318">
        <v>-14071.009183435299</v>
      </c>
      <c r="EU49" s="5">
        <v>40784.759350055778</v>
      </c>
    </row>
    <row r="50" spans="1:151" x14ac:dyDescent="0.3">
      <c r="A50" s="325">
        <v>150000984</v>
      </c>
      <c r="B50" s="41" t="s">
        <v>499</v>
      </c>
      <c r="C50" s="42" t="s">
        <v>346</v>
      </c>
      <c r="D50" s="27">
        <v>9</v>
      </c>
      <c r="E50" s="293">
        <v>9788.74</v>
      </c>
      <c r="F50" s="305">
        <v>9788.74</v>
      </c>
      <c r="G50" s="508">
        <v>1089.02</v>
      </c>
      <c r="H50" s="677">
        <v>0</v>
      </c>
      <c r="I50" s="674">
        <v>25234.137077183361</v>
      </c>
      <c r="J50" s="40">
        <v>24167.06977730295</v>
      </c>
      <c r="K50" s="52">
        <v>-1067.0672998804112</v>
      </c>
      <c r="L50" s="674">
        <v>4191.8788258437617</v>
      </c>
      <c r="M50" s="40">
        <v>4005.965104903562</v>
      </c>
      <c r="N50" s="52">
        <v>-185.91372094019971</v>
      </c>
      <c r="O50" s="674">
        <v>11904.916107469406</v>
      </c>
      <c r="P50" s="40">
        <v>11903.095000000005</v>
      </c>
      <c r="Q50" s="52">
        <v>-1.8211074694008857</v>
      </c>
      <c r="R50" s="674">
        <v>2811.8138399843456</v>
      </c>
      <c r="S50" s="40">
        <v>2809.3749999999995</v>
      </c>
      <c r="T50" s="52">
        <v>-2.438839984346032</v>
      </c>
      <c r="U50" s="674">
        <v>1072.4056650520611</v>
      </c>
      <c r="V50" s="40">
        <v>728.23875918198814</v>
      </c>
      <c r="W50" s="52">
        <v>-344.16690587007292</v>
      </c>
      <c r="X50" s="674">
        <v>15193.414405957328</v>
      </c>
      <c r="Y50" s="40">
        <v>12765.965893192868</v>
      </c>
      <c r="Z50" s="52">
        <v>-2427.4485127644602</v>
      </c>
      <c r="AA50" s="674">
        <v>1174.6487999999999</v>
      </c>
      <c r="AB50" s="40">
        <v>0</v>
      </c>
      <c r="AC50" s="52">
        <v>-1174.6487999999999</v>
      </c>
      <c r="AD50" s="674">
        <v>41969.251661305389</v>
      </c>
      <c r="AE50" s="40">
        <v>41589.633444729712</v>
      </c>
      <c r="AF50" s="35">
        <v>-379.61821657567634</v>
      </c>
      <c r="AG50" s="77">
        <v>103552.46638279565</v>
      </c>
      <c r="AH50" s="53">
        <v>97969.342979311084</v>
      </c>
      <c r="AI50" s="52">
        <v>-5583.1234034845693</v>
      </c>
      <c r="AJ50" s="674">
        <v>52789.968886049981</v>
      </c>
      <c r="AK50" s="40">
        <v>52443.25772872274</v>
      </c>
      <c r="AL50" s="52">
        <v>-346.71115732724138</v>
      </c>
      <c r="AM50" s="674">
        <v>315.2248275</v>
      </c>
      <c r="AN50" s="40">
        <v>0</v>
      </c>
      <c r="AO50" s="52">
        <v>-315.2248275</v>
      </c>
      <c r="AP50" s="674">
        <v>7239.9042064704099</v>
      </c>
      <c r="AQ50" s="40">
        <v>7280.6247350992671</v>
      </c>
      <c r="AR50" s="52">
        <v>40.72052862885721</v>
      </c>
      <c r="AS50" s="674">
        <v>143743.69495819887</v>
      </c>
      <c r="AT50" s="40">
        <v>132612.23000000001</v>
      </c>
      <c r="AU50" s="54">
        <v>-11131.464958198863</v>
      </c>
      <c r="AV50" s="674">
        <v>4139.5609525314912</v>
      </c>
      <c r="AW50" s="40">
        <v>91</v>
      </c>
      <c r="AX50" s="55">
        <v>-4048.5609525314912</v>
      </c>
      <c r="AY50" s="674">
        <v>4890.2444759983955</v>
      </c>
      <c r="AZ50" s="40">
        <v>2922</v>
      </c>
      <c r="BA50" s="35">
        <v>-1968.2444759983955</v>
      </c>
      <c r="BB50" s="674">
        <v>5534.6764450520159</v>
      </c>
      <c r="BC50" s="40">
        <v>329</v>
      </c>
      <c r="BD50" s="55">
        <v>-5205.6764450520159</v>
      </c>
      <c r="BE50" s="674">
        <v>4337.1965709915676</v>
      </c>
      <c r="BF50" s="40">
        <v>3101</v>
      </c>
      <c r="BG50" s="38">
        <v>-1236.1965709915676</v>
      </c>
      <c r="BH50" s="674">
        <v>1385.6021579763128</v>
      </c>
      <c r="BI50" s="40">
        <v>3617</v>
      </c>
      <c r="BJ50" s="55">
        <v>2231.3978420236872</v>
      </c>
      <c r="BK50" s="674">
        <v>3353.4817467436133</v>
      </c>
      <c r="BL50" s="40">
        <v>134</v>
      </c>
      <c r="BM50" s="38">
        <v>-3219.4817467436133</v>
      </c>
      <c r="BN50" s="674">
        <v>293.66219999999998</v>
      </c>
      <c r="BO50" s="40">
        <v>0</v>
      </c>
      <c r="BP50" s="55">
        <v>-293.66219999999998</v>
      </c>
      <c r="BQ50" s="77">
        <v>23934.424549293399</v>
      </c>
      <c r="BR50" s="40">
        <v>10194</v>
      </c>
      <c r="BS50" s="55">
        <v>-13740.424549293399</v>
      </c>
      <c r="BT50" s="674">
        <v>98930.271127845277</v>
      </c>
      <c r="BU50" s="40">
        <v>74461.285486552981</v>
      </c>
      <c r="BV50" s="52">
        <v>-24468.985641292296</v>
      </c>
      <c r="BW50" s="674">
        <v>65037.140522467344</v>
      </c>
      <c r="BX50" s="40">
        <v>53645.467347146296</v>
      </c>
      <c r="BY50" s="52">
        <v>-11391.673175321048</v>
      </c>
      <c r="BZ50" s="674">
        <v>9307.9141607839174</v>
      </c>
      <c r="CA50" s="40">
        <v>17164.392401877059</v>
      </c>
      <c r="CB50" s="52">
        <v>7856.4782410931421</v>
      </c>
      <c r="CC50" s="674">
        <v>2202.3799712332739</v>
      </c>
      <c r="CD50" s="40">
        <v>2310.4125979132923</v>
      </c>
      <c r="CE50" s="52">
        <v>108.03262668001844</v>
      </c>
      <c r="CF50" s="674">
        <v>268.67222084894405</v>
      </c>
      <c r="CG50" s="40">
        <v>0</v>
      </c>
      <c r="CH50" s="52">
        <v>-268.67222084894405</v>
      </c>
      <c r="CI50" s="674">
        <v>42570.465060178816</v>
      </c>
      <c r="CJ50" s="40">
        <v>34864.939825720823</v>
      </c>
      <c r="CK50" s="52">
        <v>-7705.5252344579931</v>
      </c>
      <c r="CL50" s="674">
        <v>19196.648630498032</v>
      </c>
      <c r="CM50" s="40">
        <v>24662.1325870484</v>
      </c>
      <c r="CN50" s="52">
        <v>5465.483956550368</v>
      </c>
      <c r="CO50" s="39">
        <v>61767.113690676852</v>
      </c>
      <c r="CP50" s="40">
        <v>59527.072412769223</v>
      </c>
      <c r="CQ50" s="52">
        <v>-2240.0412779076287</v>
      </c>
      <c r="CR50" s="72">
        <v>569089.17550416396</v>
      </c>
      <c r="CS50" s="5">
        <v>507608.08568939194</v>
      </c>
      <c r="CT50" s="52">
        <v>-61481.089814772015</v>
      </c>
      <c r="CU50" s="77">
        <v>682907.0106049967</v>
      </c>
      <c r="CV50" s="65">
        <v>609129.70282727026</v>
      </c>
      <c r="CW50" s="35">
        <v>-73777.307777726441</v>
      </c>
      <c r="CX50" s="73">
        <v>20653.3217712019</v>
      </c>
      <c r="CY50" s="40">
        <v>94430.629548928351</v>
      </c>
      <c r="CZ50" s="52">
        <v>73777.307777726455</v>
      </c>
      <c r="DA50" s="150">
        <v>-53283.784979657226</v>
      </c>
      <c r="DB50" s="2">
        <v>3</v>
      </c>
      <c r="DC50" s="675">
        <v>102855.17</v>
      </c>
      <c r="DD50" s="675">
        <v>0</v>
      </c>
      <c r="DE50" s="675">
        <v>41125.900260834067</v>
      </c>
      <c r="DF50" s="675">
        <v>0</v>
      </c>
      <c r="DG50" s="321">
        <v>20493.522798069229</v>
      </c>
      <c r="DH50" s="40">
        <v>703507.19993039174</v>
      </c>
      <c r="DI50" s="422">
        <v>61729.269739165931</v>
      </c>
      <c r="DJ50" s="306">
        <v>5.5224091950364445</v>
      </c>
      <c r="DK50" s="306">
        <v>6.4042584908005491</v>
      </c>
      <c r="DL50" s="306">
        <v>4.7781747592983397</v>
      </c>
      <c r="DM50" s="28">
        <v>61729.269739165931</v>
      </c>
      <c r="DN50" s="28">
        <v>0</v>
      </c>
      <c r="DO50" s="423">
        <v>61729.269739165931</v>
      </c>
      <c r="DP50" s="94">
        <v>0</v>
      </c>
      <c r="DQ50" s="28">
        <v>61729.269739165931</v>
      </c>
      <c r="DR50" s="318"/>
      <c r="DT50" s="8"/>
      <c r="DU50" s="5"/>
      <c r="DX50" s="5">
        <v>201213.74340899073</v>
      </c>
      <c r="DY50" s="5">
        <v>171367.476</v>
      </c>
      <c r="DZ50" s="159">
        <v>18118.420640720244</v>
      </c>
      <c r="EB50" s="676">
        <v>-7622.0324067126858</v>
      </c>
      <c r="EC50" s="676">
        <v>-5623.9161932497082</v>
      </c>
      <c r="ED50" s="676">
        <v>95319.698162502653</v>
      </c>
      <c r="EE50" s="676">
        <v>-14075.014644721348</v>
      </c>
      <c r="EF50" s="676">
        <v>-14638.360628184775</v>
      </c>
      <c r="EG50" s="676">
        <v>-26296.15329873364</v>
      </c>
      <c r="EH50" s="676">
        <v>-20365.162605947145</v>
      </c>
      <c r="EI50" s="676">
        <v>-21850.019498599664</v>
      </c>
      <c r="EJ50" s="676">
        <v>-13549.983484235672</v>
      </c>
      <c r="EK50" s="676">
        <v>-16067.398065495327</v>
      </c>
      <c r="EL50" s="676">
        <v>-12928.814563140921</v>
      </c>
      <c r="EM50" s="676">
        <v>-16080.150551208229</v>
      </c>
      <c r="EN50" s="676">
        <v>-73777.307777726455</v>
      </c>
      <c r="EQ50" s="5">
        <v>201213.74340899073</v>
      </c>
      <c r="ER50" s="5">
        <v>171367.476</v>
      </c>
      <c r="ET50" s="318">
        <v>4764.8439536168225</v>
      </c>
      <c r="EU50" s="5">
        <v>-116542.32115554763</v>
      </c>
    </row>
    <row r="51" spans="1:151" x14ac:dyDescent="0.3">
      <c r="A51" s="325">
        <v>150000986</v>
      </c>
      <c r="B51" s="41" t="s">
        <v>500</v>
      </c>
      <c r="C51" s="42" t="s">
        <v>347</v>
      </c>
      <c r="D51" s="27">
        <v>9</v>
      </c>
      <c r="E51" s="293">
        <v>6581.9</v>
      </c>
      <c r="F51" s="305">
        <v>6581.9</v>
      </c>
      <c r="G51" s="508">
        <v>729.6</v>
      </c>
      <c r="H51" s="677">
        <v>0</v>
      </c>
      <c r="I51" s="674">
        <v>16847.051368527133</v>
      </c>
      <c r="J51" s="40">
        <v>16237.698586103816</v>
      </c>
      <c r="K51" s="52">
        <v>-609.35278242331697</v>
      </c>
      <c r="L51" s="674">
        <v>2804.8994406259285</v>
      </c>
      <c r="M51" s="40">
        <v>2680.4842306524729</v>
      </c>
      <c r="N51" s="52">
        <v>-124.4152099734556</v>
      </c>
      <c r="O51" s="674">
        <v>8055.6868048637916</v>
      </c>
      <c r="P51" s="40">
        <v>8056.3900000000021</v>
      </c>
      <c r="Q51" s="52">
        <v>0.70319513621052465</v>
      </c>
      <c r="R51" s="674">
        <v>1901.5158921321547</v>
      </c>
      <c r="S51" s="40">
        <v>1901.3149999999996</v>
      </c>
      <c r="T51" s="52">
        <v>-0.20089213215510426</v>
      </c>
      <c r="U51" s="674">
        <v>714.84307937464087</v>
      </c>
      <c r="V51" s="40">
        <v>485.42495703916586</v>
      </c>
      <c r="W51" s="52">
        <v>-229.418122335475</v>
      </c>
      <c r="X51" s="674">
        <v>9324.3161554249818</v>
      </c>
      <c r="Y51" s="40">
        <v>7602.5471182982274</v>
      </c>
      <c r="Z51" s="52">
        <v>-1721.7690371267545</v>
      </c>
      <c r="AA51" s="674">
        <v>790.16399999999999</v>
      </c>
      <c r="AB51" s="40">
        <v>0</v>
      </c>
      <c r="AC51" s="52">
        <v>-790.16399999999999</v>
      </c>
      <c r="AD51" s="674">
        <v>28222.956822131346</v>
      </c>
      <c r="AE51" s="40">
        <v>27968.693329415262</v>
      </c>
      <c r="AF51" s="35">
        <v>-254.26349271608342</v>
      </c>
      <c r="AG51" s="77">
        <v>68661.433563079976</v>
      </c>
      <c r="AH51" s="53">
        <v>64932.553221508948</v>
      </c>
      <c r="AI51" s="52">
        <v>-3728.8803415710281</v>
      </c>
      <c r="AJ51" s="674">
        <v>25857.831903462851</v>
      </c>
      <c r="AK51" s="40">
        <v>25687.871024703807</v>
      </c>
      <c r="AL51" s="52">
        <v>-169.96087875904414</v>
      </c>
      <c r="AM51" s="674">
        <v>630.44965500000001</v>
      </c>
      <c r="AN51" s="40">
        <v>0</v>
      </c>
      <c r="AO51" s="52">
        <v>-630.44965500000001</v>
      </c>
      <c r="AP51" s="674">
        <v>4856.5817037192819</v>
      </c>
      <c r="AQ51" s="40">
        <v>4161.8480168525221</v>
      </c>
      <c r="AR51" s="52">
        <v>-694.73368686675985</v>
      </c>
      <c r="AS51" s="674">
        <v>117914.43443211507</v>
      </c>
      <c r="AT51" s="40">
        <v>42159.014458656464</v>
      </c>
      <c r="AU51" s="54">
        <v>-75755.4199734586</v>
      </c>
      <c r="AV51" s="674">
        <v>2763.0300406383408</v>
      </c>
      <c r="AW51" s="40">
        <v>301</v>
      </c>
      <c r="AX51" s="55">
        <v>-2462.0300406383408</v>
      </c>
      <c r="AY51" s="674">
        <v>3266.5013887594368</v>
      </c>
      <c r="AZ51" s="40">
        <v>0</v>
      </c>
      <c r="BA51" s="35">
        <v>-3266.5013887594368</v>
      </c>
      <c r="BB51" s="674">
        <v>3662.5956447287845</v>
      </c>
      <c r="BC51" s="40">
        <v>0</v>
      </c>
      <c r="BD51" s="55">
        <v>-3662.5956447287845</v>
      </c>
      <c r="BE51" s="674">
        <v>2948.1357904116121</v>
      </c>
      <c r="BF51" s="40">
        <v>0</v>
      </c>
      <c r="BG51" s="38">
        <v>-2948.1357904116121</v>
      </c>
      <c r="BH51" s="674">
        <v>923.71373565197098</v>
      </c>
      <c r="BI51" s="40">
        <v>17</v>
      </c>
      <c r="BJ51" s="55">
        <v>-906.71373565197098</v>
      </c>
      <c r="BK51" s="674">
        <v>2310.088206701244</v>
      </c>
      <c r="BL51" s="40">
        <v>0</v>
      </c>
      <c r="BM51" s="38">
        <v>-2310.088206701244</v>
      </c>
      <c r="BN51" s="674">
        <v>197.541</v>
      </c>
      <c r="BO51" s="40">
        <v>0</v>
      </c>
      <c r="BP51" s="55">
        <v>-197.541</v>
      </c>
      <c r="BQ51" s="77">
        <v>16071.605806891388</v>
      </c>
      <c r="BR51" s="40">
        <v>318</v>
      </c>
      <c r="BS51" s="55">
        <v>-15753.605806891388</v>
      </c>
      <c r="BT51" s="674">
        <v>81096.575988065204</v>
      </c>
      <c r="BU51" s="40">
        <v>77466.929165773428</v>
      </c>
      <c r="BV51" s="52">
        <v>-3629.6468222917756</v>
      </c>
      <c r="BW51" s="674">
        <v>41486.495016667744</v>
      </c>
      <c r="BX51" s="40">
        <v>42911.686268591395</v>
      </c>
      <c r="BY51" s="52">
        <v>1425.1912519236503</v>
      </c>
      <c r="BZ51" s="674">
        <v>7815.8611204430008</v>
      </c>
      <c r="CA51" s="40">
        <v>18242.685078239727</v>
      </c>
      <c r="CB51" s="52">
        <v>10426.823957796725</v>
      </c>
      <c r="CC51" s="674">
        <v>2131.5306157022624</v>
      </c>
      <c r="CD51" s="40">
        <v>2237.3934773390633</v>
      </c>
      <c r="CE51" s="52">
        <v>105.86286163680097</v>
      </c>
      <c r="CF51" s="674">
        <v>260.1810062031991</v>
      </c>
      <c r="CG51" s="40">
        <v>0</v>
      </c>
      <c r="CH51" s="52">
        <v>-260.1810062031991</v>
      </c>
      <c r="CI51" s="674">
        <v>20094.813537408525</v>
      </c>
      <c r="CJ51" s="40">
        <v>11619.627934085642</v>
      </c>
      <c r="CK51" s="52">
        <v>-8475.1856033228833</v>
      </c>
      <c r="CL51" s="674">
        <v>8390.6773297523723</v>
      </c>
      <c r="CM51" s="40">
        <v>11371.311196816301</v>
      </c>
      <c r="CN51" s="52">
        <v>2980.6338670639288</v>
      </c>
      <c r="CO51" s="39">
        <v>28485.490867160897</v>
      </c>
      <c r="CP51" s="40">
        <v>22990.939130901941</v>
      </c>
      <c r="CQ51" s="52">
        <v>-5494.5517362589562</v>
      </c>
      <c r="CR51" s="72">
        <v>395268.47167851089</v>
      </c>
      <c r="CS51" s="5">
        <v>301108.91984256729</v>
      </c>
      <c r="CT51" s="52">
        <v>-94159.551835943596</v>
      </c>
      <c r="CU51" s="77">
        <v>474322.16601421306</v>
      </c>
      <c r="CV51" s="65">
        <v>361330.70381108072</v>
      </c>
      <c r="CW51" s="35">
        <v>-112991.46220313234</v>
      </c>
      <c r="CX51" s="73">
        <v>10589.8359903778</v>
      </c>
      <c r="CY51" s="40">
        <v>123581.29819351019</v>
      </c>
      <c r="CZ51" s="52">
        <v>112991.46220313238</v>
      </c>
      <c r="DA51" s="150">
        <v>99145.448651565181</v>
      </c>
      <c r="DB51" s="2">
        <v>3</v>
      </c>
      <c r="DC51" s="675">
        <v>106407.88</v>
      </c>
      <c r="DD51" s="675">
        <v>0</v>
      </c>
      <c r="DE51" s="675">
        <v>63981.28423359929</v>
      </c>
      <c r="DF51" s="675">
        <v>0</v>
      </c>
      <c r="DG51" s="321">
        <v>212136.91085469755</v>
      </c>
      <c r="DH51" s="40">
        <v>484874.99784241017</v>
      </c>
      <c r="DI51" s="422">
        <v>42426.595766400722</v>
      </c>
      <c r="DJ51" s="306">
        <v>5.8918966216855715</v>
      </c>
      <c r="DK51" s="306">
        <v>6.5150228100437317</v>
      </c>
      <c r="DL51" s="306">
        <v>5.1906796835539026</v>
      </c>
      <c r="DM51" s="28">
        <v>42426.595766400715</v>
      </c>
      <c r="DN51" s="28">
        <v>0</v>
      </c>
      <c r="DO51" s="423">
        <v>42426.595766400715</v>
      </c>
      <c r="DP51" s="94">
        <v>0</v>
      </c>
      <c r="DQ51" s="28">
        <v>42426.595766400715</v>
      </c>
      <c r="DR51" s="318"/>
      <c r="DT51" s="8"/>
      <c r="DU51" s="5"/>
      <c r="DX51" s="5">
        <v>160783.24828680773</v>
      </c>
      <c r="DY51" s="5">
        <v>50972.417350387754</v>
      </c>
      <c r="DZ51" s="159">
        <v>14180.980508350653</v>
      </c>
      <c r="EB51" s="676">
        <v>-3805.4454071523396</v>
      </c>
      <c r="EC51" s="676">
        <v>14276.788944076965</v>
      </c>
      <c r="ED51" s="676">
        <v>-8610.5662129742959</v>
      </c>
      <c r="EE51" s="676">
        <v>-8444.3478517320546</v>
      </c>
      <c r="EF51" s="676">
        <v>-12898.417891470595</v>
      </c>
      <c r="EG51" s="676">
        <v>-18350.661030992178</v>
      </c>
      <c r="EH51" s="676">
        <v>-18423.761468750425</v>
      </c>
      <c r="EI51" s="676">
        <v>-15600.02645873831</v>
      </c>
      <c r="EJ51" s="676">
        <v>-16387.134278240515</v>
      </c>
      <c r="EK51" s="676">
        <v>-9662.7440733432086</v>
      </c>
      <c r="EL51" s="676">
        <v>-7959.1677616219313</v>
      </c>
      <c r="EM51" s="676">
        <v>-7125.9787121934714</v>
      </c>
      <c r="EN51" s="676">
        <v>-112991.46220313237</v>
      </c>
      <c r="EQ51" s="5">
        <v>160783.24828680773</v>
      </c>
      <c r="ER51" s="5">
        <v>50972.417350387754</v>
      </c>
      <c r="ET51" s="318">
        <v>44638.141585556616</v>
      </c>
      <c r="EU51" s="5">
        <v>137813.7692691409</v>
      </c>
    </row>
    <row r="52" spans="1:151" x14ac:dyDescent="0.3">
      <c r="A52" s="325">
        <v>150000996</v>
      </c>
      <c r="B52" s="41" t="s">
        <v>501</v>
      </c>
      <c r="C52" s="42" t="s">
        <v>246</v>
      </c>
      <c r="D52" s="27">
        <v>5</v>
      </c>
      <c r="E52" s="293">
        <v>3446.77</v>
      </c>
      <c r="F52" s="305">
        <v>3261</v>
      </c>
      <c r="G52" s="508">
        <v>0</v>
      </c>
      <c r="H52" s="677">
        <v>185.77</v>
      </c>
      <c r="I52" s="674">
        <v>11173.859515200675</v>
      </c>
      <c r="J52" s="40">
        <v>12251.040506767858</v>
      </c>
      <c r="K52" s="52">
        <v>1077.1809915671838</v>
      </c>
      <c r="L52" s="674">
        <v>2008.1769897793088</v>
      </c>
      <c r="M52" s="40">
        <v>2198.0213773078117</v>
      </c>
      <c r="N52" s="52">
        <v>189.84438752850292</v>
      </c>
      <c r="O52" s="674">
        <v>4285.8345059996345</v>
      </c>
      <c r="P52" s="40">
        <v>4285.829999999999</v>
      </c>
      <c r="Q52" s="52">
        <v>-4.5059996355121257E-3</v>
      </c>
      <c r="R52" s="674">
        <v>0</v>
      </c>
      <c r="S52" s="40">
        <v>0</v>
      </c>
      <c r="T52" s="52">
        <v>0</v>
      </c>
      <c r="U52" s="674">
        <v>0</v>
      </c>
      <c r="V52" s="40">
        <v>0</v>
      </c>
      <c r="W52" s="52">
        <v>0</v>
      </c>
      <c r="X52" s="674">
        <v>6603.7645661982006</v>
      </c>
      <c r="Y52" s="40">
        <v>5170.2006475288417</v>
      </c>
      <c r="Z52" s="52">
        <v>-1433.5639186693588</v>
      </c>
      <c r="AA52" s="674">
        <v>413.60040000000004</v>
      </c>
      <c r="AB52" s="40">
        <v>0</v>
      </c>
      <c r="AC52" s="52">
        <v>-413.60040000000004</v>
      </c>
      <c r="AD52" s="674">
        <v>14766.877737790623</v>
      </c>
      <c r="AE52" s="40">
        <v>14644.510949328596</v>
      </c>
      <c r="AF52" s="35">
        <v>-122.36678846202631</v>
      </c>
      <c r="AG52" s="77">
        <v>39252.113714968436</v>
      </c>
      <c r="AH52" s="53">
        <v>38549.603480933103</v>
      </c>
      <c r="AI52" s="52">
        <v>-702.51023403533327</v>
      </c>
      <c r="AJ52" s="674">
        <v>0</v>
      </c>
      <c r="AK52" s="40">
        <v>0</v>
      </c>
      <c r="AL52" s="52">
        <v>0</v>
      </c>
      <c r="AM52" s="674">
        <v>0</v>
      </c>
      <c r="AN52" s="40">
        <v>0</v>
      </c>
      <c r="AO52" s="52">
        <v>0</v>
      </c>
      <c r="AP52" s="674">
        <v>9578.2583601130245</v>
      </c>
      <c r="AQ52" s="40">
        <v>7947.3362536280692</v>
      </c>
      <c r="AR52" s="52">
        <v>-1630.9221064849553</v>
      </c>
      <c r="AS52" s="674">
        <v>39221.647582614954</v>
      </c>
      <c r="AT52" s="40">
        <v>87798.75</v>
      </c>
      <c r="AU52" s="54">
        <v>48577.102417385046</v>
      </c>
      <c r="AV52" s="674">
        <v>2508.5390153642174</v>
      </c>
      <c r="AW52" s="40">
        <v>0</v>
      </c>
      <c r="AX52" s="55">
        <v>-2508.5390153642174</v>
      </c>
      <c r="AY52" s="674">
        <v>3291.9887737664767</v>
      </c>
      <c r="AZ52" s="40">
        <v>0</v>
      </c>
      <c r="BA52" s="35">
        <v>-3291.9887737664767</v>
      </c>
      <c r="BB52" s="674">
        <v>2222.3486999232837</v>
      </c>
      <c r="BC52" s="40">
        <v>0</v>
      </c>
      <c r="BD52" s="55">
        <v>-2222.3486999232837</v>
      </c>
      <c r="BE52" s="674">
        <v>0</v>
      </c>
      <c r="BF52" s="40">
        <v>0</v>
      </c>
      <c r="BG52" s="38">
        <v>0</v>
      </c>
      <c r="BH52" s="674">
        <v>0</v>
      </c>
      <c r="BI52" s="40">
        <v>0</v>
      </c>
      <c r="BJ52" s="55">
        <v>0</v>
      </c>
      <c r="BK52" s="674">
        <v>1529.2095312644929</v>
      </c>
      <c r="BL52" s="40">
        <v>0</v>
      </c>
      <c r="BM52" s="38">
        <v>-1529.2095312644929</v>
      </c>
      <c r="BN52" s="674">
        <v>103.40010000000001</v>
      </c>
      <c r="BO52" s="40">
        <v>0</v>
      </c>
      <c r="BP52" s="55">
        <v>-103.40010000000001</v>
      </c>
      <c r="BQ52" s="77">
        <v>9655.4861203184719</v>
      </c>
      <c r="BR52" s="40">
        <v>0</v>
      </c>
      <c r="BS52" s="55">
        <v>-9655.4861203184719</v>
      </c>
      <c r="BT52" s="674">
        <v>35965.341623003864</v>
      </c>
      <c r="BU52" s="40">
        <v>44521.996542193912</v>
      </c>
      <c r="BV52" s="52">
        <v>8556.6549191900485</v>
      </c>
      <c r="BW52" s="674">
        <v>27928.995346033356</v>
      </c>
      <c r="BX52" s="40">
        <v>25224.45672839522</v>
      </c>
      <c r="BY52" s="52">
        <v>-2704.5386176381362</v>
      </c>
      <c r="BZ52" s="674">
        <v>18795.103784849092</v>
      </c>
      <c r="CA52" s="40">
        <v>9948.775116374436</v>
      </c>
      <c r="CB52" s="52">
        <v>-8846.3286684746563</v>
      </c>
      <c r="CC52" s="674">
        <v>0</v>
      </c>
      <c r="CD52" s="40">
        <v>0</v>
      </c>
      <c r="CE52" s="52">
        <v>0</v>
      </c>
      <c r="CF52" s="674">
        <v>0</v>
      </c>
      <c r="CG52" s="40">
        <v>0</v>
      </c>
      <c r="CH52" s="52">
        <v>0</v>
      </c>
      <c r="CI52" s="674">
        <v>5640.9243015708644</v>
      </c>
      <c r="CJ52" s="40">
        <v>4001.8004472849047</v>
      </c>
      <c r="CK52" s="52">
        <v>-1639.1238542859596</v>
      </c>
      <c r="CL52" s="674">
        <v>0</v>
      </c>
      <c r="CM52" s="40">
        <v>0</v>
      </c>
      <c r="CN52" s="52">
        <v>0</v>
      </c>
      <c r="CO52" s="39">
        <v>5640.9243015708644</v>
      </c>
      <c r="CP52" s="40">
        <v>4001.8004472849047</v>
      </c>
      <c r="CQ52" s="52">
        <v>-1639.1238542859596</v>
      </c>
      <c r="CR52" s="72">
        <v>186037.87083347206</v>
      </c>
      <c r="CS52" s="5">
        <v>217992.71856880962</v>
      </c>
      <c r="CT52" s="52">
        <v>31954.847735337564</v>
      </c>
      <c r="CU52" s="77">
        <v>223245.44500016645</v>
      </c>
      <c r="CV52" s="65">
        <v>261591.26228257152</v>
      </c>
      <c r="CW52" s="35">
        <v>38345.817282405071</v>
      </c>
      <c r="CX52" s="73">
        <v>2277.3681137033236</v>
      </c>
      <c r="CY52" s="40">
        <v>-36068.449168701773</v>
      </c>
      <c r="CZ52" s="52">
        <v>-38345.8172824051</v>
      </c>
      <c r="DA52" s="150">
        <v>13306.061993240975</v>
      </c>
      <c r="DB52" s="2">
        <v>2</v>
      </c>
      <c r="DC52" s="675">
        <v>47469.82</v>
      </c>
      <c r="DD52" s="675">
        <v>-1085.18</v>
      </c>
      <c r="DE52" s="675">
        <v>28585.259989483948</v>
      </c>
      <c r="DF52" s="675">
        <v>-1986.3887224165262</v>
      </c>
      <c r="DG52" s="321">
        <v>-25039.75528916411</v>
      </c>
      <c r="DH52" s="40">
        <v>225505.77774352781</v>
      </c>
      <c r="DI52" s="422">
        <v>19785.768732932582</v>
      </c>
      <c r="DJ52" s="306">
        <v>5.7910334285544476</v>
      </c>
      <c r="DK52" s="306">
        <v>5.7910334285544476</v>
      </c>
      <c r="DL52" s="306">
        <v>4.8512069893767888</v>
      </c>
      <c r="DM52" s="28">
        <v>18884.560010516052</v>
      </c>
      <c r="DN52" s="28">
        <v>901.20872241652614</v>
      </c>
      <c r="DO52" s="423">
        <v>19785.768732932578</v>
      </c>
      <c r="DP52" s="94">
        <v>0</v>
      </c>
      <c r="DQ52" s="28">
        <v>19785.768732932578</v>
      </c>
      <c r="DR52" s="318"/>
      <c r="DT52" s="8"/>
      <c r="DU52" s="5"/>
      <c r="DX52" s="5">
        <v>58652.560443520109</v>
      </c>
      <c r="DY52" s="5">
        <v>105358.5</v>
      </c>
      <c r="DZ52" s="159">
        <v>5130.7769850605891</v>
      </c>
      <c r="EB52" s="676">
        <v>-2361.827368272523</v>
      </c>
      <c r="EC52" s="676">
        <v>-3845.364707929908</v>
      </c>
      <c r="ED52" s="676">
        <v>-3800.6055166951446</v>
      </c>
      <c r="EE52" s="676">
        <v>-6622.6209214134979</v>
      </c>
      <c r="EF52" s="676">
        <v>-7664.5184488059786</v>
      </c>
      <c r="EG52" s="676">
        <v>2168.9128784204586</v>
      </c>
      <c r="EH52" s="676">
        <v>-7152.6196947204589</v>
      </c>
      <c r="EI52" s="676">
        <v>4807.921816553142</v>
      </c>
      <c r="EJ52" s="676">
        <v>-6133.059733803846</v>
      </c>
      <c r="EK52" s="676">
        <v>-1437.9566616318371</v>
      </c>
      <c r="EL52" s="676">
        <v>34498.465858546013</v>
      </c>
      <c r="EM52" s="676">
        <v>35889.08978215867</v>
      </c>
      <c r="EN52" s="676">
        <v>38345.817282405085</v>
      </c>
      <c r="EQ52" s="5">
        <v>58652.560443520109</v>
      </c>
      <c r="ER52" s="5">
        <v>105358.5</v>
      </c>
      <c r="ET52" s="318">
        <v>-271.28226684573383</v>
      </c>
      <c r="EU52" s="5">
        <v>-10956.473022318374</v>
      </c>
    </row>
    <row r="53" spans="1:151" x14ac:dyDescent="0.3">
      <c r="A53" s="325">
        <v>150000987</v>
      </c>
      <c r="B53" s="41" t="s">
        <v>502</v>
      </c>
      <c r="C53" s="42" t="s">
        <v>51</v>
      </c>
      <c r="D53" s="27">
        <v>1</v>
      </c>
      <c r="E53" s="293">
        <v>244.2</v>
      </c>
      <c r="F53" s="305">
        <v>244.2</v>
      </c>
      <c r="G53" s="508">
        <v>0</v>
      </c>
      <c r="H53" s="677">
        <v>0</v>
      </c>
      <c r="I53" s="674">
        <v>0</v>
      </c>
      <c r="J53" s="40">
        <v>0</v>
      </c>
      <c r="K53" s="52">
        <v>0</v>
      </c>
      <c r="L53" s="674">
        <v>0</v>
      </c>
      <c r="M53" s="40">
        <v>0</v>
      </c>
      <c r="N53" s="52">
        <v>0</v>
      </c>
      <c r="O53" s="674">
        <v>0</v>
      </c>
      <c r="P53" s="40">
        <v>0</v>
      </c>
      <c r="Q53" s="52">
        <v>0</v>
      </c>
      <c r="R53" s="674">
        <v>0</v>
      </c>
      <c r="S53" s="40">
        <v>0</v>
      </c>
      <c r="T53" s="52">
        <v>0</v>
      </c>
      <c r="U53" s="674">
        <v>0</v>
      </c>
      <c r="V53" s="40">
        <v>0</v>
      </c>
      <c r="W53" s="52">
        <v>0</v>
      </c>
      <c r="X53" s="674">
        <v>0</v>
      </c>
      <c r="Y53" s="40">
        <v>0</v>
      </c>
      <c r="Z53" s="52">
        <v>0</v>
      </c>
      <c r="AA53" s="674">
        <v>29.22</v>
      </c>
      <c r="AB53" s="40">
        <v>0</v>
      </c>
      <c r="AC53" s="52">
        <v>-29.22</v>
      </c>
      <c r="AD53" s="674">
        <v>0</v>
      </c>
      <c r="AE53" s="40">
        <v>0</v>
      </c>
      <c r="AF53" s="35">
        <v>0</v>
      </c>
      <c r="AG53" s="77">
        <v>29.22</v>
      </c>
      <c r="AH53" s="53">
        <v>0</v>
      </c>
      <c r="AI53" s="52">
        <v>-29.22</v>
      </c>
      <c r="AJ53" s="674">
        <v>0</v>
      </c>
      <c r="AK53" s="40">
        <v>0</v>
      </c>
      <c r="AL53" s="52">
        <v>0</v>
      </c>
      <c r="AM53" s="674">
        <v>0</v>
      </c>
      <c r="AN53" s="40">
        <v>0</v>
      </c>
      <c r="AO53" s="52">
        <v>0</v>
      </c>
      <c r="AP53" s="674">
        <v>539.62018930214231</v>
      </c>
      <c r="AQ53" s="40">
        <v>448.76449922990878</v>
      </c>
      <c r="AR53" s="52">
        <v>-90.855690072233529</v>
      </c>
      <c r="AS53" s="674">
        <v>73.356003651661439</v>
      </c>
      <c r="AT53" s="40">
        <v>0</v>
      </c>
      <c r="AU53" s="54">
        <v>-73.356003651661439</v>
      </c>
      <c r="AV53" s="674">
        <v>0</v>
      </c>
      <c r="AW53" s="40">
        <v>0</v>
      </c>
      <c r="AX53" s="55">
        <v>0</v>
      </c>
      <c r="AY53" s="674">
        <v>0</v>
      </c>
      <c r="AZ53" s="40">
        <v>0</v>
      </c>
      <c r="BA53" s="35">
        <v>0</v>
      </c>
      <c r="BB53" s="674">
        <v>0</v>
      </c>
      <c r="BC53" s="40">
        <v>0</v>
      </c>
      <c r="BD53" s="55">
        <v>0</v>
      </c>
      <c r="BE53" s="674">
        <v>0</v>
      </c>
      <c r="BF53" s="40">
        <v>0</v>
      </c>
      <c r="BG53" s="38">
        <v>0</v>
      </c>
      <c r="BH53" s="674">
        <v>0</v>
      </c>
      <c r="BI53" s="40">
        <v>0</v>
      </c>
      <c r="BJ53" s="55">
        <v>0</v>
      </c>
      <c r="BK53" s="674">
        <v>0</v>
      </c>
      <c r="BL53" s="40">
        <v>0</v>
      </c>
      <c r="BM53" s="38">
        <v>0</v>
      </c>
      <c r="BN53" s="674">
        <v>7.3049999999999997</v>
      </c>
      <c r="BO53" s="40">
        <v>0</v>
      </c>
      <c r="BP53" s="55">
        <v>-7.3049999999999997</v>
      </c>
      <c r="BQ53" s="77">
        <v>7.3049999999999997</v>
      </c>
      <c r="BR53" s="40">
        <v>0</v>
      </c>
      <c r="BS53" s="55">
        <v>-7.3049999999999997</v>
      </c>
      <c r="BT53" s="674">
        <v>125.61680645953689</v>
      </c>
      <c r="BU53" s="40">
        <v>164.18066509728365</v>
      </c>
      <c r="BV53" s="52">
        <v>38.563858637746762</v>
      </c>
      <c r="BW53" s="674">
        <v>0</v>
      </c>
      <c r="BX53" s="40">
        <v>5.5547391855004049</v>
      </c>
      <c r="BY53" s="52">
        <v>5.5547391855004049</v>
      </c>
      <c r="BZ53" s="674">
        <v>0</v>
      </c>
      <c r="CA53" s="40">
        <v>54.556522463083091</v>
      </c>
      <c r="CB53" s="52">
        <v>54.556522463083091</v>
      </c>
      <c r="CC53" s="674">
        <v>0</v>
      </c>
      <c r="CD53" s="40">
        <v>0</v>
      </c>
      <c r="CE53" s="52">
        <v>0</v>
      </c>
      <c r="CF53" s="674">
        <v>0</v>
      </c>
      <c r="CG53" s="40">
        <v>0</v>
      </c>
      <c r="CH53" s="52">
        <v>0</v>
      </c>
      <c r="CI53" s="674">
        <v>0</v>
      </c>
      <c r="CJ53" s="40">
        <v>0</v>
      </c>
      <c r="CK53" s="52">
        <v>0</v>
      </c>
      <c r="CL53" s="674">
        <v>0</v>
      </c>
      <c r="CM53" s="40">
        <v>0</v>
      </c>
      <c r="CN53" s="52">
        <v>0</v>
      </c>
      <c r="CO53" s="39">
        <v>0</v>
      </c>
      <c r="CP53" s="40">
        <v>0</v>
      </c>
      <c r="CQ53" s="52">
        <v>0</v>
      </c>
      <c r="CR53" s="72">
        <v>775.11799941334061</v>
      </c>
      <c r="CS53" s="5">
        <v>673.05642597577582</v>
      </c>
      <c r="CT53" s="52">
        <v>-102.06157343756479</v>
      </c>
      <c r="CU53" s="77">
        <v>930.14159929600874</v>
      </c>
      <c r="CV53" s="65">
        <v>807.66771117093094</v>
      </c>
      <c r="CW53" s="35">
        <v>-122.47388812507779</v>
      </c>
      <c r="CX53" s="73">
        <v>28.263121724686567</v>
      </c>
      <c r="CY53" s="40">
        <v>150.73700984976426</v>
      </c>
      <c r="CZ53" s="52">
        <v>122.47388812507769</v>
      </c>
      <c r="DA53" s="150">
        <v>168.59974543254481</v>
      </c>
      <c r="DB53" s="2">
        <v>3</v>
      </c>
      <c r="DC53" s="675">
        <v>108.21</v>
      </c>
      <c r="DD53" s="675">
        <v>0</v>
      </c>
      <c r="DE53" s="675">
        <v>24.727064745903832</v>
      </c>
      <c r="DF53" s="675">
        <v>0</v>
      </c>
      <c r="DG53" s="321">
        <v>291.07363355762254</v>
      </c>
      <c r="DH53" s="40">
        <v>958.33038491128457</v>
      </c>
      <c r="DI53" s="422">
        <v>83.482935254096162</v>
      </c>
      <c r="DJ53" s="306">
        <v>0.34186296172848551</v>
      </c>
      <c r="DK53" s="306">
        <v>0.34186296172848551</v>
      </c>
      <c r="DL53" s="306">
        <v>0.34186296172848551</v>
      </c>
      <c r="DM53" s="28">
        <v>83.482935254096162</v>
      </c>
      <c r="DN53" s="28">
        <v>0</v>
      </c>
      <c r="DO53" s="423">
        <v>83.482935254096162</v>
      </c>
      <c r="DP53" s="94">
        <v>0</v>
      </c>
      <c r="DQ53" s="28">
        <v>83.482935254096162</v>
      </c>
      <c r="DR53" s="318"/>
      <c r="DT53" s="8"/>
      <c r="DU53" s="5"/>
      <c r="DX53" s="5">
        <v>96.793204381993732</v>
      </c>
      <c r="DY53" s="5">
        <v>0</v>
      </c>
      <c r="DZ53" s="159">
        <v>7.8767999999999994</v>
      </c>
      <c r="EB53" s="676">
        <v>203.91738741872814</v>
      </c>
      <c r="EC53" s="676">
        <v>-65.153251131332155</v>
      </c>
      <c r="ED53" s="676">
        <v>-65.163820178173026</v>
      </c>
      <c r="EE53" s="676">
        <v>-80.907815991941192</v>
      </c>
      <c r="EF53" s="676">
        <v>-49.325985382777446</v>
      </c>
      <c r="EG53" s="676">
        <v>-49.85675927495334</v>
      </c>
      <c r="EH53" s="676">
        <v>219.60065073951949</v>
      </c>
      <c r="EI53" s="676">
        <v>-49.170278505566316</v>
      </c>
      <c r="EJ53" s="676">
        <v>-48.038609581018065</v>
      </c>
      <c r="EK53" s="676">
        <v>-46.198744318408465</v>
      </c>
      <c r="EL53" s="676">
        <v>-47.398307716007196</v>
      </c>
      <c r="EM53" s="676">
        <v>-44.778354203148162</v>
      </c>
      <c r="EN53" s="676">
        <v>-122.47388812507774</v>
      </c>
      <c r="EQ53" s="5">
        <v>96.793204381993732</v>
      </c>
      <c r="ER53" s="5">
        <v>0</v>
      </c>
      <c r="ET53" s="318">
        <v>-347.67563023874089</v>
      </c>
      <c r="EU53" s="5">
        <v>-276.05240120333411</v>
      </c>
    </row>
    <row r="54" spans="1:151" x14ac:dyDescent="0.3">
      <c r="A54" s="325">
        <v>150000988</v>
      </c>
      <c r="B54" s="41" t="s">
        <v>503</v>
      </c>
      <c r="C54" s="42" t="s">
        <v>52</v>
      </c>
      <c r="D54" s="27">
        <v>1</v>
      </c>
      <c r="E54" s="293">
        <v>323.7</v>
      </c>
      <c r="F54" s="305">
        <v>323.7</v>
      </c>
      <c r="G54" s="508">
        <v>0</v>
      </c>
      <c r="H54" s="677">
        <v>0</v>
      </c>
      <c r="I54" s="674">
        <v>0</v>
      </c>
      <c r="J54" s="40">
        <v>0</v>
      </c>
      <c r="K54" s="52">
        <v>0</v>
      </c>
      <c r="L54" s="674">
        <v>0</v>
      </c>
      <c r="M54" s="40">
        <v>0</v>
      </c>
      <c r="N54" s="52">
        <v>0</v>
      </c>
      <c r="O54" s="674">
        <v>0</v>
      </c>
      <c r="P54" s="40">
        <v>0</v>
      </c>
      <c r="Q54" s="52">
        <v>0</v>
      </c>
      <c r="R54" s="674">
        <v>0</v>
      </c>
      <c r="S54" s="40">
        <v>0</v>
      </c>
      <c r="T54" s="52">
        <v>0</v>
      </c>
      <c r="U54" s="674">
        <v>0</v>
      </c>
      <c r="V54" s="40">
        <v>0</v>
      </c>
      <c r="W54" s="52">
        <v>0</v>
      </c>
      <c r="X54" s="674">
        <v>0</v>
      </c>
      <c r="Y54" s="40">
        <v>0</v>
      </c>
      <c r="Z54" s="52">
        <v>0</v>
      </c>
      <c r="AA54" s="674">
        <v>37.536000000000001</v>
      </c>
      <c r="AB54" s="40">
        <v>0</v>
      </c>
      <c r="AC54" s="52">
        <v>-37.536000000000001</v>
      </c>
      <c r="AD54" s="674">
        <v>281.84652116909155</v>
      </c>
      <c r="AE54" s="40">
        <v>1375.3112602908043</v>
      </c>
      <c r="AF54" s="35">
        <v>1093.4647391217127</v>
      </c>
      <c r="AG54" s="77">
        <v>319.38252116909155</v>
      </c>
      <c r="AH54" s="53">
        <v>1375.3112602908043</v>
      </c>
      <c r="AI54" s="52">
        <v>1055.9287391217126</v>
      </c>
      <c r="AJ54" s="674">
        <v>0</v>
      </c>
      <c r="AK54" s="40">
        <v>0</v>
      </c>
      <c r="AL54" s="52">
        <v>0</v>
      </c>
      <c r="AM54" s="674">
        <v>0</v>
      </c>
      <c r="AN54" s="40">
        <v>0</v>
      </c>
      <c r="AO54" s="52">
        <v>0</v>
      </c>
      <c r="AP54" s="674">
        <v>449.6834910851187</v>
      </c>
      <c r="AQ54" s="40">
        <v>373.97041602492402</v>
      </c>
      <c r="AR54" s="52">
        <v>-75.713075060194683</v>
      </c>
      <c r="AS54" s="674">
        <v>3133.2346023142591</v>
      </c>
      <c r="AT54" s="40">
        <v>0</v>
      </c>
      <c r="AU54" s="54">
        <v>-3133.2346023142591</v>
      </c>
      <c r="AV54" s="674">
        <v>0</v>
      </c>
      <c r="AW54" s="40">
        <v>0</v>
      </c>
      <c r="AX54" s="55">
        <v>0</v>
      </c>
      <c r="AY54" s="674">
        <v>0</v>
      </c>
      <c r="AZ54" s="40">
        <v>0</v>
      </c>
      <c r="BA54" s="35">
        <v>0</v>
      </c>
      <c r="BB54" s="674">
        <v>0</v>
      </c>
      <c r="BC54" s="40">
        <v>0</v>
      </c>
      <c r="BD54" s="55">
        <v>0</v>
      </c>
      <c r="BE54" s="674">
        <v>0</v>
      </c>
      <c r="BF54" s="40">
        <v>0</v>
      </c>
      <c r="BG54" s="38">
        <v>0</v>
      </c>
      <c r="BH54" s="674">
        <v>0</v>
      </c>
      <c r="BI54" s="40">
        <v>0</v>
      </c>
      <c r="BJ54" s="55">
        <v>0</v>
      </c>
      <c r="BK54" s="674">
        <v>0</v>
      </c>
      <c r="BL54" s="40">
        <v>0</v>
      </c>
      <c r="BM54" s="38">
        <v>0</v>
      </c>
      <c r="BN54" s="674">
        <v>9.3840000000000003</v>
      </c>
      <c r="BO54" s="40">
        <v>0</v>
      </c>
      <c r="BP54" s="55">
        <v>-9.3840000000000003</v>
      </c>
      <c r="BQ54" s="77">
        <v>9.3840000000000003</v>
      </c>
      <c r="BR54" s="40">
        <v>0</v>
      </c>
      <c r="BS54" s="55">
        <v>-9.3840000000000003</v>
      </c>
      <c r="BT54" s="674">
        <v>71.781032262592504</v>
      </c>
      <c r="BU54" s="40">
        <v>93.869332493052823</v>
      </c>
      <c r="BV54" s="52">
        <v>22.08830023046032</v>
      </c>
      <c r="BW54" s="674">
        <v>0</v>
      </c>
      <c r="BX54" s="40">
        <v>7.363100222549062</v>
      </c>
      <c r="BY54" s="52">
        <v>7.363100222549062</v>
      </c>
      <c r="BZ54" s="674">
        <v>0</v>
      </c>
      <c r="CA54" s="40">
        <v>31.159034695084443</v>
      </c>
      <c r="CB54" s="52">
        <v>31.159034695084443</v>
      </c>
      <c r="CC54" s="674">
        <v>0</v>
      </c>
      <c r="CD54" s="40">
        <v>0</v>
      </c>
      <c r="CE54" s="52">
        <v>0</v>
      </c>
      <c r="CF54" s="674">
        <v>0</v>
      </c>
      <c r="CG54" s="40">
        <v>0</v>
      </c>
      <c r="CH54" s="52">
        <v>0</v>
      </c>
      <c r="CI54" s="674">
        <v>0</v>
      </c>
      <c r="CJ54" s="40">
        <v>0</v>
      </c>
      <c r="CK54" s="52">
        <v>0</v>
      </c>
      <c r="CL54" s="674">
        <v>0</v>
      </c>
      <c r="CM54" s="40">
        <v>0</v>
      </c>
      <c r="CN54" s="52">
        <v>0</v>
      </c>
      <c r="CO54" s="39">
        <v>0</v>
      </c>
      <c r="CP54" s="40">
        <v>0</v>
      </c>
      <c r="CQ54" s="52">
        <v>0</v>
      </c>
      <c r="CR54" s="72">
        <v>3983.4656468310618</v>
      </c>
      <c r="CS54" s="5">
        <v>1881.6731437264148</v>
      </c>
      <c r="CT54" s="52">
        <v>-2101.792503104647</v>
      </c>
      <c r="CU54" s="77">
        <v>4780.1587761972742</v>
      </c>
      <c r="CV54" s="65">
        <v>2258.0077724716975</v>
      </c>
      <c r="CW54" s="35">
        <v>-2522.1510037255766</v>
      </c>
      <c r="CX54" s="73">
        <v>143.94438675572695</v>
      </c>
      <c r="CY54" s="40">
        <v>2666.0953904813036</v>
      </c>
      <c r="CZ54" s="52">
        <v>2522.1510037255766</v>
      </c>
      <c r="DA54" s="150">
        <v>-6230.1557126058688</v>
      </c>
      <c r="DB54" s="2">
        <v>3</v>
      </c>
      <c r="DC54" s="675">
        <v>518.05999999999995</v>
      </c>
      <c r="DD54" s="675">
        <v>0</v>
      </c>
      <c r="DE54" s="675">
        <v>83.179916375987716</v>
      </c>
      <c r="DF54" s="675">
        <v>0</v>
      </c>
      <c r="DG54" s="321">
        <v>-3708.0047088802912</v>
      </c>
      <c r="DH54" s="40">
        <v>4923.7404968400006</v>
      </c>
      <c r="DI54" s="422">
        <v>434.88008362401223</v>
      </c>
      <c r="DJ54" s="306">
        <v>1.3434664307198401</v>
      </c>
      <c r="DK54" s="306">
        <v>1.3434664307198401</v>
      </c>
      <c r="DL54" s="306">
        <v>1.3434664307198401</v>
      </c>
      <c r="DM54" s="28">
        <v>434.88008362401223</v>
      </c>
      <c r="DN54" s="28">
        <v>0</v>
      </c>
      <c r="DO54" s="423">
        <v>434.88008362401223</v>
      </c>
      <c r="DP54" s="94">
        <v>0</v>
      </c>
      <c r="DQ54" s="28">
        <v>434.88008362401223</v>
      </c>
      <c r="DR54" s="318"/>
      <c r="DT54" s="8"/>
      <c r="DU54" s="5"/>
      <c r="DX54" s="5">
        <v>3771.1423227771106</v>
      </c>
      <c r="DY54" s="5">
        <v>0</v>
      </c>
      <c r="DZ54" s="159">
        <v>367.35156586974801</v>
      </c>
      <c r="EB54" s="676">
        <v>111.05973847341505</v>
      </c>
      <c r="EC54" s="676">
        <v>-146.49615747882055</v>
      </c>
      <c r="ED54" s="676">
        <v>-140.6350628244958</v>
      </c>
      <c r="EE54" s="676">
        <v>-326.91895339090587</v>
      </c>
      <c r="EF54" s="676">
        <v>-292.07509922935901</v>
      </c>
      <c r="EG54" s="676">
        <v>-298.88356464853302</v>
      </c>
      <c r="EH54" s="676">
        <v>-78.900667789565148</v>
      </c>
      <c r="EI54" s="676">
        <v>-244.85348571779198</v>
      </c>
      <c r="EJ54" s="676">
        <v>-296.91478269322141</v>
      </c>
      <c r="EK54" s="676">
        <v>-232.5477631771885</v>
      </c>
      <c r="EL54" s="676">
        <v>-275.1244845882444</v>
      </c>
      <c r="EM54" s="676">
        <v>-299.86072066086632</v>
      </c>
      <c r="EN54" s="676">
        <v>-2522.1510037255771</v>
      </c>
      <c r="EQ54" s="5">
        <v>3771.1423227771106</v>
      </c>
      <c r="ER54" s="5">
        <v>0</v>
      </c>
      <c r="ET54" s="318">
        <v>-1084.7371685742719</v>
      </c>
      <c r="EU54" s="5">
        <v>-1261.5383727455369</v>
      </c>
    </row>
    <row r="55" spans="1:151" x14ac:dyDescent="0.3">
      <c r="A55" s="325">
        <v>150000548</v>
      </c>
      <c r="B55" s="41" t="s">
        <v>504</v>
      </c>
      <c r="C55" s="42" t="s">
        <v>247</v>
      </c>
      <c r="D55" s="27">
        <v>5</v>
      </c>
      <c r="E55" s="293">
        <v>2189.9</v>
      </c>
      <c r="F55" s="305">
        <v>2189.9</v>
      </c>
      <c r="G55" s="508">
        <v>0</v>
      </c>
      <c r="H55" s="677">
        <v>0</v>
      </c>
      <c r="I55" s="674">
        <v>7355.5458001846746</v>
      </c>
      <c r="J55" s="40">
        <v>6047.2282565234309</v>
      </c>
      <c r="K55" s="52">
        <v>-1308.3175436612437</v>
      </c>
      <c r="L55" s="674">
        <v>1735.5949017120915</v>
      </c>
      <c r="M55" s="40">
        <v>1382.9879048458401</v>
      </c>
      <c r="N55" s="52">
        <v>-352.60699686625139</v>
      </c>
      <c r="O55" s="674">
        <v>3151.87143742029</v>
      </c>
      <c r="P55" s="40">
        <v>3151.86</v>
      </c>
      <c r="Q55" s="52">
        <v>-1.1437420289894362E-2</v>
      </c>
      <c r="R55" s="674">
        <v>618.3264179485351</v>
      </c>
      <c r="S55" s="40">
        <v>618.30000000000007</v>
      </c>
      <c r="T55" s="52">
        <v>-2.6417948535026881E-2</v>
      </c>
      <c r="U55" s="674">
        <v>487.42305049593699</v>
      </c>
      <c r="V55" s="40">
        <v>203.69318108036467</v>
      </c>
      <c r="W55" s="52">
        <v>-283.72986941557235</v>
      </c>
      <c r="X55" s="674">
        <v>5347.1191767463661</v>
      </c>
      <c r="Y55" s="40">
        <v>12280.301100026269</v>
      </c>
      <c r="Z55" s="52">
        <v>6933.1819232799025</v>
      </c>
      <c r="AA55" s="674">
        <v>262.82399999999996</v>
      </c>
      <c r="AB55" s="40">
        <v>0</v>
      </c>
      <c r="AC55" s="52">
        <v>-262.82399999999996</v>
      </c>
      <c r="AD55" s="674">
        <v>9389.5021637420032</v>
      </c>
      <c r="AE55" s="40">
        <v>9304.275962035319</v>
      </c>
      <c r="AF55" s="35">
        <v>-85.226201706684151</v>
      </c>
      <c r="AG55" s="77">
        <v>28348.206948249899</v>
      </c>
      <c r="AH55" s="53">
        <v>32988.646404511222</v>
      </c>
      <c r="AI55" s="52">
        <v>4640.4394562613234</v>
      </c>
      <c r="AJ55" s="674">
        <v>0</v>
      </c>
      <c r="AK55" s="40">
        <v>0</v>
      </c>
      <c r="AL55" s="52">
        <v>0</v>
      </c>
      <c r="AM55" s="674">
        <v>0</v>
      </c>
      <c r="AN55" s="40">
        <v>0</v>
      </c>
      <c r="AO55" s="52">
        <v>0</v>
      </c>
      <c r="AP55" s="674">
        <v>1349.0504732553563</v>
      </c>
      <c r="AQ55" s="40">
        <v>1121.0450781968721</v>
      </c>
      <c r="AR55" s="52">
        <v>-228.00539505848428</v>
      </c>
      <c r="AS55" s="674">
        <v>25998.222450554942</v>
      </c>
      <c r="AT55" s="40">
        <v>9640</v>
      </c>
      <c r="AU55" s="54">
        <v>-16358.222450554942</v>
      </c>
      <c r="AV55" s="674">
        <v>1911.6454051566102</v>
      </c>
      <c r="AW55" s="40">
        <v>0</v>
      </c>
      <c r="AX55" s="55">
        <v>-1911.6454051566102</v>
      </c>
      <c r="AY55" s="674">
        <v>2671.3193374959424</v>
      </c>
      <c r="AZ55" s="40">
        <v>2799</v>
      </c>
      <c r="BA55" s="35">
        <v>127.68066250405764</v>
      </c>
      <c r="BB55" s="674">
        <v>1061.1265209297883</v>
      </c>
      <c r="BC55" s="40">
        <v>0</v>
      </c>
      <c r="BD55" s="55">
        <v>-1061.1265209297883</v>
      </c>
      <c r="BE55" s="674">
        <v>1055.5055139933077</v>
      </c>
      <c r="BF55" s="40">
        <v>0</v>
      </c>
      <c r="BG55" s="38">
        <v>-1055.5055139933077</v>
      </c>
      <c r="BH55" s="674">
        <v>832.23664965675107</v>
      </c>
      <c r="BI55" s="40">
        <v>0</v>
      </c>
      <c r="BJ55" s="55">
        <v>-832.23664965675107</v>
      </c>
      <c r="BK55" s="674">
        <v>1148.0713206532096</v>
      </c>
      <c r="BL55" s="40">
        <v>0</v>
      </c>
      <c r="BM55" s="38">
        <v>-1148.0713206532096</v>
      </c>
      <c r="BN55" s="674">
        <v>657.28523718570466</v>
      </c>
      <c r="BO55" s="40">
        <v>0</v>
      </c>
      <c r="BP55" s="55">
        <v>-657.28523718570466</v>
      </c>
      <c r="BQ55" s="77">
        <v>9337.1899850713125</v>
      </c>
      <c r="BR55" s="40">
        <v>2799</v>
      </c>
      <c r="BS55" s="55">
        <v>-6538.1899850713125</v>
      </c>
      <c r="BT55" s="674">
        <v>34188.403140140515</v>
      </c>
      <c r="BU55" s="40">
        <v>30473.243804190861</v>
      </c>
      <c r="BV55" s="52">
        <v>-3715.1593359496546</v>
      </c>
      <c r="BW55" s="674">
        <v>16000.619501315474</v>
      </c>
      <c r="BX55" s="40">
        <v>15021.589138159294</v>
      </c>
      <c r="BY55" s="52">
        <v>-979.0303631561801</v>
      </c>
      <c r="BZ55" s="674">
        <v>5325.9142705083505</v>
      </c>
      <c r="CA55" s="40">
        <v>7796.5281083944174</v>
      </c>
      <c r="CB55" s="52">
        <v>2470.6138378860669</v>
      </c>
      <c r="CC55" s="674">
        <v>586.2134949910394</v>
      </c>
      <c r="CD55" s="40">
        <v>602.84585946083416</v>
      </c>
      <c r="CE55" s="52">
        <v>16.632364469794766</v>
      </c>
      <c r="CF55" s="674">
        <v>70.103468115270033</v>
      </c>
      <c r="CG55" s="40">
        <v>0</v>
      </c>
      <c r="CH55" s="52">
        <v>-70.103468115270033</v>
      </c>
      <c r="CI55" s="674">
        <v>4761.0079420024904</v>
      </c>
      <c r="CJ55" s="40">
        <v>3391.0406328466638</v>
      </c>
      <c r="CK55" s="52">
        <v>-1369.9673091558266</v>
      </c>
      <c r="CL55" s="674">
        <v>0</v>
      </c>
      <c r="CM55" s="40">
        <v>0</v>
      </c>
      <c r="CN55" s="52">
        <v>0</v>
      </c>
      <c r="CO55" s="39">
        <v>4761.0079420024904</v>
      </c>
      <c r="CP55" s="40">
        <v>3391.0406328466638</v>
      </c>
      <c r="CQ55" s="52">
        <v>-1369.9673091558266</v>
      </c>
      <c r="CR55" s="72">
        <v>125964.93167420464</v>
      </c>
      <c r="CS55" s="5">
        <v>103833.93902576016</v>
      </c>
      <c r="CT55" s="52">
        <v>-22130.992648444473</v>
      </c>
      <c r="CU55" s="77">
        <v>151157.91800904556</v>
      </c>
      <c r="CV55" s="65">
        <v>124600.72683091219</v>
      </c>
      <c r="CW55" s="35">
        <v>-26557.191178133377</v>
      </c>
      <c r="CX55" s="73">
        <v>7571.0424020492428</v>
      </c>
      <c r="CY55" s="40">
        <v>34128.233580182619</v>
      </c>
      <c r="CZ55" s="52">
        <v>26557.191178133377</v>
      </c>
      <c r="DA55" s="150">
        <v>-37799.657526664028</v>
      </c>
      <c r="DB55" s="2">
        <v>1</v>
      </c>
      <c r="DC55" s="675">
        <v>21012.63</v>
      </c>
      <c r="DD55" s="675">
        <v>0</v>
      </c>
      <c r="DE55" s="675">
        <v>7084.2614984141983</v>
      </c>
      <c r="DF55" s="675">
        <v>0</v>
      </c>
      <c r="DG55" s="321">
        <v>-11242.466348530648</v>
      </c>
      <c r="DH55" s="40">
        <v>158716.97892182623</v>
      </c>
      <c r="DI55" s="422">
        <v>13928.368501585803</v>
      </c>
      <c r="DJ55" s="306">
        <v>6.36027604072597</v>
      </c>
      <c r="DK55" s="306">
        <v>6.36027604072597</v>
      </c>
      <c r="DL55" s="306">
        <v>5.516066245261352</v>
      </c>
      <c r="DM55" s="28">
        <v>13928.368501585803</v>
      </c>
      <c r="DN55" s="28">
        <v>0</v>
      </c>
      <c r="DO55" s="423">
        <v>13928.368501585803</v>
      </c>
      <c r="DP55" s="94">
        <v>0</v>
      </c>
      <c r="DQ55" s="28">
        <v>13928.368501585803</v>
      </c>
      <c r="DR55" s="318"/>
      <c r="DT55" s="8"/>
      <c r="DU55" s="5"/>
      <c r="DX55" s="5">
        <v>42402.494922751503</v>
      </c>
      <c r="DY55" s="5">
        <v>14926.8</v>
      </c>
      <c r="DZ55" s="159">
        <v>3665.3406569180788</v>
      </c>
      <c r="EB55" s="676">
        <v>-2089.8845840511658</v>
      </c>
      <c r="EC55" s="676">
        <v>8760.0825888250656</v>
      </c>
      <c r="ED55" s="676">
        <v>-536.99411497663823</v>
      </c>
      <c r="EE55" s="676">
        <v>-3972.0172918894241</v>
      </c>
      <c r="EF55" s="676">
        <v>5460.6593329255993</v>
      </c>
      <c r="EG55" s="676">
        <v>-5939.4972065598149</v>
      </c>
      <c r="EH55" s="676">
        <v>-5816.1449808780981</v>
      </c>
      <c r="EI55" s="676">
        <v>-4218.1306809766411</v>
      </c>
      <c r="EJ55" s="676">
        <v>-4227.131608069516</v>
      </c>
      <c r="EK55" s="676">
        <v>-3912.2282407492457</v>
      </c>
      <c r="EL55" s="676">
        <v>-3045.6144498591584</v>
      </c>
      <c r="EM55" s="676">
        <v>-7020.2899418743391</v>
      </c>
      <c r="EN55" s="676">
        <v>-26557.191178133377</v>
      </c>
      <c r="EQ55" s="5">
        <v>42402.494922751503</v>
      </c>
      <c r="ER55" s="5">
        <v>14926.8</v>
      </c>
      <c r="ET55" s="318">
        <v>11027.043521789201</v>
      </c>
      <c r="EU55" s="5">
        <v>-534.50987031985642</v>
      </c>
    </row>
    <row r="56" spans="1:151" x14ac:dyDescent="0.3">
      <c r="A56" s="325">
        <v>150000549</v>
      </c>
      <c r="B56" s="41" t="s">
        <v>505</v>
      </c>
      <c r="C56" s="42" t="s">
        <v>207</v>
      </c>
      <c r="D56" s="27">
        <v>4</v>
      </c>
      <c r="E56" s="293">
        <v>1173.1199999999999</v>
      </c>
      <c r="F56" s="305">
        <v>1173.1199999999999</v>
      </c>
      <c r="G56" s="508">
        <v>0</v>
      </c>
      <c r="H56" s="677">
        <v>0</v>
      </c>
      <c r="I56" s="674">
        <v>5402.7471590651476</v>
      </c>
      <c r="J56" s="40">
        <v>4418.8975164445555</v>
      </c>
      <c r="K56" s="52">
        <v>-983.84964262059202</v>
      </c>
      <c r="L56" s="674">
        <v>1334.5586793711207</v>
      </c>
      <c r="M56" s="40">
        <v>1063.3402420926666</v>
      </c>
      <c r="N56" s="52">
        <v>-271.21843727845408</v>
      </c>
      <c r="O56" s="674">
        <v>1614.8007693382704</v>
      </c>
      <c r="P56" s="40">
        <v>1614.8100000000004</v>
      </c>
      <c r="Q56" s="52">
        <v>9.230661730043721E-3</v>
      </c>
      <c r="R56" s="674">
        <v>316.11359589966503</v>
      </c>
      <c r="S56" s="40">
        <v>316.11</v>
      </c>
      <c r="T56" s="52">
        <v>-3.5958996650151676E-3</v>
      </c>
      <c r="U56" s="674">
        <v>0</v>
      </c>
      <c r="V56" s="40">
        <v>0</v>
      </c>
      <c r="W56" s="52">
        <v>0</v>
      </c>
      <c r="X56" s="674">
        <v>2626.0867219816455</v>
      </c>
      <c r="Y56" s="40">
        <v>1911.27555499857</v>
      </c>
      <c r="Z56" s="52">
        <v>-714.81116698307551</v>
      </c>
      <c r="AA56" s="674">
        <v>140.4408</v>
      </c>
      <c r="AB56" s="40">
        <v>0</v>
      </c>
      <c r="AC56" s="52">
        <v>-140.4408</v>
      </c>
      <c r="AD56" s="674">
        <v>5026.7737105329061</v>
      </c>
      <c r="AE56" s="40">
        <v>4982.331428358324</v>
      </c>
      <c r="AF56" s="35">
        <v>-44.442282174582033</v>
      </c>
      <c r="AG56" s="77">
        <v>16461.521436188756</v>
      </c>
      <c r="AH56" s="53">
        <v>14306.764741894116</v>
      </c>
      <c r="AI56" s="52">
        <v>-2154.7566942946396</v>
      </c>
      <c r="AJ56" s="674">
        <v>0</v>
      </c>
      <c r="AK56" s="40">
        <v>0</v>
      </c>
      <c r="AL56" s="52">
        <v>0</v>
      </c>
      <c r="AM56" s="674">
        <v>0</v>
      </c>
      <c r="AN56" s="40">
        <v>0</v>
      </c>
      <c r="AO56" s="52">
        <v>0</v>
      </c>
      <c r="AP56" s="674">
        <v>1618.8605679064267</v>
      </c>
      <c r="AQ56" s="40">
        <v>1470.1261484335059</v>
      </c>
      <c r="AR56" s="52">
        <v>-148.73441947292076</v>
      </c>
      <c r="AS56" s="674">
        <v>12367.617790373288</v>
      </c>
      <c r="AT56" s="40">
        <v>39836.800000000003</v>
      </c>
      <c r="AU56" s="54">
        <v>27469.182209626713</v>
      </c>
      <c r="AV56" s="674">
        <v>1074.8639643045985</v>
      </c>
      <c r="AW56" s="40">
        <v>0</v>
      </c>
      <c r="AX56" s="55">
        <v>-1074.8639643045985</v>
      </c>
      <c r="AY56" s="674">
        <v>2019.1385851751529</v>
      </c>
      <c r="AZ56" s="40">
        <v>6.5</v>
      </c>
      <c r="BA56" s="35">
        <v>-2012.6385851751529</v>
      </c>
      <c r="BB56" s="674">
        <v>427.88506608041666</v>
      </c>
      <c r="BC56" s="40">
        <v>0</v>
      </c>
      <c r="BD56" s="55">
        <v>-427.88506608041666</v>
      </c>
      <c r="BE56" s="674">
        <v>664.23008871025343</v>
      </c>
      <c r="BF56" s="40">
        <v>0</v>
      </c>
      <c r="BG56" s="38">
        <v>-664.23008871025343</v>
      </c>
      <c r="BH56" s="674">
        <v>0</v>
      </c>
      <c r="BI56" s="40">
        <v>0</v>
      </c>
      <c r="BJ56" s="55">
        <v>0</v>
      </c>
      <c r="BK56" s="674">
        <v>524.69856921262146</v>
      </c>
      <c r="BL56" s="40">
        <v>0</v>
      </c>
      <c r="BM56" s="38">
        <v>-524.69856921262146</v>
      </c>
      <c r="BN56" s="674">
        <v>302.84902130123618</v>
      </c>
      <c r="BO56" s="40">
        <v>0</v>
      </c>
      <c r="BP56" s="55">
        <v>-302.84902130123618</v>
      </c>
      <c r="BQ56" s="77">
        <v>5013.6652947842804</v>
      </c>
      <c r="BR56" s="40">
        <v>6.5</v>
      </c>
      <c r="BS56" s="55">
        <v>-5007.1652947842804</v>
      </c>
      <c r="BT56" s="674">
        <v>16512.722044208847</v>
      </c>
      <c r="BU56" s="40">
        <v>20768.860200827294</v>
      </c>
      <c r="BV56" s="52">
        <v>4256.1381566184464</v>
      </c>
      <c r="BW56" s="674">
        <v>7164.1786217363197</v>
      </c>
      <c r="BX56" s="40">
        <v>7554.9481765905139</v>
      </c>
      <c r="BY56" s="52">
        <v>390.76955485419421</v>
      </c>
      <c r="BZ56" s="674">
        <v>6604.2819021991982</v>
      </c>
      <c r="CA56" s="40">
        <v>4509.0746774939398</v>
      </c>
      <c r="CB56" s="52">
        <v>-2095.2072247052583</v>
      </c>
      <c r="CC56" s="674">
        <v>565.52210465244229</v>
      </c>
      <c r="CD56" s="40">
        <v>594.37564147422358</v>
      </c>
      <c r="CE56" s="52">
        <v>28.85353682178129</v>
      </c>
      <c r="CF56" s="674">
        <v>69.118487216363604</v>
      </c>
      <c r="CG56" s="40">
        <v>0</v>
      </c>
      <c r="CH56" s="52">
        <v>-69.118487216363604</v>
      </c>
      <c r="CI56" s="674">
        <v>1445.5685178117869</v>
      </c>
      <c r="CJ56" s="40">
        <v>1273.9368027585792</v>
      </c>
      <c r="CK56" s="52">
        <v>-171.6317150532077</v>
      </c>
      <c r="CL56" s="674">
        <v>0</v>
      </c>
      <c r="CM56" s="40">
        <v>0</v>
      </c>
      <c r="CN56" s="52">
        <v>0</v>
      </c>
      <c r="CO56" s="39">
        <v>1445.5685178117869</v>
      </c>
      <c r="CP56" s="40">
        <v>1273.9368027585792</v>
      </c>
      <c r="CQ56" s="52">
        <v>-171.6317150532077</v>
      </c>
      <c r="CR56" s="72">
        <v>67823.056767077695</v>
      </c>
      <c r="CS56" s="5">
        <v>90321.386389472158</v>
      </c>
      <c r="CT56" s="52">
        <v>22498.329622394464</v>
      </c>
      <c r="CU56" s="77">
        <v>81387.668120493225</v>
      </c>
      <c r="CV56" s="65">
        <v>108385.66366736659</v>
      </c>
      <c r="CW56" s="35">
        <v>26997.995546873368</v>
      </c>
      <c r="CX56" s="73">
        <v>830.78183561189871</v>
      </c>
      <c r="CY56" s="40">
        <v>-26167.213711261473</v>
      </c>
      <c r="CZ56" s="52">
        <v>-26997.995546873371</v>
      </c>
      <c r="DA56" s="150">
        <v>9574.9931927621401</v>
      </c>
      <c r="DB56" s="2">
        <v>1</v>
      </c>
      <c r="DC56" s="675">
        <v>36388.67</v>
      </c>
      <c r="DD56" s="675">
        <v>0</v>
      </c>
      <c r="DE56" s="675">
        <v>29176.624844794078</v>
      </c>
      <c r="DF56" s="675">
        <v>0</v>
      </c>
      <c r="DG56" s="321">
        <v>-17423.002354111228</v>
      </c>
      <c r="DH56" s="40">
        <v>82212.235468355924</v>
      </c>
      <c r="DI56" s="422">
        <v>7212.0451552059203</v>
      </c>
      <c r="DJ56" s="306">
        <v>6.1477471658533833</v>
      </c>
      <c r="DK56" s="306">
        <v>6.1477471658533833</v>
      </c>
      <c r="DL56" s="306">
        <v>5.4746973002745358</v>
      </c>
      <c r="DM56" s="28">
        <v>7212.0451552059203</v>
      </c>
      <c r="DN56" s="28">
        <v>0</v>
      </c>
      <c r="DO56" s="423">
        <v>7212.0451552059203</v>
      </c>
      <c r="DP56" s="94">
        <v>0</v>
      </c>
      <c r="DQ56" s="28">
        <v>7212.0451552059203</v>
      </c>
      <c r="DR56" s="318"/>
      <c r="DT56" s="8"/>
      <c r="DU56" s="5"/>
      <c r="DX56" s="5">
        <v>20857.539702189079</v>
      </c>
      <c r="DY56" s="5">
        <v>47811.96</v>
      </c>
      <c r="DZ56" s="159">
        <v>1815.9086838018441</v>
      </c>
      <c r="EB56" s="676">
        <v>-782.38128167425839</v>
      </c>
      <c r="EC56" s="676">
        <v>475.95766118892334</v>
      </c>
      <c r="ED56" s="676">
        <v>-1155.2843276169588</v>
      </c>
      <c r="EE56" s="676">
        <v>36655.47010571319</v>
      </c>
      <c r="EF56" s="676">
        <v>3320.7364648382845</v>
      </c>
      <c r="EG56" s="676">
        <v>-3145.5968899865879</v>
      </c>
      <c r="EH56" s="676">
        <v>-3138.8411154999612</v>
      </c>
      <c r="EI56" s="676">
        <v>-1660.2354488552419</v>
      </c>
      <c r="EJ56" s="676">
        <v>-2581.5814245421143</v>
      </c>
      <c r="EK56" s="676">
        <v>1630.247564683219</v>
      </c>
      <c r="EL56" s="676">
        <v>-462.45342857759351</v>
      </c>
      <c r="EM56" s="676">
        <v>-2158.0423327975286</v>
      </c>
      <c r="EN56" s="676">
        <v>26997.995546873368</v>
      </c>
      <c r="EQ56" s="5">
        <v>20857.539702189079</v>
      </c>
      <c r="ER56" s="5">
        <v>47811.96</v>
      </c>
      <c r="ET56" s="318">
        <v>-7366.5163333766923</v>
      </c>
      <c r="EU56" s="5">
        <v>-9705.4860207345373</v>
      </c>
    </row>
    <row r="57" spans="1:151" x14ac:dyDescent="0.3">
      <c r="A57" s="325">
        <v>150000547</v>
      </c>
      <c r="B57" s="41" t="s">
        <v>506</v>
      </c>
      <c r="C57" s="42" t="s">
        <v>248</v>
      </c>
      <c r="D57" s="27">
        <v>5</v>
      </c>
      <c r="E57" s="293">
        <v>2743.1</v>
      </c>
      <c r="F57" s="305">
        <v>2743.1</v>
      </c>
      <c r="G57" s="508">
        <v>0</v>
      </c>
      <c r="H57" s="677">
        <v>0</v>
      </c>
      <c r="I57" s="674">
        <v>10268.762664403452</v>
      </c>
      <c r="J57" s="40">
        <v>8435.6348159225836</v>
      </c>
      <c r="K57" s="52">
        <v>-1833.1278484808681</v>
      </c>
      <c r="L57" s="674">
        <v>1973.9567919374301</v>
      </c>
      <c r="M57" s="40">
        <v>1573.4239816270738</v>
      </c>
      <c r="N57" s="52">
        <v>-400.53281031035635</v>
      </c>
      <c r="O57" s="674">
        <v>3921.1530140837403</v>
      </c>
      <c r="P57" s="40">
        <v>3921.1800000000003</v>
      </c>
      <c r="Q57" s="52">
        <v>2.6985916259945952E-2</v>
      </c>
      <c r="R57" s="674">
        <v>849.0766103174351</v>
      </c>
      <c r="S57" s="40">
        <v>849.06000000000017</v>
      </c>
      <c r="T57" s="52">
        <v>-1.6610317434924582E-2</v>
      </c>
      <c r="U57" s="674">
        <v>650.02174156792057</v>
      </c>
      <c r="V57" s="40">
        <v>289.94139113577387</v>
      </c>
      <c r="W57" s="52">
        <v>-360.0803504321467</v>
      </c>
      <c r="X57" s="674">
        <v>6911.4317832062707</v>
      </c>
      <c r="Y57" s="40">
        <v>5028.1937418129455</v>
      </c>
      <c r="Z57" s="52">
        <v>-1883.2380413933251</v>
      </c>
      <c r="AA57" s="674">
        <v>329.18399999999997</v>
      </c>
      <c r="AB57" s="40">
        <v>0</v>
      </c>
      <c r="AC57" s="52">
        <v>-329.18399999999997</v>
      </c>
      <c r="AD57" s="674">
        <v>11761.170360433023</v>
      </c>
      <c r="AE57" s="40">
        <v>11654.812850691495</v>
      </c>
      <c r="AF57" s="35">
        <v>-106.3575097415287</v>
      </c>
      <c r="AG57" s="77">
        <v>36664.756965949273</v>
      </c>
      <c r="AH57" s="53">
        <v>31752.246781189868</v>
      </c>
      <c r="AI57" s="52">
        <v>-4912.5101847594051</v>
      </c>
      <c r="AJ57" s="674">
        <v>0</v>
      </c>
      <c r="AK57" s="40">
        <v>0</v>
      </c>
      <c r="AL57" s="52">
        <v>0</v>
      </c>
      <c r="AM57" s="674">
        <v>0</v>
      </c>
      <c r="AN57" s="40">
        <v>0</v>
      </c>
      <c r="AO57" s="52">
        <v>0</v>
      </c>
      <c r="AP57" s="674">
        <v>2698.1009465107127</v>
      </c>
      <c r="AQ57" s="40">
        <v>2245.3023349564305</v>
      </c>
      <c r="AR57" s="52">
        <v>-452.79861155428216</v>
      </c>
      <c r="AS57" s="674">
        <v>51426.762294184438</v>
      </c>
      <c r="AT57" s="40">
        <v>66555.350000000006</v>
      </c>
      <c r="AU57" s="54">
        <v>15128.587705815567</v>
      </c>
      <c r="AV57" s="674">
        <v>2390.0082274338965</v>
      </c>
      <c r="AW57" s="40">
        <v>1698</v>
      </c>
      <c r="AX57" s="55">
        <v>-692.00822743389654</v>
      </c>
      <c r="AY57" s="674">
        <v>3236.0443770585362</v>
      </c>
      <c r="AZ57" s="40">
        <v>2389.5</v>
      </c>
      <c r="BA57" s="35">
        <v>-846.54437705853616</v>
      </c>
      <c r="BB57" s="674">
        <v>1240.0720236525501</v>
      </c>
      <c r="BC57" s="40">
        <v>0</v>
      </c>
      <c r="BD57" s="55">
        <v>-1240.0720236525501</v>
      </c>
      <c r="BE57" s="674">
        <v>1374.672724998009</v>
      </c>
      <c r="BF57" s="40">
        <v>0</v>
      </c>
      <c r="BG57" s="38">
        <v>-1374.672724998009</v>
      </c>
      <c r="BH57" s="674">
        <v>1109.648866209001</v>
      </c>
      <c r="BI57" s="40">
        <v>0</v>
      </c>
      <c r="BJ57" s="55">
        <v>-1109.648866209001</v>
      </c>
      <c r="BK57" s="674">
        <v>1635.1066299366507</v>
      </c>
      <c r="BL57" s="40">
        <v>0</v>
      </c>
      <c r="BM57" s="38">
        <v>-1635.1066299366507</v>
      </c>
      <c r="BN57" s="674">
        <v>221.37966127098227</v>
      </c>
      <c r="BO57" s="40">
        <v>0</v>
      </c>
      <c r="BP57" s="55">
        <v>-221.37966127098227</v>
      </c>
      <c r="BQ57" s="77">
        <v>11206.932510559627</v>
      </c>
      <c r="BR57" s="40">
        <v>4087.5</v>
      </c>
      <c r="BS57" s="55">
        <v>-7119.4325105596272</v>
      </c>
      <c r="BT57" s="674">
        <v>14552.942326404635</v>
      </c>
      <c r="BU57" s="40">
        <v>17149.702155135903</v>
      </c>
      <c r="BV57" s="52">
        <v>2596.7598287312685</v>
      </c>
      <c r="BW57" s="674">
        <v>16189.237747677467</v>
      </c>
      <c r="BX57" s="40">
        <v>15257.139161205203</v>
      </c>
      <c r="BY57" s="52">
        <v>-932.09858647226429</v>
      </c>
      <c r="BZ57" s="674">
        <v>7692.2378185628631</v>
      </c>
      <c r="CA57" s="40">
        <v>4922.7720704606172</v>
      </c>
      <c r="CB57" s="52">
        <v>-2769.4657481022459</v>
      </c>
      <c r="CC57" s="674">
        <v>1379.7627762159093</v>
      </c>
      <c r="CD57" s="40">
        <v>1450.1597346041865</v>
      </c>
      <c r="CE57" s="52">
        <v>70.396958388277199</v>
      </c>
      <c r="CF57" s="674">
        <v>168.63552286449399</v>
      </c>
      <c r="CG57" s="40">
        <v>0</v>
      </c>
      <c r="CH57" s="52">
        <v>-168.63552286449399</v>
      </c>
      <c r="CI57" s="674">
        <v>6431.5189201839949</v>
      </c>
      <c r="CJ57" s="40">
        <v>7072.0847478877758</v>
      </c>
      <c r="CK57" s="52">
        <v>640.565827703781</v>
      </c>
      <c r="CL57" s="674">
        <v>0</v>
      </c>
      <c r="CM57" s="40">
        <v>0</v>
      </c>
      <c r="CN57" s="52">
        <v>0</v>
      </c>
      <c r="CO57" s="39">
        <v>6431.5189201839949</v>
      </c>
      <c r="CP57" s="40">
        <v>7072.0847478877758</v>
      </c>
      <c r="CQ57" s="52">
        <v>640.565827703781</v>
      </c>
      <c r="CR57" s="72">
        <v>148410.8878291134</v>
      </c>
      <c r="CS57" s="5">
        <v>150492.25698543998</v>
      </c>
      <c r="CT57" s="52">
        <v>2081.3691563265747</v>
      </c>
      <c r="CU57" s="77">
        <v>178093.06539493607</v>
      </c>
      <c r="CV57" s="65">
        <v>180590.70838252796</v>
      </c>
      <c r="CW57" s="35">
        <v>2497.6429875918839</v>
      </c>
      <c r="CX57" s="73">
        <v>8920.3174942849364</v>
      </c>
      <c r="CY57" s="40">
        <v>6422.6745066930453</v>
      </c>
      <c r="CZ57" s="52">
        <v>-2497.6429875918911</v>
      </c>
      <c r="DA57" s="150">
        <v>-33001.226020045673</v>
      </c>
      <c r="DB57" s="2">
        <v>1</v>
      </c>
      <c r="DC57" s="675">
        <v>36776.89</v>
      </c>
      <c r="DD57" s="675">
        <v>0</v>
      </c>
      <c r="DE57" s="675">
        <v>20415.972222974877</v>
      </c>
      <c r="DF57" s="675">
        <v>0</v>
      </c>
      <c r="DG57" s="321">
        <v>-35498.86900763755</v>
      </c>
      <c r="DH57" s="40">
        <v>186999.10679174983</v>
      </c>
      <c r="DI57" s="422">
        <v>16360.917777025121</v>
      </c>
      <c r="DJ57" s="306">
        <v>5.9643898425231026</v>
      </c>
      <c r="DK57" s="306">
        <v>5.9643898425231026</v>
      </c>
      <c r="DL57" s="306">
        <v>5.2881823614970447</v>
      </c>
      <c r="DM57" s="28">
        <v>16360.917777025123</v>
      </c>
      <c r="DN57" s="28">
        <v>0</v>
      </c>
      <c r="DO57" s="423">
        <v>16360.917777025123</v>
      </c>
      <c r="DP57" s="94">
        <v>0</v>
      </c>
      <c r="DQ57" s="28">
        <v>16360.917777025123</v>
      </c>
      <c r="DR57" s="318"/>
      <c r="DT57" s="8"/>
      <c r="DU57" s="5"/>
      <c r="DX57" s="5">
        <v>75160.433765692884</v>
      </c>
      <c r="DY57" s="5">
        <v>84771.42</v>
      </c>
      <c r="DZ57" s="159">
        <v>6605.7197321114627</v>
      </c>
      <c r="EB57" s="676">
        <v>-4013.8514104067654</v>
      </c>
      <c r="EC57" s="676">
        <v>-4592.2897773000577</v>
      </c>
      <c r="ED57" s="676">
        <v>-3194.6486477900053</v>
      </c>
      <c r="EE57" s="676">
        <v>-8778.6661455576723</v>
      </c>
      <c r="EF57" s="676">
        <v>-8344.8745370521647</v>
      </c>
      <c r="EG57" s="676">
        <v>-5835.6584801622794</v>
      </c>
      <c r="EH57" s="676">
        <v>65840.978757230565</v>
      </c>
      <c r="EI57" s="676">
        <v>-7488.5664212897454</v>
      </c>
      <c r="EJ57" s="676">
        <v>-7968.4337738431832</v>
      </c>
      <c r="EK57" s="676">
        <v>-6159.2454902555874</v>
      </c>
      <c r="EL57" s="676">
        <v>-6680.1931996327203</v>
      </c>
      <c r="EM57" s="676">
        <v>-286.90788634850287</v>
      </c>
      <c r="EN57" s="676">
        <v>2497.6429875918766</v>
      </c>
      <c r="EQ57" s="5">
        <v>75160.433765692884</v>
      </c>
      <c r="ER57" s="5">
        <v>84771.42</v>
      </c>
      <c r="ET57" s="318">
        <v>-59846.53522170004</v>
      </c>
      <c r="EU57" s="5">
        <v>56432.666214062505</v>
      </c>
    </row>
    <row r="58" spans="1:151" x14ac:dyDescent="0.3">
      <c r="A58" s="325">
        <v>150000509</v>
      </c>
      <c r="B58" s="41" t="s">
        <v>507</v>
      </c>
      <c r="C58" s="42" t="s">
        <v>53</v>
      </c>
      <c r="D58" s="27">
        <v>1</v>
      </c>
      <c r="E58" s="293">
        <v>249.8</v>
      </c>
      <c r="F58" s="305">
        <v>249.8</v>
      </c>
      <c r="G58" s="508">
        <v>0</v>
      </c>
      <c r="H58" s="677">
        <v>0</v>
      </c>
      <c r="I58" s="674">
        <v>0</v>
      </c>
      <c r="J58" s="40">
        <v>0</v>
      </c>
      <c r="K58" s="52">
        <v>0</v>
      </c>
      <c r="L58" s="674">
        <v>0</v>
      </c>
      <c r="M58" s="40">
        <v>0</v>
      </c>
      <c r="N58" s="52">
        <v>0</v>
      </c>
      <c r="O58" s="674">
        <v>0</v>
      </c>
      <c r="P58" s="40">
        <v>0</v>
      </c>
      <c r="Q58" s="52">
        <v>0</v>
      </c>
      <c r="R58" s="674">
        <v>0</v>
      </c>
      <c r="S58" s="40">
        <v>0</v>
      </c>
      <c r="T58" s="52">
        <v>0</v>
      </c>
      <c r="U58" s="674">
        <v>0</v>
      </c>
      <c r="V58" s="40">
        <v>0</v>
      </c>
      <c r="W58" s="52">
        <v>0</v>
      </c>
      <c r="X58" s="674">
        <v>0</v>
      </c>
      <c r="Y58" s="40">
        <v>0</v>
      </c>
      <c r="Z58" s="52">
        <v>0</v>
      </c>
      <c r="AA58" s="674">
        <v>29.976000000000003</v>
      </c>
      <c r="AB58" s="40">
        <v>0</v>
      </c>
      <c r="AC58" s="52">
        <v>-29.976000000000003</v>
      </c>
      <c r="AD58" s="674">
        <v>239.97059170968674</v>
      </c>
      <c r="AE58" s="40">
        <v>1061.3307161589216</v>
      </c>
      <c r="AF58" s="35">
        <v>821.36012444923495</v>
      </c>
      <c r="AG58" s="77">
        <v>269.94659170968674</v>
      </c>
      <c r="AH58" s="53">
        <v>1061.3307161589216</v>
      </c>
      <c r="AI58" s="52">
        <v>791.38412444923483</v>
      </c>
      <c r="AJ58" s="674">
        <v>0</v>
      </c>
      <c r="AK58" s="40">
        <v>0</v>
      </c>
      <c r="AL58" s="52">
        <v>0</v>
      </c>
      <c r="AM58" s="674">
        <v>0</v>
      </c>
      <c r="AN58" s="40">
        <v>0</v>
      </c>
      <c r="AO58" s="52">
        <v>0</v>
      </c>
      <c r="AP58" s="674">
        <v>539.62018930214231</v>
      </c>
      <c r="AQ58" s="40">
        <v>448.76449922990878</v>
      </c>
      <c r="AR58" s="52">
        <v>-90.855690072233529</v>
      </c>
      <c r="AS58" s="674">
        <v>2790.0211513389468</v>
      </c>
      <c r="AT58" s="40">
        <v>0</v>
      </c>
      <c r="AU58" s="54">
        <v>-2790.0211513389468</v>
      </c>
      <c r="AV58" s="674">
        <v>0</v>
      </c>
      <c r="AW58" s="40">
        <v>0</v>
      </c>
      <c r="AX58" s="55">
        <v>0</v>
      </c>
      <c r="AY58" s="674">
        <v>0</v>
      </c>
      <c r="AZ58" s="40">
        <v>0</v>
      </c>
      <c r="BA58" s="35">
        <v>0</v>
      </c>
      <c r="BB58" s="674">
        <v>0</v>
      </c>
      <c r="BC58" s="40">
        <v>0</v>
      </c>
      <c r="BD58" s="55">
        <v>0</v>
      </c>
      <c r="BE58" s="674">
        <v>0</v>
      </c>
      <c r="BF58" s="40">
        <v>0</v>
      </c>
      <c r="BG58" s="38">
        <v>0</v>
      </c>
      <c r="BH58" s="674">
        <v>0</v>
      </c>
      <c r="BI58" s="40">
        <v>0</v>
      </c>
      <c r="BJ58" s="55">
        <v>0</v>
      </c>
      <c r="BK58" s="674">
        <v>0</v>
      </c>
      <c r="BL58" s="40">
        <v>0</v>
      </c>
      <c r="BM58" s="38">
        <v>0</v>
      </c>
      <c r="BN58" s="674">
        <v>7.4940000000000007</v>
      </c>
      <c r="BO58" s="40">
        <v>0</v>
      </c>
      <c r="BP58" s="55">
        <v>-7.4940000000000007</v>
      </c>
      <c r="BQ58" s="77">
        <v>7.4940000000000007</v>
      </c>
      <c r="BR58" s="40">
        <v>0</v>
      </c>
      <c r="BS58" s="55">
        <v>-7.4940000000000007</v>
      </c>
      <c r="BT58" s="674">
        <v>0</v>
      </c>
      <c r="BU58" s="40">
        <v>0</v>
      </c>
      <c r="BV58" s="52">
        <v>0</v>
      </c>
      <c r="BW58" s="674">
        <v>0</v>
      </c>
      <c r="BX58" s="40">
        <v>5.6821205918837068</v>
      </c>
      <c r="BY58" s="52">
        <v>5.6821205918837068</v>
      </c>
      <c r="BZ58" s="674">
        <v>0</v>
      </c>
      <c r="CA58" s="40">
        <v>0</v>
      </c>
      <c r="CB58" s="52">
        <v>0</v>
      </c>
      <c r="CC58" s="674">
        <v>0</v>
      </c>
      <c r="CD58" s="40">
        <v>0</v>
      </c>
      <c r="CE58" s="52">
        <v>0</v>
      </c>
      <c r="CF58" s="674">
        <v>0</v>
      </c>
      <c r="CG58" s="40">
        <v>0</v>
      </c>
      <c r="CH58" s="52">
        <v>0</v>
      </c>
      <c r="CI58" s="674">
        <v>0</v>
      </c>
      <c r="CJ58" s="40">
        <v>0</v>
      </c>
      <c r="CK58" s="52">
        <v>0</v>
      </c>
      <c r="CL58" s="674">
        <v>0</v>
      </c>
      <c r="CM58" s="40">
        <v>0</v>
      </c>
      <c r="CN58" s="52">
        <v>0</v>
      </c>
      <c r="CO58" s="39">
        <v>0</v>
      </c>
      <c r="CP58" s="40">
        <v>0</v>
      </c>
      <c r="CQ58" s="52">
        <v>0</v>
      </c>
      <c r="CR58" s="72">
        <v>3607.0819323507762</v>
      </c>
      <c r="CS58" s="5">
        <v>1515.777335980714</v>
      </c>
      <c r="CT58" s="52">
        <v>-2091.3045963700624</v>
      </c>
      <c r="CU58" s="77">
        <v>4328.4983188209317</v>
      </c>
      <c r="CV58" s="65">
        <v>1818.9328031768569</v>
      </c>
      <c r="CW58" s="35">
        <v>-2509.5655156440748</v>
      </c>
      <c r="CX58" s="73">
        <v>130.88802060480847</v>
      </c>
      <c r="CY58" s="40">
        <v>2640.4535362488823</v>
      </c>
      <c r="CZ58" s="52">
        <v>2509.5655156440739</v>
      </c>
      <c r="DA58" s="150">
        <v>10165.586042521336</v>
      </c>
      <c r="DB58" s="2">
        <v>2</v>
      </c>
      <c r="DC58" s="675">
        <v>1490.8</v>
      </c>
      <c r="DD58" s="675">
        <v>0</v>
      </c>
      <c r="DE58" s="675">
        <v>1099.4500328497338</v>
      </c>
      <c r="DF58" s="675">
        <v>0</v>
      </c>
      <c r="DG58" s="321">
        <v>12675.151558165409</v>
      </c>
      <c r="DH58" s="40">
        <v>4459.0498616134901</v>
      </c>
      <c r="DI58" s="422">
        <v>391.34996715026614</v>
      </c>
      <c r="DJ58" s="306">
        <v>1.5666531911539874</v>
      </c>
      <c r="DK58" s="306">
        <v>1.5666531911539874</v>
      </c>
      <c r="DL58" s="306">
        <v>1.5666531911539874</v>
      </c>
      <c r="DM58" s="28">
        <v>391.34996715026608</v>
      </c>
      <c r="DN58" s="28">
        <v>0</v>
      </c>
      <c r="DO58" s="423">
        <v>391.34996715026608</v>
      </c>
      <c r="DP58" s="94">
        <v>0</v>
      </c>
      <c r="DQ58" s="28">
        <v>391.34996715026608</v>
      </c>
      <c r="DR58" s="318"/>
      <c r="DT58" s="8"/>
      <c r="DU58" s="5"/>
      <c r="DX58" s="5">
        <v>3357.0181816067361</v>
      </c>
      <c r="DY58" s="5">
        <v>0</v>
      </c>
      <c r="DZ58" s="159">
        <v>324.98378742664067</v>
      </c>
      <c r="EB58" s="676">
        <v>131.70772557243936</v>
      </c>
      <c r="EC58" s="676">
        <v>-163.08776843518206</v>
      </c>
      <c r="ED58" s="676">
        <v>-158.56474883477944</v>
      </c>
      <c r="EE58" s="676">
        <v>-306.67631998383746</v>
      </c>
      <c r="EF58" s="676">
        <v>-293.7164238625017</v>
      </c>
      <c r="EG58" s="676">
        <v>-298.74186639029614</v>
      </c>
      <c r="EH58" s="676">
        <v>-32.825904291518384</v>
      </c>
      <c r="EI58" s="676">
        <v>-257.59190824119969</v>
      </c>
      <c r="EJ58" s="676">
        <v>-297.78523348058911</v>
      </c>
      <c r="EK58" s="676">
        <v>-249.13926852184176</v>
      </c>
      <c r="EL58" s="676">
        <v>-281.44613947261894</v>
      </c>
      <c r="EM58" s="676">
        <v>-301.69765970214883</v>
      </c>
      <c r="EN58" s="676">
        <v>-2509.5655156440744</v>
      </c>
      <c r="EQ58" s="5">
        <v>3357.0181816067361</v>
      </c>
      <c r="ER58" s="5">
        <v>0</v>
      </c>
      <c r="ET58" s="318">
        <v>12984.17625510994</v>
      </c>
      <c r="EU58" s="5">
        <v>-1402.0246969445341</v>
      </c>
    </row>
    <row r="59" spans="1:151" x14ac:dyDescent="0.3">
      <c r="A59" s="325">
        <v>150000510</v>
      </c>
      <c r="B59" s="41" t="s">
        <v>508</v>
      </c>
      <c r="C59" s="42" t="s">
        <v>249</v>
      </c>
      <c r="D59" s="27">
        <v>5</v>
      </c>
      <c r="E59" s="293">
        <v>2889.06</v>
      </c>
      <c r="F59" s="305">
        <v>2796.95</v>
      </c>
      <c r="G59" s="508">
        <v>0</v>
      </c>
      <c r="H59" s="677">
        <v>92.11</v>
      </c>
      <c r="I59" s="674">
        <v>6349.4916759560219</v>
      </c>
      <c r="J59" s="40">
        <v>7036.9084939681552</v>
      </c>
      <c r="K59" s="52">
        <v>687.41681801213326</v>
      </c>
      <c r="L59" s="674">
        <v>1216.5578420711577</v>
      </c>
      <c r="M59" s="40">
        <v>1338.4218941069303</v>
      </c>
      <c r="N59" s="52">
        <v>121.8640520357726</v>
      </c>
      <c r="O59" s="674">
        <v>4085.1912949125494</v>
      </c>
      <c r="P59" s="40">
        <v>4085.1899999999991</v>
      </c>
      <c r="Q59" s="52">
        <v>-1.2949125502927927E-3</v>
      </c>
      <c r="R59" s="674">
        <v>0</v>
      </c>
      <c r="S59" s="40">
        <v>0</v>
      </c>
      <c r="T59" s="52">
        <v>0</v>
      </c>
      <c r="U59" s="674">
        <v>0</v>
      </c>
      <c r="V59" s="40">
        <v>0</v>
      </c>
      <c r="W59" s="52">
        <v>0</v>
      </c>
      <c r="X59" s="674">
        <v>4895.9440754913858</v>
      </c>
      <c r="Y59" s="40">
        <v>3745.3549050818428</v>
      </c>
      <c r="Z59" s="52">
        <v>-1150.5891704095429</v>
      </c>
      <c r="AA59" s="674">
        <v>346.81200000000001</v>
      </c>
      <c r="AB59" s="40">
        <v>0</v>
      </c>
      <c r="AC59" s="52">
        <v>-346.81200000000001</v>
      </c>
      <c r="AD59" s="674">
        <v>12382.516713243755</v>
      </c>
      <c r="AE59" s="40">
        <v>12274.812325164507</v>
      </c>
      <c r="AF59" s="35">
        <v>-107.70438807924802</v>
      </c>
      <c r="AG59" s="77">
        <v>29276.513601674873</v>
      </c>
      <c r="AH59" s="53">
        <v>28480.687618321434</v>
      </c>
      <c r="AI59" s="52">
        <v>-795.82598335343937</v>
      </c>
      <c r="AJ59" s="674">
        <v>0</v>
      </c>
      <c r="AK59" s="40">
        <v>0</v>
      </c>
      <c r="AL59" s="52">
        <v>0</v>
      </c>
      <c r="AM59" s="674">
        <v>0</v>
      </c>
      <c r="AN59" s="40">
        <v>0</v>
      </c>
      <c r="AO59" s="52">
        <v>0</v>
      </c>
      <c r="AP59" s="674">
        <v>1304.0821241468441</v>
      </c>
      <c r="AQ59" s="40">
        <v>1073.9053493037813</v>
      </c>
      <c r="AR59" s="52">
        <v>-230.17677484306273</v>
      </c>
      <c r="AS59" s="674">
        <v>21292.559798595583</v>
      </c>
      <c r="AT59" s="40">
        <v>701.40786433387814</v>
      </c>
      <c r="AU59" s="54">
        <v>-20591.151934261703</v>
      </c>
      <c r="AV59" s="674">
        <v>1602.1203903871778</v>
      </c>
      <c r="AW59" s="40">
        <v>1633</v>
      </c>
      <c r="AX59" s="55">
        <v>30.879609612822151</v>
      </c>
      <c r="AY59" s="674">
        <v>1994.2990685643276</v>
      </c>
      <c r="AZ59" s="40">
        <v>1171</v>
      </c>
      <c r="BA59" s="35">
        <v>-823.29906856432763</v>
      </c>
      <c r="BB59" s="674">
        <v>1850.0512971426181</v>
      </c>
      <c r="BC59" s="40">
        <v>792</v>
      </c>
      <c r="BD59" s="55">
        <v>-1058.0512971426181</v>
      </c>
      <c r="BE59" s="674">
        <v>0</v>
      </c>
      <c r="BF59" s="40">
        <v>0</v>
      </c>
      <c r="BG59" s="38">
        <v>0</v>
      </c>
      <c r="BH59" s="674">
        <v>0</v>
      </c>
      <c r="BI59" s="40">
        <v>0</v>
      </c>
      <c r="BJ59" s="55">
        <v>0</v>
      </c>
      <c r="BK59" s="674">
        <v>1119.093497103911</v>
      </c>
      <c r="BL59" s="40">
        <v>798</v>
      </c>
      <c r="BM59" s="38">
        <v>-321.09349710391098</v>
      </c>
      <c r="BN59" s="674">
        <v>86.703000000000003</v>
      </c>
      <c r="BO59" s="40">
        <v>0</v>
      </c>
      <c r="BP59" s="55">
        <v>-86.703000000000003</v>
      </c>
      <c r="BQ59" s="77">
        <v>6652.2672531980343</v>
      </c>
      <c r="BR59" s="40">
        <v>4394</v>
      </c>
      <c r="BS59" s="55">
        <v>-2258.2672531980343</v>
      </c>
      <c r="BT59" s="674">
        <v>27660.883850187303</v>
      </c>
      <c r="BU59" s="40">
        <v>32157.023520147803</v>
      </c>
      <c r="BV59" s="52">
        <v>4496.1396699604993</v>
      </c>
      <c r="BW59" s="674">
        <v>15124.053264351876</v>
      </c>
      <c r="BX59" s="40">
        <v>15547.546199283528</v>
      </c>
      <c r="BY59" s="52">
        <v>423.49293493165169</v>
      </c>
      <c r="BZ59" s="674">
        <v>11437.739864909865</v>
      </c>
      <c r="CA59" s="40">
        <v>8080.3416332651132</v>
      </c>
      <c r="CB59" s="52">
        <v>-3357.3982316447518</v>
      </c>
      <c r="CC59" s="674">
        <v>0</v>
      </c>
      <c r="CD59" s="40">
        <v>0</v>
      </c>
      <c r="CE59" s="52">
        <v>0</v>
      </c>
      <c r="CF59" s="674">
        <v>0</v>
      </c>
      <c r="CG59" s="40">
        <v>0</v>
      </c>
      <c r="CH59" s="52">
        <v>0</v>
      </c>
      <c r="CI59" s="674">
        <v>2844.0123018485856</v>
      </c>
      <c r="CJ59" s="40">
        <v>2168.9364949673782</v>
      </c>
      <c r="CK59" s="52">
        <v>-675.07580688120743</v>
      </c>
      <c r="CL59" s="674">
        <v>0</v>
      </c>
      <c r="CM59" s="40">
        <v>0</v>
      </c>
      <c r="CN59" s="52">
        <v>0</v>
      </c>
      <c r="CO59" s="39">
        <v>2844.0123018485856</v>
      </c>
      <c r="CP59" s="40">
        <v>2168.9364949673782</v>
      </c>
      <c r="CQ59" s="52">
        <v>-675.07580688120743</v>
      </c>
      <c r="CR59" s="72">
        <v>115592.11205891297</v>
      </c>
      <c r="CS59" s="5">
        <v>92603.848679622926</v>
      </c>
      <c r="CT59" s="52">
        <v>-22988.263379290045</v>
      </c>
      <c r="CU59" s="77">
        <v>138710.53447069557</v>
      </c>
      <c r="CV59" s="65">
        <v>111124.61841554751</v>
      </c>
      <c r="CW59" s="35">
        <v>-27585.91605514806</v>
      </c>
      <c r="CX59" s="73">
        <v>6947.6680790533583</v>
      </c>
      <c r="CY59" s="40">
        <v>34533.584134201381</v>
      </c>
      <c r="CZ59" s="52">
        <v>27585.916055148024</v>
      </c>
      <c r="DA59" s="150">
        <v>53173.933382572635</v>
      </c>
      <c r="DB59" s="2">
        <v>2</v>
      </c>
      <c r="DC59" s="675">
        <v>111995.64</v>
      </c>
      <c r="DD59" s="675">
        <v>701.9</v>
      </c>
      <c r="DE59" s="675">
        <v>99587.048179820791</v>
      </c>
      <c r="DF59" s="675">
        <v>350.91209646778583</v>
      </c>
      <c r="DG59" s="321">
        <v>80759.849437720666</v>
      </c>
      <c r="DH59" s="40">
        <v>145647.13713285615</v>
      </c>
      <c r="DI59" s="422">
        <v>12759.579723711422</v>
      </c>
      <c r="DJ59" s="306">
        <v>4.436472521918235</v>
      </c>
      <c r="DK59" s="306">
        <v>4.436472521918235</v>
      </c>
      <c r="DL59" s="306">
        <v>3.8105298396722849</v>
      </c>
      <c r="DM59" s="28">
        <v>12408.591820179206</v>
      </c>
      <c r="DN59" s="28">
        <v>350.98790353221415</v>
      </c>
      <c r="DO59" s="423">
        <v>12759.57972371142</v>
      </c>
      <c r="DP59" s="94">
        <v>0</v>
      </c>
      <c r="DQ59" s="28">
        <v>12759.57972371142</v>
      </c>
      <c r="DR59" s="318"/>
      <c r="DT59" s="8"/>
      <c r="DU59" s="5"/>
      <c r="DX59" s="5">
        <v>33533.792462152342</v>
      </c>
      <c r="DY59" s="5">
        <v>6114.4894372006538</v>
      </c>
      <c r="DZ59" s="159">
        <v>2937.2749211054806</v>
      </c>
      <c r="EB59" s="676">
        <v>-753.0973732058028</v>
      </c>
      <c r="EC59" s="676">
        <v>-1177.6296084187325</v>
      </c>
      <c r="ED59" s="676">
        <v>-1607.4019667482789</v>
      </c>
      <c r="EE59" s="676">
        <v>-2258.0470869101027</v>
      </c>
      <c r="EF59" s="676">
        <v>-6711.5369523785066</v>
      </c>
      <c r="EG59" s="676">
        <v>-4285.7934310887376</v>
      </c>
      <c r="EH59" s="676">
        <v>-2323.898808231821</v>
      </c>
      <c r="EI59" s="676">
        <v>-3023.0087014452074</v>
      </c>
      <c r="EJ59" s="676">
        <v>-1212.701508824779</v>
      </c>
      <c r="EK59" s="676">
        <v>-2007.829538996717</v>
      </c>
      <c r="EL59" s="676">
        <v>1662.389168946891</v>
      </c>
      <c r="EM59" s="676">
        <v>-3887.3602478462362</v>
      </c>
      <c r="EN59" s="676">
        <v>-27585.916055148031</v>
      </c>
      <c r="EQ59" s="5">
        <v>33533.792462152342</v>
      </c>
      <c r="ER59" s="5">
        <v>6114.4894372006538</v>
      </c>
      <c r="ET59" s="318">
        <v>-15293.041159684357</v>
      </c>
      <c r="EU59" s="5">
        <v>32801.890597405014</v>
      </c>
    </row>
    <row r="60" spans="1:151" x14ac:dyDescent="0.3">
      <c r="A60" s="325">
        <v>150000511</v>
      </c>
      <c r="B60" s="41" t="s">
        <v>509</v>
      </c>
      <c r="C60" s="42" t="s">
        <v>250</v>
      </c>
      <c r="D60" s="27">
        <v>5</v>
      </c>
      <c r="E60" s="293">
        <v>3219.5</v>
      </c>
      <c r="F60" s="305">
        <v>3219.5</v>
      </c>
      <c r="G60" s="508">
        <v>0</v>
      </c>
      <c r="H60" s="677">
        <v>0</v>
      </c>
      <c r="I60" s="674">
        <v>11679.974569616381</v>
      </c>
      <c r="J60" s="40">
        <v>12763.751309913903</v>
      </c>
      <c r="K60" s="52">
        <v>1083.7767402975223</v>
      </c>
      <c r="L60" s="674">
        <v>2245.2981091581591</v>
      </c>
      <c r="M60" s="40">
        <v>2457.5656888415947</v>
      </c>
      <c r="N60" s="52">
        <v>212.26757968343554</v>
      </c>
      <c r="O60" s="674">
        <v>4605.1321019702245</v>
      </c>
      <c r="P60" s="40">
        <v>4605.1499999999996</v>
      </c>
      <c r="Q60" s="52">
        <v>1.7898029775096802E-2</v>
      </c>
      <c r="R60" s="674">
        <v>0</v>
      </c>
      <c r="S60" s="40">
        <v>0</v>
      </c>
      <c r="T60" s="52">
        <v>0</v>
      </c>
      <c r="U60" s="674">
        <v>0</v>
      </c>
      <c r="V60" s="40">
        <v>0</v>
      </c>
      <c r="W60" s="52">
        <v>0</v>
      </c>
      <c r="X60" s="674">
        <v>6856.1418050701868</v>
      </c>
      <c r="Y60" s="40">
        <v>5215.4247912316687</v>
      </c>
      <c r="Z60" s="52">
        <v>-1640.7170138385181</v>
      </c>
      <c r="AA60" s="674">
        <v>386.34000000000003</v>
      </c>
      <c r="AB60" s="40">
        <v>0</v>
      </c>
      <c r="AC60" s="52">
        <v>-386.34000000000003</v>
      </c>
      <c r="AD60" s="674">
        <v>13803.647866122488</v>
      </c>
      <c r="AE60" s="40">
        <v>13678.759970671128</v>
      </c>
      <c r="AF60" s="35">
        <v>-124.88789545136024</v>
      </c>
      <c r="AG60" s="77">
        <v>39576.534451937441</v>
      </c>
      <c r="AH60" s="53">
        <v>38720.651760658293</v>
      </c>
      <c r="AI60" s="52">
        <v>-855.88269127914828</v>
      </c>
      <c r="AJ60" s="674">
        <v>0</v>
      </c>
      <c r="AK60" s="40">
        <v>0</v>
      </c>
      <c r="AL60" s="52">
        <v>0</v>
      </c>
      <c r="AM60" s="674">
        <v>0</v>
      </c>
      <c r="AN60" s="40">
        <v>0</v>
      </c>
      <c r="AO60" s="52">
        <v>0</v>
      </c>
      <c r="AP60" s="674">
        <v>10792.403786042851</v>
      </c>
      <c r="AQ60" s="40">
        <v>15842.952538599189</v>
      </c>
      <c r="AR60" s="52">
        <v>5050.5487525563385</v>
      </c>
      <c r="AS60" s="674">
        <v>26767.932480824904</v>
      </c>
      <c r="AT60" s="40">
        <v>5634</v>
      </c>
      <c r="AU60" s="54">
        <v>-21133.932480824904</v>
      </c>
      <c r="AV60" s="674">
        <v>2554.3643601128497</v>
      </c>
      <c r="AW60" s="40">
        <v>884</v>
      </c>
      <c r="AX60" s="55">
        <v>-1670.3643601128497</v>
      </c>
      <c r="AY60" s="674">
        <v>3680.9138646892934</v>
      </c>
      <c r="AZ60" s="40">
        <v>0</v>
      </c>
      <c r="BA60" s="35">
        <v>-3680.9138646892934</v>
      </c>
      <c r="BB60" s="674">
        <v>1994.2272690868281</v>
      </c>
      <c r="BC60" s="40">
        <v>263</v>
      </c>
      <c r="BD60" s="55">
        <v>-1731.2272690868281</v>
      </c>
      <c r="BE60" s="674">
        <v>0</v>
      </c>
      <c r="BF60" s="40">
        <v>0</v>
      </c>
      <c r="BG60" s="38">
        <v>0</v>
      </c>
      <c r="BH60" s="674">
        <v>0</v>
      </c>
      <c r="BI60" s="40">
        <v>0</v>
      </c>
      <c r="BJ60" s="55">
        <v>0</v>
      </c>
      <c r="BK60" s="674">
        <v>1633.688479566307</v>
      </c>
      <c r="BL60" s="40">
        <v>711</v>
      </c>
      <c r="BM60" s="38">
        <v>-922.68847956630702</v>
      </c>
      <c r="BN60" s="674">
        <v>96.585000000000008</v>
      </c>
      <c r="BO60" s="40">
        <v>0</v>
      </c>
      <c r="BP60" s="55">
        <v>-96.585000000000008</v>
      </c>
      <c r="BQ60" s="77">
        <v>9959.7789734552771</v>
      </c>
      <c r="BR60" s="40">
        <v>1858</v>
      </c>
      <c r="BS60" s="55">
        <v>-8101.7789734552771</v>
      </c>
      <c r="BT60" s="674">
        <v>33498.022521086561</v>
      </c>
      <c r="BU60" s="40">
        <v>40264.084095711034</v>
      </c>
      <c r="BV60" s="52">
        <v>6766.061574624473</v>
      </c>
      <c r="BW60" s="674">
        <v>17225.552509971189</v>
      </c>
      <c r="BX60" s="40">
        <v>17234.667514624489</v>
      </c>
      <c r="BY60" s="52">
        <v>9.1150046533002751</v>
      </c>
      <c r="BZ60" s="674">
        <v>14476.675110482862</v>
      </c>
      <c r="CA60" s="40">
        <v>9880.1181407320619</v>
      </c>
      <c r="CB60" s="52">
        <v>-4596.5569697507999</v>
      </c>
      <c r="CC60" s="674">
        <v>1862.7492223515085</v>
      </c>
      <c r="CD60" s="40">
        <v>1957.7886608362253</v>
      </c>
      <c r="CE60" s="52">
        <v>95.039438484716811</v>
      </c>
      <c r="CF60" s="674">
        <v>227.6664470817127</v>
      </c>
      <c r="CG60" s="40">
        <v>0</v>
      </c>
      <c r="CH60" s="52">
        <v>-227.6664470817127</v>
      </c>
      <c r="CI60" s="674">
        <v>5097.7563880116904</v>
      </c>
      <c r="CJ60" s="40">
        <v>2462.9422018942714</v>
      </c>
      <c r="CK60" s="52">
        <v>-2634.814186117419</v>
      </c>
      <c r="CL60" s="674">
        <v>0</v>
      </c>
      <c r="CM60" s="40">
        <v>0</v>
      </c>
      <c r="CN60" s="52">
        <v>0</v>
      </c>
      <c r="CO60" s="39">
        <v>5097.7563880116904</v>
      </c>
      <c r="CP60" s="40">
        <v>2462.9422018942714</v>
      </c>
      <c r="CQ60" s="52">
        <v>-2634.814186117419</v>
      </c>
      <c r="CR60" s="72">
        <v>159485.07189124599</v>
      </c>
      <c r="CS60" s="5">
        <v>133855.20491305555</v>
      </c>
      <c r="CT60" s="52">
        <v>-25629.866978190432</v>
      </c>
      <c r="CU60" s="77">
        <v>191382.08626949516</v>
      </c>
      <c r="CV60" s="65">
        <v>160626.24589566665</v>
      </c>
      <c r="CW60" s="35">
        <v>-30755.840373828512</v>
      </c>
      <c r="CX60" s="73">
        <v>7316.8299895451601</v>
      </c>
      <c r="CY60" s="40">
        <v>38072.670363373683</v>
      </c>
      <c r="CZ60" s="52">
        <v>30755.840373828523</v>
      </c>
      <c r="DA60" s="150">
        <v>-12335.421227189632</v>
      </c>
      <c r="DB60" s="2">
        <v>2</v>
      </c>
      <c r="DC60" s="675">
        <v>53604.87</v>
      </c>
      <c r="DD60" s="675">
        <v>0</v>
      </c>
      <c r="DE60" s="675">
        <v>36210.149473546437</v>
      </c>
      <c r="DF60" s="675">
        <v>0</v>
      </c>
      <c r="DG60" s="321">
        <v>18420.419146638887</v>
      </c>
      <c r="DH60" s="40">
        <v>198683.78524672007</v>
      </c>
      <c r="DI60" s="422">
        <v>17394.720526453562</v>
      </c>
      <c r="DJ60" s="306">
        <v>5.4029260836942266</v>
      </c>
      <c r="DK60" s="306">
        <v>5.4029260836942266</v>
      </c>
      <c r="DL60" s="306">
        <v>4.7934303155311877</v>
      </c>
      <c r="DM60" s="28">
        <v>17394.720526453562</v>
      </c>
      <c r="DN60" s="28">
        <v>0</v>
      </c>
      <c r="DO60" s="423">
        <v>17394.720526453562</v>
      </c>
      <c r="DP60" s="94">
        <v>0</v>
      </c>
      <c r="DQ60" s="28">
        <v>17394.720526453562</v>
      </c>
      <c r="DR60" s="318"/>
      <c r="DT60" s="8"/>
      <c r="DU60" s="5"/>
      <c r="DX60" s="5">
        <v>44073.253745136215</v>
      </c>
      <c r="DY60" s="5">
        <v>8990.4</v>
      </c>
      <c r="DZ60" s="159">
        <v>3781.3039675153364</v>
      </c>
      <c r="EB60" s="676">
        <v>3111.9579760929028</v>
      </c>
      <c r="EC60" s="676">
        <v>-2621.8196302728174</v>
      </c>
      <c r="ED60" s="676">
        <v>-3591.2673385046619</v>
      </c>
      <c r="EE60" s="676">
        <v>-6052.1287095796324</v>
      </c>
      <c r="EF60" s="676">
        <v>-2891.5221337816383</v>
      </c>
      <c r="EG60" s="676">
        <v>-6608.6514359450121</v>
      </c>
      <c r="EH60" s="676">
        <v>-6304.1034745125908</v>
      </c>
      <c r="EI60" s="676">
        <v>918.81969033865244</v>
      </c>
      <c r="EJ60" s="676">
        <v>-5299.3561158919674</v>
      </c>
      <c r="EK60" s="676">
        <v>-1929.8589652295905</v>
      </c>
      <c r="EL60" s="676">
        <v>4423.6432669123351</v>
      </c>
      <c r="EM60" s="676">
        <v>-3911.5535034544992</v>
      </c>
      <c r="EN60" s="676">
        <v>-30755.84037382852</v>
      </c>
      <c r="EQ60" s="5">
        <v>44073.253745136215</v>
      </c>
      <c r="ER60" s="5">
        <v>8990.4</v>
      </c>
      <c r="ET60" s="318">
        <v>-30047.833900295002</v>
      </c>
      <c r="EU60" s="5">
        <v>-22434.746953066115</v>
      </c>
    </row>
    <row r="61" spans="1:151" x14ac:dyDescent="0.3">
      <c r="A61" s="325">
        <v>150000512</v>
      </c>
      <c r="B61" s="41" t="s">
        <v>510</v>
      </c>
      <c r="C61" s="42" t="s">
        <v>251</v>
      </c>
      <c r="D61" s="27">
        <v>5</v>
      </c>
      <c r="E61" s="293">
        <v>1871.6999999999998</v>
      </c>
      <c r="F61" s="305">
        <v>1738.1</v>
      </c>
      <c r="G61" s="508">
        <v>0</v>
      </c>
      <c r="H61" s="677">
        <v>133.6</v>
      </c>
      <c r="I61" s="674">
        <v>5234.0432233951533</v>
      </c>
      <c r="J61" s="40">
        <v>5758.9065837650387</v>
      </c>
      <c r="K61" s="52">
        <v>524.86336036988541</v>
      </c>
      <c r="L61" s="674">
        <v>1149.7022933188252</v>
      </c>
      <c r="M61" s="40">
        <v>1258.3958205181632</v>
      </c>
      <c r="N61" s="52">
        <v>108.69352719933795</v>
      </c>
      <c r="O61" s="674">
        <v>2224.8207420227204</v>
      </c>
      <c r="P61" s="40">
        <v>2224.8000000000002</v>
      </c>
      <c r="Q61" s="52">
        <v>-2.0742022720241948E-2</v>
      </c>
      <c r="R61" s="674">
        <v>0</v>
      </c>
      <c r="S61" s="40">
        <v>0</v>
      </c>
      <c r="T61" s="52">
        <v>0</v>
      </c>
      <c r="U61" s="674">
        <v>0</v>
      </c>
      <c r="V61" s="40">
        <v>0</v>
      </c>
      <c r="W61" s="52">
        <v>0</v>
      </c>
      <c r="X61" s="674">
        <v>3025.7625546144891</v>
      </c>
      <c r="Y61" s="40">
        <v>2480.4033262888024</v>
      </c>
      <c r="Z61" s="52">
        <v>-545.35922832568667</v>
      </c>
      <c r="AA61" s="674">
        <v>219.39600000000002</v>
      </c>
      <c r="AB61" s="40">
        <v>0</v>
      </c>
      <c r="AC61" s="52">
        <v>-219.39600000000002</v>
      </c>
      <c r="AD61" s="674">
        <v>7972.6591312082364</v>
      </c>
      <c r="AE61" s="40">
        <v>7952.3326718761145</v>
      </c>
      <c r="AF61" s="35">
        <v>-20.326459332121885</v>
      </c>
      <c r="AG61" s="77">
        <v>19826.383944559428</v>
      </c>
      <c r="AH61" s="53">
        <v>19674.83840244812</v>
      </c>
      <c r="AI61" s="52">
        <v>-151.54554211130744</v>
      </c>
      <c r="AJ61" s="674">
        <v>0</v>
      </c>
      <c r="AK61" s="40">
        <v>0</v>
      </c>
      <c r="AL61" s="52">
        <v>0</v>
      </c>
      <c r="AM61" s="674">
        <v>0</v>
      </c>
      <c r="AN61" s="40">
        <v>0</v>
      </c>
      <c r="AO61" s="52">
        <v>0</v>
      </c>
      <c r="AP61" s="674">
        <v>4991.4867510448184</v>
      </c>
      <c r="AQ61" s="40">
        <v>4056.3741527547086</v>
      </c>
      <c r="AR61" s="52">
        <v>-935.11259829010987</v>
      </c>
      <c r="AS61" s="674">
        <v>16796.993408971153</v>
      </c>
      <c r="AT61" s="40">
        <v>2802</v>
      </c>
      <c r="AU61" s="54">
        <v>-13994.993408971153</v>
      </c>
      <c r="AV61" s="674">
        <v>1123.2907681857992</v>
      </c>
      <c r="AW61" s="40">
        <v>0</v>
      </c>
      <c r="AX61" s="55">
        <v>-1123.2907681857992</v>
      </c>
      <c r="AY61" s="674">
        <v>1884.6878331168734</v>
      </c>
      <c r="AZ61" s="40">
        <v>0</v>
      </c>
      <c r="BA61" s="35">
        <v>-1884.6878331168734</v>
      </c>
      <c r="BB61" s="674">
        <v>1253.295752048414</v>
      </c>
      <c r="BC61" s="40">
        <v>0</v>
      </c>
      <c r="BD61" s="55">
        <v>-1253.295752048414</v>
      </c>
      <c r="BE61" s="674">
        <v>0</v>
      </c>
      <c r="BF61" s="40">
        <v>0</v>
      </c>
      <c r="BG61" s="38">
        <v>0</v>
      </c>
      <c r="BH61" s="674">
        <v>0</v>
      </c>
      <c r="BI61" s="40">
        <v>0</v>
      </c>
      <c r="BJ61" s="55">
        <v>0</v>
      </c>
      <c r="BK61" s="674">
        <v>601.0497385288146</v>
      </c>
      <c r="BL61" s="40">
        <v>1745</v>
      </c>
      <c r="BM61" s="38">
        <v>1143.9502614711855</v>
      </c>
      <c r="BN61" s="674">
        <v>54.849000000000004</v>
      </c>
      <c r="BO61" s="40">
        <v>0</v>
      </c>
      <c r="BP61" s="55">
        <v>-54.849000000000004</v>
      </c>
      <c r="BQ61" s="77">
        <v>4917.1730918799012</v>
      </c>
      <c r="BR61" s="40">
        <v>1745</v>
      </c>
      <c r="BS61" s="55">
        <v>-3172.1730918799012</v>
      </c>
      <c r="BT61" s="674">
        <v>10149.503424933395</v>
      </c>
      <c r="BU61" s="40">
        <v>14307.589132768695</v>
      </c>
      <c r="BV61" s="52">
        <v>4158.0857078353001</v>
      </c>
      <c r="BW61" s="674">
        <v>7236.5966088483738</v>
      </c>
      <c r="BX61" s="40">
        <v>8388.6526748492251</v>
      </c>
      <c r="BY61" s="52">
        <v>1152.0560660008514</v>
      </c>
      <c r="BZ61" s="674">
        <v>6543.1664844642783</v>
      </c>
      <c r="CA61" s="40">
        <v>3680.5221637519239</v>
      </c>
      <c r="CB61" s="52">
        <v>-2862.6443207123543</v>
      </c>
      <c r="CC61" s="674">
        <v>492.99076838006488</v>
      </c>
      <c r="CD61" s="40">
        <v>518.14367959472838</v>
      </c>
      <c r="CE61" s="52">
        <v>25.152911214663504</v>
      </c>
      <c r="CF61" s="674">
        <v>60.253659126205925</v>
      </c>
      <c r="CG61" s="40">
        <v>0</v>
      </c>
      <c r="CH61" s="52">
        <v>-60.253659126205925</v>
      </c>
      <c r="CI61" s="674">
        <v>4153.851236948537</v>
      </c>
      <c r="CJ61" s="40">
        <v>4454.3633246273084</v>
      </c>
      <c r="CK61" s="52">
        <v>300.51208767877142</v>
      </c>
      <c r="CL61" s="674">
        <v>0</v>
      </c>
      <c r="CM61" s="40">
        <v>0</v>
      </c>
      <c r="CN61" s="52">
        <v>0</v>
      </c>
      <c r="CO61" s="39">
        <v>4153.851236948537</v>
      </c>
      <c r="CP61" s="40">
        <v>4454.3633246273084</v>
      </c>
      <c r="CQ61" s="52">
        <v>300.51208767877142</v>
      </c>
      <c r="CR61" s="72">
        <v>75168.399379156152</v>
      </c>
      <c r="CS61" s="5">
        <v>59627.483530794714</v>
      </c>
      <c r="CT61" s="52">
        <v>-15540.915848361437</v>
      </c>
      <c r="CU61" s="77">
        <v>90202.079254987373</v>
      </c>
      <c r="CV61" s="65">
        <v>71552.980236953648</v>
      </c>
      <c r="CW61" s="35">
        <v>-18649.099018033725</v>
      </c>
      <c r="CX61" s="73">
        <v>4517.8640863630972</v>
      </c>
      <c r="CY61" s="40">
        <v>23166.963104396818</v>
      </c>
      <c r="CZ61" s="52">
        <v>18649.099018033721</v>
      </c>
      <c r="DA61" s="150">
        <v>28053.923270895168</v>
      </c>
      <c r="DB61" s="2">
        <v>2</v>
      </c>
      <c r="DC61" s="675">
        <v>22377.49</v>
      </c>
      <c r="DD61" s="675">
        <v>895.09999999999991</v>
      </c>
      <c r="DE61" s="675">
        <v>14576.899558599755</v>
      </c>
      <c r="DF61" s="675">
        <v>360.12022611694147</v>
      </c>
      <c r="DG61" s="321">
        <v>46703.022288928893</v>
      </c>
      <c r="DH61" s="40">
        <v>94712.87090180337</v>
      </c>
      <c r="DI61" s="422">
        <v>8335.5702152833055</v>
      </c>
      <c r="DJ61" s="306">
        <v>4.4879986430011209</v>
      </c>
      <c r="DK61" s="306">
        <v>4.4879986430011209</v>
      </c>
      <c r="DL61" s="306">
        <v>4.0043396248731922</v>
      </c>
      <c r="DM61" s="28">
        <v>7800.590441400248</v>
      </c>
      <c r="DN61" s="28">
        <v>534.97977388305844</v>
      </c>
      <c r="DO61" s="423">
        <v>8335.5702152833073</v>
      </c>
      <c r="DP61" s="94">
        <v>0</v>
      </c>
      <c r="DQ61" s="28">
        <v>8335.5702152833073</v>
      </c>
      <c r="DR61" s="318"/>
      <c r="DT61" s="8"/>
      <c r="DU61" s="5"/>
      <c r="DX61" s="5">
        <v>26056.999801021262</v>
      </c>
      <c r="DY61" s="5">
        <v>5456.4</v>
      </c>
      <c r="DZ61" s="159">
        <v>2342.6882305925296</v>
      </c>
      <c r="EB61" s="676">
        <v>-424.71433498671831</v>
      </c>
      <c r="EC61" s="676">
        <v>-1355.2307444716589</v>
      </c>
      <c r="ED61" s="676">
        <v>-1616.9710857790342</v>
      </c>
      <c r="EE61" s="676">
        <v>-3595.4959967983186</v>
      </c>
      <c r="EF61" s="676">
        <v>-3261.5657595400362</v>
      </c>
      <c r="EG61" s="676">
        <v>-2221.175941220079</v>
      </c>
      <c r="EH61" s="676">
        <v>-3542.0757915585582</v>
      </c>
      <c r="EI61" s="676">
        <v>380.61123780230082</v>
      </c>
      <c r="EJ61" s="676">
        <v>-3033.0353529387594</v>
      </c>
      <c r="EK61" s="676">
        <v>452.32231379940458</v>
      </c>
      <c r="EL61" s="676">
        <v>87.074785339358641</v>
      </c>
      <c r="EM61" s="676">
        <v>-518.84234768162878</v>
      </c>
      <c r="EN61" s="676">
        <v>-18649.099018033725</v>
      </c>
      <c r="EQ61" s="5">
        <v>26056.999801021262</v>
      </c>
      <c r="ER61" s="5">
        <v>5456.4</v>
      </c>
      <c r="ET61" s="318">
        <v>-14736.366032897477</v>
      </c>
      <c r="EU61" s="5">
        <v>57429.38832182638</v>
      </c>
    </row>
    <row r="62" spans="1:151" x14ac:dyDescent="0.3">
      <c r="A62" s="325">
        <v>150000513</v>
      </c>
      <c r="B62" s="41" t="s">
        <v>511</v>
      </c>
      <c r="C62" s="42" t="s">
        <v>334</v>
      </c>
      <c r="D62" s="27">
        <v>6</v>
      </c>
      <c r="E62" s="293">
        <v>3630</v>
      </c>
      <c r="F62" s="305">
        <v>2148</v>
      </c>
      <c r="G62" s="508">
        <v>0</v>
      </c>
      <c r="H62" s="677">
        <v>1482</v>
      </c>
      <c r="I62" s="674">
        <v>7715.4282376887168</v>
      </c>
      <c r="J62" s="40">
        <v>8565.010651068249</v>
      </c>
      <c r="K62" s="52">
        <v>849.58241337953223</v>
      </c>
      <c r="L62" s="674">
        <v>1590.0328722702602</v>
      </c>
      <c r="M62" s="40">
        <v>1740.3513473811474</v>
      </c>
      <c r="N62" s="52">
        <v>150.31847511088722</v>
      </c>
      <c r="O62" s="674">
        <v>5277.625932620419</v>
      </c>
      <c r="P62" s="40">
        <v>5277.6299999999992</v>
      </c>
      <c r="Q62" s="52">
        <v>4.0673795801922097E-3</v>
      </c>
      <c r="R62" s="674">
        <v>1106.4729042536496</v>
      </c>
      <c r="S62" s="40">
        <v>1106.4599999999998</v>
      </c>
      <c r="T62" s="52">
        <v>-1.290425364982184E-2</v>
      </c>
      <c r="U62" s="674">
        <v>373.79046901009144</v>
      </c>
      <c r="V62" s="40">
        <v>1262.5747169915198</v>
      </c>
      <c r="W62" s="52">
        <v>888.78424798142839</v>
      </c>
      <c r="X62" s="674">
        <v>3668.2391455076922</v>
      </c>
      <c r="Y62" s="40">
        <v>4829.4863398119496</v>
      </c>
      <c r="Z62" s="52">
        <v>1161.2471943042574</v>
      </c>
      <c r="AA62" s="674">
        <v>431.44799999999998</v>
      </c>
      <c r="AB62" s="40">
        <v>0</v>
      </c>
      <c r="AC62" s="52">
        <v>-431.44799999999998</v>
      </c>
      <c r="AD62" s="674">
        <v>15440.122153168932</v>
      </c>
      <c r="AE62" s="40">
        <v>15422.860286857029</v>
      </c>
      <c r="AF62" s="35">
        <v>-17.26186631190285</v>
      </c>
      <c r="AG62" s="77">
        <v>35603.159714519759</v>
      </c>
      <c r="AH62" s="53">
        <v>38204.373342109895</v>
      </c>
      <c r="AI62" s="52">
        <v>2601.2136275901357</v>
      </c>
      <c r="AJ62" s="674">
        <v>0</v>
      </c>
      <c r="AK62" s="40">
        <v>0</v>
      </c>
      <c r="AL62" s="52">
        <v>0</v>
      </c>
      <c r="AM62" s="674">
        <v>0</v>
      </c>
      <c r="AN62" s="40">
        <v>0</v>
      </c>
      <c r="AO62" s="52">
        <v>0</v>
      </c>
      <c r="AP62" s="674">
        <v>1169.1770768213084</v>
      </c>
      <c r="AQ62" s="40">
        <v>962.8116924792522</v>
      </c>
      <c r="AR62" s="52">
        <v>-206.36538434205625</v>
      </c>
      <c r="AS62" s="674">
        <v>41515.495385728376</v>
      </c>
      <c r="AT62" s="40">
        <v>302</v>
      </c>
      <c r="AU62" s="54">
        <v>-41213.495385728376</v>
      </c>
      <c r="AV62" s="674">
        <v>2054.1181131110166</v>
      </c>
      <c r="AW62" s="40">
        <v>59</v>
      </c>
      <c r="AX62" s="55">
        <v>-1995.1181131110166</v>
      </c>
      <c r="AY62" s="674">
        <v>2606.6567272512793</v>
      </c>
      <c r="AZ62" s="40">
        <v>33</v>
      </c>
      <c r="BA62" s="35">
        <v>-2573.6567272512793</v>
      </c>
      <c r="BB62" s="674">
        <v>2338.8257524910146</v>
      </c>
      <c r="BC62" s="40">
        <v>0</v>
      </c>
      <c r="BD62" s="55">
        <v>-2338.8257524910146</v>
      </c>
      <c r="BE62" s="674">
        <v>1767.9597679858423</v>
      </c>
      <c r="BF62" s="40">
        <v>0</v>
      </c>
      <c r="BG62" s="38">
        <v>-1767.9597679858423</v>
      </c>
      <c r="BH62" s="674">
        <v>638.11701812984256</v>
      </c>
      <c r="BI62" s="40">
        <v>0</v>
      </c>
      <c r="BJ62" s="55">
        <v>-638.11701812984256</v>
      </c>
      <c r="BK62" s="674">
        <v>601.93006920454627</v>
      </c>
      <c r="BL62" s="40">
        <v>142</v>
      </c>
      <c r="BM62" s="38">
        <v>-459.93006920454627</v>
      </c>
      <c r="BN62" s="674">
        <v>107.86199999999999</v>
      </c>
      <c r="BO62" s="40">
        <v>0</v>
      </c>
      <c r="BP62" s="55">
        <v>-107.86199999999999</v>
      </c>
      <c r="BQ62" s="77">
        <v>10115.469448173541</v>
      </c>
      <c r="BR62" s="40">
        <v>234</v>
      </c>
      <c r="BS62" s="55">
        <v>-9881.4694481735405</v>
      </c>
      <c r="BT62" s="674">
        <v>12412.717483539773</v>
      </c>
      <c r="BU62" s="40">
        <v>18055.468302451041</v>
      </c>
      <c r="BV62" s="52">
        <v>5642.7508189112687</v>
      </c>
      <c r="BW62" s="674">
        <v>14530.700473089842</v>
      </c>
      <c r="BX62" s="40">
        <v>15165.069199521875</v>
      </c>
      <c r="BY62" s="52">
        <v>634.36872643203242</v>
      </c>
      <c r="BZ62" s="674">
        <v>8534.5486347407805</v>
      </c>
      <c r="CA62" s="40">
        <v>4635.3492180805752</v>
      </c>
      <c r="CB62" s="52">
        <v>-3899.1994166602053</v>
      </c>
      <c r="CC62" s="674">
        <v>0</v>
      </c>
      <c r="CD62" s="40">
        <v>0</v>
      </c>
      <c r="CE62" s="52">
        <v>0</v>
      </c>
      <c r="CF62" s="674">
        <v>0</v>
      </c>
      <c r="CG62" s="40">
        <v>0</v>
      </c>
      <c r="CH62" s="52">
        <v>0</v>
      </c>
      <c r="CI62" s="674">
        <v>2759.3949925420211</v>
      </c>
      <c r="CJ62" s="40">
        <v>5318.4630883221271</v>
      </c>
      <c r="CK62" s="52">
        <v>2559.068095780106</v>
      </c>
      <c r="CL62" s="674">
        <v>0</v>
      </c>
      <c r="CM62" s="40">
        <v>0</v>
      </c>
      <c r="CN62" s="52">
        <v>0</v>
      </c>
      <c r="CO62" s="39">
        <v>2759.3949925420211</v>
      </c>
      <c r="CP62" s="40">
        <v>5318.4630883221271</v>
      </c>
      <c r="CQ62" s="52">
        <v>2559.068095780106</v>
      </c>
      <c r="CR62" s="72">
        <v>126640.66320915541</v>
      </c>
      <c r="CS62" s="5">
        <v>82877.534842964771</v>
      </c>
      <c r="CT62" s="52">
        <v>-43763.128366190635</v>
      </c>
      <c r="CU62" s="77">
        <v>151968.79585098647</v>
      </c>
      <c r="CV62" s="65">
        <v>99453.041811557719</v>
      </c>
      <c r="CW62" s="35">
        <v>-52515.75403942875</v>
      </c>
      <c r="CX62" s="73">
        <v>4600.030923775581</v>
      </c>
      <c r="CY62" s="40">
        <v>57115.784963204351</v>
      </c>
      <c r="CZ62" s="52">
        <v>52515.754039428772</v>
      </c>
      <c r="DA62" s="150">
        <v>-65122.98591449474</v>
      </c>
      <c r="DB62" s="2">
        <v>2</v>
      </c>
      <c r="DC62" s="675">
        <v>38759.29</v>
      </c>
      <c r="DD62" s="675">
        <v>7069.6900000000005</v>
      </c>
      <c r="DE62" s="675">
        <v>29978.128199644623</v>
      </c>
      <c r="DF62" s="675">
        <v>2132.0359861796433</v>
      </c>
      <c r="DG62" s="321">
        <v>-12607.23187506596</v>
      </c>
      <c r="DH62" s="40">
        <v>156556.94371162026</v>
      </c>
      <c r="DI62" s="422">
        <v>13718.815814175736</v>
      </c>
      <c r="DJ62" s="306">
        <v>4.0880641528656323</v>
      </c>
      <c r="DK62" s="306">
        <v>4.0880641528656323</v>
      </c>
      <c r="DL62" s="306">
        <v>3.3317503467073935</v>
      </c>
      <c r="DM62" s="28">
        <v>8781.1618003553776</v>
      </c>
      <c r="DN62" s="28">
        <v>4937.6540138203572</v>
      </c>
      <c r="DO62" s="423">
        <v>13718.815814175734</v>
      </c>
      <c r="DP62" s="94">
        <v>0</v>
      </c>
      <c r="DQ62" s="28">
        <v>13718.815814175734</v>
      </c>
      <c r="DR62" s="318"/>
      <c r="DT62" s="8"/>
      <c r="DU62" s="5"/>
      <c r="DX62" s="5">
        <v>61957.157800682297</v>
      </c>
      <c r="DY62" s="5">
        <v>643.19999999999993</v>
      </c>
      <c r="DZ62" s="159">
        <v>5562.1755406539478</v>
      </c>
      <c r="EB62" s="676">
        <v>-713.92439831542833</v>
      </c>
      <c r="EC62" s="676">
        <v>-2509.9504023574136</v>
      </c>
      <c r="ED62" s="676">
        <v>-3221.7993127002419</v>
      </c>
      <c r="EE62" s="676">
        <v>-7404.6317121839074</v>
      </c>
      <c r="EF62" s="676">
        <v>-5973.8541739266439</v>
      </c>
      <c r="EG62" s="676">
        <v>-6602.3047731444585</v>
      </c>
      <c r="EH62" s="676">
        <v>-5469.6362005217443</v>
      </c>
      <c r="EI62" s="676">
        <v>-4799.6391692835005</v>
      </c>
      <c r="EJ62" s="676">
        <v>-5391.3288946641014</v>
      </c>
      <c r="EK62" s="676">
        <v>-4239.1554111289443</v>
      </c>
      <c r="EL62" s="676">
        <v>-2081.7442506471634</v>
      </c>
      <c r="EM62" s="676">
        <v>-4107.7853405552232</v>
      </c>
      <c r="EN62" s="676">
        <v>-52515.754039428779</v>
      </c>
      <c r="EQ62" s="5">
        <v>61957.157800682297</v>
      </c>
      <c r="ER62" s="5">
        <v>643.19999999999993</v>
      </c>
      <c r="ET62" s="318">
        <v>-43950.763982441043</v>
      </c>
      <c r="EU62" s="5">
        <v>81734.532107375097</v>
      </c>
    </row>
    <row r="63" spans="1:151" x14ac:dyDescent="0.3">
      <c r="A63" s="325">
        <v>150000538</v>
      </c>
      <c r="B63" s="41" t="s">
        <v>512</v>
      </c>
      <c r="C63" s="42" t="s">
        <v>208</v>
      </c>
      <c r="D63" s="27">
        <v>4</v>
      </c>
      <c r="E63" s="293">
        <v>1469.3</v>
      </c>
      <c r="F63" s="305">
        <v>1469.3</v>
      </c>
      <c r="G63" s="508">
        <v>0</v>
      </c>
      <c r="H63" s="677">
        <v>0</v>
      </c>
      <c r="I63" s="674">
        <v>4525.252280715009</v>
      </c>
      <c r="J63" s="40">
        <v>4958.6428499691037</v>
      </c>
      <c r="K63" s="52">
        <v>433.39056925409477</v>
      </c>
      <c r="L63" s="674">
        <v>702.71701385034396</v>
      </c>
      <c r="M63" s="40">
        <v>769.15443918554854</v>
      </c>
      <c r="N63" s="52">
        <v>66.43742533520458</v>
      </c>
      <c r="O63" s="674">
        <v>1915.3097831878649</v>
      </c>
      <c r="P63" s="40">
        <v>1915.32</v>
      </c>
      <c r="Q63" s="52">
        <v>1.0216812135013242E-2</v>
      </c>
      <c r="R63" s="674">
        <v>0</v>
      </c>
      <c r="S63" s="40">
        <v>0</v>
      </c>
      <c r="T63" s="52">
        <v>0</v>
      </c>
      <c r="U63" s="674">
        <v>0</v>
      </c>
      <c r="V63" s="40">
        <v>0</v>
      </c>
      <c r="W63" s="52">
        <v>0</v>
      </c>
      <c r="X63" s="674">
        <v>2731.1914339435548</v>
      </c>
      <c r="Y63" s="40">
        <v>1975.1265012449335</v>
      </c>
      <c r="Z63" s="52">
        <v>-756.06493269862131</v>
      </c>
      <c r="AA63" s="674">
        <v>176.316</v>
      </c>
      <c r="AB63" s="40">
        <v>0</v>
      </c>
      <c r="AC63" s="52">
        <v>-176.316</v>
      </c>
      <c r="AD63" s="674">
        <v>6299.6533137956239</v>
      </c>
      <c r="AE63" s="40">
        <v>6242.647002611302</v>
      </c>
      <c r="AF63" s="35">
        <v>-57.00631118432193</v>
      </c>
      <c r="AG63" s="77">
        <v>16350.439825492398</v>
      </c>
      <c r="AH63" s="53">
        <v>15860.890793010887</v>
      </c>
      <c r="AI63" s="52">
        <v>-489.54903248151095</v>
      </c>
      <c r="AJ63" s="674">
        <v>0</v>
      </c>
      <c r="AK63" s="40">
        <v>0</v>
      </c>
      <c r="AL63" s="52">
        <v>0</v>
      </c>
      <c r="AM63" s="674">
        <v>0</v>
      </c>
      <c r="AN63" s="40">
        <v>0</v>
      </c>
      <c r="AO63" s="52">
        <v>0</v>
      </c>
      <c r="AP63" s="674">
        <v>5755.9486858895179</v>
      </c>
      <c r="AQ63" s="40">
        <v>4786.8213251190264</v>
      </c>
      <c r="AR63" s="52">
        <v>-969.12736077049158</v>
      </c>
      <c r="AS63" s="674">
        <v>13386.460746842282</v>
      </c>
      <c r="AT63" s="40">
        <v>91895</v>
      </c>
      <c r="AU63" s="54">
        <v>78508.539253157724</v>
      </c>
      <c r="AV63" s="674">
        <v>989.71656030432064</v>
      </c>
      <c r="AW63" s="40">
        <v>0</v>
      </c>
      <c r="AX63" s="55">
        <v>-989.71656030432064</v>
      </c>
      <c r="AY63" s="674">
        <v>1152.1761441372496</v>
      </c>
      <c r="AZ63" s="40">
        <v>0</v>
      </c>
      <c r="BA63" s="35">
        <v>-1152.1761441372496</v>
      </c>
      <c r="BB63" s="674">
        <v>1001.4878539630618</v>
      </c>
      <c r="BC63" s="40">
        <v>0</v>
      </c>
      <c r="BD63" s="55">
        <v>-1001.4878539630618</v>
      </c>
      <c r="BE63" s="674">
        <v>0</v>
      </c>
      <c r="BF63" s="40">
        <v>0</v>
      </c>
      <c r="BG63" s="38">
        <v>0</v>
      </c>
      <c r="BH63" s="674">
        <v>0</v>
      </c>
      <c r="BI63" s="40">
        <v>0</v>
      </c>
      <c r="BJ63" s="55">
        <v>0</v>
      </c>
      <c r="BK63" s="674">
        <v>522.03056588983156</v>
      </c>
      <c r="BL63" s="40">
        <v>291</v>
      </c>
      <c r="BM63" s="38">
        <v>-231.03056588983156</v>
      </c>
      <c r="BN63" s="674">
        <v>44.079000000000001</v>
      </c>
      <c r="BO63" s="40">
        <v>0</v>
      </c>
      <c r="BP63" s="55">
        <v>-44.079000000000001</v>
      </c>
      <c r="BQ63" s="77">
        <v>3709.4901242944638</v>
      </c>
      <c r="BR63" s="40">
        <v>291</v>
      </c>
      <c r="BS63" s="55">
        <v>-3418.4901242944638</v>
      </c>
      <c r="BT63" s="674">
        <v>19722.955884957231</v>
      </c>
      <c r="BU63" s="40">
        <v>23501.639309545648</v>
      </c>
      <c r="BV63" s="52">
        <v>3778.6834245884165</v>
      </c>
      <c r="BW63" s="674">
        <v>6616.4209661616096</v>
      </c>
      <c r="BX63" s="40">
        <v>7486.4906278316303</v>
      </c>
      <c r="BY63" s="52">
        <v>870.06966167002065</v>
      </c>
      <c r="BZ63" s="674">
        <v>6209.1372586998623</v>
      </c>
      <c r="CA63" s="40">
        <v>5337.1093754461526</v>
      </c>
      <c r="CB63" s="52">
        <v>-872.02788325370966</v>
      </c>
      <c r="CC63" s="674">
        <v>923.73242057234268</v>
      </c>
      <c r="CD63" s="40">
        <v>970.86222715494762</v>
      </c>
      <c r="CE63" s="52">
        <v>47.129806582604942</v>
      </c>
      <c r="CF63" s="674">
        <v>112.89918992982439</v>
      </c>
      <c r="CG63" s="40">
        <v>0</v>
      </c>
      <c r="CH63" s="52">
        <v>-112.89918992982439</v>
      </c>
      <c r="CI63" s="674">
        <v>3980.40949599329</v>
      </c>
      <c r="CJ63" s="40">
        <v>5166.9632443371365</v>
      </c>
      <c r="CK63" s="52">
        <v>1186.5537483438466</v>
      </c>
      <c r="CL63" s="674">
        <v>0</v>
      </c>
      <c r="CM63" s="40">
        <v>0</v>
      </c>
      <c r="CN63" s="52">
        <v>0</v>
      </c>
      <c r="CO63" s="39">
        <v>3980.40949599329</v>
      </c>
      <c r="CP63" s="40">
        <v>5166.9632443371365</v>
      </c>
      <c r="CQ63" s="52">
        <v>1186.5537483438466</v>
      </c>
      <c r="CR63" s="72">
        <v>76767.894598832805</v>
      </c>
      <c r="CS63" s="5">
        <v>155296.77690244545</v>
      </c>
      <c r="CT63" s="52">
        <v>78528.882303612641</v>
      </c>
      <c r="CU63" s="77">
        <v>92121.473518599363</v>
      </c>
      <c r="CV63" s="65">
        <v>186356.13228293453</v>
      </c>
      <c r="CW63" s="35">
        <v>94234.658764335167</v>
      </c>
      <c r="CX63" s="73">
        <v>942.1124726888238</v>
      </c>
      <c r="CY63" s="40">
        <v>-93292.546291646286</v>
      </c>
      <c r="CZ63" s="52">
        <v>-94234.658764335109</v>
      </c>
      <c r="DA63" s="150">
        <v>93969.001461084539</v>
      </c>
      <c r="DB63" s="2">
        <v>2</v>
      </c>
      <c r="DC63" s="675">
        <v>14140.81</v>
      </c>
      <c r="DD63" s="675">
        <v>0</v>
      </c>
      <c r="DE63" s="675">
        <v>5981.4906371499865</v>
      </c>
      <c r="DF63" s="675">
        <v>0</v>
      </c>
      <c r="DG63" s="321">
        <v>-265.65730325058848</v>
      </c>
      <c r="DH63" s="40">
        <v>93056.538718263051</v>
      </c>
      <c r="DI63" s="422">
        <v>8159.319362850013</v>
      </c>
      <c r="DJ63" s="306">
        <v>5.5532017714898343</v>
      </c>
      <c r="DK63" s="306">
        <v>5.5532017714898343</v>
      </c>
      <c r="DL63" s="306">
        <v>5.0544500086809743</v>
      </c>
      <c r="DM63" s="28">
        <v>8159.319362850013</v>
      </c>
      <c r="DN63" s="28">
        <v>0</v>
      </c>
      <c r="DO63" s="423">
        <v>8159.319362850013</v>
      </c>
      <c r="DP63" s="94">
        <v>0</v>
      </c>
      <c r="DQ63" s="28">
        <v>8159.319362850013</v>
      </c>
      <c r="DR63" s="318"/>
      <c r="DT63" s="8"/>
      <c r="DU63" s="5"/>
      <c r="DX63" s="5">
        <v>20515.141045364093</v>
      </c>
      <c r="DY63" s="5">
        <v>110623.2</v>
      </c>
      <c r="DZ63" s="159">
        <v>1858.6929087743983</v>
      </c>
      <c r="EB63" s="676">
        <v>2167.6737521362083</v>
      </c>
      <c r="EC63" s="676">
        <v>36496.165051471682</v>
      </c>
      <c r="ED63" s="676">
        <v>16628.207610738697</v>
      </c>
      <c r="EE63" s="676">
        <v>-3614.8238282857283</v>
      </c>
      <c r="EF63" s="676">
        <v>-1473.6846826304245</v>
      </c>
      <c r="EG63" s="676">
        <v>-3254.9233543524651</v>
      </c>
      <c r="EH63" s="676">
        <v>380.12804631069321</v>
      </c>
      <c r="EI63" s="676">
        <v>-2168.2587105111525</v>
      </c>
      <c r="EJ63" s="676">
        <v>49427.851094513731</v>
      </c>
      <c r="EK63" s="676">
        <v>-1594.3123652254035</v>
      </c>
      <c r="EL63" s="676">
        <v>2831.8640101606788</v>
      </c>
      <c r="EM63" s="676">
        <v>-1591.2278599913934</v>
      </c>
      <c r="EN63" s="676">
        <v>94234.658764335123</v>
      </c>
      <c r="EQ63" s="5">
        <v>20515.141045364093</v>
      </c>
      <c r="ER63" s="5">
        <v>110623.2</v>
      </c>
      <c r="ET63" s="318">
        <v>-15781.673773175746</v>
      </c>
      <c r="EU63" s="5">
        <v>-5531.98353007484</v>
      </c>
    </row>
    <row r="64" spans="1:151" x14ac:dyDescent="0.3">
      <c r="A64" s="325">
        <v>150000514</v>
      </c>
      <c r="B64" s="41" t="s">
        <v>513</v>
      </c>
      <c r="C64" s="42" t="s">
        <v>152</v>
      </c>
      <c r="D64" s="27">
        <v>2</v>
      </c>
      <c r="E64" s="293">
        <v>253.5</v>
      </c>
      <c r="F64" s="305">
        <v>253.5</v>
      </c>
      <c r="G64" s="508">
        <v>0</v>
      </c>
      <c r="H64" s="677">
        <v>0</v>
      </c>
      <c r="I64" s="674">
        <v>1392.3305631701453</v>
      </c>
      <c r="J64" s="40">
        <v>1508.4876676645993</v>
      </c>
      <c r="K64" s="52">
        <v>116.15710449445396</v>
      </c>
      <c r="L64" s="674">
        <v>281.57214083043436</v>
      </c>
      <c r="M64" s="40">
        <v>308.19442089595674</v>
      </c>
      <c r="N64" s="52">
        <v>26.622280065522375</v>
      </c>
      <c r="O64" s="674">
        <v>365.24789516509003</v>
      </c>
      <c r="P64" s="40">
        <v>365.25000000000006</v>
      </c>
      <c r="Q64" s="52">
        <v>2.1048349100283303E-3</v>
      </c>
      <c r="R64" s="674">
        <v>0</v>
      </c>
      <c r="S64" s="40">
        <v>0</v>
      </c>
      <c r="T64" s="52">
        <v>0</v>
      </c>
      <c r="U64" s="674">
        <v>0</v>
      </c>
      <c r="V64" s="40">
        <v>0</v>
      </c>
      <c r="W64" s="52">
        <v>0</v>
      </c>
      <c r="X64" s="674">
        <v>888.70308841281587</v>
      </c>
      <c r="Y64" s="40">
        <v>768.84686489482635</v>
      </c>
      <c r="Z64" s="52">
        <v>-119.85622351798952</v>
      </c>
      <c r="AA64" s="674">
        <v>30.42</v>
      </c>
      <c r="AB64" s="40">
        <v>0</v>
      </c>
      <c r="AC64" s="52">
        <v>-30.42</v>
      </c>
      <c r="AD64" s="674">
        <v>1086.8915163777094</v>
      </c>
      <c r="AE64" s="40">
        <v>1077.0509869747261</v>
      </c>
      <c r="AF64" s="35">
        <v>-9.840529402983293</v>
      </c>
      <c r="AG64" s="77">
        <v>4045.165203956195</v>
      </c>
      <c r="AH64" s="53">
        <v>4027.8299404301088</v>
      </c>
      <c r="AI64" s="52">
        <v>-17.335263526086237</v>
      </c>
      <c r="AJ64" s="674">
        <v>0</v>
      </c>
      <c r="AK64" s="40">
        <v>0</v>
      </c>
      <c r="AL64" s="52">
        <v>0</v>
      </c>
      <c r="AM64" s="674">
        <v>0</v>
      </c>
      <c r="AN64" s="40">
        <v>0</v>
      </c>
      <c r="AO64" s="52">
        <v>0</v>
      </c>
      <c r="AP64" s="674">
        <v>539.62018930214231</v>
      </c>
      <c r="AQ64" s="40">
        <v>506.77042289369842</v>
      </c>
      <c r="AR64" s="52">
        <v>-32.849766408443884</v>
      </c>
      <c r="AS64" s="674">
        <v>4339.4678067498608</v>
      </c>
      <c r="AT64" s="40">
        <v>151</v>
      </c>
      <c r="AU64" s="54">
        <v>-4188.4678067498608</v>
      </c>
      <c r="AV64" s="674">
        <v>406.5904380129669</v>
      </c>
      <c r="AW64" s="40">
        <v>0</v>
      </c>
      <c r="AX64" s="55">
        <v>-406.5904380129669</v>
      </c>
      <c r="AY64" s="674">
        <v>461.68150384734167</v>
      </c>
      <c r="AZ64" s="40">
        <v>0</v>
      </c>
      <c r="BA64" s="35">
        <v>-461.68150384734167</v>
      </c>
      <c r="BB64" s="674">
        <v>64.254942139013295</v>
      </c>
      <c r="BC64" s="40">
        <v>0</v>
      </c>
      <c r="BD64" s="55">
        <v>-64.254942139013295</v>
      </c>
      <c r="BE64" s="674">
        <v>0</v>
      </c>
      <c r="BF64" s="40">
        <v>0</v>
      </c>
      <c r="BG64" s="38">
        <v>0</v>
      </c>
      <c r="BH64" s="674">
        <v>0</v>
      </c>
      <c r="BI64" s="40">
        <v>0</v>
      </c>
      <c r="BJ64" s="55">
        <v>0</v>
      </c>
      <c r="BK64" s="674">
        <v>95.609109999152707</v>
      </c>
      <c r="BL64" s="40">
        <v>711</v>
      </c>
      <c r="BM64" s="38">
        <v>615.39089000084732</v>
      </c>
      <c r="BN64" s="674">
        <v>7.6050000000000004</v>
      </c>
      <c r="BO64" s="40">
        <v>0</v>
      </c>
      <c r="BP64" s="55">
        <v>-7.6050000000000004</v>
      </c>
      <c r="BQ64" s="77">
        <v>1035.7409939984746</v>
      </c>
      <c r="BR64" s="40">
        <v>711</v>
      </c>
      <c r="BS64" s="55">
        <v>-324.74099399847455</v>
      </c>
      <c r="BT64" s="674">
        <v>0</v>
      </c>
      <c r="BU64" s="40">
        <v>0</v>
      </c>
      <c r="BV64" s="52">
        <v>0</v>
      </c>
      <c r="BW64" s="674">
        <v>141.56550577845908</v>
      </c>
      <c r="BX64" s="40">
        <v>645.97466606369971</v>
      </c>
      <c r="BY64" s="52">
        <v>504.40916028524066</v>
      </c>
      <c r="BZ64" s="674">
        <v>0</v>
      </c>
      <c r="CA64" s="40">
        <v>0</v>
      </c>
      <c r="CB64" s="52">
        <v>0</v>
      </c>
      <c r="CC64" s="674">
        <v>0</v>
      </c>
      <c r="CD64" s="40">
        <v>0</v>
      </c>
      <c r="CE64" s="52">
        <v>0</v>
      </c>
      <c r="CF64" s="674">
        <v>0</v>
      </c>
      <c r="CG64" s="40">
        <v>0</v>
      </c>
      <c r="CH64" s="52">
        <v>0</v>
      </c>
      <c r="CI64" s="674">
        <v>317.97587047762318</v>
      </c>
      <c r="CJ64" s="40">
        <v>158.74952932751404</v>
      </c>
      <c r="CK64" s="52">
        <v>-159.22634115010914</v>
      </c>
      <c r="CL64" s="674">
        <v>0</v>
      </c>
      <c r="CM64" s="40">
        <v>0</v>
      </c>
      <c r="CN64" s="52">
        <v>0</v>
      </c>
      <c r="CO64" s="39">
        <v>317.97587047762318</v>
      </c>
      <c r="CP64" s="40">
        <v>158.74952932751404</v>
      </c>
      <c r="CQ64" s="52">
        <v>-159.22634115010914</v>
      </c>
      <c r="CR64" s="72">
        <v>10419.535570262757</v>
      </c>
      <c r="CS64" s="5">
        <v>6201.3245587150204</v>
      </c>
      <c r="CT64" s="52">
        <v>-4218.2110115477362</v>
      </c>
      <c r="CU64" s="77">
        <v>12503.442684315307</v>
      </c>
      <c r="CV64" s="65">
        <v>7441.5894704580242</v>
      </c>
      <c r="CW64" s="35">
        <v>-5061.8532138572828</v>
      </c>
      <c r="CX64" s="73">
        <v>278.10995336276966</v>
      </c>
      <c r="CY64" s="40">
        <v>5339.9631672200503</v>
      </c>
      <c r="CZ64" s="52">
        <v>5061.8532138572809</v>
      </c>
      <c r="DA64" s="150">
        <v>-19940.651592976305</v>
      </c>
      <c r="DB64" s="2">
        <v>2</v>
      </c>
      <c r="DC64" s="675">
        <v>1121.71</v>
      </c>
      <c r="DD64" s="675">
        <v>0</v>
      </c>
      <c r="DE64" s="675">
        <v>-1.0876193450940264E-2</v>
      </c>
      <c r="DF64" s="675">
        <v>0</v>
      </c>
      <c r="DG64" s="321">
        <v>-14878.798379119022</v>
      </c>
      <c r="DH64" s="40">
        <v>12780.588312173211</v>
      </c>
      <c r="DI64" s="422">
        <v>1121.720876193451</v>
      </c>
      <c r="DJ64" s="306">
        <v>4.4249344228538501</v>
      </c>
      <c r="DK64" s="306">
        <v>4.4249344228538501</v>
      </c>
      <c r="DL64" s="306">
        <v>4.3493583605973685</v>
      </c>
      <c r="DM64" s="28">
        <v>1121.720876193451</v>
      </c>
      <c r="DN64" s="28">
        <v>0</v>
      </c>
      <c r="DO64" s="423">
        <v>1121.720876193451</v>
      </c>
      <c r="DP64" s="94">
        <v>0</v>
      </c>
      <c r="DQ64" s="28">
        <v>1121.720876193451</v>
      </c>
      <c r="DR64" s="318"/>
      <c r="DT64" s="8"/>
      <c r="DU64" s="5"/>
      <c r="DX64" s="5">
        <v>6450.2505608980018</v>
      </c>
      <c r="DY64" s="5">
        <v>1034.3999999999999</v>
      </c>
      <c r="DZ64" s="159">
        <v>587.63143644507068</v>
      </c>
      <c r="EB64" s="676">
        <v>-369.3198326142757</v>
      </c>
      <c r="EC64" s="676">
        <v>-410.56552085298716</v>
      </c>
      <c r="ED64" s="676">
        <v>-472.63268694469497</v>
      </c>
      <c r="EE64" s="676">
        <v>-765.40179813497582</v>
      </c>
      <c r="EF64" s="676">
        <v>-768.70893600960608</v>
      </c>
      <c r="EG64" s="676">
        <v>-485.29901584724064</v>
      </c>
      <c r="EH64" s="676">
        <v>-751.30045216174551</v>
      </c>
      <c r="EI64" s="676">
        <v>-678.66569670577201</v>
      </c>
      <c r="EJ64" s="676">
        <v>-706.11122991316483</v>
      </c>
      <c r="EK64" s="676">
        <v>-380.48563662218908</v>
      </c>
      <c r="EL64" s="676">
        <v>1093.0125279272081</v>
      </c>
      <c r="EM64" s="676">
        <v>-366.37493597783669</v>
      </c>
      <c r="EN64" s="676">
        <v>-5061.8532138572809</v>
      </c>
      <c r="EQ64" s="5">
        <v>6450.2505608980018</v>
      </c>
      <c r="ER64" s="5">
        <v>1034.3999999999999</v>
      </c>
      <c r="ET64" s="318">
        <v>-3053.8961536470815</v>
      </c>
      <c r="EU64" s="5">
        <v>-4768.9022254719421</v>
      </c>
    </row>
    <row r="65" spans="1:151" x14ac:dyDescent="0.3">
      <c r="A65" s="325">
        <v>150000515</v>
      </c>
      <c r="B65" s="41" t="s">
        <v>514</v>
      </c>
      <c r="C65" s="42" t="s">
        <v>54</v>
      </c>
      <c r="D65" s="27">
        <v>1</v>
      </c>
      <c r="E65" s="293">
        <v>200.6</v>
      </c>
      <c r="F65" s="305">
        <v>200.6</v>
      </c>
      <c r="G65" s="508">
        <v>0</v>
      </c>
      <c r="H65" s="677">
        <v>0</v>
      </c>
      <c r="I65" s="674">
        <v>0</v>
      </c>
      <c r="J65" s="40">
        <v>0</v>
      </c>
      <c r="K65" s="52">
        <v>0</v>
      </c>
      <c r="L65" s="674">
        <v>0</v>
      </c>
      <c r="M65" s="40">
        <v>0</v>
      </c>
      <c r="N65" s="52">
        <v>0</v>
      </c>
      <c r="O65" s="674">
        <v>0</v>
      </c>
      <c r="P65" s="40">
        <v>0</v>
      </c>
      <c r="Q65" s="52">
        <v>0</v>
      </c>
      <c r="R65" s="674">
        <v>0</v>
      </c>
      <c r="S65" s="40">
        <v>0</v>
      </c>
      <c r="T65" s="52">
        <v>0</v>
      </c>
      <c r="U65" s="674">
        <v>0</v>
      </c>
      <c r="V65" s="40">
        <v>0</v>
      </c>
      <c r="W65" s="52">
        <v>0</v>
      </c>
      <c r="X65" s="674">
        <v>0</v>
      </c>
      <c r="Y65" s="40">
        <v>0</v>
      </c>
      <c r="Z65" s="52">
        <v>0</v>
      </c>
      <c r="AA65" s="674">
        <v>24.071999999999996</v>
      </c>
      <c r="AB65" s="40">
        <v>0</v>
      </c>
      <c r="AC65" s="52">
        <v>-24.071999999999996</v>
      </c>
      <c r="AD65" s="674">
        <v>192.68712624273249</v>
      </c>
      <c r="AE65" s="40">
        <v>852.29360152714048</v>
      </c>
      <c r="AF65" s="35">
        <v>659.60647528440802</v>
      </c>
      <c r="AG65" s="77">
        <v>216.75912624273249</v>
      </c>
      <c r="AH65" s="53">
        <v>852.29360152714048</v>
      </c>
      <c r="AI65" s="52">
        <v>635.53447528440802</v>
      </c>
      <c r="AJ65" s="674">
        <v>0</v>
      </c>
      <c r="AK65" s="40">
        <v>0</v>
      </c>
      <c r="AL65" s="52">
        <v>0</v>
      </c>
      <c r="AM65" s="674">
        <v>0</v>
      </c>
      <c r="AN65" s="40">
        <v>0</v>
      </c>
      <c r="AO65" s="52">
        <v>0</v>
      </c>
      <c r="AP65" s="674">
        <v>539.62018930214231</v>
      </c>
      <c r="AQ65" s="40">
        <v>448.76449922990878</v>
      </c>
      <c r="AR65" s="52">
        <v>-90.855690072233529</v>
      </c>
      <c r="AS65" s="674">
        <v>2355.5435788810373</v>
      </c>
      <c r="AT65" s="40">
        <v>0</v>
      </c>
      <c r="AU65" s="54">
        <v>-2355.5435788810373</v>
      </c>
      <c r="AV65" s="674">
        <v>0</v>
      </c>
      <c r="AW65" s="40">
        <v>0</v>
      </c>
      <c r="AX65" s="55">
        <v>0</v>
      </c>
      <c r="AY65" s="674">
        <v>0</v>
      </c>
      <c r="AZ65" s="40">
        <v>0</v>
      </c>
      <c r="BA65" s="35">
        <v>0</v>
      </c>
      <c r="BB65" s="674">
        <v>0</v>
      </c>
      <c r="BC65" s="40">
        <v>0</v>
      </c>
      <c r="BD65" s="55">
        <v>0</v>
      </c>
      <c r="BE65" s="674">
        <v>0</v>
      </c>
      <c r="BF65" s="40">
        <v>0</v>
      </c>
      <c r="BG65" s="38">
        <v>0</v>
      </c>
      <c r="BH65" s="674">
        <v>0</v>
      </c>
      <c r="BI65" s="40">
        <v>0</v>
      </c>
      <c r="BJ65" s="55">
        <v>0</v>
      </c>
      <c r="BK65" s="674">
        <v>0</v>
      </c>
      <c r="BL65" s="40">
        <v>0</v>
      </c>
      <c r="BM65" s="38">
        <v>0</v>
      </c>
      <c r="BN65" s="674">
        <v>6.0179999999999989</v>
      </c>
      <c r="BO65" s="40">
        <v>0</v>
      </c>
      <c r="BP65" s="55">
        <v>-6.0179999999999989</v>
      </c>
      <c r="BQ65" s="77">
        <v>6.0179999999999989</v>
      </c>
      <c r="BR65" s="40">
        <v>0</v>
      </c>
      <c r="BS65" s="55">
        <v>-6.0179999999999989</v>
      </c>
      <c r="BT65" s="674">
        <v>125.61680645953689</v>
      </c>
      <c r="BU65" s="40">
        <v>162.57104286747202</v>
      </c>
      <c r="BV65" s="52">
        <v>36.954236407935127</v>
      </c>
      <c r="BW65" s="674">
        <v>0</v>
      </c>
      <c r="BX65" s="40">
        <v>4.5629839500875571</v>
      </c>
      <c r="BY65" s="52">
        <v>4.5629839500875571</v>
      </c>
      <c r="BZ65" s="674">
        <v>0</v>
      </c>
      <c r="CA65" s="40">
        <v>52.333710812390819</v>
      </c>
      <c r="CB65" s="52">
        <v>52.333710812390819</v>
      </c>
      <c r="CC65" s="674">
        <v>0</v>
      </c>
      <c r="CD65" s="40">
        <v>0</v>
      </c>
      <c r="CE65" s="52">
        <v>0</v>
      </c>
      <c r="CF65" s="674">
        <v>0</v>
      </c>
      <c r="CG65" s="40">
        <v>0</v>
      </c>
      <c r="CH65" s="52">
        <v>0</v>
      </c>
      <c r="CI65" s="674">
        <v>0</v>
      </c>
      <c r="CJ65" s="40">
        <v>0</v>
      </c>
      <c r="CK65" s="52">
        <v>0</v>
      </c>
      <c r="CL65" s="674">
        <v>0</v>
      </c>
      <c r="CM65" s="40">
        <v>0</v>
      </c>
      <c r="CN65" s="52">
        <v>0</v>
      </c>
      <c r="CO65" s="39">
        <v>0</v>
      </c>
      <c r="CP65" s="40">
        <v>0</v>
      </c>
      <c r="CQ65" s="52">
        <v>0</v>
      </c>
      <c r="CR65" s="72">
        <v>3243.5577008854489</v>
      </c>
      <c r="CS65" s="5">
        <v>1520.5258383869996</v>
      </c>
      <c r="CT65" s="52">
        <v>-1723.0318624984493</v>
      </c>
      <c r="CU65" s="77">
        <v>3892.2692410625386</v>
      </c>
      <c r="CV65" s="65">
        <v>1824.6310060643993</v>
      </c>
      <c r="CW65" s="35">
        <v>-2067.6382349981395</v>
      </c>
      <c r="CX65" s="73">
        <v>117.68511670090636</v>
      </c>
      <c r="CY65" s="40">
        <v>2185.3233516990449</v>
      </c>
      <c r="CZ65" s="52">
        <v>2067.6382349981386</v>
      </c>
      <c r="DA65" s="150">
        <v>-2646.3536106207557</v>
      </c>
      <c r="DB65" s="2">
        <v>2</v>
      </c>
      <c r="DC65" s="675">
        <v>600.41999999999996</v>
      </c>
      <c r="DD65" s="675">
        <v>0</v>
      </c>
      <c r="DE65" s="675">
        <v>248.45714641614597</v>
      </c>
      <c r="DF65" s="675">
        <v>0</v>
      </c>
      <c r="DG65" s="321">
        <v>-578.71537562261688</v>
      </c>
      <c r="DH65" s="40">
        <v>4009.6519672675845</v>
      </c>
      <c r="DI65" s="422">
        <v>351.96285358385398</v>
      </c>
      <c r="DJ65" s="306">
        <v>1.7545506160710569</v>
      </c>
      <c r="DK65" s="306">
        <v>1.7545506160710569</v>
      </c>
      <c r="DL65" s="306">
        <v>1.7545506160710569</v>
      </c>
      <c r="DM65" s="28">
        <v>351.96285358385398</v>
      </c>
      <c r="DN65" s="28">
        <v>0</v>
      </c>
      <c r="DO65" s="423">
        <v>351.96285358385398</v>
      </c>
      <c r="DP65" s="94">
        <v>0</v>
      </c>
      <c r="DQ65" s="28">
        <v>351.96285358385398</v>
      </c>
      <c r="DR65" s="318"/>
      <c r="DT65" s="8"/>
      <c r="DU65" s="5"/>
      <c r="DX65" s="5">
        <v>2833.8738946572448</v>
      </c>
      <c r="DY65" s="5">
        <v>0</v>
      </c>
      <c r="DZ65" s="159">
        <v>269.80842763878815</v>
      </c>
      <c r="EB65" s="676">
        <v>130.31601891190229</v>
      </c>
      <c r="EC65" s="676">
        <v>-159.41483435823346</v>
      </c>
      <c r="ED65" s="676">
        <v>-155.78265768953548</v>
      </c>
      <c r="EE65" s="676">
        <v>-283.04699934925532</v>
      </c>
      <c r="EF65" s="676">
        <v>-241.08027600071824</v>
      </c>
      <c r="EG65" s="676">
        <v>-245.63400673302806</v>
      </c>
      <c r="EH65" s="676">
        <v>21.000522377088714</v>
      </c>
      <c r="EI65" s="676">
        <v>-211.35364627859212</v>
      </c>
      <c r="EJ65" s="676">
        <v>-243.5909237051373</v>
      </c>
      <c r="EK65" s="676">
        <v>-202.14816440794141</v>
      </c>
      <c r="EL65" s="676">
        <v>-229.33926222720689</v>
      </c>
      <c r="EM65" s="676">
        <v>-247.56400553748136</v>
      </c>
      <c r="EN65" s="676">
        <v>-2067.6382349981386</v>
      </c>
      <c r="EQ65" s="5">
        <v>2833.8738946572448</v>
      </c>
      <c r="ER65" s="5">
        <v>0</v>
      </c>
      <c r="ET65" s="318">
        <v>1849.6720716921509</v>
      </c>
      <c r="EU65" s="5">
        <v>-1367.3874473147675</v>
      </c>
    </row>
    <row r="66" spans="1:151" x14ac:dyDescent="0.3">
      <c r="A66" s="325">
        <v>150000539</v>
      </c>
      <c r="B66" s="41" t="s">
        <v>515</v>
      </c>
      <c r="C66" s="42" t="s">
        <v>55</v>
      </c>
      <c r="D66" s="27">
        <v>1</v>
      </c>
      <c r="E66" s="293">
        <v>83.8</v>
      </c>
      <c r="F66" s="305">
        <v>83.8</v>
      </c>
      <c r="G66" s="508">
        <v>0</v>
      </c>
      <c r="H66" s="677">
        <v>0</v>
      </c>
      <c r="I66" s="674">
        <v>0</v>
      </c>
      <c r="J66" s="40">
        <v>0</v>
      </c>
      <c r="K66" s="52">
        <v>0</v>
      </c>
      <c r="L66" s="674">
        <v>0</v>
      </c>
      <c r="M66" s="40">
        <v>0</v>
      </c>
      <c r="N66" s="52">
        <v>0</v>
      </c>
      <c r="O66" s="674">
        <v>0</v>
      </c>
      <c r="P66" s="40">
        <v>0</v>
      </c>
      <c r="Q66" s="52">
        <v>0</v>
      </c>
      <c r="R66" s="674">
        <v>0</v>
      </c>
      <c r="S66" s="40">
        <v>0</v>
      </c>
      <c r="T66" s="52">
        <v>0</v>
      </c>
      <c r="U66" s="674">
        <v>0</v>
      </c>
      <c r="V66" s="40">
        <v>0</v>
      </c>
      <c r="W66" s="52">
        <v>0</v>
      </c>
      <c r="X66" s="674">
        <v>0</v>
      </c>
      <c r="Y66" s="40">
        <v>0</v>
      </c>
      <c r="Z66" s="52">
        <v>0</v>
      </c>
      <c r="AA66" s="674">
        <v>10.055999999999999</v>
      </c>
      <c r="AB66" s="40">
        <v>0</v>
      </c>
      <c r="AC66" s="52">
        <v>-10.055999999999999</v>
      </c>
      <c r="AD66" s="674">
        <v>80.513435855919624</v>
      </c>
      <c r="AE66" s="40">
        <v>356.04289036876554</v>
      </c>
      <c r="AF66" s="35">
        <v>275.52945451284592</v>
      </c>
      <c r="AG66" s="77">
        <v>90.569435855919622</v>
      </c>
      <c r="AH66" s="53">
        <v>356.04289036876554</v>
      </c>
      <c r="AI66" s="52">
        <v>265.47345451284593</v>
      </c>
      <c r="AJ66" s="674">
        <v>0</v>
      </c>
      <c r="AK66" s="40">
        <v>0</v>
      </c>
      <c r="AL66" s="52">
        <v>0</v>
      </c>
      <c r="AM66" s="674">
        <v>0</v>
      </c>
      <c r="AN66" s="40">
        <v>0</v>
      </c>
      <c r="AO66" s="52">
        <v>0</v>
      </c>
      <c r="AP66" s="674">
        <v>269.81009465107115</v>
      </c>
      <c r="AQ66" s="40">
        <v>224.38224961495439</v>
      </c>
      <c r="AR66" s="52">
        <v>-45.427845036116764</v>
      </c>
      <c r="AS66" s="674">
        <v>1002.2562130687713</v>
      </c>
      <c r="AT66" s="40">
        <v>0</v>
      </c>
      <c r="AU66" s="54">
        <v>-1002.2562130687713</v>
      </c>
      <c r="AV66" s="674">
        <v>0</v>
      </c>
      <c r="AW66" s="40">
        <v>0</v>
      </c>
      <c r="AX66" s="55">
        <v>0</v>
      </c>
      <c r="AY66" s="674">
        <v>0</v>
      </c>
      <c r="AZ66" s="40">
        <v>0</v>
      </c>
      <c r="BA66" s="35">
        <v>0</v>
      </c>
      <c r="BB66" s="674">
        <v>0</v>
      </c>
      <c r="BC66" s="40">
        <v>0</v>
      </c>
      <c r="BD66" s="55">
        <v>0</v>
      </c>
      <c r="BE66" s="674">
        <v>0</v>
      </c>
      <c r="BF66" s="40">
        <v>0</v>
      </c>
      <c r="BG66" s="38">
        <v>0</v>
      </c>
      <c r="BH66" s="674">
        <v>0</v>
      </c>
      <c r="BI66" s="40">
        <v>0</v>
      </c>
      <c r="BJ66" s="55">
        <v>0</v>
      </c>
      <c r="BK66" s="674">
        <v>0</v>
      </c>
      <c r="BL66" s="40">
        <v>0</v>
      </c>
      <c r="BM66" s="38">
        <v>0</v>
      </c>
      <c r="BN66" s="674">
        <v>2.5139999999999998</v>
      </c>
      <c r="BO66" s="40">
        <v>0</v>
      </c>
      <c r="BP66" s="55">
        <v>-2.5139999999999998</v>
      </c>
      <c r="BQ66" s="77">
        <v>2.5139999999999998</v>
      </c>
      <c r="BR66" s="40">
        <v>0</v>
      </c>
      <c r="BS66" s="55">
        <v>-2.5139999999999998</v>
      </c>
      <c r="BT66" s="674">
        <v>53.835774196944392</v>
      </c>
      <c r="BU66" s="40">
        <v>69.71338164304639</v>
      </c>
      <c r="BV66" s="52">
        <v>15.877607446101997</v>
      </c>
      <c r="BW66" s="674">
        <v>0</v>
      </c>
      <c r="BX66" s="40">
        <v>1.9061717598072647</v>
      </c>
      <c r="BY66" s="52">
        <v>1.9061717598072647</v>
      </c>
      <c r="BZ66" s="674">
        <v>0</v>
      </c>
      <c r="CA66" s="40">
        <v>22.418255960295753</v>
      </c>
      <c r="CB66" s="52">
        <v>22.418255960295753</v>
      </c>
      <c r="CC66" s="674">
        <v>0</v>
      </c>
      <c r="CD66" s="40">
        <v>0</v>
      </c>
      <c r="CE66" s="52">
        <v>0</v>
      </c>
      <c r="CF66" s="674">
        <v>0</v>
      </c>
      <c r="CG66" s="40">
        <v>0</v>
      </c>
      <c r="CH66" s="52">
        <v>0</v>
      </c>
      <c r="CI66" s="674">
        <v>0</v>
      </c>
      <c r="CJ66" s="40">
        <v>0</v>
      </c>
      <c r="CK66" s="52">
        <v>0</v>
      </c>
      <c r="CL66" s="674">
        <v>0</v>
      </c>
      <c r="CM66" s="40">
        <v>0</v>
      </c>
      <c r="CN66" s="52">
        <v>0</v>
      </c>
      <c r="CO66" s="39">
        <v>0</v>
      </c>
      <c r="CP66" s="40">
        <v>0</v>
      </c>
      <c r="CQ66" s="52">
        <v>0</v>
      </c>
      <c r="CR66" s="72">
        <v>1418.9855177727063</v>
      </c>
      <c r="CS66" s="5">
        <v>674.46294934686932</v>
      </c>
      <c r="CT66" s="52">
        <v>-744.52256842583699</v>
      </c>
      <c r="CU66" s="77">
        <v>1702.7826213272476</v>
      </c>
      <c r="CV66" s="65">
        <v>809.35553921624319</v>
      </c>
      <c r="CW66" s="35">
        <v>-893.42708211100444</v>
      </c>
      <c r="CX66" s="73">
        <v>51.500438545905936</v>
      </c>
      <c r="CY66" s="40">
        <v>944.92752065691047</v>
      </c>
      <c r="CZ66" s="52">
        <v>893.42708211100455</v>
      </c>
      <c r="DA66" s="150">
        <v>10087.766356315589</v>
      </c>
      <c r="DB66" s="2">
        <v>2</v>
      </c>
      <c r="DC66" s="675">
        <v>219.25</v>
      </c>
      <c r="DD66" s="675">
        <v>0</v>
      </c>
      <c r="DE66" s="675">
        <v>65.344648046764519</v>
      </c>
      <c r="DF66" s="675">
        <v>0</v>
      </c>
      <c r="DG66" s="321">
        <v>10981.193438426593</v>
      </c>
      <c r="DH66" s="40">
        <v>1754.1505365633122</v>
      </c>
      <c r="DI66" s="422">
        <v>153.90535195323545</v>
      </c>
      <c r="DJ66" s="306">
        <v>1.8365793789168912</v>
      </c>
      <c r="DK66" s="306">
        <v>1.8365793789168912</v>
      </c>
      <c r="DL66" s="306">
        <v>1.8365793789168912</v>
      </c>
      <c r="DM66" s="28">
        <v>153.90535195323548</v>
      </c>
      <c r="DN66" s="28">
        <v>0</v>
      </c>
      <c r="DO66" s="423">
        <v>153.90535195323548</v>
      </c>
      <c r="DP66" s="94">
        <v>0</v>
      </c>
      <c r="DQ66" s="28">
        <v>153.90535195323548</v>
      </c>
      <c r="DR66" s="318"/>
      <c r="DT66" s="8"/>
      <c r="DU66" s="5"/>
      <c r="DX66" s="5">
        <v>1205.7242556825256</v>
      </c>
      <c r="DY66" s="5">
        <v>0</v>
      </c>
      <c r="DZ66" s="159">
        <v>114.56293036813658</v>
      </c>
      <c r="EB66" s="676">
        <v>71.091023876075241</v>
      </c>
      <c r="EC66" s="676">
        <v>-72.075895194591965</v>
      </c>
      <c r="ED66" s="676">
        <v>-70.558565160509744</v>
      </c>
      <c r="EE66" s="676">
        <v>-124.94831836488753</v>
      </c>
      <c r="EF66" s="676">
        <v>-107.06322392422922</v>
      </c>
      <c r="EG66" s="676">
        <v>-108.97133549519049</v>
      </c>
      <c r="EH66" s="676">
        <v>24.576664691985314</v>
      </c>
      <c r="EI66" s="676">
        <v>-94.636985251308445</v>
      </c>
      <c r="EJ66" s="676">
        <v>-108.1035589439216</v>
      </c>
      <c r="EK66" s="676">
        <v>-90.794412145196773</v>
      </c>
      <c r="EL66" s="676">
        <v>-102.16630027084337</v>
      </c>
      <c r="EM66" s="676">
        <v>-109.7761759283857</v>
      </c>
      <c r="EN66" s="676">
        <v>-893.42708211100432</v>
      </c>
      <c r="EQ66" s="5">
        <v>1205.7242556825256</v>
      </c>
      <c r="ER66" s="5">
        <v>0</v>
      </c>
      <c r="ET66" s="318">
        <v>12033.474067544979</v>
      </c>
      <c r="EU66" s="5">
        <v>-595.2806291183847</v>
      </c>
    </row>
    <row r="67" spans="1:151" x14ac:dyDescent="0.3">
      <c r="A67" s="325">
        <v>150000516</v>
      </c>
      <c r="B67" s="41" t="s">
        <v>516</v>
      </c>
      <c r="C67" s="42" t="s">
        <v>56</v>
      </c>
      <c r="D67" s="27">
        <v>1</v>
      </c>
      <c r="E67" s="293">
        <v>323.10000000000002</v>
      </c>
      <c r="F67" s="305">
        <v>323.10000000000002</v>
      </c>
      <c r="G67" s="508">
        <v>0</v>
      </c>
      <c r="H67" s="677">
        <v>0</v>
      </c>
      <c r="I67" s="674">
        <v>0</v>
      </c>
      <c r="J67" s="40">
        <v>0</v>
      </c>
      <c r="K67" s="52">
        <v>0</v>
      </c>
      <c r="L67" s="674">
        <v>0</v>
      </c>
      <c r="M67" s="40">
        <v>0</v>
      </c>
      <c r="N67" s="52">
        <v>0</v>
      </c>
      <c r="O67" s="674">
        <v>0</v>
      </c>
      <c r="P67" s="40">
        <v>0</v>
      </c>
      <c r="Q67" s="52">
        <v>0</v>
      </c>
      <c r="R67" s="674">
        <v>0</v>
      </c>
      <c r="S67" s="40">
        <v>0</v>
      </c>
      <c r="T67" s="52">
        <v>0</v>
      </c>
      <c r="U67" s="674">
        <v>0</v>
      </c>
      <c r="V67" s="40">
        <v>0</v>
      </c>
      <c r="W67" s="52">
        <v>0</v>
      </c>
      <c r="X67" s="674">
        <v>0</v>
      </c>
      <c r="Y67" s="40">
        <v>0</v>
      </c>
      <c r="Z67" s="52">
        <v>0</v>
      </c>
      <c r="AA67" s="674">
        <v>38.772000000000006</v>
      </c>
      <c r="AB67" s="40">
        <v>0</v>
      </c>
      <c r="AC67" s="52">
        <v>-38.772000000000006</v>
      </c>
      <c r="AD67" s="674">
        <v>310.34963209010522</v>
      </c>
      <c r="AE67" s="40">
        <v>1179.5525266319071</v>
      </c>
      <c r="AF67" s="35">
        <v>869.20289454180192</v>
      </c>
      <c r="AG67" s="77">
        <v>349.12163209010521</v>
      </c>
      <c r="AH67" s="53">
        <v>1179.5525266319071</v>
      </c>
      <c r="AI67" s="52">
        <v>830.43089454180188</v>
      </c>
      <c r="AJ67" s="674">
        <v>0</v>
      </c>
      <c r="AK67" s="40">
        <v>0</v>
      </c>
      <c r="AL67" s="52">
        <v>0</v>
      </c>
      <c r="AM67" s="674">
        <v>0</v>
      </c>
      <c r="AN67" s="40">
        <v>0</v>
      </c>
      <c r="AO67" s="52">
        <v>0</v>
      </c>
      <c r="AP67" s="674">
        <v>444.91842501277739</v>
      </c>
      <c r="AQ67" s="40">
        <v>448.76449922990878</v>
      </c>
      <c r="AR67" s="52">
        <v>3.8460742171313882</v>
      </c>
      <c r="AS67" s="674">
        <v>2831.2932232131689</v>
      </c>
      <c r="AT67" s="40">
        <v>0</v>
      </c>
      <c r="AU67" s="54">
        <v>-2831.2932232131689</v>
      </c>
      <c r="AV67" s="674">
        <v>0</v>
      </c>
      <c r="AW67" s="40">
        <v>0</v>
      </c>
      <c r="AX67" s="55">
        <v>0</v>
      </c>
      <c r="AY67" s="674">
        <v>0</v>
      </c>
      <c r="AZ67" s="40">
        <v>0</v>
      </c>
      <c r="BA67" s="35">
        <v>0</v>
      </c>
      <c r="BB67" s="674">
        <v>0</v>
      </c>
      <c r="BC67" s="40">
        <v>0</v>
      </c>
      <c r="BD67" s="55">
        <v>0</v>
      </c>
      <c r="BE67" s="674">
        <v>0</v>
      </c>
      <c r="BF67" s="40">
        <v>0</v>
      </c>
      <c r="BG67" s="38">
        <v>0</v>
      </c>
      <c r="BH67" s="674">
        <v>0</v>
      </c>
      <c r="BI67" s="40">
        <v>0</v>
      </c>
      <c r="BJ67" s="55">
        <v>0</v>
      </c>
      <c r="BK67" s="674">
        <v>0</v>
      </c>
      <c r="BL67" s="40">
        <v>0</v>
      </c>
      <c r="BM67" s="38">
        <v>0</v>
      </c>
      <c r="BN67" s="674">
        <v>9.6930000000000014</v>
      </c>
      <c r="BO67" s="40">
        <v>0</v>
      </c>
      <c r="BP67" s="55">
        <v>-9.6930000000000014</v>
      </c>
      <c r="BQ67" s="77">
        <v>9.6930000000000014</v>
      </c>
      <c r="BR67" s="40">
        <v>0</v>
      </c>
      <c r="BS67" s="55">
        <v>-9.6930000000000014</v>
      </c>
      <c r="BT67" s="674">
        <v>33.497815055876515</v>
      </c>
      <c r="BU67" s="40">
        <v>51.956847579395514</v>
      </c>
      <c r="BV67" s="52">
        <v>18.459032523518999</v>
      </c>
      <c r="BW67" s="674">
        <v>0</v>
      </c>
      <c r="BX67" s="40">
        <v>6.041572290637701</v>
      </c>
      <c r="BY67" s="52">
        <v>6.041572290637701</v>
      </c>
      <c r="BZ67" s="674">
        <v>0</v>
      </c>
      <c r="CA67" s="40">
        <v>3.1696759434582931</v>
      </c>
      <c r="CB67" s="52">
        <v>3.1696759434582931</v>
      </c>
      <c r="CC67" s="674">
        <v>0</v>
      </c>
      <c r="CD67" s="40">
        <v>0</v>
      </c>
      <c r="CE67" s="52">
        <v>0</v>
      </c>
      <c r="CF67" s="674">
        <v>0</v>
      </c>
      <c r="CG67" s="40">
        <v>0</v>
      </c>
      <c r="CH67" s="52">
        <v>0</v>
      </c>
      <c r="CI67" s="674">
        <v>0</v>
      </c>
      <c r="CJ67" s="40">
        <v>0</v>
      </c>
      <c r="CK67" s="52">
        <v>0</v>
      </c>
      <c r="CL67" s="674">
        <v>0</v>
      </c>
      <c r="CM67" s="40">
        <v>0</v>
      </c>
      <c r="CN67" s="52">
        <v>0</v>
      </c>
      <c r="CO67" s="39">
        <v>0</v>
      </c>
      <c r="CP67" s="40">
        <v>0</v>
      </c>
      <c r="CQ67" s="52">
        <v>0</v>
      </c>
      <c r="CR67" s="72">
        <v>3668.5240953719281</v>
      </c>
      <c r="CS67" s="5">
        <v>1689.4851216753075</v>
      </c>
      <c r="CT67" s="52">
        <v>-1979.0389736966206</v>
      </c>
      <c r="CU67" s="77">
        <v>4402.2289144463139</v>
      </c>
      <c r="CV67" s="65">
        <v>2027.3821460103688</v>
      </c>
      <c r="CW67" s="35">
        <v>-2374.8467684359448</v>
      </c>
      <c r="CX67" s="73">
        <v>138.07514742049796</v>
      </c>
      <c r="CY67" s="40">
        <v>2512.9219158564415</v>
      </c>
      <c r="CZ67" s="52">
        <v>2374.8467684359434</v>
      </c>
      <c r="DA67" s="150">
        <v>-1846.6012084197878</v>
      </c>
      <c r="DB67" s="2">
        <v>2</v>
      </c>
      <c r="DC67" s="675">
        <v>9784.75</v>
      </c>
      <c r="DD67" s="675">
        <v>0</v>
      </c>
      <c r="DE67" s="675">
        <v>9784.75</v>
      </c>
      <c r="DF67" s="675">
        <v>0</v>
      </c>
      <c r="DG67" s="321">
        <v>528.24556001615611</v>
      </c>
      <c r="DH67" s="40">
        <v>5506.2290027746167</v>
      </c>
      <c r="DI67" s="422">
        <v>483.1703575707146</v>
      </c>
      <c r="DJ67" s="306">
        <v>1.4954204814940097</v>
      </c>
      <c r="DK67" s="306">
        <v>1.4954204814940097</v>
      </c>
      <c r="DL67" s="306">
        <v>1.4954204814940097</v>
      </c>
      <c r="DM67" s="28">
        <v>483.1703575707146</v>
      </c>
      <c r="DN67" s="28">
        <v>0</v>
      </c>
      <c r="DO67" s="423">
        <v>483.1703575707146</v>
      </c>
      <c r="DP67" s="94">
        <v>0</v>
      </c>
      <c r="DQ67" s="28">
        <v>483.1703575707146</v>
      </c>
      <c r="DR67" s="318"/>
      <c r="DT67" s="8"/>
      <c r="DU67" s="5"/>
      <c r="DX67" s="5">
        <v>3409.183467855803</v>
      </c>
      <c r="DY67" s="5">
        <v>0</v>
      </c>
      <c r="DZ67" s="159">
        <v>408.82217354850985</v>
      </c>
      <c r="EB67" s="676">
        <v>108.57904107754257</v>
      </c>
      <c r="EC67" s="676">
        <v>-193.76194411011352</v>
      </c>
      <c r="ED67" s="676">
        <v>-187.91171339398031</v>
      </c>
      <c r="EE67" s="676">
        <v>-374.21186860263174</v>
      </c>
      <c r="EF67" s="676">
        <v>-346.6303324556917</v>
      </c>
      <c r="EG67" s="676">
        <v>-353.30801802625336</v>
      </c>
      <c r="EH67" s="676">
        <v>-88.416396153158871</v>
      </c>
      <c r="EI67" s="676">
        <v>-299.65979854549619</v>
      </c>
      <c r="EJ67" s="676">
        <v>-351.6336434920587</v>
      </c>
      <c r="EK67" s="676">
        <v>-287.89209473410222</v>
      </c>
      <c r="EL67" s="676">
        <v>0</v>
      </c>
      <c r="EM67" s="676">
        <v>0</v>
      </c>
      <c r="EN67" s="676">
        <v>-2374.8467684359439</v>
      </c>
      <c r="EQ67" s="5">
        <v>3409.183467855803</v>
      </c>
      <c r="ER67" s="5">
        <v>0</v>
      </c>
      <c r="ET67" s="318">
        <v>4689.2993403399068</v>
      </c>
      <c r="EU67" s="5">
        <v>-1756.0537803237503</v>
      </c>
    </row>
    <row r="68" spans="1:151" x14ac:dyDescent="0.3">
      <c r="A68" s="325">
        <v>150000517</v>
      </c>
      <c r="B68" s="41" t="s">
        <v>517</v>
      </c>
      <c r="C68" s="42" t="s">
        <v>252</v>
      </c>
      <c r="D68" s="27">
        <v>5</v>
      </c>
      <c r="E68" s="293">
        <v>1894.8000000000002</v>
      </c>
      <c r="F68" s="305">
        <v>1531.9</v>
      </c>
      <c r="G68" s="508">
        <v>0</v>
      </c>
      <c r="H68" s="677">
        <v>362.9</v>
      </c>
      <c r="I68" s="674">
        <v>6041.8704518967434</v>
      </c>
      <c r="J68" s="40">
        <v>6621.3699539301197</v>
      </c>
      <c r="K68" s="52">
        <v>579.4995020333763</v>
      </c>
      <c r="L68" s="674">
        <v>1146.4840214668025</v>
      </c>
      <c r="M68" s="40">
        <v>1254.8705395739771</v>
      </c>
      <c r="N68" s="52">
        <v>108.38651810717465</v>
      </c>
      <c r="O68" s="674">
        <v>2275.1015563106448</v>
      </c>
      <c r="P68" s="40">
        <v>2275.1099999999997</v>
      </c>
      <c r="Q68" s="52">
        <v>8.4436893548627268E-3</v>
      </c>
      <c r="R68" s="674">
        <v>0</v>
      </c>
      <c r="S68" s="40">
        <v>0</v>
      </c>
      <c r="T68" s="52">
        <v>0</v>
      </c>
      <c r="U68" s="674">
        <v>0</v>
      </c>
      <c r="V68" s="40">
        <v>0</v>
      </c>
      <c r="W68" s="52">
        <v>0</v>
      </c>
      <c r="X68" s="674">
        <v>2850.398419860142</v>
      </c>
      <c r="Y68" s="40">
        <v>2187.7388324924427</v>
      </c>
      <c r="Z68" s="52">
        <v>-662.65958736769926</v>
      </c>
      <c r="AA68" s="674">
        <v>230.59200000000001</v>
      </c>
      <c r="AB68" s="40">
        <v>0</v>
      </c>
      <c r="AC68" s="52">
        <v>-230.59200000000001</v>
      </c>
      <c r="AD68" s="674">
        <v>8129.7317829316116</v>
      </c>
      <c r="AE68" s="40">
        <v>8050.4781464288435</v>
      </c>
      <c r="AF68" s="35">
        <v>-79.253636502768131</v>
      </c>
      <c r="AG68" s="77">
        <v>20674.178232465947</v>
      </c>
      <c r="AH68" s="53">
        <v>20389.567472425384</v>
      </c>
      <c r="AI68" s="52">
        <v>-284.61076004056304</v>
      </c>
      <c r="AJ68" s="674">
        <v>0</v>
      </c>
      <c r="AK68" s="40">
        <v>0</v>
      </c>
      <c r="AL68" s="52">
        <v>0</v>
      </c>
      <c r="AM68" s="674">
        <v>0</v>
      </c>
      <c r="AN68" s="40">
        <v>0</v>
      </c>
      <c r="AO68" s="52">
        <v>0</v>
      </c>
      <c r="AP68" s="674">
        <v>4451.8665617426759</v>
      </c>
      <c r="AQ68" s="40">
        <v>5501.7303434884725</v>
      </c>
      <c r="AR68" s="52">
        <v>1049.8637817457966</v>
      </c>
      <c r="AS68" s="674">
        <v>19555.475370877211</v>
      </c>
      <c r="AT68" s="40">
        <v>1697.7216929360293</v>
      </c>
      <c r="AU68" s="54">
        <v>-17857.753677941182</v>
      </c>
      <c r="AV68" s="674">
        <v>1384.0227751046389</v>
      </c>
      <c r="AW68" s="40">
        <v>0</v>
      </c>
      <c r="AX68" s="55">
        <v>-1384.0227751046389</v>
      </c>
      <c r="AY68" s="674">
        <v>1879.5256069500886</v>
      </c>
      <c r="AZ68" s="40">
        <v>0</v>
      </c>
      <c r="BA68" s="35">
        <v>-1879.5256069500886</v>
      </c>
      <c r="BB68" s="674">
        <v>1289.6216588513171</v>
      </c>
      <c r="BC68" s="40">
        <v>546</v>
      </c>
      <c r="BD68" s="55">
        <v>-743.62165885131708</v>
      </c>
      <c r="BE68" s="674">
        <v>0</v>
      </c>
      <c r="BF68" s="40">
        <v>0</v>
      </c>
      <c r="BG68" s="38">
        <v>0</v>
      </c>
      <c r="BH68" s="674">
        <v>0</v>
      </c>
      <c r="BI68" s="40">
        <v>0</v>
      </c>
      <c r="BJ68" s="55">
        <v>0</v>
      </c>
      <c r="BK68" s="674">
        <v>547.3681850458413</v>
      </c>
      <c r="BL68" s="40">
        <v>711</v>
      </c>
      <c r="BM68" s="38">
        <v>163.6318149541587</v>
      </c>
      <c r="BN68" s="674">
        <v>57.648000000000003</v>
      </c>
      <c r="BO68" s="40">
        <v>0</v>
      </c>
      <c r="BP68" s="55">
        <v>-57.648000000000003</v>
      </c>
      <c r="BQ68" s="77">
        <v>5158.1862259518866</v>
      </c>
      <c r="BR68" s="40">
        <v>1257</v>
      </c>
      <c r="BS68" s="55">
        <v>-3901.1862259518866</v>
      </c>
      <c r="BT68" s="674">
        <v>8899.9566122627857</v>
      </c>
      <c r="BU68" s="40">
        <v>12087.138273715491</v>
      </c>
      <c r="BV68" s="52">
        <v>3187.1816614527052</v>
      </c>
      <c r="BW68" s="674">
        <v>7047.1239484578582</v>
      </c>
      <c r="BX68" s="40">
        <v>7591.0783698168034</v>
      </c>
      <c r="BY68" s="52">
        <v>543.95442135894518</v>
      </c>
      <c r="BZ68" s="674">
        <v>5609.3897882632809</v>
      </c>
      <c r="CA68" s="40">
        <v>3010.2703304713459</v>
      </c>
      <c r="CB68" s="52">
        <v>-2599.119457791935</v>
      </c>
      <c r="CC68" s="674">
        <v>0</v>
      </c>
      <c r="CD68" s="40">
        <v>0</v>
      </c>
      <c r="CE68" s="52">
        <v>0</v>
      </c>
      <c r="CF68" s="674">
        <v>0</v>
      </c>
      <c r="CG68" s="40">
        <v>0</v>
      </c>
      <c r="CH68" s="52">
        <v>0</v>
      </c>
      <c r="CI68" s="674">
        <v>2993.5304457314792</v>
      </c>
      <c r="CJ68" s="40">
        <v>1756.0138226343142</v>
      </c>
      <c r="CK68" s="52">
        <v>-1237.5166230971649</v>
      </c>
      <c r="CL68" s="674">
        <v>0</v>
      </c>
      <c r="CM68" s="40">
        <v>0</v>
      </c>
      <c r="CN68" s="52">
        <v>0</v>
      </c>
      <c r="CO68" s="39">
        <v>2993.5304457314792</v>
      </c>
      <c r="CP68" s="40">
        <v>1756.0138226343142</v>
      </c>
      <c r="CQ68" s="52">
        <v>-1237.5166230971649</v>
      </c>
      <c r="CR68" s="72">
        <v>74389.707185753126</v>
      </c>
      <c r="CS68" s="5">
        <v>53290.520305487837</v>
      </c>
      <c r="CT68" s="52">
        <v>-21099.18688026529</v>
      </c>
      <c r="CU68" s="77">
        <v>89267.648622903755</v>
      </c>
      <c r="CV68" s="65">
        <v>63948.624366585398</v>
      </c>
      <c r="CW68" s="35">
        <v>-25319.024256318356</v>
      </c>
      <c r="CX68" s="73">
        <v>3415.7631698405412</v>
      </c>
      <c r="CY68" s="40">
        <v>28734.787426158866</v>
      </c>
      <c r="CZ68" s="52">
        <v>25319.024256318324</v>
      </c>
      <c r="DA68" s="150">
        <v>93689.099867393772</v>
      </c>
      <c r="DB68" s="2">
        <v>2</v>
      </c>
      <c r="DC68" s="675">
        <v>29857.52</v>
      </c>
      <c r="DD68" s="675">
        <v>2767.7299999999996</v>
      </c>
      <c r="DE68" s="675">
        <v>23161.010195547256</v>
      </c>
      <c r="DF68" s="675">
        <v>1372.5203092883175</v>
      </c>
      <c r="DG68" s="321">
        <v>119008.1241237121</v>
      </c>
      <c r="DH68" s="40">
        <v>92676.282584682835</v>
      </c>
      <c r="DI68" s="422">
        <v>8091.7194951644269</v>
      </c>
      <c r="DJ68" s="306">
        <v>4.3713752884997348</v>
      </c>
      <c r="DK68" s="306">
        <v>4.3713752884997348</v>
      </c>
      <c r="DL68" s="306">
        <v>3.8446119887343126</v>
      </c>
      <c r="DM68" s="28">
        <v>6696.509804452744</v>
      </c>
      <c r="DN68" s="28">
        <v>1395.209690711682</v>
      </c>
      <c r="DO68" s="423">
        <v>8091.719495164426</v>
      </c>
      <c r="DP68" s="94">
        <v>0</v>
      </c>
      <c r="DQ68" s="28">
        <v>8091.719495164426</v>
      </c>
      <c r="DR68" s="318"/>
      <c r="DT68" s="8"/>
      <c r="DU68" s="5"/>
      <c r="DX68" s="5">
        <v>29656.393916194917</v>
      </c>
      <c r="DY68" s="5">
        <v>3545.6660315232352</v>
      </c>
      <c r="DZ68" s="159">
        <v>2719.9493559072043</v>
      </c>
      <c r="EB68" s="676">
        <v>1079.8200955916645</v>
      </c>
      <c r="EC68" s="676">
        <v>-1534.2812874914471</v>
      </c>
      <c r="ED68" s="676">
        <v>-1875.0560310999035</v>
      </c>
      <c r="EE68" s="676">
        <v>-3444.6807926462698</v>
      </c>
      <c r="EF68" s="676">
        <v>-1551.1671593753163</v>
      </c>
      <c r="EG68" s="676">
        <v>-3854.6286457941042</v>
      </c>
      <c r="EH68" s="676">
        <v>-2764.6738298935643</v>
      </c>
      <c r="EI68" s="676">
        <v>-3175.6852241958286</v>
      </c>
      <c r="EJ68" s="676">
        <v>-4601.7724180181358</v>
      </c>
      <c r="EK68" s="676">
        <v>-2323.5652192691086</v>
      </c>
      <c r="EL68" s="676">
        <v>2295.9858766939697</v>
      </c>
      <c r="EM68" s="676">
        <v>-3569.3196208202835</v>
      </c>
      <c r="EN68" s="676">
        <v>-25319.024256318327</v>
      </c>
      <c r="EQ68" s="5">
        <v>29656.393916194917</v>
      </c>
      <c r="ER68" s="5">
        <v>3545.6660315232352</v>
      </c>
      <c r="ET68" s="318">
        <v>5470.6259250284302</v>
      </c>
      <c r="EU68" s="5">
        <v>129810.49819868366</v>
      </c>
    </row>
    <row r="69" spans="1:151" x14ac:dyDescent="0.3">
      <c r="A69" s="325">
        <v>150000518</v>
      </c>
      <c r="B69" s="41" t="s">
        <v>518</v>
      </c>
      <c r="C69" s="42" t="s">
        <v>195</v>
      </c>
      <c r="D69" s="27">
        <v>3</v>
      </c>
      <c r="E69" s="293">
        <v>847.5</v>
      </c>
      <c r="F69" s="305">
        <v>783.2</v>
      </c>
      <c r="G69" s="508">
        <v>0</v>
      </c>
      <c r="H69" s="677">
        <v>64.3</v>
      </c>
      <c r="I69" s="674">
        <v>3464.6303495874263</v>
      </c>
      <c r="J69" s="40">
        <v>3761.4111277999527</v>
      </c>
      <c r="K69" s="52">
        <v>296.78077821252646</v>
      </c>
      <c r="L69" s="674">
        <v>784.3893562625924</v>
      </c>
      <c r="M69" s="40">
        <v>858.54204118602524</v>
      </c>
      <c r="N69" s="52">
        <v>74.152684923432844</v>
      </c>
      <c r="O69" s="674">
        <v>1081.0588843909752</v>
      </c>
      <c r="P69" s="40">
        <v>1081.0800000000002</v>
      </c>
      <c r="Q69" s="52">
        <v>2.1115609024946025E-2</v>
      </c>
      <c r="R69" s="674">
        <v>0</v>
      </c>
      <c r="S69" s="40">
        <v>0</v>
      </c>
      <c r="T69" s="52">
        <v>0</v>
      </c>
      <c r="U69" s="674">
        <v>0</v>
      </c>
      <c r="V69" s="40">
        <v>0</v>
      </c>
      <c r="W69" s="52">
        <v>0</v>
      </c>
      <c r="X69" s="674">
        <v>2161.6153690214551</v>
      </c>
      <c r="Y69" s="40">
        <v>1445.9920613365821</v>
      </c>
      <c r="Z69" s="52">
        <v>-715.623307684873</v>
      </c>
      <c r="AA69" s="674">
        <v>101.69999999999999</v>
      </c>
      <c r="AB69" s="40">
        <v>0</v>
      </c>
      <c r="AC69" s="52">
        <v>-101.69999999999999</v>
      </c>
      <c r="AD69" s="674">
        <v>3629.8122324149626</v>
      </c>
      <c r="AE69" s="40">
        <v>3600.7917611876942</v>
      </c>
      <c r="AF69" s="35">
        <v>-29.020471227268445</v>
      </c>
      <c r="AG69" s="77">
        <v>11223.206191677411</v>
      </c>
      <c r="AH69" s="53">
        <v>10747.816991510254</v>
      </c>
      <c r="AI69" s="52">
        <v>-475.38920016715747</v>
      </c>
      <c r="AJ69" s="674">
        <v>0</v>
      </c>
      <c r="AK69" s="40">
        <v>0</v>
      </c>
      <c r="AL69" s="52">
        <v>0</v>
      </c>
      <c r="AM69" s="674">
        <v>0</v>
      </c>
      <c r="AN69" s="40">
        <v>0</v>
      </c>
      <c r="AO69" s="52">
        <v>0</v>
      </c>
      <c r="AP69" s="674">
        <v>2293.3858045341049</v>
      </c>
      <c r="AQ69" s="40">
        <v>1743.495139480742</v>
      </c>
      <c r="AR69" s="52">
        <v>-549.89066505336291</v>
      </c>
      <c r="AS69" s="674">
        <v>9230.4047494442948</v>
      </c>
      <c r="AT69" s="40">
        <v>4859.2904367468545</v>
      </c>
      <c r="AU69" s="54">
        <v>-4371.1143126974403</v>
      </c>
      <c r="AV69" s="674">
        <v>839.68268045753496</v>
      </c>
      <c r="AW69" s="40">
        <v>0</v>
      </c>
      <c r="AX69" s="55">
        <v>-839.68268045753496</v>
      </c>
      <c r="AY69" s="674">
        <v>1286.0399151523502</v>
      </c>
      <c r="AZ69" s="40">
        <v>0</v>
      </c>
      <c r="BA69" s="35">
        <v>-1286.0399151523502</v>
      </c>
      <c r="BB69" s="674">
        <v>466.51073246474198</v>
      </c>
      <c r="BC69" s="40">
        <v>0</v>
      </c>
      <c r="BD69" s="55">
        <v>-466.51073246474198</v>
      </c>
      <c r="BE69" s="674">
        <v>0</v>
      </c>
      <c r="BF69" s="40">
        <v>0</v>
      </c>
      <c r="BG69" s="38">
        <v>0</v>
      </c>
      <c r="BH69" s="674">
        <v>0</v>
      </c>
      <c r="BI69" s="40">
        <v>0</v>
      </c>
      <c r="BJ69" s="55">
        <v>0</v>
      </c>
      <c r="BK69" s="674">
        <v>339.66107999878056</v>
      </c>
      <c r="BL69" s="40">
        <v>0</v>
      </c>
      <c r="BM69" s="38">
        <v>-339.66107999878056</v>
      </c>
      <c r="BN69" s="674">
        <v>25.424999999999997</v>
      </c>
      <c r="BO69" s="40">
        <v>0</v>
      </c>
      <c r="BP69" s="55">
        <v>-25.424999999999997</v>
      </c>
      <c r="BQ69" s="77">
        <v>2957.3194080734079</v>
      </c>
      <c r="BR69" s="40">
        <v>0</v>
      </c>
      <c r="BS69" s="55">
        <v>-2957.3194080734079</v>
      </c>
      <c r="BT69" s="674">
        <v>11174.836670106104</v>
      </c>
      <c r="BU69" s="40">
        <v>10555.460202877061</v>
      </c>
      <c r="BV69" s="52">
        <v>-619.37646722904356</v>
      </c>
      <c r="BW69" s="674">
        <v>5841.1843928392664</v>
      </c>
      <c r="BX69" s="40">
        <v>5845.624421286665</v>
      </c>
      <c r="BY69" s="52">
        <v>4.4400284473986176</v>
      </c>
      <c r="BZ69" s="674">
        <v>3364.0917465091961</v>
      </c>
      <c r="CA69" s="40">
        <v>2865.6255126708538</v>
      </c>
      <c r="CB69" s="52">
        <v>-498.4662338383423</v>
      </c>
      <c r="CC69" s="674">
        <v>772.55599554485946</v>
      </c>
      <c r="CD69" s="40">
        <v>811.97262078542565</v>
      </c>
      <c r="CE69" s="52">
        <v>39.416625240566191</v>
      </c>
      <c r="CF69" s="674">
        <v>94.422306860683477</v>
      </c>
      <c r="CG69" s="40">
        <v>0</v>
      </c>
      <c r="CH69" s="52">
        <v>-94.422306860683477</v>
      </c>
      <c r="CI69" s="674">
        <v>2062.5262444065161</v>
      </c>
      <c r="CJ69" s="40">
        <v>1501.7573582382818</v>
      </c>
      <c r="CK69" s="52">
        <v>-560.7688861682343</v>
      </c>
      <c r="CL69" s="674">
        <v>0</v>
      </c>
      <c r="CM69" s="40">
        <v>0</v>
      </c>
      <c r="CN69" s="52">
        <v>0</v>
      </c>
      <c r="CO69" s="39">
        <v>2062.5262444065161</v>
      </c>
      <c r="CP69" s="40">
        <v>1501.7573582382818</v>
      </c>
      <c r="CQ69" s="52">
        <v>-560.7688861682343</v>
      </c>
      <c r="CR69" s="72">
        <v>49013.933509995841</v>
      </c>
      <c r="CS69" s="5">
        <v>38931.042683596141</v>
      </c>
      <c r="CT69" s="52">
        <v>-10082.8908263997</v>
      </c>
      <c r="CU69" s="77">
        <v>58816.720211995009</v>
      </c>
      <c r="CV69" s="65">
        <v>46717.251220315367</v>
      </c>
      <c r="CW69" s="35">
        <v>-12099.468991679641</v>
      </c>
      <c r="CX69" s="73">
        <v>600.51965840149182</v>
      </c>
      <c r="CY69" s="40">
        <v>12699.988650081141</v>
      </c>
      <c r="CZ69" s="52">
        <v>12099.468991679649</v>
      </c>
      <c r="DA69" s="150">
        <v>24459.494820756172</v>
      </c>
      <c r="DB69" s="2">
        <v>2</v>
      </c>
      <c r="DC69" s="675">
        <v>11053.82</v>
      </c>
      <c r="DD69" s="675">
        <v>346.38</v>
      </c>
      <c r="DE69" s="675">
        <v>6188.5388294768272</v>
      </c>
      <c r="DF69" s="675">
        <v>5.1816126273251939E-3</v>
      </c>
      <c r="DG69" s="321">
        <v>36558.963812435824</v>
      </c>
      <c r="DH69" s="40">
        <v>59412.747810146364</v>
      </c>
      <c r="DI69" s="422">
        <v>5211.6559889105456</v>
      </c>
      <c r="DJ69" s="306">
        <v>6.2120546099631921</v>
      </c>
      <c r="DK69" s="306">
        <v>6.2120546099631921</v>
      </c>
      <c r="DL69" s="306">
        <v>5.3868556514365888</v>
      </c>
      <c r="DM69" s="28">
        <v>4865.2811705231725</v>
      </c>
      <c r="DN69" s="28">
        <v>346.37481838737267</v>
      </c>
      <c r="DO69" s="423">
        <v>5211.6559889105447</v>
      </c>
      <c r="DP69" s="94">
        <v>0</v>
      </c>
      <c r="DQ69" s="28">
        <v>5211.6559889105447</v>
      </c>
      <c r="DR69" s="318"/>
      <c r="DT69" s="8"/>
      <c r="DU69" s="5"/>
      <c r="DX69" s="5">
        <v>14625.268989021244</v>
      </c>
      <c r="DY69" s="5">
        <v>5831.1485240962256</v>
      </c>
      <c r="DZ69" s="159">
        <v>1253.7935465085634</v>
      </c>
      <c r="EB69" s="676">
        <v>-873.6950855544319</v>
      </c>
      <c r="EC69" s="676">
        <v>-1796.8950040489513</v>
      </c>
      <c r="ED69" s="676">
        <v>814.16271858255323</v>
      </c>
      <c r="EE69" s="676">
        <v>49.235337362263635</v>
      </c>
      <c r="EF69" s="676">
        <v>-2011.3219444692818</v>
      </c>
      <c r="EG69" s="676">
        <v>-3075.2516502191625</v>
      </c>
      <c r="EH69" s="676">
        <v>26.426594420032416</v>
      </c>
      <c r="EI69" s="676">
        <v>-2785.1013999538213</v>
      </c>
      <c r="EJ69" s="676">
        <v>-2097.8427408579537</v>
      </c>
      <c r="EK69" s="676">
        <v>1206.9903284667498</v>
      </c>
      <c r="EL69" s="676">
        <v>267.86042192597415</v>
      </c>
      <c r="EM69" s="676">
        <v>-1824.0365673336219</v>
      </c>
      <c r="EN69" s="676">
        <v>-12099.468991679652</v>
      </c>
      <c r="EQ69" s="5">
        <v>14625.268989021244</v>
      </c>
      <c r="ER69" s="5">
        <v>5831.1485240962256</v>
      </c>
      <c r="ET69" s="318">
        <v>6897.4708160408127</v>
      </c>
      <c r="EU69" s="5">
        <v>44358.492996395013</v>
      </c>
    </row>
    <row r="70" spans="1:151" x14ac:dyDescent="0.3">
      <c r="A70" s="325">
        <v>150000519</v>
      </c>
      <c r="B70" s="41" t="s">
        <v>519</v>
      </c>
      <c r="C70" s="42" t="s">
        <v>413</v>
      </c>
      <c r="D70" s="27">
        <v>10</v>
      </c>
      <c r="E70" s="293">
        <v>2696.4</v>
      </c>
      <c r="F70" s="305">
        <v>2635.5</v>
      </c>
      <c r="G70" s="508">
        <v>208.7</v>
      </c>
      <c r="H70" s="677">
        <v>60.9</v>
      </c>
      <c r="I70" s="674">
        <v>7963.1250160854161</v>
      </c>
      <c r="J70" s="40">
        <v>8783.4105225272797</v>
      </c>
      <c r="K70" s="52">
        <v>820.28550644186362</v>
      </c>
      <c r="L70" s="674">
        <v>1267.9599699928069</v>
      </c>
      <c r="M70" s="40">
        <v>1387.8160643568397</v>
      </c>
      <c r="N70" s="52">
        <v>119.85609436403274</v>
      </c>
      <c r="O70" s="674">
        <v>3835.6413946800853</v>
      </c>
      <c r="P70" s="40">
        <v>3835.65</v>
      </c>
      <c r="Q70" s="52">
        <v>8.6053199147499981E-3</v>
      </c>
      <c r="R70" s="674">
        <v>831.62118974209511</v>
      </c>
      <c r="S70" s="40">
        <v>831.63000000000011</v>
      </c>
      <c r="T70" s="52">
        <v>8.8102579049973428E-3</v>
      </c>
      <c r="U70" s="674">
        <v>381.93656206398907</v>
      </c>
      <c r="V70" s="40">
        <v>1374.3306550823377</v>
      </c>
      <c r="W70" s="52">
        <v>992.3940930183486</v>
      </c>
      <c r="X70" s="674">
        <v>3188.3764852546738</v>
      </c>
      <c r="Y70" s="40">
        <v>2268.0382871501547</v>
      </c>
      <c r="Z70" s="52">
        <v>-920.33819810451905</v>
      </c>
      <c r="AA70" s="674">
        <v>323.67600000000004</v>
      </c>
      <c r="AB70" s="40">
        <v>0</v>
      </c>
      <c r="AC70" s="52">
        <v>-323.67600000000004</v>
      </c>
      <c r="AD70" s="674">
        <v>11558.191958965488</v>
      </c>
      <c r="AE70" s="40">
        <v>11457.549265475152</v>
      </c>
      <c r="AF70" s="35">
        <v>-100.64269349033566</v>
      </c>
      <c r="AG70" s="77">
        <v>29350.528576784556</v>
      </c>
      <c r="AH70" s="53">
        <v>29938.424794591767</v>
      </c>
      <c r="AI70" s="52">
        <v>587.89621780721063</v>
      </c>
      <c r="AJ70" s="674">
        <v>19556.32588261638</v>
      </c>
      <c r="AK70" s="40">
        <v>19427.790610706379</v>
      </c>
      <c r="AL70" s="52">
        <v>-128.53527191000103</v>
      </c>
      <c r="AM70" s="674">
        <v>0</v>
      </c>
      <c r="AN70" s="40">
        <v>0</v>
      </c>
      <c r="AO70" s="52">
        <v>0</v>
      </c>
      <c r="AP70" s="674">
        <v>1753.7656152319628</v>
      </c>
      <c r="AQ70" s="40">
        <v>1444.2175387188784</v>
      </c>
      <c r="AR70" s="52">
        <v>-309.54807651308442</v>
      </c>
      <c r="AS70" s="674">
        <v>34480.725636706804</v>
      </c>
      <c r="AT70" s="40">
        <v>151</v>
      </c>
      <c r="AU70" s="54">
        <v>-34329.725636706804</v>
      </c>
      <c r="AV70" s="674">
        <v>1227.8821952958922</v>
      </c>
      <c r="AW70" s="40">
        <v>0</v>
      </c>
      <c r="AX70" s="55">
        <v>-1227.8821952958922</v>
      </c>
      <c r="AY70" s="674">
        <v>1481.7605774865947</v>
      </c>
      <c r="AZ70" s="40">
        <v>0</v>
      </c>
      <c r="BA70" s="35">
        <v>-1481.7605774865947</v>
      </c>
      <c r="BB70" s="674">
        <v>982.35815302368383</v>
      </c>
      <c r="BC70" s="40">
        <v>0</v>
      </c>
      <c r="BD70" s="55">
        <v>-982.35815302368383</v>
      </c>
      <c r="BE70" s="674">
        <v>1337.0797175270268</v>
      </c>
      <c r="BF70" s="40">
        <v>0</v>
      </c>
      <c r="BG70" s="38">
        <v>-1337.0797175270268</v>
      </c>
      <c r="BH70" s="674">
        <v>493.31729299915651</v>
      </c>
      <c r="BI70" s="40">
        <v>0</v>
      </c>
      <c r="BJ70" s="55">
        <v>-493.31729299915651</v>
      </c>
      <c r="BK70" s="674">
        <v>844.9976822127237</v>
      </c>
      <c r="BL70" s="40">
        <v>0</v>
      </c>
      <c r="BM70" s="38">
        <v>-844.9976822127237</v>
      </c>
      <c r="BN70" s="674">
        <v>80.919000000000011</v>
      </c>
      <c r="BO70" s="40">
        <v>0</v>
      </c>
      <c r="BP70" s="55">
        <v>-80.919000000000011</v>
      </c>
      <c r="BQ70" s="77">
        <v>6448.3146185450778</v>
      </c>
      <c r="BR70" s="40">
        <v>0</v>
      </c>
      <c r="BS70" s="55">
        <v>-6448.3146185450778</v>
      </c>
      <c r="BT70" s="674">
        <v>31275.393173826709</v>
      </c>
      <c r="BU70" s="40">
        <v>29067.083129858645</v>
      </c>
      <c r="BV70" s="52">
        <v>-2208.3100439680638</v>
      </c>
      <c r="BW70" s="674">
        <v>24369.728350592533</v>
      </c>
      <c r="BX70" s="40">
        <v>24315.221004543149</v>
      </c>
      <c r="BY70" s="52">
        <v>-54.507346049384068</v>
      </c>
      <c r="BZ70" s="674">
        <v>5835.9969828944077</v>
      </c>
      <c r="CA70" s="40">
        <v>7431.7717677558694</v>
      </c>
      <c r="CB70" s="52">
        <v>1595.7747848614617</v>
      </c>
      <c r="CC70" s="674">
        <v>801.43386160602415</v>
      </c>
      <c r="CD70" s="40">
        <v>838.25950419214826</v>
      </c>
      <c r="CE70" s="52">
        <v>36.825642586124104</v>
      </c>
      <c r="CF70" s="674">
        <v>97.479144133151649</v>
      </c>
      <c r="CG70" s="40">
        <v>0</v>
      </c>
      <c r="CH70" s="52">
        <v>-97.479144133151649</v>
      </c>
      <c r="CI70" s="674">
        <v>10663.534099690465</v>
      </c>
      <c r="CJ70" s="40">
        <v>10707.426298793702</v>
      </c>
      <c r="CK70" s="52">
        <v>43.892199103236635</v>
      </c>
      <c r="CL70" s="674">
        <v>2871.947701317009</v>
      </c>
      <c r="CM70" s="40">
        <v>2799.8189142055571</v>
      </c>
      <c r="CN70" s="52">
        <v>-72.128787111451857</v>
      </c>
      <c r="CO70" s="39">
        <v>13535.481801007474</v>
      </c>
      <c r="CP70" s="40">
        <v>13507.24521299926</v>
      </c>
      <c r="CQ70" s="52">
        <v>-28.236588008214312</v>
      </c>
      <c r="CR70" s="72">
        <v>167505.17364394508</v>
      </c>
      <c r="CS70" s="5">
        <v>126121.01356336608</v>
      </c>
      <c r="CT70" s="52">
        <v>-41384.160080578993</v>
      </c>
      <c r="CU70" s="77">
        <v>201006.20837273408</v>
      </c>
      <c r="CV70" s="65">
        <v>151345.21627603928</v>
      </c>
      <c r="CW70" s="35">
        <v>-49660.992096694798</v>
      </c>
      <c r="CX70" s="73">
        <v>2857.4559730283713</v>
      </c>
      <c r="CY70" s="40">
        <v>52518.448069723148</v>
      </c>
      <c r="CZ70" s="52">
        <v>49660.992096694776</v>
      </c>
      <c r="DA70" s="150">
        <v>31934.884033127855</v>
      </c>
      <c r="DB70" s="2">
        <v>2</v>
      </c>
      <c r="DC70" s="675">
        <v>26815.89</v>
      </c>
      <c r="DD70" s="675">
        <v>3311.58</v>
      </c>
      <c r="DE70" s="675">
        <v>9213.5560201163171</v>
      </c>
      <c r="DF70" s="675">
        <v>3023.0965274238629</v>
      </c>
      <c r="DG70" s="321">
        <v>81595.876129822631</v>
      </c>
      <c r="DH70" s="40">
        <v>203848.2820706839</v>
      </c>
      <c r="DI70" s="422">
        <v>17890.817452459818</v>
      </c>
      <c r="DJ70" s="306">
        <v>5.7581864649161858</v>
      </c>
      <c r="DK70" s="306">
        <v>6.7581178773099033</v>
      </c>
      <c r="DL70" s="306">
        <v>4.7370028337625154</v>
      </c>
      <c r="DM70" s="28">
        <v>17602.333979883682</v>
      </c>
      <c r="DN70" s="28">
        <v>288.48347257613716</v>
      </c>
      <c r="DO70" s="423">
        <v>17890.817452459818</v>
      </c>
      <c r="DP70" s="94">
        <v>0</v>
      </c>
      <c r="DQ70" s="28">
        <v>17890.817452459818</v>
      </c>
      <c r="DR70" s="318"/>
      <c r="DT70" s="8"/>
      <c r="DU70" s="5"/>
      <c r="DX70" s="5">
        <v>49114.84830630225</v>
      </c>
      <c r="DY70" s="5">
        <v>181.2</v>
      </c>
      <c r="DZ70" s="159">
        <v>4309.4576856531276</v>
      </c>
      <c r="EB70" s="676">
        <v>-2196.8673414992954</v>
      </c>
      <c r="EC70" s="676">
        <v>-2880.4391373285544</v>
      </c>
      <c r="ED70" s="676">
        <v>-4012.934096802368</v>
      </c>
      <c r="EE70" s="676">
        <v>-4888.1115300660986</v>
      </c>
      <c r="EF70" s="676">
        <v>-5112.0712510030735</v>
      </c>
      <c r="EG70" s="676">
        <v>-5322.8389693845802</v>
      </c>
      <c r="EH70" s="676">
        <v>-5407.3746452274772</v>
      </c>
      <c r="EI70" s="676">
        <v>-5072.3025027614258</v>
      </c>
      <c r="EJ70" s="676">
        <v>-3664.1508792467903</v>
      </c>
      <c r="EK70" s="676">
        <v>-3492.6401812044151</v>
      </c>
      <c r="EL70" s="676">
        <v>-2599.3493193450631</v>
      </c>
      <c r="EM70" s="676">
        <v>-5011.9122428256305</v>
      </c>
      <c r="EN70" s="676">
        <v>-49660.992096694776</v>
      </c>
      <c r="EQ70" s="5">
        <v>49114.84830630225</v>
      </c>
      <c r="ER70" s="5">
        <v>181.2</v>
      </c>
      <c r="ET70" s="318">
        <v>105029.8588602552</v>
      </c>
      <c r="EU70" s="5">
        <v>-18336.982730432577</v>
      </c>
    </row>
    <row r="71" spans="1:151" x14ac:dyDescent="0.3">
      <c r="A71" s="325">
        <v>150000521</v>
      </c>
      <c r="B71" s="41" t="s">
        <v>520</v>
      </c>
      <c r="C71" s="42" t="s">
        <v>253</v>
      </c>
      <c r="D71" s="27">
        <v>5</v>
      </c>
      <c r="E71" s="293">
        <v>1861.1999999999998</v>
      </c>
      <c r="F71" s="305">
        <v>1556.6</v>
      </c>
      <c r="G71" s="508">
        <v>0</v>
      </c>
      <c r="H71" s="677">
        <v>304.60000000000002</v>
      </c>
      <c r="I71" s="674">
        <v>5283.8836044833579</v>
      </c>
      <c r="J71" s="40">
        <v>5829.2779222723739</v>
      </c>
      <c r="K71" s="52">
        <v>545.39431778901599</v>
      </c>
      <c r="L71" s="674">
        <v>1146.4840214668025</v>
      </c>
      <c r="M71" s="40">
        <v>1254.8705395739771</v>
      </c>
      <c r="N71" s="52">
        <v>108.38651810717465</v>
      </c>
      <c r="O71" s="674">
        <v>2523.1500545668796</v>
      </c>
      <c r="P71" s="40">
        <v>2523.1499999999996</v>
      </c>
      <c r="Q71" s="52">
        <v>-5.4566879953199532E-5</v>
      </c>
      <c r="R71" s="674">
        <v>0</v>
      </c>
      <c r="S71" s="40">
        <v>0</v>
      </c>
      <c r="T71" s="52">
        <v>0</v>
      </c>
      <c r="U71" s="674">
        <v>0</v>
      </c>
      <c r="V71" s="40">
        <v>0</v>
      </c>
      <c r="W71" s="52">
        <v>0</v>
      </c>
      <c r="X71" s="674">
        <v>3117.8061840640403</v>
      </c>
      <c r="Y71" s="40">
        <v>2885.2959731176006</v>
      </c>
      <c r="Z71" s="52">
        <v>-232.51021094643966</v>
      </c>
      <c r="AA71" s="674">
        <v>226.41120000000001</v>
      </c>
      <c r="AB71" s="40">
        <v>0</v>
      </c>
      <c r="AC71" s="52">
        <v>-226.41120000000001</v>
      </c>
      <c r="AD71" s="674">
        <v>7987.868685053345</v>
      </c>
      <c r="AE71" s="40">
        <v>8021.1659863351397</v>
      </c>
      <c r="AF71" s="35">
        <v>33.297301281794716</v>
      </c>
      <c r="AG71" s="77">
        <v>20285.603749634429</v>
      </c>
      <c r="AH71" s="53">
        <v>20513.760421299092</v>
      </c>
      <c r="AI71" s="52">
        <v>228.15667166466301</v>
      </c>
      <c r="AJ71" s="674">
        <v>0</v>
      </c>
      <c r="AK71" s="40">
        <v>0</v>
      </c>
      <c r="AL71" s="52">
        <v>0</v>
      </c>
      <c r="AM71" s="674">
        <v>0</v>
      </c>
      <c r="AN71" s="40">
        <v>0</v>
      </c>
      <c r="AO71" s="52">
        <v>0</v>
      </c>
      <c r="AP71" s="674">
        <v>3057.8477393788071</v>
      </c>
      <c r="AQ71" s="40">
        <v>3706.0020906668351</v>
      </c>
      <c r="AR71" s="52">
        <v>648.15435128802801</v>
      </c>
      <c r="AS71" s="674">
        <v>19603.733052719494</v>
      </c>
      <c r="AT71" s="40">
        <v>2014</v>
      </c>
      <c r="AU71" s="54">
        <v>-17589.733052719494</v>
      </c>
      <c r="AV71" s="674">
        <v>1197.7208673902896</v>
      </c>
      <c r="AW71" s="40">
        <v>0</v>
      </c>
      <c r="AX71" s="55">
        <v>-1197.7208673902896</v>
      </c>
      <c r="AY71" s="674">
        <v>1879.5256069500886</v>
      </c>
      <c r="AZ71" s="40">
        <v>0</v>
      </c>
      <c r="BA71" s="35">
        <v>-1879.5256069500886</v>
      </c>
      <c r="BB71" s="674">
        <v>1033.0554241308637</v>
      </c>
      <c r="BC71" s="40">
        <v>0</v>
      </c>
      <c r="BD71" s="55">
        <v>-1033.0554241308637</v>
      </c>
      <c r="BE71" s="674">
        <v>0</v>
      </c>
      <c r="BF71" s="40">
        <v>0</v>
      </c>
      <c r="BG71" s="38">
        <v>0</v>
      </c>
      <c r="BH71" s="674">
        <v>0</v>
      </c>
      <c r="BI71" s="40">
        <v>0</v>
      </c>
      <c r="BJ71" s="55">
        <v>0</v>
      </c>
      <c r="BK71" s="674">
        <v>596.81722449802839</v>
      </c>
      <c r="BL71" s="40">
        <v>949</v>
      </c>
      <c r="BM71" s="38">
        <v>352.18277550197161</v>
      </c>
      <c r="BN71" s="674">
        <v>56.602800000000002</v>
      </c>
      <c r="BO71" s="40">
        <v>0</v>
      </c>
      <c r="BP71" s="55">
        <v>-56.602800000000002</v>
      </c>
      <c r="BQ71" s="77">
        <v>4763.7219229692701</v>
      </c>
      <c r="BR71" s="40">
        <v>949</v>
      </c>
      <c r="BS71" s="55">
        <v>-3814.7219229692701</v>
      </c>
      <c r="BT71" s="674">
        <v>23316.657806251184</v>
      </c>
      <c r="BU71" s="40">
        <v>25235.808651602008</v>
      </c>
      <c r="BV71" s="52">
        <v>1919.150845350825</v>
      </c>
      <c r="BW71" s="674">
        <v>6922.0745929967934</v>
      </c>
      <c r="BX71" s="40">
        <v>7025.7441635673595</v>
      </c>
      <c r="BY71" s="52">
        <v>103.66957057056607</v>
      </c>
      <c r="BZ71" s="674">
        <v>6780.6110094403584</v>
      </c>
      <c r="CA71" s="40">
        <v>6206.2561239514416</v>
      </c>
      <c r="CB71" s="52">
        <v>-574.35488548891681</v>
      </c>
      <c r="CC71" s="674">
        <v>747.5451899336947</v>
      </c>
      <c r="CD71" s="40">
        <v>785.68573737870338</v>
      </c>
      <c r="CE71" s="52">
        <v>38.140547445008679</v>
      </c>
      <c r="CF71" s="674">
        <v>91.365469588215305</v>
      </c>
      <c r="CG71" s="40">
        <v>0</v>
      </c>
      <c r="CH71" s="52">
        <v>-91.365469588215305</v>
      </c>
      <c r="CI71" s="674">
        <v>4920.2163880116905</v>
      </c>
      <c r="CJ71" s="40">
        <v>4180.493877350862</v>
      </c>
      <c r="CK71" s="52">
        <v>-739.72251066082845</v>
      </c>
      <c r="CL71" s="674">
        <v>0</v>
      </c>
      <c r="CM71" s="40">
        <v>0</v>
      </c>
      <c r="CN71" s="52">
        <v>0</v>
      </c>
      <c r="CO71" s="39">
        <v>4920.2163880116905</v>
      </c>
      <c r="CP71" s="40">
        <v>4180.493877350862</v>
      </c>
      <c r="CQ71" s="52">
        <v>-739.72251066082845</v>
      </c>
      <c r="CR71" s="72">
        <v>90489.376920923925</v>
      </c>
      <c r="CS71" s="5">
        <v>70616.751065816308</v>
      </c>
      <c r="CT71" s="52">
        <v>-19872.625855107617</v>
      </c>
      <c r="CU71" s="77">
        <v>108587.2523051087</v>
      </c>
      <c r="CV71" s="65">
        <v>84740.101278979564</v>
      </c>
      <c r="CW71" s="35">
        <v>-23847.151026129141</v>
      </c>
      <c r="CX71" s="73">
        <v>4378.8399668856737</v>
      </c>
      <c r="CY71" s="40">
        <v>28225.990993014831</v>
      </c>
      <c r="CZ71" s="52">
        <v>23847.151026129159</v>
      </c>
      <c r="DA71" s="150">
        <v>24239.177317802496</v>
      </c>
      <c r="DB71" s="2">
        <v>2</v>
      </c>
      <c r="DC71" s="675">
        <v>13108.7</v>
      </c>
      <c r="DD71" s="675">
        <v>12439.560000000001</v>
      </c>
      <c r="DE71" s="675">
        <v>4845.200818365056</v>
      </c>
      <c r="DF71" s="675">
        <v>10975.469566302076</v>
      </c>
      <c r="DG71" s="321">
        <v>48086.328343931658</v>
      </c>
      <c r="DH71" s="40">
        <v>111442.49912980369</v>
      </c>
      <c r="DI71" s="422">
        <v>9727.5896153328686</v>
      </c>
      <c r="DJ71" s="306">
        <v>5.3086850710747431</v>
      </c>
      <c r="DK71" s="306">
        <v>5.3086850710747431</v>
      </c>
      <c r="DL71" s="306">
        <v>4.8066002419498535</v>
      </c>
      <c r="DM71" s="28">
        <v>8263.4991816349448</v>
      </c>
      <c r="DN71" s="28">
        <v>1464.0904336979254</v>
      </c>
      <c r="DO71" s="423">
        <v>9727.5896153328704</v>
      </c>
      <c r="DP71" s="94">
        <v>0</v>
      </c>
      <c r="DQ71" s="28">
        <v>9727.5896153328704</v>
      </c>
      <c r="DR71" s="318"/>
      <c r="DT71" s="8"/>
      <c r="DU71" s="5"/>
      <c r="DX71" s="5">
        <v>29240.945970826517</v>
      </c>
      <c r="DY71" s="5">
        <v>3555.6</v>
      </c>
      <c r="DZ71" s="159">
        <v>2664.6301311202064</v>
      </c>
      <c r="EB71" s="676">
        <v>-751.20915908157167</v>
      </c>
      <c r="EC71" s="676">
        <v>-207.80437435263048</v>
      </c>
      <c r="ED71" s="676">
        <v>794.84371455435121</v>
      </c>
      <c r="EE71" s="676">
        <v>-2483.7423848501485</v>
      </c>
      <c r="EF71" s="676">
        <v>-3222.4743795807508</v>
      </c>
      <c r="EG71" s="676">
        <v>-5743.101642037117</v>
      </c>
      <c r="EH71" s="676">
        <v>-1803.1639589569731</v>
      </c>
      <c r="EI71" s="676">
        <v>-2986.2112683230343</v>
      </c>
      <c r="EJ71" s="676">
        <v>-583.32333468188699</v>
      </c>
      <c r="EK71" s="676">
        <v>-2280.1067061052036</v>
      </c>
      <c r="EL71" s="676">
        <v>-2611.3987973371404</v>
      </c>
      <c r="EM71" s="676">
        <v>-1969.4587353770567</v>
      </c>
      <c r="EN71" s="676">
        <v>-23847.151026129162</v>
      </c>
      <c r="EQ71" s="5">
        <v>29240.945970826517</v>
      </c>
      <c r="ER71" s="5">
        <v>3555.6</v>
      </c>
      <c r="ET71" s="318">
        <v>38529.291460770408</v>
      </c>
      <c r="EU71" s="5">
        <v>-2600.9631168387568</v>
      </c>
    </row>
    <row r="72" spans="1:151" x14ac:dyDescent="0.3">
      <c r="A72" s="325">
        <v>150000522</v>
      </c>
      <c r="B72" s="41" t="s">
        <v>521</v>
      </c>
      <c r="C72" s="42" t="s">
        <v>57</v>
      </c>
      <c r="D72" s="27">
        <v>1</v>
      </c>
      <c r="E72" s="293">
        <v>269.89999999999998</v>
      </c>
      <c r="F72" s="305">
        <v>269.89999999999998</v>
      </c>
      <c r="G72" s="508">
        <v>0</v>
      </c>
      <c r="H72" s="677">
        <v>0</v>
      </c>
      <c r="I72" s="674">
        <v>0</v>
      </c>
      <c r="J72" s="40">
        <v>0</v>
      </c>
      <c r="K72" s="52">
        <v>0</v>
      </c>
      <c r="L72" s="674">
        <v>0</v>
      </c>
      <c r="M72" s="40">
        <v>0</v>
      </c>
      <c r="N72" s="52">
        <v>0</v>
      </c>
      <c r="O72" s="674">
        <v>0</v>
      </c>
      <c r="P72" s="40">
        <v>0</v>
      </c>
      <c r="Q72" s="52">
        <v>0</v>
      </c>
      <c r="R72" s="674">
        <v>0</v>
      </c>
      <c r="S72" s="40">
        <v>0</v>
      </c>
      <c r="T72" s="52">
        <v>0</v>
      </c>
      <c r="U72" s="674">
        <v>0</v>
      </c>
      <c r="V72" s="40">
        <v>0</v>
      </c>
      <c r="W72" s="52">
        <v>0</v>
      </c>
      <c r="X72" s="674">
        <v>0</v>
      </c>
      <c r="Y72" s="40">
        <v>0</v>
      </c>
      <c r="Z72" s="52">
        <v>0</v>
      </c>
      <c r="AA72" s="674">
        <v>32.387999999999998</v>
      </c>
      <c r="AB72" s="40">
        <v>0</v>
      </c>
      <c r="AC72" s="52">
        <v>-32.387999999999998</v>
      </c>
      <c r="AD72" s="674">
        <v>259.26901209652061</v>
      </c>
      <c r="AE72" s="40">
        <v>1146.7300251853198</v>
      </c>
      <c r="AF72" s="35">
        <v>887.46101308879929</v>
      </c>
      <c r="AG72" s="77">
        <v>291.65701209652059</v>
      </c>
      <c r="AH72" s="53">
        <v>1146.7300251853198</v>
      </c>
      <c r="AI72" s="52">
        <v>855.07301308879926</v>
      </c>
      <c r="AJ72" s="674">
        <v>0</v>
      </c>
      <c r="AK72" s="40">
        <v>0</v>
      </c>
      <c r="AL72" s="52">
        <v>0</v>
      </c>
      <c r="AM72" s="674">
        <v>0</v>
      </c>
      <c r="AN72" s="40">
        <v>0</v>
      </c>
      <c r="AO72" s="52">
        <v>0</v>
      </c>
      <c r="AP72" s="674">
        <v>269.81009465107115</v>
      </c>
      <c r="AQ72" s="40">
        <v>113.10693166640444</v>
      </c>
      <c r="AR72" s="52">
        <v>-156.70316298466673</v>
      </c>
      <c r="AS72" s="674">
        <v>3273.7974829696091</v>
      </c>
      <c r="AT72" s="40">
        <v>0</v>
      </c>
      <c r="AU72" s="54">
        <v>-3273.7974829696091</v>
      </c>
      <c r="AV72" s="674">
        <v>0</v>
      </c>
      <c r="AW72" s="40">
        <v>0</v>
      </c>
      <c r="AX72" s="55">
        <v>0</v>
      </c>
      <c r="AY72" s="674">
        <v>0</v>
      </c>
      <c r="AZ72" s="40">
        <v>0</v>
      </c>
      <c r="BA72" s="35">
        <v>0</v>
      </c>
      <c r="BB72" s="674">
        <v>0</v>
      </c>
      <c r="BC72" s="40">
        <v>0</v>
      </c>
      <c r="BD72" s="55">
        <v>0</v>
      </c>
      <c r="BE72" s="674">
        <v>0</v>
      </c>
      <c r="BF72" s="40">
        <v>0</v>
      </c>
      <c r="BG72" s="38">
        <v>0</v>
      </c>
      <c r="BH72" s="674">
        <v>0</v>
      </c>
      <c r="BI72" s="40">
        <v>0</v>
      </c>
      <c r="BJ72" s="55">
        <v>0</v>
      </c>
      <c r="BK72" s="674">
        <v>0</v>
      </c>
      <c r="BL72" s="40">
        <v>0</v>
      </c>
      <c r="BM72" s="38">
        <v>0</v>
      </c>
      <c r="BN72" s="674">
        <v>10.102825676225185</v>
      </c>
      <c r="BO72" s="40">
        <v>0</v>
      </c>
      <c r="BP72" s="55">
        <v>-10.102825676225185</v>
      </c>
      <c r="BQ72" s="77">
        <v>10.102825676225185</v>
      </c>
      <c r="BR72" s="40">
        <v>0</v>
      </c>
      <c r="BS72" s="55">
        <v>-10.102825676225185</v>
      </c>
      <c r="BT72" s="674">
        <v>0</v>
      </c>
      <c r="BU72" s="40">
        <v>0</v>
      </c>
      <c r="BV72" s="52">
        <v>0</v>
      </c>
      <c r="BW72" s="674">
        <v>0</v>
      </c>
      <c r="BX72" s="40">
        <v>6.1393288540809134</v>
      </c>
      <c r="BY72" s="52">
        <v>6.1393288540809134</v>
      </c>
      <c r="BZ72" s="674">
        <v>0</v>
      </c>
      <c r="CA72" s="40">
        <v>0</v>
      </c>
      <c r="CB72" s="52">
        <v>0</v>
      </c>
      <c r="CC72" s="674">
        <v>0</v>
      </c>
      <c r="CD72" s="40">
        <v>0</v>
      </c>
      <c r="CE72" s="52">
        <v>0</v>
      </c>
      <c r="CF72" s="674">
        <v>0</v>
      </c>
      <c r="CG72" s="40">
        <v>0</v>
      </c>
      <c r="CH72" s="52">
        <v>0</v>
      </c>
      <c r="CI72" s="674">
        <v>0</v>
      </c>
      <c r="CJ72" s="40">
        <v>0</v>
      </c>
      <c r="CK72" s="52">
        <v>0</v>
      </c>
      <c r="CL72" s="674">
        <v>0</v>
      </c>
      <c r="CM72" s="40">
        <v>0</v>
      </c>
      <c r="CN72" s="52">
        <v>0</v>
      </c>
      <c r="CO72" s="39">
        <v>0</v>
      </c>
      <c r="CP72" s="40">
        <v>0</v>
      </c>
      <c r="CQ72" s="52">
        <v>0</v>
      </c>
      <c r="CR72" s="72">
        <v>3845.3674153934257</v>
      </c>
      <c r="CS72" s="5">
        <v>1265.9762857058054</v>
      </c>
      <c r="CT72" s="52">
        <v>-2579.3911296876204</v>
      </c>
      <c r="CU72" s="77">
        <v>4614.4408984721103</v>
      </c>
      <c r="CV72" s="65">
        <v>1519.1715428469663</v>
      </c>
      <c r="CW72" s="35">
        <v>-3095.2693556251443</v>
      </c>
      <c r="CX72" s="73">
        <v>139.52678910384375</v>
      </c>
      <c r="CY72" s="40">
        <v>3234.7961447289886</v>
      </c>
      <c r="CZ72" s="52">
        <v>3095.2693556251447</v>
      </c>
      <c r="DA72" s="150">
        <v>4137.2736396475684</v>
      </c>
      <c r="DB72" s="2">
        <v>1</v>
      </c>
      <c r="DC72" s="675">
        <v>6760.49</v>
      </c>
      <c r="DD72" s="675">
        <v>0</v>
      </c>
      <c r="DE72" s="675">
        <v>6343.2525261277888</v>
      </c>
      <c r="DF72" s="675">
        <v>0</v>
      </c>
      <c r="DG72" s="321">
        <v>7232.5429952727127</v>
      </c>
      <c r="DH72" s="40">
        <v>4753.6090969459365</v>
      </c>
      <c r="DI72" s="422">
        <v>417.23747387221124</v>
      </c>
      <c r="DJ72" s="306">
        <v>1.54589653157544</v>
      </c>
      <c r="DK72" s="306">
        <v>1.54589653157544</v>
      </c>
      <c r="DL72" s="306">
        <v>1.54589653157544</v>
      </c>
      <c r="DM72" s="28">
        <v>417.23747387221124</v>
      </c>
      <c r="DN72" s="28">
        <v>0</v>
      </c>
      <c r="DO72" s="423">
        <v>417.23747387221124</v>
      </c>
      <c r="DP72" s="94">
        <v>0</v>
      </c>
      <c r="DQ72" s="28">
        <v>417.23747387221124</v>
      </c>
      <c r="DR72" s="318"/>
      <c r="DT72" s="8"/>
      <c r="DU72" s="5"/>
      <c r="DX72" s="5">
        <v>3940.6803703750011</v>
      </c>
      <c r="DY72" s="5">
        <v>0</v>
      </c>
      <c r="DZ72" s="159">
        <v>378.65042083242099</v>
      </c>
      <c r="EB72" s="676">
        <v>-144.04136657563203</v>
      </c>
      <c r="EC72" s="676">
        <v>-171.82483273513185</v>
      </c>
      <c r="ED72" s="676">
        <v>-166.93787120531334</v>
      </c>
      <c r="EE72" s="676">
        <v>-325.88725447538599</v>
      </c>
      <c r="EF72" s="676">
        <v>-311.88454845797798</v>
      </c>
      <c r="EG72" s="676">
        <v>-181.58604206058141</v>
      </c>
      <c r="EH72" s="676">
        <v>-321.11793833932495</v>
      </c>
      <c r="EI72" s="676">
        <v>-272.85329639156726</v>
      </c>
      <c r="EJ72" s="676">
        <v>-316.28075228472659</v>
      </c>
      <c r="EK72" s="676">
        <v>-263.72052032969896</v>
      </c>
      <c r="EL72" s="676">
        <v>-298.62694334657147</v>
      </c>
      <c r="EM72" s="676">
        <v>-320.50798942323325</v>
      </c>
      <c r="EN72" s="676">
        <v>-3095.2693556251447</v>
      </c>
      <c r="EQ72" s="5">
        <v>3940.6803703750011</v>
      </c>
      <c r="ER72" s="5">
        <v>0</v>
      </c>
      <c r="ET72" s="318">
        <v>-2017.3088331079955</v>
      </c>
      <c r="EU72" s="5">
        <v>-1759.1481716192909</v>
      </c>
    </row>
    <row r="73" spans="1:151" x14ac:dyDescent="0.3">
      <c r="A73" s="325">
        <v>150000523</v>
      </c>
      <c r="B73" s="41" t="s">
        <v>522</v>
      </c>
      <c r="C73" s="42" t="s">
        <v>58</v>
      </c>
      <c r="D73" s="27">
        <v>1</v>
      </c>
      <c r="E73" s="293">
        <v>300.7</v>
      </c>
      <c r="F73" s="305">
        <v>300.7</v>
      </c>
      <c r="G73" s="508">
        <v>0</v>
      </c>
      <c r="H73" s="677">
        <v>0</v>
      </c>
      <c r="I73" s="674">
        <v>0</v>
      </c>
      <c r="J73" s="40">
        <v>0</v>
      </c>
      <c r="K73" s="52">
        <v>0</v>
      </c>
      <c r="L73" s="674">
        <v>0</v>
      </c>
      <c r="M73" s="40">
        <v>0</v>
      </c>
      <c r="N73" s="52">
        <v>0</v>
      </c>
      <c r="O73" s="674">
        <v>0</v>
      </c>
      <c r="P73" s="40">
        <v>0</v>
      </c>
      <c r="Q73" s="52">
        <v>0</v>
      </c>
      <c r="R73" s="674">
        <v>0</v>
      </c>
      <c r="S73" s="40">
        <v>0</v>
      </c>
      <c r="T73" s="52">
        <v>0</v>
      </c>
      <c r="U73" s="674">
        <v>0</v>
      </c>
      <c r="V73" s="40">
        <v>0</v>
      </c>
      <c r="W73" s="52">
        <v>0</v>
      </c>
      <c r="X73" s="674">
        <v>0</v>
      </c>
      <c r="Y73" s="40">
        <v>0</v>
      </c>
      <c r="Z73" s="52">
        <v>0</v>
      </c>
      <c r="AA73" s="674">
        <v>35.952000000000005</v>
      </c>
      <c r="AB73" s="40">
        <v>0</v>
      </c>
      <c r="AC73" s="52">
        <v>-35.952000000000005</v>
      </c>
      <c r="AD73" s="674">
        <v>287.79502495396207</v>
      </c>
      <c r="AE73" s="40">
        <v>1276.0070363083128</v>
      </c>
      <c r="AF73" s="35">
        <v>988.21201135435069</v>
      </c>
      <c r="AG73" s="77">
        <v>323.74702495396207</v>
      </c>
      <c r="AH73" s="53">
        <v>1276.0070363083128</v>
      </c>
      <c r="AI73" s="52">
        <v>952.2600113543507</v>
      </c>
      <c r="AJ73" s="674">
        <v>0</v>
      </c>
      <c r="AK73" s="40">
        <v>0</v>
      </c>
      <c r="AL73" s="52">
        <v>0</v>
      </c>
      <c r="AM73" s="674">
        <v>0</v>
      </c>
      <c r="AN73" s="40">
        <v>0</v>
      </c>
      <c r="AO73" s="52">
        <v>0</v>
      </c>
      <c r="AP73" s="674">
        <v>359.74679286809487</v>
      </c>
      <c r="AQ73" s="40">
        <v>150.80924222187258</v>
      </c>
      <c r="AR73" s="52">
        <v>-208.93755064622229</v>
      </c>
      <c r="AS73" s="674">
        <v>3485.3311388554457</v>
      </c>
      <c r="AT73" s="40">
        <v>3265</v>
      </c>
      <c r="AU73" s="54">
        <v>-220.33113885544572</v>
      </c>
      <c r="AV73" s="674">
        <v>0</v>
      </c>
      <c r="AW73" s="40">
        <v>0</v>
      </c>
      <c r="AX73" s="55">
        <v>0</v>
      </c>
      <c r="AY73" s="674">
        <v>0</v>
      </c>
      <c r="AZ73" s="40">
        <v>0</v>
      </c>
      <c r="BA73" s="35">
        <v>0</v>
      </c>
      <c r="BB73" s="674">
        <v>0</v>
      </c>
      <c r="BC73" s="40">
        <v>0</v>
      </c>
      <c r="BD73" s="55">
        <v>0</v>
      </c>
      <c r="BE73" s="674">
        <v>0</v>
      </c>
      <c r="BF73" s="40">
        <v>0</v>
      </c>
      <c r="BG73" s="38">
        <v>0</v>
      </c>
      <c r="BH73" s="674">
        <v>0</v>
      </c>
      <c r="BI73" s="40">
        <v>0</v>
      </c>
      <c r="BJ73" s="55">
        <v>0</v>
      </c>
      <c r="BK73" s="674">
        <v>0</v>
      </c>
      <c r="BL73" s="40">
        <v>0</v>
      </c>
      <c r="BM73" s="38">
        <v>0</v>
      </c>
      <c r="BN73" s="674">
        <v>12.954146563143498</v>
      </c>
      <c r="BO73" s="40">
        <v>0</v>
      </c>
      <c r="BP73" s="55">
        <v>-12.954146563143498</v>
      </c>
      <c r="BQ73" s="77">
        <v>12.954146563143498</v>
      </c>
      <c r="BR73" s="40">
        <v>0</v>
      </c>
      <c r="BS73" s="55">
        <v>-12.954146563143498</v>
      </c>
      <c r="BT73" s="674">
        <v>0</v>
      </c>
      <c r="BU73" s="40">
        <v>0</v>
      </c>
      <c r="BV73" s="52">
        <v>0</v>
      </c>
      <c r="BW73" s="674">
        <v>0</v>
      </c>
      <c r="BX73" s="40">
        <v>6.8337708023643815</v>
      </c>
      <c r="BY73" s="52">
        <v>6.8337708023643815</v>
      </c>
      <c r="BZ73" s="674">
        <v>0</v>
      </c>
      <c r="CA73" s="40">
        <v>0</v>
      </c>
      <c r="CB73" s="52">
        <v>0</v>
      </c>
      <c r="CC73" s="674">
        <v>0</v>
      </c>
      <c r="CD73" s="40">
        <v>0</v>
      </c>
      <c r="CE73" s="52">
        <v>0</v>
      </c>
      <c r="CF73" s="674">
        <v>0</v>
      </c>
      <c r="CG73" s="40">
        <v>0</v>
      </c>
      <c r="CH73" s="52">
        <v>0</v>
      </c>
      <c r="CI73" s="674">
        <v>0</v>
      </c>
      <c r="CJ73" s="40">
        <v>0</v>
      </c>
      <c r="CK73" s="52">
        <v>0</v>
      </c>
      <c r="CL73" s="674">
        <v>0</v>
      </c>
      <c r="CM73" s="40">
        <v>0</v>
      </c>
      <c r="CN73" s="52">
        <v>0</v>
      </c>
      <c r="CO73" s="39">
        <v>0</v>
      </c>
      <c r="CP73" s="40">
        <v>0</v>
      </c>
      <c r="CQ73" s="52">
        <v>0</v>
      </c>
      <c r="CR73" s="72">
        <v>4181.7791032406467</v>
      </c>
      <c r="CS73" s="5">
        <v>4698.6500493325502</v>
      </c>
      <c r="CT73" s="52">
        <v>516.87094609190353</v>
      </c>
      <c r="CU73" s="77">
        <v>5018.134923888776</v>
      </c>
      <c r="CV73" s="65">
        <v>5638.3800591990603</v>
      </c>
      <c r="CW73" s="35">
        <v>620.24513531028424</v>
      </c>
      <c r="CX73" s="73">
        <v>151.71254308968381</v>
      </c>
      <c r="CY73" s="40">
        <v>-468.53259222060103</v>
      </c>
      <c r="CZ73" s="52">
        <v>-620.24513531028481</v>
      </c>
      <c r="DA73" s="150">
        <v>25845.689681430147</v>
      </c>
      <c r="DB73" s="2">
        <v>1</v>
      </c>
      <c r="DC73" s="675">
        <v>3703.02</v>
      </c>
      <c r="DD73" s="675">
        <v>0</v>
      </c>
      <c r="DE73" s="675">
        <v>3249.1876057888917</v>
      </c>
      <c r="DF73" s="675">
        <v>0</v>
      </c>
      <c r="DG73" s="321">
        <v>25225.444546119863</v>
      </c>
      <c r="DH73" s="40">
        <v>5169.4578127849518</v>
      </c>
      <c r="DI73" s="422">
        <v>453.83239421110841</v>
      </c>
      <c r="DJ73" s="306">
        <v>1.5092530569042515</v>
      </c>
      <c r="DK73" s="306">
        <v>1.5092530569042515</v>
      </c>
      <c r="DL73" s="306">
        <v>1.5092530569042515</v>
      </c>
      <c r="DM73" s="28">
        <v>453.83239421110841</v>
      </c>
      <c r="DN73" s="28">
        <v>0</v>
      </c>
      <c r="DO73" s="423">
        <v>453.83239421110841</v>
      </c>
      <c r="DP73" s="94">
        <v>0</v>
      </c>
      <c r="DQ73" s="28">
        <v>453.83239421110841</v>
      </c>
      <c r="DR73" s="318"/>
      <c r="DT73" s="8"/>
      <c r="DU73" s="5"/>
      <c r="DX73" s="5">
        <v>4197.9423425023069</v>
      </c>
      <c r="DY73" s="5">
        <v>3918</v>
      </c>
      <c r="DZ73" s="159">
        <v>404.88260570972562</v>
      </c>
      <c r="EB73" s="676">
        <v>-152.47040777003039</v>
      </c>
      <c r="EC73" s="676">
        <v>-183.31118754545147</v>
      </c>
      <c r="ED73" s="676">
        <v>-177.88646107515274</v>
      </c>
      <c r="EE73" s="676">
        <v>-352.3263707804029</v>
      </c>
      <c r="EF73" s="676">
        <v>-336.72572721080462</v>
      </c>
      <c r="EG73" s="676">
        <v>-161.80407837044942</v>
      </c>
      <c r="EH73" s="676">
        <v>-347.01279774552501</v>
      </c>
      <c r="EI73" s="676">
        <v>-293.24037153696349</v>
      </c>
      <c r="EJ73" s="676">
        <v>-341.6236097254519</v>
      </c>
      <c r="EK73" s="676">
        <v>2178.1346034975072</v>
      </c>
      <c r="EL73" s="676">
        <v>1134.8447872649267</v>
      </c>
      <c r="EM73" s="676">
        <v>-346.33324369191706</v>
      </c>
      <c r="EN73" s="676">
        <v>620.24513531028538</v>
      </c>
      <c r="EQ73" s="5">
        <v>4197.9423425023069</v>
      </c>
      <c r="ER73" s="5">
        <v>3918</v>
      </c>
      <c r="ET73" s="318">
        <v>-2076.9267708978959</v>
      </c>
      <c r="EU73" s="5">
        <v>27454.371317017762</v>
      </c>
    </row>
    <row r="74" spans="1:151" x14ac:dyDescent="0.3">
      <c r="A74" s="325">
        <v>150000524</v>
      </c>
      <c r="B74" s="41" t="s">
        <v>523</v>
      </c>
      <c r="C74" s="42" t="s">
        <v>59</v>
      </c>
      <c r="D74" s="27">
        <v>1</v>
      </c>
      <c r="E74" s="293">
        <v>214.7</v>
      </c>
      <c r="F74" s="305">
        <v>214.7</v>
      </c>
      <c r="G74" s="508">
        <v>0</v>
      </c>
      <c r="H74" s="677">
        <v>0</v>
      </c>
      <c r="I74" s="674">
        <v>0</v>
      </c>
      <c r="J74" s="40">
        <v>0</v>
      </c>
      <c r="K74" s="52">
        <v>0</v>
      </c>
      <c r="L74" s="674">
        <v>0</v>
      </c>
      <c r="M74" s="40">
        <v>0</v>
      </c>
      <c r="N74" s="52">
        <v>0</v>
      </c>
      <c r="O74" s="674">
        <v>0</v>
      </c>
      <c r="P74" s="40">
        <v>0</v>
      </c>
      <c r="Q74" s="52">
        <v>0</v>
      </c>
      <c r="R74" s="674">
        <v>0</v>
      </c>
      <c r="S74" s="40">
        <v>0</v>
      </c>
      <c r="T74" s="52">
        <v>0</v>
      </c>
      <c r="U74" s="674">
        <v>0</v>
      </c>
      <c r="V74" s="40">
        <v>0</v>
      </c>
      <c r="W74" s="52">
        <v>0</v>
      </c>
      <c r="X74" s="674">
        <v>0</v>
      </c>
      <c r="Y74" s="40">
        <v>0</v>
      </c>
      <c r="Z74" s="52">
        <v>0</v>
      </c>
      <c r="AA74" s="674">
        <v>37.164000000000001</v>
      </c>
      <c r="AB74" s="40">
        <v>0</v>
      </c>
      <c r="AC74" s="52">
        <v>-37.164000000000001</v>
      </c>
      <c r="AD74" s="674">
        <v>291.90595517028487</v>
      </c>
      <c r="AE74" s="40">
        <v>783.81283648365957</v>
      </c>
      <c r="AF74" s="35">
        <v>491.9068813133747</v>
      </c>
      <c r="AG74" s="77">
        <v>329.06995517028486</v>
      </c>
      <c r="AH74" s="53">
        <v>783.81283648365957</v>
      </c>
      <c r="AI74" s="52">
        <v>454.74288131337471</v>
      </c>
      <c r="AJ74" s="674">
        <v>0</v>
      </c>
      <c r="AK74" s="40">
        <v>0</v>
      </c>
      <c r="AL74" s="52">
        <v>0</v>
      </c>
      <c r="AM74" s="674">
        <v>0</v>
      </c>
      <c r="AN74" s="40">
        <v>0</v>
      </c>
      <c r="AO74" s="52">
        <v>0</v>
      </c>
      <c r="AP74" s="674">
        <v>370.76535417731452</v>
      </c>
      <c r="AQ74" s="40">
        <v>188.51155277734074</v>
      </c>
      <c r="AR74" s="52">
        <v>-182.25380139997378</v>
      </c>
      <c r="AS74" s="674">
        <v>2002.1014081254598</v>
      </c>
      <c r="AT74" s="40">
        <v>1901</v>
      </c>
      <c r="AU74" s="54">
        <v>-101.10140812545978</v>
      </c>
      <c r="AV74" s="674">
        <v>0</v>
      </c>
      <c r="AW74" s="40">
        <v>0</v>
      </c>
      <c r="AX74" s="55">
        <v>0</v>
      </c>
      <c r="AY74" s="674">
        <v>0</v>
      </c>
      <c r="AZ74" s="40">
        <v>0</v>
      </c>
      <c r="BA74" s="35">
        <v>0</v>
      </c>
      <c r="BB74" s="674">
        <v>0</v>
      </c>
      <c r="BC74" s="40">
        <v>0</v>
      </c>
      <c r="BD74" s="55">
        <v>0</v>
      </c>
      <c r="BE74" s="674">
        <v>0</v>
      </c>
      <c r="BF74" s="40">
        <v>0</v>
      </c>
      <c r="BG74" s="38">
        <v>0</v>
      </c>
      <c r="BH74" s="674">
        <v>0</v>
      </c>
      <c r="BI74" s="40">
        <v>0</v>
      </c>
      <c r="BJ74" s="55">
        <v>0</v>
      </c>
      <c r="BK74" s="674">
        <v>0</v>
      </c>
      <c r="BL74" s="40">
        <v>0</v>
      </c>
      <c r="BM74" s="38">
        <v>0</v>
      </c>
      <c r="BN74" s="674">
        <v>10.4126164702468</v>
      </c>
      <c r="BO74" s="40">
        <v>0</v>
      </c>
      <c r="BP74" s="55">
        <v>-10.4126164702468</v>
      </c>
      <c r="BQ74" s="77">
        <v>10.4126164702468</v>
      </c>
      <c r="BR74" s="40">
        <v>0</v>
      </c>
      <c r="BS74" s="55">
        <v>-10.4126164702468</v>
      </c>
      <c r="BT74" s="674">
        <v>0</v>
      </c>
      <c r="BU74" s="40">
        <v>0</v>
      </c>
      <c r="BV74" s="52">
        <v>0</v>
      </c>
      <c r="BW74" s="674">
        <v>0</v>
      </c>
      <c r="BX74" s="40">
        <v>4.0146257220672066</v>
      </c>
      <c r="BY74" s="52">
        <v>4.0146257220672066</v>
      </c>
      <c r="BZ74" s="674">
        <v>0</v>
      </c>
      <c r="CA74" s="40">
        <v>0</v>
      </c>
      <c r="CB74" s="52">
        <v>0</v>
      </c>
      <c r="CC74" s="674">
        <v>0</v>
      </c>
      <c r="CD74" s="40">
        <v>0</v>
      </c>
      <c r="CE74" s="52">
        <v>0</v>
      </c>
      <c r="CF74" s="674">
        <v>0</v>
      </c>
      <c r="CG74" s="40">
        <v>0</v>
      </c>
      <c r="CH74" s="52">
        <v>0</v>
      </c>
      <c r="CI74" s="674">
        <v>0</v>
      </c>
      <c r="CJ74" s="40">
        <v>0</v>
      </c>
      <c r="CK74" s="52">
        <v>0</v>
      </c>
      <c r="CL74" s="674">
        <v>0</v>
      </c>
      <c r="CM74" s="40">
        <v>0</v>
      </c>
      <c r="CN74" s="52">
        <v>0</v>
      </c>
      <c r="CO74" s="39">
        <v>0</v>
      </c>
      <c r="CP74" s="40">
        <v>0</v>
      </c>
      <c r="CQ74" s="52">
        <v>0</v>
      </c>
      <c r="CR74" s="72">
        <v>2712.3493339433057</v>
      </c>
      <c r="CS74" s="5">
        <v>2877.3390149830675</v>
      </c>
      <c r="CT74" s="52">
        <v>164.98968103976176</v>
      </c>
      <c r="CU74" s="77">
        <v>3254.8192007319667</v>
      </c>
      <c r="CV74" s="65">
        <v>3452.806817979681</v>
      </c>
      <c r="CW74" s="35">
        <v>197.9876172477143</v>
      </c>
      <c r="CX74" s="73">
        <v>63.766027761386852</v>
      </c>
      <c r="CY74" s="40">
        <v>-134.22158948632654</v>
      </c>
      <c r="CZ74" s="52">
        <v>-197.98761724771339</v>
      </c>
      <c r="DA74" s="150">
        <v>-282.48087951188211</v>
      </c>
      <c r="DB74" s="2">
        <v>1</v>
      </c>
      <c r="DC74" s="675">
        <v>1671.27</v>
      </c>
      <c r="DD74" s="675">
        <v>0</v>
      </c>
      <c r="DE74" s="675">
        <v>1671.27</v>
      </c>
      <c r="DF74" s="675">
        <v>0</v>
      </c>
      <c r="DG74" s="321">
        <v>-480.46849675959538</v>
      </c>
      <c r="DH74" s="40">
        <v>3952.5063081929547</v>
      </c>
      <c r="DI74" s="422">
        <v>317.15772299768952</v>
      </c>
      <c r="DJ74" s="306">
        <v>1.4772134280283631</v>
      </c>
      <c r="DK74" s="306">
        <v>1.4772134280283631</v>
      </c>
      <c r="DL74" s="306">
        <v>1.4772134280283631</v>
      </c>
      <c r="DM74" s="28">
        <v>317.15772299768952</v>
      </c>
      <c r="DN74" s="28">
        <v>0</v>
      </c>
      <c r="DO74" s="423">
        <v>317.15772299768952</v>
      </c>
      <c r="DP74" s="94">
        <v>0</v>
      </c>
      <c r="DQ74" s="28">
        <v>317.15772299768952</v>
      </c>
      <c r="DR74" s="318"/>
      <c r="DT74" s="8"/>
      <c r="DU74" s="5"/>
      <c r="DX74" s="5">
        <v>2415.0168295148478</v>
      </c>
      <c r="DY74" s="5">
        <v>2281.1999999999998</v>
      </c>
      <c r="DZ74" s="159">
        <v>268.22894173361556</v>
      </c>
      <c r="EB74" s="676">
        <v>-211.03025595786195</v>
      </c>
      <c r="EC74" s="676">
        <v>-233.13144226554851</v>
      </c>
      <c r="ED74" s="676">
        <v>-229.24396304934982</v>
      </c>
      <c r="EE74" s="676">
        <v>-251.00778810677741</v>
      </c>
      <c r="EF74" s="676">
        <v>-239.86891822186635</v>
      </c>
      <c r="EG74" s="676">
        <v>-17.974360376317179</v>
      </c>
      <c r="EH74" s="676">
        <v>-247.21389342573889</v>
      </c>
      <c r="EI74" s="676">
        <v>2072.3796546520066</v>
      </c>
      <c r="EJ74" s="676">
        <v>-243.36600959497835</v>
      </c>
      <c r="EK74" s="676">
        <v>-201.5554064058548</v>
      </c>
      <c r="EL74" s="676">
        <v>0</v>
      </c>
      <c r="EM74" s="676">
        <v>0</v>
      </c>
      <c r="EN74" s="676">
        <v>197.98761724771327</v>
      </c>
      <c r="EQ74" s="5">
        <v>2415.0168295148478</v>
      </c>
      <c r="ER74" s="5">
        <v>2281.1999999999998</v>
      </c>
      <c r="ET74" s="318">
        <v>-1994.5689641668255</v>
      </c>
      <c r="EU74" s="5">
        <v>2356.8255742310457</v>
      </c>
    </row>
    <row r="75" spans="1:151" x14ac:dyDescent="0.3">
      <c r="A75" s="325">
        <v>150000541</v>
      </c>
      <c r="B75" s="41" t="s">
        <v>524</v>
      </c>
      <c r="C75" s="42" t="s">
        <v>60</v>
      </c>
      <c r="D75" s="27">
        <v>1</v>
      </c>
      <c r="E75" s="293">
        <v>150.19999999999999</v>
      </c>
      <c r="F75" s="305">
        <v>150.19999999999999</v>
      </c>
      <c r="G75" s="508">
        <v>0</v>
      </c>
      <c r="H75" s="677">
        <v>0</v>
      </c>
      <c r="I75" s="674">
        <v>0</v>
      </c>
      <c r="J75" s="40">
        <v>0</v>
      </c>
      <c r="K75" s="52">
        <v>0</v>
      </c>
      <c r="L75" s="674">
        <v>0</v>
      </c>
      <c r="M75" s="40">
        <v>0</v>
      </c>
      <c r="N75" s="52">
        <v>0</v>
      </c>
      <c r="O75" s="674">
        <v>0</v>
      </c>
      <c r="P75" s="40">
        <v>0</v>
      </c>
      <c r="Q75" s="52">
        <v>0</v>
      </c>
      <c r="R75" s="674">
        <v>0</v>
      </c>
      <c r="S75" s="40">
        <v>0</v>
      </c>
      <c r="T75" s="52">
        <v>0</v>
      </c>
      <c r="U75" s="674">
        <v>0</v>
      </c>
      <c r="V75" s="40">
        <v>0</v>
      </c>
      <c r="W75" s="52">
        <v>0</v>
      </c>
      <c r="X75" s="674">
        <v>0</v>
      </c>
      <c r="Y75" s="40">
        <v>0</v>
      </c>
      <c r="Z75" s="52">
        <v>0</v>
      </c>
      <c r="AA75" s="674">
        <v>18.024000000000001</v>
      </c>
      <c r="AB75" s="40">
        <v>0</v>
      </c>
      <c r="AC75" s="52">
        <v>-18.024000000000001</v>
      </c>
      <c r="AD75" s="674">
        <v>144.2581576618615</v>
      </c>
      <c r="AE75" s="40">
        <v>548.3404193751544</v>
      </c>
      <c r="AF75" s="35">
        <v>404.08226171329289</v>
      </c>
      <c r="AG75" s="77">
        <v>162.2821576618615</v>
      </c>
      <c r="AH75" s="53">
        <v>548.3404193751544</v>
      </c>
      <c r="AI75" s="52">
        <v>386.05826171329289</v>
      </c>
      <c r="AJ75" s="674">
        <v>0</v>
      </c>
      <c r="AK75" s="40">
        <v>0</v>
      </c>
      <c r="AL75" s="52">
        <v>0</v>
      </c>
      <c r="AM75" s="674">
        <v>0</v>
      </c>
      <c r="AN75" s="40">
        <v>0</v>
      </c>
      <c r="AO75" s="52">
        <v>0</v>
      </c>
      <c r="AP75" s="674">
        <v>185.38267708865726</v>
      </c>
      <c r="AQ75" s="40">
        <v>94.25577638867037</v>
      </c>
      <c r="AR75" s="52">
        <v>-91.126900699986891</v>
      </c>
      <c r="AS75" s="674">
        <v>2042.796034830692</v>
      </c>
      <c r="AT75" s="40">
        <v>0</v>
      </c>
      <c r="AU75" s="54">
        <v>-2042.796034830692</v>
      </c>
      <c r="AV75" s="674">
        <v>0</v>
      </c>
      <c r="AW75" s="40">
        <v>0</v>
      </c>
      <c r="AX75" s="55">
        <v>0</v>
      </c>
      <c r="AY75" s="674">
        <v>0</v>
      </c>
      <c r="AZ75" s="40">
        <v>0</v>
      </c>
      <c r="BA75" s="35">
        <v>0</v>
      </c>
      <c r="BB75" s="674">
        <v>0</v>
      </c>
      <c r="BC75" s="40">
        <v>0</v>
      </c>
      <c r="BD75" s="55">
        <v>0</v>
      </c>
      <c r="BE75" s="674">
        <v>0</v>
      </c>
      <c r="BF75" s="40">
        <v>0</v>
      </c>
      <c r="BG75" s="38">
        <v>0</v>
      </c>
      <c r="BH75" s="674">
        <v>0</v>
      </c>
      <c r="BI75" s="40">
        <v>0</v>
      </c>
      <c r="BJ75" s="55">
        <v>0</v>
      </c>
      <c r="BK75" s="674">
        <v>0</v>
      </c>
      <c r="BL75" s="40">
        <v>0</v>
      </c>
      <c r="BM75" s="38">
        <v>0</v>
      </c>
      <c r="BN75" s="674">
        <v>5.3929419344528098</v>
      </c>
      <c r="BO75" s="40">
        <v>0</v>
      </c>
      <c r="BP75" s="55">
        <v>-5.3929419344528098</v>
      </c>
      <c r="BQ75" s="77">
        <v>5.3929419344528098</v>
      </c>
      <c r="BR75" s="40">
        <v>0</v>
      </c>
      <c r="BS75" s="55">
        <v>-5.3929419344528098</v>
      </c>
      <c r="BT75" s="674">
        <v>0</v>
      </c>
      <c r="BU75" s="40">
        <v>0</v>
      </c>
      <c r="BV75" s="52">
        <v>0</v>
      </c>
      <c r="BW75" s="674">
        <v>0</v>
      </c>
      <c r="BX75" s="40">
        <v>2.8085551162295967</v>
      </c>
      <c r="BY75" s="52">
        <v>2.8085551162295967</v>
      </c>
      <c r="BZ75" s="674">
        <v>0</v>
      </c>
      <c r="CA75" s="40">
        <v>0</v>
      </c>
      <c r="CB75" s="52">
        <v>0</v>
      </c>
      <c r="CC75" s="674">
        <v>0</v>
      </c>
      <c r="CD75" s="40">
        <v>0</v>
      </c>
      <c r="CE75" s="52">
        <v>0</v>
      </c>
      <c r="CF75" s="674">
        <v>0</v>
      </c>
      <c r="CG75" s="40">
        <v>0</v>
      </c>
      <c r="CH75" s="52">
        <v>0</v>
      </c>
      <c r="CI75" s="674">
        <v>0</v>
      </c>
      <c r="CJ75" s="40">
        <v>0</v>
      </c>
      <c r="CK75" s="52">
        <v>0</v>
      </c>
      <c r="CL75" s="674">
        <v>0</v>
      </c>
      <c r="CM75" s="40">
        <v>0</v>
      </c>
      <c r="CN75" s="52">
        <v>0</v>
      </c>
      <c r="CO75" s="39">
        <v>0</v>
      </c>
      <c r="CP75" s="40">
        <v>0</v>
      </c>
      <c r="CQ75" s="52">
        <v>0</v>
      </c>
      <c r="CR75" s="72">
        <v>2395.8538115156634</v>
      </c>
      <c r="CS75" s="5">
        <v>645.40475088005439</v>
      </c>
      <c r="CT75" s="52">
        <v>-1750.4490606356089</v>
      </c>
      <c r="CU75" s="77">
        <v>2875.0245738187959</v>
      </c>
      <c r="CV75" s="65">
        <v>774.4857010560653</v>
      </c>
      <c r="CW75" s="35">
        <v>-2100.5388727627305</v>
      </c>
      <c r="CX75" s="73">
        <v>68.44564317061176</v>
      </c>
      <c r="CY75" s="40">
        <v>2168.9845159333436</v>
      </c>
      <c r="CZ75" s="52">
        <v>2100.5388727627319</v>
      </c>
      <c r="DA75" s="150">
        <v>-2651.3371454682419</v>
      </c>
      <c r="DB75" s="2">
        <v>1</v>
      </c>
      <c r="DC75" s="675">
        <v>0</v>
      </c>
      <c r="DD75" s="675">
        <v>0</v>
      </c>
      <c r="DE75" s="675">
        <v>0</v>
      </c>
      <c r="DF75" s="675">
        <v>0</v>
      </c>
      <c r="DG75" s="321">
        <v>-550.79827270551027</v>
      </c>
      <c r="DH75" s="40">
        <v>3569.6120953981695</v>
      </c>
      <c r="DI75" s="422">
        <v>313.20575303027698</v>
      </c>
      <c r="DJ75" s="306">
        <v>2.0852554609653322</v>
      </c>
      <c r="DK75" s="306">
        <v>2.0852554609653322</v>
      </c>
      <c r="DL75" s="306">
        <v>2.0852554609653322</v>
      </c>
      <c r="DM75" s="28">
        <v>313.20537023699285</v>
      </c>
      <c r="DN75" s="28">
        <v>0</v>
      </c>
      <c r="DO75" s="423">
        <v>313.20537023699285</v>
      </c>
      <c r="DP75" s="94">
        <v>3.8279328413182157E-4</v>
      </c>
      <c r="DQ75" s="28">
        <v>313.20537023699285</v>
      </c>
      <c r="DR75" s="318"/>
      <c r="DT75" s="8"/>
      <c r="DU75" s="5"/>
      <c r="DX75" s="5">
        <v>2457.8267721181733</v>
      </c>
      <c r="DY75" s="5">
        <v>0</v>
      </c>
      <c r="DZ75" s="159">
        <v>284.90166116625602</v>
      </c>
      <c r="EB75" s="676">
        <v>-142.09635965660846</v>
      </c>
      <c r="EC75" s="676">
        <v>-157.55792548527415</v>
      </c>
      <c r="ED75" s="676">
        <v>-154.83831962466377</v>
      </c>
      <c r="EE75" s="676">
        <v>-263.40374512223769</v>
      </c>
      <c r="EF75" s="676">
        <v>-255.61120550084206</v>
      </c>
      <c r="EG75" s="676">
        <v>-145.5259770677232</v>
      </c>
      <c r="EH75" s="676">
        <v>-260.74960920657867</v>
      </c>
      <c r="EI75" s="676">
        <v>-233.89021972694474</v>
      </c>
      <c r="EJ75" s="676">
        <v>-258.05770351780257</v>
      </c>
      <c r="EK75" s="676">
        <v>-228.80780785405619</v>
      </c>
      <c r="EL75" s="676">
        <v>0</v>
      </c>
      <c r="EM75" s="676">
        <v>0</v>
      </c>
      <c r="EN75" s="676">
        <v>-2100.5388727627314</v>
      </c>
      <c r="EQ75" s="5">
        <v>2457.8267721181733</v>
      </c>
      <c r="ER75" s="5">
        <v>0</v>
      </c>
      <c r="ET75" s="318">
        <v>-1827.0619028728556</v>
      </c>
      <c r="EU75" s="5">
        <v>-1652.7363698326549</v>
      </c>
    </row>
    <row r="76" spans="1:151" x14ac:dyDescent="0.3">
      <c r="A76" s="325">
        <v>150000527</v>
      </c>
      <c r="B76" s="41" t="s">
        <v>525</v>
      </c>
      <c r="C76" s="42" t="s">
        <v>61</v>
      </c>
      <c r="D76" s="27">
        <v>1</v>
      </c>
      <c r="E76" s="293">
        <v>293.5</v>
      </c>
      <c r="F76" s="305">
        <v>293.5</v>
      </c>
      <c r="G76" s="508">
        <v>0</v>
      </c>
      <c r="H76" s="677">
        <v>0</v>
      </c>
      <c r="I76" s="674">
        <v>0</v>
      </c>
      <c r="J76" s="40">
        <v>0</v>
      </c>
      <c r="K76" s="52">
        <v>0</v>
      </c>
      <c r="L76" s="674">
        <v>0</v>
      </c>
      <c r="M76" s="40">
        <v>0</v>
      </c>
      <c r="N76" s="52">
        <v>0</v>
      </c>
      <c r="O76" s="674">
        <v>0</v>
      </c>
      <c r="P76" s="40">
        <v>0</v>
      </c>
      <c r="Q76" s="52">
        <v>0</v>
      </c>
      <c r="R76" s="674">
        <v>0</v>
      </c>
      <c r="S76" s="40">
        <v>0</v>
      </c>
      <c r="T76" s="52">
        <v>0</v>
      </c>
      <c r="U76" s="674">
        <v>0</v>
      </c>
      <c r="V76" s="40">
        <v>0</v>
      </c>
      <c r="W76" s="52">
        <v>0</v>
      </c>
      <c r="X76" s="674">
        <v>0</v>
      </c>
      <c r="Y76" s="40">
        <v>0</v>
      </c>
      <c r="Z76" s="52">
        <v>0</v>
      </c>
      <c r="AA76" s="674">
        <v>35.22</v>
      </c>
      <c r="AB76" s="40">
        <v>0</v>
      </c>
      <c r="AC76" s="52">
        <v>-35.22</v>
      </c>
      <c r="AD76" s="674">
        <v>281.94556430852134</v>
      </c>
      <c r="AE76" s="40">
        <v>1246.9998606591012</v>
      </c>
      <c r="AF76" s="35">
        <v>965.05429635057976</v>
      </c>
      <c r="AG76" s="77">
        <v>317.16556430852131</v>
      </c>
      <c r="AH76" s="53">
        <v>1246.9998606591012</v>
      </c>
      <c r="AI76" s="52">
        <v>929.83429635057985</v>
      </c>
      <c r="AJ76" s="674">
        <v>0</v>
      </c>
      <c r="AK76" s="40">
        <v>0</v>
      </c>
      <c r="AL76" s="52">
        <v>0</v>
      </c>
      <c r="AM76" s="674">
        <v>0</v>
      </c>
      <c r="AN76" s="40">
        <v>0</v>
      </c>
      <c r="AO76" s="52">
        <v>0</v>
      </c>
      <c r="AP76" s="674">
        <v>539.62018930214231</v>
      </c>
      <c r="AQ76" s="40">
        <v>226.21386333280887</v>
      </c>
      <c r="AR76" s="52">
        <v>-313.40632596933347</v>
      </c>
      <c r="AS76" s="674">
        <v>3800.8661495030919</v>
      </c>
      <c r="AT76" s="40">
        <v>809</v>
      </c>
      <c r="AU76" s="54">
        <v>-2991.8661495030919</v>
      </c>
      <c r="AV76" s="674">
        <v>0</v>
      </c>
      <c r="AW76" s="40">
        <v>0</v>
      </c>
      <c r="AX76" s="55">
        <v>0</v>
      </c>
      <c r="AY76" s="674">
        <v>0</v>
      </c>
      <c r="AZ76" s="40">
        <v>0</v>
      </c>
      <c r="BA76" s="35">
        <v>0</v>
      </c>
      <c r="BB76" s="674">
        <v>0</v>
      </c>
      <c r="BC76" s="40">
        <v>0</v>
      </c>
      <c r="BD76" s="55">
        <v>0</v>
      </c>
      <c r="BE76" s="674">
        <v>0</v>
      </c>
      <c r="BF76" s="40">
        <v>0</v>
      </c>
      <c r="BG76" s="38">
        <v>0</v>
      </c>
      <c r="BH76" s="674">
        <v>0</v>
      </c>
      <c r="BI76" s="40">
        <v>0</v>
      </c>
      <c r="BJ76" s="55">
        <v>0</v>
      </c>
      <c r="BK76" s="674">
        <v>0</v>
      </c>
      <c r="BL76" s="40">
        <v>0</v>
      </c>
      <c r="BM76" s="38">
        <v>0</v>
      </c>
      <c r="BN76" s="674">
        <v>10.102825676225185</v>
      </c>
      <c r="BO76" s="40">
        <v>0</v>
      </c>
      <c r="BP76" s="55">
        <v>-10.102825676225185</v>
      </c>
      <c r="BQ76" s="77">
        <v>10.102825676225185</v>
      </c>
      <c r="BR76" s="40">
        <v>0</v>
      </c>
      <c r="BS76" s="55">
        <v>-10.102825676225185</v>
      </c>
      <c r="BT76" s="674">
        <v>0</v>
      </c>
      <c r="BU76" s="40">
        <v>0</v>
      </c>
      <c r="BV76" s="52">
        <v>0</v>
      </c>
      <c r="BW76" s="674">
        <v>0</v>
      </c>
      <c r="BX76" s="40">
        <v>6.6761504952676871</v>
      </c>
      <c r="BY76" s="52">
        <v>6.6761504952676871</v>
      </c>
      <c r="BZ76" s="674">
        <v>0</v>
      </c>
      <c r="CA76" s="40">
        <v>0</v>
      </c>
      <c r="CB76" s="52">
        <v>0</v>
      </c>
      <c r="CC76" s="674">
        <v>0</v>
      </c>
      <c r="CD76" s="40">
        <v>0</v>
      </c>
      <c r="CE76" s="52">
        <v>0</v>
      </c>
      <c r="CF76" s="674">
        <v>0</v>
      </c>
      <c r="CG76" s="40">
        <v>0</v>
      </c>
      <c r="CH76" s="52">
        <v>0</v>
      </c>
      <c r="CI76" s="674">
        <v>0</v>
      </c>
      <c r="CJ76" s="40">
        <v>0</v>
      </c>
      <c r="CK76" s="52">
        <v>0</v>
      </c>
      <c r="CL76" s="674">
        <v>0</v>
      </c>
      <c r="CM76" s="40">
        <v>0</v>
      </c>
      <c r="CN76" s="52">
        <v>0</v>
      </c>
      <c r="CO76" s="39">
        <v>0</v>
      </c>
      <c r="CP76" s="40">
        <v>0</v>
      </c>
      <c r="CQ76" s="52">
        <v>0</v>
      </c>
      <c r="CR76" s="72">
        <v>4667.7547287899815</v>
      </c>
      <c r="CS76" s="5">
        <v>2288.8898744871781</v>
      </c>
      <c r="CT76" s="52">
        <v>-2378.8648543028035</v>
      </c>
      <c r="CU76" s="77">
        <v>5601.305674547978</v>
      </c>
      <c r="CV76" s="65">
        <v>2746.6678493846134</v>
      </c>
      <c r="CW76" s="35">
        <v>-2854.6378251633646</v>
      </c>
      <c r="CX76" s="73">
        <v>124.7059556728088</v>
      </c>
      <c r="CY76" s="40">
        <v>2979.3437808361709</v>
      </c>
      <c r="CZ76" s="52">
        <v>2854.6378251633623</v>
      </c>
      <c r="DA76" s="150">
        <v>10372.173413380306</v>
      </c>
      <c r="DB76" s="2">
        <v>1</v>
      </c>
      <c r="DC76" s="675">
        <v>1920.06</v>
      </c>
      <c r="DD76" s="675">
        <v>0</v>
      </c>
      <c r="DE76" s="675">
        <v>1417.9263038214253</v>
      </c>
      <c r="DF76" s="675">
        <v>0</v>
      </c>
      <c r="DG76" s="321">
        <v>13226.811238543669</v>
      </c>
      <c r="DH76" s="40">
        <v>5725.5783741553951</v>
      </c>
      <c r="DI76" s="422">
        <v>502.13395423720431</v>
      </c>
      <c r="DJ76" s="306">
        <v>1.7108473464346663</v>
      </c>
      <c r="DK76" s="306">
        <v>1.7108473464346663</v>
      </c>
      <c r="DL76" s="306">
        <v>1.7108473464346663</v>
      </c>
      <c r="DM76" s="28">
        <v>502.13369617857455</v>
      </c>
      <c r="DN76" s="28">
        <v>0</v>
      </c>
      <c r="DO76" s="423">
        <v>502.13369617857455</v>
      </c>
      <c r="DP76" s="94">
        <v>2.5805862975403215E-4</v>
      </c>
      <c r="DQ76" s="28">
        <v>502.13369617857455</v>
      </c>
      <c r="DR76" s="318"/>
      <c r="DT76" s="8"/>
      <c r="DU76" s="5"/>
      <c r="DX76" s="5">
        <v>4573.16277021518</v>
      </c>
      <c r="DY76" s="5">
        <v>970.8</v>
      </c>
      <c r="DZ76" s="159">
        <v>437.89220064616796</v>
      </c>
      <c r="EB76" s="676">
        <v>-194.91903531918098</v>
      </c>
      <c r="EC76" s="676">
        <v>-225.13188199503571</v>
      </c>
      <c r="ED76" s="676">
        <v>-219.81760556301745</v>
      </c>
      <c r="EE76" s="676">
        <v>-406.44175247110832</v>
      </c>
      <c r="EF76" s="676">
        <v>-391.21465274487917</v>
      </c>
      <c r="EG76" s="676">
        <v>-125.66260994770101</v>
      </c>
      <c r="EH76" s="676">
        <v>-401.25540832166814</v>
      </c>
      <c r="EI76" s="676">
        <v>-348.77051609615165</v>
      </c>
      <c r="EJ76" s="676">
        <v>-395.99525972209562</v>
      </c>
      <c r="EK76" s="676">
        <v>-338.83917199034079</v>
      </c>
      <c r="EL76" s="676">
        <v>594.00219460672429</v>
      </c>
      <c r="EM76" s="676">
        <v>-400.59212559890813</v>
      </c>
      <c r="EN76" s="676">
        <v>-2854.6378251633628</v>
      </c>
      <c r="EQ76" s="5">
        <v>4573.16277021518</v>
      </c>
      <c r="ER76" s="5">
        <v>970.8</v>
      </c>
      <c r="ET76" s="318">
        <v>3251.5415250798728</v>
      </c>
      <c r="EU76" s="5">
        <v>614.26971346379378</v>
      </c>
    </row>
    <row r="77" spans="1:151" x14ac:dyDescent="0.3">
      <c r="A77" s="325">
        <v>150000542</v>
      </c>
      <c r="B77" s="41" t="s">
        <v>526</v>
      </c>
      <c r="C77" s="42" t="s">
        <v>62</v>
      </c>
      <c r="D77" s="27">
        <v>1</v>
      </c>
      <c r="E77" s="293">
        <v>164.7</v>
      </c>
      <c r="F77" s="305">
        <v>164.7</v>
      </c>
      <c r="G77" s="508">
        <v>0</v>
      </c>
      <c r="H77" s="677">
        <v>0</v>
      </c>
      <c r="I77" s="674">
        <v>0</v>
      </c>
      <c r="J77" s="40">
        <v>0</v>
      </c>
      <c r="K77" s="52">
        <v>0</v>
      </c>
      <c r="L77" s="674">
        <v>0</v>
      </c>
      <c r="M77" s="40">
        <v>0</v>
      </c>
      <c r="N77" s="52">
        <v>0</v>
      </c>
      <c r="O77" s="674">
        <v>0</v>
      </c>
      <c r="P77" s="40">
        <v>0</v>
      </c>
      <c r="Q77" s="52">
        <v>0</v>
      </c>
      <c r="R77" s="674">
        <v>0</v>
      </c>
      <c r="S77" s="40">
        <v>0</v>
      </c>
      <c r="T77" s="52">
        <v>0</v>
      </c>
      <c r="U77" s="674">
        <v>0</v>
      </c>
      <c r="V77" s="40">
        <v>0</v>
      </c>
      <c r="W77" s="52">
        <v>0</v>
      </c>
      <c r="X77" s="674">
        <v>0</v>
      </c>
      <c r="Y77" s="40">
        <v>0</v>
      </c>
      <c r="Z77" s="52">
        <v>0</v>
      </c>
      <c r="AA77" s="674">
        <v>19.763999999999999</v>
      </c>
      <c r="AB77" s="40">
        <v>0</v>
      </c>
      <c r="AC77" s="52">
        <v>-19.763999999999999</v>
      </c>
      <c r="AD77" s="674">
        <v>158.18970766399295</v>
      </c>
      <c r="AE77" s="40">
        <v>601.27607903520595</v>
      </c>
      <c r="AF77" s="35">
        <v>443.08637137121298</v>
      </c>
      <c r="AG77" s="77">
        <v>177.95370766399296</v>
      </c>
      <c r="AH77" s="53">
        <v>601.27607903520595</v>
      </c>
      <c r="AI77" s="52">
        <v>423.32237137121297</v>
      </c>
      <c r="AJ77" s="674">
        <v>0</v>
      </c>
      <c r="AK77" s="40">
        <v>0</v>
      </c>
      <c r="AL77" s="52">
        <v>0</v>
      </c>
      <c r="AM77" s="674">
        <v>0</v>
      </c>
      <c r="AN77" s="40">
        <v>0</v>
      </c>
      <c r="AO77" s="52">
        <v>0</v>
      </c>
      <c r="AP77" s="674">
        <v>296.61228334185159</v>
      </c>
      <c r="AQ77" s="40">
        <v>150.80924222187258</v>
      </c>
      <c r="AR77" s="52">
        <v>-145.80304111997901</v>
      </c>
      <c r="AS77" s="674">
        <v>2435.6783818810777</v>
      </c>
      <c r="AT77" s="40">
        <v>0</v>
      </c>
      <c r="AU77" s="54">
        <v>-2435.6783818810777</v>
      </c>
      <c r="AV77" s="674">
        <v>0</v>
      </c>
      <c r="AW77" s="40">
        <v>0</v>
      </c>
      <c r="AX77" s="55">
        <v>0</v>
      </c>
      <c r="AY77" s="674">
        <v>0</v>
      </c>
      <c r="AZ77" s="40">
        <v>0</v>
      </c>
      <c r="BA77" s="35">
        <v>0</v>
      </c>
      <c r="BB77" s="674">
        <v>0</v>
      </c>
      <c r="BC77" s="40">
        <v>0</v>
      </c>
      <c r="BD77" s="55">
        <v>0</v>
      </c>
      <c r="BE77" s="674">
        <v>0</v>
      </c>
      <c r="BF77" s="40">
        <v>0</v>
      </c>
      <c r="BG77" s="38">
        <v>0</v>
      </c>
      <c r="BH77" s="674">
        <v>0</v>
      </c>
      <c r="BI77" s="40">
        <v>0</v>
      </c>
      <c r="BJ77" s="55">
        <v>0</v>
      </c>
      <c r="BK77" s="674">
        <v>0</v>
      </c>
      <c r="BL77" s="40">
        <v>0</v>
      </c>
      <c r="BM77" s="38">
        <v>0</v>
      </c>
      <c r="BN77" s="674">
        <v>10.4126164702468</v>
      </c>
      <c r="BO77" s="40">
        <v>0</v>
      </c>
      <c r="BP77" s="55">
        <v>-10.4126164702468</v>
      </c>
      <c r="BQ77" s="77">
        <v>10.4126164702468</v>
      </c>
      <c r="BR77" s="40">
        <v>0</v>
      </c>
      <c r="BS77" s="55">
        <v>-10.4126164702468</v>
      </c>
      <c r="BT77" s="674">
        <v>0</v>
      </c>
      <c r="BU77" s="40">
        <v>0</v>
      </c>
      <c r="BV77" s="52">
        <v>0</v>
      </c>
      <c r="BW77" s="674">
        <v>0</v>
      </c>
      <c r="BX77" s="40">
        <v>3.0796872679295237</v>
      </c>
      <c r="BY77" s="52">
        <v>3.0796872679295237</v>
      </c>
      <c r="BZ77" s="674">
        <v>0</v>
      </c>
      <c r="CA77" s="40">
        <v>0</v>
      </c>
      <c r="CB77" s="52">
        <v>0</v>
      </c>
      <c r="CC77" s="674">
        <v>0</v>
      </c>
      <c r="CD77" s="40">
        <v>0</v>
      </c>
      <c r="CE77" s="52">
        <v>0</v>
      </c>
      <c r="CF77" s="674">
        <v>0</v>
      </c>
      <c r="CG77" s="40">
        <v>0</v>
      </c>
      <c r="CH77" s="52">
        <v>0</v>
      </c>
      <c r="CI77" s="674">
        <v>0</v>
      </c>
      <c r="CJ77" s="40">
        <v>0</v>
      </c>
      <c r="CK77" s="52">
        <v>0</v>
      </c>
      <c r="CL77" s="674">
        <v>0</v>
      </c>
      <c r="CM77" s="40">
        <v>0</v>
      </c>
      <c r="CN77" s="52">
        <v>0</v>
      </c>
      <c r="CO77" s="39">
        <v>0</v>
      </c>
      <c r="CP77" s="40">
        <v>0</v>
      </c>
      <c r="CQ77" s="52">
        <v>0</v>
      </c>
      <c r="CR77" s="72">
        <v>2920.6569893571686</v>
      </c>
      <c r="CS77" s="5">
        <v>755.16500852500803</v>
      </c>
      <c r="CT77" s="52">
        <v>-2165.4919808321606</v>
      </c>
      <c r="CU77" s="77">
        <v>3504.7883872286025</v>
      </c>
      <c r="CV77" s="65">
        <v>906.19801023000957</v>
      </c>
      <c r="CW77" s="35">
        <v>-2598.590376998593</v>
      </c>
      <c r="CX77" s="73">
        <v>83.437998357613438</v>
      </c>
      <c r="CY77" s="40">
        <v>2682.0283753562062</v>
      </c>
      <c r="CZ77" s="52">
        <v>2598.5903769985925</v>
      </c>
      <c r="DA77" s="150">
        <v>-4362.412123011708</v>
      </c>
      <c r="DB77" s="2">
        <v>1</v>
      </c>
      <c r="DC77" s="675">
        <v>2272.7800000000002</v>
      </c>
      <c r="DD77" s="675">
        <v>0</v>
      </c>
      <c r="DE77" s="675">
        <v>2272.7800000000002</v>
      </c>
      <c r="DF77" s="675">
        <v>0</v>
      </c>
      <c r="DG77" s="321">
        <v>-1763.8217460131148</v>
      </c>
      <c r="DH77" s="40">
        <v>4351.5265196364144</v>
      </c>
      <c r="DI77" s="422">
        <v>381.81440867273767</v>
      </c>
      <c r="DJ77" s="306">
        <v>2.3182436627598815</v>
      </c>
      <c r="DK77" s="306">
        <v>2.3182436627598815</v>
      </c>
      <c r="DL77" s="306">
        <v>2.3182436627598815</v>
      </c>
      <c r="DM77" s="28">
        <v>381.81473125655248</v>
      </c>
      <c r="DN77" s="28">
        <v>0</v>
      </c>
      <c r="DO77" s="423">
        <v>381.81473125655248</v>
      </c>
      <c r="DP77" s="94">
        <v>-3.2258381480687603E-4</v>
      </c>
      <c r="DQ77" s="28">
        <v>381.81473125655248</v>
      </c>
      <c r="DR77" s="318"/>
      <c r="DT77" s="8"/>
      <c r="DU77" s="5"/>
      <c r="DX77" s="5">
        <v>2935.3091980215891</v>
      </c>
      <c r="DY77" s="5">
        <v>0</v>
      </c>
      <c r="DZ77" s="159">
        <v>338.29112072167317</v>
      </c>
      <c r="EB77" s="676">
        <v>-185.00657482176391</v>
      </c>
      <c r="EC77" s="676">
        <v>-201.96076851005444</v>
      </c>
      <c r="ED77" s="676">
        <v>-198.97861747648233</v>
      </c>
      <c r="EE77" s="676">
        <v>-326.63752605749625</v>
      </c>
      <c r="EF77" s="676">
        <v>-318.09271064042662</v>
      </c>
      <c r="EG77" s="676">
        <v>-140.43503224130421</v>
      </c>
      <c r="EH77" s="676">
        <v>-323.72716530310851</v>
      </c>
      <c r="EI77" s="676">
        <v>-294.27482544095329</v>
      </c>
      <c r="EJ77" s="676">
        <v>-320.77538855915759</v>
      </c>
      <c r="EK77" s="676">
        <v>-288.70176794784578</v>
      </c>
      <c r="EL77" s="676">
        <v>0</v>
      </c>
      <c r="EM77" s="676">
        <v>0</v>
      </c>
      <c r="EN77" s="676">
        <v>-2598.590376998593</v>
      </c>
      <c r="EQ77" s="5">
        <v>2935.3091980215891</v>
      </c>
      <c r="ER77" s="5">
        <v>0</v>
      </c>
      <c r="ET77" s="318">
        <v>3097.8795652254344</v>
      </c>
      <c r="EU77" s="5">
        <v>-1807.7013112385498</v>
      </c>
    </row>
    <row r="78" spans="1:151" x14ac:dyDescent="0.3">
      <c r="A78" s="325">
        <v>150000529</v>
      </c>
      <c r="B78" s="41" t="s">
        <v>527</v>
      </c>
      <c r="C78" s="42" t="s">
        <v>348</v>
      </c>
      <c r="D78" s="27">
        <v>9</v>
      </c>
      <c r="E78" s="293">
        <v>8443.0499999999993</v>
      </c>
      <c r="F78" s="305">
        <v>8443.0499999999993</v>
      </c>
      <c r="G78" s="508">
        <v>979.2</v>
      </c>
      <c r="H78" s="677">
        <v>0</v>
      </c>
      <c r="I78" s="674">
        <v>13567.514216575211</v>
      </c>
      <c r="J78" s="40">
        <v>11907.714250366545</v>
      </c>
      <c r="K78" s="52">
        <v>-1659.7999662086659</v>
      </c>
      <c r="L78" s="674">
        <v>2313.7756418421277</v>
      </c>
      <c r="M78" s="40">
        <v>1844.0940087160873</v>
      </c>
      <c r="N78" s="52">
        <v>-469.68163312604042</v>
      </c>
      <c r="O78" s="674">
        <v>12109.868674221867</v>
      </c>
      <c r="P78" s="40">
        <v>12109.890000000003</v>
      </c>
      <c r="Q78" s="52">
        <v>2.1325778136088047E-2</v>
      </c>
      <c r="R78" s="674">
        <v>2630.6625207282905</v>
      </c>
      <c r="S78" s="40">
        <v>2630.67</v>
      </c>
      <c r="T78" s="52">
        <v>7.4792717095988337E-3</v>
      </c>
      <c r="U78" s="674">
        <v>2112.2911697090185</v>
      </c>
      <c r="V78" s="40">
        <v>882.68112831113785</v>
      </c>
      <c r="W78" s="52">
        <v>-1229.6100413978807</v>
      </c>
      <c r="X78" s="674">
        <v>18302.71202105016</v>
      </c>
      <c r="Y78" s="40">
        <v>15046.965320738802</v>
      </c>
      <c r="Z78" s="52">
        <v>-3255.7467003113579</v>
      </c>
      <c r="AA78" s="674">
        <v>1013.316</v>
      </c>
      <c r="AB78" s="40">
        <v>0</v>
      </c>
      <c r="AC78" s="52">
        <v>-1013.316</v>
      </c>
      <c r="AD78" s="674">
        <v>36200.938787466548</v>
      </c>
      <c r="AE78" s="40">
        <v>35869.867499401218</v>
      </c>
      <c r="AF78" s="35">
        <v>-331.07128806533001</v>
      </c>
      <c r="AG78" s="77">
        <v>88251.079031593224</v>
      </c>
      <c r="AH78" s="53">
        <v>80291.882207533796</v>
      </c>
      <c r="AI78" s="52">
        <v>-7959.1968240594288</v>
      </c>
      <c r="AJ78" s="674">
        <v>93832.007285190004</v>
      </c>
      <c r="AK78" s="40">
        <v>93214.617106728096</v>
      </c>
      <c r="AL78" s="52">
        <v>-617.39017846190836</v>
      </c>
      <c r="AM78" s="674">
        <v>1499.0414466531979</v>
      </c>
      <c r="AN78" s="40">
        <v>836.09601343288591</v>
      </c>
      <c r="AO78" s="52">
        <v>-662.945433220312</v>
      </c>
      <c r="AP78" s="674">
        <v>6295.5688751916632</v>
      </c>
      <c r="AQ78" s="40">
        <v>6172.244310339569</v>
      </c>
      <c r="AR78" s="52">
        <v>-123.32456485209423</v>
      </c>
      <c r="AS78" s="674">
        <v>143325.59785317405</v>
      </c>
      <c r="AT78" s="40">
        <v>338820.90157647699</v>
      </c>
      <c r="AU78" s="54">
        <v>195495.30372330293</v>
      </c>
      <c r="AV78" s="674">
        <v>1779.5160742169971</v>
      </c>
      <c r="AW78" s="40">
        <v>2752.34</v>
      </c>
      <c r="AX78" s="55">
        <v>972.82392578300301</v>
      </c>
      <c r="AY78" s="674">
        <v>2037.342644060154</v>
      </c>
      <c r="AZ78" s="40">
        <v>11428</v>
      </c>
      <c r="BA78" s="35">
        <v>9390.6573559398457</v>
      </c>
      <c r="BB78" s="674">
        <v>1994.6969228917205</v>
      </c>
      <c r="BC78" s="40">
        <v>0</v>
      </c>
      <c r="BD78" s="55">
        <v>-1994.6969228917205</v>
      </c>
      <c r="BE78" s="674">
        <v>3092.2922879735424</v>
      </c>
      <c r="BF78" s="40">
        <v>0</v>
      </c>
      <c r="BG78" s="38">
        <v>-3092.2922879735424</v>
      </c>
      <c r="BH78" s="674">
        <v>2202.9973371612227</v>
      </c>
      <c r="BI78" s="40">
        <v>0</v>
      </c>
      <c r="BJ78" s="55">
        <v>-2202.9973371612227</v>
      </c>
      <c r="BK78" s="674">
        <v>2859.1348781422416</v>
      </c>
      <c r="BL78" s="40">
        <v>575</v>
      </c>
      <c r="BM78" s="38">
        <v>-2284.1348781422416</v>
      </c>
      <c r="BN78" s="674">
        <v>1292.7104883735483</v>
      </c>
      <c r="BO78" s="40">
        <v>0</v>
      </c>
      <c r="BP78" s="55">
        <v>-1292.7104883735483</v>
      </c>
      <c r="BQ78" s="77">
        <v>15258.690632819429</v>
      </c>
      <c r="BR78" s="40">
        <v>14755.34</v>
      </c>
      <c r="BS78" s="55">
        <v>-503.35063281942894</v>
      </c>
      <c r="BT78" s="674">
        <v>93585.812562037376</v>
      </c>
      <c r="BU78" s="40">
        <v>99219.018311403837</v>
      </c>
      <c r="BV78" s="52">
        <v>5633.2057493664615</v>
      </c>
      <c r="BW78" s="674">
        <v>81565.658974940947</v>
      </c>
      <c r="BX78" s="40">
        <v>80281.175247172854</v>
      </c>
      <c r="BY78" s="52">
        <v>-1284.4837277680926</v>
      </c>
      <c r="BZ78" s="674">
        <v>8143.0937831322963</v>
      </c>
      <c r="CA78" s="40">
        <v>25306.854244211041</v>
      </c>
      <c r="CB78" s="52">
        <v>17163.760461078746</v>
      </c>
      <c r="CC78" s="674">
        <v>4022.742455193144</v>
      </c>
      <c r="CD78" s="40">
        <v>4221.9655516019166</v>
      </c>
      <c r="CE78" s="52">
        <v>199.22309640877256</v>
      </c>
      <c r="CF78" s="674">
        <v>490.96203081697104</v>
      </c>
      <c r="CG78" s="40">
        <v>1525.3856747119457</v>
      </c>
      <c r="CH78" s="52">
        <v>1034.4236438949747</v>
      </c>
      <c r="CI78" s="674">
        <v>17521.652372262575</v>
      </c>
      <c r="CJ78" s="40">
        <v>10864.565698188964</v>
      </c>
      <c r="CK78" s="52">
        <v>-6657.086674073611</v>
      </c>
      <c r="CL78" s="674">
        <v>17062.295288225774</v>
      </c>
      <c r="CM78" s="40">
        <v>16908.359785664306</v>
      </c>
      <c r="CN78" s="52">
        <v>-153.93550256146773</v>
      </c>
      <c r="CO78" s="39">
        <v>34583.947660488353</v>
      </c>
      <c r="CP78" s="40">
        <v>27772.925483853272</v>
      </c>
      <c r="CQ78" s="52">
        <v>-6811.0221766350805</v>
      </c>
      <c r="CR78" s="72">
        <v>570854.20259123063</v>
      </c>
      <c r="CS78" s="5">
        <v>772418.4057274661</v>
      </c>
      <c r="CT78" s="52">
        <v>201564.20313623548</v>
      </c>
      <c r="CU78" s="77">
        <v>685025.04310947668</v>
      </c>
      <c r="CV78" s="65">
        <v>926902.08687295928</v>
      </c>
      <c r="CW78" s="35">
        <v>241877.04376348259</v>
      </c>
      <c r="CX78" s="73">
        <v>17988.288188560928</v>
      </c>
      <c r="CY78" s="40">
        <v>-223888.75557492184</v>
      </c>
      <c r="CZ78" s="52">
        <v>-241877.04376348277</v>
      </c>
      <c r="DA78" s="150">
        <v>137124.55698260284</v>
      </c>
      <c r="DB78" s="2">
        <v>1</v>
      </c>
      <c r="DC78" s="675">
        <v>134004.43</v>
      </c>
      <c r="DD78" s="675">
        <v>0</v>
      </c>
      <c r="DE78" s="675">
        <v>72346.189129242674</v>
      </c>
      <c r="DF78" s="675">
        <v>0</v>
      </c>
      <c r="DG78" s="321">
        <v>-104752.4867808799</v>
      </c>
      <c r="DH78" s="40">
        <v>702960.16573037335</v>
      </c>
      <c r="DI78" s="422">
        <v>61658.240870757319</v>
      </c>
      <c r="DJ78" s="306">
        <v>5.822074067045433</v>
      </c>
      <c r="DK78" s="306">
        <v>7.4971048378928344</v>
      </c>
      <c r="DL78" s="306">
        <v>4.760442269285809</v>
      </c>
      <c r="DM78" s="28">
        <v>61658.240870757312</v>
      </c>
      <c r="DN78" s="28">
        <v>0</v>
      </c>
      <c r="DO78" s="423">
        <v>61658.240870757312</v>
      </c>
      <c r="DP78" s="94">
        <v>0</v>
      </c>
      <c r="DQ78" s="28">
        <v>61658.240870757312</v>
      </c>
      <c r="DR78" s="318"/>
      <c r="DT78" s="8"/>
      <c r="DU78" s="5"/>
      <c r="DX78" s="5">
        <v>190301.14618319218</v>
      </c>
      <c r="DY78" s="5">
        <v>424291.48989177239</v>
      </c>
      <c r="DZ78" s="159">
        <v>17295.648684509648</v>
      </c>
      <c r="EB78" s="676">
        <v>26768.721111638617</v>
      </c>
      <c r="EC78" s="676">
        <v>-5117.5236106094744</v>
      </c>
      <c r="ED78" s="676">
        <v>-3831.0013883623906</v>
      </c>
      <c r="EE78" s="676">
        <v>-2807.3328563982213</v>
      </c>
      <c r="EF78" s="676">
        <v>-14859.518526190346</v>
      </c>
      <c r="EG78" s="676">
        <v>-19808.240840220184</v>
      </c>
      <c r="EH78" s="676">
        <v>-19383.814361685647</v>
      </c>
      <c r="EI78" s="676">
        <v>165789.39036631535</v>
      </c>
      <c r="EJ78" s="676">
        <v>110697.02304632249</v>
      </c>
      <c r="EK78" s="676">
        <v>25199.394431914676</v>
      </c>
      <c r="EL78" s="676">
        <v>-13214.219953654043</v>
      </c>
      <c r="EM78" s="676">
        <v>-7555.8336555880669</v>
      </c>
      <c r="EN78" s="676">
        <v>241877.04376348274</v>
      </c>
      <c r="EQ78" s="5">
        <v>190301.14618319218</v>
      </c>
      <c r="ER78" s="5">
        <v>424291.48989177239</v>
      </c>
      <c r="ET78" s="318">
        <v>-66295.810225276393</v>
      </c>
      <c r="EU78" s="5">
        <v>-8270.6965556035284</v>
      </c>
    </row>
    <row r="79" spans="1:151" x14ac:dyDescent="0.3">
      <c r="A79" s="325">
        <v>150000530</v>
      </c>
      <c r="B79" s="41" t="s">
        <v>528</v>
      </c>
      <c r="C79" s="42" t="s">
        <v>63</v>
      </c>
      <c r="D79" s="27">
        <v>1</v>
      </c>
      <c r="E79" s="293">
        <v>174.9</v>
      </c>
      <c r="F79" s="305">
        <v>174.9</v>
      </c>
      <c r="G79" s="508">
        <v>0</v>
      </c>
      <c r="H79" s="677">
        <v>0</v>
      </c>
      <c r="I79" s="674">
        <v>0</v>
      </c>
      <c r="J79" s="40">
        <v>0</v>
      </c>
      <c r="K79" s="52">
        <v>0</v>
      </c>
      <c r="L79" s="674">
        <v>0</v>
      </c>
      <c r="M79" s="40">
        <v>0</v>
      </c>
      <c r="N79" s="52">
        <v>0</v>
      </c>
      <c r="O79" s="674">
        <v>0</v>
      </c>
      <c r="P79" s="40">
        <v>0</v>
      </c>
      <c r="Q79" s="52">
        <v>0</v>
      </c>
      <c r="R79" s="674">
        <v>0</v>
      </c>
      <c r="S79" s="40">
        <v>0</v>
      </c>
      <c r="T79" s="52">
        <v>0</v>
      </c>
      <c r="U79" s="674">
        <v>0</v>
      </c>
      <c r="V79" s="40">
        <v>0</v>
      </c>
      <c r="W79" s="52">
        <v>0</v>
      </c>
      <c r="X79" s="674">
        <v>0</v>
      </c>
      <c r="Y79" s="40">
        <v>0</v>
      </c>
      <c r="Z79" s="52">
        <v>0</v>
      </c>
      <c r="AA79" s="674">
        <v>21.7104</v>
      </c>
      <c r="AB79" s="40">
        <v>0</v>
      </c>
      <c r="AC79" s="52">
        <v>-21.7104</v>
      </c>
      <c r="AD79" s="674">
        <v>173.81188059151569</v>
      </c>
      <c r="AE79" s="40">
        <v>743.1014501849296</v>
      </c>
      <c r="AF79" s="35">
        <v>569.28956959341394</v>
      </c>
      <c r="AG79" s="77">
        <v>195.52228059151568</v>
      </c>
      <c r="AH79" s="53">
        <v>743.1014501849296</v>
      </c>
      <c r="AI79" s="52">
        <v>547.57916959341389</v>
      </c>
      <c r="AJ79" s="674">
        <v>0</v>
      </c>
      <c r="AK79" s="40">
        <v>0</v>
      </c>
      <c r="AL79" s="52">
        <v>0</v>
      </c>
      <c r="AM79" s="674">
        <v>0</v>
      </c>
      <c r="AN79" s="40">
        <v>0</v>
      </c>
      <c r="AO79" s="52">
        <v>0</v>
      </c>
      <c r="AP79" s="674">
        <v>674.52523662767817</v>
      </c>
      <c r="AQ79" s="40">
        <v>282.76732916601111</v>
      </c>
      <c r="AR79" s="52">
        <v>-391.75790746166706</v>
      </c>
      <c r="AS79" s="674">
        <v>2891.76720455743</v>
      </c>
      <c r="AT79" s="40">
        <v>809</v>
      </c>
      <c r="AU79" s="54">
        <v>-2082.76720455743</v>
      </c>
      <c r="AV79" s="674">
        <v>0</v>
      </c>
      <c r="AW79" s="40">
        <v>0</v>
      </c>
      <c r="AX79" s="55">
        <v>0</v>
      </c>
      <c r="AY79" s="674">
        <v>0</v>
      </c>
      <c r="AZ79" s="40">
        <v>0</v>
      </c>
      <c r="BA79" s="35">
        <v>0</v>
      </c>
      <c r="BB79" s="674">
        <v>0</v>
      </c>
      <c r="BC79" s="40">
        <v>0</v>
      </c>
      <c r="BD79" s="55">
        <v>0</v>
      </c>
      <c r="BE79" s="674">
        <v>0</v>
      </c>
      <c r="BF79" s="40">
        <v>0</v>
      </c>
      <c r="BG79" s="38">
        <v>0</v>
      </c>
      <c r="BH79" s="674">
        <v>0</v>
      </c>
      <c r="BI79" s="40">
        <v>0</v>
      </c>
      <c r="BJ79" s="55">
        <v>0</v>
      </c>
      <c r="BK79" s="674">
        <v>0</v>
      </c>
      <c r="BL79" s="40">
        <v>0</v>
      </c>
      <c r="BM79" s="38">
        <v>0</v>
      </c>
      <c r="BN79" s="674">
        <v>10.722316309630617</v>
      </c>
      <c r="BO79" s="40">
        <v>0</v>
      </c>
      <c r="BP79" s="55">
        <v>-10.722316309630617</v>
      </c>
      <c r="BQ79" s="77">
        <v>10.722316309630617</v>
      </c>
      <c r="BR79" s="40">
        <v>0</v>
      </c>
      <c r="BS79" s="55">
        <v>-10.722316309630617</v>
      </c>
      <c r="BT79" s="674">
        <v>0</v>
      </c>
      <c r="BU79" s="40">
        <v>0</v>
      </c>
      <c r="BV79" s="52">
        <v>0</v>
      </c>
      <c r="BW79" s="674">
        <v>0</v>
      </c>
      <c r="BX79" s="40">
        <v>3.9783942815070472</v>
      </c>
      <c r="BY79" s="52">
        <v>3.9783942815070472</v>
      </c>
      <c r="BZ79" s="674">
        <v>0</v>
      </c>
      <c r="CA79" s="40">
        <v>0</v>
      </c>
      <c r="CB79" s="52">
        <v>0</v>
      </c>
      <c r="CC79" s="674">
        <v>0</v>
      </c>
      <c r="CD79" s="40">
        <v>0</v>
      </c>
      <c r="CE79" s="52">
        <v>0</v>
      </c>
      <c r="CF79" s="674">
        <v>0</v>
      </c>
      <c r="CG79" s="40">
        <v>0</v>
      </c>
      <c r="CH79" s="52">
        <v>0</v>
      </c>
      <c r="CI79" s="674">
        <v>0</v>
      </c>
      <c r="CJ79" s="40">
        <v>0</v>
      </c>
      <c r="CK79" s="52">
        <v>0</v>
      </c>
      <c r="CL79" s="674">
        <v>0</v>
      </c>
      <c r="CM79" s="40">
        <v>0</v>
      </c>
      <c r="CN79" s="52">
        <v>0</v>
      </c>
      <c r="CO79" s="39">
        <v>0</v>
      </c>
      <c r="CP79" s="40">
        <v>0</v>
      </c>
      <c r="CQ79" s="52">
        <v>0</v>
      </c>
      <c r="CR79" s="72">
        <v>3772.5370380862541</v>
      </c>
      <c r="CS79" s="5">
        <v>1838.8471736324477</v>
      </c>
      <c r="CT79" s="52">
        <v>-1933.6898644538064</v>
      </c>
      <c r="CU79" s="77">
        <v>4527.0444457035046</v>
      </c>
      <c r="CV79" s="65">
        <v>2206.6166083589374</v>
      </c>
      <c r="CW79" s="35">
        <v>-2320.4278373445673</v>
      </c>
      <c r="CX79" s="73">
        <v>101.64212108326495</v>
      </c>
      <c r="CY79" s="40">
        <v>2422.0699584278327</v>
      </c>
      <c r="CZ79" s="52">
        <v>2320.4278373445677</v>
      </c>
      <c r="DA79" s="150">
        <v>8394.2611471599193</v>
      </c>
      <c r="DB79" s="2">
        <v>1</v>
      </c>
      <c r="DC79" s="675">
        <v>1964.59</v>
      </c>
      <c r="DD79" s="675">
        <v>0</v>
      </c>
      <c r="DE79" s="675">
        <v>1561.4754356233359</v>
      </c>
      <c r="DF79" s="675">
        <v>0</v>
      </c>
      <c r="DG79" s="321">
        <v>10714.688984504486</v>
      </c>
      <c r="DH79" s="40">
        <v>4628.3273192160686</v>
      </c>
      <c r="DI79" s="422">
        <v>403.11403103865177</v>
      </c>
      <c r="DJ79" s="306">
        <v>2.3048288414903602</v>
      </c>
      <c r="DK79" s="306">
        <v>2.3048288414903602</v>
      </c>
      <c r="DL79" s="306">
        <v>2.3048288414903602</v>
      </c>
      <c r="DM79" s="28">
        <v>403.11456437666402</v>
      </c>
      <c r="DN79" s="28">
        <v>0</v>
      </c>
      <c r="DO79" s="423">
        <v>403.11456437666402</v>
      </c>
      <c r="DP79" s="94">
        <v>-5.3333801224653143E-4</v>
      </c>
      <c r="DQ79" s="28">
        <v>403.11456437666402</v>
      </c>
      <c r="DR79" s="318"/>
      <c r="DT79" s="8"/>
      <c r="DU79" s="5"/>
      <c r="DX79" s="5">
        <v>3482.9874250404723</v>
      </c>
      <c r="DY79" s="5">
        <v>970.8</v>
      </c>
      <c r="DZ79" s="159">
        <v>326.1303497273916</v>
      </c>
      <c r="EB79" s="676">
        <v>-205.48777958285677</v>
      </c>
      <c r="EC79" s="676">
        <v>-223.49195976550411</v>
      </c>
      <c r="ED79" s="676">
        <v>-220.32512178267618</v>
      </c>
      <c r="EE79" s="676">
        <v>-344.55467454460648</v>
      </c>
      <c r="EF79" s="676">
        <v>-335.48067201609717</v>
      </c>
      <c r="EG79" s="676">
        <v>0.32150849908384771</v>
      </c>
      <c r="EH79" s="676">
        <v>-341.46407286918196</v>
      </c>
      <c r="EI79" s="676">
        <v>-310.18772653104628</v>
      </c>
      <c r="EJ79" s="676">
        <v>-338.32949027952191</v>
      </c>
      <c r="EK79" s="676">
        <v>-304.26952522233654</v>
      </c>
      <c r="EL79" s="676">
        <v>643.91049187417707</v>
      </c>
      <c r="EM79" s="676">
        <v>-341.06881512400065</v>
      </c>
      <c r="EN79" s="676">
        <v>-2320.4278373445677</v>
      </c>
      <c r="EQ79" s="5">
        <v>3482.9874250404723</v>
      </c>
      <c r="ER79" s="5">
        <v>970.8</v>
      </c>
      <c r="ET79" s="318">
        <v>-2356.5966051177516</v>
      </c>
      <c r="EU79" s="5">
        <v>725.59117961752577</v>
      </c>
    </row>
    <row r="80" spans="1:151" x14ac:dyDescent="0.3">
      <c r="A80" s="325">
        <v>150000543</v>
      </c>
      <c r="B80" s="41" t="s">
        <v>529</v>
      </c>
      <c r="C80" s="42" t="s">
        <v>64</v>
      </c>
      <c r="D80" s="27">
        <v>1</v>
      </c>
      <c r="E80" s="293">
        <v>121.2</v>
      </c>
      <c r="F80" s="305">
        <v>121.2</v>
      </c>
      <c r="G80" s="508">
        <v>0</v>
      </c>
      <c r="H80" s="677">
        <v>0</v>
      </c>
      <c r="I80" s="674">
        <v>0</v>
      </c>
      <c r="J80" s="40">
        <v>0</v>
      </c>
      <c r="K80" s="52">
        <v>0</v>
      </c>
      <c r="L80" s="674">
        <v>0</v>
      </c>
      <c r="M80" s="40">
        <v>0</v>
      </c>
      <c r="N80" s="52">
        <v>0</v>
      </c>
      <c r="O80" s="674">
        <v>0</v>
      </c>
      <c r="P80" s="40">
        <v>0</v>
      </c>
      <c r="Q80" s="52">
        <v>0</v>
      </c>
      <c r="R80" s="674">
        <v>0</v>
      </c>
      <c r="S80" s="40">
        <v>0</v>
      </c>
      <c r="T80" s="52">
        <v>0</v>
      </c>
      <c r="U80" s="674">
        <v>0</v>
      </c>
      <c r="V80" s="40">
        <v>0</v>
      </c>
      <c r="W80" s="52">
        <v>0</v>
      </c>
      <c r="X80" s="674">
        <v>0</v>
      </c>
      <c r="Y80" s="40">
        <v>0</v>
      </c>
      <c r="Z80" s="52">
        <v>0</v>
      </c>
      <c r="AA80" s="674">
        <v>14.544</v>
      </c>
      <c r="AB80" s="40">
        <v>0</v>
      </c>
      <c r="AC80" s="52">
        <v>-14.544</v>
      </c>
      <c r="AD80" s="674">
        <v>116.4586252168736</v>
      </c>
      <c r="AE80" s="40">
        <v>442.46910005505134</v>
      </c>
      <c r="AF80" s="35">
        <v>326.01047483817774</v>
      </c>
      <c r="AG80" s="77">
        <v>131.00262521687361</v>
      </c>
      <c r="AH80" s="53">
        <v>442.46910005505134</v>
      </c>
      <c r="AI80" s="52">
        <v>311.46647483817776</v>
      </c>
      <c r="AJ80" s="674">
        <v>0</v>
      </c>
      <c r="AK80" s="40">
        <v>0</v>
      </c>
      <c r="AL80" s="52">
        <v>0</v>
      </c>
      <c r="AM80" s="674">
        <v>0</v>
      </c>
      <c r="AN80" s="40">
        <v>0</v>
      </c>
      <c r="AO80" s="52">
        <v>0</v>
      </c>
      <c r="AP80" s="674">
        <v>259.53574792412013</v>
      </c>
      <c r="AQ80" s="40">
        <v>131.9580869441385</v>
      </c>
      <c r="AR80" s="52">
        <v>-127.57766097998163</v>
      </c>
      <c r="AS80" s="674">
        <v>1257.5945634728457</v>
      </c>
      <c r="AT80" s="40">
        <v>0</v>
      </c>
      <c r="AU80" s="54">
        <v>-1257.5945634728457</v>
      </c>
      <c r="AV80" s="674">
        <v>0</v>
      </c>
      <c r="AW80" s="40">
        <v>0</v>
      </c>
      <c r="AX80" s="55">
        <v>0</v>
      </c>
      <c r="AY80" s="674">
        <v>0</v>
      </c>
      <c r="AZ80" s="40">
        <v>0</v>
      </c>
      <c r="BA80" s="35">
        <v>0</v>
      </c>
      <c r="BB80" s="674">
        <v>0</v>
      </c>
      <c r="BC80" s="40">
        <v>0</v>
      </c>
      <c r="BD80" s="55">
        <v>0</v>
      </c>
      <c r="BE80" s="674">
        <v>0</v>
      </c>
      <c r="BF80" s="40">
        <v>0</v>
      </c>
      <c r="BG80" s="38">
        <v>0</v>
      </c>
      <c r="BH80" s="674">
        <v>0</v>
      </c>
      <c r="BI80" s="40">
        <v>0</v>
      </c>
      <c r="BJ80" s="55">
        <v>0</v>
      </c>
      <c r="BK80" s="674">
        <v>0</v>
      </c>
      <c r="BL80" s="40">
        <v>0</v>
      </c>
      <c r="BM80" s="38">
        <v>0</v>
      </c>
      <c r="BN80" s="674">
        <v>6.0124325678582338</v>
      </c>
      <c r="BO80" s="40">
        <v>0</v>
      </c>
      <c r="BP80" s="55">
        <v>-6.0124325678582338</v>
      </c>
      <c r="BQ80" s="77">
        <v>6.0124325678582338</v>
      </c>
      <c r="BR80" s="40">
        <v>0</v>
      </c>
      <c r="BS80" s="55">
        <v>-6.0124325678582338</v>
      </c>
      <c r="BT80" s="674">
        <v>0</v>
      </c>
      <c r="BU80" s="40">
        <v>0</v>
      </c>
      <c r="BV80" s="52">
        <v>0</v>
      </c>
      <c r="BW80" s="674">
        <v>0</v>
      </c>
      <c r="BX80" s="40">
        <v>2.266290812829741</v>
      </c>
      <c r="BY80" s="52">
        <v>2.266290812829741</v>
      </c>
      <c r="BZ80" s="674">
        <v>0</v>
      </c>
      <c r="CA80" s="40">
        <v>0</v>
      </c>
      <c r="CB80" s="52">
        <v>0</v>
      </c>
      <c r="CC80" s="674">
        <v>0</v>
      </c>
      <c r="CD80" s="40">
        <v>0</v>
      </c>
      <c r="CE80" s="52">
        <v>0</v>
      </c>
      <c r="CF80" s="674">
        <v>0</v>
      </c>
      <c r="CG80" s="40">
        <v>0</v>
      </c>
      <c r="CH80" s="52">
        <v>0</v>
      </c>
      <c r="CI80" s="674">
        <v>0</v>
      </c>
      <c r="CJ80" s="40">
        <v>0</v>
      </c>
      <c r="CK80" s="52">
        <v>0</v>
      </c>
      <c r="CL80" s="674">
        <v>0</v>
      </c>
      <c r="CM80" s="40">
        <v>0</v>
      </c>
      <c r="CN80" s="52">
        <v>0</v>
      </c>
      <c r="CO80" s="39">
        <v>0</v>
      </c>
      <c r="CP80" s="40">
        <v>0</v>
      </c>
      <c r="CQ80" s="52">
        <v>0</v>
      </c>
      <c r="CR80" s="72">
        <v>1654.1453691816976</v>
      </c>
      <c r="CS80" s="5">
        <v>576.69347781201964</v>
      </c>
      <c r="CT80" s="52">
        <v>-1077.4518913696779</v>
      </c>
      <c r="CU80" s="77">
        <v>1984.9744430180369</v>
      </c>
      <c r="CV80" s="65">
        <v>692.03217337442356</v>
      </c>
      <c r="CW80" s="35">
        <v>-1292.9422696436134</v>
      </c>
      <c r="CX80" s="73">
        <v>62.276658065655589</v>
      </c>
      <c r="CY80" s="40">
        <v>1355.2189277092691</v>
      </c>
      <c r="CZ80" s="52">
        <v>1292.9422696436136</v>
      </c>
      <c r="DA80" s="150">
        <v>-665.82669525539859</v>
      </c>
      <c r="DB80" s="2">
        <v>1</v>
      </c>
      <c r="DC80" s="675">
        <v>1061.53</v>
      </c>
      <c r="DD80" s="675">
        <v>0</v>
      </c>
      <c r="DE80" s="675">
        <v>1061.53</v>
      </c>
      <c r="DF80" s="675">
        <v>0</v>
      </c>
      <c r="DG80" s="321">
        <v>627.11557438821501</v>
      </c>
      <c r="DH80" s="40">
        <v>2482.5782569707453</v>
      </c>
      <c r="DI80" s="422">
        <v>217.7574500310661</v>
      </c>
      <c r="DJ80" s="306">
        <v>1.796680369515375</v>
      </c>
      <c r="DK80" s="306">
        <v>1.796680369515375</v>
      </c>
      <c r="DL80" s="306">
        <v>1.796680369515375</v>
      </c>
      <c r="DM80" s="28">
        <v>217.75766078526345</v>
      </c>
      <c r="DN80" s="28">
        <v>0</v>
      </c>
      <c r="DO80" s="423">
        <v>217.75766078526345</v>
      </c>
      <c r="DP80" s="94">
        <v>-2.1075419735439027E-4</v>
      </c>
      <c r="DQ80" s="28">
        <v>217.75766078526345</v>
      </c>
      <c r="DR80" s="318"/>
      <c r="DT80" s="8"/>
      <c r="DU80" s="5"/>
      <c r="DX80" s="5">
        <v>1516.3283952488448</v>
      </c>
      <c r="DY80" s="5">
        <v>0</v>
      </c>
      <c r="DZ80" s="159">
        <v>179.30067007161122</v>
      </c>
      <c r="EB80" s="676">
        <v>-88.298282624732266</v>
      </c>
      <c r="EC80" s="676">
        <v>-100.77459273414826</v>
      </c>
      <c r="ED80" s="676">
        <v>-98.580077219461316</v>
      </c>
      <c r="EE80" s="676">
        <v>-175.99481698365605</v>
      </c>
      <c r="EF80" s="676">
        <v>-169.70682895360846</v>
      </c>
      <c r="EG80" s="676">
        <v>-13.795409786249479</v>
      </c>
      <c r="EH80" s="676">
        <v>-173.85313074545451</v>
      </c>
      <c r="EI80" s="676">
        <v>-152.17964203086305</v>
      </c>
      <c r="EJ80" s="676">
        <v>-171.68096716702797</v>
      </c>
      <c r="EK80" s="676">
        <v>-148.07852139841236</v>
      </c>
      <c r="EL80" s="676">
        <v>0</v>
      </c>
      <c r="EM80" s="676">
        <v>0</v>
      </c>
      <c r="EN80" s="676">
        <v>-1292.9422696436136</v>
      </c>
      <c r="EQ80" s="5">
        <v>1516.3283952488448</v>
      </c>
      <c r="ER80" s="5">
        <v>0</v>
      </c>
      <c r="ET80" s="318">
        <v>-1088.6434656711035</v>
      </c>
      <c r="EU80" s="5">
        <v>3294.7590400593181</v>
      </c>
    </row>
    <row r="81" spans="1:151" x14ac:dyDescent="0.3">
      <c r="A81" s="325">
        <v>150000544</v>
      </c>
      <c r="B81" s="41" t="s">
        <v>530</v>
      </c>
      <c r="C81" s="42" t="s">
        <v>65</v>
      </c>
      <c r="D81" s="27">
        <v>1</v>
      </c>
      <c r="E81" s="293">
        <v>136.9</v>
      </c>
      <c r="F81" s="305">
        <v>136.9</v>
      </c>
      <c r="G81" s="508">
        <v>0</v>
      </c>
      <c r="H81" s="677">
        <v>0</v>
      </c>
      <c r="I81" s="674">
        <v>0</v>
      </c>
      <c r="J81" s="40">
        <v>0</v>
      </c>
      <c r="K81" s="52">
        <v>0</v>
      </c>
      <c r="L81" s="674">
        <v>0</v>
      </c>
      <c r="M81" s="40">
        <v>0</v>
      </c>
      <c r="N81" s="52">
        <v>0</v>
      </c>
      <c r="O81" s="674">
        <v>0</v>
      </c>
      <c r="P81" s="40">
        <v>0</v>
      </c>
      <c r="Q81" s="52">
        <v>0</v>
      </c>
      <c r="R81" s="674">
        <v>0</v>
      </c>
      <c r="S81" s="40">
        <v>0</v>
      </c>
      <c r="T81" s="52">
        <v>0</v>
      </c>
      <c r="U81" s="674">
        <v>0</v>
      </c>
      <c r="V81" s="40">
        <v>0</v>
      </c>
      <c r="W81" s="52">
        <v>0</v>
      </c>
      <c r="X81" s="674">
        <v>0</v>
      </c>
      <c r="Y81" s="40">
        <v>0</v>
      </c>
      <c r="Z81" s="52">
        <v>0</v>
      </c>
      <c r="AA81" s="674">
        <v>16.428000000000001</v>
      </c>
      <c r="AB81" s="40">
        <v>0</v>
      </c>
      <c r="AC81" s="52">
        <v>-16.428000000000001</v>
      </c>
      <c r="AD81" s="674">
        <v>131.53567833292161</v>
      </c>
      <c r="AE81" s="40">
        <v>581.65002018477333</v>
      </c>
      <c r="AF81" s="35">
        <v>450.11434185185169</v>
      </c>
      <c r="AG81" s="77">
        <v>147.9636783329216</v>
      </c>
      <c r="AH81" s="53">
        <v>581.65002018477333</v>
      </c>
      <c r="AI81" s="52">
        <v>433.68634185185169</v>
      </c>
      <c r="AJ81" s="674">
        <v>0</v>
      </c>
      <c r="AK81" s="40">
        <v>0</v>
      </c>
      <c r="AL81" s="52">
        <v>0</v>
      </c>
      <c r="AM81" s="674">
        <v>0</v>
      </c>
      <c r="AN81" s="40">
        <v>0</v>
      </c>
      <c r="AO81" s="52">
        <v>0</v>
      </c>
      <c r="AP81" s="674">
        <v>314.77844375958301</v>
      </c>
      <c r="AQ81" s="40">
        <v>131.9580869441385</v>
      </c>
      <c r="AR81" s="52">
        <v>-182.82035681544451</v>
      </c>
      <c r="AS81" s="674">
        <v>1769.4158067549849</v>
      </c>
      <c r="AT81" s="40">
        <v>0</v>
      </c>
      <c r="AU81" s="54">
        <v>-1769.4158067549849</v>
      </c>
      <c r="AV81" s="674">
        <v>0</v>
      </c>
      <c r="AW81" s="40">
        <v>0</v>
      </c>
      <c r="AX81" s="55">
        <v>0</v>
      </c>
      <c r="AY81" s="674">
        <v>0</v>
      </c>
      <c r="AZ81" s="40">
        <v>0</v>
      </c>
      <c r="BA81" s="35">
        <v>0</v>
      </c>
      <c r="BB81" s="674">
        <v>0</v>
      </c>
      <c r="BC81" s="40">
        <v>0</v>
      </c>
      <c r="BD81" s="55">
        <v>0</v>
      </c>
      <c r="BE81" s="674">
        <v>0</v>
      </c>
      <c r="BF81" s="40">
        <v>0</v>
      </c>
      <c r="BG81" s="38">
        <v>0</v>
      </c>
      <c r="BH81" s="674">
        <v>0</v>
      </c>
      <c r="BI81" s="40">
        <v>0</v>
      </c>
      <c r="BJ81" s="55">
        <v>0</v>
      </c>
      <c r="BK81" s="674">
        <v>0</v>
      </c>
      <c r="BL81" s="40">
        <v>0</v>
      </c>
      <c r="BM81" s="38">
        <v>0</v>
      </c>
      <c r="BN81" s="674">
        <v>6.6319232012636551</v>
      </c>
      <c r="BO81" s="40">
        <v>0</v>
      </c>
      <c r="BP81" s="55">
        <v>-6.6319232012636551</v>
      </c>
      <c r="BQ81" s="77">
        <v>6.6319232012636551</v>
      </c>
      <c r="BR81" s="40">
        <v>0</v>
      </c>
      <c r="BS81" s="55">
        <v>-6.6319232012636551</v>
      </c>
      <c r="BT81" s="674">
        <v>0</v>
      </c>
      <c r="BU81" s="40">
        <v>0</v>
      </c>
      <c r="BV81" s="52">
        <v>0</v>
      </c>
      <c r="BW81" s="674">
        <v>0</v>
      </c>
      <c r="BX81" s="40">
        <v>3.1140204524774999</v>
      </c>
      <c r="BY81" s="52">
        <v>3.1140204524774999</v>
      </c>
      <c r="BZ81" s="674">
        <v>0</v>
      </c>
      <c r="CA81" s="40">
        <v>0</v>
      </c>
      <c r="CB81" s="52">
        <v>0</v>
      </c>
      <c r="CC81" s="674">
        <v>0</v>
      </c>
      <c r="CD81" s="40">
        <v>0</v>
      </c>
      <c r="CE81" s="52">
        <v>0</v>
      </c>
      <c r="CF81" s="674">
        <v>0</v>
      </c>
      <c r="CG81" s="40">
        <v>0</v>
      </c>
      <c r="CH81" s="52">
        <v>0</v>
      </c>
      <c r="CI81" s="674">
        <v>0</v>
      </c>
      <c r="CJ81" s="40">
        <v>0</v>
      </c>
      <c r="CK81" s="52">
        <v>0</v>
      </c>
      <c r="CL81" s="674">
        <v>0</v>
      </c>
      <c r="CM81" s="40">
        <v>0</v>
      </c>
      <c r="CN81" s="52">
        <v>0</v>
      </c>
      <c r="CO81" s="39">
        <v>0</v>
      </c>
      <c r="CP81" s="40">
        <v>0</v>
      </c>
      <c r="CQ81" s="52">
        <v>0</v>
      </c>
      <c r="CR81" s="72">
        <v>2238.7898520487533</v>
      </c>
      <c r="CS81" s="5">
        <v>716.72212758138926</v>
      </c>
      <c r="CT81" s="52">
        <v>-1522.0677244673641</v>
      </c>
      <c r="CU81" s="77">
        <v>2686.547822458504</v>
      </c>
      <c r="CV81" s="65">
        <v>860.06655309766711</v>
      </c>
      <c r="CW81" s="35">
        <v>-1826.4812693608369</v>
      </c>
      <c r="CX81" s="73">
        <v>81.268068943414477</v>
      </c>
      <c r="CY81" s="40">
        <v>1907.7493383042502</v>
      </c>
      <c r="CZ81" s="52">
        <v>1826.4812693608358</v>
      </c>
      <c r="DA81" s="150">
        <v>5346.6060263067147</v>
      </c>
      <c r="DB81" s="2">
        <v>1</v>
      </c>
      <c r="DC81" s="675">
        <v>3345.02</v>
      </c>
      <c r="DD81" s="675">
        <v>0</v>
      </c>
      <c r="DE81" s="675">
        <v>3102.2589090011015</v>
      </c>
      <c r="DF81" s="675">
        <v>0</v>
      </c>
      <c r="DG81" s="321">
        <v>7173.0872956675503</v>
      </c>
      <c r="DH81" s="40">
        <v>2767.6066000457599</v>
      </c>
      <c r="DI81" s="422">
        <v>242.76096626424422</v>
      </c>
      <c r="DJ81" s="306">
        <v>1.7732731263615662</v>
      </c>
      <c r="DK81" s="306">
        <v>1.7732731263615662</v>
      </c>
      <c r="DL81" s="306">
        <v>1.7732731263615662</v>
      </c>
      <c r="DM81" s="28">
        <v>242.76109099889842</v>
      </c>
      <c r="DN81" s="28">
        <v>0</v>
      </c>
      <c r="DO81" s="423">
        <v>242.76109099889842</v>
      </c>
      <c r="DP81" s="94">
        <v>-1.2473465420725915E-4</v>
      </c>
      <c r="DQ81" s="28">
        <v>242.76109099889842</v>
      </c>
      <c r="DR81" s="318"/>
      <c r="DT81" s="8"/>
      <c r="DU81" s="5"/>
      <c r="DX81" s="5">
        <v>2131.2572759474983</v>
      </c>
      <c r="DY81" s="5">
        <v>0</v>
      </c>
      <c r="DZ81" s="159">
        <v>203.69434654348117</v>
      </c>
      <c r="EB81" s="676">
        <v>-97.285324829084956</v>
      </c>
      <c r="EC81" s="676">
        <v>-111.37779062099131</v>
      </c>
      <c r="ED81" s="676">
        <v>-108.89900205695962</v>
      </c>
      <c r="EE81" s="676">
        <v>-195.66664454256431</v>
      </c>
      <c r="EF81" s="676">
        <v>-188.5641234096145</v>
      </c>
      <c r="EG81" s="676">
        <v>-32.968554713377955</v>
      </c>
      <c r="EH81" s="676">
        <v>-193.24752865139442</v>
      </c>
      <c r="EI81" s="676">
        <v>-168.76650055710752</v>
      </c>
      <c r="EJ81" s="676">
        <v>-190.79398744770967</v>
      </c>
      <c r="EK81" s="676">
        <v>-164.13412914966119</v>
      </c>
      <c r="EL81" s="676">
        <v>-181.83953600779327</v>
      </c>
      <c r="EM81" s="676">
        <v>-192.93814737457726</v>
      </c>
      <c r="EN81" s="676">
        <v>-1826.4812693608358</v>
      </c>
      <c r="EQ81" s="5">
        <v>2131.2572759474983</v>
      </c>
      <c r="ER81" s="5">
        <v>0</v>
      </c>
      <c r="ET81" s="318">
        <v>-1221.4450762722081</v>
      </c>
      <c r="EU81" s="5">
        <v>-1017.4676280602422</v>
      </c>
    </row>
    <row r="82" spans="1:151" x14ac:dyDescent="0.3">
      <c r="A82" s="325">
        <v>150000531</v>
      </c>
      <c r="B82" s="41" t="s">
        <v>531</v>
      </c>
      <c r="C82" s="42" t="s">
        <v>349</v>
      </c>
      <c r="D82" s="27">
        <v>9</v>
      </c>
      <c r="E82" s="293">
        <v>7614.5</v>
      </c>
      <c r="F82" s="305">
        <v>7614.5</v>
      </c>
      <c r="G82" s="508">
        <v>765.25</v>
      </c>
      <c r="H82" s="677">
        <v>0</v>
      </c>
      <c r="I82" s="674">
        <v>18538.95471760468</v>
      </c>
      <c r="J82" s="40">
        <v>15690.771419583572</v>
      </c>
      <c r="K82" s="52">
        <v>-2848.1832980211075</v>
      </c>
      <c r="L82" s="674">
        <v>3109.669822639934</v>
      </c>
      <c r="M82" s="40">
        <v>2478.5543676565881</v>
      </c>
      <c r="N82" s="52">
        <v>-631.1154549833459</v>
      </c>
      <c r="O82" s="674">
        <v>10835.365090274759</v>
      </c>
      <c r="P82" s="40">
        <v>10835.369999999999</v>
      </c>
      <c r="Q82" s="52">
        <v>4.9097252394858515E-3</v>
      </c>
      <c r="R82" s="674">
        <v>2343.8297433750045</v>
      </c>
      <c r="S82" s="40">
        <v>2343.8399999999997</v>
      </c>
      <c r="T82" s="52">
        <v>1.0256624995236052E-2</v>
      </c>
      <c r="U82" s="674">
        <v>3168.4050162612084</v>
      </c>
      <c r="V82" s="40">
        <v>1402.8472210042446</v>
      </c>
      <c r="W82" s="52">
        <v>-1765.5577952569638</v>
      </c>
      <c r="X82" s="674">
        <v>14492.330657398299</v>
      </c>
      <c r="Y82" s="40">
        <v>11004.044046201599</v>
      </c>
      <c r="Z82" s="52">
        <v>-3488.2866111966996</v>
      </c>
      <c r="AA82" s="674">
        <v>914.01600000000008</v>
      </c>
      <c r="AB82" s="40">
        <v>0</v>
      </c>
      <c r="AC82" s="52">
        <v>-914.01600000000008</v>
      </c>
      <c r="AD82" s="674">
        <v>32649.710796874249</v>
      </c>
      <c r="AE82" s="40">
        <v>32351.892466741825</v>
      </c>
      <c r="AF82" s="35">
        <v>-297.81833013242431</v>
      </c>
      <c r="AG82" s="77">
        <v>86052.281844428144</v>
      </c>
      <c r="AH82" s="53">
        <v>76107.319521187834</v>
      </c>
      <c r="AI82" s="52">
        <v>-9944.9623232403101</v>
      </c>
      <c r="AJ82" s="674">
        <v>58757.541959591152</v>
      </c>
      <c r="AK82" s="40">
        <v>58370.913167322127</v>
      </c>
      <c r="AL82" s="52">
        <v>-386.62879226902442</v>
      </c>
      <c r="AM82" s="674">
        <v>2998.0828933063958</v>
      </c>
      <c r="AN82" s="40">
        <v>1672.1477408787789</v>
      </c>
      <c r="AO82" s="52">
        <v>-1325.9351524276169</v>
      </c>
      <c r="AP82" s="674">
        <v>5261.2968456958879</v>
      </c>
      <c r="AQ82" s="40">
        <v>5190.2963518764564</v>
      </c>
      <c r="AR82" s="52">
        <v>-71.00049381943154</v>
      </c>
      <c r="AS82" s="674">
        <v>108399.97652240848</v>
      </c>
      <c r="AT82" s="40">
        <v>187307.73491520865</v>
      </c>
      <c r="AU82" s="54">
        <v>78907.75839280017</v>
      </c>
      <c r="AV82" s="674">
        <v>3041.6715479078994</v>
      </c>
      <c r="AW82" s="40">
        <v>2355</v>
      </c>
      <c r="AX82" s="55">
        <v>-686.67154790789937</v>
      </c>
      <c r="AY82" s="674">
        <v>3648.2310682397247</v>
      </c>
      <c r="AZ82" s="40">
        <v>7712</v>
      </c>
      <c r="BA82" s="35">
        <v>4063.7689317602753</v>
      </c>
      <c r="BB82" s="674">
        <v>3078.2959070304996</v>
      </c>
      <c r="BC82" s="40">
        <v>2794</v>
      </c>
      <c r="BD82" s="55">
        <v>-284.29590703049962</v>
      </c>
      <c r="BE82" s="674">
        <v>3190.8648248768313</v>
      </c>
      <c r="BF82" s="40">
        <v>0</v>
      </c>
      <c r="BG82" s="38">
        <v>-3190.8648248768313</v>
      </c>
      <c r="BH82" s="674">
        <v>4093.7770492159775</v>
      </c>
      <c r="BI82" s="40">
        <v>1799</v>
      </c>
      <c r="BJ82" s="55">
        <v>-2294.7770492159775</v>
      </c>
      <c r="BK82" s="674">
        <v>2846.047977264981</v>
      </c>
      <c r="BL82" s="40">
        <v>1385</v>
      </c>
      <c r="BM82" s="38">
        <v>-1461.047977264981</v>
      </c>
      <c r="BN82" s="674">
        <v>788.82379957440105</v>
      </c>
      <c r="BO82" s="40">
        <v>0</v>
      </c>
      <c r="BP82" s="55">
        <v>-788.82379957440105</v>
      </c>
      <c r="BQ82" s="77">
        <v>20687.712174110315</v>
      </c>
      <c r="BR82" s="40">
        <v>16045</v>
      </c>
      <c r="BS82" s="55">
        <v>-4642.7121741103147</v>
      </c>
      <c r="BT82" s="674">
        <v>76626.688744262952</v>
      </c>
      <c r="BU82" s="40">
        <v>54547.494425144927</v>
      </c>
      <c r="BV82" s="52">
        <v>-22079.194319118025</v>
      </c>
      <c r="BW82" s="674">
        <v>57260.321018663366</v>
      </c>
      <c r="BX82" s="40">
        <v>35959.219868087646</v>
      </c>
      <c r="BY82" s="52">
        <v>-21301.10115057572</v>
      </c>
      <c r="BZ82" s="674">
        <v>10477.88543730653</v>
      </c>
      <c r="CA82" s="40">
        <v>10010.141803401051</v>
      </c>
      <c r="CB82" s="52">
        <v>-467.74363390547842</v>
      </c>
      <c r="CC82" s="674">
        <v>2595.7999434968924</v>
      </c>
      <c r="CD82" s="40">
        <v>2723.9052739010363</v>
      </c>
      <c r="CE82" s="52">
        <v>128.10533040414384</v>
      </c>
      <c r="CF82" s="674">
        <v>316.75627114486838</v>
      </c>
      <c r="CG82" s="40">
        <v>0</v>
      </c>
      <c r="CH82" s="52">
        <v>-316.75627114486838</v>
      </c>
      <c r="CI82" s="674">
        <v>17146.970329181018</v>
      </c>
      <c r="CJ82" s="40">
        <v>16158.235033793124</v>
      </c>
      <c r="CK82" s="52">
        <v>-988.73529538789444</v>
      </c>
      <c r="CL82" s="674">
        <v>25720.452793771528</v>
      </c>
      <c r="CM82" s="40">
        <v>24238.91803194143</v>
      </c>
      <c r="CN82" s="52">
        <v>-1481.5347618300984</v>
      </c>
      <c r="CO82" s="39">
        <v>42867.423122952547</v>
      </c>
      <c r="CP82" s="40">
        <v>40397.153065734557</v>
      </c>
      <c r="CQ82" s="52">
        <v>-2470.2700572179892</v>
      </c>
      <c r="CR82" s="72">
        <v>472301.76677736745</v>
      </c>
      <c r="CS82" s="5">
        <v>488331.32613274298</v>
      </c>
      <c r="CT82" s="52">
        <v>16029.559355375532</v>
      </c>
      <c r="CU82" s="77">
        <v>566762.12013284094</v>
      </c>
      <c r="CV82" s="65">
        <v>585997.59135929157</v>
      </c>
      <c r="CW82" s="35">
        <v>19235.471226450638</v>
      </c>
      <c r="CX82" s="73">
        <v>14879.789525880933</v>
      </c>
      <c r="CY82" s="40">
        <v>-4355.6817005696794</v>
      </c>
      <c r="CZ82" s="52">
        <v>-19235.471226450612</v>
      </c>
      <c r="DA82" s="150">
        <v>-4511.8504584004913</v>
      </c>
      <c r="DB82" s="2">
        <v>1</v>
      </c>
      <c r="DC82" s="675">
        <v>123978.5</v>
      </c>
      <c r="DD82" s="675">
        <v>0</v>
      </c>
      <c r="DE82" s="675">
        <v>72953.793975995213</v>
      </c>
      <c r="DF82" s="675">
        <v>0</v>
      </c>
      <c r="DG82" s="321">
        <v>-23747.321684851071</v>
      </c>
      <c r="DH82" s="40">
        <v>581597.95975039515</v>
      </c>
      <c r="DI82" s="422">
        <v>51024.706024004787</v>
      </c>
      <c r="DJ82" s="306">
        <v>5.4491718287396145</v>
      </c>
      <c r="DK82" s="306">
        <v>6.84085517130515</v>
      </c>
      <c r="DL82" s="306">
        <v>4.6050019566650464</v>
      </c>
      <c r="DM82" s="28">
        <v>51024.706024004794</v>
      </c>
      <c r="DN82" s="28">
        <v>0</v>
      </c>
      <c r="DO82" s="423">
        <v>51024.706024004794</v>
      </c>
      <c r="DP82" s="94">
        <v>0</v>
      </c>
      <c r="DQ82" s="28">
        <v>51024.706024004794</v>
      </c>
      <c r="DR82" s="318"/>
      <c r="DT82" s="8"/>
      <c r="DU82" s="5"/>
      <c r="DX82" s="5">
        <v>154905.22643582255</v>
      </c>
      <c r="DY82" s="5">
        <v>244023.28189825037</v>
      </c>
      <c r="DZ82" s="159">
        <v>13758.698935355438</v>
      </c>
      <c r="EB82" s="676">
        <v>-5450.8637767803884</v>
      </c>
      <c r="EC82" s="676">
        <v>12321.791938529277</v>
      </c>
      <c r="ED82" s="676">
        <v>13756.296404618603</v>
      </c>
      <c r="EE82" s="676">
        <v>-15666.959251602268</v>
      </c>
      <c r="EF82" s="676">
        <v>-21738.418070362775</v>
      </c>
      <c r="EG82" s="676">
        <v>-28788.046672008179</v>
      </c>
      <c r="EH82" s="676">
        <v>-28913.826984454059</v>
      </c>
      <c r="EI82" s="676">
        <v>-18371.777018397606</v>
      </c>
      <c r="EJ82" s="676">
        <v>5629.4254649455397</v>
      </c>
      <c r="EK82" s="676">
        <v>146559.39623143722</v>
      </c>
      <c r="EL82" s="676">
        <v>-21825.206764563693</v>
      </c>
      <c r="EM82" s="676">
        <v>-18276.34027491109</v>
      </c>
      <c r="EN82" s="676">
        <v>19235.47122645058</v>
      </c>
      <c r="EQ82" s="5">
        <v>154905.22643582255</v>
      </c>
      <c r="ER82" s="5">
        <v>244023.28189825037</v>
      </c>
      <c r="ET82" s="318">
        <v>68245.040366492205</v>
      </c>
      <c r="EU82" s="5">
        <v>-58668.162051343286</v>
      </c>
    </row>
    <row r="83" spans="1:151" x14ac:dyDescent="0.3">
      <c r="A83" s="325">
        <v>150000532</v>
      </c>
      <c r="B83" s="41" t="s">
        <v>532</v>
      </c>
      <c r="C83" s="42" t="s">
        <v>254</v>
      </c>
      <c r="D83" s="27">
        <v>5</v>
      </c>
      <c r="E83" s="293">
        <v>2489.87</v>
      </c>
      <c r="F83" s="305">
        <v>2489.87</v>
      </c>
      <c r="G83" s="508">
        <v>0</v>
      </c>
      <c r="H83" s="677">
        <v>0</v>
      </c>
      <c r="I83" s="674">
        <v>7777.3523399039605</v>
      </c>
      <c r="J83" s="40">
        <v>6454.2891537122623</v>
      </c>
      <c r="K83" s="52">
        <v>-1323.0631861916982</v>
      </c>
      <c r="L83" s="674">
        <v>1687.0669588574467</v>
      </c>
      <c r="M83" s="40">
        <v>1344.319701622934</v>
      </c>
      <c r="N83" s="52">
        <v>-342.74725723451274</v>
      </c>
      <c r="O83" s="674">
        <v>3639.7998341733637</v>
      </c>
      <c r="P83" s="40">
        <v>3639.8099999999986</v>
      </c>
      <c r="Q83" s="52">
        <v>1.0165826634874975E-2</v>
      </c>
      <c r="R83" s="674">
        <v>759.58690188065486</v>
      </c>
      <c r="S83" s="40">
        <v>759.6</v>
      </c>
      <c r="T83" s="52">
        <v>1.3098119345158921E-2</v>
      </c>
      <c r="U83" s="674">
        <v>487.42305049593699</v>
      </c>
      <c r="V83" s="40">
        <v>203.69318108036467</v>
      </c>
      <c r="W83" s="52">
        <v>-283.72986941557235</v>
      </c>
      <c r="X83" s="674">
        <v>4948.1129315401204</v>
      </c>
      <c r="Y83" s="40">
        <v>3533.9607005797179</v>
      </c>
      <c r="Z83" s="52">
        <v>-1414.1522309604024</v>
      </c>
      <c r="AA83" s="674">
        <v>298.93439999999998</v>
      </c>
      <c r="AB83" s="40">
        <v>0</v>
      </c>
      <c r="AC83" s="52">
        <v>-298.93439999999998</v>
      </c>
      <c r="AD83" s="674">
        <v>10676.703455197883</v>
      </c>
      <c r="AE83" s="40">
        <v>10578.765053012867</v>
      </c>
      <c r="AF83" s="35">
        <v>-97.938402185016457</v>
      </c>
      <c r="AG83" s="77">
        <v>30274.979872049367</v>
      </c>
      <c r="AH83" s="53">
        <v>26514.437790008145</v>
      </c>
      <c r="AI83" s="52">
        <v>-3760.5420820412219</v>
      </c>
      <c r="AJ83" s="674">
        <v>0</v>
      </c>
      <c r="AK83" s="40">
        <v>0</v>
      </c>
      <c r="AL83" s="52">
        <v>0</v>
      </c>
      <c r="AM83" s="674">
        <v>0</v>
      </c>
      <c r="AN83" s="40">
        <v>0</v>
      </c>
      <c r="AO83" s="52">
        <v>0</v>
      </c>
      <c r="AP83" s="674">
        <v>2023.5757098830343</v>
      </c>
      <c r="AQ83" s="40">
        <v>1681.5676172953081</v>
      </c>
      <c r="AR83" s="52">
        <v>-342.0080925877262</v>
      </c>
      <c r="AS83" s="674">
        <v>22872.988024314294</v>
      </c>
      <c r="AT83" s="40">
        <v>29271.52</v>
      </c>
      <c r="AU83" s="54">
        <v>6398.5319756857061</v>
      </c>
      <c r="AV83" s="674">
        <v>1900.8274378619019</v>
      </c>
      <c r="AW83" s="40">
        <v>60</v>
      </c>
      <c r="AX83" s="55">
        <v>-1840.8274378619019</v>
      </c>
      <c r="AY83" s="674">
        <v>2593.3346133926639</v>
      </c>
      <c r="AZ83" s="40">
        <v>12758</v>
      </c>
      <c r="BA83" s="35">
        <v>10164.665386607336</v>
      </c>
      <c r="BB83" s="674">
        <v>526.2800876461572</v>
      </c>
      <c r="BC83" s="40">
        <v>0</v>
      </c>
      <c r="BD83" s="55">
        <v>-526.2800876461572</v>
      </c>
      <c r="BE83" s="674">
        <v>1209.8431575690411</v>
      </c>
      <c r="BF83" s="40">
        <v>0</v>
      </c>
      <c r="BG83" s="38">
        <v>-1209.8431575690411</v>
      </c>
      <c r="BH83" s="674">
        <v>832.23664965675107</v>
      </c>
      <c r="BI83" s="40">
        <v>0</v>
      </c>
      <c r="BJ83" s="55">
        <v>-832.23664965675107</v>
      </c>
      <c r="BK83" s="674">
        <v>1052.18399021236</v>
      </c>
      <c r="BL83" s="40">
        <v>0</v>
      </c>
      <c r="BM83" s="38">
        <v>-1052.18399021236</v>
      </c>
      <c r="BN83" s="674">
        <v>679.20814648162968</v>
      </c>
      <c r="BO83" s="40">
        <v>0</v>
      </c>
      <c r="BP83" s="55">
        <v>-679.20814648162968</v>
      </c>
      <c r="BQ83" s="77">
        <v>8793.9140828205054</v>
      </c>
      <c r="BR83" s="40">
        <v>12818</v>
      </c>
      <c r="BS83" s="55">
        <v>4024.0859171794946</v>
      </c>
      <c r="BT83" s="674">
        <v>46304.016490753784</v>
      </c>
      <c r="BU83" s="40">
        <v>34374.665363313776</v>
      </c>
      <c r="BV83" s="52">
        <v>-11929.351127440008</v>
      </c>
      <c r="BW83" s="674">
        <v>20406.092304672213</v>
      </c>
      <c r="BX83" s="40">
        <v>16386.266489518319</v>
      </c>
      <c r="BY83" s="52">
        <v>-4019.8258151538939</v>
      </c>
      <c r="BZ83" s="674">
        <v>12133.906883761239</v>
      </c>
      <c r="CA83" s="40">
        <v>6376.6986766873142</v>
      </c>
      <c r="CB83" s="52">
        <v>-5757.2082070739252</v>
      </c>
      <c r="CC83" s="674">
        <v>1409.3483618171977</v>
      </c>
      <c r="CD83" s="40">
        <v>1476.7386944932059</v>
      </c>
      <c r="CE83" s="52">
        <v>67.390332676008256</v>
      </c>
      <c r="CF83" s="674">
        <v>171.72632499554518</v>
      </c>
      <c r="CG83" s="40">
        <v>933.41342757682912</v>
      </c>
      <c r="CH83" s="52">
        <v>761.68710258128397</v>
      </c>
      <c r="CI83" s="674">
        <v>4939.2948340208914</v>
      </c>
      <c r="CJ83" s="40">
        <v>3894.4792350246244</v>
      </c>
      <c r="CK83" s="52">
        <v>-1044.815598996267</v>
      </c>
      <c r="CL83" s="674">
        <v>0</v>
      </c>
      <c r="CM83" s="40">
        <v>0</v>
      </c>
      <c r="CN83" s="52">
        <v>0</v>
      </c>
      <c r="CO83" s="39">
        <v>4939.2948340208914</v>
      </c>
      <c r="CP83" s="40">
        <v>3894.4792350246244</v>
      </c>
      <c r="CQ83" s="52">
        <v>-1044.815598996267</v>
      </c>
      <c r="CR83" s="72">
        <v>149329.84288908806</v>
      </c>
      <c r="CS83" s="5">
        <v>133727.78729391753</v>
      </c>
      <c r="CT83" s="52">
        <v>-15602.055595170532</v>
      </c>
      <c r="CU83" s="77">
        <v>179195.81146690567</v>
      </c>
      <c r="CV83" s="65">
        <v>160473.34475270103</v>
      </c>
      <c r="CW83" s="35">
        <v>-18722.466714204638</v>
      </c>
      <c r="CX83" s="73">
        <v>1826.0805636343757</v>
      </c>
      <c r="CY83" s="40">
        <v>20548.547277839036</v>
      </c>
      <c r="CZ83" s="52">
        <v>18722.46671420466</v>
      </c>
      <c r="DA83" s="150">
        <v>8914.5005733985454</v>
      </c>
      <c r="DB83" s="2">
        <v>1</v>
      </c>
      <c r="DC83" s="675">
        <v>40001.800000000003</v>
      </c>
      <c r="DD83" s="675">
        <v>0</v>
      </c>
      <c r="DE83" s="675">
        <v>24115.80488387595</v>
      </c>
      <c r="DF83" s="675">
        <v>0</v>
      </c>
      <c r="DG83" s="321">
        <v>27636.967287603205</v>
      </c>
      <c r="DH83" s="40">
        <v>181008.23242123547</v>
      </c>
      <c r="DI83" s="422">
        <v>15885.995116124051</v>
      </c>
      <c r="DJ83" s="306">
        <v>6.3802508227835402</v>
      </c>
      <c r="DK83" s="306">
        <v>6.3802508227835402</v>
      </c>
      <c r="DL83" s="306">
        <v>5.4732005689174654</v>
      </c>
      <c r="DM83" s="28">
        <v>15885.995116124053</v>
      </c>
      <c r="DN83" s="28">
        <v>0</v>
      </c>
      <c r="DO83" s="423">
        <v>15885.995116124053</v>
      </c>
      <c r="DP83" s="94">
        <v>0</v>
      </c>
      <c r="DQ83" s="28">
        <v>15885.995116124053</v>
      </c>
      <c r="DR83" s="318"/>
      <c r="DT83" s="8"/>
      <c r="DU83" s="5"/>
      <c r="DX83" s="5">
        <v>38000.282528561758</v>
      </c>
      <c r="DY83" s="5">
        <v>50507.424000000006</v>
      </c>
      <c r="DZ83" s="159">
        <v>3137.5459645137535</v>
      </c>
      <c r="EB83" s="676">
        <v>-1638.2927389054657</v>
      </c>
      <c r="EC83" s="676">
        <v>-1504.3395689822009</v>
      </c>
      <c r="ED83" s="676">
        <v>13400.493757223472</v>
      </c>
      <c r="EE83" s="676">
        <v>7517.0930599572584</v>
      </c>
      <c r="EF83" s="676">
        <v>-4044.6262584139204</v>
      </c>
      <c r="EG83" s="676">
        <v>-36.863587945519612</v>
      </c>
      <c r="EH83" s="676">
        <v>-7255.196583783003</v>
      </c>
      <c r="EI83" s="676">
        <v>-5473.6982257578093</v>
      </c>
      <c r="EJ83" s="676">
        <v>-2467.6813761657941</v>
      </c>
      <c r="EK83" s="676">
        <v>104.95265791980819</v>
      </c>
      <c r="EL83" s="676">
        <v>-6865.8783709348227</v>
      </c>
      <c r="EM83" s="676">
        <v>-10458.429478416663</v>
      </c>
      <c r="EN83" s="676">
        <v>-18722.46671420466</v>
      </c>
      <c r="EQ83" s="5">
        <v>38000.282528561758</v>
      </c>
      <c r="ER83" s="5">
        <v>50507.424000000006</v>
      </c>
      <c r="ET83" s="318">
        <v>-20618.298384958511</v>
      </c>
      <c r="EU83" s="5">
        <v>33384.265672561713</v>
      </c>
    </row>
    <row r="84" spans="1:151" x14ac:dyDescent="0.3">
      <c r="A84" s="325">
        <v>150000533</v>
      </c>
      <c r="B84" s="41" t="s">
        <v>533</v>
      </c>
      <c r="C84" s="42" t="s">
        <v>350</v>
      </c>
      <c r="D84" s="27">
        <v>9</v>
      </c>
      <c r="E84" s="293">
        <v>11377.55</v>
      </c>
      <c r="F84" s="305">
        <v>11377.55</v>
      </c>
      <c r="G84" s="508">
        <v>1296.7</v>
      </c>
      <c r="H84" s="677">
        <v>0</v>
      </c>
      <c r="I84" s="674">
        <v>30205.337985769042</v>
      </c>
      <c r="J84" s="40">
        <v>25387.359676937711</v>
      </c>
      <c r="K84" s="52">
        <v>-4817.9783088313307</v>
      </c>
      <c r="L84" s="674">
        <v>5240.6930399776529</v>
      </c>
      <c r="M84" s="40">
        <v>4177.0577656025098</v>
      </c>
      <c r="N84" s="52">
        <v>-1063.6352743751431</v>
      </c>
      <c r="O84" s="674">
        <v>16405.965959919446</v>
      </c>
      <c r="P84" s="40">
        <v>16405.949999999993</v>
      </c>
      <c r="Q84" s="52">
        <v>-1.5959919452143367E-2</v>
      </c>
      <c r="R84" s="674">
        <v>3560.7942772975243</v>
      </c>
      <c r="S84" s="40">
        <v>3560.7899999999995</v>
      </c>
      <c r="T84" s="52">
        <v>-4.277297524822643E-3</v>
      </c>
      <c r="U84" s="674">
        <v>5280.6958183623046</v>
      </c>
      <c r="V84" s="40">
        <v>2240.0035434437432</v>
      </c>
      <c r="W84" s="52">
        <v>-3040.6922749185615</v>
      </c>
      <c r="X84" s="674">
        <v>26767.141335032684</v>
      </c>
      <c r="Y84" s="40">
        <v>20506.982335107892</v>
      </c>
      <c r="Z84" s="52">
        <v>-6260.1589999247917</v>
      </c>
      <c r="AA84" s="674">
        <v>1365.4740000000002</v>
      </c>
      <c r="AB84" s="40">
        <v>0</v>
      </c>
      <c r="AC84" s="52">
        <v>-1365.4740000000002</v>
      </c>
      <c r="AD84" s="674">
        <v>48782.823483545224</v>
      </c>
      <c r="AE84" s="40">
        <v>48340.045194691513</v>
      </c>
      <c r="AF84" s="35">
        <v>-442.77828885371127</v>
      </c>
      <c r="AG84" s="77">
        <v>137608.92589990387</v>
      </c>
      <c r="AH84" s="53">
        <v>120618.18851578336</v>
      </c>
      <c r="AI84" s="52">
        <v>-16990.737384120512</v>
      </c>
      <c r="AJ84" s="674">
        <v>116061.13146478412</v>
      </c>
      <c r="AK84" s="40">
        <v>115298.13204405486</v>
      </c>
      <c r="AL84" s="52">
        <v>-762.99942072926206</v>
      </c>
      <c r="AM84" s="674">
        <v>1499.0414466531979</v>
      </c>
      <c r="AN84" s="40">
        <v>836.09601343288591</v>
      </c>
      <c r="AO84" s="52">
        <v>-662.945433220312</v>
      </c>
      <c r="AP84" s="674">
        <v>8184.2395377491621</v>
      </c>
      <c r="AQ84" s="40">
        <v>7794.0021202665239</v>
      </c>
      <c r="AR84" s="52">
        <v>-390.23741748263819</v>
      </c>
      <c r="AS84" s="674">
        <v>166758.02111017756</v>
      </c>
      <c r="AT84" s="40">
        <v>383796.78631457337</v>
      </c>
      <c r="AU84" s="54">
        <v>217038.76520439581</v>
      </c>
      <c r="AV84" s="674">
        <v>3870.622239021719</v>
      </c>
      <c r="AW84" s="40">
        <v>226</v>
      </c>
      <c r="AX84" s="55">
        <v>-3644.622239021719</v>
      </c>
      <c r="AY84" s="674">
        <v>4548.9183955267363</v>
      </c>
      <c r="AZ84" s="40">
        <v>0</v>
      </c>
      <c r="BA84" s="35">
        <v>-4548.9183955267363</v>
      </c>
      <c r="BB84" s="674">
        <v>1654.3981722498954</v>
      </c>
      <c r="BC84" s="40">
        <v>0</v>
      </c>
      <c r="BD84" s="55">
        <v>-1654.3981722498954</v>
      </c>
      <c r="BE84" s="674">
        <v>4113.9934286823118</v>
      </c>
      <c r="BF84" s="40">
        <v>0</v>
      </c>
      <c r="BG84" s="38">
        <v>-4113.9934286823118</v>
      </c>
      <c r="BH84" s="674">
        <v>5507.4594969716445</v>
      </c>
      <c r="BI84" s="40">
        <v>0</v>
      </c>
      <c r="BJ84" s="55">
        <v>-5507.4594969716445</v>
      </c>
      <c r="BK84" s="674">
        <v>5106.1813363061374</v>
      </c>
      <c r="BL84" s="40">
        <v>0</v>
      </c>
      <c r="BM84" s="38">
        <v>-5106.1813363061374</v>
      </c>
      <c r="BN84" s="674">
        <v>1271.0057358906242</v>
      </c>
      <c r="BO84" s="40">
        <v>0</v>
      </c>
      <c r="BP84" s="55">
        <v>-1271.0057358906242</v>
      </c>
      <c r="BQ84" s="77">
        <v>26072.578804649067</v>
      </c>
      <c r="BR84" s="40">
        <v>226</v>
      </c>
      <c r="BS84" s="55">
        <v>-25846.578804649067</v>
      </c>
      <c r="BT84" s="674">
        <v>158493.81841515456</v>
      </c>
      <c r="BU84" s="40">
        <v>151965.71668937767</v>
      </c>
      <c r="BV84" s="52">
        <v>-6528.1017257768835</v>
      </c>
      <c r="BW84" s="674">
        <v>94947.270439947199</v>
      </c>
      <c r="BX84" s="40">
        <v>95084.248243142007</v>
      </c>
      <c r="BY84" s="52">
        <v>136.97780319480808</v>
      </c>
      <c r="BZ84" s="674">
        <v>22102.853341321279</v>
      </c>
      <c r="CA84" s="40">
        <v>37303.351710875933</v>
      </c>
      <c r="CB84" s="52">
        <v>15200.498369554654</v>
      </c>
      <c r="CC84" s="674">
        <v>3001.2146099267648</v>
      </c>
      <c r="CD84" s="40">
        <v>3147.4161732315638</v>
      </c>
      <c r="CE84" s="52">
        <v>146.20156330479904</v>
      </c>
      <c r="CF84" s="674">
        <v>366.0053160901889</v>
      </c>
      <c r="CG84" s="40">
        <v>0</v>
      </c>
      <c r="CH84" s="52">
        <v>-366.0053160901889</v>
      </c>
      <c r="CI84" s="674">
        <v>31230.85566582001</v>
      </c>
      <c r="CJ84" s="40">
        <v>29847.791241756673</v>
      </c>
      <c r="CK84" s="52">
        <v>-1383.0644240633374</v>
      </c>
      <c r="CL84" s="674">
        <v>18837.845758171821</v>
      </c>
      <c r="CM84" s="40">
        <v>24931.09277423751</v>
      </c>
      <c r="CN84" s="52">
        <v>6093.2470160656885</v>
      </c>
      <c r="CO84" s="39">
        <v>50068.701423991835</v>
      </c>
      <c r="CP84" s="40">
        <v>54778.884015994183</v>
      </c>
      <c r="CQ84" s="52">
        <v>4710.1825920023475</v>
      </c>
      <c r="CR84" s="72">
        <v>785163.80181034887</v>
      </c>
      <c r="CS84" s="5">
        <v>970848.82184073236</v>
      </c>
      <c r="CT84" s="52">
        <v>185685.02003038349</v>
      </c>
      <c r="CU84" s="77">
        <v>942196.56217241858</v>
      </c>
      <c r="CV84" s="65">
        <v>1165018.5862088788</v>
      </c>
      <c r="CW84" s="35">
        <v>222822.02403646021</v>
      </c>
      <c r="CX84" s="73">
        <v>24724.287893736182</v>
      </c>
      <c r="CY84" s="40">
        <v>-198097.73614272405</v>
      </c>
      <c r="CZ84" s="52">
        <v>-222822.02403646024</v>
      </c>
      <c r="DA84" s="150">
        <v>132219.11946599279</v>
      </c>
      <c r="DB84" s="2">
        <v>1</v>
      </c>
      <c r="DC84" s="675">
        <v>195258.43</v>
      </c>
      <c r="DD84" s="675">
        <v>0</v>
      </c>
      <c r="DE84" s="675">
        <v>110388.60424628474</v>
      </c>
      <c r="DF84" s="675">
        <v>0</v>
      </c>
      <c r="DG84" s="321">
        <v>-90602.904570467363</v>
      </c>
      <c r="DH84" s="40">
        <v>966847.93775134429</v>
      </c>
      <c r="DI84" s="422">
        <v>84869.825753715253</v>
      </c>
      <c r="DJ84" s="306">
        <v>6.1644153124520153</v>
      </c>
      <c r="DK84" s="306">
        <v>7.62598673902089</v>
      </c>
      <c r="DL84" s="306">
        <v>5.2331751037908516</v>
      </c>
      <c r="DM84" s="28">
        <v>84869.825753715253</v>
      </c>
      <c r="DN84" s="28">
        <v>0</v>
      </c>
      <c r="DO84" s="423">
        <v>84869.825753715253</v>
      </c>
      <c r="DP84" s="94">
        <v>0</v>
      </c>
      <c r="DQ84" s="28">
        <v>84869.825753715253</v>
      </c>
      <c r="DR84" s="318"/>
      <c r="DT84" s="8"/>
      <c r="DU84" s="5"/>
      <c r="DX84" s="5">
        <v>231396.71989779195</v>
      </c>
      <c r="DY84" s="5">
        <v>460827.34357748803</v>
      </c>
      <c r="DZ84" s="159">
        <v>20447.823425201663</v>
      </c>
      <c r="EB84" s="676">
        <v>169214.25374839269</v>
      </c>
      <c r="EC84" s="676">
        <v>138669.64661314792</v>
      </c>
      <c r="ED84" s="676">
        <v>-399.2286804977266</v>
      </c>
      <c r="EE84" s="676">
        <v>-18023.708005039814</v>
      </c>
      <c r="EF84" s="676">
        <v>-10091.384840297353</v>
      </c>
      <c r="EG84" s="676">
        <v>-25414.131621465123</v>
      </c>
      <c r="EH84" s="676">
        <v>-22045.117043614373</v>
      </c>
      <c r="EI84" s="676">
        <v>-10290.563295128333</v>
      </c>
      <c r="EJ84" s="676">
        <v>2017.1356472653861</v>
      </c>
      <c r="EK84" s="676">
        <v>16774.785349760394</v>
      </c>
      <c r="EL84" s="676">
        <v>1109.9163181977347</v>
      </c>
      <c r="EM84" s="676">
        <v>-18699.580154261246</v>
      </c>
      <c r="EN84" s="676">
        <v>222822.02403646015</v>
      </c>
      <c r="EQ84" s="5">
        <v>231396.71989779195</v>
      </c>
      <c r="ER84" s="5">
        <v>460827.34357748803</v>
      </c>
      <c r="ET84" s="318">
        <v>-40338.442421223503</v>
      </c>
      <c r="EU84" s="5">
        <v>-92294.462149243918</v>
      </c>
    </row>
    <row r="85" spans="1:151" x14ac:dyDescent="0.3">
      <c r="A85" s="325">
        <v>150000534</v>
      </c>
      <c r="B85" s="41" t="s">
        <v>534</v>
      </c>
      <c r="C85" s="42" t="s">
        <v>255</v>
      </c>
      <c r="D85" s="27">
        <v>5</v>
      </c>
      <c r="E85" s="293">
        <v>2481.4</v>
      </c>
      <c r="F85" s="305">
        <v>2481.4</v>
      </c>
      <c r="G85" s="508">
        <v>0</v>
      </c>
      <c r="H85" s="677">
        <v>0</v>
      </c>
      <c r="I85" s="674">
        <v>7777.8617599484123</v>
      </c>
      <c r="J85" s="40">
        <v>6450.9330916557874</v>
      </c>
      <c r="K85" s="52">
        <v>-1326.9286682926249</v>
      </c>
      <c r="L85" s="674">
        <v>1687.0669588574467</v>
      </c>
      <c r="M85" s="40">
        <v>1344.319701622934</v>
      </c>
      <c r="N85" s="52">
        <v>-342.74725723451274</v>
      </c>
      <c r="O85" s="674">
        <v>3647.7725605831001</v>
      </c>
      <c r="P85" s="40">
        <v>3647.76</v>
      </c>
      <c r="Q85" s="52">
        <v>-1.2560583099912037E-2</v>
      </c>
      <c r="R85" s="674">
        <v>772.81584155318001</v>
      </c>
      <c r="S85" s="40">
        <v>772.8</v>
      </c>
      <c r="T85" s="52">
        <v>-1.584155318005287E-2</v>
      </c>
      <c r="U85" s="674">
        <v>487.42305049593699</v>
      </c>
      <c r="V85" s="40">
        <v>203.69318108036467</v>
      </c>
      <c r="W85" s="52">
        <v>-283.72986941557235</v>
      </c>
      <c r="X85" s="674">
        <v>4948.1129315401204</v>
      </c>
      <c r="Y85" s="40">
        <v>3549.1729204499215</v>
      </c>
      <c r="Z85" s="52">
        <v>-1398.9400110901988</v>
      </c>
      <c r="AA85" s="674">
        <v>297.77760000000001</v>
      </c>
      <c r="AB85" s="40">
        <v>0</v>
      </c>
      <c r="AC85" s="52">
        <v>-297.77760000000001</v>
      </c>
      <c r="AD85" s="674">
        <v>10639.095351370399</v>
      </c>
      <c r="AE85" s="40">
        <v>10542.864758370963</v>
      </c>
      <c r="AF85" s="35">
        <v>-96.23059299943634</v>
      </c>
      <c r="AG85" s="77">
        <v>30257.926054348594</v>
      </c>
      <c r="AH85" s="53">
        <v>26511.543653179971</v>
      </c>
      <c r="AI85" s="52">
        <v>-3746.3824011686229</v>
      </c>
      <c r="AJ85" s="674">
        <v>0</v>
      </c>
      <c r="AK85" s="40">
        <v>0</v>
      </c>
      <c r="AL85" s="52">
        <v>0</v>
      </c>
      <c r="AM85" s="674">
        <v>0</v>
      </c>
      <c r="AN85" s="40">
        <v>0</v>
      </c>
      <c r="AO85" s="52">
        <v>0</v>
      </c>
      <c r="AP85" s="674">
        <v>2023.5757098830343</v>
      </c>
      <c r="AQ85" s="40">
        <v>1666.4048523679364</v>
      </c>
      <c r="AR85" s="52">
        <v>-357.17085751509785</v>
      </c>
      <c r="AS85" s="674">
        <v>37783.318200917187</v>
      </c>
      <c r="AT85" s="40">
        <v>3117.74</v>
      </c>
      <c r="AU85" s="54">
        <v>-34665.578200917189</v>
      </c>
      <c r="AV85" s="674">
        <v>1978.2671385360425</v>
      </c>
      <c r="AW85" s="40">
        <v>560</v>
      </c>
      <c r="AX85" s="55">
        <v>-1418.2671385360425</v>
      </c>
      <c r="AY85" s="674">
        <v>2593.3346133926639</v>
      </c>
      <c r="AZ85" s="40">
        <v>1300</v>
      </c>
      <c r="BA85" s="35">
        <v>-1293.3346133926639</v>
      </c>
      <c r="BB85" s="674">
        <v>1290.2202136940009</v>
      </c>
      <c r="BC85" s="40">
        <v>0</v>
      </c>
      <c r="BD85" s="55">
        <v>-1290.2202136940009</v>
      </c>
      <c r="BE85" s="674">
        <v>1239.9001519832998</v>
      </c>
      <c r="BF85" s="40">
        <v>0</v>
      </c>
      <c r="BG85" s="38">
        <v>-1239.9001519832998</v>
      </c>
      <c r="BH85" s="674">
        <v>832.23664965675107</v>
      </c>
      <c r="BI85" s="40">
        <v>0</v>
      </c>
      <c r="BJ85" s="55">
        <v>-832.23664965675107</v>
      </c>
      <c r="BK85" s="674">
        <v>1052.18399021236</v>
      </c>
      <c r="BL85" s="40">
        <v>827</v>
      </c>
      <c r="BM85" s="38">
        <v>-225.18399021235996</v>
      </c>
      <c r="BN85" s="674">
        <v>679.20814648162968</v>
      </c>
      <c r="BO85" s="40">
        <v>0</v>
      </c>
      <c r="BP85" s="55">
        <v>-679.20814648162968</v>
      </c>
      <c r="BQ85" s="77">
        <v>9665.3509039567471</v>
      </c>
      <c r="BR85" s="40">
        <v>2687</v>
      </c>
      <c r="BS85" s="55">
        <v>-6978.3509039567471</v>
      </c>
      <c r="BT85" s="674">
        <v>39395.390509260156</v>
      </c>
      <c r="BU85" s="40">
        <v>37641.481036942583</v>
      </c>
      <c r="BV85" s="52">
        <v>-1753.9094723175731</v>
      </c>
      <c r="BW85" s="674">
        <v>18836.928276019309</v>
      </c>
      <c r="BX85" s="40">
        <v>19322.196929952941</v>
      </c>
      <c r="BY85" s="52">
        <v>485.26865393363187</v>
      </c>
      <c r="BZ85" s="674">
        <v>4057.3677924241142</v>
      </c>
      <c r="CA85" s="40">
        <v>8896.39332017571</v>
      </c>
      <c r="CB85" s="52">
        <v>4839.0255277515953</v>
      </c>
      <c r="CC85" s="674">
        <v>1507.4968642902434</v>
      </c>
      <c r="CD85" s="40">
        <v>1578.0892338502354</v>
      </c>
      <c r="CE85" s="52">
        <v>70.592369559991994</v>
      </c>
      <c r="CF85" s="674">
        <v>183.51213092383909</v>
      </c>
      <c r="CG85" s="40">
        <v>0</v>
      </c>
      <c r="CH85" s="52">
        <v>-183.51213092383909</v>
      </c>
      <c r="CI85" s="674">
        <v>5537.4255534353597</v>
      </c>
      <c r="CJ85" s="40">
        <v>5076.4820563723788</v>
      </c>
      <c r="CK85" s="52">
        <v>-460.9434970629809</v>
      </c>
      <c r="CL85" s="674">
        <v>0</v>
      </c>
      <c r="CM85" s="40">
        <v>0</v>
      </c>
      <c r="CN85" s="52">
        <v>0</v>
      </c>
      <c r="CO85" s="39">
        <v>5537.4255534353597</v>
      </c>
      <c r="CP85" s="40">
        <v>5076.4820563723788</v>
      </c>
      <c r="CQ85" s="52">
        <v>-460.9434970629809</v>
      </c>
      <c r="CR85" s="72">
        <v>149248.29199545857</v>
      </c>
      <c r="CS85" s="5">
        <v>106497.33108284176</v>
      </c>
      <c r="CT85" s="52">
        <v>-42750.960912616807</v>
      </c>
      <c r="CU85" s="77">
        <v>179097.95039455028</v>
      </c>
      <c r="CV85" s="65">
        <v>127796.7972994101</v>
      </c>
      <c r="CW85" s="35">
        <v>-51301.15309514018</v>
      </c>
      <c r="CX85" s="73">
        <v>4707.4767875462694</v>
      </c>
      <c r="CY85" s="40">
        <v>56008.629882686451</v>
      </c>
      <c r="CZ85" s="52">
        <v>51301.15309514018</v>
      </c>
      <c r="DA85" s="150">
        <v>-31589.335734736094</v>
      </c>
      <c r="DB85" s="2">
        <v>1</v>
      </c>
      <c r="DC85" s="675">
        <v>20627.599999999999</v>
      </c>
      <c r="DD85" s="675">
        <v>0</v>
      </c>
      <c r="DE85" s="675">
        <v>4523.9407402406778</v>
      </c>
      <c r="DF85" s="675">
        <v>0</v>
      </c>
      <c r="DG85" s="321">
        <v>19711.8173604041</v>
      </c>
      <c r="DH85" s="40">
        <v>183791.47154784587</v>
      </c>
      <c r="DI85" s="422">
        <v>16103.659259759321</v>
      </c>
      <c r="DJ85" s="306">
        <v>6.4897474247438218</v>
      </c>
      <c r="DK85" s="306">
        <v>6.4897474247438218</v>
      </c>
      <c r="DL85" s="306">
        <v>5.6341950364621942</v>
      </c>
      <c r="DM85" s="28">
        <v>16103.659259759321</v>
      </c>
      <c r="DN85" s="28">
        <v>0</v>
      </c>
      <c r="DO85" s="423">
        <v>16103.659259759321</v>
      </c>
      <c r="DP85" s="94">
        <v>0</v>
      </c>
      <c r="DQ85" s="28">
        <v>16103.659259759321</v>
      </c>
      <c r="DR85" s="318"/>
      <c r="DT85" s="8"/>
      <c r="DU85" s="5"/>
      <c r="DX85" s="5">
        <v>56938.402925848713</v>
      </c>
      <c r="DY85" s="5">
        <v>6965.6879999999992</v>
      </c>
      <c r="DZ85" s="159">
        <v>5212.2341021699822</v>
      </c>
      <c r="EB85" s="676">
        <v>-1930.5300632717408</v>
      </c>
      <c r="EC85" s="676">
        <v>-2824.9423688323932</v>
      </c>
      <c r="ED85" s="676">
        <v>-2345.4627850670022</v>
      </c>
      <c r="EE85" s="676">
        <v>-1974.8335453886575</v>
      </c>
      <c r="EF85" s="676">
        <v>-8316.3338477846228</v>
      </c>
      <c r="EG85" s="676">
        <v>-7429.1389270973177</v>
      </c>
      <c r="EH85" s="676">
        <v>-6350.4568351993257</v>
      </c>
      <c r="EI85" s="676">
        <v>-2610.96333609047</v>
      </c>
      <c r="EJ85" s="676">
        <v>-6123.7201556382752</v>
      </c>
      <c r="EK85" s="676">
        <v>-3070.1280543626908</v>
      </c>
      <c r="EL85" s="676">
        <v>-3937.6986155377926</v>
      </c>
      <c r="EM85" s="676">
        <v>-4386.9445608699007</v>
      </c>
      <c r="EN85" s="676">
        <v>-51301.153095140195</v>
      </c>
      <c r="EQ85" s="5">
        <v>56938.402925848713</v>
      </c>
      <c r="ER85" s="5">
        <v>6965.6879999999992</v>
      </c>
      <c r="ET85" s="318">
        <v>5530.0578590839468</v>
      </c>
      <c r="EU85" s="5">
        <v>49289.75950132015</v>
      </c>
    </row>
    <row r="86" spans="1:151" x14ac:dyDescent="0.3">
      <c r="A86" s="325">
        <v>150000535</v>
      </c>
      <c r="B86" s="41" t="s">
        <v>535</v>
      </c>
      <c r="C86" s="42" t="s">
        <v>351</v>
      </c>
      <c r="D86" s="27">
        <v>9</v>
      </c>
      <c r="E86" s="293">
        <v>11456.45</v>
      </c>
      <c r="F86" s="305">
        <v>11363.16</v>
      </c>
      <c r="G86" s="508">
        <v>1267.95</v>
      </c>
      <c r="H86" s="677">
        <v>93.29</v>
      </c>
      <c r="I86" s="674">
        <v>30321.876397614848</v>
      </c>
      <c r="J86" s="40">
        <v>25491.416882354355</v>
      </c>
      <c r="K86" s="52">
        <v>-4830.4595152604925</v>
      </c>
      <c r="L86" s="674">
        <v>5240.6930399776529</v>
      </c>
      <c r="M86" s="40">
        <v>4177.0577656025098</v>
      </c>
      <c r="N86" s="52">
        <v>-1063.6352743751431</v>
      </c>
      <c r="O86" s="674">
        <v>15782.039127164468</v>
      </c>
      <c r="P86" s="40">
        <v>15782.039999999997</v>
      </c>
      <c r="Q86" s="52">
        <v>8.7283552966255229E-4</v>
      </c>
      <c r="R86" s="674">
        <v>3570.1468696824404</v>
      </c>
      <c r="S86" s="40">
        <v>3570.1500000000005</v>
      </c>
      <c r="T86" s="52">
        <v>3.1303175601351541E-3</v>
      </c>
      <c r="U86" s="674">
        <v>5280.6958183623046</v>
      </c>
      <c r="V86" s="40">
        <v>2289.5100605980924</v>
      </c>
      <c r="W86" s="52">
        <v>-2991.1857577642122</v>
      </c>
      <c r="X86" s="674">
        <v>26767.141335032684</v>
      </c>
      <c r="Y86" s="40">
        <v>20567.323630784434</v>
      </c>
      <c r="Z86" s="52">
        <v>-6199.8177042482494</v>
      </c>
      <c r="AA86" s="674">
        <v>1374.6840000000002</v>
      </c>
      <c r="AB86" s="40">
        <v>0</v>
      </c>
      <c r="AC86" s="52">
        <v>-1374.6840000000002</v>
      </c>
      <c r="AD86" s="674">
        <v>49113.200959279224</v>
      </c>
      <c r="AE86" s="40">
        <v>48678.019091018214</v>
      </c>
      <c r="AF86" s="35">
        <v>-435.1818682610101</v>
      </c>
      <c r="AG86" s="77">
        <v>137450.47754711361</v>
      </c>
      <c r="AH86" s="53">
        <v>120555.51743035761</v>
      </c>
      <c r="AI86" s="52">
        <v>-16894.960116756003</v>
      </c>
      <c r="AJ86" s="674">
        <v>136232.62362867518</v>
      </c>
      <c r="AK86" s="40">
        <v>135337.95971642798</v>
      </c>
      <c r="AL86" s="52">
        <v>-894.663912247197</v>
      </c>
      <c r="AM86" s="674">
        <v>0</v>
      </c>
      <c r="AN86" s="40">
        <v>0</v>
      </c>
      <c r="AO86" s="52">
        <v>0</v>
      </c>
      <c r="AP86" s="674">
        <v>8274.1762359661825</v>
      </c>
      <c r="AQ86" s="40">
        <v>7068.7502081466173</v>
      </c>
      <c r="AR86" s="52">
        <v>-1205.4260278195652</v>
      </c>
      <c r="AS86" s="674">
        <v>162611.77331487118</v>
      </c>
      <c r="AT86" s="40">
        <v>117455.35</v>
      </c>
      <c r="AU86" s="54">
        <v>-45156.423314871179</v>
      </c>
      <c r="AV86" s="674">
        <v>5042.136235808036</v>
      </c>
      <c r="AW86" s="40">
        <v>2004</v>
      </c>
      <c r="AX86" s="55">
        <v>-3038.136235808036</v>
      </c>
      <c r="AY86" s="674">
        <v>6146.9559058356917</v>
      </c>
      <c r="AZ86" s="40">
        <v>4890.3099999999995</v>
      </c>
      <c r="BA86" s="35">
        <v>-1256.6459058356922</v>
      </c>
      <c r="BB86" s="674">
        <v>4363.4793651413611</v>
      </c>
      <c r="BC86" s="40">
        <v>0</v>
      </c>
      <c r="BD86" s="55">
        <v>-4363.4793651413611</v>
      </c>
      <c r="BE86" s="674">
        <v>4913.4139616832654</v>
      </c>
      <c r="BF86" s="40">
        <v>0</v>
      </c>
      <c r="BG86" s="38">
        <v>-4913.4139616832654</v>
      </c>
      <c r="BH86" s="674">
        <v>6822.8676264470369</v>
      </c>
      <c r="BI86" s="40">
        <v>0</v>
      </c>
      <c r="BJ86" s="55">
        <v>-6822.8676264470369</v>
      </c>
      <c r="BK86" s="674">
        <v>6695.0796873939435</v>
      </c>
      <c r="BL86" s="40">
        <v>142</v>
      </c>
      <c r="BM86" s="38">
        <v>-6553.0796873939435</v>
      </c>
      <c r="BN86" s="674">
        <v>1292.7104883735483</v>
      </c>
      <c r="BO86" s="40">
        <v>0</v>
      </c>
      <c r="BP86" s="55">
        <v>-1292.7104883735483</v>
      </c>
      <c r="BQ86" s="77">
        <v>35276.643270682878</v>
      </c>
      <c r="BR86" s="40">
        <v>7036.3099999999995</v>
      </c>
      <c r="BS86" s="55">
        <v>-28240.333270682881</v>
      </c>
      <c r="BT86" s="674">
        <v>133875.51193400478</v>
      </c>
      <c r="BU86" s="40">
        <v>133172.17956881018</v>
      </c>
      <c r="BV86" s="52">
        <v>-703.33236519459751</v>
      </c>
      <c r="BW86" s="674">
        <v>93542.314065683022</v>
      </c>
      <c r="BX86" s="40">
        <v>94848.916638493451</v>
      </c>
      <c r="BY86" s="52">
        <v>1306.6025728104287</v>
      </c>
      <c r="BZ86" s="674">
        <v>26030.111884468446</v>
      </c>
      <c r="CA86" s="40">
        <v>32394.281440440638</v>
      </c>
      <c r="CB86" s="52">
        <v>6364.169555972192</v>
      </c>
      <c r="CC86" s="674">
        <v>2153.6261975484122</v>
      </c>
      <c r="CD86" s="40">
        <v>2256.5829022259704</v>
      </c>
      <c r="CE86" s="52">
        <v>102.95670467755826</v>
      </c>
      <c r="CF86" s="674">
        <v>262.41249741210095</v>
      </c>
      <c r="CG86" s="40">
        <v>0</v>
      </c>
      <c r="CH86" s="52">
        <v>-262.41249741210095</v>
      </c>
      <c r="CI86" s="674">
        <v>33773.671723262101</v>
      </c>
      <c r="CJ86" s="40">
        <v>29142.03292728258</v>
      </c>
      <c r="CK86" s="52">
        <v>-4631.6387959795211</v>
      </c>
      <c r="CL86" s="674">
        <v>15859.153636107429</v>
      </c>
      <c r="CM86" s="40">
        <v>20719.153470933168</v>
      </c>
      <c r="CN86" s="52">
        <v>4859.9998348257395</v>
      </c>
      <c r="CO86" s="39">
        <v>49632.825359369526</v>
      </c>
      <c r="CP86" s="40">
        <v>49861.186398215752</v>
      </c>
      <c r="CQ86" s="52">
        <v>228.36103884622571</v>
      </c>
      <c r="CR86" s="72">
        <v>785342.49593579536</v>
      </c>
      <c r="CS86" s="5">
        <v>699987.03430311824</v>
      </c>
      <c r="CT86" s="52">
        <v>-85355.461632677121</v>
      </c>
      <c r="CU86" s="77">
        <v>942410.99512295437</v>
      </c>
      <c r="CV86" s="65">
        <v>839984.44116374187</v>
      </c>
      <c r="CW86" s="35">
        <v>-102426.5539592125</v>
      </c>
      <c r="CX86" s="73">
        <v>13412.294880396199</v>
      </c>
      <c r="CY86" s="40">
        <v>115838.84883960872</v>
      </c>
      <c r="CZ86" s="52">
        <v>102426.55395921253</v>
      </c>
      <c r="DA86" s="150">
        <v>-75288.592422076908</v>
      </c>
      <c r="DB86" s="2">
        <v>1</v>
      </c>
      <c r="DC86" s="675">
        <v>270481.59000000003</v>
      </c>
      <c r="DD86" s="675">
        <v>0</v>
      </c>
      <c r="DE86" s="675">
        <v>187108.70269592432</v>
      </c>
      <c r="DF86" s="675">
        <v>-470.23075995498118</v>
      </c>
      <c r="DG86" s="321">
        <v>27137.961537135569</v>
      </c>
      <c r="DH86" s="40">
        <v>955751.04443959601</v>
      </c>
      <c r="DI86" s="422">
        <v>83843.118064030728</v>
      </c>
      <c r="DJ86" s="306">
        <v>5.9455573650150901</v>
      </c>
      <c r="DK86" s="306">
        <v>7.5119009751263075</v>
      </c>
      <c r="DL86" s="306">
        <v>5.0405269584626557</v>
      </c>
      <c r="DM86" s="28">
        <v>83372.887304075717</v>
      </c>
      <c r="DN86" s="28">
        <v>470.23075995498118</v>
      </c>
      <c r="DO86" s="423">
        <v>83843.118064030699</v>
      </c>
      <c r="DP86" s="94">
        <v>0</v>
      </c>
      <c r="DQ86" s="28">
        <v>83843.118064030699</v>
      </c>
      <c r="DR86" s="318"/>
      <c r="DT86" s="8"/>
      <c r="DU86" s="5"/>
      <c r="DX86" s="5">
        <v>237466.09990266489</v>
      </c>
      <c r="DY86" s="5">
        <v>149389.992</v>
      </c>
      <c r="DZ86" s="159">
        <v>21717.50274847302</v>
      </c>
      <c r="EB86" s="676">
        <v>11496.541926332546</v>
      </c>
      <c r="EC86" s="676">
        <v>1353.9126155460544</v>
      </c>
      <c r="ED86" s="676">
        <v>-10087.903785067487</v>
      </c>
      <c r="EE86" s="676">
        <v>-18660.751358175228</v>
      </c>
      <c r="EF86" s="676">
        <v>-6074.6800290125684</v>
      </c>
      <c r="EG86" s="676">
        <v>-23097.799163294927</v>
      </c>
      <c r="EH86" s="676">
        <v>-27487.01343966167</v>
      </c>
      <c r="EI86" s="676">
        <v>13461.202623536927</v>
      </c>
      <c r="EJ86" s="676">
        <v>-25108.238668973441</v>
      </c>
      <c r="EK86" s="676">
        <v>20685.093620884596</v>
      </c>
      <c r="EL86" s="676">
        <v>-22815.736095428423</v>
      </c>
      <c r="EM86" s="676">
        <v>-16091.182205898862</v>
      </c>
      <c r="EN86" s="676">
        <v>-102426.55395921248</v>
      </c>
      <c r="EQ86" s="5">
        <v>237466.09990266489</v>
      </c>
      <c r="ER86" s="5">
        <v>149389.992</v>
      </c>
      <c r="ET86" s="318">
        <v>-9233.8428477494308</v>
      </c>
      <c r="EU86" s="5">
        <v>131156.80438488495</v>
      </c>
    </row>
    <row r="87" spans="1:151" x14ac:dyDescent="0.3">
      <c r="A87" s="325">
        <v>150000645</v>
      </c>
      <c r="B87" s="41" t="s">
        <v>536</v>
      </c>
      <c r="C87" s="42" t="s">
        <v>66</v>
      </c>
      <c r="D87" s="27">
        <v>1</v>
      </c>
      <c r="E87" s="293">
        <v>216</v>
      </c>
      <c r="F87" s="305">
        <v>216</v>
      </c>
      <c r="G87" s="508">
        <v>0</v>
      </c>
      <c r="H87" s="677">
        <v>0</v>
      </c>
      <c r="I87" s="674">
        <v>0</v>
      </c>
      <c r="J87" s="40">
        <v>0</v>
      </c>
      <c r="K87" s="52">
        <v>0</v>
      </c>
      <c r="L87" s="674">
        <v>0</v>
      </c>
      <c r="M87" s="40">
        <v>0</v>
      </c>
      <c r="N87" s="52">
        <v>0</v>
      </c>
      <c r="O87" s="674">
        <v>0</v>
      </c>
      <c r="P87" s="40">
        <v>0</v>
      </c>
      <c r="Q87" s="52">
        <v>0</v>
      </c>
      <c r="R87" s="674">
        <v>0</v>
      </c>
      <c r="S87" s="40">
        <v>0</v>
      </c>
      <c r="T87" s="52">
        <v>0</v>
      </c>
      <c r="U87" s="674">
        <v>0</v>
      </c>
      <c r="V87" s="40">
        <v>0</v>
      </c>
      <c r="W87" s="52">
        <v>0</v>
      </c>
      <c r="X87" s="674">
        <v>0</v>
      </c>
      <c r="Y87" s="40">
        <v>0</v>
      </c>
      <c r="Z87" s="52">
        <v>0</v>
      </c>
      <c r="AA87" s="674">
        <v>25.728000000000002</v>
      </c>
      <c r="AB87" s="40">
        <v>0</v>
      </c>
      <c r="AC87" s="52">
        <v>-25.728000000000002</v>
      </c>
      <c r="AD87" s="674">
        <v>193.19827413322764</v>
      </c>
      <c r="AE87" s="40">
        <v>917.72391789562494</v>
      </c>
      <c r="AF87" s="35">
        <v>724.52564376239729</v>
      </c>
      <c r="AG87" s="77">
        <v>218.92627413322765</v>
      </c>
      <c r="AH87" s="53">
        <v>917.72391789562494</v>
      </c>
      <c r="AI87" s="52">
        <v>698.79764376239723</v>
      </c>
      <c r="AJ87" s="674">
        <v>0</v>
      </c>
      <c r="AK87" s="40">
        <v>0</v>
      </c>
      <c r="AL87" s="52">
        <v>0</v>
      </c>
      <c r="AM87" s="674">
        <v>0</v>
      </c>
      <c r="AN87" s="40">
        <v>0</v>
      </c>
      <c r="AO87" s="52">
        <v>0</v>
      </c>
      <c r="AP87" s="674">
        <v>449.6834910851187</v>
      </c>
      <c r="AQ87" s="40">
        <v>373.97041602492402</v>
      </c>
      <c r="AR87" s="52">
        <v>-75.713075060194683</v>
      </c>
      <c r="AS87" s="674">
        <v>2983.9836058469295</v>
      </c>
      <c r="AT87" s="40">
        <v>0</v>
      </c>
      <c r="AU87" s="54">
        <v>-2983.9836058469295</v>
      </c>
      <c r="AV87" s="674">
        <v>0</v>
      </c>
      <c r="AW87" s="40">
        <v>0</v>
      </c>
      <c r="AX87" s="55">
        <v>0</v>
      </c>
      <c r="AY87" s="674">
        <v>0</v>
      </c>
      <c r="AZ87" s="40">
        <v>0</v>
      </c>
      <c r="BA87" s="35">
        <v>0</v>
      </c>
      <c r="BB87" s="674">
        <v>0</v>
      </c>
      <c r="BC87" s="40">
        <v>0</v>
      </c>
      <c r="BD87" s="55">
        <v>0</v>
      </c>
      <c r="BE87" s="674">
        <v>0</v>
      </c>
      <c r="BF87" s="40">
        <v>0</v>
      </c>
      <c r="BG87" s="38">
        <v>0</v>
      </c>
      <c r="BH87" s="674">
        <v>0</v>
      </c>
      <c r="BI87" s="40">
        <v>0</v>
      </c>
      <c r="BJ87" s="55">
        <v>0</v>
      </c>
      <c r="BK87" s="674">
        <v>0</v>
      </c>
      <c r="BL87" s="40">
        <v>0</v>
      </c>
      <c r="BM87" s="38">
        <v>0</v>
      </c>
      <c r="BN87" s="674">
        <v>6.4320000000000004</v>
      </c>
      <c r="BO87" s="40">
        <v>0</v>
      </c>
      <c r="BP87" s="55">
        <v>-6.4320000000000004</v>
      </c>
      <c r="BQ87" s="77">
        <v>6.4320000000000004</v>
      </c>
      <c r="BR87" s="40">
        <v>0</v>
      </c>
      <c r="BS87" s="55">
        <v>-6.4320000000000004</v>
      </c>
      <c r="BT87" s="674">
        <v>0</v>
      </c>
      <c r="BU87" s="40">
        <v>0</v>
      </c>
      <c r="BV87" s="52">
        <v>0</v>
      </c>
      <c r="BW87" s="674">
        <v>0</v>
      </c>
      <c r="BX87" s="40">
        <v>4.9132828176416368</v>
      </c>
      <c r="BY87" s="52">
        <v>4.9132828176416368</v>
      </c>
      <c r="BZ87" s="674">
        <v>0</v>
      </c>
      <c r="CA87" s="40">
        <v>0</v>
      </c>
      <c r="CB87" s="52">
        <v>0</v>
      </c>
      <c r="CC87" s="674">
        <v>0</v>
      </c>
      <c r="CD87" s="40">
        <v>0</v>
      </c>
      <c r="CE87" s="52">
        <v>0</v>
      </c>
      <c r="CF87" s="674">
        <v>0</v>
      </c>
      <c r="CG87" s="40">
        <v>0</v>
      </c>
      <c r="CH87" s="52">
        <v>0</v>
      </c>
      <c r="CI87" s="674">
        <v>0</v>
      </c>
      <c r="CJ87" s="40">
        <v>0</v>
      </c>
      <c r="CK87" s="52">
        <v>0</v>
      </c>
      <c r="CL87" s="674">
        <v>0</v>
      </c>
      <c r="CM87" s="40">
        <v>0</v>
      </c>
      <c r="CN87" s="52">
        <v>0</v>
      </c>
      <c r="CO87" s="39">
        <v>0</v>
      </c>
      <c r="CP87" s="40">
        <v>0</v>
      </c>
      <c r="CQ87" s="52">
        <v>0</v>
      </c>
      <c r="CR87" s="72">
        <v>3659.025371065276</v>
      </c>
      <c r="CS87" s="5">
        <v>1296.6076167381907</v>
      </c>
      <c r="CT87" s="52">
        <v>-2362.4177543270853</v>
      </c>
      <c r="CU87" s="77">
        <v>4390.8304452783314</v>
      </c>
      <c r="CV87" s="65">
        <v>1555.9291400858287</v>
      </c>
      <c r="CW87" s="35">
        <v>-2834.9013051925026</v>
      </c>
      <c r="CX87" s="73">
        <v>97.469797212083051</v>
      </c>
      <c r="CY87" s="40">
        <v>2932.3711024045856</v>
      </c>
      <c r="CZ87" s="52">
        <v>2834.9013051925026</v>
      </c>
      <c r="DA87" s="150">
        <v>-2703.7935330148925</v>
      </c>
      <c r="DB87" s="2">
        <v>3</v>
      </c>
      <c r="DC87" s="675">
        <v>1245.48</v>
      </c>
      <c r="DD87" s="675">
        <v>0</v>
      </c>
      <c r="DE87" s="675">
        <v>850.94779892541374</v>
      </c>
      <c r="DF87" s="675">
        <v>0</v>
      </c>
      <c r="DG87" s="321">
        <v>131.10777217761068</v>
      </c>
      <c r="DH87" s="40">
        <v>4487.9636663818928</v>
      </c>
      <c r="DI87" s="422">
        <v>394.53220107458634</v>
      </c>
      <c r="DJ87" s="306">
        <v>1.8265379679378997</v>
      </c>
      <c r="DK87" s="306">
        <v>1.8265379679378997</v>
      </c>
      <c r="DL87" s="306">
        <v>1.8265379679378997</v>
      </c>
      <c r="DM87" s="28">
        <v>394.53220107458634</v>
      </c>
      <c r="DN87" s="28">
        <v>0</v>
      </c>
      <c r="DO87" s="423">
        <v>394.53220107458634</v>
      </c>
      <c r="DP87" s="94">
        <v>0</v>
      </c>
      <c r="DQ87" s="28">
        <v>394.53220107458634</v>
      </c>
      <c r="DR87" s="318"/>
      <c r="DT87" s="8"/>
      <c r="DU87" s="5"/>
      <c r="DX87" s="5">
        <v>3588.4987270163151</v>
      </c>
      <c r="DY87" s="5">
        <v>0</v>
      </c>
      <c r="DZ87" s="159">
        <v>341.35079379087057</v>
      </c>
      <c r="EB87" s="676">
        <v>65.118599847656753</v>
      </c>
      <c r="EC87" s="676">
        <v>-181.35067400239984</v>
      </c>
      <c r="ED87" s="676">
        <v>-177.43965625345282</v>
      </c>
      <c r="EE87" s="676">
        <v>-323.73865904385093</v>
      </c>
      <c r="EF87" s="676">
        <v>-312.53234374277594</v>
      </c>
      <c r="EG87" s="676">
        <v>-316.87780245375916</v>
      </c>
      <c r="EH87" s="676">
        <v>-95.391558985076358</v>
      </c>
      <c r="EI87" s="676">
        <v>-281.29577298936829</v>
      </c>
      <c r="EJ87" s="676">
        <v>-316.05060986570186</v>
      </c>
      <c r="EK87" s="676">
        <v>-273.98684512955521</v>
      </c>
      <c r="EL87" s="676">
        <v>-301.92233001893817</v>
      </c>
      <c r="EM87" s="676">
        <v>-319.43365255528107</v>
      </c>
      <c r="EN87" s="676">
        <v>-2834.9013051925031</v>
      </c>
      <c r="EQ87" s="5">
        <v>3588.4987270163151</v>
      </c>
      <c r="ER87" s="5">
        <v>0</v>
      </c>
      <c r="ET87" s="318">
        <v>-264.51056614556262</v>
      </c>
      <c r="EU87" s="5">
        <v>3178.9495351638479</v>
      </c>
    </row>
    <row r="88" spans="1:151" x14ac:dyDescent="0.3">
      <c r="A88" s="325">
        <v>150000643</v>
      </c>
      <c r="B88" s="41" t="s">
        <v>537</v>
      </c>
      <c r="C88" s="42" t="s">
        <v>67</v>
      </c>
      <c r="D88" s="27">
        <v>1</v>
      </c>
      <c r="E88" s="293">
        <v>216.8</v>
      </c>
      <c r="F88" s="305">
        <v>216.8</v>
      </c>
      <c r="G88" s="508">
        <v>0</v>
      </c>
      <c r="H88" s="677">
        <v>0</v>
      </c>
      <c r="I88" s="674">
        <v>0</v>
      </c>
      <c r="J88" s="40">
        <v>0</v>
      </c>
      <c r="K88" s="52">
        <v>0</v>
      </c>
      <c r="L88" s="674">
        <v>0</v>
      </c>
      <c r="M88" s="40">
        <v>0</v>
      </c>
      <c r="N88" s="52">
        <v>0</v>
      </c>
      <c r="O88" s="674">
        <v>0</v>
      </c>
      <c r="P88" s="40">
        <v>0</v>
      </c>
      <c r="Q88" s="52">
        <v>0</v>
      </c>
      <c r="R88" s="674">
        <v>0</v>
      </c>
      <c r="S88" s="40">
        <v>0</v>
      </c>
      <c r="T88" s="52">
        <v>0</v>
      </c>
      <c r="U88" s="674">
        <v>0</v>
      </c>
      <c r="V88" s="40">
        <v>0</v>
      </c>
      <c r="W88" s="52">
        <v>0</v>
      </c>
      <c r="X88" s="674">
        <v>0</v>
      </c>
      <c r="Y88" s="40">
        <v>0</v>
      </c>
      <c r="Z88" s="52">
        <v>0</v>
      </c>
      <c r="AA88" s="674">
        <v>26.016000000000002</v>
      </c>
      <c r="AB88" s="40">
        <v>0</v>
      </c>
      <c r="AC88" s="52">
        <v>-26.016000000000002</v>
      </c>
      <c r="AD88" s="674">
        <v>195.34647264548101</v>
      </c>
      <c r="AE88" s="40">
        <v>921.12289536931235</v>
      </c>
      <c r="AF88" s="35">
        <v>725.77642272383127</v>
      </c>
      <c r="AG88" s="77">
        <v>221.36247264548101</v>
      </c>
      <c r="AH88" s="53">
        <v>921.12289536931235</v>
      </c>
      <c r="AI88" s="52">
        <v>699.76042272383131</v>
      </c>
      <c r="AJ88" s="674">
        <v>0</v>
      </c>
      <c r="AK88" s="40">
        <v>0</v>
      </c>
      <c r="AL88" s="52">
        <v>0</v>
      </c>
      <c r="AM88" s="674">
        <v>0</v>
      </c>
      <c r="AN88" s="40">
        <v>0</v>
      </c>
      <c r="AO88" s="52">
        <v>0</v>
      </c>
      <c r="AP88" s="674">
        <v>359.74679286809487</v>
      </c>
      <c r="AQ88" s="40">
        <v>299.17633281993915</v>
      </c>
      <c r="AR88" s="52">
        <v>-60.570460048155724</v>
      </c>
      <c r="AS88" s="674">
        <v>2522.3798284677996</v>
      </c>
      <c r="AT88" s="40">
        <v>0</v>
      </c>
      <c r="AU88" s="54">
        <v>-2522.3798284677996</v>
      </c>
      <c r="AV88" s="674">
        <v>0</v>
      </c>
      <c r="AW88" s="40">
        <v>0</v>
      </c>
      <c r="AX88" s="55">
        <v>0</v>
      </c>
      <c r="AY88" s="674">
        <v>0</v>
      </c>
      <c r="AZ88" s="40">
        <v>0</v>
      </c>
      <c r="BA88" s="35">
        <v>0</v>
      </c>
      <c r="BB88" s="674">
        <v>0</v>
      </c>
      <c r="BC88" s="40">
        <v>0</v>
      </c>
      <c r="BD88" s="55">
        <v>0</v>
      </c>
      <c r="BE88" s="674">
        <v>0</v>
      </c>
      <c r="BF88" s="40">
        <v>0</v>
      </c>
      <c r="BG88" s="38">
        <v>0</v>
      </c>
      <c r="BH88" s="674">
        <v>0</v>
      </c>
      <c r="BI88" s="40">
        <v>0</v>
      </c>
      <c r="BJ88" s="55">
        <v>0</v>
      </c>
      <c r="BK88" s="674">
        <v>0</v>
      </c>
      <c r="BL88" s="40">
        <v>0</v>
      </c>
      <c r="BM88" s="38">
        <v>0</v>
      </c>
      <c r="BN88" s="674">
        <v>6.5040000000000004</v>
      </c>
      <c r="BO88" s="40">
        <v>0</v>
      </c>
      <c r="BP88" s="55">
        <v>-6.5040000000000004</v>
      </c>
      <c r="BQ88" s="77">
        <v>6.5040000000000004</v>
      </c>
      <c r="BR88" s="40">
        <v>0</v>
      </c>
      <c r="BS88" s="55">
        <v>-6.5040000000000004</v>
      </c>
      <c r="BT88" s="674">
        <v>0</v>
      </c>
      <c r="BU88" s="40">
        <v>0</v>
      </c>
      <c r="BV88" s="52">
        <v>0</v>
      </c>
      <c r="BW88" s="674">
        <v>0</v>
      </c>
      <c r="BX88" s="40">
        <v>4.93148016141068</v>
      </c>
      <c r="BY88" s="52">
        <v>4.93148016141068</v>
      </c>
      <c r="BZ88" s="674">
        <v>0</v>
      </c>
      <c r="CA88" s="40">
        <v>0</v>
      </c>
      <c r="CB88" s="52">
        <v>0</v>
      </c>
      <c r="CC88" s="674">
        <v>0</v>
      </c>
      <c r="CD88" s="40">
        <v>0</v>
      </c>
      <c r="CE88" s="52">
        <v>0</v>
      </c>
      <c r="CF88" s="674">
        <v>0</v>
      </c>
      <c r="CG88" s="40">
        <v>0</v>
      </c>
      <c r="CH88" s="52">
        <v>0</v>
      </c>
      <c r="CI88" s="674">
        <v>0</v>
      </c>
      <c r="CJ88" s="40">
        <v>0</v>
      </c>
      <c r="CK88" s="52">
        <v>0</v>
      </c>
      <c r="CL88" s="674">
        <v>0</v>
      </c>
      <c r="CM88" s="40">
        <v>0</v>
      </c>
      <c r="CN88" s="52">
        <v>0</v>
      </c>
      <c r="CO88" s="39">
        <v>0</v>
      </c>
      <c r="CP88" s="40">
        <v>0</v>
      </c>
      <c r="CQ88" s="52">
        <v>0</v>
      </c>
      <c r="CR88" s="72">
        <v>3109.9930939813753</v>
      </c>
      <c r="CS88" s="5">
        <v>1225.2307083506623</v>
      </c>
      <c r="CT88" s="52">
        <v>-1884.762385630713</v>
      </c>
      <c r="CU88" s="77">
        <v>3731.9917127776503</v>
      </c>
      <c r="CV88" s="65">
        <v>1470.2768500207947</v>
      </c>
      <c r="CW88" s="35">
        <v>-2261.7148627568558</v>
      </c>
      <c r="CX88" s="73">
        <v>172.16589740511301</v>
      </c>
      <c r="CY88" s="40">
        <v>2433.8807601619692</v>
      </c>
      <c r="CZ88" s="52">
        <v>2261.7148627568563</v>
      </c>
      <c r="DA88" s="150">
        <v>-7329.2343649282493</v>
      </c>
      <c r="DB88" s="2">
        <v>3</v>
      </c>
      <c r="DC88" s="675">
        <v>-1.24</v>
      </c>
      <c r="DD88" s="675">
        <v>0</v>
      </c>
      <c r="DE88" s="675">
        <v>-343.9234616559786</v>
      </c>
      <c r="DF88" s="675">
        <v>0</v>
      </c>
      <c r="DG88" s="321">
        <v>-5067.5195021713935</v>
      </c>
      <c r="DH88" s="40">
        <v>3903.8632192383875</v>
      </c>
      <c r="DI88" s="422">
        <v>342.68346165597859</v>
      </c>
      <c r="DJ88" s="306">
        <v>1.5806432733209343</v>
      </c>
      <c r="DK88" s="306">
        <v>1.5806432733209343</v>
      </c>
      <c r="DL88" s="306">
        <v>1.5806432733209343</v>
      </c>
      <c r="DM88" s="28">
        <v>342.68346165597859</v>
      </c>
      <c r="DN88" s="28">
        <v>0</v>
      </c>
      <c r="DO88" s="423">
        <v>342.68346165597859</v>
      </c>
      <c r="DP88" s="94">
        <v>0</v>
      </c>
      <c r="DQ88" s="28">
        <v>342.68346165597859</v>
      </c>
      <c r="DR88" s="318"/>
      <c r="DT88" s="8"/>
      <c r="DU88" s="5"/>
      <c r="DX88" s="5">
        <v>3034.6605941613593</v>
      </c>
      <c r="DY88" s="5">
        <v>0</v>
      </c>
      <c r="DZ88" s="159">
        <v>290.04605184978374</v>
      </c>
      <c r="EB88" s="676">
        <v>58.072455960341472</v>
      </c>
      <c r="EC88" s="676">
        <v>-143.63231662477233</v>
      </c>
      <c r="ED88" s="676">
        <v>-139.7068136249033</v>
      </c>
      <c r="EE88" s="676">
        <v>-262.72313690756198</v>
      </c>
      <c r="EF88" s="676">
        <v>-251.4753167350016</v>
      </c>
      <c r="EG88" s="676">
        <v>-255.83686973750696</v>
      </c>
      <c r="EH88" s="676">
        <v>-79.267947005089695</v>
      </c>
      <c r="EI88" s="676">
        <v>-220.12305497880357</v>
      </c>
      <c r="EJ88" s="676">
        <v>-255.00661347319758</v>
      </c>
      <c r="EK88" s="676">
        <v>-212.78705701580594</v>
      </c>
      <c r="EL88" s="676">
        <v>-240.82600666403852</v>
      </c>
      <c r="EM88" s="676">
        <v>-258.40218595051601</v>
      </c>
      <c r="EN88" s="676">
        <v>-2261.7148627568558</v>
      </c>
      <c r="EQ88" s="5">
        <v>3034.6605941613593</v>
      </c>
      <c r="ER88" s="5">
        <v>0</v>
      </c>
      <c r="ET88" s="318">
        <v>-1508.593295156498</v>
      </c>
      <c r="EU88" s="5">
        <v>-1343.9262070148961</v>
      </c>
    </row>
    <row r="89" spans="1:151" x14ac:dyDescent="0.3">
      <c r="A89" s="325">
        <v>150000644</v>
      </c>
      <c r="B89" s="41" t="s">
        <v>538</v>
      </c>
      <c r="C89" s="42" t="s">
        <v>68</v>
      </c>
      <c r="D89" s="27">
        <v>1</v>
      </c>
      <c r="E89" s="293">
        <v>214.7</v>
      </c>
      <c r="F89" s="305">
        <v>214.7</v>
      </c>
      <c r="G89" s="508">
        <v>0</v>
      </c>
      <c r="H89" s="677">
        <v>0</v>
      </c>
      <c r="I89" s="674">
        <v>0</v>
      </c>
      <c r="J89" s="40">
        <v>0</v>
      </c>
      <c r="K89" s="52">
        <v>0</v>
      </c>
      <c r="L89" s="674">
        <v>0</v>
      </c>
      <c r="M89" s="40">
        <v>0</v>
      </c>
      <c r="N89" s="52">
        <v>0</v>
      </c>
      <c r="O89" s="674">
        <v>255.93154795879494</v>
      </c>
      <c r="P89" s="40">
        <v>255.94999999999993</v>
      </c>
      <c r="Q89" s="52">
        <v>1.8452041204994885E-2</v>
      </c>
      <c r="R89" s="674">
        <v>0</v>
      </c>
      <c r="S89" s="40">
        <v>0</v>
      </c>
      <c r="T89" s="52">
        <v>0</v>
      </c>
      <c r="U89" s="674">
        <v>0</v>
      </c>
      <c r="V89" s="40">
        <v>0</v>
      </c>
      <c r="W89" s="52">
        <v>0</v>
      </c>
      <c r="X89" s="674">
        <v>0</v>
      </c>
      <c r="Y89" s="40">
        <v>0</v>
      </c>
      <c r="Z89" s="52">
        <v>0</v>
      </c>
      <c r="AA89" s="674">
        <v>25.763999999999996</v>
      </c>
      <c r="AB89" s="40">
        <v>0</v>
      </c>
      <c r="AC89" s="52">
        <v>-25.763999999999996</v>
      </c>
      <c r="AD89" s="674">
        <v>232.02203105998336</v>
      </c>
      <c r="AE89" s="40">
        <v>912.20057950088267</v>
      </c>
      <c r="AF89" s="35">
        <v>680.17854844089925</v>
      </c>
      <c r="AG89" s="77">
        <v>513.71757901877822</v>
      </c>
      <c r="AH89" s="53">
        <v>1168.1505795008825</v>
      </c>
      <c r="AI89" s="52">
        <v>654.43300048210426</v>
      </c>
      <c r="AJ89" s="674">
        <v>0</v>
      </c>
      <c r="AK89" s="40">
        <v>0</v>
      </c>
      <c r="AL89" s="52">
        <v>0</v>
      </c>
      <c r="AM89" s="674">
        <v>0</v>
      </c>
      <c r="AN89" s="40">
        <v>0</v>
      </c>
      <c r="AO89" s="52">
        <v>0</v>
      </c>
      <c r="AP89" s="674">
        <v>359.74679286809487</v>
      </c>
      <c r="AQ89" s="40">
        <v>299.17633281993915</v>
      </c>
      <c r="AR89" s="52">
        <v>-60.570460048155724</v>
      </c>
      <c r="AS89" s="674">
        <v>2540.5556958913467</v>
      </c>
      <c r="AT89" s="40">
        <v>992</v>
      </c>
      <c r="AU89" s="54">
        <v>-1548.5556958913467</v>
      </c>
      <c r="AV89" s="674">
        <v>0</v>
      </c>
      <c r="AW89" s="40">
        <v>0</v>
      </c>
      <c r="AX89" s="55">
        <v>0</v>
      </c>
      <c r="AY89" s="674">
        <v>0</v>
      </c>
      <c r="AZ89" s="40">
        <v>0</v>
      </c>
      <c r="BA89" s="35">
        <v>0</v>
      </c>
      <c r="BB89" s="674">
        <v>90.704997144707391</v>
      </c>
      <c r="BC89" s="40">
        <v>0</v>
      </c>
      <c r="BD89" s="55">
        <v>-90.704997144707391</v>
      </c>
      <c r="BE89" s="674">
        <v>0</v>
      </c>
      <c r="BF89" s="40">
        <v>0</v>
      </c>
      <c r="BG89" s="38">
        <v>0</v>
      </c>
      <c r="BH89" s="674">
        <v>0</v>
      </c>
      <c r="BI89" s="40">
        <v>0</v>
      </c>
      <c r="BJ89" s="55">
        <v>0</v>
      </c>
      <c r="BK89" s="674">
        <v>0</v>
      </c>
      <c r="BL89" s="40">
        <v>0</v>
      </c>
      <c r="BM89" s="38">
        <v>0</v>
      </c>
      <c r="BN89" s="674">
        <v>6.4409999999999989</v>
      </c>
      <c r="BO89" s="40">
        <v>0</v>
      </c>
      <c r="BP89" s="55">
        <v>-6.4409999999999989</v>
      </c>
      <c r="BQ89" s="77">
        <v>97.145997144707394</v>
      </c>
      <c r="BR89" s="40">
        <v>0</v>
      </c>
      <c r="BS89" s="55">
        <v>-97.145997144707394</v>
      </c>
      <c r="BT89" s="674">
        <v>0</v>
      </c>
      <c r="BU89" s="40">
        <v>0</v>
      </c>
      <c r="BV89" s="52">
        <v>0</v>
      </c>
      <c r="BW89" s="674">
        <v>0</v>
      </c>
      <c r="BX89" s="40">
        <v>4.8837121340169407</v>
      </c>
      <c r="BY89" s="52">
        <v>4.8837121340169407</v>
      </c>
      <c r="BZ89" s="674">
        <v>0</v>
      </c>
      <c r="CA89" s="40">
        <v>0</v>
      </c>
      <c r="CB89" s="52">
        <v>0</v>
      </c>
      <c r="CC89" s="674">
        <v>0</v>
      </c>
      <c r="CD89" s="40">
        <v>0</v>
      </c>
      <c r="CE89" s="52">
        <v>0</v>
      </c>
      <c r="CF89" s="674">
        <v>0</v>
      </c>
      <c r="CG89" s="40">
        <v>0</v>
      </c>
      <c r="CH89" s="52">
        <v>0</v>
      </c>
      <c r="CI89" s="674">
        <v>0</v>
      </c>
      <c r="CJ89" s="40">
        <v>0</v>
      </c>
      <c r="CK89" s="52">
        <v>0</v>
      </c>
      <c r="CL89" s="674">
        <v>0</v>
      </c>
      <c r="CM89" s="40">
        <v>0</v>
      </c>
      <c r="CN89" s="52">
        <v>0</v>
      </c>
      <c r="CO89" s="39">
        <v>0</v>
      </c>
      <c r="CP89" s="40">
        <v>0</v>
      </c>
      <c r="CQ89" s="52">
        <v>0</v>
      </c>
      <c r="CR89" s="72">
        <v>3511.166064922927</v>
      </c>
      <c r="CS89" s="5">
        <v>2464.2106244548386</v>
      </c>
      <c r="CT89" s="52">
        <v>-1046.9554404680885</v>
      </c>
      <c r="CU89" s="77">
        <v>4213.3992779075124</v>
      </c>
      <c r="CV89" s="65">
        <v>2957.0527493458062</v>
      </c>
      <c r="CW89" s="35">
        <v>-1256.3465285617062</v>
      </c>
      <c r="CX89" s="73">
        <v>127.46170566196622</v>
      </c>
      <c r="CY89" s="40">
        <v>1383.8082342236717</v>
      </c>
      <c r="CZ89" s="52">
        <v>1256.3465285617053</v>
      </c>
      <c r="DA89" s="150">
        <v>-4919.7915409909911</v>
      </c>
      <c r="DB89" s="2">
        <v>3</v>
      </c>
      <c r="DC89" s="675">
        <v>380.7</v>
      </c>
      <c r="DD89" s="675">
        <v>0</v>
      </c>
      <c r="DE89" s="675">
        <v>-1.0230623780671522E-3</v>
      </c>
      <c r="DF89" s="675">
        <v>0</v>
      </c>
      <c r="DG89" s="321">
        <v>-3663.4450124292848</v>
      </c>
      <c r="DH89" s="40">
        <v>4340.5326498602899</v>
      </c>
      <c r="DI89" s="422">
        <v>380.701023062378</v>
      </c>
      <c r="DJ89" s="306">
        <v>1.7731766328010157</v>
      </c>
      <c r="DK89" s="306">
        <v>1.7731766328010157</v>
      </c>
      <c r="DL89" s="306">
        <v>1.7731766328010157</v>
      </c>
      <c r="DM89" s="28">
        <v>380.70102306237806</v>
      </c>
      <c r="DN89" s="28">
        <v>0</v>
      </c>
      <c r="DO89" s="423">
        <v>380.70102306237806</v>
      </c>
      <c r="DP89" s="94">
        <v>0</v>
      </c>
      <c r="DQ89" s="28">
        <v>380.70102306237806</v>
      </c>
      <c r="DR89" s="318"/>
      <c r="DT89" s="8"/>
      <c r="DU89" s="5"/>
      <c r="DX89" s="5">
        <v>3165.2420316432649</v>
      </c>
      <c r="DY89" s="5">
        <v>1190.3999999999999</v>
      </c>
      <c r="DZ89" s="159">
        <v>306.59492654023262</v>
      </c>
      <c r="EB89" s="676">
        <v>48.28443862294256</v>
      </c>
      <c r="EC89" s="676">
        <v>-153.20416027215657</v>
      </c>
      <c r="ED89" s="676">
        <v>-149.31668105595787</v>
      </c>
      <c r="EE89" s="676">
        <v>-279.90359648445792</v>
      </c>
      <c r="EF89" s="676">
        <v>-268.76472659954686</v>
      </c>
      <c r="EG89" s="676">
        <v>-273.08403208680659</v>
      </c>
      <c r="EH89" s="676">
        <v>-96.485515006904961</v>
      </c>
      <c r="EI89" s="676">
        <v>-237.71615372567362</v>
      </c>
      <c r="EJ89" s="676">
        <v>918.13818202734114</v>
      </c>
      <c r="EK89" s="676">
        <v>-230.45121478353533</v>
      </c>
      <c r="EL89" s="676">
        <v>-258.21856943978776</v>
      </c>
      <c r="EM89" s="676">
        <v>-275.62449975716197</v>
      </c>
      <c r="EN89" s="676">
        <v>-1256.3465285617058</v>
      </c>
      <c r="EQ89" s="5">
        <v>3165.2420316432649</v>
      </c>
      <c r="ER89" s="5">
        <v>1190.3999999999999</v>
      </c>
      <c r="ET89" s="318">
        <v>-1622.8538419198303</v>
      </c>
      <c r="EU89" s="5">
        <v>-435.59117050945395</v>
      </c>
    </row>
    <row r="90" spans="1:151" x14ac:dyDescent="0.3">
      <c r="A90" s="325">
        <v>150000566</v>
      </c>
      <c r="B90" s="41" t="s">
        <v>539</v>
      </c>
      <c r="C90" s="42" t="s">
        <v>69</v>
      </c>
      <c r="D90" s="27">
        <v>1</v>
      </c>
      <c r="E90" s="293">
        <v>397.8</v>
      </c>
      <c r="F90" s="305">
        <v>397.8</v>
      </c>
      <c r="G90" s="508">
        <v>0</v>
      </c>
      <c r="H90" s="677">
        <v>0</v>
      </c>
      <c r="I90" s="674">
        <v>0</v>
      </c>
      <c r="J90" s="40">
        <v>0</v>
      </c>
      <c r="K90" s="52">
        <v>0</v>
      </c>
      <c r="L90" s="674">
        <v>0</v>
      </c>
      <c r="M90" s="40">
        <v>0</v>
      </c>
      <c r="N90" s="52">
        <v>0</v>
      </c>
      <c r="O90" s="674">
        <v>0</v>
      </c>
      <c r="P90" s="40">
        <v>0</v>
      </c>
      <c r="Q90" s="52">
        <v>0</v>
      </c>
      <c r="R90" s="674">
        <v>0</v>
      </c>
      <c r="S90" s="40">
        <v>0</v>
      </c>
      <c r="T90" s="52">
        <v>0</v>
      </c>
      <c r="U90" s="674">
        <v>0</v>
      </c>
      <c r="V90" s="40">
        <v>0</v>
      </c>
      <c r="W90" s="52">
        <v>0</v>
      </c>
      <c r="X90" s="674">
        <v>0</v>
      </c>
      <c r="Y90" s="40">
        <v>0</v>
      </c>
      <c r="Z90" s="52">
        <v>0</v>
      </c>
      <c r="AA90" s="674">
        <v>41.616</v>
      </c>
      <c r="AB90" s="40">
        <v>0</v>
      </c>
      <c r="AC90" s="52">
        <v>-41.616</v>
      </c>
      <c r="AD90" s="674">
        <v>333.14812937796353</v>
      </c>
      <c r="AE90" s="40">
        <v>1690.1415487911092</v>
      </c>
      <c r="AF90" s="35">
        <v>1356.9934194131456</v>
      </c>
      <c r="AG90" s="77">
        <v>374.76412937796351</v>
      </c>
      <c r="AH90" s="53">
        <v>1690.1415487911092</v>
      </c>
      <c r="AI90" s="52">
        <v>1315.3774194131456</v>
      </c>
      <c r="AJ90" s="674">
        <v>0</v>
      </c>
      <c r="AK90" s="40">
        <v>0</v>
      </c>
      <c r="AL90" s="52">
        <v>0</v>
      </c>
      <c r="AM90" s="674">
        <v>0</v>
      </c>
      <c r="AN90" s="40">
        <v>0</v>
      </c>
      <c r="AO90" s="52">
        <v>0</v>
      </c>
      <c r="AP90" s="674">
        <v>629.55688751916603</v>
      </c>
      <c r="AQ90" s="40">
        <v>523.55858243489365</v>
      </c>
      <c r="AR90" s="52">
        <v>-105.99830508427237</v>
      </c>
      <c r="AS90" s="674">
        <v>5539.057361039153</v>
      </c>
      <c r="AT90" s="40">
        <v>0</v>
      </c>
      <c r="AU90" s="54">
        <v>-5539.057361039153</v>
      </c>
      <c r="AV90" s="674">
        <v>0</v>
      </c>
      <c r="AW90" s="40">
        <v>0</v>
      </c>
      <c r="AX90" s="55">
        <v>0</v>
      </c>
      <c r="AY90" s="674">
        <v>0</v>
      </c>
      <c r="AZ90" s="40">
        <v>0</v>
      </c>
      <c r="BA90" s="35">
        <v>0</v>
      </c>
      <c r="BB90" s="674">
        <v>0</v>
      </c>
      <c r="BC90" s="40">
        <v>0</v>
      </c>
      <c r="BD90" s="55">
        <v>0</v>
      </c>
      <c r="BE90" s="674">
        <v>0</v>
      </c>
      <c r="BF90" s="40">
        <v>0</v>
      </c>
      <c r="BG90" s="38">
        <v>0</v>
      </c>
      <c r="BH90" s="674">
        <v>0</v>
      </c>
      <c r="BI90" s="40">
        <v>0</v>
      </c>
      <c r="BJ90" s="55">
        <v>0</v>
      </c>
      <c r="BK90" s="674">
        <v>0</v>
      </c>
      <c r="BL90" s="40">
        <v>0</v>
      </c>
      <c r="BM90" s="38">
        <v>0</v>
      </c>
      <c r="BN90" s="674">
        <v>10.4126164702468</v>
      </c>
      <c r="BO90" s="40">
        <v>0</v>
      </c>
      <c r="BP90" s="55">
        <v>-10.4126164702468</v>
      </c>
      <c r="BQ90" s="77">
        <v>10.4126164702468</v>
      </c>
      <c r="BR90" s="40">
        <v>0</v>
      </c>
      <c r="BS90" s="55">
        <v>-10.4126164702468</v>
      </c>
      <c r="BT90" s="674">
        <v>0</v>
      </c>
      <c r="BU90" s="40">
        <v>0</v>
      </c>
      <c r="BV90" s="52">
        <v>0</v>
      </c>
      <c r="BW90" s="674">
        <v>0</v>
      </c>
      <c r="BX90" s="40">
        <v>9.0486291891566779</v>
      </c>
      <c r="BY90" s="52">
        <v>9.0486291891566779</v>
      </c>
      <c r="BZ90" s="674">
        <v>0</v>
      </c>
      <c r="CA90" s="40">
        <v>0</v>
      </c>
      <c r="CB90" s="52">
        <v>0</v>
      </c>
      <c r="CC90" s="674">
        <v>0</v>
      </c>
      <c r="CD90" s="40">
        <v>0</v>
      </c>
      <c r="CE90" s="52">
        <v>0</v>
      </c>
      <c r="CF90" s="674">
        <v>0</v>
      </c>
      <c r="CG90" s="40">
        <v>0</v>
      </c>
      <c r="CH90" s="52">
        <v>0</v>
      </c>
      <c r="CI90" s="674">
        <v>0</v>
      </c>
      <c r="CJ90" s="40">
        <v>0</v>
      </c>
      <c r="CK90" s="52">
        <v>0</v>
      </c>
      <c r="CL90" s="674">
        <v>0</v>
      </c>
      <c r="CM90" s="40">
        <v>0</v>
      </c>
      <c r="CN90" s="52">
        <v>0</v>
      </c>
      <c r="CO90" s="39">
        <v>0</v>
      </c>
      <c r="CP90" s="40">
        <v>0</v>
      </c>
      <c r="CQ90" s="52">
        <v>0</v>
      </c>
      <c r="CR90" s="72">
        <v>6553.7909944065286</v>
      </c>
      <c r="CS90" s="5">
        <v>2222.7487604151593</v>
      </c>
      <c r="CT90" s="52">
        <v>-4331.0422339913694</v>
      </c>
      <c r="CU90" s="77">
        <v>7864.549193287834</v>
      </c>
      <c r="CV90" s="65">
        <v>2667.298512498191</v>
      </c>
      <c r="CW90" s="35">
        <v>-5197.2506807896425</v>
      </c>
      <c r="CX90" s="73">
        <v>233.76396940578192</v>
      </c>
      <c r="CY90" s="40">
        <v>5431.014650195425</v>
      </c>
      <c r="CZ90" s="52">
        <v>5197.2506807896434</v>
      </c>
      <c r="DA90" s="150">
        <v>-15570.68594220428</v>
      </c>
      <c r="DB90" s="2">
        <v>1</v>
      </c>
      <c r="DC90" s="675">
        <v>541.26</v>
      </c>
      <c r="DD90" s="675">
        <v>0</v>
      </c>
      <c r="DE90" s="675">
        <v>-187.94036961703898</v>
      </c>
      <c r="DF90" s="675">
        <v>0</v>
      </c>
      <c r="DG90" s="321">
        <v>-10373.435261414634</v>
      </c>
      <c r="DH90" s="40">
        <v>8097.7618983829198</v>
      </c>
      <c r="DI90" s="422">
        <v>729.20033090192817</v>
      </c>
      <c r="DJ90" s="306">
        <v>1.8330828798819481</v>
      </c>
      <c r="DK90" s="306">
        <v>1.8330828798819481</v>
      </c>
      <c r="DL90" s="306">
        <v>1.8330828798819481</v>
      </c>
      <c r="DM90" s="28">
        <v>729.20036961703897</v>
      </c>
      <c r="DN90" s="28">
        <v>0</v>
      </c>
      <c r="DO90" s="423">
        <v>729.20036961703897</v>
      </c>
      <c r="DP90" s="94">
        <v>-3.8715110804332653E-5</v>
      </c>
      <c r="DQ90" s="28">
        <v>729.20036961703897</v>
      </c>
      <c r="DR90" s="318"/>
      <c r="DT90" s="8"/>
      <c r="DU90" s="5"/>
      <c r="DX90" s="5">
        <v>6659.3639730112791</v>
      </c>
      <c r="DY90" s="5">
        <v>0</v>
      </c>
      <c r="DZ90" s="159">
        <v>645.12372103066446</v>
      </c>
      <c r="EB90" s="676">
        <v>81.523688164671455</v>
      </c>
      <c r="EC90" s="676">
        <v>-273.35375714321538</v>
      </c>
      <c r="ED90" s="676">
        <v>-266.15096612223806</v>
      </c>
      <c r="EE90" s="676">
        <v>-591.77473325766846</v>
      </c>
      <c r="EF90" s="676">
        <v>-571.13643591152209</v>
      </c>
      <c r="EG90" s="676">
        <v>-579.13932237091626</v>
      </c>
      <c r="EH90" s="676">
        <v>-270.40301044333438</v>
      </c>
      <c r="EI90" s="676">
        <v>-513.6090847739963</v>
      </c>
      <c r="EJ90" s="676">
        <v>-577.6159093545773</v>
      </c>
      <c r="EK90" s="676">
        <v>-500.14847596550726</v>
      </c>
      <c r="EL90" s="676">
        <v>-551.59632730345425</v>
      </c>
      <c r="EM90" s="676">
        <v>-583.84634630788571</v>
      </c>
      <c r="EN90" s="676">
        <v>-5197.2506807896452</v>
      </c>
      <c r="EQ90" s="5">
        <v>6659.3639730112791</v>
      </c>
      <c r="ER90" s="5">
        <v>0</v>
      </c>
      <c r="ET90" s="318">
        <v>-3221.5276058532618</v>
      </c>
      <c r="EU90" s="5">
        <v>-2342.6671987751824</v>
      </c>
    </row>
    <row r="91" spans="1:151" x14ac:dyDescent="0.3">
      <c r="A91" s="325">
        <v>150000571</v>
      </c>
      <c r="B91" s="41" t="s">
        <v>540</v>
      </c>
      <c r="C91" s="42" t="s">
        <v>70</v>
      </c>
      <c r="D91" s="27">
        <v>1</v>
      </c>
      <c r="E91" s="293">
        <v>238.6</v>
      </c>
      <c r="F91" s="305">
        <v>238.6</v>
      </c>
      <c r="G91" s="508">
        <v>0</v>
      </c>
      <c r="H91" s="677">
        <v>0</v>
      </c>
      <c r="I91" s="674">
        <v>0</v>
      </c>
      <c r="J91" s="40">
        <v>0</v>
      </c>
      <c r="K91" s="52">
        <v>0</v>
      </c>
      <c r="L91" s="674">
        <v>0</v>
      </c>
      <c r="M91" s="40">
        <v>0</v>
      </c>
      <c r="N91" s="52">
        <v>0</v>
      </c>
      <c r="O91" s="674">
        <v>0</v>
      </c>
      <c r="P91" s="40">
        <v>0</v>
      </c>
      <c r="Q91" s="52">
        <v>0</v>
      </c>
      <c r="R91" s="674">
        <v>0</v>
      </c>
      <c r="S91" s="40">
        <v>0</v>
      </c>
      <c r="T91" s="52">
        <v>0</v>
      </c>
      <c r="U91" s="674">
        <v>0</v>
      </c>
      <c r="V91" s="40">
        <v>0</v>
      </c>
      <c r="W91" s="52">
        <v>0</v>
      </c>
      <c r="X91" s="674">
        <v>0</v>
      </c>
      <c r="Y91" s="40">
        <v>0</v>
      </c>
      <c r="Z91" s="52">
        <v>0</v>
      </c>
      <c r="AA91" s="674">
        <v>28.632000000000001</v>
      </c>
      <c r="AB91" s="40">
        <v>0</v>
      </c>
      <c r="AC91" s="52">
        <v>-28.632000000000001</v>
      </c>
      <c r="AD91" s="674">
        <v>229.23685094028218</v>
      </c>
      <c r="AE91" s="40">
        <v>871.06540654402033</v>
      </c>
      <c r="AF91" s="35">
        <v>641.8285556037381</v>
      </c>
      <c r="AG91" s="77">
        <v>257.86885094028219</v>
      </c>
      <c r="AH91" s="53">
        <v>871.06540654402033</v>
      </c>
      <c r="AI91" s="52">
        <v>613.19655560373815</v>
      </c>
      <c r="AJ91" s="674">
        <v>0</v>
      </c>
      <c r="AK91" s="40">
        <v>0</v>
      </c>
      <c r="AL91" s="52">
        <v>0</v>
      </c>
      <c r="AM91" s="674">
        <v>0</v>
      </c>
      <c r="AN91" s="40">
        <v>0</v>
      </c>
      <c r="AO91" s="52">
        <v>0</v>
      </c>
      <c r="AP91" s="674">
        <v>556.14803126597189</v>
      </c>
      <c r="AQ91" s="40">
        <v>560.95562403738597</v>
      </c>
      <c r="AR91" s="52">
        <v>4.8075927714140789</v>
      </c>
      <c r="AS91" s="674">
        <v>2971.0552117587881</v>
      </c>
      <c r="AT91" s="40">
        <v>0</v>
      </c>
      <c r="AU91" s="54">
        <v>-2971.0552117587881</v>
      </c>
      <c r="AV91" s="674">
        <v>0</v>
      </c>
      <c r="AW91" s="40">
        <v>0</v>
      </c>
      <c r="AX91" s="55">
        <v>0</v>
      </c>
      <c r="AY91" s="674">
        <v>0</v>
      </c>
      <c r="AZ91" s="40">
        <v>0</v>
      </c>
      <c r="BA91" s="35">
        <v>0</v>
      </c>
      <c r="BB91" s="674">
        <v>0</v>
      </c>
      <c r="BC91" s="40">
        <v>0</v>
      </c>
      <c r="BD91" s="55">
        <v>0</v>
      </c>
      <c r="BE91" s="674">
        <v>0</v>
      </c>
      <c r="BF91" s="40">
        <v>0</v>
      </c>
      <c r="BG91" s="38">
        <v>0</v>
      </c>
      <c r="BH91" s="674">
        <v>0</v>
      </c>
      <c r="BI91" s="40">
        <v>0</v>
      </c>
      <c r="BJ91" s="55">
        <v>0</v>
      </c>
      <c r="BK91" s="674">
        <v>0</v>
      </c>
      <c r="BL91" s="40">
        <v>0</v>
      </c>
      <c r="BM91" s="38">
        <v>0</v>
      </c>
      <c r="BN91" s="674">
        <v>8.8638444094143338</v>
      </c>
      <c r="BO91" s="40">
        <v>0</v>
      </c>
      <c r="BP91" s="55">
        <v>-8.8638444094143338</v>
      </c>
      <c r="BQ91" s="77">
        <v>8.8638444094143338</v>
      </c>
      <c r="BR91" s="40">
        <v>0</v>
      </c>
      <c r="BS91" s="55">
        <v>-8.8638444094143338</v>
      </c>
      <c r="BT91" s="674">
        <v>0</v>
      </c>
      <c r="BU91" s="40">
        <v>0</v>
      </c>
      <c r="BV91" s="52">
        <v>0</v>
      </c>
      <c r="BW91" s="674">
        <v>0</v>
      </c>
      <c r="BX91" s="40">
        <v>4.4615263031450185</v>
      </c>
      <c r="BY91" s="52">
        <v>4.4615263031450185</v>
      </c>
      <c r="BZ91" s="674">
        <v>0</v>
      </c>
      <c r="CA91" s="40">
        <v>0</v>
      </c>
      <c r="CB91" s="52">
        <v>0</v>
      </c>
      <c r="CC91" s="674">
        <v>0</v>
      </c>
      <c r="CD91" s="40">
        <v>0</v>
      </c>
      <c r="CE91" s="52">
        <v>0</v>
      </c>
      <c r="CF91" s="674">
        <v>0</v>
      </c>
      <c r="CG91" s="40">
        <v>0</v>
      </c>
      <c r="CH91" s="52">
        <v>0</v>
      </c>
      <c r="CI91" s="674">
        <v>0</v>
      </c>
      <c r="CJ91" s="40">
        <v>0</v>
      </c>
      <c r="CK91" s="52">
        <v>0</v>
      </c>
      <c r="CL91" s="674">
        <v>0</v>
      </c>
      <c r="CM91" s="40">
        <v>0</v>
      </c>
      <c r="CN91" s="52">
        <v>0</v>
      </c>
      <c r="CO91" s="39">
        <v>0</v>
      </c>
      <c r="CP91" s="40">
        <v>0</v>
      </c>
      <c r="CQ91" s="52">
        <v>0</v>
      </c>
      <c r="CR91" s="72">
        <v>3793.9359383744568</v>
      </c>
      <c r="CS91" s="5">
        <v>1436.4825568845513</v>
      </c>
      <c r="CT91" s="52">
        <v>-2357.4533814899055</v>
      </c>
      <c r="CU91" s="77">
        <v>4552.7231260493481</v>
      </c>
      <c r="CV91" s="65">
        <v>1723.7790682614616</v>
      </c>
      <c r="CW91" s="35">
        <v>-2828.9440577878868</v>
      </c>
      <c r="CX91" s="73">
        <v>142.98233444400549</v>
      </c>
      <c r="CY91" s="40">
        <v>2971.926392231891</v>
      </c>
      <c r="CZ91" s="52">
        <v>2828.9440577878854</v>
      </c>
      <c r="DA91" s="150">
        <v>-10284.260793524647</v>
      </c>
      <c r="DB91" s="2">
        <v>1</v>
      </c>
      <c r="DC91" s="675">
        <v>4012.73</v>
      </c>
      <c r="DD91" s="675">
        <v>0</v>
      </c>
      <c r="DE91" s="675">
        <v>4012.73</v>
      </c>
      <c r="DF91" s="675">
        <v>0</v>
      </c>
      <c r="DG91" s="321">
        <v>-7455.316735736762</v>
      </c>
      <c r="DH91" s="40">
        <v>5692.4953403158725</v>
      </c>
      <c r="DI91" s="422">
        <v>498.61132025839652</v>
      </c>
      <c r="DJ91" s="306">
        <v>2.0897396454588542</v>
      </c>
      <c r="DK91" s="306">
        <v>2.0897396454588542</v>
      </c>
      <c r="DL91" s="306">
        <v>2.0897396454588542</v>
      </c>
      <c r="DM91" s="28">
        <v>498.61187940648261</v>
      </c>
      <c r="DN91" s="28">
        <v>0</v>
      </c>
      <c r="DO91" s="423">
        <v>498.61187940648261</v>
      </c>
      <c r="DP91" s="94">
        <v>-5.5914808609713873E-4</v>
      </c>
      <c r="DQ91" s="28">
        <v>498.61187940648261</v>
      </c>
      <c r="DR91" s="318"/>
      <c r="DT91" s="8"/>
      <c r="DU91" s="5"/>
      <c r="DX91" s="5">
        <v>3575.9028674018432</v>
      </c>
      <c r="DY91" s="5">
        <v>0</v>
      </c>
      <c r="DZ91" s="159">
        <v>415.42373168999512</v>
      </c>
      <c r="EB91" s="676">
        <v>106.69624349417978</v>
      </c>
      <c r="EC91" s="676">
        <v>-254.21660388697674</v>
      </c>
      <c r="ED91" s="676">
        <v>-249.89637779948251</v>
      </c>
      <c r="EE91" s="676">
        <v>-414.68998161831456</v>
      </c>
      <c r="EF91" s="676">
        <v>-402.3111536977753</v>
      </c>
      <c r="EG91" s="676">
        <v>-407.11127614425953</v>
      </c>
      <c r="EH91" s="676">
        <v>-73.678407476872394</v>
      </c>
      <c r="EI91" s="676">
        <v>-367.80631211553896</v>
      </c>
      <c r="EJ91" s="676">
        <v>-406.19753470208138</v>
      </c>
      <c r="EK91" s="676">
        <v>-359.73265384076387</v>
      </c>
      <c r="EL91" s="676">
        <v>0</v>
      </c>
      <c r="EM91" s="676">
        <v>0</v>
      </c>
      <c r="EN91" s="676">
        <v>-2828.9440577878854</v>
      </c>
      <c r="EQ91" s="5">
        <v>3575.9028674018432</v>
      </c>
      <c r="ER91" s="5">
        <v>0</v>
      </c>
      <c r="ET91" s="318">
        <v>-2587.9749797658192</v>
      </c>
      <c r="EU91" s="5">
        <v>-801.34175597094372</v>
      </c>
    </row>
    <row r="92" spans="1:151" x14ac:dyDescent="0.3">
      <c r="A92" s="325">
        <v>150000567</v>
      </c>
      <c r="B92" s="41" t="s">
        <v>541</v>
      </c>
      <c r="C92" s="42" t="s">
        <v>71</v>
      </c>
      <c r="D92" s="27">
        <v>1</v>
      </c>
      <c r="E92" s="293">
        <v>134</v>
      </c>
      <c r="F92" s="305">
        <v>134</v>
      </c>
      <c r="G92" s="508">
        <v>0</v>
      </c>
      <c r="H92" s="677">
        <v>0</v>
      </c>
      <c r="I92" s="674">
        <v>0</v>
      </c>
      <c r="J92" s="40">
        <v>0</v>
      </c>
      <c r="K92" s="52">
        <v>0</v>
      </c>
      <c r="L92" s="674">
        <v>0</v>
      </c>
      <c r="M92" s="40">
        <v>0</v>
      </c>
      <c r="N92" s="52">
        <v>0</v>
      </c>
      <c r="O92" s="674">
        <v>0</v>
      </c>
      <c r="P92" s="40">
        <v>0</v>
      </c>
      <c r="Q92" s="52">
        <v>0</v>
      </c>
      <c r="R92" s="674">
        <v>0</v>
      </c>
      <c r="S92" s="40">
        <v>0</v>
      </c>
      <c r="T92" s="52">
        <v>0</v>
      </c>
      <c r="U92" s="674">
        <v>0</v>
      </c>
      <c r="V92" s="40">
        <v>0</v>
      </c>
      <c r="W92" s="52">
        <v>0</v>
      </c>
      <c r="X92" s="674">
        <v>0</v>
      </c>
      <c r="Y92" s="40">
        <v>0</v>
      </c>
      <c r="Z92" s="52">
        <v>0</v>
      </c>
      <c r="AA92" s="674">
        <v>16.080000000000002</v>
      </c>
      <c r="AB92" s="40">
        <v>0</v>
      </c>
      <c r="AC92" s="52">
        <v>-16.080000000000002</v>
      </c>
      <c r="AD92" s="674">
        <v>128.69851428507533</v>
      </c>
      <c r="AE92" s="40">
        <v>489.19850996185545</v>
      </c>
      <c r="AF92" s="35">
        <v>360.49999567678015</v>
      </c>
      <c r="AG92" s="77">
        <v>144.77851428507535</v>
      </c>
      <c r="AH92" s="53">
        <v>489.19850996185545</v>
      </c>
      <c r="AI92" s="52">
        <v>344.4199956767801</v>
      </c>
      <c r="AJ92" s="674">
        <v>0</v>
      </c>
      <c r="AK92" s="40">
        <v>0</v>
      </c>
      <c r="AL92" s="52">
        <v>0</v>
      </c>
      <c r="AM92" s="674">
        <v>0</v>
      </c>
      <c r="AN92" s="40">
        <v>0</v>
      </c>
      <c r="AO92" s="52">
        <v>0</v>
      </c>
      <c r="AP92" s="674">
        <v>222.4592125063887</v>
      </c>
      <c r="AQ92" s="40">
        <v>224.38224961495439</v>
      </c>
      <c r="AR92" s="52">
        <v>1.9230371085656941</v>
      </c>
      <c r="AS92" s="674">
        <v>1120.145023428696</v>
      </c>
      <c r="AT92" s="40">
        <v>0</v>
      </c>
      <c r="AU92" s="54">
        <v>-1120.145023428696</v>
      </c>
      <c r="AV92" s="674">
        <v>0</v>
      </c>
      <c r="AW92" s="40">
        <v>0</v>
      </c>
      <c r="AX92" s="55">
        <v>0</v>
      </c>
      <c r="AY92" s="674">
        <v>0</v>
      </c>
      <c r="AZ92" s="40">
        <v>0</v>
      </c>
      <c r="BA92" s="35">
        <v>0</v>
      </c>
      <c r="BB92" s="674">
        <v>0</v>
      </c>
      <c r="BC92" s="40">
        <v>0</v>
      </c>
      <c r="BD92" s="55">
        <v>0</v>
      </c>
      <c r="BE92" s="674">
        <v>0</v>
      </c>
      <c r="BF92" s="40">
        <v>0</v>
      </c>
      <c r="BG92" s="38">
        <v>0</v>
      </c>
      <c r="BH92" s="674">
        <v>0</v>
      </c>
      <c r="BI92" s="40">
        <v>0</v>
      </c>
      <c r="BJ92" s="55">
        <v>0</v>
      </c>
      <c r="BK92" s="674">
        <v>0</v>
      </c>
      <c r="BL92" s="40">
        <v>0</v>
      </c>
      <c r="BM92" s="38">
        <v>0</v>
      </c>
      <c r="BN92" s="674">
        <v>7.2515047893068729</v>
      </c>
      <c r="BO92" s="40">
        <v>0</v>
      </c>
      <c r="BP92" s="55">
        <v>-7.2515047893068729</v>
      </c>
      <c r="BQ92" s="77">
        <v>7.2515047893068729</v>
      </c>
      <c r="BR92" s="40">
        <v>0</v>
      </c>
      <c r="BS92" s="55">
        <v>-7.2515047893068729</v>
      </c>
      <c r="BT92" s="674">
        <v>0</v>
      </c>
      <c r="BU92" s="40">
        <v>0</v>
      </c>
      <c r="BV92" s="52">
        <v>0</v>
      </c>
      <c r="BW92" s="674">
        <v>0</v>
      </c>
      <c r="BX92" s="40">
        <v>2.5056350570889876</v>
      </c>
      <c r="BY92" s="52">
        <v>2.5056350570889876</v>
      </c>
      <c r="BZ92" s="674">
        <v>0</v>
      </c>
      <c r="CA92" s="40">
        <v>0</v>
      </c>
      <c r="CB92" s="52">
        <v>0</v>
      </c>
      <c r="CC92" s="674">
        <v>0</v>
      </c>
      <c r="CD92" s="40">
        <v>0</v>
      </c>
      <c r="CE92" s="52">
        <v>0</v>
      </c>
      <c r="CF92" s="674">
        <v>0</v>
      </c>
      <c r="CG92" s="40">
        <v>0</v>
      </c>
      <c r="CH92" s="52">
        <v>0</v>
      </c>
      <c r="CI92" s="674">
        <v>0</v>
      </c>
      <c r="CJ92" s="40">
        <v>0</v>
      </c>
      <c r="CK92" s="52">
        <v>0</v>
      </c>
      <c r="CL92" s="674">
        <v>0</v>
      </c>
      <c r="CM92" s="40">
        <v>0</v>
      </c>
      <c r="CN92" s="52">
        <v>0</v>
      </c>
      <c r="CO92" s="39">
        <v>0</v>
      </c>
      <c r="CP92" s="40">
        <v>0</v>
      </c>
      <c r="CQ92" s="52">
        <v>0</v>
      </c>
      <c r="CR92" s="72">
        <v>1494.6342550094671</v>
      </c>
      <c r="CS92" s="5">
        <v>716.08639463389886</v>
      </c>
      <c r="CT92" s="52">
        <v>-778.54786037556823</v>
      </c>
      <c r="CU92" s="77">
        <v>1793.5611060113604</v>
      </c>
      <c r="CV92" s="65">
        <v>859.30367356067859</v>
      </c>
      <c r="CW92" s="35">
        <v>-934.25743245068179</v>
      </c>
      <c r="CX92" s="73">
        <v>35.922734676655175</v>
      </c>
      <c r="CY92" s="40">
        <v>970.18016712733663</v>
      </c>
      <c r="CZ92" s="52">
        <v>934.25743245068145</v>
      </c>
      <c r="DA92" s="150">
        <v>-1555.5906876054348</v>
      </c>
      <c r="DB92" s="2">
        <v>1</v>
      </c>
      <c r="DC92" s="675">
        <v>880.34</v>
      </c>
      <c r="DD92" s="675">
        <v>0</v>
      </c>
      <c r="DE92" s="675">
        <v>880.34</v>
      </c>
      <c r="DF92" s="675">
        <v>0</v>
      </c>
      <c r="DG92" s="321">
        <v>-621.33325515475337</v>
      </c>
      <c r="DH92" s="40">
        <v>2218.4505333518014</v>
      </c>
      <c r="DI92" s="422">
        <v>194.56726736909761</v>
      </c>
      <c r="DJ92" s="306">
        <v>1.4519901994526354</v>
      </c>
      <c r="DK92" s="306">
        <v>1.4519901994526354</v>
      </c>
      <c r="DL92" s="306">
        <v>1.4519901994526354</v>
      </c>
      <c r="DM92" s="28">
        <v>194.56668672665313</v>
      </c>
      <c r="DN92" s="28">
        <v>0</v>
      </c>
      <c r="DO92" s="423">
        <v>194.56668672665313</v>
      </c>
      <c r="DP92" s="94">
        <v>5.8064244447564306E-4</v>
      </c>
      <c r="DQ92" s="28">
        <v>194.56668672665313</v>
      </c>
      <c r="DR92" s="318"/>
      <c r="DT92" s="8"/>
      <c r="DU92" s="5"/>
      <c r="DX92" s="5">
        <v>1352.8758338616035</v>
      </c>
      <c r="DY92" s="5">
        <v>0</v>
      </c>
      <c r="DZ92" s="159">
        <v>164.23033524341037</v>
      </c>
      <c r="EB92" s="676">
        <v>72.034925295252748</v>
      </c>
      <c r="EC92" s="676">
        <v>-76.299574365288038</v>
      </c>
      <c r="ED92" s="676">
        <v>-73.873294835848696</v>
      </c>
      <c r="EE92" s="676">
        <v>-152.33973368073796</v>
      </c>
      <c r="EF92" s="676">
        <v>-145.38766770692294</v>
      </c>
      <c r="EG92" s="676">
        <v>-148.08346153688476</v>
      </c>
      <c r="EH92" s="676">
        <v>-15.253722659928002</v>
      </c>
      <c r="EI92" s="676">
        <v>-126.00942473953117</v>
      </c>
      <c r="EJ92" s="676">
        <v>-147.57029576466402</v>
      </c>
      <c r="EK92" s="676">
        <v>-121.47518245612859</v>
      </c>
      <c r="EL92" s="676">
        <v>0</v>
      </c>
      <c r="EM92" s="676">
        <v>0</v>
      </c>
      <c r="EN92" s="676">
        <v>-934.25743245068145</v>
      </c>
      <c r="EQ92" s="5">
        <v>1352.8758338616035</v>
      </c>
      <c r="ER92" s="5">
        <v>0</v>
      </c>
      <c r="ET92" s="318">
        <v>-744.19826372255864</v>
      </c>
      <c r="EU92" s="5">
        <v>1332.8650085678053</v>
      </c>
    </row>
    <row r="93" spans="1:151" x14ac:dyDescent="0.3">
      <c r="A93" s="325">
        <v>150000561</v>
      </c>
      <c r="B93" s="41" t="s">
        <v>542</v>
      </c>
      <c r="C93" s="42" t="s">
        <v>72</v>
      </c>
      <c r="D93" s="27">
        <v>1</v>
      </c>
      <c r="E93" s="293">
        <v>128.1</v>
      </c>
      <c r="F93" s="305">
        <v>128.1</v>
      </c>
      <c r="G93" s="508">
        <v>0</v>
      </c>
      <c r="H93" s="677">
        <v>0</v>
      </c>
      <c r="I93" s="674">
        <v>0</v>
      </c>
      <c r="J93" s="40">
        <v>0</v>
      </c>
      <c r="K93" s="52">
        <v>0</v>
      </c>
      <c r="L93" s="674">
        <v>0</v>
      </c>
      <c r="M93" s="40">
        <v>0</v>
      </c>
      <c r="N93" s="52">
        <v>0</v>
      </c>
      <c r="O93" s="674">
        <v>0</v>
      </c>
      <c r="P93" s="40">
        <v>0</v>
      </c>
      <c r="Q93" s="52">
        <v>0</v>
      </c>
      <c r="R93" s="674">
        <v>0</v>
      </c>
      <c r="S93" s="40">
        <v>0</v>
      </c>
      <c r="T93" s="52">
        <v>0</v>
      </c>
      <c r="U93" s="674">
        <v>0</v>
      </c>
      <c r="V93" s="40">
        <v>0</v>
      </c>
      <c r="W93" s="52">
        <v>0</v>
      </c>
      <c r="X93" s="674">
        <v>0</v>
      </c>
      <c r="Y93" s="40">
        <v>0</v>
      </c>
      <c r="Z93" s="52">
        <v>0</v>
      </c>
      <c r="AA93" s="674">
        <v>15.372</v>
      </c>
      <c r="AB93" s="40">
        <v>0</v>
      </c>
      <c r="AC93" s="52">
        <v>-15.372</v>
      </c>
      <c r="AD93" s="674">
        <v>123.02937623207507</v>
      </c>
      <c r="AE93" s="40">
        <v>544.26126797421091</v>
      </c>
      <c r="AF93" s="35">
        <v>421.23189174213587</v>
      </c>
      <c r="AG93" s="77">
        <v>138.40137623207505</v>
      </c>
      <c r="AH93" s="53">
        <v>544.26126797421091</v>
      </c>
      <c r="AI93" s="52">
        <v>405.85989174213586</v>
      </c>
      <c r="AJ93" s="674">
        <v>0</v>
      </c>
      <c r="AK93" s="40">
        <v>0</v>
      </c>
      <c r="AL93" s="52">
        <v>0</v>
      </c>
      <c r="AM93" s="674">
        <v>0</v>
      </c>
      <c r="AN93" s="40">
        <v>0</v>
      </c>
      <c r="AO93" s="52">
        <v>0</v>
      </c>
      <c r="AP93" s="674">
        <v>449.6834910851187</v>
      </c>
      <c r="AQ93" s="40">
        <v>373.97041602492402</v>
      </c>
      <c r="AR93" s="52">
        <v>-75.713075060194683</v>
      </c>
      <c r="AS93" s="674">
        <v>1222.990333717059</v>
      </c>
      <c r="AT93" s="40">
        <v>0</v>
      </c>
      <c r="AU93" s="54">
        <v>-1222.990333717059</v>
      </c>
      <c r="AV93" s="674">
        <v>0</v>
      </c>
      <c r="AW93" s="40">
        <v>0</v>
      </c>
      <c r="AX93" s="55">
        <v>0</v>
      </c>
      <c r="AY93" s="674">
        <v>0</v>
      </c>
      <c r="AZ93" s="40">
        <v>0</v>
      </c>
      <c r="BA93" s="35">
        <v>0</v>
      </c>
      <c r="BB93" s="674">
        <v>0</v>
      </c>
      <c r="BC93" s="40">
        <v>0</v>
      </c>
      <c r="BD93" s="55">
        <v>0</v>
      </c>
      <c r="BE93" s="674">
        <v>0</v>
      </c>
      <c r="BF93" s="40">
        <v>0</v>
      </c>
      <c r="BG93" s="38">
        <v>0</v>
      </c>
      <c r="BH93" s="674">
        <v>0</v>
      </c>
      <c r="BI93" s="40">
        <v>0</v>
      </c>
      <c r="BJ93" s="55">
        <v>0</v>
      </c>
      <c r="BK93" s="674">
        <v>0</v>
      </c>
      <c r="BL93" s="40">
        <v>0</v>
      </c>
      <c r="BM93" s="38">
        <v>0</v>
      </c>
      <c r="BN93" s="674">
        <v>5.019583581156196</v>
      </c>
      <c r="BO93" s="40">
        <v>0</v>
      </c>
      <c r="BP93" s="55">
        <v>-5.019583581156196</v>
      </c>
      <c r="BQ93" s="77">
        <v>5.019583581156196</v>
      </c>
      <c r="BR93" s="40">
        <v>0</v>
      </c>
      <c r="BS93" s="55">
        <v>-5.019583581156196</v>
      </c>
      <c r="BT93" s="674">
        <v>150.74016775144432</v>
      </c>
      <c r="BU93" s="40">
        <v>198.34786298889162</v>
      </c>
      <c r="BV93" s="52">
        <v>47.607695237447302</v>
      </c>
      <c r="BW93" s="674">
        <v>0</v>
      </c>
      <c r="BX93" s="40">
        <v>2.9138496710180255</v>
      </c>
      <c r="BY93" s="52">
        <v>2.9138496710180255</v>
      </c>
      <c r="BZ93" s="674">
        <v>123.97135178679393</v>
      </c>
      <c r="CA93" s="40">
        <v>67.183401826226685</v>
      </c>
      <c r="CB93" s="52">
        <v>-56.787949960567246</v>
      </c>
      <c r="CC93" s="674">
        <v>0</v>
      </c>
      <c r="CD93" s="40">
        <v>0</v>
      </c>
      <c r="CE93" s="52">
        <v>0</v>
      </c>
      <c r="CF93" s="674">
        <v>0</v>
      </c>
      <c r="CG93" s="40">
        <v>0</v>
      </c>
      <c r="CH93" s="52">
        <v>0</v>
      </c>
      <c r="CI93" s="674">
        <v>0</v>
      </c>
      <c r="CJ93" s="40">
        <v>0</v>
      </c>
      <c r="CK93" s="52">
        <v>0</v>
      </c>
      <c r="CL93" s="674">
        <v>0</v>
      </c>
      <c r="CM93" s="40">
        <v>0</v>
      </c>
      <c r="CN93" s="52">
        <v>0</v>
      </c>
      <c r="CO93" s="39">
        <v>0</v>
      </c>
      <c r="CP93" s="40">
        <v>0</v>
      </c>
      <c r="CQ93" s="52">
        <v>0</v>
      </c>
      <c r="CR93" s="72">
        <v>2090.806304153647</v>
      </c>
      <c r="CS93" s="5">
        <v>1186.6767984852711</v>
      </c>
      <c r="CT93" s="52">
        <v>-904.12950566837594</v>
      </c>
      <c r="CU93" s="77">
        <v>2508.9675649843762</v>
      </c>
      <c r="CV93" s="65">
        <v>1424.0121581823253</v>
      </c>
      <c r="CW93" s="35">
        <v>-1084.9554068020509</v>
      </c>
      <c r="CX93" s="73">
        <v>55.817365806219719</v>
      </c>
      <c r="CY93" s="40">
        <v>1140.7727726082701</v>
      </c>
      <c r="CZ93" s="52">
        <v>1084.9554068020504</v>
      </c>
      <c r="DA93" s="150">
        <v>10046.342938376085</v>
      </c>
      <c r="DB93" s="2">
        <v>1</v>
      </c>
      <c r="DC93" s="675">
        <v>488.02</v>
      </c>
      <c r="DD93" s="675">
        <v>0</v>
      </c>
      <c r="DE93" s="675">
        <v>262.96884323761776</v>
      </c>
      <c r="DF93" s="675">
        <v>0</v>
      </c>
      <c r="DG93" s="321">
        <v>11131.298345178137</v>
      </c>
      <c r="DH93" s="40">
        <v>2564.5913076139423</v>
      </c>
      <c r="DI93" s="422">
        <v>225.05115676238219</v>
      </c>
      <c r="DJ93" s="306">
        <v>1.7568396312442016</v>
      </c>
      <c r="DK93" s="306">
        <v>1.7568396312442016</v>
      </c>
      <c r="DL93" s="306">
        <v>1.7568396312442016</v>
      </c>
      <c r="DM93" s="28">
        <v>225.05115676238222</v>
      </c>
      <c r="DN93" s="28">
        <v>0</v>
      </c>
      <c r="DO93" s="423">
        <v>225.05115676238222</v>
      </c>
      <c r="DP93" s="94">
        <v>0</v>
      </c>
      <c r="DQ93" s="28">
        <v>225.05115676238222</v>
      </c>
      <c r="DR93" s="318"/>
      <c r="DT93" s="8"/>
      <c r="DU93" s="5"/>
      <c r="DX93" s="5">
        <v>1473.6119007578582</v>
      </c>
      <c r="DY93" s="5">
        <v>0</v>
      </c>
      <c r="DZ93" s="159">
        <v>137.74619284862521</v>
      </c>
      <c r="EB93" s="676">
        <v>135.16021182764169</v>
      </c>
      <c r="EC93" s="676">
        <v>-102.26064899751671</v>
      </c>
      <c r="ED93" s="676">
        <v>-99.941198193627301</v>
      </c>
      <c r="EE93" s="676">
        <v>-183.19859952513275</v>
      </c>
      <c r="EF93" s="676">
        <v>-138.65895749766207</v>
      </c>
      <c r="EG93" s="676">
        <v>-141.85812857772726</v>
      </c>
      <c r="EH93" s="676">
        <v>80.8971241081139</v>
      </c>
      <c r="EI93" s="676">
        <v>-119.27289325637322</v>
      </c>
      <c r="EJ93" s="676">
        <v>-139.83681220224292</v>
      </c>
      <c r="EK93" s="676">
        <v>-112.06004057253749</v>
      </c>
      <c r="EL93" s="676">
        <v>-130.12410652860831</v>
      </c>
      <c r="EM93" s="676">
        <v>-133.80135738637807</v>
      </c>
      <c r="EN93" s="676">
        <v>-1084.9554068020507</v>
      </c>
      <c r="EQ93" s="5">
        <v>1473.6119007578582</v>
      </c>
      <c r="ER93" s="5">
        <v>0</v>
      </c>
      <c r="ET93" s="318">
        <v>-907.73857324613834</v>
      </c>
      <c r="EU93" s="5">
        <v>1986.0369184242729</v>
      </c>
    </row>
    <row r="94" spans="1:151" x14ac:dyDescent="0.3">
      <c r="A94" s="325">
        <v>150000569</v>
      </c>
      <c r="B94" s="41" t="s">
        <v>543</v>
      </c>
      <c r="C94" s="42" t="s">
        <v>73</v>
      </c>
      <c r="D94" s="27">
        <v>1</v>
      </c>
      <c r="E94" s="293">
        <v>245.6</v>
      </c>
      <c r="F94" s="305">
        <v>245.6</v>
      </c>
      <c r="G94" s="508">
        <v>0</v>
      </c>
      <c r="H94" s="677">
        <v>0</v>
      </c>
      <c r="I94" s="674">
        <v>0</v>
      </c>
      <c r="J94" s="40">
        <v>0</v>
      </c>
      <c r="K94" s="52">
        <v>0</v>
      </c>
      <c r="L94" s="674">
        <v>0</v>
      </c>
      <c r="M94" s="40">
        <v>0</v>
      </c>
      <c r="N94" s="52">
        <v>0</v>
      </c>
      <c r="O94" s="674">
        <v>0</v>
      </c>
      <c r="P94" s="40">
        <v>0</v>
      </c>
      <c r="Q94" s="52">
        <v>0</v>
      </c>
      <c r="R94" s="674">
        <v>0</v>
      </c>
      <c r="S94" s="40">
        <v>0</v>
      </c>
      <c r="T94" s="52">
        <v>0</v>
      </c>
      <c r="U94" s="674">
        <v>0</v>
      </c>
      <c r="V94" s="40">
        <v>0</v>
      </c>
      <c r="W94" s="52">
        <v>0</v>
      </c>
      <c r="X94" s="674">
        <v>0</v>
      </c>
      <c r="Y94" s="40">
        <v>0</v>
      </c>
      <c r="Z94" s="52">
        <v>0</v>
      </c>
      <c r="AA94" s="674">
        <v>28.428000000000004</v>
      </c>
      <c r="AB94" s="40">
        <v>0</v>
      </c>
      <c r="AC94" s="52">
        <v>-28.428000000000004</v>
      </c>
      <c r="AD94" s="674">
        <v>227.54519000635244</v>
      </c>
      <c r="AE94" s="40">
        <v>1043.4860844220623</v>
      </c>
      <c r="AF94" s="35">
        <v>815.94089441570986</v>
      </c>
      <c r="AG94" s="77">
        <v>255.97319000635244</v>
      </c>
      <c r="AH94" s="53">
        <v>1043.4860844220623</v>
      </c>
      <c r="AI94" s="52">
        <v>787.51289441570987</v>
      </c>
      <c r="AJ94" s="674">
        <v>0</v>
      </c>
      <c r="AK94" s="40">
        <v>0</v>
      </c>
      <c r="AL94" s="52">
        <v>0</v>
      </c>
      <c r="AM94" s="674">
        <v>0</v>
      </c>
      <c r="AN94" s="40">
        <v>0</v>
      </c>
      <c r="AO94" s="52">
        <v>0</v>
      </c>
      <c r="AP94" s="674">
        <v>584.58853841065422</v>
      </c>
      <c r="AQ94" s="40">
        <v>486.16154083240122</v>
      </c>
      <c r="AR94" s="52">
        <v>-98.426997578253008</v>
      </c>
      <c r="AS94" s="674">
        <v>3302.4547197721249</v>
      </c>
      <c r="AT94" s="40">
        <v>13968.28</v>
      </c>
      <c r="AU94" s="54">
        <v>10665.825280227877</v>
      </c>
      <c r="AV94" s="674">
        <v>0</v>
      </c>
      <c r="AW94" s="40">
        <v>0</v>
      </c>
      <c r="AX94" s="55">
        <v>0</v>
      </c>
      <c r="AY94" s="674">
        <v>0</v>
      </c>
      <c r="AZ94" s="40">
        <v>0</v>
      </c>
      <c r="BA94" s="35">
        <v>0</v>
      </c>
      <c r="BB94" s="674">
        <v>0</v>
      </c>
      <c r="BC94" s="40">
        <v>0</v>
      </c>
      <c r="BD94" s="55">
        <v>0</v>
      </c>
      <c r="BE94" s="674">
        <v>0</v>
      </c>
      <c r="BF94" s="40">
        <v>0</v>
      </c>
      <c r="BG94" s="38">
        <v>0</v>
      </c>
      <c r="BH94" s="674">
        <v>0</v>
      </c>
      <c r="BI94" s="40">
        <v>0</v>
      </c>
      <c r="BJ94" s="55">
        <v>0</v>
      </c>
      <c r="BK94" s="674">
        <v>0</v>
      </c>
      <c r="BL94" s="40">
        <v>0</v>
      </c>
      <c r="BM94" s="38">
        <v>0</v>
      </c>
      <c r="BN94" s="674">
        <v>8.4904860561177244</v>
      </c>
      <c r="BO94" s="40">
        <v>0</v>
      </c>
      <c r="BP94" s="55">
        <v>-8.4904860561177244</v>
      </c>
      <c r="BQ94" s="77">
        <v>8.4904860561177244</v>
      </c>
      <c r="BR94" s="40">
        <v>0</v>
      </c>
      <c r="BS94" s="55">
        <v>-8.4904860561177244</v>
      </c>
      <c r="BT94" s="674">
        <v>233.28835485342569</v>
      </c>
      <c r="BU94" s="40">
        <v>306.87826329908347</v>
      </c>
      <c r="BV94" s="52">
        <v>73.589908445657784</v>
      </c>
      <c r="BW94" s="674">
        <v>0</v>
      </c>
      <c r="BX94" s="40">
        <v>5.5865845370962308</v>
      </c>
      <c r="BY94" s="52">
        <v>5.5865845370962308</v>
      </c>
      <c r="BZ94" s="674">
        <v>0</v>
      </c>
      <c r="CA94" s="40">
        <v>103.90990164822236</v>
      </c>
      <c r="CB94" s="52">
        <v>103.90990164822236</v>
      </c>
      <c r="CC94" s="674">
        <v>0</v>
      </c>
      <c r="CD94" s="40">
        <v>0</v>
      </c>
      <c r="CE94" s="52">
        <v>0</v>
      </c>
      <c r="CF94" s="674">
        <v>0</v>
      </c>
      <c r="CG94" s="40">
        <v>0</v>
      </c>
      <c r="CH94" s="52">
        <v>0</v>
      </c>
      <c r="CI94" s="674">
        <v>0</v>
      </c>
      <c r="CJ94" s="40">
        <v>0</v>
      </c>
      <c r="CK94" s="52">
        <v>0</v>
      </c>
      <c r="CL94" s="674">
        <v>0</v>
      </c>
      <c r="CM94" s="40">
        <v>0</v>
      </c>
      <c r="CN94" s="52">
        <v>0</v>
      </c>
      <c r="CO94" s="39">
        <v>0</v>
      </c>
      <c r="CP94" s="40">
        <v>0</v>
      </c>
      <c r="CQ94" s="52">
        <v>0</v>
      </c>
      <c r="CR94" s="72">
        <v>4384.7952890986744</v>
      </c>
      <c r="CS94" s="5">
        <v>15914.302374738867</v>
      </c>
      <c r="CT94" s="52">
        <v>11529.507085640193</v>
      </c>
      <c r="CU94" s="77">
        <v>5261.7543469184093</v>
      </c>
      <c r="CV94" s="65">
        <v>19097.16284968664</v>
      </c>
      <c r="CW94" s="35">
        <v>13835.40850276823</v>
      </c>
      <c r="CX94" s="73">
        <v>116.06272462026071</v>
      </c>
      <c r="CY94" s="40">
        <v>-13719.345778147963</v>
      </c>
      <c r="CZ94" s="52">
        <v>-13835.408502768223</v>
      </c>
      <c r="DA94" s="150">
        <v>14610.167443471915</v>
      </c>
      <c r="DB94" s="2">
        <v>1</v>
      </c>
      <c r="DC94" s="675">
        <v>2236.4499999999998</v>
      </c>
      <c r="DD94" s="675">
        <v>0</v>
      </c>
      <c r="DE94" s="675">
        <v>1761.3046629445598</v>
      </c>
      <c r="DF94" s="675">
        <v>0</v>
      </c>
      <c r="DG94" s="321">
        <v>774.75894070368849</v>
      </c>
      <c r="DH94" s="40">
        <v>5377.4216182055188</v>
      </c>
      <c r="DI94" s="422">
        <v>475.14533705544</v>
      </c>
      <c r="DJ94" s="306">
        <v>1.9346308512029315</v>
      </c>
      <c r="DK94" s="306">
        <v>1.9346308512029315</v>
      </c>
      <c r="DL94" s="306">
        <v>1.9346308512029315</v>
      </c>
      <c r="DM94" s="28">
        <v>475.14533705544</v>
      </c>
      <c r="DN94" s="28">
        <v>0</v>
      </c>
      <c r="DO94" s="423">
        <v>475.14533705544</v>
      </c>
      <c r="DP94" s="94">
        <v>0</v>
      </c>
      <c r="DQ94" s="28">
        <v>475.14533705544</v>
      </c>
      <c r="DR94" s="318"/>
      <c r="DT94" s="8"/>
      <c r="DU94" s="5"/>
      <c r="DX94" s="5">
        <v>3973.1342469938909</v>
      </c>
      <c r="DY94" s="5">
        <v>16761.936000000002</v>
      </c>
      <c r="DZ94" s="159">
        <v>375.46222401514075</v>
      </c>
      <c r="EB94" s="676">
        <v>99.310819732731488</v>
      </c>
      <c r="EC94" s="676">
        <v>-217.47575346828728</v>
      </c>
      <c r="ED94" s="676">
        <v>-213.02878143522534</v>
      </c>
      <c r="EE94" s="676">
        <v>-394.25812854015669</v>
      </c>
      <c r="EF94" s="676">
        <v>-322.88183786545017</v>
      </c>
      <c r="EG94" s="676">
        <v>16433.150658436087</v>
      </c>
      <c r="EH94" s="676">
        <v>-40.310322733422083</v>
      </c>
      <c r="EI94" s="676">
        <v>-286.03237697511111</v>
      </c>
      <c r="EJ94" s="676">
        <v>-325.47621381911188</v>
      </c>
      <c r="EK94" s="676">
        <v>-273.2902422052606</v>
      </c>
      <c r="EL94" s="676">
        <v>-307.36914198212321</v>
      </c>
      <c r="EM94" s="676">
        <v>-316.93017637644402</v>
      </c>
      <c r="EN94" s="676">
        <v>13835.408502768227</v>
      </c>
      <c r="EQ94" s="5">
        <v>3973.1342469938909</v>
      </c>
      <c r="ER94" s="5">
        <v>16761.936000000002</v>
      </c>
      <c r="ET94" s="318">
        <v>3647.5859891862092</v>
      </c>
      <c r="EU94" s="5">
        <v>-1067.3482899942571</v>
      </c>
    </row>
    <row r="95" spans="1:151" x14ac:dyDescent="0.3">
      <c r="A95" s="325">
        <v>150000562</v>
      </c>
      <c r="B95" s="41" t="s">
        <v>544</v>
      </c>
      <c r="C95" s="42" t="s">
        <v>74</v>
      </c>
      <c r="D95" s="27">
        <v>1</v>
      </c>
      <c r="E95" s="293">
        <v>325.08</v>
      </c>
      <c r="F95" s="305">
        <v>266.68</v>
      </c>
      <c r="G95" s="508">
        <v>0</v>
      </c>
      <c r="H95" s="677">
        <v>58.4</v>
      </c>
      <c r="I95" s="674">
        <v>0</v>
      </c>
      <c r="J95" s="40">
        <v>0</v>
      </c>
      <c r="K95" s="52">
        <v>0</v>
      </c>
      <c r="L95" s="674">
        <v>0</v>
      </c>
      <c r="M95" s="40">
        <v>0</v>
      </c>
      <c r="N95" s="52">
        <v>0</v>
      </c>
      <c r="O95" s="674">
        <v>0</v>
      </c>
      <c r="P95" s="40">
        <v>0</v>
      </c>
      <c r="Q95" s="52">
        <v>0</v>
      </c>
      <c r="R95" s="674">
        <v>0</v>
      </c>
      <c r="S95" s="40">
        <v>0</v>
      </c>
      <c r="T95" s="52">
        <v>0</v>
      </c>
      <c r="U95" s="674">
        <v>0</v>
      </c>
      <c r="V95" s="40">
        <v>0</v>
      </c>
      <c r="W95" s="52">
        <v>0</v>
      </c>
      <c r="X95" s="674">
        <v>0</v>
      </c>
      <c r="Y95" s="40">
        <v>0</v>
      </c>
      <c r="Z95" s="52">
        <v>0</v>
      </c>
      <c r="AA95" s="674">
        <v>29.602799999999998</v>
      </c>
      <c r="AB95" s="40">
        <v>0</v>
      </c>
      <c r="AC95" s="52">
        <v>-29.602799999999998</v>
      </c>
      <c r="AD95" s="674">
        <v>236.95362407366946</v>
      </c>
      <c r="AE95" s="40">
        <v>1186.7809822268653</v>
      </c>
      <c r="AF95" s="35">
        <v>949.82735815319575</v>
      </c>
      <c r="AG95" s="77">
        <v>266.55642407366946</v>
      </c>
      <c r="AH95" s="53">
        <v>1186.7809822268653</v>
      </c>
      <c r="AI95" s="52">
        <v>920.22455815319586</v>
      </c>
      <c r="AJ95" s="674">
        <v>0</v>
      </c>
      <c r="AK95" s="40">
        <v>0</v>
      </c>
      <c r="AL95" s="52">
        <v>0</v>
      </c>
      <c r="AM95" s="674">
        <v>0</v>
      </c>
      <c r="AN95" s="40">
        <v>0</v>
      </c>
      <c r="AO95" s="52">
        <v>0</v>
      </c>
      <c r="AP95" s="674">
        <v>630.30110210143471</v>
      </c>
      <c r="AQ95" s="40">
        <v>635.74970724237073</v>
      </c>
      <c r="AR95" s="52">
        <v>5.4486051409360243</v>
      </c>
      <c r="AS95" s="674">
        <v>2651.2887836479717</v>
      </c>
      <c r="AT95" s="40">
        <v>0</v>
      </c>
      <c r="AU95" s="54">
        <v>-2651.2887836479717</v>
      </c>
      <c r="AV95" s="674">
        <v>0</v>
      </c>
      <c r="AW95" s="40">
        <v>0</v>
      </c>
      <c r="AX95" s="55">
        <v>0</v>
      </c>
      <c r="AY95" s="674">
        <v>0</v>
      </c>
      <c r="AZ95" s="40">
        <v>0</v>
      </c>
      <c r="BA95" s="35">
        <v>0</v>
      </c>
      <c r="BB95" s="674">
        <v>0</v>
      </c>
      <c r="BC95" s="40">
        <v>0</v>
      </c>
      <c r="BD95" s="55">
        <v>0</v>
      </c>
      <c r="BE95" s="674">
        <v>0</v>
      </c>
      <c r="BF95" s="40">
        <v>0</v>
      </c>
      <c r="BG95" s="38">
        <v>0</v>
      </c>
      <c r="BH95" s="674">
        <v>0</v>
      </c>
      <c r="BI95" s="40">
        <v>0</v>
      </c>
      <c r="BJ95" s="55">
        <v>0</v>
      </c>
      <c r="BK95" s="674">
        <v>0</v>
      </c>
      <c r="BL95" s="40">
        <v>0</v>
      </c>
      <c r="BM95" s="38">
        <v>0</v>
      </c>
      <c r="BN95" s="674">
        <v>11.961388531079258</v>
      </c>
      <c r="BO95" s="40">
        <v>0</v>
      </c>
      <c r="BP95" s="55">
        <v>-11.961388531079258</v>
      </c>
      <c r="BQ95" s="77">
        <v>11.961388531079258</v>
      </c>
      <c r="BR95" s="40">
        <v>0</v>
      </c>
      <c r="BS95" s="55">
        <v>-11.961388531079258</v>
      </c>
      <c r="BT95" s="674">
        <v>642.04145523763316</v>
      </c>
      <c r="BU95" s="40">
        <v>996.15163772117887</v>
      </c>
      <c r="BV95" s="52">
        <v>354.11018248354571</v>
      </c>
      <c r="BW95" s="674">
        <v>0</v>
      </c>
      <c r="BX95" s="40">
        <v>6.078595853421553</v>
      </c>
      <c r="BY95" s="52">
        <v>6.078595853421553</v>
      </c>
      <c r="BZ95" s="674">
        <v>0</v>
      </c>
      <c r="CA95" s="40">
        <v>60.742393028675309</v>
      </c>
      <c r="CB95" s="52">
        <v>60.742393028675309</v>
      </c>
      <c r="CC95" s="674">
        <v>0</v>
      </c>
      <c r="CD95" s="40">
        <v>0</v>
      </c>
      <c r="CE95" s="52">
        <v>0</v>
      </c>
      <c r="CF95" s="674">
        <v>0</v>
      </c>
      <c r="CG95" s="40">
        <v>0</v>
      </c>
      <c r="CH95" s="52">
        <v>0</v>
      </c>
      <c r="CI95" s="674">
        <v>0</v>
      </c>
      <c r="CJ95" s="40">
        <v>0</v>
      </c>
      <c r="CK95" s="52">
        <v>0</v>
      </c>
      <c r="CL95" s="674">
        <v>0</v>
      </c>
      <c r="CM95" s="40">
        <v>0</v>
      </c>
      <c r="CN95" s="52">
        <v>0</v>
      </c>
      <c r="CO95" s="39">
        <v>0</v>
      </c>
      <c r="CP95" s="40">
        <v>0</v>
      </c>
      <c r="CQ95" s="52">
        <v>0</v>
      </c>
      <c r="CR95" s="72">
        <v>4202.1491535917885</v>
      </c>
      <c r="CS95" s="5">
        <v>2885.503316072512</v>
      </c>
      <c r="CT95" s="52">
        <v>-1316.6458375192765</v>
      </c>
      <c r="CU95" s="77">
        <v>5042.5789843101456</v>
      </c>
      <c r="CV95" s="65">
        <v>3462.6039792870142</v>
      </c>
      <c r="CW95" s="35">
        <v>-1579.9750050231314</v>
      </c>
      <c r="CX95" s="73">
        <v>111.47942992710924</v>
      </c>
      <c r="CY95" s="40">
        <v>1691.4544349502405</v>
      </c>
      <c r="CZ95" s="52">
        <v>1579.9750050231312</v>
      </c>
      <c r="DA95" s="150">
        <v>-4827.5076246538865</v>
      </c>
      <c r="DB95" s="2">
        <v>1</v>
      </c>
      <c r="DC95" s="675">
        <v>2368.0500000000002</v>
      </c>
      <c r="DD95" s="675">
        <v>104.99</v>
      </c>
      <c r="DE95" s="675">
        <v>2368.0500000000002</v>
      </c>
      <c r="DF95" s="675">
        <v>104.99</v>
      </c>
      <c r="DG95" s="321">
        <v>-3247.5326196307551</v>
      </c>
      <c r="DH95" s="40">
        <v>6322.5282674079835</v>
      </c>
      <c r="DI95" s="422">
        <v>584.4257547020278</v>
      </c>
      <c r="DJ95" s="306">
        <v>1.7977905583303428</v>
      </c>
      <c r="DK95" s="306">
        <v>1.7977905583303428</v>
      </c>
      <c r="DL95" s="306">
        <v>1.7977905583303428</v>
      </c>
      <c r="DM95" s="28">
        <v>479.43478609553586</v>
      </c>
      <c r="DN95" s="28">
        <v>83.86</v>
      </c>
      <c r="DO95" s="423">
        <v>563.29478609553587</v>
      </c>
      <c r="DP95" s="94">
        <v>21.130968606491933</v>
      </c>
      <c r="DQ95" s="28">
        <v>563.29478609553587</v>
      </c>
      <c r="DR95" s="318"/>
      <c r="DT95" s="8"/>
      <c r="DU95" s="5"/>
      <c r="DX95" s="5">
        <v>3195.900206614861</v>
      </c>
      <c r="DY95" s="5">
        <v>0</v>
      </c>
      <c r="DZ95" s="159">
        <v>385.22817177342858</v>
      </c>
      <c r="EB95" s="676">
        <v>252.12220175809136</v>
      </c>
      <c r="EC95" s="676">
        <v>-162.53973720442565</v>
      </c>
      <c r="ED95" s="676">
        <v>-156.65365549226044</v>
      </c>
      <c r="EE95" s="676">
        <v>-478.01958046668562</v>
      </c>
      <c r="EF95" s="676">
        <v>-253.69181372900226</v>
      </c>
      <c r="EG95" s="676">
        <v>-263.63748482563466</v>
      </c>
      <c r="EH95" s="676">
        <v>113.64845491533936</v>
      </c>
      <c r="EI95" s="676">
        <v>-201.96669487162995</v>
      </c>
      <c r="EJ95" s="676">
        <v>-254.01195636667484</v>
      </c>
      <c r="EK95" s="676">
        <v>-175.22473874024894</v>
      </c>
      <c r="EL95" s="676">
        <v>0</v>
      </c>
      <c r="EM95" s="676">
        <v>0</v>
      </c>
      <c r="EN95" s="676">
        <v>-1579.9750050231316</v>
      </c>
      <c r="EQ95" s="5">
        <v>3195.900206614861</v>
      </c>
      <c r="ER95" s="5">
        <v>0</v>
      </c>
      <c r="ET95" s="318">
        <v>-1923.6208840441457</v>
      </c>
      <c r="EU95" s="5">
        <v>1149.6517123388908</v>
      </c>
    </row>
    <row r="96" spans="1:151" x14ac:dyDescent="0.3">
      <c r="A96" s="325">
        <v>150000570</v>
      </c>
      <c r="B96" s="41" t="s">
        <v>545</v>
      </c>
      <c r="C96" s="42" t="s">
        <v>75</v>
      </c>
      <c r="D96" s="27">
        <v>1</v>
      </c>
      <c r="E96" s="293">
        <v>282.8</v>
      </c>
      <c r="F96" s="305">
        <v>282.8</v>
      </c>
      <c r="G96" s="508">
        <v>0</v>
      </c>
      <c r="H96" s="677">
        <v>0</v>
      </c>
      <c r="I96" s="674">
        <v>0</v>
      </c>
      <c r="J96" s="40">
        <v>0</v>
      </c>
      <c r="K96" s="52">
        <v>0</v>
      </c>
      <c r="L96" s="674">
        <v>0</v>
      </c>
      <c r="M96" s="40">
        <v>0</v>
      </c>
      <c r="N96" s="52">
        <v>0</v>
      </c>
      <c r="O96" s="674">
        <v>0</v>
      </c>
      <c r="P96" s="40">
        <v>0</v>
      </c>
      <c r="Q96" s="52">
        <v>0</v>
      </c>
      <c r="R96" s="674">
        <v>0</v>
      </c>
      <c r="S96" s="40">
        <v>0</v>
      </c>
      <c r="T96" s="52">
        <v>0</v>
      </c>
      <c r="U96" s="674">
        <v>0</v>
      </c>
      <c r="V96" s="40">
        <v>0</v>
      </c>
      <c r="W96" s="52">
        <v>0</v>
      </c>
      <c r="X96" s="674">
        <v>0</v>
      </c>
      <c r="Y96" s="40">
        <v>0</v>
      </c>
      <c r="Z96" s="52">
        <v>0</v>
      </c>
      <c r="AA96" s="674">
        <v>29.1</v>
      </c>
      <c r="AB96" s="40">
        <v>0</v>
      </c>
      <c r="AC96" s="52">
        <v>-29.1</v>
      </c>
      <c r="AD96" s="674">
        <v>232.97562795032977</v>
      </c>
      <c r="AE96" s="40">
        <v>1201.5385369485311</v>
      </c>
      <c r="AF96" s="35">
        <v>968.56290899820135</v>
      </c>
      <c r="AG96" s="77">
        <v>262.07562795032976</v>
      </c>
      <c r="AH96" s="53">
        <v>1201.5385369485311</v>
      </c>
      <c r="AI96" s="52">
        <v>939.46290899820133</v>
      </c>
      <c r="AJ96" s="674">
        <v>0</v>
      </c>
      <c r="AK96" s="40">
        <v>0</v>
      </c>
      <c r="AL96" s="52">
        <v>0</v>
      </c>
      <c r="AM96" s="674">
        <v>0</v>
      </c>
      <c r="AN96" s="40">
        <v>0</v>
      </c>
      <c r="AO96" s="52">
        <v>0</v>
      </c>
      <c r="AP96" s="674">
        <v>449.6834910851187</v>
      </c>
      <c r="AQ96" s="40">
        <v>373.97041602492402</v>
      </c>
      <c r="AR96" s="52">
        <v>-75.713075060194683</v>
      </c>
      <c r="AS96" s="674">
        <v>2545.3216622269269</v>
      </c>
      <c r="AT96" s="40">
        <v>0</v>
      </c>
      <c r="AU96" s="54">
        <v>-2545.3216622269269</v>
      </c>
      <c r="AV96" s="674">
        <v>0</v>
      </c>
      <c r="AW96" s="40">
        <v>0</v>
      </c>
      <c r="AX96" s="55">
        <v>0</v>
      </c>
      <c r="AY96" s="674">
        <v>0</v>
      </c>
      <c r="AZ96" s="40">
        <v>0</v>
      </c>
      <c r="BA96" s="35">
        <v>0</v>
      </c>
      <c r="BB96" s="674">
        <v>0</v>
      </c>
      <c r="BC96" s="40">
        <v>0</v>
      </c>
      <c r="BD96" s="55">
        <v>0</v>
      </c>
      <c r="BE96" s="674">
        <v>0</v>
      </c>
      <c r="BF96" s="40">
        <v>0</v>
      </c>
      <c r="BG96" s="38">
        <v>0</v>
      </c>
      <c r="BH96" s="674">
        <v>0</v>
      </c>
      <c r="BI96" s="40">
        <v>0</v>
      </c>
      <c r="BJ96" s="55">
        <v>0</v>
      </c>
      <c r="BK96" s="674">
        <v>0</v>
      </c>
      <c r="BL96" s="40">
        <v>0</v>
      </c>
      <c r="BM96" s="38">
        <v>0</v>
      </c>
      <c r="BN96" s="674">
        <v>10.102825676225185</v>
      </c>
      <c r="BO96" s="40">
        <v>0</v>
      </c>
      <c r="BP96" s="55">
        <v>-10.102825676225185</v>
      </c>
      <c r="BQ96" s="77">
        <v>10.102825676225185</v>
      </c>
      <c r="BR96" s="40">
        <v>0</v>
      </c>
      <c r="BS96" s="55">
        <v>-10.102825676225185</v>
      </c>
      <c r="BT96" s="674">
        <v>933.15341941370275</v>
      </c>
      <c r="BU96" s="40">
        <v>1227.4708230541835</v>
      </c>
      <c r="BV96" s="52">
        <v>294.31740364048073</v>
      </c>
      <c r="BW96" s="674">
        <v>0</v>
      </c>
      <c r="BX96" s="40">
        <v>6.4327610223567353</v>
      </c>
      <c r="BY96" s="52">
        <v>6.4327610223567353</v>
      </c>
      <c r="BZ96" s="674">
        <v>0</v>
      </c>
      <c r="CA96" s="40">
        <v>415.73506586852312</v>
      </c>
      <c r="CB96" s="52">
        <v>415.73506586852312</v>
      </c>
      <c r="CC96" s="674">
        <v>0</v>
      </c>
      <c r="CD96" s="40">
        <v>0</v>
      </c>
      <c r="CE96" s="52">
        <v>0</v>
      </c>
      <c r="CF96" s="674">
        <v>0</v>
      </c>
      <c r="CG96" s="40">
        <v>0</v>
      </c>
      <c r="CH96" s="52">
        <v>0</v>
      </c>
      <c r="CI96" s="674">
        <v>0</v>
      </c>
      <c r="CJ96" s="40">
        <v>0</v>
      </c>
      <c r="CK96" s="52">
        <v>0</v>
      </c>
      <c r="CL96" s="674">
        <v>0</v>
      </c>
      <c r="CM96" s="40">
        <v>0</v>
      </c>
      <c r="CN96" s="52">
        <v>0</v>
      </c>
      <c r="CO96" s="39">
        <v>0</v>
      </c>
      <c r="CP96" s="40">
        <v>0</v>
      </c>
      <c r="CQ96" s="52">
        <v>0</v>
      </c>
      <c r="CR96" s="72">
        <v>4200.3370263523029</v>
      </c>
      <c r="CS96" s="5">
        <v>3225.1476029185187</v>
      </c>
      <c r="CT96" s="52">
        <v>-975.18942343378421</v>
      </c>
      <c r="CU96" s="77">
        <v>5040.4044316227637</v>
      </c>
      <c r="CV96" s="65">
        <v>3870.1771235022225</v>
      </c>
      <c r="CW96" s="35">
        <v>-1170.2273081205412</v>
      </c>
      <c r="CX96" s="73">
        <v>149.53615776956468</v>
      </c>
      <c r="CY96" s="40">
        <v>1319.7634658901075</v>
      </c>
      <c r="CZ96" s="52">
        <v>1170.2273081205428</v>
      </c>
      <c r="DA96" s="150">
        <v>-7377.5090791715511</v>
      </c>
      <c r="DB96" s="2">
        <v>1</v>
      </c>
      <c r="DC96" s="675">
        <v>604.66</v>
      </c>
      <c r="DD96" s="675">
        <v>0</v>
      </c>
      <c r="DE96" s="675">
        <v>136.04318335501853</v>
      </c>
      <c r="DF96" s="675">
        <v>0</v>
      </c>
      <c r="DG96" s="321">
        <v>-6207.2817710510089</v>
      </c>
      <c r="DH96" s="40">
        <v>5189.5914914252326</v>
      </c>
      <c r="DI96" s="422">
        <v>468.61681664498144</v>
      </c>
      <c r="DJ96" s="306">
        <v>1.6570608792255355</v>
      </c>
      <c r="DK96" s="306">
        <v>1.6570608792255355</v>
      </c>
      <c r="DL96" s="306">
        <v>1.6570608792255355</v>
      </c>
      <c r="DM96" s="28">
        <v>468.61681664498144</v>
      </c>
      <c r="DN96" s="28">
        <v>0</v>
      </c>
      <c r="DO96" s="423">
        <v>468.61681664498144</v>
      </c>
      <c r="DP96" s="94">
        <v>0</v>
      </c>
      <c r="DQ96" s="28">
        <v>468.61681664498144</v>
      </c>
      <c r="DR96" s="318"/>
      <c r="DT96" s="8"/>
      <c r="DU96" s="5"/>
      <c r="DX96" s="5">
        <v>3066.5093854837824</v>
      </c>
      <c r="DY96" s="5">
        <v>0</v>
      </c>
      <c r="DZ96" s="159">
        <v>285.41580012371622</v>
      </c>
      <c r="EB96" s="676">
        <v>96.848544756835622</v>
      </c>
      <c r="EC96" s="676">
        <v>-156.49711123273414</v>
      </c>
      <c r="ED96" s="676">
        <v>-151.37657503179796</v>
      </c>
      <c r="EE96" s="676">
        <v>-372.13370681534906</v>
      </c>
      <c r="EF96" s="676">
        <v>-122.95258209630038</v>
      </c>
      <c r="EG96" s="676">
        <v>-132.49167884110989</v>
      </c>
      <c r="EH96" s="676">
        <v>88.240538883059173</v>
      </c>
      <c r="EI96" s="676">
        <v>-76.727157340842609</v>
      </c>
      <c r="EJ96" s="676">
        <v>-121.93548495234114</v>
      </c>
      <c r="EK96" s="676">
        <v>-49.343704907664915</v>
      </c>
      <c r="EL96" s="676">
        <v>-95.181495481233355</v>
      </c>
      <c r="EM96" s="676">
        <v>-76.67689506106376</v>
      </c>
      <c r="EN96" s="676">
        <v>-1170.2273081205424</v>
      </c>
      <c r="EQ96" s="5">
        <v>3066.5093854837824</v>
      </c>
      <c r="ER96" s="5">
        <v>0</v>
      </c>
      <c r="ET96" s="318">
        <v>-1859.1570024641053</v>
      </c>
      <c r="EU96" s="5">
        <v>-1347.2803015746122</v>
      </c>
    </row>
    <row r="97" spans="1:151" x14ac:dyDescent="0.3">
      <c r="A97" s="325">
        <v>150000572</v>
      </c>
      <c r="B97" s="41" t="s">
        <v>546</v>
      </c>
      <c r="C97" s="42" t="s">
        <v>153</v>
      </c>
      <c r="D97" s="27">
        <v>2</v>
      </c>
      <c r="E97" s="293">
        <v>171.6</v>
      </c>
      <c r="F97" s="305">
        <v>171.6</v>
      </c>
      <c r="G97" s="508">
        <v>0</v>
      </c>
      <c r="H97" s="677">
        <v>0</v>
      </c>
      <c r="I97" s="674">
        <v>1036.785085073501</v>
      </c>
      <c r="J97" s="40">
        <v>836.59013763751716</v>
      </c>
      <c r="K97" s="52">
        <v>-200.19494743598386</v>
      </c>
      <c r="L97" s="674">
        <v>199.26123088503712</v>
      </c>
      <c r="M97" s="40">
        <v>158.84195990137823</v>
      </c>
      <c r="N97" s="52">
        <v>-40.41927098365889</v>
      </c>
      <c r="O97" s="674">
        <v>0</v>
      </c>
      <c r="P97" s="40">
        <v>0</v>
      </c>
      <c r="Q97" s="52">
        <v>0</v>
      </c>
      <c r="R97" s="674">
        <v>0</v>
      </c>
      <c r="S97" s="40">
        <v>0</v>
      </c>
      <c r="T97" s="52">
        <v>0</v>
      </c>
      <c r="U97" s="674">
        <v>0</v>
      </c>
      <c r="V97" s="40">
        <v>0</v>
      </c>
      <c r="W97" s="52">
        <v>0</v>
      </c>
      <c r="X97" s="674">
        <v>26.610091000783807</v>
      </c>
      <c r="Y97" s="40">
        <v>21.622010343276525</v>
      </c>
      <c r="Z97" s="52">
        <v>-4.9880806575072825</v>
      </c>
      <c r="AA97" s="674">
        <v>20.591999999999999</v>
      </c>
      <c r="AB97" s="40">
        <v>0</v>
      </c>
      <c r="AC97" s="52">
        <v>-20.591999999999999</v>
      </c>
      <c r="AD97" s="674">
        <v>715.12354456182754</v>
      </c>
      <c r="AE97" s="40">
        <v>729.08066810596858</v>
      </c>
      <c r="AF97" s="35">
        <v>13.957123544141041</v>
      </c>
      <c r="AG97" s="77">
        <v>1998.3719515211496</v>
      </c>
      <c r="AH97" s="53">
        <v>1746.1347759881405</v>
      </c>
      <c r="AI97" s="52">
        <v>-252.23717553300912</v>
      </c>
      <c r="AJ97" s="674">
        <v>0</v>
      </c>
      <c r="AK97" s="40">
        <v>0</v>
      </c>
      <c r="AL97" s="52">
        <v>0</v>
      </c>
      <c r="AM97" s="674">
        <v>0</v>
      </c>
      <c r="AN97" s="40">
        <v>0</v>
      </c>
      <c r="AO97" s="52">
        <v>0</v>
      </c>
      <c r="AP97" s="674">
        <v>449.6834910851187</v>
      </c>
      <c r="AQ97" s="40">
        <v>373.97041602492402</v>
      </c>
      <c r="AR97" s="52">
        <v>-75.713075060194683</v>
      </c>
      <c r="AS97" s="674">
        <v>2796.8763804514069</v>
      </c>
      <c r="AT97" s="40">
        <v>0</v>
      </c>
      <c r="AU97" s="54">
        <v>-2796.8763804514069</v>
      </c>
      <c r="AV97" s="674">
        <v>274.02798070673418</v>
      </c>
      <c r="AW97" s="40">
        <v>0</v>
      </c>
      <c r="AX97" s="55">
        <v>-274.02798070673418</v>
      </c>
      <c r="AY97" s="674">
        <v>326.71101428095028</v>
      </c>
      <c r="AZ97" s="40">
        <v>0</v>
      </c>
      <c r="BA97" s="35">
        <v>-326.71101428095028</v>
      </c>
      <c r="BB97" s="674">
        <v>0</v>
      </c>
      <c r="BC97" s="40">
        <v>0</v>
      </c>
      <c r="BD97" s="55">
        <v>0</v>
      </c>
      <c r="BE97" s="674">
        <v>0</v>
      </c>
      <c r="BF97" s="40">
        <v>0</v>
      </c>
      <c r="BG97" s="38">
        <v>0</v>
      </c>
      <c r="BH97" s="674">
        <v>0</v>
      </c>
      <c r="BI97" s="40">
        <v>0</v>
      </c>
      <c r="BJ97" s="55">
        <v>0</v>
      </c>
      <c r="BK97" s="674">
        <v>0</v>
      </c>
      <c r="BL97" s="40">
        <v>0</v>
      </c>
      <c r="BM97" s="38">
        <v>0</v>
      </c>
      <c r="BN97" s="674">
        <v>54.925521711010575</v>
      </c>
      <c r="BO97" s="40">
        <v>0</v>
      </c>
      <c r="BP97" s="55">
        <v>-54.925521711010575</v>
      </c>
      <c r="BQ97" s="77">
        <v>655.66451669869502</v>
      </c>
      <c r="BR97" s="40">
        <v>0</v>
      </c>
      <c r="BS97" s="55">
        <v>-655.66451669869502</v>
      </c>
      <c r="BT97" s="674">
        <v>71.781032262592504</v>
      </c>
      <c r="BU97" s="40">
        <v>94.457463692407075</v>
      </c>
      <c r="BV97" s="52">
        <v>22.676431429814571</v>
      </c>
      <c r="BW97" s="674">
        <v>106.49882086085913</v>
      </c>
      <c r="BX97" s="40">
        <v>934.12603565245308</v>
      </c>
      <c r="BY97" s="52">
        <v>827.62721479159393</v>
      </c>
      <c r="BZ97" s="674">
        <v>59.033977041330431</v>
      </c>
      <c r="CA97" s="40">
        <v>31.971215875145077</v>
      </c>
      <c r="CB97" s="52">
        <v>-27.062761166185354</v>
      </c>
      <c r="CC97" s="674">
        <v>0</v>
      </c>
      <c r="CD97" s="40">
        <v>0</v>
      </c>
      <c r="CE97" s="52">
        <v>0</v>
      </c>
      <c r="CF97" s="674">
        <v>0</v>
      </c>
      <c r="CG97" s="40">
        <v>0</v>
      </c>
      <c r="CH97" s="52">
        <v>0</v>
      </c>
      <c r="CI97" s="674">
        <v>1.4038143882894099E-3</v>
      </c>
      <c r="CJ97" s="40">
        <v>0</v>
      </c>
      <c r="CK97" s="52">
        <v>-1.4038143882894099E-3</v>
      </c>
      <c r="CL97" s="674">
        <v>0</v>
      </c>
      <c r="CM97" s="40">
        <v>0</v>
      </c>
      <c r="CN97" s="52">
        <v>0</v>
      </c>
      <c r="CO97" s="39">
        <v>1.4038143882894099E-3</v>
      </c>
      <c r="CP97" s="40">
        <v>0</v>
      </c>
      <c r="CQ97" s="52">
        <v>-1.4038143882894099E-3</v>
      </c>
      <c r="CR97" s="72">
        <v>6137.9115737355405</v>
      </c>
      <c r="CS97" s="5">
        <v>3180.6599072330696</v>
      </c>
      <c r="CT97" s="52">
        <v>-2957.2516665024709</v>
      </c>
      <c r="CU97" s="77">
        <v>7365.4938884826488</v>
      </c>
      <c r="CV97" s="65">
        <v>3816.7918886796833</v>
      </c>
      <c r="CW97" s="35">
        <v>-3548.7019998029655</v>
      </c>
      <c r="CX97" s="73">
        <v>222.81234227648403</v>
      </c>
      <c r="CY97" s="40">
        <v>3771.5143420794502</v>
      </c>
      <c r="CZ97" s="52">
        <v>3548.7019998029664</v>
      </c>
      <c r="DA97" s="150">
        <v>-15506.731189043738</v>
      </c>
      <c r="DB97" s="2">
        <v>1</v>
      </c>
      <c r="DC97" s="675">
        <v>6316.44</v>
      </c>
      <c r="DD97" s="675">
        <v>0</v>
      </c>
      <c r="DE97" s="675">
        <v>5650.9095776750637</v>
      </c>
      <c r="DF97" s="675">
        <v>0</v>
      </c>
      <c r="DG97" s="321">
        <v>-11958.029189240771</v>
      </c>
      <c r="DH97" s="40">
        <v>7587.7323407993572</v>
      </c>
      <c r="DI97" s="422">
        <v>665.53042232493578</v>
      </c>
      <c r="DJ97" s="306">
        <v>3.8783824144809778</v>
      </c>
      <c r="DK97" s="306">
        <v>3.8783824144809778</v>
      </c>
      <c r="DL97" s="306">
        <v>3.7935640062584599</v>
      </c>
      <c r="DM97" s="28">
        <v>665.53042232493578</v>
      </c>
      <c r="DN97" s="28">
        <v>0</v>
      </c>
      <c r="DO97" s="423">
        <v>665.53042232493578</v>
      </c>
      <c r="DP97" s="94">
        <v>0</v>
      </c>
      <c r="DQ97" s="28">
        <v>665.53042232493578</v>
      </c>
      <c r="DR97" s="318"/>
      <c r="DT97" s="8"/>
      <c r="DU97" s="5"/>
      <c r="DX97" s="5">
        <v>4143.0490765801223</v>
      </c>
      <c r="DY97" s="5">
        <v>0</v>
      </c>
      <c r="DZ97" s="159">
        <v>365.72365134599528</v>
      </c>
      <c r="EB97" s="676">
        <v>-20.596667437813949</v>
      </c>
      <c r="EC97" s="676">
        <v>-270.9659998001365</v>
      </c>
      <c r="ED97" s="676">
        <v>-299.04125538798439</v>
      </c>
      <c r="EE97" s="676">
        <v>-504.96141300847739</v>
      </c>
      <c r="EF97" s="676">
        <v>-486.48262109759361</v>
      </c>
      <c r="EG97" s="676">
        <v>-526.84898805281659</v>
      </c>
      <c r="EH97" s="676">
        <v>-281.32697855347021</v>
      </c>
      <c r="EI97" s="676">
        <v>-427.84705406659475</v>
      </c>
      <c r="EJ97" s="676">
        <v>469.23084830452638</v>
      </c>
      <c r="EK97" s="676">
        <v>-428.73564722697415</v>
      </c>
      <c r="EL97" s="676">
        <v>-451.71669343715018</v>
      </c>
      <c r="EM97" s="676">
        <v>-319.40953003847994</v>
      </c>
      <c r="EN97" s="676">
        <v>-3548.7019998029664</v>
      </c>
      <c r="EQ97" s="5">
        <v>4143.0490765801223</v>
      </c>
      <c r="ER97" s="5">
        <v>0</v>
      </c>
      <c r="ET97" s="318">
        <v>-2912.1943295403703</v>
      </c>
      <c r="EU97" s="5">
        <v>-2859.8348597003987</v>
      </c>
    </row>
    <row r="98" spans="1:151" x14ac:dyDescent="0.3">
      <c r="A98" s="325">
        <v>150000573</v>
      </c>
      <c r="B98" s="41" t="s">
        <v>547</v>
      </c>
      <c r="C98" s="42" t="s">
        <v>76</v>
      </c>
      <c r="D98" s="27">
        <v>1</v>
      </c>
      <c r="E98" s="293">
        <v>151.6</v>
      </c>
      <c r="F98" s="305">
        <v>151.6</v>
      </c>
      <c r="G98" s="508">
        <v>0</v>
      </c>
      <c r="H98" s="677">
        <v>0</v>
      </c>
      <c r="I98" s="674">
        <v>0</v>
      </c>
      <c r="J98" s="40">
        <v>0</v>
      </c>
      <c r="K98" s="52">
        <v>0</v>
      </c>
      <c r="L98" s="674">
        <v>0</v>
      </c>
      <c r="M98" s="40">
        <v>0</v>
      </c>
      <c r="N98" s="52">
        <v>0</v>
      </c>
      <c r="O98" s="674">
        <v>0</v>
      </c>
      <c r="P98" s="40">
        <v>0</v>
      </c>
      <c r="Q98" s="52">
        <v>0</v>
      </c>
      <c r="R98" s="674">
        <v>0</v>
      </c>
      <c r="S98" s="40">
        <v>0</v>
      </c>
      <c r="T98" s="52">
        <v>0</v>
      </c>
      <c r="U98" s="674">
        <v>0</v>
      </c>
      <c r="V98" s="40">
        <v>0</v>
      </c>
      <c r="W98" s="52">
        <v>0</v>
      </c>
      <c r="X98" s="674">
        <v>0</v>
      </c>
      <c r="Y98" s="40">
        <v>0</v>
      </c>
      <c r="Z98" s="52">
        <v>0</v>
      </c>
      <c r="AA98" s="674">
        <v>18.192</v>
      </c>
      <c r="AB98" s="40">
        <v>0</v>
      </c>
      <c r="AC98" s="52">
        <v>-18.192</v>
      </c>
      <c r="AD98" s="674">
        <v>145.64755092749337</v>
      </c>
      <c r="AE98" s="40">
        <v>644.10623126378107</v>
      </c>
      <c r="AF98" s="35">
        <v>498.45868033628767</v>
      </c>
      <c r="AG98" s="77">
        <v>163.83955092749338</v>
      </c>
      <c r="AH98" s="53">
        <v>644.10623126378107</v>
      </c>
      <c r="AI98" s="52">
        <v>480.26668033628766</v>
      </c>
      <c r="AJ98" s="674">
        <v>0</v>
      </c>
      <c r="AK98" s="40">
        <v>0</v>
      </c>
      <c r="AL98" s="52">
        <v>0</v>
      </c>
      <c r="AM98" s="674">
        <v>0</v>
      </c>
      <c r="AN98" s="40">
        <v>0</v>
      </c>
      <c r="AO98" s="52">
        <v>0</v>
      </c>
      <c r="AP98" s="674">
        <v>269.81009465107115</v>
      </c>
      <c r="AQ98" s="40">
        <v>224.38224961495439</v>
      </c>
      <c r="AR98" s="52">
        <v>-45.427845036116764</v>
      </c>
      <c r="AS98" s="674">
        <v>1409.2107798190468</v>
      </c>
      <c r="AT98" s="40">
        <v>0</v>
      </c>
      <c r="AU98" s="54">
        <v>-1409.2107798190468</v>
      </c>
      <c r="AV98" s="674">
        <v>0</v>
      </c>
      <c r="AW98" s="40">
        <v>0</v>
      </c>
      <c r="AX98" s="55">
        <v>0</v>
      </c>
      <c r="AY98" s="674">
        <v>0</v>
      </c>
      <c r="AZ98" s="40">
        <v>0</v>
      </c>
      <c r="BA98" s="35">
        <v>0</v>
      </c>
      <c r="BB98" s="674">
        <v>0</v>
      </c>
      <c r="BC98" s="40">
        <v>0</v>
      </c>
      <c r="BD98" s="55">
        <v>0</v>
      </c>
      <c r="BE98" s="674">
        <v>0</v>
      </c>
      <c r="BF98" s="40">
        <v>0</v>
      </c>
      <c r="BG98" s="38">
        <v>0</v>
      </c>
      <c r="BH98" s="674">
        <v>0</v>
      </c>
      <c r="BI98" s="40">
        <v>0</v>
      </c>
      <c r="BJ98" s="55">
        <v>0</v>
      </c>
      <c r="BK98" s="674">
        <v>0</v>
      </c>
      <c r="BL98" s="40">
        <v>0</v>
      </c>
      <c r="BM98" s="38">
        <v>0</v>
      </c>
      <c r="BN98" s="674">
        <v>6.0124325678582338</v>
      </c>
      <c r="BO98" s="40">
        <v>0</v>
      </c>
      <c r="BP98" s="55">
        <v>-6.0124325678582338</v>
      </c>
      <c r="BQ98" s="77">
        <v>6.0124325678582338</v>
      </c>
      <c r="BR98" s="40">
        <v>0</v>
      </c>
      <c r="BS98" s="55">
        <v>-6.0124325678582338</v>
      </c>
      <c r="BT98" s="674">
        <v>412.74093550990705</v>
      </c>
      <c r="BU98" s="40">
        <v>542.92879110371246</v>
      </c>
      <c r="BV98" s="52">
        <v>130.18785559380541</v>
      </c>
      <c r="BW98" s="674">
        <v>0</v>
      </c>
      <c r="BX98" s="40">
        <v>3.4483966442336662</v>
      </c>
      <c r="BY98" s="52">
        <v>3.4483966442336662</v>
      </c>
      <c r="BZ98" s="674">
        <v>0</v>
      </c>
      <c r="CA98" s="40">
        <v>183.86267773182357</v>
      </c>
      <c r="CB98" s="52">
        <v>183.86267773182357</v>
      </c>
      <c r="CC98" s="674">
        <v>0</v>
      </c>
      <c r="CD98" s="40">
        <v>0</v>
      </c>
      <c r="CE98" s="52">
        <v>0</v>
      </c>
      <c r="CF98" s="674">
        <v>0</v>
      </c>
      <c r="CG98" s="40">
        <v>0</v>
      </c>
      <c r="CH98" s="52">
        <v>0</v>
      </c>
      <c r="CI98" s="674">
        <v>0</v>
      </c>
      <c r="CJ98" s="40">
        <v>0</v>
      </c>
      <c r="CK98" s="52">
        <v>0</v>
      </c>
      <c r="CL98" s="674">
        <v>0</v>
      </c>
      <c r="CM98" s="40">
        <v>0</v>
      </c>
      <c r="CN98" s="52">
        <v>0</v>
      </c>
      <c r="CO98" s="39">
        <v>0</v>
      </c>
      <c r="CP98" s="40">
        <v>0</v>
      </c>
      <c r="CQ98" s="52">
        <v>0</v>
      </c>
      <c r="CR98" s="72">
        <v>2261.6137934753765</v>
      </c>
      <c r="CS98" s="5">
        <v>1598.7283463585052</v>
      </c>
      <c r="CT98" s="52">
        <v>-662.88544711687132</v>
      </c>
      <c r="CU98" s="77">
        <v>2713.9365521704517</v>
      </c>
      <c r="CV98" s="65">
        <v>1918.4740156302062</v>
      </c>
      <c r="CW98" s="35">
        <v>-795.46253654024554</v>
      </c>
      <c r="CX98" s="73">
        <v>82.06083624959318</v>
      </c>
      <c r="CY98" s="40">
        <v>877.52337278983873</v>
      </c>
      <c r="CZ98" s="52">
        <v>795.46253654024554</v>
      </c>
      <c r="DA98" s="150">
        <v>-4121.7716251840175</v>
      </c>
      <c r="DB98" s="2">
        <v>1</v>
      </c>
      <c r="DC98" s="675">
        <v>335.97</v>
      </c>
      <c r="DD98" s="675">
        <v>0</v>
      </c>
      <c r="DE98" s="675">
        <v>90.57409994270995</v>
      </c>
      <c r="DF98" s="675">
        <v>0</v>
      </c>
      <c r="DG98" s="321">
        <v>-3326.3090886437717</v>
      </c>
      <c r="DH98" s="40">
        <v>2795.7864933305464</v>
      </c>
      <c r="DI98" s="422">
        <v>245.39590005729008</v>
      </c>
      <c r="DJ98" s="306">
        <v>1.6187064647578502</v>
      </c>
      <c r="DK98" s="306">
        <v>1.6187064647578502</v>
      </c>
      <c r="DL98" s="306">
        <v>1.6187064647578502</v>
      </c>
      <c r="DM98" s="28">
        <v>245.39590005729008</v>
      </c>
      <c r="DN98" s="28">
        <v>0</v>
      </c>
      <c r="DO98" s="423">
        <v>245.39590005729008</v>
      </c>
      <c r="DP98" s="94">
        <v>0</v>
      </c>
      <c r="DQ98" s="28">
        <v>245.39590005729008</v>
      </c>
      <c r="DR98" s="318"/>
      <c r="DT98" s="8"/>
      <c r="DU98" s="5"/>
      <c r="DX98" s="5">
        <v>1698.2678548642859</v>
      </c>
      <c r="DY98" s="5">
        <v>0</v>
      </c>
      <c r="DZ98" s="159">
        <v>155.96798018077047</v>
      </c>
      <c r="EB98" s="676">
        <v>45.255839738124934</v>
      </c>
      <c r="EC98" s="676">
        <v>-104.89040132444326</v>
      </c>
      <c r="ED98" s="676">
        <v>-102.14544627471936</v>
      </c>
      <c r="EE98" s="676">
        <v>-193.81622049490994</v>
      </c>
      <c r="EF98" s="676">
        <v>-82.219916243631957</v>
      </c>
      <c r="EG98" s="676">
        <v>-86.972662355382681</v>
      </c>
      <c r="EH98" s="676">
        <v>45.691921599040597</v>
      </c>
      <c r="EI98" s="676">
        <v>-57.939431278104536</v>
      </c>
      <c r="EJ98" s="676">
        <v>-82.201793898649697</v>
      </c>
      <c r="EK98" s="676">
        <v>-44.953400337756875</v>
      </c>
      <c r="EL98" s="676">
        <v>-68.65645512368647</v>
      </c>
      <c r="EM98" s="676">
        <v>-62.614570546126487</v>
      </c>
      <c r="EN98" s="676">
        <v>-795.46253654024576</v>
      </c>
      <c r="EQ98" s="5">
        <v>1698.2678548642859</v>
      </c>
      <c r="ER98" s="5">
        <v>0</v>
      </c>
      <c r="ET98" s="318">
        <v>-1093.5246810463191</v>
      </c>
      <c r="EU98" s="5">
        <v>-698.78440759745286</v>
      </c>
    </row>
    <row r="99" spans="1:151" x14ac:dyDescent="0.3">
      <c r="A99" s="325">
        <v>150000658</v>
      </c>
      <c r="B99" s="41" t="s">
        <v>548</v>
      </c>
      <c r="C99" s="42" t="s">
        <v>352</v>
      </c>
      <c r="D99" s="27">
        <v>9</v>
      </c>
      <c r="E99" s="293">
        <v>5047.8</v>
      </c>
      <c r="F99" s="305">
        <v>5047.8</v>
      </c>
      <c r="G99" s="508">
        <v>552.1</v>
      </c>
      <c r="H99" s="677">
        <v>0</v>
      </c>
      <c r="I99" s="674">
        <v>15147.057830502772</v>
      </c>
      <c r="J99" s="40">
        <v>14457.006360146694</v>
      </c>
      <c r="K99" s="52">
        <v>-690.05147035607843</v>
      </c>
      <c r="L99" s="674">
        <v>2761.085512486422</v>
      </c>
      <c r="M99" s="40">
        <v>2638.6377529118045</v>
      </c>
      <c r="N99" s="52">
        <v>-122.44775957461752</v>
      </c>
      <c r="O99" s="674">
        <v>6153.026500622489</v>
      </c>
      <c r="P99" s="40">
        <v>6151.9600000000009</v>
      </c>
      <c r="Q99" s="52">
        <v>-1.0665006224880926</v>
      </c>
      <c r="R99" s="674">
        <v>1466.3746242949351</v>
      </c>
      <c r="S99" s="40">
        <v>1467.6550000000002</v>
      </c>
      <c r="T99" s="52">
        <v>1.2803757050651257</v>
      </c>
      <c r="U99" s="674">
        <v>714.84307937464087</v>
      </c>
      <c r="V99" s="40">
        <v>485.42495703916586</v>
      </c>
      <c r="W99" s="52">
        <v>-229.418122335475</v>
      </c>
      <c r="X99" s="674">
        <v>9022.5901686188681</v>
      </c>
      <c r="Y99" s="40">
        <v>7681.9550539626034</v>
      </c>
      <c r="Z99" s="52">
        <v>-1340.6351146562647</v>
      </c>
      <c r="AA99" s="674">
        <v>605.73599999999999</v>
      </c>
      <c r="AB99" s="40">
        <v>0</v>
      </c>
      <c r="AC99" s="52">
        <v>-605.73599999999999</v>
      </c>
      <c r="AD99" s="674">
        <v>21642.432303342866</v>
      </c>
      <c r="AE99" s="40">
        <v>21446.698114599694</v>
      </c>
      <c r="AF99" s="35">
        <v>-195.73418874317213</v>
      </c>
      <c r="AG99" s="77">
        <v>57513.146019242995</v>
      </c>
      <c r="AH99" s="53">
        <v>54329.337238659966</v>
      </c>
      <c r="AI99" s="52">
        <v>-3183.8087805830291</v>
      </c>
      <c r="AJ99" s="674">
        <v>39391.507934318557</v>
      </c>
      <c r="AK99" s="40">
        <v>39132.775266478908</v>
      </c>
      <c r="AL99" s="52">
        <v>-258.73266783964937</v>
      </c>
      <c r="AM99" s="674">
        <v>0</v>
      </c>
      <c r="AN99" s="40">
        <v>0</v>
      </c>
      <c r="AO99" s="52">
        <v>0</v>
      </c>
      <c r="AP99" s="674">
        <v>3642.4362777894617</v>
      </c>
      <c r="AQ99" s="40">
        <v>3026.8217111315548</v>
      </c>
      <c r="AR99" s="52">
        <v>-615.61456665790683</v>
      </c>
      <c r="AS99" s="674">
        <v>83412.572606744507</v>
      </c>
      <c r="AT99" s="40">
        <v>32711.813542251137</v>
      </c>
      <c r="AU99" s="54">
        <v>-50700.759064493366</v>
      </c>
      <c r="AV99" s="674">
        <v>2447.4346814376545</v>
      </c>
      <c r="AW99" s="40">
        <v>322</v>
      </c>
      <c r="AX99" s="55">
        <v>-2125.4346814376545</v>
      </c>
      <c r="AY99" s="674">
        <v>2943.2358076822629</v>
      </c>
      <c r="AZ99" s="40">
        <v>4693</v>
      </c>
      <c r="BA99" s="35">
        <v>1749.7641923177371</v>
      </c>
      <c r="BB99" s="674">
        <v>1536.5111379650914</v>
      </c>
      <c r="BC99" s="40">
        <v>1171</v>
      </c>
      <c r="BD99" s="55">
        <v>-365.51113796509139</v>
      </c>
      <c r="BE99" s="674">
        <v>2163.0535851983927</v>
      </c>
      <c r="BF99" s="40">
        <v>0</v>
      </c>
      <c r="BG99" s="38">
        <v>-2163.0535851983927</v>
      </c>
      <c r="BH99" s="674">
        <v>864.34862386812631</v>
      </c>
      <c r="BI99" s="40">
        <v>16</v>
      </c>
      <c r="BJ99" s="55">
        <v>-848.34862386812631</v>
      </c>
      <c r="BK99" s="674">
        <v>1684.4591259793071</v>
      </c>
      <c r="BL99" s="40">
        <v>1364</v>
      </c>
      <c r="BM99" s="38">
        <v>-320.45912597930715</v>
      </c>
      <c r="BN99" s="674">
        <v>151.434</v>
      </c>
      <c r="BO99" s="40">
        <v>0</v>
      </c>
      <c r="BP99" s="55">
        <v>-151.434</v>
      </c>
      <c r="BQ99" s="77">
        <v>11790.476962130835</v>
      </c>
      <c r="BR99" s="40">
        <v>7566</v>
      </c>
      <c r="BS99" s="55">
        <v>-4224.4769621308351</v>
      </c>
      <c r="BT99" s="674">
        <v>46270.819894164953</v>
      </c>
      <c r="BU99" s="40">
        <v>41004.801848470903</v>
      </c>
      <c r="BV99" s="52">
        <v>-5266.0180456940507</v>
      </c>
      <c r="BW99" s="674">
        <v>42254.194830991823</v>
      </c>
      <c r="BX99" s="40">
        <v>37847.996431747815</v>
      </c>
      <c r="BY99" s="52">
        <v>-4406.1983992440073</v>
      </c>
      <c r="BZ99" s="674">
        <v>5666.2608042589791</v>
      </c>
      <c r="CA99" s="40">
        <v>6381.4104631356386</v>
      </c>
      <c r="CB99" s="52">
        <v>715.14965887665949</v>
      </c>
      <c r="CC99" s="674">
        <v>1804.9662552695895</v>
      </c>
      <c r="CD99" s="40">
        <v>1894.408064177795</v>
      </c>
      <c r="CE99" s="52">
        <v>89.44180890820553</v>
      </c>
      <c r="CF99" s="674">
        <v>220.29607276920609</v>
      </c>
      <c r="CG99" s="40">
        <v>0</v>
      </c>
      <c r="CH99" s="52">
        <v>-220.29607276920609</v>
      </c>
      <c r="CI99" s="674">
        <v>16585.500861631048</v>
      </c>
      <c r="CJ99" s="40">
        <v>17200.68256560271</v>
      </c>
      <c r="CK99" s="52">
        <v>615.1817039716625</v>
      </c>
      <c r="CL99" s="674">
        <v>6978.8965622023943</v>
      </c>
      <c r="CM99" s="40">
        <v>7890.5173303565716</v>
      </c>
      <c r="CN99" s="52">
        <v>911.62076815417731</v>
      </c>
      <c r="CO99" s="39">
        <v>23564.397423833441</v>
      </c>
      <c r="CP99" s="40">
        <v>25091.199895959282</v>
      </c>
      <c r="CQ99" s="52">
        <v>1526.8024721258407</v>
      </c>
      <c r="CR99" s="72">
        <v>315531.07508151437</v>
      </c>
      <c r="CS99" s="5">
        <v>248986.56446201302</v>
      </c>
      <c r="CT99" s="52">
        <v>-66544.51061950135</v>
      </c>
      <c r="CU99" s="77">
        <v>378637.29009781725</v>
      </c>
      <c r="CV99" s="65">
        <v>298783.8773544156</v>
      </c>
      <c r="CW99" s="35">
        <v>-79853.412743401655</v>
      </c>
      <c r="CX99" s="73">
        <v>6901.3236618538122</v>
      </c>
      <c r="CY99" s="40">
        <v>86754.736405255419</v>
      </c>
      <c r="CZ99" s="52">
        <v>79853.412743401612</v>
      </c>
      <c r="DA99" s="150">
        <v>-116795.33545095874</v>
      </c>
      <c r="DB99" s="2">
        <v>3</v>
      </c>
      <c r="DC99" s="675">
        <v>94177.279999999999</v>
      </c>
      <c r="DD99" s="675">
        <v>0</v>
      </c>
      <c r="DE99" s="675">
        <v>60335.456448774006</v>
      </c>
      <c r="DF99" s="675">
        <v>0</v>
      </c>
      <c r="DG99" s="321">
        <v>-36941.922707557111</v>
      </c>
      <c r="DH99" s="40">
        <v>385509.52348607342</v>
      </c>
      <c r="DI99" s="422">
        <v>33841.823551226</v>
      </c>
      <c r="DJ99" s="306">
        <v>5.7342707965241306</v>
      </c>
      <c r="DK99" s="306">
        <v>6.8233940530873998</v>
      </c>
      <c r="DL99" s="306">
        <v>4.7961368545514738</v>
      </c>
      <c r="DM99" s="28">
        <v>33841.823551225993</v>
      </c>
      <c r="DN99" s="28">
        <v>0</v>
      </c>
      <c r="DO99" s="423">
        <v>33841.823551225993</v>
      </c>
      <c r="DP99" s="94">
        <v>0</v>
      </c>
      <c r="DQ99" s="28">
        <v>33841.823551225993</v>
      </c>
      <c r="DR99" s="318"/>
      <c r="DT99" s="8"/>
      <c r="DU99" s="5"/>
      <c r="DX99" s="5">
        <v>114243.65948265042</v>
      </c>
      <c r="DY99" s="5">
        <v>48333.376250701367</v>
      </c>
      <c r="DZ99" s="159">
        <v>10018.131296962954</v>
      </c>
      <c r="EB99" s="676">
        <v>-845.1867648189218</v>
      </c>
      <c r="EC99" s="676">
        <v>5871.7532567513699</v>
      </c>
      <c r="ED99" s="676">
        <v>3642.5084582774471</v>
      </c>
      <c r="EE99" s="676">
        <v>-9275.9114537163659</v>
      </c>
      <c r="EF99" s="676">
        <v>-9781.98448753509</v>
      </c>
      <c r="EG99" s="676">
        <v>-12665.956055131453</v>
      </c>
      <c r="EH99" s="676">
        <v>-13163.493427295471</v>
      </c>
      <c r="EI99" s="676">
        <v>-11993.04385974765</v>
      </c>
      <c r="EJ99" s="676">
        <v>-10396.369962531298</v>
      </c>
      <c r="EK99" s="676">
        <v>-9213.2974319689602</v>
      </c>
      <c r="EL99" s="676">
        <v>-10023.003617788927</v>
      </c>
      <c r="EM99" s="676">
        <v>-2009.4273978962992</v>
      </c>
      <c r="EN99" s="676">
        <v>-79853.412743401626</v>
      </c>
      <c r="EQ99" s="5">
        <v>114243.65948265042</v>
      </c>
      <c r="ER99" s="5">
        <v>48333.376250701367</v>
      </c>
      <c r="ET99" s="318">
        <v>20290.10413299</v>
      </c>
      <c r="EU99" s="5">
        <v>2721.9731594528621</v>
      </c>
    </row>
    <row r="100" spans="1:151" x14ac:dyDescent="0.3">
      <c r="A100" s="325">
        <v>150000659</v>
      </c>
      <c r="B100" s="41" t="s">
        <v>549</v>
      </c>
      <c r="C100" s="42" t="s">
        <v>414</v>
      </c>
      <c r="D100" s="27">
        <v>10</v>
      </c>
      <c r="E100" s="293">
        <v>2605.5</v>
      </c>
      <c r="F100" s="305">
        <v>2605.5</v>
      </c>
      <c r="G100" s="508">
        <v>490.3</v>
      </c>
      <c r="H100" s="677">
        <v>0</v>
      </c>
      <c r="I100" s="674">
        <v>8258.7249605047837</v>
      </c>
      <c r="J100" s="40">
        <v>7879.1418804749155</v>
      </c>
      <c r="K100" s="52">
        <v>-379.58308002986814</v>
      </c>
      <c r="L100" s="674">
        <v>1494.274807225514</v>
      </c>
      <c r="M100" s="40">
        <v>1428.0109035140056</v>
      </c>
      <c r="N100" s="52">
        <v>-66.263903711508419</v>
      </c>
      <c r="O100" s="674">
        <v>3264.6179691828393</v>
      </c>
      <c r="P100" s="40">
        <v>3265.3999999999992</v>
      </c>
      <c r="Q100" s="52">
        <v>0.78203081715992084</v>
      </c>
      <c r="R100" s="674">
        <v>787.86382542791011</v>
      </c>
      <c r="S100" s="40">
        <v>787.68999999999983</v>
      </c>
      <c r="T100" s="52">
        <v>-0.17382542791028754</v>
      </c>
      <c r="U100" s="674">
        <v>243.71184737857413</v>
      </c>
      <c r="V100" s="40">
        <v>165.50091607356933</v>
      </c>
      <c r="W100" s="52">
        <v>-78.210931305004806</v>
      </c>
      <c r="X100" s="674">
        <v>3041.713339482691</v>
      </c>
      <c r="Y100" s="40">
        <v>2907.9410054086102</v>
      </c>
      <c r="Z100" s="52">
        <v>-133.77233407408085</v>
      </c>
      <c r="AA100" s="674">
        <v>312.73199999999997</v>
      </c>
      <c r="AB100" s="40">
        <v>0</v>
      </c>
      <c r="AC100" s="52">
        <v>-312.73199999999997</v>
      </c>
      <c r="AD100" s="674">
        <v>11171.736545281006</v>
      </c>
      <c r="AE100" s="40">
        <v>11070.044759615976</v>
      </c>
      <c r="AF100" s="35">
        <v>-101.69178566503069</v>
      </c>
      <c r="AG100" s="77">
        <v>28575.375294483318</v>
      </c>
      <c r="AH100" s="53">
        <v>27503.729465087075</v>
      </c>
      <c r="AI100" s="52">
        <v>-1071.6458293962423</v>
      </c>
      <c r="AJ100" s="674">
        <v>19695.753967159279</v>
      </c>
      <c r="AK100" s="40">
        <v>19566.454017048443</v>
      </c>
      <c r="AL100" s="52">
        <v>-129.2999501108352</v>
      </c>
      <c r="AM100" s="674">
        <v>0</v>
      </c>
      <c r="AN100" s="40">
        <v>0</v>
      </c>
      <c r="AO100" s="52">
        <v>0</v>
      </c>
      <c r="AP100" s="674">
        <v>1798.7339643404748</v>
      </c>
      <c r="AQ100" s="40">
        <v>1494.7267709291627</v>
      </c>
      <c r="AR100" s="52">
        <v>-304.00719341131207</v>
      </c>
      <c r="AS100" s="674">
        <v>34838.107100112691</v>
      </c>
      <c r="AT100" s="40">
        <v>14780</v>
      </c>
      <c r="AU100" s="54">
        <v>-20058.107100112691</v>
      </c>
      <c r="AV100" s="674">
        <v>1400.1141608049118</v>
      </c>
      <c r="AW100" s="40">
        <v>0</v>
      </c>
      <c r="AX100" s="55">
        <v>-1400.1141608049118</v>
      </c>
      <c r="AY100" s="674">
        <v>1741.5025970387023</v>
      </c>
      <c r="AZ100" s="40">
        <v>2863</v>
      </c>
      <c r="BA100" s="35">
        <v>1121.4974029612977</v>
      </c>
      <c r="BB100" s="674">
        <v>1368.0545269190568</v>
      </c>
      <c r="BC100" s="40">
        <v>5032</v>
      </c>
      <c r="BD100" s="55">
        <v>3663.945473080943</v>
      </c>
      <c r="BE100" s="674">
        <v>1215.3880328867665</v>
      </c>
      <c r="BF100" s="40">
        <v>0</v>
      </c>
      <c r="BG100" s="38">
        <v>-1215.3880328867665</v>
      </c>
      <c r="BH100" s="674">
        <v>314.91287882727175</v>
      </c>
      <c r="BI100" s="40">
        <v>0</v>
      </c>
      <c r="BJ100" s="55">
        <v>-314.91287882727175</v>
      </c>
      <c r="BK100" s="674">
        <v>482.45832881448081</v>
      </c>
      <c r="BL100" s="40">
        <v>1226</v>
      </c>
      <c r="BM100" s="38">
        <v>743.54167118551914</v>
      </c>
      <c r="BN100" s="674">
        <v>78.182999999999993</v>
      </c>
      <c r="BO100" s="40">
        <v>0</v>
      </c>
      <c r="BP100" s="55">
        <v>-78.182999999999993</v>
      </c>
      <c r="BQ100" s="77">
        <v>6600.6135252911899</v>
      </c>
      <c r="BR100" s="40">
        <v>9121</v>
      </c>
      <c r="BS100" s="55">
        <v>2520.3864747088101</v>
      </c>
      <c r="BT100" s="674">
        <v>22423.930870547683</v>
      </c>
      <c r="BU100" s="40">
        <v>10073.947223654648</v>
      </c>
      <c r="BV100" s="52">
        <v>-12349.983646893035</v>
      </c>
      <c r="BW100" s="674">
        <v>19224.922360505159</v>
      </c>
      <c r="BX100" s="40">
        <v>10261.887432022315</v>
      </c>
      <c r="BY100" s="52">
        <v>-8963.0349284828444</v>
      </c>
      <c r="BZ100" s="674">
        <v>2792.4581992485723</v>
      </c>
      <c r="CA100" s="40">
        <v>2879.4333307853603</v>
      </c>
      <c r="CB100" s="52">
        <v>86.975131536788012</v>
      </c>
      <c r="CC100" s="674">
        <v>850.67933227172148</v>
      </c>
      <c r="CD100" s="40">
        <v>892.87780638167135</v>
      </c>
      <c r="CE100" s="52">
        <v>42.198474109949871</v>
      </c>
      <c r="CF100" s="674">
        <v>103.83057268816881</v>
      </c>
      <c r="CG100" s="40">
        <v>0</v>
      </c>
      <c r="CH100" s="52">
        <v>-103.83057268816881</v>
      </c>
      <c r="CI100" s="674">
        <v>2909.1908630196435</v>
      </c>
      <c r="CJ100" s="40">
        <v>2456.3764460143448</v>
      </c>
      <c r="CK100" s="52">
        <v>-452.81441700529876</v>
      </c>
      <c r="CL100" s="674">
        <v>4148.7077904077623</v>
      </c>
      <c r="CM100" s="40">
        <v>4064.5815944090787</v>
      </c>
      <c r="CN100" s="52">
        <v>-84.12619599868367</v>
      </c>
      <c r="CO100" s="39">
        <v>7057.8986534274063</v>
      </c>
      <c r="CP100" s="40">
        <v>6520.9580404234239</v>
      </c>
      <c r="CQ100" s="52">
        <v>-536.94061300398243</v>
      </c>
      <c r="CR100" s="72">
        <v>143962.30384007565</v>
      </c>
      <c r="CS100" s="5">
        <v>103095.0140863321</v>
      </c>
      <c r="CT100" s="52">
        <v>-40867.289753743549</v>
      </c>
      <c r="CU100" s="77">
        <v>172754.76460809077</v>
      </c>
      <c r="CV100" s="65">
        <v>123714.01690359852</v>
      </c>
      <c r="CW100" s="35">
        <v>-49040.747704492256</v>
      </c>
      <c r="CX100" s="73">
        <v>1761.6565606130725</v>
      </c>
      <c r="CY100" s="40">
        <v>50802.404265105375</v>
      </c>
      <c r="CZ100" s="52">
        <v>49040.7477044923</v>
      </c>
      <c r="DA100" s="150">
        <v>12339.759617035008</v>
      </c>
      <c r="DB100" s="2">
        <v>3</v>
      </c>
      <c r="DC100" s="675">
        <v>46469.98</v>
      </c>
      <c r="DD100" s="675">
        <v>0</v>
      </c>
      <c r="DE100" s="675">
        <v>31157.670013346073</v>
      </c>
      <c r="DF100" s="675">
        <v>0</v>
      </c>
      <c r="DG100" s="321">
        <v>61380.507321527308</v>
      </c>
      <c r="DH100" s="40">
        <v>174503.21946952346</v>
      </c>
      <c r="DI100" s="422">
        <v>15312.309986653934</v>
      </c>
      <c r="DJ100" s="306">
        <v>4.9300761577349173</v>
      </c>
      <c r="DK100" s="306">
        <v>6.0963945000550783</v>
      </c>
      <c r="DL100" s="306">
        <v>4.1099550521118413</v>
      </c>
      <c r="DM100" s="28">
        <v>15312.309986653931</v>
      </c>
      <c r="DN100" s="28">
        <v>0</v>
      </c>
      <c r="DO100" s="423">
        <v>15312.309986653931</v>
      </c>
      <c r="DP100" s="94">
        <v>0</v>
      </c>
      <c r="DQ100" s="28">
        <v>15312.309986653931</v>
      </c>
      <c r="DR100" s="318"/>
      <c r="DT100" s="8"/>
      <c r="DU100" s="5"/>
      <c r="DX100" s="5">
        <v>49726.464750484658</v>
      </c>
      <c r="DY100" s="5">
        <v>28681.200000000001</v>
      </c>
      <c r="DZ100" s="159">
        <v>4282.8797417814312</v>
      </c>
      <c r="EB100" s="676">
        <v>5042.9684823617645</v>
      </c>
      <c r="EC100" s="676">
        <v>-3701.4050410710142</v>
      </c>
      <c r="ED100" s="676">
        <v>-3152.4242417108489</v>
      </c>
      <c r="EE100" s="676">
        <v>-5959.8679386517597</v>
      </c>
      <c r="EF100" s="676">
        <v>-8288.7798958056665</v>
      </c>
      <c r="EG100" s="676">
        <v>-8306.4576242962212</v>
      </c>
      <c r="EH100" s="676">
        <v>-8692.4820548086864</v>
      </c>
      <c r="EI100" s="676">
        <v>-7576.9928393087976</v>
      </c>
      <c r="EJ100" s="676">
        <v>-7406.9986557104603</v>
      </c>
      <c r="EK100" s="676">
        <v>-1244.7071050115101</v>
      </c>
      <c r="EL100" s="676">
        <v>-6363.9946411632336</v>
      </c>
      <c r="EM100" s="676">
        <v>6610.3938506841369</v>
      </c>
      <c r="EN100" s="676">
        <v>-49040.7477044923</v>
      </c>
      <c r="EQ100" s="5">
        <v>49726.464750484658</v>
      </c>
      <c r="ER100" s="5">
        <v>28681.200000000001</v>
      </c>
      <c r="ET100" s="318">
        <v>-27047.60542397805</v>
      </c>
      <c r="EU100" s="5">
        <v>98302.112745505379</v>
      </c>
    </row>
    <row r="101" spans="1:151" x14ac:dyDescent="0.3">
      <c r="A101" s="325">
        <v>150000660</v>
      </c>
      <c r="B101" s="41" t="s">
        <v>550</v>
      </c>
      <c r="C101" s="42" t="s">
        <v>415</v>
      </c>
      <c r="D101" s="27">
        <v>10</v>
      </c>
      <c r="E101" s="293">
        <v>4661.7</v>
      </c>
      <c r="F101" s="305">
        <v>4661.7</v>
      </c>
      <c r="G101" s="508">
        <v>410</v>
      </c>
      <c r="H101" s="677">
        <v>0</v>
      </c>
      <c r="I101" s="674">
        <v>14930.080829624811</v>
      </c>
      <c r="J101" s="40">
        <v>14259.588960627016</v>
      </c>
      <c r="K101" s="52">
        <v>-670.49186899779488</v>
      </c>
      <c r="L101" s="674">
        <v>2928.2869419520789</v>
      </c>
      <c r="M101" s="40">
        <v>2798.4192544033563</v>
      </c>
      <c r="N101" s="52">
        <v>-129.86768754872264</v>
      </c>
      <c r="O101" s="674">
        <v>5687.9069936022288</v>
      </c>
      <c r="P101" s="40">
        <v>5686.1000000000013</v>
      </c>
      <c r="Q101" s="52">
        <v>-1.8069936022275215</v>
      </c>
      <c r="R101" s="674">
        <v>1436.1745157743801</v>
      </c>
      <c r="S101" s="40">
        <v>1434.6799999999998</v>
      </c>
      <c r="T101" s="52">
        <v>-1.4945157743802611</v>
      </c>
      <c r="U101" s="674">
        <v>763.65432305376612</v>
      </c>
      <c r="V101" s="40">
        <v>518.58111318327826</v>
      </c>
      <c r="W101" s="52">
        <v>-245.07320987048786</v>
      </c>
      <c r="X101" s="674">
        <v>6004.7503035972741</v>
      </c>
      <c r="Y101" s="40">
        <v>4877.9602426497868</v>
      </c>
      <c r="Z101" s="52">
        <v>-1126.7900609474873</v>
      </c>
      <c r="AA101" s="674">
        <v>559.404</v>
      </c>
      <c r="AB101" s="40">
        <v>0</v>
      </c>
      <c r="AC101" s="52">
        <v>-559.404</v>
      </c>
      <c r="AD101" s="674">
        <v>19987.024652409298</v>
      </c>
      <c r="AE101" s="40">
        <v>19806.266611361265</v>
      </c>
      <c r="AF101" s="35">
        <v>-180.75804104803319</v>
      </c>
      <c r="AG101" s="77">
        <v>52297.282560013831</v>
      </c>
      <c r="AH101" s="53">
        <v>49381.596182224705</v>
      </c>
      <c r="AI101" s="52">
        <v>-2915.6863777891267</v>
      </c>
      <c r="AJ101" s="674">
        <v>33927.964139454751</v>
      </c>
      <c r="AK101" s="40">
        <v>33705.117749753241</v>
      </c>
      <c r="AL101" s="52">
        <v>-222.84638970150991</v>
      </c>
      <c r="AM101" s="674">
        <v>0</v>
      </c>
      <c r="AN101" s="40">
        <v>0</v>
      </c>
      <c r="AO101" s="52">
        <v>0</v>
      </c>
      <c r="AP101" s="674">
        <v>3597.4679286809496</v>
      </c>
      <c r="AQ101" s="40">
        <v>2989.4535418583255</v>
      </c>
      <c r="AR101" s="52">
        <v>-608.01438682262415</v>
      </c>
      <c r="AS101" s="674">
        <v>63746.737360298081</v>
      </c>
      <c r="AT101" s="40">
        <v>12996</v>
      </c>
      <c r="AU101" s="54">
        <v>-50750.737360298081</v>
      </c>
      <c r="AV101" s="674">
        <v>2390.2133832758223</v>
      </c>
      <c r="AW101" s="40">
        <v>1110</v>
      </c>
      <c r="AX101" s="55">
        <v>-1280.2133832758223</v>
      </c>
      <c r="AY101" s="674">
        <v>3413.6316520867231</v>
      </c>
      <c r="AZ101" s="40">
        <v>1079</v>
      </c>
      <c r="BA101" s="35">
        <v>-2334.6316520867231</v>
      </c>
      <c r="BB101" s="674">
        <v>2557.1411948780378</v>
      </c>
      <c r="BC101" s="40">
        <v>0</v>
      </c>
      <c r="BD101" s="55">
        <v>-2557.1411948780378</v>
      </c>
      <c r="BE101" s="674">
        <v>2218.5102973274265</v>
      </c>
      <c r="BF101" s="40">
        <v>1126</v>
      </c>
      <c r="BG101" s="38">
        <v>-1092.5102973274265</v>
      </c>
      <c r="BH101" s="674">
        <v>986.74343512353164</v>
      </c>
      <c r="BI101" s="40">
        <v>0</v>
      </c>
      <c r="BJ101" s="55">
        <v>-986.74343512353164</v>
      </c>
      <c r="BK101" s="674">
        <v>1308.3707855596954</v>
      </c>
      <c r="BL101" s="40">
        <v>0</v>
      </c>
      <c r="BM101" s="38">
        <v>-1308.3707855596954</v>
      </c>
      <c r="BN101" s="674">
        <v>139.851</v>
      </c>
      <c r="BO101" s="40">
        <v>0</v>
      </c>
      <c r="BP101" s="55">
        <v>-139.851</v>
      </c>
      <c r="BQ101" s="77">
        <v>13014.461748251235</v>
      </c>
      <c r="BR101" s="40">
        <v>3315</v>
      </c>
      <c r="BS101" s="55">
        <v>-9699.4617482512349</v>
      </c>
      <c r="BT101" s="674">
        <v>46398.926421045777</v>
      </c>
      <c r="BU101" s="40">
        <v>38663.977762541203</v>
      </c>
      <c r="BV101" s="52">
        <v>-7734.9486585045743</v>
      </c>
      <c r="BW101" s="674">
        <v>40308.254946551759</v>
      </c>
      <c r="BX101" s="40">
        <v>36465.890386541301</v>
      </c>
      <c r="BY101" s="52">
        <v>-3842.3645600104574</v>
      </c>
      <c r="BZ101" s="674">
        <v>5940.5485902805885</v>
      </c>
      <c r="CA101" s="40">
        <v>6968.4671393225472</v>
      </c>
      <c r="CB101" s="52">
        <v>1027.9185490419586</v>
      </c>
      <c r="CC101" s="674">
        <v>1476.3363349877141</v>
      </c>
      <c r="CD101" s="40">
        <v>1548.5895091382472</v>
      </c>
      <c r="CE101" s="52">
        <v>72.253174150533141</v>
      </c>
      <c r="CF101" s="674">
        <v>180.08168020695817</v>
      </c>
      <c r="CG101" s="40">
        <v>0</v>
      </c>
      <c r="CH101" s="52">
        <v>-180.08168020695817</v>
      </c>
      <c r="CI101" s="674">
        <v>6019.8434669945354</v>
      </c>
      <c r="CJ101" s="40">
        <v>5649.3432662893119</v>
      </c>
      <c r="CK101" s="52">
        <v>-370.50020070522351</v>
      </c>
      <c r="CL101" s="674">
        <v>7998.4091808155245</v>
      </c>
      <c r="CM101" s="40">
        <v>7496.2866168150067</v>
      </c>
      <c r="CN101" s="52">
        <v>-502.12256400051774</v>
      </c>
      <c r="CO101" s="39">
        <v>14018.252647810059</v>
      </c>
      <c r="CP101" s="40">
        <v>13145.629883104319</v>
      </c>
      <c r="CQ101" s="52">
        <v>-872.62276470574034</v>
      </c>
      <c r="CR101" s="72">
        <v>274906.31435758172</v>
      </c>
      <c r="CS101" s="5">
        <v>199179.72215448393</v>
      </c>
      <c r="CT101" s="52">
        <v>-75726.592203097796</v>
      </c>
      <c r="CU101" s="77">
        <v>329887.57722909807</v>
      </c>
      <c r="CV101" s="65">
        <v>239015.66658538071</v>
      </c>
      <c r="CW101" s="35">
        <v>-90871.910643717361</v>
      </c>
      <c r="CX101" s="73">
        <v>3407.7114331085204</v>
      </c>
      <c r="CY101" s="40">
        <v>94279.622076825923</v>
      </c>
      <c r="CZ101" s="52">
        <v>90871.910643717405</v>
      </c>
      <c r="DA101" s="150">
        <v>199335.33091402287</v>
      </c>
      <c r="DB101" s="2">
        <v>3</v>
      </c>
      <c r="DC101" s="675">
        <v>52031.95</v>
      </c>
      <c r="DD101" s="675">
        <v>0</v>
      </c>
      <c r="DE101" s="675">
        <v>22888.312975696936</v>
      </c>
      <c r="DF101" s="675">
        <v>0</v>
      </c>
      <c r="DG101" s="321">
        <v>290207.24155774026</v>
      </c>
      <c r="DH101" s="40">
        <v>333269.79799781542</v>
      </c>
      <c r="DI101" s="422">
        <v>29143.637024303069</v>
      </c>
      <c r="DJ101" s="306">
        <v>5.3167171664701067</v>
      </c>
      <c r="DK101" s="306">
        <v>6.3418827730202789</v>
      </c>
      <c r="DL101" s="306">
        <v>4.3583262556390219</v>
      </c>
      <c r="DM101" s="28">
        <v>29143.637024303061</v>
      </c>
      <c r="DN101" s="28">
        <v>0</v>
      </c>
      <c r="DO101" s="423">
        <v>29143.637024303061</v>
      </c>
      <c r="DP101" s="94">
        <v>0</v>
      </c>
      <c r="DQ101" s="28">
        <v>29143.637024303061</v>
      </c>
      <c r="DR101" s="318"/>
      <c r="DT101" s="8"/>
      <c r="DU101" s="5"/>
      <c r="DX101" s="5">
        <v>92113.438930259188</v>
      </c>
      <c r="DY101" s="5">
        <v>19573.2</v>
      </c>
      <c r="DZ101" s="159">
        <v>7772.7055230661981</v>
      </c>
      <c r="EB101" s="676">
        <v>-2925.6737098945014</v>
      </c>
      <c r="EC101" s="676">
        <v>-6998.635589806956</v>
      </c>
      <c r="ED101" s="676">
        <v>-5662.3574236683089</v>
      </c>
      <c r="EE101" s="676">
        <v>-11902.037420818899</v>
      </c>
      <c r="EF101" s="676">
        <v>-9174.683818096586</v>
      </c>
      <c r="EG101" s="676">
        <v>-12013.593311186196</v>
      </c>
      <c r="EH101" s="676">
        <v>-9771.8872077419292</v>
      </c>
      <c r="EI101" s="676">
        <v>-7645.0856773242376</v>
      </c>
      <c r="EJ101" s="676">
        <v>3271.9334577817099</v>
      </c>
      <c r="EK101" s="676">
        <v>-6291.9493889595942</v>
      </c>
      <c r="EL101" s="676">
        <v>-10720.857054822754</v>
      </c>
      <c r="EM101" s="676">
        <v>-11037.083499179149</v>
      </c>
      <c r="EN101" s="676">
        <v>-90871.910643717405</v>
      </c>
      <c r="EQ101" s="5">
        <v>92113.438930259188</v>
      </c>
      <c r="ER101" s="5">
        <v>19573.2</v>
      </c>
      <c r="ET101" s="318">
        <v>-58822.743000407936</v>
      </c>
      <c r="EU101" s="5">
        <v>372553.98455814819</v>
      </c>
    </row>
    <row r="102" spans="1:151" x14ac:dyDescent="0.3">
      <c r="A102" s="325">
        <v>150000597</v>
      </c>
      <c r="B102" s="41" t="s">
        <v>551</v>
      </c>
      <c r="C102" s="42" t="s">
        <v>353</v>
      </c>
      <c r="D102" s="27">
        <v>9</v>
      </c>
      <c r="E102" s="293">
        <v>4715.25</v>
      </c>
      <c r="F102" s="305">
        <v>4715.25</v>
      </c>
      <c r="G102" s="508">
        <v>571.65</v>
      </c>
      <c r="H102" s="677">
        <v>0</v>
      </c>
      <c r="I102" s="674">
        <v>12463.934605079456</v>
      </c>
      <c r="J102" s="40">
        <v>10471.605319668721</v>
      </c>
      <c r="K102" s="52">
        <v>-1992.3292854107349</v>
      </c>
      <c r="L102" s="674">
        <v>2145.9037604661848</v>
      </c>
      <c r="M102" s="40">
        <v>1710.386130608284</v>
      </c>
      <c r="N102" s="52">
        <v>-435.51762985790083</v>
      </c>
      <c r="O102" s="674">
        <v>6842.9554033008062</v>
      </c>
      <c r="P102" s="40">
        <v>6842.9700000000012</v>
      </c>
      <c r="Q102" s="52">
        <v>1.4596699194953544E-2</v>
      </c>
      <c r="R102" s="674">
        <v>1487.2371636185853</v>
      </c>
      <c r="S102" s="40">
        <v>1487.2500000000002</v>
      </c>
      <c r="T102" s="52">
        <v>1.2836381414899733E-2</v>
      </c>
      <c r="U102" s="674">
        <v>714.84307937464087</v>
      </c>
      <c r="V102" s="40">
        <v>298.71032252132215</v>
      </c>
      <c r="W102" s="52">
        <v>-416.13275685331871</v>
      </c>
      <c r="X102" s="674">
        <v>9535.8126466733247</v>
      </c>
      <c r="Y102" s="40">
        <v>6853.9981201885048</v>
      </c>
      <c r="Z102" s="52">
        <v>-2681.8145264848199</v>
      </c>
      <c r="AA102" s="674">
        <v>565.65600000000006</v>
      </c>
      <c r="AB102" s="40">
        <v>0</v>
      </c>
      <c r="AC102" s="52">
        <v>-565.65600000000006</v>
      </c>
      <c r="AD102" s="674">
        <v>20215.06179831714</v>
      </c>
      <c r="AE102" s="40">
        <v>20033.785666006228</v>
      </c>
      <c r="AF102" s="35">
        <v>-181.27613231091163</v>
      </c>
      <c r="AG102" s="77">
        <v>53971.40445683014</v>
      </c>
      <c r="AH102" s="53">
        <v>47698.705558993061</v>
      </c>
      <c r="AI102" s="52">
        <v>-6272.6988978370791</v>
      </c>
      <c r="AJ102" s="674">
        <v>50946.043947149061</v>
      </c>
      <c r="AK102" s="40">
        <v>50610.794866624019</v>
      </c>
      <c r="AL102" s="52">
        <v>-335.24908052504179</v>
      </c>
      <c r="AM102" s="674">
        <v>0</v>
      </c>
      <c r="AN102" s="40">
        <v>0</v>
      </c>
      <c r="AO102" s="52">
        <v>0</v>
      </c>
      <c r="AP102" s="674">
        <v>3327.657834029877</v>
      </c>
      <c r="AQ102" s="40">
        <v>2842.8669315372263</v>
      </c>
      <c r="AR102" s="52">
        <v>-484.79090249265073</v>
      </c>
      <c r="AS102" s="674">
        <v>81287.157430571664</v>
      </c>
      <c r="AT102" s="40">
        <v>11632.02</v>
      </c>
      <c r="AU102" s="54">
        <v>-69655.13743057166</v>
      </c>
      <c r="AV102" s="674">
        <v>1611.865207770478</v>
      </c>
      <c r="AW102" s="40">
        <v>1280</v>
      </c>
      <c r="AX102" s="55">
        <v>-331.86520777047804</v>
      </c>
      <c r="AY102" s="674">
        <v>1861.7848771191225</v>
      </c>
      <c r="AZ102" s="40">
        <v>6.5</v>
      </c>
      <c r="BA102" s="35">
        <v>-1855.2848771191225</v>
      </c>
      <c r="BB102" s="674">
        <v>700.52223684049363</v>
      </c>
      <c r="BC102" s="40">
        <v>1044</v>
      </c>
      <c r="BD102" s="55">
        <v>343.47776315950637</v>
      </c>
      <c r="BE102" s="674">
        <v>1793.392012852903</v>
      </c>
      <c r="BF102" s="40">
        <v>0</v>
      </c>
      <c r="BG102" s="38">
        <v>-1793.392012852903</v>
      </c>
      <c r="BH102" s="674">
        <v>745.618400300438</v>
      </c>
      <c r="BI102" s="40">
        <v>0</v>
      </c>
      <c r="BJ102" s="55">
        <v>-745.618400300438</v>
      </c>
      <c r="BK102" s="674">
        <v>1549.1441368650733</v>
      </c>
      <c r="BL102" s="40">
        <v>0</v>
      </c>
      <c r="BM102" s="38">
        <v>-1549.1441368650733</v>
      </c>
      <c r="BN102" s="674">
        <v>522.99695884431208</v>
      </c>
      <c r="BO102" s="40">
        <v>0</v>
      </c>
      <c r="BP102" s="55">
        <v>-522.99695884431208</v>
      </c>
      <c r="BQ102" s="77">
        <v>8785.3238305928226</v>
      </c>
      <c r="BR102" s="40">
        <v>2330.5</v>
      </c>
      <c r="BS102" s="55">
        <v>-6454.8238305928226</v>
      </c>
      <c r="BT102" s="674">
        <v>64696.495701352418</v>
      </c>
      <c r="BU102" s="40">
        <v>63874.553403932259</v>
      </c>
      <c r="BV102" s="52">
        <v>-821.94229742015887</v>
      </c>
      <c r="BW102" s="674">
        <v>37939.308454112783</v>
      </c>
      <c r="BX102" s="40">
        <v>36615.032388850006</v>
      </c>
      <c r="BY102" s="52">
        <v>-1324.2760652627767</v>
      </c>
      <c r="BZ102" s="674">
        <v>15078.083044304651</v>
      </c>
      <c r="CA102" s="40">
        <v>16377.585425800993</v>
      </c>
      <c r="CB102" s="52">
        <v>1299.5023814963424</v>
      </c>
      <c r="CC102" s="674">
        <v>1873.6728478151065</v>
      </c>
      <c r="CD102" s="40">
        <v>1966.2588788228368</v>
      </c>
      <c r="CE102" s="52">
        <v>92.586031007730298</v>
      </c>
      <c r="CF102" s="674">
        <v>228.65142798061908</v>
      </c>
      <c r="CG102" s="40">
        <v>0</v>
      </c>
      <c r="CH102" s="52">
        <v>-228.65142798061908</v>
      </c>
      <c r="CI102" s="674">
        <v>25570.715911059695</v>
      </c>
      <c r="CJ102" s="40">
        <v>20830.729579173367</v>
      </c>
      <c r="CK102" s="52">
        <v>-4739.9863318863281</v>
      </c>
      <c r="CL102" s="674">
        <v>7430.4238503966226</v>
      </c>
      <c r="CM102" s="40">
        <v>9530.5223808641585</v>
      </c>
      <c r="CN102" s="52">
        <v>2100.098530467536</v>
      </c>
      <c r="CO102" s="39">
        <v>33001.139761456318</v>
      </c>
      <c r="CP102" s="40">
        <v>30361.251960037524</v>
      </c>
      <c r="CQ102" s="52">
        <v>-2639.887801418794</v>
      </c>
      <c r="CR102" s="72">
        <v>351134.93873619544</v>
      </c>
      <c r="CS102" s="5">
        <v>264309.56941459794</v>
      </c>
      <c r="CT102" s="52">
        <v>-86825.369321597507</v>
      </c>
      <c r="CU102" s="77">
        <v>421361.92648343451</v>
      </c>
      <c r="CV102" s="65">
        <v>317171.48329751752</v>
      </c>
      <c r="CW102" s="35">
        <v>-104190.44318591699</v>
      </c>
      <c r="CX102" s="73">
        <v>7677.9885346254632</v>
      </c>
      <c r="CY102" s="40">
        <v>111868.43172054252</v>
      </c>
      <c r="CZ102" s="52">
        <v>104190.44318591706</v>
      </c>
      <c r="DA102" s="150">
        <v>-28236.480451224939</v>
      </c>
      <c r="DB102" s="2">
        <v>1</v>
      </c>
      <c r="DC102" s="675">
        <v>89749.47</v>
      </c>
      <c r="DD102" s="675">
        <v>0</v>
      </c>
      <c r="DE102" s="675">
        <v>52083.265526325049</v>
      </c>
      <c r="DF102" s="675">
        <v>0</v>
      </c>
      <c r="DG102" s="321">
        <v>75953.962734692104</v>
      </c>
      <c r="DH102" s="40">
        <v>429007.58824790851</v>
      </c>
      <c r="DI102" s="422">
        <v>37666.204473674945</v>
      </c>
      <c r="DJ102" s="306">
        <v>6.6294862560427266</v>
      </c>
      <c r="DK102" s="306">
        <v>8.175610255673357</v>
      </c>
      <c r="DL102" s="306">
        <v>5.7403322039736526</v>
      </c>
      <c r="DM102" s="28">
        <v>37666.204473674952</v>
      </c>
      <c r="DN102" s="28">
        <v>0</v>
      </c>
      <c r="DO102" s="423">
        <v>37666.204473674952</v>
      </c>
      <c r="DP102" s="94">
        <v>0</v>
      </c>
      <c r="DQ102" s="28">
        <v>37666.204473674952</v>
      </c>
      <c r="DR102" s="318"/>
      <c r="DT102" s="8"/>
      <c r="DU102" s="5"/>
      <c r="DX102" s="5">
        <v>108086.97751339739</v>
      </c>
      <c r="DY102" s="5">
        <v>16755.024000000001</v>
      </c>
      <c r="DZ102" s="159">
        <v>9546.6737166801577</v>
      </c>
      <c r="EB102" s="676">
        <v>-6038.8197383701845</v>
      </c>
      <c r="EC102" s="676">
        <v>-4736.632230747342</v>
      </c>
      <c r="ED102" s="676">
        <v>-7505.7459173373936</v>
      </c>
      <c r="EE102" s="676">
        <v>-11447.809095784465</v>
      </c>
      <c r="EF102" s="676">
        <v>-3724.7930474979803</v>
      </c>
      <c r="EG102" s="676">
        <v>-13882.726812934216</v>
      </c>
      <c r="EH102" s="676">
        <v>-12129.723395572157</v>
      </c>
      <c r="EI102" s="676">
        <v>-11134.323584997182</v>
      </c>
      <c r="EJ102" s="676">
        <v>-10243.743871369727</v>
      </c>
      <c r="EK102" s="676">
        <v>-9103.5873179205919</v>
      </c>
      <c r="EL102" s="676">
        <v>-6792.006032391153</v>
      </c>
      <c r="EM102" s="676">
        <v>-7450.5321409946519</v>
      </c>
      <c r="EN102" s="676">
        <v>-104190.44318591704</v>
      </c>
      <c r="EQ102" s="5">
        <v>108086.97751339739</v>
      </c>
      <c r="ER102" s="5">
        <v>16755.024000000001</v>
      </c>
      <c r="ET102" s="318">
        <v>-72603.301357621924</v>
      </c>
      <c r="EU102" s="5">
        <v>-39778.735907685957</v>
      </c>
    </row>
    <row r="103" spans="1:151" x14ac:dyDescent="0.3">
      <c r="A103" s="325">
        <v>150000598</v>
      </c>
      <c r="B103" s="41" t="s">
        <v>552</v>
      </c>
      <c r="C103" s="42" t="s">
        <v>77</v>
      </c>
      <c r="D103" s="27">
        <v>1</v>
      </c>
      <c r="E103" s="293">
        <v>258.5</v>
      </c>
      <c r="F103" s="305">
        <v>258.5</v>
      </c>
      <c r="G103" s="508">
        <v>0</v>
      </c>
      <c r="H103" s="677">
        <v>0</v>
      </c>
      <c r="I103" s="674">
        <v>112.47936803092929</v>
      </c>
      <c r="J103" s="40">
        <v>74.071265960943663</v>
      </c>
      <c r="K103" s="52">
        <v>-38.408102069985631</v>
      </c>
      <c r="L103" s="674">
        <v>0</v>
      </c>
      <c r="M103" s="40">
        <v>0</v>
      </c>
      <c r="N103" s="52">
        <v>0</v>
      </c>
      <c r="O103" s="674">
        <v>0</v>
      </c>
      <c r="P103" s="40">
        <v>0</v>
      </c>
      <c r="Q103" s="52">
        <v>0</v>
      </c>
      <c r="R103" s="674">
        <v>0</v>
      </c>
      <c r="S103" s="40">
        <v>0</v>
      </c>
      <c r="T103" s="52">
        <v>0</v>
      </c>
      <c r="U103" s="674">
        <v>0</v>
      </c>
      <c r="V103" s="40">
        <v>0</v>
      </c>
      <c r="W103" s="52">
        <v>0</v>
      </c>
      <c r="X103" s="674">
        <v>0</v>
      </c>
      <c r="Y103" s="40">
        <v>0</v>
      </c>
      <c r="Z103" s="52">
        <v>0</v>
      </c>
      <c r="AA103" s="674">
        <v>31.02</v>
      </c>
      <c r="AB103" s="40">
        <v>0</v>
      </c>
      <c r="AC103" s="52">
        <v>-31.02</v>
      </c>
      <c r="AD103" s="674">
        <v>248.29138117540074</v>
      </c>
      <c r="AE103" s="40">
        <v>1098.2945961852733</v>
      </c>
      <c r="AF103" s="35">
        <v>850.00321500987263</v>
      </c>
      <c r="AG103" s="77">
        <v>391.79074920633002</v>
      </c>
      <c r="AH103" s="53">
        <v>1172.3658621462171</v>
      </c>
      <c r="AI103" s="52">
        <v>780.57511293988705</v>
      </c>
      <c r="AJ103" s="674">
        <v>0</v>
      </c>
      <c r="AK103" s="40">
        <v>0</v>
      </c>
      <c r="AL103" s="52">
        <v>0</v>
      </c>
      <c r="AM103" s="674">
        <v>0</v>
      </c>
      <c r="AN103" s="40">
        <v>0</v>
      </c>
      <c r="AO103" s="52">
        <v>0</v>
      </c>
      <c r="AP103" s="674">
        <v>539.62018930214231</v>
      </c>
      <c r="AQ103" s="40">
        <v>226.21386333280887</v>
      </c>
      <c r="AR103" s="52">
        <v>-313.40632596933347</v>
      </c>
      <c r="AS103" s="674">
        <v>2451.2546840614232</v>
      </c>
      <c r="AT103" s="40">
        <v>1214</v>
      </c>
      <c r="AU103" s="54">
        <v>-1237.2546840614232</v>
      </c>
      <c r="AV103" s="674">
        <v>18.827142691550073</v>
      </c>
      <c r="AW103" s="40">
        <v>0</v>
      </c>
      <c r="AX103" s="55">
        <v>-18.827142691550073</v>
      </c>
      <c r="AY103" s="674">
        <v>0</v>
      </c>
      <c r="AZ103" s="40">
        <v>0</v>
      </c>
      <c r="BA103" s="35">
        <v>0</v>
      </c>
      <c r="BB103" s="674">
        <v>0</v>
      </c>
      <c r="BC103" s="40">
        <v>0</v>
      </c>
      <c r="BD103" s="55">
        <v>0</v>
      </c>
      <c r="BE103" s="674">
        <v>0</v>
      </c>
      <c r="BF103" s="40">
        <v>0</v>
      </c>
      <c r="BG103" s="38">
        <v>0</v>
      </c>
      <c r="BH103" s="674">
        <v>0</v>
      </c>
      <c r="BI103" s="40">
        <v>0</v>
      </c>
      <c r="BJ103" s="55">
        <v>0</v>
      </c>
      <c r="BK103" s="674">
        <v>0</v>
      </c>
      <c r="BL103" s="40">
        <v>0</v>
      </c>
      <c r="BM103" s="38">
        <v>0</v>
      </c>
      <c r="BN103" s="674">
        <v>11.961388531079258</v>
      </c>
      <c r="BO103" s="40">
        <v>0</v>
      </c>
      <c r="BP103" s="55">
        <v>-11.961388531079258</v>
      </c>
      <c r="BQ103" s="77">
        <v>30.788531222629331</v>
      </c>
      <c r="BR103" s="40">
        <v>0</v>
      </c>
      <c r="BS103" s="55">
        <v>-30.788531222629331</v>
      </c>
      <c r="BT103" s="674">
        <v>538.35774196944385</v>
      </c>
      <c r="BU103" s="40">
        <v>708.13094723145355</v>
      </c>
      <c r="BV103" s="52">
        <v>169.7732052620097</v>
      </c>
      <c r="BW103" s="674">
        <v>0</v>
      </c>
      <c r="BX103" s="40">
        <v>5.88001670537205</v>
      </c>
      <c r="BY103" s="52">
        <v>5.88001670537205</v>
      </c>
      <c r="BZ103" s="674">
        <v>0</v>
      </c>
      <c r="CA103" s="40">
        <v>239.82983066553828</v>
      </c>
      <c r="CB103" s="52">
        <v>239.82983066553828</v>
      </c>
      <c r="CC103" s="674">
        <v>0</v>
      </c>
      <c r="CD103" s="40">
        <v>0</v>
      </c>
      <c r="CE103" s="52">
        <v>0</v>
      </c>
      <c r="CF103" s="674">
        <v>0</v>
      </c>
      <c r="CG103" s="40">
        <v>0</v>
      </c>
      <c r="CH103" s="52">
        <v>0</v>
      </c>
      <c r="CI103" s="674">
        <v>0</v>
      </c>
      <c r="CJ103" s="40">
        <v>0</v>
      </c>
      <c r="CK103" s="52">
        <v>0</v>
      </c>
      <c r="CL103" s="674">
        <v>0</v>
      </c>
      <c r="CM103" s="40">
        <v>0</v>
      </c>
      <c r="CN103" s="52">
        <v>0</v>
      </c>
      <c r="CO103" s="39">
        <v>0</v>
      </c>
      <c r="CP103" s="40">
        <v>0</v>
      </c>
      <c r="CQ103" s="52">
        <v>0</v>
      </c>
      <c r="CR103" s="72">
        <v>3951.8118957619686</v>
      </c>
      <c r="CS103" s="5">
        <v>3566.4205200813894</v>
      </c>
      <c r="CT103" s="52">
        <v>-385.39137568057913</v>
      </c>
      <c r="CU103" s="77">
        <v>4742.1742749143623</v>
      </c>
      <c r="CV103" s="65">
        <v>4279.704624097667</v>
      </c>
      <c r="CW103" s="35">
        <v>-462.46965081669532</v>
      </c>
      <c r="CX103" s="73">
        <v>218.76660635116187</v>
      </c>
      <c r="CY103" s="40">
        <v>681.23625716785682</v>
      </c>
      <c r="CZ103" s="52">
        <v>462.46965081669498</v>
      </c>
      <c r="DA103" s="150">
        <v>16040.310762526804</v>
      </c>
      <c r="DB103" s="2">
        <v>1</v>
      </c>
      <c r="DC103" s="675">
        <v>2527.9499999999998</v>
      </c>
      <c r="DD103" s="675">
        <v>0</v>
      </c>
      <c r="DE103" s="675">
        <v>2092.476564620752</v>
      </c>
      <c r="DF103" s="675">
        <v>0</v>
      </c>
      <c r="DG103" s="321">
        <v>16502.780413343498</v>
      </c>
      <c r="DH103" s="40">
        <v>4960.5669071997982</v>
      </c>
      <c r="DI103" s="422">
        <v>435.47343537924775</v>
      </c>
      <c r="DJ103" s="306">
        <v>1.684616771293028</v>
      </c>
      <c r="DK103" s="306">
        <v>1.684616771293028</v>
      </c>
      <c r="DL103" s="306">
        <v>1.684616771293028</v>
      </c>
      <c r="DM103" s="28">
        <v>435.47343537924775</v>
      </c>
      <c r="DN103" s="28">
        <v>0</v>
      </c>
      <c r="DO103" s="423">
        <v>435.47343537924775</v>
      </c>
      <c r="DP103" s="94">
        <v>0</v>
      </c>
      <c r="DQ103" s="28">
        <v>435.47343537924775</v>
      </c>
      <c r="DR103" s="318"/>
      <c r="DT103" s="8"/>
      <c r="DU103" s="5"/>
      <c r="DX103" s="5">
        <v>2978.4518583408631</v>
      </c>
      <c r="DY103" s="5">
        <v>1456.8</v>
      </c>
      <c r="DZ103" s="159">
        <v>273.12165088653649</v>
      </c>
      <c r="EB103" s="676">
        <v>-164.9429245888027</v>
      </c>
      <c r="EC103" s="676">
        <v>-191.55287643108022</v>
      </c>
      <c r="ED103" s="676">
        <v>-186.87232972690057</v>
      </c>
      <c r="EE103" s="676">
        <v>-328.85709877603978</v>
      </c>
      <c r="EF103" s="676">
        <v>-180.77587877786797</v>
      </c>
      <c r="EG103" s="676">
        <v>78.960787815944627</v>
      </c>
      <c r="EH103" s="676">
        <v>-193.41014683200868</v>
      </c>
      <c r="EI103" s="676">
        <v>-139.71707296196098</v>
      </c>
      <c r="EJ103" s="676">
        <v>-179.82151134492278</v>
      </c>
      <c r="EK103" s="676">
        <v>-118.49765041844881</v>
      </c>
      <c r="EL103" s="676">
        <v>1299.6369204995278</v>
      </c>
      <c r="EM103" s="676">
        <v>-156.61986927413494</v>
      </c>
      <c r="EN103" s="676">
        <v>-462.46965081669504</v>
      </c>
      <c r="EQ103" s="5">
        <v>2978.4518583408631</v>
      </c>
      <c r="ER103" s="5">
        <v>1456.8</v>
      </c>
      <c r="ET103" s="318">
        <v>-2109.7786005952566</v>
      </c>
      <c r="EU103" s="5">
        <v>3318.5590139387523</v>
      </c>
    </row>
    <row r="104" spans="1:151" x14ac:dyDescent="0.3">
      <c r="A104" s="325">
        <v>150000592</v>
      </c>
      <c r="B104" s="41" t="s">
        <v>553</v>
      </c>
      <c r="C104" s="42" t="s">
        <v>354</v>
      </c>
      <c r="D104" s="27">
        <v>9</v>
      </c>
      <c r="E104" s="293">
        <v>9737.7999999999993</v>
      </c>
      <c r="F104" s="305">
        <v>9698.4</v>
      </c>
      <c r="G104" s="508">
        <v>1110</v>
      </c>
      <c r="H104" s="677">
        <v>39.4</v>
      </c>
      <c r="I104" s="674">
        <v>23941.752357482052</v>
      </c>
      <c r="J104" s="40">
        <v>20255.123509643563</v>
      </c>
      <c r="K104" s="52">
        <v>-3686.6288478384886</v>
      </c>
      <c r="L104" s="674">
        <v>4049.8186161763956</v>
      </c>
      <c r="M104" s="40">
        <v>3227.8775899632092</v>
      </c>
      <c r="N104" s="52">
        <v>-821.94102621318643</v>
      </c>
      <c r="O104" s="674">
        <v>14341.773385604987</v>
      </c>
      <c r="P104" s="40">
        <v>14341.769999999997</v>
      </c>
      <c r="Q104" s="52">
        <v>-3.3856049903988605E-3</v>
      </c>
      <c r="R104" s="674">
        <v>2985.8843801585904</v>
      </c>
      <c r="S104" s="40">
        <v>2985.8700000000003</v>
      </c>
      <c r="T104" s="52">
        <v>-1.4380158590029168E-2</v>
      </c>
      <c r="U104" s="674">
        <v>4224.582062764749</v>
      </c>
      <c r="V104" s="40">
        <v>1822.0001729493003</v>
      </c>
      <c r="W104" s="52">
        <v>-2402.5818898154484</v>
      </c>
      <c r="X104" s="674">
        <v>19890.1727699968</v>
      </c>
      <c r="Y104" s="40">
        <v>15184.106776685887</v>
      </c>
      <c r="Z104" s="52">
        <v>-4706.0659933109127</v>
      </c>
      <c r="AA104" s="674">
        <v>1169.0159999999998</v>
      </c>
      <c r="AB104" s="40">
        <v>0</v>
      </c>
      <c r="AC104" s="52">
        <v>-1169.0159999999998</v>
      </c>
      <c r="AD104" s="674">
        <v>41752.803962617327</v>
      </c>
      <c r="AE104" s="40">
        <v>41375.219072510452</v>
      </c>
      <c r="AF104" s="35">
        <v>-377.58489010687481</v>
      </c>
      <c r="AG104" s="77">
        <v>112355.8035348009</v>
      </c>
      <c r="AH104" s="53">
        <v>99191.967121752416</v>
      </c>
      <c r="AI104" s="52">
        <v>-13163.836413048484</v>
      </c>
      <c r="AJ104" s="674">
        <v>71830.757523580905</v>
      </c>
      <c r="AK104" s="40">
        <v>71359.050129058058</v>
      </c>
      <c r="AL104" s="52">
        <v>-471.70739452284761</v>
      </c>
      <c r="AM104" s="674">
        <v>5996.1657866127916</v>
      </c>
      <c r="AN104" s="40">
        <v>4078.9129485282847</v>
      </c>
      <c r="AO104" s="52">
        <v>-1917.2528380845069</v>
      </c>
      <c r="AP104" s="674">
        <v>6745.252366276779</v>
      </c>
      <c r="AQ104" s="40">
        <v>5605.856643356643</v>
      </c>
      <c r="AR104" s="52">
        <v>-1139.395722920136</v>
      </c>
      <c r="AS104" s="674">
        <v>152615.65505715759</v>
      </c>
      <c r="AT104" s="40">
        <v>142446.62057362989</v>
      </c>
      <c r="AU104" s="54">
        <v>-10169.034483527706</v>
      </c>
      <c r="AV104" s="674">
        <v>3315.9985513394654</v>
      </c>
      <c r="AW104" s="40">
        <v>1599.58</v>
      </c>
      <c r="AX104" s="55">
        <v>-1716.4185513394655</v>
      </c>
      <c r="AY104" s="674">
        <v>3929.521338390151</v>
      </c>
      <c r="AZ104" s="40">
        <v>10850</v>
      </c>
      <c r="BA104" s="35">
        <v>6920.478661609849</v>
      </c>
      <c r="BB104" s="674">
        <v>2607.6032494459987</v>
      </c>
      <c r="BC104" s="40">
        <v>323</v>
      </c>
      <c r="BD104" s="55">
        <v>-2284.6032494459987</v>
      </c>
      <c r="BE104" s="674">
        <v>3638.0625583336478</v>
      </c>
      <c r="BF104" s="40">
        <v>0</v>
      </c>
      <c r="BG104" s="38">
        <v>-3638.0625583336478</v>
      </c>
      <c r="BH104" s="674">
        <v>4756.7307518330008</v>
      </c>
      <c r="BI104" s="40">
        <v>150</v>
      </c>
      <c r="BJ104" s="55">
        <v>-4606.7307518330008</v>
      </c>
      <c r="BK104" s="674">
        <v>4052.5297682412033</v>
      </c>
      <c r="BL104" s="40">
        <v>511</v>
      </c>
      <c r="BM104" s="38">
        <v>-3541.5297682412033</v>
      </c>
      <c r="BN104" s="674">
        <v>1040.7671439739747</v>
      </c>
      <c r="BO104" s="40">
        <v>0</v>
      </c>
      <c r="BP104" s="55">
        <v>-1040.7671439739747</v>
      </c>
      <c r="BQ104" s="77">
        <v>23341.213361557442</v>
      </c>
      <c r="BR104" s="40">
        <v>13433.58</v>
      </c>
      <c r="BS104" s="55">
        <v>-9907.6333615574422</v>
      </c>
      <c r="BT104" s="674">
        <v>119503.8681222934</v>
      </c>
      <c r="BU104" s="40">
        <v>124666.03927112497</v>
      </c>
      <c r="BV104" s="52">
        <v>5162.1711488315777</v>
      </c>
      <c r="BW104" s="674">
        <v>79140.691754919244</v>
      </c>
      <c r="BX104" s="40">
        <v>74756.784447504295</v>
      </c>
      <c r="BY104" s="52">
        <v>-4383.9073074149492</v>
      </c>
      <c r="BZ104" s="674">
        <v>29092.707066703224</v>
      </c>
      <c r="CA104" s="40">
        <v>25684.442789824236</v>
      </c>
      <c r="CB104" s="52">
        <v>-3408.2642768789883</v>
      </c>
      <c r="CC104" s="674">
        <v>2823.613275057869</v>
      </c>
      <c r="CD104" s="40">
        <v>2961.6555304907256</v>
      </c>
      <c r="CE104" s="52">
        <v>138.04225543285656</v>
      </c>
      <c r="CF104" s="674">
        <v>344.40366603141376</v>
      </c>
      <c r="CG104" s="40">
        <v>0</v>
      </c>
      <c r="CH104" s="52">
        <v>-344.40366603141376</v>
      </c>
      <c r="CI104" s="674">
        <v>23541.441407608429</v>
      </c>
      <c r="CJ104" s="40">
        <v>23876.251574178372</v>
      </c>
      <c r="CK104" s="52">
        <v>334.81016656994325</v>
      </c>
      <c r="CL104" s="674">
        <v>35286.439895588293</v>
      </c>
      <c r="CM104" s="40">
        <v>35818.213212300652</v>
      </c>
      <c r="CN104" s="52">
        <v>531.77331671235879</v>
      </c>
      <c r="CO104" s="39">
        <v>58827.881303196722</v>
      </c>
      <c r="CP104" s="40">
        <v>59694.464786479024</v>
      </c>
      <c r="CQ104" s="52">
        <v>866.58348328230204</v>
      </c>
      <c r="CR104" s="72">
        <v>662618.01281818841</v>
      </c>
      <c r="CS104" s="5">
        <v>623879.37424174848</v>
      </c>
      <c r="CT104" s="52">
        <v>-38738.638576439931</v>
      </c>
      <c r="CU104" s="77">
        <v>795141.61538182606</v>
      </c>
      <c r="CV104" s="65">
        <v>748655.24909009819</v>
      </c>
      <c r="CW104" s="35">
        <v>-46486.366291727871</v>
      </c>
      <c r="CX104" s="73">
        <v>24071.02640270767</v>
      </c>
      <c r="CY104" s="40">
        <v>70557.392694435432</v>
      </c>
      <c r="CZ104" s="52">
        <v>46486.366291727762</v>
      </c>
      <c r="DA104" s="150">
        <v>-5318.0002201750249</v>
      </c>
      <c r="DB104" s="2">
        <v>1</v>
      </c>
      <c r="DC104" s="675">
        <v>142796.51999999999</v>
      </c>
      <c r="DD104" s="675">
        <v>2852.52</v>
      </c>
      <c r="DE104" s="675">
        <v>71233.219381615738</v>
      </c>
      <c r="DF104" s="675">
        <v>2646.1640670942666</v>
      </c>
      <c r="DG104" s="321">
        <v>41168.366071552715</v>
      </c>
      <c r="DH104" s="40">
        <v>819150.43038338632</v>
      </c>
      <c r="DI104" s="422">
        <v>71769.656551289983</v>
      </c>
      <c r="DJ104" s="306">
        <v>6.1471917140243795</v>
      </c>
      <c r="DK104" s="306">
        <v>7.5380650430600795</v>
      </c>
      <c r="DL104" s="306">
        <v>5.2374602260338383</v>
      </c>
      <c r="DM104" s="28">
        <v>71563.300618384252</v>
      </c>
      <c r="DN104" s="28">
        <v>206.35593290573323</v>
      </c>
      <c r="DO104" s="423">
        <v>71769.656551289983</v>
      </c>
      <c r="DP104" s="94">
        <v>0</v>
      </c>
      <c r="DQ104" s="28">
        <v>71769.656551289983</v>
      </c>
      <c r="DR104" s="318"/>
      <c r="DT104" s="8"/>
      <c r="DU104" s="5"/>
      <c r="DX104" s="5">
        <v>211148.24210245803</v>
      </c>
      <c r="DY104" s="5">
        <v>187056.24068835584</v>
      </c>
      <c r="DZ104" s="159">
        <v>18848.916775345057</v>
      </c>
      <c r="EB104" s="676">
        <v>6539.0592242099519</v>
      </c>
      <c r="EC104" s="676">
        <v>-4117.8411540552115</v>
      </c>
      <c r="ED104" s="676">
        <v>-4200.840658716741</v>
      </c>
      <c r="EE104" s="676">
        <v>-6958.6520649250233</v>
      </c>
      <c r="EF104" s="676">
        <v>-33491.587064607345</v>
      </c>
      <c r="EG104" s="676">
        <v>-21380.853758546466</v>
      </c>
      <c r="EH104" s="676">
        <v>9823.6123340345366</v>
      </c>
      <c r="EI104" s="676">
        <v>88745.734724601571</v>
      </c>
      <c r="EJ104" s="676">
        <v>-13916.248326167326</v>
      </c>
      <c r="EK104" s="676">
        <v>-16673.686877161614</v>
      </c>
      <c r="EL104" s="676">
        <v>-19916.140084004415</v>
      </c>
      <c r="EM104" s="676">
        <v>-30938.922586389657</v>
      </c>
      <c r="EN104" s="676">
        <v>-46486.36629172774</v>
      </c>
      <c r="EQ104" s="5">
        <v>211148.24210245803</v>
      </c>
      <c r="ER104" s="5">
        <v>187056.24068835584</v>
      </c>
      <c r="ET104" s="318">
        <v>-28242.226489901077</v>
      </c>
      <c r="EU104" s="5">
        <v>72774.592561453785</v>
      </c>
    </row>
    <row r="105" spans="1:151" x14ac:dyDescent="0.3">
      <c r="A105" s="325">
        <v>150000599</v>
      </c>
      <c r="B105" s="41" t="s">
        <v>554</v>
      </c>
      <c r="C105" s="42" t="s">
        <v>78</v>
      </c>
      <c r="D105" s="27">
        <v>1</v>
      </c>
      <c r="E105" s="293">
        <v>250.4</v>
      </c>
      <c r="F105" s="305">
        <v>250.4</v>
      </c>
      <c r="G105" s="508">
        <v>0</v>
      </c>
      <c r="H105" s="677">
        <v>0</v>
      </c>
      <c r="I105" s="674">
        <v>0</v>
      </c>
      <c r="J105" s="40">
        <v>0</v>
      </c>
      <c r="K105" s="52">
        <v>0</v>
      </c>
      <c r="L105" s="674">
        <v>0</v>
      </c>
      <c r="M105" s="40">
        <v>0</v>
      </c>
      <c r="N105" s="52">
        <v>0</v>
      </c>
      <c r="O105" s="674">
        <v>0</v>
      </c>
      <c r="P105" s="40">
        <v>0</v>
      </c>
      <c r="Q105" s="52">
        <v>0</v>
      </c>
      <c r="R105" s="674">
        <v>0</v>
      </c>
      <c r="S105" s="40">
        <v>0</v>
      </c>
      <c r="T105" s="52">
        <v>0</v>
      </c>
      <c r="U105" s="674">
        <v>0</v>
      </c>
      <c r="V105" s="40">
        <v>0</v>
      </c>
      <c r="W105" s="52">
        <v>0</v>
      </c>
      <c r="X105" s="674">
        <v>0</v>
      </c>
      <c r="Y105" s="40">
        <v>0</v>
      </c>
      <c r="Z105" s="52">
        <v>0</v>
      </c>
      <c r="AA105" s="674">
        <v>30.048000000000002</v>
      </c>
      <c r="AB105" s="40">
        <v>0</v>
      </c>
      <c r="AC105" s="52">
        <v>-30.048000000000002</v>
      </c>
      <c r="AD105" s="674">
        <v>240.51155948700759</v>
      </c>
      <c r="AE105" s="40">
        <v>1063.8799492641872</v>
      </c>
      <c r="AF105" s="35">
        <v>823.36838977717957</v>
      </c>
      <c r="AG105" s="77">
        <v>270.55955948700762</v>
      </c>
      <c r="AH105" s="53">
        <v>1063.8799492641872</v>
      </c>
      <c r="AI105" s="52">
        <v>793.32038977717957</v>
      </c>
      <c r="AJ105" s="674">
        <v>0</v>
      </c>
      <c r="AK105" s="40">
        <v>0</v>
      </c>
      <c r="AL105" s="52">
        <v>0</v>
      </c>
      <c r="AM105" s="674">
        <v>0</v>
      </c>
      <c r="AN105" s="40">
        <v>0</v>
      </c>
      <c r="AO105" s="52">
        <v>0</v>
      </c>
      <c r="AP105" s="674">
        <v>674.52523662767817</v>
      </c>
      <c r="AQ105" s="40">
        <v>282.76732916601111</v>
      </c>
      <c r="AR105" s="52">
        <v>-391.75790746166706</v>
      </c>
      <c r="AS105" s="674">
        <v>2818.5489287532428</v>
      </c>
      <c r="AT105" s="40">
        <v>2023</v>
      </c>
      <c r="AU105" s="54">
        <v>-795.54892875324276</v>
      </c>
      <c r="AV105" s="674">
        <v>0</v>
      </c>
      <c r="AW105" s="40">
        <v>0</v>
      </c>
      <c r="AX105" s="55">
        <v>0</v>
      </c>
      <c r="AY105" s="674">
        <v>0</v>
      </c>
      <c r="AZ105" s="40">
        <v>0</v>
      </c>
      <c r="BA105" s="35">
        <v>0</v>
      </c>
      <c r="BB105" s="674">
        <v>0</v>
      </c>
      <c r="BC105" s="40">
        <v>0</v>
      </c>
      <c r="BD105" s="55">
        <v>0</v>
      </c>
      <c r="BE105" s="674">
        <v>0</v>
      </c>
      <c r="BF105" s="40">
        <v>0</v>
      </c>
      <c r="BG105" s="38">
        <v>0</v>
      </c>
      <c r="BH105" s="674">
        <v>0</v>
      </c>
      <c r="BI105" s="40">
        <v>0</v>
      </c>
      <c r="BJ105" s="55">
        <v>0</v>
      </c>
      <c r="BK105" s="674">
        <v>0</v>
      </c>
      <c r="BL105" s="40">
        <v>0</v>
      </c>
      <c r="BM105" s="38">
        <v>0</v>
      </c>
      <c r="BN105" s="674">
        <v>12.271088370463069</v>
      </c>
      <c r="BO105" s="40">
        <v>0</v>
      </c>
      <c r="BP105" s="55">
        <v>-12.271088370463069</v>
      </c>
      <c r="BQ105" s="77">
        <v>12.271088370463069</v>
      </c>
      <c r="BR105" s="40">
        <v>0</v>
      </c>
      <c r="BS105" s="55">
        <v>-12.271088370463069</v>
      </c>
      <c r="BT105" s="674">
        <v>1112.6060000701839</v>
      </c>
      <c r="BU105" s="40">
        <v>1463.5110327675957</v>
      </c>
      <c r="BV105" s="52">
        <v>350.9050326974118</v>
      </c>
      <c r="BW105" s="674">
        <v>0</v>
      </c>
      <c r="BX105" s="40">
        <v>5.6957685997104903</v>
      </c>
      <c r="BY105" s="52">
        <v>5.6957685997104903</v>
      </c>
      <c r="BZ105" s="674">
        <v>0</v>
      </c>
      <c r="CA105" s="40">
        <v>495.6735931594917</v>
      </c>
      <c r="CB105" s="52">
        <v>495.6735931594917</v>
      </c>
      <c r="CC105" s="674">
        <v>0</v>
      </c>
      <c r="CD105" s="40">
        <v>0</v>
      </c>
      <c r="CE105" s="52">
        <v>0</v>
      </c>
      <c r="CF105" s="674">
        <v>0</v>
      </c>
      <c r="CG105" s="40">
        <v>0</v>
      </c>
      <c r="CH105" s="52">
        <v>0</v>
      </c>
      <c r="CI105" s="674">
        <v>0</v>
      </c>
      <c r="CJ105" s="40">
        <v>0</v>
      </c>
      <c r="CK105" s="52">
        <v>0</v>
      </c>
      <c r="CL105" s="674">
        <v>0</v>
      </c>
      <c r="CM105" s="40">
        <v>0</v>
      </c>
      <c r="CN105" s="52">
        <v>0</v>
      </c>
      <c r="CO105" s="39">
        <v>0</v>
      </c>
      <c r="CP105" s="40">
        <v>0</v>
      </c>
      <c r="CQ105" s="52">
        <v>0</v>
      </c>
      <c r="CR105" s="72">
        <v>4888.5108133085751</v>
      </c>
      <c r="CS105" s="5">
        <v>5334.527672956996</v>
      </c>
      <c r="CT105" s="52">
        <v>446.0168596484209</v>
      </c>
      <c r="CU105" s="77">
        <v>5866.2129759702902</v>
      </c>
      <c r="CV105" s="65">
        <v>6401.4332075483953</v>
      </c>
      <c r="CW105" s="35">
        <v>535.22023157810509</v>
      </c>
      <c r="CX105" s="73">
        <v>177.44809601793798</v>
      </c>
      <c r="CY105" s="40">
        <v>-357.77213556016716</v>
      </c>
      <c r="CZ105" s="52">
        <v>-535.22023157810509</v>
      </c>
      <c r="DA105" s="150">
        <v>11885.851297166473</v>
      </c>
      <c r="DB105" s="2">
        <v>1</v>
      </c>
      <c r="DC105" s="675">
        <v>545.77</v>
      </c>
      <c r="DD105" s="675">
        <v>0</v>
      </c>
      <c r="DE105" s="675">
        <v>15.6677472082946</v>
      </c>
      <c r="DF105" s="675">
        <v>0</v>
      </c>
      <c r="DG105" s="321">
        <v>11350.631065588368</v>
      </c>
      <c r="DH105" s="40">
        <v>6043.2041446522035</v>
      </c>
      <c r="DI105" s="422">
        <v>530.10225279170538</v>
      </c>
      <c r="DJ105" s="306">
        <v>2.1170217763247021</v>
      </c>
      <c r="DK105" s="306">
        <v>2.1170217763247021</v>
      </c>
      <c r="DL105" s="306">
        <v>2.1170217763247021</v>
      </c>
      <c r="DM105" s="28">
        <v>530.10225279170538</v>
      </c>
      <c r="DN105" s="28">
        <v>0</v>
      </c>
      <c r="DO105" s="423">
        <v>530.10225279170538</v>
      </c>
      <c r="DP105" s="94">
        <v>0</v>
      </c>
      <c r="DQ105" s="28">
        <v>530.10225279170538</v>
      </c>
      <c r="DR105" s="318"/>
      <c r="DT105" s="8"/>
      <c r="DU105" s="5"/>
      <c r="DX105" s="5">
        <v>3396.984020548447</v>
      </c>
      <c r="DY105" s="5">
        <v>2427.6</v>
      </c>
      <c r="DZ105" s="159">
        <v>297.79913965983496</v>
      </c>
      <c r="EB105" s="676">
        <v>-243.45627988189267</v>
      </c>
      <c r="EC105" s="676">
        <v>-269.23241891982798</v>
      </c>
      <c r="ED105" s="676">
        <v>-264.69853538123391</v>
      </c>
      <c r="EE105" s="676">
        <v>-441.86395071176185</v>
      </c>
      <c r="EF105" s="676">
        <v>-149.26693731176107</v>
      </c>
      <c r="EG105" s="676">
        <v>180.426258082147</v>
      </c>
      <c r="EH105" s="676">
        <v>-162.19992497719676</v>
      </c>
      <c r="EI105" s="676">
        <v>-106.70228126625432</v>
      </c>
      <c r="EJ105" s="676">
        <v>-146.64069924495527</v>
      </c>
      <c r="EK105" s="676">
        <v>-76.990534717373464</v>
      </c>
      <c r="EL105" s="676">
        <v>2307.1807332685748</v>
      </c>
      <c r="EM105" s="676">
        <v>-91.335197360358961</v>
      </c>
      <c r="EN105" s="676">
        <v>535.22023157810554</v>
      </c>
      <c r="EQ105" s="5">
        <v>3396.984020548447</v>
      </c>
      <c r="ER105" s="5">
        <v>2427.6</v>
      </c>
      <c r="ET105" s="318">
        <v>-2968.9493010535484</v>
      </c>
      <c r="EU105" s="5">
        <v>403.58036664191479</v>
      </c>
    </row>
    <row r="106" spans="1:151" x14ac:dyDescent="0.3">
      <c r="A106" s="325">
        <v>150000601</v>
      </c>
      <c r="B106" s="41" t="s">
        <v>555</v>
      </c>
      <c r="C106" s="42" t="s">
        <v>79</v>
      </c>
      <c r="D106" s="27">
        <v>1</v>
      </c>
      <c r="E106" s="293">
        <v>232.7</v>
      </c>
      <c r="F106" s="305">
        <v>232.7</v>
      </c>
      <c r="G106" s="508">
        <v>0</v>
      </c>
      <c r="H106" s="677">
        <v>0</v>
      </c>
      <c r="I106" s="674">
        <v>0</v>
      </c>
      <c r="J106" s="40">
        <v>0</v>
      </c>
      <c r="K106" s="52">
        <v>0</v>
      </c>
      <c r="L106" s="674">
        <v>0</v>
      </c>
      <c r="M106" s="40">
        <v>0</v>
      </c>
      <c r="N106" s="52">
        <v>0</v>
      </c>
      <c r="O106" s="674">
        <v>0</v>
      </c>
      <c r="P106" s="40">
        <v>0</v>
      </c>
      <c r="Q106" s="52">
        <v>0</v>
      </c>
      <c r="R106" s="674">
        <v>0</v>
      </c>
      <c r="S106" s="40">
        <v>0</v>
      </c>
      <c r="T106" s="52">
        <v>0</v>
      </c>
      <c r="U106" s="674">
        <v>0</v>
      </c>
      <c r="V106" s="40">
        <v>0</v>
      </c>
      <c r="W106" s="52">
        <v>0</v>
      </c>
      <c r="X106" s="674">
        <v>0</v>
      </c>
      <c r="Y106" s="40">
        <v>0</v>
      </c>
      <c r="Z106" s="52">
        <v>0</v>
      </c>
      <c r="AA106" s="674">
        <v>27.923999999999999</v>
      </c>
      <c r="AB106" s="40">
        <v>0</v>
      </c>
      <c r="AC106" s="52">
        <v>-27.923999999999999</v>
      </c>
      <c r="AD106" s="674">
        <v>223.56771288728197</v>
      </c>
      <c r="AE106" s="40">
        <v>849.52606916510274</v>
      </c>
      <c r="AF106" s="35">
        <v>625.95835627782071</v>
      </c>
      <c r="AG106" s="77">
        <v>251.49171288728198</v>
      </c>
      <c r="AH106" s="53">
        <v>849.52606916510274</v>
      </c>
      <c r="AI106" s="52">
        <v>598.03435627782073</v>
      </c>
      <c r="AJ106" s="674">
        <v>0</v>
      </c>
      <c r="AK106" s="40">
        <v>0</v>
      </c>
      <c r="AL106" s="52">
        <v>0</v>
      </c>
      <c r="AM106" s="674">
        <v>0</v>
      </c>
      <c r="AN106" s="40">
        <v>0</v>
      </c>
      <c r="AO106" s="52">
        <v>0</v>
      </c>
      <c r="AP106" s="674">
        <v>481.9949604305088</v>
      </c>
      <c r="AQ106" s="40">
        <v>245.06501861054295</v>
      </c>
      <c r="AR106" s="52">
        <v>-236.92994181996585</v>
      </c>
      <c r="AS106" s="674">
        <v>1862.3351344298719</v>
      </c>
      <c r="AT106" s="40">
        <v>0</v>
      </c>
      <c r="AU106" s="54">
        <v>-1862.3351344298719</v>
      </c>
      <c r="AV106" s="674">
        <v>0</v>
      </c>
      <c r="AW106" s="40">
        <v>0</v>
      </c>
      <c r="AX106" s="55">
        <v>0</v>
      </c>
      <c r="AY106" s="674">
        <v>0</v>
      </c>
      <c r="AZ106" s="40">
        <v>0</v>
      </c>
      <c r="BA106" s="35">
        <v>0</v>
      </c>
      <c r="BB106" s="674">
        <v>0</v>
      </c>
      <c r="BC106" s="40">
        <v>0</v>
      </c>
      <c r="BD106" s="55">
        <v>0</v>
      </c>
      <c r="BE106" s="674">
        <v>0</v>
      </c>
      <c r="BF106" s="40">
        <v>0</v>
      </c>
      <c r="BG106" s="38">
        <v>0</v>
      </c>
      <c r="BH106" s="674">
        <v>0</v>
      </c>
      <c r="BI106" s="40">
        <v>0</v>
      </c>
      <c r="BJ106" s="55">
        <v>0</v>
      </c>
      <c r="BK106" s="674">
        <v>0</v>
      </c>
      <c r="BL106" s="40">
        <v>0</v>
      </c>
      <c r="BM106" s="38">
        <v>0</v>
      </c>
      <c r="BN106" s="674">
        <v>7.2515047893068729</v>
      </c>
      <c r="BO106" s="40">
        <v>0</v>
      </c>
      <c r="BP106" s="55">
        <v>-7.2515047893068729</v>
      </c>
      <c r="BQ106" s="77">
        <v>7.2515047893068729</v>
      </c>
      <c r="BR106" s="40">
        <v>0</v>
      </c>
      <c r="BS106" s="55">
        <v>-7.2515047893068729</v>
      </c>
      <c r="BT106" s="674">
        <v>669.9563011175303</v>
      </c>
      <c r="BU106" s="40">
        <v>1039.4700427201858</v>
      </c>
      <c r="BV106" s="52">
        <v>369.5137416026555</v>
      </c>
      <c r="BW106" s="674">
        <v>0</v>
      </c>
      <c r="BX106" s="40">
        <v>4.3512035655567711</v>
      </c>
      <c r="BY106" s="52">
        <v>4.3512035655567711</v>
      </c>
      <c r="BZ106" s="674">
        <v>0</v>
      </c>
      <c r="CA106" s="40">
        <v>63.381294613851523</v>
      </c>
      <c r="CB106" s="52">
        <v>63.381294613851523</v>
      </c>
      <c r="CC106" s="674">
        <v>0</v>
      </c>
      <c r="CD106" s="40">
        <v>0</v>
      </c>
      <c r="CE106" s="52">
        <v>0</v>
      </c>
      <c r="CF106" s="674">
        <v>0</v>
      </c>
      <c r="CG106" s="40">
        <v>0</v>
      </c>
      <c r="CH106" s="52">
        <v>0</v>
      </c>
      <c r="CI106" s="674">
        <v>0</v>
      </c>
      <c r="CJ106" s="40">
        <v>0</v>
      </c>
      <c r="CK106" s="52">
        <v>0</v>
      </c>
      <c r="CL106" s="674">
        <v>0</v>
      </c>
      <c r="CM106" s="40">
        <v>0</v>
      </c>
      <c r="CN106" s="52">
        <v>0</v>
      </c>
      <c r="CO106" s="39">
        <v>0</v>
      </c>
      <c r="CP106" s="40">
        <v>0</v>
      </c>
      <c r="CQ106" s="52">
        <v>0</v>
      </c>
      <c r="CR106" s="72">
        <v>3273.0296136545003</v>
      </c>
      <c r="CS106" s="5">
        <v>2201.7936286752397</v>
      </c>
      <c r="CT106" s="52">
        <v>-1071.2359849792606</v>
      </c>
      <c r="CU106" s="77">
        <v>3927.6355363854</v>
      </c>
      <c r="CV106" s="65">
        <v>2642.1523544102874</v>
      </c>
      <c r="CW106" s="35">
        <v>-1285.4831819751125</v>
      </c>
      <c r="CX106" s="73">
        <v>123.20111238727996</v>
      </c>
      <c r="CY106" s="40">
        <v>1408.6842943623917</v>
      </c>
      <c r="CZ106" s="52">
        <v>1285.4831819751118</v>
      </c>
      <c r="DA106" s="150">
        <v>-1129.023236693834</v>
      </c>
      <c r="DB106" s="2">
        <v>1</v>
      </c>
      <c r="DC106" s="675">
        <v>1483.97</v>
      </c>
      <c r="DD106" s="675">
        <v>0</v>
      </c>
      <c r="DE106" s="675">
        <v>1483.97</v>
      </c>
      <c r="DF106" s="675">
        <v>0</v>
      </c>
      <c r="DG106" s="321">
        <v>156.45994528127767</v>
      </c>
      <c r="DH106" s="40">
        <v>4912.4948795942491</v>
      </c>
      <c r="DI106" s="422">
        <v>431.01467608646942</v>
      </c>
      <c r="DJ106" s="306">
        <v>1.8522332448924348</v>
      </c>
      <c r="DK106" s="306">
        <v>1.8522332448924348</v>
      </c>
      <c r="DL106" s="306">
        <v>1.8522332448924348</v>
      </c>
      <c r="DM106" s="28">
        <v>431.01467608646954</v>
      </c>
      <c r="DN106" s="28">
        <v>0</v>
      </c>
      <c r="DO106" s="423">
        <v>431.01467608646954</v>
      </c>
      <c r="DP106" s="94">
        <v>0</v>
      </c>
      <c r="DQ106" s="28">
        <v>431.01467608646954</v>
      </c>
      <c r="DR106" s="318"/>
      <c r="DT106" s="8"/>
      <c r="DU106" s="5"/>
      <c r="DX106" s="5">
        <v>2243.5039670630144</v>
      </c>
      <c r="DY106" s="5">
        <v>0</v>
      </c>
      <c r="DZ106" s="159">
        <v>244.09632460295441</v>
      </c>
      <c r="EB106" s="676">
        <v>-178.95121530452207</v>
      </c>
      <c r="EC106" s="676">
        <v>-202.90531895519121</v>
      </c>
      <c r="ED106" s="676">
        <v>-198.69192159324689</v>
      </c>
      <c r="EE106" s="676">
        <v>-350.51650249869385</v>
      </c>
      <c r="EF106" s="676">
        <v>-121.95653802742356</v>
      </c>
      <c r="EG106" s="676">
        <v>163.88614516610693</v>
      </c>
      <c r="EH106" s="676">
        <v>-133.29825460986177</v>
      </c>
      <c r="EI106" s="676">
        <v>-83.385766963521576</v>
      </c>
      <c r="EJ106" s="676">
        <v>-120.55555574688179</v>
      </c>
      <c r="EK106" s="676">
        <v>-59.108253441875831</v>
      </c>
      <c r="EL106" s="676">
        <v>0</v>
      </c>
      <c r="EM106" s="676">
        <v>0</v>
      </c>
      <c r="EN106" s="676">
        <v>-1285.4831819751116</v>
      </c>
      <c r="EQ106" s="5">
        <v>2243.5039670630144</v>
      </c>
      <c r="ER106" s="5">
        <v>0</v>
      </c>
      <c r="ET106" s="318">
        <v>-2213.4945762849543</v>
      </c>
      <c r="EU106" s="5">
        <v>1797.9545215662317</v>
      </c>
    </row>
    <row r="107" spans="1:151" x14ac:dyDescent="0.3">
      <c r="A107" s="325">
        <v>150000593</v>
      </c>
      <c r="B107" s="41" t="s">
        <v>556</v>
      </c>
      <c r="C107" s="42" t="s">
        <v>256</v>
      </c>
      <c r="D107" s="27">
        <v>5</v>
      </c>
      <c r="E107" s="293">
        <v>1899.07</v>
      </c>
      <c r="F107" s="305">
        <v>1780.57</v>
      </c>
      <c r="G107" s="508">
        <v>0</v>
      </c>
      <c r="H107" s="677">
        <v>118.5</v>
      </c>
      <c r="I107" s="674">
        <v>5987.6381579500694</v>
      </c>
      <c r="J107" s="40">
        <v>4965.6649330960399</v>
      </c>
      <c r="K107" s="52">
        <v>-1021.9732248540295</v>
      </c>
      <c r="L107" s="674">
        <v>1150.8519256586485</v>
      </c>
      <c r="M107" s="40">
        <v>917.32547287532282</v>
      </c>
      <c r="N107" s="52">
        <v>-233.52645278332568</v>
      </c>
      <c r="O107" s="674">
        <v>2670.3380438433796</v>
      </c>
      <c r="P107" s="40">
        <v>2670.33</v>
      </c>
      <c r="Q107" s="52">
        <v>-8.0438433797098696E-3</v>
      </c>
      <c r="R107" s="674">
        <v>0</v>
      </c>
      <c r="S107" s="40">
        <v>0</v>
      </c>
      <c r="T107" s="52">
        <v>0</v>
      </c>
      <c r="U107" s="674">
        <v>0</v>
      </c>
      <c r="V107" s="40">
        <v>0</v>
      </c>
      <c r="W107" s="52">
        <v>0</v>
      </c>
      <c r="X107" s="674">
        <v>2896.5676099792699</v>
      </c>
      <c r="Y107" s="40">
        <v>2476.7625791181772</v>
      </c>
      <c r="Z107" s="52">
        <v>-419.80503086109275</v>
      </c>
      <c r="AA107" s="674">
        <v>227.90280000000001</v>
      </c>
      <c r="AB107" s="40">
        <v>0</v>
      </c>
      <c r="AC107" s="52">
        <v>-227.90280000000001</v>
      </c>
      <c r="AD107" s="674">
        <v>8135.3426751833913</v>
      </c>
      <c r="AE107" s="40">
        <v>8068.6201886946474</v>
      </c>
      <c r="AF107" s="35">
        <v>-66.722486488743925</v>
      </c>
      <c r="AG107" s="77">
        <v>21068.641212614759</v>
      </c>
      <c r="AH107" s="53">
        <v>19098.703173784186</v>
      </c>
      <c r="AI107" s="52">
        <v>-1969.9380388305726</v>
      </c>
      <c r="AJ107" s="674">
        <v>0</v>
      </c>
      <c r="AK107" s="40">
        <v>0</v>
      </c>
      <c r="AL107" s="52">
        <v>0</v>
      </c>
      <c r="AM107" s="674">
        <v>0</v>
      </c>
      <c r="AN107" s="40">
        <v>0</v>
      </c>
      <c r="AO107" s="52">
        <v>0</v>
      </c>
      <c r="AP107" s="674">
        <v>5126.3917983703523</v>
      </c>
      <c r="AQ107" s="40">
        <v>4603.9015978194675</v>
      </c>
      <c r="AR107" s="52">
        <v>-522.49020055088477</v>
      </c>
      <c r="AS107" s="674">
        <v>14684.871390839573</v>
      </c>
      <c r="AT107" s="40">
        <v>86145.368663970832</v>
      </c>
      <c r="AU107" s="54">
        <v>71460.497273131259</v>
      </c>
      <c r="AV107" s="674">
        <v>1444.9168883313228</v>
      </c>
      <c r="AW107" s="40">
        <v>2540</v>
      </c>
      <c r="AX107" s="55">
        <v>1095.0831116686772</v>
      </c>
      <c r="AY107" s="674">
        <v>1886.6837576676633</v>
      </c>
      <c r="AZ107" s="40">
        <v>0</v>
      </c>
      <c r="BA107" s="35">
        <v>-1886.6837576676633</v>
      </c>
      <c r="BB107" s="674">
        <v>408.91422489452191</v>
      </c>
      <c r="BC107" s="40">
        <v>0</v>
      </c>
      <c r="BD107" s="55">
        <v>-408.91422489452191</v>
      </c>
      <c r="BE107" s="674">
        <v>0</v>
      </c>
      <c r="BF107" s="40">
        <v>0</v>
      </c>
      <c r="BG107" s="38">
        <v>0</v>
      </c>
      <c r="BH107" s="674">
        <v>0</v>
      </c>
      <c r="BI107" s="40">
        <v>0</v>
      </c>
      <c r="BJ107" s="55">
        <v>0</v>
      </c>
      <c r="BK107" s="674">
        <v>602.77427562736091</v>
      </c>
      <c r="BL107" s="40">
        <v>0</v>
      </c>
      <c r="BM107" s="38">
        <v>-602.77427562736091</v>
      </c>
      <c r="BN107" s="674">
        <v>438.11731665016134</v>
      </c>
      <c r="BO107" s="40">
        <v>0</v>
      </c>
      <c r="BP107" s="55">
        <v>-438.11731665016134</v>
      </c>
      <c r="BQ107" s="77">
        <v>4781.4064631710298</v>
      </c>
      <c r="BR107" s="40">
        <v>2540</v>
      </c>
      <c r="BS107" s="55">
        <v>-2241.4064631710298</v>
      </c>
      <c r="BT107" s="674">
        <v>15460.620823810199</v>
      </c>
      <c r="BU107" s="40">
        <v>19005.853613811905</v>
      </c>
      <c r="BV107" s="52">
        <v>3545.2327900017062</v>
      </c>
      <c r="BW107" s="674">
        <v>7328.7422420901694</v>
      </c>
      <c r="BX107" s="40">
        <v>10352.054520371968</v>
      </c>
      <c r="BY107" s="52">
        <v>3023.3122782817991</v>
      </c>
      <c r="BZ107" s="674">
        <v>8270.4295700322891</v>
      </c>
      <c r="CA107" s="40">
        <v>4654.502929412276</v>
      </c>
      <c r="CB107" s="52">
        <v>-3615.9266406200131</v>
      </c>
      <c r="CC107" s="674">
        <v>661.39685949523937</v>
      </c>
      <c r="CD107" s="40">
        <v>695.14202786665953</v>
      </c>
      <c r="CE107" s="52">
        <v>33.745168371420164</v>
      </c>
      <c r="CF107" s="674">
        <v>80.836363427491591</v>
      </c>
      <c r="CG107" s="40">
        <v>0</v>
      </c>
      <c r="CH107" s="52">
        <v>-80.836363427491591</v>
      </c>
      <c r="CI107" s="674">
        <v>1796.0510933433625</v>
      </c>
      <c r="CJ107" s="40">
        <v>2296.3667612870313</v>
      </c>
      <c r="CK107" s="52">
        <v>500.31566794366881</v>
      </c>
      <c r="CL107" s="674">
        <v>0</v>
      </c>
      <c r="CM107" s="40">
        <v>0</v>
      </c>
      <c r="CN107" s="52">
        <v>0</v>
      </c>
      <c r="CO107" s="39">
        <v>1796.0510933433625</v>
      </c>
      <c r="CP107" s="40">
        <v>2296.3667612870313</v>
      </c>
      <c r="CQ107" s="52">
        <v>500.31566794366881</v>
      </c>
      <c r="CR107" s="72">
        <v>79259.387817194467</v>
      </c>
      <c r="CS107" s="5">
        <v>149391.89328832433</v>
      </c>
      <c r="CT107" s="52">
        <v>70132.505471129858</v>
      </c>
      <c r="CU107" s="77">
        <v>95111.265380633355</v>
      </c>
      <c r="CV107" s="65">
        <v>179270.2719459892</v>
      </c>
      <c r="CW107" s="35">
        <v>84159.006565355841</v>
      </c>
      <c r="CX107" s="73">
        <v>2498.6982722160492</v>
      </c>
      <c r="CY107" s="40">
        <v>-81660.30829313978</v>
      </c>
      <c r="CZ107" s="52">
        <v>-84159.006565355827</v>
      </c>
      <c r="DA107" s="150">
        <v>50572.16058833323</v>
      </c>
      <c r="DB107" s="2">
        <v>1</v>
      </c>
      <c r="DC107" s="675">
        <v>10940.47</v>
      </c>
      <c r="DD107" s="675">
        <v>366.24</v>
      </c>
      <c r="DE107" s="675">
        <v>2866.0979645289635</v>
      </c>
      <c r="DF107" s="675">
        <v>-115.97898272582819</v>
      </c>
      <c r="DG107" s="321">
        <v>-33586.845977022625</v>
      </c>
      <c r="DH107" s="40">
        <v>97602.567804747407</v>
      </c>
      <c r="DI107" s="422">
        <v>8556.5910181968629</v>
      </c>
      <c r="DJ107" s="306">
        <v>4.5347119380148131</v>
      </c>
      <c r="DK107" s="306">
        <v>4.5347119380148131</v>
      </c>
      <c r="DL107" s="306">
        <v>4.0693585040154279</v>
      </c>
      <c r="DM107" s="28">
        <v>8074.3720354710358</v>
      </c>
      <c r="DN107" s="28">
        <v>482.2189827258282</v>
      </c>
      <c r="DO107" s="423">
        <v>8556.5910181968648</v>
      </c>
      <c r="DP107" s="94">
        <v>0</v>
      </c>
      <c r="DQ107" s="28">
        <v>8556.5910181968648</v>
      </c>
      <c r="DR107" s="318"/>
      <c r="DT107" s="8"/>
      <c r="DU107" s="5"/>
      <c r="DX107" s="5">
        <v>23359.533424812722</v>
      </c>
      <c r="DY107" s="5">
        <v>106422.44239676499</v>
      </c>
      <c r="DZ107" s="159">
        <v>2034.6209477508792</v>
      </c>
      <c r="EB107" s="676">
        <v>-750.14183304109429</v>
      </c>
      <c r="EC107" s="676">
        <v>-1563.7513040080084</v>
      </c>
      <c r="ED107" s="676">
        <v>5110.4335287227595</v>
      </c>
      <c r="EE107" s="676">
        <v>-174.38605243876009</v>
      </c>
      <c r="EF107" s="676">
        <v>-4566.2395462775567</v>
      </c>
      <c r="EG107" s="676">
        <v>-1088.8092909774978</v>
      </c>
      <c r="EH107" s="676">
        <v>53546.832227204475</v>
      </c>
      <c r="EI107" s="676">
        <v>4227.7704809894058</v>
      </c>
      <c r="EJ107" s="676">
        <v>34677.494245769311</v>
      </c>
      <c r="EK107" s="676">
        <v>-2018.7210817812302</v>
      </c>
      <c r="EL107" s="676">
        <v>-1891.1523794406839</v>
      </c>
      <c r="EM107" s="676">
        <v>-1350.3224293652811</v>
      </c>
      <c r="EN107" s="676">
        <v>84159.006565355856</v>
      </c>
      <c r="EQ107" s="5">
        <v>23359.533424812722</v>
      </c>
      <c r="ER107" s="5">
        <v>106422.44239676499</v>
      </c>
      <c r="ET107" s="318">
        <v>-11314.565345749743</v>
      </c>
      <c r="EU107" s="5">
        <v>-5442.2806312728844</v>
      </c>
    </row>
    <row r="108" spans="1:151" x14ac:dyDescent="0.3">
      <c r="A108" s="325">
        <v>150000594</v>
      </c>
      <c r="B108" s="41" t="s">
        <v>557</v>
      </c>
      <c r="C108" s="42" t="s">
        <v>355</v>
      </c>
      <c r="D108" s="27">
        <v>9</v>
      </c>
      <c r="E108" s="293">
        <v>9277.65</v>
      </c>
      <c r="F108" s="305">
        <v>9162.5499999999993</v>
      </c>
      <c r="G108" s="508">
        <v>1004.05</v>
      </c>
      <c r="H108" s="677">
        <v>115.1</v>
      </c>
      <c r="I108" s="674">
        <v>23650.347684947228</v>
      </c>
      <c r="J108" s="40">
        <v>19946.476653678306</v>
      </c>
      <c r="K108" s="52">
        <v>-3703.8710312689218</v>
      </c>
      <c r="L108" s="674">
        <v>4049.8186161763956</v>
      </c>
      <c r="M108" s="40">
        <v>3227.8775899632092</v>
      </c>
      <c r="N108" s="52">
        <v>-821.94102621318643</v>
      </c>
      <c r="O108" s="674">
        <v>13356.019777875204</v>
      </c>
      <c r="P108" s="40">
        <v>13356.029999999999</v>
      </c>
      <c r="Q108" s="52">
        <v>1.0222124794381671E-2</v>
      </c>
      <c r="R108" s="674">
        <v>2846.8099123039742</v>
      </c>
      <c r="S108" s="40">
        <v>2846.8199999999993</v>
      </c>
      <c r="T108" s="52">
        <v>1.0087696025038895E-2</v>
      </c>
      <c r="U108" s="674">
        <v>4224.582062764749</v>
      </c>
      <c r="V108" s="40">
        <v>1765.3622566222757</v>
      </c>
      <c r="W108" s="52">
        <v>-2459.2198061424733</v>
      </c>
      <c r="X108" s="674">
        <v>19890.1727699968</v>
      </c>
      <c r="Y108" s="40">
        <v>15029.725315175812</v>
      </c>
      <c r="Z108" s="52">
        <v>-4860.4474548209873</v>
      </c>
      <c r="AA108" s="674">
        <v>1113.57</v>
      </c>
      <c r="AB108" s="40">
        <v>0</v>
      </c>
      <c r="AC108" s="52">
        <v>-1113.57</v>
      </c>
      <c r="AD108" s="674">
        <v>39777.765118775715</v>
      </c>
      <c r="AE108" s="40">
        <v>39419.449888857474</v>
      </c>
      <c r="AF108" s="35">
        <v>-358.31522991824022</v>
      </c>
      <c r="AG108" s="77">
        <v>108909.08594284007</v>
      </c>
      <c r="AH108" s="53">
        <v>95591.741704297077</v>
      </c>
      <c r="AI108" s="52">
        <v>-13317.344238542995</v>
      </c>
      <c r="AJ108" s="674">
        <v>87090.001322482451</v>
      </c>
      <c r="AK108" s="40">
        <v>86518.185808900278</v>
      </c>
      <c r="AL108" s="52">
        <v>-571.81551358217257</v>
      </c>
      <c r="AM108" s="674">
        <v>630.44965500000001</v>
      </c>
      <c r="AN108" s="40">
        <v>0</v>
      </c>
      <c r="AO108" s="52">
        <v>-630.44965500000001</v>
      </c>
      <c r="AP108" s="674">
        <v>6520.4106207342202</v>
      </c>
      <c r="AQ108" s="40">
        <v>5418.9947552447557</v>
      </c>
      <c r="AR108" s="52">
        <v>-1101.4158654894645</v>
      </c>
      <c r="AS108" s="674">
        <v>141812.90127387823</v>
      </c>
      <c r="AT108" s="40">
        <v>80576.41</v>
      </c>
      <c r="AU108" s="54">
        <v>-61236.49127387823</v>
      </c>
      <c r="AV108" s="674">
        <v>3001.7418988746504</v>
      </c>
      <c r="AW108" s="40">
        <v>1669</v>
      </c>
      <c r="AX108" s="55">
        <v>-1332.7418988746504</v>
      </c>
      <c r="AY108" s="674">
        <v>3517.4279502808758</v>
      </c>
      <c r="AZ108" s="40">
        <v>3523</v>
      </c>
      <c r="BA108" s="35">
        <v>5.572049719124152</v>
      </c>
      <c r="BB108" s="674">
        <v>1962.3356260489104</v>
      </c>
      <c r="BC108" s="40">
        <v>0</v>
      </c>
      <c r="BD108" s="55">
        <v>-1962.3356260489104</v>
      </c>
      <c r="BE108" s="674">
        <v>3270.9215442905829</v>
      </c>
      <c r="BF108" s="40">
        <v>0</v>
      </c>
      <c r="BG108" s="38">
        <v>-3270.9215442905829</v>
      </c>
      <c r="BH108" s="674">
        <v>4405.9508966745552</v>
      </c>
      <c r="BI108" s="40">
        <v>0</v>
      </c>
      <c r="BJ108" s="55">
        <v>-4405.9508966745552</v>
      </c>
      <c r="BK108" s="674">
        <v>3650.8051938233671</v>
      </c>
      <c r="BL108" s="40">
        <v>698</v>
      </c>
      <c r="BM108" s="38">
        <v>-2952.8051938233671</v>
      </c>
      <c r="BN108" s="674">
        <v>1040.7671439739747</v>
      </c>
      <c r="BO108" s="40">
        <v>0</v>
      </c>
      <c r="BP108" s="55">
        <v>-1040.7671439739747</v>
      </c>
      <c r="BQ108" s="77">
        <v>20849.950253966916</v>
      </c>
      <c r="BR108" s="40">
        <v>5890</v>
      </c>
      <c r="BS108" s="55">
        <v>-14959.950253966916</v>
      </c>
      <c r="BT108" s="674">
        <v>114452.17898891337</v>
      </c>
      <c r="BU108" s="40">
        <v>112760.53901029433</v>
      </c>
      <c r="BV108" s="52">
        <v>-1691.6399786190304</v>
      </c>
      <c r="BW108" s="674">
        <v>69062.239228755963</v>
      </c>
      <c r="BX108" s="40">
        <v>69333.127147665844</v>
      </c>
      <c r="BY108" s="52">
        <v>270.88791890988068</v>
      </c>
      <c r="BZ108" s="674">
        <v>14423.951205375455</v>
      </c>
      <c r="CA108" s="40">
        <v>23329.735721180052</v>
      </c>
      <c r="CB108" s="52">
        <v>8905.7845158045966</v>
      </c>
      <c r="CC108" s="674">
        <v>2453.4533520126333</v>
      </c>
      <c r="CD108" s="40">
        <v>2572.6096560712331</v>
      </c>
      <c r="CE108" s="52">
        <v>119.15630405859974</v>
      </c>
      <c r="CF108" s="674">
        <v>299.16247439888485</v>
      </c>
      <c r="CG108" s="40">
        <v>0</v>
      </c>
      <c r="CH108" s="52">
        <v>-299.16247439888485</v>
      </c>
      <c r="CI108" s="674">
        <v>38306.053679625096</v>
      </c>
      <c r="CJ108" s="40">
        <v>34692.516667616743</v>
      </c>
      <c r="CK108" s="52">
        <v>-3613.5370120083535</v>
      </c>
      <c r="CL108" s="674">
        <v>15117.065053125822</v>
      </c>
      <c r="CM108" s="40">
        <v>15504.989945277788</v>
      </c>
      <c r="CN108" s="52">
        <v>387.92489215196656</v>
      </c>
      <c r="CO108" s="39">
        <v>53423.118732750918</v>
      </c>
      <c r="CP108" s="40">
        <v>50197.506612894533</v>
      </c>
      <c r="CQ108" s="52">
        <v>-3225.6121198563851</v>
      </c>
      <c r="CR108" s="72">
        <v>619926.90305110905</v>
      </c>
      <c r="CS108" s="5">
        <v>532188.85041654808</v>
      </c>
      <c r="CT108" s="52">
        <v>-87738.052634560969</v>
      </c>
      <c r="CU108" s="77">
        <v>743912.28366133082</v>
      </c>
      <c r="CV108" s="65">
        <v>638626.6204998577</v>
      </c>
      <c r="CW108" s="35">
        <v>-105285.66316147312</v>
      </c>
      <c r="CX108" s="73">
        <v>23436.784555402744</v>
      </c>
      <c r="CY108" s="40">
        <v>128722.4477168759</v>
      </c>
      <c r="CZ108" s="52">
        <v>105285.66316147316</v>
      </c>
      <c r="DA108" s="150">
        <v>2558.66390363338</v>
      </c>
      <c r="DB108" s="2">
        <v>1</v>
      </c>
      <c r="DC108" s="675">
        <v>94956.87</v>
      </c>
      <c r="DD108" s="675">
        <v>6145.22</v>
      </c>
      <c r="DE108" s="675">
        <v>28564.71282162203</v>
      </c>
      <c r="DF108" s="675">
        <v>5545.8016237354477</v>
      </c>
      <c r="DG108" s="321">
        <v>107844.32706510655</v>
      </c>
      <c r="DH108" s="40">
        <v>766408.13901265501</v>
      </c>
      <c r="DI108" s="422">
        <v>66991.575554642506</v>
      </c>
      <c r="DJ108" s="306">
        <v>6.0576674010013409</v>
      </c>
      <c r="DK108" s="306">
        <v>7.3922848837902277</v>
      </c>
      <c r="DL108" s="306">
        <v>5.2078051804044563</v>
      </c>
      <c r="DM108" s="28">
        <v>66392.157178377965</v>
      </c>
      <c r="DN108" s="28">
        <v>599.41837626455288</v>
      </c>
      <c r="DO108" s="423">
        <v>66991.575554642521</v>
      </c>
      <c r="DP108" s="94">
        <v>0</v>
      </c>
      <c r="DQ108" s="28">
        <v>66991.575554642521</v>
      </c>
      <c r="DR108" s="318"/>
      <c r="DT108" s="8"/>
      <c r="DU108" s="5"/>
      <c r="DX108" s="5">
        <v>195195.42183341415</v>
      </c>
      <c r="DY108" s="5">
        <v>103759.692</v>
      </c>
      <c r="DZ108" s="159">
        <v>17227.985328333532</v>
      </c>
      <c r="EB108" s="676">
        <v>8782.9882650906729</v>
      </c>
      <c r="EC108" s="676">
        <v>-9387.5179923893083</v>
      </c>
      <c r="ED108" s="676">
        <v>-10119.794635234422</v>
      </c>
      <c r="EE108" s="676">
        <v>-3058.4017064995423</v>
      </c>
      <c r="EF108" s="676">
        <v>-19171.409053021322</v>
      </c>
      <c r="EG108" s="676">
        <v>-22801.806750112424</v>
      </c>
      <c r="EH108" s="676">
        <v>-23263.666449573335</v>
      </c>
      <c r="EI108" s="676">
        <v>9174.7358556790714</v>
      </c>
      <c r="EJ108" s="676">
        <v>5448.3060056375107</v>
      </c>
      <c r="EK108" s="676">
        <v>-2300.2108228125144</v>
      </c>
      <c r="EL108" s="676">
        <v>-22792.146491374879</v>
      </c>
      <c r="EM108" s="676">
        <v>-15796.739386862675</v>
      </c>
      <c r="EN108" s="676">
        <v>-105285.66316147317</v>
      </c>
      <c r="EQ108" s="5">
        <v>195195.42183341415</v>
      </c>
      <c r="ER108" s="5">
        <v>103759.692</v>
      </c>
      <c r="ET108" s="318">
        <v>-84383.891279823903</v>
      </c>
      <c r="EU108" s="5">
        <v>143983.6183449305</v>
      </c>
    </row>
    <row r="109" spans="1:151" x14ac:dyDescent="0.3">
      <c r="A109" s="325">
        <v>150000834</v>
      </c>
      <c r="B109" s="41" t="s">
        <v>558</v>
      </c>
      <c r="C109" s="42" t="s">
        <v>80</v>
      </c>
      <c r="D109" s="27">
        <v>1</v>
      </c>
      <c r="E109" s="293">
        <v>198.8</v>
      </c>
      <c r="F109" s="305">
        <v>198.8</v>
      </c>
      <c r="G109" s="508">
        <v>0</v>
      </c>
      <c r="H109" s="677">
        <v>0</v>
      </c>
      <c r="I109" s="674">
        <v>0</v>
      </c>
      <c r="J109" s="40">
        <v>0</v>
      </c>
      <c r="K109" s="52">
        <v>0</v>
      </c>
      <c r="L109" s="674">
        <v>0</v>
      </c>
      <c r="M109" s="40">
        <v>0</v>
      </c>
      <c r="N109" s="52">
        <v>0</v>
      </c>
      <c r="O109" s="674">
        <v>0</v>
      </c>
      <c r="P109" s="40">
        <v>0</v>
      </c>
      <c r="Q109" s="52">
        <v>0</v>
      </c>
      <c r="R109" s="674">
        <v>0</v>
      </c>
      <c r="S109" s="40">
        <v>0</v>
      </c>
      <c r="T109" s="52">
        <v>0</v>
      </c>
      <c r="U109" s="674">
        <v>0</v>
      </c>
      <c r="V109" s="40">
        <v>0</v>
      </c>
      <c r="W109" s="52">
        <v>0</v>
      </c>
      <c r="X109" s="674">
        <v>0</v>
      </c>
      <c r="Y109" s="40">
        <v>0</v>
      </c>
      <c r="Z109" s="52">
        <v>0</v>
      </c>
      <c r="AA109" s="674">
        <v>23.856000000000002</v>
      </c>
      <c r="AB109" s="40">
        <v>0</v>
      </c>
      <c r="AC109" s="52">
        <v>-23.856000000000002</v>
      </c>
      <c r="AD109" s="674">
        <v>191.00065535149511</v>
      </c>
      <c r="AE109" s="40">
        <v>725.76614761505141</v>
      </c>
      <c r="AF109" s="35">
        <v>534.76549226355633</v>
      </c>
      <c r="AG109" s="77">
        <v>214.85665535149511</v>
      </c>
      <c r="AH109" s="53">
        <v>725.76614761505141</v>
      </c>
      <c r="AI109" s="52">
        <v>510.90949226355633</v>
      </c>
      <c r="AJ109" s="674">
        <v>0</v>
      </c>
      <c r="AK109" s="40">
        <v>0</v>
      </c>
      <c r="AL109" s="52">
        <v>0</v>
      </c>
      <c r="AM109" s="674">
        <v>0</v>
      </c>
      <c r="AN109" s="40">
        <v>0</v>
      </c>
      <c r="AO109" s="52">
        <v>0</v>
      </c>
      <c r="AP109" s="674">
        <v>444.91842501277739</v>
      </c>
      <c r="AQ109" s="40">
        <v>448.76449922990878</v>
      </c>
      <c r="AR109" s="52">
        <v>3.8460742171313882</v>
      </c>
      <c r="AS109" s="674">
        <v>1997.3735086166448</v>
      </c>
      <c r="AT109" s="40">
        <v>0</v>
      </c>
      <c r="AU109" s="54">
        <v>-1997.3735086166448</v>
      </c>
      <c r="AV109" s="674">
        <v>0</v>
      </c>
      <c r="AW109" s="40">
        <v>0</v>
      </c>
      <c r="AX109" s="55">
        <v>0</v>
      </c>
      <c r="AY109" s="674">
        <v>0</v>
      </c>
      <c r="AZ109" s="40">
        <v>0</v>
      </c>
      <c r="BA109" s="35">
        <v>0</v>
      </c>
      <c r="BB109" s="674">
        <v>0</v>
      </c>
      <c r="BC109" s="40">
        <v>0</v>
      </c>
      <c r="BD109" s="55">
        <v>0</v>
      </c>
      <c r="BE109" s="674">
        <v>0</v>
      </c>
      <c r="BF109" s="40">
        <v>0</v>
      </c>
      <c r="BG109" s="38">
        <v>0</v>
      </c>
      <c r="BH109" s="674">
        <v>0</v>
      </c>
      <c r="BI109" s="40">
        <v>0</v>
      </c>
      <c r="BJ109" s="55">
        <v>0</v>
      </c>
      <c r="BK109" s="674">
        <v>0</v>
      </c>
      <c r="BL109" s="40">
        <v>0</v>
      </c>
      <c r="BM109" s="38">
        <v>0</v>
      </c>
      <c r="BN109" s="674">
        <v>10.4126164702468</v>
      </c>
      <c r="BO109" s="40">
        <v>0</v>
      </c>
      <c r="BP109" s="55">
        <v>-10.4126164702468</v>
      </c>
      <c r="BQ109" s="77">
        <v>10.4126164702468</v>
      </c>
      <c r="BR109" s="40">
        <v>0</v>
      </c>
      <c r="BS109" s="55">
        <v>-10.4126164702468</v>
      </c>
      <c r="BT109" s="674">
        <v>0</v>
      </c>
      <c r="BU109" s="40">
        <v>0</v>
      </c>
      <c r="BV109" s="52">
        <v>0</v>
      </c>
      <c r="BW109" s="674">
        <v>0</v>
      </c>
      <c r="BX109" s="40">
        <v>3.7173152936514233</v>
      </c>
      <c r="BY109" s="52">
        <v>3.7173152936514233</v>
      </c>
      <c r="BZ109" s="674">
        <v>0</v>
      </c>
      <c r="CA109" s="40">
        <v>0</v>
      </c>
      <c r="CB109" s="52">
        <v>0</v>
      </c>
      <c r="CC109" s="674">
        <v>0</v>
      </c>
      <c r="CD109" s="40">
        <v>0</v>
      </c>
      <c r="CE109" s="52">
        <v>0</v>
      </c>
      <c r="CF109" s="674">
        <v>0</v>
      </c>
      <c r="CG109" s="40">
        <v>0</v>
      </c>
      <c r="CH109" s="52">
        <v>0</v>
      </c>
      <c r="CI109" s="674">
        <v>0</v>
      </c>
      <c r="CJ109" s="40">
        <v>0</v>
      </c>
      <c r="CK109" s="52">
        <v>0</v>
      </c>
      <c r="CL109" s="674">
        <v>0</v>
      </c>
      <c r="CM109" s="40">
        <v>0</v>
      </c>
      <c r="CN109" s="52">
        <v>0</v>
      </c>
      <c r="CO109" s="39">
        <v>0</v>
      </c>
      <c r="CP109" s="40">
        <v>0</v>
      </c>
      <c r="CQ109" s="52">
        <v>0</v>
      </c>
      <c r="CR109" s="72">
        <v>2667.5612054511639</v>
      </c>
      <c r="CS109" s="5">
        <v>1178.2479621386117</v>
      </c>
      <c r="CT109" s="52">
        <v>-1489.3132433125522</v>
      </c>
      <c r="CU109" s="77">
        <v>3201.0734465413966</v>
      </c>
      <c r="CV109" s="65">
        <v>1413.8975545663341</v>
      </c>
      <c r="CW109" s="35">
        <v>-1787.1758919750625</v>
      </c>
      <c r="CX109" s="73">
        <v>100.5230343494471</v>
      </c>
      <c r="CY109" s="40">
        <v>1887.6989263245107</v>
      </c>
      <c r="CZ109" s="52">
        <v>1787.1758919750637</v>
      </c>
      <c r="DA109" s="150">
        <v>-7021.9025839317128</v>
      </c>
      <c r="DB109" s="2">
        <v>1</v>
      </c>
      <c r="DC109" s="675">
        <v>1664.57</v>
      </c>
      <c r="DD109" s="675">
        <v>0</v>
      </c>
      <c r="DE109" s="675">
        <v>1664.57</v>
      </c>
      <c r="DF109" s="675">
        <v>0</v>
      </c>
      <c r="DG109" s="321">
        <v>-5234.7266919566491</v>
      </c>
      <c r="DH109" s="40">
        <v>4002.5604351266725</v>
      </c>
      <c r="DI109" s="422">
        <v>350.63404646314393</v>
      </c>
      <c r="DJ109" s="306">
        <v>1.7637527488085709</v>
      </c>
      <c r="DK109" s="306">
        <v>1.7637527488085709</v>
      </c>
      <c r="DL109" s="306">
        <v>1.7637527488085709</v>
      </c>
      <c r="DM109" s="28">
        <v>350.63404646314393</v>
      </c>
      <c r="DN109" s="28">
        <v>0</v>
      </c>
      <c r="DO109" s="423">
        <v>350.63404646314393</v>
      </c>
      <c r="DP109" s="94">
        <v>0</v>
      </c>
      <c r="DQ109" s="28">
        <v>350.63404646314393</v>
      </c>
      <c r="DR109" s="318"/>
      <c r="DT109" s="8"/>
      <c r="DU109" s="5"/>
      <c r="DX109" s="5">
        <v>2409.34335010427</v>
      </c>
      <c r="DY109" s="5">
        <v>0</v>
      </c>
      <c r="DZ109" s="159">
        <v>285.26093797578972</v>
      </c>
      <c r="EB109" s="676">
        <v>127.6175156904265</v>
      </c>
      <c r="EC109" s="676">
        <v>-161.92804584541102</v>
      </c>
      <c r="ED109" s="676">
        <v>-158.32846099128756</v>
      </c>
      <c r="EE109" s="676">
        <v>-282.29196063241614</v>
      </c>
      <c r="EF109" s="676">
        <v>-271.97800006827867</v>
      </c>
      <c r="EG109" s="676">
        <v>-275.97743151153543</v>
      </c>
      <c r="EH109" s="676">
        <v>-9.3427495452809239</v>
      </c>
      <c r="EI109" s="676">
        <v>-243.2287858748646</v>
      </c>
      <c r="EJ109" s="676">
        <v>-275.21610796289747</v>
      </c>
      <c r="EK109" s="676">
        <v>-236.50186523351809</v>
      </c>
      <c r="EL109" s="676">
        <v>0</v>
      </c>
      <c r="EM109" s="676">
        <v>0</v>
      </c>
      <c r="EN109" s="676">
        <v>-1787.1758919750635</v>
      </c>
      <c r="EQ109" s="5">
        <v>2409.34335010427</v>
      </c>
      <c r="ER109" s="5">
        <v>0</v>
      </c>
      <c r="ET109" s="318">
        <v>-671.03541560208168</v>
      </c>
      <c r="EU109" s="5">
        <v>-1397.8912763545668</v>
      </c>
    </row>
    <row r="110" spans="1:151" x14ac:dyDescent="0.3">
      <c r="A110" s="325">
        <v>150000627</v>
      </c>
      <c r="B110" s="41" t="s">
        <v>559</v>
      </c>
      <c r="C110" s="42" t="s">
        <v>356</v>
      </c>
      <c r="D110" s="27">
        <v>9</v>
      </c>
      <c r="E110" s="293">
        <v>3777.3500000000004</v>
      </c>
      <c r="F110" s="305">
        <v>3714.05</v>
      </c>
      <c r="G110" s="508">
        <v>340.25</v>
      </c>
      <c r="H110" s="677">
        <v>63.3</v>
      </c>
      <c r="I110" s="674">
        <v>9561.632394537759</v>
      </c>
      <c r="J110" s="40">
        <v>8058.1835970934217</v>
      </c>
      <c r="K110" s="52">
        <v>-1503.4487974443373</v>
      </c>
      <c r="L110" s="674">
        <v>1947.6378920105331</v>
      </c>
      <c r="M110" s="40">
        <v>1551.6337885566413</v>
      </c>
      <c r="N110" s="52">
        <v>-396.00410345389173</v>
      </c>
      <c r="O110" s="674">
        <v>5991.3790748627325</v>
      </c>
      <c r="P110" s="40">
        <v>5991.3899999999976</v>
      </c>
      <c r="Q110" s="52">
        <v>1.0925137265076046E-2</v>
      </c>
      <c r="R110" s="674">
        <v>1096.7845966611053</v>
      </c>
      <c r="S110" s="40">
        <v>1096.8000000000002</v>
      </c>
      <c r="T110" s="52">
        <v>1.5403338894884655E-2</v>
      </c>
      <c r="U110" s="674">
        <v>714.84307937464087</v>
      </c>
      <c r="V110" s="40">
        <v>317.05012858705243</v>
      </c>
      <c r="W110" s="52">
        <v>-397.79295078758844</v>
      </c>
      <c r="X110" s="674">
        <v>7405.8769949317211</v>
      </c>
      <c r="Y110" s="40">
        <v>5783.7006519910656</v>
      </c>
      <c r="Z110" s="52">
        <v>-1622.1763429406556</v>
      </c>
      <c r="AA110" s="674">
        <v>453.27360000000004</v>
      </c>
      <c r="AB110" s="40">
        <v>0</v>
      </c>
      <c r="AC110" s="52">
        <v>-453.27360000000004</v>
      </c>
      <c r="AD110" s="674">
        <v>16191.55455469208</v>
      </c>
      <c r="AE110" s="40">
        <v>16048.823070931085</v>
      </c>
      <c r="AF110" s="35">
        <v>-142.73148376099562</v>
      </c>
      <c r="AG110" s="77">
        <v>43362.982187070571</v>
      </c>
      <c r="AH110" s="53">
        <v>38847.581237159262</v>
      </c>
      <c r="AI110" s="52">
        <v>-4515.400949911309</v>
      </c>
      <c r="AJ110" s="674">
        <v>54710.359787684072</v>
      </c>
      <c r="AK110" s="40">
        <v>54351.062014355884</v>
      </c>
      <c r="AL110" s="52">
        <v>-359.29777332818776</v>
      </c>
      <c r="AM110" s="674">
        <v>0</v>
      </c>
      <c r="AN110" s="40">
        <v>0</v>
      </c>
      <c r="AO110" s="52">
        <v>0</v>
      </c>
      <c r="AP110" s="674">
        <v>3192.7527867043432</v>
      </c>
      <c r="AQ110" s="40">
        <v>2656.9410963651094</v>
      </c>
      <c r="AR110" s="52">
        <v>-535.81169033923379</v>
      </c>
      <c r="AS110" s="674">
        <v>53308.198994305654</v>
      </c>
      <c r="AT110" s="40">
        <v>16976</v>
      </c>
      <c r="AU110" s="54">
        <v>-36332.198994305654</v>
      </c>
      <c r="AV110" s="674">
        <v>1597.244338215766</v>
      </c>
      <c r="AW110" s="40">
        <v>627</v>
      </c>
      <c r="AX110" s="55">
        <v>-970.24433821576599</v>
      </c>
      <c r="AY110" s="674">
        <v>2092.775485512509</v>
      </c>
      <c r="AZ110" s="40">
        <v>8830.5</v>
      </c>
      <c r="BA110" s="35">
        <v>6737.7245144874905</v>
      </c>
      <c r="BB110" s="674">
        <v>1356.4615881392456</v>
      </c>
      <c r="BC110" s="40">
        <v>0</v>
      </c>
      <c r="BD110" s="55">
        <v>-1356.4615881392456</v>
      </c>
      <c r="BE110" s="674">
        <v>1528.1907684576356</v>
      </c>
      <c r="BF110" s="40">
        <v>0</v>
      </c>
      <c r="BG110" s="38">
        <v>-1528.1907684576356</v>
      </c>
      <c r="BH110" s="674">
        <v>923.71373565197098</v>
      </c>
      <c r="BI110" s="40">
        <v>0</v>
      </c>
      <c r="BJ110" s="55">
        <v>-923.71373565197098</v>
      </c>
      <c r="BK110" s="674">
        <v>1615.3619353307868</v>
      </c>
      <c r="BL110" s="40">
        <v>0</v>
      </c>
      <c r="BM110" s="38">
        <v>-1615.3619353307868</v>
      </c>
      <c r="BN110" s="674">
        <v>361.89141433360572</v>
      </c>
      <c r="BO110" s="40">
        <v>0</v>
      </c>
      <c r="BP110" s="55">
        <v>-361.89141433360572</v>
      </c>
      <c r="BQ110" s="77">
        <v>9475.6392656415192</v>
      </c>
      <c r="BR110" s="40">
        <v>9457.5</v>
      </c>
      <c r="BS110" s="55">
        <v>-18.13926564151916</v>
      </c>
      <c r="BT110" s="674">
        <v>38921.922717098525</v>
      </c>
      <c r="BU110" s="40">
        <v>27695.11972236041</v>
      </c>
      <c r="BV110" s="52">
        <v>-11226.802994738115</v>
      </c>
      <c r="BW110" s="674">
        <v>37225.889316083267</v>
      </c>
      <c r="BX110" s="40">
        <v>29541.822131155772</v>
      </c>
      <c r="BY110" s="52">
        <v>-7684.067184927495</v>
      </c>
      <c r="BZ110" s="674">
        <v>6800.371336182875</v>
      </c>
      <c r="CA110" s="40">
        <v>7871.6792457818901</v>
      </c>
      <c r="CB110" s="52">
        <v>1071.3079095990151</v>
      </c>
      <c r="CC110" s="674">
        <v>1150.2557989070788</v>
      </c>
      <c r="CD110" s="40">
        <v>1205.6917189216683</v>
      </c>
      <c r="CE110" s="52">
        <v>55.435920014589556</v>
      </c>
      <c r="CF110" s="674">
        <v>140.20693623054007</v>
      </c>
      <c r="CG110" s="40">
        <v>0</v>
      </c>
      <c r="CH110" s="52">
        <v>-140.20693623054007</v>
      </c>
      <c r="CI110" s="674">
        <v>14982.187681846854</v>
      </c>
      <c r="CJ110" s="40">
        <v>13605.046314843425</v>
      </c>
      <c r="CK110" s="52">
        <v>-1377.141367003429</v>
      </c>
      <c r="CL110" s="674">
        <v>8045.0400552839419</v>
      </c>
      <c r="CM110" s="40">
        <v>8123.4031344244304</v>
      </c>
      <c r="CN110" s="52">
        <v>78.36307914048848</v>
      </c>
      <c r="CO110" s="39">
        <v>23027.227737130794</v>
      </c>
      <c r="CP110" s="40">
        <v>21728.449449267857</v>
      </c>
      <c r="CQ110" s="52">
        <v>-1298.7782878629368</v>
      </c>
      <c r="CR110" s="72">
        <v>271315.80686303921</v>
      </c>
      <c r="CS110" s="5">
        <v>210331.84661536783</v>
      </c>
      <c r="CT110" s="52">
        <v>-60983.960247671377</v>
      </c>
      <c r="CU110" s="77">
        <v>325578.96823564701</v>
      </c>
      <c r="CV110" s="65">
        <v>252398.2159384414</v>
      </c>
      <c r="CW110" s="35">
        <v>-73180.752297205618</v>
      </c>
      <c r="CX110" s="73">
        <v>9853.0358876553892</v>
      </c>
      <c r="CY110" s="40">
        <v>83033.788184860983</v>
      </c>
      <c r="CZ110" s="52">
        <v>73180.752297205589</v>
      </c>
      <c r="DA110" s="150">
        <v>50369.589969475215</v>
      </c>
      <c r="DB110" s="2">
        <v>1</v>
      </c>
      <c r="DC110" s="675">
        <v>81503.38</v>
      </c>
      <c r="DD110" s="675">
        <v>310.36</v>
      </c>
      <c r="DE110" s="675">
        <v>52413.041295910523</v>
      </c>
      <c r="DF110" s="675">
        <v>-8.3216106901318199E-4</v>
      </c>
      <c r="DG110" s="321">
        <v>123550.34226668082</v>
      </c>
      <c r="DH110" s="40">
        <v>335406.57694889727</v>
      </c>
      <c r="DI110" s="422">
        <v>29400.699536250551</v>
      </c>
      <c r="DJ110" s="306">
        <v>6.0277309476763064</v>
      </c>
      <c r="DK110" s="306">
        <v>8.0145246455458583</v>
      </c>
      <c r="DL110" s="306">
        <v>4.9030147260832395</v>
      </c>
      <c r="DM110" s="28">
        <v>29090.338704089481</v>
      </c>
      <c r="DN110" s="28">
        <v>310.36083216106903</v>
      </c>
      <c r="DO110" s="423">
        <v>29400.699536250551</v>
      </c>
      <c r="DP110" s="94">
        <v>0</v>
      </c>
      <c r="DQ110" s="28">
        <v>29400.699536250551</v>
      </c>
      <c r="DR110" s="318"/>
      <c r="DT110" s="8"/>
      <c r="DU110" s="5"/>
      <c r="DX110" s="5">
        <v>75340.605911936611</v>
      </c>
      <c r="DY110" s="5">
        <v>31720.199999999997</v>
      </c>
      <c r="DZ110" s="159">
        <v>6675.1190825744789</v>
      </c>
      <c r="EB110" s="676">
        <v>8442.5216829902492</v>
      </c>
      <c r="EC110" s="676">
        <v>-2851.6746738178663</v>
      </c>
      <c r="ED110" s="676">
        <v>-2163.0571495836848</v>
      </c>
      <c r="EE110" s="676">
        <v>-10584.990024146955</v>
      </c>
      <c r="EF110" s="676">
        <v>-11385.842176966125</v>
      </c>
      <c r="EG110" s="676">
        <v>-14065.685545364766</v>
      </c>
      <c r="EH110" s="676">
        <v>-7674.1241631344383</v>
      </c>
      <c r="EI110" s="676">
        <v>-9302.5620348919183</v>
      </c>
      <c r="EJ110" s="676">
        <v>-6082.6836450143419</v>
      </c>
      <c r="EK110" s="676">
        <v>-3286.1577630683132</v>
      </c>
      <c r="EL110" s="676">
        <v>-7625.5994885103755</v>
      </c>
      <c r="EM110" s="676">
        <v>-6600.8973156970569</v>
      </c>
      <c r="EN110" s="676">
        <v>-73180.752297205603</v>
      </c>
      <c r="EQ110" s="5">
        <v>75340.605911936611</v>
      </c>
      <c r="ER110" s="5">
        <v>31720.199999999997</v>
      </c>
      <c r="ET110" s="318">
        <v>25541.855263857917</v>
      </c>
      <c r="EU110" s="5">
        <v>77027.087002822911</v>
      </c>
    </row>
    <row r="111" spans="1:151" x14ac:dyDescent="0.3">
      <c r="A111" s="325">
        <v>150000628</v>
      </c>
      <c r="B111" s="41" t="s">
        <v>560</v>
      </c>
      <c r="C111" s="42" t="s">
        <v>357</v>
      </c>
      <c r="D111" s="27">
        <v>9</v>
      </c>
      <c r="E111" s="293">
        <v>4652.96</v>
      </c>
      <c r="F111" s="305">
        <v>4509.26</v>
      </c>
      <c r="G111" s="508">
        <v>368.4</v>
      </c>
      <c r="H111" s="677">
        <v>143.69999999999999</v>
      </c>
      <c r="I111" s="674">
        <v>15241.143264012308</v>
      </c>
      <c r="J111" s="40">
        <v>12677.094747081366</v>
      </c>
      <c r="K111" s="52">
        <v>-2564.0485169309413</v>
      </c>
      <c r="L111" s="674">
        <v>2376.6207858608554</v>
      </c>
      <c r="M111" s="40">
        <v>1893.6930911083509</v>
      </c>
      <c r="N111" s="52">
        <v>-482.92769475250452</v>
      </c>
      <c r="O111" s="674">
        <v>6939.416985580192</v>
      </c>
      <c r="P111" s="40">
        <v>6939.4200000000019</v>
      </c>
      <c r="Q111" s="52">
        <v>3.0144198099151254E-3</v>
      </c>
      <c r="R111" s="674">
        <v>1342.4663777921901</v>
      </c>
      <c r="S111" s="40">
        <v>1342.47</v>
      </c>
      <c r="T111" s="52">
        <v>3.6222078099399369E-3</v>
      </c>
      <c r="U111" s="674">
        <v>714.84307937464087</v>
      </c>
      <c r="V111" s="40">
        <v>298.71032252132215</v>
      </c>
      <c r="W111" s="52">
        <v>-416.13275685331871</v>
      </c>
      <c r="X111" s="674">
        <v>6063.0990656795875</v>
      </c>
      <c r="Y111" s="40">
        <v>5933.4315518873327</v>
      </c>
      <c r="Z111" s="52">
        <v>-129.66751379225479</v>
      </c>
      <c r="AA111" s="674">
        <v>558.18239999999992</v>
      </c>
      <c r="AB111" s="40">
        <v>0</v>
      </c>
      <c r="AC111" s="52">
        <v>-558.18239999999992</v>
      </c>
      <c r="AD111" s="674">
        <v>19939.454766482348</v>
      </c>
      <c r="AE111" s="40">
        <v>19769.132782461234</v>
      </c>
      <c r="AF111" s="35">
        <v>-170.32198402111317</v>
      </c>
      <c r="AG111" s="77">
        <v>53175.226724782122</v>
      </c>
      <c r="AH111" s="53">
        <v>48853.95249505961</v>
      </c>
      <c r="AI111" s="52">
        <v>-4321.2742297225122</v>
      </c>
      <c r="AJ111" s="674">
        <v>39391.507934318557</v>
      </c>
      <c r="AK111" s="40">
        <v>39132.775266478908</v>
      </c>
      <c r="AL111" s="52">
        <v>-258.73266783964937</v>
      </c>
      <c r="AM111" s="674">
        <v>0</v>
      </c>
      <c r="AN111" s="40">
        <v>0</v>
      </c>
      <c r="AO111" s="52">
        <v>0</v>
      </c>
      <c r="AP111" s="674">
        <v>3147.7844375958316</v>
      </c>
      <c r="AQ111" s="40">
        <v>3080.264311003536</v>
      </c>
      <c r="AR111" s="52">
        <v>-67.520126592295583</v>
      </c>
      <c r="AS111" s="674">
        <v>60580.839552683909</v>
      </c>
      <c r="AT111" s="40">
        <v>21013.796474562601</v>
      </c>
      <c r="AU111" s="54">
        <v>-39567.043078121307</v>
      </c>
      <c r="AV111" s="674">
        <v>2367.2854032470091</v>
      </c>
      <c r="AW111" s="40">
        <v>975.55</v>
      </c>
      <c r="AX111" s="55">
        <v>-1391.7354032470091</v>
      </c>
      <c r="AY111" s="674">
        <v>2616.1386272262234</v>
      </c>
      <c r="AZ111" s="40">
        <v>2980</v>
      </c>
      <c r="BA111" s="35">
        <v>363.86137277377657</v>
      </c>
      <c r="BB111" s="674">
        <v>1542.6907010745967</v>
      </c>
      <c r="BC111" s="40">
        <v>0</v>
      </c>
      <c r="BD111" s="55">
        <v>-1542.6907010745967</v>
      </c>
      <c r="BE111" s="674">
        <v>1861.9100639421215</v>
      </c>
      <c r="BF111" s="40">
        <v>0</v>
      </c>
      <c r="BG111" s="38">
        <v>-1861.9100639421215</v>
      </c>
      <c r="BH111" s="674">
        <v>923.71373565197098</v>
      </c>
      <c r="BI111" s="40">
        <v>3374</v>
      </c>
      <c r="BJ111" s="55">
        <v>2450.2862643480289</v>
      </c>
      <c r="BK111" s="674">
        <v>1252.5780642237216</v>
      </c>
      <c r="BL111" s="40">
        <v>411</v>
      </c>
      <c r="BM111" s="38">
        <v>-841.57806422372164</v>
      </c>
      <c r="BN111" s="674">
        <v>365.58722977853665</v>
      </c>
      <c r="BO111" s="40">
        <v>0</v>
      </c>
      <c r="BP111" s="55">
        <v>-365.58722977853665</v>
      </c>
      <c r="BQ111" s="77">
        <v>10929.90382514418</v>
      </c>
      <c r="BR111" s="40">
        <v>7740.55</v>
      </c>
      <c r="BS111" s="55">
        <v>-3189.3538251441796</v>
      </c>
      <c r="BT111" s="674">
        <v>50704.461220756108</v>
      </c>
      <c r="BU111" s="40">
        <v>47116.119725173034</v>
      </c>
      <c r="BV111" s="52">
        <v>-3588.341495583074</v>
      </c>
      <c r="BW111" s="674">
        <v>37631.121527058822</v>
      </c>
      <c r="BX111" s="40">
        <v>37356.812985766424</v>
      </c>
      <c r="BY111" s="52">
        <v>-274.30854129239742</v>
      </c>
      <c r="BZ111" s="674">
        <v>6169.4786869891041</v>
      </c>
      <c r="CA111" s="40">
        <v>11268.557048746505</v>
      </c>
      <c r="CB111" s="52">
        <v>5099.0783617574007</v>
      </c>
      <c r="CC111" s="674">
        <v>1001.573311972487</v>
      </c>
      <c r="CD111" s="40">
        <v>1041.8368123530986</v>
      </c>
      <c r="CE111" s="52">
        <v>40.263500380611617</v>
      </c>
      <c r="CF111" s="674">
        <v>121.15265056548844</v>
      </c>
      <c r="CG111" s="40">
        <v>0</v>
      </c>
      <c r="CH111" s="52">
        <v>-121.15265056548844</v>
      </c>
      <c r="CI111" s="674">
        <v>9004.0702004918057</v>
      </c>
      <c r="CJ111" s="40">
        <v>9549.8181042834622</v>
      </c>
      <c r="CK111" s="52">
        <v>545.74790379165643</v>
      </c>
      <c r="CL111" s="674">
        <v>13489.751306854812</v>
      </c>
      <c r="CM111" s="40">
        <v>14323.184727446482</v>
      </c>
      <c r="CN111" s="52">
        <v>833.43342059166935</v>
      </c>
      <c r="CO111" s="39">
        <v>22493.82150734662</v>
      </c>
      <c r="CP111" s="40">
        <v>23873.002831729944</v>
      </c>
      <c r="CQ111" s="52">
        <v>1379.181324383324</v>
      </c>
      <c r="CR111" s="72">
        <v>285346.87137921323</v>
      </c>
      <c r="CS111" s="5">
        <v>240477.66795087367</v>
      </c>
      <c r="CT111" s="52">
        <v>-44869.203428339562</v>
      </c>
      <c r="CU111" s="77">
        <v>342416.24565505586</v>
      </c>
      <c r="CV111" s="65">
        <v>288573.20154104842</v>
      </c>
      <c r="CW111" s="35">
        <v>-53843.04411400744</v>
      </c>
      <c r="CX111" s="73">
        <v>7664.7571112100322</v>
      </c>
      <c r="CY111" s="40">
        <v>61507.801225217496</v>
      </c>
      <c r="CZ111" s="52">
        <v>53843.044114007462</v>
      </c>
      <c r="DA111" s="150">
        <v>-8297.6275256314839</v>
      </c>
      <c r="DB111" s="2">
        <v>1</v>
      </c>
      <c r="DC111" s="675">
        <v>52778.25</v>
      </c>
      <c r="DD111" s="675">
        <v>643</v>
      </c>
      <c r="DE111" s="675">
        <v>22856.673842053831</v>
      </c>
      <c r="DF111" s="675">
        <v>-0.13024387639495671</v>
      </c>
      <c r="DG111" s="321">
        <v>45545.416588375971</v>
      </c>
      <c r="DH111" s="40">
        <v>350054.0774636289</v>
      </c>
      <c r="DI111" s="422">
        <v>30564.706401822557</v>
      </c>
      <c r="DJ111" s="306">
        <v>5.4027984175394712</v>
      </c>
      <c r="DK111" s="306">
        <v>6.7452619071701587</v>
      </c>
      <c r="DL111" s="306">
        <v>4.4755062204342035</v>
      </c>
      <c r="DM111" s="28">
        <v>29921.576157946169</v>
      </c>
      <c r="DN111" s="28">
        <v>643.13024387639496</v>
      </c>
      <c r="DO111" s="423">
        <v>30564.706401822565</v>
      </c>
      <c r="DP111" s="94">
        <v>0</v>
      </c>
      <c r="DQ111" s="28">
        <v>30564.706401822565</v>
      </c>
      <c r="DR111" s="318"/>
      <c r="DT111" s="8"/>
      <c r="DU111" s="5"/>
      <c r="DX111" s="5">
        <v>85812.892053393691</v>
      </c>
      <c r="DY111" s="5">
        <v>34505.215769475122</v>
      </c>
      <c r="DZ111" s="159">
        <v>7583.5082547959846</v>
      </c>
      <c r="EB111" s="676">
        <v>6554.1434967754758</v>
      </c>
      <c r="EC111" s="676">
        <v>-3551.159237188469</v>
      </c>
      <c r="ED111" s="676">
        <v>-891.53132455805826</v>
      </c>
      <c r="EE111" s="676">
        <v>-9236.129274186369</v>
      </c>
      <c r="EF111" s="676">
        <v>-9142.9116959797175</v>
      </c>
      <c r="EG111" s="676">
        <v>-9903.4735221970332</v>
      </c>
      <c r="EH111" s="676">
        <v>-10202.51572237521</v>
      </c>
      <c r="EI111" s="676">
        <v>-6697.6354377344614</v>
      </c>
      <c r="EJ111" s="676">
        <v>-5248.5809048794217</v>
      </c>
      <c r="EK111" s="676">
        <v>-377.71295299850681</v>
      </c>
      <c r="EL111" s="676">
        <v>-75.603089210831968</v>
      </c>
      <c r="EM111" s="676">
        <v>-5069.9344494748402</v>
      </c>
      <c r="EN111" s="676">
        <v>-53843.044114007454</v>
      </c>
      <c r="EQ111" s="5">
        <v>85812.892053393691</v>
      </c>
      <c r="ER111" s="5">
        <v>34505.215769475122</v>
      </c>
      <c r="ET111" s="318">
        <v>-50836.040364477587</v>
      </c>
      <c r="EU111" s="5">
        <v>67844.45695285355</v>
      </c>
    </row>
    <row r="112" spans="1:151" x14ac:dyDescent="0.3">
      <c r="A112" s="325">
        <v>150000625</v>
      </c>
      <c r="B112" s="41" t="s">
        <v>561</v>
      </c>
      <c r="C112" s="42" t="s">
        <v>416</v>
      </c>
      <c r="D112" s="27">
        <v>10</v>
      </c>
      <c r="E112" s="293">
        <v>4850.6500000000005</v>
      </c>
      <c r="F112" s="305">
        <v>4786.05</v>
      </c>
      <c r="G112" s="508">
        <v>340.9</v>
      </c>
      <c r="H112" s="677">
        <v>64.599999999999994</v>
      </c>
      <c r="I112" s="674">
        <v>16614.194203853509</v>
      </c>
      <c r="J112" s="40">
        <v>13779.596416380633</v>
      </c>
      <c r="K112" s="52">
        <v>-2834.597787472876</v>
      </c>
      <c r="L112" s="674">
        <v>2598.5371499114726</v>
      </c>
      <c r="M112" s="40">
        <v>2070.4577941437342</v>
      </c>
      <c r="N112" s="52">
        <v>-528.07935576773843</v>
      </c>
      <c r="O112" s="674">
        <v>7480.215106463299</v>
      </c>
      <c r="P112" s="40">
        <v>7480.2299999999987</v>
      </c>
      <c r="Q112" s="52">
        <v>1.4893536699673859E-2</v>
      </c>
      <c r="R112" s="674">
        <v>1437.0839735952597</v>
      </c>
      <c r="S112" s="40">
        <v>1437.0899999999997</v>
      </c>
      <c r="T112" s="52">
        <v>6.0264047399414267E-3</v>
      </c>
      <c r="U112" s="674">
        <v>763.65432305376612</v>
      </c>
      <c r="V112" s="40">
        <v>349.21579945700404</v>
      </c>
      <c r="W112" s="52">
        <v>-414.43852359676208</v>
      </c>
      <c r="X112" s="674">
        <v>6647.0864607228023</v>
      </c>
      <c r="Y112" s="40">
        <v>4699.6187821812428</v>
      </c>
      <c r="Z112" s="52">
        <v>-1947.4676785415595</v>
      </c>
      <c r="AA112" s="674">
        <v>582.07800000000009</v>
      </c>
      <c r="AB112" s="40">
        <v>0</v>
      </c>
      <c r="AC112" s="52">
        <v>-582.07800000000009</v>
      </c>
      <c r="AD112" s="674">
        <v>20793.325288631317</v>
      </c>
      <c r="AE112" s="40">
        <v>20609.062603427836</v>
      </c>
      <c r="AF112" s="35">
        <v>-184.26268520348094</v>
      </c>
      <c r="AG112" s="77">
        <v>56916.174506231429</v>
      </c>
      <c r="AH112" s="53">
        <v>50425.271395590447</v>
      </c>
      <c r="AI112" s="52">
        <v>-6490.903110640982</v>
      </c>
      <c r="AJ112" s="674">
        <v>40493.131765232771</v>
      </c>
      <c r="AK112" s="40">
        <v>39666.122919103815</v>
      </c>
      <c r="AL112" s="52">
        <v>-827.00884612895607</v>
      </c>
      <c r="AM112" s="674">
        <v>0</v>
      </c>
      <c r="AN112" s="40">
        <v>129.91419040372483</v>
      </c>
      <c r="AO112" s="52">
        <v>129.91419040372483</v>
      </c>
      <c r="AP112" s="674">
        <v>3552.4995795724381</v>
      </c>
      <c r="AQ112" s="40">
        <v>2927.5759723794004</v>
      </c>
      <c r="AR112" s="52">
        <v>-624.9236071930377</v>
      </c>
      <c r="AS112" s="674">
        <v>62543.457150637892</v>
      </c>
      <c r="AT112" s="40">
        <v>57138.192852471482</v>
      </c>
      <c r="AU112" s="54">
        <v>-5405.2642981664103</v>
      </c>
      <c r="AV112" s="674">
        <v>2604.575451695629</v>
      </c>
      <c r="AW112" s="40">
        <v>0</v>
      </c>
      <c r="AX112" s="55">
        <v>-2604.575451695629</v>
      </c>
      <c r="AY112" s="674">
        <v>2838.5371644439751</v>
      </c>
      <c r="AZ112" s="40">
        <v>5027</v>
      </c>
      <c r="BA112" s="35">
        <v>2188.4628355560249</v>
      </c>
      <c r="BB112" s="674">
        <v>1606.9086076227807</v>
      </c>
      <c r="BC112" s="40">
        <v>0</v>
      </c>
      <c r="BD112" s="55">
        <v>-1606.9086076227807</v>
      </c>
      <c r="BE112" s="674">
        <v>1970.7439657682621</v>
      </c>
      <c r="BF112" s="40">
        <v>0</v>
      </c>
      <c r="BG112" s="38">
        <v>-1970.7439657682621</v>
      </c>
      <c r="BH112" s="674">
        <v>986.74343512353164</v>
      </c>
      <c r="BI112" s="40">
        <v>0</v>
      </c>
      <c r="BJ112" s="55">
        <v>-986.74343512353164</v>
      </c>
      <c r="BK112" s="674">
        <v>1325.5761358292957</v>
      </c>
      <c r="BL112" s="40">
        <v>316</v>
      </c>
      <c r="BM112" s="38">
        <v>-1009.5761358292957</v>
      </c>
      <c r="BN112" s="674">
        <v>299.15320585630519</v>
      </c>
      <c r="BO112" s="40">
        <v>0</v>
      </c>
      <c r="BP112" s="55">
        <v>-299.15320585630519</v>
      </c>
      <c r="BQ112" s="77">
        <v>11632.237966339779</v>
      </c>
      <c r="BR112" s="40">
        <v>5343</v>
      </c>
      <c r="BS112" s="55">
        <v>-6289.2379663397787</v>
      </c>
      <c r="BT112" s="674">
        <v>67396.125935955628</v>
      </c>
      <c r="BU112" s="40">
        <v>57570.662317806287</v>
      </c>
      <c r="BV112" s="52">
        <v>-9825.4636181493406</v>
      </c>
      <c r="BW112" s="674">
        <v>41530.540365352339</v>
      </c>
      <c r="BX112" s="40">
        <v>40854.835510305144</v>
      </c>
      <c r="BY112" s="52">
        <v>-675.70485504719545</v>
      </c>
      <c r="BZ112" s="674">
        <v>9826.3072758659982</v>
      </c>
      <c r="CA112" s="40">
        <v>14417.409525379735</v>
      </c>
      <c r="CB112" s="52">
        <v>4591.1022495137368</v>
      </c>
      <c r="CC112" s="674">
        <v>747.15799372100389</v>
      </c>
      <c r="CD112" s="40">
        <v>767.57699547629443</v>
      </c>
      <c r="CE112" s="52">
        <v>20.419001755290537</v>
      </c>
      <c r="CF112" s="674">
        <v>89.259648356070542</v>
      </c>
      <c r="CG112" s="40">
        <v>0</v>
      </c>
      <c r="CH112" s="52">
        <v>-89.259648356070542</v>
      </c>
      <c r="CI112" s="674">
        <v>18791.953206838905</v>
      </c>
      <c r="CJ112" s="40">
        <v>14670.696938884295</v>
      </c>
      <c r="CK112" s="52">
        <v>-4121.2562679546099</v>
      </c>
      <c r="CL112" s="674">
        <v>12272.771480799616</v>
      </c>
      <c r="CM112" s="40">
        <v>11630.521775111196</v>
      </c>
      <c r="CN112" s="52">
        <v>-642.24970568842036</v>
      </c>
      <c r="CO112" s="39">
        <v>31064.724687638522</v>
      </c>
      <c r="CP112" s="40">
        <v>26301.218713995491</v>
      </c>
      <c r="CQ112" s="52">
        <v>-4763.5059736430303</v>
      </c>
      <c r="CR112" s="72">
        <v>325791.61687490385</v>
      </c>
      <c r="CS112" s="5">
        <v>295541.78039291175</v>
      </c>
      <c r="CT112" s="52">
        <v>-30249.836481992097</v>
      </c>
      <c r="CU112" s="77">
        <v>390949.94024988462</v>
      </c>
      <c r="CV112" s="65">
        <v>354650.1364714941</v>
      </c>
      <c r="CW112" s="35">
        <v>-36299.803778390517</v>
      </c>
      <c r="CX112" s="73">
        <v>8750.4898835191125</v>
      </c>
      <c r="CY112" s="40">
        <v>45050.293661909549</v>
      </c>
      <c r="CZ112" s="52">
        <v>36299.803778390436</v>
      </c>
      <c r="DA112" s="150">
        <v>-5394.8625856825056</v>
      </c>
      <c r="DB112" s="2">
        <v>1</v>
      </c>
      <c r="DC112" s="675">
        <v>52404.06</v>
      </c>
      <c r="DD112" s="675">
        <v>0</v>
      </c>
      <c r="DE112" s="675">
        <v>17834.786054201184</v>
      </c>
      <c r="DF112" s="675">
        <v>-329.74562908962042</v>
      </c>
      <c r="DG112" s="321">
        <v>30904.94119270796</v>
      </c>
      <c r="DH112" s="40">
        <v>399669.69551057462</v>
      </c>
      <c r="DI112" s="422">
        <v>34899.019574888436</v>
      </c>
      <c r="DJ112" s="306">
        <v>6.0773222204467352</v>
      </c>
      <c r="DK112" s="306">
        <v>7.3107802438272094</v>
      </c>
      <c r="DL112" s="306">
        <v>5.1044215029353008</v>
      </c>
      <c r="DM112" s="28">
        <v>34569.273945798814</v>
      </c>
      <c r="DN112" s="28">
        <v>329.74562908962042</v>
      </c>
      <c r="DO112" s="423">
        <v>34899.019574888436</v>
      </c>
      <c r="DP112" s="94">
        <v>0</v>
      </c>
      <c r="DQ112" s="28">
        <v>34899.019574888436</v>
      </c>
      <c r="DR112" s="318"/>
      <c r="DT112" s="8"/>
      <c r="DU112" s="5"/>
      <c r="DX112" s="5">
        <v>89010.834140373205</v>
      </c>
      <c r="DY112" s="5">
        <v>74977.431422965776</v>
      </c>
      <c r="DZ112" s="159">
        <v>7848.0569864281224</v>
      </c>
      <c r="EB112" s="676">
        <v>-5116.4584794165858</v>
      </c>
      <c r="EC112" s="676">
        <v>-4783.8191817587031</v>
      </c>
      <c r="ED112" s="676">
        <v>-6168.9065231597015</v>
      </c>
      <c r="EE112" s="676">
        <v>-14505.589961752859</v>
      </c>
      <c r="EF112" s="676">
        <v>-6070.2275244513803</v>
      </c>
      <c r="EG112" s="676">
        <v>-9734.9051285835121</v>
      </c>
      <c r="EH112" s="676">
        <v>3322.6740221965665</v>
      </c>
      <c r="EI112" s="676">
        <v>10854.628355669782</v>
      </c>
      <c r="EJ112" s="676">
        <v>18789.228093986225</v>
      </c>
      <c r="EK112" s="676">
        <v>-3754.768827746746</v>
      </c>
      <c r="EL112" s="676">
        <v>-8339.1534812204918</v>
      </c>
      <c r="EM112" s="676">
        <v>-10792.505142153052</v>
      </c>
      <c r="EN112" s="676">
        <v>-36299.803778390466</v>
      </c>
      <c r="EQ112" s="5">
        <v>89010.834140373205</v>
      </c>
      <c r="ER112" s="5">
        <v>74977.431422965776</v>
      </c>
      <c r="ET112" s="318">
        <v>-34187.89179807539</v>
      </c>
      <c r="EU112" s="5">
        <v>27135.832990783358</v>
      </c>
    </row>
    <row r="113" spans="1:151" x14ac:dyDescent="0.3">
      <c r="A113" s="325">
        <v>150000629</v>
      </c>
      <c r="B113" s="41" t="s">
        <v>562</v>
      </c>
      <c r="C113" s="42" t="s">
        <v>358</v>
      </c>
      <c r="D113" s="27">
        <v>9</v>
      </c>
      <c r="E113" s="293">
        <v>9553.74</v>
      </c>
      <c r="F113" s="305">
        <v>9553.74</v>
      </c>
      <c r="G113" s="508">
        <v>1060.24</v>
      </c>
      <c r="H113" s="677">
        <v>0</v>
      </c>
      <c r="I113" s="674">
        <v>23352.916688032132</v>
      </c>
      <c r="J113" s="40">
        <v>19790.878211827912</v>
      </c>
      <c r="K113" s="52">
        <v>-3562.0384762042195</v>
      </c>
      <c r="L113" s="674">
        <v>3934.0808508746431</v>
      </c>
      <c r="M113" s="40">
        <v>3135.6310501478815</v>
      </c>
      <c r="N113" s="52">
        <v>-798.44980072676162</v>
      </c>
      <c r="O113" s="674">
        <v>12908.231899935152</v>
      </c>
      <c r="P113" s="40">
        <v>12908.219999999998</v>
      </c>
      <c r="Q113" s="52">
        <v>-1.1899935154360719E-2</v>
      </c>
      <c r="R113" s="674">
        <v>2808.723929781846</v>
      </c>
      <c r="S113" s="40">
        <v>2808.6900000000005</v>
      </c>
      <c r="T113" s="52">
        <v>-3.3929781845472462E-2</v>
      </c>
      <c r="U113" s="674">
        <v>4224.582062764749</v>
      </c>
      <c r="V113" s="40">
        <v>1787.5884775330464</v>
      </c>
      <c r="W113" s="52">
        <v>-2436.9935852317026</v>
      </c>
      <c r="X113" s="674">
        <v>17974.847941248259</v>
      </c>
      <c r="Y113" s="40">
        <v>13697.230899825005</v>
      </c>
      <c r="Z113" s="52">
        <v>-4277.6170414232547</v>
      </c>
      <c r="AA113" s="674">
        <v>1145.8391999999999</v>
      </c>
      <c r="AB113" s="40">
        <v>0</v>
      </c>
      <c r="AC113" s="52">
        <v>-1145.8391999999999</v>
      </c>
      <c r="AD113" s="674">
        <v>40956.204661406409</v>
      </c>
      <c r="AE113" s="40">
        <v>40591.183811834009</v>
      </c>
      <c r="AF113" s="35">
        <v>-365.02084957240004</v>
      </c>
      <c r="AG113" s="77">
        <v>107305.42723404319</v>
      </c>
      <c r="AH113" s="53">
        <v>94719.422451167862</v>
      </c>
      <c r="AI113" s="52">
        <v>-12586.00478287533</v>
      </c>
      <c r="AJ113" s="674">
        <v>78783.015868637114</v>
      </c>
      <c r="AK113" s="40">
        <v>78265.650141588616</v>
      </c>
      <c r="AL113" s="52">
        <v>-517.36572704849823</v>
      </c>
      <c r="AM113" s="674">
        <v>0</v>
      </c>
      <c r="AN113" s="40">
        <v>0</v>
      </c>
      <c r="AO113" s="52">
        <v>0</v>
      </c>
      <c r="AP113" s="674">
        <v>6880.1574136023173</v>
      </c>
      <c r="AQ113" s="40">
        <v>7094.7408465156632</v>
      </c>
      <c r="AR113" s="52">
        <v>214.58343291334586</v>
      </c>
      <c r="AS113" s="674">
        <v>153929.60875794286</v>
      </c>
      <c r="AT113" s="40">
        <v>97914.532852471486</v>
      </c>
      <c r="AU113" s="54">
        <v>-56015.075905471371</v>
      </c>
      <c r="AV113" s="674">
        <v>3762.3933804364201</v>
      </c>
      <c r="AW113" s="40">
        <v>732.14</v>
      </c>
      <c r="AX113" s="55">
        <v>-3030.2533804364202</v>
      </c>
      <c r="AY113" s="674">
        <v>4620.8846016113166</v>
      </c>
      <c r="AZ113" s="40">
        <v>10675</v>
      </c>
      <c r="BA113" s="35">
        <v>6054.1153983886834</v>
      </c>
      <c r="BB113" s="674">
        <v>4384.0480670918514</v>
      </c>
      <c r="BC113" s="40">
        <v>1959</v>
      </c>
      <c r="BD113" s="55">
        <v>-2425.0480670918514</v>
      </c>
      <c r="BE113" s="674">
        <v>4265.3688178176271</v>
      </c>
      <c r="BF113" s="40">
        <v>0</v>
      </c>
      <c r="BG113" s="38">
        <v>-4265.3688178176271</v>
      </c>
      <c r="BH113" s="674">
        <v>5458.2904621498892</v>
      </c>
      <c r="BI113" s="40">
        <v>0</v>
      </c>
      <c r="BJ113" s="55">
        <v>-5458.2904621498892</v>
      </c>
      <c r="BK113" s="674">
        <v>3619.9845636883792</v>
      </c>
      <c r="BL113" s="40">
        <v>0</v>
      </c>
      <c r="BM113" s="38">
        <v>-3619.9845636883792</v>
      </c>
      <c r="BN113" s="674">
        <v>1035.4816579214221</v>
      </c>
      <c r="BO113" s="40">
        <v>0</v>
      </c>
      <c r="BP113" s="55">
        <v>-1035.4816579214221</v>
      </c>
      <c r="BQ113" s="77">
        <v>27146.451550716905</v>
      </c>
      <c r="BR113" s="40">
        <v>13366.14</v>
      </c>
      <c r="BS113" s="55">
        <v>-13780.311550716906</v>
      </c>
      <c r="BT113" s="674">
        <v>125858.10222084598</v>
      </c>
      <c r="BU113" s="40">
        <v>132602.14649953999</v>
      </c>
      <c r="BV113" s="52">
        <v>6744.0442786940112</v>
      </c>
      <c r="BW113" s="674">
        <v>89931.83064781256</v>
      </c>
      <c r="BX113" s="40">
        <v>90528.904673896555</v>
      </c>
      <c r="BY113" s="52">
        <v>597.0740260839957</v>
      </c>
      <c r="BZ113" s="674">
        <v>31635.243771952973</v>
      </c>
      <c r="CA113" s="40">
        <v>31570.113469434415</v>
      </c>
      <c r="CB113" s="52">
        <v>-65.130302518558892</v>
      </c>
      <c r="CC113" s="674">
        <v>1833.8377758162501</v>
      </c>
      <c r="CD113" s="40">
        <v>1921.8632535137056</v>
      </c>
      <c r="CE113" s="52">
        <v>88.025477697455472</v>
      </c>
      <c r="CF113" s="674">
        <v>223.48876947600618</v>
      </c>
      <c r="CG113" s="40">
        <v>0</v>
      </c>
      <c r="CH113" s="52">
        <v>-223.48876947600618</v>
      </c>
      <c r="CI113" s="674">
        <v>18952.296990875704</v>
      </c>
      <c r="CJ113" s="40">
        <v>18803.998430325337</v>
      </c>
      <c r="CK113" s="52">
        <v>-148.29856055036726</v>
      </c>
      <c r="CL113" s="674">
        <v>28419.093042430657</v>
      </c>
      <c r="CM113" s="40">
        <v>28207.596659094925</v>
      </c>
      <c r="CN113" s="52">
        <v>-211.49638333573239</v>
      </c>
      <c r="CO113" s="39">
        <v>47371.390033306365</v>
      </c>
      <c r="CP113" s="40">
        <v>47011.595089420262</v>
      </c>
      <c r="CQ113" s="52">
        <v>-359.79494388610328</v>
      </c>
      <c r="CR113" s="72">
        <v>670898.55404415238</v>
      </c>
      <c r="CS113" s="5">
        <v>594995.1092775485</v>
      </c>
      <c r="CT113" s="52">
        <v>-75903.444766603876</v>
      </c>
      <c r="CU113" s="77">
        <v>805078.26485298283</v>
      </c>
      <c r="CV113" s="65">
        <v>713994.13113305822</v>
      </c>
      <c r="CW113" s="35">
        <v>-91084.133719924605</v>
      </c>
      <c r="CX113" s="73">
        <v>17939.637102699071</v>
      </c>
      <c r="CY113" s="40">
        <v>109023.77082262392</v>
      </c>
      <c r="CZ113" s="52">
        <v>91084.133719924852</v>
      </c>
      <c r="DA113" s="150">
        <v>-22673.783142400935</v>
      </c>
      <c r="DB113" s="2">
        <v>1</v>
      </c>
      <c r="DC113" s="675">
        <v>186382.67</v>
      </c>
      <c r="DD113" s="675">
        <v>0</v>
      </c>
      <c r="DE113" s="675">
        <v>114260.36166857345</v>
      </c>
      <c r="DF113" s="675">
        <v>0</v>
      </c>
      <c r="DG113" s="321">
        <v>68410.350577523845</v>
      </c>
      <c r="DH113" s="40">
        <v>822955.46387739235</v>
      </c>
      <c r="DI113" s="422">
        <v>72122.308331426568</v>
      </c>
      <c r="DJ113" s="306">
        <v>6.3798267896686252</v>
      </c>
      <c r="DK113" s="306">
        <v>7.6950798582384534</v>
      </c>
      <c r="DL113" s="306">
        <v>5.3385458810754143</v>
      </c>
      <c r="DM113" s="28">
        <v>72122.308331426568</v>
      </c>
      <c r="DN113" s="28">
        <v>0</v>
      </c>
      <c r="DO113" s="423">
        <v>72122.308331426568</v>
      </c>
      <c r="DP113" s="94">
        <v>0</v>
      </c>
      <c r="DQ113" s="28">
        <v>72122.308331426568</v>
      </c>
      <c r="DR113" s="318"/>
      <c r="DT113" s="8"/>
      <c r="DU113" s="5"/>
      <c r="DX113" s="5">
        <v>217291.27237039173</v>
      </c>
      <c r="DY113" s="5">
        <v>133536.80742296576</v>
      </c>
      <c r="DZ113" s="159">
        <v>19804.177674958508</v>
      </c>
      <c r="EB113" s="676">
        <v>3941.0060681355972</v>
      </c>
      <c r="EC113" s="676">
        <v>-18524.273091442439</v>
      </c>
      <c r="ED113" s="676">
        <v>-11780.210437159527</v>
      </c>
      <c r="EE113" s="676">
        <v>-20705.410948062134</v>
      </c>
      <c r="EF113" s="676">
        <v>-22823.955355487153</v>
      </c>
      <c r="EG113" s="676">
        <v>-19033.850117836577</v>
      </c>
      <c r="EH113" s="676">
        <v>-4737.0673813277099</v>
      </c>
      <c r="EI113" s="676">
        <v>8173.6544026811753</v>
      </c>
      <c r="EJ113" s="676">
        <v>8673.0207399386272</v>
      </c>
      <c r="EK113" s="676">
        <v>9382.8136187173222</v>
      </c>
      <c r="EL113" s="676">
        <v>-5202.68290306993</v>
      </c>
      <c r="EM113" s="676">
        <v>-18447.178315012039</v>
      </c>
      <c r="EN113" s="676">
        <v>-91084.133719924779</v>
      </c>
      <c r="EQ113" s="5">
        <v>217291.27237039173</v>
      </c>
      <c r="ER113" s="5">
        <v>133536.80742296576</v>
      </c>
      <c r="ET113" s="318">
        <v>89892.339272224781</v>
      </c>
      <c r="EU113" s="5">
        <v>-86157.988694700936</v>
      </c>
    </row>
    <row r="114" spans="1:151" x14ac:dyDescent="0.3">
      <c r="A114" s="325">
        <v>150000626</v>
      </c>
      <c r="B114" s="41" t="s">
        <v>563</v>
      </c>
      <c r="C114" s="42" t="s">
        <v>359</v>
      </c>
      <c r="D114" s="27">
        <v>9</v>
      </c>
      <c r="E114" s="293">
        <v>7507.43</v>
      </c>
      <c r="F114" s="305">
        <v>7507.43</v>
      </c>
      <c r="G114" s="508">
        <v>772.75</v>
      </c>
      <c r="H114" s="677">
        <v>0</v>
      </c>
      <c r="I114" s="674">
        <v>18944.878652566054</v>
      </c>
      <c r="J114" s="40">
        <v>15977.307678116253</v>
      </c>
      <c r="K114" s="52">
        <v>-2967.5709744498017</v>
      </c>
      <c r="L114" s="674">
        <v>3875.9283899263337</v>
      </c>
      <c r="M114" s="40">
        <v>3088.4092120430914</v>
      </c>
      <c r="N114" s="52">
        <v>-787.51917788324226</v>
      </c>
      <c r="O114" s="674">
        <v>11874.685316788835</v>
      </c>
      <c r="P114" s="40">
        <v>11874.66</v>
      </c>
      <c r="Q114" s="52">
        <v>-2.5316788834970794E-2</v>
      </c>
      <c r="R114" s="674">
        <v>2207.1508860914555</v>
      </c>
      <c r="S114" s="40">
        <v>2207.1300000000006</v>
      </c>
      <c r="T114" s="52">
        <v>-2.088609145494047E-2</v>
      </c>
      <c r="U114" s="674">
        <v>2112.2911697090185</v>
      </c>
      <c r="V114" s="40">
        <v>912.77547534965902</v>
      </c>
      <c r="W114" s="52">
        <v>-1199.5156943593595</v>
      </c>
      <c r="X114" s="674">
        <v>16113.231881175441</v>
      </c>
      <c r="Y114" s="40">
        <v>12182.046417371233</v>
      </c>
      <c r="Z114" s="52">
        <v>-3931.1854638042078</v>
      </c>
      <c r="AA114" s="674">
        <v>901.09799999999996</v>
      </c>
      <c r="AB114" s="40">
        <v>0</v>
      </c>
      <c r="AC114" s="52">
        <v>-901.09799999999996</v>
      </c>
      <c r="AD114" s="674">
        <v>32190.001551980862</v>
      </c>
      <c r="AE114" s="40">
        <v>31898.910958164204</v>
      </c>
      <c r="AF114" s="35">
        <v>-291.09059381665793</v>
      </c>
      <c r="AG114" s="77">
        <v>88219.265848237992</v>
      </c>
      <c r="AH114" s="53">
        <v>78141.239741044439</v>
      </c>
      <c r="AI114" s="52">
        <v>-10078.026107193553</v>
      </c>
      <c r="AJ114" s="674">
        <v>56571.443452223102</v>
      </c>
      <c r="AK114" s="40">
        <v>56199.814840585044</v>
      </c>
      <c r="AL114" s="52">
        <v>-371.62861163805792</v>
      </c>
      <c r="AM114" s="674">
        <v>5996.1657866127916</v>
      </c>
      <c r="AN114" s="40">
        <v>2324.2679723140636</v>
      </c>
      <c r="AO114" s="52">
        <v>-3671.897814298728</v>
      </c>
      <c r="AP114" s="674">
        <v>6430.4739225171961</v>
      </c>
      <c r="AQ114" s="40">
        <v>5325.6831047101077</v>
      </c>
      <c r="AR114" s="52">
        <v>-1104.7908178070884</v>
      </c>
      <c r="AS114" s="674">
        <v>107013.31923099831</v>
      </c>
      <c r="AT114" s="40">
        <v>102806.42650158827</v>
      </c>
      <c r="AU114" s="54">
        <v>-4206.8927294100431</v>
      </c>
      <c r="AV114" s="674">
        <v>3138.7930674855334</v>
      </c>
      <c r="AW114" s="40">
        <v>922</v>
      </c>
      <c r="AX114" s="55">
        <v>-2216.7930674855334</v>
      </c>
      <c r="AY114" s="674">
        <v>4323.0673114470792</v>
      </c>
      <c r="AZ114" s="40">
        <v>16178</v>
      </c>
      <c r="BA114" s="35">
        <v>11854.932688552921</v>
      </c>
      <c r="BB114" s="674">
        <v>2927.4421414991621</v>
      </c>
      <c r="BC114" s="40">
        <v>0</v>
      </c>
      <c r="BD114" s="55">
        <v>-2927.4421414991621</v>
      </c>
      <c r="BE114" s="674">
        <v>3058.6919075111209</v>
      </c>
      <c r="BF114" s="40">
        <v>665</v>
      </c>
      <c r="BG114" s="38">
        <v>-2393.6919075111209</v>
      </c>
      <c r="BH114" s="674">
        <v>2729.199884918833</v>
      </c>
      <c r="BI114" s="40">
        <v>54</v>
      </c>
      <c r="BJ114" s="55">
        <v>-2675.199884918833</v>
      </c>
      <c r="BK114" s="674">
        <v>3919.5679150514416</v>
      </c>
      <c r="BL114" s="40">
        <v>0</v>
      </c>
      <c r="BM114" s="38">
        <v>-3919.5679150514416</v>
      </c>
      <c r="BN114" s="674">
        <v>705.45797308835722</v>
      </c>
      <c r="BO114" s="40">
        <v>0</v>
      </c>
      <c r="BP114" s="55">
        <v>-705.45797308835722</v>
      </c>
      <c r="BQ114" s="77">
        <v>20802.220201001528</v>
      </c>
      <c r="BR114" s="40">
        <v>17819</v>
      </c>
      <c r="BS114" s="55">
        <v>-2983.220201001528</v>
      </c>
      <c r="BT114" s="674">
        <v>96613.329363991536</v>
      </c>
      <c r="BU114" s="40">
        <v>74034.882096424495</v>
      </c>
      <c r="BV114" s="52">
        <v>-22578.44726756704</v>
      </c>
      <c r="BW114" s="674">
        <v>65332.183844414089</v>
      </c>
      <c r="BX114" s="40">
        <v>54472.459474642012</v>
      </c>
      <c r="BY114" s="52">
        <v>-10859.724369772077</v>
      </c>
      <c r="BZ114" s="674">
        <v>13594.700617941751</v>
      </c>
      <c r="CA114" s="40">
        <v>16725.663809070422</v>
      </c>
      <c r="CB114" s="52">
        <v>3130.9631911286706</v>
      </c>
      <c r="CC114" s="674">
        <v>1885.4638767385793</v>
      </c>
      <c r="CD114" s="40">
        <v>1974.4370203271499</v>
      </c>
      <c r="CE114" s="52">
        <v>88.973143588570565</v>
      </c>
      <c r="CF114" s="674">
        <v>229.60244402094253</v>
      </c>
      <c r="CG114" s="40">
        <v>0</v>
      </c>
      <c r="CH114" s="52">
        <v>-229.60244402094253</v>
      </c>
      <c r="CI114" s="674">
        <v>13087.011969890364</v>
      </c>
      <c r="CJ114" s="40">
        <v>9463.7131730941819</v>
      </c>
      <c r="CK114" s="52">
        <v>-3623.2987967961817</v>
      </c>
      <c r="CL114" s="674">
        <v>14593.270599936362</v>
      </c>
      <c r="CM114" s="40">
        <v>14175.769417718722</v>
      </c>
      <c r="CN114" s="52">
        <v>-417.50118221764023</v>
      </c>
      <c r="CO114" s="39">
        <v>27680.282569826726</v>
      </c>
      <c r="CP114" s="40">
        <v>23639.482590812906</v>
      </c>
      <c r="CQ114" s="52">
        <v>-4040.7999790138201</v>
      </c>
      <c r="CR114" s="72">
        <v>490368.45115852449</v>
      </c>
      <c r="CS114" s="5">
        <v>433463.35715151893</v>
      </c>
      <c r="CT114" s="52">
        <v>-56905.094007005566</v>
      </c>
      <c r="CU114" s="77">
        <v>588442.14139022934</v>
      </c>
      <c r="CV114" s="65">
        <v>520156.0285818227</v>
      </c>
      <c r="CW114" s="35">
        <v>-68286.112808406644</v>
      </c>
      <c r="CX114" s="73">
        <v>13151.80164004355</v>
      </c>
      <c r="CY114" s="40">
        <v>81437.914448450232</v>
      </c>
      <c r="CZ114" s="52">
        <v>68286.112808406688</v>
      </c>
      <c r="DA114" s="150">
        <v>64723.573395225394</v>
      </c>
      <c r="DB114" s="2">
        <v>1</v>
      </c>
      <c r="DC114" s="675">
        <v>144379.06</v>
      </c>
      <c r="DD114" s="675">
        <v>0</v>
      </c>
      <c r="DE114" s="675">
        <v>91789.68318747991</v>
      </c>
      <c r="DF114" s="675">
        <v>0</v>
      </c>
      <c r="DG114" s="321">
        <v>133009.6862036321</v>
      </c>
      <c r="DH114" s="40">
        <v>601547.88573152781</v>
      </c>
      <c r="DI114" s="422">
        <v>52589.376812520095</v>
      </c>
      <c r="DJ114" s="306">
        <v>5.9239491863961771</v>
      </c>
      <c r="DK114" s="306">
        <v>7.1290165351185877</v>
      </c>
      <c r="DL114" s="306">
        <v>4.9645502632445</v>
      </c>
      <c r="DM114" s="28">
        <v>52589.376812520095</v>
      </c>
      <c r="DN114" s="28">
        <v>0</v>
      </c>
      <c r="DO114" s="423">
        <v>52589.376812520095</v>
      </c>
      <c r="DP114" s="94">
        <v>0</v>
      </c>
      <c r="DQ114" s="28">
        <v>52589.376812520095</v>
      </c>
      <c r="DR114" s="318"/>
      <c r="DT114" s="8"/>
      <c r="DU114" s="5"/>
      <c r="DX114" s="5">
        <v>153378.6473183998</v>
      </c>
      <c r="DY114" s="5">
        <v>144750.51180190593</v>
      </c>
      <c r="DZ114" s="159">
        <v>13687.240764390242</v>
      </c>
      <c r="EB114" s="676">
        <v>-387.28069716811297</v>
      </c>
      <c r="EC114" s="676">
        <v>-1041.6638094921072</v>
      </c>
      <c r="ED114" s="676">
        <v>2716.8964900590436</v>
      </c>
      <c r="EE114" s="676">
        <v>-23564.31879991532</v>
      </c>
      <c r="EF114" s="676">
        <v>-20748.125729895284</v>
      </c>
      <c r="EG114" s="676">
        <v>3527.7288533744431</v>
      </c>
      <c r="EH114" s="676">
        <v>-8520.3967168481904</v>
      </c>
      <c r="EI114" s="676">
        <v>24297.486191879791</v>
      </c>
      <c r="EJ114" s="676">
        <v>2058.1656849212159</v>
      </c>
      <c r="EK114" s="676">
        <v>-12939.918639102951</v>
      </c>
      <c r="EL114" s="676">
        <v>-18182.88439599346</v>
      </c>
      <c r="EM114" s="676">
        <v>-15501.801240225774</v>
      </c>
      <c r="EN114" s="676">
        <v>-68286.112808406702</v>
      </c>
      <c r="EQ114" s="5">
        <v>153378.6473183998</v>
      </c>
      <c r="ER114" s="5">
        <v>144750.51180190593</v>
      </c>
      <c r="ET114" s="318">
        <v>6507.6471259032005</v>
      </c>
      <c r="EU114" s="5">
        <v>32086.039077728899</v>
      </c>
    </row>
    <row r="115" spans="1:151" x14ac:dyDescent="0.3">
      <c r="A115" s="325">
        <v>150000603</v>
      </c>
      <c r="B115" s="41" t="s">
        <v>564</v>
      </c>
      <c r="C115" s="42" t="s">
        <v>154</v>
      </c>
      <c r="D115" s="27">
        <v>2</v>
      </c>
      <c r="E115" s="293">
        <v>506.90000000000003</v>
      </c>
      <c r="F115" s="305">
        <v>311.60000000000002</v>
      </c>
      <c r="G115" s="508">
        <v>0</v>
      </c>
      <c r="H115" s="677">
        <v>195.3</v>
      </c>
      <c r="I115" s="674">
        <v>1889.880956405362</v>
      </c>
      <c r="J115" s="40">
        <v>2041.7909086936745</v>
      </c>
      <c r="K115" s="52">
        <v>151.90995228831252</v>
      </c>
      <c r="L115" s="674">
        <v>344.0588682657957</v>
      </c>
      <c r="M115" s="40">
        <v>376.58651432304123</v>
      </c>
      <c r="N115" s="52">
        <v>32.527646057245533</v>
      </c>
      <c r="O115" s="674">
        <v>681.48936164461986</v>
      </c>
      <c r="P115" s="40">
        <v>681.50999999999988</v>
      </c>
      <c r="Q115" s="52">
        <v>2.0638355380015128E-2</v>
      </c>
      <c r="R115" s="674">
        <v>0</v>
      </c>
      <c r="S115" s="40">
        <v>0</v>
      </c>
      <c r="T115" s="52">
        <v>0</v>
      </c>
      <c r="U115" s="674">
        <v>0</v>
      </c>
      <c r="V115" s="40">
        <v>0</v>
      </c>
      <c r="W115" s="52">
        <v>0</v>
      </c>
      <c r="X115" s="674">
        <v>893.5644008610625</v>
      </c>
      <c r="Y115" s="40">
        <v>626.34535728260585</v>
      </c>
      <c r="Z115" s="52">
        <v>-267.21904357845665</v>
      </c>
      <c r="AA115" s="674">
        <v>60.82800000000001</v>
      </c>
      <c r="AB115" s="40">
        <v>0</v>
      </c>
      <c r="AC115" s="52">
        <v>-60.82800000000001</v>
      </c>
      <c r="AD115" s="674">
        <v>2161.7074224592689</v>
      </c>
      <c r="AE115" s="40">
        <v>2153.6771017652418</v>
      </c>
      <c r="AF115" s="35">
        <v>-8.0303206940270684</v>
      </c>
      <c r="AG115" s="77">
        <v>6031.5290096361086</v>
      </c>
      <c r="AH115" s="53">
        <v>5879.9098820645631</v>
      </c>
      <c r="AI115" s="52">
        <v>-151.6191275715455</v>
      </c>
      <c r="AJ115" s="674">
        <v>0</v>
      </c>
      <c r="AK115" s="40">
        <v>0</v>
      </c>
      <c r="AL115" s="52">
        <v>0</v>
      </c>
      <c r="AM115" s="674">
        <v>0</v>
      </c>
      <c r="AN115" s="40">
        <v>0</v>
      </c>
      <c r="AO115" s="52">
        <v>0</v>
      </c>
      <c r="AP115" s="674">
        <v>674.52523662767817</v>
      </c>
      <c r="AQ115" s="40">
        <v>512.51078277167687</v>
      </c>
      <c r="AR115" s="52">
        <v>-162.0144538560013</v>
      </c>
      <c r="AS115" s="674">
        <v>6558.7546576293344</v>
      </c>
      <c r="AT115" s="40">
        <v>251</v>
      </c>
      <c r="AU115" s="54">
        <v>-6307.7546576293344</v>
      </c>
      <c r="AV115" s="674">
        <v>517.66750475589504</v>
      </c>
      <c r="AW115" s="40">
        <v>0</v>
      </c>
      <c r="AX115" s="55">
        <v>-517.66750475589504</v>
      </c>
      <c r="AY115" s="674">
        <v>563.85295515958273</v>
      </c>
      <c r="AZ115" s="40">
        <v>0</v>
      </c>
      <c r="BA115" s="35">
        <v>-563.85295515958273</v>
      </c>
      <c r="BB115" s="674">
        <v>245.38891837872438</v>
      </c>
      <c r="BC115" s="40">
        <v>0</v>
      </c>
      <c r="BD115" s="55">
        <v>-245.38891837872438</v>
      </c>
      <c r="BE115" s="674">
        <v>0</v>
      </c>
      <c r="BF115" s="40">
        <v>0</v>
      </c>
      <c r="BG115" s="38">
        <v>0</v>
      </c>
      <c r="BH115" s="674">
        <v>0</v>
      </c>
      <c r="BI115" s="40">
        <v>0</v>
      </c>
      <c r="BJ115" s="55">
        <v>0</v>
      </c>
      <c r="BK115" s="674">
        <v>97.238948524906107</v>
      </c>
      <c r="BL115" s="40">
        <v>0</v>
      </c>
      <c r="BM115" s="38">
        <v>-97.238948524906107</v>
      </c>
      <c r="BN115" s="674">
        <v>15.207000000000003</v>
      </c>
      <c r="BO115" s="40">
        <v>0</v>
      </c>
      <c r="BP115" s="55">
        <v>-15.207000000000003</v>
      </c>
      <c r="BQ115" s="77">
        <v>1439.3553268191083</v>
      </c>
      <c r="BR115" s="40">
        <v>0</v>
      </c>
      <c r="BS115" s="55">
        <v>-1439.3553268191083</v>
      </c>
      <c r="BT115" s="674">
        <v>7807.7741879841942</v>
      </c>
      <c r="BU115" s="40">
        <v>8289.8293923359652</v>
      </c>
      <c r="BV115" s="52">
        <v>482.05520435177095</v>
      </c>
      <c r="BW115" s="674">
        <v>3256.0705174353088</v>
      </c>
      <c r="BX115" s="40">
        <v>3107.9183805999255</v>
      </c>
      <c r="BY115" s="52">
        <v>-148.15213683538332</v>
      </c>
      <c r="BZ115" s="674">
        <v>1297.6425914117672</v>
      </c>
      <c r="CA115" s="40">
        <v>2013.5435198799623</v>
      </c>
      <c r="CB115" s="52">
        <v>715.90092846819516</v>
      </c>
      <c r="CC115" s="674">
        <v>0</v>
      </c>
      <c r="CD115" s="40">
        <v>0</v>
      </c>
      <c r="CE115" s="52">
        <v>0</v>
      </c>
      <c r="CF115" s="674">
        <v>0</v>
      </c>
      <c r="CG115" s="40">
        <v>0</v>
      </c>
      <c r="CH115" s="52">
        <v>0</v>
      </c>
      <c r="CI115" s="674">
        <v>607.98802872103488</v>
      </c>
      <c r="CJ115" s="40">
        <v>652.92472723962874</v>
      </c>
      <c r="CK115" s="52">
        <v>44.936698518593857</v>
      </c>
      <c r="CL115" s="674">
        <v>0</v>
      </c>
      <c r="CM115" s="40">
        <v>0</v>
      </c>
      <c r="CN115" s="52">
        <v>0</v>
      </c>
      <c r="CO115" s="39">
        <v>607.98802872103488</v>
      </c>
      <c r="CP115" s="40">
        <v>652.92472723962874</v>
      </c>
      <c r="CQ115" s="52">
        <v>44.936698518593857</v>
      </c>
      <c r="CR115" s="72">
        <v>27673.639556264538</v>
      </c>
      <c r="CS115" s="5">
        <v>20707.636684891721</v>
      </c>
      <c r="CT115" s="52">
        <v>-6966.002871372817</v>
      </c>
      <c r="CU115" s="77">
        <v>33208.367467517441</v>
      </c>
      <c r="CV115" s="65">
        <v>24849.164021870063</v>
      </c>
      <c r="CW115" s="35">
        <v>-8359.2034456473775</v>
      </c>
      <c r="CX115" s="73">
        <v>1008.4274347016119</v>
      </c>
      <c r="CY115" s="40">
        <v>9367.6308803489956</v>
      </c>
      <c r="CZ115" s="52">
        <v>8359.203445647383</v>
      </c>
      <c r="DA115" s="150">
        <v>-3494.9933739648804</v>
      </c>
      <c r="DB115" s="2">
        <v>2</v>
      </c>
      <c r="DC115" s="675">
        <v>6314.53</v>
      </c>
      <c r="DD115" s="675">
        <v>2283.48</v>
      </c>
      <c r="DE115" s="675">
        <v>4337.228316310091</v>
      </c>
      <c r="DF115" s="675">
        <v>1277.3819639494427</v>
      </c>
      <c r="DG115" s="321">
        <v>4864.2100716825025</v>
      </c>
      <c r="DH115" s="40">
        <v>34214.150359847088</v>
      </c>
      <c r="DI115" s="422">
        <v>2983.399719740466</v>
      </c>
      <c r="DJ115" s="306">
        <v>6.3456408334079217</v>
      </c>
      <c r="DK115" s="306">
        <v>6.3456408334079217</v>
      </c>
      <c r="DL115" s="306">
        <v>5.1515516438840621</v>
      </c>
      <c r="DM115" s="28">
        <v>1977.3016836899085</v>
      </c>
      <c r="DN115" s="28">
        <v>1006.0980360505574</v>
      </c>
      <c r="DO115" s="423">
        <v>2983.399719740466</v>
      </c>
      <c r="DP115" s="94">
        <v>0</v>
      </c>
      <c r="DQ115" s="28">
        <v>2983.399719740466</v>
      </c>
      <c r="DR115" s="318"/>
      <c r="DT115" s="8"/>
      <c r="DU115" s="5"/>
      <c r="DX115" s="5">
        <v>9597.7319813381309</v>
      </c>
      <c r="DY115" s="5">
        <v>301.2</v>
      </c>
      <c r="DZ115" s="159">
        <v>842.83461006573543</v>
      </c>
      <c r="EB115" s="676">
        <v>155.90135201184285</v>
      </c>
      <c r="EC115" s="676">
        <v>-189.41859465661219</v>
      </c>
      <c r="ED115" s="676">
        <v>-574.3534096035969</v>
      </c>
      <c r="EE115" s="676">
        <v>-858.47609487727823</v>
      </c>
      <c r="EF115" s="676">
        <v>-1013.7025486587363</v>
      </c>
      <c r="EG115" s="676">
        <v>-1056.8076459956746</v>
      </c>
      <c r="EH115" s="676">
        <v>-1154.4723399748998</v>
      </c>
      <c r="EI115" s="676">
        <v>-747.63956180976447</v>
      </c>
      <c r="EJ115" s="676">
        <v>-616.74113485276666</v>
      </c>
      <c r="EK115" s="676">
        <v>-547.05311412802985</v>
      </c>
      <c r="EL115" s="676">
        <v>-606.68487259652329</v>
      </c>
      <c r="EM115" s="676">
        <v>-1149.7554805053421</v>
      </c>
      <c r="EN115" s="676">
        <v>-8359.203445647383</v>
      </c>
      <c r="EQ115" s="5">
        <v>9597.7319813381309</v>
      </c>
      <c r="ER115" s="5">
        <v>301.2</v>
      </c>
      <c r="ET115" s="318">
        <v>23956.449763891069</v>
      </c>
      <c r="EU115" s="5">
        <v>-6301.2396922085663</v>
      </c>
    </row>
    <row r="116" spans="1:151" x14ac:dyDescent="0.3">
      <c r="A116" s="325">
        <v>150001562</v>
      </c>
      <c r="B116" s="41" t="s">
        <v>565</v>
      </c>
      <c r="C116" s="42" t="s">
        <v>209</v>
      </c>
      <c r="D116" s="27">
        <v>4</v>
      </c>
      <c r="E116" s="293">
        <v>2425.9</v>
      </c>
      <c r="F116" s="305">
        <v>2425.9</v>
      </c>
      <c r="G116" s="508">
        <v>0</v>
      </c>
      <c r="H116" s="677">
        <v>0</v>
      </c>
      <c r="I116" s="674">
        <v>8666.7561757097847</v>
      </c>
      <c r="J116" s="40">
        <v>9346.3740279491103</v>
      </c>
      <c r="K116" s="52">
        <v>679.61785223932566</v>
      </c>
      <c r="L116" s="674">
        <v>926.03118652682895</v>
      </c>
      <c r="M116" s="40">
        <v>1013.5793950153649</v>
      </c>
      <c r="N116" s="52">
        <v>87.54820848853592</v>
      </c>
      <c r="O116" s="674">
        <v>0</v>
      </c>
      <c r="P116" s="40">
        <v>0</v>
      </c>
      <c r="Q116" s="52">
        <v>0</v>
      </c>
      <c r="R116" s="674">
        <v>0</v>
      </c>
      <c r="S116" s="40">
        <v>0</v>
      </c>
      <c r="T116" s="52">
        <v>0</v>
      </c>
      <c r="U116" s="674">
        <v>0</v>
      </c>
      <c r="V116" s="40">
        <v>0</v>
      </c>
      <c r="W116" s="52">
        <v>0</v>
      </c>
      <c r="X116" s="674">
        <v>2261.7589681294671</v>
      </c>
      <c r="Y116" s="40">
        <v>1877.1290226796266</v>
      </c>
      <c r="Z116" s="52">
        <v>-384.62994544984053</v>
      </c>
      <c r="AA116" s="674">
        <v>292.20000000000005</v>
      </c>
      <c r="AB116" s="40">
        <v>0</v>
      </c>
      <c r="AC116" s="52">
        <v>-292.20000000000005</v>
      </c>
      <c r="AD116" s="674">
        <v>10118.708601780694</v>
      </c>
      <c r="AE116" s="40">
        <v>10314.74845924174</v>
      </c>
      <c r="AF116" s="35">
        <v>196.03985746104627</v>
      </c>
      <c r="AG116" s="77">
        <v>22265.454932146775</v>
      </c>
      <c r="AH116" s="53">
        <v>22551.830904885843</v>
      </c>
      <c r="AI116" s="52">
        <v>286.37597273906795</v>
      </c>
      <c r="AJ116" s="674">
        <v>0</v>
      </c>
      <c r="AK116" s="40">
        <v>0</v>
      </c>
      <c r="AL116" s="52">
        <v>0</v>
      </c>
      <c r="AM116" s="674">
        <v>0</v>
      </c>
      <c r="AN116" s="40">
        <v>0</v>
      </c>
      <c r="AO116" s="52">
        <v>0</v>
      </c>
      <c r="AP116" s="674">
        <v>944.33533127874898</v>
      </c>
      <c r="AQ116" s="40">
        <v>785.8558172347507</v>
      </c>
      <c r="AR116" s="52">
        <v>-158.47951404399828</v>
      </c>
      <c r="AS116" s="674">
        <v>43796.784289440227</v>
      </c>
      <c r="AT116" s="40">
        <v>9605</v>
      </c>
      <c r="AU116" s="54">
        <v>-34191.784289440227</v>
      </c>
      <c r="AV116" s="674">
        <v>2242.7810536227453</v>
      </c>
      <c r="AW116" s="40">
        <v>0</v>
      </c>
      <c r="AX116" s="55">
        <v>-2242.7810536227453</v>
      </c>
      <c r="AY116" s="674">
        <v>1517.7376288386351</v>
      </c>
      <c r="AZ116" s="40">
        <v>0</v>
      </c>
      <c r="BA116" s="35">
        <v>-1517.7376288386351</v>
      </c>
      <c r="BB116" s="674">
        <v>0</v>
      </c>
      <c r="BC116" s="40">
        <v>0</v>
      </c>
      <c r="BD116" s="55">
        <v>0</v>
      </c>
      <c r="BE116" s="674">
        <v>0</v>
      </c>
      <c r="BF116" s="40">
        <v>0</v>
      </c>
      <c r="BG116" s="38">
        <v>0</v>
      </c>
      <c r="BH116" s="674">
        <v>0</v>
      </c>
      <c r="BI116" s="40">
        <v>0</v>
      </c>
      <c r="BJ116" s="55">
        <v>0</v>
      </c>
      <c r="BK116" s="674">
        <v>784.0057962948182</v>
      </c>
      <c r="BL116" s="40">
        <v>0</v>
      </c>
      <c r="BM116" s="38">
        <v>-784.0057962948182</v>
      </c>
      <c r="BN116" s="674">
        <v>73.050000000000011</v>
      </c>
      <c r="BO116" s="40">
        <v>0</v>
      </c>
      <c r="BP116" s="55">
        <v>-73.050000000000011</v>
      </c>
      <c r="BQ116" s="77">
        <v>4617.5744787561989</v>
      </c>
      <c r="BR116" s="40">
        <v>0</v>
      </c>
      <c r="BS116" s="55">
        <v>-4617.5744787561989</v>
      </c>
      <c r="BT116" s="674">
        <v>17728.4324590008</v>
      </c>
      <c r="BU116" s="40">
        <v>21156.441557440397</v>
      </c>
      <c r="BV116" s="52">
        <v>3428.0090984395974</v>
      </c>
      <c r="BW116" s="674">
        <v>8853.4962923146159</v>
      </c>
      <c r="BX116" s="40">
        <v>8084.8966573360794</v>
      </c>
      <c r="BY116" s="52">
        <v>-768.59963497853641</v>
      </c>
      <c r="BZ116" s="674">
        <v>8931.2475735291991</v>
      </c>
      <c r="CA116" s="40">
        <v>5336.5817476973416</v>
      </c>
      <c r="CB116" s="52">
        <v>-3594.6658258318575</v>
      </c>
      <c r="CC116" s="674">
        <v>83.647249877339107</v>
      </c>
      <c r="CD116" s="40">
        <v>87.915021171371635</v>
      </c>
      <c r="CE116" s="52">
        <v>4.2677712940325279</v>
      </c>
      <c r="CF116" s="674">
        <v>10.22342243347688</v>
      </c>
      <c r="CG116" s="40">
        <v>0</v>
      </c>
      <c r="CH116" s="52">
        <v>-10.22342243347688</v>
      </c>
      <c r="CI116" s="674">
        <v>14890.84342363526</v>
      </c>
      <c r="CJ116" s="40">
        <v>7901.0263218553209</v>
      </c>
      <c r="CK116" s="52">
        <v>-6989.8171017799395</v>
      </c>
      <c r="CL116" s="674">
        <v>0</v>
      </c>
      <c r="CM116" s="40">
        <v>0</v>
      </c>
      <c r="CN116" s="52">
        <v>0</v>
      </c>
      <c r="CO116" s="39">
        <v>14890.84342363526</v>
      </c>
      <c r="CP116" s="40">
        <v>7901.0263218553209</v>
      </c>
      <c r="CQ116" s="52">
        <v>-6989.8171017799395</v>
      </c>
      <c r="CR116" s="72">
        <v>122122.03945241266</v>
      </c>
      <c r="CS116" s="5">
        <v>75509.548027621102</v>
      </c>
      <c r="CT116" s="52">
        <v>-46612.491424791559</v>
      </c>
      <c r="CU116" s="77">
        <v>146546.44734289518</v>
      </c>
      <c r="CV116" s="65">
        <v>90611.457633145314</v>
      </c>
      <c r="CW116" s="35">
        <v>-55934.989709749862</v>
      </c>
      <c r="CX116" s="73">
        <v>3445.6777070952771</v>
      </c>
      <c r="CY116" s="40">
        <v>59380.667416845114</v>
      </c>
      <c r="CZ116" s="52">
        <v>55934.98970974984</v>
      </c>
      <c r="DA116" s="150">
        <v>-105476.01174947163</v>
      </c>
      <c r="DB116" s="2">
        <v>2</v>
      </c>
      <c r="DC116" s="675">
        <v>-171.14</v>
      </c>
      <c r="DD116" s="675">
        <v>0</v>
      </c>
      <c r="DE116" s="675">
        <v>-12725.627744900432</v>
      </c>
      <c r="DF116" s="675">
        <v>0</v>
      </c>
      <c r="DG116" s="321">
        <v>-49541.022039721793</v>
      </c>
      <c r="DH116" s="40">
        <v>149978.8410377221</v>
      </c>
      <c r="DI116" s="422">
        <v>12554.487744900433</v>
      </c>
      <c r="DJ116" s="306">
        <v>5.1751876602087608</v>
      </c>
      <c r="DK116" s="306">
        <v>5.1751876602087608</v>
      </c>
      <c r="DL116" s="306">
        <v>4.7652041874748914</v>
      </c>
      <c r="DM116" s="28">
        <v>12554.487744900433</v>
      </c>
      <c r="DN116" s="28">
        <v>0</v>
      </c>
      <c r="DO116" s="423">
        <v>12554.487744900433</v>
      </c>
      <c r="DP116" s="94">
        <v>0</v>
      </c>
      <c r="DQ116" s="28">
        <v>12554.487744900433</v>
      </c>
      <c r="DR116" s="318"/>
      <c r="DT116" s="8"/>
      <c r="DU116" s="5"/>
      <c r="DX116" s="5">
        <v>58097.230521835714</v>
      </c>
      <c r="DY116" s="5">
        <v>11526</v>
      </c>
      <c r="DZ116" s="159">
        <v>5241.403961581701</v>
      </c>
      <c r="EB116" s="676">
        <v>-4971.0727015890016</v>
      </c>
      <c r="EC116" s="676">
        <v>-5090.2769147386798</v>
      </c>
      <c r="ED116" s="676">
        <v>-6109.1977192527911</v>
      </c>
      <c r="EE116" s="676">
        <v>-7876.5890018150594</v>
      </c>
      <c r="EF116" s="676">
        <v>-7154.0761909455232</v>
      </c>
      <c r="EG116" s="676">
        <v>-6706.0442040071794</v>
      </c>
      <c r="EH116" s="676">
        <v>6366.9678503698469</v>
      </c>
      <c r="EI116" s="676">
        <v>-5283.7017622950962</v>
      </c>
      <c r="EJ116" s="676">
        <v>-4357.7878032805211</v>
      </c>
      <c r="EK116" s="676">
        <v>-4742.9848410766344</v>
      </c>
      <c r="EL116" s="676">
        <v>-4711.9468336690998</v>
      </c>
      <c r="EM116" s="676">
        <v>-5298.2795874500953</v>
      </c>
      <c r="EN116" s="676">
        <v>-55934.98970974984</v>
      </c>
      <c r="EQ116" s="5">
        <v>58097.230521835714</v>
      </c>
      <c r="ER116" s="5">
        <v>11526</v>
      </c>
      <c r="ET116" s="318">
        <v>-66137.476723613421</v>
      </c>
      <c r="EU116" s="5">
        <v>4352.4546838916222</v>
      </c>
    </row>
    <row r="117" spans="1:151" x14ac:dyDescent="0.3">
      <c r="A117" s="325">
        <v>150000604</v>
      </c>
      <c r="B117" s="41" t="s">
        <v>566</v>
      </c>
      <c r="C117" s="42" t="s">
        <v>155</v>
      </c>
      <c r="D117" s="27">
        <v>2</v>
      </c>
      <c r="E117" s="293">
        <v>452.1</v>
      </c>
      <c r="F117" s="305">
        <v>387.5</v>
      </c>
      <c r="G117" s="508">
        <v>0</v>
      </c>
      <c r="H117" s="677">
        <v>64.599999999999994</v>
      </c>
      <c r="I117" s="674">
        <v>1883.4972927446079</v>
      </c>
      <c r="J117" s="40">
        <v>2031.2896589075415</v>
      </c>
      <c r="K117" s="52">
        <v>147.7923661629336</v>
      </c>
      <c r="L117" s="674">
        <v>339.409330656311</v>
      </c>
      <c r="M117" s="40">
        <v>371.49432774325345</v>
      </c>
      <c r="N117" s="52">
        <v>32.084997086942451</v>
      </c>
      <c r="O117" s="674">
        <v>613.77231275847521</v>
      </c>
      <c r="P117" s="40">
        <v>613.77000000000021</v>
      </c>
      <c r="Q117" s="52">
        <v>-2.3127584750000096E-3</v>
      </c>
      <c r="R117" s="674">
        <v>0</v>
      </c>
      <c r="S117" s="40">
        <v>0</v>
      </c>
      <c r="T117" s="52">
        <v>0</v>
      </c>
      <c r="U117" s="674">
        <v>0</v>
      </c>
      <c r="V117" s="40">
        <v>0</v>
      </c>
      <c r="W117" s="52">
        <v>0</v>
      </c>
      <c r="X117" s="674">
        <v>891.92302241764605</v>
      </c>
      <c r="Y117" s="40">
        <v>778.75181756393727</v>
      </c>
      <c r="Z117" s="52">
        <v>-113.17120485370879</v>
      </c>
      <c r="AA117" s="674">
        <v>54.251999999999995</v>
      </c>
      <c r="AB117" s="40">
        <v>0</v>
      </c>
      <c r="AC117" s="52">
        <v>-54.251999999999995</v>
      </c>
      <c r="AD117" s="674">
        <v>1934.5214807705402</v>
      </c>
      <c r="AE117" s="40">
        <v>1920.8039551372672</v>
      </c>
      <c r="AF117" s="35">
        <v>-13.717525633272999</v>
      </c>
      <c r="AG117" s="77">
        <v>5717.3754393475801</v>
      </c>
      <c r="AH117" s="53">
        <v>5716.1097593519989</v>
      </c>
      <c r="AI117" s="52">
        <v>-1.2656799955811948</v>
      </c>
      <c r="AJ117" s="674">
        <v>0</v>
      </c>
      <c r="AK117" s="40">
        <v>0</v>
      </c>
      <c r="AL117" s="52">
        <v>0</v>
      </c>
      <c r="AM117" s="674">
        <v>0</v>
      </c>
      <c r="AN117" s="40">
        <v>0</v>
      </c>
      <c r="AO117" s="52">
        <v>0</v>
      </c>
      <c r="AP117" s="674">
        <v>944.33533127874898</v>
      </c>
      <c r="AQ117" s="40">
        <v>683.90206550070184</v>
      </c>
      <c r="AR117" s="52">
        <v>-260.43326577804714</v>
      </c>
      <c r="AS117" s="674">
        <v>4568.3939203110485</v>
      </c>
      <c r="AT117" s="40">
        <v>125</v>
      </c>
      <c r="AU117" s="54">
        <v>-4443.3939203110485</v>
      </c>
      <c r="AV117" s="674">
        <v>484.53042420805116</v>
      </c>
      <c r="AW117" s="40">
        <v>0</v>
      </c>
      <c r="AX117" s="55">
        <v>-484.53042420805116</v>
      </c>
      <c r="AY117" s="674">
        <v>556.69480444200644</v>
      </c>
      <c r="AZ117" s="40">
        <v>0</v>
      </c>
      <c r="BA117" s="35">
        <v>-556.69480444200644</v>
      </c>
      <c r="BB117" s="674">
        <v>200.40246333643128</v>
      </c>
      <c r="BC117" s="40">
        <v>0</v>
      </c>
      <c r="BD117" s="55">
        <v>-200.40246333643128</v>
      </c>
      <c r="BE117" s="674">
        <v>0</v>
      </c>
      <c r="BF117" s="40">
        <v>0</v>
      </c>
      <c r="BG117" s="38">
        <v>0</v>
      </c>
      <c r="BH117" s="674">
        <v>0</v>
      </c>
      <c r="BI117" s="40">
        <v>0</v>
      </c>
      <c r="BJ117" s="55">
        <v>0</v>
      </c>
      <c r="BK117" s="674">
        <v>96.644028156818351</v>
      </c>
      <c r="BL117" s="40">
        <v>709</v>
      </c>
      <c r="BM117" s="38">
        <v>612.35597184318169</v>
      </c>
      <c r="BN117" s="674">
        <v>13.562999999999999</v>
      </c>
      <c r="BO117" s="40">
        <v>0</v>
      </c>
      <c r="BP117" s="55">
        <v>-13.562999999999999</v>
      </c>
      <c r="BQ117" s="77">
        <v>1351.8347201433073</v>
      </c>
      <c r="BR117" s="40">
        <v>709</v>
      </c>
      <c r="BS117" s="55">
        <v>-642.83472014330732</v>
      </c>
      <c r="BT117" s="674">
        <v>7193.5415769726951</v>
      </c>
      <c r="BU117" s="40">
        <v>7217.2743472451621</v>
      </c>
      <c r="BV117" s="52">
        <v>23.732770272466951</v>
      </c>
      <c r="BW117" s="674">
        <v>3808.0172083475791</v>
      </c>
      <c r="BX117" s="40">
        <v>3552.3321560979057</v>
      </c>
      <c r="BY117" s="52">
        <v>-255.68505224967339</v>
      </c>
      <c r="BZ117" s="674">
        <v>1301.5469228483132</v>
      </c>
      <c r="CA117" s="40">
        <v>1690.2391344196271</v>
      </c>
      <c r="CB117" s="52">
        <v>388.69221157131392</v>
      </c>
      <c r="CC117" s="674">
        <v>0</v>
      </c>
      <c r="CD117" s="40">
        <v>0</v>
      </c>
      <c r="CE117" s="52">
        <v>0</v>
      </c>
      <c r="CF117" s="674">
        <v>0</v>
      </c>
      <c r="CG117" s="40">
        <v>0</v>
      </c>
      <c r="CH117" s="52">
        <v>0</v>
      </c>
      <c r="CI117" s="674">
        <v>93.504431648682342</v>
      </c>
      <c r="CJ117" s="40">
        <v>319.43511507902406</v>
      </c>
      <c r="CK117" s="52">
        <v>225.93068343034173</v>
      </c>
      <c r="CL117" s="674">
        <v>0</v>
      </c>
      <c r="CM117" s="40">
        <v>0</v>
      </c>
      <c r="CN117" s="52">
        <v>0</v>
      </c>
      <c r="CO117" s="39">
        <v>93.504431648682342</v>
      </c>
      <c r="CP117" s="40">
        <v>319.43511507902406</v>
      </c>
      <c r="CQ117" s="52">
        <v>225.93068343034173</v>
      </c>
      <c r="CR117" s="72">
        <v>24978.549550897951</v>
      </c>
      <c r="CS117" s="5">
        <v>20013.292577694418</v>
      </c>
      <c r="CT117" s="52">
        <v>-4965.2569732035336</v>
      </c>
      <c r="CU117" s="77">
        <v>29974.259461077541</v>
      </c>
      <c r="CV117" s="65">
        <v>24015.9510932333</v>
      </c>
      <c r="CW117" s="35">
        <v>-5958.3083678442417</v>
      </c>
      <c r="CX117" s="73">
        <v>306.08484245269682</v>
      </c>
      <c r="CY117" s="40">
        <v>6264.3932102969393</v>
      </c>
      <c r="CZ117" s="52">
        <v>5958.3083678442426</v>
      </c>
      <c r="DA117" s="150">
        <v>45896.161832085083</v>
      </c>
      <c r="DB117" s="2">
        <v>2</v>
      </c>
      <c r="DC117" s="675">
        <v>13853.65</v>
      </c>
      <c r="DD117" s="675">
        <v>1276.56</v>
      </c>
      <c r="DE117" s="675">
        <v>11516.921910481877</v>
      </c>
      <c r="DF117" s="675">
        <v>957.42061939140592</v>
      </c>
      <c r="DG117" s="321">
        <v>51854.470199929325</v>
      </c>
      <c r="DH117" s="40">
        <v>30278.054700625959</v>
      </c>
      <c r="DI117" s="422">
        <v>2655.8674701267169</v>
      </c>
      <c r="DJ117" s="306">
        <v>6.0302660374661228</v>
      </c>
      <c r="DK117" s="306">
        <v>6.0302660374661228</v>
      </c>
      <c r="DL117" s="306">
        <v>4.940238089916317</v>
      </c>
      <c r="DM117" s="28">
        <v>2336.7280895181225</v>
      </c>
      <c r="DN117" s="28">
        <v>319.13938060859402</v>
      </c>
      <c r="DO117" s="423">
        <v>2655.8674701267164</v>
      </c>
      <c r="DP117" s="94">
        <v>0</v>
      </c>
      <c r="DQ117" s="28">
        <v>2655.8674701267164</v>
      </c>
      <c r="DR117" s="318"/>
      <c r="DT117" s="8"/>
      <c r="DU117" s="5"/>
      <c r="DX117" s="5">
        <v>7104.2743685452269</v>
      </c>
      <c r="DY117" s="5">
        <v>1000.8</v>
      </c>
      <c r="DZ117" s="159">
        <v>585.36028312342989</v>
      </c>
      <c r="EB117" s="676">
        <v>141.11299584987796</v>
      </c>
      <c r="EC117" s="676">
        <v>-30.769368697429854</v>
      </c>
      <c r="ED117" s="676">
        <v>-499.19101132842479</v>
      </c>
      <c r="EE117" s="676">
        <v>-1021.0832541688396</v>
      </c>
      <c r="EF117" s="676">
        <v>-745.62457942052265</v>
      </c>
      <c r="EG117" s="676">
        <v>-740.26161430205798</v>
      </c>
      <c r="EH117" s="676">
        <v>-765.91697852592984</v>
      </c>
      <c r="EI117" s="676">
        <v>278.96958363241993</v>
      </c>
      <c r="EJ117" s="676">
        <v>-396.94428625067167</v>
      </c>
      <c r="EK117" s="676">
        <v>-461.03243605931766</v>
      </c>
      <c r="EL117" s="676">
        <v>-695.31433229752997</v>
      </c>
      <c r="EM117" s="676">
        <v>-1022.253086275816</v>
      </c>
      <c r="EN117" s="676">
        <v>-5958.3083678442417</v>
      </c>
      <c r="EQ117" s="5">
        <v>7104.2743685452269</v>
      </c>
      <c r="ER117" s="5">
        <v>1000.8</v>
      </c>
      <c r="ET117" s="318">
        <v>45427.890906519424</v>
      </c>
      <c r="EU117" s="5">
        <v>11991.579293409908</v>
      </c>
    </row>
    <row r="118" spans="1:151" x14ac:dyDescent="0.3">
      <c r="A118" s="325">
        <v>150000605</v>
      </c>
      <c r="B118" s="41" t="s">
        <v>567</v>
      </c>
      <c r="C118" s="42" t="s">
        <v>156</v>
      </c>
      <c r="D118" s="27">
        <v>2</v>
      </c>
      <c r="E118" s="293">
        <v>379</v>
      </c>
      <c r="F118" s="305">
        <v>321.10000000000002</v>
      </c>
      <c r="G118" s="508">
        <v>0</v>
      </c>
      <c r="H118" s="677">
        <v>57.9</v>
      </c>
      <c r="I118" s="674">
        <v>1186.8590687571102</v>
      </c>
      <c r="J118" s="40">
        <v>1327.2416930832874</v>
      </c>
      <c r="K118" s="52">
        <v>140.38262432617717</v>
      </c>
      <c r="L118" s="674">
        <v>401.89596713703423</v>
      </c>
      <c r="M118" s="40">
        <v>439.88642117033805</v>
      </c>
      <c r="N118" s="52">
        <v>37.99045403330382</v>
      </c>
      <c r="O118" s="674">
        <v>503.66363174934008</v>
      </c>
      <c r="P118" s="40">
        <v>503.67000000000007</v>
      </c>
      <c r="Q118" s="52">
        <v>6.3682506599889166E-3</v>
      </c>
      <c r="R118" s="674">
        <v>0</v>
      </c>
      <c r="S118" s="40">
        <v>0</v>
      </c>
      <c r="T118" s="52">
        <v>0</v>
      </c>
      <c r="U118" s="674">
        <v>0</v>
      </c>
      <c r="V118" s="40">
        <v>0</v>
      </c>
      <c r="W118" s="52">
        <v>0</v>
      </c>
      <c r="X118" s="674">
        <v>465.68089340956544</v>
      </c>
      <c r="Y118" s="40">
        <v>503.43966297353666</v>
      </c>
      <c r="Z118" s="52">
        <v>37.758769563971214</v>
      </c>
      <c r="AA118" s="674">
        <v>45.480000000000004</v>
      </c>
      <c r="AB118" s="40">
        <v>0</v>
      </c>
      <c r="AC118" s="52">
        <v>-45.480000000000004</v>
      </c>
      <c r="AD118" s="674">
        <v>1621.5269707139782</v>
      </c>
      <c r="AE118" s="40">
        <v>1610.2655781594531</v>
      </c>
      <c r="AF118" s="35">
        <v>-11.261392554525173</v>
      </c>
      <c r="AG118" s="77">
        <v>4225.1065317670282</v>
      </c>
      <c r="AH118" s="53">
        <v>4384.5033553866151</v>
      </c>
      <c r="AI118" s="52">
        <v>159.39682361958694</v>
      </c>
      <c r="AJ118" s="674">
        <v>0</v>
      </c>
      <c r="AK118" s="40">
        <v>0</v>
      </c>
      <c r="AL118" s="52">
        <v>0</v>
      </c>
      <c r="AM118" s="674">
        <v>0</v>
      </c>
      <c r="AN118" s="40">
        <v>0</v>
      </c>
      <c r="AO118" s="52">
        <v>0</v>
      </c>
      <c r="AP118" s="674">
        <v>1079.2403786042846</v>
      </c>
      <c r="AQ118" s="40">
        <v>797.34258311705298</v>
      </c>
      <c r="AR118" s="52">
        <v>-281.89779548723163</v>
      </c>
      <c r="AS118" s="674">
        <v>5289.3884812499473</v>
      </c>
      <c r="AT118" s="40">
        <v>125</v>
      </c>
      <c r="AU118" s="54">
        <v>-5164.3884812499473</v>
      </c>
      <c r="AV118" s="674">
        <v>492.44633832794858</v>
      </c>
      <c r="AW118" s="40">
        <v>0</v>
      </c>
      <c r="AX118" s="55">
        <v>-492.44633832794858</v>
      </c>
      <c r="AY118" s="674">
        <v>658.86588814632375</v>
      </c>
      <c r="AZ118" s="40">
        <v>0</v>
      </c>
      <c r="BA118" s="35">
        <v>-658.86588814632375</v>
      </c>
      <c r="BB118" s="674">
        <v>142.14869690125977</v>
      </c>
      <c r="BC118" s="40">
        <v>0</v>
      </c>
      <c r="BD118" s="55">
        <v>-142.14869690125977</v>
      </c>
      <c r="BE118" s="674">
        <v>0</v>
      </c>
      <c r="BF118" s="40">
        <v>0</v>
      </c>
      <c r="BG118" s="38">
        <v>0</v>
      </c>
      <c r="BH118" s="674">
        <v>0</v>
      </c>
      <c r="BI118" s="40">
        <v>0</v>
      </c>
      <c r="BJ118" s="55">
        <v>0</v>
      </c>
      <c r="BK118" s="674">
        <v>54.940202430438077</v>
      </c>
      <c r="BL118" s="40">
        <v>709</v>
      </c>
      <c r="BM118" s="38">
        <v>654.05979756956197</v>
      </c>
      <c r="BN118" s="674">
        <v>11.370000000000001</v>
      </c>
      <c r="BO118" s="40">
        <v>0</v>
      </c>
      <c r="BP118" s="55">
        <v>-11.370000000000001</v>
      </c>
      <c r="BQ118" s="77">
        <v>1359.7711258059703</v>
      </c>
      <c r="BR118" s="40">
        <v>709</v>
      </c>
      <c r="BS118" s="55">
        <v>-650.77112580597031</v>
      </c>
      <c r="BT118" s="674">
        <v>5431.6973946619837</v>
      </c>
      <c r="BU118" s="40">
        <v>6292.4151597163054</v>
      </c>
      <c r="BV118" s="52">
        <v>860.71776505432172</v>
      </c>
      <c r="BW118" s="674">
        <v>3113.7375086946404</v>
      </c>
      <c r="BX118" s="40">
        <v>2832.7782514487885</v>
      </c>
      <c r="BY118" s="52">
        <v>-280.95925724585186</v>
      </c>
      <c r="BZ118" s="674">
        <v>1221.5923753457835</v>
      </c>
      <c r="CA118" s="40">
        <v>1264.3410468177626</v>
      </c>
      <c r="CB118" s="52">
        <v>42.748671471979151</v>
      </c>
      <c r="CC118" s="674">
        <v>289.01375372901219</v>
      </c>
      <c r="CD118" s="40">
        <v>303.75954158879227</v>
      </c>
      <c r="CE118" s="52">
        <v>14.74578785978008</v>
      </c>
      <c r="CF118" s="674">
        <v>35.323452926298849</v>
      </c>
      <c r="CG118" s="40">
        <v>0</v>
      </c>
      <c r="CH118" s="52">
        <v>-35.323452926298849</v>
      </c>
      <c r="CI118" s="674">
        <v>523.78545318945839</v>
      </c>
      <c r="CJ118" s="40">
        <v>560.25144888280693</v>
      </c>
      <c r="CK118" s="52">
        <v>36.465995693348532</v>
      </c>
      <c r="CL118" s="674">
        <v>0</v>
      </c>
      <c r="CM118" s="40">
        <v>0</v>
      </c>
      <c r="CN118" s="52">
        <v>0</v>
      </c>
      <c r="CO118" s="39">
        <v>523.78545318945839</v>
      </c>
      <c r="CP118" s="40">
        <v>560.25144888280693</v>
      </c>
      <c r="CQ118" s="52">
        <v>36.465995693348532</v>
      </c>
      <c r="CR118" s="72">
        <v>22568.656455974411</v>
      </c>
      <c r="CS118" s="5">
        <v>17269.391386958119</v>
      </c>
      <c r="CT118" s="52">
        <v>-5299.2650690162918</v>
      </c>
      <c r="CU118" s="77">
        <v>27082.387747169294</v>
      </c>
      <c r="CV118" s="65">
        <v>20723.269664349744</v>
      </c>
      <c r="CW118" s="35">
        <v>-6359.1180828195502</v>
      </c>
      <c r="CX118" s="73">
        <v>819.27672202864642</v>
      </c>
      <c r="CY118" s="40">
        <v>7178.3948048481916</v>
      </c>
      <c r="CZ118" s="52">
        <v>6359.1180828195447</v>
      </c>
      <c r="DA118" s="150">
        <v>12063.740423995732</v>
      </c>
      <c r="DB118" s="2">
        <v>2</v>
      </c>
      <c r="DC118" s="675">
        <v>24443.72</v>
      </c>
      <c r="DD118" s="675">
        <v>12839.13</v>
      </c>
      <c r="DE118" s="675">
        <v>22317.193475749082</v>
      </c>
      <c r="DF118" s="675">
        <v>12518.60254897911</v>
      </c>
      <c r="DG118" s="321">
        <v>18422.858506815275</v>
      </c>
      <c r="DH118" s="40">
        <v>27899.554141205837</v>
      </c>
      <c r="DI118" s="422">
        <v>2447.0539752718078</v>
      </c>
      <c r="DJ118" s="306">
        <v>6.6226300973245644</v>
      </c>
      <c r="DK118" s="306">
        <v>6.6226300973245644</v>
      </c>
      <c r="DL118" s="306">
        <v>5.535879983089635</v>
      </c>
      <c r="DM118" s="28">
        <v>2126.5265242509176</v>
      </c>
      <c r="DN118" s="28">
        <v>320.52745102088988</v>
      </c>
      <c r="DO118" s="423">
        <v>2447.0539752718078</v>
      </c>
      <c r="DP118" s="94">
        <v>0</v>
      </c>
      <c r="DQ118" s="28">
        <v>2447.0539752718078</v>
      </c>
      <c r="DR118" s="318"/>
      <c r="DT118" s="8"/>
      <c r="DU118" s="5"/>
      <c r="DX118" s="5">
        <v>7978.9915284671006</v>
      </c>
      <c r="DY118" s="5">
        <v>1000.8</v>
      </c>
      <c r="DZ118" s="159">
        <v>707.25823722693087</v>
      </c>
      <c r="EB118" s="676">
        <v>-77.464495252451343</v>
      </c>
      <c r="EC118" s="676">
        <v>51.594238652383183</v>
      </c>
      <c r="ED118" s="676">
        <v>-313.42175304202738</v>
      </c>
      <c r="EE118" s="676">
        <v>-787.63283909457709</v>
      </c>
      <c r="EF118" s="676">
        <v>-725.53564737185729</v>
      </c>
      <c r="EG118" s="676">
        <v>-696.37328247497726</v>
      </c>
      <c r="EH118" s="676">
        <v>-827.17762638454428</v>
      </c>
      <c r="EI118" s="676">
        <v>277.28157462294666</v>
      </c>
      <c r="EJ118" s="676">
        <v>-750.60853148448268</v>
      </c>
      <c r="EK118" s="676">
        <v>-823.51874255630901</v>
      </c>
      <c r="EL118" s="676">
        <v>-854.63376830048605</v>
      </c>
      <c r="EM118" s="676">
        <v>-831.62721013316082</v>
      </c>
      <c r="EN118" s="676">
        <v>-6359.1180828195429</v>
      </c>
      <c r="EQ118" s="5">
        <v>7978.9915284671006</v>
      </c>
      <c r="ER118" s="5">
        <v>1000.8</v>
      </c>
      <c r="ET118" s="318">
        <v>17857.641462485753</v>
      </c>
      <c r="EU118" s="5">
        <v>7067.2170443295208</v>
      </c>
    </row>
    <row r="119" spans="1:151" x14ac:dyDescent="0.3">
      <c r="A119" s="325">
        <v>150000606</v>
      </c>
      <c r="B119" s="41" t="s">
        <v>568</v>
      </c>
      <c r="C119" s="42" t="s">
        <v>157</v>
      </c>
      <c r="D119" s="27">
        <v>2</v>
      </c>
      <c r="E119" s="293">
        <v>766.3</v>
      </c>
      <c r="F119" s="305">
        <v>685.8</v>
      </c>
      <c r="G119" s="508">
        <v>0</v>
      </c>
      <c r="H119" s="677">
        <v>80.5</v>
      </c>
      <c r="I119" s="674">
        <v>2413.5289889559822</v>
      </c>
      <c r="J119" s="40">
        <v>2684.7101885921784</v>
      </c>
      <c r="K119" s="52">
        <v>271.1811996361962</v>
      </c>
      <c r="L119" s="674">
        <v>723.33325032348137</v>
      </c>
      <c r="M119" s="40">
        <v>791.71685339454257</v>
      </c>
      <c r="N119" s="52">
        <v>68.383603071061202</v>
      </c>
      <c r="O119" s="674">
        <v>981.20599479833959</v>
      </c>
      <c r="P119" s="40">
        <v>981.20999999999958</v>
      </c>
      <c r="Q119" s="52">
        <v>4.005201659992963E-3</v>
      </c>
      <c r="R119" s="674">
        <v>0</v>
      </c>
      <c r="S119" s="40">
        <v>0</v>
      </c>
      <c r="T119" s="52">
        <v>0</v>
      </c>
      <c r="U119" s="674">
        <v>0</v>
      </c>
      <c r="V119" s="40">
        <v>0</v>
      </c>
      <c r="W119" s="52">
        <v>0</v>
      </c>
      <c r="X119" s="674">
        <v>917.40531350375102</v>
      </c>
      <c r="Y119" s="40">
        <v>697.93102578388675</v>
      </c>
      <c r="Z119" s="52">
        <v>-219.47428771986426</v>
      </c>
      <c r="AA119" s="674">
        <v>91.895999999999987</v>
      </c>
      <c r="AB119" s="40">
        <v>0</v>
      </c>
      <c r="AC119" s="52">
        <v>-91.895999999999987</v>
      </c>
      <c r="AD119" s="674">
        <v>3280.1850102255657</v>
      </c>
      <c r="AE119" s="40">
        <v>3255.0757196020604</v>
      </c>
      <c r="AF119" s="35">
        <v>-25.109290623505331</v>
      </c>
      <c r="AG119" s="77">
        <v>8407.5545578071196</v>
      </c>
      <c r="AH119" s="53">
        <v>8410.6437873726682</v>
      </c>
      <c r="AI119" s="52">
        <v>3.0892295655485214</v>
      </c>
      <c r="AJ119" s="674">
        <v>0</v>
      </c>
      <c r="AK119" s="40">
        <v>0</v>
      </c>
      <c r="AL119" s="52">
        <v>0</v>
      </c>
      <c r="AM119" s="674">
        <v>0</v>
      </c>
      <c r="AN119" s="40">
        <v>0</v>
      </c>
      <c r="AO119" s="52">
        <v>0</v>
      </c>
      <c r="AP119" s="674">
        <v>1888.670662557498</v>
      </c>
      <c r="AQ119" s="40">
        <v>1703.557340237722</v>
      </c>
      <c r="AR119" s="52">
        <v>-185.11332231977599</v>
      </c>
      <c r="AS119" s="674">
        <v>11580.515404791779</v>
      </c>
      <c r="AT119" s="40">
        <v>3372</v>
      </c>
      <c r="AU119" s="54">
        <v>-8208.5154047917786</v>
      </c>
      <c r="AV119" s="674">
        <v>1038.5590504649974</v>
      </c>
      <c r="AW119" s="40">
        <v>0</v>
      </c>
      <c r="AX119" s="55">
        <v>-1038.5590504649974</v>
      </c>
      <c r="AY119" s="674">
        <v>1185.8643883908994</v>
      </c>
      <c r="AZ119" s="40">
        <v>0</v>
      </c>
      <c r="BA119" s="35">
        <v>-1185.8643883908994</v>
      </c>
      <c r="BB119" s="674">
        <v>343.14089080591748</v>
      </c>
      <c r="BC119" s="40">
        <v>0</v>
      </c>
      <c r="BD119" s="55">
        <v>-343.14089080591748</v>
      </c>
      <c r="BE119" s="674">
        <v>0</v>
      </c>
      <c r="BF119" s="40">
        <v>0</v>
      </c>
      <c r="BG119" s="38">
        <v>0</v>
      </c>
      <c r="BH119" s="674">
        <v>0</v>
      </c>
      <c r="BI119" s="40">
        <v>0</v>
      </c>
      <c r="BJ119" s="55">
        <v>0</v>
      </c>
      <c r="BK119" s="674">
        <v>165.03853143918238</v>
      </c>
      <c r="BL119" s="40">
        <v>0</v>
      </c>
      <c r="BM119" s="38">
        <v>-165.03853143918238</v>
      </c>
      <c r="BN119" s="674">
        <v>22.973999999999997</v>
      </c>
      <c r="BO119" s="40">
        <v>0</v>
      </c>
      <c r="BP119" s="55">
        <v>-22.973999999999997</v>
      </c>
      <c r="BQ119" s="77">
        <v>2755.5768611009971</v>
      </c>
      <c r="BR119" s="40">
        <v>0</v>
      </c>
      <c r="BS119" s="55">
        <v>-2755.5768611009971</v>
      </c>
      <c r="BT119" s="674">
        <v>10263.444426159678</v>
      </c>
      <c r="BU119" s="40">
        <v>10927.998341872943</v>
      </c>
      <c r="BV119" s="52">
        <v>664.55391571326436</v>
      </c>
      <c r="BW119" s="674">
        <v>6506.0865457036207</v>
      </c>
      <c r="BX119" s="40">
        <v>5874.7436638533973</v>
      </c>
      <c r="BY119" s="52">
        <v>-631.34288185022342</v>
      </c>
      <c r="BZ119" s="674">
        <v>3285.8194351789107</v>
      </c>
      <c r="CA119" s="40">
        <v>2712.7763141289188</v>
      </c>
      <c r="CB119" s="52">
        <v>-573.0431210499919</v>
      </c>
      <c r="CC119" s="674">
        <v>0</v>
      </c>
      <c r="CD119" s="40">
        <v>0</v>
      </c>
      <c r="CE119" s="52">
        <v>0</v>
      </c>
      <c r="CF119" s="674">
        <v>0</v>
      </c>
      <c r="CG119" s="40">
        <v>0</v>
      </c>
      <c r="CH119" s="52">
        <v>0</v>
      </c>
      <c r="CI119" s="674">
        <v>1618.0963595683754</v>
      </c>
      <c r="CJ119" s="40">
        <v>976.10057782639956</v>
      </c>
      <c r="CK119" s="52">
        <v>-641.99578174197586</v>
      </c>
      <c r="CL119" s="674">
        <v>0</v>
      </c>
      <c r="CM119" s="40">
        <v>0</v>
      </c>
      <c r="CN119" s="52">
        <v>0</v>
      </c>
      <c r="CO119" s="39">
        <v>1618.0963595683754</v>
      </c>
      <c r="CP119" s="40">
        <v>976.10057782639956</v>
      </c>
      <c r="CQ119" s="52">
        <v>-641.99578174197586</v>
      </c>
      <c r="CR119" s="72">
        <v>46305.764252867986</v>
      </c>
      <c r="CS119" s="5">
        <v>33977.820025292051</v>
      </c>
      <c r="CT119" s="52">
        <v>-12327.944227575936</v>
      </c>
      <c r="CU119" s="77">
        <v>55566.917103441585</v>
      </c>
      <c r="CV119" s="65">
        <v>40773.384030350462</v>
      </c>
      <c r="CW119" s="35">
        <v>-14793.533073091123</v>
      </c>
      <c r="CX119" s="73">
        <v>1238.8159738498846</v>
      </c>
      <c r="CY119" s="40">
        <v>16032.349046941006</v>
      </c>
      <c r="CZ119" s="52">
        <v>14793.533073091121</v>
      </c>
      <c r="DA119" s="150">
        <v>5533.1540688096266</v>
      </c>
      <c r="DB119" s="2">
        <v>2</v>
      </c>
      <c r="DC119" s="675">
        <v>13843.91</v>
      </c>
      <c r="DD119" s="675">
        <v>1605.13</v>
      </c>
      <c r="DE119" s="675">
        <v>9313.6691953988011</v>
      </c>
      <c r="DF119" s="675">
        <v>1159.4039231262766</v>
      </c>
      <c r="DG119" s="321">
        <v>20326.687141900748</v>
      </c>
      <c r="DH119" s="40">
        <v>56801.417041632201</v>
      </c>
      <c r="DI119" s="422">
        <v>4975.966881474923</v>
      </c>
      <c r="DJ119" s="306">
        <v>6.6057754514453189</v>
      </c>
      <c r="DK119" s="306">
        <v>6.6057754514453189</v>
      </c>
      <c r="DL119" s="306">
        <v>5.5369698990524654</v>
      </c>
      <c r="DM119" s="28">
        <v>4530.2408046011997</v>
      </c>
      <c r="DN119" s="28">
        <v>445.72607687372346</v>
      </c>
      <c r="DO119" s="423">
        <v>4975.966881474923</v>
      </c>
      <c r="DP119" s="94">
        <v>0</v>
      </c>
      <c r="DQ119" s="28">
        <v>4975.966881474923</v>
      </c>
      <c r="DR119" s="318"/>
      <c r="DT119" s="8"/>
      <c r="DU119" s="5"/>
      <c r="DX119" s="5">
        <v>17203.310719071331</v>
      </c>
      <c r="DY119" s="5">
        <v>4046.3999999999996</v>
      </c>
      <c r="DZ119" s="159">
        <v>1560.6547468248154</v>
      </c>
      <c r="EB119" s="676">
        <v>184.5510156985697</v>
      </c>
      <c r="EC119" s="676">
        <v>-1033.308675365302</v>
      </c>
      <c r="ED119" s="676">
        <v>-1112.5040062079984</v>
      </c>
      <c r="EE119" s="676">
        <v>1532.9071102094913</v>
      </c>
      <c r="EF119" s="676">
        <v>-2151.7580177194814</v>
      </c>
      <c r="EG119" s="676">
        <v>-2067.1305484581103</v>
      </c>
      <c r="EH119" s="676">
        <v>-2236.2800237364763</v>
      </c>
      <c r="EI119" s="676">
        <v>-1901.3850121656683</v>
      </c>
      <c r="EJ119" s="676">
        <v>-1346.4441211762423</v>
      </c>
      <c r="EK119" s="676">
        <v>-1662.0550477508814</v>
      </c>
      <c r="EL119" s="676">
        <v>-1638.8827596887918</v>
      </c>
      <c r="EM119" s="676">
        <v>-1361.2429867302308</v>
      </c>
      <c r="EN119" s="676">
        <v>-14793.533073091121</v>
      </c>
      <c r="EQ119" s="5">
        <v>17203.310719071331</v>
      </c>
      <c r="ER119" s="5">
        <v>4046.3999999999996</v>
      </c>
      <c r="ET119" s="318">
        <v>19456.781062481678</v>
      </c>
      <c r="EU119" s="5">
        <v>-4094.0939205809277</v>
      </c>
    </row>
    <row r="120" spans="1:151" x14ac:dyDescent="0.3">
      <c r="A120" s="325">
        <v>150000607</v>
      </c>
      <c r="B120" s="41" t="s">
        <v>569</v>
      </c>
      <c r="C120" s="42" t="s">
        <v>158</v>
      </c>
      <c r="D120" s="27">
        <v>2</v>
      </c>
      <c r="E120" s="293">
        <v>994.8</v>
      </c>
      <c r="F120" s="305">
        <v>699</v>
      </c>
      <c r="G120" s="508">
        <v>0</v>
      </c>
      <c r="H120" s="677">
        <v>295.8</v>
      </c>
      <c r="I120" s="674">
        <v>4149.3468942644404</v>
      </c>
      <c r="J120" s="40">
        <v>4458.9019527289456</v>
      </c>
      <c r="K120" s="52">
        <v>309.55505846450524</v>
      </c>
      <c r="L120" s="674">
        <v>868.13088770423974</v>
      </c>
      <c r="M120" s="40">
        <v>950.2013996222064</v>
      </c>
      <c r="N120" s="52">
        <v>82.070511917966655</v>
      </c>
      <c r="O120" s="674">
        <v>1286.6139761964598</v>
      </c>
      <c r="P120" s="40">
        <v>1286.6099999999999</v>
      </c>
      <c r="Q120" s="52">
        <v>-3.9761964599165367E-3</v>
      </c>
      <c r="R120" s="674">
        <v>0</v>
      </c>
      <c r="S120" s="40">
        <v>0</v>
      </c>
      <c r="T120" s="52">
        <v>0</v>
      </c>
      <c r="U120" s="674">
        <v>0</v>
      </c>
      <c r="V120" s="40">
        <v>0</v>
      </c>
      <c r="W120" s="52">
        <v>0</v>
      </c>
      <c r="X120" s="674">
        <v>1548.0114374632999</v>
      </c>
      <c r="Y120" s="40">
        <v>1238.9686290723125</v>
      </c>
      <c r="Z120" s="52">
        <v>-309.04280839098737</v>
      </c>
      <c r="AA120" s="674">
        <v>119.376</v>
      </c>
      <c r="AB120" s="40">
        <v>0</v>
      </c>
      <c r="AC120" s="52">
        <v>-119.376</v>
      </c>
      <c r="AD120" s="674">
        <v>4247.6338555462798</v>
      </c>
      <c r="AE120" s="40">
        <v>4226.6284885304049</v>
      </c>
      <c r="AF120" s="35">
        <v>-21.005367015874981</v>
      </c>
      <c r="AG120" s="77">
        <v>12219.113051174721</v>
      </c>
      <c r="AH120" s="53">
        <v>12161.310469953869</v>
      </c>
      <c r="AI120" s="52">
        <v>-57.802581220852517</v>
      </c>
      <c r="AJ120" s="674">
        <v>0</v>
      </c>
      <c r="AK120" s="40">
        <v>0</v>
      </c>
      <c r="AL120" s="52">
        <v>0</v>
      </c>
      <c r="AM120" s="674">
        <v>0</v>
      </c>
      <c r="AN120" s="40">
        <v>0</v>
      </c>
      <c r="AO120" s="52">
        <v>0</v>
      </c>
      <c r="AP120" s="674">
        <v>1753.7656152319628</v>
      </c>
      <c r="AQ120" s="40">
        <v>1367.3379863764037</v>
      </c>
      <c r="AR120" s="52">
        <v>-386.42762885555908</v>
      </c>
      <c r="AS120" s="674">
        <v>10549.757901564157</v>
      </c>
      <c r="AT120" s="40">
        <v>2834</v>
      </c>
      <c r="AU120" s="54">
        <v>-7715.7579015641568</v>
      </c>
      <c r="AV120" s="674">
        <v>1095.9481950591714</v>
      </c>
      <c r="AW120" s="40">
        <v>0</v>
      </c>
      <c r="AX120" s="55">
        <v>-1095.9481950591714</v>
      </c>
      <c r="AY120" s="674">
        <v>1423.0063292695322</v>
      </c>
      <c r="AZ120" s="40">
        <v>0</v>
      </c>
      <c r="BA120" s="35">
        <v>-1423.0063292695322</v>
      </c>
      <c r="BB120" s="674">
        <v>552.85319931075344</v>
      </c>
      <c r="BC120" s="40">
        <v>0</v>
      </c>
      <c r="BD120" s="55">
        <v>-552.85319931075344</v>
      </c>
      <c r="BE120" s="674">
        <v>0</v>
      </c>
      <c r="BF120" s="40">
        <v>0</v>
      </c>
      <c r="BG120" s="38">
        <v>0</v>
      </c>
      <c r="BH120" s="674">
        <v>0</v>
      </c>
      <c r="BI120" s="40">
        <v>0</v>
      </c>
      <c r="BJ120" s="55">
        <v>0</v>
      </c>
      <c r="BK120" s="674">
        <v>165.03853143918238</v>
      </c>
      <c r="BL120" s="40">
        <v>0</v>
      </c>
      <c r="BM120" s="38">
        <v>-165.03853143918238</v>
      </c>
      <c r="BN120" s="674">
        <v>29.844000000000001</v>
      </c>
      <c r="BO120" s="40">
        <v>0</v>
      </c>
      <c r="BP120" s="55">
        <v>-29.844000000000001</v>
      </c>
      <c r="BQ120" s="77">
        <v>3266.6902550786399</v>
      </c>
      <c r="BR120" s="40">
        <v>0</v>
      </c>
      <c r="BS120" s="55">
        <v>-3266.6902550786399</v>
      </c>
      <c r="BT120" s="674">
        <v>15336.931185034928</v>
      </c>
      <c r="BU120" s="40">
        <v>15438.026326245232</v>
      </c>
      <c r="BV120" s="52">
        <v>101.09514121030406</v>
      </c>
      <c r="BW120" s="674">
        <v>6765.3973632491652</v>
      </c>
      <c r="BX120" s="40">
        <v>6424.0029839539648</v>
      </c>
      <c r="BY120" s="52">
        <v>-341.39437929520045</v>
      </c>
      <c r="BZ120" s="674">
        <v>3263.719298816819</v>
      </c>
      <c r="CA120" s="40">
        <v>3748.6231311721554</v>
      </c>
      <c r="CB120" s="52">
        <v>484.90383235533636</v>
      </c>
      <c r="CC120" s="674">
        <v>541.90078824189789</v>
      </c>
      <c r="CD120" s="40">
        <v>569.54914047898569</v>
      </c>
      <c r="CE120" s="52">
        <v>27.648352237087806</v>
      </c>
      <c r="CF120" s="674">
        <v>66.231474236810342</v>
      </c>
      <c r="CG120" s="40">
        <v>0</v>
      </c>
      <c r="CH120" s="52">
        <v>-66.231474236810342</v>
      </c>
      <c r="CI120" s="674">
        <v>921.47905026181093</v>
      </c>
      <c r="CJ120" s="40">
        <v>989.39651251403745</v>
      </c>
      <c r="CK120" s="52">
        <v>67.917462252226528</v>
      </c>
      <c r="CL120" s="674">
        <v>0</v>
      </c>
      <c r="CM120" s="40">
        <v>0</v>
      </c>
      <c r="CN120" s="52">
        <v>0</v>
      </c>
      <c r="CO120" s="39">
        <v>921.47905026181093</v>
      </c>
      <c r="CP120" s="40">
        <v>989.39651251403745</v>
      </c>
      <c r="CQ120" s="52">
        <v>67.917462252226528</v>
      </c>
      <c r="CR120" s="72">
        <v>54684.98598289091</v>
      </c>
      <c r="CS120" s="5">
        <v>43532.246550694654</v>
      </c>
      <c r="CT120" s="52">
        <v>-11152.739432196257</v>
      </c>
      <c r="CU120" s="77">
        <v>65621.983179469084</v>
      </c>
      <c r="CV120" s="65">
        <v>52238.695860833584</v>
      </c>
      <c r="CW120" s="35">
        <v>-13383.287318635499</v>
      </c>
      <c r="CX120" s="73">
        <v>1987.4367278895807</v>
      </c>
      <c r="CY120" s="40">
        <v>15370.724046525089</v>
      </c>
      <c r="CZ120" s="52">
        <v>13383.287318635508</v>
      </c>
      <c r="DA120" s="150">
        <v>-24367.880725784136</v>
      </c>
      <c r="DB120" s="2">
        <v>2</v>
      </c>
      <c r="DC120" s="675">
        <v>8079.58</v>
      </c>
      <c r="DD120" s="675">
        <v>4444.3899999999994</v>
      </c>
      <c r="DE120" s="675">
        <v>3690.9034475812959</v>
      </c>
      <c r="DF120" s="675">
        <v>2913.9862164641927</v>
      </c>
      <c r="DG120" s="321">
        <v>-10984.59340714863</v>
      </c>
      <c r="DH120" s="40">
        <v>67604.272523336724</v>
      </c>
      <c r="DI120" s="422">
        <v>5919.0803359545098</v>
      </c>
      <c r="DJ120" s="306">
        <v>6.2785072280668155</v>
      </c>
      <c r="DK120" s="306">
        <v>6.2785072280668155</v>
      </c>
      <c r="DL120" s="306">
        <v>5.1737788490054317</v>
      </c>
      <c r="DM120" s="28">
        <v>4388.676552418704</v>
      </c>
      <c r="DN120" s="28">
        <v>1530.4037835358067</v>
      </c>
      <c r="DO120" s="423">
        <v>5919.0803359545107</v>
      </c>
      <c r="DP120" s="94">
        <v>0</v>
      </c>
      <c r="DQ120" s="28">
        <v>5919.0803359545107</v>
      </c>
      <c r="DR120" s="318"/>
      <c r="DT120" s="8"/>
      <c r="DU120" s="5"/>
      <c r="DX120" s="5">
        <v>16579.737787971357</v>
      </c>
      <c r="DY120" s="5">
        <v>3400.7999999999997</v>
      </c>
      <c r="DZ120" s="159">
        <v>1351.4538274552631</v>
      </c>
      <c r="EB120" s="676">
        <v>210.82473263134671</v>
      </c>
      <c r="EC120" s="676">
        <v>-291.5686956845002</v>
      </c>
      <c r="ED120" s="676">
        <v>-1341.7918324010784</v>
      </c>
      <c r="EE120" s="676">
        <v>-2108.9783800455471</v>
      </c>
      <c r="EF120" s="676">
        <v>-1915.1356064399884</v>
      </c>
      <c r="EG120" s="676">
        <v>-1897.1955477889769</v>
      </c>
      <c r="EH120" s="676">
        <v>-2155.6807383151627</v>
      </c>
      <c r="EI120" s="676">
        <v>-1011.2983656275355</v>
      </c>
      <c r="EJ120" s="676">
        <v>1824.3964750607147</v>
      </c>
      <c r="EK120" s="676">
        <v>-1249.9076064892188</v>
      </c>
      <c r="EL120" s="676">
        <v>-1336.765068806264</v>
      </c>
      <c r="EM120" s="676">
        <v>-2110.1866847292981</v>
      </c>
      <c r="EN120" s="676">
        <v>-13383.287318635506</v>
      </c>
      <c r="EQ120" s="5">
        <v>16579.737787971357</v>
      </c>
      <c r="ER120" s="5">
        <v>3400.7999999999997</v>
      </c>
      <c r="ET120" s="318">
        <v>-15419.641597485319</v>
      </c>
      <c r="EU120" s="5">
        <v>16542.048190336685</v>
      </c>
    </row>
    <row r="121" spans="1:151" x14ac:dyDescent="0.3">
      <c r="A121" s="325">
        <v>150000608</v>
      </c>
      <c r="B121" s="41" t="s">
        <v>570</v>
      </c>
      <c r="C121" s="42" t="s">
        <v>159</v>
      </c>
      <c r="D121" s="27">
        <v>2</v>
      </c>
      <c r="E121" s="293">
        <v>598.30999999999995</v>
      </c>
      <c r="F121" s="305">
        <v>468.01</v>
      </c>
      <c r="G121" s="508">
        <v>0</v>
      </c>
      <c r="H121" s="677">
        <v>130.30000000000001</v>
      </c>
      <c r="I121" s="674">
        <v>3130.0380970057258</v>
      </c>
      <c r="J121" s="40">
        <v>3344.1401580086863</v>
      </c>
      <c r="K121" s="52">
        <v>214.10206100296045</v>
      </c>
      <c r="L121" s="674">
        <v>726.55188978342903</v>
      </c>
      <c r="M121" s="40">
        <v>795.24213433872853</v>
      </c>
      <c r="N121" s="52">
        <v>68.6902445552995</v>
      </c>
      <c r="O121" s="674">
        <v>784.20684445801999</v>
      </c>
      <c r="P121" s="40">
        <v>784.19999999999993</v>
      </c>
      <c r="Q121" s="52">
        <v>-6.8444580200548444E-3</v>
      </c>
      <c r="R121" s="674">
        <v>0</v>
      </c>
      <c r="S121" s="40">
        <v>0</v>
      </c>
      <c r="T121" s="52">
        <v>0</v>
      </c>
      <c r="U121" s="674">
        <v>0</v>
      </c>
      <c r="V121" s="40">
        <v>0</v>
      </c>
      <c r="W121" s="52">
        <v>0</v>
      </c>
      <c r="X121" s="674">
        <v>1112.104186035275</v>
      </c>
      <c r="Y121" s="40">
        <v>1104.3191133985481</v>
      </c>
      <c r="Z121" s="52">
        <v>-7.785072636726909</v>
      </c>
      <c r="AA121" s="674">
        <v>70.525200000000012</v>
      </c>
      <c r="AB121" s="40">
        <v>0</v>
      </c>
      <c r="AC121" s="52">
        <v>-70.525200000000012</v>
      </c>
      <c r="AD121" s="674">
        <v>2546.6607611248869</v>
      </c>
      <c r="AE121" s="40">
        <v>2542.0527653524596</v>
      </c>
      <c r="AF121" s="35">
        <v>-4.6079957724273299</v>
      </c>
      <c r="AG121" s="77">
        <v>8370.0869784073366</v>
      </c>
      <c r="AH121" s="53">
        <v>8569.9541710984231</v>
      </c>
      <c r="AI121" s="52">
        <v>199.86719269108653</v>
      </c>
      <c r="AJ121" s="674">
        <v>0</v>
      </c>
      <c r="AK121" s="40">
        <v>0</v>
      </c>
      <c r="AL121" s="52">
        <v>0</v>
      </c>
      <c r="AM121" s="674">
        <v>0</v>
      </c>
      <c r="AN121" s="40">
        <v>0</v>
      </c>
      <c r="AO121" s="52">
        <v>0</v>
      </c>
      <c r="AP121" s="674">
        <v>1169.1770768213084</v>
      </c>
      <c r="AQ121" s="40">
        <v>892.13113502384499</v>
      </c>
      <c r="AR121" s="52">
        <v>-277.04594179746346</v>
      </c>
      <c r="AS121" s="674">
        <v>7979.5218965193963</v>
      </c>
      <c r="AT121" s="40">
        <v>251</v>
      </c>
      <c r="AU121" s="54">
        <v>-7728.5218965193963</v>
      </c>
      <c r="AV121" s="674">
        <v>835.21174720100146</v>
      </c>
      <c r="AW121" s="40">
        <v>0</v>
      </c>
      <c r="AX121" s="55">
        <v>-835.21174720100146</v>
      </c>
      <c r="AY121" s="674">
        <v>1191.0266145576848</v>
      </c>
      <c r="AZ121" s="40">
        <v>0</v>
      </c>
      <c r="BA121" s="35">
        <v>-1191.0266145576848</v>
      </c>
      <c r="BB121" s="674">
        <v>208.16077361544862</v>
      </c>
      <c r="BC121" s="40">
        <v>0</v>
      </c>
      <c r="BD121" s="55">
        <v>-208.16077361544862</v>
      </c>
      <c r="BE121" s="674">
        <v>0</v>
      </c>
      <c r="BF121" s="40">
        <v>0</v>
      </c>
      <c r="BG121" s="38">
        <v>0</v>
      </c>
      <c r="BH121" s="674">
        <v>0</v>
      </c>
      <c r="BI121" s="40">
        <v>0</v>
      </c>
      <c r="BJ121" s="55">
        <v>0</v>
      </c>
      <c r="BK121" s="674">
        <v>110.09836158969283</v>
      </c>
      <c r="BL121" s="40">
        <v>711</v>
      </c>
      <c r="BM121" s="38">
        <v>600.90163841030721</v>
      </c>
      <c r="BN121" s="674">
        <v>17.631300000000003</v>
      </c>
      <c r="BO121" s="40">
        <v>0</v>
      </c>
      <c r="BP121" s="55">
        <v>-17.631300000000003</v>
      </c>
      <c r="BQ121" s="77">
        <v>2362.1287969638279</v>
      </c>
      <c r="BR121" s="40">
        <v>711</v>
      </c>
      <c r="BS121" s="55">
        <v>-1651.1287969638279</v>
      </c>
      <c r="BT121" s="674">
        <v>7039.0740542156</v>
      </c>
      <c r="BU121" s="40">
        <v>6774.3229126956048</v>
      </c>
      <c r="BV121" s="52">
        <v>-264.75114151999514</v>
      </c>
      <c r="BW121" s="674">
        <v>4750.0160870063146</v>
      </c>
      <c r="BX121" s="40">
        <v>4212.2818431749474</v>
      </c>
      <c r="BY121" s="52">
        <v>-537.73424383136717</v>
      </c>
      <c r="BZ121" s="674">
        <v>2807.6573324429501</v>
      </c>
      <c r="CA121" s="40">
        <v>2139.0833315690179</v>
      </c>
      <c r="CB121" s="52">
        <v>-668.57400087393216</v>
      </c>
      <c r="CC121" s="674">
        <v>444.63654419848024</v>
      </c>
      <c r="CD121" s="40">
        <v>467.3223716750652</v>
      </c>
      <c r="CE121" s="52">
        <v>22.685827476584961</v>
      </c>
      <c r="CF121" s="674">
        <v>54.34377373276746</v>
      </c>
      <c r="CG121" s="40">
        <v>0</v>
      </c>
      <c r="CH121" s="52">
        <v>-54.34377373276746</v>
      </c>
      <c r="CI121" s="674">
        <v>1613.4726473341641</v>
      </c>
      <c r="CJ121" s="40">
        <v>3478.2626370191715</v>
      </c>
      <c r="CK121" s="52">
        <v>1864.7899896850074</v>
      </c>
      <c r="CL121" s="674">
        <v>0</v>
      </c>
      <c r="CM121" s="40">
        <v>0</v>
      </c>
      <c r="CN121" s="52">
        <v>0</v>
      </c>
      <c r="CO121" s="39">
        <v>1613.4726473341641</v>
      </c>
      <c r="CP121" s="40">
        <v>3478.2626370191715</v>
      </c>
      <c r="CQ121" s="52">
        <v>1864.7899896850074</v>
      </c>
      <c r="CR121" s="72">
        <v>36590.11518764215</v>
      </c>
      <c r="CS121" s="5">
        <v>27495.358402256075</v>
      </c>
      <c r="CT121" s="52">
        <v>-9094.7567853860746</v>
      </c>
      <c r="CU121" s="77">
        <v>43908.13822517058</v>
      </c>
      <c r="CV121" s="65">
        <v>32994.430082707288</v>
      </c>
      <c r="CW121" s="35">
        <v>-10913.708142463292</v>
      </c>
      <c r="CX121" s="73">
        <v>443.85869647269465</v>
      </c>
      <c r="CY121" s="40">
        <v>11357.566838935976</v>
      </c>
      <c r="CZ121" s="52">
        <v>10913.708142463282</v>
      </c>
      <c r="DA121" s="150">
        <v>-12281.810433004573</v>
      </c>
      <c r="DB121" s="2">
        <v>2</v>
      </c>
      <c r="DC121" s="675">
        <v>6995.69</v>
      </c>
      <c r="DD121" s="675">
        <v>2400.75</v>
      </c>
      <c r="DE121" s="675">
        <v>3829.7956367743654</v>
      </c>
      <c r="DF121" s="675">
        <v>1666.2193799405286</v>
      </c>
      <c r="DG121" s="321">
        <v>-1368.1022905412945</v>
      </c>
      <c r="DH121" s="40">
        <v>44348.676730573396</v>
      </c>
      <c r="DI121" s="422">
        <v>3900.4249832851051</v>
      </c>
      <c r="DJ121" s="306">
        <v>6.7645870028965929</v>
      </c>
      <c r="DK121" s="306">
        <v>6.7645870028965929</v>
      </c>
      <c r="DL121" s="306">
        <v>5.6372265545623286</v>
      </c>
      <c r="DM121" s="28">
        <v>3165.8943632256342</v>
      </c>
      <c r="DN121" s="28">
        <v>734.53062005947152</v>
      </c>
      <c r="DO121" s="423">
        <v>3900.4249832851056</v>
      </c>
      <c r="DP121" s="94">
        <v>0</v>
      </c>
      <c r="DQ121" s="28">
        <v>3900.4249832851056</v>
      </c>
      <c r="DR121" s="318"/>
      <c r="DT121" s="8"/>
      <c r="DU121" s="5"/>
      <c r="DX121" s="5">
        <v>12409.98083217987</v>
      </c>
      <c r="DY121" s="5">
        <v>1154.3999999999999</v>
      </c>
      <c r="DZ121" s="159">
        <v>1039.8432999331446</v>
      </c>
      <c r="EB121" s="676">
        <v>-61.524269223969895</v>
      </c>
      <c r="EC121" s="676">
        <v>-231.28477562265653</v>
      </c>
      <c r="ED121" s="676">
        <v>-1022.6570087074761</v>
      </c>
      <c r="EE121" s="676">
        <v>-2107.6886123179229</v>
      </c>
      <c r="EF121" s="676">
        <v>-2342.5947217044641</v>
      </c>
      <c r="EG121" s="676">
        <v>-1567.3576166406888</v>
      </c>
      <c r="EH121" s="676">
        <v>-1106.888206276818</v>
      </c>
      <c r="EI121" s="676">
        <v>-1048.0101799103149</v>
      </c>
      <c r="EJ121" s="676">
        <v>-681.91653276961415</v>
      </c>
      <c r="EK121" s="676">
        <v>-1040.5217346651698</v>
      </c>
      <c r="EL121" s="676">
        <v>0.29967400644636655</v>
      </c>
      <c r="EM121" s="676">
        <v>296.4358413693667</v>
      </c>
      <c r="EN121" s="676">
        <v>-10913.70814246328</v>
      </c>
      <c r="EQ121" s="5">
        <v>12409.98083217987</v>
      </c>
      <c r="ER121" s="5">
        <v>1154.3999999999999</v>
      </c>
      <c r="ET121" s="318">
        <v>-10904.120849223253</v>
      </c>
      <c r="EU121" s="5">
        <v>-10692.981441318039</v>
      </c>
    </row>
    <row r="122" spans="1:151" x14ac:dyDescent="0.3">
      <c r="A122" s="325">
        <v>150000609</v>
      </c>
      <c r="B122" s="41" t="s">
        <v>571</v>
      </c>
      <c r="C122" s="42" t="s">
        <v>160</v>
      </c>
      <c r="D122" s="27">
        <v>2</v>
      </c>
      <c r="E122" s="293">
        <v>465.59999999999997</v>
      </c>
      <c r="F122" s="305">
        <v>349.9</v>
      </c>
      <c r="G122" s="508">
        <v>0</v>
      </c>
      <c r="H122" s="677">
        <v>115.7</v>
      </c>
      <c r="I122" s="674">
        <v>1977.8790167436011</v>
      </c>
      <c r="J122" s="40">
        <v>2118.9153834283316</v>
      </c>
      <c r="K122" s="52">
        <v>141.03636668473041</v>
      </c>
      <c r="L122" s="674">
        <v>697.7108187786348</v>
      </c>
      <c r="M122" s="40">
        <v>763.67078293277859</v>
      </c>
      <c r="N122" s="52">
        <v>65.95996415414379</v>
      </c>
      <c r="O122" s="674">
        <v>638.85671845640002</v>
      </c>
      <c r="P122" s="40">
        <v>638.85</v>
      </c>
      <c r="Q122" s="52">
        <v>-6.7184563999944658E-3</v>
      </c>
      <c r="R122" s="674">
        <v>0</v>
      </c>
      <c r="S122" s="40">
        <v>0</v>
      </c>
      <c r="T122" s="52">
        <v>0</v>
      </c>
      <c r="U122" s="674">
        <v>0</v>
      </c>
      <c r="V122" s="40">
        <v>0</v>
      </c>
      <c r="W122" s="52">
        <v>0</v>
      </c>
      <c r="X122" s="674">
        <v>1112.104186035275</v>
      </c>
      <c r="Y122" s="40">
        <v>1104.093593354437</v>
      </c>
      <c r="Z122" s="52">
        <v>-8.0105926808380445</v>
      </c>
      <c r="AA122" s="674">
        <v>55.757999999999996</v>
      </c>
      <c r="AB122" s="40">
        <v>0</v>
      </c>
      <c r="AC122" s="52">
        <v>-55.757999999999996</v>
      </c>
      <c r="AD122" s="674">
        <v>1988.3418222637861</v>
      </c>
      <c r="AE122" s="40">
        <v>1978.7807520912061</v>
      </c>
      <c r="AF122" s="35">
        <v>-9.5610701725800027</v>
      </c>
      <c r="AG122" s="77">
        <v>6470.6505622776967</v>
      </c>
      <c r="AH122" s="53">
        <v>6604.3105118067542</v>
      </c>
      <c r="AI122" s="52">
        <v>133.65994952905749</v>
      </c>
      <c r="AJ122" s="674">
        <v>0</v>
      </c>
      <c r="AK122" s="40">
        <v>0</v>
      </c>
      <c r="AL122" s="52">
        <v>0</v>
      </c>
      <c r="AM122" s="674">
        <v>0</v>
      </c>
      <c r="AN122" s="40">
        <v>0</v>
      </c>
      <c r="AO122" s="52">
        <v>0</v>
      </c>
      <c r="AP122" s="674">
        <v>809.43028395321335</v>
      </c>
      <c r="AQ122" s="40">
        <v>339.32079499921332</v>
      </c>
      <c r="AR122" s="52">
        <v>-470.10948895400003</v>
      </c>
      <c r="AS122" s="674">
        <v>6910.302937654018</v>
      </c>
      <c r="AT122" s="40">
        <v>251</v>
      </c>
      <c r="AU122" s="54">
        <v>-6659.302937654018</v>
      </c>
      <c r="AV122" s="674">
        <v>590.79985252250162</v>
      </c>
      <c r="AW122" s="40">
        <v>0</v>
      </c>
      <c r="AX122" s="55">
        <v>-590.79985252250162</v>
      </c>
      <c r="AY122" s="674">
        <v>1143.6293647974578</v>
      </c>
      <c r="AZ122" s="40">
        <v>0</v>
      </c>
      <c r="BA122" s="35">
        <v>-1143.6293647974578</v>
      </c>
      <c r="BB122" s="674">
        <v>198.85140913520485</v>
      </c>
      <c r="BC122" s="40">
        <v>0</v>
      </c>
      <c r="BD122" s="55">
        <v>-198.85140913520485</v>
      </c>
      <c r="BE122" s="674">
        <v>0</v>
      </c>
      <c r="BF122" s="40">
        <v>0</v>
      </c>
      <c r="BG122" s="38">
        <v>0</v>
      </c>
      <c r="BH122" s="674">
        <v>0</v>
      </c>
      <c r="BI122" s="40">
        <v>0</v>
      </c>
      <c r="BJ122" s="55">
        <v>0</v>
      </c>
      <c r="BK122" s="674">
        <v>110.09836158969283</v>
      </c>
      <c r="BL122" s="40">
        <v>711</v>
      </c>
      <c r="BM122" s="38">
        <v>600.90163841030721</v>
      </c>
      <c r="BN122" s="674">
        <v>13.939499999999999</v>
      </c>
      <c r="BO122" s="40">
        <v>2329</v>
      </c>
      <c r="BP122" s="55">
        <v>2315.0605</v>
      </c>
      <c r="BQ122" s="77">
        <v>2057.3184880448571</v>
      </c>
      <c r="BR122" s="40">
        <v>3040</v>
      </c>
      <c r="BS122" s="55">
        <v>982.68151195514292</v>
      </c>
      <c r="BT122" s="674">
        <v>6592.3381233463078</v>
      </c>
      <c r="BU122" s="40">
        <v>6317.5340710742003</v>
      </c>
      <c r="BV122" s="52">
        <v>-274.80405227210758</v>
      </c>
      <c r="BW122" s="674">
        <v>1961.3324946245541</v>
      </c>
      <c r="BX122" s="40">
        <v>1745.4920605776658</v>
      </c>
      <c r="BY122" s="52">
        <v>-215.84043404688828</v>
      </c>
      <c r="BZ122" s="674">
        <v>1728.74314844645</v>
      </c>
      <c r="CA122" s="40">
        <v>1625.1157792358852</v>
      </c>
      <c r="CB122" s="52">
        <v>-103.62736921056489</v>
      </c>
      <c r="CC122" s="674">
        <v>172.29666087691109</v>
      </c>
      <c r="CD122" s="40">
        <v>181.08741902408775</v>
      </c>
      <c r="CE122" s="52">
        <v>8.7907581471766605</v>
      </c>
      <c r="CF122" s="674">
        <v>21.058212321447396</v>
      </c>
      <c r="CG122" s="40">
        <v>0</v>
      </c>
      <c r="CH122" s="52">
        <v>-21.058212321447396</v>
      </c>
      <c r="CI122" s="674">
        <v>804.29874813550521</v>
      </c>
      <c r="CJ122" s="40">
        <v>717.53118445934228</v>
      </c>
      <c r="CK122" s="52">
        <v>-86.767563676162922</v>
      </c>
      <c r="CL122" s="674">
        <v>0</v>
      </c>
      <c r="CM122" s="40">
        <v>0</v>
      </c>
      <c r="CN122" s="52">
        <v>0</v>
      </c>
      <c r="CO122" s="39">
        <v>804.29874813550521</v>
      </c>
      <c r="CP122" s="40">
        <v>717.53118445934228</v>
      </c>
      <c r="CQ122" s="52">
        <v>-86.767563676162922</v>
      </c>
      <c r="CR122" s="72">
        <v>27527.769659680962</v>
      </c>
      <c r="CS122" s="5">
        <v>20821.391821177149</v>
      </c>
      <c r="CT122" s="52">
        <v>-6706.3778385038131</v>
      </c>
      <c r="CU122" s="77">
        <v>33033.323591617154</v>
      </c>
      <c r="CV122" s="65">
        <v>24985.670185412579</v>
      </c>
      <c r="CW122" s="35">
        <v>-8047.6534062045757</v>
      </c>
      <c r="CX122" s="73">
        <v>1000.1697416879715</v>
      </c>
      <c r="CY122" s="40">
        <v>9047.8231478925427</v>
      </c>
      <c r="CZ122" s="52">
        <v>8047.6534062045712</v>
      </c>
      <c r="DA122" s="150">
        <v>2352.8027021078078</v>
      </c>
      <c r="DB122" s="2">
        <v>2</v>
      </c>
      <c r="DC122" s="675">
        <v>13716.35</v>
      </c>
      <c r="DD122" s="675">
        <v>1357</v>
      </c>
      <c r="DE122" s="675">
        <v>11419.926387266391</v>
      </c>
      <c r="DF122" s="675">
        <v>672.56452393401321</v>
      </c>
      <c r="DG122" s="321">
        <v>10400.456108312379</v>
      </c>
      <c r="DH122" s="40">
        <v>34030.906389105694</v>
      </c>
      <c r="DI122" s="422">
        <v>2980.8590887995961</v>
      </c>
      <c r="DJ122" s="306">
        <v>6.5630854893787074</v>
      </c>
      <c r="DK122" s="306">
        <v>6.5630854893787074</v>
      </c>
      <c r="DL122" s="306">
        <v>5.9156048061018733</v>
      </c>
      <c r="DM122" s="28">
        <v>2296.4236127336094</v>
      </c>
      <c r="DN122" s="28">
        <v>684.43547606598679</v>
      </c>
      <c r="DO122" s="423">
        <v>2980.8590887995961</v>
      </c>
      <c r="DP122" s="94">
        <v>0</v>
      </c>
      <c r="DQ122" s="28">
        <v>2980.8590887995961</v>
      </c>
      <c r="DR122" s="318"/>
      <c r="DT122" s="8"/>
      <c r="DU122" s="5"/>
      <c r="DX122" s="5">
        <v>10761.145710838649</v>
      </c>
      <c r="DY122" s="5">
        <v>3949.2</v>
      </c>
      <c r="DZ122" s="159">
        <v>909.46091433146057</v>
      </c>
      <c r="EB122" s="676">
        <v>-149.67566472811768</v>
      </c>
      <c r="EC122" s="676">
        <v>-977.86475383320794</v>
      </c>
      <c r="ED122" s="676">
        <v>-1030.8784915241406</v>
      </c>
      <c r="EE122" s="676">
        <v>-1059.0560720911121</v>
      </c>
      <c r="EF122" s="676">
        <v>-1147.3388268408153</v>
      </c>
      <c r="EG122" s="676">
        <v>-869.01319497206669</v>
      </c>
      <c r="EH122" s="676">
        <v>-1862.2676685394888</v>
      </c>
      <c r="EI122" s="676">
        <v>1679.9669583412524</v>
      </c>
      <c r="EJ122" s="676">
        <v>-433.49183735938868</v>
      </c>
      <c r="EK122" s="676">
        <v>-943.48516074500571</v>
      </c>
      <c r="EL122" s="676">
        <v>31.786395617662038</v>
      </c>
      <c r="EM122" s="676">
        <v>-1286.3350895301417</v>
      </c>
      <c r="EN122" s="676">
        <v>-8047.6534062045712</v>
      </c>
      <c r="EQ122" s="5">
        <v>10761.145710838649</v>
      </c>
      <c r="ER122" s="5">
        <v>3949.2</v>
      </c>
      <c r="ET122" s="318">
        <v>24196.349394978424</v>
      </c>
      <c r="EU122" s="5">
        <v>-5406.8932866660398</v>
      </c>
    </row>
    <row r="123" spans="1:151" x14ac:dyDescent="0.3">
      <c r="A123" s="325">
        <v>150000610</v>
      </c>
      <c r="B123" s="41" t="s">
        <v>572</v>
      </c>
      <c r="C123" s="42" t="s">
        <v>161</v>
      </c>
      <c r="D123" s="27">
        <v>2</v>
      </c>
      <c r="E123" s="293">
        <v>475.2</v>
      </c>
      <c r="F123" s="305">
        <v>475.2</v>
      </c>
      <c r="G123" s="508">
        <v>0</v>
      </c>
      <c r="H123" s="677">
        <v>0</v>
      </c>
      <c r="I123" s="674">
        <v>1364.4866058550849</v>
      </c>
      <c r="J123" s="40">
        <v>1556.5596438780069</v>
      </c>
      <c r="K123" s="52">
        <v>192.07303802292199</v>
      </c>
      <c r="L123" s="674">
        <v>581.97231826103348</v>
      </c>
      <c r="M123" s="40">
        <v>636.99288069232364</v>
      </c>
      <c r="N123" s="52">
        <v>55.020562431290159</v>
      </c>
      <c r="O123" s="674">
        <v>634.19004417163501</v>
      </c>
      <c r="P123" s="40">
        <v>634.20000000000005</v>
      </c>
      <c r="Q123" s="52">
        <v>9.955828365036723E-3</v>
      </c>
      <c r="R123" s="674">
        <v>0</v>
      </c>
      <c r="S123" s="40">
        <v>0</v>
      </c>
      <c r="T123" s="52">
        <v>0</v>
      </c>
      <c r="U123" s="674">
        <v>0</v>
      </c>
      <c r="V123" s="40">
        <v>0</v>
      </c>
      <c r="W123" s="52">
        <v>0</v>
      </c>
      <c r="X123" s="674">
        <v>648.00434553652633</v>
      </c>
      <c r="Y123" s="40">
        <v>832.02142197911803</v>
      </c>
      <c r="Z123" s="52">
        <v>184.0170764425917</v>
      </c>
      <c r="AA123" s="674">
        <v>57.024000000000001</v>
      </c>
      <c r="AB123" s="40">
        <v>0</v>
      </c>
      <c r="AC123" s="52">
        <v>-57.024000000000001</v>
      </c>
      <c r="AD123" s="674">
        <v>2037.4101317122509</v>
      </c>
      <c r="AE123" s="40">
        <v>2018.9926193703745</v>
      </c>
      <c r="AF123" s="35">
        <v>-18.417512341876318</v>
      </c>
      <c r="AG123" s="77">
        <v>5323.0874455365301</v>
      </c>
      <c r="AH123" s="53">
        <v>5678.7665659198228</v>
      </c>
      <c r="AI123" s="52">
        <v>355.67912038329268</v>
      </c>
      <c r="AJ123" s="674">
        <v>0</v>
      </c>
      <c r="AK123" s="40">
        <v>0</v>
      </c>
      <c r="AL123" s="52">
        <v>0</v>
      </c>
      <c r="AM123" s="674">
        <v>0</v>
      </c>
      <c r="AN123" s="40">
        <v>0</v>
      </c>
      <c r="AO123" s="52">
        <v>0</v>
      </c>
      <c r="AP123" s="674">
        <v>1079.2403786042846</v>
      </c>
      <c r="AQ123" s="40">
        <v>854.02925641112824</v>
      </c>
      <c r="AR123" s="52">
        <v>-225.21112219315637</v>
      </c>
      <c r="AS123" s="674">
        <v>6379.9214108898523</v>
      </c>
      <c r="AT123" s="40">
        <v>251</v>
      </c>
      <c r="AU123" s="54">
        <v>-6128.9214108898523</v>
      </c>
      <c r="AV123" s="674">
        <v>821.92647328353132</v>
      </c>
      <c r="AW123" s="40">
        <v>0</v>
      </c>
      <c r="AX123" s="55">
        <v>-821.92647328353132</v>
      </c>
      <c r="AY123" s="674">
        <v>953.88467367905241</v>
      </c>
      <c r="AZ123" s="40">
        <v>0</v>
      </c>
      <c r="BA123" s="35">
        <v>-953.88467367905241</v>
      </c>
      <c r="BB123" s="674">
        <v>197.12997404979251</v>
      </c>
      <c r="BC123" s="40">
        <v>0</v>
      </c>
      <c r="BD123" s="55">
        <v>-197.12997404979251</v>
      </c>
      <c r="BE123" s="674">
        <v>0</v>
      </c>
      <c r="BF123" s="40">
        <v>0</v>
      </c>
      <c r="BG123" s="38">
        <v>0</v>
      </c>
      <c r="BH123" s="674">
        <v>0</v>
      </c>
      <c r="BI123" s="40">
        <v>0</v>
      </c>
      <c r="BJ123" s="55">
        <v>0</v>
      </c>
      <c r="BK123" s="674">
        <v>110.09829986336118</v>
      </c>
      <c r="BL123" s="40">
        <v>711</v>
      </c>
      <c r="BM123" s="38">
        <v>600.90170013663885</v>
      </c>
      <c r="BN123" s="674">
        <v>14.256</v>
      </c>
      <c r="BO123" s="40">
        <v>0</v>
      </c>
      <c r="BP123" s="55">
        <v>-14.256</v>
      </c>
      <c r="BQ123" s="77">
        <v>2097.2954208757374</v>
      </c>
      <c r="BR123" s="40">
        <v>711</v>
      </c>
      <c r="BS123" s="55">
        <v>-1386.2954208757374</v>
      </c>
      <c r="BT123" s="674">
        <v>6357.5889317583315</v>
      </c>
      <c r="BU123" s="40">
        <v>6203.2996284745623</v>
      </c>
      <c r="BV123" s="52">
        <v>-154.28930328376919</v>
      </c>
      <c r="BW123" s="674">
        <v>2635.8115507480989</v>
      </c>
      <c r="BX123" s="40">
        <v>2448.1984218755174</v>
      </c>
      <c r="BY123" s="52">
        <v>-187.61312887258146</v>
      </c>
      <c r="BZ123" s="674">
        <v>2404.0802510483531</v>
      </c>
      <c r="CA123" s="40">
        <v>1795.8313923371375</v>
      </c>
      <c r="CB123" s="52">
        <v>-608.24885871121569</v>
      </c>
      <c r="CC123" s="674">
        <v>0</v>
      </c>
      <c r="CD123" s="40">
        <v>0</v>
      </c>
      <c r="CE123" s="52">
        <v>0</v>
      </c>
      <c r="CF123" s="674">
        <v>0</v>
      </c>
      <c r="CG123" s="40">
        <v>0</v>
      </c>
      <c r="CH123" s="52">
        <v>0</v>
      </c>
      <c r="CI123" s="674">
        <v>327.39030212630564</v>
      </c>
      <c r="CJ123" s="40">
        <v>335.80402786469148</v>
      </c>
      <c r="CK123" s="52">
        <v>8.4137257383858355</v>
      </c>
      <c r="CL123" s="674">
        <v>0</v>
      </c>
      <c r="CM123" s="40">
        <v>0</v>
      </c>
      <c r="CN123" s="52">
        <v>0</v>
      </c>
      <c r="CO123" s="39">
        <v>327.39030212630564</v>
      </c>
      <c r="CP123" s="40">
        <v>335.80402786469148</v>
      </c>
      <c r="CQ123" s="52">
        <v>8.4137257383858355</v>
      </c>
      <c r="CR123" s="72">
        <v>26604.415691587492</v>
      </c>
      <c r="CS123" s="5">
        <v>18277.929292882858</v>
      </c>
      <c r="CT123" s="52">
        <v>-8326.4863987046338</v>
      </c>
      <c r="CU123" s="77">
        <v>31925.29882990499</v>
      </c>
      <c r="CV123" s="65">
        <v>21933.515151459429</v>
      </c>
      <c r="CW123" s="35">
        <v>-9991.7836784455612</v>
      </c>
      <c r="CX123" s="73">
        <v>965.27485621822666</v>
      </c>
      <c r="CY123" s="40">
        <v>10957.058534663784</v>
      </c>
      <c r="CZ123" s="52">
        <v>9991.7836784455576</v>
      </c>
      <c r="DA123" s="150">
        <v>-3982.3929416728724</v>
      </c>
      <c r="DB123" s="2">
        <v>2</v>
      </c>
      <c r="DC123" s="675">
        <v>12490.76</v>
      </c>
      <c r="DD123" s="675">
        <v>0</v>
      </c>
      <c r="DE123" s="675">
        <v>9603.8523518232469</v>
      </c>
      <c r="DF123" s="675">
        <v>0</v>
      </c>
      <c r="DG123" s="321">
        <v>6009.3907367726852</v>
      </c>
      <c r="DH123" s="40">
        <v>32888.093496100832</v>
      </c>
      <c r="DI123" s="422">
        <v>2886.9076481767524</v>
      </c>
      <c r="DJ123" s="306">
        <v>6.0751423572743111</v>
      </c>
      <c r="DK123" s="306">
        <v>6.0751423572743111</v>
      </c>
      <c r="DL123" s="306">
        <v>5.435399494773046</v>
      </c>
      <c r="DM123" s="28">
        <v>2886.9076481767524</v>
      </c>
      <c r="DN123" s="28">
        <v>0</v>
      </c>
      <c r="DO123" s="423">
        <v>2886.9076481767524</v>
      </c>
      <c r="DP123" s="94">
        <v>0</v>
      </c>
      <c r="DQ123" s="28">
        <v>2886.9076481767524</v>
      </c>
      <c r="DR123" s="318"/>
      <c r="DT123" s="8"/>
      <c r="DU123" s="5"/>
      <c r="DX123" s="5">
        <v>10172.660198118707</v>
      </c>
      <c r="DY123" s="5">
        <v>1154.3999999999999</v>
      </c>
      <c r="DZ123" s="159">
        <v>867.84871459905889</v>
      </c>
      <c r="EB123" s="676">
        <v>21.702984685637603</v>
      </c>
      <c r="EC123" s="676">
        <v>-149.77126588298825</v>
      </c>
      <c r="ED123" s="676">
        <v>-807.23602743587685</v>
      </c>
      <c r="EE123" s="676">
        <v>-1574.294435014345</v>
      </c>
      <c r="EF123" s="676">
        <v>-1705.5875064835268</v>
      </c>
      <c r="EG123" s="676">
        <v>-1234.1219178605868</v>
      </c>
      <c r="EH123" s="676">
        <v>-1036.3264716074564</v>
      </c>
      <c r="EI123" s="676">
        <v>-846.90421006194242</v>
      </c>
      <c r="EJ123" s="676">
        <v>-693.5860721359486</v>
      </c>
      <c r="EK123" s="676">
        <v>-900.38705152282409</v>
      </c>
      <c r="EL123" s="676">
        <v>88.727514162449097</v>
      </c>
      <c r="EM123" s="676">
        <v>-1153.9992192881489</v>
      </c>
      <c r="EN123" s="676">
        <v>-9991.7836784455576</v>
      </c>
      <c r="EQ123" s="5">
        <v>10172.660198118707</v>
      </c>
      <c r="ER123" s="5">
        <v>1154.3999999999999</v>
      </c>
      <c r="ET123" s="318">
        <v>7848.4573683064482</v>
      </c>
      <c r="EU123" s="5">
        <v>12990.93336846624</v>
      </c>
    </row>
    <row r="124" spans="1:151" x14ac:dyDescent="0.3">
      <c r="A124" s="325">
        <v>150000611</v>
      </c>
      <c r="B124" s="41" t="s">
        <v>573</v>
      </c>
      <c r="C124" s="42" t="s">
        <v>196</v>
      </c>
      <c r="D124" s="27">
        <v>3</v>
      </c>
      <c r="E124" s="293">
        <v>1108</v>
      </c>
      <c r="F124" s="305">
        <v>1053.5</v>
      </c>
      <c r="G124" s="508">
        <v>0</v>
      </c>
      <c r="H124" s="677">
        <v>54.5</v>
      </c>
      <c r="I124" s="674">
        <v>4406.6891110053957</v>
      </c>
      <c r="J124" s="40">
        <v>4796.6134146959675</v>
      </c>
      <c r="K124" s="52">
        <v>389.92430369057183</v>
      </c>
      <c r="L124" s="674">
        <v>960.03377707290736</v>
      </c>
      <c r="M124" s="40">
        <v>1050.7916067094816</v>
      </c>
      <c r="N124" s="52">
        <v>90.757829636574229</v>
      </c>
      <c r="O124" s="674">
        <v>1270.0751730889351</v>
      </c>
      <c r="P124" s="40">
        <v>1270.08</v>
      </c>
      <c r="Q124" s="52">
        <v>4.8269110648107016E-3</v>
      </c>
      <c r="R124" s="674">
        <v>0</v>
      </c>
      <c r="S124" s="40">
        <v>0</v>
      </c>
      <c r="T124" s="52">
        <v>0</v>
      </c>
      <c r="U124" s="674">
        <v>0</v>
      </c>
      <c r="V124" s="40">
        <v>0</v>
      </c>
      <c r="W124" s="52">
        <v>0</v>
      </c>
      <c r="X124" s="674">
        <v>1947.8285243051691</v>
      </c>
      <c r="Y124" s="40">
        <v>1287.4152037210515</v>
      </c>
      <c r="Z124" s="52">
        <v>-660.41332058411763</v>
      </c>
      <c r="AA124" s="674">
        <v>132.96</v>
      </c>
      <c r="AB124" s="40">
        <v>0</v>
      </c>
      <c r="AC124" s="52">
        <v>-132.96</v>
      </c>
      <c r="AD124" s="674">
        <v>4750.5741847055697</v>
      </c>
      <c r="AE124" s="40">
        <v>4786.0450537496226</v>
      </c>
      <c r="AF124" s="35">
        <v>35.470869044052961</v>
      </c>
      <c r="AG124" s="77">
        <v>13468.160770177976</v>
      </c>
      <c r="AH124" s="53">
        <v>13190.945278876123</v>
      </c>
      <c r="AI124" s="52">
        <v>-277.21549130185304</v>
      </c>
      <c r="AJ124" s="674">
        <v>0</v>
      </c>
      <c r="AK124" s="40">
        <v>0</v>
      </c>
      <c r="AL124" s="52">
        <v>0</v>
      </c>
      <c r="AM124" s="674">
        <v>0</v>
      </c>
      <c r="AN124" s="40">
        <v>0</v>
      </c>
      <c r="AO124" s="52">
        <v>0</v>
      </c>
      <c r="AP124" s="674">
        <v>3237.7211358128534</v>
      </c>
      <c r="AQ124" s="40">
        <v>2636.4544370055419</v>
      </c>
      <c r="AR124" s="52">
        <v>-601.26669880731151</v>
      </c>
      <c r="AS124" s="674">
        <v>10433.182937520767</v>
      </c>
      <c r="AT124" s="40">
        <v>37249.39</v>
      </c>
      <c r="AU124" s="54">
        <v>26816.207062479232</v>
      </c>
      <c r="AV124" s="674">
        <v>1021.3769315414789</v>
      </c>
      <c r="AW124" s="40">
        <v>0</v>
      </c>
      <c r="AX124" s="55">
        <v>-1021.3769315414789</v>
      </c>
      <c r="AY124" s="674">
        <v>1573.6821165012148</v>
      </c>
      <c r="AZ124" s="40">
        <v>0</v>
      </c>
      <c r="BA124" s="35">
        <v>-1573.6821165012148</v>
      </c>
      <c r="BB124" s="674">
        <v>676.26991336526714</v>
      </c>
      <c r="BC124" s="40">
        <v>0</v>
      </c>
      <c r="BD124" s="55">
        <v>-676.26991336526714</v>
      </c>
      <c r="BE124" s="674">
        <v>0</v>
      </c>
      <c r="BF124" s="40">
        <v>0</v>
      </c>
      <c r="BG124" s="38">
        <v>0</v>
      </c>
      <c r="BH124" s="674">
        <v>0</v>
      </c>
      <c r="BI124" s="40">
        <v>0</v>
      </c>
      <c r="BJ124" s="55">
        <v>0</v>
      </c>
      <c r="BK124" s="674">
        <v>266.41254209005297</v>
      </c>
      <c r="BL124" s="40">
        <v>142</v>
      </c>
      <c r="BM124" s="38">
        <v>-124.41254209005297</v>
      </c>
      <c r="BN124" s="674">
        <v>33.24</v>
      </c>
      <c r="BO124" s="40">
        <v>0</v>
      </c>
      <c r="BP124" s="55">
        <v>-33.24</v>
      </c>
      <c r="BQ124" s="77">
        <v>3570.9815034980138</v>
      </c>
      <c r="BR124" s="40">
        <v>142</v>
      </c>
      <c r="BS124" s="55">
        <v>-3428.9815034980138</v>
      </c>
      <c r="BT124" s="674">
        <v>13856.453621969476</v>
      </c>
      <c r="BU124" s="40">
        <v>16494.392436328097</v>
      </c>
      <c r="BV124" s="52">
        <v>2637.9388143586202</v>
      </c>
      <c r="BW124" s="674">
        <v>6757.0722506830871</v>
      </c>
      <c r="BX124" s="40">
        <v>6143.6806920361505</v>
      </c>
      <c r="BY124" s="52">
        <v>-613.39155864693657</v>
      </c>
      <c r="BZ124" s="674">
        <v>5760.9394947041792</v>
      </c>
      <c r="CA124" s="40">
        <v>3549.2905619928542</v>
      </c>
      <c r="CB124" s="52">
        <v>-2211.648932711325</v>
      </c>
      <c r="CC124" s="674">
        <v>244.55009930916418</v>
      </c>
      <c r="CD124" s="40">
        <v>257.02730442128586</v>
      </c>
      <c r="CE124" s="52">
        <v>12.47720511212168</v>
      </c>
      <c r="CF124" s="674">
        <v>29.889075553022096</v>
      </c>
      <c r="CG124" s="40">
        <v>0</v>
      </c>
      <c r="CH124" s="52">
        <v>-29.889075553022096</v>
      </c>
      <c r="CI124" s="674">
        <v>2034.7276832354567</v>
      </c>
      <c r="CJ124" s="40">
        <v>1598.7927232157306</v>
      </c>
      <c r="CK124" s="52">
        <v>-435.93496001972608</v>
      </c>
      <c r="CL124" s="674">
        <v>0</v>
      </c>
      <c r="CM124" s="40">
        <v>0</v>
      </c>
      <c r="CN124" s="52">
        <v>0</v>
      </c>
      <c r="CO124" s="39">
        <v>2034.7276832354567</v>
      </c>
      <c r="CP124" s="40">
        <v>1598.7927232157306</v>
      </c>
      <c r="CQ124" s="52">
        <v>-435.93496001972608</v>
      </c>
      <c r="CR124" s="72">
        <v>59393.678572463992</v>
      </c>
      <c r="CS124" s="5">
        <v>81261.97343387577</v>
      </c>
      <c r="CT124" s="52">
        <v>21868.294861411778</v>
      </c>
      <c r="CU124" s="77">
        <v>71272.414286956788</v>
      </c>
      <c r="CV124" s="65">
        <v>97514.368120650921</v>
      </c>
      <c r="CW124" s="35">
        <v>26241.953833694133</v>
      </c>
      <c r="CX124" s="73">
        <v>729.48177169288476</v>
      </c>
      <c r="CY124" s="40">
        <v>-25512.472062001256</v>
      </c>
      <c r="CZ124" s="52">
        <v>-26241.95383369414</v>
      </c>
      <c r="DA124" s="150">
        <v>44328.891586491809</v>
      </c>
      <c r="DB124" s="2">
        <v>2</v>
      </c>
      <c r="DC124" s="675">
        <v>7920.04</v>
      </c>
      <c r="DD124" s="675">
        <v>1641.72</v>
      </c>
      <c r="DE124" s="675">
        <v>1882.2788120652986</v>
      </c>
      <c r="DF124" s="675">
        <v>1416.24</v>
      </c>
      <c r="DG124" s="321">
        <v>18086.937752797672</v>
      </c>
      <c r="DH124" s="40">
        <v>71996.439324596126</v>
      </c>
      <c r="DI124" s="422">
        <v>6311.3916860015061</v>
      </c>
      <c r="DJ124" s="306">
        <v>5.7311449339674434</v>
      </c>
      <c r="DK124" s="306">
        <v>5.7311449339674434</v>
      </c>
      <c r="DL124" s="306">
        <v>5.0207430837945832</v>
      </c>
      <c r="DM124" s="28">
        <v>6037.7611879347014</v>
      </c>
      <c r="DN124" s="28">
        <v>225.48</v>
      </c>
      <c r="DO124" s="423">
        <v>6263.241187934701</v>
      </c>
      <c r="DP124" s="94">
        <v>48.150498066805085</v>
      </c>
      <c r="DQ124" s="28">
        <v>6263.241187934701</v>
      </c>
      <c r="DR124" s="318"/>
      <c r="DT124" s="8"/>
      <c r="DU124" s="5"/>
      <c r="DX124" s="5">
        <v>16804.997329222537</v>
      </c>
      <c r="DY124" s="5">
        <v>44869.667999999998</v>
      </c>
      <c r="DZ124" s="159">
        <v>1449.1499348821571</v>
      </c>
      <c r="EB124" s="676">
        <v>1894.3105235765488</v>
      </c>
      <c r="EC124" s="676">
        <v>41111.450377528403</v>
      </c>
      <c r="ED124" s="676">
        <v>-1246.8298685966779</v>
      </c>
      <c r="EE124" s="676">
        <v>-2600.8642406786189</v>
      </c>
      <c r="EF124" s="676">
        <v>-2255.4485382786961</v>
      </c>
      <c r="EG124" s="676">
        <v>-476.02606469961211</v>
      </c>
      <c r="EH124" s="676">
        <v>-768.66877747248236</v>
      </c>
      <c r="EI124" s="676">
        <v>-1413.6924634090146</v>
      </c>
      <c r="EJ124" s="676">
        <v>-1462.5175785127958</v>
      </c>
      <c r="EK124" s="676">
        <v>-1704.4376008797626</v>
      </c>
      <c r="EL124" s="676">
        <v>-1934.3068592559339</v>
      </c>
      <c r="EM124" s="676">
        <v>-2901.0150756272164</v>
      </c>
      <c r="EN124" s="676">
        <v>26241.953833694137</v>
      </c>
      <c r="EQ124" s="5">
        <v>16804.997329222537</v>
      </c>
      <c r="ER124" s="5">
        <v>44869.667999999998</v>
      </c>
      <c r="ET124" s="318">
        <v>-3312.1025551723019</v>
      </c>
      <c r="EU124" s="5">
        <v>-3776.9596920300246</v>
      </c>
    </row>
    <row r="125" spans="1:151" x14ac:dyDescent="0.3">
      <c r="A125" s="325">
        <v>150000623</v>
      </c>
      <c r="B125" s="41" t="s">
        <v>574</v>
      </c>
      <c r="C125" s="42" t="s">
        <v>210</v>
      </c>
      <c r="D125" s="27">
        <v>4</v>
      </c>
      <c r="E125" s="293">
        <v>1472.6</v>
      </c>
      <c r="F125" s="305">
        <v>1379.8</v>
      </c>
      <c r="G125" s="508">
        <v>0</v>
      </c>
      <c r="H125" s="677">
        <v>92.8</v>
      </c>
      <c r="I125" s="674">
        <v>5160.7020580692224</v>
      </c>
      <c r="J125" s="40">
        <v>5629.3043547441257</v>
      </c>
      <c r="K125" s="52">
        <v>468.6022966749033</v>
      </c>
      <c r="L125" s="674">
        <v>919.59409330558299</v>
      </c>
      <c r="M125" s="40">
        <v>1006.5288331269929</v>
      </c>
      <c r="N125" s="52">
        <v>86.934739821409948</v>
      </c>
      <c r="O125" s="674">
        <v>2022.9283620597053</v>
      </c>
      <c r="P125" s="40">
        <v>2022.9300000000003</v>
      </c>
      <c r="Q125" s="52">
        <v>1.6379402950406075E-3</v>
      </c>
      <c r="R125" s="674">
        <v>0</v>
      </c>
      <c r="S125" s="40">
        <v>0</v>
      </c>
      <c r="T125" s="52">
        <v>0</v>
      </c>
      <c r="U125" s="674">
        <v>0</v>
      </c>
      <c r="V125" s="40">
        <v>0</v>
      </c>
      <c r="W125" s="52">
        <v>0</v>
      </c>
      <c r="X125" s="674">
        <v>2695.5346142623989</v>
      </c>
      <c r="Y125" s="40">
        <v>1916.107294502312</v>
      </c>
      <c r="Z125" s="52">
        <v>-779.4273197600869</v>
      </c>
      <c r="AA125" s="674">
        <v>176.54400000000001</v>
      </c>
      <c r="AB125" s="40">
        <v>0</v>
      </c>
      <c r="AC125" s="52">
        <v>-176.54400000000001</v>
      </c>
      <c r="AD125" s="674">
        <v>6309.1544443505773</v>
      </c>
      <c r="AE125" s="40">
        <v>6312.8143691857695</v>
      </c>
      <c r="AF125" s="35">
        <v>3.6599248351922142</v>
      </c>
      <c r="AG125" s="77">
        <v>17284.457572047486</v>
      </c>
      <c r="AH125" s="53">
        <v>16887.684851559199</v>
      </c>
      <c r="AI125" s="52">
        <v>-396.77272048828672</v>
      </c>
      <c r="AJ125" s="674">
        <v>0</v>
      </c>
      <c r="AK125" s="40">
        <v>0</v>
      </c>
      <c r="AL125" s="52">
        <v>0</v>
      </c>
      <c r="AM125" s="674">
        <v>0</v>
      </c>
      <c r="AN125" s="40">
        <v>0</v>
      </c>
      <c r="AO125" s="52">
        <v>0</v>
      </c>
      <c r="AP125" s="674">
        <v>4047.1514197660686</v>
      </c>
      <c r="AQ125" s="40">
        <v>3309.6011858504053</v>
      </c>
      <c r="AR125" s="52">
        <v>-737.55023391566328</v>
      </c>
      <c r="AS125" s="674">
        <v>16262.517903381053</v>
      </c>
      <c r="AT125" s="40">
        <v>2141.3599999999997</v>
      </c>
      <c r="AU125" s="54">
        <v>-14121.157903381052</v>
      </c>
      <c r="AV125" s="674">
        <v>1192.3022056083655</v>
      </c>
      <c r="AW125" s="40">
        <v>1467</v>
      </c>
      <c r="AX125" s="55">
        <v>274.69779439163449</v>
      </c>
      <c r="AY125" s="674">
        <v>1507.4128998517783</v>
      </c>
      <c r="AZ125" s="40">
        <v>0</v>
      </c>
      <c r="BA125" s="35">
        <v>-1507.4128998517783</v>
      </c>
      <c r="BB125" s="674">
        <v>900.28436959385613</v>
      </c>
      <c r="BC125" s="40">
        <v>0</v>
      </c>
      <c r="BD125" s="55">
        <v>-900.28436959385613</v>
      </c>
      <c r="BE125" s="674">
        <v>0</v>
      </c>
      <c r="BF125" s="40">
        <v>0</v>
      </c>
      <c r="BG125" s="38">
        <v>0</v>
      </c>
      <c r="BH125" s="674">
        <v>0</v>
      </c>
      <c r="BI125" s="40">
        <v>0</v>
      </c>
      <c r="BJ125" s="55">
        <v>0</v>
      </c>
      <c r="BK125" s="674">
        <v>527.61272826651918</v>
      </c>
      <c r="BL125" s="40">
        <v>622</v>
      </c>
      <c r="BM125" s="38">
        <v>94.387271733480816</v>
      </c>
      <c r="BN125" s="674">
        <v>44.136000000000003</v>
      </c>
      <c r="BO125" s="40">
        <v>0</v>
      </c>
      <c r="BP125" s="55">
        <v>-44.136000000000003</v>
      </c>
      <c r="BQ125" s="77">
        <v>4171.7482033205197</v>
      </c>
      <c r="BR125" s="40">
        <v>2089</v>
      </c>
      <c r="BS125" s="55">
        <v>-2082.7482033205197</v>
      </c>
      <c r="BT125" s="674">
        <v>16565.321306332615</v>
      </c>
      <c r="BU125" s="40">
        <v>21505.336125159996</v>
      </c>
      <c r="BV125" s="52">
        <v>4940.0148188273815</v>
      </c>
      <c r="BW125" s="674">
        <v>7982.9253524407177</v>
      </c>
      <c r="BX125" s="40">
        <v>7203.8745283224916</v>
      </c>
      <c r="BY125" s="52">
        <v>-779.05082411822605</v>
      </c>
      <c r="BZ125" s="674">
        <v>7875.0816599465825</v>
      </c>
      <c r="CA125" s="40">
        <v>4711.4543397964726</v>
      </c>
      <c r="CB125" s="52">
        <v>-3163.6273201501099</v>
      </c>
      <c r="CC125" s="674">
        <v>347.37230015506276</v>
      </c>
      <c r="CD125" s="40">
        <v>365.09560287114471</v>
      </c>
      <c r="CE125" s="52">
        <v>17.723302716081946</v>
      </c>
      <c r="CF125" s="674">
        <v>42.45607322872457</v>
      </c>
      <c r="CG125" s="40">
        <v>0</v>
      </c>
      <c r="CH125" s="52">
        <v>-42.45607322872457</v>
      </c>
      <c r="CI125" s="674">
        <v>2974.9793090288435</v>
      </c>
      <c r="CJ125" s="40">
        <v>2237.8289880196839</v>
      </c>
      <c r="CK125" s="52">
        <v>-737.1503210091596</v>
      </c>
      <c r="CL125" s="674">
        <v>0</v>
      </c>
      <c r="CM125" s="40">
        <v>0</v>
      </c>
      <c r="CN125" s="52">
        <v>0</v>
      </c>
      <c r="CO125" s="39">
        <v>2974.9793090288435</v>
      </c>
      <c r="CP125" s="40">
        <v>2237.8289880196839</v>
      </c>
      <c r="CQ125" s="52">
        <v>-737.1503210091596</v>
      </c>
      <c r="CR125" s="72">
        <v>77554.011099647672</v>
      </c>
      <c r="CS125" s="5">
        <v>60451.235621579399</v>
      </c>
      <c r="CT125" s="52">
        <v>-17102.775478068274</v>
      </c>
      <c r="CU125" s="77">
        <v>93064.81331957721</v>
      </c>
      <c r="CV125" s="65">
        <v>72541.482745895279</v>
      </c>
      <c r="CW125" s="35">
        <v>-20523.330573681931</v>
      </c>
      <c r="CX125" s="73">
        <v>2073.546131424243</v>
      </c>
      <c r="CY125" s="40">
        <v>22596.876705106162</v>
      </c>
      <c r="CZ125" s="52">
        <v>20523.33057368192</v>
      </c>
      <c r="DA125" s="150">
        <v>-23466.278570987961</v>
      </c>
      <c r="DB125" s="2">
        <v>2</v>
      </c>
      <c r="DC125" s="675">
        <v>11501.2</v>
      </c>
      <c r="DD125" s="675">
        <v>1266.92</v>
      </c>
      <c r="DE125" s="675">
        <v>3632.4344188270034</v>
      </c>
      <c r="DF125" s="675">
        <v>797.82673428542535</v>
      </c>
      <c r="DG125" s="321">
        <v>-2942.9479973060334</v>
      </c>
      <c r="DH125" s="40">
        <v>95131.14419045439</v>
      </c>
      <c r="DI125" s="422">
        <v>8337.8588468875714</v>
      </c>
      <c r="DJ125" s="306">
        <v>5.7028305415081881</v>
      </c>
      <c r="DK125" s="306">
        <v>5.7028305415081881</v>
      </c>
      <c r="DL125" s="306">
        <v>5.0548843288208483</v>
      </c>
      <c r="DM125" s="28">
        <v>7868.7655811729974</v>
      </c>
      <c r="DN125" s="28">
        <v>469.09326571457473</v>
      </c>
      <c r="DO125" s="423">
        <v>8337.8588468875714</v>
      </c>
      <c r="DP125" s="94">
        <v>0</v>
      </c>
      <c r="DQ125" s="28">
        <v>8337.8588468875714</v>
      </c>
      <c r="DR125" s="318"/>
      <c r="DT125" s="8"/>
      <c r="DU125" s="5"/>
      <c r="DX125" s="5">
        <v>24521.119328041885</v>
      </c>
      <c r="DY125" s="5">
        <v>5076.4319999999998</v>
      </c>
      <c r="DZ125" s="159">
        <v>2239.0392999927399</v>
      </c>
      <c r="EB125" s="676">
        <v>2235.6669808567931</v>
      </c>
      <c r="EC125" s="676">
        <v>-1198.660655204777</v>
      </c>
      <c r="ED125" s="676">
        <v>-1472.771318572858</v>
      </c>
      <c r="EE125" s="676">
        <v>-3417.5632431518807</v>
      </c>
      <c r="EF125" s="676">
        <v>-3437.7295564563756</v>
      </c>
      <c r="EG125" s="676">
        <v>-1509.2595093067657</v>
      </c>
      <c r="EH125" s="676">
        <v>-844.67009908946511</v>
      </c>
      <c r="EI125" s="676">
        <v>-2393.7174502157768</v>
      </c>
      <c r="EJ125" s="676">
        <v>-164.48990515379046</v>
      </c>
      <c r="EK125" s="676">
        <v>-2183.2140854583013</v>
      </c>
      <c r="EL125" s="676">
        <v>-2521.6542387726467</v>
      </c>
      <c r="EM125" s="676">
        <v>-3615.2674931560823</v>
      </c>
      <c r="EN125" s="676">
        <v>-20523.330573681927</v>
      </c>
      <c r="EQ125" s="5">
        <v>24521.119328041885</v>
      </c>
      <c r="ER125" s="5">
        <v>5076.4319999999998</v>
      </c>
      <c r="ET125" s="318">
        <v>-615.94152253665698</v>
      </c>
      <c r="EU125" s="5">
        <v>15889.993525230628</v>
      </c>
    </row>
    <row r="126" spans="1:151" x14ac:dyDescent="0.3">
      <c r="A126" s="325">
        <v>150000612</v>
      </c>
      <c r="B126" s="41" t="s">
        <v>575</v>
      </c>
      <c r="C126" s="42" t="s">
        <v>162</v>
      </c>
      <c r="D126" s="27">
        <v>2</v>
      </c>
      <c r="E126" s="293">
        <v>498.78</v>
      </c>
      <c r="F126" s="305">
        <v>498.78</v>
      </c>
      <c r="G126" s="508">
        <v>0</v>
      </c>
      <c r="H126" s="677">
        <v>0</v>
      </c>
      <c r="I126" s="674">
        <v>1699.8891584766488</v>
      </c>
      <c r="J126" s="40">
        <v>1832.1436650720771</v>
      </c>
      <c r="K126" s="52">
        <v>132.25450659542821</v>
      </c>
      <c r="L126" s="674">
        <v>678.24357038410972</v>
      </c>
      <c r="M126" s="40">
        <v>742.36189323226608</v>
      </c>
      <c r="N126" s="52">
        <v>64.118322848156367</v>
      </c>
      <c r="O126" s="674">
        <v>647.06616661487499</v>
      </c>
      <c r="P126" s="40">
        <v>647.06999999999994</v>
      </c>
      <c r="Q126" s="52">
        <v>3.8333851249490181E-3</v>
      </c>
      <c r="R126" s="674">
        <v>0</v>
      </c>
      <c r="S126" s="40">
        <v>0</v>
      </c>
      <c r="T126" s="52">
        <v>0</v>
      </c>
      <c r="U126" s="674">
        <v>0</v>
      </c>
      <c r="V126" s="40">
        <v>0</v>
      </c>
      <c r="W126" s="52">
        <v>0</v>
      </c>
      <c r="X126" s="674">
        <v>1112.104186035275</v>
      </c>
      <c r="Y126" s="40">
        <v>790.219288808942</v>
      </c>
      <c r="Z126" s="52">
        <v>-321.88489722633301</v>
      </c>
      <c r="AA126" s="674">
        <v>59.8536</v>
      </c>
      <c r="AB126" s="40">
        <v>0</v>
      </c>
      <c r="AC126" s="52">
        <v>-59.8536</v>
      </c>
      <c r="AD126" s="674">
        <v>2138.5354025975039</v>
      </c>
      <c r="AE126" s="40">
        <v>2119.1774804073134</v>
      </c>
      <c r="AF126" s="35">
        <v>-19.357922190190493</v>
      </c>
      <c r="AG126" s="77">
        <v>6335.6920841084129</v>
      </c>
      <c r="AH126" s="53">
        <v>6130.9723275205979</v>
      </c>
      <c r="AI126" s="52">
        <v>-204.71975658781503</v>
      </c>
      <c r="AJ126" s="674">
        <v>0</v>
      </c>
      <c r="AK126" s="40">
        <v>0</v>
      </c>
      <c r="AL126" s="52">
        <v>0</v>
      </c>
      <c r="AM126" s="674">
        <v>0</v>
      </c>
      <c r="AN126" s="40">
        <v>0</v>
      </c>
      <c r="AO126" s="52">
        <v>0</v>
      </c>
      <c r="AP126" s="674">
        <v>1079.2403786042846</v>
      </c>
      <c r="AQ126" s="40">
        <v>854.02925641112824</v>
      </c>
      <c r="AR126" s="52">
        <v>-225.21112219315637</v>
      </c>
      <c r="AS126" s="674">
        <v>8854.3199507362624</v>
      </c>
      <c r="AT126" s="40">
        <v>251</v>
      </c>
      <c r="AU126" s="54">
        <v>-8603.3199507362624</v>
      </c>
      <c r="AV126" s="674">
        <v>529.67088326355497</v>
      </c>
      <c r="AW126" s="40">
        <v>0</v>
      </c>
      <c r="AX126" s="55">
        <v>-529.67088326355497</v>
      </c>
      <c r="AY126" s="674">
        <v>1112.000612653874</v>
      </c>
      <c r="AZ126" s="40">
        <v>0</v>
      </c>
      <c r="BA126" s="35">
        <v>-1112.000612653874</v>
      </c>
      <c r="BB126" s="674">
        <v>142.58384286744084</v>
      </c>
      <c r="BC126" s="40">
        <v>0</v>
      </c>
      <c r="BD126" s="55">
        <v>-142.58384286744084</v>
      </c>
      <c r="BE126" s="674">
        <v>0</v>
      </c>
      <c r="BF126" s="40">
        <v>0</v>
      </c>
      <c r="BG126" s="38">
        <v>0</v>
      </c>
      <c r="BH126" s="674">
        <v>0</v>
      </c>
      <c r="BI126" s="40">
        <v>0</v>
      </c>
      <c r="BJ126" s="55">
        <v>0</v>
      </c>
      <c r="BK126" s="674">
        <v>110.09836158969283</v>
      </c>
      <c r="BL126" s="40">
        <v>0</v>
      </c>
      <c r="BM126" s="38">
        <v>-110.09836158969283</v>
      </c>
      <c r="BN126" s="674">
        <v>14.9634</v>
      </c>
      <c r="BO126" s="40">
        <v>0</v>
      </c>
      <c r="BP126" s="55">
        <v>-14.9634</v>
      </c>
      <c r="BQ126" s="77">
        <v>1909.3171003745626</v>
      </c>
      <c r="BR126" s="40">
        <v>0</v>
      </c>
      <c r="BS126" s="55">
        <v>-1909.3171003745626</v>
      </c>
      <c r="BT126" s="674">
        <v>6324.0034480249624</v>
      </c>
      <c r="BU126" s="40">
        <v>7272.3181186278653</v>
      </c>
      <c r="BV126" s="52">
        <v>948.31467060290288</v>
      </c>
      <c r="BW126" s="674">
        <v>2668.6101023786555</v>
      </c>
      <c r="BX126" s="40">
        <v>2453.8796236312965</v>
      </c>
      <c r="BY126" s="52">
        <v>-214.73047874735903</v>
      </c>
      <c r="BZ126" s="674">
        <v>2059.1614379225184</v>
      </c>
      <c r="CA126" s="40">
        <v>1392.3871131196561</v>
      </c>
      <c r="CB126" s="52">
        <v>-666.77432480286234</v>
      </c>
      <c r="CC126" s="674">
        <v>352.93025695754369</v>
      </c>
      <c r="CD126" s="40">
        <v>370.93713251708294</v>
      </c>
      <c r="CE126" s="52">
        <v>18.006875559539253</v>
      </c>
      <c r="CF126" s="674">
        <v>43.135370400384176</v>
      </c>
      <c r="CG126" s="40">
        <v>0</v>
      </c>
      <c r="CH126" s="52">
        <v>-43.135370400384176</v>
      </c>
      <c r="CI126" s="674">
        <v>748.00916542367031</v>
      </c>
      <c r="CJ126" s="40">
        <v>255.4693128675936</v>
      </c>
      <c r="CK126" s="52">
        <v>-492.53985255607671</v>
      </c>
      <c r="CL126" s="674">
        <v>0</v>
      </c>
      <c r="CM126" s="40">
        <v>0</v>
      </c>
      <c r="CN126" s="52">
        <v>0</v>
      </c>
      <c r="CO126" s="39">
        <v>748.00916542367031</v>
      </c>
      <c r="CP126" s="40">
        <v>255.4693128675936</v>
      </c>
      <c r="CQ126" s="52">
        <v>-492.53985255607671</v>
      </c>
      <c r="CR126" s="72">
        <v>30374.419294931256</v>
      </c>
      <c r="CS126" s="5">
        <v>18980.992884695221</v>
      </c>
      <c r="CT126" s="52">
        <v>-11393.426410236036</v>
      </c>
      <c r="CU126" s="77">
        <v>36449.303153917506</v>
      </c>
      <c r="CV126" s="65">
        <v>22777.191461634266</v>
      </c>
      <c r="CW126" s="35">
        <v>-13672.111692283241</v>
      </c>
      <c r="CX126" s="73">
        <v>370.80300096963862</v>
      </c>
      <c r="CY126" s="40">
        <v>14042.914693252871</v>
      </c>
      <c r="CZ126" s="52">
        <v>13672.111692283232</v>
      </c>
      <c r="DA126" s="150">
        <v>-14084.167035258015</v>
      </c>
      <c r="DB126" s="2">
        <v>2</v>
      </c>
      <c r="DC126" s="675">
        <v>4031.17</v>
      </c>
      <c r="DD126" s="675">
        <v>0</v>
      </c>
      <c r="DE126" s="675">
        <v>798.49095479224707</v>
      </c>
      <c r="DF126" s="675">
        <v>0</v>
      </c>
      <c r="DG126" s="321">
        <v>-412.05534297478607</v>
      </c>
      <c r="DH126" s="40">
        <v>36817.332441490769</v>
      </c>
      <c r="DI126" s="422">
        <v>3232.679045207753</v>
      </c>
      <c r="DJ126" s="306">
        <v>6.4811721504626352</v>
      </c>
      <c r="DK126" s="306">
        <v>6.4811721504626352</v>
      </c>
      <c r="DL126" s="306">
        <v>5.8829514606088829</v>
      </c>
      <c r="DM126" s="28">
        <v>3232.679045207753</v>
      </c>
      <c r="DN126" s="28">
        <v>0</v>
      </c>
      <c r="DO126" s="423">
        <v>3232.679045207753</v>
      </c>
      <c r="DP126" s="94">
        <v>0</v>
      </c>
      <c r="DQ126" s="28">
        <v>3232.679045207753</v>
      </c>
      <c r="DR126" s="318"/>
      <c r="DT126" s="8"/>
      <c r="DU126" s="5"/>
      <c r="DX126" s="5">
        <v>12916.364461332991</v>
      </c>
      <c r="DY126" s="5">
        <v>301.2</v>
      </c>
      <c r="DZ126" s="159">
        <v>1162.8175737956292</v>
      </c>
      <c r="EB126" s="676">
        <v>-212.72858229904205</v>
      </c>
      <c r="EC126" s="676">
        <v>-279.7539033435155</v>
      </c>
      <c r="ED126" s="676">
        <v>-847.04279006916613</v>
      </c>
      <c r="EE126" s="676">
        <v>-1056.0538809927943</v>
      </c>
      <c r="EF126" s="676">
        <v>-1428.4679855875265</v>
      </c>
      <c r="EG126" s="676">
        <v>-2070.2083767030686</v>
      </c>
      <c r="EH126" s="676">
        <v>-1557.464482230457</v>
      </c>
      <c r="EI126" s="676">
        <v>-791.89094289168679</v>
      </c>
      <c r="EJ126" s="676">
        <v>-980.15609025930189</v>
      </c>
      <c r="EK126" s="676">
        <v>-1220.8245461031077</v>
      </c>
      <c r="EL126" s="676">
        <v>-1764.3392980134747</v>
      </c>
      <c r="EM126" s="676">
        <v>-1463.1808137900921</v>
      </c>
      <c r="EN126" s="676">
        <v>-13672.11169228323</v>
      </c>
      <c r="EQ126" s="5">
        <v>12916.364461332991</v>
      </c>
      <c r="ER126" s="5">
        <v>301.2</v>
      </c>
      <c r="ET126" s="318">
        <v>-11226.05995684687</v>
      </c>
      <c r="EU126" s="5">
        <v>11053.004613872088</v>
      </c>
    </row>
    <row r="127" spans="1:151" x14ac:dyDescent="0.3">
      <c r="A127" s="325">
        <v>150000613</v>
      </c>
      <c r="B127" s="41" t="s">
        <v>576</v>
      </c>
      <c r="C127" s="42" t="s">
        <v>211</v>
      </c>
      <c r="D127" s="27">
        <v>4</v>
      </c>
      <c r="E127" s="293">
        <v>1482.22</v>
      </c>
      <c r="F127" s="305">
        <v>1269.7</v>
      </c>
      <c r="G127" s="508">
        <v>0</v>
      </c>
      <c r="H127" s="677">
        <v>212.52</v>
      </c>
      <c r="I127" s="674">
        <v>4956.5141489123826</v>
      </c>
      <c r="J127" s="40">
        <v>5412.8292332174778</v>
      </c>
      <c r="K127" s="52">
        <v>456.3150843050953</v>
      </c>
      <c r="L127" s="674">
        <v>915.00766469281086</v>
      </c>
      <c r="M127" s="40">
        <v>1008.369909802082</v>
      </c>
      <c r="N127" s="52">
        <v>93.362245109271157</v>
      </c>
      <c r="O127" s="674">
        <v>2055.6493755075994</v>
      </c>
      <c r="P127" s="40">
        <v>2055.6599999999994</v>
      </c>
      <c r="Q127" s="52">
        <v>1.0624492399983865E-2</v>
      </c>
      <c r="R127" s="674">
        <v>0</v>
      </c>
      <c r="S127" s="40">
        <v>0</v>
      </c>
      <c r="T127" s="52">
        <v>0</v>
      </c>
      <c r="U127" s="674">
        <v>0</v>
      </c>
      <c r="V127" s="40">
        <v>0</v>
      </c>
      <c r="W127" s="52">
        <v>0</v>
      </c>
      <c r="X127" s="674">
        <v>2757.3187125221334</v>
      </c>
      <c r="Y127" s="40">
        <v>1991.7561066576984</v>
      </c>
      <c r="Z127" s="52">
        <v>-765.562605864435</v>
      </c>
      <c r="AA127" s="674">
        <v>177.86160000000001</v>
      </c>
      <c r="AB127" s="40">
        <v>0</v>
      </c>
      <c r="AC127" s="52">
        <v>-177.86160000000001</v>
      </c>
      <c r="AD127" s="674">
        <v>6342.3501603546811</v>
      </c>
      <c r="AE127" s="40">
        <v>6298.3754892987254</v>
      </c>
      <c r="AF127" s="35">
        <v>-43.974671055955696</v>
      </c>
      <c r="AG127" s="77">
        <v>17204.701661989609</v>
      </c>
      <c r="AH127" s="53">
        <v>16766.990738975983</v>
      </c>
      <c r="AI127" s="52">
        <v>-437.7109230136266</v>
      </c>
      <c r="AJ127" s="674">
        <v>0</v>
      </c>
      <c r="AK127" s="40">
        <v>0</v>
      </c>
      <c r="AL127" s="52">
        <v>0</v>
      </c>
      <c r="AM127" s="674">
        <v>0</v>
      </c>
      <c r="AN127" s="40">
        <v>0</v>
      </c>
      <c r="AO127" s="52">
        <v>0</v>
      </c>
      <c r="AP127" s="674">
        <v>3777.3413251149959</v>
      </c>
      <c r="AQ127" s="40">
        <v>3018.243681279585</v>
      </c>
      <c r="AR127" s="52">
        <v>-759.09764383541096</v>
      </c>
      <c r="AS127" s="674">
        <v>13578.855263734211</v>
      </c>
      <c r="AT127" s="40">
        <v>1320.77</v>
      </c>
      <c r="AU127" s="54">
        <v>-12258.08526373421</v>
      </c>
      <c r="AV127" s="674">
        <v>1169.7106149097549</v>
      </c>
      <c r="AW127" s="40">
        <v>0</v>
      </c>
      <c r="AX127" s="55">
        <v>-1169.7106149097549</v>
      </c>
      <c r="AY127" s="674">
        <v>1500.0366832758391</v>
      </c>
      <c r="AZ127" s="40">
        <v>1132</v>
      </c>
      <c r="BA127" s="35">
        <v>-368.0366832758391</v>
      </c>
      <c r="BB127" s="674">
        <v>896.61565944145809</v>
      </c>
      <c r="BC127" s="40">
        <v>0</v>
      </c>
      <c r="BD127" s="55">
        <v>-896.61565944145809</v>
      </c>
      <c r="BE127" s="674">
        <v>0</v>
      </c>
      <c r="BF127" s="40">
        <v>0</v>
      </c>
      <c r="BG127" s="38">
        <v>0</v>
      </c>
      <c r="BH127" s="674">
        <v>0</v>
      </c>
      <c r="BI127" s="40">
        <v>0</v>
      </c>
      <c r="BJ127" s="55">
        <v>0</v>
      </c>
      <c r="BK127" s="674">
        <v>522.03062884346468</v>
      </c>
      <c r="BL127" s="40">
        <v>0</v>
      </c>
      <c r="BM127" s="38">
        <v>-522.03062884346468</v>
      </c>
      <c r="BN127" s="674">
        <v>44.465400000000002</v>
      </c>
      <c r="BO127" s="40">
        <v>0</v>
      </c>
      <c r="BP127" s="55">
        <v>-44.465400000000002</v>
      </c>
      <c r="BQ127" s="77">
        <v>4132.8589864705173</v>
      </c>
      <c r="BR127" s="40">
        <v>1132</v>
      </c>
      <c r="BS127" s="55">
        <v>-3000.8589864705173</v>
      </c>
      <c r="BT127" s="674">
        <v>22746.263993952725</v>
      </c>
      <c r="BU127" s="40">
        <v>24439.451605704962</v>
      </c>
      <c r="BV127" s="52">
        <v>1693.187611752237</v>
      </c>
      <c r="BW127" s="674">
        <v>8557.3003552903065</v>
      </c>
      <c r="BX127" s="40">
        <v>7722.853341133592</v>
      </c>
      <c r="BY127" s="52">
        <v>-834.44701415671443</v>
      </c>
      <c r="BZ127" s="674">
        <v>5889.1580920610259</v>
      </c>
      <c r="CA127" s="40">
        <v>5263.5974205958255</v>
      </c>
      <c r="CB127" s="52">
        <v>-625.56067146520036</v>
      </c>
      <c r="CC127" s="674">
        <v>314.02455934017667</v>
      </c>
      <c r="CD127" s="40">
        <v>330.04642499551471</v>
      </c>
      <c r="CE127" s="52">
        <v>16.021865655338047</v>
      </c>
      <c r="CF127" s="674">
        <v>38.380290198767014</v>
      </c>
      <c r="CG127" s="40">
        <v>0</v>
      </c>
      <c r="CH127" s="52">
        <v>-38.380290198767014</v>
      </c>
      <c r="CI127" s="674">
        <v>2511.6642731275506</v>
      </c>
      <c r="CJ127" s="40">
        <v>1855.4527685096766</v>
      </c>
      <c r="CK127" s="52">
        <v>-656.21150461787397</v>
      </c>
      <c r="CL127" s="674">
        <v>0</v>
      </c>
      <c r="CM127" s="40">
        <v>0</v>
      </c>
      <c r="CN127" s="52">
        <v>0</v>
      </c>
      <c r="CO127" s="39">
        <v>2511.6642731275506</v>
      </c>
      <c r="CP127" s="40">
        <v>1855.4527685096766</v>
      </c>
      <c r="CQ127" s="52">
        <v>-656.21150461787397</v>
      </c>
      <c r="CR127" s="72">
        <v>78750.548801279889</v>
      </c>
      <c r="CS127" s="5">
        <v>61849.405981195145</v>
      </c>
      <c r="CT127" s="52">
        <v>-16901.142820084744</v>
      </c>
      <c r="CU127" s="77">
        <v>94500.658561535864</v>
      </c>
      <c r="CV127" s="65">
        <v>74219.287177434177</v>
      </c>
      <c r="CW127" s="35">
        <v>-20281.371384101687</v>
      </c>
      <c r="CX127" s="73">
        <v>2860.0034868405751</v>
      </c>
      <c r="CY127" s="40">
        <v>23141.374870942247</v>
      </c>
      <c r="CZ127" s="52">
        <v>20281.371384101672</v>
      </c>
      <c r="DA127" s="150">
        <v>53527.248769338752</v>
      </c>
      <c r="DB127" s="2">
        <v>2</v>
      </c>
      <c r="DC127" s="675">
        <v>14939.27</v>
      </c>
      <c r="DD127" s="675">
        <v>2704.5099999999998</v>
      </c>
      <c r="DE127" s="675">
        <v>7490.738693951289</v>
      </c>
      <c r="DF127" s="675">
        <v>1619.8965416659264</v>
      </c>
      <c r="DG127" s="321">
        <v>73808.620153440424</v>
      </c>
      <c r="DH127" s="40">
        <v>97353.279945107133</v>
      </c>
      <c r="DI127" s="422">
        <v>8533.1447643827851</v>
      </c>
      <c r="DJ127" s="306">
        <v>5.866371037291259</v>
      </c>
      <c r="DK127" s="306">
        <v>5.866371037291259</v>
      </c>
      <c r="DL127" s="306">
        <v>5.1035829961136523</v>
      </c>
      <c r="DM127" s="28">
        <v>7448.5313060487115</v>
      </c>
      <c r="DN127" s="28">
        <v>1084.6134583340734</v>
      </c>
      <c r="DO127" s="423">
        <v>8533.1447643827851</v>
      </c>
      <c r="DP127" s="94">
        <v>0</v>
      </c>
      <c r="DQ127" s="28">
        <v>8533.1447643827851</v>
      </c>
      <c r="DR127" s="318"/>
      <c r="DT127" s="8"/>
      <c r="DU127" s="5"/>
      <c r="DX127" s="5">
        <v>21254.057100245675</v>
      </c>
      <c r="DY127" s="5">
        <v>2943.3240000000001</v>
      </c>
      <c r="DZ127" s="159">
        <v>1848.358493851051</v>
      </c>
      <c r="EB127" s="676">
        <v>130.9227265503223</v>
      </c>
      <c r="EC127" s="676">
        <v>709.22845185442566</v>
      </c>
      <c r="ED127" s="676">
        <v>-1409.9325669886412</v>
      </c>
      <c r="EE127" s="676">
        <v>-3215.6059449915256</v>
      </c>
      <c r="EF127" s="676">
        <v>-1616.5443078565804</v>
      </c>
      <c r="EG127" s="676">
        <v>-3033.2736260764968</v>
      </c>
      <c r="EH127" s="676">
        <v>-3106.913857342649</v>
      </c>
      <c r="EI127" s="676">
        <v>-157.9194323394795</v>
      </c>
      <c r="EJ127" s="676">
        <v>-550.12451398256417</v>
      </c>
      <c r="EK127" s="676">
        <v>-1879.9143959821458</v>
      </c>
      <c r="EL127" s="676">
        <v>-2368.2269891722981</v>
      </c>
      <c r="EM127" s="676">
        <v>-3783.0669277740408</v>
      </c>
      <c r="EN127" s="676">
        <v>-20281.371384101676</v>
      </c>
      <c r="EQ127" s="5">
        <v>21254.057100245675</v>
      </c>
      <c r="ER127" s="5">
        <v>2943.3240000000001</v>
      </c>
      <c r="ET127" s="318">
        <v>-17100.608499974638</v>
      </c>
      <c r="EU127" s="5">
        <v>73139.228653415063</v>
      </c>
    </row>
    <row r="128" spans="1:151" x14ac:dyDescent="0.3">
      <c r="A128" s="325">
        <v>150000614</v>
      </c>
      <c r="B128" s="41" t="s">
        <v>577</v>
      </c>
      <c r="C128" s="42" t="s">
        <v>163</v>
      </c>
      <c r="D128" s="27">
        <v>2</v>
      </c>
      <c r="E128" s="293">
        <v>626.29999999999995</v>
      </c>
      <c r="F128" s="305">
        <v>626.29999999999995</v>
      </c>
      <c r="G128" s="508">
        <v>0</v>
      </c>
      <c r="H128" s="677">
        <v>0</v>
      </c>
      <c r="I128" s="674">
        <v>1830.358674001714</v>
      </c>
      <c r="J128" s="40">
        <v>2051.0399065093993</v>
      </c>
      <c r="K128" s="52">
        <v>220.68123250768531</v>
      </c>
      <c r="L128" s="674">
        <v>538.88890405299765</v>
      </c>
      <c r="M128" s="40">
        <v>589.83158841988961</v>
      </c>
      <c r="N128" s="52">
        <v>50.942684366891967</v>
      </c>
      <c r="O128" s="674">
        <v>802.91318848049536</v>
      </c>
      <c r="P128" s="40">
        <v>802.9200000000003</v>
      </c>
      <c r="Q128" s="52">
        <v>6.811519504935859E-3</v>
      </c>
      <c r="R128" s="674">
        <v>0</v>
      </c>
      <c r="S128" s="40">
        <v>0</v>
      </c>
      <c r="T128" s="52">
        <v>0</v>
      </c>
      <c r="U128" s="674">
        <v>0</v>
      </c>
      <c r="V128" s="40">
        <v>0</v>
      </c>
      <c r="W128" s="52">
        <v>0</v>
      </c>
      <c r="X128" s="674">
        <v>971.87597387326775</v>
      </c>
      <c r="Y128" s="40">
        <v>1451.4509292400073</v>
      </c>
      <c r="Z128" s="52">
        <v>479.57495536673957</v>
      </c>
      <c r="AA128" s="674">
        <v>75.156000000000006</v>
      </c>
      <c r="AB128" s="40">
        <v>0</v>
      </c>
      <c r="AC128" s="52">
        <v>-75.156000000000006</v>
      </c>
      <c r="AD128" s="674">
        <v>2685.2657008793526</v>
      </c>
      <c r="AE128" s="40">
        <v>2660.9744897131009</v>
      </c>
      <c r="AF128" s="35">
        <v>-24.291211166251742</v>
      </c>
      <c r="AG128" s="77">
        <v>6904.4584412878266</v>
      </c>
      <c r="AH128" s="53">
        <v>7556.2169138823974</v>
      </c>
      <c r="AI128" s="52">
        <v>651.75847259457078</v>
      </c>
      <c r="AJ128" s="674">
        <v>0</v>
      </c>
      <c r="AK128" s="40">
        <v>0</v>
      </c>
      <c r="AL128" s="52">
        <v>0</v>
      </c>
      <c r="AM128" s="674">
        <v>0</v>
      </c>
      <c r="AN128" s="40">
        <v>0</v>
      </c>
      <c r="AO128" s="52">
        <v>0</v>
      </c>
      <c r="AP128" s="674">
        <v>1618.8605679064267</v>
      </c>
      <c r="AQ128" s="40">
        <v>1346.2934976897263</v>
      </c>
      <c r="AR128" s="52">
        <v>-272.56707021670036</v>
      </c>
      <c r="AS128" s="674">
        <v>8613.3649124443582</v>
      </c>
      <c r="AT128" s="40">
        <v>8470.99</v>
      </c>
      <c r="AU128" s="54">
        <v>-142.37491244435842</v>
      </c>
      <c r="AV128" s="674">
        <v>753.33327509266121</v>
      </c>
      <c r="AW128" s="40">
        <v>99</v>
      </c>
      <c r="AX128" s="55">
        <v>-654.33327509266121</v>
      </c>
      <c r="AY128" s="674">
        <v>883.40554206967045</v>
      </c>
      <c r="AZ128" s="40">
        <v>0</v>
      </c>
      <c r="BA128" s="35">
        <v>-883.40554206967045</v>
      </c>
      <c r="BB128" s="674">
        <v>257.51018174356949</v>
      </c>
      <c r="BC128" s="40">
        <v>0</v>
      </c>
      <c r="BD128" s="55">
        <v>-257.51018174356949</v>
      </c>
      <c r="BE128" s="674">
        <v>0</v>
      </c>
      <c r="BF128" s="40">
        <v>0</v>
      </c>
      <c r="BG128" s="38">
        <v>0</v>
      </c>
      <c r="BH128" s="674">
        <v>0</v>
      </c>
      <c r="BI128" s="40">
        <v>0</v>
      </c>
      <c r="BJ128" s="55">
        <v>0</v>
      </c>
      <c r="BK128" s="674">
        <v>298.11053063330093</v>
      </c>
      <c r="BL128" s="40">
        <v>0</v>
      </c>
      <c r="BM128" s="38">
        <v>-298.11053063330093</v>
      </c>
      <c r="BN128" s="674">
        <v>18.789000000000001</v>
      </c>
      <c r="BO128" s="40">
        <v>0</v>
      </c>
      <c r="BP128" s="55">
        <v>-18.789000000000001</v>
      </c>
      <c r="BQ128" s="77">
        <v>2211.1485295392022</v>
      </c>
      <c r="BR128" s="40">
        <v>99</v>
      </c>
      <c r="BS128" s="55">
        <v>-2112.1485295392022</v>
      </c>
      <c r="BT128" s="674">
        <v>6848.2228588865673</v>
      </c>
      <c r="BU128" s="40">
        <v>6620.9003923826749</v>
      </c>
      <c r="BV128" s="52">
        <v>-227.32246650389243</v>
      </c>
      <c r="BW128" s="674">
        <v>4301.0723283551661</v>
      </c>
      <c r="BX128" s="40">
        <v>4125.6984741399647</v>
      </c>
      <c r="BY128" s="52">
        <v>-175.37385421520139</v>
      </c>
      <c r="BZ128" s="674">
        <v>1900.7651574738343</v>
      </c>
      <c r="CA128" s="40">
        <v>1788.0377156027557</v>
      </c>
      <c r="CB128" s="52">
        <v>-112.72744187107855</v>
      </c>
      <c r="CC128" s="674">
        <v>0</v>
      </c>
      <c r="CD128" s="40">
        <v>0</v>
      </c>
      <c r="CE128" s="52">
        <v>0</v>
      </c>
      <c r="CF128" s="674">
        <v>0</v>
      </c>
      <c r="CG128" s="40">
        <v>0</v>
      </c>
      <c r="CH128" s="52">
        <v>0</v>
      </c>
      <c r="CI128" s="674">
        <v>1337.860791217058</v>
      </c>
      <c r="CJ128" s="40">
        <v>1515.0901590033541</v>
      </c>
      <c r="CK128" s="52">
        <v>177.22936778629605</v>
      </c>
      <c r="CL128" s="674">
        <v>0</v>
      </c>
      <c r="CM128" s="40">
        <v>0</v>
      </c>
      <c r="CN128" s="52">
        <v>0</v>
      </c>
      <c r="CO128" s="39">
        <v>1337.860791217058</v>
      </c>
      <c r="CP128" s="40">
        <v>1515.0901590033541</v>
      </c>
      <c r="CQ128" s="52">
        <v>177.22936778629605</v>
      </c>
      <c r="CR128" s="72">
        <v>33735.753587110441</v>
      </c>
      <c r="CS128" s="5">
        <v>31522.227152700874</v>
      </c>
      <c r="CT128" s="52">
        <v>-2213.5264344095667</v>
      </c>
      <c r="CU128" s="77">
        <v>40482.904304532531</v>
      </c>
      <c r="CV128" s="65">
        <v>37826.672583241045</v>
      </c>
      <c r="CW128" s="35">
        <v>-2656.2317212914859</v>
      </c>
      <c r="CX128" s="73">
        <v>1223.7285677798375</v>
      </c>
      <c r="CY128" s="40">
        <v>3879.9602890713186</v>
      </c>
      <c r="CZ128" s="52">
        <v>2656.2317212914813</v>
      </c>
      <c r="DA128" s="150">
        <v>-13319.324995686631</v>
      </c>
      <c r="DB128" s="2">
        <v>2</v>
      </c>
      <c r="DC128" s="675">
        <v>5478.73</v>
      </c>
      <c r="DD128" s="675">
        <v>0</v>
      </c>
      <c r="DE128" s="675">
        <v>1816.6885811536872</v>
      </c>
      <c r="DF128" s="675">
        <v>0</v>
      </c>
      <c r="DG128" s="321">
        <v>-10663.093274395149</v>
      </c>
      <c r="DH128" s="40">
        <v>41703.492154898857</v>
      </c>
      <c r="DI128" s="422">
        <v>3662.0414188463128</v>
      </c>
      <c r="DJ128" s="306">
        <v>5.8471042932241941</v>
      </c>
      <c r="DK128" s="306">
        <v>5.8471042932241941</v>
      </c>
      <c r="DL128" s="306">
        <v>5.1320407658629588</v>
      </c>
      <c r="DM128" s="28">
        <v>3662.0414188463124</v>
      </c>
      <c r="DN128" s="28">
        <v>0</v>
      </c>
      <c r="DO128" s="423">
        <v>3662.0414188463124</v>
      </c>
      <c r="DP128" s="94">
        <v>0</v>
      </c>
      <c r="DQ128" s="28">
        <v>3662.0414188463124</v>
      </c>
      <c r="DR128" s="318"/>
      <c r="DT128" s="8"/>
      <c r="DU128" s="5"/>
      <c r="DX128" s="5">
        <v>12989.41613038027</v>
      </c>
      <c r="DY128" s="5">
        <v>10283.987999999999</v>
      </c>
      <c r="DZ128" s="159">
        <v>1132.6399778163088</v>
      </c>
      <c r="EB128" s="676">
        <v>1613.0243911797038</v>
      </c>
      <c r="EC128" s="676">
        <v>-654.04674584242048</v>
      </c>
      <c r="ED128" s="676">
        <v>-819.5385806065176</v>
      </c>
      <c r="EE128" s="676">
        <v>-1467.5157589126293</v>
      </c>
      <c r="EF128" s="676">
        <v>2719.7500051373891</v>
      </c>
      <c r="EG128" s="676">
        <v>-1679.8505016612075</v>
      </c>
      <c r="EH128" s="676">
        <v>-815.39967054661747</v>
      </c>
      <c r="EI128" s="676">
        <v>-1262.6251860284324</v>
      </c>
      <c r="EJ128" s="676">
        <v>3669.558347424665</v>
      </c>
      <c r="EK128" s="676">
        <v>-1189.0268752725465</v>
      </c>
      <c r="EL128" s="676">
        <v>-1315.3774714611927</v>
      </c>
      <c r="EM128" s="676">
        <v>-1455.1836747016755</v>
      </c>
      <c r="EN128" s="676">
        <v>-2656.2317212914813</v>
      </c>
      <c r="EQ128" s="5">
        <v>12989.41613038027</v>
      </c>
      <c r="ER128" s="5">
        <v>10283.987999999999</v>
      </c>
      <c r="ET128" s="318">
        <v>-9393.2194954105944</v>
      </c>
      <c r="EU128" s="5">
        <v>-8027.8737789845545</v>
      </c>
    </row>
    <row r="129" spans="1:151" x14ac:dyDescent="0.3">
      <c r="A129" s="325">
        <v>150000615</v>
      </c>
      <c r="B129" s="41" t="s">
        <v>578</v>
      </c>
      <c r="C129" s="42" t="s">
        <v>257</v>
      </c>
      <c r="D129" s="27">
        <v>5</v>
      </c>
      <c r="E129" s="293">
        <v>2636.9100000000003</v>
      </c>
      <c r="F129" s="305">
        <v>2504.61</v>
      </c>
      <c r="G129" s="508">
        <v>0</v>
      </c>
      <c r="H129" s="677">
        <v>132.30000000000001</v>
      </c>
      <c r="I129" s="674">
        <v>8831.7146859654404</v>
      </c>
      <c r="J129" s="40">
        <v>9671.3644796308981</v>
      </c>
      <c r="K129" s="52">
        <v>839.64979366545776</v>
      </c>
      <c r="L129" s="674">
        <v>1697.6092796449923</v>
      </c>
      <c r="M129" s="40">
        <v>1858.0984009705082</v>
      </c>
      <c r="N129" s="52">
        <v>160.48912132551595</v>
      </c>
      <c r="O129" s="674">
        <v>3498.8949131238005</v>
      </c>
      <c r="P129" s="40">
        <v>3498.9000000000005</v>
      </c>
      <c r="Q129" s="52">
        <v>5.0868762000391143E-3</v>
      </c>
      <c r="R129" s="674">
        <v>0</v>
      </c>
      <c r="S129" s="40">
        <v>0</v>
      </c>
      <c r="T129" s="52">
        <v>0</v>
      </c>
      <c r="U129" s="674">
        <v>0</v>
      </c>
      <c r="V129" s="40">
        <v>0</v>
      </c>
      <c r="W129" s="52">
        <v>0</v>
      </c>
      <c r="X129" s="674">
        <v>4628.9743355961064</v>
      </c>
      <c r="Y129" s="40">
        <v>3422.454230698489</v>
      </c>
      <c r="Z129" s="52">
        <v>-1206.5201048976173</v>
      </c>
      <c r="AA129" s="674">
        <v>316.45320000000004</v>
      </c>
      <c r="AB129" s="40">
        <v>0</v>
      </c>
      <c r="AC129" s="52">
        <v>-316.45320000000004</v>
      </c>
      <c r="AD129" s="674">
        <v>11298.106313346074</v>
      </c>
      <c r="AE129" s="40">
        <v>11203.497112676632</v>
      </c>
      <c r="AF129" s="35">
        <v>-94.609200669441634</v>
      </c>
      <c r="AG129" s="77">
        <v>30271.752727676412</v>
      </c>
      <c r="AH129" s="53">
        <v>29654.314223976526</v>
      </c>
      <c r="AI129" s="52">
        <v>-617.4385036998865</v>
      </c>
      <c r="AJ129" s="674">
        <v>0</v>
      </c>
      <c r="AK129" s="40">
        <v>0</v>
      </c>
      <c r="AL129" s="52">
        <v>0</v>
      </c>
      <c r="AM129" s="674">
        <v>0</v>
      </c>
      <c r="AN129" s="40">
        <v>0</v>
      </c>
      <c r="AO129" s="52">
        <v>0</v>
      </c>
      <c r="AP129" s="674">
        <v>7959.3977922065978</v>
      </c>
      <c r="AQ129" s="40">
        <v>5865.1867018259773</v>
      </c>
      <c r="AR129" s="52">
        <v>-2094.2110903806206</v>
      </c>
      <c r="AS129" s="674">
        <v>19013.763523907412</v>
      </c>
      <c r="AT129" s="40">
        <v>10984.49</v>
      </c>
      <c r="AU129" s="54">
        <v>-8029.2735239074118</v>
      </c>
      <c r="AV129" s="674">
        <v>1960.0674614587988</v>
      </c>
      <c r="AW129" s="40">
        <v>0</v>
      </c>
      <c r="AX129" s="55">
        <v>-1960.0674614587988</v>
      </c>
      <c r="AY129" s="674">
        <v>2782.6919543005465</v>
      </c>
      <c r="AZ129" s="40">
        <v>1730</v>
      </c>
      <c r="BA129" s="35">
        <v>-1052.6919543005465</v>
      </c>
      <c r="BB129" s="674">
        <v>1661.1348954652037</v>
      </c>
      <c r="BC129" s="40">
        <v>490</v>
      </c>
      <c r="BD129" s="55">
        <v>-1171.1348954652037</v>
      </c>
      <c r="BE129" s="674">
        <v>0</v>
      </c>
      <c r="BF129" s="40">
        <v>0</v>
      </c>
      <c r="BG129" s="38">
        <v>0</v>
      </c>
      <c r="BH129" s="674">
        <v>0</v>
      </c>
      <c r="BI129" s="40">
        <v>0</v>
      </c>
      <c r="BJ129" s="55">
        <v>0</v>
      </c>
      <c r="BK129" s="674">
        <v>1010.6611974543408</v>
      </c>
      <c r="BL129" s="40">
        <v>0</v>
      </c>
      <c r="BM129" s="38">
        <v>-1010.6611974543408</v>
      </c>
      <c r="BN129" s="674">
        <v>79.11330000000001</v>
      </c>
      <c r="BO129" s="40">
        <v>0</v>
      </c>
      <c r="BP129" s="55">
        <v>-79.11330000000001</v>
      </c>
      <c r="BQ129" s="77">
        <v>7493.6688086788899</v>
      </c>
      <c r="BR129" s="40">
        <v>2220</v>
      </c>
      <c r="BS129" s="55">
        <v>-5273.6688086788899</v>
      </c>
      <c r="BT129" s="674">
        <v>53998.252045536719</v>
      </c>
      <c r="BU129" s="40">
        <v>55798.263484139126</v>
      </c>
      <c r="BV129" s="52">
        <v>1800.011438602407</v>
      </c>
      <c r="BW129" s="674">
        <v>11472.2954951712</v>
      </c>
      <c r="BX129" s="40">
        <v>10136.561698190631</v>
      </c>
      <c r="BY129" s="52">
        <v>-1335.7337969805685</v>
      </c>
      <c r="BZ129" s="674">
        <v>18846.107567824365</v>
      </c>
      <c r="CA129" s="40">
        <v>14870.666727038435</v>
      </c>
      <c r="CB129" s="52">
        <v>-3975.44084078593</v>
      </c>
      <c r="CC129" s="674">
        <v>725.31336272377087</v>
      </c>
      <c r="CD129" s="40">
        <v>762.3196187949502</v>
      </c>
      <c r="CE129" s="52">
        <v>37.006256071179337</v>
      </c>
      <c r="CF129" s="674">
        <v>88.648280901576939</v>
      </c>
      <c r="CG129" s="40">
        <v>0</v>
      </c>
      <c r="CH129" s="52">
        <v>-88.648280901576939</v>
      </c>
      <c r="CI129" s="674">
        <v>2741.0090069025391</v>
      </c>
      <c r="CJ129" s="40">
        <v>2573.7717393125336</v>
      </c>
      <c r="CK129" s="52">
        <v>-167.23726759000556</v>
      </c>
      <c r="CL129" s="674">
        <v>0</v>
      </c>
      <c r="CM129" s="40">
        <v>0</v>
      </c>
      <c r="CN129" s="52">
        <v>0</v>
      </c>
      <c r="CO129" s="39">
        <v>2741.0090069025391</v>
      </c>
      <c r="CP129" s="40">
        <v>2573.7717393125336</v>
      </c>
      <c r="CQ129" s="52">
        <v>-167.23726759000556</v>
      </c>
      <c r="CR129" s="72">
        <v>152610.2086115295</v>
      </c>
      <c r="CS129" s="5">
        <v>132865.57419327818</v>
      </c>
      <c r="CT129" s="52">
        <v>-19744.634418251313</v>
      </c>
      <c r="CU129" s="77">
        <v>183132.2503338354</v>
      </c>
      <c r="CV129" s="65">
        <v>159438.68903193381</v>
      </c>
      <c r="CW129" s="35">
        <v>-23693.561301901587</v>
      </c>
      <c r="CX129" s="73">
        <v>1863.2903387609513</v>
      </c>
      <c r="CY129" s="40">
        <v>25556.851640662484</v>
      </c>
      <c r="CZ129" s="52">
        <v>23693.561301901533</v>
      </c>
      <c r="DA129" s="150">
        <v>-7242.4160493973031</v>
      </c>
      <c r="DB129" s="2">
        <v>2</v>
      </c>
      <c r="DC129" s="675">
        <v>41297.599999999999</v>
      </c>
      <c r="DD129" s="675">
        <v>1551.13</v>
      </c>
      <c r="DE129" s="675">
        <v>25807.542032611669</v>
      </c>
      <c r="DF129" s="675">
        <v>799.82046845384639</v>
      </c>
      <c r="DG129" s="321">
        <v>16451.145252504233</v>
      </c>
      <c r="DH129" s="40">
        <v>184981.60272344155</v>
      </c>
      <c r="DI129" s="422">
        <v>16241.367498934484</v>
      </c>
      <c r="DJ129" s="306">
        <v>6.184618749980368</v>
      </c>
      <c r="DK129" s="306">
        <v>6.184618749980368</v>
      </c>
      <c r="DL129" s="306">
        <v>5.6788324379905797</v>
      </c>
      <c r="DM129" s="28">
        <v>15490.057967388329</v>
      </c>
      <c r="DN129" s="28">
        <v>751.30953154615372</v>
      </c>
      <c r="DO129" s="423">
        <v>16241.367498934484</v>
      </c>
      <c r="DP129" s="94">
        <v>0</v>
      </c>
      <c r="DQ129" s="28">
        <v>16241.367498934484</v>
      </c>
      <c r="DR129" s="318"/>
      <c r="DT129" s="8"/>
      <c r="DU129" s="5"/>
      <c r="DX129" s="5">
        <v>31808.918799103558</v>
      </c>
      <c r="DY129" s="5">
        <v>15845.387999999999</v>
      </c>
      <c r="DZ129" s="159">
        <v>2698.5073142634265</v>
      </c>
      <c r="EB129" s="676">
        <v>1481.5994921725396</v>
      </c>
      <c r="EC129" s="676">
        <v>4086.3350252939581</v>
      </c>
      <c r="ED129" s="676">
        <v>-5473.4114148825875</v>
      </c>
      <c r="EE129" s="676">
        <v>250.08082777853997</v>
      </c>
      <c r="EF129" s="676">
        <v>-4098.952535503704</v>
      </c>
      <c r="EG129" s="676">
        <v>-928.08070745765326</v>
      </c>
      <c r="EH129" s="676">
        <v>-4940.1386798301737</v>
      </c>
      <c r="EI129" s="676">
        <v>-3851.3995268797989</v>
      </c>
      <c r="EJ129" s="676">
        <v>-971.40178189070139</v>
      </c>
      <c r="EK129" s="676">
        <v>-2098.1714389882509</v>
      </c>
      <c r="EL129" s="676">
        <v>-2906.3313251058862</v>
      </c>
      <c r="EM129" s="676">
        <v>-4243.6892366078155</v>
      </c>
      <c r="EN129" s="676">
        <v>-23693.561301901536</v>
      </c>
      <c r="EQ129" s="5">
        <v>31808.918799103558</v>
      </c>
      <c r="ER129" s="5">
        <v>15845.387999999999</v>
      </c>
      <c r="ET129" s="318">
        <v>-27879.070043206953</v>
      </c>
      <c r="EU129" s="5">
        <v>-15451.784704288817</v>
      </c>
    </row>
    <row r="130" spans="1:151" x14ac:dyDescent="0.3">
      <c r="A130" s="325">
        <v>150000616</v>
      </c>
      <c r="B130" s="41" t="s">
        <v>579</v>
      </c>
      <c r="C130" s="42" t="s">
        <v>258</v>
      </c>
      <c r="D130" s="27">
        <v>5</v>
      </c>
      <c r="E130" s="293">
        <v>1804.3</v>
      </c>
      <c r="F130" s="305">
        <v>1804.3</v>
      </c>
      <c r="G130" s="508">
        <v>0</v>
      </c>
      <c r="H130" s="677">
        <v>0</v>
      </c>
      <c r="I130" s="674">
        <v>5959.9448004555597</v>
      </c>
      <c r="J130" s="40">
        <v>6534.3684264341209</v>
      </c>
      <c r="K130" s="52">
        <v>574.42362597856118</v>
      </c>
      <c r="L130" s="674">
        <v>1146.4840214668025</v>
      </c>
      <c r="M130" s="40">
        <v>1254.8705395739771</v>
      </c>
      <c r="N130" s="52">
        <v>108.38651810717465</v>
      </c>
      <c r="O130" s="674">
        <v>2342.25102900103</v>
      </c>
      <c r="P130" s="40">
        <v>2342.25</v>
      </c>
      <c r="Q130" s="52">
        <v>-1.0290010300195718E-3</v>
      </c>
      <c r="R130" s="674">
        <v>0</v>
      </c>
      <c r="S130" s="40">
        <v>0</v>
      </c>
      <c r="T130" s="52">
        <v>0</v>
      </c>
      <c r="U130" s="674">
        <v>0</v>
      </c>
      <c r="V130" s="40">
        <v>0</v>
      </c>
      <c r="W130" s="52">
        <v>0</v>
      </c>
      <c r="X130" s="674">
        <v>3039.5170991088034</v>
      </c>
      <c r="Y130" s="40">
        <v>2326.0244020064169</v>
      </c>
      <c r="Z130" s="52">
        <v>-713.4926971023865</v>
      </c>
      <c r="AA130" s="674">
        <v>227.13600000000002</v>
      </c>
      <c r="AB130" s="40">
        <v>0</v>
      </c>
      <c r="AC130" s="52">
        <v>-227.13600000000002</v>
      </c>
      <c r="AD130" s="674">
        <v>7826.2933085088225</v>
      </c>
      <c r="AE130" s="40">
        <v>7793.3783768423582</v>
      </c>
      <c r="AF130" s="35">
        <v>-32.914931666464327</v>
      </c>
      <c r="AG130" s="77">
        <v>20541.626258541019</v>
      </c>
      <c r="AH130" s="53">
        <v>20250.891744856875</v>
      </c>
      <c r="AI130" s="52">
        <v>-290.73451368414317</v>
      </c>
      <c r="AJ130" s="674">
        <v>0</v>
      </c>
      <c r="AK130" s="40">
        <v>0</v>
      </c>
      <c r="AL130" s="52">
        <v>0</v>
      </c>
      <c r="AM130" s="674">
        <v>0</v>
      </c>
      <c r="AN130" s="40">
        <v>0</v>
      </c>
      <c r="AO130" s="52">
        <v>0</v>
      </c>
      <c r="AP130" s="674">
        <v>4991.4867510448184</v>
      </c>
      <c r="AQ130" s="40">
        <v>3699.732976540161</v>
      </c>
      <c r="AR130" s="52">
        <v>-1291.7537745046575</v>
      </c>
      <c r="AS130" s="674">
        <v>17416.577226059675</v>
      </c>
      <c r="AT130" s="40">
        <v>10245.152949125204</v>
      </c>
      <c r="AU130" s="54">
        <v>-7171.424276934471</v>
      </c>
      <c r="AV130" s="674">
        <v>1357.9652886633385</v>
      </c>
      <c r="AW130" s="40">
        <v>4960</v>
      </c>
      <c r="AX130" s="55">
        <v>3602.0347113366615</v>
      </c>
      <c r="AY130" s="674">
        <v>1879.5256069500886</v>
      </c>
      <c r="AZ130" s="40">
        <v>0</v>
      </c>
      <c r="BA130" s="35">
        <v>-1879.5256069500886</v>
      </c>
      <c r="BB130" s="674">
        <v>1251.9238819437342</v>
      </c>
      <c r="BC130" s="40">
        <v>0</v>
      </c>
      <c r="BD130" s="55">
        <v>-1251.9238819437342</v>
      </c>
      <c r="BE130" s="674">
        <v>0</v>
      </c>
      <c r="BF130" s="40">
        <v>0</v>
      </c>
      <c r="BG130" s="38">
        <v>0</v>
      </c>
      <c r="BH130" s="674">
        <v>0</v>
      </c>
      <c r="BI130" s="40">
        <v>0</v>
      </c>
      <c r="BJ130" s="55">
        <v>0</v>
      </c>
      <c r="BK130" s="674">
        <v>596.81720529775157</v>
      </c>
      <c r="BL130" s="40">
        <v>995</v>
      </c>
      <c r="BM130" s="38">
        <v>398.18279470224843</v>
      </c>
      <c r="BN130" s="674">
        <v>56.784000000000006</v>
      </c>
      <c r="BO130" s="40">
        <v>0</v>
      </c>
      <c r="BP130" s="55">
        <v>-56.784000000000006</v>
      </c>
      <c r="BQ130" s="77">
        <v>5143.0159828549122</v>
      </c>
      <c r="BR130" s="40">
        <v>5955</v>
      </c>
      <c r="BS130" s="55">
        <v>811.98401714508782</v>
      </c>
      <c r="BT130" s="674">
        <v>18943.18138354646</v>
      </c>
      <c r="BU130" s="40">
        <v>22307.978950032742</v>
      </c>
      <c r="BV130" s="52">
        <v>3364.7975664862824</v>
      </c>
      <c r="BW130" s="674">
        <v>7399.7427515342551</v>
      </c>
      <c r="BX130" s="40">
        <v>6798.1834986265167</v>
      </c>
      <c r="BY130" s="52">
        <v>-601.55925290773848</v>
      </c>
      <c r="BZ130" s="674">
        <v>6571.8598493955351</v>
      </c>
      <c r="CA130" s="40">
        <v>5281.2756846924858</v>
      </c>
      <c r="CB130" s="52">
        <v>-1290.5841647030493</v>
      </c>
      <c r="CC130" s="674">
        <v>583.58546426050543</v>
      </c>
      <c r="CD130" s="40">
        <v>613.36061282352296</v>
      </c>
      <c r="CE130" s="52">
        <v>29.775148563017524</v>
      </c>
      <c r="CF130" s="674">
        <v>71.326203024257282</v>
      </c>
      <c r="CG130" s="40">
        <v>0</v>
      </c>
      <c r="CH130" s="52">
        <v>-71.326203024257282</v>
      </c>
      <c r="CI130" s="674">
        <v>2168.8790502618117</v>
      </c>
      <c r="CJ130" s="40">
        <v>1134.9544745671071</v>
      </c>
      <c r="CK130" s="52">
        <v>-1033.9245756947046</v>
      </c>
      <c r="CL130" s="674">
        <v>0</v>
      </c>
      <c r="CM130" s="40">
        <v>0</v>
      </c>
      <c r="CN130" s="52">
        <v>0</v>
      </c>
      <c r="CO130" s="39">
        <v>2168.8790502618117</v>
      </c>
      <c r="CP130" s="40">
        <v>1134.9544745671071</v>
      </c>
      <c r="CQ130" s="52">
        <v>-1033.9245756947046</v>
      </c>
      <c r="CR130" s="72">
        <v>83831.280920523262</v>
      </c>
      <c r="CS130" s="5">
        <v>76286.530891264614</v>
      </c>
      <c r="CT130" s="52">
        <v>-7544.7500292586483</v>
      </c>
      <c r="CU130" s="77">
        <v>100597.53710462792</v>
      </c>
      <c r="CV130" s="65">
        <v>91543.83706951754</v>
      </c>
      <c r="CW130" s="35">
        <v>-9053.7000351103779</v>
      </c>
      <c r="CX130" s="73">
        <v>2667.5276335661274</v>
      </c>
      <c r="CY130" s="40">
        <v>11721.227668676485</v>
      </c>
      <c r="CZ130" s="52">
        <v>9053.7000351103579</v>
      </c>
      <c r="DA130" s="150">
        <v>33213.53060561524</v>
      </c>
      <c r="DB130" s="2">
        <v>2</v>
      </c>
      <c r="DC130" s="675">
        <v>22338.28</v>
      </c>
      <c r="DD130" s="675">
        <v>673.07</v>
      </c>
      <c r="DE130" s="675">
        <v>13380.15528994327</v>
      </c>
      <c r="DF130" s="675">
        <v>673.07</v>
      </c>
      <c r="DG130" s="321">
        <v>42267.230640725604</v>
      </c>
      <c r="DH130" s="40">
        <v>103256.93604268518</v>
      </c>
      <c r="DI130" s="422">
        <v>8958.1247100567289</v>
      </c>
      <c r="DJ130" s="306">
        <v>4.9648754143195308</v>
      </c>
      <c r="DK130" s="306">
        <v>4.9648754143195308</v>
      </c>
      <c r="DL130" s="306">
        <v>4.5022507776612253</v>
      </c>
      <c r="DM130" s="28">
        <v>8958.1247100567289</v>
      </c>
      <c r="DN130" s="28">
        <v>0</v>
      </c>
      <c r="DO130" s="423">
        <v>8958.1247100567289</v>
      </c>
      <c r="DP130" s="94">
        <v>0</v>
      </c>
      <c r="DQ130" s="28">
        <v>8958.1247100567289</v>
      </c>
      <c r="DR130" s="318"/>
      <c r="DT130" s="8"/>
      <c r="DU130" s="5"/>
      <c r="DX130" s="5">
        <v>27071.511850697501</v>
      </c>
      <c r="DY130" s="5">
        <v>19440.183538950245</v>
      </c>
      <c r="DZ130" s="159">
        <v>2443.6136716170181</v>
      </c>
      <c r="EB130" s="676">
        <v>-1357.9181235008182</v>
      </c>
      <c r="EC130" s="676">
        <v>1143.8011796885676</v>
      </c>
      <c r="ED130" s="676">
        <v>8379.1087602884891</v>
      </c>
      <c r="EE130" s="676">
        <v>3247.3977610946386</v>
      </c>
      <c r="EF130" s="676">
        <v>-3046.1578473000591</v>
      </c>
      <c r="EG130" s="676">
        <v>-3771.4606035787792</v>
      </c>
      <c r="EH130" s="676">
        <v>-2740.8066384980884</v>
      </c>
      <c r="EI130" s="676">
        <v>-1682.2487776490061</v>
      </c>
      <c r="EJ130" s="676">
        <v>-2381.4580526324189</v>
      </c>
      <c r="EK130" s="676">
        <v>-1293.0219492039596</v>
      </c>
      <c r="EL130" s="676">
        <v>-2324.6200159732252</v>
      </c>
      <c r="EM130" s="676">
        <v>-3226.3157278457038</v>
      </c>
      <c r="EN130" s="676">
        <v>-9053.7000351103634</v>
      </c>
      <c r="EQ130" s="5">
        <v>27071.511850697501</v>
      </c>
      <c r="ER130" s="5">
        <v>19440.183538950245</v>
      </c>
      <c r="ET130" s="318">
        <v>-20603.216040219504</v>
      </c>
      <c r="EU130" s="5">
        <v>51647.446680945104</v>
      </c>
    </row>
    <row r="131" spans="1:151" x14ac:dyDescent="0.3">
      <c r="A131" s="325">
        <v>150000618</v>
      </c>
      <c r="B131" s="41" t="s">
        <v>580</v>
      </c>
      <c r="C131" s="42" t="s">
        <v>417</v>
      </c>
      <c r="D131" s="27">
        <v>10</v>
      </c>
      <c r="E131" s="293">
        <v>2744.2</v>
      </c>
      <c r="F131" s="305">
        <v>2744.2</v>
      </c>
      <c r="G131" s="508">
        <v>271.5</v>
      </c>
      <c r="H131" s="677">
        <v>0</v>
      </c>
      <c r="I131" s="674">
        <v>7932.8611188960849</v>
      </c>
      <c r="J131" s="40">
        <v>8761.1792840911439</v>
      </c>
      <c r="K131" s="52">
        <v>828.31816519505901</v>
      </c>
      <c r="L131" s="674">
        <v>1253.9993511618404</v>
      </c>
      <c r="M131" s="40">
        <v>1372.5395046174763</v>
      </c>
      <c r="N131" s="52">
        <v>118.54015345563585</v>
      </c>
      <c r="O131" s="674">
        <v>3877.3695887374242</v>
      </c>
      <c r="P131" s="40">
        <v>3877.3799999999992</v>
      </c>
      <c r="Q131" s="52">
        <v>1.0411262574962166E-2</v>
      </c>
      <c r="R131" s="674">
        <v>797.99868338738997</v>
      </c>
      <c r="S131" s="40">
        <v>798</v>
      </c>
      <c r="T131" s="52">
        <v>1.3166126100259135E-3</v>
      </c>
      <c r="U131" s="674">
        <v>381.93656206398907</v>
      </c>
      <c r="V131" s="40">
        <v>1329.9426781730567</v>
      </c>
      <c r="W131" s="52">
        <v>948.00611610906765</v>
      </c>
      <c r="X131" s="674">
        <v>3399.0613532474408</v>
      </c>
      <c r="Y131" s="40">
        <v>2369.7372729437766</v>
      </c>
      <c r="Z131" s="52">
        <v>-1029.3240803036642</v>
      </c>
      <c r="AA131" s="674">
        <v>329.30399999999997</v>
      </c>
      <c r="AB131" s="40">
        <v>0</v>
      </c>
      <c r="AC131" s="52">
        <v>-329.30399999999997</v>
      </c>
      <c r="AD131" s="674">
        <v>11765.783101969391</v>
      </c>
      <c r="AE131" s="40">
        <v>11659.342479116543</v>
      </c>
      <c r="AF131" s="35">
        <v>-106.44062285284781</v>
      </c>
      <c r="AG131" s="77">
        <v>29738.313759463563</v>
      </c>
      <c r="AH131" s="53">
        <v>30168.121218941997</v>
      </c>
      <c r="AI131" s="52">
        <v>429.80745947843388</v>
      </c>
      <c r="AJ131" s="674">
        <v>16503.842069727376</v>
      </c>
      <c r="AK131" s="40">
        <v>16395.412563690243</v>
      </c>
      <c r="AL131" s="52">
        <v>-108.42950603713325</v>
      </c>
      <c r="AM131" s="674">
        <v>0</v>
      </c>
      <c r="AN131" s="40">
        <v>0</v>
      </c>
      <c r="AO131" s="52">
        <v>0</v>
      </c>
      <c r="AP131" s="674">
        <v>1798.7339643404748</v>
      </c>
      <c r="AQ131" s="40">
        <v>1494.8951048951049</v>
      </c>
      <c r="AR131" s="52">
        <v>-303.83885944536996</v>
      </c>
      <c r="AS131" s="674">
        <v>34505.449733285575</v>
      </c>
      <c r="AT131" s="40">
        <v>7443</v>
      </c>
      <c r="AU131" s="54">
        <v>-27062.449733285575</v>
      </c>
      <c r="AV131" s="674">
        <v>1210.2006894329782</v>
      </c>
      <c r="AW131" s="40">
        <v>1108</v>
      </c>
      <c r="AX131" s="55">
        <v>-102.20068943297815</v>
      </c>
      <c r="AY131" s="674">
        <v>1465.4330197301776</v>
      </c>
      <c r="AZ131" s="40">
        <v>0</v>
      </c>
      <c r="BA131" s="35">
        <v>-1465.4330197301776</v>
      </c>
      <c r="BB131" s="674">
        <v>1123.0502833436212</v>
      </c>
      <c r="BC131" s="40">
        <v>0</v>
      </c>
      <c r="BD131" s="55">
        <v>-1123.0502833436212</v>
      </c>
      <c r="BE131" s="674">
        <v>1025.4007576749066</v>
      </c>
      <c r="BF131" s="40">
        <v>0</v>
      </c>
      <c r="BG131" s="38">
        <v>-1025.4007576749066</v>
      </c>
      <c r="BH131" s="674">
        <v>493.31729299915651</v>
      </c>
      <c r="BI131" s="40">
        <v>0</v>
      </c>
      <c r="BJ131" s="55">
        <v>-493.31729299915651</v>
      </c>
      <c r="BK131" s="674">
        <v>726.84053568116178</v>
      </c>
      <c r="BL131" s="40">
        <v>142</v>
      </c>
      <c r="BM131" s="38">
        <v>-584.84053568116178</v>
      </c>
      <c r="BN131" s="674">
        <v>82.325999999999993</v>
      </c>
      <c r="BO131" s="40">
        <v>0</v>
      </c>
      <c r="BP131" s="55">
        <v>-82.325999999999993</v>
      </c>
      <c r="BQ131" s="77">
        <v>6126.5685788620021</v>
      </c>
      <c r="BR131" s="40">
        <v>1250</v>
      </c>
      <c r="BS131" s="55">
        <v>-4876.5685788620021</v>
      </c>
      <c r="BT131" s="674">
        <v>34633.562115883004</v>
      </c>
      <c r="BU131" s="40">
        <v>31407.652307798879</v>
      </c>
      <c r="BV131" s="52">
        <v>-3225.909808084125</v>
      </c>
      <c r="BW131" s="674">
        <v>27410.079592032012</v>
      </c>
      <c r="BX131" s="40">
        <v>24939.187400598221</v>
      </c>
      <c r="BY131" s="52">
        <v>-2470.8921914337916</v>
      </c>
      <c r="BZ131" s="674">
        <v>4255.0790708590066</v>
      </c>
      <c r="CA131" s="40">
        <v>7772.6942460800519</v>
      </c>
      <c r="CB131" s="52">
        <v>3517.6151752210453</v>
      </c>
      <c r="CC131" s="674">
        <v>604.1263951179485</v>
      </c>
      <c r="CD131" s="40">
        <v>630.88520176133795</v>
      </c>
      <c r="CE131" s="52">
        <v>26.758806643389448</v>
      </c>
      <c r="CF131" s="674">
        <v>73.364094539236078</v>
      </c>
      <c r="CG131" s="40">
        <v>0</v>
      </c>
      <c r="CH131" s="52">
        <v>-73.364094539236078</v>
      </c>
      <c r="CI131" s="674">
        <v>7207.022632418204</v>
      </c>
      <c r="CJ131" s="40">
        <v>5859.0121896947157</v>
      </c>
      <c r="CK131" s="52">
        <v>-1348.0104427234883</v>
      </c>
      <c r="CL131" s="674">
        <v>4621.399364074844</v>
      </c>
      <c r="CM131" s="40">
        <v>4651.0000855456328</v>
      </c>
      <c r="CN131" s="52">
        <v>29.600721470788812</v>
      </c>
      <c r="CO131" s="39">
        <v>11828.421996493049</v>
      </c>
      <c r="CP131" s="40">
        <v>10510.012275240348</v>
      </c>
      <c r="CQ131" s="52">
        <v>-1318.4097212527013</v>
      </c>
      <c r="CR131" s="72">
        <v>167477.54137060326</v>
      </c>
      <c r="CS131" s="5">
        <v>132011.86031900617</v>
      </c>
      <c r="CT131" s="52">
        <v>-35465.681051597086</v>
      </c>
      <c r="CU131" s="77">
        <v>200973.04964472391</v>
      </c>
      <c r="CV131" s="65">
        <v>158414.23238280739</v>
      </c>
      <c r="CW131" s="35">
        <v>-42558.817261916527</v>
      </c>
      <c r="CX131" s="73">
        <v>4471.2774377811847</v>
      </c>
      <c r="CY131" s="40">
        <v>47030.0946996977</v>
      </c>
      <c r="CZ131" s="52">
        <v>42558.817261916513</v>
      </c>
      <c r="DA131" s="150">
        <v>-9085.4024416805114</v>
      </c>
      <c r="DB131" s="2">
        <v>2</v>
      </c>
      <c r="DC131" s="675">
        <v>26119.279999999999</v>
      </c>
      <c r="DD131" s="675">
        <v>0</v>
      </c>
      <c r="DE131" s="675">
        <v>8092.8959891775448</v>
      </c>
      <c r="DF131" s="675">
        <v>0</v>
      </c>
      <c r="DG131" s="321">
        <v>33473.414820235994</v>
      </c>
      <c r="DH131" s="40">
        <v>205428.81536126073</v>
      </c>
      <c r="DI131" s="422">
        <v>18026.384010822458</v>
      </c>
      <c r="DJ131" s="306">
        <v>5.7372100487444637</v>
      </c>
      <c r="DK131" s="306">
        <v>6.6602222196741758</v>
      </c>
      <c r="DL131" s="306">
        <v>4.6225127097030141</v>
      </c>
      <c r="DM131" s="28">
        <v>18026.384010822454</v>
      </c>
      <c r="DN131" s="28">
        <v>0</v>
      </c>
      <c r="DO131" s="423">
        <v>18026.384010822454</v>
      </c>
      <c r="DP131" s="94">
        <v>0</v>
      </c>
      <c r="DQ131" s="28">
        <v>18026.384010822454</v>
      </c>
      <c r="DR131" s="318"/>
      <c r="DT131" s="8"/>
      <c r="DU131" s="5"/>
      <c r="DX131" s="5">
        <v>48758.42197457709</v>
      </c>
      <c r="DY131" s="5">
        <v>10431.6</v>
      </c>
      <c r="DZ131" s="159">
        <v>4314.3054349230706</v>
      </c>
      <c r="EB131" s="676">
        <v>-288.16024665151599</v>
      </c>
      <c r="EC131" s="676">
        <v>-2409.6100159900834</v>
      </c>
      <c r="ED131" s="676">
        <v>3974.0310437936896</v>
      </c>
      <c r="EE131" s="676">
        <v>-4842.7510961978987</v>
      </c>
      <c r="EF131" s="676">
        <v>-9231.6551191522012</v>
      </c>
      <c r="EG131" s="676">
        <v>-6252.3770482603522</v>
      </c>
      <c r="EH131" s="676">
        <v>-3161.8919158654171</v>
      </c>
      <c r="EI131" s="676">
        <v>-4145.3031518128373</v>
      </c>
      <c r="EJ131" s="676">
        <v>-4183.0714094279156</v>
      </c>
      <c r="EK131" s="676">
        <v>-3772.3692749010206</v>
      </c>
      <c r="EL131" s="676">
        <v>-4613.6972189900534</v>
      </c>
      <c r="EM131" s="676">
        <v>-3631.9618084608937</v>
      </c>
      <c r="EN131" s="676">
        <v>-42558.817261916505</v>
      </c>
      <c r="EQ131" s="5">
        <v>48758.42197457709</v>
      </c>
      <c r="ER131" s="5">
        <v>10431.6</v>
      </c>
      <c r="ET131" s="318">
        <v>-29511.277298404089</v>
      </c>
      <c r="EU131" s="5">
        <v>-9636.3078813599041</v>
      </c>
    </row>
    <row r="132" spans="1:151" x14ac:dyDescent="0.3">
      <c r="A132" s="325">
        <v>150000619</v>
      </c>
      <c r="B132" s="41" t="s">
        <v>581</v>
      </c>
      <c r="C132" s="42" t="s">
        <v>360</v>
      </c>
      <c r="D132" s="27">
        <v>9</v>
      </c>
      <c r="E132" s="293">
        <v>4254.1000000000004</v>
      </c>
      <c r="F132" s="305">
        <v>4254.1000000000004</v>
      </c>
      <c r="G132" s="508">
        <v>465</v>
      </c>
      <c r="H132" s="677">
        <v>0</v>
      </c>
      <c r="I132" s="674">
        <v>15245.711851859243</v>
      </c>
      <c r="J132" s="40">
        <v>16697.570071248738</v>
      </c>
      <c r="K132" s="52">
        <v>1451.8582193894945</v>
      </c>
      <c r="L132" s="674">
        <v>2357.9130545442999</v>
      </c>
      <c r="M132" s="40">
        <v>2580.7974256273988</v>
      </c>
      <c r="N132" s="52">
        <v>222.88437108309881</v>
      </c>
      <c r="O132" s="674">
        <v>5904.5223794913618</v>
      </c>
      <c r="P132" s="40">
        <v>5904.510000000002</v>
      </c>
      <c r="Q132" s="52">
        <v>-1.2379491359752137E-2</v>
      </c>
      <c r="R132" s="674">
        <v>1318.8606190251553</v>
      </c>
      <c r="S132" s="40">
        <v>1318.8600000000004</v>
      </c>
      <c r="T132" s="52">
        <v>-6.1902515494693944E-4</v>
      </c>
      <c r="U132" s="674">
        <v>714.84307937464087</v>
      </c>
      <c r="V132" s="40">
        <v>2414.4322227356442</v>
      </c>
      <c r="W132" s="52">
        <v>1699.5891433610034</v>
      </c>
      <c r="X132" s="674">
        <v>6276.6438721400009</v>
      </c>
      <c r="Y132" s="40">
        <v>4053.0315943024739</v>
      </c>
      <c r="Z132" s="52">
        <v>-2223.612277837527</v>
      </c>
      <c r="AA132" s="674">
        <v>510.50400000000002</v>
      </c>
      <c r="AB132" s="40">
        <v>0</v>
      </c>
      <c r="AC132" s="52">
        <v>-510.50400000000002</v>
      </c>
      <c r="AD132" s="674">
        <v>18239.598916985491</v>
      </c>
      <c r="AE132" s="40">
        <v>18074.631554118758</v>
      </c>
      <c r="AF132" s="35">
        <v>-164.96736286673331</v>
      </c>
      <c r="AG132" s="77">
        <v>50568.597773420195</v>
      </c>
      <c r="AH132" s="53">
        <v>51043.832868033016</v>
      </c>
      <c r="AI132" s="52">
        <v>475.23509461282083</v>
      </c>
      <c r="AJ132" s="674">
        <v>34984.902065749113</v>
      </c>
      <c r="AK132" s="40">
        <v>34755.198455729827</v>
      </c>
      <c r="AL132" s="52">
        <v>-229.70361001928541</v>
      </c>
      <c r="AM132" s="674">
        <v>630.44965500000001</v>
      </c>
      <c r="AN132" s="40">
        <v>0</v>
      </c>
      <c r="AO132" s="52">
        <v>-630.44965500000001</v>
      </c>
      <c r="AP132" s="674">
        <v>3237.7211358128534</v>
      </c>
      <c r="AQ132" s="40">
        <v>2743.3352601156071</v>
      </c>
      <c r="AR132" s="52">
        <v>-494.38587569724632</v>
      </c>
      <c r="AS132" s="674">
        <v>57073.952842414721</v>
      </c>
      <c r="AT132" s="40">
        <v>20190.02</v>
      </c>
      <c r="AU132" s="54">
        <v>-36883.932842414724</v>
      </c>
      <c r="AV132" s="674">
        <v>2403.3498855758703</v>
      </c>
      <c r="AW132" s="40">
        <v>1490.8600000000001</v>
      </c>
      <c r="AX132" s="55">
        <v>-912.48988557587018</v>
      </c>
      <c r="AY132" s="674">
        <v>2759.0516023766831</v>
      </c>
      <c r="AZ132" s="40">
        <v>0</v>
      </c>
      <c r="BA132" s="35">
        <v>-2759.0516023766831</v>
      </c>
      <c r="BB132" s="674">
        <v>1776.474849195939</v>
      </c>
      <c r="BC132" s="40">
        <v>0</v>
      </c>
      <c r="BD132" s="55">
        <v>-1776.474849195939</v>
      </c>
      <c r="BE132" s="674">
        <v>1842.2084964733979</v>
      </c>
      <c r="BF132" s="40">
        <v>245</v>
      </c>
      <c r="BG132" s="38">
        <v>-1597.2084964733979</v>
      </c>
      <c r="BH132" s="674">
        <v>923.71373565197098</v>
      </c>
      <c r="BI132" s="40">
        <v>0</v>
      </c>
      <c r="BJ132" s="55">
        <v>-923.71373565197098</v>
      </c>
      <c r="BK132" s="674">
        <v>1584.5225782514265</v>
      </c>
      <c r="BL132" s="40">
        <v>0</v>
      </c>
      <c r="BM132" s="38">
        <v>-1584.5225782514265</v>
      </c>
      <c r="BN132" s="674">
        <v>127.626</v>
      </c>
      <c r="BO132" s="40">
        <v>0</v>
      </c>
      <c r="BP132" s="55">
        <v>-127.626</v>
      </c>
      <c r="BQ132" s="77">
        <v>11416.947147525287</v>
      </c>
      <c r="BR132" s="40">
        <v>1735.8600000000001</v>
      </c>
      <c r="BS132" s="55">
        <v>-9681.0871475252861</v>
      </c>
      <c r="BT132" s="674">
        <v>45032.584118856488</v>
      </c>
      <c r="BU132" s="40">
        <v>40078.186212705194</v>
      </c>
      <c r="BV132" s="52">
        <v>-4954.3979061512946</v>
      </c>
      <c r="BW132" s="674">
        <v>34553.148738118085</v>
      </c>
      <c r="BX132" s="40">
        <v>31565.028794943366</v>
      </c>
      <c r="BY132" s="52">
        <v>-2988.1199431747191</v>
      </c>
      <c r="BZ132" s="674">
        <v>8458.685271619097</v>
      </c>
      <c r="CA132" s="40">
        <v>10753.650999777456</v>
      </c>
      <c r="CB132" s="52">
        <v>2294.9657281583586</v>
      </c>
      <c r="CC132" s="674">
        <v>781.98101279734067</v>
      </c>
      <c r="CD132" s="40">
        <v>817.81415043136406</v>
      </c>
      <c r="CE132" s="52">
        <v>35.833137634023387</v>
      </c>
      <c r="CF132" s="674">
        <v>95.101604032343033</v>
      </c>
      <c r="CG132" s="40">
        <v>0</v>
      </c>
      <c r="CH132" s="52">
        <v>-95.101604032343033</v>
      </c>
      <c r="CI132" s="674">
        <v>14293.074430260087</v>
      </c>
      <c r="CJ132" s="40">
        <v>13158.061326880304</v>
      </c>
      <c r="CK132" s="52">
        <v>-1135.0131033797825</v>
      </c>
      <c r="CL132" s="674">
        <v>6912.8667834813559</v>
      </c>
      <c r="CM132" s="40">
        <v>7645.147732401073</v>
      </c>
      <c r="CN132" s="52">
        <v>732.28094891971705</v>
      </c>
      <c r="CO132" s="39">
        <v>21205.941213741444</v>
      </c>
      <c r="CP132" s="40">
        <v>20803.209059281377</v>
      </c>
      <c r="CQ132" s="52">
        <v>-402.73215446006725</v>
      </c>
      <c r="CR132" s="72">
        <v>268040.01257908699</v>
      </c>
      <c r="CS132" s="5">
        <v>214486.13580101723</v>
      </c>
      <c r="CT132" s="52">
        <v>-53553.876778069767</v>
      </c>
      <c r="CU132" s="77">
        <v>321648.0150949044</v>
      </c>
      <c r="CV132" s="65">
        <v>257383.36296122067</v>
      </c>
      <c r="CW132" s="35">
        <v>-64264.652133683732</v>
      </c>
      <c r="CX132" s="73">
        <v>7201.5677970473453</v>
      </c>
      <c r="CY132" s="40">
        <v>71466.219930730993</v>
      </c>
      <c r="CZ132" s="52">
        <v>64264.652133683645</v>
      </c>
      <c r="DA132" s="150">
        <v>73351.937902356454</v>
      </c>
      <c r="DB132" s="2">
        <v>2</v>
      </c>
      <c r="DC132" s="675">
        <v>44509.45</v>
      </c>
      <c r="DD132" s="675">
        <v>0</v>
      </c>
      <c r="DE132" s="675">
        <v>15803.947423652102</v>
      </c>
      <c r="DF132" s="675">
        <v>0</v>
      </c>
      <c r="DG132" s="321">
        <v>137616.59003604011</v>
      </c>
      <c r="DH132" s="40">
        <v>328824.27262881718</v>
      </c>
      <c r="DI132" s="422">
        <v>28705.502576347892</v>
      </c>
      <c r="DJ132" s="306">
        <v>5.7142649342403882</v>
      </c>
      <c r="DK132" s="306">
        <v>6.8745531608894224</v>
      </c>
      <c r="DL132" s="306">
        <v>4.8120846614703217</v>
      </c>
      <c r="DM132" s="28">
        <v>28705.502576347895</v>
      </c>
      <c r="DN132" s="28">
        <v>0</v>
      </c>
      <c r="DO132" s="423">
        <v>28705.502576347895</v>
      </c>
      <c r="DP132" s="94">
        <v>0</v>
      </c>
      <c r="DQ132" s="28">
        <v>28705.502576347895</v>
      </c>
      <c r="DR132" s="318"/>
      <c r="DT132" s="8"/>
      <c r="DU132" s="5"/>
      <c r="DX132" s="5">
        <v>82189.079987928009</v>
      </c>
      <c r="DY132" s="5">
        <v>26311.056</v>
      </c>
      <c r="DZ132" s="159">
        <v>7332.0000247482631</v>
      </c>
      <c r="EB132" s="676">
        <v>-4100.0463757088619</v>
      </c>
      <c r="EC132" s="676">
        <v>194.87831199662105</v>
      </c>
      <c r="ED132" s="676">
        <v>8649.0727126042366</v>
      </c>
      <c r="EE132" s="676">
        <v>-7523.22260399894</v>
      </c>
      <c r="EF132" s="676">
        <v>-6241.4819103159098</v>
      </c>
      <c r="EG132" s="676">
        <v>-8876.7502097590695</v>
      </c>
      <c r="EH132" s="676">
        <v>-7697.9610564483737</v>
      </c>
      <c r="EI132" s="676">
        <v>-7154.55264007816</v>
      </c>
      <c r="EJ132" s="676">
        <v>-11207.7230152064</v>
      </c>
      <c r="EK132" s="676">
        <v>-5921.7251438997773</v>
      </c>
      <c r="EL132" s="676">
        <v>-7455.199500257062</v>
      </c>
      <c r="EM132" s="676">
        <v>-6929.9407026119552</v>
      </c>
      <c r="EN132" s="676">
        <v>-64264.652133683659</v>
      </c>
      <c r="EQ132" s="5">
        <v>82189.079987928009</v>
      </c>
      <c r="ER132" s="5">
        <v>26311.056</v>
      </c>
      <c r="ET132" s="318">
        <v>81174.207349716773</v>
      </c>
      <c r="EU132" s="5">
        <v>-56409.617313676601</v>
      </c>
    </row>
    <row r="133" spans="1:151" x14ac:dyDescent="0.3">
      <c r="A133" s="325">
        <v>150000621</v>
      </c>
      <c r="B133" s="41" t="s">
        <v>582</v>
      </c>
      <c r="C133" s="42" t="s">
        <v>81</v>
      </c>
      <c r="D133" s="27">
        <v>1</v>
      </c>
      <c r="E133" s="293">
        <v>130.1</v>
      </c>
      <c r="F133" s="305">
        <v>130.1</v>
      </c>
      <c r="G133" s="508">
        <v>0</v>
      </c>
      <c r="H133" s="677">
        <v>0</v>
      </c>
      <c r="I133" s="674">
        <v>0</v>
      </c>
      <c r="J133" s="40">
        <v>0</v>
      </c>
      <c r="K133" s="52">
        <v>0</v>
      </c>
      <c r="L133" s="674">
        <v>0</v>
      </c>
      <c r="M133" s="40">
        <v>0</v>
      </c>
      <c r="N133" s="52">
        <v>0</v>
      </c>
      <c r="O133" s="674">
        <v>0</v>
      </c>
      <c r="P133" s="40">
        <v>0</v>
      </c>
      <c r="Q133" s="52">
        <v>0</v>
      </c>
      <c r="R133" s="674">
        <v>0</v>
      </c>
      <c r="S133" s="40">
        <v>0</v>
      </c>
      <c r="T133" s="52">
        <v>0</v>
      </c>
      <c r="U133" s="674">
        <v>0</v>
      </c>
      <c r="V133" s="40">
        <v>0</v>
      </c>
      <c r="W133" s="52">
        <v>0</v>
      </c>
      <c r="X133" s="674">
        <v>0</v>
      </c>
      <c r="Y133" s="40">
        <v>0</v>
      </c>
      <c r="Z133" s="52">
        <v>0</v>
      </c>
      <c r="AA133" s="674">
        <v>15.611999999999998</v>
      </c>
      <c r="AB133" s="40">
        <v>0</v>
      </c>
      <c r="AC133" s="52">
        <v>-15.611999999999998</v>
      </c>
      <c r="AD133" s="674">
        <v>124.95973727502772</v>
      </c>
      <c r="AE133" s="40">
        <v>552.75871165842943</v>
      </c>
      <c r="AF133" s="35">
        <v>427.79897438340174</v>
      </c>
      <c r="AG133" s="77">
        <v>140.57173727502771</v>
      </c>
      <c r="AH133" s="53">
        <v>552.75871165842943</v>
      </c>
      <c r="AI133" s="52">
        <v>412.18697438340172</v>
      </c>
      <c r="AJ133" s="674">
        <v>0</v>
      </c>
      <c r="AK133" s="40">
        <v>0</v>
      </c>
      <c r="AL133" s="52">
        <v>0</v>
      </c>
      <c r="AM133" s="674">
        <v>0</v>
      </c>
      <c r="AN133" s="40">
        <v>0</v>
      </c>
      <c r="AO133" s="52">
        <v>0</v>
      </c>
      <c r="AP133" s="674">
        <v>269.81009465107115</v>
      </c>
      <c r="AQ133" s="40">
        <v>224.38224961495439</v>
      </c>
      <c r="AR133" s="52">
        <v>-45.427845036116764</v>
      </c>
      <c r="AS133" s="674">
        <v>1555.2538932573407</v>
      </c>
      <c r="AT133" s="40">
        <v>0</v>
      </c>
      <c r="AU133" s="54">
        <v>-1555.2538932573407</v>
      </c>
      <c r="AV133" s="674">
        <v>0</v>
      </c>
      <c r="AW133" s="40">
        <v>0</v>
      </c>
      <c r="AX133" s="55">
        <v>0</v>
      </c>
      <c r="AY133" s="674">
        <v>0</v>
      </c>
      <c r="AZ133" s="40">
        <v>0</v>
      </c>
      <c r="BA133" s="35">
        <v>0</v>
      </c>
      <c r="BB133" s="674">
        <v>0</v>
      </c>
      <c r="BC133" s="40">
        <v>0</v>
      </c>
      <c r="BD133" s="55">
        <v>0</v>
      </c>
      <c r="BE133" s="674">
        <v>0</v>
      </c>
      <c r="BF133" s="40">
        <v>0</v>
      </c>
      <c r="BG133" s="38">
        <v>0</v>
      </c>
      <c r="BH133" s="674">
        <v>0</v>
      </c>
      <c r="BI133" s="40">
        <v>0</v>
      </c>
      <c r="BJ133" s="55">
        <v>0</v>
      </c>
      <c r="BK133" s="674">
        <v>0</v>
      </c>
      <c r="BL133" s="40">
        <v>0</v>
      </c>
      <c r="BM133" s="38">
        <v>0</v>
      </c>
      <c r="BN133" s="674">
        <v>3.9029999999999996</v>
      </c>
      <c r="BO133" s="40">
        <v>0</v>
      </c>
      <c r="BP133" s="55">
        <v>-3.9029999999999996</v>
      </c>
      <c r="BQ133" s="77">
        <v>3.9029999999999996</v>
      </c>
      <c r="BR133" s="40">
        <v>0</v>
      </c>
      <c r="BS133" s="55">
        <v>-3.9029999999999996</v>
      </c>
      <c r="BT133" s="674">
        <v>143.56206452518501</v>
      </c>
      <c r="BU133" s="40">
        <v>186.00518678020362</v>
      </c>
      <c r="BV133" s="52">
        <v>42.443122255018608</v>
      </c>
      <c r="BW133" s="674">
        <v>0</v>
      </c>
      <c r="BX133" s="40">
        <v>2.9593430304406332</v>
      </c>
      <c r="BY133" s="52">
        <v>2.9593430304406332</v>
      </c>
      <c r="BZ133" s="674">
        <v>0</v>
      </c>
      <c r="CA133" s="40">
        <v>60.077421451739824</v>
      </c>
      <c r="CB133" s="52">
        <v>60.077421451739824</v>
      </c>
      <c r="CC133" s="674">
        <v>0</v>
      </c>
      <c r="CD133" s="40">
        <v>0</v>
      </c>
      <c r="CE133" s="52">
        <v>0</v>
      </c>
      <c r="CF133" s="674">
        <v>0</v>
      </c>
      <c r="CG133" s="40">
        <v>0</v>
      </c>
      <c r="CH133" s="52">
        <v>0</v>
      </c>
      <c r="CI133" s="674">
        <v>0</v>
      </c>
      <c r="CJ133" s="40">
        <v>0</v>
      </c>
      <c r="CK133" s="52">
        <v>0</v>
      </c>
      <c r="CL133" s="674">
        <v>0</v>
      </c>
      <c r="CM133" s="40">
        <v>0</v>
      </c>
      <c r="CN133" s="52">
        <v>0</v>
      </c>
      <c r="CO133" s="39">
        <v>0</v>
      </c>
      <c r="CP133" s="40">
        <v>0</v>
      </c>
      <c r="CQ133" s="52">
        <v>0</v>
      </c>
      <c r="CR133" s="72">
        <v>2113.1007897086247</v>
      </c>
      <c r="CS133" s="5">
        <v>1026.1829125357679</v>
      </c>
      <c r="CT133" s="52">
        <v>-1086.9178771728568</v>
      </c>
      <c r="CU133" s="77">
        <v>2535.7209476503494</v>
      </c>
      <c r="CV133" s="65">
        <v>1231.4194950429214</v>
      </c>
      <c r="CW133" s="35">
        <v>-1304.301452607428</v>
      </c>
      <c r="CX133" s="73">
        <v>76.774377646860941</v>
      </c>
      <c r="CY133" s="40">
        <v>1381.0758302542888</v>
      </c>
      <c r="CZ133" s="52">
        <v>1304.3014526074278</v>
      </c>
      <c r="DA133" s="150">
        <v>-5528.8960699694162</v>
      </c>
      <c r="DB133" s="2">
        <v>2</v>
      </c>
      <c r="DC133" s="675">
        <v>-33.54</v>
      </c>
      <c r="DD133" s="675">
        <v>0</v>
      </c>
      <c r="DE133" s="675">
        <v>-262.36345966515853</v>
      </c>
      <c r="DF133" s="675">
        <v>0</v>
      </c>
      <c r="DG133" s="321">
        <v>-4224.5946173619877</v>
      </c>
      <c r="DH133" s="40">
        <v>2612.2967622548495</v>
      </c>
      <c r="DI133" s="422">
        <v>228.82345966515845</v>
      </c>
      <c r="DJ133" s="306">
        <v>1.7588275147206651</v>
      </c>
      <c r="DK133" s="306">
        <v>1.7588275147206651</v>
      </c>
      <c r="DL133" s="306">
        <v>1.7588275147206651</v>
      </c>
      <c r="DM133" s="28">
        <v>228.82345966515851</v>
      </c>
      <c r="DN133" s="28">
        <v>0</v>
      </c>
      <c r="DO133" s="423">
        <v>228.82345966515851</v>
      </c>
      <c r="DP133" s="94">
        <v>0</v>
      </c>
      <c r="DQ133" s="28">
        <v>228.82345966515851</v>
      </c>
      <c r="DR133" s="318"/>
      <c r="DT133" s="8"/>
      <c r="DU133" s="5"/>
      <c r="DX133" s="5">
        <v>1870.9882719088087</v>
      </c>
      <c r="DY133" s="5">
        <v>0</v>
      </c>
      <c r="DZ133" s="159">
        <v>175.69026178315784</v>
      </c>
      <c r="EB133" s="676">
        <v>42.381461376820624</v>
      </c>
      <c r="EC133" s="676">
        <v>-105.55157285940729</v>
      </c>
      <c r="ED133" s="676">
        <v>-103.19590892821282</v>
      </c>
      <c r="EE133" s="676">
        <v>-184.11421218438804</v>
      </c>
      <c r="EF133" s="676">
        <v>-141.29261925132204</v>
      </c>
      <c r="EG133" s="676">
        <v>-144.50211872124646</v>
      </c>
      <c r="EH133" s="676">
        <v>-11.588600025867407</v>
      </c>
      <c r="EI133" s="676">
        <v>-121.65872377322428</v>
      </c>
      <c r="EJ133" s="676">
        <v>-142.54673667511383</v>
      </c>
      <c r="EK133" s="676">
        <v>-114.52281943225496</v>
      </c>
      <c r="EL133" s="676">
        <v>-132.77336256326578</v>
      </c>
      <c r="EM133" s="676">
        <v>-144.93623956994571</v>
      </c>
      <c r="EN133" s="676">
        <v>-1304.3014526074282</v>
      </c>
      <c r="EQ133" s="5">
        <v>1870.9882719088087</v>
      </c>
      <c r="ER133" s="5">
        <v>0</v>
      </c>
      <c r="ET133" s="318">
        <v>-1093.8667499600892</v>
      </c>
      <c r="EU133" s="5">
        <v>-982.72786740189849</v>
      </c>
    </row>
    <row r="134" spans="1:151" x14ac:dyDescent="0.3">
      <c r="A134" s="325">
        <v>150000622</v>
      </c>
      <c r="B134" s="41" t="s">
        <v>583</v>
      </c>
      <c r="C134" s="42" t="s">
        <v>82</v>
      </c>
      <c r="D134" s="27">
        <v>1</v>
      </c>
      <c r="E134" s="293">
        <v>132.69999999999999</v>
      </c>
      <c r="F134" s="305">
        <v>132.69999999999999</v>
      </c>
      <c r="G134" s="508">
        <v>0</v>
      </c>
      <c r="H134" s="677">
        <v>0</v>
      </c>
      <c r="I134" s="674">
        <v>0</v>
      </c>
      <c r="J134" s="40">
        <v>0</v>
      </c>
      <c r="K134" s="52">
        <v>0</v>
      </c>
      <c r="L134" s="674">
        <v>0</v>
      </c>
      <c r="M134" s="40">
        <v>0</v>
      </c>
      <c r="N134" s="52">
        <v>0</v>
      </c>
      <c r="O134" s="674">
        <v>0</v>
      </c>
      <c r="P134" s="40">
        <v>0</v>
      </c>
      <c r="Q134" s="52">
        <v>0</v>
      </c>
      <c r="R134" s="674">
        <v>0</v>
      </c>
      <c r="S134" s="40">
        <v>0</v>
      </c>
      <c r="T134" s="52">
        <v>0</v>
      </c>
      <c r="U134" s="674">
        <v>0</v>
      </c>
      <c r="V134" s="40">
        <v>0</v>
      </c>
      <c r="W134" s="52">
        <v>0</v>
      </c>
      <c r="X134" s="674">
        <v>0</v>
      </c>
      <c r="Y134" s="40">
        <v>0</v>
      </c>
      <c r="Z134" s="52">
        <v>0</v>
      </c>
      <c r="AA134" s="674">
        <v>15.923999999999999</v>
      </c>
      <c r="AB134" s="40">
        <v>0</v>
      </c>
      <c r="AC134" s="52">
        <v>-15.923999999999999</v>
      </c>
      <c r="AD134" s="674">
        <v>127.49463365457612</v>
      </c>
      <c r="AE134" s="40">
        <v>484.45255426819568</v>
      </c>
      <c r="AF134" s="35">
        <v>356.95792061361954</v>
      </c>
      <c r="AG134" s="77">
        <v>143.41863365457613</v>
      </c>
      <c r="AH134" s="53">
        <v>484.45255426819568</v>
      </c>
      <c r="AI134" s="52">
        <v>341.03392061361956</v>
      </c>
      <c r="AJ134" s="674">
        <v>0</v>
      </c>
      <c r="AK134" s="40">
        <v>0</v>
      </c>
      <c r="AL134" s="52">
        <v>0</v>
      </c>
      <c r="AM134" s="674">
        <v>0</v>
      </c>
      <c r="AN134" s="40">
        <v>0</v>
      </c>
      <c r="AO134" s="52">
        <v>0</v>
      </c>
      <c r="AP134" s="674">
        <v>296.61228334185159</v>
      </c>
      <c r="AQ134" s="40">
        <v>299.17633281993915</v>
      </c>
      <c r="AR134" s="52">
        <v>2.5640494780875542</v>
      </c>
      <c r="AS134" s="674">
        <v>1189.2572209654093</v>
      </c>
      <c r="AT134" s="40">
        <v>0</v>
      </c>
      <c r="AU134" s="54">
        <v>-1189.2572209654093</v>
      </c>
      <c r="AV134" s="674">
        <v>0</v>
      </c>
      <c r="AW134" s="40">
        <v>0</v>
      </c>
      <c r="AX134" s="55">
        <v>0</v>
      </c>
      <c r="AY134" s="674">
        <v>0</v>
      </c>
      <c r="AZ134" s="40">
        <v>0</v>
      </c>
      <c r="BA134" s="35">
        <v>0</v>
      </c>
      <c r="BB134" s="674">
        <v>0</v>
      </c>
      <c r="BC134" s="40">
        <v>0</v>
      </c>
      <c r="BD134" s="55">
        <v>0</v>
      </c>
      <c r="BE134" s="674">
        <v>0</v>
      </c>
      <c r="BF134" s="40">
        <v>0</v>
      </c>
      <c r="BG134" s="38">
        <v>0</v>
      </c>
      <c r="BH134" s="674">
        <v>0</v>
      </c>
      <c r="BI134" s="40">
        <v>0</v>
      </c>
      <c r="BJ134" s="55">
        <v>0</v>
      </c>
      <c r="BK134" s="674">
        <v>0</v>
      </c>
      <c r="BL134" s="40">
        <v>0</v>
      </c>
      <c r="BM134" s="38">
        <v>0</v>
      </c>
      <c r="BN134" s="674">
        <v>3.9809999999999999</v>
      </c>
      <c r="BO134" s="40">
        <v>0</v>
      </c>
      <c r="BP134" s="55">
        <v>-3.9809999999999999</v>
      </c>
      <c r="BQ134" s="77">
        <v>3.9809999999999999</v>
      </c>
      <c r="BR134" s="40">
        <v>0</v>
      </c>
      <c r="BS134" s="55">
        <v>-3.9809999999999999</v>
      </c>
      <c r="BT134" s="674">
        <v>167.48907527938255</v>
      </c>
      <c r="BU134" s="40">
        <v>259.87759904731467</v>
      </c>
      <c r="BV134" s="52">
        <v>92.388523767932128</v>
      </c>
      <c r="BW134" s="674">
        <v>0</v>
      </c>
      <c r="BX134" s="40">
        <v>2.4813266572814077</v>
      </c>
      <c r="BY134" s="52">
        <v>2.4813266572814077</v>
      </c>
      <c r="BZ134" s="674">
        <v>0</v>
      </c>
      <c r="CA134" s="40">
        <v>15.847538173107122</v>
      </c>
      <c r="CB134" s="52">
        <v>15.847538173107122</v>
      </c>
      <c r="CC134" s="674">
        <v>0</v>
      </c>
      <c r="CD134" s="40">
        <v>0</v>
      </c>
      <c r="CE134" s="52">
        <v>0</v>
      </c>
      <c r="CF134" s="674">
        <v>0</v>
      </c>
      <c r="CG134" s="40">
        <v>0</v>
      </c>
      <c r="CH134" s="52">
        <v>0</v>
      </c>
      <c r="CI134" s="674">
        <v>0</v>
      </c>
      <c r="CJ134" s="40">
        <v>0</v>
      </c>
      <c r="CK134" s="52">
        <v>0</v>
      </c>
      <c r="CL134" s="674">
        <v>0</v>
      </c>
      <c r="CM134" s="40">
        <v>0</v>
      </c>
      <c r="CN134" s="52">
        <v>0</v>
      </c>
      <c r="CO134" s="39">
        <v>0</v>
      </c>
      <c r="CP134" s="40">
        <v>0</v>
      </c>
      <c r="CQ134" s="52">
        <v>0</v>
      </c>
      <c r="CR134" s="72">
        <v>1800.7582132412197</v>
      </c>
      <c r="CS134" s="5">
        <v>1061.835350965838</v>
      </c>
      <c r="CT134" s="52">
        <v>-738.9228622753817</v>
      </c>
      <c r="CU134" s="77">
        <v>2160.9098558894634</v>
      </c>
      <c r="CV134" s="65">
        <v>1274.2024211590056</v>
      </c>
      <c r="CW134" s="35">
        <v>-886.70743473045786</v>
      </c>
      <c r="CX134" s="73">
        <v>100.20888001468576</v>
      </c>
      <c r="CY134" s="40">
        <v>986.91631474514361</v>
      </c>
      <c r="CZ134" s="52">
        <v>886.70743473045786</v>
      </c>
      <c r="DA134" s="150">
        <v>-5002.1114580439098</v>
      </c>
      <c r="DB134" s="2">
        <v>2</v>
      </c>
      <c r="DC134" s="675">
        <v>1970.1</v>
      </c>
      <c r="DD134" s="675">
        <v>0</v>
      </c>
      <c r="DE134" s="675">
        <v>1970.1</v>
      </c>
      <c r="DF134" s="675">
        <v>0</v>
      </c>
      <c r="DG134" s="321">
        <v>-4115.4040233134519</v>
      </c>
      <c r="DH134" s="40">
        <v>2742.4153682299902</v>
      </c>
      <c r="DI134" s="422">
        <v>240.75168551233926</v>
      </c>
      <c r="DJ134" s="306">
        <v>1.8142553542753523</v>
      </c>
      <c r="DK134" s="306">
        <v>1.8142553542753523</v>
      </c>
      <c r="DL134" s="306">
        <v>1.8142553542753523</v>
      </c>
      <c r="DM134" s="28">
        <v>240.75168551233924</v>
      </c>
      <c r="DN134" s="28">
        <v>0</v>
      </c>
      <c r="DO134" s="423">
        <v>240.75168551233924</v>
      </c>
      <c r="DP134" s="94">
        <v>0</v>
      </c>
      <c r="DQ134" s="28">
        <v>240.75168551233924</v>
      </c>
      <c r="DR134" s="318"/>
      <c r="DT134" s="8"/>
      <c r="DU134" s="5"/>
      <c r="DX134" s="5">
        <v>1431.885865158491</v>
      </c>
      <c r="DY134" s="5">
        <v>0</v>
      </c>
      <c r="DZ134" s="159">
        <v>163.79126942930242</v>
      </c>
      <c r="EB134" s="676">
        <v>81.667517199680475</v>
      </c>
      <c r="EC134" s="676">
        <v>-111.38001379960913</v>
      </c>
      <c r="ED134" s="676">
        <v>-108.97727280291808</v>
      </c>
      <c r="EE134" s="676">
        <v>-190.47423832078508</v>
      </c>
      <c r="EF134" s="676">
        <v>-129.46780901864986</v>
      </c>
      <c r="EG134" s="676">
        <v>-133.02592764804132</v>
      </c>
      <c r="EH134" s="676">
        <v>44.771417765610352</v>
      </c>
      <c r="EI134" s="676">
        <v>-109.04777627398128</v>
      </c>
      <c r="EJ134" s="676">
        <v>-130.33144670226929</v>
      </c>
      <c r="EK134" s="676">
        <v>-100.44188512949447</v>
      </c>
      <c r="EL134" s="676">
        <v>0</v>
      </c>
      <c r="EM134" s="676">
        <v>0</v>
      </c>
      <c r="EN134" s="676">
        <v>-886.70743473045775</v>
      </c>
      <c r="EQ134" s="5">
        <v>1431.885865158491</v>
      </c>
      <c r="ER134" s="5">
        <v>0</v>
      </c>
      <c r="ET134" s="318">
        <v>-1091.7519151978825</v>
      </c>
      <c r="EU134" s="5">
        <v>-967.65210811556949</v>
      </c>
    </row>
    <row r="135" spans="1:151" x14ac:dyDescent="0.3">
      <c r="A135" s="325">
        <v>150000587</v>
      </c>
      <c r="B135" s="41" t="s">
        <v>584</v>
      </c>
      <c r="C135" s="42" t="s">
        <v>83</v>
      </c>
      <c r="D135" s="27">
        <v>1</v>
      </c>
      <c r="E135" s="293">
        <v>121</v>
      </c>
      <c r="F135" s="305">
        <v>121</v>
      </c>
      <c r="G135" s="508">
        <v>0</v>
      </c>
      <c r="H135" s="677">
        <v>0</v>
      </c>
      <c r="I135" s="674">
        <v>0</v>
      </c>
      <c r="J135" s="40">
        <v>0</v>
      </c>
      <c r="K135" s="52">
        <v>0</v>
      </c>
      <c r="L135" s="674">
        <v>0</v>
      </c>
      <c r="M135" s="40">
        <v>0</v>
      </c>
      <c r="N135" s="52">
        <v>0</v>
      </c>
      <c r="O135" s="674">
        <v>0</v>
      </c>
      <c r="P135" s="40">
        <v>0</v>
      </c>
      <c r="Q135" s="52">
        <v>0</v>
      </c>
      <c r="R135" s="674">
        <v>0</v>
      </c>
      <c r="S135" s="40">
        <v>0</v>
      </c>
      <c r="T135" s="52">
        <v>0</v>
      </c>
      <c r="U135" s="674">
        <v>0</v>
      </c>
      <c r="V135" s="40">
        <v>0</v>
      </c>
      <c r="W135" s="52">
        <v>0</v>
      </c>
      <c r="X135" s="674">
        <v>0</v>
      </c>
      <c r="Y135" s="40">
        <v>0</v>
      </c>
      <c r="Z135" s="52">
        <v>0</v>
      </c>
      <c r="AA135" s="674">
        <v>14.52</v>
      </c>
      <c r="AB135" s="40">
        <v>0</v>
      </c>
      <c r="AC135" s="52">
        <v>-14.52</v>
      </c>
      <c r="AD135" s="674">
        <v>109.01484607134579</v>
      </c>
      <c r="AE135" s="40">
        <v>441.73895302525762</v>
      </c>
      <c r="AF135" s="35">
        <v>332.72410695391181</v>
      </c>
      <c r="AG135" s="77">
        <v>123.53484607134578</v>
      </c>
      <c r="AH135" s="53">
        <v>441.73895302525762</v>
      </c>
      <c r="AI135" s="52">
        <v>318.20410695391183</v>
      </c>
      <c r="AJ135" s="674">
        <v>0</v>
      </c>
      <c r="AK135" s="40">
        <v>0</v>
      </c>
      <c r="AL135" s="52">
        <v>0</v>
      </c>
      <c r="AM135" s="674">
        <v>0</v>
      </c>
      <c r="AN135" s="40">
        <v>0</v>
      </c>
      <c r="AO135" s="52">
        <v>0</v>
      </c>
      <c r="AP135" s="674">
        <v>111.22960625319435</v>
      </c>
      <c r="AQ135" s="40">
        <v>112.19112480747719</v>
      </c>
      <c r="AR135" s="52">
        <v>0.96151855428284705</v>
      </c>
      <c r="AS135" s="674">
        <v>1212.176732557868</v>
      </c>
      <c r="AT135" s="40">
        <v>0</v>
      </c>
      <c r="AU135" s="54">
        <v>-1212.176732557868</v>
      </c>
      <c r="AV135" s="674">
        <v>0</v>
      </c>
      <c r="AW135" s="40">
        <v>0</v>
      </c>
      <c r="AX135" s="55">
        <v>0</v>
      </c>
      <c r="AY135" s="674">
        <v>0</v>
      </c>
      <c r="AZ135" s="40">
        <v>0</v>
      </c>
      <c r="BA135" s="35">
        <v>0</v>
      </c>
      <c r="BB135" s="674">
        <v>0</v>
      </c>
      <c r="BC135" s="40">
        <v>0</v>
      </c>
      <c r="BD135" s="55">
        <v>0</v>
      </c>
      <c r="BE135" s="674">
        <v>0</v>
      </c>
      <c r="BF135" s="40">
        <v>0</v>
      </c>
      <c r="BG135" s="38">
        <v>0</v>
      </c>
      <c r="BH135" s="674">
        <v>0</v>
      </c>
      <c r="BI135" s="40">
        <v>0</v>
      </c>
      <c r="BJ135" s="55">
        <v>0</v>
      </c>
      <c r="BK135" s="674">
        <v>0</v>
      </c>
      <c r="BL135" s="40">
        <v>0</v>
      </c>
      <c r="BM135" s="38">
        <v>0</v>
      </c>
      <c r="BN135" s="674">
        <v>3.63</v>
      </c>
      <c r="BO135" s="40">
        <v>0</v>
      </c>
      <c r="BP135" s="55">
        <v>-3.63</v>
      </c>
      <c r="BQ135" s="77">
        <v>3.63</v>
      </c>
      <c r="BR135" s="40">
        <v>0</v>
      </c>
      <c r="BS135" s="55">
        <v>-3.63</v>
      </c>
      <c r="BT135" s="674">
        <v>83.744537639691274</v>
      </c>
      <c r="BU135" s="40">
        <v>129.88203058122053</v>
      </c>
      <c r="BV135" s="52">
        <v>46.13749294152926</v>
      </c>
      <c r="BW135" s="674">
        <v>0</v>
      </c>
      <c r="BX135" s="40">
        <v>2.2625510590131901</v>
      </c>
      <c r="BY135" s="52">
        <v>2.2625510590131901</v>
      </c>
      <c r="BZ135" s="674">
        <v>0</v>
      </c>
      <c r="CA135" s="40">
        <v>7.9219753390014898</v>
      </c>
      <c r="CB135" s="52">
        <v>7.9219753390014898</v>
      </c>
      <c r="CC135" s="674">
        <v>0</v>
      </c>
      <c r="CD135" s="40">
        <v>0</v>
      </c>
      <c r="CE135" s="52">
        <v>0</v>
      </c>
      <c r="CF135" s="674">
        <v>0</v>
      </c>
      <c r="CG135" s="40">
        <v>0</v>
      </c>
      <c r="CH135" s="52">
        <v>0</v>
      </c>
      <c r="CI135" s="674">
        <v>0</v>
      </c>
      <c r="CJ135" s="40">
        <v>0</v>
      </c>
      <c r="CK135" s="52">
        <v>0</v>
      </c>
      <c r="CL135" s="674">
        <v>0</v>
      </c>
      <c r="CM135" s="40">
        <v>0</v>
      </c>
      <c r="CN135" s="52">
        <v>0</v>
      </c>
      <c r="CO135" s="39">
        <v>0</v>
      </c>
      <c r="CP135" s="40">
        <v>0</v>
      </c>
      <c r="CQ135" s="52">
        <v>0</v>
      </c>
      <c r="CR135" s="72">
        <v>1534.3157225220996</v>
      </c>
      <c r="CS135" s="5">
        <v>693.99663481197001</v>
      </c>
      <c r="CT135" s="52">
        <v>-840.31908771012957</v>
      </c>
      <c r="CU135" s="77">
        <v>1841.1788670265194</v>
      </c>
      <c r="CV135" s="65">
        <v>832.79596177436395</v>
      </c>
      <c r="CW135" s="35">
        <v>-1008.3829052521554</v>
      </c>
      <c r="CX135" s="73">
        <v>57.776207868580904</v>
      </c>
      <c r="CY135" s="40">
        <v>1066.1591131207363</v>
      </c>
      <c r="CZ135" s="52">
        <v>1008.3829052521554</v>
      </c>
      <c r="DA135" s="150">
        <v>-4675.9521001685152</v>
      </c>
      <c r="DB135" s="2">
        <v>3</v>
      </c>
      <c r="DC135" s="675">
        <v>1126.26</v>
      </c>
      <c r="DD135" s="675">
        <v>0</v>
      </c>
      <c r="DE135" s="675">
        <v>1126.26</v>
      </c>
      <c r="DF135" s="675">
        <v>0</v>
      </c>
      <c r="DG135" s="321">
        <v>-3667.5691949163597</v>
      </c>
      <c r="DH135" s="40">
        <v>2302.6189530317274</v>
      </c>
      <c r="DI135" s="422">
        <v>201.91909271823667</v>
      </c>
      <c r="DJ135" s="306">
        <v>1.6687528323821212</v>
      </c>
      <c r="DK135" s="306">
        <v>1.6687528323821212</v>
      </c>
      <c r="DL135" s="306">
        <v>1.6687528323821212</v>
      </c>
      <c r="DM135" s="28">
        <v>201.91909271823667</v>
      </c>
      <c r="DN135" s="28">
        <v>0</v>
      </c>
      <c r="DO135" s="423">
        <v>201.91909271823667</v>
      </c>
      <c r="DP135" s="94">
        <v>0</v>
      </c>
      <c r="DQ135" s="28">
        <v>201.91909271823667</v>
      </c>
      <c r="DR135" s="318"/>
      <c r="DT135" s="8"/>
      <c r="DU135" s="5"/>
      <c r="DX135" s="5">
        <v>1458.9680790694417</v>
      </c>
      <c r="DY135" s="5">
        <v>0</v>
      </c>
      <c r="DZ135" s="159">
        <v>168.43276570235642</v>
      </c>
      <c r="EB135" s="676">
        <v>-9.2790677653800344</v>
      </c>
      <c r="EC135" s="676">
        <v>-89.005069624598164</v>
      </c>
      <c r="ED135" s="676">
        <v>-86.814175422641753</v>
      </c>
      <c r="EE135" s="676">
        <v>-160.60291715061317</v>
      </c>
      <c r="EF135" s="676">
        <v>-127.27841489906504</v>
      </c>
      <c r="EG135" s="676">
        <v>-130.15668544691491</v>
      </c>
      <c r="EH135" s="676">
        <v>-64.481204947716066</v>
      </c>
      <c r="EI135" s="676">
        <v>-109.1655753314591</v>
      </c>
      <c r="EJ135" s="676">
        <v>-128.60072369405964</v>
      </c>
      <c r="EK135" s="676">
        <v>-102.9990709697074</v>
      </c>
      <c r="EL135" s="676">
        <v>0</v>
      </c>
      <c r="EM135" s="676">
        <v>0</v>
      </c>
      <c r="EN135" s="676">
        <v>-1008.3829052521553</v>
      </c>
      <c r="EQ135" s="5">
        <v>1458.9680790694417</v>
      </c>
      <c r="ER135" s="5">
        <v>0</v>
      </c>
      <c r="ET135" s="318">
        <v>-1001.4970457068794</v>
      </c>
      <c r="EU135" s="5">
        <v>-918.07214920948013</v>
      </c>
    </row>
    <row r="136" spans="1:151" x14ac:dyDescent="0.3">
      <c r="A136" s="325">
        <v>150000590</v>
      </c>
      <c r="B136" s="41" t="s">
        <v>585</v>
      </c>
      <c r="C136" s="42" t="s">
        <v>164</v>
      </c>
      <c r="D136" s="27">
        <v>2</v>
      </c>
      <c r="E136" s="293">
        <v>373.5</v>
      </c>
      <c r="F136" s="305">
        <v>373.5</v>
      </c>
      <c r="G136" s="508">
        <v>0</v>
      </c>
      <c r="H136" s="677">
        <v>0</v>
      </c>
      <c r="I136" s="674">
        <v>2013.2530732044997</v>
      </c>
      <c r="J136" s="40">
        <v>1884.0685345767342</v>
      </c>
      <c r="K136" s="52">
        <v>-129.18453862776551</v>
      </c>
      <c r="L136" s="674">
        <v>412.70151406732737</v>
      </c>
      <c r="M136" s="40">
        <v>394.40340450096767</v>
      </c>
      <c r="N136" s="52">
        <v>-18.298109566359699</v>
      </c>
      <c r="O136" s="674">
        <v>0</v>
      </c>
      <c r="P136" s="40">
        <v>0</v>
      </c>
      <c r="Q136" s="52">
        <v>0</v>
      </c>
      <c r="R136" s="674">
        <v>0</v>
      </c>
      <c r="S136" s="40">
        <v>0</v>
      </c>
      <c r="T136" s="52">
        <v>0</v>
      </c>
      <c r="U136" s="674">
        <v>0</v>
      </c>
      <c r="V136" s="40">
        <v>0</v>
      </c>
      <c r="W136" s="52">
        <v>0</v>
      </c>
      <c r="X136" s="674">
        <v>621.86028677571562</v>
      </c>
      <c r="Y136" s="40">
        <v>507.91836863042829</v>
      </c>
      <c r="Z136" s="52">
        <v>-113.94191814528733</v>
      </c>
      <c r="AA136" s="674">
        <v>44.844000000000001</v>
      </c>
      <c r="AB136" s="40">
        <v>0</v>
      </c>
      <c r="AC136" s="52">
        <v>-44.844000000000001</v>
      </c>
      <c r="AD136" s="674">
        <v>1556.726231502194</v>
      </c>
      <c r="AE136" s="40">
        <v>1586.8976080278512</v>
      </c>
      <c r="AF136" s="35">
        <v>30.171376525657251</v>
      </c>
      <c r="AG136" s="77">
        <v>4649.3851055497362</v>
      </c>
      <c r="AH136" s="53">
        <v>4373.2879157359812</v>
      </c>
      <c r="AI136" s="52">
        <v>-276.09718981375499</v>
      </c>
      <c r="AJ136" s="674">
        <v>0</v>
      </c>
      <c r="AK136" s="40">
        <v>0</v>
      </c>
      <c r="AL136" s="52">
        <v>0</v>
      </c>
      <c r="AM136" s="674">
        <v>0</v>
      </c>
      <c r="AN136" s="40">
        <v>0</v>
      </c>
      <c r="AO136" s="52">
        <v>0</v>
      </c>
      <c r="AP136" s="674">
        <v>1438.9871714723795</v>
      </c>
      <c r="AQ136" s="40">
        <v>1196.7053312797566</v>
      </c>
      <c r="AR136" s="52">
        <v>-242.28184019262289</v>
      </c>
      <c r="AS136" s="674">
        <v>4133.7917309545992</v>
      </c>
      <c r="AT136" s="40">
        <v>178</v>
      </c>
      <c r="AU136" s="54">
        <v>-3955.7917309545992</v>
      </c>
      <c r="AV136" s="674">
        <v>514.09353202802788</v>
      </c>
      <c r="AW136" s="40">
        <v>0</v>
      </c>
      <c r="AX136" s="55">
        <v>-514.09353202802788</v>
      </c>
      <c r="AY136" s="674">
        <v>676.78526717540683</v>
      </c>
      <c r="AZ136" s="40">
        <v>0</v>
      </c>
      <c r="BA136" s="35">
        <v>-676.78526717540683</v>
      </c>
      <c r="BB136" s="674">
        <v>0</v>
      </c>
      <c r="BC136" s="40">
        <v>0</v>
      </c>
      <c r="BD136" s="55">
        <v>0</v>
      </c>
      <c r="BE136" s="674">
        <v>0</v>
      </c>
      <c r="BF136" s="40">
        <v>0</v>
      </c>
      <c r="BG136" s="38">
        <v>0</v>
      </c>
      <c r="BH136" s="674">
        <v>0</v>
      </c>
      <c r="BI136" s="40">
        <v>0</v>
      </c>
      <c r="BJ136" s="55">
        <v>0</v>
      </c>
      <c r="BK136" s="674">
        <v>121.66566369998588</v>
      </c>
      <c r="BL136" s="40">
        <v>0</v>
      </c>
      <c r="BM136" s="38">
        <v>-121.66566369998588</v>
      </c>
      <c r="BN136" s="674">
        <v>11.211</v>
      </c>
      <c r="BO136" s="40">
        <v>0</v>
      </c>
      <c r="BP136" s="55">
        <v>-11.211</v>
      </c>
      <c r="BQ136" s="77">
        <v>1323.7554629034205</v>
      </c>
      <c r="BR136" s="40">
        <v>0</v>
      </c>
      <c r="BS136" s="55">
        <v>-1323.7554629034205</v>
      </c>
      <c r="BT136" s="674">
        <v>251.23361291907378</v>
      </c>
      <c r="BU136" s="40">
        <v>328.44437325368784</v>
      </c>
      <c r="BV136" s="52">
        <v>77.210760334614065</v>
      </c>
      <c r="BW136" s="674">
        <v>277.88787814110646</v>
      </c>
      <c r="BX136" s="40">
        <v>766.50529661336145</v>
      </c>
      <c r="BY136" s="52">
        <v>488.617418472255</v>
      </c>
      <c r="BZ136" s="674">
        <v>206.61891964465642</v>
      </c>
      <c r="CA136" s="40">
        <v>109.07423343221771</v>
      </c>
      <c r="CB136" s="52">
        <v>-97.544686212438705</v>
      </c>
      <c r="CC136" s="674">
        <v>287.62426452839202</v>
      </c>
      <c r="CD136" s="40">
        <v>302.29915917730773</v>
      </c>
      <c r="CE136" s="52">
        <v>14.674894648915711</v>
      </c>
      <c r="CF136" s="674">
        <v>35.153628633383953</v>
      </c>
      <c r="CG136" s="40">
        <v>0</v>
      </c>
      <c r="CH136" s="52">
        <v>-35.153628633383953</v>
      </c>
      <c r="CI136" s="674">
        <v>60.748143882894119</v>
      </c>
      <c r="CJ136" s="40">
        <v>108.65426185647733</v>
      </c>
      <c r="CK136" s="52">
        <v>47.906117973583214</v>
      </c>
      <c r="CL136" s="674">
        <v>0</v>
      </c>
      <c r="CM136" s="40">
        <v>0</v>
      </c>
      <c r="CN136" s="52">
        <v>0</v>
      </c>
      <c r="CO136" s="39">
        <v>60.748143882894119</v>
      </c>
      <c r="CP136" s="40">
        <v>108.65426185647733</v>
      </c>
      <c r="CQ136" s="52">
        <v>47.906117973583214</v>
      </c>
      <c r="CR136" s="72">
        <v>12665.185918629641</v>
      </c>
      <c r="CS136" s="5">
        <v>7362.9705713487901</v>
      </c>
      <c r="CT136" s="52">
        <v>-5302.2153472808504</v>
      </c>
      <c r="CU136" s="77">
        <v>15198.223102355569</v>
      </c>
      <c r="CV136" s="65">
        <v>8835.5646856185485</v>
      </c>
      <c r="CW136" s="35">
        <v>-6362.6584167370202</v>
      </c>
      <c r="CX136" s="73">
        <v>459.54894842345465</v>
      </c>
      <c r="CY136" s="40">
        <v>6822.2073651604787</v>
      </c>
      <c r="CZ136" s="52">
        <v>6362.6584167370238</v>
      </c>
      <c r="DA136" s="150">
        <v>-4325.2123192177769</v>
      </c>
      <c r="DB136" s="2">
        <v>3</v>
      </c>
      <c r="DC136" s="675">
        <v>1558.2</v>
      </c>
      <c r="DD136" s="675">
        <v>0</v>
      </c>
      <c r="DE136" s="675">
        <v>183.97969316961985</v>
      </c>
      <c r="DF136" s="675">
        <v>0</v>
      </c>
      <c r="DG136" s="321">
        <v>2037.4460975192474</v>
      </c>
      <c r="DH136" s="40">
        <v>15656.590981813724</v>
      </c>
      <c r="DI136" s="422">
        <v>1374.22030683038</v>
      </c>
      <c r="DJ136" s="306">
        <v>3.6793047036957969</v>
      </c>
      <c r="DK136" s="306">
        <v>3.6793047036957969</v>
      </c>
      <c r="DL136" s="306">
        <v>3.5831688454069908</v>
      </c>
      <c r="DM136" s="28">
        <v>1374.2203068303802</v>
      </c>
      <c r="DN136" s="28">
        <v>0</v>
      </c>
      <c r="DO136" s="423">
        <v>1374.2203068303802</v>
      </c>
      <c r="DP136" s="94">
        <v>0</v>
      </c>
      <c r="DQ136" s="28">
        <v>1374.2203068303802</v>
      </c>
      <c r="DR136" s="318"/>
      <c r="DT136" s="8"/>
      <c r="DU136" s="5"/>
      <c r="DX136" s="5">
        <v>6549.056632629623</v>
      </c>
      <c r="DY136" s="5">
        <v>213.6</v>
      </c>
      <c r="DZ136" s="159">
        <v>578.08243605339692</v>
      </c>
      <c r="EB136" s="676">
        <v>300.50128190730607</v>
      </c>
      <c r="EC136" s="676">
        <v>-481.85972588298011</v>
      </c>
      <c r="ED136" s="676">
        <v>-549.42511006302459</v>
      </c>
      <c r="EE136" s="676">
        <v>-944.89321448056126</v>
      </c>
      <c r="EF136" s="676">
        <v>-827.51887831085685</v>
      </c>
      <c r="EG136" s="676">
        <v>-331.55543295291011</v>
      </c>
      <c r="EH136" s="676">
        <v>76.835973890254536</v>
      </c>
      <c r="EI136" s="676">
        <v>-768.7659547967512</v>
      </c>
      <c r="EJ136" s="676">
        <v>-785.22467379355567</v>
      </c>
      <c r="EK136" s="676">
        <v>-733.64122852445996</v>
      </c>
      <c r="EL136" s="676">
        <v>-816.79883342946619</v>
      </c>
      <c r="EM136" s="676">
        <v>-500.31262030001915</v>
      </c>
      <c r="EN136" s="676">
        <v>-6362.6584167370238</v>
      </c>
      <c r="EQ136" s="5">
        <v>6549.056632629623</v>
      </c>
      <c r="ER136" s="5">
        <v>213.6</v>
      </c>
      <c r="ET136" s="318">
        <v>967.73161612710555</v>
      </c>
      <c r="EU136" s="5">
        <v>-2234.8721733897437</v>
      </c>
    </row>
    <row r="137" spans="1:151" x14ac:dyDescent="0.3">
      <c r="A137" s="325">
        <v>150000578</v>
      </c>
      <c r="B137" s="41" t="s">
        <v>586</v>
      </c>
      <c r="C137" s="42" t="s">
        <v>84</v>
      </c>
      <c r="D137" s="27">
        <v>1</v>
      </c>
      <c r="E137" s="293">
        <v>173.75</v>
      </c>
      <c r="F137" s="305">
        <v>173.75</v>
      </c>
      <c r="G137" s="508">
        <v>0</v>
      </c>
      <c r="H137" s="677">
        <v>0</v>
      </c>
      <c r="I137" s="674">
        <v>0</v>
      </c>
      <c r="J137" s="40">
        <v>0</v>
      </c>
      <c r="K137" s="52">
        <v>0</v>
      </c>
      <c r="L137" s="674">
        <v>0</v>
      </c>
      <c r="M137" s="40">
        <v>0</v>
      </c>
      <c r="N137" s="52">
        <v>0</v>
      </c>
      <c r="O137" s="674">
        <v>0</v>
      </c>
      <c r="P137" s="40">
        <v>0</v>
      </c>
      <c r="Q137" s="52">
        <v>0</v>
      </c>
      <c r="R137" s="674">
        <v>0</v>
      </c>
      <c r="S137" s="40">
        <v>0</v>
      </c>
      <c r="T137" s="52">
        <v>0</v>
      </c>
      <c r="U137" s="674">
        <v>0</v>
      </c>
      <c r="V137" s="40">
        <v>0</v>
      </c>
      <c r="W137" s="52">
        <v>0</v>
      </c>
      <c r="X137" s="674">
        <v>0</v>
      </c>
      <c r="Y137" s="40">
        <v>0</v>
      </c>
      <c r="Z137" s="52">
        <v>0</v>
      </c>
      <c r="AA137" s="674">
        <v>20.85</v>
      </c>
      <c r="AB137" s="40">
        <v>0</v>
      </c>
      <c r="AC137" s="52">
        <v>-20.85</v>
      </c>
      <c r="AD137" s="674">
        <v>156.59862131938272</v>
      </c>
      <c r="AE137" s="40">
        <v>738.21542006650373</v>
      </c>
      <c r="AF137" s="35">
        <v>581.61679874712104</v>
      </c>
      <c r="AG137" s="77">
        <v>177.44862131938271</v>
      </c>
      <c r="AH137" s="53">
        <v>738.21542006650373</v>
      </c>
      <c r="AI137" s="52">
        <v>560.76679874712102</v>
      </c>
      <c r="AJ137" s="674">
        <v>0</v>
      </c>
      <c r="AK137" s="40">
        <v>0</v>
      </c>
      <c r="AL137" s="52">
        <v>0</v>
      </c>
      <c r="AM137" s="674">
        <v>0</v>
      </c>
      <c r="AN137" s="40">
        <v>0</v>
      </c>
      <c r="AO137" s="52">
        <v>0</v>
      </c>
      <c r="AP137" s="674">
        <v>179.87339643404744</v>
      </c>
      <c r="AQ137" s="40">
        <v>149.58816640996957</v>
      </c>
      <c r="AR137" s="52">
        <v>-30.285230024077862</v>
      </c>
      <c r="AS137" s="674">
        <v>2182.8181592081996</v>
      </c>
      <c r="AT137" s="40">
        <v>0</v>
      </c>
      <c r="AU137" s="54">
        <v>-2182.8181592081996</v>
      </c>
      <c r="AV137" s="674">
        <v>0</v>
      </c>
      <c r="AW137" s="40">
        <v>0</v>
      </c>
      <c r="AX137" s="55">
        <v>0</v>
      </c>
      <c r="AY137" s="674">
        <v>0</v>
      </c>
      <c r="AZ137" s="40">
        <v>0</v>
      </c>
      <c r="BA137" s="35">
        <v>0</v>
      </c>
      <c r="BB137" s="674">
        <v>0</v>
      </c>
      <c r="BC137" s="40">
        <v>0</v>
      </c>
      <c r="BD137" s="55">
        <v>0</v>
      </c>
      <c r="BE137" s="674">
        <v>0</v>
      </c>
      <c r="BF137" s="40">
        <v>0</v>
      </c>
      <c r="BG137" s="38">
        <v>0</v>
      </c>
      <c r="BH137" s="674">
        <v>0</v>
      </c>
      <c r="BI137" s="40">
        <v>0</v>
      </c>
      <c r="BJ137" s="55">
        <v>0</v>
      </c>
      <c r="BK137" s="674">
        <v>0</v>
      </c>
      <c r="BL137" s="40">
        <v>0</v>
      </c>
      <c r="BM137" s="38">
        <v>0</v>
      </c>
      <c r="BN137" s="674">
        <v>5.2125000000000004</v>
      </c>
      <c r="BO137" s="40">
        <v>0</v>
      </c>
      <c r="BP137" s="55">
        <v>-5.2125000000000004</v>
      </c>
      <c r="BQ137" s="77">
        <v>5.2125000000000004</v>
      </c>
      <c r="BR137" s="40">
        <v>0</v>
      </c>
      <c r="BS137" s="55">
        <v>-5.2125000000000004</v>
      </c>
      <c r="BT137" s="674">
        <v>71.781032262592504</v>
      </c>
      <c r="BU137" s="40">
        <v>93.869332493052823</v>
      </c>
      <c r="BV137" s="52">
        <v>22.08830023046032</v>
      </c>
      <c r="BW137" s="674">
        <v>0</v>
      </c>
      <c r="BX137" s="40">
        <v>3.9522355998390477</v>
      </c>
      <c r="BY137" s="52">
        <v>3.9522355998390477</v>
      </c>
      <c r="BZ137" s="674">
        <v>0</v>
      </c>
      <c r="CA137" s="40">
        <v>31.159034695084443</v>
      </c>
      <c r="CB137" s="52">
        <v>31.159034695084443</v>
      </c>
      <c r="CC137" s="674">
        <v>0</v>
      </c>
      <c r="CD137" s="40">
        <v>0</v>
      </c>
      <c r="CE137" s="52">
        <v>0</v>
      </c>
      <c r="CF137" s="674">
        <v>0</v>
      </c>
      <c r="CG137" s="40">
        <v>0</v>
      </c>
      <c r="CH137" s="52">
        <v>0</v>
      </c>
      <c r="CI137" s="674">
        <v>0</v>
      </c>
      <c r="CJ137" s="40">
        <v>0</v>
      </c>
      <c r="CK137" s="52">
        <v>0</v>
      </c>
      <c r="CL137" s="674">
        <v>0</v>
      </c>
      <c r="CM137" s="40">
        <v>0</v>
      </c>
      <c r="CN137" s="52">
        <v>0</v>
      </c>
      <c r="CO137" s="39">
        <v>0</v>
      </c>
      <c r="CP137" s="40">
        <v>0</v>
      </c>
      <c r="CQ137" s="52">
        <v>0</v>
      </c>
      <c r="CR137" s="72">
        <v>2617.133709224222</v>
      </c>
      <c r="CS137" s="5">
        <v>1016.7841892644497</v>
      </c>
      <c r="CT137" s="52">
        <v>-1600.3495199597724</v>
      </c>
      <c r="CU137" s="77">
        <v>3140.5604510690664</v>
      </c>
      <c r="CV137" s="65">
        <v>1220.1410271173395</v>
      </c>
      <c r="CW137" s="35">
        <v>-1920.4194239517269</v>
      </c>
      <c r="CX137" s="73">
        <v>69.90377972740086</v>
      </c>
      <c r="CY137" s="40">
        <v>1990.3232036791283</v>
      </c>
      <c r="CZ137" s="52">
        <v>1920.4194239517274</v>
      </c>
      <c r="DA137" s="150">
        <v>-3604.7715484406949</v>
      </c>
      <c r="DB137" s="2">
        <v>3</v>
      </c>
      <c r="DC137" s="675">
        <v>422.28</v>
      </c>
      <c r="DD137" s="675">
        <v>0</v>
      </c>
      <c r="DE137" s="675">
        <v>140.68811206209062</v>
      </c>
      <c r="DF137" s="675">
        <v>0</v>
      </c>
      <c r="DG137" s="321">
        <v>-1684.3521244889673</v>
      </c>
      <c r="DH137" s="40">
        <v>3210.2214904141933</v>
      </c>
      <c r="DI137" s="422">
        <v>281.59188793790935</v>
      </c>
      <c r="DJ137" s="306">
        <v>1.6206727363332911</v>
      </c>
      <c r="DK137" s="306">
        <v>1.6206727363332911</v>
      </c>
      <c r="DL137" s="306">
        <v>1.6206727363332911</v>
      </c>
      <c r="DM137" s="28">
        <v>281.59188793790935</v>
      </c>
      <c r="DN137" s="28">
        <v>0</v>
      </c>
      <c r="DO137" s="423">
        <v>281.59188793790935</v>
      </c>
      <c r="DP137" s="94">
        <v>0</v>
      </c>
      <c r="DQ137" s="28">
        <v>281.59188793790935</v>
      </c>
      <c r="DR137" s="318"/>
      <c r="DT137" s="8"/>
      <c r="DU137" s="5"/>
      <c r="DX137" s="5">
        <v>2625.6367910498398</v>
      </c>
      <c r="DY137" s="5">
        <v>0</v>
      </c>
      <c r="DZ137" s="159">
        <v>248.91927430636855</v>
      </c>
      <c r="EB137" s="676">
        <v>-13.548261887890732</v>
      </c>
      <c r="EC137" s="676">
        <v>-121.12776753399825</v>
      </c>
      <c r="ED137" s="676">
        <v>-117.98175209937074</v>
      </c>
      <c r="EE137" s="676">
        <v>-225.17430098011846</v>
      </c>
      <c r="EF137" s="676">
        <v>-198.11001616762809</v>
      </c>
      <c r="EG137" s="676">
        <v>-201.9018078196172</v>
      </c>
      <c r="EH137" s="676">
        <v>-114.52387372218931</v>
      </c>
      <c r="EI137" s="676">
        <v>-172.57323499158633</v>
      </c>
      <c r="EJ137" s="676">
        <v>-200.50727368180185</v>
      </c>
      <c r="EK137" s="676">
        <v>-165.34146491662625</v>
      </c>
      <c r="EL137" s="676">
        <v>-188.52501059081652</v>
      </c>
      <c r="EM137" s="676">
        <v>-201.10465956008375</v>
      </c>
      <c r="EN137" s="676">
        <v>-1920.4194239517276</v>
      </c>
      <c r="EQ137" s="5">
        <v>2625.6367910498398</v>
      </c>
      <c r="ER137" s="5">
        <v>0</v>
      </c>
      <c r="ET137" s="318">
        <v>-1021.1856989367644</v>
      </c>
      <c r="EU137" s="5">
        <v>-1251.1664255522026</v>
      </c>
    </row>
    <row r="138" spans="1:151" x14ac:dyDescent="0.3">
      <c r="A138" s="325">
        <v>150000580</v>
      </c>
      <c r="B138" s="41" t="s">
        <v>587</v>
      </c>
      <c r="C138" s="42" t="s">
        <v>85</v>
      </c>
      <c r="D138" s="27">
        <v>1</v>
      </c>
      <c r="E138" s="293">
        <v>188.4</v>
      </c>
      <c r="F138" s="305">
        <v>188.4</v>
      </c>
      <c r="G138" s="508">
        <v>0</v>
      </c>
      <c r="H138" s="677">
        <v>0</v>
      </c>
      <c r="I138" s="674">
        <v>0</v>
      </c>
      <c r="J138" s="40">
        <v>0</v>
      </c>
      <c r="K138" s="52">
        <v>0</v>
      </c>
      <c r="L138" s="674">
        <v>0</v>
      </c>
      <c r="M138" s="40">
        <v>0</v>
      </c>
      <c r="N138" s="52">
        <v>0</v>
      </c>
      <c r="O138" s="674">
        <v>0</v>
      </c>
      <c r="P138" s="40">
        <v>0</v>
      </c>
      <c r="Q138" s="52">
        <v>0</v>
      </c>
      <c r="R138" s="674">
        <v>0</v>
      </c>
      <c r="S138" s="40">
        <v>0</v>
      </c>
      <c r="T138" s="52">
        <v>0</v>
      </c>
      <c r="U138" s="674">
        <v>0</v>
      </c>
      <c r="V138" s="40">
        <v>0</v>
      </c>
      <c r="W138" s="52">
        <v>0</v>
      </c>
      <c r="X138" s="674">
        <v>0</v>
      </c>
      <c r="Y138" s="40">
        <v>0</v>
      </c>
      <c r="Z138" s="52">
        <v>0</v>
      </c>
      <c r="AA138" s="674">
        <v>22.608000000000001</v>
      </c>
      <c r="AB138" s="40">
        <v>0</v>
      </c>
      <c r="AC138" s="52">
        <v>-22.608000000000001</v>
      </c>
      <c r="AD138" s="674">
        <v>169.77779927884092</v>
      </c>
      <c r="AE138" s="40">
        <v>800.45919505340612</v>
      </c>
      <c r="AF138" s="35">
        <v>630.6813957745652</v>
      </c>
      <c r="AG138" s="77">
        <v>192.38579927884092</v>
      </c>
      <c r="AH138" s="53">
        <v>800.45919505340612</v>
      </c>
      <c r="AI138" s="52">
        <v>608.07339577456514</v>
      </c>
      <c r="AJ138" s="674">
        <v>0</v>
      </c>
      <c r="AK138" s="40">
        <v>0</v>
      </c>
      <c r="AL138" s="52">
        <v>0</v>
      </c>
      <c r="AM138" s="674">
        <v>0</v>
      </c>
      <c r="AN138" s="40">
        <v>0</v>
      </c>
      <c r="AO138" s="52">
        <v>0</v>
      </c>
      <c r="AP138" s="674">
        <v>134.90504732553558</v>
      </c>
      <c r="AQ138" s="40">
        <v>112.19112480747719</v>
      </c>
      <c r="AR138" s="52">
        <v>-22.713922518058382</v>
      </c>
      <c r="AS138" s="674">
        <v>1822.3780410846682</v>
      </c>
      <c r="AT138" s="40">
        <v>0</v>
      </c>
      <c r="AU138" s="54">
        <v>-1822.3780410846682</v>
      </c>
      <c r="AV138" s="674">
        <v>0</v>
      </c>
      <c r="AW138" s="40">
        <v>0</v>
      </c>
      <c r="AX138" s="55">
        <v>0</v>
      </c>
      <c r="AY138" s="674">
        <v>0</v>
      </c>
      <c r="AZ138" s="40">
        <v>0</v>
      </c>
      <c r="BA138" s="35">
        <v>0</v>
      </c>
      <c r="BB138" s="674">
        <v>0</v>
      </c>
      <c r="BC138" s="40">
        <v>0</v>
      </c>
      <c r="BD138" s="55">
        <v>0</v>
      </c>
      <c r="BE138" s="674">
        <v>0</v>
      </c>
      <c r="BF138" s="40">
        <v>0</v>
      </c>
      <c r="BG138" s="38">
        <v>0</v>
      </c>
      <c r="BH138" s="674">
        <v>0</v>
      </c>
      <c r="BI138" s="40">
        <v>0</v>
      </c>
      <c r="BJ138" s="55">
        <v>0</v>
      </c>
      <c r="BK138" s="674">
        <v>0</v>
      </c>
      <c r="BL138" s="40">
        <v>0</v>
      </c>
      <c r="BM138" s="38">
        <v>0</v>
      </c>
      <c r="BN138" s="674">
        <v>5.6520000000000001</v>
      </c>
      <c r="BO138" s="40">
        <v>0</v>
      </c>
      <c r="BP138" s="55">
        <v>-5.6520000000000001</v>
      </c>
      <c r="BQ138" s="77">
        <v>5.6520000000000001</v>
      </c>
      <c r="BR138" s="40">
        <v>0</v>
      </c>
      <c r="BS138" s="55">
        <v>-5.6520000000000001</v>
      </c>
      <c r="BT138" s="674">
        <v>143.56206452518501</v>
      </c>
      <c r="BU138" s="40">
        <v>187.62512710123201</v>
      </c>
      <c r="BV138" s="52">
        <v>44.063062576047002</v>
      </c>
      <c r="BW138" s="674">
        <v>0</v>
      </c>
      <c r="BX138" s="40">
        <v>4.2854744576096486</v>
      </c>
      <c r="BY138" s="52">
        <v>4.2854744576096486</v>
      </c>
      <c r="BZ138" s="674">
        <v>0</v>
      </c>
      <c r="CA138" s="40">
        <v>62.314481895064745</v>
      </c>
      <c r="CB138" s="52">
        <v>62.314481895064745</v>
      </c>
      <c r="CC138" s="674">
        <v>0</v>
      </c>
      <c r="CD138" s="40">
        <v>0</v>
      </c>
      <c r="CE138" s="52">
        <v>0</v>
      </c>
      <c r="CF138" s="674">
        <v>0</v>
      </c>
      <c r="CG138" s="40">
        <v>0</v>
      </c>
      <c r="CH138" s="52">
        <v>0</v>
      </c>
      <c r="CI138" s="674">
        <v>0</v>
      </c>
      <c r="CJ138" s="40">
        <v>0</v>
      </c>
      <c r="CK138" s="52">
        <v>0</v>
      </c>
      <c r="CL138" s="674">
        <v>0</v>
      </c>
      <c r="CM138" s="40">
        <v>0</v>
      </c>
      <c r="CN138" s="52">
        <v>0</v>
      </c>
      <c r="CO138" s="39">
        <v>0</v>
      </c>
      <c r="CP138" s="40">
        <v>0</v>
      </c>
      <c r="CQ138" s="52">
        <v>0</v>
      </c>
      <c r="CR138" s="72">
        <v>2298.88295221423</v>
      </c>
      <c r="CS138" s="5">
        <v>1166.8754033147898</v>
      </c>
      <c r="CT138" s="52">
        <v>-1132.0075488994403</v>
      </c>
      <c r="CU138" s="77">
        <v>2758.6595426570761</v>
      </c>
      <c r="CV138" s="65">
        <v>1400.2504839777478</v>
      </c>
      <c r="CW138" s="35">
        <v>-1358.4090586793284</v>
      </c>
      <c r="CX138" s="73">
        <v>83.399794148987482</v>
      </c>
      <c r="CY138" s="40">
        <v>1441.8088528283151</v>
      </c>
      <c r="CZ138" s="52">
        <v>1358.4090586793277</v>
      </c>
      <c r="DA138" s="150">
        <v>-4971.7690640857727</v>
      </c>
      <c r="DB138" s="2">
        <v>3</v>
      </c>
      <c r="DC138" s="675">
        <v>249.5</v>
      </c>
      <c r="DD138" s="675">
        <v>0</v>
      </c>
      <c r="DE138" s="675">
        <v>5.1034074098765814E-4</v>
      </c>
      <c r="DF138" s="675">
        <v>0</v>
      </c>
      <c r="DG138" s="321">
        <v>-3613.3600054064455</v>
      </c>
      <c r="DH138" s="40">
        <v>2841.8451640790486</v>
      </c>
      <c r="DI138" s="422">
        <v>249.49948965925907</v>
      </c>
      <c r="DJ138" s="306">
        <v>1.324307269953604</v>
      </c>
      <c r="DK138" s="306">
        <v>1.324307269953604</v>
      </c>
      <c r="DL138" s="306">
        <v>1.324307269953604</v>
      </c>
      <c r="DM138" s="28">
        <v>249.49948965925901</v>
      </c>
      <c r="DN138" s="28">
        <v>0</v>
      </c>
      <c r="DO138" s="423">
        <v>249.49948965925901</v>
      </c>
      <c r="DP138" s="94">
        <v>0</v>
      </c>
      <c r="DQ138" s="28">
        <v>249.49948965925901</v>
      </c>
      <c r="DR138" s="318"/>
      <c r="DT138" s="8"/>
      <c r="DU138" s="5"/>
      <c r="DX138" s="5">
        <v>2193.6360493016018</v>
      </c>
      <c r="DY138" s="5">
        <v>0</v>
      </c>
      <c r="DZ138" s="159">
        <v>210.06726300617294</v>
      </c>
      <c r="EB138" s="676">
        <v>-1.3341346674035321</v>
      </c>
      <c r="EC138" s="676">
        <v>-87.998282577567508</v>
      </c>
      <c r="ED138" s="676">
        <v>-84.587005985430395</v>
      </c>
      <c r="EE138" s="676">
        <v>-186.75194929739547</v>
      </c>
      <c r="EF138" s="676">
        <v>-140.90568885482637</v>
      </c>
      <c r="EG138" s="676">
        <v>-145.28805981942821</v>
      </c>
      <c r="EH138" s="676">
        <v>-80.555206629092936</v>
      </c>
      <c r="EI138" s="676">
        <v>-112.8408115483783</v>
      </c>
      <c r="EJ138" s="676">
        <v>-143.10941236642643</v>
      </c>
      <c r="EK138" s="676">
        <v>-103.73217343783907</v>
      </c>
      <c r="EL138" s="676">
        <v>-129.52271087001202</v>
      </c>
      <c r="EM138" s="676">
        <v>-141.78362262552724</v>
      </c>
      <c r="EN138" s="676">
        <v>-1358.4090586793272</v>
      </c>
      <c r="EQ138" s="5">
        <v>2193.6360493016018</v>
      </c>
      <c r="ER138" s="5">
        <v>0</v>
      </c>
      <c r="ET138" s="318">
        <v>-1013.2985376798239</v>
      </c>
      <c r="EU138" s="5">
        <v>-893.06146772662123</v>
      </c>
    </row>
    <row r="139" spans="1:151" x14ac:dyDescent="0.3">
      <c r="A139" s="325">
        <v>150001054</v>
      </c>
      <c r="B139" s="41" t="s">
        <v>588</v>
      </c>
      <c r="C139" s="42" t="s">
        <v>86</v>
      </c>
      <c r="D139" s="27">
        <v>1</v>
      </c>
      <c r="E139" s="293">
        <v>195.6</v>
      </c>
      <c r="F139" s="305">
        <v>195.6</v>
      </c>
      <c r="G139" s="508">
        <v>0</v>
      </c>
      <c r="H139" s="677">
        <v>0</v>
      </c>
      <c r="I139" s="674">
        <v>0</v>
      </c>
      <c r="J139" s="40">
        <v>0</v>
      </c>
      <c r="K139" s="52">
        <v>0</v>
      </c>
      <c r="L139" s="674">
        <v>0</v>
      </c>
      <c r="M139" s="40">
        <v>0</v>
      </c>
      <c r="N139" s="52">
        <v>0</v>
      </c>
      <c r="O139" s="674">
        <v>0</v>
      </c>
      <c r="P139" s="40">
        <v>0</v>
      </c>
      <c r="Q139" s="52">
        <v>0</v>
      </c>
      <c r="R139" s="674">
        <v>0</v>
      </c>
      <c r="S139" s="40">
        <v>0</v>
      </c>
      <c r="T139" s="52">
        <v>0</v>
      </c>
      <c r="U139" s="674">
        <v>0</v>
      </c>
      <c r="V139" s="40">
        <v>0</v>
      </c>
      <c r="W139" s="52">
        <v>0</v>
      </c>
      <c r="X139" s="674">
        <v>0</v>
      </c>
      <c r="Y139" s="40">
        <v>0</v>
      </c>
      <c r="Z139" s="52">
        <v>0</v>
      </c>
      <c r="AA139" s="674">
        <v>23.472000000000001</v>
      </c>
      <c r="AB139" s="40">
        <v>0</v>
      </c>
      <c r="AC139" s="52">
        <v>-23.472000000000001</v>
      </c>
      <c r="AD139" s="674">
        <v>176.28596237487614</v>
      </c>
      <c r="AE139" s="40">
        <v>831.0499923165936</v>
      </c>
      <c r="AF139" s="35">
        <v>654.76402994171747</v>
      </c>
      <c r="AG139" s="77">
        <v>199.75796237487614</v>
      </c>
      <c r="AH139" s="53">
        <v>831.0499923165936</v>
      </c>
      <c r="AI139" s="52">
        <v>631.29202994171749</v>
      </c>
      <c r="AJ139" s="674">
        <v>0</v>
      </c>
      <c r="AK139" s="40">
        <v>0</v>
      </c>
      <c r="AL139" s="52">
        <v>0</v>
      </c>
      <c r="AM139" s="674">
        <v>0</v>
      </c>
      <c r="AN139" s="40">
        <v>0</v>
      </c>
      <c r="AO139" s="52">
        <v>0</v>
      </c>
      <c r="AP139" s="674">
        <v>269.81009465107115</v>
      </c>
      <c r="AQ139" s="40">
        <v>227.53577317965235</v>
      </c>
      <c r="AR139" s="52">
        <v>-42.274321471418801</v>
      </c>
      <c r="AS139" s="674">
        <v>1980.1919985252521</v>
      </c>
      <c r="AT139" s="40">
        <v>0</v>
      </c>
      <c r="AU139" s="54">
        <v>-1980.1919985252521</v>
      </c>
      <c r="AV139" s="674">
        <v>0</v>
      </c>
      <c r="AW139" s="40">
        <v>0</v>
      </c>
      <c r="AX139" s="55">
        <v>0</v>
      </c>
      <c r="AY139" s="674">
        <v>0</v>
      </c>
      <c r="AZ139" s="40">
        <v>0</v>
      </c>
      <c r="BA139" s="35">
        <v>0</v>
      </c>
      <c r="BB139" s="674">
        <v>0</v>
      </c>
      <c r="BC139" s="40">
        <v>0</v>
      </c>
      <c r="BD139" s="55">
        <v>0</v>
      </c>
      <c r="BE139" s="674">
        <v>0</v>
      </c>
      <c r="BF139" s="40">
        <v>0</v>
      </c>
      <c r="BG139" s="38">
        <v>0</v>
      </c>
      <c r="BH139" s="674">
        <v>0</v>
      </c>
      <c r="BI139" s="40">
        <v>0</v>
      </c>
      <c r="BJ139" s="55">
        <v>0</v>
      </c>
      <c r="BK139" s="674">
        <v>0</v>
      </c>
      <c r="BL139" s="40">
        <v>0</v>
      </c>
      <c r="BM139" s="38">
        <v>0</v>
      </c>
      <c r="BN139" s="674">
        <v>5.8680000000000003</v>
      </c>
      <c r="BO139" s="40">
        <v>0</v>
      </c>
      <c r="BP139" s="55">
        <v>-5.8680000000000003</v>
      </c>
      <c r="BQ139" s="77">
        <v>5.8680000000000003</v>
      </c>
      <c r="BR139" s="40">
        <v>0</v>
      </c>
      <c r="BS139" s="55">
        <v>-5.8680000000000003</v>
      </c>
      <c r="BT139" s="674">
        <v>161.50732259083321</v>
      </c>
      <c r="BU139" s="40">
        <v>210.4500441842788</v>
      </c>
      <c r="BV139" s="52">
        <v>48.942721593445583</v>
      </c>
      <c r="BW139" s="674">
        <v>0</v>
      </c>
      <c r="BX139" s="40">
        <v>4.449250551531037</v>
      </c>
      <c r="BY139" s="52">
        <v>4.449250551531037</v>
      </c>
      <c r="BZ139" s="674">
        <v>0</v>
      </c>
      <c r="CA139" s="40">
        <v>69.217166380242503</v>
      </c>
      <c r="CB139" s="52">
        <v>69.217166380242503</v>
      </c>
      <c r="CC139" s="674">
        <v>0</v>
      </c>
      <c r="CD139" s="40">
        <v>0</v>
      </c>
      <c r="CE139" s="52">
        <v>0</v>
      </c>
      <c r="CF139" s="674">
        <v>0</v>
      </c>
      <c r="CG139" s="40">
        <v>0</v>
      </c>
      <c r="CH139" s="52">
        <v>0</v>
      </c>
      <c r="CI139" s="674">
        <v>0</v>
      </c>
      <c r="CJ139" s="40">
        <v>0</v>
      </c>
      <c r="CK139" s="52">
        <v>0</v>
      </c>
      <c r="CL139" s="674">
        <v>0</v>
      </c>
      <c r="CM139" s="40">
        <v>0</v>
      </c>
      <c r="CN139" s="52">
        <v>0</v>
      </c>
      <c r="CO139" s="39">
        <v>0</v>
      </c>
      <c r="CP139" s="40">
        <v>0</v>
      </c>
      <c r="CQ139" s="52">
        <v>0</v>
      </c>
      <c r="CR139" s="72">
        <v>2617.1353781420326</v>
      </c>
      <c r="CS139" s="5">
        <v>1342.7022266122985</v>
      </c>
      <c r="CT139" s="52">
        <v>-1274.433151529734</v>
      </c>
      <c r="CU139" s="77">
        <v>3140.5624537704389</v>
      </c>
      <c r="CV139" s="65">
        <v>1611.2426719347582</v>
      </c>
      <c r="CW139" s="35">
        <v>-1529.3197818356807</v>
      </c>
      <c r="CX139" s="73">
        <v>95.025149645931776</v>
      </c>
      <c r="CY139" s="40">
        <v>1624.344931481613</v>
      </c>
      <c r="CZ139" s="52">
        <v>1529.3197818356812</v>
      </c>
      <c r="DA139" s="150">
        <v>-2605.9754854312214</v>
      </c>
      <c r="DB139" s="2">
        <v>3</v>
      </c>
      <c r="DC139" s="675">
        <v>338.21</v>
      </c>
      <c r="DD139" s="675">
        <v>0</v>
      </c>
      <c r="DE139" s="675">
        <v>54.527353754836156</v>
      </c>
      <c r="DF139" s="675">
        <v>0</v>
      </c>
      <c r="DG139" s="321">
        <v>-1076.6557035955402</v>
      </c>
      <c r="DH139" s="40">
        <v>3235.3425989170682</v>
      </c>
      <c r="DI139" s="422">
        <v>283.68264624516382</v>
      </c>
      <c r="DJ139" s="306">
        <v>1.4503202773270134</v>
      </c>
      <c r="DK139" s="306">
        <v>1.4503202773270134</v>
      </c>
      <c r="DL139" s="306">
        <v>1.4503202773270134</v>
      </c>
      <c r="DM139" s="28">
        <v>283.68264624516382</v>
      </c>
      <c r="DN139" s="28">
        <v>0</v>
      </c>
      <c r="DO139" s="423">
        <v>283.68264624516382</v>
      </c>
      <c r="DP139" s="94">
        <v>0</v>
      </c>
      <c r="DQ139" s="28">
        <v>283.68264624516382</v>
      </c>
      <c r="DR139" s="318"/>
      <c r="DT139" s="8"/>
      <c r="DU139" s="5"/>
      <c r="DX139" s="5">
        <v>2383.2719982303024</v>
      </c>
      <c r="DY139" s="5">
        <v>0</v>
      </c>
      <c r="DZ139" s="159">
        <v>226.8187183467677</v>
      </c>
      <c r="EB139" s="676">
        <v>-91.244139756118614</v>
      </c>
      <c r="EC139" s="676">
        <v>25.787588122584424</v>
      </c>
      <c r="ED139" s="676">
        <v>-107.83753103276057</v>
      </c>
      <c r="EE139" s="676">
        <v>-217.9359364604247</v>
      </c>
      <c r="EF139" s="676">
        <v>-167.20364579030104</v>
      </c>
      <c r="EG139" s="676">
        <v>-171.80494355660738</v>
      </c>
      <c r="EH139" s="676">
        <v>-174.52902158923723</v>
      </c>
      <c r="EI139" s="676">
        <v>-24.621667493713346</v>
      </c>
      <c r="EJ139" s="676">
        <v>-146.91361930773004</v>
      </c>
      <c r="EK139" s="676">
        <v>-128.29724280062226</v>
      </c>
      <c r="EL139" s="676">
        <v>-155.19730178783686</v>
      </c>
      <c r="EM139" s="676">
        <v>-169.52232038291359</v>
      </c>
      <c r="EN139" s="676">
        <v>-1529.3197818356812</v>
      </c>
      <c r="EQ139" s="5">
        <v>2383.2719982303024</v>
      </c>
      <c r="ER139" s="5">
        <v>0</v>
      </c>
      <c r="ET139" s="318">
        <v>-1184.3364582452964</v>
      </c>
      <c r="EU139" s="5">
        <v>-381.31924535024382</v>
      </c>
    </row>
    <row r="140" spans="1:151" x14ac:dyDescent="0.3">
      <c r="A140" s="325">
        <v>150000634</v>
      </c>
      <c r="B140" s="41" t="s">
        <v>589</v>
      </c>
      <c r="C140" s="42" t="s">
        <v>87</v>
      </c>
      <c r="D140" s="27">
        <v>1</v>
      </c>
      <c r="E140" s="293">
        <v>196.35</v>
      </c>
      <c r="F140" s="305">
        <v>196.35</v>
      </c>
      <c r="G140" s="508">
        <v>0</v>
      </c>
      <c r="H140" s="677">
        <v>0</v>
      </c>
      <c r="I140" s="674">
        <v>0</v>
      </c>
      <c r="J140" s="40">
        <v>0</v>
      </c>
      <c r="K140" s="52">
        <v>0</v>
      </c>
      <c r="L140" s="674">
        <v>0</v>
      </c>
      <c r="M140" s="40">
        <v>0</v>
      </c>
      <c r="N140" s="52">
        <v>0</v>
      </c>
      <c r="O140" s="674">
        <v>0</v>
      </c>
      <c r="P140" s="40">
        <v>0</v>
      </c>
      <c r="Q140" s="52">
        <v>0</v>
      </c>
      <c r="R140" s="674">
        <v>0</v>
      </c>
      <c r="S140" s="40">
        <v>0</v>
      </c>
      <c r="T140" s="52">
        <v>0</v>
      </c>
      <c r="U140" s="674">
        <v>0</v>
      </c>
      <c r="V140" s="40">
        <v>0</v>
      </c>
      <c r="W140" s="52">
        <v>0</v>
      </c>
      <c r="X140" s="674">
        <v>0</v>
      </c>
      <c r="Y140" s="40">
        <v>0</v>
      </c>
      <c r="Z140" s="52">
        <v>0</v>
      </c>
      <c r="AA140" s="674">
        <v>23.562000000000001</v>
      </c>
      <c r="AB140" s="40">
        <v>0</v>
      </c>
      <c r="AC140" s="52">
        <v>-23.562000000000001</v>
      </c>
      <c r="AD140" s="674">
        <v>176.96522035486464</v>
      </c>
      <c r="AE140" s="40">
        <v>834.23653369817555</v>
      </c>
      <c r="AF140" s="35">
        <v>657.27131334331091</v>
      </c>
      <c r="AG140" s="77">
        <v>200.52722035486465</v>
      </c>
      <c r="AH140" s="53">
        <v>834.23653369817555</v>
      </c>
      <c r="AI140" s="52">
        <v>633.7093133433109</v>
      </c>
      <c r="AJ140" s="674">
        <v>0</v>
      </c>
      <c r="AK140" s="40">
        <v>0</v>
      </c>
      <c r="AL140" s="52">
        <v>0</v>
      </c>
      <c r="AM140" s="674">
        <v>0</v>
      </c>
      <c r="AN140" s="40">
        <v>0</v>
      </c>
      <c r="AO140" s="52">
        <v>0</v>
      </c>
      <c r="AP140" s="674">
        <v>359.74679286809487</v>
      </c>
      <c r="AQ140" s="40">
        <v>299.17633281993915</v>
      </c>
      <c r="AR140" s="52">
        <v>-60.570460048155724</v>
      </c>
      <c r="AS140" s="674">
        <v>2454.5618842690692</v>
      </c>
      <c r="AT140" s="40">
        <v>707</v>
      </c>
      <c r="AU140" s="54">
        <v>-1747.5618842690692</v>
      </c>
      <c r="AV140" s="674">
        <v>0</v>
      </c>
      <c r="AW140" s="40">
        <v>0</v>
      </c>
      <c r="AX140" s="55">
        <v>0</v>
      </c>
      <c r="AY140" s="674">
        <v>0</v>
      </c>
      <c r="AZ140" s="40">
        <v>0</v>
      </c>
      <c r="BA140" s="35">
        <v>0</v>
      </c>
      <c r="BB140" s="674">
        <v>0</v>
      </c>
      <c r="BC140" s="40">
        <v>0</v>
      </c>
      <c r="BD140" s="55">
        <v>0</v>
      </c>
      <c r="BE140" s="674">
        <v>0</v>
      </c>
      <c r="BF140" s="40">
        <v>0</v>
      </c>
      <c r="BG140" s="38">
        <v>0</v>
      </c>
      <c r="BH140" s="674">
        <v>0</v>
      </c>
      <c r="BI140" s="40">
        <v>0</v>
      </c>
      <c r="BJ140" s="55">
        <v>0</v>
      </c>
      <c r="BK140" s="674">
        <v>0</v>
      </c>
      <c r="BL140" s="40">
        <v>0</v>
      </c>
      <c r="BM140" s="38">
        <v>0</v>
      </c>
      <c r="BN140" s="674">
        <v>5.8905000000000003</v>
      </c>
      <c r="BO140" s="40">
        <v>0</v>
      </c>
      <c r="BP140" s="55">
        <v>-5.8905000000000003</v>
      </c>
      <c r="BQ140" s="77">
        <v>5.8905000000000003</v>
      </c>
      <c r="BR140" s="40">
        <v>0</v>
      </c>
      <c r="BS140" s="55">
        <v>-5.8905000000000003</v>
      </c>
      <c r="BT140" s="674">
        <v>179.45258065648133</v>
      </c>
      <c r="BU140" s="40">
        <v>234.47480389872013</v>
      </c>
      <c r="BV140" s="52">
        <v>55.022223242238795</v>
      </c>
      <c r="BW140" s="674">
        <v>0</v>
      </c>
      <c r="BX140" s="40">
        <v>4.4663105613145149</v>
      </c>
      <c r="BY140" s="52">
        <v>4.4663105613145149</v>
      </c>
      <c r="BZ140" s="674">
        <v>0</v>
      </c>
      <c r="CA140" s="40">
        <v>77.719303135380414</v>
      </c>
      <c r="CB140" s="52">
        <v>77.719303135380414</v>
      </c>
      <c r="CC140" s="674">
        <v>0</v>
      </c>
      <c r="CD140" s="40">
        <v>0</v>
      </c>
      <c r="CE140" s="52">
        <v>0</v>
      </c>
      <c r="CF140" s="674">
        <v>0</v>
      </c>
      <c r="CG140" s="40">
        <v>0</v>
      </c>
      <c r="CH140" s="52">
        <v>0</v>
      </c>
      <c r="CI140" s="674">
        <v>0</v>
      </c>
      <c r="CJ140" s="40">
        <v>0</v>
      </c>
      <c r="CK140" s="52">
        <v>0</v>
      </c>
      <c r="CL140" s="674">
        <v>0</v>
      </c>
      <c r="CM140" s="40">
        <v>0</v>
      </c>
      <c r="CN140" s="52">
        <v>0</v>
      </c>
      <c r="CO140" s="39">
        <v>0</v>
      </c>
      <c r="CP140" s="40">
        <v>0</v>
      </c>
      <c r="CQ140" s="52">
        <v>0</v>
      </c>
      <c r="CR140" s="72">
        <v>3200.1789781485099</v>
      </c>
      <c r="CS140" s="5">
        <v>2157.0732841135296</v>
      </c>
      <c r="CT140" s="52">
        <v>-1043.1056940349804</v>
      </c>
      <c r="CU140" s="77">
        <v>3840.2147737782116</v>
      </c>
      <c r="CV140" s="65">
        <v>2588.4879409362352</v>
      </c>
      <c r="CW140" s="35">
        <v>-1251.7268328419764</v>
      </c>
      <c r="CX140" s="73">
        <v>116.12333755973073</v>
      </c>
      <c r="CY140" s="40">
        <v>1367.8501704017067</v>
      </c>
      <c r="CZ140" s="52">
        <v>1251.7268328419759</v>
      </c>
      <c r="DA140" s="150">
        <v>-7901.5522048802331</v>
      </c>
      <c r="DB140" s="2">
        <v>3</v>
      </c>
      <c r="DC140" s="675">
        <v>830.26</v>
      </c>
      <c r="DD140" s="675">
        <v>0</v>
      </c>
      <c r="DE140" s="675">
        <v>483.05854129876246</v>
      </c>
      <c r="DF140" s="675">
        <v>0</v>
      </c>
      <c r="DG140" s="321">
        <v>-6649.8253720382572</v>
      </c>
      <c r="DH140" s="40">
        <v>3956.0395851209237</v>
      </c>
      <c r="DI140" s="422">
        <v>347.20145870123753</v>
      </c>
      <c r="DJ140" s="306">
        <v>1.7682783738285588</v>
      </c>
      <c r="DK140" s="306">
        <v>1.7682783738285588</v>
      </c>
      <c r="DL140" s="306">
        <v>1.7682783738285588</v>
      </c>
      <c r="DM140" s="28">
        <v>347.20145870123753</v>
      </c>
      <c r="DN140" s="28">
        <v>0</v>
      </c>
      <c r="DO140" s="423">
        <v>347.20145870123753</v>
      </c>
      <c r="DP140" s="94">
        <v>0</v>
      </c>
      <c r="DQ140" s="28">
        <v>347.20145870123753</v>
      </c>
      <c r="DR140" s="318"/>
      <c r="DT140" s="8"/>
      <c r="DU140" s="5"/>
      <c r="DX140" s="5">
        <v>2952.5428611228831</v>
      </c>
      <c r="DY140" s="5">
        <v>848.4</v>
      </c>
      <c r="DZ140" s="159">
        <v>276.92541397028828</v>
      </c>
      <c r="EB140" s="676">
        <v>41.315071152377868</v>
      </c>
      <c r="EC140" s="676">
        <v>-158.28458145140291</v>
      </c>
      <c r="ED140" s="676">
        <v>-154.72935767822815</v>
      </c>
      <c r="EE140" s="676">
        <v>-279.67994355742746</v>
      </c>
      <c r="EF140" s="676">
        <v>-224.39625568610086</v>
      </c>
      <c r="EG140" s="676">
        <v>-229.08672002871418</v>
      </c>
      <c r="EH140" s="676">
        <v>-52.193575514685733</v>
      </c>
      <c r="EI140" s="676">
        <v>-194.94796355423705</v>
      </c>
      <c r="EJ140" s="676">
        <v>621.91564364378587</v>
      </c>
      <c r="EK140" s="676">
        <v>-184.9079765406531</v>
      </c>
      <c r="EL140" s="676">
        <v>-212.08337246468471</v>
      </c>
      <c r="EM140" s="676">
        <v>-224.64780116200549</v>
      </c>
      <c r="EN140" s="676">
        <v>-1251.7268328419757</v>
      </c>
      <c r="EQ140" s="5">
        <v>2952.5428611228831</v>
      </c>
      <c r="ER140" s="5">
        <v>848.4</v>
      </c>
      <c r="ET140" s="318">
        <v>-1821.1490954868361</v>
      </c>
      <c r="EU140" s="5">
        <v>-1523.6762765514231</v>
      </c>
    </row>
    <row r="141" spans="1:151" x14ac:dyDescent="0.3">
      <c r="A141" s="325">
        <v>150000636</v>
      </c>
      <c r="B141" s="41" t="s">
        <v>590</v>
      </c>
      <c r="C141" s="42" t="s">
        <v>259</v>
      </c>
      <c r="D141" s="27">
        <v>5</v>
      </c>
      <c r="E141" s="293">
        <v>3175.8</v>
      </c>
      <c r="F141" s="305">
        <v>3175.8</v>
      </c>
      <c r="G141" s="508">
        <v>0</v>
      </c>
      <c r="H141" s="677">
        <v>0</v>
      </c>
      <c r="I141" s="674">
        <v>10626.120916191945</v>
      </c>
      <c r="J141" s="40">
        <v>10256.822270818091</v>
      </c>
      <c r="K141" s="52">
        <v>-369.29864537385401</v>
      </c>
      <c r="L141" s="674">
        <v>2195.2654340984286</v>
      </c>
      <c r="M141" s="40">
        <v>2097.9468984561504</v>
      </c>
      <c r="N141" s="52">
        <v>-97.318535642278221</v>
      </c>
      <c r="O141" s="674">
        <v>4455.2267867117052</v>
      </c>
      <c r="P141" s="40">
        <v>4455.5700000000006</v>
      </c>
      <c r="Q141" s="52">
        <v>0.34321328829537379</v>
      </c>
      <c r="R141" s="674">
        <v>0</v>
      </c>
      <c r="S141" s="40">
        <v>0</v>
      </c>
      <c r="T141" s="52">
        <v>0</v>
      </c>
      <c r="U141" s="674">
        <v>650.02174156792057</v>
      </c>
      <c r="V141" s="40">
        <v>441.39365695999027</v>
      </c>
      <c r="W141" s="52">
        <v>-208.6280846079303</v>
      </c>
      <c r="X141" s="674">
        <v>6329.573282116</v>
      </c>
      <c r="Y141" s="40">
        <v>5110.9138009847729</v>
      </c>
      <c r="Z141" s="52">
        <v>-1218.659481131227</v>
      </c>
      <c r="AA141" s="674">
        <v>381.0924</v>
      </c>
      <c r="AB141" s="40">
        <v>0</v>
      </c>
      <c r="AC141" s="52">
        <v>-381.0924</v>
      </c>
      <c r="AD141" s="674">
        <v>13616.222904476428</v>
      </c>
      <c r="AE141" s="40">
        <v>13493.04763649057</v>
      </c>
      <c r="AF141" s="35">
        <v>-123.17526798585823</v>
      </c>
      <c r="AG141" s="77">
        <v>38253.523465162434</v>
      </c>
      <c r="AH141" s="53">
        <v>35855.694263709578</v>
      </c>
      <c r="AI141" s="52">
        <v>-2397.8292014528561</v>
      </c>
      <c r="AJ141" s="674">
        <v>0</v>
      </c>
      <c r="AK141" s="40">
        <v>0</v>
      </c>
      <c r="AL141" s="52">
        <v>0</v>
      </c>
      <c r="AM141" s="674">
        <v>0</v>
      </c>
      <c r="AN141" s="40">
        <v>0</v>
      </c>
      <c r="AO141" s="52">
        <v>0</v>
      </c>
      <c r="AP141" s="674">
        <v>9443.3533127874925</v>
      </c>
      <c r="AQ141" s="40">
        <v>7966.6162462208031</v>
      </c>
      <c r="AR141" s="52">
        <v>-1476.7370665666895</v>
      </c>
      <c r="AS141" s="674">
        <v>36117.615618882694</v>
      </c>
      <c r="AT141" s="40">
        <v>6686</v>
      </c>
      <c r="AU141" s="54">
        <v>-29431.615618882694</v>
      </c>
      <c r="AV141" s="674">
        <v>2356.4950882152316</v>
      </c>
      <c r="AW141" s="40">
        <v>852</v>
      </c>
      <c r="AX141" s="55">
        <v>-1504.4950882152316</v>
      </c>
      <c r="AY141" s="674">
        <v>3598.7212845162012</v>
      </c>
      <c r="AZ141" s="40">
        <v>4065</v>
      </c>
      <c r="BA141" s="35">
        <v>466.27871548379881</v>
      </c>
      <c r="BB141" s="674">
        <v>1644.1551819724586</v>
      </c>
      <c r="BC141" s="40">
        <v>624</v>
      </c>
      <c r="BD141" s="55">
        <v>-1020.1551819724586</v>
      </c>
      <c r="BE141" s="674">
        <v>0</v>
      </c>
      <c r="BF141" s="40">
        <v>0</v>
      </c>
      <c r="BG141" s="38">
        <v>0</v>
      </c>
      <c r="BH141" s="674">
        <v>1109.648866209001</v>
      </c>
      <c r="BI141" s="40">
        <v>0</v>
      </c>
      <c r="BJ141" s="55">
        <v>-1109.648866209001</v>
      </c>
      <c r="BK141" s="674">
        <v>1790.6137251016567</v>
      </c>
      <c r="BL141" s="40">
        <v>0</v>
      </c>
      <c r="BM141" s="38">
        <v>-1790.6137251016567</v>
      </c>
      <c r="BN141" s="674">
        <v>95.273099999999999</v>
      </c>
      <c r="BO141" s="40">
        <v>0</v>
      </c>
      <c r="BP141" s="55">
        <v>-95.273099999999999</v>
      </c>
      <c r="BQ141" s="77">
        <v>10594.907246014551</v>
      </c>
      <c r="BR141" s="40">
        <v>5541</v>
      </c>
      <c r="BS141" s="55">
        <v>-5053.9072460145508</v>
      </c>
      <c r="BT141" s="674">
        <v>31810.3047403366</v>
      </c>
      <c r="BU141" s="40">
        <v>35395.52071371991</v>
      </c>
      <c r="BV141" s="52">
        <v>3585.2159733833105</v>
      </c>
      <c r="BW141" s="674">
        <v>16467.495326615575</v>
      </c>
      <c r="BX141" s="40">
        <v>19245.845323533671</v>
      </c>
      <c r="BY141" s="52">
        <v>2778.3499969180957</v>
      </c>
      <c r="BZ141" s="674">
        <v>6713.5508811588315</v>
      </c>
      <c r="CA141" s="40">
        <v>8907.4907055580079</v>
      </c>
      <c r="CB141" s="52">
        <v>2193.9398243991764</v>
      </c>
      <c r="CC141" s="674">
        <v>1752.42377982226</v>
      </c>
      <c r="CD141" s="40">
        <v>1841.8342973643503</v>
      </c>
      <c r="CE141" s="52">
        <v>89.410517542090247</v>
      </c>
      <c r="CF141" s="674">
        <v>214.18239822426975</v>
      </c>
      <c r="CG141" s="40">
        <v>554.44574346276681</v>
      </c>
      <c r="CH141" s="52">
        <v>340.2633452384971</v>
      </c>
      <c r="CI141" s="674">
        <v>6414.0186898602751</v>
      </c>
      <c r="CJ141" s="40">
        <v>4687.4751012983406</v>
      </c>
      <c r="CK141" s="52">
        <v>-1726.5435885619345</v>
      </c>
      <c r="CL141" s="674">
        <v>0</v>
      </c>
      <c r="CM141" s="40">
        <v>0</v>
      </c>
      <c r="CN141" s="52">
        <v>0</v>
      </c>
      <c r="CO141" s="39">
        <v>6414.0186898602751</v>
      </c>
      <c r="CP141" s="40">
        <v>4687.4751012983406</v>
      </c>
      <c r="CQ141" s="52">
        <v>-1726.5435885619345</v>
      </c>
      <c r="CR141" s="72">
        <v>157781.37545886496</v>
      </c>
      <c r="CS141" s="5">
        <v>126681.92239486742</v>
      </c>
      <c r="CT141" s="52">
        <v>-31099.453063997542</v>
      </c>
      <c r="CU141" s="77">
        <v>189337.65055063795</v>
      </c>
      <c r="CV141" s="65">
        <v>152018.30687384089</v>
      </c>
      <c r="CW141" s="35">
        <v>-37319.343676797056</v>
      </c>
      <c r="CX141" s="73">
        <v>4969.4830380532239</v>
      </c>
      <c r="CY141" s="40">
        <v>42288.826714850285</v>
      </c>
      <c r="CZ141" s="52">
        <v>37319.343676797063</v>
      </c>
      <c r="DA141" s="150">
        <v>-87257.599441255094</v>
      </c>
      <c r="DB141" s="2">
        <v>3</v>
      </c>
      <c r="DC141" s="675">
        <v>35774.75</v>
      </c>
      <c r="DD141" s="675">
        <v>0</v>
      </c>
      <c r="DE141" s="675">
        <v>18723.786040276696</v>
      </c>
      <c r="DF141" s="675">
        <v>0</v>
      </c>
      <c r="DG141" s="321">
        <v>-49938.255764458045</v>
      </c>
      <c r="DH141" s="40">
        <v>194292.46856253786</v>
      </c>
      <c r="DI141" s="422">
        <v>17050.963959723304</v>
      </c>
      <c r="DJ141" s="306">
        <v>5.3690295231826006</v>
      </c>
      <c r="DK141" s="306">
        <v>5.3690295231826006</v>
      </c>
      <c r="DL141" s="306">
        <v>4.7920728764902458</v>
      </c>
      <c r="DM141" s="28">
        <v>17050.963959723304</v>
      </c>
      <c r="DN141" s="28">
        <v>0</v>
      </c>
      <c r="DO141" s="423">
        <v>17050.963959723304</v>
      </c>
      <c r="DP141" s="94">
        <v>0</v>
      </c>
      <c r="DQ141" s="28">
        <v>17050.963959723304</v>
      </c>
      <c r="DR141" s="318"/>
      <c r="DT141" s="8"/>
      <c r="DU141" s="5"/>
      <c r="DX141" s="5">
        <v>56055.027437876684</v>
      </c>
      <c r="DY141" s="5">
        <v>14672.4</v>
      </c>
      <c r="DZ141" s="159">
        <v>4888.4739711767679</v>
      </c>
      <c r="EB141" s="676">
        <v>932.0903388404513</v>
      </c>
      <c r="EC141" s="676">
        <v>1519.3098786345654</v>
      </c>
      <c r="ED141" s="676">
        <v>-3362.2272846587184</v>
      </c>
      <c r="EE141" s="676">
        <v>-831.62715386537093</v>
      </c>
      <c r="EF141" s="676">
        <v>-6313.00341470903</v>
      </c>
      <c r="EG141" s="676">
        <v>-6858.2697518165733</v>
      </c>
      <c r="EH141" s="676">
        <v>-3578.1506921169985</v>
      </c>
      <c r="EI141" s="676">
        <v>2141.7292021764333</v>
      </c>
      <c r="EJ141" s="676">
        <v>-3829.612289772509</v>
      </c>
      <c r="EK141" s="676">
        <v>-6016.8294033270759</v>
      </c>
      <c r="EL141" s="676">
        <v>-6235.9470291644702</v>
      </c>
      <c r="EM141" s="676">
        <v>-4886.8060770177544</v>
      </c>
      <c r="EN141" s="676">
        <v>-37319.343676797056</v>
      </c>
      <c r="EQ141" s="5">
        <v>56055.027437876684</v>
      </c>
      <c r="ER141" s="5">
        <v>14672.4</v>
      </c>
      <c r="ET141" s="318">
        <v>26371.778673166897</v>
      </c>
      <c r="EU141" s="5">
        <v>-26128.034437624938</v>
      </c>
    </row>
    <row r="142" spans="1:151" x14ac:dyDescent="0.3">
      <c r="A142" s="325">
        <v>150000637</v>
      </c>
      <c r="B142" s="41" t="s">
        <v>591</v>
      </c>
      <c r="C142" s="42" t="s">
        <v>88</v>
      </c>
      <c r="D142" s="27">
        <v>1</v>
      </c>
      <c r="E142" s="293">
        <v>164.45</v>
      </c>
      <c r="F142" s="305">
        <v>164.45</v>
      </c>
      <c r="G142" s="508">
        <v>0</v>
      </c>
      <c r="H142" s="677">
        <v>0</v>
      </c>
      <c r="I142" s="674">
        <v>0</v>
      </c>
      <c r="J142" s="40">
        <v>0</v>
      </c>
      <c r="K142" s="52">
        <v>0</v>
      </c>
      <c r="L142" s="674">
        <v>0</v>
      </c>
      <c r="M142" s="40">
        <v>0</v>
      </c>
      <c r="N142" s="52">
        <v>0</v>
      </c>
      <c r="O142" s="674">
        <v>0</v>
      </c>
      <c r="P142" s="40">
        <v>0</v>
      </c>
      <c r="Q142" s="52">
        <v>0</v>
      </c>
      <c r="R142" s="674">
        <v>0</v>
      </c>
      <c r="S142" s="40">
        <v>0</v>
      </c>
      <c r="T142" s="52">
        <v>0</v>
      </c>
      <c r="U142" s="674">
        <v>0</v>
      </c>
      <c r="V142" s="40">
        <v>0</v>
      </c>
      <c r="W142" s="52">
        <v>0</v>
      </c>
      <c r="X142" s="674">
        <v>0</v>
      </c>
      <c r="Y142" s="40">
        <v>0</v>
      </c>
      <c r="Z142" s="52">
        <v>0</v>
      </c>
      <c r="AA142" s="674">
        <v>19.733999999999998</v>
      </c>
      <c r="AB142" s="40">
        <v>0</v>
      </c>
      <c r="AC142" s="52">
        <v>-19.733999999999998</v>
      </c>
      <c r="AD142" s="674">
        <v>148.16310885566963</v>
      </c>
      <c r="AE142" s="40">
        <v>600.36339524796358</v>
      </c>
      <c r="AF142" s="35">
        <v>452.20028639229395</v>
      </c>
      <c r="AG142" s="77">
        <v>167.89710885566964</v>
      </c>
      <c r="AH142" s="53">
        <v>600.36339524796358</v>
      </c>
      <c r="AI142" s="52">
        <v>432.46628639229391</v>
      </c>
      <c r="AJ142" s="674">
        <v>0</v>
      </c>
      <c r="AK142" s="40">
        <v>0</v>
      </c>
      <c r="AL142" s="52">
        <v>0</v>
      </c>
      <c r="AM142" s="674">
        <v>0</v>
      </c>
      <c r="AN142" s="40">
        <v>0</v>
      </c>
      <c r="AO142" s="52">
        <v>0</v>
      </c>
      <c r="AP142" s="674">
        <v>148.3061416709258</v>
      </c>
      <c r="AQ142" s="40">
        <v>149.58816640996957</v>
      </c>
      <c r="AR142" s="52">
        <v>1.2820247390437771</v>
      </c>
      <c r="AS142" s="674">
        <v>1758.8155355864988</v>
      </c>
      <c r="AT142" s="40">
        <v>0</v>
      </c>
      <c r="AU142" s="54">
        <v>-1758.8155355864988</v>
      </c>
      <c r="AV142" s="674">
        <v>0</v>
      </c>
      <c r="AW142" s="40">
        <v>0</v>
      </c>
      <c r="AX142" s="55">
        <v>0</v>
      </c>
      <c r="AY142" s="674">
        <v>0</v>
      </c>
      <c r="AZ142" s="40">
        <v>0</v>
      </c>
      <c r="BA142" s="35">
        <v>0</v>
      </c>
      <c r="BB142" s="674">
        <v>0</v>
      </c>
      <c r="BC142" s="40">
        <v>0</v>
      </c>
      <c r="BD142" s="55">
        <v>0</v>
      </c>
      <c r="BE142" s="674">
        <v>0</v>
      </c>
      <c r="BF142" s="40">
        <v>0</v>
      </c>
      <c r="BG142" s="38">
        <v>0</v>
      </c>
      <c r="BH142" s="674">
        <v>0</v>
      </c>
      <c r="BI142" s="40">
        <v>0</v>
      </c>
      <c r="BJ142" s="55">
        <v>0</v>
      </c>
      <c r="BK142" s="674">
        <v>0</v>
      </c>
      <c r="BL142" s="40">
        <v>0</v>
      </c>
      <c r="BM142" s="38">
        <v>0</v>
      </c>
      <c r="BN142" s="674">
        <v>4.9334999999999996</v>
      </c>
      <c r="BO142" s="40">
        <v>0</v>
      </c>
      <c r="BP142" s="55">
        <v>-4.9334999999999996</v>
      </c>
      <c r="BQ142" s="77">
        <v>4.9334999999999996</v>
      </c>
      <c r="BR142" s="40">
        <v>0</v>
      </c>
      <c r="BS142" s="55">
        <v>-4.9334999999999996</v>
      </c>
      <c r="BT142" s="674">
        <v>97.701960579639803</v>
      </c>
      <c r="BU142" s="40">
        <v>151.55132144799228</v>
      </c>
      <c r="BV142" s="52">
        <v>53.849360868352477</v>
      </c>
      <c r="BW142" s="674">
        <v>0</v>
      </c>
      <c r="BX142" s="40">
        <v>3.0750125756588353</v>
      </c>
      <c r="BY142" s="52">
        <v>3.0750125756588353</v>
      </c>
      <c r="BZ142" s="674">
        <v>0</v>
      </c>
      <c r="CA142" s="40">
        <v>9.2436406512338429</v>
      </c>
      <c r="CB142" s="52">
        <v>9.2436406512338429</v>
      </c>
      <c r="CC142" s="674">
        <v>0</v>
      </c>
      <c r="CD142" s="40">
        <v>0</v>
      </c>
      <c r="CE142" s="52">
        <v>0</v>
      </c>
      <c r="CF142" s="674">
        <v>0</v>
      </c>
      <c r="CG142" s="40">
        <v>0</v>
      </c>
      <c r="CH142" s="52">
        <v>0</v>
      </c>
      <c r="CI142" s="674">
        <v>0</v>
      </c>
      <c r="CJ142" s="40">
        <v>0</v>
      </c>
      <c r="CK142" s="52">
        <v>0</v>
      </c>
      <c r="CL142" s="674">
        <v>0</v>
      </c>
      <c r="CM142" s="40">
        <v>0</v>
      </c>
      <c r="CN142" s="52">
        <v>0</v>
      </c>
      <c r="CO142" s="39">
        <v>0</v>
      </c>
      <c r="CP142" s="40">
        <v>0</v>
      </c>
      <c r="CQ142" s="52">
        <v>0</v>
      </c>
      <c r="CR142" s="72">
        <v>2177.6542466927344</v>
      </c>
      <c r="CS142" s="5">
        <v>913.82153633281803</v>
      </c>
      <c r="CT142" s="52">
        <v>-1263.8327103599163</v>
      </c>
      <c r="CU142" s="77">
        <v>2613.1850960312813</v>
      </c>
      <c r="CV142" s="65">
        <v>1096.5858435993816</v>
      </c>
      <c r="CW142" s="35">
        <v>-1516.5992524318997</v>
      </c>
      <c r="CX142" s="73">
        <v>81.989318491813592</v>
      </c>
      <c r="CY142" s="40">
        <v>1598.5885709237125</v>
      </c>
      <c r="CZ142" s="52">
        <v>1516.599252431899</v>
      </c>
      <c r="DA142" s="150">
        <v>-7085.2758377840419</v>
      </c>
      <c r="DB142" s="2">
        <v>3</v>
      </c>
      <c r="DC142" s="675">
        <v>2932.54</v>
      </c>
      <c r="DD142" s="675">
        <v>0</v>
      </c>
      <c r="DE142" s="675">
        <v>2932.54</v>
      </c>
      <c r="DF142" s="675">
        <v>0</v>
      </c>
      <c r="DG142" s="321">
        <v>-5568.6765853521429</v>
      </c>
      <c r="DH142" s="40">
        <v>3268.2382076395052</v>
      </c>
      <c r="DI142" s="422">
        <v>286.65550135032208</v>
      </c>
      <c r="DJ142" s="306">
        <v>1.7431164569797635</v>
      </c>
      <c r="DK142" s="306">
        <v>1.7431164569797635</v>
      </c>
      <c r="DL142" s="306">
        <v>1.7431164569797635</v>
      </c>
      <c r="DM142" s="28">
        <v>286.65550135032208</v>
      </c>
      <c r="DN142" s="28">
        <v>0</v>
      </c>
      <c r="DO142" s="423">
        <v>286.65550135032208</v>
      </c>
      <c r="DP142" s="94">
        <v>0</v>
      </c>
      <c r="DQ142" s="28">
        <v>286.65550135032208</v>
      </c>
      <c r="DR142" s="318"/>
      <c r="DT142" s="8"/>
      <c r="DU142" s="5"/>
      <c r="DX142" s="5">
        <v>2116.4988427037983</v>
      </c>
      <c r="DY142" s="5">
        <v>0</v>
      </c>
      <c r="DZ142" s="159">
        <v>243.97464337060057</v>
      </c>
      <c r="EB142" s="676">
        <v>-23.457097364649002</v>
      </c>
      <c r="EC142" s="676">
        <v>-130.07926238354884</v>
      </c>
      <c r="ED142" s="676">
        <v>-127.1016379908899</v>
      </c>
      <c r="EE142" s="676">
        <v>-230.20479205344688</v>
      </c>
      <c r="EF142" s="676">
        <v>-190.11357008515918</v>
      </c>
      <c r="EG142" s="676">
        <v>-193.94004001931137</v>
      </c>
      <c r="EH142" s="676">
        <v>-106.42025215258582</v>
      </c>
      <c r="EI142" s="676">
        <v>-165.61472755162421</v>
      </c>
      <c r="EJ142" s="676">
        <v>-192.03539686206079</v>
      </c>
      <c r="EK142" s="676">
        <v>-157.63247596862277</v>
      </c>
      <c r="EL142" s="676">
        <v>0</v>
      </c>
      <c r="EM142" s="676">
        <v>0</v>
      </c>
      <c r="EN142" s="676">
        <v>-1516.5992524318985</v>
      </c>
      <c r="EQ142" s="5">
        <v>2116.4988427037983</v>
      </c>
      <c r="ER142" s="5">
        <v>0</v>
      </c>
      <c r="ET142" s="318">
        <v>-1473.3082171047099</v>
      </c>
      <c r="EU142" s="5">
        <v>-1360.3683682474327</v>
      </c>
    </row>
    <row r="143" spans="1:151" x14ac:dyDescent="0.3">
      <c r="A143" s="325">
        <v>150000555</v>
      </c>
      <c r="B143" s="41" t="s">
        <v>592</v>
      </c>
      <c r="C143" s="42" t="s">
        <v>89</v>
      </c>
      <c r="D143" s="27">
        <v>1</v>
      </c>
      <c r="E143" s="293">
        <v>175.5</v>
      </c>
      <c r="F143" s="305">
        <v>175.5</v>
      </c>
      <c r="G143" s="508">
        <v>0</v>
      </c>
      <c r="H143" s="677">
        <v>0</v>
      </c>
      <c r="I143" s="674">
        <v>0</v>
      </c>
      <c r="J143" s="40">
        <v>0</v>
      </c>
      <c r="K143" s="52">
        <v>0</v>
      </c>
      <c r="L143" s="674">
        <v>0</v>
      </c>
      <c r="M143" s="40">
        <v>0</v>
      </c>
      <c r="N143" s="52">
        <v>0</v>
      </c>
      <c r="O143" s="674">
        <v>0</v>
      </c>
      <c r="P143" s="40">
        <v>0</v>
      </c>
      <c r="Q143" s="52">
        <v>0</v>
      </c>
      <c r="R143" s="674">
        <v>0</v>
      </c>
      <c r="S143" s="40">
        <v>0</v>
      </c>
      <c r="T143" s="52">
        <v>0</v>
      </c>
      <c r="U143" s="674">
        <v>0</v>
      </c>
      <c r="V143" s="40">
        <v>0</v>
      </c>
      <c r="W143" s="52">
        <v>0</v>
      </c>
      <c r="X143" s="674">
        <v>0</v>
      </c>
      <c r="Y143" s="40">
        <v>0</v>
      </c>
      <c r="Z143" s="52">
        <v>0</v>
      </c>
      <c r="AA143" s="674">
        <v>21.060000000000002</v>
      </c>
      <c r="AB143" s="40">
        <v>0</v>
      </c>
      <c r="AC143" s="52">
        <v>-21.060000000000002</v>
      </c>
      <c r="AD143" s="674">
        <v>158.11998904674769</v>
      </c>
      <c r="AE143" s="40">
        <v>745.65068329019516</v>
      </c>
      <c r="AF143" s="35">
        <v>587.53069424344744</v>
      </c>
      <c r="AG143" s="77">
        <v>179.17998904674769</v>
      </c>
      <c r="AH143" s="53">
        <v>745.65068329019516</v>
      </c>
      <c r="AI143" s="52">
        <v>566.4706942434475</v>
      </c>
      <c r="AJ143" s="674">
        <v>0</v>
      </c>
      <c r="AK143" s="40">
        <v>0</v>
      </c>
      <c r="AL143" s="52">
        <v>0</v>
      </c>
      <c r="AM143" s="674">
        <v>0</v>
      </c>
      <c r="AN143" s="40">
        <v>0</v>
      </c>
      <c r="AO143" s="52">
        <v>0</v>
      </c>
      <c r="AP143" s="674">
        <v>269.81009465107115</v>
      </c>
      <c r="AQ143" s="40">
        <v>224.38224961495439</v>
      </c>
      <c r="AR143" s="52">
        <v>-45.427845036116764</v>
      </c>
      <c r="AS143" s="674">
        <v>2377.6215586793305</v>
      </c>
      <c r="AT143" s="40">
        <v>0</v>
      </c>
      <c r="AU143" s="54">
        <v>-2377.6215586793305</v>
      </c>
      <c r="AV143" s="674">
        <v>0</v>
      </c>
      <c r="AW143" s="40">
        <v>0</v>
      </c>
      <c r="AX143" s="55">
        <v>0</v>
      </c>
      <c r="AY143" s="674">
        <v>0</v>
      </c>
      <c r="AZ143" s="40">
        <v>0</v>
      </c>
      <c r="BA143" s="35">
        <v>0</v>
      </c>
      <c r="BB143" s="674">
        <v>0</v>
      </c>
      <c r="BC143" s="40">
        <v>0</v>
      </c>
      <c r="BD143" s="55">
        <v>0</v>
      </c>
      <c r="BE143" s="674">
        <v>0</v>
      </c>
      <c r="BF143" s="40">
        <v>0</v>
      </c>
      <c r="BG143" s="38">
        <v>0</v>
      </c>
      <c r="BH143" s="674">
        <v>0</v>
      </c>
      <c r="BI143" s="40">
        <v>0</v>
      </c>
      <c r="BJ143" s="55">
        <v>0</v>
      </c>
      <c r="BK143" s="674">
        <v>0</v>
      </c>
      <c r="BL143" s="40">
        <v>0</v>
      </c>
      <c r="BM143" s="38">
        <v>0</v>
      </c>
      <c r="BN143" s="674">
        <v>5.2650000000000006</v>
      </c>
      <c r="BO143" s="40">
        <v>0</v>
      </c>
      <c r="BP143" s="55">
        <v>-5.2650000000000006</v>
      </c>
      <c r="BQ143" s="77">
        <v>5.2650000000000006</v>
      </c>
      <c r="BR143" s="40">
        <v>0</v>
      </c>
      <c r="BS143" s="55">
        <v>-5.2650000000000006</v>
      </c>
      <c r="BT143" s="674">
        <v>0</v>
      </c>
      <c r="BU143" s="40">
        <v>0</v>
      </c>
      <c r="BV143" s="52">
        <v>0</v>
      </c>
      <c r="BW143" s="674">
        <v>0</v>
      </c>
      <c r="BX143" s="40">
        <v>3.9920422893338299</v>
      </c>
      <c r="BY143" s="52">
        <v>3.9920422893338299</v>
      </c>
      <c r="BZ143" s="674">
        <v>0</v>
      </c>
      <c r="CA143" s="40">
        <v>0</v>
      </c>
      <c r="CB143" s="52">
        <v>0</v>
      </c>
      <c r="CC143" s="674">
        <v>0</v>
      </c>
      <c r="CD143" s="40">
        <v>0</v>
      </c>
      <c r="CE143" s="52">
        <v>0</v>
      </c>
      <c r="CF143" s="674">
        <v>0</v>
      </c>
      <c r="CG143" s="40">
        <v>0</v>
      </c>
      <c r="CH143" s="52">
        <v>0</v>
      </c>
      <c r="CI143" s="674">
        <v>0</v>
      </c>
      <c r="CJ143" s="40">
        <v>0</v>
      </c>
      <c r="CK143" s="52">
        <v>0</v>
      </c>
      <c r="CL143" s="674">
        <v>0</v>
      </c>
      <c r="CM143" s="40">
        <v>0</v>
      </c>
      <c r="CN143" s="52">
        <v>0</v>
      </c>
      <c r="CO143" s="39">
        <v>0</v>
      </c>
      <c r="CP143" s="40">
        <v>0</v>
      </c>
      <c r="CQ143" s="52">
        <v>0</v>
      </c>
      <c r="CR143" s="72">
        <v>2831.876642377149</v>
      </c>
      <c r="CS143" s="5">
        <v>974.02497519448343</v>
      </c>
      <c r="CT143" s="52">
        <v>-1857.8516671826656</v>
      </c>
      <c r="CU143" s="77">
        <v>3398.2519708525788</v>
      </c>
      <c r="CV143" s="65">
        <v>1168.82997023338</v>
      </c>
      <c r="CW143" s="35">
        <v>-2229.422000619199</v>
      </c>
      <c r="CX143" s="73">
        <v>36.516946590057842</v>
      </c>
      <c r="CY143" s="40">
        <v>2265.9389472092557</v>
      </c>
      <c r="CZ143" s="52">
        <v>2229.4220006191981</v>
      </c>
      <c r="DA143" s="150">
        <v>-8170.2548946355782</v>
      </c>
      <c r="DB143" s="2">
        <v>3</v>
      </c>
      <c r="DC143" s="675">
        <v>1442.11</v>
      </c>
      <c r="DD143" s="675">
        <v>0</v>
      </c>
      <c r="DE143" s="675">
        <v>1145.0091788500376</v>
      </c>
      <c r="DF143" s="675">
        <v>0</v>
      </c>
      <c r="DG143" s="321">
        <v>-5940.8328940163801</v>
      </c>
      <c r="DH143" s="40">
        <v>3434.4957601497167</v>
      </c>
      <c r="DI143" s="422">
        <v>297.10082114996226</v>
      </c>
      <c r="DJ143" s="306">
        <v>1.6928821717946567</v>
      </c>
      <c r="DK143" s="306">
        <v>1.6928821717946567</v>
      </c>
      <c r="DL143" s="306">
        <v>1.6928821717946567</v>
      </c>
      <c r="DM143" s="28">
        <v>297.10082114996226</v>
      </c>
      <c r="DN143" s="28">
        <v>0</v>
      </c>
      <c r="DO143" s="423">
        <v>297.10082114996226</v>
      </c>
      <c r="DP143" s="94">
        <v>0</v>
      </c>
      <c r="DQ143" s="28">
        <v>297.10082114996226</v>
      </c>
      <c r="DR143" s="318"/>
      <c r="DT143" s="8"/>
      <c r="DU143" s="5"/>
      <c r="DX143" s="5">
        <v>2859.4638704151962</v>
      </c>
      <c r="DY143" s="5">
        <v>0</v>
      </c>
      <c r="DZ143" s="159">
        <v>268.69029186315277</v>
      </c>
      <c r="EB143" s="676">
        <v>5.5337979100212351</v>
      </c>
      <c r="EC143" s="676">
        <v>-147.07270562461829</v>
      </c>
      <c r="ED143" s="676">
        <v>-143.89500370359886</v>
      </c>
      <c r="EE143" s="676">
        <v>-244.31836992545425</v>
      </c>
      <c r="EF143" s="676">
        <v>-235.21323874333086</v>
      </c>
      <c r="EG143" s="676">
        <v>-238.74392394600471</v>
      </c>
      <c r="EH143" s="676">
        <v>-106.49902574552411</v>
      </c>
      <c r="EI143" s="676">
        <v>-209.83352500618716</v>
      </c>
      <c r="EJ143" s="676">
        <v>-238.07182996820814</v>
      </c>
      <c r="EK143" s="676">
        <v>-203.89502112008898</v>
      </c>
      <c r="EL143" s="676">
        <v>-226.59260259271269</v>
      </c>
      <c r="EM143" s="676">
        <v>-240.82055215349129</v>
      </c>
      <c r="EN143" s="676">
        <v>-2229.4220006191977</v>
      </c>
      <c r="EQ143" s="5">
        <v>2859.4638704151962</v>
      </c>
      <c r="ER143" s="5">
        <v>0</v>
      </c>
      <c r="ET143" s="318">
        <v>-1608.1812077707009</v>
      </c>
      <c r="EU143" s="5">
        <v>-1477.6516862456804</v>
      </c>
    </row>
    <row r="144" spans="1:151" x14ac:dyDescent="0.3">
      <c r="A144" s="325">
        <v>150000556</v>
      </c>
      <c r="B144" s="41" t="s">
        <v>593</v>
      </c>
      <c r="C144" s="42" t="s">
        <v>90</v>
      </c>
      <c r="D144" s="27">
        <v>1</v>
      </c>
      <c r="E144" s="293">
        <v>181.9</v>
      </c>
      <c r="F144" s="305">
        <v>181.9</v>
      </c>
      <c r="G144" s="508">
        <v>0</v>
      </c>
      <c r="H144" s="677">
        <v>0</v>
      </c>
      <c r="I144" s="674">
        <v>0</v>
      </c>
      <c r="J144" s="40">
        <v>0</v>
      </c>
      <c r="K144" s="52">
        <v>0</v>
      </c>
      <c r="L144" s="674">
        <v>0</v>
      </c>
      <c r="M144" s="40">
        <v>0</v>
      </c>
      <c r="N144" s="52">
        <v>0</v>
      </c>
      <c r="O144" s="674">
        <v>0</v>
      </c>
      <c r="P144" s="40">
        <v>0</v>
      </c>
      <c r="Q144" s="52">
        <v>0</v>
      </c>
      <c r="R144" s="674">
        <v>0</v>
      </c>
      <c r="S144" s="40">
        <v>0</v>
      </c>
      <c r="T144" s="52">
        <v>0</v>
      </c>
      <c r="U144" s="674">
        <v>0</v>
      </c>
      <c r="V144" s="40">
        <v>0</v>
      </c>
      <c r="W144" s="52">
        <v>0</v>
      </c>
      <c r="X144" s="674">
        <v>0</v>
      </c>
      <c r="Y144" s="40">
        <v>0</v>
      </c>
      <c r="Z144" s="52">
        <v>0</v>
      </c>
      <c r="AA144" s="674">
        <v>21.828000000000003</v>
      </c>
      <c r="AB144" s="40">
        <v>0</v>
      </c>
      <c r="AC144" s="52">
        <v>-21.828000000000003</v>
      </c>
      <c r="AD144" s="674">
        <v>163.8908967856068</v>
      </c>
      <c r="AE144" s="40">
        <v>772.84250307969501</v>
      </c>
      <c r="AF144" s="35">
        <v>608.95160629408815</v>
      </c>
      <c r="AG144" s="77">
        <v>185.7188967856068</v>
      </c>
      <c r="AH144" s="53">
        <v>772.84250307969501</v>
      </c>
      <c r="AI144" s="52">
        <v>587.12360629408818</v>
      </c>
      <c r="AJ144" s="674">
        <v>0</v>
      </c>
      <c r="AK144" s="40">
        <v>0</v>
      </c>
      <c r="AL144" s="52">
        <v>0</v>
      </c>
      <c r="AM144" s="674">
        <v>0</v>
      </c>
      <c r="AN144" s="40">
        <v>0</v>
      </c>
      <c r="AO144" s="52">
        <v>0</v>
      </c>
      <c r="AP144" s="674">
        <v>314.77844375958301</v>
      </c>
      <c r="AQ144" s="40">
        <v>261.77929121744683</v>
      </c>
      <c r="AR144" s="52">
        <v>-52.999152542136187</v>
      </c>
      <c r="AS144" s="674">
        <v>2239.3798365605635</v>
      </c>
      <c r="AT144" s="40">
        <v>0</v>
      </c>
      <c r="AU144" s="54">
        <v>-2239.3798365605635</v>
      </c>
      <c r="AV144" s="674">
        <v>0</v>
      </c>
      <c r="AW144" s="40">
        <v>0</v>
      </c>
      <c r="AX144" s="55">
        <v>0</v>
      </c>
      <c r="AY144" s="674">
        <v>0</v>
      </c>
      <c r="AZ144" s="40">
        <v>0</v>
      </c>
      <c r="BA144" s="35">
        <v>0</v>
      </c>
      <c r="BB144" s="674">
        <v>0</v>
      </c>
      <c r="BC144" s="40">
        <v>0</v>
      </c>
      <c r="BD144" s="55">
        <v>0</v>
      </c>
      <c r="BE144" s="674">
        <v>0</v>
      </c>
      <c r="BF144" s="40">
        <v>0</v>
      </c>
      <c r="BG144" s="38">
        <v>0</v>
      </c>
      <c r="BH144" s="674">
        <v>0</v>
      </c>
      <c r="BI144" s="40">
        <v>0</v>
      </c>
      <c r="BJ144" s="55">
        <v>0</v>
      </c>
      <c r="BK144" s="674">
        <v>0</v>
      </c>
      <c r="BL144" s="40">
        <v>0</v>
      </c>
      <c r="BM144" s="38">
        <v>0</v>
      </c>
      <c r="BN144" s="674">
        <v>5.4570000000000007</v>
      </c>
      <c r="BO144" s="40">
        <v>0</v>
      </c>
      <c r="BP144" s="55">
        <v>-5.4570000000000007</v>
      </c>
      <c r="BQ144" s="77">
        <v>5.4570000000000007</v>
      </c>
      <c r="BR144" s="40">
        <v>0</v>
      </c>
      <c r="BS144" s="55">
        <v>-5.4570000000000007</v>
      </c>
      <c r="BT144" s="674">
        <v>0</v>
      </c>
      <c r="BU144" s="40">
        <v>0</v>
      </c>
      <c r="BV144" s="52">
        <v>0</v>
      </c>
      <c r="BW144" s="674">
        <v>0</v>
      </c>
      <c r="BX144" s="40">
        <v>4.1376210394861745</v>
      </c>
      <c r="BY144" s="52">
        <v>4.1376210394861745</v>
      </c>
      <c r="BZ144" s="674">
        <v>0</v>
      </c>
      <c r="CA144" s="40">
        <v>0</v>
      </c>
      <c r="CB144" s="52">
        <v>0</v>
      </c>
      <c r="CC144" s="674">
        <v>0</v>
      </c>
      <c r="CD144" s="40">
        <v>0</v>
      </c>
      <c r="CE144" s="52">
        <v>0</v>
      </c>
      <c r="CF144" s="674">
        <v>0</v>
      </c>
      <c r="CG144" s="40">
        <v>0</v>
      </c>
      <c r="CH144" s="52">
        <v>0</v>
      </c>
      <c r="CI144" s="674">
        <v>0</v>
      </c>
      <c r="CJ144" s="40">
        <v>0</v>
      </c>
      <c r="CK144" s="52">
        <v>0</v>
      </c>
      <c r="CL144" s="674">
        <v>0</v>
      </c>
      <c r="CM144" s="40">
        <v>0</v>
      </c>
      <c r="CN144" s="52">
        <v>0</v>
      </c>
      <c r="CO144" s="39">
        <v>0</v>
      </c>
      <c r="CP144" s="40">
        <v>0</v>
      </c>
      <c r="CQ144" s="52">
        <v>0</v>
      </c>
      <c r="CR144" s="72">
        <v>2745.334177105753</v>
      </c>
      <c r="CS144" s="5">
        <v>1038.7594153366281</v>
      </c>
      <c r="CT144" s="52">
        <v>-1706.574761769125</v>
      </c>
      <c r="CU144" s="77">
        <v>3294.4010125269037</v>
      </c>
      <c r="CV144" s="65">
        <v>1246.5112984039536</v>
      </c>
      <c r="CW144" s="35">
        <v>-2047.8897141229502</v>
      </c>
      <c r="CX144" s="73">
        <v>100.04709134958995</v>
      </c>
      <c r="CY144" s="40">
        <v>2147.9368054725396</v>
      </c>
      <c r="CZ144" s="52">
        <v>2047.8897141229497</v>
      </c>
      <c r="DA144" s="150">
        <v>-7304.3821198804217</v>
      </c>
      <c r="DB144" s="2">
        <v>3</v>
      </c>
      <c r="DC144" s="675">
        <v>343.77</v>
      </c>
      <c r="DD144" s="675">
        <v>0</v>
      </c>
      <c r="DE144" s="675">
        <v>47.836858690151246</v>
      </c>
      <c r="DF144" s="675">
        <v>0</v>
      </c>
      <c r="DG144" s="321">
        <v>-5256.4924057574717</v>
      </c>
      <c r="DH144" s="40">
        <v>3394.1856492957172</v>
      </c>
      <c r="DI144" s="422">
        <v>295.93314130984874</v>
      </c>
      <c r="DJ144" s="306">
        <v>1.6269001721267109</v>
      </c>
      <c r="DK144" s="306">
        <v>1.6269001721267109</v>
      </c>
      <c r="DL144" s="306">
        <v>1.6269001721267109</v>
      </c>
      <c r="DM144" s="28">
        <v>295.93314130984874</v>
      </c>
      <c r="DN144" s="28">
        <v>0</v>
      </c>
      <c r="DO144" s="423">
        <v>295.93314130984874</v>
      </c>
      <c r="DP144" s="94">
        <v>0</v>
      </c>
      <c r="DQ144" s="28">
        <v>295.93314130984874</v>
      </c>
      <c r="DR144" s="318"/>
      <c r="DT144" s="8"/>
      <c r="DU144" s="5"/>
      <c r="DX144" s="5">
        <v>2693.8042038726758</v>
      </c>
      <c r="DY144" s="5">
        <v>0</v>
      </c>
      <c r="DZ144" s="159">
        <v>255.56964231320882</v>
      </c>
      <c r="EB144" s="676">
        <v>41.517954873959354</v>
      </c>
      <c r="EC144" s="676">
        <v>-134.1707902893894</v>
      </c>
      <c r="ED144" s="676">
        <v>-130.8772063609938</v>
      </c>
      <c r="EE144" s="676">
        <v>-234.00797845985403</v>
      </c>
      <c r="EF144" s="676">
        <v>-224.57080830584695</v>
      </c>
      <c r="EG144" s="676">
        <v>-228.2302478406981</v>
      </c>
      <c r="EH144" s="676">
        <v>-73.62251858774826</v>
      </c>
      <c r="EI144" s="676">
        <v>-198.26556654638006</v>
      </c>
      <c r="EJ144" s="676">
        <v>-227.533644452885</v>
      </c>
      <c r="EK144" s="676">
        <v>-192.11050183480594</v>
      </c>
      <c r="EL144" s="676">
        <v>-215.63580137822618</v>
      </c>
      <c r="EM144" s="676">
        <v>-230.38260494008159</v>
      </c>
      <c r="EN144" s="676">
        <v>-2047.88971412295</v>
      </c>
      <c r="EQ144" s="5">
        <v>2693.8042038726758</v>
      </c>
      <c r="ER144" s="5">
        <v>0</v>
      </c>
      <c r="ET144" s="318">
        <v>-1419.1505538676424</v>
      </c>
      <c r="EU144" s="5">
        <v>-1279.3418518898293</v>
      </c>
    </row>
    <row r="145" spans="1:151" x14ac:dyDescent="0.3">
      <c r="A145" s="325">
        <v>150000557</v>
      </c>
      <c r="B145" s="41" t="s">
        <v>594</v>
      </c>
      <c r="C145" s="42" t="s">
        <v>91</v>
      </c>
      <c r="D145" s="27">
        <v>1</v>
      </c>
      <c r="E145" s="293">
        <v>110.2</v>
      </c>
      <c r="F145" s="305">
        <v>110.2</v>
      </c>
      <c r="G145" s="508">
        <v>0</v>
      </c>
      <c r="H145" s="677">
        <v>0</v>
      </c>
      <c r="I145" s="674">
        <v>0</v>
      </c>
      <c r="J145" s="40">
        <v>0</v>
      </c>
      <c r="K145" s="52">
        <v>0</v>
      </c>
      <c r="L145" s="674">
        <v>0</v>
      </c>
      <c r="M145" s="40">
        <v>0</v>
      </c>
      <c r="N145" s="52">
        <v>0</v>
      </c>
      <c r="O145" s="674">
        <v>0</v>
      </c>
      <c r="P145" s="40">
        <v>0</v>
      </c>
      <c r="Q145" s="52">
        <v>0</v>
      </c>
      <c r="R145" s="674">
        <v>0</v>
      </c>
      <c r="S145" s="40">
        <v>0</v>
      </c>
      <c r="T145" s="52">
        <v>0</v>
      </c>
      <c r="U145" s="674">
        <v>0</v>
      </c>
      <c r="V145" s="40">
        <v>0</v>
      </c>
      <c r="W145" s="52">
        <v>0</v>
      </c>
      <c r="X145" s="674">
        <v>0</v>
      </c>
      <c r="Y145" s="40">
        <v>0</v>
      </c>
      <c r="Z145" s="52">
        <v>0</v>
      </c>
      <c r="AA145" s="674">
        <v>13.224</v>
      </c>
      <c r="AB145" s="40">
        <v>0</v>
      </c>
      <c r="AC145" s="52">
        <v>-13.224</v>
      </c>
      <c r="AD145" s="674">
        <v>99.284385206930523</v>
      </c>
      <c r="AE145" s="40">
        <v>468.20914700045307</v>
      </c>
      <c r="AF145" s="35">
        <v>368.92476179352252</v>
      </c>
      <c r="AG145" s="77">
        <v>112.50838520693053</v>
      </c>
      <c r="AH145" s="53">
        <v>468.20914700045307</v>
      </c>
      <c r="AI145" s="52">
        <v>355.70076179352253</v>
      </c>
      <c r="AJ145" s="674">
        <v>0</v>
      </c>
      <c r="AK145" s="40">
        <v>0</v>
      </c>
      <c r="AL145" s="52">
        <v>0</v>
      </c>
      <c r="AM145" s="674">
        <v>0</v>
      </c>
      <c r="AN145" s="40">
        <v>0</v>
      </c>
      <c r="AO145" s="52">
        <v>0</v>
      </c>
      <c r="AP145" s="674">
        <v>134.90504732553558</v>
      </c>
      <c r="AQ145" s="40">
        <v>112.19112480747719</v>
      </c>
      <c r="AR145" s="52">
        <v>-22.713922518058382</v>
      </c>
      <c r="AS145" s="674">
        <v>1460.8982901132135</v>
      </c>
      <c r="AT145" s="40">
        <v>0</v>
      </c>
      <c r="AU145" s="54">
        <v>-1460.8982901132135</v>
      </c>
      <c r="AV145" s="674">
        <v>0</v>
      </c>
      <c r="AW145" s="40">
        <v>0</v>
      </c>
      <c r="AX145" s="55">
        <v>0</v>
      </c>
      <c r="AY145" s="674">
        <v>0</v>
      </c>
      <c r="AZ145" s="40">
        <v>0</v>
      </c>
      <c r="BA145" s="35">
        <v>0</v>
      </c>
      <c r="BB145" s="674">
        <v>0</v>
      </c>
      <c r="BC145" s="40">
        <v>0</v>
      </c>
      <c r="BD145" s="55">
        <v>0</v>
      </c>
      <c r="BE145" s="674">
        <v>0</v>
      </c>
      <c r="BF145" s="40">
        <v>0</v>
      </c>
      <c r="BG145" s="38">
        <v>0</v>
      </c>
      <c r="BH145" s="674">
        <v>0</v>
      </c>
      <c r="BI145" s="40">
        <v>0</v>
      </c>
      <c r="BJ145" s="55">
        <v>0</v>
      </c>
      <c r="BK145" s="674">
        <v>0</v>
      </c>
      <c r="BL145" s="40">
        <v>0</v>
      </c>
      <c r="BM145" s="38">
        <v>0</v>
      </c>
      <c r="BN145" s="674">
        <v>3.306</v>
      </c>
      <c r="BO145" s="40">
        <v>0</v>
      </c>
      <c r="BP145" s="55">
        <v>-3.306</v>
      </c>
      <c r="BQ145" s="77">
        <v>3.306</v>
      </c>
      <c r="BR145" s="40">
        <v>0</v>
      </c>
      <c r="BS145" s="55">
        <v>-3.306</v>
      </c>
      <c r="BT145" s="674">
        <v>0</v>
      </c>
      <c r="BU145" s="40">
        <v>0</v>
      </c>
      <c r="BV145" s="52">
        <v>0</v>
      </c>
      <c r="BW145" s="674">
        <v>0</v>
      </c>
      <c r="BX145" s="40">
        <v>2.5066841041856867</v>
      </c>
      <c r="BY145" s="52">
        <v>2.5066841041856867</v>
      </c>
      <c r="BZ145" s="674">
        <v>0</v>
      </c>
      <c r="CA145" s="40">
        <v>0</v>
      </c>
      <c r="CB145" s="52">
        <v>0</v>
      </c>
      <c r="CC145" s="674">
        <v>0</v>
      </c>
      <c r="CD145" s="40">
        <v>0</v>
      </c>
      <c r="CE145" s="52">
        <v>0</v>
      </c>
      <c r="CF145" s="674">
        <v>0</v>
      </c>
      <c r="CG145" s="40">
        <v>0</v>
      </c>
      <c r="CH145" s="52">
        <v>0</v>
      </c>
      <c r="CI145" s="674">
        <v>0</v>
      </c>
      <c r="CJ145" s="40">
        <v>0</v>
      </c>
      <c r="CK145" s="52">
        <v>0</v>
      </c>
      <c r="CL145" s="674">
        <v>0</v>
      </c>
      <c r="CM145" s="40">
        <v>0</v>
      </c>
      <c r="CN145" s="52">
        <v>0</v>
      </c>
      <c r="CO145" s="39">
        <v>0</v>
      </c>
      <c r="CP145" s="40">
        <v>0</v>
      </c>
      <c r="CQ145" s="52">
        <v>0</v>
      </c>
      <c r="CR145" s="72">
        <v>1711.6177226456798</v>
      </c>
      <c r="CS145" s="5">
        <v>582.9069559121159</v>
      </c>
      <c r="CT145" s="52">
        <v>-1128.710766733564</v>
      </c>
      <c r="CU145" s="77">
        <v>2053.9412671748155</v>
      </c>
      <c r="CV145" s="65">
        <v>699.48834709453911</v>
      </c>
      <c r="CW145" s="35">
        <v>-1354.4529200802763</v>
      </c>
      <c r="CX145" s="73">
        <v>54.182099876725985</v>
      </c>
      <c r="CY145" s="40">
        <v>1408.6350199570029</v>
      </c>
      <c r="CZ145" s="52">
        <v>1354.452920080277</v>
      </c>
      <c r="DA145" s="150">
        <v>-4873.5666568355718</v>
      </c>
      <c r="DB145" s="2">
        <v>3</v>
      </c>
      <c r="DC145" s="675">
        <v>183.66</v>
      </c>
      <c r="DD145" s="675">
        <v>0</v>
      </c>
      <c r="DE145" s="675">
        <v>-0.29221257004348899</v>
      </c>
      <c r="DF145" s="675">
        <v>0</v>
      </c>
      <c r="DG145" s="321">
        <v>-3519.1137367552947</v>
      </c>
      <c r="DH145" s="40">
        <v>2107.9608956004668</v>
      </c>
      <c r="DI145" s="422">
        <v>183.95221257004349</v>
      </c>
      <c r="DJ145" s="306">
        <v>1.6692578273143692</v>
      </c>
      <c r="DK145" s="306">
        <v>1.6692578273143692</v>
      </c>
      <c r="DL145" s="306">
        <v>1.6692578273143692</v>
      </c>
      <c r="DM145" s="28">
        <v>183.95221257004349</v>
      </c>
      <c r="DN145" s="28">
        <v>0</v>
      </c>
      <c r="DO145" s="423">
        <v>183.95221257004349</v>
      </c>
      <c r="DP145" s="94">
        <v>0</v>
      </c>
      <c r="DQ145" s="28">
        <v>183.95221257004349</v>
      </c>
      <c r="DR145" s="318"/>
      <c r="DT145" s="8"/>
      <c r="DU145" s="5"/>
      <c r="DX145" s="5">
        <v>1757.0451481358562</v>
      </c>
      <c r="DY145" s="5">
        <v>0</v>
      </c>
      <c r="DZ145" s="159">
        <v>166.14004179781435</v>
      </c>
      <c r="EB145" s="676">
        <v>-5.7366404237830011</v>
      </c>
      <c r="EC145" s="676">
        <v>-84.350891877211581</v>
      </c>
      <c r="ED145" s="676">
        <v>-82.355548562702509</v>
      </c>
      <c r="EE145" s="676">
        <v>-147.20213763813771</v>
      </c>
      <c r="EF145" s="676">
        <v>-141.48484159101523</v>
      </c>
      <c r="EG145" s="676">
        <v>-143.70183024819278</v>
      </c>
      <c r="EH145" s="676">
        <v>-77.895758815106433</v>
      </c>
      <c r="EI145" s="676">
        <v>-125.54840595663781</v>
      </c>
      <c r="EJ145" s="676">
        <v>-143.27980884447095</v>
      </c>
      <c r="EK145" s="676">
        <v>-121.8194992429739</v>
      </c>
      <c r="EL145" s="676">
        <v>-136.07176977450172</v>
      </c>
      <c r="EM145" s="676">
        <v>-145.00578710554331</v>
      </c>
      <c r="EN145" s="676">
        <v>-1354.452920080277</v>
      </c>
      <c r="EQ145" s="5">
        <v>1757.0451481358562</v>
      </c>
      <c r="ER145" s="5">
        <v>0</v>
      </c>
      <c r="ET145" s="318">
        <v>-941.81997335244012</v>
      </c>
      <c r="EU145" s="5">
        <v>-864.29376340285467</v>
      </c>
    </row>
    <row r="146" spans="1:151" x14ac:dyDescent="0.3">
      <c r="A146" s="325">
        <v>150000552</v>
      </c>
      <c r="B146" s="41" t="s">
        <v>595</v>
      </c>
      <c r="C146" s="42" t="s">
        <v>92</v>
      </c>
      <c r="D146" s="27">
        <v>1</v>
      </c>
      <c r="E146" s="293">
        <v>100.2</v>
      </c>
      <c r="F146" s="305">
        <v>100.2</v>
      </c>
      <c r="G146" s="508">
        <v>0</v>
      </c>
      <c r="H146" s="677">
        <v>0</v>
      </c>
      <c r="I146" s="674">
        <v>0</v>
      </c>
      <c r="J146" s="40">
        <v>0</v>
      </c>
      <c r="K146" s="52">
        <v>0</v>
      </c>
      <c r="L146" s="674">
        <v>0</v>
      </c>
      <c r="M146" s="40">
        <v>0</v>
      </c>
      <c r="N146" s="52">
        <v>0</v>
      </c>
      <c r="O146" s="674">
        <v>0</v>
      </c>
      <c r="P146" s="40">
        <v>0</v>
      </c>
      <c r="Q146" s="52">
        <v>0</v>
      </c>
      <c r="R146" s="674">
        <v>0</v>
      </c>
      <c r="S146" s="40">
        <v>0</v>
      </c>
      <c r="T146" s="52">
        <v>0</v>
      </c>
      <c r="U146" s="674">
        <v>0</v>
      </c>
      <c r="V146" s="40">
        <v>0</v>
      </c>
      <c r="W146" s="52">
        <v>0</v>
      </c>
      <c r="X146" s="674">
        <v>0</v>
      </c>
      <c r="Y146" s="40">
        <v>0</v>
      </c>
      <c r="Z146" s="52">
        <v>0</v>
      </c>
      <c r="AA146" s="674">
        <v>12.024000000000001</v>
      </c>
      <c r="AB146" s="40">
        <v>0</v>
      </c>
      <c r="AC146" s="52">
        <v>-12.024000000000001</v>
      </c>
      <c r="AD146" s="674">
        <v>90.291179699691426</v>
      </c>
      <c r="AE146" s="40">
        <v>425.72192857935931</v>
      </c>
      <c r="AF146" s="35">
        <v>335.43074887966787</v>
      </c>
      <c r="AG146" s="77">
        <v>102.31517969969143</v>
      </c>
      <c r="AH146" s="53">
        <v>425.72192857935931</v>
      </c>
      <c r="AI146" s="52">
        <v>323.40674887966787</v>
      </c>
      <c r="AJ146" s="674">
        <v>0</v>
      </c>
      <c r="AK146" s="40">
        <v>0</v>
      </c>
      <c r="AL146" s="52">
        <v>0</v>
      </c>
      <c r="AM146" s="674">
        <v>0</v>
      </c>
      <c r="AN146" s="40">
        <v>0</v>
      </c>
      <c r="AO146" s="52">
        <v>0</v>
      </c>
      <c r="AP146" s="674">
        <v>179.87339643404744</v>
      </c>
      <c r="AQ146" s="40">
        <v>149.58816640996957</v>
      </c>
      <c r="AR146" s="52">
        <v>-30.285230024077862</v>
      </c>
      <c r="AS146" s="674">
        <v>1384.7998478603358</v>
      </c>
      <c r="AT146" s="40">
        <v>0</v>
      </c>
      <c r="AU146" s="54">
        <v>-1384.7998478603358</v>
      </c>
      <c r="AV146" s="674">
        <v>0</v>
      </c>
      <c r="AW146" s="40">
        <v>0</v>
      </c>
      <c r="AX146" s="55">
        <v>0</v>
      </c>
      <c r="AY146" s="674">
        <v>0</v>
      </c>
      <c r="AZ146" s="40">
        <v>0</v>
      </c>
      <c r="BA146" s="35">
        <v>0</v>
      </c>
      <c r="BB146" s="674">
        <v>0</v>
      </c>
      <c r="BC146" s="40">
        <v>0</v>
      </c>
      <c r="BD146" s="55">
        <v>0</v>
      </c>
      <c r="BE146" s="674">
        <v>0</v>
      </c>
      <c r="BF146" s="40">
        <v>0</v>
      </c>
      <c r="BG146" s="38">
        <v>0</v>
      </c>
      <c r="BH146" s="674">
        <v>0</v>
      </c>
      <c r="BI146" s="40">
        <v>0</v>
      </c>
      <c r="BJ146" s="55">
        <v>0</v>
      </c>
      <c r="BK146" s="674">
        <v>0</v>
      </c>
      <c r="BL146" s="40">
        <v>0</v>
      </c>
      <c r="BM146" s="38">
        <v>0</v>
      </c>
      <c r="BN146" s="674">
        <v>3.0060000000000002</v>
      </c>
      <c r="BO146" s="40">
        <v>0</v>
      </c>
      <c r="BP146" s="55">
        <v>-3.0060000000000002</v>
      </c>
      <c r="BQ146" s="77">
        <v>3.0060000000000002</v>
      </c>
      <c r="BR146" s="40">
        <v>0</v>
      </c>
      <c r="BS146" s="55">
        <v>-3.0060000000000002</v>
      </c>
      <c r="BT146" s="674">
        <v>0</v>
      </c>
      <c r="BU146" s="40">
        <v>0</v>
      </c>
      <c r="BV146" s="52">
        <v>0</v>
      </c>
      <c r="BW146" s="674">
        <v>0</v>
      </c>
      <c r="BX146" s="40">
        <v>2.2792173070726482</v>
      </c>
      <c r="BY146" s="52">
        <v>2.2792173070726482</v>
      </c>
      <c r="BZ146" s="674">
        <v>0</v>
      </c>
      <c r="CA146" s="40">
        <v>0</v>
      </c>
      <c r="CB146" s="52">
        <v>0</v>
      </c>
      <c r="CC146" s="674">
        <v>0</v>
      </c>
      <c r="CD146" s="40">
        <v>0</v>
      </c>
      <c r="CE146" s="52">
        <v>0</v>
      </c>
      <c r="CF146" s="674">
        <v>0</v>
      </c>
      <c r="CG146" s="40">
        <v>0</v>
      </c>
      <c r="CH146" s="52">
        <v>0</v>
      </c>
      <c r="CI146" s="674">
        <v>0</v>
      </c>
      <c r="CJ146" s="40">
        <v>0</v>
      </c>
      <c r="CK146" s="52">
        <v>0</v>
      </c>
      <c r="CL146" s="674">
        <v>0</v>
      </c>
      <c r="CM146" s="40">
        <v>0</v>
      </c>
      <c r="CN146" s="52">
        <v>0</v>
      </c>
      <c r="CO146" s="39">
        <v>0</v>
      </c>
      <c r="CP146" s="40">
        <v>0</v>
      </c>
      <c r="CQ146" s="52">
        <v>0</v>
      </c>
      <c r="CR146" s="72">
        <v>1669.9944239940749</v>
      </c>
      <c r="CS146" s="5">
        <v>577.58931229640154</v>
      </c>
      <c r="CT146" s="52">
        <v>-1092.4051116976734</v>
      </c>
      <c r="CU146" s="77">
        <v>2003.9933087928898</v>
      </c>
      <c r="CV146" s="65">
        <v>693.10717475568185</v>
      </c>
      <c r="CW146" s="35">
        <v>-1310.886134037208</v>
      </c>
      <c r="CX146" s="73">
        <v>60.582036266053215</v>
      </c>
      <c r="CY146" s="40">
        <v>1371.4681703032606</v>
      </c>
      <c r="CZ146" s="52">
        <v>1310.8861340372075</v>
      </c>
      <c r="DA146" s="150">
        <v>-4687.7240768091751</v>
      </c>
      <c r="DB146" s="2">
        <v>3</v>
      </c>
      <c r="DC146" s="675">
        <v>322.31</v>
      </c>
      <c r="DD146" s="675">
        <v>0</v>
      </c>
      <c r="DE146" s="675">
        <v>141.05220490696161</v>
      </c>
      <c r="DF146" s="675">
        <v>0</v>
      </c>
      <c r="DG146" s="321">
        <v>-3376.8379427719678</v>
      </c>
      <c r="DH146" s="40">
        <v>2064.4198018879229</v>
      </c>
      <c r="DI146" s="422">
        <v>181.25779509303837</v>
      </c>
      <c r="DJ146" s="306">
        <v>1.8089600308686467</v>
      </c>
      <c r="DK146" s="306">
        <v>1.8089600308686467</v>
      </c>
      <c r="DL146" s="306">
        <v>1.8089600308686467</v>
      </c>
      <c r="DM146" s="28">
        <v>181.2577950930384</v>
      </c>
      <c r="DN146" s="28">
        <v>0</v>
      </c>
      <c r="DO146" s="423">
        <v>181.2577950930384</v>
      </c>
      <c r="DP146" s="94">
        <v>0</v>
      </c>
      <c r="DQ146" s="28">
        <v>181.2577950930384</v>
      </c>
      <c r="DR146" s="318"/>
      <c r="DT146" s="8"/>
      <c r="DU146" s="5"/>
      <c r="DX146" s="5">
        <v>1665.3670174324031</v>
      </c>
      <c r="DY146" s="5">
        <v>0</v>
      </c>
      <c r="DZ146" s="159">
        <v>157.89652040362785</v>
      </c>
      <c r="EB146" s="676">
        <v>16.403886870536439</v>
      </c>
      <c r="EC146" s="676">
        <v>-83.60439263243947</v>
      </c>
      <c r="ED146" s="676">
        <v>-81.790114954455731</v>
      </c>
      <c r="EE146" s="676">
        <v>-146.70125153673899</v>
      </c>
      <c r="EF146" s="676">
        <v>-141.50276638318479</v>
      </c>
      <c r="EG146" s="676">
        <v>-143.51857639633533</v>
      </c>
      <c r="EH146" s="676">
        <v>-55.118556149473591</v>
      </c>
      <c r="EI146" s="676">
        <v>-127.01246828368735</v>
      </c>
      <c r="EJ146" s="676">
        <v>-143.1348509457643</v>
      </c>
      <c r="EK146" s="676">
        <v>-123.62193785982961</v>
      </c>
      <c r="EL146" s="676">
        <v>-136.58089890573783</v>
      </c>
      <c r="EM146" s="676">
        <v>-144.70420686009689</v>
      </c>
      <c r="EN146" s="676">
        <v>-1310.8861340372073</v>
      </c>
      <c r="EQ146" s="5">
        <v>1665.3670174324031</v>
      </c>
      <c r="ER146" s="5">
        <v>0</v>
      </c>
      <c r="ET146" s="318">
        <v>-892.84303420827723</v>
      </c>
      <c r="EU146" s="5">
        <v>-814.99490856369039</v>
      </c>
    </row>
    <row r="147" spans="1:151" x14ac:dyDescent="0.3">
      <c r="A147" s="325">
        <v>150000553</v>
      </c>
      <c r="B147" s="41" t="s">
        <v>596</v>
      </c>
      <c r="C147" s="42" t="s">
        <v>260</v>
      </c>
      <c r="D147" s="27">
        <v>5</v>
      </c>
      <c r="E147" s="293">
        <v>3380.05</v>
      </c>
      <c r="F147" s="305">
        <v>3077.05</v>
      </c>
      <c r="G147" s="508">
        <v>0</v>
      </c>
      <c r="H147" s="677">
        <v>303</v>
      </c>
      <c r="I147" s="674">
        <v>10963.5618063519</v>
      </c>
      <c r="J147" s="40">
        <v>10480.127328691377</v>
      </c>
      <c r="K147" s="52">
        <v>-483.43447766052304</v>
      </c>
      <c r="L147" s="674">
        <v>2243.5102768931106</v>
      </c>
      <c r="M147" s="40">
        <v>2144.0444310409034</v>
      </c>
      <c r="N147" s="52">
        <v>-99.465845852207167</v>
      </c>
      <c r="O147" s="674">
        <v>4262.9167593334205</v>
      </c>
      <c r="P147" s="40">
        <v>4261.4399999999996</v>
      </c>
      <c r="Q147" s="52">
        <v>-1.4767593334208868</v>
      </c>
      <c r="R147" s="674">
        <v>0</v>
      </c>
      <c r="S147" s="40">
        <v>0</v>
      </c>
      <c r="T147" s="52">
        <v>0</v>
      </c>
      <c r="U147" s="674">
        <v>0</v>
      </c>
      <c r="V147" s="40">
        <v>0</v>
      </c>
      <c r="W147" s="52">
        <v>0</v>
      </c>
      <c r="X147" s="674">
        <v>6928.0537585006477</v>
      </c>
      <c r="Y147" s="40">
        <v>5719.0033556795106</v>
      </c>
      <c r="Z147" s="52">
        <v>-1209.0504028211371</v>
      </c>
      <c r="AA147" s="674">
        <v>417.27599999999995</v>
      </c>
      <c r="AB147" s="40">
        <v>0</v>
      </c>
      <c r="AC147" s="52">
        <v>-417.27599999999995</v>
      </c>
      <c r="AD147" s="674">
        <v>14573.268662685201</v>
      </c>
      <c r="AE147" s="40">
        <v>14054.605445718747</v>
      </c>
      <c r="AF147" s="35">
        <v>-518.66321696645355</v>
      </c>
      <c r="AG147" s="77">
        <v>39388.587263764275</v>
      </c>
      <c r="AH147" s="53">
        <v>36659.22056113054</v>
      </c>
      <c r="AI147" s="52">
        <v>-2729.3667026337353</v>
      </c>
      <c r="AJ147" s="674">
        <v>0</v>
      </c>
      <c r="AK147" s="40">
        <v>0</v>
      </c>
      <c r="AL147" s="52">
        <v>0</v>
      </c>
      <c r="AM147" s="674">
        <v>0</v>
      </c>
      <c r="AN147" s="40">
        <v>0</v>
      </c>
      <c r="AO147" s="52">
        <v>0</v>
      </c>
      <c r="AP147" s="674">
        <v>9173.5432181364195</v>
      </c>
      <c r="AQ147" s="40">
        <v>7739.3668915344469</v>
      </c>
      <c r="AR147" s="52">
        <v>-1434.1763266019725</v>
      </c>
      <c r="AS147" s="674">
        <v>37314.725517570092</v>
      </c>
      <c r="AT147" s="40">
        <v>33493.344915208676</v>
      </c>
      <c r="AU147" s="54">
        <v>-3821.3806023614161</v>
      </c>
      <c r="AV147" s="674">
        <v>2498.6666558479892</v>
      </c>
      <c r="AW147" s="40">
        <v>0</v>
      </c>
      <c r="AX147" s="55">
        <v>-2498.6666558479892</v>
      </c>
      <c r="AY147" s="674">
        <v>3677.7472864200122</v>
      </c>
      <c r="AZ147" s="40">
        <v>0</v>
      </c>
      <c r="BA147" s="35">
        <v>-3677.7472864200122</v>
      </c>
      <c r="BB147" s="674">
        <v>1631.1659844206176</v>
      </c>
      <c r="BC147" s="40">
        <v>5118</v>
      </c>
      <c r="BD147" s="55">
        <v>3486.8340155793821</v>
      </c>
      <c r="BE147" s="674">
        <v>0</v>
      </c>
      <c r="BF147" s="40">
        <v>0</v>
      </c>
      <c r="BG147" s="38">
        <v>0</v>
      </c>
      <c r="BH147" s="674">
        <v>0</v>
      </c>
      <c r="BI147" s="40">
        <v>0</v>
      </c>
      <c r="BJ147" s="55">
        <v>0</v>
      </c>
      <c r="BK147" s="674">
        <v>2105.1593736805139</v>
      </c>
      <c r="BL147" s="40">
        <v>727</v>
      </c>
      <c r="BM147" s="38">
        <v>-1378.1593736805139</v>
      </c>
      <c r="BN147" s="674">
        <v>104.31899999999999</v>
      </c>
      <c r="BO147" s="40">
        <v>0</v>
      </c>
      <c r="BP147" s="55">
        <v>-104.31899999999999</v>
      </c>
      <c r="BQ147" s="77">
        <v>10017.058300369134</v>
      </c>
      <c r="BR147" s="40">
        <v>5845</v>
      </c>
      <c r="BS147" s="55">
        <v>-4172.0583003691336</v>
      </c>
      <c r="BT147" s="674">
        <v>21980.509916455114</v>
      </c>
      <c r="BU147" s="40">
        <v>26578.02513141176</v>
      </c>
      <c r="BV147" s="52">
        <v>4597.5152149566457</v>
      </c>
      <c r="BW147" s="674">
        <v>15674.548412333777</v>
      </c>
      <c r="BX147" s="40">
        <v>17125.948318319552</v>
      </c>
      <c r="BY147" s="52">
        <v>1451.3999059857742</v>
      </c>
      <c r="BZ147" s="674">
        <v>5782.8327253218877</v>
      </c>
      <c r="CA147" s="40">
        <v>5240.8764677650988</v>
      </c>
      <c r="CB147" s="52">
        <v>-541.95625755678884</v>
      </c>
      <c r="CC147" s="674">
        <v>1615.9759403213523</v>
      </c>
      <c r="CD147" s="40">
        <v>1698.424744556565</v>
      </c>
      <c r="CE147" s="52">
        <v>82.44880423521272</v>
      </c>
      <c r="CF147" s="674">
        <v>197.5056526600267</v>
      </c>
      <c r="CG147" s="40">
        <v>3337.186374614555</v>
      </c>
      <c r="CH147" s="52">
        <v>3139.6807219545285</v>
      </c>
      <c r="CI147" s="674">
        <v>4321.6709348222321</v>
      </c>
      <c r="CJ147" s="40">
        <v>4741.0574688755542</v>
      </c>
      <c r="CK147" s="52">
        <v>419.38653405332207</v>
      </c>
      <c r="CL147" s="674">
        <v>0</v>
      </c>
      <c r="CM147" s="40">
        <v>0</v>
      </c>
      <c r="CN147" s="52">
        <v>0</v>
      </c>
      <c r="CO147" s="39">
        <v>4321.6709348222321</v>
      </c>
      <c r="CP147" s="40">
        <v>4741.0574688755542</v>
      </c>
      <c r="CQ147" s="52">
        <v>419.38653405332207</v>
      </c>
      <c r="CR147" s="72">
        <v>145466.95788175426</v>
      </c>
      <c r="CS147" s="5">
        <v>142458.45087341676</v>
      </c>
      <c r="CT147" s="52">
        <v>-3008.5070083375031</v>
      </c>
      <c r="CU147" s="77">
        <v>174560.34945810511</v>
      </c>
      <c r="CV147" s="65">
        <v>170950.14104810011</v>
      </c>
      <c r="CW147" s="35">
        <v>-3610.2084100049979</v>
      </c>
      <c r="CX147" s="73">
        <v>4610.4314355374381</v>
      </c>
      <c r="CY147" s="40">
        <v>8220.6398455425169</v>
      </c>
      <c r="CZ147" s="52">
        <v>3610.2084100050788</v>
      </c>
      <c r="DA147" s="150">
        <v>25082.911615364857</v>
      </c>
      <c r="DB147" s="2">
        <v>3</v>
      </c>
      <c r="DC147" s="675">
        <v>24650.04</v>
      </c>
      <c r="DD147" s="675">
        <v>369.26</v>
      </c>
      <c r="DE147" s="675">
        <v>10279.014266579574</v>
      </c>
      <c r="DF147" s="675">
        <v>-872.56344657403793</v>
      </c>
      <c r="DG147" s="321">
        <v>28693.120025369946</v>
      </c>
      <c r="DH147" s="40">
        <v>179156.90329232847</v>
      </c>
      <c r="DI147" s="422">
        <v>15612.849179994464</v>
      </c>
      <c r="DJ147" s="306">
        <v>4.6703907097448614</v>
      </c>
      <c r="DK147" s="306">
        <v>4.6703907097448614</v>
      </c>
      <c r="DL147" s="306">
        <v>4.098427216415967</v>
      </c>
      <c r="DM147" s="28">
        <v>14371.025733420427</v>
      </c>
      <c r="DN147" s="28">
        <v>1241.8234465740379</v>
      </c>
      <c r="DO147" s="423">
        <v>15612.849179994464</v>
      </c>
      <c r="DP147" s="94">
        <v>0</v>
      </c>
      <c r="DQ147" s="28">
        <v>15612.849179994464</v>
      </c>
      <c r="DR147" s="318"/>
      <c r="DT147" s="8"/>
      <c r="DU147" s="5"/>
      <c r="DX147" s="5">
        <v>56798.14058152707</v>
      </c>
      <c r="DY147" s="5">
        <v>47206.013898250407</v>
      </c>
      <c r="DZ147" s="159">
        <v>5032.2469303490852</v>
      </c>
      <c r="EB147" s="676">
        <v>4789.6757279310987</v>
      </c>
      <c r="EC147" s="676">
        <v>-529.48319887983234</v>
      </c>
      <c r="ED147" s="676">
        <v>-3478.9842964585405</v>
      </c>
      <c r="EE147" s="676">
        <v>24817.164538524165</v>
      </c>
      <c r="EF147" s="676">
        <v>-3418.3197747682698</v>
      </c>
      <c r="EG147" s="676">
        <v>-4514.6770408655084</v>
      </c>
      <c r="EH147" s="676">
        <v>3031.3022653221451</v>
      </c>
      <c r="EI147" s="676">
        <v>-1266.580884226476</v>
      </c>
      <c r="EJ147" s="676">
        <v>-5661.5363073399349</v>
      </c>
      <c r="EK147" s="676">
        <v>-3575.1412218039604</v>
      </c>
      <c r="EL147" s="676">
        <v>-5877.6503707768879</v>
      </c>
      <c r="EM147" s="676">
        <v>-7925.9778466630842</v>
      </c>
      <c r="EN147" s="676">
        <v>-3610.2084100050879</v>
      </c>
      <c r="EQ147" s="5">
        <v>56798.14058152707</v>
      </c>
      <c r="ER147" s="5">
        <v>47206.013898250407</v>
      </c>
      <c r="ET147" s="318">
        <v>49629.998302098043</v>
      </c>
      <c r="EU147" s="5">
        <v>-19222.878276728105</v>
      </c>
    </row>
    <row r="148" spans="1:151" x14ac:dyDescent="0.3">
      <c r="A148" s="325">
        <v>150000493</v>
      </c>
      <c r="B148" s="41" t="s">
        <v>597</v>
      </c>
      <c r="C148" s="42" t="s">
        <v>418</v>
      </c>
      <c r="D148" s="27">
        <v>10</v>
      </c>
      <c r="E148" s="293">
        <v>7111.44</v>
      </c>
      <c r="F148" s="305">
        <v>7111.44</v>
      </c>
      <c r="G148" s="508">
        <v>625.84</v>
      </c>
      <c r="H148" s="677">
        <v>0</v>
      </c>
      <c r="I148" s="674">
        <v>24627.649716687189</v>
      </c>
      <c r="J148" s="40">
        <v>20430.030646278225</v>
      </c>
      <c r="K148" s="52">
        <v>-4197.619070408964</v>
      </c>
      <c r="L148" s="674">
        <v>3849.673416919853</v>
      </c>
      <c r="M148" s="40">
        <v>3067.1952206790183</v>
      </c>
      <c r="N148" s="52">
        <v>-782.47819624083468</v>
      </c>
      <c r="O148" s="674">
        <v>10208.354794826815</v>
      </c>
      <c r="P148" s="40">
        <v>10208.475</v>
      </c>
      <c r="Q148" s="52">
        <v>0.12020517318524071</v>
      </c>
      <c r="R148" s="674">
        <v>2091.6741548392201</v>
      </c>
      <c r="S148" s="40">
        <v>2094.2900000000004</v>
      </c>
      <c r="T148" s="52">
        <v>2.6158451607802817</v>
      </c>
      <c r="U148" s="674">
        <v>1145.5908851177551</v>
      </c>
      <c r="V148" s="40">
        <v>519.91694819392728</v>
      </c>
      <c r="W148" s="52">
        <v>-625.6739369238278</v>
      </c>
      <c r="X148" s="674">
        <v>9790.3402577451761</v>
      </c>
      <c r="Y148" s="40">
        <v>7540.9384162490569</v>
      </c>
      <c r="Z148" s="52">
        <v>-2249.4018414961192</v>
      </c>
      <c r="AA148" s="674">
        <v>853.3728000000001</v>
      </c>
      <c r="AB148" s="40">
        <v>0</v>
      </c>
      <c r="AC148" s="52">
        <v>-853.3728000000001</v>
      </c>
      <c r="AD148" s="674">
        <v>30490.327286140451</v>
      </c>
      <c r="AE148" s="40">
        <v>30214.53045685028</v>
      </c>
      <c r="AF148" s="35">
        <v>-275.79682929017144</v>
      </c>
      <c r="AG148" s="77">
        <v>83056.983312276454</v>
      </c>
      <c r="AH148" s="53">
        <v>74075.376688250501</v>
      </c>
      <c r="AI148" s="52">
        <v>-8981.6066240259534</v>
      </c>
      <c r="AJ148" s="674">
        <v>60739.667647849135</v>
      </c>
      <c r="AK148" s="40">
        <v>59239.353331726263</v>
      </c>
      <c r="AL148" s="52">
        <v>-1500.3143161228727</v>
      </c>
      <c r="AM148" s="674">
        <v>0</v>
      </c>
      <c r="AN148" s="40">
        <v>129.91419040372483</v>
      </c>
      <c r="AO148" s="52">
        <v>129.91419040372483</v>
      </c>
      <c r="AP148" s="674">
        <v>5396.2018930214253</v>
      </c>
      <c r="AQ148" s="40">
        <v>4484.1803127874882</v>
      </c>
      <c r="AR148" s="52">
        <v>-912.02158023393713</v>
      </c>
      <c r="AS148" s="674">
        <v>91424.747480982958</v>
      </c>
      <c r="AT148" s="40">
        <v>212548.16</v>
      </c>
      <c r="AU148" s="54">
        <v>121123.41251901705</v>
      </c>
      <c r="AV148" s="674">
        <v>3813.4475629494086</v>
      </c>
      <c r="AW148" s="40">
        <v>1263</v>
      </c>
      <c r="AX148" s="55">
        <v>-2550.4475629494086</v>
      </c>
      <c r="AY148" s="674">
        <v>4174.6547137317684</v>
      </c>
      <c r="AZ148" s="40">
        <v>3159.2</v>
      </c>
      <c r="BA148" s="35">
        <v>-1015.4547137317686</v>
      </c>
      <c r="BB148" s="674">
        <v>2388.8812150565386</v>
      </c>
      <c r="BC148" s="40">
        <v>0</v>
      </c>
      <c r="BD148" s="55">
        <v>-2388.8812150565386</v>
      </c>
      <c r="BE148" s="674">
        <v>3050.6836368638928</v>
      </c>
      <c r="BF148" s="40">
        <v>0</v>
      </c>
      <c r="BG148" s="38">
        <v>-3050.6836368638928</v>
      </c>
      <c r="BH148" s="674">
        <v>1480.0607281226878</v>
      </c>
      <c r="BI148" s="40">
        <v>0</v>
      </c>
      <c r="BJ148" s="55">
        <v>-1480.0607281226878</v>
      </c>
      <c r="BK148" s="674">
        <v>2318.8144601211829</v>
      </c>
      <c r="BL148" s="40">
        <v>4396</v>
      </c>
      <c r="BM148" s="38">
        <v>2077.1855398788171</v>
      </c>
      <c r="BN148" s="674">
        <v>443.04522343092356</v>
      </c>
      <c r="BO148" s="40">
        <v>0</v>
      </c>
      <c r="BP148" s="55">
        <v>-443.04522343092356</v>
      </c>
      <c r="BQ148" s="77">
        <v>17669.587540276403</v>
      </c>
      <c r="BR148" s="40">
        <v>8818.2000000000007</v>
      </c>
      <c r="BS148" s="55">
        <v>-8851.3875402764024</v>
      </c>
      <c r="BT148" s="674">
        <v>89881.587730793864</v>
      </c>
      <c r="BU148" s="40">
        <v>70379.063229004823</v>
      </c>
      <c r="BV148" s="52">
        <v>-19502.524501789041</v>
      </c>
      <c r="BW148" s="674">
        <v>68826.053653148687</v>
      </c>
      <c r="BX148" s="40">
        <v>45708.17408592836</v>
      </c>
      <c r="BY148" s="52">
        <v>-23117.879567220327</v>
      </c>
      <c r="BZ148" s="674">
        <v>17189.195827008418</v>
      </c>
      <c r="CA148" s="40">
        <v>7279.7424094814378</v>
      </c>
      <c r="CB148" s="52">
        <v>-9909.45341752698</v>
      </c>
      <c r="CC148" s="674">
        <v>1692.4357700057515</v>
      </c>
      <c r="CD148" s="40">
        <v>1767.6468708609343</v>
      </c>
      <c r="CE148" s="52">
        <v>75.211100855182849</v>
      </c>
      <c r="CF148" s="674">
        <v>205.55532414419287</v>
      </c>
      <c r="CG148" s="40">
        <v>0</v>
      </c>
      <c r="CH148" s="52">
        <v>-205.55532414419287</v>
      </c>
      <c r="CI148" s="674">
        <v>20194.909983695445</v>
      </c>
      <c r="CJ148" s="40">
        <v>18627.744707920468</v>
      </c>
      <c r="CK148" s="52">
        <v>-1567.1652757749762</v>
      </c>
      <c r="CL148" s="674">
        <v>16698.147864820497</v>
      </c>
      <c r="CM148" s="40">
        <v>16516.772772351502</v>
      </c>
      <c r="CN148" s="52">
        <v>-181.37509246899572</v>
      </c>
      <c r="CO148" s="39">
        <v>36893.057848515942</v>
      </c>
      <c r="CP148" s="40">
        <v>35144.51748027197</v>
      </c>
      <c r="CQ148" s="52">
        <v>-1748.5403682439719</v>
      </c>
      <c r="CR148" s="72">
        <v>472975.07402802323</v>
      </c>
      <c r="CS148" s="5">
        <v>519574.32859871548</v>
      </c>
      <c r="CT148" s="52">
        <v>46599.254570692254</v>
      </c>
      <c r="CU148" s="77">
        <v>567570.08883362787</v>
      </c>
      <c r="CV148" s="65">
        <v>623489.19431845855</v>
      </c>
      <c r="CW148" s="35">
        <v>55919.105484830681</v>
      </c>
      <c r="CX148" s="73">
        <v>17181.334890694292</v>
      </c>
      <c r="CY148" s="40">
        <v>-38737.770594136535</v>
      </c>
      <c r="CZ148" s="52">
        <v>-55919.105484830827</v>
      </c>
      <c r="DA148" s="150">
        <v>24769.639698006078</v>
      </c>
      <c r="DB148" s="2">
        <v>1</v>
      </c>
      <c r="DC148" s="675">
        <v>132744.32000000001</v>
      </c>
      <c r="DD148" s="675">
        <v>0</v>
      </c>
      <c r="DE148" s="675">
        <v>81513.063743024584</v>
      </c>
      <c r="DF148" s="675">
        <v>0</v>
      </c>
      <c r="DG148" s="321">
        <v>-31149.46578682472</v>
      </c>
      <c r="DH148" s="40">
        <v>584707.0248510919</v>
      </c>
      <c r="DI148" s="422">
        <v>51231.256256975415</v>
      </c>
      <c r="DJ148" s="306">
        <v>6.0491207709564545</v>
      </c>
      <c r="DK148" s="306">
        <v>7.3155104406192235</v>
      </c>
      <c r="DL148" s="306">
        <v>4.9652115560307077</v>
      </c>
      <c r="DM148" s="28">
        <v>51231.256256975423</v>
      </c>
      <c r="DN148" s="28">
        <v>0</v>
      </c>
      <c r="DO148" s="423">
        <v>51231.256256975423</v>
      </c>
      <c r="DP148" s="94">
        <v>0</v>
      </c>
      <c r="DQ148" s="28">
        <v>51231.256256975423</v>
      </c>
      <c r="DR148" s="318"/>
      <c r="DT148" s="8"/>
      <c r="DU148" s="5"/>
      <c r="DX148" s="5">
        <v>130913.20202551123</v>
      </c>
      <c r="DY148" s="5">
        <v>265639.63199999998</v>
      </c>
      <c r="DZ148" s="159">
        <v>11483.28727715378</v>
      </c>
      <c r="EB148" s="676">
        <v>-1916.9125867487819</v>
      </c>
      <c r="EC148" s="676">
        <v>-5940.4434391376344</v>
      </c>
      <c r="ED148" s="676">
        <v>-3364.8601895329703</v>
      </c>
      <c r="EE148" s="676">
        <v>-18859.566097553256</v>
      </c>
      <c r="EF148" s="676">
        <v>-5768.7418739045534</v>
      </c>
      <c r="EG148" s="676">
        <v>-1565.3726795797193</v>
      </c>
      <c r="EH148" s="676">
        <v>-5856.0992530104486</v>
      </c>
      <c r="EI148" s="676">
        <v>-10014.621652100708</v>
      </c>
      <c r="EJ148" s="676">
        <v>180099.54356796009</v>
      </c>
      <c r="EK148" s="676">
        <v>-24174.406839811829</v>
      </c>
      <c r="EL148" s="676">
        <v>-27012.452490953565</v>
      </c>
      <c r="EM148" s="676">
        <v>-19706.960980795833</v>
      </c>
      <c r="EN148" s="676">
        <v>55919.105484830798</v>
      </c>
      <c r="EQ148" s="5">
        <v>130913.20202551123</v>
      </c>
      <c r="ER148" s="5">
        <v>265639.63199999998</v>
      </c>
      <c r="ET148" s="318">
        <v>-93220.791875298935</v>
      </c>
      <c r="EU148" s="5">
        <v>89016.326088474249</v>
      </c>
    </row>
    <row r="149" spans="1:151" x14ac:dyDescent="0.3">
      <c r="A149" s="325">
        <v>150000494</v>
      </c>
      <c r="B149" s="41" t="s">
        <v>598</v>
      </c>
      <c r="C149" s="42" t="s">
        <v>419</v>
      </c>
      <c r="D149" s="27">
        <v>10</v>
      </c>
      <c r="E149" s="293">
        <v>9469.1</v>
      </c>
      <c r="F149" s="305">
        <v>9469.1</v>
      </c>
      <c r="G149" s="508">
        <v>988.9</v>
      </c>
      <c r="H149" s="677">
        <v>0</v>
      </c>
      <c r="I149" s="674">
        <v>27795.939546701309</v>
      </c>
      <c r="J149" s="40">
        <v>23293.199545482887</v>
      </c>
      <c r="K149" s="52">
        <v>-4502.7400012184225</v>
      </c>
      <c r="L149" s="674">
        <v>4243.3420314451059</v>
      </c>
      <c r="M149" s="40">
        <v>3382.1821465395237</v>
      </c>
      <c r="N149" s="52">
        <v>-861.1598849055822</v>
      </c>
      <c r="O149" s="674">
        <v>13990.184022195899</v>
      </c>
      <c r="P149" s="40">
        <v>13991.470000000003</v>
      </c>
      <c r="Q149" s="52">
        <v>1.2859778041038226</v>
      </c>
      <c r="R149" s="674">
        <v>2856.4971784716854</v>
      </c>
      <c r="S149" s="40">
        <v>2858.4050000000002</v>
      </c>
      <c r="T149" s="52">
        <v>1.9078215283147983</v>
      </c>
      <c r="U149" s="674">
        <v>1145.5908851177551</v>
      </c>
      <c r="V149" s="40">
        <v>486.57761682777129</v>
      </c>
      <c r="W149" s="52">
        <v>-659.01326828998378</v>
      </c>
      <c r="X149" s="674">
        <v>10207.924970642176</v>
      </c>
      <c r="Y149" s="40">
        <v>8004.0553279265423</v>
      </c>
      <c r="Z149" s="52">
        <v>-2203.8696427156337</v>
      </c>
      <c r="AA149" s="674">
        <v>1135.788</v>
      </c>
      <c r="AB149" s="40">
        <v>0</v>
      </c>
      <c r="AC149" s="52">
        <v>-1135.788</v>
      </c>
      <c r="AD149" s="674">
        <v>40594.271731364905</v>
      </c>
      <c r="AE149" s="40">
        <v>40231.571995117876</v>
      </c>
      <c r="AF149" s="35">
        <v>-362.69973624702834</v>
      </c>
      <c r="AG149" s="77">
        <v>101969.53836593883</v>
      </c>
      <c r="AH149" s="53">
        <v>92247.461631894606</v>
      </c>
      <c r="AI149" s="52">
        <v>-9722.0767340442253</v>
      </c>
      <c r="AJ149" s="674">
        <v>44981.703640576132</v>
      </c>
      <c r="AK149" s="40">
        <v>44050.78662257098</v>
      </c>
      <c r="AL149" s="52">
        <v>-930.91701800515148</v>
      </c>
      <c r="AM149" s="674">
        <v>315.2248275</v>
      </c>
      <c r="AN149" s="40">
        <v>0</v>
      </c>
      <c r="AO149" s="52">
        <v>-315.2248275</v>
      </c>
      <c r="AP149" s="674">
        <v>5621.0436385639832</v>
      </c>
      <c r="AQ149" s="40">
        <v>4671.0211591536336</v>
      </c>
      <c r="AR149" s="52">
        <v>-950.02247941034966</v>
      </c>
      <c r="AS149" s="674">
        <v>114019.59621192902</v>
      </c>
      <c r="AT149" s="40">
        <v>49101.45</v>
      </c>
      <c r="AU149" s="54">
        <v>-64918.146211929023</v>
      </c>
      <c r="AV149" s="674">
        <v>4290.9136844546847</v>
      </c>
      <c r="AW149" s="40">
        <v>360</v>
      </c>
      <c r="AX149" s="55">
        <v>-3930.9136844546847</v>
      </c>
      <c r="AY149" s="674">
        <v>4949.1953757206848</v>
      </c>
      <c r="AZ149" s="40">
        <v>1958.5</v>
      </c>
      <c r="BA149" s="35">
        <v>-2990.6953757206848</v>
      </c>
      <c r="BB149" s="674">
        <v>4145.7801219417661</v>
      </c>
      <c r="BC149" s="40">
        <v>703</v>
      </c>
      <c r="BD149" s="55">
        <v>-3442.7801219417661</v>
      </c>
      <c r="BE149" s="674">
        <v>3933.920949626332</v>
      </c>
      <c r="BF149" s="40">
        <v>354</v>
      </c>
      <c r="BG149" s="38">
        <v>-3579.920949626332</v>
      </c>
      <c r="BH149" s="674">
        <v>1480.0607281226878</v>
      </c>
      <c r="BI149" s="40">
        <v>0</v>
      </c>
      <c r="BJ149" s="55">
        <v>-1480.0607281226878</v>
      </c>
      <c r="BK149" s="674">
        <v>2392.1325861621935</v>
      </c>
      <c r="BL149" s="40">
        <v>384</v>
      </c>
      <c r="BM149" s="38">
        <v>-2008.1325861621935</v>
      </c>
      <c r="BN149" s="674">
        <v>454.1962373249915</v>
      </c>
      <c r="BO149" s="40">
        <v>0</v>
      </c>
      <c r="BP149" s="55">
        <v>-454.1962373249915</v>
      </c>
      <c r="BQ149" s="77">
        <v>21646.199683353341</v>
      </c>
      <c r="BR149" s="40">
        <v>3759.5</v>
      </c>
      <c r="BS149" s="55">
        <v>-17886.699683353341</v>
      </c>
      <c r="BT149" s="674">
        <v>93754.325506417081</v>
      </c>
      <c r="BU149" s="40">
        <v>81340.892241179332</v>
      </c>
      <c r="BV149" s="52">
        <v>-12413.433265237749</v>
      </c>
      <c r="BW149" s="674">
        <v>72872.223752978316</v>
      </c>
      <c r="BX149" s="40">
        <v>65459.231184790136</v>
      </c>
      <c r="BY149" s="52">
        <v>-7412.9925681881796</v>
      </c>
      <c r="BZ149" s="674">
        <v>21995.597461184392</v>
      </c>
      <c r="CA149" s="40">
        <v>24557.077632984059</v>
      </c>
      <c r="CB149" s="52">
        <v>2561.480171799667</v>
      </c>
      <c r="CC149" s="674">
        <v>1221.4193571993512</v>
      </c>
      <c r="CD149" s="40">
        <v>1275.7900746729281</v>
      </c>
      <c r="CE149" s="52">
        <v>54.37071747357686</v>
      </c>
      <c r="CF149" s="674">
        <v>148.35850229045519</v>
      </c>
      <c r="CG149" s="40">
        <v>0</v>
      </c>
      <c r="CH149" s="52">
        <v>-148.35850229045519</v>
      </c>
      <c r="CI149" s="674">
        <v>22294.622933155912</v>
      </c>
      <c r="CJ149" s="40">
        <v>21143.830223961479</v>
      </c>
      <c r="CK149" s="52">
        <v>-1150.792709194433</v>
      </c>
      <c r="CL149" s="674">
        <v>20318.589196984856</v>
      </c>
      <c r="CM149" s="40">
        <v>20223.154336758656</v>
      </c>
      <c r="CN149" s="52">
        <v>-95.434860226199817</v>
      </c>
      <c r="CO149" s="39">
        <v>42613.212130140768</v>
      </c>
      <c r="CP149" s="40">
        <v>41366.984560720135</v>
      </c>
      <c r="CQ149" s="52">
        <v>-1246.2275694206328</v>
      </c>
      <c r="CR149" s="72">
        <v>521158.44307807164</v>
      </c>
      <c r="CS149" s="5">
        <v>407830.19510796573</v>
      </c>
      <c r="CT149" s="52">
        <v>-113328.24797010591</v>
      </c>
      <c r="CU149" s="77">
        <v>625390.13169368589</v>
      </c>
      <c r="CV149" s="65">
        <v>489396.23412955884</v>
      </c>
      <c r="CW149" s="35">
        <v>-135993.89756412705</v>
      </c>
      <c r="CX149" s="73">
        <v>6484.9140358205823</v>
      </c>
      <c r="CY149" s="40">
        <v>142478.81159994769</v>
      </c>
      <c r="CZ149" s="52">
        <v>135993.89756412711</v>
      </c>
      <c r="DA149" s="150">
        <v>-210656.93569251028</v>
      </c>
      <c r="DB149" s="2">
        <v>1</v>
      </c>
      <c r="DC149" s="675">
        <v>124529.39</v>
      </c>
      <c r="DD149" s="675">
        <v>0</v>
      </c>
      <c r="DE149" s="675">
        <v>69334.238177675492</v>
      </c>
      <c r="DF149" s="675">
        <v>0</v>
      </c>
      <c r="DG149" s="321">
        <v>-74663.038128383167</v>
      </c>
      <c r="DH149" s="40">
        <v>631826.53670210287</v>
      </c>
      <c r="DI149" s="422">
        <v>55195.151822324529</v>
      </c>
      <c r="DJ149" s="306">
        <v>5.1194379001858374</v>
      </c>
      <c r="DK149" s="306">
        <v>5.9117166673935442</v>
      </c>
      <c r="DL149" s="306">
        <v>4.2805997984186082</v>
      </c>
      <c r="DM149" s="28">
        <v>55195.151822324508</v>
      </c>
      <c r="DN149" s="28">
        <v>0</v>
      </c>
      <c r="DO149" s="423">
        <v>55195.151822324508</v>
      </c>
      <c r="DP149" s="94">
        <v>0</v>
      </c>
      <c r="DQ149" s="28">
        <v>55195.151822324508</v>
      </c>
      <c r="DR149" s="318"/>
      <c r="DT149" s="8"/>
      <c r="DU149" s="5"/>
      <c r="DX149" s="5">
        <v>162798.95507433882</v>
      </c>
      <c r="DY149" s="5">
        <v>63433.139999999992</v>
      </c>
      <c r="DZ149" s="159">
        <v>14328.336806889509</v>
      </c>
      <c r="EB149" s="676">
        <v>-3850.0997505694177</v>
      </c>
      <c r="EC149" s="676">
        <v>-8368.7346456742889</v>
      </c>
      <c r="ED149" s="676">
        <v>-897.18551057940203</v>
      </c>
      <c r="EE149" s="676">
        <v>-24633.71640786956</v>
      </c>
      <c r="EF149" s="676">
        <v>-14078.153836165613</v>
      </c>
      <c r="EG149" s="676">
        <v>-16849.812710144011</v>
      </c>
      <c r="EH149" s="676">
        <v>-29048.897779087874</v>
      </c>
      <c r="EI149" s="676">
        <v>-12432.261203154303</v>
      </c>
      <c r="EJ149" s="676">
        <v>-10915.690566934441</v>
      </c>
      <c r="EK149" s="676">
        <v>-10909.646875561462</v>
      </c>
      <c r="EL149" s="676">
        <v>-12934.125605976442</v>
      </c>
      <c r="EM149" s="676">
        <v>8924.4273275897212</v>
      </c>
      <c r="EN149" s="676">
        <v>-135993.89756412711</v>
      </c>
      <c r="EQ149" s="5">
        <v>162798.95507433882</v>
      </c>
      <c r="ER149" s="5">
        <v>63433.139999999992</v>
      </c>
      <c r="ET149" s="318">
        <v>68395.73655750179</v>
      </c>
      <c r="EU149" s="5">
        <v>-58049.774685884971</v>
      </c>
    </row>
    <row r="150" spans="1:151" x14ac:dyDescent="0.3">
      <c r="A150" s="325">
        <v>150000688</v>
      </c>
      <c r="B150" s="41" t="s">
        <v>599</v>
      </c>
      <c r="C150" s="42" t="s">
        <v>93</v>
      </c>
      <c r="D150" s="27">
        <v>1</v>
      </c>
      <c r="E150" s="293">
        <v>241.1</v>
      </c>
      <c r="F150" s="305">
        <v>241.1</v>
      </c>
      <c r="G150" s="508">
        <v>0</v>
      </c>
      <c r="H150" s="677">
        <v>0</v>
      </c>
      <c r="I150" s="674">
        <v>0</v>
      </c>
      <c r="J150" s="40">
        <v>0</v>
      </c>
      <c r="K150" s="52">
        <v>0</v>
      </c>
      <c r="L150" s="674">
        <v>0</v>
      </c>
      <c r="M150" s="40">
        <v>0</v>
      </c>
      <c r="N150" s="52">
        <v>0</v>
      </c>
      <c r="O150" s="674">
        <v>0</v>
      </c>
      <c r="P150" s="40">
        <v>0</v>
      </c>
      <c r="Q150" s="52">
        <v>0</v>
      </c>
      <c r="R150" s="674">
        <v>0</v>
      </c>
      <c r="S150" s="40">
        <v>0</v>
      </c>
      <c r="T150" s="52">
        <v>0</v>
      </c>
      <c r="U150" s="674">
        <v>0</v>
      </c>
      <c r="V150" s="40">
        <v>0</v>
      </c>
      <c r="W150" s="52">
        <v>0</v>
      </c>
      <c r="X150" s="674">
        <v>0</v>
      </c>
      <c r="Y150" s="40">
        <v>0</v>
      </c>
      <c r="Z150" s="52">
        <v>0</v>
      </c>
      <c r="AA150" s="674">
        <v>28.932000000000002</v>
      </c>
      <c r="AB150" s="40">
        <v>0</v>
      </c>
      <c r="AC150" s="52">
        <v>-28.932000000000002</v>
      </c>
      <c r="AD150" s="674">
        <v>217.2400095904153</v>
      </c>
      <c r="AE150" s="40">
        <v>1024.3668361325699</v>
      </c>
      <c r="AF150" s="35">
        <v>807.12682654215462</v>
      </c>
      <c r="AG150" s="77">
        <v>246.17200959041531</v>
      </c>
      <c r="AH150" s="53">
        <v>1024.3668361325699</v>
      </c>
      <c r="AI150" s="52">
        <v>778.1948265421546</v>
      </c>
      <c r="AJ150" s="674">
        <v>0</v>
      </c>
      <c r="AK150" s="40">
        <v>0</v>
      </c>
      <c r="AL150" s="52">
        <v>0</v>
      </c>
      <c r="AM150" s="674">
        <v>0</v>
      </c>
      <c r="AN150" s="40">
        <v>0</v>
      </c>
      <c r="AO150" s="52">
        <v>0</v>
      </c>
      <c r="AP150" s="674">
        <v>359.74679286809487</v>
      </c>
      <c r="AQ150" s="40">
        <v>299.17633281993915</v>
      </c>
      <c r="AR150" s="52">
        <v>-60.570460048155724</v>
      </c>
      <c r="AS150" s="674">
        <v>3002.0042586841028</v>
      </c>
      <c r="AT150" s="40">
        <v>0</v>
      </c>
      <c r="AU150" s="54">
        <v>-3002.0042586841028</v>
      </c>
      <c r="AV150" s="674">
        <v>0</v>
      </c>
      <c r="AW150" s="40">
        <v>0</v>
      </c>
      <c r="AX150" s="55">
        <v>0</v>
      </c>
      <c r="AY150" s="674">
        <v>0</v>
      </c>
      <c r="AZ150" s="40">
        <v>0</v>
      </c>
      <c r="BA150" s="35">
        <v>0</v>
      </c>
      <c r="BB150" s="674">
        <v>0</v>
      </c>
      <c r="BC150" s="40">
        <v>0</v>
      </c>
      <c r="BD150" s="55">
        <v>0</v>
      </c>
      <c r="BE150" s="674">
        <v>0</v>
      </c>
      <c r="BF150" s="40">
        <v>0</v>
      </c>
      <c r="BG150" s="38">
        <v>0</v>
      </c>
      <c r="BH150" s="674">
        <v>0</v>
      </c>
      <c r="BI150" s="40">
        <v>0</v>
      </c>
      <c r="BJ150" s="55">
        <v>0</v>
      </c>
      <c r="BK150" s="674">
        <v>0</v>
      </c>
      <c r="BL150" s="40">
        <v>0</v>
      </c>
      <c r="BM150" s="38">
        <v>0</v>
      </c>
      <c r="BN150" s="674">
        <v>7.2330000000000005</v>
      </c>
      <c r="BO150" s="40">
        <v>0</v>
      </c>
      <c r="BP150" s="55">
        <v>-7.2330000000000005</v>
      </c>
      <c r="BQ150" s="77">
        <v>7.2330000000000005</v>
      </c>
      <c r="BR150" s="40">
        <v>0</v>
      </c>
      <c r="BS150" s="55">
        <v>-7.2330000000000005</v>
      </c>
      <c r="BT150" s="674">
        <v>143.56206452518501</v>
      </c>
      <c r="BU150" s="40">
        <v>188.42993821613783</v>
      </c>
      <c r="BV150" s="52">
        <v>44.86787369095282</v>
      </c>
      <c r="BW150" s="674">
        <v>0</v>
      </c>
      <c r="BX150" s="40">
        <v>5.4842244783953635</v>
      </c>
      <c r="BY150" s="52">
        <v>5.4842244783953635</v>
      </c>
      <c r="BZ150" s="674">
        <v>0</v>
      </c>
      <c r="CA150" s="40">
        <v>63.42588772041087</v>
      </c>
      <c r="CB150" s="52">
        <v>63.42588772041087</v>
      </c>
      <c r="CC150" s="674">
        <v>0</v>
      </c>
      <c r="CD150" s="40">
        <v>0</v>
      </c>
      <c r="CE150" s="52">
        <v>0</v>
      </c>
      <c r="CF150" s="674">
        <v>0</v>
      </c>
      <c r="CG150" s="40">
        <v>0</v>
      </c>
      <c r="CH150" s="52">
        <v>0</v>
      </c>
      <c r="CI150" s="674">
        <v>0</v>
      </c>
      <c r="CJ150" s="40">
        <v>0</v>
      </c>
      <c r="CK150" s="52">
        <v>0</v>
      </c>
      <c r="CL150" s="674">
        <v>0</v>
      </c>
      <c r="CM150" s="40">
        <v>0</v>
      </c>
      <c r="CN150" s="52">
        <v>0</v>
      </c>
      <c r="CO150" s="39">
        <v>0</v>
      </c>
      <c r="CP150" s="40">
        <v>0</v>
      </c>
      <c r="CQ150" s="52">
        <v>0</v>
      </c>
      <c r="CR150" s="72">
        <v>3758.7181256677982</v>
      </c>
      <c r="CS150" s="5">
        <v>1580.883219367453</v>
      </c>
      <c r="CT150" s="52">
        <v>-2177.8349063003452</v>
      </c>
      <c r="CU150" s="77">
        <v>4510.461750801358</v>
      </c>
      <c r="CV150" s="65">
        <v>1897.0598632409435</v>
      </c>
      <c r="CW150" s="35">
        <v>-2613.4018875604143</v>
      </c>
      <c r="CX150" s="73">
        <v>100.35337332643968</v>
      </c>
      <c r="CY150" s="40">
        <v>2713.7552608868541</v>
      </c>
      <c r="CZ150" s="52">
        <v>2613.4018875604143</v>
      </c>
      <c r="DA150" s="150">
        <v>-9894.1860918920993</v>
      </c>
      <c r="DB150" s="2">
        <v>3</v>
      </c>
      <c r="DC150" s="675">
        <v>515.01</v>
      </c>
      <c r="DD150" s="675">
        <v>0</v>
      </c>
      <c r="DE150" s="675">
        <v>110.45438593743012</v>
      </c>
      <c r="DF150" s="675">
        <v>0</v>
      </c>
      <c r="DG150" s="321">
        <v>-7280.784204331685</v>
      </c>
      <c r="DH150" s="40">
        <v>4610.466950484275</v>
      </c>
      <c r="DI150" s="422">
        <v>404.55561406256976</v>
      </c>
      <c r="DJ150" s="306">
        <v>1.6779577522296552</v>
      </c>
      <c r="DK150" s="306">
        <v>1.6779577522296552</v>
      </c>
      <c r="DL150" s="306">
        <v>1.6779577522296552</v>
      </c>
      <c r="DM150" s="28">
        <v>404.55561406256987</v>
      </c>
      <c r="DN150" s="28">
        <v>0</v>
      </c>
      <c r="DO150" s="423">
        <v>404.55561406256987</v>
      </c>
      <c r="DP150" s="94">
        <v>0</v>
      </c>
      <c r="DQ150" s="28">
        <v>404.55561406256987</v>
      </c>
      <c r="DR150" s="318"/>
      <c r="DT150" s="8"/>
      <c r="DU150" s="5"/>
      <c r="DX150" s="5">
        <v>3611.0847104209233</v>
      </c>
      <c r="DY150" s="5">
        <v>0</v>
      </c>
      <c r="DZ150" s="159">
        <v>341.55464534845242</v>
      </c>
      <c r="EB150" s="676">
        <v>26.101863249297026</v>
      </c>
      <c r="EC150" s="676">
        <v>-178.10434774884322</v>
      </c>
      <c r="ED150" s="676">
        <v>-173.73885525221766</v>
      </c>
      <c r="EE150" s="676">
        <v>-326.06499960927221</v>
      </c>
      <c r="EF150" s="676">
        <v>-277.48460575759827</v>
      </c>
      <c r="EG150" s="676">
        <v>-282.92718817622239</v>
      </c>
      <c r="EH150" s="676">
        <v>-106.67189543445812</v>
      </c>
      <c r="EI150" s="676">
        <v>-241.79858364233266</v>
      </c>
      <c r="EJ150" s="676">
        <v>-280.54672105011588</v>
      </c>
      <c r="EK150" s="676">
        <v>-230.90670248451499</v>
      </c>
      <c r="EL150" s="676">
        <v>-263.51298090590319</v>
      </c>
      <c r="EM150" s="676">
        <v>-277.74687074823299</v>
      </c>
      <c r="EN150" s="676">
        <v>-2613.4018875604143</v>
      </c>
      <c r="EQ150" s="5">
        <v>3611.0847104209233</v>
      </c>
      <c r="ER150" s="5">
        <v>0</v>
      </c>
      <c r="ET150" s="318">
        <v>-1930.8550549424695</v>
      </c>
      <c r="EU150" s="5">
        <v>-1752.9291493892163</v>
      </c>
    </row>
    <row r="151" spans="1:151" x14ac:dyDescent="0.3">
      <c r="A151" s="325">
        <v>150000689</v>
      </c>
      <c r="B151" s="41" t="s">
        <v>600</v>
      </c>
      <c r="C151" s="42" t="s">
        <v>94</v>
      </c>
      <c r="D151" s="27">
        <v>1</v>
      </c>
      <c r="E151" s="293">
        <v>188.9</v>
      </c>
      <c r="F151" s="305">
        <v>188.9</v>
      </c>
      <c r="G151" s="508">
        <v>0</v>
      </c>
      <c r="H151" s="677">
        <v>0</v>
      </c>
      <c r="I151" s="674">
        <v>0</v>
      </c>
      <c r="J151" s="40">
        <v>0</v>
      </c>
      <c r="K151" s="52">
        <v>0</v>
      </c>
      <c r="L151" s="674">
        <v>0</v>
      </c>
      <c r="M151" s="40">
        <v>0</v>
      </c>
      <c r="N151" s="52">
        <v>0</v>
      </c>
      <c r="O151" s="674">
        <v>0</v>
      </c>
      <c r="P151" s="40">
        <v>0</v>
      </c>
      <c r="Q151" s="52">
        <v>0</v>
      </c>
      <c r="R151" s="674">
        <v>0</v>
      </c>
      <c r="S151" s="40">
        <v>0</v>
      </c>
      <c r="T151" s="52">
        <v>0</v>
      </c>
      <c r="U151" s="674">
        <v>0</v>
      </c>
      <c r="V151" s="40">
        <v>0</v>
      </c>
      <c r="W151" s="52">
        <v>0</v>
      </c>
      <c r="X151" s="674">
        <v>0</v>
      </c>
      <c r="Y151" s="40">
        <v>0</v>
      </c>
      <c r="Z151" s="52">
        <v>0</v>
      </c>
      <c r="AA151" s="674">
        <v>22.283999999999999</v>
      </c>
      <c r="AB151" s="40">
        <v>0</v>
      </c>
      <c r="AC151" s="52">
        <v>-22.283999999999999</v>
      </c>
      <c r="AD151" s="674">
        <v>167.3451840627371</v>
      </c>
      <c r="AE151" s="40">
        <v>802.58355597446086</v>
      </c>
      <c r="AF151" s="35">
        <v>635.23837191172379</v>
      </c>
      <c r="AG151" s="77">
        <v>189.6291840627371</v>
      </c>
      <c r="AH151" s="53">
        <v>802.58355597446086</v>
      </c>
      <c r="AI151" s="52">
        <v>612.9543719117238</v>
      </c>
      <c r="AJ151" s="674">
        <v>0</v>
      </c>
      <c r="AK151" s="40">
        <v>0</v>
      </c>
      <c r="AL151" s="52">
        <v>0</v>
      </c>
      <c r="AM151" s="674">
        <v>0</v>
      </c>
      <c r="AN151" s="40">
        <v>0</v>
      </c>
      <c r="AO151" s="52">
        <v>0</v>
      </c>
      <c r="AP151" s="674">
        <v>359.74679286809487</v>
      </c>
      <c r="AQ151" s="40">
        <v>299.17633281993915</v>
      </c>
      <c r="AR151" s="52">
        <v>-60.570460048155724</v>
      </c>
      <c r="AS151" s="674">
        <v>1975.2182096258166</v>
      </c>
      <c r="AT151" s="40">
        <v>0</v>
      </c>
      <c r="AU151" s="54">
        <v>-1975.2182096258166</v>
      </c>
      <c r="AV151" s="674">
        <v>0</v>
      </c>
      <c r="AW151" s="40">
        <v>0</v>
      </c>
      <c r="AX151" s="55">
        <v>0</v>
      </c>
      <c r="AY151" s="674">
        <v>0</v>
      </c>
      <c r="AZ151" s="40">
        <v>0</v>
      </c>
      <c r="BA151" s="35">
        <v>0</v>
      </c>
      <c r="BB151" s="674">
        <v>0</v>
      </c>
      <c r="BC151" s="40">
        <v>0</v>
      </c>
      <c r="BD151" s="55">
        <v>0</v>
      </c>
      <c r="BE151" s="674">
        <v>0</v>
      </c>
      <c r="BF151" s="40">
        <v>0</v>
      </c>
      <c r="BG151" s="38">
        <v>0</v>
      </c>
      <c r="BH151" s="674">
        <v>0</v>
      </c>
      <c r="BI151" s="40">
        <v>0</v>
      </c>
      <c r="BJ151" s="55">
        <v>0</v>
      </c>
      <c r="BK151" s="674">
        <v>0</v>
      </c>
      <c r="BL151" s="40">
        <v>0</v>
      </c>
      <c r="BM151" s="38">
        <v>0</v>
      </c>
      <c r="BN151" s="674">
        <v>5.5709999999999997</v>
      </c>
      <c r="BO151" s="40">
        <v>0</v>
      </c>
      <c r="BP151" s="55">
        <v>-5.5709999999999997</v>
      </c>
      <c r="BQ151" s="77">
        <v>5.5709999999999997</v>
      </c>
      <c r="BR151" s="40">
        <v>0</v>
      </c>
      <c r="BS151" s="55">
        <v>-5.5709999999999997</v>
      </c>
      <c r="BT151" s="674">
        <v>71.781032262592504</v>
      </c>
      <c r="BU151" s="40">
        <v>94.271738050505732</v>
      </c>
      <c r="BV151" s="52">
        <v>22.490705787913228</v>
      </c>
      <c r="BW151" s="674">
        <v>0</v>
      </c>
      <c r="BX151" s="40">
        <v>4.2968477974653014</v>
      </c>
      <c r="BY151" s="52">
        <v>4.2968477974653014</v>
      </c>
      <c r="BZ151" s="674">
        <v>0</v>
      </c>
      <c r="CA151" s="40">
        <v>31.714737607757506</v>
      </c>
      <c r="CB151" s="52">
        <v>31.714737607757506</v>
      </c>
      <c r="CC151" s="674">
        <v>0</v>
      </c>
      <c r="CD151" s="40">
        <v>0</v>
      </c>
      <c r="CE151" s="52">
        <v>0</v>
      </c>
      <c r="CF151" s="674">
        <v>0</v>
      </c>
      <c r="CG151" s="40">
        <v>0</v>
      </c>
      <c r="CH151" s="52">
        <v>0</v>
      </c>
      <c r="CI151" s="674">
        <v>0</v>
      </c>
      <c r="CJ151" s="40">
        <v>0</v>
      </c>
      <c r="CK151" s="52">
        <v>0</v>
      </c>
      <c r="CL151" s="674">
        <v>0</v>
      </c>
      <c r="CM151" s="40">
        <v>0</v>
      </c>
      <c r="CN151" s="52">
        <v>0</v>
      </c>
      <c r="CO151" s="39">
        <v>0</v>
      </c>
      <c r="CP151" s="40">
        <v>0</v>
      </c>
      <c r="CQ151" s="52">
        <v>0</v>
      </c>
      <c r="CR151" s="72">
        <v>2601.9462188192406</v>
      </c>
      <c r="CS151" s="5">
        <v>1232.0432122501286</v>
      </c>
      <c r="CT151" s="52">
        <v>-1369.903006569112</v>
      </c>
      <c r="CU151" s="77">
        <v>3122.3354625830884</v>
      </c>
      <c r="CV151" s="65">
        <v>1478.4518547001542</v>
      </c>
      <c r="CW151" s="35">
        <v>-1643.8836078829343</v>
      </c>
      <c r="CX151" s="73">
        <v>94.176285277124379</v>
      </c>
      <c r="CY151" s="40">
        <v>1738.0598931600598</v>
      </c>
      <c r="CZ151" s="52">
        <v>1643.8836078829354</v>
      </c>
      <c r="DA151" s="150">
        <v>-5448.9944347291803</v>
      </c>
      <c r="DB151" s="2">
        <v>3</v>
      </c>
      <c r="DC151" s="675">
        <v>782.97</v>
      </c>
      <c r="DD151" s="675">
        <v>0</v>
      </c>
      <c r="DE151" s="675">
        <v>499.60117211046719</v>
      </c>
      <c r="DF151" s="675">
        <v>0</v>
      </c>
      <c r="DG151" s="321">
        <v>-3805.1108268462444</v>
      </c>
      <c r="DH151" s="40">
        <v>3216.2725778169238</v>
      </c>
      <c r="DI151" s="422">
        <v>283.36882788953284</v>
      </c>
      <c r="DJ151" s="306">
        <v>1.5000996711992209</v>
      </c>
      <c r="DK151" s="306">
        <v>1.5000996711992209</v>
      </c>
      <c r="DL151" s="306">
        <v>1.5000996711992209</v>
      </c>
      <c r="DM151" s="28">
        <v>283.36882788953284</v>
      </c>
      <c r="DN151" s="28">
        <v>0</v>
      </c>
      <c r="DO151" s="423">
        <v>283.36882788953284</v>
      </c>
      <c r="DP151" s="94">
        <v>0</v>
      </c>
      <c r="DQ151" s="28">
        <v>283.36882788953284</v>
      </c>
      <c r="DR151" s="318"/>
      <c r="DT151" s="8"/>
      <c r="DU151" s="5"/>
      <c r="DX151" s="5">
        <v>2376.9470515509797</v>
      </c>
      <c r="DY151" s="5">
        <v>0</v>
      </c>
      <c r="DZ151" s="159">
        <v>229.00588304553386</v>
      </c>
      <c r="EB151" s="676">
        <v>89.007807947823665</v>
      </c>
      <c r="EC151" s="676">
        <v>-109.82494275566712</v>
      </c>
      <c r="ED151" s="676">
        <v>-106.40461288170374</v>
      </c>
      <c r="EE151" s="676">
        <v>-219.64482875350268</v>
      </c>
      <c r="EF151" s="676">
        <v>-191.79454543725632</v>
      </c>
      <c r="EG151" s="676">
        <v>-195.89112273494641</v>
      </c>
      <c r="EH151" s="676">
        <v>-18.914597317541165</v>
      </c>
      <c r="EI151" s="676">
        <v>-164.06686589587144</v>
      </c>
      <c r="EJ151" s="676">
        <v>-194.43857022810755</v>
      </c>
      <c r="EK151" s="676">
        <v>-156.32245574185504</v>
      </c>
      <c r="EL151" s="676">
        <v>-181.46536528675898</v>
      </c>
      <c r="EM151" s="676">
        <v>-194.12350879754908</v>
      </c>
      <c r="EN151" s="676">
        <v>-1643.8836078829356</v>
      </c>
      <c r="EQ151" s="5">
        <v>2376.9470515509797</v>
      </c>
      <c r="ER151" s="5">
        <v>0</v>
      </c>
      <c r="ET151" s="318">
        <v>-1112.5210927587434</v>
      </c>
      <c r="EU151" s="5">
        <v>-939.76461186876963</v>
      </c>
    </row>
    <row r="152" spans="1:151" x14ac:dyDescent="0.3">
      <c r="A152" s="325">
        <v>150000693</v>
      </c>
      <c r="B152" s="41" t="s">
        <v>601</v>
      </c>
      <c r="C152" s="42" t="s">
        <v>95</v>
      </c>
      <c r="D152" s="27">
        <v>1</v>
      </c>
      <c r="E152" s="293">
        <v>165.8</v>
      </c>
      <c r="F152" s="305">
        <v>165.8</v>
      </c>
      <c r="G152" s="508">
        <v>0</v>
      </c>
      <c r="H152" s="677">
        <v>0</v>
      </c>
      <c r="I152" s="674">
        <v>0</v>
      </c>
      <c r="J152" s="40">
        <v>0</v>
      </c>
      <c r="K152" s="52">
        <v>0</v>
      </c>
      <c r="L152" s="674">
        <v>0</v>
      </c>
      <c r="M152" s="40">
        <v>0</v>
      </c>
      <c r="N152" s="52">
        <v>0</v>
      </c>
      <c r="O152" s="674">
        <v>0</v>
      </c>
      <c r="P152" s="40">
        <v>0</v>
      </c>
      <c r="Q152" s="52">
        <v>0</v>
      </c>
      <c r="R152" s="674">
        <v>0</v>
      </c>
      <c r="S152" s="40">
        <v>0</v>
      </c>
      <c r="T152" s="52">
        <v>0</v>
      </c>
      <c r="U152" s="674">
        <v>0</v>
      </c>
      <c r="V152" s="40">
        <v>0</v>
      </c>
      <c r="W152" s="52">
        <v>0</v>
      </c>
      <c r="X152" s="674">
        <v>0</v>
      </c>
      <c r="Y152" s="40">
        <v>0</v>
      </c>
      <c r="Z152" s="52">
        <v>0</v>
      </c>
      <c r="AA152" s="674">
        <v>19.896000000000001</v>
      </c>
      <c r="AB152" s="40">
        <v>0</v>
      </c>
      <c r="AC152" s="52">
        <v>-19.896000000000001</v>
      </c>
      <c r="AD152" s="674">
        <v>149.41120024335899</v>
      </c>
      <c r="AE152" s="40">
        <v>605.29188769907205</v>
      </c>
      <c r="AF152" s="35">
        <v>455.88068745571309</v>
      </c>
      <c r="AG152" s="77">
        <v>169.30720024335898</v>
      </c>
      <c r="AH152" s="53">
        <v>605.29188769907205</v>
      </c>
      <c r="AI152" s="52">
        <v>435.98468745571307</v>
      </c>
      <c r="AJ152" s="674">
        <v>0</v>
      </c>
      <c r="AK152" s="40">
        <v>0</v>
      </c>
      <c r="AL152" s="52">
        <v>0</v>
      </c>
      <c r="AM152" s="674">
        <v>0</v>
      </c>
      <c r="AN152" s="40">
        <v>0</v>
      </c>
      <c r="AO152" s="52">
        <v>0</v>
      </c>
      <c r="AP152" s="674">
        <v>185.38267708865726</v>
      </c>
      <c r="AQ152" s="40">
        <v>186.98520801246201</v>
      </c>
      <c r="AR152" s="52">
        <v>1.6025309238047498</v>
      </c>
      <c r="AS152" s="674">
        <v>1447.9770443342516</v>
      </c>
      <c r="AT152" s="40">
        <v>0</v>
      </c>
      <c r="AU152" s="54">
        <v>-1447.9770443342516</v>
      </c>
      <c r="AV152" s="674">
        <v>0</v>
      </c>
      <c r="AW152" s="40">
        <v>0</v>
      </c>
      <c r="AX152" s="55">
        <v>0</v>
      </c>
      <c r="AY152" s="674">
        <v>0</v>
      </c>
      <c r="AZ152" s="40">
        <v>0</v>
      </c>
      <c r="BA152" s="35">
        <v>0</v>
      </c>
      <c r="BB152" s="674">
        <v>0</v>
      </c>
      <c r="BC152" s="40">
        <v>0</v>
      </c>
      <c r="BD152" s="55">
        <v>0</v>
      </c>
      <c r="BE152" s="674">
        <v>0</v>
      </c>
      <c r="BF152" s="40">
        <v>0</v>
      </c>
      <c r="BG152" s="38">
        <v>0</v>
      </c>
      <c r="BH152" s="674">
        <v>0</v>
      </c>
      <c r="BI152" s="40">
        <v>0</v>
      </c>
      <c r="BJ152" s="55">
        <v>0</v>
      </c>
      <c r="BK152" s="674">
        <v>0</v>
      </c>
      <c r="BL152" s="40">
        <v>0</v>
      </c>
      <c r="BM152" s="38">
        <v>0</v>
      </c>
      <c r="BN152" s="674">
        <v>4.9740000000000002</v>
      </c>
      <c r="BO152" s="40">
        <v>0</v>
      </c>
      <c r="BP152" s="55">
        <v>-4.9740000000000002</v>
      </c>
      <c r="BQ152" s="77">
        <v>4.9740000000000002</v>
      </c>
      <c r="BR152" s="40">
        <v>0</v>
      </c>
      <c r="BS152" s="55">
        <v>-4.9740000000000002</v>
      </c>
      <c r="BT152" s="674">
        <v>41.872268819845637</v>
      </c>
      <c r="BU152" s="40">
        <v>64.987695865778861</v>
      </c>
      <c r="BV152" s="52">
        <v>23.115427045933224</v>
      </c>
      <c r="BW152" s="674">
        <v>0</v>
      </c>
      <c r="BX152" s="40">
        <v>3.1002559139205537</v>
      </c>
      <c r="BY152" s="52">
        <v>3.1002559139205537</v>
      </c>
      <c r="BZ152" s="674">
        <v>0</v>
      </c>
      <c r="CA152" s="40">
        <v>3.9605668974085746</v>
      </c>
      <c r="CB152" s="52">
        <v>3.9605668974085746</v>
      </c>
      <c r="CC152" s="674">
        <v>0</v>
      </c>
      <c r="CD152" s="40">
        <v>0</v>
      </c>
      <c r="CE152" s="52">
        <v>0</v>
      </c>
      <c r="CF152" s="674">
        <v>0</v>
      </c>
      <c r="CG152" s="40">
        <v>0</v>
      </c>
      <c r="CH152" s="52">
        <v>0</v>
      </c>
      <c r="CI152" s="674">
        <v>0</v>
      </c>
      <c r="CJ152" s="40">
        <v>0</v>
      </c>
      <c r="CK152" s="52">
        <v>0</v>
      </c>
      <c r="CL152" s="674">
        <v>0</v>
      </c>
      <c r="CM152" s="40">
        <v>0</v>
      </c>
      <c r="CN152" s="52">
        <v>0</v>
      </c>
      <c r="CO152" s="39">
        <v>0</v>
      </c>
      <c r="CP152" s="40">
        <v>0</v>
      </c>
      <c r="CQ152" s="52">
        <v>0</v>
      </c>
      <c r="CR152" s="72">
        <v>1849.5131904861134</v>
      </c>
      <c r="CS152" s="5">
        <v>864.32561438864207</v>
      </c>
      <c r="CT152" s="52">
        <v>-985.18757609747138</v>
      </c>
      <c r="CU152" s="77">
        <v>2219.415828583336</v>
      </c>
      <c r="CV152" s="65">
        <v>1037.1907372663704</v>
      </c>
      <c r="CW152" s="35">
        <v>-1182.2250913169655</v>
      </c>
      <c r="CX152" s="73">
        <v>52.831859018741497</v>
      </c>
      <c r="CY152" s="40">
        <v>1235.0569503357067</v>
      </c>
      <c r="CZ152" s="52">
        <v>1182.2250913169653</v>
      </c>
      <c r="DA152" s="150">
        <v>-4679.9027846768458</v>
      </c>
      <c r="DB152" s="2">
        <v>3</v>
      </c>
      <c r="DC152" s="675">
        <v>2402.4499999999998</v>
      </c>
      <c r="DD152" s="675">
        <v>0</v>
      </c>
      <c r="DE152" s="675">
        <v>2402.4499999999998</v>
      </c>
      <c r="DF152" s="675">
        <v>0</v>
      </c>
      <c r="DG152" s="321">
        <v>-3497.6776933598803</v>
      </c>
      <c r="DH152" s="40">
        <v>2755.6539358145865</v>
      </c>
      <c r="DI152" s="422">
        <v>241.80716491231357</v>
      </c>
      <c r="DJ152" s="306">
        <v>1.4584268088800576</v>
      </c>
      <c r="DK152" s="306">
        <v>1.4584268088800576</v>
      </c>
      <c r="DL152" s="306">
        <v>1.4584268088800576</v>
      </c>
      <c r="DM152" s="28">
        <v>241.80716491231357</v>
      </c>
      <c r="DN152" s="28">
        <v>0</v>
      </c>
      <c r="DO152" s="423">
        <v>241.80716491231357</v>
      </c>
      <c r="DP152" s="94">
        <v>0</v>
      </c>
      <c r="DQ152" s="28">
        <v>241.80716491231357</v>
      </c>
      <c r="DR152" s="318"/>
      <c r="DT152" s="8"/>
      <c r="DU152" s="5"/>
      <c r="DX152" s="5">
        <v>1743.5412532011017</v>
      </c>
      <c r="DY152" s="5">
        <v>0</v>
      </c>
      <c r="DZ152" s="159">
        <v>207.3801157135311</v>
      </c>
      <c r="EB152" s="676">
        <v>34.417117046852383</v>
      </c>
      <c r="EC152" s="676">
        <v>-94.767443346197709</v>
      </c>
      <c r="ED152" s="676">
        <v>-91.765375092607826</v>
      </c>
      <c r="EE152" s="676">
        <v>-188.36852945359357</v>
      </c>
      <c r="EF152" s="676">
        <v>-166.2291856856753</v>
      </c>
      <c r="EG152" s="676">
        <v>-169.78696213765798</v>
      </c>
      <c r="EH152" s="676">
        <v>-59.847574106577724</v>
      </c>
      <c r="EI152" s="676">
        <v>-141.94461922673867</v>
      </c>
      <c r="EJ152" s="676">
        <v>-168.60515877055252</v>
      </c>
      <c r="EK152" s="676">
        <v>-135.32736054421645</v>
      </c>
      <c r="EL152" s="676">
        <v>0</v>
      </c>
      <c r="EM152" s="676">
        <v>0</v>
      </c>
      <c r="EN152" s="676">
        <v>-1182.2250913169655</v>
      </c>
      <c r="EQ152" s="5">
        <v>1743.5412532011017</v>
      </c>
      <c r="ER152" s="5">
        <v>0</v>
      </c>
      <c r="ET152" s="318">
        <v>-1013.5692702670838</v>
      </c>
      <c r="EU152" s="5">
        <v>-894.1084230927969</v>
      </c>
    </row>
    <row r="153" spans="1:151" x14ac:dyDescent="0.3">
      <c r="A153" s="325">
        <v>150000690</v>
      </c>
      <c r="B153" s="41" t="s">
        <v>602</v>
      </c>
      <c r="C153" s="42" t="s">
        <v>96</v>
      </c>
      <c r="D153" s="27">
        <v>1</v>
      </c>
      <c r="E153" s="293">
        <v>142.1</v>
      </c>
      <c r="F153" s="305">
        <v>142.1</v>
      </c>
      <c r="G153" s="508">
        <v>0</v>
      </c>
      <c r="H153" s="677">
        <v>0</v>
      </c>
      <c r="I153" s="674">
        <v>0</v>
      </c>
      <c r="J153" s="40">
        <v>0</v>
      </c>
      <c r="K153" s="52">
        <v>0</v>
      </c>
      <c r="L153" s="674">
        <v>0</v>
      </c>
      <c r="M153" s="40">
        <v>0</v>
      </c>
      <c r="N153" s="52">
        <v>0</v>
      </c>
      <c r="O153" s="674">
        <v>0</v>
      </c>
      <c r="P153" s="40">
        <v>0</v>
      </c>
      <c r="Q153" s="52">
        <v>0</v>
      </c>
      <c r="R153" s="674">
        <v>0</v>
      </c>
      <c r="S153" s="40">
        <v>0</v>
      </c>
      <c r="T153" s="52">
        <v>0</v>
      </c>
      <c r="U153" s="674">
        <v>0</v>
      </c>
      <c r="V153" s="40">
        <v>0</v>
      </c>
      <c r="W153" s="52">
        <v>0</v>
      </c>
      <c r="X153" s="674">
        <v>0</v>
      </c>
      <c r="Y153" s="40">
        <v>0</v>
      </c>
      <c r="Z153" s="52">
        <v>0</v>
      </c>
      <c r="AA153" s="674">
        <v>17.052</v>
      </c>
      <c r="AB153" s="40">
        <v>0</v>
      </c>
      <c r="AC153" s="52">
        <v>-17.052</v>
      </c>
      <c r="AD153" s="674">
        <v>128.02292914685057</v>
      </c>
      <c r="AE153" s="40">
        <v>603.74337376374206</v>
      </c>
      <c r="AF153" s="35">
        <v>475.72044461689148</v>
      </c>
      <c r="AG153" s="77">
        <v>145.07492914685056</v>
      </c>
      <c r="AH153" s="53">
        <v>603.74337376374206</v>
      </c>
      <c r="AI153" s="52">
        <v>458.66844461689152</v>
      </c>
      <c r="AJ153" s="674">
        <v>0</v>
      </c>
      <c r="AK153" s="40">
        <v>0</v>
      </c>
      <c r="AL153" s="52">
        <v>0</v>
      </c>
      <c r="AM153" s="674">
        <v>0</v>
      </c>
      <c r="AN153" s="40">
        <v>0</v>
      </c>
      <c r="AO153" s="52">
        <v>0</v>
      </c>
      <c r="AP153" s="674">
        <v>359.74679286809487</v>
      </c>
      <c r="AQ153" s="40">
        <v>299.17633281993915</v>
      </c>
      <c r="AR153" s="52">
        <v>-60.570460048155724</v>
      </c>
      <c r="AS153" s="674">
        <v>1590.1835215258702</v>
      </c>
      <c r="AT153" s="40">
        <v>355</v>
      </c>
      <c r="AU153" s="54">
        <v>-1235.1835215258702</v>
      </c>
      <c r="AV153" s="674">
        <v>0</v>
      </c>
      <c r="AW153" s="40">
        <v>0</v>
      </c>
      <c r="AX153" s="55">
        <v>0</v>
      </c>
      <c r="AY153" s="674">
        <v>0</v>
      </c>
      <c r="AZ153" s="40">
        <v>0</v>
      </c>
      <c r="BA153" s="35">
        <v>0</v>
      </c>
      <c r="BB153" s="674">
        <v>0</v>
      </c>
      <c r="BC153" s="40">
        <v>0</v>
      </c>
      <c r="BD153" s="55">
        <v>0</v>
      </c>
      <c r="BE153" s="674">
        <v>0</v>
      </c>
      <c r="BF153" s="40">
        <v>0</v>
      </c>
      <c r="BG153" s="38">
        <v>0</v>
      </c>
      <c r="BH153" s="674">
        <v>0</v>
      </c>
      <c r="BI153" s="40">
        <v>0</v>
      </c>
      <c r="BJ153" s="55">
        <v>0</v>
      </c>
      <c r="BK153" s="674">
        <v>0</v>
      </c>
      <c r="BL153" s="40">
        <v>0</v>
      </c>
      <c r="BM153" s="38">
        <v>0</v>
      </c>
      <c r="BN153" s="674">
        <v>4.2629999999999999</v>
      </c>
      <c r="BO153" s="40">
        <v>0</v>
      </c>
      <c r="BP153" s="55">
        <v>-4.2629999999999999</v>
      </c>
      <c r="BQ153" s="77">
        <v>4.2629999999999999</v>
      </c>
      <c r="BR153" s="40">
        <v>0</v>
      </c>
      <c r="BS153" s="55">
        <v>-4.2629999999999999</v>
      </c>
      <c r="BT153" s="674">
        <v>0</v>
      </c>
      <c r="BU153" s="40">
        <v>0</v>
      </c>
      <c r="BV153" s="52">
        <v>0</v>
      </c>
      <c r="BW153" s="674">
        <v>0</v>
      </c>
      <c r="BX153" s="40">
        <v>3.2323031869762802</v>
      </c>
      <c r="BY153" s="52">
        <v>3.2323031869762802</v>
      </c>
      <c r="BZ153" s="674">
        <v>0</v>
      </c>
      <c r="CA153" s="40">
        <v>0</v>
      </c>
      <c r="CB153" s="52">
        <v>0</v>
      </c>
      <c r="CC153" s="674">
        <v>0</v>
      </c>
      <c r="CD153" s="40">
        <v>0</v>
      </c>
      <c r="CE153" s="52">
        <v>0</v>
      </c>
      <c r="CF153" s="674">
        <v>0</v>
      </c>
      <c r="CG153" s="40">
        <v>0</v>
      </c>
      <c r="CH153" s="52">
        <v>0</v>
      </c>
      <c r="CI153" s="674">
        <v>0</v>
      </c>
      <c r="CJ153" s="40">
        <v>0</v>
      </c>
      <c r="CK153" s="52">
        <v>0</v>
      </c>
      <c r="CL153" s="674">
        <v>0</v>
      </c>
      <c r="CM153" s="40">
        <v>0</v>
      </c>
      <c r="CN153" s="52">
        <v>0</v>
      </c>
      <c r="CO153" s="39">
        <v>0</v>
      </c>
      <c r="CP153" s="40">
        <v>0</v>
      </c>
      <c r="CQ153" s="52">
        <v>0</v>
      </c>
      <c r="CR153" s="72">
        <v>2099.2682435408155</v>
      </c>
      <c r="CS153" s="5">
        <v>1261.1520097706573</v>
      </c>
      <c r="CT153" s="52">
        <v>-838.11623377015826</v>
      </c>
      <c r="CU153" s="77">
        <v>2519.1218922489784</v>
      </c>
      <c r="CV153" s="65">
        <v>1513.3824117247887</v>
      </c>
      <c r="CW153" s="35">
        <v>-1005.7394805241897</v>
      </c>
      <c r="CX153" s="73">
        <v>25.672739380519602</v>
      </c>
      <c r="CY153" s="40">
        <v>1031.4122199047094</v>
      </c>
      <c r="CZ153" s="52">
        <v>1005.7394805241898</v>
      </c>
      <c r="DA153" s="150">
        <v>-4576.9047531913711</v>
      </c>
      <c r="DB153" s="2">
        <v>3</v>
      </c>
      <c r="DC153" s="675">
        <v>276.83999999999997</v>
      </c>
      <c r="DD153" s="675">
        <v>0</v>
      </c>
      <c r="DE153" s="675">
        <v>53.519849860476228</v>
      </c>
      <c r="DF153" s="675">
        <v>0</v>
      </c>
      <c r="DG153" s="321">
        <v>-3571.1652726671809</v>
      </c>
      <c r="DH153" s="40">
        <v>2544.6025921342543</v>
      </c>
      <c r="DI153" s="422">
        <v>223.32015013952378</v>
      </c>
      <c r="DJ153" s="306">
        <v>1.5715703739586471</v>
      </c>
      <c r="DK153" s="306">
        <v>1.5715703739586471</v>
      </c>
      <c r="DL153" s="306">
        <v>1.5715703739586471</v>
      </c>
      <c r="DM153" s="28">
        <v>223.32015013952375</v>
      </c>
      <c r="DN153" s="28">
        <v>0</v>
      </c>
      <c r="DO153" s="423">
        <v>223.32015013952375</v>
      </c>
      <c r="DP153" s="94">
        <v>0</v>
      </c>
      <c r="DQ153" s="28">
        <v>223.32015013952375</v>
      </c>
      <c r="DR153" s="318"/>
      <c r="DT153" s="8"/>
      <c r="DU153" s="5"/>
      <c r="DX153" s="5">
        <v>1913.3358258310441</v>
      </c>
      <c r="DY153" s="5">
        <v>426</v>
      </c>
      <c r="DZ153" s="159">
        <v>185.43944442377779</v>
      </c>
      <c r="EB153" s="676">
        <v>100.68288743010623</v>
      </c>
      <c r="EC153" s="676">
        <v>-93.33227818162986</v>
      </c>
      <c r="ED153" s="676">
        <v>-90.759335486605011</v>
      </c>
      <c r="EE153" s="676">
        <v>-180.58290615660306</v>
      </c>
      <c r="EF153" s="676">
        <v>-173.21060335899773</v>
      </c>
      <c r="EG153" s="676">
        <v>-176.06935189062142</v>
      </c>
      <c r="EH153" s="676">
        <v>1.5522840594529725</v>
      </c>
      <c r="EI153" s="676">
        <v>-152.66098898835315</v>
      </c>
      <c r="EJ153" s="676">
        <v>250.47483360365146</v>
      </c>
      <c r="EK153" s="676">
        <v>-147.85266191020759</v>
      </c>
      <c r="EL153" s="676">
        <v>-166.23058970086188</v>
      </c>
      <c r="EM153" s="676">
        <v>-177.75076994352079</v>
      </c>
      <c r="EN153" s="676">
        <v>-1005.7394805241898</v>
      </c>
      <c r="EQ153" s="5">
        <v>1913.3358258310441</v>
      </c>
      <c r="ER153" s="5">
        <v>426</v>
      </c>
      <c r="ET153" s="318">
        <v>-878.5099424327359</v>
      </c>
      <c r="EU153" s="5">
        <v>-754.65533023444527</v>
      </c>
    </row>
    <row r="154" spans="1:151" x14ac:dyDescent="0.3">
      <c r="A154" s="325">
        <v>150000648</v>
      </c>
      <c r="B154" s="41" t="s">
        <v>603</v>
      </c>
      <c r="C154" s="42" t="s">
        <v>362</v>
      </c>
      <c r="D154" s="27">
        <v>9</v>
      </c>
      <c r="E154" s="293">
        <v>3815</v>
      </c>
      <c r="F154" s="305">
        <v>3815</v>
      </c>
      <c r="G154" s="508">
        <v>314.8</v>
      </c>
      <c r="H154" s="677">
        <v>0</v>
      </c>
      <c r="I154" s="674">
        <v>8255.0656204980041</v>
      </c>
      <c r="J154" s="40">
        <v>7931.7462095120536</v>
      </c>
      <c r="K154" s="52">
        <v>-323.31941098595053</v>
      </c>
      <c r="L154" s="674">
        <v>1365.0874878994707</v>
      </c>
      <c r="M154" s="40">
        <v>1304.5379542141109</v>
      </c>
      <c r="N154" s="52">
        <v>-60.549533685359847</v>
      </c>
      <c r="O154" s="674">
        <v>4674.351620507884</v>
      </c>
      <c r="P154" s="40">
        <v>4675.2650000000003</v>
      </c>
      <c r="Q154" s="52">
        <v>0.91337949211629166</v>
      </c>
      <c r="R154" s="674">
        <v>1109.4582946313046</v>
      </c>
      <c r="S154" s="40">
        <v>1109.1949999999999</v>
      </c>
      <c r="T154" s="52">
        <v>-0.26329463130468866</v>
      </c>
      <c r="U154" s="674">
        <v>357.56258567742054</v>
      </c>
      <c r="V154" s="40">
        <v>242.81380214282237</v>
      </c>
      <c r="W154" s="52">
        <v>-114.74878353459818</v>
      </c>
      <c r="X154" s="674">
        <v>3609.4172863300128</v>
      </c>
      <c r="Y154" s="40">
        <v>2835.4439557555643</v>
      </c>
      <c r="Z154" s="52">
        <v>-773.97333057444848</v>
      </c>
      <c r="AA154" s="674">
        <v>457.79999999999995</v>
      </c>
      <c r="AB154" s="40">
        <v>0</v>
      </c>
      <c r="AC154" s="52">
        <v>-457.79999999999995</v>
      </c>
      <c r="AD154" s="674">
        <v>16356.832720130062</v>
      </c>
      <c r="AE154" s="40">
        <v>16208.873827647261</v>
      </c>
      <c r="AF154" s="35">
        <v>-147.95889248280037</v>
      </c>
      <c r="AG154" s="77">
        <v>36185.575615674155</v>
      </c>
      <c r="AH154" s="53">
        <v>34307.875749271814</v>
      </c>
      <c r="AI154" s="52">
        <v>-1877.6998664023413</v>
      </c>
      <c r="AJ154" s="674">
        <v>14224.764097373394</v>
      </c>
      <c r="AK154" s="40">
        <v>14131.361118708488</v>
      </c>
      <c r="AL154" s="52">
        <v>-93.402978664906186</v>
      </c>
      <c r="AM154" s="674">
        <v>0</v>
      </c>
      <c r="AN154" s="40">
        <v>0</v>
      </c>
      <c r="AO154" s="52">
        <v>0</v>
      </c>
      <c r="AP154" s="674">
        <v>2023.5757098830343</v>
      </c>
      <c r="AQ154" s="40">
        <v>1714.5845375722542</v>
      </c>
      <c r="AR154" s="52">
        <v>-308.99117231078003</v>
      </c>
      <c r="AS154" s="674">
        <v>41129.742247003596</v>
      </c>
      <c r="AT154" s="40">
        <v>26840</v>
      </c>
      <c r="AU154" s="54">
        <v>-14289.742247003596</v>
      </c>
      <c r="AV154" s="674">
        <v>1451.6120411163531</v>
      </c>
      <c r="AW154" s="40">
        <v>0</v>
      </c>
      <c r="AX154" s="55">
        <v>-1451.6120411163531</v>
      </c>
      <c r="AY154" s="674">
        <v>1593.2179958857837</v>
      </c>
      <c r="AZ154" s="40">
        <v>0</v>
      </c>
      <c r="BA154" s="35">
        <v>-1593.2179958857837</v>
      </c>
      <c r="BB154" s="674">
        <v>2017.1420542360104</v>
      </c>
      <c r="BC154" s="40">
        <v>0</v>
      </c>
      <c r="BD154" s="55">
        <v>-2017.1420542360104</v>
      </c>
      <c r="BE154" s="674">
        <v>1743.1980189307712</v>
      </c>
      <c r="BF154" s="40">
        <v>0</v>
      </c>
      <c r="BG154" s="38">
        <v>-1743.1980189307712</v>
      </c>
      <c r="BH154" s="674">
        <v>461.88860612830399</v>
      </c>
      <c r="BI154" s="40">
        <v>0</v>
      </c>
      <c r="BJ154" s="55">
        <v>-461.88860612830399</v>
      </c>
      <c r="BK154" s="674">
        <v>432.4674211645135</v>
      </c>
      <c r="BL154" s="40">
        <v>0</v>
      </c>
      <c r="BM154" s="38">
        <v>-432.4674211645135</v>
      </c>
      <c r="BN154" s="674">
        <v>114.44999999999999</v>
      </c>
      <c r="BO154" s="40">
        <v>0</v>
      </c>
      <c r="BP154" s="55">
        <v>-114.44999999999999</v>
      </c>
      <c r="BQ154" s="77">
        <v>7813.9761374617356</v>
      </c>
      <c r="BR154" s="40">
        <v>0</v>
      </c>
      <c r="BS154" s="55">
        <v>-7813.9761374617356</v>
      </c>
      <c r="BT154" s="674">
        <v>27346.024144713563</v>
      </c>
      <c r="BU154" s="40">
        <v>26110.426708792209</v>
      </c>
      <c r="BV154" s="52">
        <v>-1235.5974359213542</v>
      </c>
      <c r="BW154" s="674">
        <v>28400.107071784321</v>
      </c>
      <c r="BX154" s="40">
        <v>30828.03108074336</v>
      </c>
      <c r="BY154" s="52">
        <v>2427.9240089590385</v>
      </c>
      <c r="BZ154" s="674">
        <v>2336.1795311860524</v>
      </c>
      <c r="CA154" s="40">
        <v>6593.7971302802716</v>
      </c>
      <c r="CB154" s="52">
        <v>4257.6175990942193</v>
      </c>
      <c r="CC154" s="674">
        <v>1277.5417708812702</v>
      </c>
      <c r="CD154" s="40">
        <v>1339.1706713313586</v>
      </c>
      <c r="CE154" s="52">
        <v>61.628900450088395</v>
      </c>
      <c r="CF154" s="674">
        <v>155.72887660296178</v>
      </c>
      <c r="CG154" s="40">
        <v>0</v>
      </c>
      <c r="CH154" s="52">
        <v>-155.72887660296178</v>
      </c>
      <c r="CI154" s="674">
        <v>3587.5910499840902</v>
      </c>
      <c r="CJ154" s="40">
        <v>2609.7239595904921</v>
      </c>
      <c r="CK154" s="52">
        <v>-977.86709039359812</v>
      </c>
      <c r="CL154" s="674">
        <v>3456.633361686725</v>
      </c>
      <c r="CM154" s="40">
        <v>2385.1443335608596</v>
      </c>
      <c r="CN154" s="52">
        <v>-1071.4890281258654</v>
      </c>
      <c r="CO154" s="39">
        <v>7044.2244116708152</v>
      </c>
      <c r="CP154" s="40">
        <v>4994.8682931513522</v>
      </c>
      <c r="CQ154" s="52">
        <v>-2049.3561185194631</v>
      </c>
      <c r="CR154" s="72">
        <v>167937.4396142349</v>
      </c>
      <c r="CS154" s="5">
        <v>146860.11528985109</v>
      </c>
      <c r="CT154" s="52">
        <v>-21077.324324383808</v>
      </c>
      <c r="CU154" s="77">
        <v>201524.92753708188</v>
      </c>
      <c r="CV154" s="65">
        <v>176232.13834782131</v>
      </c>
      <c r="CW154" s="35">
        <v>-25292.789189260569</v>
      </c>
      <c r="CX154" s="73">
        <v>4495.4673841710737</v>
      </c>
      <c r="CY154" s="40">
        <v>29788.256573431638</v>
      </c>
      <c r="CZ154" s="52">
        <v>25292.789189260562</v>
      </c>
      <c r="DA154" s="150">
        <v>-68034.955957129787</v>
      </c>
      <c r="DB154" s="2">
        <v>3</v>
      </c>
      <c r="DC154" s="675">
        <v>24235.3</v>
      </c>
      <c r="DD154" s="675">
        <v>0</v>
      </c>
      <c r="DE154" s="675">
        <v>6197.3486534822441</v>
      </c>
      <c r="DF154" s="675">
        <v>0</v>
      </c>
      <c r="DG154" s="321">
        <v>-42742.166767869217</v>
      </c>
      <c r="DH154" s="40">
        <v>206004.71376075083</v>
      </c>
      <c r="DI154" s="422">
        <v>18037.951346517759</v>
      </c>
      <c r="DJ154" s="306">
        <v>4.2390227110725087</v>
      </c>
      <c r="DK154" s="306">
        <v>4.7721578758562746</v>
      </c>
      <c r="DL154" s="306">
        <v>3.4077530996326342</v>
      </c>
      <c r="DM154" s="28">
        <v>18037.951346517755</v>
      </c>
      <c r="DN154" s="28">
        <v>0</v>
      </c>
      <c r="DO154" s="423">
        <v>18037.951346517755</v>
      </c>
      <c r="DP154" s="94">
        <v>0</v>
      </c>
      <c r="DQ154" s="28">
        <v>18037.951346517755</v>
      </c>
      <c r="DR154" s="318"/>
      <c r="DT154" s="8"/>
      <c r="DU154" s="5"/>
      <c r="DX154" s="5">
        <v>58732.462061358397</v>
      </c>
      <c r="DY154" s="5">
        <v>32208</v>
      </c>
      <c r="DZ154" s="159">
        <v>5208.8865751873964</v>
      </c>
      <c r="EB154" s="676">
        <v>-670.3626927537789</v>
      </c>
      <c r="EC154" s="676">
        <v>-1104.4993999681737</v>
      </c>
      <c r="ED154" s="676">
        <v>27834.4942832954</v>
      </c>
      <c r="EE154" s="676">
        <v>-6508.9923895882766</v>
      </c>
      <c r="EF154" s="676">
        <v>-6209.5462040853108</v>
      </c>
      <c r="EG154" s="676">
        <v>-6998.2539852335631</v>
      </c>
      <c r="EH154" s="676">
        <v>-4988.0197343573182</v>
      </c>
      <c r="EI154" s="676">
        <v>-5112.8432379938549</v>
      </c>
      <c r="EJ154" s="676">
        <v>-5688.3062785837519</v>
      </c>
      <c r="EK154" s="676">
        <v>-4974.9183821525767</v>
      </c>
      <c r="EL154" s="676">
        <v>-5453.8077823735439</v>
      </c>
      <c r="EM154" s="676">
        <v>-5417.7333854658191</v>
      </c>
      <c r="EN154" s="676">
        <v>-25292.789189260569</v>
      </c>
      <c r="EQ154" s="5">
        <v>58732.462061358397</v>
      </c>
      <c r="ER154" s="5">
        <v>32208</v>
      </c>
      <c r="ET154" s="318">
        <v>47197.897586640553</v>
      </c>
      <c r="EU154" s="5">
        <v>-12002.064354509765</v>
      </c>
    </row>
    <row r="155" spans="1:151" x14ac:dyDescent="0.3">
      <c r="A155" s="325">
        <v>150000647</v>
      </c>
      <c r="B155" s="41" t="s">
        <v>604</v>
      </c>
      <c r="C155" s="42" t="s">
        <v>97</v>
      </c>
      <c r="D155" s="27">
        <v>1</v>
      </c>
      <c r="E155" s="293">
        <v>278.14999999999998</v>
      </c>
      <c r="F155" s="305">
        <v>278.14999999999998</v>
      </c>
      <c r="G155" s="508">
        <v>0</v>
      </c>
      <c r="H155" s="677">
        <v>0</v>
      </c>
      <c r="I155" s="674">
        <v>0</v>
      </c>
      <c r="J155" s="40">
        <v>0</v>
      </c>
      <c r="K155" s="52">
        <v>0</v>
      </c>
      <c r="L155" s="674">
        <v>0</v>
      </c>
      <c r="M155" s="40">
        <v>0</v>
      </c>
      <c r="N155" s="52">
        <v>0</v>
      </c>
      <c r="O155" s="674">
        <v>0</v>
      </c>
      <c r="P155" s="40">
        <v>0</v>
      </c>
      <c r="Q155" s="52">
        <v>0</v>
      </c>
      <c r="R155" s="674">
        <v>0</v>
      </c>
      <c r="S155" s="40">
        <v>0</v>
      </c>
      <c r="T155" s="52">
        <v>0</v>
      </c>
      <c r="U155" s="674">
        <v>0</v>
      </c>
      <c r="V155" s="40">
        <v>0</v>
      </c>
      <c r="W155" s="52">
        <v>0</v>
      </c>
      <c r="X155" s="674">
        <v>0</v>
      </c>
      <c r="Y155" s="40">
        <v>0</v>
      </c>
      <c r="Z155" s="52">
        <v>0</v>
      </c>
      <c r="AA155" s="674">
        <v>33.378</v>
      </c>
      <c r="AB155" s="40">
        <v>0</v>
      </c>
      <c r="AC155" s="52">
        <v>-33.378</v>
      </c>
      <c r="AD155" s="674">
        <v>250.61736463588005</v>
      </c>
      <c r="AE155" s="40">
        <v>1181.7819803827224</v>
      </c>
      <c r="AF155" s="35">
        <v>931.1646157468424</v>
      </c>
      <c r="AG155" s="77">
        <v>283.99536463588004</v>
      </c>
      <c r="AH155" s="53">
        <v>1181.7819803827224</v>
      </c>
      <c r="AI155" s="52">
        <v>897.78661574684236</v>
      </c>
      <c r="AJ155" s="674">
        <v>0</v>
      </c>
      <c r="AK155" s="40">
        <v>0</v>
      </c>
      <c r="AL155" s="52">
        <v>0</v>
      </c>
      <c r="AM155" s="674">
        <v>0</v>
      </c>
      <c r="AN155" s="40">
        <v>0</v>
      </c>
      <c r="AO155" s="52">
        <v>0</v>
      </c>
      <c r="AP155" s="674">
        <v>314.77844375958301</v>
      </c>
      <c r="AQ155" s="40">
        <v>261.77929121744683</v>
      </c>
      <c r="AR155" s="52">
        <v>-52.999152542136187</v>
      </c>
      <c r="AS155" s="674">
        <v>3285.0408001944552</v>
      </c>
      <c r="AT155" s="40">
        <v>1550</v>
      </c>
      <c r="AU155" s="54">
        <v>-1735.0408001944552</v>
      </c>
      <c r="AV155" s="674">
        <v>0</v>
      </c>
      <c r="AW155" s="40">
        <v>0</v>
      </c>
      <c r="AX155" s="55">
        <v>0</v>
      </c>
      <c r="AY155" s="674">
        <v>0</v>
      </c>
      <c r="AZ155" s="40">
        <v>0</v>
      </c>
      <c r="BA155" s="35">
        <v>0</v>
      </c>
      <c r="BB155" s="674">
        <v>0</v>
      </c>
      <c r="BC155" s="40">
        <v>0</v>
      </c>
      <c r="BD155" s="55">
        <v>0</v>
      </c>
      <c r="BE155" s="674">
        <v>0</v>
      </c>
      <c r="BF155" s="40">
        <v>0</v>
      </c>
      <c r="BG155" s="38">
        <v>0</v>
      </c>
      <c r="BH155" s="674">
        <v>0</v>
      </c>
      <c r="BI155" s="40">
        <v>0</v>
      </c>
      <c r="BJ155" s="55">
        <v>0</v>
      </c>
      <c r="BK155" s="674">
        <v>0</v>
      </c>
      <c r="BL155" s="40">
        <v>0</v>
      </c>
      <c r="BM155" s="38">
        <v>0</v>
      </c>
      <c r="BN155" s="674">
        <v>8.3445</v>
      </c>
      <c r="BO155" s="40">
        <v>0</v>
      </c>
      <c r="BP155" s="55">
        <v>-8.3445</v>
      </c>
      <c r="BQ155" s="77">
        <v>8.3445</v>
      </c>
      <c r="BR155" s="40">
        <v>0</v>
      </c>
      <c r="BS155" s="55">
        <v>-8.3445</v>
      </c>
      <c r="BT155" s="674">
        <v>251.23361291907378</v>
      </c>
      <c r="BU155" s="40">
        <v>327.43320031444722</v>
      </c>
      <c r="BV155" s="52">
        <v>76.199587395373442</v>
      </c>
      <c r="BW155" s="674">
        <v>0</v>
      </c>
      <c r="BX155" s="40">
        <v>6.326988961699171</v>
      </c>
      <c r="BY155" s="52">
        <v>6.326988961699171</v>
      </c>
      <c r="BZ155" s="674">
        <v>0</v>
      </c>
      <c r="CA155" s="40">
        <v>107.67785175421872</v>
      </c>
      <c r="CB155" s="52">
        <v>107.67785175421872</v>
      </c>
      <c r="CC155" s="674">
        <v>0</v>
      </c>
      <c r="CD155" s="40">
        <v>0</v>
      </c>
      <c r="CE155" s="52">
        <v>0</v>
      </c>
      <c r="CF155" s="674">
        <v>0</v>
      </c>
      <c r="CG155" s="40">
        <v>0</v>
      </c>
      <c r="CH155" s="52">
        <v>0</v>
      </c>
      <c r="CI155" s="674">
        <v>0</v>
      </c>
      <c r="CJ155" s="40">
        <v>0</v>
      </c>
      <c r="CK155" s="52">
        <v>0</v>
      </c>
      <c r="CL155" s="674">
        <v>0</v>
      </c>
      <c r="CM155" s="40">
        <v>0</v>
      </c>
      <c r="CN155" s="52">
        <v>0</v>
      </c>
      <c r="CO155" s="39">
        <v>0</v>
      </c>
      <c r="CP155" s="40">
        <v>0</v>
      </c>
      <c r="CQ155" s="52">
        <v>0</v>
      </c>
      <c r="CR155" s="72">
        <v>4143.3927215089916</v>
      </c>
      <c r="CS155" s="5">
        <v>3434.9993126305344</v>
      </c>
      <c r="CT155" s="52">
        <v>-708.39340887845719</v>
      </c>
      <c r="CU155" s="77">
        <v>4972.0712658107896</v>
      </c>
      <c r="CV155" s="65">
        <v>4121.9991751566413</v>
      </c>
      <c r="CW155" s="35">
        <v>-850.07209065414827</v>
      </c>
      <c r="CX155" s="73">
        <v>114.32644540635448</v>
      </c>
      <c r="CY155" s="40">
        <v>964.3985360605044</v>
      </c>
      <c r="CZ155" s="52">
        <v>850.07209065414986</v>
      </c>
      <c r="DA155" s="150">
        <v>-1795.6017176697853</v>
      </c>
      <c r="DB155" s="2">
        <v>3</v>
      </c>
      <c r="DC155" s="675">
        <v>1817.92</v>
      </c>
      <c r="DD155" s="675">
        <v>0</v>
      </c>
      <c r="DE155" s="675">
        <v>1383.7529242771968</v>
      </c>
      <c r="DF155" s="675">
        <v>0</v>
      </c>
      <c r="DG155" s="321">
        <v>-945.52962701563558</v>
      </c>
      <c r="DH155" s="40">
        <v>5085.9744758578472</v>
      </c>
      <c r="DI155" s="422">
        <v>434.1670757228033</v>
      </c>
      <c r="DJ155" s="306">
        <v>1.5609098533985379</v>
      </c>
      <c r="DK155" s="306">
        <v>1.5609098533985379</v>
      </c>
      <c r="DL155" s="306">
        <v>1.5609098533985379</v>
      </c>
      <c r="DM155" s="28">
        <v>434.1670757228033</v>
      </c>
      <c r="DN155" s="28">
        <v>0</v>
      </c>
      <c r="DO155" s="423">
        <v>434.1670757228033</v>
      </c>
      <c r="DP155" s="94">
        <v>0</v>
      </c>
      <c r="DQ155" s="28">
        <v>434.1670757228033</v>
      </c>
      <c r="DR155" s="318"/>
      <c r="DT155" s="8"/>
      <c r="DU155" s="5"/>
      <c r="DX155" s="5">
        <v>3952.0623602333462</v>
      </c>
      <c r="DY155" s="5">
        <v>1860</v>
      </c>
      <c r="DZ155" s="159">
        <v>361.10738096284905</v>
      </c>
      <c r="EB155" s="676">
        <v>1821.0677955349365</v>
      </c>
      <c r="EC155" s="676">
        <v>-224.52891042074987</v>
      </c>
      <c r="ED155" s="676">
        <v>-219.49256974079796</v>
      </c>
      <c r="EE155" s="676">
        <v>-344.09589153654514</v>
      </c>
      <c r="EF155" s="676">
        <v>-266.51838501908844</v>
      </c>
      <c r="EG155" s="676">
        <v>-273.15080338186272</v>
      </c>
      <c r="EH155" s="676">
        <v>-119.84903187480654</v>
      </c>
      <c r="EI155" s="676">
        <v>-224.85921107583954</v>
      </c>
      <c r="EJ155" s="676">
        <v>-269.53473682160211</v>
      </c>
      <c r="EK155" s="676">
        <v>-210.67015924062804</v>
      </c>
      <c r="EL155" s="676">
        <v>-249.13712011857791</v>
      </c>
      <c r="EM155" s="676">
        <v>-269.30306695858781</v>
      </c>
      <c r="EN155" s="676">
        <v>-850.07209065414975</v>
      </c>
      <c r="EQ155" s="5">
        <v>3952.0623602333462</v>
      </c>
      <c r="ER155" s="5">
        <v>1860</v>
      </c>
      <c r="ET155" s="318">
        <v>1069.6461790112796</v>
      </c>
      <c r="EU155" s="5">
        <v>-2345.1758060269149</v>
      </c>
    </row>
    <row r="156" spans="1:151" x14ac:dyDescent="0.3">
      <c r="A156" s="325">
        <v>150000686</v>
      </c>
      <c r="B156" s="41" t="s">
        <v>605</v>
      </c>
      <c r="C156" s="42" t="s">
        <v>98</v>
      </c>
      <c r="D156" s="27">
        <v>1</v>
      </c>
      <c r="E156" s="293">
        <v>214.9</v>
      </c>
      <c r="F156" s="305">
        <v>214.9</v>
      </c>
      <c r="G156" s="508">
        <v>0</v>
      </c>
      <c r="H156" s="677">
        <v>0</v>
      </c>
      <c r="I156" s="674">
        <v>0</v>
      </c>
      <c r="J156" s="40">
        <v>0</v>
      </c>
      <c r="K156" s="52">
        <v>0</v>
      </c>
      <c r="L156" s="674">
        <v>0</v>
      </c>
      <c r="M156" s="40">
        <v>0</v>
      </c>
      <c r="N156" s="52">
        <v>0</v>
      </c>
      <c r="O156" s="674">
        <v>0</v>
      </c>
      <c r="P156" s="40">
        <v>0</v>
      </c>
      <c r="Q156" s="52">
        <v>0</v>
      </c>
      <c r="R156" s="674">
        <v>0</v>
      </c>
      <c r="S156" s="40">
        <v>0</v>
      </c>
      <c r="T156" s="52">
        <v>0</v>
      </c>
      <c r="U156" s="674">
        <v>0</v>
      </c>
      <c r="V156" s="40">
        <v>0</v>
      </c>
      <c r="W156" s="52">
        <v>0</v>
      </c>
      <c r="X156" s="674">
        <v>0</v>
      </c>
      <c r="Y156" s="40">
        <v>0</v>
      </c>
      <c r="Z156" s="52">
        <v>0</v>
      </c>
      <c r="AA156" s="674">
        <v>25.788</v>
      </c>
      <c r="AB156" s="40">
        <v>0</v>
      </c>
      <c r="AC156" s="52">
        <v>-25.788</v>
      </c>
      <c r="AD156" s="674">
        <v>193.65111278655331</v>
      </c>
      <c r="AE156" s="40">
        <v>913.05032386930452</v>
      </c>
      <c r="AF156" s="35">
        <v>719.39921108275121</v>
      </c>
      <c r="AG156" s="77">
        <v>219.43911278655332</v>
      </c>
      <c r="AH156" s="53">
        <v>913.05032386930452</v>
      </c>
      <c r="AI156" s="52">
        <v>693.6112110827512</v>
      </c>
      <c r="AJ156" s="674">
        <v>0</v>
      </c>
      <c r="AK156" s="40">
        <v>0</v>
      </c>
      <c r="AL156" s="52">
        <v>0</v>
      </c>
      <c r="AM156" s="674">
        <v>0</v>
      </c>
      <c r="AN156" s="40">
        <v>0</v>
      </c>
      <c r="AO156" s="52">
        <v>0</v>
      </c>
      <c r="AP156" s="674">
        <v>269.81009465107115</v>
      </c>
      <c r="AQ156" s="40">
        <v>227.67898242630088</v>
      </c>
      <c r="AR156" s="52">
        <v>-42.131112224770277</v>
      </c>
      <c r="AS156" s="674">
        <v>1922.1712258614416</v>
      </c>
      <c r="AT156" s="40">
        <v>0</v>
      </c>
      <c r="AU156" s="54">
        <v>-1922.1712258614416</v>
      </c>
      <c r="AV156" s="674">
        <v>0</v>
      </c>
      <c r="AW156" s="40">
        <v>0</v>
      </c>
      <c r="AX156" s="55">
        <v>0</v>
      </c>
      <c r="AY156" s="674">
        <v>0</v>
      </c>
      <c r="AZ156" s="40">
        <v>0</v>
      </c>
      <c r="BA156" s="35">
        <v>0</v>
      </c>
      <c r="BB156" s="674">
        <v>0</v>
      </c>
      <c r="BC156" s="40">
        <v>0</v>
      </c>
      <c r="BD156" s="55">
        <v>0</v>
      </c>
      <c r="BE156" s="674">
        <v>0</v>
      </c>
      <c r="BF156" s="40">
        <v>0</v>
      </c>
      <c r="BG156" s="38">
        <v>0</v>
      </c>
      <c r="BH156" s="674">
        <v>0</v>
      </c>
      <c r="BI156" s="40">
        <v>0</v>
      </c>
      <c r="BJ156" s="55">
        <v>0</v>
      </c>
      <c r="BK156" s="674">
        <v>0</v>
      </c>
      <c r="BL156" s="40">
        <v>0</v>
      </c>
      <c r="BM156" s="38">
        <v>0</v>
      </c>
      <c r="BN156" s="674">
        <v>6.4470000000000001</v>
      </c>
      <c r="BO156" s="40">
        <v>0</v>
      </c>
      <c r="BP156" s="55">
        <v>-6.4470000000000001</v>
      </c>
      <c r="BQ156" s="77">
        <v>6.4470000000000001</v>
      </c>
      <c r="BR156" s="40">
        <v>0</v>
      </c>
      <c r="BS156" s="55">
        <v>-6.4470000000000001</v>
      </c>
      <c r="BT156" s="674">
        <v>0</v>
      </c>
      <c r="BU156" s="40">
        <v>0</v>
      </c>
      <c r="BV156" s="52">
        <v>0</v>
      </c>
      <c r="BW156" s="674">
        <v>0</v>
      </c>
      <c r="BX156" s="40">
        <v>4.8882614699592022</v>
      </c>
      <c r="BY156" s="52">
        <v>4.8882614699592022</v>
      </c>
      <c r="BZ156" s="674">
        <v>0</v>
      </c>
      <c r="CA156" s="40">
        <v>0</v>
      </c>
      <c r="CB156" s="52">
        <v>0</v>
      </c>
      <c r="CC156" s="674">
        <v>0</v>
      </c>
      <c r="CD156" s="40">
        <v>0</v>
      </c>
      <c r="CE156" s="52">
        <v>0</v>
      </c>
      <c r="CF156" s="674">
        <v>0</v>
      </c>
      <c r="CG156" s="40">
        <v>0</v>
      </c>
      <c r="CH156" s="52">
        <v>0</v>
      </c>
      <c r="CI156" s="674">
        <v>0</v>
      </c>
      <c r="CJ156" s="40">
        <v>0</v>
      </c>
      <c r="CK156" s="52">
        <v>0</v>
      </c>
      <c r="CL156" s="674">
        <v>0</v>
      </c>
      <c r="CM156" s="40">
        <v>0</v>
      </c>
      <c r="CN156" s="52">
        <v>0</v>
      </c>
      <c r="CO156" s="39">
        <v>0</v>
      </c>
      <c r="CP156" s="40">
        <v>0</v>
      </c>
      <c r="CQ156" s="52">
        <v>0</v>
      </c>
      <c r="CR156" s="72">
        <v>2417.8674332990663</v>
      </c>
      <c r="CS156" s="5">
        <v>1145.6175677655647</v>
      </c>
      <c r="CT156" s="52">
        <v>-1272.2498655335016</v>
      </c>
      <c r="CU156" s="77">
        <v>2901.4409199588795</v>
      </c>
      <c r="CV156" s="65">
        <v>1374.7410813186775</v>
      </c>
      <c r="CW156" s="35">
        <v>-1526.699838640202</v>
      </c>
      <c r="CX156" s="73">
        <v>78.848875288813986</v>
      </c>
      <c r="CY156" s="40">
        <v>1605.5487139290158</v>
      </c>
      <c r="CZ156" s="52">
        <v>1526.6998386402017</v>
      </c>
      <c r="DA156" s="150">
        <v>-3468.7622144670941</v>
      </c>
      <c r="DB156" s="2">
        <v>3</v>
      </c>
      <c r="DC156" s="675">
        <v>251.23</v>
      </c>
      <c r="DD156" s="675">
        <v>0</v>
      </c>
      <c r="DE156" s="675">
        <v>-1.649944336006115E-2</v>
      </c>
      <c r="DF156" s="675">
        <v>0</v>
      </c>
      <c r="DG156" s="321">
        <v>-1942.0623758268928</v>
      </c>
      <c r="DH156" s="40">
        <v>2980.0316410858645</v>
      </c>
      <c r="DI156" s="422">
        <v>251.24649944336008</v>
      </c>
      <c r="DJ156" s="306">
        <v>1.1691321519002329</v>
      </c>
      <c r="DK156" s="306">
        <v>1.1691321519002329</v>
      </c>
      <c r="DL156" s="306">
        <v>1.1691321519002329</v>
      </c>
      <c r="DM156" s="28">
        <v>251.24649944336005</v>
      </c>
      <c r="DN156" s="28">
        <v>0</v>
      </c>
      <c r="DO156" s="423">
        <v>251.24649944336005</v>
      </c>
      <c r="DP156" s="94">
        <v>0</v>
      </c>
      <c r="DQ156" s="28">
        <v>251.24649944336005</v>
      </c>
      <c r="DR156" s="318"/>
      <c r="DT156" s="8"/>
      <c r="DU156" s="5"/>
      <c r="DX156" s="5">
        <v>2314.3418710337296</v>
      </c>
      <c r="DY156" s="5">
        <v>0</v>
      </c>
      <c r="DZ156" s="159">
        <v>217.9095682066808</v>
      </c>
      <c r="EB156" s="676">
        <v>-90.501987218378645</v>
      </c>
      <c r="EC156" s="676">
        <v>24.54300150923757</v>
      </c>
      <c r="ED156" s="676">
        <v>-108.73266096761358</v>
      </c>
      <c r="EE156" s="676">
        <v>-181.68791078040326</v>
      </c>
      <c r="EF156" s="676">
        <v>-170.53866467762083</v>
      </c>
      <c r="EG156" s="676">
        <v>-174.86199373776105</v>
      </c>
      <c r="EH156" s="676">
        <v>-177.89048196365809</v>
      </c>
      <c r="EI156" s="676">
        <v>-3.4131531472692984</v>
      </c>
      <c r="EJ156" s="676">
        <v>-174.03901370455034</v>
      </c>
      <c r="EK156" s="676">
        <v>-132.18946258511556</v>
      </c>
      <c r="EL156" s="676">
        <v>-159.98268343108037</v>
      </c>
      <c r="EM156" s="676">
        <v>-177.40482793598818</v>
      </c>
      <c r="EN156" s="676">
        <v>-1526.6998386402015</v>
      </c>
      <c r="EQ156" s="5">
        <v>2314.3418710337296</v>
      </c>
      <c r="ER156" s="5">
        <v>0</v>
      </c>
      <c r="ET156" s="318">
        <v>-115.31038002638061</v>
      </c>
      <c r="EU156" s="5">
        <v>-1059.7519958005125</v>
      </c>
    </row>
    <row r="157" spans="1:151" x14ac:dyDescent="0.3">
      <c r="A157" s="325">
        <v>150000796</v>
      </c>
      <c r="B157" s="41" t="s">
        <v>606</v>
      </c>
      <c r="C157" s="42" t="s">
        <v>99</v>
      </c>
      <c r="D157" s="27">
        <v>1</v>
      </c>
      <c r="E157" s="293">
        <v>181.38</v>
      </c>
      <c r="F157" s="305">
        <v>181.38</v>
      </c>
      <c r="G157" s="508">
        <v>0</v>
      </c>
      <c r="H157" s="677">
        <v>0</v>
      </c>
      <c r="I157" s="674">
        <v>0</v>
      </c>
      <c r="J157" s="40">
        <v>0</v>
      </c>
      <c r="K157" s="52">
        <v>0</v>
      </c>
      <c r="L157" s="674">
        <v>0</v>
      </c>
      <c r="M157" s="40">
        <v>0</v>
      </c>
      <c r="N157" s="52">
        <v>0</v>
      </c>
      <c r="O157" s="674">
        <v>160.16088705485501</v>
      </c>
      <c r="P157" s="40">
        <v>160.05999999999995</v>
      </c>
      <c r="Q157" s="52">
        <v>-0.10088705485506466</v>
      </c>
      <c r="R157" s="674">
        <v>0</v>
      </c>
      <c r="S157" s="40">
        <v>0</v>
      </c>
      <c r="T157" s="52">
        <v>0</v>
      </c>
      <c r="U157" s="674">
        <v>0</v>
      </c>
      <c r="V157" s="40">
        <v>0</v>
      </c>
      <c r="W157" s="52">
        <v>0</v>
      </c>
      <c r="X157" s="674">
        <v>0</v>
      </c>
      <c r="Y157" s="40">
        <v>0</v>
      </c>
      <c r="Z157" s="52">
        <v>0</v>
      </c>
      <c r="AA157" s="674">
        <v>21.717599999999997</v>
      </c>
      <c r="AB157" s="40">
        <v>0</v>
      </c>
      <c r="AC157" s="52">
        <v>-21.717599999999997</v>
      </c>
      <c r="AD157" s="674">
        <v>195.58993412517526</v>
      </c>
      <c r="AE157" s="40">
        <v>770.05730531671611</v>
      </c>
      <c r="AF157" s="35">
        <v>574.46737119154091</v>
      </c>
      <c r="AG157" s="77">
        <v>377.4684211800303</v>
      </c>
      <c r="AH157" s="53">
        <v>930.11730531671606</v>
      </c>
      <c r="AI157" s="52">
        <v>552.64888413668575</v>
      </c>
      <c r="AJ157" s="674">
        <v>0</v>
      </c>
      <c r="AK157" s="40">
        <v>0</v>
      </c>
      <c r="AL157" s="52">
        <v>0</v>
      </c>
      <c r="AM157" s="674">
        <v>0</v>
      </c>
      <c r="AN157" s="40">
        <v>0</v>
      </c>
      <c r="AO157" s="52">
        <v>0</v>
      </c>
      <c r="AP157" s="674">
        <v>67.452523662767788</v>
      </c>
      <c r="AQ157" s="40">
        <v>55.546828412264546</v>
      </c>
      <c r="AR157" s="52">
        <v>-11.905695250503243</v>
      </c>
      <c r="AS157" s="674">
        <v>1926.553063093485</v>
      </c>
      <c r="AT157" s="40">
        <v>880</v>
      </c>
      <c r="AU157" s="54">
        <v>-1046.553063093485</v>
      </c>
      <c r="AV157" s="674">
        <v>0</v>
      </c>
      <c r="AW157" s="40">
        <v>0</v>
      </c>
      <c r="AX157" s="55">
        <v>0</v>
      </c>
      <c r="AY157" s="674">
        <v>0</v>
      </c>
      <c r="AZ157" s="40">
        <v>0</v>
      </c>
      <c r="BA157" s="35">
        <v>0</v>
      </c>
      <c r="BB157" s="674">
        <v>57.83408559832499</v>
      </c>
      <c r="BC157" s="40">
        <v>0</v>
      </c>
      <c r="BD157" s="55">
        <v>-57.83408559832499</v>
      </c>
      <c r="BE157" s="674">
        <v>0</v>
      </c>
      <c r="BF157" s="40">
        <v>0</v>
      </c>
      <c r="BG157" s="38">
        <v>0</v>
      </c>
      <c r="BH157" s="674">
        <v>0</v>
      </c>
      <c r="BI157" s="40">
        <v>0</v>
      </c>
      <c r="BJ157" s="55">
        <v>0</v>
      </c>
      <c r="BK157" s="674">
        <v>0</v>
      </c>
      <c r="BL157" s="40">
        <v>0</v>
      </c>
      <c r="BM157" s="38">
        <v>0</v>
      </c>
      <c r="BN157" s="674">
        <v>5.4293999999999993</v>
      </c>
      <c r="BO157" s="40">
        <v>0</v>
      </c>
      <c r="BP157" s="55">
        <v>-5.4293999999999993</v>
      </c>
      <c r="BQ157" s="77">
        <v>63.263485598324991</v>
      </c>
      <c r="BR157" s="40">
        <v>0</v>
      </c>
      <c r="BS157" s="55">
        <v>-63.263485598324991</v>
      </c>
      <c r="BT157" s="674">
        <v>0</v>
      </c>
      <c r="BU157" s="40">
        <v>0</v>
      </c>
      <c r="BV157" s="52">
        <v>0</v>
      </c>
      <c r="BW157" s="674">
        <v>0</v>
      </c>
      <c r="BX157" s="40">
        <v>4.1235542981000446</v>
      </c>
      <c r="BY157" s="52">
        <v>4.1235542981000446</v>
      </c>
      <c r="BZ157" s="674">
        <v>0</v>
      </c>
      <c r="CA157" s="40">
        <v>0</v>
      </c>
      <c r="CB157" s="52">
        <v>0</v>
      </c>
      <c r="CC157" s="674">
        <v>0</v>
      </c>
      <c r="CD157" s="40">
        <v>0</v>
      </c>
      <c r="CE157" s="52">
        <v>0</v>
      </c>
      <c r="CF157" s="674">
        <v>0</v>
      </c>
      <c r="CG157" s="40">
        <v>0</v>
      </c>
      <c r="CH157" s="52">
        <v>0</v>
      </c>
      <c r="CI157" s="674">
        <v>0</v>
      </c>
      <c r="CJ157" s="40">
        <v>0</v>
      </c>
      <c r="CK157" s="52">
        <v>0</v>
      </c>
      <c r="CL157" s="674">
        <v>0</v>
      </c>
      <c r="CM157" s="40">
        <v>0</v>
      </c>
      <c r="CN157" s="52">
        <v>0</v>
      </c>
      <c r="CO157" s="39">
        <v>0</v>
      </c>
      <c r="CP157" s="40">
        <v>0</v>
      </c>
      <c r="CQ157" s="52">
        <v>0</v>
      </c>
      <c r="CR157" s="72">
        <v>2434.7374935346083</v>
      </c>
      <c r="CS157" s="5">
        <v>1869.7876880270808</v>
      </c>
      <c r="CT157" s="52">
        <v>-564.94980550752757</v>
      </c>
      <c r="CU157" s="77">
        <v>2921.6849922415299</v>
      </c>
      <c r="CV157" s="65">
        <v>2243.7452256324968</v>
      </c>
      <c r="CW157" s="35">
        <v>-677.93976660903309</v>
      </c>
      <c r="CX157" s="73">
        <v>77.193583238084884</v>
      </c>
      <c r="CY157" s="40">
        <v>755.13334984711832</v>
      </c>
      <c r="CZ157" s="52">
        <v>677.93976660903343</v>
      </c>
      <c r="DA157" s="150">
        <v>-2024.1660367646873</v>
      </c>
      <c r="DB157" s="2">
        <v>3</v>
      </c>
      <c r="DC157" s="675">
        <v>280.08999999999997</v>
      </c>
      <c r="DD157" s="675">
        <v>0</v>
      </c>
      <c r="DE157" s="675">
        <v>18.872180291115626</v>
      </c>
      <c r="DF157" s="675">
        <v>0</v>
      </c>
      <c r="DG157" s="321">
        <v>-1346.226270155654</v>
      </c>
      <c r="DH157" s="40">
        <v>2998.6459660300316</v>
      </c>
      <c r="DI157" s="422">
        <v>261.21781970888435</v>
      </c>
      <c r="DJ157" s="306">
        <v>1.440168815243601</v>
      </c>
      <c r="DK157" s="306">
        <v>1.440168815243601</v>
      </c>
      <c r="DL157" s="306">
        <v>1.440168815243601</v>
      </c>
      <c r="DM157" s="28">
        <v>261.21781970888435</v>
      </c>
      <c r="DN157" s="28">
        <v>0</v>
      </c>
      <c r="DO157" s="423">
        <v>261.21781970888435</v>
      </c>
      <c r="DP157" s="94">
        <v>0</v>
      </c>
      <c r="DQ157" s="28">
        <v>261.21781970888435</v>
      </c>
      <c r="DR157" s="318"/>
      <c r="DT157" s="8"/>
      <c r="DU157" s="5"/>
      <c r="DX157" s="5">
        <v>2387.7798584301718</v>
      </c>
      <c r="DY157" s="5">
        <v>1056</v>
      </c>
      <c r="DZ157" s="159">
        <v>232.13326935367442</v>
      </c>
      <c r="EB157" s="676">
        <v>-76.174868695352728</v>
      </c>
      <c r="EC157" s="676">
        <v>-94.804923180518628</v>
      </c>
      <c r="ED157" s="676">
        <v>-91.527997290683302</v>
      </c>
      <c r="EE157" s="676">
        <v>-118.04081867409946</v>
      </c>
      <c r="EF157" s="676">
        <v>-175.28682078127537</v>
      </c>
      <c r="EG157" s="676">
        <v>-178.93579902663708</v>
      </c>
      <c r="EH157" s="676">
        <v>874.50809490350139</v>
      </c>
      <c r="EI157" s="676">
        <v>-149.05677817362226</v>
      </c>
      <c r="EJ157" s="676">
        <v>-178.24118702838786</v>
      </c>
      <c r="EK157" s="676">
        <v>-142.91930902911807</v>
      </c>
      <c r="EL157" s="676">
        <v>-166.37735647928605</v>
      </c>
      <c r="EM157" s="676">
        <v>-181.08200315355398</v>
      </c>
      <c r="EN157" s="676">
        <v>-677.93976660903331</v>
      </c>
      <c r="EQ157" s="5">
        <v>2387.7798584301718</v>
      </c>
      <c r="ER157" s="5">
        <v>1056</v>
      </c>
      <c r="ET157" s="318">
        <v>90.63723265728602</v>
      </c>
      <c r="EU157" s="5">
        <v>-1039.8635028129399</v>
      </c>
    </row>
    <row r="158" spans="1:151" x14ac:dyDescent="0.3">
      <c r="A158" s="325">
        <v>150001008</v>
      </c>
      <c r="B158" s="41" t="s">
        <v>607</v>
      </c>
      <c r="C158" s="42" t="s">
        <v>212</v>
      </c>
      <c r="D158" s="27">
        <v>4</v>
      </c>
      <c r="E158" s="293">
        <v>1485.6</v>
      </c>
      <c r="F158" s="305">
        <v>1440.1</v>
      </c>
      <c r="G158" s="508">
        <v>0</v>
      </c>
      <c r="H158" s="677">
        <v>45.5</v>
      </c>
      <c r="I158" s="674">
        <v>5013.908372915218</v>
      </c>
      <c r="J158" s="40">
        <v>5480.6671831488102</v>
      </c>
      <c r="K158" s="52">
        <v>466.75881023359216</v>
      </c>
      <c r="L158" s="674">
        <v>895.75884976457314</v>
      </c>
      <c r="M158" s="40">
        <v>980.44113797381317</v>
      </c>
      <c r="N158" s="52">
        <v>84.682288209240028</v>
      </c>
      <c r="O158" s="674">
        <v>2027.7262431775994</v>
      </c>
      <c r="P158" s="40">
        <v>2027.7299999999996</v>
      </c>
      <c r="Q158" s="52">
        <v>3.7568224001915951E-3</v>
      </c>
      <c r="R158" s="674">
        <v>0</v>
      </c>
      <c r="S158" s="40">
        <v>0</v>
      </c>
      <c r="T158" s="52">
        <v>0</v>
      </c>
      <c r="U158" s="674">
        <v>0</v>
      </c>
      <c r="V158" s="40">
        <v>0</v>
      </c>
      <c r="W158" s="52">
        <v>0</v>
      </c>
      <c r="X158" s="674">
        <v>2769.4495204535046</v>
      </c>
      <c r="Y158" s="40">
        <v>2907.8880819943556</v>
      </c>
      <c r="Z158" s="52">
        <v>138.43856154085097</v>
      </c>
      <c r="AA158" s="674">
        <v>178.27199999999999</v>
      </c>
      <c r="AB158" s="40">
        <v>0</v>
      </c>
      <c r="AC158" s="52">
        <v>-178.27199999999999</v>
      </c>
      <c r="AD158" s="674">
        <v>6366.7919789078787</v>
      </c>
      <c r="AE158" s="40">
        <v>6311.9011686376862</v>
      </c>
      <c r="AF158" s="35">
        <v>-54.89081027019256</v>
      </c>
      <c r="AG158" s="77">
        <v>17251.906965218775</v>
      </c>
      <c r="AH158" s="53">
        <v>17708.627571754663</v>
      </c>
      <c r="AI158" s="52">
        <v>456.72060653588778</v>
      </c>
      <c r="AJ158" s="674">
        <v>0</v>
      </c>
      <c r="AK158" s="40">
        <v>0</v>
      </c>
      <c r="AL158" s="52">
        <v>0</v>
      </c>
      <c r="AM158" s="674">
        <v>0</v>
      </c>
      <c r="AN158" s="40">
        <v>0</v>
      </c>
      <c r="AO158" s="52">
        <v>0</v>
      </c>
      <c r="AP158" s="674">
        <v>4182.0564670916028</v>
      </c>
      <c r="AQ158" s="40">
        <v>5414.3738626685172</v>
      </c>
      <c r="AR158" s="52">
        <v>1232.3173955769144</v>
      </c>
      <c r="AS158" s="674">
        <v>13046.559308362172</v>
      </c>
      <c r="AT158" s="40">
        <v>5292.2601445137288</v>
      </c>
      <c r="AU158" s="54">
        <v>-7754.2991638484427</v>
      </c>
      <c r="AV158" s="674">
        <v>1144.4888042205976</v>
      </c>
      <c r="AW158" s="40">
        <v>622</v>
      </c>
      <c r="AX158" s="55">
        <v>-522.48880422059756</v>
      </c>
      <c r="AY158" s="674">
        <v>1468.34436357298</v>
      </c>
      <c r="AZ158" s="40">
        <v>0</v>
      </c>
      <c r="BA158" s="35">
        <v>-1468.34436357298</v>
      </c>
      <c r="BB158" s="674">
        <v>1047.9941724137218</v>
      </c>
      <c r="BC158" s="40">
        <v>0</v>
      </c>
      <c r="BD158" s="55">
        <v>-1047.9941724137218</v>
      </c>
      <c r="BE158" s="674">
        <v>0</v>
      </c>
      <c r="BF158" s="40">
        <v>0</v>
      </c>
      <c r="BG158" s="38">
        <v>0</v>
      </c>
      <c r="BH158" s="674">
        <v>0</v>
      </c>
      <c r="BI158" s="40">
        <v>0</v>
      </c>
      <c r="BJ158" s="55">
        <v>0</v>
      </c>
      <c r="BK158" s="674">
        <v>499.39167411585498</v>
      </c>
      <c r="BL158" s="40">
        <v>174</v>
      </c>
      <c r="BM158" s="38">
        <v>-325.39167411585498</v>
      </c>
      <c r="BN158" s="674">
        <v>44.567999999999998</v>
      </c>
      <c r="BO158" s="40">
        <v>0</v>
      </c>
      <c r="BP158" s="55">
        <v>-44.567999999999998</v>
      </c>
      <c r="BQ158" s="77">
        <v>4204.7870143231539</v>
      </c>
      <c r="BR158" s="40">
        <v>796</v>
      </c>
      <c r="BS158" s="55">
        <v>-3408.7870143231539</v>
      </c>
      <c r="BT158" s="674">
        <v>25142.710747520359</v>
      </c>
      <c r="BU158" s="40">
        <v>27469.209615104413</v>
      </c>
      <c r="BV158" s="52">
        <v>2326.4988675840541</v>
      </c>
      <c r="BW158" s="674">
        <v>8644.2382013323986</v>
      </c>
      <c r="BX158" s="40">
        <v>7701.8312712958495</v>
      </c>
      <c r="BY158" s="52">
        <v>-942.40693003654906</v>
      </c>
      <c r="BZ158" s="674">
        <v>6449.3653265159828</v>
      </c>
      <c r="CA158" s="40">
        <v>5907.3002527040535</v>
      </c>
      <c r="CB158" s="52">
        <v>-542.06507381192932</v>
      </c>
      <c r="CC158" s="674">
        <v>558.57465864934079</v>
      </c>
      <c r="CD158" s="40">
        <v>587.07372941680069</v>
      </c>
      <c r="CE158" s="52">
        <v>28.499070767459898</v>
      </c>
      <c r="CF158" s="674">
        <v>68.269365751789124</v>
      </c>
      <c r="CG158" s="40">
        <v>0</v>
      </c>
      <c r="CH158" s="52">
        <v>-68.269365751789124</v>
      </c>
      <c r="CI158" s="674">
        <v>1655.8085178117872</v>
      </c>
      <c r="CJ158" s="40">
        <v>1383.5220511767568</v>
      </c>
      <c r="CK158" s="52">
        <v>-272.28646663503037</v>
      </c>
      <c r="CL158" s="674">
        <v>0</v>
      </c>
      <c r="CM158" s="40">
        <v>0</v>
      </c>
      <c r="CN158" s="52">
        <v>0</v>
      </c>
      <c r="CO158" s="39">
        <v>1655.8085178117872</v>
      </c>
      <c r="CP158" s="40">
        <v>1383.5220511767568</v>
      </c>
      <c r="CQ158" s="52">
        <v>-272.28646663503037</v>
      </c>
      <c r="CR158" s="72">
        <v>81204.276572577379</v>
      </c>
      <c r="CS158" s="5">
        <v>72260.198498634796</v>
      </c>
      <c r="CT158" s="52">
        <v>-8944.0780739425827</v>
      </c>
      <c r="CU158" s="77">
        <v>97445.131887092852</v>
      </c>
      <c r="CV158" s="65">
        <v>86712.238198361752</v>
      </c>
      <c r="CW158" s="35">
        <v>-10732.893688731099</v>
      </c>
      <c r="CX158" s="73">
        <v>2169.0964092633567</v>
      </c>
      <c r="CY158" s="40">
        <v>12901.990097994447</v>
      </c>
      <c r="CZ158" s="52">
        <v>10732.89368873109</v>
      </c>
      <c r="DA158" s="150">
        <v>30982.997214403171</v>
      </c>
      <c r="DB158" s="2">
        <v>2</v>
      </c>
      <c r="DC158" s="675">
        <v>20887.830000000002</v>
      </c>
      <c r="DD158" s="675">
        <v>10532.58</v>
      </c>
      <c r="DE158" s="675">
        <v>12388.929735064108</v>
      </c>
      <c r="DF158" s="675">
        <v>10294.66401036631</v>
      </c>
      <c r="DG158" s="321">
        <v>41715.890903134263</v>
      </c>
      <c r="DH158" s="40">
        <v>99606.695220964553</v>
      </c>
      <c r="DI158" s="422">
        <v>8736.8162545695832</v>
      </c>
      <c r="DJ158" s="306">
        <v>5.9016042392444232</v>
      </c>
      <c r="DK158" s="306">
        <v>5.9016042392444232</v>
      </c>
      <c r="DL158" s="306">
        <v>5.2289228490920916</v>
      </c>
      <c r="DM158" s="28">
        <v>8498.9002649358936</v>
      </c>
      <c r="DN158" s="28">
        <v>237.91598963369017</v>
      </c>
      <c r="DO158" s="423">
        <v>8736.8162545695832</v>
      </c>
      <c r="DP158" s="94">
        <v>0</v>
      </c>
      <c r="DQ158" s="28">
        <v>8736.8162545695832</v>
      </c>
      <c r="DR158" s="318"/>
      <c r="DT158" s="8"/>
      <c r="DU158" s="5"/>
      <c r="DX158" s="5">
        <v>20701.615587222394</v>
      </c>
      <c r="DY158" s="5">
        <v>7305.9121734164746</v>
      </c>
      <c r="DZ158" s="159">
        <v>1818.4967064121822</v>
      </c>
      <c r="EB158" s="676">
        <v>2561.7592441555853</v>
      </c>
      <c r="EC158" s="676">
        <v>-1147.7865655247169</v>
      </c>
      <c r="ED158" s="676">
        <v>-420.44923518487121</v>
      </c>
      <c r="EE158" s="676">
        <v>-2969.5856181485633</v>
      </c>
      <c r="EF158" s="676">
        <v>190.51088668133707</v>
      </c>
      <c r="EG158" s="676">
        <v>-2523.1965955026672</v>
      </c>
      <c r="EH158" s="676">
        <v>-1125.9513601609669</v>
      </c>
      <c r="EI158" s="676">
        <v>-838.8567998359722</v>
      </c>
      <c r="EJ158" s="676">
        <v>-1277.6267475419027</v>
      </c>
      <c r="EK158" s="676">
        <v>-377.13460268460403</v>
      </c>
      <c r="EL158" s="676">
        <v>665.97346754929094</v>
      </c>
      <c r="EM158" s="676">
        <v>-3470.5497625330418</v>
      </c>
      <c r="EN158" s="676">
        <v>-10732.893688731092</v>
      </c>
      <c r="EQ158" s="5">
        <v>20701.615587222394</v>
      </c>
      <c r="ER158" s="5">
        <v>7305.9121734164746</v>
      </c>
      <c r="ET158" s="318">
        <v>-9374.7754131549191</v>
      </c>
      <c r="EU158" s="5">
        <v>57248.666316289164</v>
      </c>
    </row>
    <row r="159" spans="1:151" x14ac:dyDescent="0.3">
      <c r="A159" s="325">
        <v>150001033</v>
      </c>
      <c r="B159" s="41" t="s">
        <v>608</v>
      </c>
      <c r="C159" s="42" t="s">
        <v>363</v>
      </c>
      <c r="D159" s="27">
        <v>9</v>
      </c>
      <c r="E159" s="293">
        <v>4024.2</v>
      </c>
      <c r="F159" s="305">
        <v>4024.2</v>
      </c>
      <c r="G159" s="508">
        <v>446.8</v>
      </c>
      <c r="H159" s="677">
        <v>0</v>
      </c>
      <c r="I159" s="674">
        <v>11030.261883645066</v>
      </c>
      <c r="J159" s="40">
        <v>9287.0155925025701</v>
      </c>
      <c r="K159" s="52">
        <v>-1743.2462911424955</v>
      </c>
      <c r="L159" s="674">
        <v>1914.3638361329181</v>
      </c>
      <c r="M159" s="40">
        <v>1525.814962431765</v>
      </c>
      <c r="N159" s="52">
        <v>-388.54887370115307</v>
      </c>
      <c r="O159" s="674">
        <v>5652.130571031691</v>
      </c>
      <c r="P159" s="40">
        <v>5652.1200000000008</v>
      </c>
      <c r="Q159" s="52">
        <v>-1.0571031690233212E-2</v>
      </c>
      <c r="R159" s="674">
        <v>1134.5192053436649</v>
      </c>
      <c r="S159" s="40">
        <v>1134.54</v>
      </c>
      <c r="T159" s="52">
        <v>2.0794656335056061E-2</v>
      </c>
      <c r="U159" s="674">
        <v>714.84307937464087</v>
      </c>
      <c r="V159" s="40">
        <v>306.57844864907275</v>
      </c>
      <c r="W159" s="52">
        <v>-408.26463072556811</v>
      </c>
      <c r="X159" s="674">
        <v>8209.7524883726946</v>
      </c>
      <c r="Y159" s="40">
        <v>6280.574384406782</v>
      </c>
      <c r="Z159" s="52">
        <v>-1929.1781039659127</v>
      </c>
      <c r="AA159" s="674">
        <v>482.904</v>
      </c>
      <c r="AB159" s="40">
        <v>0</v>
      </c>
      <c r="AC159" s="52">
        <v>-482.904</v>
      </c>
      <c r="AD159" s="674">
        <v>17253.764225881634</v>
      </c>
      <c r="AE159" s="40">
        <v>17097.706437016543</v>
      </c>
      <c r="AF159" s="35">
        <v>-156.05778886509142</v>
      </c>
      <c r="AG159" s="77">
        <v>46392.539289782304</v>
      </c>
      <c r="AH159" s="53">
        <v>41284.349825006735</v>
      </c>
      <c r="AI159" s="52">
        <v>-5108.1894647755689</v>
      </c>
      <c r="AJ159" s="674">
        <v>39391.507934318557</v>
      </c>
      <c r="AK159" s="40">
        <v>39132.775266478908</v>
      </c>
      <c r="AL159" s="52">
        <v>-258.73266783964937</v>
      </c>
      <c r="AM159" s="674">
        <v>0</v>
      </c>
      <c r="AN159" s="40">
        <v>0</v>
      </c>
      <c r="AO159" s="52">
        <v>0</v>
      </c>
      <c r="AP159" s="674">
        <v>3147.7844375958316</v>
      </c>
      <c r="AQ159" s="40">
        <v>2992.6033019828214</v>
      </c>
      <c r="AR159" s="52">
        <v>-155.18113561301016</v>
      </c>
      <c r="AS159" s="674">
        <v>62609.054968842982</v>
      </c>
      <c r="AT159" s="40">
        <v>42049.075368459999</v>
      </c>
      <c r="AU159" s="54">
        <v>-20559.979600382983</v>
      </c>
      <c r="AV159" s="674">
        <v>1872.8661367575455</v>
      </c>
      <c r="AW159" s="40">
        <v>505.58000000000004</v>
      </c>
      <c r="AX159" s="55">
        <v>-1367.2861367575456</v>
      </c>
      <c r="AY159" s="674">
        <v>2249.9446492163197</v>
      </c>
      <c r="AZ159" s="40">
        <v>0</v>
      </c>
      <c r="BA159" s="35">
        <v>-2249.9446492163197</v>
      </c>
      <c r="BB159" s="674">
        <v>1539.3829576745318</v>
      </c>
      <c r="BC159" s="40">
        <v>916.05</v>
      </c>
      <c r="BD159" s="55">
        <v>-623.33295767453183</v>
      </c>
      <c r="BE159" s="674">
        <v>1582.1574636236958</v>
      </c>
      <c r="BF159" s="40">
        <v>0</v>
      </c>
      <c r="BG159" s="38">
        <v>-1582.1574636236958</v>
      </c>
      <c r="BH159" s="674">
        <v>923.71373565197098</v>
      </c>
      <c r="BI159" s="40">
        <v>0</v>
      </c>
      <c r="BJ159" s="55">
        <v>-923.71373565197098</v>
      </c>
      <c r="BK159" s="674">
        <v>1626.5963799764424</v>
      </c>
      <c r="BL159" s="40">
        <v>0</v>
      </c>
      <c r="BM159" s="38">
        <v>-1626.5963799764424</v>
      </c>
      <c r="BN159" s="674">
        <v>365.58722977853665</v>
      </c>
      <c r="BO159" s="40">
        <v>4002.46</v>
      </c>
      <c r="BP159" s="55">
        <v>3636.8727702214633</v>
      </c>
      <c r="BQ159" s="77">
        <v>10160.248552679042</v>
      </c>
      <c r="BR159" s="40">
        <v>5424.09</v>
      </c>
      <c r="BS159" s="55">
        <v>-4736.1585526790423</v>
      </c>
      <c r="BT159" s="674">
        <v>46461.111421599686</v>
      </c>
      <c r="BU159" s="40">
        <v>42289.607013934918</v>
      </c>
      <c r="BV159" s="52">
        <v>-4171.5044076647682</v>
      </c>
      <c r="BW159" s="674">
        <v>44342.452453588914</v>
      </c>
      <c r="BX159" s="40">
        <v>44161.92705695748</v>
      </c>
      <c r="BY159" s="52">
        <v>-180.52539663143398</v>
      </c>
      <c r="BZ159" s="674">
        <v>6320.6817228536938</v>
      </c>
      <c r="CA159" s="40">
        <v>10758.866163360417</v>
      </c>
      <c r="CB159" s="52">
        <v>4438.1844405067231</v>
      </c>
      <c r="CC159" s="674">
        <v>1067.8174150954844</v>
      </c>
      <c r="CD159" s="40">
        <v>1119.5291566440778</v>
      </c>
      <c r="CE159" s="52">
        <v>51.711741548593409</v>
      </c>
      <c r="CF159" s="674">
        <v>130.18730294856104</v>
      </c>
      <c r="CG159" s="40">
        <v>0</v>
      </c>
      <c r="CH159" s="52">
        <v>-130.18730294856104</v>
      </c>
      <c r="CI159" s="674">
        <v>7038.8689201839943</v>
      </c>
      <c r="CJ159" s="40">
        <v>7844.1484433939659</v>
      </c>
      <c r="CK159" s="52">
        <v>805.27952320997156</v>
      </c>
      <c r="CL159" s="674">
        <v>8506.5657305537134</v>
      </c>
      <c r="CM159" s="40">
        <v>8718.8143676291384</v>
      </c>
      <c r="CN159" s="52">
        <v>212.24863707542499</v>
      </c>
      <c r="CO159" s="39">
        <v>15545.434650737709</v>
      </c>
      <c r="CP159" s="40">
        <v>16562.962811023106</v>
      </c>
      <c r="CQ159" s="52">
        <v>1017.5281602853975</v>
      </c>
      <c r="CR159" s="72">
        <v>275568.82015004277</v>
      </c>
      <c r="CS159" s="5">
        <v>245775.78596384844</v>
      </c>
      <c r="CT159" s="52">
        <v>-29793.034186194331</v>
      </c>
      <c r="CU159" s="77">
        <v>330682.58418005129</v>
      </c>
      <c r="CV159" s="65">
        <v>294930.9431566181</v>
      </c>
      <c r="CW159" s="35">
        <v>-35751.641023433185</v>
      </c>
      <c r="CX159" s="73">
        <v>10000.280836707925</v>
      </c>
      <c r="CY159" s="40">
        <v>45751.921860141054</v>
      </c>
      <c r="CZ159" s="52">
        <v>35751.641023433127</v>
      </c>
      <c r="DA159" s="150">
        <v>-56354.780498106978</v>
      </c>
      <c r="DB159" s="2">
        <v>1</v>
      </c>
      <c r="DC159" s="675">
        <v>47549.57</v>
      </c>
      <c r="DD159" s="675">
        <v>0</v>
      </c>
      <c r="DE159" s="675">
        <v>17655.704896647905</v>
      </c>
      <c r="DF159" s="675">
        <v>0</v>
      </c>
      <c r="DG159" s="321">
        <v>-20603.139474673837</v>
      </c>
      <c r="DH159" s="40">
        <v>340657.14619269402</v>
      </c>
      <c r="DI159" s="422">
        <v>29893.865103352098</v>
      </c>
      <c r="DJ159" s="306">
        <v>6.1951520626011511</v>
      </c>
      <c r="DK159" s="306">
        <v>7.5825658751556722</v>
      </c>
      <c r="DL159" s="306">
        <v>4.9562478843693736</v>
      </c>
      <c r="DM159" s="28">
        <v>29893.865103352095</v>
      </c>
      <c r="DN159" s="28">
        <v>0</v>
      </c>
      <c r="DO159" s="423">
        <v>29893.865103352095</v>
      </c>
      <c r="DP159" s="94">
        <v>0</v>
      </c>
      <c r="DQ159" s="28">
        <v>29893.865103352095</v>
      </c>
      <c r="DR159" s="318"/>
      <c r="DT159" s="8"/>
      <c r="DU159" s="5"/>
      <c r="DX159" s="5">
        <v>87323.164225826433</v>
      </c>
      <c r="DY159" s="5">
        <v>56967.798442152001</v>
      </c>
      <c r="DZ159" s="159">
        <v>8045.1025009494442</v>
      </c>
      <c r="EB159" s="676">
        <v>-2636.9151697428024</v>
      </c>
      <c r="EC159" s="676">
        <v>-2100.4522546681001</v>
      </c>
      <c r="ED159" s="676">
        <v>7517.6686599516943</v>
      </c>
      <c r="EE159" s="676">
        <v>-10362.062131244697</v>
      </c>
      <c r="EF159" s="676">
        <v>-3465.6410279015727</v>
      </c>
      <c r="EG159" s="676">
        <v>-9673.6088609946491</v>
      </c>
      <c r="EH159" s="676">
        <v>-8138.6714322561056</v>
      </c>
      <c r="EI159" s="676">
        <v>-8021.1692987666574</v>
      </c>
      <c r="EJ159" s="676">
        <v>-8927.2553287348128</v>
      </c>
      <c r="EK159" s="676">
        <v>20022.649958179565</v>
      </c>
      <c r="EL159" s="676">
        <v>-7215.4419811067019</v>
      </c>
      <c r="EM159" s="676">
        <v>-2750.7421561483025</v>
      </c>
      <c r="EN159" s="676">
        <v>-35751.641023433142</v>
      </c>
      <c r="EQ159" s="5">
        <v>87323.164225826433</v>
      </c>
      <c r="ER159" s="5">
        <v>56967.798442152001</v>
      </c>
      <c r="ET159" s="318">
        <v>-48398.134733191691</v>
      </c>
      <c r="EU159" s="5">
        <v>11374.995258517873</v>
      </c>
    </row>
    <row r="160" spans="1:151" x14ac:dyDescent="0.3">
      <c r="A160" s="325">
        <v>150001009</v>
      </c>
      <c r="B160" s="41" t="s">
        <v>609</v>
      </c>
      <c r="C160" s="42" t="s">
        <v>213</v>
      </c>
      <c r="D160" s="27">
        <v>4</v>
      </c>
      <c r="E160" s="293">
        <v>1485</v>
      </c>
      <c r="F160" s="305">
        <v>1399.9</v>
      </c>
      <c r="G160" s="508">
        <v>0</v>
      </c>
      <c r="H160" s="677">
        <v>85.1</v>
      </c>
      <c r="I160" s="674">
        <v>4955.6709052946298</v>
      </c>
      <c r="J160" s="40">
        <v>5418.0037358093423</v>
      </c>
      <c r="K160" s="52">
        <v>462.33283051471244</v>
      </c>
      <c r="L160" s="674">
        <v>895.75884976457314</v>
      </c>
      <c r="M160" s="40">
        <v>980.44113797381317</v>
      </c>
      <c r="N160" s="52">
        <v>84.682288209240028</v>
      </c>
      <c r="O160" s="674">
        <v>2027.7262431775994</v>
      </c>
      <c r="P160" s="40">
        <v>2027.7299999999996</v>
      </c>
      <c r="Q160" s="52">
        <v>3.7568224001915951E-3</v>
      </c>
      <c r="R160" s="674">
        <v>0</v>
      </c>
      <c r="S160" s="40">
        <v>0</v>
      </c>
      <c r="T160" s="52">
        <v>0</v>
      </c>
      <c r="U160" s="674">
        <v>0</v>
      </c>
      <c r="V160" s="40">
        <v>0</v>
      </c>
      <c r="W160" s="52">
        <v>0</v>
      </c>
      <c r="X160" s="674">
        <v>2769.4495204535046</v>
      </c>
      <c r="Y160" s="40">
        <v>1928.869886822039</v>
      </c>
      <c r="Z160" s="52">
        <v>-840.57963363146564</v>
      </c>
      <c r="AA160" s="674">
        <v>178.16399999999999</v>
      </c>
      <c r="AB160" s="40">
        <v>0</v>
      </c>
      <c r="AC160" s="52">
        <v>-178.16399999999999</v>
      </c>
      <c r="AD160" s="674">
        <v>6361.5602919652538</v>
      </c>
      <c r="AE160" s="40">
        <v>6310.5036603425851</v>
      </c>
      <c r="AF160" s="35">
        <v>-51.056631622668647</v>
      </c>
      <c r="AG160" s="77">
        <v>17188.329810655559</v>
      </c>
      <c r="AH160" s="53">
        <v>16665.54842094778</v>
      </c>
      <c r="AI160" s="52">
        <v>-522.78138970777945</v>
      </c>
      <c r="AJ160" s="674">
        <v>0</v>
      </c>
      <c r="AK160" s="40">
        <v>0</v>
      </c>
      <c r="AL160" s="52">
        <v>0</v>
      </c>
      <c r="AM160" s="674">
        <v>0</v>
      </c>
      <c r="AN160" s="40">
        <v>0</v>
      </c>
      <c r="AO160" s="52">
        <v>0</v>
      </c>
      <c r="AP160" s="674">
        <v>4047.1514197660686</v>
      </c>
      <c r="AQ160" s="40">
        <v>5160.6776010537533</v>
      </c>
      <c r="AR160" s="52">
        <v>1113.5261812876847</v>
      </c>
      <c r="AS160" s="674">
        <v>16040.390141678161</v>
      </c>
      <c r="AT160" s="40">
        <v>4290.1900000000005</v>
      </c>
      <c r="AU160" s="54">
        <v>-11750.20014167816</v>
      </c>
      <c r="AV160" s="674">
        <v>1140.2015652869165</v>
      </c>
      <c r="AW160" s="40">
        <v>0</v>
      </c>
      <c r="AX160" s="55">
        <v>-1140.2015652869165</v>
      </c>
      <c r="AY160" s="674">
        <v>1468.34436357298</v>
      </c>
      <c r="AZ160" s="40">
        <v>2510</v>
      </c>
      <c r="BA160" s="35">
        <v>1041.65563642702</v>
      </c>
      <c r="BB160" s="674">
        <v>997.89054463904165</v>
      </c>
      <c r="BC160" s="40">
        <v>0</v>
      </c>
      <c r="BD160" s="55">
        <v>-997.89054463904165</v>
      </c>
      <c r="BE160" s="674">
        <v>0</v>
      </c>
      <c r="BF160" s="40">
        <v>0</v>
      </c>
      <c r="BG160" s="38">
        <v>0</v>
      </c>
      <c r="BH160" s="674">
        <v>0</v>
      </c>
      <c r="BI160" s="40">
        <v>0</v>
      </c>
      <c r="BJ160" s="55">
        <v>0</v>
      </c>
      <c r="BK160" s="674">
        <v>499.39167411585498</v>
      </c>
      <c r="BL160" s="40">
        <v>0</v>
      </c>
      <c r="BM160" s="38">
        <v>-499.39167411585498</v>
      </c>
      <c r="BN160" s="674">
        <v>44.540999999999997</v>
      </c>
      <c r="BO160" s="40">
        <v>0</v>
      </c>
      <c r="BP160" s="55">
        <v>-44.540999999999997</v>
      </c>
      <c r="BQ160" s="77">
        <v>4150.3691476147933</v>
      </c>
      <c r="BR160" s="40">
        <v>2510</v>
      </c>
      <c r="BS160" s="55">
        <v>-1640.3691476147933</v>
      </c>
      <c r="BT160" s="674">
        <v>9696.403002559804</v>
      </c>
      <c r="BU160" s="40">
        <v>14098.405343301642</v>
      </c>
      <c r="BV160" s="52">
        <v>4402.0023407418375</v>
      </c>
      <c r="BW160" s="674">
        <v>7298.5585297548769</v>
      </c>
      <c r="BX160" s="40">
        <v>6629.3258879649629</v>
      </c>
      <c r="BY160" s="52">
        <v>-669.23264178991394</v>
      </c>
      <c r="BZ160" s="674">
        <v>6022.3831797299954</v>
      </c>
      <c r="CA160" s="40">
        <v>3154.6028966696013</v>
      </c>
      <c r="CB160" s="52">
        <v>-2867.7802830603941</v>
      </c>
      <c r="CC160" s="674">
        <v>583.58546426050543</v>
      </c>
      <c r="CD160" s="40">
        <v>613.36061282352296</v>
      </c>
      <c r="CE160" s="52">
        <v>29.775148563017524</v>
      </c>
      <c r="CF160" s="674">
        <v>71.326203024257282</v>
      </c>
      <c r="CG160" s="40">
        <v>0</v>
      </c>
      <c r="CH160" s="52">
        <v>-71.326203024257282</v>
      </c>
      <c r="CI160" s="674">
        <v>2886.0985896143739</v>
      </c>
      <c r="CJ160" s="40">
        <v>2328.4134638941737</v>
      </c>
      <c r="CK160" s="52">
        <v>-557.68512572020018</v>
      </c>
      <c r="CL160" s="674">
        <v>0</v>
      </c>
      <c r="CM160" s="40">
        <v>0</v>
      </c>
      <c r="CN160" s="52">
        <v>0</v>
      </c>
      <c r="CO160" s="39">
        <v>2886.0985896143739</v>
      </c>
      <c r="CP160" s="40">
        <v>2328.4134638941737</v>
      </c>
      <c r="CQ160" s="52">
        <v>-557.68512572020018</v>
      </c>
      <c r="CR160" s="72">
        <v>67984.595488658393</v>
      </c>
      <c r="CS160" s="5">
        <v>55450.524226655441</v>
      </c>
      <c r="CT160" s="52">
        <v>-12534.071262002952</v>
      </c>
      <c r="CU160" s="77">
        <v>81581.514586390069</v>
      </c>
      <c r="CV160" s="65">
        <v>66540.629071986521</v>
      </c>
      <c r="CW160" s="35">
        <v>-15040.885514403548</v>
      </c>
      <c r="CX160" s="73">
        <v>2466.9507167654592</v>
      </c>
      <c r="CY160" s="40">
        <v>17507.836231169022</v>
      </c>
      <c r="CZ160" s="52">
        <v>15040.885514403562</v>
      </c>
      <c r="DA160" s="150">
        <v>-7304.382338355369</v>
      </c>
      <c r="DB160" s="2">
        <v>2</v>
      </c>
      <c r="DC160" s="675">
        <v>13768.42</v>
      </c>
      <c r="DD160" s="675">
        <v>1377.3400000000001</v>
      </c>
      <c r="DE160" s="675">
        <v>6767.8547220002702</v>
      </c>
      <c r="DF160" s="675">
        <v>1002.0782194970653</v>
      </c>
      <c r="DG160" s="321">
        <v>7736.5031760481897</v>
      </c>
      <c r="DH160" s="40">
        <v>84042.123015481222</v>
      </c>
      <c r="DI160" s="422">
        <v>7375.8270585026639</v>
      </c>
      <c r="DJ160" s="306">
        <v>5.0007609672117503</v>
      </c>
      <c r="DK160" s="306">
        <v>5.0007609672117503</v>
      </c>
      <c r="DL160" s="306">
        <v>4.4096566451578711</v>
      </c>
      <c r="DM160" s="28">
        <v>7000.5652779997299</v>
      </c>
      <c r="DN160" s="28">
        <v>375.26178050293481</v>
      </c>
      <c r="DO160" s="423">
        <v>7375.8270585026648</v>
      </c>
      <c r="DP160" s="94">
        <v>0</v>
      </c>
      <c r="DQ160" s="28">
        <v>7375.8270585026648</v>
      </c>
      <c r="DR160" s="318"/>
      <c r="DT160" s="8"/>
      <c r="DU160" s="5"/>
      <c r="DX160" s="5">
        <v>24228.911147151543</v>
      </c>
      <c r="DY160" s="5">
        <v>8160.2280000000001</v>
      </c>
      <c r="DZ160" s="159">
        <v>2189.8871322868326</v>
      </c>
      <c r="EB160" s="676">
        <v>1278.3607975469286</v>
      </c>
      <c r="EC160" s="676">
        <v>-1321.8581358627816</v>
      </c>
      <c r="ED160" s="676">
        <v>-726.43975032057642</v>
      </c>
      <c r="EE160" s="676">
        <v>-3705.6726173082684</v>
      </c>
      <c r="EF160" s="676">
        <v>-1176.3604132157425</v>
      </c>
      <c r="EG160" s="676">
        <v>1270.1212328254633</v>
      </c>
      <c r="EH160" s="676">
        <v>-2739.9743620113213</v>
      </c>
      <c r="EI160" s="676">
        <v>-2406.1066948429452</v>
      </c>
      <c r="EJ160" s="676">
        <v>-2429.2554530964035</v>
      </c>
      <c r="EK160" s="676">
        <v>866.63355934571246</v>
      </c>
      <c r="EL160" s="676">
        <v>-482.90506577023552</v>
      </c>
      <c r="EM160" s="676">
        <v>-3467.4286116933881</v>
      </c>
      <c r="EN160" s="676">
        <v>-15040.885514403559</v>
      </c>
      <c r="EQ160" s="5">
        <v>24228.911147151543</v>
      </c>
      <c r="ER160" s="5">
        <v>8160.2280000000001</v>
      </c>
      <c r="ET160" s="318">
        <v>-12554.820636151397</v>
      </c>
      <c r="EU160" s="5">
        <v>-9291.6761878004163</v>
      </c>
    </row>
    <row r="161" spans="1:151" x14ac:dyDescent="0.3">
      <c r="A161" s="325">
        <v>150001010</v>
      </c>
      <c r="B161" s="41" t="s">
        <v>610</v>
      </c>
      <c r="C161" s="42" t="s">
        <v>165</v>
      </c>
      <c r="D161" s="27">
        <v>2</v>
      </c>
      <c r="E161" s="293">
        <v>744.59999999999991</v>
      </c>
      <c r="F161" s="305">
        <v>539.29999999999995</v>
      </c>
      <c r="G161" s="508">
        <v>0</v>
      </c>
      <c r="H161" s="677">
        <v>205.3</v>
      </c>
      <c r="I161" s="674">
        <v>3115.9475580217431</v>
      </c>
      <c r="J161" s="40">
        <v>3361.9841776798153</v>
      </c>
      <c r="K161" s="52">
        <v>246.03661965807214</v>
      </c>
      <c r="L161" s="674">
        <v>683.46819892210658</v>
      </c>
      <c r="M161" s="40">
        <v>748.08084206629474</v>
      </c>
      <c r="N161" s="52">
        <v>64.612643144188155</v>
      </c>
      <c r="O161" s="674">
        <v>964.22313367477523</v>
      </c>
      <c r="P161" s="40">
        <v>964.23000000000013</v>
      </c>
      <c r="Q161" s="52">
        <v>6.8663252249052675E-3</v>
      </c>
      <c r="R161" s="674">
        <v>0</v>
      </c>
      <c r="S161" s="40">
        <v>0</v>
      </c>
      <c r="T161" s="52">
        <v>0</v>
      </c>
      <c r="U161" s="674">
        <v>0</v>
      </c>
      <c r="V161" s="40">
        <v>0</v>
      </c>
      <c r="W161" s="52">
        <v>0</v>
      </c>
      <c r="X161" s="674">
        <v>1858.5545518237329</v>
      </c>
      <c r="Y161" s="40">
        <v>1388.4517471599486</v>
      </c>
      <c r="Z161" s="52">
        <v>-470.10280466378435</v>
      </c>
      <c r="AA161" s="674">
        <v>92.015999999999991</v>
      </c>
      <c r="AB161" s="40">
        <v>0</v>
      </c>
      <c r="AC161" s="52">
        <v>-92.015999999999991</v>
      </c>
      <c r="AD161" s="674">
        <v>3202.9340599648858</v>
      </c>
      <c r="AE161" s="40">
        <v>3163.5982836346393</v>
      </c>
      <c r="AF161" s="35">
        <v>-39.335776330246517</v>
      </c>
      <c r="AG161" s="77">
        <v>9917.1435024072434</v>
      </c>
      <c r="AH161" s="53">
        <v>9626.3450505406981</v>
      </c>
      <c r="AI161" s="52">
        <v>-290.79845186654529</v>
      </c>
      <c r="AJ161" s="674">
        <v>0</v>
      </c>
      <c r="AK161" s="40">
        <v>0</v>
      </c>
      <c r="AL161" s="52">
        <v>0</v>
      </c>
      <c r="AM161" s="674">
        <v>0</v>
      </c>
      <c r="AN161" s="40">
        <v>0</v>
      </c>
      <c r="AO161" s="52">
        <v>0</v>
      </c>
      <c r="AP161" s="674">
        <v>1483.9555205808913</v>
      </c>
      <c r="AQ161" s="40">
        <v>1323.4795230674481</v>
      </c>
      <c r="AR161" s="52">
        <v>-160.47599751344319</v>
      </c>
      <c r="AS161" s="674">
        <v>8291.706536063095</v>
      </c>
      <c r="AT161" s="40">
        <v>213</v>
      </c>
      <c r="AU161" s="54">
        <v>-8078.706536063095</v>
      </c>
      <c r="AV161" s="674">
        <v>777.99671726650877</v>
      </c>
      <c r="AW161" s="40">
        <v>0</v>
      </c>
      <c r="AX161" s="55">
        <v>-777.99671726650877</v>
      </c>
      <c r="AY161" s="674">
        <v>1120.5473919936649</v>
      </c>
      <c r="AZ161" s="40">
        <v>0</v>
      </c>
      <c r="BA161" s="35">
        <v>-1120.5473919936649</v>
      </c>
      <c r="BB161" s="674">
        <v>408.28169569086634</v>
      </c>
      <c r="BC161" s="40">
        <v>0</v>
      </c>
      <c r="BD161" s="55">
        <v>-408.28169569086634</v>
      </c>
      <c r="BE161" s="674">
        <v>0</v>
      </c>
      <c r="BF161" s="40">
        <v>0</v>
      </c>
      <c r="BG161" s="38">
        <v>0</v>
      </c>
      <c r="BH161" s="674">
        <v>0</v>
      </c>
      <c r="BI161" s="40">
        <v>0</v>
      </c>
      <c r="BJ161" s="55">
        <v>0</v>
      </c>
      <c r="BK161" s="674">
        <v>372.51960231308652</v>
      </c>
      <c r="BL161" s="40">
        <v>0</v>
      </c>
      <c r="BM161" s="38">
        <v>-372.51960231308652</v>
      </c>
      <c r="BN161" s="674">
        <v>23.003999999999998</v>
      </c>
      <c r="BO161" s="40">
        <v>0</v>
      </c>
      <c r="BP161" s="55">
        <v>-23.003999999999998</v>
      </c>
      <c r="BQ161" s="77">
        <v>2702.3494072641265</v>
      </c>
      <c r="BR161" s="40">
        <v>0</v>
      </c>
      <c r="BS161" s="55">
        <v>-2702.3494072641265</v>
      </c>
      <c r="BT161" s="674">
        <v>8009.1088472106876</v>
      </c>
      <c r="BU161" s="40">
        <v>10138.309084107761</v>
      </c>
      <c r="BV161" s="52">
        <v>2129.2002368970734</v>
      </c>
      <c r="BW161" s="674">
        <v>4517.5097094376733</v>
      </c>
      <c r="BX161" s="40">
        <v>4116.9568218725481</v>
      </c>
      <c r="BY161" s="52">
        <v>-400.55288756512527</v>
      </c>
      <c r="BZ161" s="674">
        <v>4624.7388168538164</v>
      </c>
      <c r="CA161" s="40">
        <v>2422.0917568211662</v>
      </c>
      <c r="CB161" s="52">
        <v>-2202.6470600326502</v>
      </c>
      <c r="CC161" s="674">
        <v>291.79273213025272</v>
      </c>
      <c r="CD161" s="40">
        <v>306.68030641176148</v>
      </c>
      <c r="CE161" s="52">
        <v>14.887574281508762</v>
      </c>
      <c r="CF161" s="674">
        <v>35.663101512128641</v>
      </c>
      <c r="CG161" s="40">
        <v>2238.8068015269751</v>
      </c>
      <c r="CH161" s="52">
        <v>2203.1437000148462</v>
      </c>
      <c r="CI161" s="674">
        <v>884.01647473023479</v>
      </c>
      <c r="CJ161" s="40">
        <v>1004.1698093118803</v>
      </c>
      <c r="CK161" s="52">
        <v>120.15333458164548</v>
      </c>
      <c r="CL161" s="674">
        <v>0</v>
      </c>
      <c r="CM161" s="40">
        <v>0</v>
      </c>
      <c r="CN161" s="52">
        <v>0</v>
      </c>
      <c r="CO161" s="39">
        <v>884.01647473023479</v>
      </c>
      <c r="CP161" s="40">
        <v>1004.1698093118803</v>
      </c>
      <c r="CQ161" s="52">
        <v>120.15333458164548</v>
      </c>
      <c r="CR161" s="72">
        <v>40757.984648190155</v>
      </c>
      <c r="CS161" s="5">
        <v>31389.839153660239</v>
      </c>
      <c r="CT161" s="52">
        <v>-9368.1454945299156</v>
      </c>
      <c r="CU161" s="77">
        <v>48909.581577828183</v>
      </c>
      <c r="CV161" s="65">
        <v>37667.806984392286</v>
      </c>
      <c r="CW161" s="35">
        <v>-11241.774593435897</v>
      </c>
      <c r="CX161" s="73">
        <v>513.89080025439387</v>
      </c>
      <c r="CY161" s="40">
        <v>11755.665393690288</v>
      </c>
      <c r="CZ161" s="52">
        <v>11241.774593435894</v>
      </c>
      <c r="DA161" s="150">
        <v>15803.043765225222</v>
      </c>
      <c r="DB161" s="2">
        <v>2</v>
      </c>
      <c r="DC161" s="675">
        <v>3785.12</v>
      </c>
      <c r="DD161" s="675">
        <v>1046.93</v>
      </c>
      <c r="DE161" s="675">
        <v>531.04016811773272</v>
      </c>
      <c r="DF161" s="675">
        <v>-0.78151008294139501</v>
      </c>
      <c r="DG161" s="321">
        <v>27044.818358661116</v>
      </c>
      <c r="DH161" s="40">
        <v>49419.628326677361</v>
      </c>
      <c r="DI161" s="422">
        <v>4301.7913419652086</v>
      </c>
      <c r="DJ161" s="306">
        <v>6.0338954791067447</v>
      </c>
      <c r="DK161" s="306">
        <v>6.0338954791067447</v>
      </c>
      <c r="DL161" s="306">
        <v>5.1033195815048291</v>
      </c>
      <c r="DM161" s="28">
        <v>3254.0798318822672</v>
      </c>
      <c r="DN161" s="28">
        <v>1047.7115100829415</v>
      </c>
      <c r="DO161" s="423">
        <v>4301.7913419652086</v>
      </c>
      <c r="DP161" s="94">
        <v>0</v>
      </c>
      <c r="DQ161" s="28">
        <v>4301.7913419652086</v>
      </c>
      <c r="DR161" s="318"/>
      <c r="DT161" s="8"/>
      <c r="DU161" s="5"/>
      <c r="DX161" s="5">
        <v>13192.867131992665</v>
      </c>
      <c r="DY161" s="5">
        <v>255.6</v>
      </c>
      <c r="DZ161" s="159">
        <v>1122.0986847490594</v>
      </c>
      <c r="EB161" s="676">
        <v>-549.32716770788966</v>
      </c>
      <c r="EC161" s="676">
        <v>-803.02346793271954</v>
      </c>
      <c r="ED161" s="676">
        <v>-308.32220867345222</v>
      </c>
      <c r="EE161" s="676">
        <v>-1549.515569178955</v>
      </c>
      <c r="EF161" s="676">
        <v>-184.1725548181048</v>
      </c>
      <c r="EG161" s="676">
        <v>-437.91971047169409</v>
      </c>
      <c r="EH161" s="676">
        <v>-1692.7865176261939</v>
      </c>
      <c r="EI161" s="676">
        <v>-1344.5328315960778</v>
      </c>
      <c r="EJ161" s="676">
        <v>-1059.3495214724194</v>
      </c>
      <c r="EK161" s="676">
        <v>-1162.5389225110948</v>
      </c>
      <c r="EL161" s="676">
        <v>-1245.2381651137939</v>
      </c>
      <c r="EM161" s="676">
        <v>-905.04795633349977</v>
      </c>
      <c r="EN161" s="676">
        <v>-11241.774593435894</v>
      </c>
      <c r="EQ161" s="5">
        <v>13192.867131992665</v>
      </c>
      <c r="ER161" s="5">
        <v>255.6</v>
      </c>
      <c r="ET161" s="318">
        <v>33876.620681751672</v>
      </c>
      <c r="EU161" s="5">
        <v>11604.197676909444</v>
      </c>
    </row>
    <row r="162" spans="1:151" x14ac:dyDescent="0.3">
      <c r="A162" s="325">
        <v>150001011</v>
      </c>
      <c r="B162" s="41" t="s">
        <v>611</v>
      </c>
      <c r="C162" s="42" t="s">
        <v>166</v>
      </c>
      <c r="D162" s="27">
        <v>2</v>
      </c>
      <c r="E162" s="293">
        <v>422.9</v>
      </c>
      <c r="F162" s="305">
        <v>422.9</v>
      </c>
      <c r="G162" s="508">
        <v>0</v>
      </c>
      <c r="H162" s="677">
        <v>0</v>
      </c>
      <c r="I162" s="674">
        <v>2028.1838673837974</v>
      </c>
      <c r="J162" s="40">
        <v>2184.1712367187579</v>
      </c>
      <c r="K162" s="52">
        <v>155.98736933496048</v>
      </c>
      <c r="L162" s="674">
        <v>329.81670697182972</v>
      </c>
      <c r="M162" s="40">
        <v>360.99657345655743</v>
      </c>
      <c r="N162" s="52">
        <v>31.179866484727711</v>
      </c>
      <c r="O162" s="674">
        <v>539.91071668531504</v>
      </c>
      <c r="P162" s="40">
        <v>539.91000000000008</v>
      </c>
      <c r="Q162" s="52">
        <v>-7.1668531495561183E-4</v>
      </c>
      <c r="R162" s="674">
        <v>0</v>
      </c>
      <c r="S162" s="40">
        <v>0</v>
      </c>
      <c r="T162" s="52">
        <v>0</v>
      </c>
      <c r="U162" s="674">
        <v>0</v>
      </c>
      <c r="V162" s="40">
        <v>0</v>
      </c>
      <c r="W162" s="52">
        <v>0</v>
      </c>
      <c r="X162" s="674">
        <v>888.70308841281587</v>
      </c>
      <c r="Y162" s="40">
        <v>1284.3964404391463</v>
      </c>
      <c r="Z162" s="52">
        <v>395.69335202633044</v>
      </c>
      <c r="AA162" s="674">
        <v>50.748000000000005</v>
      </c>
      <c r="AB162" s="40">
        <v>0</v>
      </c>
      <c r="AC162" s="52">
        <v>-50.748000000000005</v>
      </c>
      <c r="AD162" s="674">
        <v>1813.1772552743578</v>
      </c>
      <c r="AE162" s="40">
        <v>1796.7844670280542</v>
      </c>
      <c r="AF162" s="35">
        <v>-16.392788246303553</v>
      </c>
      <c r="AG162" s="77">
        <v>5650.5396347281157</v>
      </c>
      <c r="AH162" s="53">
        <v>6166.2587176425168</v>
      </c>
      <c r="AI162" s="52">
        <v>515.71908291440104</v>
      </c>
      <c r="AJ162" s="674">
        <v>0</v>
      </c>
      <c r="AK162" s="40">
        <v>0</v>
      </c>
      <c r="AL162" s="52">
        <v>0</v>
      </c>
      <c r="AM162" s="674">
        <v>0</v>
      </c>
      <c r="AN162" s="40">
        <v>0</v>
      </c>
      <c r="AO162" s="52">
        <v>0</v>
      </c>
      <c r="AP162" s="674">
        <v>1079.2403786042846</v>
      </c>
      <c r="AQ162" s="40">
        <v>803.12342611672966</v>
      </c>
      <c r="AR162" s="52">
        <v>-276.11695248755495</v>
      </c>
      <c r="AS162" s="674">
        <v>5463.833067195882</v>
      </c>
      <c r="AT162" s="40">
        <v>6052</v>
      </c>
      <c r="AU162" s="54">
        <v>588.16693280411801</v>
      </c>
      <c r="AV162" s="674">
        <v>478.24333018420259</v>
      </c>
      <c r="AW162" s="40">
        <v>0</v>
      </c>
      <c r="AX162" s="55">
        <v>-478.24333018420259</v>
      </c>
      <c r="AY162" s="674">
        <v>540.7078733590771</v>
      </c>
      <c r="AZ162" s="40">
        <v>0</v>
      </c>
      <c r="BA162" s="35">
        <v>-540.7078733590771</v>
      </c>
      <c r="BB162" s="674">
        <v>234.74588260494488</v>
      </c>
      <c r="BC162" s="40">
        <v>0</v>
      </c>
      <c r="BD162" s="55">
        <v>-234.74588260494488</v>
      </c>
      <c r="BE162" s="674">
        <v>0</v>
      </c>
      <c r="BF162" s="40">
        <v>0</v>
      </c>
      <c r="BG162" s="38">
        <v>0</v>
      </c>
      <c r="BH162" s="674">
        <v>0</v>
      </c>
      <c r="BI162" s="40">
        <v>0</v>
      </c>
      <c r="BJ162" s="55">
        <v>0</v>
      </c>
      <c r="BK162" s="674">
        <v>95.609109999152707</v>
      </c>
      <c r="BL162" s="40">
        <v>0</v>
      </c>
      <c r="BM162" s="38">
        <v>-95.609109999152707</v>
      </c>
      <c r="BN162" s="674">
        <v>12.687000000000001</v>
      </c>
      <c r="BO162" s="40">
        <v>0</v>
      </c>
      <c r="BP162" s="55">
        <v>-12.687000000000001</v>
      </c>
      <c r="BQ162" s="77">
        <v>1361.9931961473771</v>
      </c>
      <c r="BR162" s="40">
        <v>0</v>
      </c>
      <c r="BS162" s="55">
        <v>-1361.9931961473771</v>
      </c>
      <c r="BT162" s="674">
        <v>5736.5724964774136</v>
      </c>
      <c r="BU162" s="40">
        <v>5603.3508505128402</v>
      </c>
      <c r="BV162" s="52">
        <v>-133.22164596457333</v>
      </c>
      <c r="BW162" s="674">
        <v>2955.5891751663366</v>
      </c>
      <c r="BX162" s="40">
        <v>2398.6532268699511</v>
      </c>
      <c r="BY162" s="52">
        <v>-556.9359482963855</v>
      </c>
      <c r="BZ162" s="674">
        <v>1043.2157302570713</v>
      </c>
      <c r="CA162" s="40">
        <v>1239.8749495145607</v>
      </c>
      <c r="CB162" s="52">
        <v>196.65921925748944</v>
      </c>
      <c r="CC162" s="674">
        <v>0</v>
      </c>
      <c r="CD162" s="40">
        <v>0</v>
      </c>
      <c r="CE162" s="52">
        <v>0</v>
      </c>
      <c r="CF162" s="674">
        <v>0</v>
      </c>
      <c r="CG162" s="40">
        <v>0</v>
      </c>
      <c r="CH162" s="52">
        <v>0</v>
      </c>
      <c r="CI162" s="674">
        <v>865.21575531576389</v>
      </c>
      <c r="CJ162" s="40">
        <v>563.44283534808517</v>
      </c>
      <c r="CK162" s="52">
        <v>-301.77291996767872</v>
      </c>
      <c r="CL162" s="674">
        <v>0</v>
      </c>
      <c r="CM162" s="40">
        <v>0</v>
      </c>
      <c r="CN162" s="52">
        <v>0</v>
      </c>
      <c r="CO162" s="39">
        <v>865.21575531576389</v>
      </c>
      <c r="CP162" s="40">
        <v>563.44283534808517</v>
      </c>
      <c r="CQ162" s="52">
        <v>-301.77291996767872</v>
      </c>
      <c r="CR162" s="72">
        <v>24156.199433892241</v>
      </c>
      <c r="CS162" s="5">
        <v>22826.704006004682</v>
      </c>
      <c r="CT162" s="52">
        <v>-1329.4954278875593</v>
      </c>
      <c r="CU162" s="77">
        <v>28987.439320670688</v>
      </c>
      <c r="CV162" s="65">
        <v>27392.044807205617</v>
      </c>
      <c r="CW162" s="35">
        <v>-1595.3945134650712</v>
      </c>
      <c r="CX162" s="73">
        <v>295.97947949548194</v>
      </c>
      <c r="CY162" s="40">
        <v>1891.3739929605531</v>
      </c>
      <c r="CZ162" s="52">
        <v>1595.3945134650712</v>
      </c>
      <c r="DA162" s="150">
        <v>8207.9189637788477</v>
      </c>
      <c r="DB162" s="2">
        <v>2</v>
      </c>
      <c r="DC162" s="675">
        <v>9814.4599999999991</v>
      </c>
      <c r="DD162" s="675">
        <v>0</v>
      </c>
      <c r="DE162" s="675">
        <v>7245.9671635118739</v>
      </c>
      <c r="DF162" s="675">
        <v>0</v>
      </c>
      <c r="DG162" s="321">
        <v>9803.3134772439189</v>
      </c>
      <c r="DH162" s="40">
        <v>29281.204788291456</v>
      </c>
      <c r="DI162" s="422">
        <v>2568.4928364881252</v>
      </c>
      <c r="DJ162" s="306">
        <v>6.0735229049139887</v>
      </c>
      <c r="DK162" s="306">
        <v>6.0735229049139887</v>
      </c>
      <c r="DL162" s="306">
        <v>5.2974938384425112</v>
      </c>
      <c r="DM162" s="28">
        <v>2568.4928364881257</v>
      </c>
      <c r="DN162" s="28">
        <v>0</v>
      </c>
      <c r="DO162" s="423">
        <v>2568.4928364881257</v>
      </c>
      <c r="DP162" s="94">
        <v>0</v>
      </c>
      <c r="DQ162" s="28">
        <v>2568.4928364881257</v>
      </c>
      <c r="DR162" s="318"/>
      <c r="DT162" s="8"/>
      <c r="DU162" s="5"/>
      <c r="DX162" s="5">
        <v>8190.9915160119099</v>
      </c>
      <c r="DY162" s="5">
        <v>7262.4</v>
      </c>
      <c r="DZ162" s="159">
        <v>722.12691346719714</v>
      </c>
      <c r="EB162" s="676">
        <v>380.14640573582483</v>
      </c>
      <c r="EC162" s="676">
        <v>-723.37946668153563</v>
      </c>
      <c r="ED162" s="676">
        <v>-357.49523611164159</v>
      </c>
      <c r="EE162" s="676">
        <v>-574.20002959971043</v>
      </c>
      <c r="EF162" s="676">
        <v>-963.02567248041942</v>
      </c>
      <c r="EG162" s="676">
        <v>-585.94767359193452</v>
      </c>
      <c r="EH162" s="676">
        <v>-1580.4647488745168</v>
      </c>
      <c r="EI162" s="676">
        <v>-952.07889391983781</v>
      </c>
      <c r="EJ162" s="676">
        <v>-765.513059181475</v>
      </c>
      <c r="EK162" s="676">
        <v>6266.8946735037862</v>
      </c>
      <c r="EL162" s="676">
        <v>-901.81830058331047</v>
      </c>
      <c r="EM162" s="676">
        <v>-838.5125116803008</v>
      </c>
      <c r="EN162" s="676">
        <v>-1595.3945134650717</v>
      </c>
      <c r="EQ162" s="5">
        <v>8190.9915160119099</v>
      </c>
      <c r="ER162" s="5">
        <v>7262.4</v>
      </c>
      <c r="ET162" s="318">
        <v>-7060.0187503572824</v>
      </c>
      <c r="EU162" s="5">
        <v>16139.332227601202</v>
      </c>
    </row>
    <row r="163" spans="1:151" x14ac:dyDescent="0.3">
      <c r="A163" s="391">
        <v>150001013</v>
      </c>
      <c r="B163" s="41" t="s">
        <v>612</v>
      </c>
      <c r="C163" s="42" t="s">
        <v>261</v>
      </c>
      <c r="D163" s="27">
        <v>5</v>
      </c>
      <c r="E163" s="293">
        <v>3476.23</v>
      </c>
      <c r="F163" s="305">
        <v>2612.75</v>
      </c>
      <c r="G163" s="508">
        <v>0</v>
      </c>
      <c r="H163" s="677">
        <v>863.48</v>
      </c>
      <c r="I163" s="674">
        <v>10799.602241573159</v>
      </c>
      <c r="J163" s="40">
        <v>11849.54356910832</v>
      </c>
      <c r="K163" s="52">
        <v>1049.9413275351617</v>
      </c>
      <c r="L163" s="674">
        <v>2244.0849092590597</v>
      </c>
      <c r="M163" s="40">
        <v>2456.2340757872512</v>
      </c>
      <c r="N163" s="52">
        <v>212.14916652819147</v>
      </c>
      <c r="O163" s="674">
        <v>4676.9742472718162</v>
      </c>
      <c r="P163" s="40">
        <v>4676.9400000000014</v>
      </c>
      <c r="Q163" s="52">
        <v>-3.4247271814820124E-2</v>
      </c>
      <c r="R163" s="674">
        <v>0</v>
      </c>
      <c r="S163" s="40">
        <v>0</v>
      </c>
      <c r="T163" s="52">
        <v>0</v>
      </c>
      <c r="U163" s="674">
        <v>0</v>
      </c>
      <c r="V163" s="40">
        <v>0</v>
      </c>
      <c r="W163" s="52">
        <v>0</v>
      </c>
      <c r="X163" s="674">
        <v>6900.6647493836199</v>
      </c>
      <c r="Y163" s="40">
        <v>5753.7467167233835</v>
      </c>
      <c r="Z163" s="52">
        <v>-1146.9180326602363</v>
      </c>
      <c r="AA163" s="674">
        <v>415.86119999999994</v>
      </c>
      <c r="AB163" s="40">
        <v>0</v>
      </c>
      <c r="AC163" s="52">
        <v>-415.86119999999994</v>
      </c>
      <c r="AD163" s="674">
        <v>14841.998408971231</v>
      </c>
      <c r="AE163" s="40">
        <v>14769.534329195871</v>
      </c>
      <c r="AF163" s="35">
        <v>-72.464079775360005</v>
      </c>
      <c r="AG163" s="77">
        <v>39879.185756458886</v>
      </c>
      <c r="AH163" s="53">
        <v>39505.998690814828</v>
      </c>
      <c r="AI163" s="52">
        <v>-373.18706564405875</v>
      </c>
      <c r="AJ163" s="674">
        <v>0</v>
      </c>
      <c r="AK163" s="40">
        <v>0</v>
      </c>
      <c r="AL163" s="52">
        <v>0</v>
      </c>
      <c r="AM163" s="674">
        <v>0</v>
      </c>
      <c r="AN163" s="40">
        <v>0</v>
      </c>
      <c r="AO163" s="52">
        <v>0</v>
      </c>
      <c r="AP163" s="674">
        <v>8768.8280761598126</v>
      </c>
      <c r="AQ163" s="40">
        <v>7292.423112486018</v>
      </c>
      <c r="AR163" s="52">
        <v>-1476.4049636737946</v>
      </c>
      <c r="AS163" s="674">
        <v>28964.180674635936</v>
      </c>
      <c r="AT163" s="40">
        <v>22527</v>
      </c>
      <c r="AU163" s="54">
        <v>-6437.1806746359362</v>
      </c>
      <c r="AV163" s="674">
        <v>2488.011866772621</v>
      </c>
      <c r="AW163" s="40">
        <v>1954.18</v>
      </c>
      <c r="AX163" s="55">
        <v>-533.83186677262097</v>
      </c>
      <c r="AY163" s="674">
        <v>3678.6362157662265</v>
      </c>
      <c r="AZ163" s="40">
        <v>33</v>
      </c>
      <c r="BA163" s="35">
        <v>-3645.6362157662265</v>
      </c>
      <c r="BB163" s="674">
        <v>2337.1654946633939</v>
      </c>
      <c r="BC163" s="40">
        <v>509</v>
      </c>
      <c r="BD163" s="55">
        <v>-1828.1654946633939</v>
      </c>
      <c r="BE163" s="674">
        <v>0</v>
      </c>
      <c r="BF163" s="40">
        <v>0</v>
      </c>
      <c r="BG163" s="38">
        <v>0</v>
      </c>
      <c r="BH163" s="674">
        <v>0</v>
      </c>
      <c r="BI163" s="40">
        <v>0</v>
      </c>
      <c r="BJ163" s="55">
        <v>0</v>
      </c>
      <c r="BK163" s="674">
        <v>1631.0546898242278</v>
      </c>
      <c r="BL163" s="40">
        <v>403</v>
      </c>
      <c r="BM163" s="38">
        <v>-1228.0546898242278</v>
      </c>
      <c r="BN163" s="674">
        <v>103.96529999999998</v>
      </c>
      <c r="BO163" s="40">
        <v>0</v>
      </c>
      <c r="BP163" s="55">
        <v>-103.96529999999998</v>
      </c>
      <c r="BQ163" s="77">
        <v>10238.83356702647</v>
      </c>
      <c r="BR163" s="40">
        <v>2899.1800000000003</v>
      </c>
      <c r="BS163" s="55">
        <v>-7339.6535670264693</v>
      </c>
      <c r="BT163" s="674">
        <v>25474.087482718573</v>
      </c>
      <c r="BU163" s="40">
        <v>28312.697752122858</v>
      </c>
      <c r="BV163" s="52">
        <v>2838.6102694042856</v>
      </c>
      <c r="BW163" s="674">
        <v>18675.988682987234</v>
      </c>
      <c r="BX163" s="40">
        <v>14871.723986538595</v>
      </c>
      <c r="BY163" s="52">
        <v>-3804.2646964486394</v>
      </c>
      <c r="BZ163" s="674">
        <v>13918.669488521304</v>
      </c>
      <c r="CA163" s="40">
        <v>7889.2421031214535</v>
      </c>
      <c r="CB163" s="52">
        <v>-6029.4273853998502</v>
      </c>
      <c r="CC163" s="674">
        <v>830.91454197090991</v>
      </c>
      <c r="CD163" s="40">
        <v>873.30868206777791</v>
      </c>
      <c r="CE163" s="52">
        <v>42.394140096868</v>
      </c>
      <c r="CF163" s="674">
        <v>101.5549271631092</v>
      </c>
      <c r="CG163" s="40">
        <v>0</v>
      </c>
      <c r="CH163" s="52">
        <v>-101.5549271631092</v>
      </c>
      <c r="CI163" s="674">
        <v>4761.8392656695714</v>
      </c>
      <c r="CJ163" s="40">
        <v>4150.2868943896574</v>
      </c>
      <c r="CK163" s="52">
        <v>-611.55237127991404</v>
      </c>
      <c r="CL163" s="674">
        <v>0</v>
      </c>
      <c r="CM163" s="40">
        <v>0</v>
      </c>
      <c r="CN163" s="52">
        <v>0</v>
      </c>
      <c r="CO163" s="39">
        <v>4761.8392656695714</v>
      </c>
      <c r="CP163" s="40">
        <v>4150.2868943896574</v>
      </c>
      <c r="CQ163" s="52">
        <v>-611.55237127991404</v>
      </c>
      <c r="CR163" s="72">
        <v>151614.08246331182</v>
      </c>
      <c r="CS163" s="5">
        <v>128321.86122154117</v>
      </c>
      <c r="CT163" s="52">
        <v>-23292.221241770647</v>
      </c>
      <c r="CU163" s="77">
        <v>181936.89895597417</v>
      </c>
      <c r="CV163" s="65">
        <v>153986.23346584939</v>
      </c>
      <c r="CW163" s="35">
        <v>-27950.665490124782</v>
      </c>
      <c r="CX163" s="73">
        <v>4781.0820031132198</v>
      </c>
      <c r="CY163" s="40">
        <v>32731.747493237963</v>
      </c>
      <c r="CZ163" s="52">
        <v>27950.665490124742</v>
      </c>
      <c r="DA163" s="150">
        <v>-63027.427017938826</v>
      </c>
      <c r="DB163" s="2">
        <v>2</v>
      </c>
      <c r="DC163" s="675">
        <v>45968.25</v>
      </c>
      <c r="DD163" s="675">
        <v>57126.340000000011</v>
      </c>
      <c r="DE163" s="675">
        <v>33148.653028321409</v>
      </c>
      <c r="DF163" s="675">
        <v>53583.231211211598</v>
      </c>
      <c r="DG163" s="321">
        <v>-35076.761527814087</v>
      </c>
      <c r="DH163" s="40">
        <v>186703.81669116064</v>
      </c>
      <c r="DI163" s="422">
        <v>16362.705760467006</v>
      </c>
      <c r="DJ163" s="306">
        <v>4.9065532376532737</v>
      </c>
      <c r="DK163" s="306">
        <v>4.9065532376532737</v>
      </c>
      <c r="DL163" s="306">
        <v>4.1032899300370742</v>
      </c>
      <c r="DM163" s="28">
        <v>12819.596971678591</v>
      </c>
      <c r="DN163" s="28">
        <v>3543.1087887884128</v>
      </c>
      <c r="DO163" s="423">
        <v>16362.705760467004</v>
      </c>
      <c r="DP163" s="94">
        <v>0</v>
      </c>
      <c r="DQ163" s="28">
        <v>16362.705760467004</v>
      </c>
      <c r="DR163" s="318"/>
      <c r="DT163" s="8"/>
      <c r="DU163" s="5"/>
      <c r="DX163" s="5">
        <v>47043.617089994885</v>
      </c>
      <c r="DY163" s="5">
        <v>30511.415999999997</v>
      </c>
      <c r="DZ163" s="159">
        <v>4103.917116837235</v>
      </c>
      <c r="EB163" s="676">
        <v>2645.7709271743588</v>
      </c>
      <c r="EC163" s="676">
        <v>-1662.2685334971393</v>
      </c>
      <c r="ED163" s="676">
        <v>-3094.9714360189864</v>
      </c>
      <c r="EE163" s="676">
        <v>-8981.8276205452748</v>
      </c>
      <c r="EF163" s="676">
        <v>-5970.3775575998588</v>
      </c>
      <c r="EG163" s="676">
        <v>-6242.648759190959</v>
      </c>
      <c r="EH163" s="676">
        <v>4230.9803176194491</v>
      </c>
      <c r="EI163" s="676">
        <v>-2736.6307428286382</v>
      </c>
      <c r="EJ163" s="676">
        <v>-5084.7330232733348</v>
      </c>
      <c r="EK163" s="676">
        <v>-371.56022990553902</v>
      </c>
      <c r="EL163" s="676">
        <v>6381.1888570538194</v>
      </c>
      <c r="EM163" s="676">
        <v>-7063.5876891126336</v>
      </c>
      <c r="EN163" s="676">
        <v>-27950.665490124738</v>
      </c>
      <c r="EQ163" s="5">
        <v>47043.617089994885</v>
      </c>
      <c r="ER163" s="5">
        <v>30511.415999999997</v>
      </c>
      <c r="ET163" s="318">
        <v>-29809.733814622618</v>
      </c>
      <c r="EU163" s="5">
        <v>-2129.02771319147</v>
      </c>
    </row>
    <row r="164" spans="1:151" x14ac:dyDescent="0.3">
      <c r="A164" s="325">
        <v>150001014</v>
      </c>
      <c r="B164" s="41" t="s">
        <v>613</v>
      </c>
      <c r="C164" s="42" t="s">
        <v>167</v>
      </c>
      <c r="D164" s="27">
        <v>2</v>
      </c>
      <c r="E164" s="293">
        <v>339.3</v>
      </c>
      <c r="F164" s="305">
        <v>339.3</v>
      </c>
      <c r="G164" s="508">
        <v>0</v>
      </c>
      <c r="H164" s="677">
        <v>0</v>
      </c>
      <c r="I164" s="674">
        <v>979.03627796422359</v>
      </c>
      <c r="J164" s="40">
        <v>1095.8112695522066</v>
      </c>
      <c r="K164" s="52">
        <v>116.77499158798298</v>
      </c>
      <c r="L164" s="674">
        <v>276.56557815080066</v>
      </c>
      <c r="M164" s="40">
        <v>302.71076464318674</v>
      </c>
      <c r="N164" s="52">
        <v>26.145186492386074</v>
      </c>
      <c r="O164" s="674">
        <v>438.09593798544006</v>
      </c>
      <c r="P164" s="40">
        <v>438.09000000000003</v>
      </c>
      <c r="Q164" s="52">
        <v>-5.9379854400276599E-3</v>
      </c>
      <c r="R164" s="674">
        <v>0</v>
      </c>
      <c r="S164" s="40">
        <v>0</v>
      </c>
      <c r="T164" s="52">
        <v>0</v>
      </c>
      <c r="U164" s="674">
        <v>0</v>
      </c>
      <c r="V164" s="40">
        <v>0</v>
      </c>
      <c r="W164" s="52">
        <v>0</v>
      </c>
      <c r="X164" s="674">
        <v>525.04853667318014</v>
      </c>
      <c r="Y164" s="40">
        <v>1082.3022999966843</v>
      </c>
      <c r="Z164" s="52">
        <v>557.25376332350413</v>
      </c>
      <c r="AA164" s="674">
        <v>40.716000000000001</v>
      </c>
      <c r="AB164" s="40">
        <v>0</v>
      </c>
      <c r="AC164" s="52">
        <v>-40.716000000000001</v>
      </c>
      <c r="AD164" s="674">
        <v>1454.7810724382605</v>
      </c>
      <c r="AE164" s="40">
        <v>1441.5913210277106</v>
      </c>
      <c r="AF164" s="35">
        <v>-13.189751410549889</v>
      </c>
      <c r="AG164" s="77">
        <v>3714.2434032119045</v>
      </c>
      <c r="AH164" s="53">
        <v>4360.5056552197884</v>
      </c>
      <c r="AI164" s="52">
        <v>646.26225200788394</v>
      </c>
      <c r="AJ164" s="674">
        <v>0</v>
      </c>
      <c r="AK164" s="40">
        <v>0</v>
      </c>
      <c r="AL164" s="52">
        <v>0</v>
      </c>
      <c r="AM164" s="674">
        <v>0</v>
      </c>
      <c r="AN164" s="40">
        <v>0</v>
      </c>
      <c r="AO164" s="52">
        <v>0</v>
      </c>
      <c r="AP164" s="674">
        <v>539.62018930214231</v>
      </c>
      <c r="AQ164" s="40">
        <v>448.76449922990878</v>
      </c>
      <c r="AR164" s="52">
        <v>-90.855690072233529</v>
      </c>
      <c r="AS164" s="674">
        <v>4408.8921371687275</v>
      </c>
      <c r="AT164" s="40">
        <v>125</v>
      </c>
      <c r="AU164" s="54">
        <v>-4283.8921371687275</v>
      </c>
      <c r="AV164" s="674">
        <v>380.75805025537517</v>
      </c>
      <c r="AW164" s="40">
        <v>0</v>
      </c>
      <c r="AX164" s="55">
        <v>-380.75805025537517</v>
      </c>
      <c r="AY164" s="674">
        <v>453.13463355291282</v>
      </c>
      <c r="AZ164" s="40">
        <v>0</v>
      </c>
      <c r="BA164" s="35">
        <v>-453.13463355291282</v>
      </c>
      <c r="BB164" s="674">
        <v>157.60877676897891</v>
      </c>
      <c r="BC164" s="40">
        <v>0</v>
      </c>
      <c r="BD164" s="55">
        <v>-157.60877676897891</v>
      </c>
      <c r="BE164" s="674">
        <v>0</v>
      </c>
      <c r="BF164" s="40">
        <v>0</v>
      </c>
      <c r="BG164" s="38">
        <v>0</v>
      </c>
      <c r="BH164" s="674">
        <v>0</v>
      </c>
      <c r="BI164" s="40">
        <v>0</v>
      </c>
      <c r="BJ164" s="55">
        <v>0</v>
      </c>
      <c r="BK164" s="674">
        <v>76.637035677811468</v>
      </c>
      <c r="BL164" s="40">
        <v>0</v>
      </c>
      <c r="BM164" s="38">
        <v>-76.637035677811468</v>
      </c>
      <c r="BN164" s="674">
        <v>10.179</v>
      </c>
      <c r="BO164" s="40">
        <v>0</v>
      </c>
      <c r="BP164" s="55">
        <v>-10.179</v>
      </c>
      <c r="BQ164" s="77">
        <v>1078.3174962550784</v>
      </c>
      <c r="BR164" s="40">
        <v>0</v>
      </c>
      <c r="BS164" s="55">
        <v>-1078.3174962550784</v>
      </c>
      <c r="BT164" s="674">
        <v>2813.7768636155211</v>
      </c>
      <c r="BU164" s="40">
        <v>3024.6064227753163</v>
      </c>
      <c r="BV164" s="52">
        <v>210.82955915979528</v>
      </c>
      <c r="BW164" s="674">
        <v>2329.2775690563913</v>
      </c>
      <c r="BX164" s="40">
        <v>1964.139356255245</v>
      </c>
      <c r="BY164" s="52">
        <v>-365.13821280114621</v>
      </c>
      <c r="BZ164" s="674">
        <v>1854.7106843757169</v>
      </c>
      <c r="CA164" s="40">
        <v>938.04170987763507</v>
      </c>
      <c r="CB164" s="52">
        <v>-916.66897449808187</v>
      </c>
      <c r="CC164" s="674">
        <v>0</v>
      </c>
      <c r="CD164" s="40">
        <v>0</v>
      </c>
      <c r="CE164" s="52">
        <v>0</v>
      </c>
      <c r="CF164" s="674">
        <v>0</v>
      </c>
      <c r="CG164" s="40">
        <v>0</v>
      </c>
      <c r="CH164" s="52">
        <v>0</v>
      </c>
      <c r="CI164" s="674">
        <v>51.418143882894121</v>
      </c>
      <c r="CJ164" s="40">
        <v>1082.4054384921008</v>
      </c>
      <c r="CK164" s="52">
        <v>1030.9872946092066</v>
      </c>
      <c r="CL164" s="674">
        <v>0</v>
      </c>
      <c r="CM164" s="40">
        <v>0</v>
      </c>
      <c r="CN164" s="52">
        <v>0</v>
      </c>
      <c r="CO164" s="39">
        <v>51.418143882894121</v>
      </c>
      <c r="CP164" s="40">
        <v>1082.4054384921008</v>
      </c>
      <c r="CQ164" s="52">
        <v>1030.9872946092066</v>
      </c>
      <c r="CR164" s="72">
        <v>16790.256486868377</v>
      </c>
      <c r="CS164" s="5">
        <v>11943.463081849994</v>
      </c>
      <c r="CT164" s="52">
        <v>-4846.7934050183831</v>
      </c>
      <c r="CU164" s="77">
        <v>20148.30778424205</v>
      </c>
      <c r="CV164" s="65">
        <v>14332.155698219993</v>
      </c>
      <c r="CW164" s="35">
        <v>-5816.1520860220571</v>
      </c>
      <c r="CX164" s="73">
        <v>609.10616432431823</v>
      </c>
      <c r="CY164" s="40">
        <v>6425.2582503463809</v>
      </c>
      <c r="CZ164" s="52">
        <v>5816.1520860220626</v>
      </c>
      <c r="DA164" s="150">
        <v>-8997.1472020103993</v>
      </c>
      <c r="DB164" s="2">
        <v>2</v>
      </c>
      <c r="DC164" s="675">
        <v>2803.44</v>
      </c>
      <c r="DD164" s="675">
        <v>0</v>
      </c>
      <c r="DE164" s="675">
        <v>981.10259840567596</v>
      </c>
      <c r="DF164" s="675">
        <v>0</v>
      </c>
      <c r="DG164" s="321">
        <v>-3180.9951159883376</v>
      </c>
      <c r="DH164" s="40">
        <v>20755.849963271838</v>
      </c>
      <c r="DI164" s="422">
        <v>1822.3374015943241</v>
      </c>
      <c r="DJ164" s="306">
        <v>5.3708735679172532</v>
      </c>
      <c r="DK164" s="306">
        <v>5.3708735679172532</v>
      </c>
      <c r="DL164" s="306">
        <v>4.6106554953044894</v>
      </c>
      <c r="DM164" s="28">
        <v>1822.3374015943241</v>
      </c>
      <c r="DN164" s="28">
        <v>0</v>
      </c>
      <c r="DO164" s="423">
        <v>1822.3374015943241</v>
      </c>
      <c r="DP164" s="94">
        <v>0</v>
      </c>
      <c r="DQ164" s="28">
        <v>1822.3374015943241</v>
      </c>
      <c r="DR164" s="318"/>
      <c r="DT164" s="8"/>
      <c r="DU164" s="5"/>
      <c r="DX164" s="5">
        <v>6584.6515601085666</v>
      </c>
      <c r="DY164" s="5">
        <v>150</v>
      </c>
      <c r="DZ164" s="159">
        <v>547.37533299559436</v>
      </c>
      <c r="EB164" s="676">
        <v>-131.18147585776819</v>
      </c>
      <c r="EC164" s="676">
        <v>-572.11155446424334</v>
      </c>
      <c r="ED164" s="676">
        <v>-198.7835621190095</v>
      </c>
      <c r="EE164" s="676">
        <v>-1033.0600799159788</v>
      </c>
      <c r="EF164" s="676">
        <v>-208.33476196506422</v>
      </c>
      <c r="EG164" s="676">
        <v>-645.84803958675411</v>
      </c>
      <c r="EH164" s="676">
        <v>-797.9173484510992</v>
      </c>
      <c r="EI164" s="676">
        <v>242.985165106247</v>
      </c>
      <c r="EJ164" s="676">
        <v>-369.12747101259265</v>
      </c>
      <c r="EK164" s="676">
        <v>-584.27851185774557</v>
      </c>
      <c r="EL164" s="676">
        <v>-612.17074436017765</v>
      </c>
      <c r="EM164" s="676">
        <v>-906.32370153787576</v>
      </c>
      <c r="EN164" s="676">
        <v>-5816.1520860220617</v>
      </c>
      <c r="EQ164" s="5">
        <v>6584.6515601085666</v>
      </c>
      <c r="ER164" s="5">
        <v>150</v>
      </c>
      <c r="ET164" s="318">
        <v>-6903.7461364286846</v>
      </c>
      <c r="EU164" s="5">
        <v>-5146.2489795596512</v>
      </c>
    </row>
    <row r="165" spans="1:151" x14ac:dyDescent="0.3">
      <c r="A165" s="325">
        <v>150001015</v>
      </c>
      <c r="B165" s="41" t="s">
        <v>614</v>
      </c>
      <c r="C165" s="42" t="s">
        <v>100</v>
      </c>
      <c r="D165" s="27">
        <v>1</v>
      </c>
      <c r="E165" s="293">
        <v>346.4</v>
      </c>
      <c r="F165" s="305">
        <v>213.3</v>
      </c>
      <c r="G165" s="508">
        <v>0</v>
      </c>
      <c r="H165" s="677">
        <v>133.1</v>
      </c>
      <c r="I165" s="674">
        <v>0</v>
      </c>
      <c r="J165" s="40">
        <v>0</v>
      </c>
      <c r="K165" s="52">
        <v>0</v>
      </c>
      <c r="L165" s="674">
        <v>0</v>
      </c>
      <c r="M165" s="40">
        <v>0</v>
      </c>
      <c r="N165" s="52">
        <v>0</v>
      </c>
      <c r="O165" s="674">
        <v>483.71089301635004</v>
      </c>
      <c r="P165" s="40">
        <v>483.72</v>
      </c>
      <c r="Q165" s="52">
        <v>9.1069836499855228E-3</v>
      </c>
      <c r="R165" s="674">
        <v>0</v>
      </c>
      <c r="S165" s="40">
        <v>0</v>
      </c>
      <c r="T165" s="52">
        <v>0</v>
      </c>
      <c r="U165" s="674">
        <v>0</v>
      </c>
      <c r="V165" s="40">
        <v>0</v>
      </c>
      <c r="W165" s="52">
        <v>0</v>
      </c>
      <c r="X165" s="674">
        <v>0</v>
      </c>
      <c r="Y165" s="40">
        <v>0</v>
      </c>
      <c r="Z165" s="52">
        <v>0</v>
      </c>
      <c r="AA165" s="674">
        <v>47.76</v>
      </c>
      <c r="AB165" s="40">
        <v>0</v>
      </c>
      <c r="AC165" s="52">
        <v>-47.76</v>
      </c>
      <c r="AD165" s="674">
        <v>419.13171210971205</v>
      </c>
      <c r="AE165" s="40">
        <v>1617.4504345924588</v>
      </c>
      <c r="AF165" s="35">
        <v>1198.3187224827468</v>
      </c>
      <c r="AG165" s="77">
        <v>950.60260512606214</v>
      </c>
      <c r="AH165" s="53">
        <v>2101.1704345924591</v>
      </c>
      <c r="AI165" s="52">
        <v>1150.5678294663969</v>
      </c>
      <c r="AJ165" s="674">
        <v>0</v>
      </c>
      <c r="AK165" s="40">
        <v>0</v>
      </c>
      <c r="AL165" s="52">
        <v>0</v>
      </c>
      <c r="AM165" s="674">
        <v>0</v>
      </c>
      <c r="AN165" s="40">
        <v>0</v>
      </c>
      <c r="AO165" s="52">
        <v>0</v>
      </c>
      <c r="AP165" s="674">
        <v>134.90504732553558</v>
      </c>
      <c r="AQ165" s="40">
        <v>112.26511674782152</v>
      </c>
      <c r="AR165" s="52">
        <v>-22.639930577714054</v>
      </c>
      <c r="AS165" s="674">
        <v>2661.4591221638334</v>
      </c>
      <c r="AT165" s="40">
        <v>687</v>
      </c>
      <c r="AU165" s="54">
        <v>-1974.4591221638334</v>
      </c>
      <c r="AV165" s="674">
        <v>0</v>
      </c>
      <c r="AW165" s="40">
        <v>0</v>
      </c>
      <c r="AX165" s="55">
        <v>0</v>
      </c>
      <c r="AY165" s="674">
        <v>0</v>
      </c>
      <c r="AZ165" s="40">
        <v>0</v>
      </c>
      <c r="BA165" s="35">
        <v>0</v>
      </c>
      <c r="BB165" s="674">
        <v>200.16657580500578</v>
      </c>
      <c r="BC165" s="40">
        <v>0</v>
      </c>
      <c r="BD165" s="55">
        <v>-200.16657580500578</v>
      </c>
      <c r="BE165" s="674">
        <v>0</v>
      </c>
      <c r="BF165" s="40">
        <v>0</v>
      </c>
      <c r="BG165" s="38">
        <v>0</v>
      </c>
      <c r="BH165" s="674">
        <v>0</v>
      </c>
      <c r="BI165" s="40">
        <v>0</v>
      </c>
      <c r="BJ165" s="55">
        <v>0</v>
      </c>
      <c r="BK165" s="674">
        <v>0</v>
      </c>
      <c r="BL165" s="40">
        <v>0</v>
      </c>
      <c r="BM165" s="38">
        <v>0</v>
      </c>
      <c r="BN165" s="674">
        <v>11.94</v>
      </c>
      <c r="BO165" s="40">
        <v>0</v>
      </c>
      <c r="BP165" s="55">
        <v>-11.94</v>
      </c>
      <c r="BQ165" s="77">
        <v>212.10657580500578</v>
      </c>
      <c r="BR165" s="40">
        <v>0</v>
      </c>
      <c r="BS165" s="55">
        <v>-212.10657580500578</v>
      </c>
      <c r="BT165" s="674">
        <v>251.23361291907378</v>
      </c>
      <c r="BU165" s="40">
        <v>325.12194788189714</v>
      </c>
      <c r="BV165" s="52">
        <v>73.888334962823365</v>
      </c>
      <c r="BW165" s="674">
        <v>0</v>
      </c>
      <c r="BX165" s="40">
        <v>8.445782239867297</v>
      </c>
      <c r="BY165" s="52">
        <v>8.445782239867297</v>
      </c>
      <c r="BZ165" s="674">
        <v>0</v>
      </c>
      <c r="CA165" s="40">
        <v>104.48612220450673</v>
      </c>
      <c r="CB165" s="52">
        <v>104.48612220450673</v>
      </c>
      <c r="CC165" s="674">
        <v>0</v>
      </c>
      <c r="CD165" s="40">
        <v>0</v>
      </c>
      <c r="CE165" s="52">
        <v>0</v>
      </c>
      <c r="CF165" s="674">
        <v>0</v>
      </c>
      <c r="CG165" s="40">
        <v>0</v>
      </c>
      <c r="CH165" s="52">
        <v>0</v>
      </c>
      <c r="CI165" s="674">
        <v>0</v>
      </c>
      <c r="CJ165" s="40">
        <v>0</v>
      </c>
      <c r="CK165" s="52">
        <v>0</v>
      </c>
      <c r="CL165" s="674">
        <v>0</v>
      </c>
      <c r="CM165" s="40">
        <v>0</v>
      </c>
      <c r="CN165" s="52">
        <v>0</v>
      </c>
      <c r="CO165" s="39">
        <v>0</v>
      </c>
      <c r="CP165" s="40">
        <v>0</v>
      </c>
      <c r="CQ165" s="52">
        <v>0</v>
      </c>
      <c r="CR165" s="72">
        <v>4210.3069633395107</v>
      </c>
      <c r="CS165" s="5">
        <v>3338.4894036665519</v>
      </c>
      <c r="CT165" s="52">
        <v>-871.81755967295885</v>
      </c>
      <c r="CU165" s="77">
        <v>5052.3683560074123</v>
      </c>
      <c r="CV165" s="65">
        <v>4006.1872843998622</v>
      </c>
      <c r="CW165" s="35">
        <v>-1046.1810716075502</v>
      </c>
      <c r="CX165" s="73">
        <v>1586.5200756416859</v>
      </c>
      <c r="CY165" s="40">
        <v>2632.7011472492363</v>
      </c>
      <c r="CZ165" s="52">
        <v>1046.1810716075504</v>
      </c>
      <c r="DA165" s="150">
        <v>-2684.1559456387122</v>
      </c>
      <c r="DB165" s="2">
        <v>2</v>
      </c>
      <c r="DC165" s="675">
        <v>294.08</v>
      </c>
      <c r="DD165" s="675">
        <v>2944.8399999999997</v>
      </c>
      <c r="DE165" s="675">
        <v>23.189257974564271</v>
      </c>
      <c r="DF165" s="675">
        <v>2775.8031609770956</v>
      </c>
      <c r="DG165" s="321">
        <v>-1637.9748740311613</v>
      </c>
      <c r="DH165" s="40">
        <v>5168.4997489243815</v>
      </c>
      <c r="DI165" s="422">
        <v>439.92758104834002</v>
      </c>
      <c r="DJ165" s="306">
        <v>1.2699987905552541</v>
      </c>
      <c r="DK165" s="306">
        <v>1.2699987905552541</v>
      </c>
      <c r="DL165" s="306">
        <v>1.2699987905552541</v>
      </c>
      <c r="DM165" s="28">
        <v>270.89074202543571</v>
      </c>
      <c r="DN165" s="28">
        <v>169.0368390229043</v>
      </c>
      <c r="DO165" s="423">
        <v>439.92758104834002</v>
      </c>
      <c r="DP165" s="94">
        <v>0</v>
      </c>
      <c r="DQ165" s="28">
        <v>439.92758104834002</v>
      </c>
      <c r="DR165" s="318"/>
      <c r="DT165" s="8"/>
      <c r="DU165" s="5"/>
      <c r="DX165" s="5">
        <v>3448.2788375626069</v>
      </c>
      <c r="DY165" s="5">
        <v>824.4</v>
      </c>
      <c r="DZ165" s="159">
        <v>334.80710852568433</v>
      </c>
      <c r="EB165" s="676">
        <v>-56.330517242295286</v>
      </c>
      <c r="EC165" s="676">
        <v>-102.40639517112851</v>
      </c>
      <c r="ED165" s="676">
        <v>-94.301897280255048</v>
      </c>
      <c r="EE165" s="676">
        <v>-278.3287574319765</v>
      </c>
      <c r="EF165" s="676">
        <v>-197.21036656591633</v>
      </c>
      <c r="EG165" s="676">
        <v>-205.21582917417481</v>
      </c>
      <c r="EH165" s="676">
        <v>749.07110269007603</v>
      </c>
      <c r="EI165" s="676">
        <v>-145.68130394711153</v>
      </c>
      <c r="EJ165" s="676">
        <v>-201.33839273366004</v>
      </c>
      <c r="EK165" s="676">
        <v>-129.18283393397292</v>
      </c>
      <c r="EL165" s="676">
        <v>-176.47663205127645</v>
      </c>
      <c r="EM165" s="676">
        <v>-208.77924876585917</v>
      </c>
      <c r="EN165" s="676">
        <v>-1046.1810716075506</v>
      </c>
      <c r="EQ165" s="5">
        <v>3448.2788375626069</v>
      </c>
      <c r="ER165" s="5">
        <v>824.4</v>
      </c>
      <c r="ET165" s="318">
        <v>-1582.8265656513204</v>
      </c>
      <c r="EU165" s="5">
        <v>-1978.6668917529819</v>
      </c>
    </row>
    <row r="166" spans="1:151" x14ac:dyDescent="0.3">
      <c r="A166" s="325">
        <v>150001016</v>
      </c>
      <c r="B166" s="41" t="s">
        <v>615</v>
      </c>
      <c r="C166" s="42" t="s">
        <v>262</v>
      </c>
      <c r="D166" s="27">
        <v>5</v>
      </c>
      <c r="E166" s="293">
        <v>3298.2799999999997</v>
      </c>
      <c r="F166" s="305">
        <v>2162.08</v>
      </c>
      <c r="G166" s="508">
        <v>0</v>
      </c>
      <c r="H166" s="677">
        <v>1136.2</v>
      </c>
      <c r="I166" s="674">
        <v>5790.4098825038318</v>
      </c>
      <c r="J166" s="40">
        <v>6487.9413633934701</v>
      </c>
      <c r="K166" s="52">
        <v>697.53148088963826</v>
      </c>
      <c r="L166" s="674">
        <v>1181.9170515998549</v>
      </c>
      <c r="M166" s="40">
        <v>1293.6496569036956</v>
      </c>
      <c r="N166" s="52">
        <v>111.73260530384073</v>
      </c>
      <c r="O166" s="674">
        <v>3852.6308055069339</v>
      </c>
      <c r="P166" s="40">
        <v>3852.6299999999992</v>
      </c>
      <c r="Q166" s="52">
        <v>-8.0550693473924184E-4</v>
      </c>
      <c r="R166" s="674">
        <v>1137.7229153176897</v>
      </c>
      <c r="S166" s="40">
        <v>1137.7199999999998</v>
      </c>
      <c r="T166" s="52">
        <v>-2.9153176899399114E-3</v>
      </c>
      <c r="U166" s="674">
        <v>0</v>
      </c>
      <c r="V166" s="40">
        <v>0</v>
      </c>
      <c r="W166" s="52">
        <v>0</v>
      </c>
      <c r="X166" s="674">
        <v>4961.9969698856949</v>
      </c>
      <c r="Y166" s="40">
        <v>3607.5860371899917</v>
      </c>
      <c r="Z166" s="52">
        <v>-1354.4109326957032</v>
      </c>
      <c r="AA166" s="674">
        <v>386.15159999999997</v>
      </c>
      <c r="AB166" s="40">
        <v>0</v>
      </c>
      <c r="AC166" s="52">
        <v>-386.15159999999997</v>
      </c>
      <c r="AD166" s="674">
        <v>13992.37865585082</v>
      </c>
      <c r="AE166" s="40">
        <v>13617.151373654879</v>
      </c>
      <c r="AF166" s="35">
        <v>-375.22728219594137</v>
      </c>
      <c r="AG166" s="77">
        <v>31303.207880664828</v>
      </c>
      <c r="AH166" s="53">
        <v>29996.678431142034</v>
      </c>
      <c r="AI166" s="52">
        <v>-1306.5294495227936</v>
      </c>
      <c r="AJ166" s="674">
        <v>0</v>
      </c>
      <c r="AK166" s="40">
        <v>0</v>
      </c>
      <c r="AL166" s="52">
        <v>0</v>
      </c>
      <c r="AM166" s="674">
        <v>0</v>
      </c>
      <c r="AN166" s="40">
        <v>0</v>
      </c>
      <c r="AO166" s="52">
        <v>0</v>
      </c>
      <c r="AP166" s="674">
        <v>1618.8605679064267</v>
      </c>
      <c r="AQ166" s="40">
        <v>883.9268257783358</v>
      </c>
      <c r="AR166" s="52">
        <v>-734.9337421280909</v>
      </c>
      <c r="AS166" s="674">
        <v>36403.063027426528</v>
      </c>
      <c r="AT166" s="40">
        <v>85573.06</v>
      </c>
      <c r="AU166" s="54">
        <v>49169.99697257347</v>
      </c>
      <c r="AV166" s="674">
        <v>1507.6388193077348</v>
      </c>
      <c r="AW166" s="40">
        <v>856</v>
      </c>
      <c r="AX166" s="55">
        <v>-651.63881930773482</v>
      </c>
      <c r="AY166" s="674">
        <v>1937.4660191634598</v>
      </c>
      <c r="AZ166" s="40">
        <v>780</v>
      </c>
      <c r="BA166" s="35">
        <v>-1157.4660191634598</v>
      </c>
      <c r="BB166" s="674">
        <v>2172.078768122145</v>
      </c>
      <c r="BC166" s="40">
        <v>0</v>
      </c>
      <c r="BD166" s="55">
        <v>-2172.078768122145</v>
      </c>
      <c r="BE166" s="674">
        <v>2338.2266488596674</v>
      </c>
      <c r="BF166" s="40">
        <v>0</v>
      </c>
      <c r="BG166" s="38">
        <v>-2338.2266488596674</v>
      </c>
      <c r="BH166" s="674">
        <v>0</v>
      </c>
      <c r="BI166" s="40">
        <v>0</v>
      </c>
      <c r="BJ166" s="55">
        <v>0</v>
      </c>
      <c r="BK166" s="674">
        <v>1097.6153255859092</v>
      </c>
      <c r="BL166" s="40">
        <v>0</v>
      </c>
      <c r="BM166" s="38">
        <v>-1097.6153255859092</v>
      </c>
      <c r="BN166" s="674">
        <v>96.537899999999993</v>
      </c>
      <c r="BO166" s="40">
        <v>0</v>
      </c>
      <c r="BP166" s="55">
        <v>-96.537899999999993</v>
      </c>
      <c r="BQ166" s="77">
        <v>9149.5634810389165</v>
      </c>
      <c r="BR166" s="40">
        <v>1636</v>
      </c>
      <c r="BS166" s="55">
        <v>-7513.5634810389165</v>
      </c>
      <c r="BT166" s="674">
        <v>34140.816809466138</v>
      </c>
      <c r="BU166" s="40">
        <v>35920.695878675149</v>
      </c>
      <c r="BV166" s="52">
        <v>1779.8790692090115</v>
      </c>
      <c r="BW166" s="674">
        <v>14010.790247017763</v>
      </c>
      <c r="BX166" s="40">
        <v>11331.163265316194</v>
      </c>
      <c r="BY166" s="52">
        <v>-2679.6269817015691</v>
      </c>
      <c r="BZ166" s="674">
        <v>15244.278089595364</v>
      </c>
      <c r="CA166" s="40">
        <v>9580.7085450945488</v>
      </c>
      <c r="CB166" s="52">
        <v>-5663.569544500815</v>
      </c>
      <c r="CC166" s="674">
        <v>0</v>
      </c>
      <c r="CD166" s="40">
        <v>0</v>
      </c>
      <c r="CE166" s="52">
        <v>0</v>
      </c>
      <c r="CF166" s="674">
        <v>0</v>
      </c>
      <c r="CG166" s="40">
        <v>0</v>
      </c>
      <c r="CH166" s="52">
        <v>0</v>
      </c>
      <c r="CI166" s="674">
        <v>3587.4521866867253</v>
      </c>
      <c r="CJ166" s="40">
        <v>2567.3309795311707</v>
      </c>
      <c r="CK166" s="52">
        <v>-1020.1212071555547</v>
      </c>
      <c r="CL166" s="674">
        <v>0</v>
      </c>
      <c r="CM166" s="40">
        <v>0</v>
      </c>
      <c r="CN166" s="52">
        <v>0</v>
      </c>
      <c r="CO166" s="39">
        <v>3587.4521866867253</v>
      </c>
      <c r="CP166" s="40">
        <v>2567.3309795311707</v>
      </c>
      <c r="CQ166" s="52">
        <v>-1020.1212071555547</v>
      </c>
      <c r="CR166" s="72">
        <v>145458.03228980268</v>
      </c>
      <c r="CS166" s="5">
        <v>177489.56392553746</v>
      </c>
      <c r="CT166" s="52">
        <v>32031.531635734777</v>
      </c>
      <c r="CU166" s="77">
        <v>174549.63874776321</v>
      </c>
      <c r="CV166" s="65">
        <v>212987.47671064493</v>
      </c>
      <c r="CW166" s="35">
        <v>38437.83796288172</v>
      </c>
      <c r="CX166" s="73">
        <v>4578.0822813370296</v>
      </c>
      <c r="CY166" s="40">
        <v>-33859.755681544651</v>
      </c>
      <c r="CZ166" s="52">
        <v>-38437.837962881684</v>
      </c>
      <c r="DA166" s="150">
        <v>51009.174769531222</v>
      </c>
      <c r="DB166" s="2">
        <v>2</v>
      </c>
      <c r="DC166" s="675">
        <v>47012.13</v>
      </c>
      <c r="DD166" s="675">
        <v>17929.709999999995</v>
      </c>
      <c r="DE166" s="675">
        <v>36156.626240125421</v>
      </c>
      <c r="DF166" s="675">
        <v>13053.831419640679</v>
      </c>
      <c r="DG166" s="321">
        <v>12571.336806649542</v>
      </c>
      <c r="DH166" s="40">
        <v>179114.24187859453</v>
      </c>
      <c r="DI166" s="422">
        <v>15731.382340233888</v>
      </c>
      <c r="DJ166" s="306">
        <v>5.0208612816706939</v>
      </c>
      <c r="DK166" s="306">
        <v>5.0208612816706939</v>
      </c>
      <c r="DL166" s="306">
        <v>4.2913911110361864</v>
      </c>
      <c r="DM166" s="28">
        <v>10855.503759874573</v>
      </c>
      <c r="DN166" s="28">
        <v>4875.8785803593155</v>
      </c>
      <c r="DO166" s="423">
        <v>15731.382340233889</v>
      </c>
      <c r="DP166" s="94">
        <v>0</v>
      </c>
      <c r="DQ166" s="28">
        <v>15731.382340233889</v>
      </c>
      <c r="DR166" s="318"/>
      <c r="DT166" s="8"/>
      <c r="DU166" s="5"/>
      <c r="DX166" s="5">
        <v>54663.151810158532</v>
      </c>
      <c r="DY166" s="5">
        <v>104650.87199999999</v>
      </c>
      <c r="DZ166" s="159">
        <v>4728.4733422940899</v>
      </c>
      <c r="EB166" s="676">
        <v>-2290.3787237694323</v>
      </c>
      <c r="EC166" s="676">
        <v>-3286.6517174718028</v>
      </c>
      <c r="ED166" s="676">
        <v>-3212.4177322401156</v>
      </c>
      <c r="EE166" s="676">
        <v>-8983.5823305086178</v>
      </c>
      <c r="EF166" s="676">
        <v>-6792.380677926416</v>
      </c>
      <c r="EG166" s="676">
        <v>-6405.0595886890933</v>
      </c>
      <c r="EH166" s="676">
        <v>-8207.0114595966497</v>
      </c>
      <c r="EI166" s="676">
        <v>-285.22831383677658</v>
      </c>
      <c r="EJ166" s="676">
        <v>78874.495576376125</v>
      </c>
      <c r="EK166" s="676">
        <v>-3461.9036909481783</v>
      </c>
      <c r="EL166" s="676">
        <v>8657.8377449088257</v>
      </c>
      <c r="EM166" s="676">
        <v>-6169.8811234161858</v>
      </c>
      <c r="EN166" s="676">
        <v>38437.837962881677</v>
      </c>
      <c r="EQ166" s="5">
        <v>54663.151810158532</v>
      </c>
      <c r="ER166" s="5">
        <v>104650.87199999999</v>
      </c>
      <c r="ET166" s="318">
        <v>-27332.028424038879</v>
      </c>
      <c r="EU166" s="5">
        <v>-29016.634769311589</v>
      </c>
    </row>
    <row r="167" spans="1:151" x14ac:dyDescent="0.3">
      <c r="A167" s="325">
        <v>150001007</v>
      </c>
      <c r="B167" s="41" t="s">
        <v>616</v>
      </c>
      <c r="C167" s="42" t="s">
        <v>214</v>
      </c>
      <c r="D167" s="27">
        <v>4</v>
      </c>
      <c r="E167" s="293">
        <v>2046.1999999999998</v>
      </c>
      <c r="F167" s="305">
        <v>2000.1</v>
      </c>
      <c r="G167" s="508">
        <v>0</v>
      </c>
      <c r="H167" s="677">
        <v>46.1</v>
      </c>
      <c r="I167" s="674">
        <v>7644.0844205985959</v>
      </c>
      <c r="J167" s="40">
        <v>8338.3380847217086</v>
      </c>
      <c r="K167" s="52">
        <v>694.25366412311269</v>
      </c>
      <c r="L167" s="674">
        <v>1427.4175947640877</v>
      </c>
      <c r="M167" s="40">
        <v>1562.3601096698314</v>
      </c>
      <c r="N167" s="52">
        <v>134.94251490574379</v>
      </c>
      <c r="O167" s="674">
        <v>2708.6508196120444</v>
      </c>
      <c r="P167" s="40">
        <v>2708.6399999999994</v>
      </c>
      <c r="Q167" s="52">
        <v>-1.0819612044997484E-2</v>
      </c>
      <c r="R167" s="674">
        <v>0</v>
      </c>
      <c r="S167" s="40">
        <v>0</v>
      </c>
      <c r="T167" s="52">
        <v>0</v>
      </c>
      <c r="U167" s="674">
        <v>0</v>
      </c>
      <c r="V167" s="40">
        <v>0</v>
      </c>
      <c r="W167" s="52">
        <v>0</v>
      </c>
      <c r="X167" s="674">
        <v>3746.6079515572947</v>
      </c>
      <c r="Y167" s="40">
        <v>2965.0598454961892</v>
      </c>
      <c r="Z167" s="52">
        <v>-781.5481060611055</v>
      </c>
      <c r="AA167" s="674">
        <v>245.54399999999998</v>
      </c>
      <c r="AB167" s="40">
        <v>0</v>
      </c>
      <c r="AC167" s="52">
        <v>-245.54399999999998</v>
      </c>
      <c r="AD167" s="674">
        <v>8770.3645701069454</v>
      </c>
      <c r="AE167" s="40">
        <v>8693.7346333242022</v>
      </c>
      <c r="AF167" s="35">
        <v>-76.629936782743243</v>
      </c>
      <c r="AG167" s="77">
        <v>24542.669356638966</v>
      </c>
      <c r="AH167" s="53">
        <v>24268.132673211931</v>
      </c>
      <c r="AI167" s="52">
        <v>-274.53668342703531</v>
      </c>
      <c r="AJ167" s="674">
        <v>0</v>
      </c>
      <c r="AK167" s="40">
        <v>0</v>
      </c>
      <c r="AL167" s="52">
        <v>0</v>
      </c>
      <c r="AM167" s="674">
        <v>0</v>
      </c>
      <c r="AN167" s="40">
        <v>0</v>
      </c>
      <c r="AO167" s="52">
        <v>0</v>
      </c>
      <c r="AP167" s="674">
        <v>6340.5372243001721</v>
      </c>
      <c r="AQ167" s="40">
        <v>5244.1568463527292</v>
      </c>
      <c r="AR167" s="52">
        <v>-1096.3803779474429</v>
      </c>
      <c r="AS167" s="674">
        <v>22546.156891823961</v>
      </c>
      <c r="AT167" s="40">
        <v>25000</v>
      </c>
      <c r="AU167" s="54">
        <v>2453.8431081760391</v>
      </c>
      <c r="AV167" s="674">
        <v>1678.4240044567275</v>
      </c>
      <c r="AW167" s="40">
        <v>0</v>
      </c>
      <c r="AX167" s="55">
        <v>-1678.4240044567275</v>
      </c>
      <c r="AY167" s="674">
        <v>2340.1001155928529</v>
      </c>
      <c r="AZ167" s="40">
        <v>0</v>
      </c>
      <c r="BA167" s="35">
        <v>-2340.1001155928529</v>
      </c>
      <c r="BB167" s="674">
        <v>1245.8318706625034</v>
      </c>
      <c r="BC167" s="40">
        <v>0</v>
      </c>
      <c r="BD167" s="55">
        <v>-1245.8318706625034</v>
      </c>
      <c r="BE167" s="674">
        <v>0</v>
      </c>
      <c r="BF167" s="40">
        <v>0</v>
      </c>
      <c r="BG167" s="38">
        <v>0</v>
      </c>
      <c r="BH167" s="674">
        <v>0</v>
      </c>
      <c r="BI167" s="40">
        <v>0</v>
      </c>
      <c r="BJ167" s="55">
        <v>0</v>
      </c>
      <c r="BK167" s="674">
        <v>738.61415356212558</v>
      </c>
      <c r="BL167" s="40">
        <v>1454</v>
      </c>
      <c r="BM167" s="38">
        <v>715.38584643787442</v>
      </c>
      <c r="BN167" s="674">
        <v>61.385999999999996</v>
      </c>
      <c r="BO167" s="40">
        <v>0</v>
      </c>
      <c r="BP167" s="55">
        <v>-61.385999999999996</v>
      </c>
      <c r="BQ167" s="77">
        <v>6064.3561442742093</v>
      </c>
      <c r="BR167" s="40">
        <v>1454</v>
      </c>
      <c r="BS167" s="55">
        <v>-4610.3561442742093</v>
      </c>
      <c r="BT167" s="674">
        <v>11793.123714297009</v>
      </c>
      <c r="BU167" s="40">
        <v>16441.824989799014</v>
      </c>
      <c r="BV167" s="52">
        <v>4648.7012755020041</v>
      </c>
      <c r="BW167" s="674">
        <v>10041.706177573855</v>
      </c>
      <c r="BX167" s="40">
        <v>9443.0206254281657</v>
      </c>
      <c r="BY167" s="52">
        <v>-598.68555214568914</v>
      </c>
      <c r="BZ167" s="674">
        <v>6956.3298553906243</v>
      </c>
      <c r="CA167" s="40">
        <v>3770.1249665558353</v>
      </c>
      <c r="CB167" s="52">
        <v>-3186.204888834789</v>
      </c>
      <c r="CC167" s="674">
        <v>1896.930656686767</v>
      </c>
      <c r="CD167" s="40">
        <v>1993.7140681587464</v>
      </c>
      <c r="CE167" s="52">
        <v>96.783411471979434</v>
      </c>
      <c r="CF167" s="674">
        <v>231.84412468741914</v>
      </c>
      <c r="CG167" s="40">
        <v>0</v>
      </c>
      <c r="CH167" s="52">
        <v>-231.84412468741914</v>
      </c>
      <c r="CI167" s="674">
        <v>3419.1614672722553</v>
      </c>
      <c r="CJ167" s="40">
        <v>2871.5989026839816</v>
      </c>
      <c r="CK167" s="52">
        <v>-547.56256458827374</v>
      </c>
      <c r="CL167" s="674">
        <v>0</v>
      </c>
      <c r="CM167" s="40">
        <v>0</v>
      </c>
      <c r="CN167" s="52">
        <v>0</v>
      </c>
      <c r="CO167" s="39">
        <v>3419.1614672722553</v>
      </c>
      <c r="CP167" s="40">
        <v>2871.5989026839816</v>
      </c>
      <c r="CQ167" s="52">
        <v>-547.56256458827374</v>
      </c>
      <c r="CR167" s="72">
        <v>93832.815612945211</v>
      </c>
      <c r="CS167" s="5">
        <v>90486.573072190396</v>
      </c>
      <c r="CT167" s="52">
        <v>-3346.2425407548144</v>
      </c>
      <c r="CU167" s="77">
        <v>112599.37873553425</v>
      </c>
      <c r="CV167" s="65">
        <v>108583.88768662847</v>
      </c>
      <c r="CW167" s="35">
        <v>-4015.4910489057802</v>
      </c>
      <c r="CX167" s="73">
        <v>2504.9567900280008</v>
      </c>
      <c r="CY167" s="40">
        <v>6520.4478389337801</v>
      </c>
      <c r="CZ167" s="52">
        <v>4015.4910489057793</v>
      </c>
      <c r="DA167" s="150">
        <v>29835.532150821738</v>
      </c>
      <c r="DB167" s="2">
        <v>2</v>
      </c>
      <c r="DC167" s="675">
        <v>14365.34</v>
      </c>
      <c r="DD167" s="675">
        <v>-11.04</v>
      </c>
      <c r="DE167" s="675">
        <v>4467.287615252757</v>
      </c>
      <c r="DF167" s="675">
        <v>-213.19127863036988</v>
      </c>
      <c r="DG167" s="321">
        <v>33851.023199727519</v>
      </c>
      <c r="DH167" s="40">
        <v>115095.64657252096</v>
      </c>
      <c r="DI167" s="422">
        <v>10100.203663377613</v>
      </c>
      <c r="DJ167" s="306">
        <v>4.94877875343595</v>
      </c>
      <c r="DK167" s="306">
        <v>4.94877875343595</v>
      </c>
      <c r="DL167" s="306">
        <v>4.385060273977655</v>
      </c>
      <c r="DM167" s="28">
        <v>9898.0523847472432</v>
      </c>
      <c r="DN167" s="28">
        <v>202.15127863036989</v>
      </c>
      <c r="DO167" s="423">
        <v>10100.203663377613</v>
      </c>
      <c r="DP167" s="94">
        <v>0</v>
      </c>
      <c r="DQ167" s="28">
        <v>10100.203663377613</v>
      </c>
      <c r="DR167" s="318"/>
      <c r="DT167" s="8"/>
      <c r="DU167" s="5"/>
      <c r="DX167" s="5">
        <v>34332.615643317804</v>
      </c>
      <c r="DY167" s="5">
        <v>31744.799999999999</v>
      </c>
      <c r="DZ167" s="159">
        <v>3109.1633397558526</v>
      </c>
      <c r="EB167" s="676">
        <v>-1441.7121118873711</v>
      </c>
      <c r="EC167" s="676">
        <v>-1970.3377757040353</v>
      </c>
      <c r="ED167" s="676">
        <v>-1297.8023069586025</v>
      </c>
      <c r="EE167" s="676">
        <v>-772.61289345441583</v>
      </c>
      <c r="EF167" s="676">
        <v>-3843.6621701403283</v>
      </c>
      <c r="EG167" s="676">
        <v>-4455.5390915382277</v>
      </c>
      <c r="EH167" s="676">
        <v>-4570.2940278117312</v>
      </c>
      <c r="EI167" s="676">
        <v>3626.4409394605791</v>
      </c>
      <c r="EJ167" s="676">
        <v>-3477.8534174908355</v>
      </c>
      <c r="EK167" s="676">
        <v>1361.5591048359274</v>
      </c>
      <c r="EL167" s="676">
        <v>-3474.5374271985447</v>
      </c>
      <c r="EM167" s="676">
        <v>16300.860128981802</v>
      </c>
      <c r="EN167" s="676">
        <v>-4015.491048905782</v>
      </c>
      <c r="EQ167" s="5">
        <v>34332.615643317804</v>
      </c>
      <c r="ER167" s="5">
        <v>31744.799999999999</v>
      </c>
      <c r="ET167" s="318">
        <v>-25599.819526009393</v>
      </c>
      <c r="EU167" s="5">
        <v>47305.842725736919</v>
      </c>
    </row>
    <row r="168" spans="1:151" ht="15.6" customHeight="1" x14ac:dyDescent="0.3">
      <c r="A168" s="325">
        <v>150001018</v>
      </c>
      <c r="B168" s="41" t="s">
        <v>852</v>
      </c>
      <c r="C168" s="43" t="s">
        <v>430</v>
      </c>
      <c r="D168" s="29">
        <v>5</v>
      </c>
      <c r="E168" s="293">
        <v>2816.07</v>
      </c>
      <c r="F168" s="305">
        <v>2338.0700000000002</v>
      </c>
      <c r="G168" s="508">
        <v>0</v>
      </c>
      <c r="H168" s="677">
        <v>478</v>
      </c>
      <c r="I168" s="674">
        <v>6167.5495282833926</v>
      </c>
      <c r="J168" s="40">
        <v>6851.7496263637349</v>
      </c>
      <c r="K168" s="52">
        <v>684.20009808034229</v>
      </c>
      <c r="L168" s="674">
        <v>1263.4314522814936</v>
      </c>
      <c r="M168" s="40">
        <v>1382.8800548687755</v>
      </c>
      <c r="N168" s="52">
        <v>119.44860258728181</v>
      </c>
      <c r="O168" s="674">
        <v>3420.8100000000004</v>
      </c>
      <c r="P168" s="40">
        <v>3420.8100000000004</v>
      </c>
      <c r="Q168" s="52">
        <v>0</v>
      </c>
      <c r="R168" s="674">
        <v>1010.7299999999998</v>
      </c>
      <c r="S168" s="40">
        <v>1010.7299999999998</v>
      </c>
      <c r="T168" s="52">
        <v>0</v>
      </c>
      <c r="U168" s="674">
        <v>0</v>
      </c>
      <c r="V168" s="40">
        <v>0</v>
      </c>
      <c r="W168" s="52">
        <v>0</v>
      </c>
      <c r="X168" s="674">
        <v>4868.7376609667535</v>
      </c>
      <c r="Y168" s="40">
        <v>5115.4616464842948</v>
      </c>
      <c r="Z168" s="52">
        <v>246.72398551754122</v>
      </c>
      <c r="AA168" s="674">
        <v>329.96999999999997</v>
      </c>
      <c r="AB168" s="40">
        <v>0</v>
      </c>
      <c r="AC168" s="52">
        <v>-329.96999999999997</v>
      </c>
      <c r="AD168" s="674">
        <v>11977.680679282394</v>
      </c>
      <c r="AE168" s="40">
        <v>11964.698117908947</v>
      </c>
      <c r="AF168" s="35">
        <v>-12.982561373446515</v>
      </c>
      <c r="AG168" s="77">
        <v>29038.909320814033</v>
      </c>
      <c r="AH168" s="53">
        <v>29746.32944562575</v>
      </c>
      <c r="AI168" s="52">
        <v>707.42012481171696</v>
      </c>
      <c r="AJ168" s="674">
        <v>0</v>
      </c>
      <c r="AK168" s="40">
        <v>0</v>
      </c>
      <c r="AL168" s="52">
        <v>0</v>
      </c>
      <c r="AM168" s="674">
        <v>0</v>
      </c>
      <c r="AN168" s="40">
        <v>0</v>
      </c>
      <c r="AO168" s="52">
        <v>0</v>
      </c>
      <c r="AP168" s="674">
        <v>1483.9555205808913</v>
      </c>
      <c r="AQ168" s="40">
        <v>1233.1495860165594</v>
      </c>
      <c r="AR168" s="52">
        <v>-250.80593456433189</v>
      </c>
      <c r="AS168" s="674">
        <v>31040.743838557893</v>
      </c>
      <c r="AT168" s="40">
        <v>508.01103647457523</v>
      </c>
      <c r="AU168" s="54">
        <v>-30532.732802083319</v>
      </c>
      <c r="AV168" s="674">
        <v>1483.956280566108</v>
      </c>
      <c r="AW168" s="40">
        <v>0</v>
      </c>
      <c r="AX168" s="55">
        <v>-1483.956280566108</v>
      </c>
      <c r="AY168" s="674">
        <v>2071.2759688314545</v>
      </c>
      <c r="AZ168" s="40">
        <v>1643</v>
      </c>
      <c r="BA168" s="35">
        <v>-428.27596883145452</v>
      </c>
      <c r="BB168" s="674">
        <v>1929.9816794178382</v>
      </c>
      <c r="BC168" s="40">
        <v>245</v>
      </c>
      <c r="BD168" s="55">
        <v>-1684.9816794178382</v>
      </c>
      <c r="BE168" s="674">
        <v>2099.6502374411339</v>
      </c>
      <c r="BF168" s="40">
        <v>0</v>
      </c>
      <c r="BG168" s="38">
        <v>-2099.6502374411339</v>
      </c>
      <c r="BH168" s="674">
        <v>0</v>
      </c>
      <c r="BI168" s="40">
        <v>0</v>
      </c>
      <c r="BJ168" s="55">
        <v>0</v>
      </c>
      <c r="BK168" s="674">
        <v>1065.8065425794296</v>
      </c>
      <c r="BL168" s="40">
        <v>0</v>
      </c>
      <c r="BM168" s="38">
        <v>-1065.8065425794296</v>
      </c>
      <c r="BN168" s="674">
        <v>82.5</v>
      </c>
      <c r="BO168" s="40">
        <v>0</v>
      </c>
      <c r="BP168" s="55">
        <v>-82.5</v>
      </c>
      <c r="BQ168" s="77">
        <v>8733.1707088359653</v>
      </c>
      <c r="BR168" s="40">
        <v>1888</v>
      </c>
      <c r="BS168" s="55">
        <v>-6845.1707088359653</v>
      </c>
      <c r="BT168" s="674">
        <v>29413.333977897517</v>
      </c>
      <c r="BU168" s="40">
        <v>35703.375785850323</v>
      </c>
      <c r="BV168" s="52">
        <v>6290.0418079528063</v>
      </c>
      <c r="BW168" s="674">
        <v>18971.212634695541</v>
      </c>
      <c r="BX168" s="40">
        <v>16553.235050703606</v>
      </c>
      <c r="BY168" s="52">
        <v>-2417.9775839919348</v>
      </c>
      <c r="BZ168" s="674">
        <v>12572.904658849404</v>
      </c>
      <c r="CA168" s="40">
        <v>8097.9279699889721</v>
      </c>
      <c r="CB168" s="52">
        <v>-4474.9766888604318</v>
      </c>
      <c r="CC168" s="674">
        <v>1622.9205186244528</v>
      </c>
      <c r="CD168" s="40">
        <v>1705.7266566139879</v>
      </c>
      <c r="CE168" s="52">
        <v>82.806137989535046</v>
      </c>
      <c r="CF168" s="674">
        <v>198.34760172460125</v>
      </c>
      <c r="CG168" s="40">
        <v>0</v>
      </c>
      <c r="CH168" s="52">
        <v>-198.34760172460125</v>
      </c>
      <c r="CI168" s="674">
        <v>622.05246036971721</v>
      </c>
      <c r="CJ168" s="40">
        <v>855.66881575479147</v>
      </c>
      <c r="CK168" s="52">
        <v>233.61635538507426</v>
      </c>
      <c r="CL168" s="674">
        <v>0</v>
      </c>
      <c r="CM168" s="40">
        <v>0</v>
      </c>
      <c r="CN168" s="52">
        <v>0</v>
      </c>
      <c r="CO168" s="39">
        <v>622.05246036971721</v>
      </c>
      <c r="CP168" s="40">
        <v>855.66881575479147</v>
      </c>
      <c r="CQ168" s="52">
        <v>233.61635538507426</v>
      </c>
      <c r="CR168" s="72">
        <v>133697.55124095004</v>
      </c>
      <c r="CS168" s="5">
        <v>96291.424347028558</v>
      </c>
      <c r="CT168" s="52">
        <v>-37406.126893921479</v>
      </c>
      <c r="CU168" s="77">
        <v>160437.06148914003</v>
      </c>
      <c r="CV168" s="65">
        <v>115549.70921643426</v>
      </c>
      <c r="CW168" s="35">
        <v>-44887.352272705772</v>
      </c>
      <c r="CX168" s="73">
        <v>6762.6825667455323</v>
      </c>
      <c r="CY168" s="40">
        <v>51650.034839451298</v>
      </c>
      <c r="CZ168" s="52">
        <v>44887.352272705764</v>
      </c>
      <c r="DA168" s="150">
        <v>145311.51184811577</v>
      </c>
      <c r="DB168" s="2">
        <v>2</v>
      </c>
      <c r="DC168" s="675">
        <v>22285.82</v>
      </c>
      <c r="DD168" s="675">
        <v>14468.239999999998</v>
      </c>
      <c r="DE168" s="675">
        <v>9705.132943999999</v>
      </c>
      <c r="DF168" s="675">
        <v>12340.088399999997</v>
      </c>
      <c r="DG168" s="321">
        <v>190198.86412082153</v>
      </c>
      <c r="DH168" s="40">
        <v>167187.2434746084</v>
      </c>
      <c r="DI168" s="422">
        <v>14708.911532078404</v>
      </c>
      <c r="DJ168" s="306">
        <v>5.3807999999999998</v>
      </c>
      <c r="DK168" s="306">
        <v>5.3807999999999998</v>
      </c>
      <c r="DL168" s="306">
        <v>4.4522000000000004</v>
      </c>
      <c r="DM168" s="28">
        <v>12580.687056000001</v>
      </c>
      <c r="DN168" s="28">
        <v>2128.1516000000001</v>
      </c>
      <c r="DO168" s="423">
        <v>14708.838656</v>
      </c>
      <c r="DP168" s="94">
        <v>7.2876078404078726E-2</v>
      </c>
      <c r="DQ168" s="28">
        <v>14708.838656</v>
      </c>
      <c r="DR168" s="318"/>
      <c r="DT168" s="8"/>
      <c r="DU168" s="5"/>
      <c r="DX168" s="5">
        <v>47728.697456872622</v>
      </c>
      <c r="DY168" s="5">
        <v>2875.21324376949</v>
      </c>
      <c r="DZ168" s="159">
        <v>4319.1674313191816</v>
      </c>
      <c r="EB168" s="676">
        <v>-884.513328991874</v>
      </c>
      <c r="EC168" s="676">
        <v>-1581.9941517984971</v>
      </c>
      <c r="ED168" s="676">
        <v>1388.4413640101338</v>
      </c>
      <c r="EE168" s="676">
        <v>-2525.933257658382</v>
      </c>
      <c r="EF168" s="676">
        <v>-7564.9556033198187</v>
      </c>
      <c r="EG168" s="676">
        <v>-5717.0937182470443</v>
      </c>
      <c r="EH168" s="676">
        <v>-5393.7322400867779</v>
      </c>
      <c r="EI168" s="676">
        <v>-6099.3524973402718</v>
      </c>
      <c r="EJ168" s="676">
        <v>-4306.7972247518555</v>
      </c>
      <c r="EK168" s="676">
        <v>-2250.939335669651</v>
      </c>
      <c r="EL168" s="676">
        <v>-4580.833389470612</v>
      </c>
      <c r="EM168" s="676">
        <v>-5369.6488893811074</v>
      </c>
      <c r="EN168" s="676">
        <v>-44887.352272705757</v>
      </c>
      <c r="EQ168" s="5">
        <v>47728.697456872622</v>
      </c>
      <c r="ER168" s="5">
        <v>2875.21324376949</v>
      </c>
      <c r="ET168" s="318">
        <v>-14899.612579423943</v>
      </c>
      <c r="EU168" s="5">
        <v>273973.47670024546</v>
      </c>
    </row>
    <row r="169" spans="1:151" x14ac:dyDescent="0.3">
      <c r="A169" s="325">
        <v>150001019</v>
      </c>
      <c r="B169" s="41" t="s">
        <v>617</v>
      </c>
      <c r="C169" s="42" t="s">
        <v>420</v>
      </c>
      <c r="D169" s="27">
        <v>10</v>
      </c>
      <c r="E169" s="293">
        <v>6921.8</v>
      </c>
      <c r="F169" s="305">
        <v>6921.8</v>
      </c>
      <c r="G169" s="508">
        <v>646.79999999999995</v>
      </c>
      <c r="H169" s="677">
        <v>0</v>
      </c>
      <c r="I169" s="674">
        <v>24505.569807424596</v>
      </c>
      <c r="J169" s="40">
        <v>20301.968509981238</v>
      </c>
      <c r="K169" s="52">
        <v>-4203.6012974433579</v>
      </c>
      <c r="L169" s="674">
        <v>3852.1250045660267</v>
      </c>
      <c r="M169" s="40">
        <v>3069.0808750835745</v>
      </c>
      <c r="N169" s="52">
        <v>-783.04412948245226</v>
      </c>
      <c r="O169" s="674">
        <v>9881.1748460772778</v>
      </c>
      <c r="P169" s="40">
        <v>9881.1900000000023</v>
      </c>
      <c r="Q169" s="52">
        <v>1.5153922724493896E-2</v>
      </c>
      <c r="R169" s="674">
        <v>2076.0509538373458</v>
      </c>
      <c r="S169" s="40">
        <v>2076.0300000000007</v>
      </c>
      <c r="T169" s="52">
        <v>-2.0953837345132342E-2</v>
      </c>
      <c r="U169" s="674">
        <v>1145.5908851177551</v>
      </c>
      <c r="V169" s="40">
        <v>500.93571161079137</v>
      </c>
      <c r="W169" s="52">
        <v>-644.65517350696371</v>
      </c>
      <c r="X169" s="674">
        <v>10282.000964476669</v>
      </c>
      <c r="Y169" s="40">
        <v>7477.9504968071324</v>
      </c>
      <c r="Z169" s="52">
        <v>-2804.0504676695364</v>
      </c>
      <c r="AA169" s="674">
        <v>830.64</v>
      </c>
      <c r="AB169" s="40">
        <v>0</v>
      </c>
      <c r="AC169" s="52">
        <v>-830.64</v>
      </c>
      <c r="AD169" s="674">
        <v>29677.428090157329</v>
      </c>
      <c r="AE169" s="40">
        <v>29408.802846712664</v>
      </c>
      <c r="AF169" s="35">
        <v>-268.6252434446651</v>
      </c>
      <c r="AG169" s="77">
        <v>82250.580551656996</v>
      </c>
      <c r="AH169" s="53">
        <v>72715.958440195405</v>
      </c>
      <c r="AI169" s="52">
        <v>-9534.622111461591</v>
      </c>
      <c r="AJ169" s="674">
        <v>50891.976209182103</v>
      </c>
      <c r="AK169" s="40">
        <v>50557.726428945243</v>
      </c>
      <c r="AL169" s="52">
        <v>-334.24978023685981</v>
      </c>
      <c r="AM169" s="674">
        <v>0</v>
      </c>
      <c r="AN169" s="40">
        <v>0</v>
      </c>
      <c r="AO169" s="52">
        <v>0</v>
      </c>
      <c r="AP169" s="674">
        <v>5306.2651948044004</v>
      </c>
      <c r="AQ169" s="40">
        <v>4278.2974665696784</v>
      </c>
      <c r="AR169" s="52">
        <v>-1027.967728234722</v>
      </c>
      <c r="AS169" s="674">
        <v>89925.777895357722</v>
      </c>
      <c r="AT169" s="40">
        <v>189789.02</v>
      </c>
      <c r="AU169" s="54">
        <v>99863.242104642268</v>
      </c>
      <c r="AV169" s="674">
        <v>3807.4869363320963</v>
      </c>
      <c r="AW169" s="40">
        <v>2522</v>
      </c>
      <c r="AX169" s="55">
        <v>-1285.4869363320963</v>
      </c>
      <c r="AY169" s="674">
        <v>4158.1867710400766</v>
      </c>
      <c r="AZ169" s="40">
        <v>0</v>
      </c>
      <c r="BA169" s="35">
        <v>-4158.1867710400766</v>
      </c>
      <c r="BB169" s="674">
        <v>2660.7947620307186</v>
      </c>
      <c r="BC169" s="40">
        <v>0</v>
      </c>
      <c r="BD169" s="55">
        <v>-2660.7947620307186</v>
      </c>
      <c r="BE169" s="674">
        <v>2907.3016402613152</v>
      </c>
      <c r="BF169" s="40">
        <v>0</v>
      </c>
      <c r="BG169" s="38">
        <v>-2907.3016402613152</v>
      </c>
      <c r="BH169" s="674">
        <v>1480.0607281226878</v>
      </c>
      <c r="BI169" s="40">
        <v>0</v>
      </c>
      <c r="BJ169" s="55">
        <v>-1480.0607281226878</v>
      </c>
      <c r="BK169" s="674">
        <v>2318.8143612142917</v>
      </c>
      <c r="BL169" s="40">
        <v>0</v>
      </c>
      <c r="BM169" s="38">
        <v>-2318.8143612142917</v>
      </c>
      <c r="BN169" s="674">
        <v>657.28523718570466</v>
      </c>
      <c r="BO169" s="40">
        <v>0</v>
      </c>
      <c r="BP169" s="55">
        <v>-657.28523718570466</v>
      </c>
      <c r="BQ169" s="77">
        <v>17989.930436186889</v>
      </c>
      <c r="BR169" s="40">
        <v>2522</v>
      </c>
      <c r="BS169" s="55">
        <v>-15467.930436186889</v>
      </c>
      <c r="BT169" s="674">
        <v>83500.18565643084</v>
      </c>
      <c r="BU169" s="40">
        <v>80931.854028608752</v>
      </c>
      <c r="BV169" s="52">
        <v>-2568.3316278220882</v>
      </c>
      <c r="BW169" s="674">
        <v>63097.618024268464</v>
      </c>
      <c r="BX169" s="40">
        <v>55463.977329760331</v>
      </c>
      <c r="BY169" s="52">
        <v>-7633.6406945081326</v>
      </c>
      <c r="BZ169" s="674">
        <v>17186.702139260138</v>
      </c>
      <c r="CA169" s="40">
        <v>19379.805753593133</v>
      </c>
      <c r="CB169" s="52">
        <v>2193.1036143329948</v>
      </c>
      <c r="CC169" s="674">
        <v>1499.2426349761686</v>
      </c>
      <c r="CD169" s="40">
        <v>1562.6091802884987</v>
      </c>
      <c r="CE169" s="52">
        <v>63.366545312330118</v>
      </c>
      <c r="CF169" s="674">
        <v>181.71199341894118</v>
      </c>
      <c r="CG169" s="40">
        <v>0</v>
      </c>
      <c r="CH169" s="52">
        <v>-181.71199341894118</v>
      </c>
      <c r="CI169" s="674">
        <v>12652.24424329564</v>
      </c>
      <c r="CJ169" s="40">
        <v>13338.080600412984</v>
      </c>
      <c r="CK169" s="52">
        <v>685.83635711734496</v>
      </c>
      <c r="CL169" s="674">
        <v>18887.231774119115</v>
      </c>
      <c r="CM169" s="40">
        <v>20008.652967381633</v>
      </c>
      <c r="CN169" s="52">
        <v>1121.4211932625185</v>
      </c>
      <c r="CO169" s="39">
        <v>31539.476017414752</v>
      </c>
      <c r="CP169" s="40">
        <v>33346.733567794618</v>
      </c>
      <c r="CQ169" s="52">
        <v>1807.2575503798653</v>
      </c>
      <c r="CR169" s="72">
        <v>443369.46675295744</v>
      </c>
      <c r="CS169" s="5">
        <v>510547.9821957557</v>
      </c>
      <c r="CT169" s="52">
        <v>67178.515442798263</v>
      </c>
      <c r="CU169" s="77">
        <v>532043.36010354885</v>
      </c>
      <c r="CV169" s="65">
        <v>612657.57863490679</v>
      </c>
      <c r="CW169" s="35">
        <v>80614.218531357939</v>
      </c>
      <c r="CX169" s="73">
        <v>16131.474150597862</v>
      </c>
      <c r="CY169" s="40">
        <v>-64482.744380760021</v>
      </c>
      <c r="CZ169" s="52">
        <v>-80614.218531357881</v>
      </c>
      <c r="DA169" s="150">
        <v>-17929.901188258067</v>
      </c>
      <c r="DB169" s="2">
        <v>1</v>
      </c>
      <c r="DC169" s="675">
        <v>117428.24</v>
      </c>
      <c r="DD169" s="675">
        <v>0</v>
      </c>
      <c r="DE169" s="675">
        <v>69518.477171003295</v>
      </c>
      <c r="DF169" s="675">
        <v>0</v>
      </c>
      <c r="DG169" s="321">
        <v>-98544.119719615977</v>
      </c>
      <c r="DH169" s="40">
        <v>548132.83470158104</v>
      </c>
      <c r="DI169" s="422">
        <v>47909.762828996718</v>
      </c>
      <c r="DJ169" s="306">
        <v>5.8561150322212265</v>
      </c>
      <c r="DK169" s="306">
        <v>7.0313988248854233</v>
      </c>
      <c r="DL169" s="306">
        <v>4.8367636983827786</v>
      </c>
      <c r="DM169" s="28">
        <v>47909.762828996718</v>
      </c>
      <c r="DN169" s="28">
        <v>0</v>
      </c>
      <c r="DO169" s="423">
        <v>47909.762828996718</v>
      </c>
      <c r="DP169" s="94">
        <v>0</v>
      </c>
      <c r="DQ169" s="28">
        <v>47909.762828996718</v>
      </c>
      <c r="DR169" s="318"/>
      <c r="DT169" s="8"/>
      <c r="DU169" s="5"/>
      <c r="DX169" s="5">
        <v>129498.84999785353</v>
      </c>
      <c r="DY169" s="5">
        <v>230773.22399999999</v>
      </c>
      <c r="DZ169" s="159">
        <v>11351.918379752553</v>
      </c>
      <c r="EB169" s="676">
        <v>-12016.461689579814</v>
      </c>
      <c r="EC169" s="676">
        <v>-7520.518988415326</v>
      </c>
      <c r="ED169" s="676">
        <v>6830.2272817668199</v>
      </c>
      <c r="EE169" s="676">
        <v>-4124.0680189130944</v>
      </c>
      <c r="EF169" s="676">
        <v>-11497.524193704863</v>
      </c>
      <c r="EG169" s="676">
        <v>-15888.993298573354</v>
      </c>
      <c r="EH169" s="676">
        <v>-10731.819499798381</v>
      </c>
      <c r="EI169" s="676">
        <v>-15354.304379748643</v>
      </c>
      <c r="EJ169" s="676">
        <v>178476.20689760312</v>
      </c>
      <c r="EK169" s="676">
        <v>-9723.4447627214831</v>
      </c>
      <c r="EL169" s="676">
        <v>-9017.7217137836706</v>
      </c>
      <c r="EM169" s="676">
        <v>-8817.3591027734001</v>
      </c>
      <c r="EN169" s="676">
        <v>80614.21853135791</v>
      </c>
      <c r="EQ169" s="5">
        <v>129498.84999785353</v>
      </c>
      <c r="ER169" s="5">
        <v>230773.22399999999</v>
      </c>
      <c r="ET169" s="318">
        <v>-84436.094183951529</v>
      </c>
      <c r="EU169" s="5">
        <v>-9669.025535664452</v>
      </c>
    </row>
    <row r="170" spans="1:151" x14ac:dyDescent="0.3">
      <c r="A170" s="325">
        <v>150001020</v>
      </c>
      <c r="B170" s="41" t="s">
        <v>618</v>
      </c>
      <c r="C170" s="42" t="s">
        <v>101</v>
      </c>
      <c r="D170" s="27">
        <v>1</v>
      </c>
      <c r="E170" s="293">
        <v>320.5</v>
      </c>
      <c r="F170" s="305">
        <v>320.5</v>
      </c>
      <c r="G170" s="508">
        <v>0</v>
      </c>
      <c r="H170" s="677">
        <v>0</v>
      </c>
      <c r="I170" s="674">
        <v>0</v>
      </c>
      <c r="J170" s="40">
        <v>0</v>
      </c>
      <c r="K170" s="52">
        <v>0</v>
      </c>
      <c r="L170" s="674">
        <v>0</v>
      </c>
      <c r="M170" s="40">
        <v>0</v>
      </c>
      <c r="N170" s="52">
        <v>0</v>
      </c>
      <c r="O170" s="674">
        <v>0</v>
      </c>
      <c r="P170" s="40">
        <v>0</v>
      </c>
      <c r="Q170" s="52">
        <v>0</v>
      </c>
      <c r="R170" s="674">
        <v>0</v>
      </c>
      <c r="S170" s="40">
        <v>0</v>
      </c>
      <c r="T170" s="52">
        <v>0</v>
      </c>
      <c r="U170" s="674">
        <v>0</v>
      </c>
      <c r="V170" s="40">
        <v>0</v>
      </c>
      <c r="W170" s="52">
        <v>0</v>
      </c>
      <c r="X170" s="674">
        <v>0</v>
      </c>
      <c r="Y170" s="40">
        <v>0</v>
      </c>
      <c r="Z170" s="52">
        <v>0</v>
      </c>
      <c r="AA170" s="674">
        <v>38.46</v>
      </c>
      <c r="AB170" s="40">
        <v>0</v>
      </c>
      <c r="AC170" s="52">
        <v>-38.46</v>
      </c>
      <c r="AD170" s="674">
        <v>307.87830326983175</v>
      </c>
      <c r="AE170" s="40">
        <v>1361.7153503960544</v>
      </c>
      <c r="AF170" s="35">
        <v>1053.8370471262226</v>
      </c>
      <c r="AG170" s="77">
        <v>346.33830326983173</v>
      </c>
      <c r="AH170" s="53">
        <v>1361.7153503960544</v>
      </c>
      <c r="AI170" s="52">
        <v>1015.3770471262227</v>
      </c>
      <c r="AJ170" s="674">
        <v>0</v>
      </c>
      <c r="AK170" s="40">
        <v>0</v>
      </c>
      <c r="AL170" s="52">
        <v>0</v>
      </c>
      <c r="AM170" s="674">
        <v>0</v>
      </c>
      <c r="AN170" s="40">
        <v>0</v>
      </c>
      <c r="AO170" s="52">
        <v>0</v>
      </c>
      <c r="AP170" s="674">
        <v>539.62018930214231</v>
      </c>
      <c r="AQ170" s="40">
        <v>448.76449922990878</v>
      </c>
      <c r="AR170" s="52">
        <v>-90.855690072233529</v>
      </c>
      <c r="AS170" s="674">
        <v>3204.5221630568772</v>
      </c>
      <c r="AT170" s="40">
        <v>0</v>
      </c>
      <c r="AU170" s="54">
        <v>-3204.5221630568772</v>
      </c>
      <c r="AV170" s="674">
        <v>0</v>
      </c>
      <c r="AW170" s="40">
        <v>0</v>
      </c>
      <c r="AX170" s="55">
        <v>0</v>
      </c>
      <c r="AY170" s="674">
        <v>0</v>
      </c>
      <c r="AZ170" s="40">
        <v>0</v>
      </c>
      <c r="BA170" s="35">
        <v>0</v>
      </c>
      <c r="BB170" s="674">
        <v>0</v>
      </c>
      <c r="BC170" s="40">
        <v>0</v>
      </c>
      <c r="BD170" s="55">
        <v>0</v>
      </c>
      <c r="BE170" s="674">
        <v>0</v>
      </c>
      <c r="BF170" s="40">
        <v>0</v>
      </c>
      <c r="BG170" s="38">
        <v>0</v>
      </c>
      <c r="BH170" s="674">
        <v>0</v>
      </c>
      <c r="BI170" s="40">
        <v>0</v>
      </c>
      <c r="BJ170" s="55">
        <v>0</v>
      </c>
      <c r="BK170" s="674">
        <v>0</v>
      </c>
      <c r="BL170" s="40">
        <v>0</v>
      </c>
      <c r="BM170" s="38">
        <v>0</v>
      </c>
      <c r="BN170" s="674">
        <v>9.6150000000000002</v>
      </c>
      <c r="BO170" s="40">
        <v>0</v>
      </c>
      <c r="BP170" s="55">
        <v>-9.6150000000000002</v>
      </c>
      <c r="BQ170" s="77">
        <v>9.6150000000000002</v>
      </c>
      <c r="BR170" s="40">
        <v>0</v>
      </c>
      <c r="BS170" s="55">
        <v>-9.6150000000000002</v>
      </c>
      <c r="BT170" s="674">
        <v>610.13877423203621</v>
      </c>
      <c r="BU170" s="40">
        <v>789.5257074434661</v>
      </c>
      <c r="BV170" s="52">
        <v>179.38693321142989</v>
      </c>
      <c r="BW170" s="674">
        <v>0</v>
      </c>
      <c r="BX170" s="40">
        <v>7.2903108474728899</v>
      </c>
      <c r="BY170" s="52">
        <v>7.2903108474728899</v>
      </c>
      <c r="BZ170" s="674">
        <v>0</v>
      </c>
      <c r="CA170" s="40">
        <v>253.76207506775756</v>
      </c>
      <c r="CB170" s="52">
        <v>253.76207506775756</v>
      </c>
      <c r="CC170" s="674">
        <v>0</v>
      </c>
      <c r="CD170" s="40">
        <v>0</v>
      </c>
      <c r="CE170" s="52">
        <v>0</v>
      </c>
      <c r="CF170" s="674">
        <v>0</v>
      </c>
      <c r="CG170" s="40">
        <v>0</v>
      </c>
      <c r="CH170" s="52">
        <v>0</v>
      </c>
      <c r="CI170" s="674">
        <v>0</v>
      </c>
      <c r="CJ170" s="40">
        <v>0</v>
      </c>
      <c r="CK170" s="52">
        <v>0</v>
      </c>
      <c r="CL170" s="674">
        <v>0</v>
      </c>
      <c r="CM170" s="40">
        <v>0</v>
      </c>
      <c r="CN170" s="52">
        <v>0</v>
      </c>
      <c r="CO170" s="39">
        <v>0</v>
      </c>
      <c r="CP170" s="40">
        <v>0</v>
      </c>
      <c r="CQ170" s="52">
        <v>0</v>
      </c>
      <c r="CR170" s="72">
        <v>4710.2344298608878</v>
      </c>
      <c r="CS170" s="5">
        <v>2861.0579429846598</v>
      </c>
      <c r="CT170" s="52">
        <v>-1849.176486876228</v>
      </c>
      <c r="CU170" s="77">
        <v>5652.2813158330655</v>
      </c>
      <c r="CV170" s="65">
        <v>3433.2695315815918</v>
      </c>
      <c r="CW170" s="35">
        <v>-2219.0117842514737</v>
      </c>
      <c r="CX170" s="73">
        <v>125.74540571777294</v>
      </c>
      <c r="CY170" s="40">
        <v>2344.7571899692457</v>
      </c>
      <c r="CZ170" s="52">
        <v>2219.0117842514728</v>
      </c>
      <c r="DA170" s="150">
        <v>-10365.018769260296</v>
      </c>
      <c r="DB170" s="2">
        <v>2</v>
      </c>
      <c r="DC170" s="675">
        <v>600.34</v>
      </c>
      <c r="DD170" s="675">
        <v>0</v>
      </c>
      <c r="DE170" s="675">
        <v>93.332181325786166</v>
      </c>
      <c r="DF170" s="675">
        <v>0</v>
      </c>
      <c r="DG170" s="321">
        <v>-8146.0069850088221</v>
      </c>
      <c r="DH170" s="40">
        <v>5777.5905394379097</v>
      </c>
      <c r="DI170" s="422">
        <v>507.00781867421387</v>
      </c>
      <c r="DJ170" s="306">
        <v>1.581927671370402</v>
      </c>
      <c r="DK170" s="306">
        <v>1.581927671370402</v>
      </c>
      <c r="DL170" s="306">
        <v>1.581927671370402</v>
      </c>
      <c r="DM170" s="28">
        <v>507.00781867421387</v>
      </c>
      <c r="DN170" s="28">
        <v>0</v>
      </c>
      <c r="DO170" s="423">
        <v>507.00781867421387</v>
      </c>
      <c r="DP170" s="94">
        <v>0</v>
      </c>
      <c r="DQ170" s="28">
        <v>507.00781867421387</v>
      </c>
      <c r="DR170" s="318"/>
      <c r="DT170" s="8"/>
      <c r="DU170" s="5"/>
      <c r="DX170" s="5">
        <v>3856.9645956682521</v>
      </c>
      <c r="DY170" s="5">
        <v>0</v>
      </c>
      <c r="DZ170" s="159">
        <v>361.34219715197537</v>
      </c>
      <c r="EB170" s="676">
        <v>88.874384185417114</v>
      </c>
      <c r="EC170" s="676">
        <v>-213.19895738603034</v>
      </c>
      <c r="ED170" s="676">
        <v>-207.39580373539371</v>
      </c>
      <c r="EE170" s="676">
        <v>-403.12320842972451</v>
      </c>
      <c r="EF170" s="676">
        <v>-233.15486582577944</v>
      </c>
      <c r="EG170" s="676">
        <v>-242.11991908029438</v>
      </c>
      <c r="EH170" s="676">
        <v>22.922208248247955</v>
      </c>
      <c r="EI170" s="676">
        <v>-183.32186561619346</v>
      </c>
      <c r="EJ170" s="676">
        <v>-234.69822381533857</v>
      </c>
      <c r="EK170" s="676">
        <v>-160.85052360430268</v>
      </c>
      <c r="EL170" s="676">
        <v>-208.35717850163365</v>
      </c>
      <c r="EM170" s="676">
        <v>-244.58783069044745</v>
      </c>
      <c r="EN170" s="676">
        <v>-2219.0117842514733</v>
      </c>
      <c r="EQ170" s="5">
        <v>3856.9645956682521</v>
      </c>
      <c r="ER170" s="5">
        <v>0</v>
      </c>
      <c r="ET170" s="318">
        <v>-2234.2102914276579</v>
      </c>
      <c r="EU170" s="5">
        <v>-1989.7966935811633</v>
      </c>
    </row>
    <row r="171" spans="1:151" x14ac:dyDescent="0.3">
      <c r="A171" s="325">
        <v>150001021</v>
      </c>
      <c r="B171" s="41" t="s">
        <v>619</v>
      </c>
      <c r="C171" s="42" t="s">
        <v>364</v>
      </c>
      <c r="D171" s="27">
        <v>9</v>
      </c>
      <c r="E171" s="293">
        <v>11582.12</v>
      </c>
      <c r="F171" s="305">
        <v>11582.12</v>
      </c>
      <c r="G171" s="508">
        <v>1227.6300000000001</v>
      </c>
      <c r="H171" s="677">
        <v>0</v>
      </c>
      <c r="I171" s="674">
        <v>28680.888787306521</v>
      </c>
      <c r="J171" s="40">
        <v>24213.663535994798</v>
      </c>
      <c r="K171" s="52">
        <v>-4467.2252513117237</v>
      </c>
      <c r="L171" s="674">
        <v>8226.6351051812744</v>
      </c>
      <c r="M171" s="40">
        <v>6554.6862355492422</v>
      </c>
      <c r="N171" s="52">
        <v>-1671.9488696320323</v>
      </c>
      <c r="O171" s="674">
        <v>16514.152400411938</v>
      </c>
      <c r="P171" s="40">
        <v>16514.13</v>
      </c>
      <c r="Q171" s="52">
        <v>-2.2400411937269382E-2</v>
      </c>
      <c r="R171" s="674">
        <v>3596.3638014273756</v>
      </c>
      <c r="S171" s="40">
        <v>3596.3700000000008</v>
      </c>
      <c r="T171" s="52">
        <v>6.1985726251805318E-3</v>
      </c>
      <c r="U171" s="674">
        <v>3168.4050162612084</v>
      </c>
      <c r="V171" s="40">
        <v>1346.20930467722</v>
      </c>
      <c r="W171" s="52">
        <v>-1822.1957115839884</v>
      </c>
      <c r="X171" s="674">
        <v>20900.669301901951</v>
      </c>
      <c r="Y171" s="40">
        <v>20734.002362163254</v>
      </c>
      <c r="Z171" s="52">
        <v>-166.66693973869769</v>
      </c>
      <c r="AA171" s="674">
        <v>1390.0032000000001</v>
      </c>
      <c r="AB171" s="40">
        <v>0</v>
      </c>
      <c r="AC171" s="52">
        <v>-1390.0032000000001</v>
      </c>
      <c r="AD171" s="674">
        <v>49659.749832837828</v>
      </c>
      <c r="AE171" s="40">
        <v>49209.062256330551</v>
      </c>
      <c r="AF171" s="35">
        <v>-450.68757650727639</v>
      </c>
      <c r="AG171" s="77">
        <v>132136.8674453281</v>
      </c>
      <c r="AH171" s="53">
        <v>122168.12369471506</v>
      </c>
      <c r="AI171" s="52">
        <v>-9968.7437506130373</v>
      </c>
      <c r="AJ171" s="674">
        <v>117981.02120704477</v>
      </c>
      <c r="AK171" s="40">
        <v>116448.28012281664</v>
      </c>
      <c r="AL171" s="52">
        <v>-1532.7410842281388</v>
      </c>
      <c r="AM171" s="674">
        <v>5996.1657866127916</v>
      </c>
      <c r="AN171" s="40">
        <v>966.0102038366108</v>
      </c>
      <c r="AO171" s="52">
        <v>-5030.1555827761804</v>
      </c>
      <c r="AP171" s="674">
        <v>9623.2267092215388</v>
      </c>
      <c r="AQ171" s="40">
        <v>8150.6376909719802</v>
      </c>
      <c r="AR171" s="52">
        <v>-1472.5890182495586</v>
      </c>
      <c r="AS171" s="674">
        <v>179120.97617171638</v>
      </c>
      <c r="AT171" s="40">
        <v>239329.84</v>
      </c>
      <c r="AU171" s="54">
        <v>60208.863828283618</v>
      </c>
      <c r="AV171" s="674">
        <v>3660.2254827627694</v>
      </c>
      <c r="AW171" s="40">
        <v>6393</v>
      </c>
      <c r="AX171" s="55">
        <v>2732.7745172372306</v>
      </c>
      <c r="AY171" s="674">
        <v>6681.5082118730525</v>
      </c>
      <c r="AZ171" s="40">
        <v>13367.05</v>
      </c>
      <c r="BA171" s="35">
        <v>6685.5417881269468</v>
      </c>
      <c r="BB171" s="674">
        <v>2214.4360257762328</v>
      </c>
      <c r="BC171" s="40">
        <v>5486.41</v>
      </c>
      <c r="BD171" s="55">
        <v>3271.9739742237671</v>
      </c>
      <c r="BE171" s="674">
        <v>3736.5452041679891</v>
      </c>
      <c r="BF171" s="40">
        <v>5506.04</v>
      </c>
      <c r="BG171" s="38">
        <v>1769.4947958320108</v>
      </c>
      <c r="BH171" s="674">
        <v>3304.5059374583157</v>
      </c>
      <c r="BI171" s="40">
        <v>2215</v>
      </c>
      <c r="BJ171" s="55">
        <v>-1089.5059374583157</v>
      </c>
      <c r="BK171" s="674">
        <v>3439.781123789227</v>
      </c>
      <c r="BL171" s="40">
        <v>1000</v>
      </c>
      <c r="BM171" s="38">
        <v>-2439.781123789227</v>
      </c>
      <c r="BN171" s="674">
        <v>1041.4151117481717</v>
      </c>
      <c r="BO171" s="40">
        <v>0</v>
      </c>
      <c r="BP171" s="55">
        <v>-1041.4151117481717</v>
      </c>
      <c r="BQ171" s="77">
        <v>24078.417097575759</v>
      </c>
      <c r="BR171" s="40">
        <v>33967.5</v>
      </c>
      <c r="BS171" s="55">
        <v>9889.0829024242412</v>
      </c>
      <c r="BT171" s="674">
        <v>132260.51219068622</v>
      </c>
      <c r="BU171" s="40">
        <v>130062.66919715542</v>
      </c>
      <c r="BV171" s="52">
        <v>-2197.842993530794</v>
      </c>
      <c r="BW171" s="674">
        <v>82838.535554418297</v>
      </c>
      <c r="BX171" s="40">
        <v>82459.975158286528</v>
      </c>
      <c r="BY171" s="52">
        <v>-378.56039613176836</v>
      </c>
      <c r="BZ171" s="674">
        <v>17680.125974227183</v>
      </c>
      <c r="CA171" s="40">
        <v>30197.851679610812</v>
      </c>
      <c r="CB171" s="52">
        <v>12517.725705383629</v>
      </c>
      <c r="CC171" s="674">
        <v>1639.4519871506936</v>
      </c>
      <c r="CD171" s="40">
        <v>1708.6474214369571</v>
      </c>
      <c r="CE171" s="52">
        <v>69.195434286263435</v>
      </c>
      <c r="CF171" s="674">
        <v>198.69442271043101</v>
      </c>
      <c r="CG171" s="40">
        <v>550.31919974422317</v>
      </c>
      <c r="CH171" s="52">
        <v>351.62477703379216</v>
      </c>
      <c r="CI171" s="674">
        <v>7937.5597114010525</v>
      </c>
      <c r="CJ171" s="40">
        <v>10105.910998298034</v>
      </c>
      <c r="CK171" s="52">
        <v>2168.351286896981</v>
      </c>
      <c r="CL171" s="674">
        <v>29943.04564774641</v>
      </c>
      <c r="CM171" s="40">
        <v>29092.605121494271</v>
      </c>
      <c r="CN171" s="52">
        <v>-850.44052625213953</v>
      </c>
      <c r="CO171" s="39">
        <v>37880.605359147463</v>
      </c>
      <c r="CP171" s="40">
        <v>39198.516119792301</v>
      </c>
      <c r="CQ171" s="52">
        <v>1317.9107606448379</v>
      </c>
      <c r="CR171" s="72">
        <v>741434.59990583966</v>
      </c>
      <c r="CS171" s="5">
        <v>805208.37048836658</v>
      </c>
      <c r="CT171" s="52">
        <v>63773.770582526922</v>
      </c>
      <c r="CU171" s="77">
        <v>889721.51988700754</v>
      </c>
      <c r="CV171" s="65">
        <v>966250.04458603985</v>
      </c>
      <c r="CW171" s="35">
        <v>76528.524699032307</v>
      </c>
      <c r="CX171" s="73">
        <v>19968.725914833642</v>
      </c>
      <c r="CY171" s="40">
        <v>-56559.798784198792</v>
      </c>
      <c r="CZ171" s="52">
        <v>-76528.524699032438</v>
      </c>
      <c r="DA171" s="150">
        <v>105113.06168814987</v>
      </c>
      <c r="DB171" s="2">
        <v>1</v>
      </c>
      <c r="DC171" s="675">
        <v>158659.04</v>
      </c>
      <c r="DD171" s="675">
        <v>0</v>
      </c>
      <c r="DE171" s="675">
        <v>79409.345920036503</v>
      </c>
      <c r="DF171" s="675">
        <v>0</v>
      </c>
      <c r="DG171" s="321">
        <v>28584.536989117427</v>
      </c>
      <c r="DH171" s="40">
        <v>909619.72069847933</v>
      </c>
      <c r="DI171" s="422">
        <v>79249.694079963519</v>
      </c>
      <c r="DJ171" s="306">
        <v>5.454300738822873</v>
      </c>
      <c r="DK171" s="306">
        <v>7.0069922192172074</v>
      </c>
      <c r="DL171" s="306">
        <v>4.676506445336793</v>
      </c>
      <c r="DM171" s="28">
        <v>79249.694079963505</v>
      </c>
      <c r="DN171" s="28">
        <v>0</v>
      </c>
      <c r="DO171" s="423">
        <v>79249.694079963505</v>
      </c>
      <c r="DP171" s="94">
        <v>0</v>
      </c>
      <c r="DQ171" s="28">
        <v>79249.694079963505</v>
      </c>
      <c r="DR171" s="318"/>
      <c r="DT171" s="8"/>
      <c r="DU171" s="5"/>
      <c r="DX171" s="5">
        <v>243839.27192315055</v>
      </c>
      <c r="DY171" s="5">
        <v>327956.80799999996</v>
      </c>
      <c r="DZ171" s="159">
        <v>21878.21674853357</v>
      </c>
      <c r="EB171" s="676">
        <v>-1612.9219739975306</v>
      </c>
      <c r="EC171" s="676">
        <v>-18193.259974387365</v>
      </c>
      <c r="ED171" s="676">
        <v>8343.2363754437902</v>
      </c>
      <c r="EE171" s="676">
        <v>-23960.377021059918</v>
      </c>
      <c r="EF171" s="676">
        <v>-22111.679898787377</v>
      </c>
      <c r="EG171" s="676">
        <v>632.63044364580128</v>
      </c>
      <c r="EH171" s="676">
        <v>72909.295918395132</v>
      </c>
      <c r="EI171" s="676">
        <v>-7420.7981357008539</v>
      </c>
      <c r="EJ171" s="676">
        <v>-19837.774333880225</v>
      </c>
      <c r="EK171" s="676">
        <v>115628.28010203553</v>
      </c>
      <c r="EL171" s="676">
        <v>-11116.468005599803</v>
      </c>
      <c r="EM171" s="676">
        <v>-16731.638797074731</v>
      </c>
      <c r="EN171" s="676">
        <v>76528.524699032452</v>
      </c>
      <c r="EQ171" s="5">
        <v>243839.27192315055</v>
      </c>
      <c r="ER171" s="5">
        <v>327956.80799999996</v>
      </c>
      <c r="ET171" s="318">
        <v>-40316.243360606546</v>
      </c>
      <c r="EU171" s="5">
        <v>15795.780349723944</v>
      </c>
    </row>
    <row r="172" spans="1:151" ht="18.75" customHeight="1" x14ac:dyDescent="0.3">
      <c r="A172" s="325">
        <v>150001035</v>
      </c>
      <c r="B172" s="41" t="s">
        <v>620</v>
      </c>
      <c r="C172" s="42" t="s">
        <v>263</v>
      </c>
      <c r="D172" s="27">
        <v>5</v>
      </c>
      <c r="E172" s="293">
        <v>2850.7000000000003</v>
      </c>
      <c r="F172" s="305">
        <v>2771.3</v>
      </c>
      <c r="G172" s="508">
        <v>0</v>
      </c>
      <c r="H172" s="677">
        <v>79.400000000000006</v>
      </c>
      <c r="I172" s="674">
        <v>10211.100844807324</v>
      </c>
      <c r="J172" s="40">
        <v>8406.2614532065181</v>
      </c>
      <c r="K172" s="52">
        <v>-1804.8393916008063</v>
      </c>
      <c r="L172" s="674">
        <v>1973.9567919374301</v>
      </c>
      <c r="M172" s="40">
        <v>1573.4239816270738</v>
      </c>
      <c r="N172" s="52">
        <v>-400.53281031035635</v>
      </c>
      <c r="O172" s="674">
        <v>4202.272536904874</v>
      </c>
      <c r="P172" s="40">
        <v>4202.28</v>
      </c>
      <c r="Q172" s="52">
        <v>7.4630951257859124E-3</v>
      </c>
      <c r="R172" s="674">
        <v>887.59525910191508</v>
      </c>
      <c r="S172" s="40">
        <v>887.58</v>
      </c>
      <c r="T172" s="52">
        <v>-1.5259101915034989E-2</v>
      </c>
      <c r="U172" s="674">
        <v>650.02174156792057</v>
      </c>
      <c r="V172" s="40">
        <v>271.60158507004371</v>
      </c>
      <c r="W172" s="52">
        <v>-378.42015649787686</v>
      </c>
      <c r="X172" s="674">
        <v>6623.2471297905549</v>
      </c>
      <c r="Y172" s="40">
        <v>5283.4498537932959</v>
      </c>
      <c r="Z172" s="52">
        <v>-1339.797275997259</v>
      </c>
      <c r="AA172" s="674">
        <v>342.08400000000006</v>
      </c>
      <c r="AB172" s="40">
        <v>0</v>
      </c>
      <c r="AC172" s="52">
        <v>-342.08400000000006</v>
      </c>
      <c r="AD172" s="674">
        <v>12217.653775489993</v>
      </c>
      <c r="AE172" s="40">
        <v>12111.831355301198</v>
      </c>
      <c r="AF172" s="35">
        <v>-105.82242018879515</v>
      </c>
      <c r="AG172" s="77">
        <v>37107.93207960001</v>
      </c>
      <c r="AH172" s="53">
        <v>32736.428228998127</v>
      </c>
      <c r="AI172" s="52">
        <v>-4371.5038506018827</v>
      </c>
      <c r="AJ172" s="674">
        <v>0</v>
      </c>
      <c r="AK172" s="40">
        <v>0</v>
      </c>
      <c r="AL172" s="52">
        <v>0</v>
      </c>
      <c r="AM172" s="674">
        <v>0</v>
      </c>
      <c r="AN172" s="40">
        <v>0</v>
      </c>
      <c r="AO172" s="52">
        <v>0</v>
      </c>
      <c r="AP172" s="674">
        <v>2653.1325974022002</v>
      </c>
      <c r="AQ172" s="40">
        <v>2297.0502184172851</v>
      </c>
      <c r="AR172" s="52">
        <v>-356.08237898491507</v>
      </c>
      <c r="AS172" s="674">
        <v>36866.680755236899</v>
      </c>
      <c r="AT172" s="40">
        <v>3495</v>
      </c>
      <c r="AU172" s="54">
        <v>-33371.680755236899</v>
      </c>
      <c r="AV172" s="674">
        <v>2385.721079454856</v>
      </c>
      <c r="AW172" s="40">
        <v>0</v>
      </c>
      <c r="AX172" s="55">
        <v>-2385.721079454856</v>
      </c>
      <c r="AY172" s="674">
        <v>3236.0443770585362</v>
      </c>
      <c r="AZ172" s="40">
        <v>6.5</v>
      </c>
      <c r="BA172" s="35">
        <v>-3229.5443770585362</v>
      </c>
      <c r="BB172" s="674">
        <v>1603.9990043876746</v>
      </c>
      <c r="BC172" s="40">
        <v>836</v>
      </c>
      <c r="BD172" s="55">
        <v>-767.99900438767463</v>
      </c>
      <c r="BE172" s="674">
        <v>1476.316398880836</v>
      </c>
      <c r="BF172" s="40">
        <v>0</v>
      </c>
      <c r="BG172" s="38">
        <v>-1476.316398880836</v>
      </c>
      <c r="BH172" s="674">
        <v>1109.648866209001</v>
      </c>
      <c r="BI172" s="40">
        <v>0</v>
      </c>
      <c r="BJ172" s="55">
        <v>-1109.648866209001</v>
      </c>
      <c r="BK172" s="674">
        <v>1525.0079222419254</v>
      </c>
      <c r="BL172" s="40">
        <v>0</v>
      </c>
      <c r="BM172" s="38">
        <v>-1525.0079222419254</v>
      </c>
      <c r="BN172" s="674">
        <v>1292.7104883735483</v>
      </c>
      <c r="BO172" s="40">
        <v>0</v>
      </c>
      <c r="BP172" s="55">
        <v>-1292.7104883735483</v>
      </c>
      <c r="BQ172" s="77">
        <v>12629.448136606377</v>
      </c>
      <c r="BR172" s="40">
        <v>842.5</v>
      </c>
      <c r="BS172" s="55">
        <v>-11786.948136606377</v>
      </c>
      <c r="BT172" s="674">
        <v>34934.707738711673</v>
      </c>
      <c r="BU172" s="40">
        <v>39771.127583598216</v>
      </c>
      <c r="BV172" s="52">
        <v>4836.4198448865427</v>
      </c>
      <c r="BW172" s="674">
        <v>16084.49480382523</v>
      </c>
      <c r="BX172" s="40">
        <v>14821.25846830298</v>
      </c>
      <c r="BY172" s="52">
        <v>-1263.2363355222496</v>
      </c>
      <c r="BZ172" s="674">
        <v>16804.954317007225</v>
      </c>
      <c r="CA172" s="40">
        <v>10403.921992023166</v>
      </c>
      <c r="CB172" s="52">
        <v>-6401.0323249840585</v>
      </c>
      <c r="CC172" s="674">
        <v>1578.4597319046047</v>
      </c>
      <c r="CD172" s="40">
        <v>1658.9944194464813</v>
      </c>
      <c r="CE172" s="52">
        <v>80.534687541876565</v>
      </c>
      <c r="CF172" s="674">
        <v>192.92039675132449</v>
      </c>
      <c r="CG172" s="40">
        <v>1824.7191009648782</v>
      </c>
      <c r="CH172" s="52">
        <v>1631.7987042135537</v>
      </c>
      <c r="CI172" s="674">
        <v>6038.6723302918999</v>
      </c>
      <c r="CJ172" s="40">
        <v>5276.4333055985271</v>
      </c>
      <c r="CK172" s="52">
        <v>-762.23902469337281</v>
      </c>
      <c r="CL172" s="674">
        <v>0</v>
      </c>
      <c r="CM172" s="40">
        <v>0</v>
      </c>
      <c r="CN172" s="52">
        <v>0</v>
      </c>
      <c r="CO172" s="39">
        <v>6038.6723302918999</v>
      </c>
      <c r="CP172" s="40">
        <v>5276.4333055985271</v>
      </c>
      <c r="CQ172" s="52">
        <v>-762.23902469337281</v>
      </c>
      <c r="CR172" s="72">
        <v>164891.40288733743</v>
      </c>
      <c r="CS172" s="5">
        <v>113127.43331734967</v>
      </c>
      <c r="CT172" s="52">
        <v>-51763.969569987763</v>
      </c>
      <c r="CU172" s="77">
        <v>197869.68346480493</v>
      </c>
      <c r="CV172" s="65">
        <v>135752.9199808196</v>
      </c>
      <c r="CW172" s="35">
        <v>-62116.763483985327</v>
      </c>
      <c r="CX172" s="73">
        <v>5191.9863710072668</v>
      </c>
      <c r="CY172" s="40">
        <v>67308.74985499258</v>
      </c>
      <c r="CZ172" s="52">
        <v>62116.763483985313</v>
      </c>
      <c r="DA172" s="150">
        <v>-47566.241515051326</v>
      </c>
      <c r="DB172" s="2">
        <v>1</v>
      </c>
      <c r="DC172" s="675">
        <v>33496.379999999997</v>
      </c>
      <c r="DD172" s="675">
        <v>893.24</v>
      </c>
      <c r="DE172" s="675">
        <v>16118.325497209902</v>
      </c>
      <c r="DF172" s="675">
        <v>446.62691591508025</v>
      </c>
      <c r="DG172" s="321">
        <v>14550.521968934008</v>
      </c>
      <c r="DH172" s="40">
        <v>203046.36174872098</v>
      </c>
      <c r="DI172" s="422">
        <v>17824.667586875017</v>
      </c>
      <c r="DJ172" s="306">
        <v>6.2707229469166439</v>
      </c>
      <c r="DK172" s="306">
        <v>6.2707229469166439</v>
      </c>
      <c r="DL172" s="306">
        <v>5.6248499255027671</v>
      </c>
      <c r="DM172" s="28">
        <v>17378.054502790095</v>
      </c>
      <c r="DN172" s="28">
        <v>446.61308408491976</v>
      </c>
      <c r="DO172" s="423">
        <v>17824.667586875014</v>
      </c>
      <c r="DP172" s="94">
        <v>0</v>
      </c>
      <c r="DQ172" s="28">
        <v>17824.667586875014</v>
      </c>
      <c r="DR172" s="318"/>
      <c r="DT172" s="8"/>
      <c r="DU172" s="5"/>
      <c r="DX172" s="5">
        <v>59395.354670211927</v>
      </c>
      <c r="DY172" s="5">
        <v>5205</v>
      </c>
      <c r="DZ172" s="159">
        <v>4778.8894579895459</v>
      </c>
      <c r="EB172" s="676">
        <v>-5941.3756097217629</v>
      </c>
      <c r="EC172" s="676">
        <v>-4577.2966902555509</v>
      </c>
      <c r="ED172" s="676">
        <v>-4394.0536602265529</v>
      </c>
      <c r="EE172" s="676">
        <v>-6108.2384626512303</v>
      </c>
      <c r="EF172" s="676">
        <v>-5285.705738073626</v>
      </c>
      <c r="EG172" s="676">
        <v>-4918.3826623867481</v>
      </c>
      <c r="EH172" s="676">
        <v>-4053.9245056262607</v>
      </c>
      <c r="EI172" s="676">
        <v>-6810.1086152322605</v>
      </c>
      <c r="EJ172" s="676">
        <v>-8102.8326599126831</v>
      </c>
      <c r="EK172" s="676">
        <v>-2366.0310302804392</v>
      </c>
      <c r="EL172" s="676">
        <v>-4970.8830237533621</v>
      </c>
      <c r="EM172" s="676">
        <v>-4587.9308258648653</v>
      </c>
      <c r="EN172" s="676">
        <v>-62116.763483985334</v>
      </c>
      <c r="EQ172" s="5">
        <v>59395.354670211927</v>
      </c>
      <c r="ER172" s="5">
        <v>5205</v>
      </c>
      <c r="ET172" s="318">
        <v>-10308.22098196134</v>
      </c>
      <c r="EU172" s="5">
        <v>39380.742950895343</v>
      </c>
    </row>
    <row r="173" spans="1:151" x14ac:dyDescent="0.3">
      <c r="A173" s="325">
        <v>150001022</v>
      </c>
      <c r="B173" s="41" t="s">
        <v>621</v>
      </c>
      <c r="C173" s="42" t="s">
        <v>365</v>
      </c>
      <c r="D173" s="27">
        <v>9</v>
      </c>
      <c r="E173" s="293">
        <v>3771.47</v>
      </c>
      <c r="F173" s="305">
        <v>3771.47</v>
      </c>
      <c r="G173" s="508">
        <v>405</v>
      </c>
      <c r="H173" s="677">
        <v>0</v>
      </c>
      <c r="I173" s="674">
        <v>9568.67852996902</v>
      </c>
      <c r="J173" s="40">
        <v>8062.7184331220515</v>
      </c>
      <c r="K173" s="52">
        <v>-1505.9600968469686</v>
      </c>
      <c r="L173" s="674">
        <v>2208.7802813668131</v>
      </c>
      <c r="M173" s="40">
        <v>1759.6506724031046</v>
      </c>
      <c r="N173" s="52">
        <v>-449.12960896370851</v>
      </c>
      <c r="O173" s="674">
        <v>5097.0624187217645</v>
      </c>
      <c r="P173" s="40">
        <v>5097.0599999999995</v>
      </c>
      <c r="Q173" s="52">
        <v>-2.4187217650251114E-3</v>
      </c>
      <c r="R173" s="674">
        <v>1086.2030768264699</v>
      </c>
      <c r="S173" s="40">
        <v>1086.2099999999998</v>
      </c>
      <c r="T173" s="52">
        <v>6.923173529912674E-3</v>
      </c>
      <c r="U173" s="674">
        <v>666.09503564686588</v>
      </c>
      <c r="V173" s="40">
        <v>289.60259434369817</v>
      </c>
      <c r="W173" s="52">
        <v>-376.49244130316771</v>
      </c>
      <c r="X173" s="674">
        <v>6196.6828659466873</v>
      </c>
      <c r="Y173" s="40">
        <v>6339.4453861392494</v>
      </c>
      <c r="Z173" s="52">
        <v>142.76252019256208</v>
      </c>
      <c r="AA173" s="674">
        <v>452.57640000000004</v>
      </c>
      <c r="AB173" s="40">
        <v>0</v>
      </c>
      <c r="AC173" s="52">
        <v>-452.57640000000004</v>
      </c>
      <c r="AD173" s="674">
        <v>16170.220817156191</v>
      </c>
      <c r="AE173" s="40">
        <v>16023.926965860242</v>
      </c>
      <c r="AF173" s="35">
        <v>-146.29385129594812</v>
      </c>
      <c r="AG173" s="77">
        <v>41446.299425633813</v>
      </c>
      <c r="AH173" s="53">
        <v>38658.614051868346</v>
      </c>
      <c r="AI173" s="52">
        <v>-2787.6853737654674</v>
      </c>
      <c r="AJ173" s="674">
        <v>34984.902065749113</v>
      </c>
      <c r="AK173" s="40">
        <v>34594.919968353614</v>
      </c>
      <c r="AL173" s="52">
        <v>-389.9820973954993</v>
      </c>
      <c r="AM173" s="674">
        <v>2998.0828933063958</v>
      </c>
      <c r="AN173" s="40">
        <v>1097.2565250633638</v>
      </c>
      <c r="AO173" s="52">
        <v>-1900.826368243032</v>
      </c>
      <c r="AP173" s="674">
        <v>3237.7211358128534</v>
      </c>
      <c r="AQ173" s="40">
        <v>3086.1221551697845</v>
      </c>
      <c r="AR173" s="52">
        <v>-151.5989806430689</v>
      </c>
      <c r="AS173" s="674">
        <v>57898.092642689764</v>
      </c>
      <c r="AT173" s="40">
        <v>20184.95</v>
      </c>
      <c r="AU173" s="54">
        <v>-37713.142642689767</v>
      </c>
      <c r="AV173" s="674">
        <v>1599.0776170035417</v>
      </c>
      <c r="AW173" s="40">
        <v>889</v>
      </c>
      <c r="AX173" s="55">
        <v>-710.07761700354172</v>
      </c>
      <c r="AY173" s="674">
        <v>2360.3775711828675</v>
      </c>
      <c r="AZ173" s="40">
        <v>6350</v>
      </c>
      <c r="BA173" s="35">
        <v>3989.6224288171325</v>
      </c>
      <c r="BB173" s="674">
        <v>1101.3036147195273</v>
      </c>
      <c r="BC173" s="40">
        <v>5607</v>
      </c>
      <c r="BD173" s="55">
        <v>4505.6963852804729</v>
      </c>
      <c r="BE173" s="674">
        <v>1496.935863234107</v>
      </c>
      <c r="BF173" s="40">
        <v>0</v>
      </c>
      <c r="BG173" s="38">
        <v>-1496.935863234107</v>
      </c>
      <c r="BH173" s="674">
        <v>860.74741993572297</v>
      </c>
      <c r="BI173" s="40">
        <v>0</v>
      </c>
      <c r="BJ173" s="55">
        <v>-860.74741993572297</v>
      </c>
      <c r="BK173" s="674">
        <v>1315.7783506493392</v>
      </c>
      <c r="BL173" s="40">
        <v>166</v>
      </c>
      <c r="BM173" s="38">
        <v>-1149.7783506493392</v>
      </c>
      <c r="BN173" s="674">
        <v>361.89141433360572</v>
      </c>
      <c r="BO173" s="40">
        <v>0</v>
      </c>
      <c r="BP173" s="55">
        <v>-361.89141433360572</v>
      </c>
      <c r="BQ173" s="77">
        <v>9096.1118510587112</v>
      </c>
      <c r="BR173" s="40">
        <v>13012</v>
      </c>
      <c r="BS173" s="55">
        <v>3915.8881489412888</v>
      </c>
      <c r="BT173" s="674">
        <v>48680.600914955241</v>
      </c>
      <c r="BU173" s="40">
        <v>45359.843691246366</v>
      </c>
      <c r="BV173" s="52">
        <v>-3320.7572237088752</v>
      </c>
      <c r="BW173" s="674">
        <v>26500.694172441843</v>
      </c>
      <c r="BX173" s="40">
        <v>28019.440097961364</v>
      </c>
      <c r="BY173" s="52">
        <v>1518.7459255195208</v>
      </c>
      <c r="BZ173" s="674">
        <v>9109.5978156966594</v>
      </c>
      <c r="CA173" s="40">
        <v>11629.85779381288</v>
      </c>
      <c r="CB173" s="52">
        <v>2520.2599781162207</v>
      </c>
      <c r="CC173" s="674">
        <v>892.71032714696048</v>
      </c>
      <c r="CD173" s="40">
        <v>934.6447433501304</v>
      </c>
      <c r="CE173" s="52">
        <v>41.934416203169917</v>
      </c>
      <c r="CF173" s="674">
        <v>108.68754746553492</v>
      </c>
      <c r="CG173" s="40">
        <v>0</v>
      </c>
      <c r="CH173" s="52">
        <v>-108.68754746553492</v>
      </c>
      <c r="CI173" s="674">
        <v>8419.508459536557</v>
      </c>
      <c r="CJ173" s="40">
        <v>8492.5272827385525</v>
      </c>
      <c r="CK173" s="52">
        <v>73.018823201995474</v>
      </c>
      <c r="CL173" s="674">
        <v>9737.8947648523208</v>
      </c>
      <c r="CM173" s="40">
        <v>8995.1527068425621</v>
      </c>
      <c r="CN173" s="52">
        <v>-742.74205800975869</v>
      </c>
      <c r="CO173" s="39">
        <v>18157.40322438888</v>
      </c>
      <c r="CP173" s="40">
        <v>17487.679989581113</v>
      </c>
      <c r="CQ173" s="52">
        <v>-669.72323480776686</v>
      </c>
      <c r="CR173" s="72">
        <v>253110.9040163458</v>
      </c>
      <c r="CS173" s="5">
        <v>214065.32901640696</v>
      </c>
      <c r="CT173" s="52">
        <v>-39045.574999938835</v>
      </c>
      <c r="CU173" s="77">
        <v>303733.08481961495</v>
      </c>
      <c r="CV173" s="65">
        <v>256878.39481968834</v>
      </c>
      <c r="CW173" s="35">
        <v>-46854.689999926602</v>
      </c>
      <c r="CX173" s="73">
        <v>6791.6561919885335</v>
      </c>
      <c r="CY173" s="40">
        <v>53646.346191915101</v>
      </c>
      <c r="CZ173" s="52">
        <v>46854.689999926566</v>
      </c>
      <c r="DA173" s="150">
        <v>-14078.849695418874</v>
      </c>
      <c r="DB173" s="2">
        <v>1</v>
      </c>
      <c r="DC173" s="675">
        <v>35629.550000000003</v>
      </c>
      <c r="DD173" s="675">
        <v>0</v>
      </c>
      <c r="DE173" s="675">
        <v>8494.8309971248273</v>
      </c>
      <c r="DF173" s="675">
        <v>0</v>
      </c>
      <c r="DG173" s="321">
        <v>32775.840304507699</v>
      </c>
      <c r="DH173" s="40">
        <v>310500.93420903606</v>
      </c>
      <c r="DI173" s="422">
        <v>27134.719002875176</v>
      </c>
      <c r="DJ173" s="306">
        <v>5.8725312662303164</v>
      </c>
      <c r="DK173" s="306">
        <v>7.3537990358006748</v>
      </c>
      <c r="DL173" s="306">
        <v>5.1404164974221018</v>
      </c>
      <c r="DM173" s="28">
        <v>27134.719002875176</v>
      </c>
      <c r="DN173" s="28">
        <v>0</v>
      </c>
      <c r="DO173" s="423">
        <v>27134.719002875176</v>
      </c>
      <c r="DP173" s="94">
        <v>0</v>
      </c>
      <c r="DQ173" s="28">
        <v>27134.719002875176</v>
      </c>
      <c r="DR173" s="318"/>
      <c r="DT173" s="8"/>
      <c r="DU173" s="5"/>
      <c r="DX173" s="5">
        <v>80393.04539249817</v>
      </c>
      <c r="DY173" s="5">
        <v>39836.339999999997</v>
      </c>
      <c r="DZ173" s="159">
        <v>7374.2114379210552</v>
      </c>
      <c r="EB173" s="676">
        <v>5381.5397747224015</v>
      </c>
      <c r="EC173" s="676">
        <v>-4555.2200918015587</v>
      </c>
      <c r="ED173" s="676">
        <v>1074.1998181055387</v>
      </c>
      <c r="EE173" s="676">
        <v>-7705.2834802786601</v>
      </c>
      <c r="EF173" s="676">
        <v>2086.4794329970609</v>
      </c>
      <c r="EG173" s="676">
        <v>-13586.273908878327</v>
      </c>
      <c r="EH173" s="676">
        <v>-8976.6359602623161</v>
      </c>
      <c r="EI173" s="676">
        <v>-2736.6959459453028</v>
      </c>
      <c r="EJ173" s="676">
        <v>-8324.9589730972912</v>
      </c>
      <c r="EK173" s="676">
        <v>-2067.991446760796</v>
      </c>
      <c r="EL173" s="676">
        <v>-7657.6828141699007</v>
      </c>
      <c r="EM173" s="676">
        <v>213.83359544257837</v>
      </c>
      <c r="EN173" s="676">
        <v>-46854.689999926573</v>
      </c>
      <c r="EQ173" s="5">
        <v>80393.04539249817</v>
      </c>
      <c r="ER173" s="5">
        <v>39836.339999999997</v>
      </c>
      <c r="ET173" s="318">
        <v>72837.170487617899</v>
      </c>
      <c r="EU173" s="5">
        <v>-33910.330183110185</v>
      </c>
    </row>
    <row r="174" spans="1:151" x14ac:dyDescent="0.3">
      <c r="A174" s="325">
        <v>150001023</v>
      </c>
      <c r="B174" s="41" t="s">
        <v>622</v>
      </c>
      <c r="C174" s="42" t="s">
        <v>366</v>
      </c>
      <c r="D174" s="27">
        <v>9</v>
      </c>
      <c r="E174" s="293">
        <v>3767.85</v>
      </c>
      <c r="F174" s="305">
        <v>3767.85</v>
      </c>
      <c r="G174" s="508">
        <v>406.43</v>
      </c>
      <c r="H174" s="677">
        <v>0</v>
      </c>
      <c r="I174" s="674">
        <v>9568.1055423653015</v>
      </c>
      <c r="J174" s="40">
        <v>8061.6631850169979</v>
      </c>
      <c r="K174" s="52">
        <v>-1506.4423573483036</v>
      </c>
      <c r="L174" s="674">
        <v>2208.7802813668131</v>
      </c>
      <c r="M174" s="40">
        <v>1759.6506724031046</v>
      </c>
      <c r="N174" s="52">
        <v>-449.12960896370851</v>
      </c>
      <c r="O174" s="674">
        <v>4550.6474223284049</v>
      </c>
      <c r="P174" s="40">
        <v>4550.6399999999994</v>
      </c>
      <c r="Q174" s="52">
        <v>-7.4223284054824035E-3</v>
      </c>
      <c r="R174" s="674">
        <v>1118.689031579305</v>
      </c>
      <c r="S174" s="40">
        <v>1118.67</v>
      </c>
      <c r="T174" s="52">
        <v>-1.9031579304964907E-2</v>
      </c>
      <c r="U174" s="674">
        <v>666.09503564686588</v>
      </c>
      <c r="V174" s="40">
        <v>278.37641002467541</v>
      </c>
      <c r="W174" s="52">
        <v>-387.71862562219047</v>
      </c>
      <c r="X174" s="674">
        <v>6723.4209062355403</v>
      </c>
      <c r="Y174" s="40">
        <v>6795.6319730114592</v>
      </c>
      <c r="Z174" s="52">
        <v>72.21106677591888</v>
      </c>
      <c r="AA174" s="674">
        <v>452.142</v>
      </c>
      <c r="AB174" s="40">
        <v>0</v>
      </c>
      <c r="AC174" s="52">
        <v>-452.142</v>
      </c>
      <c r="AD174" s="674">
        <v>16154.678495651056</v>
      </c>
      <c r="AE174" s="40">
        <v>16008.546592791803</v>
      </c>
      <c r="AF174" s="35">
        <v>-146.13190285925339</v>
      </c>
      <c r="AG174" s="77">
        <v>41442.558715173291</v>
      </c>
      <c r="AH174" s="53">
        <v>38573.178833248043</v>
      </c>
      <c r="AI174" s="52">
        <v>-2869.3798819252479</v>
      </c>
      <c r="AJ174" s="674">
        <v>28285.720901111552</v>
      </c>
      <c r="AK174" s="40">
        <v>28099.907420292522</v>
      </c>
      <c r="AL174" s="52">
        <v>-185.81348081902979</v>
      </c>
      <c r="AM174" s="674">
        <v>630.44965500000001</v>
      </c>
      <c r="AN174" s="40">
        <v>0</v>
      </c>
      <c r="AO174" s="52">
        <v>-630.44965500000001</v>
      </c>
      <c r="AP174" s="674">
        <v>3237.7211358128534</v>
      </c>
      <c r="AQ174" s="40">
        <v>2666.2477637886982</v>
      </c>
      <c r="AR174" s="52">
        <v>-571.4733720241552</v>
      </c>
      <c r="AS174" s="674">
        <v>53679.310688080572</v>
      </c>
      <c r="AT174" s="40">
        <v>78821.109387068718</v>
      </c>
      <c r="AU174" s="54">
        <v>25141.798698988146</v>
      </c>
      <c r="AV174" s="674">
        <v>1599.0776170035417</v>
      </c>
      <c r="AW174" s="40">
        <v>259</v>
      </c>
      <c r="AX174" s="55">
        <v>-1340.0776170035417</v>
      </c>
      <c r="AY174" s="674">
        <v>2360.3775711828675</v>
      </c>
      <c r="AZ174" s="40">
        <v>4061</v>
      </c>
      <c r="BA174" s="35">
        <v>1700.6224288171325</v>
      </c>
      <c r="BB174" s="674">
        <v>1893.4489585542963</v>
      </c>
      <c r="BC174" s="40">
        <v>0</v>
      </c>
      <c r="BD174" s="55">
        <v>-1893.4489585542963</v>
      </c>
      <c r="BE174" s="674">
        <v>1733.0796398845084</v>
      </c>
      <c r="BF174" s="40">
        <v>1048</v>
      </c>
      <c r="BG174" s="38">
        <v>-685.07963988450842</v>
      </c>
      <c r="BH174" s="674">
        <v>860.74741993572297</v>
      </c>
      <c r="BI174" s="40">
        <v>0</v>
      </c>
      <c r="BJ174" s="55">
        <v>-860.74741993572297</v>
      </c>
      <c r="BK174" s="674">
        <v>1419.8635963926952</v>
      </c>
      <c r="BL174" s="40">
        <v>0</v>
      </c>
      <c r="BM174" s="38">
        <v>-1419.8635963926952</v>
      </c>
      <c r="BN174" s="674">
        <v>350.7404004395375</v>
      </c>
      <c r="BO174" s="40">
        <v>0</v>
      </c>
      <c r="BP174" s="55">
        <v>-350.7404004395375</v>
      </c>
      <c r="BQ174" s="77">
        <v>10217.33520339317</v>
      </c>
      <c r="BR174" s="40">
        <v>5368</v>
      </c>
      <c r="BS174" s="55">
        <v>-4849.3352033931696</v>
      </c>
      <c r="BT174" s="674">
        <v>44948.590232256058</v>
      </c>
      <c r="BU174" s="40">
        <v>46128.505294644056</v>
      </c>
      <c r="BV174" s="52">
        <v>1179.9150623879978</v>
      </c>
      <c r="BW174" s="674">
        <v>34057.81284639435</v>
      </c>
      <c r="BX174" s="40">
        <v>33071.096033236892</v>
      </c>
      <c r="BY174" s="52">
        <v>-986.71681315745809</v>
      </c>
      <c r="BZ174" s="674">
        <v>7555.0458393332183</v>
      </c>
      <c r="CA174" s="40">
        <v>9631.0970241444047</v>
      </c>
      <c r="CB174" s="52">
        <v>2076.0511848111864</v>
      </c>
      <c r="CC174" s="674">
        <v>892.71032714696048</v>
      </c>
      <c r="CD174" s="40">
        <v>934.6447433501304</v>
      </c>
      <c r="CE174" s="52">
        <v>41.934416203169917</v>
      </c>
      <c r="CF174" s="674">
        <v>108.68754746553492</v>
      </c>
      <c r="CG174" s="40">
        <v>0</v>
      </c>
      <c r="CH174" s="52">
        <v>-108.68754746553492</v>
      </c>
      <c r="CI174" s="674">
        <v>7301.5516826800158</v>
      </c>
      <c r="CJ174" s="40">
        <v>3040.7114150941056</v>
      </c>
      <c r="CK174" s="52">
        <v>-4260.8402675859106</v>
      </c>
      <c r="CL174" s="674">
        <v>8971.4686760233799</v>
      </c>
      <c r="CM174" s="40">
        <v>8787.765350408552</v>
      </c>
      <c r="CN174" s="52">
        <v>-183.70332561482792</v>
      </c>
      <c r="CO174" s="39">
        <v>16273.020358703396</v>
      </c>
      <c r="CP174" s="40">
        <v>11828.476765502657</v>
      </c>
      <c r="CQ174" s="52">
        <v>-4444.5435932007385</v>
      </c>
      <c r="CR174" s="72">
        <v>241328.96344987091</v>
      </c>
      <c r="CS174" s="5">
        <v>255122.26326527609</v>
      </c>
      <c r="CT174" s="52">
        <v>13793.299815405189</v>
      </c>
      <c r="CU174" s="77">
        <v>289594.75613984506</v>
      </c>
      <c r="CV174" s="65">
        <v>306146.71591833129</v>
      </c>
      <c r="CW174" s="35">
        <v>16551.959778486227</v>
      </c>
      <c r="CX174" s="73">
        <v>6486.3029095694565</v>
      </c>
      <c r="CY174" s="40">
        <v>-10065.656868916718</v>
      </c>
      <c r="CZ174" s="52">
        <v>-16551.959778486176</v>
      </c>
      <c r="DA174" s="150">
        <v>44612.994573111049</v>
      </c>
      <c r="DB174" s="2">
        <v>1</v>
      </c>
      <c r="DC174" s="675">
        <v>69434.55</v>
      </c>
      <c r="DD174" s="675">
        <v>0</v>
      </c>
      <c r="DE174" s="675">
        <v>43597.268518284262</v>
      </c>
      <c r="DF174" s="675">
        <v>0</v>
      </c>
      <c r="DG174" s="321">
        <v>28061.034794624895</v>
      </c>
      <c r="DH174" s="40">
        <v>296058.2455371485</v>
      </c>
      <c r="DI174" s="422">
        <v>25837.281481715741</v>
      </c>
      <c r="DJ174" s="306">
        <v>5.8139382288998096</v>
      </c>
      <c r="DK174" s="306">
        <v>6.9834541852383785</v>
      </c>
      <c r="DL174" s="306">
        <v>4.8096127611270356</v>
      </c>
      <c r="DM174" s="28">
        <v>25837.281481715741</v>
      </c>
      <c r="DN174" s="28">
        <v>0</v>
      </c>
      <c r="DO174" s="423">
        <v>25837.281481715741</v>
      </c>
      <c r="DP174" s="94">
        <v>0</v>
      </c>
      <c r="DQ174" s="28">
        <v>25837.281481715741</v>
      </c>
      <c r="DR174" s="318"/>
      <c r="DT174" s="8"/>
      <c r="DU174" s="5"/>
      <c r="DX174" s="5">
        <v>76675.975069768494</v>
      </c>
      <c r="DY174" s="5">
        <v>101026.93126448245</v>
      </c>
      <c r="DZ174" s="159">
        <v>6843.8834191063006</v>
      </c>
      <c r="EB174" s="676">
        <v>9302.693482175524</v>
      </c>
      <c r="EC174" s="676">
        <v>27279.837399386499</v>
      </c>
      <c r="ED174" s="676">
        <v>-4834.2798295644207</v>
      </c>
      <c r="EE174" s="676">
        <v>-3040.8572887912705</v>
      </c>
      <c r="EF174" s="676">
        <v>37160.590665195938</v>
      </c>
      <c r="EG174" s="676">
        <v>-13075.788719051538</v>
      </c>
      <c r="EH174" s="676">
        <v>2318.0012629474149</v>
      </c>
      <c r="EI174" s="676">
        <v>-4913.4793139406356</v>
      </c>
      <c r="EJ174" s="676">
        <v>-8457.9998629304137</v>
      </c>
      <c r="EK174" s="676">
        <v>-6938.9032318130739</v>
      </c>
      <c r="EL174" s="676">
        <v>-8475.7601124768662</v>
      </c>
      <c r="EM174" s="676">
        <v>-9772.0946726509901</v>
      </c>
      <c r="EN174" s="676">
        <v>16551.959778486154</v>
      </c>
      <c r="EQ174" s="5">
        <v>76675.975069768494</v>
      </c>
      <c r="ER174" s="5">
        <v>101026.93126448245</v>
      </c>
      <c r="ET174" s="318">
        <v>-32099.780692639593</v>
      </c>
      <c r="EU174" s="5">
        <v>58816.815487264466</v>
      </c>
    </row>
    <row r="175" spans="1:151" x14ac:dyDescent="0.3">
      <c r="A175" s="325">
        <v>150001024</v>
      </c>
      <c r="B175" s="41" t="s">
        <v>623</v>
      </c>
      <c r="C175" s="42" t="s">
        <v>367</v>
      </c>
      <c r="D175" s="27">
        <v>9</v>
      </c>
      <c r="E175" s="293">
        <v>4293.3200000000006</v>
      </c>
      <c r="F175" s="305">
        <v>4227.22</v>
      </c>
      <c r="G175" s="508">
        <v>344.66</v>
      </c>
      <c r="H175" s="677">
        <v>66.099999999999994</v>
      </c>
      <c r="I175" s="674">
        <v>15182.884766171208</v>
      </c>
      <c r="J175" s="40">
        <v>12564.860747138124</v>
      </c>
      <c r="K175" s="52">
        <v>-2618.0240190330842</v>
      </c>
      <c r="L175" s="674">
        <v>2401.8239095093277</v>
      </c>
      <c r="M175" s="40">
        <v>1913.7431497558289</v>
      </c>
      <c r="N175" s="52">
        <v>-488.0807597534988</v>
      </c>
      <c r="O175" s="674">
        <v>5759.7255064203537</v>
      </c>
      <c r="P175" s="40">
        <v>5759.7299999999987</v>
      </c>
      <c r="Q175" s="52">
        <v>4.4935796449863119E-3</v>
      </c>
      <c r="R175" s="674">
        <v>1330.6033689770902</v>
      </c>
      <c r="S175" s="40">
        <v>1330.6200000000001</v>
      </c>
      <c r="T175" s="52">
        <v>1.6631022909905369E-2</v>
      </c>
      <c r="U175" s="674">
        <v>714.84307937464087</v>
      </c>
      <c r="V175" s="40">
        <v>298.71032252132215</v>
      </c>
      <c r="W175" s="52">
        <v>-416.13275685331871</v>
      </c>
      <c r="X175" s="674">
        <v>6233.0055074928914</v>
      </c>
      <c r="Y175" s="40">
        <v>5423.2053902361331</v>
      </c>
      <c r="Z175" s="52">
        <v>-809.80011725675831</v>
      </c>
      <c r="AA175" s="674">
        <v>515.05200000000013</v>
      </c>
      <c r="AB175" s="40">
        <v>0</v>
      </c>
      <c r="AC175" s="52">
        <v>-515.05200000000013</v>
      </c>
      <c r="AD175" s="674">
        <v>18402.351551097177</v>
      </c>
      <c r="AE175" s="40">
        <v>18241.122459165017</v>
      </c>
      <c r="AF175" s="35">
        <v>-161.22909193216037</v>
      </c>
      <c r="AG175" s="77">
        <v>50540.289689042693</v>
      </c>
      <c r="AH175" s="53">
        <v>45531.99206881642</v>
      </c>
      <c r="AI175" s="52">
        <v>-5008.2976202262726</v>
      </c>
      <c r="AJ175" s="674">
        <v>39391.53869931856</v>
      </c>
      <c r="AK175" s="40">
        <v>39132.775266478908</v>
      </c>
      <c r="AL175" s="52">
        <v>-258.76343283965252</v>
      </c>
      <c r="AM175" s="674">
        <v>0</v>
      </c>
      <c r="AN175" s="40">
        <v>0</v>
      </c>
      <c r="AO175" s="52">
        <v>0</v>
      </c>
      <c r="AP175" s="674">
        <v>3147.7844375958316</v>
      </c>
      <c r="AQ175" s="40">
        <v>2667.1315028901736</v>
      </c>
      <c r="AR175" s="52">
        <v>-480.65293470565803</v>
      </c>
      <c r="AS175" s="674">
        <v>58087.325306785388</v>
      </c>
      <c r="AT175" s="40">
        <v>71792.13</v>
      </c>
      <c r="AU175" s="54">
        <v>13704.804693214617</v>
      </c>
      <c r="AV175" s="674">
        <v>2396.849651850971</v>
      </c>
      <c r="AW175" s="40">
        <v>11007</v>
      </c>
      <c r="AX175" s="55">
        <v>8610.150348149029</v>
      </c>
      <c r="AY175" s="674">
        <v>2644.6988429234993</v>
      </c>
      <c r="AZ175" s="40">
        <v>5303</v>
      </c>
      <c r="BA175" s="35">
        <v>2658.3011570765007</v>
      </c>
      <c r="BB175" s="674">
        <v>1602.9611611766718</v>
      </c>
      <c r="BC175" s="40">
        <v>2242</v>
      </c>
      <c r="BD175" s="55">
        <v>639.03883882332821</v>
      </c>
      <c r="BE175" s="674">
        <v>2108.1213922897687</v>
      </c>
      <c r="BF175" s="40">
        <v>0</v>
      </c>
      <c r="BG175" s="38">
        <v>-2108.1213922897687</v>
      </c>
      <c r="BH175" s="674">
        <v>923.71373565197098</v>
      </c>
      <c r="BI175" s="40">
        <v>2859</v>
      </c>
      <c r="BJ175" s="55">
        <v>1935.2862643480289</v>
      </c>
      <c r="BK175" s="674">
        <v>1285.0570039622303</v>
      </c>
      <c r="BL175" s="40">
        <v>639</v>
      </c>
      <c r="BM175" s="38">
        <v>-646.05700396223028</v>
      </c>
      <c r="BN175" s="674">
        <v>354.43621588446871</v>
      </c>
      <c r="BO175" s="40">
        <v>0</v>
      </c>
      <c r="BP175" s="55">
        <v>-354.43621588446871</v>
      </c>
      <c r="BQ175" s="77">
        <v>11315.83800373958</v>
      </c>
      <c r="BR175" s="40">
        <v>22050</v>
      </c>
      <c r="BS175" s="55">
        <v>10734.16199626042</v>
      </c>
      <c r="BT175" s="674">
        <v>53952.491351355187</v>
      </c>
      <c r="BU175" s="40">
        <v>51173.545953559216</v>
      </c>
      <c r="BV175" s="52">
        <v>-2778.9453977959711</v>
      </c>
      <c r="BW175" s="674">
        <v>37945.534451059932</v>
      </c>
      <c r="BX175" s="40">
        <v>37060.39097740643</v>
      </c>
      <c r="BY175" s="52">
        <v>-885.14347365350113</v>
      </c>
      <c r="BZ175" s="674">
        <v>9820.8742053909518</v>
      </c>
      <c r="CA175" s="40">
        <v>11096.851392258421</v>
      </c>
      <c r="CB175" s="52">
        <v>1275.9771868674688</v>
      </c>
      <c r="CC175" s="674">
        <v>676.40755657272018</v>
      </c>
      <c r="CD175" s="40">
        <v>700.98355751259783</v>
      </c>
      <c r="CE175" s="52">
        <v>24.576000939877645</v>
      </c>
      <c r="CF175" s="674">
        <v>81.515660599151175</v>
      </c>
      <c r="CG175" s="40">
        <v>0</v>
      </c>
      <c r="CH175" s="52">
        <v>-81.515660599151175</v>
      </c>
      <c r="CI175" s="674">
        <v>14808.524502062668</v>
      </c>
      <c r="CJ175" s="40">
        <v>7675.8511248493032</v>
      </c>
      <c r="CK175" s="52">
        <v>-7132.6733772133648</v>
      </c>
      <c r="CL175" s="674">
        <v>10813.826585591754</v>
      </c>
      <c r="CM175" s="40">
        <v>11217.912665541975</v>
      </c>
      <c r="CN175" s="52">
        <v>404.08607995022066</v>
      </c>
      <c r="CO175" s="39">
        <v>25622.351087654424</v>
      </c>
      <c r="CP175" s="40">
        <v>18893.763790391276</v>
      </c>
      <c r="CQ175" s="52">
        <v>-6728.5872972631478</v>
      </c>
      <c r="CR175" s="72">
        <v>290581.95044911443</v>
      </c>
      <c r="CS175" s="5">
        <v>300099.56450931344</v>
      </c>
      <c r="CT175" s="52">
        <v>9517.6140601990046</v>
      </c>
      <c r="CU175" s="77">
        <v>348698.34053893731</v>
      </c>
      <c r="CV175" s="65">
        <v>360119.47741117614</v>
      </c>
      <c r="CW175" s="35">
        <v>11421.136872238829</v>
      </c>
      <c r="CX175" s="73">
        <v>7805.2993602328625</v>
      </c>
      <c r="CY175" s="40">
        <v>-3615.8375120060373</v>
      </c>
      <c r="CZ175" s="52">
        <v>-11421.1368722389</v>
      </c>
      <c r="DA175" s="150">
        <v>-26565.077178611093</v>
      </c>
      <c r="DB175" s="2">
        <v>1</v>
      </c>
      <c r="DC175" s="675">
        <v>43737.96</v>
      </c>
      <c r="DD175" s="675">
        <v>1349.97</v>
      </c>
      <c r="DE175" s="675">
        <v>12945.655051872262</v>
      </c>
      <c r="DF175" s="675">
        <v>1016.5680741168203</v>
      </c>
      <c r="DG175" s="321">
        <v>-37986.214050849987</v>
      </c>
      <c r="DH175" s="40">
        <v>356476.22144787677</v>
      </c>
      <c r="DI175" s="422">
        <v>31125.706874010917</v>
      </c>
      <c r="DJ175" s="306">
        <v>6.0411627952491722</v>
      </c>
      <c r="DK175" s="306">
        <v>7.3946462589418207</v>
      </c>
      <c r="DL175" s="306">
        <v>5.0439020557213281</v>
      </c>
      <c r="DM175" s="28">
        <v>30792.304948127738</v>
      </c>
      <c r="DN175" s="28">
        <v>333.40192588317979</v>
      </c>
      <c r="DO175" s="423">
        <v>31125.706874010917</v>
      </c>
      <c r="DP175" s="94">
        <v>0</v>
      </c>
      <c r="DQ175" s="28">
        <v>31125.706874010917</v>
      </c>
      <c r="DR175" s="318"/>
      <c r="DT175" s="8"/>
      <c r="DU175" s="5"/>
      <c r="DX175" s="5">
        <v>83283.79597262996</v>
      </c>
      <c r="DY175" s="5">
        <v>112610.556</v>
      </c>
      <c r="DZ175" s="159">
        <v>7294.4490897410324</v>
      </c>
      <c r="EB175" s="676">
        <v>3683.4986541615108</v>
      </c>
      <c r="EC175" s="676">
        <v>1477.3301371408525</v>
      </c>
      <c r="ED175" s="676">
        <v>-6044.5012628755794</v>
      </c>
      <c r="EE175" s="676">
        <v>45795.039016281167</v>
      </c>
      <c r="EF175" s="676">
        <v>-7663.3975250774529</v>
      </c>
      <c r="EG175" s="676">
        <v>-16279.589473015489</v>
      </c>
      <c r="EH175" s="676">
        <v>6806.5528608722088</v>
      </c>
      <c r="EI175" s="676">
        <v>-7717.3343468583298</v>
      </c>
      <c r="EJ175" s="676">
        <v>-6917.7093644230517</v>
      </c>
      <c r="EK175" s="676">
        <v>-5986.4952107538011</v>
      </c>
      <c r="EL175" s="676">
        <v>12390.678869778756</v>
      </c>
      <c r="EM175" s="676">
        <v>-8122.9354829918993</v>
      </c>
      <c r="EN175" s="676">
        <v>11421.136872238894</v>
      </c>
      <c r="EQ175" s="5">
        <v>83283.79597262996</v>
      </c>
      <c r="ER175" s="5">
        <v>112610.556</v>
      </c>
      <c r="ET175" s="318">
        <v>13462.720315570594</v>
      </c>
      <c r="EU175" s="5">
        <v>-31599.934366420559</v>
      </c>
    </row>
    <row r="176" spans="1:151" x14ac:dyDescent="0.3">
      <c r="A176" s="325">
        <v>150001025</v>
      </c>
      <c r="B176" s="41" t="s">
        <v>624</v>
      </c>
      <c r="C176" s="42" t="s">
        <v>421</v>
      </c>
      <c r="D176" s="27">
        <v>10</v>
      </c>
      <c r="E176" s="293">
        <v>5265.4</v>
      </c>
      <c r="F176" s="305">
        <v>5062.2</v>
      </c>
      <c r="G176" s="508">
        <v>311.8</v>
      </c>
      <c r="H176" s="677">
        <v>203.2</v>
      </c>
      <c r="I176" s="674">
        <v>18002.176867566475</v>
      </c>
      <c r="J176" s="40">
        <v>14912.961545896105</v>
      </c>
      <c r="K176" s="52">
        <v>-3089.21532167037</v>
      </c>
      <c r="L176" s="674">
        <v>3038.0697066757848</v>
      </c>
      <c r="M176" s="40">
        <v>2420.3350911404532</v>
      </c>
      <c r="N176" s="52">
        <v>-617.73461553533161</v>
      </c>
      <c r="O176" s="674">
        <v>7370.5648185835098</v>
      </c>
      <c r="P176" s="40">
        <v>7370.55</v>
      </c>
      <c r="Q176" s="52">
        <v>-1.481858350962284E-2</v>
      </c>
      <c r="R176" s="674">
        <v>1510.3831876336251</v>
      </c>
      <c r="S176" s="40">
        <v>1510.38</v>
      </c>
      <c r="T176" s="52">
        <v>-3.1876336249752057E-3</v>
      </c>
      <c r="U176" s="674">
        <v>763.65432305376612</v>
      </c>
      <c r="V176" s="40">
        <v>319.12145241848287</v>
      </c>
      <c r="W176" s="52">
        <v>-444.53287063528325</v>
      </c>
      <c r="X176" s="674">
        <v>6554.8391263800677</v>
      </c>
      <c r="Y176" s="40">
        <v>5011.388285628982</v>
      </c>
      <c r="Z176" s="52">
        <v>-1543.4508407510857</v>
      </c>
      <c r="AA176" s="674">
        <v>631.84799999999996</v>
      </c>
      <c r="AB176" s="40">
        <v>0</v>
      </c>
      <c r="AC176" s="52">
        <v>-631.84799999999996</v>
      </c>
      <c r="AD176" s="674">
        <v>22563.300583857897</v>
      </c>
      <c r="AE176" s="40">
        <v>22371.219987442702</v>
      </c>
      <c r="AF176" s="35">
        <v>-192.08059641519503</v>
      </c>
      <c r="AG176" s="77">
        <v>60434.836613751126</v>
      </c>
      <c r="AH176" s="53">
        <v>53915.956362526726</v>
      </c>
      <c r="AI176" s="52">
        <v>-6518.8802512244001</v>
      </c>
      <c r="AJ176" s="674">
        <v>39112.663877732761</v>
      </c>
      <c r="AK176" s="40">
        <v>38855.581221412758</v>
      </c>
      <c r="AL176" s="52">
        <v>-257.08265632000257</v>
      </c>
      <c r="AM176" s="674">
        <v>0</v>
      </c>
      <c r="AN176" s="40">
        <v>0</v>
      </c>
      <c r="AO176" s="52">
        <v>0</v>
      </c>
      <c r="AP176" s="674">
        <v>3462.5628813554135</v>
      </c>
      <c r="AQ176" s="40">
        <v>2877.6730769230771</v>
      </c>
      <c r="AR176" s="52">
        <v>-584.8898044323364</v>
      </c>
      <c r="AS176" s="674">
        <v>68234.703961902851</v>
      </c>
      <c r="AT176" s="40">
        <v>56007.13</v>
      </c>
      <c r="AU176" s="54">
        <v>-12227.573961902854</v>
      </c>
      <c r="AV176" s="674">
        <v>2952.5004019003595</v>
      </c>
      <c r="AW176" s="40">
        <v>2096.25</v>
      </c>
      <c r="AX176" s="55">
        <v>-856.25040190035952</v>
      </c>
      <c r="AY176" s="674">
        <v>3218.2346278866207</v>
      </c>
      <c r="AZ176" s="40">
        <v>2520</v>
      </c>
      <c r="BA176" s="35">
        <v>-698.23462788662073</v>
      </c>
      <c r="BB176" s="674">
        <v>1956.8044677882822</v>
      </c>
      <c r="BC176" s="40">
        <v>0</v>
      </c>
      <c r="BD176" s="55">
        <v>-1956.8044677882822</v>
      </c>
      <c r="BE176" s="674">
        <v>2327.2655100372072</v>
      </c>
      <c r="BF176" s="40">
        <v>440</v>
      </c>
      <c r="BG176" s="38">
        <v>-1887.2655100372072</v>
      </c>
      <c r="BH176" s="674">
        <v>986.74343512353164</v>
      </c>
      <c r="BI176" s="40">
        <v>0</v>
      </c>
      <c r="BJ176" s="55">
        <v>-986.74343512353164</v>
      </c>
      <c r="BK176" s="674">
        <v>1391.0161731161543</v>
      </c>
      <c r="BL176" s="40">
        <v>0</v>
      </c>
      <c r="BM176" s="38">
        <v>-1391.0161731161543</v>
      </c>
      <c r="BN176" s="674">
        <v>449.18798803126754</v>
      </c>
      <c r="BO176" s="40">
        <v>0</v>
      </c>
      <c r="BP176" s="55">
        <v>-449.18798803126754</v>
      </c>
      <c r="BQ176" s="77">
        <v>13281.752603883424</v>
      </c>
      <c r="BR176" s="40">
        <v>5056.25</v>
      </c>
      <c r="BS176" s="55">
        <v>-8225.5026038834239</v>
      </c>
      <c r="BT176" s="674">
        <v>69680.179489474598</v>
      </c>
      <c r="BU176" s="40">
        <v>67440.087740810428</v>
      </c>
      <c r="BV176" s="52">
        <v>-2240.0917486641702</v>
      </c>
      <c r="BW176" s="674">
        <v>41625.747880113558</v>
      </c>
      <c r="BX176" s="40">
        <v>40721.328239850831</v>
      </c>
      <c r="BY176" s="52">
        <v>-904.41964026272763</v>
      </c>
      <c r="BZ176" s="674">
        <v>8640.9204331308028</v>
      </c>
      <c r="CA176" s="40">
        <v>13566.940808832398</v>
      </c>
      <c r="CB176" s="52">
        <v>4926.0203757015952</v>
      </c>
      <c r="CC176" s="674">
        <v>560.03516384810052</v>
      </c>
      <c r="CD176" s="40">
        <v>584.15296459383148</v>
      </c>
      <c r="CE176" s="52">
        <v>24.11780074573096</v>
      </c>
      <c r="CF176" s="674">
        <v>67.929717165959346</v>
      </c>
      <c r="CG176" s="40">
        <v>665.33489215532018</v>
      </c>
      <c r="CH176" s="52">
        <v>597.40517498936083</v>
      </c>
      <c r="CI176" s="674">
        <v>12371.648372818012</v>
      </c>
      <c r="CJ176" s="40">
        <v>11406.284706176803</v>
      </c>
      <c r="CK176" s="52">
        <v>-965.36366664120942</v>
      </c>
      <c r="CL176" s="674">
        <v>10542.674284528601</v>
      </c>
      <c r="CM176" s="40">
        <v>10769.032901420813</v>
      </c>
      <c r="CN176" s="52">
        <v>226.35861689221201</v>
      </c>
      <c r="CO176" s="39">
        <v>22914.322657346613</v>
      </c>
      <c r="CP176" s="40">
        <v>22175.317607597615</v>
      </c>
      <c r="CQ176" s="52">
        <v>-739.00504974899741</v>
      </c>
      <c r="CR176" s="72">
        <v>328015.65527970518</v>
      </c>
      <c r="CS176" s="5">
        <v>301865.75291470299</v>
      </c>
      <c r="CT176" s="52">
        <v>-26149.902365002199</v>
      </c>
      <c r="CU176" s="77">
        <v>393618.78633564623</v>
      </c>
      <c r="CV176" s="65">
        <v>362238.90349764359</v>
      </c>
      <c r="CW176" s="35">
        <v>-31379.882838002639</v>
      </c>
      <c r="CX176" s="73">
        <v>11900.009508963145</v>
      </c>
      <c r="CY176" s="40">
        <v>43279.892346965862</v>
      </c>
      <c r="CZ176" s="52">
        <v>31379.882838002719</v>
      </c>
      <c r="DA176" s="150">
        <v>-46703.651782117508</v>
      </c>
      <c r="DB176" s="2">
        <v>1</v>
      </c>
      <c r="DC176" s="675">
        <v>39843.72</v>
      </c>
      <c r="DD176" s="675">
        <v>2978.7400000000002</v>
      </c>
      <c r="DE176" s="675">
        <v>5229.4462870319112</v>
      </c>
      <c r="DF176" s="675">
        <v>1993.7958217996497</v>
      </c>
      <c r="DG176" s="321">
        <v>-15323.768944114796</v>
      </c>
      <c r="DH176" s="40">
        <v>405488.23477433569</v>
      </c>
      <c r="DI176" s="422">
        <v>35599.217891168446</v>
      </c>
      <c r="DJ176" s="306">
        <v>5.7690279049624094</v>
      </c>
      <c r="DK176" s="306">
        <v>6.9079426600288008</v>
      </c>
      <c r="DL176" s="306">
        <v>4.8471662313009372</v>
      </c>
      <c r="DM176" s="28">
        <v>34614.27371296809</v>
      </c>
      <c r="DN176" s="28">
        <v>984.94417820035039</v>
      </c>
      <c r="DO176" s="423">
        <v>35599.217891168439</v>
      </c>
      <c r="DP176" s="94">
        <v>0</v>
      </c>
      <c r="DQ176" s="28">
        <v>35599.217891168439</v>
      </c>
      <c r="DR176" s="318"/>
      <c r="DT176" s="8"/>
      <c r="DU176" s="5"/>
      <c r="DX176" s="5">
        <v>97819.747878943526</v>
      </c>
      <c r="DY176" s="5">
        <v>73276.055999999997</v>
      </c>
      <c r="DZ176" s="159">
        <v>8575.1134676306065</v>
      </c>
      <c r="EB176" s="676">
        <v>1811.5454341827863</v>
      </c>
      <c r="EC176" s="676">
        <v>-1185.2851611310616</v>
      </c>
      <c r="ED176" s="676">
        <v>-5482.9799773198793</v>
      </c>
      <c r="EE176" s="676">
        <v>-6283.4368229607026</v>
      </c>
      <c r="EF176" s="676">
        <v>-1691.6607385825337</v>
      </c>
      <c r="EG176" s="676">
        <v>-14228.525569764108</v>
      </c>
      <c r="EH176" s="676">
        <v>11794.636669390042</v>
      </c>
      <c r="EI176" s="676">
        <v>-8178.8457686571128</v>
      </c>
      <c r="EJ176" s="676">
        <v>-10419.279370639277</v>
      </c>
      <c r="EK176" s="676">
        <v>-7635.8775811937485</v>
      </c>
      <c r="EL176" s="676">
        <v>-11116.745212083384</v>
      </c>
      <c r="EM176" s="676">
        <v>21236.571260756267</v>
      </c>
      <c r="EN176" s="676">
        <v>-31379.882838002712</v>
      </c>
      <c r="EQ176" s="5">
        <v>97819.747878943526</v>
      </c>
      <c r="ER176" s="5">
        <v>73276.055999999997</v>
      </c>
      <c r="ET176" s="318">
        <v>-25302.673924216466</v>
      </c>
      <c r="EU176" s="5">
        <v>8269.5049801016539</v>
      </c>
    </row>
    <row r="177" spans="1:151" x14ac:dyDescent="0.3">
      <c r="A177" s="325">
        <v>150001026</v>
      </c>
      <c r="B177" s="41" t="s">
        <v>625</v>
      </c>
      <c r="C177" s="42" t="s">
        <v>335</v>
      </c>
      <c r="D177" s="27">
        <v>8</v>
      </c>
      <c r="E177" s="293">
        <v>7052.84</v>
      </c>
      <c r="F177" s="305">
        <v>7052.84</v>
      </c>
      <c r="G177" s="508">
        <v>879.7</v>
      </c>
      <c r="H177" s="677">
        <v>0</v>
      </c>
      <c r="I177" s="674">
        <v>11187.093860295045</v>
      </c>
      <c r="J177" s="40">
        <v>9874.3112762191031</v>
      </c>
      <c r="K177" s="52">
        <v>-1312.7825840759415</v>
      </c>
      <c r="L177" s="674">
        <v>3796.9257830584424</v>
      </c>
      <c r="M177" s="40">
        <v>3026.3618523922278</v>
      </c>
      <c r="N177" s="52">
        <v>-770.56393066621467</v>
      </c>
      <c r="O177" s="674">
        <v>9596.2931082695486</v>
      </c>
      <c r="P177" s="40">
        <v>9596.31</v>
      </c>
      <c r="Q177" s="52">
        <v>1.689173045087955E-2</v>
      </c>
      <c r="R177" s="674">
        <v>2174.3133575587049</v>
      </c>
      <c r="S177" s="40">
        <v>2174.31</v>
      </c>
      <c r="T177" s="52">
        <v>-3.3575587049199385E-3</v>
      </c>
      <c r="U177" s="674">
        <v>2063.4796493766062</v>
      </c>
      <c r="V177" s="40">
        <v>862.26999841397696</v>
      </c>
      <c r="W177" s="52">
        <v>-1201.2096509626292</v>
      </c>
      <c r="X177" s="674">
        <v>16816.650236737682</v>
      </c>
      <c r="Y177" s="40">
        <v>12498.496246052655</v>
      </c>
      <c r="Z177" s="52">
        <v>-4318.1539906850267</v>
      </c>
      <c r="AA177" s="674">
        <v>846.17279999999994</v>
      </c>
      <c r="AB177" s="40">
        <v>0</v>
      </c>
      <c r="AC177" s="52">
        <v>-846.17279999999994</v>
      </c>
      <c r="AD177" s="674">
        <v>30237.547929204651</v>
      </c>
      <c r="AE177" s="40">
        <v>29965.555356902674</v>
      </c>
      <c r="AF177" s="35">
        <v>-271.99257230197691</v>
      </c>
      <c r="AG177" s="77">
        <v>76718.476724500681</v>
      </c>
      <c r="AH177" s="53">
        <v>67997.614729980647</v>
      </c>
      <c r="AI177" s="52">
        <v>-8720.8619945200335</v>
      </c>
      <c r="AJ177" s="674">
        <v>59548.972825064142</v>
      </c>
      <c r="AK177" s="40">
        <v>59157.899049456355</v>
      </c>
      <c r="AL177" s="52">
        <v>-391.07377560778696</v>
      </c>
      <c r="AM177" s="674">
        <v>5996.1657866127916</v>
      </c>
      <c r="AN177" s="40">
        <v>1934.5694099749771</v>
      </c>
      <c r="AO177" s="52">
        <v>-4061.5963766378145</v>
      </c>
      <c r="AP177" s="674">
        <v>5755.9486858895179</v>
      </c>
      <c r="AQ177" s="40">
        <v>4789.9783145737183</v>
      </c>
      <c r="AR177" s="52">
        <v>-965.97037131579964</v>
      </c>
      <c r="AS177" s="674">
        <v>118181.03226996228</v>
      </c>
      <c r="AT177" s="40">
        <v>38374</v>
      </c>
      <c r="AU177" s="54">
        <v>-79807.032269962277</v>
      </c>
      <c r="AV177" s="674">
        <v>1541.3933870941476</v>
      </c>
      <c r="AW177" s="40">
        <v>1322</v>
      </c>
      <c r="AX177" s="55">
        <v>-219.39338709414756</v>
      </c>
      <c r="AY177" s="674">
        <v>3219.878459344191</v>
      </c>
      <c r="AZ177" s="40">
        <v>4567</v>
      </c>
      <c r="BA177" s="35">
        <v>1347.121540655809</v>
      </c>
      <c r="BB177" s="674">
        <v>1144.7134010235029</v>
      </c>
      <c r="BC177" s="40">
        <v>0</v>
      </c>
      <c r="BD177" s="55">
        <v>-1144.7134010235029</v>
      </c>
      <c r="BE177" s="674">
        <v>2583.8611225688737</v>
      </c>
      <c r="BF177" s="40">
        <v>0</v>
      </c>
      <c r="BG177" s="38">
        <v>-2583.8611225688737</v>
      </c>
      <c r="BH177" s="674">
        <v>2323.4734035448423</v>
      </c>
      <c r="BI177" s="40">
        <v>0</v>
      </c>
      <c r="BJ177" s="55">
        <v>-2323.4734035448423</v>
      </c>
      <c r="BK177" s="674">
        <v>2592.611494684561</v>
      </c>
      <c r="BL177" s="40">
        <v>0</v>
      </c>
      <c r="BM177" s="38">
        <v>-2592.611494684561</v>
      </c>
      <c r="BN177" s="674">
        <v>1035.4816579214221</v>
      </c>
      <c r="BO177" s="40">
        <v>0</v>
      </c>
      <c r="BP177" s="55">
        <v>-1035.4816579214221</v>
      </c>
      <c r="BQ177" s="77">
        <v>14441.41292618154</v>
      </c>
      <c r="BR177" s="40">
        <v>5889</v>
      </c>
      <c r="BS177" s="55">
        <v>-8552.4129261815397</v>
      </c>
      <c r="BT177" s="674">
        <v>93439.524693934814</v>
      </c>
      <c r="BU177" s="40">
        <v>84894.023140741978</v>
      </c>
      <c r="BV177" s="52">
        <v>-8545.5015531928366</v>
      </c>
      <c r="BW177" s="674">
        <v>52616.20132142619</v>
      </c>
      <c r="BX177" s="40">
        <v>56972.549365381405</v>
      </c>
      <c r="BY177" s="52">
        <v>4356.348043955215</v>
      </c>
      <c r="BZ177" s="674">
        <v>11959.831056270354</v>
      </c>
      <c r="CA177" s="40">
        <v>21767.251498367754</v>
      </c>
      <c r="CB177" s="52">
        <v>9807.4204420974002</v>
      </c>
      <c r="CC177" s="674">
        <v>2822.2237858572485</v>
      </c>
      <c r="CD177" s="40">
        <v>2960.1951480792404</v>
      </c>
      <c r="CE177" s="52">
        <v>137.97136222199197</v>
      </c>
      <c r="CF177" s="674">
        <v>344.23384173849894</v>
      </c>
      <c r="CG177" s="40">
        <v>0</v>
      </c>
      <c r="CH177" s="52">
        <v>-344.23384173849894</v>
      </c>
      <c r="CI177" s="674">
        <v>26791.563407330701</v>
      </c>
      <c r="CJ177" s="40">
        <v>24992.195137653387</v>
      </c>
      <c r="CK177" s="52">
        <v>-1799.3682696773139</v>
      </c>
      <c r="CL177" s="674">
        <v>25820.230684988594</v>
      </c>
      <c r="CM177" s="40">
        <v>25267.43572910934</v>
      </c>
      <c r="CN177" s="52">
        <v>-552.79495587925339</v>
      </c>
      <c r="CO177" s="39">
        <v>52611.794092319295</v>
      </c>
      <c r="CP177" s="40">
        <v>50259.630866762731</v>
      </c>
      <c r="CQ177" s="52">
        <v>-2352.1632255565637</v>
      </c>
      <c r="CR177" s="72">
        <v>494435.81800975732</v>
      </c>
      <c r="CS177" s="5">
        <v>394996.71152331878</v>
      </c>
      <c r="CT177" s="52">
        <v>-99439.106486438541</v>
      </c>
      <c r="CU177" s="77">
        <v>593322.98161170876</v>
      </c>
      <c r="CV177" s="65">
        <v>473996.05382798251</v>
      </c>
      <c r="CW177" s="35">
        <v>-119326.92778372625</v>
      </c>
      <c r="CX177" s="73">
        <v>13256.79547713906</v>
      </c>
      <c r="CY177" s="40">
        <v>132583.72326086537</v>
      </c>
      <c r="CZ177" s="52">
        <v>119326.92778372631</v>
      </c>
      <c r="DA177" s="150">
        <v>37205.629206862388</v>
      </c>
      <c r="DB177" s="2">
        <v>1</v>
      </c>
      <c r="DC177" s="675">
        <v>77160.14</v>
      </c>
      <c r="DD177" s="675">
        <v>0</v>
      </c>
      <c r="DE177" s="675">
        <v>24121.522548561654</v>
      </c>
      <c r="DF177" s="675">
        <v>0</v>
      </c>
      <c r="DG177" s="321">
        <v>156532.5569905887</v>
      </c>
      <c r="DH177" s="40">
        <v>606533.38136226276</v>
      </c>
      <c r="DI177" s="422">
        <v>53038.617451438338</v>
      </c>
      <c r="DJ177" s="306">
        <v>6.1519542693028075</v>
      </c>
      <c r="DK177" s="306">
        <v>7.7151568376438355</v>
      </c>
      <c r="DL177" s="306">
        <v>5.4054494663395838</v>
      </c>
      <c r="DM177" s="28">
        <v>53038.617451438346</v>
      </c>
      <c r="DN177" s="28">
        <v>0</v>
      </c>
      <c r="DO177" s="423">
        <v>53038.617451438346</v>
      </c>
      <c r="DP177" s="94">
        <v>0</v>
      </c>
      <c r="DQ177" s="28">
        <v>53038.617451438346</v>
      </c>
      <c r="DR177" s="318"/>
      <c r="DT177" s="8"/>
      <c r="DU177" s="5"/>
      <c r="DX177" s="5">
        <v>159146.93423537258</v>
      </c>
      <c r="DY177" s="5">
        <v>53115.6</v>
      </c>
      <c r="DZ177" s="159">
        <v>14598.577562504601</v>
      </c>
      <c r="EB177" s="676">
        <v>-5356.8519225720811</v>
      </c>
      <c r="EC177" s="676">
        <v>-7058.6353226295978</v>
      </c>
      <c r="ED177" s="676">
        <v>4956.9831395940564</v>
      </c>
      <c r="EE177" s="676">
        <v>-13494.420038304845</v>
      </c>
      <c r="EF177" s="676">
        <v>-18452.396816172375</v>
      </c>
      <c r="EG177" s="676">
        <v>-29202.296071401957</v>
      </c>
      <c r="EH177" s="676">
        <v>-8432.7908465034488</v>
      </c>
      <c r="EI177" s="676">
        <v>278.0216410384528</v>
      </c>
      <c r="EJ177" s="676">
        <v>-4356.0329932264212</v>
      </c>
      <c r="EK177" s="676">
        <v>-15051.771764759193</v>
      </c>
      <c r="EL177" s="676">
        <v>-15941.61236832312</v>
      </c>
      <c r="EM177" s="676">
        <v>-7215.1244204657633</v>
      </c>
      <c r="EN177" s="676">
        <v>-119326.92778372631</v>
      </c>
      <c r="EQ177" s="5">
        <v>159146.93423537258</v>
      </c>
      <c r="ER177" s="5">
        <v>53115.6</v>
      </c>
      <c r="ET177" s="318">
        <v>-19756.883022409464</v>
      </c>
      <c r="EU177" s="5">
        <v>26072.440012998104</v>
      </c>
    </row>
    <row r="178" spans="1:151" x14ac:dyDescent="0.3">
      <c r="A178" s="325">
        <v>150001027</v>
      </c>
      <c r="B178" s="41" t="s">
        <v>626</v>
      </c>
      <c r="C178" s="42" t="s">
        <v>368</v>
      </c>
      <c r="D178" s="27">
        <v>9</v>
      </c>
      <c r="E178" s="293">
        <v>10381.549999999999</v>
      </c>
      <c r="F178" s="305">
        <v>10260.299999999999</v>
      </c>
      <c r="G178" s="508">
        <v>1160.45</v>
      </c>
      <c r="H178" s="677">
        <v>121.25</v>
      </c>
      <c r="I178" s="674">
        <v>25840.569330542268</v>
      </c>
      <c r="J178" s="40">
        <v>21826.263756982244</v>
      </c>
      <c r="K178" s="52">
        <v>-4014.3055735600246</v>
      </c>
      <c r="L178" s="674">
        <v>4339.1956393809014</v>
      </c>
      <c r="M178" s="40">
        <v>3458.5329837744621</v>
      </c>
      <c r="N178" s="52">
        <v>-880.66265560643933</v>
      </c>
      <c r="O178" s="674">
        <v>14753.203767693338</v>
      </c>
      <c r="P178" s="40">
        <v>14753.219999999998</v>
      </c>
      <c r="Q178" s="52">
        <v>1.6232306659730966E-2</v>
      </c>
      <c r="R178" s="674">
        <v>3297.3356029152546</v>
      </c>
      <c r="S178" s="40">
        <v>3297.329999999999</v>
      </c>
      <c r="T178" s="52">
        <v>-5.6029152556220652E-3</v>
      </c>
      <c r="U178" s="674">
        <v>4224.582062764749</v>
      </c>
      <c r="V178" s="40">
        <v>1765.3622566222757</v>
      </c>
      <c r="W178" s="52">
        <v>-2459.2198061424733</v>
      </c>
      <c r="X178" s="674">
        <v>22790.626841673686</v>
      </c>
      <c r="Y178" s="40">
        <v>16873.795628238156</v>
      </c>
      <c r="Z178" s="52">
        <v>-5916.8312134355292</v>
      </c>
      <c r="AA178" s="674">
        <v>1246.1220000000001</v>
      </c>
      <c r="AB178" s="40">
        <v>0</v>
      </c>
      <c r="AC178" s="52">
        <v>-1246.1220000000001</v>
      </c>
      <c r="AD178" s="674">
        <v>44506.729886468769</v>
      </c>
      <c r="AE178" s="40">
        <v>44111.039189814583</v>
      </c>
      <c r="AF178" s="35">
        <v>-395.69069665418647</v>
      </c>
      <c r="AG178" s="77">
        <v>120998.36513143897</v>
      </c>
      <c r="AH178" s="53">
        <v>106085.54381543172</v>
      </c>
      <c r="AI178" s="52">
        <v>-14912.821316007248</v>
      </c>
      <c r="AJ178" s="674">
        <v>86174.53755501339</v>
      </c>
      <c r="AK178" s="40">
        <v>85608.746542823239</v>
      </c>
      <c r="AL178" s="52">
        <v>-565.79101219015138</v>
      </c>
      <c r="AM178" s="674">
        <v>630.44965500000001</v>
      </c>
      <c r="AN178" s="40">
        <v>0</v>
      </c>
      <c r="AO178" s="52">
        <v>-630.44965500000001</v>
      </c>
      <c r="AP178" s="674">
        <v>7194.9358573618993</v>
      </c>
      <c r="AQ178" s="40">
        <v>5817.094846831551</v>
      </c>
      <c r="AR178" s="52">
        <v>-1377.8410105303483</v>
      </c>
      <c r="AS178" s="674">
        <v>162402.74220370443</v>
      </c>
      <c r="AT178" s="40">
        <v>196679.91</v>
      </c>
      <c r="AU178" s="54">
        <v>34277.167796295573</v>
      </c>
      <c r="AV178" s="674">
        <v>3592.8793460029601</v>
      </c>
      <c r="AW178" s="40">
        <v>1951</v>
      </c>
      <c r="AX178" s="55">
        <v>-1641.8793460029601</v>
      </c>
      <c r="AY178" s="674">
        <v>4204.7238881617059</v>
      </c>
      <c r="AZ178" s="40">
        <v>24911.14</v>
      </c>
      <c r="BA178" s="35">
        <v>20706.416111838294</v>
      </c>
      <c r="BB178" s="674">
        <v>2762.9587952070251</v>
      </c>
      <c r="BC178" s="40">
        <v>3644.52</v>
      </c>
      <c r="BD178" s="55">
        <v>881.56120479297488</v>
      </c>
      <c r="BE178" s="674">
        <v>4664.5119022936979</v>
      </c>
      <c r="BF178" s="40">
        <v>0</v>
      </c>
      <c r="BG178" s="38">
        <v>-4664.5119022936979</v>
      </c>
      <c r="BH178" s="674">
        <v>4756.7307518330008</v>
      </c>
      <c r="BI178" s="40">
        <v>0</v>
      </c>
      <c r="BJ178" s="55">
        <v>-4756.7307518330008</v>
      </c>
      <c r="BK178" s="674">
        <v>4391.900473390303</v>
      </c>
      <c r="BL178" s="40">
        <v>513</v>
      </c>
      <c r="BM178" s="38">
        <v>-3878.900473390303</v>
      </c>
      <c r="BN178" s="674">
        <v>705.45797308835722</v>
      </c>
      <c r="BO178" s="40">
        <v>0</v>
      </c>
      <c r="BP178" s="55">
        <v>-705.45797308835722</v>
      </c>
      <c r="BQ178" s="77">
        <v>25079.163129977049</v>
      </c>
      <c r="BR178" s="40">
        <v>31019.66</v>
      </c>
      <c r="BS178" s="55">
        <v>5940.496870022951</v>
      </c>
      <c r="BT178" s="674">
        <v>109410.89643369213</v>
      </c>
      <c r="BU178" s="40">
        <v>107004.50563204862</v>
      </c>
      <c r="BV178" s="52">
        <v>-2406.3908016435162</v>
      </c>
      <c r="BW178" s="674">
        <v>77918.619846304471</v>
      </c>
      <c r="BX178" s="40">
        <v>80547.482275214104</v>
      </c>
      <c r="BY178" s="52">
        <v>2628.8624289096333</v>
      </c>
      <c r="BZ178" s="674">
        <v>19693.664232547359</v>
      </c>
      <c r="CA178" s="40">
        <v>26838.887297552457</v>
      </c>
      <c r="CB178" s="52">
        <v>7145.2230650050988</v>
      </c>
      <c r="CC178" s="674">
        <v>2072.7333110426853</v>
      </c>
      <c r="CD178" s="40">
        <v>2172.4648753244592</v>
      </c>
      <c r="CE178" s="52">
        <v>99.731564281773899</v>
      </c>
      <c r="CF178" s="674">
        <v>252.63061814020273</v>
      </c>
      <c r="CG178" s="40">
        <v>0</v>
      </c>
      <c r="CH178" s="52">
        <v>-252.63061814020273</v>
      </c>
      <c r="CI178" s="674">
        <v>32665.433392414758</v>
      </c>
      <c r="CJ178" s="40">
        <v>23242.135879837122</v>
      </c>
      <c r="CK178" s="52">
        <v>-9423.2975125776356</v>
      </c>
      <c r="CL178" s="674">
        <v>18652.455423325729</v>
      </c>
      <c r="CM178" s="40">
        <v>17911.73916403098</v>
      </c>
      <c r="CN178" s="52">
        <v>-740.71625929474976</v>
      </c>
      <c r="CO178" s="39">
        <v>51317.888815740487</v>
      </c>
      <c r="CP178" s="40">
        <v>41153.875043868102</v>
      </c>
      <c r="CQ178" s="52">
        <v>-10164.013771872385</v>
      </c>
      <c r="CR178" s="72">
        <v>663146.62678996311</v>
      </c>
      <c r="CS178" s="5">
        <v>682928.17032909417</v>
      </c>
      <c r="CT178" s="52">
        <v>19781.54353913106</v>
      </c>
      <c r="CU178" s="77">
        <v>795775.95214795566</v>
      </c>
      <c r="CV178" s="65">
        <v>819513.80439491302</v>
      </c>
      <c r="CW178" s="35">
        <v>23737.852246957365</v>
      </c>
      <c r="CX178" s="73">
        <v>24110.765762916693</v>
      </c>
      <c r="CY178" s="40">
        <v>372.91351595921151</v>
      </c>
      <c r="CZ178" s="52">
        <v>-23737.852246957482</v>
      </c>
      <c r="DA178" s="150">
        <v>54285.961578224167</v>
      </c>
      <c r="DB178" s="2">
        <v>1</v>
      </c>
      <c r="DC178" s="675">
        <v>222680.43</v>
      </c>
      <c r="DD178" s="675">
        <v>8398.64</v>
      </c>
      <c r="DE178" s="675">
        <v>151552.43886646107</v>
      </c>
      <c r="DF178" s="675">
        <v>7791.750332929636</v>
      </c>
      <c r="DG178" s="321">
        <v>30548.109331266693</v>
      </c>
      <c r="DH178" s="40">
        <v>819824.15214556083</v>
      </c>
      <c r="DI178" s="422">
        <v>71734.880800609288</v>
      </c>
      <c r="DJ178" s="306">
        <v>5.8523338005686236</v>
      </c>
      <c r="DK178" s="306">
        <v>7.0700781193831848</v>
      </c>
      <c r="DL178" s="306">
        <v>5.005275604704031</v>
      </c>
      <c r="DM178" s="28">
        <v>71127.991133538919</v>
      </c>
      <c r="DN178" s="28">
        <v>606.88966707036377</v>
      </c>
      <c r="DO178" s="423">
        <v>71734.880800609288</v>
      </c>
      <c r="DP178" s="94">
        <v>0</v>
      </c>
      <c r="DQ178" s="28">
        <v>71734.880800609288</v>
      </c>
      <c r="DR178" s="318"/>
      <c r="DT178" s="8"/>
      <c r="DU178" s="5"/>
      <c r="DX178" s="5">
        <v>224978.28640041777</v>
      </c>
      <c r="DY178" s="5">
        <v>273239.484</v>
      </c>
      <c r="DZ178" s="159">
        <v>20166.984206476882</v>
      </c>
      <c r="EB178" s="676">
        <v>-1290.8152186189982</v>
      </c>
      <c r="EC178" s="676">
        <v>12249.475503200534</v>
      </c>
      <c r="ED178" s="676">
        <v>79937.806393970983</v>
      </c>
      <c r="EE178" s="676">
        <v>61139.720409922826</v>
      </c>
      <c r="EF178" s="676">
        <v>-15157.278264147273</v>
      </c>
      <c r="EG178" s="676">
        <v>-20774.459043095725</v>
      </c>
      <c r="EH178" s="676">
        <v>-18518.431857040676</v>
      </c>
      <c r="EI178" s="676">
        <v>-18900.756506913458</v>
      </c>
      <c r="EJ178" s="676">
        <v>-8883.1216912441087</v>
      </c>
      <c r="EK178" s="676">
        <v>-15221.384110562394</v>
      </c>
      <c r="EL178" s="676">
        <v>-22295.933234473872</v>
      </c>
      <c r="EM178" s="676">
        <v>-8546.9701340403335</v>
      </c>
      <c r="EN178" s="676">
        <v>23737.852246957475</v>
      </c>
      <c r="EQ178" s="5">
        <v>224978.28640041777</v>
      </c>
      <c r="ER178" s="5">
        <v>273239.484</v>
      </c>
      <c r="ET178" s="318">
        <v>-104750.66240178746</v>
      </c>
      <c r="EU178" s="5">
        <v>86793.971733054146</v>
      </c>
    </row>
    <row r="179" spans="1:151" x14ac:dyDescent="0.3">
      <c r="A179" s="325">
        <v>150001028</v>
      </c>
      <c r="B179" s="41" t="s">
        <v>627</v>
      </c>
      <c r="C179" s="42" t="s">
        <v>102</v>
      </c>
      <c r="D179" s="27">
        <v>1</v>
      </c>
      <c r="E179" s="293">
        <v>110.7</v>
      </c>
      <c r="F179" s="305">
        <v>110.7</v>
      </c>
      <c r="G179" s="508">
        <v>0</v>
      </c>
      <c r="H179" s="677">
        <v>0</v>
      </c>
      <c r="I179" s="674">
        <v>0</v>
      </c>
      <c r="J179" s="40">
        <v>0</v>
      </c>
      <c r="K179" s="52">
        <v>0</v>
      </c>
      <c r="L179" s="674">
        <v>0</v>
      </c>
      <c r="M179" s="40">
        <v>0</v>
      </c>
      <c r="N179" s="52">
        <v>0</v>
      </c>
      <c r="O179" s="674">
        <v>0</v>
      </c>
      <c r="P179" s="40">
        <v>0</v>
      </c>
      <c r="Q179" s="52">
        <v>0</v>
      </c>
      <c r="R179" s="674">
        <v>0</v>
      </c>
      <c r="S179" s="40">
        <v>0</v>
      </c>
      <c r="T179" s="52">
        <v>0</v>
      </c>
      <c r="U179" s="674">
        <v>0</v>
      </c>
      <c r="V179" s="40">
        <v>0</v>
      </c>
      <c r="W179" s="52">
        <v>0</v>
      </c>
      <c r="X179" s="674">
        <v>0</v>
      </c>
      <c r="Y179" s="40">
        <v>0</v>
      </c>
      <c r="Z179" s="52">
        <v>0</v>
      </c>
      <c r="AA179" s="674">
        <v>13.283999999999999</v>
      </c>
      <c r="AB179" s="40">
        <v>0</v>
      </c>
      <c r="AC179" s="52">
        <v>-13.283999999999999</v>
      </c>
      <c r="AD179" s="674">
        <v>106.32422974137238</v>
      </c>
      <c r="AE179" s="40">
        <v>470.33350792150776</v>
      </c>
      <c r="AF179" s="35">
        <v>364.00927818013537</v>
      </c>
      <c r="AG179" s="77">
        <v>119.60822974137238</v>
      </c>
      <c r="AH179" s="53">
        <v>470.33350792150776</v>
      </c>
      <c r="AI179" s="52">
        <v>350.72527818013538</v>
      </c>
      <c r="AJ179" s="674">
        <v>0</v>
      </c>
      <c r="AK179" s="40">
        <v>0</v>
      </c>
      <c r="AL179" s="52">
        <v>0</v>
      </c>
      <c r="AM179" s="674">
        <v>0</v>
      </c>
      <c r="AN179" s="40">
        <v>0</v>
      </c>
      <c r="AO179" s="52">
        <v>0</v>
      </c>
      <c r="AP179" s="674">
        <v>224.84174554255935</v>
      </c>
      <c r="AQ179" s="40">
        <v>186.98520801246201</v>
      </c>
      <c r="AR179" s="52">
        <v>-37.856537530097341</v>
      </c>
      <c r="AS179" s="674">
        <v>1901.7111345716053</v>
      </c>
      <c r="AT179" s="40">
        <v>1214</v>
      </c>
      <c r="AU179" s="54">
        <v>-687.71113457160527</v>
      </c>
      <c r="AV179" s="674">
        <v>0</v>
      </c>
      <c r="AW179" s="40">
        <v>0</v>
      </c>
      <c r="AX179" s="55">
        <v>0</v>
      </c>
      <c r="AY179" s="674">
        <v>0</v>
      </c>
      <c r="AZ179" s="40">
        <v>0</v>
      </c>
      <c r="BA179" s="35">
        <v>0</v>
      </c>
      <c r="BB179" s="674">
        <v>0</v>
      </c>
      <c r="BC179" s="40">
        <v>0</v>
      </c>
      <c r="BD179" s="55">
        <v>0</v>
      </c>
      <c r="BE179" s="674">
        <v>0</v>
      </c>
      <c r="BF179" s="40">
        <v>0</v>
      </c>
      <c r="BG179" s="38">
        <v>0</v>
      </c>
      <c r="BH179" s="674">
        <v>0</v>
      </c>
      <c r="BI179" s="40">
        <v>0</v>
      </c>
      <c r="BJ179" s="55">
        <v>0</v>
      </c>
      <c r="BK179" s="674">
        <v>0</v>
      </c>
      <c r="BL179" s="40">
        <v>0</v>
      </c>
      <c r="BM179" s="38">
        <v>0</v>
      </c>
      <c r="BN179" s="674">
        <v>7.2515047893068729</v>
      </c>
      <c r="BO179" s="40">
        <v>0</v>
      </c>
      <c r="BP179" s="55">
        <v>-7.2515047893068729</v>
      </c>
      <c r="BQ179" s="77">
        <v>7.2515047893068729</v>
      </c>
      <c r="BR179" s="40">
        <v>0</v>
      </c>
      <c r="BS179" s="55">
        <v>-7.2515047893068729</v>
      </c>
      <c r="BT179" s="674">
        <v>161.50732259083321</v>
      </c>
      <c r="BU179" s="40">
        <v>212.42079960667641</v>
      </c>
      <c r="BV179" s="52">
        <v>50.913477015843199</v>
      </c>
      <c r="BW179" s="674">
        <v>0</v>
      </c>
      <c r="BX179" s="40">
        <v>2.5180574440413386</v>
      </c>
      <c r="BY179" s="52">
        <v>2.5180574440413386</v>
      </c>
      <c r="BZ179" s="674">
        <v>0</v>
      </c>
      <c r="CA179" s="40">
        <v>71.938685773077268</v>
      </c>
      <c r="CB179" s="52">
        <v>71.938685773077268</v>
      </c>
      <c r="CC179" s="674">
        <v>0</v>
      </c>
      <c r="CD179" s="40">
        <v>0</v>
      </c>
      <c r="CE179" s="52">
        <v>0</v>
      </c>
      <c r="CF179" s="674">
        <v>0</v>
      </c>
      <c r="CG179" s="40">
        <v>0</v>
      </c>
      <c r="CH179" s="52">
        <v>0</v>
      </c>
      <c r="CI179" s="674">
        <v>0</v>
      </c>
      <c r="CJ179" s="40">
        <v>0</v>
      </c>
      <c r="CK179" s="52">
        <v>0</v>
      </c>
      <c r="CL179" s="674">
        <v>0</v>
      </c>
      <c r="CM179" s="40">
        <v>0</v>
      </c>
      <c r="CN179" s="52">
        <v>0</v>
      </c>
      <c r="CO179" s="39">
        <v>0</v>
      </c>
      <c r="CP179" s="40">
        <v>0</v>
      </c>
      <c r="CQ179" s="52">
        <v>0</v>
      </c>
      <c r="CR179" s="72">
        <v>2414.919937235677</v>
      </c>
      <c r="CS179" s="5">
        <v>2158.196258757765</v>
      </c>
      <c r="CT179" s="52">
        <v>-256.72367847791202</v>
      </c>
      <c r="CU179" s="77">
        <v>2897.9039246828124</v>
      </c>
      <c r="CV179" s="65">
        <v>2589.8355105093178</v>
      </c>
      <c r="CW179" s="35">
        <v>-308.0684141734946</v>
      </c>
      <c r="CX179" s="73">
        <v>41.228403533475188</v>
      </c>
      <c r="CY179" s="40">
        <v>349.29681770697078</v>
      </c>
      <c r="CZ179" s="52">
        <v>308.06841417349563</v>
      </c>
      <c r="DA179" s="150">
        <v>-1696.9412165159301</v>
      </c>
      <c r="DB179" s="2">
        <v>1</v>
      </c>
      <c r="DC179" s="675">
        <v>291.14999999999998</v>
      </c>
      <c r="DD179" s="675">
        <v>0</v>
      </c>
      <c r="DE179" s="675">
        <v>33.298221663824904</v>
      </c>
      <c r="DF179" s="675">
        <v>0</v>
      </c>
      <c r="DG179" s="321">
        <v>-1388.8728023424346</v>
      </c>
      <c r="DH179" s="40">
        <v>2938.9102922996481</v>
      </c>
      <c r="DI179" s="422">
        <v>257.85177833617513</v>
      </c>
      <c r="DJ179" s="306">
        <v>2.3292843571470194</v>
      </c>
      <c r="DK179" s="306">
        <v>2.3292843571470194</v>
      </c>
      <c r="DL179" s="306">
        <v>2.3292843571470194</v>
      </c>
      <c r="DM179" s="28">
        <v>257.85177833617507</v>
      </c>
      <c r="DN179" s="28">
        <v>0</v>
      </c>
      <c r="DO179" s="423">
        <v>257.85177833617507</v>
      </c>
      <c r="DP179" s="94">
        <v>0</v>
      </c>
      <c r="DQ179" s="28">
        <v>257.85177833617507</v>
      </c>
      <c r="DR179" s="318"/>
      <c r="DT179" s="8"/>
      <c r="DU179" s="5"/>
      <c r="DX179" s="5">
        <v>2290.7551672330947</v>
      </c>
      <c r="DY179" s="5">
        <v>1456.8</v>
      </c>
      <c r="DZ179" s="159">
        <v>211.35918291671692</v>
      </c>
      <c r="EB179" s="676">
        <v>-13.219445473048665</v>
      </c>
      <c r="EC179" s="676">
        <v>-136.73201999952437</v>
      </c>
      <c r="ED179" s="676">
        <v>-134.72762340318903</v>
      </c>
      <c r="EE179" s="676">
        <v>-223.27538751083858</v>
      </c>
      <c r="EF179" s="676">
        <v>-176.94780132710969</v>
      </c>
      <c r="EG179" s="676">
        <v>-179.84109240562677</v>
      </c>
      <c r="EH179" s="676">
        <v>-69.103596499282645</v>
      </c>
      <c r="EI179" s="676">
        <v>-160.0168772898036</v>
      </c>
      <c r="EJ179" s="676">
        <v>-177.77771902065163</v>
      </c>
      <c r="EK179" s="676">
        <v>-153.1919207090163</v>
      </c>
      <c r="EL179" s="676">
        <v>1287.6882178366795</v>
      </c>
      <c r="EM179" s="676">
        <v>-170.92314837208374</v>
      </c>
      <c r="EN179" s="676">
        <v>-308.06841417349557</v>
      </c>
      <c r="EQ179" s="5">
        <v>2290.7551672330947</v>
      </c>
      <c r="ER179" s="5">
        <v>1456.8</v>
      </c>
      <c r="ET179" s="318">
        <v>-1351.2197123146309</v>
      </c>
      <c r="EU179" s="5">
        <v>1349.346909972196</v>
      </c>
    </row>
    <row r="180" spans="1:151" x14ac:dyDescent="0.3">
      <c r="A180" s="325">
        <v>150001036</v>
      </c>
      <c r="B180" s="41" t="s">
        <v>628</v>
      </c>
      <c r="C180" s="42" t="s">
        <v>103</v>
      </c>
      <c r="D180" s="27">
        <v>1</v>
      </c>
      <c r="E180" s="293">
        <v>211.4</v>
      </c>
      <c r="F180" s="305">
        <v>211.4</v>
      </c>
      <c r="G180" s="508">
        <v>0</v>
      </c>
      <c r="H180" s="677">
        <v>0</v>
      </c>
      <c r="I180" s="674">
        <v>0</v>
      </c>
      <c r="J180" s="40">
        <v>0</v>
      </c>
      <c r="K180" s="52">
        <v>0</v>
      </c>
      <c r="L180" s="674">
        <v>0</v>
      </c>
      <c r="M180" s="40">
        <v>0</v>
      </c>
      <c r="N180" s="52">
        <v>0</v>
      </c>
      <c r="O180" s="674">
        <v>0</v>
      </c>
      <c r="P180" s="40">
        <v>0</v>
      </c>
      <c r="Q180" s="52">
        <v>0</v>
      </c>
      <c r="R180" s="674">
        <v>0</v>
      </c>
      <c r="S180" s="40">
        <v>0</v>
      </c>
      <c r="T180" s="52">
        <v>0</v>
      </c>
      <c r="U180" s="674">
        <v>0</v>
      </c>
      <c r="V180" s="40">
        <v>0</v>
      </c>
      <c r="W180" s="52">
        <v>0</v>
      </c>
      <c r="X180" s="674">
        <v>0</v>
      </c>
      <c r="Y180" s="40">
        <v>0</v>
      </c>
      <c r="Z180" s="52">
        <v>0</v>
      </c>
      <c r="AA180" s="674">
        <v>25.367999999999999</v>
      </c>
      <c r="AB180" s="40">
        <v>0</v>
      </c>
      <c r="AC180" s="52">
        <v>-25.367999999999999</v>
      </c>
      <c r="AD180" s="674">
        <v>203.06022182725661</v>
      </c>
      <c r="AE180" s="40">
        <v>898.17979742192176</v>
      </c>
      <c r="AF180" s="35">
        <v>695.11957559466509</v>
      </c>
      <c r="AG180" s="77">
        <v>228.42822182725661</v>
      </c>
      <c r="AH180" s="53">
        <v>898.17979742192176</v>
      </c>
      <c r="AI180" s="52">
        <v>669.75157559466516</v>
      </c>
      <c r="AJ180" s="674">
        <v>0</v>
      </c>
      <c r="AK180" s="40">
        <v>0</v>
      </c>
      <c r="AL180" s="52">
        <v>0</v>
      </c>
      <c r="AM180" s="674">
        <v>0</v>
      </c>
      <c r="AN180" s="40">
        <v>0</v>
      </c>
      <c r="AO180" s="52">
        <v>0</v>
      </c>
      <c r="AP180" s="674">
        <v>224.84174554255935</v>
      </c>
      <c r="AQ180" s="40">
        <v>186.98520801246201</v>
      </c>
      <c r="AR180" s="52">
        <v>-37.856537530097341</v>
      </c>
      <c r="AS180" s="674">
        <v>2463.0999702652935</v>
      </c>
      <c r="AT180" s="40">
        <v>0</v>
      </c>
      <c r="AU180" s="54">
        <v>-2463.0999702652935</v>
      </c>
      <c r="AV180" s="674">
        <v>0</v>
      </c>
      <c r="AW180" s="40">
        <v>0</v>
      </c>
      <c r="AX180" s="55">
        <v>0</v>
      </c>
      <c r="AY180" s="674">
        <v>0</v>
      </c>
      <c r="AZ180" s="40">
        <v>0</v>
      </c>
      <c r="BA180" s="35">
        <v>0</v>
      </c>
      <c r="BB180" s="674">
        <v>0</v>
      </c>
      <c r="BC180" s="40">
        <v>0</v>
      </c>
      <c r="BD180" s="55">
        <v>0</v>
      </c>
      <c r="BE180" s="674">
        <v>0</v>
      </c>
      <c r="BF180" s="40">
        <v>0</v>
      </c>
      <c r="BG180" s="38">
        <v>0</v>
      </c>
      <c r="BH180" s="674">
        <v>0</v>
      </c>
      <c r="BI180" s="40">
        <v>0</v>
      </c>
      <c r="BJ180" s="55">
        <v>0</v>
      </c>
      <c r="BK180" s="674">
        <v>0</v>
      </c>
      <c r="BL180" s="40">
        <v>0</v>
      </c>
      <c r="BM180" s="38">
        <v>0</v>
      </c>
      <c r="BN180" s="674">
        <v>7.561204628690696</v>
      </c>
      <c r="BO180" s="40">
        <v>0</v>
      </c>
      <c r="BP180" s="55">
        <v>-7.561204628690696</v>
      </c>
      <c r="BQ180" s="77">
        <v>7.561204628690696</v>
      </c>
      <c r="BR180" s="40">
        <v>0</v>
      </c>
      <c r="BS180" s="55">
        <v>-7.561204628690696</v>
      </c>
      <c r="BT180" s="674">
        <v>717.81032262592532</v>
      </c>
      <c r="BU180" s="40">
        <v>944.18147503608259</v>
      </c>
      <c r="BV180" s="52">
        <v>226.37115241015726</v>
      </c>
      <c r="BW180" s="674">
        <v>0</v>
      </c>
      <c r="BX180" s="40">
        <v>4.8086480909696387</v>
      </c>
      <c r="BY180" s="52">
        <v>4.8086480909696387</v>
      </c>
      <c r="BZ180" s="674">
        <v>0</v>
      </c>
      <c r="CA180" s="40">
        <v>319.7826067491394</v>
      </c>
      <c r="CB180" s="52">
        <v>319.7826067491394</v>
      </c>
      <c r="CC180" s="674">
        <v>0</v>
      </c>
      <c r="CD180" s="40">
        <v>0</v>
      </c>
      <c r="CE180" s="52">
        <v>0</v>
      </c>
      <c r="CF180" s="674">
        <v>0</v>
      </c>
      <c r="CG180" s="40">
        <v>0</v>
      </c>
      <c r="CH180" s="52">
        <v>0</v>
      </c>
      <c r="CI180" s="674">
        <v>0</v>
      </c>
      <c r="CJ180" s="40">
        <v>0</v>
      </c>
      <c r="CK180" s="52">
        <v>0</v>
      </c>
      <c r="CL180" s="674">
        <v>0</v>
      </c>
      <c r="CM180" s="40">
        <v>0</v>
      </c>
      <c r="CN180" s="52">
        <v>0</v>
      </c>
      <c r="CO180" s="39">
        <v>0</v>
      </c>
      <c r="CP180" s="40">
        <v>0</v>
      </c>
      <c r="CQ180" s="52">
        <v>0</v>
      </c>
      <c r="CR180" s="72">
        <v>3641.7414648897256</v>
      </c>
      <c r="CS180" s="5">
        <v>2353.9377353105756</v>
      </c>
      <c r="CT180" s="52">
        <v>-1287.8037295791501</v>
      </c>
      <c r="CU180" s="77">
        <v>4370.0897578676704</v>
      </c>
      <c r="CV180" s="65">
        <v>2824.7252823726908</v>
      </c>
      <c r="CW180" s="35">
        <v>-1545.3644754949796</v>
      </c>
      <c r="CX180" s="73">
        <v>132.33333249913625</v>
      </c>
      <c r="CY180" s="40">
        <v>1677.6978079941157</v>
      </c>
      <c r="CZ180" s="52">
        <v>1545.3644754949794</v>
      </c>
      <c r="DA180" s="150">
        <v>-8303.4017705669994</v>
      </c>
      <c r="DB180" s="2">
        <v>1</v>
      </c>
      <c r="DC180" s="675">
        <v>461.77</v>
      </c>
      <c r="DD180" s="675">
        <v>0</v>
      </c>
      <c r="DE180" s="675">
        <v>67.500547311839966</v>
      </c>
      <c r="DF180" s="675">
        <v>0</v>
      </c>
      <c r="DG180" s="321">
        <v>-6758.0372950720193</v>
      </c>
      <c r="DH180" s="40">
        <v>4502.0805950424019</v>
      </c>
      <c r="DI180" s="422">
        <v>394.26945268816002</v>
      </c>
      <c r="DJ180" s="306">
        <v>1.8650399843337748</v>
      </c>
      <c r="DK180" s="306">
        <v>1.8650399843337748</v>
      </c>
      <c r="DL180" s="306">
        <v>1.8650399843337748</v>
      </c>
      <c r="DM180" s="28">
        <v>394.26945268816002</v>
      </c>
      <c r="DN180" s="28">
        <v>0</v>
      </c>
      <c r="DO180" s="423">
        <v>394.26945268816002</v>
      </c>
      <c r="DP180" s="94">
        <v>0</v>
      </c>
      <c r="DQ180" s="28">
        <v>394.26945268816002</v>
      </c>
      <c r="DR180" s="318"/>
      <c r="DT180" s="8"/>
      <c r="DU180" s="5"/>
      <c r="DX180" s="5">
        <v>2964.7934098727806</v>
      </c>
      <c r="DY180" s="5">
        <v>0</v>
      </c>
      <c r="DZ180" s="159">
        <v>265.26964048468335</v>
      </c>
      <c r="EB180" s="676">
        <v>-55.177807466744298</v>
      </c>
      <c r="EC180" s="676">
        <v>-189.0564251286836</v>
      </c>
      <c r="ED180" s="676">
        <v>-185.22869757253827</v>
      </c>
      <c r="EE180" s="676">
        <v>-321.07357933813944</v>
      </c>
      <c r="EF180" s="676">
        <v>-129.71857314365249</v>
      </c>
      <c r="EG180" s="676">
        <v>-136.93277634695602</v>
      </c>
      <c r="EH180" s="676">
        <v>-27.502707083359837</v>
      </c>
      <c r="EI180" s="676">
        <v>-95.048358044048939</v>
      </c>
      <c r="EJ180" s="676">
        <v>-128.83630921114482</v>
      </c>
      <c r="EK180" s="676">
        <v>-74.19655009884633</v>
      </c>
      <c r="EL180" s="676">
        <v>-108.66216932040874</v>
      </c>
      <c r="EM180" s="676">
        <v>-93.930522740456638</v>
      </c>
      <c r="EN180" s="676">
        <v>-1545.3644754949794</v>
      </c>
      <c r="EQ180" s="5">
        <v>2964.7934098727806</v>
      </c>
      <c r="ER180" s="5">
        <v>0</v>
      </c>
      <c r="ET180" s="318">
        <v>-2161.2084674956709</v>
      </c>
      <c r="EU180" s="5">
        <v>-2016.8288275763489</v>
      </c>
    </row>
    <row r="181" spans="1:151" x14ac:dyDescent="0.3">
      <c r="A181" s="325">
        <v>150001029</v>
      </c>
      <c r="B181" s="41" t="s">
        <v>629</v>
      </c>
      <c r="C181" s="42" t="s">
        <v>369</v>
      </c>
      <c r="D181" s="27">
        <v>9</v>
      </c>
      <c r="E181" s="293">
        <v>7425.1</v>
      </c>
      <c r="F181" s="305">
        <v>7425.1</v>
      </c>
      <c r="G181" s="508">
        <v>926.05</v>
      </c>
      <c r="H181" s="677">
        <v>0</v>
      </c>
      <c r="I181" s="674">
        <v>19902.868767645767</v>
      </c>
      <c r="J181" s="40">
        <v>16724.675832165627</v>
      </c>
      <c r="K181" s="52">
        <v>-3178.1929354801396</v>
      </c>
      <c r="L181" s="674">
        <v>3466.5396773968714</v>
      </c>
      <c r="M181" s="40">
        <v>2763.0149682265151</v>
      </c>
      <c r="N181" s="52">
        <v>-703.52470917035635</v>
      </c>
      <c r="O181" s="674">
        <v>11943.332376383314</v>
      </c>
      <c r="P181" s="40">
        <v>11943.33</v>
      </c>
      <c r="Q181" s="52">
        <v>-2.3763833141856594E-3</v>
      </c>
      <c r="R181" s="674">
        <v>2225.5039346884751</v>
      </c>
      <c r="S181" s="40">
        <v>2225.52</v>
      </c>
      <c r="T181" s="52">
        <v>1.6065311524926074E-2</v>
      </c>
      <c r="U181" s="674">
        <v>3168.4050162612084</v>
      </c>
      <c r="V181" s="40">
        <v>1323.9830837664495</v>
      </c>
      <c r="W181" s="52">
        <v>-1844.4219324947589</v>
      </c>
      <c r="X181" s="674">
        <v>14357.338224577807</v>
      </c>
      <c r="Y181" s="40">
        <v>10768.715929020329</v>
      </c>
      <c r="Z181" s="52">
        <v>-3588.6222955574776</v>
      </c>
      <c r="AA181" s="674">
        <v>891.28199999999993</v>
      </c>
      <c r="AB181" s="40">
        <v>0</v>
      </c>
      <c r="AC181" s="52">
        <v>-891.28199999999993</v>
      </c>
      <c r="AD181" s="674">
        <v>31837.580569571372</v>
      </c>
      <c r="AE181" s="40">
        <v>31547.688429450762</v>
      </c>
      <c r="AF181" s="35">
        <v>-289.89214012060984</v>
      </c>
      <c r="AG181" s="77">
        <v>87792.850566524809</v>
      </c>
      <c r="AH181" s="53">
        <v>77296.928242629685</v>
      </c>
      <c r="AI181" s="52">
        <v>-10495.922323895124</v>
      </c>
      <c r="AJ181" s="674">
        <v>67394.451901485794</v>
      </c>
      <c r="AK181" s="40">
        <v>66951.864559469817</v>
      </c>
      <c r="AL181" s="52">
        <v>-442.5873420159769</v>
      </c>
      <c r="AM181" s="674">
        <v>315.2248275</v>
      </c>
      <c r="AN181" s="40">
        <v>262.42166909619834</v>
      </c>
      <c r="AO181" s="52">
        <v>-52.80315840380166</v>
      </c>
      <c r="AP181" s="674">
        <v>5396.2018930214253</v>
      </c>
      <c r="AQ181" s="40">
        <v>4610.054483573881</v>
      </c>
      <c r="AR181" s="52">
        <v>-786.14740944754431</v>
      </c>
      <c r="AS181" s="674">
        <v>111170.57963583851</v>
      </c>
      <c r="AT181" s="40">
        <v>99171.540000000008</v>
      </c>
      <c r="AU181" s="54">
        <v>-11999.039635838504</v>
      </c>
      <c r="AV181" s="674">
        <v>3328.0523877689348</v>
      </c>
      <c r="AW181" s="40">
        <v>2040.2</v>
      </c>
      <c r="AX181" s="55">
        <v>-1287.8523877689347</v>
      </c>
      <c r="AY181" s="674">
        <v>4057.8817809159877</v>
      </c>
      <c r="AZ181" s="40">
        <v>4781.3599999999997</v>
      </c>
      <c r="BA181" s="35">
        <v>723.47821908401193</v>
      </c>
      <c r="BB181" s="674">
        <v>2888.7727630518657</v>
      </c>
      <c r="BC181" s="40">
        <v>0</v>
      </c>
      <c r="BD181" s="55">
        <v>-2888.7727630518657</v>
      </c>
      <c r="BE181" s="674">
        <v>3119.0937251373375</v>
      </c>
      <c r="BF181" s="40">
        <v>0</v>
      </c>
      <c r="BG181" s="38">
        <v>-3119.0937251373375</v>
      </c>
      <c r="BH181" s="674">
        <v>4093.7770492159775</v>
      </c>
      <c r="BI181" s="40">
        <v>0</v>
      </c>
      <c r="BJ181" s="55">
        <v>-4093.7770492159775</v>
      </c>
      <c r="BK181" s="674">
        <v>2756.1984953604619</v>
      </c>
      <c r="BL181" s="40">
        <v>0</v>
      </c>
      <c r="BM181" s="38">
        <v>-2756.1984953604619</v>
      </c>
      <c r="BN181" s="674">
        <v>794.32735148531663</v>
      </c>
      <c r="BO181" s="40">
        <v>0</v>
      </c>
      <c r="BP181" s="55">
        <v>-794.32735148531663</v>
      </c>
      <c r="BQ181" s="77">
        <v>21038.103552935881</v>
      </c>
      <c r="BR181" s="40">
        <v>6821.5599999999995</v>
      </c>
      <c r="BS181" s="55">
        <v>-14216.543552935882</v>
      </c>
      <c r="BT181" s="674">
        <v>100623.47117492987</v>
      </c>
      <c r="BU181" s="40">
        <v>106553.84097572132</v>
      </c>
      <c r="BV181" s="52">
        <v>5930.36980079145</v>
      </c>
      <c r="BW181" s="674">
        <v>42594.013666705301</v>
      </c>
      <c r="BX181" s="40">
        <v>46371.400938302279</v>
      </c>
      <c r="BY181" s="52">
        <v>3777.3872715969774</v>
      </c>
      <c r="BZ181" s="674">
        <v>33373.460153381711</v>
      </c>
      <c r="CA181" s="40">
        <v>27596.630109926125</v>
      </c>
      <c r="CB181" s="52">
        <v>-5776.8300434555858</v>
      </c>
      <c r="CC181" s="674">
        <v>2089.6422744408724</v>
      </c>
      <c r="CD181" s="40">
        <v>2191.7419231560552</v>
      </c>
      <c r="CE181" s="52">
        <v>102.09964871518287</v>
      </c>
      <c r="CF181" s="674">
        <v>254.87229880667937</v>
      </c>
      <c r="CG181" s="40">
        <v>0</v>
      </c>
      <c r="CH181" s="52">
        <v>-254.87229880667937</v>
      </c>
      <c r="CI181" s="674">
        <v>26955.423709457009</v>
      </c>
      <c r="CJ181" s="40">
        <v>25816.67720725399</v>
      </c>
      <c r="CK181" s="52">
        <v>-1138.7465022030192</v>
      </c>
      <c r="CL181" s="674">
        <v>10889.022563249642</v>
      </c>
      <c r="CM181" s="40">
        <v>11464.760146112876</v>
      </c>
      <c r="CN181" s="52">
        <v>575.73758286323391</v>
      </c>
      <c r="CO181" s="39">
        <v>37844.446272706649</v>
      </c>
      <c r="CP181" s="40">
        <v>37281.43735336687</v>
      </c>
      <c r="CQ181" s="52">
        <v>-563.00891933977982</v>
      </c>
      <c r="CR181" s="72">
        <v>509887.31821827748</v>
      </c>
      <c r="CS181" s="5">
        <v>475109.42025524221</v>
      </c>
      <c r="CT181" s="52">
        <v>-34777.89796303527</v>
      </c>
      <c r="CU181" s="77">
        <v>611864.78186193295</v>
      </c>
      <c r="CV181" s="65">
        <v>570131.30430629058</v>
      </c>
      <c r="CW181" s="35">
        <v>-41733.47755564237</v>
      </c>
      <c r="CX181" s="73">
        <v>18507.775040522993</v>
      </c>
      <c r="CY181" s="40">
        <v>60241.252596165396</v>
      </c>
      <c r="CZ181" s="52">
        <v>41733.477555642399</v>
      </c>
      <c r="DA181" s="150">
        <v>-23894.716925053886</v>
      </c>
      <c r="DB181" s="2">
        <v>1</v>
      </c>
      <c r="DC181" s="675">
        <v>90500.52</v>
      </c>
      <c r="DD181" s="675">
        <v>0</v>
      </c>
      <c r="DE181" s="675">
        <v>35206.339755031993</v>
      </c>
      <c r="DF181" s="675">
        <v>0</v>
      </c>
      <c r="DG181" s="321">
        <v>17838.760630588476</v>
      </c>
      <c r="DH181" s="40">
        <v>630324.90725455829</v>
      </c>
      <c r="DI181" s="422">
        <v>55294.180244968011</v>
      </c>
      <c r="DJ181" s="306">
        <v>6.3200055743525345</v>
      </c>
      <c r="DK181" s="306">
        <v>7.6075024938781581</v>
      </c>
      <c r="DL181" s="306">
        <v>5.7199924102816881</v>
      </c>
      <c r="DM181" s="28">
        <v>55294.180244968011</v>
      </c>
      <c r="DN181" s="28">
        <v>0</v>
      </c>
      <c r="DO181" s="423">
        <v>55294.180244968011</v>
      </c>
      <c r="DP181" s="94">
        <v>0</v>
      </c>
      <c r="DQ181" s="28">
        <v>55294.180244968011</v>
      </c>
      <c r="DR181" s="318"/>
      <c r="DT181" s="8"/>
      <c r="DU181" s="5"/>
      <c r="DX181" s="5">
        <v>158650.41982652925</v>
      </c>
      <c r="DY181" s="5">
        <v>127191.72</v>
      </c>
      <c r="DZ181" s="159">
        <v>14188.027500055161</v>
      </c>
      <c r="EB181" s="676">
        <v>-2113.2623705762962</v>
      </c>
      <c r="EC181" s="676">
        <v>828.77298702380358</v>
      </c>
      <c r="ED181" s="676">
        <v>793.29097299210116</v>
      </c>
      <c r="EE181" s="676">
        <v>-20846.786480190291</v>
      </c>
      <c r="EF181" s="676">
        <v>19621.661431424967</v>
      </c>
      <c r="EG181" s="676">
        <v>-2163.4993820618038</v>
      </c>
      <c r="EH181" s="676">
        <v>-20298.028779355416</v>
      </c>
      <c r="EI181" s="676">
        <v>9919.4504926488153</v>
      </c>
      <c r="EJ181" s="676">
        <v>-15552.166204190697</v>
      </c>
      <c r="EK181" s="676">
        <v>16489.22241119104</v>
      </c>
      <c r="EL181" s="676">
        <v>-14942.305174875604</v>
      </c>
      <c r="EM181" s="676">
        <v>-13469.827459672983</v>
      </c>
      <c r="EN181" s="676">
        <v>-41733.477555642363</v>
      </c>
      <c r="EQ181" s="5">
        <v>158650.41982652925</v>
      </c>
      <c r="ER181" s="5">
        <v>127191.72</v>
      </c>
      <c r="ET181" s="318">
        <v>57938.067483023609</v>
      </c>
      <c r="EU181" s="5">
        <v>-25810.506852435166</v>
      </c>
    </row>
    <row r="182" spans="1:151" x14ac:dyDescent="0.3">
      <c r="A182" s="325">
        <v>150001030</v>
      </c>
      <c r="B182" s="41" t="s">
        <v>630</v>
      </c>
      <c r="C182" s="42" t="s">
        <v>336</v>
      </c>
      <c r="D182" s="27">
        <v>8</v>
      </c>
      <c r="E182" s="293">
        <v>6125.75</v>
      </c>
      <c r="F182" s="305">
        <v>6125.75</v>
      </c>
      <c r="G182" s="508">
        <v>715.15</v>
      </c>
      <c r="H182" s="677">
        <v>0</v>
      </c>
      <c r="I182" s="674">
        <v>9728.2882743477458</v>
      </c>
      <c r="J182" s="40">
        <v>8534.7762015524895</v>
      </c>
      <c r="K182" s="52">
        <v>-1193.5120727952562</v>
      </c>
      <c r="L182" s="674">
        <v>2770.3901738320301</v>
      </c>
      <c r="M182" s="40">
        <v>2208.1745083370242</v>
      </c>
      <c r="N182" s="52">
        <v>-562.21566549500585</v>
      </c>
      <c r="O182" s="674">
        <v>9038.1587763127081</v>
      </c>
      <c r="P182" s="40">
        <v>9038.159999999998</v>
      </c>
      <c r="Q182" s="52">
        <v>1.22368728989386E-3</v>
      </c>
      <c r="R182" s="674">
        <v>1841.4397328709799</v>
      </c>
      <c r="S182" s="40">
        <v>1841.4599999999998</v>
      </c>
      <c r="T182" s="52">
        <v>2.0267129019885033E-2</v>
      </c>
      <c r="U182" s="674">
        <v>999.22007737844285</v>
      </c>
      <c r="V182" s="40">
        <v>417.55331840905274</v>
      </c>
      <c r="W182" s="52">
        <v>-581.66675896939012</v>
      </c>
      <c r="X182" s="674">
        <v>11808.680937386325</v>
      </c>
      <c r="Y182" s="40">
        <v>8492.696227372071</v>
      </c>
      <c r="Z182" s="52">
        <v>-3315.9847100142542</v>
      </c>
      <c r="AA182" s="674">
        <v>735.16200000000003</v>
      </c>
      <c r="AB182" s="40">
        <v>0</v>
      </c>
      <c r="AC182" s="52">
        <v>-735.16200000000003</v>
      </c>
      <c r="AD182" s="674">
        <v>26264.821217141787</v>
      </c>
      <c r="AE182" s="40">
        <v>26026.46385870023</v>
      </c>
      <c r="AF182" s="35">
        <v>-238.35735844155715</v>
      </c>
      <c r="AG182" s="77">
        <v>63186.161189270017</v>
      </c>
      <c r="AH182" s="53">
        <v>56559.284114370865</v>
      </c>
      <c r="AI182" s="52">
        <v>-6626.8770748991519</v>
      </c>
      <c r="AJ182" s="674">
        <v>70542.960229265242</v>
      </c>
      <c r="AK182" s="40">
        <v>70079.700923925935</v>
      </c>
      <c r="AL182" s="52">
        <v>-463.25930533930659</v>
      </c>
      <c r="AM182" s="674">
        <v>315.2248275</v>
      </c>
      <c r="AN182" s="40">
        <v>0</v>
      </c>
      <c r="AO182" s="52">
        <v>-315.2248275</v>
      </c>
      <c r="AP182" s="674">
        <v>4586.7716090682097</v>
      </c>
      <c r="AQ182" s="40">
        <v>3811.5532658693651</v>
      </c>
      <c r="AR182" s="52">
        <v>-775.21834319884465</v>
      </c>
      <c r="AS182" s="674">
        <v>98684.503583703568</v>
      </c>
      <c r="AT182" s="40">
        <v>128461.56068977967</v>
      </c>
      <c r="AU182" s="54">
        <v>29777.057106076099</v>
      </c>
      <c r="AV182" s="674">
        <v>1412.2363512107238</v>
      </c>
      <c r="AW182" s="40">
        <v>1311.02</v>
      </c>
      <c r="AX182" s="55">
        <v>-101.21635121072381</v>
      </c>
      <c r="AY182" s="674">
        <v>2349.1309196686498</v>
      </c>
      <c r="AZ182" s="40">
        <v>1515.33</v>
      </c>
      <c r="BA182" s="35">
        <v>-833.80091966864984</v>
      </c>
      <c r="BB182" s="674">
        <v>1035.921425391663</v>
      </c>
      <c r="BC182" s="40">
        <v>0</v>
      </c>
      <c r="BD182" s="55">
        <v>-1035.921425391663</v>
      </c>
      <c r="BE182" s="674">
        <v>2158.6150045138706</v>
      </c>
      <c r="BF182" s="40">
        <v>0</v>
      </c>
      <c r="BG182" s="38">
        <v>-2158.6150045138706</v>
      </c>
      <c r="BH182" s="674">
        <v>1125.1844167383949</v>
      </c>
      <c r="BI182" s="40">
        <v>0</v>
      </c>
      <c r="BJ182" s="55">
        <v>-1125.1844167383949</v>
      </c>
      <c r="BK182" s="674">
        <v>1512.6044074450083</v>
      </c>
      <c r="BL182" s="40">
        <v>493</v>
      </c>
      <c r="BM182" s="38">
        <v>-1019.6044074450083</v>
      </c>
      <c r="BN182" s="674">
        <v>1024.4198325797217</v>
      </c>
      <c r="BO182" s="40">
        <v>0</v>
      </c>
      <c r="BP182" s="55">
        <v>-1024.4198325797217</v>
      </c>
      <c r="BQ182" s="77">
        <v>10618.112357548034</v>
      </c>
      <c r="BR182" s="40">
        <v>3319.35</v>
      </c>
      <c r="BS182" s="55">
        <v>-7298.7623575480338</v>
      </c>
      <c r="BT182" s="674">
        <v>77860.922992400505</v>
      </c>
      <c r="BU182" s="40">
        <v>81461.150601204979</v>
      </c>
      <c r="BV182" s="52">
        <v>3600.2276088044746</v>
      </c>
      <c r="BW182" s="674">
        <v>38017.308976331988</v>
      </c>
      <c r="BX182" s="40">
        <v>43108.545110497558</v>
      </c>
      <c r="BY182" s="52">
        <v>5091.2361341655705</v>
      </c>
      <c r="BZ182" s="674">
        <v>13066.34201263724</v>
      </c>
      <c r="CA182" s="40">
        <v>18666.084800275174</v>
      </c>
      <c r="CB182" s="52">
        <v>5599.7427876379334</v>
      </c>
      <c r="CC182" s="674">
        <v>2338.6387391920216</v>
      </c>
      <c r="CD182" s="40">
        <v>2453.4424512940918</v>
      </c>
      <c r="CE182" s="52">
        <v>114.80371210207022</v>
      </c>
      <c r="CF182" s="674">
        <v>285.30481209702913</v>
      </c>
      <c r="CG182" s="40">
        <v>0</v>
      </c>
      <c r="CH182" s="52">
        <v>-285.30481209702913</v>
      </c>
      <c r="CI182" s="674">
        <v>12656.425077871969</v>
      </c>
      <c r="CJ182" s="40">
        <v>9128.2851342829126</v>
      </c>
      <c r="CK182" s="52">
        <v>-3528.1399435890562</v>
      </c>
      <c r="CL182" s="674">
        <v>11015.565828141727</v>
      </c>
      <c r="CM182" s="40">
        <v>10908.273967400417</v>
      </c>
      <c r="CN182" s="52">
        <v>-107.2918607413103</v>
      </c>
      <c r="CO182" s="39">
        <v>23671.990906013696</v>
      </c>
      <c r="CP182" s="40">
        <v>20036.559101683328</v>
      </c>
      <c r="CQ182" s="52">
        <v>-3635.4318043303683</v>
      </c>
      <c r="CR182" s="72">
        <v>403174.24223502754</v>
      </c>
      <c r="CS182" s="5">
        <v>427957.23105890094</v>
      </c>
      <c r="CT182" s="52">
        <v>24782.988823873398</v>
      </c>
      <c r="CU182" s="77">
        <v>483809.09068203304</v>
      </c>
      <c r="CV182" s="65">
        <v>513548.67727068113</v>
      </c>
      <c r="CW182" s="35">
        <v>29739.58658864809</v>
      </c>
      <c r="CX182" s="73">
        <v>10816.369871918101</v>
      </c>
      <c r="CY182" s="40">
        <v>-18923.216716730065</v>
      </c>
      <c r="CZ182" s="52">
        <v>-29739.586588648166</v>
      </c>
      <c r="DA182" s="150">
        <v>21789.967408811153</v>
      </c>
      <c r="DB182" s="2">
        <v>1</v>
      </c>
      <c r="DC182" s="675">
        <v>73671.83</v>
      </c>
      <c r="DD182" s="675">
        <v>0</v>
      </c>
      <c r="DE182" s="675">
        <v>30443.556614421657</v>
      </c>
      <c r="DF182" s="675">
        <v>0</v>
      </c>
      <c r="DG182" s="321">
        <v>-7949.6191798370055</v>
      </c>
      <c r="DH182" s="40">
        <v>494587.55945425446</v>
      </c>
      <c r="DI182" s="422">
        <v>43228.273385578337</v>
      </c>
      <c r="DJ182" s="306">
        <v>5.6436686827549165</v>
      </c>
      <c r="DK182" s="306">
        <v>7.2435965931885855</v>
      </c>
      <c r="DL182" s="306">
        <v>5.0131020224758327</v>
      </c>
      <c r="DM182" s="28">
        <v>43228.273385578344</v>
      </c>
      <c r="DN182" s="28">
        <v>0</v>
      </c>
      <c r="DO182" s="423">
        <v>43228.273385578344</v>
      </c>
      <c r="DP182" s="94">
        <v>0</v>
      </c>
      <c r="DQ182" s="28">
        <v>43228.273385578344</v>
      </c>
      <c r="DR182" s="318"/>
      <c r="DT182" s="8"/>
      <c r="DU182" s="5"/>
      <c r="DX182" s="5">
        <v>131163.13912950191</v>
      </c>
      <c r="DY182" s="5">
        <v>158137.09282773561</v>
      </c>
      <c r="DZ182" s="159">
        <v>11962.258347976847</v>
      </c>
      <c r="EB182" s="676">
        <v>6348.882369333689</v>
      </c>
      <c r="EC182" s="676">
        <v>15761.540271603342</v>
      </c>
      <c r="ED182" s="676">
        <v>6417.560004306084</v>
      </c>
      <c r="EE182" s="676">
        <v>-11251.197523982584</v>
      </c>
      <c r="EF182" s="676">
        <v>-13952.624166649333</v>
      </c>
      <c r="EG182" s="676">
        <v>-18013.202366835405</v>
      </c>
      <c r="EH182" s="676">
        <v>-4470.6353360775247</v>
      </c>
      <c r="EI182" s="676">
        <v>-689.01160413900652</v>
      </c>
      <c r="EJ182" s="676">
        <v>-10831.830646929982</v>
      </c>
      <c r="EK182" s="676">
        <v>11848.614893749153</v>
      </c>
      <c r="EL182" s="676">
        <v>23316.037995086175</v>
      </c>
      <c r="EM182" s="676">
        <v>25255.452699183552</v>
      </c>
      <c r="EN182" s="676">
        <v>29739.586588648159</v>
      </c>
      <c r="EQ182" s="5">
        <v>131163.13912950191</v>
      </c>
      <c r="ER182" s="5">
        <v>158137.09282773561</v>
      </c>
      <c r="ET182" s="318">
        <v>-84514.16564011258</v>
      </c>
      <c r="EU182" s="5">
        <v>22095.546460275575</v>
      </c>
    </row>
    <row r="183" spans="1:151" x14ac:dyDescent="0.3">
      <c r="A183" s="325">
        <v>150001031</v>
      </c>
      <c r="B183" s="41" t="s">
        <v>631</v>
      </c>
      <c r="C183" s="42" t="s">
        <v>104</v>
      </c>
      <c r="D183" s="27">
        <v>1</v>
      </c>
      <c r="E183" s="293">
        <v>159.9</v>
      </c>
      <c r="F183" s="305">
        <v>159.9</v>
      </c>
      <c r="G183" s="508">
        <v>0</v>
      </c>
      <c r="H183" s="677">
        <v>0</v>
      </c>
      <c r="I183" s="674">
        <v>0</v>
      </c>
      <c r="J183" s="40">
        <v>0</v>
      </c>
      <c r="K183" s="52">
        <v>0</v>
      </c>
      <c r="L183" s="674">
        <v>0</v>
      </c>
      <c r="M183" s="40">
        <v>0</v>
      </c>
      <c r="N183" s="52">
        <v>0</v>
      </c>
      <c r="O183" s="674">
        <v>0</v>
      </c>
      <c r="P183" s="40">
        <v>0</v>
      </c>
      <c r="Q183" s="52">
        <v>0</v>
      </c>
      <c r="R183" s="674">
        <v>0</v>
      </c>
      <c r="S183" s="40">
        <v>0</v>
      </c>
      <c r="T183" s="52">
        <v>0</v>
      </c>
      <c r="U183" s="674">
        <v>0</v>
      </c>
      <c r="V183" s="40">
        <v>0</v>
      </c>
      <c r="W183" s="52">
        <v>0</v>
      </c>
      <c r="X183" s="674">
        <v>0</v>
      </c>
      <c r="Y183" s="40">
        <v>0</v>
      </c>
      <c r="Z183" s="52">
        <v>0</v>
      </c>
      <c r="AA183" s="674">
        <v>19.188000000000002</v>
      </c>
      <c r="AB183" s="40">
        <v>0</v>
      </c>
      <c r="AC183" s="52">
        <v>-19.188000000000002</v>
      </c>
      <c r="AD183" s="674">
        <v>153.60769520832673</v>
      </c>
      <c r="AE183" s="40">
        <v>679.37062255328885</v>
      </c>
      <c r="AF183" s="35">
        <v>525.76292734496212</v>
      </c>
      <c r="AG183" s="77">
        <v>172.79569520832672</v>
      </c>
      <c r="AH183" s="53">
        <v>679.37062255328885</v>
      </c>
      <c r="AI183" s="52">
        <v>506.57492734496213</v>
      </c>
      <c r="AJ183" s="674">
        <v>0</v>
      </c>
      <c r="AK183" s="40">
        <v>0</v>
      </c>
      <c r="AL183" s="52">
        <v>0</v>
      </c>
      <c r="AM183" s="674">
        <v>0</v>
      </c>
      <c r="AN183" s="40">
        <v>0</v>
      </c>
      <c r="AO183" s="52">
        <v>0</v>
      </c>
      <c r="AP183" s="674">
        <v>224.84174554255935</v>
      </c>
      <c r="AQ183" s="40">
        <v>186.98520801246201</v>
      </c>
      <c r="AR183" s="52">
        <v>-37.856537530097341</v>
      </c>
      <c r="AS183" s="674">
        <v>1970.2813730029084</v>
      </c>
      <c r="AT183" s="40">
        <v>1214</v>
      </c>
      <c r="AU183" s="54">
        <v>-756.28137300290837</v>
      </c>
      <c r="AV183" s="674">
        <v>0</v>
      </c>
      <c r="AW183" s="40">
        <v>0</v>
      </c>
      <c r="AX183" s="55">
        <v>0</v>
      </c>
      <c r="AY183" s="674">
        <v>0</v>
      </c>
      <c r="AZ183" s="40">
        <v>0</v>
      </c>
      <c r="BA183" s="35">
        <v>0</v>
      </c>
      <c r="BB183" s="674">
        <v>0</v>
      </c>
      <c r="BC183" s="40">
        <v>0</v>
      </c>
      <c r="BD183" s="55">
        <v>0</v>
      </c>
      <c r="BE183" s="674">
        <v>0</v>
      </c>
      <c r="BF183" s="40">
        <v>0</v>
      </c>
      <c r="BG183" s="38">
        <v>0</v>
      </c>
      <c r="BH183" s="674">
        <v>0</v>
      </c>
      <c r="BI183" s="40">
        <v>0</v>
      </c>
      <c r="BJ183" s="55">
        <v>0</v>
      </c>
      <c r="BK183" s="674">
        <v>0</v>
      </c>
      <c r="BL183" s="40">
        <v>0</v>
      </c>
      <c r="BM183" s="38">
        <v>0</v>
      </c>
      <c r="BN183" s="674">
        <v>7.561204628690696</v>
      </c>
      <c r="BO183" s="40">
        <v>0</v>
      </c>
      <c r="BP183" s="55">
        <v>-7.561204628690696</v>
      </c>
      <c r="BQ183" s="77">
        <v>7.561204628690696</v>
      </c>
      <c r="BR183" s="40">
        <v>0</v>
      </c>
      <c r="BS183" s="55">
        <v>-7.561204628690696</v>
      </c>
      <c r="BT183" s="674">
        <v>825.48187101981409</v>
      </c>
      <c r="BU183" s="40">
        <v>1085.8777589419615</v>
      </c>
      <c r="BV183" s="52">
        <v>260.39588792214738</v>
      </c>
      <c r="BW183" s="674">
        <v>0</v>
      </c>
      <c r="BX183" s="40">
        <v>3.6371940858374896</v>
      </c>
      <c r="BY183" s="52">
        <v>3.6371940858374896</v>
      </c>
      <c r="BZ183" s="674">
        <v>0</v>
      </c>
      <c r="CA183" s="40">
        <v>367.75350566006705</v>
      </c>
      <c r="CB183" s="52">
        <v>367.75350566006705</v>
      </c>
      <c r="CC183" s="674">
        <v>0</v>
      </c>
      <c r="CD183" s="40">
        <v>0</v>
      </c>
      <c r="CE183" s="52">
        <v>0</v>
      </c>
      <c r="CF183" s="674">
        <v>0</v>
      </c>
      <c r="CG183" s="40">
        <v>0</v>
      </c>
      <c r="CH183" s="52">
        <v>0</v>
      </c>
      <c r="CI183" s="674">
        <v>0</v>
      </c>
      <c r="CJ183" s="40">
        <v>0</v>
      </c>
      <c r="CK183" s="52">
        <v>0</v>
      </c>
      <c r="CL183" s="674">
        <v>0</v>
      </c>
      <c r="CM183" s="40">
        <v>0</v>
      </c>
      <c r="CN183" s="52">
        <v>0</v>
      </c>
      <c r="CO183" s="39">
        <v>0</v>
      </c>
      <c r="CP183" s="40">
        <v>0</v>
      </c>
      <c r="CQ183" s="52">
        <v>0</v>
      </c>
      <c r="CR183" s="72">
        <v>3200.9618894022992</v>
      </c>
      <c r="CS183" s="5">
        <v>3537.6242892536166</v>
      </c>
      <c r="CT183" s="52">
        <v>336.66239985131733</v>
      </c>
      <c r="CU183" s="77">
        <v>3841.1542672827591</v>
      </c>
      <c r="CV183" s="65">
        <v>4245.14914710434</v>
      </c>
      <c r="CW183" s="35">
        <v>403.99487982158098</v>
      </c>
      <c r="CX183" s="73">
        <v>177.20721920751555</v>
      </c>
      <c r="CY183" s="40">
        <v>-226.78766061406645</v>
      </c>
      <c r="CZ183" s="52">
        <v>-403.994879821582</v>
      </c>
      <c r="DA183" s="150">
        <v>-3229.6700122391526</v>
      </c>
      <c r="DB183" s="2">
        <v>1</v>
      </c>
      <c r="DC183" s="675">
        <v>257.69</v>
      </c>
      <c r="DD183" s="675">
        <v>0</v>
      </c>
      <c r="DE183" s="675">
        <v>-94.901593809244048</v>
      </c>
      <c r="DF183" s="675">
        <v>0</v>
      </c>
      <c r="DG183" s="321">
        <v>-3633.6648920607349</v>
      </c>
      <c r="DH183" s="40">
        <v>4018.0581092659531</v>
      </c>
      <c r="DI183" s="422">
        <v>352.59159380924399</v>
      </c>
      <c r="DJ183" s="306">
        <v>2.2050756335787618</v>
      </c>
      <c r="DK183" s="306">
        <v>2.2050756335787618</v>
      </c>
      <c r="DL183" s="306">
        <v>2.2050756335787618</v>
      </c>
      <c r="DM183" s="28">
        <v>352.59159380924405</v>
      </c>
      <c r="DN183" s="28">
        <v>0</v>
      </c>
      <c r="DO183" s="423">
        <v>352.59159380924405</v>
      </c>
      <c r="DP183" s="94">
        <v>0</v>
      </c>
      <c r="DQ183" s="28">
        <v>352.59159380924405</v>
      </c>
      <c r="DR183" s="318"/>
      <c r="DT183" s="8"/>
      <c r="DU183" s="5"/>
      <c r="DX183" s="5">
        <v>2373.4110931579189</v>
      </c>
      <c r="DY183" s="5">
        <v>1456.8</v>
      </c>
      <c r="DZ183" s="159">
        <v>203.6685331992536</v>
      </c>
      <c r="EB183" s="676">
        <v>-53.596313653569524</v>
      </c>
      <c r="EC183" s="676">
        <v>-182.17352891753092</v>
      </c>
      <c r="ED183" s="676">
        <v>-179.27828938949096</v>
      </c>
      <c r="EE183" s="676">
        <v>-289.31754595857382</v>
      </c>
      <c r="EF183" s="676">
        <v>-73.559497560851298</v>
      </c>
      <c r="EG183" s="676">
        <v>-80.182099815445838</v>
      </c>
      <c r="EH183" s="676">
        <v>29.995366548595996</v>
      </c>
      <c r="EI183" s="676">
        <v>-45.721678504626652</v>
      </c>
      <c r="EJ183" s="676">
        <v>-71.189143910630946</v>
      </c>
      <c r="EK183" s="676">
        <v>-24.569021928263737</v>
      </c>
      <c r="EL183" s="676">
        <v>1403.3569318887733</v>
      </c>
      <c r="EM183" s="676">
        <v>-29.770298976803474</v>
      </c>
      <c r="EN183" s="676">
        <v>403.99487982158223</v>
      </c>
      <c r="EQ183" s="5">
        <v>2373.4110931579189</v>
      </c>
      <c r="ER183" s="5">
        <v>1456.8</v>
      </c>
      <c r="ET183" s="318">
        <v>-2060.3516543104688</v>
      </c>
      <c r="EU183" s="5">
        <v>538.68676224973501</v>
      </c>
    </row>
    <row r="184" spans="1:151" x14ac:dyDescent="0.3">
      <c r="A184" s="325">
        <v>150001037</v>
      </c>
      <c r="B184" s="41" t="s">
        <v>632</v>
      </c>
      <c r="C184" s="42" t="s">
        <v>105</v>
      </c>
      <c r="D184" s="27">
        <v>1</v>
      </c>
      <c r="E184" s="293">
        <v>161.4</v>
      </c>
      <c r="F184" s="305">
        <v>161.4</v>
      </c>
      <c r="G184" s="508">
        <v>0</v>
      </c>
      <c r="H184" s="677">
        <v>0</v>
      </c>
      <c r="I184" s="674">
        <v>0</v>
      </c>
      <c r="J184" s="40">
        <v>0</v>
      </c>
      <c r="K184" s="52">
        <v>0</v>
      </c>
      <c r="L184" s="674">
        <v>0</v>
      </c>
      <c r="M184" s="40">
        <v>0</v>
      </c>
      <c r="N184" s="52">
        <v>0</v>
      </c>
      <c r="O184" s="674">
        <v>0</v>
      </c>
      <c r="P184" s="40">
        <v>0</v>
      </c>
      <c r="Q184" s="52">
        <v>0</v>
      </c>
      <c r="R184" s="674">
        <v>0</v>
      </c>
      <c r="S184" s="40">
        <v>0</v>
      </c>
      <c r="T184" s="52">
        <v>0</v>
      </c>
      <c r="U184" s="674">
        <v>0</v>
      </c>
      <c r="V184" s="40">
        <v>0</v>
      </c>
      <c r="W184" s="52">
        <v>0</v>
      </c>
      <c r="X184" s="674">
        <v>0</v>
      </c>
      <c r="Y184" s="40">
        <v>0</v>
      </c>
      <c r="Z184" s="52">
        <v>0</v>
      </c>
      <c r="AA184" s="674">
        <v>19.368000000000002</v>
      </c>
      <c r="AB184" s="40">
        <v>0</v>
      </c>
      <c r="AC184" s="52">
        <v>-19.368000000000002</v>
      </c>
      <c r="AD184" s="674">
        <v>155.05546599054114</v>
      </c>
      <c r="AE184" s="40">
        <v>685.74370531645309</v>
      </c>
      <c r="AF184" s="35">
        <v>530.68823932591192</v>
      </c>
      <c r="AG184" s="77">
        <v>174.42346599054113</v>
      </c>
      <c r="AH184" s="53">
        <v>685.74370531645309</v>
      </c>
      <c r="AI184" s="52">
        <v>511.32023932591198</v>
      </c>
      <c r="AJ184" s="674">
        <v>0</v>
      </c>
      <c r="AK184" s="40">
        <v>0</v>
      </c>
      <c r="AL184" s="52">
        <v>0</v>
      </c>
      <c r="AM184" s="674">
        <v>0</v>
      </c>
      <c r="AN184" s="40">
        <v>0</v>
      </c>
      <c r="AO184" s="52">
        <v>0</v>
      </c>
      <c r="AP184" s="674">
        <v>314.77844375958301</v>
      </c>
      <c r="AQ184" s="40">
        <v>261.77929121744683</v>
      </c>
      <c r="AR184" s="52">
        <v>-52.999152542136187</v>
      </c>
      <c r="AS184" s="674">
        <v>1843.4788316734375</v>
      </c>
      <c r="AT184" s="40">
        <v>0</v>
      </c>
      <c r="AU184" s="54">
        <v>-1843.4788316734375</v>
      </c>
      <c r="AV184" s="674">
        <v>0</v>
      </c>
      <c r="AW184" s="40">
        <v>0</v>
      </c>
      <c r="AX184" s="55">
        <v>0</v>
      </c>
      <c r="AY184" s="674">
        <v>0</v>
      </c>
      <c r="AZ184" s="40">
        <v>0</v>
      </c>
      <c r="BA184" s="35">
        <v>0</v>
      </c>
      <c r="BB184" s="674">
        <v>0</v>
      </c>
      <c r="BC184" s="40">
        <v>0</v>
      </c>
      <c r="BD184" s="55">
        <v>0</v>
      </c>
      <c r="BE184" s="674">
        <v>0</v>
      </c>
      <c r="BF184" s="40">
        <v>0</v>
      </c>
      <c r="BG184" s="38">
        <v>0</v>
      </c>
      <c r="BH184" s="674">
        <v>0</v>
      </c>
      <c r="BI184" s="40">
        <v>0</v>
      </c>
      <c r="BJ184" s="55">
        <v>0</v>
      </c>
      <c r="BK184" s="674">
        <v>0</v>
      </c>
      <c r="BL184" s="40">
        <v>0</v>
      </c>
      <c r="BM184" s="38">
        <v>0</v>
      </c>
      <c r="BN184" s="674">
        <v>8.4904860561177244</v>
      </c>
      <c r="BO184" s="40">
        <v>0</v>
      </c>
      <c r="BP184" s="55">
        <v>-8.4904860561177244</v>
      </c>
      <c r="BQ184" s="77">
        <v>8.4904860561177244</v>
      </c>
      <c r="BR184" s="40">
        <v>0</v>
      </c>
      <c r="BS184" s="55">
        <v>-8.4904860561177244</v>
      </c>
      <c r="BT184" s="674">
        <v>717.81032262592532</v>
      </c>
      <c r="BU184" s="40">
        <v>944.18147503608259</v>
      </c>
      <c r="BV184" s="52">
        <v>226.37115241015726</v>
      </c>
      <c r="BW184" s="674">
        <v>0</v>
      </c>
      <c r="BX184" s="40">
        <v>3.6713141054044449</v>
      </c>
      <c r="BY184" s="52">
        <v>3.6713141054044449</v>
      </c>
      <c r="BZ184" s="674">
        <v>0</v>
      </c>
      <c r="CA184" s="40">
        <v>319.7826067491394</v>
      </c>
      <c r="CB184" s="52">
        <v>319.7826067491394</v>
      </c>
      <c r="CC184" s="674">
        <v>0</v>
      </c>
      <c r="CD184" s="40">
        <v>0</v>
      </c>
      <c r="CE184" s="52">
        <v>0</v>
      </c>
      <c r="CF184" s="674">
        <v>0</v>
      </c>
      <c r="CG184" s="40">
        <v>0</v>
      </c>
      <c r="CH184" s="52">
        <v>0</v>
      </c>
      <c r="CI184" s="674">
        <v>0</v>
      </c>
      <c r="CJ184" s="40">
        <v>0</v>
      </c>
      <c r="CK184" s="52">
        <v>0</v>
      </c>
      <c r="CL184" s="674">
        <v>0</v>
      </c>
      <c r="CM184" s="40">
        <v>0</v>
      </c>
      <c r="CN184" s="52">
        <v>0</v>
      </c>
      <c r="CO184" s="39">
        <v>0</v>
      </c>
      <c r="CP184" s="40">
        <v>0</v>
      </c>
      <c r="CQ184" s="52">
        <v>0</v>
      </c>
      <c r="CR184" s="72">
        <v>3058.981550105605</v>
      </c>
      <c r="CS184" s="5">
        <v>2215.1583924245265</v>
      </c>
      <c r="CT184" s="52">
        <v>-843.82315768107856</v>
      </c>
      <c r="CU184" s="77">
        <v>3670.777860126726</v>
      </c>
      <c r="CV184" s="65">
        <v>2658.1900709094316</v>
      </c>
      <c r="CW184" s="35">
        <v>-1012.5877892172944</v>
      </c>
      <c r="CX184" s="73">
        <v>154.80412617688381</v>
      </c>
      <c r="CY184" s="40">
        <v>1167.3919153941786</v>
      </c>
      <c r="CZ184" s="52">
        <v>1012.5877892172948</v>
      </c>
      <c r="DA184" s="150">
        <v>-4829.5850056727995</v>
      </c>
      <c r="DB184" s="2">
        <v>1</v>
      </c>
      <c r="DC184" s="675">
        <v>335.71</v>
      </c>
      <c r="DD184" s="675">
        <v>0</v>
      </c>
      <c r="DE184" s="675">
        <v>3.0399675624721567E-3</v>
      </c>
      <c r="DF184" s="675">
        <v>0</v>
      </c>
      <c r="DG184" s="321">
        <v>-3816.9972164555052</v>
      </c>
      <c r="DH184" s="40">
        <v>3825.2932630975497</v>
      </c>
      <c r="DI184" s="422">
        <v>335.70696003243745</v>
      </c>
      <c r="DJ184" s="306">
        <v>2.0799687734351764</v>
      </c>
      <c r="DK184" s="306">
        <v>2.0799687734351764</v>
      </c>
      <c r="DL184" s="306">
        <v>2.0799687734351764</v>
      </c>
      <c r="DM184" s="28">
        <v>335.70696003243751</v>
      </c>
      <c r="DN184" s="28">
        <v>0</v>
      </c>
      <c r="DO184" s="423">
        <v>335.70696003243751</v>
      </c>
      <c r="DP184" s="94">
        <v>0</v>
      </c>
      <c r="DQ184" s="28">
        <v>335.70696003243751</v>
      </c>
      <c r="DR184" s="318"/>
      <c r="DT184" s="8"/>
      <c r="DU184" s="5"/>
      <c r="DX184" s="5">
        <v>2222.3631812754661</v>
      </c>
      <c r="DY184" s="5">
        <v>0</v>
      </c>
      <c r="DZ184" s="159">
        <v>193.94149335927588</v>
      </c>
      <c r="EB184" s="676">
        <v>5.1645035013711151</v>
      </c>
      <c r="EC184" s="676">
        <v>-168.41397468802529</v>
      </c>
      <c r="ED184" s="676">
        <v>-165.49157531450655</v>
      </c>
      <c r="EE184" s="676">
        <v>-274.25334403326622</v>
      </c>
      <c r="EF184" s="676">
        <v>-85.492392306620673</v>
      </c>
      <c r="EG184" s="676">
        <v>-91.700702289789206</v>
      </c>
      <c r="EH184" s="676">
        <v>63.340040993991181</v>
      </c>
      <c r="EI184" s="676">
        <v>-58.052864881417065</v>
      </c>
      <c r="EJ184" s="676">
        <v>-83.795714919732035</v>
      </c>
      <c r="EK184" s="676">
        <v>-38.892938385245259</v>
      </c>
      <c r="EL184" s="676">
        <v>-66.892010178709739</v>
      </c>
      <c r="EM184" s="676">
        <v>-48.106816715344962</v>
      </c>
      <c r="EN184" s="676">
        <v>-1012.5877892172946</v>
      </c>
      <c r="EQ184" s="5">
        <v>2222.3631812754661</v>
      </c>
      <c r="ER184" s="5">
        <v>0</v>
      </c>
      <c r="ET184" s="318">
        <v>-1822.8046687430401</v>
      </c>
      <c r="EU184" s="5">
        <v>-1694.1925477124662</v>
      </c>
    </row>
    <row r="185" spans="1:151" x14ac:dyDescent="0.3">
      <c r="A185" s="325">
        <v>150001032</v>
      </c>
      <c r="B185" s="41" t="s">
        <v>633</v>
      </c>
      <c r="C185" s="42" t="s">
        <v>370</v>
      </c>
      <c r="D185" s="27">
        <v>9</v>
      </c>
      <c r="E185" s="293">
        <v>6020</v>
      </c>
      <c r="F185" s="305">
        <v>6020</v>
      </c>
      <c r="G185" s="508">
        <v>735.55</v>
      </c>
      <c r="H185" s="677">
        <v>0</v>
      </c>
      <c r="I185" s="674">
        <v>13718.918612577487</v>
      </c>
      <c r="J185" s="40">
        <v>11720.431627050271</v>
      </c>
      <c r="K185" s="52">
        <v>-1998.4869855272154</v>
      </c>
      <c r="L185" s="674">
        <v>1831.992216115751</v>
      </c>
      <c r="M185" s="40">
        <v>1460.1270230107284</v>
      </c>
      <c r="N185" s="52">
        <v>-371.86519310502263</v>
      </c>
      <c r="O185" s="674">
        <v>8456.1663776773421</v>
      </c>
      <c r="P185" s="40">
        <v>8456.1600000000017</v>
      </c>
      <c r="Q185" s="52">
        <v>-6.3776773404242704E-3</v>
      </c>
      <c r="R185" s="674">
        <v>1774.7609718282306</v>
      </c>
      <c r="S185" s="40">
        <v>1774.7700000000004</v>
      </c>
      <c r="T185" s="52">
        <v>9.0281717698417197E-3</v>
      </c>
      <c r="U185" s="674">
        <v>1584.2023243266422</v>
      </c>
      <c r="V185" s="40">
        <v>695.3308732493806</v>
      </c>
      <c r="W185" s="52">
        <v>-888.87145107726155</v>
      </c>
      <c r="X185" s="674">
        <v>14183.123565727339</v>
      </c>
      <c r="Y185" s="40">
        <v>10933.819488864059</v>
      </c>
      <c r="Z185" s="52">
        <v>-3249.30407686328</v>
      </c>
      <c r="AA185" s="674">
        <v>722.52600000000007</v>
      </c>
      <c r="AB185" s="40">
        <v>0</v>
      </c>
      <c r="AC185" s="52">
        <v>-722.52600000000007</v>
      </c>
      <c r="AD185" s="674">
        <v>25811.920646715425</v>
      </c>
      <c r="AE185" s="40">
        <v>25577.305489498431</v>
      </c>
      <c r="AF185" s="35">
        <v>-234.6151572169947</v>
      </c>
      <c r="AG185" s="77">
        <v>68083.610714968221</v>
      </c>
      <c r="AH185" s="53">
        <v>60617.944501672871</v>
      </c>
      <c r="AI185" s="52">
        <v>-7465.6662132953497</v>
      </c>
      <c r="AJ185" s="674">
        <v>76690.753457241095</v>
      </c>
      <c r="AK185" s="40">
        <v>76186.106376393174</v>
      </c>
      <c r="AL185" s="52">
        <v>-504.64708084792073</v>
      </c>
      <c r="AM185" s="674">
        <v>0</v>
      </c>
      <c r="AN185" s="40">
        <v>0</v>
      </c>
      <c r="AO185" s="52">
        <v>0</v>
      </c>
      <c r="AP185" s="674">
        <v>4811.6133546107694</v>
      </c>
      <c r="AQ185" s="40">
        <v>4076.9010115606934</v>
      </c>
      <c r="AR185" s="52">
        <v>-734.71234305007602</v>
      </c>
      <c r="AS185" s="674">
        <v>91288.62688439207</v>
      </c>
      <c r="AT185" s="40">
        <v>103699.08</v>
      </c>
      <c r="AU185" s="54">
        <v>12410.453115607932</v>
      </c>
      <c r="AV185" s="674">
        <v>1952.1213424780274</v>
      </c>
      <c r="AW185" s="40">
        <v>511</v>
      </c>
      <c r="AX185" s="55">
        <v>-1441.1213424780274</v>
      </c>
      <c r="AY185" s="674">
        <v>2182.0696728168487</v>
      </c>
      <c r="AZ185" s="40">
        <v>4887</v>
      </c>
      <c r="BA185" s="35">
        <v>2704.9303271831513</v>
      </c>
      <c r="BB185" s="674">
        <v>2216.3490811309434</v>
      </c>
      <c r="BC185" s="40">
        <v>0</v>
      </c>
      <c r="BD185" s="55">
        <v>-2216.3490811309434</v>
      </c>
      <c r="BE185" s="674">
        <v>2401.3495149682803</v>
      </c>
      <c r="BF185" s="40">
        <v>0</v>
      </c>
      <c r="BG185" s="38">
        <v>-2401.3495149682803</v>
      </c>
      <c r="BH185" s="674">
        <v>2046.8566953510328</v>
      </c>
      <c r="BI185" s="40">
        <v>0</v>
      </c>
      <c r="BJ185" s="55">
        <v>-2046.8566953510328</v>
      </c>
      <c r="BK185" s="674">
        <v>2771.1839139093718</v>
      </c>
      <c r="BL185" s="40">
        <v>657</v>
      </c>
      <c r="BM185" s="38">
        <v>-2114.1839139093718</v>
      </c>
      <c r="BN185" s="674">
        <v>1024.4198325797217</v>
      </c>
      <c r="BO185" s="40">
        <v>5601.82</v>
      </c>
      <c r="BP185" s="55">
        <v>4577.4001674202782</v>
      </c>
      <c r="BQ185" s="77">
        <v>14594.350053234226</v>
      </c>
      <c r="BR185" s="40">
        <v>11656.82</v>
      </c>
      <c r="BS185" s="55">
        <v>-2937.5300532342262</v>
      </c>
      <c r="BT185" s="674">
        <v>76672.021980376783</v>
      </c>
      <c r="BU185" s="40">
        <v>78408.0101171313</v>
      </c>
      <c r="BV185" s="52">
        <v>1735.9881367545167</v>
      </c>
      <c r="BW185" s="674">
        <v>57620.806729188182</v>
      </c>
      <c r="BX185" s="40">
        <v>51710.268893769622</v>
      </c>
      <c r="BY185" s="52">
        <v>-5910.5378354185596</v>
      </c>
      <c r="BZ185" s="674">
        <v>11026.528065937004</v>
      </c>
      <c r="CA185" s="40">
        <v>17324.615210675085</v>
      </c>
      <c r="CB185" s="52">
        <v>6298.0871447380814</v>
      </c>
      <c r="CC185" s="674">
        <v>2556.6163480394007</v>
      </c>
      <c r="CD185" s="40">
        <v>2682.7224898971708</v>
      </c>
      <c r="CE185" s="52">
        <v>126.10614185777013</v>
      </c>
      <c r="CF185" s="674">
        <v>311.96722608466814</v>
      </c>
      <c r="CG185" s="40">
        <v>0</v>
      </c>
      <c r="CH185" s="52">
        <v>-311.96722608466814</v>
      </c>
      <c r="CI185" s="674">
        <v>27737.684802800384</v>
      </c>
      <c r="CJ185" s="40">
        <v>24929.196582038549</v>
      </c>
      <c r="CK185" s="52">
        <v>-2808.4882207618357</v>
      </c>
      <c r="CL185" s="674">
        <v>12404.475536115375</v>
      </c>
      <c r="CM185" s="40">
        <v>13142.728647153206</v>
      </c>
      <c r="CN185" s="52">
        <v>738.25311103783133</v>
      </c>
      <c r="CO185" s="39">
        <v>40142.160338915761</v>
      </c>
      <c r="CP185" s="40">
        <v>38071.925229191751</v>
      </c>
      <c r="CQ185" s="52">
        <v>-2070.2351097240098</v>
      </c>
      <c r="CR185" s="72">
        <v>443799.05515298818</v>
      </c>
      <c r="CS185" s="5">
        <v>444434.39383029169</v>
      </c>
      <c r="CT185" s="52">
        <v>635.33867730351631</v>
      </c>
      <c r="CU185" s="77">
        <v>532558.86618358584</v>
      </c>
      <c r="CV185" s="65">
        <v>533321.27259635006</v>
      </c>
      <c r="CW185" s="35">
        <v>762.40641276421957</v>
      </c>
      <c r="CX185" s="73">
        <v>16115.172502980871</v>
      </c>
      <c r="CY185" s="40">
        <v>15352.766090216683</v>
      </c>
      <c r="CZ185" s="52">
        <v>-762.40641276418864</v>
      </c>
      <c r="DA185" s="150">
        <v>-43744.112336913502</v>
      </c>
      <c r="DB185" s="2">
        <v>1</v>
      </c>
      <c r="DC185" s="675">
        <v>72388.41</v>
      </c>
      <c r="DD185" s="675">
        <v>0</v>
      </c>
      <c r="DE185" s="675">
        <v>24289.128304604201</v>
      </c>
      <c r="DF185" s="675">
        <v>0</v>
      </c>
      <c r="DG185" s="321">
        <v>-44506.518749677707</v>
      </c>
      <c r="DH185" s="40">
        <v>548632.47226775973</v>
      </c>
      <c r="DI185" s="422">
        <v>48099.28169539581</v>
      </c>
      <c r="DJ185" s="306">
        <v>6.321812078880054</v>
      </c>
      <c r="DK185" s="306">
        <v>8.2220993330953238</v>
      </c>
      <c r="DL185" s="306">
        <v>5.2760407988167168</v>
      </c>
      <c r="DM185" s="28">
        <v>48099.281695395803</v>
      </c>
      <c r="DN185" s="28">
        <v>0</v>
      </c>
      <c r="DO185" s="423">
        <v>48099.281695395803</v>
      </c>
      <c r="DP185" s="94">
        <v>0</v>
      </c>
      <c r="DQ185" s="28">
        <v>48099.281695395803</v>
      </c>
      <c r="DR185" s="318"/>
      <c r="DT185" s="8"/>
      <c r="DU185" s="5"/>
      <c r="DX185" s="5">
        <v>127059.57232515156</v>
      </c>
      <c r="DY185" s="5">
        <v>138427.07999999999</v>
      </c>
      <c r="DZ185" s="159">
        <v>11439.467871336225</v>
      </c>
      <c r="EB185" s="676">
        <v>-4071.643403927068</v>
      </c>
      <c r="EC185" s="676">
        <v>1583.4044926688803</v>
      </c>
      <c r="ED185" s="676">
        <v>-10078.239556880715</v>
      </c>
      <c r="EE185" s="676">
        <v>-11791.368338504886</v>
      </c>
      <c r="EF185" s="676">
        <v>-9274.1677732352255</v>
      </c>
      <c r="EG185" s="676">
        <v>1880.4570133903035</v>
      </c>
      <c r="EH185" s="676">
        <v>-23323.554925903227</v>
      </c>
      <c r="EI185" s="676">
        <v>449.78776481001842</v>
      </c>
      <c r="EJ185" s="676">
        <v>70257.37562282689</v>
      </c>
      <c r="EK185" s="676">
        <v>-1567.3726457636003</v>
      </c>
      <c r="EL185" s="676">
        <v>-7783.6584970506228</v>
      </c>
      <c r="EM185" s="676">
        <v>-5518.6133396665391</v>
      </c>
      <c r="EN185" s="676">
        <v>762.40641276420502</v>
      </c>
      <c r="EQ185" s="5">
        <v>127059.57232515156</v>
      </c>
      <c r="ER185" s="5">
        <v>138427.07999999999</v>
      </c>
      <c r="ET185" s="318">
        <v>-30641.175093138696</v>
      </c>
      <c r="EU185" s="5">
        <v>-23779.343656539007</v>
      </c>
    </row>
    <row r="186" spans="1:151" x14ac:dyDescent="0.3">
      <c r="A186" s="325">
        <v>150000537</v>
      </c>
      <c r="B186" s="41" t="s">
        <v>634</v>
      </c>
      <c r="C186" s="42" t="s">
        <v>106</v>
      </c>
      <c r="D186" s="27">
        <v>1</v>
      </c>
      <c r="E186" s="293">
        <v>108.3</v>
      </c>
      <c r="F186" s="305">
        <v>108.3</v>
      </c>
      <c r="G186" s="508">
        <v>0</v>
      </c>
      <c r="H186" s="677">
        <v>0</v>
      </c>
      <c r="I186" s="674">
        <v>0</v>
      </c>
      <c r="J186" s="40">
        <v>0</v>
      </c>
      <c r="K186" s="52">
        <v>0</v>
      </c>
      <c r="L186" s="674">
        <v>0</v>
      </c>
      <c r="M186" s="40">
        <v>0</v>
      </c>
      <c r="N186" s="52">
        <v>0</v>
      </c>
      <c r="O186" s="674">
        <v>0</v>
      </c>
      <c r="P186" s="40">
        <v>0</v>
      </c>
      <c r="Q186" s="52">
        <v>0</v>
      </c>
      <c r="R186" s="674">
        <v>0</v>
      </c>
      <c r="S186" s="40">
        <v>0</v>
      </c>
      <c r="T186" s="52">
        <v>0</v>
      </c>
      <c r="U186" s="674">
        <v>0</v>
      </c>
      <c r="V186" s="40">
        <v>0</v>
      </c>
      <c r="W186" s="52">
        <v>0</v>
      </c>
      <c r="X186" s="674">
        <v>0</v>
      </c>
      <c r="Y186" s="40">
        <v>0</v>
      </c>
      <c r="Z186" s="52">
        <v>0</v>
      </c>
      <c r="AA186" s="674">
        <v>12.995999999999999</v>
      </c>
      <c r="AB186" s="40">
        <v>0</v>
      </c>
      <c r="AC186" s="52">
        <v>-12.995999999999999</v>
      </c>
      <c r="AD186" s="674">
        <v>0</v>
      </c>
      <c r="AE186" s="40">
        <v>0</v>
      </c>
      <c r="AF186" s="35">
        <v>0</v>
      </c>
      <c r="AG186" s="77">
        <v>12.995999999999999</v>
      </c>
      <c r="AH186" s="53">
        <v>0</v>
      </c>
      <c r="AI186" s="52">
        <v>-12.995999999999999</v>
      </c>
      <c r="AJ186" s="674">
        <v>0</v>
      </c>
      <c r="AK186" s="40">
        <v>0</v>
      </c>
      <c r="AL186" s="52">
        <v>0</v>
      </c>
      <c r="AM186" s="674">
        <v>0</v>
      </c>
      <c r="AN186" s="40">
        <v>0</v>
      </c>
      <c r="AO186" s="52">
        <v>0</v>
      </c>
      <c r="AP186" s="674">
        <v>404.71514197660667</v>
      </c>
      <c r="AQ186" s="40">
        <v>336.57337442243158</v>
      </c>
      <c r="AR186" s="52">
        <v>-68.14176755417509</v>
      </c>
      <c r="AS186" s="674">
        <v>133.09600468182697</v>
      </c>
      <c r="AT186" s="40">
        <v>0</v>
      </c>
      <c r="AU186" s="54">
        <v>-133.09600468182697</v>
      </c>
      <c r="AV186" s="674">
        <v>0</v>
      </c>
      <c r="AW186" s="40">
        <v>0</v>
      </c>
      <c r="AX186" s="55">
        <v>0</v>
      </c>
      <c r="AY186" s="674">
        <v>0</v>
      </c>
      <c r="AZ186" s="40">
        <v>0</v>
      </c>
      <c r="BA186" s="35">
        <v>0</v>
      </c>
      <c r="BB186" s="674">
        <v>0</v>
      </c>
      <c r="BC186" s="40">
        <v>0</v>
      </c>
      <c r="BD186" s="55">
        <v>0</v>
      </c>
      <c r="BE186" s="674">
        <v>0</v>
      </c>
      <c r="BF186" s="40">
        <v>0</v>
      </c>
      <c r="BG186" s="38">
        <v>0</v>
      </c>
      <c r="BH186" s="674">
        <v>0</v>
      </c>
      <c r="BI186" s="40">
        <v>0</v>
      </c>
      <c r="BJ186" s="55">
        <v>0</v>
      </c>
      <c r="BK186" s="674">
        <v>0</v>
      </c>
      <c r="BL186" s="40">
        <v>0</v>
      </c>
      <c r="BM186" s="38">
        <v>0</v>
      </c>
      <c r="BN186" s="674">
        <v>3.2489999999999997</v>
      </c>
      <c r="BO186" s="40">
        <v>0</v>
      </c>
      <c r="BP186" s="55">
        <v>-3.2489999999999997</v>
      </c>
      <c r="BQ186" s="77">
        <v>3.2489999999999997</v>
      </c>
      <c r="BR186" s="40">
        <v>0</v>
      </c>
      <c r="BS186" s="55">
        <v>-3.2489999999999997</v>
      </c>
      <c r="BT186" s="674">
        <v>0</v>
      </c>
      <c r="BU186" s="40">
        <v>0</v>
      </c>
      <c r="BV186" s="52">
        <v>0</v>
      </c>
      <c r="BW186" s="674">
        <v>0</v>
      </c>
      <c r="BX186" s="40">
        <v>2.4634654127342088</v>
      </c>
      <c r="BY186" s="52">
        <v>2.4634654127342088</v>
      </c>
      <c r="BZ186" s="674">
        <v>0</v>
      </c>
      <c r="CA186" s="40">
        <v>0</v>
      </c>
      <c r="CB186" s="52">
        <v>0</v>
      </c>
      <c r="CC186" s="674">
        <v>0</v>
      </c>
      <c r="CD186" s="40">
        <v>0</v>
      </c>
      <c r="CE186" s="52">
        <v>0</v>
      </c>
      <c r="CF186" s="674">
        <v>0</v>
      </c>
      <c r="CG186" s="40">
        <v>0</v>
      </c>
      <c r="CH186" s="52">
        <v>0</v>
      </c>
      <c r="CI186" s="674">
        <v>0</v>
      </c>
      <c r="CJ186" s="40">
        <v>0</v>
      </c>
      <c r="CK186" s="52">
        <v>0</v>
      </c>
      <c r="CL186" s="674">
        <v>0</v>
      </c>
      <c r="CM186" s="40">
        <v>0</v>
      </c>
      <c r="CN186" s="52">
        <v>0</v>
      </c>
      <c r="CO186" s="39">
        <v>0</v>
      </c>
      <c r="CP186" s="40">
        <v>0</v>
      </c>
      <c r="CQ186" s="52">
        <v>0</v>
      </c>
      <c r="CR186" s="72">
        <v>554.05614665843359</v>
      </c>
      <c r="CS186" s="5">
        <v>339.03683983516578</v>
      </c>
      <c r="CT186" s="52">
        <v>-215.01930682326781</v>
      </c>
      <c r="CU186" s="77">
        <v>664.86737599012031</v>
      </c>
      <c r="CV186" s="65">
        <v>406.84420780219892</v>
      </c>
      <c r="CW186" s="35">
        <v>-258.02316818792139</v>
      </c>
      <c r="CX186" s="73">
        <v>6.8116490217729524</v>
      </c>
      <c r="CY186" s="40">
        <v>264.83481720969439</v>
      </c>
      <c r="CZ186" s="52">
        <v>258.02316818792144</v>
      </c>
      <c r="DA186" s="150">
        <v>-97.664553005474005</v>
      </c>
      <c r="DB186" s="2">
        <v>2</v>
      </c>
      <c r="DC186" s="675">
        <v>58.86</v>
      </c>
      <c r="DD186" s="675">
        <v>0</v>
      </c>
      <c r="DE186" s="675">
        <v>-1.3939302142347287E-3</v>
      </c>
      <c r="DF186" s="675">
        <v>0</v>
      </c>
      <c r="DG186" s="321">
        <v>160.35861518244744</v>
      </c>
      <c r="DH186" s="40">
        <v>671.62807191255592</v>
      </c>
      <c r="DI186" s="422">
        <v>58.861393930214234</v>
      </c>
      <c r="DJ186" s="306">
        <v>0.543503175717583</v>
      </c>
      <c r="DK186" s="306">
        <v>0.543503175717583</v>
      </c>
      <c r="DL186" s="306">
        <v>0.543503175717583</v>
      </c>
      <c r="DM186" s="28">
        <v>58.861393930214234</v>
      </c>
      <c r="DN186" s="28">
        <v>0</v>
      </c>
      <c r="DO186" s="423">
        <v>58.861393930214234</v>
      </c>
      <c r="DP186" s="94">
        <v>0</v>
      </c>
      <c r="DQ186" s="28">
        <v>58.861393930214234</v>
      </c>
      <c r="DR186" s="318"/>
      <c r="DT186" s="8"/>
      <c r="DU186" s="5"/>
      <c r="DX186" s="5">
        <v>163.61400561819235</v>
      </c>
      <c r="DY186" s="5">
        <v>0</v>
      </c>
      <c r="DZ186" s="159">
        <v>16.245599999999996</v>
      </c>
      <c r="EB186" s="676">
        <v>157.01345217677778</v>
      </c>
      <c r="EC186" s="676">
        <v>-44.792739073112834</v>
      </c>
      <c r="ED186" s="676">
        <v>-44.79742632852998</v>
      </c>
      <c r="EE186" s="676">
        <v>-58.622375515507372</v>
      </c>
      <c r="EF186" s="676">
        <v>-58.612417509851426</v>
      </c>
      <c r="EG186" s="676">
        <v>-58.618043947217792</v>
      </c>
      <c r="EH186" s="676">
        <v>143.45735503094133</v>
      </c>
      <c r="EI186" s="676">
        <v>-58.861393930214234</v>
      </c>
      <c r="EJ186" s="676">
        <v>-58.377103727885959</v>
      </c>
      <c r="EK186" s="676">
        <v>-58.615753968178886</v>
      </c>
      <c r="EL186" s="676">
        <v>-58.594579082933457</v>
      </c>
      <c r="EM186" s="676">
        <v>-58.602142312208628</v>
      </c>
      <c r="EN186" s="676">
        <v>-258.02316818792144</v>
      </c>
      <c r="EQ186" s="5">
        <v>163.61400561819235</v>
      </c>
      <c r="ER186" s="5">
        <v>0</v>
      </c>
      <c r="ET186" s="318">
        <v>-210.78608126582807</v>
      </c>
      <c r="EU186" s="5">
        <v>-157.85530355172452</v>
      </c>
    </row>
    <row r="187" spans="1:151" x14ac:dyDescent="0.3">
      <c r="A187" s="325">
        <v>150000545</v>
      </c>
      <c r="B187" s="41" t="s">
        <v>635</v>
      </c>
      <c r="C187" s="42" t="s">
        <v>107</v>
      </c>
      <c r="D187" s="27">
        <v>1</v>
      </c>
      <c r="E187" s="293">
        <v>95</v>
      </c>
      <c r="F187" s="305">
        <v>95</v>
      </c>
      <c r="G187" s="508">
        <v>0</v>
      </c>
      <c r="H187" s="677">
        <v>0</v>
      </c>
      <c r="I187" s="674">
        <v>0</v>
      </c>
      <c r="J187" s="40">
        <v>0</v>
      </c>
      <c r="K187" s="52">
        <v>0</v>
      </c>
      <c r="L187" s="674">
        <v>0</v>
      </c>
      <c r="M187" s="40">
        <v>0</v>
      </c>
      <c r="N187" s="52">
        <v>0</v>
      </c>
      <c r="O187" s="674">
        <v>0</v>
      </c>
      <c r="P187" s="40">
        <v>0</v>
      </c>
      <c r="Q187" s="52">
        <v>0</v>
      </c>
      <c r="R187" s="674">
        <v>0</v>
      </c>
      <c r="S187" s="40">
        <v>0</v>
      </c>
      <c r="T187" s="52">
        <v>0</v>
      </c>
      <c r="U187" s="674">
        <v>0</v>
      </c>
      <c r="V187" s="40">
        <v>0</v>
      </c>
      <c r="W187" s="52">
        <v>0</v>
      </c>
      <c r="X187" s="674">
        <v>0</v>
      </c>
      <c r="Y187" s="40">
        <v>0</v>
      </c>
      <c r="Z187" s="52">
        <v>0</v>
      </c>
      <c r="AA187" s="674">
        <v>11.4</v>
      </c>
      <c r="AB187" s="40">
        <v>0</v>
      </c>
      <c r="AC187" s="52">
        <v>-11.4</v>
      </c>
      <c r="AD187" s="674">
        <v>91.247176625324315</v>
      </c>
      <c r="AE187" s="40">
        <v>403.62857500039053</v>
      </c>
      <c r="AF187" s="35">
        <v>312.38139837506623</v>
      </c>
      <c r="AG187" s="77">
        <v>102.64717662532432</v>
      </c>
      <c r="AH187" s="53">
        <v>403.62857500039053</v>
      </c>
      <c r="AI187" s="52">
        <v>300.98139837506619</v>
      </c>
      <c r="AJ187" s="674">
        <v>0</v>
      </c>
      <c r="AK187" s="40">
        <v>0</v>
      </c>
      <c r="AL187" s="52">
        <v>0</v>
      </c>
      <c r="AM187" s="674">
        <v>0</v>
      </c>
      <c r="AN187" s="40">
        <v>0</v>
      </c>
      <c r="AO187" s="52">
        <v>0</v>
      </c>
      <c r="AP187" s="674">
        <v>404.71514197660667</v>
      </c>
      <c r="AQ187" s="40">
        <v>336.57337442243158</v>
      </c>
      <c r="AR187" s="52">
        <v>-68.14176755417509</v>
      </c>
      <c r="AS187" s="674">
        <v>1059.5390949209577</v>
      </c>
      <c r="AT187" s="40">
        <v>0</v>
      </c>
      <c r="AU187" s="54">
        <v>-1059.5390949209577</v>
      </c>
      <c r="AV187" s="674">
        <v>0</v>
      </c>
      <c r="AW187" s="40">
        <v>0</v>
      </c>
      <c r="AX187" s="55">
        <v>0</v>
      </c>
      <c r="AY187" s="674">
        <v>0</v>
      </c>
      <c r="AZ187" s="40">
        <v>0</v>
      </c>
      <c r="BA187" s="35">
        <v>0</v>
      </c>
      <c r="BB187" s="674">
        <v>0</v>
      </c>
      <c r="BC187" s="40">
        <v>0</v>
      </c>
      <c r="BD187" s="55">
        <v>0</v>
      </c>
      <c r="BE187" s="674">
        <v>0</v>
      </c>
      <c r="BF187" s="40">
        <v>0</v>
      </c>
      <c r="BG187" s="38">
        <v>0</v>
      </c>
      <c r="BH187" s="674">
        <v>0</v>
      </c>
      <c r="BI187" s="40">
        <v>0</v>
      </c>
      <c r="BJ187" s="55">
        <v>0</v>
      </c>
      <c r="BK187" s="674">
        <v>0</v>
      </c>
      <c r="BL187" s="40">
        <v>0</v>
      </c>
      <c r="BM187" s="38">
        <v>0</v>
      </c>
      <c r="BN187" s="674">
        <v>2.85</v>
      </c>
      <c r="BO187" s="40">
        <v>0</v>
      </c>
      <c r="BP187" s="55">
        <v>-2.85</v>
      </c>
      <c r="BQ187" s="77">
        <v>2.85</v>
      </c>
      <c r="BR187" s="40">
        <v>0</v>
      </c>
      <c r="BS187" s="55">
        <v>-2.85</v>
      </c>
      <c r="BT187" s="674">
        <v>0</v>
      </c>
      <c r="BU187" s="40">
        <v>0</v>
      </c>
      <c r="BV187" s="52">
        <v>0</v>
      </c>
      <c r="BW187" s="674">
        <v>0</v>
      </c>
      <c r="BX187" s="40">
        <v>2.160934572573868</v>
      </c>
      <c r="BY187" s="52">
        <v>2.160934572573868</v>
      </c>
      <c r="BZ187" s="674">
        <v>0</v>
      </c>
      <c r="CA187" s="40">
        <v>0</v>
      </c>
      <c r="CB187" s="52">
        <v>0</v>
      </c>
      <c r="CC187" s="674">
        <v>0</v>
      </c>
      <c r="CD187" s="40">
        <v>0</v>
      </c>
      <c r="CE187" s="52">
        <v>0</v>
      </c>
      <c r="CF187" s="674">
        <v>0</v>
      </c>
      <c r="CG187" s="40">
        <v>0</v>
      </c>
      <c r="CH187" s="52">
        <v>0</v>
      </c>
      <c r="CI187" s="674">
        <v>0</v>
      </c>
      <c r="CJ187" s="40">
        <v>0</v>
      </c>
      <c r="CK187" s="52">
        <v>0</v>
      </c>
      <c r="CL187" s="674">
        <v>0</v>
      </c>
      <c r="CM187" s="40">
        <v>0</v>
      </c>
      <c r="CN187" s="52">
        <v>0</v>
      </c>
      <c r="CO187" s="39">
        <v>0</v>
      </c>
      <c r="CP187" s="40">
        <v>0</v>
      </c>
      <c r="CQ187" s="52">
        <v>0</v>
      </c>
      <c r="CR187" s="72">
        <v>1569.7514135228887</v>
      </c>
      <c r="CS187" s="5">
        <v>742.36288399539592</v>
      </c>
      <c r="CT187" s="52">
        <v>-827.38852952749278</v>
      </c>
      <c r="CU187" s="77">
        <v>1883.7016962274663</v>
      </c>
      <c r="CV187" s="65">
        <v>890.83546079447513</v>
      </c>
      <c r="CW187" s="35">
        <v>-992.86623543299118</v>
      </c>
      <c r="CX187" s="73">
        <v>19.30065984135253</v>
      </c>
      <c r="CY187" s="40">
        <v>1012.1668952743438</v>
      </c>
      <c r="CZ187" s="52">
        <v>992.86623543299129</v>
      </c>
      <c r="DA187" s="150">
        <v>-3171.3524434880428</v>
      </c>
      <c r="DB187" s="2">
        <v>2</v>
      </c>
      <c r="DC187" s="675">
        <v>586.79999999999995</v>
      </c>
      <c r="DD187" s="675">
        <v>0</v>
      </c>
      <c r="DE187" s="675">
        <v>420.0381385923813</v>
      </c>
      <c r="DF187" s="675">
        <v>0</v>
      </c>
      <c r="DG187" s="321">
        <v>-2178.4862080550515</v>
      </c>
      <c r="DH187" s="40">
        <v>1902.8579815663998</v>
      </c>
      <c r="DI187" s="422">
        <v>166.76186140761865</v>
      </c>
      <c r="DJ187" s="306">
        <v>1.7553880148170384</v>
      </c>
      <c r="DK187" s="306">
        <v>1.7553880148170384</v>
      </c>
      <c r="DL187" s="306">
        <v>1.7553880148170384</v>
      </c>
      <c r="DM187" s="28">
        <v>166.76186140761865</v>
      </c>
      <c r="DN187" s="28">
        <v>0</v>
      </c>
      <c r="DO187" s="423">
        <v>166.76186140761865</v>
      </c>
      <c r="DP187" s="94">
        <v>0</v>
      </c>
      <c r="DQ187" s="28">
        <v>166.76186140761865</v>
      </c>
      <c r="DR187" s="318"/>
      <c r="DT187" s="8"/>
      <c r="DU187" s="5"/>
      <c r="DX187" s="5">
        <v>1274.8669139051492</v>
      </c>
      <c r="DY187" s="5">
        <v>0</v>
      </c>
      <c r="DZ187" s="159">
        <v>124.14606747740439</v>
      </c>
      <c r="EB187" s="676">
        <v>135.06159038018788</v>
      </c>
      <c r="EC187" s="676">
        <v>-76.528534757503763</v>
      </c>
      <c r="ED187" s="676">
        <v>-74.808411210513199</v>
      </c>
      <c r="EE187" s="676">
        <v>-138.19016416358298</v>
      </c>
      <c r="EF187" s="676">
        <v>-133.26146067468426</v>
      </c>
      <c r="EG187" s="676">
        <v>-135.17265779294078</v>
      </c>
      <c r="EH187" s="676">
        <v>65.565760443132319</v>
      </c>
      <c r="EI187" s="676">
        <v>-119.52315409332444</v>
      </c>
      <c r="EJ187" s="676">
        <v>-134.80884623800816</v>
      </c>
      <c r="EK187" s="676">
        <v>-116.30857934016589</v>
      </c>
      <c r="EL187" s="676">
        <v>-128.59501945355194</v>
      </c>
      <c r="EM187" s="676">
        <v>-136.29675853203608</v>
      </c>
      <c r="EN187" s="676">
        <v>-992.86623543299129</v>
      </c>
      <c r="EQ187" s="5">
        <v>1274.8669139051492</v>
      </c>
      <c r="ER187" s="5">
        <v>0</v>
      </c>
      <c r="ET187" s="318">
        <v>-623.69982765362033</v>
      </c>
      <c r="EU187" s="5">
        <v>-519.78638040143107</v>
      </c>
    </row>
    <row r="188" spans="1:151" x14ac:dyDescent="0.3">
      <c r="A188" s="325">
        <v>150000546</v>
      </c>
      <c r="B188" s="41" t="s">
        <v>636</v>
      </c>
      <c r="C188" s="42" t="s">
        <v>108</v>
      </c>
      <c r="D188" s="27">
        <v>1</v>
      </c>
      <c r="E188" s="293">
        <v>131.30000000000001</v>
      </c>
      <c r="F188" s="305">
        <v>131.30000000000001</v>
      </c>
      <c r="G188" s="508">
        <v>0</v>
      </c>
      <c r="H188" s="677">
        <v>0</v>
      </c>
      <c r="I188" s="674">
        <v>0</v>
      </c>
      <c r="J188" s="40">
        <v>0</v>
      </c>
      <c r="K188" s="52">
        <v>0</v>
      </c>
      <c r="L188" s="674">
        <v>0</v>
      </c>
      <c r="M188" s="40">
        <v>0</v>
      </c>
      <c r="N188" s="52">
        <v>0</v>
      </c>
      <c r="O188" s="674">
        <v>0</v>
      </c>
      <c r="P188" s="40">
        <v>0</v>
      </c>
      <c r="Q188" s="52">
        <v>0</v>
      </c>
      <c r="R188" s="674">
        <v>0</v>
      </c>
      <c r="S188" s="40">
        <v>0</v>
      </c>
      <c r="T188" s="52">
        <v>0</v>
      </c>
      <c r="U188" s="674">
        <v>0</v>
      </c>
      <c r="V188" s="40">
        <v>0</v>
      </c>
      <c r="W188" s="52">
        <v>0</v>
      </c>
      <c r="X188" s="674">
        <v>0</v>
      </c>
      <c r="Y188" s="40">
        <v>0</v>
      </c>
      <c r="Z188" s="52">
        <v>0</v>
      </c>
      <c r="AA188" s="674">
        <v>15.738000000000001</v>
      </c>
      <c r="AB188" s="40">
        <v>0</v>
      </c>
      <c r="AC188" s="52">
        <v>-15.738000000000001</v>
      </c>
      <c r="AD188" s="674">
        <v>125.9858903344328</v>
      </c>
      <c r="AE188" s="40">
        <v>557.64122946705504</v>
      </c>
      <c r="AF188" s="35">
        <v>431.65533913262226</v>
      </c>
      <c r="AG188" s="77">
        <v>141.72389033443281</v>
      </c>
      <c r="AH188" s="53">
        <v>557.64122946705504</v>
      </c>
      <c r="AI188" s="52">
        <v>415.91733913262226</v>
      </c>
      <c r="AJ188" s="674">
        <v>0</v>
      </c>
      <c r="AK188" s="40">
        <v>0</v>
      </c>
      <c r="AL188" s="52">
        <v>0</v>
      </c>
      <c r="AM188" s="674">
        <v>0</v>
      </c>
      <c r="AN188" s="40">
        <v>0</v>
      </c>
      <c r="AO188" s="52">
        <v>0</v>
      </c>
      <c r="AP188" s="674">
        <v>404.71514197660667</v>
      </c>
      <c r="AQ188" s="40">
        <v>336.57337442243158</v>
      </c>
      <c r="AR188" s="52">
        <v>-68.14176755417509</v>
      </c>
      <c r="AS188" s="674">
        <v>1448.0028274739911</v>
      </c>
      <c r="AT188" s="40">
        <v>0</v>
      </c>
      <c r="AU188" s="54">
        <v>-1448.0028274739911</v>
      </c>
      <c r="AV188" s="674">
        <v>0</v>
      </c>
      <c r="AW188" s="40">
        <v>0</v>
      </c>
      <c r="AX188" s="55">
        <v>0</v>
      </c>
      <c r="AY188" s="674">
        <v>0</v>
      </c>
      <c r="AZ188" s="40">
        <v>0</v>
      </c>
      <c r="BA188" s="35">
        <v>0</v>
      </c>
      <c r="BB188" s="674">
        <v>0</v>
      </c>
      <c r="BC188" s="40">
        <v>0</v>
      </c>
      <c r="BD188" s="55">
        <v>0</v>
      </c>
      <c r="BE188" s="674">
        <v>0</v>
      </c>
      <c r="BF188" s="40">
        <v>0</v>
      </c>
      <c r="BG188" s="38">
        <v>0</v>
      </c>
      <c r="BH188" s="674">
        <v>0</v>
      </c>
      <c r="BI188" s="40">
        <v>0</v>
      </c>
      <c r="BJ188" s="55">
        <v>0</v>
      </c>
      <c r="BK188" s="674">
        <v>0</v>
      </c>
      <c r="BL188" s="40">
        <v>0</v>
      </c>
      <c r="BM188" s="38">
        <v>0</v>
      </c>
      <c r="BN188" s="674">
        <v>3.9345000000000003</v>
      </c>
      <c r="BO188" s="40">
        <v>0</v>
      </c>
      <c r="BP188" s="55">
        <v>-3.9345000000000003</v>
      </c>
      <c r="BQ188" s="77">
        <v>3.9345000000000003</v>
      </c>
      <c r="BR188" s="40">
        <v>0</v>
      </c>
      <c r="BS188" s="55">
        <v>-3.9345000000000003</v>
      </c>
      <c r="BT188" s="674">
        <v>0</v>
      </c>
      <c r="BU188" s="40">
        <v>0</v>
      </c>
      <c r="BV188" s="52">
        <v>0</v>
      </c>
      <c r="BW188" s="674">
        <v>0</v>
      </c>
      <c r="BX188" s="40">
        <v>2.9857996206181041</v>
      </c>
      <c r="BY188" s="52">
        <v>2.9857996206181041</v>
      </c>
      <c r="BZ188" s="674">
        <v>0</v>
      </c>
      <c r="CA188" s="40">
        <v>0</v>
      </c>
      <c r="CB188" s="52">
        <v>0</v>
      </c>
      <c r="CC188" s="674">
        <v>0</v>
      </c>
      <c r="CD188" s="40">
        <v>0</v>
      </c>
      <c r="CE188" s="52">
        <v>0</v>
      </c>
      <c r="CF188" s="674">
        <v>0</v>
      </c>
      <c r="CG188" s="40">
        <v>0</v>
      </c>
      <c r="CH188" s="52">
        <v>0</v>
      </c>
      <c r="CI188" s="674">
        <v>0</v>
      </c>
      <c r="CJ188" s="40">
        <v>0</v>
      </c>
      <c r="CK188" s="52">
        <v>0</v>
      </c>
      <c r="CL188" s="674">
        <v>0</v>
      </c>
      <c r="CM188" s="40">
        <v>0</v>
      </c>
      <c r="CN188" s="52">
        <v>0</v>
      </c>
      <c r="CO188" s="39">
        <v>0</v>
      </c>
      <c r="CP188" s="40">
        <v>0</v>
      </c>
      <c r="CQ188" s="52">
        <v>0</v>
      </c>
      <c r="CR188" s="72">
        <v>1998.3763597850307</v>
      </c>
      <c r="CS188" s="5">
        <v>897.20040351010471</v>
      </c>
      <c r="CT188" s="52">
        <v>-1101.175956274926</v>
      </c>
      <c r="CU188" s="77">
        <v>2398.0516317420365</v>
      </c>
      <c r="CV188" s="65">
        <v>1076.6404842121256</v>
      </c>
      <c r="CW188" s="35">
        <v>-1321.411147529911</v>
      </c>
      <c r="CX188" s="73">
        <v>24.429283321923641</v>
      </c>
      <c r="CY188" s="40">
        <v>1345.8404308518348</v>
      </c>
      <c r="CZ188" s="52">
        <v>1321.4111475299112</v>
      </c>
      <c r="DA188" s="150">
        <v>-3946.0634224317314</v>
      </c>
      <c r="DB188" s="2">
        <v>2</v>
      </c>
      <c r="DC188" s="675">
        <v>2046.3</v>
      </c>
      <c r="DD188" s="675">
        <v>0</v>
      </c>
      <c r="DE188" s="675">
        <v>1833.6915449566354</v>
      </c>
      <c r="DF188" s="675">
        <v>0</v>
      </c>
      <c r="DG188" s="321">
        <v>-2624.6522749018204</v>
      </c>
      <c r="DH188" s="40">
        <v>2422.2981769786793</v>
      </c>
      <c r="DI188" s="422">
        <v>212.6084550433645</v>
      </c>
      <c r="DJ188" s="306">
        <v>1.6192570833462641</v>
      </c>
      <c r="DK188" s="306">
        <v>1.6192570833462641</v>
      </c>
      <c r="DL188" s="306">
        <v>1.6192570833462641</v>
      </c>
      <c r="DM188" s="28">
        <v>212.6084550433645</v>
      </c>
      <c r="DN188" s="28">
        <v>0</v>
      </c>
      <c r="DO188" s="423">
        <v>212.6084550433645</v>
      </c>
      <c r="DP188" s="94">
        <v>0</v>
      </c>
      <c r="DQ188" s="28">
        <v>212.6084550433645</v>
      </c>
      <c r="DR188" s="318"/>
      <c r="DT188" s="8"/>
      <c r="DU188" s="5"/>
      <c r="DX188" s="5">
        <v>1742.3247929687893</v>
      </c>
      <c r="DY188" s="5">
        <v>0</v>
      </c>
      <c r="DZ188" s="159">
        <v>169.99266111315026</v>
      </c>
      <c r="EB188" s="676">
        <v>124.31240569271802</v>
      </c>
      <c r="EC188" s="676">
        <v>-90.998995108796947</v>
      </c>
      <c r="ED188" s="676">
        <v>-88.624319285767314</v>
      </c>
      <c r="EE188" s="676">
        <v>-173.11936190502888</v>
      </c>
      <c r="EF188" s="676">
        <v>-166.30737487247731</v>
      </c>
      <c r="EG188" s="676">
        <v>-168.94885046855183</v>
      </c>
      <c r="EH188" s="676">
        <v>31.278008332434894</v>
      </c>
      <c r="EI188" s="676">
        <v>-147.31958903950311</v>
      </c>
      <c r="EJ188" s="676">
        <v>-168.44602460368179</v>
      </c>
      <c r="EK188" s="676">
        <v>-142.87670835434821</v>
      </c>
      <c r="EL188" s="676">
        <v>-159.85786190053335</v>
      </c>
      <c r="EM188" s="676">
        <v>-170.50247601637511</v>
      </c>
      <c r="EN188" s="676">
        <v>-1321.411147529911</v>
      </c>
      <c r="EQ188" s="5">
        <v>1742.3247929687893</v>
      </c>
      <c r="ER188" s="5">
        <v>0</v>
      </c>
      <c r="ET188" s="318">
        <v>-810.15496842438824</v>
      </c>
      <c r="EU188" s="5">
        <v>-686.49730647743206</v>
      </c>
    </row>
    <row r="189" spans="1:151" x14ac:dyDescent="0.3">
      <c r="A189" s="325">
        <v>150000502</v>
      </c>
      <c r="B189" s="41" t="s">
        <v>637</v>
      </c>
      <c r="C189" s="42" t="s">
        <v>109</v>
      </c>
      <c r="D189" s="27">
        <v>1</v>
      </c>
      <c r="E189" s="293">
        <v>137.30000000000001</v>
      </c>
      <c r="F189" s="305">
        <v>137.30000000000001</v>
      </c>
      <c r="G189" s="508">
        <v>0</v>
      </c>
      <c r="H189" s="677">
        <v>0</v>
      </c>
      <c r="I189" s="674">
        <v>0</v>
      </c>
      <c r="J189" s="40">
        <v>0</v>
      </c>
      <c r="K189" s="52">
        <v>0</v>
      </c>
      <c r="L189" s="674">
        <v>0</v>
      </c>
      <c r="M189" s="40">
        <v>0</v>
      </c>
      <c r="N189" s="52">
        <v>0</v>
      </c>
      <c r="O189" s="674">
        <v>0</v>
      </c>
      <c r="P189" s="40">
        <v>0</v>
      </c>
      <c r="Q189" s="52">
        <v>0</v>
      </c>
      <c r="R189" s="674">
        <v>0</v>
      </c>
      <c r="S189" s="40">
        <v>0</v>
      </c>
      <c r="T189" s="52">
        <v>0</v>
      </c>
      <c r="U189" s="674">
        <v>0</v>
      </c>
      <c r="V189" s="40">
        <v>0</v>
      </c>
      <c r="W189" s="52">
        <v>0</v>
      </c>
      <c r="X189" s="674">
        <v>0</v>
      </c>
      <c r="Y189" s="40">
        <v>0</v>
      </c>
      <c r="Z189" s="52">
        <v>0</v>
      </c>
      <c r="AA189" s="674">
        <v>16.476000000000003</v>
      </c>
      <c r="AB189" s="40">
        <v>0</v>
      </c>
      <c r="AC189" s="52">
        <v>-16.476000000000003</v>
      </c>
      <c r="AD189" s="674">
        <v>123.72653212234381</v>
      </c>
      <c r="AE189" s="40">
        <v>583.34950892161714</v>
      </c>
      <c r="AF189" s="35">
        <v>459.62297679927332</v>
      </c>
      <c r="AG189" s="77">
        <v>140.20253212234383</v>
      </c>
      <c r="AH189" s="53">
        <v>583.34950892161714</v>
      </c>
      <c r="AI189" s="52">
        <v>443.14697679927332</v>
      </c>
      <c r="AJ189" s="674">
        <v>0</v>
      </c>
      <c r="AK189" s="40">
        <v>0</v>
      </c>
      <c r="AL189" s="52">
        <v>0</v>
      </c>
      <c r="AM189" s="674">
        <v>0</v>
      </c>
      <c r="AN189" s="40">
        <v>0</v>
      </c>
      <c r="AO189" s="52">
        <v>0</v>
      </c>
      <c r="AP189" s="674">
        <v>269.81009465107115</v>
      </c>
      <c r="AQ189" s="40">
        <v>224.38224961495439</v>
      </c>
      <c r="AR189" s="52">
        <v>-45.427845036116764</v>
      </c>
      <c r="AS189" s="674">
        <v>1728.0599540540254</v>
      </c>
      <c r="AT189" s="40">
        <v>446</v>
      </c>
      <c r="AU189" s="54">
        <v>-1282.0599540540254</v>
      </c>
      <c r="AV189" s="674">
        <v>0</v>
      </c>
      <c r="AW189" s="40">
        <v>0</v>
      </c>
      <c r="AX189" s="55">
        <v>0</v>
      </c>
      <c r="AY189" s="674">
        <v>0</v>
      </c>
      <c r="AZ189" s="40">
        <v>0</v>
      </c>
      <c r="BA189" s="35">
        <v>0</v>
      </c>
      <c r="BB189" s="674">
        <v>0</v>
      </c>
      <c r="BC189" s="40">
        <v>0</v>
      </c>
      <c r="BD189" s="55">
        <v>0</v>
      </c>
      <c r="BE189" s="674">
        <v>0</v>
      </c>
      <c r="BF189" s="40">
        <v>0</v>
      </c>
      <c r="BG189" s="38">
        <v>0</v>
      </c>
      <c r="BH189" s="674">
        <v>0</v>
      </c>
      <c r="BI189" s="40">
        <v>0</v>
      </c>
      <c r="BJ189" s="55">
        <v>0</v>
      </c>
      <c r="BK189" s="674">
        <v>0</v>
      </c>
      <c r="BL189" s="40">
        <v>0</v>
      </c>
      <c r="BM189" s="38">
        <v>0</v>
      </c>
      <c r="BN189" s="674">
        <v>4.1190000000000007</v>
      </c>
      <c r="BO189" s="40">
        <v>0</v>
      </c>
      <c r="BP189" s="55">
        <v>-4.1190000000000007</v>
      </c>
      <c r="BQ189" s="77">
        <v>4.1190000000000007</v>
      </c>
      <c r="BR189" s="40">
        <v>0</v>
      </c>
      <c r="BS189" s="55">
        <v>-4.1190000000000007</v>
      </c>
      <c r="BT189" s="674">
        <v>0</v>
      </c>
      <c r="BU189" s="40">
        <v>0</v>
      </c>
      <c r="BV189" s="52">
        <v>0</v>
      </c>
      <c r="BW189" s="674">
        <v>0</v>
      </c>
      <c r="BX189" s="40">
        <v>3.123119124362022</v>
      </c>
      <c r="BY189" s="52">
        <v>3.123119124362022</v>
      </c>
      <c r="BZ189" s="674">
        <v>0</v>
      </c>
      <c r="CA189" s="40">
        <v>0</v>
      </c>
      <c r="CB189" s="52">
        <v>0</v>
      </c>
      <c r="CC189" s="674">
        <v>0</v>
      </c>
      <c r="CD189" s="40">
        <v>0</v>
      </c>
      <c r="CE189" s="52">
        <v>0</v>
      </c>
      <c r="CF189" s="674">
        <v>0</v>
      </c>
      <c r="CG189" s="40">
        <v>0</v>
      </c>
      <c r="CH189" s="52">
        <v>0</v>
      </c>
      <c r="CI189" s="674">
        <v>0</v>
      </c>
      <c r="CJ189" s="40">
        <v>0</v>
      </c>
      <c r="CK189" s="52">
        <v>0</v>
      </c>
      <c r="CL189" s="674">
        <v>0</v>
      </c>
      <c r="CM189" s="40">
        <v>0</v>
      </c>
      <c r="CN189" s="52">
        <v>0</v>
      </c>
      <c r="CO189" s="39">
        <v>0</v>
      </c>
      <c r="CP189" s="40">
        <v>0</v>
      </c>
      <c r="CQ189" s="52">
        <v>0</v>
      </c>
      <c r="CR189" s="72">
        <v>2142.1915808274407</v>
      </c>
      <c r="CS189" s="5">
        <v>1256.8548776609337</v>
      </c>
      <c r="CT189" s="52">
        <v>-885.33670316650705</v>
      </c>
      <c r="CU189" s="77">
        <v>2570.6298969929289</v>
      </c>
      <c r="CV189" s="65">
        <v>1508.2258531931204</v>
      </c>
      <c r="CW189" s="35">
        <v>-1062.4040437998085</v>
      </c>
      <c r="CX189" s="73">
        <v>77.800637846350483</v>
      </c>
      <c r="CY189" s="40">
        <v>1140.2046816461586</v>
      </c>
      <c r="CZ189" s="52">
        <v>1062.4040437998081</v>
      </c>
      <c r="DA189" s="150">
        <v>-5056.9429672461993</v>
      </c>
      <c r="DB189" s="2">
        <v>3</v>
      </c>
      <c r="DC189" s="675">
        <v>354.39</v>
      </c>
      <c r="DD189" s="675">
        <v>0</v>
      </c>
      <c r="DE189" s="675">
        <v>122.2788546987729</v>
      </c>
      <c r="DF189" s="675">
        <v>0</v>
      </c>
      <c r="DG189" s="321">
        <v>-3994.5389234463905</v>
      </c>
      <c r="DH189" s="40">
        <v>2648.2296935022177</v>
      </c>
      <c r="DI189" s="422">
        <v>232.11114530122708</v>
      </c>
      <c r="DJ189" s="306">
        <v>1.690540024043897</v>
      </c>
      <c r="DK189" s="306">
        <v>1.690540024043897</v>
      </c>
      <c r="DL189" s="306">
        <v>1.690540024043897</v>
      </c>
      <c r="DM189" s="28">
        <v>232.11114530122708</v>
      </c>
      <c r="DN189" s="28">
        <v>0</v>
      </c>
      <c r="DO189" s="423">
        <v>232.11114530122708</v>
      </c>
      <c r="DP189" s="94">
        <v>0</v>
      </c>
      <c r="DQ189" s="28">
        <v>232.11114530122708</v>
      </c>
      <c r="DR189" s="318"/>
      <c r="DT189" s="8"/>
      <c r="DU189" s="5"/>
      <c r="DX189" s="5">
        <v>2078.6147448648303</v>
      </c>
      <c r="DY189" s="5">
        <v>535.19999999999993</v>
      </c>
      <c r="DZ189" s="159">
        <v>198.0393685680462</v>
      </c>
      <c r="EB189" s="676">
        <v>44.980621298313707</v>
      </c>
      <c r="EC189" s="676">
        <v>-103.69357987510726</v>
      </c>
      <c r="ED189" s="676">
        <v>-101.20754868561455</v>
      </c>
      <c r="EE189" s="676">
        <v>-185.15627646952834</v>
      </c>
      <c r="EF189" s="676">
        <v>-178.03300290083581</v>
      </c>
      <c r="EG189" s="676">
        <v>-180.79518568332651</v>
      </c>
      <c r="EH189" s="676">
        <v>-48.011952209559439</v>
      </c>
      <c r="EI189" s="676">
        <v>-158.17753454693363</v>
      </c>
      <c r="EJ189" s="676">
        <v>-180.26938224656601</v>
      </c>
      <c r="EK189" s="676">
        <v>-153.531628087895</v>
      </c>
      <c r="EL189" s="676">
        <v>363.9112326745481</v>
      </c>
      <c r="EM189" s="676">
        <v>-182.41980706730317</v>
      </c>
      <c r="EN189" s="676">
        <v>-1062.4040437998083</v>
      </c>
      <c r="EQ189" s="5">
        <v>2078.6147448648303</v>
      </c>
      <c r="ER189" s="5">
        <v>535.19999999999993</v>
      </c>
      <c r="ET189" s="318">
        <v>-1074.1088997514255</v>
      </c>
      <c r="EU189" s="5">
        <v>-964.4300236949648</v>
      </c>
    </row>
    <row r="190" spans="1:151" x14ac:dyDescent="0.3">
      <c r="A190" s="325">
        <v>150000503</v>
      </c>
      <c r="B190" s="41" t="s">
        <v>638</v>
      </c>
      <c r="C190" s="42" t="s">
        <v>110</v>
      </c>
      <c r="D190" s="27">
        <v>1</v>
      </c>
      <c r="E190" s="293">
        <v>211.6</v>
      </c>
      <c r="F190" s="305">
        <v>211.6</v>
      </c>
      <c r="G190" s="508">
        <v>0</v>
      </c>
      <c r="H190" s="677">
        <v>0</v>
      </c>
      <c r="I190" s="674">
        <v>0.2877571654244917</v>
      </c>
      <c r="J190" s="40">
        <v>0.19148845911928683</v>
      </c>
      <c r="K190" s="52">
        <v>-9.6268706305204871E-2</v>
      </c>
      <c r="L190" s="674">
        <v>0</v>
      </c>
      <c r="M190" s="40">
        <v>0</v>
      </c>
      <c r="N190" s="52">
        <v>0</v>
      </c>
      <c r="O190" s="674">
        <v>0</v>
      </c>
      <c r="P190" s="40">
        <v>0</v>
      </c>
      <c r="Q190" s="52">
        <v>0</v>
      </c>
      <c r="R190" s="674">
        <v>0</v>
      </c>
      <c r="S190" s="40">
        <v>0</v>
      </c>
      <c r="T190" s="52">
        <v>0</v>
      </c>
      <c r="U190" s="674">
        <v>0</v>
      </c>
      <c r="V190" s="40">
        <v>0</v>
      </c>
      <c r="W190" s="52">
        <v>0</v>
      </c>
      <c r="X190" s="674">
        <v>0</v>
      </c>
      <c r="Y190" s="40">
        <v>0</v>
      </c>
      <c r="Z190" s="52">
        <v>0</v>
      </c>
      <c r="AA190" s="674">
        <v>25.824000000000002</v>
      </c>
      <c r="AB190" s="40">
        <v>0</v>
      </c>
      <c r="AC190" s="52">
        <v>-25.824000000000002</v>
      </c>
      <c r="AD190" s="674">
        <v>206.74062132072157</v>
      </c>
      <c r="AE190" s="40">
        <v>899.0295417903435</v>
      </c>
      <c r="AF190" s="35">
        <v>692.28892046962187</v>
      </c>
      <c r="AG190" s="77">
        <v>232.85237848614605</v>
      </c>
      <c r="AH190" s="53">
        <v>899.22103024946284</v>
      </c>
      <c r="AI190" s="52">
        <v>666.36865176331685</v>
      </c>
      <c r="AJ190" s="674">
        <v>0</v>
      </c>
      <c r="AK190" s="40">
        <v>0</v>
      </c>
      <c r="AL190" s="52">
        <v>0</v>
      </c>
      <c r="AM190" s="674">
        <v>0</v>
      </c>
      <c r="AN190" s="40">
        <v>0</v>
      </c>
      <c r="AO190" s="52">
        <v>0</v>
      </c>
      <c r="AP190" s="674">
        <v>359.74679286809487</v>
      </c>
      <c r="AQ190" s="40">
        <v>299.17633281993915</v>
      </c>
      <c r="AR190" s="52">
        <v>-60.570460048155724</v>
      </c>
      <c r="AS190" s="674">
        <v>2533.6416001502421</v>
      </c>
      <c r="AT190" s="40">
        <v>3102</v>
      </c>
      <c r="AU190" s="54">
        <v>568.35839984975792</v>
      </c>
      <c r="AV190" s="674">
        <v>2.3113812888097263E-2</v>
      </c>
      <c r="AW190" s="40">
        <v>0</v>
      </c>
      <c r="AX190" s="55">
        <v>-2.3113812888097263E-2</v>
      </c>
      <c r="AY190" s="674">
        <v>0</v>
      </c>
      <c r="AZ190" s="40">
        <v>0</v>
      </c>
      <c r="BA190" s="35">
        <v>0</v>
      </c>
      <c r="BB190" s="674">
        <v>0</v>
      </c>
      <c r="BC190" s="40">
        <v>0</v>
      </c>
      <c r="BD190" s="55">
        <v>0</v>
      </c>
      <c r="BE190" s="674">
        <v>0</v>
      </c>
      <c r="BF190" s="40">
        <v>0</v>
      </c>
      <c r="BG190" s="38">
        <v>0</v>
      </c>
      <c r="BH190" s="674">
        <v>0</v>
      </c>
      <c r="BI190" s="40">
        <v>0</v>
      </c>
      <c r="BJ190" s="55">
        <v>0</v>
      </c>
      <c r="BK190" s="674">
        <v>21.437858818454341</v>
      </c>
      <c r="BL190" s="40">
        <v>0</v>
      </c>
      <c r="BM190" s="38">
        <v>-21.437858818454341</v>
      </c>
      <c r="BN190" s="674">
        <v>6.4560000000000004</v>
      </c>
      <c r="BO190" s="40">
        <v>0</v>
      </c>
      <c r="BP190" s="55">
        <v>-6.4560000000000004</v>
      </c>
      <c r="BQ190" s="77">
        <v>27.916972631342439</v>
      </c>
      <c r="BR190" s="40">
        <v>0</v>
      </c>
      <c r="BS190" s="55">
        <v>-27.916972631342439</v>
      </c>
      <c r="BT190" s="674">
        <v>0</v>
      </c>
      <c r="BU190" s="40">
        <v>0</v>
      </c>
      <c r="BV190" s="52">
        <v>0</v>
      </c>
      <c r="BW190" s="674">
        <v>0</v>
      </c>
      <c r="BX190" s="40">
        <v>4.8131974269118984</v>
      </c>
      <c r="BY190" s="52">
        <v>4.8131974269118984</v>
      </c>
      <c r="BZ190" s="674">
        <v>0</v>
      </c>
      <c r="CA190" s="40">
        <v>0</v>
      </c>
      <c r="CB190" s="52">
        <v>0</v>
      </c>
      <c r="CC190" s="674">
        <v>0</v>
      </c>
      <c r="CD190" s="40">
        <v>0</v>
      </c>
      <c r="CE190" s="52">
        <v>0</v>
      </c>
      <c r="CF190" s="674">
        <v>0</v>
      </c>
      <c r="CG190" s="40">
        <v>0</v>
      </c>
      <c r="CH190" s="52">
        <v>0</v>
      </c>
      <c r="CI190" s="674">
        <v>0</v>
      </c>
      <c r="CJ190" s="40">
        <v>0</v>
      </c>
      <c r="CK190" s="52">
        <v>0</v>
      </c>
      <c r="CL190" s="674">
        <v>0</v>
      </c>
      <c r="CM190" s="40">
        <v>0</v>
      </c>
      <c r="CN190" s="52">
        <v>0</v>
      </c>
      <c r="CO190" s="39">
        <v>0</v>
      </c>
      <c r="CP190" s="40">
        <v>0</v>
      </c>
      <c r="CQ190" s="52">
        <v>0</v>
      </c>
      <c r="CR190" s="72">
        <v>3154.1577441358254</v>
      </c>
      <c r="CS190" s="5">
        <v>4305.2105604963135</v>
      </c>
      <c r="CT190" s="52">
        <v>1151.0528163604881</v>
      </c>
      <c r="CU190" s="77">
        <v>3784.9892929629905</v>
      </c>
      <c r="CV190" s="65">
        <v>5166.2526725955759</v>
      </c>
      <c r="CW190" s="35">
        <v>1381.2633796325854</v>
      </c>
      <c r="CX190" s="73">
        <v>114.71633750968309</v>
      </c>
      <c r="CY190" s="40">
        <v>-1266.547042122902</v>
      </c>
      <c r="CZ190" s="52">
        <v>-1381.2633796325852</v>
      </c>
      <c r="DA190" s="150">
        <v>-2012.7808439325563</v>
      </c>
      <c r="DB190" s="2">
        <v>3</v>
      </c>
      <c r="DC190" s="675">
        <v>455.78</v>
      </c>
      <c r="DD190" s="675">
        <v>0</v>
      </c>
      <c r="DE190" s="675">
        <v>114.74996709554341</v>
      </c>
      <c r="DF190" s="675">
        <v>0</v>
      </c>
      <c r="DG190" s="321">
        <v>-3394.0442235651412</v>
      </c>
      <c r="DH190" s="40">
        <v>3899.4074954509997</v>
      </c>
      <c r="DI190" s="422">
        <v>341.03003290445656</v>
      </c>
      <c r="DJ190" s="306">
        <v>1.611673123366997</v>
      </c>
      <c r="DK190" s="306">
        <v>1.611673123366997</v>
      </c>
      <c r="DL190" s="306">
        <v>1.611673123366997</v>
      </c>
      <c r="DM190" s="28">
        <v>341.03003290445656</v>
      </c>
      <c r="DN190" s="28">
        <v>0</v>
      </c>
      <c r="DO190" s="423">
        <v>341.03003290445656</v>
      </c>
      <c r="DP190" s="94">
        <v>0</v>
      </c>
      <c r="DQ190" s="28">
        <v>341.03003290445656</v>
      </c>
      <c r="DR190" s="318"/>
      <c r="DT190" s="8"/>
      <c r="DU190" s="5"/>
      <c r="DX190" s="5">
        <v>3073.8702873379016</v>
      </c>
      <c r="DY190" s="5">
        <v>3722.3999999999996</v>
      </c>
      <c r="DZ190" s="159">
        <v>294.80181405014508</v>
      </c>
      <c r="EB190" s="676">
        <v>51.431406889243021</v>
      </c>
      <c r="EC190" s="676">
        <v>-149.73807846345358</v>
      </c>
      <c r="ED190" s="676">
        <v>3576.4932704054222</v>
      </c>
      <c r="EE190" s="676">
        <v>-269.04910546772658</v>
      </c>
      <c r="EF190" s="676">
        <v>-258.06697042195674</v>
      </c>
      <c r="EG190" s="676">
        <v>-262.33377281569688</v>
      </c>
      <c r="EH190" s="676">
        <v>-85.683839003529869</v>
      </c>
      <c r="EI190" s="676">
        <v>-227.46816601197432</v>
      </c>
      <c r="EJ190" s="676">
        <v>-261.51286020747256</v>
      </c>
      <c r="EK190" s="676">
        <v>-220.3090081808536</v>
      </c>
      <c r="EL190" s="676">
        <v>-247.67448130211591</v>
      </c>
      <c r="EM190" s="676">
        <v>-264.8250157873</v>
      </c>
      <c r="EN190" s="676">
        <v>1381.2633796325849</v>
      </c>
      <c r="EQ190" s="5">
        <v>3073.8702873379016</v>
      </c>
      <c r="ER190" s="5">
        <v>3722.3999999999996</v>
      </c>
      <c r="ET190" s="318">
        <v>-1190.8513665932501</v>
      </c>
      <c r="EU190" s="5">
        <v>-1422.8217131634103</v>
      </c>
    </row>
    <row r="191" spans="1:151" x14ac:dyDescent="0.3">
      <c r="A191" s="325">
        <v>150000504</v>
      </c>
      <c r="B191" s="41" t="s">
        <v>639</v>
      </c>
      <c r="C191" s="42" t="s">
        <v>111</v>
      </c>
      <c r="D191" s="27">
        <v>1</v>
      </c>
      <c r="E191" s="293">
        <v>180.6</v>
      </c>
      <c r="F191" s="305">
        <v>180.6</v>
      </c>
      <c r="G191" s="508">
        <v>0</v>
      </c>
      <c r="H191" s="677">
        <v>0</v>
      </c>
      <c r="I191" s="674">
        <v>0</v>
      </c>
      <c r="J191" s="40">
        <v>0</v>
      </c>
      <c r="K191" s="52">
        <v>0</v>
      </c>
      <c r="L191" s="674">
        <v>0</v>
      </c>
      <c r="M191" s="40">
        <v>0</v>
      </c>
      <c r="N191" s="52">
        <v>0</v>
      </c>
      <c r="O191" s="674">
        <v>0</v>
      </c>
      <c r="P191" s="40">
        <v>0</v>
      </c>
      <c r="Q191" s="52">
        <v>0</v>
      </c>
      <c r="R191" s="674">
        <v>0</v>
      </c>
      <c r="S191" s="40">
        <v>0</v>
      </c>
      <c r="T191" s="52">
        <v>0</v>
      </c>
      <c r="U191" s="674">
        <v>0</v>
      </c>
      <c r="V191" s="40">
        <v>0</v>
      </c>
      <c r="W191" s="52">
        <v>0</v>
      </c>
      <c r="X191" s="674">
        <v>0</v>
      </c>
      <c r="Y191" s="40">
        <v>0</v>
      </c>
      <c r="Z191" s="52">
        <v>0</v>
      </c>
      <c r="AA191" s="674">
        <v>21.672000000000001</v>
      </c>
      <c r="AB191" s="40">
        <v>0</v>
      </c>
      <c r="AC191" s="52">
        <v>-21.672000000000001</v>
      </c>
      <c r="AD191" s="674">
        <v>162.76437033437992</v>
      </c>
      <c r="AE191" s="40">
        <v>767.31916468495285</v>
      </c>
      <c r="AF191" s="35">
        <v>604.55479435057293</v>
      </c>
      <c r="AG191" s="77">
        <v>184.43637033437992</v>
      </c>
      <c r="AH191" s="53">
        <v>767.31916468495285</v>
      </c>
      <c r="AI191" s="52">
        <v>582.88279435057291</v>
      </c>
      <c r="AJ191" s="674">
        <v>0</v>
      </c>
      <c r="AK191" s="40">
        <v>0</v>
      </c>
      <c r="AL191" s="52">
        <v>0</v>
      </c>
      <c r="AM191" s="674">
        <v>0</v>
      </c>
      <c r="AN191" s="40">
        <v>0</v>
      </c>
      <c r="AO191" s="52">
        <v>0</v>
      </c>
      <c r="AP191" s="674">
        <v>224.84174554255935</v>
      </c>
      <c r="AQ191" s="40">
        <v>186.98520801246201</v>
      </c>
      <c r="AR191" s="52">
        <v>-37.856537530097341</v>
      </c>
      <c r="AS191" s="674">
        <v>2326.690166247618</v>
      </c>
      <c r="AT191" s="40">
        <v>0</v>
      </c>
      <c r="AU191" s="54">
        <v>-2326.690166247618</v>
      </c>
      <c r="AV191" s="674">
        <v>0</v>
      </c>
      <c r="AW191" s="40">
        <v>0</v>
      </c>
      <c r="AX191" s="55">
        <v>0</v>
      </c>
      <c r="AY191" s="674">
        <v>0</v>
      </c>
      <c r="AZ191" s="40">
        <v>0</v>
      </c>
      <c r="BA191" s="35">
        <v>0</v>
      </c>
      <c r="BB191" s="674">
        <v>0</v>
      </c>
      <c r="BC191" s="40">
        <v>0</v>
      </c>
      <c r="BD191" s="55">
        <v>0</v>
      </c>
      <c r="BE191" s="674">
        <v>0</v>
      </c>
      <c r="BF191" s="40">
        <v>0</v>
      </c>
      <c r="BG191" s="38">
        <v>0</v>
      </c>
      <c r="BH191" s="674">
        <v>0</v>
      </c>
      <c r="BI191" s="40">
        <v>0</v>
      </c>
      <c r="BJ191" s="55">
        <v>0</v>
      </c>
      <c r="BK191" s="674">
        <v>0</v>
      </c>
      <c r="BL191" s="40">
        <v>0</v>
      </c>
      <c r="BM191" s="38">
        <v>0</v>
      </c>
      <c r="BN191" s="674">
        <v>5.4180000000000001</v>
      </c>
      <c r="BO191" s="40">
        <v>0</v>
      </c>
      <c r="BP191" s="55">
        <v>-5.4180000000000001</v>
      </c>
      <c r="BQ191" s="77">
        <v>5.4180000000000001</v>
      </c>
      <c r="BR191" s="40">
        <v>0</v>
      </c>
      <c r="BS191" s="55">
        <v>-5.4180000000000001</v>
      </c>
      <c r="BT191" s="674">
        <v>0</v>
      </c>
      <c r="BU191" s="40">
        <v>0</v>
      </c>
      <c r="BV191" s="52">
        <v>0</v>
      </c>
      <c r="BW191" s="674">
        <v>0</v>
      </c>
      <c r="BX191" s="40">
        <v>4.1080503558614785</v>
      </c>
      <c r="BY191" s="52">
        <v>4.1080503558614785</v>
      </c>
      <c r="BZ191" s="674">
        <v>0</v>
      </c>
      <c r="CA191" s="40">
        <v>0</v>
      </c>
      <c r="CB191" s="52">
        <v>0</v>
      </c>
      <c r="CC191" s="674">
        <v>0</v>
      </c>
      <c r="CD191" s="40">
        <v>0</v>
      </c>
      <c r="CE191" s="52">
        <v>0</v>
      </c>
      <c r="CF191" s="674">
        <v>0</v>
      </c>
      <c r="CG191" s="40">
        <v>0</v>
      </c>
      <c r="CH191" s="52">
        <v>0</v>
      </c>
      <c r="CI191" s="674">
        <v>0</v>
      </c>
      <c r="CJ191" s="40">
        <v>0</v>
      </c>
      <c r="CK191" s="52">
        <v>0</v>
      </c>
      <c r="CL191" s="674">
        <v>0</v>
      </c>
      <c r="CM191" s="40">
        <v>0</v>
      </c>
      <c r="CN191" s="52">
        <v>0</v>
      </c>
      <c r="CO191" s="39">
        <v>0</v>
      </c>
      <c r="CP191" s="40">
        <v>0</v>
      </c>
      <c r="CQ191" s="52">
        <v>0</v>
      </c>
      <c r="CR191" s="72">
        <v>2741.3862821245575</v>
      </c>
      <c r="CS191" s="5">
        <v>958.41242305327637</v>
      </c>
      <c r="CT191" s="52">
        <v>-1782.9738590712811</v>
      </c>
      <c r="CU191" s="77">
        <v>3289.6635385494687</v>
      </c>
      <c r="CV191" s="65">
        <v>1150.0949076639315</v>
      </c>
      <c r="CW191" s="35">
        <v>-2139.5686308855375</v>
      </c>
      <c r="CX191" s="73">
        <v>99.553604017571047</v>
      </c>
      <c r="CY191" s="40">
        <v>2239.1222349031082</v>
      </c>
      <c r="CZ191" s="52">
        <v>2139.568630885537</v>
      </c>
      <c r="DA191" s="150">
        <v>-7325.0476824384841</v>
      </c>
      <c r="DB191" s="2">
        <v>3</v>
      </c>
      <c r="DC191" s="675">
        <v>297.12</v>
      </c>
      <c r="DD191" s="675">
        <v>0</v>
      </c>
      <c r="DE191" s="675">
        <v>4.5659215609418879E-2</v>
      </c>
      <c r="DF191" s="675">
        <v>0</v>
      </c>
      <c r="DG191" s="321">
        <v>-5185.4790515529476</v>
      </c>
      <c r="DH191" s="40">
        <v>3388.9602532799627</v>
      </c>
      <c r="DI191" s="422">
        <v>297.07434078439064</v>
      </c>
      <c r="DJ191" s="306">
        <v>1.644929904675474</v>
      </c>
      <c r="DK191" s="306">
        <v>1.644929904675474</v>
      </c>
      <c r="DL191" s="306">
        <v>1.644929904675474</v>
      </c>
      <c r="DM191" s="28">
        <v>297.07434078439059</v>
      </c>
      <c r="DN191" s="28">
        <v>0</v>
      </c>
      <c r="DO191" s="423">
        <v>297.07434078439059</v>
      </c>
      <c r="DP191" s="94">
        <v>0</v>
      </c>
      <c r="DQ191" s="28">
        <v>297.07434078439059</v>
      </c>
      <c r="DR191" s="318"/>
      <c r="DT191" s="8"/>
      <c r="DU191" s="5"/>
      <c r="DX191" s="5">
        <v>2798.5297994971415</v>
      </c>
      <c r="DY191" s="5">
        <v>0</v>
      </c>
      <c r="DZ191" s="159">
        <v>266.15318408316182</v>
      </c>
      <c r="EB191" s="676">
        <v>0.75745624655678512</v>
      </c>
      <c r="EC191" s="676">
        <v>-129.95061396183456</v>
      </c>
      <c r="ED191" s="676">
        <v>-126.68056856618722</v>
      </c>
      <c r="EE191" s="676">
        <v>-235.51232492105208</v>
      </c>
      <c r="EF191" s="676">
        <v>-226.14260018320886</v>
      </c>
      <c r="EG191" s="676">
        <v>-229.7758864943365</v>
      </c>
      <c r="EH191" s="676">
        <v>-120.05588363016784</v>
      </c>
      <c r="EI191" s="676">
        <v>-200.02535630327637</v>
      </c>
      <c r="EJ191" s="676">
        <v>-229.08426158043304</v>
      </c>
      <c r="EK191" s="676">
        <v>-193.91428050937708</v>
      </c>
      <c r="EL191" s="676">
        <v>-217.27144981966677</v>
      </c>
      <c r="EM191" s="676">
        <v>-231.91286116255344</v>
      </c>
      <c r="EN191" s="676">
        <v>-2139.568630885537</v>
      </c>
      <c r="EQ191" s="5">
        <v>2798.5297994971415</v>
      </c>
      <c r="ER191" s="5">
        <v>0</v>
      </c>
      <c r="ET191" s="318">
        <v>-1441.0116419982307</v>
      </c>
      <c r="EU191" s="5">
        <v>-1313.4674095547171</v>
      </c>
    </row>
    <row r="192" spans="1:151" x14ac:dyDescent="0.3">
      <c r="A192" s="325">
        <v>150000506</v>
      </c>
      <c r="B192" s="41" t="s">
        <v>640</v>
      </c>
      <c r="C192" s="42" t="s">
        <v>112</v>
      </c>
      <c r="D192" s="27">
        <v>1</v>
      </c>
      <c r="E192" s="293">
        <v>102.4</v>
      </c>
      <c r="F192" s="305">
        <v>102.4</v>
      </c>
      <c r="G192" s="508">
        <v>0</v>
      </c>
      <c r="H192" s="677">
        <v>0</v>
      </c>
      <c r="I192" s="674">
        <v>0</v>
      </c>
      <c r="J192" s="40">
        <v>0</v>
      </c>
      <c r="K192" s="52">
        <v>0</v>
      </c>
      <c r="L192" s="674">
        <v>0</v>
      </c>
      <c r="M192" s="40">
        <v>0</v>
      </c>
      <c r="N192" s="52">
        <v>0</v>
      </c>
      <c r="O192" s="674">
        <v>0</v>
      </c>
      <c r="P192" s="40">
        <v>0</v>
      </c>
      <c r="Q192" s="52">
        <v>0</v>
      </c>
      <c r="R192" s="674">
        <v>0</v>
      </c>
      <c r="S192" s="40">
        <v>0</v>
      </c>
      <c r="T192" s="52">
        <v>0</v>
      </c>
      <c r="U192" s="674">
        <v>0</v>
      </c>
      <c r="V192" s="40">
        <v>0</v>
      </c>
      <c r="W192" s="52">
        <v>0</v>
      </c>
      <c r="X192" s="674">
        <v>0</v>
      </c>
      <c r="Y192" s="40">
        <v>0</v>
      </c>
      <c r="Z192" s="52">
        <v>0</v>
      </c>
      <c r="AA192" s="674">
        <v>12.288</v>
      </c>
      <c r="AB192" s="40">
        <v>0</v>
      </c>
      <c r="AC192" s="52">
        <v>-12.288</v>
      </c>
      <c r="AD192" s="674">
        <v>92.270956262469539</v>
      </c>
      <c r="AE192" s="40">
        <v>435.06911663199998</v>
      </c>
      <c r="AF192" s="35">
        <v>342.79816036953042</v>
      </c>
      <c r="AG192" s="77">
        <v>104.55895626246954</v>
      </c>
      <c r="AH192" s="53">
        <v>435.06911663199998</v>
      </c>
      <c r="AI192" s="52">
        <v>330.51016036953047</v>
      </c>
      <c r="AJ192" s="674">
        <v>0</v>
      </c>
      <c r="AK192" s="40">
        <v>0</v>
      </c>
      <c r="AL192" s="52">
        <v>0</v>
      </c>
      <c r="AM192" s="674">
        <v>0</v>
      </c>
      <c r="AN192" s="40">
        <v>0</v>
      </c>
      <c r="AO192" s="52">
        <v>0</v>
      </c>
      <c r="AP192" s="674">
        <v>314.77844375958301</v>
      </c>
      <c r="AQ192" s="40">
        <v>261.77929121744683</v>
      </c>
      <c r="AR192" s="52">
        <v>-52.999152542136187</v>
      </c>
      <c r="AS192" s="674">
        <v>1520.0125676951029</v>
      </c>
      <c r="AT192" s="40">
        <v>0</v>
      </c>
      <c r="AU192" s="54">
        <v>-1520.0125676951029</v>
      </c>
      <c r="AV192" s="674">
        <v>0</v>
      </c>
      <c r="AW192" s="40">
        <v>0</v>
      </c>
      <c r="AX192" s="55">
        <v>0</v>
      </c>
      <c r="AY192" s="674">
        <v>0</v>
      </c>
      <c r="AZ192" s="40">
        <v>0</v>
      </c>
      <c r="BA192" s="35">
        <v>0</v>
      </c>
      <c r="BB192" s="674">
        <v>0</v>
      </c>
      <c r="BC192" s="40">
        <v>0</v>
      </c>
      <c r="BD192" s="55">
        <v>0</v>
      </c>
      <c r="BE192" s="674">
        <v>0</v>
      </c>
      <c r="BF192" s="40">
        <v>0</v>
      </c>
      <c r="BG192" s="38">
        <v>0</v>
      </c>
      <c r="BH192" s="674">
        <v>0</v>
      </c>
      <c r="BI192" s="40">
        <v>0</v>
      </c>
      <c r="BJ192" s="55">
        <v>0</v>
      </c>
      <c r="BK192" s="674">
        <v>0</v>
      </c>
      <c r="BL192" s="40">
        <v>0</v>
      </c>
      <c r="BM192" s="38">
        <v>0</v>
      </c>
      <c r="BN192" s="674">
        <v>3.0720000000000001</v>
      </c>
      <c r="BO192" s="40">
        <v>0</v>
      </c>
      <c r="BP192" s="55">
        <v>-3.0720000000000001</v>
      </c>
      <c r="BQ192" s="77">
        <v>3.0720000000000001</v>
      </c>
      <c r="BR192" s="40">
        <v>0</v>
      </c>
      <c r="BS192" s="55">
        <v>-3.0720000000000001</v>
      </c>
      <c r="BT192" s="674">
        <v>0</v>
      </c>
      <c r="BU192" s="40">
        <v>0</v>
      </c>
      <c r="BV192" s="52">
        <v>0</v>
      </c>
      <c r="BW192" s="674">
        <v>0</v>
      </c>
      <c r="BX192" s="40">
        <v>2.3292600024375165</v>
      </c>
      <c r="BY192" s="52">
        <v>2.3292600024375165</v>
      </c>
      <c r="BZ192" s="674">
        <v>0</v>
      </c>
      <c r="CA192" s="40">
        <v>0</v>
      </c>
      <c r="CB192" s="52">
        <v>0</v>
      </c>
      <c r="CC192" s="674">
        <v>0</v>
      </c>
      <c r="CD192" s="40">
        <v>0</v>
      </c>
      <c r="CE192" s="52">
        <v>0</v>
      </c>
      <c r="CF192" s="674">
        <v>0</v>
      </c>
      <c r="CG192" s="40">
        <v>0</v>
      </c>
      <c r="CH192" s="52">
        <v>0</v>
      </c>
      <c r="CI192" s="674">
        <v>0</v>
      </c>
      <c r="CJ192" s="40">
        <v>0</v>
      </c>
      <c r="CK192" s="52">
        <v>0</v>
      </c>
      <c r="CL192" s="674">
        <v>0</v>
      </c>
      <c r="CM192" s="40">
        <v>0</v>
      </c>
      <c r="CN192" s="52">
        <v>0</v>
      </c>
      <c r="CO192" s="39">
        <v>0</v>
      </c>
      <c r="CP192" s="40">
        <v>0</v>
      </c>
      <c r="CQ192" s="52">
        <v>0</v>
      </c>
      <c r="CR192" s="72">
        <v>1942.4219677171552</v>
      </c>
      <c r="CS192" s="5">
        <v>699.17766785188439</v>
      </c>
      <c r="CT192" s="52">
        <v>-1243.2442998652709</v>
      </c>
      <c r="CU192" s="77">
        <v>2330.906361260586</v>
      </c>
      <c r="CV192" s="65">
        <v>839.0132014222612</v>
      </c>
      <c r="CW192" s="35">
        <v>-1491.8931598383247</v>
      </c>
      <c r="CX192" s="73">
        <v>70.596985421090963</v>
      </c>
      <c r="CY192" s="40">
        <v>1562.4901452594167</v>
      </c>
      <c r="CZ192" s="52">
        <v>1491.8931598383258</v>
      </c>
      <c r="DA192" s="150">
        <v>-5211.3601763122724</v>
      </c>
      <c r="DB192" s="2">
        <v>3</v>
      </c>
      <c r="DC192" s="675">
        <v>383.74</v>
      </c>
      <c r="DD192" s="675">
        <v>0</v>
      </c>
      <c r="DE192" s="675">
        <v>173.50569989470875</v>
      </c>
      <c r="DF192" s="675">
        <v>0</v>
      </c>
      <c r="DG192" s="321">
        <v>-3719.4670164739464</v>
      </c>
      <c r="DH192" s="40">
        <v>2401.3204686447393</v>
      </c>
      <c r="DI192" s="422">
        <v>210.23430010529123</v>
      </c>
      <c r="DJ192" s="306">
        <v>2.0530693369657347</v>
      </c>
      <c r="DK192" s="306">
        <v>2.0530693369657347</v>
      </c>
      <c r="DL192" s="306">
        <v>2.0530693369657347</v>
      </c>
      <c r="DM192" s="28">
        <v>210.23430010529125</v>
      </c>
      <c r="DN192" s="28">
        <v>0</v>
      </c>
      <c r="DO192" s="423">
        <v>210.23430010529125</v>
      </c>
      <c r="DP192" s="94">
        <v>0</v>
      </c>
      <c r="DQ192" s="28">
        <v>210.23430010529125</v>
      </c>
      <c r="DR192" s="318"/>
      <c r="DT192" s="8"/>
      <c r="DU192" s="5"/>
      <c r="DX192" s="5">
        <v>1827.7014812341233</v>
      </c>
      <c r="DY192" s="5">
        <v>0</v>
      </c>
      <c r="DZ192" s="159">
        <v>171.96101674778689</v>
      </c>
      <c r="EB192" s="676">
        <v>60.9219542884058</v>
      </c>
      <c r="EC192" s="676">
        <v>-106.58307261010324</v>
      </c>
      <c r="ED192" s="676">
        <v>-104.72896049208393</v>
      </c>
      <c r="EE192" s="676">
        <v>-174.30935216707246</v>
      </c>
      <c r="EF192" s="676">
        <v>-168.99672861693324</v>
      </c>
      <c r="EG192" s="676">
        <v>-171.05679793176972</v>
      </c>
      <c r="EH192" s="676">
        <v>-15.328711238341498</v>
      </c>
      <c r="EI192" s="676">
        <v>-154.18828025976219</v>
      </c>
      <c r="EJ192" s="676">
        <v>-170.66464737150551</v>
      </c>
      <c r="EK192" s="676">
        <v>-150.72330705214711</v>
      </c>
      <c r="EL192" s="676">
        <v>-163.96679618489162</v>
      </c>
      <c r="EM192" s="676">
        <v>-172.26846020212085</v>
      </c>
      <c r="EN192" s="676">
        <v>-1491.8931598383258</v>
      </c>
      <c r="EQ192" s="5">
        <v>1827.7014812341233</v>
      </c>
      <c r="ER192" s="5">
        <v>0</v>
      </c>
      <c r="ET192" s="318">
        <v>-1059.9274156818421</v>
      </c>
      <c r="EU192" s="5">
        <v>-963.53960079210469</v>
      </c>
    </row>
    <row r="193" spans="1:151" x14ac:dyDescent="0.3">
      <c r="A193" s="325">
        <v>150000505</v>
      </c>
      <c r="B193" s="41" t="s">
        <v>641</v>
      </c>
      <c r="C193" s="42" t="s">
        <v>113</v>
      </c>
      <c r="D193" s="27">
        <v>1</v>
      </c>
      <c r="E193" s="293">
        <v>180.22</v>
      </c>
      <c r="F193" s="305">
        <v>180.22</v>
      </c>
      <c r="G193" s="508">
        <v>0</v>
      </c>
      <c r="H193" s="677">
        <v>0</v>
      </c>
      <c r="I193" s="674">
        <v>0</v>
      </c>
      <c r="J193" s="40">
        <v>0</v>
      </c>
      <c r="K193" s="52">
        <v>0</v>
      </c>
      <c r="L193" s="674">
        <v>0</v>
      </c>
      <c r="M193" s="40">
        <v>0</v>
      </c>
      <c r="N193" s="52">
        <v>0</v>
      </c>
      <c r="O193" s="674">
        <v>0</v>
      </c>
      <c r="P193" s="40">
        <v>0</v>
      </c>
      <c r="Q193" s="52">
        <v>0</v>
      </c>
      <c r="R193" s="674">
        <v>0</v>
      </c>
      <c r="S193" s="40">
        <v>0</v>
      </c>
      <c r="T193" s="52">
        <v>0</v>
      </c>
      <c r="U193" s="674">
        <v>0</v>
      </c>
      <c r="V193" s="40">
        <v>0</v>
      </c>
      <c r="W193" s="52">
        <v>0</v>
      </c>
      <c r="X193" s="674">
        <v>0</v>
      </c>
      <c r="Y193" s="40">
        <v>0</v>
      </c>
      <c r="Z193" s="52">
        <v>0</v>
      </c>
      <c r="AA193" s="674">
        <v>21.6264</v>
      </c>
      <c r="AB193" s="40">
        <v>0</v>
      </c>
      <c r="AC193" s="52">
        <v>-21.6264</v>
      </c>
      <c r="AD193" s="674">
        <v>162.42529836259439</v>
      </c>
      <c r="AE193" s="40">
        <v>765.70465038495138</v>
      </c>
      <c r="AF193" s="35">
        <v>603.27935202235699</v>
      </c>
      <c r="AG193" s="77">
        <v>184.05169836259438</v>
      </c>
      <c r="AH193" s="53">
        <v>765.70465038495138</v>
      </c>
      <c r="AI193" s="52">
        <v>581.652952022357</v>
      </c>
      <c r="AJ193" s="674">
        <v>0</v>
      </c>
      <c r="AK193" s="40">
        <v>0</v>
      </c>
      <c r="AL193" s="52">
        <v>0</v>
      </c>
      <c r="AM193" s="674">
        <v>0</v>
      </c>
      <c r="AN193" s="40">
        <v>0</v>
      </c>
      <c r="AO193" s="52">
        <v>0</v>
      </c>
      <c r="AP193" s="674">
        <v>404.71514197660667</v>
      </c>
      <c r="AQ193" s="40">
        <v>336.57337442243158</v>
      </c>
      <c r="AR193" s="52">
        <v>-68.14176755417509</v>
      </c>
      <c r="AS193" s="674">
        <v>2369.0344535898726</v>
      </c>
      <c r="AT193" s="40">
        <v>0</v>
      </c>
      <c r="AU193" s="54">
        <v>-2369.0344535898726</v>
      </c>
      <c r="AV193" s="674">
        <v>0</v>
      </c>
      <c r="AW193" s="40">
        <v>0</v>
      </c>
      <c r="AX193" s="55">
        <v>0</v>
      </c>
      <c r="AY193" s="674">
        <v>0</v>
      </c>
      <c r="AZ193" s="40">
        <v>0</v>
      </c>
      <c r="BA193" s="35">
        <v>0</v>
      </c>
      <c r="BB193" s="674">
        <v>0</v>
      </c>
      <c r="BC193" s="40">
        <v>0</v>
      </c>
      <c r="BD193" s="55">
        <v>0</v>
      </c>
      <c r="BE193" s="674">
        <v>0</v>
      </c>
      <c r="BF193" s="40">
        <v>0</v>
      </c>
      <c r="BG193" s="38">
        <v>0</v>
      </c>
      <c r="BH193" s="674">
        <v>0</v>
      </c>
      <c r="BI193" s="40">
        <v>0</v>
      </c>
      <c r="BJ193" s="55">
        <v>0</v>
      </c>
      <c r="BK193" s="674">
        <v>0</v>
      </c>
      <c r="BL193" s="40">
        <v>0</v>
      </c>
      <c r="BM193" s="38">
        <v>0</v>
      </c>
      <c r="BN193" s="674">
        <v>5.4066000000000001</v>
      </c>
      <c r="BO193" s="40">
        <v>0</v>
      </c>
      <c r="BP193" s="55">
        <v>-5.4066000000000001</v>
      </c>
      <c r="BQ193" s="77">
        <v>5.4066000000000001</v>
      </c>
      <c r="BR193" s="40">
        <v>0</v>
      </c>
      <c r="BS193" s="55">
        <v>-5.4066000000000001</v>
      </c>
      <c r="BT193" s="674">
        <v>0</v>
      </c>
      <c r="BU193" s="40">
        <v>0</v>
      </c>
      <c r="BV193" s="52">
        <v>0</v>
      </c>
      <c r="BW193" s="674">
        <v>0</v>
      </c>
      <c r="BX193" s="40">
        <v>4.0994066175711836</v>
      </c>
      <c r="BY193" s="52">
        <v>4.0994066175711836</v>
      </c>
      <c r="BZ193" s="674">
        <v>0</v>
      </c>
      <c r="CA193" s="40">
        <v>0</v>
      </c>
      <c r="CB193" s="52">
        <v>0</v>
      </c>
      <c r="CC193" s="674">
        <v>0</v>
      </c>
      <c r="CD193" s="40">
        <v>0</v>
      </c>
      <c r="CE193" s="52">
        <v>0</v>
      </c>
      <c r="CF193" s="674">
        <v>0</v>
      </c>
      <c r="CG193" s="40">
        <v>0</v>
      </c>
      <c r="CH193" s="52">
        <v>0</v>
      </c>
      <c r="CI193" s="674">
        <v>0</v>
      </c>
      <c r="CJ193" s="40">
        <v>0</v>
      </c>
      <c r="CK193" s="52">
        <v>0</v>
      </c>
      <c r="CL193" s="674">
        <v>0</v>
      </c>
      <c r="CM193" s="40">
        <v>0</v>
      </c>
      <c r="CN193" s="52">
        <v>0</v>
      </c>
      <c r="CO193" s="39">
        <v>0</v>
      </c>
      <c r="CP193" s="40">
        <v>0</v>
      </c>
      <c r="CQ193" s="52">
        <v>0</v>
      </c>
      <c r="CR193" s="72">
        <v>2963.2078939290736</v>
      </c>
      <c r="CS193" s="5">
        <v>1106.3774314249542</v>
      </c>
      <c r="CT193" s="52">
        <v>-1856.8304625041194</v>
      </c>
      <c r="CU193" s="77">
        <v>3555.8494727148882</v>
      </c>
      <c r="CV193" s="65">
        <v>1327.6529177099451</v>
      </c>
      <c r="CW193" s="35">
        <v>-2228.1965550049431</v>
      </c>
      <c r="CX193" s="73">
        <v>107.5990805392812</v>
      </c>
      <c r="CY193" s="40">
        <v>2335.7956355442252</v>
      </c>
      <c r="CZ193" s="52">
        <v>2228.196555004944</v>
      </c>
      <c r="DA193" s="150">
        <v>-6893.1853614560714</v>
      </c>
      <c r="DB193" s="2">
        <v>3</v>
      </c>
      <c r="DC193" s="675">
        <v>372.66</v>
      </c>
      <c r="DD193" s="675">
        <v>0</v>
      </c>
      <c r="DE193" s="675">
        <v>51.502873625145924</v>
      </c>
      <c r="DF193" s="675">
        <v>0</v>
      </c>
      <c r="DG193" s="321">
        <v>-4664.9888064511279</v>
      </c>
      <c r="DH193" s="40">
        <v>3663.1710257661102</v>
      </c>
      <c r="DI193" s="422">
        <v>321.1571263748541</v>
      </c>
      <c r="DJ193" s="306">
        <v>1.7820282231431257</v>
      </c>
      <c r="DK193" s="306">
        <v>1.7820282231431257</v>
      </c>
      <c r="DL193" s="306">
        <v>1.7820282231431257</v>
      </c>
      <c r="DM193" s="28">
        <v>321.1571263748541</v>
      </c>
      <c r="DN193" s="28">
        <v>0</v>
      </c>
      <c r="DO193" s="423">
        <v>321.1571263748541</v>
      </c>
      <c r="DP193" s="94">
        <v>0</v>
      </c>
      <c r="DQ193" s="28">
        <v>321.1571263748541</v>
      </c>
      <c r="DR193" s="318"/>
      <c r="DT193" s="8"/>
      <c r="DU193" s="5"/>
      <c r="DX193" s="5">
        <v>2849.3292643078466</v>
      </c>
      <c r="DY193" s="5">
        <v>0</v>
      </c>
      <c r="DZ193" s="159">
        <v>270.70823180135073</v>
      </c>
      <c r="EB193" s="676">
        <v>71.965256617019577</v>
      </c>
      <c r="EC193" s="676">
        <v>-148.39740274117065</v>
      </c>
      <c r="ED193" s="676">
        <v>-145.13423783971126</v>
      </c>
      <c r="EE193" s="676">
        <v>-259.12201228609013</v>
      </c>
      <c r="EF193" s="676">
        <v>-249.7720023622025</v>
      </c>
      <c r="EG193" s="676">
        <v>-253.39764388485713</v>
      </c>
      <c r="EH193" s="676">
        <v>-53.860192454791218</v>
      </c>
      <c r="EI193" s="676">
        <v>-223.70971170859548</v>
      </c>
      <c r="EJ193" s="676">
        <v>-252.7074742171734</v>
      </c>
      <c r="EK193" s="676">
        <v>-217.6114942137088</v>
      </c>
      <c r="EL193" s="676">
        <v>-240.91951776354495</v>
      </c>
      <c r="EM193" s="676">
        <v>-255.53012215011768</v>
      </c>
      <c r="EN193" s="676">
        <v>-2228.1965550049435</v>
      </c>
      <c r="EQ193" s="5">
        <v>2849.3292643078466</v>
      </c>
      <c r="ER193" s="5">
        <v>0</v>
      </c>
      <c r="ET193" s="318">
        <v>-1516.3236299815064</v>
      </c>
      <c r="EU193" s="5">
        <v>-212.66517646962123</v>
      </c>
    </row>
    <row r="194" spans="1:151" x14ac:dyDescent="0.3">
      <c r="A194" s="325">
        <v>150000507</v>
      </c>
      <c r="B194" s="41" t="s">
        <v>642</v>
      </c>
      <c r="C194" s="42" t="s">
        <v>114</v>
      </c>
      <c r="D194" s="27">
        <v>1</v>
      </c>
      <c r="E194" s="293">
        <v>329.7</v>
      </c>
      <c r="F194" s="305">
        <v>278.3</v>
      </c>
      <c r="G194" s="508">
        <v>0</v>
      </c>
      <c r="H194" s="677">
        <v>51.4</v>
      </c>
      <c r="I194" s="674">
        <v>0</v>
      </c>
      <c r="J194" s="40">
        <v>0</v>
      </c>
      <c r="K194" s="52">
        <v>0</v>
      </c>
      <c r="L194" s="674">
        <v>0</v>
      </c>
      <c r="M194" s="40">
        <v>0</v>
      </c>
      <c r="N194" s="52">
        <v>0</v>
      </c>
      <c r="O194" s="674">
        <v>0</v>
      </c>
      <c r="P194" s="40">
        <v>0</v>
      </c>
      <c r="Q194" s="52">
        <v>0</v>
      </c>
      <c r="R194" s="674">
        <v>0</v>
      </c>
      <c r="S194" s="40">
        <v>0</v>
      </c>
      <c r="T194" s="52">
        <v>0</v>
      </c>
      <c r="U194" s="674">
        <v>0</v>
      </c>
      <c r="V194" s="40">
        <v>0</v>
      </c>
      <c r="W194" s="52">
        <v>0</v>
      </c>
      <c r="X194" s="674">
        <v>0</v>
      </c>
      <c r="Y194" s="40">
        <v>0</v>
      </c>
      <c r="Z194" s="52">
        <v>0</v>
      </c>
      <c r="AA194" s="674">
        <v>38.471999999999994</v>
      </c>
      <c r="AB194" s="40">
        <v>0</v>
      </c>
      <c r="AC194" s="52">
        <v>-38.471999999999994</v>
      </c>
      <c r="AD194" s="674">
        <v>288.92351767282742</v>
      </c>
      <c r="AE194" s="40">
        <v>1400.8035913434608</v>
      </c>
      <c r="AF194" s="35">
        <v>1111.8800736706335</v>
      </c>
      <c r="AG194" s="77">
        <v>327.3955176728274</v>
      </c>
      <c r="AH194" s="53">
        <v>1400.8035913434608</v>
      </c>
      <c r="AI194" s="52">
        <v>1073.4080736706333</v>
      </c>
      <c r="AJ194" s="674">
        <v>0</v>
      </c>
      <c r="AK194" s="40">
        <v>0</v>
      </c>
      <c r="AL194" s="52">
        <v>0</v>
      </c>
      <c r="AM194" s="674">
        <v>0</v>
      </c>
      <c r="AN194" s="40">
        <v>0</v>
      </c>
      <c r="AO194" s="52">
        <v>0</v>
      </c>
      <c r="AP194" s="674">
        <v>359.74679286809487</v>
      </c>
      <c r="AQ194" s="40">
        <v>299.17633281993915</v>
      </c>
      <c r="AR194" s="52">
        <v>-60.570460048155724</v>
      </c>
      <c r="AS194" s="674">
        <v>3601.4652855343711</v>
      </c>
      <c r="AT194" s="40">
        <v>0</v>
      </c>
      <c r="AU194" s="54">
        <v>-3601.4652855343711</v>
      </c>
      <c r="AV194" s="674">
        <v>0</v>
      </c>
      <c r="AW194" s="40">
        <v>0</v>
      </c>
      <c r="AX194" s="55">
        <v>0</v>
      </c>
      <c r="AY194" s="674">
        <v>0</v>
      </c>
      <c r="AZ194" s="40">
        <v>0</v>
      </c>
      <c r="BA194" s="35">
        <v>0</v>
      </c>
      <c r="BB194" s="674">
        <v>0</v>
      </c>
      <c r="BC194" s="40">
        <v>0</v>
      </c>
      <c r="BD194" s="55">
        <v>0</v>
      </c>
      <c r="BE194" s="674">
        <v>0</v>
      </c>
      <c r="BF194" s="40">
        <v>0</v>
      </c>
      <c r="BG194" s="38">
        <v>0</v>
      </c>
      <c r="BH194" s="674">
        <v>0</v>
      </c>
      <c r="BI194" s="40">
        <v>0</v>
      </c>
      <c r="BJ194" s="55">
        <v>0</v>
      </c>
      <c r="BK194" s="674">
        <v>0</v>
      </c>
      <c r="BL194" s="40">
        <v>0</v>
      </c>
      <c r="BM194" s="38">
        <v>0</v>
      </c>
      <c r="BN194" s="674">
        <v>9.6179999999999986</v>
      </c>
      <c r="BO194" s="40">
        <v>0</v>
      </c>
      <c r="BP194" s="55">
        <v>-9.6179999999999986</v>
      </c>
      <c r="BQ194" s="77">
        <v>9.6179999999999986</v>
      </c>
      <c r="BR194" s="40">
        <v>0</v>
      </c>
      <c r="BS194" s="55">
        <v>-9.6179999999999986</v>
      </c>
      <c r="BT194" s="674">
        <v>0</v>
      </c>
      <c r="BU194" s="40">
        <v>0</v>
      </c>
      <c r="BV194" s="52">
        <v>0</v>
      </c>
      <c r="BW194" s="674">
        <v>0</v>
      </c>
      <c r="BX194" s="40">
        <v>7.4995803008168869</v>
      </c>
      <c r="BY194" s="52">
        <v>7.4995803008168869</v>
      </c>
      <c r="BZ194" s="674">
        <v>0</v>
      </c>
      <c r="CA194" s="40">
        <v>0</v>
      </c>
      <c r="CB194" s="52">
        <v>0</v>
      </c>
      <c r="CC194" s="674">
        <v>0</v>
      </c>
      <c r="CD194" s="40">
        <v>0</v>
      </c>
      <c r="CE194" s="52">
        <v>0</v>
      </c>
      <c r="CF194" s="674">
        <v>0</v>
      </c>
      <c r="CG194" s="40">
        <v>0</v>
      </c>
      <c r="CH194" s="52">
        <v>0</v>
      </c>
      <c r="CI194" s="674">
        <v>0</v>
      </c>
      <c r="CJ194" s="40">
        <v>0</v>
      </c>
      <c r="CK194" s="52">
        <v>0</v>
      </c>
      <c r="CL194" s="674">
        <v>0</v>
      </c>
      <c r="CM194" s="40">
        <v>0</v>
      </c>
      <c r="CN194" s="52">
        <v>0</v>
      </c>
      <c r="CO194" s="39">
        <v>0</v>
      </c>
      <c r="CP194" s="40">
        <v>0</v>
      </c>
      <c r="CQ194" s="52">
        <v>0</v>
      </c>
      <c r="CR194" s="72">
        <v>4298.2255960752937</v>
      </c>
      <c r="CS194" s="5">
        <v>1707.4795044642169</v>
      </c>
      <c r="CT194" s="52">
        <v>-2590.7460916110767</v>
      </c>
      <c r="CU194" s="77">
        <v>5157.8707152903526</v>
      </c>
      <c r="CV194" s="65">
        <v>2048.97540535706</v>
      </c>
      <c r="CW194" s="35">
        <v>-3108.8953099332925</v>
      </c>
      <c r="CX194" s="73">
        <v>155.34392786117039</v>
      </c>
      <c r="CY194" s="40">
        <v>3264.239237794463</v>
      </c>
      <c r="CZ194" s="52">
        <v>3108.8953099332925</v>
      </c>
      <c r="DA194" s="150">
        <v>-10807.506478918163</v>
      </c>
      <c r="DB194" s="2">
        <v>3</v>
      </c>
      <c r="DC194" s="675">
        <v>1635.46</v>
      </c>
      <c r="DD194" s="675">
        <v>8.6800000000000068</v>
      </c>
      <c r="DE194" s="675">
        <v>1239.4684222393309</v>
      </c>
      <c r="DF194" s="675">
        <v>-64.456784394173141</v>
      </c>
      <c r="DG194" s="321">
        <v>-7698.6111689848703</v>
      </c>
      <c r="DH194" s="40">
        <v>5312.8229413541931</v>
      </c>
      <c r="DI194" s="422">
        <v>469.12836215484214</v>
      </c>
      <c r="DJ194" s="306">
        <v>1.4228946380189329</v>
      </c>
      <c r="DK194" s="306">
        <v>1.4228946380189329</v>
      </c>
      <c r="DL194" s="306">
        <v>1.4228946380189329</v>
      </c>
      <c r="DM194" s="28">
        <v>395.99157776066903</v>
      </c>
      <c r="DN194" s="28">
        <v>73.136784394173148</v>
      </c>
      <c r="DO194" s="423">
        <v>469.12836215484219</v>
      </c>
      <c r="DP194" s="94">
        <v>0</v>
      </c>
      <c r="DQ194" s="28">
        <v>469.12836215484219</v>
      </c>
      <c r="DR194" s="318"/>
      <c r="DT194" s="8"/>
      <c r="DU194" s="5"/>
      <c r="DX194" s="5">
        <v>4333.2999426412453</v>
      </c>
      <c r="DY194" s="5">
        <v>0</v>
      </c>
      <c r="DZ194" s="159">
        <v>419.80550126458786</v>
      </c>
      <c r="EB194" s="676">
        <v>44.391921141898763</v>
      </c>
      <c r="EC194" s="676">
        <v>-168.93476077781125</v>
      </c>
      <c r="ED194" s="676">
        <v>-162.96502674157128</v>
      </c>
      <c r="EE194" s="676">
        <v>-358.52737980813839</v>
      </c>
      <c r="EF194" s="676">
        <v>-341.42218464719207</v>
      </c>
      <c r="EG194" s="676">
        <v>-348.05504454076231</v>
      </c>
      <c r="EH194" s="676">
        <v>-173.07717029928858</v>
      </c>
      <c r="EI194" s="676">
        <v>-293.743030122199</v>
      </c>
      <c r="EJ194" s="676">
        <v>-346.79242696538034</v>
      </c>
      <c r="EK194" s="676">
        <v>-282.58676384728983</v>
      </c>
      <c r="EL194" s="676">
        <v>-325.22717758816748</v>
      </c>
      <c r="EM194" s="676">
        <v>-351.95626573739088</v>
      </c>
      <c r="EN194" s="676">
        <v>-3108.8953099332921</v>
      </c>
      <c r="EQ194" s="5">
        <v>4333.2999426412453</v>
      </c>
      <c r="ER194" s="5">
        <v>0</v>
      </c>
      <c r="ET194" s="318">
        <v>-1907.7130631141843</v>
      </c>
      <c r="EU194" s="5">
        <v>-1615.5791941267414</v>
      </c>
    </row>
    <row r="195" spans="1:151" x14ac:dyDescent="0.3">
      <c r="A195" s="325">
        <v>150000508</v>
      </c>
      <c r="B195" s="41" t="s">
        <v>643</v>
      </c>
      <c r="C195" s="42" t="s">
        <v>115</v>
      </c>
      <c r="D195" s="27">
        <v>1</v>
      </c>
      <c r="E195" s="293">
        <v>151.80000000000001</v>
      </c>
      <c r="F195" s="305">
        <v>151.80000000000001</v>
      </c>
      <c r="G195" s="508">
        <v>0</v>
      </c>
      <c r="H195" s="677">
        <v>0</v>
      </c>
      <c r="I195" s="674">
        <v>0</v>
      </c>
      <c r="J195" s="40">
        <v>0</v>
      </c>
      <c r="K195" s="52">
        <v>0</v>
      </c>
      <c r="L195" s="674">
        <v>0</v>
      </c>
      <c r="M195" s="40">
        <v>0</v>
      </c>
      <c r="N195" s="52">
        <v>0</v>
      </c>
      <c r="O195" s="674">
        <v>0</v>
      </c>
      <c r="P195" s="40">
        <v>0</v>
      </c>
      <c r="Q195" s="52">
        <v>0</v>
      </c>
      <c r="R195" s="674">
        <v>0</v>
      </c>
      <c r="S195" s="40">
        <v>0</v>
      </c>
      <c r="T195" s="52">
        <v>0</v>
      </c>
      <c r="U195" s="674">
        <v>0</v>
      </c>
      <c r="V195" s="40">
        <v>0</v>
      </c>
      <c r="W195" s="52">
        <v>0</v>
      </c>
      <c r="X195" s="674">
        <v>0</v>
      </c>
      <c r="Y195" s="40">
        <v>0</v>
      </c>
      <c r="Z195" s="52">
        <v>0</v>
      </c>
      <c r="AA195" s="674">
        <v>18.216000000000001</v>
      </c>
      <c r="AB195" s="40">
        <v>0</v>
      </c>
      <c r="AC195" s="52">
        <v>-18.216000000000001</v>
      </c>
      <c r="AD195" s="674">
        <v>136.79528550951426</v>
      </c>
      <c r="AE195" s="40">
        <v>644.95597563220304</v>
      </c>
      <c r="AF195" s="35">
        <v>508.16069012268878</v>
      </c>
      <c r="AG195" s="77">
        <v>155.01128550951427</v>
      </c>
      <c r="AH195" s="53">
        <v>644.95597563220304</v>
      </c>
      <c r="AI195" s="52">
        <v>489.94469012268877</v>
      </c>
      <c r="AJ195" s="674">
        <v>0</v>
      </c>
      <c r="AK195" s="40">
        <v>0</v>
      </c>
      <c r="AL195" s="52">
        <v>0</v>
      </c>
      <c r="AM195" s="674">
        <v>0</v>
      </c>
      <c r="AN195" s="40">
        <v>0</v>
      </c>
      <c r="AO195" s="52">
        <v>0</v>
      </c>
      <c r="AP195" s="674">
        <v>179.87339643404744</v>
      </c>
      <c r="AQ195" s="40">
        <v>149.58816640996957</v>
      </c>
      <c r="AR195" s="52">
        <v>-30.285230024077862</v>
      </c>
      <c r="AS195" s="674">
        <v>1502.3225673021461</v>
      </c>
      <c r="AT195" s="40">
        <v>0</v>
      </c>
      <c r="AU195" s="54">
        <v>-1502.3225673021461</v>
      </c>
      <c r="AV195" s="674">
        <v>0</v>
      </c>
      <c r="AW195" s="40">
        <v>0</v>
      </c>
      <c r="AX195" s="55">
        <v>0</v>
      </c>
      <c r="AY195" s="674">
        <v>0</v>
      </c>
      <c r="AZ195" s="40">
        <v>0</v>
      </c>
      <c r="BA195" s="35">
        <v>0</v>
      </c>
      <c r="BB195" s="674">
        <v>0</v>
      </c>
      <c r="BC195" s="40">
        <v>0</v>
      </c>
      <c r="BD195" s="55">
        <v>0</v>
      </c>
      <c r="BE195" s="674">
        <v>0</v>
      </c>
      <c r="BF195" s="40">
        <v>0</v>
      </c>
      <c r="BG195" s="38">
        <v>0</v>
      </c>
      <c r="BH195" s="674">
        <v>0</v>
      </c>
      <c r="BI195" s="40">
        <v>0</v>
      </c>
      <c r="BJ195" s="55">
        <v>0</v>
      </c>
      <c r="BK195" s="674">
        <v>0</v>
      </c>
      <c r="BL195" s="40">
        <v>0</v>
      </c>
      <c r="BM195" s="38">
        <v>0</v>
      </c>
      <c r="BN195" s="674">
        <v>4.5540000000000003</v>
      </c>
      <c r="BO195" s="40">
        <v>0</v>
      </c>
      <c r="BP195" s="55">
        <v>-4.5540000000000003</v>
      </c>
      <c r="BQ195" s="77">
        <v>4.5540000000000003</v>
      </c>
      <c r="BR195" s="40">
        <v>0</v>
      </c>
      <c r="BS195" s="55">
        <v>-4.5540000000000003</v>
      </c>
      <c r="BT195" s="674">
        <v>0</v>
      </c>
      <c r="BU195" s="40">
        <v>0</v>
      </c>
      <c r="BV195" s="52">
        <v>0</v>
      </c>
      <c r="BW195" s="674">
        <v>0</v>
      </c>
      <c r="BX195" s="40">
        <v>3.4529459801759277</v>
      </c>
      <c r="BY195" s="52">
        <v>3.4529459801759277</v>
      </c>
      <c r="BZ195" s="674">
        <v>0</v>
      </c>
      <c r="CA195" s="40">
        <v>0</v>
      </c>
      <c r="CB195" s="52">
        <v>0</v>
      </c>
      <c r="CC195" s="674">
        <v>0</v>
      </c>
      <c r="CD195" s="40">
        <v>0</v>
      </c>
      <c r="CE195" s="52">
        <v>0</v>
      </c>
      <c r="CF195" s="674">
        <v>0</v>
      </c>
      <c r="CG195" s="40">
        <v>0</v>
      </c>
      <c r="CH195" s="52">
        <v>0</v>
      </c>
      <c r="CI195" s="674">
        <v>0</v>
      </c>
      <c r="CJ195" s="40">
        <v>0</v>
      </c>
      <c r="CK195" s="52">
        <v>0</v>
      </c>
      <c r="CL195" s="674">
        <v>0</v>
      </c>
      <c r="CM195" s="40">
        <v>0</v>
      </c>
      <c r="CN195" s="52">
        <v>0</v>
      </c>
      <c r="CO195" s="39">
        <v>0</v>
      </c>
      <c r="CP195" s="40">
        <v>0</v>
      </c>
      <c r="CQ195" s="52">
        <v>0</v>
      </c>
      <c r="CR195" s="72">
        <v>1841.7612492457079</v>
      </c>
      <c r="CS195" s="5">
        <v>797.99708802234852</v>
      </c>
      <c r="CT195" s="52">
        <v>-1043.7641612233592</v>
      </c>
      <c r="CU195" s="77">
        <v>2210.1134990948494</v>
      </c>
      <c r="CV195" s="65">
        <v>957.59650562681816</v>
      </c>
      <c r="CW195" s="35">
        <v>-1252.5169934680312</v>
      </c>
      <c r="CX195" s="73">
        <v>66.857833848372039</v>
      </c>
      <c r="CY195" s="40">
        <v>1319.3748273164028</v>
      </c>
      <c r="CZ195" s="52">
        <v>1252.5169934680307</v>
      </c>
      <c r="DA195" s="150">
        <v>-4312.2325125117186</v>
      </c>
      <c r="DB195" s="2">
        <v>3</v>
      </c>
      <c r="DC195" s="675">
        <v>316.8</v>
      </c>
      <c r="DD195" s="675">
        <v>0</v>
      </c>
      <c r="DE195" s="675">
        <v>117.09907092723083</v>
      </c>
      <c r="DF195" s="675">
        <v>0</v>
      </c>
      <c r="DG195" s="321">
        <v>-3059.7155190436883</v>
      </c>
      <c r="DH195" s="40">
        <v>2276.7991288902031</v>
      </c>
      <c r="DI195" s="422">
        <v>199.70092907276918</v>
      </c>
      <c r="DJ195" s="306">
        <v>1.3155528924424846</v>
      </c>
      <c r="DK195" s="306">
        <v>1.3155528924424846</v>
      </c>
      <c r="DL195" s="306">
        <v>1.3155528924424846</v>
      </c>
      <c r="DM195" s="28">
        <v>199.70092907276918</v>
      </c>
      <c r="DN195" s="28">
        <v>0</v>
      </c>
      <c r="DO195" s="423">
        <v>199.70092907276918</v>
      </c>
      <c r="DP195" s="94">
        <v>0</v>
      </c>
      <c r="DQ195" s="28">
        <v>199.70092907276918</v>
      </c>
      <c r="DR195" s="318"/>
      <c r="DT195" s="8"/>
      <c r="DU195" s="5"/>
      <c r="DX195" s="5">
        <v>1808.2518807625754</v>
      </c>
      <c r="DY195" s="5">
        <v>0</v>
      </c>
      <c r="DZ195" s="159">
        <v>175.88982184726771</v>
      </c>
      <c r="EB195" s="676">
        <v>34.736764175870633</v>
      </c>
      <c r="EC195" s="676">
        <v>-70.583211710322018</v>
      </c>
      <c r="ED195" s="676">
        <v>-67.834635347867589</v>
      </c>
      <c r="EE195" s="676">
        <v>-149.17561005624998</v>
      </c>
      <c r="EF195" s="676">
        <v>-141.30006069188343</v>
      </c>
      <c r="EG195" s="676">
        <v>-144.3539525082133</v>
      </c>
      <c r="EH195" s="676">
        <v>-56.681107656680922</v>
      </c>
      <c r="EI195" s="676">
        <v>-119.34769291240529</v>
      </c>
      <c r="EJ195" s="676">
        <v>-143.77261993938413</v>
      </c>
      <c r="EK195" s="676">
        <v>-114.21114083314772</v>
      </c>
      <c r="EL195" s="676">
        <v>-133.84357882485301</v>
      </c>
      <c r="EM195" s="676">
        <v>-146.15014716289397</v>
      </c>
      <c r="EN195" s="676">
        <v>-1252.5169934680307</v>
      </c>
      <c r="EQ195" s="5">
        <v>1808.2518807625754</v>
      </c>
      <c r="ER195" s="5">
        <v>0</v>
      </c>
      <c r="ET195" s="318">
        <v>-754.87312909724892</v>
      </c>
      <c r="EU195" s="5">
        <v>-648.84238994643908</v>
      </c>
    </row>
    <row r="196" spans="1:151" x14ac:dyDescent="0.3">
      <c r="A196" s="325">
        <v>150000501</v>
      </c>
      <c r="B196" s="41" t="s">
        <v>644</v>
      </c>
      <c r="C196" s="42" t="s">
        <v>264</v>
      </c>
      <c r="D196" s="27">
        <v>5</v>
      </c>
      <c r="E196" s="293">
        <v>4529.63</v>
      </c>
      <c r="F196" s="305">
        <v>4489.03</v>
      </c>
      <c r="G196" s="508">
        <v>0</v>
      </c>
      <c r="H196" s="677">
        <v>40.6</v>
      </c>
      <c r="I196" s="674">
        <v>16101.766094033359</v>
      </c>
      <c r="J196" s="40">
        <v>17594.252758065908</v>
      </c>
      <c r="K196" s="52">
        <v>1492.486664032549</v>
      </c>
      <c r="L196" s="674">
        <v>3393.787293532524</v>
      </c>
      <c r="M196" s="40">
        <v>3714.6298963054141</v>
      </c>
      <c r="N196" s="52">
        <v>320.84260277289013</v>
      </c>
      <c r="O196" s="674">
        <v>5677.3080876468412</v>
      </c>
      <c r="P196" s="40">
        <v>5679.1249999999991</v>
      </c>
      <c r="Q196" s="52">
        <v>1.8169123531579316</v>
      </c>
      <c r="R196" s="674">
        <v>0</v>
      </c>
      <c r="S196" s="40">
        <v>0</v>
      </c>
      <c r="T196" s="52">
        <v>0</v>
      </c>
      <c r="U196" s="674">
        <v>0</v>
      </c>
      <c r="V196" s="40">
        <v>0</v>
      </c>
      <c r="W196" s="52">
        <v>0</v>
      </c>
      <c r="X196" s="674">
        <v>12002.560258021878</v>
      </c>
      <c r="Y196" s="40">
        <v>9020.3940105414113</v>
      </c>
      <c r="Z196" s="52">
        <v>-2982.1662474804671</v>
      </c>
      <c r="AA196" s="674">
        <v>545.08439999999996</v>
      </c>
      <c r="AB196" s="40">
        <v>0</v>
      </c>
      <c r="AC196" s="52">
        <v>-545.08439999999996</v>
      </c>
      <c r="AD196" s="674">
        <v>19431.374991188368</v>
      </c>
      <c r="AE196" s="40">
        <v>19245.137917673881</v>
      </c>
      <c r="AF196" s="35">
        <v>-186.23707351448684</v>
      </c>
      <c r="AG196" s="77">
        <v>57151.881124422973</v>
      </c>
      <c r="AH196" s="53">
        <v>55253.539582586614</v>
      </c>
      <c r="AI196" s="52">
        <v>-1898.3415418363584</v>
      </c>
      <c r="AJ196" s="674">
        <v>0</v>
      </c>
      <c r="AK196" s="40">
        <v>0</v>
      </c>
      <c r="AL196" s="52">
        <v>0</v>
      </c>
      <c r="AM196" s="674">
        <v>0</v>
      </c>
      <c r="AN196" s="40">
        <v>0</v>
      </c>
      <c r="AO196" s="52">
        <v>0</v>
      </c>
      <c r="AP196" s="674">
        <v>13355.599685228022</v>
      </c>
      <c r="AQ196" s="40">
        <v>10247.601372108809</v>
      </c>
      <c r="AR196" s="52">
        <v>-3107.998313119213</v>
      </c>
      <c r="AS196" s="674">
        <v>53542.2444002876</v>
      </c>
      <c r="AT196" s="40">
        <v>141638.59</v>
      </c>
      <c r="AU196" s="54">
        <v>88096.345599712397</v>
      </c>
      <c r="AV196" s="674">
        <v>3664.4194393868902</v>
      </c>
      <c r="AW196" s="40">
        <v>0</v>
      </c>
      <c r="AX196" s="55">
        <v>-3664.4194393868902</v>
      </c>
      <c r="AY196" s="674">
        <v>5563.3240488831052</v>
      </c>
      <c r="AZ196" s="40">
        <v>1960</v>
      </c>
      <c r="BA196" s="35">
        <v>-3603.3240488831052</v>
      </c>
      <c r="BB196" s="674">
        <v>3223.2670744905499</v>
      </c>
      <c r="BC196" s="40">
        <v>434</v>
      </c>
      <c r="BD196" s="55">
        <v>-2789.2670744905499</v>
      </c>
      <c r="BE196" s="674">
        <v>0</v>
      </c>
      <c r="BF196" s="40">
        <v>0</v>
      </c>
      <c r="BG196" s="38">
        <v>0</v>
      </c>
      <c r="BH196" s="674">
        <v>0</v>
      </c>
      <c r="BI196" s="40">
        <v>0</v>
      </c>
      <c r="BJ196" s="55">
        <v>0</v>
      </c>
      <c r="BK196" s="674">
        <v>3171.3514102376735</v>
      </c>
      <c r="BL196" s="40">
        <v>0</v>
      </c>
      <c r="BM196" s="38">
        <v>-3171.3514102376735</v>
      </c>
      <c r="BN196" s="674">
        <v>136.27109999999999</v>
      </c>
      <c r="BO196" s="40">
        <v>0</v>
      </c>
      <c r="BP196" s="55">
        <v>-136.27109999999999</v>
      </c>
      <c r="BQ196" s="77">
        <v>15758.63307299822</v>
      </c>
      <c r="BR196" s="40">
        <v>2394</v>
      </c>
      <c r="BS196" s="55">
        <v>-13364.63307299822</v>
      </c>
      <c r="BT196" s="674">
        <v>31482.672281261559</v>
      </c>
      <c r="BU196" s="40">
        <v>44027.328272390849</v>
      </c>
      <c r="BV196" s="52">
        <v>12544.65599112929</v>
      </c>
      <c r="BW196" s="674">
        <v>22891.367761969352</v>
      </c>
      <c r="BX196" s="40">
        <v>24491.987038926163</v>
      </c>
      <c r="BY196" s="52">
        <v>1600.6192769568115</v>
      </c>
      <c r="BZ196" s="674">
        <v>15153.75294517482</v>
      </c>
      <c r="CA196" s="40">
        <v>8886.6403989954306</v>
      </c>
      <c r="CB196" s="52">
        <v>-6267.112546179389</v>
      </c>
      <c r="CC196" s="674">
        <v>2507.1943135991805</v>
      </c>
      <c r="CD196" s="40">
        <v>2635.1140232827738</v>
      </c>
      <c r="CE196" s="52">
        <v>127.91970968359328</v>
      </c>
      <c r="CF196" s="674">
        <v>306.43095413564248</v>
      </c>
      <c r="CG196" s="40">
        <v>0</v>
      </c>
      <c r="CH196" s="52">
        <v>-306.43095413564248</v>
      </c>
      <c r="CI196" s="674">
        <v>7965.2494092747447</v>
      </c>
      <c r="CJ196" s="40">
        <v>7597.8140957736396</v>
      </c>
      <c r="CK196" s="52">
        <v>-367.43531350110516</v>
      </c>
      <c r="CL196" s="674">
        <v>0</v>
      </c>
      <c r="CM196" s="40">
        <v>0</v>
      </c>
      <c r="CN196" s="52">
        <v>0</v>
      </c>
      <c r="CO196" s="39">
        <v>7965.2494092747447</v>
      </c>
      <c r="CP196" s="40">
        <v>7597.8140957736396</v>
      </c>
      <c r="CQ196" s="52">
        <v>-367.43531350110516</v>
      </c>
      <c r="CR196" s="72">
        <v>220115.02594835212</v>
      </c>
      <c r="CS196" s="5">
        <v>297172.6147840643</v>
      </c>
      <c r="CT196" s="52">
        <v>77057.588835712173</v>
      </c>
      <c r="CU196" s="77">
        <v>264138.03113802255</v>
      </c>
      <c r="CV196" s="65">
        <v>356607.13774087717</v>
      </c>
      <c r="CW196" s="35">
        <v>92469.106602854619</v>
      </c>
      <c r="CX196" s="73">
        <v>11174.969285049328</v>
      </c>
      <c r="CY196" s="40">
        <v>-81294.13731780526</v>
      </c>
      <c r="CZ196" s="52">
        <v>-92469.10660285459</v>
      </c>
      <c r="DA196" s="150">
        <v>99269.793771241981</v>
      </c>
      <c r="DB196" s="2">
        <v>2</v>
      </c>
      <c r="DC196" s="675">
        <v>64399.22</v>
      </c>
      <c r="DD196" s="675">
        <v>901.94</v>
      </c>
      <c r="DE196" s="675">
        <v>40828.767038489503</v>
      </c>
      <c r="DF196" s="675">
        <v>712.46191294960431</v>
      </c>
      <c r="DG196" s="321">
        <v>6800.6871683873942</v>
      </c>
      <c r="DH196" s="40">
        <v>275290.93074640067</v>
      </c>
      <c r="DI196" s="422">
        <v>23759.931048560891</v>
      </c>
      <c r="DJ196" s="306">
        <v>5.2506784230692372</v>
      </c>
      <c r="DK196" s="306">
        <v>5.2506784230692372</v>
      </c>
      <c r="DL196" s="306">
        <v>4.6669479569063004</v>
      </c>
      <c r="DM196" s="28">
        <v>23570.452961510495</v>
      </c>
      <c r="DN196" s="28">
        <v>189.4780870503958</v>
      </c>
      <c r="DO196" s="423">
        <v>23759.931048560891</v>
      </c>
      <c r="DP196" s="94">
        <v>0</v>
      </c>
      <c r="DQ196" s="28">
        <v>23759.931048560891</v>
      </c>
      <c r="DR196" s="318"/>
      <c r="DT196" s="8"/>
      <c r="DU196" s="5"/>
      <c r="DX196" s="5">
        <v>83161.052967942975</v>
      </c>
      <c r="DY196" s="5">
        <v>172839.10799999998</v>
      </c>
      <c r="DZ196" s="159">
        <v>7530.8245841520475</v>
      </c>
      <c r="EB196" s="676">
        <v>63342.377766353107</v>
      </c>
      <c r="EC196" s="676">
        <v>4324.4933382520467</v>
      </c>
      <c r="ED196" s="676">
        <v>-4855.8023485804861</v>
      </c>
      <c r="EE196" s="676">
        <v>89909.274076957998</v>
      </c>
      <c r="EF196" s="676">
        <v>-10580.291404562327</v>
      </c>
      <c r="EG196" s="676">
        <v>-8811.4988572874699</v>
      </c>
      <c r="EH196" s="676">
        <v>-10843.367908871091</v>
      </c>
      <c r="EI196" s="676">
        <v>-2643.1149556975906</v>
      </c>
      <c r="EJ196" s="676">
        <v>-6315.5631588940523</v>
      </c>
      <c r="EK196" s="676">
        <v>-8489.197947874587</v>
      </c>
      <c r="EL196" s="676">
        <v>-4639.6269832580074</v>
      </c>
      <c r="EM196" s="676">
        <v>-7928.575013682952</v>
      </c>
      <c r="EN196" s="676">
        <v>92469.10660285459</v>
      </c>
      <c r="EQ196" s="5">
        <v>83161.052967942975</v>
      </c>
      <c r="ER196" s="5">
        <v>172839.10799999998</v>
      </c>
      <c r="ET196" s="318">
        <v>84687.075761034939</v>
      </c>
      <c r="EU196" s="5">
        <v>-39560.388592647527</v>
      </c>
    </row>
    <row r="197" spans="1:151" x14ac:dyDescent="0.3">
      <c r="A197" s="325">
        <v>150000778</v>
      </c>
      <c r="B197" s="41" t="s">
        <v>645</v>
      </c>
      <c r="C197" s="42" t="s">
        <v>215</v>
      </c>
      <c r="D197" s="27">
        <v>4</v>
      </c>
      <c r="E197" s="293">
        <v>2055.6</v>
      </c>
      <c r="F197" s="305">
        <v>2055.6</v>
      </c>
      <c r="G197" s="508">
        <v>0</v>
      </c>
      <c r="H197" s="677">
        <v>0</v>
      </c>
      <c r="I197" s="674">
        <v>7024.1450043380883</v>
      </c>
      <c r="J197" s="40">
        <v>6737.0412459849322</v>
      </c>
      <c r="K197" s="52">
        <v>-287.10375835315608</v>
      </c>
      <c r="L197" s="674">
        <v>1330.2897092494991</v>
      </c>
      <c r="M197" s="40">
        <v>1271.3104009200474</v>
      </c>
      <c r="N197" s="52">
        <v>-58.979308329451669</v>
      </c>
      <c r="O197" s="674">
        <v>2835.9661402833599</v>
      </c>
      <c r="P197" s="40">
        <v>2836.63</v>
      </c>
      <c r="Q197" s="52">
        <v>0.66385971664021781</v>
      </c>
      <c r="R197" s="674">
        <v>634.18809604293506</v>
      </c>
      <c r="S197" s="40">
        <v>634.28499999999997</v>
      </c>
      <c r="T197" s="52">
        <v>9.6903957064910173E-2</v>
      </c>
      <c r="U197" s="674">
        <v>0</v>
      </c>
      <c r="V197" s="40">
        <v>0</v>
      </c>
      <c r="W197" s="52">
        <v>0</v>
      </c>
      <c r="X197" s="674">
        <v>4622.5444791536283</v>
      </c>
      <c r="Y197" s="40">
        <v>3745.3048200925023</v>
      </c>
      <c r="Z197" s="52">
        <v>-877.23965906112608</v>
      </c>
      <c r="AA197" s="674">
        <v>250.38000000000002</v>
      </c>
      <c r="AB197" s="40">
        <v>0</v>
      </c>
      <c r="AC197" s="52">
        <v>-250.38000000000002</v>
      </c>
      <c r="AD197" s="674">
        <v>8845.0814732390645</v>
      </c>
      <c r="AE197" s="40">
        <v>8733.6726186400283</v>
      </c>
      <c r="AF197" s="35">
        <v>-111.4088545990362</v>
      </c>
      <c r="AG197" s="77">
        <v>25542.594902306573</v>
      </c>
      <c r="AH197" s="53">
        <v>23958.244085637511</v>
      </c>
      <c r="AI197" s="52">
        <v>-1584.3508166690626</v>
      </c>
      <c r="AJ197" s="674">
        <v>0</v>
      </c>
      <c r="AK197" s="40">
        <v>0</v>
      </c>
      <c r="AL197" s="52">
        <v>0</v>
      </c>
      <c r="AM197" s="674">
        <v>0</v>
      </c>
      <c r="AN197" s="40">
        <v>0</v>
      </c>
      <c r="AO197" s="52">
        <v>0</v>
      </c>
      <c r="AP197" s="674">
        <v>2158.4807572085692</v>
      </c>
      <c r="AQ197" s="40">
        <v>2104.1741967066714</v>
      </c>
      <c r="AR197" s="52">
        <v>-54.30656050189782</v>
      </c>
      <c r="AS197" s="674">
        <v>22227.848739764417</v>
      </c>
      <c r="AT197" s="40">
        <v>10102.98</v>
      </c>
      <c r="AU197" s="54">
        <v>-12124.868739764417</v>
      </c>
      <c r="AV197" s="674">
        <v>1524.5671739268471</v>
      </c>
      <c r="AW197" s="40">
        <v>884</v>
      </c>
      <c r="AX197" s="55">
        <v>-640.56717392684709</v>
      </c>
      <c r="AY197" s="674">
        <v>2180.8771814134525</v>
      </c>
      <c r="AZ197" s="40">
        <v>1408</v>
      </c>
      <c r="BA197" s="35">
        <v>-772.87718141345249</v>
      </c>
      <c r="BB197" s="674">
        <v>1111.1860471177408</v>
      </c>
      <c r="BC197" s="40">
        <v>0</v>
      </c>
      <c r="BD197" s="55">
        <v>-1111.1860471177408</v>
      </c>
      <c r="BE197" s="674">
        <v>1120.6240867188446</v>
      </c>
      <c r="BF197" s="40">
        <v>0</v>
      </c>
      <c r="BG197" s="38">
        <v>-1120.6240867188446</v>
      </c>
      <c r="BH197" s="674">
        <v>0</v>
      </c>
      <c r="BI197" s="40">
        <v>0</v>
      </c>
      <c r="BJ197" s="55">
        <v>0</v>
      </c>
      <c r="BK197" s="674">
        <v>1412.4885915545458</v>
      </c>
      <c r="BL197" s="40">
        <v>94</v>
      </c>
      <c r="BM197" s="38">
        <v>-1318.4885915545458</v>
      </c>
      <c r="BN197" s="674">
        <v>62.595000000000006</v>
      </c>
      <c r="BO197" s="40">
        <v>0</v>
      </c>
      <c r="BP197" s="55">
        <v>-62.595000000000006</v>
      </c>
      <c r="BQ197" s="77">
        <v>7412.3380807314306</v>
      </c>
      <c r="BR197" s="40">
        <v>2386</v>
      </c>
      <c r="BS197" s="55">
        <v>-5026.3380807314306</v>
      </c>
      <c r="BT197" s="674">
        <v>24043.940550625863</v>
      </c>
      <c r="BU197" s="40">
        <v>27763.030746584234</v>
      </c>
      <c r="BV197" s="52">
        <v>3719.0901959583716</v>
      </c>
      <c r="BW197" s="674">
        <v>9851.2968498786631</v>
      </c>
      <c r="BX197" s="40">
        <v>10699.809542756282</v>
      </c>
      <c r="BY197" s="52">
        <v>848.51269287761897</v>
      </c>
      <c r="BZ197" s="674">
        <v>5247.9074229504158</v>
      </c>
      <c r="CA197" s="40">
        <v>6703.3782719780111</v>
      </c>
      <c r="CB197" s="52">
        <v>1455.4708490275952</v>
      </c>
      <c r="CC197" s="674">
        <v>1452.0995840001997</v>
      </c>
      <c r="CD197" s="40">
        <v>1526.1872429460736</v>
      </c>
      <c r="CE197" s="52">
        <v>74.087658945873955</v>
      </c>
      <c r="CF197" s="674">
        <v>177.47657555364367</v>
      </c>
      <c r="CG197" s="40">
        <v>0</v>
      </c>
      <c r="CH197" s="52">
        <v>-177.47657555364367</v>
      </c>
      <c r="CI197" s="674">
        <v>4200.6719563630086</v>
      </c>
      <c r="CJ197" s="40">
        <v>4731.1273346017388</v>
      </c>
      <c r="CK197" s="52">
        <v>530.45537823873019</v>
      </c>
      <c r="CL197" s="674">
        <v>0</v>
      </c>
      <c r="CM197" s="40">
        <v>0</v>
      </c>
      <c r="CN197" s="52">
        <v>0</v>
      </c>
      <c r="CO197" s="39">
        <v>4200.6719563630086</v>
      </c>
      <c r="CP197" s="40">
        <v>4731.1273346017388</v>
      </c>
      <c r="CQ197" s="52">
        <v>530.45537823873019</v>
      </c>
      <c r="CR197" s="72">
        <v>102314.65541938279</v>
      </c>
      <c r="CS197" s="5">
        <v>89974.931421210524</v>
      </c>
      <c r="CT197" s="52">
        <v>-12339.723998172267</v>
      </c>
      <c r="CU197" s="77">
        <v>122777.58650325934</v>
      </c>
      <c r="CV197" s="65">
        <v>107969.91770545262</v>
      </c>
      <c r="CW197" s="35">
        <v>-14807.66879780672</v>
      </c>
      <c r="CX197" s="73">
        <v>2744.8407314488886</v>
      </c>
      <c r="CY197" s="40">
        <v>17552.5095292556</v>
      </c>
      <c r="CZ197" s="52">
        <v>14807.668797806711</v>
      </c>
      <c r="DA197" s="150">
        <v>-50223.651857599165</v>
      </c>
      <c r="DB197" s="2">
        <v>3</v>
      </c>
      <c r="DC197" s="675">
        <v>49900.12</v>
      </c>
      <c r="DD197" s="675">
        <v>0</v>
      </c>
      <c r="DE197" s="675">
        <v>38929.769964934108</v>
      </c>
      <c r="DF197" s="675">
        <v>0</v>
      </c>
      <c r="DG197" s="321">
        <v>-35415.983059792452</v>
      </c>
      <c r="DH197" s="40">
        <v>125512.80960245596</v>
      </c>
      <c r="DI197" s="422">
        <v>10970.350035065891</v>
      </c>
      <c r="DJ197" s="306">
        <v>5.3368116535638697</v>
      </c>
      <c r="DK197" s="306">
        <v>5.3368116535638697</v>
      </c>
      <c r="DL197" s="306">
        <v>4.8009832408318216</v>
      </c>
      <c r="DM197" s="28">
        <v>10970.350035065891</v>
      </c>
      <c r="DN197" s="28">
        <v>0</v>
      </c>
      <c r="DO197" s="423">
        <v>10970.350035065891</v>
      </c>
      <c r="DP197" s="94">
        <v>0</v>
      </c>
      <c r="DQ197" s="28">
        <v>10970.350035065891</v>
      </c>
      <c r="DR197" s="318"/>
      <c r="DT197" s="8"/>
      <c r="DU197" s="5"/>
      <c r="DX197" s="5">
        <v>35568.224184595019</v>
      </c>
      <c r="DY197" s="5">
        <v>14986.775999999998</v>
      </c>
      <c r="DZ197" s="159">
        <v>3176.0174745248851</v>
      </c>
      <c r="EB197" s="676">
        <v>-924.05620906555487</v>
      </c>
      <c r="EC197" s="676">
        <v>-864.12119469551908</v>
      </c>
      <c r="ED197" s="676">
        <v>8392.6887542770673</v>
      </c>
      <c r="EE197" s="676">
        <v>-2790.4741524947758</v>
      </c>
      <c r="EF197" s="676">
        <v>-2551.0696305649944</v>
      </c>
      <c r="EG197" s="676">
        <v>-3702.2907586084511</v>
      </c>
      <c r="EH197" s="676">
        <v>-3078.681618651407</v>
      </c>
      <c r="EI197" s="676">
        <v>-1694.9174228162647</v>
      </c>
      <c r="EJ197" s="676">
        <v>-1911.9514876373287</v>
      </c>
      <c r="EK197" s="676">
        <v>-2722.1932383576568</v>
      </c>
      <c r="EL197" s="676">
        <v>-3197.9153408014627</v>
      </c>
      <c r="EM197" s="676">
        <v>237.31350160963302</v>
      </c>
      <c r="EN197" s="676">
        <v>-14807.668797806715</v>
      </c>
      <c r="EQ197" s="5">
        <v>35568.224184595019</v>
      </c>
      <c r="ER197" s="5">
        <v>14986.775999999998</v>
      </c>
      <c r="ET197" s="318">
        <v>-20782.882915740869</v>
      </c>
      <c r="EU197" s="5">
        <v>-464.10014405159109</v>
      </c>
    </row>
    <row r="198" spans="1:151" x14ac:dyDescent="0.3">
      <c r="A198" s="325">
        <v>150001071</v>
      </c>
      <c r="B198" s="41" t="s">
        <v>646</v>
      </c>
      <c r="C198" s="42" t="s">
        <v>168</v>
      </c>
      <c r="D198" s="27">
        <v>2</v>
      </c>
      <c r="E198" s="293">
        <v>373.83</v>
      </c>
      <c r="F198" s="305">
        <v>373.83</v>
      </c>
      <c r="G198" s="508">
        <v>0</v>
      </c>
      <c r="H198" s="677">
        <v>0</v>
      </c>
      <c r="I198" s="674">
        <v>1723.8973573346811</v>
      </c>
      <c r="J198" s="40">
        <v>1641.2877589524771</v>
      </c>
      <c r="K198" s="52">
        <v>-82.609598382204013</v>
      </c>
      <c r="L198" s="674">
        <v>283.57767134592103</v>
      </c>
      <c r="M198" s="40">
        <v>271.00854374693444</v>
      </c>
      <c r="N198" s="52">
        <v>-12.569127598986597</v>
      </c>
      <c r="O198" s="674">
        <v>630.63954619926506</v>
      </c>
      <c r="P198" s="40">
        <v>630.77</v>
      </c>
      <c r="Q198" s="52">
        <v>0.13045380073492652</v>
      </c>
      <c r="R198" s="674">
        <v>0</v>
      </c>
      <c r="S198" s="40">
        <v>0</v>
      </c>
      <c r="T198" s="52">
        <v>0</v>
      </c>
      <c r="U198" s="674">
        <v>0</v>
      </c>
      <c r="V198" s="40">
        <v>0</v>
      </c>
      <c r="W198" s="52">
        <v>0</v>
      </c>
      <c r="X198" s="674">
        <v>1155.1733249478284</v>
      </c>
      <c r="Y198" s="40">
        <v>1018.84026687427</v>
      </c>
      <c r="Z198" s="52">
        <v>-136.33305807355839</v>
      </c>
      <c r="AA198" s="674">
        <v>44.8596</v>
      </c>
      <c r="AB198" s="40">
        <v>0</v>
      </c>
      <c r="AC198" s="52">
        <v>-44.8596</v>
      </c>
      <c r="AD198" s="674">
        <v>1602.8280554289863</v>
      </c>
      <c r="AE198" s="40">
        <v>1588.2996862357472</v>
      </c>
      <c r="AF198" s="35">
        <v>-14.528369193239087</v>
      </c>
      <c r="AG198" s="77">
        <v>5440.9755552566821</v>
      </c>
      <c r="AH198" s="53">
        <v>5150.2062558094294</v>
      </c>
      <c r="AI198" s="52">
        <v>-290.76929944725271</v>
      </c>
      <c r="AJ198" s="674">
        <v>0</v>
      </c>
      <c r="AK198" s="40">
        <v>0</v>
      </c>
      <c r="AL198" s="52">
        <v>0</v>
      </c>
      <c r="AM198" s="674">
        <v>0</v>
      </c>
      <c r="AN198" s="40">
        <v>0</v>
      </c>
      <c r="AO198" s="52">
        <v>0</v>
      </c>
      <c r="AP198" s="674">
        <v>89.936698217023718</v>
      </c>
      <c r="AQ198" s="40">
        <v>37.791115529383532</v>
      </c>
      <c r="AR198" s="52">
        <v>-52.145582687640186</v>
      </c>
      <c r="AS198" s="674">
        <v>4383.0961393509815</v>
      </c>
      <c r="AT198" s="40">
        <v>2642.23</v>
      </c>
      <c r="AU198" s="54">
        <v>-1740.8661393509815</v>
      </c>
      <c r="AV198" s="674">
        <v>399.38289778801897</v>
      </c>
      <c r="AW198" s="40">
        <v>0</v>
      </c>
      <c r="AX198" s="55">
        <v>-399.38289778801897</v>
      </c>
      <c r="AY198" s="674">
        <v>464.84808211662204</v>
      </c>
      <c r="AZ198" s="40">
        <v>0</v>
      </c>
      <c r="BA198" s="35">
        <v>-464.84808211662204</v>
      </c>
      <c r="BB198" s="674">
        <v>192.40346314111528</v>
      </c>
      <c r="BC198" s="40">
        <v>0</v>
      </c>
      <c r="BD198" s="55">
        <v>-192.40346314111528</v>
      </c>
      <c r="BE198" s="674">
        <v>0</v>
      </c>
      <c r="BF198" s="40">
        <v>0</v>
      </c>
      <c r="BG198" s="38">
        <v>0</v>
      </c>
      <c r="BH198" s="674">
        <v>0</v>
      </c>
      <c r="BI198" s="40">
        <v>0</v>
      </c>
      <c r="BJ198" s="55">
        <v>0</v>
      </c>
      <c r="BK198" s="674">
        <v>251.83315801180186</v>
      </c>
      <c r="BL198" s="40">
        <v>709</v>
      </c>
      <c r="BM198" s="38">
        <v>457.16684198819814</v>
      </c>
      <c r="BN198" s="674">
        <v>100.66230464853354</v>
      </c>
      <c r="BO198" s="40">
        <v>0</v>
      </c>
      <c r="BP198" s="55">
        <v>-100.66230464853354</v>
      </c>
      <c r="BQ198" s="77">
        <v>1409.1299057060917</v>
      </c>
      <c r="BR198" s="40">
        <v>709</v>
      </c>
      <c r="BS198" s="55">
        <v>-700.12990570609168</v>
      </c>
      <c r="BT198" s="674">
        <v>0</v>
      </c>
      <c r="BU198" s="40">
        <v>0</v>
      </c>
      <c r="BV198" s="52">
        <v>0</v>
      </c>
      <c r="BW198" s="674">
        <v>155.20254991308124</v>
      </c>
      <c r="BX198" s="40">
        <v>731.26154442255779</v>
      </c>
      <c r="BY198" s="52">
        <v>576.05899450947652</v>
      </c>
      <c r="BZ198" s="674">
        <v>0</v>
      </c>
      <c r="CA198" s="40">
        <v>0</v>
      </c>
      <c r="CB198" s="52">
        <v>0</v>
      </c>
      <c r="CC198" s="674">
        <v>83.369352037215037</v>
      </c>
      <c r="CD198" s="40">
        <v>87.622944689074728</v>
      </c>
      <c r="CE198" s="52">
        <v>4.2535926518596909</v>
      </c>
      <c r="CF198" s="674">
        <v>10.189457574893897</v>
      </c>
      <c r="CG198" s="40">
        <v>0</v>
      </c>
      <c r="CH198" s="52">
        <v>-10.189457574893897</v>
      </c>
      <c r="CI198" s="674">
        <v>1202.2419279196929</v>
      </c>
      <c r="CJ198" s="40">
        <v>1444.3828018159229</v>
      </c>
      <c r="CK198" s="52">
        <v>242.14087389623</v>
      </c>
      <c r="CL198" s="674">
        <v>0</v>
      </c>
      <c r="CM198" s="40">
        <v>0</v>
      </c>
      <c r="CN198" s="52">
        <v>0</v>
      </c>
      <c r="CO198" s="39">
        <v>1202.2419279196929</v>
      </c>
      <c r="CP198" s="40">
        <v>1444.3828018159229</v>
      </c>
      <c r="CQ198" s="52">
        <v>242.14087389623</v>
      </c>
      <c r="CR198" s="72">
        <v>12774.141585975662</v>
      </c>
      <c r="CS198" s="5">
        <v>10802.494662266367</v>
      </c>
      <c r="CT198" s="52">
        <v>-1971.6469237092952</v>
      </c>
      <c r="CU198" s="77">
        <v>15328.969903170793</v>
      </c>
      <c r="CV198" s="65">
        <v>12962.993594719639</v>
      </c>
      <c r="CW198" s="35">
        <v>-2365.9763084511542</v>
      </c>
      <c r="CX198" s="73">
        <v>341.02951887609925</v>
      </c>
      <c r="CY198" s="40">
        <v>2707.0058273272566</v>
      </c>
      <c r="CZ198" s="52">
        <v>2365.9763084511574</v>
      </c>
      <c r="DA198" s="150">
        <v>13289.708589057907</v>
      </c>
      <c r="DB198" s="2">
        <v>3</v>
      </c>
      <c r="DC198" s="675">
        <v>2388.96</v>
      </c>
      <c r="DD198" s="675">
        <v>0</v>
      </c>
      <c r="DE198" s="675">
        <v>1013.9829374578283</v>
      </c>
      <c r="DF198" s="675">
        <v>0</v>
      </c>
      <c r="DG198" s="321">
        <v>15655.684897509063</v>
      </c>
      <c r="DH198" s="40">
        <v>15668.816408476028</v>
      </c>
      <c r="DI198" s="422">
        <v>1374.9770625421718</v>
      </c>
      <c r="DJ198" s="306">
        <v>3.6780811131855971</v>
      </c>
      <c r="DK198" s="306">
        <v>3.6780811131855971</v>
      </c>
      <c r="DL198" s="306">
        <v>3.6218949365235571</v>
      </c>
      <c r="DM198" s="28">
        <v>1374.9770625421718</v>
      </c>
      <c r="DN198" s="28">
        <v>0</v>
      </c>
      <c r="DO198" s="423">
        <v>1374.9770625421718</v>
      </c>
      <c r="DP198" s="94">
        <v>0</v>
      </c>
      <c r="DQ198" s="28">
        <v>1374.9770625421718</v>
      </c>
      <c r="DR198" s="318"/>
      <c r="DT198" s="8"/>
      <c r="DU198" s="5"/>
      <c r="DX198" s="5">
        <v>6950.6712540684875</v>
      </c>
      <c r="DY198" s="5">
        <v>4021.4759999999997</v>
      </c>
      <c r="DZ198" s="159">
        <v>626.55033398984756</v>
      </c>
      <c r="EB198" s="676">
        <v>-193.64110455645664</v>
      </c>
      <c r="EC198" s="676">
        <v>58.823803766438004</v>
      </c>
      <c r="ED198" s="676">
        <v>-364.66685392346233</v>
      </c>
      <c r="EE198" s="676">
        <v>-819.70988454866301</v>
      </c>
      <c r="EF198" s="676">
        <v>2190.3584383820516</v>
      </c>
      <c r="EG198" s="676">
        <v>-854.65260874179489</v>
      </c>
      <c r="EH198" s="676">
        <v>-407.22616702461801</v>
      </c>
      <c r="EI198" s="676">
        <v>609.33914304954533</v>
      </c>
      <c r="EJ198" s="676">
        <v>-720.86665159270865</v>
      </c>
      <c r="EK198" s="676">
        <v>-681.43777215844534</v>
      </c>
      <c r="EL198" s="676">
        <v>-740.69140501566574</v>
      </c>
      <c r="EM198" s="676">
        <v>-441.60524608737637</v>
      </c>
      <c r="EN198" s="676">
        <v>-2365.976308451156</v>
      </c>
      <c r="EQ198" s="5">
        <v>6950.6712540684875</v>
      </c>
      <c r="ER198" s="5">
        <v>4021.4759999999997</v>
      </c>
      <c r="ET198" s="318">
        <v>10377.436143371624</v>
      </c>
      <c r="EU198" s="5">
        <v>-698.75124586256288</v>
      </c>
    </row>
    <row r="199" spans="1:151" x14ac:dyDescent="0.3">
      <c r="A199" s="325">
        <v>150000768</v>
      </c>
      <c r="B199" s="41" t="s">
        <v>647</v>
      </c>
      <c r="C199" s="42" t="s">
        <v>117</v>
      </c>
      <c r="D199" s="27">
        <v>1</v>
      </c>
      <c r="E199" s="293">
        <v>119.3</v>
      </c>
      <c r="F199" s="305">
        <v>119.3</v>
      </c>
      <c r="G199" s="508">
        <v>0</v>
      </c>
      <c r="H199" s="677">
        <v>0</v>
      </c>
      <c r="I199" s="674">
        <v>0</v>
      </c>
      <c r="J199" s="40">
        <v>0</v>
      </c>
      <c r="K199" s="52">
        <v>0</v>
      </c>
      <c r="L199" s="674">
        <v>0</v>
      </c>
      <c r="M199" s="40">
        <v>0</v>
      </c>
      <c r="N199" s="52">
        <v>0</v>
      </c>
      <c r="O199" s="674">
        <v>0</v>
      </c>
      <c r="P199" s="40">
        <v>0</v>
      </c>
      <c r="Q199" s="52">
        <v>0</v>
      </c>
      <c r="R199" s="674">
        <v>0</v>
      </c>
      <c r="S199" s="40">
        <v>0</v>
      </c>
      <c r="T199" s="52">
        <v>0</v>
      </c>
      <c r="U199" s="674">
        <v>0</v>
      </c>
      <c r="V199" s="40">
        <v>0</v>
      </c>
      <c r="W199" s="52">
        <v>0</v>
      </c>
      <c r="X199" s="674">
        <v>0</v>
      </c>
      <c r="Y199" s="40">
        <v>0</v>
      </c>
      <c r="Z199" s="52">
        <v>0</v>
      </c>
      <c r="AA199" s="674">
        <v>14.158799999999999</v>
      </c>
      <c r="AB199" s="40">
        <v>0</v>
      </c>
      <c r="AC199" s="52">
        <v>-14.158799999999999</v>
      </c>
      <c r="AD199" s="674">
        <v>106.29892818780905</v>
      </c>
      <c r="AE199" s="40">
        <v>506.87251576364832</v>
      </c>
      <c r="AF199" s="35">
        <v>400.57358757583927</v>
      </c>
      <c r="AG199" s="77">
        <v>120.45772818780905</v>
      </c>
      <c r="AH199" s="53">
        <v>506.87251576364832</v>
      </c>
      <c r="AI199" s="52">
        <v>386.41478757583928</v>
      </c>
      <c r="AJ199" s="674">
        <v>0</v>
      </c>
      <c r="AK199" s="40">
        <v>0</v>
      </c>
      <c r="AL199" s="52">
        <v>0</v>
      </c>
      <c r="AM199" s="674">
        <v>0</v>
      </c>
      <c r="AN199" s="40">
        <v>0</v>
      </c>
      <c r="AO199" s="52">
        <v>0</v>
      </c>
      <c r="AP199" s="674">
        <v>179.87339643404744</v>
      </c>
      <c r="AQ199" s="40">
        <v>149.58816640996957</v>
      </c>
      <c r="AR199" s="52">
        <v>-30.285230024077862</v>
      </c>
      <c r="AS199" s="674">
        <v>1846.8328429600401</v>
      </c>
      <c r="AT199" s="40">
        <v>6432</v>
      </c>
      <c r="AU199" s="54">
        <v>4585.1671570399594</v>
      </c>
      <c r="AV199" s="674">
        <v>0</v>
      </c>
      <c r="AW199" s="40">
        <v>0</v>
      </c>
      <c r="AX199" s="55">
        <v>0</v>
      </c>
      <c r="AY199" s="674">
        <v>0</v>
      </c>
      <c r="AZ199" s="40">
        <v>0</v>
      </c>
      <c r="BA199" s="35">
        <v>0</v>
      </c>
      <c r="BB199" s="674">
        <v>0</v>
      </c>
      <c r="BC199" s="40">
        <v>0</v>
      </c>
      <c r="BD199" s="55">
        <v>0</v>
      </c>
      <c r="BE199" s="674">
        <v>0</v>
      </c>
      <c r="BF199" s="40">
        <v>0</v>
      </c>
      <c r="BG199" s="38">
        <v>0</v>
      </c>
      <c r="BH199" s="674">
        <v>0</v>
      </c>
      <c r="BI199" s="40">
        <v>0</v>
      </c>
      <c r="BJ199" s="55">
        <v>0</v>
      </c>
      <c r="BK199" s="674">
        <v>0</v>
      </c>
      <c r="BL199" s="40">
        <v>0</v>
      </c>
      <c r="BM199" s="38">
        <v>0</v>
      </c>
      <c r="BN199" s="674">
        <v>3.5396999999999998</v>
      </c>
      <c r="BO199" s="40">
        <v>0</v>
      </c>
      <c r="BP199" s="55">
        <v>-3.5396999999999998</v>
      </c>
      <c r="BQ199" s="77">
        <v>3.5396999999999998</v>
      </c>
      <c r="BR199" s="40">
        <v>0</v>
      </c>
      <c r="BS199" s="55">
        <v>-3.5396999999999998</v>
      </c>
      <c r="BT199" s="674">
        <v>0</v>
      </c>
      <c r="BU199" s="40">
        <v>0</v>
      </c>
      <c r="BV199" s="52">
        <v>0</v>
      </c>
      <c r="BW199" s="674">
        <v>0</v>
      </c>
      <c r="BX199" s="40">
        <v>2.713678889558552</v>
      </c>
      <c r="BY199" s="52">
        <v>2.713678889558552</v>
      </c>
      <c r="BZ199" s="674">
        <v>0</v>
      </c>
      <c r="CA199" s="40">
        <v>0</v>
      </c>
      <c r="CB199" s="52">
        <v>0</v>
      </c>
      <c r="CC199" s="674">
        <v>0</v>
      </c>
      <c r="CD199" s="40">
        <v>0</v>
      </c>
      <c r="CE199" s="52">
        <v>0</v>
      </c>
      <c r="CF199" s="674">
        <v>0</v>
      </c>
      <c r="CG199" s="40">
        <v>0</v>
      </c>
      <c r="CH199" s="52">
        <v>0</v>
      </c>
      <c r="CI199" s="674">
        <v>0</v>
      </c>
      <c r="CJ199" s="40">
        <v>0</v>
      </c>
      <c r="CK199" s="52">
        <v>0</v>
      </c>
      <c r="CL199" s="674">
        <v>0</v>
      </c>
      <c r="CM199" s="40">
        <v>0</v>
      </c>
      <c r="CN199" s="52">
        <v>0</v>
      </c>
      <c r="CO199" s="39">
        <v>0</v>
      </c>
      <c r="CP199" s="40">
        <v>0</v>
      </c>
      <c r="CQ199" s="52">
        <v>0</v>
      </c>
      <c r="CR199" s="72">
        <v>2150.7036675818963</v>
      </c>
      <c r="CS199" s="5">
        <v>7091.1743610631765</v>
      </c>
      <c r="CT199" s="52">
        <v>4940.4706934812803</v>
      </c>
      <c r="CU199" s="77">
        <v>2580.8444010982753</v>
      </c>
      <c r="CV199" s="65">
        <v>8509.4092332758119</v>
      </c>
      <c r="CW199" s="35">
        <v>5928.564832177537</v>
      </c>
      <c r="CX199" s="73">
        <v>57.235730349603287</v>
      </c>
      <c r="CY199" s="40">
        <v>-5871.3291018279297</v>
      </c>
      <c r="CZ199" s="52">
        <v>-5928.5648321775334</v>
      </c>
      <c r="DA199" s="150">
        <v>4046.455984367416</v>
      </c>
      <c r="DB199" s="2">
        <v>3</v>
      </c>
      <c r="DC199" s="675">
        <v>424.68</v>
      </c>
      <c r="DD199" s="675">
        <v>0</v>
      </c>
      <c r="DE199" s="675">
        <v>192.60616351273256</v>
      </c>
      <c r="DF199" s="675">
        <v>0</v>
      </c>
      <c r="DG199" s="321">
        <v>-1882.1088478101194</v>
      </c>
      <c r="DH199" s="40">
        <v>2637.8828854662174</v>
      </c>
      <c r="DI199" s="422">
        <v>232.07383648726744</v>
      </c>
      <c r="DJ199" s="306">
        <v>1.945296198552116</v>
      </c>
      <c r="DK199" s="306">
        <v>1.945296198552116</v>
      </c>
      <c r="DL199" s="306">
        <v>1.945296198552116</v>
      </c>
      <c r="DM199" s="28">
        <v>232.07383648726744</v>
      </c>
      <c r="DN199" s="28">
        <v>0</v>
      </c>
      <c r="DO199" s="423">
        <v>232.07383648726744</v>
      </c>
      <c r="DP199" s="94">
        <v>0</v>
      </c>
      <c r="DQ199" s="28">
        <v>232.07383648726744</v>
      </c>
      <c r="DR199" s="318"/>
      <c r="DT199" s="8"/>
      <c r="DU199" s="5"/>
      <c r="DX199" s="5">
        <v>2220.4470515520479</v>
      </c>
      <c r="DY199" s="5">
        <v>7718.4</v>
      </c>
      <c r="DZ199" s="159">
        <v>209.70382102120823</v>
      </c>
      <c r="EB199" s="676">
        <v>-8.2206930387157513</v>
      </c>
      <c r="EC199" s="676">
        <v>-110.19512372230098</v>
      </c>
      <c r="ED199" s="676">
        <v>-108.03501067855386</v>
      </c>
      <c r="EE199" s="676">
        <v>-192.76413723472905</v>
      </c>
      <c r="EF199" s="676">
        <v>-186.57472327445942</v>
      </c>
      <c r="EG199" s="676">
        <v>-188.97478449770153</v>
      </c>
      <c r="EH199" s="676">
        <v>-100.84393188748302</v>
      </c>
      <c r="EI199" s="676">
        <v>-169.32230248334122</v>
      </c>
      <c r="EJ199" s="676">
        <v>7529.882086223387</v>
      </c>
      <c r="EK199" s="676">
        <v>-165.2854733459537</v>
      </c>
      <c r="EL199" s="676">
        <v>-180.71465550939533</v>
      </c>
      <c r="EM199" s="676">
        <v>-190.38641837321805</v>
      </c>
      <c r="EN199" s="676">
        <v>5928.5648321775352</v>
      </c>
      <c r="EQ199" s="5">
        <v>2220.4470515520479</v>
      </c>
      <c r="ER199" s="5">
        <v>7718.4</v>
      </c>
      <c r="ET199" s="318">
        <v>-1226.6890893898001</v>
      </c>
      <c r="EU199" s="5">
        <v>-1128.3872389322992</v>
      </c>
    </row>
    <row r="200" spans="1:151" x14ac:dyDescent="0.3">
      <c r="A200" s="325">
        <v>150000763</v>
      </c>
      <c r="B200" s="41" t="s">
        <v>648</v>
      </c>
      <c r="C200" s="42" t="s">
        <v>118</v>
      </c>
      <c r="D200" s="27">
        <v>1</v>
      </c>
      <c r="E200" s="293">
        <v>182.8</v>
      </c>
      <c r="F200" s="305">
        <v>182.8</v>
      </c>
      <c r="G200" s="508">
        <v>0</v>
      </c>
      <c r="H200" s="677">
        <v>0</v>
      </c>
      <c r="I200" s="674">
        <v>0</v>
      </c>
      <c r="J200" s="40">
        <v>0</v>
      </c>
      <c r="K200" s="52">
        <v>0</v>
      </c>
      <c r="L200" s="674">
        <v>0</v>
      </c>
      <c r="M200" s="40">
        <v>0</v>
      </c>
      <c r="N200" s="52">
        <v>0</v>
      </c>
      <c r="O200" s="674">
        <v>0</v>
      </c>
      <c r="P200" s="40">
        <v>0</v>
      </c>
      <c r="Q200" s="52">
        <v>0</v>
      </c>
      <c r="R200" s="674">
        <v>0</v>
      </c>
      <c r="S200" s="40">
        <v>0</v>
      </c>
      <c r="T200" s="52">
        <v>0</v>
      </c>
      <c r="U200" s="674">
        <v>0</v>
      </c>
      <c r="V200" s="40">
        <v>0</v>
      </c>
      <c r="W200" s="52">
        <v>0</v>
      </c>
      <c r="X200" s="674">
        <v>0</v>
      </c>
      <c r="Y200" s="40">
        <v>0</v>
      </c>
      <c r="Z200" s="52">
        <v>0</v>
      </c>
      <c r="AA200" s="674">
        <v>21.936</v>
      </c>
      <c r="AB200" s="40">
        <v>0</v>
      </c>
      <c r="AC200" s="52">
        <v>-21.936</v>
      </c>
      <c r="AD200" s="674">
        <v>164.74414689715806</v>
      </c>
      <c r="AE200" s="40">
        <v>776.66635273759357</v>
      </c>
      <c r="AF200" s="35">
        <v>611.92220584043548</v>
      </c>
      <c r="AG200" s="77">
        <v>186.68014689715807</v>
      </c>
      <c r="AH200" s="53">
        <v>776.66635273759357</v>
      </c>
      <c r="AI200" s="52">
        <v>589.98620584043556</v>
      </c>
      <c r="AJ200" s="674">
        <v>0</v>
      </c>
      <c r="AK200" s="40">
        <v>0</v>
      </c>
      <c r="AL200" s="52">
        <v>0</v>
      </c>
      <c r="AM200" s="674">
        <v>0</v>
      </c>
      <c r="AN200" s="40">
        <v>0</v>
      </c>
      <c r="AO200" s="52">
        <v>0</v>
      </c>
      <c r="AP200" s="674">
        <v>224.84174554255935</v>
      </c>
      <c r="AQ200" s="40">
        <v>186.98520801246201</v>
      </c>
      <c r="AR200" s="52">
        <v>-37.856537530097341</v>
      </c>
      <c r="AS200" s="674">
        <v>2126.6592703163064</v>
      </c>
      <c r="AT200" s="40">
        <v>0</v>
      </c>
      <c r="AU200" s="54">
        <v>-2126.6592703163064</v>
      </c>
      <c r="AV200" s="674">
        <v>0</v>
      </c>
      <c r="AW200" s="40">
        <v>0</v>
      </c>
      <c r="AX200" s="55">
        <v>0</v>
      </c>
      <c r="AY200" s="674">
        <v>0</v>
      </c>
      <c r="AZ200" s="40">
        <v>0</v>
      </c>
      <c r="BA200" s="35">
        <v>0</v>
      </c>
      <c r="BB200" s="674">
        <v>0</v>
      </c>
      <c r="BC200" s="40">
        <v>0</v>
      </c>
      <c r="BD200" s="55">
        <v>0</v>
      </c>
      <c r="BE200" s="674">
        <v>0</v>
      </c>
      <c r="BF200" s="40">
        <v>0</v>
      </c>
      <c r="BG200" s="38">
        <v>0</v>
      </c>
      <c r="BH200" s="674">
        <v>0</v>
      </c>
      <c r="BI200" s="40">
        <v>0</v>
      </c>
      <c r="BJ200" s="55">
        <v>0</v>
      </c>
      <c r="BK200" s="674">
        <v>0</v>
      </c>
      <c r="BL200" s="40">
        <v>0</v>
      </c>
      <c r="BM200" s="38">
        <v>0</v>
      </c>
      <c r="BN200" s="674">
        <v>5.484</v>
      </c>
      <c r="BO200" s="40">
        <v>0</v>
      </c>
      <c r="BP200" s="55">
        <v>-5.484</v>
      </c>
      <c r="BQ200" s="77">
        <v>5.484</v>
      </c>
      <c r="BR200" s="40">
        <v>0</v>
      </c>
      <c r="BS200" s="55">
        <v>-5.484</v>
      </c>
      <c r="BT200" s="674">
        <v>179.45258065648133</v>
      </c>
      <c r="BU200" s="40">
        <v>233.89699079058261</v>
      </c>
      <c r="BV200" s="52">
        <v>54.444410134101275</v>
      </c>
      <c r="BW200" s="674">
        <v>0</v>
      </c>
      <c r="BX200" s="40">
        <v>4.1580930512263485</v>
      </c>
      <c r="BY200" s="52">
        <v>4.1580930512263485</v>
      </c>
      <c r="BZ200" s="674">
        <v>0</v>
      </c>
      <c r="CA200" s="40">
        <v>76.921370747952409</v>
      </c>
      <c r="CB200" s="52">
        <v>76.921370747952409</v>
      </c>
      <c r="CC200" s="674">
        <v>0</v>
      </c>
      <c r="CD200" s="40">
        <v>0</v>
      </c>
      <c r="CE200" s="52">
        <v>0</v>
      </c>
      <c r="CF200" s="674">
        <v>0</v>
      </c>
      <c r="CG200" s="40">
        <v>0</v>
      </c>
      <c r="CH200" s="52">
        <v>0</v>
      </c>
      <c r="CI200" s="674">
        <v>0</v>
      </c>
      <c r="CJ200" s="40">
        <v>0</v>
      </c>
      <c r="CK200" s="52">
        <v>0</v>
      </c>
      <c r="CL200" s="674">
        <v>0</v>
      </c>
      <c r="CM200" s="40">
        <v>0</v>
      </c>
      <c r="CN200" s="52">
        <v>0</v>
      </c>
      <c r="CO200" s="39">
        <v>0</v>
      </c>
      <c r="CP200" s="40">
        <v>0</v>
      </c>
      <c r="CQ200" s="52">
        <v>0</v>
      </c>
      <c r="CR200" s="72">
        <v>2723.1177434125048</v>
      </c>
      <c r="CS200" s="5">
        <v>1278.6280153398168</v>
      </c>
      <c r="CT200" s="52">
        <v>-1444.489728072688</v>
      </c>
      <c r="CU200" s="77">
        <v>3267.7412920950055</v>
      </c>
      <c r="CV200" s="65">
        <v>1534.35361840778</v>
      </c>
      <c r="CW200" s="35">
        <v>-1733.3876736872255</v>
      </c>
      <c r="CX200" s="73">
        <v>98.777427789314231</v>
      </c>
      <c r="CY200" s="40">
        <v>1832.1651014765407</v>
      </c>
      <c r="CZ200" s="52">
        <v>1733.3876736872264</v>
      </c>
      <c r="DA200" s="150">
        <v>-3747.0210667606834</v>
      </c>
      <c r="DB200" s="2">
        <v>3</v>
      </c>
      <c r="DC200" s="675">
        <v>-8.6199999999999992</v>
      </c>
      <c r="DD200" s="675">
        <v>0</v>
      </c>
      <c r="DE200" s="675">
        <v>-304.21993404478121</v>
      </c>
      <c r="DF200" s="675">
        <v>0</v>
      </c>
      <c r="DG200" s="321">
        <v>-2013.6333930734572</v>
      </c>
      <c r="DH200" s="40">
        <v>3366.265215622007</v>
      </c>
      <c r="DI200" s="422">
        <v>295.59993404478121</v>
      </c>
      <c r="DJ200" s="306">
        <v>1.6170674728926762</v>
      </c>
      <c r="DK200" s="306">
        <v>1.6170674728926762</v>
      </c>
      <c r="DL200" s="306">
        <v>1.6170674728926762</v>
      </c>
      <c r="DM200" s="28">
        <v>295.59993404478121</v>
      </c>
      <c r="DN200" s="28">
        <v>0</v>
      </c>
      <c r="DO200" s="423">
        <v>295.59993404478121</v>
      </c>
      <c r="DP200" s="94">
        <v>0</v>
      </c>
      <c r="DQ200" s="28">
        <v>295.59993404478121</v>
      </c>
      <c r="DR200" s="318"/>
      <c r="DT200" s="8"/>
      <c r="DU200" s="5"/>
      <c r="DX200" s="5">
        <v>2558.5719243795675</v>
      </c>
      <c r="DY200" s="5">
        <v>0</v>
      </c>
      <c r="DZ200" s="159">
        <v>240.78772772934531</v>
      </c>
      <c r="EB200" s="676">
        <v>5.1590571566513859</v>
      </c>
      <c r="EC200" s="676">
        <v>-125.77548072699339</v>
      </c>
      <c r="ED200" s="676">
        <v>-122.46560089131047</v>
      </c>
      <c r="EE200" s="676">
        <v>-233.41221896420285</v>
      </c>
      <c r="EF200" s="676">
        <v>-178.83151985366123</v>
      </c>
      <c r="EG200" s="676">
        <v>-183.249387133618</v>
      </c>
      <c r="EH200" s="676">
        <v>-73.52435866427632</v>
      </c>
      <c r="EI200" s="676">
        <v>-151.34274408155983</v>
      </c>
      <c r="EJ200" s="676">
        <v>-180.6989144776374</v>
      </c>
      <c r="EK200" s="676">
        <v>-141.76125694066323</v>
      </c>
      <c r="EL200" s="676">
        <v>-167.18421851168031</v>
      </c>
      <c r="EM200" s="676">
        <v>-180.30103059827485</v>
      </c>
      <c r="EN200" s="676">
        <v>-1733.3876736872264</v>
      </c>
      <c r="EQ200" s="5">
        <v>2558.5719243795675</v>
      </c>
      <c r="ER200" s="5">
        <v>0</v>
      </c>
      <c r="ET200" s="318">
        <v>-1391.6896049068739</v>
      </c>
      <c r="EU200" s="5">
        <v>-1262.9437881665833</v>
      </c>
    </row>
    <row r="201" spans="1:151" x14ac:dyDescent="0.3">
      <c r="A201" s="325">
        <v>150000764</v>
      </c>
      <c r="B201" s="41" t="s">
        <v>649</v>
      </c>
      <c r="C201" s="42" t="s">
        <v>119</v>
      </c>
      <c r="D201" s="27">
        <v>1</v>
      </c>
      <c r="E201" s="293">
        <v>229</v>
      </c>
      <c r="F201" s="305">
        <v>229</v>
      </c>
      <c r="G201" s="508">
        <v>0</v>
      </c>
      <c r="H201" s="677">
        <v>0</v>
      </c>
      <c r="I201" s="674">
        <v>0</v>
      </c>
      <c r="J201" s="40">
        <v>0</v>
      </c>
      <c r="K201" s="52">
        <v>0</v>
      </c>
      <c r="L201" s="674">
        <v>0</v>
      </c>
      <c r="M201" s="40">
        <v>0</v>
      </c>
      <c r="N201" s="52">
        <v>0</v>
      </c>
      <c r="O201" s="674">
        <v>0</v>
      </c>
      <c r="P201" s="40">
        <v>0</v>
      </c>
      <c r="Q201" s="52">
        <v>0</v>
      </c>
      <c r="R201" s="674">
        <v>0</v>
      </c>
      <c r="S201" s="40">
        <v>0</v>
      </c>
      <c r="T201" s="52">
        <v>0</v>
      </c>
      <c r="U201" s="674">
        <v>0</v>
      </c>
      <c r="V201" s="40">
        <v>0</v>
      </c>
      <c r="W201" s="52">
        <v>0</v>
      </c>
      <c r="X201" s="674">
        <v>0</v>
      </c>
      <c r="Y201" s="40">
        <v>0</v>
      </c>
      <c r="Z201" s="52">
        <v>0</v>
      </c>
      <c r="AA201" s="674">
        <v>27.48</v>
      </c>
      <c r="AB201" s="40">
        <v>0</v>
      </c>
      <c r="AC201" s="52">
        <v>-27.48</v>
      </c>
      <c r="AD201" s="674">
        <v>206.38302227477323</v>
      </c>
      <c r="AE201" s="40">
        <v>972.95730184304671</v>
      </c>
      <c r="AF201" s="35">
        <v>766.57427956827348</v>
      </c>
      <c r="AG201" s="77">
        <v>233.86302227477321</v>
      </c>
      <c r="AH201" s="53">
        <v>972.95730184304671</v>
      </c>
      <c r="AI201" s="52">
        <v>739.09427956827346</v>
      </c>
      <c r="AJ201" s="674">
        <v>0</v>
      </c>
      <c r="AK201" s="40">
        <v>0</v>
      </c>
      <c r="AL201" s="52">
        <v>0</v>
      </c>
      <c r="AM201" s="674">
        <v>0</v>
      </c>
      <c r="AN201" s="40">
        <v>0</v>
      </c>
      <c r="AO201" s="52">
        <v>0</v>
      </c>
      <c r="AP201" s="674">
        <v>134.90504732553558</v>
      </c>
      <c r="AQ201" s="40">
        <v>112.19112480747719</v>
      </c>
      <c r="AR201" s="52">
        <v>-22.713922518058382</v>
      </c>
      <c r="AS201" s="674">
        <v>2727.5520188951418</v>
      </c>
      <c r="AT201" s="40">
        <v>0</v>
      </c>
      <c r="AU201" s="54">
        <v>-2727.5520188951418</v>
      </c>
      <c r="AV201" s="674">
        <v>0</v>
      </c>
      <c r="AW201" s="40">
        <v>0</v>
      </c>
      <c r="AX201" s="55">
        <v>0</v>
      </c>
      <c r="AY201" s="674">
        <v>0</v>
      </c>
      <c r="AZ201" s="40">
        <v>0</v>
      </c>
      <c r="BA201" s="35">
        <v>0</v>
      </c>
      <c r="BB201" s="674">
        <v>0</v>
      </c>
      <c r="BC201" s="40">
        <v>0</v>
      </c>
      <c r="BD201" s="55">
        <v>0</v>
      </c>
      <c r="BE201" s="674">
        <v>0</v>
      </c>
      <c r="BF201" s="40">
        <v>0</v>
      </c>
      <c r="BG201" s="38">
        <v>0</v>
      </c>
      <c r="BH201" s="674">
        <v>0</v>
      </c>
      <c r="BI201" s="40">
        <v>0</v>
      </c>
      <c r="BJ201" s="55">
        <v>0</v>
      </c>
      <c r="BK201" s="674">
        <v>0</v>
      </c>
      <c r="BL201" s="40">
        <v>0</v>
      </c>
      <c r="BM201" s="38">
        <v>0</v>
      </c>
      <c r="BN201" s="674">
        <v>6.87</v>
      </c>
      <c r="BO201" s="40">
        <v>0</v>
      </c>
      <c r="BP201" s="55">
        <v>-6.87</v>
      </c>
      <c r="BQ201" s="77">
        <v>6.87</v>
      </c>
      <c r="BR201" s="40">
        <v>0</v>
      </c>
      <c r="BS201" s="55">
        <v>-6.87</v>
      </c>
      <c r="BT201" s="674">
        <v>89.726290328240665</v>
      </c>
      <c r="BU201" s="40">
        <v>116.98315613016837</v>
      </c>
      <c r="BV201" s="52">
        <v>27.256865801927702</v>
      </c>
      <c r="BW201" s="674">
        <v>0</v>
      </c>
      <c r="BX201" s="40">
        <v>5.2089896538885867</v>
      </c>
      <c r="BY201" s="52">
        <v>5.2089896538885867</v>
      </c>
      <c r="BZ201" s="674">
        <v>0</v>
      </c>
      <c r="CA201" s="40">
        <v>38.460685373976204</v>
      </c>
      <c r="CB201" s="52">
        <v>38.460685373976204</v>
      </c>
      <c r="CC201" s="674">
        <v>0</v>
      </c>
      <c r="CD201" s="40">
        <v>0</v>
      </c>
      <c r="CE201" s="52">
        <v>0</v>
      </c>
      <c r="CF201" s="674">
        <v>0</v>
      </c>
      <c r="CG201" s="40">
        <v>0</v>
      </c>
      <c r="CH201" s="52">
        <v>0</v>
      </c>
      <c r="CI201" s="674">
        <v>0</v>
      </c>
      <c r="CJ201" s="40">
        <v>0</v>
      </c>
      <c r="CK201" s="52">
        <v>0</v>
      </c>
      <c r="CL201" s="674">
        <v>0</v>
      </c>
      <c r="CM201" s="40">
        <v>0</v>
      </c>
      <c r="CN201" s="52">
        <v>0</v>
      </c>
      <c r="CO201" s="39">
        <v>0</v>
      </c>
      <c r="CP201" s="40">
        <v>0</v>
      </c>
      <c r="CQ201" s="52">
        <v>0</v>
      </c>
      <c r="CR201" s="72">
        <v>3192.916378823691</v>
      </c>
      <c r="CS201" s="5">
        <v>1245.8012578085575</v>
      </c>
      <c r="CT201" s="52">
        <v>-1947.1151210151336</v>
      </c>
      <c r="CU201" s="77">
        <v>3831.4996545884292</v>
      </c>
      <c r="CV201" s="65">
        <v>1494.9615093702689</v>
      </c>
      <c r="CW201" s="35">
        <v>-2336.53814521816</v>
      </c>
      <c r="CX201" s="73">
        <v>115.95922847962342</v>
      </c>
      <c r="CY201" s="40">
        <v>2452.497373697785</v>
      </c>
      <c r="CZ201" s="52">
        <v>2336.5381452181614</v>
      </c>
      <c r="DA201" s="150">
        <v>-5511.1109314480109</v>
      </c>
      <c r="DB201" s="2">
        <v>3</v>
      </c>
      <c r="DC201" s="675">
        <v>191.02</v>
      </c>
      <c r="DD201" s="675">
        <v>0</v>
      </c>
      <c r="DE201" s="675">
        <v>-154.94794438939837</v>
      </c>
      <c r="DF201" s="675">
        <v>0</v>
      </c>
      <c r="DG201" s="321">
        <v>-3174.5727862298495</v>
      </c>
      <c r="DH201" s="40">
        <v>3947.1595589858607</v>
      </c>
      <c r="DI201" s="422">
        <v>345.96794438939838</v>
      </c>
      <c r="DJ201" s="306">
        <v>1.5107770497353641</v>
      </c>
      <c r="DK201" s="306">
        <v>1.5107770497353641</v>
      </c>
      <c r="DL201" s="306">
        <v>1.5107770497353641</v>
      </c>
      <c r="DM201" s="28">
        <v>345.96794438939838</v>
      </c>
      <c r="DN201" s="28">
        <v>0</v>
      </c>
      <c r="DO201" s="423">
        <v>345.96794438939838</v>
      </c>
      <c r="DP201" s="94">
        <v>0</v>
      </c>
      <c r="DQ201" s="28">
        <v>345.96794438939838</v>
      </c>
      <c r="DR201" s="318"/>
      <c r="DT201" s="8"/>
      <c r="DU201" s="5"/>
      <c r="DX201" s="5">
        <v>3281.3064226741699</v>
      </c>
      <c r="DY201" s="5">
        <v>0</v>
      </c>
      <c r="DZ201" s="159">
        <v>311.36093182281195</v>
      </c>
      <c r="EB201" s="676">
        <v>-50.588716585635268</v>
      </c>
      <c r="EC201" s="676">
        <v>-141.43222250274883</v>
      </c>
      <c r="ED201" s="676">
        <v>-137.28581942631894</v>
      </c>
      <c r="EE201" s="676">
        <v>-268.65687374979791</v>
      </c>
      <c r="EF201" s="676">
        <v>-234.21367236615737</v>
      </c>
      <c r="EG201" s="676">
        <v>-239.1910542044007</v>
      </c>
      <c r="EH201" s="676">
        <v>-175.04115148634384</v>
      </c>
      <c r="EI201" s="676">
        <v>-200.58444593302823</v>
      </c>
      <c r="EJ201" s="676">
        <v>-237.40264943747206</v>
      </c>
      <c r="EK201" s="676">
        <v>-191.13764461484715</v>
      </c>
      <c r="EL201" s="676">
        <v>-221.64506392248117</v>
      </c>
      <c r="EM201" s="676">
        <v>-239.35883098893021</v>
      </c>
      <c r="EN201" s="676">
        <v>-2336.5381452181614</v>
      </c>
      <c r="EQ201" s="5">
        <v>3281.3064226741699</v>
      </c>
      <c r="ER201" s="5">
        <v>0</v>
      </c>
      <c r="ET201" s="318">
        <v>-1668.8922741026956</v>
      </c>
      <c r="EU201" s="5">
        <v>674.31948787284614</v>
      </c>
    </row>
    <row r="202" spans="1:151" x14ac:dyDescent="0.3">
      <c r="A202" s="325">
        <v>150000770</v>
      </c>
      <c r="B202" s="41" t="s">
        <v>650</v>
      </c>
      <c r="C202" s="42" t="s">
        <v>120</v>
      </c>
      <c r="D202" s="27">
        <v>1</v>
      </c>
      <c r="E202" s="293">
        <v>144.5</v>
      </c>
      <c r="F202" s="305">
        <v>144.5</v>
      </c>
      <c r="G202" s="508">
        <v>0</v>
      </c>
      <c r="H202" s="677">
        <v>0</v>
      </c>
      <c r="I202" s="674">
        <v>0</v>
      </c>
      <c r="J202" s="40">
        <v>0</v>
      </c>
      <c r="K202" s="52">
        <v>0</v>
      </c>
      <c r="L202" s="674">
        <v>0</v>
      </c>
      <c r="M202" s="40">
        <v>0</v>
      </c>
      <c r="N202" s="52">
        <v>0</v>
      </c>
      <c r="O202" s="674">
        <v>0</v>
      </c>
      <c r="P202" s="40">
        <v>0</v>
      </c>
      <c r="Q202" s="52">
        <v>0</v>
      </c>
      <c r="R202" s="674">
        <v>0</v>
      </c>
      <c r="S202" s="40">
        <v>0</v>
      </c>
      <c r="T202" s="52">
        <v>0</v>
      </c>
      <c r="U202" s="674">
        <v>0</v>
      </c>
      <c r="V202" s="40">
        <v>0</v>
      </c>
      <c r="W202" s="52">
        <v>0</v>
      </c>
      <c r="X202" s="674">
        <v>0</v>
      </c>
      <c r="Y202" s="40">
        <v>0</v>
      </c>
      <c r="Z202" s="52">
        <v>0</v>
      </c>
      <c r="AA202" s="674">
        <v>17.34</v>
      </c>
      <c r="AB202" s="40">
        <v>0</v>
      </c>
      <c r="AC202" s="52">
        <v>-17.34</v>
      </c>
      <c r="AD202" s="674">
        <v>130.23469521837893</v>
      </c>
      <c r="AE202" s="40">
        <v>613.94030618480451</v>
      </c>
      <c r="AF202" s="35">
        <v>483.70561096642558</v>
      </c>
      <c r="AG202" s="77">
        <v>147.57469521837893</v>
      </c>
      <c r="AH202" s="53">
        <v>613.94030618480451</v>
      </c>
      <c r="AI202" s="52">
        <v>466.36561096642561</v>
      </c>
      <c r="AJ202" s="674">
        <v>0</v>
      </c>
      <c r="AK202" s="40">
        <v>0</v>
      </c>
      <c r="AL202" s="52">
        <v>0</v>
      </c>
      <c r="AM202" s="674">
        <v>0</v>
      </c>
      <c r="AN202" s="40">
        <v>0</v>
      </c>
      <c r="AO202" s="52">
        <v>0</v>
      </c>
      <c r="AP202" s="674">
        <v>224.84174554255935</v>
      </c>
      <c r="AQ202" s="40">
        <v>186.98520801246201</v>
      </c>
      <c r="AR202" s="52">
        <v>-37.856537530097341</v>
      </c>
      <c r="AS202" s="674">
        <v>2061.9652447956814</v>
      </c>
      <c r="AT202" s="40">
        <v>0</v>
      </c>
      <c r="AU202" s="54">
        <v>-2061.9652447956814</v>
      </c>
      <c r="AV202" s="674">
        <v>0</v>
      </c>
      <c r="AW202" s="40">
        <v>0</v>
      </c>
      <c r="AX202" s="55">
        <v>0</v>
      </c>
      <c r="AY202" s="674">
        <v>0</v>
      </c>
      <c r="AZ202" s="40">
        <v>0</v>
      </c>
      <c r="BA202" s="35">
        <v>0</v>
      </c>
      <c r="BB202" s="674">
        <v>0</v>
      </c>
      <c r="BC202" s="40">
        <v>0</v>
      </c>
      <c r="BD202" s="55">
        <v>0</v>
      </c>
      <c r="BE202" s="674">
        <v>0</v>
      </c>
      <c r="BF202" s="40">
        <v>0</v>
      </c>
      <c r="BG202" s="38">
        <v>0</v>
      </c>
      <c r="BH202" s="674">
        <v>0</v>
      </c>
      <c r="BI202" s="40">
        <v>0</v>
      </c>
      <c r="BJ202" s="55">
        <v>0</v>
      </c>
      <c r="BK202" s="674">
        <v>0</v>
      </c>
      <c r="BL202" s="40">
        <v>0</v>
      </c>
      <c r="BM202" s="38">
        <v>0</v>
      </c>
      <c r="BN202" s="674">
        <v>4.335</v>
      </c>
      <c r="BO202" s="40">
        <v>0</v>
      </c>
      <c r="BP202" s="55">
        <v>-4.335</v>
      </c>
      <c r="BQ202" s="77">
        <v>4.335</v>
      </c>
      <c r="BR202" s="40">
        <v>0</v>
      </c>
      <c r="BS202" s="55">
        <v>-4.335</v>
      </c>
      <c r="BT202" s="674">
        <v>0</v>
      </c>
      <c r="BU202" s="40">
        <v>0</v>
      </c>
      <c r="BV202" s="52">
        <v>0</v>
      </c>
      <c r="BW202" s="674">
        <v>0</v>
      </c>
      <c r="BX202" s="40">
        <v>3.2868952182834095</v>
      </c>
      <c r="BY202" s="52">
        <v>3.2868952182834095</v>
      </c>
      <c r="BZ202" s="674">
        <v>0</v>
      </c>
      <c r="CA202" s="40">
        <v>0</v>
      </c>
      <c r="CB202" s="52">
        <v>0</v>
      </c>
      <c r="CC202" s="674">
        <v>0</v>
      </c>
      <c r="CD202" s="40">
        <v>0</v>
      </c>
      <c r="CE202" s="52">
        <v>0</v>
      </c>
      <c r="CF202" s="674">
        <v>0</v>
      </c>
      <c r="CG202" s="40">
        <v>0</v>
      </c>
      <c r="CH202" s="52">
        <v>0</v>
      </c>
      <c r="CI202" s="674">
        <v>0</v>
      </c>
      <c r="CJ202" s="40">
        <v>0</v>
      </c>
      <c r="CK202" s="52">
        <v>0</v>
      </c>
      <c r="CL202" s="674">
        <v>0</v>
      </c>
      <c r="CM202" s="40">
        <v>0</v>
      </c>
      <c r="CN202" s="52">
        <v>0</v>
      </c>
      <c r="CO202" s="39">
        <v>0</v>
      </c>
      <c r="CP202" s="40">
        <v>0</v>
      </c>
      <c r="CQ202" s="52">
        <v>0</v>
      </c>
      <c r="CR202" s="72">
        <v>2438.7166855566197</v>
      </c>
      <c r="CS202" s="5">
        <v>804.21240941554993</v>
      </c>
      <c r="CT202" s="52">
        <v>-1634.5042761410698</v>
      </c>
      <c r="CU202" s="77">
        <v>2926.4600226679436</v>
      </c>
      <c r="CV202" s="65">
        <v>965.05489129865987</v>
      </c>
      <c r="CW202" s="35">
        <v>-1961.4051313692837</v>
      </c>
      <c r="CX202" s="73">
        <v>65.117658781309274</v>
      </c>
      <c r="CY202" s="40">
        <v>2026.5227901505921</v>
      </c>
      <c r="CZ202" s="52">
        <v>1961.4051313692828</v>
      </c>
      <c r="DA202" s="150">
        <v>-7030.5314297276018</v>
      </c>
      <c r="DB202" s="2">
        <v>3</v>
      </c>
      <c r="DC202" s="675">
        <v>262.49</v>
      </c>
      <c r="DD202" s="675">
        <v>0</v>
      </c>
      <c r="DE202" s="675">
        <v>2.9406921291410981E-2</v>
      </c>
      <c r="DF202" s="675">
        <v>0</v>
      </c>
      <c r="DG202" s="321">
        <v>-5069.1262983583183</v>
      </c>
      <c r="DH202" s="40">
        <v>2991.3517086158658</v>
      </c>
      <c r="DI202" s="422">
        <v>262.4605930787086</v>
      </c>
      <c r="DJ202" s="306">
        <v>1.8163362842817203</v>
      </c>
      <c r="DK202" s="306">
        <v>1.8163362842817203</v>
      </c>
      <c r="DL202" s="306">
        <v>1.8163362842817203</v>
      </c>
      <c r="DM202" s="28">
        <v>262.4605930787086</v>
      </c>
      <c r="DN202" s="28">
        <v>0</v>
      </c>
      <c r="DO202" s="423">
        <v>262.4605930787086</v>
      </c>
      <c r="DP202" s="94">
        <v>0</v>
      </c>
      <c r="DQ202" s="28">
        <v>262.4605930787086</v>
      </c>
      <c r="DR202" s="318"/>
      <c r="DT202" s="8"/>
      <c r="DU202" s="5"/>
      <c r="DX202" s="5">
        <v>2479.5602937548178</v>
      </c>
      <c r="DY202" s="5">
        <v>0</v>
      </c>
      <c r="DZ202" s="159">
        <v>234.90642402983474</v>
      </c>
      <c r="EB202" s="676">
        <v>4.9560363996043009</v>
      </c>
      <c r="EC202" s="676">
        <v>-122.0359051375831</v>
      </c>
      <c r="ED202" s="676">
        <v>-119.41950668979217</v>
      </c>
      <c r="EE202" s="676">
        <v>-215.12280982045857</v>
      </c>
      <c r="EF202" s="676">
        <v>-207.62599240839685</v>
      </c>
      <c r="EG202" s="676">
        <v>-210.53302381458701</v>
      </c>
      <c r="EH202" s="676">
        <v>-100.30428002461619</v>
      </c>
      <c r="EI202" s="676">
        <v>-186.72930502938109</v>
      </c>
      <c r="EJ202" s="676">
        <v>-209.97964729155791</v>
      </c>
      <c r="EK202" s="676">
        <v>-181.83976764168204</v>
      </c>
      <c r="EL202" s="676">
        <v>-200.52808970888503</v>
      </c>
      <c r="EM202" s="676">
        <v>-212.24284020194776</v>
      </c>
      <c r="EN202" s="676">
        <v>-1961.4051313692837</v>
      </c>
      <c r="EQ202" s="5">
        <v>2479.5602937548178</v>
      </c>
      <c r="ER202" s="5">
        <v>0</v>
      </c>
      <c r="ET202" s="318">
        <v>-1324.710387977148</v>
      </c>
      <c r="EU202" s="5">
        <v>-1225.4159103811703</v>
      </c>
    </row>
    <row r="203" spans="1:151" x14ac:dyDescent="0.3">
      <c r="A203" s="325">
        <v>150000777</v>
      </c>
      <c r="B203" s="41" t="s">
        <v>651</v>
      </c>
      <c r="C203" s="42" t="s">
        <v>169</v>
      </c>
      <c r="D203" s="27">
        <v>2</v>
      </c>
      <c r="E203" s="293">
        <v>393</v>
      </c>
      <c r="F203" s="305">
        <v>393</v>
      </c>
      <c r="G203" s="508">
        <v>0</v>
      </c>
      <c r="H203" s="677">
        <v>0</v>
      </c>
      <c r="I203" s="674">
        <v>1434.4404088047977</v>
      </c>
      <c r="J203" s="40">
        <v>1362.1253980839208</v>
      </c>
      <c r="K203" s="52">
        <v>-72.315010720876899</v>
      </c>
      <c r="L203" s="674">
        <v>223.67110679199621</v>
      </c>
      <c r="M203" s="40">
        <v>213.75707151829866</v>
      </c>
      <c r="N203" s="52">
        <v>-9.9140352736975501</v>
      </c>
      <c r="O203" s="674">
        <v>547.66100022142507</v>
      </c>
      <c r="P203" s="40">
        <v>547.71000000000015</v>
      </c>
      <c r="Q203" s="52">
        <v>4.89997785750802E-2</v>
      </c>
      <c r="R203" s="674">
        <v>111.83159832181002</v>
      </c>
      <c r="S203" s="40">
        <v>112.04499999999999</v>
      </c>
      <c r="T203" s="52">
        <v>0.21340167818996747</v>
      </c>
      <c r="U203" s="674">
        <v>0</v>
      </c>
      <c r="V203" s="40">
        <v>0</v>
      </c>
      <c r="W203" s="52">
        <v>0</v>
      </c>
      <c r="X203" s="674">
        <v>541.07900130623455</v>
      </c>
      <c r="Y203" s="40">
        <v>396.57099662559574</v>
      </c>
      <c r="Z203" s="52">
        <v>-144.50800468063881</v>
      </c>
      <c r="AA203" s="674">
        <v>47.160000000000004</v>
      </c>
      <c r="AB203" s="40">
        <v>0</v>
      </c>
      <c r="AC203" s="52">
        <v>-47.160000000000004</v>
      </c>
      <c r="AD203" s="674">
        <v>1684.9973976923754</v>
      </c>
      <c r="AE203" s="40">
        <v>1669.7476839489839</v>
      </c>
      <c r="AF203" s="35">
        <v>-15.249713743391567</v>
      </c>
      <c r="AG203" s="77">
        <v>4590.8405131386389</v>
      </c>
      <c r="AH203" s="53">
        <v>4301.9561501767994</v>
      </c>
      <c r="AI203" s="52">
        <v>-288.88436296183954</v>
      </c>
      <c r="AJ203" s="674">
        <v>0</v>
      </c>
      <c r="AK203" s="40">
        <v>0</v>
      </c>
      <c r="AL203" s="52">
        <v>0</v>
      </c>
      <c r="AM203" s="674">
        <v>0</v>
      </c>
      <c r="AN203" s="40">
        <v>0</v>
      </c>
      <c r="AO203" s="52">
        <v>0</v>
      </c>
      <c r="AP203" s="674">
        <v>359.74679286809487</v>
      </c>
      <c r="AQ203" s="40">
        <v>299.37364466085739</v>
      </c>
      <c r="AR203" s="52">
        <v>-60.373148207237477</v>
      </c>
      <c r="AS203" s="674">
        <v>4027.3544847872099</v>
      </c>
      <c r="AT203" s="40">
        <v>969</v>
      </c>
      <c r="AU203" s="54">
        <v>-3058.3544847872099</v>
      </c>
      <c r="AV203" s="674">
        <v>358.22979503538716</v>
      </c>
      <c r="AW203" s="40">
        <v>0</v>
      </c>
      <c r="AX203" s="55">
        <v>-358.22979503538716</v>
      </c>
      <c r="AY203" s="674">
        <v>366.95020427823852</v>
      </c>
      <c r="AZ203" s="40">
        <v>0</v>
      </c>
      <c r="BA203" s="35">
        <v>-366.95020427823852</v>
      </c>
      <c r="BB203" s="674">
        <v>117.91994660675466</v>
      </c>
      <c r="BC203" s="40">
        <v>0</v>
      </c>
      <c r="BD203" s="55">
        <v>-117.91994660675466</v>
      </c>
      <c r="BE203" s="674">
        <v>237.56701183495886</v>
      </c>
      <c r="BF203" s="40">
        <v>0</v>
      </c>
      <c r="BG203" s="38">
        <v>-237.56701183495886</v>
      </c>
      <c r="BH203" s="674">
        <v>0</v>
      </c>
      <c r="BI203" s="40">
        <v>0</v>
      </c>
      <c r="BJ203" s="55">
        <v>0</v>
      </c>
      <c r="BK203" s="674">
        <v>94.604758723962874</v>
      </c>
      <c r="BL203" s="40">
        <v>0</v>
      </c>
      <c r="BM203" s="38">
        <v>-94.604758723962874</v>
      </c>
      <c r="BN203" s="674">
        <v>11.790000000000001</v>
      </c>
      <c r="BO203" s="40">
        <v>0</v>
      </c>
      <c r="BP203" s="55">
        <v>-11.790000000000001</v>
      </c>
      <c r="BQ203" s="77">
        <v>1187.0617164793023</v>
      </c>
      <c r="BR203" s="40">
        <v>0</v>
      </c>
      <c r="BS203" s="55">
        <v>-1187.0617164793023</v>
      </c>
      <c r="BT203" s="674">
        <v>3687.8884678272625</v>
      </c>
      <c r="BU203" s="40">
        <v>3503.9289087583438</v>
      </c>
      <c r="BV203" s="52">
        <v>-183.95955906891868</v>
      </c>
      <c r="BW203" s="674">
        <v>2345.8852313915622</v>
      </c>
      <c r="BX203" s="40">
        <v>2545.8393880852018</v>
      </c>
      <c r="BY203" s="52">
        <v>199.95415669363956</v>
      </c>
      <c r="BZ203" s="674">
        <v>520.38535435492156</v>
      </c>
      <c r="CA203" s="40">
        <v>1015.8815249083671</v>
      </c>
      <c r="CB203" s="52">
        <v>495.49617055344549</v>
      </c>
      <c r="CC203" s="674">
        <v>0</v>
      </c>
      <c r="CD203" s="40">
        <v>0</v>
      </c>
      <c r="CE203" s="52">
        <v>0</v>
      </c>
      <c r="CF203" s="674">
        <v>0</v>
      </c>
      <c r="CG203" s="40">
        <v>0</v>
      </c>
      <c r="CH203" s="52">
        <v>0</v>
      </c>
      <c r="CI203" s="674">
        <v>294.66215824341145</v>
      </c>
      <c r="CJ203" s="40">
        <v>237.03655075145494</v>
      </c>
      <c r="CK203" s="52">
        <v>-57.625607491956515</v>
      </c>
      <c r="CL203" s="674">
        <v>0</v>
      </c>
      <c r="CM203" s="40">
        <v>0</v>
      </c>
      <c r="CN203" s="52">
        <v>0</v>
      </c>
      <c r="CO203" s="39">
        <v>294.66215824341145</v>
      </c>
      <c r="CP203" s="40">
        <v>237.03655075145494</v>
      </c>
      <c r="CQ203" s="52">
        <v>-57.625607491956515</v>
      </c>
      <c r="CR203" s="72">
        <v>17013.824719090404</v>
      </c>
      <c r="CS203" s="5">
        <v>12873.016167341024</v>
      </c>
      <c r="CT203" s="52">
        <v>-4140.8085517493801</v>
      </c>
      <c r="CU203" s="77">
        <v>20416.589662908485</v>
      </c>
      <c r="CV203" s="65">
        <v>15447.619400809228</v>
      </c>
      <c r="CW203" s="35">
        <v>-4968.9702620992575</v>
      </c>
      <c r="CX203" s="73">
        <v>454.20933432676338</v>
      </c>
      <c r="CY203" s="40">
        <v>5423.17959642602</v>
      </c>
      <c r="CZ203" s="52">
        <v>4968.9702620992566</v>
      </c>
      <c r="DA203" s="150">
        <v>-2178.3623061619837</v>
      </c>
      <c r="DB203" s="2">
        <v>3</v>
      </c>
      <c r="DC203" s="675">
        <v>2123.9899999999998</v>
      </c>
      <c r="DD203" s="675">
        <v>0</v>
      </c>
      <c r="DE203" s="675">
        <v>292.64344191035912</v>
      </c>
      <c r="DF203" s="675">
        <v>0</v>
      </c>
      <c r="DG203" s="321">
        <v>2790.6079559372738</v>
      </c>
      <c r="DH203" s="40">
        <v>20869.223414953041</v>
      </c>
      <c r="DI203" s="422">
        <v>1831.3465580896411</v>
      </c>
      <c r="DJ203" s="306">
        <v>4.6599149060805107</v>
      </c>
      <c r="DK203" s="306">
        <v>4.6599149060805107</v>
      </c>
      <c r="DL203" s="306">
        <v>3.9898510872216142</v>
      </c>
      <c r="DM203" s="28">
        <v>1831.3465580896407</v>
      </c>
      <c r="DN203" s="28">
        <v>0</v>
      </c>
      <c r="DO203" s="423">
        <v>1831.3465580896407</v>
      </c>
      <c r="DP203" s="94">
        <v>0</v>
      </c>
      <c r="DQ203" s="28">
        <v>1831.3465580896407</v>
      </c>
      <c r="DR203" s="318"/>
      <c r="DT203" s="8"/>
      <c r="DU203" s="5"/>
      <c r="DX203" s="5">
        <v>6257.2994415198145</v>
      </c>
      <c r="DY203" s="5">
        <v>1162.8</v>
      </c>
      <c r="DZ203" s="159">
        <v>533.32716084547076</v>
      </c>
      <c r="EB203" s="676">
        <v>-329.3354752293626</v>
      </c>
      <c r="EC203" s="676">
        <v>-445.16242323554479</v>
      </c>
      <c r="ED203" s="676">
        <v>-417.49718917417999</v>
      </c>
      <c r="EE203" s="676">
        <v>-832.11893482464893</v>
      </c>
      <c r="EF203" s="676">
        <v>-642.0099747867439</v>
      </c>
      <c r="EG203" s="676">
        <v>-787.97141271103089</v>
      </c>
      <c r="EH203" s="676">
        <v>-178.00935741463445</v>
      </c>
      <c r="EI203" s="676">
        <v>-128.85548188878283</v>
      </c>
      <c r="EJ203" s="676">
        <v>-586.31968342112964</v>
      </c>
      <c r="EK203" s="676">
        <v>478.25429926179982</v>
      </c>
      <c r="EL203" s="676">
        <v>-513.96518860168521</v>
      </c>
      <c r="EM203" s="676">
        <v>-585.97944007331444</v>
      </c>
      <c r="EN203" s="676">
        <v>-4968.9702620992575</v>
      </c>
      <c r="EQ203" s="5">
        <v>6257.2994415198145</v>
      </c>
      <c r="ER203" s="5">
        <v>1162.8</v>
      </c>
      <c r="ET203" s="318">
        <v>-5326.9286492939545</v>
      </c>
      <c r="EU203" s="5">
        <v>14335.536605231224</v>
      </c>
    </row>
    <row r="204" spans="1:151" x14ac:dyDescent="0.3">
      <c r="A204" s="325">
        <v>150000765</v>
      </c>
      <c r="B204" s="41" t="s">
        <v>652</v>
      </c>
      <c r="C204" s="42" t="s">
        <v>265</v>
      </c>
      <c r="D204" s="27">
        <v>5</v>
      </c>
      <c r="E204" s="293">
        <v>4524.01</v>
      </c>
      <c r="F204" s="305">
        <v>4524.01</v>
      </c>
      <c r="G204" s="508">
        <v>0</v>
      </c>
      <c r="H204" s="677">
        <v>0</v>
      </c>
      <c r="I204" s="674">
        <v>15396.237379698272</v>
      </c>
      <c r="J204" s="40">
        <v>16873.436937629882</v>
      </c>
      <c r="K204" s="52">
        <v>1477.1995579316099</v>
      </c>
      <c r="L204" s="674">
        <v>3225.3731227303306</v>
      </c>
      <c r="M204" s="40">
        <v>3530.2929475058295</v>
      </c>
      <c r="N204" s="52">
        <v>304.91982477549891</v>
      </c>
      <c r="O204" s="674">
        <v>5806.7108117608841</v>
      </c>
      <c r="P204" s="40">
        <v>5806.0199999999986</v>
      </c>
      <c r="Q204" s="52">
        <v>-0.69081176088548091</v>
      </c>
      <c r="R204" s="674">
        <v>0</v>
      </c>
      <c r="S204" s="40">
        <v>0</v>
      </c>
      <c r="T204" s="52">
        <v>0</v>
      </c>
      <c r="U204" s="674">
        <v>1186.2563123962695</v>
      </c>
      <c r="V204" s="40">
        <v>4006.6649538169559</v>
      </c>
      <c r="W204" s="52">
        <v>2820.4086414206863</v>
      </c>
      <c r="X204" s="674">
        <v>10753.337680743307</v>
      </c>
      <c r="Y204" s="40">
        <v>8036.4422513791542</v>
      </c>
      <c r="Z204" s="52">
        <v>-2716.8954293641527</v>
      </c>
      <c r="AA204" s="674">
        <v>542.83439999999996</v>
      </c>
      <c r="AB204" s="40">
        <v>0</v>
      </c>
      <c r="AC204" s="52">
        <v>-542.83439999999996</v>
      </c>
      <c r="AD204" s="674">
        <v>19396.281967658058</v>
      </c>
      <c r="AE204" s="40">
        <v>19221.260100921223</v>
      </c>
      <c r="AF204" s="35">
        <v>-175.02186673683536</v>
      </c>
      <c r="AG204" s="77">
        <v>56307.031674987113</v>
      </c>
      <c r="AH204" s="53">
        <v>57474.117191253041</v>
      </c>
      <c r="AI204" s="52">
        <v>1167.0855162659282</v>
      </c>
      <c r="AJ204" s="674">
        <v>0</v>
      </c>
      <c r="AK204" s="40">
        <v>0</v>
      </c>
      <c r="AL204" s="52">
        <v>0</v>
      </c>
      <c r="AM204" s="674">
        <v>0</v>
      </c>
      <c r="AN204" s="40">
        <v>0</v>
      </c>
      <c r="AO204" s="52">
        <v>0</v>
      </c>
      <c r="AP204" s="674">
        <v>17987.33964340475</v>
      </c>
      <c r="AQ204" s="40">
        <v>12093.8970076359</v>
      </c>
      <c r="AR204" s="52">
        <v>-5893.4426357688499</v>
      </c>
      <c r="AS204" s="674">
        <v>49940.874793916257</v>
      </c>
      <c r="AT204" s="40">
        <v>25640.268677792959</v>
      </c>
      <c r="AU204" s="54">
        <v>-24300.606116123297</v>
      </c>
      <c r="AV204" s="674">
        <v>3447.7924441742498</v>
      </c>
      <c r="AW204" s="40">
        <v>3731.3</v>
      </c>
      <c r="AX204" s="55">
        <v>283.50755582575039</v>
      </c>
      <c r="AY204" s="674">
        <v>5287.1136626803018</v>
      </c>
      <c r="AZ204" s="40">
        <v>0</v>
      </c>
      <c r="BA204" s="35">
        <v>-5287.1136626803018</v>
      </c>
      <c r="BB204" s="674">
        <v>3223.5123835178638</v>
      </c>
      <c r="BC204" s="40">
        <v>0</v>
      </c>
      <c r="BD204" s="55">
        <v>-3223.5123835178638</v>
      </c>
      <c r="BE204" s="674">
        <v>0</v>
      </c>
      <c r="BF204" s="40">
        <v>0</v>
      </c>
      <c r="BG204" s="38">
        <v>0</v>
      </c>
      <c r="BH204" s="674">
        <v>2024.9600350327316</v>
      </c>
      <c r="BI204" s="40">
        <v>0</v>
      </c>
      <c r="BJ204" s="55">
        <v>-2024.9600350327316</v>
      </c>
      <c r="BK204" s="674">
        <v>2760.833830727086</v>
      </c>
      <c r="BL204" s="40">
        <v>333</v>
      </c>
      <c r="BM204" s="38">
        <v>-2427.833830727086</v>
      </c>
      <c r="BN204" s="674">
        <v>135.70859999999999</v>
      </c>
      <c r="BO204" s="40">
        <v>0</v>
      </c>
      <c r="BP204" s="55">
        <v>-135.70859999999999</v>
      </c>
      <c r="BQ204" s="77">
        <v>16879.920956132235</v>
      </c>
      <c r="BR204" s="40">
        <v>4064.3</v>
      </c>
      <c r="BS204" s="55">
        <v>-12815.620956132236</v>
      </c>
      <c r="BT204" s="674">
        <v>37829.749340854556</v>
      </c>
      <c r="BU204" s="40">
        <v>42050.097151404436</v>
      </c>
      <c r="BV204" s="52">
        <v>4220.3478105498798</v>
      </c>
      <c r="BW204" s="674">
        <v>22831.503993475391</v>
      </c>
      <c r="BX204" s="40">
        <v>18485.938745918596</v>
      </c>
      <c r="BY204" s="52">
        <v>-4345.5652475567949</v>
      </c>
      <c r="BZ204" s="674">
        <v>15457.195135630638</v>
      </c>
      <c r="CA204" s="40">
        <v>9924.5425810835641</v>
      </c>
      <c r="CB204" s="52">
        <v>-5532.652554547074</v>
      </c>
      <c r="CC204" s="674">
        <v>1966.9609123980263</v>
      </c>
      <c r="CD204" s="40">
        <v>2067.3173416975692</v>
      </c>
      <c r="CE204" s="52">
        <v>100.35642929954292</v>
      </c>
      <c r="CF204" s="674">
        <v>240.40326905033004</v>
      </c>
      <c r="CG204" s="40">
        <v>0</v>
      </c>
      <c r="CH204" s="52">
        <v>-240.40326905033004</v>
      </c>
      <c r="CI204" s="674">
        <v>7320.4086898602745</v>
      </c>
      <c r="CJ204" s="40">
        <v>12229.643963019786</v>
      </c>
      <c r="CK204" s="52">
        <v>4909.2352731595111</v>
      </c>
      <c r="CL204" s="674">
        <v>0</v>
      </c>
      <c r="CM204" s="40">
        <v>0</v>
      </c>
      <c r="CN204" s="52">
        <v>0</v>
      </c>
      <c r="CO204" s="39">
        <v>7320.4086898602745</v>
      </c>
      <c r="CP204" s="40">
        <v>12229.643963019786</v>
      </c>
      <c r="CQ204" s="52">
        <v>4909.2352731595111</v>
      </c>
      <c r="CR204" s="72">
        <v>226761.38840970959</v>
      </c>
      <c r="CS204" s="5">
        <v>184030.12265980587</v>
      </c>
      <c r="CT204" s="52">
        <v>-42731.265749903716</v>
      </c>
      <c r="CU204" s="77">
        <v>272113.66609165148</v>
      </c>
      <c r="CV204" s="65">
        <v>220836.14719176703</v>
      </c>
      <c r="CW204" s="35">
        <v>-51277.518899884453</v>
      </c>
      <c r="CX204" s="73">
        <v>13630.183805334407</v>
      </c>
      <c r="CY204" s="40">
        <v>64907.70270521885</v>
      </c>
      <c r="CZ204" s="52">
        <v>51277.518899884439</v>
      </c>
      <c r="DA204" s="150">
        <v>-12055.500604390923</v>
      </c>
      <c r="DB204" s="2">
        <v>2</v>
      </c>
      <c r="DC204" s="675">
        <v>73134.48</v>
      </c>
      <c r="DD204" s="675">
        <v>0</v>
      </c>
      <c r="DE204" s="675">
        <v>48295.924451957566</v>
      </c>
      <c r="DF204" s="675">
        <v>0</v>
      </c>
      <c r="DG204" s="321">
        <v>39222.018295493501</v>
      </c>
      <c r="DH204" s="40">
        <v>285721.52057350258</v>
      </c>
      <c r="DI204" s="422">
        <v>24838.55554804243</v>
      </c>
      <c r="DJ204" s="306">
        <v>5.4903847577795872</v>
      </c>
      <c r="DK204" s="306">
        <v>5.4903847577795872</v>
      </c>
      <c r="DL204" s="306">
        <v>4.9122524257158977</v>
      </c>
      <c r="DM204" s="28">
        <v>24838.55554804243</v>
      </c>
      <c r="DN204" s="28">
        <v>0</v>
      </c>
      <c r="DO204" s="423">
        <v>24838.55554804243</v>
      </c>
      <c r="DP204" s="94">
        <v>0</v>
      </c>
      <c r="DQ204" s="28">
        <v>24838.55554804243</v>
      </c>
      <c r="DR204" s="318"/>
      <c r="DT204" s="8"/>
      <c r="DU204" s="5"/>
      <c r="DX204" s="5">
        <v>80184.95490005819</v>
      </c>
      <c r="DY204" s="5">
        <v>35645.48241335155</v>
      </c>
      <c r="DZ204" s="159">
        <v>6961.535940712397</v>
      </c>
      <c r="EB204" s="676">
        <v>-3621.255265107131</v>
      </c>
      <c r="EC204" s="676">
        <v>4197.030289717477</v>
      </c>
      <c r="ED204" s="676">
        <v>12168.968741112192</v>
      </c>
      <c r="EE204" s="676">
        <v>-10675.268187179623</v>
      </c>
      <c r="EF204" s="676">
        <v>-5672.3374603045049</v>
      </c>
      <c r="EG204" s="676">
        <v>-10633.512787593152</v>
      </c>
      <c r="EH204" s="676">
        <v>-9466.1237721094021</v>
      </c>
      <c r="EI204" s="676">
        <v>-3529.6811942483255</v>
      </c>
      <c r="EJ204" s="676">
        <v>-5440.8380865601393</v>
      </c>
      <c r="EK204" s="676">
        <v>-7261.45445038873</v>
      </c>
      <c r="EL204" s="676">
        <v>-2235.1360433618538</v>
      </c>
      <c r="EM204" s="676">
        <v>-9107.9106838612315</v>
      </c>
      <c r="EN204" s="676">
        <v>-51277.518899884424</v>
      </c>
      <c r="EQ204" s="5">
        <v>80184.95490005819</v>
      </c>
      <c r="ER204" s="5">
        <v>35645.48241335155</v>
      </c>
      <c r="ET204" s="318">
        <v>-42706.46394900349</v>
      </c>
      <c r="EU204" s="5">
        <v>-28173.517755503006</v>
      </c>
    </row>
    <row r="205" spans="1:151" x14ac:dyDescent="0.3">
      <c r="A205" s="325">
        <v>150000683</v>
      </c>
      <c r="B205" s="41" t="s">
        <v>653</v>
      </c>
      <c r="C205" s="42" t="s">
        <v>116</v>
      </c>
      <c r="D205" s="27">
        <v>1</v>
      </c>
      <c r="E205" s="293">
        <v>256.60000000000002</v>
      </c>
      <c r="F205" s="305">
        <v>256.60000000000002</v>
      </c>
      <c r="G205" s="508">
        <v>0</v>
      </c>
      <c r="H205" s="677">
        <v>0</v>
      </c>
      <c r="I205" s="674">
        <v>0</v>
      </c>
      <c r="J205" s="40">
        <v>0</v>
      </c>
      <c r="K205" s="52">
        <v>0</v>
      </c>
      <c r="L205" s="674">
        <v>0</v>
      </c>
      <c r="M205" s="40">
        <v>0</v>
      </c>
      <c r="N205" s="52">
        <v>0</v>
      </c>
      <c r="O205" s="674">
        <v>0</v>
      </c>
      <c r="P205" s="40">
        <v>0</v>
      </c>
      <c r="Q205" s="52">
        <v>0</v>
      </c>
      <c r="R205" s="674">
        <v>0</v>
      </c>
      <c r="S205" s="40">
        <v>0</v>
      </c>
      <c r="T205" s="52">
        <v>0</v>
      </c>
      <c r="U205" s="674">
        <v>0</v>
      </c>
      <c r="V205" s="40">
        <v>0</v>
      </c>
      <c r="W205" s="52">
        <v>0</v>
      </c>
      <c r="X205" s="674">
        <v>0</v>
      </c>
      <c r="Y205" s="40">
        <v>0</v>
      </c>
      <c r="Z205" s="52">
        <v>0</v>
      </c>
      <c r="AA205" s="674">
        <v>30.792000000000002</v>
      </c>
      <c r="AB205" s="40">
        <v>0</v>
      </c>
      <c r="AC205" s="52">
        <v>-30.792000000000002</v>
      </c>
      <c r="AD205" s="674">
        <v>231.21444028423718</v>
      </c>
      <c r="AE205" s="40">
        <v>936.77863922546373</v>
      </c>
      <c r="AF205" s="35">
        <v>705.56419894122655</v>
      </c>
      <c r="AG205" s="77">
        <v>262.00644028423721</v>
      </c>
      <c r="AH205" s="53">
        <v>936.77863922546373</v>
      </c>
      <c r="AI205" s="52">
        <v>674.77219894122652</v>
      </c>
      <c r="AJ205" s="674">
        <v>0</v>
      </c>
      <c r="AK205" s="40">
        <v>0</v>
      </c>
      <c r="AL205" s="52">
        <v>0</v>
      </c>
      <c r="AM205" s="674">
        <v>0</v>
      </c>
      <c r="AN205" s="40">
        <v>0</v>
      </c>
      <c r="AO205" s="52">
        <v>0</v>
      </c>
      <c r="AP205" s="674">
        <v>407.84188959504598</v>
      </c>
      <c r="AQ205" s="40">
        <v>411.3674576274164</v>
      </c>
      <c r="AR205" s="52">
        <v>3.5255680323704155</v>
      </c>
      <c r="AS205" s="674">
        <v>2896.4307838608843</v>
      </c>
      <c r="AT205" s="40">
        <v>0</v>
      </c>
      <c r="AU205" s="54">
        <v>-2896.4307838608843</v>
      </c>
      <c r="AV205" s="674">
        <v>0</v>
      </c>
      <c r="AW205" s="40">
        <v>0</v>
      </c>
      <c r="AX205" s="55">
        <v>0</v>
      </c>
      <c r="AY205" s="674">
        <v>0</v>
      </c>
      <c r="AZ205" s="40">
        <v>0</v>
      </c>
      <c r="BA205" s="35">
        <v>0</v>
      </c>
      <c r="BB205" s="674">
        <v>0</v>
      </c>
      <c r="BC205" s="40">
        <v>0</v>
      </c>
      <c r="BD205" s="55">
        <v>0</v>
      </c>
      <c r="BE205" s="674">
        <v>0</v>
      </c>
      <c r="BF205" s="40">
        <v>0</v>
      </c>
      <c r="BG205" s="38">
        <v>0</v>
      </c>
      <c r="BH205" s="674">
        <v>0</v>
      </c>
      <c r="BI205" s="40">
        <v>0</v>
      </c>
      <c r="BJ205" s="55">
        <v>0</v>
      </c>
      <c r="BK205" s="674">
        <v>0</v>
      </c>
      <c r="BL205" s="40">
        <v>0</v>
      </c>
      <c r="BM205" s="38">
        <v>0</v>
      </c>
      <c r="BN205" s="674">
        <v>7.6980000000000004</v>
      </c>
      <c r="BO205" s="40">
        <v>0</v>
      </c>
      <c r="BP205" s="55">
        <v>-7.6980000000000004</v>
      </c>
      <c r="BQ205" s="77">
        <v>7.6980000000000004</v>
      </c>
      <c r="BR205" s="40">
        <v>0</v>
      </c>
      <c r="BS205" s="55">
        <v>-7.6980000000000004</v>
      </c>
      <c r="BT205" s="674">
        <v>0</v>
      </c>
      <c r="BU205" s="40">
        <v>0</v>
      </c>
      <c r="BV205" s="52">
        <v>0</v>
      </c>
      <c r="BW205" s="674">
        <v>0</v>
      </c>
      <c r="BX205" s="40">
        <v>4.798104146634584</v>
      </c>
      <c r="BY205" s="52">
        <v>4.798104146634584</v>
      </c>
      <c r="BZ205" s="674">
        <v>0</v>
      </c>
      <c r="CA205" s="40">
        <v>0</v>
      </c>
      <c r="CB205" s="52">
        <v>0</v>
      </c>
      <c r="CC205" s="674">
        <v>0</v>
      </c>
      <c r="CD205" s="40">
        <v>0</v>
      </c>
      <c r="CE205" s="52">
        <v>0</v>
      </c>
      <c r="CF205" s="674">
        <v>0</v>
      </c>
      <c r="CG205" s="40">
        <v>0</v>
      </c>
      <c r="CH205" s="52">
        <v>0</v>
      </c>
      <c r="CI205" s="674">
        <v>0</v>
      </c>
      <c r="CJ205" s="40">
        <v>0</v>
      </c>
      <c r="CK205" s="52">
        <v>0</v>
      </c>
      <c r="CL205" s="674">
        <v>0</v>
      </c>
      <c r="CM205" s="40">
        <v>0</v>
      </c>
      <c r="CN205" s="52">
        <v>0</v>
      </c>
      <c r="CO205" s="39">
        <v>0</v>
      </c>
      <c r="CP205" s="40">
        <v>0</v>
      </c>
      <c r="CQ205" s="52">
        <v>0</v>
      </c>
      <c r="CR205" s="72">
        <v>3573.9771137401672</v>
      </c>
      <c r="CS205" s="5">
        <v>1352.9442009995148</v>
      </c>
      <c r="CT205" s="52">
        <v>-2221.0329127406521</v>
      </c>
      <c r="CU205" s="77">
        <v>4288.7725364882008</v>
      </c>
      <c r="CV205" s="65">
        <v>1623.5330411994178</v>
      </c>
      <c r="CW205" s="35">
        <v>-2665.239495288783</v>
      </c>
      <c r="CX205" s="73">
        <v>69.529666632005629</v>
      </c>
      <c r="CY205" s="40">
        <v>2734.7691619207885</v>
      </c>
      <c r="CZ205" s="52">
        <v>2665.239495288783</v>
      </c>
      <c r="DA205" s="150">
        <v>-3544.4277194500155</v>
      </c>
      <c r="DB205" s="2">
        <v>3</v>
      </c>
      <c r="DC205" s="675">
        <v>1932.63</v>
      </c>
      <c r="DD205" s="675">
        <v>0</v>
      </c>
      <c r="DE205" s="675">
        <v>1932.63</v>
      </c>
      <c r="DF205" s="675">
        <v>0</v>
      </c>
      <c r="DG205" s="321">
        <v>-879.18822416123294</v>
      </c>
      <c r="DH205" s="40">
        <v>5285.3557231144378</v>
      </c>
      <c r="DI205" s="422">
        <v>463.72640886041989</v>
      </c>
      <c r="DJ205" s="306">
        <v>1.8071956697600151</v>
      </c>
      <c r="DK205" s="306">
        <v>1.8071956697600151</v>
      </c>
      <c r="DL205" s="306">
        <v>1.8071956697600151</v>
      </c>
      <c r="DM205" s="28">
        <v>463.72640886041989</v>
      </c>
      <c r="DN205" s="28">
        <v>0</v>
      </c>
      <c r="DO205" s="423">
        <v>463.72640886041989</v>
      </c>
      <c r="DP205" s="94">
        <v>0</v>
      </c>
      <c r="DQ205" s="28">
        <v>463.72640886041989</v>
      </c>
      <c r="DR205" s="318"/>
      <c r="DT205" s="8"/>
      <c r="DU205" s="5"/>
      <c r="DX205" s="5">
        <v>3484.9545406330608</v>
      </c>
      <c r="DY205" s="5">
        <v>0</v>
      </c>
      <c r="DZ205" s="159">
        <v>409.33334193977453</v>
      </c>
      <c r="EB205" s="676">
        <v>58.11345552970738</v>
      </c>
      <c r="EC205" s="676">
        <v>-214.95860290072537</v>
      </c>
      <c r="ED205" s="676">
        <v>-210.31245866748554</v>
      </c>
      <c r="EE205" s="676">
        <v>-384.24565426924573</v>
      </c>
      <c r="EF205" s="676">
        <v>-370.93296674028358</v>
      </c>
      <c r="EG205" s="676">
        <v>-376.09521074601639</v>
      </c>
      <c r="EH205" s="676">
        <v>-132.72810131246644</v>
      </c>
      <c r="EI205" s="676">
        <v>-333.82507759526322</v>
      </c>
      <c r="EJ205" s="676">
        <v>-375.11253658816679</v>
      </c>
      <c r="EK205" s="676">
        <v>-325.14234199883708</v>
      </c>
      <c r="EL205" s="676">
        <v>0</v>
      </c>
      <c r="EM205" s="676">
        <v>0</v>
      </c>
      <c r="EN205" s="676">
        <v>-2665.2394952887826</v>
      </c>
      <c r="EQ205" s="5">
        <v>3484.9545406330608</v>
      </c>
      <c r="ER205" s="5">
        <v>0</v>
      </c>
      <c r="ET205" s="318">
        <v>5191.2412012826871</v>
      </c>
      <c r="EU205" s="5">
        <v>-2065.4294254439201</v>
      </c>
    </row>
    <row r="206" spans="1:151" x14ac:dyDescent="0.3">
      <c r="A206" s="325">
        <v>150000696</v>
      </c>
      <c r="B206" s="41" t="s">
        <v>654</v>
      </c>
      <c r="C206" s="42" t="s">
        <v>371</v>
      </c>
      <c r="D206" s="27">
        <v>9</v>
      </c>
      <c r="E206" s="293">
        <v>6306.37</v>
      </c>
      <c r="F206" s="305">
        <v>6306.37</v>
      </c>
      <c r="G206" s="508">
        <v>706.38</v>
      </c>
      <c r="H206" s="677">
        <v>0</v>
      </c>
      <c r="I206" s="674">
        <v>21325.71335546099</v>
      </c>
      <c r="J206" s="40">
        <v>20271.997727423553</v>
      </c>
      <c r="K206" s="52">
        <v>-1053.7156280374365</v>
      </c>
      <c r="L206" s="674">
        <v>4057.4667870250842</v>
      </c>
      <c r="M206" s="40">
        <v>3877.5002137549718</v>
      </c>
      <c r="N206" s="52">
        <v>-179.96657327011235</v>
      </c>
      <c r="O206" s="674">
        <v>7742.5267722963908</v>
      </c>
      <c r="P206" s="40">
        <v>7742.8250000000007</v>
      </c>
      <c r="Q206" s="52">
        <v>0.29822770360988216</v>
      </c>
      <c r="R206" s="674">
        <v>1922.8267736693954</v>
      </c>
      <c r="S206" s="40">
        <v>1922.6950000000006</v>
      </c>
      <c r="T206" s="52">
        <v>-0.13177366939476087</v>
      </c>
      <c r="U206" s="674">
        <v>1072.4056650520611</v>
      </c>
      <c r="V206" s="40">
        <v>728.23875918198814</v>
      </c>
      <c r="W206" s="52">
        <v>-344.16690587007292</v>
      </c>
      <c r="X206" s="674">
        <v>11397.633732544418</v>
      </c>
      <c r="Y206" s="40">
        <v>9322.2987781479424</v>
      </c>
      <c r="Z206" s="52">
        <v>-2075.334954396476</v>
      </c>
      <c r="AA206" s="674">
        <v>756.47399999999993</v>
      </c>
      <c r="AB206" s="40">
        <v>0</v>
      </c>
      <c r="AC206" s="52">
        <v>-756.47399999999993</v>
      </c>
      <c r="AD206" s="674">
        <v>27035.9738451546</v>
      </c>
      <c r="AE206" s="40">
        <v>26792.284376208048</v>
      </c>
      <c r="AF206" s="35">
        <v>-243.68946894655164</v>
      </c>
      <c r="AG206" s="77">
        <v>75311.020931202947</v>
      </c>
      <c r="AH206" s="53">
        <v>70657.839854716498</v>
      </c>
      <c r="AI206" s="52">
        <v>-4653.1810764864495</v>
      </c>
      <c r="AJ206" s="674">
        <v>77234.115829026108</v>
      </c>
      <c r="AK206" s="40">
        <v>76725.901238651073</v>
      </c>
      <c r="AL206" s="52">
        <v>-508.21459037503519</v>
      </c>
      <c r="AM206" s="674">
        <v>0</v>
      </c>
      <c r="AN206" s="40">
        <v>0</v>
      </c>
      <c r="AO206" s="52">
        <v>0</v>
      </c>
      <c r="AP206" s="674">
        <v>4856.5817037192819</v>
      </c>
      <c r="AQ206" s="40">
        <v>4141.0180658284562</v>
      </c>
      <c r="AR206" s="52">
        <v>-715.5636378908257</v>
      </c>
      <c r="AS206" s="674">
        <v>94958.656479991536</v>
      </c>
      <c r="AT206" s="40">
        <v>126650.42456191199</v>
      </c>
      <c r="AU206" s="54">
        <v>31691.768081920454</v>
      </c>
      <c r="AV206" s="674">
        <v>3787.5111865677659</v>
      </c>
      <c r="AW206" s="40">
        <v>0</v>
      </c>
      <c r="AX206" s="55">
        <v>-3787.5111865677659</v>
      </c>
      <c r="AY206" s="674">
        <v>4735.9912079942205</v>
      </c>
      <c r="AZ206" s="40">
        <v>3858</v>
      </c>
      <c r="BA206" s="35">
        <v>-877.99120799422053</v>
      </c>
      <c r="BB206" s="674">
        <v>3285.2162665461919</v>
      </c>
      <c r="BC206" s="40">
        <v>2069</v>
      </c>
      <c r="BD206" s="55">
        <v>-1216.2162665461919</v>
      </c>
      <c r="BE206" s="674">
        <v>2945.3724717521272</v>
      </c>
      <c r="BF206" s="40">
        <v>0</v>
      </c>
      <c r="BG206" s="38">
        <v>-2945.3724717521272</v>
      </c>
      <c r="BH206" s="674">
        <v>1385.6021579763128</v>
      </c>
      <c r="BI206" s="40">
        <v>0</v>
      </c>
      <c r="BJ206" s="55">
        <v>-1385.6021579763128</v>
      </c>
      <c r="BK206" s="674">
        <v>2804.86515608941</v>
      </c>
      <c r="BL206" s="40">
        <v>0</v>
      </c>
      <c r="BM206" s="38">
        <v>-2804.86515608941</v>
      </c>
      <c r="BN206" s="674">
        <v>189.11849999999998</v>
      </c>
      <c r="BO206" s="40">
        <v>0</v>
      </c>
      <c r="BP206" s="55">
        <v>-189.11849999999998</v>
      </c>
      <c r="BQ206" s="77">
        <v>19133.676946926029</v>
      </c>
      <c r="BR206" s="40">
        <v>5927</v>
      </c>
      <c r="BS206" s="55">
        <v>-13206.676946926029</v>
      </c>
      <c r="BT206" s="674">
        <v>77184.559295987812</v>
      </c>
      <c r="BU206" s="40">
        <v>67089.734606029597</v>
      </c>
      <c r="BV206" s="52">
        <v>-10094.824689958215</v>
      </c>
      <c r="BW206" s="674">
        <v>53625.738433379382</v>
      </c>
      <c r="BX206" s="40">
        <v>52549.682252505263</v>
      </c>
      <c r="BY206" s="52">
        <v>-1076.0561808741186</v>
      </c>
      <c r="BZ206" s="674">
        <v>7001.6675001036256</v>
      </c>
      <c r="CA206" s="40">
        <v>16313.151392678286</v>
      </c>
      <c r="CB206" s="52">
        <v>9311.4838925746608</v>
      </c>
      <c r="CC206" s="674">
        <v>1675.751544556801</v>
      </c>
      <c r="CD206" s="40">
        <v>1752.4588937814942</v>
      </c>
      <c r="CE206" s="52">
        <v>76.707349224693189</v>
      </c>
      <c r="CF206" s="674">
        <v>203.78915149787801</v>
      </c>
      <c r="CG206" s="40">
        <v>0</v>
      </c>
      <c r="CH206" s="52">
        <v>-203.78915149787801</v>
      </c>
      <c r="CI206" s="674">
        <v>38876.466557282969</v>
      </c>
      <c r="CJ206" s="40">
        <v>33615.173756843928</v>
      </c>
      <c r="CK206" s="52">
        <v>-5261.2928004390415</v>
      </c>
      <c r="CL206" s="674">
        <v>8987.4802206044842</v>
      </c>
      <c r="CM206" s="40">
        <v>13339.794730240857</v>
      </c>
      <c r="CN206" s="52">
        <v>4352.3145096363733</v>
      </c>
      <c r="CO206" s="39">
        <v>47863.946777887453</v>
      </c>
      <c r="CP206" s="40">
        <v>46954.968487084785</v>
      </c>
      <c r="CQ206" s="52">
        <v>-908.9782908026682</v>
      </c>
      <c r="CR206" s="72">
        <v>459049.50459427893</v>
      </c>
      <c r="CS206" s="5">
        <v>468762.17935318738</v>
      </c>
      <c r="CT206" s="52">
        <v>9712.6747589084553</v>
      </c>
      <c r="CU206" s="77">
        <v>550859.40551313467</v>
      </c>
      <c r="CV206" s="65">
        <v>562514.61522382486</v>
      </c>
      <c r="CW206" s="35">
        <v>11655.209710690193</v>
      </c>
      <c r="CX206" s="73">
        <v>10039.229604413174</v>
      </c>
      <c r="CY206" s="40">
        <v>-1615.9801062771512</v>
      </c>
      <c r="CZ206" s="52">
        <v>-11655.209710690326</v>
      </c>
      <c r="DA206" s="150">
        <v>124135.67057001937</v>
      </c>
      <c r="DB206" s="2">
        <v>3</v>
      </c>
      <c r="DC206" s="675">
        <v>112337.71</v>
      </c>
      <c r="DD206" s="675">
        <v>0</v>
      </c>
      <c r="DE206" s="675">
        <v>63099.851698773557</v>
      </c>
      <c r="DF206" s="675">
        <v>0</v>
      </c>
      <c r="DG206" s="321">
        <v>112480.46085932906</v>
      </c>
      <c r="DH206" s="40">
        <v>560856.35878883197</v>
      </c>
      <c r="DI206" s="422">
        <v>49237.85830122645</v>
      </c>
      <c r="DJ206" s="306">
        <v>6.3038884358153524</v>
      </c>
      <c r="DK206" s="306">
        <v>7.9973209930616314</v>
      </c>
      <c r="DL206" s="306">
        <v>5.3673448094976353</v>
      </c>
      <c r="DM206" s="28">
        <v>49237.85830122645</v>
      </c>
      <c r="DN206" s="28">
        <v>0</v>
      </c>
      <c r="DO206" s="423">
        <v>49237.85830122645</v>
      </c>
      <c r="DP206" s="94">
        <v>0</v>
      </c>
      <c r="DQ206" s="28">
        <v>49237.85830122645</v>
      </c>
      <c r="DR206" s="318"/>
      <c r="DT206" s="8"/>
      <c r="DU206" s="5"/>
      <c r="DX206" s="5">
        <v>136910.80011230108</v>
      </c>
      <c r="DY206" s="5">
        <v>159092.90947429437</v>
      </c>
      <c r="DZ206" s="159">
        <v>12263.499448201459</v>
      </c>
      <c r="EB206" s="676">
        <v>-8863.6176840996122</v>
      </c>
      <c r="EC206" s="676">
        <v>-1038.7682884642272</v>
      </c>
      <c r="ED206" s="676">
        <v>-9286.566614772124</v>
      </c>
      <c r="EE206" s="676">
        <v>-15847.527510321321</v>
      </c>
      <c r="EF206" s="676">
        <v>-6866.8935415478118</v>
      </c>
      <c r="EG206" s="676">
        <v>-5156.2369728905105</v>
      </c>
      <c r="EH206" s="676">
        <v>-12180.351786558094</v>
      </c>
      <c r="EI206" s="676">
        <v>-10609.326008319433</v>
      </c>
      <c r="EJ206" s="676">
        <v>107553.49407934936</v>
      </c>
      <c r="EK206" s="676">
        <v>-8477.085714070301</v>
      </c>
      <c r="EL206" s="676">
        <v>-11059.092259030171</v>
      </c>
      <c r="EM206" s="676">
        <v>-6512.8179885854333</v>
      </c>
      <c r="EN206" s="676">
        <v>11655.209710690317</v>
      </c>
      <c r="EQ206" s="5">
        <v>136910.80011230108</v>
      </c>
      <c r="ER206" s="5">
        <v>159092.90947429437</v>
      </c>
      <c r="ET206" s="318">
        <v>-60898.760076133658</v>
      </c>
      <c r="EU206" s="5">
        <v>-22234.579064537309</v>
      </c>
    </row>
    <row r="207" spans="1:151" x14ac:dyDescent="0.3">
      <c r="A207" s="325">
        <v>150000697</v>
      </c>
      <c r="B207" s="41" t="s">
        <v>655</v>
      </c>
      <c r="C207" s="42" t="s">
        <v>266</v>
      </c>
      <c r="D207" s="27">
        <v>5</v>
      </c>
      <c r="E207" s="293">
        <v>2744.3</v>
      </c>
      <c r="F207" s="305">
        <v>2744.3</v>
      </c>
      <c r="G207" s="508">
        <v>0</v>
      </c>
      <c r="H207" s="677">
        <v>0</v>
      </c>
      <c r="I207" s="674">
        <v>10288.806490477531</v>
      </c>
      <c r="J207" s="40">
        <v>9754.5982157831168</v>
      </c>
      <c r="K207" s="52">
        <v>-534.20827469441429</v>
      </c>
      <c r="L207" s="674">
        <v>2623.3588327541838</v>
      </c>
      <c r="M207" s="40">
        <v>2507.0531366530477</v>
      </c>
      <c r="N207" s="52">
        <v>-116.30569610113616</v>
      </c>
      <c r="O207" s="674">
        <v>3855.60277274295</v>
      </c>
      <c r="P207" s="40">
        <v>3855.9</v>
      </c>
      <c r="Q207" s="52">
        <v>0.29722725705005359</v>
      </c>
      <c r="R207" s="674">
        <v>920.2157019401202</v>
      </c>
      <c r="S207" s="40">
        <v>920.04500000000019</v>
      </c>
      <c r="T207" s="52">
        <v>-0.17070194012001139</v>
      </c>
      <c r="U207" s="674">
        <v>650.02174156792057</v>
      </c>
      <c r="V207" s="40">
        <v>441.39365695999027</v>
      </c>
      <c r="W207" s="52">
        <v>-208.6280846079303</v>
      </c>
      <c r="X207" s="674">
        <v>7326.1654694118697</v>
      </c>
      <c r="Y207" s="40">
        <v>5989.4978646909021</v>
      </c>
      <c r="Z207" s="52">
        <v>-1336.6676047209676</v>
      </c>
      <c r="AA207" s="674">
        <v>329.32800000000003</v>
      </c>
      <c r="AB207" s="40">
        <v>0</v>
      </c>
      <c r="AC207" s="52">
        <v>-329.32800000000003</v>
      </c>
      <c r="AD207" s="674">
        <v>11766.308111926826</v>
      </c>
      <c r="AE207" s="40">
        <v>11659.767351300758</v>
      </c>
      <c r="AF207" s="35">
        <v>-106.54076062606873</v>
      </c>
      <c r="AG207" s="77">
        <v>37759.807120821402</v>
      </c>
      <c r="AH207" s="53">
        <v>35128.255225387809</v>
      </c>
      <c r="AI207" s="52">
        <v>-2631.551895433593</v>
      </c>
      <c r="AJ207" s="674">
        <v>0</v>
      </c>
      <c r="AK207" s="40">
        <v>0</v>
      </c>
      <c r="AL207" s="52">
        <v>0</v>
      </c>
      <c r="AM207" s="674">
        <v>0</v>
      </c>
      <c r="AN207" s="40">
        <v>0</v>
      </c>
      <c r="AO207" s="52">
        <v>0</v>
      </c>
      <c r="AP207" s="674">
        <v>2698.1009465107127</v>
      </c>
      <c r="AQ207" s="40">
        <v>2253.0438266210067</v>
      </c>
      <c r="AR207" s="52">
        <v>-445.05711988970597</v>
      </c>
      <c r="AS207" s="674">
        <v>44621.01415635139</v>
      </c>
      <c r="AT207" s="40">
        <v>10284</v>
      </c>
      <c r="AU207" s="54">
        <v>-34337.01415635139</v>
      </c>
      <c r="AV207" s="674">
        <v>2396.4957756243784</v>
      </c>
      <c r="AW207" s="40">
        <v>0</v>
      </c>
      <c r="AX207" s="55">
        <v>-2396.4957756243784</v>
      </c>
      <c r="AY207" s="674">
        <v>4300.6476489975403</v>
      </c>
      <c r="AZ207" s="40">
        <v>0</v>
      </c>
      <c r="BA207" s="35">
        <v>-4300.6476489975403</v>
      </c>
      <c r="BB207" s="674">
        <v>1359.0790223040747</v>
      </c>
      <c r="BC207" s="40">
        <v>0</v>
      </c>
      <c r="BD207" s="55">
        <v>-1359.0790223040747</v>
      </c>
      <c r="BE207" s="674">
        <v>1636.247253391844</v>
      </c>
      <c r="BF207" s="40">
        <v>2881</v>
      </c>
      <c r="BG207" s="38">
        <v>1244.752746608156</v>
      </c>
      <c r="BH207" s="674">
        <v>1109.648866209001</v>
      </c>
      <c r="BI207" s="40">
        <v>0</v>
      </c>
      <c r="BJ207" s="55">
        <v>-1109.648866209001</v>
      </c>
      <c r="BK207" s="674">
        <v>1607.4169296167597</v>
      </c>
      <c r="BL207" s="40">
        <v>0</v>
      </c>
      <c r="BM207" s="38">
        <v>-1607.4169296167597</v>
      </c>
      <c r="BN207" s="674">
        <v>82.332000000000008</v>
      </c>
      <c r="BO207" s="40">
        <v>0</v>
      </c>
      <c r="BP207" s="55">
        <v>-82.332000000000008</v>
      </c>
      <c r="BQ207" s="77">
        <v>12491.867496143599</v>
      </c>
      <c r="BR207" s="40">
        <v>2881</v>
      </c>
      <c r="BS207" s="55">
        <v>-9610.8674961435991</v>
      </c>
      <c r="BT207" s="674">
        <v>23588.83694650024</v>
      </c>
      <c r="BU207" s="40">
        <v>26333.675759253587</v>
      </c>
      <c r="BV207" s="52">
        <v>2744.8388127533472</v>
      </c>
      <c r="BW207" s="674">
        <v>16667.355260640947</v>
      </c>
      <c r="BX207" s="40">
        <v>16326.847982456122</v>
      </c>
      <c r="BY207" s="52">
        <v>-340.50727818482483</v>
      </c>
      <c r="BZ207" s="674">
        <v>5761.8866506501145</v>
      </c>
      <c r="CA207" s="40">
        <v>6244.6071390583229</v>
      </c>
      <c r="CB207" s="52">
        <v>482.72048840820844</v>
      </c>
      <c r="CC207" s="674">
        <v>1528.4381206822763</v>
      </c>
      <c r="CD207" s="40">
        <v>1606.4206526330368</v>
      </c>
      <c r="CE207" s="52">
        <v>77.982531950760404</v>
      </c>
      <c r="CF207" s="674">
        <v>186.80672220638817</v>
      </c>
      <c r="CG207" s="40">
        <v>0</v>
      </c>
      <c r="CH207" s="52">
        <v>-186.80672220638817</v>
      </c>
      <c r="CI207" s="674">
        <v>8429.089898365497</v>
      </c>
      <c r="CJ207" s="40">
        <v>6413.4223125904091</v>
      </c>
      <c r="CK207" s="52">
        <v>-2015.6675857750879</v>
      </c>
      <c r="CL207" s="674">
        <v>0</v>
      </c>
      <c r="CM207" s="40">
        <v>0</v>
      </c>
      <c r="CN207" s="52">
        <v>0</v>
      </c>
      <c r="CO207" s="39">
        <v>8429.089898365497</v>
      </c>
      <c r="CP207" s="40">
        <v>6413.4223125904091</v>
      </c>
      <c r="CQ207" s="52">
        <v>-2015.6675857750879</v>
      </c>
      <c r="CR207" s="72">
        <v>153733.20331887258</v>
      </c>
      <c r="CS207" s="5">
        <v>107471.27289800029</v>
      </c>
      <c r="CT207" s="52">
        <v>-46261.93042087229</v>
      </c>
      <c r="CU207" s="77">
        <v>184479.84398264709</v>
      </c>
      <c r="CV207" s="65">
        <v>128965.52747760034</v>
      </c>
      <c r="CW207" s="35">
        <v>-55514.316505046751</v>
      </c>
      <c r="CX207" s="73">
        <v>9240.5335386964834</v>
      </c>
      <c r="CY207" s="40">
        <v>64754.850043743245</v>
      </c>
      <c r="CZ207" s="52">
        <v>55514.316505046765</v>
      </c>
      <c r="DA207" s="150">
        <v>-136474.70817563817</v>
      </c>
      <c r="DB207" s="2">
        <v>3</v>
      </c>
      <c r="DC207" s="675">
        <v>46894.9</v>
      </c>
      <c r="DD207" s="675">
        <v>0</v>
      </c>
      <c r="DE207" s="675">
        <v>30036.165026568411</v>
      </c>
      <c r="DF207" s="675">
        <v>0</v>
      </c>
      <c r="DG207" s="321">
        <v>-80960.391670591387</v>
      </c>
      <c r="DH207" s="40">
        <v>193705.30203673552</v>
      </c>
      <c r="DI207" s="422">
        <v>16858.73497343159</v>
      </c>
      <c r="DJ207" s="306">
        <v>6.1431822225819293</v>
      </c>
      <c r="DK207" s="306">
        <v>6.1431822225819293</v>
      </c>
      <c r="DL207" s="306">
        <v>5.4474483437758305</v>
      </c>
      <c r="DM207" s="28">
        <v>16858.73497343159</v>
      </c>
      <c r="DN207" s="28">
        <v>0</v>
      </c>
      <c r="DO207" s="423">
        <v>16858.73497343159</v>
      </c>
      <c r="DP207" s="94">
        <v>0</v>
      </c>
      <c r="DQ207" s="28">
        <v>16858.73497343159</v>
      </c>
      <c r="DR207" s="318"/>
      <c r="DT207" s="8"/>
      <c r="DU207" s="5"/>
      <c r="DX207" s="5">
        <v>68535.457982993976</v>
      </c>
      <c r="DY207" s="5">
        <v>15798</v>
      </c>
      <c r="DZ207" s="159">
        <v>5867.250418226874</v>
      </c>
      <c r="EB207" s="676">
        <v>-3655.3373868182389</v>
      </c>
      <c r="EC207" s="676">
        <v>-4022.7149475016759</v>
      </c>
      <c r="ED207" s="676">
        <v>-4915.8129802796884</v>
      </c>
      <c r="EE207" s="676">
        <v>-4339.4181746613122</v>
      </c>
      <c r="EF207" s="676">
        <v>-6664.6122713436016</v>
      </c>
      <c r="EG207" s="676">
        <v>-8965.3155508237433</v>
      </c>
      <c r="EH207" s="676">
        <v>-2538.7416436388903</v>
      </c>
      <c r="EI207" s="676">
        <v>-3044.9929570289878</v>
      </c>
      <c r="EJ207" s="676">
        <v>-3667.5968347432372</v>
      </c>
      <c r="EK207" s="676">
        <v>-6024.6400676852318</v>
      </c>
      <c r="EL207" s="676">
        <v>-2017.0577262999923</v>
      </c>
      <c r="EM207" s="676">
        <v>-5658.0759642221565</v>
      </c>
      <c r="EN207" s="676">
        <v>-55514.316505046765</v>
      </c>
      <c r="EQ207" s="5">
        <v>68535.457982993976</v>
      </c>
      <c r="ER207" s="5">
        <v>15798</v>
      </c>
      <c r="ET207" s="318">
        <v>-1855.6541875655621</v>
      </c>
      <c r="EU207" s="5">
        <v>-17775.937483025802</v>
      </c>
    </row>
    <row r="208" spans="1:151" x14ac:dyDescent="0.3">
      <c r="A208" s="325">
        <v>150000694</v>
      </c>
      <c r="B208" s="41" t="s">
        <v>656</v>
      </c>
      <c r="C208" s="42" t="s">
        <v>372</v>
      </c>
      <c r="D208" s="27">
        <v>9</v>
      </c>
      <c r="E208" s="293">
        <v>6138.38</v>
      </c>
      <c r="F208" s="305">
        <v>6138.38</v>
      </c>
      <c r="G208" s="508">
        <v>688.06</v>
      </c>
      <c r="H208" s="677">
        <v>0</v>
      </c>
      <c r="I208" s="674">
        <v>21315.691535273276</v>
      </c>
      <c r="J208" s="40">
        <v>20252.905259657942</v>
      </c>
      <c r="K208" s="52">
        <v>-1062.7862756153336</v>
      </c>
      <c r="L208" s="674">
        <v>4055.460979856311</v>
      </c>
      <c r="M208" s="40">
        <v>3875.5892708038691</v>
      </c>
      <c r="N208" s="52">
        <v>-179.87170905244193</v>
      </c>
      <c r="O208" s="674">
        <v>7552.8526705142576</v>
      </c>
      <c r="P208" s="40">
        <v>7551.7200000000012</v>
      </c>
      <c r="Q208" s="52">
        <v>-1.1326705142564606</v>
      </c>
      <c r="R208" s="674">
        <v>1841.33047839595</v>
      </c>
      <c r="S208" s="40">
        <v>1843.0099999999993</v>
      </c>
      <c r="T208" s="52">
        <v>1.6795216040493415</v>
      </c>
      <c r="U208" s="674">
        <v>1072.4056650520611</v>
      </c>
      <c r="V208" s="40">
        <v>728.23875918198814</v>
      </c>
      <c r="W208" s="52">
        <v>-344.16690587007292</v>
      </c>
      <c r="X208" s="674">
        <v>11374.31315843248</v>
      </c>
      <c r="Y208" s="40">
        <v>9273.198091706281</v>
      </c>
      <c r="Z208" s="52">
        <v>-2101.1150667261991</v>
      </c>
      <c r="AA208" s="674">
        <v>736.60559999999998</v>
      </c>
      <c r="AB208" s="40">
        <v>0</v>
      </c>
      <c r="AC208" s="52">
        <v>-736.60559999999998</v>
      </c>
      <c r="AD208" s="674">
        <v>26318.348240584972</v>
      </c>
      <c r="AE208" s="40">
        <v>26080.269181167339</v>
      </c>
      <c r="AF208" s="35">
        <v>-238.07905941763238</v>
      </c>
      <c r="AG208" s="77">
        <v>74267.00832810931</v>
      </c>
      <c r="AH208" s="53">
        <v>69604.930562517417</v>
      </c>
      <c r="AI208" s="52">
        <v>-4662.0777655918937</v>
      </c>
      <c r="AJ208" s="674">
        <v>82065.569681526118</v>
      </c>
      <c r="AK208" s="40">
        <v>81526.659405342813</v>
      </c>
      <c r="AL208" s="52">
        <v>-538.91027618330554</v>
      </c>
      <c r="AM208" s="674">
        <v>0</v>
      </c>
      <c r="AN208" s="40">
        <v>0</v>
      </c>
      <c r="AO208" s="52">
        <v>0</v>
      </c>
      <c r="AP208" s="674">
        <v>4856.5817037192819</v>
      </c>
      <c r="AQ208" s="40">
        <v>4179.0751637557059</v>
      </c>
      <c r="AR208" s="52">
        <v>-677.50653996357596</v>
      </c>
      <c r="AS208" s="674">
        <v>94058.953549572179</v>
      </c>
      <c r="AT208" s="40">
        <v>259888.50983041734</v>
      </c>
      <c r="AU208" s="54">
        <v>165829.55628084517</v>
      </c>
      <c r="AV208" s="674">
        <v>3785.2241472803203</v>
      </c>
      <c r="AW208" s="40">
        <v>0</v>
      </c>
      <c r="AX208" s="55">
        <v>-3785.2241472803203</v>
      </c>
      <c r="AY208" s="674">
        <v>4733.7188013404129</v>
      </c>
      <c r="AZ208" s="40">
        <v>4100.5200000000004</v>
      </c>
      <c r="BA208" s="35">
        <v>-633.1988013404125</v>
      </c>
      <c r="BB208" s="674">
        <v>3185.8964937560659</v>
      </c>
      <c r="BC208" s="40">
        <v>10518</v>
      </c>
      <c r="BD208" s="55">
        <v>7332.1035062439341</v>
      </c>
      <c r="BE208" s="674">
        <v>2829.1947337647216</v>
      </c>
      <c r="BF208" s="40">
        <v>484</v>
      </c>
      <c r="BG208" s="38">
        <v>-2345.1947337647216</v>
      </c>
      <c r="BH208" s="674">
        <v>1385.6021579763128</v>
      </c>
      <c r="BI208" s="40">
        <v>0</v>
      </c>
      <c r="BJ208" s="55">
        <v>-1385.6021579763128</v>
      </c>
      <c r="BK208" s="674">
        <v>2767.0404804327691</v>
      </c>
      <c r="BL208" s="40">
        <v>4700</v>
      </c>
      <c r="BM208" s="38">
        <v>1932.9595195672309</v>
      </c>
      <c r="BN208" s="674">
        <v>184.1514</v>
      </c>
      <c r="BO208" s="40">
        <v>595</v>
      </c>
      <c r="BP208" s="55">
        <v>410.84860000000003</v>
      </c>
      <c r="BQ208" s="77">
        <v>18870.828214550602</v>
      </c>
      <c r="BR208" s="40">
        <v>20397.52</v>
      </c>
      <c r="BS208" s="55">
        <v>1526.6917854493986</v>
      </c>
      <c r="BT208" s="674">
        <v>59569.601735688891</v>
      </c>
      <c r="BU208" s="40">
        <v>55520.610367481502</v>
      </c>
      <c r="BV208" s="52">
        <v>-4048.9913682073893</v>
      </c>
      <c r="BW208" s="674">
        <v>53276.182611796045</v>
      </c>
      <c r="BX208" s="40">
        <v>52149.634194775805</v>
      </c>
      <c r="BY208" s="52">
        <v>-1126.5484170202399</v>
      </c>
      <c r="BZ208" s="674">
        <v>7293.4877419364748</v>
      </c>
      <c r="CA208" s="40">
        <v>13028.097144786683</v>
      </c>
      <c r="CB208" s="52">
        <v>5734.6094028502084</v>
      </c>
      <c r="CC208" s="674">
        <v>1675.751544556801</v>
      </c>
      <c r="CD208" s="40">
        <v>1752.4588937814942</v>
      </c>
      <c r="CE208" s="52">
        <v>76.707349224693189</v>
      </c>
      <c r="CF208" s="674">
        <v>203.78915149787801</v>
      </c>
      <c r="CG208" s="40">
        <v>0</v>
      </c>
      <c r="CH208" s="52">
        <v>-203.78915149787801</v>
      </c>
      <c r="CI208" s="674">
        <v>12548.910646223285</v>
      </c>
      <c r="CJ208" s="40">
        <v>10707.286240498168</v>
      </c>
      <c r="CK208" s="52">
        <v>-1841.624405725117</v>
      </c>
      <c r="CL208" s="674">
        <v>14850.554403534445</v>
      </c>
      <c r="CM208" s="40">
        <v>16057.108100568505</v>
      </c>
      <c r="CN208" s="52">
        <v>1206.55369703406</v>
      </c>
      <c r="CO208" s="39">
        <v>27399.465049757731</v>
      </c>
      <c r="CP208" s="40">
        <v>26764.394341066672</v>
      </c>
      <c r="CQ208" s="52">
        <v>-635.07070869105883</v>
      </c>
      <c r="CR208" s="72">
        <v>423537.21931271139</v>
      </c>
      <c r="CS208" s="5">
        <v>584811.88990392559</v>
      </c>
      <c r="CT208" s="52">
        <v>161274.67059121421</v>
      </c>
      <c r="CU208" s="77">
        <v>508244.66317525366</v>
      </c>
      <c r="CV208" s="65">
        <v>701774.26788471069</v>
      </c>
      <c r="CW208" s="35">
        <v>193529.60470945702</v>
      </c>
      <c r="CX208" s="73">
        <v>9285.0607812221315</v>
      </c>
      <c r="CY208" s="40">
        <v>-184244.54392823478</v>
      </c>
      <c r="CZ208" s="52">
        <v>-193529.60470945691</v>
      </c>
      <c r="DA208" s="150">
        <v>162346.83819794984</v>
      </c>
      <c r="DB208" s="2">
        <v>3</v>
      </c>
      <c r="DC208" s="675">
        <v>115717.17</v>
      </c>
      <c r="DD208" s="675">
        <v>0</v>
      </c>
      <c r="DE208" s="675">
        <v>70350.772858701268</v>
      </c>
      <c r="DF208" s="675">
        <v>0</v>
      </c>
      <c r="DG208" s="321">
        <v>-31182.766511507099</v>
      </c>
      <c r="DH208" s="40">
        <v>517490.50846555491</v>
      </c>
      <c r="DI208" s="422">
        <v>45366.39714129873</v>
      </c>
      <c r="DJ208" s="306">
        <v>5.7650516342765643</v>
      </c>
      <c r="DK208" s="306">
        <v>7.5958284493054347</v>
      </c>
      <c r="DL208" s="306">
        <v>4.8092176637448931</v>
      </c>
      <c r="DM208" s="28">
        <v>45366.397141298723</v>
      </c>
      <c r="DN208" s="28">
        <v>0</v>
      </c>
      <c r="DO208" s="423">
        <v>45366.397141298723</v>
      </c>
      <c r="DP208" s="94">
        <v>0</v>
      </c>
      <c r="DQ208" s="28">
        <v>45366.397141298723</v>
      </c>
      <c r="DR208" s="318"/>
      <c r="DT208" s="8"/>
      <c r="DU208" s="5"/>
      <c r="DX208" s="5">
        <v>135515.73811694732</v>
      </c>
      <c r="DY208" s="5">
        <v>336343.23579650081</v>
      </c>
      <c r="DZ208" s="159">
        <v>12795.715528016381</v>
      </c>
      <c r="EB208" s="676">
        <v>5610.419364695088</v>
      </c>
      <c r="EC208" s="676">
        <v>11305.151086333033</v>
      </c>
      <c r="ED208" s="676">
        <v>-5974.600636086434</v>
      </c>
      <c r="EE208" s="676">
        <v>-13752.926958916374</v>
      </c>
      <c r="EF208" s="676">
        <v>-13888.478808122811</v>
      </c>
      <c r="EG208" s="676">
        <v>-13916.638047439938</v>
      </c>
      <c r="EH208" s="676">
        <v>666.65594453096855</v>
      </c>
      <c r="EI208" s="676">
        <v>-8963.2430632392134</v>
      </c>
      <c r="EJ208" s="676">
        <v>150569.03590941624</v>
      </c>
      <c r="EK208" s="676">
        <v>102158.87023795387</v>
      </c>
      <c r="EL208" s="676">
        <v>-9799.2769546514974</v>
      </c>
      <c r="EM208" s="676">
        <v>-10485.363365015997</v>
      </c>
      <c r="EN208" s="676">
        <v>193529.60470945694</v>
      </c>
      <c r="EQ208" s="5">
        <v>135515.73811694732</v>
      </c>
      <c r="ER208" s="5">
        <v>336343.23579650081</v>
      </c>
      <c r="ET208" s="318">
        <v>32171.821438521823</v>
      </c>
      <c r="EU208" s="5">
        <v>-83123.587950028916</v>
      </c>
    </row>
    <row r="209" spans="1:151" x14ac:dyDescent="0.3">
      <c r="A209" s="325">
        <v>150000695</v>
      </c>
      <c r="B209" s="41" t="s">
        <v>657</v>
      </c>
      <c r="C209" s="42" t="s">
        <v>373</v>
      </c>
      <c r="D209" s="27">
        <v>9</v>
      </c>
      <c r="E209" s="293">
        <v>6304.12</v>
      </c>
      <c r="F209" s="305">
        <v>6304.12</v>
      </c>
      <c r="G209" s="508">
        <v>695.2</v>
      </c>
      <c r="H209" s="677">
        <v>0</v>
      </c>
      <c r="I209" s="674">
        <v>21343.525157576412</v>
      </c>
      <c r="J209" s="40">
        <v>20411.649998693229</v>
      </c>
      <c r="K209" s="52">
        <v>-931.87515888318376</v>
      </c>
      <c r="L209" s="674">
        <v>3787.303836884174</v>
      </c>
      <c r="M209" s="40">
        <v>3619.4010116320155</v>
      </c>
      <c r="N209" s="52">
        <v>-167.90282525215844</v>
      </c>
      <c r="O209" s="674">
        <v>7742.5267722963908</v>
      </c>
      <c r="P209" s="40">
        <v>7743.2849999999999</v>
      </c>
      <c r="Q209" s="52">
        <v>0.75822770360900904</v>
      </c>
      <c r="R209" s="674">
        <v>1922.8267736693954</v>
      </c>
      <c r="S209" s="40">
        <v>1922.8099999999995</v>
      </c>
      <c r="T209" s="52">
        <v>-1.6773669395888646E-2</v>
      </c>
      <c r="U209" s="674">
        <v>1072.4056650520611</v>
      </c>
      <c r="V209" s="40">
        <v>728.23875918198814</v>
      </c>
      <c r="W209" s="52">
        <v>-344.16690587007292</v>
      </c>
      <c r="X209" s="674">
        <v>11468.868333956956</v>
      </c>
      <c r="Y209" s="40">
        <v>9306.9818123546847</v>
      </c>
      <c r="Z209" s="52">
        <v>-2161.8865216022714</v>
      </c>
      <c r="AA209" s="674">
        <v>756.51839999999993</v>
      </c>
      <c r="AB209" s="40">
        <v>0</v>
      </c>
      <c r="AC209" s="52">
        <v>-756.51839999999993</v>
      </c>
      <c r="AD209" s="674">
        <v>27029.164981639999</v>
      </c>
      <c r="AE209" s="40">
        <v>26784.740270481096</v>
      </c>
      <c r="AF209" s="35">
        <v>-244.42471115890294</v>
      </c>
      <c r="AG209" s="77">
        <v>75123.139921075388</v>
      </c>
      <c r="AH209" s="53">
        <v>70517.106852343015</v>
      </c>
      <c r="AI209" s="52">
        <v>-4606.0330687323731</v>
      </c>
      <c r="AJ209" s="674">
        <v>71086.249839800264</v>
      </c>
      <c r="AK209" s="40">
        <v>70619.429468209448</v>
      </c>
      <c r="AL209" s="52">
        <v>-466.82037159081665</v>
      </c>
      <c r="AM209" s="674">
        <v>315.2248275</v>
      </c>
      <c r="AN209" s="40">
        <v>262.08425285224394</v>
      </c>
      <c r="AO209" s="52">
        <v>-53.140574647756068</v>
      </c>
      <c r="AP209" s="674">
        <v>4856.5817037192819</v>
      </c>
      <c r="AQ209" s="40">
        <v>4161.8480168525221</v>
      </c>
      <c r="AR209" s="52">
        <v>-694.73368686675985</v>
      </c>
      <c r="AS209" s="674">
        <v>93271.046998855803</v>
      </c>
      <c r="AT209" s="40">
        <v>64317.955011862403</v>
      </c>
      <c r="AU209" s="54">
        <v>-28953.0919869934</v>
      </c>
      <c r="AV209" s="674">
        <v>3500.0365922411102</v>
      </c>
      <c r="AW209" s="40">
        <v>3016</v>
      </c>
      <c r="AX209" s="55">
        <v>-484.03659224111016</v>
      </c>
      <c r="AY209" s="674">
        <v>4129.4354841357554</v>
      </c>
      <c r="AZ209" s="40">
        <v>6267</v>
      </c>
      <c r="BA209" s="35">
        <v>2137.5645158642446</v>
      </c>
      <c r="BB209" s="674">
        <v>2792.465079589615</v>
      </c>
      <c r="BC209" s="40">
        <v>0</v>
      </c>
      <c r="BD209" s="55">
        <v>-2792.465079589615</v>
      </c>
      <c r="BE209" s="674">
        <v>2777.762189401808</v>
      </c>
      <c r="BF209" s="40">
        <v>542</v>
      </c>
      <c r="BG209" s="38">
        <v>-2235.762189401808</v>
      </c>
      <c r="BH209" s="674">
        <v>1296.5545270613377</v>
      </c>
      <c r="BI209" s="40">
        <v>15</v>
      </c>
      <c r="BJ209" s="55">
        <v>-1281.5545270613377</v>
      </c>
      <c r="BK209" s="674">
        <v>2592.5559224553144</v>
      </c>
      <c r="BL209" s="40">
        <v>0</v>
      </c>
      <c r="BM209" s="38">
        <v>-2592.5559224553144</v>
      </c>
      <c r="BN209" s="674">
        <v>189.12959999999998</v>
      </c>
      <c r="BO209" s="40">
        <v>0</v>
      </c>
      <c r="BP209" s="55">
        <v>-189.12959999999998</v>
      </c>
      <c r="BQ209" s="77">
        <v>17277.939394884939</v>
      </c>
      <c r="BR209" s="40">
        <v>9840</v>
      </c>
      <c r="BS209" s="55">
        <v>-7437.9393948849392</v>
      </c>
      <c r="BT209" s="674">
        <v>73390.631315196399</v>
      </c>
      <c r="BU209" s="40">
        <v>63959.787330748572</v>
      </c>
      <c r="BV209" s="52">
        <v>-9430.8439844478271</v>
      </c>
      <c r="BW209" s="674">
        <v>54982.521615051104</v>
      </c>
      <c r="BX209" s="40">
        <v>54128.129007842064</v>
      </c>
      <c r="BY209" s="52">
        <v>-854.39260720903985</v>
      </c>
      <c r="BZ209" s="674">
        <v>7278.3977778093131</v>
      </c>
      <c r="CA209" s="40">
        <v>16975.497680457862</v>
      </c>
      <c r="CB209" s="52">
        <v>9697.0999026485479</v>
      </c>
      <c r="CC209" s="674">
        <v>1675.8997129068009</v>
      </c>
      <c r="CD209" s="40">
        <v>1752.4588937814942</v>
      </c>
      <c r="CE209" s="52">
        <v>76.559180874693311</v>
      </c>
      <c r="CF209" s="674">
        <v>203.78915149787801</v>
      </c>
      <c r="CG209" s="40">
        <v>0</v>
      </c>
      <c r="CH209" s="52">
        <v>-203.78915149787801</v>
      </c>
      <c r="CI209" s="674">
        <v>19869.178616669087</v>
      </c>
      <c r="CJ209" s="40">
        <v>20923.244014216787</v>
      </c>
      <c r="CK209" s="52">
        <v>1054.0653975476998</v>
      </c>
      <c r="CL209" s="674">
        <v>29817.835515827974</v>
      </c>
      <c r="CM209" s="40">
        <v>31381.017346386136</v>
      </c>
      <c r="CN209" s="52">
        <v>1563.1818305581619</v>
      </c>
      <c r="CO209" s="39">
        <v>49687.014132497061</v>
      </c>
      <c r="CP209" s="40">
        <v>52304.261360602919</v>
      </c>
      <c r="CQ209" s="52">
        <v>2617.2472281058581</v>
      </c>
      <c r="CR209" s="72">
        <v>449148.43639079423</v>
      </c>
      <c r="CS209" s="5">
        <v>408838.55787555251</v>
      </c>
      <c r="CT209" s="52">
        <v>-40309.878515241726</v>
      </c>
      <c r="CU209" s="77">
        <v>538978.12366895308</v>
      </c>
      <c r="CV209" s="65">
        <v>490606.26945066301</v>
      </c>
      <c r="CW209" s="35">
        <v>-48371.854218290071</v>
      </c>
      <c r="CX209" s="73">
        <v>16293.845240858285</v>
      </c>
      <c r="CY209" s="40">
        <v>64665.699459148374</v>
      </c>
      <c r="CZ209" s="52">
        <v>48371.854218290086</v>
      </c>
      <c r="DA209" s="150">
        <v>-44531.246880763327</v>
      </c>
      <c r="DB209" s="2">
        <v>3</v>
      </c>
      <c r="DC209" s="675">
        <v>107481.05</v>
      </c>
      <c r="DD209" s="675">
        <v>0</v>
      </c>
      <c r="DE209" s="675">
        <v>58732.208400864954</v>
      </c>
      <c r="DF209" s="675">
        <v>0</v>
      </c>
      <c r="DG209" s="321">
        <v>3840.607337526777</v>
      </c>
      <c r="DH209" s="40">
        <v>555230.13255419291</v>
      </c>
      <c r="DI209" s="422">
        <v>48748.841599135048</v>
      </c>
      <c r="DJ209" s="306">
        <v>6.0501823572175848</v>
      </c>
      <c r="DK209" s="306">
        <v>7.9414138237659628</v>
      </c>
      <c r="DL209" s="306">
        <v>5.0750474729442931</v>
      </c>
      <c r="DM209" s="28">
        <v>48748.841599135048</v>
      </c>
      <c r="DN209" s="28">
        <v>0</v>
      </c>
      <c r="DO209" s="423">
        <v>48748.841599135048</v>
      </c>
      <c r="DP209" s="94">
        <v>0</v>
      </c>
      <c r="DQ209" s="28">
        <v>48748.841599135048</v>
      </c>
      <c r="DR209" s="318"/>
      <c r="DT209" s="8"/>
      <c r="DU209" s="5"/>
      <c r="DX209" s="5">
        <v>132658.78367248891</v>
      </c>
      <c r="DY209" s="5">
        <v>88989.546014234875</v>
      </c>
      <c r="DZ209" s="159">
        <v>12142.949222680611</v>
      </c>
      <c r="EB209" s="676">
        <v>-1145.6420145917073</v>
      </c>
      <c r="EC209" s="676">
        <v>-1124.9845653297234</v>
      </c>
      <c r="ED209" s="676">
        <v>-5108.0171839239774</v>
      </c>
      <c r="EE209" s="676">
        <v>-16824.997093366805</v>
      </c>
      <c r="EF209" s="676">
        <v>-7812.2190593357591</v>
      </c>
      <c r="EG209" s="676">
        <v>-11712.943809706172</v>
      </c>
      <c r="EH209" s="676">
        <v>-17231.70724520275</v>
      </c>
      <c r="EI209" s="676">
        <v>-1049.6318218066226</v>
      </c>
      <c r="EJ209" s="676">
        <v>-4362.5750192723644</v>
      </c>
      <c r="EK209" s="676">
        <v>26306.498635679745</v>
      </c>
      <c r="EL209" s="676">
        <v>-8097.3759678848583</v>
      </c>
      <c r="EM209" s="676">
        <v>-208.2590735491176</v>
      </c>
      <c r="EN209" s="676">
        <v>-48371.854218290107</v>
      </c>
      <c r="EQ209" s="5">
        <v>132658.78367248891</v>
      </c>
      <c r="ER209" s="5">
        <v>88989.546014234875</v>
      </c>
      <c r="ET209" s="318">
        <v>-81198.156659971399</v>
      </c>
      <c r="EU209" s="5">
        <v>-13874.236002501802</v>
      </c>
    </row>
    <row r="210" spans="1:151" x14ac:dyDescent="0.3">
      <c r="A210" s="325">
        <v>150000698</v>
      </c>
      <c r="B210" s="41" t="s">
        <v>658</v>
      </c>
      <c r="C210" s="42" t="s">
        <v>121</v>
      </c>
      <c r="D210" s="27">
        <v>1</v>
      </c>
      <c r="E210" s="293">
        <v>180</v>
      </c>
      <c r="F210" s="305">
        <v>180</v>
      </c>
      <c r="G210" s="508">
        <v>0</v>
      </c>
      <c r="H210" s="677">
        <v>0</v>
      </c>
      <c r="I210" s="674">
        <v>0</v>
      </c>
      <c r="J210" s="40">
        <v>0</v>
      </c>
      <c r="K210" s="52">
        <v>0</v>
      </c>
      <c r="L210" s="674">
        <v>0</v>
      </c>
      <c r="M210" s="40">
        <v>0</v>
      </c>
      <c r="N210" s="52">
        <v>0</v>
      </c>
      <c r="O210" s="674">
        <v>0</v>
      </c>
      <c r="P210" s="40">
        <v>0</v>
      </c>
      <c r="Q210" s="52">
        <v>0</v>
      </c>
      <c r="R210" s="674">
        <v>0</v>
      </c>
      <c r="S210" s="40">
        <v>0</v>
      </c>
      <c r="T210" s="52">
        <v>0</v>
      </c>
      <c r="U210" s="674">
        <v>0</v>
      </c>
      <c r="V210" s="40">
        <v>0</v>
      </c>
      <c r="W210" s="52">
        <v>0</v>
      </c>
      <c r="X210" s="674">
        <v>0</v>
      </c>
      <c r="Y210" s="40">
        <v>0</v>
      </c>
      <c r="Z210" s="52">
        <v>0</v>
      </c>
      <c r="AA210" s="674">
        <v>21.6</v>
      </c>
      <c r="AB210" s="40">
        <v>0</v>
      </c>
      <c r="AC210" s="52">
        <v>-21.6</v>
      </c>
      <c r="AD210" s="674">
        <v>162.19553692667907</v>
      </c>
      <c r="AE210" s="40">
        <v>657.13232681443276</v>
      </c>
      <c r="AF210" s="35">
        <v>494.93678988775366</v>
      </c>
      <c r="AG210" s="77">
        <v>183.79553692667906</v>
      </c>
      <c r="AH210" s="53">
        <v>657.13232681443276</v>
      </c>
      <c r="AI210" s="52">
        <v>473.3367898877537</v>
      </c>
      <c r="AJ210" s="674">
        <v>0</v>
      </c>
      <c r="AK210" s="40">
        <v>0</v>
      </c>
      <c r="AL210" s="52">
        <v>0</v>
      </c>
      <c r="AM210" s="674">
        <v>0</v>
      </c>
      <c r="AN210" s="40">
        <v>0</v>
      </c>
      <c r="AO210" s="52">
        <v>0</v>
      </c>
      <c r="AP210" s="674">
        <v>148.3061416709258</v>
      </c>
      <c r="AQ210" s="40">
        <v>149.58816640996957</v>
      </c>
      <c r="AR210" s="52">
        <v>1.2820247390437771</v>
      </c>
      <c r="AS210" s="674">
        <v>1757.3060592179263</v>
      </c>
      <c r="AT210" s="40">
        <v>0</v>
      </c>
      <c r="AU210" s="54">
        <v>-1757.3060592179263</v>
      </c>
      <c r="AV210" s="674">
        <v>0</v>
      </c>
      <c r="AW210" s="40">
        <v>0</v>
      </c>
      <c r="AX210" s="55">
        <v>0</v>
      </c>
      <c r="AY210" s="674">
        <v>0</v>
      </c>
      <c r="AZ210" s="40">
        <v>0</v>
      </c>
      <c r="BA210" s="35">
        <v>0</v>
      </c>
      <c r="BB210" s="674">
        <v>0</v>
      </c>
      <c r="BC210" s="40">
        <v>0</v>
      </c>
      <c r="BD210" s="55">
        <v>0</v>
      </c>
      <c r="BE210" s="674">
        <v>0</v>
      </c>
      <c r="BF210" s="40">
        <v>0</v>
      </c>
      <c r="BG210" s="38">
        <v>0</v>
      </c>
      <c r="BH210" s="674">
        <v>0</v>
      </c>
      <c r="BI210" s="40">
        <v>0</v>
      </c>
      <c r="BJ210" s="55">
        <v>0</v>
      </c>
      <c r="BK210" s="674">
        <v>0</v>
      </c>
      <c r="BL210" s="40">
        <v>0</v>
      </c>
      <c r="BM210" s="38">
        <v>0</v>
      </c>
      <c r="BN210" s="674">
        <v>5.4</v>
      </c>
      <c r="BO210" s="40">
        <v>0</v>
      </c>
      <c r="BP210" s="55">
        <v>-5.4</v>
      </c>
      <c r="BQ210" s="77">
        <v>5.4</v>
      </c>
      <c r="BR210" s="40">
        <v>0</v>
      </c>
      <c r="BS210" s="55">
        <v>-5.4</v>
      </c>
      <c r="BT210" s="674">
        <v>167.48907527938255</v>
      </c>
      <c r="BU210" s="40">
        <v>259.87759904731467</v>
      </c>
      <c r="BV210" s="52">
        <v>92.388523767932128</v>
      </c>
      <c r="BW210" s="674">
        <v>0</v>
      </c>
      <c r="BX210" s="40">
        <v>3.3657784348956543</v>
      </c>
      <c r="BY210" s="52">
        <v>3.3657784348956543</v>
      </c>
      <c r="BZ210" s="674">
        <v>0</v>
      </c>
      <c r="CA210" s="40">
        <v>15.847538173107122</v>
      </c>
      <c r="CB210" s="52">
        <v>15.847538173107122</v>
      </c>
      <c r="CC210" s="674">
        <v>0</v>
      </c>
      <c r="CD210" s="40">
        <v>0</v>
      </c>
      <c r="CE210" s="52">
        <v>0</v>
      </c>
      <c r="CF210" s="674">
        <v>0</v>
      </c>
      <c r="CG210" s="40">
        <v>0</v>
      </c>
      <c r="CH210" s="52">
        <v>0</v>
      </c>
      <c r="CI210" s="674">
        <v>0</v>
      </c>
      <c r="CJ210" s="40">
        <v>0</v>
      </c>
      <c r="CK210" s="52">
        <v>0</v>
      </c>
      <c r="CL210" s="674">
        <v>0</v>
      </c>
      <c r="CM210" s="40">
        <v>0</v>
      </c>
      <c r="CN210" s="52">
        <v>0</v>
      </c>
      <c r="CO210" s="39">
        <v>0</v>
      </c>
      <c r="CP210" s="40">
        <v>0</v>
      </c>
      <c r="CQ210" s="52">
        <v>0</v>
      </c>
      <c r="CR210" s="72">
        <v>2262.2968130949139</v>
      </c>
      <c r="CS210" s="5">
        <v>1085.8114088797199</v>
      </c>
      <c r="CT210" s="52">
        <v>-1176.485404215194</v>
      </c>
      <c r="CU210" s="77">
        <v>2714.7561757138965</v>
      </c>
      <c r="CV210" s="65">
        <v>1302.9736906556639</v>
      </c>
      <c r="CW210" s="35">
        <v>-1411.7824850582326</v>
      </c>
      <c r="CX210" s="73">
        <v>85.186996245397992</v>
      </c>
      <c r="CY210" s="40">
        <v>1496.9694813036306</v>
      </c>
      <c r="CZ210" s="52">
        <v>1411.7824850582326</v>
      </c>
      <c r="DA210" s="150">
        <v>-7105.5550471735478</v>
      </c>
      <c r="DB210" s="2">
        <v>3</v>
      </c>
      <c r="DC210" s="675">
        <v>5043.63</v>
      </c>
      <c r="DD210" s="675">
        <v>0</v>
      </c>
      <c r="DE210" s="675">
        <v>5043.63</v>
      </c>
      <c r="DF210" s="675">
        <v>0</v>
      </c>
      <c r="DG210" s="321">
        <v>-5693.7725621153149</v>
      </c>
      <c r="DH210" s="40">
        <v>3395.15589196974</v>
      </c>
      <c r="DI210" s="422">
        <v>297.73484973120827</v>
      </c>
      <c r="DJ210" s="306">
        <v>1.6540824985067126</v>
      </c>
      <c r="DK210" s="306">
        <v>1.6540824985067126</v>
      </c>
      <c r="DL210" s="306">
        <v>1.6540824985067126</v>
      </c>
      <c r="DM210" s="28">
        <v>297.73484973120827</v>
      </c>
      <c r="DN210" s="28">
        <v>0</v>
      </c>
      <c r="DO210" s="423">
        <v>297.73484973120827</v>
      </c>
      <c r="DP210" s="94">
        <v>0</v>
      </c>
      <c r="DQ210" s="28">
        <v>297.73484973120827</v>
      </c>
      <c r="DR210" s="318"/>
      <c r="DT210" s="8"/>
      <c r="DU210" s="5"/>
      <c r="DX210" s="5">
        <v>2115.2472710615116</v>
      </c>
      <c r="DY210" s="5">
        <v>0</v>
      </c>
      <c r="DZ210" s="159">
        <v>242.82025836509808</v>
      </c>
      <c r="EB210" s="676">
        <v>-22.130083701538354</v>
      </c>
      <c r="EC210" s="676">
        <v>-130.35296342507036</v>
      </c>
      <c r="ED210" s="676">
        <v>-127.09378196761453</v>
      </c>
      <c r="EE210" s="676">
        <v>-236.33717671825627</v>
      </c>
      <c r="EF210" s="676">
        <v>-172.87677188954308</v>
      </c>
      <c r="EG210" s="676">
        <v>-177.38646550518229</v>
      </c>
      <c r="EH210" s="676">
        <v>-90.067790935506366</v>
      </c>
      <c r="EI210" s="676">
        <v>-145.6165086048922</v>
      </c>
      <c r="EJ210" s="676">
        <v>-174.51084470100696</v>
      </c>
      <c r="EK210" s="676">
        <v>-135.41009760962223</v>
      </c>
      <c r="EL210" s="676">
        <v>0</v>
      </c>
      <c r="EM210" s="676">
        <v>0</v>
      </c>
      <c r="EN210" s="676">
        <v>-1411.7824850582326</v>
      </c>
      <c r="EQ210" s="5">
        <v>2115.2472710615116</v>
      </c>
      <c r="ER210" s="5">
        <v>0</v>
      </c>
      <c r="ET210" s="318">
        <v>-1482.1027136260425</v>
      </c>
      <c r="EU210" s="5">
        <v>-1360.6698484892736</v>
      </c>
    </row>
    <row r="211" spans="1:151" x14ac:dyDescent="0.3">
      <c r="A211" s="325">
        <v>150000699</v>
      </c>
      <c r="B211" s="41" t="s">
        <v>659</v>
      </c>
      <c r="C211" s="42" t="s">
        <v>374</v>
      </c>
      <c r="D211" s="27">
        <v>9</v>
      </c>
      <c r="E211" s="293">
        <v>4191.3999999999996</v>
      </c>
      <c r="F211" s="305">
        <v>4191.3999999999996</v>
      </c>
      <c r="G211" s="508">
        <v>468.7</v>
      </c>
      <c r="H211" s="677">
        <v>0</v>
      </c>
      <c r="I211" s="674">
        <v>12734.581891454796</v>
      </c>
      <c r="J211" s="40">
        <v>12154.55486447319</v>
      </c>
      <c r="K211" s="52">
        <v>-580.02702698160647</v>
      </c>
      <c r="L211" s="674">
        <v>1709.1463561652661</v>
      </c>
      <c r="M211" s="40">
        <v>1633.3439538899961</v>
      </c>
      <c r="N211" s="52">
        <v>-75.802402275269969</v>
      </c>
      <c r="O211" s="674">
        <v>5189.3894928311647</v>
      </c>
      <c r="P211" s="40">
        <v>5191.1200000000008</v>
      </c>
      <c r="Q211" s="52">
        <v>1.730507168836084</v>
      </c>
      <c r="R211" s="674">
        <v>1248.7458314297598</v>
      </c>
      <c r="S211" s="40">
        <v>1249.8000000000002</v>
      </c>
      <c r="T211" s="52">
        <v>1.0541685702403356</v>
      </c>
      <c r="U211" s="674">
        <v>714.84307937464087</v>
      </c>
      <c r="V211" s="40">
        <v>485.42495703916586</v>
      </c>
      <c r="W211" s="52">
        <v>-229.418122335475</v>
      </c>
      <c r="X211" s="674">
        <v>5574.9337287749913</v>
      </c>
      <c r="Y211" s="40">
        <v>4597.3789582823701</v>
      </c>
      <c r="Z211" s="52">
        <v>-977.55477049262117</v>
      </c>
      <c r="AA211" s="674">
        <v>502.87200000000007</v>
      </c>
      <c r="AB211" s="40">
        <v>0</v>
      </c>
      <c r="AC211" s="52">
        <v>-502.87200000000007</v>
      </c>
      <c r="AD211" s="674">
        <v>17969.802868743336</v>
      </c>
      <c r="AE211" s="40">
        <v>17807.94876341596</v>
      </c>
      <c r="AF211" s="35">
        <v>-161.8541053273766</v>
      </c>
      <c r="AG211" s="77">
        <v>45644.315248773957</v>
      </c>
      <c r="AH211" s="53">
        <v>43119.571497100682</v>
      </c>
      <c r="AI211" s="52">
        <v>-2524.7437516732753</v>
      </c>
      <c r="AJ211" s="674">
        <v>11909.735001539048</v>
      </c>
      <c r="AK211" s="40">
        <v>11831.539966438959</v>
      </c>
      <c r="AL211" s="52">
        <v>-78.195035100088717</v>
      </c>
      <c r="AM211" s="674">
        <v>315.2248275</v>
      </c>
      <c r="AN211" s="40">
        <v>0</v>
      </c>
      <c r="AO211" s="52">
        <v>-315.2248275</v>
      </c>
      <c r="AP211" s="674">
        <v>7689.5876975555302</v>
      </c>
      <c r="AQ211" s="40">
        <v>6332.3384389981584</v>
      </c>
      <c r="AR211" s="52">
        <v>-1357.2492585573718</v>
      </c>
      <c r="AS211" s="674">
        <v>51207.876178746439</v>
      </c>
      <c r="AT211" s="40">
        <v>26819.686881292142</v>
      </c>
      <c r="AU211" s="54">
        <v>-24388.189297454297</v>
      </c>
      <c r="AV211" s="674">
        <v>2002.2277879533867</v>
      </c>
      <c r="AW211" s="40">
        <v>240</v>
      </c>
      <c r="AX211" s="55">
        <v>-1762.2277879533867</v>
      </c>
      <c r="AY211" s="674">
        <v>1987.9469021599032</v>
      </c>
      <c r="AZ211" s="40">
        <v>3574</v>
      </c>
      <c r="BA211" s="35">
        <v>1586.0530978400968</v>
      </c>
      <c r="BB211" s="674">
        <v>2087.9309056707752</v>
      </c>
      <c r="BC211" s="40">
        <v>7232</v>
      </c>
      <c r="BD211" s="55">
        <v>5144.0690943292248</v>
      </c>
      <c r="BE211" s="674">
        <v>1972.9489398585372</v>
      </c>
      <c r="BF211" s="40">
        <v>9506</v>
      </c>
      <c r="BG211" s="38">
        <v>7533.0510601414626</v>
      </c>
      <c r="BH211" s="674">
        <v>923.71373565197098</v>
      </c>
      <c r="BI211" s="40">
        <v>0</v>
      </c>
      <c r="BJ211" s="55">
        <v>-923.71373565197098</v>
      </c>
      <c r="BK211" s="674">
        <v>1283.9652602884621</v>
      </c>
      <c r="BL211" s="40">
        <v>5719</v>
      </c>
      <c r="BM211" s="38">
        <v>4435.0347397115384</v>
      </c>
      <c r="BN211" s="674">
        <v>125.71800000000002</v>
      </c>
      <c r="BO211" s="40">
        <v>0</v>
      </c>
      <c r="BP211" s="55">
        <v>-125.71800000000002</v>
      </c>
      <c r="BQ211" s="77">
        <v>10384.451531583036</v>
      </c>
      <c r="BR211" s="40">
        <v>26271</v>
      </c>
      <c r="BS211" s="55">
        <v>15886.548468416964</v>
      </c>
      <c r="BT211" s="674">
        <v>42818.042323444883</v>
      </c>
      <c r="BU211" s="40">
        <v>38448.192063215043</v>
      </c>
      <c r="BV211" s="52">
        <v>-4369.8502602298395</v>
      </c>
      <c r="BW211" s="674">
        <v>49608.485984297651</v>
      </c>
      <c r="BX211" s="40">
        <v>44444.306378441237</v>
      </c>
      <c r="BY211" s="52">
        <v>-5164.1796058564141</v>
      </c>
      <c r="BZ211" s="674">
        <v>5985.9281905380376</v>
      </c>
      <c r="CA211" s="40">
        <v>7350.5121041269958</v>
      </c>
      <c r="CB211" s="52">
        <v>1364.5839135889582</v>
      </c>
      <c r="CC211" s="674">
        <v>1644.3523261443966</v>
      </c>
      <c r="CD211" s="40">
        <v>1723.2512455518029</v>
      </c>
      <c r="CE211" s="52">
        <v>78.898919407406311</v>
      </c>
      <c r="CF211" s="674">
        <v>200.39266563957995</v>
      </c>
      <c r="CG211" s="40">
        <v>0</v>
      </c>
      <c r="CH211" s="52">
        <v>-200.39266563957995</v>
      </c>
      <c r="CI211" s="674">
        <v>22026.706788995296</v>
      </c>
      <c r="CJ211" s="40">
        <v>21928.466081564129</v>
      </c>
      <c r="CK211" s="52">
        <v>-98.240707431166811</v>
      </c>
      <c r="CL211" s="674">
        <v>8587.766816185238</v>
      </c>
      <c r="CM211" s="40">
        <v>7574.9791829232981</v>
      </c>
      <c r="CN211" s="52">
        <v>-1012.7876332619398</v>
      </c>
      <c r="CO211" s="39">
        <v>30614.473605180534</v>
      </c>
      <c r="CP211" s="40">
        <v>29503.445264487425</v>
      </c>
      <c r="CQ211" s="52">
        <v>-1111.0283406931085</v>
      </c>
      <c r="CR211" s="72">
        <v>258022.86558094312</v>
      </c>
      <c r="CS211" s="5">
        <v>235843.84383965243</v>
      </c>
      <c r="CT211" s="52">
        <v>-22179.021741290693</v>
      </c>
      <c r="CU211" s="77">
        <v>309627.43869713176</v>
      </c>
      <c r="CV211" s="65">
        <v>283012.61260758288</v>
      </c>
      <c r="CW211" s="35">
        <v>-26614.826089548878</v>
      </c>
      <c r="CX211" s="73">
        <v>6927.990301083325</v>
      </c>
      <c r="CY211" s="40">
        <v>33542.816390632099</v>
      </c>
      <c r="CZ211" s="52">
        <v>26614.826089548773</v>
      </c>
      <c r="DA211" s="150">
        <v>255569.00776069402</v>
      </c>
      <c r="DB211" s="2">
        <v>3</v>
      </c>
      <c r="DC211" s="675">
        <v>73810.98</v>
      </c>
      <c r="DD211" s="675">
        <v>0</v>
      </c>
      <c r="DE211" s="675">
        <v>46164.109809098343</v>
      </c>
      <c r="DF211" s="675">
        <v>0</v>
      </c>
      <c r="DG211" s="321">
        <v>282183.83385024278</v>
      </c>
      <c r="DH211" s="40">
        <v>316531.11192419578</v>
      </c>
      <c r="DI211" s="422">
        <v>27646.870190901649</v>
      </c>
      <c r="DJ211" s="306">
        <v>6.0879806508452941</v>
      </c>
      <c r="DK211" s="306">
        <v>6.6600676014318809</v>
      </c>
      <c r="DL211" s="306">
        <v>4.7380400447763327</v>
      </c>
      <c r="DM211" s="28">
        <v>27646.870190901653</v>
      </c>
      <c r="DN211" s="28">
        <v>0</v>
      </c>
      <c r="DO211" s="423">
        <v>27646.870190901653</v>
      </c>
      <c r="DP211" s="94">
        <v>0</v>
      </c>
      <c r="DQ211" s="28">
        <v>27646.870190901653</v>
      </c>
      <c r="DR211" s="318"/>
      <c r="DT211" s="8"/>
      <c r="DU211" s="5"/>
      <c r="DX211" s="5">
        <v>73910.793252395364</v>
      </c>
      <c r="DY211" s="5">
        <v>63708.824257550572</v>
      </c>
      <c r="DZ211" s="159">
        <v>6580.3179024072224</v>
      </c>
      <c r="EB211" s="676">
        <v>-1990.3391892638538</v>
      </c>
      <c r="EC211" s="676">
        <v>-2539.0422465848569</v>
      </c>
      <c r="ED211" s="676">
        <v>-1989.6206181661801</v>
      </c>
      <c r="EE211" s="676">
        <v>-2037.0974536891263</v>
      </c>
      <c r="EF211" s="676">
        <v>-4230.7840194598029</v>
      </c>
      <c r="EG211" s="676">
        <v>-9517.6589782066912</v>
      </c>
      <c r="EH211" s="676">
        <v>-1248.1615868403751</v>
      </c>
      <c r="EI211" s="676">
        <v>2516.4621773442559</v>
      </c>
      <c r="EJ211" s="676">
        <v>-2993.3953455603332</v>
      </c>
      <c r="EK211" s="676">
        <v>-198.80651832728836</v>
      </c>
      <c r="EL211" s="676">
        <v>5009.5363177045001</v>
      </c>
      <c r="EM211" s="676">
        <v>-7395.918628499021</v>
      </c>
      <c r="EN211" s="676">
        <v>-26614.826089548773</v>
      </c>
      <c r="EQ211" s="5">
        <v>73910.793252395364</v>
      </c>
      <c r="ER211" s="5">
        <v>63708.824257550572</v>
      </c>
      <c r="ET211" s="318">
        <v>28166.977420953233</v>
      </c>
      <c r="EU211" s="5">
        <v>16773.856429289524</v>
      </c>
    </row>
    <row r="212" spans="1:151" x14ac:dyDescent="0.3">
      <c r="A212" s="325">
        <v>150000928</v>
      </c>
      <c r="B212" s="41" t="s">
        <v>660</v>
      </c>
      <c r="C212" s="42" t="s">
        <v>170</v>
      </c>
      <c r="D212" s="27">
        <v>2</v>
      </c>
      <c r="E212" s="293">
        <v>479.2</v>
      </c>
      <c r="F212" s="305">
        <v>234.6</v>
      </c>
      <c r="G212" s="508">
        <v>0</v>
      </c>
      <c r="H212" s="677">
        <v>244.6</v>
      </c>
      <c r="I212" s="674">
        <v>2462.43058225001</v>
      </c>
      <c r="J212" s="40">
        <v>2633.5296159179843</v>
      </c>
      <c r="K212" s="52">
        <v>171.09903366797425</v>
      </c>
      <c r="L212" s="674">
        <v>552.91309044323873</v>
      </c>
      <c r="M212" s="40">
        <v>605.18623670511488</v>
      </c>
      <c r="N212" s="52">
        <v>52.27314626187615</v>
      </c>
      <c r="O212" s="674">
        <v>619.81041653624004</v>
      </c>
      <c r="P212" s="40">
        <v>619.79999999999995</v>
      </c>
      <c r="Q212" s="52">
        <v>-1.0416536240086316E-2</v>
      </c>
      <c r="R212" s="674">
        <v>0</v>
      </c>
      <c r="S212" s="40">
        <v>0</v>
      </c>
      <c r="T212" s="52">
        <v>0</v>
      </c>
      <c r="U212" s="674">
        <v>0</v>
      </c>
      <c r="V212" s="40">
        <v>0</v>
      </c>
      <c r="W212" s="52">
        <v>0</v>
      </c>
      <c r="X212" s="674">
        <v>1093.0156879687715</v>
      </c>
      <c r="Y212" s="40">
        <v>937.75149827659277</v>
      </c>
      <c r="Z212" s="52">
        <v>-155.26418969217877</v>
      </c>
      <c r="AA212" s="674">
        <v>57.671999999999997</v>
      </c>
      <c r="AB212" s="40">
        <v>0</v>
      </c>
      <c r="AC212" s="52">
        <v>-57.671999999999997</v>
      </c>
      <c r="AD212" s="674">
        <v>2045.0997812904147</v>
      </c>
      <c r="AE212" s="40">
        <v>2035.987506738812</v>
      </c>
      <c r="AF212" s="35">
        <v>-9.1122745516026953</v>
      </c>
      <c r="AG212" s="77">
        <v>6830.9415584886738</v>
      </c>
      <c r="AH212" s="53">
        <v>6832.2548576385034</v>
      </c>
      <c r="AI212" s="52">
        <v>1.3132991498296178</v>
      </c>
      <c r="AJ212" s="674">
        <v>0</v>
      </c>
      <c r="AK212" s="40">
        <v>0</v>
      </c>
      <c r="AL212" s="52">
        <v>0</v>
      </c>
      <c r="AM212" s="674">
        <v>0</v>
      </c>
      <c r="AN212" s="40">
        <v>0</v>
      </c>
      <c r="AO212" s="52">
        <v>0</v>
      </c>
      <c r="AP212" s="674">
        <v>674.52523662767817</v>
      </c>
      <c r="AQ212" s="40">
        <v>848.00812475527096</v>
      </c>
      <c r="AR212" s="52">
        <v>173.48288812759279</v>
      </c>
      <c r="AS212" s="674">
        <v>5824.6097320074605</v>
      </c>
      <c r="AT212" s="40">
        <v>2527</v>
      </c>
      <c r="AU212" s="54">
        <v>-3297.6097320074605</v>
      </c>
      <c r="AV212" s="674">
        <v>659.30840719161461</v>
      </c>
      <c r="AW212" s="40">
        <v>0</v>
      </c>
      <c r="AX212" s="55">
        <v>-659.30840719161461</v>
      </c>
      <c r="AY212" s="674">
        <v>906.55099147810085</v>
      </c>
      <c r="AZ212" s="40">
        <v>0</v>
      </c>
      <c r="BA212" s="35">
        <v>-906.55099147810085</v>
      </c>
      <c r="BB212" s="674">
        <v>268.17409367390701</v>
      </c>
      <c r="BC212" s="40">
        <v>0</v>
      </c>
      <c r="BD212" s="55">
        <v>-268.17409367390701</v>
      </c>
      <c r="BE212" s="674">
        <v>0</v>
      </c>
      <c r="BF212" s="40">
        <v>0</v>
      </c>
      <c r="BG212" s="38">
        <v>0</v>
      </c>
      <c r="BH212" s="674">
        <v>0</v>
      </c>
      <c r="BI212" s="40">
        <v>0</v>
      </c>
      <c r="BJ212" s="55">
        <v>0</v>
      </c>
      <c r="BK212" s="674">
        <v>110.09829986336118</v>
      </c>
      <c r="BL212" s="40">
        <v>704</v>
      </c>
      <c r="BM212" s="38">
        <v>593.90170013663885</v>
      </c>
      <c r="BN212" s="674">
        <v>14.417999999999999</v>
      </c>
      <c r="BO212" s="40">
        <v>0</v>
      </c>
      <c r="BP212" s="55">
        <v>-14.417999999999999</v>
      </c>
      <c r="BQ212" s="77">
        <v>1958.5497922069837</v>
      </c>
      <c r="BR212" s="40">
        <v>704</v>
      </c>
      <c r="BS212" s="55">
        <v>-1254.5497922069837</v>
      </c>
      <c r="BT212" s="674">
        <v>5925.4869576440688</v>
      </c>
      <c r="BU212" s="40">
        <v>6251.8167293889383</v>
      </c>
      <c r="BV212" s="52">
        <v>326.3297717448695</v>
      </c>
      <c r="BW212" s="674">
        <v>2626.5140657170141</v>
      </c>
      <c r="BX212" s="40">
        <v>2869.0168829479098</v>
      </c>
      <c r="BY212" s="52">
        <v>242.50281723089574</v>
      </c>
      <c r="BZ212" s="674">
        <v>1918.0094048845738</v>
      </c>
      <c r="CA212" s="40">
        <v>1519.9385295361617</v>
      </c>
      <c r="CB212" s="52">
        <v>-398.07087534841207</v>
      </c>
      <c r="CC212" s="674">
        <v>0</v>
      </c>
      <c r="CD212" s="40">
        <v>0</v>
      </c>
      <c r="CE212" s="52">
        <v>0</v>
      </c>
      <c r="CF212" s="674">
        <v>0</v>
      </c>
      <c r="CG212" s="40">
        <v>0</v>
      </c>
      <c r="CH212" s="52">
        <v>0</v>
      </c>
      <c r="CI212" s="674">
        <v>1201.7971941447049</v>
      </c>
      <c r="CJ212" s="40">
        <v>1239.555355469884</v>
      </c>
      <c r="CK212" s="52">
        <v>37.758161325179117</v>
      </c>
      <c r="CL212" s="674">
        <v>0</v>
      </c>
      <c r="CM212" s="40">
        <v>0</v>
      </c>
      <c r="CN212" s="52">
        <v>0</v>
      </c>
      <c r="CO212" s="39">
        <v>1201.7971941447049</v>
      </c>
      <c r="CP212" s="40">
        <v>1239.555355469884</v>
      </c>
      <c r="CQ212" s="52">
        <v>37.758161325179117</v>
      </c>
      <c r="CR212" s="72">
        <v>26960.433941721159</v>
      </c>
      <c r="CS212" s="5">
        <v>22791.590479736671</v>
      </c>
      <c r="CT212" s="52">
        <v>-4168.8434619844884</v>
      </c>
      <c r="CU212" s="77">
        <v>32352.520730065389</v>
      </c>
      <c r="CV212" s="65">
        <v>27349.908575684003</v>
      </c>
      <c r="CW212" s="35">
        <v>-5002.6121543813861</v>
      </c>
      <c r="CX212" s="73">
        <v>727.77470420065583</v>
      </c>
      <c r="CY212" s="40">
        <v>5730.386858582041</v>
      </c>
      <c r="CZ212" s="52">
        <v>5002.6121543813852</v>
      </c>
      <c r="DA212" s="150">
        <v>16313.003271724141</v>
      </c>
      <c r="DB212" s="2">
        <v>2</v>
      </c>
      <c r="DC212" s="675">
        <v>1552.89</v>
      </c>
      <c r="DD212" s="675">
        <v>4410.1499999999996</v>
      </c>
      <c r="DE212" s="675">
        <v>-3.7626824132530601E-4</v>
      </c>
      <c r="DF212" s="675">
        <v>3086.6123177478876</v>
      </c>
      <c r="DG212" s="321">
        <v>21315.615426105527</v>
      </c>
      <c r="DH212" s="40">
        <v>33077.71327159366</v>
      </c>
      <c r="DI212" s="422">
        <v>2876.4280585203533</v>
      </c>
      <c r="DJ212" s="306">
        <v>6.6193110667870476</v>
      </c>
      <c r="DK212" s="306">
        <v>6.6193110667870476</v>
      </c>
      <c r="DL212" s="306">
        <v>5.4110289544240073</v>
      </c>
      <c r="DM212" s="28">
        <v>1552.8903762682414</v>
      </c>
      <c r="DN212" s="28">
        <v>1323.5376822521121</v>
      </c>
      <c r="DO212" s="423">
        <v>2876.4280585203533</v>
      </c>
      <c r="DP212" s="94">
        <v>0</v>
      </c>
      <c r="DQ212" s="28">
        <v>2876.4280585203533</v>
      </c>
      <c r="DR212" s="318"/>
      <c r="DT212" s="8"/>
      <c r="DU212" s="5"/>
      <c r="DX212" s="5">
        <v>9339.7914290573317</v>
      </c>
      <c r="DY212" s="5">
        <v>3877.2</v>
      </c>
      <c r="DZ212" s="159">
        <v>798.28519547616702</v>
      </c>
      <c r="EB212" s="676">
        <v>-334.47045920645087</v>
      </c>
      <c r="EC212" s="676">
        <v>-571.42465039813646</v>
      </c>
      <c r="ED212" s="676">
        <v>-390.70748296831266</v>
      </c>
      <c r="EE212" s="676">
        <v>-406.87665949730626</v>
      </c>
      <c r="EF212" s="676">
        <v>-1478.6441853697602</v>
      </c>
      <c r="EG212" s="676">
        <v>-615.26832360011758</v>
      </c>
      <c r="EH212" s="676">
        <v>165.49896727553823</v>
      </c>
      <c r="EI212" s="676">
        <v>-1133.6518849984395</v>
      </c>
      <c r="EJ212" s="676">
        <v>-570.00001822989952</v>
      </c>
      <c r="EK212" s="676">
        <v>2182.1370486499227</v>
      </c>
      <c r="EL212" s="676">
        <v>-710.28286009176418</v>
      </c>
      <c r="EM212" s="676">
        <v>-1138.9216459466581</v>
      </c>
      <c r="EN212" s="676">
        <v>-5002.6121543813852</v>
      </c>
      <c r="EQ212" s="5">
        <v>9339.7914290573317</v>
      </c>
      <c r="ER212" s="5">
        <v>3877.2</v>
      </c>
      <c r="ET212" s="318">
        <v>-8602.6693348218014</v>
      </c>
      <c r="EU212" s="5">
        <v>8796.2847609273304</v>
      </c>
    </row>
    <row r="213" spans="1:151" x14ac:dyDescent="0.3">
      <c r="A213" s="325">
        <v>150000951</v>
      </c>
      <c r="B213" s="41" t="s">
        <v>661</v>
      </c>
      <c r="C213" s="42" t="s">
        <v>171</v>
      </c>
      <c r="D213" s="27">
        <v>1</v>
      </c>
      <c r="E213" s="293">
        <v>553.20000000000005</v>
      </c>
      <c r="F213" s="305">
        <v>553.20000000000005</v>
      </c>
      <c r="G213" s="508">
        <v>0</v>
      </c>
      <c r="H213" s="677">
        <v>0</v>
      </c>
      <c r="I213" s="674">
        <v>0</v>
      </c>
      <c r="J213" s="40">
        <v>72.725667326104841</v>
      </c>
      <c r="K213" s="52">
        <v>72.725667326104841</v>
      </c>
      <c r="L213" s="674">
        <v>0</v>
      </c>
      <c r="M213" s="40">
        <v>0</v>
      </c>
      <c r="N213" s="52">
        <v>0</v>
      </c>
      <c r="O213" s="674">
        <v>0</v>
      </c>
      <c r="P213" s="40">
        <v>0</v>
      </c>
      <c r="Q213" s="52">
        <v>0</v>
      </c>
      <c r="R213" s="674">
        <v>0</v>
      </c>
      <c r="S213" s="40">
        <v>0</v>
      </c>
      <c r="T213" s="52">
        <v>0</v>
      </c>
      <c r="U213" s="674">
        <v>0</v>
      </c>
      <c r="V213" s="40">
        <v>0</v>
      </c>
      <c r="W213" s="52">
        <v>0</v>
      </c>
      <c r="X213" s="674">
        <v>1014.0626371503421</v>
      </c>
      <c r="Y213" s="40">
        <v>766.25467561064033</v>
      </c>
      <c r="Z213" s="52">
        <v>-247.80796153970175</v>
      </c>
      <c r="AA213" s="674">
        <v>66.384000000000015</v>
      </c>
      <c r="AB213" s="40">
        <v>0</v>
      </c>
      <c r="AC213" s="52">
        <v>-66.384000000000015</v>
      </c>
      <c r="AD213" s="674">
        <v>2305.4885192834636</v>
      </c>
      <c r="AE213" s="40">
        <v>2350.3929230549061</v>
      </c>
      <c r="AF213" s="35">
        <v>44.904403771442503</v>
      </c>
      <c r="AG213" s="77">
        <v>3385.9351564338058</v>
      </c>
      <c r="AH213" s="53">
        <v>3189.3732659916514</v>
      </c>
      <c r="AI213" s="52">
        <v>-196.56189044215444</v>
      </c>
      <c r="AJ213" s="674">
        <v>0</v>
      </c>
      <c r="AK213" s="40">
        <v>0</v>
      </c>
      <c r="AL213" s="52">
        <v>0</v>
      </c>
      <c r="AM213" s="674">
        <v>0</v>
      </c>
      <c r="AN213" s="40">
        <v>0</v>
      </c>
      <c r="AO213" s="52">
        <v>0</v>
      </c>
      <c r="AP213" s="674">
        <v>989.30368038726112</v>
      </c>
      <c r="AQ213" s="40">
        <v>414.72541611014958</v>
      </c>
      <c r="AR213" s="52">
        <v>-574.57826427711154</v>
      </c>
      <c r="AS213" s="674">
        <v>4640.0366546454788</v>
      </c>
      <c r="AT213" s="40">
        <v>1681</v>
      </c>
      <c r="AU213" s="54">
        <v>-2959.0366546454788</v>
      </c>
      <c r="AV213" s="674">
        <v>0</v>
      </c>
      <c r="AW213" s="40">
        <v>0</v>
      </c>
      <c r="AX213" s="55">
        <v>0</v>
      </c>
      <c r="AY213" s="674">
        <v>0</v>
      </c>
      <c r="AZ213" s="40">
        <v>0</v>
      </c>
      <c r="BA213" s="35">
        <v>0</v>
      </c>
      <c r="BB213" s="674">
        <v>0</v>
      </c>
      <c r="BC213" s="40">
        <v>0</v>
      </c>
      <c r="BD213" s="55">
        <v>0</v>
      </c>
      <c r="BE213" s="674">
        <v>0</v>
      </c>
      <c r="BF213" s="40">
        <v>0</v>
      </c>
      <c r="BG213" s="38">
        <v>0</v>
      </c>
      <c r="BH213" s="674">
        <v>0</v>
      </c>
      <c r="BI213" s="40">
        <v>0</v>
      </c>
      <c r="BJ213" s="55">
        <v>0</v>
      </c>
      <c r="BK213" s="674">
        <v>78.832358227167092</v>
      </c>
      <c r="BL213" s="40">
        <v>0</v>
      </c>
      <c r="BM213" s="38">
        <v>-78.832358227167092</v>
      </c>
      <c r="BN213" s="674">
        <v>104.69622474349049</v>
      </c>
      <c r="BO213" s="40">
        <v>0</v>
      </c>
      <c r="BP213" s="55">
        <v>-104.69622474349049</v>
      </c>
      <c r="BQ213" s="77">
        <v>183.52858297065757</v>
      </c>
      <c r="BR213" s="40">
        <v>0</v>
      </c>
      <c r="BS213" s="55">
        <v>-183.52858297065757</v>
      </c>
      <c r="BT213" s="674">
        <v>0</v>
      </c>
      <c r="BU213" s="40">
        <v>0</v>
      </c>
      <c r="BV213" s="52">
        <v>0</v>
      </c>
      <c r="BW213" s="674">
        <v>0</v>
      </c>
      <c r="BX213" s="40">
        <v>14.984999872707986</v>
      </c>
      <c r="BY213" s="52">
        <v>14.984999872707986</v>
      </c>
      <c r="BZ213" s="674">
        <v>0</v>
      </c>
      <c r="CA213" s="40">
        <v>0</v>
      </c>
      <c r="CB213" s="52">
        <v>0</v>
      </c>
      <c r="CC213" s="674">
        <v>0</v>
      </c>
      <c r="CD213" s="40">
        <v>0</v>
      </c>
      <c r="CE213" s="52">
        <v>0</v>
      </c>
      <c r="CF213" s="674">
        <v>0</v>
      </c>
      <c r="CG213" s="40">
        <v>0</v>
      </c>
      <c r="CH213" s="52">
        <v>0</v>
      </c>
      <c r="CI213" s="674">
        <v>0</v>
      </c>
      <c r="CJ213" s="40">
        <v>1.5408937592838248</v>
      </c>
      <c r="CK213" s="52">
        <v>1.5408937592838248</v>
      </c>
      <c r="CL213" s="674">
        <v>0</v>
      </c>
      <c r="CM213" s="40">
        <v>0</v>
      </c>
      <c r="CN213" s="52">
        <v>0</v>
      </c>
      <c r="CO213" s="39">
        <v>0</v>
      </c>
      <c r="CP213" s="40">
        <v>1.5408937592838248</v>
      </c>
      <c r="CQ213" s="52">
        <v>1.5408937592838248</v>
      </c>
      <c r="CR213" s="72">
        <v>9198.8040744372029</v>
      </c>
      <c r="CS213" s="5">
        <v>5301.6245757337929</v>
      </c>
      <c r="CT213" s="52">
        <v>-3897.17949870341</v>
      </c>
      <c r="CU213" s="77">
        <v>11038.564889324643</v>
      </c>
      <c r="CV213" s="65">
        <v>6361.9494908805509</v>
      </c>
      <c r="CW213" s="35">
        <v>-4676.6153984440925</v>
      </c>
      <c r="CX213" s="73">
        <v>333.76189497586711</v>
      </c>
      <c r="CY213" s="40">
        <v>5010.3772934199587</v>
      </c>
      <c r="CZ213" s="52">
        <v>4676.6153984440916</v>
      </c>
      <c r="DA213" s="150">
        <v>-10973.221076588221</v>
      </c>
      <c r="DB213" s="2">
        <v>1</v>
      </c>
      <c r="DC213" s="675">
        <v>1126.74</v>
      </c>
      <c r="DD213" s="675">
        <v>0</v>
      </c>
      <c r="DE213" s="675">
        <v>128.5841069005578</v>
      </c>
      <c r="DF213" s="675">
        <v>0</v>
      </c>
      <c r="DG213" s="321">
        <v>-6296.6056781441293</v>
      </c>
      <c r="DH213" s="40">
        <v>11371.469135542724</v>
      </c>
      <c r="DI213" s="422">
        <v>998.15589309944232</v>
      </c>
      <c r="DJ213" s="306">
        <v>1.8043309708955932</v>
      </c>
      <c r="DK213" s="306">
        <v>1.8043309708955932</v>
      </c>
      <c r="DL213" s="306">
        <v>1.8043309708955932</v>
      </c>
      <c r="DM213" s="28">
        <v>998.15589309944221</v>
      </c>
      <c r="DN213" s="28">
        <v>0</v>
      </c>
      <c r="DO213" s="423">
        <v>998.15589309944221</v>
      </c>
      <c r="DP213" s="94">
        <v>0</v>
      </c>
      <c r="DQ213" s="28">
        <v>998.15589309944221</v>
      </c>
      <c r="DR213" s="318"/>
      <c r="DT213" s="8"/>
      <c r="DU213" s="5"/>
      <c r="DX213" s="5">
        <v>5788.2782851393631</v>
      </c>
      <c r="DY213" s="5">
        <v>2017.1999999999998</v>
      </c>
      <c r="DZ213" s="159">
        <v>522.79154848600888</v>
      </c>
      <c r="EB213" s="676">
        <v>-305.76653838202253</v>
      </c>
      <c r="EC213" s="676">
        <v>-373.08828930049771</v>
      </c>
      <c r="ED213" s="676">
        <v>1629.561981077728</v>
      </c>
      <c r="EE213" s="676">
        <v>-744.85835331344265</v>
      </c>
      <c r="EF213" s="676">
        <v>-720.60021177040244</v>
      </c>
      <c r="EG213" s="676">
        <v>-211.35012065457465</v>
      </c>
      <c r="EH213" s="676">
        <v>-713.69695622420136</v>
      </c>
      <c r="EI213" s="676">
        <v>-539.35956993319428</v>
      </c>
      <c r="EJ213" s="676">
        <v>-705.11368473463335</v>
      </c>
      <c r="EK213" s="676">
        <v>-596.81651108645531</v>
      </c>
      <c r="EL213" s="676">
        <v>-683.04798927546233</v>
      </c>
      <c r="EM213" s="676">
        <v>-712.47915484693294</v>
      </c>
      <c r="EN213" s="676">
        <v>-4676.6153984440916</v>
      </c>
      <c r="EQ213" s="5">
        <v>5788.2782851393631</v>
      </c>
      <c r="ER213" s="5">
        <v>2017.1999999999998</v>
      </c>
      <c r="ET213" s="318">
        <v>-4287.1458211325034</v>
      </c>
      <c r="EU213" s="5">
        <v>-2885.459857011625</v>
      </c>
    </row>
    <row r="214" spans="1:151" x14ac:dyDescent="0.3">
      <c r="A214" s="325">
        <v>150000954</v>
      </c>
      <c r="B214" s="41" t="s">
        <v>662</v>
      </c>
      <c r="C214" s="42" t="s">
        <v>172</v>
      </c>
      <c r="D214" s="27">
        <v>2</v>
      </c>
      <c r="E214" s="293">
        <v>358.84</v>
      </c>
      <c r="F214" s="305">
        <v>358.84</v>
      </c>
      <c r="G214" s="508">
        <v>0</v>
      </c>
      <c r="H214" s="677">
        <v>0</v>
      </c>
      <c r="I214" s="674">
        <v>1172.6494882344166</v>
      </c>
      <c r="J214" s="40">
        <v>968.42850730871965</v>
      </c>
      <c r="K214" s="52">
        <v>-204.22098092569695</v>
      </c>
      <c r="L214" s="674">
        <v>237.91381760316224</v>
      </c>
      <c r="M214" s="40">
        <v>189.64040037995161</v>
      </c>
      <c r="N214" s="52">
        <v>-48.273417223210629</v>
      </c>
      <c r="O214" s="674">
        <v>511.17479847562515</v>
      </c>
      <c r="P214" s="40">
        <v>511.11999999999989</v>
      </c>
      <c r="Q214" s="52">
        <v>-5.4798475625261744E-2</v>
      </c>
      <c r="R214" s="674">
        <v>0</v>
      </c>
      <c r="S214" s="40">
        <v>0</v>
      </c>
      <c r="T214" s="52">
        <v>0</v>
      </c>
      <c r="U214" s="674">
        <v>0</v>
      </c>
      <c r="V214" s="40">
        <v>0</v>
      </c>
      <c r="W214" s="52">
        <v>0</v>
      </c>
      <c r="X214" s="674">
        <v>812.9516852525627</v>
      </c>
      <c r="Y214" s="40">
        <v>516.08282088830811</v>
      </c>
      <c r="Z214" s="52">
        <v>-296.86886436425459</v>
      </c>
      <c r="AA214" s="674">
        <v>43.0608</v>
      </c>
      <c r="AB214" s="40">
        <v>0</v>
      </c>
      <c r="AC214" s="52">
        <v>-43.0608</v>
      </c>
      <c r="AD214" s="674">
        <v>1538.5435601498016</v>
      </c>
      <c r="AE214" s="40">
        <v>1524.6113458225275</v>
      </c>
      <c r="AF214" s="35">
        <v>-13.932214327274096</v>
      </c>
      <c r="AG214" s="77">
        <v>4316.294149715568</v>
      </c>
      <c r="AH214" s="53">
        <v>3709.8830743995068</v>
      </c>
      <c r="AI214" s="52">
        <v>-606.41107531606121</v>
      </c>
      <c r="AJ214" s="674">
        <v>0</v>
      </c>
      <c r="AK214" s="40">
        <v>0</v>
      </c>
      <c r="AL214" s="52">
        <v>0</v>
      </c>
      <c r="AM214" s="674">
        <v>0</v>
      </c>
      <c r="AN214" s="40">
        <v>0</v>
      </c>
      <c r="AO214" s="52">
        <v>0</v>
      </c>
      <c r="AP214" s="674">
        <v>719.49358573618974</v>
      </c>
      <c r="AQ214" s="40">
        <v>628.93447059811626</v>
      </c>
      <c r="AR214" s="52">
        <v>-90.55911513807348</v>
      </c>
      <c r="AS214" s="674">
        <v>6131.9602947271014</v>
      </c>
      <c r="AT214" s="40">
        <v>657</v>
      </c>
      <c r="AU214" s="54">
        <v>-5474.9602947271014</v>
      </c>
      <c r="AV214" s="674">
        <v>325.4845133868202</v>
      </c>
      <c r="AW214" s="40">
        <v>0</v>
      </c>
      <c r="AX214" s="55">
        <v>-325.4845133868202</v>
      </c>
      <c r="AY214" s="674">
        <v>390.03171851946962</v>
      </c>
      <c r="AZ214" s="40">
        <v>6.5</v>
      </c>
      <c r="BA214" s="35">
        <v>-383.53171851946962</v>
      </c>
      <c r="BB214" s="674">
        <v>221.6531282609744</v>
      </c>
      <c r="BC214" s="40">
        <v>0</v>
      </c>
      <c r="BD214" s="55">
        <v>-221.6531282609744</v>
      </c>
      <c r="BE214" s="674">
        <v>0</v>
      </c>
      <c r="BF214" s="40">
        <v>820</v>
      </c>
      <c r="BG214" s="38">
        <v>820</v>
      </c>
      <c r="BH214" s="674">
        <v>0</v>
      </c>
      <c r="BI214" s="40">
        <v>0</v>
      </c>
      <c r="BJ214" s="55">
        <v>0</v>
      </c>
      <c r="BK214" s="674">
        <v>230.0091300632414</v>
      </c>
      <c r="BL214" s="40">
        <v>0</v>
      </c>
      <c r="BM214" s="38">
        <v>-230.0091300632414</v>
      </c>
      <c r="BN214" s="674">
        <v>155.04303146868628</v>
      </c>
      <c r="BO214" s="40">
        <v>0</v>
      </c>
      <c r="BP214" s="55">
        <v>-155.04303146868628</v>
      </c>
      <c r="BQ214" s="77">
        <v>1322.221521699192</v>
      </c>
      <c r="BR214" s="40">
        <v>826.5</v>
      </c>
      <c r="BS214" s="55">
        <v>-495.72152169919195</v>
      </c>
      <c r="BT214" s="674">
        <v>0</v>
      </c>
      <c r="BU214" s="40">
        <v>0</v>
      </c>
      <c r="BV214" s="52">
        <v>0</v>
      </c>
      <c r="BW214" s="674">
        <v>161.04699739934793</v>
      </c>
      <c r="BX214" s="40">
        <v>686.20828670293542</v>
      </c>
      <c r="BY214" s="52">
        <v>525.16128930358752</v>
      </c>
      <c r="BZ214" s="674">
        <v>0</v>
      </c>
      <c r="CA214" s="40">
        <v>0</v>
      </c>
      <c r="CB214" s="52">
        <v>0</v>
      </c>
      <c r="CC214" s="674">
        <v>0</v>
      </c>
      <c r="CD214" s="40">
        <v>0</v>
      </c>
      <c r="CE214" s="52">
        <v>0</v>
      </c>
      <c r="CF214" s="674">
        <v>0</v>
      </c>
      <c r="CG214" s="40">
        <v>0</v>
      </c>
      <c r="CH214" s="52">
        <v>0</v>
      </c>
      <c r="CI214" s="674">
        <v>1678.2646186131292</v>
      </c>
      <c r="CJ214" s="40">
        <v>387.11157995103849</v>
      </c>
      <c r="CK214" s="52">
        <v>-1291.1530386620907</v>
      </c>
      <c r="CL214" s="674">
        <v>0</v>
      </c>
      <c r="CM214" s="40">
        <v>0</v>
      </c>
      <c r="CN214" s="52">
        <v>0</v>
      </c>
      <c r="CO214" s="39">
        <v>1678.2646186131292</v>
      </c>
      <c r="CP214" s="40">
        <v>387.11157995103849</v>
      </c>
      <c r="CQ214" s="52">
        <v>-1291.1530386620907</v>
      </c>
      <c r="CR214" s="72">
        <v>14329.281167890529</v>
      </c>
      <c r="CS214" s="5">
        <v>6895.6374116515981</v>
      </c>
      <c r="CT214" s="52">
        <v>-7433.643756238931</v>
      </c>
      <c r="CU214" s="77">
        <v>17195.137401468633</v>
      </c>
      <c r="CV214" s="65">
        <v>8274.7648939819173</v>
      </c>
      <c r="CW214" s="35">
        <v>-8920.3725074867161</v>
      </c>
      <c r="CX214" s="73">
        <v>525.65298593677187</v>
      </c>
      <c r="CY214" s="40">
        <v>9446.025493423489</v>
      </c>
      <c r="CZ214" s="52">
        <v>8920.372507486718</v>
      </c>
      <c r="DA214" s="150">
        <v>2430.4093663839685</v>
      </c>
      <c r="DB214" s="2">
        <v>1</v>
      </c>
      <c r="DC214" s="675">
        <v>4967.7</v>
      </c>
      <c r="DD214" s="675">
        <v>0</v>
      </c>
      <c r="DE214" s="675">
        <v>3438.5674190093296</v>
      </c>
      <c r="DF214" s="675">
        <v>0</v>
      </c>
      <c r="DG214" s="321">
        <v>11350.781873870686</v>
      </c>
      <c r="DH214" s="40">
        <v>17719.36920937883</v>
      </c>
      <c r="DI214" s="422">
        <v>1529.13258099067</v>
      </c>
      <c r="DJ214" s="306">
        <v>4.2613214273511044</v>
      </c>
      <c r="DK214" s="306">
        <v>4.2613214273511044</v>
      </c>
      <c r="DL214" s="306">
        <v>4.1999855776374595</v>
      </c>
      <c r="DM214" s="28">
        <v>1529.1325809906702</v>
      </c>
      <c r="DN214" s="28">
        <v>0</v>
      </c>
      <c r="DO214" s="423">
        <v>1529.1325809906702</v>
      </c>
      <c r="DP214" s="94">
        <v>0</v>
      </c>
      <c r="DQ214" s="28">
        <v>1529.1325809906702</v>
      </c>
      <c r="DR214" s="318"/>
      <c r="DT214" s="8"/>
      <c r="DU214" s="5"/>
      <c r="DX214" s="5">
        <v>8945.0181797115511</v>
      </c>
      <c r="DY214" s="5">
        <v>1780.2</v>
      </c>
      <c r="DZ214" s="159">
        <v>866.33297311847502</v>
      </c>
      <c r="EB214" s="676">
        <v>-419.67830488510526</v>
      </c>
      <c r="EC214" s="676">
        <v>-767.68342544369875</v>
      </c>
      <c r="ED214" s="676">
        <v>-823.6859733520705</v>
      </c>
      <c r="EE214" s="676">
        <v>-368.23695534479748</v>
      </c>
      <c r="EF214" s="676">
        <v>-1153.5425564607872</v>
      </c>
      <c r="EG214" s="676">
        <v>-313.80179879313596</v>
      </c>
      <c r="EH214" s="676">
        <v>-1149.3228134784665</v>
      </c>
      <c r="EI214" s="676">
        <v>-994.83017611352852</v>
      </c>
      <c r="EJ214" s="676">
        <v>-1086.3189002083132</v>
      </c>
      <c r="EK214" s="676">
        <v>-1020.8388883687757</v>
      </c>
      <c r="EL214" s="676">
        <v>-1077.0436780111181</v>
      </c>
      <c r="EM214" s="676">
        <v>254.6109629730804</v>
      </c>
      <c r="EN214" s="676">
        <v>-8920.372507486718</v>
      </c>
      <c r="EQ214" s="5">
        <v>8945.0181797115511</v>
      </c>
      <c r="ER214" s="5">
        <v>1780.2</v>
      </c>
      <c r="ET214" s="318">
        <v>-7224.7730740050856</v>
      </c>
      <c r="EU214" s="5">
        <v>-7806.4450521242297</v>
      </c>
    </row>
    <row r="215" spans="1:151" x14ac:dyDescent="0.3">
      <c r="A215" s="325">
        <v>150000929</v>
      </c>
      <c r="B215" s="41" t="s">
        <v>1041</v>
      </c>
      <c r="C215" s="42" t="s">
        <v>1034</v>
      </c>
      <c r="D215" s="27">
        <v>2</v>
      </c>
      <c r="E215" s="293">
        <v>488.8</v>
      </c>
      <c r="F215" s="305">
        <v>170.2</v>
      </c>
      <c r="G215" s="508">
        <v>0</v>
      </c>
      <c r="H215" s="677">
        <v>318.60000000000002</v>
      </c>
      <c r="I215" s="674">
        <v>2567.9839031149609</v>
      </c>
      <c r="J215" s="40">
        <v>2742.5124859099524</v>
      </c>
      <c r="K215" s="52">
        <v>174.52858279499151</v>
      </c>
      <c r="L215" s="674">
        <v>552.91550441077834</v>
      </c>
      <c r="M215" s="40">
        <v>605.18623670511488</v>
      </c>
      <c r="N215" s="52">
        <v>52.27073229433654</v>
      </c>
      <c r="O215" s="674">
        <v>0</v>
      </c>
      <c r="P215" s="40">
        <v>0</v>
      </c>
      <c r="Q215" s="52">
        <v>0</v>
      </c>
      <c r="R215" s="674">
        <v>0</v>
      </c>
      <c r="S215" s="40">
        <v>0</v>
      </c>
      <c r="T215" s="52">
        <v>0</v>
      </c>
      <c r="U215" s="674">
        <v>0</v>
      </c>
      <c r="V215" s="40">
        <v>0</v>
      </c>
      <c r="W215" s="52">
        <v>0</v>
      </c>
      <c r="X215" s="674">
        <v>1093.0026848644909</v>
      </c>
      <c r="Y215" s="40">
        <v>781.03545870141727</v>
      </c>
      <c r="Z215" s="52">
        <v>-311.96722616307363</v>
      </c>
      <c r="AA215" s="674">
        <v>58.650000000000006</v>
      </c>
      <c r="AB215" s="40">
        <v>0</v>
      </c>
      <c r="AC215" s="52">
        <v>-58.650000000000006</v>
      </c>
      <c r="AD215" s="674">
        <v>2018.1198400725957</v>
      </c>
      <c r="AE215" s="40">
        <v>2076.7752364230623</v>
      </c>
      <c r="AF215" s="35">
        <v>58.655396350466617</v>
      </c>
      <c r="AG215" s="77">
        <v>6290.6719324628248</v>
      </c>
      <c r="AH215" s="53">
        <v>6205.5094177395476</v>
      </c>
      <c r="AI215" s="52">
        <v>-85.162514723277127</v>
      </c>
      <c r="AJ215" s="674">
        <v>0</v>
      </c>
      <c r="AK215" s="40">
        <v>0</v>
      </c>
      <c r="AL215" s="52">
        <v>0</v>
      </c>
      <c r="AM215" s="674">
        <v>0</v>
      </c>
      <c r="AN215" s="40">
        <v>0</v>
      </c>
      <c r="AO215" s="52">
        <v>0</v>
      </c>
      <c r="AP215" s="674">
        <v>300.16896965107122</v>
      </c>
      <c r="AQ215" s="40">
        <v>336.57337442243158</v>
      </c>
      <c r="AR215" s="52">
        <v>36.404404771360362</v>
      </c>
      <c r="AS215" s="674">
        <v>7492.2886176987058</v>
      </c>
      <c r="AT215" s="40">
        <v>2386.6811997647155</v>
      </c>
      <c r="AU215" s="54">
        <v>-5105.6074179339903</v>
      </c>
      <c r="AV215" s="674">
        <v>743.23933669362179</v>
      </c>
      <c r="AW215" s="40">
        <v>0</v>
      </c>
      <c r="AX215" s="55">
        <v>-743.23933669362179</v>
      </c>
      <c r="AY215" s="674">
        <v>906.56257002395705</v>
      </c>
      <c r="AZ215" s="40">
        <v>0</v>
      </c>
      <c r="BA215" s="35">
        <v>-906.56257002395705</v>
      </c>
      <c r="BB215" s="674">
        <v>0</v>
      </c>
      <c r="BC215" s="40">
        <v>0</v>
      </c>
      <c r="BD215" s="55">
        <v>0</v>
      </c>
      <c r="BE215" s="674">
        <v>0</v>
      </c>
      <c r="BF215" s="40">
        <v>0</v>
      </c>
      <c r="BG215" s="38">
        <v>0</v>
      </c>
      <c r="BH215" s="674">
        <v>0</v>
      </c>
      <c r="BI215" s="40">
        <v>0</v>
      </c>
      <c r="BJ215" s="55">
        <v>0</v>
      </c>
      <c r="BK215" s="674">
        <v>110.0907468688774</v>
      </c>
      <c r="BL215" s="40">
        <v>703</v>
      </c>
      <c r="BM215" s="38">
        <v>592.90925313112257</v>
      </c>
      <c r="BN215" s="674">
        <v>14.669999999999998</v>
      </c>
      <c r="BO215" s="40">
        <v>0</v>
      </c>
      <c r="BP215" s="55">
        <v>-14.669999999999998</v>
      </c>
      <c r="BQ215" s="77">
        <v>1774.5626535864562</v>
      </c>
      <c r="BR215" s="40">
        <v>703</v>
      </c>
      <c r="BS215" s="55">
        <v>-1071.5626535864562</v>
      </c>
      <c r="BT215" s="674">
        <v>6914.3057419752749</v>
      </c>
      <c r="BU215" s="40">
        <v>6836.0319910077415</v>
      </c>
      <c r="BV215" s="52">
        <v>-78.273750967533488</v>
      </c>
      <c r="BW215" s="674">
        <v>1768.2397358793114</v>
      </c>
      <c r="BX215" s="40">
        <v>2079.6647525445346</v>
      </c>
      <c r="BY215" s="52">
        <v>311.42501666522321</v>
      </c>
      <c r="BZ215" s="674">
        <v>1697.9821806891032</v>
      </c>
      <c r="CA215" s="40">
        <v>1706.9803801104858</v>
      </c>
      <c r="CB215" s="52">
        <v>8.9981994213826511</v>
      </c>
      <c r="CC215" s="674">
        <v>0</v>
      </c>
      <c r="CD215" s="40">
        <v>0</v>
      </c>
      <c r="CE215" s="52">
        <v>0</v>
      </c>
      <c r="CF215" s="674">
        <v>0</v>
      </c>
      <c r="CG215" s="40">
        <v>0</v>
      </c>
      <c r="CH215" s="52">
        <v>0</v>
      </c>
      <c r="CI215" s="674">
        <v>257.0888632973647</v>
      </c>
      <c r="CJ215" s="40">
        <v>210.09520464439385</v>
      </c>
      <c r="CK215" s="52">
        <v>-46.993658652970851</v>
      </c>
      <c r="CL215" s="674">
        <v>0</v>
      </c>
      <c r="CM215" s="40">
        <v>0</v>
      </c>
      <c r="CN215" s="52">
        <v>0</v>
      </c>
      <c r="CO215" s="39">
        <v>257.0888632973647</v>
      </c>
      <c r="CP215" s="40">
        <v>210.09520464439385</v>
      </c>
      <c r="CQ215" s="52">
        <v>-46.993658652970851</v>
      </c>
      <c r="CR215" s="72">
        <v>26495.308695240114</v>
      </c>
      <c r="CS215" s="5">
        <v>20464.536320233849</v>
      </c>
      <c r="CT215" s="52">
        <v>-6030.7723750062651</v>
      </c>
      <c r="CU215" s="77">
        <v>31794.370434288136</v>
      </c>
      <c r="CV215" s="65">
        <v>24557.443584280616</v>
      </c>
      <c r="CW215" s="35">
        <v>-7236.9268500075195</v>
      </c>
      <c r="CX215" s="73">
        <v>333.93723305618664</v>
      </c>
      <c r="CY215" s="40">
        <v>7570.8640830637041</v>
      </c>
      <c r="CZ215" s="52">
        <v>7236.9268500075177</v>
      </c>
      <c r="DA215" s="150">
        <v>7789.8326884263906</v>
      </c>
      <c r="DB215" s="2">
        <v>2</v>
      </c>
      <c r="DC215" s="675">
        <v>22747.46</v>
      </c>
      <c r="DD215" s="675">
        <v>2703.36</v>
      </c>
      <c r="DE215" s="675">
        <v>21643.473878946803</v>
      </c>
      <c r="DF215" s="675">
        <v>1010.6302950211812</v>
      </c>
      <c r="DG215" s="321">
        <v>15026.759538433907</v>
      </c>
      <c r="DH215" s="40">
        <v>32125.809720524983</v>
      </c>
      <c r="DI215" s="422">
        <v>2796.7158260320152</v>
      </c>
      <c r="DJ215" s="306">
        <v>6.4864049415581411</v>
      </c>
      <c r="DK215" s="306">
        <v>6.4864049415581411</v>
      </c>
      <c r="DL215" s="306">
        <v>5.3130248116096013</v>
      </c>
      <c r="DM215" s="28">
        <v>1103.9861210531956</v>
      </c>
      <c r="DN215" s="28">
        <v>1692.729704978819</v>
      </c>
      <c r="DO215" s="423">
        <v>2796.7158260320148</v>
      </c>
      <c r="DP215" s="94">
        <v>0</v>
      </c>
      <c r="DQ215" s="28">
        <v>2796.7158260320148</v>
      </c>
      <c r="DR215" s="318"/>
      <c r="DT215" s="8"/>
      <c r="DU215" s="5"/>
      <c r="DX215" s="5">
        <v>11120.221525542194</v>
      </c>
      <c r="DY215" s="5">
        <v>3707.6174397176583</v>
      </c>
      <c r="DZ215" s="159">
        <v>953.57216950468796</v>
      </c>
      <c r="EB215" s="676">
        <v>-207.44598571836559</v>
      </c>
      <c r="EC215" s="676">
        <v>-471.81075298266887</v>
      </c>
      <c r="ED215" s="676">
        <v>-630.62135538561006</v>
      </c>
      <c r="EE215" s="676">
        <v>-819.9961107873969</v>
      </c>
      <c r="EF215" s="676">
        <v>-1207.965448378792</v>
      </c>
      <c r="EG215" s="676">
        <v>-1110.0710979204543</v>
      </c>
      <c r="EH215" s="676">
        <v>-273.15462722038501</v>
      </c>
      <c r="EI215" s="676">
        <v>-971.92650231504058</v>
      </c>
      <c r="EJ215" s="676">
        <v>-1227.6641723910145</v>
      </c>
      <c r="EK215" s="676">
        <v>1488.782867128029</v>
      </c>
      <c r="EL215" s="676">
        <v>-640.17224663290881</v>
      </c>
      <c r="EM215" s="676">
        <v>-1164.881417402911</v>
      </c>
      <c r="EN215" s="676">
        <v>-7236.9268500075168</v>
      </c>
      <c r="EQ215" s="5">
        <v>11120.221525542194</v>
      </c>
      <c r="ER215" s="5">
        <v>3707.6174397176583</v>
      </c>
      <c r="ET215" s="318">
        <v>-5858.8777082768293</v>
      </c>
      <c r="EU215" s="5">
        <v>30775.637246710736</v>
      </c>
    </row>
    <row r="216" spans="1:151" x14ac:dyDescent="0.3">
      <c r="A216" s="325">
        <v>150000930</v>
      </c>
      <c r="B216" s="41" t="s">
        <v>663</v>
      </c>
      <c r="C216" s="42" t="s">
        <v>173</v>
      </c>
      <c r="D216" s="27">
        <v>2</v>
      </c>
      <c r="E216" s="293">
        <v>327.9</v>
      </c>
      <c r="F216" s="305">
        <v>239.5</v>
      </c>
      <c r="G216" s="508">
        <v>0</v>
      </c>
      <c r="H216" s="677">
        <v>88.4</v>
      </c>
      <c r="I216" s="674">
        <v>996.68541859649781</v>
      </c>
      <c r="J216" s="40">
        <v>1112.0878633592208</v>
      </c>
      <c r="K216" s="52">
        <v>115.40244476272301</v>
      </c>
      <c r="L216" s="674">
        <v>334.46661218923902</v>
      </c>
      <c r="M216" s="40">
        <v>366.08876003634532</v>
      </c>
      <c r="N216" s="52">
        <v>31.622147847106305</v>
      </c>
      <c r="O216" s="674">
        <v>472.40539850730994</v>
      </c>
      <c r="P216" s="40">
        <v>472.40999999999997</v>
      </c>
      <c r="Q216" s="52">
        <v>4.6014926900284081E-3</v>
      </c>
      <c r="R216" s="674">
        <v>0</v>
      </c>
      <c r="S216" s="40">
        <v>0</v>
      </c>
      <c r="T216" s="52">
        <v>0</v>
      </c>
      <c r="U216" s="674">
        <v>0</v>
      </c>
      <c r="V216" s="40">
        <v>0</v>
      </c>
      <c r="W216" s="52">
        <v>0</v>
      </c>
      <c r="X216" s="674">
        <v>465.68089340956544</v>
      </c>
      <c r="Y216" s="40">
        <v>347.14267855984127</v>
      </c>
      <c r="Z216" s="52">
        <v>-118.53821484972417</v>
      </c>
      <c r="AA216" s="674">
        <v>38.867999999999995</v>
      </c>
      <c r="AB216" s="40">
        <v>0</v>
      </c>
      <c r="AC216" s="52">
        <v>-38.867999999999995</v>
      </c>
      <c r="AD216" s="674">
        <v>1396.5142884911195</v>
      </c>
      <c r="AE216" s="40">
        <v>1393.1558920276639</v>
      </c>
      <c r="AF216" s="35">
        <v>-3.3583964634556196</v>
      </c>
      <c r="AG216" s="77">
        <v>3704.6206111937317</v>
      </c>
      <c r="AH216" s="53">
        <v>3690.8851939830715</v>
      </c>
      <c r="AI216" s="52">
        <v>-13.735417210660216</v>
      </c>
      <c r="AJ216" s="674">
        <v>0</v>
      </c>
      <c r="AK216" s="40">
        <v>0</v>
      </c>
      <c r="AL216" s="52">
        <v>0</v>
      </c>
      <c r="AM216" s="674">
        <v>0</v>
      </c>
      <c r="AN216" s="40">
        <v>0</v>
      </c>
      <c r="AO216" s="52">
        <v>0</v>
      </c>
      <c r="AP216" s="674">
        <v>809.43028395321335</v>
      </c>
      <c r="AQ216" s="40">
        <v>561.34170567558067</v>
      </c>
      <c r="AR216" s="52">
        <v>-248.08857827763268</v>
      </c>
      <c r="AS216" s="674">
        <v>3765.7598646516976</v>
      </c>
      <c r="AT216" s="40">
        <v>130</v>
      </c>
      <c r="AU216" s="54">
        <v>-3635.7598646516976</v>
      </c>
      <c r="AV216" s="674">
        <v>433.58188055982583</v>
      </c>
      <c r="AW216" s="40">
        <v>0</v>
      </c>
      <c r="AX216" s="55">
        <v>-433.58188055982583</v>
      </c>
      <c r="AY216" s="674">
        <v>548.14765749429125</v>
      </c>
      <c r="AZ216" s="40">
        <v>0</v>
      </c>
      <c r="BA216" s="35">
        <v>-548.14765749429125</v>
      </c>
      <c r="BB216" s="674">
        <v>208.59222853303288</v>
      </c>
      <c r="BC216" s="40">
        <v>0</v>
      </c>
      <c r="BD216" s="55">
        <v>-208.59222853303288</v>
      </c>
      <c r="BE216" s="674">
        <v>0</v>
      </c>
      <c r="BF216" s="40">
        <v>0</v>
      </c>
      <c r="BG216" s="38">
        <v>0</v>
      </c>
      <c r="BH216" s="674">
        <v>0</v>
      </c>
      <c r="BI216" s="40">
        <v>0</v>
      </c>
      <c r="BJ216" s="55">
        <v>0</v>
      </c>
      <c r="BK216" s="674">
        <v>54.940202430438077</v>
      </c>
      <c r="BL216" s="40">
        <v>0</v>
      </c>
      <c r="BM216" s="38">
        <v>-54.940202430438077</v>
      </c>
      <c r="BN216" s="674">
        <v>9.7169999999999987</v>
      </c>
      <c r="BO216" s="40">
        <v>0</v>
      </c>
      <c r="BP216" s="55">
        <v>-9.7169999999999987</v>
      </c>
      <c r="BQ216" s="77">
        <v>1254.978969017588</v>
      </c>
      <c r="BR216" s="40">
        <v>0</v>
      </c>
      <c r="BS216" s="55">
        <v>-1254.978969017588</v>
      </c>
      <c r="BT216" s="674">
        <v>5905.332828843495</v>
      </c>
      <c r="BU216" s="40">
        <v>6459.8205160553389</v>
      </c>
      <c r="BV216" s="52">
        <v>554.48768721184388</v>
      </c>
      <c r="BW216" s="674">
        <v>3235.0655327194959</v>
      </c>
      <c r="BX216" s="40">
        <v>3126.7143742150215</v>
      </c>
      <c r="BY216" s="52">
        <v>-108.35115850447437</v>
      </c>
      <c r="BZ216" s="674">
        <v>1679.1689381198055</v>
      </c>
      <c r="CA216" s="40">
        <v>1549.5475658788703</v>
      </c>
      <c r="CB216" s="52">
        <v>-129.62137224093522</v>
      </c>
      <c r="CC216" s="674">
        <v>169.51768247567065</v>
      </c>
      <c r="CD216" s="40">
        <v>178.1666542011186</v>
      </c>
      <c r="CE216" s="52">
        <v>8.6489717254479501</v>
      </c>
      <c r="CF216" s="674">
        <v>20.718563735617593</v>
      </c>
      <c r="CG216" s="40">
        <v>0</v>
      </c>
      <c r="CH216" s="52">
        <v>-20.718563735617593</v>
      </c>
      <c r="CI216" s="674">
        <v>158.98886329736465</v>
      </c>
      <c r="CJ216" s="40">
        <v>92.99219725284</v>
      </c>
      <c r="CK216" s="52">
        <v>-65.996666044524645</v>
      </c>
      <c r="CL216" s="674">
        <v>0</v>
      </c>
      <c r="CM216" s="40">
        <v>0</v>
      </c>
      <c r="CN216" s="52">
        <v>0</v>
      </c>
      <c r="CO216" s="39">
        <v>158.98886329736465</v>
      </c>
      <c r="CP216" s="40">
        <v>92.99219725284</v>
      </c>
      <c r="CQ216" s="52">
        <v>-65.996666044524645</v>
      </c>
      <c r="CR216" s="72">
        <v>20703.582138007678</v>
      </c>
      <c r="CS216" s="5">
        <v>15789.468207261842</v>
      </c>
      <c r="CT216" s="52">
        <v>-4914.1139307458361</v>
      </c>
      <c r="CU216" s="77">
        <v>24844.298565609213</v>
      </c>
      <c r="CV216" s="65">
        <v>18947.361848714208</v>
      </c>
      <c r="CW216" s="35">
        <v>-5896.9367168950048</v>
      </c>
      <c r="CX216" s="73">
        <v>751.45827057655617</v>
      </c>
      <c r="CY216" s="40">
        <v>6648.3949874715572</v>
      </c>
      <c r="CZ216" s="52">
        <v>5896.9367168950012</v>
      </c>
      <c r="DA216" s="150">
        <v>10140.994438337904</v>
      </c>
      <c r="DB216" s="2">
        <v>2</v>
      </c>
      <c r="DC216" s="675">
        <v>2512.25</v>
      </c>
      <c r="DD216" s="675">
        <v>1671</v>
      </c>
      <c r="DE216" s="675">
        <v>772.78413166980704</v>
      </c>
      <c r="DF216" s="675">
        <v>1165.1282896348496</v>
      </c>
      <c r="DG216" s="321">
        <v>16037.931155232905</v>
      </c>
      <c r="DH216" s="40">
        <v>25593.822588516494</v>
      </c>
      <c r="DI216" s="422">
        <v>2245.3375786953434</v>
      </c>
      <c r="DJ216" s="306">
        <v>7.2629055045102007</v>
      </c>
      <c r="DK216" s="306">
        <v>7.2629055045102007</v>
      </c>
      <c r="DL216" s="306">
        <v>5.7225306602392569</v>
      </c>
      <c r="DM216" s="28">
        <v>1739.465868330193</v>
      </c>
      <c r="DN216" s="28">
        <v>505.87171036515036</v>
      </c>
      <c r="DO216" s="423">
        <v>2245.3375786953434</v>
      </c>
      <c r="DP216" s="94">
        <v>0</v>
      </c>
      <c r="DQ216" s="28">
        <v>2245.3375786953434</v>
      </c>
      <c r="DR216" s="318"/>
      <c r="DT216" s="8"/>
      <c r="DU216" s="5"/>
      <c r="DX216" s="5">
        <v>6024.8866004031424</v>
      </c>
      <c r="DY216" s="5">
        <v>156</v>
      </c>
      <c r="DZ216" s="159">
        <v>504.37159617902557</v>
      </c>
      <c r="EB216" s="676">
        <v>-297.17109961152164</v>
      </c>
      <c r="EC216" s="676">
        <v>-410.71031928103844</v>
      </c>
      <c r="ED216" s="676">
        <v>65.053943275857137</v>
      </c>
      <c r="EE216" s="676">
        <v>-748.69053123230879</v>
      </c>
      <c r="EF216" s="676">
        <v>-759.8262267319451</v>
      </c>
      <c r="EG216" s="676">
        <v>88.120803141826855</v>
      </c>
      <c r="EH216" s="676">
        <v>-830.65094388830539</v>
      </c>
      <c r="EI216" s="676">
        <v>-764.79224431474222</v>
      </c>
      <c r="EJ216" s="676">
        <v>-388.02035038525469</v>
      </c>
      <c r="EK216" s="676">
        <v>-584.73660614337177</v>
      </c>
      <c r="EL216" s="676">
        <v>-369.95479409417158</v>
      </c>
      <c r="EM216" s="676">
        <v>-895.55834763002508</v>
      </c>
      <c r="EN216" s="676">
        <v>-5896.9367168950012</v>
      </c>
      <c r="EQ216" s="5">
        <v>6024.8866004031424</v>
      </c>
      <c r="ER216" s="5">
        <v>156</v>
      </c>
      <c r="ET216" s="318">
        <v>17581.658148795988</v>
      </c>
      <c r="EU216" s="5">
        <v>1627.2730064369193</v>
      </c>
    </row>
    <row r="217" spans="1:151" x14ac:dyDescent="0.3">
      <c r="A217" s="325">
        <v>150000931</v>
      </c>
      <c r="B217" s="41" t="s">
        <v>664</v>
      </c>
      <c r="C217" s="42" t="s">
        <v>267</v>
      </c>
      <c r="D217" s="27">
        <v>5</v>
      </c>
      <c r="E217" s="293">
        <v>2292.33</v>
      </c>
      <c r="F217" s="305">
        <v>2128.4299999999998</v>
      </c>
      <c r="G217" s="508">
        <v>0</v>
      </c>
      <c r="H217" s="677">
        <v>163.9</v>
      </c>
      <c r="I217" s="674">
        <v>7646.2397670067676</v>
      </c>
      <c r="J217" s="40">
        <v>8337.7086554093221</v>
      </c>
      <c r="K217" s="52">
        <v>691.46888840255451</v>
      </c>
      <c r="L217" s="674">
        <v>1625.4662700112372</v>
      </c>
      <c r="M217" s="40">
        <v>1779.1304647108659</v>
      </c>
      <c r="N217" s="52">
        <v>153.66419469962875</v>
      </c>
      <c r="O217" s="674">
        <v>2948.9520680903597</v>
      </c>
      <c r="P217" s="40">
        <v>2948.9399999999996</v>
      </c>
      <c r="Q217" s="52">
        <v>-1.2068090360116912E-2</v>
      </c>
      <c r="R217" s="674">
        <v>744.08857667232985</v>
      </c>
      <c r="S217" s="40">
        <v>744.08999999999992</v>
      </c>
      <c r="T217" s="52">
        <v>1.4233276700679198E-3</v>
      </c>
      <c r="U217" s="674">
        <v>487.42305049593699</v>
      </c>
      <c r="V217" s="40">
        <v>1683.4919938895578</v>
      </c>
      <c r="W217" s="52">
        <v>1196.0689433936209</v>
      </c>
      <c r="X217" s="674">
        <v>5444.7367040048684</v>
      </c>
      <c r="Y217" s="40">
        <v>3991.8600046200395</v>
      </c>
      <c r="Z217" s="52">
        <v>-1452.876699384829</v>
      </c>
      <c r="AA217" s="674">
        <v>275.07960000000003</v>
      </c>
      <c r="AB217" s="40">
        <v>0</v>
      </c>
      <c r="AC217" s="52">
        <v>-275.07960000000003</v>
      </c>
      <c r="AD217" s="674">
        <v>9822.0305179829083</v>
      </c>
      <c r="AE217" s="40">
        <v>9739.4725403225802</v>
      </c>
      <c r="AF217" s="35">
        <v>-82.557977660328106</v>
      </c>
      <c r="AG217" s="77">
        <v>28994.016554264406</v>
      </c>
      <c r="AH217" s="53">
        <v>29224.693658952368</v>
      </c>
      <c r="AI217" s="52">
        <v>230.67710468796213</v>
      </c>
      <c r="AJ217" s="674">
        <v>0</v>
      </c>
      <c r="AK217" s="40">
        <v>0</v>
      </c>
      <c r="AL217" s="52">
        <v>0</v>
      </c>
      <c r="AM217" s="674">
        <v>0</v>
      </c>
      <c r="AN217" s="40">
        <v>0</v>
      </c>
      <c r="AO217" s="52">
        <v>0</v>
      </c>
      <c r="AP217" s="674">
        <v>1663.8289170149385</v>
      </c>
      <c r="AQ217" s="40">
        <v>1382.7779720279721</v>
      </c>
      <c r="AR217" s="52">
        <v>-281.05094498696644</v>
      </c>
      <c r="AS217" s="674">
        <v>21110.208742054379</v>
      </c>
      <c r="AT217" s="40">
        <v>19078.739999999998</v>
      </c>
      <c r="AU217" s="54">
        <v>-2031.4687420543814</v>
      </c>
      <c r="AV217" s="674">
        <v>1889.8801214538614</v>
      </c>
      <c r="AW217" s="40">
        <v>1464</v>
      </c>
      <c r="AX217" s="55">
        <v>-425.88012145386142</v>
      </c>
      <c r="AY217" s="674">
        <v>2664.8152053230101</v>
      </c>
      <c r="AZ217" s="40">
        <v>5429</v>
      </c>
      <c r="BA217" s="35">
        <v>2764.1847946769899</v>
      </c>
      <c r="BB217" s="674">
        <v>1530.9792335062084</v>
      </c>
      <c r="BC217" s="40">
        <v>0</v>
      </c>
      <c r="BD217" s="55">
        <v>-1530.9792335062084</v>
      </c>
      <c r="BE217" s="674">
        <v>1454.444870467292</v>
      </c>
      <c r="BF217" s="40">
        <v>0</v>
      </c>
      <c r="BG217" s="38">
        <v>-1454.444870467292</v>
      </c>
      <c r="BH217" s="674">
        <v>832.23664965675107</v>
      </c>
      <c r="BI217" s="40">
        <v>0</v>
      </c>
      <c r="BJ217" s="55">
        <v>-832.23664965675107</v>
      </c>
      <c r="BK217" s="674">
        <v>1209.6191606438035</v>
      </c>
      <c r="BL217" s="40">
        <v>0</v>
      </c>
      <c r="BM217" s="38">
        <v>-1209.6191606438035</v>
      </c>
      <c r="BN217" s="674">
        <v>68.769900000000007</v>
      </c>
      <c r="BO217" s="40">
        <v>0</v>
      </c>
      <c r="BP217" s="55">
        <v>-68.769900000000007</v>
      </c>
      <c r="BQ217" s="77">
        <v>9650.7451410509275</v>
      </c>
      <c r="BR217" s="40">
        <v>6893</v>
      </c>
      <c r="BS217" s="55">
        <v>-2757.7451410509275</v>
      </c>
      <c r="BT217" s="674">
        <v>21316.50108488341</v>
      </c>
      <c r="BU217" s="40">
        <v>28201.457925519157</v>
      </c>
      <c r="BV217" s="52">
        <v>6884.9568406357466</v>
      </c>
      <c r="BW217" s="674">
        <v>21697.97674208121</v>
      </c>
      <c r="BX217" s="40">
        <v>18879.885545015226</v>
      </c>
      <c r="BY217" s="52">
        <v>-2818.0911970659836</v>
      </c>
      <c r="BZ217" s="674">
        <v>15947.604140578293</v>
      </c>
      <c r="CA217" s="40">
        <v>7683.4179833011276</v>
      </c>
      <c r="CB217" s="52">
        <v>-8264.186157277165</v>
      </c>
      <c r="CC217" s="674">
        <v>1861.915528831136</v>
      </c>
      <c r="CD217" s="40">
        <v>1956.9124313893356</v>
      </c>
      <c r="CE217" s="52">
        <v>94.996902558199508</v>
      </c>
      <c r="CF217" s="674">
        <v>227.56455250596375</v>
      </c>
      <c r="CG217" s="40">
        <v>0</v>
      </c>
      <c r="CH217" s="52">
        <v>-227.56455250596375</v>
      </c>
      <c r="CI217" s="674">
        <v>3793.9542297682783</v>
      </c>
      <c r="CJ217" s="40">
        <v>3506.8673425565553</v>
      </c>
      <c r="CK217" s="52">
        <v>-287.08688721172302</v>
      </c>
      <c r="CL217" s="674">
        <v>0</v>
      </c>
      <c r="CM217" s="40">
        <v>0</v>
      </c>
      <c r="CN217" s="52">
        <v>0</v>
      </c>
      <c r="CO217" s="39">
        <v>3793.9542297682783</v>
      </c>
      <c r="CP217" s="40">
        <v>3506.8673425565553</v>
      </c>
      <c r="CQ217" s="52">
        <v>-287.08688721172302</v>
      </c>
      <c r="CR217" s="72">
        <v>126264.31563303294</v>
      </c>
      <c r="CS217" s="5">
        <v>116807.75285876173</v>
      </c>
      <c r="CT217" s="52">
        <v>-9456.5627742712095</v>
      </c>
      <c r="CU217" s="77">
        <v>151517.17875963953</v>
      </c>
      <c r="CV217" s="65">
        <v>140169.30343051406</v>
      </c>
      <c r="CW217" s="35">
        <v>-11347.875329125469</v>
      </c>
      <c r="CX217" s="73">
        <v>1551.3680922508552</v>
      </c>
      <c r="CY217" s="40">
        <v>12899.243421376297</v>
      </c>
      <c r="CZ217" s="52">
        <v>11347.875329125442</v>
      </c>
      <c r="DA217" s="150">
        <v>17707.888302090883</v>
      </c>
      <c r="DB217" s="2">
        <v>2</v>
      </c>
      <c r="DC217" s="675">
        <v>24155.82</v>
      </c>
      <c r="DD217" s="675">
        <v>2304.0700000000006</v>
      </c>
      <c r="DE217" s="675">
        <v>11529.386910175575</v>
      </c>
      <c r="DF217" s="675">
        <v>1514.4499784561094</v>
      </c>
      <c r="DG217" s="321">
        <v>29055.763631216327</v>
      </c>
      <c r="DH217" s="40">
        <v>153056.94217110591</v>
      </c>
      <c r="DI217" s="422">
        <v>13416.053111368316</v>
      </c>
      <c r="DJ217" s="306">
        <v>5.9322754752678852</v>
      </c>
      <c r="DK217" s="306">
        <v>5.9322754752678852</v>
      </c>
      <c r="DL217" s="306">
        <v>4.8176938471256321</v>
      </c>
      <c r="DM217" s="28">
        <v>12626.433089824424</v>
      </c>
      <c r="DN217" s="28">
        <v>789.62002154389108</v>
      </c>
      <c r="DO217" s="423">
        <v>13416.053111368316</v>
      </c>
      <c r="DP217" s="94">
        <v>0</v>
      </c>
      <c r="DQ217" s="28">
        <v>13416.053111368316</v>
      </c>
      <c r="DR217" s="318"/>
      <c r="DT217" s="8"/>
      <c r="DU217" s="5"/>
      <c r="DX217" s="5">
        <v>36913.144659726364</v>
      </c>
      <c r="DY217" s="5">
        <v>31166.087999999996</v>
      </c>
      <c r="DZ217" s="159">
        <v>2993.5614719029663</v>
      </c>
      <c r="EB217" s="676">
        <v>18.220459688334813</v>
      </c>
      <c r="EC217" s="676">
        <v>-2303.9060089048708</v>
      </c>
      <c r="ED217" s="676">
        <v>342.9204842980289</v>
      </c>
      <c r="EE217" s="676">
        <v>-5674.8129469978749</v>
      </c>
      <c r="EF217" s="676">
        <v>925.1045610267447</v>
      </c>
      <c r="EG217" s="676">
        <v>-6291.3406668369162</v>
      </c>
      <c r="EH217" s="676">
        <v>-3165.7879694232488</v>
      </c>
      <c r="EI217" s="676">
        <v>10479.915803685713</v>
      </c>
      <c r="EJ217" s="676">
        <v>-4731.6165367259819</v>
      </c>
      <c r="EK217" s="676">
        <v>3081.5867006978096</v>
      </c>
      <c r="EL217" s="676">
        <v>-2509.1837976164261</v>
      </c>
      <c r="EM217" s="676">
        <v>-1518.9754120167581</v>
      </c>
      <c r="EN217" s="676">
        <v>-11347.875329125445</v>
      </c>
      <c r="EQ217" s="5">
        <v>36913.144659726364</v>
      </c>
      <c r="ER217" s="5">
        <v>31166.087999999996</v>
      </c>
      <c r="ET217" s="318">
        <v>9202.8208428458784</v>
      </c>
      <c r="EU217" s="5">
        <v>40237.942788370463</v>
      </c>
    </row>
    <row r="218" spans="1:151" x14ac:dyDescent="0.3">
      <c r="A218" s="325">
        <v>150000932</v>
      </c>
      <c r="B218" s="41" t="s">
        <v>665</v>
      </c>
      <c r="C218" s="42" t="s">
        <v>174</v>
      </c>
      <c r="D218" s="27">
        <v>2</v>
      </c>
      <c r="E218" s="293">
        <v>354.3</v>
      </c>
      <c r="F218" s="305">
        <v>354.3</v>
      </c>
      <c r="G218" s="508">
        <v>0</v>
      </c>
      <c r="H218" s="677">
        <v>0</v>
      </c>
      <c r="I218" s="674">
        <v>623.4026201762299</v>
      </c>
      <c r="J218" s="40">
        <v>726.12565619299755</v>
      </c>
      <c r="K218" s="52">
        <v>102.72303601676765</v>
      </c>
      <c r="L218" s="674">
        <v>237.91381760316224</v>
      </c>
      <c r="M218" s="40">
        <v>260.40636636928218</v>
      </c>
      <c r="N218" s="52">
        <v>22.492548766119938</v>
      </c>
      <c r="O218" s="674">
        <v>459.54189625769999</v>
      </c>
      <c r="P218" s="40">
        <v>459.54</v>
      </c>
      <c r="Q218" s="52">
        <v>-1.8962576999683733E-3</v>
      </c>
      <c r="R218" s="674">
        <v>0</v>
      </c>
      <c r="S218" s="40">
        <v>0</v>
      </c>
      <c r="T218" s="52">
        <v>0</v>
      </c>
      <c r="U218" s="674">
        <v>0</v>
      </c>
      <c r="V218" s="40">
        <v>0</v>
      </c>
      <c r="W218" s="52">
        <v>0</v>
      </c>
      <c r="X218" s="674">
        <v>207.88566694848583</v>
      </c>
      <c r="Y218" s="40">
        <v>78.227320242130006</v>
      </c>
      <c r="Z218" s="52">
        <v>-129.65834670635581</v>
      </c>
      <c r="AA218" s="674">
        <v>42.516000000000005</v>
      </c>
      <c r="AB218" s="40">
        <v>0</v>
      </c>
      <c r="AC218" s="52">
        <v>-42.516000000000005</v>
      </c>
      <c r="AD218" s="674">
        <v>1519.0347498904009</v>
      </c>
      <c r="AE218" s="40">
        <v>1505.3221486593513</v>
      </c>
      <c r="AF218" s="35">
        <v>-13.712601231049575</v>
      </c>
      <c r="AG218" s="77">
        <v>3090.2947508759789</v>
      </c>
      <c r="AH218" s="53">
        <v>3029.6214914637612</v>
      </c>
      <c r="AI218" s="52">
        <v>-60.673259412217703</v>
      </c>
      <c r="AJ218" s="674">
        <v>0</v>
      </c>
      <c r="AK218" s="40">
        <v>0</v>
      </c>
      <c r="AL218" s="52">
        <v>0</v>
      </c>
      <c r="AM218" s="674">
        <v>0</v>
      </c>
      <c r="AN218" s="40">
        <v>0</v>
      </c>
      <c r="AO218" s="52">
        <v>0</v>
      </c>
      <c r="AP218" s="674">
        <v>2203.4491063170817</v>
      </c>
      <c r="AQ218" s="40">
        <v>1832.4550385221276</v>
      </c>
      <c r="AR218" s="52">
        <v>-370.99406779495416</v>
      </c>
      <c r="AS218" s="674">
        <v>2209.4543770211658</v>
      </c>
      <c r="AT218" s="40">
        <v>5256.27</v>
      </c>
      <c r="AU218" s="54">
        <v>3046.8156229788347</v>
      </c>
      <c r="AV218" s="674">
        <v>393.93174154794025</v>
      </c>
      <c r="AW218" s="40">
        <v>0</v>
      </c>
      <c r="AX218" s="55">
        <v>-393.93174154794025</v>
      </c>
      <c r="AY218" s="674">
        <v>390.03171851946962</v>
      </c>
      <c r="AZ218" s="40">
        <v>0</v>
      </c>
      <c r="BA218" s="35">
        <v>-390.03171851946962</v>
      </c>
      <c r="BB218" s="674">
        <v>222.48262703704839</v>
      </c>
      <c r="BC218" s="40">
        <v>0</v>
      </c>
      <c r="BD218" s="55">
        <v>-222.48262703704839</v>
      </c>
      <c r="BE218" s="674">
        <v>0</v>
      </c>
      <c r="BF218" s="40">
        <v>0</v>
      </c>
      <c r="BG218" s="38">
        <v>0</v>
      </c>
      <c r="BH218" s="674">
        <v>0</v>
      </c>
      <c r="BI218" s="40">
        <v>0</v>
      </c>
      <c r="BJ218" s="55">
        <v>0</v>
      </c>
      <c r="BK218" s="674">
        <v>3.6379049643158252</v>
      </c>
      <c r="BL218" s="40">
        <v>0</v>
      </c>
      <c r="BM218" s="38">
        <v>-3.6379049643158252</v>
      </c>
      <c r="BN218" s="674">
        <v>10.629000000000001</v>
      </c>
      <c r="BO218" s="40">
        <v>0</v>
      </c>
      <c r="BP218" s="55">
        <v>-10.629000000000001</v>
      </c>
      <c r="BQ218" s="77">
        <v>1020.712992068774</v>
      </c>
      <c r="BR218" s="40">
        <v>0</v>
      </c>
      <c r="BS218" s="55">
        <v>-1020.712992068774</v>
      </c>
      <c r="BT218" s="674">
        <v>6964.6428889909294</v>
      </c>
      <c r="BU218" s="40">
        <v>7609.147432921789</v>
      </c>
      <c r="BV218" s="52">
        <v>644.50454393085965</v>
      </c>
      <c r="BW218" s="674">
        <v>204.62060032473605</v>
      </c>
      <c r="BX218" s="40">
        <v>362.25588639134594</v>
      </c>
      <c r="BY218" s="52">
        <v>157.63528606660989</v>
      </c>
      <c r="BZ218" s="674">
        <v>2014.3075330442798</v>
      </c>
      <c r="CA218" s="40">
        <v>1723.4395999143658</v>
      </c>
      <c r="CB218" s="52">
        <v>-290.86793312991404</v>
      </c>
      <c r="CC218" s="674">
        <v>0</v>
      </c>
      <c r="CD218" s="40">
        <v>0</v>
      </c>
      <c r="CE218" s="52">
        <v>0</v>
      </c>
      <c r="CF218" s="674">
        <v>0</v>
      </c>
      <c r="CG218" s="40">
        <v>0</v>
      </c>
      <c r="CH218" s="52">
        <v>0</v>
      </c>
      <c r="CI218" s="674">
        <v>0</v>
      </c>
      <c r="CJ218" s="40">
        <v>0</v>
      </c>
      <c r="CK218" s="52">
        <v>0</v>
      </c>
      <c r="CL218" s="674">
        <v>0</v>
      </c>
      <c r="CM218" s="40">
        <v>0</v>
      </c>
      <c r="CN218" s="52">
        <v>0</v>
      </c>
      <c r="CO218" s="39">
        <v>0</v>
      </c>
      <c r="CP218" s="40">
        <v>0</v>
      </c>
      <c r="CQ218" s="52">
        <v>0</v>
      </c>
      <c r="CR218" s="72">
        <v>17707.482248642944</v>
      </c>
      <c r="CS218" s="5">
        <v>19813.189449213391</v>
      </c>
      <c r="CT218" s="52">
        <v>2105.7072005704467</v>
      </c>
      <c r="CU218" s="77">
        <v>21248.978698371531</v>
      </c>
      <c r="CV218" s="65">
        <v>23775.827339056068</v>
      </c>
      <c r="CW218" s="35">
        <v>2526.8486406845368</v>
      </c>
      <c r="CX218" s="73">
        <v>472.91972454998483</v>
      </c>
      <c r="CY218" s="40">
        <v>-2053.9289161345505</v>
      </c>
      <c r="CZ218" s="52">
        <v>-2526.8486406845354</v>
      </c>
      <c r="DA218" s="150">
        <v>5135.1390064925217</v>
      </c>
      <c r="DB218" s="2">
        <v>2</v>
      </c>
      <c r="DC218" s="675">
        <v>2243.66</v>
      </c>
      <c r="DD218" s="675">
        <v>0</v>
      </c>
      <c r="DE218" s="675">
        <v>338.2610081784203</v>
      </c>
      <c r="DF218" s="675">
        <v>0</v>
      </c>
      <c r="DG218" s="321">
        <v>2608.2903658079863</v>
      </c>
      <c r="DH218" s="40">
        <v>21720.256557416484</v>
      </c>
      <c r="DI218" s="422">
        <v>1905.3989918215796</v>
      </c>
      <c r="DJ218" s="306">
        <v>5.3779254637922085</v>
      </c>
      <c r="DK218" s="306">
        <v>5.3779254637922085</v>
      </c>
      <c r="DL218" s="306">
        <v>5.2997657462911807</v>
      </c>
      <c r="DM218" s="28">
        <v>1905.3989918215796</v>
      </c>
      <c r="DN218" s="28">
        <v>0</v>
      </c>
      <c r="DO218" s="423">
        <v>1905.3989918215796</v>
      </c>
      <c r="DP218" s="94">
        <v>0</v>
      </c>
      <c r="DQ218" s="28">
        <v>1905.3989918215796</v>
      </c>
      <c r="DR218" s="318"/>
      <c r="DT218" s="8"/>
      <c r="DU218" s="5"/>
      <c r="DX218" s="5">
        <v>3876.2008429079274</v>
      </c>
      <c r="DY218" s="5">
        <v>6307.5240000000003</v>
      </c>
      <c r="DZ218" s="159">
        <v>355.63116091593116</v>
      </c>
      <c r="EB218" s="676">
        <v>951.91774697607002</v>
      </c>
      <c r="EC218" s="676">
        <v>1503.6146478145649</v>
      </c>
      <c r="ED218" s="676">
        <v>-239.00367741780406</v>
      </c>
      <c r="EE218" s="676">
        <v>-347.33765892591987</v>
      </c>
      <c r="EF218" s="676">
        <v>3692.1156391092659</v>
      </c>
      <c r="EG218" s="676">
        <v>-322.79371228230934</v>
      </c>
      <c r="EH218" s="676">
        <v>357.03992823720455</v>
      </c>
      <c r="EI218" s="676">
        <v>-600.50041956262339</v>
      </c>
      <c r="EJ218" s="676">
        <v>-552.6250626745848</v>
      </c>
      <c r="EK218" s="676">
        <v>-554.11955649719675</v>
      </c>
      <c r="EL218" s="676">
        <v>-583.01163584545043</v>
      </c>
      <c r="EM218" s="676">
        <v>-778.44759824668085</v>
      </c>
      <c r="EN218" s="676">
        <v>2526.848640684535</v>
      </c>
      <c r="EQ218" s="5">
        <v>3876.2008429079274</v>
      </c>
      <c r="ER218" s="5">
        <v>6307.5240000000003</v>
      </c>
      <c r="ET218" s="318">
        <v>-2109.7316968225014</v>
      </c>
      <c r="EU218" s="5">
        <v>-1638.9779373695133</v>
      </c>
    </row>
    <row r="219" spans="1:151" x14ac:dyDescent="0.3">
      <c r="A219" s="325">
        <v>150000924</v>
      </c>
      <c r="B219" s="41" t="s">
        <v>666</v>
      </c>
      <c r="C219" s="42" t="s">
        <v>175</v>
      </c>
      <c r="D219" s="27">
        <v>2</v>
      </c>
      <c r="E219" s="293">
        <v>474.29999999999995</v>
      </c>
      <c r="F219" s="305">
        <v>397.4</v>
      </c>
      <c r="G219" s="508">
        <v>0</v>
      </c>
      <c r="H219" s="677">
        <v>76.900000000000006</v>
      </c>
      <c r="I219" s="674">
        <v>2322.5581421813554</v>
      </c>
      <c r="J219" s="40">
        <v>2491.7828150683645</v>
      </c>
      <c r="K219" s="52">
        <v>169.22467288700909</v>
      </c>
      <c r="L219" s="674">
        <v>645.03450423283107</v>
      </c>
      <c r="M219" s="40">
        <v>706.01173637364889</v>
      </c>
      <c r="N219" s="52">
        <v>60.977232140817819</v>
      </c>
      <c r="O219" s="674">
        <v>623.226666908315</v>
      </c>
      <c r="P219" s="40">
        <v>623.22</v>
      </c>
      <c r="Q219" s="52">
        <v>-6.6669083149690778E-3</v>
      </c>
      <c r="R219" s="674">
        <v>0</v>
      </c>
      <c r="S219" s="40">
        <v>0</v>
      </c>
      <c r="T219" s="52">
        <v>0</v>
      </c>
      <c r="U219" s="674">
        <v>0</v>
      </c>
      <c r="V219" s="40">
        <v>0</v>
      </c>
      <c r="W219" s="52">
        <v>0</v>
      </c>
      <c r="X219" s="674">
        <v>1112.104186035275</v>
      </c>
      <c r="Y219" s="40">
        <v>1980.0457408482484</v>
      </c>
      <c r="Z219" s="52">
        <v>867.94155481297344</v>
      </c>
      <c r="AA219" s="674">
        <v>56.915999999999997</v>
      </c>
      <c r="AB219" s="40">
        <v>0</v>
      </c>
      <c r="AC219" s="52">
        <v>-56.915999999999997</v>
      </c>
      <c r="AD219" s="674">
        <v>2028.9969127616855</v>
      </c>
      <c r="AE219" s="40">
        <v>2015.168769712476</v>
      </c>
      <c r="AF219" s="35">
        <v>-13.82814304920953</v>
      </c>
      <c r="AG219" s="77">
        <v>6788.8364121194627</v>
      </c>
      <c r="AH219" s="53">
        <v>7816.2290620027379</v>
      </c>
      <c r="AI219" s="52">
        <v>1027.3926498832752</v>
      </c>
      <c r="AJ219" s="674">
        <v>0</v>
      </c>
      <c r="AK219" s="40">
        <v>0</v>
      </c>
      <c r="AL219" s="52">
        <v>0</v>
      </c>
      <c r="AM219" s="674">
        <v>0</v>
      </c>
      <c r="AN219" s="40">
        <v>0</v>
      </c>
      <c r="AO219" s="52">
        <v>0</v>
      </c>
      <c r="AP219" s="674">
        <v>944.33533127874898</v>
      </c>
      <c r="AQ219" s="40">
        <v>729.90805069368389</v>
      </c>
      <c r="AR219" s="52">
        <v>-214.42728058506509</v>
      </c>
      <c r="AS219" s="674">
        <v>5331.6359061487256</v>
      </c>
      <c r="AT219" s="40">
        <v>39592.19</v>
      </c>
      <c r="AU219" s="54">
        <v>34260.554093851279</v>
      </c>
      <c r="AV219" s="674">
        <v>556.53123244251401</v>
      </c>
      <c r="AW219" s="40">
        <v>0</v>
      </c>
      <c r="AX219" s="55">
        <v>-556.53123244251401</v>
      </c>
      <c r="AY219" s="674">
        <v>1057.226778709784</v>
      </c>
      <c r="AZ219" s="40">
        <v>0</v>
      </c>
      <c r="BA219" s="35">
        <v>-1057.226778709784</v>
      </c>
      <c r="BB219" s="674">
        <v>267.26223365321334</v>
      </c>
      <c r="BC219" s="40">
        <v>0</v>
      </c>
      <c r="BD219" s="55">
        <v>-267.26223365321334</v>
      </c>
      <c r="BE219" s="674">
        <v>0</v>
      </c>
      <c r="BF219" s="40">
        <v>0</v>
      </c>
      <c r="BG219" s="38">
        <v>0</v>
      </c>
      <c r="BH219" s="674">
        <v>0</v>
      </c>
      <c r="BI219" s="40">
        <v>0</v>
      </c>
      <c r="BJ219" s="55">
        <v>0</v>
      </c>
      <c r="BK219" s="674">
        <v>110.09836158969283</v>
      </c>
      <c r="BL219" s="40">
        <v>2718</v>
      </c>
      <c r="BM219" s="38">
        <v>2607.901638410307</v>
      </c>
      <c r="BN219" s="674">
        <v>14.228999999999999</v>
      </c>
      <c r="BO219" s="40">
        <v>0</v>
      </c>
      <c r="BP219" s="55">
        <v>-14.228999999999999</v>
      </c>
      <c r="BQ219" s="77">
        <v>2005.3476063952041</v>
      </c>
      <c r="BR219" s="40">
        <v>2718</v>
      </c>
      <c r="BS219" s="55">
        <v>712.65239360479586</v>
      </c>
      <c r="BT219" s="674">
        <v>7705.5463554175822</v>
      </c>
      <c r="BU219" s="40">
        <v>8525.2532087496093</v>
      </c>
      <c r="BV219" s="52">
        <v>819.70685333202709</v>
      </c>
      <c r="BW219" s="674">
        <v>2408.4054917203803</v>
      </c>
      <c r="BX219" s="40">
        <v>2496.005830161534</v>
      </c>
      <c r="BY219" s="52">
        <v>87.600338441153781</v>
      </c>
      <c r="BZ219" s="674">
        <v>2530.6963569949303</v>
      </c>
      <c r="CA219" s="40">
        <v>2073.5462817584194</v>
      </c>
      <c r="CB219" s="52">
        <v>-457.15007523651093</v>
      </c>
      <c r="CC219" s="674">
        <v>297.35068893273376</v>
      </c>
      <c r="CD219" s="40">
        <v>312.52183605769989</v>
      </c>
      <c r="CE219" s="52">
        <v>15.171147124966126</v>
      </c>
      <c r="CF219" s="674">
        <v>36.342398683788232</v>
      </c>
      <c r="CG219" s="40">
        <v>0</v>
      </c>
      <c r="CH219" s="52">
        <v>-36.342398683788232</v>
      </c>
      <c r="CI219" s="674">
        <v>1234.9419279196929</v>
      </c>
      <c r="CJ219" s="40">
        <v>1504.0539981590391</v>
      </c>
      <c r="CK219" s="52">
        <v>269.11207023934617</v>
      </c>
      <c r="CL219" s="674">
        <v>0</v>
      </c>
      <c r="CM219" s="40">
        <v>0</v>
      </c>
      <c r="CN219" s="52">
        <v>0</v>
      </c>
      <c r="CO219" s="39">
        <v>1234.9419279196929</v>
      </c>
      <c r="CP219" s="40">
        <v>1504.0539981590391</v>
      </c>
      <c r="CQ219" s="52">
        <v>269.11207023934617</v>
      </c>
      <c r="CR219" s="72">
        <v>29283.438475611245</v>
      </c>
      <c r="CS219" s="5">
        <v>65767.708267582726</v>
      </c>
      <c r="CT219" s="52">
        <v>36484.269791971485</v>
      </c>
      <c r="CU219" s="77">
        <v>35140.126170733492</v>
      </c>
      <c r="CV219" s="65">
        <v>78921.249921099268</v>
      </c>
      <c r="CW219" s="35">
        <v>43781.123750365776</v>
      </c>
      <c r="CX219" s="73">
        <v>355.95902704099103</v>
      </c>
      <c r="CY219" s="40">
        <v>-43425.164723324793</v>
      </c>
      <c r="CZ219" s="52">
        <v>-43781.123750365783</v>
      </c>
      <c r="DA219" s="150">
        <v>34123.427752609416</v>
      </c>
      <c r="DB219" s="2">
        <v>2</v>
      </c>
      <c r="DC219" s="675">
        <v>3396.45</v>
      </c>
      <c r="DD219" s="675">
        <v>4492.53</v>
      </c>
      <c r="DE219" s="675">
        <v>743.41048948224579</v>
      </c>
      <c r="DF219" s="675">
        <v>4025.6387076823958</v>
      </c>
      <c r="DG219" s="321">
        <v>-9657.6959977563674</v>
      </c>
      <c r="DH219" s="40">
        <v>35493.422521584485</v>
      </c>
      <c r="DI219" s="422">
        <v>3119.9308028353576</v>
      </c>
      <c r="DJ219" s="306">
        <v>6.6759927290331005</v>
      </c>
      <c r="DK219" s="306">
        <v>6.6759927290331005</v>
      </c>
      <c r="DL219" s="306">
        <v>6.0714082225956307</v>
      </c>
      <c r="DM219" s="28">
        <v>2653.039510517754</v>
      </c>
      <c r="DN219" s="28">
        <v>466.89129231760404</v>
      </c>
      <c r="DO219" s="423">
        <v>3119.930802835358</v>
      </c>
      <c r="DP219" s="94">
        <v>0</v>
      </c>
      <c r="DQ219" s="28">
        <v>3119.930802835358</v>
      </c>
      <c r="DR219" s="318"/>
      <c r="DT219" s="8"/>
      <c r="DU219" s="5"/>
      <c r="DX219" s="5">
        <v>8804.3802150527154</v>
      </c>
      <c r="DY219" s="5">
        <v>50772.228000000003</v>
      </c>
      <c r="DZ219" s="159">
        <v>738.2732938674144</v>
      </c>
      <c r="EB219" s="676">
        <v>-350.10464739287977</v>
      </c>
      <c r="EC219" s="676">
        <v>-495.41746421503171</v>
      </c>
      <c r="ED219" s="676">
        <v>-88.750450648875812</v>
      </c>
      <c r="EE219" s="676">
        <v>124.88884473462667</v>
      </c>
      <c r="EF219" s="676">
        <v>7838.2009367144965</v>
      </c>
      <c r="EG219" s="676">
        <v>35457.906022024763</v>
      </c>
      <c r="EH219" s="676">
        <v>-1374.7103680135851</v>
      </c>
      <c r="EI219" s="676">
        <v>-583.39755314656213</v>
      </c>
      <c r="EJ219" s="676">
        <v>5535.5829200391381</v>
      </c>
      <c r="EK219" s="676">
        <v>-786.4132256533735</v>
      </c>
      <c r="EL219" s="676">
        <v>-494.22774392026031</v>
      </c>
      <c r="EM219" s="676">
        <v>-1002.4335201566778</v>
      </c>
      <c r="EN219" s="676">
        <v>43781.123750365783</v>
      </c>
      <c r="EQ219" s="5">
        <v>8804.3802150527154</v>
      </c>
      <c r="ER219" s="5">
        <v>50772.228000000003</v>
      </c>
      <c r="ET219" s="318">
        <v>-5924.3814879538277</v>
      </c>
      <c r="EU219" s="5">
        <v>-4708.3145098025425</v>
      </c>
    </row>
    <row r="220" spans="1:151" x14ac:dyDescent="0.3">
      <c r="A220" s="325">
        <v>150000933</v>
      </c>
      <c r="B220" s="41" t="s">
        <v>667</v>
      </c>
      <c r="C220" s="42" t="s">
        <v>268</v>
      </c>
      <c r="D220" s="27">
        <v>5</v>
      </c>
      <c r="E220" s="293">
        <v>4735.0700000000006</v>
      </c>
      <c r="F220" s="305">
        <v>4358.7700000000004</v>
      </c>
      <c r="G220" s="508">
        <v>0</v>
      </c>
      <c r="H220" s="677">
        <v>376.3</v>
      </c>
      <c r="I220" s="674">
        <v>13527.761818693081</v>
      </c>
      <c r="J220" s="40">
        <v>14883.21545437442</v>
      </c>
      <c r="K220" s="52">
        <v>1355.4536356813387</v>
      </c>
      <c r="L220" s="674">
        <v>2838.8685816191605</v>
      </c>
      <c r="M220" s="40">
        <v>3107.2499917104565</v>
      </c>
      <c r="N220" s="52">
        <v>268.38141009129595</v>
      </c>
      <c r="O220" s="674">
        <v>6145.8586784191148</v>
      </c>
      <c r="P220" s="40">
        <v>6145.86</v>
      </c>
      <c r="Q220" s="52">
        <v>1.3215808849054156E-3</v>
      </c>
      <c r="R220" s="674">
        <v>1465.1245290450499</v>
      </c>
      <c r="S220" s="40">
        <v>1465.1399999999999</v>
      </c>
      <c r="T220" s="52">
        <v>1.5470954949933002E-2</v>
      </c>
      <c r="U220" s="674">
        <v>812.40190821897863</v>
      </c>
      <c r="V220" s="40">
        <v>2786.1488030998798</v>
      </c>
      <c r="W220" s="52">
        <v>1973.7468948809012</v>
      </c>
      <c r="X220" s="674">
        <v>9801.962483595471</v>
      </c>
      <c r="Y220" s="40">
        <v>7305.6606189981421</v>
      </c>
      <c r="Z220" s="52">
        <v>-2496.3018645973289</v>
      </c>
      <c r="AA220" s="674">
        <v>565.91640000000007</v>
      </c>
      <c r="AB220" s="40">
        <v>0</v>
      </c>
      <c r="AC220" s="52">
        <v>-565.91640000000007</v>
      </c>
      <c r="AD220" s="674">
        <v>20259.740126370962</v>
      </c>
      <c r="AE220" s="40">
        <v>20117.995332916835</v>
      </c>
      <c r="AF220" s="35">
        <v>-141.74479345412692</v>
      </c>
      <c r="AG220" s="77">
        <v>55417.634525961817</v>
      </c>
      <c r="AH220" s="53">
        <v>55811.270201099731</v>
      </c>
      <c r="AI220" s="52">
        <v>393.63567513791349</v>
      </c>
      <c r="AJ220" s="674">
        <v>0</v>
      </c>
      <c r="AK220" s="40">
        <v>0</v>
      </c>
      <c r="AL220" s="52">
        <v>0</v>
      </c>
      <c r="AM220" s="674">
        <v>0</v>
      </c>
      <c r="AN220" s="40">
        <v>0</v>
      </c>
      <c r="AO220" s="52">
        <v>0</v>
      </c>
      <c r="AP220" s="674">
        <v>3552.4995795724381</v>
      </c>
      <c r="AQ220" s="40">
        <v>2925.4662963792662</v>
      </c>
      <c r="AR220" s="52">
        <v>-627.03328319317188</v>
      </c>
      <c r="AS220" s="674">
        <v>45592.144710230248</v>
      </c>
      <c r="AT220" s="40">
        <v>3827</v>
      </c>
      <c r="AU220" s="54">
        <v>-41765.144710230248</v>
      </c>
      <c r="AV220" s="674">
        <v>3145.7546811727402</v>
      </c>
      <c r="AW220" s="40">
        <v>188</v>
      </c>
      <c r="AX220" s="55">
        <v>-2957.7546811727402</v>
      </c>
      <c r="AY220" s="674">
        <v>4653.6704143029201</v>
      </c>
      <c r="AZ220" s="40">
        <v>1215</v>
      </c>
      <c r="BA220" s="35">
        <v>-3438.6704143029201</v>
      </c>
      <c r="BB220" s="674">
        <v>3124.6917239272193</v>
      </c>
      <c r="BC220" s="40">
        <v>516</v>
      </c>
      <c r="BD220" s="55">
        <v>-2608.6917239272193</v>
      </c>
      <c r="BE220" s="674">
        <v>2752.5668686031163</v>
      </c>
      <c r="BF220" s="40">
        <v>0</v>
      </c>
      <c r="BG220" s="38">
        <v>-2752.5668686031163</v>
      </c>
      <c r="BH220" s="674">
        <v>1386.8427402496034</v>
      </c>
      <c r="BI220" s="40">
        <v>0</v>
      </c>
      <c r="BJ220" s="55">
        <v>-1386.8427402496034</v>
      </c>
      <c r="BK220" s="674">
        <v>2467.7093709307528</v>
      </c>
      <c r="BL220" s="40">
        <v>82</v>
      </c>
      <c r="BM220" s="38">
        <v>-2385.7093709307528</v>
      </c>
      <c r="BN220" s="674">
        <v>141.47910000000002</v>
      </c>
      <c r="BO220" s="40">
        <v>0</v>
      </c>
      <c r="BP220" s="55">
        <v>-141.47910000000002</v>
      </c>
      <c r="BQ220" s="77">
        <v>17672.714899186354</v>
      </c>
      <c r="BR220" s="40">
        <v>2001</v>
      </c>
      <c r="BS220" s="55">
        <v>-15671.714899186354</v>
      </c>
      <c r="BT220" s="674">
        <v>62381.441875243807</v>
      </c>
      <c r="BU220" s="40">
        <v>63491.472751422996</v>
      </c>
      <c r="BV220" s="52">
        <v>1110.0308761791894</v>
      </c>
      <c r="BW220" s="674">
        <v>28177.822975059898</v>
      </c>
      <c r="BX220" s="40">
        <v>25178.316477228342</v>
      </c>
      <c r="BY220" s="52">
        <v>-2999.5064978315568</v>
      </c>
      <c r="BZ220" s="674">
        <v>15430.491449340589</v>
      </c>
      <c r="CA220" s="40">
        <v>15505.630998259687</v>
      </c>
      <c r="CB220" s="52">
        <v>75.139548919098161</v>
      </c>
      <c r="CC220" s="674">
        <v>2564.9970643449838</v>
      </c>
      <c r="CD220" s="40">
        <v>2695.8659316005328</v>
      </c>
      <c r="CE220" s="52">
        <v>130.86886725554905</v>
      </c>
      <c r="CF220" s="674">
        <v>313.49564472090231</v>
      </c>
      <c r="CG220" s="40">
        <v>1129.9153146014414</v>
      </c>
      <c r="CH220" s="52">
        <v>816.41966988053912</v>
      </c>
      <c r="CI220" s="674">
        <v>8695.6476249602274</v>
      </c>
      <c r="CJ220" s="40">
        <v>6776.2693492216131</v>
      </c>
      <c r="CK220" s="52">
        <v>-1919.3782757386143</v>
      </c>
      <c r="CL220" s="674">
        <v>0</v>
      </c>
      <c r="CM220" s="40">
        <v>0</v>
      </c>
      <c r="CN220" s="52">
        <v>0</v>
      </c>
      <c r="CO220" s="39">
        <v>8695.6476249602274</v>
      </c>
      <c r="CP220" s="40">
        <v>6776.2693492216131</v>
      </c>
      <c r="CQ220" s="52">
        <v>-1919.3782757386143</v>
      </c>
      <c r="CR220" s="72">
        <v>239798.89034862129</v>
      </c>
      <c r="CS220" s="5">
        <v>179342.20731981358</v>
      </c>
      <c r="CT220" s="52">
        <v>-60456.683028807718</v>
      </c>
      <c r="CU220" s="77">
        <v>287758.66841834557</v>
      </c>
      <c r="CV220" s="65">
        <v>215210.6487837763</v>
      </c>
      <c r="CW220" s="35">
        <v>-72548.019634569268</v>
      </c>
      <c r="CX220" s="73">
        <v>7555.3834459094633</v>
      </c>
      <c r="CY220" s="40">
        <v>80103.403080478602</v>
      </c>
      <c r="CZ220" s="52">
        <v>72548.019634569137</v>
      </c>
      <c r="DA220" s="150">
        <v>-2289.3996658727701</v>
      </c>
      <c r="DB220" s="2">
        <v>2</v>
      </c>
      <c r="DC220" s="675">
        <v>34394.75</v>
      </c>
      <c r="DD220" s="675">
        <v>38404.979999999996</v>
      </c>
      <c r="DE220" s="675">
        <v>10299.898360342697</v>
      </c>
      <c r="DF220" s="675">
        <v>36595.451792763422</v>
      </c>
      <c r="DG220" s="321">
        <v>70258.619968696381</v>
      </c>
      <c r="DH220" s="40">
        <v>295291.73051680875</v>
      </c>
      <c r="DI220" s="422">
        <v>25904.37984689388</v>
      </c>
      <c r="DJ220" s="306">
        <v>5.5279015960138524</v>
      </c>
      <c r="DK220" s="306">
        <v>5.5279015960138524</v>
      </c>
      <c r="DL220" s="306">
        <v>4.8087382599962156</v>
      </c>
      <c r="DM220" s="28">
        <v>24094.851639657303</v>
      </c>
      <c r="DN220" s="28">
        <v>1809.528207236576</v>
      </c>
      <c r="DO220" s="423">
        <v>25904.37984689388</v>
      </c>
      <c r="DP220" s="94">
        <v>0</v>
      </c>
      <c r="DQ220" s="28">
        <v>25904.37984689388</v>
      </c>
      <c r="DR220" s="318"/>
      <c r="DT220" s="8"/>
      <c r="DU220" s="5"/>
      <c r="DX220" s="5">
        <v>75917.831531299918</v>
      </c>
      <c r="DY220" s="5">
        <v>6993.5999999999995</v>
      </c>
      <c r="DZ220" s="159">
        <v>6613.7081887984787</v>
      </c>
      <c r="EB220" s="676">
        <v>-2708.3421881923896</v>
      </c>
      <c r="EC220" s="676">
        <v>-3074.6001639644746</v>
      </c>
      <c r="ED220" s="676">
        <v>-4351.3103621451191</v>
      </c>
      <c r="EE220" s="676">
        <v>-5121.6998552590594</v>
      </c>
      <c r="EF220" s="676">
        <v>-5771.1186835255758</v>
      </c>
      <c r="EG220" s="676">
        <v>-6815.1988460139037</v>
      </c>
      <c r="EH220" s="676">
        <v>-8243.5103919743124</v>
      </c>
      <c r="EI220" s="676">
        <v>-13825.971108574391</v>
      </c>
      <c r="EJ220" s="676">
        <v>-7262.6216373270836</v>
      </c>
      <c r="EK220" s="676">
        <v>-4620.8021089146532</v>
      </c>
      <c r="EL220" s="676">
        <v>-1875.7241600037232</v>
      </c>
      <c r="EM220" s="676">
        <v>-8877.1201286744654</v>
      </c>
      <c r="EN220" s="676">
        <v>-72548.019634569151</v>
      </c>
      <c r="EQ220" s="5">
        <v>75917.831531299918</v>
      </c>
      <c r="ER220" s="5">
        <v>6993.5999999999995</v>
      </c>
      <c r="ET220" s="318">
        <v>-44281.44261937651</v>
      </c>
      <c r="EU220" s="5">
        <v>95831.062588072877</v>
      </c>
    </row>
    <row r="221" spans="1:151" x14ac:dyDescent="0.3">
      <c r="A221" s="325">
        <v>150000934</v>
      </c>
      <c r="B221" s="41" t="s">
        <v>668</v>
      </c>
      <c r="C221" s="42" t="s">
        <v>216</v>
      </c>
      <c r="D221" s="27">
        <v>4</v>
      </c>
      <c r="E221" s="293">
        <v>1981.17</v>
      </c>
      <c r="F221" s="305">
        <v>1981.17</v>
      </c>
      <c r="G221" s="508">
        <v>0</v>
      </c>
      <c r="H221" s="677">
        <v>0</v>
      </c>
      <c r="I221" s="674">
        <v>6350.0439299135714</v>
      </c>
      <c r="J221" s="40">
        <v>6928.7683125821441</v>
      </c>
      <c r="K221" s="52">
        <v>578.72438266857262</v>
      </c>
      <c r="L221" s="674">
        <v>921.38201652526902</v>
      </c>
      <c r="M221" s="40">
        <v>1008.4872084355768</v>
      </c>
      <c r="N221" s="52">
        <v>87.105191910307781</v>
      </c>
      <c r="O221" s="674">
        <v>2421.8270313133853</v>
      </c>
      <c r="P221" s="40">
        <v>2421.84</v>
      </c>
      <c r="Q221" s="52">
        <v>1.2968686614840408E-2</v>
      </c>
      <c r="R221" s="674">
        <v>0</v>
      </c>
      <c r="S221" s="40">
        <v>0</v>
      </c>
      <c r="T221" s="52">
        <v>0</v>
      </c>
      <c r="U221" s="674">
        <v>0</v>
      </c>
      <c r="V221" s="40">
        <v>0</v>
      </c>
      <c r="W221" s="52">
        <v>0</v>
      </c>
      <c r="X221" s="674">
        <v>4252.2943493862367</v>
      </c>
      <c r="Y221" s="40">
        <v>3043.7320932045714</v>
      </c>
      <c r="Z221" s="52">
        <v>-1208.5622561816654</v>
      </c>
      <c r="AA221" s="674">
        <v>237.74040000000002</v>
      </c>
      <c r="AB221" s="40">
        <v>0</v>
      </c>
      <c r="AC221" s="52">
        <v>-237.74040000000002</v>
      </c>
      <c r="AD221" s="674">
        <v>8494.2801682111312</v>
      </c>
      <c r="AE221" s="40">
        <v>8417.4402519318301</v>
      </c>
      <c r="AF221" s="35">
        <v>-76.839916279301178</v>
      </c>
      <c r="AG221" s="77">
        <v>22677.567895349595</v>
      </c>
      <c r="AH221" s="53">
        <v>21820.267866154121</v>
      </c>
      <c r="AI221" s="52">
        <v>-857.30002919547405</v>
      </c>
      <c r="AJ221" s="674">
        <v>0</v>
      </c>
      <c r="AK221" s="40">
        <v>0</v>
      </c>
      <c r="AL221" s="52">
        <v>0</v>
      </c>
      <c r="AM221" s="674">
        <v>0</v>
      </c>
      <c r="AN221" s="40">
        <v>0</v>
      </c>
      <c r="AO221" s="52">
        <v>0</v>
      </c>
      <c r="AP221" s="674">
        <v>4856.5817037192819</v>
      </c>
      <c r="AQ221" s="40">
        <v>3816.783185187036</v>
      </c>
      <c r="AR221" s="52">
        <v>-1039.7985185322459</v>
      </c>
      <c r="AS221" s="674">
        <v>16459.24762953394</v>
      </c>
      <c r="AT221" s="40">
        <v>9365.380000000001</v>
      </c>
      <c r="AU221" s="54">
        <v>-7093.8676295339392</v>
      </c>
      <c r="AV221" s="674">
        <v>1506.1515737049774</v>
      </c>
      <c r="AW221" s="40">
        <v>366</v>
      </c>
      <c r="AX221" s="55">
        <v>-1140.1515737049774</v>
      </c>
      <c r="AY221" s="674">
        <v>1510.5794781210589</v>
      </c>
      <c r="AZ221" s="40">
        <v>0</v>
      </c>
      <c r="BA221" s="35">
        <v>-1510.5794781210589</v>
      </c>
      <c r="BB221" s="674">
        <v>1375.822965268459</v>
      </c>
      <c r="BC221" s="40">
        <v>0</v>
      </c>
      <c r="BD221" s="55">
        <v>-1375.822965268459</v>
      </c>
      <c r="BE221" s="674">
        <v>0</v>
      </c>
      <c r="BF221" s="40">
        <v>0</v>
      </c>
      <c r="BG221" s="38">
        <v>0</v>
      </c>
      <c r="BH221" s="674">
        <v>0</v>
      </c>
      <c r="BI221" s="40">
        <v>0</v>
      </c>
      <c r="BJ221" s="55">
        <v>0</v>
      </c>
      <c r="BK221" s="674">
        <v>893.4820840473069</v>
      </c>
      <c r="BL221" s="40">
        <v>0</v>
      </c>
      <c r="BM221" s="38">
        <v>-893.4820840473069</v>
      </c>
      <c r="BN221" s="674">
        <v>59.435100000000006</v>
      </c>
      <c r="BO221" s="40">
        <v>0</v>
      </c>
      <c r="BP221" s="55">
        <v>-59.435100000000006</v>
      </c>
      <c r="BQ221" s="77">
        <v>5345.4712011418014</v>
      </c>
      <c r="BR221" s="40">
        <v>366</v>
      </c>
      <c r="BS221" s="55">
        <v>-4979.4712011418014</v>
      </c>
      <c r="BT221" s="674">
        <v>28688.142535780647</v>
      </c>
      <c r="BU221" s="40">
        <v>30406.798804834354</v>
      </c>
      <c r="BV221" s="52">
        <v>1718.6562690537066</v>
      </c>
      <c r="BW221" s="674">
        <v>13319.25603113839</v>
      </c>
      <c r="BX221" s="40">
        <v>12340.446904346816</v>
      </c>
      <c r="BY221" s="52">
        <v>-978.80912679157336</v>
      </c>
      <c r="BZ221" s="674">
        <v>8401.4151187840907</v>
      </c>
      <c r="CA221" s="40">
        <v>7345.0391200292233</v>
      </c>
      <c r="CB221" s="52">
        <v>-1056.3759987548674</v>
      </c>
      <c r="CC221" s="674">
        <v>0</v>
      </c>
      <c r="CD221" s="40">
        <v>0</v>
      </c>
      <c r="CE221" s="52">
        <v>0</v>
      </c>
      <c r="CF221" s="674">
        <v>0</v>
      </c>
      <c r="CG221" s="40">
        <v>0</v>
      </c>
      <c r="CH221" s="52">
        <v>0</v>
      </c>
      <c r="CI221" s="674">
        <v>7169.9747906616158</v>
      </c>
      <c r="CJ221" s="40">
        <v>7253.3071296296812</v>
      </c>
      <c r="CK221" s="52">
        <v>83.332338968065415</v>
      </c>
      <c r="CL221" s="674">
        <v>0</v>
      </c>
      <c r="CM221" s="40">
        <v>0</v>
      </c>
      <c r="CN221" s="52">
        <v>0</v>
      </c>
      <c r="CO221" s="39">
        <v>7169.9747906616158</v>
      </c>
      <c r="CP221" s="40">
        <v>7253.3071296296812</v>
      </c>
      <c r="CQ221" s="52">
        <v>83.332338968065415</v>
      </c>
      <c r="CR221" s="72">
        <v>106917.65690610935</v>
      </c>
      <c r="CS221" s="5">
        <v>92714.023010181234</v>
      </c>
      <c r="CT221" s="52">
        <v>-14203.633895928113</v>
      </c>
      <c r="CU221" s="77">
        <v>128301.18828733121</v>
      </c>
      <c r="CV221" s="65">
        <v>111256.82761221747</v>
      </c>
      <c r="CW221" s="35">
        <v>-17044.360675113741</v>
      </c>
      <c r="CX221" s="73">
        <v>3882.385363223158</v>
      </c>
      <c r="CY221" s="40">
        <v>20926.7460383369</v>
      </c>
      <c r="CZ221" s="52">
        <v>17044.360675113741</v>
      </c>
      <c r="DA221" s="150">
        <v>-12558.280749415662</v>
      </c>
      <c r="DB221" s="2">
        <v>2</v>
      </c>
      <c r="DC221" s="675">
        <v>63049.99</v>
      </c>
      <c r="DD221" s="675">
        <v>0</v>
      </c>
      <c r="DE221" s="675">
        <v>51462.197364425192</v>
      </c>
      <c r="DF221" s="675">
        <v>0</v>
      </c>
      <c r="DG221" s="321">
        <v>4486.0799256980836</v>
      </c>
      <c r="DH221" s="40">
        <v>132173.55961216465</v>
      </c>
      <c r="DI221" s="422">
        <v>11587.79263557481</v>
      </c>
      <c r="DJ221" s="306">
        <v>5.8489643168303616</v>
      </c>
      <c r="DK221" s="306">
        <v>5.8489643168303616</v>
      </c>
      <c r="DL221" s="306">
        <v>5.0890944801119566</v>
      </c>
      <c r="DM221" s="28">
        <v>11587.792635574808</v>
      </c>
      <c r="DN221" s="28">
        <v>0</v>
      </c>
      <c r="DO221" s="423">
        <v>11587.792635574808</v>
      </c>
      <c r="DP221" s="94">
        <v>0</v>
      </c>
      <c r="DQ221" s="28">
        <v>11587.792635574808</v>
      </c>
      <c r="DR221" s="318"/>
      <c r="DT221" s="8"/>
      <c r="DU221" s="5"/>
      <c r="DX221" s="5">
        <v>26165.662596810889</v>
      </c>
      <c r="DY221" s="5">
        <v>11677.656000000001</v>
      </c>
      <c r="DZ221" s="159">
        <v>2242.6094226121595</v>
      </c>
      <c r="EB221" s="676">
        <v>-1025.0386230308968</v>
      </c>
      <c r="EC221" s="676">
        <v>1665.3273143009646</v>
      </c>
      <c r="ED221" s="676">
        <v>-2171.1879978174511</v>
      </c>
      <c r="EE221" s="676">
        <v>-4194.2824804416405</v>
      </c>
      <c r="EF221" s="676">
        <v>-4777.4936884858334</v>
      </c>
      <c r="EG221" s="676">
        <v>6471.9256283492959</v>
      </c>
      <c r="EH221" s="676">
        <v>-2372.9391008225466</v>
      </c>
      <c r="EI221" s="676">
        <v>-639.6727568835795</v>
      </c>
      <c r="EJ221" s="676">
        <v>-2384.2078148962846</v>
      </c>
      <c r="EK221" s="676">
        <v>-2250.9152221331969</v>
      </c>
      <c r="EL221" s="676">
        <v>-2176.9191575803834</v>
      </c>
      <c r="EM221" s="676">
        <v>-3188.9567756721908</v>
      </c>
      <c r="EN221" s="676">
        <v>-17044.360675113745</v>
      </c>
      <c r="EQ221" s="5">
        <v>26165.662596810889</v>
      </c>
      <c r="ER221" s="5">
        <v>11677.656000000001</v>
      </c>
      <c r="ET221" s="318">
        <v>-14449.092256710235</v>
      </c>
      <c r="EU221" s="5">
        <v>-14298.827817591675</v>
      </c>
    </row>
    <row r="222" spans="1:151" x14ac:dyDescent="0.3">
      <c r="A222" s="325">
        <v>150000935</v>
      </c>
      <c r="B222" s="41" t="s">
        <v>669</v>
      </c>
      <c r="C222" s="42" t="s">
        <v>176</v>
      </c>
      <c r="D222" s="27">
        <v>2</v>
      </c>
      <c r="E222" s="293">
        <v>286.2</v>
      </c>
      <c r="F222" s="305">
        <v>286.2</v>
      </c>
      <c r="G222" s="508">
        <v>0</v>
      </c>
      <c r="H222" s="677">
        <v>0</v>
      </c>
      <c r="I222" s="674">
        <v>802.94622786480465</v>
      </c>
      <c r="J222" s="40">
        <v>916.99702812021576</v>
      </c>
      <c r="K222" s="52">
        <v>114.0508002554111</v>
      </c>
      <c r="L222" s="674">
        <v>275.13431239333897</v>
      </c>
      <c r="M222" s="40">
        <v>301.14385900758487</v>
      </c>
      <c r="N222" s="52">
        <v>26.009546614245892</v>
      </c>
      <c r="O222" s="674">
        <v>364.35373807967494</v>
      </c>
      <c r="P222" s="40">
        <v>364.37999999999994</v>
      </c>
      <c r="Q222" s="52">
        <v>2.62619203249983E-2</v>
      </c>
      <c r="R222" s="674">
        <v>0</v>
      </c>
      <c r="S222" s="40">
        <v>0</v>
      </c>
      <c r="T222" s="52">
        <v>0</v>
      </c>
      <c r="U222" s="674">
        <v>0</v>
      </c>
      <c r="V222" s="40">
        <v>0</v>
      </c>
      <c r="W222" s="52">
        <v>0</v>
      </c>
      <c r="X222" s="674">
        <v>457.20177151870246</v>
      </c>
      <c r="Y222" s="40">
        <v>1008.1499794026034</v>
      </c>
      <c r="Z222" s="52">
        <v>550.94820788390098</v>
      </c>
      <c r="AA222" s="674">
        <v>34.344000000000001</v>
      </c>
      <c r="AB222" s="40">
        <v>0</v>
      </c>
      <c r="AC222" s="52">
        <v>-34.344000000000001</v>
      </c>
      <c r="AD222" s="674">
        <v>1227.1018391514085</v>
      </c>
      <c r="AE222" s="40">
        <v>1215.9841912117026</v>
      </c>
      <c r="AF222" s="35">
        <v>-11.117647939705876</v>
      </c>
      <c r="AG222" s="77">
        <v>3161.0818890079295</v>
      </c>
      <c r="AH222" s="53">
        <v>3806.6550577421067</v>
      </c>
      <c r="AI222" s="52">
        <v>645.57316873417722</v>
      </c>
      <c r="AJ222" s="674">
        <v>0</v>
      </c>
      <c r="AK222" s="40">
        <v>0</v>
      </c>
      <c r="AL222" s="52">
        <v>0</v>
      </c>
      <c r="AM222" s="674">
        <v>0</v>
      </c>
      <c r="AN222" s="40">
        <v>0</v>
      </c>
      <c r="AO222" s="52">
        <v>0</v>
      </c>
      <c r="AP222" s="674">
        <v>809.43028395321335</v>
      </c>
      <c r="AQ222" s="40">
        <v>626.35027398482737</v>
      </c>
      <c r="AR222" s="52">
        <v>-183.08000996838598</v>
      </c>
      <c r="AS222" s="674">
        <v>3953.1108455566591</v>
      </c>
      <c r="AT222" s="40">
        <v>2113</v>
      </c>
      <c r="AU222" s="54">
        <v>-1840.1108455566591</v>
      </c>
      <c r="AV222" s="674">
        <v>480.66446231297488</v>
      </c>
      <c r="AW222" s="40">
        <v>0</v>
      </c>
      <c r="AX222" s="55">
        <v>-480.66446231297488</v>
      </c>
      <c r="AY222" s="674">
        <v>451.13870900212146</v>
      </c>
      <c r="AZ222" s="40">
        <v>0</v>
      </c>
      <c r="BA222" s="35">
        <v>-451.13870900212146</v>
      </c>
      <c r="BB222" s="674">
        <v>135.92142226497157</v>
      </c>
      <c r="BC222" s="40">
        <v>0</v>
      </c>
      <c r="BD222" s="55">
        <v>-135.92142226497157</v>
      </c>
      <c r="BE222" s="674">
        <v>0</v>
      </c>
      <c r="BF222" s="40">
        <v>0</v>
      </c>
      <c r="BG222" s="38">
        <v>0</v>
      </c>
      <c r="BH222" s="674">
        <v>0</v>
      </c>
      <c r="BI222" s="40">
        <v>0</v>
      </c>
      <c r="BJ222" s="55">
        <v>0</v>
      </c>
      <c r="BK222" s="674">
        <v>54.940141518865744</v>
      </c>
      <c r="BL222" s="40">
        <v>0</v>
      </c>
      <c r="BM222" s="38">
        <v>-54.940141518865744</v>
      </c>
      <c r="BN222" s="674">
        <v>8.5860000000000003</v>
      </c>
      <c r="BO222" s="40">
        <v>0</v>
      </c>
      <c r="BP222" s="55">
        <v>-8.5860000000000003</v>
      </c>
      <c r="BQ222" s="77">
        <v>1131.2507350989338</v>
      </c>
      <c r="BR222" s="40">
        <v>0</v>
      </c>
      <c r="BS222" s="55">
        <v>-1131.2507350989338</v>
      </c>
      <c r="BT222" s="674">
        <v>4849.8434277787992</v>
      </c>
      <c r="BU222" s="40">
        <v>4965.3810841681898</v>
      </c>
      <c r="BV222" s="52">
        <v>115.53765638939058</v>
      </c>
      <c r="BW222" s="674">
        <v>1085.1527634568954</v>
      </c>
      <c r="BX222" s="40">
        <v>1115.9182872306133</v>
      </c>
      <c r="BY222" s="52">
        <v>30.76552377371786</v>
      </c>
      <c r="BZ222" s="674">
        <v>1463.2632670597923</v>
      </c>
      <c r="CA222" s="40">
        <v>1323.6313499242806</v>
      </c>
      <c r="CB222" s="52">
        <v>-139.63191713551169</v>
      </c>
      <c r="CC222" s="674">
        <v>0</v>
      </c>
      <c r="CD222" s="40">
        <v>0</v>
      </c>
      <c r="CE222" s="52">
        <v>0</v>
      </c>
      <c r="CF222" s="674">
        <v>0</v>
      </c>
      <c r="CG222" s="40">
        <v>0</v>
      </c>
      <c r="CH222" s="52">
        <v>0</v>
      </c>
      <c r="CI222" s="674">
        <v>1159.988632973646</v>
      </c>
      <c r="CJ222" s="40">
        <v>751.56763770278803</v>
      </c>
      <c r="CK222" s="52">
        <v>-408.42099527085793</v>
      </c>
      <c r="CL222" s="674">
        <v>0</v>
      </c>
      <c r="CM222" s="40">
        <v>0</v>
      </c>
      <c r="CN222" s="52">
        <v>0</v>
      </c>
      <c r="CO222" s="39">
        <v>1159.988632973646</v>
      </c>
      <c r="CP222" s="40">
        <v>751.56763770278803</v>
      </c>
      <c r="CQ222" s="52">
        <v>-408.42099527085793</v>
      </c>
      <c r="CR222" s="72">
        <v>17613.121844885871</v>
      </c>
      <c r="CS222" s="5">
        <v>14702.503690752807</v>
      </c>
      <c r="CT222" s="52">
        <v>-2910.6181541330643</v>
      </c>
      <c r="CU222" s="77">
        <v>21135.746213863044</v>
      </c>
      <c r="CV222" s="65">
        <v>17643.004428903369</v>
      </c>
      <c r="CW222" s="35">
        <v>-3492.741784959675</v>
      </c>
      <c r="CX222" s="73">
        <v>216.10986458967952</v>
      </c>
      <c r="CY222" s="40">
        <v>3708.8516495493559</v>
      </c>
      <c r="CZ222" s="52">
        <v>3492.7417849596764</v>
      </c>
      <c r="DA222" s="150">
        <v>3058.3927660197096</v>
      </c>
      <c r="DB222" s="2">
        <v>2</v>
      </c>
      <c r="DC222" s="675">
        <v>2492.1799999999998</v>
      </c>
      <c r="DD222" s="675">
        <v>0</v>
      </c>
      <c r="DE222" s="675">
        <v>620.06623158987486</v>
      </c>
      <c r="DF222" s="675">
        <v>0</v>
      </c>
      <c r="DG222" s="321">
        <v>6551.1345509793855</v>
      </c>
      <c r="DH222" s="40">
        <v>21350.239514333953</v>
      </c>
      <c r="DI222" s="422">
        <v>1872.1137684101252</v>
      </c>
      <c r="DJ222" s="306">
        <v>6.5412780168068663</v>
      </c>
      <c r="DK222" s="306">
        <v>6.5412780168068663</v>
      </c>
      <c r="DL222" s="306">
        <v>6.1423626080611413</v>
      </c>
      <c r="DM222" s="28">
        <v>1872.113768410125</v>
      </c>
      <c r="DN222" s="28">
        <v>0</v>
      </c>
      <c r="DO222" s="423">
        <v>1872.113768410125</v>
      </c>
      <c r="DP222" s="94">
        <v>0</v>
      </c>
      <c r="DQ222" s="28">
        <v>1872.113768410125</v>
      </c>
      <c r="DR222" s="318"/>
      <c r="DT222" s="8"/>
      <c r="DU222" s="5"/>
      <c r="DX222" s="5">
        <v>6101.2338967867108</v>
      </c>
      <c r="DY222" s="5">
        <v>2535.6</v>
      </c>
      <c r="DZ222" s="159">
        <v>544.80696792439858</v>
      </c>
      <c r="EB222" s="676">
        <v>-327.95392973467733</v>
      </c>
      <c r="EC222" s="676">
        <v>6.9201290939706723</v>
      </c>
      <c r="ED222" s="676">
        <v>356.26699653743276</v>
      </c>
      <c r="EE222" s="676">
        <v>-952.26352043098109</v>
      </c>
      <c r="EF222" s="676">
        <v>-983.5531035991944</v>
      </c>
      <c r="EG222" s="676">
        <v>-884.2621613291542</v>
      </c>
      <c r="EH222" s="676">
        <v>-242.89949955244447</v>
      </c>
      <c r="EI222" s="676">
        <v>-360.96624982441176</v>
      </c>
      <c r="EJ222" s="676">
        <v>-621.09654088435445</v>
      </c>
      <c r="EK222" s="676">
        <v>1751.4068277882645</v>
      </c>
      <c r="EL222" s="676">
        <v>-423.46198272411675</v>
      </c>
      <c r="EM222" s="676">
        <v>-810.87875030000941</v>
      </c>
      <c r="EN222" s="676">
        <v>-3492.7417849596759</v>
      </c>
      <c r="EQ222" s="5">
        <v>6101.2338967867108</v>
      </c>
      <c r="ER222" s="5">
        <v>2535.6</v>
      </c>
      <c r="ET222" s="318">
        <v>-4577.5931828748071</v>
      </c>
      <c r="EU222" s="5">
        <v>16709.727733854194</v>
      </c>
    </row>
    <row r="223" spans="1:151" x14ac:dyDescent="0.3">
      <c r="A223" s="325">
        <v>150000936</v>
      </c>
      <c r="B223" s="41" t="s">
        <v>670</v>
      </c>
      <c r="C223" s="42" t="s">
        <v>122</v>
      </c>
      <c r="D223" s="27">
        <v>1</v>
      </c>
      <c r="E223" s="293">
        <v>341.75</v>
      </c>
      <c r="F223" s="305">
        <v>341.75</v>
      </c>
      <c r="G223" s="508">
        <v>0</v>
      </c>
      <c r="H223" s="677">
        <v>0</v>
      </c>
      <c r="I223" s="674">
        <v>0</v>
      </c>
      <c r="J223" s="40">
        <v>0</v>
      </c>
      <c r="K223" s="52">
        <v>0</v>
      </c>
      <c r="L223" s="674">
        <v>0</v>
      </c>
      <c r="M223" s="40">
        <v>0</v>
      </c>
      <c r="N223" s="52">
        <v>0</v>
      </c>
      <c r="O223" s="674">
        <v>0</v>
      </c>
      <c r="P223" s="40">
        <v>0</v>
      </c>
      <c r="Q223" s="52">
        <v>0</v>
      </c>
      <c r="R223" s="674">
        <v>0</v>
      </c>
      <c r="S223" s="40">
        <v>0</v>
      </c>
      <c r="T223" s="52">
        <v>0</v>
      </c>
      <c r="U223" s="674">
        <v>0</v>
      </c>
      <c r="V223" s="40">
        <v>0</v>
      </c>
      <c r="W223" s="52">
        <v>0</v>
      </c>
      <c r="X223" s="674">
        <v>0</v>
      </c>
      <c r="Y223" s="40">
        <v>0</v>
      </c>
      <c r="Z223" s="52">
        <v>0</v>
      </c>
      <c r="AA223" s="674">
        <v>41.01</v>
      </c>
      <c r="AB223" s="40">
        <v>0</v>
      </c>
      <c r="AC223" s="52">
        <v>-41.01</v>
      </c>
      <c r="AD223" s="674">
        <v>328.32482179192823</v>
      </c>
      <c r="AE223" s="40">
        <v>1452.0006895408787</v>
      </c>
      <c r="AF223" s="35">
        <v>1123.6758677489506</v>
      </c>
      <c r="AG223" s="77">
        <v>369.33482179192822</v>
      </c>
      <c r="AH223" s="53">
        <v>1452.0006895408787</v>
      </c>
      <c r="AI223" s="52">
        <v>1082.6658677489504</v>
      </c>
      <c r="AJ223" s="674">
        <v>0</v>
      </c>
      <c r="AK223" s="40">
        <v>0</v>
      </c>
      <c r="AL223" s="52">
        <v>0</v>
      </c>
      <c r="AM223" s="674">
        <v>0</v>
      </c>
      <c r="AN223" s="40">
        <v>0</v>
      </c>
      <c r="AO223" s="52">
        <v>0</v>
      </c>
      <c r="AP223" s="674">
        <v>539.62018930214231</v>
      </c>
      <c r="AQ223" s="40">
        <v>448.76449922990878</v>
      </c>
      <c r="AR223" s="52">
        <v>-90.855690072233529</v>
      </c>
      <c r="AS223" s="674">
        <v>3157.0313261971446</v>
      </c>
      <c r="AT223" s="40">
        <v>1214</v>
      </c>
      <c r="AU223" s="54">
        <v>-1943.0313261971446</v>
      </c>
      <c r="AV223" s="674">
        <v>0</v>
      </c>
      <c r="AW223" s="40">
        <v>0</v>
      </c>
      <c r="AX223" s="55">
        <v>0</v>
      </c>
      <c r="AY223" s="674">
        <v>0</v>
      </c>
      <c r="AZ223" s="40">
        <v>0</v>
      </c>
      <c r="BA223" s="35">
        <v>0</v>
      </c>
      <c r="BB223" s="674">
        <v>0</v>
      </c>
      <c r="BC223" s="40">
        <v>0</v>
      </c>
      <c r="BD223" s="55">
        <v>0</v>
      </c>
      <c r="BE223" s="674">
        <v>0</v>
      </c>
      <c r="BF223" s="40">
        <v>0</v>
      </c>
      <c r="BG223" s="38">
        <v>0</v>
      </c>
      <c r="BH223" s="674">
        <v>0</v>
      </c>
      <c r="BI223" s="40">
        <v>0</v>
      </c>
      <c r="BJ223" s="55">
        <v>0</v>
      </c>
      <c r="BK223" s="674">
        <v>0</v>
      </c>
      <c r="BL223" s="40">
        <v>0</v>
      </c>
      <c r="BM223" s="38">
        <v>0</v>
      </c>
      <c r="BN223" s="674">
        <v>11.961388531079258</v>
      </c>
      <c r="BO223" s="40">
        <v>0</v>
      </c>
      <c r="BP223" s="55">
        <v>-11.961388531079258</v>
      </c>
      <c r="BQ223" s="77">
        <v>11.961388531079258</v>
      </c>
      <c r="BR223" s="40">
        <v>0</v>
      </c>
      <c r="BS223" s="55">
        <v>-11.961388531079258</v>
      </c>
      <c r="BT223" s="674">
        <v>0</v>
      </c>
      <c r="BU223" s="40">
        <v>0</v>
      </c>
      <c r="BV223" s="52">
        <v>0</v>
      </c>
      <c r="BW223" s="674">
        <v>0</v>
      </c>
      <c r="BX223" s="40">
        <v>7.7736777913380974</v>
      </c>
      <c r="BY223" s="52">
        <v>7.7736777913380974</v>
      </c>
      <c r="BZ223" s="674">
        <v>0</v>
      </c>
      <c r="CA223" s="40">
        <v>0</v>
      </c>
      <c r="CB223" s="52">
        <v>0</v>
      </c>
      <c r="CC223" s="674">
        <v>0</v>
      </c>
      <c r="CD223" s="40">
        <v>0</v>
      </c>
      <c r="CE223" s="52">
        <v>0</v>
      </c>
      <c r="CF223" s="674">
        <v>0</v>
      </c>
      <c r="CG223" s="40">
        <v>0</v>
      </c>
      <c r="CH223" s="52">
        <v>0</v>
      </c>
      <c r="CI223" s="674">
        <v>0</v>
      </c>
      <c r="CJ223" s="40">
        <v>0</v>
      </c>
      <c r="CK223" s="52">
        <v>0</v>
      </c>
      <c r="CL223" s="674">
        <v>0</v>
      </c>
      <c r="CM223" s="40">
        <v>0</v>
      </c>
      <c r="CN223" s="52">
        <v>0</v>
      </c>
      <c r="CO223" s="39">
        <v>0</v>
      </c>
      <c r="CP223" s="40">
        <v>0</v>
      </c>
      <c r="CQ223" s="52">
        <v>0</v>
      </c>
      <c r="CR223" s="72">
        <v>4077.9477258222942</v>
      </c>
      <c r="CS223" s="5">
        <v>3122.5388665621258</v>
      </c>
      <c r="CT223" s="52">
        <v>-955.40885926016836</v>
      </c>
      <c r="CU223" s="77">
        <v>4893.5372709867524</v>
      </c>
      <c r="CV223" s="65">
        <v>3747.0466398745507</v>
      </c>
      <c r="CW223" s="35">
        <v>-1146.4906311122018</v>
      </c>
      <c r="CX223" s="73">
        <v>148.51819528948266</v>
      </c>
      <c r="CY223" s="40">
        <v>1295.0088264016849</v>
      </c>
      <c r="CZ223" s="52">
        <v>1146.4906311122022</v>
      </c>
      <c r="DA223" s="150">
        <v>5183.5417040550319</v>
      </c>
      <c r="DB223" s="2">
        <v>1</v>
      </c>
      <c r="DC223" s="675">
        <v>3016.76</v>
      </c>
      <c r="DD223" s="675">
        <v>0</v>
      </c>
      <c r="DE223" s="675">
        <v>2576.7620431408882</v>
      </c>
      <c r="DF223" s="675">
        <v>0</v>
      </c>
      <c r="DG223" s="321">
        <v>6330.0323351672341</v>
      </c>
      <c r="DH223" s="40">
        <v>5041.6669903784259</v>
      </c>
      <c r="DI223" s="422">
        <v>439.99795685911198</v>
      </c>
      <c r="DJ223" s="306">
        <v>1.2874848774224199</v>
      </c>
      <c r="DK223" s="306">
        <v>1.2874848774224199</v>
      </c>
      <c r="DL223" s="306">
        <v>1.2874848774224199</v>
      </c>
      <c r="DM223" s="28">
        <v>439.99795685911198</v>
      </c>
      <c r="DN223" s="28">
        <v>0</v>
      </c>
      <c r="DO223" s="423">
        <v>439.99795685911198</v>
      </c>
      <c r="DP223" s="94">
        <v>0</v>
      </c>
      <c r="DQ223" s="28">
        <v>439.99795685911198</v>
      </c>
      <c r="DR223" s="318"/>
      <c r="DT223" s="8"/>
      <c r="DU223" s="5"/>
      <c r="DX223" s="5">
        <v>3802.7912576738681</v>
      </c>
      <c r="DY223" s="5">
        <v>1456.8</v>
      </c>
      <c r="DZ223" s="159">
        <v>372.44524080112438</v>
      </c>
      <c r="EB223" s="676">
        <v>144.65739035675023</v>
      </c>
      <c r="EC223" s="676">
        <v>-159.60342307794056</v>
      </c>
      <c r="ED223" s="676">
        <v>-153.41550494968763</v>
      </c>
      <c r="EE223" s="676">
        <v>-326.48337797317294</v>
      </c>
      <c r="EF223" s="676">
        <v>-308.75301568547684</v>
      </c>
      <c r="EG223" s="676">
        <v>-315.62829584509956</v>
      </c>
      <c r="EH223" s="676">
        <v>-51.008143389743054</v>
      </c>
      <c r="EI223" s="676">
        <v>-259.33126543095341</v>
      </c>
      <c r="EJ223" s="676">
        <v>-314.3195316461709</v>
      </c>
      <c r="EK223" s="676">
        <v>-247.76725572682778</v>
      </c>
      <c r="EL223" s="676">
        <v>1164.8338926021231</v>
      </c>
      <c r="EM223" s="676">
        <v>-319.67210034600288</v>
      </c>
      <c r="EN223" s="676">
        <v>-1146.490631112202</v>
      </c>
      <c r="EQ223" s="5">
        <v>3802.7912576738681</v>
      </c>
      <c r="ER223" s="5">
        <v>1456.8</v>
      </c>
      <c r="ET223" s="318">
        <v>3497.8062626816168</v>
      </c>
      <c r="EU223" s="5">
        <v>1140.2260724856171</v>
      </c>
    </row>
    <row r="224" spans="1:151" x14ac:dyDescent="0.3">
      <c r="A224" s="325">
        <v>150000937</v>
      </c>
      <c r="B224" s="41" t="s">
        <v>671</v>
      </c>
      <c r="C224" s="42" t="s">
        <v>375</v>
      </c>
      <c r="D224" s="27">
        <v>9</v>
      </c>
      <c r="E224" s="293">
        <v>3813.3</v>
      </c>
      <c r="F224" s="305">
        <v>3813.3</v>
      </c>
      <c r="G224" s="508">
        <v>407.65</v>
      </c>
      <c r="H224" s="677">
        <v>0</v>
      </c>
      <c r="I224" s="674">
        <v>5618.0095126143415</v>
      </c>
      <c r="J224" s="40">
        <v>5020.5545602191978</v>
      </c>
      <c r="K224" s="52">
        <v>-597.45495239514366</v>
      </c>
      <c r="L224" s="674">
        <v>2204.1941294073276</v>
      </c>
      <c r="M224" s="40">
        <v>1756.0207497430529</v>
      </c>
      <c r="N224" s="52">
        <v>-448.17337966427476</v>
      </c>
      <c r="O224" s="674">
        <v>5034.81760520428</v>
      </c>
      <c r="P224" s="40">
        <v>5034.8399999999992</v>
      </c>
      <c r="Q224" s="52">
        <v>2.2394795719264948E-2</v>
      </c>
      <c r="R224" s="674">
        <v>1182.0689966593202</v>
      </c>
      <c r="S224" s="40">
        <v>1182.0600000000004</v>
      </c>
      <c r="T224" s="52">
        <v>-8.9966593197914335E-3</v>
      </c>
      <c r="U224" s="674">
        <v>1056.1137555975529</v>
      </c>
      <c r="V224" s="40">
        <v>441.30195545531194</v>
      </c>
      <c r="W224" s="52">
        <v>-614.81180014224094</v>
      </c>
      <c r="X224" s="674">
        <v>8245.8113157446824</v>
      </c>
      <c r="Y224" s="40">
        <v>7159.8868227314706</v>
      </c>
      <c r="Z224" s="52">
        <v>-1085.9244930132118</v>
      </c>
      <c r="AA224" s="674">
        <v>457.596</v>
      </c>
      <c r="AB224" s="40">
        <v>0</v>
      </c>
      <c r="AC224" s="52">
        <v>-457.596</v>
      </c>
      <c r="AD224" s="674">
        <v>16349.548941550565</v>
      </c>
      <c r="AE224" s="40">
        <v>16201.651000515678</v>
      </c>
      <c r="AF224" s="35">
        <v>-147.89794103488748</v>
      </c>
      <c r="AG224" s="77">
        <v>40148.160256778065</v>
      </c>
      <c r="AH224" s="53">
        <v>36796.315088664705</v>
      </c>
      <c r="AI224" s="52">
        <v>-3351.8451681133593</v>
      </c>
      <c r="AJ224" s="674">
        <v>28285.720901111552</v>
      </c>
      <c r="AK224" s="40">
        <v>27898.809237539299</v>
      </c>
      <c r="AL224" s="52">
        <v>-386.91166357225302</v>
      </c>
      <c r="AM224" s="674">
        <v>630.44965500000001</v>
      </c>
      <c r="AN224" s="40">
        <v>129.91419040372483</v>
      </c>
      <c r="AO224" s="52">
        <v>-500.53546459627518</v>
      </c>
      <c r="AP224" s="674">
        <v>3237.7211358128534</v>
      </c>
      <c r="AQ224" s="40">
        <v>3220.8088564279014</v>
      </c>
      <c r="AR224" s="52">
        <v>-16.912279384951944</v>
      </c>
      <c r="AS224" s="674">
        <v>52690.303863041881</v>
      </c>
      <c r="AT224" s="40">
        <v>46742.080000000002</v>
      </c>
      <c r="AU224" s="54">
        <v>-5948.2238630418797</v>
      </c>
      <c r="AV224" s="674">
        <v>1191.1609758457957</v>
      </c>
      <c r="AW224" s="40">
        <v>2748</v>
      </c>
      <c r="AX224" s="55">
        <v>1556.8390241542043</v>
      </c>
      <c r="AY224" s="674">
        <v>2355.1662500486682</v>
      </c>
      <c r="AZ224" s="40">
        <v>2063</v>
      </c>
      <c r="BA224" s="35">
        <v>-292.16625004866819</v>
      </c>
      <c r="BB224" s="674">
        <v>1381.2992754289016</v>
      </c>
      <c r="BC224" s="40">
        <v>0</v>
      </c>
      <c r="BD224" s="55">
        <v>-1381.2992754289016</v>
      </c>
      <c r="BE224" s="674">
        <v>1819.4059068434078</v>
      </c>
      <c r="BF224" s="40">
        <v>6899</v>
      </c>
      <c r="BG224" s="38">
        <v>5079.594093156592</v>
      </c>
      <c r="BH224" s="674">
        <v>1364.5771642971445</v>
      </c>
      <c r="BI224" s="40">
        <v>0</v>
      </c>
      <c r="BJ224" s="55">
        <v>-1364.5771642971445</v>
      </c>
      <c r="BK224" s="674">
        <v>1604.0637992794479</v>
      </c>
      <c r="BL224" s="40">
        <v>332</v>
      </c>
      <c r="BM224" s="38">
        <v>-1272.0637992794479</v>
      </c>
      <c r="BN224" s="674">
        <v>536.8805461294653</v>
      </c>
      <c r="BO224" s="40">
        <v>0</v>
      </c>
      <c r="BP224" s="55">
        <v>-536.8805461294653</v>
      </c>
      <c r="BQ224" s="77">
        <v>10252.55391787283</v>
      </c>
      <c r="BR224" s="40">
        <v>12042</v>
      </c>
      <c r="BS224" s="55">
        <v>1789.4460821271696</v>
      </c>
      <c r="BT224" s="674">
        <v>52540.544724217732</v>
      </c>
      <c r="BU224" s="40">
        <v>53839.802934883497</v>
      </c>
      <c r="BV224" s="52">
        <v>1299.2582106657646</v>
      </c>
      <c r="BW224" s="674">
        <v>28370.686180961413</v>
      </c>
      <c r="BX224" s="40">
        <v>27539.09623462132</v>
      </c>
      <c r="BY224" s="52">
        <v>-831.58994634009287</v>
      </c>
      <c r="BZ224" s="674">
        <v>10004.894110197174</v>
      </c>
      <c r="CA224" s="40">
        <v>13352.839277052057</v>
      </c>
      <c r="CB224" s="52">
        <v>3347.9451668548827</v>
      </c>
      <c r="CC224" s="674">
        <v>892.93925392196047</v>
      </c>
      <c r="CD224" s="40">
        <v>934.6447433501304</v>
      </c>
      <c r="CE224" s="52">
        <v>41.705489428169926</v>
      </c>
      <c r="CF224" s="674">
        <v>108.68754746553492</v>
      </c>
      <c r="CG224" s="40">
        <v>0</v>
      </c>
      <c r="CH224" s="52">
        <v>-108.68754746553492</v>
      </c>
      <c r="CI224" s="674">
        <v>9826.0098983654971</v>
      </c>
      <c r="CJ224" s="40">
        <v>7610.9903654234822</v>
      </c>
      <c r="CK224" s="52">
        <v>-2215.0195329420148</v>
      </c>
      <c r="CL224" s="674">
        <v>14022.534207917966</v>
      </c>
      <c r="CM224" s="40">
        <v>14313.743498746768</v>
      </c>
      <c r="CN224" s="52">
        <v>291.20929082880139</v>
      </c>
      <c r="CO224" s="39">
        <v>23848.544106283465</v>
      </c>
      <c r="CP224" s="40">
        <v>21924.733864170252</v>
      </c>
      <c r="CQ224" s="52">
        <v>-1923.8102421132135</v>
      </c>
      <c r="CR224" s="72">
        <v>251011.20565266444</v>
      </c>
      <c r="CS224" s="5">
        <v>244421.04442711291</v>
      </c>
      <c r="CT224" s="52">
        <v>-6590.1612255515356</v>
      </c>
      <c r="CU224" s="77">
        <v>301213.44678319735</v>
      </c>
      <c r="CV224" s="65">
        <v>293305.25331253547</v>
      </c>
      <c r="CW224" s="35">
        <v>-7908.1934706618777</v>
      </c>
      <c r="CX224" s="73">
        <v>6777.9664746591243</v>
      </c>
      <c r="CY224" s="40">
        <v>14686.159945321058</v>
      </c>
      <c r="CZ224" s="52">
        <v>7908.193470661934</v>
      </c>
      <c r="DA224" s="150">
        <v>33117.797875685581</v>
      </c>
      <c r="DB224" s="2">
        <v>1</v>
      </c>
      <c r="DC224" s="675">
        <v>63032.26</v>
      </c>
      <c r="DD224" s="675">
        <v>0</v>
      </c>
      <c r="DE224" s="675">
        <v>36258.463852510373</v>
      </c>
      <c r="DF224" s="675">
        <v>0</v>
      </c>
      <c r="DG224" s="321">
        <v>41025.99134634751</v>
      </c>
      <c r="DH224" s="40">
        <v>307967.34977068496</v>
      </c>
      <c r="DI224" s="422">
        <v>26773.796147489629</v>
      </c>
      <c r="DJ224" s="306">
        <v>5.8706639677490982</v>
      </c>
      <c r="DK224" s="306">
        <v>7.1588742181482861</v>
      </c>
      <c r="DL224" s="306">
        <v>5.0752130724542273</v>
      </c>
      <c r="DM224" s="28">
        <v>26773.796147489629</v>
      </c>
      <c r="DN224" s="28">
        <v>0</v>
      </c>
      <c r="DO224" s="423">
        <v>26773.796147489629</v>
      </c>
      <c r="DP224" s="94">
        <v>0</v>
      </c>
      <c r="DQ224" s="28">
        <v>26773.796147489629</v>
      </c>
      <c r="DR224" s="318"/>
      <c r="DT224" s="8"/>
      <c r="DU224" s="5"/>
      <c r="DX224" s="5">
        <v>75531.429337097652</v>
      </c>
      <c r="DY224" s="5">
        <v>70540.895999999993</v>
      </c>
      <c r="DZ224" s="159">
        <v>6771.3106546486806</v>
      </c>
      <c r="EB224" s="676">
        <v>-2270.2336466201923</v>
      </c>
      <c r="EC224" s="676">
        <v>-4295.2200753726138</v>
      </c>
      <c r="ED224" s="676">
        <v>-9507.9534559653712</v>
      </c>
      <c r="EE224" s="676">
        <v>-5170.948586825336</v>
      </c>
      <c r="EF224" s="676">
        <v>886.57028582934072</v>
      </c>
      <c r="EG224" s="676">
        <v>-4521.3732449103991</v>
      </c>
      <c r="EH224" s="676">
        <v>4498.3152011080165</v>
      </c>
      <c r="EI224" s="676">
        <v>240.10561690499526</v>
      </c>
      <c r="EJ224" s="676">
        <v>-11122.201310825913</v>
      </c>
      <c r="EK224" s="676">
        <v>30421.792045210728</v>
      </c>
      <c r="EL224" s="676">
        <v>-2863.440356427378</v>
      </c>
      <c r="EM224" s="676">
        <v>-4203.6059427678083</v>
      </c>
      <c r="EN224" s="676">
        <v>-7908.1934706619286</v>
      </c>
      <c r="EQ224" s="5">
        <v>75531.429337097652</v>
      </c>
      <c r="ER224" s="5">
        <v>70540.895999999993</v>
      </c>
      <c r="ET224" s="318">
        <v>-19811.857829229109</v>
      </c>
      <c r="EU224" s="5">
        <v>-39001.150824423385</v>
      </c>
    </row>
    <row r="225" spans="1:151" x14ac:dyDescent="0.3">
      <c r="A225" s="325">
        <v>150000938</v>
      </c>
      <c r="B225" s="41" t="s">
        <v>672</v>
      </c>
      <c r="C225" s="42" t="s">
        <v>376</v>
      </c>
      <c r="D225" s="27">
        <v>9</v>
      </c>
      <c r="E225" s="293">
        <v>15432.37</v>
      </c>
      <c r="F225" s="305">
        <v>14576.67</v>
      </c>
      <c r="G225" s="508">
        <v>1189.72</v>
      </c>
      <c r="H225" s="677">
        <v>855.7</v>
      </c>
      <c r="I225" s="674">
        <v>51733.343905295762</v>
      </c>
      <c r="J225" s="40">
        <v>42977.633475710893</v>
      </c>
      <c r="K225" s="52">
        <v>-8755.7104295848694</v>
      </c>
      <c r="L225" s="674">
        <v>8155.9512126950312</v>
      </c>
      <c r="M225" s="40">
        <v>6498.7199975592239</v>
      </c>
      <c r="N225" s="52">
        <v>-1657.2312151358074</v>
      </c>
      <c r="O225" s="674">
        <v>21361.082996351626</v>
      </c>
      <c r="P225" s="40">
        <v>21361.11</v>
      </c>
      <c r="Q225" s="52">
        <v>2.7003648374375189E-2</v>
      </c>
      <c r="R225" s="674">
        <v>4764.8525671955213</v>
      </c>
      <c r="S225" s="40">
        <v>4764.8700000000017</v>
      </c>
      <c r="T225" s="52">
        <v>1.7432804480449704E-2</v>
      </c>
      <c r="U225" s="674">
        <v>2502.3095220517803</v>
      </c>
      <c r="V225" s="40">
        <v>1067.8328946525448</v>
      </c>
      <c r="W225" s="52">
        <v>-1434.4766273992354</v>
      </c>
      <c r="X225" s="674">
        <v>32424.485443941645</v>
      </c>
      <c r="Y225" s="40">
        <v>27531.446104369585</v>
      </c>
      <c r="Z225" s="52">
        <v>-4893.0393395720603</v>
      </c>
      <c r="AA225" s="674">
        <v>1851.6456000000003</v>
      </c>
      <c r="AB225" s="40">
        <v>0</v>
      </c>
      <c r="AC225" s="52">
        <v>-1851.6456000000003</v>
      </c>
      <c r="AD225" s="674">
        <v>66113.244384202175</v>
      </c>
      <c r="AE225" s="40">
        <v>65570.626030617976</v>
      </c>
      <c r="AF225" s="35">
        <v>-542.61835358419921</v>
      </c>
      <c r="AG225" s="77">
        <v>188906.91563173354</v>
      </c>
      <c r="AH225" s="53">
        <v>169772.23850291022</v>
      </c>
      <c r="AI225" s="52">
        <v>-19134.677128823329</v>
      </c>
      <c r="AJ225" s="674">
        <v>107932.32440504471</v>
      </c>
      <c r="AK225" s="40">
        <v>107059.55140888024</v>
      </c>
      <c r="AL225" s="52">
        <v>-872.77299616446544</v>
      </c>
      <c r="AM225" s="674">
        <v>2206.5737925000003</v>
      </c>
      <c r="AN225" s="40">
        <v>259.81737858942768</v>
      </c>
      <c r="AO225" s="52">
        <v>-1946.7564139105725</v>
      </c>
      <c r="AP225" s="674">
        <v>11017.245531585406</v>
      </c>
      <c r="AQ225" s="40">
        <v>8465.2098785819107</v>
      </c>
      <c r="AR225" s="52">
        <v>-2552.0356530034951</v>
      </c>
      <c r="AS225" s="674">
        <v>198814.9784758155</v>
      </c>
      <c r="AT225" s="40">
        <v>304075.09714814712</v>
      </c>
      <c r="AU225" s="54">
        <v>105260.11867233162</v>
      </c>
      <c r="AV225" s="674">
        <v>7997.8581092359746</v>
      </c>
      <c r="AW225" s="40">
        <v>9249.85</v>
      </c>
      <c r="AX225" s="55">
        <v>1251.9918907640258</v>
      </c>
      <c r="AY225" s="674">
        <v>9017.9656830411004</v>
      </c>
      <c r="AZ225" s="40">
        <v>12438.76</v>
      </c>
      <c r="BA225" s="35">
        <v>3420.7943169588998</v>
      </c>
      <c r="BB225" s="674">
        <v>5212.1357237959128</v>
      </c>
      <c r="BC225" s="40">
        <v>27765</v>
      </c>
      <c r="BD225" s="55">
        <v>22552.864276204087</v>
      </c>
      <c r="BE225" s="674">
        <v>7178.7275086778473</v>
      </c>
      <c r="BF225" s="40">
        <v>583.79</v>
      </c>
      <c r="BG225" s="38">
        <v>-6594.9375086778473</v>
      </c>
      <c r="BH225" s="674">
        <v>3233.0294454762943</v>
      </c>
      <c r="BI225" s="40">
        <v>7255</v>
      </c>
      <c r="BJ225" s="55">
        <v>4021.9705545237057</v>
      </c>
      <c r="BK225" s="674">
        <v>8864.9145875102731</v>
      </c>
      <c r="BL225" s="40">
        <v>1700</v>
      </c>
      <c r="BM225" s="38">
        <v>-7164.9145875102731</v>
      </c>
      <c r="BN225" s="674">
        <v>1309.3481882702081</v>
      </c>
      <c r="BO225" s="40">
        <v>0</v>
      </c>
      <c r="BP225" s="55">
        <v>-1309.3481882702081</v>
      </c>
      <c r="BQ225" s="77">
        <v>42813.979246007613</v>
      </c>
      <c r="BR225" s="40">
        <v>58992.4</v>
      </c>
      <c r="BS225" s="55">
        <v>16178.420753992388</v>
      </c>
      <c r="BT225" s="674">
        <v>197147.17629948948</v>
      </c>
      <c r="BU225" s="40">
        <v>182342.83637350547</v>
      </c>
      <c r="BV225" s="52">
        <v>-14804.339925984008</v>
      </c>
      <c r="BW225" s="674">
        <v>122368.18679283472</v>
      </c>
      <c r="BX225" s="40">
        <v>119489.86319963793</v>
      </c>
      <c r="BY225" s="52">
        <v>-2878.3235931967938</v>
      </c>
      <c r="BZ225" s="674">
        <v>35641.4692906688</v>
      </c>
      <c r="CA225" s="40">
        <v>46086.972597619621</v>
      </c>
      <c r="CB225" s="52">
        <v>10445.503306950821</v>
      </c>
      <c r="CC225" s="674">
        <v>2017.4176646857181</v>
      </c>
      <c r="CD225" s="40">
        <v>2085.426083599978</v>
      </c>
      <c r="CE225" s="52">
        <v>68.008418914259892</v>
      </c>
      <c r="CF225" s="674">
        <v>242.50909028247486</v>
      </c>
      <c r="CG225" s="40">
        <v>0</v>
      </c>
      <c r="CH225" s="52">
        <v>-242.50909028247486</v>
      </c>
      <c r="CI225" s="674">
        <v>26005.620644834686</v>
      </c>
      <c r="CJ225" s="40">
        <v>20142.327829013531</v>
      </c>
      <c r="CK225" s="52">
        <v>-5863.2928158211544</v>
      </c>
      <c r="CL225" s="674">
        <v>16828.740975991568</v>
      </c>
      <c r="CM225" s="40">
        <v>19354.909855964841</v>
      </c>
      <c r="CN225" s="52">
        <v>2526.1688799732729</v>
      </c>
      <c r="CO225" s="39">
        <v>42834.361620826254</v>
      </c>
      <c r="CP225" s="40">
        <v>39497.237684978376</v>
      </c>
      <c r="CQ225" s="52">
        <v>-3337.1239358478779</v>
      </c>
      <c r="CR225" s="72">
        <v>951943.13784147438</v>
      </c>
      <c r="CS225" s="5">
        <v>1038126.6502564505</v>
      </c>
      <c r="CT225" s="52">
        <v>86183.51241497614</v>
      </c>
      <c r="CU225" s="77">
        <v>1142331.7654097693</v>
      </c>
      <c r="CV225" s="65">
        <v>1245751.9803077406</v>
      </c>
      <c r="CW225" s="35">
        <v>103420.21489797137</v>
      </c>
      <c r="CX225" s="73">
        <v>25582.240269988895</v>
      </c>
      <c r="CY225" s="40">
        <v>-77837.974627982316</v>
      </c>
      <c r="CZ225" s="52">
        <v>-103420.21489797121</v>
      </c>
      <c r="DA225" s="150">
        <v>182355.43547109907</v>
      </c>
      <c r="DB225" s="2">
        <v>1</v>
      </c>
      <c r="DC225" s="675">
        <v>182891.93</v>
      </c>
      <c r="DD225" s="675">
        <v>36068.080000000009</v>
      </c>
      <c r="DE225" s="675">
        <v>85145.607997569619</v>
      </c>
      <c r="DF225" s="675">
        <v>31885.696444410001</v>
      </c>
      <c r="DG225" s="321">
        <v>78935.220573127852</v>
      </c>
      <c r="DH225" s="40">
        <v>1167824.0535633899</v>
      </c>
      <c r="DI225" s="422">
        <v>101928.70555802036</v>
      </c>
      <c r="DJ225" s="306">
        <v>5.8029918821323241</v>
      </c>
      <c r="DK225" s="306">
        <v>6.785891222453202</v>
      </c>
      <c r="DL225" s="306">
        <v>4.8876750678859526</v>
      </c>
      <c r="DM225" s="28">
        <v>97746.322002430374</v>
      </c>
      <c r="DN225" s="28">
        <v>4182.3835555900096</v>
      </c>
      <c r="DO225" s="423">
        <v>101928.70555802039</v>
      </c>
      <c r="DP225" s="94">
        <v>0</v>
      </c>
      <c r="DQ225" s="28">
        <v>101928.70555802039</v>
      </c>
      <c r="DR225" s="318"/>
      <c r="DT225" s="8"/>
      <c r="DU225" s="5"/>
      <c r="DX225" s="5">
        <v>289954.74926618772</v>
      </c>
      <c r="DY225" s="5">
        <v>435680.99657777656</v>
      </c>
      <c r="DZ225" s="159">
        <v>25405.644724406673</v>
      </c>
      <c r="EB225" s="676">
        <v>46033.893039424845</v>
      </c>
      <c r="EC225" s="676">
        <v>36.33168961055344</v>
      </c>
      <c r="ED225" s="676">
        <v>-8941.1939968888619</v>
      </c>
      <c r="EE225" s="676">
        <v>-38772.362828964506</v>
      </c>
      <c r="EF225" s="676">
        <v>7947.2395304099336</v>
      </c>
      <c r="EG225" s="676">
        <v>-25968.518584816469</v>
      </c>
      <c r="EH225" s="676">
        <v>-19717.477330537149</v>
      </c>
      <c r="EI225" s="676">
        <v>17688.229444157667</v>
      </c>
      <c r="EJ225" s="676">
        <v>108591.51610990922</v>
      </c>
      <c r="EK225" s="676">
        <v>34758.361327833263</v>
      </c>
      <c r="EL225" s="676">
        <v>12917.589138961936</v>
      </c>
      <c r="EM225" s="676">
        <v>-31153.392641129234</v>
      </c>
      <c r="EN225" s="676">
        <v>103420.21489797122</v>
      </c>
      <c r="EQ225" s="5">
        <v>289954.74926618772</v>
      </c>
      <c r="ER225" s="5">
        <v>435680.99657777656</v>
      </c>
      <c r="ET225" s="318">
        <v>7144.5679397184504</v>
      </c>
      <c r="EU225" s="5">
        <v>120340.65263340948</v>
      </c>
    </row>
    <row r="226" spans="1:151" x14ac:dyDescent="0.3">
      <c r="A226" s="325">
        <v>150000925</v>
      </c>
      <c r="B226" s="41" t="s">
        <v>673</v>
      </c>
      <c r="C226" s="42" t="s">
        <v>177</v>
      </c>
      <c r="D226" s="27">
        <v>2</v>
      </c>
      <c r="E226" s="293">
        <v>479.4</v>
      </c>
      <c r="F226" s="305">
        <v>366</v>
      </c>
      <c r="G226" s="508">
        <v>0</v>
      </c>
      <c r="H226" s="677">
        <v>113.4</v>
      </c>
      <c r="I226" s="674">
        <v>2315.4175465045937</v>
      </c>
      <c r="J226" s="40">
        <v>2475.7870143842656</v>
      </c>
      <c r="K226" s="52">
        <v>160.3694678796719</v>
      </c>
      <c r="L226" s="674">
        <v>529.077846902229</v>
      </c>
      <c r="M226" s="40">
        <v>579.09854155193511</v>
      </c>
      <c r="N226" s="52">
        <v>50.020694649706115</v>
      </c>
      <c r="O226" s="674">
        <v>546.40077861894008</v>
      </c>
      <c r="P226" s="40">
        <v>546.39</v>
      </c>
      <c r="Q226" s="52">
        <v>-1.077861894009402E-2</v>
      </c>
      <c r="R226" s="674">
        <v>0</v>
      </c>
      <c r="S226" s="40">
        <v>0</v>
      </c>
      <c r="T226" s="52">
        <v>0</v>
      </c>
      <c r="U226" s="674">
        <v>0</v>
      </c>
      <c r="V226" s="40">
        <v>0</v>
      </c>
      <c r="W226" s="52">
        <v>0</v>
      </c>
      <c r="X226" s="674">
        <v>1093.0156879687715</v>
      </c>
      <c r="Y226" s="40">
        <v>935.40484308322505</v>
      </c>
      <c r="Z226" s="52">
        <v>-157.6108448855465</v>
      </c>
      <c r="AA226" s="674">
        <v>50.975999999999999</v>
      </c>
      <c r="AB226" s="40">
        <v>0</v>
      </c>
      <c r="AC226" s="52">
        <v>-50.975999999999999</v>
      </c>
      <c r="AD226" s="674">
        <v>1992.8853924648211</v>
      </c>
      <c r="AE226" s="40">
        <v>2036.405354303422</v>
      </c>
      <c r="AF226" s="35">
        <v>43.519961838600921</v>
      </c>
      <c r="AG226" s="77">
        <v>6527.7732524593548</v>
      </c>
      <c r="AH226" s="53">
        <v>6573.0857533228482</v>
      </c>
      <c r="AI226" s="52">
        <v>45.312500863493369</v>
      </c>
      <c r="AJ226" s="674">
        <v>0</v>
      </c>
      <c r="AK226" s="40">
        <v>0</v>
      </c>
      <c r="AL226" s="52">
        <v>0</v>
      </c>
      <c r="AM226" s="674">
        <v>0</v>
      </c>
      <c r="AN226" s="40">
        <v>0</v>
      </c>
      <c r="AO226" s="52">
        <v>0</v>
      </c>
      <c r="AP226" s="674">
        <v>809.43028395321335</v>
      </c>
      <c r="AQ226" s="40">
        <v>617.59875122971039</v>
      </c>
      <c r="AR226" s="52">
        <v>-191.83153272350296</v>
      </c>
      <c r="AS226" s="674">
        <v>6777.1487621123388</v>
      </c>
      <c r="AT226" s="40">
        <v>8601</v>
      </c>
      <c r="AU226" s="54">
        <v>1823.8512378876612</v>
      </c>
      <c r="AV226" s="674">
        <v>611.71307166220936</v>
      </c>
      <c r="AW226" s="40">
        <v>0</v>
      </c>
      <c r="AX226" s="55">
        <v>-611.71307166220936</v>
      </c>
      <c r="AY226" s="674">
        <v>867.48208759137788</v>
      </c>
      <c r="AZ226" s="40">
        <v>0</v>
      </c>
      <c r="BA226" s="35">
        <v>-867.48208759137788</v>
      </c>
      <c r="BB226" s="674">
        <v>286.20231864808278</v>
      </c>
      <c r="BC226" s="40">
        <v>0</v>
      </c>
      <c r="BD226" s="55">
        <v>-286.20231864808278</v>
      </c>
      <c r="BE226" s="674">
        <v>0</v>
      </c>
      <c r="BF226" s="40">
        <v>0</v>
      </c>
      <c r="BG226" s="38">
        <v>0</v>
      </c>
      <c r="BH226" s="674">
        <v>0</v>
      </c>
      <c r="BI226" s="40">
        <v>0</v>
      </c>
      <c r="BJ226" s="55">
        <v>0</v>
      </c>
      <c r="BK226" s="674">
        <v>110.09829986336118</v>
      </c>
      <c r="BL226" s="40">
        <v>704</v>
      </c>
      <c r="BM226" s="38">
        <v>593.90170013663885</v>
      </c>
      <c r="BN226" s="674">
        <v>12.744</v>
      </c>
      <c r="BO226" s="40">
        <v>0</v>
      </c>
      <c r="BP226" s="55">
        <v>-12.744</v>
      </c>
      <c r="BQ226" s="77">
        <v>1888.2397777650312</v>
      </c>
      <c r="BR226" s="40">
        <v>704</v>
      </c>
      <c r="BS226" s="55">
        <v>-1184.2397777650312</v>
      </c>
      <c r="BT226" s="674">
        <v>6407.8707203570493</v>
      </c>
      <c r="BU226" s="40">
        <v>6788.9915503432449</v>
      </c>
      <c r="BV226" s="52">
        <v>381.12082998619553</v>
      </c>
      <c r="BW226" s="674">
        <v>1915.8775917607977</v>
      </c>
      <c r="BX226" s="40">
        <v>1922.6922836796559</v>
      </c>
      <c r="BY226" s="52">
        <v>6.814691918858216</v>
      </c>
      <c r="BZ226" s="674">
        <v>2754.1488609612738</v>
      </c>
      <c r="CA226" s="40">
        <v>1901.8334525489267</v>
      </c>
      <c r="CB226" s="52">
        <v>-852.3154084123471</v>
      </c>
      <c r="CC226" s="674">
        <v>0</v>
      </c>
      <c r="CD226" s="40">
        <v>0</v>
      </c>
      <c r="CE226" s="52">
        <v>0</v>
      </c>
      <c r="CF226" s="674">
        <v>0</v>
      </c>
      <c r="CG226" s="40">
        <v>0</v>
      </c>
      <c r="CH226" s="52">
        <v>0</v>
      </c>
      <c r="CI226" s="674">
        <v>1543.3663595683754</v>
      </c>
      <c r="CJ226" s="40">
        <v>660.67139339374512</v>
      </c>
      <c r="CK226" s="52">
        <v>-882.69496617463028</v>
      </c>
      <c r="CL226" s="674">
        <v>0</v>
      </c>
      <c r="CM226" s="40">
        <v>0</v>
      </c>
      <c r="CN226" s="52">
        <v>0</v>
      </c>
      <c r="CO226" s="39">
        <v>1543.3663595683754</v>
      </c>
      <c r="CP226" s="40">
        <v>660.67139339374512</v>
      </c>
      <c r="CQ226" s="52">
        <v>-882.69496617463028</v>
      </c>
      <c r="CR226" s="72">
        <v>28623.855608937436</v>
      </c>
      <c r="CS226" s="5">
        <v>27769.873184518132</v>
      </c>
      <c r="CT226" s="52">
        <v>-853.98242441930415</v>
      </c>
      <c r="CU226" s="77">
        <v>34348.626730724922</v>
      </c>
      <c r="CV226" s="65">
        <v>33323.847821421754</v>
      </c>
      <c r="CW226" s="35">
        <v>-1024.7789093031679</v>
      </c>
      <c r="CX226" s="73">
        <v>1023.7813334646315</v>
      </c>
      <c r="CY226" s="40">
        <v>2048.5602427678027</v>
      </c>
      <c r="CZ226" s="52">
        <v>1024.7789093031711</v>
      </c>
      <c r="DA226" s="150">
        <v>-7699.7480244097842</v>
      </c>
      <c r="DB226" s="2">
        <v>2</v>
      </c>
      <c r="DC226" s="675">
        <v>3266.67</v>
      </c>
      <c r="DD226" s="675">
        <v>11273.05</v>
      </c>
      <c r="DE226" s="675">
        <v>792.41816654060904</v>
      </c>
      <c r="DF226" s="675">
        <v>10575.09748284437</v>
      </c>
      <c r="DG226" s="321">
        <v>-6674.9691151066145</v>
      </c>
      <c r="DH226" s="40">
        <v>35369.958690174069</v>
      </c>
      <c r="DI226" s="422">
        <v>3172.2043506150198</v>
      </c>
      <c r="DJ226" s="306">
        <v>6.7602509110912328</v>
      </c>
      <c r="DK226" s="306">
        <v>6.7602509110912328</v>
      </c>
      <c r="DL226" s="306">
        <v>6.1547841019014857</v>
      </c>
      <c r="DM226" s="28">
        <v>2474.251833459391</v>
      </c>
      <c r="DN226" s="28">
        <v>697.95251715562847</v>
      </c>
      <c r="DO226" s="423">
        <v>3172.2043506150194</v>
      </c>
      <c r="DP226" s="94">
        <v>0</v>
      </c>
      <c r="DQ226" s="28">
        <v>3172.2043506150194</v>
      </c>
      <c r="DR226" s="318"/>
      <c r="DT226" s="8"/>
      <c r="DU226" s="5"/>
      <c r="DX226" s="5">
        <v>10398.466247852844</v>
      </c>
      <c r="DY226" s="5">
        <v>11166</v>
      </c>
      <c r="DZ226" s="159">
        <v>866.37338530793602</v>
      </c>
      <c r="EB226" s="676">
        <v>-769.91583308494592</v>
      </c>
      <c r="EC226" s="676">
        <v>-883.8360845106356</v>
      </c>
      <c r="ED226" s="676">
        <v>-539.1229442958379</v>
      </c>
      <c r="EE226" s="676">
        <v>-1275.3325318767004</v>
      </c>
      <c r="EF226" s="676">
        <v>-797.80342551736931</v>
      </c>
      <c r="EG226" s="676">
        <v>-1312.8607696590902</v>
      </c>
      <c r="EH226" s="676">
        <v>-530.03819034703747</v>
      </c>
      <c r="EI226" s="676">
        <v>8924.330846261013</v>
      </c>
      <c r="EJ226" s="676">
        <v>-1004.3416426407384</v>
      </c>
      <c r="EK226" s="676">
        <v>-962.95438985971396</v>
      </c>
      <c r="EL226" s="676">
        <v>-638.75378039682528</v>
      </c>
      <c r="EM226" s="676">
        <v>-1234.1501633752891</v>
      </c>
      <c r="EN226" s="676">
        <v>-1024.7789093031702</v>
      </c>
      <c r="EQ226" s="5">
        <v>10398.466247852844</v>
      </c>
      <c r="ER226" s="5">
        <v>11166</v>
      </c>
      <c r="ET226" s="318">
        <v>-7734.4196018669372</v>
      </c>
      <c r="EU226" s="5">
        <v>-8970.5495132396773</v>
      </c>
    </row>
    <row r="227" spans="1:151" x14ac:dyDescent="0.3">
      <c r="A227" s="325">
        <v>150000939</v>
      </c>
      <c r="B227" s="41" t="s">
        <v>674</v>
      </c>
      <c r="C227" s="42" t="s">
        <v>337</v>
      </c>
      <c r="D227" s="27">
        <v>8</v>
      </c>
      <c r="E227" s="293">
        <v>5138.55</v>
      </c>
      <c r="F227" s="305">
        <v>5138.55</v>
      </c>
      <c r="G227" s="508">
        <v>642.45000000000005</v>
      </c>
      <c r="H227" s="677">
        <v>0</v>
      </c>
      <c r="I227" s="674">
        <v>12942.792945776773</v>
      </c>
      <c r="J227" s="40">
        <v>10919.807827659413</v>
      </c>
      <c r="K227" s="52">
        <v>-2022.9851181173599</v>
      </c>
      <c r="L227" s="674">
        <v>2264.925828533203</v>
      </c>
      <c r="M227" s="40">
        <v>1805.2844193441219</v>
      </c>
      <c r="N227" s="52">
        <v>-459.64140918908106</v>
      </c>
      <c r="O227" s="674">
        <v>7456.8639576392488</v>
      </c>
      <c r="P227" s="40">
        <v>7456.8599999999988</v>
      </c>
      <c r="Q227" s="52">
        <v>-3.9576392500748625E-3</v>
      </c>
      <c r="R227" s="674">
        <v>1557.1212100201699</v>
      </c>
      <c r="S227" s="40">
        <v>1557.12</v>
      </c>
      <c r="T227" s="52">
        <v>-1.2100201699922764E-3</v>
      </c>
      <c r="U227" s="674">
        <v>2063.4796493766062</v>
      </c>
      <c r="V227" s="40">
        <v>862.26999841397696</v>
      </c>
      <c r="W227" s="52">
        <v>-1201.2096509626292</v>
      </c>
      <c r="X227" s="674">
        <v>7510.7675317128078</v>
      </c>
      <c r="Y227" s="40">
        <v>7499.7523654850438</v>
      </c>
      <c r="Z227" s="52">
        <v>-11.015166227763984</v>
      </c>
      <c r="AA227" s="674">
        <v>616.96799999999996</v>
      </c>
      <c r="AB227" s="40">
        <v>0</v>
      </c>
      <c r="AC227" s="52">
        <v>-616.96799999999996</v>
      </c>
      <c r="AD227" s="674">
        <v>22034.609437990541</v>
      </c>
      <c r="AE227" s="40">
        <v>21836.372641407335</v>
      </c>
      <c r="AF227" s="35">
        <v>-198.23679658320543</v>
      </c>
      <c r="AG227" s="77">
        <v>56447.528561049352</v>
      </c>
      <c r="AH227" s="53">
        <v>51937.467252309885</v>
      </c>
      <c r="AI227" s="52">
        <v>-4510.0613087394668</v>
      </c>
      <c r="AJ227" s="674">
        <v>36473.713850897795</v>
      </c>
      <c r="AK227" s="40">
        <v>36234.140951534704</v>
      </c>
      <c r="AL227" s="52">
        <v>-239.57289936309098</v>
      </c>
      <c r="AM227" s="674">
        <v>630.44965500000001</v>
      </c>
      <c r="AN227" s="40">
        <v>262.42166909619834</v>
      </c>
      <c r="AO227" s="52">
        <v>-368.02798590380166</v>
      </c>
      <c r="AP227" s="674">
        <v>3597.4679286809496</v>
      </c>
      <c r="AQ227" s="40">
        <v>2758.7514336449976</v>
      </c>
      <c r="AR227" s="52">
        <v>-838.71649503595199</v>
      </c>
      <c r="AS227" s="674">
        <v>74315.918716563101</v>
      </c>
      <c r="AT227" s="40">
        <v>138654.54999999999</v>
      </c>
      <c r="AU227" s="54">
        <v>64338.631283436887</v>
      </c>
      <c r="AV227" s="674">
        <v>1804.7210270940438</v>
      </c>
      <c r="AW227" s="40">
        <v>604.39</v>
      </c>
      <c r="AX227" s="55">
        <v>-1200.3310270940437</v>
      </c>
      <c r="AY227" s="674">
        <v>2143.7071831792032</v>
      </c>
      <c r="AZ227" s="40">
        <v>4953</v>
      </c>
      <c r="BA227" s="35">
        <v>2809.2928168207968</v>
      </c>
      <c r="BB227" s="674">
        <v>1593.585126323763</v>
      </c>
      <c r="BC227" s="40">
        <v>0</v>
      </c>
      <c r="BD227" s="55">
        <v>-1593.585126323763</v>
      </c>
      <c r="BE227" s="674">
        <v>1860.9704809265693</v>
      </c>
      <c r="BF227" s="40">
        <v>440</v>
      </c>
      <c r="BG227" s="38">
        <v>-1420.9704809265693</v>
      </c>
      <c r="BH227" s="674">
        <v>2323.4734035448423</v>
      </c>
      <c r="BI227" s="40">
        <v>0</v>
      </c>
      <c r="BJ227" s="55">
        <v>-2323.4734035448423</v>
      </c>
      <c r="BK227" s="674">
        <v>1019.1169759093248</v>
      </c>
      <c r="BL227" s="40">
        <v>0</v>
      </c>
      <c r="BM227" s="38">
        <v>-1019.1169759093248</v>
      </c>
      <c r="BN227" s="674">
        <v>547.73306069757075</v>
      </c>
      <c r="BO227" s="40">
        <v>0</v>
      </c>
      <c r="BP227" s="55">
        <v>-547.73306069757075</v>
      </c>
      <c r="BQ227" s="77">
        <v>11293.307257675317</v>
      </c>
      <c r="BR227" s="40">
        <v>5997.39</v>
      </c>
      <c r="BS227" s="55">
        <v>-5295.9172576753163</v>
      </c>
      <c r="BT227" s="674">
        <v>65839.007938778319</v>
      </c>
      <c r="BU227" s="40">
        <v>67002.039468358489</v>
      </c>
      <c r="BV227" s="52">
        <v>1163.0315295801702</v>
      </c>
      <c r="BW227" s="674">
        <v>33175.394376159427</v>
      </c>
      <c r="BX227" s="40">
        <v>35740.5284880283</v>
      </c>
      <c r="BY227" s="52">
        <v>2565.1341118688724</v>
      </c>
      <c r="BZ227" s="674">
        <v>16255.633843073561</v>
      </c>
      <c r="CA227" s="40">
        <v>16836.225325427651</v>
      </c>
      <c r="CB227" s="52">
        <v>580.59148235408975</v>
      </c>
      <c r="CC227" s="674">
        <v>1703.599369659187</v>
      </c>
      <c r="CD227" s="40">
        <v>1787.5080716571244</v>
      </c>
      <c r="CE227" s="52">
        <v>83.908701997937442</v>
      </c>
      <c r="CF227" s="674">
        <v>207.86493452783557</v>
      </c>
      <c r="CG227" s="40">
        <v>0</v>
      </c>
      <c r="CH227" s="52">
        <v>-207.86493452783557</v>
      </c>
      <c r="CI227" s="674">
        <v>34851.921751705406</v>
      </c>
      <c r="CJ227" s="40">
        <v>24358.625698263113</v>
      </c>
      <c r="CK227" s="52">
        <v>-10493.296053442293</v>
      </c>
      <c r="CL227" s="674">
        <v>7848.3727276260643</v>
      </c>
      <c r="CM227" s="40">
        <v>8274.6860915826237</v>
      </c>
      <c r="CN227" s="52">
        <v>426.31336395655944</v>
      </c>
      <c r="CO227" s="39">
        <v>42700.294479331467</v>
      </c>
      <c r="CP227" s="40">
        <v>32633.311789845735</v>
      </c>
      <c r="CQ227" s="52">
        <v>-10066.982689485732</v>
      </c>
      <c r="CR227" s="72">
        <v>342640.18091139634</v>
      </c>
      <c r="CS227" s="5">
        <v>389844.33444990305</v>
      </c>
      <c r="CT227" s="52">
        <v>47204.153538506711</v>
      </c>
      <c r="CU227" s="77">
        <v>411168.21709367557</v>
      </c>
      <c r="CV227" s="65">
        <v>467813.20133988367</v>
      </c>
      <c r="CW227" s="35">
        <v>56644.9842462081</v>
      </c>
      <c r="CX227" s="73">
        <v>12473.912291647914</v>
      </c>
      <c r="CY227" s="40">
        <v>-44171.071954560175</v>
      </c>
      <c r="CZ227" s="52">
        <v>-56644.984246208085</v>
      </c>
      <c r="DA227" s="150">
        <v>83374.801912510258</v>
      </c>
      <c r="DB227" s="2">
        <v>1</v>
      </c>
      <c r="DC227" s="675">
        <v>79399.649999999994</v>
      </c>
      <c r="DD227" s="675">
        <v>0</v>
      </c>
      <c r="DE227" s="675">
        <v>42407.482192246585</v>
      </c>
      <c r="DF227" s="675">
        <v>0</v>
      </c>
      <c r="DG227" s="321">
        <v>26729.817666302162</v>
      </c>
      <c r="DH227" s="40">
        <v>423609.56260071305</v>
      </c>
      <c r="DI227" s="422">
        <v>36992.167807753416</v>
      </c>
      <c r="DJ227" s="306">
        <v>6.2849997864631355</v>
      </c>
      <c r="DK227" s="306">
        <v>7.3295455383421553</v>
      </c>
      <c r="DL227" s="306">
        <v>5.5503817432426166</v>
      </c>
      <c r="DM227" s="28">
        <v>36992.167807753409</v>
      </c>
      <c r="DN227" s="28">
        <v>0</v>
      </c>
      <c r="DO227" s="423">
        <v>36992.167807753409</v>
      </c>
      <c r="DP227" s="94">
        <v>0</v>
      </c>
      <c r="DQ227" s="28">
        <v>36992.167807753409</v>
      </c>
      <c r="DR227" s="318"/>
      <c r="DT227" s="8"/>
      <c r="DU227" s="5"/>
      <c r="DX227" s="5">
        <v>102731.07116908611</v>
      </c>
      <c r="DY227" s="5">
        <v>173582.32800000001</v>
      </c>
      <c r="DZ227" s="159">
        <v>9180.579640427326</v>
      </c>
      <c r="EB227" s="676">
        <v>-4448.8995680605076</v>
      </c>
      <c r="EC227" s="676">
        <v>-2968.7304506931359</v>
      </c>
      <c r="ED227" s="676">
        <v>8435.5222967765694</v>
      </c>
      <c r="EE227" s="676">
        <v>-6469.7181486653026</v>
      </c>
      <c r="EF227" s="676">
        <v>943.11244895283744</v>
      </c>
      <c r="EG227" s="676">
        <v>-17743.774992391584</v>
      </c>
      <c r="EH227" s="676">
        <v>-9487.7447670285765</v>
      </c>
      <c r="EI227" s="676">
        <v>-1394.5296715338482</v>
      </c>
      <c r="EJ227" s="676">
        <v>117545.44719636434</v>
      </c>
      <c r="EK227" s="676">
        <v>-8848.0566906217973</v>
      </c>
      <c r="EL227" s="676">
        <v>-10077.828914774367</v>
      </c>
      <c r="EM227" s="676">
        <v>-8839.8144921165367</v>
      </c>
      <c r="EN227" s="676">
        <v>56644.9842462081</v>
      </c>
      <c r="EQ227" s="5">
        <v>102731.07116908611</v>
      </c>
      <c r="ER227" s="5">
        <v>173582.32800000001</v>
      </c>
      <c r="ET227" s="318">
        <v>-13469.335352939426</v>
      </c>
      <c r="EU227" s="5">
        <v>-997.84698075841879</v>
      </c>
    </row>
    <row r="228" spans="1:151" x14ac:dyDescent="0.3">
      <c r="A228" s="325">
        <v>150000926</v>
      </c>
      <c r="B228" s="41" t="s">
        <v>675</v>
      </c>
      <c r="C228" s="42" t="s">
        <v>178</v>
      </c>
      <c r="D228" s="27">
        <v>2</v>
      </c>
      <c r="E228" s="293">
        <v>404.5</v>
      </c>
      <c r="F228" s="305">
        <v>284.10000000000002</v>
      </c>
      <c r="G228" s="508">
        <v>0</v>
      </c>
      <c r="H228" s="677">
        <v>120.4</v>
      </c>
      <c r="I228" s="674">
        <v>1361.9525812965792</v>
      </c>
      <c r="J228" s="40">
        <v>1472.5458599073261</v>
      </c>
      <c r="K228" s="52">
        <v>110.59327861074689</v>
      </c>
      <c r="L228" s="674">
        <v>529.077846902229</v>
      </c>
      <c r="M228" s="40">
        <v>579.09854155193511</v>
      </c>
      <c r="N228" s="52">
        <v>50.020694649706115</v>
      </c>
      <c r="O228" s="674">
        <v>0</v>
      </c>
      <c r="P228" s="40">
        <v>0</v>
      </c>
      <c r="Q228" s="52">
        <v>0</v>
      </c>
      <c r="R228" s="674">
        <v>0</v>
      </c>
      <c r="S228" s="40">
        <v>0</v>
      </c>
      <c r="T228" s="52">
        <v>0</v>
      </c>
      <c r="U228" s="674">
        <v>0</v>
      </c>
      <c r="V228" s="40">
        <v>0</v>
      </c>
      <c r="W228" s="52">
        <v>0</v>
      </c>
      <c r="X228" s="674">
        <v>1093.0156879687715</v>
      </c>
      <c r="Y228" s="40">
        <v>1458.1961240493763</v>
      </c>
      <c r="Z228" s="52">
        <v>365.18043608060475</v>
      </c>
      <c r="AA228" s="674">
        <v>48.588000000000008</v>
      </c>
      <c r="AB228" s="40">
        <v>0</v>
      </c>
      <c r="AC228" s="52">
        <v>-48.588000000000008</v>
      </c>
      <c r="AD228" s="674">
        <v>1678.9251099379956</v>
      </c>
      <c r="AE228" s="40">
        <v>1718.6079851332418</v>
      </c>
      <c r="AF228" s="35">
        <v>39.682875195246197</v>
      </c>
      <c r="AG228" s="77">
        <v>4711.5592261055754</v>
      </c>
      <c r="AH228" s="53">
        <v>5228.4485106418788</v>
      </c>
      <c r="AI228" s="52">
        <v>516.88928453630342</v>
      </c>
      <c r="AJ228" s="674">
        <v>0</v>
      </c>
      <c r="AK228" s="40">
        <v>0</v>
      </c>
      <c r="AL228" s="52">
        <v>0</v>
      </c>
      <c r="AM228" s="674">
        <v>0</v>
      </c>
      <c r="AN228" s="40">
        <v>0</v>
      </c>
      <c r="AO228" s="52">
        <v>0</v>
      </c>
      <c r="AP228" s="674">
        <v>674.52523662767817</v>
      </c>
      <c r="AQ228" s="40">
        <v>560.95562403738597</v>
      </c>
      <c r="AR228" s="52">
        <v>-113.56961259029219</v>
      </c>
      <c r="AS228" s="674">
        <v>6354.6021044243898</v>
      </c>
      <c r="AT228" s="40">
        <v>261</v>
      </c>
      <c r="AU228" s="54">
        <v>-6093.6021044243898</v>
      </c>
      <c r="AV228" s="674">
        <v>418.8642711616543</v>
      </c>
      <c r="AW228" s="40">
        <v>0</v>
      </c>
      <c r="AX228" s="55">
        <v>-418.8642711616543</v>
      </c>
      <c r="AY228" s="674">
        <v>867.48208759137788</v>
      </c>
      <c r="AZ228" s="40">
        <v>0</v>
      </c>
      <c r="BA228" s="35">
        <v>-867.48208759137788</v>
      </c>
      <c r="BB228" s="674">
        <v>0</v>
      </c>
      <c r="BC228" s="40">
        <v>0</v>
      </c>
      <c r="BD228" s="55">
        <v>0</v>
      </c>
      <c r="BE228" s="674">
        <v>0</v>
      </c>
      <c r="BF228" s="40">
        <v>0</v>
      </c>
      <c r="BG228" s="38">
        <v>0</v>
      </c>
      <c r="BH228" s="674">
        <v>0</v>
      </c>
      <c r="BI228" s="40">
        <v>0</v>
      </c>
      <c r="BJ228" s="55">
        <v>0</v>
      </c>
      <c r="BK228" s="674">
        <v>110.09829986336118</v>
      </c>
      <c r="BL228" s="40">
        <v>0</v>
      </c>
      <c r="BM228" s="38">
        <v>-110.09829986336118</v>
      </c>
      <c r="BN228" s="674">
        <v>12.147000000000002</v>
      </c>
      <c r="BO228" s="40">
        <v>0</v>
      </c>
      <c r="BP228" s="55">
        <v>-12.147000000000002</v>
      </c>
      <c r="BQ228" s="77">
        <v>1408.5916586163935</v>
      </c>
      <c r="BR228" s="40">
        <v>0</v>
      </c>
      <c r="BS228" s="55">
        <v>-1408.5916586163935</v>
      </c>
      <c r="BT228" s="674">
        <v>7177.3333880350947</v>
      </c>
      <c r="BU228" s="40">
        <v>7359.1021426290254</v>
      </c>
      <c r="BV228" s="52">
        <v>181.76875459393068</v>
      </c>
      <c r="BW228" s="674">
        <v>1848.5988719002614</v>
      </c>
      <c r="BX228" s="40">
        <v>1907.1345338051356</v>
      </c>
      <c r="BY228" s="52">
        <v>58.535661904874132</v>
      </c>
      <c r="BZ228" s="674">
        <v>1826.0899257837268</v>
      </c>
      <c r="CA228" s="40">
        <v>1844.463888252674</v>
      </c>
      <c r="CB228" s="52">
        <v>18.373962468947184</v>
      </c>
      <c r="CC228" s="674">
        <v>0</v>
      </c>
      <c r="CD228" s="40">
        <v>0</v>
      </c>
      <c r="CE228" s="52">
        <v>0</v>
      </c>
      <c r="CF228" s="674">
        <v>0</v>
      </c>
      <c r="CG228" s="40">
        <v>0</v>
      </c>
      <c r="CH228" s="52">
        <v>0</v>
      </c>
      <c r="CI228" s="674">
        <v>682.60916542367033</v>
      </c>
      <c r="CJ228" s="40">
        <v>340.71671163829836</v>
      </c>
      <c r="CK228" s="52">
        <v>-341.89245378537197</v>
      </c>
      <c r="CL228" s="674">
        <v>0</v>
      </c>
      <c r="CM228" s="40">
        <v>0</v>
      </c>
      <c r="CN228" s="52">
        <v>0</v>
      </c>
      <c r="CO228" s="39">
        <v>682.60916542367033</v>
      </c>
      <c r="CP228" s="40">
        <v>340.71671163829836</v>
      </c>
      <c r="CQ228" s="52">
        <v>-341.89245378537197</v>
      </c>
      <c r="CR228" s="72">
        <v>24683.909576916787</v>
      </c>
      <c r="CS228" s="5">
        <v>17501.821411004399</v>
      </c>
      <c r="CT228" s="52">
        <v>-7182.0881659123879</v>
      </c>
      <c r="CU228" s="77">
        <v>29620.691492300142</v>
      </c>
      <c r="CV228" s="65">
        <v>21002.18569320528</v>
      </c>
      <c r="CW228" s="35">
        <v>-8618.5057990948626</v>
      </c>
      <c r="CX228" s="73">
        <v>306.71567460033907</v>
      </c>
      <c r="CY228" s="40">
        <v>8925.221473695201</v>
      </c>
      <c r="CZ228" s="52">
        <v>8618.5057990948626</v>
      </c>
      <c r="DA228" s="150">
        <v>8796.1381227018428</v>
      </c>
      <c r="DB228" s="2">
        <v>2</v>
      </c>
      <c r="DC228" s="675">
        <v>3517.09</v>
      </c>
      <c r="DD228" s="675">
        <v>2475.13</v>
      </c>
      <c r="DE228" s="675">
        <v>1616.260070252918</v>
      </c>
      <c r="DF228" s="675">
        <v>1760.7681328426379</v>
      </c>
      <c r="DG228" s="321">
        <v>17414.643921796705</v>
      </c>
      <c r="DH228" s="40">
        <v>29925.112845189789</v>
      </c>
      <c r="DI228" s="422">
        <v>2615.1917969044443</v>
      </c>
      <c r="DJ228" s="306">
        <v>6.6907072500777263</v>
      </c>
      <c r="DK228" s="306">
        <v>6.6907072500777263</v>
      </c>
      <c r="DL228" s="306">
        <v>5.9332380993136402</v>
      </c>
      <c r="DM228" s="28">
        <v>1900.8299297470821</v>
      </c>
      <c r="DN228" s="28">
        <v>714.36186715736233</v>
      </c>
      <c r="DO228" s="423">
        <v>2615.1917969044443</v>
      </c>
      <c r="DP228" s="94">
        <v>0</v>
      </c>
      <c r="DQ228" s="28">
        <v>2615.1917969044443</v>
      </c>
      <c r="DR228" s="318"/>
      <c r="DT228" s="8"/>
      <c r="DU228" s="5"/>
      <c r="DX228" s="5">
        <v>9315.8325156489391</v>
      </c>
      <c r="DY228" s="5">
        <v>313.2</v>
      </c>
      <c r="DZ228" s="159">
        <v>805.82727800908322</v>
      </c>
      <c r="EB228" s="676">
        <v>-81.18172531749974</v>
      </c>
      <c r="EC228" s="676">
        <v>-570.31302472474113</v>
      </c>
      <c r="ED228" s="676">
        <v>-604.59354954658897</v>
      </c>
      <c r="EE228" s="676">
        <v>-595.71834560956381</v>
      </c>
      <c r="EF228" s="676">
        <v>-285.18532875197343</v>
      </c>
      <c r="EG228" s="676">
        <v>-1068.6285937307782</v>
      </c>
      <c r="EH228" s="676">
        <v>-898.3376282789061</v>
      </c>
      <c r="EI228" s="676">
        <v>-955.40387057959219</v>
      </c>
      <c r="EJ228" s="676">
        <v>-1142.1480395303108</v>
      </c>
      <c r="EK228" s="676">
        <v>-808.13589864204823</v>
      </c>
      <c r="EL228" s="676">
        <v>-508.69919795293481</v>
      </c>
      <c r="EM228" s="676">
        <v>-1100.1605964299254</v>
      </c>
      <c r="EN228" s="676">
        <v>-8618.5057990948626</v>
      </c>
      <c r="EQ228" s="5">
        <v>9315.8325156489391</v>
      </c>
      <c r="ER228" s="5">
        <v>313.2</v>
      </c>
      <c r="ET228" s="318">
        <v>-8582.8489717451157</v>
      </c>
      <c r="EU228" s="5">
        <v>-7043.5071064581807</v>
      </c>
    </row>
    <row r="229" spans="1:151" x14ac:dyDescent="0.3">
      <c r="A229" s="325">
        <v>150000940</v>
      </c>
      <c r="B229" s="41" t="s">
        <v>676</v>
      </c>
      <c r="C229" s="42" t="s">
        <v>377</v>
      </c>
      <c r="D229" s="27">
        <v>9</v>
      </c>
      <c r="E229" s="293">
        <v>7450.81</v>
      </c>
      <c r="F229" s="305">
        <v>7450.81</v>
      </c>
      <c r="G229" s="508">
        <v>941.36</v>
      </c>
      <c r="H229" s="677">
        <v>0</v>
      </c>
      <c r="I229" s="674">
        <v>19844.631390979823</v>
      </c>
      <c r="J229" s="40">
        <v>16679.739944084151</v>
      </c>
      <c r="K229" s="52">
        <v>-3164.8914468956718</v>
      </c>
      <c r="L229" s="674">
        <v>3466.5396773968714</v>
      </c>
      <c r="M229" s="40">
        <v>2763.0149682265151</v>
      </c>
      <c r="N229" s="52">
        <v>-703.52470917035635</v>
      </c>
      <c r="O229" s="674">
        <v>11418.233782616097</v>
      </c>
      <c r="P229" s="40">
        <v>11418.240000000002</v>
      </c>
      <c r="Q229" s="52">
        <v>6.2173839050956303E-3</v>
      </c>
      <c r="R229" s="674">
        <v>2224.0219891830948</v>
      </c>
      <c r="S229" s="40">
        <v>2224.0199999999995</v>
      </c>
      <c r="T229" s="52">
        <v>-1.9891830952474265E-3</v>
      </c>
      <c r="U229" s="674">
        <v>1072.4056650520611</v>
      </c>
      <c r="V229" s="40">
        <v>504.76932088156138</v>
      </c>
      <c r="W229" s="52">
        <v>-567.63634417049968</v>
      </c>
      <c r="X229" s="674">
        <v>14371.517045394365</v>
      </c>
      <c r="Y229" s="40">
        <v>10762.274636590535</v>
      </c>
      <c r="Z229" s="52">
        <v>-3609.2424088038297</v>
      </c>
      <c r="AA229" s="674">
        <v>894.46199999999999</v>
      </c>
      <c r="AB229" s="40">
        <v>0</v>
      </c>
      <c r="AC229" s="52">
        <v>-894.46199999999999</v>
      </c>
      <c r="AD229" s="674">
        <v>31948.659439810945</v>
      </c>
      <c r="AE229" s="40">
        <v>31660.795742685572</v>
      </c>
      <c r="AF229" s="35">
        <v>-287.86369712537271</v>
      </c>
      <c r="AG229" s="77">
        <v>85240.470990433241</v>
      </c>
      <c r="AH229" s="53">
        <v>76012.854612468334</v>
      </c>
      <c r="AI229" s="52">
        <v>-9227.6163779649069</v>
      </c>
      <c r="AJ229" s="674">
        <v>80435.618402421038</v>
      </c>
      <c r="AK229" s="40">
        <v>79907.44061350511</v>
      </c>
      <c r="AL229" s="52">
        <v>-528.17778891592752</v>
      </c>
      <c r="AM229" s="674">
        <v>0</v>
      </c>
      <c r="AN229" s="40">
        <v>0</v>
      </c>
      <c r="AO229" s="52">
        <v>0</v>
      </c>
      <c r="AP229" s="674">
        <v>5396.2018930214253</v>
      </c>
      <c r="AQ229" s="40">
        <v>4484.1803127874882</v>
      </c>
      <c r="AR229" s="52">
        <v>-912.02158023393713</v>
      </c>
      <c r="AS229" s="674">
        <v>103276.43328330321</v>
      </c>
      <c r="AT229" s="40">
        <v>27265.26</v>
      </c>
      <c r="AU229" s="54">
        <v>-76011.173283303215</v>
      </c>
      <c r="AV229" s="674">
        <v>3325.0400613993606</v>
      </c>
      <c r="AW229" s="40">
        <v>4234.3</v>
      </c>
      <c r="AX229" s="55">
        <v>909.25993860063954</v>
      </c>
      <c r="AY229" s="674">
        <v>4057.8817809159877</v>
      </c>
      <c r="AZ229" s="40">
        <v>7468.02</v>
      </c>
      <c r="BA229" s="35">
        <v>3410.1382190840127</v>
      </c>
      <c r="BB229" s="674">
        <v>3055.1091741112809</v>
      </c>
      <c r="BC229" s="40">
        <v>961</v>
      </c>
      <c r="BD229" s="55">
        <v>-2094.1091741112809</v>
      </c>
      <c r="BE229" s="674">
        <v>3167.2652089626172</v>
      </c>
      <c r="BF229" s="40">
        <v>6896</v>
      </c>
      <c r="BG229" s="38">
        <v>3728.7347910373828</v>
      </c>
      <c r="BH229" s="674">
        <v>1385.6021579763128</v>
      </c>
      <c r="BI229" s="40">
        <v>2266</v>
      </c>
      <c r="BJ229" s="55">
        <v>880.39784202368719</v>
      </c>
      <c r="BK229" s="674">
        <v>3346.2609586105059</v>
      </c>
      <c r="BL229" s="40">
        <v>0</v>
      </c>
      <c r="BM229" s="38">
        <v>-3346.2609586105059</v>
      </c>
      <c r="BN229" s="674">
        <v>794.32735148531663</v>
      </c>
      <c r="BO229" s="40">
        <v>0</v>
      </c>
      <c r="BP229" s="55">
        <v>-794.32735148531663</v>
      </c>
      <c r="BQ229" s="77">
        <v>19131.486693461382</v>
      </c>
      <c r="BR229" s="40">
        <v>21825.32</v>
      </c>
      <c r="BS229" s="55">
        <v>2693.8333065386178</v>
      </c>
      <c r="BT229" s="674">
        <v>95981.604831769408</v>
      </c>
      <c r="BU229" s="40">
        <v>90514.589849053096</v>
      </c>
      <c r="BV229" s="52">
        <v>-5467.0149827163114</v>
      </c>
      <c r="BW229" s="674">
        <v>53888.224786308419</v>
      </c>
      <c r="BX229" s="40">
        <v>52183.762845900725</v>
      </c>
      <c r="BY229" s="52">
        <v>-1704.4619404076948</v>
      </c>
      <c r="BZ229" s="674">
        <v>14973.152362120301</v>
      </c>
      <c r="CA229" s="40">
        <v>19054.257484551807</v>
      </c>
      <c r="CB229" s="52">
        <v>4081.1051224315052</v>
      </c>
      <c r="CC229" s="674">
        <v>2167.1673443506065</v>
      </c>
      <c r="CD229" s="40">
        <v>2273.523338199192</v>
      </c>
      <c r="CE229" s="52">
        <v>106.35599384858551</v>
      </c>
      <c r="CF229" s="674">
        <v>264.38245920991375</v>
      </c>
      <c r="CG229" s="40">
        <v>0</v>
      </c>
      <c r="CH229" s="52">
        <v>-264.38245920991375</v>
      </c>
      <c r="CI229" s="674">
        <v>30538.197752260836</v>
      </c>
      <c r="CJ229" s="40">
        <v>27411.691015354376</v>
      </c>
      <c r="CK229" s="52">
        <v>-3126.50673690646</v>
      </c>
      <c r="CL229" s="674">
        <v>19249.64612465864</v>
      </c>
      <c r="CM229" s="40">
        <v>11625.084905437019</v>
      </c>
      <c r="CN229" s="52">
        <v>-7624.5612192216213</v>
      </c>
      <c r="CO229" s="39">
        <v>49787.843876919476</v>
      </c>
      <c r="CP229" s="40">
        <v>39036.775920791391</v>
      </c>
      <c r="CQ229" s="52">
        <v>-10751.067956128085</v>
      </c>
      <c r="CR229" s="72">
        <v>510542.58692331845</v>
      </c>
      <c r="CS229" s="5">
        <v>412557.96497725713</v>
      </c>
      <c r="CT229" s="52">
        <v>-97984.621946061321</v>
      </c>
      <c r="CU229" s="77">
        <v>612651.10430798214</v>
      </c>
      <c r="CV229" s="65">
        <v>495069.55797270854</v>
      </c>
      <c r="CW229" s="35">
        <v>-117581.5463352736</v>
      </c>
      <c r="CX229" s="73">
        <v>18627.1721436882</v>
      </c>
      <c r="CY229" s="40">
        <v>136208.71847896182</v>
      </c>
      <c r="CZ229" s="52">
        <v>117581.54633527363</v>
      </c>
      <c r="DA229" s="150">
        <v>-43072.640164695695</v>
      </c>
      <c r="DB229" s="2">
        <v>1</v>
      </c>
      <c r="DC229" s="675">
        <v>101929.24</v>
      </c>
      <c r="DD229" s="675">
        <v>0</v>
      </c>
      <c r="DE229" s="675">
        <v>46992.475283182117</v>
      </c>
      <c r="DF229" s="675">
        <v>0</v>
      </c>
      <c r="DG229" s="321">
        <v>74508.906170577902</v>
      </c>
      <c r="DH229" s="40">
        <v>631229.14679751243</v>
      </c>
      <c r="DI229" s="422">
        <v>54936.764716817896</v>
      </c>
      <c r="DJ229" s="306">
        <v>5.9786604375016941</v>
      </c>
      <c r="DK229" s="306">
        <v>7.5749399607295995</v>
      </c>
      <c r="DL229" s="306">
        <v>5.1698747787574808</v>
      </c>
      <c r="DM229" s="28">
        <v>54936.764716817888</v>
      </c>
      <c r="DN229" s="28">
        <v>0</v>
      </c>
      <c r="DO229" s="423">
        <v>54936.764716817888</v>
      </c>
      <c r="DP229" s="94">
        <v>0</v>
      </c>
      <c r="DQ229" s="28">
        <v>54936.764716817888</v>
      </c>
      <c r="DR229" s="318"/>
      <c r="DT229" s="8"/>
      <c r="DU229" s="5"/>
      <c r="DX229" s="5">
        <v>146889.5039721175</v>
      </c>
      <c r="DY229" s="5">
        <v>58908.696000000004</v>
      </c>
      <c r="DZ229" s="159">
        <v>13065.67973807045</v>
      </c>
      <c r="EB229" s="676">
        <v>-6488.1917673968273</v>
      </c>
      <c r="EC229" s="676">
        <v>-9309.3058493129283</v>
      </c>
      <c r="ED229" s="676">
        <v>-3064.8174040304657</v>
      </c>
      <c r="EE229" s="676">
        <v>-13808.256669234805</v>
      </c>
      <c r="EF229" s="676">
        <v>-6657.1089325211578</v>
      </c>
      <c r="EG229" s="676">
        <v>-14821.156662161258</v>
      </c>
      <c r="EH229" s="676">
        <v>-5601.0495014786793</v>
      </c>
      <c r="EI229" s="676">
        <v>-10536.229135235328</v>
      </c>
      <c r="EJ229" s="676">
        <v>-13387.031710094474</v>
      </c>
      <c r="EK229" s="676">
        <v>-10488.719005098188</v>
      </c>
      <c r="EL229" s="676">
        <v>-13283.421319962501</v>
      </c>
      <c r="EM229" s="676">
        <v>-10136.258378746985</v>
      </c>
      <c r="EN229" s="676">
        <v>-117581.5463352736</v>
      </c>
      <c r="EQ229" s="5">
        <v>146889.5039721175</v>
      </c>
      <c r="ER229" s="5">
        <v>58908.696000000004</v>
      </c>
      <c r="ET229" s="318">
        <v>-35381.753250911381</v>
      </c>
      <c r="EU229" s="5">
        <v>58199.659421489239</v>
      </c>
    </row>
    <row r="230" spans="1:151" x14ac:dyDescent="0.3">
      <c r="A230" s="325">
        <v>150000941</v>
      </c>
      <c r="B230" s="41" t="s">
        <v>677</v>
      </c>
      <c r="C230" s="42" t="s">
        <v>338</v>
      </c>
      <c r="D230" s="27">
        <v>8</v>
      </c>
      <c r="E230" s="293">
        <v>6120.05</v>
      </c>
      <c r="F230" s="305">
        <v>6120.05</v>
      </c>
      <c r="G230" s="508">
        <v>717.15</v>
      </c>
      <c r="H230" s="677">
        <v>0</v>
      </c>
      <c r="I230" s="674">
        <v>9728.2882743477458</v>
      </c>
      <c r="J230" s="40">
        <v>8531.6895909826708</v>
      </c>
      <c r="K230" s="52">
        <v>-1196.598683365075</v>
      </c>
      <c r="L230" s="674">
        <v>2770.3901738320301</v>
      </c>
      <c r="M230" s="40">
        <v>2208.1745083370242</v>
      </c>
      <c r="N230" s="52">
        <v>-562.21566549500585</v>
      </c>
      <c r="O230" s="674">
        <v>9325.2004163978345</v>
      </c>
      <c r="P230" s="40">
        <v>9325.2000000000007</v>
      </c>
      <c r="Q230" s="52">
        <v>-4.1639783376012929E-4</v>
      </c>
      <c r="R230" s="674">
        <v>1720.9526631747451</v>
      </c>
      <c r="S230" s="40">
        <v>1720.9800000000002</v>
      </c>
      <c r="T230" s="52">
        <v>2.733682525513359E-2</v>
      </c>
      <c r="U230" s="674">
        <v>999.22007737844285</v>
      </c>
      <c r="V230" s="40">
        <v>474.19123473607738</v>
      </c>
      <c r="W230" s="52">
        <v>-525.02884264236548</v>
      </c>
      <c r="X230" s="674">
        <v>11822.794867234907</v>
      </c>
      <c r="Y230" s="40">
        <v>8475.1775818368678</v>
      </c>
      <c r="Z230" s="52">
        <v>-3347.6172853980388</v>
      </c>
      <c r="AA230" s="674">
        <v>734.49600000000009</v>
      </c>
      <c r="AB230" s="40">
        <v>0</v>
      </c>
      <c r="AC230" s="52">
        <v>-734.49600000000009</v>
      </c>
      <c r="AD230" s="674">
        <v>26240.570139490563</v>
      </c>
      <c r="AE230" s="40">
        <v>26002.822006605289</v>
      </c>
      <c r="AF230" s="35">
        <v>-237.74813288527366</v>
      </c>
      <c r="AG230" s="77">
        <v>63341.912611856271</v>
      </c>
      <c r="AH230" s="53">
        <v>56738.234922497926</v>
      </c>
      <c r="AI230" s="52">
        <v>-6603.6776893583447</v>
      </c>
      <c r="AJ230" s="674">
        <v>50988.723820887571</v>
      </c>
      <c r="AK230" s="40">
        <v>50653.855187789886</v>
      </c>
      <c r="AL230" s="52">
        <v>-334.86863309768523</v>
      </c>
      <c r="AM230" s="674">
        <v>3866.6746849595957</v>
      </c>
      <c r="AN230" s="40">
        <v>836.09601343288591</v>
      </c>
      <c r="AO230" s="52">
        <v>-3030.5786715267095</v>
      </c>
      <c r="AP230" s="674">
        <v>4586.7716090682097</v>
      </c>
      <c r="AQ230" s="40">
        <v>3777.1843320339894</v>
      </c>
      <c r="AR230" s="52">
        <v>-809.58727703422028</v>
      </c>
      <c r="AS230" s="674">
        <v>103567.36916637527</v>
      </c>
      <c r="AT230" s="40">
        <v>37180.31</v>
      </c>
      <c r="AU230" s="54">
        <v>-66387.059166375271</v>
      </c>
      <c r="AV230" s="674">
        <v>1412.2363512107238</v>
      </c>
      <c r="AW230" s="40">
        <v>1266</v>
      </c>
      <c r="AX230" s="55">
        <v>-146.2363512107238</v>
      </c>
      <c r="AY230" s="674">
        <v>2349.1309196686498</v>
      </c>
      <c r="AZ230" s="40">
        <v>12666</v>
      </c>
      <c r="BA230" s="35">
        <v>10316.869080331351</v>
      </c>
      <c r="BB230" s="674">
        <v>1031.7133295988251</v>
      </c>
      <c r="BC230" s="40">
        <v>0</v>
      </c>
      <c r="BD230" s="55">
        <v>-1031.7133295988251</v>
      </c>
      <c r="BE230" s="674">
        <v>2239.0876112988994</v>
      </c>
      <c r="BF230" s="40">
        <v>0</v>
      </c>
      <c r="BG230" s="38">
        <v>-2239.0876112988994</v>
      </c>
      <c r="BH230" s="674">
        <v>1125.1844167383949</v>
      </c>
      <c r="BI230" s="40">
        <v>0</v>
      </c>
      <c r="BJ230" s="55">
        <v>-1125.1844167383949</v>
      </c>
      <c r="BK230" s="674">
        <v>1862.5981891330657</v>
      </c>
      <c r="BL230" s="40">
        <v>0</v>
      </c>
      <c r="BM230" s="38">
        <v>-1862.5981891330657</v>
      </c>
      <c r="BN230" s="674">
        <v>1003.3962301704435</v>
      </c>
      <c r="BO230" s="40">
        <v>0</v>
      </c>
      <c r="BP230" s="55">
        <v>-1003.3962301704435</v>
      </c>
      <c r="BQ230" s="77">
        <v>11023.347047819001</v>
      </c>
      <c r="BR230" s="40">
        <v>13932</v>
      </c>
      <c r="BS230" s="55">
        <v>2908.6529521809989</v>
      </c>
      <c r="BT230" s="674">
        <v>66529.442111322365</v>
      </c>
      <c r="BU230" s="40">
        <v>66448.715108151227</v>
      </c>
      <c r="BV230" s="52">
        <v>-80.727003171137767</v>
      </c>
      <c r="BW230" s="674">
        <v>50739.218227096193</v>
      </c>
      <c r="BX230" s="40">
        <v>53488.541299107717</v>
      </c>
      <c r="BY230" s="52">
        <v>2749.3230720115243</v>
      </c>
      <c r="BZ230" s="674">
        <v>9891.5492045642386</v>
      </c>
      <c r="CA230" s="40">
        <v>16603.076345134701</v>
      </c>
      <c r="CB230" s="52">
        <v>6711.5271405704625</v>
      </c>
      <c r="CC230" s="674">
        <v>1724.6959168981193</v>
      </c>
      <c r="CD230" s="40">
        <v>1808.5375783825023</v>
      </c>
      <c r="CE230" s="52">
        <v>83.841661484382939</v>
      </c>
      <c r="CF230" s="674">
        <v>210.31040434581004</v>
      </c>
      <c r="CG230" s="40">
        <v>0</v>
      </c>
      <c r="CH230" s="52">
        <v>-210.31040434581004</v>
      </c>
      <c r="CI230" s="674">
        <v>14643.147201427955</v>
      </c>
      <c r="CJ230" s="40">
        <v>16317.245717948657</v>
      </c>
      <c r="CK230" s="52">
        <v>1674.0985165207021</v>
      </c>
      <c r="CL230" s="674">
        <v>9471.4810954378518</v>
      </c>
      <c r="CM230" s="40">
        <v>10076.058666425824</v>
      </c>
      <c r="CN230" s="52">
        <v>604.57757098797265</v>
      </c>
      <c r="CO230" s="39">
        <v>24114.628296865805</v>
      </c>
      <c r="CP230" s="40">
        <v>26393.304384374482</v>
      </c>
      <c r="CQ230" s="52">
        <v>2278.6760875086766</v>
      </c>
      <c r="CR230" s="72">
        <v>390584.64310205844</v>
      </c>
      <c r="CS230" s="5">
        <v>327859.85517090536</v>
      </c>
      <c r="CT230" s="52">
        <v>-62724.787931153085</v>
      </c>
      <c r="CU230" s="77">
        <v>468701.57172247011</v>
      </c>
      <c r="CV230" s="65">
        <v>393431.82620508643</v>
      </c>
      <c r="CW230" s="35">
        <v>-75269.745517383679</v>
      </c>
      <c r="CX230" s="73">
        <v>14276.592259701942</v>
      </c>
      <c r="CY230" s="40">
        <v>89546.33777708569</v>
      </c>
      <c r="CZ230" s="52">
        <v>75269.745517383752</v>
      </c>
      <c r="DA230" s="150">
        <v>-13997.8625623306</v>
      </c>
      <c r="DB230" s="2">
        <v>1</v>
      </c>
      <c r="DC230" s="675">
        <v>75250.98</v>
      </c>
      <c r="DD230" s="675">
        <v>0</v>
      </c>
      <c r="DE230" s="675">
        <v>33339.177046253411</v>
      </c>
      <c r="DF230" s="675">
        <v>0</v>
      </c>
      <c r="DG230" s="321">
        <v>61271.882955053137</v>
      </c>
      <c r="DH230" s="40">
        <v>482940.19074386545</v>
      </c>
      <c r="DI230" s="422">
        <v>41911.802953746592</v>
      </c>
      <c r="DJ230" s="306">
        <v>5.7183398893793296</v>
      </c>
      <c r="DK230" s="306">
        <v>6.9982593610983361</v>
      </c>
      <c r="DL230" s="306">
        <v>4.8271945726534469</v>
      </c>
      <c r="DM230" s="28">
        <v>41911.802953746585</v>
      </c>
      <c r="DN230" s="28">
        <v>0</v>
      </c>
      <c r="DO230" s="423">
        <v>41911.802953746585</v>
      </c>
      <c r="DP230" s="94">
        <v>0</v>
      </c>
      <c r="DQ230" s="28">
        <v>41911.802953746585</v>
      </c>
      <c r="DR230" s="318"/>
      <c r="DT230" s="8"/>
      <c r="DU230" s="5"/>
      <c r="DX230" s="5">
        <v>137508.8594570331</v>
      </c>
      <c r="DY230" s="5">
        <v>61334.771999999997</v>
      </c>
      <c r="DZ230" s="159">
        <v>12092.424304700964</v>
      </c>
      <c r="EB230" s="676">
        <v>-360.53412972200022</v>
      </c>
      <c r="EC230" s="676">
        <v>-10019.523389593192</v>
      </c>
      <c r="ED230" s="676">
        <v>-7334.3097700584112</v>
      </c>
      <c r="EE230" s="676">
        <v>-11063.487850700069</v>
      </c>
      <c r="EF230" s="676">
        <v>-12128.437313644139</v>
      </c>
      <c r="EG230" s="676">
        <v>-15067.369708073045</v>
      </c>
      <c r="EH230" s="676">
        <v>-11247.775828105889</v>
      </c>
      <c r="EI230" s="676">
        <v>-5555.5884369754422</v>
      </c>
      <c r="EJ230" s="676">
        <v>-11443.600444306769</v>
      </c>
      <c r="EK230" s="676">
        <v>8883.1356187200436</v>
      </c>
      <c r="EL230" s="676">
        <v>11678.487685107582</v>
      </c>
      <c r="EM230" s="676">
        <v>-11610.74195003241</v>
      </c>
      <c r="EN230" s="676">
        <v>-75269.745517383737</v>
      </c>
      <c r="EQ230" s="5">
        <v>137508.8594570331</v>
      </c>
      <c r="ER230" s="5">
        <v>61334.771999999997</v>
      </c>
      <c r="ET230" s="318">
        <v>28842.402843070216</v>
      </c>
      <c r="EU230" s="5">
        <v>25835.480111982932</v>
      </c>
    </row>
    <row r="231" spans="1:151" x14ac:dyDescent="0.3">
      <c r="A231" s="325">
        <v>150000957</v>
      </c>
      <c r="B231" s="41" t="s">
        <v>678</v>
      </c>
      <c r="C231" s="42" t="s">
        <v>378</v>
      </c>
      <c r="D231" s="27">
        <v>9</v>
      </c>
      <c r="E231" s="293">
        <v>2163.8200000000002</v>
      </c>
      <c r="F231" s="305">
        <v>2163.8200000000002</v>
      </c>
      <c r="G231" s="508">
        <v>234.2</v>
      </c>
      <c r="H231" s="677">
        <v>0</v>
      </c>
      <c r="I231" s="674">
        <v>7730.2336668270627</v>
      </c>
      <c r="J231" s="40">
        <v>6392.7772204062785</v>
      </c>
      <c r="K231" s="52">
        <v>-1337.4564464207842</v>
      </c>
      <c r="L231" s="674">
        <v>1181.2813415542114</v>
      </c>
      <c r="M231" s="40">
        <v>941.53728306122059</v>
      </c>
      <c r="N231" s="52">
        <v>-239.7440584929908</v>
      </c>
      <c r="O231" s="674">
        <v>3002.0861859840852</v>
      </c>
      <c r="P231" s="40">
        <v>3002.1</v>
      </c>
      <c r="Q231" s="52">
        <v>1.3814015914704214E-2</v>
      </c>
      <c r="R231" s="674">
        <v>701.78678265017493</v>
      </c>
      <c r="S231" s="40">
        <v>701.79</v>
      </c>
      <c r="T231" s="52">
        <v>3.2173498250358534E-3</v>
      </c>
      <c r="U231" s="674">
        <v>357.56258567742054</v>
      </c>
      <c r="V231" s="40">
        <v>149.42108203321459</v>
      </c>
      <c r="W231" s="52">
        <v>-208.14150364420595</v>
      </c>
      <c r="X231" s="674">
        <v>1990.1084788651078</v>
      </c>
      <c r="Y231" s="40">
        <v>1666.6200452723547</v>
      </c>
      <c r="Z231" s="52">
        <v>-323.48843359275315</v>
      </c>
      <c r="AA231" s="674">
        <v>259.86720000000003</v>
      </c>
      <c r="AB231" s="40">
        <v>0</v>
      </c>
      <c r="AC231" s="52">
        <v>-259.86720000000003</v>
      </c>
      <c r="AD231" s="674">
        <v>9279.2704422361312</v>
      </c>
      <c r="AE231" s="40">
        <v>9193.4692963931066</v>
      </c>
      <c r="AF231" s="35">
        <v>-85.801145843024642</v>
      </c>
      <c r="AG231" s="77">
        <v>24502.196683794195</v>
      </c>
      <c r="AH231" s="53">
        <v>22047.714927166176</v>
      </c>
      <c r="AI231" s="52">
        <v>-2454.481756628018</v>
      </c>
      <c r="AJ231" s="674">
        <v>16375.885627116193</v>
      </c>
      <c r="AK231" s="40">
        <v>16268.367453853569</v>
      </c>
      <c r="AL231" s="52">
        <v>-107.51817326262426</v>
      </c>
      <c r="AM231" s="674">
        <v>1499.0414466531979</v>
      </c>
      <c r="AN231" s="40">
        <v>836.09601343288591</v>
      </c>
      <c r="AO231" s="52">
        <v>-662.945433220312</v>
      </c>
      <c r="AP231" s="674">
        <v>1618.8605679064267</v>
      </c>
      <c r="AQ231" s="40">
        <v>1217.8271336719918</v>
      </c>
      <c r="AR231" s="52">
        <v>-401.03343423443494</v>
      </c>
      <c r="AS231" s="674">
        <v>28580.160593725061</v>
      </c>
      <c r="AT231" s="40">
        <v>14232.334539114994</v>
      </c>
      <c r="AU231" s="54">
        <v>-14347.826054610066</v>
      </c>
      <c r="AV231" s="674">
        <v>1226.6443481688591</v>
      </c>
      <c r="AW231" s="40">
        <v>1393.63</v>
      </c>
      <c r="AX231" s="55">
        <v>166.98565183114101</v>
      </c>
      <c r="AY231" s="674">
        <v>1382.1314617554399</v>
      </c>
      <c r="AZ231" s="40">
        <v>0</v>
      </c>
      <c r="BA231" s="35">
        <v>-1382.1314617554399</v>
      </c>
      <c r="BB231" s="674">
        <v>603.02792112590294</v>
      </c>
      <c r="BC231" s="40">
        <v>1440</v>
      </c>
      <c r="BD231" s="55">
        <v>836.97207887409706</v>
      </c>
      <c r="BE231" s="674">
        <v>1062.3671617176433</v>
      </c>
      <c r="BF231" s="40">
        <v>3349</v>
      </c>
      <c r="BG231" s="38">
        <v>2286.6328382823567</v>
      </c>
      <c r="BH231" s="674">
        <v>461.88860612830399</v>
      </c>
      <c r="BI231" s="40">
        <v>54</v>
      </c>
      <c r="BJ231" s="55">
        <v>-407.88860612830399</v>
      </c>
      <c r="BK231" s="674">
        <v>437.53913942016555</v>
      </c>
      <c r="BL231" s="40">
        <v>0</v>
      </c>
      <c r="BM231" s="38">
        <v>-437.53913942016555</v>
      </c>
      <c r="BN231" s="674">
        <v>213.66436862462791</v>
      </c>
      <c r="BO231" s="40">
        <v>0</v>
      </c>
      <c r="BP231" s="55">
        <v>-213.66436862462791</v>
      </c>
      <c r="BQ231" s="77">
        <v>5387.2630069409424</v>
      </c>
      <c r="BR231" s="40">
        <v>6236.63</v>
      </c>
      <c r="BS231" s="55">
        <v>849.36699305905768</v>
      </c>
      <c r="BT231" s="674">
        <v>28026.423401903572</v>
      </c>
      <c r="BU231" s="40">
        <v>26395.384143891843</v>
      </c>
      <c r="BV231" s="52">
        <v>-1631.0392580117295</v>
      </c>
      <c r="BW231" s="674">
        <v>16745.940182409748</v>
      </c>
      <c r="BX231" s="40">
        <v>14588.021754131618</v>
      </c>
      <c r="BY231" s="52">
        <v>-2157.9184282781298</v>
      </c>
      <c r="BZ231" s="674">
        <v>6653.7580929285623</v>
      </c>
      <c r="CA231" s="40">
        <v>5227.8955978797421</v>
      </c>
      <c r="CB231" s="52">
        <v>-1425.8624950488202</v>
      </c>
      <c r="CC231" s="674">
        <v>743.54760801685325</v>
      </c>
      <c r="CD231" s="40">
        <v>775.46306049831128</v>
      </c>
      <c r="CE231" s="52">
        <v>31.915452481458033</v>
      </c>
      <c r="CF231" s="674">
        <v>90.176699537811004</v>
      </c>
      <c r="CG231" s="40">
        <v>0</v>
      </c>
      <c r="CH231" s="52">
        <v>-90.176699537811004</v>
      </c>
      <c r="CI231" s="674">
        <v>4527.7301002459026</v>
      </c>
      <c r="CJ231" s="40">
        <v>4171.0535794742455</v>
      </c>
      <c r="CK231" s="52">
        <v>-356.67652077165712</v>
      </c>
      <c r="CL231" s="674">
        <v>4153.4019842906555</v>
      </c>
      <c r="CM231" s="40">
        <v>4033.3759430081359</v>
      </c>
      <c r="CN231" s="52">
        <v>-120.0260412825196</v>
      </c>
      <c r="CO231" s="39">
        <v>8681.132084536559</v>
      </c>
      <c r="CP231" s="40">
        <v>8204.4295224823818</v>
      </c>
      <c r="CQ231" s="52">
        <v>-476.70256205417718</v>
      </c>
      <c r="CR231" s="72">
        <v>138904.38599546911</v>
      </c>
      <c r="CS231" s="5">
        <v>116030.16414612353</v>
      </c>
      <c r="CT231" s="52">
        <v>-22874.221849345588</v>
      </c>
      <c r="CU231" s="77">
        <v>166685.26319456293</v>
      </c>
      <c r="CV231" s="65">
        <v>139236.19697534823</v>
      </c>
      <c r="CW231" s="35">
        <v>-27449.066219214699</v>
      </c>
      <c r="CX231" s="73">
        <v>3729.8573130647774</v>
      </c>
      <c r="CY231" s="40">
        <v>31178.92353227947</v>
      </c>
      <c r="CZ231" s="52">
        <v>27449.066219214692</v>
      </c>
      <c r="DA231" s="150">
        <v>-18614.027051710749</v>
      </c>
      <c r="DB231" s="2">
        <v>1</v>
      </c>
      <c r="DC231" s="675">
        <v>20939.46</v>
      </c>
      <c r="DD231" s="675">
        <v>0</v>
      </c>
      <c r="DE231" s="675">
        <v>6056.7491094012548</v>
      </c>
      <c r="DF231" s="675">
        <v>0</v>
      </c>
      <c r="DG231" s="321">
        <v>8835.0391675039573</v>
      </c>
      <c r="DH231" s="40">
        <v>170402.02713456034</v>
      </c>
      <c r="DI231" s="422">
        <v>14882.710890598748</v>
      </c>
      <c r="DJ231" s="306">
        <v>5.809827008005727</v>
      </c>
      <c r="DK231" s="306">
        <v>7.0076229544282311</v>
      </c>
      <c r="DL231" s="306">
        <v>4.9476341243264237</v>
      </c>
      <c r="DM231" s="28">
        <v>14882.710890598744</v>
      </c>
      <c r="DN231" s="28">
        <v>0</v>
      </c>
      <c r="DO231" s="423">
        <v>14882.710890598744</v>
      </c>
      <c r="DP231" s="94">
        <v>0</v>
      </c>
      <c r="DQ231" s="28">
        <v>14882.710890598744</v>
      </c>
      <c r="DR231" s="318"/>
      <c r="DT231" s="8"/>
      <c r="DU231" s="5"/>
      <c r="DX231" s="5">
        <v>40760.908320799208</v>
      </c>
      <c r="DY231" s="5">
        <v>24562.757446937991</v>
      </c>
      <c r="DZ231" s="159">
        <v>3588.3729347869507</v>
      </c>
      <c r="EB231" s="676">
        <v>2616.2649343720659</v>
      </c>
      <c r="EC231" s="676">
        <v>-3178.8547959222997</v>
      </c>
      <c r="ED231" s="676">
        <v>-2159.7013128799663</v>
      </c>
      <c r="EE231" s="676">
        <v>6100.2791723224982</v>
      </c>
      <c r="EF231" s="676">
        <v>-2009.232760410152</v>
      </c>
      <c r="EG231" s="676">
        <v>-4735.5659751224939</v>
      </c>
      <c r="EH231" s="676">
        <v>-3203.8939827105951</v>
      </c>
      <c r="EI231" s="676">
        <v>-5771.828821955196</v>
      </c>
      <c r="EJ231" s="676">
        <v>-2551.2077558989604</v>
      </c>
      <c r="EK231" s="676">
        <v>-1341.8535813909202</v>
      </c>
      <c r="EL231" s="676">
        <v>-4822.3922287217501</v>
      </c>
      <c r="EM231" s="676">
        <v>-6391.0791108969352</v>
      </c>
      <c r="EN231" s="676">
        <v>-27449.066219214707</v>
      </c>
      <c r="EQ231" s="5">
        <v>40760.908320799208</v>
      </c>
      <c r="ER231" s="5">
        <v>24562.757446937991</v>
      </c>
      <c r="ET231" s="318">
        <v>-5851.2977888419409</v>
      </c>
      <c r="EU231" s="5">
        <v>444.3369563458964</v>
      </c>
    </row>
    <row r="232" spans="1:151" x14ac:dyDescent="0.3">
      <c r="A232" s="325">
        <v>150000960</v>
      </c>
      <c r="B232" s="41" t="s">
        <v>679</v>
      </c>
      <c r="C232" s="42" t="s">
        <v>379</v>
      </c>
      <c r="D232" s="27">
        <v>9</v>
      </c>
      <c r="E232" s="293">
        <v>4314</v>
      </c>
      <c r="F232" s="305">
        <v>4314</v>
      </c>
      <c r="G232" s="508">
        <v>457.6</v>
      </c>
      <c r="H232" s="677">
        <v>0</v>
      </c>
      <c r="I232" s="674">
        <v>15275.252115702628</v>
      </c>
      <c r="J232" s="40">
        <v>12643.536051093404</v>
      </c>
      <c r="K232" s="52">
        <v>-2631.7160646092234</v>
      </c>
      <c r="L232" s="674">
        <v>2362.5627740630598</v>
      </c>
      <c r="M232" s="40">
        <v>1883.0745661224412</v>
      </c>
      <c r="N232" s="52">
        <v>-479.48820794061862</v>
      </c>
      <c r="O232" s="674">
        <v>6099.1155969389465</v>
      </c>
      <c r="P232" s="40">
        <v>6099.0900000000011</v>
      </c>
      <c r="Q232" s="52">
        <v>-2.5596938945454895E-2</v>
      </c>
      <c r="R232" s="674">
        <v>1342.01047512028</v>
      </c>
      <c r="S232" s="40">
        <v>1342.0200000000002</v>
      </c>
      <c r="T232" s="52">
        <v>9.5248797201747948E-3</v>
      </c>
      <c r="U232" s="674">
        <v>714.84307937464087</v>
      </c>
      <c r="V232" s="40">
        <v>298.71032252132215</v>
      </c>
      <c r="W232" s="52">
        <v>-416.13275685331871</v>
      </c>
      <c r="X232" s="674">
        <v>6485.2437116159481</v>
      </c>
      <c r="Y232" s="40">
        <v>8404.5931025711525</v>
      </c>
      <c r="Z232" s="52">
        <v>1919.3493909552044</v>
      </c>
      <c r="AA232" s="674">
        <v>517.72080000000005</v>
      </c>
      <c r="AB232" s="40">
        <v>0</v>
      </c>
      <c r="AC232" s="52">
        <v>-517.72080000000005</v>
      </c>
      <c r="AD232" s="674">
        <v>18496.683878724943</v>
      </c>
      <c r="AE232" s="40">
        <v>18329.475509904158</v>
      </c>
      <c r="AF232" s="35">
        <v>-167.20836882078584</v>
      </c>
      <c r="AG232" s="77">
        <v>51293.432431540452</v>
      </c>
      <c r="AH232" s="53">
        <v>49000.499552212481</v>
      </c>
      <c r="AI232" s="52">
        <v>-2292.932879327971</v>
      </c>
      <c r="AJ232" s="674">
        <v>34984.896703249113</v>
      </c>
      <c r="AK232" s="40">
        <v>34755.198455729827</v>
      </c>
      <c r="AL232" s="52">
        <v>-229.69824751928536</v>
      </c>
      <c r="AM232" s="674">
        <v>2998.0828933063958</v>
      </c>
      <c r="AN232" s="40">
        <v>2065.8157312017306</v>
      </c>
      <c r="AO232" s="52">
        <v>-932.2671621046652</v>
      </c>
      <c r="AP232" s="674">
        <v>3237.7211358128534</v>
      </c>
      <c r="AQ232" s="40">
        <v>2511.768463198483</v>
      </c>
      <c r="AR232" s="52">
        <v>-725.95267261437039</v>
      </c>
      <c r="AS232" s="674">
        <v>53454.819867681996</v>
      </c>
      <c r="AT232" s="40">
        <v>10050.950720106246</v>
      </c>
      <c r="AU232" s="54">
        <v>-43403.869147575751</v>
      </c>
      <c r="AV232" s="674">
        <v>2209.7354491535525</v>
      </c>
      <c r="AW232" s="40">
        <v>669</v>
      </c>
      <c r="AX232" s="55">
        <v>-1540.7354491535525</v>
      </c>
      <c r="AY232" s="674">
        <v>2525.0141731443018</v>
      </c>
      <c r="AZ232" s="40">
        <v>4413.8999999999996</v>
      </c>
      <c r="BA232" s="35">
        <v>1888.8858268556978</v>
      </c>
      <c r="BB232" s="674">
        <v>1079.1656890324671</v>
      </c>
      <c r="BC232" s="40">
        <v>1584</v>
      </c>
      <c r="BD232" s="55">
        <v>504.83431096753293</v>
      </c>
      <c r="BE232" s="674">
        <v>1807.4384890784461</v>
      </c>
      <c r="BF232" s="40">
        <v>0</v>
      </c>
      <c r="BG232" s="38">
        <v>-1807.4384890784461</v>
      </c>
      <c r="BH232" s="674">
        <v>864.34862386812631</v>
      </c>
      <c r="BI232" s="40">
        <v>0</v>
      </c>
      <c r="BJ232" s="55">
        <v>-864.34862386812631</v>
      </c>
      <c r="BK232" s="674">
        <v>998.34458454551361</v>
      </c>
      <c r="BL232" s="40">
        <v>0</v>
      </c>
      <c r="BM232" s="38">
        <v>-998.34458454551361</v>
      </c>
      <c r="BN232" s="674">
        <v>443.6844361203523</v>
      </c>
      <c r="BO232" s="40">
        <v>0</v>
      </c>
      <c r="BP232" s="55">
        <v>-443.6844361203523</v>
      </c>
      <c r="BQ232" s="77">
        <v>9927.7314449427613</v>
      </c>
      <c r="BR232" s="40">
        <v>6666.9</v>
      </c>
      <c r="BS232" s="55">
        <v>-3260.8314449427617</v>
      </c>
      <c r="BT232" s="674">
        <v>53411.786538438377</v>
      </c>
      <c r="BU232" s="40">
        <v>52928.320000664062</v>
      </c>
      <c r="BV232" s="52">
        <v>-483.46653777431493</v>
      </c>
      <c r="BW232" s="674">
        <v>33555.21371704137</v>
      </c>
      <c r="BX232" s="40">
        <v>33050.748189267601</v>
      </c>
      <c r="BY232" s="52">
        <v>-504.46552777376928</v>
      </c>
      <c r="BZ232" s="674">
        <v>12343.163199958761</v>
      </c>
      <c r="CA232" s="40">
        <v>13807.895283664478</v>
      </c>
      <c r="CB232" s="52">
        <v>1464.7320837057177</v>
      </c>
      <c r="CC232" s="674">
        <v>1387.0519935890488</v>
      </c>
      <c r="CD232" s="40">
        <v>1445.7785873697328</v>
      </c>
      <c r="CE232" s="52">
        <v>58.72659378068397</v>
      </c>
      <c r="CF232" s="674">
        <v>168.12604998574932</v>
      </c>
      <c r="CG232" s="40">
        <v>0</v>
      </c>
      <c r="CH232" s="52">
        <v>-168.12604998574932</v>
      </c>
      <c r="CI232" s="674">
        <v>8999.3357688431206</v>
      </c>
      <c r="CJ232" s="40">
        <v>8308.0524317084728</v>
      </c>
      <c r="CK232" s="52">
        <v>-691.28333713464781</v>
      </c>
      <c r="CL232" s="674">
        <v>8269.3837308155253</v>
      </c>
      <c r="CM232" s="40">
        <v>8035.8225014749951</v>
      </c>
      <c r="CN232" s="52">
        <v>-233.56122934053019</v>
      </c>
      <c r="CO232" s="39">
        <v>17268.719499658648</v>
      </c>
      <c r="CP232" s="40">
        <v>16343.874933183468</v>
      </c>
      <c r="CQ232" s="52">
        <v>-924.84456647517982</v>
      </c>
      <c r="CR232" s="72">
        <v>274030.74547520553</v>
      </c>
      <c r="CS232" s="5">
        <v>222627.74991659811</v>
      </c>
      <c r="CT232" s="52">
        <v>-51402.995558607421</v>
      </c>
      <c r="CU232" s="77">
        <v>328836.89457024663</v>
      </c>
      <c r="CV232" s="65">
        <v>267153.29989991774</v>
      </c>
      <c r="CW232" s="35">
        <v>-61683.594670328894</v>
      </c>
      <c r="CX232" s="73">
        <v>7353.1483784095944</v>
      </c>
      <c r="CY232" s="40">
        <v>69036.743048738441</v>
      </c>
      <c r="CZ232" s="52">
        <v>61683.59467032885</v>
      </c>
      <c r="DA232" s="150">
        <v>37005.314106303864</v>
      </c>
      <c r="DB232" s="2">
        <v>1</v>
      </c>
      <c r="DC232" s="675">
        <v>36858.93</v>
      </c>
      <c r="DD232" s="675">
        <v>0</v>
      </c>
      <c r="DE232" s="675">
        <v>7481.9983482591633</v>
      </c>
      <c r="DF232" s="675">
        <v>0</v>
      </c>
      <c r="DG232" s="321">
        <v>98688.908776632699</v>
      </c>
      <c r="DH232" s="40">
        <v>336164.26683405251</v>
      </c>
      <c r="DI232" s="422">
        <v>29376.931651740837</v>
      </c>
      <c r="DJ232" s="306">
        <v>5.6836987719722512</v>
      </c>
      <c r="DK232" s="306">
        <v>6.9432815822234044</v>
      </c>
      <c r="DL232" s="306">
        <v>4.8203134468006077</v>
      </c>
      <c r="DM232" s="28">
        <v>29376.931651740837</v>
      </c>
      <c r="DN232" s="28">
        <v>0</v>
      </c>
      <c r="DO232" s="423">
        <v>29376.931651740837</v>
      </c>
      <c r="DP232" s="94">
        <v>0</v>
      </c>
      <c r="DQ232" s="28">
        <v>29376.931651740837</v>
      </c>
      <c r="DR232" s="318"/>
      <c r="DT232" s="8"/>
      <c r="DU232" s="5"/>
      <c r="DX232" s="5">
        <v>76059.061575149695</v>
      </c>
      <c r="DY232" s="5">
        <v>20061.420864127493</v>
      </c>
      <c r="DZ232" s="159">
        <v>6598.2299236968465</v>
      </c>
      <c r="EB232" s="676">
        <v>347.44658323266776</v>
      </c>
      <c r="EC232" s="676">
        <v>-5885.7861001983729</v>
      </c>
      <c r="ED232" s="676">
        <v>-3552.8018915434404</v>
      </c>
      <c r="EE232" s="676">
        <v>-9594.1681733281366</v>
      </c>
      <c r="EF232" s="676">
        <v>-7424.2901058700263</v>
      </c>
      <c r="EG232" s="676">
        <v>-3659.9780537379556</v>
      </c>
      <c r="EH232" s="676">
        <v>-6798.6874770491522</v>
      </c>
      <c r="EI232" s="676">
        <v>-5864.8393152993085</v>
      </c>
      <c r="EJ232" s="676">
        <v>-5027.456834764107</v>
      </c>
      <c r="EK232" s="676">
        <v>-3107.9760800849144</v>
      </c>
      <c r="EL232" s="676">
        <v>-5585.7796356293038</v>
      </c>
      <c r="EM232" s="676">
        <v>-5529.2775860567854</v>
      </c>
      <c r="EN232" s="676">
        <v>-61683.594670328835</v>
      </c>
      <c r="EQ232" s="5">
        <v>76059.061575149695</v>
      </c>
      <c r="ER232" s="5">
        <v>20061.420864127493</v>
      </c>
      <c r="ET232" s="318">
        <v>-45920.809867363583</v>
      </c>
      <c r="EU232" s="5">
        <v>176947.71864399628</v>
      </c>
    </row>
    <row r="233" spans="1:151" x14ac:dyDescent="0.3">
      <c r="A233" s="325">
        <v>150000963</v>
      </c>
      <c r="B233" s="41" t="s">
        <v>680</v>
      </c>
      <c r="C233" s="42" t="s">
        <v>380</v>
      </c>
      <c r="D233" s="27">
        <v>9</v>
      </c>
      <c r="E233" s="293">
        <v>2140.7399999999998</v>
      </c>
      <c r="F233" s="305">
        <v>2140.7399999999998</v>
      </c>
      <c r="G233" s="508">
        <v>236.5</v>
      </c>
      <c r="H233" s="677">
        <v>0</v>
      </c>
      <c r="I233" s="674">
        <v>7730.2336668270627</v>
      </c>
      <c r="J233" s="40">
        <v>6388.941106929602</v>
      </c>
      <c r="K233" s="52">
        <v>-1341.2925598974607</v>
      </c>
      <c r="L233" s="674">
        <v>1181.2813415542114</v>
      </c>
      <c r="M233" s="40">
        <v>941.53728306122059</v>
      </c>
      <c r="N233" s="52">
        <v>-239.7440584929908</v>
      </c>
      <c r="O233" s="674">
        <v>2999.451405114241</v>
      </c>
      <c r="P233" s="40">
        <v>2999.4300000000007</v>
      </c>
      <c r="Q233" s="52">
        <v>-2.1405114240224066E-2</v>
      </c>
      <c r="R233" s="674">
        <v>665.29895987535508</v>
      </c>
      <c r="S233" s="40">
        <v>665.28000000000009</v>
      </c>
      <c r="T233" s="52">
        <v>-1.8959875354994438E-2</v>
      </c>
      <c r="U233" s="674">
        <v>357.56258567742054</v>
      </c>
      <c r="V233" s="40">
        <v>149.42108203321459</v>
      </c>
      <c r="W233" s="52">
        <v>-208.14150364420595</v>
      </c>
      <c r="X233" s="674">
        <v>1990.1084788651078</v>
      </c>
      <c r="Y233" s="40">
        <v>1943.7227946300143</v>
      </c>
      <c r="Z233" s="52">
        <v>-46.385684235093549</v>
      </c>
      <c r="AA233" s="674">
        <v>256.97519999999997</v>
      </c>
      <c r="AB233" s="40">
        <v>0</v>
      </c>
      <c r="AC233" s="52">
        <v>-256.97519999999997</v>
      </c>
      <c r="AD233" s="674">
        <v>9179.2046559236296</v>
      </c>
      <c r="AE233" s="40">
        <v>9095.408796277221</v>
      </c>
      <c r="AF233" s="35">
        <v>-83.795859646408644</v>
      </c>
      <c r="AG233" s="77">
        <v>24360.116293837029</v>
      </c>
      <c r="AH233" s="53">
        <v>22183.741062931273</v>
      </c>
      <c r="AI233" s="52">
        <v>-2176.3752309057563</v>
      </c>
      <c r="AJ233" s="674">
        <v>18609.011076132912</v>
      </c>
      <c r="AK233" s="40">
        <v>18486.831001876264</v>
      </c>
      <c r="AL233" s="52">
        <v>-122.18007425664837</v>
      </c>
      <c r="AM233" s="674">
        <v>1499.0414466531979</v>
      </c>
      <c r="AN233" s="40">
        <v>836.09601343288591</v>
      </c>
      <c r="AO233" s="52">
        <v>-662.945433220312</v>
      </c>
      <c r="AP233" s="674">
        <v>1618.8605679064267</v>
      </c>
      <c r="AQ233" s="40">
        <v>1217.8271336719918</v>
      </c>
      <c r="AR233" s="52">
        <v>-401.03343423443494</v>
      </c>
      <c r="AS233" s="674">
        <v>30342.340002094694</v>
      </c>
      <c r="AT233" s="40">
        <v>19405.592372813011</v>
      </c>
      <c r="AU233" s="54">
        <v>-10936.747629281683</v>
      </c>
      <c r="AV233" s="674">
        <v>1226.6443481688591</v>
      </c>
      <c r="AW233" s="40">
        <v>279</v>
      </c>
      <c r="AX233" s="55">
        <v>-947.6443481688591</v>
      </c>
      <c r="AY233" s="674">
        <v>1382.1314617554399</v>
      </c>
      <c r="AZ233" s="40">
        <v>0</v>
      </c>
      <c r="BA233" s="35">
        <v>-1382.1314617554399</v>
      </c>
      <c r="BB233" s="674">
        <v>585.39757384672521</v>
      </c>
      <c r="BC233" s="40">
        <v>0</v>
      </c>
      <c r="BD233" s="55">
        <v>-585.39757384672521</v>
      </c>
      <c r="BE233" s="674">
        <v>1003.5979785421306</v>
      </c>
      <c r="BF233" s="40">
        <v>0</v>
      </c>
      <c r="BG233" s="38">
        <v>-1003.5979785421306</v>
      </c>
      <c r="BH233" s="674">
        <v>461.88860612830399</v>
      </c>
      <c r="BI233" s="40">
        <v>0</v>
      </c>
      <c r="BJ233" s="55">
        <v>-461.88860612830399</v>
      </c>
      <c r="BK233" s="674">
        <v>437.53913942016555</v>
      </c>
      <c r="BL233" s="40">
        <v>0</v>
      </c>
      <c r="BM233" s="38">
        <v>-437.53913942016555</v>
      </c>
      <c r="BN233" s="674">
        <v>155.04303146868628</v>
      </c>
      <c r="BO233" s="40">
        <v>0</v>
      </c>
      <c r="BP233" s="55">
        <v>-155.04303146868628</v>
      </c>
      <c r="BQ233" s="77">
        <v>5252.2421393303102</v>
      </c>
      <c r="BR233" s="40">
        <v>279</v>
      </c>
      <c r="BS233" s="55">
        <v>-4973.2421393303102</v>
      </c>
      <c r="BT233" s="674">
        <v>31564.785236812226</v>
      </c>
      <c r="BU233" s="40">
        <v>32318.926326664405</v>
      </c>
      <c r="BV233" s="52">
        <v>754.14108985217899</v>
      </c>
      <c r="BW233" s="674">
        <v>16714.601691409811</v>
      </c>
      <c r="BX233" s="40">
        <v>16942.696793664301</v>
      </c>
      <c r="BY233" s="52">
        <v>228.09510225449048</v>
      </c>
      <c r="BZ233" s="674">
        <v>6573.5140169869946</v>
      </c>
      <c r="CA233" s="40">
        <v>7802.862213376673</v>
      </c>
      <c r="CB233" s="52">
        <v>1229.3481963896784</v>
      </c>
      <c r="CC233" s="674">
        <v>682.13218534943803</v>
      </c>
      <c r="CD233" s="40">
        <v>710.91415791069289</v>
      </c>
      <c r="CE233" s="52">
        <v>28.781972561254861</v>
      </c>
      <c r="CF233" s="674">
        <v>82.670465790972514</v>
      </c>
      <c r="CG233" s="40">
        <v>0</v>
      </c>
      <c r="CH233" s="52">
        <v>-82.670465790972514</v>
      </c>
      <c r="CI233" s="674">
        <v>4490.3238124801137</v>
      </c>
      <c r="CJ233" s="40">
        <v>4138.5365351868204</v>
      </c>
      <c r="CK233" s="52">
        <v>-351.7872772932933</v>
      </c>
      <c r="CL233" s="674">
        <v>4111.3097715248668</v>
      </c>
      <c r="CM233" s="40">
        <v>4000.8370384391828</v>
      </c>
      <c r="CN233" s="52">
        <v>-110.47273308568401</v>
      </c>
      <c r="CO233" s="39">
        <v>8601.6335840049796</v>
      </c>
      <c r="CP233" s="40">
        <v>8139.3735736260032</v>
      </c>
      <c r="CQ233" s="52">
        <v>-462.2600103789764</v>
      </c>
      <c r="CR233" s="72">
        <v>145900.94870630899</v>
      </c>
      <c r="CS233" s="5">
        <v>128323.86064996751</v>
      </c>
      <c r="CT233" s="52">
        <v>-17577.088056341483</v>
      </c>
      <c r="CU233" s="77">
        <v>175081.13844757079</v>
      </c>
      <c r="CV233" s="65">
        <v>153988.63277996102</v>
      </c>
      <c r="CW233" s="35">
        <v>-21092.505667609774</v>
      </c>
      <c r="CX233" s="73">
        <v>3916.1363181281804</v>
      </c>
      <c r="CY233" s="40">
        <v>25008.641985737966</v>
      </c>
      <c r="CZ233" s="52">
        <v>21092.505667609785</v>
      </c>
      <c r="DA233" s="150">
        <v>-50333.546237203947</v>
      </c>
      <c r="DB233" s="2">
        <v>1</v>
      </c>
      <c r="DC233" s="675">
        <v>30472.31</v>
      </c>
      <c r="DD233" s="675">
        <v>0</v>
      </c>
      <c r="DE233" s="675">
        <v>14834.890911544091</v>
      </c>
      <c r="DF233" s="675">
        <v>0</v>
      </c>
      <c r="DG233" s="321">
        <v>-29241.040569594166</v>
      </c>
      <c r="DH233" s="40">
        <v>178983.53884261078</v>
      </c>
      <c r="DI233" s="422">
        <v>15637.419088455908</v>
      </c>
      <c r="DJ233" s="306">
        <v>6.1152942221564306</v>
      </c>
      <c r="DK233" s="306">
        <v>7.4523967592929017</v>
      </c>
      <c r="DL233" s="306">
        <v>5.2453065466542226</v>
      </c>
      <c r="DM233" s="28">
        <v>15637.41908845591</v>
      </c>
      <c r="DN233" s="28">
        <v>0</v>
      </c>
      <c r="DO233" s="423">
        <v>15637.41908845591</v>
      </c>
      <c r="DP233" s="94">
        <v>0</v>
      </c>
      <c r="DQ233" s="28">
        <v>15637.41908845591</v>
      </c>
      <c r="DR233" s="318"/>
      <c r="DT233" s="8"/>
      <c r="DU233" s="5"/>
      <c r="DX233" s="5">
        <v>42713.498569709998</v>
      </c>
      <c r="DY233" s="5">
        <v>23621.510847375612</v>
      </c>
      <c r="DZ233" s="159">
        <v>3820.0515187423471</v>
      </c>
      <c r="EB233" s="676">
        <v>-1304.2267637841942</v>
      </c>
      <c r="EC233" s="676">
        <v>-2896.1622197235865</v>
      </c>
      <c r="ED233" s="676">
        <v>-2258.8620396386232</v>
      </c>
      <c r="EE233" s="676">
        <v>-3401.3518230002355</v>
      </c>
      <c r="EF233" s="676">
        <v>-2739.2371628088422</v>
      </c>
      <c r="EG233" s="676">
        <v>-5036.1567806623825</v>
      </c>
      <c r="EH233" s="676">
        <v>-4381.879913632747</v>
      </c>
      <c r="EI233" s="676">
        <v>5330.7755897074967</v>
      </c>
      <c r="EJ233" s="676">
        <v>5478.3584617065862</v>
      </c>
      <c r="EK233" s="676">
        <v>-2320.6813460350349</v>
      </c>
      <c r="EL233" s="676">
        <v>-4003.9249648745827</v>
      </c>
      <c r="EM233" s="676">
        <v>-3559.1567048636316</v>
      </c>
      <c r="EN233" s="676">
        <v>-21092.505667609777</v>
      </c>
      <c r="EQ233" s="5">
        <v>42713.498569709998</v>
      </c>
      <c r="ER233" s="5">
        <v>23621.510847375612</v>
      </c>
      <c r="ET233" s="318">
        <v>8008.3873557610732</v>
      </c>
      <c r="EU233" s="5">
        <v>-52.427925355227671</v>
      </c>
    </row>
    <row r="234" spans="1:151" x14ac:dyDescent="0.3">
      <c r="A234" s="325">
        <v>150000927</v>
      </c>
      <c r="B234" s="41" t="s">
        <v>681</v>
      </c>
      <c r="C234" s="42" t="s">
        <v>179</v>
      </c>
      <c r="D234" s="27">
        <v>2</v>
      </c>
      <c r="E234" s="293">
        <v>602.9</v>
      </c>
      <c r="F234" s="305">
        <v>418.2</v>
      </c>
      <c r="G234" s="508">
        <v>0</v>
      </c>
      <c r="H234" s="677">
        <v>184.7</v>
      </c>
      <c r="I234" s="674">
        <v>2720.3612707533553</v>
      </c>
      <c r="J234" s="40">
        <v>2930.3940826019848</v>
      </c>
      <c r="K234" s="52">
        <v>210.03281184862954</v>
      </c>
      <c r="L234" s="674">
        <v>699.49791582783394</v>
      </c>
      <c r="M234" s="40">
        <v>765.62915824136257</v>
      </c>
      <c r="N234" s="52">
        <v>66.131242413528639</v>
      </c>
      <c r="O234" s="674">
        <v>859.11119899955008</v>
      </c>
      <c r="P234" s="40">
        <v>859.11000000000013</v>
      </c>
      <c r="Q234" s="52">
        <v>-1.1989995499561701E-3</v>
      </c>
      <c r="R234" s="674">
        <v>0</v>
      </c>
      <c r="S234" s="40">
        <v>0</v>
      </c>
      <c r="T234" s="52">
        <v>0</v>
      </c>
      <c r="U234" s="674">
        <v>0</v>
      </c>
      <c r="V234" s="40">
        <v>0</v>
      </c>
      <c r="W234" s="52">
        <v>0</v>
      </c>
      <c r="X234" s="674">
        <v>1112.104186035275</v>
      </c>
      <c r="Y234" s="40">
        <v>1453.2601152354114</v>
      </c>
      <c r="Z234" s="52">
        <v>341.15592920013637</v>
      </c>
      <c r="AA234" s="674">
        <v>85.14</v>
      </c>
      <c r="AB234" s="40">
        <v>0</v>
      </c>
      <c r="AC234" s="52">
        <v>-85.14</v>
      </c>
      <c r="AD234" s="674">
        <v>2682.7844715124529</v>
      </c>
      <c r="AE234" s="40">
        <v>2561.5543986077414</v>
      </c>
      <c r="AF234" s="35">
        <v>-121.23007290471151</v>
      </c>
      <c r="AG234" s="77">
        <v>8158.9990431284677</v>
      </c>
      <c r="AH234" s="53">
        <v>8569.9477546865</v>
      </c>
      <c r="AI234" s="52">
        <v>410.9487115580323</v>
      </c>
      <c r="AJ234" s="674">
        <v>0</v>
      </c>
      <c r="AK234" s="40">
        <v>0</v>
      </c>
      <c r="AL234" s="52">
        <v>0</v>
      </c>
      <c r="AM234" s="674">
        <v>0</v>
      </c>
      <c r="AN234" s="40">
        <v>0</v>
      </c>
      <c r="AO234" s="52">
        <v>0</v>
      </c>
      <c r="AP234" s="674">
        <v>1079.2403786042846</v>
      </c>
      <c r="AQ234" s="40">
        <v>1469.5220363720171</v>
      </c>
      <c r="AR234" s="52">
        <v>390.28165776773244</v>
      </c>
      <c r="AS234" s="674">
        <v>7359.6802027392678</v>
      </c>
      <c r="AT234" s="40">
        <v>261</v>
      </c>
      <c r="AU234" s="54">
        <v>-7098.6802027392678</v>
      </c>
      <c r="AV234" s="674">
        <v>728.97102432223767</v>
      </c>
      <c r="AW234" s="40">
        <v>0</v>
      </c>
      <c r="AX234" s="55">
        <v>-728.97102432223767</v>
      </c>
      <c r="AY234" s="674">
        <v>1146.7958521121011</v>
      </c>
      <c r="AZ234" s="40">
        <v>0</v>
      </c>
      <c r="BA234" s="35">
        <v>-1146.7958521121011</v>
      </c>
      <c r="BB234" s="674">
        <v>416.50683624201031</v>
      </c>
      <c r="BC234" s="40">
        <v>0</v>
      </c>
      <c r="BD234" s="55">
        <v>-416.50683624201031</v>
      </c>
      <c r="BE234" s="674">
        <v>0</v>
      </c>
      <c r="BF234" s="40">
        <v>0</v>
      </c>
      <c r="BG234" s="38">
        <v>0</v>
      </c>
      <c r="BH234" s="674">
        <v>0</v>
      </c>
      <c r="BI234" s="40">
        <v>0</v>
      </c>
      <c r="BJ234" s="55">
        <v>0</v>
      </c>
      <c r="BK234" s="674">
        <v>110.09836158969283</v>
      </c>
      <c r="BL234" s="40">
        <v>0</v>
      </c>
      <c r="BM234" s="38">
        <v>-110.09836158969283</v>
      </c>
      <c r="BN234" s="674">
        <v>21.285</v>
      </c>
      <c r="BO234" s="40">
        <v>2668</v>
      </c>
      <c r="BP234" s="55">
        <v>2646.7150000000001</v>
      </c>
      <c r="BQ234" s="77">
        <v>2423.6570742660419</v>
      </c>
      <c r="BR234" s="40">
        <v>2668</v>
      </c>
      <c r="BS234" s="55">
        <v>244.34292573395805</v>
      </c>
      <c r="BT234" s="674">
        <v>5363.6968989667921</v>
      </c>
      <c r="BU234" s="40">
        <v>7029.0029920422512</v>
      </c>
      <c r="BV234" s="52">
        <v>1665.3060930754591</v>
      </c>
      <c r="BW234" s="674">
        <v>5395.2254050993579</v>
      </c>
      <c r="BX234" s="40">
        <v>5171.8114531687515</v>
      </c>
      <c r="BY234" s="52">
        <v>-223.41395193060634</v>
      </c>
      <c r="BZ234" s="674">
        <v>2278.8730485327424</v>
      </c>
      <c r="CA234" s="40">
        <v>1743.0572537318203</v>
      </c>
      <c r="CB234" s="52">
        <v>-535.81579480092205</v>
      </c>
      <c r="CC234" s="674">
        <v>566.9115938530623</v>
      </c>
      <c r="CD234" s="40">
        <v>595.83602388570807</v>
      </c>
      <c r="CE234" s="52">
        <v>28.924430032645773</v>
      </c>
      <c r="CF234" s="674">
        <v>69.288311509278515</v>
      </c>
      <c r="CG234" s="40">
        <v>0</v>
      </c>
      <c r="CH234" s="52">
        <v>-69.288311509278515</v>
      </c>
      <c r="CI234" s="674">
        <v>1089.8260574420697</v>
      </c>
      <c r="CJ234" s="40">
        <v>2020.8870532952167</v>
      </c>
      <c r="CK234" s="52">
        <v>931.06099585314701</v>
      </c>
      <c r="CL234" s="674">
        <v>0</v>
      </c>
      <c r="CM234" s="40">
        <v>0</v>
      </c>
      <c r="CN234" s="52">
        <v>0</v>
      </c>
      <c r="CO234" s="39">
        <v>1089.8260574420697</v>
      </c>
      <c r="CP234" s="40">
        <v>2020.8870532952167</v>
      </c>
      <c r="CQ234" s="52">
        <v>931.06099585314701</v>
      </c>
      <c r="CR234" s="72">
        <v>33785.398014141363</v>
      </c>
      <c r="CS234" s="5">
        <v>29529.064567182271</v>
      </c>
      <c r="CT234" s="52">
        <v>-4256.3334469590918</v>
      </c>
      <c r="CU234" s="77">
        <v>40542.477616969634</v>
      </c>
      <c r="CV234" s="65">
        <v>35434.877480618721</v>
      </c>
      <c r="CW234" s="35">
        <v>-5107.6001363509131</v>
      </c>
      <c r="CX234" s="73">
        <v>939.99709061639612</v>
      </c>
      <c r="CY234" s="40">
        <v>6047.5972269673157</v>
      </c>
      <c r="CZ234" s="52">
        <v>5107.6001363509195</v>
      </c>
      <c r="DA234" s="150">
        <v>-19968.581800820539</v>
      </c>
      <c r="DB234" s="2">
        <v>2</v>
      </c>
      <c r="DC234" s="675">
        <v>7075.13</v>
      </c>
      <c r="DD234" s="675">
        <v>5150.28</v>
      </c>
      <c r="DE234" s="675">
        <v>4450.9499367160097</v>
      </c>
      <c r="DF234" s="675">
        <v>4259.0018600422836</v>
      </c>
      <c r="DG234" s="321">
        <v>-14860.981664469613</v>
      </c>
      <c r="DH234" s="40">
        <v>41478.940841063071</v>
      </c>
      <c r="DI234" s="422">
        <v>3515.4582032417061</v>
      </c>
      <c r="DJ234" s="306">
        <v>6.2749403713151359</v>
      </c>
      <c r="DK234" s="306">
        <v>6.2749403713151359</v>
      </c>
      <c r="DL234" s="306">
        <v>4.8255448833660886</v>
      </c>
      <c r="DM234" s="28">
        <v>2624.18006328399</v>
      </c>
      <c r="DN234" s="28">
        <v>891.27813995771646</v>
      </c>
      <c r="DO234" s="423">
        <v>3515.4582032417065</v>
      </c>
      <c r="DP234" s="94">
        <v>0</v>
      </c>
      <c r="DQ234" s="28">
        <v>3515.4582032417065</v>
      </c>
      <c r="DR234" s="318"/>
      <c r="DT234" s="8"/>
      <c r="DU234" s="5"/>
      <c r="DX234" s="5">
        <v>11740.004732406373</v>
      </c>
      <c r="DY234" s="5">
        <v>3514.7999999999997</v>
      </c>
      <c r="DZ234" s="159">
        <v>990.55017368243239</v>
      </c>
      <c r="EB234" s="676">
        <v>739.08770324015177</v>
      </c>
      <c r="EC234" s="676">
        <v>-761.73076177465737</v>
      </c>
      <c r="ED234" s="676">
        <v>-834.17016658776674</v>
      </c>
      <c r="EE234" s="676">
        <v>-1202.9434708140843</v>
      </c>
      <c r="EF234" s="676">
        <v>-694.50847953699895</v>
      </c>
      <c r="EG234" s="676">
        <v>-1356.7620555415365</v>
      </c>
      <c r="EH234" s="676">
        <v>-1255.0686732049689</v>
      </c>
      <c r="EI234" s="676">
        <v>2235.5036384748892</v>
      </c>
      <c r="EJ234" s="676">
        <v>-1306.4288328384332</v>
      </c>
      <c r="EK234" s="676">
        <v>-814.69395418818067</v>
      </c>
      <c r="EL234" s="676">
        <v>135.27066166728127</v>
      </c>
      <c r="EM234" s="676">
        <v>8.8442547533809375</v>
      </c>
      <c r="EN234" s="676">
        <v>-5107.600136350924</v>
      </c>
      <c r="EQ234" s="5">
        <v>11740.004732406373</v>
      </c>
      <c r="ER234" s="5">
        <v>3514.7999999999997</v>
      </c>
      <c r="ET234" s="318">
        <v>-9087.3901171376274</v>
      </c>
      <c r="EU234" s="5">
        <v>5621.4084526680126</v>
      </c>
    </row>
    <row r="235" spans="1:151" x14ac:dyDescent="0.3">
      <c r="A235" s="325">
        <v>150000958</v>
      </c>
      <c r="B235" s="41" t="s">
        <v>682</v>
      </c>
      <c r="C235" s="42" t="s">
        <v>381</v>
      </c>
      <c r="D235" s="27">
        <v>9</v>
      </c>
      <c r="E235" s="293">
        <v>2135.1</v>
      </c>
      <c r="F235" s="305">
        <v>2135.1</v>
      </c>
      <c r="G235" s="508">
        <v>233.5</v>
      </c>
      <c r="H235" s="677">
        <v>0</v>
      </c>
      <c r="I235" s="674">
        <v>7730.2319235314499</v>
      </c>
      <c r="J235" s="40">
        <v>6388.0550683938136</v>
      </c>
      <c r="K235" s="52">
        <v>-1342.1768551376363</v>
      </c>
      <c r="L235" s="674">
        <v>1181.2813415542114</v>
      </c>
      <c r="M235" s="40">
        <v>941.53728306122059</v>
      </c>
      <c r="N235" s="52">
        <v>-239.7440584929908</v>
      </c>
      <c r="O235" s="674">
        <v>2949.5157532142753</v>
      </c>
      <c r="P235" s="40">
        <v>2949.51</v>
      </c>
      <c r="Q235" s="52">
        <v>-5.753214275046048E-3</v>
      </c>
      <c r="R235" s="674">
        <v>662.567365502695</v>
      </c>
      <c r="S235" s="40">
        <v>662.55</v>
      </c>
      <c r="T235" s="52">
        <v>-1.7365502695042778E-2</v>
      </c>
      <c r="U235" s="674">
        <v>357.56258567742054</v>
      </c>
      <c r="V235" s="40">
        <v>149.42108203321459</v>
      </c>
      <c r="W235" s="52">
        <v>-208.14150364420595</v>
      </c>
      <c r="X235" s="674">
        <v>1990.1084788651078</v>
      </c>
      <c r="Y235" s="40">
        <v>2081.9513445835669</v>
      </c>
      <c r="Z235" s="52">
        <v>91.842865718459052</v>
      </c>
      <c r="AA235" s="674">
        <v>256.32</v>
      </c>
      <c r="AB235" s="40">
        <v>0</v>
      </c>
      <c r="AC235" s="52">
        <v>-256.32</v>
      </c>
      <c r="AD235" s="674">
        <v>9155.2156872122541</v>
      </c>
      <c r="AE235" s="40">
        <v>9072.7416954991568</v>
      </c>
      <c r="AF235" s="35">
        <v>-82.473991713097348</v>
      </c>
      <c r="AG235" s="77">
        <v>24282.803135557413</v>
      </c>
      <c r="AH235" s="53">
        <v>22245.76647357097</v>
      </c>
      <c r="AI235" s="52">
        <v>-2037.0366619864435</v>
      </c>
      <c r="AJ235" s="674">
        <v>16375.885627116193</v>
      </c>
      <c r="AK235" s="40">
        <v>16268.367453853569</v>
      </c>
      <c r="AL235" s="52">
        <v>-107.51817326262426</v>
      </c>
      <c r="AM235" s="674">
        <v>1499.0414466531979</v>
      </c>
      <c r="AN235" s="40">
        <v>836.09601343288591</v>
      </c>
      <c r="AO235" s="52">
        <v>-662.945433220312</v>
      </c>
      <c r="AP235" s="674">
        <v>1618.8605679064267</v>
      </c>
      <c r="AQ235" s="40">
        <v>1383.0163450721643</v>
      </c>
      <c r="AR235" s="52">
        <v>-235.84422283426238</v>
      </c>
      <c r="AS235" s="674">
        <v>28712.241429687445</v>
      </c>
      <c r="AT235" s="40">
        <v>3917.6858982504086</v>
      </c>
      <c r="AU235" s="54">
        <v>-24794.555531437036</v>
      </c>
      <c r="AV235" s="674">
        <v>1226.6443481688591</v>
      </c>
      <c r="AW235" s="40">
        <v>668</v>
      </c>
      <c r="AX235" s="55">
        <v>-558.6443481688591</v>
      </c>
      <c r="AY235" s="674">
        <v>1382.1314617554399</v>
      </c>
      <c r="AZ235" s="40">
        <v>1263</v>
      </c>
      <c r="BA235" s="35">
        <v>-119.13146175543989</v>
      </c>
      <c r="BB235" s="674">
        <v>573.50085423152507</v>
      </c>
      <c r="BC235" s="40">
        <v>0</v>
      </c>
      <c r="BD235" s="55">
        <v>-573.50085423152507</v>
      </c>
      <c r="BE235" s="674">
        <v>973.70682541737551</v>
      </c>
      <c r="BF235" s="40">
        <v>429</v>
      </c>
      <c r="BG235" s="38">
        <v>-544.70682541737551</v>
      </c>
      <c r="BH235" s="674">
        <v>461.88860612830399</v>
      </c>
      <c r="BI235" s="40">
        <v>0</v>
      </c>
      <c r="BJ235" s="55">
        <v>-461.88860612830399</v>
      </c>
      <c r="BK235" s="674">
        <v>437.53913942016555</v>
      </c>
      <c r="BL235" s="40">
        <v>459</v>
      </c>
      <c r="BM235" s="38">
        <v>21.460860579834446</v>
      </c>
      <c r="BN235" s="674">
        <v>287.73334268025178</v>
      </c>
      <c r="BO235" s="40">
        <v>2092.6</v>
      </c>
      <c r="BP235" s="55">
        <v>1804.8666573197481</v>
      </c>
      <c r="BQ235" s="77">
        <v>5343.1445778019206</v>
      </c>
      <c r="BR235" s="40">
        <v>4911.6000000000004</v>
      </c>
      <c r="BS235" s="55">
        <v>-431.54457780192024</v>
      </c>
      <c r="BT235" s="674">
        <v>31591.696571349348</v>
      </c>
      <c r="BU235" s="40">
        <v>36052.865070295797</v>
      </c>
      <c r="BV235" s="52">
        <v>4461.1684989464484</v>
      </c>
      <c r="BW235" s="674">
        <v>16403.881036024624</v>
      </c>
      <c r="BX235" s="40">
        <v>16481.686635261914</v>
      </c>
      <c r="BY235" s="52">
        <v>77.805599237290153</v>
      </c>
      <c r="BZ235" s="674">
        <v>7548.1325830117648</v>
      </c>
      <c r="CA235" s="40">
        <v>7774.6130033528825</v>
      </c>
      <c r="CB235" s="52">
        <v>226.48042034111768</v>
      </c>
      <c r="CC235" s="674">
        <v>675.74053502658489</v>
      </c>
      <c r="CD235" s="40">
        <v>704.19639881786384</v>
      </c>
      <c r="CE235" s="52">
        <v>28.455863791278944</v>
      </c>
      <c r="CF235" s="674">
        <v>81.889274043563972</v>
      </c>
      <c r="CG235" s="40">
        <v>0</v>
      </c>
      <c r="CH235" s="52">
        <v>-81.889274043563972</v>
      </c>
      <c r="CI235" s="674">
        <v>322.71215824341147</v>
      </c>
      <c r="CJ235" s="40">
        <v>1547.5630293897179</v>
      </c>
      <c r="CK235" s="52">
        <v>1224.8508711463064</v>
      </c>
      <c r="CL235" s="674">
        <v>7829.8181409234276</v>
      </c>
      <c r="CM235" s="40">
        <v>6499.1626602197184</v>
      </c>
      <c r="CN235" s="52">
        <v>-1330.6554807037091</v>
      </c>
      <c r="CO235" s="39">
        <v>8152.5302991668386</v>
      </c>
      <c r="CP235" s="40">
        <v>8046.7256896094368</v>
      </c>
      <c r="CQ235" s="52">
        <v>-105.80460955740182</v>
      </c>
      <c r="CR235" s="72">
        <v>142285.84708334532</v>
      </c>
      <c r="CS235" s="5">
        <v>118622.61898151788</v>
      </c>
      <c r="CT235" s="52">
        <v>-23663.228101827437</v>
      </c>
      <c r="CU235" s="77">
        <v>170743.01650001438</v>
      </c>
      <c r="CV235" s="65">
        <v>142347.14277782146</v>
      </c>
      <c r="CW235" s="35">
        <v>-28395.873722192919</v>
      </c>
      <c r="CX235" s="73">
        <v>5174.384898870182</v>
      </c>
      <c r="CY235" s="40">
        <v>33570.258621063083</v>
      </c>
      <c r="CZ235" s="52">
        <v>28395.8737221929</v>
      </c>
      <c r="DA235" s="150">
        <v>-44458.746825569186</v>
      </c>
      <c r="DB235" s="2">
        <v>1</v>
      </c>
      <c r="DC235" s="675">
        <v>62675.62</v>
      </c>
      <c r="DD235" s="675">
        <v>0</v>
      </c>
      <c r="DE235" s="675">
        <v>47289.167439193014</v>
      </c>
      <c r="DF235" s="675">
        <v>0</v>
      </c>
      <c r="DG235" s="321">
        <v>-16062.873103376276</v>
      </c>
      <c r="DH235" s="40">
        <v>175903.96028612345</v>
      </c>
      <c r="DI235" s="422">
        <v>15386.452560806989</v>
      </c>
      <c r="DJ235" s="306">
        <v>5.9416176560694929</v>
      </c>
      <c r="DK235" s="306">
        <v>7.3617400284574916</v>
      </c>
      <c r="DL235" s="306">
        <v>5.0772184690353361</v>
      </c>
      <c r="DM235" s="28">
        <v>15386.452560806993</v>
      </c>
      <c r="DN235" s="28">
        <v>0</v>
      </c>
      <c r="DO235" s="423">
        <v>15386.452560806993</v>
      </c>
      <c r="DP235" s="94">
        <v>0</v>
      </c>
      <c r="DQ235" s="28">
        <v>15386.452560806993</v>
      </c>
      <c r="DR235" s="318"/>
      <c r="DT235" s="8"/>
      <c r="DU235" s="5"/>
      <c r="DX235" s="5">
        <v>40866.463208987239</v>
      </c>
      <c r="DY235" s="5">
        <v>10595.143077900491</v>
      </c>
      <c r="DZ235" s="159">
        <v>3602.52818757879</v>
      </c>
      <c r="EB235" s="676">
        <v>-479.21157647272048</v>
      </c>
      <c r="EC235" s="676">
        <v>-695.27684688289992</v>
      </c>
      <c r="ED235" s="676">
        <v>123.54439011434442</v>
      </c>
      <c r="EE235" s="676">
        <v>-3905.1788107804114</v>
      </c>
      <c r="EF235" s="676">
        <v>732.29085222455797</v>
      </c>
      <c r="EG235" s="676">
        <v>-5512.7684670478466</v>
      </c>
      <c r="EH235" s="676">
        <v>-6746.277162379778</v>
      </c>
      <c r="EI235" s="676">
        <v>1871.3348388373015</v>
      </c>
      <c r="EJ235" s="676">
        <v>-3929.4407867385053</v>
      </c>
      <c r="EK235" s="676">
        <v>-2554.0841223290718</v>
      </c>
      <c r="EL235" s="676">
        <v>-3736.5578029032549</v>
      </c>
      <c r="EM235" s="676">
        <v>-3564.2482278346251</v>
      </c>
      <c r="EN235" s="676">
        <v>-28395.873722192908</v>
      </c>
      <c r="EQ235" s="5">
        <v>40866.463208987239</v>
      </c>
      <c r="ER235" s="5">
        <v>10595.143077900491</v>
      </c>
      <c r="ET235" s="318">
        <v>-26362.147026562885</v>
      </c>
      <c r="EU235" s="5">
        <v>-14651.726076813391</v>
      </c>
    </row>
    <row r="236" spans="1:151" x14ac:dyDescent="0.3">
      <c r="A236" s="325">
        <v>150000961</v>
      </c>
      <c r="B236" s="41" t="s">
        <v>683</v>
      </c>
      <c r="C236" s="42" t="s">
        <v>382</v>
      </c>
      <c r="D236" s="27">
        <v>9</v>
      </c>
      <c r="E236" s="293">
        <v>4349.8999999999996</v>
      </c>
      <c r="F236" s="305">
        <v>4349.8999999999996</v>
      </c>
      <c r="G236" s="508">
        <v>477.8</v>
      </c>
      <c r="H236" s="677">
        <v>0</v>
      </c>
      <c r="I236" s="674">
        <v>15216.732374192565</v>
      </c>
      <c r="J236" s="40">
        <v>12602.020958516763</v>
      </c>
      <c r="K236" s="52">
        <v>-2614.7114156758016</v>
      </c>
      <c r="L236" s="674">
        <v>2362.5627740630598</v>
      </c>
      <c r="M236" s="40">
        <v>1883.0745661224412</v>
      </c>
      <c r="N236" s="52">
        <v>-479.48820794061862</v>
      </c>
      <c r="O236" s="674">
        <v>6185.9745610663504</v>
      </c>
      <c r="P236" s="40">
        <v>6185.9700000000012</v>
      </c>
      <c r="Q236" s="52">
        <v>-4.5610663491970627E-3</v>
      </c>
      <c r="R236" s="674">
        <v>1336.547204608795</v>
      </c>
      <c r="S236" s="40">
        <v>1336.53</v>
      </c>
      <c r="T236" s="52">
        <v>-1.720460879505481E-2</v>
      </c>
      <c r="U236" s="674">
        <v>714.84307937464087</v>
      </c>
      <c r="V236" s="40">
        <v>298.71032252132215</v>
      </c>
      <c r="W236" s="52">
        <v>-416.13275685331871</v>
      </c>
      <c r="X236" s="674">
        <v>8545.6618146565997</v>
      </c>
      <c r="Y236" s="40">
        <v>6369.1798730306018</v>
      </c>
      <c r="Z236" s="52">
        <v>-2176.4819416259979</v>
      </c>
      <c r="AA236" s="674">
        <v>521.98799999999994</v>
      </c>
      <c r="AB236" s="40">
        <v>0</v>
      </c>
      <c r="AC236" s="52">
        <v>-521.98799999999994</v>
      </c>
      <c r="AD236" s="674">
        <v>18650.211502124694</v>
      </c>
      <c r="AE236" s="40">
        <v>18481.515140991563</v>
      </c>
      <c r="AF236" s="35">
        <v>-168.69636113313027</v>
      </c>
      <c r="AG236" s="77">
        <v>53534.521310086704</v>
      </c>
      <c r="AH236" s="53">
        <v>47157.000861182692</v>
      </c>
      <c r="AI236" s="52">
        <v>-6377.5204489040116</v>
      </c>
      <c r="AJ236" s="674">
        <v>32751.771254232386</v>
      </c>
      <c r="AK236" s="40">
        <v>32536.734907707138</v>
      </c>
      <c r="AL236" s="52">
        <v>-215.03634652524852</v>
      </c>
      <c r="AM236" s="674">
        <v>2998.0828933063958</v>
      </c>
      <c r="AN236" s="40">
        <v>2065.8157312017306</v>
      </c>
      <c r="AO236" s="52">
        <v>-932.2671621046652</v>
      </c>
      <c r="AP236" s="674">
        <v>3192.7527867043432</v>
      </c>
      <c r="AQ236" s="40">
        <v>2727.6155694478794</v>
      </c>
      <c r="AR236" s="52">
        <v>-465.13721725646383</v>
      </c>
      <c r="AS236" s="674">
        <v>52237.020617737253</v>
      </c>
      <c r="AT236" s="40">
        <v>17247.000739911615</v>
      </c>
      <c r="AU236" s="54">
        <v>-34990.019877825638</v>
      </c>
      <c r="AV236" s="674">
        <v>2392.8109569443159</v>
      </c>
      <c r="AW236" s="40">
        <v>0</v>
      </c>
      <c r="AX236" s="55">
        <v>-2392.8109569443159</v>
      </c>
      <c r="AY236" s="674">
        <v>2764.2629235108766</v>
      </c>
      <c r="AZ236" s="40">
        <v>0</v>
      </c>
      <c r="BA236" s="35">
        <v>-2764.2629235108766</v>
      </c>
      <c r="BB236" s="674">
        <v>1283.8032071505154</v>
      </c>
      <c r="BC236" s="40">
        <v>1584</v>
      </c>
      <c r="BD236" s="55">
        <v>300.19679284948461</v>
      </c>
      <c r="BE236" s="674">
        <v>1882.9548168321096</v>
      </c>
      <c r="BF236" s="40">
        <v>0</v>
      </c>
      <c r="BG236" s="38">
        <v>-1882.9548168321096</v>
      </c>
      <c r="BH236" s="674">
        <v>923.71373565197098</v>
      </c>
      <c r="BI236" s="40">
        <v>0</v>
      </c>
      <c r="BJ236" s="55">
        <v>-923.71373565197098</v>
      </c>
      <c r="BK236" s="674">
        <v>1088.5000157116863</v>
      </c>
      <c r="BL236" s="40">
        <v>0</v>
      </c>
      <c r="BM236" s="38">
        <v>-1088.5000157116863</v>
      </c>
      <c r="BN236" s="674">
        <v>306.54483674616716</v>
      </c>
      <c r="BO236" s="40">
        <v>4198.8500000000004</v>
      </c>
      <c r="BP236" s="55">
        <v>3892.3051632538331</v>
      </c>
      <c r="BQ236" s="77">
        <v>10642.590492547641</v>
      </c>
      <c r="BR236" s="40">
        <v>5782.85</v>
      </c>
      <c r="BS236" s="55">
        <v>-4859.7404925476403</v>
      </c>
      <c r="BT236" s="674">
        <v>50304.886100452211</v>
      </c>
      <c r="BU236" s="40">
        <v>52702.710373608475</v>
      </c>
      <c r="BV236" s="52">
        <v>2397.8242731562641</v>
      </c>
      <c r="BW236" s="674">
        <v>32935.003179285341</v>
      </c>
      <c r="BX236" s="40">
        <v>35306.270799442027</v>
      </c>
      <c r="BY236" s="52">
        <v>2371.2676201566865</v>
      </c>
      <c r="BZ236" s="674">
        <v>13502.103720538815</v>
      </c>
      <c r="CA236" s="40">
        <v>12870.564332188502</v>
      </c>
      <c r="CB236" s="52">
        <v>-631.53938835031295</v>
      </c>
      <c r="CC236" s="674">
        <v>1338.90757994358</v>
      </c>
      <c r="CD236" s="40">
        <v>1397.5859677907417</v>
      </c>
      <c r="CE236" s="52">
        <v>58.67838784716173</v>
      </c>
      <c r="CF236" s="674">
        <v>162.52184831955771</v>
      </c>
      <c r="CG236" s="40">
        <v>0</v>
      </c>
      <c r="CH236" s="52">
        <v>-162.52184831955771</v>
      </c>
      <c r="CI236" s="674">
        <v>654.75431648682297</v>
      </c>
      <c r="CJ236" s="40">
        <v>3037.9158926508644</v>
      </c>
      <c r="CK236" s="52">
        <v>2383.1615761640414</v>
      </c>
      <c r="CL236" s="674">
        <v>15940.265846207381</v>
      </c>
      <c r="CM236" s="40">
        <v>12893.228010089946</v>
      </c>
      <c r="CN236" s="52">
        <v>-3047.0378361174353</v>
      </c>
      <c r="CO236" s="39">
        <v>16595.020162694203</v>
      </c>
      <c r="CP236" s="40">
        <v>15931.143902740811</v>
      </c>
      <c r="CQ236" s="52">
        <v>-663.87625995339295</v>
      </c>
      <c r="CR236" s="72">
        <v>270195.18194584845</v>
      </c>
      <c r="CS236" s="5">
        <v>225725.29318522164</v>
      </c>
      <c r="CT236" s="52">
        <v>-44469.888760626811</v>
      </c>
      <c r="CU236" s="77">
        <v>324234.21833501814</v>
      </c>
      <c r="CV236" s="65">
        <v>270870.35182226595</v>
      </c>
      <c r="CW236" s="35">
        <v>-53363.866512752196</v>
      </c>
      <c r="CX236" s="73">
        <v>9852.4313781654637</v>
      </c>
      <c r="CY236" s="40">
        <v>63216.297890917704</v>
      </c>
      <c r="CZ236" s="52">
        <v>53363.86651275224</v>
      </c>
      <c r="DA236" s="150">
        <v>-127645.8554599769</v>
      </c>
      <c r="DB236" s="2">
        <v>1</v>
      </c>
      <c r="DC236" s="675">
        <v>52739.76</v>
      </c>
      <c r="DD236" s="675">
        <v>0</v>
      </c>
      <c r="DE236" s="675">
        <v>23640.162004155296</v>
      </c>
      <c r="DF236" s="675">
        <v>0</v>
      </c>
      <c r="DG236" s="321">
        <v>-74281.988947224658</v>
      </c>
      <c r="DH236" s="40">
        <v>334060.73264757876</v>
      </c>
      <c r="DI236" s="422">
        <v>29099.59799584471</v>
      </c>
      <c r="DJ236" s="306">
        <v>5.4419018691347851</v>
      </c>
      <c r="DK236" s="306">
        <v>6.843691351662434</v>
      </c>
      <c r="DL236" s="306">
        <v>4.5933468496019625</v>
      </c>
      <c r="DM236" s="28">
        <v>29099.597995844706</v>
      </c>
      <c r="DN236" s="28">
        <v>0</v>
      </c>
      <c r="DO236" s="423">
        <v>29099.597995844706</v>
      </c>
      <c r="DP236" s="94">
        <v>0</v>
      </c>
      <c r="DQ236" s="28">
        <v>29099.597995844706</v>
      </c>
      <c r="DR236" s="318"/>
      <c r="DT236" s="8"/>
      <c r="DU236" s="5"/>
      <c r="DX236" s="5">
        <v>75455.533332341874</v>
      </c>
      <c r="DY236" s="5">
        <v>27635.820887893937</v>
      </c>
      <c r="DZ236" s="159">
        <v>6520.5932985988557</v>
      </c>
      <c r="EB236" s="676">
        <v>-1193.7587089379522</v>
      </c>
      <c r="EC236" s="676">
        <v>-4481.098026290525</v>
      </c>
      <c r="ED236" s="676">
        <v>-5124.1799934167611</v>
      </c>
      <c r="EE236" s="676">
        <v>1138.2386306439766</v>
      </c>
      <c r="EF236" s="676">
        <v>7363.636677612416</v>
      </c>
      <c r="EG236" s="676">
        <v>-10466.550659987566</v>
      </c>
      <c r="EH236" s="676">
        <v>-12556.965437651234</v>
      </c>
      <c r="EI236" s="676">
        <v>-3226.068339959369</v>
      </c>
      <c r="EJ236" s="676">
        <v>-3225.4198588365471</v>
      </c>
      <c r="EK236" s="676">
        <v>-6734.9797297806072</v>
      </c>
      <c r="EL236" s="676">
        <v>-7307.6169733573479</v>
      </c>
      <c r="EM236" s="676">
        <v>-7549.1040927907234</v>
      </c>
      <c r="EN236" s="676">
        <v>-53363.86651275224</v>
      </c>
      <c r="EQ236" s="5">
        <v>75455.533332341874</v>
      </c>
      <c r="ER236" s="5">
        <v>27635.820887893937</v>
      </c>
      <c r="ET236" s="318">
        <v>16174.984297444902</v>
      </c>
      <c r="EU236" s="5">
        <v>-36887.973244669542</v>
      </c>
    </row>
    <row r="237" spans="1:151" x14ac:dyDescent="0.3">
      <c r="A237" s="325">
        <v>150000964</v>
      </c>
      <c r="B237" s="41" t="s">
        <v>684</v>
      </c>
      <c r="C237" s="42" t="s">
        <v>383</v>
      </c>
      <c r="D237" s="27">
        <v>9</v>
      </c>
      <c r="E237" s="293">
        <v>2131.85</v>
      </c>
      <c r="F237" s="305">
        <v>2131.85</v>
      </c>
      <c r="G237" s="508">
        <v>234</v>
      </c>
      <c r="H237" s="677">
        <v>0</v>
      </c>
      <c r="I237" s="674">
        <v>7730.2319235314499</v>
      </c>
      <c r="J237" s="40">
        <v>6385.2522586475689</v>
      </c>
      <c r="K237" s="52">
        <v>-1344.979664883881</v>
      </c>
      <c r="L237" s="674">
        <v>1181.2813415542114</v>
      </c>
      <c r="M237" s="40">
        <v>941.53728306122059</v>
      </c>
      <c r="N237" s="52">
        <v>-239.7440584929908</v>
      </c>
      <c r="O237" s="674">
        <v>3007.0928487920592</v>
      </c>
      <c r="P237" s="40">
        <v>3007.079999999999</v>
      </c>
      <c r="Q237" s="52">
        <v>-1.2848792060140113E-2</v>
      </c>
      <c r="R237" s="674">
        <v>662.35068373653007</v>
      </c>
      <c r="S237" s="40">
        <v>662.31000000000006</v>
      </c>
      <c r="T237" s="52">
        <v>-4.0683736530013448E-2</v>
      </c>
      <c r="U237" s="674">
        <v>357.56258567742054</v>
      </c>
      <c r="V237" s="40">
        <v>149.42108203321459</v>
      </c>
      <c r="W237" s="52">
        <v>-208.14150364420595</v>
      </c>
      <c r="X237" s="674">
        <v>1990.1084788651078</v>
      </c>
      <c r="Y237" s="40">
        <v>1665.5279605278438</v>
      </c>
      <c r="Z237" s="52">
        <v>-324.58051833726404</v>
      </c>
      <c r="AA237" s="674">
        <v>255.86399999999998</v>
      </c>
      <c r="AB237" s="40">
        <v>0</v>
      </c>
      <c r="AC237" s="52">
        <v>-255.86399999999998</v>
      </c>
      <c r="AD237" s="674">
        <v>9140.7205159158784</v>
      </c>
      <c r="AE237" s="40">
        <v>9057.6376591008702</v>
      </c>
      <c r="AF237" s="35">
        <v>-83.082856815008199</v>
      </c>
      <c r="AG237" s="77">
        <v>24325.212378072654</v>
      </c>
      <c r="AH237" s="53">
        <v>21868.766243370716</v>
      </c>
      <c r="AI237" s="52">
        <v>-2456.4461347019387</v>
      </c>
      <c r="AJ237" s="674">
        <v>16375.885627116193</v>
      </c>
      <c r="AK237" s="40">
        <v>16268.367453853569</v>
      </c>
      <c r="AL237" s="52">
        <v>-107.51817326262426</v>
      </c>
      <c r="AM237" s="674">
        <v>1499.0414466531979</v>
      </c>
      <c r="AN237" s="40">
        <v>836.09601343288591</v>
      </c>
      <c r="AO237" s="52">
        <v>-662.945433220312</v>
      </c>
      <c r="AP237" s="674">
        <v>1618.8605679064267</v>
      </c>
      <c r="AQ237" s="40">
        <v>1383.0163450721643</v>
      </c>
      <c r="AR237" s="52">
        <v>-235.84422283426238</v>
      </c>
      <c r="AS237" s="674">
        <v>26357.402274065891</v>
      </c>
      <c r="AT237" s="40">
        <v>21751.888773828145</v>
      </c>
      <c r="AU237" s="54">
        <v>-4605.5135002377465</v>
      </c>
      <c r="AV237" s="674">
        <v>939.20222708135123</v>
      </c>
      <c r="AW237" s="40">
        <v>1058.5</v>
      </c>
      <c r="AX237" s="55">
        <v>119.29777291864877</v>
      </c>
      <c r="AY237" s="674">
        <v>1023.2583362055743</v>
      </c>
      <c r="AZ237" s="40">
        <v>2182</v>
      </c>
      <c r="BA237" s="35">
        <v>1158.7416637944257</v>
      </c>
      <c r="BB237" s="674">
        <v>404.59295265986242</v>
      </c>
      <c r="BC237" s="40">
        <v>1440</v>
      </c>
      <c r="BD237" s="55">
        <v>1035.4070473401375</v>
      </c>
      <c r="BE237" s="674">
        <v>806.16314548270066</v>
      </c>
      <c r="BF237" s="40">
        <v>0</v>
      </c>
      <c r="BG237" s="38">
        <v>-806.16314548270066</v>
      </c>
      <c r="BH237" s="674">
        <v>372.8409384525375</v>
      </c>
      <c r="BI237" s="40">
        <v>0</v>
      </c>
      <c r="BJ237" s="55">
        <v>-372.8409384525375</v>
      </c>
      <c r="BK237" s="674">
        <v>319.74814754856186</v>
      </c>
      <c r="BL237" s="40">
        <v>0</v>
      </c>
      <c r="BM237" s="38">
        <v>-319.74814754856186</v>
      </c>
      <c r="BN237" s="674">
        <v>155.04303146868628</v>
      </c>
      <c r="BO237" s="40">
        <v>2092.6</v>
      </c>
      <c r="BP237" s="55">
        <v>1937.5569685313137</v>
      </c>
      <c r="BQ237" s="77">
        <v>4020.8487788992747</v>
      </c>
      <c r="BR237" s="40">
        <v>6773.1</v>
      </c>
      <c r="BS237" s="55">
        <v>2752.2512211007256</v>
      </c>
      <c r="BT237" s="674">
        <v>31549.143348492329</v>
      </c>
      <c r="BU237" s="40">
        <v>29872.493344490529</v>
      </c>
      <c r="BV237" s="52">
        <v>-1676.6500040018</v>
      </c>
      <c r="BW237" s="674">
        <v>16416.585824352955</v>
      </c>
      <c r="BX237" s="40">
        <v>17594.891431171811</v>
      </c>
      <c r="BY237" s="52">
        <v>1178.3056068188562</v>
      </c>
      <c r="BZ237" s="674">
        <v>6605.0367973105431</v>
      </c>
      <c r="CA237" s="40">
        <v>7735.6916532136629</v>
      </c>
      <c r="CB237" s="52">
        <v>1130.6548559031198</v>
      </c>
      <c r="CC237" s="674">
        <v>704.88576458760656</v>
      </c>
      <c r="CD237" s="40">
        <v>736.03273538822748</v>
      </c>
      <c r="CE237" s="52">
        <v>31.14697080062092</v>
      </c>
      <c r="CF237" s="674">
        <v>85.591443629108738</v>
      </c>
      <c r="CG237" s="40">
        <v>0</v>
      </c>
      <c r="CH237" s="52">
        <v>-85.591443629108738</v>
      </c>
      <c r="CI237" s="674">
        <v>308.67401436051739</v>
      </c>
      <c r="CJ237" s="40">
        <v>1487.2370165651344</v>
      </c>
      <c r="CK237" s="52">
        <v>1178.5630022046171</v>
      </c>
      <c r="CL237" s="674">
        <v>7792.3979031576409</v>
      </c>
      <c r="CM237" s="40">
        <v>6386.2839145181097</v>
      </c>
      <c r="CN237" s="52">
        <v>-1406.1139886395313</v>
      </c>
      <c r="CO237" s="39">
        <v>8101.0719175181584</v>
      </c>
      <c r="CP237" s="40">
        <v>7873.5209310832442</v>
      </c>
      <c r="CQ237" s="52">
        <v>-227.55098643491419</v>
      </c>
      <c r="CR237" s="72">
        <v>137659.56616860436</v>
      </c>
      <c r="CS237" s="5">
        <v>132693.86492490498</v>
      </c>
      <c r="CT237" s="52">
        <v>-4965.7012436993828</v>
      </c>
      <c r="CU237" s="77">
        <v>165191.47940232523</v>
      </c>
      <c r="CV237" s="65">
        <v>159232.63790988596</v>
      </c>
      <c r="CW237" s="35">
        <v>-5958.841492439271</v>
      </c>
      <c r="CX237" s="73">
        <v>5006.2043340128612</v>
      </c>
      <c r="CY237" s="40">
        <v>10965.045826452137</v>
      </c>
      <c r="CZ237" s="52">
        <v>5958.8414924392755</v>
      </c>
      <c r="DA237" s="150">
        <v>37339.518591801447</v>
      </c>
      <c r="DB237" s="2">
        <v>1</v>
      </c>
      <c r="DC237" s="675">
        <v>19500.490000000002</v>
      </c>
      <c r="DD237" s="675">
        <v>0</v>
      </c>
      <c r="DE237" s="675">
        <v>4614.5783851466513</v>
      </c>
      <c r="DF237" s="675">
        <v>0</v>
      </c>
      <c r="DG237" s="321">
        <v>43298.360084240718</v>
      </c>
      <c r="DH237" s="40">
        <v>170184.67876720236</v>
      </c>
      <c r="DI237" s="422">
        <v>14885.911614853349</v>
      </c>
      <c r="DJ237" s="306">
        <v>5.7176837039105264</v>
      </c>
      <c r="DK237" s="306">
        <v>7.1385903143758922</v>
      </c>
      <c r="DL237" s="306">
        <v>4.8512977476068508</v>
      </c>
      <c r="DM237" s="28">
        <v>14885.91161485335</v>
      </c>
      <c r="DN237" s="28">
        <v>0</v>
      </c>
      <c r="DO237" s="423">
        <v>14885.91161485335</v>
      </c>
      <c r="DP237" s="94">
        <v>0</v>
      </c>
      <c r="DQ237" s="28">
        <v>14885.91161485335</v>
      </c>
      <c r="DR237" s="318"/>
      <c r="DT237" s="8"/>
      <c r="DU237" s="5"/>
      <c r="DX237" s="5">
        <v>36453.901263558197</v>
      </c>
      <c r="DY237" s="5">
        <v>34229.986528593778</v>
      </c>
      <c r="DZ237" s="159">
        <v>3118.8232867474667</v>
      </c>
      <c r="EB237" s="676">
        <v>-222.82218446829938</v>
      </c>
      <c r="EC237" s="676">
        <v>7348.5761389252057</v>
      </c>
      <c r="ED237" s="676">
        <v>-2389.675256470613</v>
      </c>
      <c r="EE237" s="676">
        <v>-3882.1535964528066</v>
      </c>
      <c r="EF237" s="676">
        <v>528.53123638094985</v>
      </c>
      <c r="EG237" s="676">
        <v>-3561.0370026955443</v>
      </c>
      <c r="EH237" s="676">
        <v>5917.8868383002191</v>
      </c>
      <c r="EI237" s="676">
        <v>244.0850184013434</v>
      </c>
      <c r="EJ237" s="676">
        <v>-2057.1075620599131</v>
      </c>
      <c r="EK237" s="676">
        <v>-3238.3804968312088</v>
      </c>
      <c r="EL237" s="676">
        <v>-1073.1081862581977</v>
      </c>
      <c r="EM237" s="676">
        <v>-3573.6364392104097</v>
      </c>
      <c r="EN237" s="676">
        <v>-5958.8414924392746</v>
      </c>
      <c r="EQ237" s="5">
        <v>36453.901263558197</v>
      </c>
      <c r="ER237" s="5">
        <v>34229.986528593778</v>
      </c>
      <c r="ET237" s="318">
        <v>-34596.915368777823</v>
      </c>
      <c r="EU237" s="5">
        <v>124876.27545301856</v>
      </c>
    </row>
    <row r="238" spans="1:151" x14ac:dyDescent="0.3">
      <c r="A238" s="325">
        <v>150000943</v>
      </c>
      <c r="B238" s="41" t="s">
        <v>685</v>
      </c>
      <c r="C238" s="42" t="s">
        <v>123</v>
      </c>
      <c r="D238" s="27">
        <v>1</v>
      </c>
      <c r="E238" s="293">
        <v>105</v>
      </c>
      <c r="F238" s="305">
        <v>105</v>
      </c>
      <c r="G238" s="508">
        <v>0</v>
      </c>
      <c r="H238" s="677">
        <v>0</v>
      </c>
      <c r="I238" s="674">
        <v>0</v>
      </c>
      <c r="J238" s="40">
        <v>0</v>
      </c>
      <c r="K238" s="52">
        <v>0</v>
      </c>
      <c r="L238" s="674">
        <v>0</v>
      </c>
      <c r="M238" s="40">
        <v>0</v>
      </c>
      <c r="N238" s="52">
        <v>0</v>
      </c>
      <c r="O238" s="674">
        <v>0</v>
      </c>
      <c r="P238" s="40">
        <v>0</v>
      </c>
      <c r="Q238" s="52">
        <v>0</v>
      </c>
      <c r="R238" s="674">
        <v>0</v>
      </c>
      <c r="S238" s="40">
        <v>0</v>
      </c>
      <c r="T238" s="52">
        <v>0</v>
      </c>
      <c r="U238" s="674">
        <v>0</v>
      </c>
      <c r="V238" s="40">
        <v>0</v>
      </c>
      <c r="W238" s="52">
        <v>0</v>
      </c>
      <c r="X238" s="674">
        <v>0</v>
      </c>
      <c r="Y238" s="40">
        <v>0</v>
      </c>
      <c r="Z238" s="52">
        <v>0</v>
      </c>
      <c r="AA238" s="674">
        <v>12.600000000000001</v>
      </c>
      <c r="AB238" s="40">
        <v>0</v>
      </c>
      <c r="AC238" s="52">
        <v>-12.600000000000001</v>
      </c>
      <c r="AD238" s="674">
        <v>100.83541428081232</v>
      </c>
      <c r="AE238" s="40">
        <v>446.11579342148423</v>
      </c>
      <c r="AF238" s="35">
        <v>345.28037914067193</v>
      </c>
      <c r="AG238" s="77">
        <v>113.43541428081232</v>
      </c>
      <c r="AH238" s="53">
        <v>446.11579342148423</v>
      </c>
      <c r="AI238" s="52">
        <v>332.6803791406719</v>
      </c>
      <c r="AJ238" s="674">
        <v>0</v>
      </c>
      <c r="AK238" s="40">
        <v>0</v>
      </c>
      <c r="AL238" s="52">
        <v>0</v>
      </c>
      <c r="AM238" s="674">
        <v>0</v>
      </c>
      <c r="AN238" s="40">
        <v>0</v>
      </c>
      <c r="AO238" s="52">
        <v>0</v>
      </c>
      <c r="AP238" s="674">
        <v>359.74679286809487</v>
      </c>
      <c r="AQ238" s="40">
        <v>150.80924222187258</v>
      </c>
      <c r="AR238" s="52">
        <v>-208.93755064622229</v>
      </c>
      <c r="AS238" s="674">
        <v>1396.5173658766948</v>
      </c>
      <c r="AT238" s="40">
        <v>2023</v>
      </c>
      <c r="AU238" s="54">
        <v>626.48263412330516</v>
      </c>
      <c r="AV238" s="674">
        <v>0</v>
      </c>
      <c r="AW238" s="40">
        <v>0</v>
      </c>
      <c r="AX238" s="55">
        <v>0</v>
      </c>
      <c r="AY238" s="674">
        <v>0</v>
      </c>
      <c r="AZ238" s="40">
        <v>0</v>
      </c>
      <c r="BA238" s="35">
        <v>0</v>
      </c>
      <c r="BB238" s="674">
        <v>0</v>
      </c>
      <c r="BC238" s="40">
        <v>0</v>
      </c>
      <c r="BD238" s="55">
        <v>0</v>
      </c>
      <c r="BE238" s="674">
        <v>0</v>
      </c>
      <c r="BF238" s="40">
        <v>0</v>
      </c>
      <c r="BG238" s="38">
        <v>0</v>
      </c>
      <c r="BH238" s="674">
        <v>0</v>
      </c>
      <c r="BI238" s="40">
        <v>0</v>
      </c>
      <c r="BJ238" s="55">
        <v>0</v>
      </c>
      <c r="BK238" s="674">
        <v>0</v>
      </c>
      <c r="BL238" s="40">
        <v>0</v>
      </c>
      <c r="BM238" s="38">
        <v>0</v>
      </c>
      <c r="BN238" s="674">
        <v>7.561204628690696</v>
      </c>
      <c r="BO238" s="40">
        <v>0</v>
      </c>
      <c r="BP238" s="55">
        <v>-7.561204628690696</v>
      </c>
      <c r="BQ238" s="77">
        <v>7.561204628690696</v>
      </c>
      <c r="BR238" s="40">
        <v>0</v>
      </c>
      <c r="BS238" s="55">
        <v>-7.561204628690696</v>
      </c>
      <c r="BT238" s="674">
        <v>129.20585807266653</v>
      </c>
      <c r="BU238" s="40">
        <v>173.29829713264911</v>
      </c>
      <c r="BV238" s="52">
        <v>44.092439059982581</v>
      </c>
      <c r="BW238" s="674">
        <v>0</v>
      </c>
      <c r="BX238" s="40">
        <v>2.388401369686906</v>
      </c>
      <c r="BY238" s="52">
        <v>2.388401369686906</v>
      </c>
      <c r="BZ238" s="674">
        <v>0</v>
      </c>
      <c r="CA238" s="40">
        <v>62.101315723863884</v>
      </c>
      <c r="CB238" s="52">
        <v>62.101315723863884</v>
      </c>
      <c r="CC238" s="674">
        <v>0</v>
      </c>
      <c r="CD238" s="40">
        <v>0</v>
      </c>
      <c r="CE238" s="52">
        <v>0</v>
      </c>
      <c r="CF238" s="674">
        <v>0</v>
      </c>
      <c r="CG238" s="40">
        <v>0</v>
      </c>
      <c r="CH238" s="52">
        <v>0</v>
      </c>
      <c r="CI238" s="674">
        <v>0</v>
      </c>
      <c r="CJ238" s="40">
        <v>0</v>
      </c>
      <c r="CK238" s="52">
        <v>0</v>
      </c>
      <c r="CL238" s="674">
        <v>0</v>
      </c>
      <c r="CM238" s="40">
        <v>0</v>
      </c>
      <c r="CN238" s="52">
        <v>0</v>
      </c>
      <c r="CO238" s="39">
        <v>0</v>
      </c>
      <c r="CP238" s="40">
        <v>0</v>
      </c>
      <c r="CQ238" s="52">
        <v>0</v>
      </c>
      <c r="CR238" s="72">
        <v>2006.4666357269596</v>
      </c>
      <c r="CS238" s="5">
        <v>2857.7130498695569</v>
      </c>
      <c r="CT238" s="52">
        <v>851.24641414259736</v>
      </c>
      <c r="CU238" s="77">
        <v>2407.7599628723515</v>
      </c>
      <c r="CV238" s="65">
        <v>3429.255659843468</v>
      </c>
      <c r="CW238" s="35">
        <v>1021.4956969711166</v>
      </c>
      <c r="CX238" s="73">
        <v>53.552598102308096</v>
      </c>
      <c r="CY238" s="40">
        <v>-967.94309886880819</v>
      </c>
      <c r="CZ238" s="52">
        <v>-1021.4956969711163</v>
      </c>
      <c r="DA238" s="150">
        <v>5563.3190328077026</v>
      </c>
      <c r="DB238" s="2">
        <v>1</v>
      </c>
      <c r="DC238" s="675">
        <v>216.02</v>
      </c>
      <c r="DD238" s="675">
        <v>0</v>
      </c>
      <c r="DE238" s="675">
        <v>5.038197960772095E-3</v>
      </c>
      <c r="DF238" s="675">
        <v>0</v>
      </c>
      <c r="DG238" s="321">
        <v>4541.823335836586</v>
      </c>
      <c r="DH238" s="40">
        <v>2461.1268886658486</v>
      </c>
      <c r="DI238" s="422">
        <v>216.01496180203927</v>
      </c>
      <c r="DJ238" s="306">
        <v>2.0572853504956119</v>
      </c>
      <c r="DK238" s="306">
        <v>2.0572853504956119</v>
      </c>
      <c r="DL238" s="306">
        <v>2.0572853504956119</v>
      </c>
      <c r="DM238" s="28">
        <v>216.01496180203924</v>
      </c>
      <c r="DN238" s="28">
        <v>0</v>
      </c>
      <c r="DO238" s="423">
        <v>216.01496180203924</v>
      </c>
      <c r="DP238" s="94">
        <v>0</v>
      </c>
      <c r="DQ238" s="28">
        <v>216.01496180203924</v>
      </c>
      <c r="DR238" s="318"/>
      <c r="DT238" s="8"/>
      <c r="DU238" s="5"/>
      <c r="DX238" s="5">
        <v>1684.8942846064626</v>
      </c>
      <c r="DY238" s="5">
        <v>2427.6</v>
      </c>
      <c r="DZ238" s="159">
        <v>157.7144690062951</v>
      </c>
      <c r="EB238" s="676">
        <v>-96.846135289351096</v>
      </c>
      <c r="EC238" s="676">
        <v>-107.65481979008277</v>
      </c>
      <c r="ED238" s="676">
        <v>-105.75363060656687</v>
      </c>
      <c r="EE238" s="676">
        <v>-181.24337814270811</v>
      </c>
      <c r="EF238" s="676">
        <v>-143.31156736725455</v>
      </c>
      <c r="EG238" s="676">
        <v>35.013876677654366</v>
      </c>
      <c r="EH238" s="676">
        <v>-147.41097868955899</v>
      </c>
      <c r="EI238" s="676">
        <v>-127.38899591065007</v>
      </c>
      <c r="EJ238" s="676">
        <v>-144.24287740883284</v>
      </c>
      <c r="EK238" s="676">
        <v>-121.38993886443996</v>
      </c>
      <c r="EL238" s="676">
        <v>2291.3479711777577</v>
      </c>
      <c r="EM238" s="676">
        <v>-129.62382881485053</v>
      </c>
      <c r="EN238" s="676">
        <v>1021.4956969711162</v>
      </c>
      <c r="EQ238" s="5">
        <v>1684.8942846064626</v>
      </c>
      <c r="ER238" s="5">
        <v>2427.6</v>
      </c>
      <c r="ET238" s="318">
        <v>-1142.0945796411731</v>
      </c>
      <c r="EU238" s="5">
        <v>2800.9179154777589</v>
      </c>
    </row>
    <row r="239" spans="1:151" x14ac:dyDescent="0.3">
      <c r="A239" s="325">
        <v>150000944</v>
      </c>
      <c r="B239" s="41" t="s">
        <v>686</v>
      </c>
      <c r="C239" s="42" t="s">
        <v>124</v>
      </c>
      <c r="D239" s="27">
        <v>1</v>
      </c>
      <c r="E239" s="293">
        <v>140.69999999999999</v>
      </c>
      <c r="F239" s="305">
        <v>140.69999999999999</v>
      </c>
      <c r="G239" s="508">
        <v>0</v>
      </c>
      <c r="H239" s="677">
        <v>0</v>
      </c>
      <c r="I239" s="674">
        <v>0</v>
      </c>
      <c r="J239" s="40">
        <v>0</v>
      </c>
      <c r="K239" s="52">
        <v>0</v>
      </c>
      <c r="L239" s="674">
        <v>0</v>
      </c>
      <c r="M239" s="40">
        <v>0</v>
      </c>
      <c r="N239" s="52">
        <v>0</v>
      </c>
      <c r="O239" s="674">
        <v>0</v>
      </c>
      <c r="P239" s="40">
        <v>0</v>
      </c>
      <c r="Q239" s="52">
        <v>0</v>
      </c>
      <c r="R239" s="674">
        <v>0</v>
      </c>
      <c r="S239" s="40">
        <v>0</v>
      </c>
      <c r="T239" s="52">
        <v>0</v>
      </c>
      <c r="U239" s="674">
        <v>0</v>
      </c>
      <c r="V239" s="40">
        <v>0</v>
      </c>
      <c r="W239" s="52">
        <v>0</v>
      </c>
      <c r="X239" s="674">
        <v>0</v>
      </c>
      <c r="Y239" s="40">
        <v>0</v>
      </c>
      <c r="Z239" s="52">
        <v>0</v>
      </c>
      <c r="AA239" s="674">
        <v>16.883999999999997</v>
      </c>
      <c r="AB239" s="40">
        <v>0</v>
      </c>
      <c r="AC239" s="52">
        <v>-16.883999999999997</v>
      </c>
      <c r="AD239" s="674">
        <v>135.15251026711161</v>
      </c>
      <c r="AE239" s="40">
        <v>597.79516318478898</v>
      </c>
      <c r="AF239" s="35">
        <v>462.64265291767737</v>
      </c>
      <c r="AG239" s="77">
        <v>152.03651026711159</v>
      </c>
      <c r="AH239" s="53">
        <v>597.79516318478898</v>
      </c>
      <c r="AI239" s="52">
        <v>445.75865291767741</v>
      </c>
      <c r="AJ239" s="674">
        <v>0</v>
      </c>
      <c r="AK239" s="40">
        <v>0</v>
      </c>
      <c r="AL239" s="52">
        <v>0</v>
      </c>
      <c r="AM239" s="674">
        <v>0</v>
      </c>
      <c r="AN239" s="40">
        <v>0</v>
      </c>
      <c r="AO239" s="52">
        <v>0</v>
      </c>
      <c r="AP239" s="674">
        <v>359.74679286809487</v>
      </c>
      <c r="AQ239" s="40">
        <v>150.80924222187258</v>
      </c>
      <c r="AR239" s="52">
        <v>-208.93755064622229</v>
      </c>
      <c r="AS239" s="674">
        <v>1698.606964501015</v>
      </c>
      <c r="AT239" s="40">
        <v>2023</v>
      </c>
      <c r="AU239" s="54">
        <v>324.393035498985</v>
      </c>
      <c r="AV239" s="674">
        <v>0</v>
      </c>
      <c r="AW239" s="40">
        <v>0</v>
      </c>
      <c r="AX239" s="55">
        <v>0</v>
      </c>
      <c r="AY239" s="674">
        <v>0</v>
      </c>
      <c r="AZ239" s="40">
        <v>0</v>
      </c>
      <c r="BA239" s="35">
        <v>0</v>
      </c>
      <c r="BB239" s="674">
        <v>0</v>
      </c>
      <c r="BC239" s="40">
        <v>0</v>
      </c>
      <c r="BD239" s="55">
        <v>0</v>
      </c>
      <c r="BE239" s="674">
        <v>0</v>
      </c>
      <c r="BF239" s="40">
        <v>0</v>
      </c>
      <c r="BG239" s="38">
        <v>0</v>
      </c>
      <c r="BH239" s="674">
        <v>0</v>
      </c>
      <c r="BI239" s="40">
        <v>0</v>
      </c>
      <c r="BJ239" s="55">
        <v>0</v>
      </c>
      <c r="BK239" s="674">
        <v>0</v>
      </c>
      <c r="BL239" s="40">
        <v>0</v>
      </c>
      <c r="BM239" s="38">
        <v>0</v>
      </c>
      <c r="BN239" s="674">
        <v>10.4126164702468</v>
      </c>
      <c r="BO239" s="40">
        <v>0</v>
      </c>
      <c r="BP239" s="55">
        <v>-10.4126164702468</v>
      </c>
      <c r="BQ239" s="77">
        <v>10.4126164702468</v>
      </c>
      <c r="BR239" s="40">
        <v>0</v>
      </c>
      <c r="BS239" s="55">
        <v>-10.4126164702468</v>
      </c>
      <c r="BT239" s="674">
        <v>789.59135488851791</v>
      </c>
      <c r="BU239" s="40">
        <v>1058.7488985099185</v>
      </c>
      <c r="BV239" s="52">
        <v>269.15754362140058</v>
      </c>
      <c r="BW239" s="674">
        <v>0</v>
      </c>
      <c r="BX239" s="40">
        <v>3.2004578353804543</v>
      </c>
      <c r="BY239" s="52">
        <v>3.2004578353804543</v>
      </c>
      <c r="BZ239" s="674">
        <v>0</v>
      </c>
      <c r="CA239" s="40">
        <v>379.52471946530534</v>
      </c>
      <c r="CB239" s="52">
        <v>379.52471946530534</v>
      </c>
      <c r="CC239" s="674">
        <v>0</v>
      </c>
      <c r="CD239" s="40">
        <v>0</v>
      </c>
      <c r="CE239" s="52">
        <v>0</v>
      </c>
      <c r="CF239" s="674">
        <v>0</v>
      </c>
      <c r="CG239" s="40">
        <v>0</v>
      </c>
      <c r="CH239" s="52">
        <v>0</v>
      </c>
      <c r="CI239" s="674">
        <v>0</v>
      </c>
      <c r="CJ239" s="40">
        <v>0</v>
      </c>
      <c r="CK239" s="52">
        <v>0</v>
      </c>
      <c r="CL239" s="674">
        <v>0</v>
      </c>
      <c r="CM239" s="40">
        <v>0</v>
      </c>
      <c r="CN239" s="52">
        <v>0</v>
      </c>
      <c r="CO239" s="39">
        <v>0</v>
      </c>
      <c r="CP239" s="40">
        <v>0</v>
      </c>
      <c r="CQ239" s="52">
        <v>0</v>
      </c>
      <c r="CR239" s="72">
        <v>3010.3942389949857</v>
      </c>
      <c r="CS239" s="5">
        <v>4213.078481217266</v>
      </c>
      <c r="CT239" s="52">
        <v>1202.6842422222803</v>
      </c>
      <c r="CU239" s="77">
        <v>3612.4730867939829</v>
      </c>
      <c r="CV239" s="65">
        <v>5055.6941774607194</v>
      </c>
      <c r="CW239" s="35">
        <v>1443.2210906667365</v>
      </c>
      <c r="CX239" s="73">
        <v>80.44397271106844</v>
      </c>
      <c r="CY239" s="40">
        <v>-1362.7771179556662</v>
      </c>
      <c r="CZ239" s="52">
        <v>-1443.2210906667347</v>
      </c>
      <c r="DA239" s="150">
        <v>12939.790524720403</v>
      </c>
      <c r="DB239" s="2">
        <v>1</v>
      </c>
      <c r="DC239" s="675">
        <v>348.05</v>
      </c>
      <c r="DD239" s="675">
        <v>0</v>
      </c>
      <c r="DE239" s="675">
        <v>24.260265858143839</v>
      </c>
      <c r="DF239" s="675">
        <v>0</v>
      </c>
      <c r="DG239" s="321">
        <v>11496.569434053668</v>
      </c>
      <c r="DH239" s="40">
        <v>3692.6374587181872</v>
      </c>
      <c r="DI239" s="422">
        <v>323.78973414185617</v>
      </c>
      <c r="DJ239" s="306">
        <v>2.301277428158182</v>
      </c>
      <c r="DK239" s="306">
        <v>2.301277428158182</v>
      </c>
      <c r="DL239" s="306">
        <v>2.301277428158182</v>
      </c>
      <c r="DM239" s="28">
        <v>323.78973414185617</v>
      </c>
      <c r="DN239" s="28">
        <v>0</v>
      </c>
      <c r="DO239" s="423">
        <v>323.78973414185617</v>
      </c>
      <c r="DP239" s="94">
        <v>0</v>
      </c>
      <c r="DQ239" s="28">
        <v>323.78973414185617</v>
      </c>
      <c r="DR239" s="318"/>
      <c r="DT239" s="8"/>
      <c r="DU239" s="5"/>
      <c r="DX239" s="5">
        <v>2050.8234971655143</v>
      </c>
      <c r="DY239" s="5">
        <v>2427.6</v>
      </c>
      <c r="DZ239" s="159">
        <v>175.84511114495359</v>
      </c>
      <c r="EB239" s="676">
        <v>-156.99834990812337</v>
      </c>
      <c r="EC239" s="676">
        <v>-171.48198713910381</v>
      </c>
      <c r="ED239" s="676">
        <v>-168.93439363319249</v>
      </c>
      <c r="EE239" s="676">
        <v>-276.68847678721261</v>
      </c>
      <c r="EF239" s="676">
        <v>-70.951518073511977</v>
      </c>
      <c r="EG239" s="676">
        <v>103.93138969068241</v>
      </c>
      <c r="EH239" s="676">
        <v>-78.863984787978438</v>
      </c>
      <c r="EI239" s="676">
        <v>-46.095353838007895</v>
      </c>
      <c r="EJ239" s="676">
        <v>-68.484844276709424</v>
      </c>
      <c r="EK239" s="676">
        <v>-26.283384222156769</v>
      </c>
      <c r="EL239" s="676">
        <v>2375.2824012580609</v>
      </c>
      <c r="EM239" s="676">
        <v>28.789592383988236</v>
      </c>
      <c r="EN239" s="676">
        <v>1443.2210906667347</v>
      </c>
      <c r="EQ239" s="5">
        <v>2050.8234971655143</v>
      </c>
      <c r="ER239" s="5">
        <v>2427.6</v>
      </c>
      <c r="ET239" s="318">
        <v>13916.929251423064</v>
      </c>
      <c r="EU239" s="5">
        <v>-41.359817369394193</v>
      </c>
    </row>
    <row r="240" spans="1:151" x14ac:dyDescent="0.3">
      <c r="A240" s="325">
        <v>150000945</v>
      </c>
      <c r="B240" s="41" t="s">
        <v>687</v>
      </c>
      <c r="C240" s="42" t="s">
        <v>422</v>
      </c>
      <c r="D240" s="27">
        <v>10</v>
      </c>
      <c r="E240" s="293">
        <v>6742.76</v>
      </c>
      <c r="F240" s="305">
        <v>6677.85</v>
      </c>
      <c r="G240" s="508">
        <v>613.75</v>
      </c>
      <c r="H240" s="677">
        <v>64.91</v>
      </c>
      <c r="I240" s="674">
        <v>24336.181294683818</v>
      </c>
      <c r="J240" s="40">
        <v>20136.325453567591</v>
      </c>
      <c r="K240" s="52">
        <v>-4199.8558411162267</v>
      </c>
      <c r="L240" s="674">
        <v>3842.3740583691169</v>
      </c>
      <c r="M240" s="40">
        <v>3061.6163460112143</v>
      </c>
      <c r="N240" s="52">
        <v>-780.75771235790262</v>
      </c>
      <c r="O240" s="674">
        <v>9213.7140518565666</v>
      </c>
      <c r="P240" s="40">
        <v>9213.7200000000012</v>
      </c>
      <c r="Q240" s="52">
        <v>5.9481434345798334E-3</v>
      </c>
      <c r="R240" s="674">
        <v>2004.2254179492195</v>
      </c>
      <c r="S240" s="40">
        <v>2004.2099999999996</v>
      </c>
      <c r="T240" s="52">
        <v>-1.5417949219909133E-2</v>
      </c>
      <c r="U240" s="674">
        <v>1145.5908851177551</v>
      </c>
      <c r="V240" s="40">
        <v>478.70949070002075</v>
      </c>
      <c r="W240" s="52">
        <v>-666.88139441773433</v>
      </c>
      <c r="X240" s="674">
        <v>10332.950050746658</v>
      </c>
      <c r="Y240" s="40">
        <v>7797.6413547827196</v>
      </c>
      <c r="Z240" s="52">
        <v>-2535.3086959639386</v>
      </c>
      <c r="AA240" s="674">
        <v>809.22120000000007</v>
      </c>
      <c r="AB240" s="40">
        <v>0</v>
      </c>
      <c r="AC240" s="52">
        <v>-809.22120000000007</v>
      </c>
      <c r="AD240" s="674">
        <v>28906.529414387187</v>
      </c>
      <c r="AE240" s="40">
        <v>28649.191430110932</v>
      </c>
      <c r="AF240" s="35">
        <v>-257.33798427625516</v>
      </c>
      <c r="AG240" s="77">
        <v>80590.786373110313</v>
      </c>
      <c r="AH240" s="53">
        <v>71341.414075172477</v>
      </c>
      <c r="AI240" s="52">
        <v>-9249.3722979378363</v>
      </c>
      <c r="AJ240" s="674">
        <v>36175.937978359325</v>
      </c>
      <c r="AK240" s="40">
        <v>35938.319293386528</v>
      </c>
      <c r="AL240" s="52">
        <v>-237.61868497279647</v>
      </c>
      <c r="AM240" s="674">
        <v>4497.1243399595951</v>
      </c>
      <c r="AN240" s="40">
        <v>1098.5176825290844</v>
      </c>
      <c r="AO240" s="52">
        <v>-3398.6066574305105</v>
      </c>
      <c r="AP240" s="674">
        <v>5171.3601474788657</v>
      </c>
      <c r="AQ240" s="40">
        <v>4417.9688800916356</v>
      </c>
      <c r="AR240" s="52">
        <v>-753.39126738723007</v>
      </c>
      <c r="AS240" s="674">
        <v>88345.297554164659</v>
      </c>
      <c r="AT240" s="40">
        <v>68851.58</v>
      </c>
      <c r="AU240" s="54">
        <v>-19493.717554164657</v>
      </c>
      <c r="AV240" s="674">
        <v>3798.5139833452135</v>
      </c>
      <c r="AW240" s="40">
        <v>2271.7600000000002</v>
      </c>
      <c r="AX240" s="55">
        <v>-1526.7539833452133</v>
      </c>
      <c r="AY240" s="674">
        <v>4227.0086461896935</v>
      </c>
      <c r="AZ240" s="40">
        <v>4896</v>
      </c>
      <c r="BA240" s="35">
        <v>668.99135381030646</v>
      </c>
      <c r="BB240" s="674">
        <v>2837.7901589186267</v>
      </c>
      <c r="BC240" s="40">
        <v>0</v>
      </c>
      <c r="BD240" s="55">
        <v>-2837.7901589186267</v>
      </c>
      <c r="BE240" s="674">
        <v>3097.255935171599</v>
      </c>
      <c r="BF240" s="40">
        <v>0</v>
      </c>
      <c r="BG240" s="38">
        <v>-3097.255935171599</v>
      </c>
      <c r="BH240" s="674">
        <v>1480.0607281226878</v>
      </c>
      <c r="BI240" s="40">
        <v>0</v>
      </c>
      <c r="BJ240" s="55">
        <v>-1480.0607281226878</v>
      </c>
      <c r="BK240" s="674">
        <v>2220.5128571206292</v>
      </c>
      <c r="BL240" s="40">
        <v>1026</v>
      </c>
      <c r="BM240" s="38">
        <v>-1194.5128571206292</v>
      </c>
      <c r="BN240" s="674">
        <v>662.85235665589528</v>
      </c>
      <c r="BO240" s="40">
        <v>0</v>
      </c>
      <c r="BP240" s="55">
        <v>-662.85235665589528</v>
      </c>
      <c r="BQ240" s="77">
        <v>18323.994665524344</v>
      </c>
      <c r="BR240" s="40">
        <v>8193.76</v>
      </c>
      <c r="BS240" s="55">
        <v>-10130.234665524344</v>
      </c>
      <c r="BT240" s="674">
        <v>80550.349144851061</v>
      </c>
      <c r="BU240" s="40">
        <v>78714.679809392124</v>
      </c>
      <c r="BV240" s="52">
        <v>-1835.669335458937</v>
      </c>
      <c r="BW240" s="674">
        <v>67621.587952575748</v>
      </c>
      <c r="BX240" s="40">
        <v>63275.566152932166</v>
      </c>
      <c r="BY240" s="52">
        <v>-4346.0217996435822</v>
      </c>
      <c r="BZ240" s="674">
        <v>14602.406680882628</v>
      </c>
      <c r="CA240" s="40">
        <v>17720.464659409317</v>
      </c>
      <c r="CB240" s="52">
        <v>3118.0579785266891</v>
      </c>
      <c r="CC240" s="674">
        <v>2077.430981905185</v>
      </c>
      <c r="CD240" s="40">
        <v>2172.4648753244592</v>
      </c>
      <c r="CE240" s="52">
        <v>95.033893419274136</v>
      </c>
      <c r="CF240" s="674">
        <v>252.63061814020273</v>
      </c>
      <c r="CG240" s="40">
        <v>0</v>
      </c>
      <c r="CH240" s="52">
        <v>-252.63061814020273</v>
      </c>
      <c r="CI240" s="674">
        <v>27250.585033124098</v>
      </c>
      <c r="CJ240" s="40">
        <v>26955.704955199999</v>
      </c>
      <c r="CK240" s="52">
        <v>-294.88007792409917</v>
      </c>
      <c r="CL240" s="674">
        <v>13497.651029466693</v>
      </c>
      <c r="CM240" s="40">
        <v>13008.55766311198</v>
      </c>
      <c r="CN240" s="52">
        <v>-489.093366354713</v>
      </c>
      <c r="CO240" s="39">
        <v>40748.23606259079</v>
      </c>
      <c r="CP240" s="40">
        <v>39964.262618311979</v>
      </c>
      <c r="CQ240" s="52">
        <v>-783.97344427881035</v>
      </c>
      <c r="CR240" s="72">
        <v>438957.14249954274</v>
      </c>
      <c r="CS240" s="5">
        <v>391688.99804654979</v>
      </c>
      <c r="CT240" s="52">
        <v>-47268.144452992943</v>
      </c>
      <c r="CU240" s="77">
        <v>526748.57099945121</v>
      </c>
      <c r="CV240" s="65">
        <v>470026.79765585973</v>
      </c>
      <c r="CW240" s="35">
        <v>-56721.773343591485</v>
      </c>
      <c r="CX240" s="73">
        <v>11777.54843472772</v>
      </c>
      <c r="CY240" s="40">
        <v>68499.321778319209</v>
      </c>
      <c r="CZ240" s="52">
        <v>56721.773343591485</v>
      </c>
      <c r="DA240" s="150">
        <v>-31907.252234979802</v>
      </c>
      <c r="DB240" s="2">
        <v>1</v>
      </c>
      <c r="DC240" s="675">
        <v>82763.64</v>
      </c>
      <c r="DD240" s="675">
        <v>327.27999999999997</v>
      </c>
      <c r="DE240" s="675">
        <v>36029.817558648647</v>
      </c>
      <c r="DF240" s="675">
        <v>-5.2995399279893718E-3</v>
      </c>
      <c r="DG240" s="321">
        <v>24814.521108611691</v>
      </c>
      <c r="DH240" s="40">
        <v>538484.84178679879</v>
      </c>
      <c r="DI240" s="422">
        <v>47061.107740891275</v>
      </c>
      <c r="DJ240" s="306">
        <v>6.1638691886409589</v>
      </c>
      <c r="DK240" s="306">
        <v>7.0827901464063849</v>
      </c>
      <c r="DL240" s="306">
        <v>5.0421398789081495</v>
      </c>
      <c r="DM240" s="28">
        <v>46733.822441351353</v>
      </c>
      <c r="DN240" s="28">
        <v>327.28529953992796</v>
      </c>
      <c r="DO240" s="423">
        <v>47061.107740891282</v>
      </c>
      <c r="DP240" s="94">
        <v>0</v>
      </c>
      <c r="DQ240" s="28">
        <v>47061.107740891282</v>
      </c>
      <c r="DR240" s="318"/>
      <c r="DT240" s="8"/>
      <c r="DU240" s="5"/>
      <c r="DX240" s="5">
        <v>128003.15066362679</v>
      </c>
      <c r="DY240" s="5">
        <v>92454.407999999996</v>
      </c>
      <c r="DZ240" s="159">
        <v>11398.081755483703</v>
      </c>
      <c r="EB240" s="676">
        <v>2378.5653520268606</v>
      </c>
      <c r="EC240" s="676">
        <v>873.58388296854537</v>
      </c>
      <c r="ED240" s="676">
        <v>-1262.3667010557838</v>
      </c>
      <c r="EE240" s="676">
        <v>-13265.310403951007</v>
      </c>
      <c r="EF240" s="676">
        <v>-4190.2846598050673</v>
      </c>
      <c r="EG240" s="676">
        <v>-6839.7421785744737</v>
      </c>
      <c r="EH240" s="676">
        <v>-16886.129686043671</v>
      </c>
      <c r="EI240" s="676">
        <v>2772.3627500664734</v>
      </c>
      <c r="EJ240" s="676">
        <v>-12129.835722759322</v>
      </c>
      <c r="EK240" s="676">
        <v>23553.686845896751</v>
      </c>
      <c r="EL240" s="676">
        <v>-12610.670573525924</v>
      </c>
      <c r="EM240" s="676">
        <v>-19115.632248834874</v>
      </c>
      <c r="EN240" s="676">
        <v>-56721.773343591492</v>
      </c>
      <c r="EQ240" s="5">
        <v>128003.15066362679</v>
      </c>
      <c r="ER240" s="5">
        <v>92454.407999999996</v>
      </c>
      <c r="ET240" s="318">
        <v>-38673.460852188509</v>
      </c>
      <c r="EU240" s="5">
        <v>-3797.018039199771</v>
      </c>
    </row>
    <row r="241" spans="1:151" x14ac:dyDescent="0.3">
      <c r="A241" s="325">
        <v>150000946</v>
      </c>
      <c r="B241" s="41" t="s">
        <v>688</v>
      </c>
      <c r="C241" s="42" t="s">
        <v>125</v>
      </c>
      <c r="D241" s="27">
        <v>1</v>
      </c>
      <c r="E241" s="293">
        <v>100.2</v>
      </c>
      <c r="F241" s="305">
        <v>100.2</v>
      </c>
      <c r="G241" s="508">
        <v>0</v>
      </c>
      <c r="H241" s="677">
        <v>0</v>
      </c>
      <c r="I241" s="674">
        <v>0</v>
      </c>
      <c r="J241" s="40">
        <v>0</v>
      </c>
      <c r="K241" s="52">
        <v>0</v>
      </c>
      <c r="L241" s="674">
        <v>0</v>
      </c>
      <c r="M241" s="40">
        <v>0</v>
      </c>
      <c r="N241" s="52">
        <v>0</v>
      </c>
      <c r="O241" s="674">
        <v>0</v>
      </c>
      <c r="P241" s="40">
        <v>0</v>
      </c>
      <c r="Q241" s="52">
        <v>0</v>
      </c>
      <c r="R241" s="674">
        <v>0</v>
      </c>
      <c r="S241" s="40">
        <v>0</v>
      </c>
      <c r="T241" s="52">
        <v>0</v>
      </c>
      <c r="U241" s="674">
        <v>0</v>
      </c>
      <c r="V241" s="40">
        <v>0</v>
      </c>
      <c r="W241" s="52">
        <v>0</v>
      </c>
      <c r="X241" s="674">
        <v>0</v>
      </c>
      <c r="Y241" s="40">
        <v>0</v>
      </c>
      <c r="Z241" s="52">
        <v>0</v>
      </c>
      <c r="AA241" s="674">
        <v>12.024000000000001</v>
      </c>
      <c r="AB241" s="40">
        <v>0</v>
      </c>
      <c r="AC241" s="52">
        <v>-12.024000000000001</v>
      </c>
      <c r="AD241" s="674">
        <v>96.253401825146057</v>
      </c>
      <c r="AE241" s="40">
        <v>365.8036619267009</v>
      </c>
      <c r="AF241" s="35">
        <v>269.55026010155484</v>
      </c>
      <c r="AG241" s="77">
        <v>108.27740182514606</v>
      </c>
      <c r="AH241" s="53">
        <v>365.8036619267009</v>
      </c>
      <c r="AI241" s="52">
        <v>257.52626010155484</v>
      </c>
      <c r="AJ241" s="674">
        <v>0</v>
      </c>
      <c r="AK241" s="40">
        <v>0</v>
      </c>
      <c r="AL241" s="52">
        <v>0</v>
      </c>
      <c r="AM241" s="674">
        <v>0</v>
      </c>
      <c r="AN241" s="40">
        <v>0</v>
      </c>
      <c r="AO241" s="52">
        <v>0</v>
      </c>
      <c r="AP241" s="674">
        <v>259.53574792412013</v>
      </c>
      <c r="AQ241" s="40">
        <v>131.9580869441385</v>
      </c>
      <c r="AR241" s="52">
        <v>-127.57766097998163</v>
      </c>
      <c r="AS241" s="674">
        <v>875.39874182974643</v>
      </c>
      <c r="AT241" s="40">
        <v>0</v>
      </c>
      <c r="AU241" s="54">
        <v>-875.39874182974643</v>
      </c>
      <c r="AV241" s="674">
        <v>0</v>
      </c>
      <c r="AW241" s="40">
        <v>0</v>
      </c>
      <c r="AX241" s="55">
        <v>0</v>
      </c>
      <c r="AY241" s="674">
        <v>0</v>
      </c>
      <c r="AZ241" s="40">
        <v>0</v>
      </c>
      <c r="BA241" s="35">
        <v>0</v>
      </c>
      <c r="BB241" s="674">
        <v>0</v>
      </c>
      <c r="BC241" s="40">
        <v>0</v>
      </c>
      <c r="BD241" s="55">
        <v>0</v>
      </c>
      <c r="BE241" s="674">
        <v>0</v>
      </c>
      <c r="BF241" s="40">
        <v>0</v>
      </c>
      <c r="BG241" s="38">
        <v>0</v>
      </c>
      <c r="BH241" s="674">
        <v>0</v>
      </c>
      <c r="BI241" s="40">
        <v>0</v>
      </c>
      <c r="BJ241" s="55">
        <v>0</v>
      </c>
      <c r="BK241" s="674">
        <v>0</v>
      </c>
      <c r="BL241" s="40">
        <v>0</v>
      </c>
      <c r="BM241" s="38">
        <v>0</v>
      </c>
      <c r="BN241" s="674">
        <v>7.2515047893068729</v>
      </c>
      <c r="BO241" s="40">
        <v>0</v>
      </c>
      <c r="BP241" s="55">
        <v>-7.2515047893068729</v>
      </c>
      <c r="BQ241" s="77">
        <v>7.2515047893068729</v>
      </c>
      <c r="BR241" s="40">
        <v>0</v>
      </c>
      <c r="BS241" s="55">
        <v>-7.2515047893068729</v>
      </c>
      <c r="BT241" s="674">
        <v>279.14845879897092</v>
      </c>
      <c r="BU241" s="40">
        <v>433.07803462754237</v>
      </c>
      <c r="BV241" s="52">
        <v>153.92957582857144</v>
      </c>
      <c r="BW241" s="674">
        <v>0</v>
      </c>
      <c r="BX241" s="40">
        <v>1.8736166620919148</v>
      </c>
      <c r="BY241" s="52">
        <v>1.8736166620919148</v>
      </c>
      <c r="BZ241" s="674">
        <v>0</v>
      </c>
      <c r="CA241" s="40">
        <v>26.408415097284834</v>
      </c>
      <c r="CB241" s="52">
        <v>26.408415097284834</v>
      </c>
      <c r="CC241" s="674">
        <v>0</v>
      </c>
      <c r="CD241" s="40">
        <v>0</v>
      </c>
      <c r="CE241" s="52">
        <v>0</v>
      </c>
      <c r="CF241" s="674">
        <v>0</v>
      </c>
      <c r="CG241" s="40">
        <v>0</v>
      </c>
      <c r="CH241" s="52">
        <v>0</v>
      </c>
      <c r="CI241" s="674">
        <v>0</v>
      </c>
      <c r="CJ241" s="40">
        <v>0</v>
      </c>
      <c r="CK241" s="52">
        <v>0</v>
      </c>
      <c r="CL241" s="674">
        <v>0</v>
      </c>
      <c r="CM241" s="40">
        <v>0</v>
      </c>
      <c r="CN241" s="52">
        <v>0</v>
      </c>
      <c r="CO241" s="39">
        <v>0</v>
      </c>
      <c r="CP241" s="40">
        <v>0</v>
      </c>
      <c r="CQ241" s="52">
        <v>0</v>
      </c>
      <c r="CR241" s="72">
        <v>1529.6118551672905</v>
      </c>
      <c r="CS241" s="5">
        <v>959.1218152577585</v>
      </c>
      <c r="CT241" s="52">
        <v>-570.49003990953202</v>
      </c>
      <c r="CU241" s="77">
        <v>1835.5342262007487</v>
      </c>
      <c r="CV241" s="65">
        <v>1150.9461783093102</v>
      </c>
      <c r="CW241" s="35">
        <v>-684.58804789143846</v>
      </c>
      <c r="CX241" s="73">
        <v>57.613020134145081</v>
      </c>
      <c r="CY241" s="40">
        <v>742.2010680255836</v>
      </c>
      <c r="CZ241" s="52">
        <v>684.58804789143846</v>
      </c>
      <c r="DA241" s="150">
        <v>-604.6889251533089</v>
      </c>
      <c r="DB241" s="2">
        <v>1</v>
      </c>
      <c r="DC241" s="675">
        <v>1976.54</v>
      </c>
      <c r="DD241" s="675">
        <v>0</v>
      </c>
      <c r="DE241" s="675">
        <v>1976.54</v>
      </c>
      <c r="DF241" s="675">
        <v>0</v>
      </c>
      <c r="DG241" s="321">
        <v>79.899122738129336</v>
      </c>
      <c r="DH241" s="40">
        <v>2295.412723280589</v>
      </c>
      <c r="DI241" s="422">
        <v>201.21972836405621</v>
      </c>
      <c r="DJ241" s="306">
        <v>2.0081809217969679</v>
      </c>
      <c r="DK241" s="306">
        <v>2.0081809217969679</v>
      </c>
      <c r="DL241" s="306">
        <v>2.0081809217969679</v>
      </c>
      <c r="DM241" s="28">
        <v>201.21972836405618</v>
      </c>
      <c r="DN241" s="28">
        <v>0</v>
      </c>
      <c r="DO241" s="423">
        <v>201.21972836405618</v>
      </c>
      <c r="DP241" s="94">
        <v>0</v>
      </c>
      <c r="DQ241" s="28">
        <v>201.21972836405618</v>
      </c>
      <c r="DR241" s="318"/>
      <c r="DT241" s="8"/>
      <c r="DU241" s="5"/>
      <c r="DX241" s="5">
        <v>1059.1802959428639</v>
      </c>
      <c r="DY241" s="5">
        <v>0</v>
      </c>
      <c r="DZ241" s="159">
        <v>115.31229110160156</v>
      </c>
      <c r="EB241" s="676">
        <v>-89.586241417318661</v>
      </c>
      <c r="EC241" s="676">
        <v>-99.9008146265883</v>
      </c>
      <c r="ED241" s="676">
        <v>-98.086536948604561</v>
      </c>
      <c r="EE241" s="676">
        <v>-166.17630838651249</v>
      </c>
      <c r="EF241" s="676">
        <v>-70.78415128073155</v>
      </c>
      <c r="EG241" s="676">
        <v>84.069099704797708</v>
      </c>
      <c r="EH241" s="676">
        <v>-75.620619364965052</v>
      </c>
      <c r="EI241" s="676">
        <v>-54.244419375113779</v>
      </c>
      <c r="EJ241" s="676">
        <v>-70.253433834495837</v>
      </c>
      <c r="EK241" s="676">
        <v>-44.004622361905831</v>
      </c>
      <c r="EL241" s="676">
        <v>0</v>
      </c>
      <c r="EM241" s="676">
        <v>0</v>
      </c>
      <c r="EN241" s="676">
        <v>-684.58804789143824</v>
      </c>
      <c r="EQ241" s="5">
        <v>1059.1802959428639</v>
      </c>
      <c r="ER241" s="5">
        <v>0</v>
      </c>
      <c r="ET241" s="318">
        <v>-1011.916857352438</v>
      </c>
      <c r="EU241" s="5">
        <v>2974.8159800905669</v>
      </c>
    </row>
    <row r="242" spans="1:151" x14ac:dyDescent="0.3">
      <c r="A242" s="325">
        <v>150000947</v>
      </c>
      <c r="B242" s="41" t="s">
        <v>689</v>
      </c>
      <c r="C242" s="42" t="s">
        <v>269</v>
      </c>
      <c r="D242" s="27">
        <v>5</v>
      </c>
      <c r="E242" s="293">
        <v>3267.3</v>
      </c>
      <c r="F242" s="305">
        <v>3267.3</v>
      </c>
      <c r="G242" s="508">
        <v>0</v>
      </c>
      <c r="H242" s="677">
        <v>0</v>
      </c>
      <c r="I242" s="674">
        <v>10860.741545641886</v>
      </c>
      <c r="J242" s="40">
        <v>8959.7811864770447</v>
      </c>
      <c r="K242" s="52">
        <v>-1900.9603591648411</v>
      </c>
      <c r="L242" s="674">
        <v>2301.9855756895736</v>
      </c>
      <c r="M242" s="40">
        <v>1834.8778159168992</v>
      </c>
      <c r="N242" s="52">
        <v>-467.1077597726744</v>
      </c>
      <c r="O242" s="674">
        <v>5156.7948921458401</v>
      </c>
      <c r="P242" s="40">
        <v>5156.79</v>
      </c>
      <c r="Q242" s="52">
        <v>-4.8921458401309792E-3</v>
      </c>
      <c r="R242" s="674">
        <v>1014.48336755068</v>
      </c>
      <c r="S242" s="40">
        <v>1014.48</v>
      </c>
      <c r="T242" s="52">
        <v>-3.3675506799681898E-3</v>
      </c>
      <c r="U242" s="674">
        <v>650.02174156792057</v>
      </c>
      <c r="V242" s="40">
        <v>271.60158507004371</v>
      </c>
      <c r="W242" s="52">
        <v>-378.42015649787686</v>
      </c>
      <c r="X242" s="674">
        <v>7468.419024871373</v>
      </c>
      <c r="Y242" s="40">
        <v>5672.2104173658408</v>
      </c>
      <c r="Z242" s="52">
        <v>-1796.2086075055322</v>
      </c>
      <c r="AA242" s="674">
        <v>392.07600000000002</v>
      </c>
      <c r="AB242" s="40">
        <v>0</v>
      </c>
      <c r="AC242" s="52">
        <v>-392.07600000000002</v>
      </c>
      <c r="AD242" s="674">
        <v>14008.566498789178</v>
      </c>
      <c r="AE242" s="40">
        <v>13881.848874723961</v>
      </c>
      <c r="AF242" s="35">
        <v>-126.71762406521702</v>
      </c>
      <c r="AG242" s="77">
        <v>41853.088646256459</v>
      </c>
      <c r="AH242" s="53">
        <v>36791.589879553787</v>
      </c>
      <c r="AI242" s="52">
        <v>-5061.4987667026726</v>
      </c>
      <c r="AJ242" s="674">
        <v>0</v>
      </c>
      <c r="AK242" s="40">
        <v>0</v>
      </c>
      <c r="AL242" s="52">
        <v>0</v>
      </c>
      <c r="AM242" s="674">
        <v>0</v>
      </c>
      <c r="AN242" s="40">
        <v>0</v>
      </c>
      <c r="AO242" s="52">
        <v>0</v>
      </c>
      <c r="AP242" s="674">
        <v>4047.1514197660686</v>
      </c>
      <c r="AQ242" s="40">
        <v>3429.1690751445085</v>
      </c>
      <c r="AR242" s="52">
        <v>-617.98234462156006</v>
      </c>
      <c r="AS242" s="674">
        <v>40609.034126837192</v>
      </c>
      <c r="AT242" s="40">
        <v>2962.15</v>
      </c>
      <c r="AU242" s="54">
        <v>-37646.884126837191</v>
      </c>
      <c r="AV242" s="674">
        <v>2658.4206354573207</v>
      </c>
      <c r="AW242" s="40">
        <v>0</v>
      </c>
      <c r="AX242" s="55">
        <v>-2658.4206354573207</v>
      </c>
      <c r="AY242" s="674">
        <v>3773.6492397076036</v>
      </c>
      <c r="AZ242" s="40">
        <v>1402</v>
      </c>
      <c r="BA242" s="35">
        <v>-2371.6492397076036</v>
      </c>
      <c r="BB242" s="674">
        <v>1921.2261087352422</v>
      </c>
      <c r="BC242" s="40">
        <v>0</v>
      </c>
      <c r="BD242" s="55">
        <v>-1921.2261087352422</v>
      </c>
      <c r="BE242" s="674">
        <v>1986.3373099819282</v>
      </c>
      <c r="BF242" s="40">
        <v>0</v>
      </c>
      <c r="BG242" s="38">
        <v>-1986.3373099819282</v>
      </c>
      <c r="BH242" s="674">
        <v>1109.648866209001</v>
      </c>
      <c r="BI242" s="40">
        <v>0</v>
      </c>
      <c r="BJ242" s="55">
        <v>-1109.648866209001</v>
      </c>
      <c r="BK242" s="674">
        <v>1790.124713796379</v>
      </c>
      <c r="BL242" s="40">
        <v>248</v>
      </c>
      <c r="BM242" s="38">
        <v>-1542.124713796379</v>
      </c>
      <c r="BN242" s="674">
        <v>598.3063207579728</v>
      </c>
      <c r="BO242" s="40">
        <v>0</v>
      </c>
      <c r="BP242" s="55">
        <v>-598.3063207579728</v>
      </c>
      <c r="BQ242" s="77">
        <v>13837.713194645448</v>
      </c>
      <c r="BR242" s="40">
        <v>1650</v>
      </c>
      <c r="BS242" s="55">
        <v>-12187.713194645448</v>
      </c>
      <c r="BT242" s="674">
        <v>32963.49085441904</v>
      </c>
      <c r="BU242" s="40">
        <v>37352.159549469994</v>
      </c>
      <c r="BV242" s="52">
        <v>4388.6686950509538</v>
      </c>
      <c r="BW242" s="674">
        <v>17555.94696506696</v>
      </c>
      <c r="BX242" s="40">
        <v>16832.150145535365</v>
      </c>
      <c r="BY242" s="52">
        <v>-723.79681953159525</v>
      </c>
      <c r="BZ242" s="674">
        <v>12231.597932074597</v>
      </c>
      <c r="CA242" s="40">
        <v>8172.7295081404964</v>
      </c>
      <c r="CB242" s="52">
        <v>-4058.868423934101</v>
      </c>
      <c r="CC242" s="674">
        <v>1062.4034427942438</v>
      </c>
      <c r="CD242" s="40">
        <v>1116.6083918211089</v>
      </c>
      <c r="CE242" s="52">
        <v>54.204949026865052</v>
      </c>
      <c r="CF242" s="674">
        <v>129.84765436273128</v>
      </c>
      <c r="CG242" s="40">
        <v>0</v>
      </c>
      <c r="CH242" s="52">
        <v>-129.84765436273128</v>
      </c>
      <c r="CI242" s="674">
        <v>7960.9559991668393</v>
      </c>
      <c r="CJ242" s="40">
        <v>11965.677076545984</v>
      </c>
      <c r="CK242" s="52">
        <v>4004.7210773791448</v>
      </c>
      <c r="CL242" s="674">
        <v>0</v>
      </c>
      <c r="CM242" s="40">
        <v>0</v>
      </c>
      <c r="CN242" s="52">
        <v>0</v>
      </c>
      <c r="CO242" s="39">
        <v>7960.9559991668393</v>
      </c>
      <c r="CP242" s="40">
        <v>11965.677076545984</v>
      </c>
      <c r="CQ242" s="52">
        <v>4004.7210773791448</v>
      </c>
      <c r="CR242" s="72">
        <v>172251.23023538958</v>
      </c>
      <c r="CS242" s="5">
        <v>120272.23362621125</v>
      </c>
      <c r="CT242" s="52">
        <v>-51978.996609178328</v>
      </c>
      <c r="CU242" s="77">
        <v>206701.47628246748</v>
      </c>
      <c r="CV242" s="65">
        <v>144326.68035145348</v>
      </c>
      <c r="CW242" s="35">
        <v>-62374.795931014</v>
      </c>
      <c r="CX242" s="73">
        <v>10353.153888719558</v>
      </c>
      <c r="CY242" s="40">
        <v>72727.949819733549</v>
      </c>
      <c r="CZ242" s="52">
        <v>62374.795931013992</v>
      </c>
      <c r="DA242" s="150">
        <v>-22770.015108142099</v>
      </c>
      <c r="DB242" s="2">
        <v>1</v>
      </c>
      <c r="DC242" s="675">
        <v>48602.29</v>
      </c>
      <c r="DD242" s="675">
        <v>0</v>
      </c>
      <c r="DE242" s="675">
        <v>29584.885303002327</v>
      </c>
      <c r="DF242" s="675">
        <v>0</v>
      </c>
      <c r="DG242" s="321">
        <v>39604.780822871893</v>
      </c>
      <c r="DH242" s="40">
        <v>217038.1523106588</v>
      </c>
      <c r="DI242" s="422">
        <v>19017.404696997673</v>
      </c>
      <c r="DJ242" s="306">
        <v>5.8205260297486223</v>
      </c>
      <c r="DK242" s="306">
        <v>5.8205260297486223</v>
      </c>
      <c r="DL242" s="306">
        <v>5.2051000669991927</v>
      </c>
      <c r="DM242" s="28">
        <v>19017.404696997673</v>
      </c>
      <c r="DN242" s="28">
        <v>0</v>
      </c>
      <c r="DO242" s="423">
        <v>19017.404696997673</v>
      </c>
      <c r="DP242" s="94">
        <v>0</v>
      </c>
      <c r="DQ242" s="28">
        <v>19017.404696997673</v>
      </c>
      <c r="DR242" s="318"/>
      <c r="DT242" s="8"/>
      <c r="DU242" s="5"/>
      <c r="DX242" s="5">
        <v>65336.096785779162</v>
      </c>
      <c r="DY242" s="5">
        <v>5534.579999999999</v>
      </c>
      <c r="DZ242" s="159">
        <v>5636.9669353889885</v>
      </c>
      <c r="EB242" s="676">
        <v>-1077.0742175210507</v>
      </c>
      <c r="EC242" s="676">
        <v>176.65742271191448</v>
      </c>
      <c r="ED242" s="676">
        <v>-4054.451541263481</v>
      </c>
      <c r="EE242" s="676">
        <v>-3883.6048915068041</v>
      </c>
      <c r="EF242" s="676">
        <v>-4415.4556681036065</v>
      </c>
      <c r="EG242" s="676">
        <v>-8109.4398545429431</v>
      </c>
      <c r="EH242" s="676">
        <v>-9353.582418001226</v>
      </c>
      <c r="EI242" s="676">
        <v>-6464.0095941230193</v>
      </c>
      <c r="EJ242" s="676">
        <v>-7420.0549025401415</v>
      </c>
      <c r="EK242" s="676">
        <v>-5146.5062785576374</v>
      </c>
      <c r="EL242" s="676">
        <v>-6053.1358674871663</v>
      </c>
      <c r="EM242" s="676">
        <v>-6574.1381200788328</v>
      </c>
      <c r="EN242" s="676">
        <v>-62374.795931013992</v>
      </c>
      <c r="EQ242" s="5">
        <v>65336.096785779162</v>
      </c>
      <c r="ER242" s="5">
        <v>5534.579999999999</v>
      </c>
      <c r="ET242" s="318">
        <v>-12653.470035029661</v>
      </c>
      <c r="EU242" s="5">
        <v>37266.250857901556</v>
      </c>
    </row>
    <row r="243" spans="1:151" x14ac:dyDescent="0.3">
      <c r="A243" s="325">
        <v>150000948</v>
      </c>
      <c r="B243" s="41" t="s">
        <v>690</v>
      </c>
      <c r="C243" s="42" t="s">
        <v>384</v>
      </c>
      <c r="D243" s="27">
        <v>9</v>
      </c>
      <c r="E243" s="293">
        <v>6615</v>
      </c>
      <c r="F243" s="305">
        <v>6615</v>
      </c>
      <c r="G243" s="508">
        <v>699.7</v>
      </c>
      <c r="H243" s="677">
        <v>0</v>
      </c>
      <c r="I243" s="674">
        <v>16434.913215596644</v>
      </c>
      <c r="J243" s="40">
        <v>13876.492028224504</v>
      </c>
      <c r="K243" s="52">
        <v>-2558.4211873721397</v>
      </c>
      <c r="L243" s="674">
        <v>3451.5032584963651</v>
      </c>
      <c r="M243" s="40">
        <v>2749.5672030081278</v>
      </c>
      <c r="N243" s="52">
        <v>-701.93605548823734</v>
      </c>
      <c r="O243" s="674">
        <v>9315.7478192117906</v>
      </c>
      <c r="P243" s="40">
        <v>9315.75</v>
      </c>
      <c r="Q243" s="52">
        <v>2.1807882094435627E-3</v>
      </c>
      <c r="R243" s="674">
        <v>1904.5977074113296</v>
      </c>
      <c r="S243" s="40">
        <v>1904.6099999999994</v>
      </c>
      <c r="T243" s="52">
        <v>1.2292588669879478E-2</v>
      </c>
      <c r="U243" s="674">
        <v>796.17439249423251</v>
      </c>
      <c r="V243" s="40">
        <v>332.70313321641856</v>
      </c>
      <c r="W243" s="52">
        <v>-463.47125927781394</v>
      </c>
      <c r="X243" s="674">
        <v>11770.916201917371</v>
      </c>
      <c r="Y243" s="40">
        <v>8877.4879104365664</v>
      </c>
      <c r="Z243" s="52">
        <v>-2893.4282914808045</v>
      </c>
      <c r="AA243" s="674">
        <v>792.68399999999997</v>
      </c>
      <c r="AB243" s="40">
        <v>0</v>
      </c>
      <c r="AC243" s="52">
        <v>-792.68399999999997</v>
      </c>
      <c r="AD243" s="674">
        <v>28351.76599577559</v>
      </c>
      <c r="AE243" s="40">
        <v>28094.857479461396</v>
      </c>
      <c r="AF243" s="35">
        <v>-256.90851631419355</v>
      </c>
      <c r="AG243" s="77">
        <v>72818.302590903317</v>
      </c>
      <c r="AH243" s="53">
        <v>65151.467754347017</v>
      </c>
      <c r="AI243" s="52">
        <v>-7666.8348365562997</v>
      </c>
      <c r="AJ243" s="674">
        <v>82065.605404026122</v>
      </c>
      <c r="AK243" s="40">
        <v>80535.370118705527</v>
      </c>
      <c r="AL243" s="52">
        <v>-1530.2352853205957</v>
      </c>
      <c r="AM243" s="674">
        <v>0</v>
      </c>
      <c r="AN243" s="40">
        <v>129.91419040372483</v>
      </c>
      <c r="AO243" s="52">
        <v>129.91419040372483</v>
      </c>
      <c r="AP243" s="674">
        <v>4856.5817037192819</v>
      </c>
      <c r="AQ243" s="40">
        <v>4047.6767230707733</v>
      </c>
      <c r="AR243" s="52">
        <v>-808.90498064850863</v>
      </c>
      <c r="AS243" s="674">
        <v>90432.642849176991</v>
      </c>
      <c r="AT243" s="40">
        <v>154083.96675854054</v>
      </c>
      <c r="AU243" s="54">
        <v>63651.323909363549</v>
      </c>
      <c r="AV243" s="674">
        <v>2724.0304299540562</v>
      </c>
      <c r="AW243" s="40">
        <v>3040</v>
      </c>
      <c r="AX243" s="55">
        <v>315.96957004594378</v>
      </c>
      <c r="AY243" s="674">
        <v>3650.8413786552419</v>
      </c>
      <c r="AZ243" s="40">
        <v>27523.759999999998</v>
      </c>
      <c r="BA243" s="35">
        <v>23872.918621344757</v>
      </c>
      <c r="BB243" s="674">
        <v>2390.6614118330008</v>
      </c>
      <c r="BC243" s="40">
        <v>0</v>
      </c>
      <c r="BD243" s="55">
        <v>-2390.6614118330008</v>
      </c>
      <c r="BE243" s="674">
        <v>2806.1498843510985</v>
      </c>
      <c r="BF243" s="40">
        <v>5363.2</v>
      </c>
      <c r="BG243" s="38">
        <v>2557.0501156489013</v>
      </c>
      <c r="BH243" s="674">
        <v>1028.6845733566493</v>
      </c>
      <c r="BI243" s="40">
        <v>51</v>
      </c>
      <c r="BJ243" s="55">
        <v>-977.68457335664925</v>
      </c>
      <c r="BK243" s="674">
        <v>2786.1689824492169</v>
      </c>
      <c r="BL243" s="40">
        <v>309</v>
      </c>
      <c r="BM243" s="38">
        <v>-2477.1689824492169</v>
      </c>
      <c r="BN243" s="674">
        <v>783.32033861812329</v>
      </c>
      <c r="BO243" s="40">
        <v>5933.8</v>
      </c>
      <c r="BP243" s="55">
        <v>5150.4796613818771</v>
      </c>
      <c r="BQ243" s="77">
        <v>16169.856999217387</v>
      </c>
      <c r="BR243" s="40">
        <v>42220.76</v>
      </c>
      <c r="BS243" s="55">
        <v>26050.903000782615</v>
      </c>
      <c r="BT243" s="674">
        <v>83486.056150553079</v>
      </c>
      <c r="BU243" s="40">
        <v>72738.081430354388</v>
      </c>
      <c r="BV243" s="52">
        <v>-10747.97472019869</v>
      </c>
      <c r="BW243" s="674">
        <v>62515.066155076376</v>
      </c>
      <c r="BX243" s="40">
        <v>56340.225190364923</v>
      </c>
      <c r="BY243" s="52">
        <v>-6174.8409647114531</v>
      </c>
      <c r="BZ243" s="674">
        <v>9713.8727353382474</v>
      </c>
      <c r="CA243" s="40">
        <v>14549.022124622757</v>
      </c>
      <c r="CB243" s="52">
        <v>4835.1493892845101</v>
      </c>
      <c r="CC243" s="674">
        <v>1773.1010645864785</v>
      </c>
      <c r="CD243" s="40">
        <v>1851.7648977624453</v>
      </c>
      <c r="CE243" s="52">
        <v>78.663833175966829</v>
      </c>
      <c r="CF243" s="674">
        <v>215.33720341609106</v>
      </c>
      <c r="CG243" s="40">
        <v>0</v>
      </c>
      <c r="CH243" s="52">
        <v>-215.33720341609106</v>
      </c>
      <c r="CI243" s="674">
        <v>10528.939855006223</v>
      </c>
      <c r="CJ243" s="40">
        <v>10717.333416176449</v>
      </c>
      <c r="CK243" s="52">
        <v>188.39356117022544</v>
      </c>
      <c r="CL243" s="674">
        <v>15842.643186631049</v>
      </c>
      <c r="CM243" s="40">
        <v>15968.193865659783</v>
      </c>
      <c r="CN243" s="52">
        <v>125.55067902873452</v>
      </c>
      <c r="CO243" s="39">
        <v>26371.58304163727</v>
      </c>
      <c r="CP243" s="40">
        <v>26685.527281836232</v>
      </c>
      <c r="CQ243" s="52">
        <v>313.94424019896178</v>
      </c>
      <c r="CR243" s="72">
        <v>450418.00589765061</v>
      </c>
      <c r="CS243" s="5">
        <v>518333.77647000842</v>
      </c>
      <c r="CT243" s="52">
        <v>67915.770572357811</v>
      </c>
      <c r="CU243" s="77">
        <v>540501.60707718076</v>
      </c>
      <c r="CV243" s="65">
        <v>622000.53176401008</v>
      </c>
      <c r="CW243" s="35">
        <v>81498.924686829327</v>
      </c>
      <c r="CX243" s="73">
        <v>16355.253730768225</v>
      </c>
      <c r="CY243" s="40">
        <v>-65143.670956061025</v>
      </c>
      <c r="CZ243" s="52">
        <v>-81498.924686829254</v>
      </c>
      <c r="DA243" s="150">
        <v>30027.470699141049</v>
      </c>
      <c r="DB243" s="2">
        <v>1</v>
      </c>
      <c r="DC243" s="675">
        <v>77415.78</v>
      </c>
      <c r="DD243" s="675">
        <v>0</v>
      </c>
      <c r="DE243" s="675">
        <v>28597.9427313286</v>
      </c>
      <c r="DF243" s="675">
        <v>0</v>
      </c>
      <c r="DG243" s="321">
        <v>-51471.453987688161</v>
      </c>
      <c r="DH243" s="40">
        <v>556814.67839100631</v>
      </c>
      <c r="DI243" s="422">
        <v>48817.837268671399</v>
      </c>
      <c r="DJ243" s="306">
        <v>5.7972584118578867</v>
      </c>
      <c r="DK243" s="306">
        <v>7.5670710797245171</v>
      </c>
      <c r="DL243" s="306">
        <v>4.7391552306308311</v>
      </c>
      <c r="DM243" s="28">
        <v>48817.837268671399</v>
      </c>
      <c r="DN243" s="28">
        <v>0</v>
      </c>
      <c r="DO243" s="423">
        <v>48817.837268671399</v>
      </c>
      <c r="DP243" s="94">
        <v>0</v>
      </c>
      <c r="DQ243" s="28">
        <v>48817.837268671399</v>
      </c>
      <c r="DR243" s="318"/>
      <c r="DT243" s="8"/>
      <c r="DU243" s="5"/>
      <c r="DX243" s="5">
        <v>127922.99981807325</v>
      </c>
      <c r="DY243" s="5">
        <v>235565.67211024865</v>
      </c>
      <c r="DZ243" s="159">
        <v>11417.391652890083</v>
      </c>
      <c r="EB243" s="676">
        <v>-1543.8718201690717</v>
      </c>
      <c r="EC243" s="676">
        <v>36082.655678627911</v>
      </c>
      <c r="ED243" s="676">
        <v>24939.330130104398</v>
      </c>
      <c r="EE243" s="676">
        <v>-11321.908985786977</v>
      </c>
      <c r="EF243" s="676">
        <v>-1534.5845316143459</v>
      </c>
      <c r="EG243" s="676">
        <v>-8089.3305245533702</v>
      </c>
      <c r="EH243" s="676">
        <v>-8387.5251052496387</v>
      </c>
      <c r="EI243" s="676">
        <v>-562.19506245208322</v>
      </c>
      <c r="EJ243" s="676">
        <v>70936.332712764473</v>
      </c>
      <c r="EK243" s="676">
        <v>3279.9457121740852</v>
      </c>
      <c r="EL243" s="676">
        <v>-6679.7281462043975</v>
      </c>
      <c r="EM243" s="676">
        <v>-15620.195370811758</v>
      </c>
      <c r="EN243" s="676">
        <v>81498.92468682921</v>
      </c>
      <c r="EQ243" s="5">
        <v>127922.99981807325</v>
      </c>
      <c r="ER243" s="5">
        <v>235565.67211024865</v>
      </c>
      <c r="ET243" s="318">
        <v>1956.6991685405592</v>
      </c>
      <c r="EU243" s="5">
        <v>-43713.153156228713</v>
      </c>
    </row>
    <row r="244" spans="1:151" x14ac:dyDescent="0.3">
      <c r="A244" s="325">
        <v>150000949</v>
      </c>
      <c r="B244" s="41" t="s">
        <v>691</v>
      </c>
      <c r="C244" s="42" t="s">
        <v>385</v>
      </c>
      <c r="D244" s="27">
        <v>9</v>
      </c>
      <c r="E244" s="293">
        <v>9392.7999999999993</v>
      </c>
      <c r="F244" s="305">
        <v>9392.7999999999993</v>
      </c>
      <c r="G244" s="508">
        <v>999.75</v>
      </c>
      <c r="H244" s="677">
        <v>0</v>
      </c>
      <c r="I244" s="674">
        <v>23323.989152694132</v>
      </c>
      <c r="J244" s="40">
        <v>19706.118124648943</v>
      </c>
      <c r="K244" s="52">
        <v>-3617.8710280451887</v>
      </c>
      <c r="L244" s="674">
        <v>4812.482126982326</v>
      </c>
      <c r="M244" s="40">
        <v>3833.9430729591472</v>
      </c>
      <c r="N244" s="52">
        <v>-978.53905402317878</v>
      </c>
      <c r="O244" s="674">
        <v>13473.200558008826</v>
      </c>
      <c r="P244" s="40">
        <v>13473.180000000002</v>
      </c>
      <c r="Q244" s="52">
        <v>-2.0558008824082208E-2</v>
      </c>
      <c r="R244" s="674">
        <v>2779.9003402126696</v>
      </c>
      <c r="S244" s="40">
        <v>2779.8899999999994</v>
      </c>
      <c r="T244" s="52">
        <v>-1.0340212670143956E-2</v>
      </c>
      <c r="U244" s="674">
        <v>2640.3160799241959</v>
      </c>
      <c r="V244" s="40">
        <v>1133.3878443770579</v>
      </c>
      <c r="W244" s="52">
        <v>-1506.928235547138</v>
      </c>
      <c r="X244" s="674">
        <v>20817.256202782301</v>
      </c>
      <c r="Y244" s="40">
        <v>15805.585863895401</v>
      </c>
      <c r="Z244" s="52">
        <v>-5011.6703388868991</v>
      </c>
      <c r="AA244" s="674">
        <v>1126.8600000000001</v>
      </c>
      <c r="AB244" s="40">
        <v>0</v>
      </c>
      <c r="AC244" s="52">
        <v>-1126.8600000000001</v>
      </c>
      <c r="AD244" s="674">
        <v>40269.19310589954</v>
      </c>
      <c r="AE244" s="40">
        <v>39904.486413419269</v>
      </c>
      <c r="AF244" s="35">
        <v>-364.70669248027116</v>
      </c>
      <c r="AG244" s="77">
        <v>109243.19756650398</v>
      </c>
      <c r="AH244" s="53">
        <v>96636.591319299827</v>
      </c>
      <c r="AI244" s="52">
        <v>-12606.606247204152</v>
      </c>
      <c r="AJ244" s="674">
        <v>128029.81828150112</v>
      </c>
      <c r="AK244" s="40">
        <v>127188.95503058803</v>
      </c>
      <c r="AL244" s="52">
        <v>-840.86325091309845</v>
      </c>
      <c r="AM244" s="674">
        <v>315.2248275</v>
      </c>
      <c r="AN244" s="40">
        <v>0</v>
      </c>
      <c r="AO244" s="52">
        <v>-315.2248275</v>
      </c>
      <c r="AP244" s="674">
        <v>8049.3344904236228</v>
      </c>
      <c r="AQ244" s="40">
        <v>6493.2841952634344</v>
      </c>
      <c r="AR244" s="52">
        <v>-1556.0502951601884</v>
      </c>
      <c r="AS244" s="674">
        <v>145478.45810035634</v>
      </c>
      <c r="AT244" s="40">
        <v>55030.713529047571</v>
      </c>
      <c r="AU244" s="54">
        <v>-90447.744571308765</v>
      </c>
      <c r="AV244" s="674">
        <v>2944.7285552749304</v>
      </c>
      <c r="AW244" s="40">
        <v>2682</v>
      </c>
      <c r="AX244" s="55">
        <v>-262.72855527493039</v>
      </c>
      <c r="AY244" s="674">
        <v>3859.1570947798673</v>
      </c>
      <c r="AZ244" s="40">
        <v>16842</v>
      </c>
      <c r="BA244" s="35">
        <v>12982.842905220132</v>
      </c>
      <c r="BB244" s="674">
        <v>1952.9541943721101</v>
      </c>
      <c r="BC244" s="40">
        <v>0</v>
      </c>
      <c r="BD244" s="55">
        <v>-1952.9541943721101</v>
      </c>
      <c r="BE244" s="674">
        <v>3389.3463511788259</v>
      </c>
      <c r="BF244" s="40">
        <v>127698</v>
      </c>
      <c r="BG244" s="38">
        <v>124308.65364882117</v>
      </c>
      <c r="BH244" s="674">
        <v>2753.7298307239362</v>
      </c>
      <c r="BI244" s="40">
        <v>0</v>
      </c>
      <c r="BJ244" s="55">
        <v>-2753.7298307239362</v>
      </c>
      <c r="BK244" s="674">
        <v>3976.8806498283948</v>
      </c>
      <c r="BL244" s="40">
        <v>1067</v>
      </c>
      <c r="BM244" s="38">
        <v>-2909.8806498283948</v>
      </c>
      <c r="BN244" s="674">
        <v>871.58845089183637</v>
      </c>
      <c r="BO244" s="40">
        <v>8496.41</v>
      </c>
      <c r="BP244" s="55">
        <v>7624.8215491081637</v>
      </c>
      <c r="BQ244" s="77">
        <v>19748.3851270499</v>
      </c>
      <c r="BR244" s="40">
        <v>156785.41</v>
      </c>
      <c r="BS244" s="55">
        <v>137037.0248729501</v>
      </c>
      <c r="BT244" s="674">
        <v>111028.38079653429</v>
      </c>
      <c r="BU244" s="40">
        <v>94046.144520531583</v>
      </c>
      <c r="BV244" s="52">
        <v>-16982.236276002703</v>
      </c>
      <c r="BW244" s="674">
        <v>83760.334741169878</v>
      </c>
      <c r="BX244" s="40">
        <v>80120.353087985131</v>
      </c>
      <c r="BY244" s="52">
        <v>-3639.9816531847464</v>
      </c>
      <c r="BZ244" s="674">
        <v>11992.352751332364</v>
      </c>
      <c r="CA244" s="40">
        <v>24563.190651510704</v>
      </c>
      <c r="CB244" s="52">
        <v>12570.83790017834</v>
      </c>
      <c r="CC244" s="674">
        <v>2466.5994927722245</v>
      </c>
      <c r="CD244" s="40">
        <v>2583.4164859162197</v>
      </c>
      <c r="CE244" s="52">
        <v>116.81699314399521</v>
      </c>
      <c r="CF244" s="674">
        <v>300.41917416645515</v>
      </c>
      <c r="CG244" s="40">
        <v>0</v>
      </c>
      <c r="CH244" s="52">
        <v>-300.41917416645515</v>
      </c>
      <c r="CI244" s="674">
        <v>15917.870027054716</v>
      </c>
      <c r="CJ244" s="40">
        <v>15279.647373970887</v>
      </c>
      <c r="CK244" s="52">
        <v>-638.22265308382885</v>
      </c>
      <c r="CL244" s="674">
        <v>16955.461991946806</v>
      </c>
      <c r="CM244" s="40">
        <v>17429.892392172605</v>
      </c>
      <c r="CN244" s="52">
        <v>474.43040022579953</v>
      </c>
      <c r="CO244" s="39">
        <v>32873.332019001522</v>
      </c>
      <c r="CP244" s="40">
        <v>32709.539766143491</v>
      </c>
      <c r="CQ244" s="52">
        <v>-163.79225285803113</v>
      </c>
      <c r="CR244" s="72">
        <v>653285.83736831171</v>
      </c>
      <c r="CS244" s="5">
        <v>676157.59858628619</v>
      </c>
      <c r="CT244" s="52">
        <v>22871.761217974476</v>
      </c>
      <c r="CU244" s="77">
        <v>783943.00484197401</v>
      </c>
      <c r="CV244" s="65">
        <v>811389.11830354342</v>
      </c>
      <c r="CW244" s="35">
        <v>27446.113461569417</v>
      </c>
      <c r="CX244" s="73">
        <v>23724.047963656678</v>
      </c>
      <c r="CY244" s="40">
        <v>-3722.0654979125902</v>
      </c>
      <c r="CZ244" s="52">
        <v>-27446.113461569268</v>
      </c>
      <c r="DA244" s="150">
        <v>-50877.43340176496</v>
      </c>
      <c r="DB244" s="2">
        <v>1</v>
      </c>
      <c r="DC244" s="675">
        <v>185695.92</v>
      </c>
      <c r="DD244" s="675">
        <v>0</v>
      </c>
      <c r="DE244" s="675">
        <v>114901.34900710416</v>
      </c>
      <c r="DF244" s="675">
        <v>0</v>
      </c>
      <c r="DG244" s="321">
        <v>-78323.546863334224</v>
      </c>
      <c r="DH244" s="40">
        <v>807605.8357986277</v>
      </c>
      <c r="DI244" s="422">
        <v>70794.570992895853</v>
      </c>
      <c r="DJ244" s="306">
        <v>5.8862007677600197</v>
      </c>
      <c r="DK244" s="306">
        <v>7.7337608825549449</v>
      </c>
      <c r="DL244" s="306">
        <v>4.8979731199421837</v>
      </c>
      <c r="DM244" s="28">
        <v>70794.570992895853</v>
      </c>
      <c r="DN244" s="28">
        <v>0</v>
      </c>
      <c r="DO244" s="423">
        <v>70794.570992895853</v>
      </c>
      <c r="DP244" s="94">
        <v>0</v>
      </c>
      <c r="DQ244" s="28">
        <v>70794.570992895853</v>
      </c>
      <c r="DR244" s="318"/>
      <c r="DT244" s="8"/>
      <c r="DU244" s="5"/>
      <c r="DX244" s="5">
        <v>198272.21187288748</v>
      </c>
      <c r="DY244" s="5">
        <v>254179.34823485708</v>
      </c>
      <c r="DZ244" s="159">
        <v>17703.787187314872</v>
      </c>
      <c r="EB244" s="676">
        <v>-3863.686786184815</v>
      </c>
      <c r="EC244" s="676">
        <v>1952.0694311623665</v>
      </c>
      <c r="ED244" s="676">
        <v>408.02400358927116</v>
      </c>
      <c r="EE244" s="676">
        <v>-21018.869360690725</v>
      </c>
      <c r="EF244" s="676">
        <v>-5554.5697457692295</v>
      </c>
      <c r="EG244" s="676">
        <v>-21373.518527913911</v>
      </c>
      <c r="EH244" s="676">
        <v>-29345.005940940588</v>
      </c>
      <c r="EI244" s="676">
        <v>124693.23880292795</v>
      </c>
      <c r="EJ244" s="676">
        <v>-13067.868377960731</v>
      </c>
      <c r="EK244" s="676">
        <v>-6565.7861649326805</v>
      </c>
      <c r="EL244" s="676">
        <v>-14219.391147227623</v>
      </c>
      <c r="EM244" s="676">
        <v>15401.477275509984</v>
      </c>
      <c r="EN244" s="676">
        <v>27446.113461569264</v>
      </c>
      <c r="EQ244" s="5">
        <v>198272.21187288748</v>
      </c>
      <c r="ER244" s="5">
        <v>254179.34823485708</v>
      </c>
      <c r="ET244" s="318">
        <v>-44048.553029169845</v>
      </c>
      <c r="EU244" s="5">
        <v>-6224.9938341643865</v>
      </c>
    </row>
    <row r="245" spans="1:151" x14ac:dyDescent="0.3">
      <c r="A245" s="325">
        <v>150001044</v>
      </c>
      <c r="B245" s="41" t="s">
        <v>692</v>
      </c>
      <c r="C245" s="42" t="s">
        <v>270</v>
      </c>
      <c r="D245" s="27">
        <v>5</v>
      </c>
      <c r="E245" s="293">
        <v>3505.5</v>
      </c>
      <c r="F245" s="305">
        <v>3228.8</v>
      </c>
      <c r="G245" s="508">
        <v>0</v>
      </c>
      <c r="H245" s="677">
        <v>276.7</v>
      </c>
      <c r="I245" s="674">
        <v>11739.175010308883</v>
      </c>
      <c r="J245" s="40">
        <v>12860.965533172259</v>
      </c>
      <c r="K245" s="52">
        <v>1121.7905228633754</v>
      </c>
      <c r="L245" s="674">
        <v>2255.7469986262277</v>
      </c>
      <c r="M245" s="40">
        <v>2469.0035865096515</v>
      </c>
      <c r="N245" s="52">
        <v>213.25658788342389</v>
      </c>
      <c r="O245" s="674">
        <v>4700.6803941544904</v>
      </c>
      <c r="P245" s="40">
        <v>4700.7000000000007</v>
      </c>
      <c r="Q245" s="52">
        <v>1.9605845510341169E-2</v>
      </c>
      <c r="R245" s="674">
        <v>0</v>
      </c>
      <c r="S245" s="40">
        <v>0</v>
      </c>
      <c r="T245" s="52">
        <v>0</v>
      </c>
      <c r="U245" s="674">
        <v>0</v>
      </c>
      <c r="V245" s="40">
        <v>0</v>
      </c>
      <c r="W245" s="52">
        <v>0</v>
      </c>
      <c r="X245" s="674">
        <v>6939.5345782829327</v>
      </c>
      <c r="Y245" s="40">
        <v>5160.1830882235254</v>
      </c>
      <c r="Z245" s="52">
        <v>-1779.3514900594073</v>
      </c>
      <c r="AA245" s="674">
        <v>420.75599999999997</v>
      </c>
      <c r="AB245" s="40">
        <v>0</v>
      </c>
      <c r="AC245" s="52">
        <v>-420.75599999999997</v>
      </c>
      <c r="AD245" s="674">
        <v>15014.256758779195</v>
      </c>
      <c r="AE245" s="40">
        <v>14894.614245520761</v>
      </c>
      <c r="AF245" s="35">
        <v>-119.64251325843361</v>
      </c>
      <c r="AG245" s="77">
        <v>41070.149740151726</v>
      </c>
      <c r="AH245" s="53">
        <v>40085.466453426197</v>
      </c>
      <c r="AI245" s="52">
        <v>-984.68328672552889</v>
      </c>
      <c r="AJ245" s="674">
        <v>0</v>
      </c>
      <c r="AK245" s="40">
        <v>0</v>
      </c>
      <c r="AL245" s="52">
        <v>0</v>
      </c>
      <c r="AM245" s="674">
        <v>0</v>
      </c>
      <c r="AN245" s="40">
        <v>0</v>
      </c>
      <c r="AO245" s="52">
        <v>0</v>
      </c>
      <c r="AP245" s="674">
        <v>10792.403786042851</v>
      </c>
      <c r="AQ245" s="40">
        <v>9012.7099720658716</v>
      </c>
      <c r="AR245" s="52">
        <v>-1779.6938139769791</v>
      </c>
      <c r="AS245" s="674">
        <v>29349.225060744662</v>
      </c>
      <c r="AT245" s="40">
        <v>15317</v>
      </c>
      <c r="AU245" s="54">
        <v>-14032.225060744662</v>
      </c>
      <c r="AV245" s="674">
        <v>2575.0790211887115</v>
      </c>
      <c r="AW245" s="40">
        <v>5576</v>
      </c>
      <c r="AX245" s="55">
        <v>3000.9209788112885</v>
      </c>
      <c r="AY245" s="674">
        <v>3697.7262485138008</v>
      </c>
      <c r="AZ245" s="40">
        <v>0</v>
      </c>
      <c r="BA245" s="35">
        <v>-3697.7262485138008</v>
      </c>
      <c r="BB245" s="674">
        <v>2248.1983498496011</v>
      </c>
      <c r="BC245" s="40">
        <v>0</v>
      </c>
      <c r="BD245" s="55">
        <v>-2248.1983498496011</v>
      </c>
      <c r="BE245" s="674">
        <v>0</v>
      </c>
      <c r="BF245" s="40">
        <v>0</v>
      </c>
      <c r="BG245" s="38">
        <v>0</v>
      </c>
      <c r="BH245" s="674">
        <v>0</v>
      </c>
      <c r="BI245" s="40">
        <v>0</v>
      </c>
      <c r="BJ245" s="55">
        <v>0</v>
      </c>
      <c r="BK245" s="674">
        <v>1662.3481348941907</v>
      </c>
      <c r="BL245" s="40">
        <v>711</v>
      </c>
      <c r="BM245" s="38">
        <v>-951.34813489419071</v>
      </c>
      <c r="BN245" s="674">
        <v>105.18899999999999</v>
      </c>
      <c r="BO245" s="40">
        <v>0</v>
      </c>
      <c r="BP245" s="55">
        <v>-105.18899999999999</v>
      </c>
      <c r="BQ245" s="77">
        <v>10288.540754446305</v>
      </c>
      <c r="BR245" s="40">
        <v>6287</v>
      </c>
      <c r="BS245" s="55">
        <v>-4001.5407544463051</v>
      </c>
      <c r="BT245" s="674">
        <v>19235.964115842417</v>
      </c>
      <c r="BU245" s="40">
        <v>25347.835604661526</v>
      </c>
      <c r="BV245" s="52">
        <v>6111.8714888191098</v>
      </c>
      <c r="BW245" s="674">
        <v>13369.974862826204</v>
      </c>
      <c r="BX245" s="40">
        <v>12741.734803492162</v>
      </c>
      <c r="BY245" s="52">
        <v>-628.2400593340426</v>
      </c>
      <c r="BZ245" s="674">
        <v>9856.7442201915946</v>
      </c>
      <c r="CA245" s="40">
        <v>5555.6924561475089</v>
      </c>
      <c r="CB245" s="52">
        <v>-4301.0517640440858</v>
      </c>
      <c r="CC245" s="674">
        <v>1224.9736792668132</v>
      </c>
      <c r="CD245" s="40">
        <v>1287.4731339648042</v>
      </c>
      <c r="CE245" s="52">
        <v>62.499454697991041</v>
      </c>
      <c r="CF245" s="674">
        <v>149.7170966337743</v>
      </c>
      <c r="CG245" s="40">
        <v>0</v>
      </c>
      <c r="CH245" s="52">
        <v>-149.7170966337743</v>
      </c>
      <c r="CI245" s="674">
        <v>4233.7885462551021</v>
      </c>
      <c r="CJ245" s="40">
        <v>2707.8950830567364</v>
      </c>
      <c r="CK245" s="52">
        <v>-1525.8934631983657</v>
      </c>
      <c r="CL245" s="674">
        <v>0</v>
      </c>
      <c r="CM245" s="40">
        <v>0</v>
      </c>
      <c r="CN245" s="52">
        <v>0</v>
      </c>
      <c r="CO245" s="39">
        <v>4233.7885462551021</v>
      </c>
      <c r="CP245" s="40">
        <v>2707.8950830567364</v>
      </c>
      <c r="CQ245" s="52">
        <v>-1525.8934631983657</v>
      </c>
      <c r="CR245" s="72">
        <v>139571.48186240144</v>
      </c>
      <c r="CS245" s="5">
        <v>118342.80750681479</v>
      </c>
      <c r="CT245" s="52">
        <v>-21228.674355586656</v>
      </c>
      <c r="CU245" s="77">
        <v>167485.77823488173</v>
      </c>
      <c r="CV245" s="65">
        <v>142011.36900817775</v>
      </c>
      <c r="CW245" s="35">
        <v>-25474.409226703981</v>
      </c>
      <c r="CX245" s="73">
        <v>4400.3688536929612</v>
      </c>
      <c r="CY245" s="40">
        <v>29874.778080396922</v>
      </c>
      <c r="CZ245" s="52">
        <v>25474.40922670396</v>
      </c>
      <c r="DA245" s="150">
        <v>34091.685652436179</v>
      </c>
      <c r="DB245" s="2">
        <v>2</v>
      </c>
      <c r="DC245" s="675">
        <v>27047</v>
      </c>
      <c r="DD245" s="675">
        <v>12017.76</v>
      </c>
      <c r="DE245" s="675">
        <v>13050.778570880679</v>
      </c>
      <c r="DF245" s="675">
        <v>10947.39470645344</v>
      </c>
      <c r="DG245" s="321">
        <v>59566.094879140139</v>
      </c>
      <c r="DH245" s="40">
        <v>171873.11972171249</v>
      </c>
      <c r="DI245" s="422">
        <v>15066.586722665881</v>
      </c>
      <c r="DJ245" s="306">
        <v>4.3348059431117818</v>
      </c>
      <c r="DK245" s="306">
        <v>4.3348059431117818</v>
      </c>
      <c r="DL245" s="306">
        <v>3.8683241544870275</v>
      </c>
      <c r="DM245" s="28">
        <v>13996.221429119321</v>
      </c>
      <c r="DN245" s="28">
        <v>1070.3652935465605</v>
      </c>
      <c r="DO245" s="423">
        <v>15066.586722665881</v>
      </c>
      <c r="DP245" s="94">
        <v>0</v>
      </c>
      <c r="DQ245" s="28">
        <v>15066.586722665881</v>
      </c>
      <c r="DR245" s="318"/>
      <c r="DT245" s="8"/>
      <c r="DU245" s="5"/>
      <c r="DX245" s="5">
        <v>47565.318978229167</v>
      </c>
      <c r="DY245" s="5">
        <v>25924.799999999999</v>
      </c>
      <c r="DZ245" s="159">
        <v>4195.484701289125</v>
      </c>
      <c r="EB245" s="676">
        <v>-1838.2591958628454</v>
      </c>
      <c r="EC245" s="676">
        <v>-2373.1013913089173</v>
      </c>
      <c r="ED245" s="676">
        <v>1284.9139543379606</v>
      </c>
      <c r="EE245" s="676">
        <v>4975.9619861279771</v>
      </c>
      <c r="EF245" s="676">
        <v>-4230.7031000072548</v>
      </c>
      <c r="EG245" s="676">
        <v>-6616.4612524407294</v>
      </c>
      <c r="EH245" s="676">
        <v>-6780.3525480675735</v>
      </c>
      <c r="EI245" s="676">
        <v>9247.8195036238631</v>
      </c>
      <c r="EJ245" s="676">
        <v>-9050.1297941851844</v>
      </c>
      <c r="EK245" s="676">
        <v>-299.52315071944031</v>
      </c>
      <c r="EL245" s="676">
        <v>-3557.6664919039922</v>
      </c>
      <c r="EM245" s="676">
        <v>-6236.9077462978203</v>
      </c>
      <c r="EN245" s="676">
        <v>-25474.409226703956</v>
      </c>
      <c r="EQ245" s="5">
        <v>47565.318978229167</v>
      </c>
      <c r="ER245" s="5">
        <v>25924.799999999999</v>
      </c>
      <c r="ET245" s="318">
        <v>4714.5841408365541</v>
      </c>
      <c r="EU245" s="5">
        <v>7417.5107383035911</v>
      </c>
    </row>
    <row r="246" spans="1:151" x14ac:dyDescent="0.3">
      <c r="A246" s="325">
        <v>150001050</v>
      </c>
      <c r="B246" s="41" t="s">
        <v>693</v>
      </c>
      <c r="C246" s="42" t="s">
        <v>271</v>
      </c>
      <c r="D246" s="27">
        <v>5</v>
      </c>
      <c r="E246" s="293">
        <v>3564.3</v>
      </c>
      <c r="F246" s="305">
        <v>3564.3</v>
      </c>
      <c r="G246" s="508">
        <v>0</v>
      </c>
      <c r="H246" s="677">
        <v>0</v>
      </c>
      <c r="I246" s="674">
        <v>11815.511278017793</v>
      </c>
      <c r="J246" s="40">
        <v>12946.186838344236</v>
      </c>
      <c r="K246" s="52">
        <v>1130.6755603264428</v>
      </c>
      <c r="L246" s="674">
        <v>2035.8688870068411</v>
      </c>
      <c r="M246" s="40">
        <v>2228.3392042052801</v>
      </c>
      <c r="N246" s="52">
        <v>192.47031719843903</v>
      </c>
      <c r="O246" s="674">
        <v>4597.9534576441347</v>
      </c>
      <c r="P246" s="40">
        <v>4597.95</v>
      </c>
      <c r="Q246" s="52">
        <v>-3.4576441348690423E-3</v>
      </c>
      <c r="R246" s="674">
        <v>0</v>
      </c>
      <c r="S246" s="40">
        <v>0</v>
      </c>
      <c r="T246" s="52">
        <v>0</v>
      </c>
      <c r="U246" s="674">
        <v>0</v>
      </c>
      <c r="V246" s="40">
        <v>0</v>
      </c>
      <c r="W246" s="52">
        <v>0</v>
      </c>
      <c r="X246" s="674">
        <v>7034.6713677419348</v>
      </c>
      <c r="Y246" s="40">
        <v>5381.3714667649829</v>
      </c>
      <c r="Z246" s="52">
        <v>-1653.2999009769519</v>
      </c>
      <c r="AA246" s="674">
        <v>427.62</v>
      </c>
      <c r="AB246" s="40">
        <v>0</v>
      </c>
      <c r="AC246" s="52">
        <v>-427.62</v>
      </c>
      <c r="AD246" s="674">
        <v>15281.090811015029</v>
      </c>
      <c r="AE246" s="40">
        <v>15142.711502621547</v>
      </c>
      <c r="AF246" s="35">
        <v>-138.37930839348155</v>
      </c>
      <c r="AG246" s="77">
        <v>41192.715801425729</v>
      </c>
      <c r="AH246" s="53">
        <v>40296.559011936042</v>
      </c>
      <c r="AI246" s="52">
        <v>-896.15678948968707</v>
      </c>
      <c r="AJ246" s="674">
        <v>0</v>
      </c>
      <c r="AK246" s="40">
        <v>0</v>
      </c>
      <c r="AL246" s="52">
        <v>0</v>
      </c>
      <c r="AM246" s="674">
        <v>0</v>
      </c>
      <c r="AN246" s="40">
        <v>0</v>
      </c>
      <c r="AO246" s="52">
        <v>0</v>
      </c>
      <c r="AP246" s="674">
        <v>10792.403786042851</v>
      </c>
      <c r="AQ246" s="40">
        <v>3262.9086421395259</v>
      </c>
      <c r="AR246" s="52">
        <v>-7529.4951439033248</v>
      </c>
      <c r="AS246" s="674">
        <v>51470.012897149376</v>
      </c>
      <c r="AT246" s="40">
        <v>58768.5</v>
      </c>
      <c r="AU246" s="54">
        <v>7298.4871028506241</v>
      </c>
      <c r="AV246" s="674">
        <v>2598.3807482367702</v>
      </c>
      <c r="AW246" s="40">
        <v>3764</v>
      </c>
      <c r="AX246" s="55">
        <v>1165.6192517632298</v>
      </c>
      <c r="AY246" s="674">
        <v>3337.1088331661986</v>
      </c>
      <c r="AZ246" s="40">
        <v>1484</v>
      </c>
      <c r="BA246" s="35">
        <v>-1853.1088331661986</v>
      </c>
      <c r="BB246" s="674">
        <v>2329.1312870157403</v>
      </c>
      <c r="BC246" s="40">
        <v>0</v>
      </c>
      <c r="BD246" s="55">
        <v>-2329.1312870157403</v>
      </c>
      <c r="BE246" s="674">
        <v>0</v>
      </c>
      <c r="BF246" s="40">
        <v>0</v>
      </c>
      <c r="BG246" s="38">
        <v>0</v>
      </c>
      <c r="BH246" s="674">
        <v>0</v>
      </c>
      <c r="BI246" s="40">
        <v>0</v>
      </c>
      <c r="BJ246" s="55">
        <v>0</v>
      </c>
      <c r="BK246" s="674">
        <v>1694.8337097692968</v>
      </c>
      <c r="BL246" s="40">
        <v>2975</v>
      </c>
      <c r="BM246" s="38">
        <v>1280.1662902307032</v>
      </c>
      <c r="BN246" s="674">
        <v>106.905</v>
      </c>
      <c r="BO246" s="40">
        <v>0</v>
      </c>
      <c r="BP246" s="55">
        <v>-106.905</v>
      </c>
      <c r="BQ246" s="77">
        <v>10066.359578188007</v>
      </c>
      <c r="BR246" s="40">
        <v>8223</v>
      </c>
      <c r="BS246" s="55">
        <v>-1843.3595781880067</v>
      </c>
      <c r="BT246" s="674">
        <v>16258.378329738956</v>
      </c>
      <c r="BU246" s="40">
        <v>23766.856238389471</v>
      </c>
      <c r="BV246" s="52">
        <v>7508.477908650515</v>
      </c>
      <c r="BW246" s="674">
        <v>13683.391786154785</v>
      </c>
      <c r="BX246" s="40">
        <v>13785.268731735103</v>
      </c>
      <c r="BY246" s="52">
        <v>101.87694558031762</v>
      </c>
      <c r="BZ246" s="674">
        <v>8062.5483374181267</v>
      </c>
      <c r="CA246" s="40">
        <v>5080.3504563967108</v>
      </c>
      <c r="CB246" s="52">
        <v>-2982.1978810214159</v>
      </c>
      <c r="CC246" s="674">
        <v>1982.8010892850984</v>
      </c>
      <c r="CD246" s="40">
        <v>2083.9657011884938</v>
      </c>
      <c r="CE246" s="52">
        <v>101.16461190339533</v>
      </c>
      <c r="CF246" s="674">
        <v>242.33926598955981</v>
      </c>
      <c r="CG246" s="40">
        <v>0</v>
      </c>
      <c r="CH246" s="52">
        <v>-242.33926598955981</v>
      </c>
      <c r="CI246" s="674">
        <v>1613.8048055775751</v>
      </c>
      <c r="CJ246" s="40">
        <v>1339.1280464889255</v>
      </c>
      <c r="CK246" s="52">
        <v>-274.67675908864953</v>
      </c>
      <c r="CL246" s="674">
        <v>0</v>
      </c>
      <c r="CM246" s="40">
        <v>0</v>
      </c>
      <c r="CN246" s="52">
        <v>0</v>
      </c>
      <c r="CO246" s="39">
        <v>1613.8048055775751</v>
      </c>
      <c r="CP246" s="40">
        <v>1339.1280464889255</v>
      </c>
      <c r="CQ246" s="52">
        <v>-274.67675908864953</v>
      </c>
      <c r="CR246" s="72">
        <v>155364.75567697006</v>
      </c>
      <c r="CS246" s="5">
        <v>156606.53682827423</v>
      </c>
      <c r="CT246" s="52">
        <v>1241.781151304167</v>
      </c>
      <c r="CU246" s="77">
        <v>186437.70681236408</v>
      </c>
      <c r="CV246" s="65">
        <v>187927.84419392908</v>
      </c>
      <c r="CW246" s="35">
        <v>1490.1373815650004</v>
      </c>
      <c r="CX246" s="73">
        <v>9338.6614013461276</v>
      </c>
      <c r="CY246" s="40">
        <v>7848.5240197810836</v>
      </c>
      <c r="CZ246" s="52">
        <v>-1490.1373815650441</v>
      </c>
      <c r="DA246" s="150">
        <v>58592.819419791369</v>
      </c>
      <c r="DB246" s="2">
        <v>2</v>
      </c>
      <c r="DC246" s="675">
        <v>27867.01</v>
      </c>
      <c r="DD246" s="675">
        <v>0</v>
      </c>
      <c r="DE246" s="675">
        <v>10846.038503512711</v>
      </c>
      <c r="DF246" s="675">
        <v>0</v>
      </c>
      <c r="DG246" s="321">
        <v>57102.68203822631</v>
      </c>
      <c r="DH246" s="40">
        <v>195761.07880838079</v>
      </c>
      <c r="DI246" s="422">
        <v>17020.971496487287</v>
      </c>
      <c r="DJ246" s="306">
        <v>4.7754037248512429</v>
      </c>
      <c r="DK246" s="306">
        <v>4.7754037248512429</v>
      </c>
      <c r="DL246" s="306">
        <v>4.3313456255871632</v>
      </c>
      <c r="DM246" s="28">
        <v>17020.971496487287</v>
      </c>
      <c r="DN246" s="28">
        <v>0</v>
      </c>
      <c r="DO246" s="423">
        <v>17020.971496487287</v>
      </c>
      <c r="DP246" s="94">
        <v>0</v>
      </c>
      <c r="DQ246" s="28">
        <v>17020.971496487287</v>
      </c>
      <c r="DR246" s="318"/>
      <c r="DT246" s="8"/>
      <c r="DU246" s="5"/>
      <c r="DX246" s="5">
        <v>73843.64697040485</v>
      </c>
      <c r="DY246" s="5">
        <v>80389.8</v>
      </c>
      <c r="DZ246" s="159">
        <v>6324.916686629932</v>
      </c>
      <c r="EB246" s="676">
        <v>-3756.2285675413605</v>
      </c>
      <c r="EC246" s="676">
        <v>-4559.621679840493</v>
      </c>
      <c r="ED246" s="676">
        <v>-1923.1390986642073</v>
      </c>
      <c r="EE246" s="676">
        <v>24293.766129554242</v>
      </c>
      <c r="EF246" s="676">
        <v>-4314.8390610372826</v>
      </c>
      <c r="EG246" s="676">
        <v>-8222.5875400324512</v>
      </c>
      <c r="EH246" s="676">
        <v>5092.687933973717</v>
      </c>
      <c r="EI246" s="676">
        <v>-9085.7172076254428</v>
      </c>
      <c r="EJ246" s="676">
        <v>10473.577174711627</v>
      </c>
      <c r="EK246" s="676">
        <v>7501.8738284825486</v>
      </c>
      <c r="EL246" s="676">
        <v>-5769.95208913838</v>
      </c>
      <c r="EM246" s="676">
        <v>-8239.6824412774622</v>
      </c>
      <c r="EN246" s="676">
        <v>1490.137381565055</v>
      </c>
      <c r="EQ246" s="5">
        <v>73843.64697040485</v>
      </c>
      <c r="ER246" s="5">
        <v>80389.8</v>
      </c>
      <c r="ET246" s="318">
        <v>39361.771228138809</v>
      </c>
      <c r="EU246" s="5">
        <v>91852.910810087473</v>
      </c>
    </row>
    <row r="247" spans="1:151" x14ac:dyDescent="0.3">
      <c r="A247" s="325">
        <v>150001045</v>
      </c>
      <c r="B247" s="41" t="s">
        <v>694</v>
      </c>
      <c r="C247" s="42" t="s">
        <v>272</v>
      </c>
      <c r="D247" s="27">
        <v>5</v>
      </c>
      <c r="E247" s="293">
        <v>3571.4</v>
      </c>
      <c r="F247" s="305">
        <v>3571.4</v>
      </c>
      <c r="G247" s="508">
        <v>0</v>
      </c>
      <c r="H247" s="677">
        <v>0</v>
      </c>
      <c r="I247" s="674">
        <v>11475.174932304993</v>
      </c>
      <c r="J247" s="40">
        <v>12588.207769291497</v>
      </c>
      <c r="K247" s="52">
        <v>1113.0328369865038</v>
      </c>
      <c r="L247" s="674">
        <v>2035.8688870068411</v>
      </c>
      <c r="M247" s="40">
        <v>2228.3392042052801</v>
      </c>
      <c r="N247" s="52">
        <v>192.47031719843903</v>
      </c>
      <c r="O247" s="674">
        <v>5039.2491302937051</v>
      </c>
      <c r="P247" s="40">
        <v>5039.25</v>
      </c>
      <c r="Q247" s="52">
        <v>8.697062949067913E-4</v>
      </c>
      <c r="R247" s="674">
        <v>0</v>
      </c>
      <c r="S247" s="40">
        <v>0</v>
      </c>
      <c r="T247" s="52">
        <v>0</v>
      </c>
      <c r="U247" s="674">
        <v>0</v>
      </c>
      <c r="V247" s="40">
        <v>0</v>
      </c>
      <c r="W247" s="52">
        <v>0</v>
      </c>
      <c r="X247" s="674">
        <v>7034.6713677419348</v>
      </c>
      <c r="Y247" s="40">
        <v>5384.6593704270817</v>
      </c>
      <c r="Z247" s="52">
        <v>-1650.011997314853</v>
      </c>
      <c r="AA247" s="674">
        <v>428.58000000000004</v>
      </c>
      <c r="AB247" s="40">
        <v>0</v>
      </c>
      <c r="AC247" s="52">
        <v>-428.58000000000004</v>
      </c>
      <c r="AD247" s="674">
        <v>15312.477490541874</v>
      </c>
      <c r="AE247" s="40">
        <v>15173.88518690942</v>
      </c>
      <c r="AF247" s="35">
        <v>-138.59230363245479</v>
      </c>
      <c r="AG247" s="77">
        <v>41326.021807889352</v>
      </c>
      <c r="AH247" s="53">
        <v>40414.341530833277</v>
      </c>
      <c r="AI247" s="52">
        <v>-911.68027705607528</v>
      </c>
      <c r="AJ247" s="674">
        <v>0</v>
      </c>
      <c r="AK247" s="40">
        <v>0</v>
      </c>
      <c r="AL247" s="52">
        <v>0</v>
      </c>
      <c r="AM247" s="674">
        <v>0</v>
      </c>
      <c r="AN247" s="40">
        <v>0</v>
      </c>
      <c r="AO247" s="52">
        <v>0</v>
      </c>
      <c r="AP247" s="674">
        <v>10792.403786042851</v>
      </c>
      <c r="AQ247" s="40">
        <v>3461.0788597129877</v>
      </c>
      <c r="AR247" s="52">
        <v>-7331.324926329863</v>
      </c>
      <c r="AS247" s="674">
        <v>52378.006184767997</v>
      </c>
      <c r="AT247" s="40">
        <v>58864</v>
      </c>
      <c r="AU247" s="54">
        <v>6485.9938152320028</v>
      </c>
      <c r="AV247" s="674">
        <v>2481.040536054908</v>
      </c>
      <c r="AW247" s="40">
        <v>1904.69</v>
      </c>
      <c r="AX247" s="55">
        <v>-576.35053605490793</v>
      </c>
      <c r="AY247" s="674">
        <v>3337.1088331661986</v>
      </c>
      <c r="AZ247" s="40">
        <v>252</v>
      </c>
      <c r="BA247" s="35">
        <v>-3085.1088331661986</v>
      </c>
      <c r="BB247" s="674">
        <v>2540.2142437164707</v>
      </c>
      <c r="BC247" s="40">
        <v>0</v>
      </c>
      <c r="BD247" s="55">
        <v>-2540.2142437164707</v>
      </c>
      <c r="BE247" s="674">
        <v>0</v>
      </c>
      <c r="BF247" s="40">
        <v>0</v>
      </c>
      <c r="BG247" s="38">
        <v>0</v>
      </c>
      <c r="BH247" s="674">
        <v>0</v>
      </c>
      <c r="BI247" s="40">
        <v>0</v>
      </c>
      <c r="BJ247" s="55">
        <v>0</v>
      </c>
      <c r="BK247" s="674">
        <v>1694.8337097692968</v>
      </c>
      <c r="BL247" s="40">
        <v>2975</v>
      </c>
      <c r="BM247" s="38">
        <v>1280.1662902307032</v>
      </c>
      <c r="BN247" s="674">
        <v>107.14500000000001</v>
      </c>
      <c r="BO247" s="40">
        <v>0</v>
      </c>
      <c r="BP247" s="55">
        <v>-107.14500000000001</v>
      </c>
      <c r="BQ247" s="77">
        <v>10160.342322706874</v>
      </c>
      <c r="BR247" s="40">
        <v>5131.6900000000005</v>
      </c>
      <c r="BS247" s="55">
        <v>-5028.6523227068737</v>
      </c>
      <c r="BT247" s="674">
        <v>13240.004197838318</v>
      </c>
      <c r="BU247" s="40">
        <v>18191.272661191568</v>
      </c>
      <c r="BV247" s="52">
        <v>4951.2684633532499</v>
      </c>
      <c r="BW247" s="674">
        <v>16117.248862264103</v>
      </c>
      <c r="BX247" s="40">
        <v>14567.824679787806</v>
      </c>
      <c r="BY247" s="52">
        <v>-1549.4241824762976</v>
      </c>
      <c r="BZ247" s="674">
        <v>7749.4041669505723</v>
      </c>
      <c r="CA247" s="40">
        <v>4114.3079209865373</v>
      </c>
      <c r="CB247" s="52">
        <v>-3635.096245964035</v>
      </c>
      <c r="CC247" s="674">
        <v>2019.4836041814724</v>
      </c>
      <c r="CD247" s="40">
        <v>2122.5197968516864</v>
      </c>
      <c r="CE247" s="52">
        <v>103.03619267021395</v>
      </c>
      <c r="CF247" s="674">
        <v>246.82262732251323</v>
      </c>
      <c r="CG247" s="40">
        <v>0</v>
      </c>
      <c r="CH247" s="52">
        <v>-246.82262732251323</v>
      </c>
      <c r="CI247" s="674">
        <v>9303.0539127260181</v>
      </c>
      <c r="CJ247" s="40">
        <v>10516.319129456093</v>
      </c>
      <c r="CK247" s="52">
        <v>1213.2652167300748</v>
      </c>
      <c r="CL247" s="674">
        <v>0</v>
      </c>
      <c r="CM247" s="40">
        <v>0</v>
      </c>
      <c r="CN247" s="52">
        <v>0</v>
      </c>
      <c r="CO247" s="39">
        <v>9303.0539127260181</v>
      </c>
      <c r="CP247" s="40">
        <v>10516.319129456093</v>
      </c>
      <c r="CQ247" s="52">
        <v>1213.2652167300748</v>
      </c>
      <c r="CR247" s="72">
        <v>163332.79147269009</v>
      </c>
      <c r="CS247" s="5">
        <v>157383.35457881994</v>
      </c>
      <c r="CT247" s="52">
        <v>-5949.4368938701518</v>
      </c>
      <c r="CU247" s="77">
        <v>195999.34976722809</v>
      </c>
      <c r="CV247" s="65">
        <v>188860.02549458391</v>
      </c>
      <c r="CW247" s="35">
        <v>-7139.3242726441822</v>
      </c>
      <c r="CX247" s="73">
        <v>8295.0343115834148</v>
      </c>
      <c r="CY247" s="40">
        <v>15434.358584227581</v>
      </c>
      <c r="CZ247" s="52">
        <v>7139.3242726441658</v>
      </c>
      <c r="DA247" s="150">
        <v>-12400.252475782192</v>
      </c>
      <c r="DB247" s="2">
        <v>2</v>
      </c>
      <c r="DC247" s="675">
        <v>32383</v>
      </c>
      <c r="DD247" s="675">
        <v>0</v>
      </c>
      <c r="DE247" s="675">
        <v>14783.722564605047</v>
      </c>
      <c r="DF247" s="675">
        <v>0</v>
      </c>
      <c r="DG247" s="321">
        <v>-5260.9282031380444</v>
      </c>
      <c r="DH247" s="40">
        <v>204277.90517741774</v>
      </c>
      <c r="DI247" s="422">
        <v>17599.277435394953</v>
      </c>
      <c r="DJ247" s="306">
        <v>4.9278371046074234</v>
      </c>
      <c r="DK247" s="306">
        <v>4.9278371046074234</v>
      </c>
      <c r="DL247" s="306">
        <v>4.4113507681397683</v>
      </c>
      <c r="DM247" s="28">
        <v>17599.277435394953</v>
      </c>
      <c r="DN247" s="28">
        <v>0</v>
      </c>
      <c r="DO247" s="423">
        <v>17599.277435394953</v>
      </c>
      <c r="DP247" s="94">
        <v>0</v>
      </c>
      <c r="DQ247" s="28">
        <v>17599.277435394953</v>
      </c>
      <c r="DR247" s="318"/>
      <c r="DT247" s="8"/>
      <c r="DU247" s="5"/>
      <c r="DX247" s="5">
        <v>75046.01820896985</v>
      </c>
      <c r="DY247" s="5">
        <v>76794.827999999994</v>
      </c>
      <c r="DZ247" s="159">
        <v>6426.3281135617226</v>
      </c>
      <c r="EB247" s="676">
        <v>-4540.2633701345767</v>
      </c>
      <c r="EC247" s="676">
        <v>-4645.3554237115386</v>
      </c>
      <c r="ED247" s="676">
        <v>-5054.8471867877488</v>
      </c>
      <c r="EE247" s="676">
        <v>-7356.0739707034736</v>
      </c>
      <c r="EF247" s="676">
        <v>-7842.5711867410064</v>
      </c>
      <c r="EG247" s="676">
        <v>-7756.6298334446674</v>
      </c>
      <c r="EH247" s="676">
        <v>-7604.462844704738</v>
      </c>
      <c r="EI247" s="676">
        <v>-3260.1602811626344</v>
      </c>
      <c r="EJ247" s="676">
        <v>-10429.846553891242</v>
      </c>
      <c r="EK247" s="676">
        <v>63008.413846239666</v>
      </c>
      <c r="EL247" s="676">
        <v>-5128.3028169684603</v>
      </c>
      <c r="EM247" s="676">
        <v>-6529.2246506337287</v>
      </c>
      <c r="EN247" s="676">
        <v>-7139.3242726441476</v>
      </c>
      <c r="EQ247" s="5">
        <v>75046.01820896985</v>
      </c>
      <c r="ER247" s="5">
        <v>76794.827999999994</v>
      </c>
      <c r="ET247" s="318">
        <v>-1888.1139625202632</v>
      </c>
      <c r="EU247" s="5">
        <v>38434.185759382199</v>
      </c>
    </row>
    <row r="248" spans="1:151" x14ac:dyDescent="0.3">
      <c r="A248" s="325">
        <v>150001046</v>
      </c>
      <c r="B248" s="41" t="s">
        <v>695</v>
      </c>
      <c r="C248" s="42" t="s">
        <v>273</v>
      </c>
      <c r="D248" s="27">
        <v>5</v>
      </c>
      <c r="E248" s="293">
        <v>2681.5</v>
      </c>
      <c r="F248" s="305">
        <v>2470.9</v>
      </c>
      <c r="G248" s="508">
        <v>0</v>
      </c>
      <c r="H248" s="677">
        <v>210.6</v>
      </c>
      <c r="I248" s="674">
        <v>8351.0902157786222</v>
      </c>
      <c r="J248" s="40">
        <v>9177.5217922576303</v>
      </c>
      <c r="K248" s="52">
        <v>826.43157647900807</v>
      </c>
      <c r="L248" s="674">
        <v>1774.695193444468</v>
      </c>
      <c r="M248" s="40">
        <v>1942.4719049370588</v>
      </c>
      <c r="N248" s="52">
        <v>167.77671149259072</v>
      </c>
      <c r="O248" s="674">
        <v>3330.2798306635859</v>
      </c>
      <c r="P248" s="40">
        <v>3330.2700000000004</v>
      </c>
      <c r="Q248" s="52">
        <v>-9.830663585489674E-3</v>
      </c>
      <c r="R248" s="674">
        <v>0</v>
      </c>
      <c r="S248" s="40">
        <v>0</v>
      </c>
      <c r="T248" s="52">
        <v>0</v>
      </c>
      <c r="U248" s="674">
        <v>0</v>
      </c>
      <c r="V248" s="40">
        <v>0</v>
      </c>
      <c r="W248" s="52">
        <v>0</v>
      </c>
      <c r="X248" s="674">
        <v>5237.9603408235889</v>
      </c>
      <c r="Y248" s="40">
        <v>3997.1182909605072</v>
      </c>
      <c r="Z248" s="52">
        <v>-1240.8420498630817</v>
      </c>
      <c r="AA248" s="674">
        <v>317.05200000000002</v>
      </c>
      <c r="AB248" s="40">
        <v>0</v>
      </c>
      <c r="AC248" s="52">
        <v>-317.05200000000002</v>
      </c>
      <c r="AD248" s="674">
        <v>11444.153738712419</v>
      </c>
      <c r="AE248" s="40">
        <v>11393.81141322391</v>
      </c>
      <c r="AF248" s="35">
        <v>-50.342325488509232</v>
      </c>
      <c r="AG248" s="77">
        <v>30455.231319422684</v>
      </c>
      <c r="AH248" s="53">
        <v>29841.193401379107</v>
      </c>
      <c r="AI248" s="52">
        <v>-614.03791804357752</v>
      </c>
      <c r="AJ248" s="674">
        <v>0</v>
      </c>
      <c r="AK248" s="40">
        <v>0</v>
      </c>
      <c r="AL248" s="52">
        <v>0</v>
      </c>
      <c r="AM248" s="674">
        <v>0</v>
      </c>
      <c r="AN248" s="40">
        <v>0</v>
      </c>
      <c r="AO248" s="52">
        <v>0</v>
      </c>
      <c r="AP248" s="674">
        <v>7824.4927448810649</v>
      </c>
      <c r="AQ248" s="40">
        <v>9953.9746930145011</v>
      </c>
      <c r="AR248" s="52">
        <v>2129.4819481334362</v>
      </c>
      <c r="AS248" s="674">
        <v>26206.610886436451</v>
      </c>
      <c r="AT248" s="40">
        <v>70868</v>
      </c>
      <c r="AU248" s="54">
        <v>44661.389113563549</v>
      </c>
      <c r="AV248" s="674">
        <v>1820.1789515882674</v>
      </c>
      <c r="AW248" s="40">
        <v>51</v>
      </c>
      <c r="AX248" s="55">
        <v>-1769.1789515882674</v>
      </c>
      <c r="AY248" s="674">
        <v>2909.333639430869</v>
      </c>
      <c r="AZ248" s="40">
        <v>0</v>
      </c>
      <c r="BA248" s="35">
        <v>-2909.333639430869</v>
      </c>
      <c r="BB248" s="674">
        <v>1580.4616454822312</v>
      </c>
      <c r="BC248" s="40">
        <v>263</v>
      </c>
      <c r="BD248" s="55">
        <v>-1317.4616454822312</v>
      </c>
      <c r="BE248" s="674">
        <v>0</v>
      </c>
      <c r="BF248" s="40">
        <v>0</v>
      </c>
      <c r="BG248" s="38">
        <v>0</v>
      </c>
      <c r="BH248" s="674">
        <v>0</v>
      </c>
      <c r="BI248" s="40">
        <v>0</v>
      </c>
      <c r="BJ248" s="55">
        <v>0</v>
      </c>
      <c r="BK248" s="674">
        <v>1219.2143147705169</v>
      </c>
      <c r="BL248" s="40">
        <v>711</v>
      </c>
      <c r="BM248" s="38">
        <v>-508.21431477051692</v>
      </c>
      <c r="BN248" s="674">
        <v>79.263000000000005</v>
      </c>
      <c r="BO248" s="40">
        <v>0</v>
      </c>
      <c r="BP248" s="55">
        <v>-79.263000000000005</v>
      </c>
      <c r="BQ248" s="77">
        <v>7608.4515512718854</v>
      </c>
      <c r="BR248" s="40">
        <v>1025</v>
      </c>
      <c r="BS248" s="55">
        <v>-6583.4515512718854</v>
      </c>
      <c r="BT248" s="674">
        <v>18000.733343868367</v>
      </c>
      <c r="BU248" s="40">
        <v>20711.092485146419</v>
      </c>
      <c r="BV248" s="52">
        <v>2710.3591412780515</v>
      </c>
      <c r="BW248" s="674">
        <v>10104.660070199372</v>
      </c>
      <c r="BX248" s="40">
        <v>9621.3690618924356</v>
      </c>
      <c r="BY248" s="52">
        <v>-483.29100830693642</v>
      </c>
      <c r="BZ248" s="674">
        <v>8445.6120953393838</v>
      </c>
      <c r="CA248" s="40">
        <v>5195.7384871849081</v>
      </c>
      <c r="CB248" s="52">
        <v>-3249.8736081544757</v>
      </c>
      <c r="CC248" s="674">
        <v>655.5610048526346</v>
      </c>
      <c r="CD248" s="40">
        <v>689.00842173842409</v>
      </c>
      <c r="CE248" s="52">
        <v>33.447416885789494</v>
      </c>
      <c r="CF248" s="674">
        <v>80.123101397249016</v>
      </c>
      <c r="CG248" s="40">
        <v>0</v>
      </c>
      <c r="CH248" s="52">
        <v>-80.123101397249016</v>
      </c>
      <c r="CI248" s="674">
        <v>4705.7129779037832</v>
      </c>
      <c r="CJ248" s="40">
        <v>3634.6018299868038</v>
      </c>
      <c r="CK248" s="52">
        <v>-1071.1111479169795</v>
      </c>
      <c r="CL248" s="674">
        <v>0</v>
      </c>
      <c r="CM248" s="40">
        <v>0</v>
      </c>
      <c r="CN248" s="52">
        <v>0</v>
      </c>
      <c r="CO248" s="39">
        <v>4705.7129779037832</v>
      </c>
      <c r="CP248" s="40">
        <v>3634.6018299868038</v>
      </c>
      <c r="CQ248" s="52">
        <v>-1071.1111479169795</v>
      </c>
      <c r="CR248" s="72">
        <v>114087.18909557286</v>
      </c>
      <c r="CS248" s="5">
        <v>151539.97838034263</v>
      </c>
      <c r="CT248" s="52">
        <v>37452.789284769766</v>
      </c>
      <c r="CU248" s="77">
        <v>136904.62691468743</v>
      </c>
      <c r="CV248" s="65">
        <v>181847.97405641116</v>
      </c>
      <c r="CW248" s="35">
        <v>44943.347141723731</v>
      </c>
      <c r="CX248" s="73">
        <v>3585.464377862766</v>
      </c>
      <c r="CY248" s="40">
        <v>-41357.882763860878</v>
      </c>
      <c r="CZ248" s="52">
        <v>-44943.347141723643</v>
      </c>
      <c r="DA248" s="150">
        <v>43343.301752452229</v>
      </c>
      <c r="DB248" s="2">
        <v>2</v>
      </c>
      <c r="DC248" s="675">
        <v>33907.46</v>
      </c>
      <c r="DD248" s="675">
        <v>8019.82</v>
      </c>
      <c r="DE248" s="675">
        <v>22430.38062886761</v>
      </c>
      <c r="DF248" s="675">
        <v>7138.6722649030989</v>
      </c>
      <c r="DG248" s="321">
        <v>-1600.0453892714249</v>
      </c>
      <c r="DH248" s="40">
        <v>140479.58447366106</v>
      </c>
      <c r="DI248" s="422">
        <v>12358.227106229289</v>
      </c>
      <c r="DJ248" s="306">
        <v>4.6448983654265206</v>
      </c>
      <c r="DK248" s="306">
        <v>4.6448983654265206</v>
      </c>
      <c r="DL248" s="306">
        <v>4.1839873461391299</v>
      </c>
      <c r="DM248" s="28">
        <v>11477.079371132389</v>
      </c>
      <c r="DN248" s="28">
        <v>881.14773509690076</v>
      </c>
      <c r="DO248" s="423">
        <v>12358.227106229289</v>
      </c>
      <c r="DP248" s="94">
        <v>0</v>
      </c>
      <c r="DQ248" s="28">
        <v>12358.227106229289</v>
      </c>
      <c r="DR248" s="318"/>
      <c r="DT248" s="8"/>
      <c r="DU248" s="5"/>
      <c r="DX248" s="5">
        <v>40578.074925250003</v>
      </c>
      <c r="DY248" s="5">
        <v>86271.599999999991</v>
      </c>
      <c r="DZ248" s="159">
        <v>3671.8352848044306</v>
      </c>
      <c r="EB248" s="676">
        <v>2640.1360897143604</v>
      </c>
      <c r="EC248" s="676">
        <v>-1447.1632557103621</v>
      </c>
      <c r="ED248" s="676">
        <v>-2311.9171448678399</v>
      </c>
      <c r="EE248" s="676">
        <v>-5246.9410849151291</v>
      </c>
      <c r="EF248" s="676">
        <v>-1287.1349431853105</v>
      </c>
      <c r="EG248" s="676">
        <v>-5571.1889807380321</v>
      </c>
      <c r="EH248" s="676">
        <v>-5484.2044697811443</v>
      </c>
      <c r="EI248" s="676">
        <v>-5116.3425937267457</v>
      </c>
      <c r="EJ248" s="676">
        <v>-7503.4742675113639</v>
      </c>
      <c r="EK248" s="676">
        <v>80363.756843174517</v>
      </c>
      <c r="EL248" s="676">
        <v>864.93525060492357</v>
      </c>
      <c r="EM248" s="676">
        <v>-4957.1143013342198</v>
      </c>
      <c r="EN248" s="676">
        <v>44943.347141723651</v>
      </c>
      <c r="EQ248" s="5">
        <v>40578.074925250003</v>
      </c>
      <c r="ER248" s="5">
        <v>86271.599999999991</v>
      </c>
      <c r="ET248" s="318">
        <v>11392.012677294291</v>
      </c>
      <c r="EU248" s="5">
        <v>5405.9419334342911</v>
      </c>
    </row>
    <row r="249" spans="1:151" x14ac:dyDescent="0.3">
      <c r="A249" s="325">
        <v>150001040</v>
      </c>
      <c r="B249" s="41" t="s">
        <v>696</v>
      </c>
      <c r="C249" s="42" t="s">
        <v>217</v>
      </c>
      <c r="D249" s="27">
        <v>4</v>
      </c>
      <c r="E249" s="293">
        <v>2483.1999999999998</v>
      </c>
      <c r="F249" s="305">
        <v>2013</v>
      </c>
      <c r="G249" s="508">
        <v>0</v>
      </c>
      <c r="H249" s="677">
        <v>470.2</v>
      </c>
      <c r="I249" s="674">
        <v>8567.8750583703459</v>
      </c>
      <c r="J249" s="40">
        <v>9312.0814246637146</v>
      </c>
      <c r="K249" s="52">
        <v>744.20636629336877</v>
      </c>
      <c r="L249" s="674">
        <v>2239.4984806462876</v>
      </c>
      <c r="M249" s="40">
        <v>2451.2199777533251</v>
      </c>
      <c r="N249" s="52">
        <v>211.72149710703752</v>
      </c>
      <c r="O249" s="674">
        <v>3241.829992155584</v>
      </c>
      <c r="P249" s="40">
        <v>3241.8299999999995</v>
      </c>
      <c r="Q249" s="52">
        <v>7.8444154496537521E-6</v>
      </c>
      <c r="R249" s="674">
        <v>0</v>
      </c>
      <c r="S249" s="40">
        <v>0</v>
      </c>
      <c r="T249" s="52">
        <v>0</v>
      </c>
      <c r="U249" s="674">
        <v>0</v>
      </c>
      <c r="V249" s="40">
        <v>0</v>
      </c>
      <c r="W249" s="52">
        <v>0</v>
      </c>
      <c r="X249" s="674">
        <v>8499.4380802211726</v>
      </c>
      <c r="Y249" s="40">
        <v>6362.7655635541742</v>
      </c>
      <c r="Z249" s="52">
        <v>-2136.6725166669985</v>
      </c>
      <c r="AA249" s="674">
        <v>288.7704</v>
      </c>
      <c r="AB249" s="40">
        <v>0</v>
      </c>
      <c r="AC249" s="52">
        <v>-288.7704</v>
      </c>
      <c r="AD249" s="674">
        <v>10540.283912386907</v>
      </c>
      <c r="AE249" s="40">
        <v>10549.562284718373</v>
      </c>
      <c r="AF249" s="35">
        <v>9.2783723314660165</v>
      </c>
      <c r="AG249" s="77">
        <v>33377.695923780295</v>
      </c>
      <c r="AH249" s="53">
        <v>31917.45925068959</v>
      </c>
      <c r="AI249" s="52">
        <v>-1460.2366730907052</v>
      </c>
      <c r="AJ249" s="674">
        <v>0</v>
      </c>
      <c r="AK249" s="40">
        <v>0</v>
      </c>
      <c r="AL249" s="52">
        <v>0</v>
      </c>
      <c r="AM249" s="674">
        <v>0</v>
      </c>
      <c r="AN249" s="40">
        <v>0</v>
      </c>
      <c r="AO249" s="52">
        <v>0</v>
      </c>
      <c r="AP249" s="674">
        <v>4451.8665617426759</v>
      </c>
      <c r="AQ249" s="40">
        <v>3400.1985240131198</v>
      </c>
      <c r="AR249" s="52">
        <v>-1051.6680377295561</v>
      </c>
      <c r="AS249" s="674">
        <v>35161.84723323505</v>
      </c>
      <c r="AT249" s="40">
        <v>7385</v>
      </c>
      <c r="AU249" s="54">
        <v>-27776.84723323505</v>
      </c>
      <c r="AV249" s="674">
        <v>2165.6113584053728</v>
      </c>
      <c r="AW249" s="40">
        <v>4572</v>
      </c>
      <c r="AX249" s="55">
        <v>2406.3886415946272</v>
      </c>
      <c r="AY249" s="674">
        <v>3671.2596315823639</v>
      </c>
      <c r="AZ249" s="40">
        <v>0</v>
      </c>
      <c r="BA249" s="35">
        <v>-3671.2596315823639</v>
      </c>
      <c r="BB249" s="674">
        <v>1299.5022114241665</v>
      </c>
      <c r="BC249" s="40">
        <v>1331</v>
      </c>
      <c r="BD249" s="55">
        <v>31.497788575833511</v>
      </c>
      <c r="BE249" s="674">
        <v>0</v>
      </c>
      <c r="BF249" s="40">
        <v>0</v>
      </c>
      <c r="BG249" s="38">
        <v>0</v>
      </c>
      <c r="BH249" s="674">
        <v>0</v>
      </c>
      <c r="BI249" s="40">
        <v>0</v>
      </c>
      <c r="BJ249" s="55">
        <v>0</v>
      </c>
      <c r="BK249" s="674">
        <v>2212.4630940947395</v>
      </c>
      <c r="BL249" s="40">
        <v>0</v>
      </c>
      <c r="BM249" s="38">
        <v>-2212.4630940947395</v>
      </c>
      <c r="BN249" s="674">
        <v>72.192599999999999</v>
      </c>
      <c r="BO249" s="40">
        <v>0</v>
      </c>
      <c r="BP249" s="55">
        <v>-72.192599999999999</v>
      </c>
      <c r="BQ249" s="77">
        <v>9421.0288955066426</v>
      </c>
      <c r="BR249" s="40">
        <v>5903</v>
      </c>
      <c r="BS249" s="55">
        <v>-3518.0288955066426</v>
      </c>
      <c r="BT249" s="674">
        <v>14308.864306694355</v>
      </c>
      <c r="BU249" s="40">
        <v>16031.228004439794</v>
      </c>
      <c r="BV249" s="52">
        <v>1722.3636977454389</v>
      </c>
      <c r="BW249" s="674">
        <v>15226.014848051029</v>
      </c>
      <c r="BX249" s="40">
        <v>12505.856130900078</v>
      </c>
      <c r="BY249" s="52">
        <v>-2720.1587171509509</v>
      </c>
      <c r="BZ249" s="674">
        <v>4887.4249526102794</v>
      </c>
      <c r="CA249" s="40">
        <v>2169.6761621750898</v>
      </c>
      <c r="CB249" s="52">
        <v>-2717.7487904351897</v>
      </c>
      <c r="CC249" s="674">
        <v>817.63102521298038</v>
      </c>
      <c r="CD249" s="40">
        <v>859.3474262139855</v>
      </c>
      <c r="CE249" s="52">
        <v>41.716401001005124</v>
      </c>
      <c r="CF249" s="674">
        <v>99.931406922842754</v>
      </c>
      <c r="CG249" s="40">
        <v>0</v>
      </c>
      <c r="CH249" s="52">
        <v>-99.931406922842754</v>
      </c>
      <c r="CI249" s="674">
        <v>4859.8566901379972</v>
      </c>
      <c r="CJ249" s="40">
        <v>4041.2675243515419</v>
      </c>
      <c r="CK249" s="52">
        <v>-818.5891657864554</v>
      </c>
      <c r="CL249" s="674">
        <v>0</v>
      </c>
      <c r="CM249" s="40">
        <v>0</v>
      </c>
      <c r="CN249" s="52">
        <v>0</v>
      </c>
      <c r="CO249" s="39">
        <v>4859.8566901379972</v>
      </c>
      <c r="CP249" s="40">
        <v>4041.2675243515419</v>
      </c>
      <c r="CQ249" s="52">
        <v>-818.5891657864554</v>
      </c>
      <c r="CR249" s="72">
        <v>122612.16184389414</v>
      </c>
      <c r="CS249" s="5">
        <v>84213.033022783187</v>
      </c>
      <c r="CT249" s="52">
        <v>-38399.12882111095</v>
      </c>
      <c r="CU249" s="77">
        <v>147134.59421267296</v>
      </c>
      <c r="CV249" s="65">
        <v>101055.63962733983</v>
      </c>
      <c r="CW249" s="35">
        <v>-46078.954585333136</v>
      </c>
      <c r="CX249" s="73">
        <v>2679.3033290991693</v>
      </c>
      <c r="CY249" s="40">
        <v>48758.257914432303</v>
      </c>
      <c r="CZ249" s="52">
        <v>46078.954585333136</v>
      </c>
      <c r="DA249" s="150">
        <v>67624.449338877632</v>
      </c>
      <c r="DB249" s="2">
        <v>2</v>
      </c>
      <c r="DC249" s="675">
        <v>13729.03</v>
      </c>
      <c r="DD249" s="675">
        <v>1086.27</v>
      </c>
      <c r="DE249" s="675">
        <v>2741.2175155763671</v>
      </c>
      <c r="DF249" s="675">
        <v>-1083.3953718141993</v>
      </c>
      <c r="DG249" s="321">
        <v>113703.40392421077</v>
      </c>
      <c r="DH249" s="40">
        <v>149802.6258331982</v>
      </c>
      <c r="DI249" s="422">
        <v>13157.477856237831</v>
      </c>
      <c r="DJ249" s="306">
        <v>5.4584264701558043</v>
      </c>
      <c r="DK249" s="306">
        <v>5.4584264701558043</v>
      </c>
      <c r="DL249" s="306">
        <v>4.6143457503492114</v>
      </c>
      <c r="DM249" s="28">
        <v>10987.812484423634</v>
      </c>
      <c r="DN249" s="28">
        <v>2169.6653718141993</v>
      </c>
      <c r="DO249" s="423">
        <v>13157.477856237832</v>
      </c>
      <c r="DP249" s="94">
        <v>0</v>
      </c>
      <c r="DQ249" s="28">
        <v>13157.477856237832</v>
      </c>
      <c r="DR249" s="318"/>
      <c r="DT249" s="8"/>
      <c r="DU249" s="5"/>
      <c r="DX249" s="5">
        <v>53499.451354490033</v>
      </c>
      <c r="DY249" s="5">
        <v>15945.599999999999</v>
      </c>
      <c r="DZ249" s="159">
        <v>4873.2308222133252</v>
      </c>
      <c r="EB249" s="676">
        <v>-1968.961237649155</v>
      </c>
      <c r="EC249" s="676">
        <v>-2073.9969986481001</v>
      </c>
      <c r="ED249" s="676">
        <v>-3128.0413965478865</v>
      </c>
      <c r="EE249" s="676">
        <v>2904.3177926042645</v>
      </c>
      <c r="EF249" s="676">
        <v>-3772.1219152025624</v>
      </c>
      <c r="EG249" s="676">
        <v>-7749.3657990121301</v>
      </c>
      <c r="EH249" s="676">
        <v>-5357.022666231027</v>
      </c>
      <c r="EI249" s="676">
        <v>-5803.1902406002646</v>
      </c>
      <c r="EJ249" s="676">
        <v>-6623.1300182157793</v>
      </c>
      <c r="EK249" s="676">
        <v>-5531.1139458603056</v>
      </c>
      <c r="EL249" s="676">
        <v>557.99774928348234</v>
      </c>
      <c r="EM249" s="676">
        <v>-7534.3259092536691</v>
      </c>
      <c r="EN249" s="676">
        <v>-46078.954585333136</v>
      </c>
      <c r="EQ249" s="5">
        <v>53499.451354490033</v>
      </c>
      <c r="ER249" s="5">
        <v>15945.599999999999</v>
      </c>
      <c r="ET249" s="318">
        <v>40769.550216587384</v>
      </c>
      <c r="EU249" s="5">
        <v>62873.853707623348</v>
      </c>
    </row>
    <row r="250" spans="1:151" x14ac:dyDescent="0.3">
      <c r="A250" s="325">
        <v>150001047</v>
      </c>
      <c r="B250" s="41" t="s">
        <v>697</v>
      </c>
      <c r="C250" s="42" t="s">
        <v>180</v>
      </c>
      <c r="D250" s="27">
        <v>2</v>
      </c>
      <c r="E250" s="293">
        <v>762.81000000000006</v>
      </c>
      <c r="F250" s="305">
        <v>635.11</v>
      </c>
      <c r="G250" s="508">
        <v>0</v>
      </c>
      <c r="H250" s="677">
        <v>127.7</v>
      </c>
      <c r="I250" s="674">
        <v>2365.8302546479358</v>
      </c>
      <c r="J250" s="40">
        <v>2564.0232174039243</v>
      </c>
      <c r="K250" s="52">
        <v>198.19296275598845</v>
      </c>
      <c r="L250" s="674">
        <v>417.35151023937448</v>
      </c>
      <c r="M250" s="40">
        <v>456.80797509116525</v>
      </c>
      <c r="N250" s="52">
        <v>39.45646485179077</v>
      </c>
      <c r="O250" s="674">
        <v>1075.4744980364303</v>
      </c>
      <c r="P250" s="40">
        <v>1075.5000000000002</v>
      </c>
      <c r="Q250" s="52">
        <v>2.5501963569922736E-2</v>
      </c>
      <c r="R250" s="674">
        <v>0</v>
      </c>
      <c r="S250" s="40">
        <v>0</v>
      </c>
      <c r="T250" s="52">
        <v>0</v>
      </c>
      <c r="U250" s="674">
        <v>0</v>
      </c>
      <c r="V250" s="40">
        <v>0</v>
      </c>
      <c r="W250" s="52">
        <v>0</v>
      </c>
      <c r="X250" s="674">
        <v>1105.8289571676664</v>
      </c>
      <c r="Y250" s="40">
        <v>965.29683263961829</v>
      </c>
      <c r="Z250" s="52">
        <v>-140.53212452804814</v>
      </c>
      <c r="AA250" s="674">
        <v>91.537200000000013</v>
      </c>
      <c r="AB250" s="40">
        <v>0</v>
      </c>
      <c r="AC250" s="52">
        <v>-91.537200000000013</v>
      </c>
      <c r="AD250" s="674">
        <v>3262.9296088789706</v>
      </c>
      <c r="AE250" s="40">
        <v>3240.9675083794518</v>
      </c>
      <c r="AF250" s="35">
        <v>-21.962100499518783</v>
      </c>
      <c r="AG250" s="77">
        <v>8318.952028970376</v>
      </c>
      <c r="AH250" s="53">
        <v>8302.5955335141589</v>
      </c>
      <c r="AI250" s="52">
        <v>-16.35649545621709</v>
      </c>
      <c r="AJ250" s="674">
        <v>0</v>
      </c>
      <c r="AK250" s="40">
        <v>0</v>
      </c>
      <c r="AL250" s="52">
        <v>0</v>
      </c>
      <c r="AM250" s="674">
        <v>0</v>
      </c>
      <c r="AN250" s="40">
        <v>0</v>
      </c>
      <c r="AO250" s="52">
        <v>0</v>
      </c>
      <c r="AP250" s="674">
        <v>44.968349108511859</v>
      </c>
      <c r="AQ250" s="40">
        <v>37.791115529383532</v>
      </c>
      <c r="AR250" s="52">
        <v>-7.1772335791283268</v>
      </c>
      <c r="AS250" s="674">
        <v>8208.992258298229</v>
      </c>
      <c r="AT250" s="40">
        <v>130</v>
      </c>
      <c r="AU250" s="54">
        <v>-8078.992258298229</v>
      </c>
      <c r="AV250" s="674">
        <v>656.80637502419052</v>
      </c>
      <c r="AW250" s="40">
        <v>232</v>
      </c>
      <c r="AX250" s="55">
        <v>-424.80637502419052</v>
      </c>
      <c r="AY250" s="674">
        <v>684.00698545225862</v>
      </c>
      <c r="AZ250" s="40">
        <v>0</v>
      </c>
      <c r="BA250" s="35">
        <v>-684.00698545225862</v>
      </c>
      <c r="BB250" s="674">
        <v>448.59492205638071</v>
      </c>
      <c r="BC250" s="40">
        <v>0</v>
      </c>
      <c r="BD250" s="55">
        <v>-448.59492205638071</v>
      </c>
      <c r="BE250" s="674">
        <v>0</v>
      </c>
      <c r="BF250" s="40">
        <v>0</v>
      </c>
      <c r="BG250" s="38">
        <v>0</v>
      </c>
      <c r="BH250" s="674">
        <v>0</v>
      </c>
      <c r="BI250" s="40">
        <v>0</v>
      </c>
      <c r="BJ250" s="55">
        <v>0</v>
      </c>
      <c r="BK250" s="674">
        <v>111.06676157962718</v>
      </c>
      <c r="BL250" s="40">
        <v>0</v>
      </c>
      <c r="BM250" s="38">
        <v>-111.06676157962718</v>
      </c>
      <c r="BN250" s="674">
        <v>22.884300000000003</v>
      </c>
      <c r="BO250" s="40">
        <v>0</v>
      </c>
      <c r="BP250" s="55">
        <v>-22.884300000000003</v>
      </c>
      <c r="BQ250" s="77">
        <v>1923.3593441124569</v>
      </c>
      <c r="BR250" s="40">
        <v>232</v>
      </c>
      <c r="BS250" s="55">
        <v>-1691.3593441124569</v>
      </c>
      <c r="BT250" s="674">
        <v>3889.5710071256258</v>
      </c>
      <c r="BU250" s="40">
        <v>4239.9670468693803</v>
      </c>
      <c r="BV250" s="52">
        <v>350.3960397437545</v>
      </c>
      <c r="BW250" s="674">
        <v>1470.1640125775129</v>
      </c>
      <c r="BX250" s="40">
        <v>550.90522822994421</v>
      </c>
      <c r="BY250" s="52">
        <v>-919.25878434756874</v>
      </c>
      <c r="BZ250" s="674">
        <v>1738.7139875445914</v>
      </c>
      <c r="CA250" s="40">
        <v>772.35165128091069</v>
      </c>
      <c r="CB250" s="52">
        <v>-966.36233626368073</v>
      </c>
      <c r="CC250" s="674">
        <v>0</v>
      </c>
      <c r="CD250" s="40">
        <v>0</v>
      </c>
      <c r="CE250" s="52">
        <v>0</v>
      </c>
      <c r="CF250" s="674">
        <v>0</v>
      </c>
      <c r="CG250" s="40">
        <v>0</v>
      </c>
      <c r="CH250" s="52">
        <v>0</v>
      </c>
      <c r="CI250" s="674">
        <v>6081.9765316168659</v>
      </c>
      <c r="CJ250" s="40">
        <v>4028.3778228245392</v>
      </c>
      <c r="CK250" s="52">
        <v>-2053.5987087923268</v>
      </c>
      <c r="CL250" s="674">
        <v>0</v>
      </c>
      <c r="CM250" s="40">
        <v>0</v>
      </c>
      <c r="CN250" s="52">
        <v>0</v>
      </c>
      <c r="CO250" s="39">
        <v>6081.9765316168659</v>
      </c>
      <c r="CP250" s="40">
        <v>4028.3778228245392</v>
      </c>
      <c r="CQ250" s="52">
        <v>-2053.5987087923268</v>
      </c>
      <c r="CR250" s="72">
        <v>31676.697519354169</v>
      </c>
      <c r="CS250" s="5">
        <v>18293.988398248315</v>
      </c>
      <c r="CT250" s="52">
        <v>-13382.709121105854</v>
      </c>
      <c r="CU250" s="77">
        <v>38012.037023224999</v>
      </c>
      <c r="CV250" s="65">
        <v>21952.786077897978</v>
      </c>
      <c r="CW250" s="35">
        <v>-16059.250945327021</v>
      </c>
      <c r="CX250" s="73">
        <v>692.52950019617424</v>
      </c>
      <c r="CY250" s="40">
        <v>16751.7804455232</v>
      </c>
      <c r="CZ250" s="52">
        <v>16059.250945327025</v>
      </c>
      <c r="DA250" s="150">
        <v>10940.592099295071</v>
      </c>
      <c r="DB250" s="2">
        <v>2</v>
      </c>
      <c r="DC250" s="675">
        <v>12162.12</v>
      </c>
      <c r="DD250" s="675">
        <v>1008.03</v>
      </c>
      <c r="DE250" s="675">
        <v>9329.2468642753447</v>
      </c>
      <c r="DF250" s="675">
        <v>442.61516273564825</v>
      </c>
      <c r="DG250" s="321">
        <v>26999.843044622099</v>
      </c>
      <c r="DH250" s="40">
        <v>38701.65136705328</v>
      </c>
      <c r="DI250" s="422">
        <v>3398.2879729890087</v>
      </c>
      <c r="DJ250" s="306">
        <v>4.4604448610865148</v>
      </c>
      <c r="DK250" s="306">
        <v>4.4604448610865148</v>
      </c>
      <c r="DL250" s="306">
        <v>4.4276807929863091</v>
      </c>
      <c r="DM250" s="28">
        <v>2832.8731357246565</v>
      </c>
      <c r="DN250" s="28">
        <v>565.41483726435172</v>
      </c>
      <c r="DO250" s="423">
        <v>3398.2879729890083</v>
      </c>
      <c r="DP250" s="94">
        <v>0</v>
      </c>
      <c r="DQ250" s="28">
        <v>3398.2879729890083</v>
      </c>
      <c r="DR250" s="318"/>
      <c r="DT250" s="8"/>
      <c r="DU250" s="5"/>
      <c r="DX250" s="5">
        <v>12158.821922892823</v>
      </c>
      <c r="DY250" s="5">
        <v>434.4</v>
      </c>
      <c r="DZ250" s="159">
        <v>1150.2233227211532</v>
      </c>
      <c r="EB250" s="676">
        <v>-412.00523887718828</v>
      </c>
      <c r="EC250" s="676">
        <v>-849.06322283506142</v>
      </c>
      <c r="ED250" s="676">
        <v>-1184.3594977211912</v>
      </c>
      <c r="EE250" s="676">
        <v>-2638.2380749130248</v>
      </c>
      <c r="EF250" s="676">
        <v>-942.66478531564553</v>
      </c>
      <c r="EG250" s="676">
        <v>-1663.5892926700428</v>
      </c>
      <c r="EH250" s="676">
        <v>-1697.4641800187476</v>
      </c>
      <c r="EI250" s="676">
        <v>-1765.3025482542766</v>
      </c>
      <c r="EJ250" s="676">
        <v>-1654.2838973214314</v>
      </c>
      <c r="EK250" s="676">
        <v>-2950.2064943172177</v>
      </c>
      <c r="EL250" s="676">
        <v>-1285.5440317244847</v>
      </c>
      <c r="EM250" s="676">
        <v>983.47031864128485</v>
      </c>
      <c r="EN250" s="676">
        <v>-16059.250945327029</v>
      </c>
      <c r="EQ250" s="5">
        <v>12158.821922892823</v>
      </c>
      <c r="ER250" s="5">
        <v>434.4</v>
      </c>
      <c r="ET250" s="318">
        <v>3436.5426919915753</v>
      </c>
      <c r="EU250" s="5">
        <v>-7127.6996473694799</v>
      </c>
    </row>
    <row r="251" spans="1:151" x14ac:dyDescent="0.3">
      <c r="A251" s="325">
        <v>150001048</v>
      </c>
      <c r="B251" s="41" t="s">
        <v>698</v>
      </c>
      <c r="C251" s="42" t="s">
        <v>126</v>
      </c>
      <c r="D251" s="27">
        <v>1</v>
      </c>
      <c r="E251" s="293">
        <v>63</v>
      </c>
      <c r="F251" s="305">
        <v>63</v>
      </c>
      <c r="G251" s="508">
        <v>0</v>
      </c>
      <c r="H251" s="677">
        <v>0</v>
      </c>
      <c r="I251" s="674">
        <v>0</v>
      </c>
      <c r="J251" s="40">
        <v>0</v>
      </c>
      <c r="K251" s="52">
        <v>0</v>
      </c>
      <c r="L251" s="674">
        <v>0</v>
      </c>
      <c r="M251" s="40">
        <v>0</v>
      </c>
      <c r="N251" s="52">
        <v>0</v>
      </c>
      <c r="O251" s="674">
        <v>0</v>
      </c>
      <c r="P251" s="40">
        <v>0</v>
      </c>
      <c r="Q251" s="52">
        <v>0</v>
      </c>
      <c r="R251" s="674">
        <v>0</v>
      </c>
      <c r="S251" s="40">
        <v>0</v>
      </c>
      <c r="T251" s="52">
        <v>0</v>
      </c>
      <c r="U251" s="674">
        <v>0</v>
      </c>
      <c r="V251" s="40">
        <v>0</v>
      </c>
      <c r="W251" s="52">
        <v>0</v>
      </c>
      <c r="X251" s="674">
        <v>0</v>
      </c>
      <c r="Y251" s="40">
        <v>0</v>
      </c>
      <c r="Z251" s="52">
        <v>0</v>
      </c>
      <c r="AA251" s="674">
        <v>7.5600000000000005</v>
      </c>
      <c r="AB251" s="40">
        <v>0</v>
      </c>
      <c r="AC251" s="52">
        <v>-7.5600000000000005</v>
      </c>
      <c r="AD251" s="674">
        <v>56.739832522663903</v>
      </c>
      <c r="AE251" s="40">
        <v>267.66947605289056</v>
      </c>
      <c r="AF251" s="35">
        <v>210.92964353022666</v>
      </c>
      <c r="AG251" s="77">
        <v>64.299832522663905</v>
      </c>
      <c r="AH251" s="53">
        <v>267.66947605289056</v>
      </c>
      <c r="AI251" s="52">
        <v>203.36964353022665</v>
      </c>
      <c r="AJ251" s="674">
        <v>0</v>
      </c>
      <c r="AK251" s="40">
        <v>0</v>
      </c>
      <c r="AL251" s="52">
        <v>0</v>
      </c>
      <c r="AM251" s="674">
        <v>0</v>
      </c>
      <c r="AN251" s="40">
        <v>0</v>
      </c>
      <c r="AO251" s="52">
        <v>0</v>
      </c>
      <c r="AP251" s="674">
        <v>269.81009465107115</v>
      </c>
      <c r="AQ251" s="40">
        <v>224.38224961495439</v>
      </c>
      <c r="AR251" s="52">
        <v>-45.427845036116764</v>
      </c>
      <c r="AS251" s="674">
        <v>995.69509449470706</v>
      </c>
      <c r="AT251" s="40">
        <v>0</v>
      </c>
      <c r="AU251" s="54">
        <v>-995.69509449470706</v>
      </c>
      <c r="AV251" s="674">
        <v>0</v>
      </c>
      <c r="AW251" s="40">
        <v>0</v>
      </c>
      <c r="AX251" s="55">
        <v>0</v>
      </c>
      <c r="AY251" s="674">
        <v>0</v>
      </c>
      <c r="AZ251" s="40">
        <v>0</v>
      </c>
      <c r="BA251" s="35">
        <v>0</v>
      </c>
      <c r="BB251" s="674">
        <v>0</v>
      </c>
      <c r="BC251" s="40">
        <v>0</v>
      </c>
      <c r="BD251" s="55">
        <v>0</v>
      </c>
      <c r="BE251" s="674">
        <v>0</v>
      </c>
      <c r="BF251" s="40">
        <v>0</v>
      </c>
      <c r="BG251" s="38">
        <v>0</v>
      </c>
      <c r="BH251" s="674">
        <v>0</v>
      </c>
      <c r="BI251" s="40">
        <v>0</v>
      </c>
      <c r="BJ251" s="55">
        <v>0</v>
      </c>
      <c r="BK251" s="674">
        <v>0</v>
      </c>
      <c r="BL251" s="40">
        <v>0</v>
      </c>
      <c r="BM251" s="38">
        <v>0</v>
      </c>
      <c r="BN251" s="674">
        <v>1.8900000000000001</v>
      </c>
      <c r="BO251" s="40">
        <v>0</v>
      </c>
      <c r="BP251" s="55">
        <v>-1.8900000000000001</v>
      </c>
      <c r="BQ251" s="77">
        <v>1.8900000000000001</v>
      </c>
      <c r="BR251" s="40">
        <v>0</v>
      </c>
      <c r="BS251" s="55">
        <v>-1.8900000000000001</v>
      </c>
      <c r="BT251" s="674">
        <v>0</v>
      </c>
      <c r="BU251" s="40">
        <v>0</v>
      </c>
      <c r="BV251" s="52">
        <v>0</v>
      </c>
      <c r="BW251" s="674">
        <v>0</v>
      </c>
      <c r="BX251" s="40">
        <v>1.4330408218121442</v>
      </c>
      <c r="BY251" s="52">
        <v>1.4330408218121442</v>
      </c>
      <c r="BZ251" s="674">
        <v>0</v>
      </c>
      <c r="CA251" s="40">
        <v>0</v>
      </c>
      <c r="CB251" s="52">
        <v>0</v>
      </c>
      <c r="CC251" s="674">
        <v>0</v>
      </c>
      <c r="CD251" s="40">
        <v>0</v>
      </c>
      <c r="CE251" s="52">
        <v>0</v>
      </c>
      <c r="CF251" s="674">
        <v>0</v>
      </c>
      <c r="CG251" s="40">
        <v>0</v>
      </c>
      <c r="CH251" s="52">
        <v>0</v>
      </c>
      <c r="CI251" s="674">
        <v>0</v>
      </c>
      <c r="CJ251" s="40">
        <v>0</v>
      </c>
      <c r="CK251" s="52">
        <v>0</v>
      </c>
      <c r="CL251" s="674">
        <v>0</v>
      </c>
      <c r="CM251" s="40">
        <v>0</v>
      </c>
      <c r="CN251" s="52">
        <v>0</v>
      </c>
      <c r="CO251" s="39">
        <v>0</v>
      </c>
      <c r="CP251" s="40">
        <v>0</v>
      </c>
      <c r="CQ251" s="52">
        <v>0</v>
      </c>
      <c r="CR251" s="72">
        <v>1331.6950216684422</v>
      </c>
      <c r="CS251" s="5">
        <v>493.48476648965709</v>
      </c>
      <c r="CT251" s="52">
        <v>-838.21025517878513</v>
      </c>
      <c r="CU251" s="77">
        <v>1598.0340260021305</v>
      </c>
      <c r="CV251" s="65">
        <v>592.18171978758846</v>
      </c>
      <c r="CW251" s="35">
        <v>-1005.8523062145421</v>
      </c>
      <c r="CX251" s="73">
        <v>16.333992913128412</v>
      </c>
      <c r="CY251" s="40">
        <v>1022.1862991276708</v>
      </c>
      <c r="CZ251" s="52">
        <v>1005.8523062145424</v>
      </c>
      <c r="DA251" s="150">
        <v>-2901.5646149832055</v>
      </c>
      <c r="DB251" s="2">
        <v>2</v>
      </c>
      <c r="DC251" s="675">
        <v>198.17</v>
      </c>
      <c r="DD251" s="675">
        <v>0</v>
      </c>
      <c r="DE251" s="675">
        <v>56.610507227452132</v>
      </c>
      <c r="DF251" s="675">
        <v>0</v>
      </c>
      <c r="DG251" s="321">
        <v>-1895.7123087686632</v>
      </c>
      <c r="DH251" s="40">
        <v>1614.2458359371258</v>
      </c>
      <c r="DI251" s="422">
        <v>141.55949277254786</v>
      </c>
      <c r="DJ251" s="306">
        <v>2.2469760757547279</v>
      </c>
      <c r="DK251" s="306">
        <v>2.2469760757547279</v>
      </c>
      <c r="DL251" s="306">
        <v>2.2469760757547279</v>
      </c>
      <c r="DM251" s="28">
        <v>141.55949277254786</v>
      </c>
      <c r="DN251" s="28">
        <v>0</v>
      </c>
      <c r="DO251" s="423">
        <v>141.55949277254786</v>
      </c>
      <c r="DP251" s="94">
        <v>0</v>
      </c>
      <c r="DQ251" s="28">
        <v>141.55949277254786</v>
      </c>
      <c r="DR251" s="318"/>
      <c r="DT251" s="8"/>
      <c r="DU251" s="5"/>
      <c r="DX251" s="5">
        <v>1197.1021133936483</v>
      </c>
      <c r="DY251" s="5">
        <v>0</v>
      </c>
      <c r="DZ251" s="159">
        <v>113.14896348573836</v>
      </c>
      <c r="EB251" s="676">
        <v>66.904620054571708</v>
      </c>
      <c r="EC251" s="676">
        <v>-74.121150086426695</v>
      </c>
      <c r="ED251" s="676">
        <v>-72.98043657631716</v>
      </c>
      <c r="EE251" s="676">
        <v>-122.61194617913472</v>
      </c>
      <c r="EF251" s="676">
        <v>-119.34343754965454</v>
      </c>
      <c r="EG251" s="676">
        <v>-120.61086300702463</v>
      </c>
      <c r="EH251" s="676">
        <v>13.2194466658311</v>
      </c>
      <c r="EI251" s="676">
        <v>-110.23277107991063</v>
      </c>
      <c r="EJ251" s="676">
        <v>-120.36959850217458</v>
      </c>
      <c r="EK251" s="676">
        <v>-108.10100045413182</v>
      </c>
      <c r="EL251" s="676">
        <v>-116.24885021353519</v>
      </c>
      <c r="EM251" s="676">
        <v>-121.3563192866352</v>
      </c>
      <c r="EN251" s="676">
        <v>-1005.8523062145424</v>
      </c>
      <c r="EQ251" s="5">
        <v>1197.1021133936483</v>
      </c>
      <c r="ER251" s="5">
        <v>0</v>
      </c>
      <c r="ET251" s="318">
        <v>-692.89858937697659</v>
      </c>
      <c r="EU251" s="5">
        <v>-275.81371939168662</v>
      </c>
    </row>
    <row r="252" spans="1:151" x14ac:dyDescent="0.3">
      <c r="A252" s="325">
        <v>150001049</v>
      </c>
      <c r="B252" s="41" t="s">
        <v>699</v>
      </c>
      <c r="C252" s="42" t="s">
        <v>181</v>
      </c>
      <c r="D252" s="27">
        <v>2</v>
      </c>
      <c r="E252" s="293">
        <v>253.7</v>
      </c>
      <c r="F252" s="305">
        <v>253.7</v>
      </c>
      <c r="G252" s="508">
        <v>0</v>
      </c>
      <c r="H252" s="677">
        <v>0</v>
      </c>
      <c r="I252" s="674">
        <v>807.2647090878429</v>
      </c>
      <c r="J252" s="40">
        <v>895.78841251759275</v>
      </c>
      <c r="K252" s="52">
        <v>88.523703429749844</v>
      </c>
      <c r="L252" s="674">
        <v>228.32110296404329</v>
      </c>
      <c r="M252" s="40">
        <v>249.9086120825861</v>
      </c>
      <c r="N252" s="52">
        <v>21.587509118542812</v>
      </c>
      <c r="O252" s="674">
        <v>0</v>
      </c>
      <c r="P252" s="40">
        <v>0</v>
      </c>
      <c r="Q252" s="52">
        <v>0</v>
      </c>
      <c r="R252" s="674">
        <v>0</v>
      </c>
      <c r="S252" s="40">
        <v>0</v>
      </c>
      <c r="T252" s="52">
        <v>0</v>
      </c>
      <c r="U252" s="674">
        <v>0</v>
      </c>
      <c r="V252" s="40">
        <v>0</v>
      </c>
      <c r="W252" s="52">
        <v>0</v>
      </c>
      <c r="X252" s="674">
        <v>411.59959976573396</v>
      </c>
      <c r="Y252" s="40">
        <v>457.87314578777773</v>
      </c>
      <c r="Z252" s="52">
        <v>46.273546022043774</v>
      </c>
      <c r="AA252" s="674">
        <v>30.443999999999999</v>
      </c>
      <c r="AB252" s="40">
        <v>0</v>
      </c>
      <c r="AC252" s="52">
        <v>-30.443999999999999</v>
      </c>
      <c r="AD252" s="674">
        <v>1057.2932137001301</v>
      </c>
      <c r="AE252" s="40">
        <v>1077.9007313431482</v>
      </c>
      <c r="AF252" s="35">
        <v>20.607517643018127</v>
      </c>
      <c r="AG252" s="77">
        <v>2534.92262551775</v>
      </c>
      <c r="AH252" s="53">
        <v>2681.4709017311047</v>
      </c>
      <c r="AI252" s="52">
        <v>146.54827621335471</v>
      </c>
      <c r="AJ252" s="674">
        <v>0</v>
      </c>
      <c r="AK252" s="40">
        <v>0</v>
      </c>
      <c r="AL252" s="52">
        <v>0</v>
      </c>
      <c r="AM252" s="674">
        <v>0</v>
      </c>
      <c r="AN252" s="40">
        <v>0</v>
      </c>
      <c r="AO252" s="52">
        <v>0</v>
      </c>
      <c r="AP252" s="674">
        <v>359.74679286809487</v>
      </c>
      <c r="AQ252" s="40">
        <v>299.17633281993915</v>
      </c>
      <c r="AR252" s="52">
        <v>-60.570460048155724</v>
      </c>
      <c r="AS252" s="674">
        <v>3317.5451386623049</v>
      </c>
      <c r="AT252" s="40">
        <v>7606.3099999999995</v>
      </c>
      <c r="AU252" s="54">
        <v>4288.764861337695</v>
      </c>
      <c r="AV252" s="674">
        <v>348.82237955402297</v>
      </c>
      <c r="AW252" s="40">
        <v>813</v>
      </c>
      <c r="AX252" s="55">
        <v>464.17762044597703</v>
      </c>
      <c r="AY252" s="674">
        <v>374.10835499581498</v>
      </c>
      <c r="AZ252" s="40">
        <v>0</v>
      </c>
      <c r="BA252" s="35">
        <v>-374.10835499581498</v>
      </c>
      <c r="BB252" s="674">
        <v>0</v>
      </c>
      <c r="BC252" s="40">
        <v>0</v>
      </c>
      <c r="BD252" s="55">
        <v>0</v>
      </c>
      <c r="BE252" s="674">
        <v>0</v>
      </c>
      <c r="BF252" s="40">
        <v>0</v>
      </c>
      <c r="BG252" s="38">
        <v>0</v>
      </c>
      <c r="BH252" s="674">
        <v>0</v>
      </c>
      <c r="BI252" s="40">
        <v>0</v>
      </c>
      <c r="BJ252" s="55">
        <v>0</v>
      </c>
      <c r="BK252" s="674">
        <v>54.940106716964408</v>
      </c>
      <c r="BL252" s="40">
        <v>727</v>
      </c>
      <c r="BM252" s="38">
        <v>672.05989328303554</v>
      </c>
      <c r="BN252" s="674">
        <v>7.6109999999999998</v>
      </c>
      <c r="BO252" s="40">
        <v>0</v>
      </c>
      <c r="BP252" s="55">
        <v>-7.6109999999999998</v>
      </c>
      <c r="BQ252" s="77">
        <v>785.48184126680246</v>
      </c>
      <c r="BR252" s="40">
        <v>1540</v>
      </c>
      <c r="BS252" s="55">
        <v>754.51815873319754</v>
      </c>
      <c r="BT252" s="674">
        <v>2254.4079285946395</v>
      </c>
      <c r="BU252" s="40">
        <v>3200.9753032458661</v>
      </c>
      <c r="BV252" s="52">
        <v>946.5673746512266</v>
      </c>
      <c r="BW252" s="674">
        <v>1976.594189315445</v>
      </c>
      <c r="BX252" s="40">
        <v>2030.2353426322406</v>
      </c>
      <c r="BY252" s="52">
        <v>53.64115331679568</v>
      </c>
      <c r="BZ252" s="674">
        <v>1403.3878053751848</v>
      </c>
      <c r="CA252" s="40">
        <v>1014.5824923509289</v>
      </c>
      <c r="CB252" s="52">
        <v>-388.80531302425595</v>
      </c>
      <c r="CC252" s="674">
        <v>0</v>
      </c>
      <c r="CD252" s="40">
        <v>0</v>
      </c>
      <c r="CE252" s="52">
        <v>0</v>
      </c>
      <c r="CF252" s="674">
        <v>0</v>
      </c>
      <c r="CG252" s="40">
        <v>0</v>
      </c>
      <c r="CH252" s="52">
        <v>0</v>
      </c>
      <c r="CI252" s="674">
        <v>1019.7723452078581</v>
      </c>
      <c r="CJ252" s="40">
        <v>839.5416945412378</v>
      </c>
      <c r="CK252" s="52">
        <v>-180.23065066662025</v>
      </c>
      <c r="CL252" s="674">
        <v>0</v>
      </c>
      <c r="CM252" s="40">
        <v>0</v>
      </c>
      <c r="CN252" s="52">
        <v>0</v>
      </c>
      <c r="CO252" s="39">
        <v>1019.7723452078581</v>
      </c>
      <c r="CP252" s="40">
        <v>839.5416945412378</v>
      </c>
      <c r="CQ252" s="52">
        <v>-180.23065066662025</v>
      </c>
      <c r="CR252" s="72">
        <v>13651.858666808079</v>
      </c>
      <c r="CS252" s="5">
        <v>19212.292067321316</v>
      </c>
      <c r="CT252" s="52">
        <v>5560.4334005132368</v>
      </c>
      <c r="CU252" s="77">
        <v>16382.230400169694</v>
      </c>
      <c r="CV252" s="65">
        <v>23054.750480785577</v>
      </c>
      <c r="CW252" s="35">
        <v>6672.5200806158828</v>
      </c>
      <c r="CX252" s="73">
        <v>166.8162975744855</v>
      </c>
      <c r="CY252" s="40">
        <v>-6505.7037830414029</v>
      </c>
      <c r="CZ252" s="52">
        <v>-6672.5200806158882</v>
      </c>
      <c r="DA252" s="150">
        <v>11854.421974460907</v>
      </c>
      <c r="DB252" s="2">
        <v>2</v>
      </c>
      <c r="DC252" s="675">
        <v>2542.63</v>
      </c>
      <c r="DD252" s="675">
        <v>0</v>
      </c>
      <c r="DE252" s="675">
        <v>1090.0424693676255</v>
      </c>
      <c r="DF252" s="675">
        <v>0</v>
      </c>
      <c r="DG252" s="321">
        <v>5181.9018938450199</v>
      </c>
      <c r="DH252" s="40">
        <v>16547.798863724216</v>
      </c>
      <c r="DI252" s="422">
        <v>1452.5875306323749</v>
      </c>
      <c r="DJ252" s="306">
        <v>5.7256110785667111</v>
      </c>
      <c r="DK252" s="306">
        <v>5.7256110785667111</v>
      </c>
      <c r="DL252" s="306">
        <v>4.859066662679175</v>
      </c>
      <c r="DM252" s="28">
        <v>1452.5875306323746</v>
      </c>
      <c r="DN252" s="28">
        <v>0</v>
      </c>
      <c r="DO252" s="423">
        <v>1452.5875306323746</v>
      </c>
      <c r="DP252" s="94">
        <v>0</v>
      </c>
      <c r="DQ252" s="28">
        <v>1452.5875306323746</v>
      </c>
      <c r="DR252" s="318"/>
      <c r="DT252" s="8"/>
      <c r="DU252" s="5"/>
      <c r="DX252" s="5">
        <v>4923.6323759149282</v>
      </c>
      <c r="DY252" s="5">
        <v>10975.571999999998</v>
      </c>
      <c r="DZ252" s="159">
        <v>421.82543561039563</v>
      </c>
      <c r="EB252" s="676">
        <v>-41.269785621697793</v>
      </c>
      <c r="EC252" s="676">
        <v>-297.71918097955938</v>
      </c>
      <c r="ED252" s="676">
        <v>-354.08946445269464</v>
      </c>
      <c r="EE252" s="676">
        <v>-958.08399338473714</v>
      </c>
      <c r="EF252" s="676">
        <v>17.236211424749399</v>
      </c>
      <c r="EG252" s="676">
        <v>8363.4781847607228</v>
      </c>
      <c r="EH252" s="676">
        <v>-378.38684047828997</v>
      </c>
      <c r="EI252" s="676">
        <v>-477.66877764829803</v>
      </c>
      <c r="EJ252" s="676">
        <v>487.50785624734522</v>
      </c>
      <c r="EK252" s="676">
        <v>889.83252607452937</v>
      </c>
      <c r="EL252" s="676">
        <v>-83.153196721089444</v>
      </c>
      <c r="EM252" s="676">
        <v>-495.16345860509352</v>
      </c>
      <c r="EN252" s="676">
        <v>6672.5200806158882</v>
      </c>
      <c r="EQ252" s="5">
        <v>4923.6323759149282</v>
      </c>
      <c r="ER252" s="5">
        <v>10975.571999999998</v>
      </c>
      <c r="ET252" s="318">
        <v>5184.3728397101495</v>
      </c>
      <c r="EU252" s="5">
        <v>-2548.4709458651287</v>
      </c>
    </row>
    <row r="253" spans="1:151" x14ac:dyDescent="0.3">
      <c r="A253" s="325">
        <v>150001041</v>
      </c>
      <c r="B253" s="41" t="s">
        <v>700</v>
      </c>
      <c r="C253" s="42" t="s">
        <v>197</v>
      </c>
      <c r="D253" s="27">
        <v>3</v>
      </c>
      <c r="E253" s="293">
        <v>601.4</v>
      </c>
      <c r="F253" s="305">
        <v>601.4</v>
      </c>
      <c r="G253" s="508">
        <v>0</v>
      </c>
      <c r="H253" s="677">
        <v>0</v>
      </c>
      <c r="I253" s="674">
        <v>2368.8872003851711</v>
      </c>
      <c r="J253" s="40">
        <v>2564.2211121254563</v>
      </c>
      <c r="K253" s="52">
        <v>195.3339117402852</v>
      </c>
      <c r="L253" s="674">
        <v>362.6695742234462</v>
      </c>
      <c r="M253" s="40">
        <v>396.95526064219268</v>
      </c>
      <c r="N253" s="52">
        <v>34.285686418746479</v>
      </c>
      <c r="O253" s="674">
        <v>853.9853600924198</v>
      </c>
      <c r="P253" s="40">
        <v>853.97999999999979</v>
      </c>
      <c r="Q253" s="52">
        <v>-5.3600924200054578E-3</v>
      </c>
      <c r="R253" s="674">
        <v>0</v>
      </c>
      <c r="S253" s="40">
        <v>0</v>
      </c>
      <c r="T253" s="52">
        <v>0</v>
      </c>
      <c r="U253" s="674">
        <v>0</v>
      </c>
      <c r="V253" s="40">
        <v>0</v>
      </c>
      <c r="W253" s="52">
        <v>0</v>
      </c>
      <c r="X253" s="674">
        <v>1188.3828111684977</v>
      </c>
      <c r="Y253" s="40">
        <v>861.96725568013653</v>
      </c>
      <c r="Z253" s="52">
        <v>-326.41555548836118</v>
      </c>
      <c r="AA253" s="674">
        <v>72.168000000000006</v>
      </c>
      <c r="AB253" s="40">
        <v>0</v>
      </c>
      <c r="AC253" s="52">
        <v>-72.168000000000006</v>
      </c>
      <c r="AD253" s="674">
        <v>2578.4825465949925</v>
      </c>
      <c r="AE253" s="40">
        <v>2555.1813158445771</v>
      </c>
      <c r="AF253" s="35">
        <v>-23.301230750415471</v>
      </c>
      <c r="AG253" s="77">
        <v>7424.5754924645271</v>
      </c>
      <c r="AH253" s="53">
        <v>7232.3049442923621</v>
      </c>
      <c r="AI253" s="52">
        <v>-192.27054817216504</v>
      </c>
      <c r="AJ253" s="674">
        <v>0</v>
      </c>
      <c r="AK253" s="40">
        <v>0</v>
      </c>
      <c r="AL253" s="52">
        <v>0</v>
      </c>
      <c r="AM253" s="674">
        <v>0</v>
      </c>
      <c r="AN253" s="40">
        <v>0</v>
      </c>
      <c r="AO253" s="52">
        <v>0</v>
      </c>
      <c r="AP253" s="674">
        <v>1618.8605679064267</v>
      </c>
      <c r="AQ253" s="40">
        <v>1180.3327629650462</v>
      </c>
      <c r="AR253" s="52">
        <v>-438.52780494138051</v>
      </c>
      <c r="AS253" s="674">
        <v>7215.0310058052646</v>
      </c>
      <c r="AT253" s="40">
        <v>2231</v>
      </c>
      <c r="AU253" s="54">
        <v>-4984.0310058052646</v>
      </c>
      <c r="AV253" s="674">
        <v>587.43297572162862</v>
      </c>
      <c r="AW253" s="40">
        <v>3992</v>
      </c>
      <c r="AX253" s="55">
        <v>3404.5670242783713</v>
      </c>
      <c r="AY253" s="674">
        <v>594.37471209859007</v>
      </c>
      <c r="AZ253" s="40">
        <v>0</v>
      </c>
      <c r="BA253" s="35">
        <v>-594.37471209859007</v>
      </c>
      <c r="BB253" s="674">
        <v>368.27073345178843</v>
      </c>
      <c r="BC253" s="40">
        <v>0</v>
      </c>
      <c r="BD253" s="55">
        <v>-368.27073345178843</v>
      </c>
      <c r="BE253" s="674">
        <v>0</v>
      </c>
      <c r="BF253" s="40">
        <v>0</v>
      </c>
      <c r="BG253" s="38">
        <v>0</v>
      </c>
      <c r="BH253" s="674">
        <v>0</v>
      </c>
      <c r="BI253" s="40">
        <v>0</v>
      </c>
      <c r="BJ253" s="55">
        <v>0</v>
      </c>
      <c r="BK253" s="674">
        <v>93.007626038326464</v>
      </c>
      <c r="BL253" s="40">
        <v>0</v>
      </c>
      <c r="BM253" s="38">
        <v>-93.007626038326464</v>
      </c>
      <c r="BN253" s="674">
        <v>18.042000000000002</v>
      </c>
      <c r="BO253" s="40">
        <v>0</v>
      </c>
      <c r="BP253" s="55">
        <v>-18.042000000000002</v>
      </c>
      <c r="BQ253" s="77">
        <v>1661.1280473103334</v>
      </c>
      <c r="BR253" s="40">
        <v>3992</v>
      </c>
      <c r="BS253" s="55">
        <v>2330.8719526896666</v>
      </c>
      <c r="BT253" s="674">
        <v>5872.7665231770925</v>
      </c>
      <c r="BU253" s="40">
        <v>6379.4042934419867</v>
      </c>
      <c r="BV253" s="52">
        <v>506.63777026489424</v>
      </c>
      <c r="BW253" s="674">
        <v>4615.2287302207833</v>
      </c>
      <c r="BX253" s="40">
        <v>3741.2936899568081</v>
      </c>
      <c r="BY253" s="52">
        <v>-873.93504026397522</v>
      </c>
      <c r="BZ253" s="674">
        <v>1815.953117669429</v>
      </c>
      <c r="CA253" s="40">
        <v>830.16910864813724</v>
      </c>
      <c r="CB253" s="52">
        <v>-985.78400902129181</v>
      </c>
      <c r="CC253" s="674">
        <v>0</v>
      </c>
      <c r="CD253" s="40">
        <v>0</v>
      </c>
      <c r="CE253" s="52">
        <v>0</v>
      </c>
      <c r="CF253" s="674">
        <v>0</v>
      </c>
      <c r="CG253" s="40">
        <v>0</v>
      </c>
      <c r="CH253" s="52">
        <v>0</v>
      </c>
      <c r="CI253" s="674">
        <v>1099.2123452078581</v>
      </c>
      <c r="CJ253" s="40">
        <v>253.13721790952161</v>
      </c>
      <c r="CK253" s="52">
        <v>-846.0751272983365</v>
      </c>
      <c r="CL253" s="674">
        <v>0</v>
      </c>
      <c r="CM253" s="40">
        <v>0</v>
      </c>
      <c r="CN253" s="52">
        <v>0</v>
      </c>
      <c r="CO253" s="39">
        <v>1099.2123452078581</v>
      </c>
      <c r="CP253" s="40">
        <v>253.13721790952161</v>
      </c>
      <c r="CQ253" s="52">
        <v>-846.0751272983365</v>
      </c>
      <c r="CR253" s="72">
        <v>31322.755829761714</v>
      </c>
      <c r="CS253" s="5">
        <v>25839.642017213864</v>
      </c>
      <c r="CT253" s="52">
        <v>-5483.1138125478501</v>
      </c>
      <c r="CU253" s="77">
        <v>37587.306995714054</v>
      </c>
      <c r="CV253" s="65">
        <v>31007.570420656637</v>
      </c>
      <c r="CW253" s="35">
        <v>-6579.7365750574172</v>
      </c>
      <c r="CX253" s="73">
        <v>382.51808894926012</v>
      </c>
      <c r="CY253" s="40">
        <v>6962.2546640066867</v>
      </c>
      <c r="CZ253" s="52">
        <v>6579.7365750574263</v>
      </c>
      <c r="DA253" s="150">
        <v>-3926.6661264579661</v>
      </c>
      <c r="DB253" s="2">
        <v>2</v>
      </c>
      <c r="DC253" s="675">
        <v>4380.26</v>
      </c>
      <c r="DD253" s="675">
        <v>0</v>
      </c>
      <c r="DE253" s="675">
        <v>1046.9559387680556</v>
      </c>
      <c r="DF253" s="675">
        <v>0</v>
      </c>
      <c r="DG253" s="321">
        <v>2653.0704485994593</v>
      </c>
      <c r="DH253" s="40">
        <v>37966.963739029932</v>
      </c>
      <c r="DI253" s="422">
        <v>3333.3040612319442</v>
      </c>
      <c r="DJ253" s="306">
        <v>5.5425740958296386</v>
      </c>
      <c r="DK253" s="306">
        <v>5.5425740958296386</v>
      </c>
      <c r="DL253" s="306">
        <v>4.6944804630737345</v>
      </c>
      <c r="DM253" s="28">
        <v>3333.3040612319446</v>
      </c>
      <c r="DN253" s="28">
        <v>0</v>
      </c>
      <c r="DO253" s="423">
        <v>3333.3040612319446</v>
      </c>
      <c r="DP253" s="94">
        <v>0</v>
      </c>
      <c r="DQ253" s="28">
        <v>3333.3040612319446</v>
      </c>
      <c r="DR253" s="318"/>
      <c r="DT253" s="8"/>
      <c r="DU253" s="5"/>
      <c r="DX253" s="5">
        <v>10651.390863738718</v>
      </c>
      <c r="DY253" s="5">
        <v>7467.5999999999995</v>
      </c>
      <c r="DZ253" s="159">
        <v>967.73240852079698</v>
      </c>
      <c r="EB253" s="676">
        <v>4351.8420999175469</v>
      </c>
      <c r="EC253" s="676">
        <v>-590.7338161543712</v>
      </c>
      <c r="ED253" s="676">
        <v>-488.18391333907766</v>
      </c>
      <c r="EE253" s="676">
        <v>-208.66341925061124</v>
      </c>
      <c r="EF253" s="676">
        <v>-577.90440473193348</v>
      </c>
      <c r="EG253" s="676">
        <v>-1977.8243042677882</v>
      </c>
      <c r="EH253" s="676">
        <v>966.70580509143338</v>
      </c>
      <c r="EI253" s="676">
        <v>-1308.7433087794529</v>
      </c>
      <c r="EJ253" s="676">
        <v>-1666.8555609186549</v>
      </c>
      <c r="EK253" s="676">
        <v>-1332.5829469283647</v>
      </c>
      <c r="EL253" s="676">
        <v>-1648.0482852520499</v>
      </c>
      <c r="EM253" s="676">
        <v>-2098.7445204441019</v>
      </c>
      <c r="EN253" s="676">
        <v>-6579.7365750574254</v>
      </c>
      <c r="EQ253" s="5">
        <v>10651.390863738718</v>
      </c>
      <c r="ER253" s="5">
        <v>7467.5999999999995</v>
      </c>
      <c r="ET253" s="318">
        <v>5292.0840431174965</v>
      </c>
      <c r="EU253" s="5">
        <v>-2123.0135945180396</v>
      </c>
    </row>
    <row r="254" spans="1:151" x14ac:dyDescent="0.3">
      <c r="A254" s="325">
        <v>150001042</v>
      </c>
      <c r="B254" s="41" t="s">
        <v>701</v>
      </c>
      <c r="C254" s="42" t="s">
        <v>182</v>
      </c>
      <c r="D254" s="27">
        <v>2</v>
      </c>
      <c r="E254" s="293">
        <v>427.1</v>
      </c>
      <c r="F254" s="305">
        <v>427.1</v>
      </c>
      <c r="G254" s="508">
        <v>0</v>
      </c>
      <c r="H254" s="677">
        <v>0</v>
      </c>
      <c r="I254" s="674">
        <v>2136.6265371568752</v>
      </c>
      <c r="J254" s="40">
        <v>2290.5937786775189</v>
      </c>
      <c r="K254" s="52">
        <v>153.96724152064371</v>
      </c>
      <c r="L254" s="674">
        <v>409.546627865304</v>
      </c>
      <c r="M254" s="40">
        <v>448.26859611305309</v>
      </c>
      <c r="N254" s="52">
        <v>38.721968247749089</v>
      </c>
      <c r="O254" s="674">
        <v>586.19216042396999</v>
      </c>
      <c r="P254" s="40">
        <v>586.29499999999996</v>
      </c>
      <c r="Q254" s="52">
        <v>0.10283957602996452</v>
      </c>
      <c r="R254" s="674">
        <v>0</v>
      </c>
      <c r="S254" s="40">
        <v>0</v>
      </c>
      <c r="T254" s="52">
        <v>0</v>
      </c>
      <c r="U254" s="674">
        <v>0</v>
      </c>
      <c r="V254" s="40">
        <v>0</v>
      </c>
      <c r="W254" s="52">
        <v>0</v>
      </c>
      <c r="X254" s="674">
        <v>1093.0156879687715</v>
      </c>
      <c r="Y254" s="40">
        <v>775.69529630386739</v>
      </c>
      <c r="Z254" s="52">
        <v>-317.32039166490415</v>
      </c>
      <c r="AA254" s="674">
        <v>51.251999999999995</v>
      </c>
      <c r="AB254" s="40">
        <v>0</v>
      </c>
      <c r="AC254" s="52">
        <v>-51.251999999999995</v>
      </c>
      <c r="AD254" s="674">
        <v>1831.1911692822946</v>
      </c>
      <c r="AE254" s="40">
        <v>1814.6290987649138</v>
      </c>
      <c r="AF254" s="35">
        <v>-16.562070517380789</v>
      </c>
      <c r="AG254" s="77">
        <v>6107.8241826972153</v>
      </c>
      <c r="AH254" s="53">
        <v>5915.4817698593533</v>
      </c>
      <c r="AI254" s="52">
        <v>-192.34241283786196</v>
      </c>
      <c r="AJ254" s="674">
        <v>0</v>
      </c>
      <c r="AK254" s="40">
        <v>0</v>
      </c>
      <c r="AL254" s="52">
        <v>0</v>
      </c>
      <c r="AM254" s="674">
        <v>0</v>
      </c>
      <c r="AN254" s="40">
        <v>0</v>
      </c>
      <c r="AO254" s="52">
        <v>0</v>
      </c>
      <c r="AP254" s="674">
        <v>1079.2403786042846</v>
      </c>
      <c r="AQ254" s="40">
        <v>913.98016260250085</v>
      </c>
      <c r="AR254" s="52">
        <v>-165.26021600178376</v>
      </c>
      <c r="AS254" s="674">
        <v>4542.7207090154134</v>
      </c>
      <c r="AT254" s="40">
        <v>77088</v>
      </c>
      <c r="AU254" s="54">
        <v>72545.279290984588</v>
      </c>
      <c r="AV254" s="674">
        <v>568.94418106476348</v>
      </c>
      <c r="AW254" s="40">
        <v>0</v>
      </c>
      <c r="AX254" s="55">
        <v>-568.94418106476348</v>
      </c>
      <c r="AY254" s="674">
        <v>671.40469849697263</v>
      </c>
      <c r="AZ254" s="40">
        <v>0</v>
      </c>
      <c r="BA254" s="35">
        <v>-671.40469849697263</v>
      </c>
      <c r="BB254" s="674">
        <v>251.88189472610503</v>
      </c>
      <c r="BC254" s="40">
        <v>0</v>
      </c>
      <c r="BD254" s="55">
        <v>-251.88189472610503</v>
      </c>
      <c r="BE254" s="674">
        <v>0</v>
      </c>
      <c r="BF254" s="40">
        <v>0</v>
      </c>
      <c r="BG254" s="38">
        <v>0</v>
      </c>
      <c r="BH254" s="674">
        <v>0</v>
      </c>
      <c r="BI254" s="40">
        <v>0</v>
      </c>
      <c r="BJ254" s="55">
        <v>0</v>
      </c>
      <c r="BK254" s="674">
        <v>110.09829986336118</v>
      </c>
      <c r="BL254" s="40">
        <v>0</v>
      </c>
      <c r="BM254" s="38">
        <v>-110.09829986336118</v>
      </c>
      <c r="BN254" s="674">
        <v>12.812999999999999</v>
      </c>
      <c r="BO254" s="40">
        <v>0</v>
      </c>
      <c r="BP254" s="55">
        <v>-12.812999999999999</v>
      </c>
      <c r="BQ254" s="77">
        <v>1615.1420741512025</v>
      </c>
      <c r="BR254" s="40">
        <v>0</v>
      </c>
      <c r="BS254" s="55">
        <v>-1615.1420741512025</v>
      </c>
      <c r="BT254" s="674">
        <v>5457.6627971157186</v>
      </c>
      <c r="BU254" s="40">
        <v>6002.7553901650581</v>
      </c>
      <c r="BV254" s="52">
        <v>545.09259304933948</v>
      </c>
      <c r="BW254" s="674">
        <v>4168.0653939955691</v>
      </c>
      <c r="BX254" s="40">
        <v>3365.7965043951649</v>
      </c>
      <c r="BY254" s="52">
        <v>-802.26888960040424</v>
      </c>
      <c r="BZ254" s="674">
        <v>1570.4890337687762</v>
      </c>
      <c r="CA254" s="40">
        <v>1067.5606375839279</v>
      </c>
      <c r="CB254" s="52">
        <v>-502.92839618484822</v>
      </c>
      <c r="CC254" s="674">
        <v>0</v>
      </c>
      <c r="CD254" s="40">
        <v>0</v>
      </c>
      <c r="CE254" s="52">
        <v>0</v>
      </c>
      <c r="CF254" s="674">
        <v>0</v>
      </c>
      <c r="CG254" s="40">
        <v>0</v>
      </c>
      <c r="CH254" s="52">
        <v>0</v>
      </c>
      <c r="CI254" s="674">
        <v>1197.2560574420695</v>
      </c>
      <c r="CJ254" s="40">
        <v>977.94752383451794</v>
      </c>
      <c r="CK254" s="52">
        <v>-219.30853360755157</v>
      </c>
      <c r="CL254" s="674">
        <v>0</v>
      </c>
      <c r="CM254" s="40">
        <v>0</v>
      </c>
      <c r="CN254" s="52">
        <v>0</v>
      </c>
      <c r="CO254" s="39">
        <v>1197.2560574420695</v>
      </c>
      <c r="CP254" s="40">
        <v>977.94752383451794</v>
      </c>
      <c r="CQ254" s="52">
        <v>-219.30853360755157</v>
      </c>
      <c r="CR254" s="72">
        <v>25738.400626790251</v>
      </c>
      <c r="CS254" s="5">
        <v>95331.521988440523</v>
      </c>
      <c r="CT254" s="52">
        <v>69593.121361650265</v>
      </c>
      <c r="CU254" s="77">
        <v>30886.0807521483</v>
      </c>
      <c r="CV254" s="65">
        <v>114397.82638612863</v>
      </c>
      <c r="CW254" s="35">
        <v>83511.745633980318</v>
      </c>
      <c r="CX254" s="73">
        <v>315.19809883213105</v>
      </c>
      <c r="CY254" s="40">
        <v>-83196.547535148187</v>
      </c>
      <c r="CZ254" s="52">
        <v>-83511.745633980318</v>
      </c>
      <c r="DA254" s="150">
        <v>84355.035260712204</v>
      </c>
      <c r="DB254" s="2">
        <v>2</v>
      </c>
      <c r="DC254" s="675">
        <v>8284.18</v>
      </c>
      <c r="DD254" s="675">
        <v>0</v>
      </c>
      <c r="DE254" s="675">
        <v>5547.0845156394753</v>
      </c>
      <c r="DF254" s="675">
        <v>0</v>
      </c>
      <c r="DG254" s="321">
        <v>843.28962673188948</v>
      </c>
      <c r="DH254" s="40">
        <v>31198.921078289939</v>
      </c>
      <c r="DI254" s="422">
        <v>2737.0954843605246</v>
      </c>
      <c r="DJ254" s="306">
        <v>6.4085588488890757</v>
      </c>
      <c r="DK254" s="306">
        <v>6.4085588488890757</v>
      </c>
      <c r="DL254" s="306">
        <v>5.3301031982827869</v>
      </c>
      <c r="DM254" s="28">
        <v>2737.0954843605246</v>
      </c>
      <c r="DN254" s="28">
        <v>0</v>
      </c>
      <c r="DO254" s="423">
        <v>2737.0954843605246</v>
      </c>
      <c r="DP254" s="94">
        <v>0</v>
      </c>
      <c r="DQ254" s="28">
        <v>2737.0954843605246</v>
      </c>
      <c r="DR254" s="318"/>
      <c r="DT254" s="8"/>
      <c r="DU254" s="5"/>
      <c r="DX254" s="5">
        <v>7389.4353397999394</v>
      </c>
      <c r="DY254" s="5">
        <v>92505.599999999991</v>
      </c>
      <c r="DZ254" s="159">
        <v>631.83609010045484</v>
      </c>
      <c r="EB254" s="676">
        <v>-415.29391234459945</v>
      </c>
      <c r="EC254" s="676">
        <v>-547.51918570729572</v>
      </c>
      <c r="ED254" s="676">
        <v>-585.08990721797318</v>
      </c>
      <c r="EE254" s="676">
        <v>-152.53382960352246</v>
      </c>
      <c r="EF254" s="676">
        <v>407.26677798304218</v>
      </c>
      <c r="EG254" s="676">
        <v>-1373.9962958272993</v>
      </c>
      <c r="EH254" s="676">
        <v>85707.705829784667</v>
      </c>
      <c r="EI254" s="676">
        <v>4417.3368461565879</v>
      </c>
      <c r="EJ254" s="676">
        <v>-1088.5241293128763</v>
      </c>
      <c r="EK254" s="676">
        <v>-589.65168691095414</v>
      </c>
      <c r="EL254" s="676">
        <v>-762.22872147505791</v>
      </c>
      <c r="EM254" s="676">
        <v>-1505.7261515444063</v>
      </c>
      <c r="EN254" s="676">
        <v>83511.745633980318</v>
      </c>
      <c r="EQ254" s="5">
        <v>7389.4353397999394</v>
      </c>
      <c r="ER254" s="5">
        <v>92505.599999999991</v>
      </c>
      <c r="ET254" s="318">
        <v>10372.058219844535</v>
      </c>
      <c r="EU254" s="5">
        <v>-4615.7685931126462</v>
      </c>
    </row>
    <row r="255" spans="1:151" x14ac:dyDescent="0.3">
      <c r="A255" s="325">
        <v>150001043</v>
      </c>
      <c r="B255" s="41" t="s">
        <v>702</v>
      </c>
      <c r="C255" s="42" t="s">
        <v>218</v>
      </c>
      <c r="D255" s="27">
        <v>4</v>
      </c>
      <c r="E255" s="293">
        <v>1282.0999999999999</v>
      </c>
      <c r="F255" s="305">
        <v>1282.0999999999999</v>
      </c>
      <c r="G255" s="508">
        <v>0</v>
      </c>
      <c r="H255" s="677">
        <v>0</v>
      </c>
      <c r="I255" s="674">
        <v>4486.0627256854923</v>
      </c>
      <c r="J255" s="40">
        <v>4888.2505715571788</v>
      </c>
      <c r="K255" s="52">
        <v>402.18784587168648</v>
      </c>
      <c r="L255" s="674">
        <v>895.75884976457314</v>
      </c>
      <c r="M255" s="40">
        <v>980.44113797381317</v>
      </c>
      <c r="N255" s="52">
        <v>84.682288209240028</v>
      </c>
      <c r="O255" s="674">
        <v>1822.4085056200106</v>
      </c>
      <c r="P255" s="40">
        <v>1822.4100000000003</v>
      </c>
      <c r="Q255" s="52">
        <v>1.4943799897082499E-3</v>
      </c>
      <c r="R255" s="674">
        <v>0</v>
      </c>
      <c r="S255" s="40">
        <v>0</v>
      </c>
      <c r="T255" s="52">
        <v>0</v>
      </c>
      <c r="U255" s="674">
        <v>0</v>
      </c>
      <c r="V255" s="40">
        <v>0</v>
      </c>
      <c r="W255" s="52">
        <v>0</v>
      </c>
      <c r="X255" s="674">
        <v>2665.2497860433782</v>
      </c>
      <c r="Y255" s="40">
        <v>1864.3583986434564</v>
      </c>
      <c r="Z255" s="52">
        <v>-800.89138739992177</v>
      </c>
      <c r="AA255" s="674">
        <v>153.852</v>
      </c>
      <c r="AB255" s="40">
        <v>0</v>
      </c>
      <c r="AC255" s="52">
        <v>-153.852</v>
      </c>
      <c r="AD255" s="674">
        <v>5497.0198646958443</v>
      </c>
      <c r="AE255" s="40">
        <v>5447.2862737684281</v>
      </c>
      <c r="AF255" s="35">
        <v>-49.733590927416117</v>
      </c>
      <c r="AG255" s="77">
        <v>15520.3517318093</v>
      </c>
      <c r="AH255" s="53">
        <v>15002.746381942878</v>
      </c>
      <c r="AI255" s="52">
        <v>-517.60534986642233</v>
      </c>
      <c r="AJ255" s="674">
        <v>0</v>
      </c>
      <c r="AK255" s="40">
        <v>0</v>
      </c>
      <c r="AL255" s="52">
        <v>0</v>
      </c>
      <c r="AM255" s="674">
        <v>0</v>
      </c>
      <c r="AN255" s="40">
        <v>0</v>
      </c>
      <c r="AO255" s="52">
        <v>0</v>
      </c>
      <c r="AP255" s="674">
        <v>2967.9110411617826</v>
      </c>
      <c r="AQ255" s="40">
        <v>2459.5898903103498</v>
      </c>
      <c r="AR255" s="52">
        <v>-508.32115085143278</v>
      </c>
      <c r="AS255" s="674">
        <v>11106.379754882028</v>
      </c>
      <c r="AT255" s="40">
        <v>20627.689999999999</v>
      </c>
      <c r="AU255" s="54">
        <v>9521.3102451179711</v>
      </c>
      <c r="AV255" s="674">
        <v>1105.9391191909867</v>
      </c>
      <c r="AW255" s="40">
        <v>0</v>
      </c>
      <c r="AX255" s="55">
        <v>-1105.9391191909867</v>
      </c>
      <c r="AY255" s="674">
        <v>1468.34436357298</v>
      </c>
      <c r="AZ255" s="40">
        <v>24</v>
      </c>
      <c r="BA255" s="35">
        <v>-1444.34436357298</v>
      </c>
      <c r="BB255" s="674">
        <v>789.49007918170355</v>
      </c>
      <c r="BC255" s="40">
        <v>0</v>
      </c>
      <c r="BD255" s="55">
        <v>-789.49007918170355</v>
      </c>
      <c r="BE255" s="674">
        <v>0</v>
      </c>
      <c r="BF255" s="40">
        <v>0</v>
      </c>
      <c r="BG255" s="38">
        <v>0</v>
      </c>
      <c r="BH255" s="674">
        <v>0</v>
      </c>
      <c r="BI255" s="40">
        <v>0</v>
      </c>
      <c r="BJ255" s="55">
        <v>0</v>
      </c>
      <c r="BK255" s="674">
        <v>499.391569341749</v>
      </c>
      <c r="BL255" s="40">
        <v>0</v>
      </c>
      <c r="BM255" s="38">
        <v>-499.391569341749</v>
      </c>
      <c r="BN255" s="674">
        <v>38.463000000000001</v>
      </c>
      <c r="BO255" s="40">
        <v>0</v>
      </c>
      <c r="BP255" s="55">
        <v>-38.463000000000001</v>
      </c>
      <c r="BQ255" s="77">
        <v>3901.6281312874194</v>
      </c>
      <c r="BR255" s="40">
        <v>24</v>
      </c>
      <c r="BS255" s="55">
        <v>-3877.6281312874194</v>
      </c>
      <c r="BT255" s="674">
        <v>18019.300913079875</v>
      </c>
      <c r="BU255" s="40">
        <v>17605.234720715878</v>
      </c>
      <c r="BV255" s="52">
        <v>-414.06619236399638</v>
      </c>
      <c r="BW255" s="674">
        <v>6711.0409104315122</v>
      </c>
      <c r="BX255" s="40">
        <v>6100.1331639841155</v>
      </c>
      <c r="BY255" s="52">
        <v>-610.90774644739668</v>
      </c>
      <c r="BZ255" s="674">
        <v>6797.6667904617316</v>
      </c>
      <c r="CA255" s="40">
        <v>2728.6625990421289</v>
      </c>
      <c r="CB255" s="52">
        <v>-4069.0041914196026</v>
      </c>
      <c r="CC255" s="674">
        <v>846.19892317773281</v>
      </c>
      <c r="CD255" s="40">
        <v>889.37288859410842</v>
      </c>
      <c r="CE255" s="52">
        <v>43.173965416375609</v>
      </c>
      <c r="CF255" s="674">
        <v>103.42299438517307</v>
      </c>
      <c r="CG255" s="40">
        <v>0</v>
      </c>
      <c r="CH255" s="52">
        <v>-103.42299438517307</v>
      </c>
      <c r="CI255" s="674">
        <v>1735.3310933433627</v>
      </c>
      <c r="CJ255" s="40">
        <v>1725.0865506880193</v>
      </c>
      <c r="CK255" s="52">
        <v>-10.244542655343366</v>
      </c>
      <c r="CL255" s="674">
        <v>0</v>
      </c>
      <c r="CM255" s="40">
        <v>0</v>
      </c>
      <c r="CN255" s="52">
        <v>0</v>
      </c>
      <c r="CO255" s="39">
        <v>1735.3310933433627</v>
      </c>
      <c r="CP255" s="40">
        <v>1725.0865506880193</v>
      </c>
      <c r="CQ255" s="52">
        <v>-10.244542655343366</v>
      </c>
      <c r="CR255" s="72">
        <v>67709.232284019905</v>
      </c>
      <c r="CS255" s="5">
        <v>67162.516195277465</v>
      </c>
      <c r="CT255" s="52">
        <v>-546.71608874243975</v>
      </c>
      <c r="CU255" s="77">
        <v>81251.078740823883</v>
      </c>
      <c r="CV255" s="65">
        <v>80595.019434332949</v>
      </c>
      <c r="CW255" s="35">
        <v>-656.05930649093352</v>
      </c>
      <c r="CX255" s="73">
        <v>829.25197744206935</v>
      </c>
      <c r="CY255" s="40">
        <v>1485.3112839330015</v>
      </c>
      <c r="CZ255" s="52">
        <v>656.05930649093216</v>
      </c>
      <c r="DA255" s="150">
        <v>52921.116958247716</v>
      </c>
      <c r="DB255" s="2">
        <v>2</v>
      </c>
      <c r="DC255" s="675">
        <v>11348.72</v>
      </c>
      <c r="DD255" s="675">
        <v>0</v>
      </c>
      <c r="DE255" s="675">
        <v>4148.4796610664134</v>
      </c>
      <c r="DF255" s="675">
        <v>0</v>
      </c>
      <c r="DG255" s="321">
        <v>53577.176264738649</v>
      </c>
      <c r="DH255" s="40">
        <v>82074.127674297124</v>
      </c>
      <c r="DI255" s="422">
        <v>7200.2403389335859</v>
      </c>
      <c r="DJ255" s="306">
        <v>5.615974057354018</v>
      </c>
      <c r="DK255" s="306">
        <v>5.615974057354018</v>
      </c>
      <c r="DL255" s="306">
        <v>5.0380969556443516</v>
      </c>
      <c r="DM255" s="28">
        <v>7200.2403389335859</v>
      </c>
      <c r="DN255" s="28">
        <v>0</v>
      </c>
      <c r="DO255" s="423">
        <v>7200.2403389335859</v>
      </c>
      <c r="DP255" s="94">
        <v>0</v>
      </c>
      <c r="DQ255" s="28">
        <v>7200.2403389335859</v>
      </c>
      <c r="DR255" s="318"/>
      <c r="DT255" s="8"/>
      <c r="DU255" s="5"/>
      <c r="DX255" s="5">
        <v>18009.609463403336</v>
      </c>
      <c r="DY255" s="5">
        <v>24782.027999999998</v>
      </c>
      <c r="DZ255" s="159">
        <v>1535.8563320544279</v>
      </c>
      <c r="EB255" s="676">
        <v>-718.91439527945295</v>
      </c>
      <c r="EC255" s="676">
        <v>-912.84844937851358</v>
      </c>
      <c r="ED255" s="676">
        <v>-1121.8582878201896</v>
      </c>
      <c r="EE255" s="676">
        <v>-600.28116666256301</v>
      </c>
      <c r="EF255" s="676">
        <v>-1194.8250696035038</v>
      </c>
      <c r="EG255" s="676">
        <v>1260.9318502140932</v>
      </c>
      <c r="EH255" s="676">
        <v>-3063.1614584293866</v>
      </c>
      <c r="EI255" s="676">
        <v>17753.763189533907</v>
      </c>
      <c r="EJ255" s="676">
        <v>-2750.2437778138956</v>
      </c>
      <c r="EK255" s="676">
        <v>-2388.1788229080275</v>
      </c>
      <c r="EL255" s="676">
        <v>-3116.7866672672471</v>
      </c>
      <c r="EM255" s="676">
        <v>-3803.6562510761532</v>
      </c>
      <c r="EN255" s="676">
        <v>-656.05930649093261</v>
      </c>
      <c r="EQ255" s="5">
        <v>18009.609463403336</v>
      </c>
      <c r="ER255" s="5">
        <v>24782.027999999998</v>
      </c>
      <c r="ET255" s="318">
        <v>38584.613316855881</v>
      </c>
      <c r="EU255" s="5">
        <v>34597.56294788279</v>
      </c>
    </row>
    <row r="256" spans="1:151" ht="14.1" customHeight="1" x14ac:dyDescent="0.3">
      <c r="A256" s="325">
        <v>150000672</v>
      </c>
      <c r="B256" s="41"/>
      <c r="C256" s="43" t="s">
        <v>429</v>
      </c>
      <c r="D256" s="29">
        <v>5</v>
      </c>
      <c r="E256" s="293">
        <v>3174.5</v>
      </c>
      <c r="F256" s="305">
        <v>3107.5</v>
      </c>
      <c r="G256" s="508">
        <v>0</v>
      </c>
      <c r="H256" s="677">
        <v>67</v>
      </c>
      <c r="I256" s="674">
        <v>12678.904713296435</v>
      </c>
      <c r="J256" s="40">
        <v>13836.867788960564</v>
      </c>
      <c r="K256" s="52">
        <v>1157.9630756641291</v>
      </c>
      <c r="L256" s="674">
        <v>2533.4637043438265</v>
      </c>
      <c r="M256" s="40">
        <v>2772.9678756613198</v>
      </c>
      <c r="N256" s="52">
        <v>239.50417131749327</v>
      </c>
      <c r="O256" s="674">
        <v>4204.6799999999994</v>
      </c>
      <c r="P256" s="40">
        <v>4204.6799999999994</v>
      </c>
      <c r="Q256" s="52">
        <v>0</v>
      </c>
      <c r="R256" s="674">
        <v>0</v>
      </c>
      <c r="S256" s="40">
        <v>0</v>
      </c>
      <c r="T256" s="52">
        <v>0</v>
      </c>
      <c r="U256" s="674">
        <v>0</v>
      </c>
      <c r="V256" s="40">
        <v>0</v>
      </c>
      <c r="W256" s="52">
        <v>0</v>
      </c>
      <c r="X256" s="674">
        <v>6848.5565253357763</v>
      </c>
      <c r="Y256" s="40">
        <v>5026.7941822880457</v>
      </c>
      <c r="Z256" s="52">
        <v>-1821.7623430477306</v>
      </c>
      <c r="AA256" s="674">
        <v>385.71</v>
      </c>
      <c r="AB256" s="40">
        <v>0</v>
      </c>
      <c r="AC256" s="52">
        <v>-385.71</v>
      </c>
      <c r="AD256" s="674">
        <v>13647.140401617131</v>
      </c>
      <c r="AE256" s="40">
        <v>13486.703694168586</v>
      </c>
      <c r="AF256" s="35">
        <v>-160.43670744854535</v>
      </c>
      <c r="AG256" s="77">
        <v>40298.455344593167</v>
      </c>
      <c r="AH256" s="53">
        <v>39328.013541078515</v>
      </c>
      <c r="AI256" s="52">
        <v>-970.44180351465184</v>
      </c>
      <c r="AJ256" s="674">
        <v>0</v>
      </c>
      <c r="AK256" s="40">
        <v>0</v>
      </c>
      <c r="AL256" s="52">
        <v>0</v>
      </c>
      <c r="AM256" s="674">
        <v>0</v>
      </c>
      <c r="AN256" s="40">
        <v>0</v>
      </c>
      <c r="AO256" s="52">
        <v>0</v>
      </c>
      <c r="AP256" s="674">
        <v>9308.4482654619569</v>
      </c>
      <c r="AQ256" s="40">
        <v>7186.7712074728643</v>
      </c>
      <c r="AR256" s="52">
        <v>-2121.6770579890926</v>
      </c>
      <c r="AS256" s="674">
        <v>38050.790416254342</v>
      </c>
      <c r="AT256" s="40">
        <v>61338.827288021697</v>
      </c>
      <c r="AU256" s="54">
        <v>23288.036871767355</v>
      </c>
      <c r="AV256" s="674">
        <v>2716.0432472636803</v>
      </c>
      <c r="AW256" s="40">
        <v>0</v>
      </c>
      <c r="AX256" s="55">
        <v>-2716.0432472636803</v>
      </c>
      <c r="AY256" s="674">
        <v>4153.1485052436192</v>
      </c>
      <c r="AZ256" s="40">
        <v>0</v>
      </c>
      <c r="BA256" s="35">
        <v>-4153.1485052436192</v>
      </c>
      <c r="BB256" s="674">
        <v>2107.4551830952119</v>
      </c>
      <c r="BC256" s="40">
        <v>0</v>
      </c>
      <c r="BD256" s="55">
        <v>-2107.4551830952119</v>
      </c>
      <c r="BE256" s="674">
        <v>0</v>
      </c>
      <c r="BF256" s="40">
        <v>0</v>
      </c>
      <c r="BG256" s="38">
        <v>0</v>
      </c>
      <c r="BH256" s="674">
        <v>0</v>
      </c>
      <c r="BI256" s="40">
        <v>0</v>
      </c>
      <c r="BJ256" s="55">
        <v>0</v>
      </c>
      <c r="BK256" s="674">
        <v>1631.0637108726523</v>
      </c>
      <c r="BL256" s="40">
        <v>0</v>
      </c>
      <c r="BM256" s="38">
        <v>-1631.0637108726523</v>
      </c>
      <c r="BN256" s="674">
        <v>1115.7265152250736</v>
      </c>
      <c r="BO256" s="40">
        <v>0</v>
      </c>
      <c r="BP256" s="55">
        <v>-1115.7265152250736</v>
      </c>
      <c r="BQ256" s="77">
        <v>11723.437161700236</v>
      </c>
      <c r="BR256" s="40">
        <v>0</v>
      </c>
      <c r="BS256" s="55">
        <v>-11723.437161700236</v>
      </c>
      <c r="BT256" s="674">
        <v>19281.292674970024</v>
      </c>
      <c r="BU256" s="40">
        <v>29032.989117245423</v>
      </c>
      <c r="BV256" s="52">
        <v>9751.696442275399</v>
      </c>
      <c r="BW256" s="674">
        <v>12278.276218576782</v>
      </c>
      <c r="BX256" s="40">
        <v>9781.6708079773362</v>
      </c>
      <c r="BY256" s="52">
        <v>-2496.6054105994463</v>
      </c>
      <c r="BZ256" s="674">
        <v>8929.3619152758802</v>
      </c>
      <c r="CA256" s="40">
        <v>3621.1539662769137</v>
      </c>
      <c r="CB256" s="52">
        <v>-5308.2079489989665</v>
      </c>
      <c r="CC256" s="674">
        <v>992.109871830359</v>
      </c>
      <c r="CD256" s="40">
        <v>1042.713041799989</v>
      </c>
      <c r="CE256" s="52">
        <v>50.603169969630017</v>
      </c>
      <c r="CF256" s="674">
        <v>121.25093119123743</v>
      </c>
      <c r="CG256" s="40">
        <v>0</v>
      </c>
      <c r="CH256" s="52">
        <v>-121.25093119123743</v>
      </c>
      <c r="CI256" s="674">
        <v>9453.0975097983683</v>
      </c>
      <c r="CJ256" s="40">
        <v>10023.013174478285</v>
      </c>
      <c r="CK256" s="52">
        <v>569.91566467991652</v>
      </c>
      <c r="CL256" s="674">
        <v>0</v>
      </c>
      <c r="CM256" s="40">
        <v>0</v>
      </c>
      <c r="CN256" s="52">
        <v>0</v>
      </c>
      <c r="CO256" s="39">
        <v>9453.0975097983683</v>
      </c>
      <c r="CP256" s="40">
        <v>10023.013174478285</v>
      </c>
      <c r="CQ256" s="52">
        <v>569.91566467991652</v>
      </c>
      <c r="CR256" s="72">
        <v>150436.52030965235</v>
      </c>
      <c r="CS256" s="5">
        <v>161355.15214435098</v>
      </c>
      <c r="CT256" s="52">
        <v>10918.631834698637</v>
      </c>
      <c r="CU256" s="77">
        <v>180523.8243715828</v>
      </c>
      <c r="CV256" s="65">
        <v>193626.18257322119</v>
      </c>
      <c r="CW256" s="35">
        <v>13102.358201638388</v>
      </c>
      <c r="CX256" s="73">
        <v>9042.0341506412733</v>
      </c>
      <c r="CY256" s="40">
        <v>-4060.3240509971565</v>
      </c>
      <c r="CZ256" s="52">
        <v>-13102.35820163843</v>
      </c>
      <c r="DA256" s="150">
        <v>44505.08529576342</v>
      </c>
      <c r="DB256" s="2">
        <v>2</v>
      </c>
      <c r="DC256" s="675">
        <v>38588.769999999997</v>
      </c>
      <c r="DD256" s="675">
        <v>1019.43</v>
      </c>
      <c r="DE256" s="675">
        <v>22314.792499999996</v>
      </c>
      <c r="DF256" s="675">
        <v>699.30399999999997</v>
      </c>
      <c r="DG256" s="321">
        <v>31402.727094124981</v>
      </c>
      <c r="DH256" s="40">
        <v>189551.41955387307</v>
      </c>
      <c r="DI256" s="422">
        <v>16594.118843351327</v>
      </c>
      <c r="DJ256" s="306">
        <v>5.2370000000000001</v>
      </c>
      <c r="DK256" s="306">
        <v>5.2370000000000001</v>
      </c>
      <c r="DL256" s="306">
        <v>4.7779999999999996</v>
      </c>
      <c r="DM256" s="28">
        <v>16273.977500000001</v>
      </c>
      <c r="DN256" s="28">
        <v>320.12599999999998</v>
      </c>
      <c r="DO256" s="423">
        <v>16594.103500000001</v>
      </c>
      <c r="DP256" s="94">
        <v>1.5343351326009724E-2</v>
      </c>
      <c r="DQ256" s="28">
        <v>16594.103500000001</v>
      </c>
      <c r="DR256" s="318"/>
      <c r="DT256" s="8"/>
      <c r="DU256" s="5"/>
      <c r="DX256" s="5">
        <v>59729.073093545485</v>
      </c>
      <c r="DY256" s="5">
        <v>73606.59274562604</v>
      </c>
      <c r="DZ256" s="159">
        <v>5398.9068520606106</v>
      </c>
      <c r="EB256" s="676">
        <v>-2961.2594643392313</v>
      </c>
      <c r="EC256" s="676">
        <v>-3413.1464057072499</v>
      </c>
      <c r="ED256" s="676">
        <v>21385.286819008168</v>
      </c>
      <c r="EE256" s="676">
        <v>-2661.3364460736939</v>
      </c>
      <c r="EF256" s="676">
        <v>40968.342709643199</v>
      </c>
      <c r="EG256" s="676">
        <v>-7181.662588239984</v>
      </c>
      <c r="EH256" s="676">
        <v>-7840.3288476064063</v>
      </c>
      <c r="EI256" s="676">
        <v>-6253.0189125041106</v>
      </c>
      <c r="EJ256" s="676">
        <v>-3179.1503495465622</v>
      </c>
      <c r="EK256" s="676">
        <v>-8070.3062349145475</v>
      </c>
      <c r="EL256" s="676">
        <v>-7814.5861079751239</v>
      </c>
      <c r="EM256" s="676">
        <v>123.52402989397706</v>
      </c>
      <c r="EN256" s="676">
        <v>13102.358201638437</v>
      </c>
      <c r="EQ256" s="5">
        <v>59729.073093545485</v>
      </c>
      <c r="ER256" s="5">
        <v>73606.59274562604</v>
      </c>
      <c r="ET256" s="318">
        <v>-6802.5794162923703</v>
      </c>
      <c r="EU256" s="5">
        <v>-1060.6934895826435</v>
      </c>
    </row>
    <row r="257" spans="1:151" x14ac:dyDescent="0.3">
      <c r="A257" s="325">
        <v>150000673</v>
      </c>
      <c r="B257" s="41" t="s">
        <v>703</v>
      </c>
      <c r="C257" s="42" t="s">
        <v>183</v>
      </c>
      <c r="D257" s="27">
        <v>2</v>
      </c>
      <c r="E257" s="293">
        <v>603.29999999999995</v>
      </c>
      <c r="F257" s="305">
        <v>603.29999999999995</v>
      </c>
      <c r="G257" s="508">
        <v>0</v>
      </c>
      <c r="H257" s="677">
        <v>0</v>
      </c>
      <c r="I257" s="674">
        <v>3467.4294899333318</v>
      </c>
      <c r="J257" s="40">
        <v>3707.3608602320292</v>
      </c>
      <c r="K257" s="52">
        <v>239.9313702986974</v>
      </c>
      <c r="L257" s="674">
        <v>606.38219416799268</v>
      </c>
      <c r="M257" s="40">
        <v>663.70733809974422</v>
      </c>
      <c r="N257" s="52">
        <v>57.325143931751541</v>
      </c>
      <c r="O257" s="674">
        <v>785.23771312838994</v>
      </c>
      <c r="P257" s="40">
        <v>785.24999999999989</v>
      </c>
      <c r="Q257" s="52">
        <v>1.2286871609944683E-2</v>
      </c>
      <c r="R257" s="674">
        <v>0</v>
      </c>
      <c r="S257" s="40">
        <v>0</v>
      </c>
      <c r="T257" s="52">
        <v>0</v>
      </c>
      <c r="U257" s="674">
        <v>0</v>
      </c>
      <c r="V257" s="40">
        <v>0</v>
      </c>
      <c r="W257" s="52">
        <v>0</v>
      </c>
      <c r="X257" s="674">
        <v>1112.104186035275</v>
      </c>
      <c r="Y257" s="40">
        <v>949.22694949150934</v>
      </c>
      <c r="Z257" s="52">
        <v>-162.87723654376566</v>
      </c>
      <c r="AA257" s="674">
        <v>72.395999999999987</v>
      </c>
      <c r="AB257" s="40">
        <v>0</v>
      </c>
      <c r="AC257" s="52">
        <v>-72.395999999999987</v>
      </c>
      <c r="AD257" s="674">
        <v>2586.675590056178</v>
      </c>
      <c r="AE257" s="40">
        <v>2563.2538873445851</v>
      </c>
      <c r="AF257" s="35">
        <v>-23.421702711592843</v>
      </c>
      <c r="AG257" s="77">
        <v>8630.2251733211669</v>
      </c>
      <c r="AH257" s="53">
        <v>8668.7990351678673</v>
      </c>
      <c r="AI257" s="52">
        <v>38.573861846700311</v>
      </c>
      <c r="AJ257" s="674">
        <v>0</v>
      </c>
      <c r="AK257" s="40">
        <v>0</v>
      </c>
      <c r="AL257" s="52">
        <v>0</v>
      </c>
      <c r="AM257" s="674">
        <v>0</v>
      </c>
      <c r="AN257" s="40">
        <v>0</v>
      </c>
      <c r="AO257" s="52">
        <v>0</v>
      </c>
      <c r="AP257" s="674">
        <v>1618.8605679064267</v>
      </c>
      <c r="AQ257" s="40">
        <v>1293.1117506870403</v>
      </c>
      <c r="AR257" s="52">
        <v>-325.74881721938641</v>
      </c>
      <c r="AS257" s="674">
        <v>8251.1666345696685</v>
      </c>
      <c r="AT257" s="40">
        <v>23691.33</v>
      </c>
      <c r="AU257" s="54">
        <v>15440.163365430333</v>
      </c>
      <c r="AV257" s="674">
        <v>862.9834972438947</v>
      </c>
      <c r="AW257" s="40">
        <v>0</v>
      </c>
      <c r="AX257" s="55">
        <v>-862.9834972438947</v>
      </c>
      <c r="AY257" s="674">
        <v>993.90570686333979</v>
      </c>
      <c r="AZ257" s="40">
        <v>0</v>
      </c>
      <c r="BA257" s="35">
        <v>-993.90570686333979</v>
      </c>
      <c r="BB257" s="674">
        <v>356.69204205075624</v>
      </c>
      <c r="BC257" s="40">
        <v>532</v>
      </c>
      <c r="BD257" s="55">
        <v>175.30795794924376</v>
      </c>
      <c r="BE257" s="674">
        <v>0</v>
      </c>
      <c r="BF257" s="40">
        <v>0</v>
      </c>
      <c r="BG257" s="38">
        <v>0</v>
      </c>
      <c r="BH257" s="674">
        <v>0</v>
      </c>
      <c r="BI257" s="40">
        <v>0</v>
      </c>
      <c r="BJ257" s="55">
        <v>0</v>
      </c>
      <c r="BK257" s="674">
        <v>110.09836158969283</v>
      </c>
      <c r="BL257" s="40">
        <v>711</v>
      </c>
      <c r="BM257" s="38">
        <v>600.90163841030721</v>
      </c>
      <c r="BN257" s="674">
        <v>18.098999999999997</v>
      </c>
      <c r="BO257" s="40">
        <v>0</v>
      </c>
      <c r="BP257" s="55">
        <v>-18.098999999999997</v>
      </c>
      <c r="BQ257" s="77">
        <v>2341.778607747684</v>
      </c>
      <c r="BR257" s="40">
        <v>1243</v>
      </c>
      <c r="BS257" s="55">
        <v>-1098.778607747684</v>
      </c>
      <c r="BT257" s="674">
        <v>8172.0518167399832</v>
      </c>
      <c r="BU257" s="40">
        <v>9416.010724151567</v>
      </c>
      <c r="BV257" s="52">
        <v>1243.9589074115838</v>
      </c>
      <c r="BW257" s="674">
        <v>4401.2813625119243</v>
      </c>
      <c r="BX257" s="40">
        <v>4123.6061362967012</v>
      </c>
      <c r="BY257" s="52">
        <v>-277.67522621522312</v>
      </c>
      <c r="BZ257" s="674">
        <v>1860.0851166000382</v>
      </c>
      <c r="CA257" s="40">
        <v>1959.3968990699639</v>
      </c>
      <c r="CB257" s="52">
        <v>99.311782469925674</v>
      </c>
      <c r="CC257" s="674">
        <v>0</v>
      </c>
      <c r="CD257" s="40">
        <v>0</v>
      </c>
      <c r="CE257" s="52">
        <v>0</v>
      </c>
      <c r="CF257" s="674">
        <v>0</v>
      </c>
      <c r="CG257" s="40">
        <v>0</v>
      </c>
      <c r="CH257" s="52">
        <v>0</v>
      </c>
      <c r="CI257" s="674">
        <v>739.06575531576402</v>
      </c>
      <c r="CJ257" s="40">
        <v>514.8846564550189</v>
      </c>
      <c r="CK257" s="52">
        <v>-224.18109886074512</v>
      </c>
      <c r="CL257" s="674">
        <v>0</v>
      </c>
      <c r="CM257" s="40">
        <v>0</v>
      </c>
      <c r="CN257" s="52">
        <v>0</v>
      </c>
      <c r="CO257" s="39">
        <v>739.06575531576402</v>
      </c>
      <c r="CP257" s="40">
        <v>514.8846564550189</v>
      </c>
      <c r="CQ257" s="52">
        <v>-224.18109886074512</v>
      </c>
      <c r="CR257" s="72">
        <v>36014.515034712655</v>
      </c>
      <c r="CS257" s="5">
        <v>50910.139201828162</v>
      </c>
      <c r="CT257" s="52">
        <v>14895.624167115508</v>
      </c>
      <c r="CU257" s="77">
        <v>43217.418041655183</v>
      </c>
      <c r="CV257" s="65">
        <v>61092.167042193789</v>
      </c>
      <c r="CW257" s="35">
        <v>17874.749000538606</v>
      </c>
      <c r="CX257" s="73">
        <v>962.19662030010431</v>
      </c>
      <c r="CY257" s="40">
        <v>-16912.5523802385</v>
      </c>
      <c r="CZ257" s="52">
        <v>-17874.749000538603</v>
      </c>
      <c r="DA257" s="150">
        <v>11229.354239847755</v>
      </c>
      <c r="DB257" s="2">
        <v>2</v>
      </c>
      <c r="DC257" s="675">
        <v>24725.87</v>
      </c>
      <c r="DD257" s="675">
        <v>0</v>
      </c>
      <c r="DE257" s="675">
        <v>20851.655828016235</v>
      </c>
      <c r="DF257" s="675">
        <v>0</v>
      </c>
      <c r="DG257" s="321">
        <v>-6645.3947606908478</v>
      </c>
      <c r="DH257" s="40">
        <v>44176.271668317124</v>
      </c>
      <c r="DI257" s="422">
        <v>3874.2141719837632</v>
      </c>
      <c r="DJ257" s="306">
        <v>6.4217042466165477</v>
      </c>
      <c r="DK257" s="306">
        <v>6.4217042466165477</v>
      </c>
      <c r="DL257" s="306">
        <v>5.5984128955008901</v>
      </c>
      <c r="DM257" s="28">
        <v>3874.2141719837628</v>
      </c>
      <c r="DN257" s="28">
        <v>0</v>
      </c>
      <c r="DO257" s="423">
        <v>3874.2141719837628</v>
      </c>
      <c r="DP257" s="94">
        <v>0</v>
      </c>
      <c r="DQ257" s="28">
        <v>3874.2141719837628</v>
      </c>
      <c r="DR257" s="318"/>
      <c r="DT257" s="8"/>
      <c r="DU257" s="5"/>
      <c r="DX257" s="5">
        <v>12711.534290780824</v>
      </c>
      <c r="DY257" s="5">
        <v>29921.196</v>
      </c>
      <c r="DZ257" s="159">
        <v>1102.9073017009889</v>
      </c>
      <c r="EB257" s="676">
        <v>-664.29350329928684</v>
      </c>
      <c r="EC257" s="676">
        <v>-829.71263764789728</v>
      </c>
      <c r="ED257" s="676">
        <v>-96.798472615277205</v>
      </c>
      <c r="EE257" s="676">
        <v>15719.992085511523</v>
      </c>
      <c r="EF257" s="676">
        <v>10973.351281771655</v>
      </c>
      <c r="EG257" s="676">
        <v>-820.55228340885606</v>
      </c>
      <c r="EH257" s="676">
        <v>-896.84352773026376</v>
      </c>
      <c r="EI257" s="676">
        <v>-2188.7486137101159</v>
      </c>
      <c r="EJ257" s="676">
        <v>-823.16769012381155</v>
      </c>
      <c r="EK257" s="676">
        <v>-1094.5960947029025</v>
      </c>
      <c r="EL257" s="676">
        <v>11.249341855107104</v>
      </c>
      <c r="EM257" s="676">
        <v>-1415.1308853612722</v>
      </c>
      <c r="EN257" s="676">
        <v>17874.749000538603</v>
      </c>
      <c r="EQ257" s="5">
        <v>12711.534290780824</v>
      </c>
      <c r="ER257" s="5">
        <v>29921.196</v>
      </c>
      <c r="ET257" s="318">
        <v>-7041.5669994463215</v>
      </c>
      <c r="EU257" s="5">
        <v>-2476.8277612445281</v>
      </c>
    </row>
    <row r="258" spans="1:151" x14ac:dyDescent="0.3">
      <c r="A258" s="325">
        <v>150000670</v>
      </c>
      <c r="B258" s="41" t="s">
        <v>704</v>
      </c>
      <c r="C258" s="42" t="s">
        <v>127</v>
      </c>
      <c r="D258" s="27">
        <v>1</v>
      </c>
      <c r="E258" s="293">
        <v>211.6</v>
      </c>
      <c r="F258" s="305">
        <v>211.6</v>
      </c>
      <c r="G258" s="508">
        <v>0</v>
      </c>
      <c r="H258" s="677">
        <v>0</v>
      </c>
      <c r="I258" s="674">
        <v>0</v>
      </c>
      <c r="J258" s="40">
        <v>0</v>
      </c>
      <c r="K258" s="52">
        <v>0</v>
      </c>
      <c r="L258" s="674">
        <v>0</v>
      </c>
      <c r="M258" s="40">
        <v>0</v>
      </c>
      <c r="N258" s="52">
        <v>0</v>
      </c>
      <c r="O258" s="674">
        <v>0</v>
      </c>
      <c r="P258" s="40">
        <v>0</v>
      </c>
      <c r="Q258" s="52">
        <v>0</v>
      </c>
      <c r="R258" s="674">
        <v>0</v>
      </c>
      <c r="S258" s="40">
        <v>0</v>
      </c>
      <c r="T258" s="52">
        <v>0</v>
      </c>
      <c r="U258" s="674">
        <v>0</v>
      </c>
      <c r="V258" s="40">
        <v>0</v>
      </c>
      <c r="W258" s="52">
        <v>0</v>
      </c>
      <c r="X258" s="674">
        <v>0</v>
      </c>
      <c r="Y258" s="40">
        <v>0</v>
      </c>
      <c r="Z258" s="52">
        <v>0</v>
      </c>
      <c r="AA258" s="674">
        <v>25.14</v>
      </c>
      <c r="AB258" s="40">
        <v>0</v>
      </c>
      <c r="AC258" s="52">
        <v>-25.14</v>
      </c>
      <c r="AD258" s="674">
        <v>201.25180586016154</v>
      </c>
      <c r="AE258" s="40">
        <v>772.49555752185529</v>
      </c>
      <c r="AF258" s="35">
        <v>571.24375166169375</v>
      </c>
      <c r="AG258" s="77">
        <v>226.39180586016153</v>
      </c>
      <c r="AH258" s="53">
        <v>772.49555752185529</v>
      </c>
      <c r="AI258" s="52">
        <v>546.10375166169376</v>
      </c>
      <c r="AJ258" s="674">
        <v>0</v>
      </c>
      <c r="AK258" s="40">
        <v>0</v>
      </c>
      <c r="AL258" s="52">
        <v>0</v>
      </c>
      <c r="AM258" s="674">
        <v>0</v>
      </c>
      <c r="AN258" s="40">
        <v>0</v>
      </c>
      <c r="AO258" s="52">
        <v>0</v>
      </c>
      <c r="AP258" s="674">
        <v>370.76535417731452</v>
      </c>
      <c r="AQ258" s="40">
        <v>373.97041602492402</v>
      </c>
      <c r="AR258" s="52">
        <v>3.2050618476094996</v>
      </c>
      <c r="AS258" s="674">
        <v>2089.0237043026241</v>
      </c>
      <c r="AT258" s="40">
        <v>0</v>
      </c>
      <c r="AU258" s="54">
        <v>-2089.0237043026241</v>
      </c>
      <c r="AV258" s="674">
        <v>0</v>
      </c>
      <c r="AW258" s="40">
        <v>0</v>
      </c>
      <c r="AX258" s="55">
        <v>0</v>
      </c>
      <c r="AY258" s="674">
        <v>0</v>
      </c>
      <c r="AZ258" s="40">
        <v>0</v>
      </c>
      <c r="BA258" s="35">
        <v>0</v>
      </c>
      <c r="BB258" s="674">
        <v>0</v>
      </c>
      <c r="BC258" s="40">
        <v>0</v>
      </c>
      <c r="BD258" s="55">
        <v>0</v>
      </c>
      <c r="BE258" s="674">
        <v>0</v>
      </c>
      <c r="BF258" s="40">
        <v>0</v>
      </c>
      <c r="BG258" s="38">
        <v>0</v>
      </c>
      <c r="BH258" s="674">
        <v>0</v>
      </c>
      <c r="BI258" s="40">
        <v>0</v>
      </c>
      <c r="BJ258" s="55">
        <v>0</v>
      </c>
      <c r="BK258" s="674">
        <v>0</v>
      </c>
      <c r="BL258" s="40">
        <v>0</v>
      </c>
      <c r="BM258" s="38">
        <v>0</v>
      </c>
      <c r="BN258" s="674">
        <v>6.2850000000000001</v>
      </c>
      <c r="BO258" s="40">
        <v>0</v>
      </c>
      <c r="BP258" s="55">
        <v>-6.2850000000000001</v>
      </c>
      <c r="BQ258" s="77">
        <v>6.2850000000000001</v>
      </c>
      <c r="BR258" s="40">
        <v>0</v>
      </c>
      <c r="BS258" s="55">
        <v>-6.2850000000000001</v>
      </c>
      <c r="BT258" s="674">
        <v>195.40392115927961</v>
      </c>
      <c r="BU258" s="40">
        <v>303.19600404632183</v>
      </c>
      <c r="BV258" s="52">
        <v>107.79208288704223</v>
      </c>
      <c r="BW258" s="674">
        <v>0</v>
      </c>
      <c r="BX258" s="40">
        <v>3.9566595379106695</v>
      </c>
      <c r="BY258" s="52">
        <v>3.9566595379106695</v>
      </c>
      <c r="BZ258" s="674">
        <v>0</v>
      </c>
      <c r="CA258" s="40">
        <v>18.486439758283346</v>
      </c>
      <c r="CB258" s="52">
        <v>18.486439758283346</v>
      </c>
      <c r="CC258" s="674">
        <v>0</v>
      </c>
      <c r="CD258" s="40">
        <v>0</v>
      </c>
      <c r="CE258" s="52">
        <v>0</v>
      </c>
      <c r="CF258" s="674">
        <v>0</v>
      </c>
      <c r="CG258" s="40">
        <v>0</v>
      </c>
      <c r="CH258" s="52">
        <v>0</v>
      </c>
      <c r="CI258" s="674">
        <v>0</v>
      </c>
      <c r="CJ258" s="40">
        <v>0</v>
      </c>
      <c r="CK258" s="52">
        <v>0</v>
      </c>
      <c r="CL258" s="674">
        <v>0</v>
      </c>
      <c r="CM258" s="40">
        <v>0</v>
      </c>
      <c r="CN258" s="52">
        <v>0</v>
      </c>
      <c r="CO258" s="39">
        <v>0</v>
      </c>
      <c r="CP258" s="40">
        <v>0</v>
      </c>
      <c r="CQ258" s="52">
        <v>0</v>
      </c>
      <c r="CR258" s="72">
        <v>2887.8697854993793</v>
      </c>
      <c r="CS258" s="5">
        <v>1472.1050768892951</v>
      </c>
      <c r="CT258" s="52">
        <v>-1415.7647086100842</v>
      </c>
      <c r="CU258" s="77">
        <v>3465.4437425992551</v>
      </c>
      <c r="CV258" s="65">
        <v>1766.5260922671541</v>
      </c>
      <c r="CW258" s="35">
        <v>-1698.9176503321009</v>
      </c>
      <c r="CX258" s="73">
        <v>82.342619009114614</v>
      </c>
      <c r="CY258" s="40">
        <v>1781.2602693412164</v>
      </c>
      <c r="CZ258" s="52">
        <v>1698.9176503321019</v>
      </c>
      <c r="DA258" s="150">
        <v>-8247.3730706945043</v>
      </c>
      <c r="DB258" s="2">
        <v>2</v>
      </c>
      <c r="DC258" s="675">
        <v>1542.44</v>
      </c>
      <c r="DD258" s="675">
        <v>0</v>
      </c>
      <c r="DE258" s="675">
        <v>1542.44</v>
      </c>
      <c r="DF258" s="675">
        <v>0</v>
      </c>
      <c r="DG258" s="321">
        <v>-6548.455420362402</v>
      </c>
      <c r="DH258" s="40">
        <v>4303.8187543236781</v>
      </c>
      <c r="DI258" s="422">
        <v>378.17784828030057</v>
      </c>
      <c r="DJ258" s="306">
        <v>1.7872299068067135</v>
      </c>
      <c r="DK258" s="306">
        <v>1.7872299068067135</v>
      </c>
      <c r="DL258" s="306">
        <v>1.7872299068067135</v>
      </c>
      <c r="DM258" s="28">
        <v>378.17784828030057</v>
      </c>
      <c r="DN258" s="28">
        <v>0</v>
      </c>
      <c r="DO258" s="423">
        <v>378.17784828030057</v>
      </c>
      <c r="DP258" s="94">
        <v>0</v>
      </c>
      <c r="DQ258" s="28">
        <v>378.17784828030057</v>
      </c>
      <c r="DR258" s="318"/>
      <c r="DT258" s="8"/>
      <c r="DU258" s="5"/>
      <c r="DX258" s="5">
        <v>2514.3704451631488</v>
      </c>
      <c r="DY258" s="5">
        <v>0</v>
      </c>
      <c r="DZ258" s="159">
        <v>291.74031588348095</v>
      </c>
      <c r="EB258" s="676">
        <v>74.031125681854405</v>
      </c>
      <c r="EC258" s="676">
        <v>-171.9852128176953</v>
      </c>
      <c r="ED258" s="676">
        <v>-168.15386394881943</v>
      </c>
      <c r="EE258" s="676">
        <v>-308.9493169067984</v>
      </c>
      <c r="EF258" s="676">
        <v>-234.82449688603867</v>
      </c>
      <c r="EG258" s="676">
        <v>-240.11807137281323</v>
      </c>
      <c r="EH258" s="676">
        <v>-18.519370852739087</v>
      </c>
      <c r="EI258" s="676">
        <v>-202.78936823741603</v>
      </c>
      <c r="EJ258" s="676">
        <v>-236.75686438077122</v>
      </c>
      <c r="EK258" s="676">
        <v>-190.85221061086455</v>
      </c>
      <c r="EL258" s="676">
        <v>0</v>
      </c>
      <c r="EM258" s="676">
        <v>0</v>
      </c>
      <c r="EN258" s="676">
        <v>-1698.9176503321016</v>
      </c>
      <c r="EQ258" s="5">
        <v>2514.3704451631488</v>
      </c>
      <c r="ER258" s="5">
        <v>0</v>
      </c>
      <c r="ET258" s="318">
        <v>-1786.8152477619496</v>
      </c>
      <c r="EU258" s="5">
        <v>-1597.6323889322271</v>
      </c>
    </row>
    <row r="259" spans="1:151" x14ac:dyDescent="0.3">
      <c r="A259" s="325">
        <v>150000676</v>
      </c>
      <c r="B259" s="41" t="s">
        <v>705</v>
      </c>
      <c r="C259" s="42" t="s">
        <v>386</v>
      </c>
      <c r="D259" s="27">
        <v>9</v>
      </c>
      <c r="E259" s="293">
        <v>4198.2</v>
      </c>
      <c r="F259" s="305">
        <v>4198.2</v>
      </c>
      <c r="G259" s="508">
        <v>460.2</v>
      </c>
      <c r="H259" s="677">
        <v>0</v>
      </c>
      <c r="I259" s="674">
        <v>15098.980817139387</v>
      </c>
      <c r="J259" s="40">
        <v>16540.111451424968</v>
      </c>
      <c r="K259" s="52">
        <v>1441.1306342855805</v>
      </c>
      <c r="L259" s="674">
        <v>2333.5031786373411</v>
      </c>
      <c r="M259" s="40">
        <v>2554.0829682199774</v>
      </c>
      <c r="N259" s="52">
        <v>220.57978958263629</v>
      </c>
      <c r="O259" s="674">
        <v>5764.7467572460409</v>
      </c>
      <c r="P259" s="40">
        <v>5764.7400000000007</v>
      </c>
      <c r="Q259" s="52">
        <v>-6.7572460402516299E-3</v>
      </c>
      <c r="R259" s="674">
        <v>1434.6814233214548</v>
      </c>
      <c r="S259" s="40">
        <v>1434.6899999999998</v>
      </c>
      <c r="T259" s="52">
        <v>8.5766785450687166E-3</v>
      </c>
      <c r="U259" s="674">
        <v>714.84307937464087</v>
      </c>
      <c r="V259" s="40">
        <v>2477.3817027511736</v>
      </c>
      <c r="W259" s="52">
        <v>1762.5386233765328</v>
      </c>
      <c r="X259" s="674">
        <v>5951.9646036258328</v>
      </c>
      <c r="Y259" s="40">
        <v>7163.3158037773901</v>
      </c>
      <c r="Z259" s="52">
        <v>1211.3512001515574</v>
      </c>
      <c r="AA259" s="674">
        <v>503.79600000000005</v>
      </c>
      <c r="AB259" s="40">
        <v>0</v>
      </c>
      <c r="AC259" s="52">
        <v>-503.79600000000005</v>
      </c>
      <c r="AD259" s="674">
        <v>17999.889218506916</v>
      </c>
      <c r="AE259" s="40">
        <v>17837.128003144848</v>
      </c>
      <c r="AF259" s="35">
        <v>-162.76121536206847</v>
      </c>
      <c r="AG259" s="77">
        <v>49802.40507785161</v>
      </c>
      <c r="AH259" s="53">
        <v>53771.449929318354</v>
      </c>
      <c r="AI259" s="52">
        <v>3969.0448514667441</v>
      </c>
      <c r="AJ259" s="674">
        <v>34984.902065749113</v>
      </c>
      <c r="AK259" s="40">
        <v>34755.198455729827</v>
      </c>
      <c r="AL259" s="52">
        <v>-229.70361001928541</v>
      </c>
      <c r="AM259" s="674">
        <v>630.44965500000001</v>
      </c>
      <c r="AN259" s="40">
        <v>262.08425285224394</v>
      </c>
      <c r="AO259" s="52">
        <v>-368.36540214775607</v>
      </c>
      <c r="AP259" s="674">
        <v>3237.7211358128534</v>
      </c>
      <c r="AQ259" s="40">
        <v>2690.8111888111889</v>
      </c>
      <c r="AR259" s="52">
        <v>-546.90994700166448</v>
      </c>
      <c r="AS259" s="674">
        <v>55602.372912976884</v>
      </c>
      <c r="AT259" s="40">
        <v>76792.42</v>
      </c>
      <c r="AU259" s="54">
        <v>21190.047087023115</v>
      </c>
      <c r="AV259" s="674">
        <v>2368.8515626956382</v>
      </c>
      <c r="AW259" s="40">
        <v>3078</v>
      </c>
      <c r="AX259" s="55">
        <v>709.14843730436178</v>
      </c>
      <c r="AY259" s="674">
        <v>2731.0683424406884</v>
      </c>
      <c r="AZ259" s="40">
        <v>2055</v>
      </c>
      <c r="BA259" s="35">
        <v>-676.06834244068841</v>
      </c>
      <c r="BB259" s="674">
        <v>1718.2472400413299</v>
      </c>
      <c r="BC259" s="40">
        <v>0</v>
      </c>
      <c r="BD259" s="55">
        <v>-1718.2472400413299</v>
      </c>
      <c r="BE259" s="674">
        <v>2230.6435307291945</v>
      </c>
      <c r="BF259" s="40">
        <v>0</v>
      </c>
      <c r="BG259" s="38">
        <v>-2230.6435307291945</v>
      </c>
      <c r="BH259" s="674">
        <v>923.71373565197098</v>
      </c>
      <c r="BI259" s="40">
        <v>2195</v>
      </c>
      <c r="BJ259" s="55">
        <v>1271.2862643480289</v>
      </c>
      <c r="BK259" s="674">
        <v>1551.8720491295853</v>
      </c>
      <c r="BL259" s="40">
        <v>0</v>
      </c>
      <c r="BM259" s="38">
        <v>-1551.8720491295853</v>
      </c>
      <c r="BN259" s="674">
        <v>125.94900000000001</v>
      </c>
      <c r="BO259" s="40">
        <v>0</v>
      </c>
      <c r="BP259" s="55">
        <v>-125.94900000000001</v>
      </c>
      <c r="BQ259" s="77">
        <v>11650.345460688408</v>
      </c>
      <c r="BR259" s="40">
        <v>7328</v>
      </c>
      <c r="BS259" s="55">
        <v>-4322.3454606884079</v>
      </c>
      <c r="BT259" s="674">
        <v>53109.044326181247</v>
      </c>
      <c r="BU259" s="40">
        <v>49270.782771240491</v>
      </c>
      <c r="BV259" s="52">
        <v>-3838.2615549407565</v>
      </c>
      <c r="BW259" s="674">
        <v>32657.240798068979</v>
      </c>
      <c r="BX259" s="40">
        <v>30368.712621205013</v>
      </c>
      <c r="BY259" s="52">
        <v>-2288.5281768639652</v>
      </c>
      <c r="BZ259" s="674">
        <v>10912.545308614328</v>
      </c>
      <c r="CA259" s="40">
        <v>12822.735688948578</v>
      </c>
      <c r="CB259" s="52">
        <v>1910.1903803342502</v>
      </c>
      <c r="CC259" s="674">
        <v>504.08317267329033</v>
      </c>
      <c r="CD259" s="40">
        <v>525.73766813444831</v>
      </c>
      <c r="CE259" s="52">
        <v>21.654495461157978</v>
      </c>
      <c r="CF259" s="674">
        <v>61.13674544936341</v>
      </c>
      <c r="CG259" s="40">
        <v>0</v>
      </c>
      <c r="CH259" s="52">
        <v>-61.13674544936341</v>
      </c>
      <c r="CI259" s="674">
        <v>8671.6133084734029</v>
      </c>
      <c r="CJ259" s="40">
        <v>20906.424790108682</v>
      </c>
      <c r="CK259" s="52">
        <v>12234.811481635279</v>
      </c>
      <c r="CL259" s="674">
        <v>12507.525612710109</v>
      </c>
      <c r="CM259" s="40">
        <v>31359.681615040568</v>
      </c>
      <c r="CN259" s="52">
        <v>18852.156002330459</v>
      </c>
      <c r="CO259" s="39">
        <v>21179.138921183512</v>
      </c>
      <c r="CP259" s="40">
        <v>52266.10640514925</v>
      </c>
      <c r="CQ259" s="52">
        <v>31086.967483965738</v>
      </c>
      <c r="CR259" s="72">
        <v>274331.3855802496</v>
      </c>
      <c r="CS259" s="5">
        <v>320854.03898138943</v>
      </c>
      <c r="CT259" s="52">
        <v>46522.653401139833</v>
      </c>
      <c r="CU259" s="77">
        <v>329197.66269629949</v>
      </c>
      <c r="CV259" s="65">
        <v>385024.84677766729</v>
      </c>
      <c r="CW259" s="35">
        <v>55827.184081367799</v>
      </c>
      <c r="CX259" s="73">
        <v>9967.3650371753083</v>
      </c>
      <c r="CY259" s="40">
        <v>-45859.819044192474</v>
      </c>
      <c r="CZ259" s="52">
        <v>-55827.184081367785</v>
      </c>
      <c r="DA259" s="150">
        <v>60430.569836561612</v>
      </c>
      <c r="DB259" s="2">
        <v>2</v>
      </c>
      <c r="DC259" s="675">
        <v>97987.08</v>
      </c>
      <c r="DD259" s="675">
        <v>0</v>
      </c>
      <c r="DE259" s="675">
        <v>68281.185200378022</v>
      </c>
      <c r="DF259" s="675">
        <v>0</v>
      </c>
      <c r="DG259" s="321">
        <v>4603.3857551938381</v>
      </c>
      <c r="DH259" s="40">
        <v>339139.24647911353</v>
      </c>
      <c r="DI259" s="422">
        <v>29705.894799621979</v>
      </c>
      <c r="DJ259" s="306">
        <v>5.8748293012241479</v>
      </c>
      <c r="DK259" s="306">
        <v>7.2237288269659246</v>
      </c>
      <c r="DL259" s="306">
        <v>5.0025819474508628</v>
      </c>
      <c r="DM259" s="28">
        <v>29705.894799621979</v>
      </c>
      <c r="DN259" s="28">
        <v>0</v>
      </c>
      <c r="DO259" s="423">
        <v>29705.894799621979</v>
      </c>
      <c r="DP259" s="94">
        <v>0</v>
      </c>
      <c r="DQ259" s="28">
        <v>29705.894799621979</v>
      </c>
      <c r="DR259" s="318"/>
      <c r="DT259" s="8"/>
      <c r="DU259" s="5"/>
      <c r="DX259" s="5">
        <v>80703.262048398348</v>
      </c>
      <c r="DY259" s="5">
        <v>100944.504</v>
      </c>
      <c r="DZ259" s="159">
        <v>7120.505305963984</v>
      </c>
      <c r="EB259" s="676">
        <v>2587.6063036654887</v>
      </c>
      <c r="EC259" s="676">
        <v>3174.2991155574709</v>
      </c>
      <c r="ED259" s="676">
        <v>41387.52621801068</v>
      </c>
      <c r="EE259" s="676">
        <v>31155.204106991023</v>
      </c>
      <c r="EF259" s="676">
        <v>-11421.440406377569</v>
      </c>
      <c r="EG259" s="676">
        <v>-5077.8904906138923</v>
      </c>
      <c r="EH259" s="676">
        <v>4135.8995834894267</v>
      </c>
      <c r="EI259" s="676">
        <v>-3044.1702941801777</v>
      </c>
      <c r="EJ259" s="676">
        <v>-4644.9621063200757</v>
      </c>
      <c r="EK259" s="676">
        <v>-3648.7706948233936</v>
      </c>
      <c r="EL259" s="676">
        <v>399.31695466942983</v>
      </c>
      <c r="EM259" s="676">
        <v>824.56579129935926</v>
      </c>
      <c r="EN259" s="676">
        <v>55827.18408136777</v>
      </c>
      <c r="EQ259" s="5">
        <v>80703.262048398348</v>
      </c>
      <c r="ER259" s="5">
        <v>100944.504</v>
      </c>
      <c r="ET259" s="318">
        <v>-51155.165006472278</v>
      </c>
      <c r="EU259" s="5">
        <v>-50238.44923833388</v>
      </c>
    </row>
    <row r="260" spans="1:151" x14ac:dyDescent="0.3">
      <c r="A260" s="325">
        <v>150000671</v>
      </c>
      <c r="B260" s="41" t="s">
        <v>706</v>
      </c>
      <c r="C260" s="42" t="s">
        <v>128</v>
      </c>
      <c r="D260" s="27">
        <v>1</v>
      </c>
      <c r="E260" s="293">
        <v>229.7</v>
      </c>
      <c r="F260" s="305">
        <v>229.7</v>
      </c>
      <c r="G260" s="508">
        <v>0</v>
      </c>
      <c r="H260" s="677">
        <v>0</v>
      </c>
      <c r="I260" s="674">
        <v>0</v>
      </c>
      <c r="J260" s="40">
        <v>0</v>
      </c>
      <c r="K260" s="52">
        <v>0</v>
      </c>
      <c r="L260" s="674">
        <v>0</v>
      </c>
      <c r="M260" s="40">
        <v>0</v>
      </c>
      <c r="N260" s="52">
        <v>0</v>
      </c>
      <c r="O260" s="674">
        <v>0</v>
      </c>
      <c r="P260" s="40">
        <v>0</v>
      </c>
      <c r="Q260" s="52">
        <v>0</v>
      </c>
      <c r="R260" s="674">
        <v>0</v>
      </c>
      <c r="S260" s="40">
        <v>0</v>
      </c>
      <c r="T260" s="52">
        <v>0</v>
      </c>
      <c r="U260" s="674">
        <v>0</v>
      </c>
      <c r="V260" s="40">
        <v>0</v>
      </c>
      <c r="W260" s="52">
        <v>0</v>
      </c>
      <c r="X260" s="674">
        <v>0</v>
      </c>
      <c r="Y260" s="40">
        <v>0</v>
      </c>
      <c r="Z260" s="52">
        <v>0</v>
      </c>
      <c r="AA260" s="674">
        <v>27.228000000000002</v>
      </c>
      <c r="AB260" s="40">
        <v>0</v>
      </c>
      <c r="AC260" s="52">
        <v>-27.228000000000002</v>
      </c>
      <c r="AD260" s="674">
        <v>217.95695235086441</v>
      </c>
      <c r="AE260" s="40">
        <v>971.90037029694861</v>
      </c>
      <c r="AF260" s="35">
        <v>753.9434179460842</v>
      </c>
      <c r="AG260" s="77">
        <v>245.18495235086442</v>
      </c>
      <c r="AH260" s="53">
        <v>971.90037029694861</v>
      </c>
      <c r="AI260" s="52">
        <v>726.71541794608424</v>
      </c>
      <c r="AJ260" s="674">
        <v>0</v>
      </c>
      <c r="AK260" s="40">
        <v>0</v>
      </c>
      <c r="AL260" s="52">
        <v>0</v>
      </c>
      <c r="AM260" s="674">
        <v>0</v>
      </c>
      <c r="AN260" s="40">
        <v>0</v>
      </c>
      <c r="AO260" s="52">
        <v>0</v>
      </c>
      <c r="AP260" s="674">
        <v>539.62018930214231</v>
      </c>
      <c r="AQ260" s="40">
        <v>448.76449922990878</v>
      </c>
      <c r="AR260" s="52">
        <v>-90.855690072233529</v>
      </c>
      <c r="AS260" s="674">
        <v>2935.8368641734369</v>
      </c>
      <c r="AT260" s="40">
        <v>0</v>
      </c>
      <c r="AU260" s="54">
        <v>-2935.8368641734369</v>
      </c>
      <c r="AV260" s="674">
        <v>0</v>
      </c>
      <c r="AW260" s="40">
        <v>0</v>
      </c>
      <c r="AX260" s="55">
        <v>0</v>
      </c>
      <c r="AY260" s="674">
        <v>0</v>
      </c>
      <c r="AZ260" s="40">
        <v>0</v>
      </c>
      <c r="BA260" s="35">
        <v>0</v>
      </c>
      <c r="BB260" s="674">
        <v>0</v>
      </c>
      <c r="BC260" s="40">
        <v>0</v>
      </c>
      <c r="BD260" s="55">
        <v>0</v>
      </c>
      <c r="BE260" s="674">
        <v>0</v>
      </c>
      <c r="BF260" s="40">
        <v>0</v>
      </c>
      <c r="BG260" s="38">
        <v>0</v>
      </c>
      <c r="BH260" s="674">
        <v>0</v>
      </c>
      <c r="BI260" s="40">
        <v>0</v>
      </c>
      <c r="BJ260" s="55">
        <v>0</v>
      </c>
      <c r="BK260" s="674">
        <v>0</v>
      </c>
      <c r="BL260" s="40">
        <v>0</v>
      </c>
      <c r="BM260" s="38">
        <v>0</v>
      </c>
      <c r="BN260" s="674">
        <v>6.8070000000000004</v>
      </c>
      <c r="BO260" s="40">
        <v>0</v>
      </c>
      <c r="BP260" s="55">
        <v>-6.8070000000000004</v>
      </c>
      <c r="BQ260" s="77">
        <v>6.8070000000000004</v>
      </c>
      <c r="BR260" s="40">
        <v>0</v>
      </c>
      <c r="BS260" s="55">
        <v>-6.8070000000000004</v>
      </c>
      <c r="BT260" s="674">
        <v>394.79567744425896</v>
      </c>
      <c r="BU260" s="40">
        <v>512.24102906561177</v>
      </c>
      <c r="BV260" s="52">
        <v>117.44535162135281</v>
      </c>
      <c r="BW260" s="674">
        <v>0</v>
      </c>
      <c r="BX260" s="40">
        <v>5.2092430541327381</v>
      </c>
      <c r="BY260" s="52">
        <v>5.2092430541327381</v>
      </c>
      <c r="BZ260" s="674">
        <v>0</v>
      </c>
      <c r="CA260" s="40">
        <v>166.10206587172664</v>
      </c>
      <c r="CB260" s="52">
        <v>166.10206587172664</v>
      </c>
      <c r="CC260" s="674">
        <v>0</v>
      </c>
      <c r="CD260" s="40">
        <v>0</v>
      </c>
      <c r="CE260" s="52">
        <v>0</v>
      </c>
      <c r="CF260" s="674">
        <v>0</v>
      </c>
      <c r="CG260" s="40">
        <v>0</v>
      </c>
      <c r="CH260" s="52">
        <v>0</v>
      </c>
      <c r="CI260" s="674">
        <v>0</v>
      </c>
      <c r="CJ260" s="40">
        <v>0</v>
      </c>
      <c r="CK260" s="52">
        <v>0</v>
      </c>
      <c r="CL260" s="674">
        <v>0</v>
      </c>
      <c r="CM260" s="40">
        <v>0</v>
      </c>
      <c r="CN260" s="52">
        <v>0</v>
      </c>
      <c r="CO260" s="39">
        <v>0</v>
      </c>
      <c r="CP260" s="40">
        <v>0</v>
      </c>
      <c r="CQ260" s="52">
        <v>0</v>
      </c>
      <c r="CR260" s="72">
        <v>4122.2446832707028</v>
      </c>
      <c r="CS260" s="5">
        <v>2104.2172075183285</v>
      </c>
      <c r="CT260" s="52">
        <v>-2018.0274757523744</v>
      </c>
      <c r="CU260" s="77">
        <v>4946.693619924843</v>
      </c>
      <c r="CV260" s="65">
        <v>2525.0606490219939</v>
      </c>
      <c r="CW260" s="35">
        <v>-2421.6329709028491</v>
      </c>
      <c r="CX260" s="73">
        <v>109.79601554249824</v>
      </c>
      <c r="CY260" s="40">
        <v>2531.4289864453476</v>
      </c>
      <c r="CZ260" s="52">
        <v>2421.6329709028496</v>
      </c>
      <c r="DA260" s="150">
        <v>-10561.347014126524</v>
      </c>
      <c r="DB260" s="2">
        <v>2</v>
      </c>
      <c r="DC260" s="675">
        <v>516.5</v>
      </c>
      <c r="DD260" s="675">
        <v>0</v>
      </c>
      <c r="DE260" s="675">
        <v>71.979726566089141</v>
      </c>
      <c r="DF260" s="675">
        <v>0</v>
      </c>
      <c r="DG260" s="321">
        <v>-8139.7140432236738</v>
      </c>
      <c r="DH260" s="40">
        <v>5056.1105895839864</v>
      </c>
      <c r="DI260" s="422">
        <v>444.52027343391086</v>
      </c>
      <c r="DJ260" s="306">
        <v>1.9352210423766256</v>
      </c>
      <c r="DK260" s="306">
        <v>1.9352210423766256</v>
      </c>
      <c r="DL260" s="306">
        <v>1.9352210423766256</v>
      </c>
      <c r="DM260" s="28">
        <v>444.52027343391086</v>
      </c>
      <c r="DN260" s="28">
        <v>0</v>
      </c>
      <c r="DO260" s="423">
        <v>444.52027343391086</v>
      </c>
      <c r="DP260" s="94">
        <v>0</v>
      </c>
      <c r="DQ260" s="28">
        <v>444.52027343391086</v>
      </c>
      <c r="DR260" s="318"/>
      <c r="DT260" s="8"/>
      <c r="DU260" s="5"/>
      <c r="DX260" s="5">
        <v>3531.1726370081237</v>
      </c>
      <c r="DY260" s="5">
        <v>0</v>
      </c>
      <c r="DZ260" s="159">
        <v>328.49052607641823</v>
      </c>
      <c r="EB260" s="676">
        <v>79.409267162143408</v>
      </c>
      <c r="EC260" s="676">
        <v>-213.02890422579463</v>
      </c>
      <c r="ED260" s="676">
        <v>-208.92052493303504</v>
      </c>
      <c r="EE260" s="676">
        <v>-368.8676519202719</v>
      </c>
      <c r="EF260" s="676">
        <v>-257.73192097441085</v>
      </c>
      <c r="EG260" s="676">
        <v>-263.98179411800749</v>
      </c>
      <c r="EH260" s="676">
        <v>2.296696898352991</v>
      </c>
      <c r="EI260" s="676">
        <v>-222.25963723834633</v>
      </c>
      <c r="EJ260" s="676">
        <v>-259.09411975512188</v>
      </c>
      <c r="EK260" s="676">
        <v>-206.94686278806466</v>
      </c>
      <c r="EL260" s="676">
        <v>-240.57338747131979</v>
      </c>
      <c r="EM260" s="676">
        <v>-261.93413153897347</v>
      </c>
      <c r="EN260" s="676">
        <v>-2421.6329709028496</v>
      </c>
      <c r="EQ260" s="5">
        <v>3531.1726370081237</v>
      </c>
      <c r="ER260" s="5">
        <v>0</v>
      </c>
      <c r="ET260" s="318">
        <v>-2199.0028454945559</v>
      </c>
      <c r="EU260" s="5">
        <v>-2005.7111977291172</v>
      </c>
    </row>
    <row r="261" spans="1:151" x14ac:dyDescent="0.3">
      <c r="A261" s="325">
        <v>150000726</v>
      </c>
      <c r="B261" s="41" t="s">
        <v>707</v>
      </c>
      <c r="C261" s="42" t="s">
        <v>184</v>
      </c>
      <c r="D261" s="27">
        <v>2</v>
      </c>
      <c r="E261" s="293">
        <v>409.7</v>
      </c>
      <c r="F261" s="305">
        <v>409.7</v>
      </c>
      <c r="G261" s="508">
        <v>0</v>
      </c>
      <c r="H261" s="677">
        <v>0</v>
      </c>
      <c r="I261" s="674">
        <v>1887.6632929919995</v>
      </c>
      <c r="J261" s="40">
        <v>2033.0709999921883</v>
      </c>
      <c r="K261" s="52">
        <v>145.40770700018879</v>
      </c>
      <c r="L261" s="674">
        <v>329.81670697182972</v>
      </c>
      <c r="M261" s="40">
        <v>360.99657345655743</v>
      </c>
      <c r="N261" s="52">
        <v>31.179866484727711</v>
      </c>
      <c r="O261" s="674">
        <v>544.34297705383005</v>
      </c>
      <c r="P261" s="40">
        <v>544.35</v>
      </c>
      <c r="Q261" s="52">
        <v>7.0229461699682361E-3</v>
      </c>
      <c r="R261" s="674">
        <v>0</v>
      </c>
      <c r="S261" s="40">
        <v>0</v>
      </c>
      <c r="T261" s="52">
        <v>0</v>
      </c>
      <c r="U261" s="674">
        <v>0</v>
      </c>
      <c r="V261" s="40">
        <v>0</v>
      </c>
      <c r="W261" s="52">
        <v>0</v>
      </c>
      <c r="X261" s="674">
        <v>888.70308841281587</v>
      </c>
      <c r="Y261" s="40">
        <v>774.33545865677615</v>
      </c>
      <c r="Z261" s="52">
        <v>-114.36762975603972</v>
      </c>
      <c r="AA261" s="674">
        <v>49.043999999999997</v>
      </c>
      <c r="AB261" s="40">
        <v>0</v>
      </c>
      <c r="AC261" s="52">
        <v>-49.043999999999997</v>
      </c>
      <c r="AD261" s="674">
        <v>1755.5132407618041</v>
      </c>
      <c r="AE261" s="40">
        <v>1740.7013387122108</v>
      </c>
      <c r="AF261" s="35">
        <v>-14.8119020495933</v>
      </c>
      <c r="AG261" s="77">
        <v>5455.0833061922785</v>
      </c>
      <c r="AH261" s="53">
        <v>5453.4543708177325</v>
      </c>
      <c r="AI261" s="52">
        <v>-1.6289353745460176</v>
      </c>
      <c r="AJ261" s="674">
        <v>0</v>
      </c>
      <c r="AK261" s="40">
        <v>0</v>
      </c>
      <c r="AL261" s="52">
        <v>0</v>
      </c>
      <c r="AM261" s="674">
        <v>0</v>
      </c>
      <c r="AN261" s="40">
        <v>0</v>
      </c>
      <c r="AO261" s="52">
        <v>0</v>
      </c>
      <c r="AP261" s="674">
        <v>1079.2403786042846</v>
      </c>
      <c r="AQ261" s="40">
        <v>1469.5220363720171</v>
      </c>
      <c r="AR261" s="52">
        <v>390.28165776773244</v>
      </c>
      <c r="AS261" s="674">
        <v>4979.6056586710647</v>
      </c>
      <c r="AT261" s="40">
        <v>130</v>
      </c>
      <c r="AU261" s="54">
        <v>-4849.6056586710647</v>
      </c>
      <c r="AV261" s="674">
        <v>445.54944474022045</v>
      </c>
      <c r="AW261" s="40">
        <v>0</v>
      </c>
      <c r="AX261" s="55">
        <v>-445.54944474022045</v>
      </c>
      <c r="AY261" s="674">
        <v>540.7078733590771</v>
      </c>
      <c r="AZ261" s="40">
        <v>0</v>
      </c>
      <c r="BA261" s="35">
        <v>-540.7078733590771</v>
      </c>
      <c r="BB261" s="674">
        <v>254.78429505761719</v>
      </c>
      <c r="BC261" s="40">
        <v>0</v>
      </c>
      <c r="BD261" s="55">
        <v>-254.78429505761719</v>
      </c>
      <c r="BE261" s="674">
        <v>0</v>
      </c>
      <c r="BF261" s="40">
        <v>0</v>
      </c>
      <c r="BG261" s="38">
        <v>0</v>
      </c>
      <c r="BH261" s="674">
        <v>0</v>
      </c>
      <c r="BI261" s="40">
        <v>0</v>
      </c>
      <c r="BJ261" s="55">
        <v>0</v>
      </c>
      <c r="BK261" s="674">
        <v>95.609109999152707</v>
      </c>
      <c r="BL261" s="40">
        <v>1162</v>
      </c>
      <c r="BM261" s="38">
        <v>1066.3908900008473</v>
      </c>
      <c r="BN261" s="674">
        <v>12.260999999999999</v>
      </c>
      <c r="BO261" s="40">
        <v>0</v>
      </c>
      <c r="BP261" s="55">
        <v>-12.260999999999999</v>
      </c>
      <c r="BQ261" s="77">
        <v>1348.9117231560674</v>
      </c>
      <c r="BR261" s="40">
        <v>1162</v>
      </c>
      <c r="BS261" s="55">
        <v>-186.91172315606741</v>
      </c>
      <c r="BT261" s="674">
        <v>5091.6659516985519</v>
      </c>
      <c r="BU261" s="40">
        <v>5625.9651221621762</v>
      </c>
      <c r="BV261" s="52">
        <v>534.29917046362425</v>
      </c>
      <c r="BW261" s="674">
        <v>3360.2795168455377</v>
      </c>
      <c r="BX261" s="40">
        <v>3143.7777335449123</v>
      </c>
      <c r="BY261" s="52">
        <v>-216.50178330062545</v>
      </c>
      <c r="BZ261" s="674">
        <v>1193.790964804831</v>
      </c>
      <c r="CA261" s="40">
        <v>1252.43764169309</v>
      </c>
      <c r="CB261" s="52">
        <v>58.64667688825898</v>
      </c>
      <c r="CC261" s="674">
        <v>0</v>
      </c>
      <c r="CD261" s="40">
        <v>0</v>
      </c>
      <c r="CE261" s="52">
        <v>0</v>
      </c>
      <c r="CF261" s="674">
        <v>0</v>
      </c>
      <c r="CG261" s="40">
        <v>0</v>
      </c>
      <c r="CH261" s="52">
        <v>0</v>
      </c>
      <c r="CI261" s="674">
        <v>608.18132366708187</v>
      </c>
      <c r="CJ261" s="40">
        <v>273.91354058758787</v>
      </c>
      <c r="CK261" s="52">
        <v>-334.267783079494</v>
      </c>
      <c r="CL261" s="674">
        <v>0</v>
      </c>
      <c r="CM261" s="40">
        <v>0</v>
      </c>
      <c r="CN261" s="52">
        <v>0</v>
      </c>
      <c r="CO261" s="39">
        <v>608.18132366708187</v>
      </c>
      <c r="CP261" s="40">
        <v>273.91354058758787</v>
      </c>
      <c r="CQ261" s="52">
        <v>-334.267783079494</v>
      </c>
      <c r="CR261" s="72">
        <v>23116.758823639699</v>
      </c>
      <c r="CS261" s="5">
        <v>18511.07044517752</v>
      </c>
      <c r="CT261" s="52">
        <v>-4605.6883784621787</v>
      </c>
      <c r="CU261" s="77">
        <v>27740.110588367639</v>
      </c>
      <c r="CV261" s="65">
        <v>22213.284534213024</v>
      </c>
      <c r="CW261" s="35">
        <v>-5526.8260541546151</v>
      </c>
      <c r="CX261" s="73">
        <v>283.30753971310918</v>
      </c>
      <c r="CY261" s="40">
        <v>5810.1335938677221</v>
      </c>
      <c r="CZ261" s="52">
        <v>5526.8260541546133</v>
      </c>
      <c r="DA261" s="150">
        <v>4893.2920946136346</v>
      </c>
      <c r="DB261" s="2">
        <v>2</v>
      </c>
      <c r="DC261" s="675">
        <v>4779.1099999999997</v>
      </c>
      <c r="DD261" s="675">
        <v>0</v>
      </c>
      <c r="DE261" s="675">
        <v>2321.280504441786</v>
      </c>
      <c r="DF261" s="675">
        <v>0</v>
      </c>
      <c r="DG261" s="321">
        <v>10420.118148768248</v>
      </c>
      <c r="DH261" s="40">
        <v>28021.298905970514</v>
      </c>
      <c r="DI261" s="422">
        <v>2457.8294955582141</v>
      </c>
      <c r="DJ261" s="306">
        <v>5.9990956689241246</v>
      </c>
      <c r="DK261" s="306">
        <v>5.9990956689241246</v>
      </c>
      <c r="DL261" s="306">
        <v>5.1469121147530057</v>
      </c>
      <c r="DM261" s="28">
        <v>2457.8294955582137</v>
      </c>
      <c r="DN261" s="28">
        <v>0</v>
      </c>
      <c r="DO261" s="423">
        <v>2457.8294955582137</v>
      </c>
      <c r="DP261" s="94">
        <v>0</v>
      </c>
      <c r="DQ261" s="28">
        <v>2457.8294955582137</v>
      </c>
      <c r="DR261" s="318"/>
      <c r="DT261" s="8"/>
      <c r="DU261" s="5"/>
      <c r="DX261" s="5">
        <v>7594.2208581925588</v>
      </c>
      <c r="DY261" s="5">
        <v>1550.3999999999999</v>
      </c>
      <c r="DZ261" s="159">
        <v>671.83050926228361</v>
      </c>
      <c r="EB261" s="676">
        <v>255.70751887646497</v>
      </c>
      <c r="EC261" s="676">
        <v>-393.27801244733018</v>
      </c>
      <c r="ED261" s="676">
        <v>-468.18305826733058</v>
      </c>
      <c r="EE261" s="676">
        <v>-1089.0998644876906</v>
      </c>
      <c r="EF261" s="676">
        <v>-107.41256824709671</v>
      </c>
      <c r="EG261" s="676">
        <v>-1066.8448575101713</v>
      </c>
      <c r="EH261" s="676">
        <v>-714.7248295570862</v>
      </c>
      <c r="EI261" s="676">
        <v>-294.03605930450158</v>
      </c>
      <c r="EJ261" s="676">
        <v>-899.87728834914765</v>
      </c>
      <c r="EK261" s="676">
        <v>-803.8513684772779</v>
      </c>
      <c r="EL261" s="676">
        <v>1003.8859370235818</v>
      </c>
      <c r="EM261" s="676">
        <v>-949.11160340702691</v>
      </c>
      <c r="EN261" s="676">
        <v>-5526.8260541546133</v>
      </c>
      <c r="EQ261" s="5">
        <v>7594.2208581925588</v>
      </c>
      <c r="ER261" s="5">
        <v>1550.3999999999999</v>
      </c>
      <c r="ET261" s="318">
        <v>-232.6894417913411</v>
      </c>
      <c r="EU261" s="5">
        <v>12795.807590559592</v>
      </c>
    </row>
    <row r="262" spans="1:151" x14ac:dyDescent="0.3">
      <c r="A262" s="325">
        <v>150000727</v>
      </c>
      <c r="B262" s="41" t="s">
        <v>708</v>
      </c>
      <c r="C262" s="42" t="s">
        <v>129</v>
      </c>
      <c r="D262" s="27">
        <v>1</v>
      </c>
      <c r="E262" s="293">
        <v>188.44</v>
      </c>
      <c r="F262" s="305">
        <v>188.44</v>
      </c>
      <c r="G262" s="508">
        <v>0</v>
      </c>
      <c r="H262" s="677">
        <v>0</v>
      </c>
      <c r="I262" s="674">
        <v>0</v>
      </c>
      <c r="J262" s="40">
        <v>0</v>
      </c>
      <c r="K262" s="52">
        <v>0</v>
      </c>
      <c r="L262" s="674">
        <v>0</v>
      </c>
      <c r="M262" s="40">
        <v>0</v>
      </c>
      <c r="N262" s="52">
        <v>0</v>
      </c>
      <c r="O262" s="674">
        <v>0</v>
      </c>
      <c r="P262" s="40">
        <v>0</v>
      </c>
      <c r="Q262" s="52">
        <v>0</v>
      </c>
      <c r="R262" s="674">
        <v>0</v>
      </c>
      <c r="S262" s="40">
        <v>0</v>
      </c>
      <c r="T262" s="52">
        <v>0</v>
      </c>
      <c r="U262" s="674">
        <v>0</v>
      </c>
      <c r="V262" s="40">
        <v>0</v>
      </c>
      <c r="W262" s="52">
        <v>0</v>
      </c>
      <c r="X262" s="674">
        <v>0</v>
      </c>
      <c r="Y262" s="40">
        <v>0</v>
      </c>
      <c r="Z262" s="52">
        <v>0</v>
      </c>
      <c r="AA262" s="674">
        <v>22.6128</v>
      </c>
      <c r="AB262" s="40">
        <v>0</v>
      </c>
      <c r="AC262" s="52">
        <v>-22.6128</v>
      </c>
      <c r="AD262" s="674">
        <v>181.04969649404956</v>
      </c>
      <c r="AE262" s="40">
        <v>687.94453147173169</v>
      </c>
      <c r="AF262" s="35">
        <v>506.89483497768214</v>
      </c>
      <c r="AG262" s="77">
        <v>203.66249649404955</v>
      </c>
      <c r="AH262" s="53">
        <v>687.94453147173169</v>
      </c>
      <c r="AI262" s="52">
        <v>484.28203497768214</v>
      </c>
      <c r="AJ262" s="674">
        <v>0</v>
      </c>
      <c r="AK262" s="40">
        <v>0</v>
      </c>
      <c r="AL262" s="52">
        <v>0</v>
      </c>
      <c r="AM262" s="674">
        <v>0</v>
      </c>
      <c r="AN262" s="40">
        <v>0</v>
      </c>
      <c r="AO262" s="52">
        <v>0</v>
      </c>
      <c r="AP262" s="674">
        <v>556.14803126597189</v>
      </c>
      <c r="AQ262" s="40">
        <v>560.95562403738597</v>
      </c>
      <c r="AR262" s="52">
        <v>4.8075927714140789</v>
      </c>
      <c r="AS262" s="674">
        <v>1765.7762681893023</v>
      </c>
      <c r="AT262" s="40">
        <v>0</v>
      </c>
      <c r="AU262" s="54">
        <v>-1765.7762681893023</v>
      </c>
      <c r="AV262" s="674">
        <v>0</v>
      </c>
      <c r="AW262" s="40">
        <v>0</v>
      </c>
      <c r="AX262" s="55">
        <v>0</v>
      </c>
      <c r="AY262" s="674">
        <v>0</v>
      </c>
      <c r="AZ262" s="40">
        <v>0</v>
      </c>
      <c r="BA262" s="35">
        <v>0</v>
      </c>
      <c r="BB262" s="674">
        <v>0</v>
      </c>
      <c r="BC262" s="40">
        <v>0</v>
      </c>
      <c r="BD262" s="55">
        <v>0</v>
      </c>
      <c r="BE262" s="674">
        <v>0</v>
      </c>
      <c r="BF262" s="40">
        <v>0</v>
      </c>
      <c r="BG262" s="38">
        <v>0</v>
      </c>
      <c r="BH262" s="674">
        <v>0</v>
      </c>
      <c r="BI262" s="40">
        <v>0</v>
      </c>
      <c r="BJ262" s="55">
        <v>0</v>
      </c>
      <c r="BK262" s="674">
        <v>0</v>
      </c>
      <c r="BL262" s="40">
        <v>0</v>
      </c>
      <c r="BM262" s="38">
        <v>0</v>
      </c>
      <c r="BN262" s="674">
        <v>5.6532</v>
      </c>
      <c r="BO262" s="40">
        <v>0</v>
      </c>
      <c r="BP262" s="55">
        <v>-5.6532</v>
      </c>
      <c r="BQ262" s="77">
        <v>5.6532</v>
      </c>
      <c r="BR262" s="40">
        <v>0</v>
      </c>
      <c r="BS262" s="55">
        <v>-5.6532</v>
      </c>
      <c r="BT262" s="674">
        <v>223.31876703917669</v>
      </c>
      <c r="BU262" s="40">
        <v>369.02527746646257</v>
      </c>
      <c r="BV262" s="52">
        <v>145.70651042728588</v>
      </c>
      <c r="BW262" s="674">
        <v>0</v>
      </c>
      <c r="BX262" s="40">
        <v>3.5235960459540956</v>
      </c>
      <c r="BY262" s="52">
        <v>3.5235960459540956</v>
      </c>
      <c r="BZ262" s="674">
        <v>0</v>
      </c>
      <c r="CA262" s="40">
        <v>21.129770382748049</v>
      </c>
      <c r="CB262" s="52">
        <v>21.129770382748049</v>
      </c>
      <c r="CC262" s="674">
        <v>0</v>
      </c>
      <c r="CD262" s="40">
        <v>0</v>
      </c>
      <c r="CE262" s="52">
        <v>0</v>
      </c>
      <c r="CF262" s="674">
        <v>0</v>
      </c>
      <c r="CG262" s="40">
        <v>0</v>
      </c>
      <c r="CH262" s="52">
        <v>0</v>
      </c>
      <c r="CI262" s="674">
        <v>0</v>
      </c>
      <c r="CJ262" s="40">
        <v>0</v>
      </c>
      <c r="CK262" s="52">
        <v>0</v>
      </c>
      <c r="CL262" s="674">
        <v>0</v>
      </c>
      <c r="CM262" s="40">
        <v>0</v>
      </c>
      <c r="CN262" s="52">
        <v>0</v>
      </c>
      <c r="CO262" s="39">
        <v>0</v>
      </c>
      <c r="CP262" s="40">
        <v>0</v>
      </c>
      <c r="CQ262" s="52">
        <v>0</v>
      </c>
      <c r="CR262" s="72">
        <v>2754.5587629885003</v>
      </c>
      <c r="CS262" s="5">
        <v>1642.5787994042823</v>
      </c>
      <c r="CT262" s="52">
        <v>-1111.979963584218</v>
      </c>
      <c r="CU262" s="77">
        <v>3305.4705155862002</v>
      </c>
      <c r="CV262" s="65">
        <v>1971.0945592851388</v>
      </c>
      <c r="CW262" s="35">
        <v>-1334.3759563010615</v>
      </c>
      <c r="CX262" s="73">
        <v>103.68705360474964</v>
      </c>
      <c r="CY262" s="40">
        <v>1438.0630099058112</v>
      </c>
      <c r="CZ262" s="52">
        <v>1334.3759563010615</v>
      </c>
      <c r="DA262" s="150">
        <v>-6711.3315737730827</v>
      </c>
      <c r="DB262" s="2">
        <v>2</v>
      </c>
      <c r="DC262" s="675">
        <v>1452.27</v>
      </c>
      <c r="DD262" s="675">
        <v>0</v>
      </c>
      <c r="DE262" s="675">
        <v>1452.27</v>
      </c>
      <c r="DF262" s="675">
        <v>0</v>
      </c>
      <c r="DG262" s="321">
        <v>-5376.955617472021</v>
      </c>
      <c r="DH262" s="40">
        <v>4134.3016112747055</v>
      </c>
      <c r="DI262" s="422">
        <v>362.72820141722877</v>
      </c>
      <c r="DJ262" s="306">
        <v>1.924900241016922</v>
      </c>
      <c r="DK262" s="306">
        <v>1.924900241016922</v>
      </c>
      <c r="DL262" s="306">
        <v>1.924900241016922</v>
      </c>
      <c r="DM262" s="28">
        <v>362.72820141722877</v>
      </c>
      <c r="DN262" s="28">
        <v>0</v>
      </c>
      <c r="DO262" s="423">
        <v>362.72820141722877</v>
      </c>
      <c r="DP262" s="94">
        <v>0</v>
      </c>
      <c r="DQ262" s="28">
        <v>362.72820141722877</v>
      </c>
      <c r="DR262" s="318"/>
      <c r="DT262" s="8"/>
      <c r="DU262" s="5"/>
      <c r="DX262" s="5">
        <v>2125.7153618271627</v>
      </c>
      <c r="DY262" s="5">
        <v>0</v>
      </c>
      <c r="DZ262" s="159">
        <v>244.57163169062977</v>
      </c>
      <c r="EB262" s="676">
        <v>180.98261375553113</v>
      </c>
      <c r="EC262" s="676">
        <v>-174.76677062984723</v>
      </c>
      <c r="ED262" s="676">
        <v>-171.35476977516402</v>
      </c>
      <c r="EE262" s="676">
        <v>-297.20695497051599</v>
      </c>
      <c r="EF262" s="676">
        <v>-215.25872821088973</v>
      </c>
      <c r="EG262" s="676">
        <v>-193.24569929019111</v>
      </c>
      <c r="EH262" s="676">
        <v>113.96288164882026</v>
      </c>
      <c r="EI262" s="676">
        <v>-186.36778333929811</v>
      </c>
      <c r="EJ262" s="676">
        <v>-216.59744477365291</v>
      </c>
      <c r="EK262" s="676">
        <v>-174.52330071585374</v>
      </c>
      <c r="EL262" s="676">
        <v>0</v>
      </c>
      <c r="EM262" s="676">
        <v>0</v>
      </c>
      <c r="EN262" s="676">
        <v>-1334.3759563010615</v>
      </c>
      <c r="EQ262" s="5">
        <v>2125.7153618271627</v>
      </c>
      <c r="ER262" s="5">
        <v>0</v>
      </c>
      <c r="ET262" s="318">
        <v>-1616.7897459897258</v>
      </c>
      <c r="EU262" s="5">
        <v>-1427.1658714822966</v>
      </c>
    </row>
    <row r="263" spans="1:151" x14ac:dyDescent="0.3">
      <c r="A263" s="325">
        <v>150000728</v>
      </c>
      <c r="B263" s="41" t="s">
        <v>709</v>
      </c>
      <c r="C263" s="42" t="s">
        <v>185</v>
      </c>
      <c r="D263" s="27">
        <v>2</v>
      </c>
      <c r="E263" s="293">
        <v>450.6</v>
      </c>
      <c r="F263" s="305">
        <v>386.5</v>
      </c>
      <c r="G263" s="508">
        <v>0</v>
      </c>
      <c r="H263" s="677">
        <v>64.099999999999994</v>
      </c>
      <c r="I263" s="674">
        <v>1918.1422125222018</v>
      </c>
      <c r="J263" s="40">
        <v>2069.3837765724011</v>
      </c>
      <c r="K263" s="52">
        <v>151.24156405019926</v>
      </c>
      <c r="L263" s="674">
        <v>329.81670697182972</v>
      </c>
      <c r="M263" s="40">
        <v>360.99657345655743</v>
      </c>
      <c r="N263" s="52">
        <v>31.179866484727711</v>
      </c>
      <c r="O263" s="674">
        <v>612.86827509232</v>
      </c>
      <c r="P263" s="40">
        <v>612.83999999999992</v>
      </c>
      <c r="Q263" s="52">
        <v>-2.8275092320086515E-2</v>
      </c>
      <c r="R263" s="674">
        <v>0</v>
      </c>
      <c r="S263" s="40">
        <v>0</v>
      </c>
      <c r="T263" s="52">
        <v>0</v>
      </c>
      <c r="U263" s="674">
        <v>0</v>
      </c>
      <c r="V263" s="40">
        <v>0</v>
      </c>
      <c r="W263" s="52">
        <v>0</v>
      </c>
      <c r="X263" s="674">
        <v>888.70308841281587</v>
      </c>
      <c r="Y263" s="40">
        <v>776.18065373320132</v>
      </c>
      <c r="Z263" s="52">
        <v>-112.52243467961455</v>
      </c>
      <c r="AA263" s="674">
        <v>54.072000000000003</v>
      </c>
      <c r="AB263" s="40">
        <v>0</v>
      </c>
      <c r="AC263" s="52">
        <v>-54.072000000000003</v>
      </c>
      <c r="AD263" s="674">
        <v>1928.1131511208839</v>
      </c>
      <c r="AE263" s="40">
        <v>1914.4740620544837</v>
      </c>
      <c r="AF263" s="35">
        <v>-13.639089066400174</v>
      </c>
      <c r="AG263" s="77">
        <v>5731.7154341200512</v>
      </c>
      <c r="AH263" s="53">
        <v>5733.8750658166437</v>
      </c>
      <c r="AI263" s="52">
        <v>2.1596316965924416</v>
      </c>
      <c r="AJ263" s="674">
        <v>0</v>
      </c>
      <c r="AK263" s="40">
        <v>0</v>
      </c>
      <c r="AL263" s="52">
        <v>0</v>
      </c>
      <c r="AM263" s="674">
        <v>0</v>
      </c>
      <c r="AN263" s="40">
        <v>0</v>
      </c>
      <c r="AO263" s="52">
        <v>0</v>
      </c>
      <c r="AP263" s="674">
        <v>944.33533127874898</v>
      </c>
      <c r="AQ263" s="40">
        <v>1285.8317818255148</v>
      </c>
      <c r="AR263" s="52">
        <v>341.4964505467658</v>
      </c>
      <c r="AS263" s="674">
        <v>3950.9828276633857</v>
      </c>
      <c r="AT263" s="40">
        <v>130</v>
      </c>
      <c r="AU263" s="54">
        <v>-3820.9828276633857</v>
      </c>
      <c r="AV263" s="674">
        <v>471.99356244623243</v>
      </c>
      <c r="AW263" s="40">
        <v>0</v>
      </c>
      <c r="AX263" s="55">
        <v>-471.99356244623243</v>
      </c>
      <c r="AY263" s="674">
        <v>540.7078733590771</v>
      </c>
      <c r="AZ263" s="40">
        <v>0</v>
      </c>
      <c r="BA263" s="35">
        <v>-540.7078733590771</v>
      </c>
      <c r="BB263" s="674">
        <v>288.06158444694177</v>
      </c>
      <c r="BC263" s="40">
        <v>0</v>
      </c>
      <c r="BD263" s="55">
        <v>-288.06158444694177</v>
      </c>
      <c r="BE263" s="674">
        <v>0</v>
      </c>
      <c r="BF263" s="40">
        <v>0</v>
      </c>
      <c r="BG263" s="38">
        <v>0</v>
      </c>
      <c r="BH263" s="674">
        <v>0</v>
      </c>
      <c r="BI263" s="40">
        <v>0</v>
      </c>
      <c r="BJ263" s="55">
        <v>0</v>
      </c>
      <c r="BK263" s="674">
        <v>95.609109999152707</v>
      </c>
      <c r="BL263" s="40">
        <v>709</v>
      </c>
      <c r="BM263" s="38">
        <v>613.39089000084732</v>
      </c>
      <c r="BN263" s="674">
        <v>13.518000000000001</v>
      </c>
      <c r="BO263" s="40">
        <v>0</v>
      </c>
      <c r="BP263" s="55">
        <v>-13.518000000000001</v>
      </c>
      <c r="BQ263" s="77">
        <v>1409.8901302514041</v>
      </c>
      <c r="BR263" s="40">
        <v>709</v>
      </c>
      <c r="BS263" s="55">
        <v>-700.89013025140412</v>
      </c>
      <c r="BT263" s="674">
        <v>5237.025642831105</v>
      </c>
      <c r="BU263" s="40">
        <v>6871.5103885355074</v>
      </c>
      <c r="BV263" s="52">
        <v>1634.4847457044025</v>
      </c>
      <c r="BW263" s="674">
        <v>4354.9728223386282</v>
      </c>
      <c r="BX263" s="40">
        <v>3947.6467768107455</v>
      </c>
      <c r="BY263" s="52">
        <v>-407.3260455278828</v>
      </c>
      <c r="BZ263" s="674">
        <v>1099.2297044180107</v>
      </c>
      <c r="CA263" s="40">
        <v>1190.7929305084201</v>
      </c>
      <c r="CB263" s="52">
        <v>91.563226090409444</v>
      </c>
      <c r="CC263" s="674">
        <v>0</v>
      </c>
      <c r="CD263" s="40">
        <v>0</v>
      </c>
      <c r="CE263" s="52">
        <v>0</v>
      </c>
      <c r="CF263" s="674">
        <v>0</v>
      </c>
      <c r="CG263" s="40">
        <v>0</v>
      </c>
      <c r="CH263" s="52">
        <v>0</v>
      </c>
      <c r="CI263" s="674">
        <v>832.73533802759937</v>
      </c>
      <c r="CJ263" s="40">
        <v>471.95427657991917</v>
      </c>
      <c r="CK263" s="52">
        <v>-360.7810614476802</v>
      </c>
      <c r="CL263" s="674">
        <v>0</v>
      </c>
      <c r="CM263" s="40">
        <v>0</v>
      </c>
      <c r="CN263" s="52">
        <v>0</v>
      </c>
      <c r="CO263" s="39">
        <v>832.73533802759937</v>
      </c>
      <c r="CP263" s="40">
        <v>471.95427657991917</v>
      </c>
      <c r="CQ263" s="52">
        <v>-360.7810614476802</v>
      </c>
      <c r="CR263" s="72">
        <v>23560.887230928936</v>
      </c>
      <c r="CS263" s="5">
        <v>20340.611220076753</v>
      </c>
      <c r="CT263" s="52">
        <v>-3220.2760108521834</v>
      </c>
      <c r="CU263" s="77">
        <v>28273.064677114722</v>
      </c>
      <c r="CV263" s="65">
        <v>24408.733464092104</v>
      </c>
      <c r="CW263" s="35">
        <v>-3864.3312130226186</v>
      </c>
      <c r="CX263" s="73">
        <v>855.82555246544894</v>
      </c>
      <c r="CY263" s="40">
        <v>4720.1567654880673</v>
      </c>
      <c r="CZ263" s="52">
        <v>3864.3312130226186</v>
      </c>
      <c r="DA263" s="150">
        <v>20922.397290426055</v>
      </c>
      <c r="DB263" s="2">
        <v>2</v>
      </c>
      <c r="DC263" s="675">
        <v>5012.8100000000004</v>
      </c>
      <c r="DD263" s="675">
        <v>713.93</v>
      </c>
      <c r="DE263" s="675">
        <v>2753.3700611714085</v>
      </c>
      <c r="DF263" s="675">
        <v>421.10341935550076</v>
      </c>
      <c r="DG263" s="321">
        <v>24786.728503448674</v>
      </c>
      <c r="DH263" s="40">
        <v>29126.679266321356</v>
      </c>
      <c r="DI263" s="422">
        <v>2552.2665194730916</v>
      </c>
      <c r="DJ263" s="306">
        <v>5.8458989361671208</v>
      </c>
      <c r="DK263" s="306">
        <v>5.8458989361671208</v>
      </c>
      <c r="DL263" s="306">
        <v>4.5682773891497535</v>
      </c>
      <c r="DM263" s="28">
        <v>2259.4399388285919</v>
      </c>
      <c r="DN263" s="28">
        <v>292.82658064449919</v>
      </c>
      <c r="DO263" s="423">
        <v>2552.2665194730912</v>
      </c>
      <c r="DP263" s="94">
        <v>0</v>
      </c>
      <c r="DQ263" s="28">
        <v>2552.2665194730912</v>
      </c>
      <c r="DR263" s="318"/>
      <c r="DT263" s="8"/>
      <c r="DU263" s="5"/>
      <c r="DX263" s="5">
        <v>6433.0475494977472</v>
      </c>
      <c r="DY263" s="5">
        <v>1006.8</v>
      </c>
      <c r="DZ263" s="159">
        <v>520.34803956334667</v>
      </c>
      <c r="EB263" s="676">
        <v>99.56463754941251</v>
      </c>
      <c r="EC263" s="676">
        <v>-511.19322688066745</v>
      </c>
      <c r="ED263" s="676">
        <v>-527.32229116494091</v>
      </c>
      <c r="EE263" s="676">
        <v>-179.75637113955872</v>
      </c>
      <c r="EF263" s="676">
        <v>629.61513015196215</v>
      </c>
      <c r="EG263" s="676">
        <v>-803.0519074728079</v>
      </c>
      <c r="EH263" s="676">
        <v>-280.42128586679701</v>
      </c>
      <c r="EI263" s="676">
        <v>111.45701305663169</v>
      </c>
      <c r="EJ263" s="676">
        <v>-771.86451177281447</v>
      </c>
      <c r="EK263" s="676">
        <v>-701.67458127820078</v>
      </c>
      <c r="EL263" s="676">
        <v>-36.359453441001733</v>
      </c>
      <c r="EM263" s="676">
        <v>-893.32436476383714</v>
      </c>
      <c r="EN263" s="676">
        <v>-3864.3312130226195</v>
      </c>
      <c r="EQ263" s="5">
        <v>6433.0475494977472</v>
      </c>
      <c r="ER263" s="5">
        <v>1006.8</v>
      </c>
      <c r="ET263" s="318">
        <v>-1043.3263651682144</v>
      </c>
      <c r="EU263" s="5">
        <v>30691.054868616891</v>
      </c>
    </row>
    <row r="264" spans="1:151" x14ac:dyDescent="0.3">
      <c r="A264" s="325">
        <v>150000729</v>
      </c>
      <c r="B264" s="41" t="s">
        <v>710</v>
      </c>
      <c r="C264" s="42" t="s">
        <v>274</v>
      </c>
      <c r="D264" s="27">
        <v>5</v>
      </c>
      <c r="E264" s="293">
        <v>2102.6</v>
      </c>
      <c r="F264" s="305">
        <v>2102.6</v>
      </c>
      <c r="G264" s="508">
        <v>0</v>
      </c>
      <c r="H264" s="677">
        <v>0</v>
      </c>
      <c r="I264" s="674">
        <v>8135.7048988571287</v>
      </c>
      <c r="J264" s="40">
        <v>8836.3911436262424</v>
      </c>
      <c r="K264" s="52">
        <v>700.68624476911373</v>
      </c>
      <c r="L264" s="674">
        <v>1765.1029373679119</v>
      </c>
      <c r="M264" s="40">
        <v>1931.9741506503626</v>
      </c>
      <c r="N264" s="52">
        <v>166.87121328245075</v>
      </c>
      <c r="O264" s="674">
        <v>2986.5823120353002</v>
      </c>
      <c r="P264" s="40">
        <v>2986.56</v>
      </c>
      <c r="Q264" s="52">
        <v>-2.2312035300274147E-2</v>
      </c>
      <c r="R264" s="674">
        <v>0</v>
      </c>
      <c r="S264" s="40">
        <v>0</v>
      </c>
      <c r="T264" s="52">
        <v>0</v>
      </c>
      <c r="U264" s="674">
        <v>0</v>
      </c>
      <c r="V264" s="40">
        <v>0</v>
      </c>
      <c r="W264" s="52">
        <v>0</v>
      </c>
      <c r="X264" s="674">
        <v>5182.0274863730965</v>
      </c>
      <c r="Y264" s="40">
        <v>3772.7757979537569</v>
      </c>
      <c r="Z264" s="52">
        <v>-1409.2516884193396</v>
      </c>
      <c r="AA264" s="674">
        <v>252.68399999999997</v>
      </c>
      <c r="AB264" s="40">
        <v>0</v>
      </c>
      <c r="AC264" s="52">
        <v>-252.68399999999997</v>
      </c>
      <c r="AD264" s="674">
        <v>9018.2257453963703</v>
      </c>
      <c r="AE264" s="40">
        <v>8933.36254521917</v>
      </c>
      <c r="AF264" s="35">
        <v>-84.86320017720027</v>
      </c>
      <c r="AG264" s="77">
        <v>27340.327380029805</v>
      </c>
      <c r="AH264" s="53">
        <v>26461.063637449533</v>
      </c>
      <c r="AI264" s="52">
        <v>-879.26374258027136</v>
      </c>
      <c r="AJ264" s="674">
        <v>0</v>
      </c>
      <c r="AK264" s="40">
        <v>0</v>
      </c>
      <c r="AL264" s="52">
        <v>0</v>
      </c>
      <c r="AM264" s="674">
        <v>0</v>
      </c>
      <c r="AN264" s="40">
        <v>0</v>
      </c>
      <c r="AO264" s="52">
        <v>0</v>
      </c>
      <c r="AP264" s="674">
        <v>5396.2018930214253</v>
      </c>
      <c r="AQ264" s="40">
        <v>4381.515090124165</v>
      </c>
      <c r="AR264" s="52">
        <v>-1014.6868028972603</v>
      </c>
      <c r="AS264" s="674">
        <v>24604.290872176542</v>
      </c>
      <c r="AT264" s="40">
        <v>1014</v>
      </c>
      <c r="AU264" s="54">
        <v>-23590.290872176542</v>
      </c>
      <c r="AV264" s="674">
        <v>2011.7372618098329</v>
      </c>
      <c r="AW264" s="40">
        <v>0</v>
      </c>
      <c r="AX264" s="55">
        <v>-2011.7372618098329</v>
      </c>
      <c r="AY264" s="674">
        <v>2893.4102759072148</v>
      </c>
      <c r="AZ264" s="40">
        <v>0</v>
      </c>
      <c r="BA264" s="35">
        <v>-2893.4102759072148</v>
      </c>
      <c r="BB264" s="674">
        <v>1219.9238382948577</v>
      </c>
      <c r="BC264" s="40">
        <v>993</v>
      </c>
      <c r="BD264" s="55">
        <v>-226.92383829485766</v>
      </c>
      <c r="BE264" s="674">
        <v>0</v>
      </c>
      <c r="BF264" s="40">
        <v>0</v>
      </c>
      <c r="BG264" s="38">
        <v>0</v>
      </c>
      <c r="BH264" s="674">
        <v>0</v>
      </c>
      <c r="BI264" s="40">
        <v>0</v>
      </c>
      <c r="BJ264" s="55">
        <v>0</v>
      </c>
      <c r="BK264" s="674">
        <v>1200.0239802169494</v>
      </c>
      <c r="BL264" s="40">
        <v>0</v>
      </c>
      <c r="BM264" s="38">
        <v>-1200.0239802169494</v>
      </c>
      <c r="BN264" s="674">
        <v>63.170999999999992</v>
      </c>
      <c r="BO264" s="40">
        <v>0</v>
      </c>
      <c r="BP264" s="55">
        <v>-63.170999999999992</v>
      </c>
      <c r="BQ264" s="77">
        <v>7388.2663562288562</v>
      </c>
      <c r="BR264" s="40">
        <v>993</v>
      </c>
      <c r="BS264" s="55">
        <v>-6395.2663562288562</v>
      </c>
      <c r="BT264" s="674">
        <v>11789.540419036213</v>
      </c>
      <c r="BU264" s="40">
        <v>14894.182938344753</v>
      </c>
      <c r="BV264" s="52">
        <v>3104.6425193085397</v>
      </c>
      <c r="BW264" s="674">
        <v>10475.403632872121</v>
      </c>
      <c r="BX264" s="40">
        <v>9663.363774200634</v>
      </c>
      <c r="BY264" s="52">
        <v>-812.03985867148731</v>
      </c>
      <c r="BZ264" s="674">
        <v>5545.6876108903825</v>
      </c>
      <c r="CA264" s="40">
        <v>3566.665367041132</v>
      </c>
      <c r="CB264" s="52">
        <v>-1979.0222438492506</v>
      </c>
      <c r="CC264" s="674">
        <v>1050.4538356689095</v>
      </c>
      <c r="CD264" s="40">
        <v>1104.0491030823414</v>
      </c>
      <c r="CE264" s="52">
        <v>53.595267413431884</v>
      </c>
      <c r="CF264" s="674">
        <v>128.38716544366315</v>
      </c>
      <c r="CG264" s="40">
        <v>1108.8914869255336</v>
      </c>
      <c r="CH264" s="52">
        <v>980.50432148187042</v>
      </c>
      <c r="CI264" s="674">
        <v>2946.5708630196432</v>
      </c>
      <c r="CJ264" s="40">
        <v>2909.0607566355202</v>
      </c>
      <c r="CK264" s="52">
        <v>-37.510106384122992</v>
      </c>
      <c r="CL264" s="674">
        <v>0</v>
      </c>
      <c r="CM264" s="40">
        <v>0</v>
      </c>
      <c r="CN264" s="52">
        <v>0</v>
      </c>
      <c r="CO264" s="39">
        <v>2946.5708630196432</v>
      </c>
      <c r="CP264" s="40">
        <v>2909.0607566355202</v>
      </c>
      <c r="CQ264" s="52">
        <v>-37.510106384122992</v>
      </c>
      <c r="CR264" s="72">
        <v>96665.130028387575</v>
      </c>
      <c r="CS264" s="5">
        <v>66095.792153803603</v>
      </c>
      <c r="CT264" s="52">
        <v>-30569.337874583973</v>
      </c>
      <c r="CU264" s="77">
        <v>115998.15603406509</v>
      </c>
      <c r="CV264" s="65">
        <v>79314.950584564314</v>
      </c>
      <c r="CW264" s="35">
        <v>-36683.205449500776</v>
      </c>
      <c r="CX264" s="73">
        <v>5810.0457082987359</v>
      </c>
      <c r="CY264" s="40">
        <v>42493.251157799488</v>
      </c>
      <c r="CZ264" s="52">
        <v>36683.205449500754</v>
      </c>
      <c r="DA264" s="150">
        <v>-37913.684637148348</v>
      </c>
      <c r="DB264" s="2">
        <v>2</v>
      </c>
      <c r="DC264" s="675">
        <v>24870.91</v>
      </c>
      <c r="DD264" s="675">
        <v>0</v>
      </c>
      <c r="DE264" s="675">
        <v>14196.225308015373</v>
      </c>
      <c r="DF264" s="675">
        <v>0</v>
      </c>
      <c r="DG264" s="321">
        <v>-1230.479187647592</v>
      </c>
      <c r="DH264" s="40">
        <v>121798.96223342045</v>
      </c>
      <c r="DI264" s="422">
        <v>10674.684691984625</v>
      </c>
      <c r="DJ264" s="306">
        <v>5.0768975040353022</v>
      </c>
      <c r="DK264" s="306">
        <v>5.0768975040353022</v>
      </c>
      <c r="DL264" s="306">
        <v>4.4996697982394105</v>
      </c>
      <c r="DM264" s="28">
        <v>10674.684691984627</v>
      </c>
      <c r="DN264" s="28">
        <v>0</v>
      </c>
      <c r="DO264" s="423">
        <v>10674.684691984627</v>
      </c>
      <c r="DP264" s="94">
        <v>0</v>
      </c>
      <c r="DQ264" s="28">
        <v>10674.684691984627</v>
      </c>
      <c r="DR264" s="318"/>
      <c r="DT264" s="8"/>
      <c r="DU264" s="5"/>
      <c r="DX264" s="5">
        <v>38391.068674086477</v>
      </c>
      <c r="DY264" s="5">
        <v>2408.4</v>
      </c>
      <c r="DZ264" s="159">
        <v>3409.5812603043178</v>
      </c>
      <c r="EB264" s="676">
        <v>-1213.3617157562931</v>
      </c>
      <c r="EC264" s="676">
        <v>-1123.5572300252588</v>
      </c>
      <c r="ED264" s="676">
        <v>116.88728100613207</v>
      </c>
      <c r="EE264" s="676">
        <v>-5923.8811430621854</v>
      </c>
      <c r="EF264" s="676">
        <v>-4541.8669743162936</v>
      </c>
      <c r="EG264" s="676">
        <v>-3606.2049984216346</v>
      </c>
      <c r="EH264" s="676">
        <v>-3971.3375593692936</v>
      </c>
      <c r="EI264" s="676">
        <v>-3716.3794021922322</v>
      </c>
      <c r="EJ264" s="676">
        <v>-1569.2627472174281</v>
      </c>
      <c r="EK264" s="676">
        <v>-3536.9789078543072</v>
      </c>
      <c r="EL264" s="676">
        <v>-3457.123618295208</v>
      </c>
      <c r="EM264" s="676">
        <v>-4140.1384339967462</v>
      </c>
      <c r="EN264" s="676">
        <v>-36683.205449500754</v>
      </c>
      <c r="EQ264" s="5">
        <v>38391.068674086477</v>
      </c>
      <c r="ER264" s="5">
        <v>2408.4</v>
      </c>
      <c r="ET264" s="318">
        <v>11723.663635201618</v>
      </c>
      <c r="EU264" s="5">
        <v>-11683.14282284921</v>
      </c>
    </row>
    <row r="265" spans="1:151" x14ac:dyDescent="0.3">
      <c r="A265" s="325">
        <v>150000721</v>
      </c>
      <c r="B265" s="41" t="s">
        <v>711</v>
      </c>
      <c r="C265" s="42" t="s">
        <v>219</v>
      </c>
      <c r="D265" s="27">
        <v>4</v>
      </c>
      <c r="E265" s="293">
        <v>2791.9</v>
      </c>
      <c r="F265" s="305">
        <v>2723.3</v>
      </c>
      <c r="G265" s="508">
        <v>0</v>
      </c>
      <c r="H265" s="677">
        <v>68.599999999999994</v>
      </c>
      <c r="I265" s="674">
        <v>10245.700406984006</v>
      </c>
      <c r="J265" s="40">
        <v>11185.892265423359</v>
      </c>
      <c r="K265" s="52">
        <v>940.19185843935338</v>
      </c>
      <c r="L265" s="674">
        <v>1459.6954620418296</v>
      </c>
      <c r="M265" s="40">
        <v>1597.6920346012255</v>
      </c>
      <c r="N265" s="52">
        <v>137.99657255939587</v>
      </c>
      <c r="O265" s="674">
        <v>3564.3341911481648</v>
      </c>
      <c r="P265" s="40">
        <v>3564.3299999999995</v>
      </c>
      <c r="Q265" s="52">
        <v>-4.1911481653187366E-3</v>
      </c>
      <c r="R265" s="674">
        <v>0</v>
      </c>
      <c r="S265" s="40">
        <v>0</v>
      </c>
      <c r="T265" s="52">
        <v>0</v>
      </c>
      <c r="U265" s="674">
        <v>0</v>
      </c>
      <c r="V265" s="40">
        <v>0</v>
      </c>
      <c r="W265" s="52">
        <v>0</v>
      </c>
      <c r="X265" s="674">
        <v>4270.0536100716581</v>
      </c>
      <c r="Y265" s="40">
        <v>3158.396406011736</v>
      </c>
      <c r="Z265" s="52">
        <v>-1111.6572040599222</v>
      </c>
      <c r="AA265" s="674">
        <v>334.74</v>
      </c>
      <c r="AB265" s="40">
        <v>430</v>
      </c>
      <c r="AC265" s="52">
        <v>95.259999999999991</v>
      </c>
      <c r="AD265" s="674">
        <v>11963.586175430411</v>
      </c>
      <c r="AE265" s="40">
        <v>11859.271164561022</v>
      </c>
      <c r="AF265" s="35">
        <v>-104.31501086938988</v>
      </c>
      <c r="AG265" s="77">
        <v>31838.109845676066</v>
      </c>
      <c r="AH265" s="53">
        <v>31795.58187059734</v>
      </c>
      <c r="AI265" s="52">
        <v>-42.52797507872674</v>
      </c>
      <c r="AJ265" s="674">
        <v>0</v>
      </c>
      <c r="AK265" s="40">
        <v>0</v>
      </c>
      <c r="AL265" s="52">
        <v>0</v>
      </c>
      <c r="AM265" s="674">
        <v>0</v>
      </c>
      <c r="AN265" s="40">
        <v>0</v>
      </c>
      <c r="AO265" s="52">
        <v>0</v>
      </c>
      <c r="AP265" s="674">
        <v>9308.4482654619569</v>
      </c>
      <c r="AQ265" s="40">
        <v>7192.5714168300783</v>
      </c>
      <c r="AR265" s="52">
        <v>-2115.8768486318786</v>
      </c>
      <c r="AS265" s="674">
        <v>29159.586803666236</v>
      </c>
      <c r="AT265" s="40">
        <v>99541.974365612885</v>
      </c>
      <c r="AU265" s="54">
        <v>70382.387561946642</v>
      </c>
      <c r="AV265" s="674">
        <v>2219.1630585489102</v>
      </c>
      <c r="AW265" s="40">
        <v>1526</v>
      </c>
      <c r="AX265" s="55">
        <v>-693.16305854891016</v>
      </c>
      <c r="AY265" s="674">
        <v>2392.877934031515</v>
      </c>
      <c r="AZ265" s="40">
        <v>26</v>
      </c>
      <c r="BA265" s="35">
        <v>-2366.877934031515</v>
      </c>
      <c r="BB265" s="674">
        <v>1834.7377037826859</v>
      </c>
      <c r="BC265" s="40">
        <v>531</v>
      </c>
      <c r="BD265" s="55">
        <v>-1303.7377037826859</v>
      </c>
      <c r="BE265" s="674">
        <v>0</v>
      </c>
      <c r="BF265" s="40">
        <v>0</v>
      </c>
      <c r="BG265" s="38">
        <v>0</v>
      </c>
      <c r="BH265" s="674">
        <v>0</v>
      </c>
      <c r="BI265" s="40">
        <v>0</v>
      </c>
      <c r="BJ265" s="55">
        <v>0</v>
      </c>
      <c r="BK265" s="674">
        <v>867.21611719166538</v>
      </c>
      <c r="BL265" s="40">
        <v>1146</v>
      </c>
      <c r="BM265" s="38">
        <v>278.78388280833462</v>
      </c>
      <c r="BN265" s="674">
        <v>83.685000000000002</v>
      </c>
      <c r="BO265" s="40">
        <v>0</v>
      </c>
      <c r="BP265" s="55">
        <v>-83.685000000000002</v>
      </c>
      <c r="BQ265" s="77">
        <v>7397.679813554777</v>
      </c>
      <c r="BR265" s="40">
        <v>3229</v>
      </c>
      <c r="BS265" s="55">
        <v>-4168.679813554777</v>
      </c>
      <c r="BT265" s="674">
        <v>32722.98209345861</v>
      </c>
      <c r="BU265" s="40">
        <v>39629.361323130914</v>
      </c>
      <c r="BV265" s="52">
        <v>6906.3792296723041</v>
      </c>
      <c r="BW265" s="674">
        <v>15967.898119032654</v>
      </c>
      <c r="BX265" s="40">
        <v>14443.174200796739</v>
      </c>
      <c r="BY265" s="52">
        <v>-1524.7239182359153</v>
      </c>
      <c r="BZ265" s="674">
        <v>10538.624826683254</v>
      </c>
      <c r="CA265" s="40">
        <v>8784.332266764497</v>
      </c>
      <c r="CB265" s="52">
        <v>-1754.2925599187565</v>
      </c>
      <c r="CC265" s="674">
        <v>0</v>
      </c>
      <c r="CD265" s="40">
        <v>0</v>
      </c>
      <c r="CE265" s="52">
        <v>0</v>
      </c>
      <c r="CF265" s="674">
        <v>0</v>
      </c>
      <c r="CG265" s="40">
        <v>0</v>
      </c>
      <c r="CH265" s="52">
        <v>0</v>
      </c>
      <c r="CI265" s="674">
        <v>2048.7376832354566</v>
      </c>
      <c r="CJ265" s="40">
        <v>2694.673992089934</v>
      </c>
      <c r="CK265" s="52">
        <v>645.93630885447737</v>
      </c>
      <c r="CL265" s="674">
        <v>0</v>
      </c>
      <c r="CM265" s="40">
        <v>0</v>
      </c>
      <c r="CN265" s="52">
        <v>0</v>
      </c>
      <c r="CO265" s="39">
        <v>2048.7376832354566</v>
      </c>
      <c r="CP265" s="40">
        <v>2694.673992089934</v>
      </c>
      <c r="CQ265" s="52">
        <v>645.93630885447737</v>
      </c>
      <c r="CR265" s="72">
        <v>138982.06745076901</v>
      </c>
      <c r="CS265" s="5">
        <v>207310.6694358224</v>
      </c>
      <c r="CT265" s="52">
        <v>68328.601985053392</v>
      </c>
      <c r="CU265" s="77">
        <v>166778.4809409228</v>
      </c>
      <c r="CV265" s="65">
        <v>248772.80332298687</v>
      </c>
      <c r="CW265" s="35">
        <v>81994.322382064071</v>
      </c>
      <c r="CX265" s="73">
        <v>5046.2919789507378</v>
      </c>
      <c r="CY265" s="40">
        <v>-76948.030403113284</v>
      </c>
      <c r="CZ265" s="52">
        <v>-81994.322382064027</v>
      </c>
      <c r="DA265" s="150">
        <v>124016.09431820185</v>
      </c>
      <c r="DB265" s="2">
        <v>2</v>
      </c>
      <c r="DC265" s="675">
        <v>38563.449999999997</v>
      </c>
      <c r="DD265" s="675">
        <v>0</v>
      </c>
      <c r="DE265" s="675">
        <v>23824.450191127951</v>
      </c>
      <c r="DF265" s="675">
        <v>-325.80459995189278</v>
      </c>
      <c r="DG265" s="321">
        <v>42021.77193613784</v>
      </c>
      <c r="DH265" s="40">
        <v>171811.76182815887</v>
      </c>
      <c r="DI265" s="422">
        <v>15064.804408823939</v>
      </c>
      <c r="DJ265" s="306">
        <v>5.412183677476607</v>
      </c>
      <c r="DK265" s="306">
        <v>5.412183677476607</v>
      </c>
      <c r="DL265" s="306">
        <v>4.7493381917185538</v>
      </c>
      <c r="DM265" s="28">
        <v>14738.999808872044</v>
      </c>
      <c r="DN265" s="28">
        <v>325.80459995189278</v>
      </c>
      <c r="DO265" s="423">
        <v>15064.804408823937</v>
      </c>
      <c r="DP265" s="94">
        <v>0</v>
      </c>
      <c r="DQ265" s="28">
        <v>15064.804408823937</v>
      </c>
      <c r="DR265" s="318"/>
      <c r="DT265" s="8"/>
      <c r="DU265" s="5"/>
      <c r="DX265" s="5">
        <v>43868.719940665214</v>
      </c>
      <c r="DY265" s="5">
        <v>123325.16923873546</v>
      </c>
      <c r="DZ265" s="159">
        <v>3798.0357523012085</v>
      </c>
      <c r="EB265" s="676">
        <v>-1936.6002306914888</v>
      </c>
      <c r="EC265" s="676">
        <v>-2012.0844664352971</v>
      </c>
      <c r="ED265" s="676">
        <v>2119.6287666963653</v>
      </c>
      <c r="EE265" s="676">
        <v>-2690.4251654411164</v>
      </c>
      <c r="EF265" s="676">
        <v>97103.647851669128</v>
      </c>
      <c r="EG265" s="676">
        <v>-5954.3870826321436</v>
      </c>
      <c r="EH265" s="676">
        <v>-4135.3471337690535</v>
      </c>
      <c r="EI265" s="676">
        <v>-4611.754826072518</v>
      </c>
      <c r="EJ265" s="676">
        <v>5576.1066402272245</v>
      </c>
      <c r="EK265" s="676">
        <v>-2246.0145980364523</v>
      </c>
      <c r="EL265" s="676">
        <v>-3626.9087129204599</v>
      </c>
      <c r="EM265" s="676">
        <v>4408.4613394698263</v>
      </c>
      <c r="EN265" s="676">
        <v>81994.322382064012</v>
      </c>
      <c r="EQ265" s="5">
        <v>43868.719940665214</v>
      </c>
      <c r="ER265" s="5">
        <v>123325.16923873546</v>
      </c>
      <c r="ET265" s="318">
        <v>26766.981388067754</v>
      </c>
      <c r="EU265" s="5">
        <v>11380.790548070087</v>
      </c>
    </row>
    <row r="266" spans="1:151" x14ac:dyDescent="0.3">
      <c r="A266" s="325">
        <v>150000722</v>
      </c>
      <c r="B266" s="41" t="s">
        <v>712</v>
      </c>
      <c r="C266" s="42" t="s">
        <v>275</v>
      </c>
      <c r="D266" s="27">
        <v>5</v>
      </c>
      <c r="E266" s="293">
        <v>3559.5</v>
      </c>
      <c r="F266" s="305">
        <v>3559.5</v>
      </c>
      <c r="G266" s="508">
        <v>0</v>
      </c>
      <c r="H266" s="677">
        <v>0</v>
      </c>
      <c r="I266" s="674">
        <v>11810.482913423086</v>
      </c>
      <c r="J266" s="40">
        <v>12940.761299307724</v>
      </c>
      <c r="K266" s="52">
        <v>1130.2783858846378</v>
      </c>
      <c r="L266" s="674">
        <v>2035.8688870068411</v>
      </c>
      <c r="M266" s="40">
        <v>2228.3392042052801</v>
      </c>
      <c r="N266" s="52">
        <v>192.47031719843903</v>
      </c>
      <c r="O266" s="674">
        <v>4634.0895767377951</v>
      </c>
      <c r="P266" s="40">
        <v>4634.1000000000004</v>
      </c>
      <c r="Q266" s="52">
        <v>1.0423262205222272E-2</v>
      </c>
      <c r="R266" s="674">
        <v>0</v>
      </c>
      <c r="S266" s="40">
        <v>0</v>
      </c>
      <c r="T266" s="52">
        <v>0</v>
      </c>
      <c r="U266" s="674">
        <v>0</v>
      </c>
      <c r="V266" s="40">
        <v>0</v>
      </c>
      <c r="W266" s="52">
        <v>0</v>
      </c>
      <c r="X266" s="674">
        <v>7858.3761773227789</v>
      </c>
      <c r="Y266" s="40">
        <v>5904.6075319190559</v>
      </c>
      <c r="Z266" s="52">
        <v>-1953.768645403723</v>
      </c>
      <c r="AA266" s="674">
        <v>427.14</v>
      </c>
      <c r="AB266" s="40">
        <v>0</v>
      </c>
      <c r="AC266" s="52">
        <v>-427.14</v>
      </c>
      <c r="AD266" s="674">
        <v>15261.357095409585</v>
      </c>
      <c r="AE266" s="40">
        <v>15123.325396988315</v>
      </c>
      <c r="AF266" s="35">
        <v>-138.03169842126954</v>
      </c>
      <c r="AG266" s="77">
        <v>42027.314649900087</v>
      </c>
      <c r="AH266" s="53">
        <v>40831.133432420378</v>
      </c>
      <c r="AI266" s="52">
        <v>-1196.1812174797087</v>
      </c>
      <c r="AJ266" s="674">
        <v>0</v>
      </c>
      <c r="AK266" s="40">
        <v>0</v>
      </c>
      <c r="AL266" s="52">
        <v>0</v>
      </c>
      <c r="AM266" s="674">
        <v>0</v>
      </c>
      <c r="AN266" s="40">
        <v>0</v>
      </c>
      <c r="AO266" s="52">
        <v>0</v>
      </c>
      <c r="AP266" s="674">
        <v>10792.403786042851</v>
      </c>
      <c r="AQ266" s="40">
        <v>3461.477833309787</v>
      </c>
      <c r="AR266" s="52">
        <v>-7330.9259527330632</v>
      </c>
      <c r="AS266" s="674">
        <v>53523.557286863259</v>
      </c>
      <c r="AT266" s="40">
        <v>87709.41</v>
      </c>
      <c r="AU266" s="54">
        <v>34185.852713136745</v>
      </c>
      <c r="AV266" s="674">
        <v>2598.2692131792278</v>
      </c>
      <c r="AW266" s="40">
        <v>1693.71</v>
      </c>
      <c r="AX266" s="55">
        <v>-904.55921317922775</v>
      </c>
      <c r="AY266" s="674">
        <v>3337.1088331661986</v>
      </c>
      <c r="AZ266" s="40">
        <v>0</v>
      </c>
      <c r="BA266" s="35">
        <v>-3337.1088331661986</v>
      </c>
      <c r="BB266" s="674">
        <v>2491.0533171138895</v>
      </c>
      <c r="BC266" s="40">
        <v>0</v>
      </c>
      <c r="BD266" s="55">
        <v>-2491.0533171138895</v>
      </c>
      <c r="BE266" s="674">
        <v>0</v>
      </c>
      <c r="BF266" s="40">
        <v>0</v>
      </c>
      <c r="BG266" s="38">
        <v>0</v>
      </c>
      <c r="BH266" s="674">
        <v>0</v>
      </c>
      <c r="BI266" s="40">
        <v>0</v>
      </c>
      <c r="BJ266" s="55">
        <v>0</v>
      </c>
      <c r="BK266" s="674">
        <v>1694.6137292059809</v>
      </c>
      <c r="BL266" s="40">
        <v>19864</v>
      </c>
      <c r="BM266" s="38">
        <v>18169.386270794021</v>
      </c>
      <c r="BN266" s="674">
        <v>106.785</v>
      </c>
      <c r="BO266" s="40">
        <v>0</v>
      </c>
      <c r="BP266" s="55">
        <v>-106.785</v>
      </c>
      <c r="BQ266" s="77">
        <v>10227.830092665297</v>
      </c>
      <c r="BR266" s="40">
        <v>21557.71</v>
      </c>
      <c r="BS266" s="55">
        <v>11329.879907334702</v>
      </c>
      <c r="BT266" s="674">
        <v>22134.004249369515</v>
      </c>
      <c r="BU266" s="40">
        <v>30377.080830986954</v>
      </c>
      <c r="BV266" s="52">
        <v>8243.0765816174389</v>
      </c>
      <c r="BW266" s="674">
        <v>15936.435332342935</v>
      </c>
      <c r="BX266" s="40">
        <v>14420.47666502297</v>
      </c>
      <c r="BY266" s="52">
        <v>-1515.9586673199647</v>
      </c>
      <c r="BZ266" s="674">
        <v>11330.891908508656</v>
      </c>
      <c r="CA266" s="40">
        <v>6563.0736965332362</v>
      </c>
      <c r="CB266" s="52">
        <v>-4767.8182119754201</v>
      </c>
      <c r="CC266" s="674">
        <v>1733.5267266938245</v>
      </c>
      <c r="CD266" s="40">
        <v>1821.9730965681604</v>
      </c>
      <c r="CE266" s="52">
        <v>88.446369874335915</v>
      </c>
      <c r="CF266" s="674">
        <v>211.87278784062715</v>
      </c>
      <c r="CG266" s="40">
        <v>0</v>
      </c>
      <c r="CH266" s="52">
        <v>-211.87278784062715</v>
      </c>
      <c r="CI266" s="674">
        <v>2043.8643882894103</v>
      </c>
      <c r="CJ266" s="40">
        <v>1593.0746897058245</v>
      </c>
      <c r="CK266" s="52">
        <v>-450.78969858358573</v>
      </c>
      <c r="CL266" s="674">
        <v>0</v>
      </c>
      <c r="CM266" s="40">
        <v>0</v>
      </c>
      <c r="CN266" s="52">
        <v>0</v>
      </c>
      <c r="CO266" s="39">
        <v>2043.8643882894103</v>
      </c>
      <c r="CP266" s="40">
        <v>1593.0746897058245</v>
      </c>
      <c r="CQ266" s="52">
        <v>-450.78969858358573</v>
      </c>
      <c r="CR266" s="72">
        <v>169961.70120851649</v>
      </c>
      <c r="CS266" s="5">
        <v>208335.41024454733</v>
      </c>
      <c r="CT266" s="52">
        <v>38373.709036030836</v>
      </c>
      <c r="CU266" s="77">
        <v>203954.04145021978</v>
      </c>
      <c r="CV266" s="65">
        <v>250002.49229345677</v>
      </c>
      <c r="CW266" s="35">
        <v>46048.450843236991</v>
      </c>
      <c r="CX266" s="73">
        <v>7003.7780454511212</v>
      </c>
      <c r="CY266" s="40">
        <v>-39044.672797785897</v>
      </c>
      <c r="CZ266" s="52">
        <v>-46048.45084323702</v>
      </c>
      <c r="DA266" s="150">
        <v>16685.992417583679</v>
      </c>
      <c r="DB266" s="2">
        <v>2</v>
      </c>
      <c r="DC266" s="675">
        <v>49279.74</v>
      </c>
      <c r="DD266" s="675">
        <v>0</v>
      </c>
      <c r="DE266" s="675">
        <v>30900.730509422407</v>
      </c>
      <c r="DF266" s="675">
        <v>0</v>
      </c>
      <c r="DG266" s="321">
        <v>-29362.458425653334</v>
      </c>
      <c r="DH266" s="40">
        <v>210941.4677389586</v>
      </c>
      <c r="DI266" s="422">
        <v>18379.009490577591</v>
      </c>
      <c r="DJ266" s="306">
        <v>5.1633683075088053</v>
      </c>
      <c r="DK266" s="306">
        <v>5.1633683075088053</v>
      </c>
      <c r="DL266" s="306">
        <v>4.6558978922695511</v>
      </c>
      <c r="DM266" s="28">
        <v>18379.009490577591</v>
      </c>
      <c r="DN266" s="28">
        <v>0</v>
      </c>
      <c r="DO266" s="423">
        <v>18379.009490577591</v>
      </c>
      <c r="DP266" s="94">
        <v>0</v>
      </c>
      <c r="DQ266" s="28">
        <v>18379.009490577591</v>
      </c>
      <c r="DR266" s="318"/>
      <c r="DT266" s="8"/>
      <c r="DU266" s="5"/>
      <c r="DX266" s="5">
        <v>76501.664855434268</v>
      </c>
      <c r="DY266" s="5">
        <v>131120.54399999999</v>
      </c>
      <c r="DZ266" s="159">
        <v>6631.4521964444839</v>
      </c>
      <c r="EB266" s="676">
        <v>-3722.4745719084658</v>
      </c>
      <c r="EC266" s="676">
        <v>-3650.2437202219389</v>
      </c>
      <c r="ED266" s="676">
        <v>-3040.3979163724853</v>
      </c>
      <c r="EE266" s="676">
        <v>-6923.2835551712706</v>
      </c>
      <c r="EF266" s="676">
        <v>7565.5226474649753</v>
      </c>
      <c r="EG266" s="676">
        <v>-501.8603231849811</v>
      </c>
      <c r="EH266" s="676">
        <v>-8030.6100721998191</v>
      </c>
      <c r="EI266" s="676">
        <v>63112.074597741346</v>
      </c>
      <c r="EJ266" s="676">
        <v>-7682.2665582254722</v>
      </c>
      <c r="EK266" s="676">
        <v>3151.1073668625795</v>
      </c>
      <c r="EL266" s="676">
        <v>14453.813406965488</v>
      </c>
      <c r="EM266" s="676">
        <v>-8682.9304585129503</v>
      </c>
      <c r="EN266" s="676">
        <v>46048.450843237013</v>
      </c>
      <c r="EQ266" s="5">
        <v>76501.664855434268</v>
      </c>
      <c r="ER266" s="5">
        <v>131120.54399999999</v>
      </c>
      <c r="ET266" s="318">
        <v>38153.35674534124</v>
      </c>
      <c r="EU266" s="5">
        <v>-31229.815170994578</v>
      </c>
    </row>
    <row r="267" spans="1:151" x14ac:dyDescent="0.3">
      <c r="A267" s="325">
        <v>150000723</v>
      </c>
      <c r="B267" s="41" t="s">
        <v>713</v>
      </c>
      <c r="C267" s="42" t="s">
        <v>276</v>
      </c>
      <c r="D267" s="27">
        <v>5</v>
      </c>
      <c r="E267" s="293">
        <v>3575.2</v>
      </c>
      <c r="F267" s="305">
        <v>3575.2</v>
      </c>
      <c r="G267" s="508">
        <v>0</v>
      </c>
      <c r="H267" s="677">
        <v>0</v>
      </c>
      <c r="I267" s="674">
        <v>11811.383274343145</v>
      </c>
      <c r="J267" s="40">
        <v>12943.709204492539</v>
      </c>
      <c r="K267" s="52">
        <v>1132.3259301493945</v>
      </c>
      <c r="L267" s="674">
        <v>2035.8688870068411</v>
      </c>
      <c r="M267" s="40">
        <v>2228.3392042052801</v>
      </c>
      <c r="N267" s="52">
        <v>192.47031719843903</v>
      </c>
      <c r="O267" s="674">
        <v>4675.5942518492948</v>
      </c>
      <c r="P267" s="40">
        <v>4675.59</v>
      </c>
      <c r="Q267" s="52">
        <v>-4.2518492946328479E-3</v>
      </c>
      <c r="R267" s="674">
        <v>0</v>
      </c>
      <c r="S267" s="40">
        <v>0</v>
      </c>
      <c r="T267" s="52">
        <v>0</v>
      </c>
      <c r="U267" s="674">
        <v>0</v>
      </c>
      <c r="V267" s="40">
        <v>0</v>
      </c>
      <c r="W267" s="52">
        <v>0</v>
      </c>
      <c r="X267" s="674">
        <v>7034.6713677419348</v>
      </c>
      <c r="Y267" s="40">
        <v>5185.6436575187063</v>
      </c>
      <c r="Z267" s="52">
        <v>-1849.0277102232285</v>
      </c>
      <c r="AA267" s="674">
        <v>429.04800000000006</v>
      </c>
      <c r="AB267" s="40">
        <v>0</v>
      </c>
      <c r="AC267" s="52">
        <v>-429.04800000000006</v>
      </c>
      <c r="AD267" s="674">
        <v>15328.870387421557</v>
      </c>
      <c r="AE267" s="40">
        <v>15190.318261111976</v>
      </c>
      <c r="AF267" s="35">
        <v>-138.55212630958158</v>
      </c>
      <c r="AG267" s="77">
        <v>41315.436168362772</v>
      </c>
      <c r="AH267" s="53">
        <v>40223.600327328502</v>
      </c>
      <c r="AI267" s="52">
        <v>-1091.8358410342698</v>
      </c>
      <c r="AJ267" s="674">
        <v>0</v>
      </c>
      <c r="AK267" s="40">
        <v>0</v>
      </c>
      <c r="AL267" s="52">
        <v>0</v>
      </c>
      <c r="AM267" s="674">
        <v>0</v>
      </c>
      <c r="AN267" s="40">
        <v>0</v>
      </c>
      <c r="AO267" s="52">
        <v>0</v>
      </c>
      <c r="AP267" s="674">
        <v>10792.403786042851</v>
      </c>
      <c r="AQ267" s="40">
        <v>4327.700751343822</v>
      </c>
      <c r="AR267" s="52">
        <v>-6464.7030346990286</v>
      </c>
      <c r="AS267" s="674">
        <v>53629.960361265112</v>
      </c>
      <c r="AT267" s="40">
        <v>104471.5342399708</v>
      </c>
      <c r="AU267" s="54">
        <v>50841.573878705691</v>
      </c>
      <c r="AV267" s="674">
        <v>2598.6227978442671</v>
      </c>
      <c r="AW267" s="40">
        <v>165</v>
      </c>
      <c r="AX267" s="55">
        <v>-2433.6227978442671</v>
      </c>
      <c r="AY267" s="674">
        <v>3337.1088331661986</v>
      </c>
      <c r="AZ267" s="40">
        <v>0</v>
      </c>
      <c r="BA267" s="35">
        <v>-3337.1088331661986</v>
      </c>
      <c r="BB267" s="674">
        <v>2506.5848226823532</v>
      </c>
      <c r="BC267" s="40">
        <v>184</v>
      </c>
      <c r="BD267" s="55">
        <v>-2322.5848226823532</v>
      </c>
      <c r="BE267" s="674">
        <v>0</v>
      </c>
      <c r="BF267" s="40">
        <v>0</v>
      </c>
      <c r="BG267" s="38">
        <v>0</v>
      </c>
      <c r="BH267" s="674">
        <v>0</v>
      </c>
      <c r="BI267" s="40">
        <v>0</v>
      </c>
      <c r="BJ267" s="55">
        <v>0</v>
      </c>
      <c r="BK267" s="674">
        <v>1694.8337097692968</v>
      </c>
      <c r="BL267" s="40">
        <v>845</v>
      </c>
      <c r="BM267" s="38">
        <v>-849.83370976929677</v>
      </c>
      <c r="BN267" s="674">
        <v>107.26200000000001</v>
      </c>
      <c r="BO267" s="40">
        <v>0</v>
      </c>
      <c r="BP267" s="55">
        <v>-107.26200000000001</v>
      </c>
      <c r="BQ267" s="77">
        <v>10244.412163462115</v>
      </c>
      <c r="BR267" s="40">
        <v>1194</v>
      </c>
      <c r="BS267" s="55">
        <v>-9050.4121634621151</v>
      </c>
      <c r="BT267" s="674">
        <v>26427.220761254681</v>
      </c>
      <c r="BU267" s="40">
        <v>33812.219520006838</v>
      </c>
      <c r="BV267" s="52">
        <v>7384.9987587521573</v>
      </c>
      <c r="BW267" s="674">
        <v>17222.77861096945</v>
      </c>
      <c r="BX267" s="40">
        <v>15681.86405275793</v>
      </c>
      <c r="BY267" s="52">
        <v>-1540.9145582115198</v>
      </c>
      <c r="BZ267" s="674">
        <v>11968.250987078967</v>
      </c>
      <c r="CA267" s="40">
        <v>7948.6573842415892</v>
      </c>
      <c r="CB267" s="52">
        <v>-4019.5936028373781</v>
      </c>
      <c r="CC267" s="674">
        <v>2393.2561991483203</v>
      </c>
      <c r="CD267" s="40">
        <v>2515.3626655410385</v>
      </c>
      <c r="CE267" s="52">
        <v>122.10646639271818</v>
      </c>
      <c r="CF267" s="674">
        <v>292.50536211662086</v>
      </c>
      <c r="CG267" s="40">
        <v>0</v>
      </c>
      <c r="CH267" s="52">
        <v>-292.50536211662086</v>
      </c>
      <c r="CI267" s="674">
        <v>4130.7308196603717</v>
      </c>
      <c r="CJ267" s="40">
        <v>3682.7870490330729</v>
      </c>
      <c r="CK267" s="52">
        <v>-447.94377062729882</v>
      </c>
      <c r="CL267" s="674">
        <v>0</v>
      </c>
      <c r="CM267" s="40">
        <v>0</v>
      </c>
      <c r="CN267" s="52">
        <v>0</v>
      </c>
      <c r="CO267" s="39">
        <v>4130.7308196603717</v>
      </c>
      <c r="CP267" s="40">
        <v>3682.7870490330729</v>
      </c>
      <c r="CQ267" s="52">
        <v>-447.94377062729882</v>
      </c>
      <c r="CR267" s="72">
        <v>178416.95521936126</v>
      </c>
      <c r="CS267" s="5">
        <v>213857.72599022361</v>
      </c>
      <c r="CT267" s="52">
        <v>35440.770770862349</v>
      </c>
      <c r="CU267" s="77">
        <v>214100.34626323351</v>
      </c>
      <c r="CV267" s="65">
        <v>256629.27118826832</v>
      </c>
      <c r="CW267" s="35">
        <v>42528.924925034808</v>
      </c>
      <c r="CX267" s="73">
        <v>8194.7961997928105</v>
      </c>
      <c r="CY267" s="40">
        <v>-34334.128725242001</v>
      </c>
      <c r="CZ267" s="52">
        <v>-42528.924925034808</v>
      </c>
      <c r="DA267" s="150">
        <v>38511.498012786586</v>
      </c>
      <c r="DB267" s="2">
        <v>2</v>
      </c>
      <c r="DC267" s="675">
        <v>45873.56</v>
      </c>
      <c r="DD267" s="675">
        <v>0</v>
      </c>
      <c r="DE267" s="675">
        <v>26484.200852057267</v>
      </c>
      <c r="DF267" s="675">
        <v>0</v>
      </c>
      <c r="DG267" s="321">
        <v>-4017.4269122482056</v>
      </c>
      <c r="DH267" s="40">
        <v>222277.98502350171</v>
      </c>
      <c r="DI267" s="422">
        <v>19389.359147942734</v>
      </c>
      <c r="DJ267" s="306">
        <v>5.4232935634209927</v>
      </c>
      <c r="DK267" s="306">
        <v>5.4232935634209927</v>
      </c>
      <c r="DL267" s="306">
        <v>4.8748839818913812</v>
      </c>
      <c r="DM267" s="28">
        <v>19389.35914794273</v>
      </c>
      <c r="DN267" s="28">
        <v>0</v>
      </c>
      <c r="DO267" s="423">
        <v>19389.35914794273</v>
      </c>
      <c r="DP267" s="94">
        <v>0</v>
      </c>
      <c r="DQ267" s="28">
        <v>19389.35914794273</v>
      </c>
      <c r="DR267" s="318"/>
      <c r="DT267" s="8"/>
      <c r="DU267" s="5"/>
      <c r="DX267" s="5">
        <v>76649.247029672668</v>
      </c>
      <c r="DY267" s="5">
        <v>126798.64108796496</v>
      </c>
      <c r="DZ267" s="159">
        <v>6644.4924545289396</v>
      </c>
      <c r="EB267" s="676">
        <v>-3567.7152614432889</v>
      </c>
      <c r="EC267" s="676">
        <v>40465.510939106862</v>
      </c>
      <c r="ED267" s="676">
        <v>-4443.4927151466254</v>
      </c>
      <c r="EE267" s="676">
        <v>-7834.8675057649907</v>
      </c>
      <c r="EF267" s="676">
        <v>-3022.4650302390291</v>
      </c>
      <c r="EG267" s="676">
        <v>-7598.3120950505418</v>
      </c>
      <c r="EH267" s="676">
        <v>-7184.4319007610811</v>
      </c>
      <c r="EI267" s="676">
        <v>-766.08351867989404</v>
      </c>
      <c r="EJ267" s="676">
        <v>-7177.4401006716707</v>
      </c>
      <c r="EK267" s="676">
        <v>-1273.2754145380786</v>
      </c>
      <c r="EL267" s="676">
        <v>51980.037573347763</v>
      </c>
      <c r="EM267" s="676">
        <v>-7048.5400451246314</v>
      </c>
      <c r="EN267" s="676">
        <v>42528.924925034793</v>
      </c>
      <c r="EQ267" s="5">
        <v>76649.247029672668</v>
      </c>
      <c r="ER267" s="5">
        <v>126798.64108796496</v>
      </c>
      <c r="ET267" s="318">
        <v>-41710.761618738274</v>
      </c>
      <c r="EU267" s="5">
        <v>68230.334706490074</v>
      </c>
    </row>
    <row r="268" spans="1:151" x14ac:dyDescent="0.3">
      <c r="A268" s="325">
        <v>150000724</v>
      </c>
      <c r="B268" s="41" t="s">
        <v>714</v>
      </c>
      <c r="C268" s="42" t="s">
        <v>277</v>
      </c>
      <c r="D268" s="27">
        <v>5</v>
      </c>
      <c r="E268" s="293">
        <v>3564.2</v>
      </c>
      <c r="F268" s="305">
        <v>3564.2</v>
      </c>
      <c r="G268" s="508">
        <v>0</v>
      </c>
      <c r="H268" s="677">
        <v>0</v>
      </c>
      <c r="I268" s="674">
        <v>11815.511278017793</v>
      </c>
      <c r="J268" s="40">
        <v>12946.387677412118</v>
      </c>
      <c r="K268" s="52">
        <v>1130.8763993943248</v>
      </c>
      <c r="L268" s="674">
        <v>2035.8688870068411</v>
      </c>
      <c r="M268" s="40">
        <v>2228.3392042052801</v>
      </c>
      <c r="N268" s="52">
        <v>192.47031719843903</v>
      </c>
      <c r="O268" s="674">
        <v>4675.5942518492948</v>
      </c>
      <c r="P268" s="40">
        <v>4675.59</v>
      </c>
      <c r="Q268" s="52">
        <v>-4.2518492946328479E-3</v>
      </c>
      <c r="R268" s="674">
        <v>0</v>
      </c>
      <c r="S268" s="40">
        <v>0</v>
      </c>
      <c r="T268" s="52">
        <v>0</v>
      </c>
      <c r="U268" s="674">
        <v>0</v>
      </c>
      <c r="V268" s="40">
        <v>0</v>
      </c>
      <c r="W268" s="52">
        <v>0</v>
      </c>
      <c r="X268" s="674">
        <v>7034.6713677419348</v>
      </c>
      <c r="Y268" s="40">
        <v>5497.6582823765302</v>
      </c>
      <c r="Z268" s="52">
        <v>-1537.0130853654045</v>
      </c>
      <c r="AA268" s="674">
        <v>427.79999999999995</v>
      </c>
      <c r="AB268" s="40">
        <v>0</v>
      </c>
      <c r="AC268" s="52">
        <v>-427.79999999999995</v>
      </c>
      <c r="AD268" s="674">
        <v>15282.397894432248</v>
      </c>
      <c r="AE268" s="40">
        <v>15144.446114456396</v>
      </c>
      <c r="AF268" s="35">
        <v>-137.95177997585233</v>
      </c>
      <c r="AG268" s="77">
        <v>41271.843679048114</v>
      </c>
      <c r="AH268" s="53">
        <v>40492.421278450325</v>
      </c>
      <c r="AI268" s="52">
        <v>-779.42240059778851</v>
      </c>
      <c r="AJ268" s="674">
        <v>0</v>
      </c>
      <c r="AK268" s="40">
        <v>0</v>
      </c>
      <c r="AL268" s="52">
        <v>0</v>
      </c>
      <c r="AM268" s="674">
        <v>0</v>
      </c>
      <c r="AN268" s="40">
        <v>0</v>
      </c>
      <c r="AO268" s="52">
        <v>0</v>
      </c>
      <c r="AP268" s="674">
        <v>10792.403786042851</v>
      </c>
      <c r="AQ268" s="40">
        <v>3798.0071107030449</v>
      </c>
      <c r="AR268" s="52">
        <v>-6994.3966753398054</v>
      </c>
      <c r="AS268" s="674">
        <v>49724.334338707718</v>
      </c>
      <c r="AT268" s="40">
        <v>11666.11</v>
      </c>
      <c r="AU268" s="54">
        <v>-38058.224338707718</v>
      </c>
      <c r="AV268" s="674">
        <v>2598.3807482367702</v>
      </c>
      <c r="AW268" s="40">
        <v>1870</v>
      </c>
      <c r="AX268" s="55">
        <v>-728.38074823677016</v>
      </c>
      <c r="AY268" s="674">
        <v>3337.1088331661986</v>
      </c>
      <c r="AZ268" s="40">
        <v>33</v>
      </c>
      <c r="BA268" s="35">
        <v>-3304.1088331661986</v>
      </c>
      <c r="BB268" s="674">
        <v>2506.5848226823532</v>
      </c>
      <c r="BC268" s="40">
        <v>0</v>
      </c>
      <c r="BD268" s="55">
        <v>-2506.5848226823532</v>
      </c>
      <c r="BE268" s="674">
        <v>0</v>
      </c>
      <c r="BF268" s="40">
        <v>0</v>
      </c>
      <c r="BG268" s="38">
        <v>0</v>
      </c>
      <c r="BH268" s="674">
        <v>0</v>
      </c>
      <c r="BI268" s="40">
        <v>0</v>
      </c>
      <c r="BJ268" s="55">
        <v>0</v>
      </c>
      <c r="BK268" s="674">
        <v>1694.8337097692968</v>
      </c>
      <c r="BL268" s="40">
        <v>2200</v>
      </c>
      <c r="BM268" s="38">
        <v>505.16629023070323</v>
      </c>
      <c r="BN268" s="674">
        <v>106.94999999999999</v>
      </c>
      <c r="BO268" s="40">
        <v>0</v>
      </c>
      <c r="BP268" s="55">
        <v>-106.94999999999999</v>
      </c>
      <c r="BQ268" s="77">
        <v>10243.85811385462</v>
      </c>
      <c r="BR268" s="40">
        <v>4103</v>
      </c>
      <c r="BS268" s="55">
        <v>-6140.8581138546197</v>
      </c>
      <c r="BT268" s="674">
        <v>24696.245641477912</v>
      </c>
      <c r="BU268" s="40">
        <v>34222.298379016887</v>
      </c>
      <c r="BV268" s="52">
        <v>9526.0527375389756</v>
      </c>
      <c r="BW268" s="674">
        <v>16678.402707818743</v>
      </c>
      <c r="BX268" s="40">
        <v>15133.954355154274</v>
      </c>
      <c r="BY268" s="52">
        <v>-1544.448352664469</v>
      </c>
      <c r="BZ268" s="674">
        <v>11388.535343982925</v>
      </c>
      <c r="CA268" s="40">
        <v>6973.5677468348949</v>
      </c>
      <c r="CB268" s="52">
        <v>-4414.9675971480301</v>
      </c>
      <c r="CC268" s="674">
        <v>1988.6369439277032</v>
      </c>
      <c r="CD268" s="40">
        <v>2090.0993073167292</v>
      </c>
      <c r="CE268" s="52">
        <v>101.462363389026</v>
      </c>
      <c r="CF268" s="674">
        <v>243.05252801980251</v>
      </c>
      <c r="CG268" s="40">
        <v>0</v>
      </c>
      <c r="CH268" s="52">
        <v>-243.05252801980251</v>
      </c>
      <c r="CI268" s="674">
        <v>7358.1189919865801</v>
      </c>
      <c r="CJ268" s="40">
        <v>6976.0269747943275</v>
      </c>
      <c r="CK268" s="52">
        <v>-382.09201719225257</v>
      </c>
      <c r="CL268" s="674">
        <v>0</v>
      </c>
      <c r="CM268" s="40">
        <v>0</v>
      </c>
      <c r="CN268" s="52">
        <v>0</v>
      </c>
      <c r="CO268" s="39">
        <v>7358.1189919865801</v>
      </c>
      <c r="CP268" s="40">
        <v>6976.0269747943275</v>
      </c>
      <c r="CQ268" s="52">
        <v>-382.09201719225257</v>
      </c>
      <c r="CR268" s="72">
        <v>174385.43207486696</v>
      </c>
      <c r="CS268" s="5">
        <v>125455.48515227048</v>
      </c>
      <c r="CT268" s="52">
        <v>-48929.946922596471</v>
      </c>
      <c r="CU268" s="77">
        <v>209262.51848984035</v>
      </c>
      <c r="CV268" s="65">
        <v>150546.58218272458</v>
      </c>
      <c r="CW268" s="35">
        <v>-58715.936307115771</v>
      </c>
      <c r="CX268" s="73">
        <v>10481.73864138974</v>
      </c>
      <c r="CY268" s="40">
        <v>69197.674948505519</v>
      </c>
      <c r="CZ268" s="52">
        <v>58715.936307115779</v>
      </c>
      <c r="DA268" s="150">
        <v>35626.233463665245</v>
      </c>
      <c r="DB268" s="2">
        <v>2</v>
      </c>
      <c r="DC268" s="675">
        <v>60986.57</v>
      </c>
      <c r="DD268" s="675">
        <v>0</v>
      </c>
      <c r="DE268" s="675">
        <v>41820.55820864586</v>
      </c>
      <c r="DF268" s="675">
        <v>0</v>
      </c>
      <c r="DG268" s="321">
        <v>94342.169770781009</v>
      </c>
      <c r="DH268" s="40">
        <v>219727.29382991957</v>
      </c>
      <c r="DI268" s="422">
        <v>19166.011791354133</v>
      </c>
      <c r="DJ268" s="306">
        <v>5.3773670925745289</v>
      </c>
      <c r="DK268" s="306">
        <v>5.3773670925745289</v>
      </c>
      <c r="DL268" s="306">
        <v>4.8367878208860198</v>
      </c>
      <c r="DM268" s="28">
        <v>19166.011791354136</v>
      </c>
      <c r="DN268" s="28">
        <v>0</v>
      </c>
      <c r="DO268" s="423">
        <v>19166.011791354136</v>
      </c>
      <c r="DP268" s="94">
        <v>0</v>
      </c>
      <c r="DQ268" s="28">
        <v>19166.011791354136</v>
      </c>
      <c r="DR268" s="318"/>
      <c r="DT268" s="8"/>
      <c r="DU268" s="5"/>
      <c r="DX268" s="5">
        <v>71961.830943074805</v>
      </c>
      <c r="DY268" s="5">
        <v>18922.932000000001</v>
      </c>
      <c r="DZ268" s="159">
        <v>6122.2423300787441</v>
      </c>
      <c r="EB268" s="676">
        <v>-3883.3013420242387</v>
      </c>
      <c r="EC268" s="676">
        <v>-2049.1262584878932</v>
      </c>
      <c r="ED268" s="676">
        <v>-4611.9324889906056</v>
      </c>
      <c r="EE268" s="676">
        <v>-5136.5750626478966</v>
      </c>
      <c r="EF268" s="676">
        <v>-6400.3592250921647</v>
      </c>
      <c r="EG268" s="676">
        <v>-6274.0843556612272</v>
      </c>
      <c r="EH268" s="676">
        <v>-6962.608115374489</v>
      </c>
      <c r="EI268" s="676">
        <v>2945.2102719372306</v>
      </c>
      <c r="EJ268" s="676">
        <v>-7037.4072761586231</v>
      </c>
      <c r="EK268" s="676">
        <v>-6463.0380421017217</v>
      </c>
      <c r="EL268" s="676">
        <v>-5499.2040623629564</v>
      </c>
      <c r="EM268" s="676">
        <v>-7343.5103501511858</v>
      </c>
      <c r="EN268" s="676">
        <v>-58715.936307115764</v>
      </c>
      <c r="EQ268" s="5">
        <v>71961.830943074805</v>
      </c>
      <c r="ER268" s="5">
        <v>18922.932000000001</v>
      </c>
      <c r="ET268" s="318">
        <v>-3181.1505473813577</v>
      </c>
      <c r="EU268" s="5">
        <v>163179.32031816235</v>
      </c>
    </row>
    <row r="269" spans="1:151" x14ac:dyDescent="0.3">
      <c r="A269" s="325">
        <v>150000725</v>
      </c>
      <c r="B269" s="41" t="s">
        <v>715</v>
      </c>
      <c r="C269" s="42" t="s">
        <v>278</v>
      </c>
      <c r="D269" s="27">
        <v>5</v>
      </c>
      <c r="E269" s="293">
        <v>3571.96</v>
      </c>
      <c r="F269" s="305">
        <v>3571.96</v>
      </c>
      <c r="G269" s="508">
        <v>0</v>
      </c>
      <c r="H269" s="677">
        <v>0</v>
      </c>
      <c r="I269" s="674">
        <v>11811.083461007962</v>
      </c>
      <c r="J269" s="40">
        <v>12942.976077698682</v>
      </c>
      <c r="K269" s="52">
        <v>1131.8926166907204</v>
      </c>
      <c r="L269" s="674">
        <v>2035.8688870068411</v>
      </c>
      <c r="M269" s="40">
        <v>2228.3392042052801</v>
      </c>
      <c r="N269" s="52">
        <v>192.47031719843903</v>
      </c>
      <c r="O269" s="674">
        <v>4625.6585999493309</v>
      </c>
      <c r="P269" s="40">
        <v>4625.670000000001</v>
      </c>
      <c r="Q269" s="52">
        <v>1.1400050670090422E-2</v>
      </c>
      <c r="R269" s="674">
        <v>0</v>
      </c>
      <c r="S269" s="40">
        <v>0</v>
      </c>
      <c r="T269" s="52">
        <v>0</v>
      </c>
      <c r="U269" s="674">
        <v>0</v>
      </c>
      <c r="V269" s="40">
        <v>0</v>
      </c>
      <c r="W269" s="52">
        <v>0</v>
      </c>
      <c r="X269" s="674">
        <v>7034.6713677419348</v>
      </c>
      <c r="Y269" s="40">
        <v>5989.9561094439414</v>
      </c>
      <c r="Z269" s="52">
        <v>-1044.7152582979934</v>
      </c>
      <c r="AA269" s="674">
        <v>428.65920000000006</v>
      </c>
      <c r="AB269" s="40">
        <v>0</v>
      </c>
      <c r="AC269" s="52">
        <v>-428.65920000000006</v>
      </c>
      <c r="AD269" s="674">
        <v>15315.017528656081</v>
      </c>
      <c r="AE269" s="40">
        <v>15176.552402343539</v>
      </c>
      <c r="AF269" s="35">
        <v>-138.46512631254154</v>
      </c>
      <c r="AG269" s="77">
        <v>41250.959044362156</v>
      </c>
      <c r="AH269" s="53">
        <v>40963.493793691443</v>
      </c>
      <c r="AI269" s="52">
        <v>-287.46525067071343</v>
      </c>
      <c r="AJ269" s="674">
        <v>0</v>
      </c>
      <c r="AK269" s="40">
        <v>0</v>
      </c>
      <c r="AL269" s="52">
        <v>0</v>
      </c>
      <c r="AM269" s="674">
        <v>0</v>
      </c>
      <c r="AN269" s="40">
        <v>0</v>
      </c>
      <c r="AO269" s="52">
        <v>0</v>
      </c>
      <c r="AP269" s="674">
        <v>10792.403786042851</v>
      </c>
      <c r="AQ269" s="40">
        <v>4055.4788879178118</v>
      </c>
      <c r="AR269" s="52">
        <v>-6736.9248981250385</v>
      </c>
      <c r="AS269" s="674">
        <v>53456.276780156426</v>
      </c>
      <c r="AT269" s="40">
        <v>91290.44</v>
      </c>
      <c r="AU269" s="54">
        <v>37834.163219843576</v>
      </c>
      <c r="AV269" s="674">
        <v>2598.3807482367702</v>
      </c>
      <c r="AW269" s="40">
        <v>2907.61</v>
      </c>
      <c r="AX269" s="55">
        <v>309.22925176322997</v>
      </c>
      <c r="AY269" s="674">
        <v>3337.1088331661986</v>
      </c>
      <c r="AZ269" s="40">
        <v>33</v>
      </c>
      <c r="BA269" s="35">
        <v>-3304.1088331661986</v>
      </c>
      <c r="BB269" s="674">
        <v>2487.8892530177327</v>
      </c>
      <c r="BC269" s="40">
        <v>0</v>
      </c>
      <c r="BD269" s="55">
        <v>-2487.8892530177327</v>
      </c>
      <c r="BE269" s="674">
        <v>0</v>
      </c>
      <c r="BF269" s="40">
        <v>263</v>
      </c>
      <c r="BG269" s="38">
        <v>263</v>
      </c>
      <c r="BH269" s="674">
        <v>0</v>
      </c>
      <c r="BI269" s="40">
        <v>0</v>
      </c>
      <c r="BJ269" s="55">
        <v>0</v>
      </c>
      <c r="BK269" s="674">
        <v>1694.8337097692968</v>
      </c>
      <c r="BL269" s="40">
        <v>2005</v>
      </c>
      <c r="BM269" s="38">
        <v>310.16629023070323</v>
      </c>
      <c r="BN269" s="674">
        <v>107.16480000000001</v>
      </c>
      <c r="BO269" s="40">
        <v>0</v>
      </c>
      <c r="BP269" s="55">
        <v>-107.16480000000001</v>
      </c>
      <c r="BQ269" s="77">
        <v>10225.377344189999</v>
      </c>
      <c r="BR269" s="40">
        <v>5208.6100000000006</v>
      </c>
      <c r="BS269" s="55">
        <v>-5016.7673441899988</v>
      </c>
      <c r="BT269" s="674">
        <v>33514.359274002112</v>
      </c>
      <c r="BU269" s="40">
        <v>40828.439630531429</v>
      </c>
      <c r="BV269" s="52">
        <v>7314.0803565293172</v>
      </c>
      <c r="BW269" s="674">
        <v>17021.818265496422</v>
      </c>
      <c r="BX269" s="40">
        <v>15258.521725039785</v>
      </c>
      <c r="BY269" s="52">
        <v>-1763.2965404566366</v>
      </c>
      <c r="BZ269" s="674">
        <v>10405.947351540099</v>
      </c>
      <c r="CA269" s="40">
        <v>8910.5627507093268</v>
      </c>
      <c r="CB269" s="52">
        <v>-1495.3846008307719</v>
      </c>
      <c r="CC269" s="674">
        <v>1982.5231914449739</v>
      </c>
      <c r="CD269" s="40">
        <v>2083.6736247061972</v>
      </c>
      <c r="CE269" s="52">
        <v>101.15043326122327</v>
      </c>
      <c r="CF269" s="674">
        <v>242.30530113097689</v>
      </c>
      <c r="CG269" s="40">
        <v>0</v>
      </c>
      <c r="CH269" s="52">
        <v>-242.30530113097689</v>
      </c>
      <c r="CI269" s="674">
        <v>7633.4268337431686</v>
      </c>
      <c r="CJ269" s="40">
        <v>8585.9345046249564</v>
      </c>
      <c r="CK269" s="52">
        <v>952.50767088178782</v>
      </c>
      <c r="CL269" s="674">
        <v>0</v>
      </c>
      <c r="CM269" s="40">
        <v>0</v>
      </c>
      <c r="CN269" s="52">
        <v>0</v>
      </c>
      <c r="CO269" s="39">
        <v>7633.4268337431686</v>
      </c>
      <c r="CP269" s="40">
        <v>8585.9345046249564</v>
      </c>
      <c r="CQ269" s="52">
        <v>952.50767088178782</v>
      </c>
      <c r="CR269" s="72">
        <v>186525.39717210919</v>
      </c>
      <c r="CS269" s="5">
        <v>217185.15491722093</v>
      </c>
      <c r="CT269" s="52">
        <v>30659.757745111739</v>
      </c>
      <c r="CU269" s="77">
        <v>223830.47660653104</v>
      </c>
      <c r="CV269" s="65">
        <v>260622.18590066512</v>
      </c>
      <c r="CW269" s="35">
        <v>36791.709294134082</v>
      </c>
      <c r="CX269" s="73">
        <v>8038.6921374680978</v>
      </c>
      <c r="CY269" s="40">
        <v>-28753.017156665992</v>
      </c>
      <c r="CZ269" s="52">
        <v>-36791.709294134089</v>
      </c>
      <c r="DA269" s="150">
        <v>-4232.0809777860632</v>
      </c>
      <c r="DB269" s="2">
        <v>2</v>
      </c>
      <c r="DC269" s="675">
        <v>70959.22</v>
      </c>
      <c r="DD269" s="675">
        <v>0</v>
      </c>
      <c r="DE269" s="675">
        <v>50749.099014677231</v>
      </c>
      <c r="DF269" s="675">
        <v>0</v>
      </c>
      <c r="DG269" s="321">
        <v>-41023.790271920137</v>
      </c>
      <c r="DH269" s="40">
        <v>231851.22608752601</v>
      </c>
      <c r="DI269" s="422">
        <v>20210.12098532277</v>
      </c>
      <c r="DJ269" s="306">
        <v>5.6579919666857323</v>
      </c>
      <c r="DK269" s="306">
        <v>5.6579919666857323</v>
      </c>
      <c r="DL269" s="306">
        <v>5.1170141560784481</v>
      </c>
      <c r="DM269" s="28">
        <v>20210.12098532277</v>
      </c>
      <c r="DN269" s="28">
        <v>0</v>
      </c>
      <c r="DO269" s="423">
        <v>20210.12098532277</v>
      </c>
      <c r="DP269" s="94">
        <v>0</v>
      </c>
      <c r="DQ269" s="28">
        <v>20210.12098532277</v>
      </c>
      <c r="DR269" s="318"/>
      <c r="DT269" s="8"/>
      <c r="DU269" s="5"/>
      <c r="DX269" s="5">
        <v>76417.984949215708</v>
      </c>
      <c r="DY269" s="5">
        <v>115798.86</v>
      </c>
      <c r="DZ269" s="159">
        <v>6623.6727626519851</v>
      </c>
      <c r="EB269" s="676">
        <v>-4159.1066496435087</v>
      </c>
      <c r="EC269" s="676">
        <v>-4952.7838266470299</v>
      </c>
      <c r="ED269" s="676">
        <v>-5967.8025567886853</v>
      </c>
      <c r="EE269" s="676">
        <v>-5232.786316661186</v>
      </c>
      <c r="EF269" s="676">
        <v>-5612.5199419724813</v>
      </c>
      <c r="EG269" s="676">
        <v>-5124.9255697519602</v>
      </c>
      <c r="EH269" s="676">
        <v>74676.935014253657</v>
      </c>
      <c r="EI269" s="676">
        <v>2209.4102464424104</v>
      </c>
      <c r="EJ269" s="676">
        <v>-3421.7991516941038</v>
      </c>
      <c r="EK269" s="676">
        <v>7335.3741551302919</v>
      </c>
      <c r="EL269" s="676">
        <v>-5698.8710693509202</v>
      </c>
      <c r="EM269" s="676">
        <v>-7259.4150391824023</v>
      </c>
      <c r="EN269" s="676">
        <v>36791.709294134074</v>
      </c>
      <c r="EQ269" s="5">
        <v>76417.984949215708</v>
      </c>
      <c r="ER269" s="5">
        <v>115798.86</v>
      </c>
      <c r="ET269" s="318">
        <v>-13367.337453942588</v>
      </c>
      <c r="EU269" s="5">
        <v>-27855.452817977544</v>
      </c>
    </row>
    <row r="270" spans="1:151" x14ac:dyDescent="0.3">
      <c r="A270" s="325">
        <v>150000710</v>
      </c>
      <c r="B270" s="41" t="s">
        <v>716</v>
      </c>
      <c r="C270" s="42" t="s">
        <v>279</v>
      </c>
      <c r="D270" s="27">
        <v>5</v>
      </c>
      <c r="E270" s="293">
        <v>4572.3</v>
      </c>
      <c r="F270" s="305">
        <v>4471.5</v>
      </c>
      <c r="G270" s="508">
        <v>0</v>
      </c>
      <c r="H270" s="677">
        <v>100.8</v>
      </c>
      <c r="I270" s="674">
        <v>16096.866378933011</v>
      </c>
      <c r="J270" s="40">
        <v>15484.068992648792</v>
      </c>
      <c r="K270" s="52">
        <v>-612.7973862842191</v>
      </c>
      <c r="L270" s="674">
        <v>3341.749455565232</v>
      </c>
      <c r="M270" s="40">
        <v>4108.4260667168228</v>
      </c>
      <c r="N270" s="52">
        <v>766.67661115159081</v>
      </c>
      <c r="O270" s="674">
        <v>6307.7242711915642</v>
      </c>
      <c r="P270" s="40">
        <v>6309.1050000000014</v>
      </c>
      <c r="Q270" s="52">
        <v>1.3807288084371976</v>
      </c>
      <c r="R270" s="674">
        <v>0</v>
      </c>
      <c r="S270" s="40">
        <v>0</v>
      </c>
      <c r="T270" s="52">
        <v>0</v>
      </c>
      <c r="U270" s="674">
        <v>0</v>
      </c>
      <c r="V270" s="40">
        <v>0</v>
      </c>
      <c r="W270" s="52">
        <v>0</v>
      </c>
      <c r="X270" s="674">
        <v>11695.048242457297</v>
      </c>
      <c r="Y270" s="40">
        <v>9644.7296482527745</v>
      </c>
      <c r="Z270" s="52">
        <v>-2050.318594204522</v>
      </c>
      <c r="AA270" s="674">
        <v>546.63600000000008</v>
      </c>
      <c r="AB270" s="40">
        <v>0</v>
      </c>
      <c r="AC270" s="52">
        <v>-546.63600000000008</v>
      </c>
      <c r="AD270" s="674">
        <v>19580.402638075517</v>
      </c>
      <c r="AE270" s="40">
        <v>19426.430878676689</v>
      </c>
      <c r="AF270" s="35">
        <v>-153.971759398828</v>
      </c>
      <c r="AG270" s="77">
        <v>57568.426986222621</v>
      </c>
      <c r="AH270" s="53">
        <v>54972.760586295073</v>
      </c>
      <c r="AI270" s="52">
        <v>-2595.6663999275479</v>
      </c>
      <c r="AJ270" s="674">
        <v>0</v>
      </c>
      <c r="AK270" s="40">
        <v>0</v>
      </c>
      <c r="AL270" s="52">
        <v>0</v>
      </c>
      <c r="AM270" s="674">
        <v>0</v>
      </c>
      <c r="AN270" s="40">
        <v>0</v>
      </c>
      <c r="AO270" s="52">
        <v>0</v>
      </c>
      <c r="AP270" s="674">
        <v>13220.69463790249</v>
      </c>
      <c r="AQ270" s="40">
        <v>10994.730231132766</v>
      </c>
      <c r="AR270" s="52">
        <v>-2225.9644067697245</v>
      </c>
      <c r="AS270" s="674">
        <v>50922.185353622794</v>
      </c>
      <c r="AT270" s="40">
        <v>15386.85</v>
      </c>
      <c r="AU270" s="54">
        <v>-35535.335353622795</v>
      </c>
      <c r="AV270" s="674">
        <v>3651.3900072714709</v>
      </c>
      <c r="AW270" s="40">
        <v>10869.68</v>
      </c>
      <c r="AX270" s="55">
        <v>7218.2899927285289</v>
      </c>
      <c r="AY270" s="674">
        <v>5478.0284580000016</v>
      </c>
      <c r="AZ270" s="40">
        <v>21131</v>
      </c>
      <c r="BA270" s="35">
        <v>15652.971541999999</v>
      </c>
      <c r="BB270" s="674">
        <v>2280.1208817053234</v>
      </c>
      <c r="BC270" s="40">
        <v>0</v>
      </c>
      <c r="BD270" s="55">
        <v>-2280.1208817053234</v>
      </c>
      <c r="BE270" s="674">
        <v>0</v>
      </c>
      <c r="BF270" s="40">
        <v>0</v>
      </c>
      <c r="BG270" s="38">
        <v>0</v>
      </c>
      <c r="BH270" s="674">
        <v>0</v>
      </c>
      <c r="BI270" s="40">
        <v>0</v>
      </c>
      <c r="BJ270" s="55">
        <v>0</v>
      </c>
      <c r="BK270" s="674">
        <v>3196.7872418114157</v>
      </c>
      <c r="BL270" s="40">
        <v>0</v>
      </c>
      <c r="BM270" s="38">
        <v>-3196.7872418114157</v>
      </c>
      <c r="BN270" s="674">
        <v>136.65900000000002</v>
      </c>
      <c r="BO270" s="40">
        <v>0</v>
      </c>
      <c r="BP270" s="55">
        <v>-136.65900000000002</v>
      </c>
      <c r="BQ270" s="77">
        <v>14742.985588788211</v>
      </c>
      <c r="BR270" s="40">
        <v>32000.68</v>
      </c>
      <c r="BS270" s="55">
        <v>17257.694411211789</v>
      </c>
      <c r="BT270" s="674">
        <v>43272.833947491563</v>
      </c>
      <c r="BU270" s="40">
        <v>51802.416464554713</v>
      </c>
      <c r="BV270" s="52">
        <v>8529.5825170631506</v>
      </c>
      <c r="BW270" s="674">
        <v>22989.863217995699</v>
      </c>
      <c r="BX270" s="40">
        <v>22519.689139189722</v>
      </c>
      <c r="BY270" s="52">
        <v>-470.17407880597602</v>
      </c>
      <c r="BZ270" s="674">
        <v>9159.0581202747599</v>
      </c>
      <c r="CA270" s="40">
        <v>9976.3891995890808</v>
      </c>
      <c r="CB270" s="52">
        <v>817.33107931432096</v>
      </c>
      <c r="CC270" s="674">
        <v>555.79568024810055</v>
      </c>
      <c r="CD270" s="40">
        <v>584.15296459383148</v>
      </c>
      <c r="CE270" s="52">
        <v>28.357284345730932</v>
      </c>
      <c r="CF270" s="674">
        <v>67.929717165959346</v>
      </c>
      <c r="CG270" s="40">
        <v>1113.8537479698421</v>
      </c>
      <c r="CH270" s="52">
        <v>1045.9240308038827</v>
      </c>
      <c r="CI270" s="674">
        <v>5910.8896829577379</v>
      </c>
      <c r="CJ270" s="40">
        <v>5252.5626585963582</v>
      </c>
      <c r="CK270" s="52">
        <v>-658.3270243613797</v>
      </c>
      <c r="CL270" s="674">
        <v>0</v>
      </c>
      <c r="CM270" s="40">
        <v>0</v>
      </c>
      <c r="CN270" s="52">
        <v>0</v>
      </c>
      <c r="CO270" s="39">
        <v>5910.8896829577379</v>
      </c>
      <c r="CP270" s="40">
        <v>5252.5626585963582</v>
      </c>
      <c r="CQ270" s="52">
        <v>-658.3270243613797</v>
      </c>
      <c r="CR270" s="72">
        <v>218410.66293266995</v>
      </c>
      <c r="CS270" s="5">
        <v>204604.08499192141</v>
      </c>
      <c r="CT270" s="52">
        <v>-13806.577940748539</v>
      </c>
      <c r="CU270" s="77">
        <v>262092.79551920394</v>
      </c>
      <c r="CV270" s="65">
        <v>245524.90199030569</v>
      </c>
      <c r="CW270" s="35">
        <v>-16567.893528898247</v>
      </c>
      <c r="CX270" s="73">
        <v>10638.734626478452</v>
      </c>
      <c r="CY270" s="40">
        <v>27206.628155376675</v>
      </c>
      <c r="CZ270" s="52">
        <v>16567.893528898225</v>
      </c>
      <c r="DA270" s="150">
        <v>-14404.576553496025</v>
      </c>
      <c r="DB270" s="2">
        <v>3</v>
      </c>
      <c r="DC270" s="675">
        <v>56886.41</v>
      </c>
      <c r="DD270" s="675">
        <v>6328.69</v>
      </c>
      <c r="DE270" s="675">
        <v>33438.096386736615</v>
      </c>
      <c r="DF270" s="675">
        <v>5859.324865465047</v>
      </c>
      <c r="DG270" s="321">
        <v>2163.3169754022001</v>
      </c>
      <c r="DH270" s="40">
        <v>272710.89694175182</v>
      </c>
      <c r="DI270" s="422">
        <v>23917.678747798345</v>
      </c>
      <c r="DJ270" s="306">
        <v>5.2439480293555603</v>
      </c>
      <c r="DK270" s="306">
        <v>5.2439480293555603</v>
      </c>
      <c r="DL270" s="306">
        <v>4.6564001441959633</v>
      </c>
      <c r="DM270" s="28">
        <v>23448.313613263388</v>
      </c>
      <c r="DN270" s="28">
        <v>469.36513453495309</v>
      </c>
      <c r="DO270" s="423">
        <v>23917.678747798342</v>
      </c>
      <c r="DP270" s="94">
        <v>0</v>
      </c>
      <c r="DQ270" s="28">
        <v>23917.678747798342</v>
      </c>
      <c r="DR270" s="318"/>
      <c r="DT270" s="8"/>
      <c r="DU270" s="5"/>
      <c r="DX270" s="5">
        <v>78798.205130893199</v>
      </c>
      <c r="DY270" s="5">
        <v>56865.036</v>
      </c>
      <c r="DZ270" s="159">
        <v>7181.7657330993443</v>
      </c>
      <c r="EB270" s="676">
        <v>14079.453074618486</v>
      </c>
      <c r="EC270" s="676">
        <v>-5353.7806570191206</v>
      </c>
      <c r="ED270" s="676">
        <v>-1505.1041963735843</v>
      </c>
      <c r="EE270" s="676">
        <v>17979.739916141974</v>
      </c>
      <c r="EF270" s="676">
        <v>-1036.5829017960059</v>
      </c>
      <c r="EG270" s="676">
        <v>-5542.9233155304501</v>
      </c>
      <c r="EH270" s="676">
        <v>-1898.9045380880634</v>
      </c>
      <c r="EI270" s="676">
        <v>-8214.6586176062938</v>
      </c>
      <c r="EJ270" s="676">
        <v>-6402.1096675958033</v>
      </c>
      <c r="EK270" s="676">
        <v>-4851.8065524626254</v>
      </c>
      <c r="EL270" s="676">
        <v>-7531.8676736265861</v>
      </c>
      <c r="EM270" s="676">
        <v>-6289.3483995601528</v>
      </c>
      <c r="EN270" s="676">
        <v>-16567.893528898225</v>
      </c>
      <c r="EQ270" s="5">
        <v>78798.205130893199</v>
      </c>
      <c r="ER270" s="5">
        <v>56865.036</v>
      </c>
      <c r="ET270" s="318">
        <v>13162.847907556314</v>
      </c>
      <c r="EU270" s="5">
        <v>17.469067845878271</v>
      </c>
    </row>
    <row r="271" spans="1:151" x14ac:dyDescent="0.3">
      <c r="A271" s="325">
        <v>150000711</v>
      </c>
      <c r="B271" s="41" t="s">
        <v>717</v>
      </c>
      <c r="C271" s="42" t="s">
        <v>280</v>
      </c>
      <c r="D271" s="27">
        <v>5</v>
      </c>
      <c r="E271" s="293">
        <v>4577.8</v>
      </c>
      <c r="F271" s="305">
        <v>4538</v>
      </c>
      <c r="G271" s="508">
        <v>0</v>
      </c>
      <c r="H271" s="677">
        <v>39.799999999999997</v>
      </c>
      <c r="I271" s="674">
        <v>16100.022785196612</v>
      </c>
      <c r="J271" s="40">
        <v>15388.232415670043</v>
      </c>
      <c r="K271" s="52">
        <v>-711.79036952656861</v>
      </c>
      <c r="L271" s="674">
        <v>3342.3240879311797</v>
      </c>
      <c r="M271" s="40">
        <v>3194.1488919425392</v>
      </c>
      <c r="N271" s="52">
        <v>-148.17519598864055</v>
      </c>
      <c r="O271" s="674">
        <v>6512.8281576205809</v>
      </c>
      <c r="P271" s="40">
        <v>6513.3850000000011</v>
      </c>
      <c r="Q271" s="52">
        <v>0.55684237942023174</v>
      </c>
      <c r="R271" s="674">
        <v>0</v>
      </c>
      <c r="S271" s="40">
        <v>0</v>
      </c>
      <c r="T271" s="52">
        <v>0</v>
      </c>
      <c r="U271" s="674">
        <v>1186.2563123962695</v>
      </c>
      <c r="V271" s="40">
        <v>805.55164525124144</v>
      </c>
      <c r="W271" s="52">
        <v>-380.70466714502811</v>
      </c>
      <c r="X271" s="674">
        <v>11702.275691427267</v>
      </c>
      <c r="Y271" s="40">
        <v>9651.6738145825839</v>
      </c>
      <c r="Z271" s="52">
        <v>-2050.6018768446829</v>
      </c>
      <c r="AA271" s="674">
        <v>549.26400000000001</v>
      </c>
      <c r="AB271" s="40">
        <v>430</v>
      </c>
      <c r="AC271" s="52">
        <v>-119.26400000000001</v>
      </c>
      <c r="AD271" s="674">
        <v>19624.346944082587</v>
      </c>
      <c r="AE271" s="40">
        <v>19449.798848808296</v>
      </c>
      <c r="AF271" s="35">
        <v>-174.54809527429097</v>
      </c>
      <c r="AG271" s="77">
        <v>59017.317978654493</v>
      </c>
      <c r="AH271" s="53">
        <v>55432.790616254701</v>
      </c>
      <c r="AI271" s="52">
        <v>-3584.5273623997928</v>
      </c>
      <c r="AJ271" s="674">
        <v>0</v>
      </c>
      <c r="AK271" s="40">
        <v>0</v>
      </c>
      <c r="AL271" s="52">
        <v>0</v>
      </c>
      <c r="AM271" s="674">
        <v>0</v>
      </c>
      <c r="AN271" s="40">
        <v>0</v>
      </c>
      <c r="AO271" s="52">
        <v>0</v>
      </c>
      <c r="AP271" s="674">
        <v>13490.504732553558</v>
      </c>
      <c r="AQ271" s="40">
        <v>11219.112480747719</v>
      </c>
      <c r="AR271" s="52">
        <v>-2271.3922518058389</v>
      </c>
      <c r="AS271" s="674">
        <v>60161.863255748503</v>
      </c>
      <c r="AT271" s="40">
        <v>15220.1</v>
      </c>
      <c r="AU271" s="54">
        <v>-44941.763255748505</v>
      </c>
      <c r="AV271" s="674">
        <v>3652.3841818838282</v>
      </c>
      <c r="AW271" s="40">
        <v>1592.8200000000002</v>
      </c>
      <c r="AX271" s="55">
        <v>-2059.564181883828</v>
      </c>
      <c r="AY271" s="674">
        <v>5479.1355441592132</v>
      </c>
      <c r="AZ271" s="40">
        <v>3160.27</v>
      </c>
      <c r="BA271" s="35">
        <v>-2318.8655441592132</v>
      </c>
      <c r="BB271" s="674">
        <v>2280.5654474341268</v>
      </c>
      <c r="BC271" s="40">
        <v>4890</v>
      </c>
      <c r="BD271" s="55">
        <v>2609.4345525658732</v>
      </c>
      <c r="BE271" s="674">
        <v>0</v>
      </c>
      <c r="BF271" s="40">
        <v>0</v>
      </c>
      <c r="BG271" s="38">
        <v>0</v>
      </c>
      <c r="BH271" s="674">
        <v>2024.9600350327316</v>
      </c>
      <c r="BI271" s="40">
        <v>0</v>
      </c>
      <c r="BJ271" s="55">
        <v>-2024.9600350327316</v>
      </c>
      <c r="BK271" s="674">
        <v>3199.2955392923723</v>
      </c>
      <c r="BL271" s="40">
        <v>967</v>
      </c>
      <c r="BM271" s="38">
        <v>-2232.2955392923723</v>
      </c>
      <c r="BN271" s="674">
        <v>137.316</v>
      </c>
      <c r="BO271" s="40">
        <v>0</v>
      </c>
      <c r="BP271" s="55">
        <v>-137.316</v>
      </c>
      <c r="BQ271" s="77">
        <v>16773.65674780227</v>
      </c>
      <c r="BR271" s="40">
        <v>10610.09</v>
      </c>
      <c r="BS271" s="55">
        <v>-6163.5667478022697</v>
      </c>
      <c r="BT271" s="674">
        <v>42534.882637855895</v>
      </c>
      <c r="BU271" s="40">
        <v>50011.464030508432</v>
      </c>
      <c r="BV271" s="52">
        <v>7476.581392652537</v>
      </c>
      <c r="BW271" s="674">
        <v>23174.645247725595</v>
      </c>
      <c r="BX271" s="40">
        <v>22484.126199344992</v>
      </c>
      <c r="BY271" s="52">
        <v>-690.51904838060364</v>
      </c>
      <c r="BZ271" s="674">
        <v>9168.4667774069876</v>
      </c>
      <c r="CA271" s="40">
        <v>9686.7568676978954</v>
      </c>
      <c r="CB271" s="52">
        <v>518.29009029090776</v>
      </c>
      <c r="CC271" s="674">
        <v>555.79568024810055</v>
      </c>
      <c r="CD271" s="40">
        <v>584.15296459383148</v>
      </c>
      <c r="CE271" s="52">
        <v>28.357284345730932</v>
      </c>
      <c r="CF271" s="674">
        <v>67.929717165959346</v>
      </c>
      <c r="CG271" s="40">
        <v>0</v>
      </c>
      <c r="CH271" s="52">
        <v>-67.929717165959346</v>
      </c>
      <c r="CI271" s="674">
        <v>5841.9994526340179</v>
      </c>
      <c r="CJ271" s="40">
        <v>4278.6751778878424</v>
      </c>
      <c r="CK271" s="52">
        <v>-1563.3242747461754</v>
      </c>
      <c r="CL271" s="674">
        <v>0</v>
      </c>
      <c r="CM271" s="40">
        <v>0</v>
      </c>
      <c r="CN271" s="52">
        <v>0</v>
      </c>
      <c r="CO271" s="39">
        <v>5841.9994526340179</v>
      </c>
      <c r="CP271" s="40">
        <v>4278.6751778878424</v>
      </c>
      <c r="CQ271" s="52">
        <v>-1563.3242747461754</v>
      </c>
      <c r="CR271" s="72">
        <v>230787.06222779537</v>
      </c>
      <c r="CS271" s="5">
        <v>179527.26833703541</v>
      </c>
      <c r="CT271" s="52">
        <v>-51259.79389075996</v>
      </c>
      <c r="CU271" s="77">
        <v>276944.47467335442</v>
      </c>
      <c r="CV271" s="65">
        <v>215432.72200444248</v>
      </c>
      <c r="CW271" s="35">
        <v>-61511.75266891194</v>
      </c>
      <c r="CX271" s="73">
        <v>11687.190171049348</v>
      </c>
      <c r="CY271" s="40">
        <v>73198.942839961295</v>
      </c>
      <c r="CZ271" s="52">
        <v>61511.752668911948</v>
      </c>
      <c r="DA271" s="150">
        <v>18815.780435075503</v>
      </c>
      <c r="DB271" s="2">
        <v>3</v>
      </c>
      <c r="DC271" s="675">
        <v>105769.67</v>
      </c>
      <c r="DD271" s="675">
        <v>0</v>
      </c>
      <c r="DE271" s="675">
        <v>80726.0580907556</v>
      </c>
      <c r="DF271" s="675">
        <v>-196.58379954287557</v>
      </c>
      <c r="DG271" s="321">
        <v>80327.533103987473</v>
      </c>
      <c r="DH271" s="40">
        <v>288609.59650236164</v>
      </c>
      <c r="DI271" s="422">
        <v>25240.195708787272</v>
      </c>
      <c r="DJ271" s="306">
        <v>5.5186451981587474</v>
      </c>
      <c r="DK271" s="306">
        <v>5.5186451981587474</v>
      </c>
      <c r="DL271" s="306">
        <v>4.9392914458008939</v>
      </c>
      <c r="DM271" s="28">
        <v>25043.611909244395</v>
      </c>
      <c r="DN271" s="28">
        <v>196.58379954287557</v>
      </c>
      <c r="DO271" s="423">
        <v>25240.195708787272</v>
      </c>
      <c r="DP271" s="94">
        <v>0</v>
      </c>
      <c r="DQ271" s="28">
        <v>25240.195708787272</v>
      </c>
      <c r="DR271" s="318"/>
      <c r="DT271" s="8"/>
      <c r="DU271" s="5"/>
      <c r="DX271" s="5">
        <v>92322.624004260928</v>
      </c>
      <c r="DY271" s="5">
        <v>30996.228000000003</v>
      </c>
      <c r="DZ271" s="159">
        <v>8158.0209474165331</v>
      </c>
      <c r="EB271" s="676">
        <v>4008.2693408361883</v>
      </c>
      <c r="EC271" s="676">
        <v>-6652.8778825697736</v>
      </c>
      <c r="ED271" s="676">
        <v>-4602.675058061388</v>
      </c>
      <c r="EE271" s="676">
        <v>-4823.0497740320316</v>
      </c>
      <c r="EF271" s="676">
        <v>-5087.6125886225309</v>
      </c>
      <c r="EG271" s="676">
        <v>-8512.2566989091156</v>
      </c>
      <c r="EH271" s="676">
        <v>-1568.2429218765537</v>
      </c>
      <c r="EI271" s="676">
        <v>-3470.334305749755</v>
      </c>
      <c r="EJ271" s="676">
        <v>-7581.5375277593921</v>
      </c>
      <c r="EK271" s="676">
        <v>-4665.2586985768939</v>
      </c>
      <c r="EL271" s="676">
        <v>-12139.008362852093</v>
      </c>
      <c r="EM271" s="676">
        <v>-6417.1681907386264</v>
      </c>
      <c r="EN271" s="676">
        <v>-61511.75266891197</v>
      </c>
      <c r="EQ271" s="5">
        <v>92322.624004260928</v>
      </c>
      <c r="ER271" s="5">
        <v>30996.228000000003</v>
      </c>
      <c r="ET271" s="318">
        <v>35892.884165101488</v>
      </c>
      <c r="EU271" s="5">
        <v>74748.648938886035</v>
      </c>
    </row>
    <row r="272" spans="1:151" x14ac:dyDescent="0.3">
      <c r="A272" s="325">
        <v>150000712</v>
      </c>
      <c r="B272" s="41" t="s">
        <v>718</v>
      </c>
      <c r="C272" s="42" t="s">
        <v>281</v>
      </c>
      <c r="D272" s="27">
        <v>5</v>
      </c>
      <c r="E272" s="293">
        <v>3208.93</v>
      </c>
      <c r="F272" s="305">
        <v>3208.93</v>
      </c>
      <c r="G272" s="508">
        <v>0</v>
      </c>
      <c r="H272" s="677">
        <v>0</v>
      </c>
      <c r="I272" s="674">
        <v>11087.219593625559</v>
      </c>
      <c r="J272" s="40">
        <v>10629.000381945496</v>
      </c>
      <c r="K272" s="52">
        <v>-458.21921168006338</v>
      </c>
      <c r="L272" s="674">
        <v>2244.0849092590597</v>
      </c>
      <c r="M272" s="40">
        <v>2144.590414741218</v>
      </c>
      <c r="N272" s="52">
        <v>-99.494494517841758</v>
      </c>
      <c r="O272" s="674">
        <v>4528.4237746989147</v>
      </c>
      <c r="P272" s="40">
        <v>4527.0400000000009</v>
      </c>
      <c r="Q272" s="52">
        <v>-1.3837746989138395</v>
      </c>
      <c r="R272" s="674">
        <v>0</v>
      </c>
      <c r="S272" s="40">
        <v>0</v>
      </c>
      <c r="T272" s="52">
        <v>0</v>
      </c>
      <c r="U272" s="674">
        <v>0</v>
      </c>
      <c r="V272" s="40">
        <v>0</v>
      </c>
      <c r="W272" s="52">
        <v>0</v>
      </c>
      <c r="X272" s="674">
        <v>6836.5568126624648</v>
      </c>
      <c r="Y272" s="40">
        <v>5579.1960611848071</v>
      </c>
      <c r="Z272" s="52">
        <v>-1257.3607514776577</v>
      </c>
      <c r="AA272" s="674">
        <v>385.07159999999999</v>
      </c>
      <c r="AB272" s="40">
        <v>0</v>
      </c>
      <c r="AC272" s="52">
        <v>-385.07159999999999</v>
      </c>
      <c r="AD272" s="674">
        <v>13758.288481638128</v>
      </c>
      <c r="AE272" s="40">
        <v>13633.850980800033</v>
      </c>
      <c r="AF272" s="35">
        <v>-124.43750083809573</v>
      </c>
      <c r="AG272" s="77">
        <v>38839.645171884127</v>
      </c>
      <c r="AH272" s="53">
        <v>36513.67783867156</v>
      </c>
      <c r="AI272" s="52">
        <v>-2325.9673332125676</v>
      </c>
      <c r="AJ272" s="674">
        <v>0</v>
      </c>
      <c r="AK272" s="40">
        <v>0</v>
      </c>
      <c r="AL272" s="52">
        <v>0</v>
      </c>
      <c r="AM272" s="674">
        <v>0</v>
      </c>
      <c r="AN272" s="40">
        <v>0</v>
      </c>
      <c r="AO272" s="52">
        <v>0</v>
      </c>
      <c r="AP272" s="674">
        <v>9443.3533127874925</v>
      </c>
      <c r="AQ272" s="40">
        <v>7853.3787365234039</v>
      </c>
      <c r="AR272" s="52">
        <v>-1589.9745762640887</v>
      </c>
      <c r="AS272" s="674">
        <v>36749.412068585028</v>
      </c>
      <c r="AT272" s="40">
        <v>18828.41</v>
      </c>
      <c r="AU272" s="54">
        <v>-17921.002068585029</v>
      </c>
      <c r="AV272" s="674">
        <v>2509.3211120211245</v>
      </c>
      <c r="AW272" s="40">
        <v>577</v>
      </c>
      <c r="AX272" s="55">
        <v>-1932.3211120211245</v>
      </c>
      <c r="AY272" s="674">
        <v>3678.6362157662265</v>
      </c>
      <c r="AZ272" s="40">
        <v>6615</v>
      </c>
      <c r="BA272" s="35">
        <v>2936.3637842337735</v>
      </c>
      <c r="BB272" s="674">
        <v>1630.2914225806849</v>
      </c>
      <c r="BC272" s="40">
        <v>1095</v>
      </c>
      <c r="BD272" s="55">
        <v>-535.29142258068487</v>
      </c>
      <c r="BE272" s="674">
        <v>0</v>
      </c>
      <c r="BF272" s="40">
        <v>0</v>
      </c>
      <c r="BG272" s="38">
        <v>0</v>
      </c>
      <c r="BH272" s="674">
        <v>0</v>
      </c>
      <c r="BI272" s="40">
        <v>0</v>
      </c>
      <c r="BJ272" s="55">
        <v>0</v>
      </c>
      <c r="BK272" s="674">
        <v>1704.3085628616921</v>
      </c>
      <c r="BL272" s="40">
        <v>668</v>
      </c>
      <c r="BM272" s="38">
        <v>-1036.3085628616921</v>
      </c>
      <c r="BN272" s="674">
        <v>96.267899999999997</v>
      </c>
      <c r="BO272" s="40">
        <v>0</v>
      </c>
      <c r="BP272" s="55">
        <v>-96.267899999999997</v>
      </c>
      <c r="BQ272" s="77">
        <v>9618.8252132297293</v>
      </c>
      <c r="BR272" s="40">
        <v>8955</v>
      </c>
      <c r="BS272" s="55">
        <v>-663.82521322972934</v>
      </c>
      <c r="BT272" s="674">
        <v>41117.641448608687</v>
      </c>
      <c r="BU272" s="40">
        <v>52026.693745568482</v>
      </c>
      <c r="BV272" s="52">
        <v>10909.052296959795</v>
      </c>
      <c r="BW272" s="674">
        <v>16798.727531586843</v>
      </c>
      <c r="BX272" s="40">
        <v>16392.080529916231</v>
      </c>
      <c r="BY272" s="52">
        <v>-406.64700167061164</v>
      </c>
      <c r="BZ272" s="674">
        <v>7069.7895989550834</v>
      </c>
      <c r="CA272" s="40">
        <v>8868.8629275087296</v>
      </c>
      <c r="CB272" s="52">
        <v>1799.0733285536462</v>
      </c>
      <c r="CC272" s="674">
        <v>277.89784012405028</v>
      </c>
      <c r="CD272" s="40">
        <v>292.07648229691574</v>
      </c>
      <c r="CE272" s="52">
        <v>14.178642172865466</v>
      </c>
      <c r="CF272" s="674">
        <v>33.964858582979673</v>
      </c>
      <c r="CG272" s="40">
        <v>0</v>
      </c>
      <c r="CH272" s="52">
        <v>-33.964858582979673</v>
      </c>
      <c r="CI272" s="674">
        <v>4330.920215407762</v>
      </c>
      <c r="CJ272" s="40">
        <v>2407.2979546683168</v>
      </c>
      <c r="CK272" s="52">
        <v>-1923.6222607394452</v>
      </c>
      <c r="CL272" s="674">
        <v>0</v>
      </c>
      <c r="CM272" s="40">
        <v>0</v>
      </c>
      <c r="CN272" s="52">
        <v>0</v>
      </c>
      <c r="CO272" s="39">
        <v>4330.920215407762</v>
      </c>
      <c r="CP272" s="40">
        <v>2407.2979546683168</v>
      </c>
      <c r="CQ272" s="52">
        <v>-1923.6222607394452</v>
      </c>
      <c r="CR272" s="72">
        <v>164280.17725975177</v>
      </c>
      <c r="CS272" s="5">
        <v>152137.47821515365</v>
      </c>
      <c r="CT272" s="52">
        <v>-12142.699044598121</v>
      </c>
      <c r="CU272" s="77">
        <v>197136.21271170213</v>
      </c>
      <c r="CV272" s="65">
        <v>182564.97385818438</v>
      </c>
      <c r="CW272" s="35">
        <v>-14571.238853517745</v>
      </c>
      <c r="CX272" s="73">
        <v>9873.9877979198463</v>
      </c>
      <c r="CY272" s="40">
        <v>24445.226651437602</v>
      </c>
      <c r="CZ272" s="52">
        <v>14571.238853517756</v>
      </c>
      <c r="DA272" s="150">
        <v>57597.11916971243</v>
      </c>
      <c r="DB272" s="2">
        <v>3</v>
      </c>
      <c r="DC272" s="675">
        <v>42834.14</v>
      </c>
      <c r="DD272" s="675">
        <v>0</v>
      </c>
      <c r="DE272" s="675">
        <v>24678.102087762425</v>
      </c>
      <c r="DF272" s="675">
        <v>0</v>
      </c>
      <c r="DG272" s="321">
        <v>72168.35802323019</v>
      </c>
      <c r="DH272" s="40">
        <v>206994.54554737516</v>
      </c>
      <c r="DI272" s="422">
        <v>18156.037912237574</v>
      </c>
      <c r="DJ272" s="306">
        <v>5.6579725678770103</v>
      </c>
      <c r="DK272" s="306">
        <v>5.6579725678770103</v>
      </c>
      <c r="DL272" s="306">
        <v>5.0529896741435163</v>
      </c>
      <c r="DM272" s="28">
        <v>18156.037912237574</v>
      </c>
      <c r="DN272" s="28">
        <v>0</v>
      </c>
      <c r="DO272" s="423">
        <v>18156.037912237574</v>
      </c>
      <c r="DP272" s="94">
        <v>0</v>
      </c>
      <c r="DQ272" s="28">
        <v>18156.037912237574</v>
      </c>
      <c r="DR272" s="318"/>
      <c r="DT272" s="8"/>
      <c r="DU272" s="5"/>
      <c r="DX272" s="5">
        <v>55641.884738177709</v>
      </c>
      <c r="DY272" s="5">
        <v>33340.091999999997</v>
      </c>
      <c r="DZ272" s="159">
        <v>4878.1375343076643</v>
      </c>
      <c r="EB272" s="676">
        <v>8627.6885179832025</v>
      </c>
      <c r="EC272" s="676">
        <v>-4456.0194208179655</v>
      </c>
      <c r="ED272" s="676">
        <v>-2830.5926209306581</v>
      </c>
      <c r="EE272" s="676">
        <v>12896.266356146363</v>
      </c>
      <c r="EF272" s="676">
        <v>5891.8087416692579</v>
      </c>
      <c r="EG272" s="676">
        <v>-7449.9639768327779</v>
      </c>
      <c r="EH272" s="676">
        <v>-1516.8239730094501</v>
      </c>
      <c r="EI272" s="676">
        <v>-5090.7861673291245</v>
      </c>
      <c r="EJ272" s="676">
        <v>-3454.8229380337489</v>
      </c>
      <c r="EK272" s="676">
        <v>-3949.0494402360764</v>
      </c>
      <c r="EL272" s="676">
        <v>-7522.1378656619308</v>
      </c>
      <c r="EM272" s="676">
        <v>-5716.8060664648528</v>
      </c>
      <c r="EN272" s="676">
        <v>-14571.238853517762</v>
      </c>
      <c r="EQ272" s="5">
        <v>55641.884738177709</v>
      </c>
      <c r="ER272" s="5">
        <v>33340.091999999997</v>
      </c>
      <c r="ET272" s="318">
        <v>-16541.041617295843</v>
      </c>
      <c r="EU272" s="5">
        <v>56918.599640526038</v>
      </c>
    </row>
    <row r="273" spans="1:151" x14ac:dyDescent="0.3">
      <c r="A273" s="325">
        <v>150000713</v>
      </c>
      <c r="B273" s="41" t="s">
        <v>719</v>
      </c>
      <c r="C273" s="42" t="s">
        <v>282</v>
      </c>
      <c r="D273" s="27">
        <v>5</v>
      </c>
      <c r="E273" s="293">
        <v>6256.6</v>
      </c>
      <c r="F273" s="305">
        <v>5131.2</v>
      </c>
      <c r="G273" s="508">
        <v>0</v>
      </c>
      <c r="H273" s="677">
        <v>1125.4000000000001</v>
      </c>
      <c r="I273" s="674">
        <v>21063.717709031909</v>
      </c>
      <c r="J273" s="40">
        <v>20013.16044937741</v>
      </c>
      <c r="K273" s="52">
        <v>-1050.5572596544989</v>
      </c>
      <c r="L273" s="674">
        <v>4460.5412121965755</v>
      </c>
      <c r="M273" s="40">
        <v>4262.7780724423092</v>
      </c>
      <c r="N273" s="52">
        <v>-197.76313975426638</v>
      </c>
      <c r="O273" s="674">
        <v>8311.4071532367034</v>
      </c>
      <c r="P273" s="40">
        <v>8310.255000000001</v>
      </c>
      <c r="Q273" s="52">
        <v>-1.152153236702361</v>
      </c>
      <c r="R273" s="674">
        <v>0</v>
      </c>
      <c r="S273" s="40">
        <v>0</v>
      </c>
      <c r="T273" s="52">
        <v>0</v>
      </c>
      <c r="U273" s="674">
        <v>1836.059988105827</v>
      </c>
      <c r="V273" s="40">
        <v>1246.8198723652665</v>
      </c>
      <c r="W273" s="52">
        <v>-589.24011574056044</v>
      </c>
      <c r="X273" s="674">
        <v>18551.712167616817</v>
      </c>
      <c r="Y273" s="40">
        <v>15462.039487790622</v>
      </c>
      <c r="Z273" s="52">
        <v>-3089.6726798261952</v>
      </c>
      <c r="AA273" s="674">
        <v>744.48</v>
      </c>
      <c r="AB273" s="40">
        <v>0</v>
      </c>
      <c r="AC273" s="52">
        <v>-744.48</v>
      </c>
      <c r="AD273" s="674">
        <v>26704.586091254823</v>
      </c>
      <c r="AE273" s="40">
        <v>26583.416870949135</v>
      </c>
      <c r="AF273" s="35">
        <v>-121.16922030568821</v>
      </c>
      <c r="AG273" s="77">
        <v>81672.504321442655</v>
      </c>
      <c r="AH273" s="53">
        <v>75878.46975292475</v>
      </c>
      <c r="AI273" s="52">
        <v>-5794.0345685179054</v>
      </c>
      <c r="AJ273" s="674">
        <v>0</v>
      </c>
      <c r="AK273" s="40">
        <v>0</v>
      </c>
      <c r="AL273" s="52">
        <v>0</v>
      </c>
      <c r="AM273" s="674">
        <v>0</v>
      </c>
      <c r="AN273" s="40">
        <v>0</v>
      </c>
      <c r="AO273" s="52">
        <v>0</v>
      </c>
      <c r="AP273" s="674">
        <v>14434.840063832306</v>
      </c>
      <c r="AQ273" s="40">
        <v>12004.45035440006</v>
      </c>
      <c r="AR273" s="52">
        <v>-2430.3897094322456</v>
      </c>
      <c r="AS273" s="674">
        <v>81053.634934057147</v>
      </c>
      <c r="AT273" s="40">
        <v>30526.239999999998</v>
      </c>
      <c r="AU273" s="54">
        <v>-50527.394934057149</v>
      </c>
      <c r="AV273" s="674">
        <v>4823.1412548506614</v>
      </c>
      <c r="AW273" s="40">
        <v>1489.04</v>
      </c>
      <c r="AX273" s="55">
        <v>-3334.1012548506615</v>
      </c>
      <c r="AY273" s="674">
        <v>7312.152463087371</v>
      </c>
      <c r="AZ273" s="40">
        <v>3461</v>
      </c>
      <c r="BA273" s="35">
        <v>-3851.152463087371</v>
      </c>
      <c r="BB273" s="674">
        <v>3109.834454453443</v>
      </c>
      <c r="BC273" s="40">
        <v>6836</v>
      </c>
      <c r="BD273" s="55">
        <v>3726.165545546557</v>
      </c>
      <c r="BE273" s="674">
        <v>0</v>
      </c>
      <c r="BF273" s="40">
        <v>0</v>
      </c>
      <c r="BG273" s="38">
        <v>0</v>
      </c>
      <c r="BH273" s="674">
        <v>3134.6721921477197</v>
      </c>
      <c r="BI273" s="40">
        <v>0</v>
      </c>
      <c r="BJ273" s="55">
        <v>-3134.6721921477197</v>
      </c>
      <c r="BK273" s="674">
        <v>5237.656406564688</v>
      </c>
      <c r="BL273" s="40">
        <v>0</v>
      </c>
      <c r="BM273" s="38">
        <v>-5237.656406564688</v>
      </c>
      <c r="BN273" s="674">
        <v>186.12</v>
      </c>
      <c r="BO273" s="40">
        <v>0</v>
      </c>
      <c r="BP273" s="55">
        <v>-186.12</v>
      </c>
      <c r="BQ273" s="77">
        <v>23803.576771103882</v>
      </c>
      <c r="BR273" s="40">
        <v>11786.04</v>
      </c>
      <c r="BS273" s="55">
        <v>-12017.536771103882</v>
      </c>
      <c r="BT273" s="674">
        <v>54144.574049691058</v>
      </c>
      <c r="BU273" s="40">
        <v>66337.737029085009</v>
      </c>
      <c r="BV273" s="52">
        <v>12193.16297939395</v>
      </c>
      <c r="BW273" s="674">
        <v>29792.580672092423</v>
      </c>
      <c r="BX273" s="40">
        <v>30730.138170592218</v>
      </c>
      <c r="BY273" s="52">
        <v>937.55749849979475</v>
      </c>
      <c r="BZ273" s="674">
        <v>13323.836610398803</v>
      </c>
      <c r="CA273" s="40">
        <v>14628.547069407554</v>
      </c>
      <c r="CB273" s="52">
        <v>1304.7104590087511</v>
      </c>
      <c r="CC273" s="674">
        <v>833.69352037215049</v>
      </c>
      <c r="CD273" s="40">
        <v>876.22944689074711</v>
      </c>
      <c r="CE273" s="52">
        <v>42.535926518596625</v>
      </c>
      <c r="CF273" s="674">
        <v>101.894575748939</v>
      </c>
      <c r="CG273" s="40">
        <v>0</v>
      </c>
      <c r="CH273" s="52">
        <v>-101.894575748939</v>
      </c>
      <c r="CI273" s="674">
        <v>2792.5941579656924</v>
      </c>
      <c r="CJ273" s="40">
        <v>2264.858218025026</v>
      </c>
      <c r="CK273" s="52">
        <v>-527.73593994066641</v>
      </c>
      <c r="CL273" s="674">
        <v>0</v>
      </c>
      <c r="CM273" s="40">
        <v>0</v>
      </c>
      <c r="CN273" s="52">
        <v>0</v>
      </c>
      <c r="CO273" s="39">
        <v>2792.5941579656924</v>
      </c>
      <c r="CP273" s="40">
        <v>2264.858218025026</v>
      </c>
      <c r="CQ273" s="52">
        <v>-527.73593994066641</v>
      </c>
      <c r="CR273" s="72">
        <v>301953.72967670503</v>
      </c>
      <c r="CS273" s="5">
        <v>245032.71004132536</v>
      </c>
      <c r="CT273" s="52">
        <v>-56921.019635379664</v>
      </c>
      <c r="CU273" s="77">
        <v>362344.47561204602</v>
      </c>
      <c r="CV273" s="65">
        <v>294039.2520495904</v>
      </c>
      <c r="CW273" s="35">
        <v>-68305.22356245562</v>
      </c>
      <c r="CX273" s="73">
        <v>14722.528144643304</v>
      </c>
      <c r="CY273" s="40">
        <v>83027.751707098912</v>
      </c>
      <c r="CZ273" s="52">
        <v>68305.223562455605</v>
      </c>
      <c r="DA273" s="150">
        <v>11422.100718665024</v>
      </c>
      <c r="DB273" s="2">
        <v>3</v>
      </c>
      <c r="DC273" s="675">
        <v>73133.820000000007</v>
      </c>
      <c r="DD273" s="675">
        <v>14959.819999999998</v>
      </c>
      <c r="DE273" s="675">
        <v>45518.463123121765</v>
      </c>
      <c r="DF273" s="675">
        <v>9642.9376832946655</v>
      </c>
      <c r="DG273" s="321">
        <v>79727.324281120615</v>
      </c>
      <c r="DH273" s="40">
        <v>377038.03991840908</v>
      </c>
      <c r="DI273" s="422">
        <v>32932.239193583577</v>
      </c>
      <c r="DJ273" s="306">
        <v>5.3818515896628938</v>
      </c>
      <c r="DK273" s="306">
        <v>5.3818515896628938</v>
      </c>
      <c r="DL273" s="306">
        <v>4.7244378147372768</v>
      </c>
      <c r="DM273" s="28">
        <v>27615.356876878239</v>
      </c>
      <c r="DN273" s="28">
        <v>5316.8823167053315</v>
      </c>
      <c r="DO273" s="423">
        <v>32932.239193583569</v>
      </c>
      <c r="DP273" s="94">
        <v>0</v>
      </c>
      <c r="DQ273" s="28">
        <v>32932.239193583569</v>
      </c>
      <c r="DR273" s="318"/>
      <c r="DT273" s="8"/>
      <c r="DU273" s="5"/>
      <c r="DX273" s="5">
        <v>125828.65404619323</v>
      </c>
      <c r="DY273" s="5">
        <v>50774.735999999997</v>
      </c>
      <c r="DZ273" s="159">
        <v>11022.44839023748</v>
      </c>
      <c r="EB273" s="676">
        <v>14221.373190674818</v>
      </c>
      <c r="EC273" s="676">
        <v>-4853.3798489901965</v>
      </c>
      <c r="ED273" s="676">
        <v>-4818.9639625412237</v>
      </c>
      <c r="EE273" s="676">
        <v>-6377.1150054320278</v>
      </c>
      <c r="EF273" s="676">
        <v>-10404.244180413665</v>
      </c>
      <c r="EG273" s="676">
        <v>-12316.932436324056</v>
      </c>
      <c r="EH273" s="676">
        <v>-1931.5543759896827</v>
      </c>
      <c r="EI273" s="676">
        <v>-10640.301359406007</v>
      </c>
      <c r="EJ273" s="676">
        <v>-9792.1146351495081</v>
      </c>
      <c r="EK273" s="676">
        <v>-11141.721427314351</v>
      </c>
      <c r="EL273" s="676">
        <v>1350.1121817295352</v>
      </c>
      <c r="EM273" s="676">
        <v>-11600.381703299223</v>
      </c>
      <c r="EN273" s="676">
        <v>-68305.223562455591</v>
      </c>
      <c r="EQ273" s="5">
        <v>125828.65404619323</v>
      </c>
      <c r="ER273" s="5">
        <v>50774.735999999997</v>
      </c>
      <c r="ET273" s="318">
        <v>-24562.460699288134</v>
      </c>
      <c r="EU273" s="5">
        <v>67770.584980408748</v>
      </c>
    </row>
    <row r="274" spans="1:151" x14ac:dyDescent="0.3">
      <c r="A274" s="325">
        <v>150000714</v>
      </c>
      <c r="B274" s="41" t="s">
        <v>720</v>
      </c>
      <c r="C274" s="42" t="s">
        <v>283</v>
      </c>
      <c r="D274" s="27">
        <v>5</v>
      </c>
      <c r="E274" s="293">
        <v>2767.8</v>
      </c>
      <c r="F274" s="305">
        <v>2767.8</v>
      </c>
      <c r="G274" s="508">
        <v>0</v>
      </c>
      <c r="H274" s="677">
        <v>0</v>
      </c>
      <c r="I274" s="674">
        <v>10184.217290098637</v>
      </c>
      <c r="J274" s="40">
        <v>9661.9357438125153</v>
      </c>
      <c r="K274" s="52">
        <v>-522.28154628612174</v>
      </c>
      <c r="L274" s="674">
        <v>2192.0470712917677</v>
      </c>
      <c r="M274" s="40">
        <v>2094.8658995585574</v>
      </c>
      <c r="N274" s="52">
        <v>-97.181171733210249</v>
      </c>
      <c r="O274" s="674">
        <v>3883.7492916646443</v>
      </c>
      <c r="P274" s="40">
        <v>3883.6999999999989</v>
      </c>
      <c r="Q274" s="52">
        <v>-4.9291664645352284E-2</v>
      </c>
      <c r="R274" s="674">
        <v>0</v>
      </c>
      <c r="S274" s="40">
        <v>0</v>
      </c>
      <c r="T274" s="52">
        <v>0</v>
      </c>
      <c r="U274" s="674">
        <v>0</v>
      </c>
      <c r="V274" s="40">
        <v>0</v>
      </c>
      <c r="W274" s="52">
        <v>0</v>
      </c>
      <c r="X274" s="674">
        <v>6480.3501467413962</v>
      </c>
      <c r="Y274" s="40">
        <v>5202.8131835213053</v>
      </c>
      <c r="Z274" s="52">
        <v>-1277.5369632200909</v>
      </c>
      <c r="AA274" s="674">
        <v>331.94399999999996</v>
      </c>
      <c r="AB274" s="40">
        <v>0</v>
      </c>
      <c r="AC274" s="52">
        <v>-331.94399999999996</v>
      </c>
      <c r="AD274" s="674">
        <v>11865.212156461033</v>
      </c>
      <c r="AE274" s="40">
        <v>11759.612314590328</v>
      </c>
      <c r="AF274" s="35">
        <v>-105.59984187070586</v>
      </c>
      <c r="AG274" s="77">
        <v>34937.519956257478</v>
      </c>
      <c r="AH274" s="53">
        <v>32602.927141482702</v>
      </c>
      <c r="AI274" s="52">
        <v>-2334.5928147747763</v>
      </c>
      <c r="AJ274" s="674">
        <v>0</v>
      </c>
      <c r="AK274" s="40">
        <v>0</v>
      </c>
      <c r="AL274" s="52">
        <v>0</v>
      </c>
      <c r="AM274" s="674">
        <v>0</v>
      </c>
      <c r="AN274" s="40">
        <v>0</v>
      </c>
      <c r="AO274" s="52">
        <v>0</v>
      </c>
      <c r="AP274" s="674">
        <v>4047.1514197660686</v>
      </c>
      <c r="AQ274" s="40">
        <v>3367.953502434646</v>
      </c>
      <c r="AR274" s="52">
        <v>-679.19791733142256</v>
      </c>
      <c r="AS274" s="674">
        <v>41539.96903812579</v>
      </c>
      <c r="AT274" s="40">
        <v>8022.9400000000005</v>
      </c>
      <c r="AU274" s="54">
        <v>-33517.029038125787</v>
      </c>
      <c r="AV274" s="674">
        <v>2362.4942501545347</v>
      </c>
      <c r="AW274" s="40">
        <v>0</v>
      </c>
      <c r="AX274" s="55">
        <v>-2362.4942501545347</v>
      </c>
      <c r="AY274" s="674">
        <v>3593.3407158377686</v>
      </c>
      <c r="AZ274" s="40">
        <v>0</v>
      </c>
      <c r="BA274" s="35">
        <v>-3593.3407158377686</v>
      </c>
      <c r="BB274" s="674">
        <v>1383.2496130256654</v>
      </c>
      <c r="BC274" s="40">
        <v>0</v>
      </c>
      <c r="BD274" s="55">
        <v>-1383.2496130256654</v>
      </c>
      <c r="BE274" s="674">
        <v>0</v>
      </c>
      <c r="BF274" s="40">
        <v>0</v>
      </c>
      <c r="BG274" s="38">
        <v>0</v>
      </c>
      <c r="BH274" s="674">
        <v>0</v>
      </c>
      <c r="BI274" s="40">
        <v>0</v>
      </c>
      <c r="BJ274" s="55">
        <v>0</v>
      </c>
      <c r="BK274" s="674">
        <v>1561.1033849149385</v>
      </c>
      <c r="BL274" s="40">
        <v>3971</v>
      </c>
      <c r="BM274" s="38">
        <v>2409.8966150850615</v>
      </c>
      <c r="BN274" s="674">
        <v>82.98599999999999</v>
      </c>
      <c r="BO274" s="40">
        <v>0</v>
      </c>
      <c r="BP274" s="55">
        <v>-82.98599999999999</v>
      </c>
      <c r="BQ274" s="77">
        <v>8983.173963932908</v>
      </c>
      <c r="BR274" s="40">
        <v>3971</v>
      </c>
      <c r="BS274" s="55">
        <v>-5012.173963932908</v>
      </c>
      <c r="BT274" s="674">
        <v>32097.161561602697</v>
      </c>
      <c r="BU274" s="40">
        <v>38299.822632288437</v>
      </c>
      <c r="BV274" s="52">
        <v>6202.6610706857391</v>
      </c>
      <c r="BW274" s="674">
        <v>16788.266456282792</v>
      </c>
      <c r="BX274" s="40">
        <v>17076.590149868087</v>
      </c>
      <c r="BY274" s="52">
        <v>288.32369358529468</v>
      </c>
      <c r="BZ274" s="674">
        <v>5843.9225224628617</v>
      </c>
      <c r="CA274" s="40">
        <v>8792.8973088087132</v>
      </c>
      <c r="CB274" s="52">
        <v>2948.9747863458515</v>
      </c>
      <c r="CC274" s="674">
        <v>555.79568024810055</v>
      </c>
      <c r="CD274" s="40">
        <v>584.15296459383148</v>
      </c>
      <c r="CE274" s="52">
        <v>28.357284345730932</v>
      </c>
      <c r="CF274" s="674">
        <v>67.929717165959346</v>
      </c>
      <c r="CG274" s="40">
        <v>0</v>
      </c>
      <c r="CH274" s="52">
        <v>-67.929717165959346</v>
      </c>
      <c r="CI274" s="674">
        <v>9981.6473946365095</v>
      </c>
      <c r="CJ274" s="40">
        <v>9381.7616009317389</v>
      </c>
      <c r="CK274" s="52">
        <v>-599.88579370477055</v>
      </c>
      <c r="CL274" s="674">
        <v>0</v>
      </c>
      <c r="CM274" s="40">
        <v>0</v>
      </c>
      <c r="CN274" s="52">
        <v>0</v>
      </c>
      <c r="CO274" s="39">
        <v>9981.6473946365095</v>
      </c>
      <c r="CP274" s="40">
        <v>9381.7616009317389</v>
      </c>
      <c r="CQ274" s="52">
        <v>-599.88579370477055</v>
      </c>
      <c r="CR274" s="72">
        <v>154842.53771048115</v>
      </c>
      <c r="CS274" s="5">
        <v>122100.04530040815</v>
      </c>
      <c r="CT274" s="52">
        <v>-32742.492410072999</v>
      </c>
      <c r="CU274" s="77">
        <v>185811.04525257737</v>
      </c>
      <c r="CV274" s="65">
        <v>146520.05436048977</v>
      </c>
      <c r="CW274" s="35">
        <v>-39290.990892087604</v>
      </c>
      <c r="CX274" s="73">
        <v>4879.8248601261521</v>
      </c>
      <c r="CY274" s="40">
        <v>44170.815752213777</v>
      </c>
      <c r="CZ274" s="52">
        <v>39290.990892087626</v>
      </c>
      <c r="DA274" s="150">
        <v>86969.837981127654</v>
      </c>
      <c r="DB274" s="2">
        <v>3</v>
      </c>
      <c r="DC274" s="675">
        <v>24599.58</v>
      </c>
      <c r="DD274" s="675">
        <v>0</v>
      </c>
      <c r="DE274" s="675">
        <v>7877.0269363813022</v>
      </c>
      <c r="DF274" s="675">
        <v>0</v>
      </c>
      <c r="DG274" s="321">
        <v>126260.82887321526</v>
      </c>
      <c r="DH274" s="40">
        <v>190676.44223648231</v>
      </c>
      <c r="DI274" s="422">
        <v>16722.553063618703</v>
      </c>
      <c r="DJ274" s="306">
        <v>6.0418213251025001</v>
      </c>
      <c r="DK274" s="306">
        <v>6.0418213251025001</v>
      </c>
      <c r="DL274" s="306">
        <v>5.360875588508736</v>
      </c>
      <c r="DM274" s="28">
        <v>16722.5530636187</v>
      </c>
      <c r="DN274" s="28">
        <v>0</v>
      </c>
      <c r="DO274" s="423">
        <v>16722.5530636187</v>
      </c>
      <c r="DP274" s="94">
        <v>0</v>
      </c>
      <c r="DQ274" s="28">
        <v>16722.5530636187</v>
      </c>
      <c r="DR274" s="318"/>
      <c r="DT274" s="8"/>
      <c r="DU274" s="5"/>
      <c r="DX274" s="5">
        <v>60627.771602470435</v>
      </c>
      <c r="DY274" s="5">
        <v>14392.728000000001</v>
      </c>
      <c r="DZ274" s="159">
        <v>5451.0292365269024</v>
      </c>
      <c r="EB274" s="676">
        <v>-2594.5074172129425</v>
      </c>
      <c r="EC274" s="676">
        <v>-3275.4922246311071</v>
      </c>
      <c r="ED274" s="676">
        <v>-2433.2801036016808</v>
      </c>
      <c r="EE274" s="676">
        <v>-3963.5282795271523</v>
      </c>
      <c r="EF274" s="676">
        <v>-5444.9667913445137</v>
      </c>
      <c r="EG274" s="676">
        <v>-7678.117163948411</v>
      </c>
      <c r="EH274" s="676">
        <v>-2119.5559004756251</v>
      </c>
      <c r="EI274" s="676">
        <v>6828.7630231142357</v>
      </c>
      <c r="EJ274" s="676">
        <v>-4606.0989243205913</v>
      </c>
      <c r="EK274" s="676">
        <v>-5437.2848754341721</v>
      </c>
      <c r="EL274" s="676">
        <v>-4150.9227197757482</v>
      </c>
      <c r="EM274" s="676">
        <v>-4415.9995149298975</v>
      </c>
      <c r="EN274" s="676">
        <v>-39290.990892087604</v>
      </c>
      <c r="EQ274" s="5">
        <v>60627.771602470435</v>
      </c>
      <c r="ER274" s="5">
        <v>14392.728000000001</v>
      </c>
      <c r="ET274" s="318">
        <v>81794.501106867465</v>
      </c>
      <c r="EU274" s="5">
        <v>11918.327766347829</v>
      </c>
    </row>
    <row r="275" spans="1:151" x14ac:dyDescent="0.3">
      <c r="A275" s="325">
        <v>150000715</v>
      </c>
      <c r="B275" s="41" t="s">
        <v>721</v>
      </c>
      <c r="C275" s="42" t="s">
        <v>284</v>
      </c>
      <c r="D275" s="27">
        <v>5</v>
      </c>
      <c r="E275" s="293">
        <v>4580.3</v>
      </c>
      <c r="F275" s="305">
        <v>4580.3</v>
      </c>
      <c r="G275" s="508">
        <v>0</v>
      </c>
      <c r="H275" s="677">
        <v>0</v>
      </c>
      <c r="I275" s="674">
        <v>16126.34390138761</v>
      </c>
      <c r="J275" s="40">
        <v>15315.70186628077</v>
      </c>
      <c r="K275" s="52">
        <v>-810.64203510684092</v>
      </c>
      <c r="L275" s="674">
        <v>3346.1178183196407</v>
      </c>
      <c r="M275" s="40">
        <v>3197.7758745404481</v>
      </c>
      <c r="N275" s="52">
        <v>-148.34194377919266</v>
      </c>
      <c r="O275" s="674">
        <v>6579.0633465801939</v>
      </c>
      <c r="P275" s="40">
        <v>6579.6299999999992</v>
      </c>
      <c r="Q275" s="52">
        <v>0.56665341980533412</v>
      </c>
      <c r="R275" s="674">
        <v>0</v>
      </c>
      <c r="S275" s="40">
        <v>0</v>
      </c>
      <c r="T275" s="52">
        <v>0</v>
      </c>
      <c r="U275" s="674">
        <v>1210.6302887828381</v>
      </c>
      <c r="V275" s="40">
        <v>822.09111462304054</v>
      </c>
      <c r="W275" s="52">
        <v>-388.53917415979754</v>
      </c>
      <c r="X275" s="674">
        <v>11691.48012413709</v>
      </c>
      <c r="Y275" s="40">
        <v>9728.8503416307467</v>
      </c>
      <c r="Z275" s="52">
        <v>-1962.629782506343</v>
      </c>
      <c r="AA275" s="674">
        <v>549.63600000000008</v>
      </c>
      <c r="AB275" s="40">
        <v>0</v>
      </c>
      <c r="AC275" s="52">
        <v>-549.63600000000008</v>
      </c>
      <c r="AD275" s="674">
        <v>19638.058275238378</v>
      </c>
      <c r="AE275" s="40">
        <v>19460.42065341357</v>
      </c>
      <c r="AF275" s="35">
        <v>-177.63762182480787</v>
      </c>
      <c r="AG275" s="77">
        <v>59141.329754445753</v>
      </c>
      <c r="AH275" s="53">
        <v>55104.469850488575</v>
      </c>
      <c r="AI275" s="52">
        <v>-4036.8599039571782</v>
      </c>
      <c r="AJ275" s="674">
        <v>0</v>
      </c>
      <c r="AK275" s="40">
        <v>0</v>
      </c>
      <c r="AL275" s="52">
        <v>0</v>
      </c>
      <c r="AM275" s="674">
        <v>0</v>
      </c>
      <c r="AN275" s="40">
        <v>0</v>
      </c>
      <c r="AO275" s="52">
        <v>0</v>
      </c>
      <c r="AP275" s="674">
        <v>13490.504732553558</v>
      </c>
      <c r="AQ275" s="40">
        <v>12388.704012781571</v>
      </c>
      <c r="AR275" s="52">
        <v>-1101.8007197719871</v>
      </c>
      <c r="AS275" s="674">
        <v>59488.346750549674</v>
      </c>
      <c r="AT275" s="40">
        <v>93765.56</v>
      </c>
      <c r="AU275" s="54">
        <v>34277.213249450324</v>
      </c>
      <c r="AV275" s="674">
        <v>3660.9654738245904</v>
      </c>
      <c r="AW275" s="40">
        <v>6113</v>
      </c>
      <c r="AX275" s="55">
        <v>2452.0345261754096</v>
      </c>
      <c r="AY275" s="674">
        <v>5485.4050421838583</v>
      </c>
      <c r="AZ275" s="40">
        <v>3978</v>
      </c>
      <c r="BA275" s="35">
        <v>-1507.4050421838583</v>
      </c>
      <c r="BB275" s="674">
        <v>2324.1506769242196</v>
      </c>
      <c r="BC275" s="40">
        <v>7139</v>
      </c>
      <c r="BD275" s="55">
        <v>4814.8493230757804</v>
      </c>
      <c r="BE275" s="674">
        <v>0</v>
      </c>
      <c r="BF275" s="40">
        <v>0</v>
      </c>
      <c r="BG275" s="38">
        <v>0</v>
      </c>
      <c r="BH275" s="674">
        <v>2066.5292621998183</v>
      </c>
      <c r="BI275" s="40">
        <v>0</v>
      </c>
      <c r="BJ275" s="55">
        <v>-2066.5292621998183</v>
      </c>
      <c r="BK275" s="674">
        <v>3216.6977148772112</v>
      </c>
      <c r="BL275" s="40">
        <v>654</v>
      </c>
      <c r="BM275" s="38">
        <v>-2562.6977148772112</v>
      </c>
      <c r="BN275" s="674">
        <v>137.40900000000002</v>
      </c>
      <c r="BO275" s="40">
        <v>0</v>
      </c>
      <c r="BP275" s="55">
        <v>-137.40900000000002</v>
      </c>
      <c r="BQ275" s="77">
        <v>16891.157170009697</v>
      </c>
      <c r="BR275" s="40">
        <v>17884</v>
      </c>
      <c r="BS275" s="55">
        <v>992.84282999030256</v>
      </c>
      <c r="BT275" s="674">
        <v>42394.152182750957</v>
      </c>
      <c r="BU275" s="40">
        <v>52500.656616428532</v>
      </c>
      <c r="BV275" s="52">
        <v>10106.504433677575</v>
      </c>
      <c r="BW275" s="674">
        <v>21575.206041352329</v>
      </c>
      <c r="BX275" s="40">
        <v>22376.249569149211</v>
      </c>
      <c r="BY275" s="52">
        <v>801.0435277968827</v>
      </c>
      <c r="BZ275" s="674">
        <v>9718.970819045142</v>
      </c>
      <c r="CA275" s="40">
        <v>12525.669374056819</v>
      </c>
      <c r="CB275" s="52">
        <v>2806.6985550116769</v>
      </c>
      <c r="CC275" s="674">
        <v>555.79568024810055</v>
      </c>
      <c r="CD275" s="40">
        <v>584.15296459383148</v>
      </c>
      <c r="CE275" s="52">
        <v>28.357284345730932</v>
      </c>
      <c r="CF275" s="674">
        <v>67.929717165959346</v>
      </c>
      <c r="CG275" s="40">
        <v>0</v>
      </c>
      <c r="CH275" s="52">
        <v>-67.929717165959346</v>
      </c>
      <c r="CI275" s="674">
        <v>5486.6172943906058</v>
      </c>
      <c r="CJ275" s="40">
        <v>4236.1076047114666</v>
      </c>
      <c r="CK275" s="52">
        <v>-1250.5096896791392</v>
      </c>
      <c r="CL275" s="674">
        <v>0</v>
      </c>
      <c r="CM275" s="40">
        <v>0</v>
      </c>
      <c r="CN275" s="52">
        <v>0</v>
      </c>
      <c r="CO275" s="39">
        <v>5486.6172943906058</v>
      </c>
      <c r="CP275" s="40">
        <v>4236.1076047114666</v>
      </c>
      <c r="CQ275" s="52">
        <v>-1250.5096896791392</v>
      </c>
      <c r="CR275" s="72">
        <v>228810.01014251178</v>
      </c>
      <c r="CS275" s="5">
        <v>271365.56999221002</v>
      </c>
      <c r="CT275" s="52">
        <v>42555.559849698242</v>
      </c>
      <c r="CU275" s="77">
        <v>274572.0121710141</v>
      </c>
      <c r="CV275" s="65">
        <v>325638.68399065203</v>
      </c>
      <c r="CW275" s="35">
        <v>51066.671819637937</v>
      </c>
      <c r="CX275" s="73">
        <v>10723.035736357166</v>
      </c>
      <c r="CY275" s="40">
        <v>-40343.636083280726</v>
      </c>
      <c r="CZ275" s="52">
        <v>-51066.671819637893</v>
      </c>
      <c r="DA275" s="150">
        <v>64146.864205431084</v>
      </c>
      <c r="DB275" s="2">
        <v>3</v>
      </c>
      <c r="DC275" s="675">
        <v>39741.980000000003</v>
      </c>
      <c r="DD275" s="675">
        <v>0</v>
      </c>
      <c r="DE275" s="675">
        <v>14831.654857059224</v>
      </c>
      <c r="DF275" s="675">
        <v>0</v>
      </c>
      <c r="DG275" s="321">
        <v>13080.192385793227</v>
      </c>
      <c r="DH275" s="40">
        <v>285273.11160288053</v>
      </c>
      <c r="DI275" s="422">
        <v>24910.325142940779</v>
      </c>
      <c r="DJ275" s="306">
        <v>5.438579381905285</v>
      </c>
      <c r="DK275" s="306">
        <v>5.438579381905285</v>
      </c>
      <c r="DL275" s="306">
        <v>4.9063521981529528</v>
      </c>
      <c r="DM275" s="28">
        <v>24910.325142940779</v>
      </c>
      <c r="DN275" s="28">
        <v>0</v>
      </c>
      <c r="DO275" s="423">
        <v>24910.325142940779</v>
      </c>
      <c r="DP275" s="94">
        <v>0</v>
      </c>
      <c r="DQ275" s="28">
        <v>24910.325142940779</v>
      </c>
      <c r="DR275" s="318"/>
      <c r="DT275" s="8"/>
      <c r="DU275" s="5"/>
      <c r="DX275" s="5">
        <v>91655.404704671237</v>
      </c>
      <c r="DY275" s="5">
        <v>133979.47199999998</v>
      </c>
      <c r="DZ275" s="159">
        <v>8074.3083393675752</v>
      </c>
      <c r="EB275" s="676">
        <v>6879.4200387930541</v>
      </c>
      <c r="EC275" s="676">
        <v>-5868.2726467482098</v>
      </c>
      <c r="ED275" s="676">
        <v>-1743.9320354082884</v>
      </c>
      <c r="EE275" s="676">
        <v>-7323.4527978852821</v>
      </c>
      <c r="EF275" s="676">
        <v>-9286.1503024992326</v>
      </c>
      <c r="EG275" s="676">
        <v>31333.574234270065</v>
      </c>
      <c r="EH275" s="676">
        <v>25639.2989333888</v>
      </c>
      <c r="EI275" s="676">
        <v>3500.674804412567</v>
      </c>
      <c r="EJ275" s="676">
        <v>11700.252707021897</v>
      </c>
      <c r="EK275" s="676">
        <v>580.80466610396252</v>
      </c>
      <c r="EL275" s="676">
        <v>-4914.2415498218143</v>
      </c>
      <c r="EM275" s="676">
        <v>568.69576801034418</v>
      </c>
      <c r="EN275" s="676">
        <v>51066.671819637857</v>
      </c>
      <c r="EQ275" s="5">
        <v>91655.404704671237</v>
      </c>
      <c r="ER275" s="5">
        <v>133979.47199999998</v>
      </c>
      <c r="ET275" s="318">
        <v>10304.653571427552</v>
      </c>
      <c r="EU275" s="5">
        <v>-28739.461185634318</v>
      </c>
    </row>
    <row r="276" spans="1:151" x14ac:dyDescent="0.3">
      <c r="A276" s="325">
        <v>150000719</v>
      </c>
      <c r="B276" s="41" t="s">
        <v>722</v>
      </c>
      <c r="C276" s="42" t="s">
        <v>285</v>
      </c>
      <c r="D276" s="27">
        <v>5</v>
      </c>
      <c r="E276" s="293">
        <v>6211.0999999999995</v>
      </c>
      <c r="F276" s="305">
        <v>5975.2</v>
      </c>
      <c r="G276" s="508">
        <v>0</v>
      </c>
      <c r="H276" s="677">
        <v>235.9</v>
      </c>
      <c r="I276" s="674">
        <v>21084.627459892534</v>
      </c>
      <c r="J276" s="40">
        <v>20032.321400352404</v>
      </c>
      <c r="K276" s="52">
        <v>-1052.3060595401294</v>
      </c>
      <c r="L276" s="674">
        <v>4463.7598516565231</v>
      </c>
      <c r="M276" s="40">
        <v>4265.8590713399035</v>
      </c>
      <c r="N276" s="52">
        <v>-197.9007803166196</v>
      </c>
      <c r="O276" s="674">
        <v>8578.9480523329694</v>
      </c>
      <c r="P276" s="40">
        <v>8578.98</v>
      </c>
      <c r="Q276" s="52">
        <v>3.1947667030181037E-2</v>
      </c>
      <c r="R276" s="674">
        <v>0</v>
      </c>
      <c r="S276" s="40">
        <v>0</v>
      </c>
      <c r="T276" s="52">
        <v>0</v>
      </c>
      <c r="U276" s="674">
        <v>1836.059988105827</v>
      </c>
      <c r="V276" s="40">
        <v>1246.8198723652665</v>
      </c>
      <c r="W276" s="52">
        <v>-589.24011574056044</v>
      </c>
      <c r="X276" s="674">
        <v>18991.583638377677</v>
      </c>
      <c r="Y276" s="40">
        <v>15631.557384855123</v>
      </c>
      <c r="Z276" s="52">
        <v>-3360.0262535225538</v>
      </c>
      <c r="AA276" s="674">
        <v>745.31999999999994</v>
      </c>
      <c r="AB276" s="40">
        <v>0</v>
      </c>
      <c r="AC276" s="52">
        <v>-745.31999999999994</v>
      </c>
      <c r="AD276" s="674">
        <v>26615.944773547428</v>
      </c>
      <c r="AE276" s="40">
        <v>26389.236233525531</v>
      </c>
      <c r="AF276" s="35">
        <v>-226.70854002189662</v>
      </c>
      <c r="AG276" s="77">
        <v>82316.243763912964</v>
      </c>
      <c r="AH276" s="53">
        <v>76144.773962438223</v>
      </c>
      <c r="AI276" s="52">
        <v>-6171.469801474741</v>
      </c>
      <c r="AJ276" s="674">
        <v>0</v>
      </c>
      <c r="AK276" s="40">
        <v>0</v>
      </c>
      <c r="AL276" s="52">
        <v>0</v>
      </c>
      <c r="AM276" s="674">
        <v>0</v>
      </c>
      <c r="AN276" s="40">
        <v>0</v>
      </c>
      <c r="AO276" s="52">
        <v>0</v>
      </c>
      <c r="AP276" s="674">
        <v>17132.94101034302</v>
      </c>
      <c r="AQ276" s="40">
        <v>14156.567150173571</v>
      </c>
      <c r="AR276" s="52">
        <v>-2976.3738601694495</v>
      </c>
      <c r="AS276" s="674">
        <v>66143.652544478187</v>
      </c>
      <c r="AT276" s="40">
        <v>173717.5</v>
      </c>
      <c r="AU276" s="54">
        <v>107573.84745552181</v>
      </c>
      <c r="AV276" s="674">
        <v>4830.0260955225167</v>
      </c>
      <c r="AW276" s="40">
        <v>3137</v>
      </c>
      <c r="AX276" s="55">
        <v>-1693.0260955225167</v>
      </c>
      <c r="AY276" s="674">
        <v>7317.3149659074425</v>
      </c>
      <c r="AZ276" s="40">
        <v>1369</v>
      </c>
      <c r="BA276" s="35">
        <v>-5948.3149659074425</v>
      </c>
      <c r="BB276" s="674">
        <v>3130.5286164426143</v>
      </c>
      <c r="BC276" s="40">
        <v>6730</v>
      </c>
      <c r="BD276" s="55">
        <v>3599.4713835573857</v>
      </c>
      <c r="BE276" s="674">
        <v>0</v>
      </c>
      <c r="BF276" s="40">
        <v>0</v>
      </c>
      <c r="BG276" s="38">
        <v>0</v>
      </c>
      <c r="BH276" s="674">
        <v>3134.6721921477197</v>
      </c>
      <c r="BI276" s="40">
        <v>0</v>
      </c>
      <c r="BJ276" s="55">
        <v>-3134.6721921477197</v>
      </c>
      <c r="BK276" s="674">
        <v>5366.9456058760452</v>
      </c>
      <c r="BL276" s="40">
        <v>0</v>
      </c>
      <c r="BM276" s="38">
        <v>-5366.9456058760452</v>
      </c>
      <c r="BN276" s="674">
        <v>186.32999999999998</v>
      </c>
      <c r="BO276" s="40">
        <v>0</v>
      </c>
      <c r="BP276" s="55">
        <v>-186.32999999999998</v>
      </c>
      <c r="BQ276" s="77">
        <v>23965.81747589634</v>
      </c>
      <c r="BR276" s="40">
        <v>11236</v>
      </c>
      <c r="BS276" s="55">
        <v>-12729.81747589634</v>
      </c>
      <c r="BT276" s="674">
        <v>67910.962593343109</v>
      </c>
      <c r="BU276" s="40">
        <v>63110.240917285679</v>
      </c>
      <c r="BV276" s="52">
        <v>-4800.7216760574302</v>
      </c>
      <c r="BW276" s="674">
        <v>32119.100223515194</v>
      </c>
      <c r="BX276" s="40">
        <v>27399.25607250561</v>
      </c>
      <c r="BY276" s="52">
        <v>-4719.8441510095836</v>
      </c>
      <c r="BZ276" s="674">
        <v>14353.856139469501</v>
      </c>
      <c r="CA276" s="40">
        <v>14392.33915217144</v>
      </c>
      <c r="CB276" s="52">
        <v>38.483012701939515</v>
      </c>
      <c r="CC276" s="674">
        <v>3357.5617043787738</v>
      </c>
      <c r="CD276" s="40">
        <v>3528.8680591113362</v>
      </c>
      <c r="CE276" s="52">
        <v>171.30635473256234</v>
      </c>
      <c r="CF276" s="674">
        <v>410.36342139956037</v>
      </c>
      <c r="CG276" s="40">
        <v>554.44574346276681</v>
      </c>
      <c r="CH276" s="52">
        <v>144.08232206320645</v>
      </c>
      <c r="CI276" s="674">
        <v>19163.090587948052</v>
      </c>
      <c r="CJ276" s="40">
        <v>22724.927899127608</v>
      </c>
      <c r="CK276" s="52">
        <v>3561.8373111795554</v>
      </c>
      <c r="CL276" s="674">
        <v>0</v>
      </c>
      <c r="CM276" s="40">
        <v>0</v>
      </c>
      <c r="CN276" s="52">
        <v>0</v>
      </c>
      <c r="CO276" s="39">
        <v>19163.090587948052</v>
      </c>
      <c r="CP276" s="40">
        <v>22724.927899127608</v>
      </c>
      <c r="CQ276" s="52">
        <v>3561.8373111795554</v>
      </c>
      <c r="CR276" s="72">
        <v>326873.58946468466</v>
      </c>
      <c r="CS276" s="5">
        <v>406964.91895627626</v>
      </c>
      <c r="CT276" s="52">
        <v>80091.329491591605</v>
      </c>
      <c r="CU276" s="77">
        <v>392248.30735762155</v>
      </c>
      <c r="CV276" s="65">
        <v>488357.90274753148</v>
      </c>
      <c r="CW276" s="35">
        <v>96109.595389909926</v>
      </c>
      <c r="CX276" s="73">
        <v>16561.017434623864</v>
      </c>
      <c r="CY276" s="40">
        <v>-79548.577955286019</v>
      </c>
      <c r="CZ276" s="52">
        <v>-96109.595389909882</v>
      </c>
      <c r="DA276" s="150">
        <v>1062.0407408433966</v>
      </c>
      <c r="DB276" s="2">
        <v>3</v>
      </c>
      <c r="DC276" s="675">
        <v>96325.04</v>
      </c>
      <c r="DD276" s="675">
        <v>3648</v>
      </c>
      <c r="DE276" s="675">
        <v>61880.491413826865</v>
      </c>
      <c r="DF276" s="675">
        <v>2431.9961798067761</v>
      </c>
      <c r="DG276" s="321">
        <v>-95047.554649066471</v>
      </c>
      <c r="DH276" s="40">
        <v>408777.78056508739</v>
      </c>
      <c r="DI276" s="422">
        <v>35660.552406366347</v>
      </c>
      <c r="DJ276" s="306">
        <v>5.7645850492323483</v>
      </c>
      <c r="DK276" s="306">
        <v>5.7645850492323483</v>
      </c>
      <c r="DL276" s="306">
        <v>5.1547427731802626</v>
      </c>
      <c r="DM276" s="28">
        <v>34444.548586173129</v>
      </c>
      <c r="DN276" s="28">
        <v>1216.0038201932239</v>
      </c>
      <c r="DO276" s="423">
        <v>35660.552406366354</v>
      </c>
      <c r="DP276" s="94">
        <v>0</v>
      </c>
      <c r="DQ276" s="28">
        <v>35660.552406366354</v>
      </c>
      <c r="DR276" s="318"/>
      <c r="DT276" s="8"/>
      <c r="DU276" s="5"/>
      <c r="DX276" s="5">
        <v>108131.36402444943</v>
      </c>
      <c r="DY276" s="5">
        <v>221944.19999999998</v>
      </c>
      <c r="DZ276" s="159">
        <v>9589.6627331877171</v>
      </c>
      <c r="EB276" s="676">
        <v>1437.4503371490791</v>
      </c>
      <c r="EC276" s="676">
        <v>-5390.1420556828816</v>
      </c>
      <c r="ED276" s="676">
        <v>2312.5832006859746</v>
      </c>
      <c r="EE276" s="676">
        <v>-4278.8343130509311</v>
      </c>
      <c r="EF276" s="676">
        <v>-10821.599213867914</v>
      </c>
      <c r="EG276" s="676">
        <v>-8913.4571272274989</v>
      </c>
      <c r="EH276" s="676">
        <v>-16679.600717728637</v>
      </c>
      <c r="EI276" s="676">
        <v>14013.817934539395</v>
      </c>
      <c r="EJ276" s="676">
        <v>-4142.4318365922663</v>
      </c>
      <c r="EK276" s="676">
        <v>1324.1329151743776</v>
      </c>
      <c r="EL276" s="676">
        <v>49391.874147568786</v>
      </c>
      <c r="EM276" s="676">
        <v>77855.802118942389</v>
      </c>
      <c r="EN276" s="676">
        <v>96109.595389909868</v>
      </c>
      <c r="EQ276" s="5">
        <v>108131.36402444943</v>
      </c>
      <c r="ER276" s="5">
        <v>221944.19999999998</v>
      </c>
      <c r="ET276" s="318">
        <v>25300.362750460747</v>
      </c>
      <c r="EU276" s="5">
        <v>-53618.917399527214</v>
      </c>
    </row>
    <row r="277" spans="1:151" x14ac:dyDescent="0.3">
      <c r="A277" s="325">
        <v>150000716</v>
      </c>
      <c r="B277" s="41" t="s">
        <v>723</v>
      </c>
      <c r="C277" s="42" t="s">
        <v>286</v>
      </c>
      <c r="D277" s="27">
        <v>5</v>
      </c>
      <c r="E277" s="293">
        <v>3171.42</v>
      </c>
      <c r="F277" s="305">
        <v>2685</v>
      </c>
      <c r="G277" s="508">
        <v>0</v>
      </c>
      <c r="H277" s="677">
        <v>486.42</v>
      </c>
      <c r="I277" s="674">
        <v>12016.139412645241</v>
      </c>
      <c r="J277" s="40">
        <v>11378.895491480205</v>
      </c>
      <c r="K277" s="52">
        <v>-637.24392116503623</v>
      </c>
      <c r="L277" s="674">
        <v>2243.5102768931106</v>
      </c>
      <c r="M277" s="40">
        <v>2144.0444310409034</v>
      </c>
      <c r="N277" s="52">
        <v>-99.465845852207167</v>
      </c>
      <c r="O277" s="674">
        <v>4415.4489047339857</v>
      </c>
      <c r="P277" s="40">
        <v>4415.4150000000009</v>
      </c>
      <c r="Q277" s="52">
        <v>-3.3904733984854829E-2</v>
      </c>
      <c r="R277" s="674">
        <v>0</v>
      </c>
      <c r="S277" s="40">
        <v>0</v>
      </c>
      <c r="T277" s="52">
        <v>0</v>
      </c>
      <c r="U277" s="674">
        <v>0</v>
      </c>
      <c r="V277" s="40">
        <v>0</v>
      </c>
      <c r="W277" s="52">
        <v>0</v>
      </c>
      <c r="X277" s="674">
        <v>6746.3590317230628</v>
      </c>
      <c r="Y277" s="40">
        <v>5513.9753200566247</v>
      </c>
      <c r="Z277" s="52">
        <v>-1232.3837116664381</v>
      </c>
      <c r="AA277" s="674">
        <v>384.15840000000003</v>
      </c>
      <c r="AB277" s="40">
        <v>0</v>
      </c>
      <c r="AC277" s="52">
        <v>-384.15840000000003</v>
      </c>
      <c r="AD277" s="674">
        <v>13599.060088407008</v>
      </c>
      <c r="AE277" s="40">
        <v>13474.481424502512</v>
      </c>
      <c r="AF277" s="35">
        <v>-124.57866390449635</v>
      </c>
      <c r="AG277" s="77">
        <v>39404.676114402406</v>
      </c>
      <c r="AH277" s="53">
        <v>36926.811667080248</v>
      </c>
      <c r="AI277" s="52">
        <v>-2477.8644473221575</v>
      </c>
      <c r="AJ277" s="674">
        <v>0</v>
      </c>
      <c r="AK277" s="40">
        <v>0</v>
      </c>
      <c r="AL277" s="52">
        <v>0</v>
      </c>
      <c r="AM277" s="674">
        <v>0</v>
      </c>
      <c r="AN277" s="40">
        <v>0</v>
      </c>
      <c r="AO277" s="52">
        <v>0</v>
      </c>
      <c r="AP277" s="674">
        <v>8094.3028395321371</v>
      </c>
      <c r="AQ277" s="40">
        <v>7320.999783844587</v>
      </c>
      <c r="AR277" s="52">
        <v>-773.30305568755011</v>
      </c>
      <c r="AS277" s="674">
        <v>41294.156282283759</v>
      </c>
      <c r="AT277" s="40">
        <v>77398.48000000001</v>
      </c>
      <c r="AU277" s="54">
        <v>36104.323717716252</v>
      </c>
      <c r="AV277" s="674">
        <v>2956.624478008544</v>
      </c>
      <c r="AW277" s="40">
        <v>1309</v>
      </c>
      <c r="AX277" s="55">
        <v>-1647.624478008544</v>
      </c>
      <c r="AY277" s="674">
        <v>3677.7472864200122</v>
      </c>
      <c r="AZ277" s="40">
        <v>0</v>
      </c>
      <c r="BA277" s="35">
        <v>-3677.7472864200122</v>
      </c>
      <c r="BB277" s="674">
        <v>1681.4247565805881</v>
      </c>
      <c r="BC277" s="40">
        <v>0</v>
      </c>
      <c r="BD277" s="55">
        <v>-1681.4247565805881</v>
      </c>
      <c r="BE277" s="674">
        <v>0</v>
      </c>
      <c r="BF277" s="40">
        <v>0</v>
      </c>
      <c r="BG277" s="38">
        <v>0</v>
      </c>
      <c r="BH277" s="674">
        <v>0</v>
      </c>
      <c r="BI277" s="40">
        <v>0</v>
      </c>
      <c r="BJ277" s="55">
        <v>0</v>
      </c>
      <c r="BK277" s="674">
        <v>1775.1459896534984</v>
      </c>
      <c r="BL277" s="40">
        <v>88</v>
      </c>
      <c r="BM277" s="38">
        <v>-1687.1459896534984</v>
      </c>
      <c r="BN277" s="674">
        <v>96.039600000000007</v>
      </c>
      <c r="BO277" s="40">
        <v>0</v>
      </c>
      <c r="BP277" s="55">
        <v>-96.039600000000007</v>
      </c>
      <c r="BQ277" s="77">
        <v>10186.982110662642</v>
      </c>
      <c r="BR277" s="40">
        <v>1397</v>
      </c>
      <c r="BS277" s="55">
        <v>-8789.9821106626423</v>
      </c>
      <c r="BT277" s="674">
        <v>14746.739294912557</v>
      </c>
      <c r="BU277" s="40">
        <v>19505.39417274826</v>
      </c>
      <c r="BV277" s="52">
        <v>4758.6548778357028</v>
      </c>
      <c r="BW277" s="674">
        <v>19272.726789766697</v>
      </c>
      <c r="BX277" s="40">
        <v>16254.683972376659</v>
      </c>
      <c r="BY277" s="52">
        <v>-3018.0428173900382</v>
      </c>
      <c r="BZ277" s="674">
        <v>6940.4512430820287</v>
      </c>
      <c r="CA277" s="40">
        <v>4404.3700662471292</v>
      </c>
      <c r="CB277" s="52">
        <v>-2536.0811768348995</v>
      </c>
      <c r="CC277" s="674">
        <v>1832.1804599378625</v>
      </c>
      <c r="CD277" s="40">
        <v>1925.660247783565</v>
      </c>
      <c r="CE277" s="52">
        <v>93.479787845702504</v>
      </c>
      <c r="CF277" s="674">
        <v>223.93031263758485</v>
      </c>
      <c r="CG277" s="40">
        <v>0</v>
      </c>
      <c r="CH277" s="52">
        <v>-223.93031263758485</v>
      </c>
      <c r="CI277" s="674">
        <v>6173.7657403998082</v>
      </c>
      <c r="CJ277" s="40">
        <v>7444.2460496978429</v>
      </c>
      <c r="CK277" s="52">
        <v>1270.4803092980346</v>
      </c>
      <c r="CL277" s="674">
        <v>0</v>
      </c>
      <c r="CM277" s="40">
        <v>0</v>
      </c>
      <c r="CN277" s="52">
        <v>0</v>
      </c>
      <c r="CO277" s="39">
        <v>6173.7657403998082</v>
      </c>
      <c r="CP277" s="40">
        <v>7444.2460496978429</v>
      </c>
      <c r="CQ277" s="52">
        <v>1270.4803092980346</v>
      </c>
      <c r="CR277" s="72">
        <v>148169.91118761749</v>
      </c>
      <c r="CS277" s="5">
        <v>172577.64595977828</v>
      </c>
      <c r="CT277" s="52">
        <v>24407.734772160795</v>
      </c>
      <c r="CU277" s="77">
        <v>177803.89342514097</v>
      </c>
      <c r="CV277" s="65">
        <v>207093.17515173394</v>
      </c>
      <c r="CW277" s="35">
        <v>29289.281726592977</v>
      </c>
      <c r="CX277" s="73">
        <v>8905.9058664668228</v>
      </c>
      <c r="CY277" s="40">
        <v>-20383.37586012614</v>
      </c>
      <c r="CZ277" s="52">
        <v>-29289.281726592963</v>
      </c>
      <c r="DA277" s="150">
        <v>-25117.554436829487</v>
      </c>
      <c r="DB277" s="2">
        <v>3</v>
      </c>
      <c r="DC277" s="675">
        <v>24176.42</v>
      </c>
      <c r="DD277" s="675">
        <v>5717.7899999999991</v>
      </c>
      <c r="DE277" s="675">
        <v>10023.339245105763</v>
      </c>
      <c r="DF277" s="675">
        <v>3556.9333236691568</v>
      </c>
      <c r="DG277" s="321">
        <v>-54406.836163422457</v>
      </c>
      <c r="DH277" s="40">
        <v>186695.48038589637</v>
      </c>
      <c r="DI277" s="422">
        <v>16313.937431225078</v>
      </c>
      <c r="DJ277" s="306">
        <v>5.271166016720386</v>
      </c>
      <c r="DK277" s="306">
        <v>5.271166016720386</v>
      </c>
      <c r="DL277" s="306">
        <v>4.4423680694273306</v>
      </c>
      <c r="DM277" s="28">
        <v>14153.080754894236</v>
      </c>
      <c r="DN277" s="28">
        <v>2160.8566763308422</v>
      </c>
      <c r="DO277" s="423">
        <v>16313.937431225078</v>
      </c>
      <c r="DP277" s="94">
        <v>0</v>
      </c>
      <c r="DQ277" s="28">
        <v>16313.937431225078</v>
      </c>
      <c r="DR277" s="318"/>
      <c r="DT277" s="8"/>
      <c r="DU277" s="5"/>
      <c r="DX277" s="5">
        <v>61777.366071535675</v>
      </c>
      <c r="DY277" s="5">
        <v>94554.576000000015</v>
      </c>
      <c r="DZ277" s="159">
        <v>5524.3384675463685</v>
      </c>
      <c r="EB277" s="676">
        <v>-1831.2155929038818</v>
      </c>
      <c r="EC277" s="676">
        <v>-835.54336536320989</v>
      </c>
      <c r="ED277" s="676">
        <v>-2639.8497699956406</v>
      </c>
      <c r="EE277" s="676">
        <v>-5015.2320821029716</v>
      </c>
      <c r="EF277" s="676">
        <v>-1684.9050803961018</v>
      </c>
      <c r="EG277" s="676">
        <v>-1895.9616749845991</v>
      </c>
      <c r="EH277" s="676">
        <v>-7195.6329812609147</v>
      </c>
      <c r="EI277" s="676">
        <v>45534.575307375882</v>
      </c>
      <c r="EJ277" s="676">
        <v>19199.73932782227</v>
      </c>
      <c r="EK277" s="676">
        <v>-6636.8596735042229</v>
      </c>
      <c r="EL277" s="676">
        <v>-6172.6144890193264</v>
      </c>
      <c r="EM277" s="676">
        <v>-1537.2181990743175</v>
      </c>
      <c r="EN277" s="676">
        <v>29289.28172659297</v>
      </c>
      <c r="EQ277" s="5">
        <v>61777.366071535675</v>
      </c>
      <c r="ER277" s="5">
        <v>94554.576000000015</v>
      </c>
      <c r="ET277" s="318">
        <v>-13673.501003582298</v>
      </c>
      <c r="EU277" s="5">
        <v>-16620.335159840157</v>
      </c>
    </row>
    <row r="278" spans="1:151" x14ac:dyDescent="0.3">
      <c r="A278" s="325">
        <v>150000717</v>
      </c>
      <c r="B278" s="41" t="s">
        <v>724</v>
      </c>
      <c r="C278" s="42" t="s">
        <v>287</v>
      </c>
      <c r="D278" s="27">
        <v>5</v>
      </c>
      <c r="E278" s="293">
        <v>3165.2999999999997</v>
      </c>
      <c r="F278" s="305">
        <v>2595.6999999999998</v>
      </c>
      <c r="G278" s="508">
        <v>0</v>
      </c>
      <c r="H278" s="677">
        <v>569.6</v>
      </c>
      <c r="I278" s="674">
        <v>11786.353265952697</v>
      </c>
      <c r="J278" s="40">
        <v>11157.354075506144</v>
      </c>
      <c r="K278" s="52">
        <v>-628.99919044655326</v>
      </c>
      <c r="L278" s="674">
        <v>2243.5102768931106</v>
      </c>
      <c r="M278" s="40">
        <v>2144.0600487500756</v>
      </c>
      <c r="N278" s="52">
        <v>-99.450228143035019</v>
      </c>
      <c r="O278" s="674">
        <v>4402.5652092155851</v>
      </c>
      <c r="P278" s="40">
        <v>4402.18</v>
      </c>
      <c r="Q278" s="52">
        <v>-0.38520921558483678</v>
      </c>
      <c r="R278" s="674">
        <v>0</v>
      </c>
      <c r="S278" s="40">
        <v>0</v>
      </c>
      <c r="T278" s="52">
        <v>0</v>
      </c>
      <c r="U278" s="674">
        <v>0</v>
      </c>
      <c r="V278" s="40">
        <v>0</v>
      </c>
      <c r="W278" s="52">
        <v>0</v>
      </c>
      <c r="X278" s="674">
        <v>6748.8553247598666</v>
      </c>
      <c r="Y278" s="40">
        <v>5486.7677833929574</v>
      </c>
      <c r="Z278" s="52">
        <v>-1262.0875413669091</v>
      </c>
      <c r="AA278" s="674">
        <v>379.83960000000002</v>
      </c>
      <c r="AB278" s="40">
        <v>0</v>
      </c>
      <c r="AC278" s="52">
        <v>-379.83960000000002</v>
      </c>
      <c r="AD278" s="674">
        <v>13537.392740509171</v>
      </c>
      <c r="AE278" s="40">
        <v>13448.522436509184</v>
      </c>
      <c r="AF278" s="35">
        <v>-88.8703039999873</v>
      </c>
      <c r="AG278" s="77">
        <v>39098.516417330437</v>
      </c>
      <c r="AH278" s="53">
        <v>36638.884344158359</v>
      </c>
      <c r="AI278" s="52">
        <v>-2459.6320731720771</v>
      </c>
      <c r="AJ278" s="674">
        <v>0</v>
      </c>
      <c r="AK278" s="40">
        <v>0</v>
      </c>
      <c r="AL278" s="52">
        <v>0</v>
      </c>
      <c r="AM278" s="674">
        <v>0</v>
      </c>
      <c r="AN278" s="40">
        <v>0</v>
      </c>
      <c r="AO278" s="52">
        <v>0</v>
      </c>
      <c r="AP278" s="674">
        <v>7689.5876975555302</v>
      </c>
      <c r="AQ278" s="40">
        <v>7011.0611065645353</v>
      </c>
      <c r="AR278" s="52">
        <v>-678.52659099099492</v>
      </c>
      <c r="AS278" s="674">
        <v>38138.067681786415</v>
      </c>
      <c r="AT278" s="40">
        <v>2520</v>
      </c>
      <c r="AU278" s="54">
        <v>-35618.067681786415</v>
      </c>
      <c r="AV278" s="674">
        <v>2940.4016942606045</v>
      </c>
      <c r="AW278" s="40">
        <v>0</v>
      </c>
      <c r="AX278" s="55">
        <v>-2940.4016942606045</v>
      </c>
      <c r="AY278" s="674">
        <v>3677.7472864200122</v>
      </c>
      <c r="AZ278" s="40">
        <v>0</v>
      </c>
      <c r="BA278" s="35">
        <v>-3677.7472864200122</v>
      </c>
      <c r="BB278" s="674">
        <v>1692.1547363591333</v>
      </c>
      <c r="BC278" s="40">
        <v>3875</v>
      </c>
      <c r="BD278" s="55">
        <v>2182.8452636408665</v>
      </c>
      <c r="BE278" s="674">
        <v>0</v>
      </c>
      <c r="BF278" s="40">
        <v>0</v>
      </c>
      <c r="BG278" s="38">
        <v>0</v>
      </c>
      <c r="BH278" s="674">
        <v>0</v>
      </c>
      <c r="BI278" s="40">
        <v>0</v>
      </c>
      <c r="BJ278" s="55">
        <v>0</v>
      </c>
      <c r="BK278" s="674">
        <v>1775.9920456427965</v>
      </c>
      <c r="BL278" s="40">
        <v>0</v>
      </c>
      <c r="BM278" s="38">
        <v>-1775.9920456427965</v>
      </c>
      <c r="BN278" s="674">
        <v>94.959900000000005</v>
      </c>
      <c r="BO278" s="40">
        <v>0</v>
      </c>
      <c r="BP278" s="55">
        <v>-94.959900000000005</v>
      </c>
      <c r="BQ278" s="77">
        <v>10181.255662682546</v>
      </c>
      <c r="BR278" s="40">
        <v>3875</v>
      </c>
      <c r="BS278" s="55">
        <v>-6306.2556626825462</v>
      </c>
      <c r="BT278" s="674">
        <v>27115.408228887452</v>
      </c>
      <c r="BU278" s="40">
        <v>27237.737475347072</v>
      </c>
      <c r="BV278" s="52">
        <v>122.32924645961975</v>
      </c>
      <c r="BW278" s="674">
        <v>19035.607100555495</v>
      </c>
      <c r="BX278" s="40">
        <v>16046.320069518835</v>
      </c>
      <c r="BY278" s="52">
        <v>-2989.2870310366598</v>
      </c>
      <c r="BZ278" s="674">
        <v>6995.497032730088</v>
      </c>
      <c r="CA278" s="40">
        <v>6032.5547342819609</v>
      </c>
      <c r="CB278" s="52">
        <v>-962.94229844812708</v>
      </c>
      <c r="CC278" s="674">
        <v>1778.5461767939209</v>
      </c>
      <c r="CD278" s="40">
        <v>1869.2894867002608</v>
      </c>
      <c r="CE278" s="52">
        <v>90.743309906339846</v>
      </c>
      <c r="CF278" s="674">
        <v>217.37509493106984</v>
      </c>
      <c r="CG278" s="40">
        <v>0</v>
      </c>
      <c r="CH278" s="52">
        <v>-217.37509493106984</v>
      </c>
      <c r="CI278" s="674">
        <v>7422.2185028958293</v>
      </c>
      <c r="CJ278" s="40">
        <v>6118.2973020230711</v>
      </c>
      <c r="CK278" s="52">
        <v>-1303.9212008727582</v>
      </c>
      <c r="CL278" s="674">
        <v>0</v>
      </c>
      <c r="CM278" s="40">
        <v>0</v>
      </c>
      <c r="CN278" s="52">
        <v>0</v>
      </c>
      <c r="CO278" s="39">
        <v>7422.2185028958293</v>
      </c>
      <c r="CP278" s="40">
        <v>6118.2973020230711</v>
      </c>
      <c r="CQ278" s="52">
        <v>-1303.9212008727582</v>
      </c>
      <c r="CR278" s="72">
        <v>157672.07959614877</v>
      </c>
      <c r="CS278" s="5">
        <v>107349.14451859411</v>
      </c>
      <c r="CT278" s="52">
        <v>-50322.935077554663</v>
      </c>
      <c r="CU278" s="77">
        <v>189206.49551537851</v>
      </c>
      <c r="CV278" s="65">
        <v>128818.97342231293</v>
      </c>
      <c r="CW278" s="35">
        <v>-60387.522093065578</v>
      </c>
      <c r="CX278" s="73">
        <v>9477.2334865734865</v>
      </c>
      <c r="CY278" s="40">
        <v>69864.755579639139</v>
      </c>
      <c r="CZ278" s="52">
        <v>60387.522093065651</v>
      </c>
      <c r="DA278" s="150">
        <v>-33244.861606145649</v>
      </c>
      <c r="DB278" s="2">
        <v>3</v>
      </c>
      <c r="DC278" s="675">
        <v>25070.92</v>
      </c>
      <c r="DD278" s="675">
        <v>5301.7300000000005</v>
      </c>
      <c r="DE278" s="675">
        <v>10483.127411307067</v>
      </c>
      <c r="DF278" s="675">
        <v>2582.9270966358149</v>
      </c>
      <c r="DG278" s="321">
        <v>27142.660486919995</v>
      </c>
      <c r="DH278" s="40">
        <v>198668.31870168657</v>
      </c>
      <c r="DI278" s="422">
        <v>17306.595492057117</v>
      </c>
      <c r="DJ278" s="306">
        <v>5.6199840461890558</v>
      </c>
      <c r="DK278" s="306">
        <v>5.6199840461890558</v>
      </c>
      <c r="DL278" s="306">
        <v>4.7731792545017298</v>
      </c>
      <c r="DM278" s="28">
        <v>14587.792588692932</v>
      </c>
      <c r="DN278" s="28">
        <v>2718.8029033641856</v>
      </c>
      <c r="DO278" s="423">
        <v>17306.595492057117</v>
      </c>
      <c r="DP278" s="94">
        <v>0</v>
      </c>
      <c r="DQ278" s="28">
        <v>17306.595492057117</v>
      </c>
      <c r="DR278" s="318"/>
      <c r="DT278" s="8"/>
      <c r="DU278" s="5"/>
      <c r="DX278" s="5">
        <v>57983.188013362749</v>
      </c>
      <c r="DY278" s="5">
        <v>7674</v>
      </c>
      <c r="DZ278" s="159">
        <v>5117.8513542715482</v>
      </c>
      <c r="EB278" s="676">
        <v>-1708.5992748688113</v>
      </c>
      <c r="EC278" s="676">
        <v>-3702.8254467045772</v>
      </c>
      <c r="ED278" s="676">
        <v>-3957.1562949283489</v>
      </c>
      <c r="EE278" s="676">
        <v>-4593.3793067287406</v>
      </c>
      <c r="EF278" s="676">
        <v>-6117.623433132203</v>
      </c>
      <c r="EG278" s="676">
        <v>-3867.1698667468791</v>
      </c>
      <c r="EH278" s="676">
        <v>-3996.4307061561685</v>
      </c>
      <c r="EI278" s="676">
        <v>-7802.8812847564295</v>
      </c>
      <c r="EJ278" s="676">
        <v>-9304.1693222061549</v>
      </c>
      <c r="EK278" s="676">
        <v>-7229.3178705314076</v>
      </c>
      <c r="EL278" s="676">
        <v>-7060.6073418068263</v>
      </c>
      <c r="EM278" s="676">
        <v>-1047.3619444990982</v>
      </c>
      <c r="EN278" s="676">
        <v>-60387.522093065643</v>
      </c>
      <c r="EQ278" s="5">
        <v>57983.188013362749</v>
      </c>
      <c r="ER278" s="5">
        <v>7674</v>
      </c>
      <c r="ET278" s="318">
        <v>-49461.833201603564</v>
      </c>
      <c r="EU278" s="5">
        <v>37526.493688523566</v>
      </c>
    </row>
    <row r="279" spans="1:151" x14ac:dyDescent="0.3">
      <c r="A279" s="325">
        <v>150000718</v>
      </c>
      <c r="B279" s="41" t="s">
        <v>725</v>
      </c>
      <c r="C279" s="42" t="s">
        <v>288</v>
      </c>
      <c r="D279" s="27">
        <v>5</v>
      </c>
      <c r="E279" s="293">
        <v>4456.6000000000004</v>
      </c>
      <c r="F279" s="305">
        <v>4456.6000000000004</v>
      </c>
      <c r="G279" s="508">
        <v>0</v>
      </c>
      <c r="H279" s="677">
        <v>0</v>
      </c>
      <c r="I279" s="674">
        <v>15370.136658702375</v>
      </c>
      <c r="J279" s="40">
        <v>14596.440656285427</v>
      </c>
      <c r="K279" s="52">
        <v>-773.69600241694752</v>
      </c>
      <c r="L279" s="674">
        <v>3317.9144886775071</v>
      </c>
      <c r="M279" s="40">
        <v>3170.8271338000059</v>
      </c>
      <c r="N279" s="52">
        <v>-147.08735487750118</v>
      </c>
      <c r="O279" s="674">
        <v>6276.0324489128434</v>
      </c>
      <c r="P279" s="40">
        <v>6274.9999999999991</v>
      </c>
      <c r="Q279" s="52">
        <v>-1.032448912844302</v>
      </c>
      <c r="R279" s="674">
        <v>0</v>
      </c>
      <c r="S279" s="40">
        <v>0</v>
      </c>
      <c r="T279" s="52">
        <v>0</v>
      </c>
      <c r="U279" s="674">
        <v>1186.2563123962695</v>
      </c>
      <c r="V279" s="40">
        <v>805.55164525124144</v>
      </c>
      <c r="W279" s="52">
        <v>-380.70466714502811</v>
      </c>
      <c r="X279" s="674">
        <v>12512.512909119348</v>
      </c>
      <c r="Y279" s="40">
        <v>10221.39842443164</v>
      </c>
      <c r="Z279" s="52">
        <v>-2291.1144846877087</v>
      </c>
      <c r="AA279" s="674">
        <v>534.80399999999997</v>
      </c>
      <c r="AB279" s="40">
        <v>0</v>
      </c>
      <c r="AC279" s="52">
        <v>-534.80399999999997</v>
      </c>
      <c r="AD279" s="674">
        <v>19107.786373300674</v>
      </c>
      <c r="AE279" s="40">
        <v>18934.99772714591</v>
      </c>
      <c r="AF279" s="35">
        <v>-172.78864615476414</v>
      </c>
      <c r="AG279" s="77">
        <v>58305.443191109014</v>
      </c>
      <c r="AH279" s="53">
        <v>54004.21558691423</v>
      </c>
      <c r="AI279" s="52">
        <v>-4301.2276041947844</v>
      </c>
      <c r="AJ279" s="674">
        <v>0</v>
      </c>
      <c r="AK279" s="40">
        <v>0</v>
      </c>
      <c r="AL279" s="52">
        <v>0</v>
      </c>
      <c r="AM279" s="674">
        <v>0</v>
      </c>
      <c r="AN279" s="40">
        <v>0</v>
      </c>
      <c r="AO279" s="52">
        <v>0</v>
      </c>
      <c r="AP279" s="674">
        <v>7284.8725555789233</v>
      </c>
      <c r="AQ279" s="40">
        <v>8136.8390695471289</v>
      </c>
      <c r="AR279" s="52">
        <v>851.96651396820562</v>
      </c>
      <c r="AS279" s="674">
        <v>54799.749393339611</v>
      </c>
      <c r="AT279" s="40">
        <v>121381.98663186951</v>
      </c>
      <c r="AU279" s="54">
        <v>66582.237238529895</v>
      </c>
      <c r="AV279" s="674">
        <v>3561.5158816290418</v>
      </c>
      <c r="AW279" s="40">
        <v>4301</v>
      </c>
      <c r="AX279" s="55">
        <v>739.48411837095819</v>
      </c>
      <c r="AY279" s="674">
        <v>5438.9600126758423</v>
      </c>
      <c r="AZ279" s="40">
        <v>2616</v>
      </c>
      <c r="BA279" s="35">
        <v>-2822.9600126758423</v>
      </c>
      <c r="BB279" s="674">
        <v>2271.7554793556833</v>
      </c>
      <c r="BC279" s="40">
        <v>8883</v>
      </c>
      <c r="BD279" s="55">
        <v>6611.2445206443172</v>
      </c>
      <c r="BE279" s="674">
        <v>0</v>
      </c>
      <c r="BF279" s="40">
        <v>0</v>
      </c>
      <c r="BG279" s="38">
        <v>0</v>
      </c>
      <c r="BH279" s="674">
        <v>2024.9600350327316</v>
      </c>
      <c r="BI279" s="40">
        <v>0</v>
      </c>
      <c r="BJ279" s="55">
        <v>-2024.9600350327316</v>
      </c>
      <c r="BK279" s="674">
        <v>3097.3567013575421</v>
      </c>
      <c r="BL279" s="40">
        <v>1564</v>
      </c>
      <c r="BM279" s="38">
        <v>-1533.3567013575421</v>
      </c>
      <c r="BN279" s="674">
        <v>133.70099999999999</v>
      </c>
      <c r="BO279" s="40">
        <v>0</v>
      </c>
      <c r="BP279" s="55">
        <v>-133.70099999999999</v>
      </c>
      <c r="BQ279" s="77">
        <v>16528.249110050841</v>
      </c>
      <c r="BR279" s="40">
        <v>17364</v>
      </c>
      <c r="BS279" s="55">
        <v>835.75088994915859</v>
      </c>
      <c r="BT279" s="674">
        <v>43418.011329028406</v>
      </c>
      <c r="BU279" s="40">
        <v>45578.430640953644</v>
      </c>
      <c r="BV279" s="52">
        <v>2160.4193119252377</v>
      </c>
      <c r="BW279" s="674">
        <v>23825.640696156752</v>
      </c>
      <c r="BX279" s="40">
        <v>21274.861895549348</v>
      </c>
      <c r="BY279" s="52">
        <v>-2550.7788006074043</v>
      </c>
      <c r="BZ279" s="674">
        <v>8188.4301294825636</v>
      </c>
      <c r="CA279" s="40">
        <v>7686.7356343893689</v>
      </c>
      <c r="CB279" s="52">
        <v>-501.69449509319475</v>
      </c>
      <c r="CC279" s="674">
        <v>2339.8998138445031</v>
      </c>
      <c r="CD279" s="40">
        <v>2459.2839809400302</v>
      </c>
      <c r="CE279" s="52">
        <v>119.38416709552712</v>
      </c>
      <c r="CF279" s="674">
        <v>285.98410926868883</v>
      </c>
      <c r="CG279" s="40">
        <v>554.44574346276681</v>
      </c>
      <c r="CH279" s="52">
        <v>268.46163419407799</v>
      </c>
      <c r="CI279" s="674">
        <v>9588.6882292128412</v>
      </c>
      <c r="CJ279" s="40">
        <v>8375.6411826344902</v>
      </c>
      <c r="CK279" s="52">
        <v>-1213.047046578351</v>
      </c>
      <c r="CL279" s="674">
        <v>0</v>
      </c>
      <c r="CM279" s="40">
        <v>0</v>
      </c>
      <c r="CN279" s="52">
        <v>0</v>
      </c>
      <c r="CO279" s="39">
        <v>9588.6882292128412</v>
      </c>
      <c r="CP279" s="40">
        <v>8375.6411826344902</v>
      </c>
      <c r="CQ279" s="52">
        <v>-1213.047046578351</v>
      </c>
      <c r="CR279" s="72">
        <v>224564.96855707213</v>
      </c>
      <c r="CS279" s="5">
        <v>286816.44036626053</v>
      </c>
      <c r="CT279" s="52">
        <v>62251.471809188399</v>
      </c>
      <c r="CU279" s="77">
        <v>269477.96226848656</v>
      </c>
      <c r="CV279" s="65">
        <v>344179.7284395126</v>
      </c>
      <c r="CW279" s="35">
        <v>74701.766171026044</v>
      </c>
      <c r="CX279" s="73">
        <v>13497.40687891346</v>
      </c>
      <c r="CY279" s="40">
        <v>-61204.359292112538</v>
      </c>
      <c r="CZ279" s="52">
        <v>-74701.766171026</v>
      </c>
      <c r="DA279" s="150">
        <v>21631.972060816537</v>
      </c>
      <c r="DB279" s="2">
        <v>3</v>
      </c>
      <c r="DC279" s="675">
        <v>41422.75</v>
      </c>
      <c r="DD279" s="675">
        <v>0</v>
      </c>
      <c r="DE279" s="675">
        <v>16612.068509670979</v>
      </c>
      <c r="DF279" s="675">
        <v>0</v>
      </c>
      <c r="DG279" s="321">
        <v>-53069.794110209477</v>
      </c>
      <c r="DH279" s="40">
        <v>282953.94367391209</v>
      </c>
      <c r="DI279" s="422">
        <v>24810.681490329018</v>
      </c>
      <c r="DJ279" s="306">
        <v>5.5671771059392858</v>
      </c>
      <c r="DK279" s="306">
        <v>5.5671771059392858</v>
      </c>
      <c r="DL279" s="306">
        <v>4.9547402969218979</v>
      </c>
      <c r="DM279" s="28">
        <v>24810.681490329021</v>
      </c>
      <c r="DN279" s="28">
        <v>0</v>
      </c>
      <c r="DO279" s="423">
        <v>24810.681490329021</v>
      </c>
      <c r="DP279" s="94">
        <v>0</v>
      </c>
      <c r="DQ279" s="28">
        <v>24810.681490329021</v>
      </c>
      <c r="DR279" s="318"/>
      <c r="DT279" s="8"/>
      <c r="DU279" s="5"/>
      <c r="DX279" s="5">
        <v>85593.598204068534</v>
      </c>
      <c r="DY279" s="5">
        <v>166495.1839582434</v>
      </c>
      <c r="DZ279" s="159">
        <v>7423.5493670235246</v>
      </c>
      <c r="EB279" s="676">
        <v>1593.8618584299911</v>
      </c>
      <c r="EC279" s="676">
        <v>8152.6019560517925</v>
      </c>
      <c r="ED279" s="676">
        <v>-5797.0369630533405</v>
      </c>
      <c r="EE279" s="676">
        <v>-7748.9766112262678</v>
      </c>
      <c r="EF279" s="676">
        <v>-7555.150233355469</v>
      </c>
      <c r="EG279" s="676">
        <v>-3412.2341693675153</v>
      </c>
      <c r="EH279" s="676">
        <v>-8903.0975699811679</v>
      </c>
      <c r="EI279" s="676">
        <v>20403.329830536797</v>
      </c>
      <c r="EJ279" s="676">
        <v>2794.0103298942449</v>
      </c>
      <c r="EK279" s="676">
        <v>-820.48308255585653</v>
      </c>
      <c r="EL279" s="676">
        <v>87760.04022582469</v>
      </c>
      <c r="EM279" s="676">
        <v>-11765.099400171883</v>
      </c>
      <c r="EN279" s="676">
        <v>74701.766171026014</v>
      </c>
      <c r="EQ279" s="5">
        <v>85593.598204068534</v>
      </c>
      <c r="ER279" s="5">
        <v>166495.1839582434</v>
      </c>
      <c r="ET279" s="318">
        <v>-9929.3470979135964</v>
      </c>
      <c r="EU279" s="5">
        <v>7094.5529877041281</v>
      </c>
    </row>
    <row r="280" spans="1:151" x14ac:dyDescent="0.3">
      <c r="A280" s="325">
        <v>150000720</v>
      </c>
      <c r="B280" s="41" t="s">
        <v>726</v>
      </c>
      <c r="C280" s="42" t="s">
        <v>289</v>
      </c>
      <c r="D280" s="27">
        <v>5</v>
      </c>
      <c r="E280" s="293">
        <v>3670.1</v>
      </c>
      <c r="F280" s="305">
        <v>3569.1</v>
      </c>
      <c r="G280" s="508">
        <v>0</v>
      </c>
      <c r="H280" s="677">
        <v>101</v>
      </c>
      <c r="I280" s="674">
        <v>10376.968292244652</v>
      </c>
      <c r="J280" s="40">
        <v>9883.9083859434832</v>
      </c>
      <c r="K280" s="52">
        <v>-493.05990630116867</v>
      </c>
      <c r="L280" s="674">
        <v>2152.1817432371054</v>
      </c>
      <c r="M280" s="40">
        <v>2056.7632191742318</v>
      </c>
      <c r="N280" s="52">
        <v>-95.41852406287353</v>
      </c>
      <c r="O280" s="674">
        <v>4983.0582730192746</v>
      </c>
      <c r="P280" s="40">
        <v>4982.1750000000011</v>
      </c>
      <c r="Q280" s="52">
        <v>-0.88327301927347435</v>
      </c>
      <c r="R280" s="674">
        <v>1258.216080397885</v>
      </c>
      <c r="S280" s="40">
        <v>1258.5650000000001</v>
      </c>
      <c r="T280" s="52">
        <v>0.34891960211507467</v>
      </c>
      <c r="U280" s="674">
        <v>0</v>
      </c>
      <c r="V280" s="40">
        <v>0</v>
      </c>
      <c r="W280" s="52">
        <v>0</v>
      </c>
      <c r="X280" s="674">
        <v>4199.2940890960845</v>
      </c>
      <c r="Y280" s="40">
        <v>3332.6943749384441</v>
      </c>
      <c r="Z280" s="52">
        <v>-866.59971415764039</v>
      </c>
      <c r="AA280" s="674">
        <v>440.41200000000003</v>
      </c>
      <c r="AB280" s="40">
        <v>0</v>
      </c>
      <c r="AC280" s="52">
        <v>-440.41200000000003</v>
      </c>
      <c r="AD280" s="674">
        <v>15729.565348616336</v>
      </c>
      <c r="AE280" s="40">
        <v>15593.234032725613</v>
      </c>
      <c r="AF280" s="35">
        <v>-136.33131589072218</v>
      </c>
      <c r="AG280" s="77">
        <v>39139.695826611336</v>
      </c>
      <c r="AH280" s="53">
        <v>37107.340012781773</v>
      </c>
      <c r="AI280" s="52">
        <v>-2032.355813829563</v>
      </c>
      <c r="AJ280" s="674">
        <v>0</v>
      </c>
      <c r="AK280" s="40">
        <v>0</v>
      </c>
      <c r="AL280" s="52">
        <v>0</v>
      </c>
      <c r="AM280" s="674">
        <v>0</v>
      </c>
      <c r="AN280" s="40">
        <v>0</v>
      </c>
      <c r="AO280" s="52">
        <v>0</v>
      </c>
      <c r="AP280" s="674">
        <v>2608.1642482936882</v>
      </c>
      <c r="AQ280" s="40">
        <v>2190.1661897444624</v>
      </c>
      <c r="AR280" s="52">
        <v>-417.99805854922579</v>
      </c>
      <c r="AS280" s="674">
        <v>26665.360878995609</v>
      </c>
      <c r="AT280" s="40">
        <v>46605.42</v>
      </c>
      <c r="AU280" s="54">
        <v>19940.059121004389</v>
      </c>
      <c r="AV280" s="674">
        <v>2454.1825869271438</v>
      </c>
      <c r="AW280" s="40">
        <v>0</v>
      </c>
      <c r="AX280" s="55">
        <v>-2454.1825869271438</v>
      </c>
      <c r="AY280" s="674">
        <v>3527.9605194891806</v>
      </c>
      <c r="AZ280" s="40">
        <v>0</v>
      </c>
      <c r="BA280" s="35">
        <v>-3527.9605194891806</v>
      </c>
      <c r="BB280" s="674">
        <v>2037.8304608637427</v>
      </c>
      <c r="BC280" s="40">
        <v>8731</v>
      </c>
      <c r="BD280" s="55">
        <v>6693.1695391362573</v>
      </c>
      <c r="BE280" s="674">
        <v>2254.2259140760693</v>
      </c>
      <c r="BF280" s="40">
        <v>0</v>
      </c>
      <c r="BG280" s="38">
        <v>-2254.2259140760693</v>
      </c>
      <c r="BH280" s="674">
        <v>0</v>
      </c>
      <c r="BI280" s="40">
        <v>0</v>
      </c>
      <c r="BJ280" s="55">
        <v>0</v>
      </c>
      <c r="BK280" s="674">
        <v>1353.4182102911223</v>
      </c>
      <c r="BL280" s="40">
        <v>14224</v>
      </c>
      <c r="BM280" s="38">
        <v>12870.581789708878</v>
      </c>
      <c r="BN280" s="674">
        <v>110.10300000000001</v>
      </c>
      <c r="BO280" s="40">
        <v>0</v>
      </c>
      <c r="BP280" s="55">
        <v>-110.10300000000001</v>
      </c>
      <c r="BQ280" s="77">
        <v>11737.720691647257</v>
      </c>
      <c r="BR280" s="40">
        <v>22955</v>
      </c>
      <c r="BS280" s="55">
        <v>11217.279308352743</v>
      </c>
      <c r="BT280" s="674">
        <v>36184.215165039546</v>
      </c>
      <c r="BU280" s="40">
        <v>40067.097208448322</v>
      </c>
      <c r="BV280" s="52">
        <v>3882.8820434087756</v>
      </c>
      <c r="BW280" s="674">
        <v>18727.407526670977</v>
      </c>
      <c r="BX280" s="40">
        <v>18446.336288053615</v>
      </c>
      <c r="BY280" s="52">
        <v>-281.07123861736181</v>
      </c>
      <c r="BZ280" s="674">
        <v>6593.9392560081005</v>
      </c>
      <c r="CA280" s="40">
        <v>9124.5380962327508</v>
      </c>
      <c r="CB280" s="52">
        <v>2530.5988402246503</v>
      </c>
      <c r="CC280" s="674">
        <v>2316.5563952740822</v>
      </c>
      <c r="CD280" s="40">
        <v>2434.7495564270894</v>
      </c>
      <c r="CE280" s="52">
        <v>118.19316115300717</v>
      </c>
      <c r="CF280" s="674">
        <v>283.13106114771841</v>
      </c>
      <c r="CG280" s="40">
        <v>0</v>
      </c>
      <c r="CH280" s="52">
        <v>-283.13106114771841</v>
      </c>
      <c r="CI280" s="674">
        <v>14397.350070413986</v>
      </c>
      <c r="CJ280" s="40">
        <v>11471.129214221901</v>
      </c>
      <c r="CK280" s="52">
        <v>-2926.2208561920852</v>
      </c>
      <c r="CL280" s="674">
        <v>0</v>
      </c>
      <c r="CM280" s="40">
        <v>0</v>
      </c>
      <c r="CN280" s="52">
        <v>0</v>
      </c>
      <c r="CO280" s="39">
        <v>14397.350070413986</v>
      </c>
      <c r="CP280" s="40">
        <v>11471.129214221901</v>
      </c>
      <c r="CQ280" s="52">
        <v>-2926.2208561920852</v>
      </c>
      <c r="CR280" s="72">
        <v>158653.54112010234</v>
      </c>
      <c r="CS280" s="5">
        <v>190401.77656590988</v>
      </c>
      <c r="CT280" s="52">
        <v>31748.235445807542</v>
      </c>
      <c r="CU280" s="77">
        <v>190384.2493441228</v>
      </c>
      <c r="CV280" s="65">
        <v>228482.13187909184</v>
      </c>
      <c r="CW280" s="35">
        <v>38097.882534969045</v>
      </c>
      <c r="CX280" s="73">
        <v>9535.8715424780039</v>
      </c>
      <c r="CY280" s="40">
        <v>-28562.010992491108</v>
      </c>
      <c r="CZ280" s="52">
        <v>-38097.882534969111</v>
      </c>
      <c r="DA280" s="150">
        <v>63305.631040974942</v>
      </c>
      <c r="DB280" s="2">
        <v>3</v>
      </c>
      <c r="DC280" s="675">
        <v>33701.410000000003</v>
      </c>
      <c r="DD280" s="675">
        <v>4883.8999999999996</v>
      </c>
      <c r="DE280" s="675">
        <v>16610.681814674004</v>
      </c>
      <c r="DF280" s="675">
        <v>4460.2420918699418</v>
      </c>
      <c r="DG280" s="321">
        <v>25207.748506005824</v>
      </c>
      <c r="DH280" s="40">
        <v>199904.93809974895</v>
      </c>
      <c r="DI280" s="422">
        <v>17514.386093456058</v>
      </c>
      <c r="DJ280" s="306">
        <v>4.7885260108503545</v>
      </c>
      <c r="DK280" s="306">
        <v>4.7885260108503545</v>
      </c>
      <c r="DL280" s="306">
        <v>4.1946327537629511</v>
      </c>
      <c r="DM280" s="28">
        <v>17090.728185325999</v>
      </c>
      <c r="DN280" s="28">
        <v>423.65790813005805</v>
      </c>
      <c r="DO280" s="423">
        <v>17514.386093456058</v>
      </c>
      <c r="DP280" s="94">
        <v>0</v>
      </c>
      <c r="DQ280" s="28">
        <v>17514.386093456058</v>
      </c>
      <c r="DR280" s="318"/>
      <c r="DT280" s="8"/>
      <c r="DU280" s="5"/>
      <c r="DX280" s="5">
        <v>46083.697884771442</v>
      </c>
      <c r="DY280" s="5">
        <v>83472.504000000001</v>
      </c>
      <c r="DZ280" s="159">
        <v>4005.8467167321396</v>
      </c>
      <c r="EB280" s="676">
        <v>1663.0708350708628</v>
      </c>
      <c r="EC280" s="676">
        <v>-1358.6478532575966</v>
      </c>
      <c r="ED280" s="676">
        <v>48760.370857086309</v>
      </c>
      <c r="EE280" s="676">
        <v>-4417.9384744871713</v>
      </c>
      <c r="EF280" s="676">
        <v>-4794.5923885884149</v>
      </c>
      <c r="EG280" s="676">
        <v>-5596.1199109725112</v>
      </c>
      <c r="EH280" s="676">
        <v>-2754.8516124146536</v>
      </c>
      <c r="EI280" s="676">
        <v>5551.4216477885566</v>
      </c>
      <c r="EJ280" s="676">
        <v>12589.776660917945</v>
      </c>
      <c r="EK280" s="676">
        <v>-2874.5632921936049</v>
      </c>
      <c r="EL280" s="676">
        <v>-4570.0674218645017</v>
      </c>
      <c r="EM280" s="676">
        <v>-4099.9765121161054</v>
      </c>
      <c r="EN280" s="676">
        <v>38097.882534969118</v>
      </c>
      <c r="EQ280" s="5">
        <v>46083.697884771442</v>
      </c>
      <c r="ER280" s="5">
        <v>83472.504000000001</v>
      </c>
      <c r="ET280" s="318">
        <v>-12841.961470737089</v>
      </c>
      <c r="EU280" s="5">
        <v>-2572.2900232570883</v>
      </c>
    </row>
    <row r="281" spans="1:151" x14ac:dyDescent="0.3">
      <c r="A281" s="325">
        <v>150000750</v>
      </c>
      <c r="B281" s="41" t="s">
        <v>727</v>
      </c>
      <c r="C281" s="42" t="s">
        <v>130</v>
      </c>
      <c r="D281" s="27">
        <v>1</v>
      </c>
      <c r="E281" s="293">
        <v>275.8</v>
      </c>
      <c r="F281" s="305">
        <v>275.8</v>
      </c>
      <c r="G281" s="508">
        <v>0</v>
      </c>
      <c r="H281" s="677">
        <v>0</v>
      </c>
      <c r="I281" s="674">
        <v>0</v>
      </c>
      <c r="J281" s="40">
        <v>0</v>
      </c>
      <c r="K281" s="52">
        <v>0</v>
      </c>
      <c r="L281" s="674">
        <v>0</v>
      </c>
      <c r="M281" s="40">
        <v>0</v>
      </c>
      <c r="N281" s="52">
        <v>0</v>
      </c>
      <c r="O281" s="674">
        <v>0</v>
      </c>
      <c r="P281" s="40">
        <v>0</v>
      </c>
      <c r="Q281" s="52">
        <v>0</v>
      </c>
      <c r="R281" s="674">
        <v>0</v>
      </c>
      <c r="S281" s="40">
        <v>0</v>
      </c>
      <c r="T281" s="52">
        <v>0</v>
      </c>
      <c r="U281" s="674">
        <v>0</v>
      </c>
      <c r="V281" s="40">
        <v>0</v>
      </c>
      <c r="W281" s="52">
        <v>0</v>
      </c>
      <c r="X281" s="674">
        <v>0</v>
      </c>
      <c r="Y281" s="40">
        <v>0</v>
      </c>
      <c r="Z281" s="52">
        <v>0</v>
      </c>
      <c r="AA281" s="674">
        <v>33.096000000000004</v>
      </c>
      <c r="AB281" s="40">
        <v>0</v>
      </c>
      <c r="AC281" s="52">
        <v>-33.096000000000004</v>
      </c>
      <c r="AD281" s="674">
        <v>264.93815014952094</v>
      </c>
      <c r="AE281" s="40">
        <v>1171.7974840537656</v>
      </c>
      <c r="AF281" s="35">
        <v>906.85933390424475</v>
      </c>
      <c r="AG281" s="77">
        <v>298.03415014952094</v>
      </c>
      <c r="AH281" s="53">
        <v>1171.7974840537656</v>
      </c>
      <c r="AI281" s="52">
        <v>873.76333390424475</v>
      </c>
      <c r="AJ281" s="674">
        <v>0</v>
      </c>
      <c r="AK281" s="40">
        <v>0</v>
      </c>
      <c r="AL281" s="52">
        <v>0</v>
      </c>
      <c r="AM281" s="674">
        <v>0</v>
      </c>
      <c r="AN281" s="40">
        <v>0</v>
      </c>
      <c r="AO281" s="52">
        <v>0</v>
      </c>
      <c r="AP281" s="674">
        <v>539.62018930214231</v>
      </c>
      <c r="AQ281" s="40">
        <v>224.53023349564305</v>
      </c>
      <c r="AR281" s="52">
        <v>-315.08995580649923</v>
      </c>
      <c r="AS281" s="674">
        <v>3540.4704476858087</v>
      </c>
      <c r="AT281" s="40">
        <v>2191</v>
      </c>
      <c r="AU281" s="54">
        <v>-1349.4704476858087</v>
      </c>
      <c r="AV281" s="674">
        <v>0</v>
      </c>
      <c r="AW281" s="40">
        <v>0</v>
      </c>
      <c r="AX281" s="55">
        <v>0</v>
      </c>
      <c r="AY281" s="674">
        <v>0</v>
      </c>
      <c r="AZ281" s="40">
        <v>0</v>
      </c>
      <c r="BA281" s="35">
        <v>0</v>
      </c>
      <c r="BB281" s="674">
        <v>0</v>
      </c>
      <c r="BC281" s="40">
        <v>0</v>
      </c>
      <c r="BD281" s="55">
        <v>0</v>
      </c>
      <c r="BE281" s="674">
        <v>0</v>
      </c>
      <c r="BF281" s="40">
        <v>0</v>
      </c>
      <c r="BG281" s="38">
        <v>0</v>
      </c>
      <c r="BH281" s="674">
        <v>0</v>
      </c>
      <c r="BI281" s="40">
        <v>0</v>
      </c>
      <c r="BJ281" s="55">
        <v>0</v>
      </c>
      <c r="BK281" s="674">
        <v>0</v>
      </c>
      <c r="BL281" s="40">
        <v>0</v>
      </c>
      <c r="BM281" s="38">
        <v>0</v>
      </c>
      <c r="BN281" s="674">
        <v>13.573637196548921</v>
      </c>
      <c r="BO281" s="40">
        <v>0</v>
      </c>
      <c r="BP281" s="55">
        <v>-13.573637196548921</v>
      </c>
      <c r="BQ281" s="77">
        <v>13.573637196548921</v>
      </c>
      <c r="BR281" s="40">
        <v>0</v>
      </c>
      <c r="BS281" s="55">
        <v>-13.573637196548921</v>
      </c>
      <c r="BT281" s="674">
        <v>574.24825810074003</v>
      </c>
      <c r="BU281" s="40">
        <v>748.47732139363166</v>
      </c>
      <c r="BV281" s="52">
        <v>174.22906329289162</v>
      </c>
      <c r="BW281" s="674">
        <v>0</v>
      </c>
      <c r="BX281" s="40">
        <v>6.2735342643776075</v>
      </c>
      <c r="BY281" s="52">
        <v>6.2735342643776075</v>
      </c>
      <c r="BZ281" s="674">
        <v>0</v>
      </c>
      <c r="CA281" s="40">
        <v>246.1581709988605</v>
      </c>
      <c r="CB281" s="52">
        <v>246.1581709988605</v>
      </c>
      <c r="CC281" s="674">
        <v>0</v>
      </c>
      <c r="CD281" s="40">
        <v>0</v>
      </c>
      <c r="CE281" s="52">
        <v>0</v>
      </c>
      <c r="CF281" s="674">
        <v>0</v>
      </c>
      <c r="CG281" s="40">
        <v>0</v>
      </c>
      <c r="CH281" s="52">
        <v>0</v>
      </c>
      <c r="CI281" s="674">
        <v>0</v>
      </c>
      <c r="CJ281" s="40">
        <v>0</v>
      </c>
      <c r="CK281" s="52">
        <v>0</v>
      </c>
      <c r="CL281" s="674">
        <v>0</v>
      </c>
      <c r="CM281" s="40">
        <v>0</v>
      </c>
      <c r="CN281" s="52">
        <v>0</v>
      </c>
      <c r="CO281" s="39">
        <v>0</v>
      </c>
      <c r="CP281" s="40">
        <v>0</v>
      </c>
      <c r="CQ281" s="52">
        <v>0</v>
      </c>
      <c r="CR281" s="72">
        <v>4965.9466824347601</v>
      </c>
      <c r="CS281" s="5">
        <v>4588.2367442062778</v>
      </c>
      <c r="CT281" s="52">
        <v>-377.70993822848232</v>
      </c>
      <c r="CU281" s="77">
        <v>5959.1360189217121</v>
      </c>
      <c r="CV281" s="65">
        <v>5505.8840930475335</v>
      </c>
      <c r="CW281" s="35">
        <v>-453.2519258741786</v>
      </c>
      <c r="CX281" s="73">
        <v>274.9041392414656</v>
      </c>
      <c r="CY281" s="40">
        <v>728.15606511564442</v>
      </c>
      <c r="CZ281" s="52">
        <v>453.25192587417882</v>
      </c>
      <c r="DA281" s="150">
        <v>-6503.3781753372041</v>
      </c>
      <c r="DB281" s="2">
        <v>1</v>
      </c>
      <c r="DC281" s="675">
        <v>710.55</v>
      </c>
      <c r="DD281" s="675">
        <v>0</v>
      </c>
      <c r="DE281" s="675">
        <v>163.24788139196255</v>
      </c>
      <c r="DF281" s="675">
        <v>0</v>
      </c>
      <c r="DG281" s="321">
        <v>-6050.1262494630255</v>
      </c>
      <c r="DH281" s="40">
        <v>6233.5704571273436</v>
      </c>
      <c r="DI281" s="422">
        <v>547.3021186080374</v>
      </c>
      <c r="DJ281" s="306">
        <v>1.9844166737057194</v>
      </c>
      <c r="DK281" s="306">
        <v>1.9844166737057194</v>
      </c>
      <c r="DL281" s="306">
        <v>1.9844166737057194</v>
      </c>
      <c r="DM281" s="28">
        <v>547.3021186080374</v>
      </c>
      <c r="DN281" s="28">
        <v>0</v>
      </c>
      <c r="DO281" s="423">
        <v>547.3021186080374</v>
      </c>
      <c r="DP281" s="94">
        <v>0</v>
      </c>
      <c r="DQ281" s="28">
        <v>547.3021186080374</v>
      </c>
      <c r="DR281" s="318"/>
      <c r="DT281" s="8"/>
      <c r="DU281" s="5"/>
      <c r="DX281" s="5">
        <v>4264.8529018588288</v>
      </c>
      <c r="DY281" s="5">
        <v>2629.2</v>
      </c>
      <c r="DZ281" s="159">
        <v>390.34659180532924</v>
      </c>
      <c r="EB281" s="676">
        <v>-238.47358704436559</v>
      </c>
      <c r="EC281" s="676">
        <v>-266.86439833295412</v>
      </c>
      <c r="ED281" s="676">
        <v>-261.87060807758564</v>
      </c>
      <c r="EE281" s="676">
        <v>569.61406362767264</v>
      </c>
      <c r="EF281" s="676">
        <v>-282.13362336526285</v>
      </c>
      <c r="EG281" s="676">
        <v>-290.051711837874</v>
      </c>
      <c r="EH281" s="676">
        <v>-24.386835611929428</v>
      </c>
      <c r="EI281" s="676">
        <v>-238.96929182464652</v>
      </c>
      <c r="EJ281" s="676">
        <v>-283.16463825141261</v>
      </c>
      <c r="EK281" s="676">
        <v>-218.70063411511848</v>
      </c>
      <c r="EL281" s="676">
        <v>1358.7294202990292</v>
      </c>
      <c r="EM281" s="676">
        <v>-276.98008133973144</v>
      </c>
      <c r="EN281" s="676">
        <v>-453.25192587417882</v>
      </c>
      <c r="EQ281" s="5">
        <v>4264.8529018588288</v>
      </c>
      <c r="ER281" s="5">
        <v>2629.2</v>
      </c>
      <c r="ET281" s="318">
        <v>-2862.3695332093321</v>
      </c>
      <c r="EU281" s="5">
        <v>115.24328374630701</v>
      </c>
    </row>
    <row r="282" spans="1:151" x14ac:dyDescent="0.3">
      <c r="A282" s="325">
        <v>150000751</v>
      </c>
      <c r="B282" s="41" t="s">
        <v>728</v>
      </c>
      <c r="C282" s="42" t="s">
        <v>131</v>
      </c>
      <c r="D282" s="27">
        <v>1</v>
      </c>
      <c r="E282" s="293">
        <v>146.1</v>
      </c>
      <c r="F282" s="305">
        <v>146.1</v>
      </c>
      <c r="G282" s="508">
        <v>0</v>
      </c>
      <c r="H282" s="677">
        <v>0</v>
      </c>
      <c r="I282" s="674">
        <v>0</v>
      </c>
      <c r="J282" s="40">
        <v>0</v>
      </c>
      <c r="K282" s="52">
        <v>0</v>
      </c>
      <c r="L282" s="674">
        <v>0</v>
      </c>
      <c r="M282" s="40">
        <v>0</v>
      </c>
      <c r="N282" s="52">
        <v>0</v>
      </c>
      <c r="O282" s="674">
        <v>0</v>
      </c>
      <c r="P282" s="40">
        <v>0</v>
      </c>
      <c r="Q282" s="52">
        <v>0</v>
      </c>
      <c r="R282" s="674">
        <v>0</v>
      </c>
      <c r="S282" s="40">
        <v>0</v>
      </c>
      <c r="T282" s="52">
        <v>0</v>
      </c>
      <c r="U282" s="674">
        <v>0</v>
      </c>
      <c r="V282" s="40">
        <v>0</v>
      </c>
      <c r="W282" s="52">
        <v>0</v>
      </c>
      <c r="X282" s="674">
        <v>0</v>
      </c>
      <c r="Y282" s="40">
        <v>0</v>
      </c>
      <c r="Z282" s="52">
        <v>0</v>
      </c>
      <c r="AA282" s="674">
        <v>17.532</v>
      </c>
      <c r="AB282" s="40">
        <v>0</v>
      </c>
      <c r="AC282" s="52">
        <v>-17.532</v>
      </c>
      <c r="AD282" s="674">
        <v>140.33905805937366</v>
      </c>
      <c r="AE282" s="40">
        <v>620.73826113217945</v>
      </c>
      <c r="AF282" s="35">
        <v>480.39920307280579</v>
      </c>
      <c r="AG282" s="77">
        <v>157.87105805937367</v>
      </c>
      <c r="AH282" s="53">
        <v>620.73826113217945</v>
      </c>
      <c r="AI282" s="52">
        <v>462.86720307280575</v>
      </c>
      <c r="AJ282" s="674">
        <v>0</v>
      </c>
      <c r="AK282" s="40">
        <v>0</v>
      </c>
      <c r="AL282" s="52">
        <v>0</v>
      </c>
      <c r="AM282" s="674">
        <v>0</v>
      </c>
      <c r="AN282" s="40">
        <v>0</v>
      </c>
      <c r="AO282" s="52">
        <v>0</v>
      </c>
      <c r="AP282" s="674">
        <v>314.77844375958301</v>
      </c>
      <c r="AQ282" s="40">
        <v>261.77929121744683</v>
      </c>
      <c r="AR282" s="52">
        <v>-52.999152542136187</v>
      </c>
      <c r="AS282" s="674">
        <v>1623.4605987627403</v>
      </c>
      <c r="AT282" s="40">
        <v>1619</v>
      </c>
      <c r="AU282" s="54">
        <v>-4.4605987627403465</v>
      </c>
      <c r="AV282" s="674">
        <v>0</v>
      </c>
      <c r="AW282" s="40">
        <v>0</v>
      </c>
      <c r="AX282" s="55">
        <v>0</v>
      </c>
      <c r="AY282" s="674">
        <v>0</v>
      </c>
      <c r="AZ282" s="40">
        <v>0</v>
      </c>
      <c r="BA282" s="35">
        <v>0</v>
      </c>
      <c r="BB282" s="674">
        <v>0</v>
      </c>
      <c r="BC282" s="40">
        <v>0</v>
      </c>
      <c r="BD282" s="55">
        <v>0</v>
      </c>
      <c r="BE282" s="674">
        <v>0</v>
      </c>
      <c r="BF282" s="40">
        <v>0</v>
      </c>
      <c r="BG282" s="38">
        <v>0</v>
      </c>
      <c r="BH282" s="674">
        <v>0</v>
      </c>
      <c r="BI282" s="40">
        <v>0</v>
      </c>
      <c r="BJ282" s="55">
        <v>0</v>
      </c>
      <c r="BK282" s="674">
        <v>0</v>
      </c>
      <c r="BL282" s="40">
        <v>0</v>
      </c>
      <c r="BM282" s="38">
        <v>0</v>
      </c>
      <c r="BN282" s="674">
        <v>5.702732728474416</v>
      </c>
      <c r="BO282" s="40">
        <v>0</v>
      </c>
      <c r="BP282" s="55">
        <v>-5.702732728474416</v>
      </c>
      <c r="BQ282" s="77">
        <v>5.702732728474416</v>
      </c>
      <c r="BR282" s="40">
        <v>0</v>
      </c>
      <c r="BS282" s="55">
        <v>-5.702732728474416</v>
      </c>
      <c r="BT282" s="674">
        <v>303.27486130945334</v>
      </c>
      <c r="BU282" s="40">
        <v>395.19283480734487</v>
      </c>
      <c r="BV282" s="52">
        <v>91.917973497891523</v>
      </c>
      <c r="BW282" s="674">
        <v>0</v>
      </c>
      <c r="BX282" s="40">
        <v>3.3232899058214955</v>
      </c>
      <c r="BY282" s="52">
        <v>3.3232899058214955</v>
      </c>
      <c r="BZ282" s="674">
        <v>0</v>
      </c>
      <c r="CA282" s="40">
        <v>129.99793214137117</v>
      </c>
      <c r="CB282" s="52">
        <v>129.99793214137117</v>
      </c>
      <c r="CC282" s="674">
        <v>0</v>
      </c>
      <c r="CD282" s="40">
        <v>0</v>
      </c>
      <c r="CE282" s="52">
        <v>0</v>
      </c>
      <c r="CF282" s="674">
        <v>0</v>
      </c>
      <c r="CG282" s="40">
        <v>0</v>
      </c>
      <c r="CH282" s="52">
        <v>0</v>
      </c>
      <c r="CI282" s="674">
        <v>0</v>
      </c>
      <c r="CJ282" s="40">
        <v>0</v>
      </c>
      <c r="CK282" s="52">
        <v>0</v>
      </c>
      <c r="CL282" s="674">
        <v>0</v>
      </c>
      <c r="CM282" s="40">
        <v>0</v>
      </c>
      <c r="CN282" s="52">
        <v>0</v>
      </c>
      <c r="CO282" s="39">
        <v>0</v>
      </c>
      <c r="CP282" s="40">
        <v>0</v>
      </c>
      <c r="CQ282" s="52">
        <v>0</v>
      </c>
      <c r="CR282" s="72">
        <v>2405.0876946196249</v>
      </c>
      <c r="CS282" s="5">
        <v>3030.0316092041639</v>
      </c>
      <c r="CT282" s="52">
        <v>624.94391458453902</v>
      </c>
      <c r="CU282" s="77">
        <v>2886.1052335435497</v>
      </c>
      <c r="CV282" s="65">
        <v>3636.0379310449966</v>
      </c>
      <c r="CW282" s="35">
        <v>749.93269750144691</v>
      </c>
      <c r="CX282" s="73">
        <v>64.265871170043965</v>
      </c>
      <c r="CY282" s="40">
        <v>-685.6668263314026</v>
      </c>
      <c r="CZ282" s="52">
        <v>-749.93269750144657</v>
      </c>
      <c r="DA282" s="150">
        <v>-385.77783723262473</v>
      </c>
      <c r="DB282" s="2">
        <v>1</v>
      </c>
      <c r="DC282" s="675">
        <v>981.07</v>
      </c>
      <c r="DD282" s="675">
        <v>0</v>
      </c>
      <c r="DE282" s="675">
        <v>722.37564198702671</v>
      </c>
      <c r="DF282" s="675">
        <v>0</v>
      </c>
      <c r="DG282" s="321">
        <v>-1135.7105347340712</v>
      </c>
      <c r="DH282" s="40">
        <v>2950.1477564126681</v>
      </c>
      <c r="DI282" s="422">
        <v>258.69435801297334</v>
      </c>
      <c r="DJ282" s="306">
        <v>1.7706663792811317</v>
      </c>
      <c r="DK282" s="306">
        <v>1.7706663792811317</v>
      </c>
      <c r="DL282" s="306">
        <v>1.7706663792811317</v>
      </c>
      <c r="DM282" s="28">
        <v>258.69435801297334</v>
      </c>
      <c r="DN282" s="28">
        <v>0</v>
      </c>
      <c r="DO282" s="423">
        <v>258.69435801297334</v>
      </c>
      <c r="DP282" s="94">
        <v>0</v>
      </c>
      <c r="DQ282" s="28">
        <v>258.69435801297334</v>
      </c>
      <c r="DR282" s="318"/>
      <c r="DT282" s="8"/>
      <c r="DU282" s="5"/>
      <c r="DX282" s="5">
        <v>1954.9959977894575</v>
      </c>
      <c r="DY282" s="5">
        <v>1942.8</v>
      </c>
      <c r="DZ282" s="159">
        <v>181.28902300686084</v>
      </c>
      <c r="EB282" s="676">
        <v>53.147863735019456</v>
      </c>
      <c r="EC282" s="676">
        <v>-118.85563471284179</v>
      </c>
      <c r="ED282" s="676">
        <v>-116.21026576320681</v>
      </c>
      <c r="EE282" s="676">
        <v>-210.9310258684838</v>
      </c>
      <c r="EF282" s="676">
        <v>-127.14343176562504</v>
      </c>
      <c r="EG282" s="676">
        <v>-131.33369874862109</v>
      </c>
      <c r="EH282" s="676">
        <v>23.839428324158092</v>
      </c>
      <c r="EI282" s="676">
        <v>-104.28372455665271</v>
      </c>
      <c r="EJ282" s="676">
        <v>-127.69572132184692</v>
      </c>
      <c r="EK282" s="676">
        <v>-93.54108225383618</v>
      </c>
      <c r="EL282" s="676">
        <v>1827.35313863018</v>
      </c>
      <c r="EM282" s="676">
        <v>-124.41314819679664</v>
      </c>
      <c r="EN282" s="676">
        <v>749.93269750144646</v>
      </c>
      <c r="EQ282" s="5">
        <v>1954.9959977894575</v>
      </c>
      <c r="ER282" s="5">
        <v>1942.8</v>
      </c>
      <c r="ET282" s="318">
        <v>-991.08309157762051</v>
      </c>
      <c r="EU282" s="5">
        <v>1104.3725568435502</v>
      </c>
    </row>
    <row r="283" spans="1:151" x14ac:dyDescent="0.3">
      <c r="A283" s="325">
        <v>150000752</v>
      </c>
      <c r="B283" s="41" t="s">
        <v>729</v>
      </c>
      <c r="C283" s="42" t="s">
        <v>387</v>
      </c>
      <c r="D283" s="27">
        <v>9</v>
      </c>
      <c r="E283" s="293">
        <v>3990.7000000000003</v>
      </c>
      <c r="F283" s="305">
        <v>3818.4</v>
      </c>
      <c r="G283" s="508">
        <v>276.3</v>
      </c>
      <c r="H283" s="677">
        <v>172.3</v>
      </c>
      <c r="I283" s="674">
        <v>11167.007310373952</v>
      </c>
      <c r="J283" s="40">
        <v>9352.325944897746</v>
      </c>
      <c r="K283" s="52">
        <v>-1814.6813654762063</v>
      </c>
      <c r="L283" s="674">
        <v>1909.1395752028457</v>
      </c>
      <c r="M283" s="40">
        <v>1521.6532108933454</v>
      </c>
      <c r="N283" s="52">
        <v>-387.48636430950023</v>
      </c>
      <c r="O283" s="674">
        <v>5556.7053086194046</v>
      </c>
      <c r="P283" s="40">
        <v>5556.69</v>
      </c>
      <c r="Q283" s="52">
        <v>-1.530861940500472E-2</v>
      </c>
      <c r="R283" s="674">
        <v>1196.543128334755</v>
      </c>
      <c r="S283" s="40">
        <v>1196.5500000000002</v>
      </c>
      <c r="T283" s="52">
        <v>6.8716652451712434E-3</v>
      </c>
      <c r="U283" s="674">
        <v>714.84307937464087</v>
      </c>
      <c r="V283" s="40">
        <v>298.71032252132215</v>
      </c>
      <c r="W283" s="52">
        <v>-416.13275685331871</v>
      </c>
      <c r="X283" s="674">
        <v>7651.2491570623715</v>
      </c>
      <c r="Y283" s="40">
        <v>5305.6376015236674</v>
      </c>
      <c r="Z283" s="52">
        <v>-2345.6115555387041</v>
      </c>
      <c r="AA283" s="674">
        <v>478.88400000000001</v>
      </c>
      <c r="AB283" s="40">
        <v>0</v>
      </c>
      <c r="AC283" s="52">
        <v>-478.88400000000001</v>
      </c>
      <c r="AD283" s="674">
        <v>17099.918709903923</v>
      </c>
      <c r="AE283" s="40">
        <v>16955.37425530588</v>
      </c>
      <c r="AF283" s="35">
        <v>-144.54445459804265</v>
      </c>
      <c r="AG283" s="77">
        <v>45774.29026887189</v>
      </c>
      <c r="AH283" s="53">
        <v>40186.941335141964</v>
      </c>
      <c r="AI283" s="52">
        <v>-5587.3489337299252</v>
      </c>
      <c r="AJ283" s="674">
        <v>38011.03682931856</v>
      </c>
      <c r="AK283" s="40">
        <v>37761.087443012009</v>
      </c>
      <c r="AL283" s="52">
        <v>-249.94938630655088</v>
      </c>
      <c r="AM283" s="674">
        <v>0</v>
      </c>
      <c r="AN283" s="40">
        <v>0</v>
      </c>
      <c r="AO283" s="52">
        <v>0</v>
      </c>
      <c r="AP283" s="674">
        <v>3057.8477393788071</v>
      </c>
      <c r="AQ283" s="40">
        <v>2787.9913835060997</v>
      </c>
      <c r="AR283" s="52">
        <v>-269.85635587270735</v>
      </c>
      <c r="AS283" s="674">
        <v>64068.863562434606</v>
      </c>
      <c r="AT283" s="40">
        <v>143112.47</v>
      </c>
      <c r="AU283" s="54">
        <v>79043.606437565395</v>
      </c>
      <c r="AV283" s="674">
        <v>1859.9713436574207</v>
      </c>
      <c r="AW283" s="40">
        <v>3494</v>
      </c>
      <c r="AX283" s="55">
        <v>1634.0286563425793</v>
      </c>
      <c r="AY283" s="674">
        <v>2244.0851062488759</v>
      </c>
      <c r="AZ283" s="40">
        <v>1507</v>
      </c>
      <c r="BA283" s="35">
        <v>-737.08510624887595</v>
      </c>
      <c r="BB283" s="674">
        <v>1861.5321492183193</v>
      </c>
      <c r="BC283" s="40">
        <v>2305.7399999999998</v>
      </c>
      <c r="BD283" s="55">
        <v>444.20785078168046</v>
      </c>
      <c r="BE283" s="674">
        <v>1720.5356060000649</v>
      </c>
      <c r="BF283" s="40">
        <v>0</v>
      </c>
      <c r="BG283" s="38">
        <v>-1720.5356060000649</v>
      </c>
      <c r="BH283" s="674">
        <v>923.71373565197098</v>
      </c>
      <c r="BI283" s="40">
        <v>0</v>
      </c>
      <c r="BJ283" s="55">
        <v>-923.71373565197098</v>
      </c>
      <c r="BK283" s="674">
        <v>1587.2184353538494</v>
      </c>
      <c r="BL283" s="40">
        <v>13783</v>
      </c>
      <c r="BM283" s="38">
        <v>12195.781564646151</v>
      </c>
      <c r="BN283" s="674">
        <v>522.99695884431208</v>
      </c>
      <c r="BO283" s="40">
        <v>0</v>
      </c>
      <c r="BP283" s="55">
        <v>-522.99695884431208</v>
      </c>
      <c r="BQ283" s="77">
        <v>10720.053334974813</v>
      </c>
      <c r="BR283" s="40">
        <v>21089.739999999998</v>
      </c>
      <c r="BS283" s="55">
        <v>10369.686665025185</v>
      </c>
      <c r="BT283" s="674">
        <v>42141.296515439673</v>
      </c>
      <c r="BU283" s="40">
        <v>34582.402460331563</v>
      </c>
      <c r="BV283" s="52">
        <v>-7558.8940551081105</v>
      </c>
      <c r="BW283" s="674">
        <v>44136.134894103961</v>
      </c>
      <c r="BX283" s="40">
        <v>33383.946459337269</v>
      </c>
      <c r="BY283" s="52">
        <v>-10752.188434766693</v>
      </c>
      <c r="BZ283" s="674">
        <v>7540.3279275294144</v>
      </c>
      <c r="CA283" s="40">
        <v>9353.1273210320778</v>
      </c>
      <c r="CB283" s="52">
        <v>1812.7993935026634</v>
      </c>
      <c r="CC283" s="674">
        <v>1395.6885628017392</v>
      </c>
      <c r="CD283" s="40">
        <v>1463.8873292721414</v>
      </c>
      <c r="CE283" s="52">
        <v>68.198766470402234</v>
      </c>
      <c r="CF283" s="674">
        <v>170.23187121789411</v>
      </c>
      <c r="CG283" s="40">
        <v>0</v>
      </c>
      <c r="CH283" s="52">
        <v>-170.23187121789411</v>
      </c>
      <c r="CI283" s="674">
        <v>4003.7776398761862</v>
      </c>
      <c r="CJ283" s="40">
        <v>4880.8677908034579</v>
      </c>
      <c r="CK283" s="52">
        <v>877.09015092727168</v>
      </c>
      <c r="CL283" s="674">
        <v>13497.584372818012</v>
      </c>
      <c r="CM283" s="40">
        <v>11638.851776586234</v>
      </c>
      <c r="CN283" s="52">
        <v>-1858.7325962317773</v>
      </c>
      <c r="CO283" s="39">
        <v>17501.362012694197</v>
      </c>
      <c r="CP283" s="40">
        <v>16519.719567389693</v>
      </c>
      <c r="CQ283" s="52">
        <v>-981.64244530450378</v>
      </c>
      <c r="CR283" s="72">
        <v>274517.13351876551</v>
      </c>
      <c r="CS283" s="5">
        <v>340241.31329902279</v>
      </c>
      <c r="CT283" s="52">
        <v>65724.179780257284</v>
      </c>
      <c r="CU283" s="77">
        <v>329420.56022251857</v>
      </c>
      <c r="CV283" s="65">
        <v>408289.57595882734</v>
      </c>
      <c r="CW283" s="35">
        <v>78869.015736308764</v>
      </c>
      <c r="CX283" s="73">
        <v>9988.4947136831397</v>
      </c>
      <c r="CY283" s="40">
        <v>-68880.521022625573</v>
      </c>
      <c r="CZ283" s="52">
        <v>-78869.015736308706</v>
      </c>
      <c r="DA283" s="150">
        <v>75722.048386743554</v>
      </c>
      <c r="DB283" s="2">
        <v>1</v>
      </c>
      <c r="DC283" s="675">
        <v>56291.44</v>
      </c>
      <c r="DD283" s="675">
        <v>0.17</v>
      </c>
      <c r="DE283" s="675">
        <v>27459.698873240111</v>
      </c>
      <c r="DF283" s="675">
        <v>-829.65126998021867</v>
      </c>
      <c r="DG283" s="321">
        <v>-3146.9673495651223</v>
      </c>
      <c r="DH283" s="40">
        <v>339383.04283131612</v>
      </c>
      <c r="DI283" s="422">
        <v>29661.562396740112</v>
      </c>
      <c r="DJ283" s="306">
        <v>6.1147289173784554</v>
      </c>
      <c r="DK283" s="306">
        <v>7.6627541647294617</v>
      </c>
      <c r="DL283" s="306">
        <v>4.8161420196182156</v>
      </c>
      <c r="DM283" s="28">
        <v>28831.741126759891</v>
      </c>
      <c r="DN283" s="28">
        <v>829.82126998021863</v>
      </c>
      <c r="DO283" s="423">
        <v>29661.562396740108</v>
      </c>
      <c r="DP283" s="94">
        <v>0</v>
      </c>
      <c r="DQ283" s="28">
        <v>29661.562396740108</v>
      </c>
      <c r="DR283" s="318"/>
      <c r="DT283" s="8"/>
      <c r="DU283" s="5"/>
      <c r="DX283" s="5">
        <v>89746.700276891308</v>
      </c>
      <c r="DY283" s="5">
        <v>197042.65199999997</v>
      </c>
      <c r="DZ283" s="159">
        <v>8137.6692232802343</v>
      </c>
      <c r="EB283" s="676">
        <v>-3061.7635143394946</v>
      </c>
      <c r="EC283" s="676">
        <v>-3026.3546028128294</v>
      </c>
      <c r="ED283" s="676">
        <v>-9164.8864439030895</v>
      </c>
      <c r="EE283" s="676">
        <v>-6030.0170030278605</v>
      </c>
      <c r="EF283" s="676">
        <v>-16041.124784494194</v>
      </c>
      <c r="EG283" s="676">
        <v>4091.1231847559575</v>
      </c>
      <c r="EH283" s="676">
        <v>-6546.3096085924881</v>
      </c>
      <c r="EI283" s="676">
        <v>-6696.3952525113345</v>
      </c>
      <c r="EJ283" s="676">
        <v>-9787.5429078959351</v>
      </c>
      <c r="EK283" s="676">
        <v>-6431.5101112810189</v>
      </c>
      <c r="EL283" s="676">
        <v>147759.42973336609</v>
      </c>
      <c r="EM283" s="676">
        <v>-6195.6329529551149</v>
      </c>
      <c r="EN283" s="676">
        <v>78869.015736308676</v>
      </c>
      <c r="EQ283" s="5">
        <v>89746.700276891308</v>
      </c>
      <c r="ER283" s="5">
        <v>197042.65199999997</v>
      </c>
      <c r="ET283" s="318">
        <v>-27463.057874123206</v>
      </c>
      <c r="EU283" s="5">
        <v>-4243.909475441933</v>
      </c>
    </row>
    <row r="284" spans="1:151" x14ac:dyDescent="0.3">
      <c r="A284" s="325">
        <v>150000760</v>
      </c>
      <c r="B284" s="41" t="s">
        <v>730</v>
      </c>
      <c r="C284" s="42" t="s">
        <v>388</v>
      </c>
      <c r="D284" s="27">
        <v>9</v>
      </c>
      <c r="E284" s="293">
        <v>11337.62</v>
      </c>
      <c r="F284" s="305">
        <v>11337.62</v>
      </c>
      <c r="G284" s="508">
        <v>1200.4000000000001</v>
      </c>
      <c r="H284" s="677">
        <v>0</v>
      </c>
      <c r="I284" s="674">
        <v>26110.885841687625</v>
      </c>
      <c r="J284" s="40">
        <v>29086.893246309704</v>
      </c>
      <c r="K284" s="52">
        <v>2976.0074046220798</v>
      </c>
      <c r="L284" s="674">
        <v>7985.0168474058028</v>
      </c>
      <c r="M284" s="40">
        <v>8750.1158193862211</v>
      </c>
      <c r="N284" s="52">
        <v>765.09897198041836</v>
      </c>
      <c r="O284" s="674">
        <v>15045.836531769886</v>
      </c>
      <c r="P284" s="40">
        <v>15047.999999999996</v>
      </c>
      <c r="Q284" s="52">
        <v>2.1634682301100838</v>
      </c>
      <c r="R284" s="674">
        <v>3422.9546082973857</v>
      </c>
      <c r="S284" s="40">
        <v>3423.9999999999995</v>
      </c>
      <c r="T284" s="52">
        <v>1.0453917026138697</v>
      </c>
      <c r="U284" s="674">
        <v>1072.4056650520611</v>
      </c>
      <c r="V284" s="40">
        <v>3622.1154156458747</v>
      </c>
      <c r="W284" s="52">
        <v>2549.7097505938136</v>
      </c>
      <c r="X284" s="674">
        <v>22422.17432008902</v>
      </c>
      <c r="Y284" s="40">
        <v>17675.187855213855</v>
      </c>
      <c r="Z284" s="52">
        <v>-4746.9864648751645</v>
      </c>
      <c r="AA284" s="674">
        <v>1360.5264</v>
      </c>
      <c r="AB284" s="40">
        <v>0</v>
      </c>
      <c r="AC284" s="52">
        <v>-1360.5264</v>
      </c>
      <c r="AD284" s="674">
        <v>48610.20138686298</v>
      </c>
      <c r="AE284" s="40">
        <v>48170.537697137348</v>
      </c>
      <c r="AF284" s="35">
        <v>-439.66368972563214</v>
      </c>
      <c r="AG284" s="77">
        <v>126030.00160116475</v>
      </c>
      <c r="AH284" s="53">
        <v>125776.850033693</v>
      </c>
      <c r="AI284" s="52">
        <v>-253.15156747175206</v>
      </c>
      <c r="AJ284" s="674">
        <v>84857.062430878315</v>
      </c>
      <c r="AK284" s="40">
        <v>84299.722260877577</v>
      </c>
      <c r="AL284" s="52">
        <v>-557.340170000738</v>
      </c>
      <c r="AM284" s="674">
        <v>8994.2486799191902</v>
      </c>
      <c r="AN284" s="40">
        <v>5490.7573662694058</v>
      </c>
      <c r="AO284" s="52">
        <v>-3503.4913136497844</v>
      </c>
      <c r="AP284" s="674">
        <v>9713.1634074385638</v>
      </c>
      <c r="AQ284" s="40">
        <v>7154.1922688026825</v>
      </c>
      <c r="AR284" s="52">
        <v>-2558.9711386358813</v>
      </c>
      <c r="AS284" s="674">
        <v>172744.13600017261</v>
      </c>
      <c r="AT284" s="40">
        <v>149570.81635841279</v>
      </c>
      <c r="AU284" s="54">
        <v>-23173.319641759823</v>
      </c>
      <c r="AV284" s="674">
        <v>4130.0737414201385</v>
      </c>
      <c r="AW284" s="40">
        <v>1561</v>
      </c>
      <c r="AX284" s="55">
        <v>-2569.0737414201385</v>
      </c>
      <c r="AY284" s="674">
        <v>9322.8948199445767</v>
      </c>
      <c r="AZ284" s="40">
        <v>21971</v>
      </c>
      <c r="BA284" s="35">
        <v>12648.105180055423</v>
      </c>
      <c r="BB284" s="674">
        <v>4618.3677073598892</v>
      </c>
      <c r="BC284" s="40">
        <v>0</v>
      </c>
      <c r="BD284" s="55">
        <v>-4618.3677073598892</v>
      </c>
      <c r="BE284" s="674">
        <v>4802.6568302125743</v>
      </c>
      <c r="BF284" s="40">
        <v>742</v>
      </c>
      <c r="BG284" s="38">
        <v>-4060.6568302125743</v>
      </c>
      <c r="BH284" s="674">
        <v>1385.6021579763128</v>
      </c>
      <c r="BI284" s="40">
        <v>118</v>
      </c>
      <c r="BJ284" s="55">
        <v>-1267.6021579763128</v>
      </c>
      <c r="BK284" s="674">
        <v>5972.7354039469865</v>
      </c>
      <c r="BL284" s="40">
        <v>978</v>
      </c>
      <c r="BM284" s="38">
        <v>-4994.7354039469865</v>
      </c>
      <c r="BN284" s="674">
        <v>340.13159999999999</v>
      </c>
      <c r="BO284" s="40">
        <v>0</v>
      </c>
      <c r="BP284" s="55">
        <v>-340.13159999999999</v>
      </c>
      <c r="BQ284" s="77">
        <v>30572.462260860477</v>
      </c>
      <c r="BR284" s="40">
        <v>25370</v>
      </c>
      <c r="BS284" s="55">
        <v>-5202.4622608604768</v>
      </c>
      <c r="BT284" s="674">
        <v>112956.19376212161</v>
      </c>
      <c r="BU284" s="40">
        <v>100109.84574068713</v>
      </c>
      <c r="BV284" s="52">
        <v>-12846.348021434475</v>
      </c>
      <c r="BW284" s="674">
        <v>113757.7809551822</v>
      </c>
      <c r="BX284" s="40">
        <v>103412.03862737028</v>
      </c>
      <c r="BY284" s="52">
        <v>-10345.742327811924</v>
      </c>
      <c r="BZ284" s="674">
        <v>11213.248941498741</v>
      </c>
      <c r="CA284" s="40">
        <v>25052.320675616884</v>
      </c>
      <c r="CB284" s="52">
        <v>13839.071734118143</v>
      </c>
      <c r="CC284" s="674">
        <v>3693.175946354716</v>
      </c>
      <c r="CD284" s="40">
        <v>3870.1302210270519</v>
      </c>
      <c r="CE284" s="52">
        <v>176.95427467233594</v>
      </c>
      <c r="CF284" s="674">
        <v>450.04796216791357</v>
      </c>
      <c r="CG284" s="40">
        <v>1129.9153146014414</v>
      </c>
      <c r="CH284" s="52">
        <v>679.86735243352791</v>
      </c>
      <c r="CI284" s="674">
        <v>18306.393650142629</v>
      </c>
      <c r="CJ284" s="40">
        <v>21865.152227333096</v>
      </c>
      <c r="CK284" s="52">
        <v>3558.7585771904669</v>
      </c>
      <c r="CL284" s="674">
        <v>22507.539792986096</v>
      </c>
      <c r="CM284" s="40">
        <v>21062.337512292615</v>
      </c>
      <c r="CN284" s="52">
        <v>-1445.2022806934801</v>
      </c>
      <c r="CO284" s="39">
        <v>40813.933443128728</v>
      </c>
      <c r="CP284" s="40">
        <v>42927.489739625715</v>
      </c>
      <c r="CQ284" s="52">
        <v>2113.5562964969868</v>
      </c>
      <c r="CR284" s="72">
        <v>715795.45539088768</v>
      </c>
      <c r="CS284" s="5">
        <v>674164.07860698388</v>
      </c>
      <c r="CT284" s="52">
        <v>-41631.376783903805</v>
      </c>
      <c r="CU284" s="77">
        <v>858954.54646906524</v>
      </c>
      <c r="CV284" s="65">
        <v>808996.89432838059</v>
      </c>
      <c r="CW284" s="35">
        <v>-49957.652140684659</v>
      </c>
      <c r="CX284" s="73">
        <v>25981.308183067311</v>
      </c>
      <c r="CY284" s="40">
        <v>75938.960323752137</v>
      </c>
      <c r="CZ284" s="52">
        <v>49957.652140684826</v>
      </c>
      <c r="DA284" s="150">
        <v>118587.75416972241</v>
      </c>
      <c r="DB284" s="2">
        <v>2</v>
      </c>
      <c r="DC284" s="675">
        <v>175164.01</v>
      </c>
      <c r="DD284" s="675">
        <v>0</v>
      </c>
      <c r="DE284" s="675">
        <v>97538.219534985459</v>
      </c>
      <c r="DF284" s="675">
        <v>0</v>
      </c>
      <c r="DG284" s="321">
        <v>168545.40631040718</v>
      </c>
      <c r="DH284" s="40">
        <v>884868.96964928461</v>
      </c>
      <c r="DI284" s="422">
        <v>77625.790465014536</v>
      </c>
      <c r="DJ284" s="306">
        <v>5.7553237519541813</v>
      </c>
      <c r="DK284" s="306">
        <v>6.975985510146641</v>
      </c>
      <c r="DL284" s="306">
        <v>4.6123696798518656</v>
      </c>
      <c r="DM284" s="28">
        <v>77625.79046501455</v>
      </c>
      <c r="DN284" s="28">
        <v>0</v>
      </c>
      <c r="DO284" s="423">
        <v>77625.79046501455</v>
      </c>
      <c r="DP284" s="94">
        <v>0</v>
      </c>
      <c r="DQ284" s="28">
        <v>77625.79046501455</v>
      </c>
      <c r="DR284" s="318"/>
      <c r="DT284" s="8"/>
      <c r="DU284" s="5"/>
      <c r="DX284" s="5">
        <v>243979.91791323971</v>
      </c>
      <c r="DY284" s="5">
        <v>209928.97963009533</v>
      </c>
      <c r="DZ284" s="159">
        <v>21679.184094581866</v>
      </c>
      <c r="EB284" s="676">
        <v>-10668.111653450338</v>
      </c>
      <c r="EC284" s="676">
        <v>-13427.462947869783</v>
      </c>
      <c r="ED284" s="676">
        <v>-13639.591207503508</v>
      </c>
      <c r="EE284" s="676">
        <v>-27566.918094765591</v>
      </c>
      <c r="EF284" s="676">
        <v>-11028.599597435583</v>
      </c>
      <c r="EG284" s="676">
        <v>-21809.647465819733</v>
      </c>
      <c r="EH284" s="676">
        <v>-35366.879541210445</v>
      </c>
      <c r="EI284" s="676">
        <v>-20675.379915500016</v>
      </c>
      <c r="EJ284" s="676">
        <v>124316.02245978422</v>
      </c>
      <c r="EK284" s="676">
        <v>-2524.5794856082939</v>
      </c>
      <c r="EL284" s="676">
        <v>-8315.668569649948</v>
      </c>
      <c r="EM284" s="676">
        <v>-9250.8361216557532</v>
      </c>
      <c r="EN284" s="676">
        <v>-49957.652140684775</v>
      </c>
      <c r="EQ284" s="5">
        <v>243979.91791323971</v>
      </c>
      <c r="ER284" s="5">
        <v>209928.97963009533</v>
      </c>
      <c r="ET284" s="318">
        <v>26911.355183338164</v>
      </c>
      <c r="EU284" s="5">
        <v>90452.051127069033</v>
      </c>
    </row>
    <row r="285" spans="1:151" x14ac:dyDescent="0.3">
      <c r="A285" s="325">
        <v>150000758</v>
      </c>
      <c r="B285" s="41" t="s">
        <v>731</v>
      </c>
      <c r="C285" s="42" t="s">
        <v>389</v>
      </c>
      <c r="D285" s="27">
        <v>9</v>
      </c>
      <c r="E285" s="293">
        <v>13218.32</v>
      </c>
      <c r="F285" s="305">
        <v>13211.52</v>
      </c>
      <c r="G285" s="508">
        <v>1410.95</v>
      </c>
      <c r="H285" s="677">
        <v>6.8</v>
      </c>
      <c r="I285" s="674">
        <v>32632.729917618781</v>
      </c>
      <c r="J285" s="40">
        <v>36221.066839363433</v>
      </c>
      <c r="K285" s="52">
        <v>3588.3369217446525</v>
      </c>
      <c r="L285" s="674">
        <v>9315.4638214872575</v>
      </c>
      <c r="M285" s="40">
        <v>10202.896389815638</v>
      </c>
      <c r="N285" s="52">
        <v>887.43256832838051</v>
      </c>
      <c r="O285" s="674">
        <v>17283.095980688966</v>
      </c>
      <c r="P285" s="40">
        <v>17286.674999999999</v>
      </c>
      <c r="Q285" s="52">
        <v>3.5790193110333348</v>
      </c>
      <c r="R285" s="674">
        <v>3755.2823921962045</v>
      </c>
      <c r="S285" s="40">
        <v>3753.3500000000008</v>
      </c>
      <c r="T285" s="52">
        <v>-1.9323921962036366</v>
      </c>
      <c r="U285" s="674">
        <v>1251.0773735497032</v>
      </c>
      <c r="V285" s="40">
        <v>4225.5285392588376</v>
      </c>
      <c r="W285" s="52">
        <v>2974.4511657091343</v>
      </c>
      <c r="X285" s="674">
        <v>20907.758822593372</v>
      </c>
      <c r="Y285" s="40">
        <v>15827.499580796855</v>
      </c>
      <c r="Z285" s="52">
        <v>-5080.259241796517</v>
      </c>
      <c r="AA285" s="674">
        <v>1585.116</v>
      </c>
      <c r="AB285" s="40">
        <v>0</v>
      </c>
      <c r="AC285" s="52">
        <v>-1585.116</v>
      </c>
      <c r="AD285" s="674">
        <v>56663.834968760784</v>
      </c>
      <c r="AE285" s="40">
        <v>56160.964899991173</v>
      </c>
      <c r="AF285" s="35">
        <v>-502.87006876961095</v>
      </c>
      <c r="AG285" s="77">
        <v>143394.35927689506</v>
      </c>
      <c r="AH285" s="53">
        <v>143677.98124922594</v>
      </c>
      <c r="AI285" s="52">
        <v>283.621972330875</v>
      </c>
      <c r="AJ285" s="674">
        <v>160781.61196568981</v>
      </c>
      <c r="AK285" s="40">
        <v>159725.68993829517</v>
      </c>
      <c r="AL285" s="52">
        <v>-1055.9220273946412</v>
      </c>
      <c r="AM285" s="674">
        <v>4497.1243399595951</v>
      </c>
      <c r="AN285" s="40">
        <v>1098.1802662851298</v>
      </c>
      <c r="AO285" s="52">
        <v>-3398.9440736744655</v>
      </c>
      <c r="AP285" s="674">
        <v>11287.055626236481</v>
      </c>
      <c r="AQ285" s="40">
        <v>9642.6972948087005</v>
      </c>
      <c r="AR285" s="52">
        <v>-1644.3583314277803</v>
      </c>
      <c r="AS285" s="674">
        <v>208145.71203412028</v>
      </c>
      <c r="AT285" s="40">
        <v>245332.12</v>
      </c>
      <c r="AU285" s="54">
        <v>37186.407965879713</v>
      </c>
      <c r="AV285" s="674">
        <v>5356.8373426348999</v>
      </c>
      <c r="AW285" s="40">
        <v>965</v>
      </c>
      <c r="AX285" s="55">
        <v>-4391.8373426348999</v>
      </c>
      <c r="AY285" s="674">
        <v>10876.192129342528</v>
      </c>
      <c r="AZ285" s="40">
        <v>19361.82</v>
      </c>
      <c r="BA285" s="35">
        <v>8485.6278706574722</v>
      </c>
      <c r="BB285" s="674">
        <v>5122.2035361956332</v>
      </c>
      <c r="BC285" s="40">
        <v>0</v>
      </c>
      <c r="BD285" s="55">
        <v>-5122.2035361956332</v>
      </c>
      <c r="BE285" s="674">
        <v>5208.7865901234409</v>
      </c>
      <c r="BF285" s="40">
        <v>0</v>
      </c>
      <c r="BG285" s="38">
        <v>-5208.7865901234409</v>
      </c>
      <c r="BH285" s="674">
        <v>1616.4603436528578</v>
      </c>
      <c r="BI285" s="40">
        <v>0</v>
      </c>
      <c r="BJ285" s="55">
        <v>-1616.4603436528578</v>
      </c>
      <c r="BK285" s="674">
        <v>5639.0580109375915</v>
      </c>
      <c r="BL285" s="40">
        <v>2586</v>
      </c>
      <c r="BM285" s="38">
        <v>-3053.0580109375915</v>
      </c>
      <c r="BN285" s="674">
        <v>396.279</v>
      </c>
      <c r="BO285" s="40">
        <v>0</v>
      </c>
      <c r="BP285" s="55">
        <v>-396.279</v>
      </c>
      <c r="BQ285" s="77">
        <v>34215.816952886955</v>
      </c>
      <c r="BR285" s="40">
        <v>22912.82</v>
      </c>
      <c r="BS285" s="55">
        <v>-11302.996952886955</v>
      </c>
      <c r="BT285" s="674">
        <v>155278.38048832407</v>
      </c>
      <c r="BU285" s="40">
        <v>146134.69768973309</v>
      </c>
      <c r="BV285" s="52">
        <v>-9143.6827985909767</v>
      </c>
      <c r="BW285" s="674">
        <v>107761.61144843965</v>
      </c>
      <c r="BX285" s="40">
        <v>105136.5727350689</v>
      </c>
      <c r="BY285" s="52">
        <v>-2625.0387133707554</v>
      </c>
      <c r="BZ285" s="674">
        <v>12608.93444025883</v>
      </c>
      <c r="CA285" s="40">
        <v>33146.234517569494</v>
      </c>
      <c r="CB285" s="52">
        <v>20537.300077310661</v>
      </c>
      <c r="CC285" s="674">
        <v>4265.5747270407164</v>
      </c>
      <c r="CD285" s="40">
        <v>4469.3543321074058</v>
      </c>
      <c r="CE285" s="52">
        <v>203.77960506668933</v>
      </c>
      <c r="CF285" s="674">
        <v>519.73026603675476</v>
      </c>
      <c r="CG285" s="40">
        <v>0</v>
      </c>
      <c r="CH285" s="52">
        <v>-519.73026603675476</v>
      </c>
      <c r="CI285" s="674">
        <v>21253.197666930901</v>
      </c>
      <c r="CJ285" s="40">
        <v>20357.196543658498</v>
      </c>
      <c r="CK285" s="52">
        <v>-896.00112327240276</v>
      </c>
      <c r="CL285" s="674">
        <v>27929.180015034581</v>
      </c>
      <c r="CM285" s="40">
        <v>27979.925648231474</v>
      </c>
      <c r="CN285" s="52">
        <v>50.745633196893323</v>
      </c>
      <c r="CO285" s="39">
        <v>49182.377681965481</v>
      </c>
      <c r="CP285" s="40">
        <v>48337.122191889968</v>
      </c>
      <c r="CQ285" s="52">
        <v>-845.25549007551308</v>
      </c>
      <c r="CR285" s="72">
        <v>891938.28924785357</v>
      </c>
      <c r="CS285" s="5">
        <v>919613.47021498368</v>
      </c>
      <c r="CT285" s="52">
        <v>27675.180967130116</v>
      </c>
      <c r="CU285" s="77">
        <v>1070325.9470974242</v>
      </c>
      <c r="CV285" s="65">
        <v>1103536.1642579804</v>
      </c>
      <c r="CW285" s="35">
        <v>33210.217160556233</v>
      </c>
      <c r="CX285" s="73">
        <v>19595.435361154559</v>
      </c>
      <c r="CY285" s="40">
        <v>-13614.781799401651</v>
      </c>
      <c r="CZ285" s="52">
        <v>-33210.217160556211</v>
      </c>
      <c r="DA285" s="150">
        <v>-29828.116386292306</v>
      </c>
      <c r="DB285" s="2">
        <v>2</v>
      </c>
      <c r="DC285" s="675">
        <v>218756.1</v>
      </c>
      <c r="DD285" s="675">
        <v>65.239999999999995</v>
      </c>
      <c r="DE285" s="675">
        <v>123366.42537393997</v>
      </c>
      <c r="DF285" s="675">
        <v>38.949999999999996</v>
      </c>
      <c r="DG285" s="321">
        <v>-63038.333546848524</v>
      </c>
      <c r="DH285" s="40">
        <v>1089838.4076646802</v>
      </c>
      <c r="DI285" s="422">
        <v>95422.288432487156</v>
      </c>
      <c r="DJ285" s="306">
        <v>5.6783670549528935</v>
      </c>
      <c r="DK285" s="306">
        <v>7.4045391561487488</v>
      </c>
      <c r="DL285" s="306">
        <v>4.7961480039910986</v>
      </c>
      <c r="DM285" s="28">
        <v>95389.674626060034</v>
      </c>
      <c r="DN285" s="28">
        <v>26.29</v>
      </c>
      <c r="DO285" s="423">
        <v>95415.964626060028</v>
      </c>
      <c r="DP285" s="94">
        <v>6.3238064271281473</v>
      </c>
      <c r="DQ285" s="28">
        <v>95415.964626060028</v>
      </c>
      <c r="DR285" s="318"/>
      <c r="DT285" s="8"/>
      <c r="DU285" s="5"/>
      <c r="DX285" s="5">
        <v>290833.83478440868</v>
      </c>
      <c r="DY285" s="5">
        <v>321893.92800000001</v>
      </c>
      <c r="DZ285" s="159">
        <v>26366.094260990783</v>
      </c>
      <c r="EB285" s="676">
        <v>80858.542985301974</v>
      </c>
      <c r="EC285" s="676">
        <v>48839.717868804131</v>
      </c>
      <c r="ED285" s="676">
        <v>-7520.2680876707309</v>
      </c>
      <c r="EE285" s="676">
        <v>2057.2637224454375</v>
      </c>
      <c r="EF285" s="676">
        <v>-2372.0761087759456</v>
      </c>
      <c r="EG285" s="676">
        <v>9407.1134686143487</v>
      </c>
      <c r="EH285" s="676">
        <v>-20069.335770429068</v>
      </c>
      <c r="EI285" s="676">
        <v>-25370.70894870357</v>
      </c>
      <c r="EJ285" s="676">
        <v>-17180.317952040976</v>
      </c>
      <c r="EK285" s="676">
        <v>12269.816773223982</v>
      </c>
      <c r="EL285" s="676">
        <v>-25223.914947620346</v>
      </c>
      <c r="EM285" s="676">
        <v>-22485.615842593019</v>
      </c>
      <c r="EN285" s="676">
        <v>33210.217160556218</v>
      </c>
      <c r="EQ285" s="5">
        <v>290833.83478440868</v>
      </c>
      <c r="ER285" s="5">
        <v>321893.92800000001</v>
      </c>
      <c r="ET285" s="318">
        <v>-26153.010742889863</v>
      </c>
      <c r="EU285" s="5">
        <v>-36818.322803958639</v>
      </c>
    </row>
    <row r="286" spans="1:151" x14ac:dyDescent="0.3">
      <c r="A286" s="325">
        <v>150000759</v>
      </c>
      <c r="B286" s="41" t="s">
        <v>732</v>
      </c>
      <c r="C286" s="42" t="s">
        <v>390</v>
      </c>
      <c r="D286" s="27">
        <v>9</v>
      </c>
      <c r="E286" s="293">
        <v>5689.68</v>
      </c>
      <c r="F286" s="305">
        <v>5689.68</v>
      </c>
      <c r="G286" s="508">
        <v>618.45000000000005</v>
      </c>
      <c r="H286" s="677">
        <v>0</v>
      </c>
      <c r="I286" s="674">
        <v>14263.156774129522</v>
      </c>
      <c r="J286" s="40">
        <v>15810.750311311678</v>
      </c>
      <c r="K286" s="52">
        <v>1547.5935371821561</v>
      </c>
      <c r="L286" s="674">
        <v>2284.7771240961029</v>
      </c>
      <c r="M286" s="40">
        <v>2500.7331688946715</v>
      </c>
      <c r="N286" s="52">
        <v>215.95604479856866</v>
      </c>
      <c r="O286" s="674">
        <v>7991.9672035749418</v>
      </c>
      <c r="P286" s="40">
        <v>7991.0099999999984</v>
      </c>
      <c r="Q286" s="52">
        <v>-0.95720357494337804</v>
      </c>
      <c r="R286" s="674">
        <v>1846.9227602389099</v>
      </c>
      <c r="S286" s="40">
        <v>1847.0749999999996</v>
      </c>
      <c r="T286" s="52">
        <v>0.15223976108973147</v>
      </c>
      <c r="U286" s="674">
        <v>536.17063566114973</v>
      </c>
      <c r="V286" s="40">
        <v>1811.0190991226805</v>
      </c>
      <c r="W286" s="52">
        <v>1274.8484634615306</v>
      </c>
      <c r="X286" s="674">
        <v>10785.271712825805</v>
      </c>
      <c r="Y286" s="40">
        <v>8103.2999504857607</v>
      </c>
      <c r="Z286" s="52">
        <v>-2681.9717623400438</v>
      </c>
      <c r="AA286" s="674">
        <v>682.50959999999998</v>
      </c>
      <c r="AB286" s="40">
        <v>0</v>
      </c>
      <c r="AC286" s="52">
        <v>-682.50959999999998</v>
      </c>
      <c r="AD286" s="674">
        <v>24392.246103176905</v>
      </c>
      <c r="AE286" s="40">
        <v>24173.867690612864</v>
      </c>
      <c r="AF286" s="35">
        <v>-218.37841256404135</v>
      </c>
      <c r="AG286" s="77">
        <v>62783.021913703335</v>
      </c>
      <c r="AH286" s="53">
        <v>62237.755220427658</v>
      </c>
      <c r="AI286" s="52">
        <v>-545.26669327567652</v>
      </c>
      <c r="AJ286" s="674">
        <v>82065.569681526118</v>
      </c>
      <c r="AK286" s="40">
        <v>81526.659405342813</v>
      </c>
      <c r="AL286" s="52">
        <v>-538.91027618330554</v>
      </c>
      <c r="AM286" s="674">
        <v>0</v>
      </c>
      <c r="AN286" s="40">
        <v>0</v>
      </c>
      <c r="AO286" s="52">
        <v>0</v>
      </c>
      <c r="AP286" s="674">
        <v>4856.5817037192819</v>
      </c>
      <c r="AQ286" s="40">
        <v>3824.3449048379834</v>
      </c>
      <c r="AR286" s="52">
        <v>-1032.2367988812985</v>
      </c>
      <c r="AS286" s="674">
        <v>91030.80897804792</v>
      </c>
      <c r="AT286" s="40">
        <v>122544</v>
      </c>
      <c r="AU286" s="54">
        <v>31513.19102195208</v>
      </c>
      <c r="AV286" s="674">
        <v>2369.0485658924999</v>
      </c>
      <c r="AW286" s="40">
        <v>380.17</v>
      </c>
      <c r="AX286" s="55">
        <v>-1988.8785658924999</v>
      </c>
      <c r="AY286" s="674">
        <v>2701.5990844416451</v>
      </c>
      <c r="AZ286" s="40">
        <v>0</v>
      </c>
      <c r="BA286" s="35">
        <v>-2701.5990844416451</v>
      </c>
      <c r="BB286" s="674">
        <v>2216.0779309749514</v>
      </c>
      <c r="BC286" s="40">
        <v>0</v>
      </c>
      <c r="BD286" s="55">
        <v>-2216.0779309749514</v>
      </c>
      <c r="BE286" s="674">
        <v>2801.3788199285796</v>
      </c>
      <c r="BF286" s="40">
        <v>0</v>
      </c>
      <c r="BG286" s="38">
        <v>-2801.3788199285796</v>
      </c>
      <c r="BH286" s="674">
        <v>692.74660800088429</v>
      </c>
      <c r="BI286" s="40">
        <v>0</v>
      </c>
      <c r="BJ286" s="55">
        <v>-692.74660800088429</v>
      </c>
      <c r="BK286" s="674">
        <v>2843.8637167473994</v>
      </c>
      <c r="BL286" s="40">
        <v>0</v>
      </c>
      <c r="BM286" s="38">
        <v>-2843.8637167473994</v>
      </c>
      <c r="BN286" s="674">
        <v>170.62739999999999</v>
      </c>
      <c r="BO286" s="40">
        <v>0</v>
      </c>
      <c r="BP286" s="55">
        <v>-170.62739999999999</v>
      </c>
      <c r="BQ286" s="77">
        <v>13795.342125985959</v>
      </c>
      <c r="BR286" s="40">
        <v>380.17</v>
      </c>
      <c r="BS286" s="55">
        <v>-13415.172125985959</v>
      </c>
      <c r="BT286" s="674">
        <v>67352.418446450552</v>
      </c>
      <c r="BU286" s="40">
        <v>64380.226549083018</v>
      </c>
      <c r="BV286" s="52">
        <v>-2972.1918973675347</v>
      </c>
      <c r="BW286" s="674">
        <v>32280.733391304428</v>
      </c>
      <c r="BX286" s="40">
        <v>32131.077881174086</v>
      </c>
      <c r="BY286" s="52">
        <v>-149.65551013034201</v>
      </c>
      <c r="BZ286" s="674">
        <v>10034.248604190625</v>
      </c>
      <c r="CA286" s="40">
        <v>13985.533873285904</v>
      </c>
      <c r="CB286" s="52">
        <v>3951.2852690952786</v>
      </c>
      <c r="CC286" s="674">
        <v>2566.6638088457466</v>
      </c>
      <c r="CD286" s="40">
        <v>2691.7768608483761</v>
      </c>
      <c r="CE286" s="52">
        <v>125.1130520026295</v>
      </c>
      <c r="CF286" s="674">
        <v>313.02013670074058</v>
      </c>
      <c r="CG286" s="40">
        <v>0</v>
      </c>
      <c r="CH286" s="52">
        <v>-313.02013670074058</v>
      </c>
      <c r="CI286" s="674">
        <v>17741.167940613894</v>
      </c>
      <c r="CJ286" s="40">
        <v>18009.305228044228</v>
      </c>
      <c r="CK286" s="52">
        <v>268.13728743033425</v>
      </c>
      <c r="CL286" s="674">
        <v>9556.1765552759953</v>
      </c>
      <c r="CM286" s="40">
        <v>10397.829925757118</v>
      </c>
      <c r="CN286" s="52">
        <v>841.65337048112269</v>
      </c>
      <c r="CO286" s="39">
        <v>27297.344495889891</v>
      </c>
      <c r="CP286" s="40">
        <v>28407.135153801348</v>
      </c>
      <c r="CQ286" s="52">
        <v>1109.7906579114569</v>
      </c>
      <c r="CR286" s="72">
        <v>394375.75328636466</v>
      </c>
      <c r="CS286" s="5">
        <v>412108.67984880117</v>
      </c>
      <c r="CT286" s="52">
        <v>17732.926562436507</v>
      </c>
      <c r="CU286" s="77">
        <v>473250.90394363756</v>
      </c>
      <c r="CV286" s="65">
        <v>494530.41581856139</v>
      </c>
      <c r="CW286" s="35">
        <v>21279.511874923832</v>
      </c>
      <c r="CX286" s="73">
        <v>10576.369301705514</v>
      </c>
      <c r="CY286" s="40">
        <v>-10703.142573218276</v>
      </c>
      <c r="CZ286" s="52">
        <v>-21279.511874923788</v>
      </c>
      <c r="DA286" s="150">
        <v>-4333.1905810716926</v>
      </c>
      <c r="DB286" s="2">
        <v>2</v>
      </c>
      <c r="DC286" s="675">
        <v>121828.44</v>
      </c>
      <c r="DD286" s="675">
        <v>0</v>
      </c>
      <c r="DE286" s="675">
        <v>79530.94582148685</v>
      </c>
      <c r="DF286" s="675">
        <v>0</v>
      </c>
      <c r="DG286" s="321">
        <v>-25612.702455995481</v>
      </c>
      <c r="DH286" s="40">
        <v>483790.24137274438</v>
      </c>
      <c r="DI286" s="422">
        <v>42297.49417851316</v>
      </c>
      <c r="DJ286" s="306">
        <v>5.7222200775467051</v>
      </c>
      <c r="DK286" s="306">
        <v>7.6428375702846045</v>
      </c>
      <c r="DL286" s="306">
        <v>5.1367542031353928</v>
      </c>
      <c r="DM286" s="28">
        <v>42297.49417851316</v>
      </c>
      <c r="DN286" s="28">
        <v>0</v>
      </c>
      <c r="DO286" s="423">
        <v>42297.49417851316</v>
      </c>
      <c r="DP286" s="94">
        <v>0</v>
      </c>
      <c r="DQ286" s="28">
        <v>42297.49417851316</v>
      </c>
      <c r="DR286" s="318"/>
      <c r="DT286" s="8"/>
      <c r="DU286" s="5"/>
      <c r="DX286" s="5">
        <v>125791.38132484065</v>
      </c>
      <c r="DY286" s="5">
        <v>147509.00399999999</v>
      </c>
      <c r="DZ286" s="159">
        <v>11292.64184073656</v>
      </c>
      <c r="EB286" s="676">
        <v>-4858.2059118938414</v>
      </c>
      <c r="EC286" s="676">
        <v>-4935.0653444446107</v>
      </c>
      <c r="ED286" s="676">
        <v>117780.08276772995</v>
      </c>
      <c r="EE286" s="676">
        <v>630.65352820941189</v>
      </c>
      <c r="EF286" s="676">
        <v>-16108.375777306941</v>
      </c>
      <c r="EG286" s="676">
        <v>-12166.80812355331</v>
      </c>
      <c r="EH286" s="676">
        <v>-12679.134825091933</v>
      </c>
      <c r="EI286" s="676">
        <v>-10234.50554731804</v>
      </c>
      <c r="EJ286" s="676">
        <v>-7559.3955307851429</v>
      </c>
      <c r="EK286" s="676">
        <v>-3021.4629634322264</v>
      </c>
      <c r="EL286" s="676">
        <v>-11698.904889766447</v>
      </c>
      <c r="EM286" s="676">
        <v>-13869.365507423085</v>
      </c>
      <c r="EN286" s="676">
        <v>21279.511874923788</v>
      </c>
      <c r="EQ286" s="5">
        <v>125791.38132484065</v>
      </c>
      <c r="ER286" s="5">
        <v>147509.00399999999</v>
      </c>
      <c r="ET286" s="318">
        <v>-34696.948458738654</v>
      </c>
      <c r="EU286" s="5">
        <v>-35989.753997256805</v>
      </c>
    </row>
    <row r="287" spans="1:151" x14ac:dyDescent="0.3">
      <c r="A287" s="325">
        <v>150000761</v>
      </c>
      <c r="B287" s="41" t="s">
        <v>733</v>
      </c>
      <c r="C287" s="42" t="s">
        <v>391</v>
      </c>
      <c r="D287" s="27">
        <v>9</v>
      </c>
      <c r="E287" s="293">
        <v>6815.39</v>
      </c>
      <c r="F287" s="305">
        <v>6720.79</v>
      </c>
      <c r="G287" s="508">
        <v>727.4</v>
      </c>
      <c r="H287" s="677">
        <v>94.6</v>
      </c>
      <c r="I287" s="674">
        <v>15129.075050936894</v>
      </c>
      <c r="J287" s="40">
        <v>16889.623684437698</v>
      </c>
      <c r="K287" s="52">
        <v>1760.5486335008045</v>
      </c>
      <c r="L287" s="674">
        <v>2338.7278071753371</v>
      </c>
      <c r="M287" s="40">
        <v>2559.8019170540065</v>
      </c>
      <c r="N287" s="52">
        <v>221.07410987866933</v>
      </c>
      <c r="O287" s="674">
        <v>9439.4274456596668</v>
      </c>
      <c r="P287" s="40">
        <v>9439.3049999999985</v>
      </c>
      <c r="Q287" s="52">
        <v>-0.12244565966830123</v>
      </c>
      <c r="R287" s="674">
        <v>1887.3854326957046</v>
      </c>
      <c r="S287" s="40">
        <v>1889.5599999999997</v>
      </c>
      <c r="T287" s="52">
        <v>2.1745673042951239</v>
      </c>
      <c r="U287" s="674">
        <v>714.84307937464087</v>
      </c>
      <c r="V287" s="40">
        <v>2414.4322227356442</v>
      </c>
      <c r="W287" s="52">
        <v>1699.5891433610034</v>
      </c>
      <c r="X287" s="674">
        <v>7180.4460200053763</v>
      </c>
      <c r="Y287" s="40">
        <v>5430.746624860235</v>
      </c>
      <c r="Z287" s="52">
        <v>-1749.6993951451414</v>
      </c>
      <c r="AA287" s="674">
        <v>806.49479999999994</v>
      </c>
      <c r="AB287" s="40">
        <v>0</v>
      </c>
      <c r="AC287" s="52">
        <v>-806.49479999999994</v>
      </c>
      <c r="AD287" s="674">
        <v>29118.811890055356</v>
      </c>
      <c r="AE287" s="40">
        <v>28956.696355493812</v>
      </c>
      <c r="AF287" s="35">
        <v>-162.11553456154434</v>
      </c>
      <c r="AG287" s="77">
        <v>66615.211525902967</v>
      </c>
      <c r="AH287" s="53">
        <v>67580.165804581397</v>
      </c>
      <c r="AI287" s="52">
        <v>964.95427867842955</v>
      </c>
      <c r="AJ287" s="674">
        <v>51489.410552684072</v>
      </c>
      <c r="AK287" s="40">
        <v>51150.545376630631</v>
      </c>
      <c r="AL287" s="52">
        <v>-338.86517605344125</v>
      </c>
      <c r="AM287" s="674">
        <v>0</v>
      </c>
      <c r="AN287" s="40">
        <v>0</v>
      </c>
      <c r="AO287" s="52">
        <v>0</v>
      </c>
      <c r="AP287" s="674">
        <v>4047.1514197660686</v>
      </c>
      <c r="AQ287" s="40">
        <v>3273.159861543711</v>
      </c>
      <c r="AR287" s="52">
        <v>-773.99155822235753</v>
      </c>
      <c r="AS287" s="674">
        <v>77742.194874725785</v>
      </c>
      <c r="AT287" s="40">
        <v>2588.8934092875861</v>
      </c>
      <c r="AU287" s="54">
        <v>-75153.301465438199</v>
      </c>
      <c r="AV287" s="674">
        <v>1994.4998229095577</v>
      </c>
      <c r="AW287" s="40">
        <v>703</v>
      </c>
      <c r="AX287" s="55">
        <v>-1291.4998229095577</v>
      </c>
      <c r="AY287" s="674">
        <v>2263.1241322255823</v>
      </c>
      <c r="AZ287" s="40">
        <v>1804.65</v>
      </c>
      <c r="BA287" s="35">
        <v>-458.47413222558225</v>
      </c>
      <c r="BB287" s="674">
        <v>2019.1081583008092</v>
      </c>
      <c r="BC287" s="40">
        <v>0</v>
      </c>
      <c r="BD287" s="55">
        <v>-2019.1081583008092</v>
      </c>
      <c r="BE287" s="674">
        <v>2308.9272556652036</v>
      </c>
      <c r="BF287" s="40">
        <v>578</v>
      </c>
      <c r="BG287" s="38">
        <v>-1730.9272556652036</v>
      </c>
      <c r="BH287" s="674">
        <v>804.98351208428267</v>
      </c>
      <c r="BI287" s="40">
        <v>0</v>
      </c>
      <c r="BJ287" s="55">
        <v>-804.98351208428267</v>
      </c>
      <c r="BK287" s="674">
        <v>1137.9189041292859</v>
      </c>
      <c r="BL287" s="40">
        <v>2962</v>
      </c>
      <c r="BM287" s="38">
        <v>1824.0810958707141</v>
      </c>
      <c r="BN287" s="674">
        <v>201.62369999999999</v>
      </c>
      <c r="BO287" s="40">
        <v>0</v>
      </c>
      <c r="BP287" s="55">
        <v>-201.62369999999999</v>
      </c>
      <c r="BQ287" s="77">
        <v>10730.185485314722</v>
      </c>
      <c r="BR287" s="40">
        <v>6047.65</v>
      </c>
      <c r="BS287" s="55">
        <v>-4682.5354853147219</v>
      </c>
      <c r="BT287" s="674">
        <v>73183.852688513958</v>
      </c>
      <c r="BU287" s="40">
        <v>75057.790622110901</v>
      </c>
      <c r="BV287" s="52">
        <v>1873.9379335969425</v>
      </c>
      <c r="BW287" s="674">
        <v>45204.463874299516</v>
      </c>
      <c r="BX287" s="40">
        <v>44052.551987418061</v>
      </c>
      <c r="BY287" s="52">
        <v>-1151.9118868814548</v>
      </c>
      <c r="BZ287" s="674">
        <v>18443.299765078646</v>
      </c>
      <c r="CA287" s="40">
        <v>17990.671124523986</v>
      </c>
      <c r="CB287" s="52">
        <v>-452.6286405546598</v>
      </c>
      <c r="CC287" s="674">
        <v>2243.3434437232941</v>
      </c>
      <c r="CD287" s="40">
        <v>2350.4854912844285</v>
      </c>
      <c r="CE287" s="52">
        <v>107.1420475611344</v>
      </c>
      <c r="CF287" s="674">
        <v>273.33219944652876</v>
      </c>
      <c r="CG287" s="40">
        <v>0</v>
      </c>
      <c r="CH287" s="52">
        <v>-273.33219944652876</v>
      </c>
      <c r="CI287" s="674">
        <v>22727.977810536071</v>
      </c>
      <c r="CJ287" s="40">
        <v>22017.111269425459</v>
      </c>
      <c r="CK287" s="52">
        <v>-710.86654111061216</v>
      </c>
      <c r="CL287" s="674">
        <v>11233.415580275996</v>
      </c>
      <c r="CM287" s="40">
        <v>18478.960318161604</v>
      </c>
      <c r="CN287" s="52">
        <v>7245.5447378856079</v>
      </c>
      <c r="CO287" s="39">
        <v>33961.393390812067</v>
      </c>
      <c r="CP287" s="40">
        <v>40496.071587587066</v>
      </c>
      <c r="CQ287" s="52">
        <v>6534.6781967749994</v>
      </c>
      <c r="CR287" s="72">
        <v>383933.8392202676</v>
      </c>
      <c r="CS287" s="5">
        <v>310587.98526496772</v>
      </c>
      <c r="CT287" s="52">
        <v>-73345.853955299885</v>
      </c>
      <c r="CU287" s="77">
        <v>460720.60706432111</v>
      </c>
      <c r="CV287" s="65">
        <v>372705.58231796126</v>
      </c>
      <c r="CW287" s="35">
        <v>-88015.02474635985</v>
      </c>
      <c r="CX287" s="73">
        <v>7626.7263085692002</v>
      </c>
      <c r="CY287" s="40">
        <v>95641.751054928987</v>
      </c>
      <c r="CZ287" s="52">
        <v>88015.024746359792</v>
      </c>
      <c r="DA287" s="150">
        <v>152841.78725895082</v>
      </c>
      <c r="DB287" s="2">
        <v>2</v>
      </c>
      <c r="DC287" s="675">
        <v>59235.71</v>
      </c>
      <c r="DD287" s="675">
        <v>817</v>
      </c>
      <c r="DE287" s="675">
        <v>18450.208377189119</v>
      </c>
      <c r="DF287" s="675">
        <v>479.85</v>
      </c>
      <c r="DG287" s="321">
        <v>240856.81200531064</v>
      </c>
      <c r="DH287" s="40">
        <v>468312.29347620212</v>
      </c>
      <c r="DI287" s="422">
        <v>41194.002727826854</v>
      </c>
      <c r="DJ287" s="306">
        <v>5.0613510014502827</v>
      </c>
      <c r="DK287" s="306">
        <v>6.1907993480077117</v>
      </c>
      <c r="DL287" s="306">
        <v>4.3181934991117972</v>
      </c>
      <c r="DM287" s="28">
        <v>40785.50162281088</v>
      </c>
      <c r="DN287" s="28">
        <v>337.15</v>
      </c>
      <c r="DO287" s="423">
        <v>41122.651622810881</v>
      </c>
      <c r="DP287" s="94">
        <v>71.35110501597228</v>
      </c>
      <c r="DQ287" s="28">
        <v>41122.651622810881</v>
      </c>
      <c r="DR287" s="318"/>
      <c r="DT287" s="8"/>
      <c r="DU287" s="5"/>
      <c r="DX287" s="5">
        <v>106166.8564320486</v>
      </c>
      <c r="DY287" s="5">
        <v>10363.852091145103</v>
      </c>
      <c r="DZ287" s="159">
        <v>9382.8768774239088</v>
      </c>
      <c r="EB287" s="676">
        <v>-3321.0979671469177</v>
      </c>
      <c r="EC287" s="676">
        <v>-4655.393619929011</v>
      </c>
      <c r="ED287" s="676">
        <v>-5727.6596773923593</v>
      </c>
      <c r="EE287" s="676">
        <v>-12338.014791148511</v>
      </c>
      <c r="EF287" s="676">
        <v>-13260.370528867457</v>
      </c>
      <c r="EG287" s="676">
        <v>-8951.2915696943965</v>
      </c>
      <c r="EH287" s="676">
        <v>-10114.813489899185</v>
      </c>
      <c r="EI287" s="676">
        <v>-6557.7576372614421</v>
      </c>
      <c r="EJ287" s="676">
        <v>-6483.7919340798762</v>
      </c>
      <c r="EK287" s="676">
        <v>-6048.7315784811944</v>
      </c>
      <c r="EL287" s="676">
        <v>-7646.2009418165981</v>
      </c>
      <c r="EM287" s="676">
        <v>-2909.9010106428686</v>
      </c>
      <c r="EN287" s="676">
        <v>-88015.024746359821</v>
      </c>
      <c r="EQ287" s="5">
        <v>106166.8564320486</v>
      </c>
      <c r="ER287" s="5">
        <v>10363.852091145103</v>
      </c>
      <c r="ET287" s="318">
        <v>-40057.165466896899</v>
      </c>
      <c r="EU287" s="5">
        <v>202643.97747220754</v>
      </c>
    </row>
    <row r="288" spans="1:151" x14ac:dyDescent="0.3">
      <c r="A288" s="325">
        <v>150000762</v>
      </c>
      <c r="B288" s="41" t="s">
        <v>734</v>
      </c>
      <c r="C288" s="42" t="s">
        <v>392</v>
      </c>
      <c r="D288" s="27">
        <v>9</v>
      </c>
      <c r="E288" s="293">
        <v>2823.8</v>
      </c>
      <c r="F288" s="305">
        <v>2823.8</v>
      </c>
      <c r="G288" s="508">
        <v>312.10000000000002</v>
      </c>
      <c r="H288" s="677">
        <v>0</v>
      </c>
      <c r="I288" s="674">
        <v>8346.7619526656999</v>
      </c>
      <c r="J288" s="40">
        <v>9199.6863852845399</v>
      </c>
      <c r="K288" s="52">
        <v>852.92443261884</v>
      </c>
      <c r="L288" s="674">
        <v>1363.3000232423469</v>
      </c>
      <c r="M288" s="40">
        <v>1492.1668449695596</v>
      </c>
      <c r="N288" s="52">
        <v>128.86682172721271</v>
      </c>
      <c r="O288" s="674">
        <v>0</v>
      </c>
      <c r="P288" s="40">
        <v>0</v>
      </c>
      <c r="Q288" s="52">
        <v>0</v>
      </c>
      <c r="R288" s="674">
        <v>0</v>
      </c>
      <c r="S288" s="40">
        <v>0</v>
      </c>
      <c r="T288" s="52">
        <v>0</v>
      </c>
      <c r="U288" s="674">
        <v>357.56258567742054</v>
      </c>
      <c r="V288" s="40">
        <v>1207.6831929102304</v>
      </c>
      <c r="W288" s="52">
        <v>850.1206072328099</v>
      </c>
      <c r="X288" s="674">
        <v>3085.6717790568764</v>
      </c>
      <c r="Y288" s="40">
        <v>2343.7900649775115</v>
      </c>
      <c r="Z288" s="52">
        <v>-741.88171407936488</v>
      </c>
      <c r="AA288" s="674">
        <v>338.85600000000005</v>
      </c>
      <c r="AB288" s="40">
        <v>0</v>
      </c>
      <c r="AC288" s="52">
        <v>-338.85600000000005</v>
      </c>
      <c r="AD288" s="674">
        <v>12107.07463567925</v>
      </c>
      <c r="AE288" s="40">
        <v>11997.540737748452</v>
      </c>
      <c r="AF288" s="35">
        <v>-109.53389793079805</v>
      </c>
      <c r="AG288" s="77">
        <v>25599.226976321595</v>
      </c>
      <c r="AH288" s="53">
        <v>26240.867225890292</v>
      </c>
      <c r="AI288" s="52">
        <v>641.64024956869616</v>
      </c>
      <c r="AJ288" s="674">
        <v>14224.755749873395</v>
      </c>
      <c r="AK288" s="40">
        <v>14131.349925444392</v>
      </c>
      <c r="AL288" s="52">
        <v>-93.405824429002678</v>
      </c>
      <c r="AM288" s="674">
        <v>0</v>
      </c>
      <c r="AN288" s="40">
        <v>0</v>
      </c>
      <c r="AO288" s="52">
        <v>0</v>
      </c>
      <c r="AP288" s="674">
        <v>1618.8605679064267</v>
      </c>
      <c r="AQ288" s="40">
        <v>1371.6676300578035</v>
      </c>
      <c r="AR288" s="52">
        <v>-247.19293784862316</v>
      </c>
      <c r="AS288" s="674">
        <v>31393.731762401683</v>
      </c>
      <c r="AT288" s="40">
        <v>12915</v>
      </c>
      <c r="AU288" s="54">
        <v>-18478.731762401683</v>
      </c>
      <c r="AV288" s="674">
        <v>1157.1854836845946</v>
      </c>
      <c r="AW288" s="40">
        <v>103</v>
      </c>
      <c r="AX288" s="55">
        <v>-1054.1854836845946</v>
      </c>
      <c r="AY288" s="674">
        <v>1315.8593497522199</v>
      </c>
      <c r="AZ288" s="40">
        <v>33</v>
      </c>
      <c r="BA288" s="35">
        <v>-1282.8593497522199</v>
      </c>
      <c r="BB288" s="674">
        <v>0</v>
      </c>
      <c r="BC288" s="40">
        <v>0</v>
      </c>
      <c r="BD288" s="55">
        <v>0</v>
      </c>
      <c r="BE288" s="674">
        <v>0</v>
      </c>
      <c r="BF288" s="40">
        <v>0</v>
      </c>
      <c r="BG288" s="38">
        <v>0</v>
      </c>
      <c r="BH288" s="674">
        <v>402.52349434445983</v>
      </c>
      <c r="BI288" s="40">
        <v>0</v>
      </c>
      <c r="BJ288" s="55">
        <v>-402.52349434445983</v>
      </c>
      <c r="BK288" s="674">
        <v>528.482515501168</v>
      </c>
      <c r="BL288" s="40">
        <v>0</v>
      </c>
      <c r="BM288" s="38">
        <v>-528.482515501168</v>
      </c>
      <c r="BN288" s="674">
        <v>84.714000000000013</v>
      </c>
      <c r="BO288" s="40">
        <v>0</v>
      </c>
      <c r="BP288" s="55">
        <v>-84.714000000000013</v>
      </c>
      <c r="BQ288" s="77">
        <v>3488.7648432824426</v>
      </c>
      <c r="BR288" s="40">
        <v>136</v>
      </c>
      <c r="BS288" s="55">
        <v>-3352.7648432824426</v>
      </c>
      <c r="BT288" s="674">
        <v>35689.821150895994</v>
      </c>
      <c r="BU288" s="40">
        <v>38262.236523873849</v>
      </c>
      <c r="BV288" s="52">
        <v>2572.4153729778554</v>
      </c>
      <c r="BW288" s="674">
        <v>20949.053871154021</v>
      </c>
      <c r="BX288" s="40">
        <v>19762.748269901993</v>
      </c>
      <c r="BY288" s="52">
        <v>-1186.3056012520283</v>
      </c>
      <c r="BZ288" s="674">
        <v>10261.479817399941</v>
      </c>
      <c r="CA288" s="40">
        <v>8525.0200164794824</v>
      </c>
      <c r="CB288" s="52">
        <v>-1736.4598009204583</v>
      </c>
      <c r="CC288" s="674">
        <v>991.36260102093615</v>
      </c>
      <c r="CD288" s="40">
        <v>1038.1858563243866</v>
      </c>
      <c r="CE288" s="52">
        <v>46.823255303450424</v>
      </c>
      <c r="CF288" s="674">
        <v>120.7280898332012</v>
      </c>
      <c r="CG288" s="40">
        <v>0</v>
      </c>
      <c r="CH288" s="52">
        <v>-120.7280898332012</v>
      </c>
      <c r="CI288" s="674">
        <v>3814.610676055197</v>
      </c>
      <c r="CJ288" s="40">
        <v>2428.6284518911111</v>
      </c>
      <c r="CK288" s="52">
        <v>-1385.9822241640859</v>
      </c>
      <c r="CL288" s="674">
        <v>4008.6818537051245</v>
      </c>
      <c r="CM288" s="40">
        <v>4049.3767147094741</v>
      </c>
      <c r="CN288" s="52">
        <v>40.694861004349605</v>
      </c>
      <c r="CO288" s="39">
        <v>7823.2925297603215</v>
      </c>
      <c r="CP288" s="40">
        <v>6478.0051666005857</v>
      </c>
      <c r="CQ288" s="52">
        <v>-1345.2873631597358</v>
      </c>
      <c r="CR288" s="72">
        <v>152161.07795984996</v>
      </c>
      <c r="CS288" s="5">
        <v>128861.08061457278</v>
      </c>
      <c r="CT288" s="52">
        <v>-23299.997345277181</v>
      </c>
      <c r="CU288" s="77">
        <v>182593.29355181995</v>
      </c>
      <c r="CV288" s="65">
        <v>154633.29673748734</v>
      </c>
      <c r="CW288" s="35">
        <v>-27959.996814332611</v>
      </c>
      <c r="CX288" s="73">
        <v>5525.2668001431539</v>
      </c>
      <c r="CY288" s="40">
        <v>33485.263614475734</v>
      </c>
      <c r="CZ288" s="52">
        <v>27959.996814332582</v>
      </c>
      <c r="DA288" s="150">
        <v>-36308.226946536939</v>
      </c>
      <c r="DB288" s="2">
        <v>2</v>
      </c>
      <c r="DC288" s="675">
        <v>24240.39</v>
      </c>
      <c r="DD288" s="675">
        <v>0</v>
      </c>
      <c r="DE288" s="675">
        <v>7749.1180256015286</v>
      </c>
      <c r="DF288" s="675">
        <v>0</v>
      </c>
      <c r="DG288" s="321">
        <v>-8348.2301322043641</v>
      </c>
      <c r="DH288" s="40">
        <v>188104.30867090996</v>
      </c>
      <c r="DI288" s="422">
        <v>16491.271974398471</v>
      </c>
      <c r="DJ288" s="306">
        <v>5.149648230635222</v>
      </c>
      <c r="DK288" s="306">
        <v>5.9258935229594369</v>
      </c>
      <c r="DL288" s="306">
        <v>4.3143303011559286</v>
      </c>
      <c r="DM288" s="28">
        <v>16491.271974398471</v>
      </c>
      <c r="DN288" s="28">
        <v>0</v>
      </c>
      <c r="DO288" s="423">
        <v>16491.271974398471</v>
      </c>
      <c r="DP288" s="94">
        <v>0</v>
      </c>
      <c r="DQ288" s="28">
        <v>16491.271974398471</v>
      </c>
      <c r="DR288" s="318"/>
      <c r="DT288" s="8"/>
      <c r="DU288" s="5"/>
      <c r="DX288" s="5">
        <v>41858.995926820942</v>
      </c>
      <c r="DY288" s="5">
        <v>15661.199999999999</v>
      </c>
      <c r="DZ288" s="159">
        <v>3777.9300798941508</v>
      </c>
      <c r="EB288" s="676">
        <v>-79.352388766947115</v>
      </c>
      <c r="EC288" s="676">
        <v>10720.527896760794</v>
      </c>
      <c r="ED288" s="676">
        <v>-1796.8509222327066</v>
      </c>
      <c r="EE288" s="676">
        <v>-4580.0202846423163</v>
      </c>
      <c r="EF288" s="676">
        <v>-7044.4608444940059</v>
      </c>
      <c r="EG288" s="676">
        <v>-4707.1092003493814</v>
      </c>
      <c r="EH288" s="676">
        <v>-3712.2186779801123</v>
      </c>
      <c r="EI288" s="676">
        <v>-2297.3830990593688</v>
      </c>
      <c r="EJ288" s="676">
        <v>-3520.4445145556965</v>
      </c>
      <c r="EK288" s="676">
        <v>-260.50324787134923</v>
      </c>
      <c r="EL288" s="676">
        <v>-3286.5047415104182</v>
      </c>
      <c r="EM288" s="676">
        <v>-7395.676789631063</v>
      </c>
      <c r="EN288" s="676">
        <v>-27959.996814332575</v>
      </c>
      <c r="EQ288" s="5">
        <v>41858.995926820942</v>
      </c>
      <c r="ER288" s="5">
        <v>15661.199999999999</v>
      </c>
      <c r="ET288" s="318">
        <v>-3960.295917546403</v>
      </c>
      <c r="EU288" s="5">
        <v>-30726.934214657958</v>
      </c>
    </row>
    <row r="289" spans="1:151" x14ac:dyDescent="0.3">
      <c r="A289" s="325">
        <v>150000638</v>
      </c>
      <c r="B289" s="41" t="s">
        <v>735</v>
      </c>
      <c r="C289" s="42" t="s">
        <v>132</v>
      </c>
      <c r="D289" s="27">
        <v>1</v>
      </c>
      <c r="E289" s="293">
        <v>90.7</v>
      </c>
      <c r="F289" s="305">
        <v>90.7</v>
      </c>
      <c r="G289" s="508">
        <v>0</v>
      </c>
      <c r="H289" s="677">
        <v>0</v>
      </c>
      <c r="I289" s="674">
        <v>0</v>
      </c>
      <c r="J289" s="40">
        <v>0</v>
      </c>
      <c r="K289" s="52">
        <v>0</v>
      </c>
      <c r="L289" s="674">
        <v>0</v>
      </c>
      <c r="M289" s="40">
        <v>0</v>
      </c>
      <c r="N289" s="52">
        <v>0</v>
      </c>
      <c r="O289" s="674">
        <v>0</v>
      </c>
      <c r="P289" s="40">
        <v>0</v>
      </c>
      <c r="Q289" s="52">
        <v>0</v>
      </c>
      <c r="R289" s="674">
        <v>0</v>
      </c>
      <c r="S289" s="40">
        <v>0</v>
      </c>
      <c r="T289" s="52">
        <v>0</v>
      </c>
      <c r="U289" s="674">
        <v>0</v>
      </c>
      <c r="V289" s="40">
        <v>0</v>
      </c>
      <c r="W289" s="52">
        <v>0</v>
      </c>
      <c r="X289" s="674">
        <v>0</v>
      </c>
      <c r="Y289" s="40">
        <v>0</v>
      </c>
      <c r="Z289" s="52">
        <v>0</v>
      </c>
      <c r="AA289" s="674">
        <v>10.884</v>
      </c>
      <c r="AB289" s="40">
        <v>0</v>
      </c>
      <c r="AC289" s="52">
        <v>-10.884</v>
      </c>
      <c r="AD289" s="674">
        <v>87.147754430396191</v>
      </c>
      <c r="AE289" s="40">
        <v>331.12167801149474</v>
      </c>
      <c r="AF289" s="35">
        <v>243.97392358109855</v>
      </c>
      <c r="AG289" s="77">
        <v>98.031754430396191</v>
      </c>
      <c r="AH289" s="53">
        <v>331.12167801149474</v>
      </c>
      <c r="AI289" s="52">
        <v>233.08992358109856</v>
      </c>
      <c r="AJ289" s="674">
        <v>0</v>
      </c>
      <c r="AK289" s="40">
        <v>0</v>
      </c>
      <c r="AL289" s="52">
        <v>0</v>
      </c>
      <c r="AM289" s="674">
        <v>0</v>
      </c>
      <c r="AN289" s="40">
        <v>0</v>
      </c>
      <c r="AO289" s="52">
        <v>0</v>
      </c>
      <c r="AP289" s="674">
        <v>296.61228334185159</v>
      </c>
      <c r="AQ289" s="40">
        <v>299.17633281993915</v>
      </c>
      <c r="AR289" s="52">
        <v>2.5640494780875542</v>
      </c>
      <c r="AS289" s="674">
        <v>1084.9779436846943</v>
      </c>
      <c r="AT289" s="40">
        <v>0</v>
      </c>
      <c r="AU289" s="54">
        <v>-1084.9779436846943</v>
      </c>
      <c r="AV289" s="674">
        <v>0</v>
      </c>
      <c r="AW289" s="40">
        <v>0</v>
      </c>
      <c r="AX289" s="55">
        <v>0</v>
      </c>
      <c r="AY289" s="674">
        <v>0</v>
      </c>
      <c r="AZ289" s="40">
        <v>0</v>
      </c>
      <c r="BA289" s="35">
        <v>0</v>
      </c>
      <c r="BB289" s="674">
        <v>0</v>
      </c>
      <c r="BC289" s="40">
        <v>0</v>
      </c>
      <c r="BD289" s="55">
        <v>0</v>
      </c>
      <c r="BE289" s="674">
        <v>0</v>
      </c>
      <c r="BF289" s="40">
        <v>0</v>
      </c>
      <c r="BG289" s="38">
        <v>0</v>
      </c>
      <c r="BH289" s="674">
        <v>0</v>
      </c>
      <c r="BI289" s="40">
        <v>0</v>
      </c>
      <c r="BJ289" s="55">
        <v>0</v>
      </c>
      <c r="BK289" s="674">
        <v>0</v>
      </c>
      <c r="BL289" s="40">
        <v>0</v>
      </c>
      <c r="BM289" s="38">
        <v>0</v>
      </c>
      <c r="BN289" s="674">
        <v>2.7210000000000001</v>
      </c>
      <c r="BO289" s="40">
        <v>0</v>
      </c>
      <c r="BP289" s="55">
        <v>-2.7210000000000001</v>
      </c>
      <c r="BQ289" s="77">
        <v>2.7210000000000001</v>
      </c>
      <c r="BR289" s="40">
        <v>0</v>
      </c>
      <c r="BS289" s="55">
        <v>-2.7210000000000001</v>
      </c>
      <c r="BT289" s="674">
        <v>41.872268819845637</v>
      </c>
      <c r="BU289" s="40">
        <v>64.987695865778861</v>
      </c>
      <c r="BV289" s="52">
        <v>23.115427045933224</v>
      </c>
      <c r="BW289" s="674">
        <v>0</v>
      </c>
      <c r="BX289" s="40">
        <v>1.6959783558057551</v>
      </c>
      <c r="BY289" s="52">
        <v>1.6959783558057551</v>
      </c>
      <c r="BZ289" s="674">
        <v>0</v>
      </c>
      <c r="CA289" s="40">
        <v>3.9605668974085746</v>
      </c>
      <c r="CB289" s="52">
        <v>3.9605668974085746</v>
      </c>
      <c r="CC289" s="674">
        <v>0</v>
      </c>
      <c r="CD289" s="40">
        <v>0</v>
      </c>
      <c r="CE289" s="52">
        <v>0</v>
      </c>
      <c r="CF289" s="674">
        <v>0</v>
      </c>
      <c r="CG289" s="40">
        <v>0</v>
      </c>
      <c r="CH289" s="52">
        <v>0</v>
      </c>
      <c r="CI289" s="674">
        <v>0</v>
      </c>
      <c r="CJ289" s="40">
        <v>0</v>
      </c>
      <c r="CK289" s="52">
        <v>0</v>
      </c>
      <c r="CL289" s="674">
        <v>0</v>
      </c>
      <c r="CM289" s="40">
        <v>0</v>
      </c>
      <c r="CN289" s="52">
        <v>0</v>
      </c>
      <c r="CO289" s="39">
        <v>0</v>
      </c>
      <c r="CP289" s="40">
        <v>0</v>
      </c>
      <c r="CQ289" s="52">
        <v>0</v>
      </c>
      <c r="CR289" s="72">
        <v>1524.2152502767879</v>
      </c>
      <c r="CS289" s="5">
        <v>700.94225195042713</v>
      </c>
      <c r="CT289" s="52">
        <v>-823.27299832636072</v>
      </c>
      <c r="CU289" s="77">
        <v>1829.0583003321453</v>
      </c>
      <c r="CV289" s="65">
        <v>841.13070234051258</v>
      </c>
      <c r="CW289" s="35">
        <v>-987.92759799163275</v>
      </c>
      <c r="CX289" s="73">
        <v>57.391219894557764</v>
      </c>
      <c r="CY289" s="40">
        <v>1045.3188178861903</v>
      </c>
      <c r="CZ289" s="52">
        <v>987.92759799163264</v>
      </c>
      <c r="DA289" s="150">
        <v>-4844.1352293024493</v>
      </c>
      <c r="DB289" s="2">
        <v>2</v>
      </c>
      <c r="DC289" s="675">
        <v>1133.24</v>
      </c>
      <c r="DD289" s="675">
        <v>0</v>
      </c>
      <c r="DE289" s="675">
        <v>1133.24</v>
      </c>
      <c r="DF289" s="675">
        <v>0</v>
      </c>
      <c r="DG289" s="321">
        <v>-3856.2076313108164</v>
      </c>
      <c r="DH289" s="40">
        <v>2287.5096501472335</v>
      </c>
      <c r="DI289" s="422">
        <v>200.61661041431742</v>
      </c>
      <c r="DJ289" s="306">
        <v>2.2118700155933562</v>
      </c>
      <c r="DK289" s="306">
        <v>2.2118700155933562</v>
      </c>
      <c r="DL289" s="306">
        <v>2.2118700155933562</v>
      </c>
      <c r="DM289" s="28">
        <v>200.61661041431742</v>
      </c>
      <c r="DN289" s="28">
        <v>0</v>
      </c>
      <c r="DO289" s="423">
        <v>200.61661041431742</v>
      </c>
      <c r="DP289" s="94">
        <v>0</v>
      </c>
      <c r="DQ289" s="28">
        <v>200.61661041431742</v>
      </c>
      <c r="DR289" s="318"/>
      <c r="DT289" s="8"/>
      <c r="DU289" s="5"/>
      <c r="DX289" s="5">
        <v>1305.2387324216331</v>
      </c>
      <c r="DY289" s="5">
        <v>0</v>
      </c>
      <c r="DZ289" s="159">
        <v>150.66471341342643</v>
      </c>
      <c r="EB289" s="676">
        <v>84.500288455430592</v>
      </c>
      <c r="EC289" s="676">
        <v>-104.22376874356635</v>
      </c>
      <c r="ED289" s="676">
        <v>-102.58150342028165</v>
      </c>
      <c r="EE289" s="676">
        <v>-168.44507035507337</v>
      </c>
      <c r="EF289" s="676">
        <v>-150.20199639785295</v>
      </c>
      <c r="EG289" s="676">
        <v>-152.24892123319285</v>
      </c>
      <c r="EH289" s="676">
        <v>26.107887082805888</v>
      </c>
      <c r="EI289" s="676">
        <v>-136.77792282586498</v>
      </c>
      <c r="EJ289" s="676">
        <v>-151.35472047424992</v>
      </c>
      <c r="EK289" s="676">
        <v>-132.70187007978706</v>
      </c>
      <c r="EL289" s="676">
        <v>0</v>
      </c>
      <c r="EM289" s="676">
        <v>0</v>
      </c>
      <c r="EN289" s="676">
        <v>-987.92759799163264</v>
      </c>
      <c r="EQ289" s="5">
        <v>1305.2387324216331</v>
      </c>
      <c r="ER289" s="5">
        <v>0</v>
      </c>
      <c r="ET289" s="318">
        <v>-990.99443246947715</v>
      </c>
      <c r="EU289" s="5">
        <v>-895.21319884133914</v>
      </c>
    </row>
    <row r="290" spans="1:151" x14ac:dyDescent="0.3">
      <c r="A290" s="325">
        <v>150000639</v>
      </c>
      <c r="B290" s="41" t="s">
        <v>736</v>
      </c>
      <c r="C290" s="42" t="s">
        <v>133</v>
      </c>
      <c r="D290" s="27">
        <v>1</v>
      </c>
      <c r="E290" s="293">
        <v>171</v>
      </c>
      <c r="F290" s="305">
        <v>171</v>
      </c>
      <c r="G290" s="508">
        <v>0</v>
      </c>
      <c r="H290" s="677">
        <v>0</v>
      </c>
      <c r="I290" s="674">
        <v>0</v>
      </c>
      <c r="J290" s="40">
        <v>0</v>
      </c>
      <c r="K290" s="52">
        <v>0</v>
      </c>
      <c r="L290" s="674">
        <v>0</v>
      </c>
      <c r="M290" s="40">
        <v>0</v>
      </c>
      <c r="N290" s="52">
        <v>0</v>
      </c>
      <c r="O290" s="674">
        <v>0</v>
      </c>
      <c r="P290" s="40">
        <v>0</v>
      </c>
      <c r="Q290" s="52">
        <v>0</v>
      </c>
      <c r="R290" s="674">
        <v>0</v>
      </c>
      <c r="S290" s="40">
        <v>0</v>
      </c>
      <c r="T290" s="52">
        <v>0</v>
      </c>
      <c r="U290" s="674">
        <v>0</v>
      </c>
      <c r="V290" s="40">
        <v>0</v>
      </c>
      <c r="W290" s="52">
        <v>0</v>
      </c>
      <c r="X290" s="674">
        <v>0</v>
      </c>
      <c r="Y290" s="40">
        <v>0</v>
      </c>
      <c r="Z290" s="52">
        <v>0</v>
      </c>
      <c r="AA290" s="674">
        <v>20.52</v>
      </c>
      <c r="AB290" s="40">
        <v>0</v>
      </c>
      <c r="AC290" s="52">
        <v>-20.52</v>
      </c>
      <c r="AD290" s="674">
        <v>164.2830584611487</v>
      </c>
      <c r="AE290" s="40">
        <v>624.27571047371111</v>
      </c>
      <c r="AF290" s="35">
        <v>459.99265201256242</v>
      </c>
      <c r="AG290" s="77">
        <v>184.80305846114871</v>
      </c>
      <c r="AH290" s="53">
        <v>624.27571047371111</v>
      </c>
      <c r="AI290" s="52">
        <v>439.47265201256243</v>
      </c>
      <c r="AJ290" s="674">
        <v>0</v>
      </c>
      <c r="AK290" s="40">
        <v>0</v>
      </c>
      <c r="AL290" s="52">
        <v>0</v>
      </c>
      <c r="AM290" s="674">
        <v>0</v>
      </c>
      <c r="AN290" s="40">
        <v>0</v>
      </c>
      <c r="AO290" s="52">
        <v>0</v>
      </c>
      <c r="AP290" s="674">
        <v>296.61228334185159</v>
      </c>
      <c r="AQ290" s="40">
        <v>299.17633281993915</v>
      </c>
      <c r="AR290" s="52">
        <v>2.5640494780875542</v>
      </c>
      <c r="AS290" s="674">
        <v>1538.7956415647079</v>
      </c>
      <c r="AT290" s="40">
        <v>0</v>
      </c>
      <c r="AU290" s="54">
        <v>-1538.7956415647079</v>
      </c>
      <c r="AV290" s="674">
        <v>0</v>
      </c>
      <c r="AW290" s="40">
        <v>0</v>
      </c>
      <c r="AX290" s="55">
        <v>0</v>
      </c>
      <c r="AY290" s="674">
        <v>0</v>
      </c>
      <c r="AZ290" s="40">
        <v>0</v>
      </c>
      <c r="BA290" s="35">
        <v>0</v>
      </c>
      <c r="BB290" s="674">
        <v>0</v>
      </c>
      <c r="BC290" s="40">
        <v>0</v>
      </c>
      <c r="BD290" s="55">
        <v>0</v>
      </c>
      <c r="BE290" s="674">
        <v>0</v>
      </c>
      <c r="BF290" s="40">
        <v>0</v>
      </c>
      <c r="BG290" s="38">
        <v>0</v>
      </c>
      <c r="BH290" s="674">
        <v>0</v>
      </c>
      <c r="BI290" s="40">
        <v>0</v>
      </c>
      <c r="BJ290" s="55">
        <v>0</v>
      </c>
      <c r="BK290" s="674">
        <v>0</v>
      </c>
      <c r="BL290" s="40">
        <v>0</v>
      </c>
      <c r="BM290" s="38">
        <v>0</v>
      </c>
      <c r="BN290" s="674">
        <v>5.13</v>
      </c>
      <c r="BO290" s="40">
        <v>0</v>
      </c>
      <c r="BP290" s="55">
        <v>-5.13</v>
      </c>
      <c r="BQ290" s="77">
        <v>5.13</v>
      </c>
      <c r="BR290" s="40">
        <v>0</v>
      </c>
      <c r="BS290" s="55">
        <v>-5.13</v>
      </c>
      <c r="BT290" s="674">
        <v>83.744537639691274</v>
      </c>
      <c r="BU290" s="40">
        <v>129.88203058122053</v>
      </c>
      <c r="BV290" s="52">
        <v>46.13749294152926</v>
      </c>
      <c r="BW290" s="674">
        <v>0</v>
      </c>
      <c r="BX290" s="40">
        <v>3.197489513150872</v>
      </c>
      <c r="BY290" s="52">
        <v>3.197489513150872</v>
      </c>
      <c r="BZ290" s="674">
        <v>0</v>
      </c>
      <c r="CA290" s="40">
        <v>7.9219753390014898</v>
      </c>
      <c r="CB290" s="52">
        <v>7.9219753390014898</v>
      </c>
      <c r="CC290" s="674">
        <v>0</v>
      </c>
      <c r="CD290" s="40">
        <v>0</v>
      </c>
      <c r="CE290" s="52">
        <v>0</v>
      </c>
      <c r="CF290" s="674">
        <v>0</v>
      </c>
      <c r="CG290" s="40">
        <v>0</v>
      </c>
      <c r="CH290" s="52">
        <v>0</v>
      </c>
      <c r="CI290" s="674">
        <v>0</v>
      </c>
      <c r="CJ290" s="40">
        <v>0</v>
      </c>
      <c r="CK290" s="52">
        <v>0</v>
      </c>
      <c r="CL290" s="674">
        <v>0</v>
      </c>
      <c r="CM290" s="40">
        <v>0</v>
      </c>
      <c r="CN290" s="52">
        <v>0</v>
      </c>
      <c r="CO290" s="39">
        <v>0</v>
      </c>
      <c r="CP290" s="40">
        <v>0</v>
      </c>
      <c r="CQ290" s="52">
        <v>0</v>
      </c>
      <c r="CR290" s="72">
        <v>2109.0855210073996</v>
      </c>
      <c r="CS290" s="5">
        <v>1064.453538727023</v>
      </c>
      <c r="CT290" s="52">
        <v>-1044.6319822803766</v>
      </c>
      <c r="CU290" s="77">
        <v>2530.9026252088793</v>
      </c>
      <c r="CV290" s="65">
        <v>1277.3442464724276</v>
      </c>
      <c r="CW290" s="35">
        <v>-1253.5583787364517</v>
      </c>
      <c r="CX290" s="73">
        <v>79.346198902292684</v>
      </c>
      <c r="CY290" s="40">
        <v>1332.9045776387443</v>
      </c>
      <c r="CZ290" s="52">
        <v>1253.5583787364517</v>
      </c>
      <c r="DA290" s="150">
        <v>-5895.3283411370758</v>
      </c>
      <c r="DB290" s="2">
        <v>2</v>
      </c>
      <c r="DC290" s="675">
        <v>2225.8000000000002</v>
      </c>
      <c r="DD290" s="675">
        <v>0</v>
      </c>
      <c r="DE290" s="675">
        <v>2225.8000000000002</v>
      </c>
      <c r="DF290" s="675">
        <v>0</v>
      </c>
      <c r="DG290" s="321">
        <v>-4641.7699624006236</v>
      </c>
      <c r="DH290" s="40">
        <v>3165.9777756306516</v>
      </c>
      <c r="DI290" s="422">
        <v>277.98373235869451</v>
      </c>
      <c r="DJ290" s="306">
        <v>1.6256358617467512</v>
      </c>
      <c r="DK290" s="306">
        <v>1.6256358617467512</v>
      </c>
      <c r="DL290" s="306">
        <v>1.6256358617467512</v>
      </c>
      <c r="DM290" s="28">
        <v>277.98373235869445</v>
      </c>
      <c r="DN290" s="28">
        <v>0</v>
      </c>
      <c r="DO290" s="423">
        <v>277.98373235869445</v>
      </c>
      <c r="DP290" s="94">
        <v>0</v>
      </c>
      <c r="DQ290" s="28">
        <v>277.98373235869445</v>
      </c>
      <c r="DR290" s="318"/>
      <c r="DT290" s="8"/>
      <c r="DU290" s="5"/>
      <c r="DX290" s="5">
        <v>1852.7107698776495</v>
      </c>
      <c r="DY290" s="5">
        <v>0</v>
      </c>
      <c r="DZ290" s="159">
        <v>218.9667291572911</v>
      </c>
      <c r="EB290" s="676">
        <v>78.120018940916054</v>
      </c>
      <c r="EC290" s="676">
        <v>-118.87010840483094</v>
      </c>
      <c r="ED290" s="676">
        <v>-115.77388602024789</v>
      </c>
      <c r="EE290" s="676">
        <v>-219.77458628629142</v>
      </c>
      <c r="EF290" s="676">
        <v>-183.85602956690184</v>
      </c>
      <c r="EG290" s="676">
        <v>-187.74019333488673</v>
      </c>
      <c r="EH290" s="676">
        <v>-10.504223408921973</v>
      </c>
      <c r="EI290" s="676">
        <v>-158.51250232489599</v>
      </c>
      <c r="EJ290" s="676">
        <v>-185.9927518162774</v>
      </c>
      <c r="EK290" s="676">
        <v>-150.6541165141135</v>
      </c>
      <c r="EL290" s="676">
        <v>0</v>
      </c>
      <c r="EM290" s="676">
        <v>0</v>
      </c>
      <c r="EN290" s="676">
        <v>-1253.5583787364517</v>
      </c>
      <c r="EQ290" s="5">
        <v>1852.7107698776495</v>
      </c>
      <c r="ER290" s="5">
        <v>0</v>
      </c>
      <c r="ET290" s="318">
        <v>-1195.2045114305602</v>
      </c>
      <c r="EU290" s="5">
        <v>-1055.565450970063</v>
      </c>
    </row>
    <row r="291" spans="1:151" x14ac:dyDescent="0.3">
      <c r="A291" s="325">
        <v>150000736</v>
      </c>
      <c r="B291" s="41" t="s">
        <v>737</v>
      </c>
      <c r="C291" s="42" t="s">
        <v>220</v>
      </c>
      <c r="D291" s="27">
        <v>4</v>
      </c>
      <c r="E291" s="293">
        <v>2846.8999999999996</v>
      </c>
      <c r="F291" s="305">
        <v>2653.7</v>
      </c>
      <c r="G291" s="508">
        <v>0</v>
      </c>
      <c r="H291" s="677">
        <v>193.2</v>
      </c>
      <c r="I291" s="674">
        <v>8761.1976435284214</v>
      </c>
      <c r="J291" s="40">
        <v>9655.2074940467901</v>
      </c>
      <c r="K291" s="52">
        <v>894.00985051836869</v>
      </c>
      <c r="L291" s="674">
        <v>1798.5305279401164</v>
      </c>
      <c r="M291" s="40">
        <v>1968.5596000902387</v>
      </c>
      <c r="N291" s="52">
        <v>170.02907215012237</v>
      </c>
      <c r="O291" s="674">
        <v>3720.8434498809488</v>
      </c>
      <c r="P291" s="40">
        <v>3720.8399999999992</v>
      </c>
      <c r="Q291" s="52">
        <v>-3.4498809495744354E-3</v>
      </c>
      <c r="R291" s="674">
        <v>0</v>
      </c>
      <c r="S291" s="40">
        <v>0</v>
      </c>
      <c r="T291" s="52">
        <v>0</v>
      </c>
      <c r="U291" s="674">
        <v>0</v>
      </c>
      <c r="V291" s="40">
        <v>0</v>
      </c>
      <c r="W291" s="52">
        <v>0</v>
      </c>
      <c r="X291" s="674">
        <v>6337.0958951223874</v>
      </c>
      <c r="Y291" s="40">
        <v>4971.1914227455891</v>
      </c>
      <c r="Z291" s="52">
        <v>-1365.9044723767984</v>
      </c>
      <c r="AA291" s="674">
        <v>341.62799999999999</v>
      </c>
      <c r="AB291" s="40">
        <v>0</v>
      </c>
      <c r="AC291" s="52">
        <v>-341.62799999999999</v>
      </c>
      <c r="AD291" s="674">
        <v>12197.89603465447</v>
      </c>
      <c r="AE291" s="40">
        <v>12095.686212301178</v>
      </c>
      <c r="AF291" s="35">
        <v>-102.20982235329211</v>
      </c>
      <c r="AG291" s="77">
        <v>33157.191551126351</v>
      </c>
      <c r="AH291" s="53">
        <v>32411.484729183794</v>
      </c>
      <c r="AI291" s="52">
        <v>-745.70682194255642</v>
      </c>
      <c r="AJ291" s="674">
        <v>0</v>
      </c>
      <c r="AK291" s="40">
        <v>0</v>
      </c>
      <c r="AL291" s="52">
        <v>0</v>
      </c>
      <c r="AM291" s="674">
        <v>0</v>
      </c>
      <c r="AN291" s="40">
        <v>0</v>
      </c>
      <c r="AO291" s="52">
        <v>0</v>
      </c>
      <c r="AP291" s="674">
        <v>8499.0179815087449</v>
      </c>
      <c r="AQ291" s="40">
        <v>7223.6892958403241</v>
      </c>
      <c r="AR291" s="52">
        <v>-1275.3286856684208</v>
      </c>
      <c r="AS291" s="674">
        <v>30189.621018215526</v>
      </c>
      <c r="AT291" s="40">
        <v>100380.39</v>
      </c>
      <c r="AU291" s="54">
        <v>70190.768981784466</v>
      </c>
      <c r="AV291" s="674">
        <v>1824.4066285802191</v>
      </c>
      <c r="AW291" s="40">
        <v>3363</v>
      </c>
      <c r="AX291" s="55">
        <v>1538.5933714197809</v>
      </c>
      <c r="AY291" s="674">
        <v>2948.1841098513069</v>
      </c>
      <c r="AZ291" s="40">
        <v>4003</v>
      </c>
      <c r="BA291" s="35">
        <v>1054.8158901486931</v>
      </c>
      <c r="BB291" s="674">
        <v>1953.3344161797252</v>
      </c>
      <c r="BC291" s="40">
        <v>0</v>
      </c>
      <c r="BD291" s="55">
        <v>-1953.3344161797252</v>
      </c>
      <c r="BE291" s="674">
        <v>0</v>
      </c>
      <c r="BF291" s="40">
        <v>0</v>
      </c>
      <c r="BG291" s="38">
        <v>0</v>
      </c>
      <c r="BH291" s="674">
        <v>0</v>
      </c>
      <c r="BI291" s="40">
        <v>0</v>
      </c>
      <c r="BJ291" s="55">
        <v>0</v>
      </c>
      <c r="BK291" s="674">
        <v>1531.0240447027545</v>
      </c>
      <c r="BL291" s="40">
        <v>2301</v>
      </c>
      <c r="BM291" s="38">
        <v>769.97595529724549</v>
      </c>
      <c r="BN291" s="674">
        <v>85.406999999999996</v>
      </c>
      <c r="BO291" s="40">
        <v>0</v>
      </c>
      <c r="BP291" s="55">
        <v>-85.406999999999996</v>
      </c>
      <c r="BQ291" s="77">
        <v>8342.3561993140047</v>
      </c>
      <c r="BR291" s="40">
        <v>9667</v>
      </c>
      <c r="BS291" s="55">
        <v>1324.6438006859953</v>
      </c>
      <c r="BT291" s="674">
        <v>15159.348797415265</v>
      </c>
      <c r="BU291" s="40">
        <v>22695.163708346747</v>
      </c>
      <c r="BV291" s="52">
        <v>7535.8149109314818</v>
      </c>
      <c r="BW291" s="674">
        <v>17367.355427219038</v>
      </c>
      <c r="BX291" s="40">
        <v>15915.863716062733</v>
      </c>
      <c r="BY291" s="52">
        <v>-1451.4917111563045</v>
      </c>
      <c r="BZ291" s="674">
        <v>8495.5202565227537</v>
      </c>
      <c r="CA291" s="40">
        <v>4778.2863072977652</v>
      </c>
      <c r="CB291" s="52">
        <v>-3717.2339492249885</v>
      </c>
      <c r="CC291" s="674">
        <v>565.52210465244229</v>
      </c>
      <c r="CD291" s="40">
        <v>594.37564147422358</v>
      </c>
      <c r="CE291" s="52">
        <v>28.85353682178129</v>
      </c>
      <c r="CF291" s="674">
        <v>69.118487216363604</v>
      </c>
      <c r="CG291" s="40">
        <v>0</v>
      </c>
      <c r="CH291" s="52">
        <v>-69.118487216363604</v>
      </c>
      <c r="CI291" s="674">
        <v>3222.4885896143742</v>
      </c>
      <c r="CJ291" s="40">
        <v>3135.9979818040074</v>
      </c>
      <c r="CK291" s="52">
        <v>-86.490607810366782</v>
      </c>
      <c r="CL291" s="674">
        <v>0</v>
      </c>
      <c r="CM291" s="40">
        <v>0</v>
      </c>
      <c r="CN291" s="52">
        <v>0</v>
      </c>
      <c r="CO291" s="39">
        <v>3222.4885896143742</v>
      </c>
      <c r="CP291" s="40">
        <v>3135.9979818040074</v>
      </c>
      <c r="CQ291" s="52">
        <v>-86.490607810366782</v>
      </c>
      <c r="CR291" s="72">
        <v>125067.54041280485</v>
      </c>
      <c r="CS291" s="5">
        <v>196802.25138000961</v>
      </c>
      <c r="CT291" s="52">
        <v>71734.710967204752</v>
      </c>
      <c r="CU291" s="77">
        <v>150081.04849536583</v>
      </c>
      <c r="CV291" s="65">
        <v>236162.70165601152</v>
      </c>
      <c r="CW291" s="35">
        <v>86081.653160645685</v>
      </c>
      <c r="CX291" s="73">
        <v>4545.900467714805</v>
      </c>
      <c r="CY291" s="40">
        <v>-81535.752692930866</v>
      </c>
      <c r="CZ291" s="52">
        <v>-86081.65316064567</v>
      </c>
      <c r="DA291" s="150">
        <v>72653.850613079965</v>
      </c>
      <c r="DB291" s="2">
        <v>2</v>
      </c>
      <c r="DC291" s="675">
        <v>19217.46</v>
      </c>
      <c r="DD291" s="675">
        <v>2407.8000000000002</v>
      </c>
      <c r="DE291" s="675">
        <v>6467.7858119375869</v>
      </c>
      <c r="DF291" s="675">
        <v>1622.5654849378807</v>
      </c>
      <c r="DG291" s="321">
        <v>-13427.802547565727</v>
      </c>
      <c r="DH291" s="40">
        <v>154615.1688332138</v>
      </c>
      <c r="DI291" s="422">
        <v>13534.908703124531</v>
      </c>
      <c r="DJ291" s="306">
        <v>4.804489651453598</v>
      </c>
      <c r="DK291" s="306">
        <v>4.804489651453598</v>
      </c>
      <c r="DL291" s="306">
        <v>4.0643608440068304</v>
      </c>
      <c r="DM291" s="28">
        <v>12749.674188062412</v>
      </c>
      <c r="DN291" s="28">
        <v>785.23451506211961</v>
      </c>
      <c r="DO291" s="423">
        <v>13534.908703124533</v>
      </c>
      <c r="DP291" s="94">
        <v>0</v>
      </c>
      <c r="DQ291" s="28">
        <v>13534.908703124533</v>
      </c>
      <c r="DR291" s="318"/>
      <c r="DT291" s="8"/>
      <c r="DU291" s="5"/>
      <c r="DX291" s="5">
        <v>46238.372661035435</v>
      </c>
      <c r="DY291" s="5">
        <v>132056.86799999999</v>
      </c>
      <c r="DZ291" s="159">
        <v>4150.4655203115344</v>
      </c>
      <c r="EB291" s="676">
        <v>4518.5871798356693</v>
      </c>
      <c r="EC291" s="676">
        <v>-1025.7077763043799</v>
      </c>
      <c r="ED291" s="676">
        <v>-2741.0567529923446</v>
      </c>
      <c r="EE291" s="676">
        <v>-3598.8378726685369</v>
      </c>
      <c r="EF291" s="676">
        <v>-5644.0065874373604</v>
      </c>
      <c r="EG291" s="676">
        <v>25879.326321331573</v>
      </c>
      <c r="EH291" s="676">
        <v>19259.923916652217</v>
      </c>
      <c r="EI291" s="676">
        <v>63573.20549784349</v>
      </c>
      <c r="EJ291" s="676">
        <v>-8313.6789164403126</v>
      </c>
      <c r="EK291" s="676">
        <v>-3825.327618514224</v>
      </c>
      <c r="EL291" s="676">
        <v>-1852.8156708505085</v>
      </c>
      <c r="EM291" s="676">
        <v>-147.95855980959277</v>
      </c>
      <c r="EN291" s="676">
        <v>86081.653160645699</v>
      </c>
      <c r="EQ291" s="5">
        <v>46238.372661035435</v>
      </c>
      <c r="ER291" s="5">
        <v>132056.86799999999</v>
      </c>
      <c r="ET291" s="318">
        <v>16501.499263817179</v>
      </c>
      <c r="EU291" s="5">
        <v>9453.6981886170943</v>
      </c>
    </row>
    <row r="292" spans="1:151" x14ac:dyDescent="0.3">
      <c r="A292" s="325">
        <v>150000743</v>
      </c>
      <c r="B292" s="41" t="s">
        <v>738</v>
      </c>
      <c r="C292" s="42" t="s">
        <v>221</v>
      </c>
      <c r="D292" s="27">
        <v>4</v>
      </c>
      <c r="E292" s="293">
        <v>2296.6999999999998</v>
      </c>
      <c r="F292" s="305">
        <v>1773.9</v>
      </c>
      <c r="G292" s="508">
        <v>0</v>
      </c>
      <c r="H292" s="677">
        <v>522.79999999999995</v>
      </c>
      <c r="I292" s="674">
        <v>7509.6242083485322</v>
      </c>
      <c r="J292" s="40">
        <v>8222.4683615553986</v>
      </c>
      <c r="K292" s="52">
        <v>712.84415320686639</v>
      </c>
      <c r="L292" s="674">
        <v>1345.7455290051264</v>
      </c>
      <c r="M292" s="40">
        <v>1472.9725076693546</v>
      </c>
      <c r="N292" s="52">
        <v>127.22697866422823</v>
      </c>
      <c r="O292" s="674">
        <v>2703.6280295235051</v>
      </c>
      <c r="P292" s="40">
        <v>2703.63</v>
      </c>
      <c r="Q292" s="52">
        <v>1.9704764949892706E-3</v>
      </c>
      <c r="R292" s="674">
        <v>0</v>
      </c>
      <c r="S292" s="40">
        <v>0</v>
      </c>
      <c r="T292" s="52">
        <v>0</v>
      </c>
      <c r="U292" s="674">
        <v>0</v>
      </c>
      <c r="V292" s="40">
        <v>0</v>
      </c>
      <c r="W292" s="52">
        <v>0</v>
      </c>
      <c r="X292" s="674">
        <v>4255.1942039034275</v>
      </c>
      <c r="Y292" s="40">
        <v>3074.2414714675069</v>
      </c>
      <c r="Z292" s="52">
        <v>-1180.9527324359206</v>
      </c>
      <c r="AA292" s="674">
        <v>275.60400000000004</v>
      </c>
      <c r="AB292" s="40">
        <v>3884.5580641792517</v>
      </c>
      <c r="AC292" s="52">
        <v>3608.9540641792519</v>
      </c>
      <c r="AD292" s="674">
        <v>9817.829589515648</v>
      </c>
      <c r="AE292" s="40">
        <v>9758.0394547725991</v>
      </c>
      <c r="AF292" s="35">
        <v>-59.790134743048839</v>
      </c>
      <c r="AG292" s="77">
        <v>25907.625560296237</v>
      </c>
      <c r="AH292" s="53">
        <v>29115.909859644111</v>
      </c>
      <c r="AI292" s="52">
        <v>3208.2842993478735</v>
      </c>
      <c r="AJ292" s="674">
        <v>0</v>
      </c>
      <c r="AK292" s="40">
        <v>0</v>
      </c>
      <c r="AL292" s="52">
        <v>0</v>
      </c>
      <c r="AM292" s="674">
        <v>0</v>
      </c>
      <c r="AN292" s="40">
        <v>0</v>
      </c>
      <c r="AO292" s="52">
        <v>0</v>
      </c>
      <c r="AP292" s="674">
        <v>5800.9170349980313</v>
      </c>
      <c r="AQ292" s="40">
        <v>5167.2254865463683</v>
      </c>
      <c r="AR292" s="52">
        <v>-633.69154845166304</v>
      </c>
      <c r="AS292" s="674">
        <v>21255.166790812022</v>
      </c>
      <c r="AT292" s="40">
        <v>7987.8346954940744</v>
      </c>
      <c r="AU292" s="54">
        <v>-13267.332095317946</v>
      </c>
      <c r="AV292" s="674">
        <v>1679.0279389231105</v>
      </c>
      <c r="AW292" s="40">
        <v>733</v>
      </c>
      <c r="AX292" s="55">
        <v>-946.02793892311047</v>
      </c>
      <c r="AY292" s="674">
        <v>2206.2363445777514</v>
      </c>
      <c r="AZ292" s="40">
        <v>0</v>
      </c>
      <c r="BA292" s="35">
        <v>-2206.2363445777514</v>
      </c>
      <c r="BB292" s="674">
        <v>1139.437172474275</v>
      </c>
      <c r="BC292" s="40">
        <v>0</v>
      </c>
      <c r="BD292" s="55">
        <v>-1139.437172474275</v>
      </c>
      <c r="BE292" s="674">
        <v>0</v>
      </c>
      <c r="BF292" s="40">
        <v>0</v>
      </c>
      <c r="BG292" s="38">
        <v>0</v>
      </c>
      <c r="BH292" s="674">
        <v>0</v>
      </c>
      <c r="BI292" s="40">
        <v>0</v>
      </c>
      <c r="BJ292" s="55">
        <v>0</v>
      </c>
      <c r="BK292" s="674">
        <v>946.53662132468855</v>
      </c>
      <c r="BL292" s="40">
        <v>0</v>
      </c>
      <c r="BM292" s="38">
        <v>-946.53662132468855</v>
      </c>
      <c r="BN292" s="674">
        <v>68.90100000000001</v>
      </c>
      <c r="BO292" s="40">
        <v>0</v>
      </c>
      <c r="BP292" s="55">
        <v>-68.90100000000001</v>
      </c>
      <c r="BQ292" s="77">
        <v>6040.1390772998257</v>
      </c>
      <c r="BR292" s="40">
        <v>733</v>
      </c>
      <c r="BS292" s="55">
        <v>-5307.1390772998257</v>
      </c>
      <c r="BT292" s="674">
        <v>11070.232816378282</v>
      </c>
      <c r="BU292" s="40">
        <v>16801.813133148422</v>
      </c>
      <c r="BV292" s="52">
        <v>5731.5803167701397</v>
      </c>
      <c r="BW292" s="674">
        <v>10537.644001984003</v>
      </c>
      <c r="BX292" s="40">
        <v>10403.513128262835</v>
      </c>
      <c r="BY292" s="52">
        <v>-134.13087372116752</v>
      </c>
      <c r="BZ292" s="674">
        <v>7297.5100315511863</v>
      </c>
      <c r="CA292" s="40">
        <v>4057.8196790501634</v>
      </c>
      <c r="CB292" s="52">
        <v>-3239.690352501023</v>
      </c>
      <c r="CC292" s="674">
        <v>1557.8952917354252</v>
      </c>
      <c r="CD292" s="40">
        <v>1637.3807597565096</v>
      </c>
      <c r="CE292" s="52">
        <v>79.485468021084444</v>
      </c>
      <c r="CF292" s="674">
        <v>190.40699721618392</v>
      </c>
      <c r="CG292" s="40">
        <v>0</v>
      </c>
      <c r="CH292" s="52">
        <v>-190.40699721618392</v>
      </c>
      <c r="CI292" s="674">
        <v>799.45545318945881</v>
      </c>
      <c r="CJ292" s="40">
        <v>635.18995540354092</v>
      </c>
      <c r="CK292" s="52">
        <v>-164.26549778591789</v>
      </c>
      <c r="CL292" s="674">
        <v>0</v>
      </c>
      <c r="CM292" s="40">
        <v>0</v>
      </c>
      <c r="CN292" s="52">
        <v>0</v>
      </c>
      <c r="CO292" s="39">
        <v>799.45545318945881</v>
      </c>
      <c r="CP292" s="40">
        <v>635.18995540354092</v>
      </c>
      <c r="CQ292" s="52">
        <v>-164.26549778591789</v>
      </c>
      <c r="CR292" s="72">
        <v>90456.99305546064</v>
      </c>
      <c r="CS292" s="5">
        <v>76539.686697306039</v>
      </c>
      <c r="CT292" s="52">
        <v>-13917.306358154601</v>
      </c>
      <c r="CU292" s="77">
        <v>108548.39166655276</v>
      </c>
      <c r="CV292" s="65">
        <v>91847.624036767244</v>
      </c>
      <c r="CW292" s="35">
        <v>-16700.767629785521</v>
      </c>
      <c r="CX292" s="73">
        <v>3286.6362814221702</v>
      </c>
      <c r="CY292" s="40">
        <v>19987.403911207733</v>
      </c>
      <c r="CZ292" s="52">
        <v>16700.767629785565</v>
      </c>
      <c r="DA292" s="150">
        <v>21535.23267843762</v>
      </c>
      <c r="DB292" s="2">
        <v>2</v>
      </c>
      <c r="DC292" s="675">
        <v>35339.39</v>
      </c>
      <c r="DD292" s="675">
        <v>3661.91</v>
      </c>
      <c r="DE292" s="675">
        <v>27502.354446705795</v>
      </c>
      <c r="DF292" s="675">
        <v>1703.9932722599451</v>
      </c>
      <c r="DG292" s="321">
        <v>38236.000308223185</v>
      </c>
      <c r="DH292" s="40">
        <v>111826.52641462987</v>
      </c>
      <c r="DI292" s="422">
        <v>9794.9522810342605</v>
      </c>
      <c r="DJ292" s="306">
        <v>4.4179691940324739</v>
      </c>
      <c r="DK292" s="306">
        <v>4.4179691940324739</v>
      </c>
      <c r="DL292" s="306">
        <v>3.7450587753252771</v>
      </c>
      <c r="DM292" s="28">
        <v>7837.0355532942058</v>
      </c>
      <c r="DN292" s="28">
        <v>1957.9167277400547</v>
      </c>
      <c r="DO292" s="423">
        <v>9794.9522810342605</v>
      </c>
      <c r="DP292" s="94">
        <v>0</v>
      </c>
      <c r="DQ292" s="28">
        <v>9794.9522810342605</v>
      </c>
      <c r="DR292" s="318"/>
      <c r="DT292" s="8"/>
      <c r="DU292" s="5"/>
      <c r="DX292" s="5">
        <v>32754.367041734218</v>
      </c>
      <c r="DY292" s="5">
        <v>10465.001634592891</v>
      </c>
      <c r="DZ292" s="159">
        <v>2949.5189330261414</v>
      </c>
      <c r="EB292" s="676">
        <v>3287.4272812822201</v>
      </c>
      <c r="EC292" s="676">
        <v>-1870.7279175480871</v>
      </c>
      <c r="ED292" s="676">
        <v>-2637.1641900328204</v>
      </c>
      <c r="EE292" s="676">
        <v>-3631.5605110700044</v>
      </c>
      <c r="EF292" s="676">
        <v>-3584.8150025350124</v>
      </c>
      <c r="EG292" s="676">
        <v>-2663.6680729318896</v>
      </c>
      <c r="EH292" s="676">
        <v>-4215.0003688281477</v>
      </c>
      <c r="EI292" s="676">
        <v>-1066.6273400497212</v>
      </c>
      <c r="EJ292" s="676">
        <v>-2617.4238522019486</v>
      </c>
      <c r="EK292" s="676">
        <v>-2864.5094272008446</v>
      </c>
      <c r="EL292" s="676">
        <v>-3369.9607886876192</v>
      </c>
      <c r="EM292" s="676">
        <v>8533.2625600183073</v>
      </c>
      <c r="EN292" s="676">
        <v>-16700.767629785565</v>
      </c>
      <c r="EQ292" s="5">
        <v>32754.367041734218</v>
      </c>
      <c r="ER292" s="5">
        <v>10465.001634592891</v>
      </c>
      <c r="ET292" s="318">
        <v>-14490.443055135627</v>
      </c>
      <c r="EU292" s="5">
        <v>-14236.556636641188</v>
      </c>
    </row>
    <row r="293" spans="1:151" x14ac:dyDescent="0.3">
      <c r="A293" s="325">
        <v>150000737</v>
      </c>
      <c r="B293" s="41" t="s">
        <v>739</v>
      </c>
      <c r="C293" s="42" t="s">
        <v>222</v>
      </c>
      <c r="D293" s="27">
        <v>4</v>
      </c>
      <c r="E293" s="293">
        <v>2573.1</v>
      </c>
      <c r="F293" s="305">
        <v>2311.4</v>
      </c>
      <c r="G293" s="508">
        <v>0</v>
      </c>
      <c r="H293" s="677">
        <v>261.7</v>
      </c>
      <c r="I293" s="674">
        <v>9727.0752135816983</v>
      </c>
      <c r="J293" s="40">
        <v>10601.267756191526</v>
      </c>
      <c r="K293" s="52">
        <v>874.1925426098278</v>
      </c>
      <c r="L293" s="674">
        <v>1782.2819190055391</v>
      </c>
      <c r="M293" s="40">
        <v>1950.7759913339123</v>
      </c>
      <c r="N293" s="52">
        <v>168.49407232837325</v>
      </c>
      <c r="O293" s="674">
        <v>3928.4329809601891</v>
      </c>
      <c r="P293" s="40">
        <v>3928.4399999999991</v>
      </c>
      <c r="Q293" s="52">
        <v>7.0190398100749007E-3</v>
      </c>
      <c r="R293" s="674">
        <v>0</v>
      </c>
      <c r="S293" s="40">
        <v>0</v>
      </c>
      <c r="T293" s="52">
        <v>0</v>
      </c>
      <c r="U293" s="674">
        <v>0</v>
      </c>
      <c r="V293" s="40">
        <v>0</v>
      </c>
      <c r="W293" s="52">
        <v>0</v>
      </c>
      <c r="X293" s="674">
        <v>6209.9194091517438</v>
      </c>
      <c r="Y293" s="40">
        <v>4551.1606043237734</v>
      </c>
      <c r="Z293" s="52">
        <v>-1658.7588048279704</v>
      </c>
      <c r="AA293" s="674">
        <v>308.892</v>
      </c>
      <c r="AB293" s="40">
        <v>0</v>
      </c>
      <c r="AC293" s="52">
        <v>-308.892</v>
      </c>
      <c r="AD293" s="674">
        <v>11021.417858991234</v>
      </c>
      <c r="AE293" s="40">
        <v>10932.81806873544</v>
      </c>
      <c r="AF293" s="35">
        <v>-88.599790255793778</v>
      </c>
      <c r="AG293" s="77">
        <v>32978.019381690407</v>
      </c>
      <c r="AH293" s="53">
        <v>31964.462420584652</v>
      </c>
      <c r="AI293" s="52">
        <v>-1013.5569611057545</v>
      </c>
      <c r="AJ293" s="674">
        <v>0</v>
      </c>
      <c r="AK293" s="40">
        <v>0</v>
      </c>
      <c r="AL293" s="52">
        <v>0</v>
      </c>
      <c r="AM293" s="674">
        <v>0</v>
      </c>
      <c r="AN293" s="40">
        <v>0</v>
      </c>
      <c r="AO293" s="52">
        <v>0</v>
      </c>
      <c r="AP293" s="674">
        <v>7824.4927448810649</v>
      </c>
      <c r="AQ293" s="40">
        <v>6289.7397880306817</v>
      </c>
      <c r="AR293" s="52">
        <v>-1534.7529568503833</v>
      </c>
      <c r="AS293" s="674">
        <v>33417.730468821916</v>
      </c>
      <c r="AT293" s="40">
        <v>6643.77</v>
      </c>
      <c r="AU293" s="54">
        <v>-26773.960468821915</v>
      </c>
      <c r="AV293" s="674">
        <v>2182.3596731365128</v>
      </c>
      <c r="AW293" s="40">
        <v>2078</v>
      </c>
      <c r="AX293" s="55">
        <v>-104.35967313651281</v>
      </c>
      <c r="AY293" s="674">
        <v>2921.9360173407954</v>
      </c>
      <c r="AZ293" s="40">
        <v>0</v>
      </c>
      <c r="BA293" s="35">
        <v>-2921.9360173407954</v>
      </c>
      <c r="BB293" s="674">
        <v>1321.9156433442436</v>
      </c>
      <c r="BC293" s="40">
        <v>0</v>
      </c>
      <c r="BD293" s="55">
        <v>-1321.9156433442436</v>
      </c>
      <c r="BE293" s="674">
        <v>0</v>
      </c>
      <c r="BF293" s="40">
        <v>0</v>
      </c>
      <c r="BG293" s="38">
        <v>0</v>
      </c>
      <c r="BH293" s="674">
        <v>0</v>
      </c>
      <c r="BI293" s="40">
        <v>0</v>
      </c>
      <c r="BJ293" s="55">
        <v>0</v>
      </c>
      <c r="BK293" s="674">
        <v>1487.3754171781968</v>
      </c>
      <c r="BL293" s="40">
        <v>0</v>
      </c>
      <c r="BM293" s="38">
        <v>-1487.3754171781968</v>
      </c>
      <c r="BN293" s="674">
        <v>77.222999999999999</v>
      </c>
      <c r="BO293" s="40">
        <v>0</v>
      </c>
      <c r="BP293" s="55">
        <v>-77.222999999999999</v>
      </c>
      <c r="BQ293" s="77">
        <v>7990.8097509997478</v>
      </c>
      <c r="BR293" s="40">
        <v>2078</v>
      </c>
      <c r="BS293" s="55">
        <v>-5912.8097509997478</v>
      </c>
      <c r="BT293" s="674">
        <v>12789.0299142976</v>
      </c>
      <c r="BU293" s="40">
        <v>16785.041225280776</v>
      </c>
      <c r="BV293" s="52">
        <v>3996.0113109831764</v>
      </c>
      <c r="BW293" s="674">
        <v>13272.209438542217</v>
      </c>
      <c r="BX293" s="40">
        <v>11184.00321179825</v>
      </c>
      <c r="BY293" s="52">
        <v>-2088.2062267439669</v>
      </c>
      <c r="BZ293" s="674">
        <v>7385.422650546675</v>
      </c>
      <c r="CA293" s="40">
        <v>2325.0522539936956</v>
      </c>
      <c r="CB293" s="52">
        <v>-5060.3703965529794</v>
      </c>
      <c r="CC293" s="674">
        <v>925.6777054532115</v>
      </c>
      <c r="CD293" s="40">
        <v>972.90676253102652</v>
      </c>
      <c r="CE293" s="52">
        <v>47.229057077815014</v>
      </c>
      <c r="CF293" s="674">
        <v>113.13694393990528</v>
      </c>
      <c r="CG293" s="40">
        <v>0</v>
      </c>
      <c r="CH293" s="52">
        <v>-113.13694393990528</v>
      </c>
      <c r="CI293" s="674">
        <v>4153.4909348222318</v>
      </c>
      <c r="CJ293" s="40">
        <v>4352.3335731887555</v>
      </c>
      <c r="CK293" s="52">
        <v>198.84263836652372</v>
      </c>
      <c r="CL293" s="674">
        <v>0</v>
      </c>
      <c r="CM293" s="40">
        <v>0</v>
      </c>
      <c r="CN293" s="52">
        <v>0</v>
      </c>
      <c r="CO293" s="39">
        <v>4153.4909348222318</v>
      </c>
      <c r="CP293" s="40">
        <v>4352.3335731887555</v>
      </c>
      <c r="CQ293" s="52">
        <v>198.84263836652372</v>
      </c>
      <c r="CR293" s="72">
        <v>120850.01993399496</v>
      </c>
      <c r="CS293" s="5">
        <v>82595.309235407825</v>
      </c>
      <c r="CT293" s="52">
        <v>-38254.710698587136</v>
      </c>
      <c r="CU293" s="77">
        <v>145020.02392079396</v>
      </c>
      <c r="CV293" s="65">
        <v>99114.371082489393</v>
      </c>
      <c r="CW293" s="35">
        <v>-45905.652838304566</v>
      </c>
      <c r="CX293" s="73">
        <v>3235.4918711153409</v>
      </c>
      <c r="CY293" s="40">
        <v>49141.144709419881</v>
      </c>
      <c r="CZ293" s="52">
        <v>45905.652838304537</v>
      </c>
      <c r="DA293" s="150">
        <v>-49657.019743001809</v>
      </c>
      <c r="DB293" s="2">
        <v>2</v>
      </c>
      <c r="DC293" s="675">
        <v>45704.74</v>
      </c>
      <c r="DD293" s="675">
        <v>1566.02</v>
      </c>
      <c r="DE293" s="675">
        <v>33894.575961266164</v>
      </c>
      <c r="DF293" s="675">
        <v>397.4058052335738</v>
      </c>
      <c r="DG293" s="321">
        <v>-3751.3669046972791</v>
      </c>
      <c r="DH293" s="40">
        <v>148244.22616337735</v>
      </c>
      <c r="DI293" s="422">
        <v>12978.778233500259</v>
      </c>
      <c r="DJ293" s="306">
        <v>5.1095284410893109</v>
      </c>
      <c r="DK293" s="306">
        <v>5.1095284410893109</v>
      </c>
      <c r="DL293" s="306">
        <v>4.4654726586412927</v>
      </c>
      <c r="DM293" s="28">
        <v>11810.164038733834</v>
      </c>
      <c r="DN293" s="28">
        <v>1168.6141947664262</v>
      </c>
      <c r="DO293" s="423">
        <v>12978.778233500259</v>
      </c>
      <c r="DP293" s="94">
        <v>0</v>
      </c>
      <c r="DQ293" s="28">
        <v>12978.778233500259</v>
      </c>
      <c r="DR293" s="318"/>
      <c r="DT293" s="8"/>
      <c r="DU293" s="5"/>
      <c r="DX293" s="5">
        <v>49690.248263785994</v>
      </c>
      <c r="DY293" s="5">
        <v>10466.124</v>
      </c>
      <c r="DZ293" s="159">
        <v>4519.7192251616907</v>
      </c>
      <c r="EB293" s="676">
        <v>-2154.7170986112851</v>
      </c>
      <c r="EC293" s="676">
        <v>-2829.6297538949102</v>
      </c>
      <c r="ED293" s="676">
        <v>1059.1529895064505</v>
      </c>
      <c r="EE293" s="676">
        <v>-5149.3406063607154</v>
      </c>
      <c r="EF293" s="676">
        <v>-5472.8823995243565</v>
      </c>
      <c r="EG293" s="676">
        <v>-2188.6181422265272</v>
      </c>
      <c r="EH293" s="676">
        <v>-5147.6065393639765</v>
      </c>
      <c r="EI293" s="676">
        <v>-2125.8369634548162</v>
      </c>
      <c r="EJ293" s="676">
        <v>-2715.8780765462925</v>
      </c>
      <c r="EK293" s="676">
        <v>-6796.3778384846291</v>
      </c>
      <c r="EL293" s="676">
        <v>-7428.0880529206834</v>
      </c>
      <c r="EM293" s="676">
        <v>-4955.8303564227799</v>
      </c>
      <c r="EN293" s="676">
        <v>-45905.65283830453</v>
      </c>
      <c r="EQ293" s="5">
        <v>49690.248263785994</v>
      </c>
      <c r="ER293" s="5">
        <v>10466.124</v>
      </c>
      <c r="ET293" s="318">
        <v>32125.664147558869</v>
      </c>
      <c r="EU293" s="5">
        <v>-12345.031052256149</v>
      </c>
    </row>
    <row r="294" spans="1:151" x14ac:dyDescent="0.3">
      <c r="A294" s="325">
        <v>150000738</v>
      </c>
      <c r="B294" s="41" t="s">
        <v>740</v>
      </c>
      <c r="C294" s="42" t="s">
        <v>290</v>
      </c>
      <c r="D294" s="27">
        <v>5</v>
      </c>
      <c r="E294" s="293">
        <v>3567.9</v>
      </c>
      <c r="F294" s="305">
        <v>3567.9</v>
      </c>
      <c r="G294" s="508">
        <v>0</v>
      </c>
      <c r="H294" s="677">
        <v>0</v>
      </c>
      <c r="I294" s="674">
        <v>11816.936744702971</v>
      </c>
      <c r="J294" s="40">
        <v>12948.213437685159</v>
      </c>
      <c r="K294" s="52">
        <v>1131.2766929821883</v>
      </c>
      <c r="L294" s="674">
        <v>2036.4435193727913</v>
      </c>
      <c r="M294" s="40">
        <v>2228.9659664595206</v>
      </c>
      <c r="N294" s="52">
        <v>192.52244708672924</v>
      </c>
      <c r="O294" s="674">
        <v>4961.0535718229648</v>
      </c>
      <c r="P294" s="40">
        <v>4961.04</v>
      </c>
      <c r="Q294" s="52">
        <v>-1.3571822964877356E-2</v>
      </c>
      <c r="R294" s="674">
        <v>0</v>
      </c>
      <c r="S294" s="40">
        <v>0</v>
      </c>
      <c r="T294" s="52">
        <v>0</v>
      </c>
      <c r="U294" s="674">
        <v>0</v>
      </c>
      <c r="V294" s="40">
        <v>0</v>
      </c>
      <c r="W294" s="52">
        <v>0</v>
      </c>
      <c r="X294" s="674">
        <v>7010.4057159146278</v>
      </c>
      <c r="Y294" s="40">
        <v>5183.1385391103677</v>
      </c>
      <c r="Z294" s="52">
        <v>-1827.2671768042601</v>
      </c>
      <c r="AA294" s="674">
        <v>428.17199999999997</v>
      </c>
      <c r="AB294" s="40">
        <v>0</v>
      </c>
      <c r="AC294" s="52">
        <v>-428.17199999999997</v>
      </c>
      <c r="AD294" s="674">
        <v>15297.589246017904</v>
      </c>
      <c r="AE294" s="40">
        <v>15159.302591664575</v>
      </c>
      <c r="AF294" s="35">
        <v>-138.28665435332914</v>
      </c>
      <c r="AG294" s="77">
        <v>41550.600797831255</v>
      </c>
      <c r="AH294" s="53">
        <v>40480.660534919618</v>
      </c>
      <c r="AI294" s="52">
        <v>-1069.9402629116375</v>
      </c>
      <c r="AJ294" s="674">
        <v>0</v>
      </c>
      <c r="AK294" s="40">
        <v>0</v>
      </c>
      <c r="AL294" s="52">
        <v>0</v>
      </c>
      <c r="AM294" s="674">
        <v>0</v>
      </c>
      <c r="AN294" s="40">
        <v>0</v>
      </c>
      <c r="AO294" s="52">
        <v>0</v>
      </c>
      <c r="AP294" s="674">
        <v>10792.403786042851</v>
      </c>
      <c r="AQ294" s="40">
        <v>9293.7387791912988</v>
      </c>
      <c r="AR294" s="52">
        <v>-1498.6650068515519</v>
      </c>
      <c r="AS294" s="674">
        <v>52906.169322477333</v>
      </c>
      <c r="AT294" s="40">
        <v>63573.46</v>
      </c>
      <c r="AU294" s="54">
        <v>10667.290677522666</v>
      </c>
      <c r="AV294" s="674">
        <v>2598.8449980231017</v>
      </c>
      <c r="AW294" s="40">
        <v>1688</v>
      </c>
      <c r="AX294" s="55">
        <v>-910.84499802310165</v>
      </c>
      <c r="AY294" s="674">
        <v>3338.215828370774</v>
      </c>
      <c r="AZ294" s="40">
        <v>0</v>
      </c>
      <c r="BA294" s="35">
        <v>-3338.215828370774</v>
      </c>
      <c r="BB294" s="674">
        <v>2405.1240903162288</v>
      </c>
      <c r="BC294" s="40">
        <v>0</v>
      </c>
      <c r="BD294" s="55">
        <v>-2405.1240903162288</v>
      </c>
      <c r="BE294" s="674">
        <v>0</v>
      </c>
      <c r="BF294" s="40">
        <v>0</v>
      </c>
      <c r="BG294" s="38">
        <v>0</v>
      </c>
      <c r="BH294" s="674">
        <v>0</v>
      </c>
      <c r="BI294" s="40">
        <v>0</v>
      </c>
      <c r="BJ294" s="55">
        <v>0</v>
      </c>
      <c r="BK294" s="674">
        <v>1695.5229724507592</v>
      </c>
      <c r="BL294" s="40">
        <v>33388</v>
      </c>
      <c r="BM294" s="38">
        <v>31692.477027549241</v>
      </c>
      <c r="BN294" s="674">
        <v>107.04299999999999</v>
      </c>
      <c r="BO294" s="40">
        <v>0</v>
      </c>
      <c r="BP294" s="55">
        <v>-107.04299999999999</v>
      </c>
      <c r="BQ294" s="77">
        <v>10144.750889160863</v>
      </c>
      <c r="BR294" s="40">
        <v>35076</v>
      </c>
      <c r="BS294" s="55">
        <v>24931.249110839137</v>
      </c>
      <c r="BT294" s="674">
        <v>26240.254585528837</v>
      </c>
      <c r="BU294" s="40">
        <v>31449.410713879821</v>
      </c>
      <c r="BV294" s="52">
        <v>5209.1561283509836</v>
      </c>
      <c r="BW294" s="674">
        <v>16325.851131385745</v>
      </c>
      <c r="BX294" s="40">
        <v>15515.420355710174</v>
      </c>
      <c r="BY294" s="52">
        <v>-810.43077567557157</v>
      </c>
      <c r="BZ294" s="674">
        <v>8167.0310751817588</v>
      </c>
      <c r="CA294" s="40">
        <v>7002.7896227968467</v>
      </c>
      <c r="CB294" s="52">
        <v>-1164.241452384912</v>
      </c>
      <c r="CC294" s="674">
        <v>1963.0703426362904</v>
      </c>
      <c r="CD294" s="40">
        <v>2063.2282709454125</v>
      </c>
      <c r="CE294" s="52">
        <v>100.1579283091221</v>
      </c>
      <c r="CF294" s="674">
        <v>239.9277610301684</v>
      </c>
      <c r="CG294" s="40">
        <v>0</v>
      </c>
      <c r="CH294" s="52">
        <v>-239.9277610301684</v>
      </c>
      <c r="CI294" s="674">
        <v>5641.202028165595</v>
      </c>
      <c r="CJ294" s="40">
        <v>4641.3243443545271</v>
      </c>
      <c r="CK294" s="52">
        <v>-999.87768381106798</v>
      </c>
      <c r="CL294" s="674">
        <v>0</v>
      </c>
      <c r="CM294" s="40">
        <v>0</v>
      </c>
      <c r="CN294" s="52">
        <v>0</v>
      </c>
      <c r="CO294" s="39">
        <v>5641.202028165595</v>
      </c>
      <c r="CP294" s="40">
        <v>4641.3243443545271</v>
      </c>
      <c r="CQ294" s="52">
        <v>-999.87768381106798</v>
      </c>
      <c r="CR294" s="72">
        <v>173971.26171944072</v>
      </c>
      <c r="CS294" s="5">
        <v>209096.0326217977</v>
      </c>
      <c r="CT294" s="52">
        <v>35124.770902356977</v>
      </c>
      <c r="CU294" s="77">
        <v>208765.51406332885</v>
      </c>
      <c r="CV294" s="65">
        <v>250915.23914615723</v>
      </c>
      <c r="CW294" s="35">
        <v>42149.725082828372</v>
      </c>
      <c r="CX294" s="73">
        <v>7155.4978648902897</v>
      </c>
      <c r="CY294" s="40">
        <v>-34994.227217938089</v>
      </c>
      <c r="CZ294" s="52">
        <v>-42149.72508282838</v>
      </c>
      <c r="DA294" s="150">
        <v>94990.866376611084</v>
      </c>
      <c r="DB294" s="2">
        <v>2</v>
      </c>
      <c r="DC294" s="675">
        <v>40037.47</v>
      </c>
      <c r="DD294" s="675">
        <v>0</v>
      </c>
      <c r="DE294" s="675">
        <v>21149.163779832805</v>
      </c>
      <c r="DF294" s="675">
        <v>0</v>
      </c>
      <c r="DG294" s="321">
        <v>52841.141293782704</v>
      </c>
      <c r="DH294" s="40">
        <v>215904.52391916412</v>
      </c>
      <c r="DI294" s="422">
        <v>18888.3062201672</v>
      </c>
      <c r="DJ294" s="306">
        <v>5.2939561703431135</v>
      </c>
      <c r="DK294" s="306">
        <v>5.2939561703431135</v>
      </c>
      <c r="DL294" s="306">
        <v>4.7751456948794209</v>
      </c>
      <c r="DM294" s="28">
        <v>18888.306220167196</v>
      </c>
      <c r="DN294" s="28">
        <v>0</v>
      </c>
      <c r="DO294" s="423">
        <v>18888.306220167196</v>
      </c>
      <c r="DP294" s="94">
        <v>0</v>
      </c>
      <c r="DQ294" s="28">
        <v>18888.306220167196</v>
      </c>
      <c r="DR294" s="318"/>
      <c r="DT294" s="8"/>
      <c r="DU294" s="5"/>
      <c r="DX294" s="5">
        <v>75661.104253965823</v>
      </c>
      <c r="DY294" s="5">
        <v>118379.35199999998</v>
      </c>
      <c r="DZ294" s="159">
        <v>6573.8626724815931</v>
      </c>
      <c r="EB294" s="676">
        <v>-3867.1710560231477</v>
      </c>
      <c r="EC294" s="676">
        <v>31435.450991632482</v>
      </c>
      <c r="ED294" s="676">
        <v>-5821.3077102716943</v>
      </c>
      <c r="EE294" s="676">
        <v>-5298.8501474399618</v>
      </c>
      <c r="EF294" s="676">
        <v>-6044.4491477188749</v>
      </c>
      <c r="EG294" s="676">
        <v>-1309.9784292212535</v>
      </c>
      <c r="EH294" s="676">
        <v>14458.399100209219</v>
      </c>
      <c r="EI294" s="676">
        <v>-5393.3889590888703</v>
      </c>
      <c r="EJ294" s="676">
        <v>-7339.6931878053547</v>
      </c>
      <c r="EK294" s="676">
        <v>32423.784565788101</v>
      </c>
      <c r="EL294" s="676">
        <v>-7361.2965463267392</v>
      </c>
      <c r="EM294" s="676">
        <v>6268.2256090944793</v>
      </c>
      <c r="EN294" s="676">
        <v>42149.725082828387</v>
      </c>
      <c r="EQ294" s="5">
        <v>75661.104253965823</v>
      </c>
      <c r="ER294" s="5">
        <v>118379.35199999998</v>
      </c>
      <c r="ET294" s="318">
        <v>30913.294595843763</v>
      </c>
      <c r="EU294" s="5">
        <v>2613.8466979389359</v>
      </c>
    </row>
    <row r="295" spans="1:151" x14ac:dyDescent="0.3">
      <c r="A295" s="325">
        <v>150000739</v>
      </c>
      <c r="B295" s="41" t="s">
        <v>741</v>
      </c>
      <c r="C295" s="42" t="s">
        <v>223</v>
      </c>
      <c r="D295" s="27">
        <v>4</v>
      </c>
      <c r="E295" s="293">
        <v>3631.7</v>
      </c>
      <c r="F295" s="305">
        <v>3340.7</v>
      </c>
      <c r="G295" s="508">
        <v>0</v>
      </c>
      <c r="H295" s="677">
        <v>291</v>
      </c>
      <c r="I295" s="674">
        <v>12444.290355461291</v>
      </c>
      <c r="J295" s="40">
        <v>13599.43803319423</v>
      </c>
      <c r="K295" s="52">
        <v>1155.147677732939</v>
      </c>
      <c r="L295" s="674">
        <v>2264.7010547775594</v>
      </c>
      <c r="M295" s="40">
        <v>2478.7964899962449</v>
      </c>
      <c r="N295" s="52">
        <v>214.09543521868545</v>
      </c>
      <c r="O295" s="674">
        <v>4840.5619270341749</v>
      </c>
      <c r="P295" s="40">
        <v>4840.5600000000004</v>
      </c>
      <c r="Q295" s="52">
        <v>-1.9270341745141195E-3</v>
      </c>
      <c r="R295" s="674">
        <v>0</v>
      </c>
      <c r="S295" s="40">
        <v>0</v>
      </c>
      <c r="T295" s="52">
        <v>0</v>
      </c>
      <c r="U295" s="674">
        <v>0</v>
      </c>
      <c r="V295" s="40">
        <v>0</v>
      </c>
      <c r="W295" s="52">
        <v>0</v>
      </c>
      <c r="X295" s="674">
        <v>9258.3999651276317</v>
      </c>
      <c r="Y295" s="40">
        <v>6879.1617120286173</v>
      </c>
      <c r="Z295" s="52">
        <v>-2379.2382530990144</v>
      </c>
      <c r="AA295" s="674">
        <v>433.82400000000001</v>
      </c>
      <c r="AB295" s="40">
        <v>0</v>
      </c>
      <c r="AC295" s="52">
        <v>-433.82400000000001</v>
      </c>
      <c r="AD295" s="674">
        <v>15536.749212403396</v>
      </c>
      <c r="AE295" s="40">
        <v>15430.371045191156</v>
      </c>
      <c r="AF295" s="35">
        <v>-106.37816721224044</v>
      </c>
      <c r="AG295" s="77">
        <v>44778.526514804049</v>
      </c>
      <c r="AH295" s="53">
        <v>43228.327280410245</v>
      </c>
      <c r="AI295" s="52">
        <v>-1550.1992343938036</v>
      </c>
      <c r="AJ295" s="674">
        <v>0</v>
      </c>
      <c r="AK295" s="40">
        <v>0</v>
      </c>
      <c r="AL295" s="52">
        <v>0</v>
      </c>
      <c r="AM295" s="674">
        <v>0</v>
      </c>
      <c r="AN295" s="40">
        <v>0</v>
      </c>
      <c r="AO295" s="52">
        <v>0</v>
      </c>
      <c r="AP295" s="674">
        <v>10117.878549415171</v>
      </c>
      <c r="AQ295" s="40">
        <v>8590.1366106839541</v>
      </c>
      <c r="AR295" s="52">
        <v>-1527.7419387312166</v>
      </c>
      <c r="AS295" s="674">
        <v>39060.810458283719</v>
      </c>
      <c r="AT295" s="40">
        <v>83172.633224437552</v>
      </c>
      <c r="AU295" s="54">
        <v>44111.822766153833</v>
      </c>
      <c r="AV295" s="674">
        <v>2787.0167287012173</v>
      </c>
      <c r="AW295" s="40">
        <v>536</v>
      </c>
      <c r="AX295" s="55">
        <v>-2251.0167287012173</v>
      </c>
      <c r="AY295" s="674">
        <v>3712.542616832879</v>
      </c>
      <c r="AZ295" s="40">
        <v>33</v>
      </c>
      <c r="BA295" s="35">
        <v>-3679.542616832879</v>
      </c>
      <c r="BB295" s="674">
        <v>2308.4822754185157</v>
      </c>
      <c r="BC295" s="40">
        <v>1569</v>
      </c>
      <c r="BD295" s="55">
        <v>-739.48227541851566</v>
      </c>
      <c r="BE295" s="674">
        <v>0</v>
      </c>
      <c r="BF295" s="40">
        <v>0</v>
      </c>
      <c r="BG295" s="38">
        <v>0</v>
      </c>
      <c r="BH295" s="674">
        <v>0</v>
      </c>
      <c r="BI295" s="40">
        <v>0</v>
      </c>
      <c r="BJ295" s="55">
        <v>0</v>
      </c>
      <c r="BK295" s="674">
        <v>2297.2825281272098</v>
      </c>
      <c r="BL295" s="40">
        <v>0</v>
      </c>
      <c r="BM295" s="38">
        <v>-2297.2825281272098</v>
      </c>
      <c r="BN295" s="674">
        <v>108.456</v>
      </c>
      <c r="BO295" s="40">
        <v>0</v>
      </c>
      <c r="BP295" s="55">
        <v>-108.456</v>
      </c>
      <c r="BQ295" s="77">
        <v>11213.780149079821</v>
      </c>
      <c r="BR295" s="40">
        <v>2138</v>
      </c>
      <c r="BS295" s="55">
        <v>-9075.7801490798211</v>
      </c>
      <c r="BT295" s="674">
        <v>23161.695779874473</v>
      </c>
      <c r="BU295" s="40">
        <v>29828.227690595104</v>
      </c>
      <c r="BV295" s="52">
        <v>6666.5319107206305</v>
      </c>
      <c r="BW295" s="674">
        <v>19190.250774979657</v>
      </c>
      <c r="BX295" s="40">
        <v>16045.07624261063</v>
      </c>
      <c r="BY295" s="52">
        <v>-3145.1745323690266</v>
      </c>
      <c r="BZ295" s="674">
        <v>11785.433756581098</v>
      </c>
      <c r="CA295" s="40">
        <v>4169.972060186743</v>
      </c>
      <c r="CB295" s="52">
        <v>-7615.4616963943554</v>
      </c>
      <c r="CC295" s="674">
        <v>2577.7803649906887</v>
      </c>
      <c r="CD295" s="40">
        <v>2709.3014497861896</v>
      </c>
      <c r="CE295" s="52">
        <v>131.52108479550088</v>
      </c>
      <c r="CF295" s="674">
        <v>315.05802821571933</v>
      </c>
      <c r="CG295" s="40">
        <v>0</v>
      </c>
      <c r="CH295" s="52">
        <v>-315.05802821571933</v>
      </c>
      <c r="CI295" s="674">
        <v>3545.4203305696205</v>
      </c>
      <c r="CJ295" s="40">
        <v>3938.2032305057442</v>
      </c>
      <c r="CK295" s="52">
        <v>392.78289993612361</v>
      </c>
      <c r="CL295" s="674">
        <v>0</v>
      </c>
      <c r="CM295" s="40">
        <v>0</v>
      </c>
      <c r="CN295" s="52">
        <v>0</v>
      </c>
      <c r="CO295" s="39">
        <v>3545.4203305696205</v>
      </c>
      <c r="CP295" s="40">
        <v>3938.2032305057442</v>
      </c>
      <c r="CQ295" s="52">
        <v>392.78289993612361</v>
      </c>
      <c r="CR295" s="72">
        <v>165746.63470679399</v>
      </c>
      <c r="CS295" s="5">
        <v>193819.87778921617</v>
      </c>
      <c r="CT295" s="52">
        <v>28073.243082422181</v>
      </c>
      <c r="CU295" s="77">
        <v>198895.96164815279</v>
      </c>
      <c r="CV295" s="65">
        <v>232583.8533470594</v>
      </c>
      <c r="CW295" s="35">
        <v>33687.891698906606</v>
      </c>
      <c r="CX295" s="73">
        <v>6908.3819729601109</v>
      </c>
      <c r="CY295" s="40">
        <v>-26779.509725946467</v>
      </c>
      <c r="CZ295" s="52">
        <v>-33687.891698906576</v>
      </c>
      <c r="DA295" s="150">
        <v>30247.721731618491</v>
      </c>
      <c r="DB295" s="2">
        <v>2</v>
      </c>
      <c r="DC295" s="675">
        <v>31884.11</v>
      </c>
      <c r="DD295" s="675">
        <v>5589.8999999999987</v>
      </c>
      <c r="DE295" s="675">
        <v>15176.146912868888</v>
      </c>
      <c r="DF295" s="675">
        <v>4323.7796149662336</v>
      </c>
      <c r="DG295" s="321">
        <v>-3440.1699672880768</v>
      </c>
      <c r="DH295" s="40">
        <v>204896.73534115899</v>
      </c>
      <c r="DI295" s="422">
        <v>17974.083472164879</v>
      </c>
      <c r="DJ295" s="306">
        <v>5.0013359736375955</v>
      </c>
      <c r="DK295" s="306">
        <v>5.0013359736375955</v>
      </c>
      <c r="DL295" s="306">
        <v>4.3509291581916338</v>
      </c>
      <c r="DM295" s="28">
        <v>16707.963087131113</v>
      </c>
      <c r="DN295" s="28">
        <v>1266.1203850337654</v>
      </c>
      <c r="DO295" s="423">
        <v>17974.083472164879</v>
      </c>
      <c r="DP295" s="94">
        <v>0</v>
      </c>
      <c r="DQ295" s="28">
        <v>17974.083472164879</v>
      </c>
      <c r="DR295" s="318"/>
      <c r="DT295" s="8"/>
      <c r="DU295" s="5"/>
      <c r="DX295" s="5">
        <v>60329.508728836248</v>
      </c>
      <c r="DY295" s="5">
        <v>102372.75986932506</v>
      </c>
      <c r="DZ295" s="159">
        <v>5405.7618852343776</v>
      </c>
      <c r="EB295" s="676">
        <v>-2267.1679340314968</v>
      </c>
      <c r="EC295" s="676">
        <v>-1284.2212264241989</v>
      </c>
      <c r="ED295" s="676">
        <v>-3918.481721428645</v>
      </c>
      <c r="EE295" s="676">
        <v>-4557.1083353843787</v>
      </c>
      <c r="EF295" s="676">
        <v>-5029.0867025019616</v>
      </c>
      <c r="EG295" s="676">
        <v>77237.436324688679</v>
      </c>
      <c r="EH295" s="676">
        <v>4540.8303622603453</v>
      </c>
      <c r="EI295" s="676">
        <v>-3128.1195150573003</v>
      </c>
      <c r="EJ295" s="676">
        <v>-7749.2284687989577</v>
      </c>
      <c r="EK295" s="676">
        <v>-8724.3349972572341</v>
      </c>
      <c r="EL295" s="676">
        <v>-8569.5271061588028</v>
      </c>
      <c r="EM295" s="676">
        <v>-2863.0989809994735</v>
      </c>
      <c r="EN295" s="676">
        <v>33687.891698906569</v>
      </c>
      <c r="EQ295" s="5">
        <v>60329.508728836248</v>
      </c>
      <c r="ER295" s="5">
        <v>102372.75986932506</v>
      </c>
      <c r="ET295" s="318">
        <v>-731.30027307112323</v>
      </c>
      <c r="EU295" s="5">
        <v>-12482.869694216943</v>
      </c>
    </row>
    <row r="296" spans="1:151" x14ac:dyDescent="0.3">
      <c r="A296" s="325">
        <v>150000740</v>
      </c>
      <c r="B296" s="41" t="s">
        <v>742</v>
      </c>
      <c r="C296" s="42" t="s">
        <v>198</v>
      </c>
      <c r="D296" s="27">
        <v>3</v>
      </c>
      <c r="E296" s="293">
        <v>1366.1</v>
      </c>
      <c r="F296" s="305">
        <v>1236.8</v>
      </c>
      <c r="G296" s="508">
        <v>0</v>
      </c>
      <c r="H296" s="677">
        <v>129.30000000000001</v>
      </c>
      <c r="I296" s="674">
        <v>5381.58044185574</v>
      </c>
      <c r="J296" s="40">
        <v>5856.9390520253037</v>
      </c>
      <c r="K296" s="52">
        <v>475.35861016956369</v>
      </c>
      <c r="L296" s="674">
        <v>1374.1665568976962</v>
      </c>
      <c r="M296" s="40">
        <v>1504.0743008564607</v>
      </c>
      <c r="N296" s="52">
        <v>129.90774395876451</v>
      </c>
      <c r="O296" s="674">
        <v>1882.7030399329603</v>
      </c>
      <c r="P296" s="40">
        <v>1882.7100000000005</v>
      </c>
      <c r="Q296" s="52">
        <v>6.960067040154172E-3</v>
      </c>
      <c r="R296" s="674">
        <v>0</v>
      </c>
      <c r="S296" s="40">
        <v>0</v>
      </c>
      <c r="T296" s="52">
        <v>0</v>
      </c>
      <c r="U296" s="674">
        <v>0</v>
      </c>
      <c r="V296" s="40">
        <v>0</v>
      </c>
      <c r="W296" s="52">
        <v>0</v>
      </c>
      <c r="X296" s="674">
        <v>3618.81081341767</v>
      </c>
      <c r="Y296" s="40">
        <v>2711.8231744234613</v>
      </c>
      <c r="Z296" s="52">
        <v>-906.98763899420874</v>
      </c>
      <c r="AA296" s="674">
        <v>163.93199999999999</v>
      </c>
      <c r="AB296" s="40">
        <v>0</v>
      </c>
      <c r="AC296" s="52">
        <v>-163.93199999999999</v>
      </c>
      <c r="AD296" s="674">
        <v>5849.4772440591996</v>
      </c>
      <c r="AE296" s="40">
        <v>5804.1789085056162</v>
      </c>
      <c r="AF296" s="35">
        <v>-45.298335553583456</v>
      </c>
      <c r="AG296" s="77">
        <v>18270.670096163267</v>
      </c>
      <c r="AH296" s="53">
        <v>17759.725435810844</v>
      </c>
      <c r="AI296" s="52">
        <v>-510.94466035242294</v>
      </c>
      <c r="AJ296" s="674">
        <v>0</v>
      </c>
      <c r="AK296" s="40">
        <v>0</v>
      </c>
      <c r="AL296" s="52">
        <v>0</v>
      </c>
      <c r="AM296" s="674">
        <v>0</v>
      </c>
      <c r="AN296" s="40">
        <v>0</v>
      </c>
      <c r="AO296" s="52">
        <v>0</v>
      </c>
      <c r="AP296" s="674">
        <v>2698.1009465107127</v>
      </c>
      <c r="AQ296" s="40">
        <v>2079.9006566273124</v>
      </c>
      <c r="AR296" s="52">
        <v>-618.20028988340027</v>
      </c>
      <c r="AS296" s="674">
        <v>14587.946844392973</v>
      </c>
      <c r="AT296" s="40">
        <v>18724.740000000002</v>
      </c>
      <c r="AU296" s="54">
        <v>4136.7931556070289</v>
      </c>
      <c r="AV296" s="674">
        <v>1340.4320737520893</v>
      </c>
      <c r="AW296" s="40">
        <v>0</v>
      </c>
      <c r="AX296" s="55">
        <v>-1340.4320737520893</v>
      </c>
      <c r="AY296" s="674">
        <v>2252.5269667413277</v>
      </c>
      <c r="AZ296" s="40">
        <v>0</v>
      </c>
      <c r="BA296" s="35">
        <v>-2252.5269667413277</v>
      </c>
      <c r="BB296" s="674">
        <v>871.97563106499445</v>
      </c>
      <c r="BC296" s="40">
        <v>1393</v>
      </c>
      <c r="BD296" s="55">
        <v>521.02436893500555</v>
      </c>
      <c r="BE296" s="674">
        <v>0</v>
      </c>
      <c r="BF296" s="40">
        <v>0</v>
      </c>
      <c r="BG296" s="38">
        <v>0</v>
      </c>
      <c r="BH296" s="674">
        <v>0</v>
      </c>
      <c r="BI296" s="40">
        <v>0</v>
      </c>
      <c r="BJ296" s="55">
        <v>0</v>
      </c>
      <c r="BK296" s="674">
        <v>725.53421361626295</v>
      </c>
      <c r="BL296" s="40">
        <v>711</v>
      </c>
      <c r="BM296" s="38">
        <v>-14.534213616262946</v>
      </c>
      <c r="BN296" s="674">
        <v>40.982999999999997</v>
      </c>
      <c r="BO296" s="40">
        <v>0</v>
      </c>
      <c r="BP296" s="55">
        <v>-40.982999999999997</v>
      </c>
      <c r="BQ296" s="77">
        <v>5231.4518851746743</v>
      </c>
      <c r="BR296" s="40">
        <v>2104</v>
      </c>
      <c r="BS296" s="55">
        <v>-3127.4518851746743</v>
      </c>
      <c r="BT296" s="674">
        <v>11988.266609556351</v>
      </c>
      <c r="BU296" s="40">
        <v>15391.26180526898</v>
      </c>
      <c r="BV296" s="52">
        <v>3402.9951957126286</v>
      </c>
      <c r="BW296" s="674">
        <v>11164.217964224996</v>
      </c>
      <c r="BX296" s="40">
        <v>11104.338113871963</v>
      </c>
      <c r="BY296" s="52">
        <v>-59.879850353032452</v>
      </c>
      <c r="BZ296" s="674">
        <v>5969.2782893000094</v>
      </c>
      <c r="CA296" s="40">
        <v>3901.11590732678</v>
      </c>
      <c r="CB296" s="52">
        <v>-2068.1623819732295</v>
      </c>
      <c r="CC296" s="674">
        <v>958.74754842797324</v>
      </c>
      <c r="CD296" s="40">
        <v>1007.6638639243594</v>
      </c>
      <c r="CE296" s="52">
        <v>48.916315496386119</v>
      </c>
      <c r="CF296" s="674">
        <v>117.17876211127987</v>
      </c>
      <c r="CG296" s="40">
        <v>0</v>
      </c>
      <c r="CH296" s="52">
        <v>-117.17876211127987</v>
      </c>
      <c r="CI296" s="674">
        <v>1328.2512085052231</v>
      </c>
      <c r="CJ296" s="40">
        <v>1295.3418465304571</v>
      </c>
      <c r="CK296" s="52">
        <v>-32.909361974765943</v>
      </c>
      <c r="CL296" s="674">
        <v>0</v>
      </c>
      <c r="CM296" s="40">
        <v>0</v>
      </c>
      <c r="CN296" s="52">
        <v>0</v>
      </c>
      <c r="CO296" s="39">
        <v>1328.2512085052231</v>
      </c>
      <c r="CP296" s="40">
        <v>1295.3418465304571</v>
      </c>
      <c r="CQ296" s="52">
        <v>-32.909361974765943</v>
      </c>
      <c r="CR296" s="72">
        <v>72314.110154367459</v>
      </c>
      <c r="CS296" s="5">
        <v>73368.087629360685</v>
      </c>
      <c r="CT296" s="52">
        <v>1053.9774749932258</v>
      </c>
      <c r="CU296" s="77">
        <v>86776.932185240948</v>
      </c>
      <c r="CV296" s="65">
        <v>88041.705155232819</v>
      </c>
      <c r="CW296" s="35">
        <v>1264.7729699918709</v>
      </c>
      <c r="CX296" s="73">
        <v>2626.204193169654</v>
      </c>
      <c r="CY296" s="40">
        <v>1361.4312231777694</v>
      </c>
      <c r="CZ296" s="52">
        <v>-1264.7729699918846</v>
      </c>
      <c r="DA296" s="150">
        <v>8114.8952367916027</v>
      </c>
      <c r="DB296" s="2">
        <v>2</v>
      </c>
      <c r="DC296" s="675">
        <v>11031.95</v>
      </c>
      <c r="DD296" s="675">
        <v>5085.3599999999997</v>
      </c>
      <c r="DE296" s="675">
        <v>3817.947889202972</v>
      </c>
      <c r="DF296" s="675">
        <v>4463.4441546262597</v>
      </c>
      <c r="DG296" s="321">
        <v>6850.1222667997281</v>
      </c>
      <c r="DH296" s="40">
        <v>89396.358304740192</v>
      </c>
      <c r="DI296" s="422">
        <v>7835.9179561707688</v>
      </c>
      <c r="DJ296" s="306">
        <v>5.8327960145512847</v>
      </c>
      <c r="DK296" s="306">
        <v>5.8327960145512847</v>
      </c>
      <c r="DL296" s="306">
        <v>4.8098673269430785</v>
      </c>
      <c r="DM296" s="28">
        <v>7214.0021107970288</v>
      </c>
      <c r="DN296" s="28">
        <v>621.91584537374013</v>
      </c>
      <c r="DO296" s="423">
        <v>7835.9179561707688</v>
      </c>
      <c r="DP296" s="94">
        <v>0</v>
      </c>
      <c r="DQ296" s="28">
        <v>7835.9179561707688</v>
      </c>
      <c r="DR296" s="318"/>
      <c r="DT296" s="8"/>
      <c r="DU296" s="5"/>
      <c r="DX296" s="5">
        <v>23783.278475481176</v>
      </c>
      <c r="DY296" s="5">
        <v>24994.488000000001</v>
      </c>
      <c r="DZ296" s="159">
        <v>2042.7453668059477</v>
      </c>
      <c r="EB296" s="676">
        <v>-986.89684409105757</v>
      </c>
      <c r="EC296" s="676">
        <v>-1346.7721907024097</v>
      </c>
      <c r="ED296" s="676">
        <v>-1080.7459044666957</v>
      </c>
      <c r="EE296" s="676">
        <v>-2141.457552408503</v>
      </c>
      <c r="EF296" s="676">
        <v>-1881.283567584861</v>
      </c>
      <c r="EG296" s="676">
        <v>-4633.0162661228242</v>
      </c>
      <c r="EH296" s="676">
        <v>-1373.2109053530949</v>
      </c>
      <c r="EI296" s="676">
        <v>21061.396587584386</v>
      </c>
      <c r="EJ296" s="676">
        <v>-1635.2658950264722</v>
      </c>
      <c r="EK296" s="676">
        <v>-1750.2719419596278</v>
      </c>
      <c r="EL296" s="676">
        <v>-1202.4892365167761</v>
      </c>
      <c r="EM296" s="676">
        <v>-1765.2133133601883</v>
      </c>
      <c r="EN296" s="676">
        <v>1264.7729699918746</v>
      </c>
      <c r="EQ296" s="5">
        <v>23783.278475481176</v>
      </c>
      <c r="ER296" s="5">
        <v>24994.488000000001</v>
      </c>
      <c r="ET296" s="318">
        <v>16116.736988464527</v>
      </c>
      <c r="EU296" s="5">
        <v>21367.385278335209</v>
      </c>
    </row>
    <row r="297" spans="1:151" x14ac:dyDescent="0.3">
      <c r="A297" s="325">
        <v>150000744</v>
      </c>
      <c r="B297" s="41" t="s">
        <v>743</v>
      </c>
      <c r="C297" s="42" t="s">
        <v>224</v>
      </c>
      <c r="D297" s="27">
        <v>4</v>
      </c>
      <c r="E297" s="293">
        <v>1504.4</v>
      </c>
      <c r="F297" s="305">
        <v>1504.4</v>
      </c>
      <c r="G297" s="508">
        <v>0</v>
      </c>
      <c r="H297" s="677">
        <v>0</v>
      </c>
      <c r="I297" s="674">
        <v>5506.2686741553916</v>
      </c>
      <c r="J297" s="40">
        <v>6110.337917514169</v>
      </c>
      <c r="K297" s="52">
        <v>604.06924335877738</v>
      </c>
      <c r="L297" s="674">
        <v>1070.6108490038623</v>
      </c>
      <c r="M297" s="40">
        <v>1171.8286486617699</v>
      </c>
      <c r="N297" s="52">
        <v>101.21779965790756</v>
      </c>
      <c r="O297" s="674">
        <v>2090.5315436994906</v>
      </c>
      <c r="P297" s="40">
        <v>2090.5200000000004</v>
      </c>
      <c r="Q297" s="52">
        <v>-1.1543699490175641E-2</v>
      </c>
      <c r="R297" s="674">
        <v>0</v>
      </c>
      <c r="S297" s="40">
        <v>0</v>
      </c>
      <c r="T297" s="52">
        <v>0</v>
      </c>
      <c r="U297" s="674">
        <v>0</v>
      </c>
      <c r="V297" s="40">
        <v>0</v>
      </c>
      <c r="W297" s="52">
        <v>0</v>
      </c>
      <c r="X297" s="674">
        <v>2538.0771063012021</v>
      </c>
      <c r="Y297" s="40">
        <v>1772.4397352490896</v>
      </c>
      <c r="Z297" s="52">
        <v>-765.63737105211248</v>
      </c>
      <c r="AA297" s="674">
        <v>180.55199999999999</v>
      </c>
      <c r="AB297" s="40">
        <v>0</v>
      </c>
      <c r="AC297" s="52">
        <v>-180.55199999999999</v>
      </c>
      <c r="AD297" s="674">
        <v>6450.343462149367</v>
      </c>
      <c r="AE297" s="40">
        <v>6391.7771392693439</v>
      </c>
      <c r="AF297" s="35">
        <v>-58.566322880023108</v>
      </c>
      <c r="AG297" s="77">
        <v>17836.383635309314</v>
      </c>
      <c r="AH297" s="53">
        <v>17536.903440694372</v>
      </c>
      <c r="AI297" s="52">
        <v>-299.48019461494187</v>
      </c>
      <c r="AJ297" s="674">
        <v>0</v>
      </c>
      <c r="AK297" s="40">
        <v>0</v>
      </c>
      <c r="AL297" s="52">
        <v>0</v>
      </c>
      <c r="AM297" s="674">
        <v>0</v>
      </c>
      <c r="AN297" s="40">
        <v>0</v>
      </c>
      <c r="AO297" s="52">
        <v>0</v>
      </c>
      <c r="AP297" s="674">
        <v>4316.9615144171385</v>
      </c>
      <c r="AQ297" s="40">
        <v>3540.9549426399972</v>
      </c>
      <c r="AR297" s="52">
        <v>-776.00657177714129</v>
      </c>
      <c r="AS297" s="674">
        <v>13515.429397354716</v>
      </c>
      <c r="AT297" s="40">
        <v>29315.43</v>
      </c>
      <c r="AU297" s="54">
        <v>15800.000602645285</v>
      </c>
      <c r="AV297" s="674">
        <v>1272.1595612099386</v>
      </c>
      <c r="AW297" s="40">
        <v>1748</v>
      </c>
      <c r="AX297" s="55">
        <v>475.8404387900614</v>
      </c>
      <c r="AY297" s="674">
        <v>1755.0976355756302</v>
      </c>
      <c r="AZ297" s="40">
        <v>1885</v>
      </c>
      <c r="BA297" s="35">
        <v>129.90236442436981</v>
      </c>
      <c r="BB297" s="674">
        <v>939.81961108814312</v>
      </c>
      <c r="BC297" s="40">
        <v>0</v>
      </c>
      <c r="BD297" s="55">
        <v>-939.81961108814312</v>
      </c>
      <c r="BE297" s="674">
        <v>0</v>
      </c>
      <c r="BF297" s="40">
        <v>0</v>
      </c>
      <c r="BG297" s="38">
        <v>0</v>
      </c>
      <c r="BH297" s="674">
        <v>0</v>
      </c>
      <c r="BI297" s="40">
        <v>0</v>
      </c>
      <c r="BJ297" s="55">
        <v>0</v>
      </c>
      <c r="BK297" s="674">
        <v>455.83750029967632</v>
      </c>
      <c r="BL297" s="40">
        <v>0</v>
      </c>
      <c r="BM297" s="38">
        <v>-455.83750029967632</v>
      </c>
      <c r="BN297" s="674">
        <v>45.137999999999998</v>
      </c>
      <c r="BO297" s="40">
        <v>0</v>
      </c>
      <c r="BP297" s="55">
        <v>-45.137999999999998</v>
      </c>
      <c r="BQ297" s="77">
        <v>4468.0523081733882</v>
      </c>
      <c r="BR297" s="40">
        <v>3633</v>
      </c>
      <c r="BS297" s="55">
        <v>-835.05230817338816</v>
      </c>
      <c r="BT297" s="674">
        <v>19768.104399190026</v>
      </c>
      <c r="BU297" s="40">
        <v>20804.281186441654</v>
      </c>
      <c r="BV297" s="52">
        <v>1036.1767872516284</v>
      </c>
      <c r="BW297" s="674">
        <v>6775.6373266364544</v>
      </c>
      <c r="BX297" s="40">
        <v>6282.8904482794042</v>
      </c>
      <c r="BY297" s="52">
        <v>-492.74687835705026</v>
      </c>
      <c r="BZ297" s="674">
        <v>6443.3340108883003</v>
      </c>
      <c r="CA297" s="40">
        <v>3181.5938468659392</v>
      </c>
      <c r="CB297" s="52">
        <v>-3261.7401640223611</v>
      </c>
      <c r="CC297" s="674">
        <v>825.35658516842886</v>
      </c>
      <c r="CD297" s="40">
        <v>867.46715242183973</v>
      </c>
      <c r="CE297" s="52">
        <v>42.110567253410863</v>
      </c>
      <c r="CF297" s="674">
        <v>100.87562999144964</v>
      </c>
      <c r="CG297" s="40">
        <v>0</v>
      </c>
      <c r="CH297" s="52">
        <v>-100.87562999144964</v>
      </c>
      <c r="CI297" s="674">
        <v>3475.1733233893628</v>
      </c>
      <c r="CJ297" s="40">
        <v>3063.2644597452472</v>
      </c>
      <c r="CK297" s="52">
        <v>-411.90886364411563</v>
      </c>
      <c r="CL297" s="674">
        <v>0</v>
      </c>
      <c r="CM297" s="40">
        <v>0</v>
      </c>
      <c r="CN297" s="52">
        <v>0</v>
      </c>
      <c r="CO297" s="39">
        <v>3475.1733233893628</v>
      </c>
      <c r="CP297" s="40">
        <v>3063.2644597452472</v>
      </c>
      <c r="CQ297" s="52">
        <v>-411.90886364411563</v>
      </c>
      <c r="CR297" s="72">
        <v>77525.308130518577</v>
      </c>
      <c r="CS297" s="5">
        <v>88225.785477088459</v>
      </c>
      <c r="CT297" s="52">
        <v>10700.477346569882</v>
      </c>
      <c r="CU297" s="77">
        <v>93030.369756622284</v>
      </c>
      <c r="CV297" s="65">
        <v>105870.94257250614</v>
      </c>
      <c r="CW297" s="35">
        <v>12840.572815883861</v>
      </c>
      <c r="CX297" s="73">
        <v>2815.819191141351</v>
      </c>
      <c r="CY297" s="40">
        <v>-10024.753624742491</v>
      </c>
      <c r="CZ297" s="52">
        <v>-12840.572815883841</v>
      </c>
      <c r="DA297" s="150">
        <v>-3260.8906695012338</v>
      </c>
      <c r="DB297" s="2">
        <v>2</v>
      </c>
      <c r="DC297" s="675">
        <v>11507.38</v>
      </c>
      <c r="DD297" s="675">
        <v>0</v>
      </c>
      <c r="DE297" s="675">
        <v>3108.4012184754756</v>
      </c>
      <c r="DF297" s="675">
        <v>0</v>
      </c>
      <c r="DG297" s="321">
        <v>-16101.463485385062</v>
      </c>
      <c r="DH297" s="40">
        <v>95838.917053276469</v>
      </c>
      <c r="DI297" s="422">
        <v>8398.9787815245236</v>
      </c>
      <c r="DJ297" s="306">
        <v>5.5829425561848733</v>
      </c>
      <c r="DK297" s="306">
        <v>5.5829425561848733</v>
      </c>
      <c r="DL297" s="306">
        <v>5.0687000046261232</v>
      </c>
      <c r="DM297" s="28">
        <v>8398.9787815245236</v>
      </c>
      <c r="DN297" s="28">
        <v>0</v>
      </c>
      <c r="DO297" s="423">
        <v>8398.9787815245236</v>
      </c>
      <c r="DP297" s="94">
        <v>0</v>
      </c>
      <c r="DQ297" s="28">
        <v>8398.9787815245236</v>
      </c>
      <c r="DR297" s="318"/>
      <c r="DT297" s="8"/>
      <c r="DU297" s="5"/>
      <c r="DX297" s="5">
        <v>21580.178046633722</v>
      </c>
      <c r="DY297" s="5">
        <v>39538.116000000002</v>
      </c>
      <c r="DZ297" s="159">
        <v>1882.4938620155544</v>
      </c>
      <c r="EB297" s="676">
        <v>-906.37893458179587</v>
      </c>
      <c r="EC297" s="676">
        <v>-1444.4678558338073</v>
      </c>
      <c r="ED297" s="676">
        <v>567.89117744943906</v>
      </c>
      <c r="EE297" s="676">
        <v>-1891.5760090868707</v>
      </c>
      <c r="EF297" s="676">
        <v>-1500.4918368412564</v>
      </c>
      <c r="EG297" s="676">
        <v>-4075.3539790023533</v>
      </c>
      <c r="EH297" s="676">
        <v>23212.178649217858</v>
      </c>
      <c r="EI297" s="676">
        <v>4434.0511091629724</v>
      </c>
      <c r="EJ297" s="676">
        <v>862.80916043283651</v>
      </c>
      <c r="EK297" s="676">
        <v>1393.0627451025794</v>
      </c>
      <c r="EL297" s="676">
        <v>-4020.0646699636291</v>
      </c>
      <c r="EM297" s="676">
        <v>-3791.0867401721453</v>
      </c>
      <c r="EN297" s="676">
        <v>12840.572815883828</v>
      </c>
      <c r="EQ297" s="5">
        <v>21580.178046633722</v>
      </c>
      <c r="ER297" s="5">
        <v>39538.116000000002</v>
      </c>
      <c r="ET297" s="318">
        <v>-18931.645738463983</v>
      </c>
      <c r="EU297" s="5">
        <v>-12218.817746921077</v>
      </c>
    </row>
    <row r="298" spans="1:151" x14ac:dyDescent="0.3">
      <c r="A298" s="325">
        <v>150000741</v>
      </c>
      <c r="B298" s="41" t="s">
        <v>744</v>
      </c>
      <c r="C298" s="42" t="s">
        <v>225</v>
      </c>
      <c r="D298" s="27">
        <v>4</v>
      </c>
      <c r="E298" s="293">
        <v>2594.3000000000002</v>
      </c>
      <c r="F298" s="305">
        <v>2273.5</v>
      </c>
      <c r="G298" s="508">
        <v>0</v>
      </c>
      <c r="H298" s="677">
        <v>320.8</v>
      </c>
      <c r="I298" s="674">
        <v>9669.9339912320538</v>
      </c>
      <c r="J298" s="40">
        <v>10565.051539433378</v>
      </c>
      <c r="K298" s="52">
        <v>895.1175482013241</v>
      </c>
      <c r="L298" s="674">
        <v>1551.0240866524732</v>
      </c>
      <c r="M298" s="40">
        <v>1697.6554794342603</v>
      </c>
      <c r="N298" s="52">
        <v>146.6313927817871</v>
      </c>
      <c r="O298" s="674">
        <v>3457.8558991160703</v>
      </c>
      <c r="P298" s="40">
        <v>3457.8600000000006</v>
      </c>
      <c r="Q298" s="52">
        <v>4.1008839302776323E-3</v>
      </c>
      <c r="R298" s="674">
        <v>0</v>
      </c>
      <c r="S298" s="40">
        <v>0</v>
      </c>
      <c r="T298" s="52">
        <v>0</v>
      </c>
      <c r="U298" s="674">
        <v>0</v>
      </c>
      <c r="V298" s="40">
        <v>0</v>
      </c>
      <c r="W298" s="52">
        <v>0</v>
      </c>
      <c r="X298" s="674">
        <v>6026.2208505158442</v>
      </c>
      <c r="Y298" s="40">
        <v>4395.0274299428629</v>
      </c>
      <c r="Z298" s="52">
        <v>-1631.1934205729813</v>
      </c>
      <c r="AA298" s="674">
        <v>332.83199999999999</v>
      </c>
      <c r="AB298" s="40">
        <v>0</v>
      </c>
      <c r="AC298" s="52">
        <v>-332.83199999999999</v>
      </c>
      <c r="AD298" s="674">
        <v>11287.257339591584</v>
      </c>
      <c r="AE298" s="40">
        <v>11026.778043022465</v>
      </c>
      <c r="AF298" s="35">
        <v>-260.47929656911947</v>
      </c>
      <c r="AG298" s="77">
        <v>32325.124167108021</v>
      </c>
      <c r="AH298" s="53">
        <v>31142.372491832968</v>
      </c>
      <c r="AI298" s="52">
        <v>-1182.7516752750525</v>
      </c>
      <c r="AJ298" s="674">
        <v>0</v>
      </c>
      <c r="AK298" s="40">
        <v>0</v>
      </c>
      <c r="AL298" s="52">
        <v>0</v>
      </c>
      <c r="AM298" s="674">
        <v>0</v>
      </c>
      <c r="AN298" s="40">
        <v>0</v>
      </c>
      <c r="AO298" s="52">
        <v>0</v>
      </c>
      <c r="AP298" s="674">
        <v>7554.6826502299919</v>
      </c>
      <c r="AQ298" s="40">
        <v>5840.9216082229605</v>
      </c>
      <c r="AR298" s="52">
        <v>-1713.7610420070314</v>
      </c>
      <c r="AS298" s="674">
        <v>30381.799157745631</v>
      </c>
      <c r="AT298" s="40">
        <v>18938.73</v>
      </c>
      <c r="AU298" s="54">
        <v>-11443.069157745631</v>
      </c>
      <c r="AV298" s="674">
        <v>2178.5325599829735</v>
      </c>
      <c r="AW298" s="40">
        <v>2364</v>
      </c>
      <c r="AX298" s="55">
        <v>185.46744001702655</v>
      </c>
      <c r="AY298" s="674">
        <v>2542.3835261072704</v>
      </c>
      <c r="AZ298" s="40">
        <v>0</v>
      </c>
      <c r="BA298" s="35">
        <v>-2542.3835261072704</v>
      </c>
      <c r="BB298" s="674">
        <v>1582.1855232717558</v>
      </c>
      <c r="BC298" s="40">
        <v>0</v>
      </c>
      <c r="BD298" s="55">
        <v>-1582.1855232717558</v>
      </c>
      <c r="BE298" s="674">
        <v>0</v>
      </c>
      <c r="BF298" s="40">
        <v>0</v>
      </c>
      <c r="BG298" s="38">
        <v>0</v>
      </c>
      <c r="BH298" s="674">
        <v>0</v>
      </c>
      <c r="BI298" s="40">
        <v>0</v>
      </c>
      <c r="BJ298" s="55">
        <v>0</v>
      </c>
      <c r="BK298" s="674">
        <v>1397.5709649961952</v>
      </c>
      <c r="BL298" s="40">
        <v>993</v>
      </c>
      <c r="BM298" s="38">
        <v>-404.57096499619524</v>
      </c>
      <c r="BN298" s="674">
        <v>83.207999999999998</v>
      </c>
      <c r="BO298" s="40">
        <v>0</v>
      </c>
      <c r="BP298" s="55">
        <v>-83.207999999999998</v>
      </c>
      <c r="BQ298" s="77">
        <v>7783.8805743581952</v>
      </c>
      <c r="BR298" s="40">
        <v>3357</v>
      </c>
      <c r="BS298" s="55">
        <v>-4426.8805743581952</v>
      </c>
      <c r="BT298" s="674">
        <v>25557.012815171765</v>
      </c>
      <c r="BU298" s="40">
        <v>28958.17742771043</v>
      </c>
      <c r="BV298" s="52">
        <v>3401.1646125386651</v>
      </c>
      <c r="BW298" s="674">
        <v>15987.178225319745</v>
      </c>
      <c r="BX298" s="40">
        <v>15245.029190730909</v>
      </c>
      <c r="BY298" s="52">
        <v>-742.149034588836</v>
      </c>
      <c r="BZ298" s="674">
        <v>8288.6110309008473</v>
      </c>
      <c r="CA298" s="40">
        <v>6991.2271421759679</v>
      </c>
      <c r="CB298" s="52">
        <v>-1297.3838887248794</v>
      </c>
      <c r="CC298" s="674">
        <v>0</v>
      </c>
      <c r="CD298" s="40">
        <v>0</v>
      </c>
      <c r="CE298" s="52">
        <v>0</v>
      </c>
      <c r="CF298" s="674">
        <v>0</v>
      </c>
      <c r="CG298" s="40">
        <v>0</v>
      </c>
      <c r="CH298" s="52">
        <v>0</v>
      </c>
      <c r="CI298" s="674">
        <v>1777.3066616946815</v>
      </c>
      <c r="CJ298" s="40">
        <v>1286.5133270664262</v>
      </c>
      <c r="CK298" s="52">
        <v>-490.79333462825525</v>
      </c>
      <c r="CL298" s="674">
        <v>0</v>
      </c>
      <c r="CM298" s="40">
        <v>0</v>
      </c>
      <c r="CN298" s="52">
        <v>0</v>
      </c>
      <c r="CO298" s="39">
        <v>1777.3066616946815</v>
      </c>
      <c r="CP298" s="40">
        <v>1286.5133270664262</v>
      </c>
      <c r="CQ298" s="52">
        <v>-490.79333462825525</v>
      </c>
      <c r="CR298" s="72">
        <v>129655.59528252887</v>
      </c>
      <c r="CS298" s="5">
        <v>111759.97118773966</v>
      </c>
      <c r="CT298" s="52">
        <v>-17895.624094789207</v>
      </c>
      <c r="CU298" s="77">
        <v>155586.71433903463</v>
      </c>
      <c r="CV298" s="65">
        <v>134111.96542528758</v>
      </c>
      <c r="CW298" s="35">
        <v>-21474.748913747055</v>
      </c>
      <c r="CX298" s="73">
        <v>4751.1120466785451</v>
      </c>
      <c r="CY298" s="40">
        <v>26225.860960425598</v>
      </c>
      <c r="CZ298" s="52">
        <v>21474.748913747055</v>
      </c>
      <c r="DA298" s="150">
        <v>5141.0250369481328</v>
      </c>
      <c r="DB298" s="2">
        <v>2</v>
      </c>
      <c r="DC298" s="675">
        <v>22733.68</v>
      </c>
      <c r="DD298" s="675">
        <v>742.02</v>
      </c>
      <c r="DE298" s="675">
        <v>10364.871305411747</v>
      </c>
      <c r="DF298" s="675">
        <v>-748.30737780551544</v>
      </c>
      <c r="DG298" s="321">
        <v>26615.773950695191</v>
      </c>
      <c r="DH298" s="40">
        <v>160325.0436000996</v>
      </c>
      <c r="DI298" s="422">
        <v>13859.136072393771</v>
      </c>
      <c r="DJ298" s="306">
        <v>5.4404260807513758</v>
      </c>
      <c r="DK298" s="306">
        <v>5.4404260807513758</v>
      </c>
      <c r="DL298" s="306">
        <v>4.6456589083713071</v>
      </c>
      <c r="DM298" s="28">
        <v>12368.808694588253</v>
      </c>
      <c r="DN298" s="28">
        <v>1490.3273778055154</v>
      </c>
      <c r="DO298" s="423">
        <v>13859.136072393769</v>
      </c>
      <c r="DP298" s="94">
        <v>0</v>
      </c>
      <c r="DQ298" s="28">
        <v>13859.136072393769</v>
      </c>
      <c r="DR298" s="318"/>
      <c r="DT298" s="8"/>
      <c r="DU298" s="5"/>
      <c r="DX298" s="5">
        <v>45798.815678524588</v>
      </c>
      <c r="DY298" s="5">
        <v>26754.876</v>
      </c>
      <c r="DZ298" s="159">
        <v>3929.501895188655</v>
      </c>
      <c r="EB298" s="676">
        <v>-1850.5629128266955</v>
      </c>
      <c r="EC298" s="676">
        <v>-2046.516080007681</v>
      </c>
      <c r="ED298" s="676">
        <v>-1085.7276682052598</v>
      </c>
      <c r="EE298" s="676">
        <v>-4426.8269203537802</v>
      </c>
      <c r="EF298" s="676">
        <v>-4273.5682283294791</v>
      </c>
      <c r="EG298" s="676">
        <v>-6698.0609496407824</v>
      </c>
      <c r="EH298" s="676">
        <v>-4438.9725735261218</v>
      </c>
      <c r="EI298" s="676">
        <v>1794.6452524761316</v>
      </c>
      <c r="EJ298" s="676">
        <v>-1937.0078991550272</v>
      </c>
      <c r="EK298" s="676">
        <v>-4066.5164919461731</v>
      </c>
      <c r="EL298" s="676">
        <v>6743.8756309471355</v>
      </c>
      <c r="EM298" s="676">
        <v>810.48992682067546</v>
      </c>
      <c r="EN298" s="676">
        <v>-21474.748913747058</v>
      </c>
      <c r="EQ298" s="5">
        <v>45798.815678524588</v>
      </c>
      <c r="ER298" s="5">
        <v>26754.876</v>
      </c>
      <c r="ET298" s="318">
        <v>6369.9079702763011</v>
      </c>
      <c r="EU298" s="5">
        <v>22266.865980418883</v>
      </c>
    </row>
    <row r="299" spans="1:151" x14ac:dyDescent="0.3">
      <c r="A299" s="325">
        <v>150000742</v>
      </c>
      <c r="B299" s="41" t="s">
        <v>745</v>
      </c>
      <c r="C299" s="42" t="s">
        <v>291</v>
      </c>
      <c r="D299" s="27">
        <v>5</v>
      </c>
      <c r="E299" s="293">
        <v>1869.4</v>
      </c>
      <c r="F299" s="305">
        <v>1700.4</v>
      </c>
      <c r="G299" s="508">
        <v>0</v>
      </c>
      <c r="H299" s="677">
        <v>169</v>
      </c>
      <c r="I299" s="674">
        <v>5969.0184943533222</v>
      </c>
      <c r="J299" s="40">
        <v>6530.6792703732053</v>
      </c>
      <c r="K299" s="52">
        <v>561.66077601988309</v>
      </c>
      <c r="L299" s="674">
        <v>1148.489551982289</v>
      </c>
      <c r="M299" s="40">
        <v>1257.0642074638199</v>
      </c>
      <c r="N299" s="52">
        <v>108.57465548153095</v>
      </c>
      <c r="O299" s="674">
        <v>2450.0824466292802</v>
      </c>
      <c r="P299" s="40">
        <v>2450.0700000000002</v>
      </c>
      <c r="Q299" s="52">
        <v>-1.2446629280020716E-2</v>
      </c>
      <c r="R299" s="674">
        <v>0</v>
      </c>
      <c r="S299" s="40">
        <v>0</v>
      </c>
      <c r="T299" s="52">
        <v>0</v>
      </c>
      <c r="U299" s="674">
        <v>0</v>
      </c>
      <c r="V299" s="40">
        <v>0</v>
      </c>
      <c r="W299" s="52">
        <v>0</v>
      </c>
      <c r="X299" s="674">
        <v>3020.6156431637996</v>
      </c>
      <c r="Y299" s="40">
        <v>4200.767895037473</v>
      </c>
      <c r="Z299" s="52">
        <v>1180.1522518736733</v>
      </c>
      <c r="AA299" s="674">
        <v>214.65600000000001</v>
      </c>
      <c r="AB299" s="40">
        <v>0</v>
      </c>
      <c r="AC299" s="52">
        <v>-214.65600000000001</v>
      </c>
      <c r="AD299" s="674">
        <v>7922.7105493581776</v>
      </c>
      <c r="AE299" s="40">
        <v>7942.7045772405363</v>
      </c>
      <c r="AF299" s="35">
        <v>19.994027882358751</v>
      </c>
      <c r="AG299" s="77">
        <v>20725.57268548687</v>
      </c>
      <c r="AH299" s="53">
        <v>22381.285950115034</v>
      </c>
      <c r="AI299" s="52">
        <v>1655.7132646281643</v>
      </c>
      <c r="AJ299" s="674">
        <v>0</v>
      </c>
      <c r="AK299" s="40">
        <v>0</v>
      </c>
      <c r="AL299" s="52">
        <v>0</v>
      </c>
      <c r="AM299" s="674">
        <v>0</v>
      </c>
      <c r="AN299" s="40">
        <v>0</v>
      </c>
      <c r="AO299" s="52">
        <v>0</v>
      </c>
      <c r="AP299" s="674">
        <v>4721.6766563937463</v>
      </c>
      <c r="AQ299" s="40">
        <v>3662.7106615274147</v>
      </c>
      <c r="AR299" s="52">
        <v>-1058.9659948663316</v>
      </c>
      <c r="AS299" s="674">
        <v>19123.338262886646</v>
      </c>
      <c r="AT299" s="40">
        <v>380</v>
      </c>
      <c r="AU299" s="54">
        <v>-18743.338262886646</v>
      </c>
      <c r="AV299" s="674">
        <v>1361.5405706251984</v>
      </c>
      <c r="AW299" s="40">
        <v>0</v>
      </c>
      <c r="AX299" s="55">
        <v>-1361.5405706251984</v>
      </c>
      <c r="AY299" s="674">
        <v>1882.6918176114468</v>
      </c>
      <c r="AZ299" s="40">
        <v>0</v>
      </c>
      <c r="BA299" s="35">
        <v>-1882.6918176114468</v>
      </c>
      <c r="BB299" s="674">
        <v>1163.0130849421437</v>
      </c>
      <c r="BC299" s="40">
        <v>0</v>
      </c>
      <c r="BD299" s="55">
        <v>-1163.0130849421437</v>
      </c>
      <c r="BE299" s="674">
        <v>0</v>
      </c>
      <c r="BF299" s="40">
        <v>0</v>
      </c>
      <c r="BG299" s="38">
        <v>0</v>
      </c>
      <c r="BH299" s="674">
        <v>0</v>
      </c>
      <c r="BI299" s="40">
        <v>0</v>
      </c>
      <c r="BJ299" s="55">
        <v>0</v>
      </c>
      <c r="BK299" s="674">
        <v>599.32531556276103</v>
      </c>
      <c r="BL299" s="40">
        <v>1811</v>
      </c>
      <c r="BM299" s="38">
        <v>1211.674684437239</v>
      </c>
      <c r="BN299" s="674">
        <v>53.664000000000001</v>
      </c>
      <c r="BO299" s="40">
        <v>474</v>
      </c>
      <c r="BP299" s="55">
        <v>420.33600000000001</v>
      </c>
      <c r="BQ299" s="77">
        <v>5060.2347887415499</v>
      </c>
      <c r="BR299" s="40">
        <v>2285</v>
      </c>
      <c r="BS299" s="55">
        <v>-2775.2347887415499</v>
      </c>
      <c r="BT299" s="674">
        <v>14362.083167389606</v>
      </c>
      <c r="BU299" s="40">
        <v>19556.983941128292</v>
      </c>
      <c r="BV299" s="52">
        <v>5194.9007737386855</v>
      </c>
      <c r="BW299" s="674">
        <v>8177.1946227365261</v>
      </c>
      <c r="BX299" s="40">
        <v>7999.4230151139136</v>
      </c>
      <c r="BY299" s="52">
        <v>-177.77160762261246</v>
      </c>
      <c r="BZ299" s="674">
        <v>8287.9452560059017</v>
      </c>
      <c r="CA299" s="40">
        <v>4550.1385640942281</v>
      </c>
      <c r="CB299" s="52">
        <v>-3737.8066919116736</v>
      </c>
      <c r="CC299" s="674">
        <v>1411.7210278301748</v>
      </c>
      <c r="CD299" s="40">
        <v>1483.7485300683318</v>
      </c>
      <c r="CE299" s="52">
        <v>72.027502238157012</v>
      </c>
      <c r="CF299" s="674">
        <v>172.5414816015367</v>
      </c>
      <c r="CG299" s="40">
        <v>0</v>
      </c>
      <c r="CH299" s="52">
        <v>-172.5414816015367</v>
      </c>
      <c r="CI299" s="674">
        <v>3802.7587765788207</v>
      </c>
      <c r="CJ299" s="40">
        <v>2977.4885910545318</v>
      </c>
      <c r="CK299" s="52">
        <v>-825.27018552428899</v>
      </c>
      <c r="CL299" s="674">
        <v>0</v>
      </c>
      <c r="CM299" s="40">
        <v>0</v>
      </c>
      <c r="CN299" s="52">
        <v>0</v>
      </c>
      <c r="CO299" s="39">
        <v>3802.7587765788207</v>
      </c>
      <c r="CP299" s="40">
        <v>2977.4885910545318</v>
      </c>
      <c r="CQ299" s="52">
        <v>-825.27018552428899</v>
      </c>
      <c r="CR299" s="72">
        <v>85845.066725651384</v>
      </c>
      <c r="CS299" s="5">
        <v>65276.77925310174</v>
      </c>
      <c r="CT299" s="52">
        <v>-20568.287472549644</v>
      </c>
      <c r="CU299" s="77">
        <v>103014.08007078165</v>
      </c>
      <c r="CV299" s="65">
        <v>78332.135103722088</v>
      </c>
      <c r="CW299" s="35">
        <v>-24681.944967059564</v>
      </c>
      <c r="CX299" s="73">
        <v>2687.307136762367</v>
      </c>
      <c r="CY299" s="40">
        <v>27369.252103821898</v>
      </c>
      <c r="CZ299" s="52">
        <v>24681.944967059531</v>
      </c>
      <c r="DA299" s="150">
        <v>-9974.4525086939175</v>
      </c>
      <c r="DB299" s="2">
        <v>2</v>
      </c>
      <c r="DC299" s="675">
        <v>24645.279999999999</v>
      </c>
      <c r="DD299" s="675">
        <v>990.54000000000008</v>
      </c>
      <c r="DE299" s="675">
        <v>16067.806336448972</v>
      </c>
      <c r="DF299" s="675">
        <v>229.62084330232722</v>
      </c>
      <c r="DG299" s="321">
        <v>14707.492458365625</v>
      </c>
      <c r="DH299" s="40">
        <v>105693.61252890692</v>
      </c>
      <c r="DI299" s="422">
        <v>9338.3928202487004</v>
      </c>
      <c r="DJ299" s="306">
        <v>5.0443858289526151</v>
      </c>
      <c r="DK299" s="306">
        <v>5.0443858289526151</v>
      </c>
      <c r="DL299" s="306">
        <v>4.502480217145993</v>
      </c>
      <c r="DM299" s="28">
        <v>8577.4736635510271</v>
      </c>
      <c r="DN299" s="28">
        <v>760.91915669767286</v>
      </c>
      <c r="DO299" s="423">
        <v>9338.3928202487004</v>
      </c>
      <c r="DP299" s="94">
        <v>0</v>
      </c>
      <c r="DQ299" s="28">
        <v>9338.3928202487004</v>
      </c>
      <c r="DR299" s="318"/>
      <c r="DT299" s="8"/>
      <c r="DU299" s="5"/>
      <c r="DX299" s="5">
        <v>29020.287661953833</v>
      </c>
      <c r="DY299" s="5">
        <v>3198</v>
      </c>
      <c r="DZ299" s="159">
        <v>2639.9756909472949</v>
      </c>
      <c r="EB299" s="676">
        <v>-902.81816477026587</v>
      </c>
      <c r="EC299" s="676">
        <v>-1473.6400244717752</v>
      </c>
      <c r="ED299" s="676">
        <v>-767.15622714778146</v>
      </c>
      <c r="EE299" s="676">
        <v>-3160.7793391163723</v>
      </c>
      <c r="EF299" s="676">
        <v>-2123.2567909105001</v>
      </c>
      <c r="EG299" s="676">
        <v>-3055.6267707320503</v>
      </c>
      <c r="EH299" s="676">
        <v>-2117.7124682635003</v>
      </c>
      <c r="EI299" s="676">
        <v>-1459.2362286983007</v>
      </c>
      <c r="EJ299" s="676">
        <v>-2622.1503305964907</v>
      </c>
      <c r="EK299" s="676">
        <v>-2942.0121844903279</v>
      </c>
      <c r="EL299" s="676">
        <v>-3244.6390584082874</v>
      </c>
      <c r="EM299" s="676">
        <v>-812.91737945389104</v>
      </c>
      <c r="EN299" s="676">
        <v>-24681.944967059542</v>
      </c>
      <c r="EQ299" s="5">
        <v>29020.287661953833</v>
      </c>
      <c r="ER299" s="5">
        <v>3198</v>
      </c>
      <c r="ET299" s="318">
        <v>32354.784616263754</v>
      </c>
      <c r="EU299" s="5">
        <v>-13749.292157898137</v>
      </c>
    </row>
    <row r="300" spans="1:151" x14ac:dyDescent="0.3">
      <c r="A300" s="325">
        <v>150000745</v>
      </c>
      <c r="B300" s="41" t="s">
        <v>746</v>
      </c>
      <c r="C300" s="42" t="s">
        <v>134</v>
      </c>
      <c r="D300" s="27">
        <v>1</v>
      </c>
      <c r="E300" s="293">
        <v>275.3</v>
      </c>
      <c r="F300" s="305">
        <v>275.3</v>
      </c>
      <c r="G300" s="508">
        <v>0</v>
      </c>
      <c r="H300" s="677">
        <v>0</v>
      </c>
      <c r="I300" s="674">
        <v>0</v>
      </c>
      <c r="J300" s="40">
        <v>0</v>
      </c>
      <c r="K300" s="52">
        <v>0</v>
      </c>
      <c r="L300" s="674">
        <v>0</v>
      </c>
      <c r="M300" s="40">
        <v>0</v>
      </c>
      <c r="N300" s="52">
        <v>0</v>
      </c>
      <c r="O300" s="674">
        <v>0</v>
      </c>
      <c r="P300" s="40">
        <v>0</v>
      </c>
      <c r="Q300" s="52">
        <v>0</v>
      </c>
      <c r="R300" s="674">
        <v>0</v>
      </c>
      <c r="S300" s="40">
        <v>0</v>
      </c>
      <c r="T300" s="52">
        <v>0</v>
      </c>
      <c r="U300" s="674">
        <v>0</v>
      </c>
      <c r="V300" s="40">
        <v>0</v>
      </c>
      <c r="W300" s="52">
        <v>0</v>
      </c>
      <c r="X300" s="674">
        <v>0</v>
      </c>
      <c r="Y300" s="40">
        <v>0</v>
      </c>
      <c r="Z300" s="52">
        <v>0</v>
      </c>
      <c r="AA300" s="674">
        <v>33.036000000000001</v>
      </c>
      <c r="AB300" s="40">
        <v>0</v>
      </c>
      <c r="AC300" s="52">
        <v>-33.036000000000001</v>
      </c>
      <c r="AD300" s="674">
        <v>264.45555988878255</v>
      </c>
      <c r="AE300" s="40">
        <v>1169.6731231327108</v>
      </c>
      <c r="AF300" s="35">
        <v>905.21756324392823</v>
      </c>
      <c r="AG300" s="77">
        <v>297.49155988878255</v>
      </c>
      <c r="AH300" s="53">
        <v>1169.6731231327108</v>
      </c>
      <c r="AI300" s="52">
        <v>872.18156324392817</v>
      </c>
      <c r="AJ300" s="674">
        <v>0</v>
      </c>
      <c r="AK300" s="40">
        <v>0</v>
      </c>
      <c r="AL300" s="52">
        <v>0</v>
      </c>
      <c r="AM300" s="674">
        <v>0</v>
      </c>
      <c r="AN300" s="40">
        <v>0</v>
      </c>
      <c r="AO300" s="52">
        <v>0</v>
      </c>
      <c r="AP300" s="674">
        <v>809.43028395321335</v>
      </c>
      <c r="AQ300" s="40">
        <v>673.14674884486317</v>
      </c>
      <c r="AR300" s="52">
        <v>-136.28353510835018</v>
      </c>
      <c r="AS300" s="674">
        <v>2369.603323196744</v>
      </c>
      <c r="AT300" s="40">
        <v>0</v>
      </c>
      <c r="AU300" s="54">
        <v>-2369.603323196744</v>
      </c>
      <c r="AV300" s="674">
        <v>0</v>
      </c>
      <c r="AW300" s="40">
        <v>0</v>
      </c>
      <c r="AX300" s="55">
        <v>0</v>
      </c>
      <c r="AY300" s="674">
        <v>0</v>
      </c>
      <c r="AZ300" s="40">
        <v>0</v>
      </c>
      <c r="BA300" s="35">
        <v>0</v>
      </c>
      <c r="BB300" s="674">
        <v>0</v>
      </c>
      <c r="BC300" s="40">
        <v>0</v>
      </c>
      <c r="BD300" s="55">
        <v>0</v>
      </c>
      <c r="BE300" s="674">
        <v>0</v>
      </c>
      <c r="BF300" s="40">
        <v>0</v>
      </c>
      <c r="BG300" s="38">
        <v>0</v>
      </c>
      <c r="BH300" s="674">
        <v>0</v>
      </c>
      <c r="BI300" s="40">
        <v>0</v>
      </c>
      <c r="BJ300" s="55">
        <v>0</v>
      </c>
      <c r="BK300" s="674">
        <v>0</v>
      </c>
      <c r="BL300" s="40">
        <v>0</v>
      </c>
      <c r="BM300" s="38">
        <v>0</v>
      </c>
      <c r="BN300" s="674">
        <v>8.2590000000000003</v>
      </c>
      <c r="BO300" s="40">
        <v>0</v>
      </c>
      <c r="BP300" s="55">
        <v>-8.2590000000000003</v>
      </c>
      <c r="BQ300" s="77">
        <v>8.2590000000000003</v>
      </c>
      <c r="BR300" s="40">
        <v>0</v>
      </c>
      <c r="BS300" s="55">
        <v>-8.2590000000000003</v>
      </c>
      <c r="BT300" s="674">
        <v>448.63145164120328</v>
      </c>
      <c r="BU300" s="40">
        <v>616.51282742698459</v>
      </c>
      <c r="BV300" s="52">
        <v>167.8813757857813</v>
      </c>
      <c r="BW300" s="674">
        <v>0</v>
      </c>
      <c r="BX300" s="40">
        <v>6.2621609245219547</v>
      </c>
      <c r="BY300" s="52">
        <v>6.2621609245219547</v>
      </c>
      <c r="BZ300" s="674">
        <v>0</v>
      </c>
      <c r="CA300" s="40">
        <v>187.73663823722706</v>
      </c>
      <c r="CB300" s="52">
        <v>187.73663823722706</v>
      </c>
      <c r="CC300" s="674">
        <v>0</v>
      </c>
      <c r="CD300" s="40">
        <v>0</v>
      </c>
      <c r="CE300" s="52">
        <v>0</v>
      </c>
      <c r="CF300" s="674">
        <v>0</v>
      </c>
      <c r="CG300" s="40">
        <v>0</v>
      </c>
      <c r="CH300" s="52">
        <v>0</v>
      </c>
      <c r="CI300" s="674">
        <v>0</v>
      </c>
      <c r="CJ300" s="40">
        <v>0</v>
      </c>
      <c r="CK300" s="52">
        <v>0</v>
      </c>
      <c r="CL300" s="674">
        <v>0</v>
      </c>
      <c r="CM300" s="40">
        <v>0</v>
      </c>
      <c r="CN300" s="52">
        <v>0</v>
      </c>
      <c r="CO300" s="39">
        <v>0</v>
      </c>
      <c r="CP300" s="40">
        <v>0</v>
      </c>
      <c r="CQ300" s="52">
        <v>0</v>
      </c>
      <c r="CR300" s="72">
        <v>3933.4156186799428</v>
      </c>
      <c r="CS300" s="5">
        <v>2653.3314985663073</v>
      </c>
      <c r="CT300" s="52">
        <v>-1280.0841201136354</v>
      </c>
      <c r="CU300" s="77">
        <v>4720.0987424159312</v>
      </c>
      <c r="CV300" s="65">
        <v>3183.9977982795685</v>
      </c>
      <c r="CW300" s="35">
        <v>-1536.1009441363626</v>
      </c>
      <c r="CX300" s="73">
        <v>142.73496758244474</v>
      </c>
      <c r="CY300" s="40">
        <v>1678.8359117188083</v>
      </c>
      <c r="CZ300" s="52">
        <v>1536.1009441363635</v>
      </c>
      <c r="DA300" s="150">
        <v>-7150.0452857462969</v>
      </c>
      <c r="DB300" s="2">
        <v>2</v>
      </c>
      <c r="DC300" s="675">
        <v>1328.47</v>
      </c>
      <c r="DD300" s="675">
        <v>0</v>
      </c>
      <c r="DE300" s="675">
        <v>901.73901693265043</v>
      </c>
      <c r="DF300" s="675">
        <v>0</v>
      </c>
      <c r="DG300" s="321">
        <v>-5613.9443416099339</v>
      </c>
      <c r="DH300" s="40">
        <v>4862.4667097480806</v>
      </c>
      <c r="DI300" s="422">
        <v>426.73098306734965</v>
      </c>
      <c r="DJ300" s="306">
        <v>1.5500580569100968</v>
      </c>
      <c r="DK300" s="306">
        <v>1.5500580569100968</v>
      </c>
      <c r="DL300" s="306">
        <v>1.5500580569100968</v>
      </c>
      <c r="DM300" s="28">
        <v>426.73098306734965</v>
      </c>
      <c r="DN300" s="28">
        <v>0</v>
      </c>
      <c r="DO300" s="423">
        <v>426.73098306734965</v>
      </c>
      <c r="DP300" s="94">
        <v>0</v>
      </c>
      <c r="DQ300" s="28">
        <v>426.73098306734965</v>
      </c>
      <c r="DR300" s="318"/>
      <c r="DT300" s="8"/>
      <c r="DU300" s="5"/>
      <c r="DX300" s="5">
        <v>2853.4347878360927</v>
      </c>
      <c r="DY300" s="5">
        <v>0</v>
      </c>
      <c r="DZ300" s="159">
        <v>271.2737955636872</v>
      </c>
      <c r="EB300" s="676">
        <v>255.60664737089724</v>
      </c>
      <c r="EC300" s="676">
        <v>-176.35437231317573</v>
      </c>
      <c r="ED300" s="676">
        <v>-171.36963533963356</v>
      </c>
      <c r="EE300" s="676">
        <v>-333.52513924347238</v>
      </c>
      <c r="EF300" s="676">
        <v>-206.48617147038397</v>
      </c>
      <c r="EG300" s="676">
        <v>-171.724559682462</v>
      </c>
      <c r="EH300" s="676">
        <v>186.4891727120642</v>
      </c>
      <c r="EI300" s="676">
        <v>-164.11189444464017</v>
      </c>
      <c r="EJ300" s="676">
        <v>-208.26649339164024</v>
      </c>
      <c r="EK300" s="676">
        <v>-146.24914431530635</v>
      </c>
      <c r="EL300" s="676">
        <v>-186.30711488914122</v>
      </c>
      <c r="EM300" s="676">
        <v>-213.80223912946931</v>
      </c>
      <c r="EN300" s="676">
        <v>-1536.1009441363635</v>
      </c>
      <c r="EQ300" s="5">
        <v>2853.4347878360927</v>
      </c>
      <c r="ER300" s="5">
        <v>0</v>
      </c>
      <c r="ET300" s="318">
        <v>-1557.1669132401414</v>
      </c>
      <c r="EU300" s="5">
        <v>-1302.7774283697931</v>
      </c>
    </row>
    <row r="301" spans="1:151" ht="13.95" customHeight="1" x14ac:dyDescent="0.3">
      <c r="A301" s="325">
        <v>150001094</v>
      </c>
      <c r="B301" s="41" t="s">
        <v>747</v>
      </c>
      <c r="C301" s="42" t="s">
        <v>186</v>
      </c>
      <c r="D301" s="27">
        <v>1</v>
      </c>
      <c r="E301" s="293">
        <v>304.89999999999998</v>
      </c>
      <c r="F301" s="305">
        <v>304.89999999999998</v>
      </c>
      <c r="G301" s="508">
        <v>0</v>
      </c>
      <c r="H301" s="677">
        <v>0</v>
      </c>
      <c r="I301" s="674">
        <v>0</v>
      </c>
      <c r="J301" s="40">
        <v>40.091927563084234</v>
      </c>
      <c r="K301" s="52">
        <v>40.091927563084234</v>
      </c>
      <c r="L301" s="674">
        <v>0</v>
      </c>
      <c r="M301" s="40">
        <v>0</v>
      </c>
      <c r="N301" s="52">
        <v>0</v>
      </c>
      <c r="O301" s="674">
        <v>0</v>
      </c>
      <c r="P301" s="40">
        <v>0</v>
      </c>
      <c r="Q301" s="52">
        <v>0</v>
      </c>
      <c r="R301" s="674">
        <v>0</v>
      </c>
      <c r="S301" s="40">
        <v>0</v>
      </c>
      <c r="T301" s="52">
        <v>0</v>
      </c>
      <c r="U301" s="674">
        <v>0</v>
      </c>
      <c r="V301" s="40">
        <v>0</v>
      </c>
      <c r="W301" s="52">
        <v>0</v>
      </c>
      <c r="X301" s="674">
        <v>459.88509589652767</v>
      </c>
      <c r="Y301" s="40">
        <v>294.49857588610951</v>
      </c>
      <c r="Z301" s="52">
        <v>-165.38652001041817</v>
      </c>
      <c r="AA301" s="674">
        <v>36.6</v>
      </c>
      <c r="AB301" s="40">
        <v>0</v>
      </c>
      <c r="AC301" s="52">
        <v>-36.6</v>
      </c>
      <c r="AD301" s="674">
        <v>1252.608868080061</v>
      </c>
      <c r="AE301" s="40">
        <v>1295.4352896591481</v>
      </c>
      <c r="AF301" s="35">
        <v>42.826421579087082</v>
      </c>
      <c r="AG301" s="77">
        <v>1749.0939639765888</v>
      </c>
      <c r="AH301" s="53">
        <v>1630.025793108342</v>
      </c>
      <c r="AI301" s="52">
        <v>-119.06817086824685</v>
      </c>
      <c r="AJ301" s="674">
        <v>0</v>
      </c>
      <c r="AK301" s="40">
        <v>0</v>
      </c>
      <c r="AL301" s="52">
        <v>0</v>
      </c>
      <c r="AM301" s="674">
        <v>0</v>
      </c>
      <c r="AN301" s="40">
        <v>0</v>
      </c>
      <c r="AO301" s="52">
        <v>0</v>
      </c>
      <c r="AP301" s="674">
        <v>0</v>
      </c>
      <c r="AQ301" s="40">
        <v>0</v>
      </c>
      <c r="AR301" s="52">
        <v>0</v>
      </c>
      <c r="AS301" s="674">
        <v>4717.5878051820346</v>
      </c>
      <c r="AT301" s="40">
        <v>0</v>
      </c>
      <c r="AU301" s="54">
        <v>-4717.5878051820346</v>
      </c>
      <c r="AV301" s="674">
        <v>0</v>
      </c>
      <c r="AW301" s="40">
        <v>0</v>
      </c>
      <c r="AX301" s="55">
        <v>0</v>
      </c>
      <c r="AY301" s="674">
        <v>0</v>
      </c>
      <c r="AZ301" s="40">
        <v>0</v>
      </c>
      <c r="BA301" s="35">
        <v>0</v>
      </c>
      <c r="BB301" s="674">
        <v>0</v>
      </c>
      <c r="BC301" s="40">
        <v>0</v>
      </c>
      <c r="BD301" s="55">
        <v>0</v>
      </c>
      <c r="BE301" s="674">
        <v>0</v>
      </c>
      <c r="BF301" s="40">
        <v>0</v>
      </c>
      <c r="BG301" s="38">
        <v>0</v>
      </c>
      <c r="BH301" s="674">
        <v>0</v>
      </c>
      <c r="BI301" s="40">
        <v>0</v>
      </c>
      <c r="BJ301" s="55">
        <v>0</v>
      </c>
      <c r="BK301" s="674">
        <v>128.41201808775151</v>
      </c>
      <c r="BL301" s="40">
        <v>0</v>
      </c>
      <c r="BM301" s="38">
        <v>-128.41201808775151</v>
      </c>
      <c r="BN301" s="674">
        <v>9.15</v>
      </c>
      <c r="BO301" s="40">
        <v>0</v>
      </c>
      <c r="BP301" s="55">
        <v>-9.15</v>
      </c>
      <c r="BQ301" s="77">
        <v>137.56201808775151</v>
      </c>
      <c r="BR301" s="40">
        <v>0</v>
      </c>
      <c r="BS301" s="55">
        <v>-137.56201808775151</v>
      </c>
      <c r="BT301" s="674">
        <v>0</v>
      </c>
      <c r="BU301" s="40">
        <v>0</v>
      </c>
      <c r="BV301" s="52">
        <v>0</v>
      </c>
      <c r="BW301" s="674">
        <v>175.33342458799973</v>
      </c>
      <c r="BX301" s="40">
        <v>8.2585269002946209</v>
      </c>
      <c r="BY301" s="52">
        <v>-167.07489768770512</v>
      </c>
      <c r="BZ301" s="674">
        <v>0</v>
      </c>
      <c r="CA301" s="40">
        <v>0</v>
      </c>
      <c r="CB301" s="52">
        <v>0</v>
      </c>
      <c r="CC301" s="674">
        <v>0</v>
      </c>
      <c r="CD301" s="40">
        <v>0</v>
      </c>
      <c r="CE301" s="52">
        <v>0</v>
      </c>
      <c r="CF301" s="674">
        <v>0</v>
      </c>
      <c r="CG301" s="40">
        <v>0</v>
      </c>
      <c r="CH301" s="52">
        <v>0</v>
      </c>
      <c r="CI301" s="674">
        <v>158.96071941447047</v>
      </c>
      <c r="CJ301" s="40">
        <v>130.17792023636619</v>
      </c>
      <c r="CK301" s="52">
        <v>-28.782799178104284</v>
      </c>
      <c r="CL301" s="674">
        <v>0</v>
      </c>
      <c r="CM301" s="40">
        <v>0</v>
      </c>
      <c r="CN301" s="52">
        <v>0</v>
      </c>
      <c r="CO301" s="39">
        <v>158.96071941447047</v>
      </c>
      <c r="CP301" s="40">
        <v>130.17792023636619</v>
      </c>
      <c r="CQ301" s="52">
        <v>-28.782799178104284</v>
      </c>
      <c r="CR301" s="72">
        <v>6938.5379312488449</v>
      </c>
      <c r="CS301" s="5">
        <v>1768.4622402450027</v>
      </c>
      <c r="CT301" s="52">
        <v>-5170.0756910038417</v>
      </c>
      <c r="CU301" s="77">
        <v>8326.2455174986135</v>
      </c>
      <c r="CV301" s="65">
        <v>2122.1546882940033</v>
      </c>
      <c r="CW301" s="35">
        <v>-6204.0908292046097</v>
      </c>
      <c r="CX301" s="73">
        <v>251.71417063091937</v>
      </c>
      <c r="CY301" s="40">
        <v>6455.8049998355291</v>
      </c>
      <c r="CZ301" s="52">
        <v>6204.0908292046097</v>
      </c>
      <c r="DA301" s="150">
        <v>-5271.6586713342431</v>
      </c>
      <c r="DB301" s="2">
        <v>1</v>
      </c>
      <c r="DC301" s="675">
        <v>1013.14</v>
      </c>
      <c r="DD301" s="675">
        <v>0</v>
      </c>
      <c r="DE301" s="675">
        <v>260.07340741996393</v>
      </c>
      <c r="DF301" s="675">
        <v>0</v>
      </c>
      <c r="DG301" s="321">
        <v>932.43215787036638</v>
      </c>
      <c r="DH301" s="40">
        <v>8577.313339821314</v>
      </c>
      <c r="DI301" s="422">
        <v>753.06659258003606</v>
      </c>
      <c r="DJ301" s="306">
        <v>2.4698805922598757</v>
      </c>
      <c r="DK301" s="306">
        <v>2.4698805922598757</v>
      </c>
      <c r="DL301" s="306">
        <v>2.391290120978494</v>
      </c>
      <c r="DM301" s="28">
        <v>753.06659258003606</v>
      </c>
      <c r="DN301" s="28">
        <v>0</v>
      </c>
      <c r="DO301" s="423">
        <v>753.06659258003606</v>
      </c>
      <c r="DP301" s="94">
        <v>0</v>
      </c>
      <c r="DQ301" s="28">
        <v>753.06659258003606</v>
      </c>
      <c r="DR301" s="318"/>
      <c r="DT301" s="8"/>
      <c r="DU301" s="5"/>
      <c r="DX301" s="5">
        <v>5826.1797879237429</v>
      </c>
      <c r="DY301" s="5">
        <v>0</v>
      </c>
      <c r="DZ301" s="159">
        <v>521.92128932215587</v>
      </c>
      <c r="EB301" s="676">
        <v>-322.40944576251928</v>
      </c>
      <c r="EC301" s="676">
        <v>-347.68524630159146</v>
      </c>
      <c r="ED301" s="676">
        <v>-351.68713843072294</v>
      </c>
      <c r="EE301" s="676">
        <v>-571.24388772393547</v>
      </c>
      <c r="EF301" s="676">
        <v>-577.96017505380553</v>
      </c>
      <c r="EG301" s="676">
        <v>-595.14130672924011</v>
      </c>
      <c r="EH301" s="676">
        <v>-602.54831415830301</v>
      </c>
      <c r="EI301" s="676">
        <v>-506.15022280214095</v>
      </c>
      <c r="EJ301" s="676">
        <v>-601.77342327060683</v>
      </c>
      <c r="EK301" s="676">
        <v>-542.3043683515109</v>
      </c>
      <c r="EL301" s="676">
        <v>-587.47358102084161</v>
      </c>
      <c r="EM301" s="676">
        <v>-597.71371959939222</v>
      </c>
      <c r="EN301" s="676">
        <v>-6204.0908292046097</v>
      </c>
      <c r="EQ301" s="5">
        <v>5826.1797879237429</v>
      </c>
      <c r="ER301" s="5">
        <v>0</v>
      </c>
      <c r="ET301" s="318">
        <v>-4049.3865013974255</v>
      </c>
      <c r="EU301" s="5">
        <v>-1391.1780239190218</v>
      </c>
    </row>
    <row r="302" spans="1:151" x14ac:dyDescent="0.3">
      <c r="A302" s="325">
        <v>150000851</v>
      </c>
      <c r="B302" s="41" t="s">
        <v>748</v>
      </c>
      <c r="C302" s="42" t="s">
        <v>135</v>
      </c>
      <c r="D302" s="27">
        <v>1</v>
      </c>
      <c r="E302" s="293">
        <v>168.1</v>
      </c>
      <c r="F302" s="305">
        <v>168.1</v>
      </c>
      <c r="G302" s="508">
        <v>0</v>
      </c>
      <c r="H302" s="677">
        <v>0</v>
      </c>
      <c r="I302" s="674">
        <v>0</v>
      </c>
      <c r="J302" s="40">
        <v>0</v>
      </c>
      <c r="K302" s="52">
        <v>0</v>
      </c>
      <c r="L302" s="674">
        <v>0</v>
      </c>
      <c r="M302" s="40">
        <v>0</v>
      </c>
      <c r="N302" s="52">
        <v>0</v>
      </c>
      <c r="O302" s="674">
        <v>0</v>
      </c>
      <c r="P302" s="40">
        <v>0</v>
      </c>
      <c r="Q302" s="52">
        <v>0</v>
      </c>
      <c r="R302" s="674">
        <v>0</v>
      </c>
      <c r="S302" s="40">
        <v>0</v>
      </c>
      <c r="T302" s="52">
        <v>0</v>
      </c>
      <c r="U302" s="674">
        <v>0</v>
      </c>
      <c r="V302" s="40">
        <v>0</v>
      </c>
      <c r="W302" s="52">
        <v>0</v>
      </c>
      <c r="X302" s="674">
        <v>0</v>
      </c>
      <c r="Y302" s="40">
        <v>0</v>
      </c>
      <c r="Z302" s="52">
        <v>0</v>
      </c>
      <c r="AA302" s="674">
        <v>20.172000000000001</v>
      </c>
      <c r="AB302" s="40">
        <v>0</v>
      </c>
      <c r="AC302" s="52">
        <v>-20.172000000000001</v>
      </c>
      <c r="AD302" s="674">
        <v>151.50697156051228</v>
      </c>
      <c r="AE302" s="40">
        <v>714.21014165858571</v>
      </c>
      <c r="AF302" s="35">
        <v>562.70317009807343</v>
      </c>
      <c r="AG302" s="77">
        <v>171.67897156051228</v>
      </c>
      <c r="AH302" s="53">
        <v>714.21014165858571</v>
      </c>
      <c r="AI302" s="52">
        <v>542.5311700980734</v>
      </c>
      <c r="AJ302" s="674">
        <v>0</v>
      </c>
      <c r="AK302" s="40">
        <v>0</v>
      </c>
      <c r="AL302" s="52">
        <v>0</v>
      </c>
      <c r="AM302" s="674">
        <v>0</v>
      </c>
      <c r="AN302" s="40">
        <v>0</v>
      </c>
      <c r="AO302" s="52">
        <v>0</v>
      </c>
      <c r="AP302" s="674">
        <v>269.81009465107115</v>
      </c>
      <c r="AQ302" s="40">
        <v>224.38224961495439</v>
      </c>
      <c r="AR302" s="52">
        <v>-45.427845036116764</v>
      </c>
      <c r="AS302" s="674">
        <v>1746.0857874269341</v>
      </c>
      <c r="AT302" s="40">
        <v>0</v>
      </c>
      <c r="AU302" s="54">
        <v>-1746.0857874269341</v>
      </c>
      <c r="AV302" s="674">
        <v>0</v>
      </c>
      <c r="AW302" s="40">
        <v>0</v>
      </c>
      <c r="AX302" s="55">
        <v>0</v>
      </c>
      <c r="AY302" s="674">
        <v>0</v>
      </c>
      <c r="AZ302" s="40">
        <v>0</v>
      </c>
      <c r="BA302" s="35">
        <v>0</v>
      </c>
      <c r="BB302" s="674">
        <v>0</v>
      </c>
      <c r="BC302" s="40">
        <v>0</v>
      </c>
      <c r="BD302" s="55">
        <v>0</v>
      </c>
      <c r="BE302" s="674">
        <v>0</v>
      </c>
      <c r="BF302" s="40">
        <v>0</v>
      </c>
      <c r="BG302" s="38">
        <v>0</v>
      </c>
      <c r="BH302" s="674">
        <v>0</v>
      </c>
      <c r="BI302" s="40">
        <v>0</v>
      </c>
      <c r="BJ302" s="55">
        <v>0</v>
      </c>
      <c r="BK302" s="674">
        <v>0</v>
      </c>
      <c r="BL302" s="40">
        <v>0</v>
      </c>
      <c r="BM302" s="38">
        <v>0</v>
      </c>
      <c r="BN302" s="674">
        <v>5.0430000000000001</v>
      </c>
      <c r="BO302" s="40">
        <v>0</v>
      </c>
      <c r="BP302" s="55">
        <v>-5.0430000000000001</v>
      </c>
      <c r="BQ302" s="77">
        <v>5.0430000000000001</v>
      </c>
      <c r="BR302" s="40">
        <v>0</v>
      </c>
      <c r="BS302" s="55">
        <v>-5.0430000000000001</v>
      </c>
      <c r="BT302" s="674">
        <v>0</v>
      </c>
      <c r="BU302" s="40">
        <v>0</v>
      </c>
      <c r="BV302" s="52">
        <v>0</v>
      </c>
      <c r="BW302" s="674">
        <v>0</v>
      </c>
      <c r="BX302" s="40">
        <v>3.8237168594701809</v>
      </c>
      <c r="BY302" s="52">
        <v>3.8237168594701809</v>
      </c>
      <c r="BZ302" s="674">
        <v>0</v>
      </c>
      <c r="CA302" s="40">
        <v>0</v>
      </c>
      <c r="CB302" s="52">
        <v>0</v>
      </c>
      <c r="CC302" s="674">
        <v>0</v>
      </c>
      <c r="CD302" s="40">
        <v>0</v>
      </c>
      <c r="CE302" s="52">
        <v>0</v>
      </c>
      <c r="CF302" s="674">
        <v>0</v>
      </c>
      <c r="CG302" s="40">
        <v>0</v>
      </c>
      <c r="CH302" s="52">
        <v>0</v>
      </c>
      <c r="CI302" s="674">
        <v>0</v>
      </c>
      <c r="CJ302" s="40">
        <v>0</v>
      </c>
      <c r="CK302" s="52">
        <v>0</v>
      </c>
      <c r="CL302" s="674">
        <v>0</v>
      </c>
      <c r="CM302" s="40">
        <v>0</v>
      </c>
      <c r="CN302" s="52">
        <v>0</v>
      </c>
      <c r="CO302" s="39">
        <v>0</v>
      </c>
      <c r="CP302" s="40">
        <v>0</v>
      </c>
      <c r="CQ302" s="52">
        <v>0</v>
      </c>
      <c r="CR302" s="72">
        <v>2192.6178536385178</v>
      </c>
      <c r="CS302" s="5">
        <v>942.41610813301031</v>
      </c>
      <c r="CT302" s="52">
        <v>-1250.2017455055075</v>
      </c>
      <c r="CU302" s="77">
        <v>2631.1414243662211</v>
      </c>
      <c r="CV302" s="65">
        <v>1130.8993297596123</v>
      </c>
      <c r="CW302" s="35">
        <v>-1500.2420946066088</v>
      </c>
      <c r="CX302" s="73">
        <v>79.864652443733391</v>
      </c>
      <c r="CY302" s="40">
        <v>1580.106747050341</v>
      </c>
      <c r="CZ302" s="52">
        <v>1500.2420946066077</v>
      </c>
      <c r="DA302" s="150">
        <v>-5184.787506870699</v>
      </c>
      <c r="DB302" s="2">
        <v>3</v>
      </c>
      <c r="DC302" s="675">
        <v>1110.8900000000001</v>
      </c>
      <c r="DD302" s="675">
        <v>0</v>
      </c>
      <c r="DE302" s="675">
        <v>874.35752114760442</v>
      </c>
      <c r="DF302" s="675">
        <v>0</v>
      </c>
      <c r="DG302" s="321">
        <v>-3684.5454122640908</v>
      </c>
      <c r="DH302" s="40">
        <v>2710.7970559423329</v>
      </c>
      <c r="DI302" s="422">
        <v>236.53247885239566</v>
      </c>
      <c r="DJ302" s="306">
        <v>1.40709386586791</v>
      </c>
      <c r="DK302" s="306">
        <v>1.40709386586791</v>
      </c>
      <c r="DL302" s="306">
        <v>1.40709386586791</v>
      </c>
      <c r="DM302" s="28">
        <v>236.53247885239566</v>
      </c>
      <c r="DN302" s="28">
        <v>0</v>
      </c>
      <c r="DO302" s="423">
        <v>236.53247885239566</v>
      </c>
      <c r="DP302" s="94">
        <v>0</v>
      </c>
      <c r="DQ302" s="28">
        <v>236.53247885239566</v>
      </c>
      <c r="DR302" s="318"/>
      <c r="DT302" s="8"/>
      <c r="DU302" s="5"/>
      <c r="DX302" s="5">
        <v>2101.3545449123208</v>
      </c>
      <c r="DY302" s="5">
        <v>0</v>
      </c>
      <c r="DZ302" s="159">
        <v>202.35286471552777</v>
      </c>
      <c r="EB302" s="676">
        <v>57.483911754158868</v>
      </c>
      <c r="EC302" s="676">
        <v>-94.360836872810054</v>
      </c>
      <c r="ED302" s="676">
        <v>-91.317123522819344</v>
      </c>
      <c r="EE302" s="676">
        <v>-180.20652761578569</v>
      </c>
      <c r="EF302" s="676">
        <v>-171.48531649490283</v>
      </c>
      <c r="EG302" s="676">
        <v>-174.86712950099673</v>
      </c>
      <c r="EH302" s="676">
        <v>-42.517946456999908</v>
      </c>
      <c r="EI302" s="676">
        <v>-147.17574453357031</v>
      </c>
      <c r="EJ302" s="676">
        <v>-174.22337452853174</v>
      </c>
      <c r="EK302" s="676">
        <v>-141.48763910192872</v>
      </c>
      <c r="EL302" s="676">
        <v>-163.22817155519391</v>
      </c>
      <c r="EM302" s="676">
        <v>-176.85619617722745</v>
      </c>
      <c r="EN302" s="676">
        <v>-1500.2420946066079</v>
      </c>
      <c r="EQ302" s="5">
        <v>2101.3545449123208</v>
      </c>
      <c r="ER302" s="5">
        <v>0</v>
      </c>
      <c r="ET302" s="318">
        <v>-973.01662057724934</v>
      </c>
      <c r="EU302" s="5">
        <v>-846.52879168684217</v>
      </c>
    </row>
    <row r="303" spans="1:151" x14ac:dyDescent="0.3">
      <c r="A303" s="325">
        <v>150000795</v>
      </c>
      <c r="B303" s="41" t="s">
        <v>749</v>
      </c>
      <c r="C303" s="42" t="s">
        <v>292</v>
      </c>
      <c r="D303" s="27">
        <v>5</v>
      </c>
      <c r="E303" s="293">
        <v>2762.24</v>
      </c>
      <c r="F303" s="305">
        <v>2762.24</v>
      </c>
      <c r="G303" s="508">
        <v>0</v>
      </c>
      <c r="H303" s="677">
        <v>0</v>
      </c>
      <c r="I303" s="674">
        <v>10185.618458745632</v>
      </c>
      <c r="J303" s="40">
        <v>9662.963864561736</v>
      </c>
      <c r="K303" s="52">
        <v>-522.65459418389582</v>
      </c>
      <c r="L303" s="674">
        <v>1960.5068703052143</v>
      </c>
      <c r="M303" s="40">
        <v>1873.5818709942835</v>
      </c>
      <c r="N303" s="52">
        <v>-86.924999310930843</v>
      </c>
      <c r="O303" s="674">
        <v>0</v>
      </c>
      <c r="P303" s="40">
        <v>0</v>
      </c>
      <c r="Q303" s="52">
        <v>0</v>
      </c>
      <c r="R303" s="674">
        <v>0</v>
      </c>
      <c r="S303" s="40">
        <v>0</v>
      </c>
      <c r="T303" s="52">
        <v>0</v>
      </c>
      <c r="U303" s="674">
        <v>0</v>
      </c>
      <c r="V303" s="40">
        <v>0</v>
      </c>
      <c r="W303" s="52">
        <v>0</v>
      </c>
      <c r="X303" s="674">
        <v>6525.3718424003873</v>
      </c>
      <c r="Y303" s="40">
        <v>5359.6550354667279</v>
      </c>
      <c r="Z303" s="52">
        <v>-1165.7168069336594</v>
      </c>
      <c r="AA303" s="674">
        <v>331.46879999999999</v>
      </c>
      <c r="AB303" s="40">
        <v>536.4</v>
      </c>
      <c r="AC303" s="52">
        <v>204.93119999999999</v>
      </c>
      <c r="AD303" s="674">
        <v>11511.638708423865</v>
      </c>
      <c r="AE303" s="40">
        <v>11735.989421148195</v>
      </c>
      <c r="AF303" s="35">
        <v>224.35071272433015</v>
      </c>
      <c r="AG303" s="77">
        <v>30514.604679875098</v>
      </c>
      <c r="AH303" s="53">
        <v>29168.590192170945</v>
      </c>
      <c r="AI303" s="52">
        <v>-1346.014487704153</v>
      </c>
      <c r="AJ303" s="674">
        <v>0</v>
      </c>
      <c r="AK303" s="40">
        <v>0</v>
      </c>
      <c r="AL303" s="52">
        <v>0</v>
      </c>
      <c r="AM303" s="674">
        <v>0</v>
      </c>
      <c r="AN303" s="40">
        <v>0</v>
      </c>
      <c r="AO303" s="52">
        <v>0</v>
      </c>
      <c r="AP303" s="674">
        <v>2698.1009465107127</v>
      </c>
      <c r="AQ303" s="40">
        <v>2227.957305273846</v>
      </c>
      <c r="AR303" s="52">
        <v>-470.14364123686664</v>
      </c>
      <c r="AS303" s="674">
        <v>34882.765230307763</v>
      </c>
      <c r="AT303" s="40">
        <v>17689</v>
      </c>
      <c r="AU303" s="54">
        <v>-17193.765230307763</v>
      </c>
      <c r="AV303" s="674">
        <v>2362.956483415092</v>
      </c>
      <c r="AW303" s="40">
        <v>0</v>
      </c>
      <c r="AX303" s="55">
        <v>-2362.956483415092</v>
      </c>
      <c r="AY303" s="674">
        <v>3213.8517921635189</v>
      </c>
      <c r="AZ303" s="40">
        <v>2922</v>
      </c>
      <c r="BA303" s="35">
        <v>-291.85179216351889</v>
      </c>
      <c r="BB303" s="674">
        <v>0</v>
      </c>
      <c r="BC303" s="40">
        <v>0</v>
      </c>
      <c r="BD303" s="55">
        <v>0</v>
      </c>
      <c r="BE303" s="674">
        <v>0</v>
      </c>
      <c r="BF303" s="40">
        <v>0</v>
      </c>
      <c r="BG303" s="38">
        <v>0</v>
      </c>
      <c r="BH303" s="674">
        <v>0</v>
      </c>
      <c r="BI303" s="40">
        <v>0</v>
      </c>
      <c r="BJ303" s="55">
        <v>0</v>
      </c>
      <c r="BK303" s="674">
        <v>2055.6230956940608</v>
      </c>
      <c r="BL303" s="40">
        <v>353</v>
      </c>
      <c r="BM303" s="38">
        <v>-1702.6230956940608</v>
      </c>
      <c r="BN303" s="674">
        <v>82.867199999999997</v>
      </c>
      <c r="BO303" s="40">
        <v>0</v>
      </c>
      <c r="BP303" s="55">
        <v>-82.867199999999997</v>
      </c>
      <c r="BQ303" s="77">
        <v>7715.2985712726713</v>
      </c>
      <c r="BR303" s="40">
        <v>3275</v>
      </c>
      <c r="BS303" s="55">
        <v>-4440.2985712726713</v>
      </c>
      <c r="BT303" s="674">
        <v>38158.13390578932</v>
      </c>
      <c r="BU303" s="40">
        <v>38042.40829336641</v>
      </c>
      <c r="BV303" s="52">
        <v>-115.72561242290976</v>
      </c>
      <c r="BW303" s="674">
        <v>16265.713517984841</v>
      </c>
      <c r="BX303" s="40">
        <v>14566.634702614076</v>
      </c>
      <c r="BY303" s="52">
        <v>-1699.0788153707654</v>
      </c>
      <c r="BZ303" s="674">
        <v>8935.4103532967638</v>
      </c>
      <c r="CA303" s="40">
        <v>8222.6272357721791</v>
      </c>
      <c r="CB303" s="52">
        <v>-712.78311752458467</v>
      </c>
      <c r="CC303" s="674">
        <v>1628.481343126934</v>
      </c>
      <c r="CD303" s="40">
        <v>1711.5681862599263</v>
      </c>
      <c r="CE303" s="52">
        <v>83.086843132992271</v>
      </c>
      <c r="CF303" s="674">
        <v>199.03407129626083</v>
      </c>
      <c r="CG303" s="40">
        <v>0</v>
      </c>
      <c r="CH303" s="52">
        <v>-199.03407129626083</v>
      </c>
      <c r="CI303" s="674">
        <v>6315.0873661931928</v>
      </c>
      <c r="CJ303" s="40">
        <v>4354.845573332037</v>
      </c>
      <c r="CK303" s="52">
        <v>-1960.2417928611558</v>
      </c>
      <c r="CL303" s="674">
        <v>0</v>
      </c>
      <c r="CM303" s="40">
        <v>0</v>
      </c>
      <c r="CN303" s="52">
        <v>0</v>
      </c>
      <c r="CO303" s="39">
        <v>6315.0873661931928</v>
      </c>
      <c r="CP303" s="40">
        <v>4354.845573332037</v>
      </c>
      <c r="CQ303" s="52">
        <v>-1960.2417928611558</v>
      </c>
      <c r="CR303" s="72">
        <v>147312.62998565353</v>
      </c>
      <c r="CS303" s="5">
        <v>119258.6314887894</v>
      </c>
      <c r="CT303" s="52">
        <v>-28053.998496864137</v>
      </c>
      <c r="CU303" s="77">
        <v>176775.15598278423</v>
      </c>
      <c r="CV303" s="65">
        <v>143110.35778654728</v>
      </c>
      <c r="CW303" s="35">
        <v>-33664.798196236952</v>
      </c>
      <c r="CX303" s="73">
        <v>1800.0903454519926</v>
      </c>
      <c r="CY303" s="40">
        <v>35464.888541688939</v>
      </c>
      <c r="CZ303" s="52">
        <v>33664.798196236945</v>
      </c>
      <c r="DA303" s="150">
        <v>6347.3759209521668</v>
      </c>
      <c r="DB303" s="2">
        <v>3</v>
      </c>
      <c r="DC303" s="675">
        <v>20281.96</v>
      </c>
      <c r="DD303" s="675">
        <v>0</v>
      </c>
      <c r="DE303" s="675">
        <v>4607.6446041046074</v>
      </c>
      <c r="DF303" s="675">
        <v>0</v>
      </c>
      <c r="DG303" s="321">
        <v>40012.174117189104</v>
      </c>
      <c r="DH303" s="40">
        <v>178561.78113325994</v>
      </c>
      <c r="DI303" s="422">
        <v>15674.315395895392</v>
      </c>
      <c r="DJ303" s="306">
        <v>5.674494394366671</v>
      </c>
      <c r="DK303" s="306">
        <v>5.674494394366671</v>
      </c>
      <c r="DL303" s="306">
        <v>5.0270406300424497</v>
      </c>
      <c r="DM303" s="28">
        <v>15674.315395895392</v>
      </c>
      <c r="DN303" s="28">
        <v>0</v>
      </c>
      <c r="DO303" s="423">
        <v>15674.315395895392</v>
      </c>
      <c r="DP303" s="94">
        <v>0</v>
      </c>
      <c r="DQ303" s="28">
        <v>15674.315395895392</v>
      </c>
      <c r="DR303" s="318"/>
      <c r="DT303" s="8"/>
      <c r="DU303" s="5"/>
      <c r="DX303" s="5">
        <v>51117.676561896522</v>
      </c>
      <c r="DY303" s="5">
        <v>25156.799999999999</v>
      </c>
      <c r="DZ303" s="159">
        <v>4304.6694952313865</v>
      </c>
      <c r="EB303" s="676">
        <v>353.49834698652558</v>
      </c>
      <c r="EC303" s="676">
        <v>-4994.4117919345526</v>
      </c>
      <c r="ED303" s="676">
        <v>-1008.7607944263418</v>
      </c>
      <c r="EE303" s="676">
        <v>4755.4527524692021</v>
      </c>
      <c r="EF303" s="676">
        <v>-4028.7300590245359</v>
      </c>
      <c r="EG303" s="676">
        <v>-7363.2059806659308</v>
      </c>
      <c r="EH303" s="676">
        <v>-4884.7187727997589</v>
      </c>
      <c r="EI303" s="676">
        <v>1743.4191573295648</v>
      </c>
      <c r="EJ303" s="676">
        <v>-4961.8964045510129</v>
      </c>
      <c r="EK303" s="676">
        <v>-4407.9475497139265</v>
      </c>
      <c r="EL303" s="676">
        <v>-5646.3374678309374</v>
      </c>
      <c r="EM303" s="676">
        <v>-3221.159632075236</v>
      </c>
      <c r="EN303" s="676">
        <v>-33664.798196236938</v>
      </c>
      <c r="EQ303" s="5">
        <v>51117.676561896522</v>
      </c>
      <c r="ER303" s="5">
        <v>25156.799999999999</v>
      </c>
      <c r="ET303" s="318">
        <v>-5006.1359841108551</v>
      </c>
      <c r="EU303" s="5">
        <v>36535.310101299961</v>
      </c>
    </row>
    <row r="304" spans="1:151" x14ac:dyDescent="0.3">
      <c r="A304" s="325">
        <v>150000832</v>
      </c>
      <c r="B304" s="41" t="s">
        <v>750</v>
      </c>
      <c r="C304" s="42" t="s">
        <v>423</v>
      </c>
      <c r="D304" s="27">
        <v>10</v>
      </c>
      <c r="E304" s="293">
        <v>4396.8</v>
      </c>
      <c r="F304" s="305">
        <v>4396.8</v>
      </c>
      <c r="G304" s="508">
        <v>394.3</v>
      </c>
      <c r="H304" s="677">
        <v>0</v>
      </c>
      <c r="I304" s="674">
        <v>16143.395029556363</v>
      </c>
      <c r="J304" s="40">
        <v>13378.664474375548</v>
      </c>
      <c r="K304" s="52">
        <v>-2764.7305551808149</v>
      </c>
      <c r="L304" s="674">
        <v>2512.4962934893838</v>
      </c>
      <c r="M304" s="40">
        <v>2001.6495745270176</v>
      </c>
      <c r="N304" s="52">
        <v>-510.84671896236614</v>
      </c>
      <c r="O304" s="674">
        <v>6382.2979410718563</v>
      </c>
      <c r="P304" s="40">
        <v>6382.2900000000009</v>
      </c>
      <c r="Q304" s="52">
        <v>-7.9410718553845072E-3</v>
      </c>
      <c r="R304" s="674">
        <v>1280.3441428311996</v>
      </c>
      <c r="S304" s="40">
        <v>1280.3399999999997</v>
      </c>
      <c r="T304" s="52">
        <v>-4.1428311999425205E-3</v>
      </c>
      <c r="U304" s="674">
        <v>487.42305049593699</v>
      </c>
      <c r="V304" s="40">
        <v>211.56130720811524</v>
      </c>
      <c r="W304" s="52">
        <v>-275.86174328782175</v>
      </c>
      <c r="X304" s="674">
        <v>6675.2861435317463</v>
      </c>
      <c r="Y304" s="40">
        <v>5757.6597903925449</v>
      </c>
      <c r="Z304" s="52">
        <v>-917.62635313920146</v>
      </c>
      <c r="AA304" s="674">
        <v>541.47600000000011</v>
      </c>
      <c r="AB304" s="40">
        <v>0</v>
      </c>
      <c r="AC304" s="52">
        <v>-541.47600000000011</v>
      </c>
      <c r="AD304" s="674">
        <v>18969.238000861922</v>
      </c>
      <c r="AE304" s="40">
        <v>18680.780195386498</v>
      </c>
      <c r="AF304" s="35">
        <v>-288.45780547542381</v>
      </c>
      <c r="AG304" s="77">
        <v>52991.956601838414</v>
      </c>
      <c r="AH304" s="53">
        <v>47692.945341889725</v>
      </c>
      <c r="AI304" s="52">
        <v>-5299.0112599486893</v>
      </c>
      <c r="AJ304" s="674">
        <v>39112.663877732761</v>
      </c>
      <c r="AK304" s="40">
        <v>38855.581221412758</v>
      </c>
      <c r="AL304" s="52">
        <v>-257.08265632000257</v>
      </c>
      <c r="AM304" s="674">
        <v>0</v>
      </c>
      <c r="AN304" s="40">
        <v>0</v>
      </c>
      <c r="AO304" s="52">
        <v>0</v>
      </c>
      <c r="AP304" s="674">
        <v>3597.4679286809496</v>
      </c>
      <c r="AQ304" s="40">
        <v>3048.150289017341</v>
      </c>
      <c r="AR304" s="52">
        <v>-549.31763966360859</v>
      </c>
      <c r="AS304" s="674">
        <v>54312.584026190736</v>
      </c>
      <c r="AT304" s="40">
        <v>10874.64</v>
      </c>
      <c r="AU304" s="54">
        <v>-43437.944026190737</v>
      </c>
      <c r="AV304" s="674">
        <v>2483.1811841975637</v>
      </c>
      <c r="AW304" s="40">
        <v>522</v>
      </c>
      <c r="AX304" s="55">
        <v>-1961.1811841975637</v>
      </c>
      <c r="AY304" s="674">
        <v>2647.8202877334325</v>
      </c>
      <c r="AZ304" s="40">
        <v>0</v>
      </c>
      <c r="BA304" s="35">
        <v>-2647.8202877334325</v>
      </c>
      <c r="BB304" s="674">
        <v>1474.7987054393657</v>
      </c>
      <c r="BC304" s="40">
        <v>0</v>
      </c>
      <c r="BD304" s="55">
        <v>-1474.7987054393657</v>
      </c>
      <c r="BE304" s="674">
        <v>1994.4821903436075</v>
      </c>
      <c r="BF304" s="40">
        <v>0</v>
      </c>
      <c r="BG304" s="38">
        <v>-1994.4821903436075</v>
      </c>
      <c r="BH304" s="674">
        <v>629.82585050386797</v>
      </c>
      <c r="BI304" s="40">
        <v>0</v>
      </c>
      <c r="BJ304" s="55">
        <v>-629.82585050386797</v>
      </c>
      <c r="BK304" s="674">
        <v>1269.8679337917697</v>
      </c>
      <c r="BL304" s="40">
        <v>0</v>
      </c>
      <c r="BM304" s="38">
        <v>-1269.8679337917697</v>
      </c>
      <c r="BN304" s="674">
        <v>443.6844361203523</v>
      </c>
      <c r="BO304" s="40">
        <v>0</v>
      </c>
      <c r="BP304" s="55">
        <v>-443.6844361203523</v>
      </c>
      <c r="BQ304" s="77">
        <v>10943.66058812996</v>
      </c>
      <c r="BR304" s="40">
        <v>522</v>
      </c>
      <c r="BS304" s="55">
        <v>-10421.66058812996</v>
      </c>
      <c r="BT304" s="674">
        <v>63746.762462591381</v>
      </c>
      <c r="BU304" s="40">
        <v>56108.981808160228</v>
      </c>
      <c r="BV304" s="52">
        <v>-7637.7806544311534</v>
      </c>
      <c r="BW304" s="674">
        <v>43485.285701080458</v>
      </c>
      <c r="BX304" s="40">
        <v>41320.314182317343</v>
      </c>
      <c r="BY304" s="52">
        <v>-2164.9715187631155</v>
      </c>
      <c r="BZ304" s="674">
        <v>5898.1919389261884</v>
      </c>
      <c r="CA304" s="40">
        <v>14572.933770295809</v>
      </c>
      <c r="CB304" s="52">
        <v>8674.7418313696217</v>
      </c>
      <c r="CC304" s="674">
        <v>1336.4181743429597</v>
      </c>
      <c r="CD304" s="40">
        <v>1396.1255853792568</v>
      </c>
      <c r="CE304" s="52">
        <v>59.707411036297117</v>
      </c>
      <c r="CF304" s="674">
        <v>162.35202402664282</v>
      </c>
      <c r="CG304" s="40">
        <v>0</v>
      </c>
      <c r="CH304" s="52">
        <v>-162.35202402664282</v>
      </c>
      <c r="CI304" s="674">
        <v>17665.522185298127</v>
      </c>
      <c r="CJ304" s="40">
        <v>17573.077282131002</v>
      </c>
      <c r="CK304" s="52">
        <v>-92.444903167124721</v>
      </c>
      <c r="CL304" s="674">
        <v>6211.3595292287482</v>
      </c>
      <c r="CM304" s="40">
        <v>6082.0360694416922</v>
      </c>
      <c r="CN304" s="52">
        <v>-129.32345978705598</v>
      </c>
      <c r="CO304" s="39">
        <v>23876.881714526877</v>
      </c>
      <c r="CP304" s="40">
        <v>23655.113351572694</v>
      </c>
      <c r="CQ304" s="52">
        <v>-221.76836295418252</v>
      </c>
      <c r="CR304" s="72">
        <v>299464.22503806726</v>
      </c>
      <c r="CS304" s="5">
        <v>238046.78555004517</v>
      </c>
      <c r="CT304" s="52">
        <v>-61417.439488022093</v>
      </c>
      <c r="CU304" s="77">
        <v>359357.07004568068</v>
      </c>
      <c r="CV304" s="65">
        <v>285656.1426600542</v>
      </c>
      <c r="CW304" s="35">
        <v>-73700.927385626477</v>
      </c>
      <c r="CX304" s="73">
        <v>6593.422895494009</v>
      </c>
      <c r="CY304" s="40">
        <v>80294.350281120598</v>
      </c>
      <c r="CZ304" s="52">
        <v>73700.927385626594</v>
      </c>
      <c r="DA304" s="150">
        <v>-50758.313776396113</v>
      </c>
      <c r="DB304" s="2">
        <v>1</v>
      </c>
      <c r="DC304" s="675">
        <v>59217.440000000002</v>
      </c>
      <c r="DD304" s="675">
        <v>0</v>
      </c>
      <c r="DE304" s="675">
        <v>27219.672986021076</v>
      </c>
      <c r="DF304" s="675">
        <v>0</v>
      </c>
      <c r="DG304" s="321">
        <v>22942.61360923051</v>
      </c>
      <c r="DH304" s="40">
        <v>365922.50067913637</v>
      </c>
      <c r="DI304" s="422">
        <v>31997.767013978922</v>
      </c>
      <c r="DJ304" s="306">
        <v>6.163043273014793</v>
      </c>
      <c r="DK304" s="306">
        <v>7.3873026986706289</v>
      </c>
      <c r="DL304" s="306">
        <v>5.0695039878876198</v>
      </c>
      <c r="DM304" s="28">
        <v>31997.767013978926</v>
      </c>
      <c r="DN304" s="28">
        <v>0</v>
      </c>
      <c r="DO304" s="423">
        <v>31997.767013978926</v>
      </c>
      <c r="DP304" s="94">
        <v>0</v>
      </c>
      <c r="DQ304" s="28">
        <v>31997.767013978926</v>
      </c>
      <c r="DR304" s="318"/>
      <c r="DT304" s="8"/>
      <c r="DU304" s="5"/>
      <c r="DX304" s="5">
        <v>78307.493537184841</v>
      </c>
      <c r="DY304" s="5">
        <v>13675.967999999999</v>
      </c>
      <c r="DZ304" s="159">
        <v>6839.5254493468528</v>
      </c>
      <c r="EB304" s="676">
        <v>-3658.3841758613635</v>
      </c>
      <c r="EC304" s="676">
        <v>154.1458172830171</v>
      </c>
      <c r="ED304" s="676">
        <v>-3455.3218606541086</v>
      </c>
      <c r="EE304" s="676">
        <v>-12147.252693844675</v>
      </c>
      <c r="EF304" s="676">
        <v>-8084.721699972386</v>
      </c>
      <c r="EG304" s="676">
        <v>-9709.1835080567071</v>
      </c>
      <c r="EH304" s="676">
        <v>-9913.693823206213</v>
      </c>
      <c r="EI304" s="676">
        <v>-6266.8866200740231</v>
      </c>
      <c r="EJ304" s="676">
        <v>-8642.9141260883953</v>
      </c>
      <c r="EK304" s="676">
        <v>-511.20918189137228</v>
      </c>
      <c r="EL304" s="676">
        <v>-6296.7639696246661</v>
      </c>
      <c r="EM304" s="676">
        <v>-5168.741543635726</v>
      </c>
      <c r="EN304" s="676">
        <v>-73700.927385626623</v>
      </c>
      <c r="EQ304" s="5">
        <v>78307.493537184841</v>
      </c>
      <c r="ER304" s="5">
        <v>13675.967999999999</v>
      </c>
      <c r="ET304" s="318">
        <v>-51324.01251298553</v>
      </c>
      <c r="EU304" s="5">
        <v>34244.626122216039</v>
      </c>
    </row>
    <row r="305" spans="1:151" x14ac:dyDescent="0.3">
      <c r="A305" s="325">
        <v>150000833</v>
      </c>
      <c r="B305" s="41" t="s">
        <v>751</v>
      </c>
      <c r="C305" s="42" t="s">
        <v>393</v>
      </c>
      <c r="D305" s="27">
        <v>9</v>
      </c>
      <c r="E305" s="293">
        <v>4752.1000000000004</v>
      </c>
      <c r="F305" s="305">
        <v>4752.1000000000004</v>
      </c>
      <c r="G305" s="508">
        <v>455.3</v>
      </c>
      <c r="H305" s="677">
        <v>0</v>
      </c>
      <c r="I305" s="674">
        <v>16143.104224887478</v>
      </c>
      <c r="J305" s="40">
        <v>13416.68436376948</v>
      </c>
      <c r="K305" s="52">
        <v>-2726.4198611179982</v>
      </c>
      <c r="L305" s="674">
        <v>2315.6281871802257</v>
      </c>
      <c r="M305" s="40">
        <v>1844.8642370645832</v>
      </c>
      <c r="N305" s="52">
        <v>-470.7639501156425</v>
      </c>
      <c r="O305" s="674">
        <v>6693.3988120390113</v>
      </c>
      <c r="P305" s="40">
        <v>6693.420000000001</v>
      </c>
      <c r="Q305" s="52">
        <v>2.1187960989664134E-2</v>
      </c>
      <c r="R305" s="674">
        <v>1383.0561404455996</v>
      </c>
      <c r="S305" s="40">
        <v>1383.0599999999995</v>
      </c>
      <c r="T305" s="52">
        <v>3.8595543999235815E-3</v>
      </c>
      <c r="U305" s="674">
        <v>763.65432305376612</v>
      </c>
      <c r="V305" s="40">
        <v>349.21579945700404</v>
      </c>
      <c r="W305" s="52">
        <v>-414.43852359676208</v>
      </c>
      <c r="X305" s="674">
        <v>6454.2943805924051</v>
      </c>
      <c r="Y305" s="40">
        <v>5661.9001188661459</v>
      </c>
      <c r="Z305" s="52">
        <v>-792.39426172625917</v>
      </c>
      <c r="AA305" s="674">
        <v>570.25200000000007</v>
      </c>
      <c r="AB305" s="40">
        <v>0</v>
      </c>
      <c r="AC305" s="52">
        <v>-570.25200000000007</v>
      </c>
      <c r="AD305" s="674">
        <v>20374.619517122635</v>
      </c>
      <c r="AE305" s="40">
        <v>20190.351065887957</v>
      </c>
      <c r="AF305" s="35">
        <v>-184.26845123467865</v>
      </c>
      <c r="AG305" s="77">
        <v>54698.007585321116</v>
      </c>
      <c r="AH305" s="53">
        <v>49539.495585045166</v>
      </c>
      <c r="AI305" s="52">
        <v>-5158.5120002759504</v>
      </c>
      <c r="AJ305" s="674">
        <v>33927.976251954751</v>
      </c>
      <c r="AK305" s="40">
        <v>29128.135842015359</v>
      </c>
      <c r="AL305" s="52">
        <v>-4799.840409939392</v>
      </c>
      <c r="AM305" s="674">
        <v>0</v>
      </c>
      <c r="AN305" s="40">
        <v>0</v>
      </c>
      <c r="AO305" s="52">
        <v>0</v>
      </c>
      <c r="AP305" s="674">
        <v>3597.4679286809496</v>
      </c>
      <c r="AQ305" s="40">
        <v>3048.150289017341</v>
      </c>
      <c r="AR305" s="52">
        <v>-549.31763966360859</v>
      </c>
      <c r="AS305" s="674">
        <v>59971.001908791513</v>
      </c>
      <c r="AT305" s="40">
        <v>493898.8</v>
      </c>
      <c r="AU305" s="54">
        <v>433927.79809120845</v>
      </c>
      <c r="AV305" s="674">
        <v>2290.2144154883176</v>
      </c>
      <c r="AW305" s="40">
        <v>279</v>
      </c>
      <c r="AX305" s="55">
        <v>-2011.2144154883176</v>
      </c>
      <c r="AY305" s="674">
        <v>2245.7024454925668</v>
      </c>
      <c r="AZ305" s="40">
        <v>0</v>
      </c>
      <c r="BA305" s="35">
        <v>-2245.7024454925668</v>
      </c>
      <c r="BB305" s="674">
        <v>1548.3735284997765</v>
      </c>
      <c r="BC305" s="40">
        <v>0</v>
      </c>
      <c r="BD305" s="55">
        <v>-1548.3735284997765</v>
      </c>
      <c r="BE305" s="674">
        <v>2039.3984450286748</v>
      </c>
      <c r="BF305" s="40">
        <v>0</v>
      </c>
      <c r="BG305" s="38">
        <v>-2039.3984450286748</v>
      </c>
      <c r="BH305" s="674">
        <v>923.32576441985827</v>
      </c>
      <c r="BI305" s="40">
        <v>9583</v>
      </c>
      <c r="BJ305" s="55">
        <v>8659.6742355801416</v>
      </c>
      <c r="BK305" s="674">
        <v>1115.1328890477671</v>
      </c>
      <c r="BL305" s="40">
        <v>9612</v>
      </c>
      <c r="BM305" s="38">
        <v>8496.8671109522329</v>
      </c>
      <c r="BN305" s="674">
        <v>438.11731665016134</v>
      </c>
      <c r="BO305" s="40">
        <v>0</v>
      </c>
      <c r="BP305" s="55">
        <v>-438.11731665016134</v>
      </c>
      <c r="BQ305" s="77">
        <v>10600.264804627122</v>
      </c>
      <c r="BR305" s="40">
        <v>19474</v>
      </c>
      <c r="BS305" s="55">
        <v>8873.7351953728776</v>
      </c>
      <c r="BT305" s="674">
        <v>57345.930767594458</v>
      </c>
      <c r="BU305" s="40">
        <v>56147.887856661713</v>
      </c>
      <c r="BV305" s="52">
        <v>-1198.0429109327451</v>
      </c>
      <c r="BW305" s="674">
        <v>37429.092194644982</v>
      </c>
      <c r="BX305" s="40">
        <v>35641.36159643362</v>
      </c>
      <c r="BY305" s="52">
        <v>-1787.7305982113612</v>
      </c>
      <c r="BZ305" s="674">
        <v>8340.3361099232425</v>
      </c>
      <c r="CA305" s="40">
        <v>13661.195805809841</v>
      </c>
      <c r="CB305" s="52">
        <v>5320.8596958865983</v>
      </c>
      <c r="CC305" s="674">
        <v>1491.9605351229245</v>
      </c>
      <c r="CD305" s="40">
        <v>1560.8567213947176</v>
      </c>
      <c r="CE305" s="52">
        <v>68.896186271793113</v>
      </c>
      <c r="CF305" s="674">
        <v>181.50820426744332</v>
      </c>
      <c r="CG305" s="40">
        <v>0</v>
      </c>
      <c r="CH305" s="52">
        <v>-181.50820426744332</v>
      </c>
      <c r="CI305" s="674">
        <v>4424.7286614169598</v>
      </c>
      <c r="CJ305" s="40">
        <v>3992.8558170401661</v>
      </c>
      <c r="CK305" s="52">
        <v>-431.87284437679364</v>
      </c>
      <c r="CL305" s="674">
        <v>24107.621569041301</v>
      </c>
      <c r="CM305" s="40">
        <v>27556.750746737751</v>
      </c>
      <c r="CN305" s="52">
        <v>3449.1291776964499</v>
      </c>
      <c r="CO305" s="39">
        <v>28532.350230458262</v>
      </c>
      <c r="CP305" s="40">
        <v>31549.606563777917</v>
      </c>
      <c r="CQ305" s="52">
        <v>3017.2563333196558</v>
      </c>
      <c r="CR305" s="72">
        <v>296115.89652138675</v>
      </c>
      <c r="CS305" s="5">
        <v>733649.49026015552</v>
      </c>
      <c r="CT305" s="52">
        <v>437533.59373876877</v>
      </c>
      <c r="CU305" s="77">
        <v>355339.0758256641</v>
      </c>
      <c r="CV305" s="65">
        <v>880379.38831218658</v>
      </c>
      <c r="CW305" s="35">
        <v>525040.31248652248</v>
      </c>
      <c r="CX305" s="73">
        <v>7970.350283654835</v>
      </c>
      <c r="CY305" s="40">
        <v>-517069.96220286802</v>
      </c>
      <c r="CZ305" s="52">
        <v>-525040.31248652283</v>
      </c>
      <c r="DA305" s="150">
        <v>492087.43247082049</v>
      </c>
      <c r="DB305" s="2">
        <v>1</v>
      </c>
      <c r="DC305" s="675">
        <v>59557.07</v>
      </c>
      <c r="DD305" s="675">
        <v>0</v>
      </c>
      <c r="DE305" s="675">
        <v>27890.833910360372</v>
      </c>
      <c r="DF305" s="675">
        <v>0</v>
      </c>
      <c r="DG305" s="321">
        <v>-32952.880015702365</v>
      </c>
      <c r="DH305" s="40">
        <v>363281.31081025105</v>
      </c>
      <c r="DI305" s="422">
        <v>31666.236089639624</v>
      </c>
      <c r="DJ305" s="306">
        <v>5.3920382333823982</v>
      </c>
      <c r="DK305" s="306">
        <v>6.7983711324661655</v>
      </c>
      <c r="DL305" s="306">
        <v>4.5123446787150341</v>
      </c>
      <c r="DM305" s="28">
        <v>31666.236089639628</v>
      </c>
      <c r="DN305" s="28">
        <v>0</v>
      </c>
      <c r="DO305" s="423">
        <v>31666.236089639628</v>
      </c>
      <c r="DP305" s="94">
        <v>0</v>
      </c>
      <c r="DQ305" s="28">
        <v>31666.236089639628</v>
      </c>
      <c r="DR305" s="318"/>
      <c r="DT305" s="8"/>
      <c r="DU305" s="5"/>
      <c r="DX305" s="5">
        <v>84685.520056102352</v>
      </c>
      <c r="DY305" s="5">
        <v>616047.35999999999</v>
      </c>
      <c r="DZ305" s="159">
        <v>7442.2835289377344</v>
      </c>
      <c r="EB305" s="676">
        <v>-2739.918689063441</v>
      </c>
      <c r="EC305" s="676">
        <v>-295.19365963316159</v>
      </c>
      <c r="ED305" s="676">
        <v>-3834.6085693573004</v>
      </c>
      <c r="EE305" s="676">
        <v>-8730.9812633878464</v>
      </c>
      <c r="EF305" s="676">
        <v>-8725.3565365331779</v>
      </c>
      <c r="EG305" s="676">
        <v>13494.20944260203</v>
      </c>
      <c r="EH305" s="676">
        <v>13600.504613603105</v>
      </c>
      <c r="EI305" s="676">
        <v>24392.625856047558</v>
      </c>
      <c r="EJ305" s="676">
        <v>-5792.9708076922579</v>
      </c>
      <c r="EK305" s="676">
        <v>-9200.4439068570682</v>
      </c>
      <c r="EL305" s="676">
        <v>506467.98695273505</v>
      </c>
      <c r="EM305" s="676">
        <v>6404.4590540593817</v>
      </c>
      <c r="EN305" s="676">
        <v>525040.31248652283</v>
      </c>
      <c r="EQ305" s="5">
        <v>84685.520056102352</v>
      </c>
      <c r="ER305" s="5">
        <v>616047.35999999999</v>
      </c>
      <c r="ET305" s="318">
        <v>-45293.635144168147</v>
      </c>
      <c r="EU305" s="5">
        <v>2104.755128465782</v>
      </c>
    </row>
    <row r="306" spans="1:151" x14ac:dyDescent="0.3">
      <c r="A306" s="325">
        <v>150000836</v>
      </c>
      <c r="B306" s="41" t="s">
        <v>752</v>
      </c>
      <c r="C306" s="42" t="s">
        <v>199</v>
      </c>
      <c r="D306" s="27">
        <v>3</v>
      </c>
      <c r="E306" s="293">
        <v>1578.7</v>
      </c>
      <c r="F306" s="305">
        <v>1578.7</v>
      </c>
      <c r="G306" s="508">
        <v>0</v>
      </c>
      <c r="H306" s="677">
        <v>0</v>
      </c>
      <c r="I306" s="674">
        <v>6253.2258825701156</v>
      </c>
      <c r="J306" s="40">
        <v>5092.0755991908072</v>
      </c>
      <c r="K306" s="52">
        <v>-1161.1502833793083</v>
      </c>
      <c r="L306" s="674">
        <v>1410.1164164131451</v>
      </c>
      <c r="M306" s="40">
        <v>1123.6613860694877</v>
      </c>
      <c r="N306" s="52">
        <v>-286.45503034365743</v>
      </c>
      <c r="O306" s="674">
        <v>2109.6786911268596</v>
      </c>
      <c r="P306" s="40">
        <v>2109.6899999999996</v>
      </c>
      <c r="Q306" s="52">
        <v>1.1308873140023934E-2</v>
      </c>
      <c r="R306" s="674">
        <v>512.09774649019516</v>
      </c>
      <c r="S306" s="40">
        <v>512.10000000000014</v>
      </c>
      <c r="T306" s="52">
        <v>2.253509804972964E-3</v>
      </c>
      <c r="U306" s="674">
        <v>194.89995943823749</v>
      </c>
      <c r="V306" s="40">
        <v>81.435460643021713</v>
      </c>
      <c r="W306" s="52">
        <v>-113.46449879521577</v>
      </c>
      <c r="X306" s="674">
        <v>2378.4281372525847</v>
      </c>
      <c r="Y306" s="40">
        <v>1300.7836952852683</v>
      </c>
      <c r="Z306" s="52">
        <v>-1077.6444419673164</v>
      </c>
      <c r="AA306" s="674">
        <v>189.44400000000002</v>
      </c>
      <c r="AB306" s="40">
        <v>0</v>
      </c>
      <c r="AC306" s="52">
        <v>-189.44400000000002</v>
      </c>
      <c r="AD306" s="674">
        <v>6768.6700726466124</v>
      </c>
      <c r="AE306" s="40">
        <v>6707.4571721380689</v>
      </c>
      <c r="AF306" s="35">
        <v>-61.212900508543498</v>
      </c>
      <c r="AG306" s="77">
        <v>19816.560905937749</v>
      </c>
      <c r="AH306" s="53">
        <v>16927.203313326656</v>
      </c>
      <c r="AI306" s="52">
        <v>-2889.3575926110934</v>
      </c>
      <c r="AJ306" s="674">
        <v>0</v>
      </c>
      <c r="AK306" s="40">
        <v>0</v>
      </c>
      <c r="AL306" s="52">
        <v>0</v>
      </c>
      <c r="AM306" s="674">
        <v>0</v>
      </c>
      <c r="AN306" s="40">
        <v>0</v>
      </c>
      <c r="AO306" s="52">
        <v>0</v>
      </c>
      <c r="AP306" s="674">
        <v>539.62018930214231</v>
      </c>
      <c r="AQ306" s="40">
        <v>452.42772666561774</v>
      </c>
      <c r="AR306" s="52">
        <v>-87.192462636524567</v>
      </c>
      <c r="AS306" s="674">
        <v>24385.740124095595</v>
      </c>
      <c r="AT306" s="40">
        <v>79454.649999999994</v>
      </c>
      <c r="AU306" s="54">
        <v>55068.909875904399</v>
      </c>
      <c r="AV306" s="674">
        <v>1578.1248286491982</v>
      </c>
      <c r="AW306" s="40">
        <v>0</v>
      </c>
      <c r="AX306" s="55">
        <v>-1578.1248286491982</v>
      </c>
      <c r="AY306" s="674">
        <v>2170.8626420529795</v>
      </c>
      <c r="AZ306" s="40">
        <v>852.57</v>
      </c>
      <c r="BA306" s="35">
        <v>-1318.2926420529793</v>
      </c>
      <c r="BB306" s="674">
        <v>922.80874544510357</v>
      </c>
      <c r="BC306" s="40">
        <v>1161</v>
      </c>
      <c r="BD306" s="55">
        <v>238.19125455489643</v>
      </c>
      <c r="BE306" s="674">
        <v>993.74491702524563</v>
      </c>
      <c r="BF306" s="40">
        <v>0</v>
      </c>
      <c r="BG306" s="38">
        <v>-993.74491702524563</v>
      </c>
      <c r="BH306" s="674">
        <v>332.82560147639003</v>
      </c>
      <c r="BI306" s="40">
        <v>0</v>
      </c>
      <c r="BJ306" s="55">
        <v>-332.82560147639003</v>
      </c>
      <c r="BK306" s="674">
        <v>513.36527079593418</v>
      </c>
      <c r="BL306" s="40">
        <v>0</v>
      </c>
      <c r="BM306" s="38">
        <v>-513.36527079593418</v>
      </c>
      <c r="BN306" s="674">
        <v>177.21792413827214</v>
      </c>
      <c r="BO306" s="40">
        <v>0</v>
      </c>
      <c r="BP306" s="55">
        <v>-177.21792413827214</v>
      </c>
      <c r="BQ306" s="77">
        <v>6688.9499295831238</v>
      </c>
      <c r="BR306" s="40">
        <v>2013.5700000000002</v>
      </c>
      <c r="BS306" s="55">
        <v>-4675.3799295831232</v>
      </c>
      <c r="BT306" s="674">
        <v>25095.416047334787</v>
      </c>
      <c r="BU306" s="40">
        <v>27823.096825673365</v>
      </c>
      <c r="BV306" s="52">
        <v>2727.6807783385775</v>
      </c>
      <c r="BW306" s="674">
        <v>11125.000579549052</v>
      </c>
      <c r="BX306" s="40">
        <v>11896.966198312297</v>
      </c>
      <c r="BY306" s="52">
        <v>771.96561876324449</v>
      </c>
      <c r="BZ306" s="674">
        <v>11097.8991205068</v>
      </c>
      <c r="CA306" s="40">
        <v>7315.8283860605543</v>
      </c>
      <c r="CB306" s="52">
        <v>-3782.0707344462453</v>
      </c>
      <c r="CC306" s="674">
        <v>889.27308839696047</v>
      </c>
      <c r="CD306" s="40">
        <v>934.6447433501304</v>
      </c>
      <c r="CE306" s="52">
        <v>45.371654953169923</v>
      </c>
      <c r="CF306" s="674">
        <v>108.68754746553492</v>
      </c>
      <c r="CG306" s="40">
        <v>0</v>
      </c>
      <c r="CH306" s="52">
        <v>-108.68754746553492</v>
      </c>
      <c r="CI306" s="674">
        <v>5083.0539276419704</v>
      </c>
      <c r="CJ306" s="40">
        <v>4413.0220655727499</v>
      </c>
      <c r="CK306" s="52">
        <v>-670.03186206922055</v>
      </c>
      <c r="CL306" s="674">
        <v>0</v>
      </c>
      <c r="CM306" s="40">
        <v>0</v>
      </c>
      <c r="CN306" s="52">
        <v>0</v>
      </c>
      <c r="CO306" s="39">
        <v>5083.0539276419704</v>
      </c>
      <c r="CP306" s="40">
        <v>4413.0220655727499</v>
      </c>
      <c r="CQ306" s="52">
        <v>-670.03186206922055</v>
      </c>
      <c r="CR306" s="72">
        <v>104830.20145981373</v>
      </c>
      <c r="CS306" s="5">
        <v>151231.40925896136</v>
      </c>
      <c r="CT306" s="52">
        <v>46401.207799147625</v>
      </c>
      <c r="CU306" s="77">
        <v>125796.24175177647</v>
      </c>
      <c r="CV306" s="65">
        <v>181477.69111075363</v>
      </c>
      <c r="CW306" s="35">
        <v>55681.449358977159</v>
      </c>
      <c r="CX306" s="73">
        <v>2315.7764802763877</v>
      </c>
      <c r="CY306" s="40">
        <v>-53365.672878700796</v>
      </c>
      <c r="CZ306" s="52">
        <v>-55681.449358977181</v>
      </c>
      <c r="DA306" s="150">
        <v>55314.925440949584</v>
      </c>
      <c r="DB306" s="2">
        <v>1</v>
      </c>
      <c r="DC306" s="675">
        <v>19637.87</v>
      </c>
      <c r="DD306" s="675">
        <v>0</v>
      </c>
      <c r="DE306" s="675">
        <v>8458.1068690349675</v>
      </c>
      <c r="DF306" s="675">
        <v>0</v>
      </c>
      <c r="DG306" s="321">
        <v>-366.52391802759666</v>
      </c>
      <c r="DH306" s="40">
        <v>128102.14754292968</v>
      </c>
      <c r="DI306" s="422">
        <v>11179.763130965031</v>
      </c>
      <c r="DJ306" s="306">
        <v>7.0816261043675368</v>
      </c>
      <c r="DK306" s="306">
        <v>7.0816261043675368</v>
      </c>
      <c r="DL306" s="306">
        <v>6.3052884635276909</v>
      </c>
      <c r="DM306" s="28">
        <v>11179.763130965031</v>
      </c>
      <c r="DN306" s="28">
        <v>0</v>
      </c>
      <c r="DO306" s="423">
        <v>11179.763130965031</v>
      </c>
      <c r="DP306" s="94">
        <v>0</v>
      </c>
      <c r="DQ306" s="28">
        <v>11179.763130965031</v>
      </c>
      <c r="DR306" s="318"/>
      <c r="DT306" s="8"/>
      <c r="DU306" s="5"/>
      <c r="DX306" s="5">
        <v>37289.628064414457</v>
      </c>
      <c r="DY306" s="5">
        <v>97761.864000000001</v>
      </c>
      <c r="DZ306" s="159">
        <v>3170.6219241336107</v>
      </c>
      <c r="EB306" s="676">
        <v>-2170.8380818552587</v>
      </c>
      <c r="EC306" s="676">
        <v>-2833.5262480470874</v>
      </c>
      <c r="ED306" s="676">
        <v>-2851.6057812778517</v>
      </c>
      <c r="EE306" s="676">
        <v>-5680.4202779164334</v>
      </c>
      <c r="EF306" s="676">
        <v>12908.910777614601</v>
      </c>
      <c r="EG306" s="676">
        <v>17109.192060552523</v>
      </c>
      <c r="EH306" s="676">
        <v>13775.044396836038</v>
      </c>
      <c r="EI306" s="676">
        <v>37855.97043448218</v>
      </c>
      <c r="EJ306" s="676">
        <v>-3627.2244321544495</v>
      </c>
      <c r="EK306" s="676">
        <v>-1276.4769697659412</v>
      </c>
      <c r="EL306" s="676">
        <v>-2883.4662065022212</v>
      </c>
      <c r="EM306" s="676">
        <v>-4644.1103129889061</v>
      </c>
      <c r="EN306" s="676">
        <v>55681.449358977181</v>
      </c>
      <c r="EQ306" s="5">
        <v>37289.628064414457</v>
      </c>
      <c r="ER306" s="5">
        <v>97761.864000000001</v>
      </c>
      <c r="ET306" s="318">
        <v>-36642.250608912662</v>
      </c>
      <c r="EU306" s="5">
        <v>-29775.273309114931</v>
      </c>
    </row>
    <row r="307" spans="1:151" x14ac:dyDescent="0.3">
      <c r="A307" s="325">
        <v>150000837</v>
      </c>
      <c r="B307" s="41" t="s">
        <v>753</v>
      </c>
      <c r="C307" s="42" t="s">
        <v>200</v>
      </c>
      <c r="D307" s="27">
        <v>3</v>
      </c>
      <c r="E307" s="293">
        <v>631.1</v>
      </c>
      <c r="F307" s="305">
        <v>525.20000000000005</v>
      </c>
      <c r="G307" s="508">
        <v>0</v>
      </c>
      <c r="H307" s="677">
        <v>105.9</v>
      </c>
      <c r="I307" s="674">
        <v>2784.3448385008223</v>
      </c>
      <c r="J307" s="40">
        <v>2257.8514600444232</v>
      </c>
      <c r="K307" s="52">
        <v>-526.49337845639911</v>
      </c>
      <c r="L307" s="674">
        <v>426.36950155790612</v>
      </c>
      <c r="M307" s="40">
        <v>339.85389849237521</v>
      </c>
      <c r="N307" s="52">
        <v>-86.515603065530911</v>
      </c>
      <c r="O307" s="674">
        <v>765.40683083304987</v>
      </c>
      <c r="P307" s="40">
        <v>765.42</v>
      </c>
      <c r="Q307" s="52">
        <v>1.3169166950092404E-2</v>
      </c>
      <c r="R307" s="674">
        <v>0</v>
      </c>
      <c r="S307" s="40">
        <v>0</v>
      </c>
      <c r="T307" s="52">
        <v>0</v>
      </c>
      <c r="U307" s="674">
        <v>0</v>
      </c>
      <c r="V307" s="40">
        <v>0</v>
      </c>
      <c r="W307" s="52">
        <v>0</v>
      </c>
      <c r="X307" s="674">
        <v>1342.1012918386409</v>
      </c>
      <c r="Y307" s="40">
        <v>2732.0826859919275</v>
      </c>
      <c r="Z307" s="52">
        <v>1389.9813941532866</v>
      </c>
      <c r="AA307" s="674">
        <v>81.072000000000003</v>
      </c>
      <c r="AB307" s="40">
        <v>0</v>
      </c>
      <c r="AC307" s="52">
        <v>-81.072000000000003</v>
      </c>
      <c r="AD307" s="674">
        <v>2744.96725387276</v>
      </c>
      <c r="AE307" s="40">
        <v>2681.3683545552258</v>
      </c>
      <c r="AF307" s="35">
        <v>-63.598899317534233</v>
      </c>
      <c r="AG307" s="77">
        <v>8144.2617166031787</v>
      </c>
      <c r="AH307" s="53">
        <v>8776.5763990839514</v>
      </c>
      <c r="AI307" s="52">
        <v>632.31468248077272</v>
      </c>
      <c r="AJ307" s="674">
        <v>0</v>
      </c>
      <c r="AK307" s="40">
        <v>0</v>
      </c>
      <c r="AL307" s="52">
        <v>0</v>
      </c>
      <c r="AM307" s="674">
        <v>0</v>
      </c>
      <c r="AN307" s="40">
        <v>0</v>
      </c>
      <c r="AO307" s="52">
        <v>0</v>
      </c>
      <c r="AP307" s="674">
        <v>1483.9555205808913</v>
      </c>
      <c r="AQ307" s="40">
        <v>1195.5477300505795</v>
      </c>
      <c r="AR307" s="52">
        <v>-288.40779053031179</v>
      </c>
      <c r="AS307" s="674">
        <v>4979.6855785955067</v>
      </c>
      <c r="AT307" s="40">
        <v>3391.9700000000003</v>
      </c>
      <c r="AU307" s="54">
        <v>-1587.7155785955065</v>
      </c>
      <c r="AV307" s="674">
        <v>730.54862540252327</v>
      </c>
      <c r="AW307" s="40">
        <v>0</v>
      </c>
      <c r="AX307" s="55">
        <v>-730.54862540252327</v>
      </c>
      <c r="AY307" s="674">
        <v>698.82335377133586</v>
      </c>
      <c r="AZ307" s="40">
        <v>0</v>
      </c>
      <c r="BA307" s="35">
        <v>-698.82335377133586</v>
      </c>
      <c r="BB307" s="674">
        <v>348.92221849989437</v>
      </c>
      <c r="BC307" s="40">
        <v>0</v>
      </c>
      <c r="BD307" s="55">
        <v>-348.92221849989437</v>
      </c>
      <c r="BE307" s="674">
        <v>0</v>
      </c>
      <c r="BF307" s="40">
        <v>0</v>
      </c>
      <c r="BG307" s="38">
        <v>0</v>
      </c>
      <c r="BH307" s="674">
        <v>0</v>
      </c>
      <c r="BI307" s="40">
        <v>0</v>
      </c>
      <c r="BJ307" s="55">
        <v>0</v>
      </c>
      <c r="BK307" s="674">
        <v>282.65924797058551</v>
      </c>
      <c r="BL307" s="40">
        <v>0</v>
      </c>
      <c r="BM307" s="38">
        <v>-282.65924797058551</v>
      </c>
      <c r="BN307" s="674">
        <v>84.913192101523933</v>
      </c>
      <c r="BO307" s="40">
        <v>0</v>
      </c>
      <c r="BP307" s="55">
        <v>-84.913192101523933</v>
      </c>
      <c r="BQ307" s="77">
        <v>2145.866637745863</v>
      </c>
      <c r="BR307" s="40">
        <v>0</v>
      </c>
      <c r="BS307" s="55">
        <v>-2145.866637745863</v>
      </c>
      <c r="BT307" s="674">
        <v>8107.3973980244136</v>
      </c>
      <c r="BU307" s="40">
        <v>9216.6398271231628</v>
      </c>
      <c r="BV307" s="52">
        <v>1109.2424290987492</v>
      </c>
      <c r="BW307" s="674">
        <v>4197.9854604653619</v>
      </c>
      <c r="BX307" s="40">
        <v>4793.849033480652</v>
      </c>
      <c r="BY307" s="52">
        <v>595.86357301529006</v>
      </c>
      <c r="BZ307" s="674">
        <v>3504.4180854806191</v>
      </c>
      <c r="CA307" s="40">
        <v>2493.5378693837297</v>
      </c>
      <c r="CB307" s="52">
        <v>-1010.8802160968894</v>
      </c>
      <c r="CC307" s="674">
        <v>0</v>
      </c>
      <c r="CD307" s="40">
        <v>0</v>
      </c>
      <c r="CE307" s="52">
        <v>0</v>
      </c>
      <c r="CF307" s="674">
        <v>0</v>
      </c>
      <c r="CG307" s="40">
        <v>0</v>
      </c>
      <c r="CH307" s="52">
        <v>0</v>
      </c>
      <c r="CI307" s="674">
        <v>645.33988483814062</v>
      </c>
      <c r="CJ307" s="40">
        <v>530.4812641663184</v>
      </c>
      <c r="CK307" s="52">
        <v>-114.85862067182222</v>
      </c>
      <c r="CL307" s="674">
        <v>0</v>
      </c>
      <c r="CM307" s="40">
        <v>0</v>
      </c>
      <c r="CN307" s="52">
        <v>0</v>
      </c>
      <c r="CO307" s="39">
        <v>645.33988483814062</v>
      </c>
      <c r="CP307" s="40">
        <v>530.4812641663184</v>
      </c>
      <c r="CQ307" s="52">
        <v>-114.85862067182222</v>
      </c>
      <c r="CR307" s="72">
        <v>33208.910282333978</v>
      </c>
      <c r="CS307" s="5">
        <v>30398.602123288394</v>
      </c>
      <c r="CT307" s="52">
        <v>-2810.308159045584</v>
      </c>
      <c r="CU307" s="77">
        <v>39850.692338800771</v>
      </c>
      <c r="CV307" s="65">
        <v>36478.322547946074</v>
      </c>
      <c r="CW307" s="35">
        <v>-3372.3697908546965</v>
      </c>
      <c r="CX307" s="73">
        <v>425.89361250334235</v>
      </c>
      <c r="CY307" s="40">
        <v>3211.3709485665381</v>
      </c>
      <c r="CZ307" s="52">
        <v>2785.4773360631957</v>
      </c>
      <c r="DA307" s="150">
        <v>17125.858488191243</v>
      </c>
      <c r="DB307" s="2">
        <v>1</v>
      </c>
      <c r="DC307" s="675">
        <v>3524.55</v>
      </c>
      <c r="DD307" s="675">
        <v>1770.6</v>
      </c>
      <c r="DE307" s="675">
        <v>547.01093611275883</v>
      </c>
      <c r="DF307" s="675">
        <v>1258.9466608259909</v>
      </c>
      <c r="DG307" s="321">
        <v>19326.668867665874</v>
      </c>
      <c r="DH307" s="40">
        <v>40273.400144243933</v>
      </c>
      <c r="DI307" s="422">
        <v>3489.1924030612504</v>
      </c>
      <c r="DJ307" s="306">
        <v>5.6693432290313046</v>
      </c>
      <c r="DK307" s="306">
        <v>5.6693432290313046</v>
      </c>
      <c r="DL307" s="306">
        <v>4.8314762905949848</v>
      </c>
      <c r="DM307" s="28">
        <v>2977.5390638872414</v>
      </c>
      <c r="DN307" s="28">
        <v>511.65333917400892</v>
      </c>
      <c r="DO307" s="423">
        <v>3489.1924030612504</v>
      </c>
      <c r="DP307" s="94">
        <v>0</v>
      </c>
      <c r="DQ307" s="28">
        <v>3489.1924030612504</v>
      </c>
      <c r="DR307" s="318"/>
      <c r="DT307" s="8"/>
      <c r="DU307" s="5"/>
      <c r="DX307" s="5">
        <v>8550.662659609643</v>
      </c>
      <c r="DY307" s="5">
        <v>4070.364</v>
      </c>
      <c r="DZ307" s="159">
        <v>712.46398598317035</v>
      </c>
      <c r="EB307" s="676">
        <v>-1041.3601725735152</v>
      </c>
      <c r="EC307" s="676">
        <v>-29.879141761637129</v>
      </c>
      <c r="ED307" s="676">
        <v>906.60966671025199</v>
      </c>
      <c r="EE307" s="676">
        <v>506.54082007764146</v>
      </c>
      <c r="EF307" s="676">
        <v>1420.3746073457582</v>
      </c>
      <c r="EG307" s="676">
        <v>138.18436362559623</v>
      </c>
      <c r="EH307" s="676">
        <v>-1278.6122343342195</v>
      </c>
      <c r="EI307" s="676">
        <v>-659.43230331685891</v>
      </c>
      <c r="EJ307" s="676">
        <v>-1631.9357978876837</v>
      </c>
      <c r="EK307" s="676">
        <v>220.8092311808964</v>
      </c>
      <c r="EL307" s="676">
        <v>330.91926367263568</v>
      </c>
      <c r="EM307" s="676">
        <v>-1083.0286822134958</v>
      </c>
      <c r="EN307" s="676">
        <v>-2200.8103794746303</v>
      </c>
      <c r="EQ307" s="5">
        <v>8550.662659609643</v>
      </c>
      <c r="ER307" s="5">
        <v>4070.364</v>
      </c>
      <c r="ET307" s="318">
        <v>6628.9615361380338</v>
      </c>
      <c r="EU307" s="5">
        <v>12207.707331527839</v>
      </c>
    </row>
    <row r="308" spans="1:151" x14ac:dyDescent="0.3">
      <c r="A308" s="325">
        <v>150000839</v>
      </c>
      <c r="B308" s="41" t="s">
        <v>754</v>
      </c>
      <c r="C308" s="42" t="s">
        <v>136</v>
      </c>
      <c r="D308" s="27">
        <v>1</v>
      </c>
      <c r="E308" s="293">
        <v>128.19999999999999</v>
      </c>
      <c r="F308" s="305">
        <v>128.19999999999999</v>
      </c>
      <c r="G308" s="508">
        <v>0</v>
      </c>
      <c r="H308" s="677">
        <v>0</v>
      </c>
      <c r="I308" s="674">
        <v>0</v>
      </c>
      <c r="J308" s="40">
        <v>0</v>
      </c>
      <c r="K308" s="52">
        <v>0</v>
      </c>
      <c r="L308" s="674">
        <v>0</v>
      </c>
      <c r="M308" s="40">
        <v>0</v>
      </c>
      <c r="N308" s="52">
        <v>0</v>
      </c>
      <c r="O308" s="674">
        <v>0</v>
      </c>
      <c r="P308" s="40">
        <v>0</v>
      </c>
      <c r="Q308" s="52">
        <v>0</v>
      </c>
      <c r="R308" s="674">
        <v>0</v>
      </c>
      <c r="S308" s="40">
        <v>0</v>
      </c>
      <c r="T308" s="52">
        <v>0</v>
      </c>
      <c r="U308" s="674">
        <v>0</v>
      </c>
      <c r="V308" s="40">
        <v>0</v>
      </c>
      <c r="W308" s="52">
        <v>0</v>
      </c>
      <c r="X308" s="674">
        <v>0</v>
      </c>
      <c r="Y308" s="40">
        <v>0</v>
      </c>
      <c r="Z308" s="52">
        <v>0</v>
      </c>
      <c r="AA308" s="674">
        <v>15.383999999999997</v>
      </c>
      <c r="AB308" s="40">
        <v>0</v>
      </c>
      <c r="AC308" s="52">
        <v>-15.383999999999997</v>
      </c>
      <c r="AD308" s="674">
        <v>123.15132130793273</v>
      </c>
      <c r="AE308" s="40">
        <v>544.68614015842172</v>
      </c>
      <c r="AF308" s="35">
        <v>421.53481885048899</v>
      </c>
      <c r="AG308" s="77">
        <v>138.53532130793272</v>
      </c>
      <c r="AH308" s="53">
        <v>544.68614015842172</v>
      </c>
      <c r="AI308" s="52">
        <v>406.15081885048903</v>
      </c>
      <c r="AJ308" s="674">
        <v>0</v>
      </c>
      <c r="AK308" s="40">
        <v>0</v>
      </c>
      <c r="AL308" s="52">
        <v>0</v>
      </c>
      <c r="AM308" s="674">
        <v>0</v>
      </c>
      <c r="AN308" s="40">
        <v>0</v>
      </c>
      <c r="AO308" s="52">
        <v>0</v>
      </c>
      <c r="AP308" s="674">
        <v>404.71514197660667</v>
      </c>
      <c r="AQ308" s="40">
        <v>336.57337442243158</v>
      </c>
      <c r="AR308" s="52">
        <v>-68.14176755417509</v>
      </c>
      <c r="AS308" s="674">
        <v>2154.0606939895661</v>
      </c>
      <c r="AT308" s="40">
        <v>0</v>
      </c>
      <c r="AU308" s="54">
        <v>-2154.0606939895661</v>
      </c>
      <c r="AV308" s="674">
        <v>0</v>
      </c>
      <c r="AW308" s="40">
        <v>0</v>
      </c>
      <c r="AX308" s="55">
        <v>0</v>
      </c>
      <c r="AY308" s="674">
        <v>0</v>
      </c>
      <c r="AZ308" s="40">
        <v>0</v>
      </c>
      <c r="BA308" s="35">
        <v>0</v>
      </c>
      <c r="BB308" s="674">
        <v>0</v>
      </c>
      <c r="BC308" s="40">
        <v>0</v>
      </c>
      <c r="BD308" s="55">
        <v>0</v>
      </c>
      <c r="BE308" s="674">
        <v>0</v>
      </c>
      <c r="BF308" s="40">
        <v>0</v>
      </c>
      <c r="BG308" s="38">
        <v>0</v>
      </c>
      <c r="BH308" s="674">
        <v>0</v>
      </c>
      <c r="BI308" s="40">
        <v>0</v>
      </c>
      <c r="BJ308" s="55">
        <v>0</v>
      </c>
      <c r="BK308" s="674">
        <v>0</v>
      </c>
      <c r="BL308" s="40">
        <v>0</v>
      </c>
      <c r="BM308" s="38">
        <v>0</v>
      </c>
      <c r="BN308" s="674">
        <v>5.702732728474416</v>
      </c>
      <c r="BO308" s="40">
        <v>0</v>
      </c>
      <c r="BP308" s="55">
        <v>-5.702732728474416</v>
      </c>
      <c r="BQ308" s="77">
        <v>5.702732728474416</v>
      </c>
      <c r="BR308" s="40">
        <v>0</v>
      </c>
      <c r="BS308" s="55">
        <v>-5.702732728474416</v>
      </c>
      <c r="BT308" s="674">
        <v>179.45258065648133</v>
      </c>
      <c r="BU308" s="40">
        <v>233.85277437546313</v>
      </c>
      <c r="BV308" s="52">
        <v>54.400193718981797</v>
      </c>
      <c r="BW308" s="674">
        <v>0</v>
      </c>
      <c r="BX308" s="40">
        <v>2.9161243389891558</v>
      </c>
      <c r="BY308" s="52">
        <v>2.9161243389891558</v>
      </c>
      <c r="BZ308" s="674">
        <v>0</v>
      </c>
      <c r="CA308" s="40">
        <v>76.917783252848267</v>
      </c>
      <c r="CB308" s="52">
        <v>76.917783252848267</v>
      </c>
      <c r="CC308" s="674">
        <v>0</v>
      </c>
      <c r="CD308" s="40">
        <v>0</v>
      </c>
      <c r="CE308" s="52">
        <v>0</v>
      </c>
      <c r="CF308" s="674">
        <v>0</v>
      </c>
      <c r="CG308" s="40">
        <v>0</v>
      </c>
      <c r="CH308" s="52">
        <v>0</v>
      </c>
      <c r="CI308" s="674">
        <v>0</v>
      </c>
      <c r="CJ308" s="40">
        <v>0</v>
      </c>
      <c r="CK308" s="52">
        <v>0</v>
      </c>
      <c r="CL308" s="674">
        <v>0</v>
      </c>
      <c r="CM308" s="40">
        <v>0</v>
      </c>
      <c r="CN308" s="52">
        <v>0</v>
      </c>
      <c r="CO308" s="39">
        <v>0</v>
      </c>
      <c r="CP308" s="40">
        <v>0</v>
      </c>
      <c r="CQ308" s="52">
        <v>0</v>
      </c>
      <c r="CR308" s="72">
        <v>2882.4664706590611</v>
      </c>
      <c r="CS308" s="5">
        <v>1194.9461965481539</v>
      </c>
      <c r="CT308" s="52">
        <v>-1687.5202741109072</v>
      </c>
      <c r="CU308" s="77">
        <v>3458.9597647908731</v>
      </c>
      <c r="CV308" s="65">
        <v>1433.9354358577846</v>
      </c>
      <c r="CW308" s="35">
        <v>-2025.0243289330886</v>
      </c>
      <c r="CX308" s="73">
        <v>77.058988702535999</v>
      </c>
      <c r="CY308" s="40">
        <v>2102.0833176356246</v>
      </c>
      <c r="CZ308" s="52">
        <v>2025.0243289330886</v>
      </c>
      <c r="DA308" s="150">
        <v>-3193.0257647512553</v>
      </c>
      <c r="DB308" s="2">
        <v>1</v>
      </c>
      <c r="DC308" s="675">
        <v>144.24</v>
      </c>
      <c r="DD308" s="675">
        <v>0</v>
      </c>
      <c r="DE308" s="675">
        <v>-165.68345634394996</v>
      </c>
      <c r="DF308" s="675">
        <v>0</v>
      </c>
      <c r="DG308" s="321">
        <v>-1168.0014358181663</v>
      </c>
      <c r="DH308" s="40">
        <v>3535.7506775925663</v>
      </c>
      <c r="DI308" s="422">
        <v>309.92345634394997</v>
      </c>
      <c r="DJ308" s="306">
        <v>2.4174996594691889</v>
      </c>
      <c r="DK308" s="306">
        <v>2.4174996594691889</v>
      </c>
      <c r="DL308" s="306">
        <v>2.4174996594691889</v>
      </c>
      <c r="DM308" s="28">
        <v>309.92345634394997</v>
      </c>
      <c r="DN308" s="28">
        <v>0</v>
      </c>
      <c r="DO308" s="423">
        <v>309.92345634394997</v>
      </c>
      <c r="DP308" s="94">
        <v>0</v>
      </c>
      <c r="DQ308" s="28">
        <v>309.92345634394997</v>
      </c>
      <c r="DR308" s="318"/>
      <c r="DT308" s="8"/>
      <c r="DU308" s="5"/>
      <c r="DX308" s="5">
        <v>2591.7161120616488</v>
      </c>
      <c r="DY308" s="5">
        <v>0</v>
      </c>
      <c r="DZ308" s="159">
        <v>238.80050205839609</v>
      </c>
      <c r="EB308" s="676">
        <v>46.990875277260443</v>
      </c>
      <c r="EC308" s="676">
        <v>-168.01685295971018</v>
      </c>
      <c r="ED308" s="676">
        <v>-165.6955914994555</v>
      </c>
      <c r="EE308" s="676">
        <v>-266.78655319875128</v>
      </c>
      <c r="EF308" s="676">
        <v>-215.03856156709253</v>
      </c>
      <c r="EG308" s="676">
        <v>-218.35799345066187</v>
      </c>
      <c r="EH308" s="676">
        <v>-18.051418548470224</v>
      </c>
      <c r="EI308" s="676">
        <v>-195.47436146687096</v>
      </c>
      <c r="EJ308" s="676">
        <v>-216.04531665971774</v>
      </c>
      <c r="EK308" s="676">
        <v>-187.7117441368809</v>
      </c>
      <c r="EL308" s="676">
        <v>-206.07323591641503</v>
      </c>
      <c r="EM308" s="676">
        <v>-214.76357480632288</v>
      </c>
      <c r="EN308" s="676">
        <v>-2025.0243289330888</v>
      </c>
      <c r="EQ308" s="5">
        <v>2591.7161120616488</v>
      </c>
      <c r="ER308" s="5">
        <v>0</v>
      </c>
      <c r="ET308" s="318">
        <v>508.27605877095971</v>
      </c>
      <c r="EU308" s="5">
        <v>-1611.277494589126</v>
      </c>
    </row>
    <row r="309" spans="1:151" x14ac:dyDescent="0.3">
      <c r="A309" s="325">
        <v>150000840</v>
      </c>
      <c r="B309" s="41" t="s">
        <v>755</v>
      </c>
      <c r="C309" s="42" t="s">
        <v>394</v>
      </c>
      <c r="D309" s="27">
        <v>9</v>
      </c>
      <c r="E309" s="293">
        <v>4216.5600000000004</v>
      </c>
      <c r="F309" s="305">
        <v>4216.5600000000004</v>
      </c>
      <c r="G309" s="508">
        <v>460.11</v>
      </c>
      <c r="H309" s="677">
        <v>0</v>
      </c>
      <c r="I309" s="674">
        <v>15272.192982629804</v>
      </c>
      <c r="J309" s="40">
        <v>12623.527392343394</v>
      </c>
      <c r="K309" s="52">
        <v>-2648.6655902864095</v>
      </c>
      <c r="L309" s="674">
        <v>2401.8239095093277</v>
      </c>
      <c r="M309" s="40">
        <v>1913.7431497558289</v>
      </c>
      <c r="N309" s="52">
        <v>-488.0807597534988</v>
      </c>
      <c r="O309" s="674">
        <v>5653.3621213182796</v>
      </c>
      <c r="P309" s="40">
        <v>5653.3799999999992</v>
      </c>
      <c r="Q309" s="52">
        <v>1.7878681719594169E-2</v>
      </c>
      <c r="R309" s="674">
        <v>1261.9867917866352</v>
      </c>
      <c r="S309" s="40">
        <v>1261.9800000000002</v>
      </c>
      <c r="T309" s="52">
        <v>-6.7917866349489486E-3</v>
      </c>
      <c r="U309" s="674">
        <v>714.84307937464087</v>
      </c>
      <c r="V309" s="40">
        <v>332.04965388747809</v>
      </c>
      <c r="W309" s="52">
        <v>-382.79342548716278</v>
      </c>
      <c r="X309" s="674">
        <v>6243.9846291373779</v>
      </c>
      <c r="Y309" s="40">
        <v>4753.6609016851726</v>
      </c>
      <c r="Z309" s="52">
        <v>-1490.3237274522053</v>
      </c>
      <c r="AA309" s="674">
        <v>505.91279999999995</v>
      </c>
      <c r="AB309" s="40">
        <v>0</v>
      </c>
      <c r="AC309" s="52">
        <v>-505.91279999999995</v>
      </c>
      <c r="AD309" s="674">
        <v>18077.831179344477</v>
      </c>
      <c r="AE309" s="40">
        <v>17914.097983836826</v>
      </c>
      <c r="AF309" s="35">
        <v>-163.73319550765154</v>
      </c>
      <c r="AG309" s="77">
        <v>50131.937493100544</v>
      </c>
      <c r="AH309" s="53">
        <v>44452.439081508695</v>
      </c>
      <c r="AI309" s="52">
        <v>-5679.4984115918487</v>
      </c>
      <c r="AJ309" s="674">
        <v>32751.771254232386</v>
      </c>
      <c r="AK309" s="40">
        <v>32536.734907707138</v>
      </c>
      <c r="AL309" s="52">
        <v>-215.03634652524852</v>
      </c>
      <c r="AM309" s="674">
        <v>630.44965500000001</v>
      </c>
      <c r="AN309" s="40">
        <v>0</v>
      </c>
      <c r="AO309" s="52">
        <v>-630.44965500000001</v>
      </c>
      <c r="AP309" s="674">
        <v>3237.7211358128534</v>
      </c>
      <c r="AQ309" s="40">
        <v>2590.033699054622</v>
      </c>
      <c r="AR309" s="52">
        <v>-647.68743675823134</v>
      </c>
      <c r="AS309" s="674">
        <v>52960.606742423348</v>
      </c>
      <c r="AT309" s="40">
        <v>44252.175045238342</v>
      </c>
      <c r="AU309" s="54">
        <v>-8708.4316971850058</v>
      </c>
      <c r="AV309" s="674">
        <v>2395.8230085552932</v>
      </c>
      <c r="AW309" s="40">
        <v>1229.23</v>
      </c>
      <c r="AX309" s="55">
        <v>-1166.5930085552932</v>
      </c>
      <c r="AY309" s="674">
        <v>2644.6988429234993</v>
      </c>
      <c r="AZ309" s="40">
        <v>0</v>
      </c>
      <c r="BA309" s="35">
        <v>-2644.6988429234993</v>
      </c>
      <c r="BB309" s="674">
        <v>1904.0538450152812</v>
      </c>
      <c r="BC309" s="40">
        <v>0</v>
      </c>
      <c r="BD309" s="55">
        <v>-1904.0538450152812</v>
      </c>
      <c r="BE309" s="674">
        <v>1815.2740565956162</v>
      </c>
      <c r="BF309" s="40">
        <v>0</v>
      </c>
      <c r="BG309" s="38">
        <v>-1815.2740565956162</v>
      </c>
      <c r="BH309" s="674">
        <v>923.71373565197098</v>
      </c>
      <c r="BI309" s="40">
        <v>0</v>
      </c>
      <c r="BJ309" s="55">
        <v>-923.71373565197098</v>
      </c>
      <c r="BK309" s="674">
        <v>1285.0570309707175</v>
      </c>
      <c r="BL309" s="40">
        <v>0</v>
      </c>
      <c r="BM309" s="38">
        <v>-1285.0570309707175</v>
      </c>
      <c r="BN309" s="674">
        <v>568.40747131190187</v>
      </c>
      <c r="BO309" s="40">
        <v>0</v>
      </c>
      <c r="BP309" s="55">
        <v>-568.40747131190187</v>
      </c>
      <c r="BQ309" s="77">
        <v>11537.027991024281</v>
      </c>
      <c r="BR309" s="40">
        <v>1229.23</v>
      </c>
      <c r="BS309" s="55">
        <v>-10307.797991024281</v>
      </c>
      <c r="BT309" s="674">
        <v>57196.982928598132</v>
      </c>
      <c r="BU309" s="40">
        <v>60464.892557010775</v>
      </c>
      <c r="BV309" s="52">
        <v>3267.9096284126426</v>
      </c>
      <c r="BW309" s="674">
        <v>33276.803043482134</v>
      </c>
      <c r="BX309" s="40">
        <v>32575.973585765787</v>
      </c>
      <c r="BY309" s="52">
        <v>-700.82945771634695</v>
      </c>
      <c r="BZ309" s="674">
        <v>11960.667425907139</v>
      </c>
      <c r="CA309" s="40">
        <v>14411.593393137446</v>
      </c>
      <c r="CB309" s="52">
        <v>2450.9259672303069</v>
      </c>
      <c r="CC309" s="674">
        <v>1860.4822585286547</v>
      </c>
      <c r="CD309" s="40">
        <v>1950.9938560838084</v>
      </c>
      <c r="CE309" s="52">
        <v>90.511597555153685</v>
      </c>
      <c r="CF309" s="674">
        <v>226.88525533430408</v>
      </c>
      <c r="CG309" s="40">
        <v>0</v>
      </c>
      <c r="CH309" s="52">
        <v>-226.88525533430408</v>
      </c>
      <c r="CI309" s="674">
        <v>9573.5710350681329</v>
      </c>
      <c r="CJ309" s="40">
        <v>5115.6109418845326</v>
      </c>
      <c r="CK309" s="52">
        <v>-4457.9600931836003</v>
      </c>
      <c r="CL309" s="674">
        <v>6501.4663568866317</v>
      </c>
      <c r="CM309" s="40">
        <v>6451.7374529889157</v>
      </c>
      <c r="CN309" s="52">
        <v>-49.728903897716009</v>
      </c>
      <c r="CO309" s="39">
        <v>16075.037391954764</v>
      </c>
      <c r="CP309" s="40">
        <v>11567.348394873448</v>
      </c>
      <c r="CQ309" s="52">
        <v>-4507.6889970813154</v>
      </c>
      <c r="CR309" s="72">
        <v>271846.37257539853</v>
      </c>
      <c r="CS309" s="5">
        <v>246031.41452038003</v>
      </c>
      <c r="CT309" s="52">
        <v>-25814.958055018506</v>
      </c>
      <c r="CU309" s="77">
        <v>326215.64709047822</v>
      </c>
      <c r="CV309" s="65">
        <v>295237.69742445601</v>
      </c>
      <c r="CW309" s="35">
        <v>-30977.949666022207</v>
      </c>
      <c r="CX309" s="73">
        <v>9897.5971747439908</v>
      </c>
      <c r="CY309" s="40">
        <v>41462.346840766098</v>
      </c>
      <c r="CZ309" s="52">
        <v>31564.749666022108</v>
      </c>
      <c r="DA309" s="150">
        <v>12759.113673417134</v>
      </c>
      <c r="DB309" s="2">
        <v>1</v>
      </c>
      <c r="DC309" s="675">
        <v>53433.65</v>
      </c>
      <c r="DD309" s="675">
        <v>0</v>
      </c>
      <c r="DE309" s="675">
        <v>24088.805986151368</v>
      </c>
      <c r="DF309" s="675">
        <v>0</v>
      </c>
      <c r="DG309" s="321">
        <v>44908.53029602782</v>
      </c>
      <c r="DH309" s="40">
        <v>336087.39204395749</v>
      </c>
      <c r="DI309" s="422">
        <v>29344.844013848633</v>
      </c>
      <c r="DJ309" s="306">
        <v>5.9691141416610618</v>
      </c>
      <c r="DK309" s="306">
        <v>7.0807264587919336</v>
      </c>
      <c r="DL309" s="306">
        <v>5.0847417551530754</v>
      </c>
      <c r="DM309" s="28">
        <v>29344.844013848633</v>
      </c>
      <c r="DN309" s="28">
        <v>0</v>
      </c>
      <c r="DO309" s="423">
        <v>29344.844013848633</v>
      </c>
      <c r="DP309" s="94">
        <v>0</v>
      </c>
      <c r="DQ309" s="28">
        <v>29344.844013848633</v>
      </c>
      <c r="DR309" s="318"/>
      <c r="DT309" s="8"/>
      <c r="DU309" s="5"/>
      <c r="DX309" s="5">
        <v>77397.161680137157</v>
      </c>
      <c r="DY309" s="5">
        <v>54577.686054286016</v>
      </c>
      <c r="DZ309" s="159">
        <v>6746.9077301051047</v>
      </c>
      <c r="EB309" s="676">
        <v>335.28343149368811</v>
      </c>
      <c r="EC309" s="676">
        <v>-10565.645460873448</v>
      </c>
      <c r="ED309" s="676">
        <v>1673.2138503706628</v>
      </c>
      <c r="EE309" s="676">
        <v>-3928.3801835409722</v>
      </c>
      <c r="EF309" s="676">
        <v>-5336.6722262260337</v>
      </c>
      <c r="EG309" s="676">
        <v>-15308.37110696731</v>
      </c>
      <c r="EH309" s="676">
        <v>24956.227448049802</v>
      </c>
      <c r="EI309" s="676">
        <v>-6773.4951659428407</v>
      </c>
      <c r="EJ309" s="676">
        <v>578.79028640580873</v>
      </c>
      <c r="EK309" s="676">
        <v>-4774.6297639157747</v>
      </c>
      <c r="EL309" s="676">
        <v>-5311.4423677333762</v>
      </c>
      <c r="EM309" s="676">
        <v>-7694.2953637308929</v>
      </c>
      <c r="EN309" s="676">
        <v>-32149.416622610686</v>
      </c>
      <c r="EQ309" s="5">
        <v>77397.161680137157</v>
      </c>
      <c r="ER309" s="5">
        <v>54577.686054286016</v>
      </c>
      <c r="ET309" s="318">
        <v>-2950.5739788225692</v>
      </c>
      <c r="EU309" s="5">
        <v>103146.10427485041</v>
      </c>
    </row>
    <row r="310" spans="1:151" x14ac:dyDescent="0.3">
      <c r="A310" s="325">
        <v>150000841</v>
      </c>
      <c r="B310" s="41" t="s">
        <v>756</v>
      </c>
      <c r="C310" s="42" t="s">
        <v>137</v>
      </c>
      <c r="D310" s="27">
        <v>1</v>
      </c>
      <c r="E310" s="293">
        <v>172.4</v>
      </c>
      <c r="F310" s="305">
        <v>172.4</v>
      </c>
      <c r="G310" s="508">
        <v>0</v>
      </c>
      <c r="H310" s="677">
        <v>0</v>
      </c>
      <c r="I310" s="674">
        <v>0</v>
      </c>
      <c r="J310" s="40">
        <v>0</v>
      </c>
      <c r="K310" s="52">
        <v>0</v>
      </c>
      <c r="L310" s="674">
        <v>0</v>
      </c>
      <c r="M310" s="40">
        <v>0</v>
      </c>
      <c r="N310" s="52">
        <v>0</v>
      </c>
      <c r="O310" s="674">
        <v>0</v>
      </c>
      <c r="P310" s="40">
        <v>0</v>
      </c>
      <c r="Q310" s="52">
        <v>0</v>
      </c>
      <c r="R310" s="674">
        <v>0</v>
      </c>
      <c r="S310" s="40">
        <v>0</v>
      </c>
      <c r="T310" s="52">
        <v>0</v>
      </c>
      <c r="U310" s="674">
        <v>0</v>
      </c>
      <c r="V310" s="40">
        <v>0</v>
      </c>
      <c r="W310" s="52">
        <v>0</v>
      </c>
      <c r="X310" s="674">
        <v>0</v>
      </c>
      <c r="Y310" s="40">
        <v>0</v>
      </c>
      <c r="Z310" s="52">
        <v>0</v>
      </c>
      <c r="AA310" s="674">
        <v>20.688000000000002</v>
      </c>
      <c r="AB310" s="40">
        <v>0</v>
      </c>
      <c r="AC310" s="52">
        <v>-20.688000000000002</v>
      </c>
      <c r="AD310" s="674">
        <v>165.60888416750558</v>
      </c>
      <c r="AE310" s="40">
        <v>732.47964557965622</v>
      </c>
      <c r="AF310" s="35">
        <v>566.87076141215061</v>
      </c>
      <c r="AG310" s="77">
        <v>186.2968841675056</v>
      </c>
      <c r="AH310" s="53">
        <v>732.47964557965622</v>
      </c>
      <c r="AI310" s="52">
        <v>546.18276141215063</v>
      </c>
      <c r="AJ310" s="674">
        <v>0</v>
      </c>
      <c r="AK310" s="40">
        <v>0</v>
      </c>
      <c r="AL310" s="52">
        <v>0</v>
      </c>
      <c r="AM310" s="674">
        <v>0</v>
      </c>
      <c r="AN310" s="40">
        <v>0</v>
      </c>
      <c r="AO310" s="52">
        <v>0</v>
      </c>
      <c r="AP310" s="674">
        <v>269.81009465107115</v>
      </c>
      <c r="AQ310" s="40">
        <v>224.38224961495439</v>
      </c>
      <c r="AR310" s="52">
        <v>-45.427845036116764</v>
      </c>
      <c r="AS310" s="674">
        <v>1767.7848429065198</v>
      </c>
      <c r="AT310" s="40">
        <v>0</v>
      </c>
      <c r="AU310" s="54">
        <v>-1767.7848429065198</v>
      </c>
      <c r="AV310" s="674">
        <v>0</v>
      </c>
      <c r="AW310" s="40">
        <v>0</v>
      </c>
      <c r="AX310" s="55">
        <v>0</v>
      </c>
      <c r="AY310" s="674">
        <v>0</v>
      </c>
      <c r="AZ310" s="40">
        <v>0</v>
      </c>
      <c r="BA310" s="35">
        <v>0</v>
      </c>
      <c r="BB310" s="674">
        <v>0</v>
      </c>
      <c r="BC310" s="40">
        <v>0</v>
      </c>
      <c r="BD310" s="55">
        <v>0</v>
      </c>
      <c r="BE310" s="674">
        <v>0</v>
      </c>
      <c r="BF310" s="40">
        <v>0</v>
      </c>
      <c r="BG310" s="38">
        <v>0</v>
      </c>
      <c r="BH310" s="674">
        <v>0</v>
      </c>
      <c r="BI310" s="40">
        <v>0</v>
      </c>
      <c r="BJ310" s="55">
        <v>0</v>
      </c>
      <c r="BK310" s="674">
        <v>0</v>
      </c>
      <c r="BL310" s="40">
        <v>0</v>
      </c>
      <c r="BM310" s="38">
        <v>0</v>
      </c>
      <c r="BN310" s="674">
        <v>7.561204628690696</v>
      </c>
      <c r="BO310" s="40">
        <v>0</v>
      </c>
      <c r="BP310" s="55">
        <v>-7.561204628690696</v>
      </c>
      <c r="BQ310" s="77">
        <v>7.561204628690696</v>
      </c>
      <c r="BR310" s="40">
        <v>0</v>
      </c>
      <c r="BS310" s="55">
        <v>-7.561204628690696</v>
      </c>
      <c r="BT310" s="674">
        <v>574.24825810074003</v>
      </c>
      <c r="BU310" s="40">
        <v>748.47732139363166</v>
      </c>
      <c r="BV310" s="52">
        <v>174.22906329289162</v>
      </c>
      <c r="BW310" s="674">
        <v>0</v>
      </c>
      <c r="BX310" s="40">
        <v>3.9215275822287876</v>
      </c>
      <c r="BY310" s="52">
        <v>3.9215275822287876</v>
      </c>
      <c r="BZ310" s="674">
        <v>0</v>
      </c>
      <c r="CA310" s="40">
        <v>246.1581709988605</v>
      </c>
      <c r="CB310" s="52">
        <v>246.1581709988605</v>
      </c>
      <c r="CC310" s="674">
        <v>0</v>
      </c>
      <c r="CD310" s="40">
        <v>0</v>
      </c>
      <c r="CE310" s="52">
        <v>0</v>
      </c>
      <c r="CF310" s="674">
        <v>0</v>
      </c>
      <c r="CG310" s="40">
        <v>0</v>
      </c>
      <c r="CH310" s="52">
        <v>0</v>
      </c>
      <c r="CI310" s="674">
        <v>0</v>
      </c>
      <c r="CJ310" s="40">
        <v>0</v>
      </c>
      <c r="CK310" s="52">
        <v>0</v>
      </c>
      <c r="CL310" s="674">
        <v>0</v>
      </c>
      <c r="CM310" s="40">
        <v>0</v>
      </c>
      <c r="CN310" s="52">
        <v>0</v>
      </c>
      <c r="CO310" s="39">
        <v>0</v>
      </c>
      <c r="CP310" s="40">
        <v>0</v>
      </c>
      <c r="CQ310" s="52">
        <v>0</v>
      </c>
      <c r="CR310" s="72">
        <v>2805.701284454527</v>
      </c>
      <c r="CS310" s="5">
        <v>1955.4189151693315</v>
      </c>
      <c r="CT310" s="52">
        <v>-850.2823692851955</v>
      </c>
      <c r="CU310" s="77">
        <v>3366.8415413454322</v>
      </c>
      <c r="CV310" s="65">
        <v>2346.5026982031977</v>
      </c>
      <c r="CW310" s="35">
        <v>-1020.3388431422345</v>
      </c>
      <c r="CX310" s="73">
        <v>74.922334414717199</v>
      </c>
      <c r="CY310" s="40">
        <v>1095.261177556953</v>
      </c>
      <c r="CZ310" s="52">
        <v>1020.3388431422359</v>
      </c>
      <c r="DA310" s="150">
        <v>-2921.3518820065328</v>
      </c>
      <c r="DB310" s="2">
        <v>1</v>
      </c>
      <c r="DC310" s="675">
        <v>532.96</v>
      </c>
      <c r="DD310" s="675">
        <v>0</v>
      </c>
      <c r="DE310" s="675">
        <v>231.02145836236258</v>
      </c>
      <c r="DF310" s="675">
        <v>0</v>
      </c>
      <c r="DG310" s="321">
        <v>-1901.013038864297</v>
      </c>
      <c r="DH310" s="40">
        <v>3441.50383833656</v>
      </c>
      <c r="DI310" s="422">
        <v>301.93854163763746</v>
      </c>
      <c r="DJ310" s="306">
        <v>1.7513836521904724</v>
      </c>
      <c r="DK310" s="306">
        <v>1.7513836521904724</v>
      </c>
      <c r="DL310" s="306">
        <v>1.7513836521904724</v>
      </c>
      <c r="DM310" s="28">
        <v>301.93854163763746</v>
      </c>
      <c r="DN310" s="28">
        <v>0</v>
      </c>
      <c r="DO310" s="423">
        <v>301.93854163763746</v>
      </c>
      <c r="DP310" s="94">
        <v>0</v>
      </c>
      <c r="DQ310" s="28">
        <v>301.93854163763746</v>
      </c>
      <c r="DR310" s="318"/>
      <c r="DT310" s="8"/>
      <c r="DU310" s="5"/>
      <c r="DX310" s="5">
        <v>2130.4152570422525</v>
      </c>
      <c r="DY310" s="5">
        <v>0</v>
      </c>
      <c r="DZ310" s="159">
        <v>192.49943200186436</v>
      </c>
      <c r="EB310" s="676">
        <v>15.144519783316042</v>
      </c>
      <c r="EC310" s="676">
        <v>-137.1428702089209</v>
      </c>
      <c r="ED310" s="676">
        <v>-134.0212986352243</v>
      </c>
      <c r="EE310" s="676">
        <v>-245.62628407187694</v>
      </c>
      <c r="EF310" s="676">
        <v>-92.338475704308621</v>
      </c>
      <c r="EG310" s="676">
        <v>-98.176376997680563</v>
      </c>
      <c r="EH310" s="676">
        <v>34.227528430821167</v>
      </c>
      <c r="EI310" s="676">
        <v>-64.127206274351295</v>
      </c>
      <c r="EJ310" s="676">
        <v>-91.685283566798489</v>
      </c>
      <c r="EK310" s="676">
        <v>-47.357359401418989</v>
      </c>
      <c r="EL310" s="676">
        <v>-75.354484905964995</v>
      </c>
      <c r="EM310" s="676">
        <v>-83.881251589828054</v>
      </c>
      <c r="EN310" s="676">
        <v>-1020.338843142236</v>
      </c>
      <c r="EQ310" s="5">
        <v>2130.4152570422525</v>
      </c>
      <c r="ER310" s="5">
        <v>0</v>
      </c>
      <c r="ET310" s="318">
        <v>-1487.9247094401112</v>
      </c>
      <c r="EU310" s="5">
        <v>-1359.0883294241855</v>
      </c>
    </row>
    <row r="311" spans="1:151" x14ac:dyDescent="0.3">
      <c r="A311" s="325">
        <v>150000848</v>
      </c>
      <c r="B311" s="41" t="s">
        <v>757</v>
      </c>
      <c r="C311" s="42" t="s">
        <v>187</v>
      </c>
      <c r="D311" s="27">
        <v>2</v>
      </c>
      <c r="E311" s="293">
        <v>261.2</v>
      </c>
      <c r="F311" s="305">
        <v>261.2</v>
      </c>
      <c r="G311" s="508">
        <v>0</v>
      </c>
      <c r="H311" s="677">
        <v>0</v>
      </c>
      <c r="I311" s="674">
        <v>574.44121875966766</v>
      </c>
      <c r="J311" s="40">
        <v>648.44888766708789</v>
      </c>
      <c r="K311" s="52">
        <v>74.007668907420225</v>
      </c>
      <c r="L311" s="674">
        <v>223.67110679199621</v>
      </c>
      <c r="M311" s="40">
        <v>244.8164255027983</v>
      </c>
      <c r="N311" s="52">
        <v>21.145318710802087</v>
      </c>
      <c r="O311" s="674">
        <v>78.371398923044993</v>
      </c>
      <c r="P311" s="40">
        <v>0</v>
      </c>
      <c r="Q311" s="52">
        <v>-78.371398923044993</v>
      </c>
      <c r="R311" s="674">
        <v>0</v>
      </c>
      <c r="S311" s="40">
        <v>0</v>
      </c>
      <c r="T311" s="52">
        <v>0</v>
      </c>
      <c r="U311" s="674">
        <v>0</v>
      </c>
      <c r="V311" s="40">
        <v>0</v>
      </c>
      <c r="W311" s="52">
        <v>0</v>
      </c>
      <c r="X311" s="674">
        <v>465.68089340956544</v>
      </c>
      <c r="Y311" s="40">
        <v>343.61192790650716</v>
      </c>
      <c r="Z311" s="52">
        <v>-122.06896550305828</v>
      </c>
      <c r="AA311" s="674">
        <v>31.344000000000001</v>
      </c>
      <c r="AB311" s="40">
        <v>0</v>
      </c>
      <c r="AC311" s="52">
        <v>-31.344000000000001</v>
      </c>
      <c r="AD311" s="674">
        <v>1119.9276199854753</v>
      </c>
      <c r="AE311" s="40">
        <v>1109.7661451589686</v>
      </c>
      <c r="AF311" s="35">
        <v>-10.161474826506719</v>
      </c>
      <c r="AG311" s="77">
        <v>2493.4362378697497</v>
      </c>
      <c r="AH311" s="53">
        <v>2346.643386235362</v>
      </c>
      <c r="AI311" s="52">
        <v>-146.79285163438772</v>
      </c>
      <c r="AJ311" s="674">
        <v>0</v>
      </c>
      <c r="AK311" s="40">
        <v>0</v>
      </c>
      <c r="AL311" s="52">
        <v>0</v>
      </c>
      <c r="AM311" s="674">
        <v>0</v>
      </c>
      <c r="AN311" s="40">
        <v>0</v>
      </c>
      <c r="AO311" s="52">
        <v>0</v>
      </c>
      <c r="AP311" s="674">
        <v>539.62018930214231</v>
      </c>
      <c r="AQ311" s="40">
        <v>448.76449922990878</v>
      </c>
      <c r="AR311" s="52">
        <v>-90.855690072233529</v>
      </c>
      <c r="AS311" s="674">
        <v>3469.8080974477971</v>
      </c>
      <c r="AT311" s="40">
        <v>190</v>
      </c>
      <c r="AU311" s="54">
        <v>-3279.8080974477971</v>
      </c>
      <c r="AV311" s="674">
        <v>280.00778493024706</v>
      </c>
      <c r="AW311" s="40">
        <v>0</v>
      </c>
      <c r="AX311" s="55">
        <v>-280.00778493024706</v>
      </c>
      <c r="AY311" s="674">
        <v>366.95020427823852</v>
      </c>
      <c r="AZ311" s="40">
        <v>0</v>
      </c>
      <c r="BA311" s="35">
        <v>-366.95020427823852</v>
      </c>
      <c r="BB311" s="674">
        <v>133.68739402789905</v>
      </c>
      <c r="BC311" s="40">
        <v>0</v>
      </c>
      <c r="BD311" s="55">
        <v>-133.68739402789905</v>
      </c>
      <c r="BE311" s="674">
        <v>0</v>
      </c>
      <c r="BF311" s="40">
        <v>0</v>
      </c>
      <c r="BG311" s="38">
        <v>0</v>
      </c>
      <c r="BH311" s="674">
        <v>0</v>
      </c>
      <c r="BI311" s="40">
        <v>0</v>
      </c>
      <c r="BJ311" s="55">
        <v>0</v>
      </c>
      <c r="BK311" s="674">
        <v>54.940202430438077</v>
      </c>
      <c r="BL311" s="40">
        <v>0</v>
      </c>
      <c r="BM311" s="38">
        <v>-54.940202430438077</v>
      </c>
      <c r="BN311" s="674">
        <v>7.8360000000000003</v>
      </c>
      <c r="BO311" s="40">
        <v>0</v>
      </c>
      <c r="BP311" s="55">
        <v>-7.8360000000000003</v>
      </c>
      <c r="BQ311" s="77">
        <v>843.42158566682258</v>
      </c>
      <c r="BR311" s="40">
        <v>0</v>
      </c>
      <c r="BS311" s="55">
        <v>-843.42158566682258</v>
      </c>
      <c r="BT311" s="674">
        <v>3322.4469605726731</v>
      </c>
      <c r="BU311" s="40">
        <v>3881.9287633204117</v>
      </c>
      <c r="BV311" s="52">
        <v>559.48180274773858</v>
      </c>
      <c r="BW311" s="674">
        <v>2073.5177324548404</v>
      </c>
      <c r="BX311" s="40">
        <v>2238.2598601110153</v>
      </c>
      <c r="BY311" s="52">
        <v>164.74212765617494</v>
      </c>
      <c r="BZ311" s="674">
        <v>1878.0552148705058</v>
      </c>
      <c r="CA311" s="40">
        <v>1038.4053052736576</v>
      </c>
      <c r="CB311" s="52">
        <v>-839.64990959684815</v>
      </c>
      <c r="CC311" s="674">
        <v>0</v>
      </c>
      <c r="CD311" s="40">
        <v>0</v>
      </c>
      <c r="CE311" s="52">
        <v>0</v>
      </c>
      <c r="CF311" s="674">
        <v>0</v>
      </c>
      <c r="CG311" s="40">
        <v>0</v>
      </c>
      <c r="CH311" s="52">
        <v>0</v>
      </c>
      <c r="CI311" s="674">
        <v>977.54719414470514</v>
      </c>
      <c r="CJ311" s="40">
        <v>710.51450719883746</v>
      </c>
      <c r="CK311" s="52">
        <v>-267.03268694586768</v>
      </c>
      <c r="CL311" s="674">
        <v>0</v>
      </c>
      <c r="CM311" s="40">
        <v>0</v>
      </c>
      <c r="CN311" s="52">
        <v>0</v>
      </c>
      <c r="CO311" s="39">
        <v>977.54719414470514</v>
      </c>
      <c r="CP311" s="40">
        <v>710.51450719883746</v>
      </c>
      <c r="CQ311" s="52">
        <v>-267.03268694586768</v>
      </c>
      <c r="CR311" s="72">
        <v>15597.853212329237</v>
      </c>
      <c r="CS311" s="5">
        <v>10854.516321369192</v>
      </c>
      <c r="CT311" s="52">
        <v>-4743.3368909600449</v>
      </c>
      <c r="CU311" s="77">
        <v>18717.423854795084</v>
      </c>
      <c r="CV311" s="65">
        <v>13025.419585643031</v>
      </c>
      <c r="CW311" s="35">
        <v>-5692.0042691520539</v>
      </c>
      <c r="CX311" s="73">
        <v>416.25524406431987</v>
      </c>
      <c r="CY311" s="40">
        <v>6108.259513216376</v>
      </c>
      <c r="CZ311" s="52">
        <v>5692.0042691520557</v>
      </c>
      <c r="DA311" s="150">
        <v>-23672.875858121923</v>
      </c>
      <c r="DB311" s="2">
        <v>2</v>
      </c>
      <c r="DC311" s="675">
        <v>3493.81</v>
      </c>
      <c r="DD311" s="675">
        <v>0</v>
      </c>
      <c r="DE311" s="675">
        <v>1814.3907717982354</v>
      </c>
      <c r="DF311" s="675">
        <v>0</v>
      </c>
      <c r="DG311" s="321">
        <v>-17980.871588969865</v>
      </c>
      <c r="DH311" s="40">
        <v>19132.236269308072</v>
      </c>
      <c r="DI311" s="422">
        <v>1679.4192282017646</v>
      </c>
      <c r="DJ311" s="306">
        <v>6.4296295107265111</v>
      </c>
      <c r="DK311" s="306">
        <v>6.4296295107265111</v>
      </c>
      <c r="DL311" s="306">
        <v>5.5283194960805897</v>
      </c>
      <c r="DM311" s="28">
        <v>1679.4192282017646</v>
      </c>
      <c r="DN311" s="28">
        <v>0</v>
      </c>
      <c r="DO311" s="423">
        <v>1679.4192282017646</v>
      </c>
      <c r="DP311" s="94">
        <v>0</v>
      </c>
      <c r="DQ311" s="28">
        <v>1679.4192282017646</v>
      </c>
      <c r="DR311" s="318"/>
      <c r="DT311" s="8"/>
      <c r="DU311" s="5"/>
      <c r="DX311" s="5">
        <v>5175.8756197375433</v>
      </c>
      <c r="DY311" s="5">
        <v>228</v>
      </c>
      <c r="DZ311" s="159">
        <v>446.39182655505823</v>
      </c>
      <c r="EB311" s="676">
        <v>-30.481312762056405</v>
      </c>
      <c r="EC311" s="676">
        <v>-386.01821718183976</v>
      </c>
      <c r="ED311" s="676">
        <v>-398.50142613358219</v>
      </c>
      <c r="EE311" s="676">
        <v>-1139.9327604604637</v>
      </c>
      <c r="EF311" s="676">
        <v>-706.36472103806693</v>
      </c>
      <c r="EG311" s="676">
        <v>-710.45870563529081</v>
      </c>
      <c r="EH311" s="676">
        <v>-453.69769020253398</v>
      </c>
      <c r="EI311" s="676">
        <v>262.94251279197306</v>
      </c>
      <c r="EJ311" s="676">
        <v>-631.45249906590618</v>
      </c>
      <c r="EK311" s="676">
        <v>-601.8269908779107</v>
      </c>
      <c r="EL311" s="676">
        <v>-380.16796364369247</v>
      </c>
      <c r="EM311" s="676">
        <v>-516.04449494268533</v>
      </c>
      <c r="EN311" s="676">
        <v>-5692.0042691520557</v>
      </c>
      <c r="EQ311" s="5">
        <v>5175.8756197375433</v>
      </c>
      <c r="ER311" s="5">
        <v>228</v>
      </c>
      <c r="ET311" s="318">
        <v>-5110.883083443</v>
      </c>
      <c r="EU311" s="5">
        <v>-4648.9885055268651</v>
      </c>
    </row>
    <row r="312" spans="1:151" x14ac:dyDescent="0.3">
      <c r="A312" s="325">
        <v>150000835</v>
      </c>
      <c r="B312" s="41" t="s">
        <v>758</v>
      </c>
      <c r="C312" s="42" t="s">
        <v>138</v>
      </c>
      <c r="D312" s="27">
        <v>1</v>
      </c>
      <c r="E312" s="293">
        <v>128.6</v>
      </c>
      <c r="F312" s="305">
        <v>128.6</v>
      </c>
      <c r="G312" s="508">
        <v>0</v>
      </c>
      <c r="H312" s="677">
        <v>0</v>
      </c>
      <c r="I312" s="674">
        <v>0</v>
      </c>
      <c r="J312" s="40">
        <v>0</v>
      </c>
      <c r="K312" s="52">
        <v>0</v>
      </c>
      <c r="L312" s="674">
        <v>0</v>
      </c>
      <c r="M312" s="40">
        <v>0</v>
      </c>
      <c r="N312" s="52">
        <v>0</v>
      </c>
      <c r="O312" s="674">
        <v>0</v>
      </c>
      <c r="P312" s="40">
        <v>0</v>
      </c>
      <c r="Q312" s="52">
        <v>0</v>
      </c>
      <c r="R312" s="674">
        <v>0</v>
      </c>
      <c r="S312" s="40">
        <v>0</v>
      </c>
      <c r="T312" s="52">
        <v>0</v>
      </c>
      <c r="U312" s="674">
        <v>0</v>
      </c>
      <c r="V312" s="40">
        <v>0</v>
      </c>
      <c r="W312" s="52">
        <v>0</v>
      </c>
      <c r="X312" s="674">
        <v>0</v>
      </c>
      <c r="Y312" s="40">
        <v>0</v>
      </c>
      <c r="Z312" s="52">
        <v>0</v>
      </c>
      <c r="AA312" s="674">
        <v>15.432</v>
      </c>
      <c r="AB312" s="40">
        <v>0</v>
      </c>
      <c r="AC312" s="52">
        <v>-15.432</v>
      </c>
      <c r="AD312" s="674">
        <v>123.51196649281324</v>
      </c>
      <c r="AE312" s="40">
        <v>546.38562889526554</v>
      </c>
      <c r="AF312" s="35">
        <v>422.87366240245228</v>
      </c>
      <c r="AG312" s="77">
        <v>138.94396649281325</v>
      </c>
      <c r="AH312" s="53">
        <v>546.38562889526554</v>
      </c>
      <c r="AI312" s="52">
        <v>407.44166240245227</v>
      </c>
      <c r="AJ312" s="674">
        <v>0</v>
      </c>
      <c r="AK312" s="40">
        <v>0</v>
      </c>
      <c r="AL312" s="52">
        <v>0</v>
      </c>
      <c r="AM312" s="674">
        <v>0</v>
      </c>
      <c r="AN312" s="40">
        <v>0</v>
      </c>
      <c r="AO312" s="52">
        <v>0</v>
      </c>
      <c r="AP312" s="674">
        <v>359.74679286809487</v>
      </c>
      <c r="AQ312" s="40">
        <v>299.17633281993915</v>
      </c>
      <c r="AR312" s="52">
        <v>-60.570460048155724</v>
      </c>
      <c r="AS312" s="674">
        <v>1690.1585532283934</v>
      </c>
      <c r="AT312" s="40">
        <v>0</v>
      </c>
      <c r="AU312" s="54">
        <v>-1690.1585532283934</v>
      </c>
      <c r="AV312" s="674">
        <v>0</v>
      </c>
      <c r="AW312" s="40">
        <v>0</v>
      </c>
      <c r="AX312" s="55">
        <v>0</v>
      </c>
      <c r="AY312" s="674">
        <v>0</v>
      </c>
      <c r="AZ312" s="40">
        <v>0</v>
      </c>
      <c r="BA312" s="35">
        <v>0</v>
      </c>
      <c r="BB312" s="674">
        <v>0</v>
      </c>
      <c r="BC312" s="40">
        <v>0</v>
      </c>
      <c r="BD312" s="55">
        <v>0</v>
      </c>
      <c r="BE312" s="674">
        <v>0</v>
      </c>
      <c r="BF312" s="40">
        <v>0</v>
      </c>
      <c r="BG312" s="38">
        <v>0</v>
      </c>
      <c r="BH312" s="674">
        <v>0</v>
      </c>
      <c r="BI312" s="40">
        <v>0</v>
      </c>
      <c r="BJ312" s="55">
        <v>0</v>
      </c>
      <c r="BK312" s="674">
        <v>0</v>
      </c>
      <c r="BL312" s="40">
        <v>0</v>
      </c>
      <c r="BM312" s="38">
        <v>0</v>
      </c>
      <c r="BN312" s="674">
        <v>3.8580000000000001</v>
      </c>
      <c r="BO312" s="40">
        <v>0</v>
      </c>
      <c r="BP312" s="55">
        <v>-3.8580000000000001</v>
      </c>
      <c r="BQ312" s="77">
        <v>3.8580000000000001</v>
      </c>
      <c r="BR312" s="40">
        <v>0</v>
      </c>
      <c r="BS312" s="55">
        <v>-3.8580000000000001</v>
      </c>
      <c r="BT312" s="674">
        <v>107.67154839388878</v>
      </c>
      <c r="BU312" s="40">
        <v>139.28181167967188</v>
      </c>
      <c r="BV312" s="52">
        <v>31.610263285783091</v>
      </c>
      <c r="BW312" s="674">
        <v>0</v>
      </c>
      <c r="BX312" s="40">
        <v>2.9252230108736774</v>
      </c>
      <c r="BY312" s="52">
        <v>2.9252230108736774</v>
      </c>
      <c r="BZ312" s="674">
        <v>0</v>
      </c>
      <c r="CA312" s="40">
        <v>44.789830658744116</v>
      </c>
      <c r="CB312" s="52">
        <v>44.789830658744116</v>
      </c>
      <c r="CC312" s="674">
        <v>0</v>
      </c>
      <c r="CD312" s="40">
        <v>0</v>
      </c>
      <c r="CE312" s="52">
        <v>0</v>
      </c>
      <c r="CF312" s="674">
        <v>0</v>
      </c>
      <c r="CG312" s="40">
        <v>0</v>
      </c>
      <c r="CH312" s="52">
        <v>0</v>
      </c>
      <c r="CI312" s="674">
        <v>0</v>
      </c>
      <c r="CJ312" s="40">
        <v>0</v>
      </c>
      <c r="CK312" s="52">
        <v>0</v>
      </c>
      <c r="CL312" s="674">
        <v>0</v>
      </c>
      <c r="CM312" s="40">
        <v>0</v>
      </c>
      <c r="CN312" s="52">
        <v>0</v>
      </c>
      <c r="CO312" s="39">
        <v>0</v>
      </c>
      <c r="CP312" s="40">
        <v>0</v>
      </c>
      <c r="CQ312" s="52">
        <v>0</v>
      </c>
      <c r="CR312" s="72">
        <v>2300.3788609831904</v>
      </c>
      <c r="CS312" s="5">
        <v>1032.5588270644944</v>
      </c>
      <c r="CT312" s="52">
        <v>-1267.820033918696</v>
      </c>
      <c r="CU312" s="77">
        <v>2760.4546331798283</v>
      </c>
      <c r="CV312" s="65">
        <v>1239.0705924773931</v>
      </c>
      <c r="CW312" s="35">
        <v>-1521.3840407024352</v>
      </c>
      <c r="CX312" s="73">
        <v>61.436155920146007</v>
      </c>
      <c r="CY312" s="40">
        <v>1582.8201966225804</v>
      </c>
      <c r="CZ312" s="52">
        <v>1521.3840407024345</v>
      </c>
      <c r="DA312" s="150">
        <v>2716.0946048655273</v>
      </c>
      <c r="DB312" s="2">
        <v>2</v>
      </c>
      <c r="DC312" s="675">
        <v>2084.09</v>
      </c>
      <c r="DD312" s="675">
        <v>0</v>
      </c>
      <c r="DE312" s="675">
        <v>1836.5569548554988</v>
      </c>
      <c r="DF312" s="675">
        <v>0</v>
      </c>
      <c r="DG312" s="321">
        <v>4237.4786455679623</v>
      </c>
      <c r="DH312" s="40">
        <v>2821.6775033253512</v>
      </c>
      <c r="DI312" s="422">
        <v>247.5330451445013</v>
      </c>
      <c r="DJ312" s="306">
        <v>1.9248292779510208</v>
      </c>
      <c r="DK312" s="306">
        <v>1.9248292779510208</v>
      </c>
      <c r="DL312" s="306">
        <v>1.9248292779510208</v>
      </c>
      <c r="DM312" s="28">
        <v>247.53304514450127</v>
      </c>
      <c r="DN312" s="28">
        <v>0</v>
      </c>
      <c r="DO312" s="423">
        <v>247.53304514450127</v>
      </c>
      <c r="DP312" s="94">
        <v>0</v>
      </c>
      <c r="DQ312" s="28">
        <v>247.53304514450127</v>
      </c>
      <c r="DR312" s="318"/>
      <c r="DT312" s="8"/>
      <c r="DU312" s="5"/>
      <c r="DX312" s="5">
        <v>2032.8198638740719</v>
      </c>
      <c r="DY312" s="5">
        <v>0</v>
      </c>
      <c r="DZ312" s="159">
        <v>191.63800915636733</v>
      </c>
      <c r="EB312" s="676">
        <v>73.253613087678019</v>
      </c>
      <c r="EC312" s="676">
        <v>-119.37186451682118</v>
      </c>
      <c r="ED312" s="676">
        <v>-117.04336043110551</v>
      </c>
      <c r="EE312" s="676">
        <v>-205.19786589744248</v>
      </c>
      <c r="EF312" s="676">
        <v>-171.47906736678243</v>
      </c>
      <c r="EG312" s="676">
        <v>-174.51023368409284</v>
      </c>
      <c r="EH312" s="676">
        <v>3.3232602101271027</v>
      </c>
      <c r="EI312" s="676">
        <v>-152.26716327266772</v>
      </c>
      <c r="EJ312" s="676">
        <v>-172.92516700684294</v>
      </c>
      <c r="EK312" s="676">
        <v>-145.84349293066336</v>
      </c>
      <c r="EL312" s="676">
        <v>-163.54442372807227</v>
      </c>
      <c r="EM312" s="676">
        <v>-175.77827516574914</v>
      </c>
      <c r="EN312" s="676">
        <v>-1521.384040702435</v>
      </c>
      <c r="EQ312" s="5">
        <v>2032.8198638740719</v>
      </c>
      <c r="ER312" s="5">
        <v>0</v>
      </c>
      <c r="ET312" s="318">
        <v>7534.1986957772187</v>
      </c>
      <c r="EU312" s="5">
        <v>-1069.7200502092576</v>
      </c>
    </row>
    <row r="313" spans="1:151" x14ac:dyDescent="0.3">
      <c r="A313" s="325">
        <v>150000845</v>
      </c>
      <c r="B313" s="41" t="s">
        <v>759</v>
      </c>
      <c r="C313" s="42" t="s">
        <v>139</v>
      </c>
      <c r="D313" s="27">
        <v>1</v>
      </c>
      <c r="E313" s="293">
        <v>252.8</v>
      </c>
      <c r="F313" s="305">
        <v>252.8</v>
      </c>
      <c r="G313" s="508">
        <v>0</v>
      </c>
      <c r="H313" s="677">
        <v>0</v>
      </c>
      <c r="I313" s="674">
        <v>0</v>
      </c>
      <c r="J313" s="40">
        <v>0</v>
      </c>
      <c r="K313" s="52">
        <v>0</v>
      </c>
      <c r="L313" s="674">
        <v>0</v>
      </c>
      <c r="M313" s="40">
        <v>0</v>
      </c>
      <c r="N313" s="52">
        <v>0</v>
      </c>
      <c r="O313" s="674">
        <v>0</v>
      </c>
      <c r="P313" s="40">
        <v>0</v>
      </c>
      <c r="Q313" s="52">
        <v>0</v>
      </c>
      <c r="R313" s="674">
        <v>0</v>
      </c>
      <c r="S313" s="40">
        <v>0</v>
      </c>
      <c r="T313" s="52">
        <v>0</v>
      </c>
      <c r="U313" s="674">
        <v>0</v>
      </c>
      <c r="V313" s="40">
        <v>0</v>
      </c>
      <c r="W313" s="52">
        <v>0</v>
      </c>
      <c r="X313" s="674">
        <v>0</v>
      </c>
      <c r="Y313" s="40">
        <v>0</v>
      </c>
      <c r="Z313" s="52">
        <v>0</v>
      </c>
      <c r="AA313" s="674">
        <v>30.335999999999999</v>
      </c>
      <c r="AB313" s="40">
        <v>0</v>
      </c>
      <c r="AC313" s="52">
        <v>-30.335999999999999</v>
      </c>
      <c r="AD313" s="674">
        <v>242.86613327411584</v>
      </c>
      <c r="AE313" s="40">
        <v>1074.0768816852496</v>
      </c>
      <c r="AF313" s="35">
        <v>831.21074841113386</v>
      </c>
      <c r="AG313" s="77">
        <v>273.20213327411585</v>
      </c>
      <c r="AH313" s="53">
        <v>1074.0768816852496</v>
      </c>
      <c r="AI313" s="52">
        <v>800.87474841113385</v>
      </c>
      <c r="AJ313" s="674">
        <v>0</v>
      </c>
      <c r="AK313" s="40">
        <v>0</v>
      </c>
      <c r="AL313" s="52">
        <v>0</v>
      </c>
      <c r="AM313" s="674">
        <v>0</v>
      </c>
      <c r="AN313" s="40">
        <v>0</v>
      </c>
      <c r="AO313" s="52">
        <v>0</v>
      </c>
      <c r="AP313" s="674">
        <v>359.74679286809487</v>
      </c>
      <c r="AQ313" s="40">
        <v>299.17633281993915</v>
      </c>
      <c r="AR313" s="52">
        <v>-60.570460048155724</v>
      </c>
      <c r="AS313" s="674">
        <v>3685.4651887004638</v>
      </c>
      <c r="AT313" s="40">
        <v>0</v>
      </c>
      <c r="AU313" s="54">
        <v>-3685.4651887004638</v>
      </c>
      <c r="AV313" s="674">
        <v>0</v>
      </c>
      <c r="AW313" s="40">
        <v>0</v>
      </c>
      <c r="AX313" s="55">
        <v>0</v>
      </c>
      <c r="AY313" s="674">
        <v>0</v>
      </c>
      <c r="AZ313" s="40">
        <v>0</v>
      </c>
      <c r="BA313" s="35">
        <v>0</v>
      </c>
      <c r="BB313" s="674">
        <v>0</v>
      </c>
      <c r="BC313" s="40">
        <v>0</v>
      </c>
      <c r="BD313" s="55">
        <v>0</v>
      </c>
      <c r="BE313" s="674">
        <v>0</v>
      </c>
      <c r="BF313" s="40">
        <v>0</v>
      </c>
      <c r="BG313" s="38">
        <v>0</v>
      </c>
      <c r="BH313" s="674">
        <v>0</v>
      </c>
      <c r="BI313" s="40">
        <v>0</v>
      </c>
      <c r="BJ313" s="55">
        <v>0</v>
      </c>
      <c r="BK313" s="674">
        <v>0</v>
      </c>
      <c r="BL313" s="40">
        <v>0</v>
      </c>
      <c r="BM313" s="38">
        <v>0</v>
      </c>
      <c r="BN313" s="674">
        <v>11.032107103652221</v>
      </c>
      <c r="BO313" s="40">
        <v>0</v>
      </c>
      <c r="BP313" s="55">
        <v>-11.032107103652221</v>
      </c>
      <c r="BQ313" s="77">
        <v>11.032107103652221</v>
      </c>
      <c r="BR313" s="40">
        <v>0</v>
      </c>
      <c r="BS313" s="55">
        <v>-11.032107103652221</v>
      </c>
      <c r="BT313" s="674">
        <v>0</v>
      </c>
      <c r="BU313" s="40">
        <v>0</v>
      </c>
      <c r="BV313" s="52">
        <v>0</v>
      </c>
      <c r="BW313" s="674">
        <v>0</v>
      </c>
      <c r="BX313" s="40">
        <v>5.7503606310176183</v>
      </c>
      <c r="BY313" s="52">
        <v>5.7503606310176183</v>
      </c>
      <c r="BZ313" s="674">
        <v>0</v>
      </c>
      <c r="CA313" s="40">
        <v>0</v>
      </c>
      <c r="CB313" s="52">
        <v>0</v>
      </c>
      <c r="CC313" s="674">
        <v>0</v>
      </c>
      <c r="CD313" s="40">
        <v>0</v>
      </c>
      <c r="CE313" s="52">
        <v>0</v>
      </c>
      <c r="CF313" s="674">
        <v>0</v>
      </c>
      <c r="CG313" s="40">
        <v>0</v>
      </c>
      <c r="CH313" s="52">
        <v>0</v>
      </c>
      <c r="CI313" s="674">
        <v>0</v>
      </c>
      <c r="CJ313" s="40">
        <v>0</v>
      </c>
      <c r="CK313" s="52">
        <v>0</v>
      </c>
      <c r="CL313" s="674">
        <v>0</v>
      </c>
      <c r="CM313" s="40">
        <v>0</v>
      </c>
      <c r="CN313" s="52">
        <v>0</v>
      </c>
      <c r="CO313" s="39">
        <v>0</v>
      </c>
      <c r="CP313" s="40">
        <v>0</v>
      </c>
      <c r="CQ313" s="52">
        <v>0</v>
      </c>
      <c r="CR313" s="72">
        <v>4329.4462219463267</v>
      </c>
      <c r="CS313" s="5">
        <v>1379.0035751362063</v>
      </c>
      <c r="CT313" s="52">
        <v>-2950.4426468101201</v>
      </c>
      <c r="CU313" s="77">
        <v>5195.3354663355922</v>
      </c>
      <c r="CV313" s="65">
        <v>1654.8042901634476</v>
      </c>
      <c r="CW313" s="35">
        <v>-3540.5311761721446</v>
      </c>
      <c r="CX313" s="73">
        <v>157.80713456448873</v>
      </c>
      <c r="CY313" s="40">
        <v>3698.3383107366326</v>
      </c>
      <c r="CZ313" s="52">
        <v>3540.5311761721437</v>
      </c>
      <c r="DA313" s="150">
        <v>-4080.9123372053864</v>
      </c>
      <c r="DB313" s="2">
        <v>1</v>
      </c>
      <c r="DC313" s="675">
        <v>219.07</v>
      </c>
      <c r="DD313" s="675">
        <v>0</v>
      </c>
      <c r="DE313" s="675">
        <v>-247.48395475959364</v>
      </c>
      <c r="DF313" s="675">
        <v>0</v>
      </c>
      <c r="DG313" s="321">
        <v>-540.38116103324205</v>
      </c>
      <c r="DH313" s="40">
        <v>5352.7282463918018</v>
      </c>
      <c r="DI313" s="422">
        <v>466.55395475959358</v>
      </c>
      <c r="DJ313" s="306">
        <v>1.8455457071186456</v>
      </c>
      <c r="DK313" s="306">
        <v>1.8455457071186456</v>
      </c>
      <c r="DL313" s="306">
        <v>1.8455457071186456</v>
      </c>
      <c r="DM313" s="28">
        <v>466.55395475959364</v>
      </c>
      <c r="DN313" s="28">
        <v>0</v>
      </c>
      <c r="DO313" s="423">
        <v>466.55395475959364</v>
      </c>
      <c r="DP313" s="94">
        <v>0</v>
      </c>
      <c r="DQ313" s="28">
        <v>466.55395475959364</v>
      </c>
      <c r="DR313" s="318"/>
      <c r="DT313" s="8"/>
      <c r="DU313" s="5"/>
      <c r="DX313" s="5">
        <v>4435.7967549649393</v>
      </c>
      <c r="DY313" s="5">
        <v>0</v>
      </c>
      <c r="DZ313" s="159">
        <v>417.29388429361364</v>
      </c>
      <c r="EB313" s="676">
        <v>-24.90038877200891</v>
      </c>
      <c r="EC313" s="676">
        <v>-230.31099604308781</v>
      </c>
      <c r="ED313" s="676">
        <v>-225.73365675172758</v>
      </c>
      <c r="EE313" s="676">
        <v>-379.14379986944152</v>
      </c>
      <c r="EF313" s="676">
        <v>-366.02826048003527</v>
      </c>
      <c r="EG313" s="676">
        <v>-371.11405660103787</v>
      </c>
      <c r="EH313" s="676">
        <v>-195.0524655397806</v>
      </c>
      <c r="EI313" s="676">
        <v>-329.4699035982693</v>
      </c>
      <c r="EJ313" s="676">
        <v>-370.14593490538556</v>
      </c>
      <c r="EK313" s="676">
        <v>-320.9157509919695</v>
      </c>
      <c r="EL313" s="676">
        <v>-353.61061478843254</v>
      </c>
      <c r="EM313" s="676">
        <v>-374.10534783096722</v>
      </c>
      <c r="EN313" s="676">
        <v>-3540.5311761721441</v>
      </c>
      <c r="EQ313" s="5">
        <v>4435.7967549649393</v>
      </c>
      <c r="ER313" s="5">
        <v>0</v>
      </c>
      <c r="ET313" s="318">
        <v>-2561.4806854746876</v>
      </c>
      <c r="EU313" s="5">
        <v>-1882.9004755585543</v>
      </c>
    </row>
    <row r="314" spans="1:151" x14ac:dyDescent="0.3">
      <c r="A314" s="325">
        <v>150000846</v>
      </c>
      <c r="B314" s="41" t="s">
        <v>760</v>
      </c>
      <c r="C314" s="42" t="s">
        <v>140</v>
      </c>
      <c r="D314" s="27">
        <v>1</v>
      </c>
      <c r="E314" s="293">
        <v>126.2</v>
      </c>
      <c r="F314" s="305">
        <v>126.2</v>
      </c>
      <c r="G314" s="508">
        <v>0</v>
      </c>
      <c r="H314" s="677">
        <v>0</v>
      </c>
      <c r="I314" s="674">
        <v>0</v>
      </c>
      <c r="J314" s="40">
        <v>0</v>
      </c>
      <c r="K314" s="52">
        <v>0</v>
      </c>
      <c r="L314" s="674">
        <v>0</v>
      </c>
      <c r="M314" s="40">
        <v>0</v>
      </c>
      <c r="N314" s="52">
        <v>0</v>
      </c>
      <c r="O314" s="674">
        <v>0</v>
      </c>
      <c r="P314" s="40">
        <v>0</v>
      </c>
      <c r="Q314" s="52">
        <v>0</v>
      </c>
      <c r="R314" s="674">
        <v>0</v>
      </c>
      <c r="S314" s="40">
        <v>0</v>
      </c>
      <c r="T314" s="52">
        <v>0</v>
      </c>
      <c r="U314" s="674">
        <v>0</v>
      </c>
      <c r="V314" s="40">
        <v>0</v>
      </c>
      <c r="W314" s="52">
        <v>0</v>
      </c>
      <c r="X314" s="674">
        <v>0</v>
      </c>
      <c r="Y314" s="40">
        <v>0</v>
      </c>
      <c r="Z314" s="52">
        <v>0</v>
      </c>
      <c r="AA314" s="674">
        <v>15.144</v>
      </c>
      <c r="AB314" s="40">
        <v>0</v>
      </c>
      <c r="AC314" s="52">
        <v>-15.144</v>
      </c>
      <c r="AD314" s="674">
        <v>121.22096026498006</v>
      </c>
      <c r="AE314" s="40">
        <v>536.18869647420297</v>
      </c>
      <c r="AF314" s="35">
        <v>414.96773620922289</v>
      </c>
      <c r="AG314" s="77">
        <v>136.36496026498006</v>
      </c>
      <c r="AH314" s="53">
        <v>536.18869647420297</v>
      </c>
      <c r="AI314" s="52">
        <v>399.82373620922294</v>
      </c>
      <c r="AJ314" s="674">
        <v>0</v>
      </c>
      <c r="AK314" s="40">
        <v>0</v>
      </c>
      <c r="AL314" s="52">
        <v>0</v>
      </c>
      <c r="AM314" s="674">
        <v>0</v>
      </c>
      <c r="AN314" s="40">
        <v>0</v>
      </c>
      <c r="AO314" s="52">
        <v>0</v>
      </c>
      <c r="AP314" s="674">
        <v>269.81009465107115</v>
      </c>
      <c r="AQ314" s="40">
        <v>224.38224961495439</v>
      </c>
      <c r="AR314" s="52">
        <v>-45.427845036116764</v>
      </c>
      <c r="AS314" s="674">
        <v>1752.0658577403092</v>
      </c>
      <c r="AT314" s="40">
        <v>0</v>
      </c>
      <c r="AU314" s="54">
        <v>-1752.0658577403092</v>
      </c>
      <c r="AV314" s="674">
        <v>0</v>
      </c>
      <c r="AW314" s="40">
        <v>0</v>
      </c>
      <c r="AX314" s="55">
        <v>0</v>
      </c>
      <c r="AY314" s="674">
        <v>0</v>
      </c>
      <c r="AZ314" s="40">
        <v>0</v>
      </c>
      <c r="BA314" s="35">
        <v>0</v>
      </c>
      <c r="BB314" s="674">
        <v>0</v>
      </c>
      <c r="BC314" s="40">
        <v>0</v>
      </c>
      <c r="BD314" s="55">
        <v>0</v>
      </c>
      <c r="BE314" s="674">
        <v>0</v>
      </c>
      <c r="BF314" s="40">
        <v>0</v>
      </c>
      <c r="BG314" s="38">
        <v>0</v>
      </c>
      <c r="BH314" s="674">
        <v>0</v>
      </c>
      <c r="BI314" s="40">
        <v>0</v>
      </c>
      <c r="BJ314" s="55">
        <v>0</v>
      </c>
      <c r="BK314" s="674">
        <v>0</v>
      </c>
      <c r="BL314" s="40">
        <v>0</v>
      </c>
      <c r="BM314" s="38">
        <v>0</v>
      </c>
      <c r="BN314" s="674">
        <v>6.0124325678582338</v>
      </c>
      <c r="BO314" s="40">
        <v>0</v>
      </c>
      <c r="BP314" s="55">
        <v>-6.0124325678582338</v>
      </c>
      <c r="BQ314" s="77">
        <v>6.0124325678582338</v>
      </c>
      <c r="BR314" s="40">
        <v>0</v>
      </c>
      <c r="BS314" s="55">
        <v>-6.0124325678582338</v>
      </c>
      <c r="BT314" s="674">
        <v>0</v>
      </c>
      <c r="BU314" s="40">
        <v>0</v>
      </c>
      <c r="BV314" s="52">
        <v>0</v>
      </c>
      <c r="BW314" s="674">
        <v>0</v>
      </c>
      <c r="BX314" s="40">
        <v>2.8706309795665481</v>
      </c>
      <c r="BY314" s="52">
        <v>2.8706309795665481</v>
      </c>
      <c r="BZ314" s="674">
        <v>0</v>
      </c>
      <c r="CA314" s="40">
        <v>0</v>
      </c>
      <c r="CB314" s="52">
        <v>0</v>
      </c>
      <c r="CC314" s="674">
        <v>0</v>
      </c>
      <c r="CD314" s="40">
        <v>0</v>
      </c>
      <c r="CE314" s="52">
        <v>0</v>
      </c>
      <c r="CF314" s="674">
        <v>0</v>
      </c>
      <c r="CG314" s="40">
        <v>0</v>
      </c>
      <c r="CH314" s="52">
        <v>0</v>
      </c>
      <c r="CI314" s="674">
        <v>0</v>
      </c>
      <c r="CJ314" s="40">
        <v>0</v>
      </c>
      <c r="CK314" s="52">
        <v>0</v>
      </c>
      <c r="CL314" s="674">
        <v>0</v>
      </c>
      <c r="CM314" s="40">
        <v>0</v>
      </c>
      <c r="CN314" s="52">
        <v>0</v>
      </c>
      <c r="CO314" s="39">
        <v>0</v>
      </c>
      <c r="CP314" s="40">
        <v>0</v>
      </c>
      <c r="CQ314" s="52">
        <v>0</v>
      </c>
      <c r="CR314" s="72">
        <v>2164.2533452242183</v>
      </c>
      <c r="CS314" s="5">
        <v>763.44157706872386</v>
      </c>
      <c r="CT314" s="52">
        <v>-1400.8117681554945</v>
      </c>
      <c r="CU314" s="77">
        <v>2597.1040142690617</v>
      </c>
      <c r="CV314" s="65">
        <v>916.12989248246856</v>
      </c>
      <c r="CW314" s="35">
        <v>-1680.9741217865931</v>
      </c>
      <c r="CX314" s="73">
        <v>78.66518216929046</v>
      </c>
      <c r="CY314" s="40">
        <v>1759.6393039558836</v>
      </c>
      <c r="CZ314" s="52">
        <v>1680.9741217865931</v>
      </c>
      <c r="DA314" s="150">
        <v>-5501.7582198197006</v>
      </c>
      <c r="DB314" s="2">
        <v>1</v>
      </c>
      <c r="DC314" s="675">
        <v>940.85</v>
      </c>
      <c r="DD314" s="675">
        <v>0</v>
      </c>
      <c r="DE314" s="675">
        <v>706.63208479523223</v>
      </c>
      <c r="DF314" s="675">
        <v>0</v>
      </c>
      <c r="DG314" s="321">
        <v>-3820.7840980331075</v>
      </c>
      <c r="DH314" s="40">
        <v>2675.5653474071974</v>
      </c>
      <c r="DI314" s="422">
        <v>234.21791520476776</v>
      </c>
      <c r="DJ314" s="306">
        <v>1.8559264279300138</v>
      </c>
      <c r="DK314" s="306">
        <v>1.8559264279300138</v>
      </c>
      <c r="DL314" s="306">
        <v>1.8559264279300138</v>
      </c>
      <c r="DM314" s="28">
        <v>234.21791520476776</v>
      </c>
      <c r="DN314" s="28">
        <v>0</v>
      </c>
      <c r="DO314" s="423">
        <v>234.21791520476776</v>
      </c>
      <c r="DP314" s="94">
        <v>0</v>
      </c>
      <c r="DQ314" s="28">
        <v>234.21791520476776</v>
      </c>
      <c r="DR314" s="318"/>
      <c r="DT314" s="8"/>
      <c r="DU314" s="5"/>
      <c r="DX314" s="5">
        <v>2109.6939483698006</v>
      </c>
      <c r="DY314" s="5">
        <v>0</v>
      </c>
      <c r="DZ314" s="159">
        <v>200.09475383979321</v>
      </c>
      <c r="EB314" s="676">
        <v>35.210391042183403</v>
      </c>
      <c r="EC314" s="676">
        <v>-112.32117776973162</v>
      </c>
      <c r="ED314" s="676">
        <v>-110.03612943678202</v>
      </c>
      <c r="EE314" s="676">
        <v>-190.55003899821006</v>
      </c>
      <c r="EF314" s="676">
        <v>-184.0026455213783</v>
      </c>
      <c r="EG314" s="676">
        <v>-186.54152000899904</v>
      </c>
      <c r="EH314" s="676">
        <v>-53.6018592699576</v>
      </c>
      <c r="EI314" s="676">
        <v>-165.75238983119291</v>
      </c>
      <c r="EJ314" s="676">
        <v>-186.05822508023593</v>
      </c>
      <c r="EK314" s="676">
        <v>-161.48208105383912</v>
      </c>
      <c r="EL314" s="676">
        <v>-177.80364676235828</v>
      </c>
      <c r="EM314" s="676">
        <v>-188.03479909609194</v>
      </c>
      <c r="EN314" s="676">
        <v>-1680.9741217865933</v>
      </c>
      <c r="EQ314" s="5">
        <v>2109.6939483698006</v>
      </c>
      <c r="ER314" s="5">
        <v>0</v>
      </c>
      <c r="ET314" s="318">
        <v>-1173.6936039083589</v>
      </c>
      <c r="EU314" s="5">
        <v>-1070.0904941247491</v>
      </c>
    </row>
    <row r="315" spans="1:151" x14ac:dyDescent="0.3">
      <c r="A315" s="325">
        <v>150000798</v>
      </c>
      <c r="B315" s="41" t="s">
        <v>761</v>
      </c>
      <c r="C315" s="42" t="s">
        <v>226</v>
      </c>
      <c r="D315" s="27">
        <v>4</v>
      </c>
      <c r="E315" s="293">
        <v>1317.9</v>
      </c>
      <c r="F315" s="305">
        <v>996.3</v>
      </c>
      <c r="G315" s="508">
        <v>0</v>
      </c>
      <c r="H315" s="677">
        <v>321.60000000000002</v>
      </c>
      <c r="I315" s="674">
        <v>3770.5922677118515</v>
      </c>
      <c r="J315" s="40">
        <v>4125.7710465615119</v>
      </c>
      <c r="K315" s="52">
        <v>355.17877884966038</v>
      </c>
      <c r="L315" s="674">
        <v>693.06082260658775</v>
      </c>
      <c r="M315" s="40">
        <v>758.57859635299076</v>
      </c>
      <c r="N315" s="52">
        <v>65.517773746403009</v>
      </c>
      <c r="O315" s="674">
        <v>1794.8147859863104</v>
      </c>
      <c r="P315" s="40">
        <v>1794.8100000000004</v>
      </c>
      <c r="Q315" s="52">
        <v>-4.7859863100256916E-3</v>
      </c>
      <c r="R315" s="674">
        <v>0</v>
      </c>
      <c r="S315" s="40">
        <v>0</v>
      </c>
      <c r="T315" s="52">
        <v>0</v>
      </c>
      <c r="U315" s="674">
        <v>0</v>
      </c>
      <c r="V315" s="40">
        <v>0</v>
      </c>
      <c r="W315" s="52">
        <v>0</v>
      </c>
      <c r="X315" s="674">
        <v>2698.0762692835178</v>
      </c>
      <c r="Y315" s="40">
        <v>2046.8953809226837</v>
      </c>
      <c r="Z315" s="52">
        <v>-651.18088836083416</v>
      </c>
      <c r="AA315" s="674">
        <v>158.80800000000002</v>
      </c>
      <c r="AB315" s="40">
        <v>0</v>
      </c>
      <c r="AC315" s="52">
        <v>-158.80800000000002</v>
      </c>
      <c r="AD315" s="674">
        <v>5636.9607539137724</v>
      </c>
      <c r="AE315" s="40">
        <v>5599.3905157159443</v>
      </c>
      <c r="AF315" s="35">
        <v>-37.570238197828075</v>
      </c>
      <c r="AG315" s="77">
        <v>14752.312899502042</v>
      </c>
      <c r="AH315" s="53">
        <v>14325.445539553131</v>
      </c>
      <c r="AI315" s="52">
        <v>-426.86735994891023</v>
      </c>
      <c r="AJ315" s="674">
        <v>0</v>
      </c>
      <c r="AK315" s="40">
        <v>0</v>
      </c>
      <c r="AL315" s="52">
        <v>0</v>
      </c>
      <c r="AM315" s="674">
        <v>0</v>
      </c>
      <c r="AN315" s="40">
        <v>0</v>
      </c>
      <c r="AO315" s="52">
        <v>0</v>
      </c>
      <c r="AP315" s="674">
        <v>2428.290851859641</v>
      </c>
      <c r="AQ315" s="40">
        <v>2019.4402465345897</v>
      </c>
      <c r="AR315" s="52">
        <v>-408.85060532505122</v>
      </c>
      <c r="AS315" s="674">
        <v>14143.470853574287</v>
      </c>
      <c r="AT315" s="40">
        <v>2341</v>
      </c>
      <c r="AU315" s="54">
        <v>-11802.470853574287</v>
      </c>
      <c r="AV315" s="674">
        <v>1015.7668692519799</v>
      </c>
      <c r="AW315" s="40">
        <v>0</v>
      </c>
      <c r="AX315" s="55">
        <v>-1015.7668692519799</v>
      </c>
      <c r="AY315" s="674">
        <v>1136.2527806135947</v>
      </c>
      <c r="AZ315" s="40">
        <v>0</v>
      </c>
      <c r="BA315" s="35">
        <v>-1136.2527806135947</v>
      </c>
      <c r="BB315" s="674">
        <v>850.6723138995535</v>
      </c>
      <c r="BC315" s="40">
        <v>3026</v>
      </c>
      <c r="BD315" s="55">
        <v>2175.3276861004465</v>
      </c>
      <c r="BE315" s="674">
        <v>0</v>
      </c>
      <c r="BF315" s="40">
        <v>0</v>
      </c>
      <c r="BG315" s="38">
        <v>0</v>
      </c>
      <c r="BH315" s="674">
        <v>0</v>
      </c>
      <c r="BI315" s="40">
        <v>0</v>
      </c>
      <c r="BJ315" s="55">
        <v>0</v>
      </c>
      <c r="BK315" s="674">
        <v>510.71036091506284</v>
      </c>
      <c r="BL315" s="40">
        <v>711</v>
      </c>
      <c r="BM315" s="38">
        <v>200.28963908493716</v>
      </c>
      <c r="BN315" s="674">
        <v>39.702000000000005</v>
      </c>
      <c r="BO315" s="40">
        <v>0</v>
      </c>
      <c r="BP315" s="55">
        <v>-39.702000000000005</v>
      </c>
      <c r="BQ315" s="77">
        <v>3553.104324680191</v>
      </c>
      <c r="BR315" s="40">
        <v>3737</v>
      </c>
      <c r="BS315" s="55">
        <v>183.89567531980902</v>
      </c>
      <c r="BT315" s="674">
        <v>8932.6576733155071</v>
      </c>
      <c r="BU315" s="40">
        <v>11803.893018371757</v>
      </c>
      <c r="BV315" s="52">
        <v>2871.2353450562496</v>
      </c>
      <c r="BW315" s="674">
        <v>8111.3423109056248</v>
      </c>
      <c r="BX315" s="40">
        <v>7975.2929647902374</v>
      </c>
      <c r="BY315" s="52">
        <v>-136.04934611538738</v>
      </c>
      <c r="BZ315" s="674">
        <v>4949.3140708795436</v>
      </c>
      <c r="CA315" s="40">
        <v>3042.7737534162538</v>
      </c>
      <c r="CB315" s="52">
        <v>-1906.5403174632897</v>
      </c>
      <c r="CC315" s="674">
        <v>1327.7958801127118</v>
      </c>
      <c r="CD315" s="40">
        <v>1395.5414324146632</v>
      </c>
      <c r="CE315" s="52">
        <v>67.74555230195142</v>
      </c>
      <c r="CF315" s="674">
        <v>162.28409430947681</v>
      </c>
      <c r="CG315" s="40">
        <v>0</v>
      </c>
      <c r="CH315" s="52">
        <v>-162.28409430947681</v>
      </c>
      <c r="CI315" s="674">
        <v>3143.2437406775271</v>
      </c>
      <c r="CJ315" s="40">
        <v>2505.4812695480396</v>
      </c>
      <c r="CK315" s="52">
        <v>-637.76247112948749</v>
      </c>
      <c r="CL315" s="674">
        <v>0</v>
      </c>
      <c r="CM315" s="40">
        <v>0</v>
      </c>
      <c r="CN315" s="52">
        <v>0</v>
      </c>
      <c r="CO315" s="39">
        <v>3143.2437406775271</v>
      </c>
      <c r="CP315" s="40">
        <v>2505.4812695480396</v>
      </c>
      <c r="CQ315" s="52">
        <v>-637.76247112948749</v>
      </c>
      <c r="CR315" s="72">
        <v>61503.816699816554</v>
      </c>
      <c r="CS315" s="5">
        <v>49145.868224628663</v>
      </c>
      <c r="CT315" s="52">
        <v>-12357.948475187892</v>
      </c>
      <c r="CU315" s="77">
        <v>73804.580039779859</v>
      </c>
      <c r="CV315" s="65">
        <v>58975.041869554392</v>
      </c>
      <c r="CW315" s="35">
        <v>-14829.538170225467</v>
      </c>
      <c r="CX315" s="73">
        <v>2235.5359781005295</v>
      </c>
      <c r="CY315" s="40">
        <v>17065.074148325992</v>
      </c>
      <c r="CZ315" s="52">
        <v>14829.538170225462</v>
      </c>
      <c r="DA315" s="150">
        <v>120755.25065303952</v>
      </c>
      <c r="DB315" s="2">
        <v>2</v>
      </c>
      <c r="DC315" s="675">
        <v>15946.85</v>
      </c>
      <c r="DD315" s="675">
        <v>624.72</v>
      </c>
      <c r="DE315" s="675">
        <v>10691.164033855694</v>
      </c>
      <c r="DF315" s="675">
        <v>-775.48720310854787</v>
      </c>
      <c r="DG315" s="321">
        <v>135584.78882326497</v>
      </c>
      <c r="DH315" s="40">
        <v>76034.322637288671</v>
      </c>
      <c r="DI315" s="422">
        <v>6655.8931692528568</v>
      </c>
      <c r="DJ315" s="306">
        <v>5.2752042217648372</v>
      </c>
      <c r="DK315" s="306">
        <v>5.2752042217648372</v>
      </c>
      <c r="DL315" s="306">
        <v>4.3538781191186189</v>
      </c>
      <c r="DM315" s="28">
        <v>5255.6859661443068</v>
      </c>
      <c r="DN315" s="28">
        <v>1400.2072031085479</v>
      </c>
      <c r="DO315" s="423">
        <v>6655.8931692528549</v>
      </c>
      <c r="DP315" s="94">
        <v>0</v>
      </c>
      <c r="DQ315" s="28">
        <v>6655.8931692528549</v>
      </c>
      <c r="DR315" s="318"/>
      <c r="DT315" s="8"/>
      <c r="DU315" s="5"/>
      <c r="DX315" s="5">
        <v>21235.890213905372</v>
      </c>
      <c r="DY315" s="5">
        <v>7293.5999999999995</v>
      </c>
      <c r="DZ315" s="159">
        <v>1863.1711695406009</v>
      </c>
      <c r="EB315" s="676">
        <v>2663.3051506962993</v>
      </c>
      <c r="EC315" s="676">
        <v>-1460.6239409012719</v>
      </c>
      <c r="ED315" s="676">
        <v>-1642.6013737410785</v>
      </c>
      <c r="EE315" s="676">
        <v>-3525.4732632822502</v>
      </c>
      <c r="EF315" s="676">
        <v>-2834.8788926904085</v>
      </c>
      <c r="EG315" s="676">
        <v>-2971.4443667188084</v>
      </c>
      <c r="EH315" s="676">
        <v>1873.4627115386011</v>
      </c>
      <c r="EI315" s="676">
        <v>-2214.4993842490376</v>
      </c>
      <c r="EJ315" s="676">
        <v>-1062.2359350367597</v>
      </c>
      <c r="EK315" s="676">
        <v>-1876.758289472853</v>
      </c>
      <c r="EL315" s="676">
        <v>-1059.2218470159651</v>
      </c>
      <c r="EM315" s="676">
        <v>-718.56873935192834</v>
      </c>
      <c r="EN315" s="676">
        <v>-14829.53817022546</v>
      </c>
      <c r="EQ315" s="5">
        <v>21235.890213905372</v>
      </c>
      <c r="ER315" s="5">
        <v>7293.5999999999995</v>
      </c>
      <c r="ET315" s="318">
        <v>-14053.340581023445</v>
      </c>
      <c r="EU315" s="5">
        <v>125182.12940428843</v>
      </c>
    </row>
    <row r="316" spans="1:151" x14ac:dyDescent="0.3">
      <c r="A316" s="325">
        <v>150000819</v>
      </c>
      <c r="B316" s="41" t="s">
        <v>762</v>
      </c>
      <c r="C316" s="42" t="s">
        <v>424</v>
      </c>
      <c r="D316" s="27">
        <v>10</v>
      </c>
      <c r="E316" s="293">
        <v>6770.3499999999995</v>
      </c>
      <c r="F316" s="305">
        <v>6584.95</v>
      </c>
      <c r="G316" s="508">
        <v>226.3</v>
      </c>
      <c r="H316" s="677">
        <v>185.4</v>
      </c>
      <c r="I316" s="674">
        <v>25598.757639358955</v>
      </c>
      <c r="J316" s="40">
        <v>24394.462435204096</v>
      </c>
      <c r="K316" s="52">
        <v>-1204.2952041548597</v>
      </c>
      <c r="L316" s="674">
        <v>4413.1878356126854</v>
      </c>
      <c r="M316" s="40">
        <v>4217.4601530747386</v>
      </c>
      <c r="N316" s="52">
        <v>-195.72768253794675</v>
      </c>
      <c r="O316" s="674">
        <v>8136.8752896802171</v>
      </c>
      <c r="P316" s="40">
        <v>8138.5649999999987</v>
      </c>
      <c r="Q316" s="52">
        <v>1.689710319781625</v>
      </c>
      <c r="R316" s="674">
        <v>2063.5027724964702</v>
      </c>
      <c r="S316" s="40">
        <v>2065.6550000000002</v>
      </c>
      <c r="T316" s="52">
        <v>2.1522275035299572</v>
      </c>
      <c r="U316" s="674">
        <v>1145.5908851177551</v>
      </c>
      <c r="V316" s="40">
        <v>777.93438469789987</v>
      </c>
      <c r="W316" s="52">
        <v>-367.65650041985521</v>
      </c>
      <c r="X316" s="674">
        <v>9274.7176042324172</v>
      </c>
      <c r="Y316" s="40">
        <v>7473.1991820154381</v>
      </c>
      <c r="Z316" s="52">
        <v>-1801.5184222169792</v>
      </c>
      <c r="AA316" s="674">
        <v>812.67</v>
      </c>
      <c r="AB316" s="40">
        <v>0</v>
      </c>
      <c r="AC316" s="52">
        <v>-812.67</v>
      </c>
      <c r="AD316" s="674">
        <v>29018.908639911922</v>
      </c>
      <c r="AE316" s="40">
        <v>28767.205476541716</v>
      </c>
      <c r="AF316" s="35">
        <v>-251.70316337020631</v>
      </c>
      <c r="AG316" s="77">
        <v>80464.210666410421</v>
      </c>
      <c r="AH316" s="53">
        <v>75834.481631533883</v>
      </c>
      <c r="AI316" s="52">
        <v>-4629.7290348765382</v>
      </c>
      <c r="AJ316" s="674">
        <v>49492.53319577314</v>
      </c>
      <c r="AK316" s="40">
        <v>49021.379260192756</v>
      </c>
      <c r="AL316" s="52">
        <v>-471.1539355803834</v>
      </c>
      <c r="AM316" s="674">
        <v>1499.0414466531979</v>
      </c>
      <c r="AN316" s="40">
        <v>836.09601343288591</v>
      </c>
      <c r="AO316" s="52">
        <v>-662.945433220312</v>
      </c>
      <c r="AP316" s="674">
        <v>5036.4551001533282</v>
      </c>
      <c r="AQ316" s="40">
        <v>4302.7175180022887</v>
      </c>
      <c r="AR316" s="52">
        <v>-733.73758215103953</v>
      </c>
      <c r="AS316" s="674">
        <v>88334.734590241089</v>
      </c>
      <c r="AT316" s="40">
        <v>63059.020000000004</v>
      </c>
      <c r="AU316" s="54">
        <v>-25275.714590241085</v>
      </c>
      <c r="AV316" s="674">
        <v>4128.2765819519491</v>
      </c>
      <c r="AW316" s="40">
        <v>798</v>
      </c>
      <c r="AX316" s="55">
        <v>-3330.2765819519491</v>
      </c>
      <c r="AY316" s="674">
        <v>5143.9543520946063</v>
      </c>
      <c r="AZ316" s="40">
        <v>3647</v>
      </c>
      <c r="BA316" s="35">
        <v>-1496.9543520946063</v>
      </c>
      <c r="BB316" s="674">
        <v>3602.6889284897102</v>
      </c>
      <c r="BC316" s="40">
        <v>0</v>
      </c>
      <c r="BD316" s="55">
        <v>-3602.6889284897102</v>
      </c>
      <c r="BE316" s="674">
        <v>3181.3015002387101</v>
      </c>
      <c r="BF316" s="40">
        <v>590</v>
      </c>
      <c r="BG316" s="38">
        <v>-2591.3015002387101</v>
      </c>
      <c r="BH316" s="674">
        <v>1480.0607281226878</v>
      </c>
      <c r="BI316" s="40">
        <v>16</v>
      </c>
      <c r="BJ316" s="55">
        <v>-1464.0607281226878</v>
      </c>
      <c r="BK316" s="674">
        <v>1754.1520257998966</v>
      </c>
      <c r="BL316" s="40">
        <v>299</v>
      </c>
      <c r="BM316" s="38">
        <v>-1455.1520257998966</v>
      </c>
      <c r="BN316" s="674">
        <v>203.16749999999999</v>
      </c>
      <c r="BO316" s="40">
        <v>0</v>
      </c>
      <c r="BP316" s="55">
        <v>-203.16749999999999</v>
      </c>
      <c r="BQ316" s="77">
        <v>19493.601616697557</v>
      </c>
      <c r="BR316" s="40">
        <v>5350</v>
      </c>
      <c r="BS316" s="55">
        <v>-14143.601616697557</v>
      </c>
      <c r="BT316" s="674">
        <v>72101.80755567475</v>
      </c>
      <c r="BU316" s="40">
        <v>61311.329405268698</v>
      </c>
      <c r="BV316" s="52">
        <v>-10790.478150406052</v>
      </c>
      <c r="BW316" s="674">
        <v>56895.784961921527</v>
      </c>
      <c r="BX316" s="40">
        <v>55688.744571137962</v>
      </c>
      <c r="BY316" s="52">
        <v>-1207.0403907835644</v>
      </c>
      <c r="BZ316" s="674">
        <v>6035.8720305741354</v>
      </c>
      <c r="CA316" s="40">
        <v>16491.714724735575</v>
      </c>
      <c r="CB316" s="52">
        <v>10455.84269416144</v>
      </c>
      <c r="CC316" s="674">
        <v>617.79153851041042</v>
      </c>
      <c r="CD316" s="40">
        <v>642.56826105321466</v>
      </c>
      <c r="CE316" s="52">
        <v>24.776722542804237</v>
      </c>
      <c r="CF316" s="674">
        <v>74.722688882555246</v>
      </c>
      <c r="CG316" s="40">
        <v>0</v>
      </c>
      <c r="CH316" s="52">
        <v>-74.722688882555246</v>
      </c>
      <c r="CI316" s="674">
        <v>14209.232156854812</v>
      </c>
      <c r="CJ316" s="40">
        <v>13683.89532597246</v>
      </c>
      <c r="CK316" s="52">
        <v>-525.33683088235193</v>
      </c>
      <c r="CL316" s="674">
        <v>21313.85318528222</v>
      </c>
      <c r="CM316" s="40">
        <v>20529.747921834482</v>
      </c>
      <c r="CN316" s="52">
        <v>-784.10526344773825</v>
      </c>
      <c r="CO316" s="39">
        <v>35523.085342137034</v>
      </c>
      <c r="CP316" s="40">
        <v>34213.64324780694</v>
      </c>
      <c r="CQ316" s="52">
        <v>-1309.4420943300938</v>
      </c>
      <c r="CR316" s="72">
        <v>415569.64073362912</v>
      </c>
      <c r="CS316" s="5">
        <v>366751.69463316421</v>
      </c>
      <c r="CT316" s="52">
        <v>-48817.946100464906</v>
      </c>
      <c r="CU316" s="77">
        <v>498683.56888035493</v>
      </c>
      <c r="CV316" s="65">
        <v>440102.03355979704</v>
      </c>
      <c r="CW316" s="35">
        <v>-58581.535320557887</v>
      </c>
      <c r="CX316" s="73">
        <v>15128.672835253272</v>
      </c>
      <c r="CY316" s="40">
        <v>73710.20815581124</v>
      </c>
      <c r="CZ316" s="52">
        <v>58581.535320557967</v>
      </c>
      <c r="DA316" s="150">
        <v>26474.675394089216</v>
      </c>
      <c r="DB316" s="2">
        <v>3</v>
      </c>
      <c r="DC316" s="675">
        <v>66656.08</v>
      </c>
      <c r="DD316" s="675">
        <v>1450.6299999999999</v>
      </c>
      <c r="DE316" s="675">
        <v>22637.270415005645</v>
      </c>
      <c r="DF316" s="675">
        <v>602.49945743273668</v>
      </c>
      <c r="DG316" s="321">
        <v>85056.210714647168</v>
      </c>
      <c r="DH316" s="40">
        <v>513772.74704701948</v>
      </c>
      <c r="DI316" s="422">
        <v>44866.940127561618</v>
      </c>
      <c r="DJ316" s="306">
        <v>5.5386908077964438</v>
      </c>
      <c r="DK316" s="306">
        <v>6.7255476956885545</v>
      </c>
      <c r="DL316" s="306">
        <v>4.5745983957241814</v>
      </c>
      <c r="DM316" s="28">
        <v>44018.809584994357</v>
      </c>
      <c r="DN316" s="28">
        <v>848.13054256726321</v>
      </c>
      <c r="DO316" s="423">
        <v>44866.940127561618</v>
      </c>
      <c r="DP316" s="94">
        <v>0</v>
      </c>
      <c r="DQ316" s="28">
        <v>44866.940127561618</v>
      </c>
      <c r="DR316" s="318"/>
      <c r="DT316" s="8"/>
      <c r="DU316" s="5"/>
      <c r="DX316" s="5">
        <v>129394.00344832637</v>
      </c>
      <c r="DY316" s="5">
        <v>82090.824000000008</v>
      </c>
      <c r="DZ316" s="159">
        <v>11383.169726642836</v>
      </c>
      <c r="EB316" s="676">
        <v>-6489.5980994364218</v>
      </c>
      <c r="EC316" s="676">
        <v>-8212.6500583388734</v>
      </c>
      <c r="ED316" s="676">
        <v>-8431.9276441784168</v>
      </c>
      <c r="EE316" s="676">
        <v>-15029.447337253634</v>
      </c>
      <c r="EF316" s="676">
        <v>-3279.5733322340166</v>
      </c>
      <c r="EG316" s="676">
        <v>-22319.346256215442</v>
      </c>
      <c r="EH316" s="676">
        <v>949.07773215681664</v>
      </c>
      <c r="EI316" s="676">
        <v>-11416.594115609769</v>
      </c>
      <c r="EJ316" s="676">
        <v>-10429.408862793061</v>
      </c>
      <c r="EK316" s="676">
        <v>-2442.6125244079449</v>
      </c>
      <c r="EL316" s="676">
        <v>34303.691833789948</v>
      </c>
      <c r="EM316" s="676">
        <v>-5783.1466560371337</v>
      </c>
      <c r="EN316" s="676">
        <v>-58581.535320557952</v>
      </c>
      <c r="EQ316" s="5">
        <v>129394.00344832637</v>
      </c>
      <c r="ER316" s="5">
        <v>82090.824000000008</v>
      </c>
      <c r="ET316" s="318">
        <v>-20227.074107666183</v>
      </c>
      <c r="EU316" s="5">
        <v>64350.284822313304</v>
      </c>
    </row>
    <row r="317" spans="1:151" x14ac:dyDescent="0.3">
      <c r="A317" s="325">
        <v>150000820</v>
      </c>
      <c r="B317" s="41" t="s">
        <v>763</v>
      </c>
      <c r="C317" s="42" t="s">
        <v>395</v>
      </c>
      <c r="D317" s="27">
        <v>9</v>
      </c>
      <c r="E317" s="293">
        <v>4188.63</v>
      </c>
      <c r="F317" s="305">
        <v>4138.63</v>
      </c>
      <c r="G317" s="508">
        <v>406.76</v>
      </c>
      <c r="H317" s="677">
        <v>50</v>
      </c>
      <c r="I317" s="674">
        <v>14045.800306414483</v>
      </c>
      <c r="J317" s="40">
        <v>13411.11059428487</v>
      </c>
      <c r="K317" s="52">
        <v>-634.68971212961333</v>
      </c>
      <c r="L317" s="674">
        <v>2703.9775442802206</v>
      </c>
      <c r="M317" s="40">
        <v>2584.0381106388818</v>
      </c>
      <c r="N317" s="52">
        <v>-119.93943364133884</v>
      </c>
      <c r="O317" s="674">
        <v>5225.9868098893858</v>
      </c>
      <c r="P317" s="40">
        <v>5226.8199999999988</v>
      </c>
      <c r="Q317" s="52">
        <v>0.83319011061303172</v>
      </c>
      <c r="R317" s="674">
        <v>1420.8859084412852</v>
      </c>
      <c r="S317" s="40">
        <v>1421.6550000000002</v>
      </c>
      <c r="T317" s="52">
        <v>0.76909155871499024</v>
      </c>
      <c r="U317" s="674">
        <v>714.84307937464087</v>
      </c>
      <c r="V317" s="40">
        <v>485.42495703916586</v>
      </c>
      <c r="W317" s="52">
        <v>-229.418122335475</v>
      </c>
      <c r="X317" s="674">
        <v>5778.2886595743585</v>
      </c>
      <c r="Y317" s="40">
        <v>4855.5515685372238</v>
      </c>
      <c r="Z317" s="52">
        <v>-922.73709103713463</v>
      </c>
      <c r="AA317" s="674">
        <v>502.87799999999993</v>
      </c>
      <c r="AB317" s="40">
        <v>0</v>
      </c>
      <c r="AC317" s="52">
        <v>-502.87799999999993</v>
      </c>
      <c r="AD317" s="674">
        <v>17957.948072970521</v>
      </c>
      <c r="AE317" s="40">
        <v>17796.323769514587</v>
      </c>
      <c r="AF317" s="35">
        <v>-161.62430345593384</v>
      </c>
      <c r="AG317" s="77">
        <v>48350.608380944897</v>
      </c>
      <c r="AH317" s="53">
        <v>45780.924000014726</v>
      </c>
      <c r="AI317" s="52">
        <v>-2569.6843809301718</v>
      </c>
      <c r="AJ317" s="674">
        <v>39391.53869931856</v>
      </c>
      <c r="AK317" s="40">
        <v>39132.775266478908</v>
      </c>
      <c r="AL317" s="52">
        <v>-258.76343283965252</v>
      </c>
      <c r="AM317" s="674">
        <v>0</v>
      </c>
      <c r="AN317" s="40">
        <v>0</v>
      </c>
      <c r="AO317" s="52">
        <v>0</v>
      </c>
      <c r="AP317" s="674">
        <v>3192.7527867043432</v>
      </c>
      <c r="AQ317" s="40">
        <v>2727.6155694478794</v>
      </c>
      <c r="AR317" s="52">
        <v>-465.13721725646383</v>
      </c>
      <c r="AS317" s="674">
        <v>62580.185151601283</v>
      </c>
      <c r="AT317" s="40">
        <v>25697.170000000002</v>
      </c>
      <c r="AU317" s="54">
        <v>-36883.015151601285</v>
      </c>
      <c r="AV317" s="674">
        <v>2079.8249684883936</v>
      </c>
      <c r="AW317" s="40">
        <v>0</v>
      </c>
      <c r="AX317" s="55">
        <v>-2079.8249684883936</v>
      </c>
      <c r="AY317" s="674">
        <v>3156.1164828638812</v>
      </c>
      <c r="AZ317" s="40">
        <v>1620</v>
      </c>
      <c r="BA317" s="35">
        <v>-1536.1164828638812</v>
      </c>
      <c r="BB317" s="674">
        <v>2259.5150616710375</v>
      </c>
      <c r="BC317" s="40">
        <v>0</v>
      </c>
      <c r="BD317" s="55">
        <v>-2259.5150616710375</v>
      </c>
      <c r="BE317" s="674">
        <v>2263.9310316806364</v>
      </c>
      <c r="BF317" s="40">
        <v>638</v>
      </c>
      <c r="BG317" s="38">
        <v>-1625.9310316806364</v>
      </c>
      <c r="BH317" s="674">
        <v>923.71373565197098</v>
      </c>
      <c r="BI317" s="40">
        <v>0</v>
      </c>
      <c r="BJ317" s="55">
        <v>-923.71373565197098</v>
      </c>
      <c r="BK317" s="674">
        <v>875.56092285678085</v>
      </c>
      <c r="BL317" s="40">
        <v>299</v>
      </c>
      <c r="BM317" s="38">
        <v>-576.56092285678085</v>
      </c>
      <c r="BN317" s="674">
        <v>125.71949999999998</v>
      </c>
      <c r="BO317" s="40">
        <v>0</v>
      </c>
      <c r="BP317" s="55">
        <v>-125.71949999999998</v>
      </c>
      <c r="BQ317" s="77">
        <v>11684.381703212701</v>
      </c>
      <c r="BR317" s="40">
        <v>2557</v>
      </c>
      <c r="BS317" s="55">
        <v>-9127.3817032127008</v>
      </c>
      <c r="BT317" s="674">
        <v>61041.410782377607</v>
      </c>
      <c r="BU317" s="40">
        <v>44685.369448181984</v>
      </c>
      <c r="BV317" s="52">
        <v>-16356.041334195623</v>
      </c>
      <c r="BW317" s="674">
        <v>36954.799818919259</v>
      </c>
      <c r="BX317" s="40">
        <v>27113.740204401969</v>
      </c>
      <c r="BY317" s="52">
        <v>-9841.0596145172894</v>
      </c>
      <c r="BZ317" s="674">
        <v>4779.659107303627</v>
      </c>
      <c r="CA317" s="40">
        <v>9100.9219111652856</v>
      </c>
      <c r="CB317" s="52">
        <v>4321.2628038616585</v>
      </c>
      <c r="CC317" s="674">
        <v>1254.1497149582258</v>
      </c>
      <c r="CD317" s="40">
        <v>1314.3441703361209</v>
      </c>
      <c r="CE317" s="52">
        <v>60.19445537789511</v>
      </c>
      <c r="CF317" s="674">
        <v>152.84186362340847</v>
      </c>
      <c r="CG317" s="40">
        <v>0</v>
      </c>
      <c r="CH317" s="52">
        <v>-152.84186362340847</v>
      </c>
      <c r="CI317" s="674">
        <v>28494.60923444905</v>
      </c>
      <c r="CJ317" s="40">
        <v>26905.505466499442</v>
      </c>
      <c r="CK317" s="52">
        <v>-1589.1037679496076</v>
      </c>
      <c r="CL317" s="674">
        <v>8924.9266770865343</v>
      </c>
      <c r="CM317" s="40">
        <v>9871.5769377674078</v>
      </c>
      <c r="CN317" s="52">
        <v>946.65026068087354</v>
      </c>
      <c r="CO317" s="39">
        <v>37419.535911535582</v>
      </c>
      <c r="CP317" s="40">
        <v>36777.082404266854</v>
      </c>
      <c r="CQ317" s="52">
        <v>-642.45350726872857</v>
      </c>
      <c r="CR317" s="72">
        <v>306801.86392049957</v>
      </c>
      <c r="CS317" s="5">
        <v>234886.94297429372</v>
      </c>
      <c r="CT317" s="52">
        <v>-71914.92094620585</v>
      </c>
      <c r="CU317" s="77">
        <v>368162.23670459946</v>
      </c>
      <c r="CV317" s="65">
        <v>281864.33156915248</v>
      </c>
      <c r="CW317" s="35">
        <v>-86297.905135446985</v>
      </c>
      <c r="CX317" s="73">
        <v>8210.8961515832161</v>
      </c>
      <c r="CY317" s="40">
        <v>94508.801287030161</v>
      </c>
      <c r="CZ317" s="52">
        <v>86297.905135446941</v>
      </c>
      <c r="DA317" s="150">
        <v>-2862.2315046763397</v>
      </c>
      <c r="DB317" s="2">
        <v>3</v>
      </c>
      <c r="DC317" s="675">
        <v>47898.39</v>
      </c>
      <c r="DD317" s="675">
        <v>282.83999999999997</v>
      </c>
      <c r="DE317" s="675">
        <v>15222.592215074827</v>
      </c>
      <c r="DF317" s="675">
        <v>-0.27437089148395444</v>
      </c>
      <c r="DG317" s="321">
        <v>83435.673630770616</v>
      </c>
      <c r="DH317" s="40">
        <v>376344.50430772215</v>
      </c>
      <c r="DI317" s="422">
        <v>32958.912155816659</v>
      </c>
      <c r="DJ317" s="306">
        <v>6.6549573341133863</v>
      </c>
      <c r="DK317" s="306">
        <v>8.03051213994625</v>
      </c>
      <c r="DL317" s="306">
        <v>5.6622874178296785</v>
      </c>
      <c r="DM317" s="28">
        <v>32675.797784925173</v>
      </c>
      <c r="DN317" s="28">
        <v>283.11437089148393</v>
      </c>
      <c r="DO317" s="423">
        <v>32958.912155816659</v>
      </c>
      <c r="DP317" s="94">
        <v>0</v>
      </c>
      <c r="DQ317" s="28">
        <v>32958.912155816659</v>
      </c>
      <c r="DR317" s="318"/>
      <c r="DT317" s="8"/>
      <c r="DU317" s="5"/>
      <c r="DX317" s="5">
        <v>89117.480225776773</v>
      </c>
      <c r="DY317" s="5">
        <v>33905.004000000001</v>
      </c>
      <c r="DZ317" s="159">
        <v>8006.5759671986898</v>
      </c>
      <c r="EB317" s="676">
        <v>-3455.8981496573215</v>
      </c>
      <c r="EC317" s="676">
        <v>-4271.9186938521525</v>
      </c>
      <c r="ED317" s="676">
        <v>-3791.8798668329619</v>
      </c>
      <c r="EE317" s="676">
        <v>5321.6851933816506</v>
      </c>
      <c r="EF317" s="676">
        <v>-2723.2890096880255</v>
      </c>
      <c r="EG317" s="676">
        <v>-13537.112575077826</v>
      </c>
      <c r="EH317" s="676">
        <v>-13082.445539786248</v>
      </c>
      <c r="EI317" s="676">
        <v>-9672.9419220604686</v>
      </c>
      <c r="EJ317" s="676">
        <v>-13051.44833324273</v>
      </c>
      <c r="EK317" s="676">
        <v>-11577.081859513964</v>
      </c>
      <c r="EL317" s="676">
        <v>-10118.792735434552</v>
      </c>
      <c r="EM317" s="676">
        <v>-6336.7816436823559</v>
      </c>
      <c r="EN317" s="676">
        <v>-86297.905135446956</v>
      </c>
      <c r="EQ317" s="5">
        <v>89117.480225776773</v>
      </c>
      <c r="ER317" s="5">
        <v>33905.004000000001</v>
      </c>
      <c r="ET317" s="318">
        <v>49521.622343863462</v>
      </c>
      <c r="EU317" s="5">
        <v>-6068.9487130928446</v>
      </c>
    </row>
    <row r="318" spans="1:151" x14ac:dyDescent="0.3">
      <c r="A318" s="325">
        <v>150000799</v>
      </c>
      <c r="B318" s="41" t="s">
        <v>764</v>
      </c>
      <c r="C318" s="42" t="s">
        <v>293</v>
      </c>
      <c r="D318" s="27">
        <v>5</v>
      </c>
      <c r="E318" s="293">
        <v>2066.5</v>
      </c>
      <c r="F318" s="305">
        <v>1762.3</v>
      </c>
      <c r="G318" s="508">
        <v>0</v>
      </c>
      <c r="H318" s="677">
        <v>304.2</v>
      </c>
      <c r="I318" s="674">
        <v>6428.8852345847481</v>
      </c>
      <c r="J318" s="40">
        <v>7033.7785161849424</v>
      </c>
      <c r="K318" s="52">
        <v>604.89328160019431</v>
      </c>
      <c r="L318" s="674">
        <v>1243.0368160528787</v>
      </c>
      <c r="M318" s="40">
        <v>1360.5529332410404</v>
      </c>
      <c r="N318" s="52">
        <v>117.51611718816162</v>
      </c>
      <c r="O318" s="674">
        <v>2625.3092597592299</v>
      </c>
      <c r="P318" s="40">
        <v>2625.2999999999997</v>
      </c>
      <c r="Q318" s="52">
        <v>-9.2597592301899567E-3</v>
      </c>
      <c r="R318" s="674">
        <v>0</v>
      </c>
      <c r="S318" s="40">
        <v>0</v>
      </c>
      <c r="T318" s="52">
        <v>0</v>
      </c>
      <c r="U318" s="674">
        <v>0</v>
      </c>
      <c r="V318" s="40">
        <v>0</v>
      </c>
      <c r="W318" s="52">
        <v>0</v>
      </c>
      <c r="X318" s="674">
        <v>3360.0021264550196</v>
      </c>
      <c r="Y318" s="40">
        <v>2751.8004944044674</v>
      </c>
      <c r="Z318" s="52">
        <v>-608.20163205055223</v>
      </c>
      <c r="AA318" s="674">
        <v>250.24800000000005</v>
      </c>
      <c r="AB318" s="40">
        <v>0</v>
      </c>
      <c r="AC318" s="52">
        <v>-250.24800000000005</v>
      </c>
      <c r="AD318" s="674">
        <v>8861.317374945671</v>
      </c>
      <c r="AE318" s="40">
        <v>8779.9836867190224</v>
      </c>
      <c r="AF318" s="35">
        <v>-81.333688226648519</v>
      </c>
      <c r="AG318" s="77">
        <v>22768.798811797547</v>
      </c>
      <c r="AH318" s="53">
        <v>22551.415630549473</v>
      </c>
      <c r="AI318" s="52">
        <v>-217.38318124807483</v>
      </c>
      <c r="AJ318" s="674">
        <v>0</v>
      </c>
      <c r="AK318" s="40">
        <v>0</v>
      </c>
      <c r="AL318" s="52">
        <v>0</v>
      </c>
      <c r="AM318" s="674">
        <v>0</v>
      </c>
      <c r="AN318" s="40">
        <v>0</v>
      </c>
      <c r="AO318" s="52">
        <v>0</v>
      </c>
      <c r="AP318" s="674">
        <v>4856.5817037192819</v>
      </c>
      <c r="AQ318" s="40">
        <v>4140.0989667019512</v>
      </c>
      <c r="AR318" s="52">
        <v>-716.48273701733069</v>
      </c>
      <c r="AS318" s="674">
        <v>15127.253636769679</v>
      </c>
      <c r="AT318" s="40">
        <v>34075.5</v>
      </c>
      <c r="AU318" s="54">
        <v>18948.246363230319</v>
      </c>
      <c r="AV318" s="674">
        <v>1540.1174448451497</v>
      </c>
      <c r="AW318" s="40">
        <v>0</v>
      </c>
      <c r="AX318" s="55">
        <v>-1540.1174448451497</v>
      </c>
      <c r="AY318" s="674">
        <v>2037.5776107577115</v>
      </c>
      <c r="AZ318" s="40">
        <v>0</v>
      </c>
      <c r="BA318" s="35">
        <v>-2037.5776107577115</v>
      </c>
      <c r="BB318" s="674">
        <v>1395.6765429470042</v>
      </c>
      <c r="BC318" s="40">
        <v>0</v>
      </c>
      <c r="BD318" s="55">
        <v>-1395.6765429470042</v>
      </c>
      <c r="BE318" s="674">
        <v>0</v>
      </c>
      <c r="BF318" s="40">
        <v>0</v>
      </c>
      <c r="BG318" s="38">
        <v>0</v>
      </c>
      <c r="BH318" s="674">
        <v>0</v>
      </c>
      <c r="BI318" s="40">
        <v>0</v>
      </c>
      <c r="BJ318" s="55">
        <v>0</v>
      </c>
      <c r="BK318" s="674">
        <v>715.5643804896431</v>
      </c>
      <c r="BL318" s="40">
        <v>1454</v>
      </c>
      <c r="BM318" s="38">
        <v>738.4356195103569</v>
      </c>
      <c r="BN318" s="674">
        <v>62.562000000000012</v>
      </c>
      <c r="BO318" s="40">
        <v>0</v>
      </c>
      <c r="BP318" s="55">
        <v>-62.562000000000012</v>
      </c>
      <c r="BQ318" s="77">
        <v>5751.4979790395082</v>
      </c>
      <c r="BR318" s="40">
        <v>1454</v>
      </c>
      <c r="BS318" s="55">
        <v>-4297.4979790395082</v>
      </c>
      <c r="BT318" s="674">
        <v>5869.3140136131315</v>
      </c>
      <c r="BU318" s="40">
        <v>7503.3700176594384</v>
      </c>
      <c r="BV318" s="52">
        <v>1634.056004046307</v>
      </c>
      <c r="BW318" s="674">
        <v>9334.9977907937318</v>
      </c>
      <c r="BX318" s="40">
        <v>8668.0697050495546</v>
      </c>
      <c r="BY318" s="52">
        <v>-666.92808574417722</v>
      </c>
      <c r="BZ318" s="674">
        <v>3729.7759223856847</v>
      </c>
      <c r="CA318" s="40">
        <v>2270.290362583909</v>
      </c>
      <c r="CB318" s="52">
        <v>-1459.4855598017757</v>
      </c>
      <c r="CC318" s="674">
        <v>696.96778303111796</v>
      </c>
      <c r="CD318" s="40">
        <v>732.52781760066466</v>
      </c>
      <c r="CE318" s="52">
        <v>35.560034569546701</v>
      </c>
      <c r="CF318" s="674">
        <v>85.183865326112993</v>
      </c>
      <c r="CG318" s="40">
        <v>0</v>
      </c>
      <c r="CH318" s="52">
        <v>-85.183865326112993</v>
      </c>
      <c r="CI318" s="674">
        <v>2946.7923018485858</v>
      </c>
      <c r="CJ318" s="40">
        <v>1992.2097936343594</v>
      </c>
      <c r="CK318" s="52">
        <v>-954.58250821422644</v>
      </c>
      <c r="CL318" s="674">
        <v>0</v>
      </c>
      <c r="CM318" s="40">
        <v>0</v>
      </c>
      <c r="CN318" s="52">
        <v>0</v>
      </c>
      <c r="CO318" s="39">
        <v>2946.7923018485858</v>
      </c>
      <c r="CP318" s="40">
        <v>1992.2097936343594</v>
      </c>
      <c r="CQ318" s="52">
        <v>-954.58250821422644</v>
      </c>
      <c r="CR318" s="72">
        <v>71167.163808324374</v>
      </c>
      <c r="CS318" s="5">
        <v>83387.482293779351</v>
      </c>
      <c r="CT318" s="52">
        <v>12220.318485454976</v>
      </c>
      <c r="CU318" s="77">
        <v>85400.59656998924</v>
      </c>
      <c r="CV318" s="65">
        <v>100064.97875253521</v>
      </c>
      <c r="CW318" s="35">
        <v>14664.382182545975</v>
      </c>
      <c r="CX318" s="73">
        <v>2251.2840625596291</v>
      </c>
      <c r="CY318" s="40">
        <v>-12413.098119986351</v>
      </c>
      <c r="CZ318" s="52">
        <v>-14664.38218254598</v>
      </c>
      <c r="DA318" s="150">
        <v>7425.3426617015184</v>
      </c>
      <c r="DB318" s="2">
        <v>2</v>
      </c>
      <c r="DC318" s="675">
        <v>13210.68</v>
      </c>
      <c r="DD318" s="675">
        <v>0</v>
      </c>
      <c r="DE318" s="675">
        <v>6528.4451989176086</v>
      </c>
      <c r="DF318" s="675">
        <v>-972.06034490933939</v>
      </c>
      <c r="DG318" s="321">
        <v>-7239.0395208444561</v>
      </c>
      <c r="DH318" s="40">
        <v>87645.144437618757</v>
      </c>
      <c r="DI318" s="422">
        <v>7654.2951459917304</v>
      </c>
      <c r="DJ318" s="306">
        <v>3.7917691659095452</v>
      </c>
      <c r="DK318" s="306">
        <v>3.7917691659095452</v>
      </c>
      <c r="DL318" s="306">
        <v>3.1954646446723847</v>
      </c>
      <c r="DM318" s="28">
        <v>6682.2348010823916</v>
      </c>
      <c r="DN318" s="28">
        <v>972.06034490933939</v>
      </c>
      <c r="DO318" s="423">
        <v>7654.2951459917313</v>
      </c>
      <c r="DP318" s="94">
        <v>0</v>
      </c>
      <c r="DQ318" s="28">
        <v>7654.2951459917313</v>
      </c>
      <c r="DR318" s="318"/>
      <c r="DT318" s="8"/>
      <c r="DU318" s="5"/>
      <c r="DX318" s="5">
        <v>25054.501938971025</v>
      </c>
      <c r="DY318" s="5">
        <v>42635.4</v>
      </c>
      <c r="DZ318" s="159">
        <v>2183.8971305450773</v>
      </c>
      <c r="EB318" s="676">
        <v>-1285.8439790051489</v>
      </c>
      <c r="EC318" s="676">
        <v>11486.078639074509</v>
      </c>
      <c r="ED318" s="676">
        <v>-1826.531928998219</v>
      </c>
      <c r="EE318" s="676">
        <v>5674.28966050907</v>
      </c>
      <c r="EF318" s="676">
        <v>924.17502747172512</v>
      </c>
      <c r="EG318" s="676">
        <v>-319.76724314546482</v>
      </c>
      <c r="EH318" s="676">
        <v>6303.3895802907991</v>
      </c>
      <c r="EI318" s="676">
        <v>-1037.53657362375</v>
      </c>
      <c r="EJ318" s="676">
        <v>-2818.0669233983117</v>
      </c>
      <c r="EK318" s="676">
        <v>-14.999053751171232</v>
      </c>
      <c r="EL318" s="676">
        <v>-2517.4145330977781</v>
      </c>
      <c r="EM318" s="676">
        <v>96.609510219715048</v>
      </c>
      <c r="EN318" s="676">
        <v>14664.382182545975</v>
      </c>
      <c r="EQ318" s="5">
        <v>25054.501938971025</v>
      </c>
      <c r="ER318" s="5">
        <v>42635.4</v>
      </c>
      <c r="ET318" s="318">
        <v>-16844.469403238385</v>
      </c>
      <c r="EU318" s="5">
        <v>3871.4298823939316</v>
      </c>
    </row>
    <row r="319" spans="1:151" x14ac:dyDescent="0.3">
      <c r="A319" s="325">
        <v>150000830</v>
      </c>
      <c r="B319" s="41" t="s">
        <v>765</v>
      </c>
      <c r="C319" s="42" t="s">
        <v>294</v>
      </c>
      <c r="D319" s="27">
        <v>5</v>
      </c>
      <c r="E319" s="293">
        <v>5961.3</v>
      </c>
      <c r="F319" s="305">
        <v>4483.3</v>
      </c>
      <c r="G319" s="508">
        <v>0</v>
      </c>
      <c r="H319" s="677">
        <v>1478</v>
      </c>
      <c r="I319" s="674">
        <v>16015.970373708129</v>
      </c>
      <c r="J319" s="40">
        <v>15387.060860449394</v>
      </c>
      <c r="K319" s="52">
        <v>-628.90951325873539</v>
      </c>
      <c r="L319" s="674">
        <v>3339.6798989279059</v>
      </c>
      <c r="M319" s="40">
        <v>3191.6138767452603</v>
      </c>
      <c r="N319" s="52">
        <v>-148.06602218264561</v>
      </c>
      <c r="O319" s="674">
        <v>6660.7805754603833</v>
      </c>
      <c r="P319" s="40">
        <v>6660.2900000000009</v>
      </c>
      <c r="Q319" s="52">
        <v>-0.49057546038238797</v>
      </c>
      <c r="R319" s="674">
        <v>0</v>
      </c>
      <c r="S319" s="40">
        <v>0</v>
      </c>
      <c r="T319" s="52">
        <v>0</v>
      </c>
      <c r="U319" s="674">
        <v>1186.2563123962695</v>
      </c>
      <c r="V319" s="40">
        <v>805.55164525124144</v>
      </c>
      <c r="W319" s="52">
        <v>-380.70466714502811</v>
      </c>
      <c r="X319" s="674">
        <v>12382.572247441472</v>
      </c>
      <c r="Y319" s="40">
        <v>11339.398925013431</v>
      </c>
      <c r="Z319" s="52">
        <v>-1043.1733224280415</v>
      </c>
      <c r="AA319" s="674">
        <v>715.35599999999999</v>
      </c>
      <c r="AB319" s="40">
        <v>0</v>
      </c>
      <c r="AC319" s="52">
        <v>-715.35599999999999</v>
      </c>
      <c r="AD319" s="674">
        <v>25471.146146033821</v>
      </c>
      <c r="AE319" s="40">
        <v>25327.905517366609</v>
      </c>
      <c r="AF319" s="35">
        <v>-143.24062866721215</v>
      </c>
      <c r="AG319" s="77">
        <v>65771.761553967983</v>
      </c>
      <c r="AH319" s="53">
        <v>62711.820824825933</v>
      </c>
      <c r="AI319" s="52">
        <v>-3059.9407291420503</v>
      </c>
      <c r="AJ319" s="674">
        <v>0</v>
      </c>
      <c r="AK319" s="40">
        <v>0</v>
      </c>
      <c r="AL319" s="52">
        <v>0</v>
      </c>
      <c r="AM319" s="674">
        <v>0</v>
      </c>
      <c r="AN319" s="40">
        <v>0</v>
      </c>
      <c r="AO319" s="52">
        <v>0</v>
      </c>
      <c r="AP319" s="674">
        <v>12681.074448600344</v>
      </c>
      <c r="AQ319" s="40">
        <v>10545.965731902856</v>
      </c>
      <c r="AR319" s="52">
        <v>-2135.1087166974885</v>
      </c>
      <c r="AS319" s="674">
        <v>62519.488189147014</v>
      </c>
      <c r="AT319" s="40">
        <v>78969</v>
      </c>
      <c r="AU319" s="54">
        <v>16449.511810852986</v>
      </c>
      <c r="AV319" s="674">
        <v>3682.7795272977964</v>
      </c>
      <c r="AW319" s="40">
        <v>3967</v>
      </c>
      <c r="AX319" s="55">
        <v>284.22047270220355</v>
      </c>
      <c r="AY319" s="674">
        <v>5474.8618797307181</v>
      </c>
      <c r="AZ319" s="40">
        <v>6819</v>
      </c>
      <c r="BA319" s="35">
        <v>1344.1381202692819</v>
      </c>
      <c r="BB319" s="674">
        <v>2387.4141681018509</v>
      </c>
      <c r="BC319" s="40">
        <v>4875</v>
      </c>
      <c r="BD319" s="55">
        <v>2487.5858318981491</v>
      </c>
      <c r="BE319" s="674">
        <v>0</v>
      </c>
      <c r="BF319" s="40">
        <v>0</v>
      </c>
      <c r="BG319" s="38">
        <v>0</v>
      </c>
      <c r="BH319" s="674">
        <v>2024.9600350327316</v>
      </c>
      <c r="BI319" s="40">
        <v>0</v>
      </c>
      <c r="BJ319" s="55">
        <v>-2024.9600350327316</v>
      </c>
      <c r="BK319" s="674">
        <v>3190.6409136952243</v>
      </c>
      <c r="BL319" s="40">
        <v>1755</v>
      </c>
      <c r="BM319" s="38">
        <v>-1435.6409136952243</v>
      </c>
      <c r="BN319" s="674">
        <v>178.839</v>
      </c>
      <c r="BO319" s="40">
        <v>0</v>
      </c>
      <c r="BP319" s="55">
        <v>-178.839</v>
      </c>
      <c r="BQ319" s="77">
        <v>16939.495523858321</v>
      </c>
      <c r="BR319" s="40">
        <v>17416</v>
      </c>
      <c r="BS319" s="55">
        <v>476.50447614167933</v>
      </c>
      <c r="BT319" s="674">
        <v>37976.65344814874</v>
      </c>
      <c r="BU319" s="40">
        <v>45700.297753473453</v>
      </c>
      <c r="BV319" s="52">
        <v>7723.6443053247131</v>
      </c>
      <c r="BW319" s="674">
        <v>24135.519128817788</v>
      </c>
      <c r="BX319" s="40">
        <v>23857.93787159583</v>
      </c>
      <c r="BY319" s="52">
        <v>-277.58125722195837</v>
      </c>
      <c r="BZ319" s="674">
        <v>9870.2901164534378</v>
      </c>
      <c r="CA319" s="40">
        <v>10729.116566364681</v>
      </c>
      <c r="CB319" s="52">
        <v>858.82644991124289</v>
      </c>
      <c r="CC319" s="674">
        <v>1014.327116452783</v>
      </c>
      <c r="CD319" s="40">
        <v>1066.0791603837424</v>
      </c>
      <c r="CE319" s="52">
        <v>51.752043930959417</v>
      </c>
      <c r="CF319" s="674">
        <v>123.97173382787575</v>
      </c>
      <c r="CG319" s="40">
        <v>0</v>
      </c>
      <c r="CH319" s="52">
        <v>-123.97173382787575</v>
      </c>
      <c r="CI319" s="674">
        <v>2963.3504890907507</v>
      </c>
      <c r="CJ319" s="40">
        <v>1415.7378836085891</v>
      </c>
      <c r="CK319" s="52">
        <v>-1547.6126054821616</v>
      </c>
      <c r="CL319" s="674">
        <v>0</v>
      </c>
      <c r="CM319" s="40">
        <v>0</v>
      </c>
      <c r="CN319" s="52">
        <v>0</v>
      </c>
      <c r="CO319" s="39">
        <v>2963.3504890907507</v>
      </c>
      <c r="CP319" s="40">
        <v>1415.7378836085891</v>
      </c>
      <c r="CQ319" s="52">
        <v>-1547.6126054821616</v>
      </c>
      <c r="CR319" s="72">
        <v>233995.93174836502</v>
      </c>
      <c r="CS319" s="5">
        <v>252411.95579215509</v>
      </c>
      <c r="CT319" s="52">
        <v>18416.024043790065</v>
      </c>
      <c r="CU319" s="77">
        <v>280795.11809803802</v>
      </c>
      <c r="CV319" s="65">
        <v>302894.34695058607</v>
      </c>
      <c r="CW319" s="35">
        <v>22099.228852548054</v>
      </c>
      <c r="CX319" s="73">
        <v>11846.213169377095</v>
      </c>
      <c r="CY319" s="40">
        <v>-10253.015683170983</v>
      </c>
      <c r="CZ319" s="52">
        <v>-22099.228852548076</v>
      </c>
      <c r="DA319" s="150">
        <v>-48554.365750803372</v>
      </c>
      <c r="DB319" s="2">
        <v>3</v>
      </c>
      <c r="DC319" s="675">
        <v>40108.089999999997</v>
      </c>
      <c r="DD319" s="675">
        <v>147282.12</v>
      </c>
      <c r="DE319" s="675">
        <v>20154.090148570744</v>
      </c>
      <c r="DF319" s="675">
        <v>141606.41256778006</v>
      </c>
      <c r="DG319" s="321">
        <v>-70653.594603351448</v>
      </c>
      <c r="DH319" s="40">
        <v>292619.08196172246</v>
      </c>
      <c r="DI319" s="422">
        <v>25629.707283649186</v>
      </c>
      <c r="DJ319" s="306">
        <v>4.4507393775632353</v>
      </c>
      <c r="DK319" s="306">
        <v>4.4507393775632353</v>
      </c>
      <c r="DL319" s="306">
        <v>3.8401268147631495</v>
      </c>
      <c r="DM319" s="28">
        <v>19953.999851429253</v>
      </c>
      <c r="DN319" s="28">
        <v>5675.7074322199351</v>
      </c>
      <c r="DO319" s="423">
        <v>25629.707283649186</v>
      </c>
      <c r="DP319" s="94">
        <v>0</v>
      </c>
      <c r="DQ319" s="28">
        <v>25629.707283649186</v>
      </c>
      <c r="DR319" s="318"/>
      <c r="DT319" s="8"/>
      <c r="DU319" s="5"/>
      <c r="DX319" s="5">
        <v>95350.780455606393</v>
      </c>
      <c r="DY319" s="5">
        <v>115662</v>
      </c>
      <c r="DZ319" s="159">
        <v>8420.7669106810426</v>
      </c>
      <c r="EB319" s="676">
        <v>4899.3668915732997</v>
      </c>
      <c r="EC319" s="676">
        <v>28607.11457412181</v>
      </c>
      <c r="ED319" s="676">
        <v>-5580.3331670490352</v>
      </c>
      <c r="EE319" s="676">
        <v>-4137.7135295965199</v>
      </c>
      <c r="EF319" s="676">
        <v>-8452.2673991575011</v>
      </c>
      <c r="EG319" s="676">
        <v>-15044.393479975819</v>
      </c>
      <c r="EH319" s="676">
        <v>1023.2659752202999</v>
      </c>
      <c r="EI319" s="676">
        <v>-2562.6212212235769</v>
      </c>
      <c r="EJ319" s="676">
        <v>-6451.6767589410229</v>
      </c>
      <c r="EK319" s="676">
        <v>-6670.8104454853019</v>
      </c>
      <c r="EL319" s="676">
        <v>-7144.3310819382423</v>
      </c>
      <c r="EM319" s="676">
        <v>43613.628494999692</v>
      </c>
      <c r="EN319" s="676">
        <v>22099.228852548076</v>
      </c>
      <c r="EQ319" s="5">
        <v>95350.780455606393</v>
      </c>
      <c r="ER319" s="5">
        <v>115662</v>
      </c>
      <c r="ET319" s="318">
        <v>-38953.651827720547</v>
      </c>
      <c r="EU319" s="5">
        <v>-57797.942775630887</v>
      </c>
    </row>
    <row r="320" spans="1:151" x14ac:dyDescent="0.3">
      <c r="A320" s="325">
        <v>150000800</v>
      </c>
      <c r="B320" s="41" t="s">
        <v>766</v>
      </c>
      <c r="C320" s="42" t="s">
        <v>227</v>
      </c>
      <c r="D320" s="27">
        <v>4</v>
      </c>
      <c r="E320" s="293">
        <v>1452.8</v>
      </c>
      <c r="F320" s="305">
        <v>1452.8</v>
      </c>
      <c r="G320" s="508">
        <v>0</v>
      </c>
      <c r="H320" s="677">
        <v>0</v>
      </c>
      <c r="I320" s="674">
        <v>4525.252280715009</v>
      </c>
      <c r="J320" s="40">
        <v>4956.5457886584809</v>
      </c>
      <c r="K320" s="52">
        <v>431.29350794347192</v>
      </c>
      <c r="L320" s="674">
        <v>702.71701385034396</v>
      </c>
      <c r="M320" s="40">
        <v>769.15443918554854</v>
      </c>
      <c r="N320" s="52">
        <v>66.43742533520458</v>
      </c>
      <c r="O320" s="674">
        <v>1969.576623319995</v>
      </c>
      <c r="P320" s="40">
        <v>1969.59</v>
      </c>
      <c r="Q320" s="52">
        <v>1.3376680004967056E-2</v>
      </c>
      <c r="R320" s="674">
        <v>0</v>
      </c>
      <c r="S320" s="40">
        <v>0</v>
      </c>
      <c r="T320" s="52">
        <v>0</v>
      </c>
      <c r="U320" s="674">
        <v>0</v>
      </c>
      <c r="V320" s="40">
        <v>0</v>
      </c>
      <c r="W320" s="52">
        <v>0</v>
      </c>
      <c r="X320" s="674">
        <v>2731.1914339435548</v>
      </c>
      <c r="Y320" s="40">
        <v>1922.1803209164707</v>
      </c>
      <c r="Z320" s="52">
        <v>-809.01111302708409</v>
      </c>
      <c r="AA320" s="674">
        <v>174.33600000000001</v>
      </c>
      <c r="AB320" s="40">
        <v>0</v>
      </c>
      <c r="AC320" s="52">
        <v>-174.33600000000001</v>
      </c>
      <c r="AD320" s="674">
        <v>6228.897987527138</v>
      </c>
      <c r="AE320" s="40">
        <v>6172.5430922164996</v>
      </c>
      <c r="AF320" s="35">
        <v>-56.354895310638312</v>
      </c>
      <c r="AG320" s="77">
        <v>16331.97133935604</v>
      </c>
      <c r="AH320" s="53">
        <v>15790.013640977</v>
      </c>
      <c r="AI320" s="52">
        <v>-541.95769837903936</v>
      </c>
      <c r="AJ320" s="674">
        <v>0</v>
      </c>
      <c r="AK320" s="40">
        <v>0</v>
      </c>
      <c r="AL320" s="52">
        <v>0</v>
      </c>
      <c r="AM320" s="674">
        <v>0</v>
      </c>
      <c r="AN320" s="40">
        <v>0</v>
      </c>
      <c r="AO320" s="52">
        <v>0</v>
      </c>
      <c r="AP320" s="674">
        <v>4316.9615144171385</v>
      </c>
      <c r="AQ320" s="40">
        <v>3590.1159938392702</v>
      </c>
      <c r="AR320" s="52">
        <v>-726.84552057786823</v>
      </c>
      <c r="AS320" s="674">
        <v>14509.6854737952</v>
      </c>
      <c r="AT320" s="40">
        <v>5561</v>
      </c>
      <c r="AU320" s="54">
        <v>-8948.6854737951999</v>
      </c>
      <c r="AV320" s="674">
        <v>989.71656030432064</v>
      </c>
      <c r="AW320" s="40">
        <v>1060</v>
      </c>
      <c r="AX320" s="55">
        <v>70.283439695679363</v>
      </c>
      <c r="AY320" s="674">
        <v>1152.1761441372496</v>
      </c>
      <c r="AZ320" s="40">
        <v>0</v>
      </c>
      <c r="BA320" s="35">
        <v>-1152.1761441372496</v>
      </c>
      <c r="BB320" s="674">
        <v>928.07215624336072</v>
      </c>
      <c r="BC320" s="40">
        <v>0</v>
      </c>
      <c r="BD320" s="55">
        <v>-928.07215624336072</v>
      </c>
      <c r="BE320" s="674">
        <v>0</v>
      </c>
      <c r="BF320" s="40">
        <v>0</v>
      </c>
      <c r="BG320" s="38">
        <v>0</v>
      </c>
      <c r="BH320" s="674">
        <v>0</v>
      </c>
      <c r="BI320" s="40">
        <v>0</v>
      </c>
      <c r="BJ320" s="55">
        <v>0</v>
      </c>
      <c r="BK320" s="674">
        <v>522.03056588983156</v>
      </c>
      <c r="BL320" s="40">
        <v>442</v>
      </c>
      <c r="BM320" s="38">
        <v>-80.030565889831564</v>
      </c>
      <c r="BN320" s="674">
        <v>43.584000000000003</v>
      </c>
      <c r="BO320" s="40">
        <v>0</v>
      </c>
      <c r="BP320" s="55">
        <v>-43.584000000000003</v>
      </c>
      <c r="BQ320" s="77">
        <v>3635.5794265747627</v>
      </c>
      <c r="BR320" s="40">
        <v>1502</v>
      </c>
      <c r="BS320" s="55">
        <v>-2133.5794265747627</v>
      </c>
      <c r="BT320" s="674">
        <v>8554.8253422181297</v>
      </c>
      <c r="BU320" s="40">
        <v>11438.085844852818</v>
      </c>
      <c r="BV320" s="52">
        <v>2883.2605026346882</v>
      </c>
      <c r="BW320" s="674">
        <v>8665.9897274412851</v>
      </c>
      <c r="BX320" s="40">
        <v>8772.8626732974335</v>
      </c>
      <c r="BY320" s="52">
        <v>106.87294585614836</v>
      </c>
      <c r="BZ320" s="674">
        <v>4743.5528232861852</v>
      </c>
      <c r="CA320" s="40">
        <v>2642.1458960242135</v>
      </c>
      <c r="CB320" s="52">
        <v>-2101.4069272619718</v>
      </c>
      <c r="CC320" s="674">
        <v>1368.646862610947</v>
      </c>
      <c r="CD320" s="40">
        <v>1438.4766753123101</v>
      </c>
      <c r="CE320" s="52">
        <v>69.829812701363153</v>
      </c>
      <c r="CF320" s="674">
        <v>167.27692852117485</v>
      </c>
      <c r="CG320" s="40">
        <v>0</v>
      </c>
      <c r="CH320" s="52">
        <v>-167.27692852117485</v>
      </c>
      <c r="CI320" s="674">
        <v>3012.4700284433152</v>
      </c>
      <c r="CJ320" s="40">
        <v>3099.4090701621826</v>
      </c>
      <c r="CK320" s="52">
        <v>86.939041718867429</v>
      </c>
      <c r="CL320" s="674">
        <v>0</v>
      </c>
      <c r="CM320" s="40">
        <v>0</v>
      </c>
      <c r="CN320" s="52">
        <v>0</v>
      </c>
      <c r="CO320" s="39">
        <v>3012.4700284433152</v>
      </c>
      <c r="CP320" s="40">
        <v>3099.4090701621826</v>
      </c>
      <c r="CQ320" s="52">
        <v>86.939041718867429</v>
      </c>
      <c r="CR320" s="72">
        <v>65306.959466664179</v>
      </c>
      <c r="CS320" s="5">
        <v>53834.109794465236</v>
      </c>
      <c r="CT320" s="52">
        <v>-11472.849672198943</v>
      </c>
      <c r="CU320" s="77">
        <v>78368.351359997017</v>
      </c>
      <c r="CV320" s="65">
        <v>64600.93175335828</v>
      </c>
      <c r="CW320" s="35">
        <v>-13767.419606638738</v>
      </c>
      <c r="CX320" s="73">
        <v>1744.5959924698545</v>
      </c>
      <c r="CY320" s="40">
        <v>15512.015599108592</v>
      </c>
      <c r="CZ320" s="52">
        <v>13767.419606638738</v>
      </c>
      <c r="DA320" s="150">
        <v>-844.73761043426748</v>
      </c>
      <c r="DB320" s="2">
        <v>2</v>
      </c>
      <c r="DC320" s="675">
        <v>8938.17</v>
      </c>
      <c r="DD320" s="675">
        <v>0</v>
      </c>
      <c r="DE320" s="675">
        <v>1912.2090280155608</v>
      </c>
      <c r="DF320" s="675">
        <v>0</v>
      </c>
      <c r="DG320" s="321">
        <v>12922.681996204466</v>
      </c>
      <c r="DH320" s="40">
        <v>80106.887506688057</v>
      </c>
      <c r="DI320" s="422">
        <v>7025.9609719844393</v>
      </c>
      <c r="DJ320" s="306">
        <v>4.8361515500994212</v>
      </c>
      <c r="DK320" s="306">
        <v>4.8361515500994212</v>
      </c>
      <c r="DL320" s="306">
        <v>4.1680281540345065</v>
      </c>
      <c r="DM320" s="28">
        <v>7025.9609719844393</v>
      </c>
      <c r="DN320" s="28">
        <v>0</v>
      </c>
      <c r="DO320" s="423">
        <v>7025.9609719844393</v>
      </c>
      <c r="DP320" s="94">
        <v>0</v>
      </c>
      <c r="DQ320" s="28">
        <v>7025.9609719844393</v>
      </c>
      <c r="DR320" s="318"/>
      <c r="DT320" s="8"/>
      <c r="DU320" s="5"/>
      <c r="DX320" s="5">
        <v>21774.317880443956</v>
      </c>
      <c r="DY320" s="5">
        <v>8475.6</v>
      </c>
      <c r="DZ320" s="159">
        <v>1946.6111988979978</v>
      </c>
      <c r="EB320" s="676">
        <v>1214.1127553439437</v>
      </c>
      <c r="EC320" s="676">
        <v>-755.47072208424106</v>
      </c>
      <c r="ED320" s="676">
        <v>456.08418571269158</v>
      </c>
      <c r="EE320" s="676">
        <v>-3568.7760183826554</v>
      </c>
      <c r="EF320" s="676">
        <v>-2814.1130553412231</v>
      </c>
      <c r="EG320" s="676">
        <v>-3055.8777030046344</v>
      </c>
      <c r="EH320" s="676">
        <v>-724.80738161140107</v>
      </c>
      <c r="EI320" s="676">
        <v>2293.5555704573144</v>
      </c>
      <c r="EJ320" s="676">
        <v>-1168.3892628475742</v>
      </c>
      <c r="EK320" s="676">
        <v>-2210.2154646236395</v>
      </c>
      <c r="EL320" s="676">
        <v>-2494.6045032292332</v>
      </c>
      <c r="EM320" s="676">
        <v>-938.91800702808086</v>
      </c>
      <c r="EN320" s="676">
        <v>-13767.419606638734</v>
      </c>
      <c r="EQ320" s="5">
        <v>21774.317880443956</v>
      </c>
      <c r="ER320" s="5">
        <v>8475.6</v>
      </c>
      <c r="ET320" s="318">
        <v>-16675.495578379865</v>
      </c>
      <c r="EU320" s="5">
        <v>-9911.8224254156612</v>
      </c>
    </row>
    <row r="321" spans="1:151" x14ac:dyDescent="0.3">
      <c r="A321" s="325">
        <v>150000801</v>
      </c>
      <c r="B321" s="41" t="s">
        <v>767</v>
      </c>
      <c r="C321" s="42" t="s">
        <v>295</v>
      </c>
      <c r="D321" s="27">
        <v>5</v>
      </c>
      <c r="E321" s="293">
        <v>4212.1099999999997</v>
      </c>
      <c r="F321" s="305">
        <v>3766.2</v>
      </c>
      <c r="G321" s="508">
        <v>0</v>
      </c>
      <c r="H321" s="677">
        <v>445.91</v>
      </c>
      <c r="I321" s="674">
        <v>14132.665740914023</v>
      </c>
      <c r="J321" s="40">
        <v>15481.287794566775</v>
      </c>
      <c r="K321" s="52">
        <v>1348.6220536527526</v>
      </c>
      <c r="L321" s="674">
        <v>2802.2223515870078</v>
      </c>
      <c r="M321" s="40">
        <v>3067.1392613263938</v>
      </c>
      <c r="N321" s="52">
        <v>264.91690973938603</v>
      </c>
      <c r="O321" s="674">
        <v>5253.108957130501</v>
      </c>
      <c r="P321" s="40">
        <v>5253.0900000000011</v>
      </c>
      <c r="Q321" s="52">
        <v>-1.8957130499984487E-2</v>
      </c>
      <c r="R321" s="674">
        <v>0</v>
      </c>
      <c r="S321" s="40">
        <v>0</v>
      </c>
      <c r="T321" s="52">
        <v>0</v>
      </c>
      <c r="U321" s="674">
        <v>0</v>
      </c>
      <c r="V321" s="40">
        <v>0</v>
      </c>
      <c r="W321" s="52">
        <v>0</v>
      </c>
      <c r="X321" s="674">
        <v>9551.1050224380724</v>
      </c>
      <c r="Y321" s="40">
        <v>7421.5886811342425</v>
      </c>
      <c r="Z321" s="52">
        <v>-2129.5163413038299</v>
      </c>
      <c r="AA321" s="674">
        <v>506.68920000000003</v>
      </c>
      <c r="AB321" s="40">
        <v>0</v>
      </c>
      <c r="AC321" s="52">
        <v>-506.68920000000003</v>
      </c>
      <c r="AD321" s="674">
        <v>18046.746773483428</v>
      </c>
      <c r="AE321" s="40">
        <v>17895.637465003376</v>
      </c>
      <c r="AF321" s="35">
        <v>-151.10930848005228</v>
      </c>
      <c r="AG321" s="77">
        <v>50292.538045553032</v>
      </c>
      <c r="AH321" s="53">
        <v>49118.74320203079</v>
      </c>
      <c r="AI321" s="52">
        <v>-1173.7948435222424</v>
      </c>
      <c r="AJ321" s="674">
        <v>0</v>
      </c>
      <c r="AK321" s="40">
        <v>0</v>
      </c>
      <c r="AL321" s="52">
        <v>0</v>
      </c>
      <c r="AM321" s="674">
        <v>0</v>
      </c>
      <c r="AN321" s="40">
        <v>0</v>
      </c>
      <c r="AO321" s="52">
        <v>0</v>
      </c>
      <c r="AP321" s="674">
        <v>12141.454259298207</v>
      </c>
      <c r="AQ321" s="40">
        <v>10097.201232672949</v>
      </c>
      <c r="AR321" s="52">
        <v>-2044.2530266252579</v>
      </c>
      <c r="AS321" s="674">
        <v>45853.71950457256</v>
      </c>
      <c r="AT321" s="40">
        <v>147398.5820936423</v>
      </c>
      <c r="AU321" s="54">
        <v>101544.86258906973</v>
      </c>
      <c r="AV321" s="674">
        <v>3139.085681537485</v>
      </c>
      <c r="AW321" s="40">
        <v>2905</v>
      </c>
      <c r="AX321" s="55">
        <v>-234.08568153748502</v>
      </c>
      <c r="AY321" s="674">
        <v>4593.7340775387529</v>
      </c>
      <c r="AZ321" s="40">
        <v>0</v>
      </c>
      <c r="BA321" s="35">
        <v>-4593.7340775387529</v>
      </c>
      <c r="BB321" s="674">
        <v>2599.7541740145543</v>
      </c>
      <c r="BC321" s="40">
        <v>0</v>
      </c>
      <c r="BD321" s="55">
        <v>-2599.7541740145543</v>
      </c>
      <c r="BE321" s="674">
        <v>0</v>
      </c>
      <c r="BF321" s="40">
        <v>0</v>
      </c>
      <c r="BG321" s="38">
        <v>0</v>
      </c>
      <c r="BH321" s="674">
        <v>0</v>
      </c>
      <c r="BI321" s="40">
        <v>0</v>
      </c>
      <c r="BJ321" s="55">
        <v>0</v>
      </c>
      <c r="BK321" s="674">
        <v>2349.3397535124295</v>
      </c>
      <c r="BL321" s="40">
        <v>1727</v>
      </c>
      <c r="BM321" s="38">
        <v>-622.33975351242952</v>
      </c>
      <c r="BN321" s="674">
        <v>126.67230000000001</v>
      </c>
      <c r="BO321" s="40">
        <v>1787</v>
      </c>
      <c r="BP321" s="55">
        <v>1660.3277</v>
      </c>
      <c r="BQ321" s="77">
        <v>12808.585986603222</v>
      </c>
      <c r="BR321" s="40">
        <v>6419</v>
      </c>
      <c r="BS321" s="55">
        <v>-6389.5859866032224</v>
      </c>
      <c r="BT321" s="674">
        <v>29706.357288121268</v>
      </c>
      <c r="BU321" s="40">
        <v>34400.95152654827</v>
      </c>
      <c r="BV321" s="52">
        <v>4694.594238427002</v>
      </c>
      <c r="BW321" s="674">
        <v>19371.31443858843</v>
      </c>
      <c r="BX321" s="40">
        <v>17794.025327762192</v>
      </c>
      <c r="BY321" s="52">
        <v>-1577.2891108262374</v>
      </c>
      <c r="BZ321" s="674">
        <v>13413.707515849424</v>
      </c>
      <c r="CA321" s="40">
        <v>8565.2875502081188</v>
      </c>
      <c r="CB321" s="52">
        <v>-4848.4199656413057</v>
      </c>
      <c r="CC321" s="674">
        <v>730.03762600587993</v>
      </c>
      <c r="CD321" s="40">
        <v>767.28491899399774</v>
      </c>
      <c r="CE321" s="52">
        <v>37.247292988117806</v>
      </c>
      <c r="CF321" s="674">
        <v>89.22568349748758</v>
      </c>
      <c r="CG321" s="40">
        <v>0</v>
      </c>
      <c r="CH321" s="52">
        <v>-89.22568349748758</v>
      </c>
      <c r="CI321" s="674">
        <v>4069.5379420024901</v>
      </c>
      <c r="CJ321" s="40">
        <v>4830.8068275739852</v>
      </c>
      <c r="CK321" s="52">
        <v>761.26888557149505</v>
      </c>
      <c r="CL321" s="674">
        <v>0</v>
      </c>
      <c r="CM321" s="40">
        <v>0</v>
      </c>
      <c r="CN321" s="52">
        <v>0</v>
      </c>
      <c r="CO321" s="39">
        <v>4069.5379420024901</v>
      </c>
      <c r="CP321" s="40">
        <v>4830.8068275739852</v>
      </c>
      <c r="CQ321" s="52">
        <v>761.26888557149505</v>
      </c>
      <c r="CR321" s="72">
        <v>188476.47829009203</v>
      </c>
      <c r="CS321" s="5">
        <v>279391.88267943257</v>
      </c>
      <c r="CT321" s="52">
        <v>90915.404389340547</v>
      </c>
      <c r="CU321" s="77">
        <v>226171.77394811044</v>
      </c>
      <c r="CV321" s="65">
        <v>335270.25921531906</v>
      </c>
      <c r="CW321" s="35">
        <v>109098.48526720863</v>
      </c>
      <c r="CX321" s="73">
        <v>2315.8931216191463</v>
      </c>
      <c r="CY321" s="40">
        <v>-106782.59214558954</v>
      </c>
      <c r="CZ321" s="52">
        <v>-109098.48526720869</v>
      </c>
      <c r="DA321" s="150">
        <v>77819.925730482297</v>
      </c>
      <c r="DB321" s="2">
        <v>2</v>
      </c>
      <c r="DC321" s="675">
        <v>48420.13</v>
      </c>
      <c r="DD321" s="675">
        <v>11290.210000000001</v>
      </c>
      <c r="DE321" s="675">
        <v>30287.678652788916</v>
      </c>
      <c r="DF321" s="675">
        <v>9396.6534176796449</v>
      </c>
      <c r="DG321" s="321">
        <v>-31278.559536726407</v>
      </c>
      <c r="DH321" s="40">
        <v>228470.34352121671</v>
      </c>
      <c r="DI321" s="422">
        <v>20026.007929531435</v>
      </c>
      <c r="DJ321" s="306">
        <v>4.8145216258326915</v>
      </c>
      <c r="DK321" s="306">
        <v>4.8145216258326915</v>
      </c>
      <c r="DL321" s="306">
        <v>4.2464994781914625</v>
      </c>
      <c r="DM321" s="28">
        <v>18132.451347211081</v>
      </c>
      <c r="DN321" s="28">
        <v>1893.5565823203551</v>
      </c>
      <c r="DO321" s="423">
        <v>20026.007929531435</v>
      </c>
      <c r="DP321" s="94">
        <v>0</v>
      </c>
      <c r="DQ321" s="28">
        <v>20026.007929531435</v>
      </c>
      <c r="DR321" s="318"/>
      <c r="DT321" s="8"/>
      <c r="DU321" s="5"/>
      <c r="DX321" s="5">
        <v>70394.766589410938</v>
      </c>
      <c r="DY321" s="5">
        <v>184581.09851237075</v>
      </c>
      <c r="DZ321" s="159">
        <v>6340.2909340228734</v>
      </c>
      <c r="EB321" s="676">
        <v>3431.211599920096</v>
      </c>
      <c r="EC321" s="676">
        <v>-3298.7536169335635</v>
      </c>
      <c r="ED321" s="676">
        <v>-3879.3316449640479</v>
      </c>
      <c r="EE321" s="676">
        <v>-8147.5408253156893</v>
      </c>
      <c r="EF321" s="676">
        <v>-10694.923066050009</v>
      </c>
      <c r="EG321" s="676">
        <v>-2651.2928822260801</v>
      </c>
      <c r="EH321" s="676">
        <v>106.65373528340933</v>
      </c>
      <c r="EI321" s="676">
        <v>-7986.7017952190272</v>
      </c>
      <c r="EJ321" s="676">
        <v>428.08274054670983</v>
      </c>
      <c r="EK321" s="676">
        <v>68332.94176271779</v>
      </c>
      <c r="EL321" s="676">
        <v>-6193.2136229680473</v>
      </c>
      <c r="EM321" s="676">
        <v>79651.352882417152</v>
      </c>
      <c r="EN321" s="676">
        <v>109098.4852672087</v>
      </c>
      <c r="EQ321" s="5">
        <v>70394.766589410938</v>
      </c>
      <c r="ER321" s="5">
        <v>184581.09851237075</v>
      </c>
      <c r="ET321" s="318">
        <v>76730.574668500791</v>
      </c>
      <c r="EU321" s="5">
        <v>-36359.134205227187</v>
      </c>
    </row>
    <row r="322" spans="1:151" x14ac:dyDescent="0.3">
      <c r="A322" s="325">
        <v>150000802</v>
      </c>
      <c r="B322" s="41" t="s">
        <v>768</v>
      </c>
      <c r="C322" s="42" t="s">
        <v>296</v>
      </c>
      <c r="D322" s="27">
        <v>5</v>
      </c>
      <c r="E322" s="293">
        <v>3203.6</v>
      </c>
      <c r="F322" s="305">
        <v>3203.6</v>
      </c>
      <c r="G322" s="508">
        <v>0</v>
      </c>
      <c r="H322" s="677">
        <v>0</v>
      </c>
      <c r="I322" s="674">
        <v>11673.944398586569</v>
      </c>
      <c r="J322" s="40">
        <v>12755.768342813986</v>
      </c>
      <c r="K322" s="52">
        <v>1081.8239442274171</v>
      </c>
      <c r="L322" s="674">
        <v>2244.0849092590597</v>
      </c>
      <c r="M322" s="40">
        <v>2456.2340757872512</v>
      </c>
      <c r="N322" s="52">
        <v>212.14916652819147</v>
      </c>
      <c r="O322" s="674">
        <v>3950.2099307798762</v>
      </c>
      <c r="P322" s="40">
        <v>3950.2200000000012</v>
      </c>
      <c r="Q322" s="52">
        <v>1.0069220124933054E-2</v>
      </c>
      <c r="R322" s="674">
        <v>0</v>
      </c>
      <c r="S322" s="40">
        <v>0</v>
      </c>
      <c r="T322" s="52">
        <v>0</v>
      </c>
      <c r="U322" s="674">
        <v>0</v>
      </c>
      <c r="V322" s="40">
        <v>0</v>
      </c>
      <c r="W322" s="52">
        <v>0</v>
      </c>
      <c r="X322" s="674">
        <v>6848.5651537349122</v>
      </c>
      <c r="Y322" s="40">
        <v>5181.7916599276496</v>
      </c>
      <c r="Z322" s="52">
        <v>-1666.7734938072626</v>
      </c>
      <c r="AA322" s="674">
        <v>384.58799999999997</v>
      </c>
      <c r="AB322" s="40">
        <v>0</v>
      </c>
      <c r="AC322" s="52">
        <v>-384.58799999999997</v>
      </c>
      <c r="AD322" s="674">
        <v>13736.853080011046</v>
      </c>
      <c r="AE322" s="40">
        <v>13611.205293381592</v>
      </c>
      <c r="AF322" s="35">
        <v>-125.64778662945355</v>
      </c>
      <c r="AG322" s="77">
        <v>38838.245472371462</v>
      </c>
      <c r="AH322" s="53">
        <v>37955.219371910483</v>
      </c>
      <c r="AI322" s="52">
        <v>-883.02610046097834</v>
      </c>
      <c r="AJ322" s="674">
        <v>0</v>
      </c>
      <c r="AK322" s="40">
        <v>0</v>
      </c>
      <c r="AL322" s="52">
        <v>0</v>
      </c>
      <c r="AM322" s="674">
        <v>0</v>
      </c>
      <c r="AN322" s="40">
        <v>0</v>
      </c>
      <c r="AO322" s="52">
        <v>0</v>
      </c>
      <c r="AP322" s="674">
        <v>10792.403786042851</v>
      </c>
      <c r="AQ322" s="40">
        <v>8934.2871209209534</v>
      </c>
      <c r="AR322" s="52">
        <v>-1858.1166651218973</v>
      </c>
      <c r="AS322" s="674">
        <v>34424.80284148272</v>
      </c>
      <c r="AT322" s="40">
        <v>13351</v>
      </c>
      <c r="AU322" s="54">
        <v>-21073.80284148272</v>
      </c>
      <c r="AV322" s="674">
        <v>2552.3761018427799</v>
      </c>
      <c r="AW322" s="40">
        <v>4022</v>
      </c>
      <c r="AX322" s="55">
        <v>1469.6238981572201</v>
      </c>
      <c r="AY322" s="674">
        <v>3678.6362157662265</v>
      </c>
      <c r="AZ322" s="40">
        <v>0</v>
      </c>
      <c r="BA322" s="35">
        <v>-3678.6362157662265</v>
      </c>
      <c r="BB322" s="674">
        <v>2235.3197385536187</v>
      </c>
      <c r="BC322" s="40">
        <v>245</v>
      </c>
      <c r="BD322" s="55">
        <v>-1990.3197385536187</v>
      </c>
      <c r="BE322" s="674">
        <v>0</v>
      </c>
      <c r="BF322" s="40">
        <v>0</v>
      </c>
      <c r="BG322" s="38">
        <v>0</v>
      </c>
      <c r="BH322" s="674">
        <v>0</v>
      </c>
      <c r="BI322" s="40">
        <v>0</v>
      </c>
      <c r="BJ322" s="55">
        <v>0</v>
      </c>
      <c r="BK322" s="674">
        <v>1631.0547372257222</v>
      </c>
      <c r="BL322" s="40">
        <v>711</v>
      </c>
      <c r="BM322" s="38">
        <v>-920.05473722572219</v>
      </c>
      <c r="BN322" s="674">
        <v>96.146999999999991</v>
      </c>
      <c r="BO322" s="40">
        <v>0</v>
      </c>
      <c r="BP322" s="55">
        <v>-96.146999999999991</v>
      </c>
      <c r="BQ322" s="77">
        <v>10193.533793388347</v>
      </c>
      <c r="BR322" s="40">
        <v>4978</v>
      </c>
      <c r="BS322" s="55">
        <v>-5215.5337933883475</v>
      </c>
      <c r="BT322" s="674">
        <v>29921.197163978599</v>
      </c>
      <c r="BU322" s="40">
        <v>34821.666049074796</v>
      </c>
      <c r="BV322" s="52">
        <v>4900.4688850961975</v>
      </c>
      <c r="BW322" s="674">
        <v>15870.549599651036</v>
      </c>
      <c r="BX322" s="40">
        <v>13386.253941180854</v>
      </c>
      <c r="BY322" s="52">
        <v>-2484.2956584701824</v>
      </c>
      <c r="BZ322" s="674">
        <v>10237.417971754974</v>
      </c>
      <c r="CA322" s="40">
        <v>7944.5449106961441</v>
      </c>
      <c r="CB322" s="52">
        <v>-2292.87306105883</v>
      </c>
      <c r="CC322" s="674">
        <v>1964.7377296770342</v>
      </c>
      <c r="CD322" s="40">
        <v>2064.9807298391943</v>
      </c>
      <c r="CE322" s="52">
        <v>100.24300016216011</v>
      </c>
      <c r="CF322" s="674">
        <v>240.13155018166623</v>
      </c>
      <c r="CG322" s="40">
        <v>0</v>
      </c>
      <c r="CH322" s="52">
        <v>-240.13155018166623</v>
      </c>
      <c r="CI322" s="674">
        <v>2956.0115824341165</v>
      </c>
      <c r="CJ322" s="40">
        <v>2953.3910599009523</v>
      </c>
      <c r="CK322" s="52">
        <v>-2.6205225331641486</v>
      </c>
      <c r="CL322" s="674">
        <v>0</v>
      </c>
      <c r="CM322" s="40">
        <v>0</v>
      </c>
      <c r="CN322" s="52">
        <v>0</v>
      </c>
      <c r="CO322" s="39">
        <v>2956.0115824341165</v>
      </c>
      <c r="CP322" s="40">
        <v>2953.3910599009523</v>
      </c>
      <c r="CQ322" s="52">
        <v>-2.6205225331641486</v>
      </c>
      <c r="CR322" s="72">
        <v>155439.03149096278</v>
      </c>
      <c r="CS322" s="5">
        <v>126389.34318352339</v>
      </c>
      <c r="CT322" s="52">
        <v>-29049.688307439385</v>
      </c>
      <c r="CU322" s="77">
        <v>186526.83778915534</v>
      </c>
      <c r="CV322" s="65">
        <v>151667.21182022805</v>
      </c>
      <c r="CW322" s="35">
        <v>-34859.625968927285</v>
      </c>
      <c r="CX322" s="73">
        <v>1899.0716836759129</v>
      </c>
      <c r="CY322" s="40">
        <v>36758.697652603223</v>
      </c>
      <c r="CZ322" s="52">
        <v>34859.625968927314</v>
      </c>
      <c r="DA322" s="150">
        <v>-7241.0869742869363</v>
      </c>
      <c r="DB322" s="2">
        <v>2</v>
      </c>
      <c r="DC322" s="675">
        <v>31020.39</v>
      </c>
      <c r="DD322" s="675">
        <v>0</v>
      </c>
      <c r="DE322" s="675">
        <v>14480.70759468773</v>
      </c>
      <c r="DF322" s="675">
        <v>0</v>
      </c>
      <c r="DG322" s="321">
        <v>27618.538994640363</v>
      </c>
      <c r="DH322" s="40">
        <v>188411.70386889629</v>
      </c>
      <c r="DI322" s="422">
        <v>16539.682405312273</v>
      </c>
      <c r="DJ322" s="306">
        <v>5.1628425537870744</v>
      </c>
      <c r="DK322" s="306">
        <v>5.1628425537870744</v>
      </c>
      <c r="DL322" s="306">
        <v>4.6165674077947267</v>
      </c>
      <c r="DM322" s="28">
        <v>16539.682405312269</v>
      </c>
      <c r="DN322" s="28">
        <v>0</v>
      </c>
      <c r="DO322" s="423">
        <v>16539.682405312269</v>
      </c>
      <c r="DP322" s="94">
        <v>0</v>
      </c>
      <c r="DQ322" s="28">
        <v>16539.682405312269</v>
      </c>
      <c r="DR322" s="318"/>
      <c r="DT322" s="8"/>
      <c r="DU322" s="5"/>
      <c r="DX322" s="5">
        <v>53542.003961845279</v>
      </c>
      <c r="DY322" s="5">
        <v>21994.799999999999</v>
      </c>
      <c r="DZ322" s="159">
        <v>4851.5609324248608</v>
      </c>
      <c r="EB322" s="676">
        <v>-2147.1947247845128</v>
      </c>
      <c r="EC322" s="676">
        <v>-2233.4430528286211</v>
      </c>
      <c r="ED322" s="676">
        <v>2649.6092537543282</v>
      </c>
      <c r="EE322" s="676">
        <v>-6126.437161739821</v>
      </c>
      <c r="EF322" s="676">
        <v>-6609.3341911908392</v>
      </c>
      <c r="EG322" s="676">
        <v>-7255.8821013477973</v>
      </c>
      <c r="EH322" s="676">
        <v>-3149.658546987177</v>
      </c>
      <c r="EI322" s="676">
        <v>-5608.3846497215836</v>
      </c>
      <c r="EJ322" s="676">
        <v>3223.062135198903</v>
      </c>
      <c r="EK322" s="676">
        <v>-3845.2451547395885</v>
      </c>
      <c r="EL322" s="676">
        <v>-68.943906261396478</v>
      </c>
      <c r="EM322" s="676">
        <v>-3687.7738682791933</v>
      </c>
      <c r="EN322" s="676">
        <v>-34859.625968927299</v>
      </c>
      <c r="EQ322" s="5">
        <v>53542.003961845279</v>
      </c>
      <c r="ER322" s="5">
        <v>21994.799999999999</v>
      </c>
      <c r="ET322" s="318">
        <v>28549.694053223597</v>
      </c>
      <c r="EU322" s="5">
        <v>-25226.155058583237</v>
      </c>
    </row>
    <row r="323" spans="1:151" x14ac:dyDescent="0.3">
      <c r="A323" s="325">
        <v>150000803</v>
      </c>
      <c r="B323" s="41" t="s">
        <v>769</v>
      </c>
      <c r="C323" s="42" t="s">
        <v>228</v>
      </c>
      <c r="D323" s="27">
        <v>4</v>
      </c>
      <c r="E323" s="293">
        <v>1607.2</v>
      </c>
      <c r="F323" s="305">
        <v>1311.9</v>
      </c>
      <c r="G323" s="508">
        <v>0</v>
      </c>
      <c r="H323" s="677">
        <v>295.3</v>
      </c>
      <c r="I323" s="674">
        <v>4828.3658054800553</v>
      </c>
      <c r="J323" s="40">
        <v>5306.3460528043224</v>
      </c>
      <c r="K323" s="52">
        <v>477.98024732426711</v>
      </c>
      <c r="L323" s="674">
        <v>874.50441336621134</v>
      </c>
      <c r="M323" s="40">
        <v>957.17387296471645</v>
      </c>
      <c r="N323" s="52">
        <v>82.669459598505114</v>
      </c>
      <c r="O323" s="674">
        <v>2198.0284116573248</v>
      </c>
      <c r="P323" s="40">
        <v>2198.0399999999995</v>
      </c>
      <c r="Q323" s="52">
        <v>1.1588342674713203E-2</v>
      </c>
      <c r="R323" s="674">
        <v>0</v>
      </c>
      <c r="S323" s="40">
        <v>0</v>
      </c>
      <c r="T323" s="52">
        <v>0</v>
      </c>
      <c r="U323" s="674">
        <v>0</v>
      </c>
      <c r="V323" s="40">
        <v>0</v>
      </c>
      <c r="W323" s="52">
        <v>0</v>
      </c>
      <c r="X323" s="674">
        <v>2594.0097535692003</v>
      </c>
      <c r="Y323" s="40">
        <v>2144.338386810367</v>
      </c>
      <c r="Z323" s="52">
        <v>-449.6713667588333</v>
      </c>
      <c r="AA323" s="674">
        <v>195.94800000000001</v>
      </c>
      <c r="AB323" s="40">
        <v>0</v>
      </c>
      <c r="AC323" s="52">
        <v>-195.94800000000001</v>
      </c>
      <c r="AD323" s="674">
        <v>6902.1731479507607</v>
      </c>
      <c r="AE323" s="40">
        <v>6763.4732928639096</v>
      </c>
      <c r="AF323" s="35">
        <v>-138.69985508685113</v>
      </c>
      <c r="AG323" s="77">
        <v>17593.029532023553</v>
      </c>
      <c r="AH323" s="53">
        <v>17369.371605443317</v>
      </c>
      <c r="AI323" s="52">
        <v>-223.65792658023565</v>
      </c>
      <c r="AJ323" s="674">
        <v>0</v>
      </c>
      <c r="AK323" s="40">
        <v>0</v>
      </c>
      <c r="AL323" s="52">
        <v>0</v>
      </c>
      <c r="AM323" s="674">
        <v>0</v>
      </c>
      <c r="AN323" s="40">
        <v>0</v>
      </c>
      <c r="AO323" s="52">
        <v>0</v>
      </c>
      <c r="AP323" s="674">
        <v>3642.4362777894617</v>
      </c>
      <c r="AQ323" s="40">
        <v>2960.2929161669117</v>
      </c>
      <c r="AR323" s="52">
        <v>-682.14336162254995</v>
      </c>
      <c r="AS323" s="674">
        <v>12852.500863842406</v>
      </c>
      <c r="AT323" s="40">
        <v>542</v>
      </c>
      <c r="AU323" s="54">
        <v>-12310.500863842406</v>
      </c>
      <c r="AV323" s="674">
        <v>1099.710107492891</v>
      </c>
      <c r="AW323" s="40">
        <v>963</v>
      </c>
      <c r="AX323" s="55">
        <v>-136.71010749289098</v>
      </c>
      <c r="AY323" s="674">
        <v>1433.549124114752</v>
      </c>
      <c r="AZ323" s="40">
        <v>0</v>
      </c>
      <c r="BA323" s="35">
        <v>-1433.549124114752</v>
      </c>
      <c r="BB323" s="674">
        <v>877.19602764707327</v>
      </c>
      <c r="BC323" s="40">
        <v>0</v>
      </c>
      <c r="BD323" s="55">
        <v>-877.19602764707327</v>
      </c>
      <c r="BE323" s="674">
        <v>0</v>
      </c>
      <c r="BF323" s="40">
        <v>0</v>
      </c>
      <c r="BG323" s="38">
        <v>0</v>
      </c>
      <c r="BH323" s="674">
        <v>0</v>
      </c>
      <c r="BI323" s="40">
        <v>0</v>
      </c>
      <c r="BJ323" s="55">
        <v>0</v>
      </c>
      <c r="BK323" s="674">
        <v>475.02772385431382</v>
      </c>
      <c r="BL323" s="40">
        <v>3128</v>
      </c>
      <c r="BM323" s="38">
        <v>2652.972276145686</v>
      </c>
      <c r="BN323" s="674">
        <v>48.987000000000002</v>
      </c>
      <c r="BO323" s="40">
        <v>0</v>
      </c>
      <c r="BP323" s="55">
        <v>-48.987000000000002</v>
      </c>
      <c r="BQ323" s="77">
        <v>3934.4699831090302</v>
      </c>
      <c r="BR323" s="40">
        <v>4091</v>
      </c>
      <c r="BS323" s="55">
        <v>156.53001689096982</v>
      </c>
      <c r="BT323" s="674">
        <v>4867.4961102889829</v>
      </c>
      <c r="BU323" s="40">
        <v>6104.0577289482644</v>
      </c>
      <c r="BV323" s="52">
        <v>1236.5616186592815</v>
      </c>
      <c r="BW323" s="674">
        <v>10163.688798395609</v>
      </c>
      <c r="BX323" s="40">
        <v>9177.1852912813883</v>
      </c>
      <c r="BY323" s="52">
        <v>-986.50350711422107</v>
      </c>
      <c r="BZ323" s="674">
        <v>3148.6143518575286</v>
      </c>
      <c r="CA323" s="40">
        <v>1663.3344647218137</v>
      </c>
      <c r="CB323" s="52">
        <v>-1485.2798871357149</v>
      </c>
      <c r="CC323" s="674">
        <v>1388.6555070998784</v>
      </c>
      <c r="CD323" s="40">
        <v>1459.5061820376879</v>
      </c>
      <c r="CE323" s="52">
        <v>70.850674937809572</v>
      </c>
      <c r="CF323" s="674">
        <v>169.72239833914932</v>
      </c>
      <c r="CG323" s="40">
        <v>0</v>
      </c>
      <c r="CH323" s="52">
        <v>-169.72239833914932</v>
      </c>
      <c r="CI323" s="674">
        <v>893.34647473023472</v>
      </c>
      <c r="CJ323" s="40">
        <v>1024.2513370098316</v>
      </c>
      <c r="CK323" s="52">
        <v>130.90486227959684</v>
      </c>
      <c r="CL323" s="674">
        <v>0</v>
      </c>
      <c r="CM323" s="40">
        <v>0</v>
      </c>
      <c r="CN323" s="52">
        <v>0</v>
      </c>
      <c r="CO323" s="39">
        <v>893.34647473023472</v>
      </c>
      <c r="CP323" s="40">
        <v>1024.2513370098316</v>
      </c>
      <c r="CQ323" s="52">
        <v>130.90486227959684</v>
      </c>
      <c r="CR323" s="72">
        <v>58653.960297475845</v>
      </c>
      <c r="CS323" s="5">
        <v>44390.999525609215</v>
      </c>
      <c r="CT323" s="52">
        <v>-14262.96077186663</v>
      </c>
      <c r="CU323" s="77">
        <v>70384.752356971017</v>
      </c>
      <c r="CV323" s="65">
        <v>53269.19943073106</v>
      </c>
      <c r="CW323" s="35">
        <v>-17115.552926239958</v>
      </c>
      <c r="CX323" s="73">
        <v>2140.2352058276333</v>
      </c>
      <c r="CY323" s="40">
        <v>19255.788132067573</v>
      </c>
      <c r="CZ323" s="52">
        <v>17115.55292623994</v>
      </c>
      <c r="DA323" s="150">
        <v>53974.275329544442</v>
      </c>
      <c r="DB323" s="2">
        <v>2</v>
      </c>
      <c r="DC323" s="675">
        <v>25701.98</v>
      </c>
      <c r="DD323" s="675">
        <v>-499.6099999999999</v>
      </c>
      <c r="DE323" s="675">
        <v>20340.120080612549</v>
      </c>
      <c r="DF323" s="675">
        <v>-1448.1032015455062</v>
      </c>
      <c r="DG323" s="321">
        <v>71089.828255784378</v>
      </c>
      <c r="DH323" s="40">
        <v>72519.339677689801</v>
      </c>
      <c r="DI323" s="422">
        <v>6310.3531209329558</v>
      </c>
      <c r="DJ323" s="306">
        <v>4.0870949915294226</v>
      </c>
      <c r="DK323" s="306">
        <v>4.0870949915294226</v>
      </c>
      <c r="DL323" s="306">
        <v>3.2119647868117376</v>
      </c>
      <c r="DM323" s="28">
        <v>5361.8599193874497</v>
      </c>
      <c r="DN323" s="28">
        <v>948.49320154550617</v>
      </c>
      <c r="DO323" s="423">
        <v>6310.3531209329558</v>
      </c>
      <c r="DP323" s="94">
        <v>0</v>
      </c>
      <c r="DQ323" s="28">
        <v>6310.3531209329558</v>
      </c>
      <c r="DR323" s="318"/>
      <c r="DT323" s="8"/>
      <c r="DU323" s="5"/>
      <c r="DX323" s="5">
        <v>20144.365016341722</v>
      </c>
      <c r="DY323" s="5">
        <v>5559.5999999999995</v>
      </c>
      <c r="DZ323" s="159">
        <v>1719.9755912815019</v>
      </c>
      <c r="EB323" s="676">
        <v>-648.23981636920144</v>
      </c>
      <c r="EC323" s="676">
        <v>1924.0531458661253</v>
      </c>
      <c r="ED323" s="676">
        <v>-1434.0818102692533</v>
      </c>
      <c r="EE323" s="676">
        <v>-2967.9628457340864</v>
      </c>
      <c r="EF323" s="676">
        <v>-3653.6804287354585</v>
      </c>
      <c r="EG323" s="676">
        <v>-2660.185693226721</v>
      </c>
      <c r="EH323" s="676">
        <v>-1490.6131962989848</v>
      </c>
      <c r="EI323" s="676">
        <v>-679.78748293007811</v>
      </c>
      <c r="EJ323" s="676">
        <v>-2214.9434544306559</v>
      </c>
      <c r="EK323" s="676">
        <v>-1168.7159909957709</v>
      </c>
      <c r="EL323" s="676">
        <v>-181.5286933305706</v>
      </c>
      <c r="EM323" s="676">
        <v>-1939.866659785278</v>
      </c>
      <c r="EN323" s="676">
        <v>-17115.552926239932</v>
      </c>
      <c r="EQ323" s="5">
        <v>20144.365016341722</v>
      </c>
      <c r="ER323" s="5">
        <v>5559.5999999999995</v>
      </c>
      <c r="ET323" s="318">
        <v>-15121.325936764824</v>
      </c>
      <c r="EU323" s="5">
        <v>94091.15419254922</v>
      </c>
    </row>
    <row r="324" spans="1:151" x14ac:dyDescent="0.3">
      <c r="A324" s="325">
        <v>150000805</v>
      </c>
      <c r="B324" s="41" t="s">
        <v>770</v>
      </c>
      <c r="C324" s="42" t="s">
        <v>297</v>
      </c>
      <c r="D324" s="27">
        <v>5</v>
      </c>
      <c r="E324" s="293">
        <v>3709.9399999999996</v>
      </c>
      <c r="F324" s="305">
        <v>2920.74</v>
      </c>
      <c r="G324" s="508">
        <v>0</v>
      </c>
      <c r="H324" s="677">
        <v>789.2</v>
      </c>
      <c r="I324" s="674">
        <v>11174.857533770801</v>
      </c>
      <c r="J324" s="40">
        <v>10635.613055619962</v>
      </c>
      <c r="K324" s="52">
        <v>-539.2444781508384</v>
      </c>
      <c r="L324" s="674">
        <v>2258.3271615076637</v>
      </c>
      <c r="M324" s="40">
        <v>2158.2012810365181</v>
      </c>
      <c r="N324" s="52">
        <v>-100.12588047114559</v>
      </c>
      <c r="O324" s="674">
        <v>4923.5438181837499</v>
      </c>
      <c r="P324" s="40">
        <v>4923.585</v>
      </c>
      <c r="Q324" s="52">
        <v>4.1181816250173142E-2</v>
      </c>
      <c r="R324" s="674">
        <v>0</v>
      </c>
      <c r="S324" s="40">
        <v>0</v>
      </c>
      <c r="T324" s="52">
        <v>0</v>
      </c>
      <c r="U324" s="674">
        <v>0</v>
      </c>
      <c r="V324" s="40">
        <v>0</v>
      </c>
      <c r="W324" s="52">
        <v>0</v>
      </c>
      <c r="X324" s="674">
        <v>7341.5671265417877</v>
      </c>
      <c r="Y324" s="40">
        <v>5706.1932059205674</v>
      </c>
      <c r="Z324" s="52">
        <v>-1635.3739206212203</v>
      </c>
      <c r="AA324" s="674">
        <v>432.84479999999996</v>
      </c>
      <c r="AB324" s="40">
        <v>0</v>
      </c>
      <c r="AC324" s="52">
        <v>-432.84479999999996</v>
      </c>
      <c r="AD324" s="674">
        <v>15754.320207041896</v>
      </c>
      <c r="AE324" s="40">
        <v>15762.50311091525</v>
      </c>
      <c r="AF324" s="35">
        <v>8.1829038733540074</v>
      </c>
      <c r="AG324" s="77">
        <v>41885.460647045897</v>
      </c>
      <c r="AH324" s="53">
        <v>39186.095653492295</v>
      </c>
      <c r="AI324" s="52">
        <v>-2699.3649935536014</v>
      </c>
      <c r="AJ324" s="674">
        <v>0</v>
      </c>
      <c r="AK324" s="40">
        <v>0</v>
      </c>
      <c r="AL324" s="52">
        <v>0</v>
      </c>
      <c r="AM324" s="674">
        <v>0</v>
      </c>
      <c r="AN324" s="40">
        <v>0</v>
      </c>
      <c r="AO324" s="52">
        <v>0</v>
      </c>
      <c r="AP324" s="674">
        <v>8903.7331234853518</v>
      </c>
      <c r="AQ324" s="40">
        <v>8221.4336979655782</v>
      </c>
      <c r="AR324" s="52">
        <v>-682.29942551977365</v>
      </c>
      <c r="AS324" s="674">
        <v>33808.048645691109</v>
      </c>
      <c r="AT324" s="40">
        <v>9365.7852120809148</v>
      </c>
      <c r="AU324" s="54">
        <v>-24442.263433610195</v>
      </c>
      <c r="AV324" s="674">
        <v>2538.0476973791306</v>
      </c>
      <c r="AW324" s="40">
        <v>0</v>
      </c>
      <c r="AX324" s="55">
        <v>-2538.0476973791306</v>
      </c>
      <c r="AY324" s="674">
        <v>3701.999454379732</v>
      </c>
      <c r="AZ324" s="40">
        <v>0</v>
      </c>
      <c r="BA324" s="35">
        <v>-3701.999454379732</v>
      </c>
      <c r="BB324" s="674">
        <v>1822.0853861739622</v>
      </c>
      <c r="BC324" s="40">
        <v>671</v>
      </c>
      <c r="BD324" s="55">
        <v>-1151.0853861739622</v>
      </c>
      <c r="BE324" s="674">
        <v>0</v>
      </c>
      <c r="BF324" s="40">
        <v>0</v>
      </c>
      <c r="BG324" s="38">
        <v>0</v>
      </c>
      <c r="BH324" s="674">
        <v>0</v>
      </c>
      <c r="BI324" s="40">
        <v>0</v>
      </c>
      <c r="BJ324" s="55">
        <v>0</v>
      </c>
      <c r="BK324" s="674">
        <v>1963.8570732749974</v>
      </c>
      <c r="BL324" s="40">
        <v>0</v>
      </c>
      <c r="BM324" s="38">
        <v>-1963.8570732749974</v>
      </c>
      <c r="BN324" s="674">
        <v>108.21119999999999</v>
      </c>
      <c r="BO324" s="40">
        <v>0</v>
      </c>
      <c r="BP324" s="55">
        <v>-108.21119999999999</v>
      </c>
      <c r="BQ324" s="77">
        <v>10134.200811207822</v>
      </c>
      <c r="BR324" s="40">
        <v>671</v>
      </c>
      <c r="BS324" s="55">
        <v>-9463.200811207822</v>
      </c>
      <c r="BT324" s="674">
        <v>23611.21046905352</v>
      </c>
      <c r="BU324" s="40">
        <v>29705.395865300536</v>
      </c>
      <c r="BV324" s="52">
        <v>6094.1853962470159</v>
      </c>
      <c r="BW324" s="674">
        <v>15556.02015535592</v>
      </c>
      <c r="BX324" s="40">
        <v>16418.201245660777</v>
      </c>
      <c r="BY324" s="52">
        <v>862.18109030485721</v>
      </c>
      <c r="BZ324" s="674">
        <v>6438.9965146257236</v>
      </c>
      <c r="CA324" s="40">
        <v>7161.6954059392247</v>
      </c>
      <c r="CB324" s="52">
        <v>722.69889131350101</v>
      </c>
      <c r="CC324" s="674">
        <v>1179.2594845664071</v>
      </c>
      <c r="CD324" s="40">
        <v>1239.4265526269619</v>
      </c>
      <c r="CE324" s="52">
        <v>60.167068060554811</v>
      </c>
      <c r="CF324" s="674">
        <v>144.12987739687421</v>
      </c>
      <c r="CG324" s="40">
        <v>0</v>
      </c>
      <c r="CH324" s="52">
        <v>-144.12987739687421</v>
      </c>
      <c r="CI324" s="674">
        <v>3232.0681723262087</v>
      </c>
      <c r="CJ324" s="40">
        <v>3384.2561276647752</v>
      </c>
      <c r="CK324" s="52">
        <v>152.18795533856655</v>
      </c>
      <c r="CL324" s="674">
        <v>0</v>
      </c>
      <c r="CM324" s="40">
        <v>0</v>
      </c>
      <c r="CN324" s="52">
        <v>0</v>
      </c>
      <c r="CO324" s="39">
        <v>3232.0681723262087</v>
      </c>
      <c r="CP324" s="40">
        <v>3384.2561276647752</v>
      </c>
      <c r="CQ324" s="52">
        <v>152.18795533856655</v>
      </c>
      <c r="CR324" s="72">
        <v>144893.12790075483</v>
      </c>
      <c r="CS324" s="5">
        <v>115353.28976073107</v>
      </c>
      <c r="CT324" s="52">
        <v>-29539.838140023756</v>
      </c>
      <c r="CU324" s="77">
        <v>173871.75348090578</v>
      </c>
      <c r="CV324" s="65">
        <v>138423.94771287727</v>
      </c>
      <c r="CW324" s="35">
        <v>-35447.805768028513</v>
      </c>
      <c r="CX324" s="73">
        <v>8708.566757653718</v>
      </c>
      <c r="CY324" s="40">
        <v>44156.372525682244</v>
      </c>
      <c r="CZ324" s="52">
        <v>35447.805768028527</v>
      </c>
      <c r="DA324" s="150">
        <v>-65436.914433825121</v>
      </c>
      <c r="DB324" s="2">
        <v>3</v>
      </c>
      <c r="DC324" s="675">
        <v>15708.75</v>
      </c>
      <c r="DD324" s="675">
        <v>2461.2399999999998</v>
      </c>
      <c r="DE324" s="675">
        <v>2680.4078160224399</v>
      </c>
      <c r="DF324" s="675">
        <v>-572.0281178228106</v>
      </c>
      <c r="DG324" s="321">
        <v>-29989.108665796601</v>
      </c>
      <c r="DH324" s="40">
        <v>182566.6685664258</v>
      </c>
      <c r="DI324" s="422">
        <v>16061.610301800369</v>
      </c>
      <c r="DJ324" s="306">
        <v>4.4606305881309396</v>
      </c>
      <c r="DK324" s="306">
        <v>4.4606305881309396</v>
      </c>
      <c r="DL324" s="306">
        <v>3.8434720195423342</v>
      </c>
      <c r="DM324" s="28">
        <v>13028.34218397756</v>
      </c>
      <c r="DN324" s="28">
        <v>3033.2681178228104</v>
      </c>
      <c r="DO324" s="423">
        <v>16061.610301800371</v>
      </c>
      <c r="DP324" s="94">
        <v>0</v>
      </c>
      <c r="DQ324" s="28">
        <v>16061.610301800371</v>
      </c>
      <c r="DR324" s="318"/>
      <c r="DT324" s="8"/>
      <c r="DU324" s="5"/>
      <c r="DX324" s="5">
        <v>52730.699348278722</v>
      </c>
      <c r="DY324" s="5">
        <v>12044.142254497097</v>
      </c>
      <c r="DZ324" s="159">
        <v>4774.8652555298386</v>
      </c>
      <c r="EB324" s="676">
        <v>-1681.451165375609</v>
      </c>
      <c r="EC324" s="676">
        <v>-2735.3310846729382</v>
      </c>
      <c r="ED324" s="676">
        <v>-2620.9119750172322</v>
      </c>
      <c r="EE324" s="676">
        <v>-4390.5436820879204</v>
      </c>
      <c r="EF324" s="676">
        <v>-1436.4030583796011</v>
      </c>
      <c r="EG324" s="676">
        <v>-2413.489064164196</v>
      </c>
      <c r="EH324" s="676">
        <v>-5662.7375785995155</v>
      </c>
      <c r="EI324" s="676">
        <v>-5165.1293119481597</v>
      </c>
      <c r="EJ324" s="676">
        <v>-3033.3488127733563</v>
      </c>
      <c r="EK324" s="676">
        <v>-2734.9560455579867</v>
      </c>
      <c r="EL324" s="676">
        <v>-4309.1561719487127</v>
      </c>
      <c r="EM324" s="676">
        <v>735.65218249670761</v>
      </c>
      <c r="EN324" s="676">
        <v>-35447.80576802852</v>
      </c>
      <c r="EQ324" s="5">
        <v>52730.699348278722</v>
      </c>
      <c r="ER324" s="5">
        <v>12044.142254497097</v>
      </c>
      <c r="ET324" s="318">
        <v>5791.1021901230542</v>
      </c>
      <c r="EU324" s="5">
        <v>-3870.210855919644</v>
      </c>
    </row>
    <row r="325" spans="1:151" ht="15" customHeight="1" x14ac:dyDescent="0.3">
      <c r="A325" s="325">
        <v>150000806</v>
      </c>
      <c r="B325" s="41" t="s">
        <v>771</v>
      </c>
      <c r="C325" s="42" t="s">
        <v>229</v>
      </c>
      <c r="D325" s="27">
        <v>4</v>
      </c>
      <c r="E325" s="293">
        <v>2716</v>
      </c>
      <c r="F325" s="305">
        <v>2014</v>
      </c>
      <c r="G325" s="508">
        <v>0</v>
      </c>
      <c r="H325" s="677">
        <v>702</v>
      </c>
      <c r="I325" s="674">
        <v>7956.9385275656059</v>
      </c>
      <c r="J325" s="40">
        <v>8674.5429090040398</v>
      </c>
      <c r="K325" s="52">
        <v>717.60438143843385</v>
      </c>
      <c r="L325" s="674">
        <v>1681.36103831834</v>
      </c>
      <c r="M325" s="40">
        <v>1840.3147922141816</v>
      </c>
      <c r="N325" s="52">
        <v>158.9537538958416</v>
      </c>
      <c r="O325" s="674">
        <v>3096.8050887053855</v>
      </c>
      <c r="P325" s="40">
        <v>3096.8100000000004</v>
      </c>
      <c r="Q325" s="52">
        <v>4.9112946148852643E-3</v>
      </c>
      <c r="R325" s="674">
        <v>0</v>
      </c>
      <c r="S325" s="40">
        <v>0</v>
      </c>
      <c r="T325" s="52">
        <v>0</v>
      </c>
      <c r="U325" s="674">
        <v>0</v>
      </c>
      <c r="V325" s="40">
        <v>0</v>
      </c>
      <c r="W325" s="52">
        <v>0</v>
      </c>
      <c r="X325" s="674">
        <v>6834.9020243857158</v>
      </c>
      <c r="Y325" s="40">
        <v>5314.5526977810368</v>
      </c>
      <c r="Z325" s="52">
        <v>-1520.3493266046789</v>
      </c>
      <c r="AA325" s="674">
        <v>293.98800000000006</v>
      </c>
      <c r="AB325" s="40">
        <v>0</v>
      </c>
      <c r="AC325" s="52">
        <v>-293.98800000000006</v>
      </c>
      <c r="AD325" s="674">
        <v>11331.466546927602</v>
      </c>
      <c r="AE325" s="40">
        <v>11540.536282377954</v>
      </c>
      <c r="AF325" s="35">
        <v>209.0697354503518</v>
      </c>
      <c r="AG325" s="77">
        <v>31195.461225902654</v>
      </c>
      <c r="AH325" s="53">
        <v>30466.756681377214</v>
      </c>
      <c r="AI325" s="52">
        <v>-728.70454452544072</v>
      </c>
      <c r="AJ325" s="674">
        <v>0</v>
      </c>
      <c r="AK325" s="40">
        <v>0</v>
      </c>
      <c r="AL325" s="52">
        <v>0</v>
      </c>
      <c r="AM325" s="674">
        <v>0</v>
      </c>
      <c r="AN325" s="40">
        <v>0</v>
      </c>
      <c r="AO325" s="52">
        <v>0</v>
      </c>
      <c r="AP325" s="674">
        <v>4451.8665617426759</v>
      </c>
      <c r="AQ325" s="40">
        <v>3359.8964969754375</v>
      </c>
      <c r="AR325" s="52">
        <v>-1091.9700647672385</v>
      </c>
      <c r="AS325" s="674">
        <v>26676.802976037361</v>
      </c>
      <c r="AT325" s="40">
        <v>23800.58</v>
      </c>
      <c r="AU325" s="54">
        <v>-2876.2229760373593</v>
      </c>
      <c r="AV325" s="674">
        <v>2004.7052994646297</v>
      </c>
      <c r="AW325" s="40">
        <v>0</v>
      </c>
      <c r="AX325" s="55">
        <v>-2004.7052994646297</v>
      </c>
      <c r="AY325" s="674">
        <v>2756.3799266228325</v>
      </c>
      <c r="AZ325" s="40">
        <v>0</v>
      </c>
      <c r="BA325" s="35">
        <v>-2756.3799266228325</v>
      </c>
      <c r="BB325" s="674">
        <v>1279.8540635847919</v>
      </c>
      <c r="BC325" s="40">
        <v>0</v>
      </c>
      <c r="BD325" s="55">
        <v>-1279.8540635847919</v>
      </c>
      <c r="BE325" s="674">
        <v>0</v>
      </c>
      <c r="BF325" s="40">
        <v>0</v>
      </c>
      <c r="BG325" s="38">
        <v>0</v>
      </c>
      <c r="BH325" s="674">
        <v>0</v>
      </c>
      <c r="BI325" s="40">
        <v>0</v>
      </c>
      <c r="BJ325" s="55">
        <v>0</v>
      </c>
      <c r="BK325" s="674">
        <v>1665.918063731028</v>
      </c>
      <c r="BL325" s="40">
        <v>1421</v>
      </c>
      <c r="BM325" s="38">
        <v>-244.91806373102804</v>
      </c>
      <c r="BN325" s="674">
        <v>73.497000000000014</v>
      </c>
      <c r="BO325" s="40">
        <v>0</v>
      </c>
      <c r="BP325" s="55">
        <v>-73.497000000000014</v>
      </c>
      <c r="BQ325" s="77">
        <v>7780.3543534032824</v>
      </c>
      <c r="BR325" s="40">
        <v>1421</v>
      </c>
      <c r="BS325" s="55">
        <v>-6359.3543534032824</v>
      </c>
      <c r="BT325" s="674">
        <v>17925.972602222755</v>
      </c>
      <c r="BU325" s="40">
        <v>21981.386897189237</v>
      </c>
      <c r="BV325" s="52">
        <v>4055.414294966482</v>
      </c>
      <c r="BW325" s="674">
        <v>13426.099675164684</v>
      </c>
      <c r="BX325" s="40">
        <v>13650.420226954651</v>
      </c>
      <c r="BY325" s="52">
        <v>224.32055178996779</v>
      </c>
      <c r="BZ325" s="674">
        <v>9845.7011899044646</v>
      </c>
      <c r="CA325" s="40">
        <v>5759.7871921786545</v>
      </c>
      <c r="CB325" s="52">
        <v>-4085.9139977258101</v>
      </c>
      <c r="CC325" s="674">
        <v>1666.5533472239285</v>
      </c>
      <c r="CD325" s="40">
        <v>1751.5826643346034</v>
      </c>
      <c r="CE325" s="52">
        <v>85.02931711067481</v>
      </c>
      <c r="CF325" s="674">
        <v>203.68725692212905</v>
      </c>
      <c r="CG325" s="40">
        <v>0</v>
      </c>
      <c r="CH325" s="52">
        <v>-203.68725692212905</v>
      </c>
      <c r="CI325" s="674">
        <v>4667.8638124801137</v>
      </c>
      <c r="CJ325" s="40">
        <v>4450.6637819667048</v>
      </c>
      <c r="CK325" s="52">
        <v>-217.20003051340882</v>
      </c>
      <c r="CL325" s="674">
        <v>0</v>
      </c>
      <c r="CM325" s="40">
        <v>0</v>
      </c>
      <c r="CN325" s="52">
        <v>0</v>
      </c>
      <c r="CO325" s="39">
        <v>4667.8638124801137</v>
      </c>
      <c r="CP325" s="40">
        <v>4450.6637819667048</v>
      </c>
      <c r="CQ325" s="52">
        <v>-217.20003051340882</v>
      </c>
      <c r="CR325" s="72">
        <v>117840.36300100405</v>
      </c>
      <c r="CS325" s="5">
        <v>106642.07394097652</v>
      </c>
      <c r="CT325" s="52">
        <v>-11198.289060027528</v>
      </c>
      <c r="CU325" s="77">
        <v>141408.43560120487</v>
      </c>
      <c r="CV325" s="65">
        <v>127970.48872917182</v>
      </c>
      <c r="CW325" s="35">
        <v>-13437.946872033048</v>
      </c>
      <c r="CX325" s="73">
        <v>4044.371974905639</v>
      </c>
      <c r="CY325" s="40">
        <v>17482.318846938673</v>
      </c>
      <c r="CZ325" s="52">
        <v>13437.946872033033</v>
      </c>
      <c r="DA325" s="150">
        <v>-28377.338371283957</v>
      </c>
      <c r="DB325" s="2">
        <v>2</v>
      </c>
      <c r="DC325" s="675">
        <v>34191.550000000003</v>
      </c>
      <c r="DD325" s="675">
        <v>3437.1000000000004</v>
      </c>
      <c r="DE325" s="675">
        <v>24315.278292682833</v>
      </c>
      <c r="DF325" s="675">
        <v>523.75098883929468</v>
      </c>
      <c r="DG325" s="321">
        <v>-14939.391499250927</v>
      </c>
      <c r="DH325" s="40">
        <v>145441.91296347266</v>
      </c>
      <c r="DI325" s="422">
        <v>12789.620718477872</v>
      </c>
      <c r="DJ325" s="306">
        <v>4.903809189333252</v>
      </c>
      <c r="DK325" s="306">
        <v>4.903809189333252</v>
      </c>
      <c r="DL325" s="306">
        <v>4.1500698164682417</v>
      </c>
      <c r="DM325" s="28">
        <v>9876.2717073171698</v>
      </c>
      <c r="DN325" s="28">
        <v>2913.3490111607057</v>
      </c>
      <c r="DO325" s="423">
        <v>12789.620718477876</v>
      </c>
      <c r="DP325" s="94">
        <v>0</v>
      </c>
      <c r="DQ325" s="28">
        <v>12789.620718477876</v>
      </c>
      <c r="DR325" s="318"/>
      <c r="DT325" s="8"/>
      <c r="DU325" s="5"/>
      <c r="DX325" s="5">
        <v>41348.588795328767</v>
      </c>
      <c r="DY325" s="5">
        <v>30265.896000000001</v>
      </c>
      <c r="DZ325" s="159">
        <v>3637.0682260074068</v>
      </c>
      <c r="EB325" s="676">
        <v>-468.74123608828631</v>
      </c>
      <c r="EC325" s="676">
        <v>-231.28315476474381</v>
      </c>
      <c r="ED325" s="676">
        <v>2966.5453330554301</v>
      </c>
      <c r="EE325" s="676">
        <v>-8079.4871279874851</v>
      </c>
      <c r="EF325" s="676">
        <v>-5716.5259351288723</v>
      </c>
      <c r="EG325" s="676">
        <v>-1355.6179938820733</v>
      </c>
      <c r="EH325" s="676">
        <v>-4722.9086263434974</v>
      </c>
      <c r="EI325" s="676">
        <v>-2212.3154218120508</v>
      </c>
      <c r="EJ325" s="676">
        <v>-1943.5444538458778</v>
      </c>
      <c r="EK325" s="676">
        <v>1226.3181652848289</v>
      </c>
      <c r="EL325" s="676">
        <v>10030.216987638198</v>
      </c>
      <c r="EM325" s="676">
        <v>-2930.6034081586004</v>
      </c>
      <c r="EN325" s="676">
        <v>-13437.946872033028</v>
      </c>
      <c r="EQ325" s="5">
        <v>41348.588795328767</v>
      </c>
      <c r="ER325" s="5">
        <v>30265.896000000001</v>
      </c>
      <c r="ET325" s="318">
        <v>-34752.338500332342</v>
      </c>
      <c r="EU325" s="5">
        <v>10237.947001081418</v>
      </c>
    </row>
    <row r="326" spans="1:151" x14ac:dyDescent="0.3">
      <c r="A326" s="325">
        <v>150000807</v>
      </c>
      <c r="B326" s="41" t="s">
        <v>772</v>
      </c>
      <c r="C326" s="42" t="s">
        <v>188</v>
      </c>
      <c r="D326" s="27">
        <v>2</v>
      </c>
      <c r="E326" s="293">
        <v>300.7</v>
      </c>
      <c r="F326" s="305">
        <v>194.4</v>
      </c>
      <c r="G326" s="508">
        <v>0</v>
      </c>
      <c r="H326" s="677">
        <v>106.3</v>
      </c>
      <c r="I326" s="674">
        <v>1854.1404096360313</v>
      </c>
      <c r="J326" s="40">
        <v>1730.1897374386554</v>
      </c>
      <c r="K326" s="52">
        <v>-123.95067219737598</v>
      </c>
      <c r="L326" s="674">
        <v>328.60341611809321</v>
      </c>
      <c r="M326" s="40">
        <v>314.02507743409365</v>
      </c>
      <c r="N326" s="52">
        <v>-14.578338683999561</v>
      </c>
      <c r="O326" s="674">
        <v>0</v>
      </c>
      <c r="P326" s="40">
        <v>0</v>
      </c>
      <c r="Q326" s="52">
        <v>0</v>
      </c>
      <c r="R326" s="674">
        <v>0</v>
      </c>
      <c r="S326" s="40">
        <v>0</v>
      </c>
      <c r="T326" s="52">
        <v>0</v>
      </c>
      <c r="U326" s="674">
        <v>0</v>
      </c>
      <c r="V326" s="40">
        <v>0</v>
      </c>
      <c r="W326" s="52">
        <v>0</v>
      </c>
      <c r="X326" s="674">
        <v>350.33271959903169</v>
      </c>
      <c r="Y326" s="40">
        <v>272.82470990956574</v>
      </c>
      <c r="Z326" s="52">
        <v>-77.50800968946595</v>
      </c>
      <c r="AA326" s="674">
        <v>36.084000000000003</v>
      </c>
      <c r="AB326" s="40">
        <v>0</v>
      </c>
      <c r="AC326" s="52">
        <v>-36.084000000000003</v>
      </c>
      <c r="AD326" s="674">
        <v>1253.1890570771338</v>
      </c>
      <c r="AE326" s="40">
        <v>1277.5906579222885</v>
      </c>
      <c r="AF326" s="35">
        <v>24.40160084515469</v>
      </c>
      <c r="AG326" s="77">
        <v>3822.3496024302899</v>
      </c>
      <c r="AH326" s="53">
        <v>3594.6301827046036</v>
      </c>
      <c r="AI326" s="52">
        <v>-227.71941972568629</v>
      </c>
      <c r="AJ326" s="674">
        <v>0</v>
      </c>
      <c r="AK326" s="40">
        <v>0</v>
      </c>
      <c r="AL326" s="52">
        <v>0</v>
      </c>
      <c r="AM326" s="674">
        <v>0</v>
      </c>
      <c r="AN326" s="40">
        <v>0</v>
      </c>
      <c r="AO326" s="52">
        <v>0</v>
      </c>
      <c r="AP326" s="674">
        <v>899.36698217023741</v>
      </c>
      <c r="AQ326" s="40">
        <v>673.09742088463361</v>
      </c>
      <c r="AR326" s="52">
        <v>-226.2695612856038</v>
      </c>
      <c r="AS326" s="674">
        <v>3357.0885862707373</v>
      </c>
      <c r="AT326" s="40">
        <v>178</v>
      </c>
      <c r="AU326" s="54">
        <v>-3179.0885862707373</v>
      </c>
      <c r="AV326" s="674">
        <v>491.52630174653831</v>
      </c>
      <c r="AW326" s="40">
        <v>0</v>
      </c>
      <c r="AX326" s="55">
        <v>-491.52630174653831</v>
      </c>
      <c r="AY326" s="674">
        <v>538.71185785364844</v>
      </c>
      <c r="AZ326" s="40">
        <v>0</v>
      </c>
      <c r="BA326" s="35">
        <v>-538.71185785364844</v>
      </c>
      <c r="BB326" s="674">
        <v>0</v>
      </c>
      <c r="BC326" s="40">
        <v>0</v>
      </c>
      <c r="BD326" s="55">
        <v>0</v>
      </c>
      <c r="BE326" s="674">
        <v>0</v>
      </c>
      <c r="BF326" s="40">
        <v>0</v>
      </c>
      <c r="BG326" s="38">
        <v>0</v>
      </c>
      <c r="BH326" s="674">
        <v>0</v>
      </c>
      <c r="BI326" s="40">
        <v>0</v>
      </c>
      <c r="BJ326" s="55">
        <v>0</v>
      </c>
      <c r="BK326" s="674">
        <v>54.940230590659013</v>
      </c>
      <c r="BL326" s="40">
        <v>0</v>
      </c>
      <c r="BM326" s="38">
        <v>-54.940230590659013</v>
      </c>
      <c r="BN326" s="674">
        <v>9.0210000000000008</v>
      </c>
      <c r="BO326" s="40">
        <v>0</v>
      </c>
      <c r="BP326" s="55">
        <v>-9.0210000000000008</v>
      </c>
      <c r="BQ326" s="77">
        <v>1094.1993901908456</v>
      </c>
      <c r="BR326" s="40">
        <v>0</v>
      </c>
      <c r="BS326" s="55">
        <v>-1094.1993901908456</v>
      </c>
      <c r="BT326" s="674">
        <v>3442.3547650148162</v>
      </c>
      <c r="BU326" s="40">
        <v>3268.308421311086</v>
      </c>
      <c r="BV326" s="52">
        <v>-174.04634370373014</v>
      </c>
      <c r="BW326" s="674">
        <v>2021.9917160139044</v>
      </c>
      <c r="BX326" s="40">
        <v>2180.6148759193115</v>
      </c>
      <c r="BY326" s="52">
        <v>158.62315990540719</v>
      </c>
      <c r="BZ326" s="674">
        <v>364.8630843314495</v>
      </c>
      <c r="CA326" s="40">
        <v>933.73125359454616</v>
      </c>
      <c r="CB326" s="52">
        <v>568.86816926309666</v>
      </c>
      <c r="CC326" s="674">
        <v>0</v>
      </c>
      <c r="CD326" s="40">
        <v>0</v>
      </c>
      <c r="CE326" s="52">
        <v>0</v>
      </c>
      <c r="CF326" s="674">
        <v>0</v>
      </c>
      <c r="CG326" s="40">
        <v>0</v>
      </c>
      <c r="CH326" s="52">
        <v>0</v>
      </c>
      <c r="CI326" s="674">
        <v>0</v>
      </c>
      <c r="CJ326" s="40">
        <v>0</v>
      </c>
      <c r="CK326" s="52">
        <v>0</v>
      </c>
      <c r="CL326" s="674">
        <v>0</v>
      </c>
      <c r="CM326" s="40">
        <v>0</v>
      </c>
      <c r="CN326" s="52">
        <v>0</v>
      </c>
      <c r="CO326" s="39">
        <v>0</v>
      </c>
      <c r="CP326" s="40">
        <v>0</v>
      </c>
      <c r="CQ326" s="52">
        <v>0</v>
      </c>
      <c r="CR326" s="72">
        <v>15002.214126422281</v>
      </c>
      <c r="CS326" s="5">
        <v>10828.382154414181</v>
      </c>
      <c r="CT326" s="52">
        <v>-4173.8319720080999</v>
      </c>
      <c r="CU326" s="77">
        <v>18002.656951706736</v>
      </c>
      <c r="CV326" s="65">
        <v>12994.058585297016</v>
      </c>
      <c r="CW326" s="35">
        <v>-5008.5983664097203</v>
      </c>
      <c r="CX326" s="73">
        <v>550.36101483437449</v>
      </c>
      <c r="CY326" s="40">
        <v>5558.9593812440926</v>
      </c>
      <c r="CZ326" s="52">
        <v>5008.5983664097184</v>
      </c>
      <c r="DA326" s="150">
        <v>-3141.7565598164047</v>
      </c>
      <c r="DB326" s="2">
        <v>3</v>
      </c>
      <c r="DC326" s="675">
        <v>7578.17</v>
      </c>
      <c r="DD326" s="675">
        <v>0</v>
      </c>
      <c r="DE326" s="675">
        <v>6463.7575775947371</v>
      </c>
      <c r="DF326" s="675">
        <v>-432.34</v>
      </c>
      <c r="DG326" s="321">
        <v>1866.8418065933158</v>
      </c>
      <c r="DH326" s="40">
        <v>18551.529716607976</v>
      </c>
      <c r="DI326" s="422">
        <v>1600.8440510773012</v>
      </c>
      <c r="DJ326" s="306">
        <v>5.732574189327484</v>
      </c>
      <c r="DK326" s="306">
        <v>5.732574189327484</v>
      </c>
      <c r="DL326" s="306">
        <v>4.5760266102731739</v>
      </c>
      <c r="DM326" s="28">
        <v>1114.412422405263</v>
      </c>
      <c r="DN326" s="28">
        <v>432.34</v>
      </c>
      <c r="DO326" s="423">
        <v>1546.7524224052629</v>
      </c>
      <c r="DP326" s="94">
        <v>54.091628672038269</v>
      </c>
      <c r="DQ326" s="28">
        <v>1546.7524224052629</v>
      </c>
      <c r="DR326" s="318"/>
      <c r="DT326" s="8"/>
      <c r="DU326" s="5"/>
      <c r="DX326" s="5">
        <v>5341.5455717538989</v>
      </c>
      <c r="DY326" s="5">
        <v>213.6</v>
      </c>
      <c r="DZ326" s="159">
        <v>437.4673221053468</v>
      </c>
      <c r="EB326" s="676">
        <v>198.19766318181132</v>
      </c>
      <c r="EC326" s="676">
        <v>-386.05397626555725</v>
      </c>
      <c r="ED326" s="676">
        <v>-428.25017737732571</v>
      </c>
      <c r="EE326" s="676">
        <v>-596.11014143995158</v>
      </c>
      <c r="EF326" s="676">
        <v>-648.53039535230607</v>
      </c>
      <c r="EG326" s="676">
        <v>-751.66549165997765</v>
      </c>
      <c r="EH326" s="676">
        <v>-118.28281291859844</v>
      </c>
      <c r="EI326" s="676">
        <v>-535.76749682334503</v>
      </c>
      <c r="EJ326" s="676">
        <v>-570.5831517738925</v>
      </c>
      <c r="EK326" s="676">
        <v>-184.19097363452101</v>
      </c>
      <c r="EL326" s="676">
        <v>-453.03095167693573</v>
      </c>
      <c r="EM326" s="676">
        <v>-534.33046066911993</v>
      </c>
      <c r="EN326" s="676">
        <v>-5008.5983664097203</v>
      </c>
      <c r="EQ326" s="5">
        <v>5341.5455717538989</v>
      </c>
      <c r="ER326" s="5">
        <v>213.6</v>
      </c>
      <c r="ET326" s="318">
        <v>-4780.9984492016702</v>
      </c>
      <c r="EU326" s="5">
        <v>-3367.159744205012</v>
      </c>
    </row>
    <row r="327" spans="1:151" x14ac:dyDescent="0.3">
      <c r="A327" s="325">
        <v>150000808</v>
      </c>
      <c r="B327" s="41" t="s">
        <v>773</v>
      </c>
      <c r="C327" s="42" t="s">
        <v>298</v>
      </c>
      <c r="D327" s="27">
        <v>5</v>
      </c>
      <c r="E327" s="293">
        <v>1950.8</v>
      </c>
      <c r="F327" s="305">
        <v>1754.6</v>
      </c>
      <c r="G327" s="508">
        <v>0</v>
      </c>
      <c r="H327" s="677">
        <v>196.2</v>
      </c>
      <c r="I327" s="674">
        <v>5957.8718469861069</v>
      </c>
      <c r="J327" s="40">
        <v>6539.8914392845763</v>
      </c>
      <c r="K327" s="52">
        <v>582.01959229846943</v>
      </c>
      <c r="L327" s="674">
        <v>1146.4840214668025</v>
      </c>
      <c r="M327" s="40">
        <v>1254.8705395739771</v>
      </c>
      <c r="N327" s="52">
        <v>108.38651810717465</v>
      </c>
      <c r="O327" s="674">
        <v>2601.8258453389299</v>
      </c>
      <c r="P327" s="40">
        <v>2601.81</v>
      </c>
      <c r="Q327" s="52">
        <v>-1.5845338929921127E-2</v>
      </c>
      <c r="R327" s="674">
        <v>0</v>
      </c>
      <c r="S327" s="40">
        <v>0</v>
      </c>
      <c r="T327" s="52">
        <v>0</v>
      </c>
      <c r="U327" s="674">
        <v>0</v>
      </c>
      <c r="V327" s="40">
        <v>0</v>
      </c>
      <c r="W327" s="52">
        <v>0</v>
      </c>
      <c r="X327" s="674">
        <v>3013.3898244953525</v>
      </c>
      <c r="Y327" s="40">
        <v>2166.0802503681475</v>
      </c>
      <c r="Z327" s="52">
        <v>-847.309574127205</v>
      </c>
      <c r="AA327" s="674">
        <v>234.26400000000001</v>
      </c>
      <c r="AB327" s="40">
        <v>0</v>
      </c>
      <c r="AC327" s="52">
        <v>-234.26400000000001</v>
      </c>
      <c r="AD327" s="674">
        <v>8353.8718276978561</v>
      </c>
      <c r="AE327" s="40">
        <v>8288.4065695869667</v>
      </c>
      <c r="AF327" s="35">
        <v>-65.465258110889408</v>
      </c>
      <c r="AG327" s="77">
        <v>21307.707365985047</v>
      </c>
      <c r="AH327" s="53">
        <v>20851.058798813669</v>
      </c>
      <c r="AI327" s="52">
        <v>-456.64856717137809</v>
      </c>
      <c r="AJ327" s="674">
        <v>0</v>
      </c>
      <c r="AK327" s="40">
        <v>0</v>
      </c>
      <c r="AL327" s="52">
        <v>0</v>
      </c>
      <c r="AM327" s="674">
        <v>0</v>
      </c>
      <c r="AN327" s="40">
        <v>0</v>
      </c>
      <c r="AO327" s="52">
        <v>0</v>
      </c>
      <c r="AP327" s="674">
        <v>5126.3917983703523</v>
      </c>
      <c r="AQ327" s="40">
        <v>4263.2627426841336</v>
      </c>
      <c r="AR327" s="52">
        <v>-863.12905568621863</v>
      </c>
      <c r="AS327" s="674">
        <v>12660.839282738147</v>
      </c>
      <c r="AT327" s="40">
        <v>4590</v>
      </c>
      <c r="AU327" s="54">
        <v>-8070.8392827381467</v>
      </c>
      <c r="AV327" s="674">
        <v>1357.9652886633385</v>
      </c>
      <c r="AW327" s="40">
        <v>122</v>
      </c>
      <c r="AX327" s="55">
        <v>-1235.9652886633385</v>
      </c>
      <c r="AY327" s="674">
        <v>1879.5256069500886</v>
      </c>
      <c r="AZ327" s="40">
        <v>0</v>
      </c>
      <c r="BA327" s="35">
        <v>-1879.5256069500886</v>
      </c>
      <c r="BB327" s="674">
        <v>1346.1264341550027</v>
      </c>
      <c r="BC327" s="40">
        <v>0</v>
      </c>
      <c r="BD327" s="55">
        <v>-1346.1264341550027</v>
      </c>
      <c r="BE327" s="674">
        <v>0</v>
      </c>
      <c r="BF327" s="40">
        <v>0</v>
      </c>
      <c r="BG327" s="38">
        <v>0</v>
      </c>
      <c r="BH327" s="674">
        <v>0</v>
      </c>
      <c r="BI327" s="40">
        <v>0</v>
      </c>
      <c r="BJ327" s="55">
        <v>0</v>
      </c>
      <c r="BK327" s="674">
        <v>596.8171385500043</v>
      </c>
      <c r="BL327" s="40">
        <v>0</v>
      </c>
      <c r="BM327" s="38">
        <v>-596.8171385500043</v>
      </c>
      <c r="BN327" s="674">
        <v>58.566000000000003</v>
      </c>
      <c r="BO327" s="40">
        <v>0</v>
      </c>
      <c r="BP327" s="55">
        <v>-58.566000000000003</v>
      </c>
      <c r="BQ327" s="77">
        <v>5239.0004683184334</v>
      </c>
      <c r="BR327" s="40">
        <v>122</v>
      </c>
      <c r="BS327" s="55">
        <v>-5117.0004683184334</v>
      </c>
      <c r="BT327" s="674">
        <v>19075.44716989735</v>
      </c>
      <c r="BU327" s="40">
        <v>21697.947964193663</v>
      </c>
      <c r="BV327" s="52">
        <v>2622.500794296313</v>
      </c>
      <c r="BW327" s="674">
        <v>8203.7561176204963</v>
      </c>
      <c r="BX327" s="40">
        <v>8058.3418567871622</v>
      </c>
      <c r="BY327" s="52">
        <v>-145.41426083333408</v>
      </c>
      <c r="BZ327" s="674">
        <v>6510.7482141242599</v>
      </c>
      <c r="CA327" s="40">
        <v>5120.9990642078756</v>
      </c>
      <c r="CB327" s="52">
        <v>-1389.7491499163843</v>
      </c>
      <c r="CC327" s="674">
        <v>786.4508875510619</v>
      </c>
      <c r="CD327" s="40">
        <v>826.57644490027144</v>
      </c>
      <c r="CE327" s="52">
        <v>40.125557349209544</v>
      </c>
      <c r="CF327" s="674">
        <v>96.120549789832424</v>
      </c>
      <c r="CG327" s="40">
        <v>0</v>
      </c>
      <c r="CH327" s="52">
        <v>-96.120549789832424</v>
      </c>
      <c r="CI327" s="674">
        <v>6035.2665316168659</v>
      </c>
      <c r="CJ327" s="40">
        <v>7408.8532967376441</v>
      </c>
      <c r="CK327" s="52">
        <v>1373.5867651207782</v>
      </c>
      <c r="CL327" s="674">
        <v>0</v>
      </c>
      <c r="CM327" s="40">
        <v>0</v>
      </c>
      <c r="CN327" s="52">
        <v>0</v>
      </c>
      <c r="CO327" s="39">
        <v>6035.2665316168659</v>
      </c>
      <c r="CP327" s="40">
        <v>7408.8532967376441</v>
      </c>
      <c r="CQ327" s="52">
        <v>1373.5867651207782</v>
      </c>
      <c r="CR327" s="72">
        <v>85041.728386011862</v>
      </c>
      <c r="CS327" s="5">
        <v>72939.040168324427</v>
      </c>
      <c r="CT327" s="52">
        <v>-12102.688217687435</v>
      </c>
      <c r="CU327" s="77">
        <v>102050.07406321423</v>
      </c>
      <c r="CV327" s="65">
        <v>87526.848201989313</v>
      </c>
      <c r="CW327" s="35">
        <v>-14523.225861224913</v>
      </c>
      <c r="CX327" s="73">
        <v>2679.8519833770565</v>
      </c>
      <c r="CY327" s="40">
        <v>17203.077844601969</v>
      </c>
      <c r="CZ327" s="52">
        <v>14523.225861224912</v>
      </c>
      <c r="DA327" s="150">
        <v>-19498.435532379255</v>
      </c>
      <c r="DB327" s="2">
        <v>2</v>
      </c>
      <c r="DC327" s="675">
        <v>12902.75</v>
      </c>
      <c r="DD327" s="675">
        <v>830.89</v>
      </c>
      <c r="DE327" s="675">
        <v>4548.5658656892974</v>
      </c>
      <c r="DF327" s="675">
        <v>-3.3624733327997092E-4</v>
      </c>
      <c r="DG327" s="321">
        <v>-4975.2096711543345</v>
      </c>
      <c r="DH327" s="40">
        <v>104722.00474662648</v>
      </c>
      <c r="DI327" s="422">
        <v>9185.0744705580346</v>
      </c>
      <c r="DJ327" s="306">
        <v>4.7613040774596502</v>
      </c>
      <c r="DK327" s="306">
        <v>4.7613040774596502</v>
      </c>
      <c r="DL327" s="306">
        <v>4.2349150675195375</v>
      </c>
      <c r="DM327" s="28">
        <v>8354.1841343107026</v>
      </c>
      <c r="DN327" s="28">
        <v>830.89033624733327</v>
      </c>
      <c r="DO327" s="423">
        <v>9185.0744705580364</v>
      </c>
      <c r="DP327" s="94">
        <v>0</v>
      </c>
      <c r="DQ327" s="28">
        <v>9185.0744705580364</v>
      </c>
      <c r="DR327" s="318"/>
      <c r="DT327" s="8"/>
      <c r="DU327" s="5"/>
      <c r="DX327" s="5">
        <v>21479.807701267895</v>
      </c>
      <c r="DY327" s="5">
        <v>5654.4</v>
      </c>
      <c r="DZ327" s="159">
        <v>1806.563715287444</v>
      </c>
      <c r="EB327" s="676">
        <v>3597.6636272967207</v>
      </c>
      <c r="EC327" s="676">
        <v>-995.3780599829206</v>
      </c>
      <c r="ED327" s="676">
        <v>-1289.2694340233365</v>
      </c>
      <c r="EE327" s="676">
        <v>892.2283387976222</v>
      </c>
      <c r="EF327" s="676">
        <v>-2421.002122664434</v>
      </c>
      <c r="EG327" s="676">
        <v>-5587.4335746877823</v>
      </c>
      <c r="EH327" s="676">
        <v>-810.66836106766641</v>
      </c>
      <c r="EI327" s="676">
        <v>-2093.1335702362676</v>
      </c>
      <c r="EJ327" s="676">
        <v>-938.20335342923318</v>
      </c>
      <c r="EK327" s="676">
        <v>-1493.8286507521379</v>
      </c>
      <c r="EL327" s="676">
        <v>-1809.4045273618494</v>
      </c>
      <c r="EM327" s="676">
        <v>-1574.7961731136365</v>
      </c>
      <c r="EN327" s="676">
        <v>-14523.225861224922</v>
      </c>
      <c r="EQ327" s="5">
        <v>21479.807701267895</v>
      </c>
      <c r="ER327" s="5">
        <v>5654.4</v>
      </c>
      <c r="ET327" s="318">
        <v>36552.454583031598</v>
      </c>
      <c r="EU327" s="5">
        <v>-9365.6642541859292</v>
      </c>
    </row>
    <row r="328" spans="1:151" x14ac:dyDescent="0.3">
      <c r="A328" s="325">
        <v>150000827</v>
      </c>
      <c r="B328" s="41" t="s">
        <v>774</v>
      </c>
      <c r="C328" s="42" t="s">
        <v>299</v>
      </c>
      <c r="D328" s="27">
        <v>5</v>
      </c>
      <c r="E328" s="293">
        <v>4420.7</v>
      </c>
      <c r="F328" s="305">
        <v>3727.2</v>
      </c>
      <c r="G328" s="508">
        <v>0</v>
      </c>
      <c r="H328" s="677">
        <v>693.5</v>
      </c>
      <c r="I328" s="674">
        <v>14132.665740914023</v>
      </c>
      <c r="J328" s="40">
        <v>15504.27311541056</v>
      </c>
      <c r="K328" s="52">
        <v>1371.6073744965379</v>
      </c>
      <c r="L328" s="674">
        <v>2805.4409910469558</v>
      </c>
      <c r="M328" s="40">
        <v>3070.6645422705801</v>
      </c>
      <c r="N328" s="52">
        <v>265.22355122362433</v>
      </c>
      <c r="O328" s="674">
        <v>5476.7927595244055</v>
      </c>
      <c r="P328" s="40">
        <v>5476.8</v>
      </c>
      <c r="Q328" s="52">
        <v>7.2404755946990917E-3</v>
      </c>
      <c r="R328" s="674">
        <v>0</v>
      </c>
      <c r="S328" s="40">
        <v>0</v>
      </c>
      <c r="T328" s="52">
        <v>0</v>
      </c>
      <c r="U328" s="674">
        <v>0</v>
      </c>
      <c r="V328" s="40">
        <v>0</v>
      </c>
      <c r="W328" s="52">
        <v>0</v>
      </c>
      <c r="X328" s="674">
        <v>9300.4818750852646</v>
      </c>
      <c r="Y328" s="40">
        <v>7030.016440064368</v>
      </c>
      <c r="Z328" s="52">
        <v>-2270.4654350208966</v>
      </c>
      <c r="AA328" s="674">
        <v>528.52800000000002</v>
      </c>
      <c r="AB328" s="40">
        <v>0</v>
      </c>
      <c r="AC328" s="52">
        <v>-528.52800000000002</v>
      </c>
      <c r="AD328" s="674">
        <v>18895.737591533605</v>
      </c>
      <c r="AE328" s="40">
        <v>18751.947905544828</v>
      </c>
      <c r="AF328" s="35">
        <v>-143.78968598877691</v>
      </c>
      <c r="AG328" s="77">
        <v>51139.646958104247</v>
      </c>
      <c r="AH328" s="53">
        <v>49833.702003290338</v>
      </c>
      <c r="AI328" s="52">
        <v>-1305.9449548139091</v>
      </c>
      <c r="AJ328" s="674">
        <v>0</v>
      </c>
      <c r="AK328" s="40">
        <v>0</v>
      </c>
      <c r="AL328" s="52">
        <v>0</v>
      </c>
      <c r="AM328" s="674">
        <v>0</v>
      </c>
      <c r="AN328" s="40">
        <v>0</v>
      </c>
      <c r="AO328" s="52">
        <v>0</v>
      </c>
      <c r="AP328" s="674">
        <v>12006.549211972668</v>
      </c>
      <c r="AQ328" s="40">
        <v>9211.2434198827923</v>
      </c>
      <c r="AR328" s="52">
        <v>-2795.3057920898755</v>
      </c>
      <c r="AS328" s="674">
        <v>41721.40182635231</v>
      </c>
      <c r="AT328" s="40">
        <v>114986.09</v>
      </c>
      <c r="AU328" s="54">
        <v>73264.688173647679</v>
      </c>
      <c r="AV328" s="674">
        <v>3139.085681537485</v>
      </c>
      <c r="AW328" s="40">
        <v>1355</v>
      </c>
      <c r="AX328" s="55">
        <v>-1784.085681537485</v>
      </c>
      <c r="AY328" s="674">
        <v>4598.8965803588317</v>
      </c>
      <c r="AZ328" s="40">
        <v>33</v>
      </c>
      <c r="BA328" s="35">
        <v>-4565.8965803588317</v>
      </c>
      <c r="BB328" s="674">
        <v>2537.0354933568392</v>
      </c>
      <c r="BC328" s="40">
        <v>0</v>
      </c>
      <c r="BD328" s="55">
        <v>-2537.0354933568392</v>
      </c>
      <c r="BE328" s="674">
        <v>0</v>
      </c>
      <c r="BF328" s="40">
        <v>0</v>
      </c>
      <c r="BG328" s="38">
        <v>0</v>
      </c>
      <c r="BH328" s="674">
        <v>0</v>
      </c>
      <c r="BI328" s="40">
        <v>0</v>
      </c>
      <c r="BJ328" s="55">
        <v>0</v>
      </c>
      <c r="BK328" s="674">
        <v>2349.339414403586</v>
      </c>
      <c r="BL328" s="40">
        <v>841</v>
      </c>
      <c r="BM328" s="38">
        <v>-1508.339414403586</v>
      </c>
      <c r="BN328" s="674">
        <v>132.13200000000001</v>
      </c>
      <c r="BO328" s="40">
        <v>0</v>
      </c>
      <c r="BP328" s="55">
        <v>-132.13200000000001</v>
      </c>
      <c r="BQ328" s="77">
        <v>12756.489169656743</v>
      </c>
      <c r="BR328" s="40">
        <v>2229</v>
      </c>
      <c r="BS328" s="55">
        <v>-10527.489169656743</v>
      </c>
      <c r="BT328" s="674">
        <v>26980.679121856079</v>
      </c>
      <c r="BU328" s="40">
        <v>37830.283389162265</v>
      </c>
      <c r="BV328" s="52">
        <v>10849.604267306186</v>
      </c>
      <c r="BW328" s="674">
        <v>19528.683643025943</v>
      </c>
      <c r="BX328" s="40">
        <v>20122.693619399186</v>
      </c>
      <c r="BY328" s="52">
        <v>594.00997637324326</v>
      </c>
      <c r="BZ328" s="674">
        <v>12519.395234015046</v>
      </c>
      <c r="CA328" s="40">
        <v>8290.4681800522976</v>
      </c>
      <c r="CB328" s="52">
        <v>-4228.9270539627487</v>
      </c>
      <c r="CC328" s="674">
        <v>1915.5498119750778</v>
      </c>
      <c r="CD328" s="40">
        <v>2013.2831924726397</v>
      </c>
      <c r="CE328" s="52">
        <v>97.733380497561939</v>
      </c>
      <c r="CF328" s="674">
        <v>234.1197702124789</v>
      </c>
      <c r="CG328" s="40">
        <v>0</v>
      </c>
      <c r="CH328" s="52">
        <v>-234.1197702124789</v>
      </c>
      <c r="CI328" s="674">
        <v>5977.7571792287481</v>
      </c>
      <c r="CJ328" s="40">
        <v>6783.6632282954051</v>
      </c>
      <c r="CK328" s="52">
        <v>805.90604906665703</v>
      </c>
      <c r="CL328" s="674">
        <v>0</v>
      </c>
      <c r="CM328" s="40">
        <v>0</v>
      </c>
      <c r="CN328" s="52">
        <v>0</v>
      </c>
      <c r="CO328" s="39">
        <v>5977.7571792287481</v>
      </c>
      <c r="CP328" s="40">
        <v>6783.6632282954051</v>
      </c>
      <c r="CQ328" s="52">
        <v>805.90604906665703</v>
      </c>
      <c r="CR328" s="72">
        <v>184780.27192639932</v>
      </c>
      <c r="CS328" s="5">
        <v>251300.42703255493</v>
      </c>
      <c r="CT328" s="52">
        <v>66520.155106155609</v>
      </c>
      <c r="CU328" s="77">
        <v>221736.32631167918</v>
      </c>
      <c r="CV328" s="65">
        <v>301560.5124390659</v>
      </c>
      <c r="CW328" s="35">
        <v>79824.186127386725</v>
      </c>
      <c r="CX328" s="73">
        <v>11106.172896945416</v>
      </c>
      <c r="CY328" s="40">
        <v>-68718.01323044124</v>
      </c>
      <c r="CZ328" s="52">
        <v>-79824.186127386653</v>
      </c>
      <c r="DA328" s="150">
        <v>33437.540079090824</v>
      </c>
      <c r="DB328" s="2">
        <v>2</v>
      </c>
      <c r="DC328" s="675">
        <v>58748.12</v>
      </c>
      <c r="DD328" s="675">
        <v>18914.47</v>
      </c>
      <c r="DE328" s="675">
        <v>41183.497968242402</v>
      </c>
      <c r="DF328" s="675">
        <v>16067.538970305639</v>
      </c>
      <c r="DG328" s="321">
        <v>-46386.646048295814</v>
      </c>
      <c r="DH328" s="40">
        <v>232824.85796238531</v>
      </c>
      <c r="DI328" s="422">
        <v>20411.553061451967</v>
      </c>
      <c r="DJ328" s="306">
        <v>4.7125515217207568</v>
      </c>
      <c r="DK328" s="306">
        <v>4.7125515217207568</v>
      </c>
      <c r="DL328" s="306">
        <v>4.1051637053992236</v>
      </c>
      <c r="DM328" s="28">
        <v>17564.622031757604</v>
      </c>
      <c r="DN328" s="28">
        <v>2846.9310296943618</v>
      </c>
      <c r="DO328" s="423">
        <v>20411.553061451967</v>
      </c>
      <c r="DP328" s="94">
        <v>0</v>
      </c>
      <c r="DQ328" s="28">
        <v>20411.553061451967</v>
      </c>
      <c r="DR328" s="318"/>
      <c r="DT328" s="8"/>
      <c r="DU328" s="5"/>
      <c r="DX328" s="5">
        <v>65373.469195210862</v>
      </c>
      <c r="DY328" s="5">
        <v>140658.10799999998</v>
      </c>
      <c r="DZ328" s="159">
        <v>5789.1320623746678</v>
      </c>
      <c r="EB328" s="676">
        <v>-3228.6965307836435</v>
      </c>
      <c r="EC328" s="676">
        <v>-3579.7172087013496</v>
      </c>
      <c r="ED328" s="676">
        <v>2327.9492860133869</v>
      </c>
      <c r="EE328" s="676">
        <v>-6545.0422695673351</v>
      </c>
      <c r="EF328" s="676">
        <v>-4684.1913584500762</v>
      </c>
      <c r="EG328" s="676">
        <v>-7342.643380458836</v>
      </c>
      <c r="EH328" s="676">
        <v>-8217.7040136595715</v>
      </c>
      <c r="EI328" s="676">
        <v>-6752.091077649311</v>
      </c>
      <c r="EJ328" s="676">
        <v>62028.361594582326</v>
      </c>
      <c r="EK328" s="676">
        <v>-5753.1584331162703</v>
      </c>
      <c r="EL328" s="676">
        <v>-6034.623411043116</v>
      </c>
      <c r="EM328" s="676">
        <v>67605.74293022044</v>
      </c>
      <c r="EN328" s="676">
        <v>79824.186127386638</v>
      </c>
      <c r="EQ328" s="5">
        <v>65373.469195210862</v>
      </c>
      <c r="ER328" s="5">
        <v>140658.10799999998</v>
      </c>
      <c r="ET328" s="318">
        <v>-50344.867983573888</v>
      </c>
      <c r="EU328" s="5">
        <v>-25336.778064721933</v>
      </c>
    </row>
    <row r="329" spans="1:151" x14ac:dyDescent="0.3">
      <c r="A329" s="325">
        <v>150000809</v>
      </c>
      <c r="B329" s="41" t="s">
        <v>775</v>
      </c>
      <c r="C329" s="42" t="s">
        <v>300</v>
      </c>
      <c r="D329" s="27">
        <v>5</v>
      </c>
      <c r="E329" s="293">
        <v>2543.14</v>
      </c>
      <c r="F329" s="305">
        <v>2104.64</v>
      </c>
      <c r="G329" s="508">
        <v>0</v>
      </c>
      <c r="H329" s="677">
        <v>438.5</v>
      </c>
      <c r="I329" s="674">
        <v>8049.4081734391721</v>
      </c>
      <c r="J329" s="40">
        <v>8824.9964264800728</v>
      </c>
      <c r="K329" s="52">
        <v>775.58825304090078</v>
      </c>
      <c r="L329" s="674">
        <v>1511.1591262057352</v>
      </c>
      <c r="M329" s="40">
        <v>1654.0194681060125</v>
      </c>
      <c r="N329" s="52">
        <v>142.86034190027726</v>
      </c>
      <c r="O329" s="674">
        <v>3315.0055094092099</v>
      </c>
      <c r="P329" s="40">
        <v>3316.0299999999993</v>
      </c>
      <c r="Q329" s="52">
        <v>1.0244905907893553</v>
      </c>
      <c r="R329" s="674">
        <v>0</v>
      </c>
      <c r="S329" s="40">
        <v>0</v>
      </c>
      <c r="T329" s="52">
        <v>0</v>
      </c>
      <c r="U329" s="674">
        <v>0</v>
      </c>
      <c r="V329" s="40">
        <v>0</v>
      </c>
      <c r="W329" s="52">
        <v>0</v>
      </c>
      <c r="X329" s="674">
        <v>4416.334790569118</v>
      </c>
      <c r="Y329" s="40">
        <v>3893.4049326200925</v>
      </c>
      <c r="Z329" s="52">
        <v>-522.92985794902552</v>
      </c>
      <c r="AA329" s="674">
        <v>306.62400000000002</v>
      </c>
      <c r="AB329" s="40">
        <v>0</v>
      </c>
      <c r="AC329" s="52">
        <v>-306.62400000000002</v>
      </c>
      <c r="AD329" s="674">
        <v>10889.977749924688</v>
      </c>
      <c r="AE329" s="40">
        <v>10671.494387562983</v>
      </c>
      <c r="AF329" s="35">
        <v>-218.48336236170508</v>
      </c>
      <c r="AG329" s="77">
        <v>28488.509349547923</v>
      </c>
      <c r="AH329" s="53">
        <v>28359.945214769159</v>
      </c>
      <c r="AI329" s="52">
        <v>-128.56413477876413</v>
      </c>
      <c r="AJ329" s="674">
        <v>0</v>
      </c>
      <c r="AK329" s="40">
        <v>0</v>
      </c>
      <c r="AL329" s="52">
        <v>0</v>
      </c>
      <c r="AM329" s="674">
        <v>0</v>
      </c>
      <c r="AN329" s="40">
        <v>0</v>
      </c>
      <c r="AO329" s="52">
        <v>0</v>
      </c>
      <c r="AP329" s="674">
        <v>6205.6321769746382</v>
      </c>
      <c r="AQ329" s="40">
        <v>8169.727680866049</v>
      </c>
      <c r="AR329" s="52">
        <v>1964.0955038914108</v>
      </c>
      <c r="AS329" s="674">
        <v>32848.117839436702</v>
      </c>
      <c r="AT329" s="40">
        <v>21078.18</v>
      </c>
      <c r="AU329" s="54">
        <v>-11769.937839436701</v>
      </c>
      <c r="AV329" s="674">
        <v>1882.5292603662353</v>
      </c>
      <c r="AW329" s="40">
        <v>832</v>
      </c>
      <c r="AX329" s="55">
        <v>-1050.5292603662353</v>
      </c>
      <c r="AY329" s="674">
        <v>2477.0665297100377</v>
      </c>
      <c r="AZ329" s="40">
        <v>639</v>
      </c>
      <c r="BA329" s="35">
        <v>-1838.0665297100377</v>
      </c>
      <c r="BB329" s="674">
        <v>1569.1735109050467</v>
      </c>
      <c r="BC329" s="40">
        <v>0</v>
      </c>
      <c r="BD329" s="55">
        <v>-1569.1735109050467</v>
      </c>
      <c r="BE329" s="674">
        <v>0</v>
      </c>
      <c r="BF329" s="40">
        <v>0</v>
      </c>
      <c r="BG329" s="38">
        <v>0</v>
      </c>
      <c r="BH329" s="674">
        <v>0</v>
      </c>
      <c r="BI329" s="40">
        <v>0</v>
      </c>
      <c r="BJ329" s="55">
        <v>0</v>
      </c>
      <c r="BK329" s="674">
        <v>972.56580327420443</v>
      </c>
      <c r="BL329" s="40">
        <v>278</v>
      </c>
      <c r="BM329" s="38">
        <v>-694.56580327420443</v>
      </c>
      <c r="BN329" s="674">
        <v>76.656000000000006</v>
      </c>
      <c r="BO329" s="40">
        <v>0</v>
      </c>
      <c r="BP329" s="55">
        <v>-76.656000000000006</v>
      </c>
      <c r="BQ329" s="77">
        <v>6977.9911042555241</v>
      </c>
      <c r="BR329" s="40">
        <v>1749</v>
      </c>
      <c r="BS329" s="55">
        <v>-5228.9911042555241</v>
      </c>
      <c r="BT329" s="674">
        <v>18461.910775616641</v>
      </c>
      <c r="BU329" s="40">
        <v>26014.576203142158</v>
      </c>
      <c r="BV329" s="52">
        <v>7552.6654275255169</v>
      </c>
      <c r="BW329" s="674">
        <v>8676.4377482210766</v>
      </c>
      <c r="BX329" s="40">
        <v>9540.6167465089748</v>
      </c>
      <c r="BY329" s="52">
        <v>864.17899828789814</v>
      </c>
      <c r="BZ329" s="674">
        <v>10491.336321184197</v>
      </c>
      <c r="CA329" s="40">
        <v>5716.42638417526</v>
      </c>
      <c r="CB329" s="52">
        <v>-4774.909937008937</v>
      </c>
      <c r="CC329" s="674">
        <v>0</v>
      </c>
      <c r="CD329" s="40">
        <v>0</v>
      </c>
      <c r="CE329" s="52">
        <v>0</v>
      </c>
      <c r="CF329" s="674">
        <v>0</v>
      </c>
      <c r="CG329" s="40">
        <v>0</v>
      </c>
      <c r="CH329" s="52">
        <v>0</v>
      </c>
      <c r="CI329" s="674">
        <v>6286.5137691208411</v>
      </c>
      <c r="CJ329" s="40">
        <v>5107.717682463006</v>
      </c>
      <c r="CK329" s="52">
        <v>-1178.7960866578351</v>
      </c>
      <c r="CL329" s="674">
        <v>0</v>
      </c>
      <c r="CM329" s="40">
        <v>0</v>
      </c>
      <c r="CN329" s="52">
        <v>0</v>
      </c>
      <c r="CO329" s="39">
        <v>6286.5137691208411</v>
      </c>
      <c r="CP329" s="40">
        <v>5107.717682463006</v>
      </c>
      <c r="CQ329" s="52">
        <v>-1178.7960866578351</v>
      </c>
      <c r="CR329" s="72">
        <v>118436.44908435753</v>
      </c>
      <c r="CS329" s="5">
        <v>105736.18991192459</v>
      </c>
      <c r="CT329" s="52">
        <v>-12700.25917243294</v>
      </c>
      <c r="CU329" s="77">
        <v>142123.73890122902</v>
      </c>
      <c r="CV329" s="65">
        <v>126883.42789430951</v>
      </c>
      <c r="CW329" s="35">
        <v>-15240.31100691951</v>
      </c>
      <c r="CX329" s="73">
        <v>5108.302928330083</v>
      </c>
      <c r="CY329" s="40">
        <v>20348.613935249592</v>
      </c>
      <c r="CZ329" s="52">
        <v>15240.31100691951</v>
      </c>
      <c r="DA329" s="150">
        <v>15908.832238422656</v>
      </c>
      <c r="DB329" s="2">
        <v>2</v>
      </c>
      <c r="DC329" s="675">
        <v>27486.29</v>
      </c>
      <c r="DD329" s="675">
        <v>1508.2900000000002</v>
      </c>
      <c r="DE329" s="675">
        <v>16716.443486370539</v>
      </c>
      <c r="DF329" s="675">
        <v>-529.3372939858632</v>
      </c>
      <c r="DG329" s="321">
        <v>31149.143245342166</v>
      </c>
      <c r="DH329" s="40">
        <v>147220.56613812721</v>
      </c>
      <c r="DI329" s="422">
        <v>12807.473807615323</v>
      </c>
      <c r="DJ329" s="306">
        <v>5.1171917827416857</v>
      </c>
      <c r="DK329" s="306">
        <v>5.1171917827416857</v>
      </c>
      <c r="DL329" s="306">
        <v>4.6468125290441584</v>
      </c>
      <c r="DM329" s="28">
        <v>10769.846513629462</v>
      </c>
      <c r="DN329" s="28">
        <v>2037.6272939858634</v>
      </c>
      <c r="DO329" s="423">
        <v>12807.473807615324</v>
      </c>
      <c r="DP329" s="94">
        <v>0</v>
      </c>
      <c r="DQ329" s="28">
        <v>12807.473807615324</v>
      </c>
      <c r="DR329" s="318"/>
      <c r="DT329" s="8"/>
      <c r="DU329" s="5"/>
      <c r="DX329" s="5">
        <v>47791.330732430673</v>
      </c>
      <c r="DY329" s="5">
        <v>27392.615999999998</v>
      </c>
      <c r="DZ329" s="159">
        <v>4269.5822424234848</v>
      </c>
      <c r="EB329" s="676">
        <v>1654.6379969471145</v>
      </c>
      <c r="EC329" s="676">
        <v>12212.008994529431</v>
      </c>
      <c r="ED329" s="676">
        <v>-3084.245526415697</v>
      </c>
      <c r="EE329" s="676">
        <v>-4418.8180382911132</v>
      </c>
      <c r="EF329" s="676">
        <v>-2288.9440939306514</v>
      </c>
      <c r="EG329" s="676">
        <v>3470.688435014159</v>
      </c>
      <c r="EH329" s="676">
        <v>-4616.5637939865792</v>
      </c>
      <c r="EI329" s="676">
        <v>-4042.1748174992281</v>
      </c>
      <c r="EJ329" s="676">
        <v>-3504.5091008536729</v>
      </c>
      <c r="EK329" s="676">
        <v>-4742.225844019541</v>
      </c>
      <c r="EL329" s="676">
        <v>-1390.8420112988188</v>
      </c>
      <c r="EM329" s="676">
        <v>-4489.3232071149123</v>
      </c>
      <c r="EN329" s="676">
        <v>-15240.31100691951</v>
      </c>
      <c r="EQ329" s="5">
        <v>47791.330732430673</v>
      </c>
      <c r="ER329" s="5">
        <v>27392.615999999998</v>
      </c>
      <c r="ET329" s="318">
        <v>-11852.187086720087</v>
      </c>
      <c r="EU329" s="5">
        <v>-19100.669667937749</v>
      </c>
    </row>
    <row r="330" spans="1:151" x14ac:dyDescent="0.3">
      <c r="A330" s="325">
        <v>150000810</v>
      </c>
      <c r="B330" s="41" t="s">
        <v>776</v>
      </c>
      <c r="C330" s="42" t="s">
        <v>301</v>
      </c>
      <c r="D330" s="27">
        <v>5</v>
      </c>
      <c r="E330" s="293">
        <v>2998.76</v>
      </c>
      <c r="F330" s="305">
        <v>2552.36</v>
      </c>
      <c r="G330" s="508">
        <v>0</v>
      </c>
      <c r="H330" s="677">
        <v>446.4</v>
      </c>
      <c r="I330" s="674">
        <v>9732.2324727791602</v>
      </c>
      <c r="J330" s="40">
        <v>10692.831934315098</v>
      </c>
      <c r="K330" s="52">
        <v>960.59946153593773</v>
      </c>
      <c r="L330" s="674">
        <v>1942.5347318807126</v>
      </c>
      <c r="M330" s="40">
        <v>2126.1820914824029</v>
      </c>
      <c r="N330" s="52">
        <v>183.64735960169037</v>
      </c>
      <c r="O330" s="674">
        <v>3468.4480955307899</v>
      </c>
      <c r="P330" s="40">
        <v>3467.74</v>
      </c>
      <c r="Q330" s="52">
        <v>-0.70809553079016041</v>
      </c>
      <c r="R330" s="674">
        <v>0</v>
      </c>
      <c r="S330" s="40">
        <v>0</v>
      </c>
      <c r="T330" s="52">
        <v>0</v>
      </c>
      <c r="U330" s="674">
        <v>0</v>
      </c>
      <c r="V330" s="40">
        <v>0</v>
      </c>
      <c r="W330" s="52">
        <v>0</v>
      </c>
      <c r="X330" s="674">
        <v>5929.2301565133184</v>
      </c>
      <c r="Y330" s="40">
        <v>5027.7715100787245</v>
      </c>
      <c r="Z330" s="52">
        <v>-901.4586464345939</v>
      </c>
      <c r="AA330" s="674">
        <v>359.89800000000002</v>
      </c>
      <c r="AB330" s="40">
        <v>0</v>
      </c>
      <c r="AC330" s="52">
        <v>-359.89800000000002</v>
      </c>
      <c r="AD330" s="674">
        <v>12831.072467562453</v>
      </c>
      <c r="AE330" s="40">
        <v>12740.897111243909</v>
      </c>
      <c r="AF330" s="35">
        <v>-90.1753563185448</v>
      </c>
      <c r="AG330" s="77">
        <v>34263.415924266432</v>
      </c>
      <c r="AH330" s="53">
        <v>34055.422647120133</v>
      </c>
      <c r="AI330" s="52">
        <v>-207.99327714629908</v>
      </c>
      <c r="AJ330" s="674">
        <v>0</v>
      </c>
      <c r="AK330" s="40">
        <v>0</v>
      </c>
      <c r="AL330" s="52">
        <v>0</v>
      </c>
      <c r="AM330" s="674">
        <v>0</v>
      </c>
      <c r="AN330" s="40">
        <v>0</v>
      </c>
      <c r="AO330" s="52">
        <v>0</v>
      </c>
      <c r="AP330" s="674">
        <v>8633.9230288342769</v>
      </c>
      <c r="AQ330" s="40">
        <v>6907.3385392603923</v>
      </c>
      <c r="AR330" s="52">
        <v>-1726.5844895738846</v>
      </c>
      <c r="AS330" s="674">
        <v>29595.841783209089</v>
      </c>
      <c r="AT330" s="40">
        <v>52652.163985599786</v>
      </c>
      <c r="AU330" s="54">
        <v>23056.322202390696</v>
      </c>
      <c r="AV330" s="674">
        <v>2156.6832172201143</v>
      </c>
      <c r="AW330" s="40">
        <v>8874.42</v>
      </c>
      <c r="AX330" s="55">
        <v>6717.7367827798862</v>
      </c>
      <c r="AY330" s="674">
        <v>3184.3734628698135</v>
      </c>
      <c r="AZ330" s="40">
        <v>0</v>
      </c>
      <c r="BA330" s="35">
        <v>-3184.3734628698135</v>
      </c>
      <c r="BB330" s="674">
        <v>1502.6646556983828</v>
      </c>
      <c r="BC330" s="40">
        <v>583</v>
      </c>
      <c r="BD330" s="55">
        <v>-919.66465569838283</v>
      </c>
      <c r="BE330" s="674">
        <v>0</v>
      </c>
      <c r="BF330" s="40">
        <v>0</v>
      </c>
      <c r="BG330" s="38">
        <v>0</v>
      </c>
      <c r="BH330" s="674">
        <v>0</v>
      </c>
      <c r="BI330" s="40">
        <v>0</v>
      </c>
      <c r="BJ330" s="55">
        <v>0</v>
      </c>
      <c r="BK330" s="674">
        <v>1361.6414174525512</v>
      </c>
      <c r="BL330" s="40">
        <v>0</v>
      </c>
      <c r="BM330" s="38">
        <v>-1361.6414174525512</v>
      </c>
      <c r="BN330" s="674">
        <v>89.974500000000006</v>
      </c>
      <c r="BO330" s="40">
        <v>0</v>
      </c>
      <c r="BP330" s="55">
        <v>-89.974500000000006</v>
      </c>
      <c r="BQ330" s="77">
        <v>8295.3372532408612</v>
      </c>
      <c r="BR330" s="40">
        <v>9457.42</v>
      </c>
      <c r="BS330" s="55">
        <v>1162.0827467591389</v>
      </c>
      <c r="BT330" s="674">
        <v>20532.081827740451</v>
      </c>
      <c r="BU330" s="40">
        <v>29838.546745638101</v>
      </c>
      <c r="BV330" s="52">
        <v>9306.4649178976506</v>
      </c>
      <c r="BW330" s="674">
        <v>11400.723326591511</v>
      </c>
      <c r="BX330" s="40">
        <v>11844.748310449018</v>
      </c>
      <c r="BY330" s="52">
        <v>444.02498385750732</v>
      </c>
      <c r="BZ330" s="674">
        <v>10784.190847095429</v>
      </c>
      <c r="CA330" s="40">
        <v>6474.1817572602449</v>
      </c>
      <c r="CB330" s="52">
        <v>-4310.0090898351846</v>
      </c>
      <c r="CC330" s="674">
        <v>0</v>
      </c>
      <c r="CD330" s="40">
        <v>0</v>
      </c>
      <c r="CE330" s="52">
        <v>0</v>
      </c>
      <c r="CF330" s="674">
        <v>0</v>
      </c>
      <c r="CG330" s="40">
        <v>0</v>
      </c>
      <c r="CH330" s="52">
        <v>0</v>
      </c>
      <c r="CI330" s="674">
        <v>4041.2420715248668</v>
      </c>
      <c r="CJ330" s="40">
        <v>3598.6617203677993</v>
      </c>
      <c r="CK330" s="52">
        <v>-442.58035115706753</v>
      </c>
      <c r="CL330" s="674">
        <v>0</v>
      </c>
      <c r="CM330" s="40">
        <v>0</v>
      </c>
      <c r="CN330" s="52">
        <v>0</v>
      </c>
      <c r="CO330" s="39">
        <v>4041.2420715248668</v>
      </c>
      <c r="CP330" s="40">
        <v>3598.6617203677993</v>
      </c>
      <c r="CQ330" s="52">
        <v>-442.58035115706753</v>
      </c>
      <c r="CR330" s="72">
        <v>127546.75606250291</v>
      </c>
      <c r="CS330" s="5">
        <v>154828.48370569543</v>
      </c>
      <c r="CT330" s="52">
        <v>27281.727643192513</v>
      </c>
      <c r="CU330" s="77">
        <v>153056.10727500348</v>
      </c>
      <c r="CV330" s="65">
        <v>185794.18044683451</v>
      </c>
      <c r="CW330" s="35">
        <v>32738.073171831027</v>
      </c>
      <c r="CX330" s="73">
        <v>7068.0292612507901</v>
      </c>
      <c r="CY330" s="40">
        <v>-25670.043910580258</v>
      </c>
      <c r="CZ330" s="52">
        <v>-32738.073171831049</v>
      </c>
      <c r="DA330" s="150">
        <v>36067.962297287406</v>
      </c>
      <c r="DB330" s="2">
        <v>2</v>
      </c>
      <c r="DC330" s="675">
        <v>46336.01</v>
      </c>
      <c r="DD330" s="675">
        <v>1881.29</v>
      </c>
      <c r="DE330" s="675">
        <v>34309.16940350279</v>
      </c>
      <c r="DF330" s="675">
        <v>7.9552883469409608</v>
      </c>
      <c r="DG330" s="321">
        <v>3329.8891254563732</v>
      </c>
      <c r="DH330" s="40">
        <v>160111.56306920131</v>
      </c>
      <c r="DI330" s="422">
        <v>13900.175308150268</v>
      </c>
      <c r="DJ330" s="306">
        <v>4.712047123641339</v>
      </c>
      <c r="DK330" s="306">
        <v>4.712047123641339</v>
      </c>
      <c r="DL330" s="306">
        <v>4.1965383325561358</v>
      </c>
      <c r="DM330" s="28">
        <v>12026.840596497208</v>
      </c>
      <c r="DN330" s="28">
        <v>1873.334711653059</v>
      </c>
      <c r="DO330" s="423">
        <v>13900.175308150267</v>
      </c>
      <c r="DP330" s="94">
        <v>0</v>
      </c>
      <c r="DQ330" s="28">
        <v>13900.175308150267</v>
      </c>
      <c r="DR330" s="318"/>
      <c r="DT330" s="8"/>
      <c r="DU330" s="5"/>
      <c r="DX330" s="5">
        <v>45469.414843739934</v>
      </c>
      <c r="DY330" s="5">
        <v>74531.500782719741</v>
      </c>
      <c r="DZ330" s="159">
        <v>4061.6590294047523</v>
      </c>
      <c r="EB330" s="676">
        <v>-1142.7027914594237</v>
      </c>
      <c r="EC330" s="676">
        <v>313.8702117993962</v>
      </c>
      <c r="ED330" s="676">
        <v>3147.0356218039869</v>
      </c>
      <c r="EE330" s="676">
        <v>-3356.75999208963</v>
      </c>
      <c r="EF330" s="676">
        <v>-5974.2843563566039</v>
      </c>
      <c r="EG330" s="676">
        <v>-2226.4732966041101</v>
      </c>
      <c r="EH330" s="676">
        <v>-5858.7773662136824</v>
      </c>
      <c r="EI330" s="676">
        <v>-4958.3890966912059</v>
      </c>
      <c r="EJ330" s="676">
        <v>2094.3367723961128</v>
      </c>
      <c r="EK330" s="676">
        <v>51502.888876939214</v>
      </c>
      <c r="EL330" s="676">
        <v>4226.0970766103692</v>
      </c>
      <c r="EM330" s="676">
        <v>-5028.7684883033889</v>
      </c>
      <c r="EN330" s="676">
        <v>32738.073171831034</v>
      </c>
      <c r="EQ330" s="5">
        <v>45469.414843739934</v>
      </c>
      <c r="ER330" s="5">
        <v>74531.500782719741</v>
      </c>
      <c r="ET330" s="318">
        <v>-17434.338753121505</v>
      </c>
      <c r="EU330" s="5">
        <v>-16989.772121422116</v>
      </c>
    </row>
    <row r="331" spans="1:151" x14ac:dyDescent="0.3">
      <c r="A331" s="325">
        <v>150000811</v>
      </c>
      <c r="B331" s="41" t="s">
        <v>777</v>
      </c>
      <c r="C331" s="42" t="s">
        <v>302</v>
      </c>
      <c r="D331" s="27">
        <v>5</v>
      </c>
      <c r="E331" s="293">
        <v>2604</v>
      </c>
      <c r="F331" s="305">
        <v>2562</v>
      </c>
      <c r="G331" s="508">
        <v>0</v>
      </c>
      <c r="H331" s="677">
        <v>42</v>
      </c>
      <c r="I331" s="674">
        <v>8872.2220989474281</v>
      </c>
      <c r="J331" s="40">
        <v>9711.0396207676949</v>
      </c>
      <c r="K331" s="52">
        <v>838.81752182026685</v>
      </c>
      <c r="L331" s="674">
        <v>1521.3899498154415</v>
      </c>
      <c r="M331" s="40">
        <v>1665.2220731928114</v>
      </c>
      <c r="N331" s="52">
        <v>143.83212337736995</v>
      </c>
      <c r="O331" s="674">
        <v>3373.3784029141598</v>
      </c>
      <c r="P331" s="40">
        <v>3373.8600000000006</v>
      </c>
      <c r="Q331" s="52">
        <v>0.48159708584080363</v>
      </c>
      <c r="R331" s="674">
        <v>0</v>
      </c>
      <c r="S331" s="40">
        <v>0</v>
      </c>
      <c r="T331" s="52">
        <v>0</v>
      </c>
      <c r="U331" s="674">
        <v>0</v>
      </c>
      <c r="V331" s="40">
        <v>0</v>
      </c>
      <c r="W331" s="52">
        <v>0</v>
      </c>
      <c r="X331" s="674">
        <v>4773.7693988108358</v>
      </c>
      <c r="Y331" s="40">
        <v>3469.8408850453216</v>
      </c>
      <c r="Z331" s="52">
        <v>-1303.9285137655143</v>
      </c>
      <c r="AA331" s="674">
        <v>311.976</v>
      </c>
      <c r="AB331" s="40">
        <v>0</v>
      </c>
      <c r="AC331" s="52">
        <v>-311.976</v>
      </c>
      <c r="AD331" s="674">
        <v>11157.641316545625</v>
      </c>
      <c r="AE331" s="40">
        <v>11057.625121599447</v>
      </c>
      <c r="AF331" s="35">
        <v>-100.01619494617808</v>
      </c>
      <c r="AG331" s="77">
        <v>30010.37716703349</v>
      </c>
      <c r="AH331" s="53">
        <v>29277.587700605276</v>
      </c>
      <c r="AI331" s="52">
        <v>-732.78946642821393</v>
      </c>
      <c r="AJ331" s="674">
        <v>0</v>
      </c>
      <c r="AK331" s="40">
        <v>0</v>
      </c>
      <c r="AL331" s="52">
        <v>0</v>
      </c>
      <c r="AM331" s="674">
        <v>0</v>
      </c>
      <c r="AN331" s="40">
        <v>0</v>
      </c>
      <c r="AO331" s="52">
        <v>0</v>
      </c>
      <c r="AP331" s="674">
        <v>7959.3977922065978</v>
      </c>
      <c r="AQ331" s="40">
        <v>2434.9491852055648</v>
      </c>
      <c r="AR331" s="52">
        <v>-5524.4486070010335</v>
      </c>
      <c r="AS331" s="674">
        <v>35827.271419115328</v>
      </c>
      <c r="AT331" s="40">
        <v>35000.509830417352</v>
      </c>
      <c r="AU331" s="54">
        <v>-826.76158869797655</v>
      </c>
      <c r="AV331" s="674">
        <v>1958.4660508587604</v>
      </c>
      <c r="AW331" s="40">
        <v>0</v>
      </c>
      <c r="AX331" s="55">
        <v>-1958.4660508587604</v>
      </c>
      <c r="AY331" s="674">
        <v>2493.878822579903</v>
      </c>
      <c r="AZ331" s="40">
        <v>951</v>
      </c>
      <c r="BA331" s="35">
        <v>-1542.878822579903</v>
      </c>
      <c r="BB331" s="674">
        <v>1747.4389241060564</v>
      </c>
      <c r="BC331" s="40">
        <v>0</v>
      </c>
      <c r="BD331" s="55">
        <v>-1747.4389241060564</v>
      </c>
      <c r="BE331" s="674">
        <v>0</v>
      </c>
      <c r="BF331" s="40">
        <v>0</v>
      </c>
      <c r="BG331" s="38">
        <v>0</v>
      </c>
      <c r="BH331" s="674">
        <v>0</v>
      </c>
      <c r="BI331" s="40">
        <v>0</v>
      </c>
      <c r="BJ331" s="55">
        <v>0</v>
      </c>
      <c r="BK331" s="674">
        <v>1059.9878087732977</v>
      </c>
      <c r="BL331" s="40">
        <v>0</v>
      </c>
      <c r="BM331" s="38">
        <v>-1059.9878087732977</v>
      </c>
      <c r="BN331" s="674">
        <v>77.994</v>
      </c>
      <c r="BO331" s="40">
        <v>0</v>
      </c>
      <c r="BP331" s="55">
        <v>-77.994</v>
      </c>
      <c r="BQ331" s="77">
        <v>7337.7656063180175</v>
      </c>
      <c r="BR331" s="40">
        <v>951</v>
      </c>
      <c r="BS331" s="55">
        <v>-6386.7656063180175</v>
      </c>
      <c r="BT331" s="674">
        <v>27078.235026049442</v>
      </c>
      <c r="BU331" s="40">
        <v>34471.404185127205</v>
      </c>
      <c r="BV331" s="52">
        <v>7393.1691590777627</v>
      </c>
      <c r="BW331" s="674">
        <v>12605.04819086538</v>
      </c>
      <c r="BX331" s="40">
        <v>12523.472243792596</v>
      </c>
      <c r="BY331" s="52">
        <v>-81.575947072784402</v>
      </c>
      <c r="BZ331" s="674">
        <v>13195.917817636579</v>
      </c>
      <c r="CA331" s="40">
        <v>8198.302382490765</v>
      </c>
      <c r="CB331" s="52">
        <v>-4997.6154351458135</v>
      </c>
      <c r="CC331" s="674">
        <v>1288.6122846552207</v>
      </c>
      <c r="CD331" s="40">
        <v>1354.3586484107982</v>
      </c>
      <c r="CE331" s="52">
        <v>65.746363755577477</v>
      </c>
      <c r="CF331" s="674">
        <v>157.49504924927675</v>
      </c>
      <c r="CG331" s="40">
        <v>0</v>
      </c>
      <c r="CH331" s="52">
        <v>-157.49504924927675</v>
      </c>
      <c r="CI331" s="674">
        <v>2857.8552946683276</v>
      </c>
      <c r="CJ331" s="40">
        <v>2217.2879046443918</v>
      </c>
      <c r="CK331" s="52">
        <v>-640.56739002393579</v>
      </c>
      <c r="CL331" s="674">
        <v>0</v>
      </c>
      <c r="CM331" s="40">
        <v>0</v>
      </c>
      <c r="CN331" s="52">
        <v>0</v>
      </c>
      <c r="CO331" s="39">
        <v>2857.8552946683276</v>
      </c>
      <c r="CP331" s="40">
        <v>2217.2879046443918</v>
      </c>
      <c r="CQ331" s="52">
        <v>-640.56739002393579</v>
      </c>
      <c r="CR331" s="72">
        <v>138317.97564779763</v>
      </c>
      <c r="CS331" s="5">
        <v>126428.87208069392</v>
      </c>
      <c r="CT331" s="52">
        <v>-11889.10356710371</v>
      </c>
      <c r="CU331" s="77">
        <v>165981.57077735715</v>
      </c>
      <c r="CV331" s="65">
        <v>151714.64649683269</v>
      </c>
      <c r="CW331" s="35">
        <v>-14266.924280524458</v>
      </c>
      <c r="CX331" s="73">
        <v>3025.01708233306</v>
      </c>
      <c r="CY331" s="40">
        <v>17291.941362857557</v>
      </c>
      <c r="CZ331" s="52">
        <v>14266.924280524498</v>
      </c>
      <c r="DA331" s="150">
        <v>68429.687443128147</v>
      </c>
      <c r="DB331" s="2">
        <v>2</v>
      </c>
      <c r="DC331" s="675">
        <v>32895.449999999997</v>
      </c>
      <c r="DD331" s="675">
        <v>9866.9599999999991</v>
      </c>
      <c r="DE331" s="675">
        <v>18276.279403023778</v>
      </c>
      <c r="DF331" s="675">
        <v>9650.2430956542958</v>
      </c>
      <c r="DG331" s="321">
        <v>82696.611723652633</v>
      </c>
      <c r="DH331" s="40">
        <v>168993.8488738579</v>
      </c>
      <c r="DI331" s="422">
        <v>14835.88750132192</v>
      </c>
      <c r="DJ331" s="306">
        <v>5.7061555803966506</v>
      </c>
      <c r="DK331" s="306">
        <v>5.7061555803966506</v>
      </c>
      <c r="DL331" s="306">
        <v>5.1599262939453032</v>
      </c>
      <c r="DM331" s="28">
        <v>14619.170596976219</v>
      </c>
      <c r="DN331" s="28">
        <v>216.71690434570274</v>
      </c>
      <c r="DO331" s="423">
        <v>14835.887501321922</v>
      </c>
      <c r="DP331" s="94">
        <v>0</v>
      </c>
      <c r="DQ331" s="28">
        <v>14835.887501321922</v>
      </c>
      <c r="DR331" s="318"/>
      <c r="DT331" s="8"/>
      <c r="DU331" s="5"/>
      <c r="DX331" s="5">
        <v>51798.044430520014</v>
      </c>
      <c r="DY331" s="5">
        <v>43141.81179650082</v>
      </c>
      <c r="DZ331" s="159">
        <v>4486.1129598243033</v>
      </c>
      <c r="EB331" s="676">
        <v>-1770.9565621014135</v>
      </c>
      <c r="EC331" s="676">
        <v>-3467.3256361620952</v>
      </c>
      <c r="ED331" s="676">
        <v>-3837.8386481957959</v>
      </c>
      <c r="EE331" s="676">
        <v>-5875.9593037023151</v>
      </c>
      <c r="EF331" s="676">
        <v>-5874.8899594424638</v>
      </c>
      <c r="EG331" s="676">
        <v>-6640.1766572165061</v>
      </c>
      <c r="EH331" s="676">
        <v>-5507.555011250146</v>
      </c>
      <c r="EI331" s="676">
        <v>-2742.3418817083875</v>
      </c>
      <c r="EJ331" s="676">
        <v>36526.100363187979</v>
      </c>
      <c r="EK331" s="676">
        <v>-4197.0544506796468</v>
      </c>
      <c r="EL331" s="676">
        <v>-5075.516159919609</v>
      </c>
      <c r="EM331" s="676">
        <v>-5803.4103733340889</v>
      </c>
      <c r="EN331" s="676">
        <v>-14266.924280524485</v>
      </c>
      <c r="EQ331" s="5">
        <v>51798.044430520014</v>
      </c>
      <c r="ER331" s="5">
        <v>43141.81179650082</v>
      </c>
      <c r="ET331" s="318">
        <v>-11726.847281157292</v>
      </c>
      <c r="EU331" s="5">
        <v>105762.45900480995</v>
      </c>
    </row>
    <row r="332" spans="1:151" x14ac:dyDescent="0.3">
      <c r="A332" s="325">
        <v>150000812</v>
      </c>
      <c r="B332" s="41" t="s">
        <v>778</v>
      </c>
      <c r="C332" s="42" t="s">
        <v>303</v>
      </c>
      <c r="D332" s="27">
        <v>5</v>
      </c>
      <c r="E332" s="293">
        <v>2780.9</v>
      </c>
      <c r="F332" s="305">
        <v>2295.3000000000002</v>
      </c>
      <c r="G332" s="508">
        <v>0</v>
      </c>
      <c r="H332" s="677">
        <v>485.6</v>
      </c>
      <c r="I332" s="674">
        <v>5733.4891203453126</v>
      </c>
      <c r="J332" s="40">
        <v>6417.7300700371643</v>
      </c>
      <c r="K332" s="52">
        <v>684.24094969185171</v>
      </c>
      <c r="L332" s="674">
        <v>1143.2652000975795</v>
      </c>
      <c r="M332" s="40">
        <v>1251.3452586297913</v>
      </c>
      <c r="N332" s="52">
        <v>108.08005853221175</v>
      </c>
      <c r="O332" s="674">
        <v>3963.4447011441057</v>
      </c>
      <c r="P332" s="40">
        <v>3962.9950000000008</v>
      </c>
      <c r="Q332" s="52">
        <v>-0.44970114410489259</v>
      </c>
      <c r="R332" s="674">
        <v>0</v>
      </c>
      <c r="S332" s="40">
        <v>0</v>
      </c>
      <c r="T332" s="52">
        <v>0</v>
      </c>
      <c r="U332" s="674">
        <v>0</v>
      </c>
      <c r="V332" s="40">
        <v>0</v>
      </c>
      <c r="W332" s="52">
        <v>0</v>
      </c>
      <c r="X332" s="674">
        <v>4581.7016189504402</v>
      </c>
      <c r="Y332" s="40">
        <v>4040.8936576310725</v>
      </c>
      <c r="Z332" s="52">
        <v>-540.80796131936768</v>
      </c>
      <c r="AA332" s="674">
        <v>366.73199999999997</v>
      </c>
      <c r="AB332" s="40">
        <v>0</v>
      </c>
      <c r="AC332" s="52">
        <v>-366.73199999999997</v>
      </c>
      <c r="AD332" s="674">
        <v>12186.013341964583</v>
      </c>
      <c r="AE332" s="40">
        <v>11945.559439871784</v>
      </c>
      <c r="AF332" s="35">
        <v>-240.45390209279867</v>
      </c>
      <c r="AG332" s="77">
        <v>27974.645982502021</v>
      </c>
      <c r="AH332" s="53">
        <v>27618.523426169813</v>
      </c>
      <c r="AI332" s="52">
        <v>-356.12255633220775</v>
      </c>
      <c r="AJ332" s="674">
        <v>0</v>
      </c>
      <c r="AK332" s="40">
        <v>0</v>
      </c>
      <c r="AL332" s="52">
        <v>0</v>
      </c>
      <c r="AM332" s="674">
        <v>0</v>
      </c>
      <c r="AN332" s="40">
        <v>0</v>
      </c>
      <c r="AO332" s="52">
        <v>0</v>
      </c>
      <c r="AP332" s="674">
        <v>1169.1770768213084</v>
      </c>
      <c r="AQ332" s="40">
        <v>925.78047353774252</v>
      </c>
      <c r="AR332" s="52">
        <v>-243.39660328356592</v>
      </c>
      <c r="AS332" s="674">
        <v>24982.884878589066</v>
      </c>
      <c r="AT332" s="40">
        <v>7289</v>
      </c>
      <c r="AU332" s="54">
        <v>-17693.884878589066</v>
      </c>
      <c r="AV332" s="674">
        <v>1445.1730664870065</v>
      </c>
      <c r="AW332" s="40">
        <v>0</v>
      </c>
      <c r="AX332" s="55">
        <v>-1445.1730664870065</v>
      </c>
      <c r="AY332" s="674">
        <v>1874.1450382716523</v>
      </c>
      <c r="AZ332" s="40">
        <v>33</v>
      </c>
      <c r="BA332" s="35">
        <v>-1841.1450382716523</v>
      </c>
      <c r="BB332" s="674">
        <v>1765.2780637520916</v>
      </c>
      <c r="BC332" s="40">
        <v>0</v>
      </c>
      <c r="BD332" s="55">
        <v>-1765.2780637520916</v>
      </c>
      <c r="BE332" s="674">
        <v>0</v>
      </c>
      <c r="BF332" s="40">
        <v>0</v>
      </c>
      <c r="BG332" s="38">
        <v>0</v>
      </c>
      <c r="BH332" s="674">
        <v>0</v>
      </c>
      <c r="BI332" s="40">
        <v>0</v>
      </c>
      <c r="BJ332" s="55">
        <v>0</v>
      </c>
      <c r="BK332" s="674">
        <v>1029.2576227205518</v>
      </c>
      <c r="BL332" s="40">
        <v>505</v>
      </c>
      <c r="BM332" s="38">
        <v>-524.25762272055181</v>
      </c>
      <c r="BN332" s="674">
        <v>91.682999999999993</v>
      </c>
      <c r="BO332" s="40">
        <v>0</v>
      </c>
      <c r="BP332" s="55">
        <v>-91.682999999999993</v>
      </c>
      <c r="BQ332" s="77">
        <v>6205.5367912313022</v>
      </c>
      <c r="BR332" s="40">
        <v>538</v>
      </c>
      <c r="BS332" s="55">
        <v>-5667.5367912313022</v>
      </c>
      <c r="BT332" s="674">
        <v>30531.520223432071</v>
      </c>
      <c r="BU332" s="40">
        <v>39992.412307230836</v>
      </c>
      <c r="BV332" s="52">
        <v>9460.8920837987644</v>
      </c>
      <c r="BW332" s="674">
        <v>10860.673694543131</v>
      </c>
      <c r="BX332" s="40">
        <v>12157.90639368039</v>
      </c>
      <c r="BY332" s="52">
        <v>1297.2326991372593</v>
      </c>
      <c r="BZ332" s="674">
        <v>15977.02663550778</v>
      </c>
      <c r="CA332" s="40">
        <v>9330.3475710275634</v>
      </c>
      <c r="CB332" s="52">
        <v>-6646.6790644802168</v>
      </c>
      <c r="CC332" s="674">
        <v>0</v>
      </c>
      <c r="CD332" s="40">
        <v>0</v>
      </c>
      <c r="CE332" s="52">
        <v>0</v>
      </c>
      <c r="CF332" s="674">
        <v>0</v>
      </c>
      <c r="CG332" s="40">
        <v>0</v>
      </c>
      <c r="CH332" s="52">
        <v>0</v>
      </c>
      <c r="CI332" s="674">
        <v>5725.4308914629582</v>
      </c>
      <c r="CJ332" s="40">
        <v>5720.3148921757747</v>
      </c>
      <c r="CK332" s="52">
        <v>-5.1159992871835129</v>
      </c>
      <c r="CL332" s="674">
        <v>0</v>
      </c>
      <c r="CM332" s="40">
        <v>0</v>
      </c>
      <c r="CN332" s="52">
        <v>0</v>
      </c>
      <c r="CO332" s="39">
        <v>5725.4308914629582</v>
      </c>
      <c r="CP332" s="40">
        <v>5720.3148921757747</v>
      </c>
      <c r="CQ332" s="52">
        <v>-5.1159992871835129</v>
      </c>
      <c r="CR332" s="72">
        <v>123426.89617408963</v>
      </c>
      <c r="CS332" s="5">
        <v>103572.28506382211</v>
      </c>
      <c r="CT332" s="52">
        <v>-19854.61111026752</v>
      </c>
      <c r="CU332" s="77">
        <v>148112.27540890756</v>
      </c>
      <c r="CV332" s="65">
        <v>124286.74207658652</v>
      </c>
      <c r="CW332" s="35">
        <v>-23825.533332321036</v>
      </c>
      <c r="CX332" s="73">
        <v>3532.5224322376625</v>
      </c>
      <c r="CY332" s="40">
        <v>27358.055764558674</v>
      </c>
      <c r="CZ332" s="52">
        <v>23825.533332321011</v>
      </c>
      <c r="DA332" s="150">
        <v>8826.2512316097891</v>
      </c>
      <c r="DB332" s="2">
        <v>2</v>
      </c>
      <c r="DC332" s="675">
        <v>47444.9</v>
      </c>
      <c r="DD332" s="675">
        <v>2428.34</v>
      </c>
      <c r="DE332" s="675">
        <v>36618.747819240809</v>
      </c>
      <c r="DF332" s="675">
        <v>391.30464656681625</v>
      </c>
      <c r="DG332" s="321">
        <v>32651.784563930796</v>
      </c>
      <c r="DH332" s="40">
        <v>149730.64076385598</v>
      </c>
      <c r="DI332" s="422">
        <v>12863.187534192373</v>
      </c>
      <c r="DJ332" s="306">
        <v>4.716661081670888</v>
      </c>
      <c r="DK332" s="306">
        <v>4.716661081670888</v>
      </c>
      <c r="DL332" s="306">
        <v>4.1948833472676768</v>
      </c>
      <c r="DM332" s="28">
        <v>10826.152180759191</v>
      </c>
      <c r="DN332" s="28">
        <v>2037.0353534331839</v>
      </c>
      <c r="DO332" s="423">
        <v>12863.187534192375</v>
      </c>
      <c r="DP332" s="94">
        <v>0</v>
      </c>
      <c r="DQ332" s="28">
        <v>12863.187534192375</v>
      </c>
      <c r="DR332" s="318"/>
      <c r="DT332" s="8"/>
      <c r="DU332" s="5"/>
      <c r="DX332" s="5">
        <v>37426.106003784436</v>
      </c>
      <c r="DY332" s="5">
        <v>9392.4</v>
      </c>
      <c r="DZ332" s="159">
        <v>3244.7610930881874</v>
      </c>
      <c r="EB332" s="676">
        <v>-300.46563318321932</v>
      </c>
      <c r="EC332" s="676">
        <v>-1820.0954490188815</v>
      </c>
      <c r="ED332" s="676">
        <v>-1961.5725673832094</v>
      </c>
      <c r="EE332" s="676">
        <v>-2700.6181238813551</v>
      </c>
      <c r="EF332" s="676">
        <v>-4428.3850659065447</v>
      </c>
      <c r="EG332" s="676">
        <v>-4505.3873786749773</v>
      </c>
      <c r="EH332" s="676">
        <v>-4461.5755033528403</v>
      </c>
      <c r="EI332" s="676">
        <v>-2653.4347465308983</v>
      </c>
      <c r="EJ332" s="676">
        <v>-3251.4260111989825</v>
      </c>
      <c r="EK332" s="676">
        <v>879.22114967629568</v>
      </c>
      <c r="EL332" s="676">
        <v>4844.5174993189139</v>
      </c>
      <c r="EM332" s="676">
        <v>-3466.3115021853082</v>
      </c>
      <c r="EN332" s="676">
        <v>-23825.533332321007</v>
      </c>
      <c r="EQ332" s="5">
        <v>37426.106003784436</v>
      </c>
      <c r="ER332" s="5">
        <v>9392.4</v>
      </c>
      <c r="ET332" s="318">
        <v>69434.87265234864</v>
      </c>
      <c r="EU332" s="5">
        <v>2972.9119115821459</v>
      </c>
    </row>
    <row r="333" spans="1:151" x14ac:dyDescent="0.3">
      <c r="A333" s="325">
        <v>150000828</v>
      </c>
      <c r="B333" s="41" t="s">
        <v>779</v>
      </c>
      <c r="C333" s="42" t="s">
        <v>304</v>
      </c>
      <c r="D333" s="27">
        <v>5</v>
      </c>
      <c r="E333" s="293">
        <v>2595.52</v>
      </c>
      <c r="F333" s="305">
        <v>2595.52</v>
      </c>
      <c r="G333" s="508">
        <v>0</v>
      </c>
      <c r="H333" s="677">
        <v>0</v>
      </c>
      <c r="I333" s="674">
        <v>8872.2220989474281</v>
      </c>
      <c r="J333" s="40">
        <v>9710.5167721633934</v>
      </c>
      <c r="K333" s="52">
        <v>838.2946732159653</v>
      </c>
      <c r="L333" s="674">
        <v>1521.3899498154415</v>
      </c>
      <c r="M333" s="40">
        <v>1665.2220731928114</v>
      </c>
      <c r="N333" s="52">
        <v>143.83212337736995</v>
      </c>
      <c r="O333" s="674">
        <v>3369.2712554030104</v>
      </c>
      <c r="P333" s="40">
        <v>3368.3650000000002</v>
      </c>
      <c r="Q333" s="52">
        <v>-0.90625540301016372</v>
      </c>
      <c r="R333" s="674">
        <v>0</v>
      </c>
      <c r="S333" s="40">
        <v>0</v>
      </c>
      <c r="T333" s="52">
        <v>0</v>
      </c>
      <c r="U333" s="674">
        <v>0</v>
      </c>
      <c r="V333" s="40">
        <v>0</v>
      </c>
      <c r="W333" s="52">
        <v>0</v>
      </c>
      <c r="X333" s="674">
        <v>4695.5442487528044</v>
      </c>
      <c r="Y333" s="40">
        <v>4113.5277798314901</v>
      </c>
      <c r="Z333" s="52">
        <v>-582.0164689213143</v>
      </c>
      <c r="AA333" s="674">
        <v>311.4624</v>
      </c>
      <c r="AB333" s="40">
        <v>0</v>
      </c>
      <c r="AC333" s="52">
        <v>-311.4624</v>
      </c>
      <c r="AD333" s="674">
        <v>11128.332102813629</v>
      </c>
      <c r="AE333" s="40">
        <v>11027.642515631722</v>
      </c>
      <c r="AF333" s="35">
        <v>-100.68958718190697</v>
      </c>
      <c r="AG333" s="77">
        <v>29898.222055732316</v>
      </c>
      <c r="AH333" s="53">
        <v>29885.27414081942</v>
      </c>
      <c r="AI333" s="52">
        <v>-12.947914912896522</v>
      </c>
      <c r="AJ333" s="674">
        <v>0</v>
      </c>
      <c r="AK333" s="40">
        <v>0</v>
      </c>
      <c r="AL333" s="52">
        <v>0</v>
      </c>
      <c r="AM333" s="674">
        <v>0</v>
      </c>
      <c r="AN333" s="40">
        <v>0</v>
      </c>
      <c r="AO333" s="52">
        <v>0</v>
      </c>
      <c r="AP333" s="674">
        <v>8094.3028395321371</v>
      </c>
      <c r="AQ333" s="40">
        <v>2724.9500540836075</v>
      </c>
      <c r="AR333" s="52">
        <v>-5369.3527854485292</v>
      </c>
      <c r="AS333" s="674">
        <v>37052.522843099941</v>
      </c>
      <c r="AT333" s="40">
        <v>41425</v>
      </c>
      <c r="AU333" s="54">
        <v>4372.4771569000586</v>
      </c>
      <c r="AV333" s="674">
        <v>1958.4660508587604</v>
      </c>
      <c r="AW333" s="40">
        <v>288</v>
      </c>
      <c r="AX333" s="55">
        <v>-1670.4660508587604</v>
      </c>
      <c r="AY333" s="674">
        <v>2493.878822579903</v>
      </c>
      <c r="AZ333" s="40">
        <v>0</v>
      </c>
      <c r="BA333" s="35">
        <v>-2493.878822579903</v>
      </c>
      <c r="BB333" s="674">
        <v>1745.7330582674333</v>
      </c>
      <c r="BC333" s="40">
        <v>0</v>
      </c>
      <c r="BD333" s="55">
        <v>-1745.7330582674333</v>
      </c>
      <c r="BE333" s="674">
        <v>0</v>
      </c>
      <c r="BF333" s="40">
        <v>0</v>
      </c>
      <c r="BG333" s="38">
        <v>0</v>
      </c>
      <c r="BH333" s="674">
        <v>0</v>
      </c>
      <c r="BI333" s="40">
        <v>0</v>
      </c>
      <c r="BJ333" s="55">
        <v>0</v>
      </c>
      <c r="BK333" s="674">
        <v>1059.9879526924683</v>
      </c>
      <c r="BL333" s="40">
        <v>0</v>
      </c>
      <c r="BM333" s="38">
        <v>-1059.9879526924683</v>
      </c>
      <c r="BN333" s="674">
        <v>77.865600000000001</v>
      </c>
      <c r="BO333" s="40">
        <v>3160</v>
      </c>
      <c r="BP333" s="55">
        <v>3082.1343999999999</v>
      </c>
      <c r="BQ333" s="77">
        <v>7335.9314843985658</v>
      </c>
      <c r="BR333" s="40">
        <v>3448</v>
      </c>
      <c r="BS333" s="55">
        <v>-3887.9314843985658</v>
      </c>
      <c r="BT333" s="674">
        <v>21637.843547594159</v>
      </c>
      <c r="BU333" s="40">
        <v>27700.783246023977</v>
      </c>
      <c r="BV333" s="52">
        <v>6062.9396984298182</v>
      </c>
      <c r="BW333" s="674">
        <v>12855.99690003535</v>
      </c>
      <c r="BX333" s="40">
        <v>12915.503200411722</v>
      </c>
      <c r="BY333" s="52">
        <v>59.506300376371655</v>
      </c>
      <c r="BZ333" s="674">
        <v>11447.615264403099</v>
      </c>
      <c r="CA333" s="40">
        <v>6107.4071527916512</v>
      </c>
      <c r="CB333" s="52">
        <v>-5340.2081116114477</v>
      </c>
      <c r="CC333" s="674">
        <v>1555.8944272865319</v>
      </c>
      <c r="CD333" s="40">
        <v>1635.2778090839715</v>
      </c>
      <c r="CE333" s="52">
        <v>79.383381797439597</v>
      </c>
      <c r="CF333" s="674">
        <v>190.16245023438657</v>
      </c>
      <c r="CG333" s="40">
        <v>0</v>
      </c>
      <c r="CH333" s="52">
        <v>-190.16245023438657</v>
      </c>
      <c r="CI333" s="674">
        <v>4499.73638801169</v>
      </c>
      <c r="CJ333" s="40">
        <v>3840.9201711269634</v>
      </c>
      <c r="CK333" s="52">
        <v>-658.8162168847266</v>
      </c>
      <c r="CL333" s="674">
        <v>0</v>
      </c>
      <c r="CM333" s="40">
        <v>0</v>
      </c>
      <c r="CN333" s="52">
        <v>0</v>
      </c>
      <c r="CO333" s="39">
        <v>4499.73638801169</v>
      </c>
      <c r="CP333" s="40">
        <v>3840.9201711269634</v>
      </c>
      <c r="CQ333" s="52">
        <v>-658.8162168847266</v>
      </c>
      <c r="CR333" s="72">
        <v>134568.22820032819</v>
      </c>
      <c r="CS333" s="5">
        <v>129683.11577434131</v>
      </c>
      <c r="CT333" s="52">
        <v>-4885.1124259868811</v>
      </c>
      <c r="CU333" s="77">
        <v>161481.87384039382</v>
      </c>
      <c r="CV333" s="65">
        <v>155619.73892920956</v>
      </c>
      <c r="CW333" s="35">
        <v>-5862.1349111842574</v>
      </c>
      <c r="CX333" s="73">
        <v>4245.6752808016099</v>
      </c>
      <c r="CY333" s="40">
        <v>10107.8101919859</v>
      </c>
      <c r="CZ333" s="52">
        <v>5862.1349111842901</v>
      </c>
      <c r="DA333" s="150">
        <v>-24608.111075132394</v>
      </c>
      <c r="DB333" s="2">
        <v>2</v>
      </c>
      <c r="DC333" s="675">
        <v>35831.93</v>
      </c>
      <c r="DD333" s="675">
        <v>0</v>
      </c>
      <c r="DE333" s="675">
        <v>21316.795278001002</v>
      </c>
      <c r="DF333" s="675">
        <v>0</v>
      </c>
      <c r="DG333" s="321">
        <v>-18745.9761639481</v>
      </c>
      <c r="DH333" s="40">
        <v>165714.95096216703</v>
      </c>
      <c r="DI333" s="422">
        <v>14515.134721998995</v>
      </c>
      <c r="DJ333" s="306">
        <v>5.5923802251568073</v>
      </c>
      <c r="DK333" s="306">
        <v>5.5923802251568073</v>
      </c>
      <c r="DL333" s="306">
        <v>5.0369452414504492</v>
      </c>
      <c r="DM333" s="28">
        <v>14515.134721998997</v>
      </c>
      <c r="DN333" s="28">
        <v>0</v>
      </c>
      <c r="DO333" s="423">
        <v>14515.134721998997</v>
      </c>
      <c r="DP333" s="94">
        <v>0</v>
      </c>
      <c r="DQ333" s="28">
        <v>14515.134721998997</v>
      </c>
      <c r="DR333" s="318"/>
      <c r="DT333" s="8"/>
      <c r="DU333" s="5"/>
      <c r="DX333" s="5">
        <v>53266.145192998207</v>
      </c>
      <c r="DY333" s="5">
        <v>53847.6</v>
      </c>
      <c r="DZ333" s="159">
        <v>4600.111980455692</v>
      </c>
      <c r="EB333" s="676">
        <v>-2207.3315179395868</v>
      </c>
      <c r="EC333" s="676">
        <v>29421.571559842014</v>
      </c>
      <c r="ED333" s="676">
        <v>11688.983388382725</v>
      </c>
      <c r="EE333" s="676">
        <v>-6990.5566892417728</v>
      </c>
      <c r="EF333" s="676">
        <v>-6398.3248593839735</v>
      </c>
      <c r="EG333" s="676">
        <v>-6873.0887073077638</v>
      </c>
      <c r="EH333" s="676">
        <v>-6537.4520529411711</v>
      </c>
      <c r="EI333" s="676">
        <v>2706.6823260829351</v>
      </c>
      <c r="EJ333" s="676">
        <v>-5831.6183850169582</v>
      </c>
      <c r="EK333" s="676">
        <v>-1471.5972064261514</v>
      </c>
      <c r="EL333" s="676">
        <v>-5941.3324637873739</v>
      </c>
      <c r="EM333" s="676">
        <v>-7428.0703034472108</v>
      </c>
      <c r="EN333" s="676">
        <v>-5862.1349111842928</v>
      </c>
      <c r="EQ333" s="5">
        <v>53266.145192998207</v>
      </c>
      <c r="ER333" s="5">
        <v>53847.6</v>
      </c>
      <c r="ET333" s="318">
        <v>-43835.903528451796</v>
      </c>
      <c r="EU333" s="5">
        <v>36561.927364503703</v>
      </c>
    </row>
    <row r="334" spans="1:151" x14ac:dyDescent="0.3">
      <c r="A334" s="325">
        <v>150000813</v>
      </c>
      <c r="B334" s="41" t="s">
        <v>780</v>
      </c>
      <c r="C334" s="42" t="s">
        <v>189</v>
      </c>
      <c r="D334" s="27">
        <v>2</v>
      </c>
      <c r="E334" s="293">
        <v>373.3</v>
      </c>
      <c r="F334" s="305">
        <v>373.3</v>
      </c>
      <c r="G334" s="508">
        <v>0</v>
      </c>
      <c r="H334" s="677">
        <v>0</v>
      </c>
      <c r="I334" s="674">
        <v>1153.7054920707681</v>
      </c>
      <c r="J334" s="40">
        <v>1157.4841178722859</v>
      </c>
      <c r="K334" s="52">
        <v>3.7786258015178191</v>
      </c>
      <c r="L334" s="674">
        <v>335.61587692113807</v>
      </c>
      <c r="M334" s="40">
        <v>320.73305892959576</v>
      </c>
      <c r="N334" s="52">
        <v>-14.882817991542311</v>
      </c>
      <c r="O334" s="674">
        <v>0</v>
      </c>
      <c r="P334" s="40">
        <v>0</v>
      </c>
      <c r="Q334" s="52">
        <v>0</v>
      </c>
      <c r="R334" s="674">
        <v>0</v>
      </c>
      <c r="S334" s="40">
        <v>0</v>
      </c>
      <c r="T334" s="52">
        <v>0</v>
      </c>
      <c r="U334" s="674">
        <v>0</v>
      </c>
      <c r="V334" s="40">
        <v>0</v>
      </c>
      <c r="W334" s="52">
        <v>0</v>
      </c>
      <c r="X334" s="674">
        <v>622.56903951289837</v>
      </c>
      <c r="Y334" s="40">
        <v>515.3222653253406</v>
      </c>
      <c r="Z334" s="52">
        <v>-107.24677418755778</v>
      </c>
      <c r="AA334" s="674">
        <v>44.795999999999999</v>
      </c>
      <c r="AB334" s="40">
        <v>0</v>
      </c>
      <c r="AC334" s="52">
        <v>-44.795999999999999</v>
      </c>
      <c r="AD334" s="674">
        <v>1555.7242115873323</v>
      </c>
      <c r="AE334" s="40">
        <v>1586.0478636594296</v>
      </c>
      <c r="AF334" s="35">
        <v>30.323652072097275</v>
      </c>
      <c r="AG334" s="77">
        <v>3712.4106200921365</v>
      </c>
      <c r="AH334" s="53">
        <v>3579.587305786652</v>
      </c>
      <c r="AI334" s="52">
        <v>-132.82331430548447</v>
      </c>
      <c r="AJ334" s="674">
        <v>0</v>
      </c>
      <c r="AK334" s="40">
        <v>0</v>
      </c>
      <c r="AL334" s="52">
        <v>0</v>
      </c>
      <c r="AM334" s="674">
        <v>0</v>
      </c>
      <c r="AN334" s="40">
        <v>0</v>
      </c>
      <c r="AO334" s="52">
        <v>0</v>
      </c>
      <c r="AP334" s="674">
        <v>359.74679286809487</v>
      </c>
      <c r="AQ334" s="40">
        <v>299.17633281993915</v>
      </c>
      <c r="AR334" s="52">
        <v>-60.570460048155724</v>
      </c>
      <c r="AS334" s="674">
        <v>4281.9584922437825</v>
      </c>
      <c r="AT334" s="40">
        <v>1332</v>
      </c>
      <c r="AU334" s="54">
        <v>-2949.9584922437825</v>
      </c>
      <c r="AV334" s="674">
        <v>483.9254480210775</v>
      </c>
      <c r="AW334" s="40">
        <v>0</v>
      </c>
      <c r="AX334" s="55">
        <v>-483.9254480210775</v>
      </c>
      <c r="AY334" s="674">
        <v>550.14358204508221</v>
      </c>
      <c r="AZ334" s="40">
        <v>0</v>
      </c>
      <c r="BA334" s="35">
        <v>-550.14358204508221</v>
      </c>
      <c r="BB334" s="674">
        <v>0</v>
      </c>
      <c r="BC334" s="40">
        <v>0</v>
      </c>
      <c r="BD334" s="55">
        <v>0</v>
      </c>
      <c r="BE334" s="674">
        <v>0</v>
      </c>
      <c r="BF334" s="40">
        <v>0</v>
      </c>
      <c r="BG334" s="38">
        <v>0</v>
      </c>
      <c r="BH334" s="674">
        <v>0</v>
      </c>
      <c r="BI334" s="40">
        <v>0</v>
      </c>
      <c r="BJ334" s="55">
        <v>0</v>
      </c>
      <c r="BK334" s="674">
        <v>151.2382961490278</v>
      </c>
      <c r="BL334" s="40">
        <v>0</v>
      </c>
      <c r="BM334" s="38">
        <v>-151.2382961490278</v>
      </c>
      <c r="BN334" s="674">
        <v>11.199</v>
      </c>
      <c r="BO334" s="40">
        <v>0</v>
      </c>
      <c r="BP334" s="55">
        <v>-11.199</v>
      </c>
      <c r="BQ334" s="77">
        <v>1196.5063262151875</v>
      </c>
      <c r="BR334" s="40">
        <v>0</v>
      </c>
      <c r="BS334" s="55">
        <v>-1196.5063262151875</v>
      </c>
      <c r="BT334" s="674">
        <v>2728.8231377102238</v>
      </c>
      <c r="BU334" s="40">
        <v>2945.5488229529101</v>
      </c>
      <c r="BV334" s="52">
        <v>216.72568524268627</v>
      </c>
      <c r="BW334" s="674">
        <v>2286.5574721198304</v>
      </c>
      <c r="BX334" s="40">
        <v>2576.4647856228289</v>
      </c>
      <c r="BY334" s="52">
        <v>289.90731350299848</v>
      </c>
      <c r="BZ334" s="674">
        <v>1088.3236139168957</v>
      </c>
      <c r="CA334" s="40">
        <v>758.9022125499506</v>
      </c>
      <c r="CB334" s="52">
        <v>-329.42140136694513</v>
      </c>
      <c r="CC334" s="674">
        <v>0</v>
      </c>
      <c r="CD334" s="40">
        <v>0</v>
      </c>
      <c r="CE334" s="52">
        <v>0</v>
      </c>
      <c r="CF334" s="674">
        <v>0</v>
      </c>
      <c r="CG334" s="40">
        <v>0</v>
      </c>
      <c r="CH334" s="52">
        <v>0</v>
      </c>
      <c r="CI334" s="674">
        <v>907.4671941447051</v>
      </c>
      <c r="CJ334" s="40">
        <v>622.98355462261816</v>
      </c>
      <c r="CK334" s="52">
        <v>-284.48363952208695</v>
      </c>
      <c r="CL334" s="674">
        <v>0</v>
      </c>
      <c r="CM334" s="40">
        <v>0</v>
      </c>
      <c r="CN334" s="52">
        <v>0</v>
      </c>
      <c r="CO334" s="39">
        <v>907.4671941447051</v>
      </c>
      <c r="CP334" s="40">
        <v>622.98355462261816</v>
      </c>
      <c r="CQ334" s="52">
        <v>-284.48363952208695</v>
      </c>
      <c r="CR334" s="72">
        <v>16561.793649310854</v>
      </c>
      <c r="CS334" s="5">
        <v>12114.663014354899</v>
      </c>
      <c r="CT334" s="52">
        <v>-4447.1306349559545</v>
      </c>
      <c r="CU334" s="77">
        <v>19874.152379173025</v>
      </c>
      <c r="CV334" s="65">
        <v>14537.595617225879</v>
      </c>
      <c r="CW334" s="35">
        <v>-5336.5567619471458</v>
      </c>
      <c r="CX334" s="73">
        <v>442.28301689935716</v>
      </c>
      <c r="CY334" s="40">
        <v>5778.839778846509</v>
      </c>
      <c r="CZ334" s="52">
        <v>5336.5567619471522</v>
      </c>
      <c r="DA334" s="150">
        <v>-6783.8290392756098</v>
      </c>
      <c r="DB334" s="2">
        <v>3</v>
      </c>
      <c r="DC334" s="675">
        <v>3043.71</v>
      </c>
      <c r="DD334" s="675">
        <v>0</v>
      </c>
      <c r="DE334" s="675">
        <v>1261.4695499007378</v>
      </c>
      <c r="DF334" s="675">
        <v>0</v>
      </c>
      <c r="DG334" s="321">
        <v>-1447.2722773284599</v>
      </c>
      <c r="DH334" s="40">
        <v>20314.900169670676</v>
      </c>
      <c r="DI334" s="422">
        <v>1782.2404500992623</v>
      </c>
      <c r="DJ334" s="306">
        <v>4.7742846238930143</v>
      </c>
      <c r="DK334" s="306">
        <v>4.7742846238930143</v>
      </c>
      <c r="DL334" s="306">
        <v>4.0822833867114667</v>
      </c>
      <c r="DM334" s="28">
        <v>1782.2404500992623</v>
      </c>
      <c r="DN334" s="28">
        <v>0</v>
      </c>
      <c r="DO334" s="423">
        <v>1782.2404500992623</v>
      </c>
      <c r="DP334" s="94">
        <v>0</v>
      </c>
      <c r="DQ334" s="28">
        <v>1782.2404500992623</v>
      </c>
      <c r="DR334" s="318"/>
      <c r="DT334" s="8"/>
      <c r="DU334" s="5"/>
      <c r="DX334" s="5">
        <v>6574.1577821507635</v>
      </c>
      <c r="DY334" s="5">
        <v>1598.3999999999999</v>
      </c>
      <c r="DZ334" s="159">
        <v>567.52339962650842</v>
      </c>
      <c r="EB334" s="676">
        <v>-127.51098569486408</v>
      </c>
      <c r="EC334" s="676">
        <v>-379.74644142405828</v>
      </c>
      <c r="ED334" s="676">
        <v>-417.92747042376243</v>
      </c>
      <c r="EE334" s="676">
        <v>741.75552071786069</v>
      </c>
      <c r="EF334" s="676">
        <v>-727.63095827926804</v>
      </c>
      <c r="EG334" s="676">
        <v>-838.24230726663461</v>
      </c>
      <c r="EH334" s="676">
        <v>-411.91882695408799</v>
      </c>
      <c r="EI334" s="676">
        <v>-701.34487570519263</v>
      </c>
      <c r="EJ334" s="676">
        <v>-732.03593934158437</v>
      </c>
      <c r="EK334" s="676">
        <v>-281.12867885326591</v>
      </c>
      <c r="EL334" s="676">
        <v>-747.72049260309609</v>
      </c>
      <c r="EM334" s="676">
        <v>-713.10530611919603</v>
      </c>
      <c r="EN334" s="676">
        <v>-5336.5567619471494</v>
      </c>
      <c r="EQ334" s="5">
        <v>6574.1577821507635</v>
      </c>
      <c r="ER334" s="5">
        <v>1598.3999999999999</v>
      </c>
      <c r="ET334" s="318">
        <v>-2281.6484421175778</v>
      </c>
      <c r="EU334" s="5">
        <v>-320.62383521088123</v>
      </c>
    </row>
    <row r="335" spans="1:151" x14ac:dyDescent="0.3">
      <c r="A335" s="325">
        <v>150000814</v>
      </c>
      <c r="B335" s="41" t="s">
        <v>781</v>
      </c>
      <c r="C335" s="42" t="s">
        <v>305</v>
      </c>
      <c r="D335" s="27">
        <v>5</v>
      </c>
      <c r="E335" s="293">
        <v>3235</v>
      </c>
      <c r="F335" s="305">
        <v>2559.3000000000002</v>
      </c>
      <c r="G335" s="508">
        <v>0</v>
      </c>
      <c r="H335" s="677">
        <v>675.7</v>
      </c>
      <c r="I335" s="674">
        <v>10241.873898628977</v>
      </c>
      <c r="J335" s="40">
        <v>12849.762806878183</v>
      </c>
      <c r="K335" s="52">
        <v>2607.888908249206</v>
      </c>
      <c r="L335" s="674">
        <v>2162.4125668468114</v>
      </c>
      <c r="M335" s="40">
        <v>2380.5568232048049</v>
      </c>
      <c r="N335" s="52">
        <v>218.14425635799353</v>
      </c>
      <c r="O335" s="674">
        <v>3640.8223830645843</v>
      </c>
      <c r="P335" s="40">
        <v>3642.1050000000014</v>
      </c>
      <c r="Q335" s="52">
        <v>1.2826169354170815</v>
      </c>
      <c r="R335" s="674">
        <v>0</v>
      </c>
      <c r="S335" s="40">
        <v>0</v>
      </c>
      <c r="T335" s="52">
        <v>0</v>
      </c>
      <c r="U335" s="674">
        <v>0</v>
      </c>
      <c r="V335" s="40">
        <v>0</v>
      </c>
      <c r="W335" s="52">
        <v>0</v>
      </c>
      <c r="X335" s="674">
        <v>6087.7586957645763</v>
      </c>
      <c r="Y335" s="40">
        <v>4500.2546983373095</v>
      </c>
      <c r="Z335" s="52">
        <v>-1587.5039974272668</v>
      </c>
      <c r="AA335" s="674">
        <v>387.88799999999998</v>
      </c>
      <c r="AB335" s="40">
        <v>0</v>
      </c>
      <c r="AC335" s="52">
        <v>-387.88799999999998</v>
      </c>
      <c r="AD335" s="674">
        <v>13827.057919582865</v>
      </c>
      <c r="AE335" s="40">
        <v>14282.470645570507</v>
      </c>
      <c r="AF335" s="35">
        <v>455.41272598764226</v>
      </c>
      <c r="AG335" s="77">
        <v>36347.813463887811</v>
      </c>
      <c r="AH335" s="53">
        <v>37655.14997399081</v>
      </c>
      <c r="AI335" s="52">
        <v>1307.3365101029995</v>
      </c>
      <c r="AJ335" s="674">
        <v>0</v>
      </c>
      <c r="AK335" s="40">
        <v>0</v>
      </c>
      <c r="AL335" s="52">
        <v>0</v>
      </c>
      <c r="AM335" s="674">
        <v>0</v>
      </c>
      <c r="AN335" s="40">
        <v>0</v>
      </c>
      <c r="AO335" s="52">
        <v>0</v>
      </c>
      <c r="AP335" s="674">
        <v>8633.9230288342769</v>
      </c>
      <c r="AQ335" s="40">
        <v>6666.9617145683915</v>
      </c>
      <c r="AR335" s="52">
        <v>-1966.9613142658854</v>
      </c>
      <c r="AS335" s="674">
        <v>27601.969531628383</v>
      </c>
      <c r="AT335" s="40">
        <v>71688.019423687801</v>
      </c>
      <c r="AU335" s="54">
        <v>44086.049892059418</v>
      </c>
      <c r="AV335" s="674">
        <v>2321.4151201976647</v>
      </c>
      <c r="AW335" s="40">
        <v>3747</v>
      </c>
      <c r="AX335" s="55">
        <v>1425.5848798023353</v>
      </c>
      <c r="AY335" s="674">
        <v>3544.8360123104003</v>
      </c>
      <c r="AZ335" s="40">
        <v>4576</v>
      </c>
      <c r="BA335" s="35">
        <v>1031.1639876895997</v>
      </c>
      <c r="BB335" s="674">
        <v>1686.1361021438174</v>
      </c>
      <c r="BC335" s="40">
        <v>633</v>
      </c>
      <c r="BD335" s="55">
        <v>-1053.1361021438174</v>
      </c>
      <c r="BE335" s="674">
        <v>0</v>
      </c>
      <c r="BF335" s="40">
        <v>0</v>
      </c>
      <c r="BG335" s="38">
        <v>0</v>
      </c>
      <c r="BH335" s="674">
        <v>0</v>
      </c>
      <c r="BI335" s="40">
        <v>0</v>
      </c>
      <c r="BJ335" s="55">
        <v>0</v>
      </c>
      <c r="BK335" s="674">
        <v>1405.7915583457684</v>
      </c>
      <c r="BL335" s="40">
        <v>0</v>
      </c>
      <c r="BM335" s="38">
        <v>-1405.7915583457684</v>
      </c>
      <c r="BN335" s="674">
        <v>96.971999999999994</v>
      </c>
      <c r="BO335" s="40">
        <v>0</v>
      </c>
      <c r="BP335" s="55">
        <v>-96.971999999999994</v>
      </c>
      <c r="BQ335" s="77">
        <v>9055.1507929976506</v>
      </c>
      <c r="BR335" s="40">
        <v>8956</v>
      </c>
      <c r="BS335" s="55">
        <v>-99.150792997650569</v>
      </c>
      <c r="BT335" s="674">
        <v>31224.450169612483</v>
      </c>
      <c r="BU335" s="40">
        <v>32053.82468581558</v>
      </c>
      <c r="BV335" s="52">
        <v>829.3745162030973</v>
      </c>
      <c r="BW335" s="674">
        <v>11788.312398628421</v>
      </c>
      <c r="BX335" s="40">
        <v>11955.729305613786</v>
      </c>
      <c r="BY335" s="52">
        <v>167.41690698536513</v>
      </c>
      <c r="BZ335" s="674">
        <v>12870.695599352226</v>
      </c>
      <c r="CA335" s="40">
        <v>8526.8416523330816</v>
      </c>
      <c r="CB335" s="52">
        <v>-4343.8539470191445</v>
      </c>
      <c r="CC335" s="674">
        <v>34.737230015506285</v>
      </c>
      <c r="CD335" s="40">
        <v>36.509560287114468</v>
      </c>
      <c r="CE335" s="52">
        <v>1.7723302716081832</v>
      </c>
      <c r="CF335" s="674">
        <v>4.2456073228724591</v>
      </c>
      <c r="CG335" s="40">
        <v>0</v>
      </c>
      <c r="CH335" s="52">
        <v>-4.2456073228724591</v>
      </c>
      <c r="CI335" s="674">
        <v>6122.901193589264</v>
      </c>
      <c r="CJ335" s="40">
        <v>5119.8211189766116</v>
      </c>
      <c r="CK335" s="52">
        <v>-1003.0800746126524</v>
      </c>
      <c r="CL335" s="674">
        <v>0</v>
      </c>
      <c r="CM335" s="40">
        <v>0</v>
      </c>
      <c r="CN335" s="52">
        <v>0</v>
      </c>
      <c r="CO335" s="39">
        <v>6122.901193589264</v>
      </c>
      <c r="CP335" s="40">
        <v>5119.8211189766116</v>
      </c>
      <c r="CQ335" s="52">
        <v>-1003.0800746126524</v>
      </c>
      <c r="CR335" s="72">
        <v>143684.19901586889</v>
      </c>
      <c r="CS335" s="5">
        <v>182658.85743527315</v>
      </c>
      <c r="CT335" s="52">
        <v>38974.658419404266</v>
      </c>
      <c r="CU335" s="77">
        <v>172421.03881904265</v>
      </c>
      <c r="CV335" s="65">
        <v>219190.62892232777</v>
      </c>
      <c r="CW335" s="35">
        <v>46769.590103285125</v>
      </c>
      <c r="CX335" s="73">
        <v>9831.2694968492233</v>
      </c>
      <c r="CY335" s="40">
        <v>-36938.320606435875</v>
      </c>
      <c r="CZ335" s="52">
        <v>-46769.590103285096</v>
      </c>
      <c r="DA335" s="150">
        <v>27180.176049860012</v>
      </c>
      <c r="DB335" s="2">
        <v>2</v>
      </c>
      <c r="DC335" s="675">
        <v>33326.19</v>
      </c>
      <c r="DD335" s="675">
        <v>3796.74</v>
      </c>
      <c r="DE335" s="675">
        <v>20971.265452159823</v>
      </c>
      <c r="DF335" s="675">
        <v>878.48871339438165</v>
      </c>
      <c r="DG335" s="321">
        <v>-19589.414053425076</v>
      </c>
      <c r="DH335" s="40">
        <v>174170.44363807936</v>
      </c>
      <c r="DI335" s="422">
        <v>15273.175834445792</v>
      </c>
      <c r="DJ335" s="306">
        <v>4.8274624107530091</v>
      </c>
      <c r="DK335" s="306">
        <v>4.8274624107530091</v>
      </c>
      <c r="DL335" s="306">
        <v>4.3188564253450021</v>
      </c>
      <c r="DM335" s="28">
        <v>12354.924547840177</v>
      </c>
      <c r="DN335" s="28">
        <v>2918.2512866056181</v>
      </c>
      <c r="DO335" s="423">
        <v>15273.175834445796</v>
      </c>
      <c r="DP335" s="94">
        <v>0</v>
      </c>
      <c r="DQ335" s="28">
        <v>15273.175834445796</v>
      </c>
      <c r="DR335" s="318"/>
      <c r="DT335" s="8"/>
      <c r="DU335" s="5"/>
      <c r="DX335" s="5">
        <v>43988.544389551236</v>
      </c>
      <c r="DY335" s="5">
        <v>96772.823308425359</v>
      </c>
      <c r="DZ335" s="159">
        <v>3844.6214091436009</v>
      </c>
      <c r="EB335" s="676">
        <v>-1420.9543070263135</v>
      </c>
      <c r="EC335" s="676">
        <v>1987.8426730901283</v>
      </c>
      <c r="ED335" s="676">
        <v>-3112.8887583405267</v>
      </c>
      <c r="EE335" s="676">
        <v>-7012.7765087178868</v>
      </c>
      <c r="EF335" s="676">
        <v>-2875.1355570494179</v>
      </c>
      <c r="EG335" s="676">
        <v>-9732.6508126504123</v>
      </c>
      <c r="EH335" s="676">
        <v>-6445.044474196251</v>
      </c>
      <c r="EI335" s="676">
        <v>83224.205472615853</v>
      </c>
      <c r="EJ335" s="676">
        <v>-1100.2534813544898</v>
      </c>
      <c r="EK335" s="676">
        <v>1366.0036466579477</v>
      </c>
      <c r="EL335" s="676">
        <v>-1185.9368863358177</v>
      </c>
      <c r="EM335" s="676">
        <v>-6922.8209034077208</v>
      </c>
      <c r="EN335" s="676">
        <v>46769.590103285089</v>
      </c>
      <c r="EQ335" s="5">
        <v>43988.544389551236</v>
      </c>
      <c r="ER335" s="5">
        <v>96772.823308425359</v>
      </c>
      <c r="ET335" s="318">
        <v>21328.96613892922</v>
      </c>
      <c r="EU335" s="5">
        <v>-24698.380192354307</v>
      </c>
    </row>
    <row r="336" spans="1:151" x14ac:dyDescent="0.3">
      <c r="A336" s="325">
        <v>150000816</v>
      </c>
      <c r="B336" s="41" t="s">
        <v>782</v>
      </c>
      <c r="C336" s="42" t="s">
        <v>230</v>
      </c>
      <c r="D336" s="27">
        <v>4</v>
      </c>
      <c r="E336" s="293">
        <v>2488.34</v>
      </c>
      <c r="F336" s="305">
        <v>2100.34</v>
      </c>
      <c r="G336" s="508">
        <v>0</v>
      </c>
      <c r="H336" s="677">
        <v>388</v>
      </c>
      <c r="I336" s="674">
        <v>8993.0300916597771</v>
      </c>
      <c r="J336" s="40">
        <v>9818.2739778939849</v>
      </c>
      <c r="K336" s="52">
        <v>825.24388623420782</v>
      </c>
      <c r="L336" s="674">
        <v>1477.7315356335309</v>
      </c>
      <c r="M336" s="40">
        <v>1617.4340186661364</v>
      </c>
      <c r="N336" s="52">
        <v>139.70248303260541</v>
      </c>
      <c r="O336" s="674">
        <v>3276.8247952171655</v>
      </c>
      <c r="P336" s="40">
        <v>3276.2749999999996</v>
      </c>
      <c r="Q336" s="52">
        <v>-0.54979521716586532</v>
      </c>
      <c r="R336" s="674">
        <v>846.10800102228018</v>
      </c>
      <c r="S336" s="40">
        <v>846.12000000000012</v>
      </c>
      <c r="T336" s="52">
        <v>1.199897771994074E-2</v>
      </c>
      <c r="U336" s="674">
        <v>0</v>
      </c>
      <c r="V336" s="40">
        <v>0</v>
      </c>
      <c r="W336" s="52">
        <v>0</v>
      </c>
      <c r="X336" s="674">
        <v>5412.6312575408119</v>
      </c>
      <c r="Y336" s="40">
        <v>3952.355149358018</v>
      </c>
      <c r="Z336" s="52">
        <v>-1460.2761081827939</v>
      </c>
      <c r="AA336" s="674">
        <v>293.67120000000006</v>
      </c>
      <c r="AB336" s="40">
        <v>0</v>
      </c>
      <c r="AC336" s="52">
        <v>-293.67120000000006</v>
      </c>
      <c r="AD336" s="674">
        <v>10603.794205297247</v>
      </c>
      <c r="AE336" s="40">
        <v>10722.391837599345</v>
      </c>
      <c r="AF336" s="35">
        <v>118.59763230209865</v>
      </c>
      <c r="AG336" s="77">
        <v>30903.791086370813</v>
      </c>
      <c r="AH336" s="53">
        <v>30232.849983517484</v>
      </c>
      <c r="AI336" s="52">
        <v>-670.94110285332863</v>
      </c>
      <c r="AJ336" s="674">
        <v>0</v>
      </c>
      <c r="AK336" s="40">
        <v>0</v>
      </c>
      <c r="AL336" s="52">
        <v>0</v>
      </c>
      <c r="AM336" s="674">
        <v>0</v>
      </c>
      <c r="AN336" s="40">
        <v>0</v>
      </c>
      <c r="AO336" s="52">
        <v>0</v>
      </c>
      <c r="AP336" s="674">
        <v>2383.3225027511289</v>
      </c>
      <c r="AQ336" s="40">
        <v>2019.3995664739884</v>
      </c>
      <c r="AR336" s="52">
        <v>-363.92293627714048</v>
      </c>
      <c r="AS336" s="674">
        <v>22081.582872094677</v>
      </c>
      <c r="AT336" s="40">
        <v>2449.9164745626022</v>
      </c>
      <c r="AU336" s="54">
        <v>-19631.666397532077</v>
      </c>
      <c r="AV336" s="674">
        <v>2015.7765547083616</v>
      </c>
      <c r="AW336" s="40">
        <v>3412</v>
      </c>
      <c r="AX336" s="55">
        <v>1396.2234452916384</v>
      </c>
      <c r="AY336" s="674">
        <v>2422.2926048113054</v>
      </c>
      <c r="AZ336" s="40">
        <v>4205</v>
      </c>
      <c r="BA336" s="35">
        <v>1782.7073951886946</v>
      </c>
      <c r="BB336" s="674">
        <v>1640.5055827673948</v>
      </c>
      <c r="BC336" s="40">
        <v>0</v>
      </c>
      <c r="BD336" s="55">
        <v>-1640.5055827673948</v>
      </c>
      <c r="BE336" s="674">
        <v>1440.8125488630944</v>
      </c>
      <c r="BF336" s="40">
        <v>0</v>
      </c>
      <c r="BG336" s="38">
        <v>-1440.8125488630944</v>
      </c>
      <c r="BH336" s="674">
        <v>0</v>
      </c>
      <c r="BI336" s="40">
        <v>0</v>
      </c>
      <c r="BJ336" s="55">
        <v>0</v>
      </c>
      <c r="BK336" s="674">
        <v>1213.9807656915625</v>
      </c>
      <c r="BL336" s="40">
        <v>4402</v>
      </c>
      <c r="BM336" s="38">
        <v>3188.0192343084373</v>
      </c>
      <c r="BN336" s="674">
        <v>73.417800000000014</v>
      </c>
      <c r="BO336" s="40">
        <v>0</v>
      </c>
      <c r="BP336" s="55">
        <v>-73.417800000000014</v>
      </c>
      <c r="BQ336" s="77">
        <v>8806.7858568417178</v>
      </c>
      <c r="BR336" s="40">
        <v>12019</v>
      </c>
      <c r="BS336" s="55">
        <v>3212.2141431582822</v>
      </c>
      <c r="BT336" s="674">
        <v>29045.994726660912</v>
      </c>
      <c r="BU336" s="40">
        <v>36109.421839322415</v>
      </c>
      <c r="BV336" s="52">
        <v>7063.4271126615022</v>
      </c>
      <c r="BW336" s="674">
        <v>12790.843269552935</v>
      </c>
      <c r="BX336" s="40">
        <v>13800.074968344315</v>
      </c>
      <c r="BY336" s="52">
        <v>1009.23169879138</v>
      </c>
      <c r="BZ336" s="674">
        <v>15346.271228407608</v>
      </c>
      <c r="CA336" s="40">
        <v>8723.5932638591512</v>
      </c>
      <c r="CB336" s="52">
        <v>-6622.6779645484567</v>
      </c>
      <c r="CC336" s="674">
        <v>0</v>
      </c>
      <c r="CD336" s="40">
        <v>0</v>
      </c>
      <c r="CE336" s="52">
        <v>0</v>
      </c>
      <c r="CF336" s="674">
        <v>0</v>
      </c>
      <c r="CG336" s="40">
        <v>0</v>
      </c>
      <c r="CH336" s="52">
        <v>0</v>
      </c>
      <c r="CI336" s="674">
        <v>2595.8931364249161</v>
      </c>
      <c r="CJ336" s="40">
        <v>2062.4555755033252</v>
      </c>
      <c r="CK336" s="52">
        <v>-533.43756092159083</v>
      </c>
      <c r="CL336" s="674">
        <v>0</v>
      </c>
      <c r="CM336" s="40">
        <v>0</v>
      </c>
      <c r="CN336" s="52">
        <v>0</v>
      </c>
      <c r="CO336" s="39">
        <v>2595.8931364249161</v>
      </c>
      <c r="CP336" s="40">
        <v>2062.4555755033252</v>
      </c>
      <c r="CQ336" s="52">
        <v>-533.43756092159083</v>
      </c>
      <c r="CR336" s="72">
        <v>123954.4846791047</v>
      </c>
      <c r="CS336" s="5">
        <v>107416.71167158327</v>
      </c>
      <c r="CT336" s="52">
        <v>-16537.773007521435</v>
      </c>
      <c r="CU336" s="77">
        <v>148745.38161492563</v>
      </c>
      <c r="CV336" s="65">
        <v>128900.05400589992</v>
      </c>
      <c r="CW336" s="35">
        <v>-19845.327609025713</v>
      </c>
      <c r="CX336" s="73">
        <v>9503.2399652026634</v>
      </c>
      <c r="CY336" s="40">
        <v>29348.567574228386</v>
      </c>
      <c r="CZ336" s="52">
        <v>19845.32760902572</v>
      </c>
      <c r="DA336" s="150">
        <v>34722.789309778913</v>
      </c>
      <c r="DB336" s="2">
        <v>2</v>
      </c>
      <c r="DC336" s="675">
        <v>13874.78</v>
      </c>
      <c r="DD336" s="675">
        <v>16604.100000000002</v>
      </c>
      <c r="DE336" s="675">
        <v>2273.8591455546612</v>
      </c>
      <c r="DF336" s="675">
        <v>14728.049939812037</v>
      </c>
      <c r="DG336" s="321">
        <v>54568.116918804633</v>
      </c>
      <c r="DH336" s="40">
        <v>153225.40633746501</v>
      </c>
      <c r="DI336" s="422">
        <v>13476.970914633306</v>
      </c>
      <c r="DJ336" s="306">
        <v>5.5233537686495229</v>
      </c>
      <c r="DK336" s="306">
        <v>5.5233537686495229</v>
      </c>
      <c r="DL336" s="306">
        <v>4.8351805674947572</v>
      </c>
      <c r="DM336" s="28">
        <v>11600.92085444534</v>
      </c>
      <c r="DN336" s="28">
        <v>1876.0500601879658</v>
      </c>
      <c r="DO336" s="423">
        <v>13476.970914633304</v>
      </c>
      <c r="DP336" s="94">
        <v>0</v>
      </c>
      <c r="DQ336" s="28">
        <v>13476.970914633304</v>
      </c>
      <c r="DR336" s="318"/>
      <c r="DT336" s="8"/>
      <c r="DU336" s="5"/>
      <c r="DX336" s="5">
        <v>37066.042474723676</v>
      </c>
      <c r="DY336" s="5">
        <v>17362.699769475123</v>
      </c>
      <c r="DZ336" s="159">
        <v>3160.4535275517987</v>
      </c>
      <c r="EB336" s="676">
        <v>-1136.4910329009163</v>
      </c>
      <c r="EC336" s="676">
        <v>1527.2595065861333</v>
      </c>
      <c r="ED336" s="676">
        <v>-2232.7776146674241</v>
      </c>
      <c r="EE336" s="676">
        <v>-4354.177450709094</v>
      </c>
      <c r="EF336" s="676">
        <v>-4970.5713655678828</v>
      </c>
      <c r="EG336" s="676">
        <v>-4778.2329951033716</v>
      </c>
      <c r="EH336" s="676">
        <v>3717.5508033432943</v>
      </c>
      <c r="EI336" s="676">
        <v>2259.4545815967358</v>
      </c>
      <c r="EJ336" s="676">
        <v>-3085.1894034467332</v>
      </c>
      <c r="EK336" s="676">
        <v>1503.158571194941</v>
      </c>
      <c r="EL336" s="676">
        <v>-3352.063992377407</v>
      </c>
      <c r="EM336" s="676">
        <v>-4943.2472169739976</v>
      </c>
      <c r="EN336" s="676">
        <v>-19845.32760902572</v>
      </c>
      <c r="EQ336" s="5">
        <v>37066.042474723676</v>
      </c>
      <c r="ER336" s="5">
        <v>17362.699769475123</v>
      </c>
      <c r="ET336" s="318">
        <v>18840.689568829843</v>
      </c>
      <c r="EU336" s="5">
        <v>87629.427349974794</v>
      </c>
    </row>
    <row r="337" spans="1:151" x14ac:dyDescent="0.3">
      <c r="A337" s="325">
        <v>150000829</v>
      </c>
      <c r="B337" s="41" t="s">
        <v>783</v>
      </c>
      <c r="C337" s="42" t="s">
        <v>231</v>
      </c>
      <c r="D337" s="27">
        <v>4</v>
      </c>
      <c r="E337" s="293">
        <v>2581.1999999999998</v>
      </c>
      <c r="F337" s="305">
        <v>2581.1999999999998</v>
      </c>
      <c r="G337" s="508">
        <v>0</v>
      </c>
      <c r="H337" s="677">
        <v>0</v>
      </c>
      <c r="I337" s="674">
        <v>9412.6562501266526</v>
      </c>
      <c r="J337" s="40">
        <v>10285.517843773301</v>
      </c>
      <c r="K337" s="52">
        <v>872.86159364664854</v>
      </c>
      <c r="L337" s="674">
        <v>1483.3127306791146</v>
      </c>
      <c r="M337" s="40">
        <v>1623.5444371731473</v>
      </c>
      <c r="N337" s="52">
        <v>140.23170649403278</v>
      </c>
      <c r="O337" s="674">
        <v>3617.5615375743296</v>
      </c>
      <c r="P337" s="40">
        <v>3618.5800000000004</v>
      </c>
      <c r="Q337" s="52">
        <v>1.0184624256708048</v>
      </c>
      <c r="R337" s="674">
        <v>0</v>
      </c>
      <c r="S337" s="40">
        <v>0</v>
      </c>
      <c r="T337" s="52">
        <v>0</v>
      </c>
      <c r="U337" s="674">
        <v>0</v>
      </c>
      <c r="V337" s="40">
        <v>0</v>
      </c>
      <c r="W337" s="52">
        <v>0</v>
      </c>
      <c r="X337" s="674">
        <v>5397.8746349723287</v>
      </c>
      <c r="Y337" s="40">
        <v>3945.105428360624</v>
      </c>
      <c r="Z337" s="52">
        <v>-1452.7692066117047</v>
      </c>
      <c r="AA337" s="674">
        <v>309.88800000000003</v>
      </c>
      <c r="AB337" s="40">
        <v>0</v>
      </c>
      <c r="AC337" s="52">
        <v>-309.88800000000003</v>
      </c>
      <c r="AD337" s="674">
        <v>11068.230585859777</v>
      </c>
      <c r="AE337" s="40">
        <v>10966.800818852716</v>
      </c>
      <c r="AF337" s="35">
        <v>-101.42976700706095</v>
      </c>
      <c r="AG337" s="77">
        <v>31289.5237392122</v>
      </c>
      <c r="AH337" s="53">
        <v>30439.548528159787</v>
      </c>
      <c r="AI337" s="52">
        <v>-849.97521105241321</v>
      </c>
      <c r="AJ337" s="674">
        <v>0</v>
      </c>
      <c r="AK337" s="40">
        <v>0</v>
      </c>
      <c r="AL337" s="52">
        <v>0</v>
      </c>
      <c r="AM337" s="674">
        <v>0</v>
      </c>
      <c r="AN337" s="40">
        <v>0</v>
      </c>
      <c r="AO337" s="52">
        <v>0</v>
      </c>
      <c r="AP337" s="674">
        <v>8633.9230288342769</v>
      </c>
      <c r="AQ337" s="40">
        <v>5870.156499676943</v>
      </c>
      <c r="AR337" s="52">
        <v>-2763.7665291573339</v>
      </c>
      <c r="AS337" s="674">
        <v>24577.653204766339</v>
      </c>
      <c r="AT337" s="40">
        <v>10053.121389771277</v>
      </c>
      <c r="AU337" s="54">
        <v>-14524.531814995062</v>
      </c>
      <c r="AV337" s="674">
        <v>2049.7198446997236</v>
      </c>
      <c r="AW337" s="40">
        <v>465</v>
      </c>
      <c r="AX337" s="55">
        <v>-1584.7198446997236</v>
      </c>
      <c r="AY337" s="674">
        <v>2431.7284044519488</v>
      </c>
      <c r="AZ337" s="40">
        <v>0</v>
      </c>
      <c r="BA337" s="35">
        <v>-2431.7284044519488</v>
      </c>
      <c r="BB337" s="674">
        <v>1561.0949956113063</v>
      </c>
      <c r="BC337" s="40">
        <v>0</v>
      </c>
      <c r="BD337" s="55">
        <v>-1561.0949956113063</v>
      </c>
      <c r="BE337" s="674">
        <v>0</v>
      </c>
      <c r="BF337" s="40">
        <v>0</v>
      </c>
      <c r="BG337" s="38">
        <v>0</v>
      </c>
      <c r="BH337" s="674">
        <v>0</v>
      </c>
      <c r="BI337" s="40">
        <v>0</v>
      </c>
      <c r="BJ337" s="55">
        <v>0</v>
      </c>
      <c r="BK337" s="674">
        <v>1218.6851490055481</v>
      </c>
      <c r="BL337" s="40">
        <v>511</v>
      </c>
      <c r="BM337" s="38">
        <v>-707.68514900554806</v>
      </c>
      <c r="BN337" s="674">
        <v>77.472000000000008</v>
      </c>
      <c r="BO337" s="40">
        <v>0</v>
      </c>
      <c r="BP337" s="55">
        <v>-77.472000000000008</v>
      </c>
      <c r="BQ337" s="77">
        <v>7338.7003937685258</v>
      </c>
      <c r="BR337" s="40">
        <v>976</v>
      </c>
      <c r="BS337" s="55">
        <v>-6362.7003937685258</v>
      </c>
      <c r="BT337" s="674">
        <v>29501.954723485313</v>
      </c>
      <c r="BU337" s="40">
        <v>29611.791792245844</v>
      </c>
      <c r="BV337" s="52">
        <v>109.83706876053111</v>
      </c>
      <c r="BW337" s="674">
        <v>12419.376815519028</v>
      </c>
      <c r="BX337" s="40">
        <v>12615.286469871637</v>
      </c>
      <c r="BY337" s="52">
        <v>195.90965435260841</v>
      </c>
      <c r="BZ337" s="674">
        <v>10278.325831407325</v>
      </c>
      <c r="CA337" s="40">
        <v>7725.4745006109033</v>
      </c>
      <c r="CB337" s="52">
        <v>-2552.8513307964213</v>
      </c>
      <c r="CC337" s="674">
        <v>0</v>
      </c>
      <c r="CD337" s="40">
        <v>0</v>
      </c>
      <c r="CE337" s="52">
        <v>0</v>
      </c>
      <c r="CF337" s="674">
        <v>0</v>
      </c>
      <c r="CG337" s="40">
        <v>0</v>
      </c>
      <c r="CH337" s="52">
        <v>0</v>
      </c>
      <c r="CI337" s="674">
        <v>4681.9001002459026</v>
      </c>
      <c r="CJ337" s="40">
        <v>3312.4190457574946</v>
      </c>
      <c r="CK337" s="52">
        <v>-1369.4810544884081</v>
      </c>
      <c r="CL337" s="674">
        <v>0</v>
      </c>
      <c r="CM337" s="40">
        <v>0</v>
      </c>
      <c r="CN337" s="52">
        <v>0</v>
      </c>
      <c r="CO337" s="39">
        <v>4681.9001002459026</v>
      </c>
      <c r="CP337" s="40">
        <v>3312.4190457574946</v>
      </c>
      <c r="CQ337" s="52">
        <v>-1369.4810544884081</v>
      </c>
      <c r="CR337" s="72">
        <v>128721.3578372389</v>
      </c>
      <c r="CS337" s="5">
        <v>100603.79822609389</v>
      </c>
      <c r="CT337" s="52">
        <v>-28117.559611145014</v>
      </c>
      <c r="CU337" s="77">
        <v>154465.62940468668</v>
      </c>
      <c r="CV337" s="65">
        <v>120724.55787131266</v>
      </c>
      <c r="CW337" s="35">
        <v>-33741.071533374023</v>
      </c>
      <c r="CX337" s="73">
        <v>3438.3466173535894</v>
      </c>
      <c r="CY337" s="40">
        <v>37179.418150727608</v>
      </c>
      <c r="CZ337" s="52">
        <v>33741.071533374015</v>
      </c>
      <c r="DA337" s="150">
        <v>32726.404552003296</v>
      </c>
      <c r="DB337" s="2">
        <v>2</v>
      </c>
      <c r="DC337" s="675">
        <v>27985.32</v>
      </c>
      <c r="DD337" s="675">
        <v>0</v>
      </c>
      <c r="DE337" s="675">
        <v>14136.089845896127</v>
      </c>
      <c r="DF337" s="675">
        <v>0</v>
      </c>
      <c r="DG337" s="321">
        <v>66467.476085377319</v>
      </c>
      <c r="DH337" s="40">
        <v>157892.03500735277</v>
      </c>
      <c r="DI337" s="422">
        <v>13849.230154103872</v>
      </c>
      <c r="DJ337" s="306">
        <v>5.3654231187447206</v>
      </c>
      <c r="DK337" s="306">
        <v>5.3654231187447206</v>
      </c>
      <c r="DL337" s="306">
        <v>4.8258439438760563</v>
      </c>
      <c r="DM337" s="28">
        <v>13849.230154103872</v>
      </c>
      <c r="DN337" s="28">
        <v>0</v>
      </c>
      <c r="DO337" s="423">
        <v>13849.230154103872</v>
      </c>
      <c r="DP337" s="94">
        <v>0</v>
      </c>
      <c r="DQ337" s="28">
        <v>13849.230154103872</v>
      </c>
      <c r="DR337" s="318"/>
      <c r="DT337" s="8"/>
      <c r="DU337" s="5"/>
      <c r="DX337" s="5">
        <v>38299.624318241833</v>
      </c>
      <c r="DY337" s="5">
        <v>13234.945667725531</v>
      </c>
      <c r="DZ337" s="159">
        <v>3434.8903495949749</v>
      </c>
      <c r="EB337" s="676">
        <v>-1375.10136445633</v>
      </c>
      <c r="EC337" s="676">
        <v>2301.563568336549</v>
      </c>
      <c r="ED337" s="676">
        <v>-1849.4785098846878</v>
      </c>
      <c r="EE337" s="676">
        <v>-7556.9709071338357</v>
      </c>
      <c r="EF337" s="676">
        <v>-5964.742213478411</v>
      </c>
      <c r="EG337" s="676">
        <v>-9171.4840422138186</v>
      </c>
      <c r="EH337" s="676">
        <v>-3475.6964463309014</v>
      </c>
      <c r="EI337" s="676">
        <v>-2214.6672561325922</v>
      </c>
      <c r="EJ337" s="676">
        <v>2589.7662226265675</v>
      </c>
      <c r="EK337" s="676">
        <v>3477.7107757178364</v>
      </c>
      <c r="EL337" s="676">
        <v>-4184.2942349227142</v>
      </c>
      <c r="EM337" s="676">
        <v>-6317.6771255016874</v>
      </c>
      <c r="EN337" s="676">
        <v>-33741.071533374023</v>
      </c>
      <c r="EQ337" s="5">
        <v>38299.624318241833</v>
      </c>
      <c r="ER337" s="5">
        <v>13234.945667725531</v>
      </c>
      <c r="ET337" s="318">
        <v>-21700.652998603156</v>
      </c>
      <c r="EU337" s="5">
        <v>21574.129083980486</v>
      </c>
    </row>
    <row r="338" spans="1:151" x14ac:dyDescent="0.3">
      <c r="A338" s="325">
        <v>150000797</v>
      </c>
      <c r="B338" s="41" t="s">
        <v>784</v>
      </c>
      <c r="C338" s="42" t="s">
        <v>232</v>
      </c>
      <c r="D338" s="27">
        <v>4</v>
      </c>
      <c r="E338" s="293">
        <v>5513</v>
      </c>
      <c r="F338" s="305">
        <v>3993</v>
      </c>
      <c r="G338" s="508">
        <v>0</v>
      </c>
      <c r="H338" s="677">
        <v>1520</v>
      </c>
      <c r="I338" s="674">
        <v>16701.353594241435</v>
      </c>
      <c r="J338" s="40">
        <v>18162.432338249266</v>
      </c>
      <c r="K338" s="52">
        <v>1461.0787440078311</v>
      </c>
      <c r="L338" s="674">
        <v>3636.0690153275327</v>
      </c>
      <c r="M338" s="40">
        <v>3979.8150681273632</v>
      </c>
      <c r="N338" s="52">
        <v>343.74605279983052</v>
      </c>
      <c r="O338" s="674">
        <v>5627.6028542287586</v>
      </c>
      <c r="P338" s="40">
        <v>5627.6099999999988</v>
      </c>
      <c r="Q338" s="52">
        <v>7.145771240175236E-3</v>
      </c>
      <c r="R338" s="674">
        <v>0</v>
      </c>
      <c r="S338" s="40">
        <v>0</v>
      </c>
      <c r="T338" s="52">
        <v>0</v>
      </c>
      <c r="U338" s="674">
        <v>0</v>
      </c>
      <c r="V338" s="40">
        <v>0</v>
      </c>
      <c r="W338" s="52">
        <v>0</v>
      </c>
      <c r="X338" s="674">
        <v>18674.690063177983</v>
      </c>
      <c r="Y338" s="40">
        <v>14215.61323349819</v>
      </c>
      <c r="Z338" s="52">
        <v>-4459.0768296797924</v>
      </c>
      <c r="AA338" s="674">
        <v>545.26800000000003</v>
      </c>
      <c r="AB338" s="40">
        <v>0</v>
      </c>
      <c r="AC338" s="52">
        <v>-545.26800000000003</v>
      </c>
      <c r="AD338" s="674">
        <v>20783.900557585042</v>
      </c>
      <c r="AE338" s="40">
        <v>23543.990655014946</v>
      </c>
      <c r="AF338" s="35">
        <v>2760.0900974299038</v>
      </c>
      <c r="AG338" s="77">
        <v>65968.884084560748</v>
      </c>
      <c r="AH338" s="53">
        <v>65529.461294889763</v>
      </c>
      <c r="AI338" s="52">
        <v>-439.42278967098537</v>
      </c>
      <c r="AJ338" s="674">
        <v>0</v>
      </c>
      <c r="AK338" s="40">
        <v>0</v>
      </c>
      <c r="AL338" s="52">
        <v>0</v>
      </c>
      <c r="AM338" s="674">
        <v>0</v>
      </c>
      <c r="AN338" s="40">
        <v>0</v>
      </c>
      <c r="AO338" s="52">
        <v>0</v>
      </c>
      <c r="AP338" s="674">
        <v>9982.9735020896369</v>
      </c>
      <c r="AQ338" s="40">
        <v>8323.1657251800843</v>
      </c>
      <c r="AR338" s="52">
        <v>-1659.8077769095526</v>
      </c>
      <c r="AS338" s="674">
        <v>71342.817139151492</v>
      </c>
      <c r="AT338" s="40">
        <v>36589.25152995516</v>
      </c>
      <c r="AU338" s="54">
        <v>-34753.565609196332</v>
      </c>
      <c r="AV338" s="674">
        <v>4124.8367386730133</v>
      </c>
      <c r="AW338" s="40">
        <v>5995</v>
      </c>
      <c r="AX338" s="55">
        <v>1870.1632613269867</v>
      </c>
      <c r="AY338" s="674">
        <v>5960.7959191457085</v>
      </c>
      <c r="AZ338" s="40">
        <v>0</v>
      </c>
      <c r="BA338" s="35">
        <v>-5960.7959191457085</v>
      </c>
      <c r="BB338" s="674">
        <v>2627.5694610824439</v>
      </c>
      <c r="BC338" s="40">
        <v>12012</v>
      </c>
      <c r="BD338" s="55">
        <v>9384.430538917557</v>
      </c>
      <c r="BE338" s="674">
        <v>0</v>
      </c>
      <c r="BF338" s="40">
        <v>1667</v>
      </c>
      <c r="BG338" s="38">
        <v>1667</v>
      </c>
      <c r="BH338" s="674">
        <v>0</v>
      </c>
      <c r="BI338" s="40">
        <v>0</v>
      </c>
      <c r="BJ338" s="55">
        <v>0</v>
      </c>
      <c r="BK338" s="674">
        <v>5378.3648202200229</v>
      </c>
      <c r="BL338" s="40">
        <v>2104</v>
      </c>
      <c r="BM338" s="38">
        <v>-3274.3648202200229</v>
      </c>
      <c r="BN338" s="674">
        <v>136.31700000000001</v>
      </c>
      <c r="BO338" s="40">
        <v>0</v>
      </c>
      <c r="BP338" s="55">
        <v>-136.31700000000001</v>
      </c>
      <c r="BQ338" s="77">
        <v>18227.883939121188</v>
      </c>
      <c r="BR338" s="40">
        <v>21778</v>
      </c>
      <c r="BS338" s="55">
        <v>3550.1160608788123</v>
      </c>
      <c r="BT338" s="674">
        <v>22634.707956003494</v>
      </c>
      <c r="BU338" s="40">
        <v>30903.063218012012</v>
      </c>
      <c r="BV338" s="52">
        <v>8268.3552620085175</v>
      </c>
      <c r="BW338" s="674">
        <v>42522.02974852232</v>
      </c>
      <c r="BX338" s="40">
        <v>39346.007695877386</v>
      </c>
      <c r="BY338" s="52">
        <v>-3176.0220526449339</v>
      </c>
      <c r="BZ338" s="674">
        <v>12112.662209448226</v>
      </c>
      <c r="CA338" s="40">
        <v>7370.8674040911019</v>
      </c>
      <c r="CB338" s="52">
        <v>-4741.7948053571245</v>
      </c>
      <c r="CC338" s="674">
        <v>778.11395234734061</v>
      </c>
      <c r="CD338" s="40">
        <v>817.81415043136406</v>
      </c>
      <c r="CE338" s="52">
        <v>39.700198084023441</v>
      </c>
      <c r="CF338" s="674">
        <v>95.101604032343033</v>
      </c>
      <c r="CG338" s="40">
        <v>0</v>
      </c>
      <c r="CH338" s="52">
        <v>-95.101604032343033</v>
      </c>
      <c r="CI338" s="674">
        <v>5186.7215390748443</v>
      </c>
      <c r="CJ338" s="40">
        <v>5879.2061284637393</v>
      </c>
      <c r="CK338" s="52">
        <v>692.48458938889507</v>
      </c>
      <c r="CL338" s="674">
        <v>0</v>
      </c>
      <c r="CM338" s="40">
        <v>0</v>
      </c>
      <c r="CN338" s="52">
        <v>0</v>
      </c>
      <c r="CO338" s="39">
        <v>5186.7215390748443</v>
      </c>
      <c r="CP338" s="40">
        <v>5879.2061284637393</v>
      </c>
      <c r="CQ338" s="52">
        <v>692.48458938889507</v>
      </c>
      <c r="CR338" s="72">
        <v>248851.8956743516</v>
      </c>
      <c r="CS338" s="5">
        <v>216536.83714690059</v>
      </c>
      <c r="CT338" s="52">
        <v>-32315.058527451009</v>
      </c>
      <c r="CU338" s="77">
        <v>298622.27480922191</v>
      </c>
      <c r="CV338" s="65">
        <v>259844.2045762807</v>
      </c>
      <c r="CW338" s="35">
        <v>-38778.070232941216</v>
      </c>
      <c r="CX338" s="73">
        <v>27214.900730828056</v>
      </c>
      <c r="CY338" s="40">
        <v>65992.970963769272</v>
      </c>
      <c r="CZ338" s="52">
        <v>38778.070232941216</v>
      </c>
      <c r="DA338" s="150">
        <v>-26980.91188308553</v>
      </c>
      <c r="DB338" s="2">
        <v>2</v>
      </c>
      <c r="DC338" s="675">
        <v>59372.08</v>
      </c>
      <c r="DD338" s="675">
        <v>7417.1100000000006</v>
      </c>
      <c r="DE338" s="675">
        <v>36597.466563720307</v>
      </c>
      <c r="DF338" s="675">
        <v>556.50998713024092</v>
      </c>
      <c r="DG338" s="321">
        <v>11797.15834985567</v>
      </c>
      <c r="DH338" s="40">
        <v>324460.9881084002</v>
      </c>
      <c r="DI338" s="422">
        <v>29287.240194468079</v>
      </c>
      <c r="DJ338" s="306">
        <v>5.7036347198296253</v>
      </c>
      <c r="DK338" s="306">
        <v>5.7036347198296253</v>
      </c>
      <c r="DL338" s="306">
        <v>4.5135526400458943</v>
      </c>
      <c r="DM338" s="28">
        <v>22774.613436279695</v>
      </c>
      <c r="DN338" s="28">
        <v>6860.6000128697597</v>
      </c>
      <c r="DO338" s="423">
        <v>29635.213449149454</v>
      </c>
      <c r="DP338" s="94">
        <v>-347.97325468137569</v>
      </c>
      <c r="DQ338" s="28">
        <v>29635.213449149454</v>
      </c>
      <c r="DR338" s="318"/>
      <c r="DT338" s="8"/>
      <c r="DU338" s="5"/>
      <c r="DX338" s="5">
        <v>107484.84129392722</v>
      </c>
      <c r="DY338" s="5">
        <v>70040.701835946194</v>
      </c>
      <c r="DZ338" s="159">
        <v>9917.5223342570589</v>
      </c>
      <c r="EB338" s="676">
        <v>-471.48654628061922</v>
      </c>
      <c r="EC338" s="676">
        <v>11363.969808290411</v>
      </c>
      <c r="ED338" s="676">
        <v>-6654.8086445028675</v>
      </c>
      <c r="EE338" s="676">
        <v>-10344.075890639837</v>
      </c>
      <c r="EF338" s="676">
        <v>-2977.6231979401455</v>
      </c>
      <c r="EG338" s="676">
        <v>-11984.668335252332</v>
      </c>
      <c r="EH338" s="676">
        <v>5000.2506447732085</v>
      </c>
      <c r="EI338" s="676">
        <v>-9406.9417152430506</v>
      </c>
      <c r="EJ338" s="676">
        <v>-4438.6758666304922</v>
      </c>
      <c r="EK338" s="676">
        <v>-6086.6045646631683</v>
      </c>
      <c r="EL338" s="676">
        <v>-106.51173609351827</v>
      </c>
      <c r="EM338" s="676">
        <v>-2670.8941887587935</v>
      </c>
      <c r="EN338" s="676">
        <v>-38778.070232941202</v>
      </c>
      <c r="EQ338" s="5">
        <v>107484.84129392722</v>
      </c>
      <c r="ER338" s="5">
        <v>70040.701835946194</v>
      </c>
      <c r="ET338" s="318">
        <v>-42805.958433411739</v>
      </c>
      <c r="EU338" s="5">
        <v>-36553.883216732582</v>
      </c>
    </row>
    <row r="339" spans="1:151" x14ac:dyDescent="0.3">
      <c r="A339" s="325">
        <v>150000705</v>
      </c>
      <c r="B339" s="41" t="s">
        <v>785</v>
      </c>
      <c r="C339" s="42" t="s">
        <v>142</v>
      </c>
      <c r="D339" s="27">
        <v>1</v>
      </c>
      <c r="E339" s="293">
        <v>240.6</v>
      </c>
      <c r="F339" s="305">
        <v>240.6</v>
      </c>
      <c r="G339" s="508">
        <v>0</v>
      </c>
      <c r="H339" s="677">
        <v>0</v>
      </c>
      <c r="I339" s="674">
        <v>0</v>
      </c>
      <c r="J339" s="40">
        <v>0</v>
      </c>
      <c r="K339" s="52">
        <v>0</v>
      </c>
      <c r="L339" s="674">
        <v>0</v>
      </c>
      <c r="M339" s="40">
        <v>0</v>
      </c>
      <c r="N339" s="52">
        <v>0</v>
      </c>
      <c r="O339" s="674">
        <v>0</v>
      </c>
      <c r="P339" s="40">
        <v>0</v>
      </c>
      <c r="Q339" s="52">
        <v>0</v>
      </c>
      <c r="R339" s="674">
        <v>0</v>
      </c>
      <c r="S339" s="40">
        <v>0</v>
      </c>
      <c r="T339" s="52">
        <v>0</v>
      </c>
      <c r="U339" s="674">
        <v>0</v>
      </c>
      <c r="V339" s="40">
        <v>0</v>
      </c>
      <c r="W339" s="52">
        <v>0</v>
      </c>
      <c r="X339" s="674">
        <v>0</v>
      </c>
      <c r="Y339" s="40">
        <v>0</v>
      </c>
      <c r="Z339" s="52">
        <v>0</v>
      </c>
      <c r="AA339" s="674">
        <v>28.872</v>
      </c>
      <c r="AB339" s="40">
        <v>0</v>
      </c>
      <c r="AC339" s="52">
        <v>-28.872</v>
      </c>
      <c r="AD339" s="674">
        <v>216.78717093708963</v>
      </c>
      <c r="AE339" s="40">
        <v>878.3668768419584</v>
      </c>
      <c r="AF339" s="35">
        <v>661.57970590486877</v>
      </c>
      <c r="AG339" s="77">
        <v>245.65917093708964</v>
      </c>
      <c r="AH339" s="53">
        <v>878.3668768419584</v>
      </c>
      <c r="AI339" s="52">
        <v>632.70770590486882</v>
      </c>
      <c r="AJ339" s="674">
        <v>0</v>
      </c>
      <c r="AK339" s="40">
        <v>0</v>
      </c>
      <c r="AL339" s="52">
        <v>0</v>
      </c>
      <c r="AM339" s="674">
        <v>0</v>
      </c>
      <c r="AN339" s="40">
        <v>0</v>
      </c>
      <c r="AO339" s="52">
        <v>0</v>
      </c>
      <c r="AP339" s="674">
        <v>444.91842501277739</v>
      </c>
      <c r="AQ339" s="40">
        <v>448.76449922990878</v>
      </c>
      <c r="AR339" s="52">
        <v>3.8460742171313882</v>
      </c>
      <c r="AS339" s="674">
        <v>1977.3022302727741</v>
      </c>
      <c r="AT339" s="40">
        <v>0</v>
      </c>
      <c r="AU339" s="54">
        <v>-1977.3022302727741</v>
      </c>
      <c r="AV339" s="674">
        <v>0</v>
      </c>
      <c r="AW339" s="40">
        <v>0</v>
      </c>
      <c r="AX339" s="55">
        <v>0</v>
      </c>
      <c r="AY339" s="674">
        <v>0</v>
      </c>
      <c r="AZ339" s="40">
        <v>0</v>
      </c>
      <c r="BA339" s="35">
        <v>0</v>
      </c>
      <c r="BB339" s="674">
        <v>0</v>
      </c>
      <c r="BC339" s="40">
        <v>0</v>
      </c>
      <c r="BD339" s="55">
        <v>0</v>
      </c>
      <c r="BE339" s="674">
        <v>0</v>
      </c>
      <c r="BF339" s="40">
        <v>0</v>
      </c>
      <c r="BG339" s="38">
        <v>0</v>
      </c>
      <c r="BH339" s="674">
        <v>0</v>
      </c>
      <c r="BI339" s="40">
        <v>0</v>
      </c>
      <c r="BJ339" s="55">
        <v>0</v>
      </c>
      <c r="BK339" s="674">
        <v>0</v>
      </c>
      <c r="BL339" s="40">
        <v>0</v>
      </c>
      <c r="BM339" s="38">
        <v>0</v>
      </c>
      <c r="BN339" s="674">
        <v>7.218</v>
      </c>
      <c r="BO339" s="40">
        <v>0</v>
      </c>
      <c r="BP339" s="55">
        <v>-7.218</v>
      </c>
      <c r="BQ339" s="77">
        <v>7.218</v>
      </c>
      <c r="BR339" s="40">
        <v>0</v>
      </c>
      <c r="BS339" s="55">
        <v>-7.218</v>
      </c>
      <c r="BT339" s="674">
        <v>97.701960579639803</v>
      </c>
      <c r="BU339" s="40">
        <v>151.4377835631187</v>
      </c>
      <c r="BV339" s="52">
        <v>53.735822983478897</v>
      </c>
      <c r="BW339" s="674">
        <v>0</v>
      </c>
      <c r="BX339" s="40">
        <v>4.4989238413105257</v>
      </c>
      <c r="BY339" s="52">
        <v>4.4989238413105257</v>
      </c>
      <c r="BZ339" s="674">
        <v>0</v>
      </c>
      <c r="CA339" s="40">
        <v>9.2400531561297008</v>
      </c>
      <c r="CB339" s="52">
        <v>9.2400531561297008</v>
      </c>
      <c r="CC339" s="674">
        <v>0</v>
      </c>
      <c r="CD339" s="40">
        <v>0</v>
      </c>
      <c r="CE339" s="52">
        <v>0</v>
      </c>
      <c r="CF339" s="674">
        <v>0</v>
      </c>
      <c r="CG339" s="40">
        <v>0</v>
      </c>
      <c r="CH339" s="52">
        <v>0</v>
      </c>
      <c r="CI339" s="674">
        <v>0</v>
      </c>
      <c r="CJ339" s="40">
        <v>0</v>
      </c>
      <c r="CK339" s="52">
        <v>0</v>
      </c>
      <c r="CL339" s="674">
        <v>0</v>
      </c>
      <c r="CM339" s="40">
        <v>0</v>
      </c>
      <c r="CN339" s="52">
        <v>0</v>
      </c>
      <c r="CO339" s="39">
        <v>0</v>
      </c>
      <c r="CP339" s="40">
        <v>0</v>
      </c>
      <c r="CQ339" s="52">
        <v>0</v>
      </c>
      <c r="CR339" s="72">
        <v>2772.7997868022808</v>
      </c>
      <c r="CS339" s="5">
        <v>1492.3081366324261</v>
      </c>
      <c r="CT339" s="52">
        <v>-1280.4916501698547</v>
      </c>
      <c r="CU339" s="77">
        <v>3327.3597441627367</v>
      </c>
      <c r="CV339" s="65">
        <v>1790.7697639589112</v>
      </c>
      <c r="CW339" s="35">
        <v>-1536.5899802038255</v>
      </c>
      <c r="CX339" s="73">
        <v>104.35952233542729</v>
      </c>
      <c r="CY339" s="40">
        <v>1640.9495025392523</v>
      </c>
      <c r="CZ339" s="52">
        <v>1536.589980203825</v>
      </c>
      <c r="DA339" s="150">
        <v>-192.08342267031912</v>
      </c>
      <c r="DB339" s="2">
        <v>3</v>
      </c>
      <c r="DC339" s="675">
        <v>3116.51</v>
      </c>
      <c r="DD339" s="675">
        <v>0</v>
      </c>
      <c r="DE339" s="675">
        <v>3116.51</v>
      </c>
      <c r="DF339" s="675">
        <v>0</v>
      </c>
      <c r="DG339" s="321">
        <v>1344.5065575335061</v>
      </c>
      <c r="DH339" s="40">
        <v>4161.8286795848844</v>
      </c>
      <c r="DI339" s="422">
        <v>365.21181610874731</v>
      </c>
      <c r="DJ339" s="306">
        <v>1.5179210977088418</v>
      </c>
      <c r="DK339" s="306">
        <v>1.5179210977088418</v>
      </c>
      <c r="DL339" s="306">
        <v>1.5179210977088418</v>
      </c>
      <c r="DM339" s="28">
        <v>365.21181610874731</v>
      </c>
      <c r="DN339" s="28">
        <v>0</v>
      </c>
      <c r="DO339" s="423">
        <v>365.21181610874731</v>
      </c>
      <c r="DP339" s="94">
        <v>0</v>
      </c>
      <c r="DQ339" s="28">
        <v>365.21181610874731</v>
      </c>
      <c r="DR339" s="318"/>
      <c r="DT339" s="8"/>
      <c r="DU339" s="5"/>
      <c r="DX339" s="5">
        <v>2381.4242763273287</v>
      </c>
      <c r="DY339" s="5">
        <v>0</v>
      </c>
      <c r="DZ339" s="159">
        <v>282.7342447362451</v>
      </c>
      <c r="EB339" s="676">
        <v>145.4881720813836</v>
      </c>
      <c r="EC339" s="676">
        <v>-148.36027528426902</v>
      </c>
      <c r="ED339" s="676">
        <v>-144.00383606946971</v>
      </c>
      <c r="EE339" s="676">
        <v>-283.94262813343403</v>
      </c>
      <c r="EF339" s="676">
        <v>-239.92868907636409</v>
      </c>
      <c r="EG339" s="676">
        <v>-245.28667427187503</v>
      </c>
      <c r="EH339" s="676">
        <v>20.784130589099334</v>
      </c>
      <c r="EI339" s="676">
        <v>-204.41814608041292</v>
      </c>
      <c r="EJ339" s="676">
        <v>-243.09153963938081</v>
      </c>
      <c r="EK339" s="676">
        <v>-193.83049431910246</v>
      </c>
      <c r="EL339" s="676">
        <v>0</v>
      </c>
      <c r="EM339" s="676">
        <v>0</v>
      </c>
      <c r="EN339" s="676">
        <v>-1536.5899802038252</v>
      </c>
      <c r="EQ339" s="5">
        <v>2381.4242763273287</v>
      </c>
      <c r="ER339" s="5">
        <v>0</v>
      </c>
      <c r="ET339" s="318">
        <v>-1183.0338416763848</v>
      </c>
      <c r="EU339" s="5">
        <v>3912.5403992098913</v>
      </c>
    </row>
    <row r="340" spans="1:151" x14ac:dyDescent="0.3">
      <c r="A340" s="325">
        <v>150000709</v>
      </c>
      <c r="B340" s="41" t="s">
        <v>786</v>
      </c>
      <c r="C340" s="42" t="s">
        <v>143</v>
      </c>
      <c r="D340" s="27">
        <v>1</v>
      </c>
      <c r="E340" s="293">
        <v>201.1</v>
      </c>
      <c r="F340" s="305">
        <v>201.1</v>
      </c>
      <c r="G340" s="508">
        <v>0</v>
      </c>
      <c r="H340" s="677">
        <v>0</v>
      </c>
      <c r="I340" s="674">
        <v>0</v>
      </c>
      <c r="J340" s="40">
        <v>0</v>
      </c>
      <c r="K340" s="52">
        <v>0</v>
      </c>
      <c r="L340" s="674">
        <v>0</v>
      </c>
      <c r="M340" s="40">
        <v>0</v>
      </c>
      <c r="N340" s="52">
        <v>0</v>
      </c>
      <c r="O340" s="674">
        <v>0</v>
      </c>
      <c r="P340" s="40">
        <v>0</v>
      </c>
      <c r="Q340" s="52">
        <v>0</v>
      </c>
      <c r="R340" s="674">
        <v>0</v>
      </c>
      <c r="S340" s="40">
        <v>0</v>
      </c>
      <c r="T340" s="52">
        <v>0</v>
      </c>
      <c r="U340" s="674">
        <v>0</v>
      </c>
      <c r="V340" s="40">
        <v>0</v>
      </c>
      <c r="W340" s="52">
        <v>0</v>
      </c>
      <c r="X340" s="674">
        <v>0</v>
      </c>
      <c r="Y340" s="40">
        <v>0</v>
      </c>
      <c r="Z340" s="52">
        <v>0</v>
      </c>
      <c r="AA340" s="674">
        <v>24.132000000000001</v>
      </c>
      <c r="AB340" s="40">
        <v>0</v>
      </c>
      <c r="AC340" s="52">
        <v>-24.132000000000001</v>
      </c>
      <c r="AD340" s="674">
        <v>181.20362000218387</v>
      </c>
      <c r="AE340" s="40">
        <v>854.41796244819511</v>
      </c>
      <c r="AF340" s="35">
        <v>673.21434244601119</v>
      </c>
      <c r="AG340" s="77">
        <v>205.33562000218387</v>
      </c>
      <c r="AH340" s="53">
        <v>854.41796244819511</v>
      </c>
      <c r="AI340" s="52">
        <v>649.08234244601124</v>
      </c>
      <c r="AJ340" s="674">
        <v>0</v>
      </c>
      <c r="AK340" s="40">
        <v>0</v>
      </c>
      <c r="AL340" s="52">
        <v>0</v>
      </c>
      <c r="AM340" s="674">
        <v>0</v>
      </c>
      <c r="AN340" s="40">
        <v>0</v>
      </c>
      <c r="AO340" s="52">
        <v>0</v>
      </c>
      <c r="AP340" s="674">
        <v>359.74679286809487</v>
      </c>
      <c r="AQ340" s="40">
        <v>299.17633281993915</v>
      </c>
      <c r="AR340" s="52">
        <v>-60.570460048155724</v>
      </c>
      <c r="AS340" s="674">
        <v>2127.2718407025718</v>
      </c>
      <c r="AT340" s="40">
        <v>0</v>
      </c>
      <c r="AU340" s="54">
        <v>-2127.2718407025718</v>
      </c>
      <c r="AV340" s="674">
        <v>0</v>
      </c>
      <c r="AW340" s="40">
        <v>0</v>
      </c>
      <c r="AX340" s="55">
        <v>0</v>
      </c>
      <c r="AY340" s="674">
        <v>0</v>
      </c>
      <c r="AZ340" s="40">
        <v>0</v>
      </c>
      <c r="BA340" s="35">
        <v>0</v>
      </c>
      <c r="BB340" s="674">
        <v>0</v>
      </c>
      <c r="BC340" s="40">
        <v>0</v>
      </c>
      <c r="BD340" s="55">
        <v>0</v>
      </c>
      <c r="BE340" s="674">
        <v>0</v>
      </c>
      <c r="BF340" s="40">
        <v>0</v>
      </c>
      <c r="BG340" s="38">
        <v>0</v>
      </c>
      <c r="BH340" s="674">
        <v>0</v>
      </c>
      <c r="BI340" s="40">
        <v>0</v>
      </c>
      <c r="BJ340" s="55">
        <v>0</v>
      </c>
      <c r="BK340" s="674">
        <v>0</v>
      </c>
      <c r="BL340" s="40">
        <v>0</v>
      </c>
      <c r="BM340" s="38">
        <v>0</v>
      </c>
      <c r="BN340" s="674">
        <v>6.0330000000000004</v>
      </c>
      <c r="BO340" s="40">
        <v>0</v>
      </c>
      <c r="BP340" s="55">
        <v>-6.0330000000000004</v>
      </c>
      <c r="BQ340" s="77">
        <v>6.0330000000000004</v>
      </c>
      <c r="BR340" s="40">
        <v>0</v>
      </c>
      <c r="BS340" s="55">
        <v>-6.0330000000000004</v>
      </c>
      <c r="BT340" s="674">
        <v>143.56206452518501</v>
      </c>
      <c r="BU340" s="40">
        <v>188.54343721952199</v>
      </c>
      <c r="BV340" s="52">
        <v>44.981372694336983</v>
      </c>
      <c r="BW340" s="674">
        <v>0</v>
      </c>
      <c r="BX340" s="40">
        <v>4.5743572899432081</v>
      </c>
      <c r="BY340" s="52">
        <v>4.5743572899432081</v>
      </c>
      <c r="BZ340" s="674">
        <v>0</v>
      </c>
      <c r="CA340" s="40">
        <v>63.582624439369937</v>
      </c>
      <c r="CB340" s="52">
        <v>63.582624439369937</v>
      </c>
      <c r="CC340" s="674">
        <v>0</v>
      </c>
      <c r="CD340" s="40">
        <v>0</v>
      </c>
      <c r="CE340" s="52">
        <v>0</v>
      </c>
      <c r="CF340" s="674">
        <v>0</v>
      </c>
      <c r="CG340" s="40">
        <v>0</v>
      </c>
      <c r="CH340" s="52">
        <v>0</v>
      </c>
      <c r="CI340" s="674">
        <v>0</v>
      </c>
      <c r="CJ340" s="40">
        <v>0</v>
      </c>
      <c r="CK340" s="52">
        <v>0</v>
      </c>
      <c r="CL340" s="674">
        <v>0</v>
      </c>
      <c r="CM340" s="40">
        <v>0</v>
      </c>
      <c r="CN340" s="52">
        <v>0</v>
      </c>
      <c r="CO340" s="39">
        <v>0</v>
      </c>
      <c r="CP340" s="40">
        <v>0</v>
      </c>
      <c r="CQ340" s="52">
        <v>0</v>
      </c>
      <c r="CR340" s="72">
        <v>2841.9493180980357</v>
      </c>
      <c r="CS340" s="5">
        <v>1410.2947142169696</v>
      </c>
      <c r="CT340" s="52">
        <v>-1431.6546038810661</v>
      </c>
      <c r="CU340" s="77">
        <v>3410.339181717643</v>
      </c>
      <c r="CV340" s="65">
        <v>1692.3536570603635</v>
      </c>
      <c r="CW340" s="35">
        <v>-1717.9855246572795</v>
      </c>
      <c r="CX340" s="73">
        <v>103.29900991175317</v>
      </c>
      <c r="CY340" s="40">
        <v>1821.284534569033</v>
      </c>
      <c r="CZ340" s="52">
        <v>1717.9855246572797</v>
      </c>
      <c r="DA340" s="150">
        <v>-5815.3344799862643</v>
      </c>
      <c r="DB340" s="2">
        <v>3</v>
      </c>
      <c r="DC340" s="675">
        <v>313.56</v>
      </c>
      <c r="DD340" s="675">
        <v>0</v>
      </c>
      <c r="DE340" s="675">
        <v>6.0067987214263781</v>
      </c>
      <c r="DF340" s="675">
        <v>0</v>
      </c>
      <c r="DG340" s="321">
        <v>-4097.3489553289846</v>
      </c>
      <c r="DH340" s="40">
        <v>3513.3704920671739</v>
      </c>
      <c r="DI340" s="422">
        <v>307.55320127857362</v>
      </c>
      <c r="DJ340" s="306">
        <v>1.5293545563330364</v>
      </c>
      <c r="DK340" s="306">
        <v>1.5293545563330364</v>
      </c>
      <c r="DL340" s="306">
        <v>1.5293545563330364</v>
      </c>
      <c r="DM340" s="28">
        <v>307.55320127857362</v>
      </c>
      <c r="DN340" s="28">
        <v>0</v>
      </c>
      <c r="DO340" s="423">
        <v>307.55320127857362</v>
      </c>
      <c r="DP340" s="94">
        <v>0</v>
      </c>
      <c r="DQ340" s="28">
        <v>307.55320127857362</v>
      </c>
      <c r="DR340" s="318"/>
      <c r="DT340" s="8"/>
      <c r="DU340" s="5"/>
      <c r="DX340" s="5">
        <v>2559.9658088430861</v>
      </c>
      <c r="DY340" s="5">
        <v>0</v>
      </c>
      <c r="DZ340" s="159">
        <v>243.02958936730931</v>
      </c>
      <c r="EB340" s="676">
        <v>71.606541531394697</v>
      </c>
      <c r="EC340" s="676">
        <v>-128.48207537122875</v>
      </c>
      <c r="ED340" s="676">
        <v>-124.84084542070448</v>
      </c>
      <c r="EE340" s="676">
        <v>-239.57013194140728</v>
      </c>
      <c r="EF340" s="676">
        <v>-193.06498166400644</v>
      </c>
      <c r="EG340" s="676">
        <v>-197.7028495065226</v>
      </c>
      <c r="EH340" s="676">
        <v>-20.883854907913872</v>
      </c>
      <c r="EI340" s="676">
        <v>-163.16350968826083</v>
      </c>
      <c r="EJ340" s="676">
        <v>-195.47556619301929</v>
      </c>
      <c r="EK340" s="676">
        <v>-153.62513368966773</v>
      </c>
      <c r="EL340" s="676">
        <v>-181.05817416857758</v>
      </c>
      <c r="EM340" s="676">
        <v>-191.72494363736541</v>
      </c>
      <c r="EN340" s="676">
        <v>-1717.9855246572797</v>
      </c>
      <c r="EQ340" s="5">
        <v>2559.9658088430861</v>
      </c>
      <c r="ER340" s="5">
        <v>0</v>
      </c>
      <c r="ET340" s="318">
        <v>-1321.2139368340561</v>
      </c>
      <c r="EU340" s="5">
        <v>-1165.135018494929</v>
      </c>
    </row>
    <row r="341" spans="1:151" x14ac:dyDescent="0.3">
      <c r="A341" s="325">
        <v>150000706</v>
      </c>
      <c r="B341" s="41" t="s">
        <v>787</v>
      </c>
      <c r="C341" s="42" t="s">
        <v>144</v>
      </c>
      <c r="D341" s="27">
        <v>1</v>
      </c>
      <c r="E341" s="293">
        <v>243.32</v>
      </c>
      <c r="F341" s="305">
        <v>243.32</v>
      </c>
      <c r="G341" s="508">
        <v>0</v>
      </c>
      <c r="H341" s="677">
        <v>0</v>
      </c>
      <c r="I341" s="674">
        <v>0</v>
      </c>
      <c r="J341" s="40">
        <v>0</v>
      </c>
      <c r="K341" s="52">
        <v>0</v>
      </c>
      <c r="L341" s="674">
        <v>0</v>
      </c>
      <c r="M341" s="40">
        <v>0</v>
      </c>
      <c r="N341" s="52">
        <v>0</v>
      </c>
      <c r="O341" s="674">
        <v>0</v>
      </c>
      <c r="P341" s="40">
        <v>0</v>
      </c>
      <c r="Q341" s="52">
        <v>0</v>
      </c>
      <c r="R341" s="674">
        <v>0</v>
      </c>
      <c r="S341" s="40">
        <v>0</v>
      </c>
      <c r="T341" s="52">
        <v>0</v>
      </c>
      <c r="U341" s="674">
        <v>0</v>
      </c>
      <c r="V341" s="40">
        <v>0</v>
      </c>
      <c r="W341" s="52">
        <v>0</v>
      </c>
      <c r="X341" s="674">
        <v>0</v>
      </c>
      <c r="Y341" s="40">
        <v>0</v>
      </c>
      <c r="Z341" s="52">
        <v>0</v>
      </c>
      <c r="AA341" s="674">
        <v>29.198399999999999</v>
      </c>
      <c r="AB341" s="40">
        <v>0</v>
      </c>
      <c r="AC341" s="52">
        <v>-29.198399999999999</v>
      </c>
      <c r="AD341" s="674">
        <v>219.28112563963339</v>
      </c>
      <c r="AE341" s="40">
        <v>1033.7989986220527</v>
      </c>
      <c r="AF341" s="35">
        <v>814.51787298241936</v>
      </c>
      <c r="AG341" s="77">
        <v>248.47952563963338</v>
      </c>
      <c r="AH341" s="53">
        <v>1033.7989986220527</v>
      </c>
      <c r="AI341" s="52">
        <v>785.31947298241937</v>
      </c>
      <c r="AJ341" s="674">
        <v>0</v>
      </c>
      <c r="AK341" s="40">
        <v>0</v>
      </c>
      <c r="AL341" s="52">
        <v>0</v>
      </c>
      <c r="AM341" s="674">
        <v>0</v>
      </c>
      <c r="AN341" s="40">
        <v>0</v>
      </c>
      <c r="AO341" s="52">
        <v>0</v>
      </c>
      <c r="AP341" s="674">
        <v>539.62018930214231</v>
      </c>
      <c r="AQ341" s="40">
        <v>448.76449922990878</v>
      </c>
      <c r="AR341" s="52">
        <v>-90.855690072233529</v>
      </c>
      <c r="AS341" s="674">
        <v>2557.3311199479035</v>
      </c>
      <c r="AT341" s="40">
        <v>0</v>
      </c>
      <c r="AU341" s="54">
        <v>-2557.3311199479035</v>
      </c>
      <c r="AV341" s="674">
        <v>0</v>
      </c>
      <c r="AW341" s="40">
        <v>0</v>
      </c>
      <c r="AX341" s="55">
        <v>0</v>
      </c>
      <c r="AY341" s="674">
        <v>0</v>
      </c>
      <c r="AZ341" s="40">
        <v>0</v>
      </c>
      <c r="BA341" s="35">
        <v>0</v>
      </c>
      <c r="BB341" s="674">
        <v>0</v>
      </c>
      <c r="BC341" s="40">
        <v>0</v>
      </c>
      <c r="BD341" s="55">
        <v>0</v>
      </c>
      <c r="BE341" s="674">
        <v>0</v>
      </c>
      <c r="BF341" s="40">
        <v>0</v>
      </c>
      <c r="BG341" s="38">
        <v>0</v>
      </c>
      <c r="BH341" s="674">
        <v>0</v>
      </c>
      <c r="BI341" s="40">
        <v>0</v>
      </c>
      <c r="BJ341" s="55">
        <v>0</v>
      </c>
      <c r="BK341" s="674">
        <v>0</v>
      </c>
      <c r="BL341" s="40">
        <v>0</v>
      </c>
      <c r="BM341" s="38">
        <v>0</v>
      </c>
      <c r="BN341" s="674">
        <v>7.2995999999999999</v>
      </c>
      <c r="BO341" s="40">
        <v>0</v>
      </c>
      <c r="BP341" s="55">
        <v>-7.2995999999999999</v>
      </c>
      <c r="BQ341" s="77">
        <v>7.2995999999999999</v>
      </c>
      <c r="BR341" s="40">
        <v>0</v>
      </c>
      <c r="BS341" s="55">
        <v>-7.2995999999999999</v>
      </c>
      <c r="BT341" s="674">
        <v>89.726290328240665</v>
      </c>
      <c r="BU341" s="40">
        <v>117.91178433967508</v>
      </c>
      <c r="BV341" s="52">
        <v>28.185494011434415</v>
      </c>
      <c r="BW341" s="674">
        <v>0</v>
      </c>
      <c r="BX341" s="40">
        <v>5.5347221073544564</v>
      </c>
      <c r="BY341" s="52">
        <v>5.5347221073544564</v>
      </c>
      <c r="BZ341" s="674">
        <v>0</v>
      </c>
      <c r="CA341" s="40">
        <v>39.743076710914053</v>
      </c>
      <c r="CB341" s="52">
        <v>39.743076710914053</v>
      </c>
      <c r="CC341" s="674">
        <v>0</v>
      </c>
      <c r="CD341" s="40">
        <v>0</v>
      </c>
      <c r="CE341" s="52">
        <v>0</v>
      </c>
      <c r="CF341" s="674">
        <v>0</v>
      </c>
      <c r="CG341" s="40">
        <v>0</v>
      </c>
      <c r="CH341" s="52">
        <v>0</v>
      </c>
      <c r="CI341" s="674">
        <v>0</v>
      </c>
      <c r="CJ341" s="40">
        <v>0</v>
      </c>
      <c r="CK341" s="52">
        <v>0</v>
      </c>
      <c r="CL341" s="674">
        <v>0</v>
      </c>
      <c r="CM341" s="40">
        <v>0</v>
      </c>
      <c r="CN341" s="52">
        <v>0</v>
      </c>
      <c r="CO341" s="39">
        <v>0</v>
      </c>
      <c r="CP341" s="40">
        <v>0</v>
      </c>
      <c r="CQ341" s="52">
        <v>0</v>
      </c>
      <c r="CR341" s="72">
        <v>3442.4567252179199</v>
      </c>
      <c r="CS341" s="5">
        <v>1645.7530810099049</v>
      </c>
      <c r="CT341" s="52">
        <v>-1796.703644208015</v>
      </c>
      <c r="CU341" s="77">
        <v>4130.9480702615037</v>
      </c>
      <c r="CV341" s="65">
        <v>1974.9036972118859</v>
      </c>
      <c r="CW341" s="35">
        <v>-2156.0443730496181</v>
      </c>
      <c r="CX341" s="73">
        <v>124.88571271219016</v>
      </c>
      <c r="CY341" s="40">
        <v>2280.9300857618068</v>
      </c>
      <c r="CZ341" s="52">
        <v>2156.0443730496168</v>
      </c>
      <c r="DA341" s="150">
        <v>-806.27559591888712</v>
      </c>
      <c r="DB341" s="2">
        <v>3</v>
      </c>
      <c r="DC341" s="675">
        <v>442.24</v>
      </c>
      <c r="DD341" s="675">
        <v>0</v>
      </c>
      <c r="DE341" s="675">
        <v>68.622627993651861</v>
      </c>
      <c r="DF341" s="675">
        <v>0</v>
      </c>
      <c r="DG341" s="321">
        <v>1349.7687771307296</v>
      </c>
      <c r="DH341" s="40">
        <v>4255.5130869767745</v>
      </c>
      <c r="DI341" s="422">
        <v>373.61737200634815</v>
      </c>
      <c r="DJ341" s="306">
        <v>1.5354979944367424</v>
      </c>
      <c r="DK341" s="306">
        <v>1.5354979944367424</v>
      </c>
      <c r="DL341" s="306">
        <v>1.5354979944367424</v>
      </c>
      <c r="DM341" s="28">
        <v>373.61737200634815</v>
      </c>
      <c r="DN341" s="28">
        <v>0</v>
      </c>
      <c r="DO341" s="423">
        <v>373.61737200634815</v>
      </c>
      <c r="DP341" s="94">
        <v>0</v>
      </c>
      <c r="DQ341" s="28">
        <v>373.61737200634815</v>
      </c>
      <c r="DR341" s="318"/>
      <c r="DT341" s="8"/>
      <c r="DU341" s="5"/>
      <c r="DX341" s="5">
        <v>3077.5568639374837</v>
      </c>
      <c r="DY341" s="5">
        <v>0</v>
      </c>
      <c r="DZ341" s="159">
        <v>295.72018922620731</v>
      </c>
      <c r="EB341" s="676">
        <v>141.50584631359283</v>
      </c>
      <c r="EC341" s="676">
        <v>-152.62259745055488</v>
      </c>
      <c r="ED341" s="676">
        <v>-148.21690838262069</v>
      </c>
      <c r="EE341" s="676">
        <v>-291.32511766725383</v>
      </c>
      <c r="EF341" s="676">
        <v>-256.13897908402356</v>
      </c>
      <c r="EG341" s="676">
        <v>-261.40444874051354</v>
      </c>
      <c r="EH341" s="676">
        <v>4.6208588588717134</v>
      </c>
      <c r="EI341" s="676">
        <v>-220.43888370094629</v>
      </c>
      <c r="EJ341" s="676">
        <v>-259.56120416867299</v>
      </c>
      <c r="EK341" s="676">
        <v>-210.50752753576276</v>
      </c>
      <c r="EL341" s="676">
        <v>-242.86696602680399</v>
      </c>
      <c r="EM341" s="676">
        <v>-259.08844546492895</v>
      </c>
      <c r="EN341" s="676">
        <v>-2156.0443730496168</v>
      </c>
      <c r="EQ341" s="5">
        <v>3077.5568639374837</v>
      </c>
      <c r="ER341" s="5">
        <v>0</v>
      </c>
      <c r="ET341" s="318">
        <v>-1479.9455294430541</v>
      </c>
      <c r="EU341" s="5">
        <v>-801.28569342621631</v>
      </c>
    </row>
    <row r="342" spans="1:151" x14ac:dyDescent="0.3">
      <c r="A342" s="325">
        <v>150000707</v>
      </c>
      <c r="B342" s="41" t="s">
        <v>788</v>
      </c>
      <c r="C342" s="42" t="s">
        <v>145</v>
      </c>
      <c r="D342" s="27">
        <v>1</v>
      </c>
      <c r="E342" s="293">
        <v>326.10000000000002</v>
      </c>
      <c r="F342" s="305">
        <v>326.10000000000002</v>
      </c>
      <c r="G342" s="508">
        <v>0</v>
      </c>
      <c r="H342" s="677">
        <v>0</v>
      </c>
      <c r="I342" s="674">
        <v>0</v>
      </c>
      <c r="J342" s="40">
        <v>0</v>
      </c>
      <c r="K342" s="52">
        <v>0</v>
      </c>
      <c r="L342" s="674">
        <v>0</v>
      </c>
      <c r="M342" s="40">
        <v>0</v>
      </c>
      <c r="N342" s="52">
        <v>0</v>
      </c>
      <c r="O342" s="674">
        <v>0</v>
      </c>
      <c r="P342" s="40">
        <v>0</v>
      </c>
      <c r="Q342" s="52">
        <v>0</v>
      </c>
      <c r="R342" s="674">
        <v>0</v>
      </c>
      <c r="S342" s="40">
        <v>0</v>
      </c>
      <c r="T342" s="52">
        <v>0</v>
      </c>
      <c r="U342" s="674">
        <v>0</v>
      </c>
      <c r="V342" s="40">
        <v>0</v>
      </c>
      <c r="W342" s="52">
        <v>0</v>
      </c>
      <c r="X342" s="674">
        <v>0</v>
      </c>
      <c r="Y342" s="40">
        <v>0</v>
      </c>
      <c r="Z342" s="52">
        <v>0</v>
      </c>
      <c r="AA342" s="674">
        <v>39.132000000000005</v>
      </c>
      <c r="AB342" s="40">
        <v>0</v>
      </c>
      <c r="AC342" s="52">
        <v>-39.132000000000005</v>
      </c>
      <c r="AD342" s="674">
        <v>293.84117530013532</v>
      </c>
      <c r="AE342" s="40">
        <v>1385.508192711867</v>
      </c>
      <c r="AF342" s="35">
        <v>1091.6670174117316</v>
      </c>
      <c r="AG342" s="77">
        <v>332.97317530013532</v>
      </c>
      <c r="AH342" s="53">
        <v>1385.508192711867</v>
      </c>
      <c r="AI342" s="52">
        <v>1052.5350174117316</v>
      </c>
      <c r="AJ342" s="674">
        <v>0</v>
      </c>
      <c r="AK342" s="40">
        <v>0</v>
      </c>
      <c r="AL342" s="52">
        <v>0</v>
      </c>
      <c r="AM342" s="674">
        <v>0</v>
      </c>
      <c r="AN342" s="40">
        <v>0</v>
      </c>
      <c r="AO342" s="52">
        <v>0</v>
      </c>
      <c r="AP342" s="674">
        <v>449.6834910851187</v>
      </c>
      <c r="AQ342" s="40">
        <v>373.97041602492402</v>
      </c>
      <c r="AR342" s="52">
        <v>-75.713075060194683</v>
      </c>
      <c r="AS342" s="674">
        <v>3393.0257903560009</v>
      </c>
      <c r="AT342" s="40">
        <v>0</v>
      </c>
      <c r="AU342" s="54">
        <v>-3393.0257903560009</v>
      </c>
      <c r="AV342" s="674">
        <v>0</v>
      </c>
      <c r="AW342" s="40">
        <v>0</v>
      </c>
      <c r="AX342" s="55">
        <v>0</v>
      </c>
      <c r="AY342" s="674">
        <v>0</v>
      </c>
      <c r="AZ342" s="40">
        <v>0</v>
      </c>
      <c r="BA342" s="35">
        <v>0</v>
      </c>
      <c r="BB342" s="674">
        <v>0</v>
      </c>
      <c r="BC342" s="40">
        <v>0</v>
      </c>
      <c r="BD342" s="55">
        <v>0</v>
      </c>
      <c r="BE342" s="674">
        <v>0</v>
      </c>
      <c r="BF342" s="40">
        <v>0</v>
      </c>
      <c r="BG342" s="38">
        <v>0</v>
      </c>
      <c r="BH342" s="674">
        <v>0</v>
      </c>
      <c r="BI342" s="40">
        <v>0</v>
      </c>
      <c r="BJ342" s="55">
        <v>0</v>
      </c>
      <c r="BK342" s="674">
        <v>0</v>
      </c>
      <c r="BL342" s="40">
        <v>0</v>
      </c>
      <c r="BM342" s="38">
        <v>0</v>
      </c>
      <c r="BN342" s="674">
        <v>9.7830000000000013</v>
      </c>
      <c r="BO342" s="40">
        <v>0</v>
      </c>
      <c r="BP342" s="55">
        <v>-9.7830000000000013</v>
      </c>
      <c r="BQ342" s="77">
        <v>9.7830000000000013</v>
      </c>
      <c r="BR342" s="40">
        <v>0</v>
      </c>
      <c r="BS342" s="55">
        <v>-9.7830000000000013</v>
      </c>
      <c r="BT342" s="674">
        <v>394.79567744425896</v>
      </c>
      <c r="BU342" s="40">
        <v>518.61760943755792</v>
      </c>
      <c r="BV342" s="52">
        <v>123.82193199329896</v>
      </c>
      <c r="BW342" s="674">
        <v>0</v>
      </c>
      <c r="BX342" s="40">
        <v>7.4176922538561936</v>
      </c>
      <c r="BY342" s="52">
        <v>7.4176922538561936</v>
      </c>
      <c r="BZ342" s="674">
        <v>0</v>
      </c>
      <c r="CA342" s="40">
        <v>174.90781971869987</v>
      </c>
      <c r="CB342" s="52">
        <v>174.90781971869987</v>
      </c>
      <c r="CC342" s="674">
        <v>0</v>
      </c>
      <c r="CD342" s="40">
        <v>0</v>
      </c>
      <c r="CE342" s="52">
        <v>0</v>
      </c>
      <c r="CF342" s="674">
        <v>0</v>
      </c>
      <c r="CG342" s="40">
        <v>0</v>
      </c>
      <c r="CH342" s="52">
        <v>0</v>
      </c>
      <c r="CI342" s="674">
        <v>0</v>
      </c>
      <c r="CJ342" s="40">
        <v>0</v>
      </c>
      <c r="CK342" s="52">
        <v>0</v>
      </c>
      <c r="CL342" s="674">
        <v>0</v>
      </c>
      <c r="CM342" s="40">
        <v>0</v>
      </c>
      <c r="CN342" s="52">
        <v>0</v>
      </c>
      <c r="CO342" s="39">
        <v>0</v>
      </c>
      <c r="CP342" s="40">
        <v>0</v>
      </c>
      <c r="CQ342" s="52">
        <v>0</v>
      </c>
      <c r="CR342" s="72">
        <v>4580.2611341855145</v>
      </c>
      <c r="CS342" s="5">
        <v>2460.4217301469052</v>
      </c>
      <c r="CT342" s="52">
        <v>-2119.8394040386092</v>
      </c>
      <c r="CU342" s="77">
        <v>5496.3133610226168</v>
      </c>
      <c r="CV342" s="65">
        <v>2952.5060761762861</v>
      </c>
      <c r="CW342" s="35">
        <v>-2543.8072848463307</v>
      </c>
      <c r="CX342" s="73">
        <v>166.18899386057666</v>
      </c>
      <c r="CY342" s="40">
        <v>2709.9962787069067</v>
      </c>
      <c r="CZ342" s="52">
        <v>2543.8072848463298</v>
      </c>
      <c r="DA342" s="150">
        <v>-9466.7869535530099</v>
      </c>
      <c r="DB342" s="2">
        <v>3</v>
      </c>
      <c r="DC342" s="675">
        <v>1219.45</v>
      </c>
      <c r="DD342" s="675">
        <v>0</v>
      </c>
      <c r="DE342" s="675">
        <v>722.46039908284979</v>
      </c>
      <c r="DF342" s="675">
        <v>0</v>
      </c>
      <c r="DG342" s="321">
        <v>-6922.9796687066801</v>
      </c>
      <c r="DH342" s="40">
        <v>5662.0752774231314</v>
      </c>
      <c r="DI342" s="422">
        <v>496.98960091715043</v>
      </c>
      <c r="DJ342" s="306">
        <v>1.5240404811933463</v>
      </c>
      <c r="DK342" s="306">
        <v>1.5240404811933463</v>
      </c>
      <c r="DL342" s="306">
        <v>1.5240404811933463</v>
      </c>
      <c r="DM342" s="28">
        <v>496.98960091715026</v>
      </c>
      <c r="DN342" s="28">
        <v>0</v>
      </c>
      <c r="DO342" s="423">
        <v>496.98960091715026</v>
      </c>
      <c r="DP342" s="94">
        <v>0</v>
      </c>
      <c r="DQ342" s="28">
        <v>496.98960091715026</v>
      </c>
      <c r="DR342" s="318"/>
      <c r="DT342" s="8"/>
      <c r="DU342" s="5"/>
      <c r="DX342" s="5">
        <v>4083.3705484272009</v>
      </c>
      <c r="DY342" s="5">
        <v>0</v>
      </c>
      <c r="DZ342" s="159">
        <v>384.87759752988825</v>
      </c>
      <c r="EB342" s="676">
        <v>55.663157192864674</v>
      </c>
      <c r="EC342" s="676">
        <v>-202.13979440510195</v>
      </c>
      <c r="ED342" s="676">
        <v>-196.23524399801116</v>
      </c>
      <c r="EE342" s="676">
        <v>-386.79179310980498</v>
      </c>
      <c r="EF342" s="676">
        <v>-270.65472514994576</v>
      </c>
      <c r="EG342" s="676">
        <v>-278.84396042196261</v>
      </c>
      <c r="EH342" s="676">
        <v>-58.830037579725968</v>
      </c>
      <c r="EI342" s="676">
        <v>-221.24167557763809</v>
      </c>
      <c r="EJ342" s="676">
        <v>-273.58711307070325</v>
      </c>
      <c r="EK342" s="676">
        <v>-202.66695369362503</v>
      </c>
      <c r="EL342" s="676">
        <v>-248.76098181825296</v>
      </c>
      <c r="EM342" s="676">
        <v>-259.71816321442316</v>
      </c>
      <c r="EN342" s="676">
        <v>-2543.8072848463298</v>
      </c>
      <c r="EQ342" s="5">
        <v>4083.3705484272009</v>
      </c>
      <c r="ER342" s="5">
        <v>0</v>
      </c>
      <c r="ET342" s="318">
        <v>-2176.4488735435084</v>
      </c>
      <c r="EU342" s="5">
        <v>-1940.5307951631712</v>
      </c>
    </row>
    <row r="343" spans="1:151" x14ac:dyDescent="0.3">
      <c r="A343" s="325">
        <v>150000708</v>
      </c>
      <c r="B343" s="41" t="s">
        <v>789</v>
      </c>
      <c r="C343" s="42" t="s">
        <v>146</v>
      </c>
      <c r="D343" s="27">
        <v>1</v>
      </c>
      <c r="E343" s="293">
        <v>241.4</v>
      </c>
      <c r="F343" s="305">
        <v>241.4</v>
      </c>
      <c r="G343" s="508">
        <v>0</v>
      </c>
      <c r="H343" s="677">
        <v>0</v>
      </c>
      <c r="I343" s="674">
        <v>0</v>
      </c>
      <c r="J343" s="40">
        <v>0</v>
      </c>
      <c r="K343" s="52">
        <v>0</v>
      </c>
      <c r="L343" s="674">
        <v>0</v>
      </c>
      <c r="M343" s="40">
        <v>0</v>
      </c>
      <c r="N343" s="52">
        <v>0</v>
      </c>
      <c r="O343" s="674">
        <v>0</v>
      </c>
      <c r="P343" s="40">
        <v>0</v>
      </c>
      <c r="Q343" s="52">
        <v>0</v>
      </c>
      <c r="R343" s="674">
        <v>0</v>
      </c>
      <c r="S343" s="40">
        <v>0</v>
      </c>
      <c r="T343" s="52">
        <v>0</v>
      </c>
      <c r="U343" s="674">
        <v>0</v>
      </c>
      <c r="V343" s="40">
        <v>0</v>
      </c>
      <c r="W343" s="52">
        <v>0</v>
      </c>
      <c r="X343" s="674">
        <v>0</v>
      </c>
      <c r="Y343" s="40">
        <v>0</v>
      </c>
      <c r="Z343" s="52">
        <v>0</v>
      </c>
      <c r="AA343" s="674">
        <v>28.968000000000004</v>
      </c>
      <c r="AB343" s="40">
        <v>0</v>
      </c>
      <c r="AC343" s="52">
        <v>-28.968000000000004</v>
      </c>
      <c r="AD343" s="674">
        <v>217.52442629426577</v>
      </c>
      <c r="AE343" s="40">
        <v>1025.6414526852029</v>
      </c>
      <c r="AF343" s="35">
        <v>808.1170263909371</v>
      </c>
      <c r="AG343" s="77">
        <v>246.49242629426578</v>
      </c>
      <c r="AH343" s="53">
        <v>1025.6414526852029</v>
      </c>
      <c r="AI343" s="52">
        <v>779.14902639093714</v>
      </c>
      <c r="AJ343" s="674">
        <v>0</v>
      </c>
      <c r="AK343" s="40">
        <v>0</v>
      </c>
      <c r="AL343" s="52">
        <v>0</v>
      </c>
      <c r="AM343" s="674">
        <v>0</v>
      </c>
      <c r="AN343" s="40">
        <v>0</v>
      </c>
      <c r="AO343" s="52">
        <v>0</v>
      </c>
      <c r="AP343" s="674">
        <v>494.65184019363056</v>
      </c>
      <c r="AQ343" s="40">
        <v>411.3674576274164</v>
      </c>
      <c r="AR343" s="52">
        <v>-83.284382566214163</v>
      </c>
      <c r="AS343" s="674">
        <v>2537.774991766637</v>
      </c>
      <c r="AT343" s="40">
        <v>0</v>
      </c>
      <c r="AU343" s="54">
        <v>-2537.774991766637</v>
      </c>
      <c r="AV343" s="674">
        <v>0</v>
      </c>
      <c r="AW343" s="40">
        <v>0</v>
      </c>
      <c r="AX343" s="55">
        <v>0</v>
      </c>
      <c r="AY343" s="674">
        <v>0</v>
      </c>
      <c r="AZ343" s="40">
        <v>0</v>
      </c>
      <c r="BA343" s="35">
        <v>0</v>
      </c>
      <c r="BB343" s="674">
        <v>0</v>
      </c>
      <c r="BC343" s="40">
        <v>0</v>
      </c>
      <c r="BD343" s="55">
        <v>0</v>
      </c>
      <c r="BE343" s="674">
        <v>0</v>
      </c>
      <c r="BF343" s="40">
        <v>0</v>
      </c>
      <c r="BG343" s="38">
        <v>0</v>
      </c>
      <c r="BH343" s="674">
        <v>0</v>
      </c>
      <c r="BI343" s="40">
        <v>0</v>
      </c>
      <c r="BJ343" s="55">
        <v>0</v>
      </c>
      <c r="BK343" s="674">
        <v>0</v>
      </c>
      <c r="BL343" s="40">
        <v>0</v>
      </c>
      <c r="BM343" s="38">
        <v>0</v>
      </c>
      <c r="BN343" s="674">
        <v>7.2420000000000009</v>
      </c>
      <c r="BO343" s="40">
        <v>0</v>
      </c>
      <c r="BP343" s="55">
        <v>-7.2420000000000009</v>
      </c>
      <c r="BQ343" s="77">
        <v>7.2420000000000009</v>
      </c>
      <c r="BR343" s="40">
        <v>0</v>
      </c>
      <c r="BS343" s="55">
        <v>-7.2420000000000009</v>
      </c>
      <c r="BT343" s="674">
        <v>89.726290328240665</v>
      </c>
      <c r="BU343" s="40">
        <v>117.91178433967508</v>
      </c>
      <c r="BV343" s="52">
        <v>28.185494011434415</v>
      </c>
      <c r="BW343" s="674">
        <v>0</v>
      </c>
      <c r="BX343" s="40">
        <v>5.491048482308754</v>
      </c>
      <c r="BY343" s="52">
        <v>5.491048482308754</v>
      </c>
      <c r="BZ343" s="674">
        <v>0</v>
      </c>
      <c r="CA343" s="40">
        <v>39.743076710914053</v>
      </c>
      <c r="CB343" s="52">
        <v>39.743076710914053</v>
      </c>
      <c r="CC343" s="674">
        <v>0</v>
      </c>
      <c r="CD343" s="40">
        <v>0</v>
      </c>
      <c r="CE343" s="52">
        <v>0</v>
      </c>
      <c r="CF343" s="674">
        <v>0</v>
      </c>
      <c r="CG343" s="40">
        <v>0</v>
      </c>
      <c r="CH343" s="52">
        <v>0</v>
      </c>
      <c r="CI343" s="674">
        <v>0</v>
      </c>
      <c r="CJ343" s="40">
        <v>0</v>
      </c>
      <c r="CK343" s="52">
        <v>0</v>
      </c>
      <c r="CL343" s="674">
        <v>0</v>
      </c>
      <c r="CM343" s="40">
        <v>0</v>
      </c>
      <c r="CN343" s="52">
        <v>0</v>
      </c>
      <c r="CO343" s="39">
        <v>0</v>
      </c>
      <c r="CP343" s="40">
        <v>0</v>
      </c>
      <c r="CQ343" s="52">
        <v>0</v>
      </c>
      <c r="CR343" s="72">
        <v>3375.8875485827743</v>
      </c>
      <c r="CS343" s="5">
        <v>1600.1548198455171</v>
      </c>
      <c r="CT343" s="52">
        <v>-1775.7327287372573</v>
      </c>
      <c r="CU343" s="77">
        <v>4051.0650582993289</v>
      </c>
      <c r="CV343" s="65">
        <v>1920.1857838146204</v>
      </c>
      <c r="CW343" s="35">
        <v>-2130.8792744847087</v>
      </c>
      <c r="CX343" s="73">
        <v>122.51278327399886</v>
      </c>
      <c r="CY343" s="40">
        <v>2253.3920577587069</v>
      </c>
      <c r="CZ343" s="52">
        <v>2130.8792744847078</v>
      </c>
      <c r="DA343" s="150">
        <v>-5089.4108605811325</v>
      </c>
      <c r="DB343" s="2">
        <v>3</v>
      </c>
      <c r="DC343" s="675">
        <v>518.51</v>
      </c>
      <c r="DD343" s="675">
        <v>0</v>
      </c>
      <c r="DE343" s="675">
        <v>152.3060688517628</v>
      </c>
      <c r="DF343" s="675">
        <v>0</v>
      </c>
      <c r="DG343" s="321">
        <v>-2958.5315860964242</v>
      </c>
      <c r="DH343" s="40">
        <v>4173.2627227953963</v>
      </c>
      <c r="DI343" s="422">
        <v>366.20393114823719</v>
      </c>
      <c r="DJ343" s="306">
        <v>1.5170005432818441</v>
      </c>
      <c r="DK343" s="306">
        <v>1.5170005432818441</v>
      </c>
      <c r="DL343" s="306">
        <v>1.5170005432818441</v>
      </c>
      <c r="DM343" s="28">
        <v>366.20393114823719</v>
      </c>
      <c r="DN343" s="28">
        <v>0</v>
      </c>
      <c r="DO343" s="423">
        <v>366.20393114823719</v>
      </c>
      <c r="DP343" s="94">
        <v>0</v>
      </c>
      <c r="DQ343" s="28">
        <v>366.20393114823719</v>
      </c>
      <c r="DR343" s="318"/>
      <c r="DT343" s="8"/>
      <c r="DU343" s="5"/>
      <c r="DX343" s="5">
        <v>3054.0203901199643</v>
      </c>
      <c r="DY343" s="5">
        <v>0</v>
      </c>
      <c r="DZ343" s="159">
        <v>293.22265221325023</v>
      </c>
      <c r="EB343" s="676">
        <v>122.78208622543434</v>
      </c>
      <c r="EC343" s="676">
        <v>-148.72528644870206</v>
      </c>
      <c r="ED343" s="676">
        <v>-144.35436198298075</v>
      </c>
      <c r="EE343" s="676">
        <v>-284.66994147886589</v>
      </c>
      <c r="EF343" s="676">
        <v>-249.58341458720068</v>
      </c>
      <c r="EG343" s="676">
        <v>-254.81025794403752</v>
      </c>
      <c r="EH343" s="676">
        <v>-11.210916005087995</v>
      </c>
      <c r="EI343" s="676">
        <v>-214.16097761082037</v>
      </c>
      <c r="EJ343" s="676">
        <v>-252.9743661952019</v>
      </c>
      <c r="EK343" s="676">
        <v>-204.29458969327962</v>
      </c>
      <c r="EL343" s="676">
        <v>-236.40571276308191</v>
      </c>
      <c r="EM343" s="676">
        <v>-252.47153600088382</v>
      </c>
      <c r="EN343" s="676">
        <v>-2130.8792744847078</v>
      </c>
      <c r="EQ343" s="5">
        <v>3054.0203901199643</v>
      </c>
      <c r="ER343" s="5">
        <v>0</v>
      </c>
      <c r="ET343" s="318">
        <v>-1468.9861657746908</v>
      </c>
      <c r="EU343" s="5">
        <v>-1273.5454203217332</v>
      </c>
    </row>
    <row r="344" spans="1:151" x14ac:dyDescent="0.3">
      <c r="A344" s="325">
        <v>150000591</v>
      </c>
      <c r="B344" s="41" t="s">
        <v>790</v>
      </c>
      <c r="C344" s="42" t="s">
        <v>192</v>
      </c>
      <c r="D344" s="27">
        <v>2</v>
      </c>
      <c r="E344" s="293">
        <v>148.4</v>
      </c>
      <c r="F344" s="305">
        <v>148.4</v>
      </c>
      <c r="G344" s="508">
        <v>0</v>
      </c>
      <c r="H344" s="677">
        <v>0</v>
      </c>
      <c r="I344" s="674">
        <v>903.60465121691982</v>
      </c>
      <c r="J344" s="40">
        <v>840.16016110718601</v>
      </c>
      <c r="K344" s="52">
        <v>-63.444490109733806</v>
      </c>
      <c r="L344" s="674">
        <v>160.8274452411238</v>
      </c>
      <c r="M344" s="40">
        <v>153.6975922422267</v>
      </c>
      <c r="N344" s="52">
        <v>-7.1298529988970927</v>
      </c>
      <c r="O344" s="674">
        <v>235.30395706745492</v>
      </c>
      <c r="P344" s="40">
        <v>235.28499999999991</v>
      </c>
      <c r="Q344" s="52">
        <v>-1.8957067455005472E-2</v>
      </c>
      <c r="R344" s="674">
        <v>70.916684731884999</v>
      </c>
      <c r="S344" s="40">
        <v>70.929999999999993</v>
      </c>
      <c r="T344" s="52">
        <v>1.3315268114993728E-2</v>
      </c>
      <c r="U344" s="674">
        <v>0</v>
      </c>
      <c r="V344" s="40">
        <v>0</v>
      </c>
      <c r="W344" s="52">
        <v>0</v>
      </c>
      <c r="X344" s="674">
        <v>442.65269309302425</v>
      </c>
      <c r="Y344" s="40">
        <v>289.24275263188309</v>
      </c>
      <c r="Z344" s="52">
        <v>-153.40994046114116</v>
      </c>
      <c r="AA344" s="674">
        <v>17.808</v>
      </c>
      <c r="AB344" s="40">
        <v>0</v>
      </c>
      <c r="AC344" s="52">
        <v>-17.808</v>
      </c>
      <c r="AD344" s="674">
        <v>636.27973641623203</v>
      </c>
      <c r="AE344" s="40">
        <v>630.5103213690312</v>
      </c>
      <c r="AF344" s="35">
        <v>-5.7694150472008232</v>
      </c>
      <c r="AG344" s="77">
        <v>2467.3931677666396</v>
      </c>
      <c r="AH344" s="53">
        <v>2219.825827350327</v>
      </c>
      <c r="AI344" s="52">
        <v>-247.56734041631262</v>
      </c>
      <c r="AJ344" s="674">
        <v>0</v>
      </c>
      <c r="AK344" s="40">
        <v>0</v>
      </c>
      <c r="AL344" s="52">
        <v>0</v>
      </c>
      <c r="AM344" s="674">
        <v>0</v>
      </c>
      <c r="AN344" s="40">
        <v>0</v>
      </c>
      <c r="AO344" s="52">
        <v>0</v>
      </c>
      <c r="AP344" s="674">
        <v>179.87339643404744</v>
      </c>
      <c r="AQ344" s="40">
        <v>149.47267709291629</v>
      </c>
      <c r="AR344" s="52">
        <v>-30.40071934113115</v>
      </c>
      <c r="AS344" s="674">
        <v>2974.911642707591</v>
      </c>
      <c r="AT344" s="40">
        <v>178</v>
      </c>
      <c r="AU344" s="54">
        <v>-2796.911642707591</v>
      </c>
      <c r="AV344" s="674">
        <v>265.26229836873182</v>
      </c>
      <c r="AW344" s="40">
        <v>0</v>
      </c>
      <c r="AX344" s="55">
        <v>-265.26229836873182</v>
      </c>
      <c r="AY344" s="674">
        <v>263.39003338914438</v>
      </c>
      <c r="AZ344" s="40">
        <v>0</v>
      </c>
      <c r="BA344" s="35">
        <v>-263.39003338914438</v>
      </c>
      <c r="BB344" s="674">
        <v>60.899937560528173</v>
      </c>
      <c r="BC344" s="40">
        <v>0</v>
      </c>
      <c r="BD344" s="55">
        <v>-60.899937560528173</v>
      </c>
      <c r="BE344" s="674">
        <v>153.14328774635891</v>
      </c>
      <c r="BF344" s="40">
        <v>0</v>
      </c>
      <c r="BG344" s="38">
        <v>-153.14328774635891</v>
      </c>
      <c r="BH344" s="674">
        <v>0</v>
      </c>
      <c r="BI344" s="40">
        <v>0</v>
      </c>
      <c r="BJ344" s="55">
        <v>0</v>
      </c>
      <c r="BK344" s="674">
        <v>54.940154800294167</v>
      </c>
      <c r="BL344" s="40">
        <v>0</v>
      </c>
      <c r="BM344" s="38">
        <v>-54.940154800294167</v>
      </c>
      <c r="BN344" s="674">
        <v>4.452</v>
      </c>
      <c r="BO344" s="40">
        <v>0</v>
      </c>
      <c r="BP344" s="55">
        <v>-4.452</v>
      </c>
      <c r="BQ344" s="77">
        <v>802.08771186505749</v>
      </c>
      <c r="BR344" s="40">
        <v>0</v>
      </c>
      <c r="BS344" s="55">
        <v>-802.08771186505749</v>
      </c>
      <c r="BT344" s="674">
        <v>0</v>
      </c>
      <c r="BU344" s="40">
        <v>0</v>
      </c>
      <c r="BV344" s="52">
        <v>0</v>
      </c>
      <c r="BW344" s="674">
        <v>136.37044134622204</v>
      </c>
      <c r="BX344" s="40">
        <v>3.7663545210049878</v>
      </c>
      <c r="BY344" s="52">
        <v>-132.60408682521705</v>
      </c>
      <c r="BZ344" s="674">
        <v>0</v>
      </c>
      <c r="CA344" s="40">
        <v>0</v>
      </c>
      <c r="CB344" s="52">
        <v>0</v>
      </c>
      <c r="CC344" s="674">
        <v>0</v>
      </c>
      <c r="CD344" s="40">
        <v>0</v>
      </c>
      <c r="CE344" s="52">
        <v>0</v>
      </c>
      <c r="CF344" s="674">
        <v>0</v>
      </c>
      <c r="CG344" s="40">
        <v>0</v>
      </c>
      <c r="CH344" s="52">
        <v>0</v>
      </c>
      <c r="CI344" s="674">
        <v>163.63886329736462</v>
      </c>
      <c r="CJ344" s="40">
        <v>57.21569885513243</v>
      </c>
      <c r="CK344" s="52">
        <v>-106.42316444223219</v>
      </c>
      <c r="CL344" s="674">
        <v>0</v>
      </c>
      <c r="CM344" s="40">
        <v>0</v>
      </c>
      <c r="CN344" s="52">
        <v>0</v>
      </c>
      <c r="CO344" s="39">
        <v>163.63886329736462</v>
      </c>
      <c r="CP344" s="40">
        <v>57.21569885513243</v>
      </c>
      <c r="CQ344" s="52">
        <v>-106.42316444223219</v>
      </c>
      <c r="CR344" s="72">
        <v>6724.2752234169229</v>
      </c>
      <c r="CS344" s="5">
        <v>2608.2805578193806</v>
      </c>
      <c r="CT344" s="52">
        <v>-4115.9946655975418</v>
      </c>
      <c r="CU344" s="77">
        <v>8069.1302681003071</v>
      </c>
      <c r="CV344" s="65">
        <v>3129.9366693832567</v>
      </c>
      <c r="CW344" s="35">
        <v>-4939.1935987170509</v>
      </c>
      <c r="CX344" s="73">
        <v>82.468472653770448</v>
      </c>
      <c r="CY344" s="40">
        <v>5021.6620713708198</v>
      </c>
      <c r="CZ344" s="52">
        <v>4939.1935987170491</v>
      </c>
      <c r="DA344" s="150">
        <v>-12943.824782495911</v>
      </c>
      <c r="DB344" s="2">
        <v>3</v>
      </c>
      <c r="DC344" s="675">
        <v>818.62</v>
      </c>
      <c r="DD344" s="675">
        <v>0</v>
      </c>
      <c r="DE344" s="675">
        <v>103.80908574876082</v>
      </c>
      <c r="DF344" s="675">
        <v>0</v>
      </c>
      <c r="DG344" s="321">
        <v>-8004.6311837788617</v>
      </c>
      <c r="DH344" s="40">
        <v>8150.9818527925991</v>
      </c>
      <c r="DI344" s="422">
        <v>714.8109142512393</v>
      </c>
      <c r="DJ344" s="306">
        <v>4.8167851364638761</v>
      </c>
      <c r="DK344" s="306">
        <v>4.8167851364638761</v>
      </c>
      <c r="DL344" s="306">
        <v>4.6942600319299839</v>
      </c>
      <c r="DM344" s="28">
        <v>714.81091425123918</v>
      </c>
      <c r="DN344" s="28">
        <v>0</v>
      </c>
      <c r="DO344" s="423">
        <v>714.81091425123918</v>
      </c>
      <c r="DP344" s="94">
        <v>0</v>
      </c>
      <c r="DQ344" s="28">
        <v>714.81091425123918</v>
      </c>
      <c r="DR344" s="318"/>
      <c r="DT344" s="8"/>
      <c r="DU344" s="5"/>
      <c r="DX344" s="5">
        <v>4532.3992254871782</v>
      </c>
      <c r="DY344" s="5">
        <v>213.6</v>
      </c>
      <c r="DZ344" s="159">
        <v>411.77521911867626</v>
      </c>
      <c r="EB344" s="676">
        <v>-256.95728008073388</v>
      </c>
      <c r="EC344" s="676">
        <v>-289.31744060487415</v>
      </c>
      <c r="ED344" s="676">
        <v>-140.97731079062891</v>
      </c>
      <c r="EE344" s="676">
        <v>-516.60288941437409</v>
      </c>
      <c r="EF344" s="676">
        <v>-495.73407710747983</v>
      </c>
      <c r="EG344" s="676">
        <v>-534.29494085502699</v>
      </c>
      <c r="EH344" s="676">
        <v>-288.23017253558106</v>
      </c>
      <c r="EI344" s="676">
        <v>-475.5332811893191</v>
      </c>
      <c r="EJ344" s="676">
        <v>-490.23065176946852</v>
      </c>
      <c r="EK344" s="676">
        <v>-471.31627641616114</v>
      </c>
      <c r="EL344" s="676">
        <v>-493.00638114555511</v>
      </c>
      <c r="EM344" s="676">
        <v>-486.99289680784693</v>
      </c>
      <c r="EN344" s="676">
        <v>-4939.1935987170491</v>
      </c>
      <c r="EQ344" s="5">
        <v>4532.3992254871782</v>
      </c>
      <c r="ER344" s="5">
        <v>213.6</v>
      </c>
      <c r="ET344" s="318">
        <v>253.40332262670972</v>
      </c>
      <c r="EU344" s="5">
        <v>-2979.0345064055714</v>
      </c>
    </row>
    <row r="345" spans="1:151" x14ac:dyDescent="0.3">
      <c r="A345" s="325">
        <v>150000861</v>
      </c>
      <c r="B345" s="41" t="s">
        <v>791</v>
      </c>
      <c r="C345" s="42" t="s">
        <v>233</v>
      </c>
      <c r="D345" s="27">
        <v>4</v>
      </c>
      <c r="E345" s="293">
        <v>3401.3999999999996</v>
      </c>
      <c r="F345" s="305">
        <v>2784.6</v>
      </c>
      <c r="G345" s="508">
        <v>0</v>
      </c>
      <c r="H345" s="677">
        <v>616.79999999999995</v>
      </c>
      <c r="I345" s="674">
        <v>11516.283023218026</v>
      </c>
      <c r="J345" s="40">
        <v>12523.928770408829</v>
      </c>
      <c r="K345" s="52">
        <v>1007.6457471908034</v>
      </c>
      <c r="L345" s="674">
        <v>2400.3259258874114</v>
      </c>
      <c r="M345" s="40">
        <v>2627.2528401560571</v>
      </c>
      <c r="N345" s="52">
        <v>226.92691426864576</v>
      </c>
      <c r="O345" s="674">
        <v>4373.2699192465143</v>
      </c>
      <c r="P345" s="40">
        <v>4373.28</v>
      </c>
      <c r="Q345" s="52">
        <v>1.0080753485453897E-2</v>
      </c>
      <c r="R345" s="674">
        <v>0</v>
      </c>
      <c r="S345" s="40">
        <v>0</v>
      </c>
      <c r="T345" s="52">
        <v>0</v>
      </c>
      <c r="U345" s="674">
        <v>0</v>
      </c>
      <c r="V345" s="40">
        <v>0</v>
      </c>
      <c r="W345" s="52">
        <v>0</v>
      </c>
      <c r="X345" s="674">
        <v>10135.301188013487</v>
      </c>
      <c r="Y345" s="40">
        <v>7808.3764100959625</v>
      </c>
      <c r="Z345" s="52">
        <v>-2326.9247779175248</v>
      </c>
      <c r="AA345" s="674">
        <v>397.09199999999998</v>
      </c>
      <c r="AB345" s="40">
        <v>0</v>
      </c>
      <c r="AC345" s="52">
        <v>-397.09199999999998</v>
      </c>
      <c r="AD345" s="674">
        <v>14452.49212087502</v>
      </c>
      <c r="AE345" s="40">
        <v>14451.602473750823</v>
      </c>
      <c r="AF345" s="35">
        <v>-0.8896471241969266</v>
      </c>
      <c r="AG345" s="77">
        <v>43274.76417724046</v>
      </c>
      <c r="AH345" s="53">
        <v>41784.440494411669</v>
      </c>
      <c r="AI345" s="52">
        <v>-1490.3236828287918</v>
      </c>
      <c r="AJ345" s="674">
        <v>0</v>
      </c>
      <c r="AK345" s="40">
        <v>0</v>
      </c>
      <c r="AL345" s="52">
        <v>0</v>
      </c>
      <c r="AM345" s="674">
        <v>0</v>
      </c>
      <c r="AN345" s="40">
        <v>0</v>
      </c>
      <c r="AO345" s="52">
        <v>0</v>
      </c>
      <c r="AP345" s="674">
        <v>4047.1514197660686</v>
      </c>
      <c r="AQ345" s="40">
        <v>5309.7145359319347</v>
      </c>
      <c r="AR345" s="52">
        <v>1262.5631161658662</v>
      </c>
      <c r="AS345" s="674">
        <v>34935.444237618438</v>
      </c>
      <c r="AT345" s="40">
        <v>71438</v>
      </c>
      <c r="AU345" s="54">
        <v>36502.555762381562</v>
      </c>
      <c r="AV345" s="674">
        <v>2925.9851466610967</v>
      </c>
      <c r="AW345" s="40">
        <v>4774</v>
      </c>
      <c r="AX345" s="55">
        <v>1848.0148533389033</v>
      </c>
      <c r="AY345" s="674">
        <v>3934.868098437797</v>
      </c>
      <c r="AZ345" s="40">
        <v>0</v>
      </c>
      <c r="BA345" s="35">
        <v>-3934.868098437797</v>
      </c>
      <c r="BB345" s="674">
        <v>2058.4612030090466</v>
      </c>
      <c r="BC345" s="40">
        <v>0</v>
      </c>
      <c r="BD345" s="55">
        <v>-2058.4612030090466</v>
      </c>
      <c r="BE345" s="674">
        <v>0</v>
      </c>
      <c r="BF345" s="40">
        <v>0</v>
      </c>
      <c r="BG345" s="38">
        <v>0</v>
      </c>
      <c r="BH345" s="674">
        <v>0</v>
      </c>
      <c r="BI345" s="40">
        <v>0</v>
      </c>
      <c r="BJ345" s="55">
        <v>0</v>
      </c>
      <c r="BK345" s="674">
        <v>2764.3025285076665</v>
      </c>
      <c r="BL345" s="40">
        <v>4795</v>
      </c>
      <c r="BM345" s="38">
        <v>2030.6974714923335</v>
      </c>
      <c r="BN345" s="674">
        <v>99.272999999999996</v>
      </c>
      <c r="BO345" s="40">
        <v>0</v>
      </c>
      <c r="BP345" s="55">
        <v>-99.272999999999996</v>
      </c>
      <c r="BQ345" s="77">
        <v>11782.889976615605</v>
      </c>
      <c r="BR345" s="40">
        <v>9569</v>
      </c>
      <c r="BS345" s="55">
        <v>-2213.8899766156046</v>
      </c>
      <c r="BT345" s="674">
        <v>32004.742176319796</v>
      </c>
      <c r="BU345" s="40">
        <v>38667.617864961903</v>
      </c>
      <c r="BV345" s="52">
        <v>6662.875688642107</v>
      </c>
      <c r="BW345" s="674">
        <v>23973.121666688658</v>
      </c>
      <c r="BX345" s="40">
        <v>21143.605220631562</v>
      </c>
      <c r="BY345" s="52">
        <v>-2829.5164460570959</v>
      </c>
      <c r="BZ345" s="674">
        <v>14017.91657417305</v>
      </c>
      <c r="CA345" s="40">
        <v>9643.4429712265373</v>
      </c>
      <c r="CB345" s="52">
        <v>-4374.473602946513</v>
      </c>
      <c r="CC345" s="674">
        <v>2049.5799402669077</v>
      </c>
      <c r="CD345" s="40">
        <v>2154.1516798844427</v>
      </c>
      <c r="CE345" s="52">
        <v>104.57173961753506</v>
      </c>
      <c r="CF345" s="674">
        <v>250.50102150704987</v>
      </c>
      <c r="CG345" s="40">
        <v>2201.2767989768927</v>
      </c>
      <c r="CH345" s="52">
        <v>1950.7757774698428</v>
      </c>
      <c r="CI345" s="674">
        <v>7109.613236670818</v>
      </c>
      <c r="CJ345" s="40">
        <v>5134.2878675190423</v>
      </c>
      <c r="CK345" s="52">
        <v>-1975.3253691517757</v>
      </c>
      <c r="CL345" s="674">
        <v>0</v>
      </c>
      <c r="CM345" s="40">
        <v>0</v>
      </c>
      <c r="CN345" s="52">
        <v>0</v>
      </c>
      <c r="CO345" s="39">
        <v>7109.613236670818</v>
      </c>
      <c r="CP345" s="40">
        <v>5134.2878675190423</v>
      </c>
      <c r="CQ345" s="52">
        <v>-1975.3253691517757</v>
      </c>
      <c r="CR345" s="72">
        <v>173445.72442686686</v>
      </c>
      <c r="CS345" s="5">
        <v>207045.53743354397</v>
      </c>
      <c r="CT345" s="52">
        <v>33599.813006677112</v>
      </c>
      <c r="CU345" s="77">
        <v>208134.86931224022</v>
      </c>
      <c r="CV345" s="65">
        <v>248454.64492025276</v>
      </c>
      <c r="CW345" s="35">
        <v>40319.77560801254</v>
      </c>
      <c r="CX345" s="73">
        <v>6284.8204076088286</v>
      </c>
      <c r="CY345" s="40">
        <v>-34034.955200403732</v>
      </c>
      <c r="CZ345" s="52">
        <v>-40319.775608012562</v>
      </c>
      <c r="DA345" s="150">
        <v>22766.714205542907</v>
      </c>
      <c r="DB345" s="2">
        <v>2</v>
      </c>
      <c r="DC345" s="675">
        <v>37926.339999999997</v>
      </c>
      <c r="DD345" s="675">
        <v>18415.830000000002</v>
      </c>
      <c r="DE345" s="675">
        <v>21996.649132593444</v>
      </c>
      <c r="DF345" s="675">
        <v>15487.658333682932</v>
      </c>
      <c r="DG345" s="321">
        <v>-17553.061402469677</v>
      </c>
      <c r="DH345" s="40">
        <v>214403.64233482812</v>
      </c>
      <c r="DI345" s="422">
        <v>18857.862533723623</v>
      </c>
      <c r="DJ345" s="306">
        <v>5.7206388233162944</v>
      </c>
      <c r="DK345" s="306">
        <v>5.7206388233162944</v>
      </c>
      <c r="DL345" s="306">
        <v>4.7473600296969378</v>
      </c>
      <c r="DM345" s="28">
        <v>15929.690867406553</v>
      </c>
      <c r="DN345" s="28">
        <v>2928.171666317071</v>
      </c>
      <c r="DO345" s="423">
        <v>18857.862533723623</v>
      </c>
      <c r="DP345" s="94">
        <v>0</v>
      </c>
      <c r="DQ345" s="28">
        <v>18857.862533723623</v>
      </c>
      <c r="DR345" s="318"/>
      <c r="DT345" s="8"/>
      <c r="DU345" s="5"/>
      <c r="DX345" s="5">
        <v>56062.001057080844</v>
      </c>
      <c r="DY345" s="5">
        <v>97208.4</v>
      </c>
      <c r="DZ345" s="159">
        <v>4827.0266799038445</v>
      </c>
      <c r="EB345" s="676">
        <v>-2350.1118088959083</v>
      </c>
      <c r="EC345" s="676">
        <v>-1811.4775106469406</v>
      </c>
      <c r="ED345" s="676">
        <v>-3981.5170272817977</v>
      </c>
      <c r="EE345" s="676">
        <v>-5345.7566359062021</v>
      </c>
      <c r="EF345" s="676">
        <v>-6372.3269822343718</v>
      </c>
      <c r="EG345" s="676">
        <v>-7398.2996551498891</v>
      </c>
      <c r="EH345" s="676">
        <v>-786.83390534487989</v>
      </c>
      <c r="EI345" s="676">
        <v>-1898.8983643959182</v>
      </c>
      <c r="EJ345" s="676">
        <v>-5198.7105680129807</v>
      </c>
      <c r="EK345" s="676">
        <v>-4006.2394067732585</v>
      </c>
      <c r="EL345" s="676">
        <v>10161.097316300533</v>
      </c>
      <c r="EM345" s="676">
        <v>69308.850156354194</v>
      </c>
      <c r="EN345" s="676">
        <v>40319.775608012584</v>
      </c>
      <c r="EQ345" s="5">
        <v>56062.001057080844</v>
      </c>
      <c r="ER345" s="5">
        <v>97208.4</v>
      </c>
      <c r="ET345" s="318">
        <v>-23414.266024667464</v>
      </c>
      <c r="EU345" s="5">
        <v>-1894.7953778022211</v>
      </c>
    </row>
    <row r="346" spans="1:151" x14ac:dyDescent="0.3">
      <c r="A346" s="325">
        <v>150000872</v>
      </c>
      <c r="B346" s="41" t="s">
        <v>792</v>
      </c>
      <c r="C346" s="42" t="s">
        <v>234</v>
      </c>
      <c r="D346" s="27">
        <v>4</v>
      </c>
      <c r="E346" s="293">
        <v>1210.4000000000001</v>
      </c>
      <c r="F346" s="305">
        <v>1113.4000000000001</v>
      </c>
      <c r="G346" s="508">
        <v>0</v>
      </c>
      <c r="H346" s="677">
        <v>97</v>
      </c>
      <c r="I346" s="674">
        <v>7335.0730814663857</v>
      </c>
      <c r="J346" s="40">
        <v>7895.4283402262336</v>
      </c>
      <c r="K346" s="52">
        <v>560.35525875984786</v>
      </c>
      <c r="L346" s="674">
        <v>1836.9643135840288</v>
      </c>
      <c r="M346" s="40">
        <v>2010.6287057828845</v>
      </c>
      <c r="N346" s="52">
        <v>173.66439219885569</v>
      </c>
      <c r="O346" s="674">
        <v>1588.9320069840755</v>
      </c>
      <c r="P346" s="40">
        <v>1588.9200000000005</v>
      </c>
      <c r="Q346" s="52">
        <v>-1.200698407501477E-2</v>
      </c>
      <c r="R346" s="674">
        <v>387.26274621281004</v>
      </c>
      <c r="S346" s="40">
        <v>387.2700000000001</v>
      </c>
      <c r="T346" s="52">
        <v>7.2537871900522077E-3</v>
      </c>
      <c r="U346" s="674">
        <v>0</v>
      </c>
      <c r="V346" s="40">
        <v>0</v>
      </c>
      <c r="W346" s="52">
        <v>0</v>
      </c>
      <c r="X346" s="674">
        <v>2725.0343301628627</v>
      </c>
      <c r="Y346" s="40">
        <v>2177.5327546254002</v>
      </c>
      <c r="Z346" s="52">
        <v>-547.50157553746249</v>
      </c>
      <c r="AA346" s="674">
        <v>145.1268</v>
      </c>
      <c r="AB346" s="40">
        <v>0</v>
      </c>
      <c r="AC346" s="52">
        <v>-145.1268</v>
      </c>
      <c r="AD346" s="674">
        <v>5182.8125568079286</v>
      </c>
      <c r="AE346" s="40">
        <v>5142.6529176891881</v>
      </c>
      <c r="AF346" s="35">
        <v>-40.159639118740415</v>
      </c>
      <c r="AG346" s="77">
        <v>19201.20583521809</v>
      </c>
      <c r="AH346" s="53">
        <v>19202.432718323707</v>
      </c>
      <c r="AI346" s="52">
        <v>1.2268831056171621</v>
      </c>
      <c r="AJ346" s="674">
        <v>0</v>
      </c>
      <c r="AK346" s="40">
        <v>0</v>
      </c>
      <c r="AL346" s="52">
        <v>0</v>
      </c>
      <c r="AM346" s="674">
        <v>0</v>
      </c>
      <c r="AN346" s="40">
        <v>0</v>
      </c>
      <c r="AO346" s="52">
        <v>0</v>
      </c>
      <c r="AP346" s="674">
        <v>944.33533127874898</v>
      </c>
      <c r="AQ346" s="40">
        <v>840.07208481914631</v>
      </c>
      <c r="AR346" s="52">
        <v>-104.26324645960267</v>
      </c>
      <c r="AS346" s="674">
        <v>11196.690530895727</v>
      </c>
      <c r="AT346" s="40">
        <v>10165.1</v>
      </c>
      <c r="AU346" s="54">
        <v>-1031.5905308957263</v>
      </c>
      <c r="AV346" s="674">
        <v>1963.2944576299535</v>
      </c>
      <c r="AW346" s="40">
        <v>0</v>
      </c>
      <c r="AX346" s="55">
        <v>-1963.2944576299535</v>
      </c>
      <c r="AY346" s="674">
        <v>3011.5048140898266</v>
      </c>
      <c r="AZ346" s="40">
        <v>0</v>
      </c>
      <c r="BA346" s="35">
        <v>-3011.5048140898266</v>
      </c>
      <c r="BB346" s="674">
        <v>857.13852558036865</v>
      </c>
      <c r="BC346" s="40">
        <v>0</v>
      </c>
      <c r="BD346" s="55">
        <v>-857.13852558036865</v>
      </c>
      <c r="BE346" s="674">
        <v>702.39622538647632</v>
      </c>
      <c r="BF346" s="40">
        <v>0</v>
      </c>
      <c r="BG346" s="38">
        <v>-702.39622538647632</v>
      </c>
      <c r="BH346" s="674">
        <v>0</v>
      </c>
      <c r="BI346" s="40">
        <v>0</v>
      </c>
      <c r="BJ346" s="55">
        <v>0</v>
      </c>
      <c r="BK346" s="674">
        <v>484.0590368508586</v>
      </c>
      <c r="BL346" s="40">
        <v>709</v>
      </c>
      <c r="BM346" s="38">
        <v>224.9409631491414</v>
      </c>
      <c r="BN346" s="674">
        <v>36.281700000000001</v>
      </c>
      <c r="BO346" s="40">
        <v>0</v>
      </c>
      <c r="BP346" s="55">
        <v>-36.281700000000001</v>
      </c>
      <c r="BQ346" s="77">
        <v>7054.6747595374836</v>
      </c>
      <c r="BR346" s="40">
        <v>709</v>
      </c>
      <c r="BS346" s="55">
        <v>-6345.6747595374836</v>
      </c>
      <c r="BT346" s="674">
        <v>16662.031018006375</v>
      </c>
      <c r="BU346" s="40">
        <v>18296.836695409711</v>
      </c>
      <c r="BV346" s="52">
        <v>1634.8056774033357</v>
      </c>
      <c r="BW346" s="674">
        <v>7233.6843287405882</v>
      </c>
      <c r="BX346" s="40">
        <v>6449.0107937884904</v>
      </c>
      <c r="BY346" s="52">
        <v>-784.67353495209773</v>
      </c>
      <c r="BZ346" s="674">
        <v>4738.0408398892259</v>
      </c>
      <c r="CA346" s="40">
        <v>4323.4168025560548</v>
      </c>
      <c r="CB346" s="52">
        <v>-414.62403733317115</v>
      </c>
      <c r="CC346" s="674">
        <v>866.20756766666432</v>
      </c>
      <c r="CD346" s="40">
        <v>910.40239531948635</v>
      </c>
      <c r="CE346" s="52">
        <v>44.194827652822028</v>
      </c>
      <c r="CF346" s="674">
        <v>105.86846420314765</v>
      </c>
      <c r="CG346" s="40">
        <v>0</v>
      </c>
      <c r="CH346" s="52">
        <v>-105.86846420314765</v>
      </c>
      <c r="CI346" s="674">
        <v>1347.1645034512696</v>
      </c>
      <c r="CJ346" s="40">
        <v>1741.8224192764935</v>
      </c>
      <c r="CK346" s="52">
        <v>394.65791582522388</v>
      </c>
      <c r="CL346" s="674">
        <v>0</v>
      </c>
      <c r="CM346" s="40">
        <v>0</v>
      </c>
      <c r="CN346" s="52">
        <v>0</v>
      </c>
      <c r="CO346" s="39">
        <v>1347.1645034512696</v>
      </c>
      <c r="CP346" s="40">
        <v>1741.8224192764935</v>
      </c>
      <c r="CQ346" s="52">
        <v>394.65791582522388</v>
      </c>
      <c r="CR346" s="72">
        <v>69349.903178887311</v>
      </c>
      <c r="CS346" s="5">
        <v>62638.093909493087</v>
      </c>
      <c r="CT346" s="52">
        <v>-6711.8092693942235</v>
      </c>
      <c r="CU346" s="77">
        <v>83219.883814664776</v>
      </c>
      <c r="CV346" s="65">
        <v>75165.712691391702</v>
      </c>
      <c r="CW346" s="35">
        <v>-8054.171123273074</v>
      </c>
      <c r="CX346" s="73">
        <v>2516.6399162874714</v>
      </c>
      <c r="CY346" s="40">
        <v>10570.811039560549</v>
      </c>
      <c r="CZ346" s="52">
        <v>8054.1711232730777</v>
      </c>
      <c r="DA346" s="150">
        <v>-8772.0280179964102</v>
      </c>
      <c r="DB346" s="2">
        <v>2</v>
      </c>
      <c r="DC346" s="675">
        <v>10862.98</v>
      </c>
      <c r="DD346" s="675">
        <v>858.03</v>
      </c>
      <c r="DE346" s="675">
        <v>3876.9181201728916</v>
      </c>
      <c r="DF346" s="675">
        <v>320.79511033780614</v>
      </c>
      <c r="DG346" s="321">
        <v>-717.85689472333343</v>
      </c>
      <c r="DH346" s="40">
        <v>85730.051901142389</v>
      </c>
      <c r="DI346" s="422">
        <v>7523.2967694893014</v>
      </c>
      <c r="DJ346" s="306">
        <v>6.2745301597153826</v>
      </c>
      <c r="DK346" s="306">
        <v>6.2745301597153826</v>
      </c>
      <c r="DL346" s="306">
        <v>5.5385040171360194</v>
      </c>
      <c r="DM346" s="28">
        <v>6986.061879827108</v>
      </c>
      <c r="DN346" s="28">
        <v>537.23488966219384</v>
      </c>
      <c r="DO346" s="423">
        <v>7523.2967694893014</v>
      </c>
      <c r="DP346" s="94">
        <v>0</v>
      </c>
      <c r="DQ346" s="28">
        <v>7523.2967694893014</v>
      </c>
      <c r="DR346" s="318"/>
      <c r="DT346" s="8"/>
      <c r="DU346" s="5"/>
      <c r="DX346" s="5">
        <v>21901.638348519853</v>
      </c>
      <c r="DY346" s="5">
        <v>13048.92</v>
      </c>
      <c r="DZ346" s="159">
        <v>1816.30793498253</v>
      </c>
      <c r="EB346" s="676">
        <v>-967.32388769735098</v>
      </c>
      <c r="EC346" s="676">
        <v>-844.72519237140477</v>
      </c>
      <c r="ED346" s="676">
        <v>-1420.715082476996</v>
      </c>
      <c r="EE346" s="676">
        <v>-818.08205944943165</v>
      </c>
      <c r="EF346" s="676">
        <v>4690.6575710510506</v>
      </c>
      <c r="EG346" s="676">
        <v>-4107.5068359144916</v>
      </c>
      <c r="EH346" s="676">
        <v>-2117.8670174390618</v>
      </c>
      <c r="EI346" s="676">
        <v>-955.52424867211357</v>
      </c>
      <c r="EJ346" s="676">
        <v>-1674.044595285819</v>
      </c>
      <c r="EK346" s="676">
        <v>-1667.8092730485751</v>
      </c>
      <c r="EL346" s="676">
        <v>3548.5814663812262</v>
      </c>
      <c r="EM346" s="676">
        <v>-1719.8119683501091</v>
      </c>
      <c r="EN346" s="676">
        <v>-8054.1711232730759</v>
      </c>
      <c r="EQ346" s="5">
        <v>21901.638348519853</v>
      </c>
      <c r="ER346" s="5">
        <v>13048.92</v>
      </c>
      <c r="ET346" s="318">
        <v>817.17738726274229</v>
      </c>
      <c r="EU346" s="5">
        <v>2803.9657180139202</v>
      </c>
    </row>
    <row r="347" spans="1:151" x14ac:dyDescent="0.3">
      <c r="A347" s="325">
        <v>150000862</v>
      </c>
      <c r="B347" s="41" t="s">
        <v>793</v>
      </c>
      <c r="C347" s="42" t="s">
        <v>235</v>
      </c>
      <c r="D347" s="27">
        <v>4</v>
      </c>
      <c r="E347" s="293">
        <v>4486.1000000000004</v>
      </c>
      <c r="F347" s="305">
        <v>3517.1</v>
      </c>
      <c r="G347" s="508">
        <v>0</v>
      </c>
      <c r="H347" s="677">
        <v>969</v>
      </c>
      <c r="I347" s="674">
        <v>13709.323695564774</v>
      </c>
      <c r="J347" s="40">
        <v>14979.449718335653</v>
      </c>
      <c r="K347" s="52">
        <v>1270.126022770879</v>
      </c>
      <c r="L347" s="674">
        <v>2816.4645128809743</v>
      </c>
      <c r="M347" s="40">
        <v>3082.7292021928788</v>
      </c>
      <c r="N347" s="52">
        <v>266.26468931190448</v>
      </c>
      <c r="O347" s="674">
        <v>5166.3773288985794</v>
      </c>
      <c r="P347" s="40">
        <v>5166.3599999999997</v>
      </c>
      <c r="Q347" s="52">
        <v>-1.7328898579762608E-2</v>
      </c>
      <c r="R347" s="674">
        <v>0</v>
      </c>
      <c r="S347" s="40">
        <v>0</v>
      </c>
      <c r="T347" s="52">
        <v>0</v>
      </c>
      <c r="U347" s="674">
        <v>0</v>
      </c>
      <c r="V347" s="40">
        <v>0</v>
      </c>
      <c r="W347" s="52">
        <v>0</v>
      </c>
      <c r="X347" s="674">
        <v>12874.819967189882</v>
      </c>
      <c r="Y347" s="40">
        <v>11358.504266826138</v>
      </c>
      <c r="Z347" s="52">
        <v>-1516.3157003637443</v>
      </c>
      <c r="AA347" s="674">
        <v>522.13200000000006</v>
      </c>
      <c r="AB347" s="40">
        <v>0</v>
      </c>
      <c r="AC347" s="52">
        <v>-522.13200000000006</v>
      </c>
      <c r="AD347" s="674">
        <v>19038.651515191443</v>
      </c>
      <c r="AE347" s="40">
        <v>18628.438217676554</v>
      </c>
      <c r="AF347" s="35">
        <v>-410.21329751488884</v>
      </c>
      <c r="AG347" s="77">
        <v>54127.769019725652</v>
      </c>
      <c r="AH347" s="53">
        <v>53215.481405031227</v>
      </c>
      <c r="AI347" s="52">
        <v>-912.28761469442543</v>
      </c>
      <c r="AJ347" s="674">
        <v>0</v>
      </c>
      <c r="AK347" s="40">
        <v>0</v>
      </c>
      <c r="AL347" s="52">
        <v>0</v>
      </c>
      <c r="AM347" s="674">
        <v>0</v>
      </c>
      <c r="AN347" s="40">
        <v>0</v>
      </c>
      <c r="AO347" s="52">
        <v>0</v>
      </c>
      <c r="AP347" s="674">
        <v>8499.0179815087449</v>
      </c>
      <c r="AQ347" s="40">
        <v>5983.861648833692</v>
      </c>
      <c r="AR347" s="52">
        <v>-2515.1563326750529</v>
      </c>
      <c r="AS347" s="674">
        <v>38540.223184552524</v>
      </c>
      <c r="AT347" s="40">
        <v>4929.2915299551632</v>
      </c>
      <c r="AU347" s="54">
        <v>-33610.931654597363</v>
      </c>
      <c r="AV347" s="674">
        <v>3443.1019060087447</v>
      </c>
      <c r="AW347" s="40">
        <v>289</v>
      </c>
      <c r="AX347" s="55">
        <v>-3154.1019060087447</v>
      </c>
      <c r="AY347" s="674">
        <v>4616.8155917799877</v>
      </c>
      <c r="AZ347" s="40">
        <v>1887</v>
      </c>
      <c r="BA347" s="35">
        <v>-2729.8155917799877</v>
      </c>
      <c r="BB347" s="674">
        <v>2263.9035489179269</v>
      </c>
      <c r="BC347" s="40">
        <v>0</v>
      </c>
      <c r="BD347" s="55">
        <v>-2263.9035489179269</v>
      </c>
      <c r="BE347" s="674">
        <v>0</v>
      </c>
      <c r="BF347" s="40">
        <v>0</v>
      </c>
      <c r="BG347" s="38">
        <v>0</v>
      </c>
      <c r="BH347" s="674">
        <v>0</v>
      </c>
      <c r="BI347" s="40">
        <v>0</v>
      </c>
      <c r="BJ347" s="55">
        <v>0</v>
      </c>
      <c r="BK347" s="674">
        <v>2044.0695084005874</v>
      </c>
      <c r="BL347" s="40">
        <v>7177</v>
      </c>
      <c r="BM347" s="38">
        <v>5132.9304915994126</v>
      </c>
      <c r="BN347" s="674">
        <v>130.53300000000002</v>
      </c>
      <c r="BO347" s="40">
        <v>0</v>
      </c>
      <c r="BP347" s="55">
        <v>-130.53300000000002</v>
      </c>
      <c r="BQ347" s="77">
        <v>12498.423555107247</v>
      </c>
      <c r="BR347" s="40">
        <v>9353</v>
      </c>
      <c r="BS347" s="55">
        <v>-3145.423555107247</v>
      </c>
      <c r="BT347" s="674">
        <v>67693.057393037394</v>
      </c>
      <c r="BU347" s="40">
        <v>65124.765075918011</v>
      </c>
      <c r="BV347" s="52">
        <v>-2568.2923171193834</v>
      </c>
      <c r="BW347" s="674">
        <v>27457.017882400556</v>
      </c>
      <c r="BX347" s="40">
        <v>24397.357277626674</v>
      </c>
      <c r="BY347" s="52">
        <v>-3059.6606047738824</v>
      </c>
      <c r="BZ347" s="674">
        <v>14543.950511955827</v>
      </c>
      <c r="CA347" s="40">
        <v>17019.161726680031</v>
      </c>
      <c r="CB347" s="52">
        <v>2475.2112147242042</v>
      </c>
      <c r="CC347" s="674">
        <v>1104.6439144930994</v>
      </c>
      <c r="CD347" s="40">
        <v>1161.0040171302398</v>
      </c>
      <c r="CE347" s="52">
        <v>56.360102637140471</v>
      </c>
      <c r="CF347" s="674">
        <v>135.01031286734414</v>
      </c>
      <c r="CG347" s="40">
        <v>559.68439690658067</v>
      </c>
      <c r="CH347" s="52">
        <v>424.6740840392365</v>
      </c>
      <c r="CI347" s="674">
        <v>2497.2939710012456</v>
      </c>
      <c r="CJ347" s="40">
        <v>3775.0274836568155</v>
      </c>
      <c r="CK347" s="52">
        <v>1277.7335126555699</v>
      </c>
      <c r="CL347" s="674">
        <v>0</v>
      </c>
      <c r="CM347" s="40">
        <v>0</v>
      </c>
      <c r="CN347" s="52">
        <v>0</v>
      </c>
      <c r="CO347" s="39">
        <v>2497.2939710012456</v>
      </c>
      <c r="CP347" s="40">
        <v>3775.0274836568155</v>
      </c>
      <c r="CQ347" s="52">
        <v>1277.7335126555699</v>
      </c>
      <c r="CR347" s="72">
        <v>227096.40772664963</v>
      </c>
      <c r="CS347" s="5">
        <v>185518.63456173844</v>
      </c>
      <c r="CT347" s="52">
        <v>-41577.773164911196</v>
      </c>
      <c r="CU347" s="77">
        <v>272515.68927197956</v>
      </c>
      <c r="CV347" s="65">
        <v>222622.36147408612</v>
      </c>
      <c r="CW347" s="35">
        <v>-49893.327797893435</v>
      </c>
      <c r="CX347" s="73">
        <v>8219.4362328593743</v>
      </c>
      <c r="CY347" s="40">
        <v>58112.764030752776</v>
      </c>
      <c r="CZ347" s="52">
        <v>49893.327797893406</v>
      </c>
      <c r="DA347" s="150">
        <v>231065.41077556132</v>
      </c>
      <c r="DB347" s="2">
        <v>2</v>
      </c>
      <c r="DC347" s="675">
        <v>40209.29</v>
      </c>
      <c r="DD347" s="675">
        <v>3688.8500000000004</v>
      </c>
      <c r="DE347" s="675">
        <v>20147.026753734979</v>
      </c>
      <c r="DF347" s="675">
        <v>-982.13244009958544</v>
      </c>
      <c r="DG347" s="321">
        <v>280958.73857345473</v>
      </c>
      <c r="DH347" s="40">
        <v>280714.2540999726</v>
      </c>
      <c r="DI347" s="422">
        <v>24733.245686364611</v>
      </c>
      <c r="DJ347" s="306">
        <v>5.7042060920261077</v>
      </c>
      <c r="DK347" s="306">
        <v>5.7042060920261077</v>
      </c>
      <c r="DL347" s="306">
        <v>4.820415314860254</v>
      </c>
      <c r="DM347" s="28">
        <v>20062.263246265022</v>
      </c>
      <c r="DN347" s="28">
        <v>4670.9824400995858</v>
      </c>
      <c r="DO347" s="423">
        <v>24733.245686364608</v>
      </c>
      <c r="DP347" s="94">
        <v>0</v>
      </c>
      <c r="DQ347" s="28">
        <v>24733.245686364608</v>
      </c>
      <c r="DR347" s="318"/>
      <c r="DT347" s="8"/>
      <c r="DU347" s="5"/>
      <c r="DX347" s="5">
        <v>61246.376087591721</v>
      </c>
      <c r="DY347" s="5">
        <v>17138.749835946197</v>
      </c>
      <c r="DZ347" s="159">
        <v>5185.8177130339809</v>
      </c>
      <c r="EB347" s="676">
        <v>-1601.5723133153915</v>
      </c>
      <c r="EC347" s="676">
        <v>4146.4206688905215</v>
      </c>
      <c r="ED347" s="676">
        <v>-5712.8003347019112</v>
      </c>
      <c r="EE347" s="676">
        <v>-7083.5862046264738</v>
      </c>
      <c r="EF347" s="676">
        <v>-3982.6556714091239</v>
      </c>
      <c r="EG347" s="676">
        <v>-14462.660094168983</v>
      </c>
      <c r="EH347" s="676">
        <v>-1466.1462860779575</v>
      </c>
      <c r="EI347" s="676">
        <v>-1089.0653598175231</v>
      </c>
      <c r="EJ347" s="676">
        <v>-2854.6020830601228</v>
      </c>
      <c r="EK347" s="676">
        <v>-2545.9338305572892</v>
      </c>
      <c r="EL347" s="676">
        <v>-5894.7133787451385</v>
      </c>
      <c r="EM347" s="676">
        <v>-7346.012910304009</v>
      </c>
      <c r="EN347" s="676">
        <v>-49893.327797893398</v>
      </c>
      <c r="EQ347" s="5">
        <v>61246.376087591721</v>
      </c>
      <c r="ER347" s="5">
        <v>17138.749835946197</v>
      </c>
      <c r="ET347" s="318">
        <v>-24823.277320109701</v>
      </c>
      <c r="EU347" s="5">
        <v>-27256.984106435575</v>
      </c>
    </row>
    <row r="348" spans="1:151" x14ac:dyDescent="0.3">
      <c r="A348" s="325">
        <v>150000863</v>
      </c>
      <c r="B348" s="41" t="s">
        <v>794</v>
      </c>
      <c r="C348" s="42" t="s">
        <v>236</v>
      </c>
      <c r="D348" s="27">
        <v>4</v>
      </c>
      <c r="E348" s="293">
        <v>3322.9</v>
      </c>
      <c r="F348" s="305">
        <v>2278.4</v>
      </c>
      <c r="G348" s="508">
        <v>0</v>
      </c>
      <c r="H348" s="677">
        <v>1044.5</v>
      </c>
      <c r="I348" s="674">
        <v>10404.095233037411</v>
      </c>
      <c r="J348" s="40">
        <v>11344.935203863406</v>
      </c>
      <c r="K348" s="52">
        <v>940.8399708259949</v>
      </c>
      <c r="L348" s="674">
        <v>2258.9017938736129</v>
      </c>
      <c r="M348" s="40">
        <v>2472.4507789079757</v>
      </c>
      <c r="N348" s="52">
        <v>213.54898503436289</v>
      </c>
      <c r="O348" s="674">
        <v>3885.5657940274655</v>
      </c>
      <c r="P348" s="40">
        <v>3885.5700000000006</v>
      </c>
      <c r="Q348" s="52">
        <v>4.2059725351464294E-3</v>
      </c>
      <c r="R348" s="674">
        <v>1118.67297072514</v>
      </c>
      <c r="S348" s="40">
        <v>1118.67</v>
      </c>
      <c r="T348" s="52">
        <v>-2.970725139903152E-3</v>
      </c>
      <c r="U348" s="674">
        <v>0</v>
      </c>
      <c r="V348" s="40">
        <v>0</v>
      </c>
      <c r="W348" s="52">
        <v>0</v>
      </c>
      <c r="X348" s="674">
        <v>9478.6712981894161</v>
      </c>
      <c r="Y348" s="40">
        <v>7152.2958928745129</v>
      </c>
      <c r="Z348" s="52">
        <v>-2326.3754053149032</v>
      </c>
      <c r="AA348" s="674">
        <v>384.57</v>
      </c>
      <c r="AB348" s="40">
        <v>0</v>
      </c>
      <c r="AC348" s="52">
        <v>-384.57</v>
      </c>
      <c r="AD348" s="674">
        <v>14061.110537773437</v>
      </c>
      <c r="AE348" s="40">
        <v>14045.951042908706</v>
      </c>
      <c r="AF348" s="35">
        <v>-15.159494864730732</v>
      </c>
      <c r="AG348" s="77">
        <v>41591.587627626483</v>
      </c>
      <c r="AH348" s="53">
        <v>40019.872918554596</v>
      </c>
      <c r="AI348" s="52">
        <v>-1571.7147090718863</v>
      </c>
      <c r="AJ348" s="674">
        <v>0</v>
      </c>
      <c r="AK348" s="40">
        <v>0</v>
      </c>
      <c r="AL348" s="52">
        <v>0</v>
      </c>
      <c r="AM348" s="674">
        <v>0</v>
      </c>
      <c r="AN348" s="40">
        <v>0</v>
      </c>
      <c r="AO348" s="52">
        <v>0</v>
      </c>
      <c r="AP348" s="674">
        <v>1753.7656152319628</v>
      </c>
      <c r="AQ348" s="40">
        <v>1485.9732658959538</v>
      </c>
      <c r="AR348" s="52">
        <v>-267.79234933600901</v>
      </c>
      <c r="AS348" s="674">
        <v>35034.507632695269</v>
      </c>
      <c r="AT348" s="40">
        <v>23300.502372813015</v>
      </c>
      <c r="AU348" s="54">
        <v>-11734.005259882255</v>
      </c>
      <c r="AV348" s="674">
        <v>2696.6176201892167</v>
      </c>
      <c r="AW348" s="40">
        <v>67</v>
      </c>
      <c r="AX348" s="55">
        <v>-2629.6176201892167</v>
      </c>
      <c r="AY348" s="674">
        <v>3702.8883837259486</v>
      </c>
      <c r="AZ348" s="40">
        <v>33</v>
      </c>
      <c r="BA348" s="35">
        <v>-3669.8883837259486</v>
      </c>
      <c r="BB348" s="674">
        <v>2119.922685147495</v>
      </c>
      <c r="BC348" s="40">
        <v>0</v>
      </c>
      <c r="BD348" s="55">
        <v>-2119.922685147495</v>
      </c>
      <c r="BE348" s="674">
        <v>2000.1361910394144</v>
      </c>
      <c r="BF348" s="40">
        <v>0</v>
      </c>
      <c r="BG348" s="38">
        <v>-2000.1361910394144</v>
      </c>
      <c r="BH348" s="674">
        <v>0</v>
      </c>
      <c r="BI348" s="40">
        <v>0</v>
      </c>
      <c r="BJ348" s="55">
        <v>0</v>
      </c>
      <c r="BK348" s="674">
        <v>2432.0198471408094</v>
      </c>
      <c r="BL348" s="40">
        <v>727</v>
      </c>
      <c r="BM348" s="38">
        <v>-1705.0198471408094</v>
      </c>
      <c r="BN348" s="674">
        <v>96.142499999999998</v>
      </c>
      <c r="BO348" s="40">
        <v>0</v>
      </c>
      <c r="BP348" s="55">
        <v>-96.142499999999998</v>
      </c>
      <c r="BQ348" s="77">
        <v>13047.727227242885</v>
      </c>
      <c r="BR348" s="40">
        <v>827</v>
      </c>
      <c r="BS348" s="55">
        <v>-12220.727227242885</v>
      </c>
      <c r="BT348" s="674">
        <v>44453.618545154786</v>
      </c>
      <c r="BU348" s="40">
        <v>51542.696978429514</v>
      </c>
      <c r="BV348" s="52">
        <v>7089.078433274728</v>
      </c>
      <c r="BW348" s="674">
        <v>25485.703782073109</v>
      </c>
      <c r="BX348" s="40">
        <v>21303.336397782565</v>
      </c>
      <c r="BY348" s="52">
        <v>-4182.3673842905446</v>
      </c>
      <c r="BZ348" s="674">
        <v>21231.484407651056</v>
      </c>
      <c r="CA348" s="40">
        <v>13217.658360093556</v>
      </c>
      <c r="CB348" s="52">
        <v>-8013.8260475575007</v>
      </c>
      <c r="CC348" s="674">
        <v>1028.2220084589858</v>
      </c>
      <c r="CD348" s="40">
        <v>1080.6829844985882</v>
      </c>
      <c r="CE348" s="52">
        <v>52.460976039602429</v>
      </c>
      <c r="CF348" s="674">
        <v>125.66997675702478</v>
      </c>
      <c r="CG348" s="40">
        <v>0</v>
      </c>
      <c r="CH348" s="52">
        <v>-125.66997675702478</v>
      </c>
      <c r="CI348" s="674">
        <v>5407.370589336655</v>
      </c>
      <c r="CJ348" s="40">
        <v>4913.2381253986669</v>
      </c>
      <c r="CK348" s="52">
        <v>-494.13246393798818</v>
      </c>
      <c r="CL348" s="674">
        <v>0</v>
      </c>
      <c r="CM348" s="40">
        <v>0</v>
      </c>
      <c r="CN348" s="52">
        <v>0</v>
      </c>
      <c r="CO348" s="39">
        <v>5407.370589336655</v>
      </c>
      <c r="CP348" s="40">
        <v>4913.2381253986669</v>
      </c>
      <c r="CQ348" s="52">
        <v>-494.13246393798818</v>
      </c>
      <c r="CR348" s="72">
        <v>189159.6574122282</v>
      </c>
      <c r="CS348" s="5">
        <v>157690.96140346647</v>
      </c>
      <c r="CT348" s="52">
        <v>-31468.696008761734</v>
      </c>
      <c r="CU348" s="77">
        <v>226991.58889467383</v>
      </c>
      <c r="CV348" s="65">
        <v>189229.15368415977</v>
      </c>
      <c r="CW348" s="35">
        <v>-37762.435210514057</v>
      </c>
      <c r="CX348" s="73">
        <v>5023.1802048592372</v>
      </c>
      <c r="CY348" s="40">
        <v>42785.615415373381</v>
      </c>
      <c r="CZ348" s="52">
        <v>37762.435210514144</v>
      </c>
      <c r="DA348" s="150">
        <v>-27356.616846693047</v>
      </c>
      <c r="DB348" s="2">
        <v>2</v>
      </c>
      <c r="DC348" s="675">
        <v>45519.02</v>
      </c>
      <c r="DD348" s="675">
        <v>17943.699999999997</v>
      </c>
      <c r="DE348" s="675">
        <v>30604.348760968191</v>
      </c>
      <c r="DF348" s="675">
        <v>12412.379858518398</v>
      </c>
      <c r="DG348" s="321">
        <v>10405.818363821083</v>
      </c>
      <c r="DH348" s="40">
        <v>231997.53629058076</v>
      </c>
      <c r="DI348" s="422">
        <v>20445.991380513406</v>
      </c>
      <c r="DJ348" s="306">
        <v>6.5461162390413481</v>
      </c>
      <c r="DK348" s="306">
        <v>6.5461162390413481</v>
      </c>
      <c r="DL348" s="306">
        <v>5.2956631321030141</v>
      </c>
      <c r="DM348" s="28">
        <v>14914.671239031808</v>
      </c>
      <c r="DN348" s="28">
        <v>5531.3201414815985</v>
      </c>
      <c r="DO348" s="423">
        <v>20445.991380513406</v>
      </c>
      <c r="DP348" s="94">
        <v>0</v>
      </c>
      <c r="DQ348" s="28">
        <v>20445.991380513406</v>
      </c>
      <c r="DR348" s="318"/>
      <c r="DT348" s="8"/>
      <c r="DU348" s="5"/>
      <c r="DX348" s="5">
        <v>57698.68183192578</v>
      </c>
      <c r="DY348" s="5">
        <v>28953.002847375617</v>
      </c>
      <c r="DZ348" s="159">
        <v>5001.0936742978056</v>
      </c>
      <c r="EB348" s="676">
        <v>-1368.131549661337</v>
      </c>
      <c r="EC348" s="676">
        <v>-138.83685967399833</v>
      </c>
      <c r="ED348" s="676">
        <v>2307.0642172152293</v>
      </c>
      <c r="EE348" s="676">
        <v>-6426.4055748654991</v>
      </c>
      <c r="EF348" s="676">
        <v>-5681.0855178555157</v>
      </c>
      <c r="EG348" s="676">
        <v>-6529.7320249454424</v>
      </c>
      <c r="EH348" s="676">
        <v>-3.7336633394843375</v>
      </c>
      <c r="EI348" s="676">
        <v>-10078.792369013441</v>
      </c>
      <c r="EJ348" s="676">
        <v>-4894.0659580460033</v>
      </c>
      <c r="EK348" s="676">
        <v>-3676.3545487059419</v>
      </c>
      <c r="EL348" s="676">
        <v>4523.7508530029845</v>
      </c>
      <c r="EM348" s="676">
        <v>-5796.1122146256766</v>
      </c>
      <c r="EN348" s="676">
        <v>-37762.43521051413</v>
      </c>
      <c r="EQ348" s="5">
        <v>57698.68183192578</v>
      </c>
      <c r="ER348" s="5">
        <v>28953.002847375617</v>
      </c>
      <c r="ET348" s="318">
        <v>-39021.243716401848</v>
      </c>
      <c r="EU348" s="5">
        <v>42561.062080222939</v>
      </c>
    </row>
    <row r="349" spans="1:151" x14ac:dyDescent="0.3">
      <c r="A349" s="325">
        <v>150000864</v>
      </c>
      <c r="B349" s="41" t="s">
        <v>795</v>
      </c>
      <c r="C349" s="42" t="s">
        <v>201</v>
      </c>
      <c r="D349" s="27">
        <v>3</v>
      </c>
      <c r="E349" s="293">
        <v>3973.0600000000004</v>
      </c>
      <c r="F349" s="305">
        <v>3022.76</v>
      </c>
      <c r="G349" s="508">
        <v>0</v>
      </c>
      <c r="H349" s="677">
        <v>950.3</v>
      </c>
      <c r="I349" s="674">
        <v>10323.942843401266</v>
      </c>
      <c r="J349" s="40">
        <v>11330.865525943871</v>
      </c>
      <c r="K349" s="52">
        <v>1006.9226825426049</v>
      </c>
      <c r="L349" s="674">
        <v>1963.1509683538497</v>
      </c>
      <c r="M349" s="40">
        <v>2148.7445056913966</v>
      </c>
      <c r="N349" s="52">
        <v>185.59353733754688</v>
      </c>
      <c r="O349" s="674">
        <v>4376.2406372219557</v>
      </c>
      <c r="P349" s="40">
        <v>4376.22</v>
      </c>
      <c r="Q349" s="52">
        <v>-2.06372219554396E-2</v>
      </c>
      <c r="R349" s="674">
        <v>0</v>
      </c>
      <c r="S349" s="40">
        <v>0</v>
      </c>
      <c r="T349" s="52">
        <v>0</v>
      </c>
      <c r="U349" s="674">
        <v>0</v>
      </c>
      <c r="V349" s="40">
        <v>0</v>
      </c>
      <c r="W349" s="52">
        <v>0</v>
      </c>
      <c r="X349" s="674">
        <v>12527.568830974793</v>
      </c>
      <c r="Y349" s="40">
        <v>9345.4347362090175</v>
      </c>
      <c r="Z349" s="52">
        <v>-3182.1340947657754</v>
      </c>
      <c r="AA349" s="674">
        <v>468.91919999999999</v>
      </c>
      <c r="AB349" s="40">
        <v>0</v>
      </c>
      <c r="AC349" s="52">
        <v>-468.91919999999999</v>
      </c>
      <c r="AD349" s="674">
        <v>16911.061691293718</v>
      </c>
      <c r="AE349" s="40">
        <v>16880.426802011072</v>
      </c>
      <c r="AF349" s="35">
        <v>-30.634889282646327</v>
      </c>
      <c r="AG349" s="77">
        <v>46570.884171245583</v>
      </c>
      <c r="AH349" s="53">
        <v>44081.691569855364</v>
      </c>
      <c r="AI349" s="52">
        <v>-2489.1926013902194</v>
      </c>
      <c r="AJ349" s="674">
        <v>0</v>
      </c>
      <c r="AK349" s="40">
        <v>0</v>
      </c>
      <c r="AL349" s="52">
        <v>0</v>
      </c>
      <c r="AM349" s="674">
        <v>0</v>
      </c>
      <c r="AN349" s="40">
        <v>0</v>
      </c>
      <c r="AO349" s="52">
        <v>0</v>
      </c>
      <c r="AP349" s="674">
        <v>7015.0624609278511</v>
      </c>
      <c r="AQ349" s="40">
        <v>5956.7632386060777</v>
      </c>
      <c r="AR349" s="52">
        <v>-1058.2992223217734</v>
      </c>
      <c r="AS349" s="674">
        <v>39348.121488228753</v>
      </c>
      <c r="AT349" s="40">
        <v>80578.757511037184</v>
      </c>
      <c r="AU349" s="54">
        <v>41230.63602280843</v>
      </c>
      <c r="AV349" s="674">
        <v>2490.621241599677</v>
      </c>
      <c r="AW349" s="40">
        <v>0</v>
      </c>
      <c r="AX349" s="55">
        <v>-2490.621241599677</v>
      </c>
      <c r="AY349" s="674">
        <v>3218.061798078098</v>
      </c>
      <c r="AZ349" s="40">
        <v>0</v>
      </c>
      <c r="BA349" s="35">
        <v>-3218.061798078098</v>
      </c>
      <c r="BB349" s="674">
        <v>2776.6744124025277</v>
      </c>
      <c r="BC349" s="40">
        <v>0</v>
      </c>
      <c r="BD349" s="55">
        <v>-2776.6744124025277</v>
      </c>
      <c r="BE349" s="674">
        <v>0</v>
      </c>
      <c r="BF349" s="40">
        <v>0</v>
      </c>
      <c r="BG349" s="38">
        <v>0</v>
      </c>
      <c r="BH349" s="674">
        <v>0</v>
      </c>
      <c r="BI349" s="40">
        <v>0</v>
      </c>
      <c r="BJ349" s="55">
        <v>0</v>
      </c>
      <c r="BK349" s="674">
        <v>3411.8387162089507</v>
      </c>
      <c r="BL349" s="40">
        <v>354</v>
      </c>
      <c r="BM349" s="38">
        <v>-3057.8387162089507</v>
      </c>
      <c r="BN349" s="674">
        <v>117.2298</v>
      </c>
      <c r="BO349" s="40">
        <v>0</v>
      </c>
      <c r="BP349" s="55">
        <v>-117.2298</v>
      </c>
      <c r="BQ349" s="77">
        <v>12014.425968289253</v>
      </c>
      <c r="BR349" s="40">
        <v>354</v>
      </c>
      <c r="BS349" s="55">
        <v>-11660.425968289253</v>
      </c>
      <c r="BT349" s="674">
        <v>46890.001844473947</v>
      </c>
      <c r="BU349" s="40">
        <v>55487.076977780831</v>
      </c>
      <c r="BV349" s="52">
        <v>8597.0751333068838</v>
      </c>
      <c r="BW349" s="674">
        <v>35877.549356534728</v>
      </c>
      <c r="BX349" s="40">
        <v>31947.466105989806</v>
      </c>
      <c r="BY349" s="52">
        <v>-3930.0832505449216</v>
      </c>
      <c r="BZ349" s="674">
        <v>18628.129075161138</v>
      </c>
      <c r="CA349" s="40">
        <v>12915.782998383205</v>
      </c>
      <c r="CB349" s="52">
        <v>-5712.3460767779325</v>
      </c>
      <c r="CC349" s="674">
        <v>778.11395234734061</v>
      </c>
      <c r="CD349" s="40">
        <v>817.81415043136406</v>
      </c>
      <c r="CE349" s="52">
        <v>39.700198084023441</v>
      </c>
      <c r="CF349" s="674">
        <v>95.101604032343033</v>
      </c>
      <c r="CG349" s="40">
        <v>0</v>
      </c>
      <c r="CH349" s="52">
        <v>-95.101604032343033</v>
      </c>
      <c r="CI349" s="674">
        <v>3442.0585896143739</v>
      </c>
      <c r="CJ349" s="40">
        <v>4726.9774549094545</v>
      </c>
      <c r="CK349" s="52">
        <v>1284.9188652950806</v>
      </c>
      <c r="CL349" s="674">
        <v>0</v>
      </c>
      <c r="CM349" s="40">
        <v>0</v>
      </c>
      <c r="CN349" s="52">
        <v>0</v>
      </c>
      <c r="CO349" s="39">
        <v>3442.0585896143739</v>
      </c>
      <c r="CP349" s="40">
        <v>4726.9774549094545</v>
      </c>
      <c r="CQ349" s="52">
        <v>1284.9188652950806</v>
      </c>
      <c r="CR349" s="72">
        <v>210659.44851085532</v>
      </c>
      <c r="CS349" s="5">
        <v>236866.33000699329</v>
      </c>
      <c r="CT349" s="52">
        <v>26206.881496137968</v>
      </c>
      <c r="CU349" s="77">
        <v>252791.33821302638</v>
      </c>
      <c r="CV349" s="65">
        <v>284239.59600839193</v>
      </c>
      <c r="CW349" s="35">
        <v>31448.257795365556</v>
      </c>
      <c r="CX349" s="73">
        <v>7638.273212679579</v>
      </c>
      <c r="CY349" s="40">
        <v>-23809.984582685986</v>
      </c>
      <c r="CZ349" s="52">
        <v>-31448.257795365564</v>
      </c>
      <c r="DA349" s="150">
        <v>25684.656235379196</v>
      </c>
      <c r="DB349" s="2">
        <v>2</v>
      </c>
      <c r="DC349" s="675">
        <v>52114.12</v>
      </c>
      <c r="DD349" s="675">
        <v>23361.360000000001</v>
      </c>
      <c r="DE349" s="675">
        <v>33735.821457943413</v>
      </c>
      <c r="DF349" s="675">
        <v>18858.192428769238</v>
      </c>
      <c r="DG349" s="321">
        <v>-5763.6015599863404</v>
      </c>
      <c r="DH349" s="40">
        <v>260410.04663888307</v>
      </c>
      <c r="DI349" s="422">
        <v>22881.466113287352</v>
      </c>
      <c r="DJ349" s="306">
        <v>6.0799727871404237</v>
      </c>
      <c r="DK349" s="306">
        <v>6.0799727871404237</v>
      </c>
      <c r="DL349" s="306">
        <v>4.7386799655169565</v>
      </c>
      <c r="DM349" s="28">
        <v>18378.298542056589</v>
      </c>
      <c r="DN349" s="28">
        <v>4503.1675712307633</v>
      </c>
      <c r="DO349" s="423">
        <v>22881.466113287352</v>
      </c>
      <c r="DP349" s="94">
        <v>0</v>
      </c>
      <c r="DQ349" s="28">
        <v>22881.466113287352</v>
      </c>
      <c r="DR349" s="318"/>
      <c r="DT349" s="8"/>
      <c r="DU349" s="5"/>
      <c r="DX349" s="5">
        <v>61635.056947821606</v>
      </c>
      <c r="DY349" s="5">
        <v>97119.309013244623</v>
      </c>
      <c r="DZ349" s="159">
        <v>5401.1380257790815</v>
      </c>
      <c r="EB349" s="676">
        <v>-1964.682539201227</v>
      </c>
      <c r="EC349" s="676">
        <v>-1455.4272894313854</v>
      </c>
      <c r="ED349" s="676">
        <v>-3488.5702895951363</v>
      </c>
      <c r="EE349" s="676">
        <v>-5524.0052443995774</v>
      </c>
      <c r="EF349" s="676">
        <v>-4668.4233848438416</v>
      </c>
      <c r="EG349" s="676">
        <v>-4978.8124833823786</v>
      </c>
      <c r="EH349" s="676">
        <v>55107.520702234367</v>
      </c>
      <c r="EI349" s="676">
        <v>17059.79491697577</v>
      </c>
      <c r="EJ349" s="676">
        <v>-5928.8146443941478</v>
      </c>
      <c r="EK349" s="676">
        <v>-5468.7077320526441</v>
      </c>
      <c r="EL349" s="676">
        <v>-2997.4020960054731</v>
      </c>
      <c r="EM349" s="676">
        <v>-4244.2121205387884</v>
      </c>
      <c r="EN349" s="676">
        <v>31448.257795365535</v>
      </c>
      <c r="EQ349" s="5">
        <v>61635.056947821606</v>
      </c>
      <c r="ER349" s="5">
        <v>97119.309013244623</v>
      </c>
      <c r="ET349" s="318">
        <v>10134.335112737663</v>
      </c>
      <c r="EU349" s="5">
        <v>-30795.936672724019</v>
      </c>
    </row>
    <row r="350" spans="1:151" x14ac:dyDescent="0.3">
      <c r="A350" s="325">
        <v>150000865</v>
      </c>
      <c r="B350" s="41" t="s">
        <v>796</v>
      </c>
      <c r="C350" s="42" t="s">
        <v>306</v>
      </c>
      <c r="D350" s="27">
        <v>5</v>
      </c>
      <c r="E350" s="293">
        <v>9098.1</v>
      </c>
      <c r="F350" s="305">
        <v>6585.6</v>
      </c>
      <c r="G350" s="508">
        <v>0</v>
      </c>
      <c r="H350" s="677">
        <v>2512.5</v>
      </c>
      <c r="I350" s="674">
        <v>26781.63182937172</v>
      </c>
      <c r="J350" s="40">
        <v>29465.167976301778</v>
      </c>
      <c r="K350" s="52">
        <v>2683.5361469300587</v>
      </c>
      <c r="L350" s="674">
        <v>5625.0607577378796</v>
      </c>
      <c r="M350" s="40">
        <v>6170.5512862798141</v>
      </c>
      <c r="N350" s="52">
        <v>545.49052854193451</v>
      </c>
      <c r="O350" s="674">
        <v>11800.020647661606</v>
      </c>
      <c r="P350" s="40">
        <v>11800.02</v>
      </c>
      <c r="Q350" s="52">
        <v>-6.4766160539875273E-4</v>
      </c>
      <c r="R350" s="674">
        <v>0</v>
      </c>
      <c r="S350" s="40">
        <v>0</v>
      </c>
      <c r="T350" s="52">
        <v>0</v>
      </c>
      <c r="U350" s="674">
        <v>0</v>
      </c>
      <c r="V350" s="40">
        <v>0</v>
      </c>
      <c r="W350" s="52">
        <v>0</v>
      </c>
      <c r="X350" s="674">
        <v>28324.208036240794</v>
      </c>
      <c r="Y350" s="40">
        <v>22175.486998909906</v>
      </c>
      <c r="Z350" s="52">
        <v>-6148.7210373308881</v>
      </c>
      <c r="AA350" s="674">
        <v>1100.4528</v>
      </c>
      <c r="AB350" s="40">
        <v>12890.198947820956</v>
      </c>
      <c r="AC350" s="52">
        <v>11789.746147820955</v>
      </c>
      <c r="AD350" s="674">
        <v>38932.551095248142</v>
      </c>
      <c r="AE350" s="40">
        <v>38711.298810589527</v>
      </c>
      <c r="AF350" s="35">
        <v>-221.25228465861437</v>
      </c>
      <c r="AG350" s="77">
        <v>112563.92516626013</v>
      </c>
      <c r="AH350" s="53">
        <v>121212.724019902</v>
      </c>
      <c r="AI350" s="52">
        <v>8648.7988536418707</v>
      </c>
      <c r="AJ350" s="674">
        <v>0</v>
      </c>
      <c r="AK350" s="40">
        <v>0</v>
      </c>
      <c r="AL350" s="52">
        <v>0</v>
      </c>
      <c r="AM350" s="674">
        <v>0</v>
      </c>
      <c r="AN350" s="40">
        <v>0</v>
      </c>
      <c r="AO350" s="52">
        <v>0</v>
      </c>
      <c r="AP350" s="674">
        <v>21719.712619411232</v>
      </c>
      <c r="AQ350" s="40">
        <v>18854.448443886467</v>
      </c>
      <c r="AR350" s="52">
        <v>-2865.2641755247641</v>
      </c>
      <c r="AS350" s="674">
        <v>91658.692210231209</v>
      </c>
      <c r="AT350" s="40">
        <v>89498.81</v>
      </c>
      <c r="AU350" s="54">
        <v>-2159.8822102312115</v>
      </c>
      <c r="AV350" s="674">
        <v>6169.9515318800914</v>
      </c>
      <c r="AW350" s="40">
        <v>848</v>
      </c>
      <c r="AX350" s="55">
        <v>-5321.9515318800914</v>
      </c>
      <c r="AY350" s="674">
        <v>9221.0927408172502</v>
      </c>
      <c r="AZ350" s="40">
        <v>1410</v>
      </c>
      <c r="BA350" s="35">
        <v>-7811.0927408172502</v>
      </c>
      <c r="BB350" s="674">
        <v>5691.8903908889752</v>
      </c>
      <c r="BC350" s="40">
        <v>0</v>
      </c>
      <c r="BD350" s="55">
        <v>-5691.8903908889752</v>
      </c>
      <c r="BE350" s="674">
        <v>0</v>
      </c>
      <c r="BF350" s="40">
        <v>0</v>
      </c>
      <c r="BG350" s="38">
        <v>0</v>
      </c>
      <c r="BH350" s="674">
        <v>0</v>
      </c>
      <c r="BI350" s="40">
        <v>0</v>
      </c>
      <c r="BJ350" s="55">
        <v>0</v>
      </c>
      <c r="BK350" s="674">
        <v>7909.8115415584243</v>
      </c>
      <c r="BL350" s="40">
        <v>0</v>
      </c>
      <c r="BM350" s="38">
        <v>-7909.8115415584243</v>
      </c>
      <c r="BN350" s="674">
        <v>275.11320000000001</v>
      </c>
      <c r="BO350" s="40">
        <v>1264</v>
      </c>
      <c r="BP350" s="55">
        <v>988.88679999999999</v>
      </c>
      <c r="BQ350" s="77">
        <v>29267.859405144744</v>
      </c>
      <c r="BR350" s="40">
        <v>3522</v>
      </c>
      <c r="BS350" s="55">
        <v>-25745.859405144744</v>
      </c>
      <c r="BT350" s="674">
        <v>73426.473106629521</v>
      </c>
      <c r="BU350" s="40">
        <v>84336.519248183598</v>
      </c>
      <c r="BV350" s="52">
        <v>10910.046141554078</v>
      </c>
      <c r="BW350" s="674">
        <v>49524.230505197906</v>
      </c>
      <c r="BX350" s="40">
        <v>43307.710915626543</v>
      </c>
      <c r="BY350" s="52">
        <v>-6216.5195895713623</v>
      </c>
      <c r="BZ350" s="674">
        <v>27016.987969070982</v>
      </c>
      <c r="CA350" s="40">
        <v>19596.443590635135</v>
      </c>
      <c r="CB350" s="52">
        <v>-7420.5443784358467</v>
      </c>
      <c r="CC350" s="674">
        <v>858.70432598331513</v>
      </c>
      <c r="CD350" s="40">
        <v>902.51633029746949</v>
      </c>
      <c r="CE350" s="52">
        <v>43.812004314154365</v>
      </c>
      <c r="CF350" s="674">
        <v>104.95141302140718</v>
      </c>
      <c r="CG350" s="40">
        <v>0</v>
      </c>
      <c r="CH350" s="52">
        <v>-104.95141302140718</v>
      </c>
      <c r="CI350" s="674">
        <v>14794.846660306084</v>
      </c>
      <c r="CJ350" s="40">
        <v>27396.35777434249</v>
      </c>
      <c r="CK350" s="52">
        <v>12601.511114036406</v>
      </c>
      <c r="CL350" s="674">
        <v>0</v>
      </c>
      <c r="CM350" s="40">
        <v>0</v>
      </c>
      <c r="CN350" s="52">
        <v>0</v>
      </c>
      <c r="CO350" s="39">
        <v>14794.846660306084</v>
      </c>
      <c r="CP350" s="40">
        <v>27396.35777434249</v>
      </c>
      <c r="CQ350" s="52">
        <v>12601.511114036406</v>
      </c>
      <c r="CR350" s="72">
        <v>420936.38338125648</v>
      </c>
      <c r="CS350" s="5">
        <v>408627.53032287367</v>
      </c>
      <c r="CT350" s="52">
        <v>-12308.853058382811</v>
      </c>
      <c r="CU350" s="77">
        <v>505123.66005750775</v>
      </c>
      <c r="CV350" s="65">
        <v>490353.03638744837</v>
      </c>
      <c r="CW350" s="35">
        <v>-14770.623670059373</v>
      </c>
      <c r="CX350" s="73">
        <v>14548.382164586244</v>
      </c>
      <c r="CY350" s="40">
        <v>29319.005834645748</v>
      </c>
      <c r="CZ350" s="52">
        <v>14770.623670059504</v>
      </c>
      <c r="DA350" s="150">
        <v>63388.098353681649</v>
      </c>
      <c r="DB350" s="2">
        <v>2</v>
      </c>
      <c r="DC350" s="675">
        <v>96590.6</v>
      </c>
      <c r="DD350" s="675">
        <v>17057.260000000002</v>
      </c>
      <c r="DE350" s="675">
        <v>62286.277711493676</v>
      </c>
      <c r="DF350" s="675">
        <v>6096.8476463019852</v>
      </c>
      <c r="DG350" s="321">
        <v>78158.722023741138</v>
      </c>
      <c r="DH350" s="40">
        <v>519631.72913521709</v>
      </c>
      <c r="DI350" s="422">
        <v>45264.734642204348</v>
      </c>
      <c r="DJ350" s="306">
        <v>5.2089896575112862</v>
      </c>
      <c r="DK350" s="306">
        <v>5.2089896575112862</v>
      </c>
      <c r="DL350" s="306">
        <v>4.3623531756012008</v>
      </c>
      <c r="DM350" s="28">
        <v>34304.32228850633</v>
      </c>
      <c r="DN350" s="28">
        <v>10960.412353698017</v>
      </c>
      <c r="DO350" s="423">
        <v>45264.734642204348</v>
      </c>
      <c r="DP350" s="94">
        <v>0</v>
      </c>
      <c r="DQ350" s="28">
        <v>45264.734642204348</v>
      </c>
      <c r="DR350" s="318"/>
      <c r="DT350" s="8"/>
      <c r="DU350" s="5"/>
      <c r="DX350" s="5">
        <v>145111.86193845113</v>
      </c>
      <c r="DY350" s="5">
        <v>111624.97199999999</v>
      </c>
      <c r="DZ350" s="159">
        <v>12981.560320015666</v>
      </c>
      <c r="EB350" s="676">
        <v>-4525.5997484675136</v>
      </c>
      <c r="EC350" s="676">
        <v>79353.943329003931</v>
      </c>
      <c r="ED350" s="676">
        <v>11194.736273853043</v>
      </c>
      <c r="EE350" s="676">
        <v>-16224.234209259481</v>
      </c>
      <c r="EF350" s="676">
        <v>-15019.12622384094</v>
      </c>
      <c r="EG350" s="676">
        <v>-8763.6502644225475</v>
      </c>
      <c r="EH350" s="676">
        <v>-11447.813994357784</v>
      </c>
      <c r="EI350" s="676">
        <v>-24020.226491464742</v>
      </c>
      <c r="EJ350" s="676">
        <v>-8193.0044266409895</v>
      </c>
      <c r="EK350" s="676">
        <v>4402.299942162048</v>
      </c>
      <c r="EL350" s="676">
        <v>-14545.794319853492</v>
      </c>
      <c r="EM350" s="676">
        <v>-6982.1535367710094</v>
      </c>
      <c r="EN350" s="676">
        <v>-14770.623670059485</v>
      </c>
      <c r="EQ350" s="5">
        <v>145111.86193845113</v>
      </c>
      <c r="ER350" s="5">
        <v>111624.97199999999</v>
      </c>
      <c r="ET350" s="318">
        <v>34684.743076659521</v>
      </c>
      <c r="EU350" s="5">
        <v>-47895.021052918368</v>
      </c>
    </row>
    <row r="351" spans="1:151" x14ac:dyDescent="0.3">
      <c r="A351" s="325">
        <v>150000873</v>
      </c>
      <c r="B351" s="41" t="s">
        <v>797</v>
      </c>
      <c r="C351" s="42" t="s">
        <v>307</v>
      </c>
      <c r="D351" s="27">
        <v>5</v>
      </c>
      <c r="E351" s="293">
        <v>2609.46</v>
      </c>
      <c r="F351" s="305">
        <v>2468.86</v>
      </c>
      <c r="G351" s="508">
        <v>0</v>
      </c>
      <c r="H351" s="677">
        <v>140.6</v>
      </c>
      <c r="I351" s="674">
        <v>8773.2593343957651</v>
      </c>
      <c r="J351" s="40">
        <v>9605.0949350623141</v>
      </c>
      <c r="K351" s="52">
        <v>831.835600666549</v>
      </c>
      <c r="L351" s="674">
        <v>1697.6092796449923</v>
      </c>
      <c r="M351" s="40">
        <v>1858.0984009705082</v>
      </c>
      <c r="N351" s="52">
        <v>160.48912132551595</v>
      </c>
      <c r="O351" s="674">
        <v>3347.9609167028893</v>
      </c>
      <c r="P351" s="40">
        <v>3347.9399999999996</v>
      </c>
      <c r="Q351" s="52">
        <v>-2.0916702889735461E-2</v>
      </c>
      <c r="R351" s="674">
        <v>0</v>
      </c>
      <c r="S351" s="40">
        <v>0</v>
      </c>
      <c r="T351" s="52">
        <v>0</v>
      </c>
      <c r="U351" s="674">
        <v>0</v>
      </c>
      <c r="V351" s="40">
        <v>0</v>
      </c>
      <c r="W351" s="52">
        <v>0</v>
      </c>
      <c r="X351" s="674">
        <v>4868.7248227602058</v>
      </c>
      <c r="Y351" s="40">
        <v>3512.8363195128259</v>
      </c>
      <c r="Z351" s="52">
        <v>-1355.88850324738</v>
      </c>
      <c r="AA351" s="674">
        <v>313.1352</v>
      </c>
      <c r="AB351" s="40">
        <v>0</v>
      </c>
      <c r="AC351" s="52">
        <v>-313.1352</v>
      </c>
      <c r="AD351" s="674">
        <v>11179.731075696629</v>
      </c>
      <c r="AE351" s="40">
        <v>11086.956077471488</v>
      </c>
      <c r="AF351" s="35">
        <v>-92.774998225140735</v>
      </c>
      <c r="AG351" s="77">
        <v>30180.420629200482</v>
      </c>
      <c r="AH351" s="53">
        <v>29410.925733017135</v>
      </c>
      <c r="AI351" s="52">
        <v>-769.49489618334701</v>
      </c>
      <c r="AJ351" s="674">
        <v>0</v>
      </c>
      <c r="AK351" s="40">
        <v>0</v>
      </c>
      <c r="AL351" s="52">
        <v>0</v>
      </c>
      <c r="AM351" s="674">
        <v>0</v>
      </c>
      <c r="AN351" s="40">
        <v>0</v>
      </c>
      <c r="AO351" s="52">
        <v>0</v>
      </c>
      <c r="AP351" s="674">
        <v>7824.4927448810649</v>
      </c>
      <c r="AQ351" s="40">
        <v>9953.9746930145011</v>
      </c>
      <c r="AR351" s="52">
        <v>2129.4819481334362</v>
      </c>
      <c r="AS351" s="674">
        <v>24372.867129905433</v>
      </c>
      <c r="AT351" s="40">
        <v>4576</v>
      </c>
      <c r="AU351" s="54">
        <v>-19796.867129905433</v>
      </c>
      <c r="AV351" s="674">
        <v>1955.6257242260303</v>
      </c>
      <c r="AW351" s="40">
        <v>0</v>
      </c>
      <c r="AX351" s="55">
        <v>-1955.6257242260303</v>
      </c>
      <c r="AY351" s="674">
        <v>2782.6919543005465</v>
      </c>
      <c r="AZ351" s="40">
        <v>0</v>
      </c>
      <c r="BA351" s="35">
        <v>-2782.6919543005465</v>
      </c>
      <c r="BB351" s="674">
        <v>1652.9246084350018</v>
      </c>
      <c r="BC351" s="40">
        <v>0</v>
      </c>
      <c r="BD351" s="55">
        <v>-1652.9246084350018</v>
      </c>
      <c r="BE351" s="674">
        <v>0</v>
      </c>
      <c r="BF351" s="40">
        <v>0</v>
      </c>
      <c r="BG351" s="38">
        <v>0</v>
      </c>
      <c r="BH351" s="674">
        <v>0</v>
      </c>
      <c r="BI351" s="40">
        <v>0</v>
      </c>
      <c r="BJ351" s="55">
        <v>0</v>
      </c>
      <c r="BK351" s="674">
        <v>1065.8192709932675</v>
      </c>
      <c r="BL351" s="40">
        <v>0</v>
      </c>
      <c r="BM351" s="38">
        <v>-1065.8192709932675</v>
      </c>
      <c r="BN351" s="674">
        <v>78.283799999999999</v>
      </c>
      <c r="BO351" s="40">
        <v>0</v>
      </c>
      <c r="BP351" s="55">
        <v>-78.283799999999999</v>
      </c>
      <c r="BQ351" s="77">
        <v>7535.3453579548459</v>
      </c>
      <c r="BR351" s="40">
        <v>0</v>
      </c>
      <c r="BS351" s="55">
        <v>-7535.3453579548459</v>
      </c>
      <c r="BT351" s="674">
        <v>31518.325615630849</v>
      </c>
      <c r="BU351" s="40">
        <v>33999.589023164961</v>
      </c>
      <c r="BV351" s="52">
        <v>2481.263407534112</v>
      </c>
      <c r="BW351" s="674">
        <v>11956.086527781052</v>
      </c>
      <c r="BX351" s="40">
        <v>10446.240055450478</v>
      </c>
      <c r="BY351" s="52">
        <v>-1509.8464723305733</v>
      </c>
      <c r="BZ351" s="674">
        <v>8985.2732132023848</v>
      </c>
      <c r="CA351" s="40">
        <v>6770.1809075981537</v>
      </c>
      <c r="CB351" s="52">
        <v>-2215.0923056042311</v>
      </c>
      <c r="CC351" s="674">
        <v>644.72298908779646</v>
      </c>
      <c r="CD351" s="40">
        <v>677.61743892884442</v>
      </c>
      <c r="CE351" s="52">
        <v>32.894449841047958</v>
      </c>
      <c r="CF351" s="674">
        <v>78.798471912512809</v>
      </c>
      <c r="CG351" s="40">
        <v>0</v>
      </c>
      <c r="CH351" s="52">
        <v>-78.798471912512809</v>
      </c>
      <c r="CI351" s="674">
        <v>6380.1833518326757</v>
      </c>
      <c r="CJ351" s="40">
        <v>5962.7966386511125</v>
      </c>
      <c r="CK351" s="52">
        <v>-417.38671318156321</v>
      </c>
      <c r="CL351" s="674">
        <v>0</v>
      </c>
      <c r="CM351" s="40">
        <v>0</v>
      </c>
      <c r="CN351" s="52">
        <v>0</v>
      </c>
      <c r="CO351" s="39">
        <v>6380.1833518326757</v>
      </c>
      <c r="CP351" s="40">
        <v>5962.7966386511125</v>
      </c>
      <c r="CQ351" s="52">
        <v>-417.38671318156321</v>
      </c>
      <c r="CR351" s="72">
        <v>129476.51603138908</v>
      </c>
      <c r="CS351" s="5">
        <v>101797.3244898252</v>
      </c>
      <c r="CT351" s="52">
        <v>-27679.19154156388</v>
      </c>
      <c r="CU351" s="77">
        <v>155371.8192376669</v>
      </c>
      <c r="CV351" s="65">
        <v>122156.78938779024</v>
      </c>
      <c r="CW351" s="35">
        <v>-33215.029849876664</v>
      </c>
      <c r="CX351" s="73">
        <v>4078.6662376099439</v>
      </c>
      <c r="CY351" s="40">
        <v>37293.696087486678</v>
      </c>
      <c r="CZ351" s="52">
        <v>33215.029849876737</v>
      </c>
      <c r="DA351" s="150">
        <v>20895.973818567662</v>
      </c>
      <c r="DB351" s="2">
        <v>2</v>
      </c>
      <c r="DC351" s="675">
        <v>21523.23</v>
      </c>
      <c r="DD351" s="675">
        <v>535.45000000000005</v>
      </c>
      <c r="DE351" s="675">
        <v>8214.869195455216</v>
      </c>
      <c r="DF351" s="675">
        <v>-145.82257546667324</v>
      </c>
      <c r="DG351" s="321">
        <v>54111.003668444391</v>
      </c>
      <c r="DH351" s="40">
        <v>159438.44290354254</v>
      </c>
      <c r="DI351" s="422">
        <v>13989.633380011459</v>
      </c>
      <c r="DJ351" s="306">
        <v>5.3904882433774226</v>
      </c>
      <c r="DK351" s="306">
        <v>5.3904882433774226</v>
      </c>
      <c r="DL351" s="306">
        <v>4.8454663973447607</v>
      </c>
      <c r="DM351" s="28">
        <v>13308.360804544784</v>
      </c>
      <c r="DN351" s="28">
        <v>681.27257546667329</v>
      </c>
      <c r="DO351" s="423">
        <v>13989.633380011457</v>
      </c>
      <c r="DP351" s="94">
        <v>0</v>
      </c>
      <c r="DQ351" s="28">
        <v>13989.633380011457</v>
      </c>
      <c r="DR351" s="318"/>
      <c r="DT351" s="8"/>
      <c r="DU351" s="5"/>
      <c r="DX351" s="5">
        <v>38289.854985432328</v>
      </c>
      <c r="DY351" s="5">
        <v>5491.2</v>
      </c>
      <c r="DZ351" s="159">
        <v>3427.2426472750444</v>
      </c>
      <c r="EB351" s="676">
        <v>2450.3332306757347</v>
      </c>
      <c r="EC351" s="676">
        <v>490.15490822804895</v>
      </c>
      <c r="ED351" s="676">
        <v>-2537.3404186649768</v>
      </c>
      <c r="EE351" s="676">
        <v>-3922.990900792176</v>
      </c>
      <c r="EF351" s="676">
        <v>-1374.1046538266455</v>
      </c>
      <c r="EG351" s="676">
        <v>-7986.447572193485</v>
      </c>
      <c r="EH351" s="676">
        <v>-1987.8342217495465</v>
      </c>
      <c r="EI351" s="676">
        <v>-3986.1238915609447</v>
      </c>
      <c r="EJ351" s="676">
        <v>-3750.2918407460875</v>
      </c>
      <c r="EK351" s="676">
        <v>-3919.4158041115297</v>
      </c>
      <c r="EL351" s="676">
        <v>-2130.9514949581135</v>
      </c>
      <c r="EM351" s="676">
        <v>-4560.0171901770082</v>
      </c>
      <c r="EN351" s="676">
        <v>-33215.02984987673</v>
      </c>
      <c r="EQ351" s="5">
        <v>38289.854985432328</v>
      </c>
      <c r="ER351" s="5">
        <v>5491.2</v>
      </c>
      <c r="ET351" s="318">
        <v>78469.118220302917</v>
      </c>
      <c r="EU351" s="5">
        <v>6029.8854481414774</v>
      </c>
    </row>
    <row r="352" spans="1:151" x14ac:dyDescent="0.3">
      <c r="A352" s="325">
        <v>150000874</v>
      </c>
      <c r="B352" s="41" t="s">
        <v>798</v>
      </c>
      <c r="C352" s="42" t="s">
        <v>308</v>
      </c>
      <c r="D352" s="27">
        <v>5</v>
      </c>
      <c r="E352" s="293">
        <v>2619.3000000000002</v>
      </c>
      <c r="F352" s="305">
        <v>2004.8</v>
      </c>
      <c r="G352" s="508">
        <v>0</v>
      </c>
      <c r="H352" s="677">
        <v>614.5</v>
      </c>
      <c r="I352" s="674">
        <v>7899.1358875019314</v>
      </c>
      <c r="J352" s="40">
        <v>8624.3858580723645</v>
      </c>
      <c r="K352" s="52">
        <v>725.24997057043311</v>
      </c>
      <c r="L352" s="674">
        <v>1697.6092796449923</v>
      </c>
      <c r="M352" s="40">
        <v>1858.0984009705082</v>
      </c>
      <c r="N352" s="52">
        <v>160.48912132551595</v>
      </c>
      <c r="O352" s="674">
        <v>3035.5845301017143</v>
      </c>
      <c r="P352" s="40">
        <v>3035.6099999999997</v>
      </c>
      <c r="Q352" s="52">
        <v>2.5469898285336967E-2</v>
      </c>
      <c r="R352" s="674">
        <v>687.29744863830501</v>
      </c>
      <c r="S352" s="40">
        <v>687.3</v>
      </c>
      <c r="T352" s="52">
        <v>2.5513616949410789E-3</v>
      </c>
      <c r="U352" s="674">
        <v>487.42305049593699</v>
      </c>
      <c r="V352" s="40">
        <v>1711.8756955232029</v>
      </c>
      <c r="W352" s="52">
        <v>1224.452645027266</v>
      </c>
      <c r="X352" s="674">
        <v>5025.2411377962126</v>
      </c>
      <c r="Y352" s="40">
        <v>4367.5518445065254</v>
      </c>
      <c r="Z352" s="52">
        <v>-657.68929328968716</v>
      </c>
      <c r="AA352" s="674">
        <v>273.49200000000002</v>
      </c>
      <c r="AB352" s="40">
        <v>0</v>
      </c>
      <c r="AC352" s="52">
        <v>-273.49200000000002</v>
      </c>
      <c r="AD352" s="674">
        <v>10846.277693163771</v>
      </c>
      <c r="AE352" s="40">
        <v>11553.951507190217</v>
      </c>
      <c r="AF352" s="35">
        <v>707.67381402644605</v>
      </c>
      <c r="AG352" s="77">
        <v>29952.061027342861</v>
      </c>
      <c r="AH352" s="53">
        <v>31838.773306262814</v>
      </c>
      <c r="AI352" s="52">
        <v>1886.712278919953</v>
      </c>
      <c r="AJ352" s="674">
        <v>0</v>
      </c>
      <c r="AK352" s="40">
        <v>0</v>
      </c>
      <c r="AL352" s="52">
        <v>0</v>
      </c>
      <c r="AM352" s="674">
        <v>0</v>
      </c>
      <c r="AN352" s="40">
        <v>0</v>
      </c>
      <c r="AO352" s="52">
        <v>0</v>
      </c>
      <c r="AP352" s="674">
        <v>1798.7339643404748</v>
      </c>
      <c r="AQ352" s="40">
        <v>1388.2261912263641</v>
      </c>
      <c r="AR352" s="52">
        <v>-410.50777311411071</v>
      </c>
      <c r="AS352" s="674">
        <v>25543.376560198169</v>
      </c>
      <c r="AT352" s="40">
        <v>37007.700000000004</v>
      </c>
      <c r="AU352" s="54">
        <v>11464.323439801836</v>
      </c>
      <c r="AV352" s="674">
        <v>1891.2615801105135</v>
      </c>
      <c r="AW352" s="40">
        <v>457</v>
      </c>
      <c r="AX352" s="55">
        <v>-1434.2615801105135</v>
      </c>
      <c r="AY352" s="674">
        <v>2782.6919543005465</v>
      </c>
      <c r="AZ352" s="40">
        <v>306</v>
      </c>
      <c r="BA352" s="35">
        <v>-2476.6919543005465</v>
      </c>
      <c r="BB352" s="674">
        <v>1479.8298140192912</v>
      </c>
      <c r="BC352" s="40">
        <v>0</v>
      </c>
      <c r="BD352" s="55">
        <v>-1479.8298140192912</v>
      </c>
      <c r="BE352" s="674">
        <v>1304.4835241725541</v>
      </c>
      <c r="BF352" s="40">
        <v>0</v>
      </c>
      <c r="BG352" s="38">
        <v>-1304.4835241725541</v>
      </c>
      <c r="BH352" s="674">
        <v>832.23664965675107</v>
      </c>
      <c r="BI352" s="40">
        <v>4431</v>
      </c>
      <c r="BJ352" s="55">
        <v>3598.7633503432489</v>
      </c>
      <c r="BK352" s="674">
        <v>1065.8193474966333</v>
      </c>
      <c r="BL352" s="40">
        <v>0</v>
      </c>
      <c r="BM352" s="38">
        <v>-1065.8193474966333</v>
      </c>
      <c r="BN352" s="674">
        <v>68.373000000000005</v>
      </c>
      <c r="BO352" s="40">
        <v>0</v>
      </c>
      <c r="BP352" s="55">
        <v>-68.373000000000005</v>
      </c>
      <c r="BQ352" s="77">
        <v>9424.6958697562895</v>
      </c>
      <c r="BR352" s="40">
        <v>5194</v>
      </c>
      <c r="BS352" s="55">
        <v>-4230.6958697562895</v>
      </c>
      <c r="BT352" s="674">
        <v>40819.291684695585</v>
      </c>
      <c r="BU352" s="40">
        <v>41963.047803347399</v>
      </c>
      <c r="BV352" s="52">
        <v>1143.7561186518142</v>
      </c>
      <c r="BW352" s="674">
        <v>16347.801191989971</v>
      </c>
      <c r="BX352" s="40">
        <v>14196.586109546688</v>
      </c>
      <c r="BY352" s="52">
        <v>-2151.2150824432829</v>
      </c>
      <c r="BZ352" s="674">
        <v>12173.229436784155</v>
      </c>
      <c r="CA352" s="40">
        <v>8915.4886908546578</v>
      </c>
      <c r="CB352" s="52">
        <v>-3257.7407459294973</v>
      </c>
      <c r="CC352" s="674">
        <v>333.47740814886015</v>
      </c>
      <c r="CD352" s="40">
        <v>350.49177875629891</v>
      </c>
      <c r="CE352" s="52">
        <v>17.014370607438764</v>
      </c>
      <c r="CF352" s="674">
        <v>40.757830299575588</v>
      </c>
      <c r="CG352" s="40">
        <v>0</v>
      </c>
      <c r="CH352" s="52">
        <v>-40.757830299575588</v>
      </c>
      <c r="CI352" s="674">
        <v>5172.9874095524656</v>
      </c>
      <c r="CJ352" s="40">
        <v>3458.3816504555812</v>
      </c>
      <c r="CK352" s="52">
        <v>-1714.6057590968844</v>
      </c>
      <c r="CL352" s="674">
        <v>0</v>
      </c>
      <c r="CM352" s="40">
        <v>0</v>
      </c>
      <c r="CN352" s="52">
        <v>0</v>
      </c>
      <c r="CO352" s="39">
        <v>5172.9874095524656</v>
      </c>
      <c r="CP352" s="40">
        <v>3458.3816504555812</v>
      </c>
      <c r="CQ352" s="52">
        <v>-1714.6057590968844</v>
      </c>
      <c r="CR352" s="72">
        <v>141606.41238310846</v>
      </c>
      <c r="CS352" s="5">
        <v>144312.6955304498</v>
      </c>
      <c r="CT352" s="52">
        <v>2706.2831473413389</v>
      </c>
      <c r="CU352" s="77">
        <v>169927.69485973014</v>
      </c>
      <c r="CV352" s="65">
        <v>173175.23463653974</v>
      </c>
      <c r="CW352" s="35">
        <v>3247.5397768096009</v>
      </c>
      <c r="CX352" s="73">
        <v>4364.1288162398878</v>
      </c>
      <c r="CY352" s="40">
        <v>1116.5890394302151</v>
      </c>
      <c r="CZ352" s="52">
        <v>-3247.5397768096727</v>
      </c>
      <c r="DA352" s="150">
        <v>38412.322487030659</v>
      </c>
      <c r="DB352" s="2">
        <v>2</v>
      </c>
      <c r="DC352" s="675">
        <v>38184.400000000001</v>
      </c>
      <c r="DD352" s="675">
        <v>1811.78</v>
      </c>
      <c r="DE352" s="675">
        <v>25771.18369995946</v>
      </c>
      <c r="DF352" s="675">
        <v>-1435.3754236365583</v>
      </c>
      <c r="DG352" s="321">
        <v>35164.782710220992</v>
      </c>
      <c r="DH352" s="40">
        <v>174279.85122146469</v>
      </c>
      <c r="DI352" s="422">
        <v>15660.371723677103</v>
      </c>
      <c r="DJ352" s="306">
        <v>6.1917479549284433</v>
      </c>
      <c r="DK352" s="306">
        <v>6.1917479549284433</v>
      </c>
      <c r="DL352" s="306">
        <v>5.2842236348845537</v>
      </c>
      <c r="DM352" s="28">
        <v>12413.216300040544</v>
      </c>
      <c r="DN352" s="28">
        <v>3247.1554236365582</v>
      </c>
      <c r="DO352" s="423">
        <v>15660.371723677101</v>
      </c>
      <c r="DP352" s="94">
        <v>0</v>
      </c>
      <c r="DQ352" s="28">
        <v>15660.371723677101</v>
      </c>
      <c r="DR352" s="318"/>
      <c r="DT352" s="8"/>
      <c r="DU352" s="5"/>
      <c r="DX352" s="5">
        <v>41961.686915945349</v>
      </c>
      <c r="DY352" s="5">
        <v>50642.04</v>
      </c>
      <c r="DZ352" s="159">
        <v>3697.1715080320787</v>
      </c>
      <c r="EB352" s="676">
        <v>2098.9972003700932</v>
      </c>
      <c r="EC352" s="676">
        <v>-1494.9062469877426</v>
      </c>
      <c r="ED352" s="676">
        <v>817.0092342377302</v>
      </c>
      <c r="EE352" s="676">
        <v>-4708.8519971977312</v>
      </c>
      <c r="EF352" s="676">
        <v>28450.41769899453</v>
      </c>
      <c r="EG352" s="676">
        <v>2005.3993472198272</v>
      </c>
      <c r="EH352" s="676">
        <v>-3959.0596320094864</v>
      </c>
      <c r="EI352" s="676">
        <v>-3765.4879056721475</v>
      </c>
      <c r="EJ352" s="676">
        <v>-1627.9870971466025</v>
      </c>
      <c r="EK352" s="676">
        <v>-3539.2702609566422</v>
      </c>
      <c r="EL352" s="676">
        <v>-6267.9397056004382</v>
      </c>
      <c r="EM352" s="676">
        <v>-4760.7808584417235</v>
      </c>
      <c r="EN352" s="676">
        <v>3247.53977680967</v>
      </c>
      <c r="EQ352" s="5">
        <v>41961.686915945349</v>
      </c>
      <c r="ER352" s="5">
        <v>50642.04</v>
      </c>
      <c r="ET352" s="318">
        <v>39752.619076161507</v>
      </c>
      <c r="EU352" s="5">
        <v>-5470.836365940515</v>
      </c>
    </row>
    <row r="353" spans="1:151" x14ac:dyDescent="0.3">
      <c r="A353" s="325">
        <v>150000866</v>
      </c>
      <c r="B353" s="41" t="s">
        <v>799</v>
      </c>
      <c r="C353" s="42" t="s">
        <v>309</v>
      </c>
      <c r="D353" s="27">
        <v>5</v>
      </c>
      <c r="E353" s="293">
        <v>5026.5</v>
      </c>
      <c r="F353" s="305">
        <v>3834.8</v>
      </c>
      <c r="G353" s="508">
        <v>0</v>
      </c>
      <c r="H353" s="677">
        <v>1191.7</v>
      </c>
      <c r="I353" s="674">
        <v>17064.625312488632</v>
      </c>
      <c r="J353" s="40">
        <v>14056.10653070805</v>
      </c>
      <c r="K353" s="52">
        <v>-3008.5187817805818</v>
      </c>
      <c r="L353" s="674">
        <v>3366.1594224268279</v>
      </c>
      <c r="M353" s="40">
        <v>2683.1122968773871</v>
      </c>
      <c r="N353" s="52">
        <v>-683.04712554944081</v>
      </c>
      <c r="O353" s="674">
        <v>7246.9706584708038</v>
      </c>
      <c r="P353" s="40">
        <v>7247.0700000000006</v>
      </c>
      <c r="Q353" s="52">
        <v>9.9341529196863121E-2</v>
      </c>
      <c r="R353" s="674">
        <v>0</v>
      </c>
      <c r="S353" s="40">
        <v>0</v>
      </c>
      <c r="T353" s="52">
        <v>0</v>
      </c>
      <c r="U353" s="674">
        <v>0</v>
      </c>
      <c r="V353" s="40">
        <v>0</v>
      </c>
      <c r="W353" s="52">
        <v>0</v>
      </c>
      <c r="X353" s="674">
        <v>13047.63821142354</v>
      </c>
      <c r="Y353" s="40">
        <v>10129.525568484298</v>
      </c>
      <c r="Z353" s="52">
        <v>-2918.1126429392425</v>
      </c>
      <c r="AA353" s="674">
        <v>603.23160000000007</v>
      </c>
      <c r="AB353" s="40">
        <v>0</v>
      </c>
      <c r="AC353" s="52">
        <v>-603.23160000000007</v>
      </c>
      <c r="AD353" s="674">
        <v>21480.690245723701</v>
      </c>
      <c r="AE353" s="40">
        <v>21356.200339362767</v>
      </c>
      <c r="AF353" s="35">
        <v>-124.48990636093367</v>
      </c>
      <c r="AG353" s="77">
        <v>62809.315450533504</v>
      </c>
      <c r="AH353" s="53">
        <v>55472.014735432502</v>
      </c>
      <c r="AI353" s="52">
        <v>-7337.3007151010024</v>
      </c>
      <c r="AJ353" s="674">
        <v>0</v>
      </c>
      <c r="AK353" s="40">
        <v>0</v>
      </c>
      <c r="AL353" s="52">
        <v>0</v>
      </c>
      <c r="AM353" s="674">
        <v>0</v>
      </c>
      <c r="AN353" s="40">
        <v>0</v>
      </c>
      <c r="AO353" s="52">
        <v>0</v>
      </c>
      <c r="AP353" s="674">
        <v>12411.264353949276</v>
      </c>
      <c r="AQ353" s="40">
        <v>10008.865434180905</v>
      </c>
      <c r="AR353" s="52">
        <v>-2402.3989197683713</v>
      </c>
      <c r="AS353" s="674">
        <v>48136.850569390503</v>
      </c>
      <c r="AT353" s="40">
        <v>62898</v>
      </c>
      <c r="AU353" s="54">
        <v>14761.149430609497</v>
      </c>
      <c r="AV353" s="674">
        <v>4248.5261644588008</v>
      </c>
      <c r="AW353" s="40">
        <v>2398.5299999999997</v>
      </c>
      <c r="AX353" s="55">
        <v>-1849.9961644588011</v>
      </c>
      <c r="AY353" s="674">
        <v>5517.9859236250095</v>
      </c>
      <c r="AZ353" s="40">
        <v>2267</v>
      </c>
      <c r="BA353" s="35">
        <v>-3250.9859236250095</v>
      </c>
      <c r="BB353" s="674">
        <v>2676.3703063152134</v>
      </c>
      <c r="BC353" s="40">
        <v>0</v>
      </c>
      <c r="BD353" s="55">
        <v>-2676.3703063152134</v>
      </c>
      <c r="BE353" s="674">
        <v>0</v>
      </c>
      <c r="BF353" s="40">
        <v>0</v>
      </c>
      <c r="BG353" s="38">
        <v>0</v>
      </c>
      <c r="BH353" s="674">
        <v>0</v>
      </c>
      <c r="BI353" s="40">
        <v>0</v>
      </c>
      <c r="BJ353" s="55">
        <v>0</v>
      </c>
      <c r="BK353" s="674">
        <v>3191.9513317839378</v>
      </c>
      <c r="BL353" s="40">
        <v>1014</v>
      </c>
      <c r="BM353" s="38">
        <v>-2177.9513317839378</v>
      </c>
      <c r="BN353" s="674">
        <v>1320.1372262336761</v>
      </c>
      <c r="BO353" s="40">
        <v>0</v>
      </c>
      <c r="BP353" s="55">
        <v>-1320.1372262336761</v>
      </c>
      <c r="BQ353" s="77">
        <v>16954.970952416639</v>
      </c>
      <c r="BR353" s="40">
        <v>5679.53</v>
      </c>
      <c r="BS353" s="55">
        <v>-11275.44095241664</v>
      </c>
      <c r="BT353" s="674">
        <v>39138.812823028202</v>
      </c>
      <c r="BU353" s="40">
        <v>50773.704432346909</v>
      </c>
      <c r="BV353" s="52">
        <v>11634.891609318707</v>
      </c>
      <c r="BW353" s="674">
        <v>22426.308282736984</v>
      </c>
      <c r="BX353" s="40">
        <v>23750.480729802526</v>
      </c>
      <c r="BY353" s="52">
        <v>1324.1724470655427</v>
      </c>
      <c r="BZ353" s="674">
        <v>20631.778765534309</v>
      </c>
      <c r="CA353" s="40">
        <v>12383.873186731225</v>
      </c>
      <c r="CB353" s="52">
        <v>-8247.9055788030837</v>
      </c>
      <c r="CC353" s="674">
        <v>88.927308839696053</v>
      </c>
      <c r="CD353" s="40">
        <v>93.464474335013023</v>
      </c>
      <c r="CE353" s="52">
        <v>4.5371654953169696</v>
      </c>
      <c r="CF353" s="674">
        <v>10.86875474655349</v>
      </c>
      <c r="CG353" s="40">
        <v>0</v>
      </c>
      <c r="CH353" s="52">
        <v>-10.86875474655349</v>
      </c>
      <c r="CI353" s="674">
        <v>11376.158070691705</v>
      </c>
      <c r="CJ353" s="40">
        <v>7463.5509545691193</v>
      </c>
      <c r="CK353" s="52">
        <v>-3912.6071161225855</v>
      </c>
      <c r="CL353" s="674">
        <v>0</v>
      </c>
      <c r="CM353" s="40">
        <v>0</v>
      </c>
      <c r="CN353" s="52">
        <v>0</v>
      </c>
      <c r="CO353" s="39">
        <v>11376.158070691705</v>
      </c>
      <c r="CP353" s="40">
        <v>7463.5509545691193</v>
      </c>
      <c r="CQ353" s="52">
        <v>-3912.6071161225855</v>
      </c>
      <c r="CR353" s="72">
        <v>233985.25533186737</v>
      </c>
      <c r="CS353" s="5">
        <v>228523.48394739823</v>
      </c>
      <c r="CT353" s="52">
        <v>-5461.7713844691461</v>
      </c>
      <c r="CU353" s="77">
        <v>280782.30639824085</v>
      </c>
      <c r="CV353" s="65">
        <v>274228.18073687784</v>
      </c>
      <c r="CW353" s="35">
        <v>-6554.1256613630103</v>
      </c>
      <c r="CX353" s="73">
        <v>7379.6347148275645</v>
      </c>
      <c r="CY353" s="40">
        <v>13933.760376190634</v>
      </c>
      <c r="CZ353" s="52">
        <v>6554.1256613630694</v>
      </c>
      <c r="DA353" s="150">
        <v>-11251.572779578764</v>
      </c>
      <c r="DB353" s="2">
        <v>1</v>
      </c>
      <c r="DC353" s="675">
        <v>81188.22</v>
      </c>
      <c r="DD353" s="675">
        <v>268</v>
      </c>
      <c r="DE353" s="675">
        <v>61334.497309678234</v>
      </c>
      <c r="DF353" s="675">
        <v>-5126.977881259425</v>
      </c>
      <c r="DG353" s="321">
        <v>-4697.4471182156976</v>
      </c>
      <c r="DH353" s="40">
        <v>288140.06888680457</v>
      </c>
      <c r="DI353" s="422">
        <v>25248.700571581194</v>
      </c>
      <c r="DJ353" s="306">
        <v>5.1772511448632956</v>
      </c>
      <c r="DK353" s="306">
        <v>5.1772511448632956</v>
      </c>
      <c r="DL353" s="306">
        <v>4.527127533153835</v>
      </c>
      <c r="DM353" s="28">
        <v>19853.722690321767</v>
      </c>
      <c r="DN353" s="28">
        <v>5394.977881259425</v>
      </c>
      <c r="DO353" s="423">
        <v>25248.70057158119</v>
      </c>
      <c r="DP353" s="94">
        <v>0</v>
      </c>
      <c r="DQ353" s="28">
        <v>25248.70057158119</v>
      </c>
      <c r="DR353" s="318"/>
      <c r="DT353" s="8"/>
      <c r="DU353" s="5"/>
      <c r="DX353" s="5">
        <v>78110.18582616857</v>
      </c>
      <c r="DY353" s="5">
        <v>82293.035999999993</v>
      </c>
      <c r="DZ353" s="159">
        <v>6938.3351570094319</v>
      </c>
      <c r="EB353" s="676">
        <v>-3100.5021935292534</v>
      </c>
      <c r="EC353" s="676">
        <v>-5157.887705445135</v>
      </c>
      <c r="ED353" s="676">
        <v>-4343.845954635126</v>
      </c>
      <c r="EE353" s="676">
        <v>-2643.0240828160895</v>
      </c>
      <c r="EF353" s="676">
        <v>-5979.6444886152931</v>
      </c>
      <c r="EG353" s="676">
        <v>-7783.663294896578</v>
      </c>
      <c r="EH353" s="676">
        <v>46453.904701676118</v>
      </c>
      <c r="EI353" s="676">
        <v>-3136.7127069545713</v>
      </c>
      <c r="EJ353" s="676">
        <v>-9378.7029151408296</v>
      </c>
      <c r="EK353" s="676">
        <v>299.40624589303843</v>
      </c>
      <c r="EL353" s="676">
        <v>-4398.5098394062443</v>
      </c>
      <c r="EM353" s="676">
        <v>-7384.9434274931009</v>
      </c>
      <c r="EN353" s="676">
        <v>-6554.1256613630667</v>
      </c>
      <c r="EQ353" s="5">
        <v>78110.18582616857</v>
      </c>
      <c r="ER353" s="5">
        <v>82293.035999999993</v>
      </c>
      <c r="ET353" s="318">
        <v>9574.8404744491181</v>
      </c>
      <c r="EU353" s="5">
        <v>-11572.287592664838</v>
      </c>
    </row>
    <row r="354" spans="1:151" x14ac:dyDescent="0.3">
      <c r="A354" s="325">
        <v>150000867</v>
      </c>
      <c r="B354" s="41" t="s">
        <v>800</v>
      </c>
      <c r="C354" s="42" t="s">
        <v>310</v>
      </c>
      <c r="D354" s="27">
        <v>5</v>
      </c>
      <c r="E354" s="293">
        <v>2840.51</v>
      </c>
      <c r="F354" s="305">
        <v>2289.0100000000002</v>
      </c>
      <c r="G354" s="508">
        <v>0</v>
      </c>
      <c r="H354" s="677">
        <v>551.5</v>
      </c>
      <c r="I354" s="674">
        <v>8425.6249742450436</v>
      </c>
      <c r="J354" s="40">
        <v>7004.6668157885179</v>
      </c>
      <c r="K354" s="52">
        <v>-1420.9581584565258</v>
      </c>
      <c r="L354" s="674">
        <v>1726.4503506497872</v>
      </c>
      <c r="M354" s="40">
        <v>1376.140688669042</v>
      </c>
      <c r="N354" s="52">
        <v>-350.3096619807452</v>
      </c>
      <c r="O354" s="674">
        <v>4427.8712244169392</v>
      </c>
      <c r="P354" s="40">
        <v>4427.97</v>
      </c>
      <c r="Q354" s="52">
        <v>9.8775583061069483E-2</v>
      </c>
      <c r="R354" s="674">
        <v>0</v>
      </c>
      <c r="S354" s="40">
        <v>0</v>
      </c>
      <c r="T354" s="52">
        <v>0</v>
      </c>
      <c r="U354" s="674">
        <v>0</v>
      </c>
      <c r="V354" s="40">
        <v>0</v>
      </c>
      <c r="W354" s="52">
        <v>0</v>
      </c>
      <c r="X354" s="674">
        <v>5185.7298000498467</v>
      </c>
      <c r="Y354" s="40">
        <v>4778.9529544056904</v>
      </c>
      <c r="Z354" s="52">
        <v>-406.77684564415631</v>
      </c>
      <c r="AA354" s="674">
        <v>340.78920000000005</v>
      </c>
      <c r="AB354" s="40">
        <v>0</v>
      </c>
      <c r="AC354" s="52">
        <v>-340.78920000000005</v>
      </c>
      <c r="AD354" s="674">
        <v>12145.251552618754</v>
      </c>
      <c r="AE354" s="40">
        <v>12068.536879730098</v>
      </c>
      <c r="AF354" s="35">
        <v>-76.714672888656423</v>
      </c>
      <c r="AG354" s="77">
        <v>32251.717101980372</v>
      </c>
      <c r="AH354" s="53">
        <v>29656.267338593349</v>
      </c>
      <c r="AI354" s="52">
        <v>-2595.4497633870233</v>
      </c>
      <c r="AJ354" s="674">
        <v>0</v>
      </c>
      <c r="AK354" s="40">
        <v>0</v>
      </c>
      <c r="AL354" s="52">
        <v>0</v>
      </c>
      <c r="AM354" s="674">
        <v>0</v>
      </c>
      <c r="AN354" s="40">
        <v>0</v>
      </c>
      <c r="AO354" s="52">
        <v>0</v>
      </c>
      <c r="AP354" s="674">
        <v>6610.3473189512451</v>
      </c>
      <c r="AQ354" s="40">
        <v>5368.1708633546468</v>
      </c>
      <c r="AR354" s="52">
        <v>-1242.1764555965983</v>
      </c>
      <c r="AS354" s="674">
        <v>20368.823255272335</v>
      </c>
      <c r="AT354" s="40">
        <v>3825</v>
      </c>
      <c r="AU354" s="54">
        <v>-16543.823255272335</v>
      </c>
      <c r="AV354" s="674">
        <v>2051.559683487822</v>
      </c>
      <c r="AW354" s="40">
        <v>1094</v>
      </c>
      <c r="AX354" s="55">
        <v>-957.55968348782199</v>
      </c>
      <c r="AY354" s="674">
        <v>2830.3072699191343</v>
      </c>
      <c r="AZ354" s="40">
        <v>1847</v>
      </c>
      <c r="BA354" s="35">
        <v>-983.30726991913434</v>
      </c>
      <c r="BB354" s="674">
        <v>1569.4605635040539</v>
      </c>
      <c r="BC354" s="40">
        <v>0</v>
      </c>
      <c r="BD354" s="55">
        <v>-1569.4605635040539</v>
      </c>
      <c r="BE354" s="674">
        <v>0</v>
      </c>
      <c r="BF354" s="40">
        <v>0</v>
      </c>
      <c r="BG354" s="38">
        <v>0</v>
      </c>
      <c r="BH354" s="674">
        <v>0</v>
      </c>
      <c r="BI354" s="40">
        <v>0</v>
      </c>
      <c r="BJ354" s="55">
        <v>0</v>
      </c>
      <c r="BK354" s="674">
        <v>1123.3268802252414</v>
      </c>
      <c r="BL354" s="40">
        <v>0</v>
      </c>
      <c r="BM354" s="38">
        <v>-1123.3268802252414</v>
      </c>
      <c r="BN354" s="674">
        <v>662.85235665589528</v>
      </c>
      <c r="BO354" s="40">
        <v>0</v>
      </c>
      <c r="BP354" s="55">
        <v>-662.85235665589528</v>
      </c>
      <c r="BQ354" s="77">
        <v>8237.5067537921459</v>
      </c>
      <c r="BR354" s="40">
        <v>2941</v>
      </c>
      <c r="BS354" s="55">
        <v>-5296.5067537921459</v>
      </c>
      <c r="BT354" s="674">
        <v>14273.129644521803</v>
      </c>
      <c r="BU354" s="40">
        <v>19943.200438598553</v>
      </c>
      <c r="BV354" s="52">
        <v>5670.0707940767497</v>
      </c>
      <c r="BW354" s="674">
        <v>12564.315587672736</v>
      </c>
      <c r="BX354" s="40">
        <v>15107.704779662768</v>
      </c>
      <c r="BY354" s="52">
        <v>2543.3891919900325</v>
      </c>
      <c r="BZ354" s="674">
        <v>9852.8921366813047</v>
      </c>
      <c r="CA354" s="40">
        <v>5411.4098675893802</v>
      </c>
      <c r="CB354" s="52">
        <v>-4441.4822690919245</v>
      </c>
      <c r="CC354" s="674">
        <v>653.05992429151797</v>
      </c>
      <c r="CD354" s="40">
        <v>686.37973339775192</v>
      </c>
      <c r="CE354" s="52">
        <v>33.319809106233947</v>
      </c>
      <c r="CF354" s="674">
        <v>79.8174176700022</v>
      </c>
      <c r="CG354" s="40">
        <v>0</v>
      </c>
      <c r="CH354" s="52">
        <v>-79.8174176700022</v>
      </c>
      <c r="CI354" s="674">
        <v>3377.2403305696207</v>
      </c>
      <c r="CJ354" s="40">
        <v>2615.4851053213756</v>
      </c>
      <c r="CK354" s="52">
        <v>-761.7552252482451</v>
      </c>
      <c r="CL354" s="674">
        <v>0</v>
      </c>
      <c r="CM354" s="40">
        <v>0</v>
      </c>
      <c r="CN354" s="52">
        <v>0</v>
      </c>
      <c r="CO354" s="39">
        <v>3377.2403305696207</v>
      </c>
      <c r="CP354" s="40">
        <v>2615.4851053213756</v>
      </c>
      <c r="CQ354" s="52">
        <v>-761.7552252482451</v>
      </c>
      <c r="CR354" s="72">
        <v>108268.84947140308</v>
      </c>
      <c r="CS354" s="5">
        <v>85554.618126517831</v>
      </c>
      <c r="CT354" s="52">
        <v>-22714.231344885251</v>
      </c>
      <c r="CU354" s="77">
        <v>129922.6193656837</v>
      </c>
      <c r="CV354" s="65">
        <v>102665.54175182139</v>
      </c>
      <c r="CW354" s="35">
        <v>-27257.077613862304</v>
      </c>
      <c r="CX354" s="73">
        <v>6507.5058709158629</v>
      </c>
      <c r="CY354" s="40">
        <v>33764.583484778144</v>
      </c>
      <c r="CZ354" s="52">
        <v>27257.077613862282</v>
      </c>
      <c r="DA354" s="150">
        <v>-19392.160406753417</v>
      </c>
      <c r="DB354" s="2">
        <v>1</v>
      </c>
      <c r="DC354" s="675">
        <v>22035.5</v>
      </c>
      <c r="DD354" s="675">
        <v>2313.37</v>
      </c>
      <c r="DE354" s="675">
        <v>12129.624759766644</v>
      </c>
      <c r="DF354" s="675">
        <v>268.81705067177268</v>
      </c>
      <c r="DG354" s="321">
        <v>7864.917207108876</v>
      </c>
      <c r="DH354" s="40">
        <v>136419.75835132541</v>
      </c>
      <c r="DI354" s="422">
        <v>11950.428189561584</v>
      </c>
      <c r="DJ354" s="306">
        <v>4.3275805873427178</v>
      </c>
      <c r="DK354" s="306">
        <v>4.3275805873427178</v>
      </c>
      <c r="DL354" s="306">
        <v>3.7072582943394874</v>
      </c>
      <c r="DM354" s="28">
        <v>9905.8752402333557</v>
      </c>
      <c r="DN354" s="28">
        <v>2044.5529493282272</v>
      </c>
      <c r="DO354" s="423">
        <v>11950.428189561582</v>
      </c>
      <c r="DP354" s="94">
        <v>0</v>
      </c>
      <c r="DQ354" s="28">
        <v>11950.428189561582</v>
      </c>
      <c r="DR354" s="318"/>
      <c r="DT354" s="8"/>
      <c r="DU354" s="5"/>
      <c r="DX354" s="5">
        <v>34327.596010877372</v>
      </c>
      <c r="DY354" s="5">
        <v>8119.2</v>
      </c>
      <c r="DZ354" s="159">
        <v>2965.3155443241235</v>
      </c>
      <c r="EB354" s="676">
        <v>-2100.3315811978109</v>
      </c>
      <c r="EC354" s="676">
        <v>-2252.9259337757267</v>
      </c>
      <c r="ED354" s="676">
        <v>-471.82967862748956</v>
      </c>
      <c r="EE354" s="676">
        <v>-849.21496334435869</v>
      </c>
      <c r="EF354" s="676">
        <v>-4579.4598970390107</v>
      </c>
      <c r="EG354" s="676">
        <v>-5297.8295758449322</v>
      </c>
      <c r="EH354" s="676">
        <v>-3846.7316809515996</v>
      </c>
      <c r="EI354" s="676">
        <v>-1147.9798337363263</v>
      </c>
      <c r="EJ354" s="676">
        <v>-403.23051712815504</v>
      </c>
      <c r="EK354" s="676">
        <v>658.26786785815057</v>
      </c>
      <c r="EL354" s="676">
        <v>-2671.9670400740451</v>
      </c>
      <c r="EM354" s="676">
        <v>-4293.8447800009917</v>
      </c>
      <c r="EN354" s="676">
        <v>-27257.077613862293</v>
      </c>
      <c r="EQ354" s="5">
        <v>34327.596010877372</v>
      </c>
      <c r="ER354" s="5">
        <v>8119.2</v>
      </c>
      <c r="ET354" s="318">
        <v>-21455.88756529853</v>
      </c>
      <c r="EU354" s="5">
        <v>2958.2047724073991</v>
      </c>
    </row>
    <row r="355" spans="1:151" x14ac:dyDescent="0.3">
      <c r="A355" s="325">
        <v>150000868</v>
      </c>
      <c r="B355" s="41" t="s">
        <v>801</v>
      </c>
      <c r="C355" s="42" t="s">
        <v>311</v>
      </c>
      <c r="D355" s="27">
        <v>5</v>
      </c>
      <c r="E355" s="293">
        <v>3295.38</v>
      </c>
      <c r="F355" s="305">
        <v>2609.98</v>
      </c>
      <c r="G355" s="508">
        <v>0</v>
      </c>
      <c r="H355" s="677">
        <v>685.4</v>
      </c>
      <c r="I355" s="674">
        <v>10795.73823876871</v>
      </c>
      <c r="J355" s="40">
        <v>8930.5802150273958</v>
      </c>
      <c r="K355" s="52">
        <v>-1865.1580237413145</v>
      </c>
      <c r="L355" s="674">
        <v>2253.7411005028157</v>
      </c>
      <c r="M355" s="40">
        <v>1796.4364828602454</v>
      </c>
      <c r="N355" s="52">
        <v>-457.30461764257029</v>
      </c>
      <c r="O355" s="674">
        <v>4967.4400396542833</v>
      </c>
      <c r="P355" s="40">
        <v>4967.3999999999987</v>
      </c>
      <c r="Q355" s="52">
        <v>-4.0039654284555581E-2</v>
      </c>
      <c r="R355" s="674">
        <v>0</v>
      </c>
      <c r="S355" s="40">
        <v>0</v>
      </c>
      <c r="T355" s="52">
        <v>0</v>
      </c>
      <c r="U355" s="674">
        <v>0</v>
      </c>
      <c r="V355" s="40">
        <v>0</v>
      </c>
      <c r="W355" s="52">
        <v>0</v>
      </c>
      <c r="X355" s="674">
        <v>6957.3080208801357</v>
      </c>
      <c r="Y355" s="40">
        <v>5303.7824840517751</v>
      </c>
      <c r="Z355" s="52">
        <v>-1653.5255368283606</v>
      </c>
      <c r="AA355" s="674">
        <v>395.53679999999997</v>
      </c>
      <c r="AB355" s="40">
        <v>0</v>
      </c>
      <c r="AC355" s="52">
        <v>-395.53679999999997</v>
      </c>
      <c r="AD355" s="674">
        <v>14088.973508832218</v>
      </c>
      <c r="AE355" s="40">
        <v>14001.152984050392</v>
      </c>
      <c r="AF355" s="35">
        <v>-87.820524781825952</v>
      </c>
      <c r="AG355" s="77">
        <v>39458.737708638168</v>
      </c>
      <c r="AH355" s="53">
        <v>34999.352165989803</v>
      </c>
      <c r="AI355" s="52">
        <v>-4459.3855426483642</v>
      </c>
      <c r="AJ355" s="674">
        <v>0</v>
      </c>
      <c r="AK355" s="40">
        <v>0</v>
      </c>
      <c r="AL355" s="52">
        <v>0</v>
      </c>
      <c r="AM355" s="674">
        <v>0</v>
      </c>
      <c r="AN355" s="40">
        <v>0</v>
      </c>
      <c r="AO355" s="52">
        <v>0</v>
      </c>
      <c r="AP355" s="674">
        <v>8633.9230288342769</v>
      </c>
      <c r="AQ355" s="40">
        <v>6718.8607047008754</v>
      </c>
      <c r="AR355" s="52">
        <v>-1915.0623241334015</v>
      </c>
      <c r="AS355" s="674">
        <v>25716.87580140787</v>
      </c>
      <c r="AT355" s="40">
        <v>7154.0832024672845</v>
      </c>
      <c r="AU355" s="54">
        <v>-18562.792598940585</v>
      </c>
      <c r="AV355" s="674">
        <v>2580.0335372470458</v>
      </c>
      <c r="AW355" s="40">
        <v>0</v>
      </c>
      <c r="AX355" s="55">
        <v>-2580.0335372470458</v>
      </c>
      <c r="AY355" s="674">
        <v>3694.6232378037953</v>
      </c>
      <c r="AZ355" s="40">
        <v>0</v>
      </c>
      <c r="BA355" s="35">
        <v>-3694.6232378037953</v>
      </c>
      <c r="BB355" s="674">
        <v>1644.0113491436759</v>
      </c>
      <c r="BC355" s="40">
        <v>0</v>
      </c>
      <c r="BD355" s="55">
        <v>-1644.0113491436759</v>
      </c>
      <c r="BE355" s="674">
        <v>0</v>
      </c>
      <c r="BF355" s="40">
        <v>0</v>
      </c>
      <c r="BG355" s="38">
        <v>0</v>
      </c>
      <c r="BH355" s="674">
        <v>0</v>
      </c>
      <c r="BI355" s="40">
        <v>0</v>
      </c>
      <c r="BJ355" s="55">
        <v>0</v>
      </c>
      <c r="BK355" s="674">
        <v>1657.4568854499857</v>
      </c>
      <c r="BL355" s="40">
        <v>597</v>
      </c>
      <c r="BM355" s="38">
        <v>-1060.4568854499857</v>
      </c>
      <c r="BN355" s="674">
        <v>594.61050531304147</v>
      </c>
      <c r="BO355" s="40">
        <v>0</v>
      </c>
      <c r="BP355" s="55">
        <v>-594.61050531304147</v>
      </c>
      <c r="BQ355" s="77">
        <v>10170.735514957545</v>
      </c>
      <c r="BR355" s="40">
        <v>597</v>
      </c>
      <c r="BS355" s="55">
        <v>-9573.7355149575451</v>
      </c>
      <c r="BT355" s="674">
        <v>35619.525178955264</v>
      </c>
      <c r="BU355" s="40">
        <v>45314.697787981349</v>
      </c>
      <c r="BV355" s="52">
        <v>9695.1726090260854</v>
      </c>
      <c r="BW355" s="674">
        <v>14359.967440222101</v>
      </c>
      <c r="BX355" s="40">
        <v>15441.049077930253</v>
      </c>
      <c r="BY355" s="52">
        <v>1081.0816377081519</v>
      </c>
      <c r="BZ355" s="674">
        <v>22112.201466702063</v>
      </c>
      <c r="CA355" s="40">
        <v>12401.340355803108</v>
      </c>
      <c r="CB355" s="52">
        <v>-9710.8611108989553</v>
      </c>
      <c r="CC355" s="674">
        <v>1114.926134577689</v>
      </c>
      <c r="CD355" s="40">
        <v>1171.8108469752258</v>
      </c>
      <c r="CE355" s="52">
        <v>56.884712397536759</v>
      </c>
      <c r="CF355" s="674">
        <v>136.26701263491444</v>
      </c>
      <c r="CG355" s="40">
        <v>0</v>
      </c>
      <c r="CH355" s="52">
        <v>-136.26701263491444</v>
      </c>
      <c r="CI355" s="674">
        <v>8471.202473897074</v>
      </c>
      <c r="CJ355" s="40">
        <v>8530.64560289168</v>
      </c>
      <c r="CK355" s="52">
        <v>59.443128994606013</v>
      </c>
      <c r="CL355" s="674">
        <v>0</v>
      </c>
      <c r="CM355" s="40">
        <v>0</v>
      </c>
      <c r="CN355" s="52">
        <v>0</v>
      </c>
      <c r="CO355" s="39">
        <v>8471.202473897074</v>
      </c>
      <c r="CP355" s="40">
        <v>8530.64560289168</v>
      </c>
      <c r="CQ355" s="52">
        <v>59.443128994606013</v>
      </c>
      <c r="CR355" s="72">
        <v>165794.36176082699</v>
      </c>
      <c r="CS355" s="5">
        <v>132328.83974473958</v>
      </c>
      <c r="CT355" s="52">
        <v>-33465.522016087401</v>
      </c>
      <c r="CU355" s="77">
        <v>198953.23411299239</v>
      </c>
      <c r="CV355" s="65">
        <v>158794.60769368749</v>
      </c>
      <c r="CW355" s="35">
        <v>-40158.626419304899</v>
      </c>
      <c r="CX355" s="73">
        <v>2033.8176574131107</v>
      </c>
      <c r="CY355" s="40">
        <v>42192.444076718006</v>
      </c>
      <c r="CZ355" s="52">
        <v>40158.626419304892</v>
      </c>
      <c r="DA355" s="150">
        <v>-24176.743571174084</v>
      </c>
      <c r="DB355" s="2">
        <v>1</v>
      </c>
      <c r="DC355" s="675">
        <v>24172.18</v>
      </c>
      <c r="DD355" s="675">
        <v>4940.33</v>
      </c>
      <c r="DE355" s="675">
        <v>9885.1416974966014</v>
      </c>
      <c r="DF355" s="675">
        <v>1603.9530361422258</v>
      </c>
      <c r="DG355" s="321">
        <v>15981.882848130803</v>
      </c>
      <c r="DH355" s="40">
        <v>200971.83822772274</v>
      </c>
      <c r="DI355" s="422">
        <v>17623.415266361175</v>
      </c>
      <c r="DJ355" s="306">
        <v>5.4740029818249178</v>
      </c>
      <c r="DK355" s="306">
        <v>5.4740029818249178</v>
      </c>
      <c r="DL355" s="306">
        <v>4.8677808051616198</v>
      </c>
      <c r="DM355" s="28">
        <v>14287.038302503399</v>
      </c>
      <c r="DN355" s="28">
        <v>3336.3769638577742</v>
      </c>
      <c r="DO355" s="423">
        <v>17623.415266361175</v>
      </c>
      <c r="DP355" s="94">
        <v>0</v>
      </c>
      <c r="DQ355" s="28">
        <v>17623.415266361175</v>
      </c>
      <c r="DR355" s="318"/>
      <c r="DT355" s="8"/>
      <c r="DU355" s="5"/>
      <c r="DX355" s="5">
        <v>43065.133579638496</v>
      </c>
      <c r="DY355" s="5">
        <v>9301.2998429607414</v>
      </c>
      <c r="DZ355" s="159">
        <v>3671.7705256276427</v>
      </c>
      <c r="EB355" s="676">
        <v>-1666.5430751941858</v>
      </c>
      <c r="EC355" s="676">
        <v>410.16059983275773</v>
      </c>
      <c r="ED355" s="676">
        <v>-1283.2508277318611</v>
      </c>
      <c r="EE355" s="676">
        <v>-7254.4480311973366</v>
      </c>
      <c r="EF355" s="676">
        <v>-6666.3964962996924</v>
      </c>
      <c r="EG355" s="676">
        <v>-3969.8639781905877</v>
      </c>
      <c r="EH355" s="676">
        <v>-6601.2076183119516</v>
      </c>
      <c r="EI355" s="676">
        <v>1521.5023590545243</v>
      </c>
      <c r="EJ355" s="676">
        <v>-5170.472030548859</v>
      </c>
      <c r="EK355" s="676">
        <v>-1673.3402304244701</v>
      </c>
      <c r="EL355" s="676">
        <v>-4061.3419185543535</v>
      </c>
      <c r="EM355" s="676">
        <v>-3743.4251717388725</v>
      </c>
      <c r="EN355" s="676">
        <v>-40158.626419304885</v>
      </c>
      <c r="EQ355" s="5">
        <v>43065.133579638496</v>
      </c>
      <c r="ER355" s="5">
        <v>9301.2998429607414</v>
      </c>
      <c r="ET355" s="318">
        <v>34375.92382384144</v>
      </c>
      <c r="EU355" s="5">
        <v>-15693.040975710639</v>
      </c>
    </row>
    <row r="356" spans="1:151" x14ac:dyDescent="0.3">
      <c r="A356" s="325">
        <v>150000869</v>
      </c>
      <c r="B356" s="41" t="s">
        <v>802</v>
      </c>
      <c r="C356" s="42" t="s">
        <v>312</v>
      </c>
      <c r="D356" s="27">
        <v>5</v>
      </c>
      <c r="E356" s="293">
        <v>5761.1900000000005</v>
      </c>
      <c r="F356" s="305">
        <v>4602.8900000000003</v>
      </c>
      <c r="G356" s="508">
        <v>0</v>
      </c>
      <c r="H356" s="677">
        <v>1158.3</v>
      </c>
      <c r="I356" s="674">
        <v>17459.57023912455</v>
      </c>
      <c r="J356" s="40">
        <v>14473.402981736661</v>
      </c>
      <c r="K356" s="52">
        <v>-2986.1672573878895</v>
      </c>
      <c r="L356" s="674">
        <v>4025.9224317216667</v>
      </c>
      <c r="M356" s="40">
        <v>3208.5566484750248</v>
      </c>
      <c r="N356" s="52">
        <v>-817.36578324664197</v>
      </c>
      <c r="O356" s="674">
        <v>7494.4648201936943</v>
      </c>
      <c r="P356" s="40">
        <v>7494.4799999999987</v>
      </c>
      <c r="Q356" s="52">
        <v>1.5179806304331578E-2</v>
      </c>
      <c r="R356" s="674">
        <v>1700.4312608845853</v>
      </c>
      <c r="S356" s="40">
        <v>1700.4300000000003</v>
      </c>
      <c r="T356" s="52">
        <v>-1.2608845850081707E-3</v>
      </c>
      <c r="U356" s="674">
        <v>1137.44470110922</v>
      </c>
      <c r="V356" s="40">
        <v>475.29476615040841</v>
      </c>
      <c r="W356" s="52">
        <v>-662.14993495881163</v>
      </c>
      <c r="X356" s="674">
        <v>16403.515342292896</v>
      </c>
      <c r="Y356" s="40">
        <v>13174.641147145443</v>
      </c>
      <c r="Z356" s="52">
        <v>-3228.8741951474531</v>
      </c>
      <c r="AA356" s="674">
        <v>691.47120000000007</v>
      </c>
      <c r="AB356" s="40">
        <v>0</v>
      </c>
      <c r="AC356" s="52">
        <v>-691.47120000000007</v>
      </c>
      <c r="AD356" s="674">
        <v>24633.378135804393</v>
      </c>
      <c r="AE356" s="40">
        <v>24477.693789542111</v>
      </c>
      <c r="AF356" s="35">
        <v>-155.68434626228191</v>
      </c>
      <c r="AG356" s="77">
        <v>73546.198131131008</v>
      </c>
      <c r="AH356" s="53">
        <v>65004.499333049651</v>
      </c>
      <c r="AI356" s="52">
        <v>-8541.6987980813574</v>
      </c>
      <c r="AJ356" s="674">
        <v>0</v>
      </c>
      <c r="AK356" s="40">
        <v>0</v>
      </c>
      <c r="AL356" s="52">
        <v>0</v>
      </c>
      <c r="AM356" s="674">
        <v>0</v>
      </c>
      <c r="AN356" s="40">
        <v>0</v>
      </c>
      <c r="AO356" s="52">
        <v>0</v>
      </c>
      <c r="AP356" s="674">
        <v>3822.309674223508</v>
      </c>
      <c r="AQ356" s="40">
        <v>3740.7541274785267</v>
      </c>
      <c r="AR356" s="52">
        <v>-81.555546744981257</v>
      </c>
      <c r="AS356" s="674">
        <v>71732.432319733911</v>
      </c>
      <c r="AT356" s="40">
        <v>16191.13</v>
      </c>
      <c r="AU356" s="54">
        <v>-55541.302319733913</v>
      </c>
      <c r="AV356" s="674">
        <v>4338.0372618089859</v>
      </c>
      <c r="AW356" s="40">
        <v>696.52</v>
      </c>
      <c r="AX356" s="55">
        <v>-3641.5172618089859</v>
      </c>
      <c r="AY356" s="674">
        <v>6415.8519121302597</v>
      </c>
      <c r="AZ356" s="40">
        <v>4595</v>
      </c>
      <c r="BA356" s="35">
        <v>-1820.8519121302597</v>
      </c>
      <c r="BB356" s="674">
        <v>2682.3945128878149</v>
      </c>
      <c r="BC356" s="40">
        <v>9892</v>
      </c>
      <c r="BD356" s="55">
        <v>7209.6054871121851</v>
      </c>
      <c r="BE356" s="674">
        <v>2806.1965048266147</v>
      </c>
      <c r="BF356" s="40">
        <v>0</v>
      </c>
      <c r="BG356" s="38">
        <v>-2806.1965048266147</v>
      </c>
      <c r="BH356" s="674">
        <v>1941.7307409133775</v>
      </c>
      <c r="BI356" s="40">
        <v>0</v>
      </c>
      <c r="BJ356" s="55">
        <v>-1941.7307409133775</v>
      </c>
      <c r="BK356" s="674">
        <v>4376.6600000479575</v>
      </c>
      <c r="BL356" s="40">
        <v>8938</v>
      </c>
      <c r="BM356" s="38">
        <v>4561.3399999520425</v>
      </c>
      <c r="BN356" s="674">
        <v>1288.9174645073315</v>
      </c>
      <c r="BO356" s="40">
        <v>0</v>
      </c>
      <c r="BP356" s="55">
        <v>-1288.9174645073315</v>
      </c>
      <c r="BQ356" s="77">
        <v>23849.788397122345</v>
      </c>
      <c r="BR356" s="40">
        <v>24121.52</v>
      </c>
      <c r="BS356" s="55">
        <v>271.73160287765495</v>
      </c>
      <c r="BT356" s="674">
        <v>38456.450354281784</v>
      </c>
      <c r="BU356" s="40">
        <v>46049.180231744736</v>
      </c>
      <c r="BV356" s="52">
        <v>7592.7298774629526</v>
      </c>
      <c r="BW356" s="674">
        <v>31076.825782027816</v>
      </c>
      <c r="BX356" s="40">
        <v>28903.115711648086</v>
      </c>
      <c r="BY356" s="52">
        <v>-2173.7100703797296</v>
      </c>
      <c r="BZ356" s="674">
        <v>21610.756527039761</v>
      </c>
      <c r="CA356" s="40">
        <v>12659.048698055745</v>
      </c>
      <c r="CB356" s="52">
        <v>-8951.7078289840156</v>
      </c>
      <c r="CC356" s="674">
        <v>2447.1683801323857</v>
      </c>
      <c r="CD356" s="40">
        <v>2572.0255031066399</v>
      </c>
      <c r="CE356" s="52">
        <v>124.85712297425425</v>
      </c>
      <c r="CF356" s="674">
        <v>299.09454468171896</v>
      </c>
      <c r="CG356" s="40">
        <v>0</v>
      </c>
      <c r="CH356" s="52">
        <v>-299.09454468171896</v>
      </c>
      <c r="CI356" s="674">
        <v>14519.178516423182</v>
      </c>
      <c r="CJ356" s="40">
        <v>12287.224988593711</v>
      </c>
      <c r="CK356" s="52">
        <v>-2231.9535278294716</v>
      </c>
      <c r="CL356" s="674">
        <v>0</v>
      </c>
      <c r="CM356" s="40">
        <v>0</v>
      </c>
      <c r="CN356" s="52">
        <v>0</v>
      </c>
      <c r="CO356" s="39">
        <v>14519.178516423182</v>
      </c>
      <c r="CP356" s="40">
        <v>12287.224988593711</v>
      </c>
      <c r="CQ356" s="52">
        <v>-2231.9535278294716</v>
      </c>
      <c r="CR356" s="72">
        <v>281360.20262679743</v>
      </c>
      <c r="CS356" s="5">
        <v>211528.4985936771</v>
      </c>
      <c r="CT356" s="52">
        <v>-69831.704033120332</v>
      </c>
      <c r="CU356" s="77">
        <v>337632.24315215688</v>
      </c>
      <c r="CV356" s="65">
        <v>253834.19831241251</v>
      </c>
      <c r="CW356" s="35">
        <v>-83798.044839744369</v>
      </c>
      <c r="CX356" s="73">
        <v>16912.134052618956</v>
      </c>
      <c r="CY356" s="40">
        <v>100710.1788923633</v>
      </c>
      <c r="CZ356" s="52">
        <v>83798.04483974434</v>
      </c>
      <c r="DA356" s="150">
        <v>-16915.401711987535</v>
      </c>
      <c r="DB356" s="2">
        <v>1</v>
      </c>
      <c r="DC356" s="675">
        <v>59274.22</v>
      </c>
      <c r="DD356" s="675">
        <v>10125.140000000001</v>
      </c>
      <c r="DE356" s="675">
        <v>33963.126231452494</v>
      </c>
      <c r="DF356" s="675">
        <v>4651.6064828521421</v>
      </c>
      <c r="DG356" s="321">
        <v>66882.643127756834</v>
      </c>
      <c r="DH356" s="40">
        <v>354516.56008895731</v>
      </c>
      <c r="DI356" s="422">
        <v>30784.627285695369</v>
      </c>
      <c r="DJ356" s="306">
        <v>5.4989569093650967</v>
      </c>
      <c r="DK356" s="306">
        <v>5.4989569093650967</v>
      </c>
      <c r="DL356" s="306">
        <v>4.7254886619596475</v>
      </c>
      <c r="DM356" s="28">
        <v>25311.093768547511</v>
      </c>
      <c r="DN356" s="28">
        <v>5473.5335171478591</v>
      </c>
      <c r="DO356" s="423">
        <v>30784.627285695369</v>
      </c>
      <c r="DP356" s="94">
        <v>0</v>
      </c>
      <c r="DQ356" s="28">
        <v>30784.627285695369</v>
      </c>
      <c r="DR356" s="318"/>
      <c r="DT356" s="8"/>
      <c r="DU356" s="5"/>
      <c r="DX356" s="5">
        <v>114698.66486022751</v>
      </c>
      <c r="DY356" s="5">
        <v>48375.18</v>
      </c>
      <c r="DZ356" s="159">
        <v>9902.4525298028402</v>
      </c>
      <c r="EB356" s="676">
        <v>-4409.9047097674011</v>
      </c>
      <c r="EC356" s="676">
        <v>-9734.9667350401523</v>
      </c>
      <c r="ED356" s="676">
        <v>-4222.0721477138904</v>
      </c>
      <c r="EE356" s="676">
        <v>-9448.7906044536066</v>
      </c>
      <c r="EF356" s="676">
        <v>-5493.5637905246003</v>
      </c>
      <c r="EG356" s="676">
        <v>2195.8491067328869</v>
      </c>
      <c r="EH356" s="676">
        <v>-17196.230973892387</v>
      </c>
      <c r="EI356" s="676">
        <v>-3367.9796666263137</v>
      </c>
      <c r="EJ356" s="676">
        <v>-12169.162253266353</v>
      </c>
      <c r="EK356" s="676">
        <v>-4059.2559155910239</v>
      </c>
      <c r="EL356" s="676">
        <v>-8733.2236201131673</v>
      </c>
      <c r="EM356" s="676">
        <v>-7158.743529488358</v>
      </c>
      <c r="EN356" s="676">
        <v>-83798.044839744369</v>
      </c>
      <c r="EQ356" s="5">
        <v>114698.66486022751</v>
      </c>
      <c r="ER356" s="5">
        <v>48375.18</v>
      </c>
      <c r="ET356" s="318">
        <v>-6669.5994980176074</v>
      </c>
      <c r="EU356" s="5">
        <v>90721.242625774452</v>
      </c>
    </row>
    <row r="357" spans="1:151" x14ac:dyDescent="0.3">
      <c r="A357" s="325">
        <v>150000875</v>
      </c>
      <c r="B357" s="41" t="s">
        <v>803</v>
      </c>
      <c r="C357" s="42" t="s">
        <v>313</v>
      </c>
      <c r="D357" s="27">
        <v>5</v>
      </c>
      <c r="E357" s="293">
        <v>3190.1</v>
      </c>
      <c r="F357" s="305">
        <v>3190.1</v>
      </c>
      <c r="G357" s="508">
        <v>0</v>
      </c>
      <c r="H357" s="677">
        <v>0</v>
      </c>
      <c r="I357" s="674">
        <v>12485.865488119791</v>
      </c>
      <c r="J357" s="40">
        <v>10290.340351867253</v>
      </c>
      <c r="K357" s="52">
        <v>-2195.5251362525378</v>
      </c>
      <c r="L357" s="674">
        <v>2533.4618415089271</v>
      </c>
      <c r="M357" s="40">
        <v>2019.3708955475563</v>
      </c>
      <c r="N357" s="52">
        <v>-514.09094596137083</v>
      </c>
      <c r="O357" s="674">
        <v>4691.6588876460009</v>
      </c>
      <c r="P357" s="40">
        <v>4691.6400000000012</v>
      </c>
      <c r="Q357" s="52">
        <v>-1.8887645999711822E-2</v>
      </c>
      <c r="R357" s="674">
        <v>0</v>
      </c>
      <c r="S357" s="40">
        <v>0</v>
      </c>
      <c r="T357" s="52">
        <v>0</v>
      </c>
      <c r="U357" s="674">
        <v>0</v>
      </c>
      <c r="V357" s="40">
        <v>0</v>
      </c>
      <c r="W357" s="52">
        <v>0</v>
      </c>
      <c r="X357" s="674">
        <v>6880.1362733859769</v>
      </c>
      <c r="Y357" s="40">
        <v>5212.9428227328417</v>
      </c>
      <c r="Z357" s="52">
        <v>-1667.1934506531352</v>
      </c>
      <c r="AA357" s="674">
        <v>382.83</v>
      </c>
      <c r="AB357" s="40">
        <v>0</v>
      </c>
      <c r="AC357" s="52">
        <v>-382.83</v>
      </c>
      <c r="AD357" s="674">
        <v>13677.751385680711</v>
      </c>
      <c r="AE357" s="40">
        <v>13553.847548513115</v>
      </c>
      <c r="AF357" s="35">
        <v>-123.90383716759607</v>
      </c>
      <c r="AG357" s="77">
        <v>40651.703876341409</v>
      </c>
      <c r="AH357" s="53">
        <v>35768.141618660768</v>
      </c>
      <c r="AI357" s="52">
        <v>-4883.5622576806418</v>
      </c>
      <c r="AJ357" s="674">
        <v>0</v>
      </c>
      <c r="AK357" s="40">
        <v>0</v>
      </c>
      <c r="AL357" s="52">
        <v>0</v>
      </c>
      <c r="AM357" s="674">
        <v>0</v>
      </c>
      <c r="AN357" s="40">
        <v>0</v>
      </c>
      <c r="AO357" s="52">
        <v>0</v>
      </c>
      <c r="AP357" s="674">
        <v>9443.3533127874925</v>
      </c>
      <c r="AQ357" s="40">
        <v>7909.4999451867825</v>
      </c>
      <c r="AR357" s="52">
        <v>-1533.85336760071</v>
      </c>
      <c r="AS357" s="674">
        <v>29452.493030201149</v>
      </c>
      <c r="AT357" s="40">
        <v>14146.17</v>
      </c>
      <c r="AU357" s="54">
        <v>-15306.323030201149</v>
      </c>
      <c r="AV357" s="674">
        <v>2784.5412490340191</v>
      </c>
      <c r="AW357" s="40">
        <v>0</v>
      </c>
      <c r="AX357" s="55">
        <v>-2784.5412490340191</v>
      </c>
      <c r="AY357" s="674">
        <v>4153.1381633818482</v>
      </c>
      <c r="AZ357" s="40">
        <v>11112</v>
      </c>
      <c r="BA357" s="35">
        <v>6958.8618366181518</v>
      </c>
      <c r="BB357" s="674">
        <v>1746.8136185879416</v>
      </c>
      <c r="BC357" s="40">
        <v>0</v>
      </c>
      <c r="BD357" s="55">
        <v>-1746.8136185879416</v>
      </c>
      <c r="BE357" s="674">
        <v>0</v>
      </c>
      <c r="BF357" s="40">
        <v>0</v>
      </c>
      <c r="BG357" s="38">
        <v>0</v>
      </c>
      <c r="BH357" s="674">
        <v>0</v>
      </c>
      <c r="BI357" s="40">
        <v>0</v>
      </c>
      <c r="BJ357" s="55">
        <v>0</v>
      </c>
      <c r="BK357" s="674">
        <v>1631.0547191223468</v>
      </c>
      <c r="BL357" s="40">
        <v>0</v>
      </c>
      <c r="BM357" s="38">
        <v>-1631.0547191223468</v>
      </c>
      <c r="BN357" s="674">
        <v>1115.7274050473254</v>
      </c>
      <c r="BO357" s="40">
        <v>0</v>
      </c>
      <c r="BP357" s="55">
        <v>-1115.7274050473254</v>
      </c>
      <c r="BQ357" s="77">
        <v>11431.275155173482</v>
      </c>
      <c r="BR357" s="40">
        <v>11112</v>
      </c>
      <c r="BS357" s="55">
        <v>-319.27515517348183</v>
      </c>
      <c r="BT357" s="674">
        <v>24111.739268657358</v>
      </c>
      <c r="BU357" s="40">
        <v>26801.264071169029</v>
      </c>
      <c r="BV357" s="52">
        <v>2689.5248025116707</v>
      </c>
      <c r="BW357" s="674">
        <v>15558.777003702628</v>
      </c>
      <c r="BX357" s="40">
        <v>13981.618512932948</v>
      </c>
      <c r="BY357" s="52">
        <v>-1577.1584907696797</v>
      </c>
      <c r="BZ357" s="674">
        <v>11823.001339926705</v>
      </c>
      <c r="CA357" s="40">
        <v>5914.223493650682</v>
      </c>
      <c r="CB357" s="52">
        <v>-5908.7778462760225</v>
      </c>
      <c r="CC357" s="674">
        <v>819.79862836594828</v>
      </c>
      <c r="CD357" s="40">
        <v>861.62562277590143</v>
      </c>
      <c r="CE357" s="52">
        <v>41.826994409953159</v>
      </c>
      <c r="CF357" s="674">
        <v>100.19633281978997</v>
      </c>
      <c r="CG357" s="40">
        <v>0</v>
      </c>
      <c r="CH357" s="52">
        <v>-100.19633281978997</v>
      </c>
      <c r="CI357" s="674">
        <v>6669.1990353458523</v>
      </c>
      <c r="CJ357" s="40">
        <v>5522.2722471890356</v>
      </c>
      <c r="CK357" s="52">
        <v>-1146.9267881568167</v>
      </c>
      <c r="CL357" s="674">
        <v>0</v>
      </c>
      <c r="CM357" s="40">
        <v>0</v>
      </c>
      <c r="CN357" s="52">
        <v>0</v>
      </c>
      <c r="CO357" s="39">
        <v>6669.1990353458523</v>
      </c>
      <c r="CP357" s="40">
        <v>5522.2722471890356</v>
      </c>
      <c r="CQ357" s="52">
        <v>-1146.9267881568167</v>
      </c>
      <c r="CR357" s="72">
        <v>150061.5369833218</v>
      </c>
      <c r="CS357" s="5">
        <v>122016.81551156516</v>
      </c>
      <c r="CT357" s="52">
        <v>-28044.721471756638</v>
      </c>
      <c r="CU357" s="77">
        <v>180073.84437998614</v>
      </c>
      <c r="CV357" s="65">
        <v>146420.17861387818</v>
      </c>
      <c r="CW357" s="35">
        <v>-33653.665766107966</v>
      </c>
      <c r="CX357" s="73">
        <v>4734.4979893508653</v>
      </c>
      <c r="CY357" s="40">
        <v>38388.163755458867</v>
      </c>
      <c r="CZ357" s="52">
        <v>33653.665766108003</v>
      </c>
      <c r="DA357" s="150">
        <v>16258.553921092898</v>
      </c>
      <c r="DB357" s="2">
        <v>1</v>
      </c>
      <c r="DC357" s="675">
        <v>32853.050000000003</v>
      </c>
      <c r="DD357" s="675">
        <v>0</v>
      </c>
      <c r="DE357" s="675">
        <v>16666.74966133523</v>
      </c>
      <c r="DF357" s="675">
        <v>0</v>
      </c>
      <c r="DG357" s="321">
        <v>49912.219687200894</v>
      </c>
      <c r="DH357" s="40">
        <v>184794.2936991337</v>
      </c>
      <c r="DI357" s="422">
        <v>16186.300338664772</v>
      </c>
      <c r="DJ357" s="306">
        <v>5.0739162843374102</v>
      </c>
      <c r="DK357" s="306">
        <v>5.0739162843374102</v>
      </c>
      <c r="DL357" s="306">
        <v>4.5259470896596294</v>
      </c>
      <c r="DM357" s="28">
        <v>16186.300338664772</v>
      </c>
      <c r="DN357" s="28">
        <v>0</v>
      </c>
      <c r="DO357" s="423">
        <v>16186.300338664772</v>
      </c>
      <c r="DP357" s="94">
        <v>0</v>
      </c>
      <c r="DQ357" s="28">
        <v>16186.300338664772</v>
      </c>
      <c r="DR357" s="318"/>
      <c r="DT357" s="8"/>
      <c r="DU357" s="5"/>
      <c r="DX357" s="5">
        <v>49060.521822449555</v>
      </c>
      <c r="DY357" s="5">
        <v>30309.803999999996</v>
      </c>
      <c r="DZ357" s="159">
        <v>4531.5900667123778</v>
      </c>
      <c r="EB357" s="676">
        <v>6835.6597770025819</v>
      </c>
      <c r="EC357" s="676">
        <v>8197.0109773050735</v>
      </c>
      <c r="ED357" s="676">
        <v>2366.3411002123612</v>
      </c>
      <c r="EE357" s="676">
        <v>-8669.7699351535339</v>
      </c>
      <c r="EF357" s="676">
        <v>-7965.2633785262306</v>
      </c>
      <c r="EG357" s="676">
        <v>-8782.8373584573419</v>
      </c>
      <c r="EH357" s="676">
        <v>-7505.0062865918808</v>
      </c>
      <c r="EI357" s="676">
        <v>5114.5856543378577</v>
      </c>
      <c r="EJ357" s="676">
        <v>-4951.3875782337</v>
      </c>
      <c r="EK357" s="676">
        <v>-3139.7837235232255</v>
      </c>
      <c r="EL357" s="676">
        <v>-7175.2276158946715</v>
      </c>
      <c r="EM357" s="676">
        <v>-7977.9873985852937</v>
      </c>
      <c r="EN357" s="676">
        <v>-33653.665766107995</v>
      </c>
      <c r="EQ357" s="5">
        <v>49060.521822449555</v>
      </c>
      <c r="ER357" s="5">
        <v>30309.803999999996</v>
      </c>
      <c r="ET357" s="318">
        <v>1092.8807630894862</v>
      </c>
      <c r="EU357" s="5">
        <v>-10921.661075888582</v>
      </c>
    </row>
    <row r="358" spans="1:151" x14ac:dyDescent="0.3">
      <c r="A358" s="325">
        <v>150000871</v>
      </c>
      <c r="B358" s="41" t="s">
        <v>804</v>
      </c>
      <c r="C358" s="42" t="s">
        <v>141</v>
      </c>
      <c r="D358" s="27">
        <v>1</v>
      </c>
      <c r="E358" s="293">
        <v>152.6</v>
      </c>
      <c r="F358" s="305">
        <v>152.6</v>
      </c>
      <c r="G358" s="508">
        <v>0</v>
      </c>
      <c r="H358" s="677">
        <v>0</v>
      </c>
      <c r="I358" s="674">
        <v>0</v>
      </c>
      <c r="J358" s="40">
        <v>0</v>
      </c>
      <c r="K358" s="52">
        <v>0</v>
      </c>
      <c r="L358" s="674">
        <v>0</v>
      </c>
      <c r="M358" s="40">
        <v>0</v>
      </c>
      <c r="N358" s="52">
        <v>0</v>
      </c>
      <c r="O358" s="674">
        <v>0</v>
      </c>
      <c r="P358" s="40">
        <v>0</v>
      </c>
      <c r="Q358" s="52">
        <v>0</v>
      </c>
      <c r="R358" s="674">
        <v>0</v>
      </c>
      <c r="S358" s="40">
        <v>0</v>
      </c>
      <c r="T358" s="52">
        <v>0</v>
      </c>
      <c r="U358" s="674">
        <v>0</v>
      </c>
      <c r="V358" s="40">
        <v>0</v>
      </c>
      <c r="W358" s="52">
        <v>0</v>
      </c>
      <c r="X358" s="674">
        <v>0</v>
      </c>
      <c r="Y358" s="40">
        <v>0</v>
      </c>
      <c r="Z358" s="52">
        <v>0</v>
      </c>
      <c r="AA358" s="674">
        <v>17.759999999999998</v>
      </c>
      <c r="AB358" s="40">
        <v>0</v>
      </c>
      <c r="AC358" s="52">
        <v>-17.759999999999998</v>
      </c>
      <c r="AD358" s="674">
        <v>142.14747402646867</v>
      </c>
      <c r="AE358" s="40">
        <v>648.35495310589044</v>
      </c>
      <c r="AF358" s="35">
        <v>506.20747907942177</v>
      </c>
      <c r="AG358" s="77">
        <v>159.90747402646866</v>
      </c>
      <c r="AH358" s="53">
        <v>648.35495310589044</v>
      </c>
      <c r="AI358" s="52">
        <v>488.44747907942178</v>
      </c>
      <c r="AJ358" s="674">
        <v>0</v>
      </c>
      <c r="AK358" s="40">
        <v>0</v>
      </c>
      <c r="AL358" s="52">
        <v>0</v>
      </c>
      <c r="AM358" s="674">
        <v>0</v>
      </c>
      <c r="AN358" s="40">
        <v>0</v>
      </c>
      <c r="AO358" s="52">
        <v>0</v>
      </c>
      <c r="AP358" s="674">
        <v>269.81009465107115</v>
      </c>
      <c r="AQ358" s="40">
        <v>224.38224961495439</v>
      </c>
      <c r="AR358" s="52">
        <v>-45.427845036116764</v>
      </c>
      <c r="AS358" s="674">
        <v>1925.5167067930863</v>
      </c>
      <c r="AT358" s="40">
        <v>356.27</v>
      </c>
      <c r="AU358" s="54">
        <v>-1569.2467067930863</v>
      </c>
      <c r="AV358" s="674">
        <v>0</v>
      </c>
      <c r="AW358" s="40">
        <v>0</v>
      </c>
      <c r="AX358" s="55">
        <v>0</v>
      </c>
      <c r="AY358" s="674">
        <v>0</v>
      </c>
      <c r="AZ358" s="40">
        <v>0</v>
      </c>
      <c r="BA358" s="35">
        <v>0</v>
      </c>
      <c r="BB358" s="674">
        <v>0</v>
      </c>
      <c r="BC358" s="40">
        <v>0</v>
      </c>
      <c r="BD358" s="55">
        <v>0</v>
      </c>
      <c r="BE358" s="674">
        <v>0</v>
      </c>
      <c r="BF358" s="40">
        <v>0</v>
      </c>
      <c r="BG358" s="38">
        <v>0</v>
      </c>
      <c r="BH358" s="674">
        <v>0</v>
      </c>
      <c r="BI358" s="40">
        <v>0</v>
      </c>
      <c r="BJ358" s="55">
        <v>0</v>
      </c>
      <c r="BK358" s="674">
        <v>0</v>
      </c>
      <c r="BL358" s="40">
        <v>0</v>
      </c>
      <c r="BM358" s="38">
        <v>0</v>
      </c>
      <c r="BN358" s="674">
        <v>4.4399999999999995</v>
      </c>
      <c r="BO358" s="40">
        <v>0</v>
      </c>
      <c r="BP358" s="55">
        <v>-4.4399999999999995</v>
      </c>
      <c r="BQ358" s="77">
        <v>4.4399999999999995</v>
      </c>
      <c r="BR358" s="40">
        <v>0</v>
      </c>
      <c r="BS358" s="55">
        <v>-4.4399999999999995</v>
      </c>
      <c r="BT358" s="674">
        <v>0</v>
      </c>
      <c r="BU358" s="40">
        <v>0</v>
      </c>
      <c r="BV358" s="52">
        <v>0</v>
      </c>
      <c r="BW358" s="674">
        <v>0</v>
      </c>
      <c r="BX358" s="40">
        <v>3.47114332394497</v>
      </c>
      <c r="BY358" s="52">
        <v>3.47114332394497</v>
      </c>
      <c r="BZ358" s="674">
        <v>0</v>
      </c>
      <c r="CA358" s="40">
        <v>0</v>
      </c>
      <c r="CB358" s="52">
        <v>0</v>
      </c>
      <c r="CC358" s="674">
        <v>0</v>
      </c>
      <c r="CD358" s="40">
        <v>0</v>
      </c>
      <c r="CE358" s="52">
        <v>0</v>
      </c>
      <c r="CF358" s="674">
        <v>0</v>
      </c>
      <c r="CG358" s="40">
        <v>0</v>
      </c>
      <c r="CH358" s="52">
        <v>0</v>
      </c>
      <c r="CI358" s="674">
        <v>0</v>
      </c>
      <c r="CJ358" s="40">
        <v>0</v>
      </c>
      <c r="CK358" s="52">
        <v>0</v>
      </c>
      <c r="CL358" s="674">
        <v>0</v>
      </c>
      <c r="CM358" s="40">
        <v>0</v>
      </c>
      <c r="CN358" s="52">
        <v>0</v>
      </c>
      <c r="CO358" s="39">
        <v>0</v>
      </c>
      <c r="CP358" s="40">
        <v>0</v>
      </c>
      <c r="CQ358" s="52">
        <v>0</v>
      </c>
      <c r="CR358" s="72">
        <v>2359.6742754706261</v>
      </c>
      <c r="CS358" s="5">
        <v>1232.4783460447898</v>
      </c>
      <c r="CT358" s="52">
        <v>-1127.1959294258363</v>
      </c>
      <c r="CU358" s="77">
        <v>2831.609130564751</v>
      </c>
      <c r="CV358" s="65">
        <v>1478.9740152537477</v>
      </c>
      <c r="CW358" s="35">
        <v>-1352.6351153110033</v>
      </c>
      <c r="CX358" s="73">
        <v>85.247878641070514</v>
      </c>
      <c r="CY358" s="40">
        <v>1437.882993952074</v>
      </c>
      <c r="CZ358" s="52">
        <v>1352.6351153110036</v>
      </c>
      <c r="DA358" s="150">
        <v>-3884.5141914928699</v>
      </c>
      <c r="DB358" s="2">
        <v>2</v>
      </c>
      <c r="DC358" s="675">
        <v>431.96</v>
      </c>
      <c r="DD358" s="675">
        <v>0</v>
      </c>
      <c r="DE358" s="675">
        <v>174.26146119396958</v>
      </c>
      <c r="DF358" s="675">
        <v>0</v>
      </c>
      <c r="DG358" s="321">
        <v>-2531.8790761818664</v>
      </c>
      <c r="DH358" s="40">
        <v>2916.6424752316234</v>
      </c>
      <c r="DI358" s="422">
        <v>257.6985388060304</v>
      </c>
      <c r="DJ358" s="306">
        <v>1.6887191271692688</v>
      </c>
      <c r="DK358" s="306">
        <v>1.6887191271692688</v>
      </c>
      <c r="DL358" s="306">
        <v>1.6887191271692688</v>
      </c>
      <c r="DM358" s="28">
        <v>257.6985388060304</v>
      </c>
      <c r="DN358" s="28">
        <v>0</v>
      </c>
      <c r="DO358" s="423">
        <v>257.6985388060304</v>
      </c>
      <c r="DP358" s="94">
        <v>0</v>
      </c>
      <c r="DQ358" s="28">
        <v>257.6985388060304</v>
      </c>
      <c r="DR358" s="318"/>
      <c r="DT358" s="8"/>
      <c r="DU358" s="5"/>
      <c r="DX358" s="5">
        <v>2315.9480481517035</v>
      </c>
      <c r="DY358" s="5">
        <v>427.52399999999994</v>
      </c>
      <c r="DZ358" s="159">
        <v>223.00267930443968</v>
      </c>
      <c r="EB358" s="676">
        <v>42.680062027129452</v>
      </c>
      <c r="EC358" s="676">
        <v>-107.56911888782668</v>
      </c>
      <c r="ED358" s="676">
        <v>-104.80605727445024</v>
      </c>
      <c r="EE358" s="676">
        <v>-205.51804017609294</v>
      </c>
      <c r="EF358" s="676">
        <v>-197.60098594024089</v>
      </c>
      <c r="EG358" s="676">
        <v>226.85302795190702</v>
      </c>
      <c r="EH358" s="676">
        <v>-68.103354534568865</v>
      </c>
      <c r="EI358" s="676">
        <v>-175.53292715797238</v>
      </c>
      <c r="EJ358" s="676">
        <v>-200.0865758030117</v>
      </c>
      <c r="EK358" s="676">
        <v>-170.36930497553033</v>
      </c>
      <c r="EL358" s="676">
        <v>-190.10520772608515</v>
      </c>
      <c r="EM358" s="676">
        <v>-202.47663281426074</v>
      </c>
      <c r="EN358" s="676">
        <v>-1352.6351153110033</v>
      </c>
      <c r="EQ358" s="5">
        <v>2315.9480481517035</v>
      </c>
      <c r="ER358" s="5">
        <v>427.52399999999994</v>
      </c>
      <c r="ET358" s="318">
        <v>-858.87755948045435</v>
      </c>
      <c r="EU358" s="5">
        <v>-1001.8129132708582</v>
      </c>
    </row>
    <row r="359" spans="1:151" x14ac:dyDescent="0.3">
      <c r="A359" s="325">
        <v>150000886</v>
      </c>
      <c r="B359" s="41" t="s">
        <v>805</v>
      </c>
      <c r="C359" s="42" t="s">
        <v>397</v>
      </c>
      <c r="D359" s="27">
        <v>9</v>
      </c>
      <c r="E359" s="293">
        <v>2133.27</v>
      </c>
      <c r="F359" s="305">
        <v>2133.27</v>
      </c>
      <c r="G359" s="508">
        <v>0</v>
      </c>
      <c r="H359" s="677">
        <v>0</v>
      </c>
      <c r="I359" s="674">
        <v>6639.0551021847677</v>
      </c>
      <c r="J359" s="40">
        <v>7302.0359862487949</v>
      </c>
      <c r="K359" s="52">
        <v>662.98088406402712</v>
      </c>
      <c r="L359" s="674">
        <v>978.07306818129177</v>
      </c>
      <c r="M359" s="40">
        <v>1070.5335907743925</v>
      </c>
      <c r="N359" s="52">
        <v>92.460522593100677</v>
      </c>
      <c r="O359" s="674">
        <v>2742.161938597475</v>
      </c>
      <c r="P359" s="40">
        <v>2742.1499999999996</v>
      </c>
      <c r="Q359" s="52">
        <v>-1.1938597475364077E-2</v>
      </c>
      <c r="R359" s="674">
        <v>694.04233240464998</v>
      </c>
      <c r="S359" s="40">
        <v>694.02</v>
      </c>
      <c r="T359" s="52">
        <v>-2.2332404650001081E-2</v>
      </c>
      <c r="U359" s="674">
        <v>357.56258567742054</v>
      </c>
      <c r="V359" s="40">
        <v>1207.6831929102304</v>
      </c>
      <c r="W359" s="52">
        <v>850.1206072328099</v>
      </c>
      <c r="X359" s="674">
        <v>3719.2728965371762</v>
      </c>
      <c r="Y359" s="40">
        <v>5296.8604731183414</v>
      </c>
      <c r="Z359" s="52">
        <v>1577.5875765811652</v>
      </c>
      <c r="AA359" s="674">
        <v>255.99239999999998</v>
      </c>
      <c r="AB359" s="40">
        <v>0</v>
      </c>
      <c r="AC359" s="52">
        <v>-255.99239999999998</v>
      </c>
      <c r="AD359" s="674">
        <v>9146.4277915496095</v>
      </c>
      <c r="AE359" s="40">
        <v>9063.6708441166629</v>
      </c>
      <c r="AF359" s="35">
        <v>-82.756947432946617</v>
      </c>
      <c r="AG359" s="77">
        <v>24532.588115132388</v>
      </c>
      <c r="AH359" s="53">
        <v>27376.954087168422</v>
      </c>
      <c r="AI359" s="52">
        <v>2844.3659720360338</v>
      </c>
      <c r="AJ359" s="674">
        <v>27355.201801342035</v>
      </c>
      <c r="AK359" s="40">
        <v>27175.597390986924</v>
      </c>
      <c r="AL359" s="52">
        <v>-179.6044103551103</v>
      </c>
      <c r="AM359" s="674">
        <v>0</v>
      </c>
      <c r="AN359" s="40">
        <v>0</v>
      </c>
      <c r="AO359" s="52">
        <v>0</v>
      </c>
      <c r="AP359" s="674">
        <v>2158.4807572085692</v>
      </c>
      <c r="AQ359" s="40">
        <v>1776.4672250082633</v>
      </c>
      <c r="AR359" s="52">
        <v>-382.01353220030592</v>
      </c>
      <c r="AS359" s="674">
        <v>27843.090695978717</v>
      </c>
      <c r="AT359" s="40">
        <v>9893.114668468379</v>
      </c>
      <c r="AU359" s="54">
        <v>-17949.97602751034</v>
      </c>
      <c r="AV359" s="674">
        <v>954.25555952668117</v>
      </c>
      <c r="AW359" s="40">
        <v>0</v>
      </c>
      <c r="AX359" s="55">
        <v>-954.25555952668117</v>
      </c>
      <c r="AY359" s="674">
        <v>1020.5744584015943</v>
      </c>
      <c r="AZ359" s="40">
        <v>0</v>
      </c>
      <c r="BA359" s="35">
        <v>-1020.5744584015943</v>
      </c>
      <c r="BB359" s="674">
        <v>726.23908179160503</v>
      </c>
      <c r="BC359" s="40">
        <v>0</v>
      </c>
      <c r="BD359" s="55">
        <v>-726.23908179160503</v>
      </c>
      <c r="BE359" s="674">
        <v>1006.0267082309331</v>
      </c>
      <c r="BF359" s="40">
        <v>0</v>
      </c>
      <c r="BG359" s="38">
        <v>-1006.0267082309331</v>
      </c>
      <c r="BH359" s="674">
        <v>432.20605023638166</v>
      </c>
      <c r="BI359" s="40">
        <v>0</v>
      </c>
      <c r="BJ359" s="55">
        <v>-432.20605023638166</v>
      </c>
      <c r="BK359" s="674">
        <v>525.153699293052</v>
      </c>
      <c r="BL359" s="40">
        <v>0</v>
      </c>
      <c r="BM359" s="38">
        <v>-525.153699293052</v>
      </c>
      <c r="BN359" s="674">
        <v>63.998099999999994</v>
      </c>
      <c r="BO359" s="40">
        <v>0</v>
      </c>
      <c r="BP359" s="55">
        <v>-63.998099999999994</v>
      </c>
      <c r="BQ359" s="77">
        <v>4728.4536574802478</v>
      </c>
      <c r="BR359" s="40">
        <v>0</v>
      </c>
      <c r="BS359" s="55">
        <v>-4728.4536574802478</v>
      </c>
      <c r="BT359" s="674">
        <v>37785.457432946598</v>
      </c>
      <c r="BU359" s="40">
        <v>34626.915203058903</v>
      </c>
      <c r="BV359" s="52">
        <v>-3158.5422298876947</v>
      </c>
      <c r="BW359" s="674">
        <v>17597.700268014683</v>
      </c>
      <c r="BX359" s="40">
        <v>16766.824998938591</v>
      </c>
      <c r="BY359" s="52">
        <v>-830.87526907609208</v>
      </c>
      <c r="BZ359" s="674">
        <v>5181.039401098702</v>
      </c>
      <c r="CA359" s="40">
        <v>8688.5344754370053</v>
      </c>
      <c r="CB359" s="52">
        <v>3507.4950743383033</v>
      </c>
      <c r="CC359" s="674">
        <v>148.22979839952515</v>
      </c>
      <c r="CD359" s="40">
        <v>146.03824114845787</v>
      </c>
      <c r="CE359" s="52">
        <v>-2.1915572510672803</v>
      </c>
      <c r="CF359" s="674">
        <v>16.982429291489836</v>
      </c>
      <c r="CG359" s="40">
        <v>0</v>
      </c>
      <c r="CH359" s="52">
        <v>-16.982429291489836</v>
      </c>
      <c r="CI359" s="674">
        <v>9906.5552363930965</v>
      </c>
      <c r="CJ359" s="40">
        <v>5870.331026096027</v>
      </c>
      <c r="CK359" s="52">
        <v>-4036.2242102970695</v>
      </c>
      <c r="CL359" s="674">
        <v>2740.1325515867738</v>
      </c>
      <c r="CM359" s="40">
        <v>4807.6482347003057</v>
      </c>
      <c r="CN359" s="52">
        <v>2067.5156831135318</v>
      </c>
      <c r="CO359" s="39">
        <v>12646.68778797987</v>
      </c>
      <c r="CP359" s="40">
        <v>10677.979260796332</v>
      </c>
      <c r="CQ359" s="52">
        <v>-1968.7085271835385</v>
      </c>
      <c r="CR359" s="72">
        <v>159993.91214487283</v>
      </c>
      <c r="CS359" s="5">
        <v>137128.42555101129</v>
      </c>
      <c r="CT359" s="52">
        <v>-22865.48659386154</v>
      </c>
      <c r="CU359" s="77">
        <v>191992.69457384737</v>
      </c>
      <c r="CV359" s="65">
        <v>164554.11066121355</v>
      </c>
      <c r="CW359" s="35">
        <v>-27438.583912633825</v>
      </c>
      <c r="CX359" s="73">
        <v>4305.6239890499146</v>
      </c>
      <c r="CY359" s="40">
        <v>31744.207901683752</v>
      </c>
      <c r="CZ359" s="52">
        <v>27438.58391263384</v>
      </c>
      <c r="DA359" s="150">
        <v>90537.27148318346</v>
      </c>
      <c r="DB359" s="2">
        <v>2</v>
      </c>
      <c r="DC359" s="675">
        <v>73184.84</v>
      </c>
      <c r="DD359" s="675">
        <v>0</v>
      </c>
      <c r="DE359" s="675">
        <v>56072.683906327999</v>
      </c>
      <c r="DF359" s="675">
        <v>0</v>
      </c>
      <c r="DG359" s="321">
        <v>117975.85539581731</v>
      </c>
      <c r="DH359" s="40">
        <v>196283.13639796863</v>
      </c>
      <c r="DI359" s="422">
        <v>17112.156093671998</v>
      </c>
      <c r="DJ359" s="306">
        <v>6.5566543950479614</v>
      </c>
      <c r="DK359" s="306">
        <v>8.0215613090101101</v>
      </c>
      <c r="DL359" s="306">
        <v>5.6380448354316508</v>
      </c>
      <c r="DM359" s="28">
        <v>17112.156093671998</v>
      </c>
      <c r="DN359" s="28">
        <v>0</v>
      </c>
      <c r="DO359" s="423">
        <v>17112.156093671998</v>
      </c>
      <c r="DP359" s="94">
        <v>0</v>
      </c>
      <c r="DQ359" s="28">
        <v>17112.156093671998</v>
      </c>
      <c r="DR359" s="318"/>
      <c r="DT359" s="8"/>
      <c r="DU359" s="5"/>
      <c r="DX359" s="5">
        <v>39085.853224150756</v>
      </c>
      <c r="DY359" s="5">
        <v>11871.737602162055</v>
      </c>
      <c r="DZ359" s="159">
        <v>3393.8779802331305</v>
      </c>
      <c r="EB359" s="676">
        <v>8189.4537217424295</v>
      </c>
      <c r="EC359" s="676">
        <v>-3008.9494157692698</v>
      </c>
      <c r="ED359" s="676">
        <v>-451.13234211966665</v>
      </c>
      <c r="EE359" s="676">
        <v>-6376.1982198545011</v>
      </c>
      <c r="EF359" s="676">
        <v>-3827.8913789716808</v>
      </c>
      <c r="EG359" s="676">
        <v>-4864.9060429202982</v>
      </c>
      <c r="EH359" s="676">
        <v>-2852.1839494434698</v>
      </c>
      <c r="EI359" s="676">
        <v>-3350.4476511385419</v>
      </c>
      <c r="EJ359" s="676">
        <v>-3474.2219464575774</v>
      </c>
      <c r="EK359" s="676">
        <v>-683.53380468756586</v>
      </c>
      <c r="EL359" s="676">
        <v>-2516.8189203232232</v>
      </c>
      <c r="EM359" s="676">
        <v>-4221.7539626904818</v>
      </c>
      <c r="EN359" s="676">
        <v>-27438.583912633847</v>
      </c>
      <c r="EQ359" s="5">
        <v>39085.853224150756</v>
      </c>
      <c r="ER359" s="5">
        <v>11871.737602162055</v>
      </c>
      <c r="ET359" s="318">
        <v>147929.38974346415</v>
      </c>
      <c r="EU359" s="5">
        <v>-15459.534347646812</v>
      </c>
    </row>
    <row r="360" spans="1:151" x14ac:dyDescent="0.3">
      <c r="A360" s="325">
        <v>150000887</v>
      </c>
      <c r="B360" s="41" t="s">
        <v>806</v>
      </c>
      <c r="C360" s="42" t="s">
        <v>398</v>
      </c>
      <c r="D360" s="27">
        <v>9</v>
      </c>
      <c r="E360" s="293">
        <v>6420.63</v>
      </c>
      <c r="F360" s="305">
        <v>6420.63</v>
      </c>
      <c r="G360" s="508">
        <v>653.79999999999995</v>
      </c>
      <c r="H360" s="677">
        <v>0</v>
      </c>
      <c r="I360" s="674">
        <v>22635.190395850332</v>
      </c>
      <c r="J360" s="40">
        <v>24815.367269506307</v>
      </c>
      <c r="K360" s="52">
        <v>2180.1768736559752</v>
      </c>
      <c r="L360" s="674">
        <v>3539.1941194452238</v>
      </c>
      <c r="M360" s="40">
        <v>3873.742231730992</v>
      </c>
      <c r="N360" s="52">
        <v>334.54811228576818</v>
      </c>
      <c r="O360" s="674">
        <v>9074.506912752182</v>
      </c>
      <c r="P360" s="40">
        <v>9074.4900000000016</v>
      </c>
      <c r="Q360" s="52">
        <v>-1.6912752180360258E-2</v>
      </c>
      <c r="R360" s="674">
        <v>1925.3509129466843</v>
      </c>
      <c r="S360" s="40">
        <v>1925.3699999999994</v>
      </c>
      <c r="T360" s="52">
        <v>1.9087053315161029E-2</v>
      </c>
      <c r="U360" s="674">
        <v>1072.4056650520611</v>
      </c>
      <c r="V360" s="40">
        <v>3622.1154156458747</v>
      </c>
      <c r="W360" s="52">
        <v>2549.7097505938136</v>
      </c>
      <c r="X360" s="674">
        <v>9522.6898494803081</v>
      </c>
      <c r="Y360" s="40">
        <v>8573.9736719264965</v>
      </c>
      <c r="Z360" s="52">
        <v>-948.71617755381158</v>
      </c>
      <c r="AA360" s="674">
        <v>770.58720000000017</v>
      </c>
      <c r="AB360" s="40">
        <v>0</v>
      </c>
      <c r="AC360" s="52">
        <v>-770.58720000000017</v>
      </c>
      <c r="AD360" s="674">
        <v>27529.462457704085</v>
      </c>
      <c r="AE360" s="40">
        <v>27279.470921102711</v>
      </c>
      <c r="AF360" s="35">
        <v>-249.99153660137381</v>
      </c>
      <c r="AG360" s="77">
        <v>76069.387513230875</v>
      </c>
      <c r="AH360" s="53">
        <v>79164.52950991239</v>
      </c>
      <c r="AI360" s="52">
        <v>3095.1419966815156</v>
      </c>
      <c r="AJ360" s="674">
        <v>82065.605404026122</v>
      </c>
      <c r="AK360" s="40">
        <v>81526.659405342813</v>
      </c>
      <c r="AL360" s="52">
        <v>-538.94599868330988</v>
      </c>
      <c r="AM360" s="674">
        <v>0</v>
      </c>
      <c r="AN360" s="40">
        <v>0</v>
      </c>
      <c r="AO360" s="52">
        <v>0</v>
      </c>
      <c r="AP360" s="674">
        <v>4856.5817037192819</v>
      </c>
      <c r="AQ360" s="40">
        <v>4036.2167832167834</v>
      </c>
      <c r="AR360" s="52">
        <v>-820.36492050249853</v>
      </c>
      <c r="AS360" s="674">
        <v>83036.639682333203</v>
      </c>
      <c r="AT360" s="40">
        <v>38776.581619697834</v>
      </c>
      <c r="AU360" s="54">
        <v>-44260.058062635369</v>
      </c>
      <c r="AV360" s="674">
        <v>2722.832110313032</v>
      </c>
      <c r="AW360" s="40">
        <v>4165</v>
      </c>
      <c r="AX360" s="55">
        <v>1442.167889686968</v>
      </c>
      <c r="AY360" s="674">
        <v>3065.90107680253</v>
      </c>
      <c r="AZ360" s="40">
        <v>1653</v>
      </c>
      <c r="BA360" s="35">
        <v>-1412.90107680253</v>
      </c>
      <c r="BB360" s="674">
        <v>1451.8143393239668</v>
      </c>
      <c r="BC360" s="40">
        <v>859</v>
      </c>
      <c r="BD360" s="55">
        <v>-592.81433932396681</v>
      </c>
      <c r="BE360" s="674">
        <v>2308.4245261098235</v>
      </c>
      <c r="BF360" s="40">
        <v>0</v>
      </c>
      <c r="BG360" s="38">
        <v>-2308.4245261098235</v>
      </c>
      <c r="BH360" s="674">
        <v>1118.4592652313891</v>
      </c>
      <c r="BI360" s="40">
        <v>0</v>
      </c>
      <c r="BJ360" s="55">
        <v>-1118.4592652313891</v>
      </c>
      <c r="BK360" s="674">
        <v>1792.9468811605889</v>
      </c>
      <c r="BL360" s="40">
        <v>0</v>
      </c>
      <c r="BM360" s="38">
        <v>-1792.9468811605889</v>
      </c>
      <c r="BN360" s="674">
        <v>192.64680000000004</v>
      </c>
      <c r="BO360" s="40">
        <v>0</v>
      </c>
      <c r="BP360" s="55">
        <v>-192.64680000000004</v>
      </c>
      <c r="BQ360" s="77">
        <v>12653.024998941331</v>
      </c>
      <c r="BR360" s="40">
        <v>6677</v>
      </c>
      <c r="BS360" s="55">
        <v>-5976.0249989413314</v>
      </c>
      <c r="BT360" s="674">
        <v>59397.118468436529</v>
      </c>
      <c r="BU360" s="40">
        <v>58636.880063373508</v>
      </c>
      <c r="BV360" s="52">
        <v>-760.23840506302076</v>
      </c>
      <c r="BW360" s="674">
        <v>47954.925652018457</v>
      </c>
      <c r="BX360" s="40">
        <v>46245.631483730307</v>
      </c>
      <c r="BY360" s="52">
        <v>-1709.2941682881501</v>
      </c>
      <c r="BZ360" s="674">
        <v>14649.240683506629</v>
      </c>
      <c r="CA360" s="40">
        <v>15696.9431215157</v>
      </c>
      <c r="CB360" s="52">
        <v>1047.7024380090716</v>
      </c>
      <c r="CC360" s="674">
        <v>978.858323872916</v>
      </c>
      <c r="CD360" s="40">
        <v>1025.1884528621742</v>
      </c>
      <c r="CE360" s="52">
        <v>46.330128989258242</v>
      </c>
      <c r="CF360" s="674">
        <v>119.21665362625865</v>
      </c>
      <c r="CG360" s="40">
        <v>0</v>
      </c>
      <c r="CH360" s="52">
        <v>-119.21665362625865</v>
      </c>
      <c r="CI360" s="674">
        <v>10814.161293835168</v>
      </c>
      <c r="CJ360" s="40">
        <v>9369.2406983870715</v>
      </c>
      <c r="CK360" s="52">
        <v>-1444.9205954480967</v>
      </c>
      <c r="CL360" s="674">
        <v>13472.885355252129</v>
      </c>
      <c r="CM360" s="40">
        <v>14729.779489297211</v>
      </c>
      <c r="CN360" s="52">
        <v>1256.894134045082</v>
      </c>
      <c r="CO360" s="39">
        <v>24287.046649087297</v>
      </c>
      <c r="CP360" s="40">
        <v>24099.020187684284</v>
      </c>
      <c r="CQ360" s="52">
        <v>-188.02646140301295</v>
      </c>
      <c r="CR360" s="72">
        <v>406067.6457327989</v>
      </c>
      <c r="CS360" s="5">
        <v>355884.65062733571</v>
      </c>
      <c r="CT360" s="52">
        <v>-50182.995105463197</v>
      </c>
      <c r="CU360" s="77">
        <v>487281.17487935867</v>
      </c>
      <c r="CV360" s="65">
        <v>427061.58075280284</v>
      </c>
      <c r="CW360" s="35">
        <v>-60219.594126555836</v>
      </c>
      <c r="CX360" s="73">
        <v>14743.215791895394</v>
      </c>
      <c r="CY360" s="40">
        <v>74962.809918451196</v>
      </c>
      <c r="CZ360" s="52">
        <v>60219.594126555799</v>
      </c>
      <c r="DA360" s="150">
        <v>121690.95623329563</v>
      </c>
      <c r="DB360" s="2">
        <v>2</v>
      </c>
      <c r="DC360" s="675">
        <v>95335.5</v>
      </c>
      <c r="DD360" s="675">
        <v>0</v>
      </c>
      <c r="DE360" s="675">
        <v>51317.247509448403</v>
      </c>
      <c r="DF360" s="675">
        <v>0</v>
      </c>
      <c r="DG360" s="321">
        <v>181910.55035985139</v>
      </c>
      <c r="DH360" s="40">
        <v>501986.38577509177</v>
      </c>
      <c r="DI360" s="422">
        <v>44018.252490551604</v>
      </c>
      <c r="DJ360" s="306">
        <v>5.2395745962922504</v>
      </c>
      <c r="DK360" s="306">
        <v>7.0389830495256023</v>
      </c>
      <c r="DL360" s="306">
        <v>4.40626019608266</v>
      </c>
      <c r="DM360" s="28">
        <v>44018.252490551597</v>
      </c>
      <c r="DN360" s="28">
        <v>0</v>
      </c>
      <c r="DO360" s="423">
        <v>44018.252490551597</v>
      </c>
      <c r="DP360" s="94">
        <v>0</v>
      </c>
      <c r="DQ360" s="28">
        <v>44018.252490551597</v>
      </c>
      <c r="DR360" s="318"/>
      <c r="DT360" s="8"/>
      <c r="DU360" s="5"/>
      <c r="DX360" s="5">
        <v>114827.59761752943</v>
      </c>
      <c r="DY360" s="5">
        <v>54544.297943637401</v>
      </c>
      <c r="DZ360" s="159">
        <v>9889.3621150638628</v>
      </c>
      <c r="EB360" s="676">
        <v>3055.2526710122693</v>
      </c>
      <c r="EC360" s="676">
        <v>-5980.4550672312507</v>
      </c>
      <c r="ED360" s="676">
        <v>13539.518359959278</v>
      </c>
      <c r="EE360" s="676">
        <v>2808.5476833018474</v>
      </c>
      <c r="EF360" s="676">
        <v>-12398.201615265967</v>
      </c>
      <c r="EG360" s="676">
        <v>-13320.171562321018</v>
      </c>
      <c r="EH360" s="676">
        <v>-8438.1308725796553</v>
      </c>
      <c r="EI360" s="676">
        <v>-5082.2495278063361</v>
      </c>
      <c r="EJ360" s="676">
        <v>-9558.2551040812468</v>
      </c>
      <c r="EK360" s="676">
        <v>-8357.1613958890739</v>
      </c>
      <c r="EL360" s="676">
        <v>-9319.042186577477</v>
      </c>
      <c r="EM360" s="676">
        <v>-7169.2455090771327</v>
      </c>
      <c r="EN360" s="676">
        <v>-60219.594126555763</v>
      </c>
      <c r="EQ360" s="5">
        <v>114827.59761752943</v>
      </c>
      <c r="ER360" s="5">
        <v>54544.297943637401</v>
      </c>
      <c r="ET360" s="318">
        <v>117595.71366927735</v>
      </c>
      <c r="EU360" s="5">
        <v>49137.836690574055</v>
      </c>
    </row>
    <row r="361" spans="1:151" x14ac:dyDescent="0.3">
      <c r="A361" s="325">
        <v>150000888</v>
      </c>
      <c r="B361" s="41" t="s">
        <v>807</v>
      </c>
      <c r="C361" s="42" t="s">
        <v>314</v>
      </c>
      <c r="D361" s="27">
        <v>5</v>
      </c>
      <c r="E361" s="293">
        <v>3374.56</v>
      </c>
      <c r="F361" s="305">
        <v>2586.9899999999998</v>
      </c>
      <c r="G361" s="508">
        <v>0</v>
      </c>
      <c r="H361" s="677">
        <v>787.57</v>
      </c>
      <c r="I361" s="674">
        <v>10741.430634324657</v>
      </c>
      <c r="J361" s="40">
        <v>11873.205721867065</v>
      </c>
      <c r="K361" s="52">
        <v>1131.7750875424081</v>
      </c>
      <c r="L361" s="674">
        <v>2244.0849092590597</v>
      </c>
      <c r="M361" s="40">
        <v>2476.7995999142972</v>
      </c>
      <c r="N361" s="52">
        <v>232.71469065523752</v>
      </c>
      <c r="O361" s="674">
        <v>4361.1891976680054</v>
      </c>
      <c r="P361" s="40">
        <v>4361.1899999999996</v>
      </c>
      <c r="Q361" s="52">
        <v>8.0233199423673796E-4</v>
      </c>
      <c r="R361" s="674">
        <v>0</v>
      </c>
      <c r="S361" s="40">
        <v>0</v>
      </c>
      <c r="T361" s="52">
        <v>0</v>
      </c>
      <c r="U361" s="674">
        <v>0</v>
      </c>
      <c r="V361" s="40">
        <v>0</v>
      </c>
      <c r="W361" s="52">
        <v>0</v>
      </c>
      <c r="X361" s="674">
        <v>6978.9542030188904</v>
      </c>
      <c r="Y361" s="40">
        <v>5527.7184561834774</v>
      </c>
      <c r="Z361" s="52">
        <v>-1451.235746835413</v>
      </c>
      <c r="AA361" s="674">
        <v>404.99400000000003</v>
      </c>
      <c r="AB361" s="40">
        <v>0</v>
      </c>
      <c r="AC361" s="52">
        <v>-404.99400000000003</v>
      </c>
      <c r="AD361" s="674">
        <v>14422.022102776424</v>
      </c>
      <c r="AE361" s="40">
        <v>14337.56677950861</v>
      </c>
      <c r="AF361" s="35">
        <v>-84.455323267813583</v>
      </c>
      <c r="AG361" s="77">
        <v>39152.675047047029</v>
      </c>
      <c r="AH361" s="53">
        <v>38576.480557473449</v>
      </c>
      <c r="AI361" s="52">
        <v>-576.19448957357963</v>
      </c>
      <c r="AJ361" s="674">
        <v>0</v>
      </c>
      <c r="AK361" s="40">
        <v>0</v>
      </c>
      <c r="AL361" s="52">
        <v>0</v>
      </c>
      <c r="AM361" s="674">
        <v>0</v>
      </c>
      <c r="AN361" s="40">
        <v>0</v>
      </c>
      <c r="AO361" s="52">
        <v>0</v>
      </c>
      <c r="AP361" s="674">
        <v>8633.9230288342769</v>
      </c>
      <c r="AQ361" s="40">
        <v>11756.176290976136</v>
      </c>
      <c r="AR361" s="52">
        <v>3122.2532621418595</v>
      </c>
      <c r="AS361" s="674">
        <v>29075.483687944459</v>
      </c>
      <c r="AT361" s="40">
        <v>4414</v>
      </c>
      <c r="AU361" s="54">
        <v>-24661.483687944459</v>
      </c>
      <c r="AV361" s="674">
        <v>2483.5702204944937</v>
      </c>
      <c r="AW361" s="40">
        <v>359</v>
      </c>
      <c r="AX361" s="55">
        <v>-2124.5702204944937</v>
      </c>
      <c r="AY361" s="674">
        <v>3678.6362157662265</v>
      </c>
      <c r="AZ361" s="40">
        <v>3526</v>
      </c>
      <c r="BA361" s="35">
        <v>-152.63621576622654</v>
      </c>
      <c r="BB361" s="674">
        <v>2133.8988993354533</v>
      </c>
      <c r="BC361" s="40">
        <v>0</v>
      </c>
      <c r="BD361" s="55">
        <v>-2133.8988993354533</v>
      </c>
      <c r="BE361" s="674">
        <v>0</v>
      </c>
      <c r="BF361" s="40">
        <v>0</v>
      </c>
      <c r="BG361" s="38">
        <v>0</v>
      </c>
      <c r="BH361" s="674">
        <v>0</v>
      </c>
      <c r="BI361" s="40">
        <v>0</v>
      </c>
      <c r="BJ361" s="55">
        <v>0</v>
      </c>
      <c r="BK361" s="674">
        <v>1631.0547380821097</v>
      </c>
      <c r="BL361" s="40">
        <v>1454</v>
      </c>
      <c r="BM361" s="38">
        <v>-177.05473808210968</v>
      </c>
      <c r="BN361" s="674">
        <v>101.24850000000001</v>
      </c>
      <c r="BO361" s="40">
        <v>0</v>
      </c>
      <c r="BP361" s="55">
        <v>-101.24850000000001</v>
      </c>
      <c r="BQ361" s="77">
        <v>10028.408573678284</v>
      </c>
      <c r="BR361" s="40">
        <v>5339</v>
      </c>
      <c r="BS361" s="55">
        <v>-4689.4085736782836</v>
      </c>
      <c r="BT361" s="674">
        <v>31261.313071461882</v>
      </c>
      <c r="BU361" s="40">
        <v>35855.068502842354</v>
      </c>
      <c r="BV361" s="52">
        <v>4593.7554313804721</v>
      </c>
      <c r="BW361" s="674">
        <v>21551.11159196715</v>
      </c>
      <c r="BX361" s="40">
        <v>18699.221727640619</v>
      </c>
      <c r="BY361" s="52">
        <v>-2851.8898643265311</v>
      </c>
      <c r="BZ361" s="674">
        <v>13102.201016921954</v>
      </c>
      <c r="CA361" s="40">
        <v>8931.2979483988656</v>
      </c>
      <c r="CB361" s="52">
        <v>-4170.9030685230882</v>
      </c>
      <c r="CC361" s="674">
        <v>739.20825472997365</v>
      </c>
      <c r="CD361" s="40">
        <v>776.92344290979577</v>
      </c>
      <c r="CE361" s="52">
        <v>37.715188179822121</v>
      </c>
      <c r="CF361" s="674">
        <v>90.346523830725914</v>
      </c>
      <c r="CG361" s="40">
        <v>0</v>
      </c>
      <c r="CH361" s="52">
        <v>-90.346523830725914</v>
      </c>
      <c r="CI361" s="674">
        <v>6828.9347906616167</v>
      </c>
      <c r="CJ361" s="40">
        <v>2656.4623545078593</v>
      </c>
      <c r="CK361" s="52">
        <v>-4172.4724361537574</v>
      </c>
      <c r="CL361" s="674">
        <v>0</v>
      </c>
      <c r="CM361" s="40">
        <v>0</v>
      </c>
      <c r="CN361" s="52">
        <v>0</v>
      </c>
      <c r="CO361" s="39">
        <v>6828.9347906616167</v>
      </c>
      <c r="CP361" s="40">
        <v>2656.4623545078593</v>
      </c>
      <c r="CQ361" s="52">
        <v>-4172.4724361537574</v>
      </c>
      <c r="CR361" s="72">
        <v>160463.60558707736</v>
      </c>
      <c r="CS361" s="5">
        <v>127004.63082474908</v>
      </c>
      <c r="CT361" s="52">
        <v>-33458.974762328275</v>
      </c>
      <c r="CU361" s="77">
        <v>192556.32670449282</v>
      </c>
      <c r="CV361" s="65">
        <v>152405.5569896989</v>
      </c>
      <c r="CW361" s="35">
        <v>-40150.769714793918</v>
      </c>
      <c r="CX361" s="73">
        <v>5065.64440158038</v>
      </c>
      <c r="CY361" s="40">
        <v>45216.414116374297</v>
      </c>
      <c r="CZ361" s="52">
        <v>40150.769714793918</v>
      </c>
      <c r="DA361" s="150">
        <v>76000.589844673988</v>
      </c>
      <c r="DB361" s="2">
        <v>2</v>
      </c>
      <c r="DC361" s="675">
        <v>31484.01</v>
      </c>
      <c r="DD361" s="675">
        <v>5601.9299999999994</v>
      </c>
      <c r="DE361" s="675">
        <v>17659.098859426893</v>
      </c>
      <c r="DF361" s="675">
        <v>2129.5474988958031</v>
      </c>
      <c r="DG361" s="321">
        <v>116151.35955946791</v>
      </c>
      <c r="DH361" s="40">
        <v>197606.91193290331</v>
      </c>
      <c r="DI361" s="422">
        <v>17297.293641677301</v>
      </c>
      <c r="DJ361" s="306">
        <v>5.344014140206613</v>
      </c>
      <c r="DK361" s="306">
        <v>5.344014140206613</v>
      </c>
      <c r="DL361" s="306">
        <v>4.4089826950038677</v>
      </c>
      <c r="DM361" s="28">
        <v>13824.911140573106</v>
      </c>
      <c r="DN361" s="28">
        <v>3472.3825011041963</v>
      </c>
      <c r="DO361" s="423">
        <v>17297.293641677301</v>
      </c>
      <c r="DP361" s="94">
        <v>0</v>
      </c>
      <c r="DQ361" s="28">
        <v>17297.293641677301</v>
      </c>
      <c r="DR361" s="318"/>
      <c r="DT361" s="8"/>
      <c r="DU361" s="5"/>
      <c r="DX361" s="5">
        <v>46924.670713947293</v>
      </c>
      <c r="DY361" s="5">
        <v>11703.6</v>
      </c>
      <c r="DZ361" s="159">
        <v>4066.7017664842301</v>
      </c>
      <c r="EB361" s="676">
        <v>3038.0598919113854</v>
      </c>
      <c r="EC361" s="676">
        <v>-3214.504124650608</v>
      </c>
      <c r="ED361" s="676">
        <v>-3373.0266579593736</v>
      </c>
      <c r="EE361" s="676">
        <v>-5439.5090239748206</v>
      </c>
      <c r="EF361" s="676">
        <v>-1756.1813378139486</v>
      </c>
      <c r="EG361" s="676">
        <v>-9982.5456277463491</v>
      </c>
      <c r="EH361" s="676">
        <v>-7240.5143338053222</v>
      </c>
      <c r="EI361" s="676">
        <v>-5268.9067683902049</v>
      </c>
      <c r="EJ361" s="676">
        <v>1322.708225148941</v>
      </c>
      <c r="EK361" s="676">
        <v>-2462.2660414595521</v>
      </c>
      <c r="EL361" s="676">
        <v>607.45793225180023</v>
      </c>
      <c r="EM361" s="676">
        <v>-6381.5418483058656</v>
      </c>
      <c r="EN361" s="676">
        <v>-40150.769714793925</v>
      </c>
      <c r="EQ361" s="5">
        <v>46924.670713947293</v>
      </c>
      <c r="ER361" s="5">
        <v>11703.6</v>
      </c>
      <c r="ET361" s="318">
        <v>-22573.101095721802</v>
      </c>
      <c r="EU361" s="5">
        <v>100928.46065518972</v>
      </c>
    </row>
    <row r="362" spans="1:151" x14ac:dyDescent="0.3">
      <c r="A362" s="325">
        <v>150000889</v>
      </c>
      <c r="B362" s="41" t="s">
        <v>808</v>
      </c>
      <c r="C362" s="42" t="s">
        <v>428</v>
      </c>
      <c r="D362" s="27">
        <v>16</v>
      </c>
      <c r="E362" s="293">
        <v>5256.18</v>
      </c>
      <c r="F362" s="305">
        <v>4414.38</v>
      </c>
      <c r="G362" s="508">
        <v>0</v>
      </c>
      <c r="H362" s="677">
        <v>841.8</v>
      </c>
      <c r="I362" s="674">
        <v>21411.303191492458</v>
      </c>
      <c r="J362" s="40">
        <v>23405.222304636645</v>
      </c>
      <c r="K362" s="52">
        <v>1993.9191131441876</v>
      </c>
      <c r="L362" s="674">
        <v>3464.6607969117576</v>
      </c>
      <c r="M362" s="40">
        <v>3809.3260677373896</v>
      </c>
      <c r="N362" s="52">
        <v>344.66527082563198</v>
      </c>
      <c r="O362" s="674">
        <v>6485.2223098458308</v>
      </c>
      <c r="P362" s="40">
        <v>6485.2200000000012</v>
      </c>
      <c r="Q362" s="52">
        <v>-2.3098458295862656E-3</v>
      </c>
      <c r="R362" s="674">
        <v>1504.6814688629102</v>
      </c>
      <c r="S362" s="40">
        <v>1504.68</v>
      </c>
      <c r="T362" s="52">
        <v>-1.4688629100874095E-3</v>
      </c>
      <c r="U362" s="674">
        <v>812.40190821897863</v>
      </c>
      <c r="V362" s="40">
        <v>2744.0130194249218</v>
      </c>
      <c r="W362" s="52">
        <v>1931.6111112059432</v>
      </c>
      <c r="X362" s="674">
        <v>6179.4208047779648</v>
      </c>
      <c r="Y362" s="40">
        <v>4869.9965990139499</v>
      </c>
      <c r="Z362" s="52">
        <v>-1309.4242057640149</v>
      </c>
      <c r="AA362" s="674">
        <v>0</v>
      </c>
      <c r="AB362" s="40">
        <v>0</v>
      </c>
      <c r="AC362" s="52">
        <v>0</v>
      </c>
      <c r="AD362" s="674">
        <v>22487.941495909112</v>
      </c>
      <c r="AE362" s="40">
        <v>22332.046772058453</v>
      </c>
      <c r="AF362" s="35">
        <v>-155.89472385065892</v>
      </c>
      <c r="AG362" s="77">
        <v>62345.631976019009</v>
      </c>
      <c r="AH362" s="53">
        <v>65150.504762871366</v>
      </c>
      <c r="AI362" s="52">
        <v>2804.8727868523565</v>
      </c>
      <c r="AJ362" s="674">
        <v>44549.897016678115</v>
      </c>
      <c r="AK362" s="40">
        <v>44257.408119690874</v>
      </c>
      <c r="AL362" s="52">
        <v>-292.48889698724088</v>
      </c>
      <c r="AM362" s="674">
        <v>630.44965500000001</v>
      </c>
      <c r="AN362" s="40">
        <v>0</v>
      </c>
      <c r="AO362" s="52">
        <v>-630.44965500000001</v>
      </c>
      <c r="AP362" s="674">
        <v>4047.1514197660686</v>
      </c>
      <c r="AQ362" s="40">
        <v>3457.5408626804106</v>
      </c>
      <c r="AR362" s="52">
        <v>-589.610557085658</v>
      </c>
      <c r="AS362" s="674">
        <v>65245.172668808977</v>
      </c>
      <c r="AT362" s="40">
        <v>30044.68</v>
      </c>
      <c r="AU362" s="54">
        <v>-35200.492668808976</v>
      </c>
      <c r="AV362" s="674">
        <v>3486.9696266419614</v>
      </c>
      <c r="AW362" s="40">
        <v>4552</v>
      </c>
      <c r="AX362" s="55">
        <v>1065.0303733580386</v>
      </c>
      <c r="AY362" s="674">
        <v>4000.8356175196391</v>
      </c>
      <c r="AZ362" s="40">
        <v>4519</v>
      </c>
      <c r="BA362" s="35">
        <v>518.16438248036093</v>
      </c>
      <c r="BB362" s="674">
        <v>2431.3839098178332</v>
      </c>
      <c r="BC362" s="40">
        <v>3281</v>
      </c>
      <c r="BD362" s="55">
        <v>849.61609018216677</v>
      </c>
      <c r="BE362" s="674">
        <v>2375.9016453266681</v>
      </c>
      <c r="BF362" s="40">
        <v>0</v>
      </c>
      <c r="BG362" s="38">
        <v>-2375.9016453266681</v>
      </c>
      <c r="BH362" s="674">
        <v>1049.6006250612752</v>
      </c>
      <c r="BI362" s="40">
        <v>0</v>
      </c>
      <c r="BJ362" s="55">
        <v>-1049.6006250612752</v>
      </c>
      <c r="BK362" s="674">
        <v>2357.9044643317525</v>
      </c>
      <c r="BL362" s="40">
        <v>342</v>
      </c>
      <c r="BM362" s="38">
        <v>-2015.9044643317525</v>
      </c>
      <c r="BN362" s="674">
        <v>0</v>
      </c>
      <c r="BO362" s="40">
        <v>0</v>
      </c>
      <c r="BP362" s="55">
        <v>0</v>
      </c>
      <c r="BQ362" s="77">
        <v>15702.59588869913</v>
      </c>
      <c r="BR362" s="40">
        <v>12694</v>
      </c>
      <c r="BS362" s="55">
        <v>-3008.5958886991302</v>
      </c>
      <c r="BT362" s="674">
        <v>48430.763579075829</v>
      </c>
      <c r="BU362" s="40">
        <v>40231.162476419493</v>
      </c>
      <c r="BV362" s="52">
        <v>-8199.6011026563356</v>
      </c>
      <c r="BW362" s="674">
        <v>57057.6957268427</v>
      </c>
      <c r="BX362" s="40">
        <v>50753.95181582126</v>
      </c>
      <c r="BY362" s="52">
        <v>-6303.74391102144</v>
      </c>
      <c r="BZ362" s="674">
        <v>5287.9336212084791</v>
      </c>
      <c r="CA362" s="40">
        <v>11271.913998664717</v>
      </c>
      <c r="CB362" s="52">
        <v>5983.9803774562379</v>
      </c>
      <c r="CC362" s="674">
        <v>776.76580361737842</v>
      </c>
      <c r="CD362" s="40">
        <v>806.13109113948724</v>
      </c>
      <c r="CE362" s="52">
        <v>29.365287522108815</v>
      </c>
      <c r="CF362" s="674">
        <v>93.743009689023893</v>
      </c>
      <c r="CG362" s="40">
        <v>0</v>
      </c>
      <c r="CH362" s="52">
        <v>-93.743009689023893</v>
      </c>
      <c r="CI362" s="674">
        <v>15757.802113495534</v>
      </c>
      <c r="CJ362" s="40">
        <v>15335.671105497102</v>
      </c>
      <c r="CK362" s="52">
        <v>-422.13100799843232</v>
      </c>
      <c r="CL362" s="674">
        <v>36249.977689733016</v>
      </c>
      <c r="CM362" s="40">
        <v>31728.190369939337</v>
      </c>
      <c r="CN362" s="52">
        <v>-4521.7873197936788</v>
      </c>
      <c r="CO362" s="39">
        <v>52007.77980322855</v>
      </c>
      <c r="CP362" s="40">
        <v>47063.861475436439</v>
      </c>
      <c r="CQ362" s="52">
        <v>-4943.9183277921111</v>
      </c>
      <c r="CR362" s="72">
        <v>356175.58016863331</v>
      </c>
      <c r="CS362" s="5">
        <v>305731.15460272401</v>
      </c>
      <c r="CT362" s="52">
        <v>-50444.425565909303</v>
      </c>
      <c r="CU362" s="77">
        <v>427410.69620235998</v>
      </c>
      <c r="CV362" s="65">
        <v>366877.38552326878</v>
      </c>
      <c r="CW362" s="35">
        <v>-60533.310679091199</v>
      </c>
      <c r="CX362" s="73">
        <v>13007.043489452075</v>
      </c>
      <c r="CY362" s="40">
        <v>73540.354168543112</v>
      </c>
      <c r="CZ362" s="52">
        <v>60533.310679091039</v>
      </c>
      <c r="DA362" s="150">
        <v>37841.829112294268</v>
      </c>
      <c r="DB362" s="2">
        <v>2</v>
      </c>
      <c r="DC362" s="675">
        <v>63674.559999999998</v>
      </c>
      <c r="DD362" s="675">
        <v>17558.400000000001</v>
      </c>
      <c r="DE362" s="675">
        <v>29146.450742803987</v>
      </c>
      <c r="DF362" s="675">
        <v>13813.949483520322</v>
      </c>
      <c r="DG362" s="321">
        <v>98375.139791385343</v>
      </c>
      <c r="DH362" s="40">
        <v>440383.28735428839</v>
      </c>
      <c r="DI362" s="422">
        <v>38272.559773675683</v>
      </c>
      <c r="DJ362" s="306">
        <v>5.9076034224481102</v>
      </c>
      <c r="DK362" s="306">
        <v>7.8217347072966099</v>
      </c>
      <c r="DL362" s="306">
        <v>4.4481474417672597</v>
      </c>
      <c r="DM362" s="28">
        <v>34528.109257196011</v>
      </c>
      <c r="DN362" s="28">
        <v>3744.4505164796792</v>
      </c>
      <c r="DO362" s="423">
        <v>38272.55977367569</v>
      </c>
      <c r="DP362" s="94">
        <v>0</v>
      </c>
      <c r="DQ362" s="28">
        <v>38272.55977367569</v>
      </c>
      <c r="DR362" s="318"/>
      <c r="DT362" s="8"/>
      <c r="DU362" s="5"/>
      <c r="DX362" s="5">
        <v>97137.322269009732</v>
      </c>
      <c r="DY362" s="5">
        <v>51286.415999999997</v>
      </c>
      <c r="DZ362" s="159">
        <v>8637.862394071637</v>
      </c>
      <c r="EB362" s="676">
        <v>-2263.1923348131168</v>
      </c>
      <c r="EC362" s="676">
        <v>710.1336061463262</v>
      </c>
      <c r="ED362" s="676">
        <v>-6081.7868871004175</v>
      </c>
      <c r="EE362" s="676">
        <v>-2030.9200997196604</v>
      </c>
      <c r="EF362" s="676">
        <v>-1811.7085704681158</v>
      </c>
      <c r="EG362" s="676">
        <v>-12470.99145939502</v>
      </c>
      <c r="EH362" s="676">
        <v>6312.8490015220596</v>
      </c>
      <c r="EI362" s="676">
        <v>-15786.418115578948</v>
      </c>
      <c r="EJ362" s="676">
        <v>-3521.6957978597711</v>
      </c>
      <c r="EK362" s="676">
        <v>-7999.3760333697392</v>
      </c>
      <c r="EL362" s="676">
        <v>-9259.7211153664539</v>
      </c>
      <c r="EM362" s="676">
        <v>-6330.4828730882218</v>
      </c>
      <c r="EN362" s="676">
        <v>-60533.310679091075</v>
      </c>
      <c r="EQ362" s="5">
        <v>97137.322269009732</v>
      </c>
      <c r="ER362" s="5">
        <v>51286.415999999997</v>
      </c>
      <c r="ET362" s="318">
        <v>16121.744153200405</v>
      </c>
      <c r="EU362" s="5">
        <v>10146.39563818496</v>
      </c>
    </row>
    <row r="363" spans="1:151" x14ac:dyDescent="0.3">
      <c r="A363" s="325">
        <v>150000890</v>
      </c>
      <c r="B363" s="41" t="s">
        <v>809</v>
      </c>
      <c r="C363" s="42" t="s">
        <v>399</v>
      </c>
      <c r="D363" s="27">
        <v>9</v>
      </c>
      <c r="E363" s="293">
        <v>8449.6999999999989</v>
      </c>
      <c r="F363" s="305">
        <v>8324.4</v>
      </c>
      <c r="G363" s="508">
        <v>801.12</v>
      </c>
      <c r="H363" s="677">
        <v>125.3</v>
      </c>
      <c r="I363" s="674">
        <v>19969.119644215836</v>
      </c>
      <c r="J363" s="40">
        <v>22174.707901656122</v>
      </c>
      <c r="K363" s="52">
        <v>2205.5882574402858</v>
      </c>
      <c r="L363" s="674">
        <v>4009.9540233375828</v>
      </c>
      <c r="M363" s="40">
        <v>4388.9932196709242</v>
      </c>
      <c r="N363" s="52">
        <v>379.03919633334135</v>
      </c>
      <c r="O363" s="674">
        <v>11910.501047409742</v>
      </c>
      <c r="P363" s="40">
        <v>11910.510000000002</v>
      </c>
      <c r="Q363" s="52">
        <v>8.9525902603782015E-3</v>
      </c>
      <c r="R363" s="674">
        <v>2806.1183648061906</v>
      </c>
      <c r="S363" s="40">
        <v>2806.1400000000003</v>
      </c>
      <c r="T363" s="52">
        <v>2.1635193809743214E-2</v>
      </c>
      <c r="U363" s="674">
        <v>1429.9677921669193</v>
      </c>
      <c r="V363" s="40">
        <v>4940.1508452059616</v>
      </c>
      <c r="W363" s="52">
        <v>3510.1830530390425</v>
      </c>
      <c r="X363" s="674">
        <v>13536.851268627981</v>
      </c>
      <c r="Y363" s="40">
        <v>10511.826491417187</v>
      </c>
      <c r="Z363" s="52">
        <v>-3025.0247772107941</v>
      </c>
      <c r="AA363" s="674">
        <v>998.7192</v>
      </c>
      <c r="AB363" s="40">
        <v>0</v>
      </c>
      <c r="AC363" s="52">
        <v>-998.7192</v>
      </c>
      <c r="AD363" s="674">
        <v>36090.850502853726</v>
      </c>
      <c r="AE363" s="40">
        <v>35950.524978513713</v>
      </c>
      <c r="AF363" s="35">
        <v>-140.32552434001263</v>
      </c>
      <c r="AG363" s="77">
        <v>90752.081843417982</v>
      </c>
      <c r="AH363" s="53">
        <v>92682.85343646392</v>
      </c>
      <c r="AI363" s="52">
        <v>1930.7715930459381</v>
      </c>
      <c r="AJ363" s="674">
        <v>67736.667957481477</v>
      </c>
      <c r="AK363" s="40">
        <v>67149.658192151241</v>
      </c>
      <c r="AL363" s="52">
        <v>-587.00976533023641</v>
      </c>
      <c r="AM363" s="674">
        <v>1260.89931</v>
      </c>
      <c r="AN363" s="40">
        <v>0</v>
      </c>
      <c r="AO363" s="52">
        <v>-1260.89931</v>
      </c>
      <c r="AP363" s="674">
        <v>6385.5055734086864</v>
      </c>
      <c r="AQ363" s="40">
        <v>7554.4438939343099</v>
      </c>
      <c r="AR363" s="52">
        <v>1168.9383205256236</v>
      </c>
      <c r="AS363" s="674">
        <v>101932.94744985763</v>
      </c>
      <c r="AT363" s="40">
        <v>67826.05</v>
      </c>
      <c r="AU363" s="54">
        <v>-34106.897449857628</v>
      </c>
      <c r="AV363" s="674">
        <v>3330.3084429077235</v>
      </c>
      <c r="AW363" s="40">
        <v>6521.55</v>
      </c>
      <c r="AX363" s="55">
        <v>3191.2415570922767</v>
      </c>
      <c r="AY363" s="674">
        <v>4707.9277941987812</v>
      </c>
      <c r="AZ363" s="40">
        <v>3255</v>
      </c>
      <c r="BA363" s="35">
        <v>-1452.9277941987812</v>
      </c>
      <c r="BB363" s="674">
        <v>3281.6330810833952</v>
      </c>
      <c r="BC363" s="40">
        <v>0</v>
      </c>
      <c r="BD363" s="55">
        <v>-3281.6330810833952</v>
      </c>
      <c r="BE363" s="674">
        <v>4252.5400431214275</v>
      </c>
      <c r="BF363" s="40">
        <v>566</v>
      </c>
      <c r="BG363" s="38">
        <v>-3686.5400431214275</v>
      </c>
      <c r="BH363" s="674">
        <v>1847.4272874999779</v>
      </c>
      <c r="BI363" s="40">
        <v>0</v>
      </c>
      <c r="BJ363" s="55">
        <v>-1847.4272874999779</v>
      </c>
      <c r="BK363" s="674">
        <v>3783.1505108796059</v>
      </c>
      <c r="BL363" s="40">
        <v>1247</v>
      </c>
      <c r="BM363" s="38">
        <v>-2536.1505108796059</v>
      </c>
      <c r="BN363" s="674">
        <v>249.6798</v>
      </c>
      <c r="BO363" s="40">
        <v>0</v>
      </c>
      <c r="BP363" s="55">
        <v>-249.6798</v>
      </c>
      <c r="BQ363" s="77">
        <v>21452.666959690912</v>
      </c>
      <c r="BR363" s="40">
        <v>11589.55</v>
      </c>
      <c r="BS363" s="55">
        <v>-9863.1169596909131</v>
      </c>
      <c r="BT363" s="674">
        <v>126547.82313888155</v>
      </c>
      <c r="BU363" s="40">
        <v>116420.49734294278</v>
      </c>
      <c r="BV363" s="52">
        <v>-10127.32579593877</v>
      </c>
      <c r="BW363" s="674">
        <v>73145.214201436727</v>
      </c>
      <c r="BX363" s="40">
        <v>68826.6346585274</v>
      </c>
      <c r="BY363" s="52">
        <v>-4318.5795429093268</v>
      </c>
      <c r="BZ363" s="674">
        <v>12256.438232777748</v>
      </c>
      <c r="CA363" s="40">
        <v>28919.003598553958</v>
      </c>
      <c r="CB363" s="52">
        <v>16662.565365776209</v>
      </c>
      <c r="CC363" s="674">
        <v>1706.463957759187</v>
      </c>
      <c r="CD363" s="40">
        <v>1787.5080716571244</v>
      </c>
      <c r="CE363" s="52">
        <v>81.04411389793745</v>
      </c>
      <c r="CF363" s="674">
        <v>207.86493452783557</v>
      </c>
      <c r="CG363" s="40">
        <v>0</v>
      </c>
      <c r="CH363" s="52">
        <v>-207.86493452783557</v>
      </c>
      <c r="CI363" s="674">
        <v>12956.431552602198</v>
      </c>
      <c r="CJ363" s="40">
        <v>9646.7871782543207</v>
      </c>
      <c r="CK363" s="52">
        <v>-3309.6443743478776</v>
      </c>
      <c r="CL363" s="674">
        <v>16782.332290352082</v>
      </c>
      <c r="CM363" s="40">
        <v>15764.481797674169</v>
      </c>
      <c r="CN363" s="52">
        <v>-1017.8504926779133</v>
      </c>
      <c r="CO363" s="39">
        <v>29738.763842954279</v>
      </c>
      <c r="CP363" s="40">
        <v>25411.268975928491</v>
      </c>
      <c r="CQ363" s="52">
        <v>-4327.4948670257872</v>
      </c>
      <c r="CR363" s="72">
        <v>533123.33740219404</v>
      </c>
      <c r="CS363" s="5">
        <v>488167.46817015909</v>
      </c>
      <c r="CT363" s="52">
        <v>-44955.869232034951</v>
      </c>
      <c r="CU363" s="77">
        <v>639748.00488263287</v>
      </c>
      <c r="CV363" s="65">
        <v>585800.96180419088</v>
      </c>
      <c r="CW363" s="35">
        <v>-53947.043078441988</v>
      </c>
      <c r="CX363" s="73">
        <v>19387.938334461585</v>
      </c>
      <c r="CY363" s="40">
        <v>73334.981412903333</v>
      </c>
      <c r="CZ363" s="52">
        <v>53947.043078441748</v>
      </c>
      <c r="DA363" s="150">
        <v>-50735.241211770073</v>
      </c>
      <c r="DB363" s="2">
        <v>2</v>
      </c>
      <c r="DC363" s="675">
        <v>110784.78</v>
      </c>
      <c r="DD363" s="675">
        <v>5417.5999999999995</v>
      </c>
      <c r="DE363" s="675">
        <v>53736.358996393232</v>
      </c>
      <c r="DF363" s="675">
        <v>4926.2599999999993</v>
      </c>
      <c r="DG363" s="321">
        <v>3211.801866671678</v>
      </c>
      <c r="DH363" s="40">
        <v>659085.57684399129</v>
      </c>
      <c r="DI363" s="422">
        <v>57649.305622060274</v>
      </c>
      <c r="DJ363" s="306">
        <v>5.7748612903465926</v>
      </c>
      <c r="DK363" s="306">
        <v>6.967979940489295</v>
      </c>
      <c r="DL363" s="306">
        <v>4.7955675854231004</v>
      </c>
      <c r="DM363" s="28">
        <v>57048.421003606767</v>
      </c>
      <c r="DN363" s="28">
        <v>491.34</v>
      </c>
      <c r="DO363" s="423">
        <v>57539.761003606764</v>
      </c>
      <c r="DP363" s="94">
        <v>109.54461845351034</v>
      </c>
      <c r="DQ363" s="28">
        <v>57539.761003606764</v>
      </c>
      <c r="DR363" s="318"/>
      <c r="DT363" s="8"/>
      <c r="DU363" s="5"/>
      <c r="DX363" s="5">
        <v>148062.73729145827</v>
      </c>
      <c r="DY363" s="5">
        <v>95298.72</v>
      </c>
      <c r="DZ363" s="159">
        <v>12763.767167332593</v>
      </c>
      <c r="EB363" s="676">
        <v>2867.668402237774</v>
      </c>
      <c r="EC363" s="676">
        <v>-2631.2643781496445</v>
      </c>
      <c r="ED363" s="676">
        <v>-5359.976854037297</v>
      </c>
      <c r="EE363" s="676">
        <v>-5320.4757568162386</v>
      </c>
      <c r="EF363" s="676">
        <v>-12627.068132642373</v>
      </c>
      <c r="EG363" s="676">
        <v>-26860.984192102125</v>
      </c>
      <c r="EH363" s="676">
        <v>18951.42753707707</v>
      </c>
      <c r="EI363" s="676">
        <v>-11566.752981600614</v>
      </c>
      <c r="EJ363" s="676">
        <v>-12948.590721556764</v>
      </c>
      <c r="EK363" s="676">
        <v>-7678.8257987741235</v>
      </c>
      <c r="EL363" s="676">
        <v>-7256.3998057996287</v>
      </c>
      <c r="EM363" s="676">
        <v>16484.199603722205</v>
      </c>
      <c r="EN363" s="676">
        <v>-53947.043078441748</v>
      </c>
      <c r="EQ363" s="5">
        <v>148062.73729145827</v>
      </c>
      <c r="ER363" s="5">
        <v>95298.72</v>
      </c>
      <c r="ET363" s="318">
        <v>31897.063084631409</v>
      </c>
      <c r="EU363" s="5">
        <v>-47175.261217959764</v>
      </c>
    </row>
    <row r="364" spans="1:151" x14ac:dyDescent="0.3">
      <c r="A364" s="325">
        <v>150000891</v>
      </c>
      <c r="B364" s="41" t="s">
        <v>810</v>
      </c>
      <c r="C364" s="42" t="s">
        <v>190</v>
      </c>
      <c r="D364" s="27">
        <v>2</v>
      </c>
      <c r="E364" s="293">
        <v>294.26</v>
      </c>
      <c r="F364" s="305">
        <v>232.46</v>
      </c>
      <c r="G364" s="508">
        <v>0</v>
      </c>
      <c r="H364" s="677">
        <v>61.8</v>
      </c>
      <c r="I364" s="674">
        <v>1066.3814330219714</v>
      </c>
      <c r="J364" s="40">
        <v>1246.4672286130085</v>
      </c>
      <c r="K364" s="52">
        <v>180.08579559103714</v>
      </c>
      <c r="L364" s="674">
        <v>300.97508644983526</v>
      </c>
      <c r="M364" s="40">
        <v>329.42522205060749</v>
      </c>
      <c r="N364" s="52">
        <v>28.450135600772228</v>
      </c>
      <c r="O364" s="674">
        <v>0</v>
      </c>
      <c r="P364" s="40">
        <v>0</v>
      </c>
      <c r="Q364" s="52">
        <v>0</v>
      </c>
      <c r="R364" s="674">
        <v>0</v>
      </c>
      <c r="S364" s="40">
        <v>0</v>
      </c>
      <c r="T364" s="52">
        <v>0</v>
      </c>
      <c r="U364" s="674">
        <v>0</v>
      </c>
      <c r="V364" s="40">
        <v>0</v>
      </c>
      <c r="W364" s="52">
        <v>0</v>
      </c>
      <c r="X364" s="674">
        <v>148.90570177929663</v>
      </c>
      <c r="Y364" s="40">
        <v>167.26760534054011</v>
      </c>
      <c r="Z364" s="52">
        <v>18.36190356124348</v>
      </c>
      <c r="AA364" s="674">
        <v>86.527200000000008</v>
      </c>
      <c r="AB364" s="40">
        <v>0</v>
      </c>
      <c r="AC364" s="52">
        <v>-86.527200000000008</v>
      </c>
      <c r="AD364" s="674">
        <v>1607.2314658927951</v>
      </c>
      <c r="AE364" s="40">
        <v>1250.2288892591043</v>
      </c>
      <c r="AF364" s="35">
        <v>-357.00257663369075</v>
      </c>
      <c r="AG364" s="77">
        <v>3210.0208871438981</v>
      </c>
      <c r="AH364" s="53">
        <v>2993.3889452632602</v>
      </c>
      <c r="AI364" s="52">
        <v>-216.6319418806379</v>
      </c>
      <c r="AJ364" s="674">
        <v>0</v>
      </c>
      <c r="AK364" s="40">
        <v>0</v>
      </c>
      <c r="AL364" s="52">
        <v>0</v>
      </c>
      <c r="AM364" s="674">
        <v>0</v>
      </c>
      <c r="AN364" s="40">
        <v>0</v>
      </c>
      <c r="AO364" s="52">
        <v>0</v>
      </c>
      <c r="AP364" s="674">
        <v>539.62018930214231</v>
      </c>
      <c r="AQ364" s="40">
        <v>448.76449922990878</v>
      </c>
      <c r="AR364" s="52">
        <v>-90.855690072233529</v>
      </c>
      <c r="AS364" s="674">
        <v>2518.2898911568595</v>
      </c>
      <c r="AT364" s="40">
        <v>0</v>
      </c>
      <c r="AU364" s="54">
        <v>-2518.2898911568595</v>
      </c>
      <c r="AV364" s="674">
        <v>360.88012625279794</v>
      </c>
      <c r="AW364" s="40">
        <v>0</v>
      </c>
      <c r="AX364" s="55">
        <v>-360.88012625279794</v>
      </c>
      <c r="AY364" s="674">
        <v>493.37382355020094</v>
      </c>
      <c r="AZ364" s="40">
        <v>0</v>
      </c>
      <c r="BA364" s="35">
        <v>-493.37382355020094</v>
      </c>
      <c r="BB364" s="674">
        <v>0</v>
      </c>
      <c r="BC364" s="40">
        <v>0</v>
      </c>
      <c r="BD364" s="55">
        <v>0</v>
      </c>
      <c r="BE364" s="674">
        <v>0</v>
      </c>
      <c r="BF364" s="40">
        <v>0</v>
      </c>
      <c r="BG364" s="38">
        <v>0</v>
      </c>
      <c r="BH364" s="674">
        <v>0</v>
      </c>
      <c r="BI364" s="40">
        <v>0</v>
      </c>
      <c r="BJ364" s="55">
        <v>0</v>
      </c>
      <c r="BK364" s="674">
        <v>50.833623952257625</v>
      </c>
      <c r="BL364" s="40">
        <v>0</v>
      </c>
      <c r="BM364" s="38">
        <v>-50.833623952257625</v>
      </c>
      <c r="BN364" s="674">
        <v>21.631800000000002</v>
      </c>
      <c r="BO364" s="40">
        <v>0</v>
      </c>
      <c r="BP364" s="55">
        <v>-21.631800000000002</v>
      </c>
      <c r="BQ364" s="77">
        <v>926.71937375525658</v>
      </c>
      <c r="BR364" s="40">
        <v>0</v>
      </c>
      <c r="BS364" s="55">
        <v>-926.71937375525658</v>
      </c>
      <c r="BT364" s="674">
        <v>2670.3689612808407</v>
      </c>
      <c r="BU364" s="40">
        <v>4627.9875869993857</v>
      </c>
      <c r="BV364" s="52">
        <v>1957.618625718545</v>
      </c>
      <c r="BW364" s="674">
        <v>64.938305402962882</v>
      </c>
      <c r="BX364" s="40">
        <v>529.33774816290065</v>
      </c>
      <c r="BY364" s="52">
        <v>464.39944275993776</v>
      </c>
      <c r="BZ364" s="674">
        <v>1738.6777616604966</v>
      </c>
      <c r="CA364" s="40">
        <v>822.11646759348719</v>
      </c>
      <c r="CB364" s="52">
        <v>-916.56129406700938</v>
      </c>
      <c r="CC364" s="674">
        <v>0</v>
      </c>
      <c r="CD364" s="40">
        <v>0</v>
      </c>
      <c r="CE364" s="52">
        <v>0</v>
      </c>
      <c r="CF364" s="674">
        <v>0</v>
      </c>
      <c r="CG364" s="40">
        <v>0</v>
      </c>
      <c r="CH364" s="52">
        <v>0</v>
      </c>
      <c r="CI364" s="674">
        <v>0</v>
      </c>
      <c r="CJ364" s="40">
        <v>0</v>
      </c>
      <c r="CK364" s="52">
        <v>0</v>
      </c>
      <c r="CL364" s="674">
        <v>0</v>
      </c>
      <c r="CM364" s="40">
        <v>0</v>
      </c>
      <c r="CN364" s="52">
        <v>0</v>
      </c>
      <c r="CO364" s="39">
        <v>0</v>
      </c>
      <c r="CP364" s="40">
        <v>0</v>
      </c>
      <c r="CQ364" s="52">
        <v>0</v>
      </c>
      <c r="CR364" s="72">
        <v>11668.635369702457</v>
      </c>
      <c r="CS364" s="5">
        <v>9421.5952472489425</v>
      </c>
      <c r="CT364" s="52">
        <v>-2247.0401224535144</v>
      </c>
      <c r="CU364" s="77">
        <v>14002.362443642947</v>
      </c>
      <c r="CV364" s="65">
        <v>11305.914296698731</v>
      </c>
      <c r="CW364" s="35">
        <v>-2696.4481469442162</v>
      </c>
      <c r="CX364" s="73">
        <v>401.83575242729717</v>
      </c>
      <c r="CY364" s="40">
        <v>3098.2838993715145</v>
      </c>
      <c r="CZ364" s="52">
        <v>2696.4481469442171</v>
      </c>
      <c r="DA364" s="150">
        <v>-9785.2049577854996</v>
      </c>
      <c r="DB364" s="2">
        <v>2</v>
      </c>
      <c r="DC364" s="675">
        <v>7931.18</v>
      </c>
      <c r="DD364" s="675">
        <v>431.58000000000004</v>
      </c>
      <c r="DE364" s="675">
        <v>7164.3531002791733</v>
      </c>
      <c r="DF364" s="675">
        <v>230.05378305222879</v>
      </c>
      <c r="DG364" s="321">
        <v>-7088.7568108412834</v>
      </c>
      <c r="DH364" s="40">
        <v>14402.155777986107</v>
      </c>
      <c r="DI364" s="422">
        <v>968.35311666859855</v>
      </c>
      <c r="DJ364" s="306">
        <v>3.2987477403459833</v>
      </c>
      <c r="DK364" s="306">
        <v>3.2987477403459833</v>
      </c>
      <c r="DL364" s="306">
        <v>3.2609420218085963</v>
      </c>
      <c r="DM364" s="28">
        <v>766.82689972082733</v>
      </c>
      <c r="DN364" s="28">
        <v>201.52621694777125</v>
      </c>
      <c r="DO364" s="423">
        <v>968.35311666859855</v>
      </c>
      <c r="DP364" s="94">
        <v>0</v>
      </c>
      <c r="DQ364" s="28">
        <v>968.35311666859855</v>
      </c>
      <c r="DR364" s="318"/>
      <c r="DT364" s="8"/>
      <c r="DU364" s="5"/>
      <c r="DX364" s="5">
        <v>4134.011117894539</v>
      </c>
      <c r="DY364" s="5">
        <v>0</v>
      </c>
      <c r="DZ364" s="159">
        <v>268.85110182227044</v>
      </c>
      <c r="EB364" s="676">
        <v>-142.85823716130812</v>
      </c>
      <c r="EC364" s="676">
        <v>-539.11193187303593</v>
      </c>
      <c r="ED364" s="676">
        <v>-565.21973350962912</v>
      </c>
      <c r="EE364" s="676">
        <v>829.24162631962076</v>
      </c>
      <c r="EF364" s="676">
        <v>-368.18050615606921</v>
      </c>
      <c r="EG364" s="676">
        <v>-518.88079412085244</v>
      </c>
      <c r="EH364" s="676">
        <v>-36.605674257997521</v>
      </c>
      <c r="EI364" s="676">
        <v>-218.20172479646897</v>
      </c>
      <c r="EJ364" s="676">
        <v>-333.37175904938761</v>
      </c>
      <c r="EK364" s="676">
        <v>-204.64452218292161</v>
      </c>
      <c r="EL364" s="676">
        <v>-254.12466614448272</v>
      </c>
      <c r="EM364" s="676">
        <v>-344.49022401168384</v>
      </c>
      <c r="EN364" s="676">
        <v>-2696.4481469442167</v>
      </c>
      <c r="EQ364" s="5">
        <v>4134.011117894539</v>
      </c>
      <c r="ER364" s="5">
        <v>0</v>
      </c>
      <c r="ET364" s="318">
        <v>-5144.5902725902251</v>
      </c>
      <c r="EU364" s="5">
        <v>-4958.16653825106</v>
      </c>
    </row>
    <row r="365" spans="1:151" x14ac:dyDescent="0.3">
      <c r="A365" s="325">
        <v>150001561</v>
      </c>
      <c r="B365" s="41" t="s">
        <v>811</v>
      </c>
      <c r="C365" s="42" t="s">
        <v>400</v>
      </c>
      <c r="D365" s="27">
        <v>9</v>
      </c>
      <c r="E365" s="293">
        <v>3516.6</v>
      </c>
      <c r="F365" s="305">
        <v>3516.6</v>
      </c>
      <c r="G365" s="508">
        <v>191</v>
      </c>
      <c r="H365" s="677">
        <v>0</v>
      </c>
      <c r="I365" s="674">
        <v>18989.849767578373</v>
      </c>
      <c r="J365" s="40">
        <v>20650.708222654215</v>
      </c>
      <c r="K365" s="52">
        <v>1660.8584550758424</v>
      </c>
      <c r="L365" s="674">
        <v>3047.7224361886779</v>
      </c>
      <c r="M365" s="40">
        <v>3335.8497140925306</v>
      </c>
      <c r="N365" s="52">
        <v>288.1272779038527</v>
      </c>
      <c r="O365" s="674">
        <v>0</v>
      </c>
      <c r="P365" s="40">
        <v>0</v>
      </c>
      <c r="Q365" s="52">
        <v>0</v>
      </c>
      <c r="R365" s="674">
        <v>0</v>
      </c>
      <c r="S365" s="40">
        <v>0</v>
      </c>
      <c r="T365" s="52">
        <v>0</v>
      </c>
      <c r="U365" s="674">
        <v>243.71184737857413</v>
      </c>
      <c r="V365" s="40">
        <v>907.40522208906543</v>
      </c>
      <c r="W365" s="52">
        <v>663.6933747104913</v>
      </c>
      <c r="X365" s="674">
        <v>6692.6241033248534</v>
      </c>
      <c r="Y365" s="40">
        <v>4669.8161166180789</v>
      </c>
      <c r="Z365" s="52">
        <v>-2022.8079867067745</v>
      </c>
      <c r="AA365" s="674">
        <v>421.34400000000005</v>
      </c>
      <c r="AB365" s="40">
        <v>0</v>
      </c>
      <c r="AC365" s="52">
        <v>-421.34400000000005</v>
      </c>
      <c r="AD365" s="674">
        <v>14650.265553366686</v>
      </c>
      <c r="AE365" s="40">
        <v>14933.281087493215</v>
      </c>
      <c r="AF365" s="35">
        <v>283.01553412652902</v>
      </c>
      <c r="AG365" s="77">
        <v>44045.517707837163</v>
      </c>
      <c r="AH365" s="53">
        <v>44497.060362947108</v>
      </c>
      <c r="AI365" s="52">
        <v>451.54265510994446</v>
      </c>
      <c r="AJ365" s="674">
        <v>10609.411719249994</v>
      </c>
      <c r="AK365" s="40">
        <v>9030.7019048473394</v>
      </c>
      <c r="AL365" s="52">
        <v>-1578.709814402655</v>
      </c>
      <c r="AM365" s="674">
        <v>1524.9057038298306</v>
      </c>
      <c r="AN365" s="40">
        <v>1382.5792552370797</v>
      </c>
      <c r="AO365" s="52">
        <v>-142.32644859275092</v>
      </c>
      <c r="AP365" s="674">
        <v>4451.8665617426759</v>
      </c>
      <c r="AQ365" s="40">
        <v>3704.7488526781103</v>
      </c>
      <c r="AR365" s="52">
        <v>-747.11770906456559</v>
      </c>
      <c r="AS365" s="674">
        <v>34317.061598462184</v>
      </c>
      <c r="AT365" s="40">
        <v>4473.68</v>
      </c>
      <c r="AU365" s="54">
        <v>-29843.381598462183</v>
      </c>
      <c r="AV365" s="674">
        <v>2966.26460824588</v>
      </c>
      <c r="AW365" s="40">
        <v>45</v>
      </c>
      <c r="AX365" s="55">
        <v>-2921.26460824588</v>
      </c>
      <c r="AY365" s="674">
        <v>3497.632615729789</v>
      </c>
      <c r="AZ365" s="40">
        <v>272</v>
      </c>
      <c r="BA365" s="35">
        <v>-3225.632615729789</v>
      </c>
      <c r="BB365" s="674">
        <v>0</v>
      </c>
      <c r="BC365" s="40">
        <v>0</v>
      </c>
      <c r="BD365" s="55">
        <v>0</v>
      </c>
      <c r="BE365" s="674">
        <v>0</v>
      </c>
      <c r="BF365" s="40">
        <v>0</v>
      </c>
      <c r="BG365" s="38">
        <v>0</v>
      </c>
      <c r="BH365" s="674">
        <v>314.91287882727175</v>
      </c>
      <c r="BI365" s="40">
        <v>0</v>
      </c>
      <c r="BJ365" s="55">
        <v>-314.91287882727175</v>
      </c>
      <c r="BK365" s="674">
        <v>513.53204029258166</v>
      </c>
      <c r="BL365" s="40">
        <v>193</v>
      </c>
      <c r="BM365" s="38">
        <v>-320.53204029258166</v>
      </c>
      <c r="BN365" s="674">
        <v>105.33600000000001</v>
      </c>
      <c r="BO365" s="40">
        <v>0</v>
      </c>
      <c r="BP365" s="55">
        <v>-105.33600000000001</v>
      </c>
      <c r="BQ365" s="77">
        <v>7397.6781430955234</v>
      </c>
      <c r="BR365" s="40">
        <v>510</v>
      </c>
      <c r="BS365" s="55">
        <v>-6887.6781430955234</v>
      </c>
      <c r="BT365" s="674">
        <v>18242.628111061393</v>
      </c>
      <c r="BU365" s="40">
        <v>23873.890570110107</v>
      </c>
      <c r="BV365" s="52">
        <v>5631.2624590487139</v>
      </c>
      <c r="BW365" s="674">
        <v>27090.164283524646</v>
      </c>
      <c r="BX365" s="40">
        <v>24377.021869674078</v>
      </c>
      <c r="BY365" s="52">
        <v>-2713.1424138505681</v>
      </c>
      <c r="BZ365" s="674">
        <v>11775.004899575531</v>
      </c>
      <c r="CA365" s="40">
        <v>6421.1719404127562</v>
      </c>
      <c r="CB365" s="52">
        <v>-5353.8329591627753</v>
      </c>
      <c r="CC365" s="674">
        <v>94.763163482301124</v>
      </c>
      <c r="CD365" s="40">
        <v>99.598080463248237</v>
      </c>
      <c r="CE365" s="52">
        <v>4.8349169809471135</v>
      </c>
      <c r="CF365" s="674">
        <v>11.582016776796063</v>
      </c>
      <c r="CG365" s="40">
        <v>0</v>
      </c>
      <c r="CH365" s="52">
        <v>-11.582016776796063</v>
      </c>
      <c r="CI365" s="674">
        <v>3376.3264313709624</v>
      </c>
      <c r="CJ365" s="40">
        <v>3792.6852062177427</v>
      </c>
      <c r="CK365" s="52">
        <v>416.35877484678031</v>
      </c>
      <c r="CL365" s="674">
        <v>8049.5787169865798</v>
      </c>
      <c r="CM365" s="40">
        <v>9685.9433095674322</v>
      </c>
      <c r="CN365" s="52">
        <v>1636.3645925808523</v>
      </c>
      <c r="CO365" s="39">
        <v>11425.905148357542</v>
      </c>
      <c r="CP365" s="40">
        <v>13478.628515785174</v>
      </c>
      <c r="CQ365" s="52">
        <v>2052.7233674276322</v>
      </c>
      <c r="CR365" s="72">
        <v>170986.48905699555</v>
      </c>
      <c r="CS365" s="5">
        <v>131849.08135215499</v>
      </c>
      <c r="CT365" s="52">
        <v>-39137.40770484056</v>
      </c>
      <c r="CU365" s="77">
        <v>205183.78686839464</v>
      </c>
      <c r="CV365" s="65">
        <v>158218.89762258597</v>
      </c>
      <c r="CW365" s="35">
        <v>-46964.889245808678</v>
      </c>
      <c r="CX365" s="73">
        <v>4576.1284268497711</v>
      </c>
      <c r="CY365" s="40">
        <v>51541.017672658425</v>
      </c>
      <c r="CZ365" s="52">
        <v>46964.889245808656</v>
      </c>
      <c r="DA365" s="150">
        <v>-124601.53280215811</v>
      </c>
      <c r="DB365" s="2">
        <v>2</v>
      </c>
      <c r="DC365" s="675">
        <v>-171.14</v>
      </c>
      <c r="DD365" s="675">
        <v>0</v>
      </c>
      <c r="DE365" s="675">
        <v>-18539.636949046391</v>
      </c>
      <c r="DF365" s="675">
        <v>0</v>
      </c>
      <c r="DG365" s="321">
        <v>-77636.643556349445</v>
      </c>
      <c r="DH365" s="40">
        <v>209743.95963172568</v>
      </c>
      <c r="DI365" s="422">
        <v>18368.496949046392</v>
      </c>
      <c r="DJ365" s="306">
        <v>4.6285575368843217</v>
      </c>
      <c r="DK365" s="306">
        <v>5.2575302079328505</v>
      </c>
      <c r="DL365" s="306">
        <v>3.7346500935356937</v>
      </c>
      <c r="DM365" s="28">
        <v>18368.496949046392</v>
      </c>
      <c r="DN365" s="28">
        <v>0</v>
      </c>
      <c r="DO365" s="423">
        <v>18368.496949046392</v>
      </c>
      <c r="DP365" s="94">
        <v>0</v>
      </c>
      <c r="DQ365" s="28">
        <v>18368.496949046392</v>
      </c>
      <c r="DR365" s="318"/>
      <c r="DT365" s="8"/>
      <c r="DU365" s="5"/>
      <c r="DX365" s="5">
        <v>50057.68768986925</v>
      </c>
      <c r="DY365" s="5">
        <v>5980.4160000000002</v>
      </c>
      <c r="DZ365" s="159">
        <v>4405.8526757562668</v>
      </c>
      <c r="EB365" s="676">
        <v>667.52335903757557</v>
      </c>
      <c r="EC365" s="676">
        <v>-2378.317603660862</v>
      </c>
      <c r="ED365" s="676">
        <v>-3109.2286111202466</v>
      </c>
      <c r="EE365" s="676">
        <v>-8661.8691413355955</v>
      </c>
      <c r="EF365" s="676">
        <v>-7281.6826287655458</v>
      </c>
      <c r="EG365" s="676">
        <v>-6495.3382516019246</v>
      </c>
      <c r="EH365" s="676">
        <v>-1482.8863993126433</v>
      </c>
      <c r="EI365" s="676">
        <v>-4074.3244582227344</v>
      </c>
      <c r="EJ365" s="676">
        <v>-4592.1454795326808</v>
      </c>
      <c r="EK365" s="676">
        <v>-3635.5832290380367</v>
      </c>
      <c r="EL365" s="676">
        <v>-2916.8300553957379</v>
      </c>
      <c r="EM365" s="676">
        <v>-3004.206746860229</v>
      </c>
      <c r="EN365" s="676">
        <v>-46964.889245808663</v>
      </c>
      <c r="EQ365" s="5">
        <v>50057.68768986925</v>
      </c>
      <c r="ER365" s="5">
        <v>5980.4160000000002</v>
      </c>
      <c r="ET365" s="318">
        <v>-42587.252862166562</v>
      </c>
      <c r="EU365" s="5">
        <v>-32556.390694182912</v>
      </c>
    </row>
    <row r="366" spans="1:151" x14ac:dyDescent="0.3">
      <c r="A366" s="325">
        <v>150000892</v>
      </c>
      <c r="B366" s="41" t="s">
        <v>812</v>
      </c>
      <c r="C366" s="42" t="s">
        <v>401</v>
      </c>
      <c r="D366" s="27">
        <v>9</v>
      </c>
      <c r="E366" s="293">
        <v>4153.8999999999996</v>
      </c>
      <c r="F366" s="305">
        <v>4153.8999999999996</v>
      </c>
      <c r="G366" s="508">
        <v>391.15</v>
      </c>
      <c r="H366" s="677">
        <v>0</v>
      </c>
      <c r="I366" s="674">
        <v>16143.511706004323</v>
      </c>
      <c r="J366" s="40">
        <v>15502.594383423957</v>
      </c>
      <c r="K366" s="52">
        <v>-640.91732258036609</v>
      </c>
      <c r="L366" s="674">
        <v>2676.3492146119615</v>
      </c>
      <c r="M366" s="40">
        <v>2557.6353535987541</v>
      </c>
      <c r="N366" s="52">
        <v>-118.71386101320741</v>
      </c>
      <c r="O366" s="674">
        <v>5124.989037731596</v>
      </c>
      <c r="P366" s="40">
        <v>5125.9149999999991</v>
      </c>
      <c r="Q366" s="52">
        <v>0.92596226840305462</v>
      </c>
      <c r="R366" s="674">
        <v>1268.147992655505</v>
      </c>
      <c r="S366" s="40">
        <v>1266.98</v>
      </c>
      <c r="T366" s="52">
        <v>-1.1679926555050315</v>
      </c>
      <c r="U366" s="674">
        <v>714.84307937464087</v>
      </c>
      <c r="V366" s="40">
        <v>485.42495703916586</v>
      </c>
      <c r="W366" s="52">
        <v>-229.418122335475</v>
      </c>
      <c r="X366" s="674">
        <v>5383.0878813515565</v>
      </c>
      <c r="Y366" s="40">
        <v>4229.6655002799071</v>
      </c>
      <c r="Z366" s="52">
        <v>-1153.4223810716494</v>
      </c>
      <c r="AA366" s="674">
        <v>498.46799999999996</v>
      </c>
      <c r="AB366" s="40">
        <v>0</v>
      </c>
      <c r="AC366" s="52">
        <v>-498.46799999999996</v>
      </c>
      <c r="AD366" s="674">
        <v>17809.858830364206</v>
      </c>
      <c r="AE366" s="40">
        <v>17648.765659938126</v>
      </c>
      <c r="AF366" s="35">
        <v>-161.09317042608018</v>
      </c>
      <c r="AG366" s="77">
        <v>49619.255742093788</v>
      </c>
      <c r="AH366" s="53">
        <v>46816.980854279915</v>
      </c>
      <c r="AI366" s="52">
        <v>-2802.2748878138736</v>
      </c>
      <c r="AJ366" s="674">
        <v>54710.359787684072</v>
      </c>
      <c r="AK366" s="40">
        <v>54351.062014355884</v>
      </c>
      <c r="AL366" s="52">
        <v>-359.29777332818776</v>
      </c>
      <c r="AM366" s="674">
        <v>0</v>
      </c>
      <c r="AN366" s="40">
        <v>0</v>
      </c>
      <c r="AO366" s="52">
        <v>0</v>
      </c>
      <c r="AP366" s="674">
        <v>3192.7527867043432</v>
      </c>
      <c r="AQ366" s="40">
        <v>2681.7371101197455</v>
      </c>
      <c r="AR366" s="52">
        <v>-511.01567658459771</v>
      </c>
      <c r="AS366" s="674">
        <v>52472.791782598957</v>
      </c>
      <c r="AT366" s="40">
        <v>52676.374385418261</v>
      </c>
      <c r="AU366" s="54">
        <v>203.58260281930416</v>
      </c>
      <c r="AV366" s="674">
        <v>2608.2648433723762</v>
      </c>
      <c r="AW366" s="40">
        <v>301</v>
      </c>
      <c r="AX366" s="55">
        <v>-2307.2648433723762</v>
      </c>
      <c r="AY366" s="674">
        <v>3124.3914045112037</v>
      </c>
      <c r="AZ366" s="40">
        <v>2020</v>
      </c>
      <c r="BA366" s="35">
        <v>-1104.3914045112037</v>
      </c>
      <c r="BB366" s="674">
        <v>2258.3630115693645</v>
      </c>
      <c r="BC366" s="40">
        <v>0</v>
      </c>
      <c r="BD366" s="55">
        <v>-2258.3630115693645</v>
      </c>
      <c r="BE366" s="674">
        <v>1939.6601693668702</v>
      </c>
      <c r="BF366" s="40">
        <v>380</v>
      </c>
      <c r="BG366" s="38">
        <v>-1559.6601693668702</v>
      </c>
      <c r="BH366" s="674">
        <v>923.71373565197098</v>
      </c>
      <c r="BI366" s="40">
        <v>17</v>
      </c>
      <c r="BJ366" s="55">
        <v>-906.71373565197098</v>
      </c>
      <c r="BK366" s="674">
        <v>1209.6039594817773</v>
      </c>
      <c r="BL366" s="40">
        <v>0</v>
      </c>
      <c r="BM366" s="38">
        <v>-1209.6039594817773</v>
      </c>
      <c r="BN366" s="674">
        <v>124.61699999999999</v>
      </c>
      <c r="BO366" s="40">
        <v>0</v>
      </c>
      <c r="BP366" s="55">
        <v>-124.61699999999999</v>
      </c>
      <c r="BQ366" s="77">
        <v>12188.614123953565</v>
      </c>
      <c r="BR366" s="40">
        <v>2718</v>
      </c>
      <c r="BS366" s="55">
        <v>-9470.6141239535646</v>
      </c>
      <c r="BT366" s="674">
        <v>54078.574817955661</v>
      </c>
      <c r="BU366" s="40">
        <v>49234.39087459533</v>
      </c>
      <c r="BV366" s="52">
        <v>-4844.1839433603309</v>
      </c>
      <c r="BW366" s="674">
        <v>36281.541819286693</v>
      </c>
      <c r="BX366" s="40">
        <v>37122.150518160917</v>
      </c>
      <c r="BY366" s="52">
        <v>840.6086988742245</v>
      </c>
      <c r="BZ366" s="674">
        <v>6726.6471161711524</v>
      </c>
      <c r="CA366" s="40">
        <v>12533.14190327406</v>
      </c>
      <c r="CB366" s="52">
        <v>5806.4947871029071</v>
      </c>
      <c r="CC366" s="674">
        <v>1357.5099011845491</v>
      </c>
      <c r="CD366" s="40">
        <v>1418.703097460809</v>
      </c>
      <c r="CE366" s="52">
        <v>61.193196276259869</v>
      </c>
      <c r="CF366" s="674">
        <v>164.97750759510717</v>
      </c>
      <c r="CG366" s="40">
        <v>0</v>
      </c>
      <c r="CH366" s="52">
        <v>-164.97750759510717</v>
      </c>
      <c r="CI366" s="674">
        <v>11066.819739844366</v>
      </c>
      <c r="CJ366" s="40">
        <v>11665.057732227297</v>
      </c>
      <c r="CK366" s="52">
        <v>598.23799238293032</v>
      </c>
      <c r="CL366" s="674">
        <v>7446.1829377339718</v>
      </c>
      <c r="CM366" s="40">
        <v>7139.1610869322403</v>
      </c>
      <c r="CN366" s="52">
        <v>-307.02185080173149</v>
      </c>
      <c r="CO366" s="39">
        <v>18513.002677578337</v>
      </c>
      <c r="CP366" s="40">
        <v>18804.218819159538</v>
      </c>
      <c r="CQ366" s="52">
        <v>291.21614158120065</v>
      </c>
      <c r="CR366" s="72">
        <v>289306.02806280623</v>
      </c>
      <c r="CS366" s="5">
        <v>278356.75957682444</v>
      </c>
      <c r="CT366" s="52">
        <v>-10949.268485981796</v>
      </c>
      <c r="CU366" s="77">
        <v>347167.23367536749</v>
      </c>
      <c r="CV366" s="65">
        <v>334028.11149218929</v>
      </c>
      <c r="CW366" s="35">
        <v>-13139.122183178202</v>
      </c>
      <c r="CX366" s="73">
        <v>6350.0768434642414</v>
      </c>
      <c r="CY366" s="40">
        <v>19489.199026642353</v>
      </c>
      <c r="CZ366" s="52">
        <v>13139.122183178111</v>
      </c>
      <c r="DA366" s="150">
        <v>104540.12976557334</v>
      </c>
      <c r="DB366" s="2">
        <v>3</v>
      </c>
      <c r="DC366" s="675">
        <v>68920.39</v>
      </c>
      <c r="DD366" s="675">
        <v>0</v>
      </c>
      <c r="DE366" s="675">
        <v>37953.353831007436</v>
      </c>
      <c r="DF366" s="675">
        <v>0</v>
      </c>
      <c r="DG366" s="321">
        <v>117679.25194875145</v>
      </c>
      <c r="DH366" s="40">
        <v>353490.45151113207</v>
      </c>
      <c r="DI366" s="422">
        <v>30967.036168992563</v>
      </c>
      <c r="DJ366" s="306">
        <v>5.8821644209143864</v>
      </c>
      <c r="DK366" s="306">
        <v>7.6184247042062072</v>
      </c>
      <c r="DL366" s="306">
        <v>4.9164996750464756</v>
      </c>
      <c r="DM366" s="28">
        <v>30967.036168992563</v>
      </c>
      <c r="DN366" s="28">
        <v>0</v>
      </c>
      <c r="DO366" s="423">
        <v>30967.036168992563</v>
      </c>
      <c r="DP366" s="94">
        <v>0</v>
      </c>
      <c r="DQ366" s="28">
        <v>30967.036168992563</v>
      </c>
      <c r="DR366" s="318"/>
      <c r="DT366" s="8"/>
      <c r="DU366" s="5"/>
      <c r="DX366" s="5">
        <v>77593.687087863029</v>
      </c>
      <c r="DY366" s="5">
        <v>66473.249262501908</v>
      </c>
      <c r="DZ366" s="159">
        <v>7159.3174538635067</v>
      </c>
      <c r="EB366" s="676">
        <v>180.2511871127972</v>
      </c>
      <c r="EC366" s="676">
        <v>-279.7345357106351</v>
      </c>
      <c r="ED366" s="676">
        <v>-3065.7028678406969</v>
      </c>
      <c r="EE366" s="676">
        <v>16658.163581960951</v>
      </c>
      <c r="EF366" s="676">
        <v>-622.27926870410738</v>
      </c>
      <c r="EG366" s="676">
        <v>-7710.9675106323375</v>
      </c>
      <c r="EH366" s="676">
        <v>-7376.3440714412245</v>
      </c>
      <c r="EI366" s="676">
        <v>-9296.7436527424397</v>
      </c>
      <c r="EJ366" s="676">
        <v>-7615.3655165477503</v>
      </c>
      <c r="EK366" s="676">
        <v>17161.93628409988</v>
      </c>
      <c r="EL366" s="676">
        <v>-4155.800801174908</v>
      </c>
      <c r="EM366" s="676">
        <v>-7016.5350115576402</v>
      </c>
      <c r="EN366" s="676">
        <v>-13139.122183178111</v>
      </c>
      <c r="EQ366" s="5">
        <v>77593.687087863029</v>
      </c>
      <c r="ER366" s="5">
        <v>66473.249262501908</v>
      </c>
      <c r="ET366" s="318">
        <v>3869.8099919794186</v>
      </c>
      <c r="EU366" s="5">
        <v>88603.441956772003</v>
      </c>
    </row>
    <row r="367" spans="1:151" x14ac:dyDescent="0.3">
      <c r="A367" s="325">
        <v>150000893</v>
      </c>
      <c r="B367" s="41" t="s">
        <v>813</v>
      </c>
      <c r="C367" s="42" t="s">
        <v>315</v>
      </c>
      <c r="D367" s="27">
        <v>5</v>
      </c>
      <c r="E367" s="293">
        <v>2749.1</v>
      </c>
      <c r="F367" s="305">
        <v>2749.1</v>
      </c>
      <c r="G367" s="508">
        <v>0</v>
      </c>
      <c r="H367" s="677">
        <v>0</v>
      </c>
      <c r="I367" s="674">
        <v>10187.93223018111</v>
      </c>
      <c r="J367" s="40">
        <v>9712.9915113655898</v>
      </c>
      <c r="K367" s="52">
        <v>-474.94071881552009</v>
      </c>
      <c r="L367" s="674">
        <v>1960.5068703052143</v>
      </c>
      <c r="M367" s="40">
        <v>1873.5818709942835</v>
      </c>
      <c r="N367" s="52">
        <v>-86.924999310930843</v>
      </c>
      <c r="O367" s="674">
        <v>3790.1538463111165</v>
      </c>
      <c r="P367" s="40">
        <v>3790.4200000000005</v>
      </c>
      <c r="Q367" s="52">
        <v>0.2661536888840601</v>
      </c>
      <c r="R367" s="674">
        <v>0</v>
      </c>
      <c r="S367" s="40">
        <v>0</v>
      </c>
      <c r="T367" s="52">
        <v>0</v>
      </c>
      <c r="U367" s="674">
        <v>650.02174156792057</v>
      </c>
      <c r="V367" s="40">
        <v>441.39365695999027</v>
      </c>
      <c r="W367" s="52">
        <v>-208.6280846079303</v>
      </c>
      <c r="X367" s="674">
        <v>6547.0104653194812</v>
      </c>
      <c r="Y367" s="40">
        <v>5172.2235789250462</v>
      </c>
      <c r="Z367" s="52">
        <v>-1374.786886394435</v>
      </c>
      <c r="AA367" s="674">
        <v>329.964</v>
      </c>
      <c r="AB367" s="40">
        <v>0</v>
      </c>
      <c r="AC367" s="52">
        <v>-329.964</v>
      </c>
      <c r="AD367" s="674">
        <v>11787.401708162766</v>
      </c>
      <c r="AE367" s="40">
        <v>11680.16121614288</v>
      </c>
      <c r="AF367" s="35">
        <v>-107.24049201988601</v>
      </c>
      <c r="AG367" s="77">
        <v>35252.990861847611</v>
      </c>
      <c r="AH367" s="53">
        <v>32670.771834387786</v>
      </c>
      <c r="AI367" s="52">
        <v>-2582.2190274598252</v>
      </c>
      <c r="AJ367" s="674">
        <v>0</v>
      </c>
      <c r="AK367" s="40">
        <v>0</v>
      </c>
      <c r="AL367" s="52">
        <v>0</v>
      </c>
      <c r="AM367" s="674">
        <v>0</v>
      </c>
      <c r="AN367" s="40">
        <v>0</v>
      </c>
      <c r="AO367" s="52">
        <v>0</v>
      </c>
      <c r="AP367" s="674">
        <v>4856.5817037192819</v>
      </c>
      <c r="AQ367" s="40">
        <v>7391.1389237348085</v>
      </c>
      <c r="AR367" s="52">
        <v>2534.5572200155266</v>
      </c>
      <c r="AS367" s="674">
        <v>47740.365999716509</v>
      </c>
      <c r="AT367" s="40">
        <v>36565.809847231081</v>
      </c>
      <c r="AU367" s="54">
        <v>-11174.556152485427</v>
      </c>
      <c r="AV367" s="674">
        <v>2363.619040585766</v>
      </c>
      <c r="AW367" s="40">
        <v>0</v>
      </c>
      <c r="AX367" s="55">
        <v>-2363.619040585766</v>
      </c>
      <c r="AY367" s="674">
        <v>3213.8517921635189</v>
      </c>
      <c r="AZ367" s="40">
        <v>0</v>
      </c>
      <c r="BA367" s="35">
        <v>-3213.8517921635189</v>
      </c>
      <c r="BB367" s="674">
        <v>1475.2476192376482</v>
      </c>
      <c r="BC367" s="40">
        <v>0</v>
      </c>
      <c r="BD367" s="55">
        <v>-1475.2476192376482</v>
      </c>
      <c r="BE367" s="674">
        <v>0</v>
      </c>
      <c r="BF367" s="40">
        <v>0</v>
      </c>
      <c r="BG367" s="38">
        <v>0</v>
      </c>
      <c r="BH367" s="674">
        <v>1109.648866209001</v>
      </c>
      <c r="BI367" s="40">
        <v>0</v>
      </c>
      <c r="BJ367" s="55">
        <v>-1109.648866209001</v>
      </c>
      <c r="BK367" s="674">
        <v>1598.4193074487275</v>
      </c>
      <c r="BL367" s="40">
        <v>0</v>
      </c>
      <c r="BM367" s="38">
        <v>-1598.4193074487275</v>
      </c>
      <c r="BN367" s="674">
        <v>82.491</v>
      </c>
      <c r="BO367" s="40">
        <v>0</v>
      </c>
      <c r="BP367" s="55">
        <v>-82.491</v>
      </c>
      <c r="BQ367" s="77">
        <v>9843.2776256446614</v>
      </c>
      <c r="BR367" s="40">
        <v>0</v>
      </c>
      <c r="BS367" s="55">
        <v>-9843.2776256446614</v>
      </c>
      <c r="BT367" s="674">
        <v>28005.91842620408</v>
      </c>
      <c r="BU367" s="40">
        <v>18606.039590014901</v>
      </c>
      <c r="BV367" s="52">
        <v>-9399.8788361891784</v>
      </c>
      <c r="BW367" s="674">
        <v>16392.794371234664</v>
      </c>
      <c r="BX367" s="40">
        <v>10335.822233561979</v>
      </c>
      <c r="BY367" s="52">
        <v>-6056.9721376726848</v>
      </c>
      <c r="BZ367" s="674">
        <v>5583.5412502230565</v>
      </c>
      <c r="CA367" s="40">
        <v>2736.3784682246283</v>
      </c>
      <c r="CB367" s="52">
        <v>-2847.1627819984283</v>
      </c>
      <c r="CC367" s="674">
        <v>1649.6015789763617</v>
      </c>
      <c r="CD367" s="40">
        <v>1733.7659989144918</v>
      </c>
      <c r="CE367" s="52">
        <v>84.164419938130095</v>
      </c>
      <c r="CF367" s="674">
        <v>201.61540054856727</v>
      </c>
      <c r="CG367" s="40">
        <v>0</v>
      </c>
      <c r="CH367" s="52">
        <v>-201.61540054856727</v>
      </c>
      <c r="CI367" s="674">
        <v>3756.2139276419712</v>
      </c>
      <c r="CJ367" s="40">
        <v>4896.4849340242772</v>
      </c>
      <c r="CK367" s="52">
        <v>1140.271006382306</v>
      </c>
      <c r="CL367" s="674">
        <v>0</v>
      </c>
      <c r="CM367" s="40">
        <v>0</v>
      </c>
      <c r="CN367" s="52">
        <v>0</v>
      </c>
      <c r="CO367" s="39">
        <v>3756.2139276419712</v>
      </c>
      <c r="CP367" s="40">
        <v>4896.4849340242772</v>
      </c>
      <c r="CQ367" s="52">
        <v>1140.271006382306</v>
      </c>
      <c r="CR367" s="72">
        <v>153282.90114575677</v>
      </c>
      <c r="CS367" s="5">
        <v>114936.21183009396</v>
      </c>
      <c r="CT367" s="52">
        <v>-38346.689315662807</v>
      </c>
      <c r="CU367" s="77">
        <v>183939.48137490812</v>
      </c>
      <c r="CV367" s="65">
        <v>137923.45419611275</v>
      </c>
      <c r="CW367" s="35">
        <v>-46016.027178795368</v>
      </c>
      <c r="CX367" s="73">
        <v>9212.9711700804874</v>
      </c>
      <c r="CY367" s="40">
        <v>55228.998348875837</v>
      </c>
      <c r="CZ367" s="52">
        <v>46016.027178795353</v>
      </c>
      <c r="DA367" s="150">
        <v>-120991.93457685801</v>
      </c>
      <c r="DB367" s="2">
        <v>3</v>
      </c>
      <c r="DC367" s="675">
        <v>40428.129999999997</v>
      </c>
      <c r="DD367" s="675">
        <v>0</v>
      </c>
      <c r="DE367" s="675">
        <v>23478.986637828821</v>
      </c>
      <c r="DF367" s="675">
        <v>0</v>
      </c>
      <c r="DG367" s="321">
        <v>-74975.907398062656</v>
      </c>
      <c r="DH367" s="40">
        <v>193137.87306948629</v>
      </c>
      <c r="DI367" s="422">
        <v>16949.14336217118</v>
      </c>
      <c r="DJ367" s="306">
        <v>6.165342607461052</v>
      </c>
      <c r="DK367" s="306">
        <v>6.165342607461052</v>
      </c>
      <c r="DL367" s="306">
        <v>5.4818204994810511</v>
      </c>
      <c r="DM367" s="28">
        <v>16949.143362171177</v>
      </c>
      <c r="DN367" s="28">
        <v>0</v>
      </c>
      <c r="DO367" s="423">
        <v>16949.143362171177</v>
      </c>
      <c r="DP367" s="94">
        <v>0</v>
      </c>
      <c r="DQ367" s="28">
        <v>16949.143362171177</v>
      </c>
      <c r="DR367" s="318"/>
      <c r="DT367" s="8"/>
      <c r="DU367" s="5"/>
      <c r="DX367" s="5">
        <v>69100.372350433405</v>
      </c>
      <c r="DY367" s="5">
        <v>43878.971816677295</v>
      </c>
      <c r="DZ367" s="159">
        <v>6110.1845753544367</v>
      </c>
      <c r="EB367" s="676">
        <v>-1406.0621910585251</v>
      </c>
      <c r="EC367" s="676">
        <v>-3918.0128335466943</v>
      </c>
      <c r="ED367" s="676">
        <v>-4258.3643378836896</v>
      </c>
      <c r="EE367" s="676">
        <v>-6361.864414373822</v>
      </c>
      <c r="EF367" s="676">
        <v>-4180.1198969184625</v>
      </c>
      <c r="EG367" s="676">
        <v>2655.937716123095</v>
      </c>
      <c r="EH367" s="676">
        <v>12230.706756192707</v>
      </c>
      <c r="EI367" s="676">
        <v>-6160.1280361631889</v>
      </c>
      <c r="EJ367" s="676">
        <v>-10590.486836904929</v>
      </c>
      <c r="EK367" s="676">
        <v>-9969.2245356582025</v>
      </c>
      <c r="EL367" s="676">
        <v>-10624.761816867562</v>
      </c>
      <c r="EM367" s="676">
        <v>-3433.6467517360634</v>
      </c>
      <c r="EN367" s="676">
        <v>-46016.027178795346</v>
      </c>
      <c r="EQ367" s="5">
        <v>69100.372350433405</v>
      </c>
      <c r="ER367" s="5">
        <v>43878.971816677295</v>
      </c>
      <c r="ET367" s="318">
        <v>32001.705246527934</v>
      </c>
      <c r="EU367" s="5">
        <v>-37632.61264459059</v>
      </c>
    </row>
    <row r="368" spans="1:151" x14ac:dyDescent="0.3">
      <c r="A368" s="325">
        <v>150000894</v>
      </c>
      <c r="B368" s="41" t="s">
        <v>814</v>
      </c>
      <c r="C368" s="42" t="s">
        <v>316</v>
      </c>
      <c r="D368" s="27">
        <v>5</v>
      </c>
      <c r="E368" s="293">
        <v>4228.09</v>
      </c>
      <c r="F368" s="305">
        <v>3582</v>
      </c>
      <c r="G368" s="508">
        <v>0</v>
      </c>
      <c r="H368" s="677">
        <v>646.09</v>
      </c>
      <c r="I368" s="674">
        <v>14130.180109348825</v>
      </c>
      <c r="J368" s="40">
        <v>13388.069868451446</v>
      </c>
      <c r="K368" s="52">
        <v>-742.11024089737839</v>
      </c>
      <c r="L368" s="674">
        <v>3343.7553536886426</v>
      </c>
      <c r="M368" s="40">
        <v>3195.513851193326</v>
      </c>
      <c r="N368" s="52">
        <v>-148.24150249531658</v>
      </c>
      <c r="O368" s="674">
        <v>5341.4665802469062</v>
      </c>
      <c r="P368" s="40">
        <v>5342.665</v>
      </c>
      <c r="Q368" s="52">
        <v>1.1984197530937308</v>
      </c>
      <c r="R368" s="674">
        <v>0</v>
      </c>
      <c r="S368" s="40">
        <v>0</v>
      </c>
      <c r="T368" s="52">
        <v>0</v>
      </c>
      <c r="U368" s="674">
        <v>974.84610099187387</v>
      </c>
      <c r="V368" s="40">
        <v>662.00366429427731</v>
      </c>
      <c r="W368" s="52">
        <v>-312.84243669759655</v>
      </c>
      <c r="X368" s="674">
        <v>12000.468168540678</v>
      </c>
      <c r="Y368" s="40">
        <v>9798.9188163597246</v>
      </c>
      <c r="Z368" s="52">
        <v>-2201.5493521809531</v>
      </c>
      <c r="AA368" s="674">
        <v>501.07080000000008</v>
      </c>
      <c r="AB368" s="40">
        <v>0</v>
      </c>
      <c r="AC368" s="52">
        <v>-501.07080000000008</v>
      </c>
      <c r="AD368" s="674">
        <v>18035.927728411774</v>
      </c>
      <c r="AE368" s="40">
        <v>18212.909254561087</v>
      </c>
      <c r="AF368" s="35">
        <v>176.98152614931314</v>
      </c>
      <c r="AG368" s="77">
        <v>54327.714841228706</v>
      </c>
      <c r="AH368" s="53">
        <v>50600.080454859861</v>
      </c>
      <c r="AI368" s="52">
        <v>-3727.6343863688453</v>
      </c>
      <c r="AJ368" s="674">
        <v>0</v>
      </c>
      <c r="AK368" s="40">
        <v>0</v>
      </c>
      <c r="AL368" s="52">
        <v>0</v>
      </c>
      <c r="AM368" s="674">
        <v>0</v>
      </c>
      <c r="AN368" s="40">
        <v>0</v>
      </c>
      <c r="AO368" s="52">
        <v>0</v>
      </c>
      <c r="AP368" s="674">
        <v>8094.3028395321371</v>
      </c>
      <c r="AQ368" s="40">
        <v>7023.9862022927755</v>
      </c>
      <c r="AR368" s="52">
        <v>-1070.3166372393616</v>
      </c>
      <c r="AS368" s="674">
        <v>49808.650704109539</v>
      </c>
      <c r="AT368" s="40">
        <v>79340.87</v>
      </c>
      <c r="AU368" s="54">
        <v>29532.219295890456</v>
      </c>
      <c r="AV368" s="674">
        <v>3509.8819156430272</v>
      </c>
      <c r="AW368" s="40">
        <v>884</v>
      </c>
      <c r="AX368" s="55">
        <v>-2625.8819156430272</v>
      </c>
      <c r="AY368" s="674">
        <v>5481.1314687100175</v>
      </c>
      <c r="AZ368" s="40">
        <v>0</v>
      </c>
      <c r="BA368" s="35">
        <v>-5481.1314687100175</v>
      </c>
      <c r="BB368" s="674">
        <v>1949.4482491138779</v>
      </c>
      <c r="BC368" s="40">
        <v>981</v>
      </c>
      <c r="BD368" s="55">
        <v>-968.44824911387786</v>
      </c>
      <c r="BE368" s="674">
        <v>0</v>
      </c>
      <c r="BF368" s="40">
        <v>0</v>
      </c>
      <c r="BG368" s="38">
        <v>0</v>
      </c>
      <c r="BH368" s="674">
        <v>1664.3185243611258</v>
      </c>
      <c r="BI368" s="40">
        <v>0</v>
      </c>
      <c r="BJ368" s="55">
        <v>-1664.3185243611258</v>
      </c>
      <c r="BK368" s="674">
        <v>3170.1012930739139</v>
      </c>
      <c r="BL368" s="40">
        <v>0</v>
      </c>
      <c r="BM368" s="38">
        <v>-3170.1012930739139</v>
      </c>
      <c r="BN368" s="674">
        <v>125.26770000000002</v>
      </c>
      <c r="BO368" s="40">
        <v>0</v>
      </c>
      <c r="BP368" s="55">
        <v>-125.26770000000002</v>
      </c>
      <c r="BQ368" s="77">
        <v>15900.149150901963</v>
      </c>
      <c r="BR368" s="40">
        <v>1865</v>
      </c>
      <c r="BS368" s="55">
        <v>-14035.149150901963</v>
      </c>
      <c r="BT368" s="674">
        <v>33290.097696309393</v>
      </c>
      <c r="BU368" s="40">
        <v>34458.971885377512</v>
      </c>
      <c r="BV368" s="52">
        <v>1168.8741890681194</v>
      </c>
      <c r="BW368" s="674">
        <v>25032.847405250919</v>
      </c>
      <c r="BX368" s="40">
        <v>26056.937839667575</v>
      </c>
      <c r="BY368" s="52">
        <v>1024.0904344166556</v>
      </c>
      <c r="BZ368" s="674">
        <v>6335.396098140398</v>
      </c>
      <c r="CA368" s="40">
        <v>8010.6773784865736</v>
      </c>
      <c r="CB368" s="52">
        <v>1675.2812803461757</v>
      </c>
      <c r="CC368" s="674">
        <v>2272.8986445905939</v>
      </c>
      <c r="CD368" s="40">
        <v>2388.864341058244</v>
      </c>
      <c r="CE368" s="52">
        <v>115.9656964676501</v>
      </c>
      <c r="CF368" s="674">
        <v>277.79518186433233</v>
      </c>
      <c r="CG368" s="40">
        <v>0</v>
      </c>
      <c r="CH368" s="52">
        <v>-277.79518186433233</v>
      </c>
      <c r="CI368" s="674">
        <v>10421.507998889121</v>
      </c>
      <c r="CJ368" s="40">
        <v>10672.310963533482</v>
      </c>
      <c r="CK368" s="52">
        <v>250.80296464436105</v>
      </c>
      <c r="CL368" s="674">
        <v>0</v>
      </c>
      <c r="CM368" s="40">
        <v>0</v>
      </c>
      <c r="CN368" s="52">
        <v>0</v>
      </c>
      <c r="CO368" s="39">
        <v>10421.507998889121</v>
      </c>
      <c r="CP368" s="40">
        <v>10672.310963533482</v>
      </c>
      <c r="CQ368" s="52">
        <v>250.80296464436105</v>
      </c>
      <c r="CR368" s="72">
        <v>205761.36056081709</v>
      </c>
      <c r="CS368" s="5">
        <v>220417.69906527601</v>
      </c>
      <c r="CT368" s="52">
        <v>14656.338504458923</v>
      </c>
      <c r="CU368" s="77">
        <v>246913.63267298049</v>
      </c>
      <c r="CV368" s="65">
        <v>264501.23887833121</v>
      </c>
      <c r="CW368" s="35">
        <v>17587.606205350719</v>
      </c>
      <c r="CX368" s="73">
        <v>15727.036614932385</v>
      </c>
      <c r="CY368" s="40">
        <v>-1860.5695904183267</v>
      </c>
      <c r="CZ368" s="52">
        <v>-17587.606205350712</v>
      </c>
      <c r="DA368" s="150">
        <v>-93264.232318330716</v>
      </c>
      <c r="DB368" s="2">
        <v>3</v>
      </c>
      <c r="DC368" s="675">
        <v>39121.42</v>
      </c>
      <c r="DD368" s="675">
        <v>44443.44</v>
      </c>
      <c r="DE368" s="675">
        <v>19388.787912576765</v>
      </c>
      <c r="DF368" s="675">
        <v>41401.578148788889</v>
      </c>
      <c r="DG368" s="321">
        <v>-110851.83852368144</v>
      </c>
      <c r="DH368" s="40">
        <v>259261.21017768828</v>
      </c>
      <c r="DI368" s="422">
        <v>22774.49393863435</v>
      </c>
      <c r="DJ368" s="306">
        <v>5.5088308451767816</v>
      </c>
      <c r="DK368" s="306">
        <v>5.5088308451767816</v>
      </c>
      <c r="DL368" s="306">
        <v>4.7081085471236435</v>
      </c>
      <c r="DM368" s="28">
        <v>19732.632087423233</v>
      </c>
      <c r="DN368" s="28">
        <v>3041.8618512111148</v>
      </c>
      <c r="DO368" s="423">
        <v>22774.493938634347</v>
      </c>
      <c r="DP368" s="94">
        <v>0</v>
      </c>
      <c r="DQ368" s="28">
        <v>22774.493938634347</v>
      </c>
      <c r="DR368" s="318"/>
      <c r="DT368" s="8"/>
      <c r="DU368" s="5"/>
      <c r="DX368" s="5">
        <v>78850.559826013792</v>
      </c>
      <c r="DY368" s="5">
        <v>97447.043999999994</v>
      </c>
      <c r="DZ368" s="159">
        <v>6895.5645793234262</v>
      </c>
      <c r="EB368" s="676">
        <v>9794.7814350258559</v>
      </c>
      <c r="EC368" s="676">
        <v>-4162.2844227852347</v>
      </c>
      <c r="ED368" s="676">
        <v>-1655.2145733050111</v>
      </c>
      <c r="EE368" s="676">
        <v>-6152.0282551747823</v>
      </c>
      <c r="EF368" s="676">
        <v>-8682.5032180764792</v>
      </c>
      <c r="EG368" s="676">
        <v>-4231.4611563838589</v>
      </c>
      <c r="EH368" s="676">
        <v>-235.87919789108855</v>
      </c>
      <c r="EI368" s="676">
        <v>-11237.445038987931</v>
      </c>
      <c r="EJ368" s="676">
        <v>-1508.4989517050199</v>
      </c>
      <c r="EK368" s="676">
        <v>55646.797478919994</v>
      </c>
      <c r="EL368" s="676">
        <v>-3080.1440172826115</v>
      </c>
      <c r="EM368" s="676">
        <v>-6908.5138770031153</v>
      </c>
      <c r="EN368" s="676">
        <v>17587.606205350716</v>
      </c>
      <c r="EQ368" s="5">
        <v>78850.559826013792</v>
      </c>
      <c r="ER368" s="5">
        <v>97447.043999999994</v>
      </c>
      <c r="ET368" s="318">
        <v>-705.47254472301211</v>
      </c>
      <c r="EU368" s="5">
        <v>-35129.365978958456</v>
      </c>
    </row>
    <row r="369" spans="1:151" x14ac:dyDescent="0.3">
      <c r="A369" s="325">
        <v>150000895</v>
      </c>
      <c r="B369" s="41" t="s">
        <v>815</v>
      </c>
      <c r="C369" s="42" t="s">
        <v>317</v>
      </c>
      <c r="D369" s="27">
        <v>5</v>
      </c>
      <c r="E369" s="293">
        <v>2741.4</v>
      </c>
      <c r="F369" s="305">
        <v>2741.4</v>
      </c>
      <c r="G369" s="508">
        <v>0</v>
      </c>
      <c r="H369" s="677">
        <v>0</v>
      </c>
      <c r="I369" s="674">
        <v>10100.386148952273</v>
      </c>
      <c r="J369" s="40">
        <v>9586.2107743733504</v>
      </c>
      <c r="K369" s="52">
        <v>-514.17537457892286</v>
      </c>
      <c r="L369" s="674">
        <v>1939.3160014661273</v>
      </c>
      <c r="M369" s="40">
        <v>1853.3411117493436</v>
      </c>
      <c r="N369" s="52">
        <v>-85.974889716783764</v>
      </c>
      <c r="O369" s="674">
        <v>3766.7964089396805</v>
      </c>
      <c r="P369" s="40">
        <v>3766.1249999999991</v>
      </c>
      <c r="Q369" s="52">
        <v>-0.67140893968144155</v>
      </c>
      <c r="R369" s="674">
        <v>0</v>
      </c>
      <c r="S369" s="40">
        <v>0</v>
      </c>
      <c r="T369" s="52">
        <v>0</v>
      </c>
      <c r="U369" s="674">
        <v>0</v>
      </c>
      <c r="V369" s="40">
        <v>0</v>
      </c>
      <c r="W369" s="52">
        <v>0</v>
      </c>
      <c r="X369" s="674">
        <v>6324.7475045566689</v>
      </c>
      <c r="Y369" s="40">
        <v>5140.2216101343674</v>
      </c>
      <c r="Z369" s="52">
        <v>-1184.5258944223015</v>
      </c>
      <c r="AA369" s="674">
        <v>328.98</v>
      </c>
      <c r="AB369" s="40">
        <v>0</v>
      </c>
      <c r="AC369" s="52">
        <v>-328.98</v>
      </c>
      <c r="AD369" s="674">
        <v>11753.886581853531</v>
      </c>
      <c r="AE369" s="40">
        <v>11647.446057958638</v>
      </c>
      <c r="AF369" s="35">
        <v>-106.44052389489298</v>
      </c>
      <c r="AG369" s="77">
        <v>34214.112645768284</v>
      </c>
      <c r="AH369" s="53">
        <v>31993.344554215699</v>
      </c>
      <c r="AI369" s="52">
        <v>-2220.7680915525852</v>
      </c>
      <c r="AJ369" s="674">
        <v>0</v>
      </c>
      <c r="AK369" s="40">
        <v>0</v>
      </c>
      <c r="AL369" s="52">
        <v>0</v>
      </c>
      <c r="AM369" s="674">
        <v>0</v>
      </c>
      <c r="AN369" s="40">
        <v>0</v>
      </c>
      <c r="AO369" s="52">
        <v>0</v>
      </c>
      <c r="AP369" s="674">
        <v>4047.1514197660686</v>
      </c>
      <c r="AQ369" s="40">
        <v>7391.1389237348085</v>
      </c>
      <c r="AR369" s="52">
        <v>3343.9875039687399</v>
      </c>
      <c r="AS369" s="674">
        <v>41194.453861156508</v>
      </c>
      <c r="AT369" s="40">
        <v>31300.959999999999</v>
      </c>
      <c r="AU369" s="54">
        <v>-9893.4938611565085</v>
      </c>
      <c r="AV369" s="674">
        <v>2336.0850490747207</v>
      </c>
      <c r="AW369" s="40">
        <v>884</v>
      </c>
      <c r="AX369" s="55">
        <v>-1452.0850490747207</v>
      </c>
      <c r="AY369" s="674">
        <v>3178.9928941913777</v>
      </c>
      <c r="AZ369" s="40">
        <v>0</v>
      </c>
      <c r="BA369" s="35">
        <v>-3178.9928941913777</v>
      </c>
      <c r="BB369" s="674">
        <v>1422.2939395900817</v>
      </c>
      <c r="BC369" s="40">
        <v>2251</v>
      </c>
      <c r="BD369" s="55">
        <v>828.70606040991834</v>
      </c>
      <c r="BE369" s="674">
        <v>0</v>
      </c>
      <c r="BF369" s="40">
        <v>0</v>
      </c>
      <c r="BG369" s="38">
        <v>0</v>
      </c>
      <c r="BH369" s="674">
        <v>0</v>
      </c>
      <c r="BI369" s="40">
        <v>0</v>
      </c>
      <c r="BJ369" s="55">
        <v>0</v>
      </c>
      <c r="BK369" s="674">
        <v>1540.0334512121212</v>
      </c>
      <c r="BL369" s="40">
        <v>0</v>
      </c>
      <c r="BM369" s="38">
        <v>-1540.0334512121212</v>
      </c>
      <c r="BN369" s="674">
        <v>82.245000000000005</v>
      </c>
      <c r="BO369" s="40">
        <v>0</v>
      </c>
      <c r="BP369" s="55">
        <v>-82.245000000000005</v>
      </c>
      <c r="BQ369" s="77">
        <v>8559.6503340683012</v>
      </c>
      <c r="BR369" s="40">
        <v>3135</v>
      </c>
      <c r="BS369" s="55">
        <v>-5424.6503340683012</v>
      </c>
      <c r="BT369" s="674">
        <v>24393.741672572352</v>
      </c>
      <c r="BU369" s="40">
        <v>28670.088000929765</v>
      </c>
      <c r="BV369" s="52">
        <v>4276.3463283574129</v>
      </c>
      <c r="BW369" s="674">
        <v>16318.546746536089</v>
      </c>
      <c r="BX369" s="40">
        <v>16832.589786200508</v>
      </c>
      <c r="BY369" s="52">
        <v>514.04303966441876</v>
      </c>
      <c r="BZ369" s="674">
        <v>5285.3011628526619</v>
      </c>
      <c r="CA369" s="40">
        <v>5096.4837696197319</v>
      </c>
      <c r="CB369" s="52">
        <v>-188.81739323293004</v>
      </c>
      <c r="CC369" s="674">
        <v>1643.9880426058558</v>
      </c>
      <c r="CD369" s="40">
        <v>1727.8660539720943</v>
      </c>
      <c r="CE369" s="52">
        <v>83.878011366238525</v>
      </c>
      <c r="CF369" s="674">
        <v>200.92931040519113</v>
      </c>
      <c r="CG369" s="40">
        <v>0</v>
      </c>
      <c r="CH369" s="52">
        <v>-200.92931040519113</v>
      </c>
      <c r="CI369" s="674">
        <v>8901.5134954378518</v>
      </c>
      <c r="CJ369" s="40">
        <v>8202.5732068253674</v>
      </c>
      <c r="CK369" s="52">
        <v>-698.94028861248444</v>
      </c>
      <c r="CL369" s="674">
        <v>0</v>
      </c>
      <c r="CM369" s="40">
        <v>0</v>
      </c>
      <c r="CN369" s="52">
        <v>0</v>
      </c>
      <c r="CO369" s="39">
        <v>8901.5134954378518</v>
      </c>
      <c r="CP369" s="40">
        <v>8202.5732068253674</v>
      </c>
      <c r="CQ369" s="52">
        <v>-698.94028861248444</v>
      </c>
      <c r="CR369" s="72">
        <v>144759.38869116915</v>
      </c>
      <c r="CS369" s="5">
        <v>134350.04429549797</v>
      </c>
      <c r="CT369" s="52">
        <v>-10409.344395671185</v>
      </c>
      <c r="CU369" s="77">
        <v>173711.26642940298</v>
      </c>
      <c r="CV369" s="65">
        <v>161220.05315459755</v>
      </c>
      <c r="CW369" s="35">
        <v>-12491.213274805428</v>
      </c>
      <c r="CX369" s="73">
        <v>8700.8644128239375</v>
      </c>
      <c r="CY369" s="40">
        <v>21192.077687629349</v>
      </c>
      <c r="CZ369" s="52">
        <v>12491.213274805412</v>
      </c>
      <c r="DA369" s="150">
        <v>-63804.84757589022</v>
      </c>
      <c r="DB369" s="2">
        <v>3</v>
      </c>
      <c r="DC369" s="675">
        <v>30750.720000000001</v>
      </c>
      <c r="DD369" s="675">
        <v>0</v>
      </c>
      <c r="DE369" s="675">
        <v>14798.624883221712</v>
      </c>
      <c r="DF369" s="675">
        <v>0</v>
      </c>
      <c r="DG369" s="321">
        <v>-51313.634301084814</v>
      </c>
      <c r="DH369" s="40">
        <v>182398.18569792368</v>
      </c>
      <c r="DI369" s="422">
        <v>15952.09511677829</v>
      </c>
      <c r="DJ369" s="306">
        <v>5.8189593334713248</v>
      </c>
      <c r="DK369" s="306">
        <v>5.8189593334713248</v>
      </c>
      <c r="DL369" s="306">
        <v>5.1320772158934558</v>
      </c>
      <c r="DM369" s="28">
        <v>15952.09511677829</v>
      </c>
      <c r="DN369" s="28">
        <v>0</v>
      </c>
      <c r="DO369" s="423">
        <v>15952.09511677829</v>
      </c>
      <c r="DP369" s="94">
        <v>0</v>
      </c>
      <c r="DQ369" s="28">
        <v>15952.09511677829</v>
      </c>
      <c r="DR369" s="318"/>
      <c r="DT369" s="8"/>
      <c r="DU369" s="5"/>
      <c r="DX369" s="5">
        <v>59704.925034269763</v>
      </c>
      <c r="DY369" s="5">
        <v>41323.151999999995</v>
      </c>
      <c r="DZ369" s="159">
        <v>5176.6723239282301</v>
      </c>
      <c r="EB369" s="676">
        <v>95.447766687626427</v>
      </c>
      <c r="EC369" s="676">
        <v>-1607.8332051842262</v>
      </c>
      <c r="ED369" s="676">
        <v>-4269.5380340650263</v>
      </c>
      <c r="EE369" s="676">
        <v>-1899.9679440145846</v>
      </c>
      <c r="EF369" s="676">
        <v>18234.649402549501</v>
      </c>
      <c r="EG369" s="676">
        <v>-277.77428396479809</v>
      </c>
      <c r="EH369" s="676">
        <v>-3536.634528794315</v>
      </c>
      <c r="EI369" s="676">
        <v>-5553.8431913396744</v>
      </c>
      <c r="EJ369" s="676">
        <v>-3139.3070070406538</v>
      </c>
      <c r="EK369" s="676">
        <v>-4062.807848708766</v>
      </c>
      <c r="EL369" s="676">
        <v>-5986.0863305448274</v>
      </c>
      <c r="EM369" s="676">
        <v>-487.51807038566221</v>
      </c>
      <c r="EN369" s="676">
        <v>-12491.213274805406</v>
      </c>
      <c r="EQ369" s="5">
        <v>59704.925034269763</v>
      </c>
      <c r="ER369" s="5">
        <v>41323.151999999995</v>
      </c>
      <c r="ET369" s="318">
        <v>-37832.654855199849</v>
      </c>
      <c r="EU369" s="5">
        <v>-10177.979445884968</v>
      </c>
    </row>
    <row r="370" spans="1:151" x14ac:dyDescent="0.3">
      <c r="A370" s="325">
        <v>150000922</v>
      </c>
      <c r="B370" s="41" t="s">
        <v>816</v>
      </c>
      <c r="C370" s="42" t="s">
        <v>402</v>
      </c>
      <c r="D370" s="27">
        <v>9</v>
      </c>
      <c r="E370" s="293">
        <v>4247.05</v>
      </c>
      <c r="F370" s="305">
        <v>4247.05</v>
      </c>
      <c r="G370" s="508">
        <v>410.5</v>
      </c>
      <c r="H370" s="677">
        <v>0</v>
      </c>
      <c r="I370" s="674">
        <v>16205.879758983036</v>
      </c>
      <c r="J370" s="40">
        <v>15516.79859431868</v>
      </c>
      <c r="K370" s="52">
        <v>-689.08116466435604</v>
      </c>
      <c r="L370" s="674">
        <v>2696.1727528607871</v>
      </c>
      <c r="M370" s="40">
        <v>2576.5892421387689</v>
      </c>
      <c r="N370" s="52">
        <v>-119.58351072201822</v>
      </c>
      <c r="O370" s="674">
        <v>5233.2912365538259</v>
      </c>
      <c r="P370" s="40">
        <v>5235.0749999999989</v>
      </c>
      <c r="Q370" s="52">
        <v>1.7837634461729976</v>
      </c>
      <c r="R370" s="674">
        <v>1304.2830623336049</v>
      </c>
      <c r="S370" s="40">
        <v>1304.1850000000004</v>
      </c>
      <c r="T370" s="52">
        <v>-9.8062333604502783E-2</v>
      </c>
      <c r="U370" s="674">
        <v>714.84307937464087</v>
      </c>
      <c r="V370" s="40">
        <v>485.42495703916586</v>
      </c>
      <c r="W370" s="52">
        <v>-229.418122335475</v>
      </c>
      <c r="X370" s="674">
        <v>5460.6164098612635</v>
      </c>
      <c r="Y370" s="40">
        <v>4675.4597975846036</v>
      </c>
      <c r="Z370" s="52">
        <v>-785.15661227665987</v>
      </c>
      <c r="AA370" s="674">
        <v>518.21399999999994</v>
      </c>
      <c r="AB370" s="40">
        <v>0</v>
      </c>
      <c r="AC370" s="52">
        <v>-518.21399999999994</v>
      </c>
      <c r="AD370" s="674">
        <v>18282.200491816991</v>
      </c>
      <c r="AE370" s="40">
        <v>18044.534099530618</v>
      </c>
      <c r="AF370" s="35">
        <v>-237.66639228637359</v>
      </c>
      <c r="AG370" s="77">
        <v>50415.50079178415</v>
      </c>
      <c r="AH370" s="53">
        <v>47838.066690611835</v>
      </c>
      <c r="AI370" s="52">
        <v>-2577.4341011723154</v>
      </c>
      <c r="AJ370" s="674">
        <v>54710.403602684069</v>
      </c>
      <c r="AK370" s="40">
        <v>54351.050821091791</v>
      </c>
      <c r="AL370" s="52">
        <v>-359.35278159227892</v>
      </c>
      <c r="AM370" s="674">
        <v>0</v>
      </c>
      <c r="AN370" s="40">
        <v>0</v>
      </c>
      <c r="AO370" s="52">
        <v>0</v>
      </c>
      <c r="AP370" s="674">
        <v>3147.7844375958316</v>
      </c>
      <c r="AQ370" s="40">
        <v>2639.1617388827704</v>
      </c>
      <c r="AR370" s="52">
        <v>-508.62269871306125</v>
      </c>
      <c r="AS370" s="674">
        <v>58332.597677294048</v>
      </c>
      <c r="AT370" s="40">
        <v>5524.5</v>
      </c>
      <c r="AU370" s="54">
        <v>-52808.097677294048</v>
      </c>
      <c r="AV370" s="674">
        <v>2633.5974493105196</v>
      </c>
      <c r="AW370" s="40">
        <v>301</v>
      </c>
      <c r="AX370" s="55">
        <v>-2332.5974493105196</v>
      </c>
      <c r="AY370" s="674">
        <v>3147.2270946762419</v>
      </c>
      <c r="AZ370" s="40">
        <v>0</v>
      </c>
      <c r="BA370" s="35">
        <v>-3147.2270946762419</v>
      </c>
      <c r="BB370" s="674">
        <v>2314.2267034056381</v>
      </c>
      <c r="BC370" s="40">
        <v>1411</v>
      </c>
      <c r="BD370" s="55">
        <v>-903.22670340563809</v>
      </c>
      <c r="BE370" s="674">
        <v>1994.7994206292619</v>
      </c>
      <c r="BF370" s="40">
        <v>0</v>
      </c>
      <c r="BG370" s="38">
        <v>-1994.7994206292619</v>
      </c>
      <c r="BH370" s="674">
        <v>923.71373565197098</v>
      </c>
      <c r="BI370" s="40">
        <v>17</v>
      </c>
      <c r="BJ370" s="55">
        <v>-906.71373565197098</v>
      </c>
      <c r="BK370" s="674">
        <v>1126.9519942613567</v>
      </c>
      <c r="BL370" s="40">
        <v>0</v>
      </c>
      <c r="BM370" s="38">
        <v>-1126.9519942613567</v>
      </c>
      <c r="BN370" s="674">
        <v>129.55349999999999</v>
      </c>
      <c r="BO370" s="40">
        <v>0</v>
      </c>
      <c r="BP370" s="55">
        <v>-129.55349999999999</v>
      </c>
      <c r="BQ370" s="77">
        <v>12270.069897934989</v>
      </c>
      <c r="BR370" s="40">
        <v>1729</v>
      </c>
      <c r="BS370" s="55">
        <v>-10541.069897934989</v>
      </c>
      <c r="BT370" s="674">
        <v>48012.028563002052</v>
      </c>
      <c r="BU370" s="40">
        <v>41517.714911242583</v>
      </c>
      <c r="BV370" s="52">
        <v>-6494.3136517594685</v>
      </c>
      <c r="BW370" s="674">
        <v>35517.827761356399</v>
      </c>
      <c r="BX370" s="40">
        <v>36284.14771883042</v>
      </c>
      <c r="BY370" s="52">
        <v>766.31995747402107</v>
      </c>
      <c r="BZ370" s="674">
        <v>5649.4321022803442</v>
      </c>
      <c r="CA370" s="40">
        <v>11443.144082541367</v>
      </c>
      <c r="CB370" s="52">
        <v>5793.7119802610223</v>
      </c>
      <c r="CC370" s="674">
        <v>1743.3348558503137</v>
      </c>
      <c r="CD370" s="40">
        <v>1825.4780143557232</v>
      </c>
      <c r="CE370" s="52">
        <v>82.143158505409474</v>
      </c>
      <c r="CF370" s="674">
        <v>212.28036614362284</v>
      </c>
      <c r="CG370" s="40">
        <v>0</v>
      </c>
      <c r="CH370" s="52">
        <v>-212.28036614362284</v>
      </c>
      <c r="CI370" s="674">
        <v>16183.155408441589</v>
      </c>
      <c r="CJ370" s="40">
        <v>14485.686955204452</v>
      </c>
      <c r="CK370" s="52">
        <v>-1697.4684532371375</v>
      </c>
      <c r="CL370" s="674">
        <v>7746.9224105997109</v>
      </c>
      <c r="CM370" s="40">
        <v>10929.061210384472</v>
      </c>
      <c r="CN370" s="52">
        <v>3182.1387997847614</v>
      </c>
      <c r="CO370" s="39">
        <v>23930.0778190413</v>
      </c>
      <c r="CP370" s="40">
        <v>25414.748165588924</v>
      </c>
      <c r="CQ370" s="52">
        <v>1484.6703465476239</v>
      </c>
      <c r="CR370" s="72">
        <v>293941.33787496708</v>
      </c>
      <c r="CS370" s="5">
        <v>228567.01214314543</v>
      </c>
      <c r="CT370" s="52">
        <v>-65374.325731821649</v>
      </c>
      <c r="CU370" s="77">
        <v>352729.60544996051</v>
      </c>
      <c r="CV370" s="65">
        <v>274280.41457177448</v>
      </c>
      <c r="CW370" s="35">
        <v>-78449.190878186026</v>
      </c>
      <c r="CX370" s="73">
        <v>7881.4080608357017</v>
      </c>
      <c r="CY370" s="40">
        <v>86330.598939021773</v>
      </c>
      <c r="CZ370" s="52">
        <v>78449.190878186069</v>
      </c>
      <c r="DA370" s="150">
        <v>-71721.614168663626</v>
      </c>
      <c r="DB370" s="2">
        <v>3</v>
      </c>
      <c r="DC370" s="675">
        <v>46561.09</v>
      </c>
      <c r="DD370" s="675">
        <v>0</v>
      </c>
      <c r="DE370" s="675">
        <v>15030.551887680485</v>
      </c>
      <c r="DF370" s="675">
        <v>0</v>
      </c>
      <c r="DG370" s="321">
        <v>6727.5767095224619</v>
      </c>
      <c r="DH370" s="40">
        <v>360583.42851722683</v>
      </c>
      <c r="DI370" s="422">
        <v>31530.538112319511</v>
      </c>
      <c r="DJ370" s="306">
        <v>5.8433255881341406</v>
      </c>
      <c r="DK370" s="306">
        <v>7.593242094691961</v>
      </c>
      <c r="DL370" s="306">
        <v>4.9145443183519957</v>
      </c>
      <c r="DM370" s="28">
        <v>31530.538112319511</v>
      </c>
      <c r="DN370" s="28">
        <v>0</v>
      </c>
      <c r="DO370" s="423">
        <v>31530.538112319511</v>
      </c>
      <c r="DP370" s="94">
        <v>0</v>
      </c>
      <c r="DQ370" s="28">
        <v>31530.538112319511</v>
      </c>
      <c r="DR370" s="318"/>
      <c r="DT370" s="8"/>
      <c r="DU370" s="5"/>
      <c r="DX370" s="5">
        <v>84723.20109027483</v>
      </c>
      <c r="DY370" s="5">
        <v>8704.1999999999989</v>
      </c>
      <c r="DZ370" s="159">
        <v>7493.3141367556545</v>
      </c>
      <c r="EB370" s="676">
        <v>-880.08842472753167</v>
      </c>
      <c r="EC370" s="676">
        <v>-3316.7476641494868</v>
      </c>
      <c r="ED370" s="676">
        <v>-4087.1252739966621</v>
      </c>
      <c r="EE370" s="676">
        <v>-9887.1921261635725</v>
      </c>
      <c r="EF370" s="676">
        <v>-8565.9063077115097</v>
      </c>
      <c r="EG370" s="676">
        <v>-5901.673268089402</v>
      </c>
      <c r="EH370" s="676">
        <v>-7143.4513994899571</v>
      </c>
      <c r="EI370" s="676">
        <v>-10988.885514201378</v>
      </c>
      <c r="EJ370" s="676">
        <v>-6214.6019835272673</v>
      </c>
      <c r="EK370" s="676">
        <v>-6931.3041373649794</v>
      </c>
      <c r="EL370" s="676">
        <v>-7874.3085543148591</v>
      </c>
      <c r="EM370" s="676">
        <v>-6657.9062244494635</v>
      </c>
      <c r="EN370" s="676">
        <v>-78449.190878186084</v>
      </c>
      <c r="EQ370" s="5">
        <v>84723.20109027483</v>
      </c>
      <c r="ER370" s="5">
        <v>8704.1999999999989</v>
      </c>
      <c r="ET370" s="318">
        <v>-7058.6166870284542</v>
      </c>
      <c r="EU370" s="5">
        <v>4611.1933965509106</v>
      </c>
    </row>
    <row r="371" spans="1:151" x14ac:dyDescent="0.3">
      <c r="A371" s="325">
        <v>150000896</v>
      </c>
      <c r="B371" s="41" t="s">
        <v>817</v>
      </c>
      <c r="C371" s="42" t="s">
        <v>318</v>
      </c>
      <c r="D371" s="27">
        <v>5</v>
      </c>
      <c r="E371" s="293">
        <v>2712.05</v>
      </c>
      <c r="F371" s="305">
        <v>2712.05</v>
      </c>
      <c r="G371" s="508">
        <v>0</v>
      </c>
      <c r="H371" s="677">
        <v>0</v>
      </c>
      <c r="I371" s="674">
        <v>10226.980103468657</v>
      </c>
      <c r="J371" s="40">
        <v>9846.9222665193265</v>
      </c>
      <c r="K371" s="52">
        <v>-380.05783694933052</v>
      </c>
      <c r="L371" s="674">
        <v>1960.5068703052143</v>
      </c>
      <c r="M371" s="40">
        <v>1873.5818709942835</v>
      </c>
      <c r="N371" s="52">
        <v>-86.924999310930843</v>
      </c>
      <c r="O371" s="674">
        <v>3869.9508918799966</v>
      </c>
      <c r="P371" s="40">
        <v>3870.2300000000014</v>
      </c>
      <c r="Q371" s="52">
        <v>0.2791081200048211</v>
      </c>
      <c r="R371" s="674">
        <v>0</v>
      </c>
      <c r="S371" s="40">
        <v>0</v>
      </c>
      <c r="T371" s="52">
        <v>0</v>
      </c>
      <c r="U371" s="674">
        <v>0</v>
      </c>
      <c r="V371" s="40">
        <v>0</v>
      </c>
      <c r="W371" s="52">
        <v>0</v>
      </c>
      <c r="X371" s="674">
        <v>6509.937527138155</v>
      </c>
      <c r="Y371" s="40">
        <v>5400.5168617205536</v>
      </c>
      <c r="Z371" s="52">
        <v>-1109.4206654176014</v>
      </c>
      <c r="AA371" s="674">
        <v>325.45800000000003</v>
      </c>
      <c r="AB371" s="40">
        <v>0</v>
      </c>
      <c r="AC371" s="52">
        <v>-325.45800000000003</v>
      </c>
      <c r="AD371" s="674">
        <v>11628.016500018393</v>
      </c>
      <c r="AE371" s="40">
        <v>11522.746071892729</v>
      </c>
      <c r="AF371" s="35">
        <v>-105.27042812566469</v>
      </c>
      <c r="AG371" s="77">
        <v>34520.849892810416</v>
      </c>
      <c r="AH371" s="53">
        <v>32513.997071126894</v>
      </c>
      <c r="AI371" s="52">
        <v>-2006.8528216835221</v>
      </c>
      <c r="AJ371" s="674">
        <v>0</v>
      </c>
      <c r="AK371" s="40">
        <v>0</v>
      </c>
      <c r="AL371" s="52">
        <v>0</v>
      </c>
      <c r="AM371" s="674">
        <v>0</v>
      </c>
      <c r="AN371" s="40">
        <v>0</v>
      </c>
      <c r="AO371" s="52">
        <v>0</v>
      </c>
      <c r="AP371" s="674">
        <v>4047.1514197660686</v>
      </c>
      <c r="AQ371" s="40">
        <v>3332.8097047358729</v>
      </c>
      <c r="AR371" s="52">
        <v>-714.3417150301957</v>
      </c>
      <c r="AS371" s="674">
        <v>40871.830675692247</v>
      </c>
      <c r="AT371" s="40">
        <v>146938.80278253421</v>
      </c>
      <c r="AU371" s="54">
        <v>106066.97210684197</v>
      </c>
      <c r="AV371" s="674">
        <v>2377.3220224647912</v>
      </c>
      <c r="AW371" s="40">
        <v>449</v>
      </c>
      <c r="AX371" s="55">
        <v>-1928.3220224647912</v>
      </c>
      <c r="AY371" s="674">
        <v>3213.8517921635189</v>
      </c>
      <c r="AZ371" s="40">
        <v>8945</v>
      </c>
      <c r="BA371" s="35">
        <v>5731.1482078364807</v>
      </c>
      <c r="BB371" s="674">
        <v>1686.9181693722812</v>
      </c>
      <c r="BC371" s="40">
        <v>981</v>
      </c>
      <c r="BD371" s="55">
        <v>-705.91816937228123</v>
      </c>
      <c r="BE371" s="674">
        <v>0</v>
      </c>
      <c r="BF371" s="40">
        <v>648</v>
      </c>
      <c r="BG371" s="38">
        <v>648</v>
      </c>
      <c r="BH371" s="674">
        <v>0</v>
      </c>
      <c r="BI371" s="40">
        <v>0</v>
      </c>
      <c r="BJ371" s="55">
        <v>0</v>
      </c>
      <c r="BK371" s="674">
        <v>1780.9872626303306</v>
      </c>
      <c r="BL371" s="40">
        <v>860</v>
      </c>
      <c r="BM371" s="38">
        <v>-920.98726263033063</v>
      </c>
      <c r="BN371" s="674">
        <v>81.364500000000007</v>
      </c>
      <c r="BO371" s="40">
        <v>0</v>
      </c>
      <c r="BP371" s="55">
        <v>-81.364500000000007</v>
      </c>
      <c r="BQ371" s="77">
        <v>9140.4437466309209</v>
      </c>
      <c r="BR371" s="40">
        <v>11883</v>
      </c>
      <c r="BS371" s="55">
        <v>2742.5562533690791</v>
      </c>
      <c r="BT371" s="674">
        <v>28296.626024933812</v>
      </c>
      <c r="BU371" s="40">
        <v>30486.062387373393</v>
      </c>
      <c r="BV371" s="52">
        <v>2189.436362439581</v>
      </c>
      <c r="BW371" s="674">
        <v>16474.564434037973</v>
      </c>
      <c r="BX371" s="40">
        <v>16573.083437058955</v>
      </c>
      <c r="BY371" s="52">
        <v>98.519003020981472</v>
      </c>
      <c r="BZ371" s="674">
        <v>5954.9555539425883</v>
      </c>
      <c r="CA371" s="40">
        <v>5740.3521071653904</v>
      </c>
      <c r="CB371" s="52">
        <v>-214.60344677719786</v>
      </c>
      <c r="CC371" s="674">
        <v>1645.0162646143153</v>
      </c>
      <c r="CD371" s="40">
        <v>1728.9467369565925</v>
      </c>
      <c r="CE371" s="52">
        <v>83.930472342277199</v>
      </c>
      <c r="CF371" s="674">
        <v>201.05498038194818</v>
      </c>
      <c r="CG371" s="40">
        <v>0</v>
      </c>
      <c r="CH371" s="52">
        <v>-201.05498038194818</v>
      </c>
      <c r="CI371" s="674">
        <v>13448.845638765304</v>
      </c>
      <c r="CJ371" s="40">
        <v>10164.650583205437</v>
      </c>
      <c r="CK371" s="52">
        <v>-3284.1950555598669</v>
      </c>
      <c r="CL371" s="674">
        <v>0</v>
      </c>
      <c r="CM371" s="40">
        <v>0</v>
      </c>
      <c r="CN371" s="52">
        <v>0</v>
      </c>
      <c r="CO371" s="39">
        <v>13448.845638765304</v>
      </c>
      <c r="CP371" s="40">
        <v>10164.650583205437</v>
      </c>
      <c r="CQ371" s="52">
        <v>-3284.1950555598669</v>
      </c>
      <c r="CR371" s="72">
        <v>154601.33863157561</v>
      </c>
      <c r="CS371" s="5">
        <v>259361.70481015672</v>
      </c>
      <c r="CT371" s="52">
        <v>104760.36617858111</v>
      </c>
      <c r="CU371" s="77">
        <v>185521.60635789073</v>
      </c>
      <c r="CV371" s="65">
        <v>311234.04577218805</v>
      </c>
      <c r="CW371" s="35">
        <v>125712.43941429732</v>
      </c>
      <c r="CX371" s="73">
        <v>9292.4222179588542</v>
      </c>
      <c r="CY371" s="40">
        <v>-116420.01719633843</v>
      </c>
      <c r="CZ371" s="52">
        <v>-125712.43941429729</v>
      </c>
      <c r="DA371" s="150">
        <v>48821.975209226337</v>
      </c>
      <c r="DB371" s="2">
        <v>3</v>
      </c>
      <c r="DC371" s="675">
        <v>51599.040000000001</v>
      </c>
      <c r="DD371" s="675">
        <v>0</v>
      </c>
      <c r="DE371" s="675">
        <v>34562.533117483392</v>
      </c>
      <c r="DF371" s="675">
        <v>0</v>
      </c>
      <c r="DG371" s="321">
        <v>-76890.464205070923</v>
      </c>
      <c r="DH371" s="40">
        <v>194799.13485687773</v>
      </c>
      <c r="DI371" s="422">
        <v>17036.506882516609</v>
      </c>
      <c r="DJ371" s="306">
        <v>6.2817820034721361</v>
      </c>
      <c r="DK371" s="306">
        <v>6.2817820034721361</v>
      </c>
      <c r="DL371" s="306">
        <v>5.580869867366494</v>
      </c>
      <c r="DM371" s="28">
        <v>17036.506882516609</v>
      </c>
      <c r="DN371" s="28">
        <v>0</v>
      </c>
      <c r="DO371" s="423">
        <v>17036.506882516609</v>
      </c>
      <c r="DP371" s="94">
        <v>0</v>
      </c>
      <c r="DQ371" s="28">
        <v>17036.506882516609</v>
      </c>
      <c r="DR371" s="318"/>
      <c r="DT371" s="8"/>
      <c r="DU371" s="5"/>
      <c r="DX371" s="5">
        <v>60014.729306787805</v>
      </c>
      <c r="DY371" s="5">
        <v>190586.16333904106</v>
      </c>
      <c r="DZ371" s="159">
        <v>5208.4909810918098</v>
      </c>
      <c r="EB371" s="676">
        <v>28025.978906404052</v>
      </c>
      <c r="EC371" s="676">
        <v>72594.000191863655</v>
      </c>
      <c r="ED371" s="676">
        <v>37658.274654746616</v>
      </c>
      <c r="EE371" s="676">
        <v>11184.279848710532</v>
      </c>
      <c r="EF371" s="676">
        <v>-913.68942164291366</v>
      </c>
      <c r="EG371" s="676">
        <v>3046.3600397920927</v>
      </c>
      <c r="EH371" s="676">
        <v>-1666.357296640299</v>
      </c>
      <c r="EI371" s="676">
        <v>-6776.4361784859211</v>
      </c>
      <c r="EJ371" s="676">
        <v>195.67572869651849</v>
      </c>
      <c r="EK371" s="676">
        <v>-7397.510000676888</v>
      </c>
      <c r="EL371" s="676">
        <v>-6406.9414079703838</v>
      </c>
      <c r="EM371" s="676">
        <v>-3831.1956504997852</v>
      </c>
      <c r="EN371" s="676">
        <v>125712.43941429726</v>
      </c>
      <c r="EQ371" s="5">
        <v>60014.729306787805</v>
      </c>
      <c r="ER371" s="5">
        <v>190586.16333904106</v>
      </c>
      <c r="ET371" s="318">
        <v>-28175.037998928514</v>
      </c>
      <c r="EU371" s="5">
        <v>-13945.426206142423</v>
      </c>
    </row>
    <row r="372" spans="1:151" x14ac:dyDescent="0.3">
      <c r="A372" s="325">
        <v>150000898</v>
      </c>
      <c r="B372" s="41" t="s">
        <v>818</v>
      </c>
      <c r="C372" s="42" t="s">
        <v>191</v>
      </c>
      <c r="D372" s="27">
        <v>2</v>
      </c>
      <c r="E372" s="293">
        <v>472.1</v>
      </c>
      <c r="F372" s="305">
        <v>472.1</v>
      </c>
      <c r="G372" s="508">
        <v>0</v>
      </c>
      <c r="H372" s="677">
        <v>0</v>
      </c>
      <c r="I372" s="674">
        <v>1866.9234023718432</v>
      </c>
      <c r="J372" s="40">
        <v>1770.4636162872951</v>
      </c>
      <c r="K372" s="52">
        <v>-96.459786084548114</v>
      </c>
      <c r="L372" s="674">
        <v>433.38159475302655</v>
      </c>
      <c r="M372" s="40">
        <v>412.06787785318772</v>
      </c>
      <c r="N372" s="52">
        <v>-21.313716899838823</v>
      </c>
      <c r="O372" s="674">
        <v>611.16295381690509</v>
      </c>
      <c r="P372" s="40">
        <v>611.23</v>
      </c>
      <c r="Q372" s="52">
        <v>6.7046183094930711E-2</v>
      </c>
      <c r="R372" s="674">
        <v>0</v>
      </c>
      <c r="S372" s="40">
        <v>0</v>
      </c>
      <c r="T372" s="52">
        <v>0</v>
      </c>
      <c r="U372" s="674">
        <v>0</v>
      </c>
      <c r="V372" s="40">
        <v>0</v>
      </c>
      <c r="W372" s="52">
        <v>0</v>
      </c>
      <c r="X372" s="674">
        <v>683.076645794402</v>
      </c>
      <c r="Y372" s="40">
        <v>504.38533501293642</v>
      </c>
      <c r="Z372" s="52">
        <v>-178.69131078146557</v>
      </c>
      <c r="AA372" s="674">
        <v>56.652000000000001</v>
      </c>
      <c r="AB372" s="40">
        <v>0</v>
      </c>
      <c r="AC372" s="52">
        <v>-56.652000000000001</v>
      </c>
      <c r="AD372" s="674">
        <v>2024.1429043165399</v>
      </c>
      <c r="AE372" s="40">
        <v>2005.8215816598356</v>
      </c>
      <c r="AF372" s="35">
        <v>-18.321322656704297</v>
      </c>
      <c r="AG372" s="77">
        <v>5675.3395010527165</v>
      </c>
      <c r="AH372" s="53">
        <v>5303.9684108132551</v>
      </c>
      <c r="AI372" s="52">
        <v>-371.37109023946141</v>
      </c>
      <c r="AJ372" s="674">
        <v>0</v>
      </c>
      <c r="AK372" s="40">
        <v>0</v>
      </c>
      <c r="AL372" s="52">
        <v>0</v>
      </c>
      <c r="AM372" s="674">
        <v>0</v>
      </c>
      <c r="AN372" s="40">
        <v>0</v>
      </c>
      <c r="AO372" s="52">
        <v>0</v>
      </c>
      <c r="AP372" s="674">
        <v>1438.9871714723795</v>
      </c>
      <c r="AQ372" s="40">
        <v>1049.1846781911522</v>
      </c>
      <c r="AR372" s="52">
        <v>-389.80249328122727</v>
      </c>
      <c r="AS372" s="674">
        <v>6499.1657855600497</v>
      </c>
      <c r="AT372" s="40">
        <v>357</v>
      </c>
      <c r="AU372" s="54">
        <v>-6142.1657855600497</v>
      </c>
      <c r="AV372" s="674">
        <v>475.52485770138179</v>
      </c>
      <c r="AW372" s="40">
        <v>0</v>
      </c>
      <c r="AX372" s="55">
        <v>-475.52485770138179</v>
      </c>
      <c r="AY372" s="674">
        <v>710.47360238369549</v>
      </c>
      <c r="AZ372" s="40">
        <v>0</v>
      </c>
      <c r="BA372" s="35">
        <v>-710.47360238369549</v>
      </c>
      <c r="BB372" s="674">
        <v>170.65177968749666</v>
      </c>
      <c r="BC372" s="40">
        <v>0</v>
      </c>
      <c r="BD372" s="55">
        <v>-170.65177968749666</v>
      </c>
      <c r="BE372" s="674">
        <v>0</v>
      </c>
      <c r="BF372" s="40">
        <v>0</v>
      </c>
      <c r="BG372" s="38">
        <v>0</v>
      </c>
      <c r="BH372" s="674">
        <v>0</v>
      </c>
      <c r="BI372" s="40">
        <v>0</v>
      </c>
      <c r="BJ372" s="55">
        <v>0</v>
      </c>
      <c r="BK372" s="674">
        <v>54.940227032600141</v>
      </c>
      <c r="BL372" s="40">
        <v>0</v>
      </c>
      <c r="BM372" s="38">
        <v>-54.940227032600141</v>
      </c>
      <c r="BN372" s="674">
        <v>14.163</v>
      </c>
      <c r="BO372" s="40">
        <v>0</v>
      </c>
      <c r="BP372" s="55">
        <v>-14.163</v>
      </c>
      <c r="BQ372" s="77">
        <v>1425.7534668051742</v>
      </c>
      <c r="BR372" s="40">
        <v>0</v>
      </c>
      <c r="BS372" s="55">
        <v>-1425.7534668051742</v>
      </c>
      <c r="BT372" s="674">
        <v>4055.086086556546</v>
      </c>
      <c r="BU372" s="40">
        <v>3992.150456674523</v>
      </c>
      <c r="BV372" s="52">
        <v>-62.935629882023022</v>
      </c>
      <c r="BW372" s="674">
        <v>3312.7981628550315</v>
      </c>
      <c r="BX372" s="40">
        <v>4706.2533179460224</v>
      </c>
      <c r="BY372" s="52">
        <v>1393.455155090991</v>
      </c>
      <c r="BZ372" s="674">
        <v>538.47249000297916</v>
      </c>
      <c r="CA372" s="40">
        <v>887.14425710498824</v>
      </c>
      <c r="CB372" s="52">
        <v>348.67176710200908</v>
      </c>
      <c r="CC372" s="674">
        <v>0</v>
      </c>
      <c r="CD372" s="40">
        <v>0</v>
      </c>
      <c r="CE372" s="52">
        <v>0</v>
      </c>
      <c r="CF372" s="674">
        <v>0</v>
      </c>
      <c r="CG372" s="40">
        <v>0</v>
      </c>
      <c r="CH372" s="52">
        <v>0</v>
      </c>
      <c r="CI372" s="674">
        <v>1328.3619279196928</v>
      </c>
      <c r="CJ372" s="40">
        <v>862.02608044681836</v>
      </c>
      <c r="CK372" s="52">
        <v>-466.33584747287443</v>
      </c>
      <c r="CL372" s="674">
        <v>0</v>
      </c>
      <c r="CM372" s="40">
        <v>0</v>
      </c>
      <c r="CN372" s="52">
        <v>0</v>
      </c>
      <c r="CO372" s="39">
        <v>1328.3619279196928</v>
      </c>
      <c r="CP372" s="40">
        <v>862.02608044681836</v>
      </c>
      <c r="CQ372" s="52">
        <v>-466.33584747287443</v>
      </c>
      <c r="CR372" s="72">
        <v>24273.964592224573</v>
      </c>
      <c r="CS372" s="5">
        <v>17157.72720117676</v>
      </c>
      <c r="CT372" s="52">
        <v>-7116.2373910478127</v>
      </c>
      <c r="CU372" s="77">
        <v>29128.757510669486</v>
      </c>
      <c r="CV372" s="65">
        <v>20589.27264141211</v>
      </c>
      <c r="CW372" s="35">
        <v>-8539.484869257376</v>
      </c>
      <c r="CX372" s="73">
        <v>296.88161557507709</v>
      </c>
      <c r="CY372" s="40">
        <v>8836.3664848324461</v>
      </c>
      <c r="CZ372" s="52">
        <v>8539.4848692573687</v>
      </c>
      <c r="DA372" s="150">
        <v>-23931.27816513112</v>
      </c>
      <c r="DB372" s="2">
        <v>3</v>
      </c>
      <c r="DC372" s="675">
        <v>3230.36</v>
      </c>
      <c r="DD372" s="675">
        <v>0</v>
      </c>
      <c r="DE372" s="675">
        <v>648.15343502528322</v>
      </c>
      <c r="DF372" s="675">
        <v>0</v>
      </c>
      <c r="DG372" s="321">
        <v>-15391.793295873751</v>
      </c>
      <c r="DH372" s="40">
        <v>29423.418366131766</v>
      </c>
      <c r="DI372" s="422">
        <v>2582.206564974716</v>
      </c>
      <c r="DJ372" s="306">
        <v>5.4696178033779219</v>
      </c>
      <c r="DK372" s="306">
        <v>5.4696178033779219</v>
      </c>
      <c r="DL372" s="306">
        <v>4.6881384371343771</v>
      </c>
      <c r="DM372" s="28">
        <v>2582.2065649747169</v>
      </c>
      <c r="DN372" s="28">
        <v>0</v>
      </c>
      <c r="DO372" s="423">
        <v>2582.2065649747169</v>
      </c>
      <c r="DP372" s="94">
        <v>0</v>
      </c>
      <c r="DQ372" s="28">
        <v>2582.2065649747169</v>
      </c>
      <c r="DR372" s="318"/>
      <c r="DT372" s="8"/>
      <c r="DU372" s="5"/>
      <c r="DX372" s="5">
        <v>9509.9031028382688</v>
      </c>
      <c r="DY372" s="5">
        <v>428.4</v>
      </c>
      <c r="DZ372" s="159">
        <v>821.26203687638804</v>
      </c>
      <c r="EB372" s="676">
        <v>603.53744825676813</v>
      </c>
      <c r="EC372" s="676">
        <v>-998.50242960363403</v>
      </c>
      <c r="ED372" s="676">
        <v>-839.06392338119122</v>
      </c>
      <c r="EE372" s="676">
        <v>-186.77596751950432</v>
      </c>
      <c r="EF372" s="676">
        <v>-1003.6298821472567</v>
      </c>
      <c r="EG372" s="676">
        <v>-1434.6869016018886</v>
      </c>
      <c r="EH372" s="676">
        <v>591.44967124144932</v>
      </c>
      <c r="EI372" s="676">
        <v>-1103.884941961803</v>
      </c>
      <c r="EJ372" s="676">
        <v>-1156.1879352552421</v>
      </c>
      <c r="EK372" s="676">
        <v>-551.73408202829614</v>
      </c>
      <c r="EL372" s="676">
        <v>-1062.7075779550562</v>
      </c>
      <c r="EM372" s="676">
        <v>-1397.2983473017146</v>
      </c>
      <c r="EN372" s="676">
        <v>-8539.4848692573687</v>
      </c>
      <c r="EQ372" s="5">
        <v>9509.9031028382688</v>
      </c>
      <c r="ER372" s="5">
        <v>428.4</v>
      </c>
      <c r="ET372" s="318">
        <v>-6913.5327533640293</v>
      </c>
      <c r="EU372" s="5">
        <v>-4566.2605425097217</v>
      </c>
    </row>
    <row r="373" spans="1:151" x14ac:dyDescent="0.3">
      <c r="A373" s="325">
        <v>150000899</v>
      </c>
      <c r="B373" s="41" t="s">
        <v>819</v>
      </c>
      <c r="C373" s="42" t="s">
        <v>403</v>
      </c>
      <c r="D373" s="27">
        <v>9</v>
      </c>
      <c r="E373" s="293">
        <v>6212</v>
      </c>
      <c r="F373" s="305">
        <v>6212</v>
      </c>
      <c r="G373" s="508">
        <v>656.15</v>
      </c>
      <c r="H373" s="677">
        <v>0</v>
      </c>
      <c r="I373" s="674">
        <v>24729.186273836291</v>
      </c>
      <c r="J373" s="40">
        <v>23694.563338804874</v>
      </c>
      <c r="K373" s="52">
        <v>-1034.622935031417</v>
      </c>
      <c r="L373" s="674">
        <v>4061.3241759274583</v>
      </c>
      <c r="M373" s="40">
        <v>3881.205284898741</v>
      </c>
      <c r="N373" s="52">
        <v>-180.11889102871737</v>
      </c>
      <c r="O373" s="674">
        <v>7599.2501824088113</v>
      </c>
      <c r="P373" s="40">
        <v>7599.0850000000019</v>
      </c>
      <c r="Q373" s="52">
        <v>-0.16518240880941448</v>
      </c>
      <c r="R373" s="674">
        <v>1860.2633176335105</v>
      </c>
      <c r="S373" s="40">
        <v>1858.6599999999999</v>
      </c>
      <c r="T373" s="52">
        <v>-1.6033176335106418</v>
      </c>
      <c r="U373" s="674">
        <v>1072.4056650520611</v>
      </c>
      <c r="V373" s="40">
        <v>728.23875918198814</v>
      </c>
      <c r="W373" s="52">
        <v>-344.16690587007292</v>
      </c>
      <c r="X373" s="674">
        <v>9007.7200369934035</v>
      </c>
      <c r="Y373" s="40">
        <v>7614.6185869248075</v>
      </c>
      <c r="Z373" s="52">
        <v>-1393.101450068596</v>
      </c>
      <c r="AA373" s="674">
        <v>745.31399999999996</v>
      </c>
      <c r="AB373" s="40">
        <v>0</v>
      </c>
      <c r="AC373" s="52">
        <v>-745.31399999999996</v>
      </c>
      <c r="AD373" s="674">
        <v>26632.864363230881</v>
      </c>
      <c r="AE373" s="40">
        <v>26393.132065984068</v>
      </c>
      <c r="AF373" s="35">
        <v>-239.73229724681369</v>
      </c>
      <c r="AG373" s="77">
        <v>75708.328015082414</v>
      </c>
      <c r="AH373" s="53">
        <v>71769.503035794478</v>
      </c>
      <c r="AI373" s="52">
        <v>-3938.824979287936</v>
      </c>
      <c r="AJ373" s="674">
        <v>82616.385556983209</v>
      </c>
      <c r="AK373" s="40">
        <v>82073.823331240594</v>
      </c>
      <c r="AL373" s="52">
        <v>-542.56222574261483</v>
      </c>
      <c r="AM373" s="674">
        <v>0</v>
      </c>
      <c r="AN373" s="40">
        <v>0</v>
      </c>
      <c r="AO373" s="52">
        <v>0</v>
      </c>
      <c r="AP373" s="674">
        <v>5036.4551001533282</v>
      </c>
      <c r="AQ373" s="40">
        <v>4185.2349586016562</v>
      </c>
      <c r="AR373" s="52">
        <v>-851.22014155167199</v>
      </c>
      <c r="AS373" s="674">
        <v>85754.167903633483</v>
      </c>
      <c r="AT373" s="40">
        <v>48440</v>
      </c>
      <c r="AU373" s="54">
        <v>-37314.167903633483</v>
      </c>
      <c r="AV373" s="674">
        <v>3967.4994720495542</v>
      </c>
      <c r="AW373" s="40">
        <v>1773</v>
      </c>
      <c r="AX373" s="55">
        <v>-2194.4994720495542</v>
      </c>
      <c r="AY373" s="674">
        <v>4740.445090562027</v>
      </c>
      <c r="AZ373" s="40">
        <v>0</v>
      </c>
      <c r="BA373" s="35">
        <v>-4740.445090562027</v>
      </c>
      <c r="BB373" s="674">
        <v>3337.696610880816</v>
      </c>
      <c r="BC373" s="40">
        <v>1308</v>
      </c>
      <c r="BD373" s="55">
        <v>-2029.696610880816</v>
      </c>
      <c r="BE373" s="674">
        <v>2850.3904161853488</v>
      </c>
      <c r="BF373" s="40">
        <v>0</v>
      </c>
      <c r="BG373" s="38">
        <v>-2850.3904161853488</v>
      </c>
      <c r="BH373" s="674">
        <v>1385.6021579763128</v>
      </c>
      <c r="BI373" s="40">
        <v>17</v>
      </c>
      <c r="BJ373" s="55">
        <v>-1368.6021579763128</v>
      </c>
      <c r="BK373" s="674">
        <v>1730.3515646596957</v>
      </c>
      <c r="BL373" s="40">
        <v>0</v>
      </c>
      <c r="BM373" s="38">
        <v>-1730.3515646596957</v>
      </c>
      <c r="BN373" s="674">
        <v>186.32849999999999</v>
      </c>
      <c r="BO373" s="40">
        <v>0</v>
      </c>
      <c r="BP373" s="55">
        <v>-186.32849999999999</v>
      </c>
      <c r="BQ373" s="77">
        <v>18198.313812313754</v>
      </c>
      <c r="BR373" s="40">
        <v>3098</v>
      </c>
      <c r="BS373" s="55">
        <v>-15100.313812313754</v>
      </c>
      <c r="BT373" s="674">
        <v>86202.565118312021</v>
      </c>
      <c r="BU373" s="40">
        <v>71347.344067985614</v>
      </c>
      <c r="BV373" s="52">
        <v>-14855.221050326407</v>
      </c>
      <c r="BW373" s="674">
        <v>45469.966130401881</v>
      </c>
      <c r="BX373" s="40">
        <v>46210.401184961447</v>
      </c>
      <c r="BY373" s="52">
        <v>740.4350545595662</v>
      </c>
      <c r="BZ373" s="674">
        <v>5973.3382246580331</v>
      </c>
      <c r="CA373" s="40">
        <v>19531.732402987775</v>
      </c>
      <c r="CB373" s="52">
        <v>13558.394178329741</v>
      </c>
      <c r="CC373" s="674">
        <v>1839.65338355375</v>
      </c>
      <c r="CD373" s="40">
        <v>1921.8632535137056</v>
      </c>
      <c r="CE373" s="52">
        <v>82.20986995995554</v>
      </c>
      <c r="CF373" s="674">
        <v>223.48876947600618</v>
      </c>
      <c r="CG373" s="40">
        <v>0</v>
      </c>
      <c r="CH373" s="52">
        <v>-223.48876947600618</v>
      </c>
      <c r="CI373" s="674">
        <v>35197.669895588297</v>
      </c>
      <c r="CJ373" s="40">
        <v>34775.470265427815</v>
      </c>
      <c r="CK373" s="52">
        <v>-422.19963016048132</v>
      </c>
      <c r="CL373" s="674">
        <v>14734.38526190081</v>
      </c>
      <c r="CM373" s="40">
        <v>13915.576870500385</v>
      </c>
      <c r="CN373" s="52">
        <v>-818.80839140042553</v>
      </c>
      <c r="CO373" s="39">
        <v>49932.055157489107</v>
      </c>
      <c r="CP373" s="40">
        <v>48691.047135928202</v>
      </c>
      <c r="CQ373" s="52">
        <v>-1241.008021560905</v>
      </c>
      <c r="CR373" s="72">
        <v>456954.71717205702</v>
      </c>
      <c r="CS373" s="5">
        <v>397268.94937101344</v>
      </c>
      <c r="CT373" s="52">
        <v>-59685.767801043577</v>
      </c>
      <c r="CU373" s="77">
        <v>548345.66060646845</v>
      </c>
      <c r="CV373" s="65">
        <v>476722.73924521613</v>
      </c>
      <c r="CW373" s="35">
        <v>-71622.921361252316</v>
      </c>
      <c r="CX373" s="73">
        <v>12245.290498308277</v>
      </c>
      <c r="CY373" s="40">
        <v>83868.211859560455</v>
      </c>
      <c r="CZ373" s="52">
        <v>71622.921361252171</v>
      </c>
      <c r="DA373" s="150">
        <v>-7668.7701873527476</v>
      </c>
      <c r="DB373" s="2">
        <v>3</v>
      </c>
      <c r="DC373" s="675">
        <v>109057.85</v>
      </c>
      <c r="DD373" s="675">
        <v>0</v>
      </c>
      <c r="DE373" s="675">
        <v>60018.966679028534</v>
      </c>
      <c r="DF373" s="675">
        <v>0</v>
      </c>
      <c r="DG373" s="321">
        <v>63954.151173899438</v>
      </c>
      <c r="DH373" s="40">
        <v>560548.14233085734</v>
      </c>
      <c r="DI373" s="422">
        <v>49038.883320971472</v>
      </c>
      <c r="DJ373" s="306">
        <v>6.2296637976742595</v>
      </c>
      <c r="DK373" s="306">
        <v>8.0908032830489489</v>
      </c>
      <c r="DL373" s="306">
        <v>5.4072836861622067</v>
      </c>
      <c r="DM373" s="28">
        <v>49038.883320971472</v>
      </c>
      <c r="DN373" s="28">
        <v>0</v>
      </c>
      <c r="DO373" s="423">
        <v>49038.883320971472</v>
      </c>
      <c r="DP373" s="94">
        <v>0</v>
      </c>
      <c r="DQ373" s="28">
        <v>49038.883320971472</v>
      </c>
      <c r="DR373" s="318"/>
      <c r="DT373" s="8"/>
      <c r="DU373" s="5"/>
      <c r="DX373" s="5">
        <v>124742.97805913669</v>
      </c>
      <c r="DY373" s="5">
        <v>61845.599999999999</v>
      </c>
      <c r="DZ373" s="159">
        <v>11098.119906206777</v>
      </c>
      <c r="EB373" s="676">
        <v>2635.138519779066</v>
      </c>
      <c r="EC373" s="676">
        <v>40781.216454568217</v>
      </c>
      <c r="ED373" s="676">
        <v>2229.5086667279757</v>
      </c>
      <c r="EE373" s="676">
        <v>-13062.202189237898</v>
      </c>
      <c r="EF373" s="676">
        <v>-16906.132385848807</v>
      </c>
      <c r="EG373" s="676">
        <v>-18537.58873734028</v>
      </c>
      <c r="EH373" s="676">
        <v>-9450.8002128949811</v>
      </c>
      <c r="EI373" s="676">
        <v>-11807.207430656425</v>
      </c>
      <c r="EJ373" s="676">
        <v>-12086.021913409546</v>
      </c>
      <c r="EK373" s="676">
        <v>-9687.7776703550771</v>
      </c>
      <c r="EL373" s="676">
        <v>-14195.754393158932</v>
      </c>
      <c r="EM373" s="676">
        <v>-11535.300069425502</v>
      </c>
      <c r="EN373" s="676">
        <v>-71622.921361252185</v>
      </c>
      <c r="EQ373" s="5">
        <v>124742.97805913669</v>
      </c>
      <c r="ER373" s="5">
        <v>61845.599999999999</v>
      </c>
      <c r="ET373" s="318">
        <v>-52776.539966799573</v>
      </c>
      <c r="EU373" s="5">
        <v>-30926.308859300952</v>
      </c>
    </row>
    <row r="374" spans="1:151" x14ac:dyDescent="0.3">
      <c r="A374" s="325">
        <v>150000900</v>
      </c>
      <c r="B374" s="41" t="s">
        <v>820</v>
      </c>
      <c r="C374" s="42" t="s">
        <v>426</v>
      </c>
      <c r="D374" s="27">
        <v>14</v>
      </c>
      <c r="E374" s="293">
        <v>4357.8100000000004</v>
      </c>
      <c r="F374" s="305">
        <v>3895.01</v>
      </c>
      <c r="G374" s="508">
        <v>0</v>
      </c>
      <c r="H374" s="677">
        <v>462.8</v>
      </c>
      <c r="I374" s="674">
        <v>10976.707741074646</v>
      </c>
      <c r="J374" s="40">
        <v>10478.509809124802</v>
      </c>
      <c r="K374" s="52">
        <v>-498.19793194984413</v>
      </c>
      <c r="L374" s="674">
        <v>1443.3508981330149</v>
      </c>
      <c r="M374" s="40">
        <v>1378.9472784279415</v>
      </c>
      <c r="N374" s="52">
        <v>-64.403619705073424</v>
      </c>
      <c r="O374" s="674">
        <v>4888.2068864481244</v>
      </c>
      <c r="P374" s="40">
        <v>4888.67</v>
      </c>
      <c r="Q374" s="52">
        <v>0.4631135518757219</v>
      </c>
      <c r="R374" s="674">
        <v>1243.1736322021247</v>
      </c>
      <c r="S374" s="40">
        <v>1242.0200000000004</v>
      </c>
      <c r="T374" s="52">
        <v>-1.1536322021242995</v>
      </c>
      <c r="U374" s="674">
        <v>731.13498882914905</v>
      </c>
      <c r="V374" s="40">
        <v>496.50274822070804</v>
      </c>
      <c r="W374" s="52">
        <v>-234.63224060844101</v>
      </c>
      <c r="X374" s="674">
        <v>5148.466788984445</v>
      </c>
      <c r="Y374" s="40">
        <v>4000.2523189062299</v>
      </c>
      <c r="Z374" s="52">
        <v>-1148.2144700782151</v>
      </c>
      <c r="AA374" s="674">
        <v>0</v>
      </c>
      <c r="AB374" s="40">
        <v>0</v>
      </c>
      <c r="AC374" s="52">
        <v>0</v>
      </c>
      <c r="AD374" s="674">
        <v>18641.096390270654</v>
      </c>
      <c r="AE374" s="40">
        <v>18515.122530762659</v>
      </c>
      <c r="AF374" s="35">
        <v>-125.97385950799435</v>
      </c>
      <c r="AG374" s="77">
        <v>43072.137325942153</v>
      </c>
      <c r="AH374" s="53">
        <v>41000.024685442339</v>
      </c>
      <c r="AI374" s="52">
        <v>-2072.112640499814</v>
      </c>
      <c r="AJ374" s="674">
        <v>35937.686577872228</v>
      </c>
      <c r="AK374" s="40">
        <v>35701.715021247503</v>
      </c>
      <c r="AL374" s="52">
        <v>-235.97155662472505</v>
      </c>
      <c r="AM374" s="674">
        <v>315.2248275</v>
      </c>
      <c r="AN374" s="40">
        <v>0</v>
      </c>
      <c r="AO374" s="52">
        <v>-315.2248275</v>
      </c>
      <c r="AP374" s="674">
        <v>2877.974342944759</v>
      </c>
      <c r="AQ374" s="40">
        <v>2412.9478755499613</v>
      </c>
      <c r="AR374" s="52">
        <v>-465.02646739479769</v>
      </c>
      <c r="AS374" s="674">
        <v>56443.366059800173</v>
      </c>
      <c r="AT374" s="40">
        <v>15743</v>
      </c>
      <c r="AU374" s="54">
        <v>-40700.366059800173</v>
      </c>
      <c r="AV374" s="674">
        <v>4541.4676926277953</v>
      </c>
      <c r="AW374" s="40">
        <v>0</v>
      </c>
      <c r="AX374" s="55">
        <v>-4541.4676926277953</v>
      </c>
      <c r="AY374" s="674">
        <v>1521.1195056307899</v>
      </c>
      <c r="AZ374" s="40">
        <v>0</v>
      </c>
      <c r="BA374" s="35">
        <v>-1521.1195056307899</v>
      </c>
      <c r="BB374" s="674">
        <v>2138.2876394043919</v>
      </c>
      <c r="BC374" s="40">
        <v>0</v>
      </c>
      <c r="BD374" s="55">
        <v>-2138.2876394043919</v>
      </c>
      <c r="BE374" s="674">
        <v>1960.9899003302078</v>
      </c>
      <c r="BF374" s="40">
        <v>0</v>
      </c>
      <c r="BG374" s="38">
        <v>-1960.9899003302078</v>
      </c>
      <c r="BH374" s="674">
        <v>944.73872933113978</v>
      </c>
      <c r="BI374" s="40">
        <v>0</v>
      </c>
      <c r="BJ374" s="55">
        <v>-944.73872933113978</v>
      </c>
      <c r="BK374" s="674">
        <v>943.42170349896367</v>
      </c>
      <c r="BL374" s="40">
        <v>0</v>
      </c>
      <c r="BM374" s="38">
        <v>-943.42170349896367</v>
      </c>
      <c r="BN374" s="674">
        <v>0</v>
      </c>
      <c r="BO374" s="40">
        <v>0</v>
      </c>
      <c r="BP374" s="55">
        <v>0</v>
      </c>
      <c r="BQ374" s="77">
        <v>12050.025170823288</v>
      </c>
      <c r="BR374" s="40">
        <v>0</v>
      </c>
      <c r="BS374" s="55">
        <v>-12050.025170823288</v>
      </c>
      <c r="BT374" s="674">
        <v>40329.165331813871</v>
      </c>
      <c r="BU374" s="40">
        <v>31979.330301547205</v>
      </c>
      <c r="BV374" s="52">
        <v>-8349.8350302666659</v>
      </c>
      <c r="BW374" s="674">
        <v>30118.514363782808</v>
      </c>
      <c r="BX374" s="40">
        <v>30303.221618433436</v>
      </c>
      <c r="BY374" s="52">
        <v>184.70725465062787</v>
      </c>
      <c r="BZ374" s="674">
        <v>2081.6556128257348</v>
      </c>
      <c r="CA374" s="40">
        <v>8846.3451399057794</v>
      </c>
      <c r="CB374" s="52">
        <v>6764.6895270800451</v>
      </c>
      <c r="CC374" s="674">
        <v>1102.565025037517</v>
      </c>
      <c r="CD374" s="40">
        <v>1147.8605754268788</v>
      </c>
      <c r="CE374" s="52">
        <v>45.295550389361779</v>
      </c>
      <c r="CF374" s="674">
        <v>133.48189423111009</v>
      </c>
      <c r="CG374" s="40">
        <v>0</v>
      </c>
      <c r="CH374" s="52">
        <v>-133.48189423111009</v>
      </c>
      <c r="CI374" s="674">
        <v>14593.274199936362</v>
      </c>
      <c r="CJ374" s="40">
        <v>12969.807681122418</v>
      </c>
      <c r="CK374" s="52">
        <v>-1623.4665188139443</v>
      </c>
      <c r="CL374" s="674">
        <v>21889.905899904545</v>
      </c>
      <c r="CM374" s="40">
        <v>19457.790861953341</v>
      </c>
      <c r="CN374" s="52">
        <v>-2432.1150379512037</v>
      </c>
      <c r="CO374" s="39">
        <v>36483.180099840909</v>
      </c>
      <c r="CP374" s="40">
        <v>32427.598543075757</v>
      </c>
      <c r="CQ374" s="52">
        <v>-4055.5815567651516</v>
      </c>
      <c r="CR374" s="72">
        <v>260944.97663241456</v>
      </c>
      <c r="CS374" s="5">
        <v>199562.04376062885</v>
      </c>
      <c r="CT374" s="52">
        <v>-61382.932871785713</v>
      </c>
      <c r="CU374" s="77">
        <v>313133.97195889748</v>
      </c>
      <c r="CV374" s="65">
        <v>239474.45251275459</v>
      </c>
      <c r="CW374" s="35">
        <v>-73659.519446142891</v>
      </c>
      <c r="CX374" s="73">
        <v>9484.3014229340388</v>
      </c>
      <c r="CY374" s="40">
        <v>83143.820869076852</v>
      </c>
      <c r="CZ374" s="52">
        <v>73659.519446142818</v>
      </c>
      <c r="DA374" s="150">
        <v>-2572.9854891959985</v>
      </c>
      <c r="DB374" s="2">
        <v>3</v>
      </c>
      <c r="DC374" s="675">
        <v>60764.21</v>
      </c>
      <c r="DD374" s="675">
        <v>4852.3999999999996</v>
      </c>
      <c r="DE374" s="675">
        <v>34542.571999848718</v>
      </c>
      <c r="DF374" s="675">
        <v>2832.5147283786255</v>
      </c>
      <c r="DG374" s="321">
        <v>71086.533956946834</v>
      </c>
      <c r="DH374" s="40">
        <v>322593.70106330304</v>
      </c>
      <c r="DI374" s="422">
        <v>28241.52327177265</v>
      </c>
      <c r="DJ374" s="306">
        <v>5.1806639281683786</v>
      </c>
      <c r="DK374" s="306">
        <v>6.7321105722838386</v>
      </c>
      <c r="DL374" s="306">
        <v>4.364488486649468</v>
      </c>
      <c r="DM374" s="28">
        <v>26221.638000151277</v>
      </c>
      <c r="DN374" s="28">
        <v>2019.8852716213739</v>
      </c>
      <c r="DO374" s="423">
        <v>28241.52327177265</v>
      </c>
      <c r="DP374" s="94">
        <v>0</v>
      </c>
      <c r="DQ374" s="28">
        <v>28241.52327177265</v>
      </c>
      <c r="DR374" s="318"/>
      <c r="DT374" s="8"/>
      <c r="DU374" s="5"/>
      <c r="DX374" s="5">
        <v>82192.069476748147</v>
      </c>
      <c r="DY374" s="5">
        <v>18891.599999999999</v>
      </c>
      <c r="DZ374" s="159">
        <v>7567.3547484545852</v>
      </c>
      <c r="EB374" s="676">
        <v>9428.857092069662</v>
      </c>
      <c r="EC374" s="676">
        <v>-3398.4209278009621</v>
      </c>
      <c r="ED374" s="676">
        <v>-3819.1709692722252</v>
      </c>
      <c r="EE374" s="676">
        <v>-7975.37406363423</v>
      </c>
      <c r="EF374" s="676">
        <v>-9229.4239165241379</v>
      </c>
      <c r="EG374" s="676">
        <v>-8695.190033309409</v>
      </c>
      <c r="EH374" s="676">
        <v>-12486.8929067266</v>
      </c>
      <c r="EI374" s="676">
        <v>-7232.3899126142642</v>
      </c>
      <c r="EJ374" s="676">
        <v>-8416.0491686395908</v>
      </c>
      <c r="EK374" s="676">
        <v>-5983.8531362939138</v>
      </c>
      <c r="EL374" s="676">
        <v>-8821.4256630590135</v>
      </c>
      <c r="EM374" s="676">
        <v>-7030.1858403381484</v>
      </c>
      <c r="EN374" s="676">
        <v>-73659.519446142833</v>
      </c>
      <c r="EQ374" s="5">
        <v>82192.069476748147</v>
      </c>
      <c r="ER374" s="5">
        <v>18891.599999999999</v>
      </c>
      <c r="ET374" s="318">
        <v>68782.56586033295</v>
      </c>
      <c r="EU374" s="5">
        <v>4953.9680966138922</v>
      </c>
    </row>
    <row r="375" spans="1:151" x14ac:dyDescent="0.3">
      <c r="A375" s="325">
        <v>150000901</v>
      </c>
      <c r="B375" s="41" t="s">
        <v>821</v>
      </c>
      <c r="C375" s="42" t="s">
        <v>425</v>
      </c>
      <c r="D375" s="27">
        <v>10</v>
      </c>
      <c r="E375" s="293">
        <v>9955.5999999999985</v>
      </c>
      <c r="F375" s="305">
        <v>8350.2999999999993</v>
      </c>
      <c r="G375" s="508">
        <v>0</v>
      </c>
      <c r="H375" s="677">
        <v>1605.3</v>
      </c>
      <c r="I375" s="674">
        <v>33243.084640824258</v>
      </c>
      <c r="J375" s="40">
        <v>31817.231716719074</v>
      </c>
      <c r="K375" s="52">
        <v>-1425.8529241051838</v>
      </c>
      <c r="L375" s="674">
        <v>5884.2023083164277</v>
      </c>
      <c r="M375" s="40">
        <v>5623.2412658468402</v>
      </c>
      <c r="N375" s="52">
        <v>-260.96104246958748</v>
      </c>
      <c r="O375" s="674">
        <v>11097.662558724498</v>
      </c>
      <c r="P375" s="40">
        <v>11094.785</v>
      </c>
      <c r="Q375" s="52">
        <v>-2.877558724498158</v>
      </c>
      <c r="R375" s="674">
        <v>2737.5946365033192</v>
      </c>
      <c r="S375" s="40">
        <v>2733.38</v>
      </c>
      <c r="T375" s="52">
        <v>-4.2146365033190705</v>
      </c>
      <c r="U375" s="674">
        <v>1527.3085551528945</v>
      </c>
      <c r="V375" s="40">
        <v>1037.1622263665565</v>
      </c>
      <c r="W375" s="52">
        <v>-490.14632878633802</v>
      </c>
      <c r="X375" s="674">
        <v>13373.95985170405</v>
      </c>
      <c r="Y375" s="40">
        <v>11155.305668027562</v>
      </c>
      <c r="Z375" s="52">
        <v>-2218.6541836764882</v>
      </c>
      <c r="AA375" s="674">
        <v>1190.5919999999999</v>
      </c>
      <c r="AB375" s="40">
        <v>0</v>
      </c>
      <c r="AC375" s="52">
        <v>-1190.5919999999999</v>
      </c>
      <c r="AD375" s="674">
        <v>42554.350358563832</v>
      </c>
      <c r="AE375" s="40">
        <v>42305.053623361258</v>
      </c>
      <c r="AF375" s="35">
        <v>-249.29673520257347</v>
      </c>
      <c r="AG375" s="77">
        <v>111608.75490978928</v>
      </c>
      <c r="AH375" s="53">
        <v>105766.15950032129</v>
      </c>
      <c r="AI375" s="52">
        <v>-5842.595409467991</v>
      </c>
      <c r="AJ375" s="674">
        <v>78790.491943559202</v>
      </c>
      <c r="AK375" s="40">
        <v>78273.08552320287</v>
      </c>
      <c r="AL375" s="52">
        <v>-517.40642035633209</v>
      </c>
      <c r="AM375" s="674">
        <v>0</v>
      </c>
      <c r="AN375" s="40">
        <v>0</v>
      </c>
      <c r="AO375" s="52">
        <v>0</v>
      </c>
      <c r="AP375" s="674">
        <v>5935.8220823235652</v>
      </c>
      <c r="AQ375" s="40">
        <v>4932.5983440662376</v>
      </c>
      <c r="AR375" s="52">
        <v>-1003.2237382573276</v>
      </c>
      <c r="AS375" s="674">
        <v>130250.86896256542</v>
      </c>
      <c r="AT375" s="40">
        <v>46664.509999999995</v>
      </c>
      <c r="AU375" s="54">
        <v>-83586.358962565428</v>
      </c>
      <c r="AV375" s="674">
        <v>5566.1531769585572</v>
      </c>
      <c r="AW375" s="40">
        <v>3523</v>
      </c>
      <c r="AX375" s="55">
        <v>-2043.1531769585572</v>
      </c>
      <c r="AY375" s="674">
        <v>6858.8794405515919</v>
      </c>
      <c r="AZ375" s="40">
        <v>3769.01</v>
      </c>
      <c r="BA375" s="35">
        <v>-3089.8694405515917</v>
      </c>
      <c r="BB375" s="674">
        <v>4628.4230568996682</v>
      </c>
      <c r="BC375" s="40">
        <v>7174</v>
      </c>
      <c r="BD375" s="55">
        <v>2545.5769431003318</v>
      </c>
      <c r="BE375" s="674">
        <v>4170.7622056453138</v>
      </c>
      <c r="BF375" s="40">
        <v>0</v>
      </c>
      <c r="BG375" s="38">
        <v>-4170.7622056453138</v>
      </c>
      <c r="BH375" s="674">
        <v>1973.3779282725197</v>
      </c>
      <c r="BI375" s="40">
        <v>3404</v>
      </c>
      <c r="BJ375" s="55">
        <v>1430.6220717274803</v>
      </c>
      <c r="BK375" s="674">
        <v>2551.4439761515387</v>
      </c>
      <c r="BL375" s="40">
        <v>0</v>
      </c>
      <c r="BM375" s="38">
        <v>-2551.4439761515387</v>
      </c>
      <c r="BN375" s="674">
        <v>297.64799999999997</v>
      </c>
      <c r="BO375" s="40">
        <v>0</v>
      </c>
      <c r="BP375" s="55">
        <v>-297.64799999999997</v>
      </c>
      <c r="BQ375" s="77">
        <v>26046.687784479189</v>
      </c>
      <c r="BR375" s="40">
        <v>17870.010000000002</v>
      </c>
      <c r="BS375" s="55">
        <v>-8176.6777844791868</v>
      </c>
      <c r="BT375" s="674">
        <v>108195.18048976746</v>
      </c>
      <c r="BU375" s="40">
        <v>88026.013814111357</v>
      </c>
      <c r="BV375" s="52">
        <v>-20169.166675656103</v>
      </c>
      <c r="BW375" s="674">
        <v>74328.983892122837</v>
      </c>
      <c r="BX375" s="40">
        <v>74452.272130045007</v>
      </c>
      <c r="BY375" s="52">
        <v>123.28823792217008</v>
      </c>
      <c r="BZ375" s="674">
        <v>5860.4561400419152</v>
      </c>
      <c r="CA375" s="40">
        <v>23049.382791224962</v>
      </c>
      <c r="CB375" s="52">
        <v>17188.926651183046</v>
      </c>
      <c r="CC375" s="674">
        <v>2304.4151175357233</v>
      </c>
      <c r="CD375" s="40">
        <v>2391.5222370471456</v>
      </c>
      <c r="CE375" s="52">
        <v>87.107119511422297</v>
      </c>
      <c r="CF375" s="674">
        <v>278.10426207743751</v>
      </c>
      <c r="CG375" s="40">
        <v>0</v>
      </c>
      <c r="CH375" s="52">
        <v>-278.10426207743751</v>
      </c>
      <c r="CI375" s="674">
        <v>20201.083767732242</v>
      </c>
      <c r="CJ375" s="40">
        <v>16778.652569568334</v>
      </c>
      <c r="CK375" s="52">
        <v>-3422.4311981639075</v>
      </c>
      <c r="CL375" s="674">
        <v>16914.302972262576</v>
      </c>
      <c r="CM375" s="40">
        <v>18715.024774400121</v>
      </c>
      <c r="CN375" s="52">
        <v>1800.7218021375447</v>
      </c>
      <c r="CO375" s="39">
        <v>37115.386739994821</v>
      </c>
      <c r="CP375" s="40">
        <v>35493.677343968455</v>
      </c>
      <c r="CQ375" s="52">
        <v>-1621.7093960263664</v>
      </c>
      <c r="CR375" s="72">
        <v>580715.15232425695</v>
      </c>
      <c r="CS375" s="5">
        <v>476919.23168398737</v>
      </c>
      <c r="CT375" s="52">
        <v>-103795.92064026959</v>
      </c>
      <c r="CU375" s="77">
        <v>696858.18278910837</v>
      </c>
      <c r="CV375" s="65">
        <v>572303.07802078477</v>
      </c>
      <c r="CW375" s="35">
        <v>-124555.1047683236</v>
      </c>
      <c r="CX375" s="73">
        <v>9907.6032043370433</v>
      </c>
      <c r="CY375" s="40">
        <v>134462.70797266049</v>
      </c>
      <c r="CZ375" s="52">
        <v>124555.10476832345</v>
      </c>
      <c r="DA375" s="150">
        <v>-55450.05800001559</v>
      </c>
      <c r="DB375" s="2">
        <v>3</v>
      </c>
      <c r="DC375" s="675">
        <v>145321.65</v>
      </c>
      <c r="DD375" s="675">
        <v>72556.78</v>
      </c>
      <c r="DE375" s="675">
        <v>90370.263835043617</v>
      </c>
      <c r="DF375" s="675">
        <v>65486.438562641029</v>
      </c>
      <c r="DG375" s="321">
        <v>69105.04676830786</v>
      </c>
      <c r="DH375" s="40">
        <v>706712.44771511387</v>
      </c>
      <c r="DI375" s="422">
        <v>62021.727602315339</v>
      </c>
      <c r="DJ375" s="306">
        <v>5.374989922114926</v>
      </c>
      <c r="DK375" s="306">
        <v>6.5807678963577816</v>
      </c>
      <c r="DL375" s="306">
        <v>4.4043739097732315</v>
      </c>
      <c r="DM375" s="28">
        <v>54951.386164956377</v>
      </c>
      <c r="DN375" s="28">
        <v>7070.3414373589685</v>
      </c>
      <c r="DO375" s="423">
        <v>62021.727602315346</v>
      </c>
      <c r="DP375" s="94">
        <v>0</v>
      </c>
      <c r="DQ375" s="28">
        <v>62021.727602315346</v>
      </c>
      <c r="DR375" s="318"/>
      <c r="DT375" s="8"/>
      <c r="DU375" s="5"/>
      <c r="DX375" s="5">
        <v>187557.06809645353</v>
      </c>
      <c r="DY375" s="5">
        <v>77441.423999999999</v>
      </c>
      <c r="DZ375" s="159">
        <v>16829.789875082162</v>
      </c>
      <c r="EB375" s="676">
        <v>-3861.6934775494447</v>
      </c>
      <c r="EC375" s="676">
        <v>17225.366048032702</v>
      </c>
      <c r="ED375" s="676">
        <v>-4829.6545063472222</v>
      </c>
      <c r="EE375" s="676">
        <v>-19884.341434518785</v>
      </c>
      <c r="EF375" s="676">
        <v>2905.8945268518291</v>
      </c>
      <c r="EG375" s="676">
        <v>-21759.809911793134</v>
      </c>
      <c r="EH375" s="676">
        <v>-29013.297831731332</v>
      </c>
      <c r="EI375" s="676">
        <v>-11465.12975511406</v>
      </c>
      <c r="EJ375" s="676">
        <v>-9068.6219731464516</v>
      </c>
      <c r="EK375" s="676">
        <v>-11965.986701833426</v>
      </c>
      <c r="EL375" s="676">
        <v>-14143.231221994974</v>
      </c>
      <c r="EM375" s="676">
        <v>-18694.598529179151</v>
      </c>
      <c r="EN375" s="676">
        <v>-124555.10476832345</v>
      </c>
      <c r="EQ375" s="5">
        <v>187557.06809645353</v>
      </c>
      <c r="ER375" s="5">
        <v>77441.423999999999</v>
      </c>
      <c r="ET375" s="318">
        <v>142281.74991370621</v>
      </c>
      <c r="EU375" s="5">
        <v>38797.296854601664</v>
      </c>
    </row>
    <row r="376" spans="1:151" x14ac:dyDescent="0.3">
      <c r="A376" s="325">
        <v>150000902</v>
      </c>
      <c r="B376" s="41" t="s">
        <v>822</v>
      </c>
      <c r="C376" s="42" t="s">
        <v>404</v>
      </c>
      <c r="D376" s="27">
        <v>9</v>
      </c>
      <c r="E376" s="293">
        <v>3581.3</v>
      </c>
      <c r="F376" s="305">
        <v>3581.3</v>
      </c>
      <c r="G376" s="508">
        <v>455.7</v>
      </c>
      <c r="H376" s="677">
        <v>0</v>
      </c>
      <c r="I376" s="674">
        <v>10468.309651066913</v>
      </c>
      <c r="J376" s="40">
        <v>10131.140223775543</v>
      </c>
      <c r="K376" s="52">
        <v>-337.16942729137008</v>
      </c>
      <c r="L376" s="674">
        <v>2679.5680359811859</v>
      </c>
      <c r="M376" s="40">
        <v>2560.7163524963476</v>
      </c>
      <c r="N376" s="52">
        <v>-118.8516834848383</v>
      </c>
      <c r="O376" s="674">
        <v>4405.9939601680289</v>
      </c>
      <c r="P376" s="40">
        <v>4405.87</v>
      </c>
      <c r="Q376" s="52">
        <v>-0.12396016802904342</v>
      </c>
      <c r="R376" s="674">
        <v>1086.7588706084152</v>
      </c>
      <c r="S376" s="40">
        <v>1086.0000000000002</v>
      </c>
      <c r="T376" s="52">
        <v>-0.75887060841500897</v>
      </c>
      <c r="U376" s="674">
        <v>714.84307937464087</v>
      </c>
      <c r="V376" s="40">
        <v>485.42495703916586</v>
      </c>
      <c r="W376" s="52">
        <v>-229.418122335475</v>
      </c>
      <c r="X376" s="674">
        <v>8475.3874286620976</v>
      </c>
      <c r="Y376" s="40">
        <v>6808.0809543413534</v>
      </c>
      <c r="Z376" s="52">
        <v>-1667.3064743207442</v>
      </c>
      <c r="AA376" s="674">
        <v>429.75600000000003</v>
      </c>
      <c r="AB376" s="40">
        <v>0</v>
      </c>
      <c r="AC376" s="52">
        <v>-429.75600000000003</v>
      </c>
      <c r="AD376" s="674">
        <v>15354.809454738959</v>
      </c>
      <c r="AE376" s="40">
        <v>15215.947533146302</v>
      </c>
      <c r="AF376" s="35">
        <v>-138.86192159265738</v>
      </c>
      <c r="AG376" s="77">
        <v>43615.426480600232</v>
      </c>
      <c r="AH376" s="53">
        <v>40693.180020798711</v>
      </c>
      <c r="AI376" s="52">
        <v>-2922.2464598015213</v>
      </c>
      <c r="AJ376" s="674">
        <v>32722.046349456683</v>
      </c>
      <c r="AK376" s="40">
        <v>32507.225757498745</v>
      </c>
      <c r="AL376" s="52">
        <v>-214.82059195793772</v>
      </c>
      <c r="AM376" s="674">
        <v>315.2248275</v>
      </c>
      <c r="AN376" s="40">
        <v>0</v>
      </c>
      <c r="AO376" s="52">
        <v>-315.2248275</v>
      </c>
      <c r="AP376" s="674">
        <v>2877.974342944759</v>
      </c>
      <c r="AQ376" s="40">
        <v>2805.5655956088949</v>
      </c>
      <c r="AR376" s="52">
        <v>-72.408747335864064</v>
      </c>
      <c r="AS376" s="674">
        <v>57430.264608301404</v>
      </c>
      <c r="AT376" s="40">
        <v>1470.34</v>
      </c>
      <c r="AU376" s="54">
        <v>-55959.924608301408</v>
      </c>
      <c r="AV376" s="674">
        <v>1684.3888621985463</v>
      </c>
      <c r="AW376" s="40">
        <v>301</v>
      </c>
      <c r="AX376" s="55">
        <v>-1383.3888621985463</v>
      </c>
      <c r="AY376" s="674">
        <v>3128.0241899987054</v>
      </c>
      <c r="AZ376" s="40">
        <v>0</v>
      </c>
      <c r="BA376" s="35">
        <v>-3128.0241899987054</v>
      </c>
      <c r="BB376" s="674">
        <v>1887.1650872972177</v>
      </c>
      <c r="BC376" s="40">
        <v>0</v>
      </c>
      <c r="BD376" s="55">
        <v>-1887.1650872972177</v>
      </c>
      <c r="BE376" s="674">
        <v>1678.2340397118026</v>
      </c>
      <c r="BF376" s="40">
        <v>760</v>
      </c>
      <c r="BG376" s="38">
        <v>-918.23403971180255</v>
      </c>
      <c r="BH376" s="674">
        <v>923.71373565197098</v>
      </c>
      <c r="BI376" s="40">
        <v>17</v>
      </c>
      <c r="BJ376" s="55">
        <v>-906.71373565197098</v>
      </c>
      <c r="BK376" s="674">
        <v>2071.4022964093992</v>
      </c>
      <c r="BL376" s="40">
        <v>124</v>
      </c>
      <c r="BM376" s="38">
        <v>-1947.4022964093992</v>
      </c>
      <c r="BN376" s="674">
        <v>107.43900000000001</v>
      </c>
      <c r="BO376" s="40">
        <v>0</v>
      </c>
      <c r="BP376" s="55">
        <v>-107.43900000000001</v>
      </c>
      <c r="BQ376" s="77">
        <v>11480.367211267641</v>
      </c>
      <c r="BR376" s="40">
        <v>1202</v>
      </c>
      <c r="BS376" s="55">
        <v>-10278.367211267641</v>
      </c>
      <c r="BT376" s="674">
        <v>36710.242919668846</v>
      </c>
      <c r="BU376" s="40">
        <v>37782.367954705667</v>
      </c>
      <c r="BV376" s="52">
        <v>1072.1250350368209</v>
      </c>
      <c r="BW376" s="674">
        <v>42698.382131066013</v>
      </c>
      <c r="BX376" s="40">
        <v>43176.849725891683</v>
      </c>
      <c r="BY376" s="52">
        <v>478.46759482566995</v>
      </c>
      <c r="BZ376" s="674">
        <v>4621.647112937374</v>
      </c>
      <c r="CA376" s="40">
        <v>8515.6142307957907</v>
      </c>
      <c r="CB376" s="52">
        <v>3893.9671178584167</v>
      </c>
      <c r="CC376" s="674">
        <v>1375.1241226325594</v>
      </c>
      <c r="CD376" s="40">
        <v>1442.2736695821698</v>
      </c>
      <c r="CE376" s="52">
        <v>67.14954694961034</v>
      </c>
      <c r="CF376" s="674">
        <v>167.71847168275357</v>
      </c>
      <c r="CG376" s="40">
        <v>0</v>
      </c>
      <c r="CH376" s="52">
        <v>-167.71847168275357</v>
      </c>
      <c r="CI376" s="674">
        <v>3982.5883462828738</v>
      </c>
      <c r="CJ376" s="40">
        <v>6610.8709879992375</v>
      </c>
      <c r="CK376" s="52">
        <v>2628.2826417163637</v>
      </c>
      <c r="CL376" s="674">
        <v>7164.0424893366553</v>
      </c>
      <c r="CM376" s="40">
        <v>4783.6638241496794</v>
      </c>
      <c r="CN376" s="52">
        <v>-2380.3786651869759</v>
      </c>
      <c r="CO376" s="39">
        <v>11146.63083561953</v>
      </c>
      <c r="CP376" s="40">
        <v>11394.534812148917</v>
      </c>
      <c r="CQ376" s="52">
        <v>247.90397652938736</v>
      </c>
      <c r="CR376" s="72">
        <v>245161.0494136778</v>
      </c>
      <c r="CS376" s="5">
        <v>180989.95176703058</v>
      </c>
      <c r="CT376" s="52">
        <v>-64171.09764664722</v>
      </c>
      <c r="CU376" s="77">
        <v>294193.25929641334</v>
      </c>
      <c r="CV376" s="65">
        <v>217187.9421204367</v>
      </c>
      <c r="CW376" s="35">
        <v>-77005.317175976641</v>
      </c>
      <c r="CX376" s="73">
        <v>8910.8543515703441</v>
      </c>
      <c r="CY376" s="40">
        <v>85916.171527547092</v>
      </c>
      <c r="CZ376" s="52">
        <v>77005.317175976743</v>
      </c>
      <c r="DA376" s="150">
        <v>123068.435091391</v>
      </c>
      <c r="DB376" s="2">
        <v>3</v>
      </c>
      <c r="DC376" s="675">
        <v>69193.36</v>
      </c>
      <c r="DD376" s="675">
        <v>0</v>
      </c>
      <c r="DE376" s="675">
        <v>42661.152113794989</v>
      </c>
      <c r="DF376" s="675">
        <v>0</v>
      </c>
      <c r="DG376" s="321">
        <v>200073.75226736773</v>
      </c>
      <c r="DH376" s="40">
        <v>303081.02415824228</v>
      </c>
      <c r="DI376" s="422">
        <v>26532.207886205015</v>
      </c>
      <c r="DJ376" s="306">
        <v>6.263815729270541</v>
      </c>
      <c r="DK376" s="306">
        <v>7.5754373747045127</v>
      </c>
      <c r="DL376" s="306">
        <v>4.8720094565163663</v>
      </c>
      <c r="DM376" s="28">
        <v>26532.207886205011</v>
      </c>
      <c r="DN376" s="28">
        <v>0</v>
      </c>
      <c r="DO376" s="423">
        <v>26532.207886205011</v>
      </c>
      <c r="DP376" s="94">
        <v>0</v>
      </c>
      <c r="DQ376" s="28">
        <v>26532.207886205011</v>
      </c>
      <c r="DR376" s="318"/>
      <c r="DT376" s="8"/>
      <c r="DU376" s="5"/>
      <c r="DX376" s="5">
        <v>82692.758183482845</v>
      </c>
      <c r="DY376" s="5">
        <v>3206.808</v>
      </c>
      <c r="DZ376" s="159">
        <v>7464.6693275397756</v>
      </c>
      <c r="EB376" s="676">
        <v>-2691.1246212788283</v>
      </c>
      <c r="EC376" s="676">
        <v>-3147.2976388108618</v>
      </c>
      <c r="ED376" s="676">
        <v>-3911.7390851851596</v>
      </c>
      <c r="EE376" s="676">
        <v>-8768.9262720992738</v>
      </c>
      <c r="EF376" s="676">
        <v>-8474.027290893413</v>
      </c>
      <c r="EG376" s="676">
        <v>-9299.7352977409573</v>
      </c>
      <c r="EH376" s="676">
        <v>-9001.5734321452219</v>
      </c>
      <c r="EI376" s="676">
        <v>-5822.6675366022864</v>
      </c>
      <c r="EJ376" s="676">
        <v>-6778.437681627991</v>
      </c>
      <c r="EK376" s="676">
        <v>-7100.2083300217746</v>
      </c>
      <c r="EL376" s="676">
        <v>-7858.8608751987595</v>
      </c>
      <c r="EM376" s="676">
        <v>-4150.7191143722048</v>
      </c>
      <c r="EN376" s="676">
        <v>-77005.317175976728</v>
      </c>
      <c r="EQ376" s="5">
        <v>82692.758183482845</v>
      </c>
      <c r="ER376" s="5">
        <v>3206.808</v>
      </c>
      <c r="ET376" s="318">
        <v>-53172.544898451772</v>
      </c>
      <c r="EU376" s="5">
        <v>24471.297165819458</v>
      </c>
    </row>
    <row r="377" spans="1:151" x14ac:dyDescent="0.3">
      <c r="A377" s="325">
        <v>150000903</v>
      </c>
      <c r="B377" s="41" t="s">
        <v>823</v>
      </c>
      <c r="C377" s="42" t="s">
        <v>405</v>
      </c>
      <c r="D377" s="27">
        <v>9</v>
      </c>
      <c r="E377" s="293">
        <v>4073.8</v>
      </c>
      <c r="F377" s="305">
        <v>4073.8</v>
      </c>
      <c r="G377" s="508">
        <v>501.2</v>
      </c>
      <c r="H377" s="677">
        <v>0</v>
      </c>
      <c r="I377" s="674">
        <v>10542.226118027773</v>
      </c>
      <c r="J377" s="40">
        <v>10259.202099630882</v>
      </c>
      <c r="K377" s="52">
        <v>-283.02401839689082</v>
      </c>
      <c r="L377" s="674">
        <v>1534.2972144134817</v>
      </c>
      <c r="M377" s="40">
        <v>1466.2303986567649</v>
      </c>
      <c r="N377" s="52">
        <v>-68.066815756716778</v>
      </c>
      <c r="O377" s="674">
        <v>5071.8539807580501</v>
      </c>
      <c r="P377" s="40">
        <v>5073.3150000000014</v>
      </c>
      <c r="Q377" s="52">
        <v>1.4610192419513623</v>
      </c>
      <c r="R377" s="674">
        <v>1309.7518576294101</v>
      </c>
      <c r="S377" s="40">
        <v>1308.5450000000001</v>
      </c>
      <c r="T377" s="52">
        <v>-1.2068576294100239</v>
      </c>
      <c r="U377" s="674">
        <v>714.84307937464087</v>
      </c>
      <c r="V377" s="40">
        <v>485.42495703916586</v>
      </c>
      <c r="W377" s="52">
        <v>-229.418122335475</v>
      </c>
      <c r="X377" s="674">
        <v>8541.9590016994935</v>
      </c>
      <c r="Y377" s="40">
        <v>7219.1618491437775</v>
      </c>
      <c r="Z377" s="52">
        <v>-1322.7971525557159</v>
      </c>
      <c r="AA377" s="674">
        <v>488.79600000000005</v>
      </c>
      <c r="AB377" s="40">
        <v>0</v>
      </c>
      <c r="AC377" s="52">
        <v>-488.79600000000005</v>
      </c>
      <c r="AD377" s="674">
        <v>17465.878679307923</v>
      </c>
      <c r="AE377" s="40">
        <v>17308.443040385169</v>
      </c>
      <c r="AF377" s="35">
        <v>-157.43563892275415</v>
      </c>
      <c r="AG377" s="77">
        <v>45669.605931210768</v>
      </c>
      <c r="AH377" s="53">
        <v>43120.322344855762</v>
      </c>
      <c r="AI377" s="52">
        <v>-2549.2835863550063</v>
      </c>
      <c r="AJ377" s="674">
        <v>39391.507934318557</v>
      </c>
      <c r="AK377" s="40">
        <v>39132.775266478908</v>
      </c>
      <c r="AL377" s="52">
        <v>-258.73266783964937</v>
      </c>
      <c r="AM377" s="674">
        <v>0</v>
      </c>
      <c r="AN377" s="40">
        <v>0</v>
      </c>
      <c r="AO377" s="52">
        <v>0</v>
      </c>
      <c r="AP377" s="674">
        <v>2877.974342944759</v>
      </c>
      <c r="AQ377" s="40">
        <v>2805.5655956088949</v>
      </c>
      <c r="AR377" s="52">
        <v>-72.408747335864064</v>
      </c>
      <c r="AS377" s="674">
        <v>63539.586632077364</v>
      </c>
      <c r="AT377" s="40">
        <v>23121.35</v>
      </c>
      <c r="AU377" s="54">
        <v>-40418.236632077365</v>
      </c>
      <c r="AV377" s="674">
        <v>1701.6881526340917</v>
      </c>
      <c r="AW377" s="40">
        <v>829</v>
      </c>
      <c r="AX377" s="55">
        <v>-872.68815263409169</v>
      </c>
      <c r="AY377" s="674">
        <v>1813.8256446914793</v>
      </c>
      <c r="AZ377" s="40">
        <v>0</v>
      </c>
      <c r="BA377" s="35">
        <v>-1813.8256446914793</v>
      </c>
      <c r="BB377" s="674">
        <v>2137.4533022570308</v>
      </c>
      <c r="BC377" s="40">
        <v>0</v>
      </c>
      <c r="BD377" s="55">
        <v>-2137.4533022570308</v>
      </c>
      <c r="BE377" s="674">
        <v>2043.0416122138429</v>
      </c>
      <c r="BF377" s="40">
        <v>0</v>
      </c>
      <c r="BG377" s="38">
        <v>-2043.0416122138429</v>
      </c>
      <c r="BH377" s="674">
        <v>923.71373565197098</v>
      </c>
      <c r="BI377" s="40">
        <v>8258</v>
      </c>
      <c r="BJ377" s="55">
        <v>7334.2862643480294</v>
      </c>
      <c r="BK377" s="674">
        <v>1881.2568608144006</v>
      </c>
      <c r="BL377" s="40">
        <v>479</v>
      </c>
      <c r="BM377" s="38">
        <v>-1402.2568608144006</v>
      </c>
      <c r="BN377" s="674">
        <v>122.19900000000001</v>
      </c>
      <c r="BO377" s="40">
        <v>0</v>
      </c>
      <c r="BP377" s="55">
        <v>-122.19900000000001</v>
      </c>
      <c r="BQ377" s="77">
        <v>10623.178308262817</v>
      </c>
      <c r="BR377" s="40">
        <v>9566</v>
      </c>
      <c r="BS377" s="55">
        <v>-1057.1783082628172</v>
      </c>
      <c r="BT377" s="674">
        <v>48186.010376600221</v>
      </c>
      <c r="BU377" s="40">
        <v>39952.482923353891</v>
      </c>
      <c r="BV377" s="52">
        <v>-8233.52745324633</v>
      </c>
      <c r="BW377" s="674">
        <v>39861.654962723725</v>
      </c>
      <c r="BX377" s="40">
        <v>30054.25481856172</v>
      </c>
      <c r="BY377" s="52">
        <v>-9807.4001441620057</v>
      </c>
      <c r="BZ377" s="674">
        <v>7826.1111068805812</v>
      </c>
      <c r="CA377" s="40">
        <v>7967.0290383902548</v>
      </c>
      <c r="CB377" s="52">
        <v>140.91793150967351</v>
      </c>
      <c r="CC377" s="674">
        <v>1606.0572277756457</v>
      </c>
      <c r="CD377" s="40">
        <v>1684.9892263709069</v>
      </c>
      <c r="CE377" s="52">
        <v>78.93199859526112</v>
      </c>
      <c r="CF377" s="674">
        <v>195.94326916520964</v>
      </c>
      <c r="CG377" s="40">
        <v>0</v>
      </c>
      <c r="CH377" s="52">
        <v>-195.94326916520964</v>
      </c>
      <c r="CI377" s="674">
        <v>7592.0067185813105</v>
      </c>
      <c r="CJ377" s="40">
        <v>7528.8572245595924</v>
      </c>
      <c r="CK377" s="52">
        <v>-63.149494021718056</v>
      </c>
      <c r="CL377" s="674">
        <v>7858.2499308155247</v>
      </c>
      <c r="CM377" s="40">
        <v>8606.8678723409776</v>
      </c>
      <c r="CN377" s="52">
        <v>748.61794152545281</v>
      </c>
      <c r="CO377" s="39">
        <v>15450.256649396835</v>
      </c>
      <c r="CP377" s="40">
        <v>16135.725096900569</v>
      </c>
      <c r="CQ377" s="52">
        <v>685.46844750373384</v>
      </c>
      <c r="CR377" s="72">
        <v>275227.88674135652</v>
      </c>
      <c r="CS377" s="5">
        <v>213540.49431052088</v>
      </c>
      <c r="CT377" s="52">
        <v>-61687.392430835636</v>
      </c>
      <c r="CU377" s="77">
        <v>330273.46408962779</v>
      </c>
      <c r="CV377" s="65">
        <v>256248.59317262506</v>
      </c>
      <c r="CW377" s="35">
        <v>-74024.870917002729</v>
      </c>
      <c r="CX377" s="73">
        <v>6022.4140186629056</v>
      </c>
      <c r="CY377" s="40">
        <v>80047.284935665637</v>
      </c>
      <c r="CZ377" s="52">
        <v>74024.870917002729</v>
      </c>
      <c r="DA377" s="150">
        <v>-40343.838918660498</v>
      </c>
      <c r="DB377" s="2">
        <v>3</v>
      </c>
      <c r="DC377" s="675">
        <v>43801.84</v>
      </c>
      <c r="DD377" s="675">
        <v>0</v>
      </c>
      <c r="DE377" s="675">
        <v>14289.907369521748</v>
      </c>
      <c r="DF377" s="675">
        <v>0</v>
      </c>
      <c r="DG377" s="321">
        <v>33681.031998342201</v>
      </c>
      <c r="DH377" s="40">
        <v>336270.5001986961</v>
      </c>
      <c r="DI377" s="422">
        <v>29511.932630478244</v>
      </c>
      <c r="DJ377" s="306">
        <v>6.0210613147364924</v>
      </c>
      <c r="DK377" s="306">
        <v>7.4159370485171348</v>
      </c>
      <c r="DL377" s="306">
        <v>4.902761195731947</v>
      </c>
      <c r="DM377" s="28">
        <v>29511.932630478248</v>
      </c>
      <c r="DN377" s="28">
        <v>0</v>
      </c>
      <c r="DO377" s="423">
        <v>29511.932630478248</v>
      </c>
      <c r="DP377" s="94">
        <v>0</v>
      </c>
      <c r="DQ377" s="28">
        <v>29511.932630478248</v>
      </c>
      <c r="DR377" s="318"/>
      <c r="DT377" s="8"/>
      <c r="DU377" s="5"/>
      <c r="DX377" s="5">
        <v>88995.317928408229</v>
      </c>
      <c r="DY377" s="5">
        <v>39224.82</v>
      </c>
      <c r="DZ377" s="159">
        <v>8054.7618654086627</v>
      </c>
      <c r="EB377" s="676">
        <v>995.90006449108114</v>
      </c>
      <c r="EC377" s="676">
        <v>11822.411448745017</v>
      </c>
      <c r="ED377" s="676">
        <v>2584.6976048944598</v>
      </c>
      <c r="EE377" s="676">
        <v>-7552.22614563975</v>
      </c>
      <c r="EF377" s="676">
        <v>-12436.307011614859</v>
      </c>
      <c r="EG377" s="676">
        <v>-13917.432301009747</v>
      </c>
      <c r="EH377" s="676">
        <v>-13222.955222920215</v>
      </c>
      <c r="EI377" s="676">
        <v>-7955.6981149719541</v>
      </c>
      <c r="EJ377" s="676">
        <v>-12664.307498325772</v>
      </c>
      <c r="EK377" s="676">
        <v>-1275.1762795807226</v>
      </c>
      <c r="EL377" s="676">
        <v>-11950.591353520285</v>
      </c>
      <c r="EM377" s="676">
        <v>-8453.1861075499692</v>
      </c>
      <c r="EN377" s="676">
        <v>-74024.8709170027</v>
      </c>
      <c r="EQ377" s="5">
        <v>88995.317928408229</v>
      </c>
      <c r="ER377" s="5">
        <v>39224.82</v>
      </c>
      <c r="ET377" s="318">
        <v>-9265.8190701919993</v>
      </c>
      <c r="EU377" s="5">
        <v>-8346.1489314657883</v>
      </c>
    </row>
    <row r="378" spans="1:151" x14ac:dyDescent="0.3">
      <c r="A378" s="325">
        <v>150000904</v>
      </c>
      <c r="B378" s="41" t="s">
        <v>824</v>
      </c>
      <c r="C378" s="42" t="s">
        <v>406</v>
      </c>
      <c r="D378" s="27">
        <v>9</v>
      </c>
      <c r="E378" s="293">
        <v>4387.3</v>
      </c>
      <c r="F378" s="305">
        <v>4387.3</v>
      </c>
      <c r="G378" s="508">
        <v>446.3</v>
      </c>
      <c r="H378" s="677">
        <v>0</v>
      </c>
      <c r="I378" s="674">
        <v>15651.055131836039</v>
      </c>
      <c r="J378" s="40">
        <v>14910.362425965061</v>
      </c>
      <c r="K378" s="52">
        <v>-740.6927058709789</v>
      </c>
      <c r="L378" s="674">
        <v>2714.2083678899262</v>
      </c>
      <c r="M378" s="40">
        <v>2593.8270910319766</v>
      </c>
      <c r="N378" s="52">
        <v>-120.38127685794962</v>
      </c>
      <c r="O378" s="674">
        <v>5394.1275134443604</v>
      </c>
      <c r="P378" s="40">
        <v>5393.125</v>
      </c>
      <c r="Q378" s="52">
        <v>-1.0025134443603747</v>
      </c>
      <c r="R378" s="674">
        <v>1300.3886353316946</v>
      </c>
      <c r="S378" s="40">
        <v>1300.8299999999997</v>
      </c>
      <c r="T378" s="52">
        <v>0.44136466830514109</v>
      </c>
      <c r="U378" s="674">
        <v>714.84307937464087</v>
      </c>
      <c r="V378" s="40">
        <v>485.42495703916586</v>
      </c>
      <c r="W378" s="52">
        <v>-229.418122335475</v>
      </c>
      <c r="X378" s="674">
        <v>5631.7100182208815</v>
      </c>
      <c r="Y378" s="40">
        <v>4533.9609451183205</v>
      </c>
      <c r="Z378" s="52">
        <v>-1097.7490731025609</v>
      </c>
      <c r="AA378" s="674">
        <v>526.47600000000011</v>
      </c>
      <c r="AB378" s="40">
        <v>0</v>
      </c>
      <c r="AC378" s="52">
        <v>-526.47600000000011</v>
      </c>
      <c r="AD378" s="674">
        <v>18810.581765992025</v>
      </c>
      <c r="AE378" s="40">
        <v>18640.417337886458</v>
      </c>
      <c r="AF378" s="35">
        <v>-170.16442810556691</v>
      </c>
      <c r="AG378" s="77">
        <v>50743.390512089565</v>
      </c>
      <c r="AH378" s="53">
        <v>47857.94775704098</v>
      </c>
      <c r="AI378" s="52">
        <v>-2885.4427550485852</v>
      </c>
      <c r="AJ378" s="674">
        <v>25896.299370881665</v>
      </c>
      <c r="AK378" s="40">
        <v>25726.26365402123</v>
      </c>
      <c r="AL378" s="52">
        <v>-170.03571686043506</v>
      </c>
      <c r="AM378" s="674">
        <v>1183.8166191531982</v>
      </c>
      <c r="AN378" s="40">
        <v>1097.5939413073183</v>
      </c>
      <c r="AO378" s="52">
        <v>-86.222677845879844</v>
      </c>
      <c r="AP378" s="674">
        <v>3372.6261831383895</v>
      </c>
      <c r="AQ378" s="40">
        <v>2857.6408959537571</v>
      </c>
      <c r="AR378" s="52">
        <v>-514.9852871846324</v>
      </c>
      <c r="AS378" s="674">
        <v>60933.523616502353</v>
      </c>
      <c r="AT378" s="40">
        <v>55067.69</v>
      </c>
      <c r="AU378" s="54">
        <v>-5865.8336165023502</v>
      </c>
      <c r="AV378" s="674">
        <v>2458.0454260138913</v>
      </c>
      <c r="AW378" s="40">
        <v>1472</v>
      </c>
      <c r="AX378" s="55">
        <v>-986.0454260138913</v>
      </c>
      <c r="AY378" s="674">
        <v>3167.9448764865524</v>
      </c>
      <c r="AZ378" s="40">
        <v>0</v>
      </c>
      <c r="BA378" s="35">
        <v>-3167.9448764865524</v>
      </c>
      <c r="BB378" s="674">
        <v>2395.3799307333697</v>
      </c>
      <c r="BC378" s="40">
        <v>0</v>
      </c>
      <c r="BD378" s="55">
        <v>-2395.3799307333697</v>
      </c>
      <c r="BE378" s="674">
        <v>2047.863040710989</v>
      </c>
      <c r="BF378" s="40">
        <v>1953</v>
      </c>
      <c r="BG378" s="38">
        <v>-94.863040710989026</v>
      </c>
      <c r="BH378" s="674">
        <v>923.71373565197098</v>
      </c>
      <c r="BI378" s="40">
        <v>0</v>
      </c>
      <c r="BJ378" s="55">
        <v>-923.71373565197098</v>
      </c>
      <c r="BK378" s="674">
        <v>1479.6338144364843</v>
      </c>
      <c r="BL378" s="40">
        <v>371</v>
      </c>
      <c r="BM378" s="38">
        <v>-1108.6338144364843</v>
      </c>
      <c r="BN378" s="674">
        <v>131.61900000000003</v>
      </c>
      <c r="BO378" s="40">
        <v>0</v>
      </c>
      <c r="BP378" s="55">
        <v>-131.61900000000003</v>
      </c>
      <c r="BQ378" s="77">
        <v>12604.199824033258</v>
      </c>
      <c r="BR378" s="40">
        <v>3796</v>
      </c>
      <c r="BS378" s="55">
        <v>-8808.1998240332578</v>
      </c>
      <c r="BT378" s="674">
        <v>51457.169091123404</v>
      </c>
      <c r="BU378" s="40">
        <v>26696.621041399721</v>
      </c>
      <c r="BV378" s="52">
        <v>-24760.548049723682</v>
      </c>
      <c r="BW378" s="674">
        <v>31267.035033345815</v>
      </c>
      <c r="BX378" s="40">
        <v>16347.333255424852</v>
      </c>
      <c r="BY378" s="52">
        <v>-14919.701777920964</v>
      </c>
      <c r="BZ378" s="674">
        <v>6776.333035323697</v>
      </c>
      <c r="CA378" s="40">
        <v>4078.9165102931074</v>
      </c>
      <c r="CB378" s="52">
        <v>-2697.4165250305896</v>
      </c>
      <c r="CC378" s="674">
        <v>1506.9728559698708</v>
      </c>
      <c r="CD378" s="40">
        <v>1577.2130044033449</v>
      </c>
      <c r="CE378" s="52">
        <v>70.240148433474133</v>
      </c>
      <c r="CF378" s="674">
        <v>183.41023634809011</v>
      </c>
      <c r="CG378" s="40">
        <v>0</v>
      </c>
      <c r="CH378" s="52">
        <v>-183.41023634809011</v>
      </c>
      <c r="CI378" s="674">
        <v>6898.9866467787251</v>
      </c>
      <c r="CJ378" s="40">
        <v>6930.3460490459238</v>
      </c>
      <c r="CK378" s="52">
        <v>31.359402267198675</v>
      </c>
      <c r="CL378" s="674">
        <v>6987.3073191208414</v>
      </c>
      <c r="CM378" s="40">
        <v>5469.7748843574172</v>
      </c>
      <c r="CN378" s="52">
        <v>-1517.5324347634241</v>
      </c>
      <c r="CO378" s="39">
        <v>13886.293965899567</v>
      </c>
      <c r="CP378" s="40">
        <v>12400.120933403341</v>
      </c>
      <c r="CQ378" s="52">
        <v>-1486.1730324962264</v>
      </c>
      <c r="CR378" s="72">
        <v>259811.07034380885</v>
      </c>
      <c r="CS378" s="5">
        <v>197503.34099324766</v>
      </c>
      <c r="CT378" s="52">
        <v>-62307.729350561189</v>
      </c>
      <c r="CU378" s="77">
        <v>311773.28441257059</v>
      </c>
      <c r="CV378" s="65">
        <v>237004.00919189717</v>
      </c>
      <c r="CW378" s="35">
        <v>-74769.275220673415</v>
      </c>
      <c r="CX378" s="73">
        <v>7026.5162853561897</v>
      </c>
      <c r="CY378" s="40">
        <v>81795.791506029636</v>
      </c>
      <c r="CZ378" s="52">
        <v>74769.275220673444</v>
      </c>
      <c r="DA378" s="150">
        <v>16370.349451368951</v>
      </c>
      <c r="DB378" s="2">
        <v>3</v>
      </c>
      <c r="DC378" s="675">
        <v>46590.12</v>
      </c>
      <c r="DD378" s="675">
        <v>0</v>
      </c>
      <c r="DE378" s="675">
        <v>18912.50528558706</v>
      </c>
      <c r="DF378" s="675">
        <v>0</v>
      </c>
      <c r="DG378" s="321">
        <v>91139.624672042381</v>
      </c>
      <c r="DH378" s="40">
        <v>318774.77720932179</v>
      </c>
      <c r="DI378" s="422">
        <v>27677.614714412943</v>
      </c>
      <c r="DJ378" s="306">
        <v>5.4974410792531181</v>
      </c>
      <c r="DK378" s="306">
        <v>6.4004330780873575</v>
      </c>
      <c r="DL378" s="306">
        <v>4.7058646823917085</v>
      </c>
      <c r="DM378" s="28">
        <v>27677.614714412943</v>
      </c>
      <c r="DN378" s="28">
        <v>0</v>
      </c>
      <c r="DO378" s="423">
        <v>27677.614714412943</v>
      </c>
      <c r="DP378" s="94">
        <v>0</v>
      </c>
      <c r="DQ378" s="28">
        <v>27677.614714412943</v>
      </c>
      <c r="DR378" s="318"/>
      <c r="DT378" s="8"/>
      <c r="DU378" s="5"/>
      <c r="DX378" s="5">
        <v>88245.26812864274</v>
      </c>
      <c r="DY378" s="5">
        <v>70636.428</v>
      </c>
      <c r="DZ378" s="159">
        <v>7683.0959897263838</v>
      </c>
      <c r="EB378" s="676">
        <v>1058.5953672737051</v>
      </c>
      <c r="EC378" s="676">
        <v>-937.81440663059766</v>
      </c>
      <c r="ED378" s="676">
        <v>42404.69663286065</v>
      </c>
      <c r="EE378" s="676">
        <v>-9852.9694522187237</v>
      </c>
      <c r="EF378" s="676">
        <v>-12876.855226065967</v>
      </c>
      <c r="EG378" s="676">
        <v>-16859.844945756726</v>
      </c>
      <c r="EH378" s="676">
        <v>-15836.01824578505</v>
      </c>
      <c r="EI378" s="676">
        <v>-13359.941960591686</v>
      </c>
      <c r="EJ378" s="676">
        <v>-2500.2696773558564</v>
      </c>
      <c r="EK378" s="676">
        <v>-15065.070555703498</v>
      </c>
      <c r="EL378" s="676">
        <v>-15699.581900986097</v>
      </c>
      <c r="EM378" s="676">
        <v>-15244.200849713579</v>
      </c>
      <c r="EN378" s="676">
        <v>-74769.275220673429</v>
      </c>
      <c r="EQ378" s="5">
        <v>88245.26812864274</v>
      </c>
      <c r="ER378" s="5">
        <v>70636.428</v>
      </c>
      <c r="ET378" s="318">
        <v>-44590.143920662042</v>
      </c>
      <c r="EU378" s="5">
        <v>158136.76859270444</v>
      </c>
    </row>
    <row r="379" spans="1:151" x14ac:dyDescent="0.3">
      <c r="A379" s="325">
        <v>150000905</v>
      </c>
      <c r="B379" s="41" t="s">
        <v>825</v>
      </c>
      <c r="C379" s="42" t="s">
        <v>427</v>
      </c>
      <c r="D379" s="27">
        <v>14</v>
      </c>
      <c r="E379" s="293">
        <v>5222.9000000000005</v>
      </c>
      <c r="F379" s="305">
        <v>5047.1000000000004</v>
      </c>
      <c r="G379" s="508">
        <v>0</v>
      </c>
      <c r="H379" s="677">
        <v>175.8</v>
      </c>
      <c r="I379" s="674">
        <v>11296.454620901648</v>
      </c>
      <c r="J379" s="40">
        <v>10866.517220954802</v>
      </c>
      <c r="K379" s="52">
        <v>-429.9373999468462</v>
      </c>
      <c r="L379" s="674">
        <v>1965.9575573319023</v>
      </c>
      <c r="M379" s="40">
        <v>1878.7687161472752</v>
      </c>
      <c r="N379" s="52">
        <v>-87.188841184627108</v>
      </c>
      <c r="O379" s="674">
        <v>6345.6923865153412</v>
      </c>
      <c r="P379" s="40">
        <v>6345.7800000000007</v>
      </c>
      <c r="Q379" s="52">
        <v>8.7613484659414098E-2</v>
      </c>
      <c r="R379" s="674">
        <v>1474.3611174416549</v>
      </c>
      <c r="S379" s="40">
        <v>1474.2049999999999</v>
      </c>
      <c r="T379" s="52">
        <v>-0.15611744165494201</v>
      </c>
      <c r="U379" s="674">
        <v>731.13498882914905</v>
      </c>
      <c r="V379" s="40">
        <v>496.50274822070804</v>
      </c>
      <c r="W379" s="52">
        <v>-234.63224060844101</v>
      </c>
      <c r="X379" s="674">
        <v>7001.9867360091412</v>
      </c>
      <c r="Y379" s="40">
        <v>5794.6165044740819</v>
      </c>
      <c r="Z379" s="52">
        <v>-1207.3702315350592</v>
      </c>
      <c r="AA379" s="674">
        <v>0</v>
      </c>
      <c r="AB379" s="40">
        <v>0</v>
      </c>
      <c r="AC379" s="52">
        <v>0</v>
      </c>
      <c r="AD379" s="674">
        <v>22382.772939897593</v>
      </c>
      <c r="AE379" s="40">
        <v>22190.649309153054</v>
      </c>
      <c r="AF379" s="35">
        <v>-192.1236307445397</v>
      </c>
      <c r="AG379" s="77">
        <v>51198.360346926427</v>
      </c>
      <c r="AH379" s="53">
        <v>49047.039498949918</v>
      </c>
      <c r="AI379" s="52">
        <v>-2151.320847976509</v>
      </c>
      <c r="AJ379" s="674">
        <v>35617.579715523825</v>
      </c>
      <c r="AK379" s="40">
        <v>34972.240138375244</v>
      </c>
      <c r="AL379" s="52">
        <v>-645.33957714858116</v>
      </c>
      <c r="AM379" s="674">
        <v>0</v>
      </c>
      <c r="AN379" s="40">
        <v>0</v>
      </c>
      <c r="AO379" s="52">
        <v>0</v>
      </c>
      <c r="AP379" s="674">
        <v>3012.8793902702946</v>
      </c>
      <c r="AQ379" s="40">
        <v>2526.0548072163656</v>
      </c>
      <c r="AR379" s="52">
        <v>-486.82458305392902</v>
      </c>
      <c r="AS379" s="674">
        <v>65670.056890676526</v>
      </c>
      <c r="AT379" s="40">
        <v>44094.25</v>
      </c>
      <c r="AU379" s="54">
        <v>-21575.806890676526</v>
      </c>
      <c r="AV379" s="674">
        <v>2045.2369264395888</v>
      </c>
      <c r="AW379" s="40">
        <v>0</v>
      </c>
      <c r="AX379" s="55">
        <v>-2045.2369264395888</v>
      </c>
      <c r="AY379" s="674">
        <v>2280.2579046548326</v>
      </c>
      <c r="AZ379" s="40">
        <v>0</v>
      </c>
      <c r="BA379" s="35">
        <v>-2280.2579046548326</v>
      </c>
      <c r="BB379" s="674">
        <v>3147.2708435118097</v>
      </c>
      <c r="BC379" s="40">
        <v>0</v>
      </c>
      <c r="BD379" s="55">
        <v>-3147.2708435118097</v>
      </c>
      <c r="BE379" s="674">
        <v>2295.7100550769978</v>
      </c>
      <c r="BF379" s="40">
        <v>1176</v>
      </c>
      <c r="BG379" s="38">
        <v>-1119.7100550769978</v>
      </c>
      <c r="BH379" s="674">
        <v>944.73872933113978</v>
      </c>
      <c r="BI379" s="40">
        <v>0</v>
      </c>
      <c r="BJ379" s="55">
        <v>-944.73872933113978</v>
      </c>
      <c r="BK379" s="674">
        <v>1559.3576238677738</v>
      </c>
      <c r="BL379" s="40">
        <v>0</v>
      </c>
      <c r="BM379" s="38">
        <v>-1559.3576238677738</v>
      </c>
      <c r="BN379" s="674">
        <v>0</v>
      </c>
      <c r="BO379" s="40">
        <v>0</v>
      </c>
      <c r="BP379" s="55">
        <v>0</v>
      </c>
      <c r="BQ379" s="77">
        <v>12272.572082882143</v>
      </c>
      <c r="BR379" s="40">
        <v>1176</v>
      </c>
      <c r="BS379" s="55">
        <v>-11096.572082882143</v>
      </c>
      <c r="BT379" s="674">
        <v>44827.017250470803</v>
      </c>
      <c r="BU379" s="40">
        <v>39050.433032475383</v>
      </c>
      <c r="BV379" s="52">
        <v>-5776.5842179954197</v>
      </c>
      <c r="BW379" s="674">
        <v>50061.741139330952</v>
      </c>
      <c r="BX379" s="40">
        <v>48038.055846766947</v>
      </c>
      <c r="BY379" s="52">
        <v>-2023.6852925640051</v>
      </c>
      <c r="BZ379" s="674">
        <v>3213.3947905444597</v>
      </c>
      <c r="CA379" s="40">
        <v>10168.065236742621</v>
      </c>
      <c r="CB379" s="52">
        <v>6954.6704461981608</v>
      </c>
      <c r="CC379" s="674">
        <v>1201.483367409036</v>
      </c>
      <c r="CD379" s="40">
        <v>1257.389256288222</v>
      </c>
      <c r="CE379" s="52">
        <v>55.905888879186023</v>
      </c>
      <c r="CF379" s="674">
        <v>146.21871619972742</v>
      </c>
      <c r="CG379" s="40">
        <v>0</v>
      </c>
      <c r="CH379" s="52">
        <v>-146.21871619972742</v>
      </c>
      <c r="CI379" s="674">
        <v>15969.648257656154</v>
      </c>
      <c r="CJ379" s="40">
        <v>14428.390571112192</v>
      </c>
      <c r="CK379" s="52">
        <v>-1541.2576865439623</v>
      </c>
      <c r="CL379" s="674">
        <v>12348.278522818011</v>
      </c>
      <c r="CM379" s="40">
        <v>12212.614232251759</v>
      </c>
      <c r="CN379" s="52">
        <v>-135.66429056625202</v>
      </c>
      <c r="CO379" s="39">
        <v>28317.926780474165</v>
      </c>
      <c r="CP379" s="40">
        <v>26641.00480336395</v>
      </c>
      <c r="CQ379" s="52">
        <v>-1676.9219771102144</v>
      </c>
      <c r="CR379" s="72">
        <v>295539.23047070834</v>
      </c>
      <c r="CS379" s="5">
        <v>256970.53262017865</v>
      </c>
      <c r="CT379" s="52">
        <v>-38568.697850529687</v>
      </c>
      <c r="CU379" s="77">
        <v>354647.07656484999</v>
      </c>
      <c r="CV379" s="65">
        <v>308364.63914421439</v>
      </c>
      <c r="CW379" s="35">
        <v>-46282.437420635601</v>
      </c>
      <c r="CX379" s="73">
        <v>10755.694174141763</v>
      </c>
      <c r="CY379" s="40">
        <v>57038.131594777413</v>
      </c>
      <c r="CZ379" s="52">
        <v>46282.437420635652</v>
      </c>
      <c r="DA379" s="150">
        <v>25942.102633211078</v>
      </c>
      <c r="DB379" s="2">
        <v>3</v>
      </c>
      <c r="DC379" s="675">
        <v>61888.3</v>
      </c>
      <c r="DD379" s="675">
        <v>649.29999999999995</v>
      </c>
      <c r="DE379" s="675">
        <v>30679.011108311381</v>
      </c>
      <c r="DF379" s="675">
        <v>-64.120742712835863</v>
      </c>
      <c r="DG379" s="321">
        <v>72224.540053846722</v>
      </c>
      <c r="DH379" s="40">
        <v>365374.73259748612</v>
      </c>
      <c r="DI379" s="422">
        <v>31922.709634401461</v>
      </c>
      <c r="DJ379" s="306">
        <v>5.1778941873449247</v>
      </c>
      <c r="DK379" s="306">
        <v>6.1836081891955024</v>
      </c>
      <c r="DL379" s="306">
        <v>4.0581384682186332</v>
      </c>
      <c r="DM379" s="28">
        <v>31209.288891688622</v>
      </c>
      <c r="DN379" s="28">
        <v>713.42074271283582</v>
      </c>
      <c r="DO379" s="423">
        <v>31922.709634401457</v>
      </c>
      <c r="DP379" s="94">
        <v>0</v>
      </c>
      <c r="DQ379" s="28">
        <v>31922.709634401457</v>
      </c>
      <c r="DR379" s="318"/>
      <c r="DT379" s="8"/>
      <c r="DU379" s="5"/>
      <c r="DX379" s="5">
        <v>93531.154768270397</v>
      </c>
      <c r="DY379" s="5">
        <v>54324.299999999996</v>
      </c>
      <c r="DZ379" s="159">
        <v>8362.9482201724859</v>
      </c>
      <c r="EB379" s="676">
        <v>8019.9166829700152</v>
      </c>
      <c r="EC379" s="676">
        <v>11340.870963789635</v>
      </c>
      <c r="ED379" s="676">
        <v>-5694.2945151420645</v>
      </c>
      <c r="EE379" s="676">
        <v>-9459.0280087851315</v>
      </c>
      <c r="EF379" s="676">
        <v>-2130.5598223011584</v>
      </c>
      <c r="EG379" s="676">
        <v>-9998.0128290301145</v>
      </c>
      <c r="EH379" s="676">
        <v>-625.59757297526812</v>
      </c>
      <c r="EI379" s="676">
        <v>-6176.629309783646</v>
      </c>
      <c r="EJ379" s="676">
        <v>-9469.3162999514861</v>
      </c>
      <c r="EK379" s="676">
        <v>-7711.7791692946776</v>
      </c>
      <c r="EL379" s="676">
        <v>-7511.6803568585638</v>
      </c>
      <c r="EM379" s="676">
        <v>-6866.3271832731843</v>
      </c>
      <c r="EN379" s="676">
        <v>-46282.437420635644</v>
      </c>
      <c r="EQ379" s="5">
        <v>93531.154768270397</v>
      </c>
      <c r="ER379" s="5">
        <v>54324.299999999996</v>
      </c>
      <c r="ET379" s="318">
        <v>11886.891161886953</v>
      </c>
      <c r="EU379" s="5">
        <v>-30358.351108040188</v>
      </c>
    </row>
    <row r="380" spans="1:151" x14ac:dyDescent="0.3">
      <c r="A380" s="325">
        <v>150000906</v>
      </c>
      <c r="B380" s="41" t="s">
        <v>826</v>
      </c>
      <c r="C380" s="42" t="s">
        <v>407</v>
      </c>
      <c r="D380" s="27">
        <v>9</v>
      </c>
      <c r="E380" s="293">
        <v>3936.36</v>
      </c>
      <c r="F380" s="305">
        <v>3936.36</v>
      </c>
      <c r="G380" s="508">
        <v>436.6</v>
      </c>
      <c r="H380" s="677">
        <v>0</v>
      </c>
      <c r="I380" s="674">
        <v>10310.637915187846</v>
      </c>
      <c r="J380" s="40">
        <v>9885.8005467157109</v>
      </c>
      <c r="K380" s="52">
        <v>-424.83736847213549</v>
      </c>
      <c r="L380" s="674">
        <v>2674.9818840217004</v>
      </c>
      <c r="M380" s="40">
        <v>2556.3484828938281</v>
      </c>
      <c r="N380" s="52">
        <v>-118.63340112787228</v>
      </c>
      <c r="O380" s="674">
        <v>4775.1284590589294</v>
      </c>
      <c r="P380" s="40">
        <v>4774.93</v>
      </c>
      <c r="Q380" s="52">
        <v>-0.19845905892907467</v>
      </c>
      <c r="R380" s="674">
        <v>1159.2741239184352</v>
      </c>
      <c r="S380" s="40">
        <v>1159.03</v>
      </c>
      <c r="T380" s="52">
        <v>-0.24412391843520709</v>
      </c>
      <c r="U380" s="674">
        <v>714.84307937464087</v>
      </c>
      <c r="V380" s="40">
        <v>485.42495703916586</v>
      </c>
      <c r="W380" s="52">
        <v>-229.418122335475</v>
      </c>
      <c r="X380" s="674">
        <v>8454.5202160848276</v>
      </c>
      <c r="Y380" s="40">
        <v>6763.1142901763424</v>
      </c>
      <c r="Z380" s="52">
        <v>-1691.4059259084852</v>
      </c>
      <c r="AA380" s="674">
        <v>472.27679999999998</v>
      </c>
      <c r="AB380" s="40">
        <v>0</v>
      </c>
      <c r="AC380" s="52">
        <v>-472.27679999999998</v>
      </c>
      <c r="AD380" s="674">
        <v>16876.411287704763</v>
      </c>
      <c r="AE380" s="40">
        <v>16723.462158076509</v>
      </c>
      <c r="AF380" s="35">
        <v>-152.94912962825401</v>
      </c>
      <c r="AG380" s="77">
        <v>45438.073765351146</v>
      </c>
      <c r="AH380" s="53">
        <v>42348.110434901551</v>
      </c>
      <c r="AI380" s="52">
        <v>-3089.9633304495947</v>
      </c>
      <c r="AJ380" s="674">
        <v>39391.53869931856</v>
      </c>
      <c r="AK380" s="40">
        <v>39132.775266478908</v>
      </c>
      <c r="AL380" s="52">
        <v>-258.76343283965252</v>
      </c>
      <c r="AM380" s="674">
        <v>0</v>
      </c>
      <c r="AN380" s="40">
        <v>0</v>
      </c>
      <c r="AO380" s="52">
        <v>0</v>
      </c>
      <c r="AP380" s="674">
        <v>3237.7211358128534</v>
      </c>
      <c r="AQ380" s="40">
        <v>2714.5663599937066</v>
      </c>
      <c r="AR380" s="52">
        <v>-523.15477581914683</v>
      </c>
      <c r="AS380" s="674">
        <v>68339.393317520153</v>
      </c>
      <c r="AT380" s="40">
        <v>17353</v>
      </c>
      <c r="AU380" s="54">
        <v>-50986.393317520153</v>
      </c>
      <c r="AV380" s="674">
        <v>1309.7965276129123</v>
      </c>
      <c r="AW380" s="40">
        <v>0</v>
      </c>
      <c r="AX380" s="55">
        <v>-1309.7965276129123</v>
      </c>
      <c r="AY380" s="674">
        <v>2582.8627508281625</v>
      </c>
      <c r="AZ380" s="40">
        <v>0</v>
      </c>
      <c r="BA380" s="35">
        <v>-2582.8627508281625</v>
      </c>
      <c r="BB380" s="674">
        <v>1476.3723564622469</v>
      </c>
      <c r="BC380" s="40">
        <v>0</v>
      </c>
      <c r="BD380" s="55">
        <v>-1476.3723564622469</v>
      </c>
      <c r="BE380" s="674">
        <v>1616.3201217269545</v>
      </c>
      <c r="BF380" s="40">
        <v>0</v>
      </c>
      <c r="BG380" s="38">
        <v>-1616.3201217269545</v>
      </c>
      <c r="BH380" s="674">
        <v>804.98351208428267</v>
      </c>
      <c r="BI380" s="40">
        <v>4296</v>
      </c>
      <c r="BJ380" s="55">
        <v>3491.0164879157173</v>
      </c>
      <c r="BK380" s="674">
        <v>1758.8826934253293</v>
      </c>
      <c r="BL380" s="40">
        <v>130</v>
      </c>
      <c r="BM380" s="38">
        <v>-1628.8826934253293</v>
      </c>
      <c r="BN380" s="674">
        <v>118.0692</v>
      </c>
      <c r="BO380" s="40">
        <v>0</v>
      </c>
      <c r="BP380" s="55">
        <v>-118.0692</v>
      </c>
      <c r="BQ380" s="77">
        <v>9667.2871621398881</v>
      </c>
      <c r="BR380" s="40">
        <v>4426</v>
      </c>
      <c r="BS380" s="55">
        <v>-5241.2871621398881</v>
      </c>
      <c r="BT380" s="674">
        <v>44435.996910957452</v>
      </c>
      <c r="BU380" s="40">
        <v>45751.496751652965</v>
      </c>
      <c r="BV380" s="52">
        <v>1315.4998406955128</v>
      </c>
      <c r="BW380" s="674">
        <v>41062.558572101923</v>
      </c>
      <c r="BX380" s="40">
        <v>42246.02453343301</v>
      </c>
      <c r="BY380" s="52">
        <v>1183.4659613310869</v>
      </c>
      <c r="BZ380" s="674">
        <v>7487.0921964216295</v>
      </c>
      <c r="CA380" s="40">
        <v>10922.560888126118</v>
      </c>
      <c r="CB380" s="52">
        <v>3435.4686917044883</v>
      </c>
      <c r="CC380" s="674">
        <v>1338.3842091861848</v>
      </c>
      <c r="CD380" s="40">
        <v>1403.7195739189769</v>
      </c>
      <c r="CE380" s="52">
        <v>65.335364732792186</v>
      </c>
      <c r="CF380" s="674">
        <v>163.23511034980029</v>
      </c>
      <c r="CG380" s="40">
        <v>0</v>
      </c>
      <c r="CH380" s="52">
        <v>-163.23511034980029</v>
      </c>
      <c r="CI380" s="674">
        <v>5248.1884310932437</v>
      </c>
      <c r="CJ380" s="40">
        <v>5094.4027804445577</v>
      </c>
      <c r="CK380" s="52">
        <v>-153.78565064868599</v>
      </c>
      <c r="CL380" s="674">
        <v>6295.9883324182038</v>
      </c>
      <c r="CM380" s="40">
        <v>6322.1378580398514</v>
      </c>
      <c r="CN380" s="52">
        <v>26.149525621647626</v>
      </c>
      <c r="CO380" s="39">
        <v>11544.176763511448</v>
      </c>
      <c r="CP380" s="40">
        <v>11416.54063848441</v>
      </c>
      <c r="CQ380" s="52">
        <v>-127.63612502703836</v>
      </c>
      <c r="CR380" s="72">
        <v>272105.45784267108</v>
      </c>
      <c r="CS380" s="5">
        <v>217714.79444698963</v>
      </c>
      <c r="CT380" s="52">
        <v>-54390.663395681448</v>
      </c>
      <c r="CU380" s="77">
        <v>326526.54941120528</v>
      </c>
      <c r="CV380" s="65">
        <v>261257.75333638754</v>
      </c>
      <c r="CW380" s="35">
        <v>-65268.796074817743</v>
      </c>
      <c r="CX380" s="73">
        <v>7287.4485176016669</v>
      </c>
      <c r="CY380" s="40">
        <v>72556.244592419273</v>
      </c>
      <c r="CZ380" s="52">
        <v>65268.796074817605</v>
      </c>
      <c r="DA380" s="150">
        <v>8723.3393959803652</v>
      </c>
      <c r="DB380" s="2">
        <v>3</v>
      </c>
      <c r="DC380" s="675">
        <v>43208.959999999999</v>
      </c>
      <c r="DD380" s="675">
        <v>0</v>
      </c>
      <c r="DE380" s="675">
        <v>13993.719864977953</v>
      </c>
      <c r="DF380" s="675">
        <v>0</v>
      </c>
      <c r="DG380" s="321">
        <v>73992.135470797977</v>
      </c>
      <c r="DH380" s="40">
        <v>333788.55239876232</v>
      </c>
      <c r="DI380" s="422">
        <v>29215.240135022046</v>
      </c>
      <c r="DJ380" s="306">
        <v>6.1892263626777879</v>
      </c>
      <c r="DK380" s="306">
        <v>7.5756691616216321</v>
      </c>
      <c r="DL380" s="306">
        <v>5.0288090620344281</v>
      </c>
      <c r="DM380" s="28">
        <v>29215.240135022046</v>
      </c>
      <c r="DN380" s="28">
        <v>0</v>
      </c>
      <c r="DO380" s="423">
        <v>29215.240135022046</v>
      </c>
      <c r="DP380" s="94">
        <v>0</v>
      </c>
      <c r="DQ380" s="28">
        <v>29215.240135022046</v>
      </c>
      <c r="DR380" s="318"/>
      <c r="DT380" s="8"/>
      <c r="DU380" s="5"/>
      <c r="DX380" s="5">
        <v>93608.016575592061</v>
      </c>
      <c r="DY380" s="5">
        <v>26134.799999999999</v>
      </c>
      <c r="DZ380" s="159">
        <v>8379.8695414520753</v>
      </c>
      <c r="EB380" s="676">
        <v>-2334.2605091223741</v>
      </c>
      <c r="EC380" s="676">
        <v>2132.5229579851912</v>
      </c>
      <c r="ED380" s="676">
        <v>-2072.4247974175851</v>
      </c>
      <c r="EE380" s="676">
        <v>-8705.2660970771576</v>
      </c>
      <c r="EF380" s="676">
        <v>-9355.9334101296445</v>
      </c>
      <c r="EG380" s="676">
        <v>-7499.4455953327451</v>
      </c>
      <c r="EH380" s="676">
        <v>-6406.3999445940317</v>
      </c>
      <c r="EI380" s="676">
        <v>-8121.1155645383478</v>
      </c>
      <c r="EJ380" s="676">
        <v>-2624.9333555136873</v>
      </c>
      <c r="EK380" s="676">
        <v>-8436.8256854075989</v>
      </c>
      <c r="EL380" s="676">
        <v>-4079.845154499606</v>
      </c>
      <c r="EM380" s="676">
        <v>-7764.8689191700287</v>
      </c>
      <c r="EN380" s="676">
        <v>-65268.796074817612</v>
      </c>
      <c r="EQ380" s="5">
        <v>93608.016575592061</v>
      </c>
      <c r="ER380" s="5">
        <v>26134.799999999999</v>
      </c>
      <c r="ET380" s="318">
        <v>144443.1296285353</v>
      </c>
      <c r="EU380" s="5">
        <v>-24060.994157737343</v>
      </c>
    </row>
    <row r="381" spans="1:151" x14ac:dyDescent="0.3">
      <c r="A381" s="325">
        <v>150000907</v>
      </c>
      <c r="B381" s="41" t="s">
        <v>827</v>
      </c>
      <c r="C381" s="42" t="s">
        <v>408</v>
      </c>
      <c r="D381" s="27">
        <v>9</v>
      </c>
      <c r="E381" s="293">
        <v>6307.74</v>
      </c>
      <c r="F381" s="305">
        <v>6307.74</v>
      </c>
      <c r="G381" s="508">
        <v>689.99</v>
      </c>
      <c r="H381" s="677">
        <v>0</v>
      </c>
      <c r="I381" s="674">
        <v>24540.37608025282</v>
      </c>
      <c r="J381" s="40">
        <v>23458.035239161734</v>
      </c>
      <c r="K381" s="52">
        <v>-1082.3408410910852</v>
      </c>
      <c r="L381" s="674">
        <v>4068.4903088591018</v>
      </c>
      <c r="M381" s="40">
        <v>4820.8336781009984</v>
      </c>
      <c r="N381" s="52">
        <v>752.34336924189665</v>
      </c>
      <c r="O381" s="674">
        <v>7803.7538258280701</v>
      </c>
      <c r="P381" s="40">
        <v>7803.1200000000008</v>
      </c>
      <c r="Q381" s="52">
        <v>-0.63382582806934806</v>
      </c>
      <c r="R381" s="674">
        <v>1838.1423730885951</v>
      </c>
      <c r="S381" s="40">
        <v>1838.7950000000005</v>
      </c>
      <c r="T381" s="52">
        <v>0.65262691140537754</v>
      </c>
      <c r="U381" s="674">
        <v>1072.4056650520611</v>
      </c>
      <c r="V381" s="40">
        <v>728.23875918198814</v>
      </c>
      <c r="W381" s="52">
        <v>-344.16690587007292</v>
      </c>
      <c r="X381" s="674">
        <v>9058.8374147000359</v>
      </c>
      <c r="Y381" s="40">
        <v>7306.3893127298579</v>
      </c>
      <c r="Z381" s="52">
        <v>-1752.448101970178</v>
      </c>
      <c r="AA381" s="674">
        <v>756.97199999999998</v>
      </c>
      <c r="AB381" s="40">
        <v>0</v>
      </c>
      <c r="AC381" s="52">
        <v>-756.97199999999998</v>
      </c>
      <c r="AD381" s="674">
        <v>27044.845334195383</v>
      </c>
      <c r="AE381" s="40">
        <v>26799.775126106477</v>
      </c>
      <c r="AF381" s="35">
        <v>-245.07020808890593</v>
      </c>
      <c r="AG381" s="77">
        <v>76183.823001976067</v>
      </c>
      <c r="AH381" s="53">
        <v>72755.187115281064</v>
      </c>
      <c r="AI381" s="52">
        <v>-3428.6358866950031</v>
      </c>
      <c r="AJ381" s="674">
        <v>82065.605404026122</v>
      </c>
      <c r="AK381" s="40">
        <v>81526.659405342813</v>
      </c>
      <c r="AL381" s="52">
        <v>-538.94599868330988</v>
      </c>
      <c r="AM381" s="674">
        <v>0</v>
      </c>
      <c r="AN381" s="40">
        <v>0</v>
      </c>
      <c r="AO381" s="52">
        <v>0</v>
      </c>
      <c r="AP381" s="674">
        <v>4856.5817037192819</v>
      </c>
      <c r="AQ381" s="40">
        <v>3999.3716456830475</v>
      </c>
      <c r="AR381" s="52">
        <v>-857.21005803623439</v>
      </c>
      <c r="AS381" s="674">
        <v>101307.11702531304</v>
      </c>
      <c r="AT381" s="40">
        <v>72511.905281191532</v>
      </c>
      <c r="AU381" s="54">
        <v>-28795.211744121509</v>
      </c>
      <c r="AV381" s="674">
        <v>3965.7520304028394</v>
      </c>
      <c r="AW381" s="40">
        <v>759.95</v>
      </c>
      <c r="AX381" s="55">
        <v>-3205.8020304028396</v>
      </c>
      <c r="AY381" s="674">
        <v>4748.4680072540968</v>
      </c>
      <c r="AZ381" s="40">
        <v>16657.34</v>
      </c>
      <c r="BA381" s="35">
        <v>11908.871992745902</v>
      </c>
      <c r="BB381" s="674">
        <v>6048.6900502878761</v>
      </c>
      <c r="BC381" s="40">
        <v>8069</v>
      </c>
      <c r="BD381" s="55">
        <v>2020.3099497121239</v>
      </c>
      <c r="BE381" s="674">
        <v>3687.7997345968224</v>
      </c>
      <c r="BF381" s="40">
        <v>1266</v>
      </c>
      <c r="BG381" s="38">
        <v>-2421.7997345968224</v>
      </c>
      <c r="BH381" s="674">
        <v>1385.6021579763128</v>
      </c>
      <c r="BI381" s="40">
        <v>15</v>
      </c>
      <c r="BJ381" s="55">
        <v>-1370.6021579763128</v>
      </c>
      <c r="BK381" s="674">
        <v>3002.9603102463293</v>
      </c>
      <c r="BL381" s="40">
        <v>1732</v>
      </c>
      <c r="BM381" s="38">
        <v>-1270.9603102463293</v>
      </c>
      <c r="BN381" s="674">
        <v>189.24299999999999</v>
      </c>
      <c r="BO381" s="40">
        <v>0</v>
      </c>
      <c r="BP381" s="55">
        <v>-189.24299999999999</v>
      </c>
      <c r="BQ381" s="77">
        <v>23028.515290764273</v>
      </c>
      <c r="BR381" s="40">
        <v>28499.29</v>
      </c>
      <c r="BS381" s="55">
        <v>5470.7747092357276</v>
      </c>
      <c r="BT381" s="674">
        <v>41087.724704923399</v>
      </c>
      <c r="BU381" s="40">
        <v>41155.214670572677</v>
      </c>
      <c r="BV381" s="52">
        <v>67.48996564927802</v>
      </c>
      <c r="BW381" s="674">
        <v>34095.26559421885</v>
      </c>
      <c r="BX381" s="40">
        <v>30589.530705793124</v>
      </c>
      <c r="BY381" s="52">
        <v>-3505.7348884257262</v>
      </c>
      <c r="BZ381" s="674">
        <v>9087.6524466215269</v>
      </c>
      <c r="CA381" s="40">
        <v>6666.7228366584159</v>
      </c>
      <c r="CB381" s="52">
        <v>-2420.929609963111</v>
      </c>
      <c r="CC381" s="674">
        <v>2198.0704269018943</v>
      </c>
      <c r="CD381" s="40">
        <v>2300.1022980882112</v>
      </c>
      <c r="CE381" s="52">
        <v>102.03187118631695</v>
      </c>
      <c r="CF381" s="674">
        <v>267.47326134096483</v>
      </c>
      <c r="CG381" s="40">
        <v>0</v>
      </c>
      <c r="CH381" s="52">
        <v>-267.47326134096483</v>
      </c>
      <c r="CI381" s="674">
        <v>31375.00320545031</v>
      </c>
      <c r="CJ381" s="40">
        <v>22009.02432088225</v>
      </c>
      <c r="CK381" s="52">
        <v>-9365.9788845680596</v>
      </c>
      <c r="CL381" s="674">
        <v>11787.108269628552</v>
      </c>
      <c r="CM381" s="40">
        <v>12652.782252118774</v>
      </c>
      <c r="CN381" s="52">
        <v>865.67398249022153</v>
      </c>
      <c r="CO381" s="39">
        <v>43162.111475078862</v>
      </c>
      <c r="CP381" s="40">
        <v>34661.806573001028</v>
      </c>
      <c r="CQ381" s="52">
        <v>-8500.3049020778344</v>
      </c>
      <c r="CR381" s="72">
        <v>417339.94033488428</v>
      </c>
      <c r="CS381" s="5">
        <v>374665.79053161194</v>
      </c>
      <c r="CT381" s="52">
        <v>-42674.149803272332</v>
      </c>
      <c r="CU381" s="77">
        <v>500807.92840186111</v>
      </c>
      <c r="CV381" s="65">
        <v>449598.94863793434</v>
      </c>
      <c r="CW381" s="35">
        <v>-51208.979763926764</v>
      </c>
      <c r="CX381" s="73">
        <v>11456.533914649743</v>
      </c>
      <c r="CY381" s="40">
        <v>62665.51367857655</v>
      </c>
      <c r="CZ381" s="52">
        <v>51208.979763926807</v>
      </c>
      <c r="DA381" s="150">
        <v>46583.368831912274</v>
      </c>
      <c r="DB381" s="2">
        <v>3</v>
      </c>
      <c r="DC381" s="675">
        <v>86838.76</v>
      </c>
      <c r="DD381" s="675">
        <v>0</v>
      </c>
      <c r="DE381" s="675">
        <v>42920.034196640256</v>
      </c>
      <c r="DF381" s="675">
        <v>0</v>
      </c>
      <c r="DG381" s="321">
        <v>97792.34859583911</v>
      </c>
      <c r="DH381" s="40">
        <v>512222.45954674657</v>
      </c>
      <c r="DI381" s="422">
        <v>43918.725803359739</v>
      </c>
      <c r="DJ381" s="306">
        <v>5.3860259371296442</v>
      </c>
      <c r="DK381" s="306">
        <v>7.1563209055226125</v>
      </c>
      <c r="DL381" s="306">
        <v>4.8064439073401326</v>
      </c>
      <c r="DM381" s="28">
        <v>43918.725803359739</v>
      </c>
      <c r="DN381" s="28">
        <v>0</v>
      </c>
      <c r="DO381" s="423">
        <v>43918.725803359739</v>
      </c>
      <c r="DP381" s="94">
        <v>0</v>
      </c>
      <c r="DQ381" s="28">
        <v>43918.725803359739</v>
      </c>
      <c r="DR381" s="318"/>
      <c r="DT381" s="8"/>
      <c r="DU381" s="5"/>
      <c r="DX381" s="5">
        <v>149202.75877929278</v>
      </c>
      <c r="DY381" s="5">
        <v>121213.43433742982</v>
      </c>
      <c r="DZ381" s="159">
        <v>13662.146429443661</v>
      </c>
      <c r="EB381" s="676">
        <v>-6752.4443035017575</v>
      </c>
      <c r="EC381" s="676">
        <v>-5359.2943407552229</v>
      </c>
      <c r="ED381" s="676">
        <v>-3115.3883102304826</v>
      </c>
      <c r="EE381" s="676">
        <v>1262.5925972688347</v>
      </c>
      <c r="EF381" s="676">
        <v>-1266.7290382995707</v>
      </c>
      <c r="EG381" s="676">
        <v>-9712.6349340737288</v>
      </c>
      <c r="EH381" s="676">
        <v>-1756.2794250642255</v>
      </c>
      <c r="EI381" s="676">
        <v>19816.612273046441</v>
      </c>
      <c r="EJ381" s="676">
        <v>-8526.3724566355595</v>
      </c>
      <c r="EK381" s="676">
        <v>451.89268394462852</v>
      </c>
      <c r="EL381" s="676">
        <v>-18137.440673653109</v>
      </c>
      <c r="EM381" s="676">
        <v>-18113.493835973084</v>
      </c>
      <c r="EN381" s="676">
        <v>-51208.979763926836</v>
      </c>
      <c r="EQ381" s="5">
        <v>149202.75877929278</v>
      </c>
      <c r="ER381" s="5">
        <v>121213.43433742982</v>
      </c>
      <c r="ET381" s="318">
        <v>9097.5434970204478</v>
      </c>
      <c r="EU381" s="5">
        <v>33932.805098818673</v>
      </c>
    </row>
    <row r="382" spans="1:151" x14ac:dyDescent="0.3">
      <c r="A382" s="325">
        <v>150000908</v>
      </c>
      <c r="B382" s="41" t="s">
        <v>828</v>
      </c>
      <c r="C382" s="42" t="s">
        <v>409</v>
      </c>
      <c r="D382" s="27">
        <v>9</v>
      </c>
      <c r="E382" s="293">
        <v>6324.72</v>
      </c>
      <c r="F382" s="305">
        <v>6280.52</v>
      </c>
      <c r="G382" s="508">
        <v>653.29</v>
      </c>
      <c r="H382" s="677">
        <v>44.2</v>
      </c>
      <c r="I382" s="674">
        <v>24473.286175158799</v>
      </c>
      <c r="J382" s="40">
        <v>23294.727148463931</v>
      </c>
      <c r="K382" s="52">
        <v>-1178.5590266948675</v>
      </c>
      <c r="L382" s="674">
        <v>4076.7156019533236</v>
      </c>
      <c r="M382" s="40">
        <v>3895.9081185946707</v>
      </c>
      <c r="N382" s="52">
        <v>-180.80748335865292</v>
      </c>
      <c r="O382" s="674">
        <v>7822.5603172650917</v>
      </c>
      <c r="P382" s="40">
        <v>7824.9950000000017</v>
      </c>
      <c r="Q382" s="52">
        <v>2.434682734909984</v>
      </c>
      <c r="R382" s="674">
        <v>1837.2204304274853</v>
      </c>
      <c r="S382" s="40">
        <v>1836.6199999999997</v>
      </c>
      <c r="T382" s="52">
        <v>-0.60043042748566222</v>
      </c>
      <c r="U382" s="674">
        <v>1072.4056650520611</v>
      </c>
      <c r="V382" s="40">
        <v>728.23875918198814</v>
      </c>
      <c r="W382" s="52">
        <v>-344.16690587007292</v>
      </c>
      <c r="X382" s="674">
        <v>9120.7063266591013</v>
      </c>
      <c r="Y382" s="40">
        <v>7444.4399905553646</v>
      </c>
      <c r="Z382" s="52">
        <v>-1676.2663361037366</v>
      </c>
      <c r="AA382" s="674">
        <v>758.01960000000008</v>
      </c>
      <c r="AB382" s="40">
        <v>0</v>
      </c>
      <c r="AC382" s="52">
        <v>-758.01960000000008</v>
      </c>
      <c r="AD382" s="674">
        <v>27106.580382727727</v>
      </c>
      <c r="AE382" s="40">
        <v>26871.976009226004</v>
      </c>
      <c r="AF382" s="35">
        <v>-234.60437350172288</v>
      </c>
      <c r="AG382" s="77">
        <v>76267.494499243592</v>
      </c>
      <c r="AH382" s="53">
        <v>71896.905026021966</v>
      </c>
      <c r="AI382" s="52">
        <v>-4370.5894732216257</v>
      </c>
      <c r="AJ382" s="674">
        <v>82065.605404026122</v>
      </c>
      <c r="AK382" s="40">
        <v>80976.966903942361</v>
      </c>
      <c r="AL382" s="52">
        <v>-1088.6385000837618</v>
      </c>
      <c r="AM382" s="674">
        <v>0</v>
      </c>
      <c r="AN382" s="40">
        <v>0</v>
      </c>
      <c r="AO382" s="52">
        <v>0</v>
      </c>
      <c r="AP382" s="674">
        <v>4766.6450055022578</v>
      </c>
      <c r="AQ382" s="40">
        <v>3925.3092078000282</v>
      </c>
      <c r="AR382" s="52">
        <v>-841.33579770222968</v>
      </c>
      <c r="AS382" s="674">
        <v>99879.25658191918</v>
      </c>
      <c r="AT382" s="40">
        <v>74728.815657285202</v>
      </c>
      <c r="AU382" s="54">
        <v>-25150.440924633978</v>
      </c>
      <c r="AV382" s="674">
        <v>3971.4903188415237</v>
      </c>
      <c r="AW382" s="40">
        <v>71</v>
      </c>
      <c r="AX382" s="55">
        <v>-3900.4903188415237</v>
      </c>
      <c r="AY382" s="674">
        <v>4758.0694595928626</v>
      </c>
      <c r="AZ382" s="40">
        <v>0</v>
      </c>
      <c r="BA382" s="35">
        <v>-4758.0694595928626</v>
      </c>
      <c r="BB382" s="674">
        <v>5886.149119638817</v>
      </c>
      <c r="BC382" s="40">
        <v>2980</v>
      </c>
      <c r="BD382" s="55">
        <v>-2906.149119638817</v>
      </c>
      <c r="BE382" s="674">
        <v>3688.6348198940709</v>
      </c>
      <c r="BF382" s="40">
        <v>0</v>
      </c>
      <c r="BG382" s="38">
        <v>-3688.6348198940709</v>
      </c>
      <c r="BH382" s="674">
        <v>1385.6021579763128</v>
      </c>
      <c r="BI382" s="40">
        <v>16</v>
      </c>
      <c r="BJ382" s="55">
        <v>-1369.6021579763128</v>
      </c>
      <c r="BK382" s="674">
        <v>3024.2501215253333</v>
      </c>
      <c r="BL382" s="40">
        <v>459</v>
      </c>
      <c r="BM382" s="38">
        <v>-2565.2501215253333</v>
      </c>
      <c r="BN382" s="674">
        <v>189.50490000000002</v>
      </c>
      <c r="BO382" s="40">
        <v>0</v>
      </c>
      <c r="BP382" s="55">
        <v>-189.50490000000002</v>
      </c>
      <c r="BQ382" s="77">
        <v>22903.70089746892</v>
      </c>
      <c r="BR382" s="40">
        <v>3526</v>
      </c>
      <c r="BS382" s="55">
        <v>-19377.70089746892</v>
      </c>
      <c r="BT382" s="674">
        <v>41977.337192766114</v>
      </c>
      <c r="BU382" s="40">
        <v>41714.478040439761</v>
      </c>
      <c r="BV382" s="52">
        <v>-262.85915232635307</v>
      </c>
      <c r="BW382" s="674">
        <v>37433.573021294913</v>
      </c>
      <c r="BX382" s="40">
        <v>35737.289432392216</v>
      </c>
      <c r="BY382" s="52">
        <v>-1696.2835889026974</v>
      </c>
      <c r="BZ382" s="674">
        <v>9014.3711255527269</v>
      </c>
      <c r="CA382" s="40">
        <v>9309.7968856346833</v>
      </c>
      <c r="CB382" s="52">
        <v>295.42576008195647</v>
      </c>
      <c r="CC382" s="674">
        <v>2327.2929225595785</v>
      </c>
      <c r="CD382" s="40">
        <v>2435.9178623562775</v>
      </c>
      <c r="CE382" s="52">
        <v>108.62493979669898</v>
      </c>
      <c r="CF382" s="674">
        <v>283.26692058205043</v>
      </c>
      <c r="CG382" s="40">
        <v>0</v>
      </c>
      <c r="CH382" s="52">
        <v>-283.26692058205043</v>
      </c>
      <c r="CI382" s="674">
        <v>19000.504487146714</v>
      </c>
      <c r="CJ382" s="40">
        <v>17742.310691527855</v>
      </c>
      <c r="CK382" s="52">
        <v>-1258.1937956188594</v>
      </c>
      <c r="CL382" s="674">
        <v>11113.543989844366</v>
      </c>
      <c r="CM382" s="40">
        <v>11401.943207857328</v>
      </c>
      <c r="CN382" s="52">
        <v>288.39921801296259</v>
      </c>
      <c r="CO382" s="39">
        <v>30114.04847699108</v>
      </c>
      <c r="CP382" s="40">
        <v>29144.253899385185</v>
      </c>
      <c r="CQ382" s="52">
        <v>-969.79457760589503</v>
      </c>
      <c r="CR382" s="72">
        <v>407032.5920479066</v>
      </c>
      <c r="CS382" s="5">
        <v>353395.73291525769</v>
      </c>
      <c r="CT382" s="52">
        <v>-53636.859132648911</v>
      </c>
      <c r="CU382" s="77">
        <v>488439.11045748787</v>
      </c>
      <c r="CV382" s="65">
        <v>424074.87949830922</v>
      </c>
      <c r="CW382" s="35">
        <v>-64364.230959178647</v>
      </c>
      <c r="CX382" s="73">
        <v>11117.118915756442</v>
      </c>
      <c r="CY382" s="40">
        <v>75481.349874935142</v>
      </c>
      <c r="CZ382" s="52">
        <v>64364.230959178698</v>
      </c>
      <c r="DA382" s="150">
        <v>14003.480093074919</v>
      </c>
      <c r="DB382" s="2">
        <v>3</v>
      </c>
      <c r="DC382" s="675">
        <v>68952.7</v>
      </c>
      <c r="DD382" s="675">
        <v>203.48</v>
      </c>
      <c r="DE382" s="675">
        <v>26142.338495927346</v>
      </c>
      <c r="DF382" s="675">
        <v>-7.3613529476972417E-3</v>
      </c>
      <c r="DG382" s="321">
        <v>78367.711052253653</v>
      </c>
      <c r="DH382" s="40">
        <v>499515.86524973973</v>
      </c>
      <c r="DI382" s="422">
        <v>43013.848865425593</v>
      </c>
      <c r="DJ382" s="306">
        <v>5.2437824865425959</v>
      </c>
      <c r="DK382" s="306">
        <v>6.9989410142182269</v>
      </c>
      <c r="DL382" s="306">
        <v>4.6037864559490425</v>
      </c>
      <c r="DM382" s="28">
        <v>42810.361504072651</v>
      </c>
      <c r="DN382" s="28">
        <v>203.48736135294769</v>
      </c>
      <c r="DO382" s="423">
        <v>43013.8488654256</v>
      </c>
      <c r="DP382" s="94">
        <v>0</v>
      </c>
      <c r="DQ382" s="28">
        <v>43013.8488654256</v>
      </c>
      <c r="DR382" s="318"/>
      <c r="DT382" s="8"/>
      <c r="DU382" s="5"/>
      <c r="DX382" s="5">
        <v>147339.54897526573</v>
      </c>
      <c r="DY382" s="5">
        <v>93905.778788742246</v>
      </c>
      <c r="DZ382" s="159">
        <v>13452.785799583355</v>
      </c>
      <c r="EB382" s="676">
        <v>-784.78078878058295</v>
      </c>
      <c r="EC382" s="676">
        <v>-8198.9363643186625</v>
      </c>
      <c r="ED382" s="676">
        <v>-3820.1654354677921</v>
      </c>
      <c r="EE382" s="676">
        <v>-6414.0279562686264</v>
      </c>
      <c r="EF382" s="676">
        <v>-12022.233628588485</v>
      </c>
      <c r="EG382" s="676">
        <v>-11022.697993485603</v>
      </c>
      <c r="EH382" s="676">
        <v>-16104.676244105271</v>
      </c>
      <c r="EI382" s="676">
        <v>-12736.641866365557</v>
      </c>
      <c r="EJ382" s="676">
        <v>5348.0711121694258</v>
      </c>
      <c r="EK382" s="676">
        <v>-1228.9185704451011</v>
      </c>
      <c r="EL382" s="676">
        <v>15415.831613023103</v>
      </c>
      <c r="EM382" s="676">
        <v>-12795.054836545587</v>
      </c>
      <c r="EN382" s="676">
        <v>-64364.230959178734</v>
      </c>
      <c r="EQ382" s="5">
        <v>147339.54897526573</v>
      </c>
      <c r="ER382" s="5">
        <v>93905.778788742246</v>
      </c>
      <c r="ET382" s="318">
        <v>30811.501729329539</v>
      </c>
      <c r="EU382" s="5">
        <v>-26933.790677075882</v>
      </c>
    </row>
    <row r="383" spans="1:151" x14ac:dyDescent="0.3">
      <c r="A383" s="325">
        <v>150000909</v>
      </c>
      <c r="B383" s="41" t="s">
        <v>829</v>
      </c>
      <c r="C383" s="42" t="s">
        <v>410</v>
      </c>
      <c r="D383" s="27">
        <v>9</v>
      </c>
      <c r="E383" s="293">
        <v>6335.19</v>
      </c>
      <c r="F383" s="305">
        <v>6335.19</v>
      </c>
      <c r="G383" s="508">
        <v>691.97</v>
      </c>
      <c r="H383" s="677">
        <v>0</v>
      </c>
      <c r="I383" s="674">
        <v>24453.286860700067</v>
      </c>
      <c r="J383" s="40">
        <v>23284.299363174701</v>
      </c>
      <c r="K383" s="52">
        <v>-1168.9874975253661</v>
      </c>
      <c r="L383" s="674">
        <v>4054.3117151244114</v>
      </c>
      <c r="M383" s="40">
        <v>3874.4973034032387</v>
      </c>
      <c r="N383" s="52">
        <v>-179.81441172117275</v>
      </c>
      <c r="O383" s="674">
        <v>7843.6581442734596</v>
      </c>
      <c r="P383" s="40">
        <v>7843.3450000000012</v>
      </c>
      <c r="Q383" s="52">
        <v>-0.31314427345841978</v>
      </c>
      <c r="R383" s="674">
        <v>1898.105924264205</v>
      </c>
      <c r="S383" s="40">
        <v>1895.9399999999996</v>
      </c>
      <c r="T383" s="52">
        <v>-2.1659242642053869</v>
      </c>
      <c r="U383" s="674">
        <v>1072.4056650520611</v>
      </c>
      <c r="V383" s="40">
        <v>728.23875918198814</v>
      </c>
      <c r="W383" s="52">
        <v>-344.16690587007292</v>
      </c>
      <c r="X383" s="674">
        <v>8950.4748630891445</v>
      </c>
      <c r="Y383" s="40">
        <v>7199.3370744082313</v>
      </c>
      <c r="Z383" s="52">
        <v>-1751.1377886809132</v>
      </c>
      <c r="AA383" s="674">
        <v>760.26240000000007</v>
      </c>
      <c r="AB383" s="40">
        <v>0</v>
      </c>
      <c r="AC383" s="52">
        <v>-760.26240000000007</v>
      </c>
      <c r="AD383" s="674">
        <v>27162.520329582137</v>
      </c>
      <c r="AE383" s="40">
        <v>26916.805644355933</v>
      </c>
      <c r="AF383" s="35">
        <v>-245.71468522620489</v>
      </c>
      <c r="AG383" s="77">
        <v>76195.025902085486</v>
      </c>
      <c r="AH383" s="53">
        <v>71742.463144524096</v>
      </c>
      <c r="AI383" s="52">
        <v>-4452.5627575613908</v>
      </c>
      <c r="AJ383" s="674">
        <v>49127.656881348579</v>
      </c>
      <c r="AK383" s="40">
        <v>48805.102361560705</v>
      </c>
      <c r="AL383" s="52">
        <v>-322.5545197878746</v>
      </c>
      <c r="AM383" s="674">
        <v>945.67448250000007</v>
      </c>
      <c r="AN383" s="40">
        <v>0</v>
      </c>
      <c r="AO383" s="52">
        <v>-945.67448250000007</v>
      </c>
      <c r="AP383" s="674">
        <v>4856.5817037192819</v>
      </c>
      <c r="AQ383" s="40">
        <v>4149.0490352164925</v>
      </c>
      <c r="AR383" s="52">
        <v>-707.53266850278942</v>
      </c>
      <c r="AS383" s="674">
        <v>99550.942004870187</v>
      </c>
      <c r="AT383" s="40">
        <v>81203.34741324748</v>
      </c>
      <c r="AU383" s="54">
        <v>-18347.594591622707</v>
      </c>
      <c r="AV383" s="674">
        <v>3945.3214827391239</v>
      </c>
      <c r="AW383" s="40">
        <v>813.95</v>
      </c>
      <c r="AX383" s="55">
        <v>-3131.3714827391241</v>
      </c>
      <c r="AY383" s="674">
        <v>4732.2492986228954</v>
      </c>
      <c r="AZ383" s="40">
        <v>3133.6</v>
      </c>
      <c r="BA383" s="35">
        <v>-1598.6492986228955</v>
      </c>
      <c r="BB383" s="674">
        <v>6084.5383653260933</v>
      </c>
      <c r="BC383" s="40">
        <v>1527</v>
      </c>
      <c r="BD383" s="55">
        <v>-4557.5383653260933</v>
      </c>
      <c r="BE383" s="674">
        <v>3731.6788508242889</v>
      </c>
      <c r="BF383" s="40">
        <v>5509.27</v>
      </c>
      <c r="BG383" s="38">
        <v>1777.5911491757115</v>
      </c>
      <c r="BH383" s="674">
        <v>1385.6021579763128</v>
      </c>
      <c r="BI383" s="40">
        <v>16</v>
      </c>
      <c r="BJ383" s="55">
        <v>-1369.6021579763128</v>
      </c>
      <c r="BK383" s="674">
        <v>2965.9276474446892</v>
      </c>
      <c r="BL383" s="40">
        <v>0</v>
      </c>
      <c r="BM383" s="38">
        <v>-2965.9276474446892</v>
      </c>
      <c r="BN383" s="674">
        <v>190.06560000000002</v>
      </c>
      <c r="BO383" s="40">
        <v>0</v>
      </c>
      <c r="BP383" s="55">
        <v>-190.06560000000002</v>
      </c>
      <c r="BQ383" s="77">
        <v>23035.383402933403</v>
      </c>
      <c r="BR383" s="40">
        <v>10999.82</v>
      </c>
      <c r="BS383" s="55">
        <v>-12035.563402933403</v>
      </c>
      <c r="BT383" s="674">
        <v>42384.990575381198</v>
      </c>
      <c r="BU383" s="40">
        <v>44413.56086158986</v>
      </c>
      <c r="BV383" s="52">
        <v>2028.5702862086619</v>
      </c>
      <c r="BW383" s="674">
        <v>38563.774462897803</v>
      </c>
      <c r="BX383" s="40">
        <v>37447.362119865655</v>
      </c>
      <c r="BY383" s="52">
        <v>-1116.4123430321488</v>
      </c>
      <c r="BZ383" s="674">
        <v>9811.3298156106848</v>
      </c>
      <c r="CA383" s="40">
        <v>9782.6611302680576</v>
      </c>
      <c r="CB383" s="52">
        <v>-28.668685342627214</v>
      </c>
      <c r="CC383" s="674">
        <v>2326.5819505668305</v>
      </c>
      <c r="CD383" s="40">
        <v>2435.3337093916834</v>
      </c>
      <c r="CE383" s="52">
        <v>108.75175882485291</v>
      </c>
      <c r="CF383" s="674">
        <v>283.19899086488442</v>
      </c>
      <c r="CG383" s="40">
        <v>0</v>
      </c>
      <c r="CH383" s="52">
        <v>-283.19899086488442</v>
      </c>
      <c r="CI383" s="674">
        <v>13486.336358179777</v>
      </c>
      <c r="CJ383" s="40">
        <v>14083.329987797184</v>
      </c>
      <c r="CK383" s="52">
        <v>596.99362961740735</v>
      </c>
      <c r="CL383" s="674">
        <v>19227.346746445324</v>
      </c>
      <c r="CM383" s="40">
        <v>21122.686213466233</v>
      </c>
      <c r="CN383" s="52">
        <v>1895.3394670209091</v>
      </c>
      <c r="CO383" s="39">
        <v>32713.683104625103</v>
      </c>
      <c r="CP383" s="40">
        <v>35206.016201263417</v>
      </c>
      <c r="CQ383" s="52">
        <v>2492.3330966383146</v>
      </c>
      <c r="CR383" s="72">
        <v>379794.82327740343</v>
      </c>
      <c r="CS383" s="5">
        <v>346184.71597692749</v>
      </c>
      <c r="CT383" s="52">
        <v>-33610.107300475938</v>
      </c>
      <c r="CU383" s="77">
        <v>455753.78793288412</v>
      </c>
      <c r="CV383" s="65">
        <v>415421.659172313</v>
      </c>
      <c r="CW383" s="35">
        <v>-40332.128760571126</v>
      </c>
      <c r="CX383" s="73">
        <v>10281.36978407891</v>
      </c>
      <c r="CY383" s="40">
        <v>50613.49854465008</v>
      </c>
      <c r="CZ383" s="52">
        <v>40332.12876057117</v>
      </c>
      <c r="DA383" s="150">
        <v>-11472.69495300881</v>
      </c>
      <c r="DB383" s="2">
        <v>3</v>
      </c>
      <c r="DC383" s="675">
        <v>88253.36</v>
      </c>
      <c r="DD383" s="675">
        <v>0</v>
      </c>
      <c r="DE383" s="675">
        <v>47825.516815888608</v>
      </c>
      <c r="DF383" s="675">
        <v>0</v>
      </c>
      <c r="DG383" s="321">
        <v>28859.433807562353</v>
      </c>
      <c r="DH383" s="40">
        <v>465998.47238163109</v>
      </c>
      <c r="DI383" s="422">
        <v>40427.8431841114</v>
      </c>
      <c r="DJ383" s="306">
        <v>5.2080976301342128</v>
      </c>
      <c r="DK383" s="306">
        <v>6.5253518145646332</v>
      </c>
      <c r="DL383" s="306">
        <v>4.551304042874766</v>
      </c>
      <c r="DM383" s="28">
        <v>40427.843184111392</v>
      </c>
      <c r="DN383" s="28">
        <v>0</v>
      </c>
      <c r="DO383" s="423">
        <v>40427.843184111392</v>
      </c>
      <c r="DP383" s="94">
        <v>0</v>
      </c>
      <c r="DQ383" s="28">
        <v>40427.843184111392</v>
      </c>
      <c r="DR383" s="318"/>
      <c r="DT383" s="8"/>
      <c r="DU383" s="5"/>
      <c r="DX383" s="5">
        <v>147103.59048936429</v>
      </c>
      <c r="DY383" s="5">
        <v>110643.80089589699</v>
      </c>
      <c r="DZ383" s="159">
        <v>13422.098385278203</v>
      </c>
      <c r="EB383" s="676">
        <v>-6953.4967122954804</v>
      </c>
      <c r="EC383" s="676">
        <v>-8185.6955289674152</v>
      </c>
      <c r="ED383" s="676">
        <v>-334.2805438149262</v>
      </c>
      <c r="EE383" s="676">
        <v>-10624.563491886154</v>
      </c>
      <c r="EF383" s="676">
        <v>10635.932540037589</v>
      </c>
      <c r="EG383" s="676">
        <v>33935.19846060322</v>
      </c>
      <c r="EH383" s="676">
        <v>-1147.1556417417305</v>
      </c>
      <c r="EI383" s="676">
        <v>-14235.062970624625</v>
      </c>
      <c r="EJ383" s="676">
        <v>-12129.861607978357</v>
      </c>
      <c r="EK383" s="676">
        <v>-8538.6628688482233</v>
      </c>
      <c r="EL383" s="676">
        <v>-11275.368483009705</v>
      </c>
      <c r="EM383" s="676">
        <v>-11479.111912045355</v>
      </c>
      <c r="EN383" s="676">
        <v>-40332.128760571162</v>
      </c>
      <c r="EQ383" s="5">
        <v>147103.59048936429</v>
      </c>
      <c r="ER383" s="5">
        <v>110643.80089589699</v>
      </c>
      <c r="ET383" s="318">
        <v>23399.308246374731</v>
      </c>
      <c r="EU383" s="5">
        <v>27691.125561187622</v>
      </c>
    </row>
    <row r="384" spans="1:151" x14ac:dyDescent="0.3">
      <c r="A384" s="325">
        <v>150000910</v>
      </c>
      <c r="B384" s="41" t="s">
        <v>830</v>
      </c>
      <c r="C384" s="42" t="s">
        <v>411</v>
      </c>
      <c r="D384" s="27">
        <v>9</v>
      </c>
      <c r="E384" s="293">
        <v>6347.35</v>
      </c>
      <c r="F384" s="305">
        <v>6232.25</v>
      </c>
      <c r="G384" s="508">
        <v>576.05999999999995</v>
      </c>
      <c r="H384" s="677">
        <v>115.1</v>
      </c>
      <c r="I384" s="674">
        <v>24336.812842584019</v>
      </c>
      <c r="J384" s="40">
        <v>23147.442734850712</v>
      </c>
      <c r="K384" s="52">
        <v>-1189.3701077333062</v>
      </c>
      <c r="L384" s="674">
        <v>4061.3241759274583</v>
      </c>
      <c r="M384" s="40">
        <v>3881.205284898741</v>
      </c>
      <c r="N384" s="52">
        <v>-180.11889102871737</v>
      </c>
      <c r="O384" s="674">
        <v>7843.6581442734596</v>
      </c>
      <c r="P384" s="40">
        <v>7845.2249999999985</v>
      </c>
      <c r="Q384" s="52">
        <v>1.5668557265389609</v>
      </c>
      <c r="R384" s="674">
        <v>1850.4493701000094</v>
      </c>
      <c r="S384" s="40">
        <v>1851.7700000000004</v>
      </c>
      <c r="T384" s="52">
        <v>1.3206298999909905</v>
      </c>
      <c r="U384" s="674">
        <v>1072.4056650520611</v>
      </c>
      <c r="V384" s="40">
        <v>728.23875918198814</v>
      </c>
      <c r="W384" s="52">
        <v>-344.16690587007292</v>
      </c>
      <c r="X384" s="674">
        <v>9004.5462013065444</v>
      </c>
      <c r="Y384" s="40">
        <v>8153.8664050771231</v>
      </c>
      <c r="Z384" s="52">
        <v>-850.6797962294213</v>
      </c>
      <c r="AA384" s="674">
        <v>761.67000000000007</v>
      </c>
      <c r="AB384" s="40">
        <v>0</v>
      </c>
      <c r="AC384" s="52">
        <v>-761.67000000000007</v>
      </c>
      <c r="AD384" s="674">
        <v>27207.35303471523</v>
      </c>
      <c r="AE384" s="40">
        <v>26968.124584512938</v>
      </c>
      <c r="AF384" s="35">
        <v>-239.22845020229215</v>
      </c>
      <c r="AG384" s="77">
        <v>76138.219433958773</v>
      </c>
      <c r="AH384" s="53">
        <v>72575.872768521498</v>
      </c>
      <c r="AI384" s="52">
        <v>-3562.3466654372751</v>
      </c>
      <c r="AJ384" s="674">
        <v>49127.656881348579</v>
      </c>
      <c r="AK384" s="40">
        <v>48805.102361560705</v>
      </c>
      <c r="AL384" s="52">
        <v>-322.5545197878746</v>
      </c>
      <c r="AM384" s="674">
        <v>945.67448250000007</v>
      </c>
      <c r="AN384" s="40">
        <v>262.08425285224394</v>
      </c>
      <c r="AO384" s="52">
        <v>-683.59022964775613</v>
      </c>
      <c r="AP384" s="674">
        <v>4766.6450055022578</v>
      </c>
      <c r="AQ384" s="40">
        <v>4072.2147938235948</v>
      </c>
      <c r="AR384" s="52">
        <v>-694.430211678663</v>
      </c>
      <c r="AS384" s="674">
        <v>99662.594913305758</v>
      </c>
      <c r="AT384" s="40">
        <v>130864.82496358611</v>
      </c>
      <c r="AU384" s="54">
        <v>31202.230050280355</v>
      </c>
      <c r="AV384" s="674">
        <v>3939.2972885625395</v>
      </c>
      <c r="AW384" s="40">
        <v>6644.62</v>
      </c>
      <c r="AX384" s="55">
        <v>2705.3227114374604</v>
      </c>
      <c r="AY384" s="674">
        <v>4740.445090562027</v>
      </c>
      <c r="AZ384" s="40">
        <v>12474.33</v>
      </c>
      <c r="BA384" s="35">
        <v>7733.884909437973</v>
      </c>
      <c r="BB384" s="674">
        <v>6084.5383653260933</v>
      </c>
      <c r="BC384" s="40">
        <v>3075</v>
      </c>
      <c r="BD384" s="55">
        <v>-3009.5383653260933</v>
      </c>
      <c r="BE384" s="674">
        <v>3712.0950632530016</v>
      </c>
      <c r="BF384" s="40">
        <v>12383.4</v>
      </c>
      <c r="BG384" s="38">
        <v>8671.3049367469976</v>
      </c>
      <c r="BH384" s="674">
        <v>1385.6021579763128</v>
      </c>
      <c r="BI384" s="40">
        <v>0</v>
      </c>
      <c r="BJ384" s="55">
        <v>-1385.6021579763128</v>
      </c>
      <c r="BK384" s="674">
        <v>2984.36516420821</v>
      </c>
      <c r="BL384" s="40">
        <v>3429</v>
      </c>
      <c r="BM384" s="38">
        <v>444.63483579179001</v>
      </c>
      <c r="BN384" s="674">
        <v>190.41750000000002</v>
      </c>
      <c r="BO384" s="40">
        <v>0</v>
      </c>
      <c r="BP384" s="55">
        <v>-190.41750000000002</v>
      </c>
      <c r="BQ384" s="77">
        <v>23036.760629888184</v>
      </c>
      <c r="BR384" s="40">
        <v>38006.35</v>
      </c>
      <c r="BS384" s="55">
        <v>14969.589370111815</v>
      </c>
      <c r="BT384" s="674">
        <v>42214.643290667984</v>
      </c>
      <c r="BU384" s="40">
        <v>44352.190372276273</v>
      </c>
      <c r="BV384" s="52">
        <v>2137.5470816082889</v>
      </c>
      <c r="BW384" s="674">
        <v>33525.036081444137</v>
      </c>
      <c r="BX384" s="40">
        <v>32513.668455638843</v>
      </c>
      <c r="BY384" s="52">
        <v>-1011.3676258052947</v>
      </c>
      <c r="BZ384" s="674">
        <v>9945.4583262065644</v>
      </c>
      <c r="CA384" s="40">
        <v>9744.9584515567294</v>
      </c>
      <c r="CB384" s="52">
        <v>-200.49987464983496</v>
      </c>
      <c r="CC384" s="674">
        <v>2165.1521740745102</v>
      </c>
      <c r="CD384" s="40">
        <v>2265.0531202125817</v>
      </c>
      <c r="CE384" s="52">
        <v>99.900946138071504</v>
      </c>
      <c r="CF384" s="674">
        <v>263.39747831100726</v>
      </c>
      <c r="CG384" s="40">
        <v>0</v>
      </c>
      <c r="CH384" s="52">
        <v>-263.39747831100726</v>
      </c>
      <c r="CI384" s="674">
        <v>25732.971709734735</v>
      </c>
      <c r="CJ384" s="40">
        <v>21378.38340091085</v>
      </c>
      <c r="CK384" s="52">
        <v>-4354.5883088238843</v>
      </c>
      <c r="CL384" s="674">
        <v>12011.69635287197</v>
      </c>
      <c r="CM384" s="40">
        <v>13446.23998722029</v>
      </c>
      <c r="CN384" s="52">
        <v>1434.5436343483198</v>
      </c>
      <c r="CO384" s="39">
        <v>37744.668062606703</v>
      </c>
      <c r="CP384" s="40">
        <v>34824.623388131142</v>
      </c>
      <c r="CQ384" s="52">
        <v>-2920.0446744755609</v>
      </c>
      <c r="CR384" s="72">
        <v>379535.90675981448</v>
      </c>
      <c r="CS384" s="5">
        <v>418286.94292815978</v>
      </c>
      <c r="CT384" s="52">
        <v>38751.036168345308</v>
      </c>
      <c r="CU384" s="77">
        <v>455443.08811177738</v>
      </c>
      <c r="CV384" s="65">
        <v>501944.33151379169</v>
      </c>
      <c r="CW384" s="35">
        <v>46501.243402014312</v>
      </c>
      <c r="CX384" s="73">
        <v>10464.747811179406</v>
      </c>
      <c r="CY384" s="40">
        <v>-36036.495590834878</v>
      </c>
      <c r="CZ384" s="52">
        <v>-46501.243402014283</v>
      </c>
      <c r="DA384" s="150">
        <v>60645.641803115417</v>
      </c>
      <c r="DB384" s="2">
        <v>3</v>
      </c>
      <c r="DC384" s="675">
        <v>115998.56</v>
      </c>
      <c r="DD384" s="675">
        <v>539.41999999999996</v>
      </c>
      <c r="DE384" s="675">
        <v>76744.002547168289</v>
      </c>
      <c r="DF384" s="675">
        <v>-3.1936073911538188E-3</v>
      </c>
      <c r="DG384" s="321">
        <v>14144.398401101116</v>
      </c>
      <c r="DH384" s="40">
        <v>465869.14822761173</v>
      </c>
      <c r="DI384" s="422">
        <v>39793.980646439093</v>
      </c>
      <c r="DJ384" s="306">
        <v>5.2631576008344529</v>
      </c>
      <c r="DK384" s="306">
        <v>6.404074630678072</v>
      </c>
      <c r="DL384" s="306">
        <v>4.6865611955464042</v>
      </c>
      <c r="DM384" s="28">
        <v>39254.557452831701</v>
      </c>
      <c r="DN384" s="28">
        <v>539.42319360739111</v>
      </c>
      <c r="DO384" s="423">
        <v>39793.980646439093</v>
      </c>
      <c r="DP384" s="94">
        <v>0</v>
      </c>
      <c r="DQ384" s="28">
        <v>39793.980646439093</v>
      </c>
      <c r="DR384" s="318"/>
      <c r="DT384" s="8"/>
      <c r="DU384" s="5"/>
      <c r="DX384" s="5">
        <v>147239.22665183272</v>
      </c>
      <c r="DY384" s="5">
        <v>202645.40995630334</v>
      </c>
      <c r="DZ384" s="159">
        <v>13463.837393296897</v>
      </c>
      <c r="EB384" s="676">
        <v>7180.4060926785751</v>
      </c>
      <c r="EC384" s="676">
        <v>-10085.130758486441</v>
      </c>
      <c r="ED384" s="676">
        <v>-9230.6867773314407</v>
      </c>
      <c r="EE384" s="676">
        <v>-11643.494371882349</v>
      </c>
      <c r="EF384" s="676">
        <v>-5168.1290030681121</v>
      </c>
      <c r="EG384" s="676">
        <v>-8975.1611898766532</v>
      </c>
      <c r="EH384" s="676">
        <v>-13795.985315885002</v>
      </c>
      <c r="EI384" s="676">
        <v>5528.7899715817475</v>
      </c>
      <c r="EJ384" s="676">
        <v>-11711.870781594935</v>
      </c>
      <c r="EK384" s="676">
        <v>26042.70337476884</v>
      </c>
      <c r="EL384" s="676">
        <v>88131.172542672241</v>
      </c>
      <c r="EM384" s="676">
        <v>-9771.3703815621666</v>
      </c>
      <c r="EN384" s="676">
        <v>46501.243402014297</v>
      </c>
      <c r="EQ384" s="5">
        <v>147239.22665183272</v>
      </c>
      <c r="ER384" s="5">
        <v>202645.40995630334</v>
      </c>
      <c r="ET384" s="318">
        <v>-12067.591314390906</v>
      </c>
      <c r="EU384" s="5">
        <v>-18599.010284508004</v>
      </c>
    </row>
    <row r="385" spans="1:151" x14ac:dyDescent="0.3">
      <c r="A385" s="325">
        <v>150000911</v>
      </c>
      <c r="B385" s="41" t="s">
        <v>831</v>
      </c>
      <c r="C385" s="42" t="s">
        <v>319</v>
      </c>
      <c r="D385" s="27">
        <v>5</v>
      </c>
      <c r="E385" s="293">
        <v>5864.08</v>
      </c>
      <c r="F385" s="305">
        <v>5864.08</v>
      </c>
      <c r="G385" s="508">
        <v>0</v>
      </c>
      <c r="H385" s="677">
        <v>0</v>
      </c>
      <c r="I385" s="674">
        <v>19565.296612599293</v>
      </c>
      <c r="J385" s="40">
        <v>18621.523867859913</v>
      </c>
      <c r="K385" s="52">
        <v>-943.77274473938087</v>
      </c>
      <c r="L385" s="674">
        <v>3951.2868125885334</v>
      </c>
      <c r="M385" s="40">
        <v>3776.1015142259744</v>
      </c>
      <c r="N385" s="52">
        <v>-175.18529836255902</v>
      </c>
      <c r="O385" s="674">
        <v>8315.1588358231038</v>
      </c>
      <c r="P385" s="40">
        <v>8316.7350000000006</v>
      </c>
      <c r="Q385" s="52">
        <v>1.576164176896782</v>
      </c>
      <c r="R385" s="674">
        <v>0</v>
      </c>
      <c r="S385" s="40">
        <v>0</v>
      </c>
      <c r="T385" s="52">
        <v>0</v>
      </c>
      <c r="U385" s="674">
        <v>1836.059988105827</v>
      </c>
      <c r="V385" s="40">
        <v>1246.8198723652665</v>
      </c>
      <c r="W385" s="52">
        <v>-589.24011574056044</v>
      </c>
      <c r="X385" s="674">
        <v>17666.839142508339</v>
      </c>
      <c r="Y385" s="40">
        <v>14650.353683543839</v>
      </c>
      <c r="Z385" s="52">
        <v>-3016.4854589645001</v>
      </c>
      <c r="AA385" s="674">
        <v>703.68959999999993</v>
      </c>
      <c r="AB385" s="40">
        <v>0</v>
      </c>
      <c r="AC385" s="52">
        <v>-703.68959999999993</v>
      </c>
      <c r="AD385" s="674">
        <v>25142.232851489982</v>
      </c>
      <c r="AE385" s="40">
        <v>24914.844779876737</v>
      </c>
      <c r="AF385" s="35">
        <v>-227.38807161324439</v>
      </c>
      <c r="AG385" s="77">
        <v>77180.563843115073</v>
      </c>
      <c r="AH385" s="53">
        <v>71526.378717871732</v>
      </c>
      <c r="AI385" s="52">
        <v>-5654.1851252433407</v>
      </c>
      <c r="AJ385" s="674">
        <v>0</v>
      </c>
      <c r="AK385" s="40">
        <v>0</v>
      </c>
      <c r="AL385" s="52">
        <v>0</v>
      </c>
      <c r="AM385" s="674">
        <v>0</v>
      </c>
      <c r="AN385" s="40">
        <v>0</v>
      </c>
      <c r="AO385" s="52">
        <v>0</v>
      </c>
      <c r="AP385" s="674">
        <v>9645.7108837757969</v>
      </c>
      <c r="AQ385" s="40">
        <v>14795.863521526637</v>
      </c>
      <c r="AR385" s="52">
        <v>5150.1526377508399</v>
      </c>
      <c r="AS385" s="674">
        <v>88896.286131224144</v>
      </c>
      <c r="AT385" s="40">
        <v>72421.636694895758</v>
      </c>
      <c r="AU385" s="54">
        <v>-16474.649436328385</v>
      </c>
      <c r="AV385" s="674">
        <v>4454.9873628964642</v>
      </c>
      <c r="AW385" s="40">
        <v>6827</v>
      </c>
      <c r="AX385" s="55">
        <v>2372.0126371035358</v>
      </c>
      <c r="AY385" s="674">
        <v>6477.2512569371456</v>
      </c>
      <c r="AZ385" s="40">
        <v>10387</v>
      </c>
      <c r="BA385" s="35">
        <v>3909.7487430628544</v>
      </c>
      <c r="BB385" s="674">
        <v>3014.8970130582256</v>
      </c>
      <c r="BC385" s="40">
        <v>981</v>
      </c>
      <c r="BD385" s="55">
        <v>-2033.8970130582256</v>
      </c>
      <c r="BE385" s="674">
        <v>0</v>
      </c>
      <c r="BF385" s="40">
        <v>0</v>
      </c>
      <c r="BG385" s="38">
        <v>0</v>
      </c>
      <c r="BH385" s="674">
        <v>3134.6721921477197</v>
      </c>
      <c r="BI385" s="40">
        <v>0</v>
      </c>
      <c r="BJ385" s="55">
        <v>-3134.6721921477197</v>
      </c>
      <c r="BK385" s="674">
        <v>4967.4591984390336</v>
      </c>
      <c r="BL385" s="40">
        <v>3166</v>
      </c>
      <c r="BM385" s="38">
        <v>-1801.4591984390336</v>
      </c>
      <c r="BN385" s="674">
        <v>175.92239999999998</v>
      </c>
      <c r="BO385" s="40">
        <v>1087.03</v>
      </c>
      <c r="BP385" s="55">
        <v>911.10760000000005</v>
      </c>
      <c r="BQ385" s="77">
        <v>22225.18942347859</v>
      </c>
      <c r="BR385" s="40">
        <v>22448.03</v>
      </c>
      <c r="BS385" s="55">
        <v>222.84057652140837</v>
      </c>
      <c r="BT385" s="674">
        <v>46946.07654906268</v>
      </c>
      <c r="BU385" s="40">
        <v>66736.871925209591</v>
      </c>
      <c r="BV385" s="52">
        <v>19790.795376146911</v>
      </c>
      <c r="BW385" s="674">
        <v>32969.991314311206</v>
      </c>
      <c r="BX385" s="40">
        <v>31203.290219190218</v>
      </c>
      <c r="BY385" s="52">
        <v>-1766.7010951209886</v>
      </c>
      <c r="BZ385" s="674">
        <v>8865.1817285958678</v>
      </c>
      <c r="CA385" s="40">
        <v>7642.710452289376</v>
      </c>
      <c r="CB385" s="52">
        <v>-1222.4712763064917</v>
      </c>
      <c r="CC385" s="674">
        <v>2472.4570835836748</v>
      </c>
      <c r="CD385" s="40">
        <v>2598.6044629956596</v>
      </c>
      <c r="CE385" s="52">
        <v>126.14737941198473</v>
      </c>
      <c r="CF385" s="674">
        <v>302.18534681277009</v>
      </c>
      <c r="CG385" s="40">
        <v>564.95765730072071</v>
      </c>
      <c r="CH385" s="52">
        <v>262.77231048795062</v>
      </c>
      <c r="CI385" s="674">
        <v>13040.827423079823</v>
      </c>
      <c r="CJ385" s="40">
        <v>12059.533642789682</v>
      </c>
      <c r="CK385" s="52">
        <v>-981.29378029014151</v>
      </c>
      <c r="CL385" s="674">
        <v>0</v>
      </c>
      <c r="CM385" s="40">
        <v>0</v>
      </c>
      <c r="CN385" s="52">
        <v>0</v>
      </c>
      <c r="CO385" s="39">
        <v>13040.827423079823</v>
      </c>
      <c r="CP385" s="40">
        <v>12059.533642789682</v>
      </c>
      <c r="CQ385" s="52">
        <v>-981.29378029014151</v>
      </c>
      <c r="CR385" s="72">
        <v>302544.46972703963</v>
      </c>
      <c r="CS385" s="5">
        <v>301997.87729406939</v>
      </c>
      <c r="CT385" s="52">
        <v>-546.59243297023932</v>
      </c>
      <c r="CU385" s="77">
        <v>363053.36367244757</v>
      </c>
      <c r="CV385" s="65">
        <v>362397.45275288326</v>
      </c>
      <c r="CW385" s="35">
        <v>-655.91091956431046</v>
      </c>
      <c r="CX385" s="73">
        <v>17342.665394103893</v>
      </c>
      <c r="CY385" s="40">
        <v>17998.57631366824</v>
      </c>
      <c r="CZ385" s="52">
        <v>655.91091956434684</v>
      </c>
      <c r="DA385" s="150">
        <v>-18942.634411369298</v>
      </c>
      <c r="DB385" s="2">
        <v>3</v>
      </c>
      <c r="DC385" s="675">
        <v>64671.27</v>
      </c>
      <c r="DD385" s="675">
        <v>0</v>
      </c>
      <c r="DE385" s="675">
        <v>31949.071710944092</v>
      </c>
      <c r="DF385" s="675">
        <v>0</v>
      </c>
      <c r="DG385" s="321">
        <v>-18286.723491804951</v>
      </c>
      <c r="DH385" s="40">
        <v>380365.1914111115</v>
      </c>
      <c r="DI385" s="422">
        <v>32722.198289055912</v>
      </c>
      <c r="DJ385" s="306">
        <v>5.580107755872346</v>
      </c>
      <c r="DK385" s="306">
        <v>5.580107755872346</v>
      </c>
      <c r="DL385" s="306">
        <v>4.9377507063391226</v>
      </c>
      <c r="DM385" s="28">
        <v>32722.198289055905</v>
      </c>
      <c r="DN385" s="28">
        <v>0</v>
      </c>
      <c r="DO385" s="423">
        <v>32722.198289055905</v>
      </c>
      <c r="DP385" s="94">
        <v>0</v>
      </c>
      <c r="DQ385" s="28">
        <v>32722.198289055905</v>
      </c>
      <c r="DR385" s="318"/>
      <c r="DT385" s="8"/>
      <c r="DU385" s="5"/>
      <c r="DX385" s="5">
        <v>133345.77066564327</v>
      </c>
      <c r="DY385" s="5">
        <v>113843.6000338749</v>
      </c>
      <c r="DZ385" s="159">
        <v>11129.744163601941</v>
      </c>
      <c r="EB385" s="676">
        <v>-4726.2421206972576</v>
      </c>
      <c r="EC385" s="676">
        <v>-8373.2175358475106</v>
      </c>
      <c r="ED385" s="676">
        <v>-6394.7780912718554</v>
      </c>
      <c r="EE385" s="676">
        <v>-4430.8843432178182</v>
      </c>
      <c r="EF385" s="676">
        <v>-7929.0651223263958</v>
      </c>
      <c r="EG385" s="676">
        <v>-5273.2184253177984</v>
      </c>
      <c r="EH385" s="676">
        <v>-13850.654595891829</v>
      </c>
      <c r="EI385" s="676">
        <v>9701.6383822567914</v>
      </c>
      <c r="EJ385" s="676">
        <v>57280.051623346313</v>
      </c>
      <c r="EK385" s="676">
        <v>-651.35656980262138</v>
      </c>
      <c r="EL385" s="676">
        <v>-15927.237162425174</v>
      </c>
      <c r="EM385" s="676">
        <v>-80.946958369186177</v>
      </c>
      <c r="EN385" s="676">
        <v>-655.91091956434866</v>
      </c>
      <c r="EQ385" s="5">
        <v>133345.77066564327</v>
      </c>
      <c r="ER385" s="5">
        <v>113843.6000338749</v>
      </c>
      <c r="ET385" s="318">
        <v>-53045.286044052627</v>
      </c>
      <c r="EU385" s="5">
        <v>88201.562552247691</v>
      </c>
    </row>
    <row r="386" spans="1:151" x14ac:dyDescent="0.3">
      <c r="A386" s="325">
        <v>150000912</v>
      </c>
      <c r="B386" s="41" t="s">
        <v>832</v>
      </c>
      <c r="C386" s="42" t="s">
        <v>320</v>
      </c>
      <c r="D386" s="27">
        <v>5</v>
      </c>
      <c r="E386" s="293">
        <v>4467.5200000000004</v>
      </c>
      <c r="F386" s="305">
        <v>4467.5200000000004</v>
      </c>
      <c r="G386" s="508">
        <v>0</v>
      </c>
      <c r="H386" s="677">
        <v>0</v>
      </c>
      <c r="I386" s="674">
        <v>15348.067185966171</v>
      </c>
      <c r="J386" s="40">
        <v>14577.282085630108</v>
      </c>
      <c r="K386" s="52">
        <v>-770.7851003360629</v>
      </c>
      <c r="L386" s="674">
        <v>2966.8431596086684</v>
      </c>
      <c r="M386" s="40">
        <v>2835.3131526286184</v>
      </c>
      <c r="N386" s="52">
        <v>-131.53000698005008</v>
      </c>
      <c r="O386" s="674">
        <v>5954.5737968483299</v>
      </c>
      <c r="P386" s="40">
        <v>5953.98</v>
      </c>
      <c r="Q386" s="52">
        <v>-0.59379684833038482</v>
      </c>
      <c r="R386" s="674">
        <v>0</v>
      </c>
      <c r="S386" s="40">
        <v>0</v>
      </c>
      <c r="T386" s="52">
        <v>0</v>
      </c>
      <c r="U386" s="674">
        <v>877.44131188406152</v>
      </c>
      <c r="V386" s="40">
        <v>595.81678185201747</v>
      </c>
      <c r="W386" s="52">
        <v>-281.62453003204405</v>
      </c>
      <c r="X386" s="674">
        <v>11398.142849918953</v>
      </c>
      <c r="Y386" s="40">
        <v>9536.6537511848292</v>
      </c>
      <c r="Z386" s="52">
        <v>-1861.4890987341241</v>
      </c>
      <c r="AA386" s="674">
        <v>536.09040000000005</v>
      </c>
      <c r="AB386" s="40">
        <v>0</v>
      </c>
      <c r="AC386" s="52">
        <v>-536.09040000000005</v>
      </c>
      <c r="AD386" s="674">
        <v>19154.405513617021</v>
      </c>
      <c r="AE386" s="40">
        <v>18981.1058384592</v>
      </c>
      <c r="AF386" s="35">
        <v>-173.29967515782118</v>
      </c>
      <c r="AG386" s="77">
        <v>56235.564217843203</v>
      </c>
      <c r="AH386" s="53">
        <v>52480.151609754772</v>
      </c>
      <c r="AI386" s="52">
        <v>-3755.4126080884307</v>
      </c>
      <c r="AJ386" s="674">
        <v>0</v>
      </c>
      <c r="AK386" s="40">
        <v>0</v>
      </c>
      <c r="AL386" s="52">
        <v>0</v>
      </c>
      <c r="AM386" s="674">
        <v>0</v>
      </c>
      <c r="AN386" s="40">
        <v>0</v>
      </c>
      <c r="AO386" s="52">
        <v>0</v>
      </c>
      <c r="AP386" s="674">
        <v>7284.8725555789233</v>
      </c>
      <c r="AQ386" s="40">
        <v>11121.777955547324</v>
      </c>
      <c r="AR386" s="52">
        <v>3836.9053999684011</v>
      </c>
      <c r="AS386" s="674">
        <v>71130.687907521919</v>
      </c>
      <c r="AT386" s="40">
        <v>65151.480460162384</v>
      </c>
      <c r="AU386" s="54">
        <v>-5979.2074473595349</v>
      </c>
      <c r="AV386" s="674">
        <v>3554.3889810354126</v>
      </c>
      <c r="AW386" s="40">
        <v>1252</v>
      </c>
      <c r="AX386" s="55">
        <v>-2302.3889810354126</v>
      </c>
      <c r="AY386" s="674">
        <v>4863.393608952556</v>
      </c>
      <c r="AZ386" s="40">
        <v>0</v>
      </c>
      <c r="BA386" s="35">
        <v>-4863.393608952556</v>
      </c>
      <c r="BB386" s="674">
        <v>2355.7805417627774</v>
      </c>
      <c r="BC386" s="40">
        <v>0</v>
      </c>
      <c r="BD386" s="55">
        <v>-2355.7805417627774</v>
      </c>
      <c r="BE386" s="674">
        <v>0</v>
      </c>
      <c r="BF386" s="40">
        <v>0</v>
      </c>
      <c r="BG386" s="38">
        <v>0</v>
      </c>
      <c r="BH386" s="674">
        <v>1497.9511435155196</v>
      </c>
      <c r="BI386" s="40">
        <v>0</v>
      </c>
      <c r="BJ386" s="55">
        <v>-1497.9511435155196</v>
      </c>
      <c r="BK386" s="674">
        <v>3080.8943112404968</v>
      </c>
      <c r="BL386" s="40">
        <v>326</v>
      </c>
      <c r="BM386" s="38">
        <v>-2754.8943112404968</v>
      </c>
      <c r="BN386" s="674">
        <v>134.02260000000001</v>
      </c>
      <c r="BO386" s="40">
        <v>0</v>
      </c>
      <c r="BP386" s="55">
        <v>-134.02260000000001</v>
      </c>
      <c r="BQ386" s="77">
        <v>15486.431186506761</v>
      </c>
      <c r="BR386" s="40">
        <v>1578</v>
      </c>
      <c r="BS386" s="55">
        <v>-13908.431186506761</v>
      </c>
      <c r="BT386" s="674">
        <v>39225.679122707232</v>
      </c>
      <c r="BU386" s="40">
        <v>47642.043600824451</v>
      </c>
      <c r="BV386" s="52">
        <v>8416.3644781172188</v>
      </c>
      <c r="BW386" s="674">
        <v>24048.218314279646</v>
      </c>
      <c r="BX386" s="40">
        <v>22876.968751897562</v>
      </c>
      <c r="BY386" s="52">
        <v>-1171.2495623820832</v>
      </c>
      <c r="BZ386" s="674">
        <v>8251.8896810755105</v>
      </c>
      <c r="CA386" s="40">
        <v>6624.4646669091726</v>
      </c>
      <c r="CB386" s="52">
        <v>-1627.4250141663379</v>
      </c>
      <c r="CC386" s="674">
        <v>2327.1165131987964</v>
      </c>
      <c r="CD386" s="40">
        <v>2445.8484627543721</v>
      </c>
      <c r="CE386" s="52">
        <v>118.73194955557574</v>
      </c>
      <c r="CF386" s="674">
        <v>284.42172577387174</v>
      </c>
      <c r="CG386" s="40">
        <v>554.44574346276681</v>
      </c>
      <c r="CH386" s="52">
        <v>270.02401768889507</v>
      </c>
      <c r="CI386" s="674">
        <v>9046.2690637891665</v>
      </c>
      <c r="CJ386" s="40">
        <v>7031.6492101909998</v>
      </c>
      <c r="CK386" s="52">
        <v>-2014.6198535981666</v>
      </c>
      <c r="CL386" s="674">
        <v>0</v>
      </c>
      <c r="CM386" s="40">
        <v>0</v>
      </c>
      <c r="CN386" s="52">
        <v>0</v>
      </c>
      <c r="CO386" s="39">
        <v>9046.2690637891665</v>
      </c>
      <c r="CP386" s="40">
        <v>7031.6492101909998</v>
      </c>
      <c r="CQ386" s="52">
        <v>-2014.6198535981666</v>
      </c>
      <c r="CR386" s="72">
        <v>233321.15028827504</v>
      </c>
      <c r="CS386" s="5">
        <v>217506.83046150382</v>
      </c>
      <c r="CT386" s="52">
        <v>-15814.319826771214</v>
      </c>
      <c r="CU386" s="77">
        <v>279985.38034593005</v>
      </c>
      <c r="CV386" s="65">
        <v>261008.19655380456</v>
      </c>
      <c r="CW386" s="35">
        <v>-18977.183792125492</v>
      </c>
      <c r="CX386" s="73">
        <v>14023.754653200758</v>
      </c>
      <c r="CY386" s="40">
        <v>33000.938445326225</v>
      </c>
      <c r="CZ386" s="52">
        <v>18977.183792125466</v>
      </c>
      <c r="DA386" s="150">
        <v>-99.255069787403045</v>
      </c>
      <c r="DB386" s="2">
        <v>3</v>
      </c>
      <c r="DC386" s="675">
        <v>51686.81</v>
      </c>
      <c r="DD386" s="675">
        <v>0</v>
      </c>
      <c r="DE386" s="675">
        <v>25925.696570775119</v>
      </c>
      <c r="DF386" s="675">
        <v>0</v>
      </c>
      <c r="DG386" s="321">
        <v>18877.928722338071</v>
      </c>
      <c r="DH386" s="40">
        <v>293986.81922320696</v>
      </c>
      <c r="DI386" s="422">
        <v>25761.113429224879</v>
      </c>
      <c r="DJ386" s="306">
        <v>5.7663118305513743</v>
      </c>
      <c r="DK386" s="306">
        <v>5.7663118305513743</v>
      </c>
      <c r="DL386" s="306">
        <v>5.1495663880205864</v>
      </c>
      <c r="DM386" s="28">
        <v>25761.113429224879</v>
      </c>
      <c r="DN386" s="28">
        <v>0</v>
      </c>
      <c r="DO386" s="423">
        <v>25761.113429224879</v>
      </c>
      <c r="DP386" s="94">
        <v>0</v>
      </c>
      <c r="DQ386" s="28">
        <v>25761.113429224879</v>
      </c>
      <c r="DR386" s="318"/>
      <c r="DT386" s="8"/>
      <c r="DU386" s="5"/>
      <c r="DX386" s="5">
        <v>103940.54291283441</v>
      </c>
      <c r="DY386" s="5">
        <v>80075.376552194866</v>
      </c>
      <c r="DZ386" s="159">
        <v>8874.7476090434902</v>
      </c>
      <c r="EB386" s="676">
        <v>1746.0857454266297</v>
      </c>
      <c r="EC386" s="676">
        <v>587.92467064868106</v>
      </c>
      <c r="ED386" s="676">
        <v>-442.56773739195705</v>
      </c>
      <c r="EE386" s="676">
        <v>-4040.2065378349034</v>
      </c>
      <c r="EF386" s="676">
        <v>-8901.6337589592113</v>
      </c>
      <c r="EG386" s="676">
        <v>3841.8336695954313</v>
      </c>
      <c r="EH386" s="676">
        <v>4516.1252970964451</v>
      </c>
      <c r="EI386" s="676">
        <v>6683.5670468411263</v>
      </c>
      <c r="EJ386" s="676">
        <v>4875.8807468599734</v>
      </c>
      <c r="EK386" s="676">
        <v>-10183.347529599103</v>
      </c>
      <c r="EL386" s="676">
        <v>-15425.3272570929</v>
      </c>
      <c r="EM386" s="676">
        <v>-2235.5181477156839</v>
      </c>
      <c r="EN386" s="676">
        <v>-18977.183792125474</v>
      </c>
      <c r="EQ386" s="5">
        <v>103940.54291283441</v>
      </c>
      <c r="ER386" s="5">
        <v>80075.376552194866</v>
      </c>
      <c r="ET386" s="318">
        <v>21476.404204050279</v>
      </c>
      <c r="EU386" s="5">
        <v>-2766.4754817121848</v>
      </c>
    </row>
    <row r="387" spans="1:151" x14ac:dyDescent="0.3">
      <c r="A387" s="325">
        <v>150000913</v>
      </c>
      <c r="B387" s="41" t="s">
        <v>833</v>
      </c>
      <c r="C387" s="42" t="s">
        <v>321</v>
      </c>
      <c r="D387" s="27">
        <v>5</v>
      </c>
      <c r="E387" s="293">
        <v>2779.82</v>
      </c>
      <c r="F387" s="305">
        <v>2779.82</v>
      </c>
      <c r="G387" s="508">
        <v>0</v>
      </c>
      <c r="H387" s="677">
        <v>0</v>
      </c>
      <c r="I387" s="674">
        <v>10187.043466868245</v>
      </c>
      <c r="J387" s="40">
        <v>9761.689075059614</v>
      </c>
      <c r="K387" s="52">
        <v>-425.35439180863068</v>
      </c>
      <c r="L387" s="674">
        <v>1960.5068703052143</v>
      </c>
      <c r="M387" s="40">
        <v>1873.5818709942835</v>
      </c>
      <c r="N387" s="52">
        <v>-86.924999310930843</v>
      </c>
      <c r="O387" s="674">
        <v>3927.6340758550186</v>
      </c>
      <c r="P387" s="40">
        <v>3926.8850000000002</v>
      </c>
      <c r="Q387" s="52">
        <v>-0.74907585501841822</v>
      </c>
      <c r="R387" s="674">
        <v>0</v>
      </c>
      <c r="S387" s="40">
        <v>0</v>
      </c>
      <c r="T387" s="52">
        <v>0</v>
      </c>
      <c r="U387" s="674">
        <v>877.44131188406152</v>
      </c>
      <c r="V387" s="40">
        <v>595.81678185201747</v>
      </c>
      <c r="W387" s="52">
        <v>-281.62453003204405</v>
      </c>
      <c r="X387" s="674">
        <v>6542.5687172966591</v>
      </c>
      <c r="Y387" s="40">
        <v>5289.1539770027521</v>
      </c>
      <c r="Z387" s="52">
        <v>-1253.414740293907</v>
      </c>
      <c r="AA387" s="674">
        <v>333.55439999999999</v>
      </c>
      <c r="AB387" s="40">
        <v>0</v>
      </c>
      <c r="AC387" s="52">
        <v>-333.55439999999999</v>
      </c>
      <c r="AD387" s="674">
        <v>11918.276131688401</v>
      </c>
      <c r="AE387" s="40">
        <v>11810.681951132479</v>
      </c>
      <c r="AF387" s="35">
        <v>-107.59418055592141</v>
      </c>
      <c r="AG387" s="77">
        <v>35747.024973897598</v>
      </c>
      <c r="AH387" s="53">
        <v>33257.808656041147</v>
      </c>
      <c r="AI387" s="52">
        <v>-2489.2163178564515</v>
      </c>
      <c r="AJ387" s="674">
        <v>0</v>
      </c>
      <c r="AK387" s="40">
        <v>0</v>
      </c>
      <c r="AL387" s="52">
        <v>0</v>
      </c>
      <c r="AM387" s="674">
        <v>0</v>
      </c>
      <c r="AN387" s="40">
        <v>0</v>
      </c>
      <c r="AO387" s="52">
        <v>0</v>
      </c>
      <c r="AP387" s="674">
        <v>4856.5817037192819</v>
      </c>
      <c r="AQ387" s="40">
        <v>4017.8374674263682</v>
      </c>
      <c r="AR387" s="52">
        <v>-838.74423629291368</v>
      </c>
      <c r="AS387" s="674">
        <v>46267.845229938655</v>
      </c>
      <c r="AT387" s="40">
        <v>5434.356881292144</v>
      </c>
      <c r="AU387" s="54">
        <v>-40833.488348646511</v>
      </c>
      <c r="AV387" s="674">
        <v>2363.4843007606978</v>
      </c>
      <c r="AW387" s="40">
        <v>505</v>
      </c>
      <c r="AX387" s="55">
        <v>-1858.4843007606978</v>
      </c>
      <c r="AY387" s="674">
        <v>3213.8517921635189</v>
      </c>
      <c r="AZ387" s="40">
        <v>1209</v>
      </c>
      <c r="BA387" s="35">
        <v>-2004.8517921635189</v>
      </c>
      <c r="BB387" s="674">
        <v>1375.4568379565696</v>
      </c>
      <c r="BC387" s="40">
        <v>0</v>
      </c>
      <c r="BD387" s="55">
        <v>-1375.4568379565696</v>
      </c>
      <c r="BE387" s="674">
        <v>0</v>
      </c>
      <c r="BF387" s="40">
        <v>0</v>
      </c>
      <c r="BG387" s="38">
        <v>0</v>
      </c>
      <c r="BH387" s="674">
        <v>1497.9511435155196</v>
      </c>
      <c r="BI387" s="40">
        <v>0</v>
      </c>
      <c r="BJ387" s="55">
        <v>-1497.9511435155196</v>
      </c>
      <c r="BK387" s="674">
        <v>1561.3238170740249</v>
      </c>
      <c r="BL387" s="40">
        <v>1901</v>
      </c>
      <c r="BM387" s="38">
        <v>339.67618292597513</v>
      </c>
      <c r="BN387" s="674">
        <v>83.388599999999997</v>
      </c>
      <c r="BO387" s="40">
        <v>3505.16</v>
      </c>
      <c r="BP387" s="55">
        <v>3421.7713999999996</v>
      </c>
      <c r="BQ387" s="77">
        <v>10095.456491470331</v>
      </c>
      <c r="BR387" s="40">
        <v>7120.16</v>
      </c>
      <c r="BS387" s="55">
        <v>-2975.2964914703316</v>
      </c>
      <c r="BT387" s="674">
        <v>27016.157019514896</v>
      </c>
      <c r="BU387" s="40">
        <v>32639.268041977713</v>
      </c>
      <c r="BV387" s="52">
        <v>5623.1110224628173</v>
      </c>
      <c r="BW387" s="674">
        <v>16204.860775617246</v>
      </c>
      <c r="BX387" s="40">
        <v>15389.567783588063</v>
      </c>
      <c r="BY387" s="52">
        <v>-815.29299202918264</v>
      </c>
      <c r="BZ387" s="674">
        <v>8216.6846329199034</v>
      </c>
      <c r="CA387" s="40">
        <v>7628.5198595778566</v>
      </c>
      <c r="CB387" s="52">
        <v>-588.16477334204683</v>
      </c>
      <c r="CC387" s="674">
        <v>1637.0961761707797</v>
      </c>
      <c r="CD387" s="40">
        <v>1720.6225572111305</v>
      </c>
      <c r="CE387" s="52">
        <v>83.52638104035077</v>
      </c>
      <c r="CF387" s="674">
        <v>200.08698191233316</v>
      </c>
      <c r="CG387" s="40">
        <v>0</v>
      </c>
      <c r="CH387" s="52">
        <v>-200.08698191233316</v>
      </c>
      <c r="CI387" s="674">
        <v>5051.7651361471944</v>
      </c>
      <c r="CJ387" s="40">
        <v>4704.0417816345689</v>
      </c>
      <c r="CK387" s="52">
        <v>-347.72335451262552</v>
      </c>
      <c r="CL387" s="674">
        <v>0</v>
      </c>
      <c r="CM387" s="40">
        <v>0</v>
      </c>
      <c r="CN387" s="52">
        <v>0</v>
      </c>
      <c r="CO387" s="39">
        <v>5051.7651361471944</v>
      </c>
      <c r="CP387" s="40">
        <v>4704.0417816345689</v>
      </c>
      <c r="CQ387" s="52">
        <v>-347.72335451262552</v>
      </c>
      <c r="CR387" s="72">
        <v>155293.55912130827</v>
      </c>
      <c r="CS387" s="5">
        <v>111912.18302874899</v>
      </c>
      <c r="CT387" s="52">
        <v>-43381.37609255928</v>
      </c>
      <c r="CU387" s="77">
        <v>186352.27094556991</v>
      </c>
      <c r="CV387" s="65">
        <v>134294.61963449878</v>
      </c>
      <c r="CW387" s="35">
        <v>-52057.651311071124</v>
      </c>
      <c r="CX387" s="73">
        <v>8897.3987091707204</v>
      </c>
      <c r="CY387" s="40">
        <v>60955.050020241812</v>
      </c>
      <c r="CZ387" s="52">
        <v>52057.651311071095</v>
      </c>
      <c r="DA387" s="150">
        <v>-25538.636908463635</v>
      </c>
      <c r="DB387" s="2">
        <v>3</v>
      </c>
      <c r="DC387" s="675">
        <v>26776.18</v>
      </c>
      <c r="DD387" s="675">
        <v>0</v>
      </c>
      <c r="DE387" s="675">
        <v>9828.5998414233291</v>
      </c>
      <c r="DF387" s="675">
        <v>0</v>
      </c>
      <c r="DG387" s="321">
        <v>26519.014402607474</v>
      </c>
      <c r="DH387" s="40">
        <v>195234.33220537312</v>
      </c>
      <c r="DI387" s="422">
        <v>16947.580158576668</v>
      </c>
      <c r="DJ387" s="306">
        <v>6.0966466025054391</v>
      </c>
      <c r="DK387" s="306">
        <v>6.0966466025054391</v>
      </c>
      <c r="DL387" s="306">
        <v>5.4299600760667888</v>
      </c>
      <c r="DM387" s="28">
        <v>16947.580158576671</v>
      </c>
      <c r="DN387" s="28">
        <v>0</v>
      </c>
      <c r="DO387" s="423">
        <v>16947.580158576671</v>
      </c>
      <c r="DP387" s="94">
        <v>0</v>
      </c>
      <c r="DQ387" s="28">
        <v>16947.580158576671</v>
      </c>
      <c r="DR387" s="318"/>
      <c r="DT387" s="8"/>
      <c r="DU387" s="5"/>
      <c r="DX387" s="5">
        <v>67635.962065690779</v>
      </c>
      <c r="DY387" s="5">
        <v>15065.420257550571</v>
      </c>
      <c r="DZ387" s="159">
        <v>5845.684545467815</v>
      </c>
      <c r="EB387" s="676">
        <v>-3325.3872900655588</v>
      </c>
      <c r="EC387" s="676">
        <v>-4431.6044227173879</v>
      </c>
      <c r="ED387" s="676">
        <v>-1412.4962917136108</v>
      </c>
      <c r="EE387" s="676">
        <v>3698.2970723573017</v>
      </c>
      <c r="EF387" s="676">
        <v>-5894.3212880671308</v>
      </c>
      <c r="EG387" s="676">
        <v>-5289.254594789978</v>
      </c>
      <c r="EH387" s="676">
        <v>-7814.7114812675645</v>
      </c>
      <c r="EI387" s="676">
        <v>-4100.6329931876389</v>
      </c>
      <c r="EJ387" s="676">
        <v>-5776.8670350965076</v>
      </c>
      <c r="EK387" s="676">
        <v>-4516.5208921094436</v>
      </c>
      <c r="EL387" s="676">
        <v>-6832.4439388641022</v>
      </c>
      <c r="EM387" s="676">
        <v>-6361.7081555494824</v>
      </c>
      <c r="EN387" s="676">
        <v>-52057.651311071109</v>
      </c>
      <c r="EQ387" s="5">
        <v>67635.962065690779</v>
      </c>
      <c r="ER387" s="5">
        <v>15065.420257550571</v>
      </c>
      <c r="ET387" s="318">
        <v>-3993.093998915183</v>
      </c>
      <c r="EU387" s="5">
        <v>70927.108401522637</v>
      </c>
    </row>
    <row r="388" spans="1:151" x14ac:dyDescent="0.3">
      <c r="A388" s="325">
        <v>150000914</v>
      </c>
      <c r="B388" s="41" t="s">
        <v>834</v>
      </c>
      <c r="C388" s="42" t="s">
        <v>322</v>
      </c>
      <c r="D388" s="27">
        <v>5</v>
      </c>
      <c r="E388" s="293">
        <v>2762.3</v>
      </c>
      <c r="F388" s="305">
        <v>2762.3</v>
      </c>
      <c r="G388" s="508">
        <v>0</v>
      </c>
      <c r="H388" s="677">
        <v>0</v>
      </c>
      <c r="I388" s="674">
        <v>10187.043466868245</v>
      </c>
      <c r="J388" s="40">
        <v>9664.2407266722839</v>
      </c>
      <c r="K388" s="52">
        <v>-522.80274019596072</v>
      </c>
      <c r="L388" s="674">
        <v>1960.5068703052143</v>
      </c>
      <c r="M388" s="40">
        <v>1873.5818709942835</v>
      </c>
      <c r="N388" s="52">
        <v>-86.924999310930843</v>
      </c>
      <c r="O388" s="674">
        <v>3927.6340758550186</v>
      </c>
      <c r="P388" s="40">
        <v>3928.0249999999992</v>
      </c>
      <c r="Q388" s="52">
        <v>0.39092414498054495</v>
      </c>
      <c r="R388" s="674">
        <v>0</v>
      </c>
      <c r="S388" s="40">
        <v>0</v>
      </c>
      <c r="T388" s="52">
        <v>0</v>
      </c>
      <c r="U388" s="674">
        <v>877.44131188406152</v>
      </c>
      <c r="V388" s="40">
        <v>595.81678185201747</v>
      </c>
      <c r="W388" s="52">
        <v>-281.62453003204405</v>
      </c>
      <c r="X388" s="674">
        <v>6542.5687172966591</v>
      </c>
      <c r="Y388" s="40">
        <v>5183.2387312092069</v>
      </c>
      <c r="Z388" s="52">
        <v>-1359.3299860874522</v>
      </c>
      <c r="AA388" s="674">
        <v>331.476</v>
      </c>
      <c r="AB388" s="40">
        <v>0</v>
      </c>
      <c r="AC388" s="52">
        <v>-331.476</v>
      </c>
      <c r="AD388" s="674">
        <v>11843.367574376522</v>
      </c>
      <c r="AE388" s="40">
        <v>11736.244344458724</v>
      </c>
      <c r="AF388" s="35">
        <v>-107.12322991779729</v>
      </c>
      <c r="AG388" s="77">
        <v>35670.03801658572</v>
      </c>
      <c r="AH388" s="53">
        <v>32981.147455186518</v>
      </c>
      <c r="AI388" s="52">
        <v>-2688.8905613992029</v>
      </c>
      <c r="AJ388" s="674">
        <v>0</v>
      </c>
      <c r="AK388" s="40">
        <v>0</v>
      </c>
      <c r="AL388" s="52">
        <v>0</v>
      </c>
      <c r="AM388" s="674">
        <v>0</v>
      </c>
      <c r="AN388" s="40">
        <v>0</v>
      </c>
      <c r="AO388" s="52">
        <v>0</v>
      </c>
      <c r="AP388" s="674">
        <v>4856.5817037192819</v>
      </c>
      <c r="AQ388" s="40">
        <v>4017.8374674263682</v>
      </c>
      <c r="AR388" s="52">
        <v>-838.74423629291368</v>
      </c>
      <c r="AS388" s="674">
        <v>46437.247914858883</v>
      </c>
      <c r="AT388" s="40">
        <v>24137.536527995442</v>
      </c>
      <c r="AU388" s="54">
        <v>-22299.711386863441</v>
      </c>
      <c r="AV388" s="674">
        <v>2363.4843007606978</v>
      </c>
      <c r="AW388" s="40">
        <v>0</v>
      </c>
      <c r="AX388" s="55">
        <v>-2363.4843007606978</v>
      </c>
      <c r="AY388" s="674">
        <v>3213.8517921635189</v>
      </c>
      <c r="AZ388" s="40">
        <v>4203</v>
      </c>
      <c r="BA388" s="35">
        <v>989.14820783648111</v>
      </c>
      <c r="BB388" s="674">
        <v>1375.4568379565696</v>
      </c>
      <c r="BC388" s="40">
        <v>0</v>
      </c>
      <c r="BD388" s="55">
        <v>-1375.4568379565696</v>
      </c>
      <c r="BE388" s="674">
        <v>0</v>
      </c>
      <c r="BF388" s="40">
        <v>0</v>
      </c>
      <c r="BG388" s="38">
        <v>0</v>
      </c>
      <c r="BH388" s="674">
        <v>1497.9511435155196</v>
      </c>
      <c r="BI388" s="40">
        <v>0</v>
      </c>
      <c r="BJ388" s="55">
        <v>-1497.9511435155196</v>
      </c>
      <c r="BK388" s="674">
        <v>1561.3238170740249</v>
      </c>
      <c r="BL388" s="40">
        <v>0</v>
      </c>
      <c r="BM388" s="38">
        <v>-1561.3238170740249</v>
      </c>
      <c r="BN388" s="674">
        <v>82.869</v>
      </c>
      <c r="BO388" s="40">
        <v>3397.65</v>
      </c>
      <c r="BP388" s="55">
        <v>3314.7809999999999</v>
      </c>
      <c r="BQ388" s="77">
        <v>10094.936891470332</v>
      </c>
      <c r="BR388" s="40">
        <v>7600.65</v>
      </c>
      <c r="BS388" s="55">
        <v>-2494.2868914703322</v>
      </c>
      <c r="BT388" s="674">
        <v>25424.34503350364</v>
      </c>
      <c r="BU388" s="40">
        <v>31837.884428212223</v>
      </c>
      <c r="BV388" s="52">
        <v>6413.5393947085831</v>
      </c>
      <c r="BW388" s="674">
        <v>16212.822433957779</v>
      </c>
      <c r="BX388" s="40">
        <v>15893.385509275951</v>
      </c>
      <c r="BY388" s="52">
        <v>-319.4369246818278</v>
      </c>
      <c r="BZ388" s="674">
        <v>7836.1843638850869</v>
      </c>
      <c r="CA388" s="40">
        <v>7576.7057493023221</v>
      </c>
      <c r="CB388" s="52">
        <v>-259.47861458276475</v>
      </c>
      <c r="CC388" s="674">
        <v>1454.2393973691542</v>
      </c>
      <c r="CD388" s="40">
        <v>1528.4362318597596</v>
      </c>
      <c r="CE388" s="52">
        <v>74.196834490605397</v>
      </c>
      <c r="CF388" s="674">
        <v>177.73810496473257</v>
      </c>
      <c r="CG388" s="40">
        <v>0</v>
      </c>
      <c r="CH388" s="52">
        <v>-177.73810496473257</v>
      </c>
      <c r="CI388" s="674">
        <v>6510.4034669945349</v>
      </c>
      <c r="CJ388" s="40">
        <v>11156.216371937729</v>
      </c>
      <c r="CK388" s="52">
        <v>4645.8129049431946</v>
      </c>
      <c r="CL388" s="674">
        <v>0</v>
      </c>
      <c r="CM388" s="40">
        <v>0</v>
      </c>
      <c r="CN388" s="52">
        <v>0</v>
      </c>
      <c r="CO388" s="39">
        <v>6510.4034669945349</v>
      </c>
      <c r="CP388" s="40">
        <v>11156.216371937729</v>
      </c>
      <c r="CQ388" s="52">
        <v>4645.8129049431946</v>
      </c>
      <c r="CR388" s="72">
        <v>154674.53732730911</v>
      </c>
      <c r="CS388" s="5">
        <v>136729.7997411963</v>
      </c>
      <c r="CT388" s="52">
        <v>-17944.737586112809</v>
      </c>
      <c r="CU388" s="77">
        <v>185609.44479277093</v>
      </c>
      <c r="CV388" s="65">
        <v>164075.75968943557</v>
      </c>
      <c r="CW388" s="35">
        <v>-21533.68510333536</v>
      </c>
      <c r="CX388" s="73">
        <v>9297.3781706232858</v>
      </c>
      <c r="CY388" s="40">
        <v>30831.063273958709</v>
      </c>
      <c r="CZ388" s="52">
        <v>21533.685103335425</v>
      </c>
      <c r="DA388" s="150">
        <v>-36053.695603485728</v>
      </c>
      <c r="DB388" s="2">
        <v>3</v>
      </c>
      <c r="DC388" s="675">
        <v>27959.02</v>
      </c>
      <c r="DD388" s="675">
        <v>0</v>
      </c>
      <c r="DE388" s="675">
        <v>11071.29664146615</v>
      </c>
      <c r="DF388" s="675">
        <v>0</v>
      </c>
      <c r="DG388" s="321">
        <v>-14520.01050015032</v>
      </c>
      <c r="DH388" s="40">
        <v>194891.41519660747</v>
      </c>
      <c r="DI388" s="422">
        <v>16887.723358533847</v>
      </c>
      <c r="DJ388" s="306">
        <v>6.1136456425927124</v>
      </c>
      <c r="DK388" s="306">
        <v>6.1136456425927124</v>
      </c>
      <c r="DL388" s="306">
        <v>5.4404742435281017</v>
      </c>
      <c r="DM388" s="28">
        <v>16887.723358533851</v>
      </c>
      <c r="DN388" s="28">
        <v>0</v>
      </c>
      <c r="DO388" s="423">
        <v>16887.723358533851</v>
      </c>
      <c r="DP388" s="94">
        <v>0</v>
      </c>
      <c r="DQ388" s="28">
        <v>16887.723358533851</v>
      </c>
      <c r="DR388" s="318"/>
      <c r="DT388" s="8"/>
      <c r="DU388" s="5"/>
      <c r="DX388" s="5">
        <v>67838.621767595047</v>
      </c>
      <c r="DY388" s="5">
        <v>38085.823833594528</v>
      </c>
      <c r="DZ388" s="159">
        <v>5867.445327900452</v>
      </c>
      <c r="EB388" s="676">
        <v>-1378.8360912452335</v>
      </c>
      <c r="EC388" s="676">
        <v>-3449.256939254672</v>
      </c>
      <c r="ED388" s="676">
        <v>-4494.6981528368451</v>
      </c>
      <c r="EE388" s="676">
        <v>1351.8434629584553</v>
      </c>
      <c r="EF388" s="676">
        <v>-8461.9810268017609</v>
      </c>
      <c r="EG388" s="676">
        <v>-1964.7939074612077</v>
      </c>
      <c r="EH388" s="676">
        <v>-6319.7696240217338</v>
      </c>
      <c r="EI388" s="676">
        <v>-1123.4432819340072</v>
      </c>
      <c r="EJ388" s="676">
        <v>18162.883910122284</v>
      </c>
      <c r="EK388" s="676">
        <v>-5487.6081452307753</v>
      </c>
      <c r="EL388" s="676">
        <v>-4368.7821613436026</v>
      </c>
      <c r="EM388" s="676">
        <v>-3999.2431462863078</v>
      </c>
      <c r="EN388" s="676">
        <v>-21533.685103335411</v>
      </c>
      <c r="EQ388" s="5">
        <v>67838.621767595047</v>
      </c>
      <c r="ER388" s="5">
        <v>38085.823833594528</v>
      </c>
      <c r="ET388" s="318">
        <v>-4780.0995390504322</v>
      </c>
      <c r="EU388" s="5">
        <v>14014.089038900118</v>
      </c>
    </row>
    <row r="389" spans="1:151" x14ac:dyDescent="0.3">
      <c r="A389" s="325">
        <v>150000915</v>
      </c>
      <c r="B389" s="41" t="s">
        <v>835</v>
      </c>
      <c r="C389" s="42" t="s">
        <v>323</v>
      </c>
      <c r="D389" s="27">
        <v>5</v>
      </c>
      <c r="E389" s="293">
        <v>2743.4</v>
      </c>
      <c r="F389" s="305">
        <v>2743.4</v>
      </c>
      <c r="G389" s="508">
        <v>0</v>
      </c>
      <c r="H389" s="677">
        <v>0</v>
      </c>
      <c r="I389" s="674">
        <v>10185.918916342034</v>
      </c>
      <c r="J389" s="40">
        <v>9662.0652117479185</v>
      </c>
      <c r="K389" s="52">
        <v>-523.8537045941157</v>
      </c>
      <c r="L389" s="674">
        <v>1960.5068703052143</v>
      </c>
      <c r="M389" s="40">
        <v>1873.5818709942835</v>
      </c>
      <c r="N389" s="52">
        <v>-86.924999310930843</v>
      </c>
      <c r="O389" s="674">
        <v>3927.6340758550186</v>
      </c>
      <c r="P389" s="40">
        <v>3927.8949999999986</v>
      </c>
      <c r="Q389" s="52">
        <v>0.26092414497998107</v>
      </c>
      <c r="R389" s="674">
        <v>0</v>
      </c>
      <c r="S389" s="40">
        <v>0</v>
      </c>
      <c r="T389" s="52">
        <v>0</v>
      </c>
      <c r="U389" s="674">
        <v>877.44131188406152</v>
      </c>
      <c r="V389" s="40">
        <v>595.81678185201747</v>
      </c>
      <c r="W389" s="52">
        <v>-281.62453003204405</v>
      </c>
      <c r="X389" s="674">
        <v>6541.494067529703</v>
      </c>
      <c r="Y389" s="40">
        <v>5463.264350456544</v>
      </c>
      <c r="Z389" s="52">
        <v>-1078.229717073159</v>
      </c>
      <c r="AA389" s="674">
        <v>329.20800000000003</v>
      </c>
      <c r="AB389" s="40">
        <v>0</v>
      </c>
      <c r="AC389" s="52">
        <v>-329.20800000000003</v>
      </c>
      <c r="AD389" s="674">
        <v>11762.336745120436</v>
      </c>
      <c r="AE389" s="40">
        <v>11655.943501642858</v>
      </c>
      <c r="AF389" s="35">
        <v>-106.39324347757793</v>
      </c>
      <c r="AG389" s="77">
        <v>35584.539987036464</v>
      </c>
      <c r="AH389" s="53">
        <v>33178.566716693618</v>
      </c>
      <c r="AI389" s="52">
        <v>-2405.9732703428454</v>
      </c>
      <c r="AJ389" s="674">
        <v>0</v>
      </c>
      <c r="AK389" s="40">
        <v>0</v>
      </c>
      <c r="AL389" s="52">
        <v>0</v>
      </c>
      <c r="AM389" s="674">
        <v>0</v>
      </c>
      <c r="AN389" s="40">
        <v>0</v>
      </c>
      <c r="AO389" s="52">
        <v>0</v>
      </c>
      <c r="AP389" s="674">
        <v>4856.5817037192819</v>
      </c>
      <c r="AQ389" s="40">
        <v>7320.999783844587</v>
      </c>
      <c r="AR389" s="52">
        <v>2464.4180801253051</v>
      </c>
      <c r="AS389" s="674">
        <v>42883.059613572965</v>
      </c>
      <c r="AT389" s="40">
        <v>12066.740460162382</v>
      </c>
      <c r="AU389" s="54">
        <v>-30816.319153410583</v>
      </c>
      <c r="AV389" s="674">
        <v>2363.0440347234994</v>
      </c>
      <c r="AW389" s="40">
        <v>1476.3600000000001</v>
      </c>
      <c r="AX389" s="55">
        <v>-886.68403472349928</v>
      </c>
      <c r="AY389" s="674">
        <v>3213.8517921635189</v>
      </c>
      <c r="AZ389" s="40">
        <v>1953.72</v>
      </c>
      <c r="BA389" s="35">
        <v>-1260.1317921635189</v>
      </c>
      <c r="BB389" s="674">
        <v>1375.4568379565696</v>
      </c>
      <c r="BC389" s="40">
        <v>974</v>
      </c>
      <c r="BD389" s="55">
        <v>-401.45683795656964</v>
      </c>
      <c r="BE389" s="674">
        <v>0</v>
      </c>
      <c r="BF389" s="40">
        <v>0</v>
      </c>
      <c r="BG389" s="38">
        <v>0</v>
      </c>
      <c r="BH389" s="674">
        <v>1497.9511435155196</v>
      </c>
      <c r="BI389" s="40">
        <v>0</v>
      </c>
      <c r="BJ389" s="55">
        <v>-1497.9511435155196</v>
      </c>
      <c r="BK389" s="674">
        <v>1561.0084243908864</v>
      </c>
      <c r="BL389" s="40">
        <v>939</v>
      </c>
      <c r="BM389" s="38">
        <v>-622.00842439088638</v>
      </c>
      <c r="BN389" s="674">
        <v>82.302000000000007</v>
      </c>
      <c r="BO389" s="40">
        <v>3532</v>
      </c>
      <c r="BP389" s="55">
        <v>3449.6979999999999</v>
      </c>
      <c r="BQ389" s="77">
        <v>10093.614232749993</v>
      </c>
      <c r="BR389" s="40">
        <v>8875.08</v>
      </c>
      <c r="BS389" s="55">
        <v>-1218.534232749993</v>
      </c>
      <c r="BT389" s="674">
        <v>34264.182542651746</v>
      </c>
      <c r="BU389" s="40">
        <v>31793.731737127833</v>
      </c>
      <c r="BV389" s="52">
        <v>-2470.450805523913</v>
      </c>
      <c r="BW389" s="674">
        <v>15956.104426903465</v>
      </c>
      <c r="BX389" s="40">
        <v>13581.374527959339</v>
      </c>
      <c r="BY389" s="52">
        <v>-2374.729898944126</v>
      </c>
      <c r="BZ389" s="674">
        <v>7978.2215114014698</v>
      </c>
      <c r="CA389" s="40">
        <v>7266.4495453442141</v>
      </c>
      <c r="CB389" s="52">
        <v>-711.77196605725567</v>
      </c>
      <c r="CC389" s="674">
        <v>1453.9614995290308</v>
      </c>
      <c r="CD389" s="40">
        <v>1528.1441553774632</v>
      </c>
      <c r="CE389" s="52">
        <v>74.182655848432432</v>
      </c>
      <c r="CF389" s="674">
        <v>177.70414010614957</v>
      </c>
      <c r="CG389" s="40">
        <v>1694.8729719021621</v>
      </c>
      <c r="CH389" s="52">
        <v>1517.1688317960125</v>
      </c>
      <c r="CI389" s="674">
        <v>6440.7119130037363</v>
      </c>
      <c r="CJ389" s="40">
        <v>7392.1178585659618</v>
      </c>
      <c r="CK389" s="52">
        <v>951.4059455622255</v>
      </c>
      <c r="CL389" s="674">
        <v>0</v>
      </c>
      <c r="CM389" s="40">
        <v>0</v>
      </c>
      <c r="CN389" s="52">
        <v>0</v>
      </c>
      <c r="CO389" s="39">
        <v>6440.7119130037363</v>
      </c>
      <c r="CP389" s="40">
        <v>7392.1178585659618</v>
      </c>
      <c r="CQ389" s="52">
        <v>951.4059455622255</v>
      </c>
      <c r="CR389" s="72">
        <v>159688.68157067429</v>
      </c>
      <c r="CS389" s="5">
        <v>124698.07775697758</v>
      </c>
      <c r="CT389" s="52">
        <v>-34990.603813696711</v>
      </c>
      <c r="CU389" s="77">
        <v>191626.41788480914</v>
      </c>
      <c r="CV389" s="65">
        <v>149637.6933083731</v>
      </c>
      <c r="CW389" s="35">
        <v>-41988.724576436041</v>
      </c>
      <c r="CX389" s="73">
        <v>5034.0157122348755</v>
      </c>
      <c r="CY389" s="40">
        <v>47022.74028867099</v>
      </c>
      <c r="CZ389" s="52">
        <v>41988.724576436114</v>
      </c>
      <c r="DA389" s="150">
        <v>3886.4424901766179</v>
      </c>
      <c r="DB389" s="2">
        <v>3</v>
      </c>
      <c r="DC389" s="675">
        <v>33512.120000000003</v>
      </c>
      <c r="DD389" s="675">
        <v>0</v>
      </c>
      <c r="DE389" s="675">
        <v>16271.659364242925</v>
      </c>
      <c r="DF389" s="675">
        <v>0</v>
      </c>
      <c r="DG389" s="321">
        <v>45875.167066612725</v>
      </c>
      <c r="DH389" s="40">
        <v>196645.53599313245</v>
      </c>
      <c r="DI389" s="422">
        <v>17240.460635757081</v>
      </c>
      <c r="DJ389" s="306">
        <v>6.2843408309969666</v>
      </c>
      <c r="DK389" s="306">
        <v>6.2843408309969666</v>
      </c>
      <c r="DL389" s="306">
        <v>5.6363329424725261</v>
      </c>
      <c r="DM389" s="28">
        <v>17240.460635757077</v>
      </c>
      <c r="DN389" s="28">
        <v>0</v>
      </c>
      <c r="DO389" s="423">
        <v>17240.460635757077</v>
      </c>
      <c r="DP389" s="94">
        <v>0</v>
      </c>
      <c r="DQ389" s="28">
        <v>17240.460635757077</v>
      </c>
      <c r="DR389" s="318"/>
      <c r="DT389" s="8"/>
      <c r="DU389" s="5"/>
      <c r="DX389" s="5">
        <v>63572.008615587547</v>
      </c>
      <c r="DY389" s="5">
        <v>25130.184552194856</v>
      </c>
      <c r="DZ389" s="159">
        <v>5633.1009975854986</v>
      </c>
      <c r="EB389" s="676">
        <v>-1177.1733560228658</v>
      </c>
      <c r="EC389" s="676">
        <v>-3064.9517201249728</v>
      </c>
      <c r="ED389" s="676">
        <v>-3770.6101843957658</v>
      </c>
      <c r="EE389" s="676">
        <v>-5701.4792264366479</v>
      </c>
      <c r="EF389" s="676">
        <v>-3997.9075049100265</v>
      </c>
      <c r="EG389" s="676">
        <v>221.99810459990113</v>
      </c>
      <c r="EH389" s="676">
        <v>-4374.8967090090191</v>
      </c>
      <c r="EI389" s="676">
        <v>-4994.5411950007383</v>
      </c>
      <c r="EJ389" s="676">
        <v>-7237.8406820347227</v>
      </c>
      <c r="EK389" s="676">
        <v>-1772.8908261126908</v>
      </c>
      <c r="EL389" s="676">
        <v>-5471.6191773803876</v>
      </c>
      <c r="EM389" s="676">
        <v>-646.81209960817068</v>
      </c>
      <c r="EN389" s="676">
        <v>-41988.724576436107</v>
      </c>
      <c r="EQ389" s="5">
        <v>63572.008615587547</v>
      </c>
      <c r="ER389" s="5">
        <v>25130.184552194856</v>
      </c>
      <c r="ET389" s="318">
        <v>57434.196773694704</v>
      </c>
      <c r="EU389" s="5">
        <v>17160.970292918031</v>
      </c>
    </row>
    <row r="390" spans="1:151" x14ac:dyDescent="0.3">
      <c r="A390" s="325">
        <v>150000916</v>
      </c>
      <c r="B390" s="41" t="s">
        <v>836</v>
      </c>
      <c r="C390" s="42" t="s">
        <v>324</v>
      </c>
      <c r="D390" s="27">
        <v>5</v>
      </c>
      <c r="E390" s="293">
        <v>5790.5899999999992</v>
      </c>
      <c r="F390" s="305">
        <v>5601.9</v>
      </c>
      <c r="G390" s="508">
        <v>0</v>
      </c>
      <c r="H390" s="677">
        <v>188.69</v>
      </c>
      <c r="I390" s="674">
        <v>20074.917894109745</v>
      </c>
      <c r="J390" s="40">
        <v>19064.540236540011</v>
      </c>
      <c r="K390" s="52">
        <v>-1010.3776575697339</v>
      </c>
      <c r="L390" s="674">
        <v>3949.9191143903472</v>
      </c>
      <c r="M390" s="40">
        <v>3774.8146435210483</v>
      </c>
      <c r="N390" s="52">
        <v>-175.10447086929889</v>
      </c>
      <c r="O390" s="674">
        <v>8233.4155547781975</v>
      </c>
      <c r="P390" s="40">
        <v>8234.73</v>
      </c>
      <c r="Q390" s="52">
        <v>1.3144452218020888</v>
      </c>
      <c r="R390" s="674">
        <v>0</v>
      </c>
      <c r="S390" s="40">
        <v>0</v>
      </c>
      <c r="T390" s="52">
        <v>0</v>
      </c>
      <c r="U390" s="674">
        <v>1836.059988105827</v>
      </c>
      <c r="V390" s="40">
        <v>1246.8198723652665</v>
      </c>
      <c r="W390" s="52">
        <v>-589.24011574056044</v>
      </c>
      <c r="X390" s="674">
        <v>17913.188089573898</v>
      </c>
      <c r="Y390" s="40">
        <v>15071.571012116668</v>
      </c>
      <c r="Z390" s="52">
        <v>-2841.6170774572292</v>
      </c>
      <c r="AA390" s="674">
        <v>702.32400000000007</v>
      </c>
      <c r="AB390" s="40">
        <v>0</v>
      </c>
      <c r="AC390" s="52">
        <v>-702.32400000000007</v>
      </c>
      <c r="AD390" s="674">
        <v>24879.355599310147</v>
      </c>
      <c r="AE390" s="40">
        <v>24602.476642658978</v>
      </c>
      <c r="AF390" s="35">
        <v>-276.87895665116957</v>
      </c>
      <c r="AG390" s="77">
        <v>77589.180240268179</v>
      </c>
      <c r="AH390" s="53">
        <v>71994.95240720197</v>
      </c>
      <c r="AI390" s="52">
        <v>-5594.2278330662084</v>
      </c>
      <c r="AJ390" s="674">
        <v>0</v>
      </c>
      <c r="AK390" s="40">
        <v>0</v>
      </c>
      <c r="AL390" s="52">
        <v>0</v>
      </c>
      <c r="AM390" s="674">
        <v>0</v>
      </c>
      <c r="AN390" s="40">
        <v>0</v>
      </c>
      <c r="AO390" s="52">
        <v>0</v>
      </c>
      <c r="AP390" s="674">
        <v>9308.4482654619569</v>
      </c>
      <c r="AQ390" s="40">
        <v>9212.86684770176</v>
      </c>
      <c r="AR390" s="52">
        <v>-95.581417760196928</v>
      </c>
      <c r="AS390" s="674">
        <v>90180.057531111379</v>
      </c>
      <c r="AT390" s="40">
        <v>37460.174859093488</v>
      </c>
      <c r="AU390" s="54">
        <v>-52719.882672017891</v>
      </c>
      <c r="AV390" s="674">
        <v>4677.6021102988252</v>
      </c>
      <c r="AW390" s="40">
        <v>1785.05</v>
      </c>
      <c r="AX390" s="55">
        <v>-2892.552110298825</v>
      </c>
      <c r="AY390" s="674">
        <v>6475.2556090396311</v>
      </c>
      <c r="AZ390" s="40">
        <v>4061.03</v>
      </c>
      <c r="BA390" s="35">
        <v>-2414.2256090396309</v>
      </c>
      <c r="BB390" s="674">
        <v>2994.6375180210016</v>
      </c>
      <c r="BC390" s="40">
        <v>14079</v>
      </c>
      <c r="BD390" s="55">
        <v>11084.362481978998</v>
      </c>
      <c r="BE390" s="674">
        <v>0</v>
      </c>
      <c r="BF390" s="40">
        <v>0</v>
      </c>
      <c r="BG390" s="38">
        <v>0</v>
      </c>
      <c r="BH390" s="674">
        <v>3134.6721921477197</v>
      </c>
      <c r="BI390" s="40">
        <v>0</v>
      </c>
      <c r="BJ390" s="55">
        <v>-3134.6721921477197</v>
      </c>
      <c r="BK390" s="674">
        <v>4962.348219489596</v>
      </c>
      <c r="BL390" s="40">
        <v>0</v>
      </c>
      <c r="BM390" s="38">
        <v>-4962.348219489596</v>
      </c>
      <c r="BN390" s="674">
        <v>175.58100000000002</v>
      </c>
      <c r="BO390" s="40">
        <v>0</v>
      </c>
      <c r="BP390" s="55">
        <v>-175.58100000000002</v>
      </c>
      <c r="BQ390" s="77">
        <v>22420.096648996769</v>
      </c>
      <c r="BR390" s="40">
        <v>19925.080000000002</v>
      </c>
      <c r="BS390" s="55">
        <v>-2495.0166489967669</v>
      </c>
      <c r="BT390" s="674">
        <v>47948.742946414772</v>
      </c>
      <c r="BU390" s="40">
        <v>57434.860769339517</v>
      </c>
      <c r="BV390" s="52">
        <v>9486.1178229247453</v>
      </c>
      <c r="BW390" s="674">
        <v>33309.912370913349</v>
      </c>
      <c r="BX390" s="40">
        <v>31968.39880693331</v>
      </c>
      <c r="BY390" s="52">
        <v>-1341.5135639800392</v>
      </c>
      <c r="BZ390" s="674">
        <v>8636.7081638800883</v>
      </c>
      <c r="CA390" s="40">
        <v>7521.4469584868275</v>
      </c>
      <c r="CB390" s="52">
        <v>-1115.2612053932608</v>
      </c>
      <c r="CC390" s="674">
        <v>2199.561404581857</v>
      </c>
      <c r="CD390" s="40">
        <v>2311.785357380088</v>
      </c>
      <c r="CE390" s="52">
        <v>112.22395279823104</v>
      </c>
      <c r="CF390" s="674">
        <v>268.83185568428399</v>
      </c>
      <c r="CG390" s="40">
        <v>1129.9153146014414</v>
      </c>
      <c r="CH390" s="52">
        <v>861.08345891715749</v>
      </c>
      <c r="CI390" s="674">
        <v>4154.7369922643011</v>
      </c>
      <c r="CJ390" s="40">
        <v>9189.2095178928757</v>
      </c>
      <c r="CK390" s="52">
        <v>5034.4725256285747</v>
      </c>
      <c r="CL390" s="674">
        <v>0</v>
      </c>
      <c r="CM390" s="40">
        <v>0</v>
      </c>
      <c r="CN390" s="52">
        <v>0</v>
      </c>
      <c r="CO390" s="39">
        <v>4154.7369922643011</v>
      </c>
      <c r="CP390" s="40">
        <v>9189.2095178928757</v>
      </c>
      <c r="CQ390" s="52">
        <v>5034.4725256285747</v>
      </c>
      <c r="CR390" s="72">
        <v>296016.27641957696</v>
      </c>
      <c r="CS390" s="5">
        <v>248148.6908386313</v>
      </c>
      <c r="CT390" s="52">
        <v>-47867.585580945655</v>
      </c>
      <c r="CU390" s="77">
        <v>355219.53170349234</v>
      </c>
      <c r="CV390" s="65">
        <v>297778.42900635756</v>
      </c>
      <c r="CW390" s="35">
        <v>-57441.102697134775</v>
      </c>
      <c r="CX390" s="73">
        <v>16961.730019527367</v>
      </c>
      <c r="CY390" s="40">
        <v>74402.832716662117</v>
      </c>
      <c r="CZ390" s="52">
        <v>57441.102697134746</v>
      </c>
      <c r="DA390" s="150">
        <v>-60142.92910513105</v>
      </c>
      <c r="DB390" s="2">
        <v>3</v>
      </c>
      <c r="DC390" s="675">
        <v>70692.89</v>
      </c>
      <c r="DD390" s="675">
        <v>447.29999999999995</v>
      </c>
      <c r="DE390" s="675">
        <v>39374.42873823666</v>
      </c>
      <c r="DF390" s="675">
        <v>-479.42947035038787</v>
      </c>
      <c r="DG390" s="321">
        <v>-2701.8264079962901</v>
      </c>
      <c r="DH390" s="40">
        <v>372151.83199889801</v>
      </c>
      <c r="DI390" s="422">
        <v>32245.190732113726</v>
      </c>
      <c r="DJ390" s="306">
        <v>5.5906855284391614</v>
      </c>
      <c r="DK390" s="306">
        <v>5.5906855284391614</v>
      </c>
      <c r="DL390" s="306">
        <v>4.9113862438411564</v>
      </c>
      <c r="DM390" s="28">
        <v>31318.461261763336</v>
      </c>
      <c r="DN390" s="28">
        <v>926.72947035038783</v>
      </c>
      <c r="DO390" s="423">
        <v>32245.190732113722</v>
      </c>
      <c r="DP390" s="94">
        <v>0</v>
      </c>
      <c r="DQ390" s="28">
        <v>32245.190732113722</v>
      </c>
      <c r="DR390" s="318"/>
      <c r="DT390" s="8"/>
      <c r="DU390" s="5"/>
      <c r="DX390" s="5">
        <v>135120.18501612978</v>
      </c>
      <c r="DY390" s="5">
        <v>68862.305830912184</v>
      </c>
      <c r="DZ390" s="159">
        <v>11334.048642883639</v>
      </c>
      <c r="EB390" s="676">
        <v>-6089.9095496366754</v>
      </c>
      <c r="EC390" s="676">
        <v>-2547.9276615085109</v>
      </c>
      <c r="ED390" s="676">
        <v>-4230.4508343649868</v>
      </c>
      <c r="EE390" s="676">
        <v>-1012.5267587601957</v>
      </c>
      <c r="EF390" s="676">
        <v>-7683.482676144773</v>
      </c>
      <c r="EG390" s="676">
        <v>-7482.1787008439896</v>
      </c>
      <c r="EH390" s="676">
        <v>-10996.785800774978</v>
      </c>
      <c r="EI390" s="676">
        <v>2539.5708900833633</v>
      </c>
      <c r="EJ390" s="676">
        <v>-6819.0831344759827</v>
      </c>
      <c r="EK390" s="676">
        <v>-7120.3828891109843</v>
      </c>
      <c r="EL390" s="676">
        <v>-7503.6017911523486</v>
      </c>
      <c r="EM390" s="676">
        <v>1505.6562095553054</v>
      </c>
      <c r="EN390" s="676">
        <v>-57441.10269713476</v>
      </c>
      <c r="EQ390" s="5">
        <v>135120.18501612978</v>
      </c>
      <c r="ER390" s="5">
        <v>68862.305830912184</v>
      </c>
      <c r="ET390" s="318">
        <v>160016.53968214587</v>
      </c>
      <c r="EU390" s="5">
        <v>-57874.366090142154</v>
      </c>
    </row>
    <row r="391" spans="1:151" x14ac:dyDescent="0.3">
      <c r="A391" s="325">
        <v>150000917</v>
      </c>
      <c r="B391" s="41" t="s">
        <v>837</v>
      </c>
      <c r="C391" s="42" t="s">
        <v>325</v>
      </c>
      <c r="D391" s="27">
        <v>5</v>
      </c>
      <c r="E391" s="293">
        <v>4445.5</v>
      </c>
      <c r="F391" s="305">
        <v>4445.5</v>
      </c>
      <c r="G391" s="508">
        <v>0</v>
      </c>
      <c r="H391" s="677">
        <v>0</v>
      </c>
      <c r="I391" s="674">
        <v>15371.562125387551</v>
      </c>
      <c r="J391" s="40">
        <v>14597.05274086345</v>
      </c>
      <c r="K391" s="52">
        <v>-774.50938452410082</v>
      </c>
      <c r="L391" s="674">
        <v>2970.6368899971271</v>
      </c>
      <c r="M391" s="40">
        <v>2838.9401352265268</v>
      </c>
      <c r="N391" s="52">
        <v>-131.69675477060036</v>
      </c>
      <c r="O391" s="674">
        <v>6157.6071995465754</v>
      </c>
      <c r="P391" s="40">
        <v>6157.2749999999996</v>
      </c>
      <c r="Q391" s="52">
        <v>-0.33219954657579365</v>
      </c>
      <c r="R391" s="674">
        <v>0</v>
      </c>
      <c r="S391" s="40">
        <v>0</v>
      </c>
      <c r="T391" s="52">
        <v>0</v>
      </c>
      <c r="U391" s="674">
        <v>1186.2563123962695</v>
      </c>
      <c r="V391" s="40">
        <v>805.55164525124144</v>
      </c>
      <c r="W391" s="52">
        <v>-380.70466714502811</v>
      </c>
      <c r="X391" s="674">
        <v>11447.356196635477</v>
      </c>
      <c r="Y391" s="40">
        <v>9411.0644138316675</v>
      </c>
      <c r="Z391" s="52">
        <v>-2036.2917828038098</v>
      </c>
      <c r="AA391" s="674">
        <v>533.48400000000004</v>
      </c>
      <c r="AB391" s="40">
        <v>0</v>
      </c>
      <c r="AC391" s="52">
        <v>-533.48400000000004</v>
      </c>
      <c r="AD391" s="674">
        <v>19060.316657609786</v>
      </c>
      <c r="AE391" s="40">
        <v>18887.692949097222</v>
      </c>
      <c r="AF391" s="35">
        <v>-172.62370851256492</v>
      </c>
      <c r="AG391" s="77">
        <v>56727.219381572781</v>
      </c>
      <c r="AH391" s="53">
        <v>52697.576884270107</v>
      </c>
      <c r="AI391" s="52">
        <v>-4029.6424973026733</v>
      </c>
      <c r="AJ391" s="674">
        <v>0</v>
      </c>
      <c r="AK391" s="40">
        <v>0</v>
      </c>
      <c r="AL391" s="52">
        <v>0</v>
      </c>
      <c r="AM391" s="674">
        <v>0</v>
      </c>
      <c r="AN391" s="40">
        <v>0</v>
      </c>
      <c r="AO391" s="52">
        <v>0</v>
      </c>
      <c r="AP391" s="674">
        <v>7284.8725555789233</v>
      </c>
      <c r="AQ391" s="40">
        <v>7049.9284155567639</v>
      </c>
      <c r="AR391" s="52">
        <v>-234.94414002215944</v>
      </c>
      <c r="AS391" s="674">
        <v>64828.034603163651</v>
      </c>
      <c r="AT391" s="40">
        <v>37204.94</v>
      </c>
      <c r="AU391" s="54">
        <v>-27623.094603163649</v>
      </c>
      <c r="AV391" s="674">
        <v>3562.0436989746513</v>
      </c>
      <c r="AW391" s="40">
        <v>3114</v>
      </c>
      <c r="AX391" s="55">
        <v>-448.04369897465131</v>
      </c>
      <c r="AY391" s="674">
        <v>4869.8808961822733</v>
      </c>
      <c r="AZ391" s="40">
        <v>2590</v>
      </c>
      <c r="BA391" s="35">
        <v>-2279.8808961822733</v>
      </c>
      <c r="BB391" s="674">
        <v>2328.1250912934279</v>
      </c>
      <c r="BC391" s="40">
        <v>0</v>
      </c>
      <c r="BD391" s="55">
        <v>-2328.1250912934279</v>
      </c>
      <c r="BE391" s="674">
        <v>0</v>
      </c>
      <c r="BF391" s="40">
        <v>0</v>
      </c>
      <c r="BG391" s="38">
        <v>0</v>
      </c>
      <c r="BH391" s="674">
        <v>2024.9600350327316</v>
      </c>
      <c r="BI391" s="40">
        <v>0</v>
      </c>
      <c r="BJ391" s="55">
        <v>-2024.9600350327316</v>
      </c>
      <c r="BK391" s="674">
        <v>3097.7022761599796</v>
      </c>
      <c r="BL391" s="40">
        <v>459</v>
      </c>
      <c r="BM391" s="38">
        <v>-2638.7022761599796</v>
      </c>
      <c r="BN391" s="674">
        <v>133.37100000000001</v>
      </c>
      <c r="BO391" s="40">
        <v>5059.13</v>
      </c>
      <c r="BP391" s="55">
        <v>4925.759</v>
      </c>
      <c r="BQ391" s="77">
        <v>16016.082997643063</v>
      </c>
      <c r="BR391" s="40">
        <v>11222.130000000001</v>
      </c>
      <c r="BS391" s="55">
        <v>-4793.9529976430622</v>
      </c>
      <c r="BT391" s="674">
        <v>48936.965927915553</v>
      </c>
      <c r="BU391" s="40">
        <v>52364.116454481809</v>
      </c>
      <c r="BV391" s="52">
        <v>3427.1505265662563</v>
      </c>
      <c r="BW391" s="674">
        <v>24150.516664622875</v>
      </c>
      <c r="BX391" s="40">
        <v>24306.659827524487</v>
      </c>
      <c r="BY391" s="52">
        <v>156.1431629016115</v>
      </c>
      <c r="BZ391" s="674">
        <v>7921.9708446364721</v>
      </c>
      <c r="CA391" s="40">
        <v>11075.882518581973</v>
      </c>
      <c r="CB391" s="52">
        <v>3153.9116739455012</v>
      </c>
      <c r="CC391" s="674">
        <v>2610.0165144450798</v>
      </c>
      <c r="CD391" s="40">
        <v>2743.1823217326328</v>
      </c>
      <c r="CE391" s="52">
        <v>133.16580728755298</v>
      </c>
      <c r="CF391" s="674">
        <v>318.99795181134499</v>
      </c>
      <c r="CG391" s="40">
        <v>0</v>
      </c>
      <c r="CH391" s="52">
        <v>-318.99795181134499</v>
      </c>
      <c r="CI391" s="674">
        <v>5702.2278986432193</v>
      </c>
      <c r="CJ391" s="40">
        <v>5109.6498426407979</v>
      </c>
      <c r="CK391" s="52">
        <v>-592.57805600242136</v>
      </c>
      <c r="CL391" s="674">
        <v>0</v>
      </c>
      <c r="CM391" s="40">
        <v>0</v>
      </c>
      <c r="CN391" s="52">
        <v>0</v>
      </c>
      <c r="CO391" s="39">
        <v>5702.2278986432193</v>
      </c>
      <c r="CP391" s="40">
        <v>5109.6498426407979</v>
      </c>
      <c r="CQ391" s="52">
        <v>-592.57805600242136</v>
      </c>
      <c r="CR391" s="72">
        <v>234496.90534003294</v>
      </c>
      <c r="CS391" s="5">
        <v>203774.06626478856</v>
      </c>
      <c r="CT391" s="52">
        <v>-30722.839075244381</v>
      </c>
      <c r="CU391" s="77">
        <v>281396.28640803951</v>
      </c>
      <c r="CV391" s="65">
        <v>244528.87951774627</v>
      </c>
      <c r="CW391" s="35">
        <v>-36867.406890293234</v>
      </c>
      <c r="CX391" s="73">
        <v>14094.395818292529</v>
      </c>
      <c r="CY391" s="40">
        <v>50961.802708585848</v>
      </c>
      <c r="CZ391" s="52">
        <v>36867.406890293321</v>
      </c>
      <c r="DA391" s="150">
        <v>-64585.012926534902</v>
      </c>
      <c r="DB391" s="2">
        <v>3</v>
      </c>
      <c r="DC391" s="675">
        <v>105276.55</v>
      </c>
      <c r="DD391" s="675">
        <v>0</v>
      </c>
      <c r="DE391" s="675">
        <v>79377.859630419101</v>
      </c>
      <c r="DF391" s="675">
        <v>0</v>
      </c>
      <c r="DG391" s="321">
        <v>-27717.606036241588</v>
      </c>
      <c r="DH391" s="40">
        <v>295468.27908348775</v>
      </c>
      <c r="DI391" s="422">
        <v>25898.690369580901</v>
      </c>
      <c r="DJ391" s="306">
        <v>5.8258217005018338</v>
      </c>
      <c r="DK391" s="306">
        <v>5.8258217005018338</v>
      </c>
      <c r="DL391" s="306">
        <v>5.2027302836150042</v>
      </c>
      <c r="DM391" s="28">
        <v>25898.690369580901</v>
      </c>
      <c r="DN391" s="28">
        <v>0</v>
      </c>
      <c r="DO391" s="423">
        <v>25898.690369580901</v>
      </c>
      <c r="DP391" s="94">
        <v>0</v>
      </c>
      <c r="DQ391" s="28">
        <v>25898.690369580901</v>
      </c>
      <c r="DR391" s="318"/>
      <c r="DT391" s="8"/>
      <c r="DU391" s="5"/>
      <c r="DX391" s="5">
        <v>97012.941120968055</v>
      </c>
      <c r="DY391" s="5">
        <v>58112.484000000004</v>
      </c>
      <c r="DZ391" s="159">
        <v>8321.9536839918783</v>
      </c>
      <c r="EB391" s="676">
        <v>-6108.3216580043209</v>
      </c>
      <c r="EC391" s="676">
        <v>-3876.0493624555402</v>
      </c>
      <c r="ED391" s="676">
        <v>-5167.0672283752338</v>
      </c>
      <c r="EE391" s="676">
        <v>-5411.303850223554</v>
      </c>
      <c r="EF391" s="676">
        <v>3332.4697040739957</v>
      </c>
      <c r="EG391" s="676">
        <v>5310.5823774474229</v>
      </c>
      <c r="EH391" s="676">
        <v>-10407.686469393569</v>
      </c>
      <c r="EI391" s="676">
        <v>-4890.0806087878009</v>
      </c>
      <c r="EJ391" s="676">
        <v>8317.7311157386612</v>
      </c>
      <c r="EK391" s="676">
        <v>-8036.7679832562826</v>
      </c>
      <c r="EL391" s="676">
        <v>-8795.2300669994875</v>
      </c>
      <c r="EM391" s="676">
        <v>-1135.6828600576046</v>
      </c>
      <c r="EN391" s="676">
        <v>-36867.406890293314</v>
      </c>
      <c r="EQ391" s="5">
        <v>97012.941120968055</v>
      </c>
      <c r="ER391" s="5">
        <v>58112.484000000004</v>
      </c>
      <c r="ET391" s="318">
        <v>-55856.383589734403</v>
      </c>
      <c r="EU391" s="5">
        <v>-8572.2224465071922</v>
      </c>
    </row>
    <row r="392" spans="1:151" x14ac:dyDescent="0.3">
      <c r="A392" s="325">
        <v>150000918</v>
      </c>
      <c r="B392" s="41" t="s">
        <v>838</v>
      </c>
      <c r="C392" s="42" t="s">
        <v>326</v>
      </c>
      <c r="D392" s="27">
        <v>5</v>
      </c>
      <c r="E392" s="293">
        <v>4591.2</v>
      </c>
      <c r="F392" s="305">
        <v>4591.2</v>
      </c>
      <c r="G392" s="508">
        <v>0</v>
      </c>
      <c r="H392" s="677">
        <v>0</v>
      </c>
      <c r="I392" s="674">
        <v>15983.266584145724</v>
      </c>
      <c r="J392" s="40">
        <v>15181.188362135335</v>
      </c>
      <c r="K392" s="52">
        <v>-802.07822201038834</v>
      </c>
      <c r="L392" s="674">
        <v>3342.3240879311797</v>
      </c>
      <c r="M392" s="40">
        <v>3194.1488919425392</v>
      </c>
      <c r="N392" s="52">
        <v>-148.17519598864055</v>
      </c>
      <c r="O392" s="674">
        <v>6379.7906207465012</v>
      </c>
      <c r="P392" s="40">
        <v>6381.614999999998</v>
      </c>
      <c r="Q392" s="52">
        <v>1.8243792534967724</v>
      </c>
      <c r="R392" s="674">
        <v>0</v>
      </c>
      <c r="S392" s="40">
        <v>0</v>
      </c>
      <c r="T392" s="52">
        <v>0</v>
      </c>
      <c r="U392" s="674">
        <v>1186.2563123962695</v>
      </c>
      <c r="V392" s="40">
        <v>805.55164525124144</v>
      </c>
      <c r="W392" s="52">
        <v>-380.70466714502811</v>
      </c>
      <c r="X392" s="674">
        <v>11743.396639070017</v>
      </c>
      <c r="Y392" s="40">
        <v>9737.7237207445251</v>
      </c>
      <c r="Z392" s="52">
        <v>-2005.672918325492</v>
      </c>
      <c r="AA392" s="674">
        <v>550.63200000000006</v>
      </c>
      <c r="AB392" s="40">
        <v>0</v>
      </c>
      <c r="AC392" s="52">
        <v>-550.63200000000006</v>
      </c>
      <c r="AD392" s="674">
        <v>19681.96934230316</v>
      </c>
      <c r="AE392" s="40">
        <v>19505.148099878581</v>
      </c>
      <c r="AF392" s="35">
        <v>-176.8212424245794</v>
      </c>
      <c r="AG392" s="77">
        <v>58867.635586592849</v>
      </c>
      <c r="AH392" s="53">
        <v>54805.375719952222</v>
      </c>
      <c r="AI392" s="52">
        <v>-4062.2598666406266</v>
      </c>
      <c r="AJ392" s="674">
        <v>0</v>
      </c>
      <c r="AK392" s="40">
        <v>0</v>
      </c>
      <c r="AL392" s="52">
        <v>0</v>
      </c>
      <c r="AM392" s="674">
        <v>0</v>
      </c>
      <c r="AN392" s="40">
        <v>0</v>
      </c>
      <c r="AO392" s="52">
        <v>0</v>
      </c>
      <c r="AP392" s="674">
        <v>13220.69463790249</v>
      </c>
      <c r="AQ392" s="40">
        <v>12205.457941224944</v>
      </c>
      <c r="AR392" s="52">
        <v>-1015.2366966775462</v>
      </c>
      <c r="AS392" s="674">
        <v>55822.332172081537</v>
      </c>
      <c r="AT392" s="40">
        <v>97181.413929175338</v>
      </c>
      <c r="AU392" s="54">
        <v>41359.081757093802</v>
      </c>
      <c r="AV392" s="674">
        <v>3643.655387626653</v>
      </c>
      <c r="AW392" s="40">
        <v>1459</v>
      </c>
      <c r="AX392" s="55">
        <v>-2184.655387626653</v>
      </c>
      <c r="AY392" s="674">
        <v>5479.1355441592132</v>
      </c>
      <c r="AZ392" s="40">
        <v>9201.9500000000007</v>
      </c>
      <c r="BA392" s="35">
        <v>3722.8144558407876</v>
      </c>
      <c r="BB392" s="674">
        <v>2426.3569478835379</v>
      </c>
      <c r="BC392" s="40">
        <v>1681</v>
      </c>
      <c r="BD392" s="55">
        <v>-745.35694788353794</v>
      </c>
      <c r="BE392" s="674">
        <v>0</v>
      </c>
      <c r="BF392" s="40">
        <v>0</v>
      </c>
      <c r="BG392" s="38">
        <v>0</v>
      </c>
      <c r="BH392" s="674">
        <v>2024.9600350327316</v>
      </c>
      <c r="BI392" s="40">
        <v>0</v>
      </c>
      <c r="BJ392" s="55">
        <v>-2024.9600350327316</v>
      </c>
      <c r="BK392" s="674">
        <v>3199.2956889658872</v>
      </c>
      <c r="BL392" s="40">
        <v>1069</v>
      </c>
      <c r="BM392" s="38">
        <v>-2130.2956889658872</v>
      </c>
      <c r="BN392" s="674">
        <v>137.65800000000002</v>
      </c>
      <c r="BO392" s="40">
        <v>0</v>
      </c>
      <c r="BP392" s="55">
        <v>-137.65800000000002</v>
      </c>
      <c r="BQ392" s="77">
        <v>16911.061603668022</v>
      </c>
      <c r="BR392" s="40">
        <v>13410.95</v>
      </c>
      <c r="BS392" s="55">
        <v>-3500.1116036680214</v>
      </c>
      <c r="BT392" s="674">
        <v>39720.529006012002</v>
      </c>
      <c r="BU392" s="40">
        <v>43652.664031256914</v>
      </c>
      <c r="BV392" s="52">
        <v>3932.135025244912</v>
      </c>
      <c r="BW392" s="674">
        <v>23730.291725634423</v>
      </c>
      <c r="BX392" s="40">
        <v>24228.008941886092</v>
      </c>
      <c r="BY392" s="52">
        <v>497.71721625166902</v>
      </c>
      <c r="BZ392" s="674">
        <v>8739.3229212221304</v>
      </c>
      <c r="CA392" s="40">
        <v>9911.8554857406198</v>
      </c>
      <c r="CB392" s="52">
        <v>1172.5325645184894</v>
      </c>
      <c r="CC392" s="674">
        <v>1518.9895941180584</v>
      </c>
      <c r="CD392" s="40">
        <v>1596.4900522349412</v>
      </c>
      <c r="CE392" s="52">
        <v>77.500458116882783</v>
      </c>
      <c r="CF392" s="674">
        <v>185.65191701456686</v>
      </c>
      <c r="CG392" s="40">
        <v>0</v>
      </c>
      <c r="CH392" s="52">
        <v>-185.65191701456686</v>
      </c>
      <c r="CI392" s="674">
        <v>7506.558085607664</v>
      </c>
      <c r="CJ392" s="40">
        <v>8528.0096467825242</v>
      </c>
      <c r="CK392" s="52">
        <v>1021.4515611748602</v>
      </c>
      <c r="CL392" s="674">
        <v>0</v>
      </c>
      <c r="CM392" s="40">
        <v>0</v>
      </c>
      <c r="CN392" s="52">
        <v>0</v>
      </c>
      <c r="CO392" s="39">
        <v>7506.558085607664</v>
      </c>
      <c r="CP392" s="40">
        <v>8528.0096467825242</v>
      </c>
      <c r="CQ392" s="52">
        <v>1021.4515611748602</v>
      </c>
      <c r="CR392" s="72">
        <v>226223.06724985372</v>
      </c>
      <c r="CS392" s="5">
        <v>265520.22574825358</v>
      </c>
      <c r="CT392" s="52">
        <v>39297.158498399862</v>
      </c>
      <c r="CU392" s="77">
        <v>271467.68069982447</v>
      </c>
      <c r="CV392" s="65">
        <v>318624.27089790429</v>
      </c>
      <c r="CW392" s="35">
        <v>47156.590198079823</v>
      </c>
      <c r="CX392" s="73">
        <v>12962.837914395212</v>
      </c>
      <c r="CY392" s="40">
        <v>-34193.752283684647</v>
      </c>
      <c r="CZ392" s="52">
        <v>-47156.590198079859</v>
      </c>
      <c r="DA392" s="150">
        <v>-63419.804061388742</v>
      </c>
      <c r="DB392" s="2">
        <v>3</v>
      </c>
      <c r="DC392" s="675">
        <v>73278.62</v>
      </c>
      <c r="DD392" s="675">
        <v>0</v>
      </c>
      <c r="DE392" s="675">
        <v>48644.833583759202</v>
      </c>
      <c r="DF392" s="675">
        <v>0</v>
      </c>
      <c r="DG392" s="321">
        <v>-110576.39425946859</v>
      </c>
      <c r="DH392" s="40">
        <v>284407.99916203041</v>
      </c>
      <c r="DI392" s="422">
        <v>24633.786416240797</v>
      </c>
      <c r="DJ392" s="306">
        <v>5.365435271005575</v>
      </c>
      <c r="DK392" s="306">
        <v>5.365435271005575</v>
      </c>
      <c r="DL392" s="306">
        <v>4.7751047071439183</v>
      </c>
      <c r="DM392" s="28">
        <v>24633.786416240797</v>
      </c>
      <c r="DN392" s="28">
        <v>0</v>
      </c>
      <c r="DO392" s="423">
        <v>24633.786416240797</v>
      </c>
      <c r="DP392" s="94">
        <v>0</v>
      </c>
      <c r="DQ392" s="28">
        <v>24633.786416240797</v>
      </c>
      <c r="DR392" s="318"/>
      <c r="DT392" s="8"/>
      <c r="DU392" s="5"/>
      <c r="DX392" s="5">
        <v>87280.072530899473</v>
      </c>
      <c r="DY392" s="5">
        <v>132710.8367150104</v>
      </c>
      <c r="DZ392" s="159">
        <v>7603.8520521586397</v>
      </c>
      <c r="EB392" s="676">
        <v>728.26892019959269</v>
      </c>
      <c r="EC392" s="676">
        <v>-7533.9278240215262</v>
      </c>
      <c r="ED392" s="676">
        <v>-2744.4431191004987</v>
      </c>
      <c r="EE392" s="676">
        <v>-4449.4032716523725</v>
      </c>
      <c r="EF392" s="676">
        <v>-7602.2859340024625</v>
      </c>
      <c r="EG392" s="676">
        <v>291.30667199653544</v>
      </c>
      <c r="EH392" s="676">
        <v>18758.062938168103</v>
      </c>
      <c r="EI392" s="676">
        <v>8130.4140803960581</v>
      </c>
      <c r="EJ392" s="676">
        <v>8011.7304349944498</v>
      </c>
      <c r="EK392" s="676">
        <v>40224.293040191522</v>
      </c>
      <c r="EL392" s="676">
        <v>-7190.2278531327775</v>
      </c>
      <c r="EM392" s="676">
        <v>532.80211404322836</v>
      </c>
      <c r="EN392" s="676">
        <v>47156.590198079852</v>
      </c>
      <c r="EQ392" s="5">
        <v>87280.072530899473</v>
      </c>
      <c r="ER392" s="5">
        <v>132710.8367150104</v>
      </c>
      <c r="ET392" s="318">
        <v>-4137.6742572708172</v>
      </c>
      <c r="EU392" s="5">
        <v>-12164.720002197782</v>
      </c>
    </row>
    <row r="393" spans="1:151" x14ac:dyDescent="0.3">
      <c r="A393" s="325">
        <v>150000919</v>
      </c>
      <c r="B393" s="41" t="s">
        <v>839</v>
      </c>
      <c r="C393" s="42" t="s">
        <v>327</v>
      </c>
      <c r="D393" s="27">
        <v>5</v>
      </c>
      <c r="E393" s="293">
        <v>4566.7</v>
      </c>
      <c r="F393" s="305">
        <v>4566.7</v>
      </c>
      <c r="G393" s="508">
        <v>0</v>
      </c>
      <c r="H393" s="677">
        <v>0</v>
      </c>
      <c r="I393" s="674">
        <v>16096.866378933011</v>
      </c>
      <c r="J393" s="40">
        <v>15384.789240964394</v>
      </c>
      <c r="K393" s="52">
        <v>-712.07713796861754</v>
      </c>
      <c r="L393" s="674">
        <v>3341.749455565232</v>
      </c>
      <c r="M393" s="40">
        <v>3193.6029082422251</v>
      </c>
      <c r="N393" s="52">
        <v>-148.14654732300687</v>
      </c>
      <c r="O393" s="674">
        <v>6272.3955919986847</v>
      </c>
      <c r="P393" s="40">
        <v>6273.7649999999976</v>
      </c>
      <c r="Q393" s="52">
        <v>1.3694080013128769</v>
      </c>
      <c r="R393" s="674">
        <v>0</v>
      </c>
      <c r="S393" s="40">
        <v>0</v>
      </c>
      <c r="T393" s="52">
        <v>0</v>
      </c>
      <c r="U393" s="674">
        <v>1186.2563123962695</v>
      </c>
      <c r="V393" s="40">
        <v>805.55164525124144</v>
      </c>
      <c r="W393" s="52">
        <v>-380.70466714502811</v>
      </c>
      <c r="X393" s="674">
        <v>11998.113050378188</v>
      </c>
      <c r="Y393" s="40">
        <v>9759.243538820836</v>
      </c>
      <c r="Z393" s="52">
        <v>-2238.8695115573519</v>
      </c>
      <c r="AA393" s="674">
        <v>548.02800000000002</v>
      </c>
      <c r="AB393" s="40">
        <v>0</v>
      </c>
      <c r="AC393" s="52">
        <v>-548.02800000000002</v>
      </c>
      <c r="AD393" s="674">
        <v>19579.928801635629</v>
      </c>
      <c r="AE393" s="40">
        <v>19402.782001962147</v>
      </c>
      <c r="AF393" s="35">
        <v>-177.14679967348275</v>
      </c>
      <c r="AG393" s="77">
        <v>59023.337590907009</v>
      </c>
      <c r="AH393" s="53">
        <v>54819.734335240835</v>
      </c>
      <c r="AI393" s="52">
        <v>-4203.6032556661739</v>
      </c>
      <c r="AJ393" s="674">
        <v>0</v>
      </c>
      <c r="AK393" s="40">
        <v>0</v>
      </c>
      <c r="AL393" s="52">
        <v>0</v>
      </c>
      <c r="AM393" s="674">
        <v>0</v>
      </c>
      <c r="AN393" s="40">
        <v>0</v>
      </c>
      <c r="AO393" s="52">
        <v>0</v>
      </c>
      <c r="AP393" s="674">
        <v>13490.504732553558</v>
      </c>
      <c r="AQ393" s="40">
        <v>18018.9954193089</v>
      </c>
      <c r="AR393" s="52">
        <v>4528.4906867553418</v>
      </c>
      <c r="AS393" s="674">
        <v>55667.97269827516</v>
      </c>
      <c r="AT393" s="40">
        <v>62045.507594178067</v>
      </c>
      <c r="AU393" s="54">
        <v>6377.534895902907</v>
      </c>
      <c r="AV393" s="674">
        <v>3651.3900072714709</v>
      </c>
      <c r="AW393" s="40">
        <v>410</v>
      </c>
      <c r="AX393" s="55">
        <v>-3241.3900072714709</v>
      </c>
      <c r="AY393" s="674">
        <v>5478.0284580000016</v>
      </c>
      <c r="AZ393" s="40">
        <v>1151</v>
      </c>
      <c r="BA393" s="35">
        <v>-4327.0284580000016</v>
      </c>
      <c r="BB393" s="674">
        <v>2420.7929030342907</v>
      </c>
      <c r="BC393" s="40">
        <v>7374</v>
      </c>
      <c r="BD393" s="55">
        <v>4953.2070969657088</v>
      </c>
      <c r="BE393" s="674">
        <v>0</v>
      </c>
      <c r="BF393" s="40">
        <v>0</v>
      </c>
      <c r="BG393" s="38">
        <v>0</v>
      </c>
      <c r="BH393" s="674">
        <v>2024.9600350327316</v>
      </c>
      <c r="BI393" s="40">
        <v>0</v>
      </c>
      <c r="BJ393" s="55">
        <v>-2024.9600350327316</v>
      </c>
      <c r="BK393" s="674">
        <v>3197.1332104033522</v>
      </c>
      <c r="BL393" s="40">
        <v>142</v>
      </c>
      <c r="BM393" s="38">
        <v>-3055.1332104033522</v>
      </c>
      <c r="BN393" s="674">
        <v>137.00700000000001</v>
      </c>
      <c r="BO393" s="40">
        <v>4627.84</v>
      </c>
      <c r="BP393" s="55">
        <v>4490.8330000000005</v>
      </c>
      <c r="BQ393" s="77">
        <v>16909.311613741847</v>
      </c>
      <c r="BR393" s="40">
        <v>13704.84</v>
      </c>
      <c r="BS393" s="55">
        <v>-3204.4716137418472</v>
      </c>
      <c r="BT393" s="674">
        <v>37193.046728273825</v>
      </c>
      <c r="BU393" s="40">
        <v>37477.237228055157</v>
      </c>
      <c r="BV393" s="52">
        <v>284.19049978133262</v>
      </c>
      <c r="BW393" s="674">
        <v>23608.052508391338</v>
      </c>
      <c r="BX393" s="40">
        <v>23350.118393934055</v>
      </c>
      <c r="BY393" s="52">
        <v>-257.9341144572827</v>
      </c>
      <c r="BZ393" s="674">
        <v>6974.383067364055</v>
      </c>
      <c r="CA393" s="40">
        <v>9204.3425642535294</v>
      </c>
      <c r="CB393" s="52">
        <v>2229.9594968894744</v>
      </c>
      <c r="CC393" s="674">
        <v>3023.5285005496667</v>
      </c>
      <c r="CD393" s="40">
        <v>3177.7921273904431</v>
      </c>
      <c r="CE393" s="52">
        <v>154.2636268407764</v>
      </c>
      <c r="CF393" s="674">
        <v>369.53766138281878</v>
      </c>
      <c r="CG393" s="40">
        <v>0</v>
      </c>
      <c r="CH393" s="52">
        <v>-369.53766138281878</v>
      </c>
      <c r="CI393" s="674">
        <v>8246.3988768247218</v>
      </c>
      <c r="CJ393" s="40">
        <v>7632.8471261846735</v>
      </c>
      <c r="CK393" s="52">
        <v>-613.55175064004834</v>
      </c>
      <c r="CL393" s="674">
        <v>0</v>
      </c>
      <c r="CM393" s="40">
        <v>0</v>
      </c>
      <c r="CN393" s="52">
        <v>0</v>
      </c>
      <c r="CO393" s="39">
        <v>8246.3988768247218</v>
      </c>
      <c r="CP393" s="40">
        <v>7632.8471261846735</v>
      </c>
      <c r="CQ393" s="52">
        <v>-613.55175064004834</v>
      </c>
      <c r="CR393" s="72">
        <v>224506.073978264</v>
      </c>
      <c r="CS393" s="5">
        <v>229431.41478854569</v>
      </c>
      <c r="CT393" s="52">
        <v>4925.3408102816902</v>
      </c>
      <c r="CU393" s="77">
        <v>269407.28877391678</v>
      </c>
      <c r="CV393" s="65">
        <v>275317.69774625479</v>
      </c>
      <c r="CW393" s="35">
        <v>5910.4089723380166</v>
      </c>
      <c r="CX393" s="73">
        <v>13493.831635586863</v>
      </c>
      <c r="CY393" s="40">
        <v>7583.4226632489554</v>
      </c>
      <c r="CZ393" s="52">
        <v>-5910.4089723379075</v>
      </c>
      <c r="DA393" s="150">
        <v>-62016.008962805201</v>
      </c>
      <c r="DB393" s="2">
        <v>3</v>
      </c>
      <c r="DC393" s="675">
        <v>46023.09</v>
      </c>
      <c r="DD393" s="675">
        <v>0</v>
      </c>
      <c r="DE393" s="675">
        <v>21208.933276386058</v>
      </c>
      <c r="DF393" s="675">
        <v>0</v>
      </c>
      <c r="DG393" s="321">
        <v>-67926.417935143108</v>
      </c>
      <c r="DH393" s="40">
        <v>282879.73282090161</v>
      </c>
      <c r="DI393" s="422">
        <v>24814.156723613934</v>
      </c>
      <c r="DJ393" s="306">
        <v>5.4337172846068142</v>
      </c>
      <c r="DK393" s="306">
        <v>5.4337172846068142</v>
      </c>
      <c r="DL393" s="306">
        <v>4.8415828141983965</v>
      </c>
      <c r="DM393" s="28">
        <v>24814.156723613938</v>
      </c>
      <c r="DN393" s="28">
        <v>0</v>
      </c>
      <c r="DO393" s="423">
        <v>24814.156723613938</v>
      </c>
      <c r="DP393" s="94">
        <v>0</v>
      </c>
      <c r="DQ393" s="28">
        <v>24814.156723613938</v>
      </c>
      <c r="DR393" s="318"/>
      <c r="DT393" s="8"/>
      <c r="DU393" s="5"/>
      <c r="DX393" s="5">
        <v>87092.7411744204</v>
      </c>
      <c r="DY393" s="5">
        <v>90900.417113013667</v>
      </c>
      <c r="DZ393" s="159">
        <v>7582.1956440806407</v>
      </c>
      <c r="EB393" s="676">
        <v>2389.1469856881449</v>
      </c>
      <c r="EC393" s="676">
        <v>3500.5785961646761</v>
      </c>
      <c r="ED393" s="676">
        <v>-6262.8876682261289</v>
      </c>
      <c r="EE393" s="676">
        <v>-4077.7505922357777</v>
      </c>
      <c r="EF393" s="676">
        <v>37440.910008008446</v>
      </c>
      <c r="EG393" s="676">
        <v>5679.5282526360206</v>
      </c>
      <c r="EH393" s="676">
        <v>-921.74221620119351</v>
      </c>
      <c r="EI393" s="676">
        <v>-4443.7010526617196</v>
      </c>
      <c r="EJ393" s="676">
        <v>-8612.0834491790338</v>
      </c>
      <c r="EK393" s="676">
        <v>-8866.2041057362439</v>
      </c>
      <c r="EL393" s="676">
        <v>-1556.0830835003399</v>
      </c>
      <c r="EM393" s="676">
        <v>-8359.302702418936</v>
      </c>
      <c r="EN393" s="676">
        <v>5910.4089723379075</v>
      </c>
      <c r="EQ393" s="5">
        <v>87092.7411744204</v>
      </c>
      <c r="ER393" s="5">
        <v>90900.417113013667</v>
      </c>
      <c r="ET393" s="318">
        <v>-9595.3598140748527</v>
      </c>
      <c r="EU393" s="5">
        <v>-20708.058121068258</v>
      </c>
    </row>
    <row r="394" spans="1:151" x14ac:dyDescent="0.3">
      <c r="A394" s="325">
        <v>150000920</v>
      </c>
      <c r="B394" s="41" t="s">
        <v>840</v>
      </c>
      <c r="C394" s="42" t="s">
        <v>328</v>
      </c>
      <c r="D394" s="27">
        <v>5</v>
      </c>
      <c r="E394" s="293">
        <v>4553.8</v>
      </c>
      <c r="F394" s="305">
        <v>4553.8</v>
      </c>
      <c r="G394" s="508">
        <v>0</v>
      </c>
      <c r="H394" s="677">
        <v>0</v>
      </c>
      <c r="I394" s="674">
        <v>16100.022785196612</v>
      </c>
      <c r="J394" s="40">
        <v>15290.417057819504</v>
      </c>
      <c r="K394" s="52">
        <v>-809.60572737710754</v>
      </c>
      <c r="L394" s="674">
        <v>3342.3240879311797</v>
      </c>
      <c r="M394" s="40">
        <v>3194.1488919425392</v>
      </c>
      <c r="N394" s="52">
        <v>-148.17519598864055</v>
      </c>
      <c r="O394" s="674">
        <v>6314.4618659658136</v>
      </c>
      <c r="P394" s="40">
        <v>6316.2899999999972</v>
      </c>
      <c r="Q394" s="52">
        <v>1.8281340341836767</v>
      </c>
      <c r="R394" s="674">
        <v>0</v>
      </c>
      <c r="S394" s="40">
        <v>0</v>
      </c>
      <c r="T394" s="52">
        <v>0</v>
      </c>
      <c r="U394" s="674">
        <v>1186.2563123962695</v>
      </c>
      <c r="V394" s="40">
        <v>805.55164525124144</v>
      </c>
      <c r="W394" s="52">
        <v>-380.70466714502811</v>
      </c>
      <c r="X394" s="674">
        <v>12007.833419279628</v>
      </c>
      <c r="Y394" s="40">
        <v>9799.1836787573066</v>
      </c>
      <c r="Z394" s="52">
        <v>-2208.6497405223217</v>
      </c>
      <c r="AA394" s="674">
        <v>546.46799999999996</v>
      </c>
      <c r="AB394" s="40">
        <v>0</v>
      </c>
      <c r="AC394" s="52">
        <v>-546.46799999999996</v>
      </c>
      <c r="AD394" s="674">
        <v>19524.516352331972</v>
      </c>
      <c r="AE394" s="40">
        <v>19347.829524597666</v>
      </c>
      <c r="AF394" s="35">
        <v>-176.68682773430555</v>
      </c>
      <c r="AG394" s="77">
        <v>59021.882823101478</v>
      </c>
      <c r="AH394" s="53">
        <v>54753.420798368257</v>
      </c>
      <c r="AI394" s="52">
        <v>-4268.4620247332205</v>
      </c>
      <c r="AJ394" s="674">
        <v>0</v>
      </c>
      <c r="AK394" s="40">
        <v>0</v>
      </c>
      <c r="AL394" s="52">
        <v>0</v>
      </c>
      <c r="AM394" s="674">
        <v>0</v>
      </c>
      <c r="AN394" s="40">
        <v>0</v>
      </c>
      <c r="AO394" s="52">
        <v>0</v>
      </c>
      <c r="AP394" s="674">
        <v>13490.504732553558</v>
      </c>
      <c r="AQ394" s="40">
        <v>12458.843152671792</v>
      </c>
      <c r="AR394" s="52">
        <v>-1031.6615798817656</v>
      </c>
      <c r="AS394" s="674">
        <v>65418.687393980304</v>
      </c>
      <c r="AT394" s="40">
        <v>76280.208271063428</v>
      </c>
      <c r="AU394" s="54">
        <v>10861.520877083123</v>
      </c>
      <c r="AV394" s="674">
        <v>3652.3841818838282</v>
      </c>
      <c r="AW394" s="40">
        <v>0</v>
      </c>
      <c r="AX394" s="55">
        <v>-3652.3841818838282</v>
      </c>
      <c r="AY394" s="674">
        <v>5479.1355441592132</v>
      </c>
      <c r="AZ394" s="40">
        <v>2020</v>
      </c>
      <c r="BA394" s="35">
        <v>-3459.1355441592132</v>
      </c>
      <c r="BB394" s="674">
        <v>2493.2501030786584</v>
      </c>
      <c r="BC394" s="40">
        <v>2190.89</v>
      </c>
      <c r="BD394" s="55">
        <v>-302.36010307865854</v>
      </c>
      <c r="BE394" s="674">
        <v>0</v>
      </c>
      <c r="BF394" s="40">
        <v>0</v>
      </c>
      <c r="BG394" s="38">
        <v>0</v>
      </c>
      <c r="BH394" s="674">
        <v>2024.9600350327316</v>
      </c>
      <c r="BI394" s="40">
        <v>0</v>
      </c>
      <c r="BJ394" s="55">
        <v>-2024.9600350327316</v>
      </c>
      <c r="BK394" s="674">
        <v>3200.4563247752176</v>
      </c>
      <c r="BL394" s="40">
        <v>621</v>
      </c>
      <c r="BM394" s="38">
        <v>-2579.4563247752176</v>
      </c>
      <c r="BN394" s="674">
        <v>136.61699999999999</v>
      </c>
      <c r="BO394" s="40">
        <v>0</v>
      </c>
      <c r="BP394" s="55">
        <v>-136.61699999999999</v>
      </c>
      <c r="BQ394" s="77">
        <v>16986.803188929647</v>
      </c>
      <c r="BR394" s="40">
        <v>4831.8899999999994</v>
      </c>
      <c r="BS394" s="55">
        <v>-12154.913188929648</v>
      </c>
      <c r="BT394" s="674">
        <v>36347.107856529845</v>
      </c>
      <c r="BU394" s="40">
        <v>41507.149573320312</v>
      </c>
      <c r="BV394" s="52">
        <v>5160.041716790467</v>
      </c>
      <c r="BW394" s="674">
        <v>23872.577987128218</v>
      </c>
      <c r="BX394" s="40">
        <v>26055.051404671849</v>
      </c>
      <c r="BY394" s="52">
        <v>2182.4734175436315</v>
      </c>
      <c r="BZ394" s="674">
        <v>7302.5316861907604</v>
      </c>
      <c r="CA394" s="40">
        <v>8621.091584807873</v>
      </c>
      <c r="CB394" s="52">
        <v>1318.5598986171126</v>
      </c>
      <c r="CC394" s="674">
        <v>3027.4190703114036</v>
      </c>
      <c r="CD394" s="40">
        <v>3181.8811981426002</v>
      </c>
      <c r="CE394" s="52">
        <v>154.46212783119654</v>
      </c>
      <c r="CF394" s="674">
        <v>370.0131694029804</v>
      </c>
      <c r="CG394" s="40">
        <v>0</v>
      </c>
      <c r="CH394" s="52">
        <v>-370.0131694029804</v>
      </c>
      <c r="CI394" s="674">
        <v>10434.742962987824</v>
      </c>
      <c r="CJ394" s="40">
        <v>11358.237369916069</v>
      </c>
      <c r="CK394" s="52">
        <v>923.49440692824464</v>
      </c>
      <c r="CL394" s="674">
        <v>0</v>
      </c>
      <c r="CM394" s="40">
        <v>0</v>
      </c>
      <c r="CN394" s="52">
        <v>0</v>
      </c>
      <c r="CO394" s="39">
        <v>10434.742962987824</v>
      </c>
      <c r="CP394" s="40">
        <v>11358.237369916069</v>
      </c>
      <c r="CQ394" s="52">
        <v>923.49440692824464</v>
      </c>
      <c r="CR394" s="72">
        <v>236272.27087111605</v>
      </c>
      <c r="CS394" s="5">
        <v>239047.77335296219</v>
      </c>
      <c r="CT394" s="52">
        <v>2775.5024818461388</v>
      </c>
      <c r="CU394" s="77">
        <v>283526.72504533926</v>
      </c>
      <c r="CV394" s="65">
        <v>286857.32802355464</v>
      </c>
      <c r="CW394" s="35">
        <v>3330.6029782153782</v>
      </c>
      <c r="CX394" s="73">
        <v>7450.6663353328013</v>
      </c>
      <c r="CY394" s="40">
        <v>4120.0633571174349</v>
      </c>
      <c r="CZ394" s="52">
        <v>-3330.6029782153664</v>
      </c>
      <c r="DA394" s="150">
        <v>-2765.6901258967828</v>
      </c>
      <c r="DB394" s="2">
        <v>3</v>
      </c>
      <c r="DC394" s="675">
        <v>45290.42</v>
      </c>
      <c r="DD394" s="675">
        <v>0</v>
      </c>
      <c r="DE394" s="675">
        <v>19790.841211563125</v>
      </c>
      <c r="DF394" s="675">
        <v>0</v>
      </c>
      <c r="DG394" s="321">
        <v>-6096.2931041121519</v>
      </c>
      <c r="DH394" s="40">
        <v>290955.31898941507</v>
      </c>
      <c r="DI394" s="422">
        <v>25499.578788436869</v>
      </c>
      <c r="DJ394" s="306">
        <v>5.5996264193501846</v>
      </c>
      <c r="DK394" s="306">
        <v>5.5996264193501846</v>
      </c>
      <c r="DL394" s="306">
        <v>5.0142062075803944</v>
      </c>
      <c r="DM394" s="28">
        <v>25499.578788436873</v>
      </c>
      <c r="DN394" s="28">
        <v>0</v>
      </c>
      <c r="DO394" s="423">
        <v>25499.578788436873</v>
      </c>
      <c r="DP394" s="94">
        <v>0</v>
      </c>
      <c r="DQ394" s="28">
        <v>25499.578788436873</v>
      </c>
      <c r="DR394" s="318"/>
      <c r="DT394" s="8"/>
      <c r="DU394" s="5"/>
      <c r="DX394" s="5">
        <v>98886.588699491942</v>
      </c>
      <c r="DY394" s="5">
        <v>97334.517925276115</v>
      </c>
      <c r="DZ394" s="159">
        <v>8890.1407781721391</v>
      </c>
      <c r="EB394" s="676">
        <v>43654.658470200011</v>
      </c>
      <c r="EC394" s="676">
        <v>10563.246586991063</v>
      </c>
      <c r="ED394" s="676">
        <v>-5057.0690679518466</v>
      </c>
      <c r="EE394" s="676">
        <v>7710.5513946645151</v>
      </c>
      <c r="EF394" s="676">
        <v>-8531.6027565340664</v>
      </c>
      <c r="EG394" s="676">
        <v>234.20598434939893</v>
      </c>
      <c r="EH394" s="676">
        <v>-9540.3204116527377</v>
      </c>
      <c r="EI394" s="676">
        <v>-7926.3967960642658</v>
      </c>
      <c r="EJ394" s="676">
        <v>-8239.8772165989431</v>
      </c>
      <c r="EK394" s="676">
        <v>-10581.781981670802</v>
      </c>
      <c r="EL394" s="676">
        <v>-10209.934019257355</v>
      </c>
      <c r="EM394" s="676">
        <v>1254.9227917403987</v>
      </c>
      <c r="EN394" s="676">
        <v>3330.6029782153691</v>
      </c>
      <c r="EQ394" s="5">
        <v>98886.588699491942</v>
      </c>
      <c r="ER394" s="5">
        <v>97334.517925276115</v>
      </c>
      <c r="ET394" s="318">
        <v>-40047.97066906144</v>
      </c>
      <c r="EU394" s="5">
        <v>17525.677564949281</v>
      </c>
    </row>
    <row r="395" spans="1:151" x14ac:dyDescent="0.3">
      <c r="A395" s="325">
        <v>150000921</v>
      </c>
      <c r="B395" s="41" t="s">
        <v>841</v>
      </c>
      <c r="C395" s="42" t="s">
        <v>329</v>
      </c>
      <c r="D395" s="27">
        <v>5</v>
      </c>
      <c r="E395" s="293">
        <v>6174.2300000000005</v>
      </c>
      <c r="F395" s="305">
        <v>6129.13</v>
      </c>
      <c r="G395" s="508">
        <v>0</v>
      </c>
      <c r="H395" s="677">
        <v>45.1</v>
      </c>
      <c r="I395" s="674">
        <v>21137.100042730333</v>
      </c>
      <c r="J395" s="40">
        <v>20080.45975969702</v>
      </c>
      <c r="K395" s="52">
        <v>-1056.6402830333136</v>
      </c>
      <c r="L395" s="674">
        <v>4463.1852192905735</v>
      </c>
      <c r="M395" s="40">
        <v>4265.3130876395871</v>
      </c>
      <c r="N395" s="52">
        <v>-197.87213165098638</v>
      </c>
      <c r="O395" s="674">
        <v>8701.1702514991302</v>
      </c>
      <c r="P395" s="40">
        <v>8703.5750000000007</v>
      </c>
      <c r="Q395" s="52">
        <v>2.4047485008704825</v>
      </c>
      <c r="R395" s="674">
        <v>0</v>
      </c>
      <c r="S395" s="40">
        <v>0</v>
      </c>
      <c r="T395" s="52">
        <v>0</v>
      </c>
      <c r="U395" s="674">
        <v>1836.059988105827</v>
      </c>
      <c r="V395" s="40">
        <v>1246.8198723652665</v>
      </c>
      <c r="W395" s="52">
        <v>-589.24011574056044</v>
      </c>
      <c r="X395" s="674">
        <v>19176.933444766888</v>
      </c>
      <c r="Y395" s="40">
        <v>15962.34985343249</v>
      </c>
      <c r="Z395" s="52">
        <v>-3214.5835913343981</v>
      </c>
      <c r="AA395" s="674">
        <v>740.8596</v>
      </c>
      <c r="AB395" s="40">
        <v>0</v>
      </c>
      <c r="AC395" s="52">
        <v>-740.8596</v>
      </c>
      <c r="AD395" s="674">
        <v>26468.897299242049</v>
      </c>
      <c r="AE395" s="40">
        <v>26232.585859206964</v>
      </c>
      <c r="AF395" s="35">
        <v>-236.31144003508598</v>
      </c>
      <c r="AG395" s="77">
        <v>82524.205845634802</v>
      </c>
      <c r="AH395" s="53">
        <v>76491.103432341333</v>
      </c>
      <c r="AI395" s="52">
        <v>-6033.102413293469</v>
      </c>
      <c r="AJ395" s="674">
        <v>0</v>
      </c>
      <c r="AK395" s="40">
        <v>0</v>
      </c>
      <c r="AL395" s="52">
        <v>0</v>
      </c>
      <c r="AM395" s="674">
        <v>0</v>
      </c>
      <c r="AN395" s="40">
        <v>0</v>
      </c>
      <c r="AO395" s="52">
        <v>0</v>
      </c>
      <c r="AP395" s="674">
        <v>17267.846057668554</v>
      </c>
      <c r="AQ395" s="40">
        <v>16146.514392708126</v>
      </c>
      <c r="AR395" s="52">
        <v>-1121.3316649604276</v>
      </c>
      <c r="AS395" s="674">
        <v>58571.640754359818</v>
      </c>
      <c r="AT395" s="40">
        <v>27109.13</v>
      </c>
      <c r="AU395" s="54">
        <v>-31462.510754359817</v>
      </c>
      <c r="AV395" s="674">
        <v>4832.3294768455989</v>
      </c>
      <c r="AW395" s="40">
        <v>1090.67</v>
      </c>
      <c r="AX395" s="55">
        <v>-3741.6594768455989</v>
      </c>
      <c r="AY395" s="674">
        <v>7316.4260365612263</v>
      </c>
      <c r="AZ395" s="40">
        <v>185.96</v>
      </c>
      <c r="BA395" s="35">
        <v>-7130.4660365612262</v>
      </c>
      <c r="BB395" s="674">
        <v>3178.1631900063912</v>
      </c>
      <c r="BC395" s="40">
        <v>0</v>
      </c>
      <c r="BD395" s="55">
        <v>-3178.1631900063912</v>
      </c>
      <c r="BE395" s="674">
        <v>0</v>
      </c>
      <c r="BF395" s="40">
        <v>0</v>
      </c>
      <c r="BG395" s="38">
        <v>0</v>
      </c>
      <c r="BH395" s="674">
        <v>3134.6721921477197</v>
      </c>
      <c r="BI395" s="40">
        <v>0</v>
      </c>
      <c r="BJ395" s="55">
        <v>-3134.6721921477197</v>
      </c>
      <c r="BK395" s="674">
        <v>5361.3959972138746</v>
      </c>
      <c r="BL395" s="40">
        <v>943</v>
      </c>
      <c r="BM395" s="38">
        <v>-4418.3959972138746</v>
      </c>
      <c r="BN395" s="674">
        <v>185.2149</v>
      </c>
      <c r="BO395" s="40">
        <v>0</v>
      </c>
      <c r="BP395" s="55">
        <v>-185.2149</v>
      </c>
      <c r="BQ395" s="77">
        <v>24008.201792774809</v>
      </c>
      <c r="BR395" s="40">
        <v>2219.63</v>
      </c>
      <c r="BS395" s="55">
        <v>-21788.571792774808</v>
      </c>
      <c r="BT395" s="674">
        <v>52287.040946086687</v>
      </c>
      <c r="BU395" s="40">
        <v>60393.399196563609</v>
      </c>
      <c r="BV395" s="52">
        <v>8106.358250476922</v>
      </c>
      <c r="BW395" s="674">
        <v>32139.43697315524</v>
      </c>
      <c r="BX395" s="40">
        <v>32501.681552324899</v>
      </c>
      <c r="BY395" s="52">
        <v>362.24457916965912</v>
      </c>
      <c r="BZ395" s="674">
        <v>9009.3908054741223</v>
      </c>
      <c r="CA395" s="40">
        <v>11416.426259750559</v>
      </c>
      <c r="CB395" s="52">
        <v>2407.0354542764362</v>
      </c>
      <c r="CC395" s="674">
        <v>3560.9829233495784</v>
      </c>
      <c r="CD395" s="40">
        <v>3742.6680441526782</v>
      </c>
      <c r="CE395" s="52">
        <v>181.68512080309984</v>
      </c>
      <c r="CF395" s="674">
        <v>435.22569788230135</v>
      </c>
      <c r="CG395" s="40">
        <v>0</v>
      </c>
      <c r="CH395" s="52">
        <v>-435.22569788230135</v>
      </c>
      <c r="CI395" s="674">
        <v>10131.662847825968</v>
      </c>
      <c r="CJ395" s="40">
        <v>10467.009558071528</v>
      </c>
      <c r="CK395" s="52">
        <v>335.34671024555973</v>
      </c>
      <c r="CL395" s="674">
        <v>0</v>
      </c>
      <c r="CM395" s="40">
        <v>0</v>
      </c>
      <c r="CN395" s="52">
        <v>0</v>
      </c>
      <c r="CO395" s="39">
        <v>10131.662847825968</v>
      </c>
      <c r="CP395" s="40">
        <v>10467.009558071528</v>
      </c>
      <c r="CQ395" s="52">
        <v>335.34671024555973</v>
      </c>
      <c r="CR395" s="72">
        <v>289935.63464421191</v>
      </c>
      <c r="CS395" s="5">
        <v>240487.56243591275</v>
      </c>
      <c r="CT395" s="52">
        <v>-49448.072208299156</v>
      </c>
      <c r="CU395" s="77">
        <v>347922.7615730543</v>
      </c>
      <c r="CV395" s="65">
        <v>288585.07492309529</v>
      </c>
      <c r="CW395" s="35">
        <v>-59337.686649959011</v>
      </c>
      <c r="CX395" s="73">
        <v>17426.472237611084</v>
      </c>
      <c r="CY395" s="40">
        <v>76764.158887570113</v>
      </c>
      <c r="CZ395" s="52">
        <v>59337.686649959025</v>
      </c>
      <c r="DA395" s="150">
        <v>-9859.7904681904547</v>
      </c>
      <c r="DB395" s="2">
        <v>3</v>
      </c>
      <c r="DC395" s="675">
        <v>63338.49</v>
      </c>
      <c r="DD395" s="675">
        <v>414.28</v>
      </c>
      <c r="DE395" s="675">
        <v>31507.50314752711</v>
      </c>
      <c r="DF395" s="675">
        <v>207.14596451886567</v>
      </c>
      <c r="DG395" s="321">
        <v>49477.896181768578</v>
      </c>
      <c r="DH395" s="40">
        <v>365321.58779416815</v>
      </c>
      <c r="DI395" s="422">
        <v>32038.120887954021</v>
      </c>
      <c r="DJ395" s="306">
        <v>5.1933939812784011</v>
      </c>
      <c r="DK395" s="306">
        <v>5.1933939812784011</v>
      </c>
      <c r="DL395" s="306">
        <v>4.5927724053466585</v>
      </c>
      <c r="DM395" s="28">
        <v>31830.986852472888</v>
      </c>
      <c r="DN395" s="28">
        <v>207.1340354811343</v>
      </c>
      <c r="DO395" s="423">
        <v>32038.120887954021</v>
      </c>
      <c r="DP395" s="94">
        <v>0</v>
      </c>
      <c r="DQ395" s="28">
        <v>32038.120887954021</v>
      </c>
      <c r="DR395" s="318"/>
      <c r="DT395" s="8"/>
      <c r="DU395" s="5"/>
      <c r="DX395" s="5">
        <v>99095.81105656155</v>
      </c>
      <c r="DY395" s="5">
        <v>35194.512000000002</v>
      </c>
      <c r="DZ395" s="159">
        <v>8624.1359199145463</v>
      </c>
      <c r="EB395" s="676">
        <v>-5684.9126556835545</v>
      </c>
      <c r="EC395" s="676">
        <v>-6878.0188523540164</v>
      </c>
      <c r="ED395" s="676">
        <v>-5663.3840084462063</v>
      </c>
      <c r="EE395" s="676">
        <v>4196.1561613902886</v>
      </c>
      <c r="EF395" s="676">
        <v>-9942.1035292226989</v>
      </c>
      <c r="EG395" s="676">
        <v>11197.441071166424</v>
      </c>
      <c r="EH395" s="676">
        <v>-12145.534830811292</v>
      </c>
      <c r="EI395" s="676">
        <v>-8814.3972576878587</v>
      </c>
      <c r="EJ395" s="676">
        <v>-5743.9864674660457</v>
      </c>
      <c r="EK395" s="676">
        <v>-10725.522851659491</v>
      </c>
      <c r="EL395" s="676">
        <v>-12508.912532019371</v>
      </c>
      <c r="EM395" s="676">
        <v>3375.4891028347993</v>
      </c>
      <c r="EN395" s="676">
        <v>-59337.686649959032</v>
      </c>
      <c r="EQ395" s="5">
        <v>99095.81105656155</v>
      </c>
      <c r="ER395" s="5">
        <v>35194.512000000002</v>
      </c>
      <c r="ET395" s="318">
        <v>-64850.103470969712</v>
      </c>
      <c r="EU395" s="5">
        <v>8689.9996527383009</v>
      </c>
    </row>
    <row r="396" spans="1:151" x14ac:dyDescent="0.3">
      <c r="A396" s="325">
        <v>150000878</v>
      </c>
      <c r="B396" s="41" t="s">
        <v>842</v>
      </c>
      <c r="C396" s="42" t="s">
        <v>237</v>
      </c>
      <c r="D396" s="27">
        <v>4</v>
      </c>
      <c r="E396" s="293">
        <v>2396.4899999999998</v>
      </c>
      <c r="F396" s="305">
        <v>1686.26</v>
      </c>
      <c r="G396" s="508">
        <v>0</v>
      </c>
      <c r="H396" s="677">
        <v>710.23</v>
      </c>
      <c r="I396" s="674">
        <v>6513.6545799744526</v>
      </c>
      <c r="J396" s="40">
        <v>7134.6302063848416</v>
      </c>
      <c r="K396" s="52">
        <v>620.97562641038894</v>
      </c>
      <c r="L396" s="674">
        <v>1082.209370811755</v>
      </c>
      <c r="M396" s="40">
        <v>1184.5200708383086</v>
      </c>
      <c r="N396" s="52">
        <v>102.3107000265536</v>
      </c>
      <c r="O396" s="674">
        <v>3259.6132495850843</v>
      </c>
      <c r="P396" s="40">
        <v>3259.6199999999994</v>
      </c>
      <c r="Q396" s="52">
        <v>6.7504149151318416E-3</v>
      </c>
      <c r="R396" s="674">
        <v>0</v>
      </c>
      <c r="S396" s="40">
        <v>0</v>
      </c>
      <c r="T396" s="52">
        <v>0</v>
      </c>
      <c r="U396" s="674">
        <v>0</v>
      </c>
      <c r="V396" s="40">
        <v>0</v>
      </c>
      <c r="W396" s="52">
        <v>0</v>
      </c>
      <c r="X396" s="674">
        <v>4591.4407381439059</v>
      </c>
      <c r="Y396" s="40">
        <v>3293.0987136443837</v>
      </c>
      <c r="Z396" s="52">
        <v>-1298.3420244995223</v>
      </c>
      <c r="AA396" s="674">
        <v>291.43920000000003</v>
      </c>
      <c r="AB396" s="40">
        <v>0</v>
      </c>
      <c r="AC396" s="52">
        <v>-291.43920000000003</v>
      </c>
      <c r="AD396" s="674">
        <v>10265.567186270962</v>
      </c>
      <c r="AE396" s="40">
        <v>9778.9157238392218</v>
      </c>
      <c r="AF396" s="35">
        <v>-486.65146243174058</v>
      </c>
      <c r="AG396" s="77">
        <v>26003.92432478616</v>
      </c>
      <c r="AH396" s="53">
        <v>24650.784714706755</v>
      </c>
      <c r="AI396" s="52">
        <v>-1353.1396100794045</v>
      </c>
      <c r="AJ396" s="674">
        <v>0</v>
      </c>
      <c r="AK396" s="40">
        <v>0</v>
      </c>
      <c r="AL396" s="52">
        <v>0</v>
      </c>
      <c r="AM396" s="674">
        <v>0</v>
      </c>
      <c r="AN396" s="40">
        <v>0</v>
      </c>
      <c r="AO396" s="52">
        <v>0</v>
      </c>
      <c r="AP396" s="674">
        <v>3777.3413251149959</v>
      </c>
      <c r="AQ396" s="40">
        <v>2921.2894054482249</v>
      </c>
      <c r="AR396" s="52">
        <v>-856.05191966677103</v>
      </c>
      <c r="AS396" s="674">
        <v>20001.597008260673</v>
      </c>
      <c r="AT396" s="40">
        <v>39907.699597808452</v>
      </c>
      <c r="AU396" s="54">
        <v>19906.10258954778</v>
      </c>
      <c r="AV396" s="674">
        <v>1663.5145876701063</v>
      </c>
      <c r="AW396" s="40">
        <v>184</v>
      </c>
      <c r="AX396" s="55">
        <v>-1479.5145876701063</v>
      </c>
      <c r="AY396" s="674">
        <v>1773.9695115102047</v>
      </c>
      <c r="AZ396" s="40">
        <v>0</v>
      </c>
      <c r="BA396" s="35">
        <v>-1773.9695115102047</v>
      </c>
      <c r="BB396" s="674">
        <v>1739.9680604816222</v>
      </c>
      <c r="BC396" s="40">
        <v>435</v>
      </c>
      <c r="BD396" s="55">
        <v>-1304.9680604816222</v>
      </c>
      <c r="BE396" s="674">
        <v>0</v>
      </c>
      <c r="BF396" s="40">
        <v>0</v>
      </c>
      <c r="BG396" s="38">
        <v>0</v>
      </c>
      <c r="BH396" s="674">
        <v>0</v>
      </c>
      <c r="BI396" s="40">
        <v>0</v>
      </c>
      <c r="BJ396" s="55">
        <v>0</v>
      </c>
      <c r="BK396" s="674">
        <v>1001.504077969204</v>
      </c>
      <c r="BL396" s="40">
        <v>0</v>
      </c>
      <c r="BM396" s="38">
        <v>-1001.504077969204</v>
      </c>
      <c r="BN396" s="674">
        <v>72.859800000000007</v>
      </c>
      <c r="BO396" s="40">
        <v>0</v>
      </c>
      <c r="BP396" s="55">
        <v>-72.859800000000007</v>
      </c>
      <c r="BQ396" s="77">
        <v>6251.8160376311371</v>
      </c>
      <c r="BR396" s="40">
        <v>619</v>
      </c>
      <c r="BS396" s="55">
        <v>-5632.8160376311371</v>
      </c>
      <c r="BT396" s="674">
        <v>30265.954589804249</v>
      </c>
      <c r="BU396" s="40">
        <v>30456.848335095383</v>
      </c>
      <c r="BV396" s="52">
        <v>190.89374529113411</v>
      </c>
      <c r="BW396" s="674">
        <v>20941.921044903163</v>
      </c>
      <c r="BX396" s="40">
        <v>17778.769271228681</v>
      </c>
      <c r="BY396" s="52">
        <v>-3163.1517736744827</v>
      </c>
      <c r="BZ396" s="674">
        <v>7259.7777849959857</v>
      </c>
      <c r="CA396" s="40">
        <v>7366.3048668035681</v>
      </c>
      <c r="CB396" s="52">
        <v>106.52708180758236</v>
      </c>
      <c r="CC396" s="674">
        <v>511.33202582825243</v>
      </c>
      <c r="CD396" s="40">
        <v>537.4207274263249</v>
      </c>
      <c r="CE396" s="52">
        <v>26.088701598072475</v>
      </c>
      <c r="CF396" s="674">
        <v>62.495339792682579</v>
      </c>
      <c r="CG396" s="40">
        <v>0</v>
      </c>
      <c r="CH396" s="52">
        <v>-62.495339792682579</v>
      </c>
      <c r="CI396" s="674">
        <v>2553.7787047762331</v>
      </c>
      <c r="CJ396" s="40">
        <v>2246.300345302785</v>
      </c>
      <c r="CK396" s="52">
        <v>-307.47835947344811</v>
      </c>
      <c r="CL396" s="674">
        <v>0</v>
      </c>
      <c r="CM396" s="40">
        <v>0</v>
      </c>
      <c r="CN396" s="52">
        <v>0</v>
      </c>
      <c r="CO396" s="39">
        <v>2553.7787047762331</v>
      </c>
      <c r="CP396" s="40">
        <v>2246.300345302785</v>
      </c>
      <c r="CQ396" s="52">
        <v>-307.47835947344811</v>
      </c>
      <c r="CR396" s="72">
        <v>117629.93818589354</v>
      </c>
      <c r="CS396" s="5">
        <v>126484.41726382019</v>
      </c>
      <c r="CT396" s="52">
        <v>8854.4790779266477</v>
      </c>
      <c r="CU396" s="77">
        <v>141155.92582307223</v>
      </c>
      <c r="CV396" s="65">
        <v>151781.30071658423</v>
      </c>
      <c r="CW396" s="35">
        <v>10625.374893511995</v>
      </c>
      <c r="CX396" s="73">
        <v>4286.1372691040096</v>
      </c>
      <c r="CY396" s="40">
        <v>-6339.2376244079442</v>
      </c>
      <c r="CZ396" s="52">
        <v>-10625.374893511955</v>
      </c>
      <c r="DA396" s="150">
        <v>-6494.8981430024214</v>
      </c>
      <c r="DB396" s="2">
        <v>2</v>
      </c>
      <c r="DC396" s="675">
        <v>32233.88</v>
      </c>
      <c r="DD396" s="675">
        <v>5030.9700000000012</v>
      </c>
      <c r="DE396" s="675">
        <v>22610.370651365683</v>
      </c>
      <c r="DF396" s="675">
        <v>1971.8668670843708</v>
      </c>
      <c r="DG396" s="321">
        <v>-17120.273036514373</v>
      </c>
      <c r="DH396" s="40">
        <v>145430.8265831756</v>
      </c>
      <c r="DI396" s="422">
        <v>12682.612481549946</v>
      </c>
      <c r="DJ396" s="306">
        <v>5.7070139531473894</v>
      </c>
      <c r="DK396" s="306">
        <v>5.7070139531473894</v>
      </c>
      <c r="DL396" s="306">
        <v>4.3072006714946287</v>
      </c>
      <c r="DM396" s="28">
        <v>9623.5093486343176</v>
      </c>
      <c r="DN396" s="28">
        <v>3059.1031329156303</v>
      </c>
      <c r="DO396" s="423">
        <v>12682.612481549948</v>
      </c>
      <c r="DP396" s="94">
        <v>0</v>
      </c>
      <c r="DQ396" s="28">
        <v>12682.612481549948</v>
      </c>
      <c r="DR396" s="318"/>
      <c r="DT396" s="8"/>
      <c r="DU396" s="5"/>
      <c r="DX396" s="5">
        <v>31504.095655070167</v>
      </c>
      <c r="DY396" s="5">
        <v>48632.03951737014</v>
      </c>
      <c r="DZ396" s="159">
        <v>2733.4426424775993</v>
      </c>
      <c r="EB396" s="676">
        <v>-578.60920959002397</v>
      </c>
      <c r="EC396" s="676">
        <v>14582.48745400796</v>
      </c>
      <c r="ED396" s="676">
        <v>2519.8378051351101</v>
      </c>
      <c r="EE396" s="676">
        <v>-2660.2514815107224</v>
      </c>
      <c r="EF396" s="676">
        <v>-6664.1964658710813</v>
      </c>
      <c r="EG396" s="676">
        <v>-282.48127402290447</v>
      </c>
      <c r="EH396" s="676">
        <v>10810.92396979025</v>
      </c>
      <c r="EI396" s="676">
        <v>-4871.1476364669816</v>
      </c>
      <c r="EJ396" s="676">
        <v>-1868.1922133848657</v>
      </c>
      <c r="EK396" s="676">
        <v>-2723.8405731474177</v>
      </c>
      <c r="EL396" s="676">
        <v>6373.1284813582406</v>
      </c>
      <c r="EM396" s="676">
        <v>-4012.2839627856156</v>
      </c>
      <c r="EN396" s="676">
        <v>10625.374893511951</v>
      </c>
      <c r="EQ396" s="5">
        <v>31504.095655070167</v>
      </c>
      <c r="ER396" s="5">
        <v>48632.03951737014</v>
      </c>
      <c r="ET396" s="318">
        <v>5889.361692883017</v>
      </c>
      <c r="EU396" s="5">
        <v>-15610.634729397398</v>
      </c>
    </row>
    <row r="397" spans="1:151" x14ac:dyDescent="0.3">
      <c r="A397" s="325">
        <v>150000879</v>
      </c>
      <c r="B397" s="41" t="s">
        <v>843</v>
      </c>
      <c r="C397" s="42" t="s">
        <v>330</v>
      </c>
      <c r="D397" s="27">
        <v>5</v>
      </c>
      <c r="E397" s="293">
        <v>4494.13</v>
      </c>
      <c r="F397" s="305">
        <v>3611.53</v>
      </c>
      <c r="G397" s="508">
        <v>0</v>
      </c>
      <c r="H397" s="677">
        <v>882.6</v>
      </c>
      <c r="I397" s="674">
        <v>12585.952190081945</v>
      </c>
      <c r="J397" s="40">
        <v>13905.986311241397</v>
      </c>
      <c r="K397" s="52">
        <v>1320.0341211594514</v>
      </c>
      <c r="L397" s="674">
        <v>2366.2601353899831</v>
      </c>
      <c r="M397" s="40">
        <v>2589.9625399160786</v>
      </c>
      <c r="N397" s="52">
        <v>223.70240452609551</v>
      </c>
      <c r="O397" s="674">
        <v>6235.5758580701495</v>
      </c>
      <c r="P397" s="40">
        <v>6235.5599999999995</v>
      </c>
      <c r="Q397" s="52">
        <v>-1.5858070149988635E-2</v>
      </c>
      <c r="R397" s="674">
        <v>0</v>
      </c>
      <c r="S397" s="40">
        <v>0</v>
      </c>
      <c r="T397" s="52">
        <v>0</v>
      </c>
      <c r="U397" s="674">
        <v>0</v>
      </c>
      <c r="V397" s="40">
        <v>0</v>
      </c>
      <c r="W397" s="52">
        <v>0</v>
      </c>
      <c r="X397" s="674">
        <v>9595.4802777287277</v>
      </c>
      <c r="Y397" s="40">
        <v>7201.0172174588333</v>
      </c>
      <c r="Z397" s="52">
        <v>-2394.4630602698944</v>
      </c>
      <c r="AA397" s="674">
        <v>546.50760000000002</v>
      </c>
      <c r="AB397" s="40">
        <v>0</v>
      </c>
      <c r="AC397" s="52">
        <v>-546.50760000000002</v>
      </c>
      <c r="AD397" s="674">
        <v>19277.508101170479</v>
      </c>
      <c r="AE397" s="40">
        <v>19135.98633384682</v>
      </c>
      <c r="AF397" s="35">
        <v>-141.52176732365842</v>
      </c>
      <c r="AG397" s="77">
        <v>50607.284162441283</v>
      </c>
      <c r="AH397" s="53">
        <v>49068.512402463122</v>
      </c>
      <c r="AI397" s="52">
        <v>-1538.7717599781608</v>
      </c>
      <c r="AJ397" s="674">
        <v>0</v>
      </c>
      <c r="AK397" s="40">
        <v>0</v>
      </c>
      <c r="AL397" s="52">
        <v>0</v>
      </c>
      <c r="AM397" s="674">
        <v>0</v>
      </c>
      <c r="AN397" s="40">
        <v>0</v>
      </c>
      <c r="AO397" s="52">
        <v>0</v>
      </c>
      <c r="AP397" s="674">
        <v>11197.118928019454</v>
      </c>
      <c r="AQ397" s="40">
        <v>9103.2724839872299</v>
      </c>
      <c r="AR397" s="52">
        <v>-2093.8464440322241</v>
      </c>
      <c r="AS397" s="674">
        <v>36389.060428616292</v>
      </c>
      <c r="AT397" s="40">
        <v>12828.51</v>
      </c>
      <c r="AU397" s="54">
        <v>-23560.55042861629</v>
      </c>
      <c r="AV397" s="674">
        <v>2821.8362654086159</v>
      </c>
      <c r="AW397" s="40">
        <v>3237</v>
      </c>
      <c r="AX397" s="55">
        <v>415.16373459138413</v>
      </c>
      <c r="AY397" s="674">
        <v>3878.9872692891258</v>
      </c>
      <c r="AZ397" s="40">
        <v>0</v>
      </c>
      <c r="BA397" s="35">
        <v>-3878.9872692891258</v>
      </c>
      <c r="BB397" s="674">
        <v>2482.1451888895799</v>
      </c>
      <c r="BC397" s="40">
        <v>0</v>
      </c>
      <c r="BD397" s="55">
        <v>-2482.1451888895799</v>
      </c>
      <c r="BE397" s="674">
        <v>0</v>
      </c>
      <c r="BF397" s="40">
        <v>0</v>
      </c>
      <c r="BG397" s="38">
        <v>0</v>
      </c>
      <c r="BH397" s="674">
        <v>0</v>
      </c>
      <c r="BI397" s="40">
        <v>0</v>
      </c>
      <c r="BJ397" s="55">
        <v>0</v>
      </c>
      <c r="BK397" s="674">
        <v>2349.339447017388</v>
      </c>
      <c r="BL397" s="40">
        <v>0</v>
      </c>
      <c r="BM397" s="38">
        <v>-2349.339447017388</v>
      </c>
      <c r="BN397" s="674">
        <v>136.62690000000001</v>
      </c>
      <c r="BO397" s="40">
        <v>0</v>
      </c>
      <c r="BP397" s="55">
        <v>-136.62690000000001</v>
      </c>
      <c r="BQ397" s="77">
        <v>11668.935070604708</v>
      </c>
      <c r="BR397" s="40">
        <v>3237</v>
      </c>
      <c r="BS397" s="55">
        <v>-8431.935070604708</v>
      </c>
      <c r="BT397" s="674">
        <v>31595.132351997108</v>
      </c>
      <c r="BU397" s="40">
        <v>38193.03047013341</v>
      </c>
      <c r="BV397" s="52">
        <v>6597.8981181363015</v>
      </c>
      <c r="BW397" s="674">
        <v>19411.219015450908</v>
      </c>
      <c r="BX397" s="40">
        <v>17020.248982354427</v>
      </c>
      <c r="BY397" s="52">
        <v>-2390.9700330964806</v>
      </c>
      <c r="BZ397" s="674">
        <v>11548.229752025118</v>
      </c>
      <c r="CA397" s="40">
        <v>7538.4872843686981</v>
      </c>
      <c r="CB397" s="52">
        <v>-4009.7424676564196</v>
      </c>
      <c r="CC397" s="674">
        <v>0</v>
      </c>
      <c r="CD397" s="40">
        <v>0</v>
      </c>
      <c r="CE397" s="52">
        <v>0</v>
      </c>
      <c r="CF397" s="674">
        <v>0</v>
      </c>
      <c r="CG397" s="40">
        <v>0</v>
      </c>
      <c r="CH397" s="52">
        <v>0</v>
      </c>
      <c r="CI397" s="674">
        <v>4410.6905175340671</v>
      </c>
      <c r="CJ397" s="40">
        <v>3902.9214396521011</v>
      </c>
      <c r="CK397" s="52">
        <v>-507.76907788196604</v>
      </c>
      <c r="CL397" s="674">
        <v>0</v>
      </c>
      <c r="CM397" s="40">
        <v>0</v>
      </c>
      <c r="CN397" s="52">
        <v>0</v>
      </c>
      <c r="CO397" s="39">
        <v>4410.6905175340671</v>
      </c>
      <c r="CP397" s="40">
        <v>3902.9214396521011</v>
      </c>
      <c r="CQ397" s="52">
        <v>-507.76907788196604</v>
      </c>
      <c r="CR397" s="72">
        <v>176827.67022668896</v>
      </c>
      <c r="CS397" s="5">
        <v>140891.98306295899</v>
      </c>
      <c r="CT397" s="52">
        <v>-35935.687163729977</v>
      </c>
      <c r="CU397" s="77">
        <v>212193.20427202675</v>
      </c>
      <c r="CV397" s="65">
        <v>169070.37967555076</v>
      </c>
      <c r="CW397" s="35">
        <v>-43122.824596475984</v>
      </c>
      <c r="CX397" s="73">
        <v>3902.5531545811277</v>
      </c>
      <c r="CY397" s="40">
        <v>47025.377751057058</v>
      </c>
      <c r="CZ397" s="52">
        <v>43122.824596475934</v>
      </c>
      <c r="DA397" s="150">
        <v>-12342.010875037973</v>
      </c>
      <c r="DB397" s="2">
        <v>2</v>
      </c>
      <c r="DC397" s="675">
        <v>33064.6</v>
      </c>
      <c r="DD397" s="675">
        <v>7657.52</v>
      </c>
      <c r="DE397" s="675">
        <v>17475.896645346969</v>
      </c>
      <c r="DF397" s="675">
        <v>4377.9139697324663</v>
      </c>
      <c r="DG397" s="321">
        <v>30780.813721437975</v>
      </c>
      <c r="DH397" s="40">
        <v>216079.14207041237</v>
      </c>
      <c r="DI397" s="422">
        <v>18868.309384920562</v>
      </c>
      <c r="DJ397" s="306">
        <v>4.3163709991757031</v>
      </c>
      <c r="DK397" s="306">
        <v>4.3163709991757031</v>
      </c>
      <c r="DL397" s="306">
        <v>3.7158463973119575</v>
      </c>
      <c r="DM397" s="28">
        <v>15588.703354653027</v>
      </c>
      <c r="DN397" s="28">
        <v>3279.6060302675337</v>
      </c>
      <c r="DO397" s="423">
        <v>18868.309384920562</v>
      </c>
      <c r="DP397" s="94">
        <v>0</v>
      </c>
      <c r="DQ397" s="28">
        <v>18868.309384920562</v>
      </c>
      <c r="DR397" s="318"/>
      <c r="DT397" s="8"/>
      <c r="DU397" s="5"/>
      <c r="DX397" s="5">
        <v>57669.594599065196</v>
      </c>
      <c r="DY397" s="5">
        <v>19278.612000000001</v>
      </c>
      <c r="DZ397" s="159">
        <v>5266.8503971631335</v>
      </c>
      <c r="EB397" s="676">
        <v>-1121.8603274629622</v>
      </c>
      <c r="EC397" s="676">
        <v>-2728.9709634448664</v>
      </c>
      <c r="ED397" s="676">
        <v>2325.5115035655526</v>
      </c>
      <c r="EE397" s="676">
        <v>-5604.3208929656885</v>
      </c>
      <c r="EF397" s="676">
        <v>3203.5245799140939</v>
      </c>
      <c r="EG397" s="676">
        <v>-10850.733814673817</v>
      </c>
      <c r="EH397" s="676">
        <v>-5833.6364820579529</v>
      </c>
      <c r="EI397" s="676">
        <v>-3101.3927099222619</v>
      </c>
      <c r="EJ397" s="676">
        <v>-1828.4536450124797</v>
      </c>
      <c r="EK397" s="676">
        <v>-2977.8024003004502</v>
      </c>
      <c r="EL397" s="676">
        <v>-7837.1516046177803</v>
      </c>
      <c r="EM397" s="676">
        <v>-6767.5378394973286</v>
      </c>
      <c r="EN397" s="676">
        <v>-43122.824596475948</v>
      </c>
      <c r="EQ397" s="5">
        <v>57669.594599065196</v>
      </c>
      <c r="ER397" s="5">
        <v>19278.612000000001</v>
      </c>
      <c r="ET397" s="318">
        <v>-13122.862514031947</v>
      </c>
      <c r="EU397" s="5">
        <v>31579.676235469931</v>
      </c>
    </row>
    <row r="398" spans="1:151" x14ac:dyDescent="0.3">
      <c r="A398" s="325">
        <v>150000880</v>
      </c>
      <c r="B398" s="41" t="s">
        <v>844</v>
      </c>
      <c r="C398" s="42" t="s">
        <v>238</v>
      </c>
      <c r="D398" s="27">
        <v>4</v>
      </c>
      <c r="E398" s="293">
        <v>2726.35</v>
      </c>
      <c r="F398" s="305">
        <v>1891.75</v>
      </c>
      <c r="G398" s="508">
        <v>0</v>
      </c>
      <c r="H398" s="677">
        <v>834.6</v>
      </c>
      <c r="I398" s="674">
        <v>8564.5147583788093</v>
      </c>
      <c r="J398" s="40">
        <v>9308.9171074119386</v>
      </c>
      <c r="K398" s="52">
        <v>744.40234903312921</v>
      </c>
      <c r="L398" s="674">
        <v>1674.9871450484434</v>
      </c>
      <c r="M398" s="40">
        <v>1833.3423188716715</v>
      </c>
      <c r="N398" s="52">
        <v>158.35517382322814</v>
      </c>
      <c r="O398" s="674">
        <v>3751.1594468115659</v>
      </c>
      <c r="P398" s="40">
        <v>3751.1400000000008</v>
      </c>
      <c r="Q398" s="52">
        <v>-1.9446811565103417E-2</v>
      </c>
      <c r="R398" s="674">
        <v>0</v>
      </c>
      <c r="S398" s="40">
        <v>0</v>
      </c>
      <c r="T398" s="52">
        <v>0</v>
      </c>
      <c r="U398" s="674">
        <v>0</v>
      </c>
      <c r="V398" s="40">
        <v>0</v>
      </c>
      <c r="W398" s="52">
        <v>0</v>
      </c>
      <c r="X398" s="674">
        <v>6887.0019704698752</v>
      </c>
      <c r="Y398" s="40">
        <v>5024.1594876614872</v>
      </c>
      <c r="Z398" s="52">
        <v>-1862.842482808388</v>
      </c>
      <c r="AA398" s="674">
        <v>327.16200000000003</v>
      </c>
      <c r="AB398" s="40">
        <v>0</v>
      </c>
      <c r="AC398" s="52">
        <v>-327.16200000000003</v>
      </c>
      <c r="AD398" s="674">
        <v>11639.546692452981</v>
      </c>
      <c r="AE398" s="40">
        <v>11583.502794234892</v>
      </c>
      <c r="AF398" s="35">
        <v>-56.043898218089453</v>
      </c>
      <c r="AG398" s="77">
        <v>32844.372013161672</v>
      </c>
      <c r="AH398" s="53">
        <v>31501.061708179986</v>
      </c>
      <c r="AI398" s="52">
        <v>-1343.3103049816855</v>
      </c>
      <c r="AJ398" s="674">
        <v>0</v>
      </c>
      <c r="AK398" s="40">
        <v>0</v>
      </c>
      <c r="AL398" s="52">
        <v>0</v>
      </c>
      <c r="AM398" s="674">
        <v>0</v>
      </c>
      <c r="AN398" s="40">
        <v>0</v>
      </c>
      <c r="AO398" s="52">
        <v>0</v>
      </c>
      <c r="AP398" s="674">
        <v>4047.1514197660686</v>
      </c>
      <c r="AQ398" s="40">
        <v>3379.9433323614039</v>
      </c>
      <c r="AR398" s="52">
        <v>-667.20808740466464</v>
      </c>
      <c r="AS398" s="674">
        <v>26714.369795866667</v>
      </c>
      <c r="AT398" s="40">
        <v>6248.0130493890993</v>
      </c>
      <c r="AU398" s="54">
        <v>-20466.35674647757</v>
      </c>
      <c r="AV398" s="674">
        <v>2302.9022436097594</v>
      </c>
      <c r="AW398" s="40">
        <v>93</v>
      </c>
      <c r="AX398" s="55">
        <v>-2209.9022436097594</v>
      </c>
      <c r="AY398" s="674">
        <v>2745.837131777615</v>
      </c>
      <c r="AZ398" s="40">
        <v>0</v>
      </c>
      <c r="BA398" s="35">
        <v>-2745.837131777615</v>
      </c>
      <c r="BB398" s="674">
        <v>1607.6466632758611</v>
      </c>
      <c r="BC398" s="40">
        <v>0</v>
      </c>
      <c r="BD398" s="55">
        <v>-1607.6466632758611</v>
      </c>
      <c r="BE398" s="674">
        <v>0</v>
      </c>
      <c r="BF398" s="40">
        <v>0</v>
      </c>
      <c r="BG398" s="38">
        <v>0</v>
      </c>
      <c r="BH398" s="674">
        <v>0</v>
      </c>
      <c r="BI398" s="40">
        <v>0</v>
      </c>
      <c r="BJ398" s="55">
        <v>0</v>
      </c>
      <c r="BK398" s="674">
        <v>1665.9181962029031</v>
      </c>
      <c r="BL398" s="40">
        <v>624</v>
      </c>
      <c r="BM398" s="38">
        <v>-1041.9181962029031</v>
      </c>
      <c r="BN398" s="674">
        <v>81.790500000000009</v>
      </c>
      <c r="BO398" s="40">
        <v>0</v>
      </c>
      <c r="BP398" s="55">
        <v>-81.790500000000009</v>
      </c>
      <c r="BQ398" s="77">
        <v>8404.0947348661375</v>
      </c>
      <c r="BR398" s="40">
        <v>717</v>
      </c>
      <c r="BS398" s="55">
        <v>-7687.0947348661375</v>
      </c>
      <c r="BT398" s="674">
        <v>22154.881186203038</v>
      </c>
      <c r="BU398" s="40">
        <v>27373.058891354278</v>
      </c>
      <c r="BV398" s="52">
        <v>5218.1777051512399</v>
      </c>
      <c r="BW398" s="674">
        <v>16932.660867082897</v>
      </c>
      <c r="BX398" s="40">
        <v>15021.814193477308</v>
      </c>
      <c r="BY398" s="52">
        <v>-1910.8466736055889</v>
      </c>
      <c r="BZ398" s="674">
        <v>12647.242103968139</v>
      </c>
      <c r="CA398" s="40">
        <v>6933.3406027598667</v>
      </c>
      <c r="CB398" s="52">
        <v>-5713.9015012082727</v>
      </c>
      <c r="CC398" s="674">
        <v>903.16798040316314</v>
      </c>
      <c r="CD398" s="40">
        <v>949.24856746497585</v>
      </c>
      <c r="CE398" s="52">
        <v>46.080587061812707</v>
      </c>
      <c r="CF398" s="674">
        <v>110.38579039468389</v>
      </c>
      <c r="CG398" s="40">
        <v>0</v>
      </c>
      <c r="CH398" s="52">
        <v>-110.38579039468389</v>
      </c>
      <c r="CI398" s="674">
        <v>6959.9017978418779</v>
      </c>
      <c r="CJ398" s="40">
        <v>6761.6732626902885</v>
      </c>
      <c r="CK398" s="52">
        <v>-198.22853515158931</v>
      </c>
      <c r="CL398" s="674">
        <v>0</v>
      </c>
      <c r="CM398" s="40">
        <v>0</v>
      </c>
      <c r="CN398" s="52">
        <v>0</v>
      </c>
      <c r="CO398" s="39">
        <v>6959.9017978418779</v>
      </c>
      <c r="CP398" s="40">
        <v>6761.6732626902885</v>
      </c>
      <c r="CQ398" s="52">
        <v>-198.22853515158931</v>
      </c>
      <c r="CR398" s="72">
        <v>131718.22768955433</v>
      </c>
      <c r="CS398" s="5">
        <v>98885.153607677203</v>
      </c>
      <c r="CT398" s="52">
        <v>-32833.07408187713</v>
      </c>
      <c r="CU398" s="77">
        <v>158061.8732274652</v>
      </c>
      <c r="CV398" s="65">
        <v>118662.18432921264</v>
      </c>
      <c r="CW398" s="35">
        <v>-39399.688898252556</v>
      </c>
      <c r="CX398" s="73">
        <v>3529.1440948059526</v>
      </c>
      <c r="CY398" s="40">
        <v>42928.832993058517</v>
      </c>
      <c r="CZ398" s="52">
        <v>39399.688898252563</v>
      </c>
      <c r="DA398" s="150">
        <v>-3901.4694645168347</v>
      </c>
      <c r="DB398" s="2">
        <v>2</v>
      </c>
      <c r="DC398" s="675">
        <v>12110.4</v>
      </c>
      <c r="DD398" s="675">
        <v>12563.879999999997</v>
      </c>
      <c r="DE398" s="675">
        <v>1720.375848907137</v>
      </c>
      <c r="DF398" s="675">
        <v>8816.4613092962263</v>
      </c>
      <c r="DG398" s="321">
        <v>35498.219433735721</v>
      </c>
      <c r="DH398" s="40">
        <v>161578.68386345048</v>
      </c>
      <c r="DI398" s="422">
        <v>14137.442841796632</v>
      </c>
      <c r="DJ398" s="306">
        <v>5.4922818295720166</v>
      </c>
      <c r="DK398" s="306">
        <v>5.4922818295720166</v>
      </c>
      <c r="DL398" s="306">
        <v>4.4900775110277635</v>
      </c>
      <c r="DM398" s="28">
        <v>10390.024151092863</v>
      </c>
      <c r="DN398" s="28">
        <v>3747.4186907037715</v>
      </c>
      <c r="DO398" s="423">
        <v>14137.442841796634</v>
      </c>
      <c r="DP398" s="94">
        <v>0</v>
      </c>
      <c r="DQ398" s="28">
        <v>14137.442841796634</v>
      </c>
      <c r="DR398" s="318"/>
      <c r="DT398" s="8"/>
      <c r="DU398" s="5"/>
      <c r="DX398" s="5">
        <v>42142.157436879359</v>
      </c>
      <c r="DY398" s="5">
        <v>8358.0156592669191</v>
      </c>
      <c r="DZ398" s="159">
        <v>3716.6343506687726</v>
      </c>
      <c r="EB398" s="676">
        <v>-898.39870295384753</v>
      </c>
      <c r="EC398" s="676">
        <v>-1564.3560443991846</v>
      </c>
      <c r="ED398" s="676">
        <v>-1940.0918624517708</v>
      </c>
      <c r="EE398" s="676">
        <v>-4838.1310473629401</v>
      </c>
      <c r="EF398" s="676">
        <v>-7805.9208388224206</v>
      </c>
      <c r="EG398" s="676">
        <v>-3682.3219391455168</v>
      </c>
      <c r="EH398" s="676">
        <v>-5442.9690380068296</v>
      </c>
      <c r="EI398" s="676">
        <v>-3797.6655854057408</v>
      </c>
      <c r="EJ398" s="676">
        <v>-4434.9442274613266</v>
      </c>
      <c r="EK398" s="676">
        <v>-3566.4558463072426</v>
      </c>
      <c r="EL398" s="676">
        <v>1051.251555988576</v>
      </c>
      <c r="EM398" s="676">
        <v>-2479.6853219243167</v>
      </c>
      <c r="EN398" s="676">
        <v>-39399.688898252556</v>
      </c>
      <c r="EQ398" s="5">
        <v>42142.157436879359</v>
      </c>
      <c r="ER398" s="5">
        <v>8358.0156592669191</v>
      </c>
      <c r="ET398" s="318">
        <v>-22321.027101104664</v>
      </c>
      <c r="EU398" s="5">
        <v>-26092.753465159625</v>
      </c>
    </row>
    <row r="399" spans="1:151" x14ac:dyDescent="0.3">
      <c r="A399" s="325">
        <v>150000881</v>
      </c>
      <c r="B399" s="41" t="s">
        <v>845</v>
      </c>
      <c r="C399" s="42" t="s">
        <v>412</v>
      </c>
      <c r="D399" s="27">
        <v>9</v>
      </c>
      <c r="E399" s="293">
        <v>2405.4</v>
      </c>
      <c r="F399" s="305">
        <v>2076.5</v>
      </c>
      <c r="G399" s="508">
        <v>0</v>
      </c>
      <c r="H399" s="677">
        <v>328.9</v>
      </c>
      <c r="I399" s="674">
        <v>6639.0551021847677</v>
      </c>
      <c r="J399" s="40">
        <v>7336.4461541551154</v>
      </c>
      <c r="K399" s="52">
        <v>697.39105197034769</v>
      </c>
      <c r="L399" s="674">
        <v>978.58331439622611</v>
      </c>
      <c r="M399" s="40">
        <v>1071.0822644827711</v>
      </c>
      <c r="N399" s="52">
        <v>92.498950086544937</v>
      </c>
      <c r="O399" s="674">
        <v>3148.9175969789158</v>
      </c>
      <c r="P399" s="40">
        <v>3149.01</v>
      </c>
      <c r="Q399" s="52">
        <v>9.2403021084464854E-2</v>
      </c>
      <c r="R399" s="674">
        <v>730.05124265414997</v>
      </c>
      <c r="S399" s="40">
        <v>730.05</v>
      </c>
      <c r="T399" s="52">
        <v>-1.2426541500190069E-3</v>
      </c>
      <c r="U399" s="674">
        <v>357.56258567742054</v>
      </c>
      <c r="V399" s="40">
        <v>1207.6831929102304</v>
      </c>
      <c r="W399" s="52">
        <v>850.1206072328099</v>
      </c>
      <c r="X399" s="674">
        <v>3733.7058494322282</v>
      </c>
      <c r="Y399" s="40">
        <v>2656.6000546021069</v>
      </c>
      <c r="Z399" s="52">
        <v>-1077.1057948301213</v>
      </c>
      <c r="AA399" s="674">
        <v>288.64800000000002</v>
      </c>
      <c r="AB399" s="40">
        <v>0</v>
      </c>
      <c r="AC399" s="52">
        <v>-288.64800000000002</v>
      </c>
      <c r="AD399" s="674">
        <v>10293.577449260918</v>
      </c>
      <c r="AE399" s="40">
        <v>10219.875519009891</v>
      </c>
      <c r="AF399" s="35">
        <v>-73.701930251027079</v>
      </c>
      <c r="AG399" s="77">
        <v>26170.101140584626</v>
      </c>
      <c r="AH399" s="53">
        <v>26370.747185160115</v>
      </c>
      <c r="AI399" s="52">
        <v>200.64604457548921</v>
      </c>
      <c r="AJ399" s="674">
        <v>18609.012013632913</v>
      </c>
      <c r="AK399" s="40">
        <v>18486.7868019581</v>
      </c>
      <c r="AL399" s="52">
        <v>-122.22521167481318</v>
      </c>
      <c r="AM399" s="674">
        <v>315.2248275</v>
      </c>
      <c r="AN399" s="40">
        <v>0</v>
      </c>
      <c r="AO399" s="52">
        <v>-315.2248275</v>
      </c>
      <c r="AP399" s="674">
        <v>2158.4807572085692</v>
      </c>
      <c r="AQ399" s="40">
        <v>2006.8388692901826</v>
      </c>
      <c r="AR399" s="52">
        <v>-151.6418879183866</v>
      </c>
      <c r="AS399" s="674">
        <v>27417.168031924513</v>
      </c>
      <c r="AT399" s="40">
        <v>4662</v>
      </c>
      <c r="AU399" s="54">
        <v>-22755.168031924513</v>
      </c>
      <c r="AV399" s="674">
        <v>791.92864321429738</v>
      </c>
      <c r="AW399" s="40">
        <v>0</v>
      </c>
      <c r="AX399" s="55">
        <v>-791.92864321429738</v>
      </c>
      <c r="AY399" s="674">
        <v>850.58905955098714</v>
      </c>
      <c r="AZ399" s="40">
        <v>0</v>
      </c>
      <c r="BA399" s="35">
        <v>-850.58905955098714</v>
      </c>
      <c r="BB399" s="674">
        <v>512.61545983490203</v>
      </c>
      <c r="BC399" s="40">
        <v>1165</v>
      </c>
      <c r="BD399" s="55">
        <v>652.38454016509797</v>
      </c>
      <c r="BE399" s="674">
        <v>895.60143123772207</v>
      </c>
      <c r="BF399" s="40">
        <v>0</v>
      </c>
      <c r="BG399" s="38">
        <v>-895.60143123772207</v>
      </c>
      <c r="BH399" s="674">
        <v>372.8409384525375</v>
      </c>
      <c r="BI399" s="40">
        <v>0</v>
      </c>
      <c r="BJ399" s="55">
        <v>-372.8409384525375</v>
      </c>
      <c r="BK399" s="674">
        <v>382.61331975202421</v>
      </c>
      <c r="BL399" s="40">
        <v>8899</v>
      </c>
      <c r="BM399" s="38">
        <v>8516.3866802479752</v>
      </c>
      <c r="BN399" s="674">
        <v>72.162000000000006</v>
      </c>
      <c r="BO399" s="40">
        <v>0</v>
      </c>
      <c r="BP399" s="55">
        <v>-72.162000000000006</v>
      </c>
      <c r="BQ399" s="77">
        <v>3878.3508520424703</v>
      </c>
      <c r="BR399" s="40">
        <v>10064</v>
      </c>
      <c r="BS399" s="55">
        <v>6185.6491479575297</v>
      </c>
      <c r="BT399" s="674">
        <v>35507.467805060885</v>
      </c>
      <c r="BU399" s="40">
        <v>32732.172548227547</v>
      </c>
      <c r="BV399" s="52">
        <v>-2775.2952568333385</v>
      </c>
      <c r="BW399" s="674">
        <v>21560.132929102259</v>
      </c>
      <c r="BX399" s="40">
        <v>19770.742394640569</v>
      </c>
      <c r="BY399" s="52">
        <v>-1789.3905344616905</v>
      </c>
      <c r="BZ399" s="674">
        <v>8534.7127993698323</v>
      </c>
      <c r="CA399" s="40">
        <v>8869.3885644431284</v>
      </c>
      <c r="CB399" s="52">
        <v>334.67576507329613</v>
      </c>
      <c r="CC399" s="674">
        <v>13.6344916125</v>
      </c>
      <c r="CD399" s="40">
        <v>0</v>
      </c>
      <c r="CE399" s="52">
        <v>-13.6344916125</v>
      </c>
      <c r="CF399" s="674">
        <v>0</v>
      </c>
      <c r="CG399" s="40">
        <v>0</v>
      </c>
      <c r="CH399" s="52">
        <v>0</v>
      </c>
      <c r="CI399" s="674">
        <v>4209.4765031735478</v>
      </c>
      <c r="CJ399" s="40">
        <v>3732.043850759248</v>
      </c>
      <c r="CK399" s="52">
        <v>-477.43265241429981</v>
      </c>
      <c r="CL399" s="674">
        <v>7516.7735970405365</v>
      </c>
      <c r="CM399" s="40">
        <v>7416.3239591385118</v>
      </c>
      <c r="CN399" s="52">
        <v>-100.44963790202473</v>
      </c>
      <c r="CO399" s="39">
        <v>11726.250100214085</v>
      </c>
      <c r="CP399" s="40">
        <v>11148.36780989776</v>
      </c>
      <c r="CQ399" s="52">
        <v>-577.88229031632545</v>
      </c>
      <c r="CR399" s="72">
        <v>155890.53574825265</v>
      </c>
      <c r="CS399" s="5">
        <v>134111.04417361741</v>
      </c>
      <c r="CT399" s="52">
        <v>-21779.491574635234</v>
      </c>
      <c r="CU399" s="77">
        <v>187068.64289790316</v>
      </c>
      <c r="CV399" s="65">
        <v>160933.25300834089</v>
      </c>
      <c r="CW399" s="35">
        <v>-26135.38988956227</v>
      </c>
      <c r="CX399" s="73">
        <v>5658.4806875091563</v>
      </c>
      <c r="CY399" s="40">
        <v>31793.870577071451</v>
      </c>
      <c r="CZ399" s="52">
        <v>26135.389889562295</v>
      </c>
      <c r="DA399" s="150">
        <v>97576.624640427326</v>
      </c>
      <c r="DB399" s="2">
        <v>2</v>
      </c>
      <c r="DC399" s="675">
        <v>23386.18</v>
      </c>
      <c r="DD399" s="675">
        <v>7488.56</v>
      </c>
      <c r="DE399" s="675">
        <v>8080.5765036978628</v>
      </c>
      <c r="DF399" s="675">
        <v>5888.7875608112627</v>
      </c>
      <c r="DG399" s="321">
        <v>123712.01452998961</v>
      </c>
      <c r="DH399" s="40">
        <v>192712.55539078149</v>
      </c>
      <c r="DI399" s="422">
        <v>16905.375935490876</v>
      </c>
      <c r="DJ399" s="306">
        <v>6.0331237061610556</v>
      </c>
      <c r="DK399" s="306">
        <v>7.3708661190956599</v>
      </c>
      <c r="DL399" s="306">
        <v>4.8640086323768257</v>
      </c>
      <c r="DM399" s="28">
        <v>15305.603496302138</v>
      </c>
      <c r="DN399" s="28">
        <v>1599.772439188738</v>
      </c>
      <c r="DO399" s="423">
        <v>16905.375935490876</v>
      </c>
      <c r="DP399" s="94">
        <v>0</v>
      </c>
      <c r="DQ399" s="28">
        <v>16905.375935490876</v>
      </c>
      <c r="DR399" s="318"/>
      <c r="DT399" s="8"/>
      <c r="DU399" s="5"/>
      <c r="DX399" s="5">
        <v>37554.622660760375</v>
      </c>
      <c r="DY399" s="5">
        <v>17671.2</v>
      </c>
      <c r="DZ399" s="159">
        <v>3288.5325115308519</v>
      </c>
      <c r="EB399" s="676">
        <v>10045.100296990171</v>
      </c>
      <c r="EC399" s="676">
        <v>1190.3662395498286</v>
      </c>
      <c r="ED399" s="676">
        <v>-2062.3916922183435</v>
      </c>
      <c r="EE399" s="676">
        <v>-6179.4853108783118</v>
      </c>
      <c r="EF399" s="676">
        <v>-4172.9891974802686</v>
      </c>
      <c r="EG399" s="676">
        <v>-7708.5204301943577</v>
      </c>
      <c r="EH399" s="676">
        <v>-4954.4065892806229</v>
      </c>
      <c r="EI399" s="676">
        <v>-3131.1951688499885</v>
      </c>
      <c r="EJ399" s="676">
        <v>-2103.758274066282</v>
      </c>
      <c r="EK399" s="676">
        <v>-2739.0196144191923</v>
      </c>
      <c r="EL399" s="676">
        <v>-504.88228792302471</v>
      </c>
      <c r="EM399" s="676">
        <v>-3814.2078607918938</v>
      </c>
      <c r="EN399" s="676">
        <v>-26135.389889562284</v>
      </c>
      <c r="EQ399" s="5">
        <v>37554.622660760375</v>
      </c>
      <c r="ER399" s="5">
        <v>17671.2</v>
      </c>
      <c r="ET399" s="318">
        <v>-24108.72713019756</v>
      </c>
      <c r="EU399" s="5">
        <v>-18130.258339812797</v>
      </c>
    </row>
    <row r="400" spans="1:151" x14ac:dyDescent="0.3">
      <c r="A400" s="325">
        <v>150000882</v>
      </c>
      <c r="B400" s="41" t="s">
        <v>846</v>
      </c>
      <c r="C400" s="42" t="s">
        <v>331</v>
      </c>
      <c r="D400" s="27">
        <v>5</v>
      </c>
      <c r="E400" s="293">
        <v>3009.77</v>
      </c>
      <c r="F400" s="305">
        <v>2322.87</v>
      </c>
      <c r="G400" s="508">
        <v>0</v>
      </c>
      <c r="H400" s="677">
        <v>686.9</v>
      </c>
      <c r="I400" s="674">
        <v>8366.3145452385452</v>
      </c>
      <c r="J400" s="40">
        <v>9219.5371228127206</v>
      </c>
      <c r="K400" s="52">
        <v>853.22257757417538</v>
      </c>
      <c r="L400" s="674">
        <v>1716.7945270139555</v>
      </c>
      <c r="M400" s="40">
        <v>1879.0939095438998</v>
      </c>
      <c r="N400" s="52">
        <v>162.2993825299443</v>
      </c>
      <c r="O400" s="674">
        <v>4113.798774678341</v>
      </c>
      <c r="P400" s="40">
        <v>4113.869999999999</v>
      </c>
      <c r="Q400" s="52">
        <v>7.1225321657948371E-2</v>
      </c>
      <c r="R400" s="674">
        <v>0</v>
      </c>
      <c r="S400" s="40">
        <v>0</v>
      </c>
      <c r="T400" s="52">
        <v>0</v>
      </c>
      <c r="U400" s="674">
        <v>0</v>
      </c>
      <c r="V400" s="40">
        <v>0</v>
      </c>
      <c r="W400" s="52">
        <v>0</v>
      </c>
      <c r="X400" s="674">
        <v>5387.7270068783273</v>
      </c>
      <c r="Y400" s="40">
        <v>4027.2585554167536</v>
      </c>
      <c r="Z400" s="52">
        <v>-1360.4684514615737</v>
      </c>
      <c r="AA400" s="674">
        <v>367.62839999999994</v>
      </c>
      <c r="AB400" s="40">
        <v>0</v>
      </c>
      <c r="AC400" s="52">
        <v>-367.62839999999994</v>
      </c>
      <c r="AD400" s="674">
        <v>12918.475640638642</v>
      </c>
      <c r="AE400" s="40">
        <v>12787.675538725531</v>
      </c>
      <c r="AF400" s="35">
        <v>-130.80010191311158</v>
      </c>
      <c r="AG400" s="77">
        <v>32870.738894447815</v>
      </c>
      <c r="AH400" s="53">
        <v>32027.435126498902</v>
      </c>
      <c r="AI400" s="52">
        <v>-843.30376794891345</v>
      </c>
      <c r="AJ400" s="674">
        <v>0</v>
      </c>
      <c r="AK400" s="40">
        <v>0</v>
      </c>
      <c r="AL400" s="52">
        <v>0</v>
      </c>
      <c r="AM400" s="674">
        <v>0</v>
      </c>
      <c r="AN400" s="40">
        <v>0</v>
      </c>
      <c r="AO400" s="52">
        <v>0</v>
      </c>
      <c r="AP400" s="674">
        <v>6610.3473189512451</v>
      </c>
      <c r="AQ400" s="40">
        <v>5336.8703410825401</v>
      </c>
      <c r="AR400" s="52">
        <v>-1273.476977868705</v>
      </c>
      <c r="AS400" s="674">
        <v>28585.293852242488</v>
      </c>
      <c r="AT400" s="40">
        <v>8757.7837124523394</v>
      </c>
      <c r="AU400" s="54">
        <v>-19827.510139790149</v>
      </c>
      <c r="AV400" s="674">
        <v>1955.0963667352714</v>
      </c>
      <c r="AW400" s="40">
        <v>389</v>
      </c>
      <c r="AX400" s="55">
        <v>-1566.0963667352714</v>
      </c>
      <c r="AY400" s="674">
        <v>2814.3203388362058</v>
      </c>
      <c r="AZ400" s="40">
        <v>26</v>
      </c>
      <c r="BA400" s="35">
        <v>-2788.3203388362058</v>
      </c>
      <c r="BB400" s="674">
        <v>1941.7493299620492</v>
      </c>
      <c r="BC400" s="40">
        <v>0</v>
      </c>
      <c r="BD400" s="55">
        <v>-1941.7493299620492</v>
      </c>
      <c r="BE400" s="674">
        <v>0</v>
      </c>
      <c r="BF400" s="40">
        <v>0</v>
      </c>
      <c r="BG400" s="38">
        <v>0</v>
      </c>
      <c r="BH400" s="674">
        <v>0</v>
      </c>
      <c r="BI400" s="40">
        <v>0</v>
      </c>
      <c r="BJ400" s="55">
        <v>0</v>
      </c>
      <c r="BK400" s="674">
        <v>1104.1360364116802</v>
      </c>
      <c r="BL400" s="40">
        <v>727</v>
      </c>
      <c r="BM400" s="38">
        <v>-377.13603641168015</v>
      </c>
      <c r="BN400" s="674">
        <v>91.907099999999986</v>
      </c>
      <c r="BO400" s="40">
        <v>0</v>
      </c>
      <c r="BP400" s="55">
        <v>-91.907099999999986</v>
      </c>
      <c r="BQ400" s="77">
        <v>7907.2091719452064</v>
      </c>
      <c r="BR400" s="40">
        <v>1142</v>
      </c>
      <c r="BS400" s="55">
        <v>-6765.2091719452064</v>
      </c>
      <c r="BT400" s="674">
        <v>24425.524117925997</v>
      </c>
      <c r="BU400" s="40">
        <v>29143.911034891498</v>
      </c>
      <c r="BV400" s="52">
        <v>4718.3869169655009</v>
      </c>
      <c r="BW400" s="674">
        <v>11946.377112892969</v>
      </c>
      <c r="BX400" s="40">
        <v>10517.164770634148</v>
      </c>
      <c r="BY400" s="52">
        <v>-1429.2123422588211</v>
      </c>
      <c r="BZ400" s="674">
        <v>9529.6301841195364</v>
      </c>
      <c r="CA400" s="40">
        <v>5711.7694439904244</v>
      </c>
      <c r="CB400" s="52">
        <v>-3817.8607401291119</v>
      </c>
      <c r="CC400" s="674">
        <v>497.43713382204976</v>
      </c>
      <c r="CD400" s="40">
        <v>522.81690331147911</v>
      </c>
      <c r="CE400" s="52">
        <v>25.37976948942935</v>
      </c>
      <c r="CF400" s="674">
        <v>60.797096863533625</v>
      </c>
      <c r="CG400" s="40">
        <v>0</v>
      </c>
      <c r="CH400" s="52">
        <v>-60.797096863533625</v>
      </c>
      <c r="CI400" s="674">
        <v>4802.983510353808</v>
      </c>
      <c r="CJ400" s="40">
        <v>2351.9888658264158</v>
      </c>
      <c r="CK400" s="52">
        <v>-2450.9946445273922</v>
      </c>
      <c r="CL400" s="674">
        <v>0</v>
      </c>
      <c r="CM400" s="40">
        <v>0</v>
      </c>
      <c r="CN400" s="52">
        <v>0</v>
      </c>
      <c r="CO400" s="39">
        <v>4802.983510353808</v>
      </c>
      <c r="CP400" s="40">
        <v>2351.9888658264158</v>
      </c>
      <c r="CQ400" s="52">
        <v>-2450.9946445273922</v>
      </c>
      <c r="CR400" s="72">
        <v>127236.33839356463</v>
      </c>
      <c r="CS400" s="5">
        <v>95511.740198687752</v>
      </c>
      <c r="CT400" s="52">
        <v>-31724.598194876875</v>
      </c>
      <c r="CU400" s="77">
        <v>152683.60607227756</v>
      </c>
      <c r="CV400" s="65">
        <v>114614.08823842531</v>
      </c>
      <c r="CW400" s="35">
        <v>-38069.517833852253</v>
      </c>
      <c r="CX400" s="73">
        <v>7647.7382845229749</v>
      </c>
      <c r="CY400" s="40">
        <v>45717.256118375277</v>
      </c>
      <c r="CZ400" s="52">
        <v>38069.517833852304</v>
      </c>
      <c r="DA400" s="150">
        <v>-35050.125965198305</v>
      </c>
      <c r="DB400" s="2">
        <v>2</v>
      </c>
      <c r="DC400" s="675">
        <v>31333.84</v>
      </c>
      <c r="DD400" s="675">
        <v>7822.3</v>
      </c>
      <c r="DE400" s="675">
        <v>20220.053455301255</v>
      </c>
      <c r="DF400" s="675">
        <v>4945.7397542032686</v>
      </c>
      <c r="DG400" s="321">
        <v>3019.3918686539819</v>
      </c>
      <c r="DH400" s="40">
        <v>160318.98785255742</v>
      </c>
      <c r="DI400" s="422">
        <v>13990.34679049548</v>
      </c>
      <c r="DJ400" s="306">
        <v>4.7845064703142004</v>
      </c>
      <c r="DK400" s="306">
        <v>4.7845064703142004</v>
      </c>
      <c r="DL400" s="306">
        <v>4.1877423872422943</v>
      </c>
      <c r="DM400" s="28">
        <v>11113.786544698745</v>
      </c>
      <c r="DN400" s="28">
        <v>2876.560245796732</v>
      </c>
      <c r="DO400" s="423">
        <v>13990.346790495478</v>
      </c>
      <c r="DP400" s="94">
        <v>0</v>
      </c>
      <c r="DQ400" s="28">
        <v>13990.346790495478</v>
      </c>
      <c r="DR400" s="318"/>
      <c r="DT400" s="8"/>
      <c r="DU400" s="5"/>
      <c r="DX400" s="5">
        <v>43791.003629025232</v>
      </c>
      <c r="DY400" s="5">
        <v>11879.740454942807</v>
      </c>
      <c r="DZ400" s="159">
        <v>3931.4985010942983</v>
      </c>
      <c r="EB400" s="676">
        <v>-1440.9694953501457</v>
      </c>
      <c r="EC400" s="676">
        <v>-2713.9520345846631</v>
      </c>
      <c r="ED400" s="676">
        <v>189.78669189068387</v>
      </c>
      <c r="EE400" s="676">
        <v>-4233.3507759014101</v>
      </c>
      <c r="EF400" s="676">
        <v>-5448.1485615616493</v>
      </c>
      <c r="EG400" s="676">
        <v>-7855.8682416735164</v>
      </c>
      <c r="EH400" s="676">
        <v>-3557.9327532009775</v>
      </c>
      <c r="EI400" s="676">
        <v>-4443.2578813296004</v>
      </c>
      <c r="EJ400" s="676">
        <v>-1839.781550458114</v>
      </c>
      <c r="EK400" s="676">
        <v>-1997.0750011036107</v>
      </c>
      <c r="EL400" s="676">
        <v>643.49751232151175</v>
      </c>
      <c r="EM400" s="676">
        <v>-5372.4657429008003</v>
      </c>
      <c r="EN400" s="676">
        <v>-38069.517833852289</v>
      </c>
      <c r="EQ400" s="5">
        <v>43791.003629025232</v>
      </c>
      <c r="ER400" s="5">
        <v>11879.740454942807</v>
      </c>
      <c r="ET400" s="318">
        <v>-18134.367778229287</v>
      </c>
      <c r="EU400" s="5">
        <v>63460.759646883263</v>
      </c>
    </row>
    <row r="401" spans="1:151" x14ac:dyDescent="0.3">
      <c r="A401" s="325">
        <v>150000883</v>
      </c>
      <c r="B401" s="41" t="s">
        <v>847</v>
      </c>
      <c r="C401" s="42" t="s">
        <v>332</v>
      </c>
      <c r="D401" s="27">
        <v>5</v>
      </c>
      <c r="E401" s="293">
        <v>1851.94</v>
      </c>
      <c r="F401" s="305">
        <v>1851.94</v>
      </c>
      <c r="G401" s="508">
        <v>0</v>
      </c>
      <c r="H401" s="677">
        <v>0</v>
      </c>
      <c r="I401" s="674">
        <v>6017.6829385551655</v>
      </c>
      <c r="J401" s="40">
        <v>6594.1212895680383</v>
      </c>
      <c r="K401" s="52">
        <v>576.43835101287277</v>
      </c>
      <c r="L401" s="674">
        <v>1021.1531739180061</v>
      </c>
      <c r="M401" s="40">
        <v>1117.6948830468259</v>
      </c>
      <c r="N401" s="52">
        <v>96.541709128819775</v>
      </c>
      <c r="O401" s="674">
        <v>2609.5746739679748</v>
      </c>
      <c r="P401" s="40">
        <v>2609.67</v>
      </c>
      <c r="Q401" s="52">
        <v>9.5326032025241147E-2</v>
      </c>
      <c r="R401" s="674">
        <v>0</v>
      </c>
      <c r="S401" s="40">
        <v>0</v>
      </c>
      <c r="T401" s="52">
        <v>0</v>
      </c>
      <c r="U401" s="674">
        <v>0</v>
      </c>
      <c r="V401" s="40">
        <v>0</v>
      </c>
      <c r="W401" s="52">
        <v>0</v>
      </c>
      <c r="X401" s="674">
        <v>3003.7855727955134</v>
      </c>
      <c r="Y401" s="40">
        <v>2231.7042675564544</v>
      </c>
      <c r="Z401" s="52">
        <v>-772.08130523905902</v>
      </c>
      <c r="AA401" s="674">
        <v>222.2328</v>
      </c>
      <c r="AB401" s="40">
        <v>0</v>
      </c>
      <c r="AC401" s="52">
        <v>-222.2328</v>
      </c>
      <c r="AD401" s="674">
        <v>7940.1697740582858</v>
      </c>
      <c r="AE401" s="40">
        <v>7868.3347385956531</v>
      </c>
      <c r="AF401" s="35">
        <v>-71.835035462632732</v>
      </c>
      <c r="AG401" s="77">
        <v>20814.598933294947</v>
      </c>
      <c r="AH401" s="53">
        <v>20421.525178766969</v>
      </c>
      <c r="AI401" s="52">
        <v>-393.07375452797714</v>
      </c>
      <c r="AJ401" s="674">
        <v>0</v>
      </c>
      <c r="AK401" s="40">
        <v>0</v>
      </c>
      <c r="AL401" s="52">
        <v>0</v>
      </c>
      <c r="AM401" s="674">
        <v>0</v>
      </c>
      <c r="AN401" s="40">
        <v>0</v>
      </c>
      <c r="AO401" s="52">
        <v>0</v>
      </c>
      <c r="AP401" s="674">
        <v>5396.2018930214253</v>
      </c>
      <c r="AQ401" s="40">
        <v>4326.0866459067802</v>
      </c>
      <c r="AR401" s="52">
        <v>-1070.1152471146452</v>
      </c>
      <c r="AS401" s="674">
        <v>17750.99944942072</v>
      </c>
      <c r="AT401" s="40">
        <v>66224.62</v>
      </c>
      <c r="AU401" s="54">
        <v>48473.620550579275</v>
      </c>
      <c r="AV401" s="674">
        <v>1347.3889243791004</v>
      </c>
      <c r="AW401" s="40">
        <v>1148</v>
      </c>
      <c r="AX401" s="55">
        <v>-199.38892437910044</v>
      </c>
      <c r="AY401" s="674">
        <v>1673.8575523080276</v>
      </c>
      <c r="AZ401" s="40">
        <v>0</v>
      </c>
      <c r="BA401" s="35">
        <v>-1673.8575523080276</v>
      </c>
      <c r="BB401" s="674">
        <v>1088.7825276174024</v>
      </c>
      <c r="BC401" s="40">
        <v>0</v>
      </c>
      <c r="BD401" s="55">
        <v>-1088.7825276174024</v>
      </c>
      <c r="BE401" s="674">
        <v>0</v>
      </c>
      <c r="BF401" s="40">
        <v>0</v>
      </c>
      <c r="BG401" s="38">
        <v>0</v>
      </c>
      <c r="BH401" s="674">
        <v>0</v>
      </c>
      <c r="BI401" s="40">
        <v>0</v>
      </c>
      <c r="BJ401" s="55">
        <v>0</v>
      </c>
      <c r="BK401" s="674">
        <v>537.4913659354205</v>
      </c>
      <c r="BL401" s="40">
        <v>709</v>
      </c>
      <c r="BM401" s="38">
        <v>171.5086340645795</v>
      </c>
      <c r="BN401" s="674">
        <v>55.558199999999999</v>
      </c>
      <c r="BO401" s="40">
        <v>0</v>
      </c>
      <c r="BP401" s="55">
        <v>-55.558199999999999</v>
      </c>
      <c r="BQ401" s="77">
        <v>4703.0785702399517</v>
      </c>
      <c r="BR401" s="40">
        <v>1857</v>
      </c>
      <c r="BS401" s="55">
        <v>-2846.0785702399517</v>
      </c>
      <c r="BT401" s="674">
        <v>22379.117005362135</v>
      </c>
      <c r="BU401" s="40">
        <v>25213.878865231149</v>
      </c>
      <c r="BV401" s="52">
        <v>2834.7618598690133</v>
      </c>
      <c r="BW401" s="674">
        <v>7337.5591767803771</v>
      </c>
      <c r="BX401" s="40">
        <v>6677.3480984796488</v>
      </c>
      <c r="BY401" s="52">
        <v>-660.21107830072833</v>
      </c>
      <c r="BZ401" s="674">
        <v>6578.6772009090364</v>
      </c>
      <c r="CA401" s="40">
        <v>5698.7995149922717</v>
      </c>
      <c r="CB401" s="52">
        <v>-879.87768591676468</v>
      </c>
      <c r="CC401" s="674">
        <v>0</v>
      </c>
      <c r="CD401" s="40">
        <v>0</v>
      </c>
      <c r="CE401" s="52">
        <v>0</v>
      </c>
      <c r="CF401" s="674">
        <v>0</v>
      </c>
      <c r="CG401" s="40">
        <v>0</v>
      </c>
      <c r="CH401" s="52">
        <v>0</v>
      </c>
      <c r="CI401" s="674">
        <v>696.8124603697172</v>
      </c>
      <c r="CJ401" s="40">
        <v>1083.2418057488194</v>
      </c>
      <c r="CK401" s="52">
        <v>386.42934537910219</v>
      </c>
      <c r="CL401" s="674">
        <v>0</v>
      </c>
      <c r="CM401" s="40">
        <v>0</v>
      </c>
      <c r="CN401" s="52">
        <v>0</v>
      </c>
      <c r="CO401" s="39">
        <v>696.8124603697172</v>
      </c>
      <c r="CP401" s="40">
        <v>1083.2418057488194</v>
      </c>
      <c r="CQ401" s="52">
        <v>386.42934537910219</v>
      </c>
      <c r="CR401" s="72">
        <v>85657.044689398303</v>
      </c>
      <c r="CS401" s="5">
        <v>131502.50010912563</v>
      </c>
      <c r="CT401" s="52">
        <v>45845.455419727325</v>
      </c>
      <c r="CU401" s="77">
        <v>102788.45362727797</v>
      </c>
      <c r="CV401" s="65">
        <v>157803.00013095074</v>
      </c>
      <c r="CW401" s="35">
        <v>55014.546503672769</v>
      </c>
      <c r="CX401" s="73">
        <v>2701.8731529475849</v>
      </c>
      <c r="CY401" s="40">
        <v>-52312.673350725214</v>
      </c>
      <c r="CZ401" s="52">
        <v>-55014.546503672798</v>
      </c>
      <c r="DA401" s="150">
        <v>49657.571724454814</v>
      </c>
      <c r="DB401" s="2">
        <v>2</v>
      </c>
      <c r="DC401" s="675">
        <v>10950.26</v>
      </c>
      <c r="DD401" s="675">
        <v>0</v>
      </c>
      <c r="DE401" s="675">
        <v>1708.5321109646375</v>
      </c>
      <c r="DF401" s="675">
        <v>0</v>
      </c>
      <c r="DG401" s="321">
        <v>-5356.9747792179814</v>
      </c>
      <c r="DH401" s="40">
        <v>105482.31554095686</v>
      </c>
      <c r="DI401" s="422">
        <v>9241.7278890353609</v>
      </c>
      <c r="DJ401" s="306">
        <v>4.9902955220122482</v>
      </c>
      <c r="DK401" s="306">
        <v>4.9902955220122482</v>
      </c>
      <c r="DL401" s="306">
        <v>4.5453637618351932</v>
      </c>
      <c r="DM401" s="28">
        <v>9241.7278890353628</v>
      </c>
      <c r="DN401" s="28">
        <v>0</v>
      </c>
      <c r="DO401" s="423">
        <v>9241.7278890353628</v>
      </c>
      <c r="DP401" s="94">
        <v>0</v>
      </c>
      <c r="DQ401" s="28">
        <v>9241.7278890353628</v>
      </c>
      <c r="DR401" s="318"/>
      <c r="DT401" s="8"/>
      <c r="DU401" s="5"/>
      <c r="DX401" s="5">
        <v>26944.893623592805</v>
      </c>
      <c r="DY401" s="5">
        <v>81697.943999999989</v>
      </c>
      <c r="DZ401" s="159">
        <v>2464.5821262694831</v>
      </c>
      <c r="EB401" s="676">
        <v>-637.1929058148271</v>
      </c>
      <c r="EC401" s="676">
        <v>-1058.9650669138791</v>
      </c>
      <c r="ED401" s="676">
        <v>1674.8165377915202</v>
      </c>
      <c r="EE401" s="676">
        <v>-4218.9254358885191</v>
      </c>
      <c r="EF401" s="676">
        <v>-2859.1362835318796</v>
      </c>
      <c r="EG401" s="676">
        <v>-2583.7460591641211</v>
      </c>
      <c r="EH401" s="676">
        <v>-2941.3576949061235</v>
      </c>
      <c r="EI401" s="676">
        <v>-1361.156173352043</v>
      </c>
      <c r="EJ401" s="676">
        <v>-161.33758985364329</v>
      </c>
      <c r="EK401" s="676">
        <v>-2566.1250126436698</v>
      </c>
      <c r="EL401" s="676">
        <v>75227.781984341738</v>
      </c>
      <c r="EM401" s="676">
        <v>-3500.1097963917582</v>
      </c>
      <c r="EN401" s="676">
        <v>55014.546503672798</v>
      </c>
      <c r="EQ401" s="5">
        <v>26944.893623592805</v>
      </c>
      <c r="ER401" s="5">
        <v>81697.943999999989</v>
      </c>
      <c r="ET401" s="318">
        <v>-8960.0650749366323</v>
      </c>
      <c r="EU401" s="5">
        <v>-2448.9097042813437</v>
      </c>
    </row>
    <row r="402" spans="1:151" x14ac:dyDescent="0.3">
      <c r="A402" s="325">
        <v>150000884</v>
      </c>
      <c r="B402" s="41" t="s">
        <v>848</v>
      </c>
      <c r="C402" s="42" t="s">
        <v>333</v>
      </c>
      <c r="D402" s="27">
        <v>5</v>
      </c>
      <c r="E402" s="293">
        <v>3400.35</v>
      </c>
      <c r="F402" s="305">
        <v>2555.1</v>
      </c>
      <c r="G402" s="508">
        <v>0</v>
      </c>
      <c r="H402" s="677">
        <v>845.25</v>
      </c>
      <c r="I402" s="674">
        <v>10770.689541403701</v>
      </c>
      <c r="J402" s="40">
        <v>11808.700550963194</v>
      </c>
      <c r="K402" s="52">
        <v>1038.0110095594937</v>
      </c>
      <c r="L402" s="674">
        <v>2249.3091701891321</v>
      </c>
      <c r="M402" s="40">
        <v>2461.9530246212798</v>
      </c>
      <c r="N402" s="52">
        <v>212.64385443214769</v>
      </c>
      <c r="O402" s="674">
        <v>4467.5527457940243</v>
      </c>
      <c r="P402" s="40">
        <v>4467.63</v>
      </c>
      <c r="Q402" s="52">
        <v>7.7254205975805235E-2</v>
      </c>
      <c r="R402" s="674">
        <v>0</v>
      </c>
      <c r="S402" s="40">
        <v>0</v>
      </c>
      <c r="T402" s="52">
        <v>0</v>
      </c>
      <c r="U402" s="674">
        <v>0</v>
      </c>
      <c r="V402" s="40">
        <v>0</v>
      </c>
      <c r="W402" s="52">
        <v>0</v>
      </c>
      <c r="X402" s="674">
        <v>7017.6500267642132</v>
      </c>
      <c r="Y402" s="40">
        <v>5781.9279439881238</v>
      </c>
      <c r="Z402" s="52">
        <v>-1235.7220827760893</v>
      </c>
      <c r="AA402" s="674">
        <v>407.97</v>
      </c>
      <c r="AB402" s="40">
        <v>0</v>
      </c>
      <c r="AC402" s="52">
        <v>-407.97</v>
      </c>
      <c r="AD402" s="674">
        <v>14528.128986031126</v>
      </c>
      <c r="AE402" s="40">
        <v>14447.213298617244</v>
      </c>
      <c r="AF402" s="35">
        <v>-80.915687413882551</v>
      </c>
      <c r="AG402" s="77">
        <v>39441.300470182192</v>
      </c>
      <c r="AH402" s="53">
        <v>38967.424818189844</v>
      </c>
      <c r="AI402" s="52">
        <v>-473.87565199234814</v>
      </c>
      <c r="AJ402" s="674">
        <v>0</v>
      </c>
      <c r="AK402" s="40">
        <v>0</v>
      </c>
      <c r="AL402" s="52">
        <v>0</v>
      </c>
      <c r="AM402" s="674">
        <v>0</v>
      </c>
      <c r="AN402" s="40">
        <v>0</v>
      </c>
      <c r="AO402" s="52">
        <v>0</v>
      </c>
      <c r="AP402" s="674">
        <v>8633.9230288342769</v>
      </c>
      <c r="AQ402" s="40">
        <v>8429.5931745688758</v>
      </c>
      <c r="AR402" s="52">
        <v>-204.32985426540108</v>
      </c>
      <c r="AS402" s="674">
        <v>37348.080687334674</v>
      </c>
      <c r="AT402" s="40">
        <v>126284.49</v>
      </c>
      <c r="AU402" s="54">
        <v>88936.409312665332</v>
      </c>
      <c r="AV402" s="674">
        <v>2493.1455960929729</v>
      </c>
      <c r="AW402" s="40">
        <v>1382</v>
      </c>
      <c r="AX402" s="55">
        <v>-1111.1455960929729</v>
      </c>
      <c r="AY402" s="674">
        <v>3687.1830860606542</v>
      </c>
      <c r="AZ402" s="40">
        <v>13</v>
      </c>
      <c r="BA402" s="35">
        <v>-3674.1830860606542</v>
      </c>
      <c r="BB402" s="674">
        <v>1998.8397564165646</v>
      </c>
      <c r="BC402" s="40">
        <v>0</v>
      </c>
      <c r="BD402" s="55">
        <v>-1998.8397564165646</v>
      </c>
      <c r="BE402" s="674">
        <v>0</v>
      </c>
      <c r="BF402" s="40">
        <v>0</v>
      </c>
      <c r="BG402" s="38">
        <v>0</v>
      </c>
      <c r="BH402" s="674">
        <v>0</v>
      </c>
      <c r="BI402" s="40">
        <v>0</v>
      </c>
      <c r="BJ402" s="55">
        <v>0</v>
      </c>
      <c r="BK402" s="674">
        <v>1644.2243007905431</v>
      </c>
      <c r="BL402" s="40">
        <v>334</v>
      </c>
      <c r="BM402" s="38">
        <v>-1310.2243007905431</v>
      </c>
      <c r="BN402" s="674">
        <v>101.99250000000001</v>
      </c>
      <c r="BO402" s="40">
        <v>0</v>
      </c>
      <c r="BP402" s="55">
        <v>-101.99250000000001</v>
      </c>
      <c r="BQ402" s="77">
        <v>9925.3852393607358</v>
      </c>
      <c r="BR402" s="40">
        <v>1729</v>
      </c>
      <c r="BS402" s="55">
        <v>-8196.3852393607358</v>
      </c>
      <c r="BT402" s="674">
        <v>16549.331200653578</v>
      </c>
      <c r="BU402" s="40">
        <v>22947.775966504414</v>
      </c>
      <c r="BV402" s="52">
        <v>6398.4447658508361</v>
      </c>
      <c r="BW402" s="674">
        <v>19138.009596259391</v>
      </c>
      <c r="BX402" s="40">
        <v>17187.665146732539</v>
      </c>
      <c r="BY402" s="52">
        <v>-1950.3444495268523</v>
      </c>
      <c r="BZ402" s="674">
        <v>10164.403016997525</v>
      </c>
      <c r="CA402" s="40">
        <v>5495.874721976822</v>
      </c>
      <c r="CB402" s="52">
        <v>-4668.5282950207029</v>
      </c>
      <c r="CC402" s="674">
        <v>661.39685949523937</v>
      </c>
      <c r="CD402" s="40">
        <v>695.14202786665953</v>
      </c>
      <c r="CE402" s="52">
        <v>33.745168371420164</v>
      </c>
      <c r="CF402" s="674">
        <v>80.836363427491591</v>
      </c>
      <c r="CG402" s="40">
        <v>0</v>
      </c>
      <c r="CH402" s="52">
        <v>-80.836363427491591</v>
      </c>
      <c r="CI402" s="674">
        <v>4888.2932800300896</v>
      </c>
      <c r="CJ402" s="40">
        <v>4788.9735902101274</v>
      </c>
      <c r="CK402" s="52">
        <v>-99.31968981996215</v>
      </c>
      <c r="CL402" s="674">
        <v>0</v>
      </c>
      <c r="CM402" s="40">
        <v>0</v>
      </c>
      <c r="CN402" s="52">
        <v>0</v>
      </c>
      <c r="CO402" s="39">
        <v>4888.2932800300896</v>
      </c>
      <c r="CP402" s="40">
        <v>4788.9735902101274</v>
      </c>
      <c r="CQ402" s="52">
        <v>-99.31968981996215</v>
      </c>
      <c r="CR402" s="72">
        <v>146830.95974257519</v>
      </c>
      <c r="CS402" s="5">
        <v>226525.93944604925</v>
      </c>
      <c r="CT402" s="52">
        <v>79694.979703474062</v>
      </c>
      <c r="CU402" s="77">
        <v>176197.15169109023</v>
      </c>
      <c r="CV402" s="65">
        <v>271831.12733525911</v>
      </c>
      <c r="CW402" s="35">
        <v>95633.975644168881</v>
      </c>
      <c r="CX402" s="73">
        <v>1805.0075563726396</v>
      </c>
      <c r="CY402" s="40">
        <v>-93828.968087796238</v>
      </c>
      <c r="CZ402" s="52">
        <v>-95633.975644168881</v>
      </c>
      <c r="DA402" s="150">
        <v>82464.061557938243</v>
      </c>
      <c r="DB402" s="2">
        <v>2</v>
      </c>
      <c r="DC402" s="675">
        <v>25279.56</v>
      </c>
      <c r="DD402" s="675">
        <v>19903.530000000002</v>
      </c>
      <c r="DE402" s="675">
        <v>13033.293461972051</v>
      </c>
      <c r="DF402" s="675">
        <v>16550.541290711146</v>
      </c>
      <c r="DG402" s="321">
        <v>-13169.914086230636</v>
      </c>
      <c r="DH402" s="40">
        <v>177988.6572703307</v>
      </c>
      <c r="DI402" s="422">
        <v>15599.255247316807</v>
      </c>
      <c r="DJ402" s="306">
        <v>4.7928717224484174</v>
      </c>
      <c r="DK402" s="306">
        <v>4.7928717224484174</v>
      </c>
      <c r="DL402" s="306">
        <v>3.9668603481678271</v>
      </c>
      <c r="DM402" s="28">
        <v>12246.26653802795</v>
      </c>
      <c r="DN402" s="28">
        <v>3352.9887092888557</v>
      </c>
      <c r="DO402" s="423">
        <v>15599.255247316807</v>
      </c>
      <c r="DP402" s="94">
        <v>0</v>
      </c>
      <c r="DQ402" s="28">
        <v>15599.255247316807</v>
      </c>
      <c r="DR402" s="318"/>
      <c r="DT402" s="8"/>
      <c r="DU402" s="5"/>
      <c r="DX402" s="5">
        <v>56728.159112034489</v>
      </c>
      <c r="DY402" s="5">
        <v>153616.18799999999</v>
      </c>
      <c r="DZ402" s="159">
        <v>5151.091549834362</v>
      </c>
      <c r="EB402" s="676">
        <v>140167.5925266674</v>
      </c>
      <c r="EC402" s="676">
        <v>-2011.9913479639144</v>
      </c>
      <c r="ED402" s="676">
        <v>2307.2548531212688</v>
      </c>
      <c r="EE402" s="676">
        <v>-8853.172840853822</v>
      </c>
      <c r="EF402" s="676">
        <v>-7225.8185595848554</v>
      </c>
      <c r="EG402" s="676">
        <v>-7501.8573083367291</v>
      </c>
      <c r="EH402" s="676">
        <v>-5990.0164100534948</v>
      </c>
      <c r="EI402" s="676">
        <v>-4445.0691321786471</v>
      </c>
      <c r="EJ402" s="676">
        <v>-724.02790189620828</v>
      </c>
      <c r="EK402" s="676">
        <v>-5077.8255002574879</v>
      </c>
      <c r="EL402" s="676">
        <v>-5413.966991281859</v>
      </c>
      <c r="EM402" s="676">
        <v>402.87425678722684</v>
      </c>
      <c r="EN402" s="676">
        <v>95633.975644168881</v>
      </c>
      <c r="EQ402" s="5">
        <v>56728.159112034489</v>
      </c>
      <c r="ER402" s="5">
        <v>153616.18799999999</v>
      </c>
      <c r="ET402" s="318">
        <v>-29724.928709314794</v>
      </c>
      <c r="EU402" s="5">
        <v>-32572.985376915829</v>
      </c>
    </row>
    <row r="403" spans="1:151" ht="15" thickBot="1" x14ac:dyDescent="0.35">
      <c r="A403" s="325">
        <v>150000885</v>
      </c>
      <c r="B403" s="44" t="s">
        <v>849</v>
      </c>
      <c r="C403" s="45" t="s">
        <v>239</v>
      </c>
      <c r="D403" s="46">
        <v>4</v>
      </c>
      <c r="E403" s="294">
        <v>1494.6000000000001</v>
      </c>
      <c r="F403" s="509">
        <v>1448.4</v>
      </c>
      <c r="G403" s="510">
        <v>0</v>
      </c>
      <c r="H403" s="678">
        <v>46.2</v>
      </c>
      <c r="I403" s="674">
        <v>5189.6810771733326</v>
      </c>
      <c r="J403" s="40">
        <v>5664.8358460294157</v>
      </c>
      <c r="K403" s="56">
        <v>475.15476885608314</v>
      </c>
      <c r="L403" s="674">
        <v>915.00766469281086</v>
      </c>
      <c r="M403" s="40">
        <v>1001.5147350930667</v>
      </c>
      <c r="N403" s="56">
        <v>86.507070400255884</v>
      </c>
      <c r="O403" s="674">
        <v>2070.4799801048744</v>
      </c>
      <c r="P403" s="40">
        <v>2070.5700000000006</v>
      </c>
      <c r="Q403" s="56">
        <v>9.0019895126260963E-2</v>
      </c>
      <c r="R403" s="674">
        <v>0</v>
      </c>
      <c r="S403" s="40">
        <v>0</v>
      </c>
      <c r="T403" s="56">
        <v>0</v>
      </c>
      <c r="U403" s="674">
        <v>0</v>
      </c>
      <c r="V403" s="40">
        <v>0</v>
      </c>
      <c r="W403" s="56">
        <v>0</v>
      </c>
      <c r="X403" s="674">
        <v>2835.609237325823</v>
      </c>
      <c r="Y403" s="40">
        <v>1975.5584514285031</v>
      </c>
      <c r="Z403" s="56">
        <v>-860.05078589731988</v>
      </c>
      <c r="AA403" s="674">
        <v>179.35200000000003</v>
      </c>
      <c r="AB403" s="40">
        <v>0</v>
      </c>
      <c r="AC403" s="56">
        <v>-179.35200000000003</v>
      </c>
      <c r="AD403" s="674">
        <v>6405.3788141999166</v>
      </c>
      <c r="AE403" s="40">
        <v>6350.2260445774336</v>
      </c>
      <c r="AF403" s="36">
        <v>-55.152769622482992</v>
      </c>
      <c r="AG403" s="80">
        <v>17595.50877349676</v>
      </c>
      <c r="AH403" s="57">
        <v>17062.705077128419</v>
      </c>
      <c r="AI403" s="56">
        <v>-532.80369636834075</v>
      </c>
      <c r="AJ403" s="674">
        <v>0</v>
      </c>
      <c r="AK403" s="40">
        <v>0</v>
      </c>
      <c r="AL403" s="56">
        <v>0</v>
      </c>
      <c r="AM403" s="674">
        <v>0</v>
      </c>
      <c r="AN403" s="40">
        <v>0</v>
      </c>
      <c r="AO403" s="56">
        <v>0</v>
      </c>
      <c r="AP403" s="674">
        <v>4316.9615144171385</v>
      </c>
      <c r="AQ403" s="40">
        <v>2022.0147126784939</v>
      </c>
      <c r="AR403" s="56">
        <v>-2294.9468017386444</v>
      </c>
      <c r="AS403" s="674">
        <v>17442.645903985591</v>
      </c>
      <c r="AT403" s="40">
        <v>1298</v>
      </c>
      <c r="AU403" s="59">
        <v>-16144.645903985591</v>
      </c>
      <c r="AV403" s="674">
        <v>1187.0143455968512</v>
      </c>
      <c r="AW403" s="40">
        <v>1761.88</v>
      </c>
      <c r="AX403" s="70">
        <v>574.86565440314894</v>
      </c>
      <c r="AY403" s="674">
        <v>1500.0366832758391</v>
      </c>
      <c r="AZ403" s="40">
        <v>0</v>
      </c>
      <c r="BA403" s="36">
        <v>-1500.0366832758391</v>
      </c>
      <c r="BB403" s="674">
        <v>823.64583100251912</v>
      </c>
      <c r="BC403" s="40">
        <v>0</v>
      </c>
      <c r="BD403" s="70">
        <v>-823.64583100251912</v>
      </c>
      <c r="BE403" s="674">
        <v>0</v>
      </c>
      <c r="BF403" s="40">
        <v>0</v>
      </c>
      <c r="BG403" s="68">
        <v>0</v>
      </c>
      <c r="BH403" s="674">
        <v>0</v>
      </c>
      <c r="BI403" s="40">
        <v>0</v>
      </c>
      <c r="BJ403" s="70">
        <v>0</v>
      </c>
      <c r="BK403" s="674">
        <v>522.03066764842379</v>
      </c>
      <c r="BL403" s="40">
        <v>0</v>
      </c>
      <c r="BM403" s="68">
        <v>-522.03066764842379</v>
      </c>
      <c r="BN403" s="674">
        <v>44.838000000000008</v>
      </c>
      <c r="BO403" s="40">
        <v>0</v>
      </c>
      <c r="BP403" s="70">
        <v>-44.838000000000008</v>
      </c>
      <c r="BQ403" s="58">
        <v>4077.5655275236331</v>
      </c>
      <c r="BR403" s="34">
        <v>1761.88</v>
      </c>
      <c r="BS403" s="70">
        <v>-2315.685527523633</v>
      </c>
      <c r="BT403" s="674">
        <v>18379.937945705424</v>
      </c>
      <c r="BU403" s="40">
        <v>20986.275989243433</v>
      </c>
      <c r="BV403" s="56">
        <v>2606.3380435380095</v>
      </c>
      <c r="BW403" s="674">
        <v>8590.7218625799578</v>
      </c>
      <c r="BX403" s="40">
        <v>7047.597771926019</v>
      </c>
      <c r="BY403" s="56">
        <v>-1543.1240906539388</v>
      </c>
      <c r="BZ403" s="674">
        <v>5973.4242837358661</v>
      </c>
      <c r="CA403" s="40">
        <v>3988.773446110773</v>
      </c>
      <c r="CB403" s="56">
        <v>-1984.6508376250931</v>
      </c>
      <c r="CC403" s="674">
        <v>233.43418570420212</v>
      </c>
      <c r="CD403" s="40">
        <v>245.34424512940916</v>
      </c>
      <c r="CE403" s="56">
        <v>11.910059425207038</v>
      </c>
      <c r="CF403" s="674">
        <v>28.53048120970292</v>
      </c>
      <c r="CG403" s="40">
        <v>0</v>
      </c>
      <c r="CH403" s="56">
        <v>-28.53048120970292</v>
      </c>
      <c r="CI403" s="674">
        <v>1889.4729494604696</v>
      </c>
      <c r="CJ403" s="40">
        <v>1643.7538213852943</v>
      </c>
      <c r="CK403" s="56">
        <v>-245.71912807517538</v>
      </c>
      <c r="CL403" s="674">
        <v>0</v>
      </c>
      <c r="CM403" s="40">
        <v>0</v>
      </c>
      <c r="CN403" s="56">
        <v>0</v>
      </c>
      <c r="CO403" s="71">
        <v>1889.4729494604696</v>
      </c>
      <c r="CP403" s="40">
        <v>1643.7538213852943</v>
      </c>
      <c r="CQ403" s="56">
        <v>-245.71912807517538</v>
      </c>
      <c r="CR403" s="69">
        <v>78528.203427818749</v>
      </c>
      <c r="CS403" s="5">
        <v>56056.345063601846</v>
      </c>
      <c r="CT403" s="56">
        <v>-22471.858364216903</v>
      </c>
      <c r="CU403" s="77">
        <v>94233.844113382496</v>
      </c>
      <c r="CV403" s="65">
        <v>67267.614076322207</v>
      </c>
      <c r="CW403" s="36">
        <v>-26966.23003706029</v>
      </c>
      <c r="CX403" s="73">
        <v>2850.3198559058706</v>
      </c>
      <c r="CY403" s="40">
        <v>29816.549892966155</v>
      </c>
      <c r="CZ403" s="56">
        <v>26966.230037060286</v>
      </c>
      <c r="DA403" s="150">
        <v>-29707.216103311883</v>
      </c>
      <c r="DB403" s="2">
        <v>2</v>
      </c>
      <c r="DC403" s="675">
        <v>12135.83</v>
      </c>
      <c r="DD403" s="675">
        <v>233.16</v>
      </c>
      <c r="DE403" s="675">
        <v>3852.7261725754524</v>
      </c>
      <c r="DF403" s="675">
        <v>2.6462045469770601E-3</v>
      </c>
      <c r="DG403" s="321">
        <v>-2740.9860662516076</v>
      </c>
      <c r="DH403" s="40">
        <v>97076.82657928257</v>
      </c>
      <c r="DI403" s="422">
        <v>8516.2611812200012</v>
      </c>
      <c r="DJ403" s="306">
        <v>5.7187957935822613</v>
      </c>
      <c r="DK403" s="306">
        <v>5.7187957935822613</v>
      </c>
      <c r="DL403" s="306">
        <v>5.0466959695985496</v>
      </c>
      <c r="DM403" s="28">
        <v>8283.1038274245475</v>
      </c>
      <c r="DN403" s="28">
        <v>233.15735379545302</v>
      </c>
      <c r="DO403" s="423">
        <v>8516.2611812200012</v>
      </c>
      <c r="DP403" s="94">
        <v>0</v>
      </c>
      <c r="DQ403" s="28">
        <v>8516.2611812200012</v>
      </c>
      <c r="DR403" s="318"/>
      <c r="DT403" s="8"/>
      <c r="DU403" s="5"/>
      <c r="DX403" s="5">
        <v>25824.253717811069</v>
      </c>
      <c r="DY403" s="5">
        <v>3671.8560000000002</v>
      </c>
      <c r="DZ403" s="159">
        <v>2354.788498562677</v>
      </c>
      <c r="EB403" s="676">
        <v>-713.23489024230912</v>
      </c>
      <c r="EC403" s="676">
        <v>-1128.2999689030257</v>
      </c>
      <c r="ED403" s="676">
        <v>1118.2213742359891</v>
      </c>
      <c r="EE403" s="676">
        <v>-3179.7990016689764</v>
      </c>
      <c r="EF403" s="676">
        <v>-3163.1658621668475</v>
      </c>
      <c r="EG403" s="676">
        <v>-1419.4902342664391</v>
      </c>
      <c r="EH403" s="676">
        <v>-3572.1727056879872</v>
      </c>
      <c r="EI403" s="676">
        <v>-2745.675260307682</v>
      </c>
      <c r="EJ403" s="676">
        <v>-2792.7170223307621</v>
      </c>
      <c r="EK403" s="676">
        <v>-2340.1974911149646</v>
      </c>
      <c r="EL403" s="676">
        <v>-3762.8993307309474</v>
      </c>
      <c r="EM403" s="676">
        <v>-3266.7996438763266</v>
      </c>
      <c r="EN403" s="676">
        <v>-26966.230037060275</v>
      </c>
      <c r="EQ403" s="5">
        <v>25824.253717811069</v>
      </c>
      <c r="ER403" s="5">
        <v>3671.8560000000002</v>
      </c>
      <c r="ET403" s="318">
        <v>-16568.518551710469</v>
      </c>
      <c r="EU403" s="5">
        <v>-12369.46751454114</v>
      </c>
    </row>
    <row r="404" spans="1:151" s="4" customFormat="1" ht="24.75" customHeight="1" thickBot="1" x14ac:dyDescent="0.35">
      <c r="A404" s="326"/>
      <c r="B404" s="47"/>
      <c r="C404" s="48" t="s">
        <v>853</v>
      </c>
      <c r="D404" s="48"/>
      <c r="E404" s="63">
        <v>1015028.5299999997</v>
      </c>
      <c r="F404" s="505">
        <v>964778.38999999978</v>
      </c>
      <c r="G404" s="506">
        <v>52630.140000000014</v>
      </c>
      <c r="H404" s="507">
        <v>50250.140000000014</v>
      </c>
      <c r="I404" s="679">
        <v>3084527.3540657205</v>
      </c>
      <c r="J404" s="62">
        <v>2995151.6904996051</v>
      </c>
      <c r="K404" s="63">
        <v>-89375.663566115312</v>
      </c>
      <c r="L404" s="61">
        <v>588366.49370730855</v>
      </c>
      <c r="M404" s="62">
        <v>567178.49017027998</v>
      </c>
      <c r="N404" s="60">
        <v>-21188.003537028562</v>
      </c>
      <c r="O404" s="64">
        <v>1313510.4019003226</v>
      </c>
      <c r="P404" s="62">
        <v>1313664.7599999993</v>
      </c>
      <c r="Q404" s="63">
        <v>154.35809967666864</v>
      </c>
      <c r="R404" s="61">
        <v>179473.2820790991</v>
      </c>
      <c r="S404" s="62">
        <v>179521.18499999997</v>
      </c>
      <c r="T404" s="60">
        <v>47.902920900873141</v>
      </c>
      <c r="U404" s="64">
        <v>145766.46447530834</v>
      </c>
      <c r="V404" s="62">
        <v>118524.92268337792</v>
      </c>
      <c r="W404" s="63">
        <v>-27241.541791930416</v>
      </c>
      <c r="X404" s="61">
        <v>1942168.8924516197</v>
      </c>
      <c r="Y404" s="62">
        <v>1571851.0659591439</v>
      </c>
      <c r="Z404" s="60">
        <v>-370317.82649247581</v>
      </c>
      <c r="AA404" s="61">
        <v>119685.76320000006</v>
      </c>
      <c r="AB404" s="62">
        <v>18171.157012000207</v>
      </c>
      <c r="AC404" s="60">
        <v>-101514.60618799986</v>
      </c>
      <c r="AD404" s="64">
        <v>4267842.2414029473</v>
      </c>
      <c r="AE404" s="62">
        <v>4308365.6784524862</v>
      </c>
      <c r="AF404" s="63">
        <v>40523.437049538828</v>
      </c>
      <c r="AG404" s="61">
        <v>11641340.893282332</v>
      </c>
      <c r="AH404" s="62">
        <v>11072428.949776893</v>
      </c>
      <c r="AI404" s="60">
        <v>-568911.94350543804</v>
      </c>
      <c r="AJ404" s="64">
        <v>4890694.9211549126</v>
      </c>
      <c r="AK404" s="62">
        <v>4846291.8715332281</v>
      </c>
      <c r="AL404" s="63">
        <v>-44403.049621684477</v>
      </c>
      <c r="AM404" s="61">
        <v>86164.970934030149</v>
      </c>
      <c r="AN404" s="62">
        <v>35151.763119044095</v>
      </c>
      <c r="AO404" s="63">
        <v>-51013.207814986054</v>
      </c>
      <c r="AP404" s="61">
        <v>1453039.2489498621</v>
      </c>
      <c r="AQ404" s="62">
        <v>1248928.2032617219</v>
      </c>
      <c r="AR404" s="63">
        <v>-204111.04568814021</v>
      </c>
      <c r="AS404" s="61">
        <v>13169792.835659696</v>
      </c>
      <c r="AT404" s="62">
        <v>12621090.122235818</v>
      </c>
      <c r="AU404" s="60">
        <v>-548702.71342387795</v>
      </c>
      <c r="AV404" s="61">
        <v>602295.61135064531</v>
      </c>
      <c r="AW404" s="62">
        <v>322035.19</v>
      </c>
      <c r="AX404" s="60">
        <v>-280260.42135064531</v>
      </c>
      <c r="AY404" s="64">
        <v>802220.7907333402</v>
      </c>
      <c r="AZ404" s="62">
        <v>589873.74</v>
      </c>
      <c r="BA404" s="63">
        <v>-212347.05073334021</v>
      </c>
      <c r="BB404" s="61">
        <v>467801.38155822555</v>
      </c>
      <c r="BC404" s="62">
        <v>265847.65999999997</v>
      </c>
      <c r="BD404" s="60">
        <v>-201953.72155822557</v>
      </c>
      <c r="BE404" s="64">
        <v>264155.44560856442</v>
      </c>
      <c r="BF404" s="62">
        <v>213791.69999999998</v>
      </c>
      <c r="BG404" s="63">
        <v>-50363.745608564437</v>
      </c>
      <c r="BH404" s="61">
        <v>193273.51151723324</v>
      </c>
      <c r="BI404" s="62">
        <v>56205</v>
      </c>
      <c r="BJ404" s="60">
        <v>-137068.51151723324</v>
      </c>
      <c r="BK404" s="64">
        <v>440812.78606484487</v>
      </c>
      <c r="BL404" s="62">
        <v>288575</v>
      </c>
      <c r="BM404" s="63">
        <v>-152237.78606484487</v>
      </c>
      <c r="BN404" s="61">
        <v>62771.50361965003</v>
      </c>
      <c r="BO404" s="62">
        <v>66377.349999999991</v>
      </c>
      <c r="BP404" s="60">
        <v>3605.8463803499617</v>
      </c>
      <c r="BQ404" s="61">
        <v>2833331.0304525024</v>
      </c>
      <c r="BR404" s="62">
        <v>1802705.6399999997</v>
      </c>
      <c r="BS404" s="60">
        <v>-1030625.3904525028</v>
      </c>
      <c r="BT404" s="61">
        <v>10428766.787389936</v>
      </c>
      <c r="BU404" s="62">
        <v>10603865.837145051</v>
      </c>
      <c r="BV404" s="63">
        <v>175099.04975511506</v>
      </c>
      <c r="BW404" s="61">
        <v>6851271.0566663686</v>
      </c>
      <c r="BX404" s="62">
        <v>6483084.094206606</v>
      </c>
      <c r="BY404" s="63">
        <v>-368186.96245976258</v>
      </c>
      <c r="BZ404" s="61">
        <v>2459017.3146125162</v>
      </c>
      <c r="CA404" s="62">
        <v>2459195.6574735823</v>
      </c>
      <c r="CB404" s="63">
        <v>178.34286106610671</v>
      </c>
      <c r="CC404" s="61">
        <v>312608.18155248789</v>
      </c>
      <c r="CD404" s="62">
        <v>327853.43772077007</v>
      </c>
      <c r="CE404" s="63">
        <v>15245.256168282183</v>
      </c>
      <c r="CF404" s="61">
        <v>38115.247662426016</v>
      </c>
      <c r="CG404" s="62">
        <v>30349.661111024456</v>
      </c>
      <c r="CH404" s="60">
        <v>-7765.5865514015604</v>
      </c>
      <c r="CI404" s="61">
        <v>2234078.1670764699</v>
      </c>
      <c r="CJ404" s="62">
        <v>2063077.6226759357</v>
      </c>
      <c r="CK404" s="63">
        <v>-171000.54440053413</v>
      </c>
      <c r="CL404" s="61">
        <v>1220132.8202616058</v>
      </c>
      <c r="CM404" s="62">
        <v>1279183.7395233002</v>
      </c>
      <c r="CN404" s="60">
        <v>59050.91926169442</v>
      </c>
      <c r="CO404" s="64">
        <v>3454210.9873380768</v>
      </c>
      <c r="CP404" s="62">
        <v>3342261.3621992371</v>
      </c>
      <c r="CQ404" s="63">
        <v>-111949.62513883971</v>
      </c>
      <c r="CR404" s="61">
        <v>57618353.475655168</v>
      </c>
      <c r="CS404" s="62">
        <v>54873206.599782966</v>
      </c>
      <c r="CT404" s="63">
        <v>-2745146.8758722022</v>
      </c>
      <c r="CU404" s="61">
        <v>69142024.170786127</v>
      </c>
      <c r="CV404" s="62">
        <v>65847847.919739552</v>
      </c>
      <c r="CW404" s="63">
        <v>-3294176.2510465756</v>
      </c>
      <c r="CX404" s="61">
        <v>1970683.600827934</v>
      </c>
      <c r="CY404" s="62">
        <v>5264859.7594197271</v>
      </c>
      <c r="CZ404" s="60">
        <v>3294176.1585917929</v>
      </c>
      <c r="DA404" s="74">
        <v>3015282.5283802152</v>
      </c>
      <c r="DB404" s="2"/>
      <c r="DC404" s="680">
        <v>13441562.070000004</v>
      </c>
      <c r="DD404" s="680">
        <v>1021212.8100000003</v>
      </c>
      <c r="DE404" s="680">
        <v>7456266.5091253165</v>
      </c>
      <c r="DF404" s="680">
        <v>796650.5641325342</v>
      </c>
      <c r="DG404" s="320">
        <v>6309458.6869720034</v>
      </c>
      <c r="DH404" s="8">
        <v>71097747.131917343</v>
      </c>
      <c r="DI404" s="8">
        <v>6218576.3479908248</v>
      </c>
      <c r="DJ404" s="303"/>
      <c r="DK404" s="303"/>
      <c r="DL404" s="30"/>
      <c r="DM404" s="95">
        <v>5994492.4334802665</v>
      </c>
      <c r="DN404" s="95">
        <v>224121.2074883485</v>
      </c>
      <c r="DO404" s="95">
        <v>6218613.6409686152</v>
      </c>
      <c r="DP404" s="311">
        <v>-37.292977789216707</v>
      </c>
      <c r="DQ404" s="95">
        <v>6218613.6409686152</v>
      </c>
      <c r="DR404" s="318"/>
      <c r="DT404" s="8"/>
      <c r="DU404" s="8"/>
      <c r="DX404" s="8">
        <v>19203748.63933463</v>
      </c>
      <c r="DY404" s="8">
        <v>17308554.914682969</v>
      </c>
      <c r="DZ404" s="163">
        <v>1703058.6134663583</v>
      </c>
      <c r="EB404" s="681">
        <v>509461.1520166868</v>
      </c>
      <c r="EC404" s="681">
        <v>264175.26500632294</v>
      </c>
      <c r="ED404" s="681">
        <v>130834.83344469583</v>
      </c>
      <c r="EE404" s="681">
        <v>-1048968.5426576552</v>
      </c>
      <c r="EF404" s="681">
        <v>-1040987.8105160269</v>
      </c>
      <c r="EG404" s="681">
        <v>-1435885.5188299988</v>
      </c>
      <c r="EH404" s="681">
        <v>-745630.74862215645</v>
      </c>
      <c r="EI404" s="681">
        <v>-12345.774015330147</v>
      </c>
      <c r="EJ404" s="681">
        <v>711109.55156003393</v>
      </c>
      <c r="EK404" s="681">
        <v>222912.04955792209</v>
      </c>
      <c r="EL404" s="681">
        <v>10024.836250529406</v>
      </c>
      <c r="EM404" s="681">
        <v>-858875.45178681705</v>
      </c>
      <c r="EN404" s="682">
        <v>-3294176.1585917939</v>
      </c>
      <c r="EQ404" s="681">
        <v>19203748.63933463</v>
      </c>
      <c r="ER404" s="681">
        <v>17308554.914682969</v>
      </c>
      <c r="ET404" s="683">
        <v>-365388.40264790977</v>
      </c>
      <c r="EU404" s="452">
        <v>-3606532.5350171928</v>
      </c>
    </row>
    <row r="405" spans="1:151" x14ac:dyDescent="0.3">
      <c r="E405" s="32">
        <v>1015028.5299999998</v>
      </c>
      <c r="CU405" s="502">
        <v>69142532.468650267</v>
      </c>
      <c r="CX405" s="396">
        <v>71112707.77161406</v>
      </c>
      <c r="DH405" s="301">
        <v>5.8370893880126831</v>
      </c>
      <c r="DI405" s="93"/>
      <c r="DT405" s="5"/>
      <c r="DU405" s="5"/>
    </row>
    <row r="406" spans="1:151" x14ac:dyDescent="0.3">
      <c r="CX406" s="7">
        <v>4602.7288269549608</v>
      </c>
      <c r="DT406" s="5"/>
      <c r="DU406" s="5"/>
    </row>
    <row r="407" spans="1:151" s="2" customFormat="1" ht="13.8" x14ac:dyDescent="0.3">
      <c r="A407" s="276"/>
      <c r="C407" s="26" t="s">
        <v>986</v>
      </c>
      <c r="D407" s="26"/>
      <c r="E407" s="5">
        <v>341251.19999999995</v>
      </c>
      <c r="F407" s="28">
        <v>335189.44999999995</v>
      </c>
      <c r="G407" s="5">
        <v>29643.24</v>
      </c>
      <c r="H407" s="309">
        <v>6061.75</v>
      </c>
      <c r="I407" s="5">
        <v>946216.9484389507</v>
      </c>
      <c r="J407" s="5">
        <v>792580.05492350296</v>
      </c>
      <c r="K407" s="5">
        <v>-153636.89351544774</v>
      </c>
      <c r="L407" s="5">
        <v>175047.1087464497</v>
      </c>
      <c r="M407" s="5">
        <v>139498.40854924795</v>
      </c>
      <c r="N407" s="5">
        <v>-35548.700197201746</v>
      </c>
      <c r="O407" s="5">
        <v>477860.09066108539</v>
      </c>
      <c r="P407" s="5">
        <v>477859.48</v>
      </c>
      <c r="Q407" s="5">
        <v>-0.61066108540399</v>
      </c>
      <c r="R407" s="5">
        <v>93745.985514181084</v>
      </c>
      <c r="S407" s="5">
        <v>93751.069999999978</v>
      </c>
      <c r="T407" s="5">
        <v>5.0844858188938815</v>
      </c>
      <c r="U407" s="5">
        <v>78982.738273558934</v>
      </c>
      <c r="V407" s="5">
        <v>33766.323957268149</v>
      </c>
      <c r="W407" s="5">
        <v>-45216.414316290786</v>
      </c>
      <c r="X407" s="5">
        <v>637884.64366972819</v>
      </c>
      <c r="Y407" s="5">
        <v>516407.44335497502</v>
      </c>
      <c r="Z407" s="5">
        <v>-121477.20031475317</v>
      </c>
      <c r="AA407" s="5">
        <v>40960.701599999993</v>
      </c>
      <c r="AB407" s="5">
        <v>0</v>
      </c>
      <c r="AC407" s="5">
        <v>-40960.701599999993</v>
      </c>
      <c r="AD407" s="5">
        <v>1439078.9139615102</v>
      </c>
      <c r="AE407" s="5">
        <v>1448765.9871429249</v>
      </c>
      <c r="AF407" s="5">
        <v>9687.0731814147439</v>
      </c>
      <c r="AG407" s="72">
        <v>3889777.1308654635</v>
      </c>
      <c r="AH407" s="39">
        <v>3502628.767927919</v>
      </c>
      <c r="AI407" s="5">
        <v>-387148.36293754447</v>
      </c>
      <c r="AJ407" s="5">
        <v>2581965.5710506346</v>
      </c>
      <c r="AK407" s="5">
        <v>2555622.7018001936</v>
      </c>
      <c r="AL407" s="5">
        <v>-26342.86925044097</v>
      </c>
      <c r="AM407" s="5">
        <v>60585.213457015103</v>
      </c>
      <c r="AN407" s="5">
        <v>24460.303517955548</v>
      </c>
      <c r="AO407" s="5">
        <v>-36124.909939059551</v>
      </c>
      <c r="AP407" s="5">
        <v>310751.54125469213</v>
      </c>
      <c r="AQ407" s="5">
        <v>262215.19204079715</v>
      </c>
      <c r="AR407" s="5">
        <v>-48536.34921389498</v>
      </c>
      <c r="AS407" s="5">
        <v>4730126.9114068784</v>
      </c>
      <c r="AT407" s="5">
        <v>5328039.2661380302</v>
      </c>
      <c r="AU407" s="5">
        <v>597912.35473115183</v>
      </c>
      <c r="AV407" s="5">
        <v>158106.32360718434</v>
      </c>
      <c r="AW407" s="5">
        <v>95632.37</v>
      </c>
      <c r="AX407" s="5">
        <v>-62473.953607184347</v>
      </c>
      <c r="AY407" s="5">
        <v>200405.32855638099</v>
      </c>
      <c r="AZ407" s="5">
        <v>300367.89999999997</v>
      </c>
      <c r="BA407" s="5">
        <v>99962.571443618974</v>
      </c>
      <c r="BB407" s="5">
        <v>112962.9434211859</v>
      </c>
      <c r="BC407" s="5">
        <v>79010.77</v>
      </c>
      <c r="BD407" s="5">
        <v>-33952.1734211859</v>
      </c>
      <c r="BE407" s="5">
        <v>129594.66711689487</v>
      </c>
      <c r="BF407" s="5">
        <v>161221.03</v>
      </c>
      <c r="BG407" s="5">
        <v>31626.362883105132</v>
      </c>
      <c r="BH407" s="5">
        <v>96868.855545369093</v>
      </c>
      <c r="BI407" s="5">
        <v>29660</v>
      </c>
      <c r="BJ407" s="5">
        <v>-67208.855545369093</v>
      </c>
      <c r="BK407" s="5">
        <v>131624.65145660599</v>
      </c>
      <c r="BL407" s="5">
        <v>62810</v>
      </c>
      <c r="BM407" s="5">
        <v>-68814.651456605992</v>
      </c>
      <c r="BN407" s="5">
        <v>41366.869124832607</v>
      </c>
      <c r="BO407" s="5">
        <v>32418.539999999997</v>
      </c>
      <c r="BP407" s="5">
        <v>-8948.3291248326095</v>
      </c>
      <c r="BQ407" s="72">
        <v>870929.63882845372</v>
      </c>
      <c r="BR407" s="72">
        <v>761120.61</v>
      </c>
      <c r="BS407" s="55">
        <v>-109809.02882845374</v>
      </c>
      <c r="BT407" s="5">
        <v>4034697.2369841472</v>
      </c>
      <c r="BU407" s="5">
        <v>3936643.1420432613</v>
      </c>
      <c r="BV407" s="5">
        <v>-98054.094940885901</v>
      </c>
      <c r="BW407" s="5">
        <v>2617003.8016926227</v>
      </c>
      <c r="BX407" s="5">
        <v>2515850.5375133324</v>
      </c>
      <c r="BY407" s="5">
        <v>-101153.26417929027</v>
      </c>
      <c r="BZ407" s="5">
        <v>833590.33281625586</v>
      </c>
      <c r="CA407" s="5">
        <v>936813.16646650073</v>
      </c>
      <c r="CB407" s="5">
        <v>103222.83365024487</v>
      </c>
      <c r="CC407" s="5">
        <v>92101.573014530179</v>
      </c>
      <c r="CD407" s="5">
        <v>96428.97358466711</v>
      </c>
      <c r="CE407" s="5">
        <v>4327.4005701369315</v>
      </c>
      <c r="CF407" s="5">
        <v>11213.498061170741</v>
      </c>
      <c r="CG407" s="5">
        <v>5499.1722951531974</v>
      </c>
      <c r="CH407" s="5">
        <v>-5714.3257660175441</v>
      </c>
      <c r="CI407" s="5">
        <v>843959.09295218613</v>
      </c>
      <c r="CJ407" s="5">
        <v>751915.99674165819</v>
      </c>
      <c r="CK407" s="5">
        <v>-92043.096210527932</v>
      </c>
      <c r="CL407" s="5">
        <v>653119.05800587172</v>
      </c>
      <c r="CM407" s="5">
        <v>658937.62901438784</v>
      </c>
      <c r="CN407" s="5">
        <v>5818.5710085161263</v>
      </c>
      <c r="CO407" s="39">
        <v>1497078.150958058</v>
      </c>
      <c r="CP407" s="40">
        <v>1410853.625756046</v>
      </c>
      <c r="CQ407" s="52">
        <v>-86224.525202011922</v>
      </c>
      <c r="CR407" s="72">
        <v>21529820.60038992</v>
      </c>
      <c r="CS407" s="5">
        <v>21336175.459083855</v>
      </c>
      <c r="CT407" s="52">
        <v>-193645.14130606502</v>
      </c>
      <c r="CU407" s="72">
        <v>25835784.720467903</v>
      </c>
      <c r="CV407" s="40">
        <v>25603410.550900627</v>
      </c>
      <c r="CW407" s="35">
        <v>-232374.16956727579</v>
      </c>
      <c r="CX407" s="5">
        <v>680279.26168587478</v>
      </c>
      <c r="CY407" s="5">
        <v>912653.33879836428</v>
      </c>
      <c r="CZ407" s="5">
        <v>232374.0771124895</v>
      </c>
      <c r="DA407" s="5">
        <v>566300.1099720879</v>
      </c>
      <c r="DC407" s="5">
        <v>4894939.5600000015</v>
      </c>
      <c r="DD407" s="5">
        <v>80111.63</v>
      </c>
      <c r="DE407" s="5">
        <v>2606560.9308862183</v>
      </c>
      <c r="DF407" s="5">
        <v>52004.338794875082</v>
      </c>
      <c r="DG407" s="5">
        <v>798674.18708457728</v>
      </c>
      <c r="DH407" s="5">
        <v>26520136.910533275</v>
      </c>
      <c r="DI407" s="7"/>
      <c r="DJ407" s="298"/>
      <c r="DK407" s="298"/>
      <c r="DM407" s="93"/>
      <c r="DN407" s="93"/>
      <c r="DR407" s="314"/>
      <c r="DT407" s="5"/>
      <c r="DU407" s="5"/>
      <c r="DX407" s="7">
        <v>16003123.866112199</v>
      </c>
      <c r="DY407" s="7">
        <v>14423795.762235818</v>
      </c>
      <c r="EB407" s="7">
        <v>509597.00420811027</v>
      </c>
      <c r="EC407" s="7">
        <v>264069.7662970582</v>
      </c>
      <c r="ED407" s="7">
        <v>130834.83344469313</v>
      </c>
      <c r="EE407" s="7">
        <v>-1048968.5426576585</v>
      </c>
      <c r="EF407" s="7">
        <v>-1040987.8105160277</v>
      </c>
      <c r="EG407" s="7">
        <v>-1435885.5188299967</v>
      </c>
      <c r="EH407" s="7">
        <v>-745630.74862215482</v>
      </c>
      <c r="EI407" s="7">
        <v>-12345.774015326984</v>
      </c>
      <c r="EJ407" s="7">
        <v>711109.55156002846</v>
      </c>
      <c r="EK407" s="7">
        <v>222912.04955792055</v>
      </c>
      <c r="EL407" s="7">
        <v>10024.836250529625</v>
      </c>
      <c r="EM407" s="7">
        <v>-858875.45178681891</v>
      </c>
      <c r="EN407" s="7">
        <v>-3294145.8051096434</v>
      </c>
    </row>
    <row r="408" spans="1:151" s="2" customFormat="1" ht="13.8" x14ac:dyDescent="0.3">
      <c r="A408" s="276"/>
      <c r="C408" s="26" t="s">
        <v>987</v>
      </c>
      <c r="D408" s="26"/>
      <c r="E408" s="5">
        <v>357366.10000000009</v>
      </c>
      <c r="F408" s="5">
        <v>322133.12</v>
      </c>
      <c r="G408" s="5" t="e">
        <v>#VALUE!</v>
      </c>
      <c r="H408" s="5">
        <v>35232.979999999996</v>
      </c>
      <c r="I408" s="5">
        <v>1124716.1888203146</v>
      </c>
      <c r="J408" s="5">
        <v>1234540.5376971653</v>
      </c>
      <c r="K408" s="5">
        <v>109824.3488768505</v>
      </c>
      <c r="L408" s="5">
        <v>220522.77639438864</v>
      </c>
      <c r="M408" s="5">
        <v>241466.15789462571</v>
      </c>
      <c r="N408" s="5">
        <v>20943.381500237057</v>
      </c>
      <c r="O408" s="5">
        <v>449807.7958257444</v>
      </c>
      <c r="P408" s="5">
        <v>449737.86000000004</v>
      </c>
      <c r="Q408" s="5">
        <v>-69.935825744578736</v>
      </c>
      <c r="R408" s="5">
        <v>32516.680701409361</v>
      </c>
      <c r="S408" s="5">
        <v>32518.184999999998</v>
      </c>
      <c r="T408" s="5">
        <v>1.5042985906403032</v>
      </c>
      <c r="U408" s="5">
        <v>14396.547538548744</v>
      </c>
      <c r="V408" s="5">
        <v>49152.241417216654</v>
      </c>
      <c r="W408" s="5">
        <v>34755.693878667902</v>
      </c>
      <c r="X408" s="5">
        <v>699292.67217091878</v>
      </c>
      <c r="Y408" s="5">
        <v>555629.44896371092</v>
      </c>
      <c r="Z408" s="5">
        <v>-143663.22320720763</v>
      </c>
      <c r="AA408" s="5">
        <v>42151.492799999964</v>
      </c>
      <c r="AB408" s="5">
        <v>17204.757012000206</v>
      </c>
      <c r="AC408" s="5">
        <v>-24946.735787999791</v>
      </c>
      <c r="AD408" s="5">
        <v>1513986.9217229206</v>
      </c>
      <c r="AE408" s="5">
        <v>1517713.9449869592</v>
      </c>
      <c r="AF408" s="5">
        <v>3727.0232640399199</v>
      </c>
      <c r="AG408" s="5">
        <v>4097391.0759742446</v>
      </c>
      <c r="AH408" s="5">
        <v>4097963.1329716789</v>
      </c>
      <c r="AI408" s="5">
        <v>572.05699743412606</v>
      </c>
      <c r="AJ408" s="5">
        <v>750374.17837690434</v>
      </c>
      <c r="AK408" s="5">
        <v>743794.3788074241</v>
      </c>
      <c r="AL408" s="5">
        <v>-6579.7995694801994</v>
      </c>
      <c r="AM408" s="5">
        <v>18483.751826208616</v>
      </c>
      <c r="AN408" s="5">
        <v>8233.6011406438593</v>
      </c>
      <c r="AO408" s="5">
        <v>-10250.150685564757</v>
      </c>
      <c r="AP408" s="5">
        <v>702460.24171632016</v>
      </c>
      <c r="AQ408" s="5">
        <v>573744.09348819265</v>
      </c>
      <c r="AR408" s="5">
        <v>-128716.14822812781</v>
      </c>
      <c r="AS408" s="5">
        <v>4066350.6523106364</v>
      </c>
      <c r="AT408" s="5">
        <v>4010226.4170529903</v>
      </c>
      <c r="AU408" s="5">
        <v>-56124.235257650384</v>
      </c>
      <c r="AV408" s="5">
        <v>246217.23428489696</v>
      </c>
      <c r="AW408" s="5">
        <v>142306.68</v>
      </c>
      <c r="AX408" s="5">
        <v>-103910.55428489698</v>
      </c>
      <c r="AY408" s="5">
        <v>337302.53166044509</v>
      </c>
      <c r="AZ408" s="5">
        <v>104134.10999999999</v>
      </c>
      <c r="BA408" s="5">
        <v>-233168.42166044499</v>
      </c>
      <c r="BB408" s="5">
        <v>195354.78448521369</v>
      </c>
      <c r="BC408" s="5">
        <v>43349</v>
      </c>
      <c r="BD408" s="5">
        <v>-152005.78448521369</v>
      </c>
      <c r="BE408" s="5">
        <v>50426.797189900069</v>
      </c>
      <c r="BF408" s="5">
        <v>4061</v>
      </c>
      <c r="BG408" s="5">
        <v>-46365.797189900062</v>
      </c>
      <c r="BH408" s="5">
        <v>19695.867177604567</v>
      </c>
      <c r="BI408" s="5">
        <v>6744</v>
      </c>
      <c r="BJ408" s="5">
        <v>-12951.867177604567</v>
      </c>
      <c r="BK408" s="5">
        <v>159357.40331582338</v>
      </c>
      <c r="BL408" s="5">
        <v>165157</v>
      </c>
      <c r="BM408" s="5">
        <v>5799.5966841766231</v>
      </c>
      <c r="BN408" s="5">
        <v>12171.794890168872</v>
      </c>
      <c r="BO408" s="5">
        <v>12155</v>
      </c>
      <c r="BP408" s="5">
        <v>-16.794890168876858</v>
      </c>
      <c r="BQ408" s="5">
        <v>1020526.4130040525</v>
      </c>
      <c r="BR408" s="5">
        <v>477906.79</v>
      </c>
      <c r="BS408" s="5">
        <v>-542619.6230040529</v>
      </c>
      <c r="BT408" s="5">
        <v>3428785.3752672132</v>
      </c>
      <c r="BU408" s="5">
        <v>3801128.4289913336</v>
      </c>
      <c r="BV408" s="5">
        <v>372343.05372411973</v>
      </c>
      <c r="BW408" s="5">
        <v>2155814.4459755621</v>
      </c>
      <c r="BX408" s="5">
        <v>1997892.9475223932</v>
      </c>
      <c r="BY408" s="5">
        <v>-157921.49845316869</v>
      </c>
      <c r="BZ408" s="5">
        <v>1163474.419822173</v>
      </c>
      <c r="CA408" s="5">
        <v>896852.73256016837</v>
      </c>
      <c r="CB408" s="5">
        <v>-266621.68726200482</v>
      </c>
      <c r="CC408" s="5">
        <v>109613.92072096976</v>
      </c>
      <c r="CD408" s="5">
        <v>115104.04120896458</v>
      </c>
      <c r="CE408" s="5">
        <v>5490.1204879947572</v>
      </c>
      <c r="CF408" s="5">
        <v>13385.156178300291</v>
      </c>
      <c r="CG408" s="5">
        <v>11454.733401016922</v>
      </c>
      <c r="CH408" s="5">
        <v>-1930.4227772833767</v>
      </c>
      <c r="CI408" s="5">
        <v>614406.33833773492</v>
      </c>
      <c r="CJ408" s="5">
        <v>588923.4131223124</v>
      </c>
      <c r="CK408" s="5">
        <v>-25482.925215422707</v>
      </c>
      <c r="CL408" s="5">
        <v>186960.41345981223</v>
      </c>
      <c r="CM408" s="5">
        <v>212556.44562666211</v>
      </c>
      <c r="CN408" s="5">
        <v>25596.032166849855</v>
      </c>
      <c r="CO408" s="5">
        <v>801366.75179754721</v>
      </c>
      <c r="CP408" s="5">
        <v>801479.85874897451</v>
      </c>
      <c r="CQ408" s="5">
        <v>113.10695142715127</v>
      </c>
      <c r="CR408" s="5">
        <v>18328026.382970143</v>
      </c>
      <c r="CS408" s="5">
        <v>17535781.155893773</v>
      </c>
      <c r="CT408" s="5">
        <v>-792245.22707635793</v>
      </c>
      <c r="CU408" s="5">
        <v>21993631.65956416</v>
      </c>
      <c r="CV408" s="5">
        <v>21042937.387072526</v>
      </c>
      <c r="CW408" s="5">
        <v>-950694.272491629</v>
      </c>
      <c r="CX408" s="5">
        <v>643694.71669103566</v>
      </c>
      <c r="CY408" s="5">
        <v>1594388.9891826645</v>
      </c>
      <c r="CZ408" s="5">
        <v>950694.27249162865</v>
      </c>
      <c r="DA408" s="5">
        <v>2898068.6386561142</v>
      </c>
      <c r="DC408" s="5">
        <v>4458175.879999999</v>
      </c>
      <c r="DD408" s="5">
        <v>624300.64000000013</v>
      </c>
      <c r="DE408" s="5">
        <v>2638026.8941027615</v>
      </c>
      <c r="DF408" s="5">
        <v>466724.72259517311</v>
      </c>
      <c r="DG408" s="5">
        <v>3848762.9111477439</v>
      </c>
      <c r="DH408" s="5">
        <v>22616164.686262973</v>
      </c>
      <c r="DI408" s="7"/>
      <c r="DJ408" s="298"/>
      <c r="DK408" s="298"/>
      <c r="DM408" s="93"/>
      <c r="DN408" s="93"/>
      <c r="DR408" s="314"/>
      <c r="DT408" s="5"/>
      <c r="DU408" s="5"/>
      <c r="DX408" s="149">
        <v>19203748.639334638</v>
      </c>
      <c r="DY408" s="149">
        <v>17308554.914682981</v>
      </c>
    </row>
    <row r="409" spans="1:151" s="274" customFormat="1" ht="13.8" x14ac:dyDescent="0.3">
      <c r="A409" s="276"/>
      <c r="C409" s="275" t="s">
        <v>988</v>
      </c>
      <c r="D409" s="275"/>
      <c r="E409" s="152">
        <v>316411.23000000004</v>
      </c>
      <c r="F409" s="152">
        <v>307455.82</v>
      </c>
      <c r="G409" s="152">
        <v>15666.280000000002</v>
      </c>
      <c r="H409" s="152">
        <v>8955.4100000000017</v>
      </c>
      <c r="I409" s="152">
        <v>1013594.2168064574</v>
      </c>
      <c r="J409" s="152">
        <v>968031.09787893831</v>
      </c>
      <c r="K409" s="152">
        <v>-45563.118927518764</v>
      </c>
      <c r="L409" s="152">
        <v>192796.6085664703</v>
      </c>
      <c r="M409" s="152">
        <v>186213.92372640636</v>
      </c>
      <c r="N409" s="152">
        <v>-6582.6848400640019</v>
      </c>
      <c r="O409" s="152">
        <v>385842.51541349327</v>
      </c>
      <c r="P409" s="152">
        <v>386067.42000000016</v>
      </c>
      <c r="Q409" s="152">
        <v>224.90458650671411</v>
      </c>
      <c r="R409" s="152">
        <v>53210.615863508639</v>
      </c>
      <c r="S409" s="152">
        <v>53251.930000000008</v>
      </c>
      <c r="T409" s="152">
        <v>41.314136491344513</v>
      </c>
      <c r="U409" s="152">
        <v>52387.17866320067</v>
      </c>
      <c r="V409" s="152">
        <v>35606.357308893101</v>
      </c>
      <c r="W409" s="152">
        <v>-16780.821354307587</v>
      </c>
      <c r="X409" s="152">
        <v>604991.5766109738</v>
      </c>
      <c r="Y409" s="152">
        <v>499814.1736404578</v>
      </c>
      <c r="Z409" s="152">
        <v>-105177.40297051601</v>
      </c>
      <c r="AA409" s="152">
        <v>36573.568799999994</v>
      </c>
      <c r="AB409" s="152">
        <v>966.4</v>
      </c>
      <c r="AC409" s="152">
        <v>-35607.168799999992</v>
      </c>
      <c r="AD409" s="152">
        <v>1314776.405718517</v>
      </c>
      <c r="AE409" s="152">
        <v>1341885.7463226002</v>
      </c>
      <c r="AF409" s="152">
        <v>27109.340604082459</v>
      </c>
      <c r="AG409" s="152">
        <v>3654172.6864426224</v>
      </c>
      <c r="AH409" s="152">
        <v>3471837.0488772965</v>
      </c>
      <c r="AI409" s="152">
        <v>-182335.63756532586</v>
      </c>
      <c r="AJ409" s="152">
        <v>1558355.1717273723</v>
      </c>
      <c r="AK409" s="152">
        <v>1546874.7909256106</v>
      </c>
      <c r="AL409" s="152">
        <v>-11480.380801761714</v>
      </c>
      <c r="AM409" s="152">
        <v>7096.0056508063972</v>
      </c>
      <c r="AN409" s="152">
        <v>2457.8584604446919</v>
      </c>
      <c r="AO409" s="152">
        <v>-4638.1471903617039</v>
      </c>
      <c r="AP409" s="152">
        <v>439827.46597885172</v>
      </c>
      <c r="AQ409" s="152">
        <v>412968.91773273045</v>
      </c>
      <c r="AR409" s="152">
        <v>-26858.548246121321</v>
      </c>
      <c r="AS409" s="152">
        <v>4373315.2719421778</v>
      </c>
      <c r="AT409" s="152">
        <v>3282824.4390447978</v>
      </c>
      <c r="AU409" s="152">
        <v>-1090490.8328973795</v>
      </c>
      <c r="AV409" s="152">
        <v>197972.0534585639</v>
      </c>
      <c r="AW409" s="152">
        <v>84096.14</v>
      </c>
      <c r="AX409" s="152">
        <v>-113875.91345856388</v>
      </c>
      <c r="AY409" s="152">
        <v>264512.93051651365</v>
      </c>
      <c r="AZ409" s="152">
        <v>185371.73</v>
      </c>
      <c r="BA409" s="152">
        <v>-79141.200516513782</v>
      </c>
      <c r="BB409" s="152">
        <v>159483.65365182585</v>
      </c>
      <c r="BC409" s="152">
        <v>143487.89000000001</v>
      </c>
      <c r="BD409" s="152">
        <v>-15995.763651825975</v>
      </c>
      <c r="BE409" s="152">
        <v>84133.981301769585</v>
      </c>
      <c r="BF409" s="152">
        <v>48509.670000000006</v>
      </c>
      <c r="BG409" s="152">
        <v>-35624.311301769601</v>
      </c>
      <c r="BH409" s="152">
        <v>76708.788794259395</v>
      </c>
      <c r="BI409" s="152">
        <v>19801</v>
      </c>
      <c r="BJ409" s="152">
        <v>-56907.788794259373</v>
      </c>
      <c r="BK409" s="152">
        <v>149830.73129241556</v>
      </c>
      <c r="BL409" s="152">
        <v>60608</v>
      </c>
      <c r="BM409" s="152">
        <v>-89222.731292415599</v>
      </c>
      <c r="BN409" s="152">
        <v>9232.8396046485323</v>
      </c>
      <c r="BO409" s="152">
        <v>21803.81</v>
      </c>
      <c r="BP409" s="152">
        <v>12570.970395351467</v>
      </c>
      <c r="BQ409" s="152">
        <v>941874.97861999681</v>
      </c>
      <c r="BR409" s="152">
        <v>563678.23999999987</v>
      </c>
      <c r="BS409" s="152">
        <v>-378196.73861999676</v>
      </c>
      <c r="BT409" s="152">
        <v>2965284.1751385727</v>
      </c>
      <c r="BU409" s="152">
        <v>2866094.2661104598</v>
      </c>
      <c r="BV409" s="152">
        <v>-99189.909028112364</v>
      </c>
      <c r="BW409" s="152">
        <v>2078452.8089981773</v>
      </c>
      <c r="BX409" s="152">
        <v>1969340.6091708839</v>
      </c>
      <c r="BY409" s="152">
        <v>-109112.19982729398</v>
      </c>
      <c r="BZ409" s="152">
        <v>461952.56197408517</v>
      </c>
      <c r="CA409" s="152">
        <v>625529.75844691228</v>
      </c>
      <c r="CB409" s="152">
        <v>163577.19647282737</v>
      </c>
      <c r="CC409" s="152">
        <v>110892.68781698789</v>
      </c>
      <c r="CD409" s="152">
        <v>116320.42292713821</v>
      </c>
      <c r="CE409" s="152">
        <v>5427.7351101503737</v>
      </c>
      <c r="CF409" s="152">
        <v>13516.593422954973</v>
      </c>
      <c r="CG409" s="152">
        <v>13395.755414854348</v>
      </c>
      <c r="CH409" s="152">
        <v>-120.83800810063002</v>
      </c>
      <c r="CI409" s="152">
        <v>775712.73578654777</v>
      </c>
      <c r="CJ409" s="152">
        <v>722238.21281196654</v>
      </c>
      <c r="CK409" s="152">
        <v>-53474.522974581363</v>
      </c>
      <c r="CL409" s="152">
        <v>380053.3487959216</v>
      </c>
      <c r="CM409" s="152">
        <v>407689.66488225013</v>
      </c>
      <c r="CN409" s="152">
        <v>27636.316086328563</v>
      </c>
      <c r="CO409" s="152">
        <v>1155766.0845824694</v>
      </c>
      <c r="CP409" s="152">
        <v>1129927.8776942163</v>
      </c>
      <c r="CQ409" s="152">
        <v>-25838.206888252796</v>
      </c>
      <c r="CR409" s="152">
        <v>17760506.492295068</v>
      </c>
      <c r="CS409" s="152">
        <v>16001249.984805347</v>
      </c>
      <c r="CT409" s="152">
        <v>-1759256.507489728</v>
      </c>
      <c r="CU409" s="152">
        <v>21312607.79075408</v>
      </c>
      <c r="CV409" s="152">
        <v>19201499.981766399</v>
      </c>
      <c r="CW409" s="152">
        <v>-2111107.8089876748</v>
      </c>
      <c r="CX409" s="152">
        <v>646709.62245102285</v>
      </c>
      <c r="CY409" s="152">
        <v>2757817.4314386984</v>
      </c>
      <c r="CZ409" s="152">
        <v>2111107.8089876748</v>
      </c>
      <c r="DA409" s="152">
        <v>-449086.22024798999</v>
      </c>
      <c r="DC409" s="152">
        <v>4088446.629999999</v>
      </c>
      <c r="DD409" s="152">
        <v>316800.53999999998</v>
      </c>
      <c r="DE409" s="152">
        <v>2211678.6841363427</v>
      </c>
      <c r="DF409" s="152">
        <v>277921.50274248607</v>
      </c>
      <c r="DG409" s="152">
        <v>1662021.5887396855</v>
      </c>
      <c r="DH409" s="152">
        <v>21961445.535121173</v>
      </c>
      <c r="DI409" s="151"/>
      <c r="DJ409" s="299"/>
      <c r="DK409" s="299"/>
      <c r="DM409" s="295"/>
      <c r="DN409" s="295"/>
      <c r="DR409" s="314"/>
      <c r="DT409" s="5"/>
      <c r="DU409" s="5"/>
      <c r="DX409" s="151"/>
      <c r="DY409" s="151"/>
      <c r="EN409" s="151">
        <v>3294176.1585917929</v>
      </c>
    </row>
    <row r="410" spans="1:151" s="4" customFormat="1" ht="13.8" x14ac:dyDescent="0.3">
      <c r="A410" s="327"/>
      <c r="C410" s="30" t="s">
        <v>975</v>
      </c>
      <c r="D410" s="30"/>
      <c r="E410" s="8">
        <v>1015028.53</v>
      </c>
      <c r="F410" s="95">
        <v>964778.3899999999</v>
      </c>
      <c r="G410" s="8" t="e">
        <v>#VALUE!</v>
      </c>
      <c r="H410" s="310">
        <v>50250.14</v>
      </c>
      <c r="I410" s="8">
        <v>3084527.3540657228</v>
      </c>
      <c r="J410" s="8">
        <v>2995151.6904996065</v>
      </c>
      <c r="K410" s="8">
        <v>-89375.663566116244</v>
      </c>
      <c r="L410" s="8">
        <v>588366.49370730866</v>
      </c>
      <c r="M410" s="8">
        <v>567178.49017027998</v>
      </c>
      <c r="N410" s="8">
        <v>-21188.003537028679</v>
      </c>
      <c r="O410" s="8">
        <v>1313510.4019003231</v>
      </c>
      <c r="P410" s="8">
        <v>1313664.7600000002</v>
      </c>
      <c r="Q410" s="8">
        <v>154.35809967713431</v>
      </c>
      <c r="R410" s="8">
        <v>179473.2820790991</v>
      </c>
      <c r="S410" s="8">
        <v>179521.185</v>
      </c>
      <c r="T410" s="8">
        <v>47.902920900902245</v>
      </c>
      <c r="U410" s="8">
        <v>145766.46447530834</v>
      </c>
      <c r="V410" s="8">
        <v>118524.92268337791</v>
      </c>
      <c r="W410" s="8">
        <v>-27241.541791930431</v>
      </c>
      <c r="X410" s="8">
        <v>1942168.8924516209</v>
      </c>
      <c r="Y410" s="8">
        <v>1571851.0659591439</v>
      </c>
      <c r="Z410" s="8">
        <v>-370317.82649247698</v>
      </c>
      <c r="AA410" s="8">
        <v>119685.76319999994</v>
      </c>
      <c r="AB410" s="8">
        <v>18171.157012000207</v>
      </c>
      <c r="AC410" s="8">
        <v>-101514.60618799974</v>
      </c>
      <c r="AD410" s="8">
        <v>4267842.2414029483</v>
      </c>
      <c r="AE410" s="8">
        <v>4308365.6784524843</v>
      </c>
      <c r="AF410" s="8">
        <v>40523.437049536034</v>
      </c>
      <c r="AG410" s="8">
        <v>11641340.893282332</v>
      </c>
      <c r="AH410" s="8">
        <v>11072428.949776895</v>
      </c>
      <c r="AI410" s="8">
        <v>-568911.94350543618</v>
      </c>
      <c r="AJ410" s="8">
        <v>4890694.9211549107</v>
      </c>
      <c r="AK410" s="8">
        <v>4846291.8715332281</v>
      </c>
      <c r="AL410" s="8">
        <v>-44403.049621682614</v>
      </c>
      <c r="AM410" s="8">
        <v>86164.97093403012</v>
      </c>
      <c r="AN410" s="8">
        <v>35151.763119044102</v>
      </c>
      <c r="AO410" s="8">
        <v>-51013.207814986017</v>
      </c>
      <c r="AP410" s="8">
        <v>1453039.2489498639</v>
      </c>
      <c r="AQ410" s="8">
        <v>1248928.2032617202</v>
      </c>
      <c r="AR410" s="8">
        <v>-204111.0456881437</v>
      </c>
      <c r="AS410" s="8">
        <v>13169792.835659692</v>
      </c>
      <c r="AT410" s="8">
        <v>12621090.122235818</v>
      </c>
      <c r="AU410" s="8">
        <v>-548702.71342387423</v>
      </c>
      <c r="AV410" s="8">
        <v>602295.61135064519</v>
      </c>
      <c r="AW410" s="8">
        <v>322035.19</v>
      </c>
      <c r="AX410" s="8">
        <v>-280260.42135064519</v>
      </c>
      <c r="AY410" s="8">
        <v>802220.79073333973</v>
      </c>
      <c r="AZ410" s="8">
        <v>589873.74</v>
      </c>
      <c r="BA410" s="8">
        <v>-212347.05073333974</v>
      </c>
      <c r="BB410" s="8">
        <v>467801.38155822543</v>
      </c>
      <c r="BC410" s="8">
        <v>265847.66000000003</v>
      </c>
      <c r="BD410" s="8">
        <v>-201953.7215582254</v>
      </c>
      <c r="BE410" s="8">
        <v>264155.44560856454</v>
      </c>
      <c r="BF410" s="8">
        <v>213791.7</v>
      </c>
      <c r="BG410" s="8">
        <v>-50363.745608564524</v>
      </c>
      <c r="BH410" s="8">
        <v>193273.51151723304</v>
      </c>
      <c r="BI410" s="8">
        <v>56205</v>
      </c>
      <c r="BJ410" s="8">
        <v>-137068.51151723304</v>
      </c>
      <c r="BK410" s="8">
        <v>440812.78606484493</v>
      </c>
      <c r="BL410" s="8">
        <v>288575</v>
      </c>
      <c r="BM410" s="8">
        <v>-152237.78606484493</v>
      </c>
      <c r="BN410" s="8">
        <v>62771.503619650015</v>
      </c>
      <c r="BO410" s="8">
        <v>66377.349999999991</v>
      </c>
      <c r="BP410" s="8">
        <v>3605.8463803499762</v>
      </c>
      <c r="BQ410" s="8">
        <v>2833331.0304525029</v>
      </c>
      <c r="BR410" s="8">
        <v>1802705.6399999997</v>
      </c>
      <c r="BS410" s="109">
        <v>-1030625.3904525032</v>
      </c>
      <c r="BT410" s="8">
        <v>10428766.787389932</v>
      </c>
      <c r="BU410" s="8">
        <v>10603865.837145055</v>
      </c>
      <c r="BV410" s="8">
        <v>175099.04975512251</v>
      </c>
      <c r="BW410" s="8">
        <v>6851271.0566663612</v>
      </c>
      <c r="BX410" s="8">
        <v>6483084.0942066098</v>
      </c>
      <c r="BY410" s="8">
        <v>-368186.9624597514</v>
      </c>
      <c r="BZ410" s="8">
        <v>2459017.3146125143</v>
      </c>
      <c r="CA410" s="8">
        <v>2459195.6574735814</v>
      </c>
      <c r="CB410" s="8">
        <v>178.34286106703803</v>
      </c>
      <c r="CC410" s="8">
        <v>312608.18155248783</v>
      </c>
      <c r="CD410" s="8">
        <v>327853.4377207699</v>
      </c>
      <c r="CE410" s="8">
        <v>15245.256168282067</v>
      </c>
      <c r="CF410" s="8">
        <v>38115.247662426009</v>
      </c>
      <c r="CG410" s="8">
        <v>30349.66111102447</v>
      </c>
      <c r="CH410" s="8">
        <v>-7765.5865514015386</v>
      </c>
      <c r="CI410" s="8">
        <v>2234078.1670764689</v>
      </c>
      <c r="CJ410" s="8">
        <v>2063077.6226759371</v>
      </c>
      <c r="CK410" s="8">
        <v>-171000.5444005318</v>
      </c>
      <c r="CL410" s="8">
        <v>1220132.8202616055</v>
      </c>
      <c r="CM410" s="8">
        <v>1279183.7395233</v>
      </c>
      <c r="CN410" s="8">
        <v>59050.91926169442</v>
      </c>
      <c r="CO410" s="8">
        <v>3454210.9873380745</v>
      </c>
      <c r="CP410" s="8">
        <v>3342261.3621992366</v>
      </c>
      <c r="CQ410" s="54">
        <v>-111949.62513883784</v>
      </c>
      <c r="CR410" s="8">
        <v>57618353.475655138</v>
      </c>
      <c r="CS410" s="8">
        <v>54873206.599782974</v>
      </c>
      <c r="CT410" s="54">
        <v>-2745146.875872165</v>
      </c>
      <c r="CU410" s="8">
        <v>69142024.170786142</v>
      </c>
      <c r="CV410" s="8">
        <v>65847847.919739559</v>
      </c>
      <c r="CW410" s="108">
        <v>-3294176.2510465831</v>
      </c>
      <c r="CX410" s="8">
        <v>1970683.6008279333</v>
      </c>
      <c r="CY410" s="8">
        <v>5264859.7594197271</v>
      </c>
      <c r="CZ410" s="8">
        <v>3294176.1585917939</v>
      </c>
      <c r="DA410" s="8">
        <v>3015282.5283802119</v>
      </c>
      <c r="DB410" s="96"/>
      <c r="DC410" s="95">
        <v>13441562.07</v>
      </c>
      <c r="DD410" s="8">
        <v>1021212.81</v>
      </c>
      <c r="DE410" s="8">
        <v>7456266.5091253221</v>
      </c>
      <c r="DF410" s="8">
        <v>796650.5641325342</v>
      </c>
      <c r="DG410" s="8">
        <v>6309458.6869720072</v>
      </c>
      <c r="DH410" s="8">
        <v>71097747.131917417</v>
      </c>
      <c r="DI410" s="50"/>
      <c r="DJ410" s="297"/>
      <c r="DK410" s="297"/>
      <c r="DM410" s="301"/>
      <c r="DN410" s="301"/>
      <c r="DQ410" s="96"/>
      <c r="DR410" s="319"/>
      <c r="DT410" s="8"/>
      <c r="DU410" s="8"/>
      <c r="DX410" s="50"/>
      <c r="DY410" s="50"/>
    </row>
    <row r="411" spans="1:151" x14ac:dyDescent="0.3">
      <c r="CX411" s="93">
        <v>2.8501965692531543</v>
      </c>
      <c r="DF411" s="412"/>
      <c r="DT411" s="5"/>
      <c r="DU411" s="5"/>
    </row>
    <row r="412" spans="1:151" x14ac:dyDescent="0.3">
      <c r="C412" s="4" t="s">
        <v>999</v>
      </c>
      <c r="DF412" s="412"/>
      <c r="DT412" s="5"/>
      <c r="DU412" s="5"/>
    </row>
    <row r="413" spans="1:151" x14ac:dyDescent="0.3">
      <c r="A413" s="276"/>
      <c r="C413" s="26" t="s">
        <v>986</v>
      </c>
      <c r="D413" s="3"/>
      <c r="E413" s="33"/>
      <c r="F413" s="28"/>
      <c r="G413" s="51"/>
      <c r="H413" s="309"/>
      <c r="I413" s="5"/>
      <c r="J413" s="335">
        <v>0.83763037243317751</v>
      </c>
      <c r="K413" s="335"/>
      <c r="L413" s="335"/>
      <c r="M413" s="335">
        <v>0.79691923818808719</v>
      </c>
      <c r="N413" s="335"/>
      <c r="O413" s="335"/>
      <c r="P413" s="335">
        <v>0.99999872209230833</v>
      </c>
      <c r="Q413" s="335"/>
      <c r="R413" s="335"/>
      <c r="S413" s="335">
        <v>1.0000542368378871</v>
      </c>
      <c r="T413" s="335"/>
      <c r="U413" s="335"/>
      <c r="V413" s="335">
        <v>0.42751523554827303</v>
      </c>
      <c r="W413" s="335"/>
      <c r="X413" s="335"/>
      <c r="Y413" s="335">
        <v>0.80956243182795706</v>
      </c>
      <c r="Z413" s="335"/>
      <c r="AA413" s="335"/>
      <c r="AB413" s="335">
        <v>0</v>
      </c>
      <c r="AC413" s="335"/>
      <c r="AD413" s="335"/>
      <c r="AE413" s="335">
        <v>1.0067314398727085</v>
      </c>
      <c r="AF413" s="335"/>
      <c r="AG413" s="336"/>
      <c r="AH413" s="335">
        <v>0.90047029690582681</v>
      </c>
      <c r="AI413" s="335"/>
      <c r="AJ413" s="335"/>
      <c r="AK413" s="335">
        <v>0.98979735843661087</v>
      </c>
      <c r="AL413" s="335"/>
      <c r="AM413" s="335"/>
      <c r="AN413" s="335">
        <v>0.40373388360362894</v>
      </c>
      <c r="AO413" s="335"/>
      <c r="AP413" s="335"/>
      <c r="AQ413" s="335">
        <v>0.84380978765889836</v>
      </c>
      <c r="AR413" s="335"/>
      <c r="AS413" s="335"/>
      <c r="AT413" s="335">
        <v>1.1264051400585604</v>
      </c>
      <c r="AU413" s="335"/>
      <c r="AV413" s="335"/>
      <c r="AW413" s="335">
        <v>0.60486113280072795</v>
      </c>
      <c r="AX413" s="335"/>
      <c r="AY413" s="335"/>
      <c r="AZ413" s="335">
        <v>1.4988019638185222</v>
      </c>
      <c r="BA413" s="335"/>
      <c r="BB413" s="335"/>
      <c r="BC413" s="335">
        <v>0.69943972427671131</v>
      </c>
      <c r="BD413" s="335"/>
      <c r="BE413" s="335"/>
      <c r="BF413" s="335">
        <v>1.2440406197778033</v>
      </c>
      <c r="BG413" s="335"/>
      <c r="BH413" s="335"/>
      <c r="BI413" s="335">
        <v>0.30618716235486615</v>
      </c>
      <c r="BJ413" s="335"/>
      <c r="BK413" s="335"/>
      <c r="BL413" s="335">
        <v>0.47719024745685423</v>
      </c>
      <c r="BM413" s="335"/>
      <c r="BN413" s="335"/>
      <c r="BO413" s="335">
        <v>0.78368367454086796</v>
      </c>
      <c r="BP413" s="335"/>
      <c r="BQ413" s="336"/>
      <c r="BR413" s="335">
        <v>0.87391745103982765</v>
      </c>
      <c r="BS413" s="335"/>
      <c r="BT413" s="335"/>
      <c r="BU413" s="335">
        <v>0.97569728552564716</v>
      </c>
      <c r="BV413" s="335"/>
      <c r="BW413" s="336"/>
      <c r="BX413" s="335">
        <v>0.96134768160678008</v>
      </c>
      <c r="BY413" s="335"/>
      <c r="BZ413" s="335"/>
      <c r="CA413" s="335">
        <v>1.1238292115282937</v>
      </c>
      <c r="CB413" s="335"/>
      <c r="CC413" s="335"/>
      <c r="CD413" s="335">
        <v>1.0469850886200851</v>
      </c>
      <c r="CE413" s="335"/>
      <c r="CF413" s="335"/>
      <c r="CG413" s="335">
        <v>0.49040649627392524</v>
      </c>
      <c r="CH413" s="335"/>
      <c r="CI413" s="335"/>
      <c r="CJ413" s="335">
        <v>0.89093891282270643</v>
      </c>
      <c r="CK413" s="335"/>
      <c r="CL413" s="335"/>
      <c r="CM413" s="335">
        <v>1.0089088979064271</v>
      </c>
      <c r="CN413" s="335"/>
      <c r="CO413" s="335"/>
      <c r="CP413" s="335">
        <v>0.94240479353276752</v>
      </c>
      <c r="CQ413" s="335"/>
      <c r="CR413" s="335"/>
      <c r="CS413" s="335">
        <v>0.99100572434391032</v>
      </c>
      <c r="CT413" s="335"/>
      <c r="CU413" s="335"/>
      <c r="CV413" s="335">
        <v>0.99100572434391043</v>
      </c>
      <c r="CW413" s="5"/>
      <c r="CX413" s="684">
        <v>2.6330892173247467E-2</v>
      </c>
      <c r="CY413" s="143"/>
      <c r="CZ413" s="5"/>
      <c r="DC413" s="410">
        <v>14008251.070000002</v>
      </c>
      <c r="DD413" s="410">
        <v>1020558.8100000003</v>
      </c>
      <c r="DE413" s="410">
        <v>8022955.5091253184</v>
      </c>
      <c r="DF413" s="410">
        <v>795996.5641325342</v>
      </c>
      <c r="DG413" s="410"/>
      <c r="DH413" s="410"/>
      <c r="DT413" s="5"/>
      <c r="DU413" s="5"/>
    </row>
    <row r="414" spans="1:151" x14ac:dyDescent="0.3">
      <c r="A414" s="276"/>
      <c r="C414" s="26" t="s">
        <v>987</v>
      </c>
      <c r="D414" s="3"/>
      <c r="E414" s="33"/>
      <c r="F414" s="28"/>
      <c r="G414" s="51"/>
      <c r="H414" s="309"/>
      <c r="I414" s="5"/>
      <c r="J414" s="335">
        <v>1.0976462773173405</v>
      </c>
      <c r="K414" s="335"/>
      <c r="L414" s="335"/>
      <c r="M414" s="335">
        <v>1.0949715119801566</v>
      </c>
      <c r="N414" s="335"/>
      <c r="O414" s="335"/>
      <c r="P414" s="335">
        <v>0.99984452064549934</v>
      </c>
      <c r="Q414" s="335"/>
      <c r="R414" s="335"/>
      <c r="S414" s="335">
        <v>1.000046262366213</v>
      </c>
      <c r="T414" s="335"/>
      <c r="U414" s="335"/>
      <c r="V414" s="335">
        <v>3.4141686599238281</v>
      </c>
      <c r="W414" s="335"/>
      <c r="X414" s="335"/>
      <c r="Y414" s="335">
        <v>0.79455923260111871</v>
      </c>
      <c r="Z414" s="335"/>
      <c r="AA414" s="335"/>
      <c r="AB414" s="335">
        <v>0.40816483282414662</v>
      </c>
      <c r="AC414" s="335"/>
      <c r="AD414" s="335"/>
      <c r="AE414" s="335">
        <v>1.0024617275159797</v>
      </c>
      <c r="AF414" s="335"/>
      <c r="AG414" s="336"/>
      <c r="AH414" s="335">
        <v>1.0001396149371216</v>
      </c>
      <c r="AI414" s="335"/>
      <c r="AJ414" s="335"/>
      <c r="AK414" s="335">
        <v>0.99123130864695708</v>
      </c>
      <c r="AL414" s="335"/>
      <c r="AM414" s="335"/>
      <c r="AN414" s="335">
        <v>0.44545075145237623</v>
      </c>
      <c r="AO414" s="335"/>
      <c r="AP414" s="335"/>
      <c r="AQ414" s="335">
        <v>0.81676379589308068</v>
      </c>
      <c r="AR414" s="335"/>
      <c r="AS414" s="335"/>
      <c r="AT414" s="335">
        <v>0.98619788600234104</v>
      </c>
      <c r="AU414" s="335"/>
      <c r="AV414" s="335"/>
      <c r="AW414" s="335">
        <v>0.5779720514419292</v>
      </c>
      <c r="AX414" s="335"/>
      <c r="AY414" s="335"/>
      <c r="AZ414" s="335">
        <v>0.30872614411572064</v>
      </c>
      <c r="BA414" s="335"/>
      <c r="BB414" s="335"/>
      <c r="BC414" s="335">
        <v>0.22189883966359197</v>
      </c>
      <c r="BD414" s="335"/>
      <c r="BE414" s="335"/>
      <c r="BF414" s="335">
        <v>8.0532578436557409E-2</v>
      </c>
      <c r="BG414" s="335"/>
      <c r="BH414" s="335"/>
      <c r="BI414" s="335">
        <v>0.34240685820974415</v>
      </c>
      <c r="BJ414" s="335"/>
      <c r="BK414" s="335"/>
      <c r="BL414" s="335">
        <v>1.0363936444965953</v>
      </c>
      <c r="BM414" s="335"/>
      <c r="BN414" s="335"/>
      <c r="BO414" s="335">
        <v>0.99862017965958028</v>
      </c>
      <c r="BP414" s="335"/>
      <c r="BQ414" s="336"/>
      <c r="BR414" s="335">
        <v>0.4682943860249722</v>
      </c>
      <c r="BS414" s="335"/>
      <c r="BT414" s="335"/>
      <c r="BU414" s="335">
        <v>1.1085932809938863</v>
      </c>
      <c r="BV414" s="335"/>
      <c r="BW414" s="336"/>
      <c r="BX414" s="335">
        <v>0.92674624722550958</v>
      </c>
      <c r="BY414" s="335"/>
      <c r="BZ414" s="335"/>
      <c r="CA414" s="335">
        <v>0.77084009521863361</v>
      </c>
      <c r="CB414" s="335"/>
      <c r="CC414" s="335"/>
      <c r="CD414" s="335">
        <v>1.0500859786045817</v>
      </c>
      <c r="CE414" s="335"/>
      <c r="CF414" s="335"/>
      <c r="CG414" s="335">
        <v>0.85577883802260546</v>
      </c>
      <c r="CH414" s="335"/>
      <c r="CI414" s="335"/>
      <c r="CJ414" s="335">
        <v>0.95852431261636051</v>
      </c>
      <c r="CK414" s="335"/>
      <c r="CL414" s="335"/>
      <c r="CM414" s="335">
        <v>1.1369061594012351</v>
      </c>
      <c r="CN414" s="335"/>
      <c r="CO414" s="335"/>
      <c r="CP414" s="335">
        <v>1.0001411425557318</v>
      </c>
      <c r="CQ414" s="335"/>
      <c r="CR414" s="335"/>
      <c r="CS414" s="335">
        <v>0.95677411137881707</v>
      </c>
      <c r="CT414" s="335"/>
      <c r="CU414" s="335"/>
      <c r="CV414" s="335">
        <v>0.95677411137881752</v>
      </c>
      <c r="CW414" s="5"/>
      <c r="CX414" s="684">
        <v>2.9267322771185825E-2</v>
      </c>
      <c r="CY414" s="143"/>
      <c r="CZ414" s="5"/>
      <c r="DD414" s="415"/>
      <c r="DT414" s="5"/>
      <c r="DU414" s="5"/>
    </row>
    <row r="415" spans="1:151" x14ac:dyDescent="0.3">
      <c r="A415" s="276"/>
      <c r="C415" s="26" t="s">
        <v>988</v>
      </c>
      <c r="D415" s="3"/>
      <c r="E415" s="33"/>
      <c r="F415" s="28"/>
      <c r="G415" s="51"/>
      <c r="H415" s="309"/>
      <c r="I415" s="5"/>
      <c r="J415" s="335">
        <v>0.95504796873143638</v>
      </c>
      <c r="K415" s="335"/>
      <c r="L415" s="335"/>
      <c r="M415" s="335">
        <v>0.96585684318303533</v>
      </c>
      <c r="N415" s="335"/>
      <c r="O415" s="335"/>
      <c r="P415" s="335">
        <v>1.0005828921840452</v>
      </c>
      <c r="Q415" s="335"/>
      <c r="R415" s="335"/>
      <c r="S415" s="335">
        <v>1.0007764265799393</v>
      </c>
      <c r="T415" s="335"/>
      <c r="U415" s="335"/>
      <c r="V415" s="335">
        <v>0.67967694037901605</v>
      </c>
      <c r="W415" s="335"/>
      <c r="X415" s="335"/>
      <c r="Y415" s="335">
        <v>0.8261506324440151</v>
      </c>
      <c r="Z415" s="335"/>
      <c r="AA415" s="335"/>
      <c r="AB415" s="335">
        <v>2.6423453649948435E-2</v>
      </c>
      <c r="AC415" s="335"/>
      <c r="AD415" s="335"/>
      <c r="AE415" s="335">
        <v>1.0206189740599034</v>
      </c>
      <c r="AF415" s="335"/>
      <c r="AG415" s="336"/>
      <c r="AH415" s="335">
        <v>0.95010207420086878</v>
      </c>
      <c r="AI415" s="335"/>
      <c r="AJ415" s="335"/>
      <c r="AK415" s="335">
        <v>0.99263301395596726</v>
      </c>
      <c r="AL415" s="335"/>
      <c r="AM415" s="335"/>
      <c r="AN415" s="335">
        <v>0.34637211149421482</v>
      </c>
      <c r="AO415" s="335"/>
      <c r="AP415" s="335"/>
      <c r="AQ415" s="335">
        <v>0.93893389948636652</v>
      </c>
      <c r="AR415" s="335"/>
      <c r="AS415" s="335"/>
      <c r="AT415" s="335">
        <v>0.75064893219713014</v>
      </c>
      <c r="AU415" s="335"/>
      <c r="AV415" s="335"/>
      <c r="AW415" s="335">
        <v>0.42478793612958887</v>
      </c>
      <c r="AX415" s="335"/>
      <c r="AY415" s="335"/>
      <c r="AZ415" s="335">
        <v>0.70080403872137809</v>
      </c>
      <c r="BA415" s="335"/>
      <c r="BB415" s="335"/>
      <c r="BC415" s="335">
        <v>0.89970280160030236</v>
      </c>
      <c r="BD415" s="335"/>
      <c r="BE415" s="335"/>
      <c r="BF415" s="335">
        <v>0.57657642309837664</v>
      </c>
      <c r="BG415" s="335"/>
      <c r="BH415" s="335"/>
      <c r="BI415" s="335">
        <v>0.25813209035418683</v>
      </c>
      <c r="BJ415" s="335"/>
      <c r="BK415" s="335"/>
      <c r="BL415" s="335">
        <v>0.40450980568008471</v>
      </c>
      <c r="BM415" s="335"/>
      <c r="BN415" s="335"/>
      <c r="BO415" s="335">
        <v>2.3615497434854453</v>
      </c>
      <c r="BP415" s="335"/>
      <c r="BQ415" s="336"/>
      <c r="BR415" s="335">
        <v>0.59846397111629623</v>
      </c>
      <c r="BS415" s="335"/>
      <c r="BT415" s="335"/>
      <c r="BU415" s="335">
        <v>0.96654961104242987</v>
      </c>
      <c r="BV415" s="335"/>
      <c r="BW415" s="336"/>
      <c r="BX415" s="335">
        <v>0.94750316227776854</v>
      </c>
      <c r="BY415" s="335"/>
      <c r="BZ415" s="335"/>
      <c r="CA415" s="335">
        <v>1.354099554668134</v>
      </c>
      <c r="CB415" s="335"/>
      <c r="CC415" s="335"/>
      <c r="CD415" s="335">
        <v>1.0489458341843783</v>
      </c>
      <c r="CE415" s="335"/>
      <c r="CF415" s="335"/>
      <c r="CG415" s="335">
        <v>0.99106002493975975</v>
      </c>
      <c r="CH415" s="335"/>
      <c r="CI415" s="335"/>
      <c r="CJ415" s="335">
        <v>0.93106401312289944</v>
      </c>
      <c r="CK415" s="335"/>
      <c r="CL415" s="335"/>
      <c r="CM415" s="335">
        <v>1.0727169387505344</v>
      </c>
      <c r="CN415" s="335"/>
      <c r="CO415" s="335"/>
      <c r="CP415" s="335">
        <v>0.97764408626198152</v>
      </c>
      <c r="CQ415" s="335"/>
      <c r="CR415" s="335"/>
      <c r="CS415" s="335">
        <v>0.90094558912196965</v>
      </c>
      <c r="CT415" s="335"/>
      <c r="CU415" s="335"/>
      <c r="CV415" s="335">
        <v>0.90094558912196887</v>
      </c>
      <c r="CW415" s="5"/>
      <c r="CX415" s="684">
        <v>3.0343993039255428E-2</v>
      </c>
      <c r="CY415" s="143"/>
      <c r="CZ415" s="5"/>
      <c r="DD415" s="410"/>
      <c r="DT415" s="5"/>
      <c r="DU415" s="5"/>
    </row>
    <row r="416" spans="1:151" x14ac:dyDescent="0.3">
      <c r="A416" s="276"/>
      <c r="C416" s="30" t="s">
        <v>975</v>
      </c>
      <c r="D416" s="3"/>
      <c r="E416" s="33"/>
      <c r="F416" s="28"/>
      <c r="G416" s="51"/>
      <c r="H416" s="309"/>
      <c r="I416" s="5"/>
      <c r="J416" s="336">
        <v>0.97102451905692777</v>
      </c>
      <c r="K416" s="335"/>
      <c r="L416" s="335"/>
      <c r="M416" s="336">
        <v>0.96398842598339918</v>
      </c>
      <c r="N416" s="335"/>
      <c r="O416" s="335"/>
      <c r="P416" s="336">
        <v>1.0001175157040658</v>
      </c>
      <c r="Q416" s="335"/>
      <c r="R416" s="335"/>
      <c r="S416" s="336">
        <v>1.0002669083684546</v>
      </c>
      <c r="T416" s="335"/>
      <c r="U416" s="335"/>
      <c r="V416" s="336">
        <v>0.81311516410864915</v>
      </c>
      <c r="W416" s="335"/>
      <c r="X416" s="335"/>
      <c r="Y416" s="336">
        <v>0.80932769136003369</v>
      </c>
      <c r="Z416" s="335"/>
      <c r="AA416" s="335"/>
      <c r="AB416" s="336">
        <v>0.15182388051981954</v>
      </c>
      <c r="AC416" s="335"/>
      <c r="AD416" s="335"/>
      <c r="AE416" s="336">
        <v>1.0094950644277365</v>
      </c>
      <c r="AF416" s="335"/>
      <c r="AG416" s="336"/>
      <c r="AH416" s="336">
        <v>0.95113003315333478</v>
      </c>
      <c r="AI416" s="335"/>
      <c r="AJ416" s="335"/>
      <c r="AK416" s="336">
        <v>0.99092091198949761</v>
      </c>
      <c r="AL416" s="335"/>
      <c r="AM416" s="335"/>
      <c r="AN416" s="336">
        <v>0.40795885773532148</v>
      </c>
      <c r="AO416" s="335"/>
      <c r="AP416" s="335"/>
      <c r="AQ416" s="336">
        <v>0.85952819523928337</v>
      </c>
      <c r="AR416" s="335"/>
      <c r="AS416" s="335"/>
      <c r="AT416" s="336">
        <v>0.95833626843862274</v>
      </c>
      <c r="AU416" s="335"/>
      <c r="AV416" s="335"/>
      <c r="AW416" s="336">
        <v>0.53467962231675159</v>
      </c>
      <c r="AX416" s="335"/>
      <c r="AY416" s="335"/>
      <c r="AZ416" s="336">
        <v>0.73530098797461307</v>
      </c>
      <c r="BA416" s="335"/>
      <c r="BB416" s="335"/>
      <c r="BC416" s="336">
        <v>0.56829173764830154</v>
      </c>
      <c r="BD416" s="335"/>
      <c r="BE416" s="335"/>
      <c r="BF416" s="336">
        <v>0.80934049838519928</v>
      </c>
      <c r="BG416" s="335"/>
      <c r="BH416" s="335"/>
      <c r="BI416" s="336">
        <v>0.29080549920566084</v>
      </c>
      <c r="BJ416" s="335"/>
      <c r="BK416" s="335"/>
      <c r="BL416" s="336">
        <v>0.65464298932007325</v>
      </c>
      <c r="BM416" s="335"/>
      <c r="BN416" s="335"/>
      <c r="BO416" s="336">
        <v>1.0574440020140159</v>
      </c>
      <c r="BP416" s="335"/>
      <c r="BQ416" s="336"/>
      <c r="BR416" s="336">
        <v>0.6362495665436223</v>
      </c>
      <c r="BS416" s="335"/>
      <c r="BT416" s="335"/>
      <c r="BU416" s="336">
        <v>1.0167900053117349</v>
      </c>
      <c r="BV416" s="335"/>
      <c r="BW416" s="336"/>
      <c r="BX416" s="336">
        <v>0.94626005022797899</v>
      </c>
      <c r="BY416" s="335"/>
      <c r="BZ416" s="335"/>
      <c r="CA416" s="336">
        <v>1.000072526069665</v>
      </c>
      <c r="CB416" s="335"/>
      <c r="CC416" s="335"/>
      <c r="CD416" s="336">
        <v>1.0487679372067948</v>
      </c>
      <c r="CE416" s="335"/>
      <c r="CF416" s="335"/>
      <c r="CG416" s="336">
        <v>0.79626036749967521</v>
      </c>
      <c r="CH416" s="335"/>
      <c r="CI416" s="335"/>
      <c r="CJ416" s="336">
        <v>0.92345811936190914</v>
      </c>
      <c r="CK416" s="335"/>
      <c r="CL416" s="335"/>
      <c r="CM416" s="336">
        <v>1.0483971238877365</v>
      </c>
      <c r="CN416" s="335"/>
      <c r="CO416" s="335"/>
      <c r="CP416" s="336">
        <v>0.96759039168446692</v>
      </c>
      <c r="CQ416" s="335"/>
      <c r="CR416" s="335"/>
      <c r="CS416" s="336">
        <v>0.95235638107860821</v>
      </c>
      <c r="CT416" s="335"/>
      <c r="CU416" s="335"/>
      <c r="CV416" s="336">
        <v>0.95235638107860843</v>
      </c>
      <c r="CW416" s="5"/>
      <c r="CX416" s="5"/>
      <c r="CY416" s="144"/>
      <c r="CZ416" s="5"/>
      <c r="DA416" s="7">
        <v>3015282.5283802096</v>
      </c>
      <c r="DT416" s="5"/>
      <c r="DU416" s="5"/>
    </row>
    <row r="418" spans="43:102" x14ac:dyDescent="0.3">
      <c r="CX418" s="685">
        <v>6.4752065297142254</v>
      </c>
    </row>
    <row r="419" spans="43:102" x14ac:dyDescent="0.3">
      <c r="CA419" s="7">
        <v>13063061.494618634</v>
      </c>
      <c r="CX419" s="685">
        <v>5.2787431843365455</v>
      </c>
    </row>
    <row r="420" spans="43:102" x14ac:dyDescent="0.3">
      <c r="AQ420" s="7">
        <v>155017</v>
      </c>
      <c r="CA420" s="7" t="e">
        <v>#REF!</v>
      </c>
      <c r="CX420" s="685">
        <v>5.7834329008078873</v>
      </c>
    </row>
    <row r="421" spans="43:102" x14ac:dyDescent="0.3">
      <c r="AQ421" s="7">
        <v>1093911.2032617219</v>
      </c>
    </row>
    <row r="422" spans="43:102" x14ac:dyDescent="0.3">
      <c r="CT422" s="7" t="s">
        <v>1072</v>
      </c>
      <c r="CU422" s="7">
        <v>32660302.799999997</v>
      </c>
      <c r="CV422" s="7">
        <v>30038960.399999999</v>
      </c>
    </row>
    <row r="423" spans="43:102" x14ac:dyDescent="0.3">
      <c r="CU423" s="7">
        <v>36481721.37078613</v>
      </c>
      <c r="CV423" s="7">
        <v>35808887.519739553</v>
      </c>
    </row>
  </sheetData>
  <mergeCells count="56">
    <mergeCell ref="EB7:EN7"/>
    <mergeCell ref="BH7:BJ7"/>
    <mergeCell ref="BK7:BM7"/>
    <mergeCell ref="BN7:BP7"/>
    <mergeCell ref="BQ7:BS7"/>
    <mergeCell ref="CI7:CK7"/>
    <mergeCell ref="CL7:CN7"/>
    <mergeCell ref="DK6:DK8"/>
    <mergeCell ref="DL6:DL8"/>
    <mergeCell ref="DX6:DZ6"/>
    <mergeCell ref="CR6:CT7"/>
    <mergeCell ref="CU6:CW7"/>
    <mergeCell ref="CX6:CZ7"/>
    <mergeCell ref="DA6:DA8"/>
    <mergeCell ref="CO7:CQ7"/>
    <mergeCell ref="CC6:CE7"/>
    <mergeCell ref="EQ6:ER6"/>
    <mergeCell ref="I7:K7"/>
    <mergeCell ref="L7:N7"/>
    <mergeCell ref="O7:Q7"/>
    <mergeCell ref="R7:T7"/>
    <mergeCell ref="U7:W7"/>
    <mergeCell ref="X7:Z7"/>
    <mergeCell ref="DC6:DD6"/>
    <mergeCell ref="DE6:DE8"/>
    <mergeCell ref="DF6:DF8"/>
    <mergeCell ref="DG6:DG8"/>
    <mergeCell ref="DH6:DH8"/>
    <mergeCell ref="DJ6:DJ8"/>
    <mergeCell ref="DC7:DD7"/>
    <mergeCell ref="CF6:CH7"/>
    <mergeCell ref="CI6:CQ6"/>
    <mergeCell ref="AS6:AU7"/>
    <mergeCell ref="AV6:BS6"/>
    <mergeCell ref="BT6:BV7"/>
    <mergeCell ref="BW6:BY7"/>
    <mergeCell ref="BZ6:CB7"/>
    <mergeCell ref="AV7:AX7"/>
    <mergeCell ref="AY7:BA7"/>
    <mergeCell ref="BB7:BD7"/>
    <mergeCell ref="BE7:BG7"/>
    <mergeCell ref="AP6:AR7"/>
    <mergeCell ref="AA7:AC7"/>
    <mergeCell ref="AD7:AF7"/>
    <mergeCell ref="AG7:AI7"/>
    <mergeCell ref="A6:A8"/>
    <mergeCell ref="B6:B8"/>
    <mergeCell ref="C6:C8"/>
    <mergeCell ref="D6:D8"/>
    <mergeCell ref="E6:E8"/>
    <mergeCell ref="F6:F8"/>
    <mergeCell ref="G6:G8"/>
    <mergeCell ref="H6:H8"/>
    <mergeCell ref="I6:AI6"/>
    <mergeCell ref="AJ6:AL7"/>
    <mergeCell ref="AM6:AO7"/>
  </mergeCells>
  <conditionalFormatting sqref="A163">
    <cfRule type="duplicateValues" dxfId="1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08EBB-20A9-43A0-BFA5-E442C2285BC2}">
  <dimension ref="A1:EG398"/>
  <sheetViews>
    <sheetView topLeftCell="CQ1" workbookViewId="0">
      <selection activeCell="B5" sqref="B5:DA5"/>
    </sheetView>
  </sheetViews>
  <sheetFormatPr defaultColWidth="8.88671875" defaultRowHeight="14.4" x14ac:dyDescent="0.3"/>
  <cols>
    <col min="1" max="1" width="13.109375" style="324" customWidth="1"/>
    <col min="2" max="2" width="8.88671875" style="1"/>
    <col min="3" max="3" width="34.44140625" style="1" customWidth="1"/>
    <col min="4" max="4" width="6.109375" style="1" customWidth="1"/>
    <col min="5" max="5" width="15.6640625" style="94" customWidth="1"/>
    <col min="6" max="6" width="14.33203125" style="93" customWidth="1"/>
    <col min="7" max="7" width="11.6640625" style="49" customWidth="1"/>
    <col min="8" max="8" width="12.44140625" style="308" customWidth="1"/>
    <col min="9" max="9" width="10.88671875" style="7" customWidth="1"/>
    <col min="10" max="10" width="8.88671875" style="7"/>
    <col min="11" max="11" width="9.5546875" style="7" customWidth="1"/>
    <col min="12" max="12" width="12.44140625" style="7" customWidth="1"/>
    <col min="13" max="13" width="10.88671875" style="7" customWidth="1"/>
    <col min="14" max="14" width="10.109375" style="7" customWidth="1"/>
    <col min="15" max="17" width="10.88671875" style="7" customWidth="1"/>
    <col min="18" max="20" width="11.44140625" style="7" customWidth="1"/>
    <col min="21" max="23" width="10.6640625" style="7" customWidth="1"/>
    <col min="24" max="26" width="12.109375" style="7" customWidth="1"/>
    <col min="27" max="29" width="10.6640625" style="7" customWidth="1"/>
    <col min="30" max="32" width="14.109375" style="7" customWidth="1"/>
    <col min="33" max="33" width="14.109375" style="50" customWidth="1"/>
    <col min="34" max="35" width="14.109375" style="7" customWidth="1"/>
    <col min="36" max="38" width="10.33203125" style="7" customWidth="1"/>
    <col min="39" max="41" width="10.44140625" style="7" customWidth="1"/>
    <col min="42" max="44" width="11.109375" style="7" customWidth="1"/>
    <col min="45" max="47" width="12.109375" style="7" customWidth="1"/>
    <col min="48" max="50" width="11.33203125" style="7" customWidth="1"/>
    <col min="51" max="51" width="10.33203125" style="7" customWidth="1"/>
    <col min="52" max="52" width="8.109375" style="7" customWidth="1"/>
    <col min="53" max="54" width="10.88671875" style="7" customWidth="1"/>
    <col min="55" max="56" width="12.44140625" style="7" customWidth="1"/>
    <col min="57" max="59" width="12.109375" style="7" customWidth="1"/>
    <col min="60" max="62" width="11.5546875" style="7" customWidth="1"/>
    <col min="63" max="65" width="11.109375" style="7" customWidth="1"/>
    <col min="66" max="68" width="10.5546875" style="7" customWidth="1"/>
    <col min="69" max="69" width="10.5546875" style="50" customWidth="1"/>
    <col min="70" max="71" width="10.5546875" style="7" customWidth="1"/>
    <col min="72" max="74" width="11.6640625" style="7" customWidth="1"/>
    <col min="75" max="75" width="11.44140625" style="50" customWidth="1"/>
    <col min="76" max="77" width="11.44140625" style="7" customWidth="1"/>
    <col min="78" max="80" width="12.44140625" style="7" customWidth="1"/>
    <col min="81" max="81" width="10.6640625" style="7" customWidth="1"/>
    <col min="82" max="82" width="8.44140625" style="7" customWidth="1"/>
    <col min="83" max="83" width="11.33203125" style="7" customWidth="1"/>
    <col min="84" max="84" width="10.6640625" style="7" customWidth="1"/>
    <col min="85" max="85" width="10.44140625" style="7" customWidth="1"/>
    <col min="86" max="86" width="10.6640625" style="7" customWidth="1"/>
    <col min="87" max="89" width="12.44140625" style="7" customWidth="1"/>
    <col min="90" max="95" width="11.33203125" style="7" customWidth="1"/>
    <col min="96" max="96" width="12.6640625" style="7" customWidth="1"/>
    <col min="97" max="97" width="10.6640625" style="7" customWidth="1"/>
    <col min="98" max="98" width="11.44140625" style="7" customWidth="1"/>
    <col min="99" max="99" width="12.44140625" style="7" customWidth="1"/>
    <col min="100" max="100" width="12.88671875" style="50" customWidth="1"/>
    <col min="101" max="101" width="13" style="7" customWidth="1"/>
    <col min="102" max="102" width="14.5546875" style="7" customWidth="1"/>
    <col min="103" max="103" width="10.33203125" style="7" customWidth="1"/>
    <col min="104" max="104" width="10.44140625" style="7" customWidth="1"/>
    <col min="105" max="105" width="22.88671875" style="7" customWidth="1"/>
    <col min="106" max="106" width="8.88671875" style="2"/>
    <col min="107" max="107" width="15.6640625" style="639" customWidth="1"/>
    <col min="108" max="108" width="14.109375" style="640" customWidth="1"/>
    <col min="109" max="109" width="16.5546875" customWidth="1"/>
    <col min="110" max="110" width="22.5546875" style="2" customWidth="1"/>
    <col min="111" max="111" width="22.88671875" style="7" customWidth="1"/>
    <col min="112" max="113" width="22.88671875" style="151" customWidth="1"/>
    <col min="114" max="114" width="22.88671875" style="50" customWidth="1"/>
    <col min="115" max="116" width="22.88671875" style="7" customWidth="1"/>
    <col min="117" max="117" width="10.88671875" style="296" customWidth="1"/>
    <col min="118" max="118" width="11.88671875" style="296" customWidth="1"/>
    <col min="119" max="119" width="10.88671875" style="1" customWidth="1"/>
    <col min="120" max="120" width="16.44140625" style="686" customWidth="1"/>
    <col min="121" max="121" width="14" style="687" customWidth="1"/>
    <col min="122" max="122" width="16" style="1" customWidth="1"/>
    <col min="123" max="123" width="14.33203125" style="1" customWidth="1"/>
    <col min="124" max="124" width="16" style="688" customWidth="1"/>
    <col min="125" max="125" width="14" style="689" customWidth="1"/>
    <col min="126" max="126" width="14.109375" style="2" customWidth="1"/>
    <col min="127" max="127" width="13.88671875" style="7" customWidth="1"/>
    <col min="128" max="128" width="13" style="7" customWidth="1"/>
    <col min="129" max="130" width="8.88671875" style="1"/>
    <col min="131" max="131" width="12.44140625" style="7" customWidth="1"/>
    <col min="132" max="132" width="12.5546875" style="7" customWidth="1"/>
    <col min="133" max="134" width="8.88671875" style="1"/>
    <col min="135" max="135" width="17.33203125" style="94" customWidth="1"/>
    <col min="136" max="136" width="8.88671875" style="1"/>
    <col min="137" max="137" width="37.44140625" style="1" customWidth="1"/>
    <col min="138" max="16384" width="8.88671875" style="1"/>
  </cols>
  <sheetData>
    <row r="1" spans="1:137" x14ac:dyDescent="0.3">
      <c r="A1" s="1" t="s">
        <v>0</v>
      </c>
    </row>
    <row r="2" spans="1:137" x14ac:dyDescent="0.3">
      <c r="BU2" s="690">
        <v>0</v>
      </c>
      <c r="CA2" s="690">
        <v>1</v>
      </c>
      <c r="CV2" s="396"/>
      <c r="CW2" s="397" t="s">
        <v>1053</v>
      </c>
      <c r="CX2" s="388">
        <v>12426798.382787114</v>
      </c>
      <c r="DA2" s="158" t="s">
        <v>1110</v>
      </c>
    </row>
    <row r="3" spans="1:137" ht="22.8" x14ac:dyDescent="0.3">
      <c r="A3" s="6" t="s">
        <v>1023</v>
      </c>
      <c r="G3" s="691" t="s">
        <v>1091</v>
      </c>
      <c r="I3" s="642" t="s">
        <v>1111</v>
      </c>
      <c r="BU3" s="392" t="s">
        <v>1093</v>
      </c>
      <c r="CV3" s="396"/>
      <c r="CW3" s="388"/>
      <c r="CX3" s="388">
        <v>12148568.382787114</v>
      </c>
      <c r="CY3" s="7">
        <v>278230</v>
      </c>
      <c r="DA3" s="158" t="s">
        <v>1112</v>
      </c>
      <c r="DB3" s="96"/>
      <c r="DF3" s="96"/>
      <c r="DH3" s="692" t="s">
        <v>1113</v>
      </c>
      <c r="DI3" s="692" t="s">
        <v>1114</v>
      </c>
      <c r="DJ3" s="693" t="s">
        <v>1063</v>
      </c>
      <c r="DK3" s="50"/>
      <c r="DL3" s="50"/>
      <c r="EA3" s="389" t="s">
        <v>1050</v>
      </c>
    </row>
    <row r="4" spans="1:137" x14ac:dyDescent="0.3">
      <c r="CV4" s="398"/>
      <c r="CW4" s="388"/>
      <c r="CX4" s="399">
        <v>2.2902287021260515E-2</v>
      </c>
      <c r="DH4" s="692" t="s">
        <v>1115</v>
      </c>
      <c r="DI4" s="692" t="s">
        <v>1116</v>
      </c>
      <c r="DJ4" s="693" t="s">
        <v>1102</v>
      </c>
      <c r="DK4" s="50"/>
      <c r="DL4" s="50"/>
      <c r="DM4" s="297" t="s">
        <v>1067</v>
      </c>
    </row>
    <row r="5" spans="1:137" ht="18" thickBot="1" x14ac:dyDescent="0.35">
      <c r="A5" s="324">
        <v>1</v>
      </c>
      <c r="B5" s="1">
        <f>A5+1</f>
        <v>2</v>
      </c>
      <c r="C5" s="1">
        <f t="shared" ref="C5:BN5" si="0">B5+1</f>
        <v>3</v>
      </c>
      <c r="D5" s="1">
        <f t="shared" si="0"/>
        <v>4</v>
      </c>
      <c r="E5" s="1">
        <f t="shared" si="0"/>
        <v>5</v>
      </c>
      <c r="F5" s="1">
        <f t="shared" si="0"/>
        <v>6</v>
      </c>
      <c r="G5" s="1">
        <f t="shared" si="0"/>
        <v>7</v>
      </c>
      <c r="H5" s="1">
        <f t="shared" si="0"/>
        <v>8</v>
      </c>
      <c r="I5" s="1">
        <f t="shared" si="0"/>
        <v>9</v>
      </c>
      <c r="J5" s="1">
        <f t="shared" si="0"/>
        <v>10</v>
      </c>
      <c r="K5" s="1">
        <f t="shared" si="0"/>
        <v>11</v>
      </c>
      <c r="L5" s="1">
        <f t="shared" si="0"/>
        <v>12</v>
      </c>
      <c r="M5" s="1">
        <f t="shared" si="0"/>
        <v>13</v>
      </c>
      <c r="N5" s="1">
        <f t="shared" si="0"/>
        <v>14</v>
      </c>
      <c r="O5" s="1">
        <f t="shared" si="0"/>
        <v>15</v>
      </c>
      <c r="P5" s="1">
        <f t="shared" si="0"/>
        <v>16</v>
      </c>
      <c r="Q5" s="1">
        <f t="shared" si="0"/>
        <v>17</v>
      </c>
      <c r="R5" s="1">
        <f t="shared" si="0"/>
        <v>18</v>
      </c>
      <c r="S5" s="1">
        <f t="shared" si="0"/>
        <v>19</v>
      </c>
      <c r="T5" s="1">
        <f t="shared" si="0"/>
        <v>20</v>
      </c>
      <c r="U5" s="1">
        <f t="shared" si="0"/>
        <v>21</v>
      </c>
      <c r="V5" s="1">
        <f t="shared" si="0"/>
        <v>22</v>
      </c>
      <c r="W5" s="1">
        <f t="shared" si="0"/>
        <v>23</v>
      </c>
      <c r="X5" s="1">
        <f t="shared" si="0"/>
        <v>24</v>
      </c>
      <c r="Y5" s="1">
        <f t="shared" si="0"/>
        <v>25</v>
      </c>
      <c r="Z5" s="1">
        <f t="shared" si="0"/>
        <v>26</v>
      </c>
      <c r="AA5" s="1">
        <f t="shared" si="0"/>
        <v>27</v>
      </c>
      <c r="AB5" s="1">
        <f t="shared" si="0"/>
        <v>28</v>
      </c>
      <c r="AC5" s="1">
        <f t="shared" si="0"/>
        <v>29</v>
      </c>
      <c r="AD5" s="1">
        <f t="shared" si="0"/>
        <v>30</v>
      </c>
      <c r="AE5" s="1">
        <f t="shared" si="0"/>
        <v>31</v>
      </c>
      <c r="AF5" s="1">
        <f t="shared" si="0"/>
        <v>32</v>
      </c>
      <c r="AG5" s="1">
        <f t="shared" si="0"/>
        <v>33</v>
      </c>
      <c r="AH5" s="1">
        <f t="shared" si="0"/>
        <v>34</v>
      </c>
      <c r="AI5" s="1">
        <f t="shared" si="0"/>
        <v>35</v>
      </c>
      <c r="AJ5" s="1">
        <f t="shared" si="0"/>
        <v>36</v>
      </c>
      <c r="AK5" s="1">
        <f t="shared" si="0"/>
        <v>37</v>
      </c>
      <c r="AL5" s="1">
        <f t="shared" si="0"/>
        <v>38</v>
      </c>
      <c r="AM5" s="1">
        <f t="shared" si="0"/>
        <v>39</v>
      </c>
      <c r="AN5" s="1">
        <f t="shared" si="0"/>
        <v>40</v>
      </c>
      <c r="AO5" s="1">
        <f t="shared" si="0"/>
        <v>41</v>
      </c>
      <c r="AP5" s="1">
        <f t="shared" si="0"/>
        <v>42</v>
      </c>
      <c r="AQ5" s="1">
        <f t="shared" si="0"/>
        <v>43</v>
      </c>
      <c r="AR5" s="1">
        <f t="shared" si="0"/>
        <v>44</v>
      </c>
      <c r="AS5" s="1">
        <f t="shared" si="0"/>
        <v>45</v>
      </c>
      <c r="AT5" s="1">
        <f t="shared" si="0"/>
        <v>46</v>
      </c>
      <c r="AU5" s="1">
        <f t="shared" si="0"/>
        <v>47</v>
      </c>
      <c r="AV5" s="1">
        <f t="shared" si="0"/>
        <v>48</v>
      </c>
      <c r="AW5" s="1">
        <f t="shared" si="0"/>
        <v>49</v>
      </c>
      <c r="AX5" s="1">
        <f t="shared" si="0"/>
        <v>50</v>
      </c>
      <c r="AY5" s="1">
        <f t="shared" si="0"/>
        <v>51</v>
      </c>
      <c r="AZ5" s="1">
        <f t="shared" si="0"/>
        <v>52</v>
      </c>
      <c r="BA5" s="1">
        <f t="shared" si="0"/>
        <v>53</v>
      </c>
      <c r="BB5" s="1">
        <f t="shared" si="0"/>
        <v>54</v>
      </c>
      <c r="BC5" s="1">
        <f t="shared" si="0"/>
        <v>55</v>
      </c>
      <c r="BD5" s="1">
        <f t="shared" si="0"/>
        <v>56</v>
      </c>
      <c r="BE5" s="1">
        <f t="shared" si="0"/>
        <v>57</v>
      </c>
      <c r="BF5" s="1">
        <f t="shared" si="0"/>
        <v>58</v>
      </c>
      <c r="BG5" s="1">
        <f t="shared" si="0"/>
        <v>59</v>
      </c>
      <c r="BH5" s="1">
        <f t="shared" si="0"/>
        <v>60</v>
      </c>
      <c r="BI5" s="1">
        <f t="shared" si="0"/>
        <v>61</v>
      </c>
      <c r="BJ5" s="1">
        <f t="shared" si="0"/>
        <v>62</v>
      </c>
      <c r="BK5" s="1">
        <f t="shared" si="0"/>
        <v>63</v>
      </c>
      <c r="BL5" s="1">
        <f t="shared" si="0"/>
        <v>64</v>
      </c>
      <c r="BM5" s="1">
        <f t="shared" si="0"/>
        <v>65</v>
      </c>
      <c r="BN5" s="1">
        <f t="shared" si="0"/>
        <v>66</v>
      </c>
      <c r="BO5" s="1">
        <f t="shared" ref="BO5:DA5" si="1">BN5+1</f>
        <v>67</v>
      </c>
      <c r="BP5" s="1">
        <f t="shared" si="1"/>
        <v>68</v>
      </c>
      <c r="BQ5" s="1">
        <f t="shared" si="1"/>
        <v>69</v>
      </c>
      <c r="BR5" s="1">
        <f t="shared" si="1"/>
        <v>70</v>
      </c>
      <c r="BS5" s="1">
        <f t="shared" si="1"/>
        <v>71</v>
      </c>
      <c r="BT5" s="1">
        <f t="shared" si="1"/>
        <v>72</v>
      </c>
      <c r="BU5" s="1">
        <f t="shared" si="1"/>
        <v>73</v>
      </c>
      <c r="BV5" s="1">
        <f t="shared" si="1"/>
        <v>74</v>
      </c>
      <c r="BW5" s="1">
        <f t="shared" si="1"/>
        <v>75</v>
      </c>
      <c r="BX5" s="1">
        <f t="shared" si="1"/>
        <v>76</v>
      </c>
      <c r="BY5" s="1">
        <f t="shared" si="1"/>
        <v>77</v>
      </c>
      <c r="BZ5" s="1">
        <f t="shared" si="1"/>
        <v>78</v>
      </c>
      <c r="CA5" s="1">
        <f t="shared" si="1"/>
        <v>79</v>
      </c>
      <c r="CB5" s="1">
        <f t="shared" si="1"/>
        <v>80</v>
      </c>
      <c r="CC5" s="1">
        <f t="shared" si="1"/>
        <v>81</v>
      </c>
      <c r="CD5" s="1">
        <f t="shared" si="1"/>
        <v>82</v>
      </c>
      <c r="CE5" s="1">
        <f t="shared" si="1"/>
        <v>83</v>
      </c>
      <c r="CF5" s="1">
        <f t="shared" si="1"/>
        <v>84</v>
      </c>
      <c r="CG5" s="1">
        <f t="shared" si="1"/>
        <v>85</v>
      </c>
      <c r="CH5" s="1">
        <f t="shared" si="1"/>
        <v>86</v>
      </c>
      <c r="CI5" s="1">
        <f t="shared" si="1"/>
        <v>87</v>
      </c>
      <c r="CJ5" s="1">
        <f t="shared" si="1"/>
        <v>88</v>
      </c>
      <c r="CK5" s="1">
        <f t="shared" si="1"/>
        <v>89</v>
      </c>
      <c r="CL5" s="1">
        <f t="shared" si="1"/>
        <v>90</v>
      </c>
      <c r="CM5" s="1">
        <f t="shared" si="1"/>
        <v>91</v>
      </c>
      <c r="CN5" s="1">
        <f t="shared" si="1"/>
        <v>92</v>
      </c>
      <c r="CO5" s="1">
        <f t="shared" si="1"/>
        <v>93</v>
      </c>
      <c r="CP5" s="1">
        <f t="shared" si="1"/>
        <v>94</v>
      </c>
      <c r="CQ5" s="1">
        <f t="shared" si="1"/>
        <v>95</v>
      </c>
      <c r="CR5" s="1">
        <f t="shared" si="1"/>
        <v>96</v>
      </c>
      <c r="CS5" s="1">
        <f t="shared" si="1"/>
        <v>97</v>
      </c>
      <c r="CT5" s="1">
        <f t="shared" si="1"/>
        <v>98</v>
      </c>
      <c r="CU5" s="1">
        <f t="shared" si="1"/>
        <v>99</v>
      </c>
      <c r="CV5" s="1">
        <f t="shared" si="1"/>
        <v>100</v>
      </c>
      <c r="CW5" s="1">
        <f t="shared" si="1"/>
        <v>101</v>
      </c>
      <c r="CX5" s="1">
        <f t="shared" si="1"/>
        <v>102</v>
      </c>
      <c r="CY5" s="1">
        <f t="shared" si="1"/>
        <v>103</v>
      </c>
      <c r="CZ5" s="1">
        <f t="shared" si="1"/>
        <v>104</v>
      </c>
      <c r="DA5" s="1">
        <f t="shared" si="1"/>
        <v>105</v>
      </c>
      <c r="DB5" s="331">
        <v>104</v>
      </c>
      <c r="DC5" s="331">
        <v>105</v>
      </c>
      <c r="DD5" s="331">
        <v>106</v>
      </c>
      <c r="DE5" s="331">
        <v>107</v>
      </c>
      <c r="DF5" s="331">
        <v>108</v>
      </c>
      <c r="DG5" s="331">
        <v>109</v>
      </c>
      <c r="DH5" s="331">
        <v>110</v>
      </c>
      <c r="DI5" s="331">
        <v>111</v>
      </c>
      <c r="DJ5" s="331">
        <v>112</v>
      </c>
      <c r="DK5" s="331">
        <v>113</v>
      </c>
      <c r="DL5" s="331">
        <v>114</v>
      </c>
      <c r="DM5" s="331">
        <v>115</v>
      </c>
      <c r="DN5" s="331">
        <v>116</v>
      </c>
      <c r="DO5" s="331">
        <v>117</v>
      </c>
      <c r="DP5" s="331">
        <v>118</v>
      </c>
      <c r="DQ5" s="331">
        <v>119</v>
      </c>
      <c r="DR5" s="331">
        <v>120</v>
      </c>
      <c r="DS5" s="331">
        <v>121</v>
      </c>
      <c r="DT5" s="331">
        <v>122</v>
      </c>
      <c r="DU5" s="694">
        <v>123</v>
      </c>
      <c r="DV5" s="331">
        <v>124</v>
      </c>
      <c r="DW5" s="331">
        <v>125</v>
      </c>
      <c r="DX5" s="331">
        <v>126</v>
      </c>
      <c r="DY5" s="331">
        <v>127</v>
      </c>
      <c r="DZ5" s="331">
        <v>128</v>
      </c>
      <c r="EA5" s="331">
        <v>129</v>
      </c>
      <c r="EB5" s="331">
        <v>130</v>
      </c>
      <c r="EG5" s="1">
        <v>1</v>
      </c>
    </row>
    <row r="6" spans="1:137" s="277" customFormat="1" ht="35.25" customHeight="1" thickBot="1" x14ac:dyDescent="0.35">
      <c r="A6" s="1091" t="s">
        <v>1038</v>
      </c>
      <c r="B6" s="1042" t="s">
        <v>850</v>
      </c>
      <c r="C6" s="1042" t="s">
        <v>1</v>
      </c>
      <c r="D6" s="1104" t="s">
        <v>2</v>
      </c>
      <c r="E6" s="1107" t="s">
        <v>431</v>
      </c>
      <c r="F6" s="1048" t="s">
        <v>3</v>
      </c>
      <c r="G6" s="1051" t="s">
        <v>4</v>
      </c>
      <c r="H6" s="1054" t="s">
        <v>5</v>
      </c>
      <c r="I6" s="1060" t="s">
        <v>444</v>
      </c>
      <c r="J6" s="1061"/>
      <c r="K6" s="1061"/>
      <c r="L6" s="1061"/>
      <c r="M6" s="1061"/>
      <c r="N6" s="1061"/>
      <c r="O6" s="1061"/>
      <c r="P6" s="1061"/>
      <c r="Q6" s="1061"/>
      <c r="R6" s="1061"/>
      <c r="S6" s="1061"/>
      <c r="T6" s="1061"/>
      <c r="U6" s="1061"/>
      <c r="V6" s="1061"/>
      <c r="W6" s="1061"/>
      <c r="X6" s="1061"/>
      <c r="Y6" s="1061"/>
      <c r="Z6" s="1061"/>
      <c r="AA6" s="1061"/>
      <c r="AB6" s="1061"/>
      <c r="AC6" s="1061"/>
      <c r="AD6" s="1061"/>
      <c r="AE6" s="1061"/>
      <c r="AF6" s="1061"/>
      <c r="AG6" s="1061"/>
      <c r="AH6" s="1061"/>
      <c r="AI6" s="1062"/>
      <c r="AJ6" s="1063" t="s">
        <v>7</v>
      </c>
      <c r="AK6" s="1064"/>
      <c r="AL6" s="1065"/>
      <c r="AM6" s="1069" t="s">
        <v>8</v>
      </c>
      <c r="AN6" s="1064"/>
      <c r="AO6" s="1064"/>
      <c r="AP6" s="1004" t="s">
        <v>9</v>
      </c>
      <c r="AQ6" s="1064"/>
      <c r="AR6" s="1064"/>
      <c r="AS6" s="988" t="s">
        <v>11</v>
      </c>
      <c r="AT6" s="1037"/>
      <c r="AU6" s="1038"/>
      <c r="AV6" s="1086" t="s">
        <v>452</v>
      </c>
      <c r="AW6" s="1086"/>
      <c r="AX6" s="1086"/>
      <c r="AY6" s="1086"/>
      <c r="AZ6" s="1086"/>
      <c r="BA6" s="1086"/>
      <c r="BB6" s="1086"/>
      <c r="BC6" s="1086"/>
      <c r="BD6" s="1086"/>
      <c r="BE6" s="1086"/>
      <c r="BF6" s="1086"/>
      <c r="BG6" s="1086"/>
      <c r="BH6" s="1086"/>
      <c r="BI6" s="1086"/>
      <c r="BJ6" s="1086"/>
      <c r="BK6" s="1086"/>
      <c r="BL6" s="1086"/>
      <c r="BM6" s="1086"/>
      <c r="BN6" s="1086"/>
      <c r="BO6" s="1086"/>
      <c r="BP6" s="1086"/>
      <c r="BQ6" s="1087"/>
      <c r="BR6" s="1087"/>
      <c r="BS6" s="1088"/>
      <c r="BT6" s="1004" t="s">
        <v>14</v>
      </c>
      <c r="BU6" s="1005"/>
      <c r="BV6" s="1006"/>
      <c r="BW6" s="1004" t="s">
        <v>15</v>
      </c>
      <c r="BX6" s="1005"/>
      <c r="BY6" s="1006"/>
      <c r="BZ6" s="1024" t="s">
        <v>16</v>
      </c>
      <c r="CA6" s="1025"/>
      <c r="CB6" s="1025"/>
      <c r="CC6" s="1004" t="s">
        <v>17</v>
      </c>
      <c r="CD6" s="1005"/>
      <c r="CE6" s="1006"/>
      <c r="CF6" s="1069" t="s">
        <v>18</v>
      </c>
      <c r="CG6" s="1005"/>
      <c r="CH6" s="1005"/>
      <c r="CI6" s="1080" t="s">
        <v>19</v>
      </c>
      <c r="CJ6" s="1081"/>
      <c r="CK6" s="1081"/>
      <c r="CL6" s="1081"/>
      <c r="CM6" s="1081"/>
      <c r="CN6" s="1081"/>
      <c r="CO6" s="1081"/>
      <c r="CP6" s="1081"/>
      <c r="CQ6" s="1082"/>
      <c r="CR6" s="1004" t="s">
        <v>21</v>
      </c>
      <c r="CS6" s="1010"/>
      <c r="CT6" s="1011"/>
      <c r="CU6" s="1015" t="s">
        <v>982</v>
      </c>
      <c r="CV6" s="1016"/>
      <c r="CW6" s="1017"/>
      <c r="CX6" s="988" t="s">
        <v>983</v>
      </c>
      <c r="CY6" s="989"/>
      <c r="CZ6" s="990"/>
      <c r="DA6" s="996" t="s">
        <v>1117</v>
      </c>
      <c r="DB6" s="2"/>
      <c r="DC6" s="1110" t="s">
        <v>1118</v>
      </c>
      <c r="DD6" s="1111"/>
      <c r="DE6" s="1098" t="s">
        <v>1081</v>
      </c>
      <c r="DF6" s="1099" t="s">
        <v>1082</v>
      </c>
      <c r="DG6" s="1112" t="s">
        <v>1098</v>
      </c>
      <c r="DH6" s="1115" t="s">
        <v>1119</v>
      </c>
      <c r="DI6" s="1115" t="s">
        <v>1120</v>
      </c>
      <c r="DJ6" s="1115" t="s">
        <v>1121</v>
      </c>
      <c r="DK6" s="695"/>
      <c r="DL6" s="404"/>
      <c r="DM6" s="983" t="s">
        <v>1029</v>
      </c>
      <c r="DN6" s="983" t="s">
        <v>1030</v>
      </c>
      <c r="DO6" s="983" t="s">
        <v>1031</v>
      </c>
      <c r="DP6" s="696"/>
      <c r="DQ6" s="697"/>
      <c r="DT6" s="698"/>
      <c r="DU6" s="699"/>
      <c r="DV6" s="312"/>
      <c r="DW6" s="313"/>
      <c r="DX6" s="313"/>
      <c r="EA6" s="1094" t="s">
        <v>1051</v>
      </c>
      <c r="EB6" s="995"/>
      <c r="EE6" s="700"/>
      <c r="EG6" s="1042" t="s">
        <v>1</v>
      </c>
    </row>
    <row r="7" spans="1:137" s="277" customFormat="1" ht="38.700000000000003" customHeight="1" thickBot="1" x14ac:dyDescent="0.35">
      <c r="A7" s="1092"/>
      <c r="B7" s="1043"/>
      <c r="C7" s="1043"/>
      <c r="D7" s="1105"/>
      <c r="E7" s="1108"/>
      <c r="F7" s="1049"/>
      <c r="G7" s="1052"/>
      <c r="H7" s="1055"/>
      <c r="I7" s="1033" t="s">
        <v>432</v>
      </c>
      <c r="J7" s="1034"/>
      <c r="K7" s="1034"/>
      <c r="L7" s="1033" t="s">
        <v>433</v>
      </c>
      <c r="M7" s="1034"/>
      <c r="N7" s="1035"/>
      <c r="O7" s="1036" t="s">
        <v>434</v>
      </c>
      <c r="P7" s="1034"/>
      <c r="Q7" s="1034"/>
      <c r="R7" s="1033" t="s">
        <v>435</v>
      </c>
      <c r="S7" s="1034"/>
      <c r="T7" s="1035"/>
      <c r="U7" s="1036" t="s">
        <v>436</v>
      </c>
      <c r="V7" s="1034"/>
      <c r="W7" s="1034"/>
      <c r="X7" s="1033" t="s">
        <v>437</v>
      </c>
      <c r="Y7" s="1034"/>
      <c r="Z7" s="1035"/>
      <c r="AA7" s="1036" t="s">
        <v>438</v>
      </c>
      <c r="AB7" s="1034"/>
      <c r="AC7" s="1034"/>
      <c r="AD7" s="1033" t="s">
        <v>439</v>
      </c>
      <c r="AE7" s="1034"/>
      <c r="AF7" s="1034"/>
      <c r="AG7" s="1033" t="s">
        <v>443</v>
      </c>
      <c r="AH7" s="1034"/>
      <c r="AI7" s="1035"/>
      <c r="AJ7" s="1066"/>
      <c r="AK7" s="1067"/>
      <c r="AL7" s="1068"/>
      <c r="AM7" s="1067"/>
      <c r="AN7" s="1067"/>
      <c r="AO7" s="1067"/>
      <c r="AP7" s="1072"/>
      <c r="AQ7" s="1067"/>
      <c r="AR7" s="1067"/>
      <c r="AS7" s="1039"/>
      <c r="AT7" s="1040"/>
      <c r="AU7" s="1041"/>
      <c r="AV7" s="988" t="s">
        <v>445</v>
      </c>
      <c r="AW7" s="1076"/>
      <c r="AX7" s="1077"/>
      <c r="AY7" s="1078" t="s">
        <v>446</v>
      </c>
      <c r="AZ7" s="1079"/>
      <c r="BA7" s="1079"/>
      <c r="BB7" s="988" t="s">
        <v>447</v>
      </c>
      <c r="BC7" s="1076"/>
      <c r="BD7" s="1077"/>
      <c r="BE7" s="1078" t="s">
        <v>448</v>
      </c>
      <c r="BF7" s="1079"/>
      <c r="BG7" s="1079"/>
      <c r="BH7" s="988" t="s">
        <v>449</v>
      </c>
      <c r="BI7" s="1076"/>
      <c r="BJ7" s="1077"/>
      <c r="BK7" s="1078" t="s">
        <v>450</v>
      </c>
      <c r="BL7" s="1079"/>
      <c r="BM7" s="1079"/>
      <c r="BN7" s="988" t="s">
        <v>451</v>
      </c>
      <c r="BO7" s="1076"/>
      <c r="BP7" s="1077"/>
      <c r="BQ7" s="1083" t="s">
        <v>453</v>
      </c>
      <c r="BR7" s="1084"/>
      <c r="BS7" s="1085"/>
      <c r="BT7" s="1073"/>
      <c r="BU7" s="1074"/>
      <c r="BV7" s="1075"/>
      <c r="BW7" s="1021"/>
      <c r="BX7" s="1022"/>
      <c r="BY7" s="1023"/>
      <c r="BZ7" s="1026"/>
      <c r="CA7" s="1027"/>
      <c r="CB7" s="1027"/>
      <c r="CC7" s="1007"/>
      <c r="CD7" s="1008"/>
      <c r="CE7" s="1009"/>
      <c r="CF7" s="1008"/>
      <c r="CG7" s="1008"/>
      <c r="CH7" s="1008"/>
      <c r="CI7" s="1089" t="s">
        <v>32</v>
      </c>
      <c r="CJ7" s="1090"/>
      <c r="CK7" s="1090"/>
      <c r="CL7" s="988" t="s">
        <v>33</v>
      </c>
      <c r="CM7" s="1028"/>
      <c r="CN7" s="1029"/>
      <c r="CO7" s="988" t="s">
        <v>454</v>
      </c>
      <c r="CP7" s="1028"/>
      <c r="CQ7" s="1029"/>
      <c r="CR7" s="1012"/>
      <c r="CS7" s="1013"/>
      <c r="CT7" s="1014"/>
      <c r="CU7" s="1018"/>
      <c r="CV7" s="1019"/>
      <c r="CW7" s="1020"/>
      <c r="CX7" s="991"/>
      <c r="CY7" s="992"/>
      <c r="CZ7" s="993"/>
      <c r="DA7" s="997"/>
      <c r="DB7" s="2"/>
      <c r="DC7" s="1117" t="s">
        <v>1035</v>
      </c>
      <c r="DD7" s="1097"/>
      <c r="DE7" s="1097"/>
      <c r="DF7" s="1100"/>
      <c r="DG7" s="1113"/>
      <c r="DH7" s="1116"/>
      <c r="DI7" s="1116"/>
      <c r="DJ7" s="1118"/>
      <c r="DK7" s="701"/>
      <c r="DL7" s="636"/>
      <c r="DM7" s="984"/>
      <c r="DN7" s="984"/>
      <c r="DO7" s="984"/>
      <c r="DP7" s="696"/>
      <c r="DQ7" s="697" t="s">
        <v>1122</v>
      </c>
      <c r="DT7" s="698"/>
      <c r="DU7" s="699" t="s">
        <v>441</v>
      </c>
      <c r="DV7" s="312"/>
      <c r="DW7" s="313"/>
      <c r="DX7" s="313"/>
      <c r="EA7" s="403" t="s">
        <v>985</v>
      </c>
      <c r="EB7" s="403" t="s">
        <v>441</v>
      </c>
      <c r="EE7" s="700"/>
      <c r="EG7" s="1043"/>
    </row>
    <row r="8" spans="1:137" s="79" customFormat="1" ht="72" customHeight="1" thickBot="1" x14ac:dyDescent="0.35">
      <c r="A8" s="1093"/>
      <c r="B8" s="1044"/>
      <c r="C8" s="1044"/>
      <c r="D8" s="1106"/>
      <c r="E8" s="1109"/>
      <c r="F8" s="1050"/>
      <c r="G8" s="1053"/>
      <c r="H8" s="1056"/>
      <c r="I8" s="643" t="s">
        <v>440</v>
      </c>
      <c r="J8" s="644" t="s">
        <v>441</v>
      </c>
      <c r="K8" s="75" t="s">
        <v>442</v>
      </c>
      <c r="L8" s="84" t="s">
        <v>440</v>
      </c>
      <c r="M8" s="85" t="s">
        <v>441</v>
      </c>
      <c r="N8" s="86" t="s">
        <v>442</v>
      </c>
      <c r="O8" s="87" t="s">
        <v>440</v>
      </c>
      <c r="P8" s="85" t="s">
        <v>441</v>
      </c>
      <c r="Q8" s="88" t="s">
        <v>442</v>
      </c>
      <c r="R8" s="84" t="s">
        <v>440</v>
      </c>
      <c r="S8" s="85" t="s">
        <v>441</v>
      </c>
      <c r="T8" s="86" t="s">
        <v>442</v>
      </c>
      <c r="U8" s="87" t="s">
        <v>440</v>
      </c>
      <c r="V8" s="85" t="s">
        <v>441</v>
      </c>
      <c r="W8" s="88" t="s">
        <v>442</v>
      </c>
      <c r="X8" s="84" t="s">
        <v>440</v>
      </c>
      <c r="Y8" s="85" t="s">
        <v>441</v>
      </c>
      <c r="Z8" s="86" t="s">
        <v>442</v>
      </c>
      <c r="AA8" s="87" t="s">
        <v>440</v>
      </c>
      <c r="AB8" s="85" t="s">
        <v>441</v>
      </c>
      <c r="AC8" s="88" t="s">
        <v>442</v>
      </c>
      <c r="AD8" s="84" t="s">
        <v>440</v>
      </c>
      <c r="AE8" s="85" t="s">
        <v>441</v>
      </c>
      <c r="AF8" s="88" t="s">
        <v>442</v>
      </c>
      <c r="AG8" s="89" t="s">
        <v>440</v>
      </c>
      <c r="AH8" s="85" t="s">
        <v>441</v>
      </c>
      <c r="AI8" s="86" t="s">
        <v>442</v>
      </c>
      <c r="AJ8" s="278" t="s">
        <v>440</v>
      </c>
      <c r="AK8" s="82" t="s">
        <v>441</v>
      </c>
      <c r="AL8" s="83" t="s">
        <v>442</v>
      </c>
      <c r="AM8" s="278" t="s">
        <v>440</v>
      </c>
      <c r="AN8" s="82" t="s">
        <v>441</v>
      </c>
      <c r="AO8" s="90" t="s">
        <v>442</v>
      </c>
      <c r="AP8" s="91" t="s">
        <v>440</v>
      </c>
      <c r="AQ8" s="82" t="s">
        <v>441</v>
      </c>
      <c r="AR8" s="90" t="s">
        <v>442</v>
      </c>
      <c r="AS8" s="91" t="s">
        <v>440</v>
      </c>
      <c r="AT8" s="82" t="s">
        <v>441</v>
      </c>
      <c r="AU8" s="83" t="s">
        <v>442</v>
      </c>
      <c r="AV8" s="91" t="s">
        <v>440</v>
      </c>
      <c r="AW8" s="82" t="s">
        <v>441</v>
      </c>
      <c r="AX8" s="83" t="s">
        <v>442</v>
      </c>
      <c r="AY8" s="278" t="s">
        <v>440</v>
      </c>
      <c r="AZ8" s="82" t="s">
        <v>441</v>
      </c>
      <c r="BA8" s="90" t="s">
        <v>442</v>
      </c>
      <c r="BB8" s="91" t="s">
        <v>440</v>
      </c>
      <c r="BC8" s="82" t="s">
        <v>441</v>
      </c>
      <c r="BD8" s="83" t="s">
        <v>442</v>
      </c>
      <c r="BE8" s="278" t="s">
        <v>440</v>
      </c>
      <c r="BF8" s="82" t="s">
        <v>441</v>
      </c>
      <c r="BG8" s="90" t="s">
        <v>442</v>
      </c>
      <c r="BH8" s="91" t="s">
        <v>440</v>
      </c>
      <c r="BI8" s="82" t="s">
        <v>441</v>
      </c>
      <c r="BJ8" s="83" t="s">
        <v>442</v>
      </c>
      <c r="BK8" s="278" t="s">
        <v>440</v>
      </c>
      <c r="BL8" s="82" t="s">
        <v>441</v>
      </c>
      <c r="BM8" s="90" t="s">
        <v>442</v>
      </c>
      <c r="BN8" s="91" t="s">
        <v>440</v>
      </c>
      <c r="BO8" s="82" t="s">
        <v>441</v>
      </c>
      <c r="BP8" s="83" t="s">
        <v>442</v>
      </c>
      <c r="BQ8" s="81" t="s">
        <v>440</v>
      </c>
      <c r="BR8" s="82" t="s">
        <v>441</v>
      </c>
      <c r="BS8" s="83" t="s">
        <v>442</v>
      </c>
      <c r="BT8" s="91" t="s">
        <v>440</v>
      </c>
      <c r="BU8" s="82" t="s">
        <v>441</v>
      </c>
      <c r="BV8" s="83" t="s">
        <v>442</v>
      </c>
      <c r="BW8" s="81" t="s">
        <v>440</v>
      </c>
      <c r="BX8" s="82" t="s">
        <v>441</v>
      </c>
      <c r="BY8" s="83" t="s">
        <v>442</v>
      </c>
      <c r="BZ8" s="81" t="s">
        <v>440</v>
      </c>
      <c r="CA8" s="82" t="s">
        <v>441</v>
      </c>
      <c r="CB8" s="90" t="s">
        <v>442</v>
      </c>
      <c r="CC8" s="81" t="s">
        <v>440</v>
      </c>
      <c r="CD8" s="82" t="s">
        <v>441</v>
      </c>
      <c r="CE8" s="83" t="s">
        <v>442</v>
      </c>
      <c r="CF8" s="92" t="s">
        <v>440</v>
      </c>
      <c r="CG8" s="82" t="s">
        <v>441</v>
      </c>
      <c r="CH8" s="90" t="s">
        <v>442</v>
      </c>
      <c r="CI8" s="81" t="s">
        <v>440</v>
      </c>
      <c r="CJ8" s="82" t="s">
        <v>441</v>
      </c>
      <c r="CK8" s="90" t="s">
        <v>442</v>
      </c>
      <c r="CL8" s="81" t="s">
        <v>440</v>
      </c>
      <c r="CM8" s="82" t="s">
        <v>441</v>
      </c>
      <c r="CN8" s="83" t="s">
        <v>442</v>
      </c>
      <c r="CO8" s="81" t="s">
        <v>440</v>
      </c>
      <c r="CP8" s="82" t="s">
        <v>441</v>
      </c>
      <c r="CQ8" s="83" t="s">
        <v>442</v>
      </c>
      <c r="CR8" s="81" t="s">
        <v>440</v>
      </c>
      <c r="CS8" s="82" t="s">
        <v>441</v>
      </c>
      <c r="CT8" s="83" t="s">
        <v>442</v>
      </c>
      <c r="CU8" s="89" t="s">
        <v>984</v>
      </c>
      <c r="CV8" s="106" t="s">
        <v>441</v>
      </c>
      <c r="CW8" s="88" t="s">
        <v>442</v>
      </c>
      <c r="CX8" s="66" t="s">
        <v>985</v>
      </c>
      <c r="CY8" s="110" t="s">
        <v>441</v>
      </c>
      <c r="CZ8" s="111" t="s">
        <v>442</v>
      </c>
      <c r="DA8" s="998"/>
      <c r="DB8" s="2"/>
      <c r="DC8" s="702" t="s">
        <v>1036</v>
      </c>
      <c r="DD8" s="669" t="s">
        <v>1037</v>
      </c>
      <c r="DE8" s="1097"/>
      <c r="DF8" s="1100"/>
      <c r="DG8" s="1114"/>
      <c r="DH8" s="1116"/>
      <c r="DI8" s="1116"/>
      <c r="DJ8" s="1118"/>
      <c r="DK8" s="701"/>
      <c r="DL8" s="636"/>
      <c r="DM8" s="984"/>
      <c r="DN8" s="984"/>
      <c r="DO8" s="984"/>
      <c r="DP8" s="703" t="s">
        <v>1032</v>
      </c>
      <c r="DQ8" s="704" t="s">
        <v>1033</v>
      </c>
      <c r="DT8" s="705" t="s">
        <v>1123</v>
      </c>
      <c r="DU8" s="706" t="s">
        <v>1124</v>
      </c>
      <c r="DV8" s="707"/>
      <c r="DW8" s="404"/>
      <c r="DX8" s="5"/>
      <c r="EA8" s="403"/>
      <c r="EB8" s="403"/>
      <c r="EE8" s="708"/>
      <c r="EG8" s="1044"/>
    </row>
    <row r="9" spans="1:137" ht="14.1" customHeight="1" x14ac:dyDescent="0.3">
      <c r="A9" s="325">
        <v>150001053</v>
      </c>
      <c r="B9" s="41" t="s">
        <v>458</v>
      </c>
      <c r="C9" s="76" t="s">
        <v>147</v>
      </c>
      <c r="D9" s="37">
        <v>2</v>
      </c>
      <c r="E9" s="709">
        <v>372.8</v>
      </c>
      <c r="F9" s="710">
        <v>372.8</v>
      </c>
      <c r="G9" s="711"/>
      <c r="H9" s="712">
        <v>0</v>
      </c>
      <c r="I9" s="39">
        <v>351.19381183098398</v>
      </c>
      <c r="J9" s="39">
        <v>329.83722552832512</v>
      </c>
      <c r="K9" s="70">
        <v>-21.356586302658854</v>
      </c>
      <c r="L9" s="39">
        <v>57.108400686931418</v>
      </c>
      <c r="M9" s="39">
        <v>49.421114511330998</v>
      </c>
      <c r="N9" s="70">
        <v>-7.6872861756004198</v>
      </c>
      <c r="O9" s="39">
        <v>110.78</v>
      </c>
      <c r="P9" s="39">
        <v>110.78</v>
      </c>
      <c r="Q9" s="70">
        <v>0</v>
      </c>
      <c r="R9" s="39">
        <v>0</v>
      </c>
      <c r="S9" s="39">
        <v>0</v>
      </c>
      <c r="T9" s="70">
        <v>0</v>
      </c>
      <c r="U9" s="39">
        <v>0</v>
      </c>
      <c r="V9" s="39">
        <v>0</v>
      </c>
      <c r="W9" s="70">
        <v>0</v>
      </c>
      <c r="X9" s="39">
        <v>74.281131288571572</v>
      </c>
      <c r="Y9" s="39">
        <v>40.922531026774323</v>
      </c>
      <c r="Z9" s="70">
        <v>-33.35860026179725</v>
      </c>
      <c r="AA9" s="39">
        <v>0</v>
      </c>
      <c r="AB9" s="39">
        <v>0</v>
      </c>
      <c r="AC9" s="70">
        <v>0</v>
      </c>
      <c r="AD9" s="39">
        <v>265.67166592974343</v>
      </c>
      <c r="AE9" s="39">
        <v>222.92943920270508</v>
      </c>
      <c r="AF9" s="68">
        <v>-42.742226727038343</v>
      </c>
      <c r="AG9" s="77">
        <v>859.03500973623045</v>
      </c>
      <c r="AH9" s="53">
        <v>753.89031026913551</v>
      </c>
      <c r="AI9" s="70">
        <v>-105.14469946709494</v>
      </c>
      <c r="AJ9" s="39">
        <v>0</v>
      </c>
      <c r="AK9" s="39">
        <v>0</v>
      </c>
      <c r="AL9" s="70">
        <v>0</v>
      </c>
      <c r="AM9" s="39">
        <v>0</v>
      </c>
      <c r="AN9" s="39">
        <v>0</v>
      </c>
      <c r="AO9" s="70">
        <v>0</v>
      </c>
      <c r="AP9" s="39">
        <v>252.53803810497325</v>
      </c>
      <c r="AQ9" s="39">
        <v>0</v>
      </c>
      <c r="AR9" s="70">
        <v>-252.53803810497325</v>
      </c>
      <c r="AS9" s="39">
        <v>1071.8596995211831</v>
      </c>
      <c r="AT9" s="39">
        <v>0</v>
      </c>
      <c r="AU9" s="78">
        <v>-1071.8596995211831</v>
      </c>
      <c r="AV9" s="39">
        <v>65.647448675769112</v>
      </c>
      <c r="AW9" s="39">
        <v>0</v>
      </c>
      <c r="AX9" s="55">
        <v>-65.647448675769112</v>
      </c>
      <c r="AY9" s="39">
        <v>73.651218393822916</v>
      </c>
      <c r="AZ9" s="39">
        <v>0</v>
      </c>
      <c r="BA9" s="38">
        <v>-73.651218393822916</v>
      </c>
      <c r="BB9" s="39">
        <v>43.544938300567878</v>
      </c>
      <c r="BC9" s="39">
        <v>0</v>
      </c>
      <c r="BD9" s="55">
        <v>-43.544938300567878</v>
      </c>
      <c r="BE9" s="39">
        <v>0</v>
      </c>
      <c r="BF9" s="39">
        <v>0</v>
      </c>
      <c r="BG9" s="55">
        <v>0</v>
      </c>
      <c r="BH9" s="39">
        <v>0</v>
      </c>
      <c r="BI9" s="39">
        <v>0</v>
      </c>
      <c r="BJ9" s="55">
        <v>0</v>
      </c>
      <c r="BK9" s="39">
        <v>26.345569159282459</v>
      </c>
      <c r="BL9" s="39">
        <v>0</v>
      </c>
      <c r="BM9" s="55">
        <v>-26.345569159282459</v>
      </c>
      <c r="BN9" s="39">
        <v>0</v>
      </c>
      <c r="BO9" s="39">
        <v>0</v>
      </c>
      <c r="BP9" s="55">
        <v>0</v>
      </c>
      <c r="BQ9" s="77">
        <v>209.18917452944237</v>
      </c>
      <c r="BR9" s="40">
        <v>0</v>
      </c>
      <c r="BS9" s="55">
        <v>-209.18917452944237</v>
      </c>
      <c r="BT9" s="39">
        <v>684.93316134050997</v>
      </c>
      <c r="BU9" s="39">
        <v>186.80379535077171</v>
      </c>
      <c r="BV9" s="70">
        <v>-498.12936598973829</v>
      </c>
      <c r="BW9" s="39">
        <v>354.88780966588178</v>
      </c>
      <c r="BX9" s="39">
        <v>1233.4445811118353</v>
      </c>
      <c r="BY9" s="70">
        <v>878.55677144595347</v>
      </c>
      <c r="BZ9" s="39">
        <v>109.5189842624678</v>
      </c>
      <c r="CA9" s="39">
        <v>790.16793410748073</v>
      </c>
      <c r="CB9" s="70">
        <v>680.64894984501291</v>
      </c>
      <c r="CC9" s="39">
        <v>0</v>
      </c>
      <c r="CD9" s="39">
        <v>0</v>
      </c>
      <c r="CE9" s="70">
        <v>0</v>
      </c>
      <c r="CF9" s="39">
        <v>0</v>
      </c>
      <c r="CG9" s="39">
        <v>0</v>
      </c>
      <c r="CH9" s="70">
        <v>0</v>
      </c>
      <c r="CI9" s="39">
        <v>0</v>
      </c>
      <c r="CJ9" s="39">
        <v>0</v>
      </c>
      <c r="CK9" s="70">
        <v>0</v>
      </c>
      <c r="CL9" s="39">
        <v>0</v>
      </c>
      <c r="CM9" s="39">
        <v>0</v>
      </c>
      <c r="CN9" s="70">
        <v>0</v>
      </c>
      <c r="CO9" s="39">
        <v>0</v>
      </c>
      <c r="CP9" s="40">
        <v>0</v>
      </c>
      <c r="CQ9" s="70">
        <v>0</v>
      </c>
      <c r="CR9" s="73">
        <v>3541.9618771606893</v>
      </c>
      <c r="CS9" s="40">
        <v>2964.3066208392229</v>
      </c>
      <c r="CT9" s="70">
        <v>-577.65525632146637</v>
      </c>
      <c r="CU9" s="77">
        <v>4250.3542525928269</v>
      </c>
      <c r="CV9" s="65">
        <v>3557.1679450070674</v>
      </c>
      <c r="CW9" s="68">
        <v>-693.18630758575955</v>
      </c>
      <c r="CX9" s="39">
        <v>0</v>
      </c>
      <c r="CY9" s="39">
        <v>693.18630758575955</v>
      </c>
      <c r="CZ9" s="55">
        <v>693.18630758575955</v>
      </c>
      <c r="DA9" s="150">
        <v>20221.277736243988</v>
      </c>
      <c r="DB9" s="2">
        <v>3</v>
      </c>
      <c r="DC9" s="713">
        <v>2384.59</v>
      </c>
      <c r="DD9" s="714"/>
      <c r="DE9" s="715">
        <v>259.41287370358714</v>
      </c>
      <c r="DF9" s="716">
        <v>0</v>
      </c>
      <c r="DG9" s="717">
        <v>-1294.7781160952381</v>
      </c>
      <c r="DH9" s="718">
        <v>20366.362999424171</v>
      </c>
      <c r="DI9" s="718">
        <v>51004.251031113919</v>
      </c>
      <c r="DJ9" s="693">
        <v>43344.779023191477</v>
      </c>
      <c r="DK9" s="39"/>
      <c r="DL9" s="40"/>
      <c r="DM9" s="306">
        <v>5.7005824203229967</v>
      </c>
      <c r="DN9" s="306"/>
      <c r="DO9" s="306">
        <v>5.1294110528349899</v>
      </c>
      <c r="DP9" s="719">
        <v>2125.177126296413</v>
      </c>
      <c r="DQ9" s="720">
        <v>0</v>
      </c>
      <c r="DR9" s="650">
        <v>2125.177126296413</v>
      </c>
      <c r="DS9" s="94">
        <v>2125.1771262964139</v>
      </c>
      <c r="DT9" s="719">
        <v>2125.1999999999998</v>
      </c>
      <c r="DU9" s="721"/>
      <c r="DV9" s="93">
        <v>2125.1999999999998</v>
      </c>
      <c r="DW9" s="95">
        <v>2125.1771262964135</v>
      </c>
      <c r="DX9" s="28">
        <v>2.2873703586355987E-2</v>
      </c>
      <c r="EA9" s="5">
        <v>1537.2586488607506</v>
      </c>
      <c r="EB9" s="5">
        <v>0</v>
      </c>
      <c r="EE9" s="722">
        <v>12862.316394254198</v>
      </c>
      <c r="EG9" s="76" t="s">
        <v>147</v>
      </c>
    </row>
    <row r="10" spans="1:137" x14ac:dyDescent="0.3">
      <c r="A10" s="325">
        <v>150000753</v>
      </c>
      <c r="B10" s="41" t="s">
        <v>459</v>
      </c>
      <c r="C10" s="42" t="s">
        <v>240</v>
      </c>
      <c r="D10" s="27">
        <v>5</v>
      </c>
      <c r="E10" s="709">
        <v>1840.7</v>
      </c>
      <c r="F10" s="723">
        <v>1840.7</v>
      </c>
      <c r="G10" s="28"/>
      <c r="H10" s="651">
        <v>0</v>
      </c>
      <c r="I10" s="39">
        <v>1175.1168727202646</v>
      </c>
      <c r="J10" s="39">
        <v>1263.1083093438351</v>
      </c>
      <c r="K10" s="52">
        <v>87.991436623570507</v>
      </c>
      <c r="L10" s="39">
        <v>277.25497855505745</v>
      </c>
      <c r="M10" s="39">
        <v>301.25152900623073</v>
      </c>
      <c r="N10" s="52">
        <v>23.996550451173277</v>
      </c>
      <c r="O10" s="39">
        <v>405.28</v>
      </c>
      <c r="P10" s="39">
        <v>405.26</v>
      </c>
      <c r="Q10" s="52">
        <v>-1.999999999998181E-2</v>
      </c>
      <c r="R10" s="39">
        <v>0</v>
      </c>
      <c r="S10" s="39">
        <v>0</v>
      </c>
      <c r="T10" s="52">
        <v>0</v>
      </c>
      <c r="U10" s="39">
        <v>0</v>
      </c>
      <c r="V10" s="39">
        <v>0</v>
      </c>
      <c r="W10" s="52">
        <v>0</v>
      </c>
      <c r="X10" s="39">
        <v>789.36594858569674</v>
      </c>
      <c r="Y10" s="39">
        <v>483.42647848332854</v>
      </c>
      <c r="Z10" s="52">
        <v>-305.9394701023682</v>
      </c>
      <c r="AA10" s="39">
        <v>0</v>
      </c>
      <c r="AB10" s="39">
        <v>0</v>
      </c>
      <c r="AC10" s="52">
        <v>0</v>
      </c>
      <c r="AD10" s="39">
        <v>1311.7538505281082</v>
      </c>
      <c r="AE10" s="39">
        <v>1100.7141060633562</v>
      </c>
      <c r="AF10" s="35">
        <v>-211.03974446475195</v>
      </c>
      <c r="AG10" s="77">
        <v>3958.771650389127</v>
      </c>
      <c r="AH10" s="53">
        <v>3553.7604228967507</v>
      </c>
      <c r="AI10" s="52">
        <v>-405.01122749237629</v>
      </c>
      <c r="AJ10" s="39">
        <v>0</v>
      </c>
      <c r="AK10" s="39">
        <v>0</v>
      </c>
      <c r="AL10" s="52">
        <v>0</v>
      </c>
      <c r="AM10" s="39">
        <v>0</v>
      </c>
      <c r="AN10" s="39">
        <v>0</v>
      </c>
      <c r="AO10" s="52">
        <v>0</v>
      </c>
      <c r="AP10" s="39">
        <v>710.2632321702373</v>
      </c>
      <c r="AQ10" s="39">
        <v>0</v>
      </c>
      <c r="AR10" s="52">
        <v>-710.2632321702373</v>
      </c>
      <c r="AS10" s="39">
        <v>4484.602370255906</v>
      </c>
      <c r="AT10" s="39">
        <v>89</v>
      </c>
      <c r="AU10" s="54">
        <v>-4395.602370255906</v>
      </c>
      <c r="AV10" s="39">
        <v>212.61335910407598</v>
      </c>
      <c r="AW10" s="39">
        <v>0</v>
      </c>
      <c r="AX10" s="55">
        <v>-212.61335910407598</v>
      </c>
      <c r="AY10" s="39">
        <v>357.35999522309328</v>
      </c>
      <c r="AZ10" s="39">
        <v>0</v>
      </c>
      <c r="BA10" s="35">
        <v>-357.35999522309328</v>
      </c>
      <c r="BB10" s="39">
        <v>242.54952035302418</v>
      </c>
      <c r="BC10" s="39">
        <v>0</v>
      </c>
      <c r="BD10" s="55">
        <v>-242.54952035302418</v>
      </c>
      <c r="BE10" s="39">
        <v>0</v>
      </c>
      <c r="BF10" s="39">
        <v>0</v>
      </c>
      <c r="BG10" s="38">
        <v>0</v>
      </c>
      <c r="BH10" s="39">
        <v>0</v>
      </c>
      <c r="BI10" s="39">
        <v>0</v>
      </c>
      <c r="BJ10" s="55">
        <v>0</v>
      </c>
      <c r="BK10" s="39">
        <v>108.30800270624789</v>
      </c>
      <c r="BL10" s="39">
        <v>0</v>
      </c>
      <c r="BM10" s="38">
        <v>-108.30800270624789</v>
      </c>
      <c r="BN10" s="39">
        <v>67.149090736659304</v>
      </c>
      <c r="BO10" s="39">
        <v>0</v>
      </c>
      <c r="BP10" s="55">
        <v>-67.149090736659304</v>
      </c>
      <c r="BQ10" s="77">
        <v>987.97996812310066</v>
      </c>
      <c r="BR10" s="40">
        <v>0</v>
      </c>
      <c r="BS10" s="55">
        <v>-987.97996812310066</v>
      </c>
      <c r="BT10" s="39">
        <v>2462.018433176389</v>
      </c>
      <c r="BU10" s="39">
        <v>627.0713807555295</v>
      </c>
      <c r="BV10" s="52">
        <v>-1834.9470524208596</v>
      </c>
      <c r="BW10" s="39">
        <v>2405.289666019376</v>
      </c>
      <c r="BX10" s="39">
        <v>1819.2623697475715</v>
      </c>
      <c r="BY10" s="52">
        <v>-586.02729627180452</v>
      </c>
      <c r="BZ10" s="39">
        <v>1536.232840287282</v>
      </c>
      <c r="CA10" s="39">
        <v>3003.9780523941336</v>
      </c>
      <c r="CB10" s="52">
        <v>1467.7452121068516</v>
      </c>
      <c r="CC10" s="39">
        <v>191.97050346017346</v>
      </c>
      <c r="CD10" s="39">
        <v>189.39270118850766</v>
      </c>
      <c r="CE10" s="52">
        <v>-2.5778022716658029</v>
      </c>
      <c r="CF10" s="39">
        <v>23.632732433544081</v>
      </c>
      <c r="CG10" s="39">
        <v>0</v>
      </c>
      <c r="CH10" s="52">
        <v>-23.632732433544081</v>
      </c>
      <c r="CI10" s="39">
        <v>268.28452753975392</v>
      </c>
      <c r="CJ10" s="39">
        <v>215.4388141479449</v>
      </c>
      <c r="CK10" s="52">
        <v>-52.845713391809028</v>
      </c>
      <c r="CL10" s="39">
        <v>0</v>
      </c>
      <c r="CM10" s="39">
        <v>0</v>
      </c>
      <c r="CN10" s="52">
        <v>0</v>
      </c>
      <c r="CO10" s="39">
        <v>268.28452753975392</v>
      </c>
      <c r="CP10" s="40">
        <v>215.4388141479449</v>
      </c>
      <c r="CQ10" s="52">
        <v>-52.845713391809028</v>
      </c>
      <c r="CR10" s="72">
        <v>17029.045923854886</v>
      </c>
      <c r="CS10" s="5">
        <v>9497.903741130438</v>
      </c>
      <c r="CT10" s="52">
        <v>-7531.1421827244485</v>
      </c>
      <c r="CU10" s="77">
        <v>20434.855108625863</v>
      </c>
      <c r="CV10" s="65">
        <v>11397.484489356526</v>
      </c>
      <c r="CW10" s="35">
        <v>-9037.3706192693371</v>
      </c>
      <c r="CX10" s="39">
        <v>388.26224706389138</v>
      </c>
      <c r="CY10" s="39">
        <v>9425.6328663332315</v>
      </c>
      <c r="CZ10" s="52">
        <v>9037.3706192693408</v>
      </c>
      <c r="DA10" s="150">
        <v>58613.682157621726</v>
      </c>
      <c r="DB10" s="2">
        <v>2</v>
      </c>
      <c r="DC10" s="713">
        <v>12462.02</v>
      </c>
      <c r="DD10" s="714"/>
      <c r="DE10" s="715">
        <v>2050.4613221551226</v>
      </c>
      <c r="DF10" s="716">
        <v>0</v>
      </c>
      <c r="DG10" s="717">
        <v>70765.657991191052</v>
      </c>
      <c r="DH10" s="718">
        <v>100664.49808493408</v>
      </c>
      <c r="DI10" s="718">
        <v>249877.40826827707</v>
      </c>
      <c r="DJ10" s="693">
        <v>212574.18072244132</v>
      </c>
      <c r="DK10" s="724"/>
      <c r="DL10" s="5"/>
      <c r="DM10" s="306">
        <v>5.65630394841358</v>
      </c>
      <c r="DN10" s="306"/>
      <c r="DO10" s="306">
        <v>4.8573719650353837</v>
      </c>
      <c r="DP10" s="719">
        <v>10411.558677844878</v>
      </c>
      <c r="DQ10" s="720">
        <v>0</v>
      </c>
      <c r="DR10" s="650">
        <v>10411.558677844878</v>
      </c>
      <c r="DS10" s="94">
        <v>10411.558677844878</v>
      </c>
      <c r="DT10" s="719">
        <v>10414.09</v>
      </c>
      <c r="DU10" s="721"/>
      <c r="DV10" s="93">
        <v>10414.09</v>
      </c>
      <c r="DW10" s="95">
        <v>10450.384902551266</v>
      </c>
      <c r="DX10" s="28">
        <v>-36.294902551266205</v>
      </c>
      <c r="EA10" s="5">
        <v>6567.0988060548079</v>
      </c>
      <c r="EB10" s="5">
        <v>106.8</v>
      </c>
      <c r="EE10" s="722">
        <v>53815.228443070868</v>
      </c>
      <c r="EG10" s="42" t="s">
        <v>240</v>
      </c>
    </row>
    <row r="11" spans="1:137" x14ac:dyDescent="0.3">
      <c r="A11" s="325">
        <v>150000754</v>
      </c>
      <c r="B11" s="41" t="s">
        <v>460</v>
      </c>
      <c r="C11" s="42" t="s">
        <v>241</v>
      </c>
      <c r="D11" s="27">
        <v>5</v>
      </c>
      <c r="E11" s="709">
        <v>2805.68</v>
      </c>
      <c r="F11" s="723">
        <v>2805.68</v>
      </c>
      <c r="G11" s="28"/>
      <c r="H11" s="651">
        <v>0</v>
      </c>
      <c r="I11" s="39">
        <v>1741.171546975178</v>
      </c>
      <c r="J11" s="39">
        <v>1874.5574439176121</v>
      </c>
      <c r="K11" s="52">
        <v>133.3858969424341</v>
      </c>
      <c r="L11" s="39">
        <v>329.38184827529136</v>
      </c>
      <c r="M11" s="39">
        <v>357.89024586136873</v>
      </c>
      <c r="N11" s="52">
        <v>28.508397586077365</v>
      </c>
      <c r="O11" s="39">
        <v>650.04</v>
      </c>
      <c r="P11" s="39">
        <v>650.24</v>
      </c>
      <c r="Q11" s="52">
        <v>0.20000000000004547</v>
      </c>
      <c r="R11" s="39">
        <v>0</v>
      </c>
      <c r="S11" s="39">
        <v>0</v>
      </c>
      <c r="T11" s="52">
        <v>0</v>
      </c>
      <c r="U11" s="39">
        <v>118.22581795543685</v>
      </c>
      <c r="V11" s="39">
        <v>322.92498764517904</v>
      </c>
      <c r="W11" s="52">
        <v>204.69916968974218</v>
      </c>
      <c r="X11" s="39">
        <v>1121.9174967746451</v>
      </c>
      <c r="Y11" s="39">
        <v>696.6898001550328</v>
      </c>
      <c r="Z11" s="52">
        <v>-425.22769661961229</v>
      </c>
      <c r="AA11" s="39">
        <v>0</v>
      </c>
      <c r="AB11" s="39">
        <v>0</v>
      </c>
      <c r="AC11" s="52">
        <v>0</v>
      </c>
      <c r="AD11" s="39">
        <v>1999.4358360133112</v>
      </c>
      <c r="AE11" s="39">
        <v>1677.759305209886</v>
      </c>
      <c r="AF11" s="35">
        <v>-321.67653080342529</v>
      </c>
      <c r="AG11" s="77">
        <v>5960.1725459938625</v>
      </c>
      <c r="AH11" s="53">
        <v>5580.0617827890783</v>
      </c>
      <c r="AI11" s="52">
        <v>-380.11076320478423</v>
      </c>
      <c r="AJ11" s="39">
        <v>0</v>
      </c>
      <c r="AK11" s="39">
        <v>0</v>
      </c>
      <c r="AL11" s="52">
        <v>0</v>
      </c>
      <c r="AM11" s="39">
        <v>0</v>
      </c>
      <c r="AN11" s="39">
        <v>0</v>
      </c>
      <c r="AO11" s="52">
        <v>0</v>
      </c>
      <c r="AP11" s="39">
        <v>852.31587860428476</v>
      </c>
      <c r="AQ11" s="39">
        <v>5396.9860525322374</v>
      </c>
      <c r="AR11" s="52">
        <v>4544.6701739279524</v>
      </c>
      <c r="AS11" s="39">
        <v>8205.6088792881528</v>
      </c>
      <c r="AT11" s="39">
        <v>49714.126525811938</v>
      </c>
      <c r="AU11" s="54">
        <v>41508.517646523789</v>
      </c>
      <c r="AV11" s="39">
        <v>289.4167974824482</v>
      </c>
      <c r="AW11" s="39">
        <v>883</v>
      </c>
      <c r="AX11" s="55">
        <v>593.58320251755185</v>
      </c>
      <c r="AY11" s="39">
        <v>424.54339453418447</v>
      </c>
      <c r="AZ11" s="39">
        <v>0</v>
      </c>
      <c r="BA11" s="35">
        <v>-424.54339453418447</v>
      </c>
      <c r="BB11" s="39">
        <v>334.69292906585082</v>
      </c>
      <c r="BC11" s="39">
        <v>0</v>
      </c>
      <c r="BD11" s="55">
        <v>-334.69292906585082</v>
      </c>
      <c r="BE11" s="39">
        <v>0</v>
      </c>
      <c r="BF11" s="39">
        <v>0</v>
      </c>
      <c r="BG11" s="38">
        <v>0</v>
      </c>
      <c r="BH11" s="39">
        <v>119.94714023874553</v>
      </c>
      <c r="BI11" s="39">
        <v>0</v>
      </c>
      <c r="BJ11" s="55">
        <v>-119.94714023874553</v>
      </c>
      <c r="BK11" s="39">
        <v>159.06063071437234</v>
      </c>
      <c r="BL11" s="39">
        <v>0</v>
      </c>
      <c r="BM11" s="38">
        <v>-159.06063071437234</v>
      </c>
      <c r="BN11" s="39">
        <v>0</v>
      </c>
      <c r="BO11" s="39">
        <v>0</v>
      </c>
      <c r="BP11" s="55">
        <v>0</v>
      </c>
      <c r="BQ11" s="77">
        <v>1327.6608920356014</v>
      </c>
      <c r="BR11" s="40">
        <v>883</v>
      </c>
      <c r="BS11" s="55">
        <v>-444.66089203560136</v>
      </c>
      <c r="BT11" s="39">
        <v>4471.7402756929214</v>
      </c>
      <c r="BU11" s="39">
        <v>1163.8995770452293</v>
      </c>
      <c r="BV11" s="52">
        <v>-3307.8406986476921</v>
      </c>
      <c r="BW11" s="39">
        <v>2740.7748392235353</v>
      </c>
      <c r="BX11" s="39">
        <v>2251.8714719419909</v>
      </c>
      <c r="BY11" s="52">
        <v>-488.90336728154443</v>
      </c>
      <c r="BZ11" s="39">
        <v>1923.4887250634042</v>
      </c>
      <c r="CA11" s="39">
        <v>5215.8994012604926</v>
      </c>
      <c r="CB11" s="52">
        <v>3292.4106761970884</v>
      </c>
      <c r="CC11" s="39">
        <v>281.63190561253742</v>
      </c>
      <c r="CD11" s="39">
        <v>277.85011959345672</v>
      </c>
      <c r="CE11" s="52">
        <v>-3.7817860190806982</v>
      </c>
      <c r="CF11" s="39">
        <v>34.670594440937371</v>
      </c>
      <c r="CG11" s="39">
        <v>0</v>
      </c>
      <c r="CH11" s="52">
        <v>-34.670594440937371</v>
      </c>
      <c r="CI11" s="39">
        <v>1553.5545897069471</v>
      </c>
      <c r="CJ11" s="39">
        <v>2119.6480692278369</v>
      </c>
      <c r="CK11" s="52">
        <v>566.09347952088979</v>
      </c>
      <c r="CL11" s="39">
        <v>0</v>
      </c>
      <c r="CM11" s="39">
        <v>0</v>
      </c>
      <c r="CN11" s="52">
        <v>0</v>
      </c>
      <c r="CO11" s="39">
        <v>1553.5545897069471</v>
      </c>
      <c r="CP11" s="40">
        <v>2119.6480692278369</v>
      </c>
      <c r="CQ11" s="52">
        <v>566.09347952088979</v>
      </c>
      <c r="CR11" s="72">
        <v>27351.619125662186</v>
      </c>
      <c r="CS11" s="5">
        <v>72603.343000202251</v>
      </c>
      <c r="CT11" s="52">
        <v>45251.723874540068</v>
      </c>
      <c r="CU11" s="77">
        <v>32821.942950794619</v>
      </c>
      <c r="CV11" s="65">
        <v>87124.011600242695</v>
      </c>
      <c r="CW11" s="35">
        <v>54302.068649448076</v>
      </c>
      <c r="CX11" s="39">
        <v>1575.4532616381418</v>
      </c>
      <c r="CY11" s="39">
        <v>-52726.61538780995</v>
      </c>
      <c r="CZ11" s="52">
        <v>-54302.068649448091</v>
      </c>
      <c r="DA11" s="150">
        <v>-2652.0962084010534</v>
      </c>
      <c r="DB11" s="2">
        <v>2</v>
      </c>
      <c r="DC11" s="713">
        <v>65882.710000000006</v>
      </c>
      <c r="DD11" s="714"/>
      <c r="DE11" s="715">
        <v>48684.011893783623</v>
      </c>
      <c r="DF11" s="716">
        <v>0</v>
      </c>
      <c r="DG11" s="717">
        <v>-12458.738520082312</v>
      </c>
      <c r="DH11" s="718">
        <v>172211.68998441467</v>
      </c>
      <c r="DI11" s="718">
        <v>412768.75454919308</v>
      </c>
      <c r="DJ11" s="693">
        <v>352629.48840799852</v>
      </c>
      <c r="DK11" s="724"/>
      <c r="DL11" s="5"/>
      <c r="DM11" s="306">
        <v>6.1299571249096054</v>
      </c>
      <c r="DN11" s="306"/>
      <c r="DO11" s="306">
        <v>5.5157034613044331</v>
      </c>
      <c r="DP11" s="719">
        <v>17198.69810621638</v>
      </c>
      <c r="DQ11" s="720">
        <v>0</v>
      </c>
      <c r="DR11" s="650">
        <v>17198.69810621638</v>
      </c>
      <c r="DS11" s="94">
        <v>17198.69810621638</v>
      </c>
      <c r="DT11" s="719">
        <v>17094.38</v>
      </c>
      <c r="DU11" s="721"/>
      <c r="DV11" s="93">
        <v>17094.38</v>
      </c>
      <c r="DW11" s="95">
        <v>17356.243432380194</v>
      </c>
      <c r="DX11" s="28">
        <v>-261.86343238019253</v>
      </c>
      <c r="EA11" s="5">
        <v>11439.923725588504</v>
      </c>
      <c r="EB11" s="5">
        <v>60716.55183097432</v>
      </c>
      <c r="EE11" s="722">
        <v>98467.306551457834</v>
      </c>
      <c r="EG11" s="42" t="s">
        <v>241</v>
      </c>
    </row>
    <row r="12" spans="1:137" x14ac:dyDescent="0.3">
      <c r="A12" s="325">
        <v>150000702</v>
      </c>
      <c r="B12" s="41" t="s">
        <v>461</v>
      </c>
      <c r="C12" s="42" t="s">
        <v>339</v>
      </c>
      <c r="D12" s="27">
        <v>9</v>
      </c>
      <c r="E12" s="709">
        <v>6095.61</v>
      </c>
      <c r="F12" s="723">
        <v>6095.61</v>
      </c>
      <c r="G12" s="28">
        <v>601.05999999999995</v>
      </c>
      <c r="H12" s="651">
        <v>0</v>
      </c>
      <c r="I12" s="39">
        <v>3690.6182841072077</v>
      </c>
      <c r="J12" s="39">
        <v>3504.000918703362</v>
      </c>
      <c r="K12" s="52">
        <v>-186.61736540384572</v>
      </c>
      <c r="L12" s="39">
        <v>691.46079665397417</v>
      </c>
      <c r="M12" s="39">
        <v>598.38812311172023</v>
      </c>
      <c r="N12" s="52">
        <v>-93.072673542253938</v>
      </c>
      <c r="O12" s="39">
        <v>1315.5</v>
      </c>
      <c r="P12" s="39">
        <v>1315.6</v>
      </c>
      <c r="Q12" s="52">
        <v>9.9999999999909051E-2</v>
      </c>
      <c r="R12" s="39">
        <v>317.12</v>
      </c>
      <c r="S12" s="39">
        <v>316.95999999999998</v>
      </c>
      <c r="T12" s="52">
        <v>-0.16000000000002501</v>
      </c>
      <c r="U12" s="39">
        <v>195.03873136964788</v>
      </c>
      <c r="V12" s="39">
        <v>115.58527483054735</v>
      </c>
      <c r="W12" s="52">
        <v>-79.453456539100529</v>
      </c>
      <c r="X12" s="39">
        <v>2075.5296592115569</v>
      </c>
      <c r="Y12" s="39">
        <v>1501.8196717257051</v>
      </c>
      <c r="Z12" s="52">
        <v>-573.7099874858518</v>
      </c>
      <c r="AA12" s="39">
        <v>0</v>
      </c>
      <c r="AB12" s="39">
        <v>0</v>
      </c>
      <c r="AC12" s="52">
        <v>0</v>
      </c>
      <c r="AD12" s="39">
        <v>4343.9669086856302</v>
      </c>
      <c r="AE12" s="39">
        <v>3645.0936665729641</v>
      </c>
      <c r="AF12" s="35">
        <v>-698.87324211266605</v>
      </c>
      <c r="AG12" s="77">
        <v>12629.234380028018</v>
      </c>
      <c r="AH12" s="53">
        <v>10997.447654944299</v>
      </c>
      <c r="AI12" s="52">
        <v>-1631.7867250837189</v>
      </c>
      <c r="AJ12" s="39">
        <v>10369.642644772852</v>
      </c>
      <c r="AK12" s="39">
        <v>10230.375892444732</v>
      </c>
      <c r="AL12" s="52">
        <v>-139.26675232811976</v>
      </c>
      <c r="AM12" s="39">
        <v>0</v>
      </c>
      <c r="AN12" s="39">
        <v>0</v>
      </c>
      <c r="AO12" s="52">
        <v>0</v>
      </c>
      <c r="AP12" s="39">
        <v>828.64043753194358</v>
      </c>
      <c r="AQ12" s="39">
        <v>0</v>
      </c>
      <c r="AR12" s="52">
        <v>-828.64043753194358</v>
      </c>
      <c r="AS12" s="39">
        <v>23649.783105325576</v>
      </c>
      <c r="AT12" s="39">
        <v>1109</v>
      </c>
      <c r="AU12" s="54">
        <v>-22540.783105325576</v>
      </c>
      <c r="AV12" s="39">
        <v>195.1868202376665</v>
      </c>
      <c r="AW12" s="39">
        <v>0</v>
      </c>
      <c r="AX12" s="55">
        <v>-195.1868202376665</v>
      </c>
      <c r="AY12" s="39">
        <v>274.23891701150251</v>
      </c>
      <c r="AZ12" s="39">
        <v>0</v>
      </c>
      <c r="BA12" s="35">
        <v>-274.23891701150251</v>
      </c>
      <c r="BB12" s="39">
        <v>331.11315353246988</v>
      </c>
      <c r="BC12" s="39">
        <v>0</v>
      </c>
      <c r="BD12" s="55">
        <v>-331.11315353246988</v>
      </c>
      <c r="BE12" s="39">
        <v>107.70574273720977</v>
      </c>
      <c r="BF12" s="39">
        <v>0</v>
      </c>
      <c r="BG12" s="38">
        <v>-107.70574273720977</v>
      </c>
      <c r="BH12" s="39">
        <v>59.365087276649547</v>
      </c>
      <c r="BI12" s="39">
        <v>0</v>
      </c>
      <c r="BJ12" s="55">
        <v>-59.365087276649547</v>
      </c>
      <c r="BK12" s="39">
        <v>139.77564606445563</v>
      </c>
      <c r="BL12" s="39">
        <v>0</v>
      </c>
      <c r="BM12" s="38">
        <v>-139.77564606445563</v>
      </c>
      <c r="BN12" s="39">
        <v>0</v>
      </c>
      <c r="BO12" s="39">
        <v>0</v>
      </c>
      <c r="BP12" s="55">
        <v>0</v>
      </c>
      <c r="BQ12" s="77">
        <v>1107.3853668599538</v>
      </c>
      <c r="BR12" s="40">
        <v>0</v>
      </c>
      <c r="BS12" s="55">
        <v>-1107.3853668599538</v>
      </c>
      <c r="BT12" s="39">
        <v>8210.50479603438</v>
      </c>
      <c r="BU12" s="39">
        <v>883.62960350623291</v>
      </c>
      <c r="BV12" s="52">
        <v>-7326.8751925281467</v>
      </c>
      <c r="BW12" s="39">
        <v>9199.5616633053905</v>
      </c>
      <c r="BX12" s="39">
        <v>8243.9992394711171</v>
      </c>
      <c r="BY12" s="52">
        <v>-955.56242383427343</v>
      </c>
      <c r="BZ12" s="39">
        <v>1174.5728391613313</v>
      </c>
      <c r="CA12" s="39">
        <v>5016.5489923021423</v>
      </c>
      <c r="CB12" s="52">
        <v>3841.9761531408112</v>
      </c>
      <c r="CC12" s="39">
        <v>362.61639787918875</v>
      </c>
      <c r="CD12" s="39">
        <v>357.74714266889453</v>
      </c>
      <c r="CE12" s="52">
        <v>-4.8692552102942273</v>
      </c>
      <c r="CF12" s="39">
        <v>44.640276254066798</v>
      </c>
      <c r="CG12" s="39">
        <v>0</v>
      </c>
      <c r="CH12" s="52">
        <v>-44.640276254066798</v>
      </c>
      <c r="CI12" s="39">
        <v>2330.3318845604208</v>
      </c>
      <c r="CJ12" s="39">
        <v>2536.6307421029423</v>
      </c>
      <c r="CK12" s="52">
        <v>206.29885754252155</v>
      </c>
      <c r="CL12" s="39">
        <v>3500.1772081349295</v>
      </c>
      <c r="CM12" s="39">
        <v>3801.8684158094438</v>
      </c>
      <c r="CN12" s="52">
        <v>301.69120767451432</v>
      </c>
      <c r="CO12" s="39">
        <v>5830.5090926953508</v>
      </c>
      <c r="CP12" s="40">
        <v>6338.4991579123862</v>
      </c>
      <c r="CQ12" s="52">
        <v>507.99006521703541</v>
      </c>
      <c r="CR12" s="72">
        <v>73407.090999848064</v>
      </c>
      <c r="CS12" s="5">
        <v>43177.247683249807</v>
      </c>
      <c r="CT12" s="52">
        <v>-30229.843316598257</v>
      </c>
      <c r="CU12" s="77">
        <v>88088.509199817679</v>
      </c>
      <c r="CV12" s="65">
        <v>51812.697219899768</v>
      </c>
      <c r="CW12" s="35">
        <v>-36275.811979917911</v>
      </c>
      <c r="CX12" s="39">
        <v>1321.3276379972651</v>
      </c>
      <c r="CY12" s="39">
        <v>37597.139617915185</v>
      </c>
      <c r="CZ12" s="52">
        <v>36275.811979917919</v>
      </c>
      <c r="DA12" s="150">
        <v>-66745.825342788943</v>
      </c>
      <c r="DB12" s="2">
        <v>3</v>
      </c>
      <c r="DC12" s="713">
        <v>94043.17</v>
      </c>
      <c r="DD12" s="714"/>
      <c r="DE12" s="715">
        <v>49338.251581092532</v>
      </c>
      <c r="DF12" s="716">
        <v>0</v>
      </c>
      <c r="DG12" s="717">
        <v>106971.17398295092</v>
      </c>
      <c r="DH12" s="718">
        <v>439174.55426029116</v>
      </c>
      <c r="DI12" s="718">
        <v>1072918.0420537794</v>
      </c>
      <c r="DJ12" s="693">
        <v>914482.17010540736</v>
      </c>
      <c r="DK12" s="724"/>
      <c r="DL12" s="5"/>
      <c r="DM12" s="306">
        <v>5.9482476944041096</v>
      </c>
      <c r="DN12" s="306">
        <v>7.4855383352065115</v>
      </c>
      <c r="DO12" s="306">
        <v>4.9623037621392525</v>
      </c>
      <c r="DP12" s="719">
        <v>44704.918418907466</v>
      </c>
      <c r="DQ12" s="720">
        <v>0</v>
      </c>
      <c r="DR12" s="650">
        <v>44704.918418907466</v>
      </c>
      <c r="DS12" s="94">
        <v>44704.91841890748</v>
      </c>
      <c r="DT12" s="719">
        <v>44704.63</v>
      </c>
      <c r="DU12" s="721"/>
      <c r="DV12" s="93">
        <v>44704.63</v>
      </c>
      <c r="DW12" s="95">
        <v>44837.051182707197</v>
      </c>
      <c r="DX12" s="28">
        <v>-132.42118270719948</v>
      </c>
      <c r="EA12" s="5">
        <v>29708.602166622637</v>
      </c>
      <c r="EB12" s="5">
        <v>1330.8</v>
      </c>
      <c r="EE12" s="722">
        <v>283797.3972639069</v>
      </c>
      <c r="EG12" s="42" t="s">
        <v>339</v>
      </c>
    </row>
    <row r="13" spans="1:137" x14ac:dyDescent="0.3">
      <c r="A13" s="325">
        <v>150000703</v>
      </c>
      <c r="B13" s="41" t="s">
        <v>462</v>
      </c>
      <c r="C13" s="42" t="s">
        <v>340</v>
      </c>
      <c r="D13" s="27">
        <v>9</v>
      </c>
      <c r="E13" s="709">
        <v>6316</v>
      </c>
      <c r="F13" s="723">
        <v>6316</v>
      </c>
      <c r="G13" s="28">
        <v>712.5</v>
      </c>
      <c r="H13" s="651">
        <v>0</v>
      </c>
      <c r="I13" s="39">
        <v>3637.0548092005447</v>
      </c>
      <c r="J13" s="39">
        <v>3455.9503525876189</v>
      </c>
      <c r="K13" s="52">
        <v>-181.10445661292579</v>
      </c>
      <c r="L13" s="39">
        <v>683.02839453546585</v>
      </c>
      <c r="M13" s="39">
        <v>591.09018651289671</v>
      </c>
      <c r="N13" s="52">
        <v>-91.938208022569142</v>
      </c>
      <c r="O13" s="39">
        <v>1382.42</v>
      </c>
      <c r="P13" s="39">
        <v>1382.28</v>
      </c>
      <c r="Q13" s="52">
        <v>-0.14000000000010004</v>
      </c>
      <c r="R13" s="39">
        <v>322.08</v>
      </c>
      <c r="S13" s="39">
        <v>322.14</v>
      </c>
      <c r="T13" s="52">
        <v>6.0000000000002274E-2</v>
      </c>
      <c r="U13" s="39">
        <v>195.03873136964788</v>
      </c>
      <c r="V13" s="39">
        <v>115.58527483054735</v>
      </c>
      <c r="W13" s="52">
        <v>-79.453456539100529</v>
      </c>
      <c r="X13" s="39">
        <v>2385.2813197332594</v>
      </c>
      <c r="Y13" s="39">
        <v>1717.1192193881093</v>
      </c>
      <c r="Z13" s="52">
        <v>-668.16210034515007</v>
      </c>
      <c r="AA13" s="39">
        <v>0</v>
      </c>
      <c r="AB13" s="39">
        <v>0</v>
      </c>
      <c r="AC13" s="52">
        <v>0</v>
      </c>
      <c r="AD13" s="39">
        <v>4501.0253272861037</v>
      </c>
      <c r="AE13" s="39">
        <v>3776.8839538741558</v>
      </c>
      <c r="AF13" s="35">
        <v>-724.14137341194782</v>
      </c>
      <c r="AG13" s="77">
        <v>13105.928582125023</v>
      </c>
      <c r="AH13" s="53">
        <v>11361.048987193328</v>
      </c>
      <c r="AI13" s="52">
        <v>-1744.8795949316955</v>
      </c>
      <c r="AJ13" s="39">
        <v>10369.642644772852</v>
      </c>
      <c r="AK13" s="39">
        <v>10230.375892444732</v>
      </c>
      <c r="AL13" s="52">
        <v>-139.26675232811976</v>
      </c>
      <c r="AM13" s="39">
        <v>0</v>
      </c>
      <c r="AN13" s="39">
        <v>0</v>
      </c>
      <c r="AO13" s="52">
        <v>0</v>
      </c>
      <c r="AP13" s="39">
        <v>836.53225122272397</v>
      </c>
      <c r="AQ13" s="39">
        <v>0</v>
      </c>
      <c r="AR13" s="52">
        <v>-836.53225122272397</v>
      </c>
      <c r="AS13" s="39">
        <v>23655.905738538444</v>
      </c>
      <c r="AT13" s="39">
        <v>4175.1305520057876</v>
      </c>
      <c r="AU13" s="54">
        <v>-19480.775186532657</v>
      </c>
      <c r="AV13" s="39">
        <v>191.60637661083345</v>
      </c>
      <c r="AW13" s="39">
        <v>0</v>
      </c>
      <c r="AX13" s="55">
        <v>-191.60637661083345</v>
      </c>
      <c r="AY13" s="39">
        <v>270.99918794267313</v>
      </c>
      <c r="AZ13" s="39">
        <v>0</v>
      </c>
      <c r="BA13" s="35">
        <v>-270.99918794267313</v>
      </c>
      <c r="BB13" s="39">
        <v>347.5643962397636</v>
      </c>
      <c r="BC13" s="39">
        <v>0</v>
      </c>
      <c r="BD13" s="55">
        <v>-347.5643962397636</v>
      </c>
      <c r="BE13" s="39">
        <v>108.73858583039781</v>
      </c>
      <c r="BF13" s="39">
        <v>0</v>
      </c>
      <c r="BG13" s="38">
        <v>-108.73858583039781</v>
      </c>
      <c r="BH13" s="39">
        <v>59.365087276649547</v>
      </c>
      <c r="BI13" s="39">
        <v>0</v>
      </c>
      <c r="BJ13" s="55">
        <v>-59.365087276649547</v>
      </c>
      <c r="BK13" s="39">
        <v>136.28317344284591</v>
      </c>
      <c r="BL13" s="39">
        <v>0</v>
      </c>
      <c r="BM13" s="38">
        <v>-136.28317344284591</v>
      </c>
      <c r="BN13" s="39">
        <v>0</v>
      </c>
      <c r="BO13" s="39">
        <v>0</v>
      </c>
      <c r="BP13" s="55">
        <v>0</v>
      </c>
      <c r="BQ13" s="77">
        <v>1114.5568073431634</v>
      </c>
      <c r="BR13" s="40">
        <v>0</v>
      </c>
      <c r="BS13" s="55">
        <v>-1114.5568073431634</v>
      </c>
      <c r="BT13" s="39">
        <v>8574.9266840098862</v>
      </c>
      <c r="BU13" s="39">
        <v>1575.306994772109</v>
      </c>
      <c r="BV13" s="52">
        <v>-6999.6196892377775</v>
      </c>
      <c r="BW13" s="39">
        <v>9291.8807730131321</v>
      </c>
      <c r="BX13" s="39">
        <v>10706.910206993303</v>
      </c>
      <c r="BY13" s="52">
        <v>1415.0294339801712</v>
      </c>
      <c r="BZ13" s="39">
        <v>1295.7322026423385</v>
      </c>
      <c r="CA13" s="39">
        <v>6000.3130184575584</v>
      </c>
      <c r="CB13" s="52">
        <v>4704.5808158152195</v>
      </c>
      <c r="CC13" s="39">
        <v>446.54221553082732</v>
      </c>
      <c r="CD13" s="39">
        <v>440.54599466959041</v>
      </c>
      <c r="CE13" s="52">
        <v>-5.9962208612369068</v>
      </c>
      <c r="CF13" s="39">
        <v>54.972053048302612</v>
      </c>
      <c r="CG13" s="39">
        <v>0</v>
      </c>
      <c r="CH13" s="52">
        <v>-54.972053048302612</v>
      </c>
      <c r="CI13" s="39">
        <v>1653.3813906519715</v>
      </c>
      <c r="CJ13" s="39">
        <v>2330.2115898031752</v>
      </c>
      <c r="CK13" s="52">
        <v>676.83019915120371</v>
      </c>
      <c r="CL13" s="39">
        <v>2480.0720859779581</v>
      </c>
      <c r="CM13" s="39">
        <v>3495.3173847047628</v>
      </c>
      <c r="CN13" s="52">
        <v>1015.2452987268048</v>
      </c>
      <c r="CO13" s="39">
        <v>4133.4534766299294</v>
      </c>
      <c r="CP13" s="40">
        <v>5825.5289745079381</v>
      </c>
      <c r="CQ13" s="52">
        <v>1692.0754978780087</v>
      </c>
      <c r="CR13" s="72">
        <v>72880.07342887664</v>
      </c>
      <c r="CS13" s="5">
        <v>50315.160621044342</v>
      </c>
      <c r="CT13" s="52">
        <v>-22564.912807832297</v>
      </c>
      <c r="CU13" s="77">
        <v>87456.088114651968</v>
      </c>
      <c r="CV13" s="65">
        <v>60378.192745253211</v>
      </c>
      <c r="CW13" s="35">
        <v>-27077.895369398757</v>
      </c>
      <c r="CX13" s="39">
        <v>2186.4028028662992</v>
      </c>
      <c r="CY13" s="39">
        <v>29264.298172265055</v>
      </c>
      <c r="CZ13" s="52">
        <v>27077.895369398757</v>
      </c>
      <c r="DA13" s="150">
        <v>-108374.67026369731</v>
      </c>
      <c r="DB13" s="2">
        <v>3</v>
      </c>
      <c r="DC13" s="713">
        <v>104687.52</v>
      </c>
      <c r="DD13" s="714"/>
      <c r="DE13" s="715">
        <v>59866.262541240867</v>
      </c>
      <c r="DF13" s="716">
        <v>0</v>
      </c>
      <c r="DG13" s="717">
        <v>4167.4546463684637</v>
      </c>
      <c r="DH13" s="718">
        <v>430235.65345206077</v>
      </c>
      <c r="DI13" s="718">
        <v>1075709.8910102192</v>
      </c>
      <c r="DJ13" s="693">
        <v>914341.33162067959</v>
      </c>
      <c r="DK13" s="724"/>
      <c r="DL13" s="5"/>
      <c r="DM13" s="306">
        <v>5.8452632836205494</v>
      </c>
      <c r="DN13" s="306">
        <v>7.2555558792146861</v>
      </c>
      <c r="DO13" s="306">
        <v>4.8749049911248123</v>
      </c>
      <c r="DP13" s="719">
        <v>44821.257458759137</v>
      </c>
      <c r="DQ13" s="720">
        <v>0</v>
      </c>
      <c r="DR13" s="650">
        <v>44821.257458759137</v>
      </c>
      <c r="DS13" s="94">
        <v>44821.233458759132</v>
      </c>
      <c r="DT13" s="719">
        <v>44822.9</v>
      </c>
      <c r="DU13" s="721"/>
      <c r="DV13" s="93">
        <v>44822.9</v>
      </c>
      <c r="DW13" s="95">
        <v>45039.897739045766</v>
      </c>
      <c r="DX13" s="28">
        <v>-216.99773904576432</v>
      </c>
      <c r="EA13" s="5">
        <v>29724.555055057928</v>
      </c>
      <c r="EB13" s="5">
        <v>5010.1566624069446</v>
      </c>
      <c r="EE13" s="722">
        <v>283870.8688624613</v>
      </c>
      <c r="EG13" s="42" t="s">
        <v>340</v>
      </c>
    </row>
    <row r="14" spans="1:137" x14ac:dyDescent="0.3">
      <c r="A14" s="325">
        <v>150000781</v>
      </c>
      <c r="B14" s="41" t="s">
        <v>463</v>
      </c>
      <c r="C14" s="42" t="s">
        <v>34</v>
      </c>
      <c r="D14" s="27">
        <v>1</v>
      </c>
      <c r="E14" s="709">
        <v>263.3</v>
      </c>
      <c r="F14" s="723">
        <v>263.3</v>
      </c>
      <c r="G14" s="28"/>
      <c r="H14" s="651">
        <v>0</v>
      </c>
      <c r="I14" s="39">
        <v>0</v>
      </c>
      <c r="J14" s="39">
        <v>0</v>
      </c>
      <c r="K14" s="52">
        <v>0</v>
      </c>
      <c r="L14" s="39">
        <v>0</v>
      </c>
      <c r="M14" s="39">
        <v>0</v>
      </c>
      <c r="N14" s="52">
        <v>0</v>
      </c>
      <c r="O14" s="39">
        <v>0</v>
      </c>
      <c r="P14" s="39">
        <v>0</v>
      </c>
      <c r="Q14" s="52">
        <v>0</v>
      </c>
      <c r="R14" s="39">
        <v>0</v>
      </c>
      <c r="S14" s="39">
        <v>0</v>
      </c>
      <c r="T14" s="52">
        <v>0</v>
      </c>
      <c r="U14" s="39">
        <v>0</v>
      </c>
      <c r="V14" s="39">
        <v>0</v>
      </c>
      <c r="W14" s="52">
        <v>0</v>
      </c>
      <c r="X14" s="39">
        <v>0</v>
      </c>
      <c r="Y14" s="39">
        <v>0</v>
      </c>
      <c r="Z14" s="52">
        <v>0</v>
      </c>
      <c r="AA14" s="39">
        <v>0</v>
      </c>
      <c r="AB14" s="39">
        <v>0</v>
      </c>
      <c r="AC14" s="52">
        <v>0</v>
      </c>
      <c r="AD14" s="39">
        <v>0</v>
      </c>
      <c r="AE14" s="39">
        <v>157.44989630384185</v>
      </c>
      <c r="AF14" s="35">
        <v>157.44989630384185</v>
      </c>
      <c r="AG14" s="77">
        <v>0</v>
      </c>
      <c r="AH14" s="53">
        <v>157.44989630384185</v>
      </c>
      <c r="AI14" s="52">
        <v>157.44989630384185</v>
      </c>
      <c r="AJ14" s="39">
        <v>0</v>
      </c>
      <c r="AK14" s="39">
        <v>0</v>
      </c>
      <c r="AL14" s="52">
        <v>0</v>
      </c>
      <c r="AM14" s="39">
        <v>0</v>
      </c>
      <c r="AN14" s="39">
        <v>0</v>
      </c>
      <c r="AO14" s="52">
        <v>0</v>
      </c>
      <c r="AP14" s="39">
        <v>71.02632321702373</v>
      </c>
      <c r="AQ14" s="39">
        <v>0</v>
      </c>
      <c r="AR14" s="52">
        <v>-71.02632321702373</v>
      </c>
      <c r="AS14" s="39">
        <v>626.69242284976622</v>
      </c>
      <c r="AT14" s="39">
        <v>0</v>
      </c>
      <c r="AU14" s="54">
        <v>-626.69242284976622</v>
      </c>
      <c r="AV14" s="39">
        <v>0</v>
      </c>
      <c r="AW14" s="39">
        <v>0</v>
      </c>
      <c r="AX14" s="55">
        <v>0</v>
      </c>
      <c r="AY14" s="39">
        <v>0</v>
      </c>
      <c r="AZ14" s="39">
        <v>0</v>
      </c>
      <c r="BA14" s="35">
        <v>0</v>
      </c>
      <c r="BB14" s="39">
        <v>0</v>
      </c>
      <c r="BC14" s="39">
        <v>0</v>
      </c>
      <c r="BD14" s="55">
        <v>0</v>
      </c>
      <c r="BE14" s="39">
        <v>0</v>
      </c>
      <c r="BF14" s="39">
        <v>0</v>
      </c>
      <c r="BG14" s="38">
        <v>0</v>
      </c>
      <c r="BH14" s="39">
        <v>0</v>
      </c>
      <c r="BI14" s="39">
        <v>0</v>
      </c>
      <c r="BJ14" s="55">
        <v>0</v>
      </c>
      <c r="BK14" s="39">
        <v>0</v>
      </c>
      <c r="BL14" s="39">
        <v>0</v>
      </c>
      <c r="BM14" s="38">
        <v>0</v>
      </c>
      <c r="BN14" s="39">
        <v>0</v>
      </c>
      <c r="BO14" s="39">
        <v>0</v>
      </c>
      <c r="BP14" s="55">
        <v>0</v>
      </c>
      <c r="BQ14" s="77">
        <v>0</v>
      </c>
      <c r="BR14" s="40">
        <v>0</v>
      </c>
      <c r="BS14" s="55">
        <v>0</v>
      </c>
      <c r="BT14" s="39">
        <v>0</v>
      </c>
      <c r="BU14" s="39">
        <v>0</v>
      </c>
      <c r="BV14" s="52">
        <v>0</v>
      </c>
      <c r="BW14" s="39">
        <v>0</v>
      </c>
      <c r="BX14" s="39">
        <v>1.0658148684972761</v>
      </c>
      <c r="BY14" s="52">
        <v>1.0658148684972761</v>
      </c>
      <c r="BZ14" s="39">
        <v>0</v>
      </c>
      <c r="CA14" s="39">
        <v>0</v>
      </c>
      <c r="CB14" s="52">
        <v>0</v>
      </c>
      <c r="CC14" s="39">
        <v>0</v>
      </c>
      <c r="CD14" s="39">
        <v>0</v>
      </c>
      <c r="CE14" s="52">
        <v>0</v>
      </c>
      <c r="CF14" s="39">
        <v>0</v>
      </c>
      <c r="CG14" s="39">
        <v>0</v>
      </c>
      <c r="CH14" s="52">
        <v>0</v>
      </c>
      <c r="CI14" s="39">
        <v>0</v>
      </c>
      <c r="CJ14" s="39">
        <v>0</v>
      </c>
      <c r="CK14" s="52">
        <v>0</v>
      </c>
      <c r="CL14" s="39">
        <v>0</v>
      </c>
      <c r="CM14" s="39">
        <v>0</v>
      </c>
      <c r="CN14" s="52">
        <v>0</v>
      </c>
      <c r="CO14" s="39">
        <v>0</v>
      </c>
      <c r="CP14" s="40">
        <v>0</v>
      </c>
      <c r="CQ14" s="52">
        <v>0</v>
      </c>
      <c r="CR14" s="72">
        <v>697.71874606678989</v>
      </c>
      <c r="CS14" s="5">
        <v>158.51571117233914</v>
      </c>
      <c r="CT14" s="52">
        <v>-539.20303489445075</v>
      </c>
      <c r="CU14" s="77">
        <v>837.26249528014785</v>
      </c>
      <c r="CV14" s="65">
        <v>190.21885340680697</v>
      </c>
      <c r="CW14" s="35">
        <v>-647.0436418733409</v>
      </c>
      <c r="CX14" s="39">
        <v>37.676812287606658</v>
      </c>
      <c r="CY14" s="39">
        <v>684.72045416094761</v>
      </c>
      <c r="CZ14" s="52">
        <v>647.0436418733409</v>
      </c>
      <c r="DA14" s="150">
        <v>-9621.9181180153828</v>
      </c>
      <c r="DB14" s="2">
        <v>3</v>
      </c>
      <c r="DC14" s="713">
        <v>1102.9000000000001</v>
      </c>
      <c r="DD14" s="714"/>
      <c r="DE14" s="715">
        <v>665.43034621612276</v>
      </c>
      <c r="DF14" s="716">
        <v>0</v>
      </c>
      <c r="DG14" s="717">
        <v>-5087.9980893170741</v>
      </c>
      <c r="DH14" s="718">
        <v>4186.5861201400257</v>
      </c>
      <c r="DI14" s="718">
        <v>10499.271690813055</v>
      </c>
      <c r="DJ14" s="693">
        <v>8921.1002981447964</v>
      </c>
      <c r="DK14" s="724"/>
      <c r="DL14" s="5"/>
      <c r="DM14" s="306">
        <v>1.6614874811389189</v>
      </c>
      <c r="DN14" s="306"/>
      <c r="DO14" s="306">
        <v>1.6614874811389189</v>
      </c>
      <c r="DP14" s="719">
        <v>437.46965378387733</v>
      </c>
      <c r="DQ14" s="720">
        <v>0</v>
      </c>
      <c r="DR14" s="650">
        <v>437.46965378387733</v>
      </c>
      <c r="DS14" s="94">
        <v>437.46965378387722</v>
      </c>
      <c r="DT14" s="719">
        <v>437.48</v>
      </c>
      <c r="DU14" s="721"/>
      <c r="DV14" s="93">
        <v>437.48</v>
      </c>
      <c r="DW14" s="95">
        <v>441.23733501263797</v>
      </c>
      <c r="DX14" s="28">
        <v>-3.7573350126379523</v>
      </c>
      <c r="EA14" s="5">
        <v>752.03090741971948</v>
      </c>
      <c r="EB14" s="5">
        <v>0</v>
      </c>
      <c r="EE14" s="722">
        <v>7520.3090741971946</v>
      </c>
      <c r="EG14" s="42" t="s">
        <v>34</v>
      </c>
    </row>
    <row r="15" spans="1:137" x14ac:dyDescent="0.3">
      <c r="A15" s="325">
        <v>150000497</v>
      </c>
      <c r="B15" s="41" t="s">
        <v>467</v>
      </c>
      <c r="C15" s="42" t="s">
        <v>341</v>
      </c>
      <c r="D15" s="27">
        <v>9</v>
      </c>
      <c r="E15" s="709">
        <v>4163.4000000000005</v>
      </c>
      <c r="F15" s="723">
        <v>4099.3</v>
      </c>
      <c r="G15" s="28">
        <v>274</v>
      </c>
      <c r="H15" s="651">
        <v>64.099999999999994</v>
      </c>
      <c r="I15" s="39">
        <v>2539.5135045074321</v>
      </c>
      <c r="J15" s="39">
        <v>1903.4831793058752</v>
      </c>
      <c r="K15" s="52">
        <v>-636.03032520155693</v>
      </c>
      <c r="L15" s="39">
        <v>380.28171978113971</v>
      </c>
      <c r="M15" s="39">
        <v>198.52405791062961</v>
      </c>
      <c r="N15" s="52">
        <v>-181.75766187051011</v>
      </c>
      <c r="O15" s="39">
        <v>1105.18</v>
      </c>
      <c r="P15" s="39">
        <v>1105.2</v>
      </c>
      <c r="Q15" s="52">
        <v>1.999999999998181E-2</v>
      </c>
      <c r="R15" s="39">
        <v>219.88</v>
      </c>
      <c r="S15" s="39">
        <v>219.92</v>
      </c>
      <c r="T15" s="52">
        <v>3.9999999999992042E-2</v>
      </c>
      <c r="U15" s="39">
        <v>130.00964065633656</v>
      </c>
      <c r="V15" s="39">
        <v>31.392560627001728</v>
      </c>
      <c r="W15" s="52">
        <v>-98.617080029334829</v>
      </c>
      <c r="X15" s="39">
        <v>922.900498752364</v>
      </c>
      <c r="Y15" s="39">
        <v>564.77355523773656</v>
      </c>
      <c r="Z15" s="52">
        <v>-358.12694351462744</v>
      </c>
      <c r="AA15" s="39">
        <v>0</v>
      </c>
      <c r="AB15" s="39">
        <v>0</v>
      </c>
      <c r="AC15" s="52">
        <v>0</v>
      </c>
      <c r="AD15" s="39">
        <v>2966.9995008902729</v>
      </c>
      <c r="AE15" s="39">
        <v>2489.6577982203389</v>
      </c>
      <c r="AF15" s="35">
        <v>-477.34170266993397</v>
      </c>
      <c r="AG15" s="77">
        <v>8264.7648645875452</v>
      </c>
      <c r="AH15" s="53">
        <v>6512.9511513015823</v>
      </c>
      <c r="AI15" s="52">
        <v>-1751.8137132859629</v>
      </c>
      <c r="AJ15" s="39">
        <v>9601.5110639297945</v>
      </c>
      <c r="AK15" s="39">
        <v>9472.5588719031039</v>
      </c>
      <c r="AL15" s="52">
        <v>-128.95219202669068</v>
      </c>
      <c r="AM15" s="39">
        <v>0</v>
      </c>
      <c r="AN15" s="39">
        <v>0</v>
      </c>
      <c r="AO15" s="52">
        <v>0</v>
      </c>
      <c r="AP15" s="39">
        <v>560.31877204540945</v>
      </c>
      <c r="AQ15" s="39">
        <v>0</v>
      </c>
      <c r="AR15" s="52">
        <v>-560.31877204540945</v>
      </c>
      <c r="AS15" s="39">
        <v>10225.707110585236</v>
      </c>
      <c r="AT15" s="39">
        <v>0</v>
      </c>
      <c r="AU15" s="54">
        <v>-10225.707110585236</v>
      </c>
      <c r="AV15" s="39">
        <v>189.77948309198482</v>
      </c>
      <c r="AW15" s="39">
        <v>363</v>
      </c>
      <c r="AX15" s="55">
        <v>173.22051690801518</v>
      </c>
      <c r="AY15" s="39">
        <v>228.47399419187306</v>
      </c>
      <c r="AZ15" s="39">
        <v>0</v>
      </c>
      <c r="BA15" s="35">
        <v>-228.47399419187306</v>
      </c>
      <c r="BB15" s="39">
        <v>224.81280975438688</v>
      </c>
      <c r="BC15" s="39">
        <v>0</v>
      </c>
      <c r="BD15" s="55">
        <v>-224.81280975438688</v>
      </c>
      <c r="BE15" s="39">
        <v>105.43188534218436</v>
      </c>
      <c r="BF15" s="39">
        <v>0</v>
      </c>
      <c r="BG15" s="38">
        <v>-105.43188534218436</v>
      </c>
      <c r="BH15" s="39">
        <v>65.961235315382794</v>
      </c>
      <c r="BI15" s="39">
        <v>0</v>
      </c>
      <c r="BJ15" s="55">
        <v>-65.961235315382794</v>
      </c>
      <c r="BK15" s="39">
        <v>117.84882201386395</v>
      </c>
      <c r="BL15" s="39">
        <v>0</v>
      </c>
      <c r="BM15" s="38">
        <v>-117.84882201386395</v>
      </c>
      <c r="BN15" s="39">
        <v>53.862315927238761</v>
      </c>
      <c r="BO15" s="39">
        <v>0</v>
      </c>
      <c r="BP15" s="55">
        <v>-53.862315927238761</v>
      </c>
      <c r="BQ15" s="77">
        <v>986.17054563691465</v>
      </c>
      <c r="BR15" s="40">
        <v>363</v>
      </c>
      <c r="BS15" s="55">
        <v>-623.17054563691465</v>
      </c>
      <c r="BT15" s="39">
        <v>11359.058791014731</v>
      </c>
      <c r="BU15" s="39">
        <v>2809.2800723709302</v>
      </c>
      <c r="BV15" s="52">
        <v>-8549.7787186438018</v>
      </c>
      <c r="BW15" s="39">
        <v>6745.5553781553781</v>
      </c>
      <c r="BX15" s="39">
        <v>7845.3431361779876</v>
      </c>
      <c r="BY15" s="52">
        <v>1099.7877580226095</v>
      </c>
      <c r="BZ15" s="39">
        <v>2157.0593379467</v>
      </c>
      <c r="CA15" s="39">
        <v>11363.756617889479</v>
      </c>
      <c r="CB15" s="52">
        <v>9206.6972799427786</v>
      </c>
      <c r="CC15" s="39">
        <v>283.34767875377997</v>
      </c>
      <c r="CD15" s="39">
        <v>279.54285313319053</v>
      </c>
      <c r="CE15" s="52">
        <v>-3.8048256205894404</v>
      </c>
      <c r="CF15" s="39">
        <v>34.881816513249433</v>
      </c>
      <c r="CG15" s="39">
        <v>0</v>
      </c>
      <c r="CH15" s="52">
        <v>-34.881816513249433</v>
      </c>
      <c r="CI15" s="39">
        <v>2140.0370452589677</v>
      </c>
      <c r="CJ15" s="39">
        <v>2612.2609138968046</v>
      </c>
      <c r="CK15" s="52">
        <v>472.22386863783686</v>
      </c>
      <c r="CL15" s="39">
        <v>2249.2226087925883</v>
      </c>
      <c r="CM15" s="39">
        <v>3917.6226774342613</v>
      </c>
      <c r="CN15" s="52">
        <v>1668.400068641673</v>
      </c>
      <c r="CO15" s="39">
        <v>4389.259654051556</v>
      </c>
      <c r="CP15" s="40">
        <v>6529.8835913310659</v>
      </c>
      <c r="CQ15" s="52">
        <v>2140.6239372795098</v>
      </c>
      <c r="CR15" s="72">
        <v>54607.635013220293</v>
      </c>
      <c r="CS15" s="5">
        <v>45176.316294107346</v>
      </c>
      <c r="CT15" s="52">
        <v>-9431.3187191129473</v>
      </c>
      <c r="CU15" s="77">
        <v>65529.162015864349</v>
      </c>
      <c r="CV15" s="65">
        <v>54211.579552928815</v>
      </c>
      <c r="CW15" s="35">
        <v>-11317.582462935534</v>
      </c>
      <c r="CX15" s="39">
        <v>982.93743023796515</v>
      </c>
      <c r="CY15" s="39">
        <v>12300.519893173503</v>
      </c>
      <c r="CZ15" s="52">
        <v>11317.582462935537</v>
      </c>
      <c r="DA15" s="150">
        <v>-55225.742643177196</v>
      </c>
      <c r="DB15" s="2">
        <v>1</v>
      </c>
      <c r="DC15" s="713">
        <v>77769.13</v>
      </c>
      <c r="DD15" s="714">
        <v>0</v>
      </c>
      <c r="DE15" s="715">
        <v>44850.730109104632</v>
      </c>
      <c r="DF15" s="716">
        <v>-337.64983215577854</v>
      </c>
      <c r="DG15" s="717">
        <v>3926.1674043306666</v>
      </c>
      <c r="DH15" s="718">
        <v>319658.3934018375</v>
      </c>
      <c r="DI15" s="718">
        <v>798145.19335322769</v>
      </c>
      <c r="DJ15" s="693">
        <v>678523.4933653801</v>
      </c>
      <c r="DK15" s="724"/>
      <c r="DL15" s="5"/>
      <c r="DM15" s="306">
        <v>6.2696809416747836</v>
      </c>
      <c r="DN15" s="306">
        <v>8.1563556617458719</v>
      </c>
      <c r="DO15" s="306">
        <v>5.2675480835534882</v>
      </c>
      <c r="DP15" s="719">
        <v>32918.399890895373</v>
      </c>
      <c r="DQ15" s="720">
        <v>337.64983215577854</v>
      </c>
      <c r="DR15" s="650">
        <v>33256.049723051154</v>
      </c>
      <c r="DS15" s="94">
        <v>33256.049723051154</v>
      </c>
      <c r="DT15" s="719">
        <v>32916.93</v>
      </c>
      <c r="DU15" s="725">
        <v>337.64</v>
      </c>
      <c r="DV15" s="93">
        <v>33254.57</v>
      </c>
      <c r="DW15" s="95">
        <v>33354.343466074955</v>
      </c>
      <c r="DX15" s="28">
        <v>-99.77346607495565</v>
      </c>
      <c r="EA15" s="5">
        <v>13454.25318746658</v>
      </c>
      <c r="EB15" s="5">
        <v>435.59999999999997</v>
      </c>
      <c r="EE15" s="722">
        <v>122708.48532702282</v>
      </c>
      <c r="EG15" s="42" t="s">
        <v>341</v>
      </c>
    </row>
    <row r="16" spans="1:137" x14ac:dyDescent="0.3">
      <c r="A16" s="325">
        <v>150000495</v>
      </c>
      <c r="B16" s="41" t="s">
        <v>468</v>
      </c>
      <c r="C16" s="42" t="s">
        <v>148</v>
      </c>
      <c r="D16" s="27">
        <v>2</v>
      </c>
      <c r="E16" s="709">
        <v>409.93</v>
      </c>
      <c r="F16" s="723">
        <v>409.93</v>
      </c>
      <c r="G16" s="28"/>
      <c r="H16" s="651">
        <v>0</v>
      </c>
      <c r="I16" s="39">
        <v>175.87277271292075</v>
      </c>
      <c r="J16" s="39">
        <v>132.1452295641144</v>
      </c>
      <c r="K16" s="52">
        <v>-43.727543148806348</v>
      </c>
      <c r="L16" s="39">
        <v>70.86718398443351</v>
      </c>
      <c r="M16" s="39">
        <v>36.996378059599891</v>
      </c>
      <c r="N16" s="52">
        <v>-33.870805924833618</v>
      </c>
      <c r="O16" s="39">
        <v>109.36</v>
      </c>
      <c r="P16" s="39">
        <v>109.34</v>
      </c>
      <c r="Q16" s="52">
        <v>-1.9999999999996021E-2</v>
      </c>
      <c r="R16" s="39">
        <v>0</v>
      </c>
      <c r="S16" s="39">
        <v>0</v>
      </c>
      <c r="T16" s="52">
        <v>0</v>
      </c>
      <c r="U16" s="39">
        <v>0</v>
      </c>
      <c r="V16" s="39">
        <v>0</v>
      </c>
      <c r="W16" s="52">
        <v>0</v>
      </c>
      <c r="X16" s="39">
        <v>98.891409429387878</v>
      </c>
      <c r="Y16" s="39">
        <v>67.388947615040451</v>
      </c>
      <c r="Z16" s="52">
        <v>-31.502461814347427</v>
      </c>
      <c r="AA16" s="39">
        <v>0</v>
      </c>
      <c r="AB16" s="39">
        <v>0</v>
      </c>
      <c r="AC16" s="52">
        <v>0</v>
      </c>
      <c r="AD16" s="39">
        <v>292.13193673438764</v>
      </c>
      <c r="AE16" s="39">
        <v>245.13268511900452</v>
      </c>
      <c r="AF16" s="35">
        <v>-46.999251615383116</v>
      </c>
      <c r="AG16" s="77">
        <v>747.12330286112979</v>
      </c>
      <c r="AH16" s="53">
        <v>591.0032403577593</v>
      </c>
      <c r="AI16" s="52">
        <v>-156.12006250337049</v>
      </c>
      <c r="AJ16" s="39">
        <v>0</v>
      </c>
      <c r="AK16" s="39">
        <v>0</v>
      </c>
      <c r="AL16" s="52">
        <v>0</v>
      </c>
      <c r="AM16" s="39">
        <v>0</v>
      </c>
      <c r="AN16" s="39">
        <v>0</v>
      </c>
      <c r="AO16" s="52">
        <v>0</v>
      </c>
      <c r="AP16" s="39">
        <v>189.40352857872995</v>
      </c>
      <c r="AQ16" s="39">
        <v>490.97397923155665</v>
      </c>
      <c r="AR16" s="52">
        <v>301.57045065282671</v>
      </c>
      <c r="AS16" s="39">
        <v>879.2372180236606</v>
      </c>
      <c r="AT16" s="39">
        <v>1232.4222169648958</v>
      </c>
      <c r="AU16" s="54">
        <v>353.18499894123522</v>
      </c>
      <c r="AV16" s="39">
        <v>67.696308299723157</v>
      </c>
      <c r="AW16" s="39">
        <v>0</v>
      </c>
      <c r="AX16" s="55">
        <v>-67.696308299723157</v>
      </c>
      <c r="AY16" s="39">
        <v>91.335669119949301</v>
      </c>
      <c r="AZ16" s="39">
        <v>0</v>
      </c>
      <c r="BA16" s="35">
        <v>-91.335669119949301</v>
      </c>
      <c r="BB16" s="39">
        <v>31.502063628871475</v>
      </c>
      <c r="BC16" s="39">
        <v>0</v>
      </c>
      <c r="BD16" s="55">
        <v>-31.502063628871475</v>
      </c>
      <c r="BE16" s="39">
        <v>0</v>
      </c>
      <c r="BF16" s="39">
        <v>0</v>
      </c>
      <c r="BG16" s="38">
        <v>0</v>
      </c>
      <c r="BH16" s="39">
        <v>0</v>
      </c>
      <c r="BI16" s="39">
        <v>0</v>
      </c>
      <c r="BJ16" s="55">
        <v>0</v>
      </c>
      <c r="BK16" s="39">
        <v>19.771277081972755</v>
      </c>
      <c r="BL16" s="39">
        <v>0</v>
      </c>
      <c r="BM16" s="38">
        <v>-19.771277081972755</v>
      </c>
      <c r="BN16" s="39">
        <v>27.907064838681809</v>
      </c>
      <c r="BO16" s="39">
        <v>0</v>
      </c>
      <c r="BP16" s="55">
        <v>-27.907064838681809</v>
      </c>
      <c r="BQ16" s="77">
        <v>238.21238296919847</v>
      </c>
      <c r="BR16" s="40">
        <v>0</v>
      </c>
      <c r="BS16" s="55">
        <v>-238.21238296919847</v>
      </c>
      <c r="BT16" s="39">
        <v>1101.9723394183075</v>
      </c>
      <c r="BU16" s="39">
        <v>284.18846188899983</v>
      </c>
      <c r="BV16" s="52">
        <v>-817.78387752930757</v>
      </c>
      <c r="BW16" s="39">
        <v>619.92379792893234</v>
      </c>
      <c r="BX16" s="39">
        <v>1138.0230566506848</v>
      </c>
      <c r="BY16" s="52">
        <v>518.09925872175245</v>
      </c>
      <c r="BZ16" s="39">
        <v>300.36379342842406</v>
      </c>
      <c r="CA16" s="39">
        <v>1167.9901200056543</v>
      </c>
      <c r="CB16" s="52">
        <v>867.6263265772302</v>
      </c>
      <c r="CC16" s="39">
        <v>0</v>
      </c>
      <c r="CD16" s="39">
        <v>0</v>
      </c>
      <c r="CE16" s="52">
        <v>0</v>
      </c>
      <c r="CF16" s="39">
        <v>0</v>
      </c>
      <c r="CG16" s="39">
        <v>0</v>
      </c>
      <c r="CH16" s="52">
        <v>0</v>
      </c>
      <c r="CI16" s="39">
        <v>218.37112706724159</v>
      </c>
      <c r="CJ16" s="39">
        <v>135.47715720247112</v>
      </c>
      <c r="CK16" s="52">
        <v>-82.893969864770469</v>
      </c>
      <c r="CL16" s="39">
        <v>0</v>
      </c>
      <c r="CM16" s="39">
        <v>0</v>
      </c>
      <c r="CN16" s="52">
        <v>0</v>
      </c>
      <c r="CO16" s="39">
        <v>218.37112706724159</v>
      </c>
      <c r="CP16" s="40">
        <v>135.47715720247112</v>
      </c>
      <c r="CQ16" s="52">
        <v>-82.893969864770469</v>
      </c>
      <c r="CR16" s="72">
        <v>4294.6074902756245</v>
      </c>
      <c r="CS16" s="5">
        <v>5040.0782323020221</v>
      </c>
      <c r="CT16" s="52">
        <v>745.4707420263976</v>
      </c>
      <c r="CU16" s="77">
        <v>5153.5289883307496</v>
      </c>
      <c r="CV16" s="65">
        <v>6048.0938787624264</v>
      </c>
      <c r="CW16" s="35">
        <v>894.56489043167676</v>
      </c>
      <c r="CX16" s="39">
        <v>0</v>
      </c>
      <c r="CY16" s="39">
        <v>-894.56489043167676</v>
      </c>
      <c r="CZ16" s="52">
        <v>-894.56489043167676</v>
      </c>
      <c r="DA16" s="150">
        <v>821.50572117410093</v>
      </c>
      <c r="DB16" s="2">
        <v>1</v>
      </c>
      <c r="DC16" s="713">
        <v>9323.2000000000007</v>
      </c>
      <c r="DD16" s="714"/>
      <c r="DE16" s="715">
        <v>6746.4355058346264</v>
      </c>
      <c r="DF16" s="716">
        <v>0</v>
      </c>
      <c r="DG16" s="717">
        <v>2636.1991623067479</v>
      </c>
      <c r="DH16" s="718">
        <v>24819.030019360751</v>
      </c>
      <c r="DI16" s="718">
        <v>61842.347859968999</v>
      </c>
      <c r="DJ16" s="693">
        <v>52586.518399816938</v>
      </c>
      <c r="DK16" s="724"/>
      <c r="DL16" s="5"/>
      <c r="DM16" s="306">
        <v>6.2858646455867451</v>
      </c>
      <c r="DN16" s="306"/>
      <c r="DO16" s="306">
        <v>5.378504172439234</v>
      </c>
      <c r="DP16" s="719">
        <v>2576.7644941653743</v>
      </c>
      <c r="DQ16" s="720">
        <v>0</v>
      </c>
      <c r="DR16" s="650">
        <v>2576.7644941653743</v>
      </c>
      <c r="DS16" s="94">
        <v>2576.7644941653753</v>
      </c>
      <c r="DT16" s="719">
        <v>2576.7800000000002</v>
      </c>
      <c r="DU16" s="721"/>
      <c r="DV16" s="93">
        <v>2576.7800000000002</v>
      </c>
      <c r="DW16" s="95">
        <v>2576.7644941653748</v>
      </c>
      <c r="DX16" s="28">
        <v>1.5505834625400894E-2</v>
      </c>
      <c r="EA16" s="5">
        <v>1340.9395211914309</v>
      </c>
      <c r="EB16" s="5">
        <v>1478.9066603578749</v>
      </c>
      <c r="EE16" s="722">
        <v>10550.846616283927</v>
      </c>
      <c r="EG16" s="42" t="s">
        <v>148</v>
      </c>
    </row>
    <row r="17" spans="1:137" x14ac:dyDescent="0.3">
      <c r="A17" s="325">
        <v>150000496</v>
      </c>
      <c r="B17" s="41" t="s">
        <v>469</v>
      </c>
      <c r="C17" s="42" t="s">
        <v>149</v>
      </c>
      <c r="D17" s="27">
        <v>2</v>
      </c>
      <c r="E17" s="709">
        <v>403.93</v>
      </c>
      <c r="F17" s="723">
        <v>403.93</v>
      </c>
      <c r="G17" s="28"/>
      <c r="H17" s="651">
        <v>0</v>
      </c>
      <c r="I17" s="39">
        <v>175.87277271292075</v>
      </c>
      <c r="J17" s="39">
        <v>132.13361874538037</v>
      </c>
      <c r="K17" s="52">
        <v>-43.739153967540375</v>
      </c>
      <c r="L17" s="39">
        <v>70.86718398443351</v>
      </c>
      <c r="M17" s="39">
        <v>36.996378059599891</v>
      </c>
      <c r="N17" s="52">
        <v>-33.870805924833618</v>
      </c>
      <c r="O17" s="39">
        <v>107.16</v>
      </c>
      <c r="P17" s="39">
        <v>107.18</v>
      </c>
      <c r="Q17" s="52">
        <v>2.0000000000010232E-2</v>
      </c>
      <c r="R17" s="39">
        <v>0</v>
      </c>
      <c r="S17" s="39">
        <v>0</v>
      </c>
      <c r="T17" s="52">
        <v>0</v>
      </c>
      <c r="U17" s="39">
        <v>0</v>
      </c>
      <c r="V17" s="39">
        <v>0</v>
      </c>
      <c r="W17" s="52">
        <v>0</v>
      </c>
      <c r="X17" s="39">
        <v>98.891409429387878</v>
      </c>
      <c r="Y17" s="39">
        <v>67.371034726933445</v>
      </c>
      <c r="Z17" s="52">
        <v>-31.520374702454433</v>
      </c>
      <c r="AA17" s="39">
        <v>0</v>
      </c>
      <c r="AB17" s="39">
        <v>0</v>
      </c>
      <c r="AC17" s="52">
        <v>0</v>
      </c>
      <c r="AD17" s="39">
        <v>287.8561052011836</v>
      </c>
      <c r="AE17" s="39">
        <v>241.54476496016269</v>
      </c>
      <c r="AF17" s="35">
        <v>-46.311340241020901</v>
      </c>
      <c r="AG17" s="77">
        <v>740.6474713279257</v>
      </c>
      <c r="AH17" s="53">
        <v>585.22579649207637</v>
      </c>
      <c r="AI17" s="52">
        <v>-155.42167483584933</v>
      </c>
      <c r="AJ17" s="39">
        <v>0</v>
      </c>
      <c r="AK17" s="39">
        <v>0</v>
      </c>
      <c r="AL17" s="52">
        <v>0</v>
      </c>
      <c r="AM17" s="39">
        <v>0</v>
      </c>
      <c r="AN17" s="39">
        <v>0</v>
      </c>
      <c r="AO17" s="52">
        <v>0</v>
      </c>
      <c r="AP17" s="39">
        <v>189.40352857872995</v>
      </c>
      <c r="AQ17" s="39">
        <v>490.97397923155665</v>
      </c>
      <c r="AR17" s="52">
        <v>301.57045065282671</v>
      </c>
      <c r="AS17" s="39">
        <v>848.99000114935666</v>
      </c>
      <c r="AT17" s="39">
        <v>1232.4222169648958</v>
      </c>
      <c r="AU17" s="54">
        <v>383.43221581553917</v>
      </c>
      <c r="AV17" s="39">
        <v>67.696308299723157</v>
      </c>
      <c r="AW17" s="39">
        <v>0</v>
      </c>
      <c r="AX17" s="55">
        <v>-67.696308299723157</v>
      </c>
      <c r="AY17" s="39">
        <v>91.335669119949301</v>
      </c>
      <c r="AZ17" s="39">
        <v>0</v>
      </c>
      <c r="BA17" s="35">
        <v>-91.335669119949301</v>
      </c>
      <c r="BB17" s="39">
        <v>30.616109573468009</v>
      </c>
      <c r="BC17" s="39">
        <v>0</v>
      </c>
      <c r="BD17" s="55">
        <v>-30.616109573468009</v>
      </c>
      <c r="BE17" s="39">
        <v>0</v>
      </c>
      <c r="BF17" s="39">
        <v>0</v>
      </c>
      <c r="BG17" s="38">
        <v>0</v>
      </c>
      <c r="BH17" s="39">
        <v>0</v>
      </c>
      <c r="BI17" s="39">
        <v>0</v>
      </c>
      <c r="BJ17" s="55">
        <v>0</v>
      </c>
      <c r="BK17" s="39">
        <v>19.771277081972755</v>
      </c>
      <c r="BL17" s="39">
        <v>0</v>
      </c>
      <c r="BM17" s="38">
        <v>-19.771277081972755</v>
      </c>
      <c r="BN17" s="39">
        <v>27.240307228761459</v>
      </c>
      <c r="BO17" s="39">
        <v>0</v>
      </c>
      <c r="BP17" s="55">
        <v>-27.240307228761459</v>
      </c>
      <c r="BQ17" s="77">
        <v>236.65967130387466</v>
      </c>
      <c r="BR17" s="40">
        <v>0</v>
      </c>
      <c r="BS17" s="55">
        <v>-236.65967130387466</v>
      </c>
      <c r="BT17" s="39">
        <v>888.46755129148744</v>
      </c>
      <c r="BU17" s="39">
        <v>258.55962691269229</v>
      </c>
      <c r="BV17" s="52">
        <v>-629.90792437879509</v>
      </c>
      <c r="BW17" s="39">
        <v>631.88048155811032</v>
      </c>
      <c r="BX17" s="39">
        <v>1148.4523718635783</v>
      </c>
      <c r="BY17" s="52">
        <v>516.57189030546795</v>
      </c>
      <c r="BZ17" s="39">
        <v>345.48841878418835</v>
      </c>
      <c r="CA17" s="39">
        <v>1060.5973624096557</v>
      </c>
      <c r="CB17" s="52">
        <v>715.10894362546742</v>
      </c>
      <c r="CC17" s="39">
        <v>0</v>
      </c>
      <c r="CD17" s="39">
        <v>0</v>
      </c>
      <c r="CE17" s="52">
        <v>0</v>
      </c>
      <c r="CF17" s="39">
        <v>0</v>
      </c>
      <c r="CG17" s="39">
        <v>0</v>
      </c>
      <c r="CH17" s="52">
        <v>0</v>
      </c>
      <c r="CI17" s="39">
        <v>308.83916542367018</v>
      </c>
      <c r="CJ17" s="39">
        <v>446.39475787302149</v>
      </c>
      <c r="CK17" s="52">
        <v>137.55559244935131</v>
      </c>
      <c r="CL17" s="39">
        <v>0</v>
      </c>
      <c r="CM17" s="39">
        <v>0</v>
      </c>
      <c r="CN17" s="52">
        <v>0</v>
      </c>
      <c r="CO17" s="39">
        <v>308.83916542367018</v>
      </c>
      <c r="CP17" s="40">
        <v>446.39475787302149</v>
      </c>
      <c r="CQ17" s="52">
        <v>137.55559244935131</v>
      </c>
      <c r="CR17" s="72">
        <v>4190.3762894173433</v>
      </c>
      <c r="CS17" s="5">
        <v>5222.626111747476</v>
      </c>
      <c r="CT17" s="52">
        <v>1032.2498223301327</v>
      </c>
      <c r="CU17" s="77">
        <v>5028.4515473008114</v>
      </c>
      <c r="CV17" s="65">
        <v>6267.1513340969714</v>
      </c>
      <c r="CW17" s="35">
        <v>1238.69978679616</v>
      </c>
      <c r="CX17" s="39">
        <v>125.71128868252029</v>
      </c>
      <c r="CY17" s="39">
        <v>-1112.9884981136397</v>
      </c>
      <c r="CZ17" s="52">
        <v>-1238.69978679616</v>
      </c>
      <c r="DA17" s="150">
        <v>25517.756075427373</v>
      </c>
      <c r="DB17" s="2">
        <v>1</v>
      </c>
      <c r="DC17" s="713">
        <v>15613.23</v>
      </c>
      <c r="DD17" s="714"/>
      <c r="DE17" s="715">
        <v>13036.148582008333</v>
      </c>
      <c r="DF17" s="716">
        <v>0</v>
      </c>
      <c r="DG17" s="717">
        <v>30156.473284759355</v>
      </c>
      <c r="DH17" s="718">
        <v>24658.152427579967</v>
      </c>
      <c r="DI17" s="718">
        <v>61849.954031799985</v>
      </c>
      <c r="DJ17" s="693">
        <v>52552.003630744985</v>
      </c>
      <c r="DK17" s="724"/>
      <c r="DL17" s="5"/>
      <c r="DM17" s="306">
        <v>6.3800198499533733</v>
      </c>
      <c r="DN17" s="306"/>
      <c r="DO17" s="306">
        <v>5.4179558879841263</v>
      </c>
      <c r="DP17" s="719">
        <v>2577.0814179916661</v>
      </c>
      <c r="DQ17" s="720">
        <v>0</v>
      </c>
      <c r="DR17" s="650">
        <v>2577.0814179916661</v>
      </c>
      <c r="DS17" s="94">
        <v>2577.0814179916661</v>
      </c>
      <c r="DT17" s="719">
        <v>2577.0700000000002</v>
      </c>
      <c r="DU17" s="721"/>
      <c r="DV17" s="93">
        <v>2577.0700000000002</v>
      </c>
      <c r="DW17" s="95">
        <v>2589.6525468599184</v>
      </c>
      <c r="DX17" s="28">
        <v>-12.582546859918239</v>
      </c>
      <c r="EA17" s="5">
        <v>1302.7796069438775</v>
      </c>
      <c r="EB17" s="5">
        <v>1478.9066603578749</v>
      </c>
      <c r="EE17" s="722">
        <v>10187.880013792281</v>
      </c>
      <c r="EG17" s="42" t="s">
        <v>149</v>
      </c>
    </row>
    <row r="18" spans="1:137" x14ac:dyDescent="0.3">
      <c r="A18" s="325">
        <v>150000498</v>
      </c>
      <c r="B18" s="41" t="s">
        <v>470</v>
      </c>
      <c r="C18" s="42" t="s">
        <v>242</v>
      </c>
      <c r="D18" s="27">
        <v>5</v>
      </c>
      <c r="E18" s="709">
        <v>4890.7</v>
      </c>
      <c r="F18" s="723">
        <v>4845</v>
      </c>
      <c r="G18" s="28"/>
      <c r="H18" s="651">
        <v>45.7</v>
      </c>
      <c r="I18" s="39">
        <v>2739.4930041117791</v>
      </c>
      <c r="J18" s="39">
        <v>2045.5496695824691</v>
      </c>
      <c r="K18" s="52">
        <v>-693.94333452931005</v>
      </c>
      <c r="L18" s="39">
        <v>569.15627999259948</v>
      </c>
      <c r="M18" s="39">
        <v>297.12957493795568</v>
      </c>
      <c r="N18" s="52">
        <v>-272.0267050546438</v>
      </c>
      <c r="O18" s="39">
        <v>1280.7</v>
      </c>
      <c r="P18" s="39">
        <v>1280.3800000000001</v>
      </c>
      <c r="Q18" s="52">
        <v>-0.31999999999993634</v>
      </c>
      <c r="R18" s="39">
        <v>0</v>
      </c>
      <c r="S18" s="39">
        <v>0</v>
      </c>
      <c r="T18" s="52">
        <v>0</v>
      </c>
      <c r="U18" s="39">
        <v>0</v>
      </c>
      <c r="V18" s="39">
        <v>0</v>
      </c>
      <c r="W18" s="52">
        <v>0</v>
      </c>
      <c r="X18" s="39">
        <v>2359.2676634497793</v>
      </c>
      <c r="Y18" s="39">
        <v>1662.2690574160802</v>
      </c>
      <c r="Z18" s="52">
        <v>-696.99860603369916</v>
      </c>
      <c r="AA18" s="39">
        <v>0</v>
      </c>
      <c r="AB18" s="39">
        <v>0</v>
      </c>
      <c r="AC18" s="52">
        <v>0</v>
      </c>
      <c r="AD18" s="39">
        <v>3485.301546573487</v>
      </c>
      <c r="AE18" s="39">
        <v>2924.5735201412813</v>
      </c>
      <c r="AF18" s="35">
        <v>-560.72802643220575</v>
      </c>
      <c r="AG18" s="77">
        <v>10433.918494127645</v>
      </c>
      <c r="AH18" s="53">
        <v>8209.9018220777853</v>
      </c>
      <c r="AI18" s="52">
        <v>-2224.0166720498601</v>
      </c>
      <c r="AJ18" s="39">
        <v>0</v>
      </c>
      <c r="AK18" s="39">
        <v>0</v>
      </c>
      <c r="AL18" s="52">
        <v>0</v>
      </c>
      <c r="AM18" s="39">
        <v>0</v>
      </c>
      <c r="AN18" s="39">
        <v>0</v>
      </c>
      <c r="AO18" s="52">
        <v>0</v>
      </c>
      <c r="AP18" s="39">
        <v>2604.2985179575371</v>
      </c>
      <c r="AQ18" s="39">
        <v>7013.9139890222377</v>
      </c>
      <c r="AR18" s="52">
        <v>4409.6154710647006</v>
      </c>
      <c r="AS18" s="39">
        <v>7400.7728820642214</v>
      </c>
      <c r="AT18" s="39">
        <v>2711.9852228004652</v>
      </c>
      <c r="AU18" s="54">
        <v>-4688.7876592637567</v>
      </c>
      <c r="AV18" s="39">
        <v>472.55756514456755</v>
      </c>
      <c r="AW18" s="39">
        <v>0</v>
      </c>
      <c r="AX18" s="55">
        <v>-472.55756514456755</v>
      </c>
      <c r="AY18" s="39">
        <v>733.55039105992546</v>
      </c>
      <c r="AZ18" s="39">
        <v>0</v>
      </c>
      <c r="BA18" s="35">
        <v>-733.55039105992546</v>
      </c>
      <c r="BB18" s="39">
        <v>441.34166583337264</v>
      </c>
      <c r="BC18" s="39">
        <v>0</v>
      </c>
      <c r="BD18" s="55">
        <v>-441.34166583337264</v>
      </c>
      <c r="BE18" s="39">
        <v>0</v>
      </c>
      <c r="BF18" s="39">
        <v>0</v>
      </c>
      <c r="BG18" s="38">
        <v>0</v>
      </c>
      <c r="BH18" s="39">
        <v>0</v>
      </c>
      <c r="BI18" s="39">
        <v>0</v>
      </c>
      <c r="BJ18" s="55">
        <v>0</v>
      </c>
      <c r="BK18" s="39">
        <v>331.20826457246949</v>
      </c>
      <c r="BL18" s="39">
        <v>0</v>
      </c>
      <c r="BM18" s="38">
        <v>-331.20826457246949</v>
      </c>
      <c r="BN18" s="39">
        <v>160.2534325618756</v>
      </c>
      <c r="BO18" s="39">
        <v>0</v>
      </c>
      <c r="BP18" s="55">
        <v>-160.2534325618756</v>
      </c>
      <c r="BQ18" s="77">
        <v>2138.9113191722108</v>
      </c>
      <c r="BR18" s="40">
        <v>0</v>
      </c>
      <c r="BS18" s="55">
        <v>-2138.9113191722108</v>
      </c>
      <c r="BT18" s="39">
        <v>12700.329515779938</v>
      </c>
      <c r="BU18" s="39">
        <v>4141.3600160513806</v>
      </c>
      <c r="BV18" s="52">
        <v>-8558.9694997285587</v>
      </c>
      <c r="BW18" s="39">
        <v>4328.9121256616163</v>
      </c>
      <c r="BX18" s="39">
        <v>6302.2681992233956</v>
      </c>
      <c r="BY18" s="52">
        <v>1973.3560735617793</v>
      </c>
      <c r="BZ18" s="39">
        <v>6309.1240987888905</v>
      </c>
      <c r="CA18" s="39">
        <v>16432.498132336936</v>
      </c>
      <c r="CB18" s="52">
        <v>10123.374033548045</v>
      </c>
      <c r="CC18" s="39">
        <v>301.73096240995085</v>
      </c>
      <c r="CD18" s="39">
        <v>297.67928391605324</v>
      </c>
      <c r="CE18" s="52">
        <v>-4.0516784938976116</v>
      </c>
      <c r="CF18" s="39">
        <v>37.144910145164403</v>
      </c>
      <c r="CG18" s="39">
        <v>0</v>
      </c>
      <c r="CH18" s="52">
        <v>-37.144910145164403</v>
      </c>
      <c r="CI18" s="39">
        <v>1725.1319038312085</v>
      </c>
      <c r="CJ18" s="39">
        <v>3393.4147029859801</v>
      </c>
      <c r="CK18" s="52">
        <v>1668.2827991547715</v>
      </c>
      <c r="CL18" s="39">
        <v>0</v>
      </c>
      <c r="CM18" s="39">
        <v>0</v>
      </c>
      <c r="CN18" s="52">
        <v>0</v>
      </c>
      <c r="CO18" s="39">
        <v>1725.1319038312085</v>
      </c>
      <c r="CP18" s="40">
        <v>3393.4147029859801</v>
      </c>
      <c r="CQ18" s="52">
        <v>1668.2827991547715</v>
      </c>
      <c r="CR18" s="72">
        <v>47980.274729938377</v>
      </c>
      <c r="CS18" s="5">
        <v>48503.021368414236</v>
      </c>
      <c r="CT18" s="52">
        <v>522.74663847585907</v>
      </c>
      <c r="CU18" s="77">
        <v>57576.329675926048</v>
      </c>
      <c r="CV18" s="65">
        <v>58203.625642097082</v>
      </c>
      <c r="CW18" s="35">
        <v>627.2959661710338</v>
      </c>
      <c r="CX18" s="39">
        <v>2590.9348354166723</v>
      </c>
      <c r="CY18" s="39">
        <v>1963.6388692456421</v>
      </c>
      <c r="CZ18" s="52">
        <v>-627.29596617103016</v>
      </c>
      <c r="DA18" s="150">
        <v>50380.335488970741</v>
      </c>
      <c r="DB18" s="2">
        <v>1</v>
      </c>
      <c r="DC18" s="713">
        <v>62760.26</v>
      </c>
      <c r="DD18" s="714">
        <v>255.74</v>
      </c>
      <c r="DE18" s="715">
        <v>32932.374729203337</v>
      </c>
      <c r="DF18" s="716">
        <v>-6.9848746980767373E-3</v>
      </c>
      <c r="DG18" s="717">
        <v>-58084.109815016913</v>
      </c>
      <c r="DH18" s="718">
        <v>289616.20980633062</v>
      </c>
      <c r="DI18" s="718">
        <v>722007.17413611268</v>
      </c>
      <c r="DJ18" s="693">
        <v>613909.43305366708</v>
      </c>
      <c r="DK18" s="724"/>
      <c r="DL18" s="5"/>
      <c r="DM18" s="306">
        <v>6.1564262684822832</v>
      </c>
      <c r="DN18" s="306"/>
      <c r="DO18" s="306">
        <v>5.5962141110437216</v>
      </c>
      <c r="DP18" s="719">
        <v>29827.885270796662</v>
      </c>
      <c r="DQ18" s="720">
        <v>255.74698487469809</v>
      </c>
      <c r="DR18" s="650">
        <v>30083.63225567136</v>
      </c>
      <c r="DS18" s="94">
        <v>30083.63225567136</v>
      </c>
      <c r="DT18" s="719">
        <v>29827.16</v>
      </c>
      <c r="DU18" s="725">
        <v>255.74</v>
      </c>
      <c r="DV18" s="93">
        <v>30082.9</v>
      </c>
      <c r="DW18" s="95">
        <v>30342.725739213027</v>
      </c>
      <c r="DX18" s="28">
        <v>-259.82573921302537</v>
      </c>
      <c r="EA18" s="5">
        <v>11447.621041483719</v>
      </c>
      <c r="EB18" s="5">
        <v>3254.3822673605582</v>
      </c>
      <c r="EE18" s="722">
        <v>88809.274584770654</v>
      </c>
      <c r="EG18" s="42" t="s">
        <v>242</v>
      </c>
    </row>
    <row r="19" spans="1:137" x14ac:dyDescent="0.3">
      <c r="A19" s="325">
        <v>150000969</v>
      </c>
      <c r="B19" s="41" t="s">
        <v>471</v>
      </c>
      <c r="C19" s="42" t="s">
        <v>193</v>
      </c>
      <c r="D19" s="27">
        <v>3</v>
      </c>
      <c r="E19" s="709">
        <v>753.3</v>
      </c>
      <c r="F19" s="723">
        <v>664</v>
      </c>
      <c r="G19" s="28"/>
      <c r="H19" s="651">
        <v>89.3</v>
      </c>
      <c r="I19" s="39">
        <v>621.03896781351762</v>
      </c>
      <c r="J19" s="39">
        <v>666.24651278733188</v>
      </c>
      <c r="K19" s="52">
        <v>45.207544973814265</v>
      </c>
      <c r="L19" s="39">
        <v>126.49526282106204</v>
      </c>
      <c r="M19" s="39">
        <v>137.44400069387791</v>
      </c>
      <c r="N19" s="52">
        <v>10.948737872815869</v>
      </c>
      <c r="O19" s="39">
        <v>170.88</v>
      </c>
      <c r="P19" s="39">
        <v>170.88</v>
      </c>
      <c r="Q19" s="52">
        <v>0</v>
      </c>
      <c r="R19" s="39">
        <v>0</v>
      </c>
      <c r="S19" s="39">
        <v>0</v>
      </c>
      <c r="T19" s="52">
        <v>0</v>
      </c>
      <c r="U19" s="39">
        <v>0</v>
      </c>
      <c r="V19" s="39">
        <v>0</v>
      </c>
      <c r="W19" s="52">
        <v>0</v>
      </c>
      <c r="X19" s="39">
        <v>376.00662446244172</v>
      </c>
      <c r="Y19" s="39">
        <v>367.19875437222208</v>
      </c>
      <c r="Z19" s="52">
        <v>-8.8078700902196374</v>
      </c>
      <c r="AA19" s="39">
        <v>0</v>
      </c>
      <c r="AB19" s="39">
        <v>0</v>
      </c>
      <c r="AC19" s="52">
        <v>0</v>
      </c>
      <c r="AD19" s="39">
        <v>536.83064899376529</v>
      </c>
      <c r="AE19" s="39">
        <v>450.46337594259046</v>
      </c>
      <c r="AF19" s="35">
        <v>-86.367273051174834</v>
      </c>
      <c r="AG19" s="77">
        <v>1831.2515040907865</v>
      </c>
      <c r="AH19" s="53">
        <v>1792.2326437960223</v>
      </c>
      <c r="AI19" s="52">
        <v>-39.018860294764181</v>
      </c>
      <c r="AJ19" s="39">
        <v>0</v>
      </c>
      <c r="AK19" s="39">
        <v>0</v>
      </c>
      <c r="AL19" s="52">
        <v>0</v>
      </c>
      <c r="AM19" s="39">
        <v>0</v>
      </c>
      <c r="AN19" s="39">
        <v>0</v>
      </c>
      <c r="AO19" s="52">
        <v>0</v>
      </c>
      <c r="AP19" s="39">
        <v>497.18426251916611</v>
      </c>
      <c r="AQ19" s="39">
        <v>0</v>
      </c>
      <c r="AR19" s="52">
        <v>-497.18426251916611</v>
      </c>
      <c r="AS19" s="39">
        <v>1617.6290010005876</v>
      </c>
      <c r="AT19" s="39">
        <v>1728</v>
      </c>
      <c r="AU19" s="54">
        <v>110.37099899941245</v>
      </c>
      <c r="AV19" s="39">
        <v>103.78450226731735</v>
      </c>
      <c r="AW19" s="39">
        <v>0</v>
      </c>
      <c r="AX19" s="55">
        <v>-103.78450226731735</v>
      </c>
      <c r="AY19" s="39">
        <v>163.00578644091831</v>
      </c>
      <c r="AZ19" s="39">
        <v>0</v>
      </c>
      <c r="BA19" s="35">
        <v>-163.00578644091831</v>
      </c>
      <c r="BB19" s="39">
        <v>71.428492411828188</v>
      </c>
      <c r="BC19" s="39">
        <v>0</v>
      </c>
      <c r="BD19" s="55">
        <v>-71.428492411828188</v>
      </c>
      <c r="BE19" s="39">
        <v>0</v>
      </c>
      <c r="BF19" s="39">
        <v>0</v>
      </c>
      <c r="BG19" s="38">
        <v>0</v>
      </c>
      <c r="BH19" s="39">
        <v>0</v>
      </c>
      <c r="BI19" s="39">
        <v>0</v>
      </c>
      <c r="BJ19" s="55">
        <v>0</v>
      </c>
      <c r="BK19" s="39">
        <v>39.526483889459712</v>
      </c>
      <c r="BL19" s="39">
        <v>711</v>
      </c>
      <c r="BM19" s="38">
        <v>671.47351611054023</v>
      </c>
      <c r="BN19" s="39">
        <v>0</v>
      </c>
      <c r="BO19" s="39">
        <v>0</v>
      </c>
      <c r="BP19" s="55">
        <v>0</v>
      </c>
      <c r="BQ19" s="77">
        <v>377.74526500952356</v>
      </c>
      <c r="BR19" s="40">
        <v>711</v>
      </c>
      <c r="BS19" s="55">
        <v>333.25473499047644</v>
      </c>
      <c r="BT19" s="39">
        <v>1446.2540173647089</v>
      </c>
      <c r="BU19" s="39">
        <v>384.7021726901026</v>
      </c>
      <c r="BV19" s="52">
        <v>-1061.5518446746064</v>
      </c>
      <c r="BW19" s="39">
        <v>925.15193998895006</v>
      </c>
      <c r="BX19" s="39">
        <v>1633.9109558478858</v>
      </c>
      <c r="BY19" s="52">
        <v>708.75901585893575</v>
      </c>
      <c r="BZ19" s="39">
        <v>620.65129044285891</v>
      </c>
      <c r="CA19" s="39">
        <v>1620.7308060013818</v>
      </c>
      <c r="CB19" s="52">
        <v>1000.0795155585229</v>
      </c>
      <c r="CC19" s="39">
        <v>75.984239112172844</v>
      </c>
      <c r="CD19" s="39">
        <v>74.963913902499201</v>
      </c>
      <c r="CE19" s="52">
        <v>-1.0203252096736435</v>
      </c>
      <c r="CF19" s="39">
        <v>9.3541203452485515</v>
      </c>
      <c r="CG19" s="39">
        <v>0</v>
      </c>
      <c r="CH19" s="52">
        <v>-9.3541203452485515</v>
      </c>
      <c r="CI19" s="39">
        <v>290.12164024647802</v>
      </c>
      <c r="CJ19" s="39">
        <v>440.3212268163482</v>
      </c>
      <c r="CK19" s="52">
        <v>150.19958656987018</v>
      </c>
      <c r="CL19" s="39">
        <v>0</v>
      </c>
      <c r="CM19" s="39">
        <v>0</v>
      </c>
      <c r="CN19" s="52">
        <v>0</v>
      </c>
      <c r="CO19" s="39">
        <v>290.12164024647802</v>
      </c>
      <c r="CP19" s="40">
        <v>440.3212268163482</v>
      </c>
      <c r="CQ19" s="52">
        <v>150.19958656987018</v>
      </c>
      <c r="CR19" s="72">
        <v>7691.3272801204812</v>
      </c>
      <c r="CS19" s="5">
        <v>8385.8617190542409</v>
      </c>
      <c r="CT19" s="52">
        <v>694.5344389337597</v>
      </c>
      <c r="CU19" s="77">
        <v>9229.5927361445774</v>
      </c>
      <c r="CV19" s="65">
        <v>10063.034062865088</v>
      </c>
      <c r="CW19" s="35">
        <v>833.44132672051092</v>
      </c>
      <c r="CX19" s="39">
        <v>0</v>
      </c>
      <c r="CY19" s="39">
        <v>-833.4413267205091</v>
      </c>
      <c r="CZ19" s="52">
        <v>-833.4413267205091</v>
      </c>
      <c r="DA19" s="150">
        <v>12461.462859104948</v>
      </c>
      <c r="DB19" s="2">
        <v>2</v>
      </c>
      <c r="DC19" s="713">
        <v>3754.45</v>
      </c>
      <c r="DD19" s="714">
        <v>2854.7500000000005</v>
      </c>
      <c r="DE19" s="715">
        <v>-379.08833710952877</v>
      </c>
      <c r="DF19" s="716">
        <v>2373.4919690372399</v>
      </c>
      <c r="DG19" s="717">
        <v>-331.38096688206861</v>
      </c>
      <c r="DH19" s="718">
        <v>44187.086166660985</v>
      </c>
      <c r="DI19" s="718">
        <v>110755.11283373492</v>
      </c>
      <c r="DJ19" s="693">
        <v>94113.106166966449</v>
      </c>
      <c r="DK19" s="724"/>
      <c r="DL19" s="5"/>
      <c r="DM19" s="306">
        <v>6.2252083390203738</v>
      </c>
      <c r="DN19" s="306"/>
      <c r="DO19" s="306">
        <v>5.3892276703556599</v>
      </c>
      <c r="DP19" s="719">
        <v>4133.5383371095286</v>
      </c>
      <c r="DQ19" s="720">
        <v>481.25803096276042</v>
      </c>
      <c r="DR19" s="650">
        <v>4614.7963680722887</v>
      </c>
      <c r="DS19" s="94">
        <v>4614.7963680722887</v>
      </c>
      <c r="DT19" s="719">
        <v>4133.5200000000004</v>
      </c>
      <c r="DU19" s="725">
        <v>481.25</v>
      </c>
      <c r="DV19" s="93">
        <v>4614.7700000000004</v>
      </c>
      <c r="DW19" s="95">
        <v>4614.7963680722887</v>
      </c>
      <c r="DX19" s="28">
        <v>-2.6368072288278199E-2</v>
      </c>
      <c r="EA19" s="5">
        <v>2394.4491192121332</v>
      </c>
      <c r="EB19" s="5">
        <v>2926.7999999999997</v>
      </c>
      <c r="EE19" s="722">
        <v>19411.54801200705</v>
      </c>
      <c r="EG19" s="42" t="s">
        <v>193</v>
      </c>
    </row>
    <row r="20" spans="1:137" x14ac:dyDescent="0.3">
      <c r="A20" s="325">
        <v>150000989</v>
      </c>
      <c r="B20" s="41" t="s">
        <v>472</v>
      </c>
      <c r="C20" s="42" t="s">
        <v>38</v>
      </c>
      <c r="D20" s="27">
        <v>1</v>
      </c>
      <c r="E20" s="709">
        <v>256.91000000000003</v>
      </c>
      <c r="F20" s="723">
        <v>206.8</v>
      </c>
      <c r="G20" s="28"/>
      <c r="H20" s="651">
        <v>50.11</v>
      </c>
      <c r="I20" s="39">
        <v>0</v>
      </c>
      <c r="J20" s="39">
        <v>0</v>
      </c>
      <c r="K20" s="52">
        <v>0</v>
      </c>
      <c r="L20" s="39">
        <v>0</v>
      </c>
      <c r="M20" s="39">
        <v>0</v>
      </c>
      <c r="N20" s="52">
        <v>0</v>
      </c>
      <c r="O20" s="39">
        <v>0</v>
      </c>
      <c r="P20" s="39">
        <v>0</v>
      </c>
      <c r="Q20" s="52">
        <v>0</v>
      </c>
      <c r="R20" s="39">
        <v>0</v>
      </c>
      <c r="S20" s="39">
        <v>0</v>
      </c>
      <c r="T20" s="52">
        <v>0</v>
      </c>
      <c r="U20" s="39">
        <v>0</v>
      </c>
      <c r="V20" s="39">
        <v>0</v>
      </c>
      <c r="W20" s="52">
        <v>0</v>
      </c>
      <c r="X20" s="39">
        <v>0</v>
      </c>
      <c r="Y20" s="39">
        <v>0</v>
      </c>
      <c r="Z20" s="52">
        <v>0</v>
      </c>
      <c r="AA20" s="39">
        <v>0</v>
      </c>
      <c r="AB20" s="39">
        <v>0</v>
      </c>
      <c r="AC20" s="52">
        <v>0</v>
      </c>
      <c r="AD20" s="39">
        <v>0</v>
      </c>
      <c r="AE20" s="39">
        <v>153.62876133467535</v>
      </c>
      <c r="AF20" s="35">
        <v>153.62876133467535</v>
      </c>
      <c r="AG20" s="77">
        <v>0</v>
      </c>
      <c r="AH20" s="53">
        <v>153.62876133467535</v>
      </c>
      <c r="AI20" s="52">
        <v>153.62876133467535</v>
      </c>
      <c r="AJ20" s="39">
        <v>0</v>
      </c>
      <c r="AK20" s="39">
        <v>0</v>
      </c>
      <c r="AL20" s="52">
        <v>0</v>
      </c>
      <c r="AM20" s="39">
        <v>0</v>
      </c>
      <c r="AN20" s="39">
        <v>0</v>
      </c>
      <c r="AO20" s="52">
        <v>0</v>
      </c>
      <c r="AP20" s="39">
        <v>78.91813690780414</v>
      </c>
      <c r="AQ20" s="39">
        <v>0</v>
      </c>
      <c r="AR20" s="52">
        <v>-78.91813690780414</v>
      </c>
      <c r="AS20" s="39">
        <v>464.34536742130445</v>
      </c>
      <c r="AT20" s="39">
        <v>0</v>
      </c>
      <c r="AU20" s="54">
        <v>-464.34536742130445</v>
      </c>
      <c r="AV20" s="39">
        <v>0</v>
      </c>
      <c r="AW20" s="39">
        <v>0</v>
      </c>
      <c r="AX20" s="55">
        <v>0</v>
      </c>
      <c r="AY20" s="39">
        <v>0</v>
      </c>
      <c r="AZ20" s="39">
        <v>0</v>
      </c>
      <c r="BA20" s="35">
        <v>0</v>
      </c>
      <c r="BB20" s="39">
        <v>0</v>
      </c>
      <c r="BC20" s="39">
        <v>0</v>
      </c>
      <c r="BD20" s="55">
        <v>0</v>
      </c>
      <c r="BE20" s="39">
        <v>0</v>
      </c>
      <c r="BF20" s="39">
        <v>0</v>
      </c>
      <c r="BG20" s="38">
        <v>0</v>
      </c>
      <c r="BH20" s="39">
        <v>0</v>
      </c>
      <c r="BI20" s="39">
        <v>0</v>
      </c>
      <c r="BJ20" s="55">
        <v>0</v>
      </c>
      <c r="BK20" s="39">
        <v>0</v>
      </c>
      <c r="BL20" s="39">
        <v>0</v>
      </c>
      <c r="BM20" s="38">
        <v>0</v>
      </c>
      <c r="BN20" s="39">
        <v>0</v>
      </c>
      <c r="BO20" s="39">
        <v>0</v>
      </c>
      <c r="BP20" s="55">
        <v>0</v>
      </c>
      <c r="BQ20" s="77">
        <v>0</v>
      </c>
      <c r="BR20" s="40">
        <v>0</v>
      </c>
      <c r="BS20" s="55">
        <v>0</v>
      </c>
      <c r="BT20" s="39">
        <v>15.951340502798338</v>
      </c>
      <c r="BU20" s="39">
        <v>7.2123457605021866</v>
      </c>
      <c r="BV20" s="52">
        <v>-8.7389947422961516</v>
      </c>
      <c r="BW20" s="39">
        <v>0</v>
      </c>
      <c r="BX20" s="39">
        <v>1.0399487195808401</v>
      </c>
      <c r="BY20" s="52">
        <v>1.0399487195808401</v>
      </c>
      <c r="BZ20" s="39">
        <v>0</v>
      </c>
      <c r="CA20" s="39">
        <v>25.876802485443513</v>
      </c>
      <c r="CB20" s="52">
        <v>25.876802485443513</v>
      </c>
      <c r="CC20" s="39">
        <v>0</v>
      </c>
      <c r="CD20" s="39">
        <v>0</v>
      </c>
      <c r="CE20" s="52">
        <v>0</v>
      </c>
      <c r="CF20" s="39">
        <v>0</v>
      </c>
      <c r="CG20" s="39">
        <v>0</v>
      </c>
      <c r="CH20" s="52">
        <v>0</v>
      </c>
      <c r="CI20" s="39">
        <v>0</v>
      </c>
      <c r="CJ20" s="39">
        <v>0</v>
      </c>
      <c r="CK20" s="52">
        <v>0</v>
      </c>
      <c r="CL20" s="39">
        <v>0</v>
      </c>
      <c r="CM20" s="39">
        <v>0</v>
      </c>
      <c r="CN20" s="52">
        <v>0</v>
      </c>
      <c r="CO20" s="39">
        <v>0</v>
      </c>
      <c r="CP20" s="40">
        <v>0</v>
      </c>
      <c r="CQ20" s="52">
        <v>0</v>
      </c>
      <c r="CR20" s="72">
        <v>559.21484483190693</v>
      </c>
      <c r="CS20" s="5">
        <v>187.75785830020189</v>
      </c>
      <c r="CT20" s="52">
        <v>-371.45698653170507</v>
      </c>
      <c r="CU20" s="77">
        <v>671.05781379828829</v>
      </c>
      <c r="CV20" s="65">
        <v>225.30942996024226</v>
      </c>
      <c r="CW20" s="35">
        <v>-445.74838383804604</v>
      </c>
      <c r="CX20" s="39">
        <v>16.776445344957207</v>
      </c>
      <c r="CY20" s="39">
        <v>462.52482918300325</v>
      </c>
      <c r="CZ20" s="52">
        <v>445.74838383804604</v>
      </c>
      <c r="DA20" s="150">
        <v>-2042.0526682335917</v>
      </c>
      <c r="DB20" s="2">
        <v>3</v>
      </c>
      <c r="DC20" s="713">
        <v>497.07</v>
      </c>
      <c r="DD20" s="714">
        <v>-0.56000000000000005</v>
      </c>
      <c r="DE20" s="715">
        <v>220.23351097500455</v>
      </c>
      <c r="DF20" s="716">
        <v>-67.640640546627282</v>
      </c>
      <c r="DG20" s="717">
        <v>-1850.5525597112535</v>
      </c>
      <c r="DH20" s="718">
        <v>3287.8309938103803</v>
      </c>
      <c r="DI20" s="718">
        <v>8254.0111097189456</v>
      </c>
      <c r="DJ20" s="693">
        <v>7012.4660807418049</v>
      </c>
      <c r="DK20" s="724"/>
      <c r="DL20" s="5"/>
      <c r="DM20" s="306">
        <v>1.3386677419003647</v>
      </c>
      <c r="DN20" s="306"/>
      <c r="DO20" s="306">
        <v>1.3386677419003647</v>
      </c>
      <c r="DP20" s="719">
        <v>276.83648902499544</v>
      </c>
      <c r="DQ20" s="720">
        <v>67.080640546627279</v>
      </c>
      <c r="DR20" s="650">
        <v>343.9171295716227</v>
      </c>
      <c r="DS20" s="94">
        <v>343.91712957162281</v>
      </c>
      <c r="DT20" s="719">
        <v>276.85000000000002</v>
      </c>
      <c r="DU20" s="725">
        <v>67.069999999999993</v>
      </c>
      <c r="DV20" s="93">
        <v>343.92</v>
      </c>
      <c r="DW20" s="95">
        <v>345.59477410611845</v>
      </c>
      <c r="DX20" s="28">
        <v>-1.6747741061184342</v>
      </c>
      <c r="EA20" s="5">
        <v>557.21444090556531</v>
      </c>
      <c r="EB20" s="5">
        <v>0</v>
      </c>
      <c r="EE20" s="722">
        <v>5572.1444090556533</v>
      </c>
      <c r="EG20" s="42" t="s">
        <v>38</v>
      </c>
    </row>
    <row r="21" spans="1:137" x14ac:dyDescent="0.3">
      <c r="A21" s="325">
        <v>150000970</v>
      </c>
      <c r="B21" s="41" t="s">
        <v>473</v>
      </c>
      <c r="C21" s="42" t="s">
        <v>243</v>
      </c>
      <c r="D21" s="27">
        <v>5</v>
      </c>
      <c r="E21" s="709">
        <v>3070.2</v>
      </c>
      <c r="F21" s="723">
        <v>2589.4</v>
      </c>
      <c r="G21" s="28"/>
      <c r="H21" s="726">
        <v>480.79999999999995</v>
      </c>
      <c r="I21" s="39">
        <v>1451.5629398755198</v>
      </c>
      <c r="J21" s="39">
        <v>1565.6585107325513</v>
      </c>
      <c r="K21" s="52">
        <v>114.09557085703159</v>
      </c>
      <c r="L21" s="39">
        <v>282.92637332764753</v>
      </c>
      <c r="M21" s="39">
        <v>307.41373566502057</v>
      </c>
      <c r="N21" s="52">
        <v>24.487362337373042</v>
      </c>
      <c r="O21" s="39">
        <v>618.74</v>
      </c>
      <c r="P21" s="39">
        <v>618.74</v>
      </c>
      <c r="Q21" s="52">
        <v>0</v>
      </c>
      <c r="R21" s="39">
        <v>0</v>
      </c>
      <c r="S21" s="39">
        <v>0</v>
      </c>
      <c r="T21" s="52">
        <v>0</v>
      </c>
      <c r="U21" s="39">
        <v>0</v>
      </c>
      <c r="V21" s="39">
        <v>0</v>
      </c>
      <c r="W21" s="52">
        <v>0</v>
      </c>
      <c r="X21" s="39">
        <v>883.51669266117415</v>
      </c>
      <c r="Y21" s="39">
        <v>1035.7145089629539</v>
      </c>
      <c r="Z21" s="52">
        <v>152.19781630177977</v>
      </c>
      <c r="AA21" s="39">
        <v>0</v>
      </c>
      <c r="AB21" s="39">
        <v>0</v>
      </c>
      <c r="AC21" s="52">
        <v>0</v>
      </c>
      <c r="AD21" s="39">
        <v>2100.5735045453639</v>
      </c>
      <c r="AE21" s="39">
        <v>1835.938745279359</v>
      </c>
      <c r="AF21" s="35">
        <v>-264.63475926600495</v>
      </c>
      <c r="AG21" s="77">
        <v>5337.3195104097049</v>
      </c>
      <c r="AH21" s="53">
        <v>5363.4655006398843</v>
      </c>
      <c r="AI21" s="52">
        <v>26.14599023017945</v>
      </c>
      <c r="AJ21" s="39">
        <v>0</v>
      </c>
      <c r="AK21" s="39">
        <v>0</v>
      </c>
      <c r="AL21" s="52">
        <v>0</v>
      </c>
      <c r="AM21" s="39">
        <v>0</v>
      </c>
      <c r="AN21" s="39">
        <v>0</v>
      </c>
      <c r="AO21" s="52">
        <v>0</v>
      </c>
      <c r="AP21" s="39">
        <v>1278.4738179064273</v>
      </c>
      <c r="AQ21" s="39">
        <v>0</v>
      </c>
      <c r="AR21" s="52">
        <v>-1278.4738179064273</v>
      </c>
      <c r="AS21" s="39">
        <v>5217.8459568311582</v>
      </c>
      <c r="AT21" s="39">
        <v>391</v>
      </c>
      <c r="AU21" s="54">
        <v>-4826.8459568311582</v>
      </c>
      <c r="AV21" s="39">
        <v>235.07044024849569</v>
      </c>
      <c r="AW21" s="39">
        <v>0</v>
      </c>
      <c r="AX21" s="55">
        <v>-235.07044024849569</v>
      </c>
      <c r="AY21" s="39">
        <v>364.66296549106636</v>
      </c>
      <c r="AZ21" s="39">
        <v>0</v>
      </c>
      <c r="BA21" s="35">
        <v>-364.66296549106636</v>
      </c>
      <c r="BB21" s="39">
        <v>335.41627860193557</v>
      </c>
      <c r="BC21" s="39">
        <v>0</v>
      </c>
      <c r="BD21" s="55">
        <v>-335.41627860193557</v>
      </c>
      <c r="BE21" s="39">
        <v>0</v>
      </c>
      <c r="BF21" s="39">
        <v>0</v>
      </c>
      <c r="BG21" s="38">
        <v>0</v>
      </c>
      <c r="BH21" s="39">
        <v>0</v>
      </c>
      <c r="BI21" s="39">
        <v>0</v>
      </c>
      <c r="BJ21" s="55">
        <v>0</v>
      </c>
      <c r="BK21" s="39">
        <v>113.60653295778928</v>
      </c>
      <c r="BL21" s="39">
        <v>3374</v>
      </c>
      <c r="BM21" s="38">
        <v>3260.3934670422109</v>
      </c>
      <c r="BN21" s="39">
        <v>0</v>
      </c>
      <c r="BO21" s="39">
        <v>0</v>
      </c>
      <c r="BP21" s="55">
        <v>0</v>
      </c>
      <c r="BQ21" s="77">
        <v>1048.7562172992868</v>
      </c>
      <c r="BR21" s="40">
        <v>3374</v>
      </c>
      <c r="BS21" s="55">
        <v>2325.2437827007134</v>
      </c>
      <c r="BT21" s="39">
        <v>4347.4199743444433</v>
      </c>
      <c r="BU21" s="39">
        <v>1227.0271422604808</v>
      </c>
      <c r="BV21" s="52">
        <v>-3120.3928320839623</v>
      </c>
      <c r="BW21" s="39">
        <v>1956.9435953144853</v>
      </c>
      <c r="BX21" s="39">
        <v>3539.4565481910813</v>
      </c>
      <c r="BY21" s="52">
        <v>1582.512952876596</v>
      </c>
      <c r="BZ21" s="39">
        <v>1920.5993200533412</v>
      </c>
      <c r="CA21" s="39">
        <v>5030.9960783892147</v>
      </c>
      <c r="CB21" s="52">
        <v>3110.3967583358735</v>
      </c>
      <c r="CC21" s="39">
        <v>231.72741824725227</v>
      </c>
      <c r="CD21" s="39">
        <v>228.61575549491209</v>
      </c>
      <c r="CE21" s="52">
        <v>-3.1116627523401803</v>
      </c>
      <c r="CF21" s="39">
        <v>28.527049594832192</v>
      </c>
      <c r="CG21" s="39">
        <v>0</v>
      </c>
      <c r="CH21" s="52">
        <v>-28.527049594832192</v>
      </c>
      <c r="CI21" s="39">
        <v>620.79791837687242</v>
      </c>
      <c r="CJ21" s="39">
        <v>2312.6780664123698</v>
      </c>
      <c r="CK21" s="52">
        <v>1691.8801480354973</v>
      </c>
      <c r="CL21" s="39">
        <v>0</v>
      </c>
      <c r="CM21" s="39">
        <v>0</v>
      </c>
      <c r="CN21" s="52">
        <v>0</v>
      </c>
      <c r="CO21" s="39">
        <v>620.79791837687242</v>
      </c>
      <c r="CP21" s="40">
        <v>2312.6780664123698</v>
      </c>
      <c r="CQ21" s="52">
        <v>1691.8801480354973</v>
      </c>
      <c r="CR21" s="72">
        <v>21988.410778377805</v>
      </c>
      <c r="CS21" s="5">
        <v>21467.239091387943</v>
      </c>
      <c r="CT21" s="52">
        <v>-521.17168698986279</v>
      </c>
      <c r="CU21" s="77">
        <v>26386.092934053366</v>
      </c>
      <c r="CV21" s="65">
        <v>25760.686909665532</v>
      </c>
      <c r="CW21" s="35">
        <v>-625.4060243878339</v>
      </c>
      <c r="CX21" s="39">
        <v>3418.9399999999996</v>
      </c>
      <c r="CY21" s="39">
        <v>4044.3460243878326</v>
      </c>
      <c r="CZ21" s="52">
        <v>625.40602438783299</v>
      </c>
      <c r="DA21" s="150">
        <v>50322.031348731689</v>
      </c>
      <c r="DB21" s="2">
        <v>2</v>
      </c>
      <c r="DC21" s="713">
        <v>30641.51</v>
      </c>
      <c r="DD21" s="714">
        <v>3814.4700000000003</v>
      </c>
      <c r="DE21" s="715">
        <v>18322.405005704612</v>
      </c>
      <c r="DF21" s="716">
        <v>1755.9778248003086</v>
      </c>
      <c r="DG21" s="717">
        <v>66221.607901605355</v>
      </c>
      <c r="DH21" s="718">
        <v>133706.41802551172</v>
      </c>
      <c r="DI21" s="718">
        <v>357660.39520864037</v>
      </c>
      <c r="DJ21" s="693">
        <v>301671.90091285825</v>
      </c>
      <c r="DK21" s="724"/>
      <c r="DL21" s="5"/>
      <c r="DM21" s="306">
        <v>4.7575133213467931</v>
      </c>
      <c r="DN21" s="306"/>
      <c r="DO21" s="306">
        <v>4.2813897154735692</v>
      </c>
      <c r="DP21" s="719">
        <v>12319.104994295387</v>
      </c>
      <c r="DQ21" s="727">
        <v>2058.4921751996917</v>
      </c>
      <c r="DR21" s="650">
        <v>14377.597169495079</v>
      </c>
      <c r="DS21" s="94">
        <v>15427.435764558286</v>
      </c>
      <c r="DT21" s="719">
        <v>12309.53</v>
      </c>
      <c r="DU21" s="728">
        <v>2058.5099999999998</v>
      </c>
      <c r="DV21" s="93">
        <v>14368.04</v>
      </c>
      <c r="DW21" s="95">
        <v>13984.629255048285</v>
      </c>
      <c r="DX21" s="28">
        <v>383.41074495171597</v>
      </c>
      <c r="DY21" s="94"/>
      <c r="EA21" s="5">
        <v>7519.9226089565336</v>
      </c>
      <c r="EB21" s="5">
        <v>4518</v>
      </c>
      <c r="EE21" s="722">
        <v>62614.151481973895</v>
      </c>
      <c r="EG21" s="42" t="s">
        <v>243</v>
      </c>
    </row>
    <row r="22" spans="1:137" x14ac:dyDescent="0.3">
      <c r="A22" s="325">
        <v>150000971</v>
      </c>
      <c r="B22" s="41" t="s">
        <v>474</v>
      </c>
      <c r="C22" s="42" t="s">
        <v>194</v>
      </c>
      <c r="D22" s="27">
        <v>3</v>
      </c>
      <c r="E22" s="709">
        <v>1469.5300000000002</v>
      </c>
      <c r="F22" s="723">
        <v>1132.9000000000001</v>
      </c>
      <c r="G22" s="28"/>
      <c r="H22" s="651">
        <v>336.63</v>
      </c>
      <c r="I22" s="39">
        <v>980.11058656366777</v>
      </c>
      <c r="J22" s="39">
        <v>1050.702171369498</v>
      </c>
      <c r="K22" s="52">
        <v>70.59158480583028</v>
      </c>
      <c r="L22" s="39">
        <v>197.11639363741926</v>
      </c>
      <c r="M22" s="39">
        <v>214.17686969724372</v>
      </c>
      <c r="N22" s="52">
        <v>17.060476059824452</v>
      </c>
      <c r="O22" s="39">
        <v>349.12</v>
      </c>
      <c r="P22" s="39">
        <v>349.12</v>
      </c>
      <c r="Q22" s="52">
        <v>0</v>
      </c>
      <c r="R22" s="39">
        <v>0</v>
      </c>
      <c r="S22" s="39">
        <v>0</v>
      </c>
      <c r="T22" s="52">
        <v>0</v>
      </c>
      <c r="U22" s="39">
        <v>0</v>
      </c>
      <c r="V22" s="39">
        <v>0</v>
      </c>
      <c r="W22" s="52">
        <v>0</v>
      </c>
      <c r="X22" s="39">
        <v>704.04373794736694</v>
      </c>
      <c r="Y22" s="39">
        <v>421.76837930429855</v>
      </c>
      <c r="Z22" s="52">
        <v>-282.27535864306839</v>
      </c>
      <c r="AA22" s="39">
        <v>0</v>
      </c>
      <c r="AB22" s="39">
        <v>0</v>
      </c>
      <c r="AC22" s="52">
        <v>0</v>
      </c>
      <c r="AD22" s="39">
        <v>1047.2437854982186</v>
      </c>
      <c r="AE22" s="39">
        <v>878.75938517046995</v>
      </c>
      <c r="AF22" s="35">
        <v>-168.48440032774863</v>
      </c>
      <c r="AG22" s="77">
        <v>3277.6345036466723</v>
      </c>
      <c r="AH22" s="53">
        <v>2914.5268055415104</v>
      </c>
      <c r="AI22" s="52">
        <v>-363.10769810516194</v>
      </c>
      <c r="AJ22" s="39">
        <v>0</v>
      </c>
      <c r="AK22" s="39">
        <v>0</v>
      </c>
      <c r="AL22" s="52">
        <v>0</v>
      </c>
      <c r="AM22" s="39">
        <v>0</v>
      </c>
      <c r="AN22" s="39">
        <v>0</v>
      </c>
      <c r="AO22" s="52">
        <v>0</v>
      </c>
      <c r="AP22" s="39">
        <v>686.58779109789612</v>
      </c>
      <c r="AQ22" s="39">
        <v>0</v>
      </c>
      <c r="AR22" s="52">
        <v>-686.58779109789612</v>
      </c>
      <c r="AS22" s="39">
        <v>3708.0836556568615</v>
      </c>
      <c r="AT22" s="39">
        <v>391</v>
      </c>
      <c r="AU22" s="54">
        <v>-3317.0836556568615</v>
      </c>
      <c r="AV22" s="39">
        <v>164.42305467854635</v>
      </c>
      <c r="AW22" s="39">
        <v>0</v>
      </c>
      <c r="AX22" s="55">
        <v>-164.42305467854635</v>
      </c>
      <c r="AY22" s="39">
        <v>254.07927931943252</v>
      </c>
      <c r="AZ22" s="39">
        <v>0</v>
      </c>
      <c r="BA22" s="35">
        <v>-254.07927931943252</v>
      </c>
      <c r="BB22" s="39">
        <v>149.22429345480151</v>
      </c>
      <c r="BC22" s="39">
        <v>0</v>
      </c>
      <c r="BD22" s="55">
        <v>-149.22429345480151</v>
      </c>
      <c r="BE22" s="39">
        <v>0</v>
      </c>
      <c r="BF22" s="39">
        <v>0</v>
      </c>
      <c r="BG22" s="38">
        <v>0</v>
      </c>
      <c r="BH22" s="39">
        <v>0</v>
      </c>
      <c r="BI22" s="39">
        <v>0</v>
      </c>
      <c r="BJ22" s="55">
        <v>0</v>
      </c>
      <c r="BK22" s="39">
        <v>87.33759704525356</v>
      </c>
      <c r="BL22" s="39">
        <v>0</v>
      </c>
      <c r="BM22" s="38">
        <v>-87.33759704525356</v>
      </c>
      <c r="BN22" s="39">
        <v>0</v>
      </c>
      <c r="BO22" s="39">
        <v>0</v>
      </c>
      <c r="BP22" s="55">
        <v>0</v>
      </c>
      <c r="BQ22" s="77">
        <v>655.06422449803392</v>
      </c>
      <c r="BR22" s="40">
        <v>0</v>
      </c>
      <c r="BS22" s="55">
        <v>-655.06422449803392</v>
      </c>
      <c r="BT22" s="39">
        <v>2297.3567290374276</v>
      </c>
      <c r="BU22" s="39">
        <v>503.92473157485637</v>
      </c>
      <c r="BV22" s="52">
        <v>-1793.4319974625712</v>
      </c>
      <c r="BW22" s="39">
        <v>2251.4238286090226</v>
      </c>
      <c r="BX22" s="39">
        <v>3235.9265933043052</v>
      </c>
      <c r="BY22" s="52">
        <v>984.50276469528262</v>
      </c>
      <c r="BZ22" s="39">
        <v>817.64122088344482</v>
      </c>
      <c r="CA22" s="39">
        <v>2455.676808793562</v>
      </c>
      <c r="CB22" s="52">
        <v>1638.0355879101171</v>
      </c>
      <c r="CC22" s="39">
        <v>327.95778042608794</v>
      </c>
      <c r="CD22" s="39">
        <v>323.55392516627069</v>
      </c>
      <c r="CE22" s="52">
        <v>-4.4038552598172487</v>
      </c>
      <c r="CF22" s="39">
        <v>40.373590393363102</v>
      </c>
      <c r="CG22" s="39">
        <v>0</v>
      </c>
      <c r="CH22" s="52">
        <v>-40.373590393363102</v>
      </c>
      <c r="CI22" s="39">
        <v>586.48245555202027</v>
      </c>
      <c r="CJ22" s="39">
        <v>762.04439075795926</v>
      </c>
      <c r="CK22" s="52">
        <v>175.56193520593899</v>
      </c>
      <c r="CL22" s="39">
        <v>0</v>
      </c>
      <c r="CM22" s="39">
        <v>0</v>
      </c>
      <c r="CN22" s="52">
        <v>0</v>
      </c>
      <c r="CO22" s="39">
        <v>586.48245555202027</v>
      </c>
      <c r="CP22" s="40">
        <v>762.04439075795926</v>
      </c>
      <c r="CQ22" s="52">
        <v>175.56193520593899</v>
      </c>
      <c r="CR22" s="72">
        <v>14648.60577980083</v>
      </c>
      <c r="CS22" s="5">
        <v>10586.653255138463</v>
      </c>
      <c r="CT22" s="52">
        <v>-4061.9525246623671</v>
      </c>
      <c r="CU22" s="77">
        <v>17578.326935760993</v>
      </c>
      <c r="CV22" s="65">
        <v>12703.983906166155</v>
      </c>
      <c r="CW22" s="35">
        <v>-4874.3430295948383</v>
      </c>
      <c r="CX22" s="39">
        <v>263.67490403641489</v>
      </c>
      <c r="CY22" s="39">
        <v>5138.0179336312522</v>
      </c>
      <c r="CZ22" s="52">
        <v>4874.3430295948374</v>
      </c>
      <c r="DA22" s="150">
        <v>-10376.592830150377</v>
      </c>
      <c r="DB22" s="2">
        <v>2</v>
      </c>
      <c r="DC22" s="713">
        <v>11867.93</v>
      </c>
      <c r="DD22" s="714">
        <v>11615.619999999999</v>
      </c>
      <c r="DE22" s="715">
        <v>4676.4054340239009</v>
      </c>
      <c r="DF22" s="716">
        <v>9886.1436460773948</v>
      </c>
      <c r="DG22" s="717">
        <v>11272.948186680871</v>
      </c>
      <c r="DH22" s="718">
        <v>83798.431661224633</v>
      </c>
      <c r="DI22" s="718">
        <v>214104.02207756892</v>
      </c>
      <c r="DJ22" s="693">
        <v>181527.62447348284</v>
      </c>
      <c r="DK22" s="724"/>
      <c r="DL22" s="5"/>
      <c r="DM22" s="306">
        <v>6.3478899867385463</v>
      </c>
      <c r="DN22" s="306"/>
      <c r="DO22" s="306">
        <v>5.1376180195544219</v>
      </c>
      <c r="DP22" s="719">
        <v>7191.5245659760994</v>
      </c>
      <c r="DQ22" s="720">
        <v>1729.4763539226051</v>
      </c>
      <c r="DR22" s="650">
        <v>8921.0009198987045</v>
      </c>
      <c r="DS22" s="94">
        <v>8921.0009198987045</v>
      </c>
      <c r="DT22" s="719">
        <v>7191.52</v>
      </c>
      <c r="DU22" s="725">
        <v>1727.4199999999998</v>
      </c>
      <c r="DV22" s="93">
        <v>8918.94</v>
      </c>
      <c r="DW22" s="95">
        <v>8947.3684103023461</v>
      </c>
      <c r="DX22" s="28">
        <v>-28.428410302345583</v>
      </c>
      <c r="EA22" s="5">
        <v>5235.7774561858741</v>
      </c>
      <c r="EB22" s="5">
        <v>469.2</v>
      </c>
      <c r="EE22" s="722">
        <v>44497.00386788234</v>
      </c>
      <c r="EG22" s="42" t="s">
        <v>194</v>
      </c>
    </row>
    <row r="23" spans="1:137" x14ac:dyDescent="0.3">
      <c r="A23" s="325">
        <v>150000991</v>
      </c>
      <c r="B23" s="41" t="s">
        <v>475</v>
      </c>
      <c r="C23" s="42" t="s">
        <v>342</v>
      </c>
      <c r="D23" s="27">
        <v>9</v>
      </c>
      <c r="E23" s="709">
        <v>4082.7</v>
      </c>
      <c r="F23" s="723">
        <v>4082.7</v>
      </c>
      <c r="G23" s="28">
        <v>442.1</v>
      </c>
      <c r="H23" s="651">
        <v>0</v>
      </c>
      <c r="I23" s="39">
        <v>1986.8518445396794</v>
      </c>
      <c r="J23" s="39">
        <v>1870.6874986270636</v>
      </c>
      <c r="K23" s="52">
        <v>-116.16434591261577</v>
      </c>
      <c r="L23" s="39">
        <v>306.30279651169889</v>
      </c>
      <c r="M23" s="39">
        <v>265.07300710697484</v>
      </c>
      <c r="N23" s="52">
        <v>-41.229789404724045</v>
      </c>
      <c r="O23" s="39">
        <v>612.38</v>
      </c>
      <c r="P23" s="39">
        <v>612.58000000000004</v>
      </c>
      <c r="Q23" s="52">
        <v>0.20000000000004547</v>
      </c>
      <c r="R23" s="39">
        <v>142.96</v>
      </c>
      <c r="S23" s="39">
        <v>142.78</v>
      </c>
      <c r="T23" s="52">
        <v>-0.18000000000000682</v>
      </c>
      <c r="U23" s="39">
        <v>130.00964065633656</v>
      </c>
      <c r="V23" s="39">
        <v>77.047110649179317</v>
      </c>
      <c r="W23" s="52">
        <v>-52.962530007157241</v>
      </c>
      <c r="X23" s="39">
        <v>1250.523613259714</v>
      </c>
      <c r="Y23" s="39">
        <v>898.16931128090573</v>
      </c>
      <c r="Z23" s="52">
        <v>-352.35430197880828</v>
      </c>
      <c r="AA23" s="39">
        <v>0</v>
      </c>
      <c r="AB23" s="39">
        <v>0</v>
      </c>
      <c r="AC23" s="52">
        <v>0</v>
      </c>
      <c r="AD23" s="39">
        <v>2909.4895667686783</v>
      </c>
      <c r="AE23" s="39">
        <v>2441.4002720839162</v>
      </c>
      <c r="AF23" s="35">
        <v>-468.08929468476208</v>
      </c>
      <c r="AG23" s="77">
        <v>7338.5174617361081</v>
      </c>
      <c r="AH23" s="53">
        <v>6307.7371997480395</v>
      </c>
      <c r="AI23" s="52">
        <v>-1030.7802619880686</v>
      </c>
      <c r="AJ23" s="39">
        <v>6098.459378714083</v>
      </c>
      <c r="AK23" s="39">
        <v>5914.7627246695065</v>
      </c>
      <c r="AL23" s="52">
        <v>-183.69665404457646</v>
      </c>
      <c r="AM23" s="39">
        <v>0</v>
      </c>
      <c r="AN23" s="39">
        <v>0</v>
      </c>
      <c r="AO23" s="52">
        <v>0</v>
      </c>
      <c r="AP23" s="39">
        <v>426.15793930214238</v>
      </c>
      <c r="AQ23" s="39">
        <v>0</v>
      </c>
      <c r="AR23" s="52">
        <v>-426.15793930214238</v>
      </c>
      <c r="AS23" s="39">
        <v>12832.580826908254</v>
      </c>
      <c r="AT23" s="39">
        <v>5486</v>
      </c>
      <c r="AU23" s="54">
        <v>-7346.5808269082536</v>
      </c>
      <c r="AV23" s="39">
        <v>177.51800880001062</v>
      </c>
      <c r="AW23" s="39">
        <v>0</v>
      </c>
      <c r="AX23" s="55">
        <v>-177.51800880001062</v>
      </c>
      <c r="AY23" s="39">
        <v>200.43331245737406</v>
      </c>
      <c r="AZ23" s="39">
        <v>0</v>
      </c>
      <c r="BA23" s="35">
        <v>-200.43331245737406</v>
      </c>
      <c r="BB23" s="39">
        <v>170.68014774308622</v>
      </c>
      <c r="BC23" s="39">
        <v>0</v>
      </c>
      <c r="BD23" s="55">
        <v>-170.68014774308622</v>
      </c>
      <c r="BE23" s="39">
        <v>101.1739894233076</v>
      </c>
      <c r="BF23" s="39">
        <v>0</v>
      </c>
      <c r="BG23" s="38">
        <v>-101.1739894233076</v>
      </c>
      <c r="BH23" s="39">
        <v>65.961235315382794</v>
      </c>
      <c r="BI23" s="39">
        <v>0</v>
      </c>
      <c r="BJ23" s="55">
        <v>-65.961235315382794</v>
      </c>
      <c r="BK23" s="39">
        <v>208.54056051817184</v>
      </c>
      <c r="BL23" s="39">
        <v>0</v>
      </c>
      <c r="BM23" s="38">
        <v>-208.54056051817184</v>
      </c>
      <c r="BN23" s="39">
        <v>0</v>
      </c>
      <c r="BO23" s="39">
        <v>0</v>
      </c>
      <c r="BP23" s="55">
        <v>0</v>
      </c>
      <c r="BQ23" s="77">
        <v>924.30725425733317</v>
      </c>
      <c r="BR23" s="40">
        <v>0</v>
      </c>
      <c r="BS23" s="55">
        <v>-924.30725425733317</v>
      </c>
      <c r="BT23" s="39">
        <v>9261.253440929102</v>
      </c>
      <c r="BU23" s="39">
        <v>1164.3151752454403</v>
      </c>
      <c r="BV23" s="52">
        <v>-8096.9382656836615</v>
      </c>
      <c r="BW23" s="39">
        <v>4004.0829469997734</v>
      </c>
      <c r="BX23" s="39">
        <v>4817.5819688059364</v>
      </c>
      <c r="BY23" s="52">
        <v>813.499021806163</v>
      </c>
      <c r="BZ23" s="39">
        <v>864.93761305377711</v>
      </c>
      <c r="CA23" s="39">
        <v>5755.360976336111</v>
      </c>
      <c r="CB23" s="52">
        <v>4890.4233632823343</v>
      </c>
      <c r="CC23" s="39">
        <v>299.03474747371246</v>
      </c>
      <c r="CD23" s="39">
        <v>295.01927406790008</v>
      </c>
      <c r="CE23" s="52">
        <v>-4.0154734058123722</v>
      </c>
      <c r="CF23" s="39">
        <v>36.812989745816871</v>
      </c>
      <c r="CG23" s="39">
        <v>0</v>
      </c>
      <c r="CH23" s="52">
        <v>-36.812989745816871</v>
      </c>
      <c r="CI23" s="39">
        <v>1591.9255163201908</v>
      </c>
      <c r="CJ23" s="39">
        <v>2307.8641705647142</v>
      </c>
      <c r="CK23" s="52">
        <v>715.93865424452338</v>
      </c>
      <c r="CL23" s="39">
        <v>1977.8184937233023</v>
      </c>
      <c r="CM23" s="39">
        <v>3585.3629307308984</v>
      </c>
      <c r="CN23" s="52">
        <v>1607.5444370075961</v>
      </c>
      <c r="CO23" s="39">
        <v>3569.7440100434933</v>
      </c>
      <c r="CP23" s="40">
        <v>5893.2271012956126</v>
      </c>
      <c r="CQ23" s="52">
        <v>2323.4830912521193</v>
      </c>
      <c r="CR23" s="72">
        <v>45655.888609163601</v>
      </c>
      <c r="CS23" s="5">
        <v>35634.004420168545</v>
      </c>
      <c r="CT23" s="52">
        <v>-10021.884188995056</v>
      </c>
      <c r="CU23" s="77">
        <v>54787.06633099632</v>
      </c>
      <c r="CV23" s="65">
        <v>42760.805304202251</v>
      </c>
      <c r="CW23" s="35">
        <v>-12026.261026794069</v>
      </c>
      <c r="CX23" s="39">
        <v>438.29653064797049</v>
      </c>
      <c r="CY23" s="39">
        <v>12464.557557442036</v>
      </c>
      <c r="CZ23" s="52">
        <v>12026.261026794065</v>
      </c>
      <c r="DA23" s="150">
        <v>-89436.801087149157</v>
      </c>
      <c r="DB23" s="2">
        <v>3</v>
      </c>
      <c r="DC23" s="713">
        <v>50944.82</v>
      </c>
      <c r="DD23" s="714"/>
      <c r="DE23" s="715">
        <v>23332.138569177863</v>
      </c>
      <c r="DF23" s="716">
        <v>0</v>
      </c>
      <c r="DG23" s="717">
        <v>6346.1492217753585</v>
      </c>
      <c r="DH23" s="718">
        <v>236397.05525061098</v>
      </c>
      <c r="DI23" s="718">
        <v>662704.35433973139</v>
      </c>
      <c r="DJ23" s="693">
        <v>556127.52956745133</v>
      </c>
      <c r="DK23" s="724"/>
      <c r="DL23" s="5"/>
      <c r="DM23" s="306">
        <v>5.5669406455463317</v>
      </c>
      <c r="DN23" s="306">
        <v>6.9086241200423295</v>
      </c>
      <c r="DO23" s="306">
        <v>4.9320505683068916</v>
      </c>
      <c r="DP23" s="719">
        <v>27612.681430822136</v>
      </c>
      <c r="DQ23" s="720">
        <v>0</v>
      </c>
      <c r="DR23" s="650">
        <v>27612.681430822136</v>
      </c>
      <c r="DS23" s="94">
        <v>27612.681430822151</v>
      </c>
      <c r="DT23" s="719">
        <v>27602.22</v>
      </c>
      <c r="DU23" s="721"/>
      <c r="DV23" s="93">
        <v>27602.22</v>
      </c>
      <c r="DW23" s="95">
        <v>27656.511083886937</v>
      </c>
      <c r="DX23" s="28">
        <v>-54.291083886935667</v>
      </c>
      <c r="EA23" s="5">
        <v>16508.265697398703</v>
      </c>
      <c r="EB23" s="5">
        <v>6583.2</v>
      </c>
      <c r="EE23" s="722">
        <v>153990.96992289904</v>
      </c>
      <c r="EG23" s="42" t="s">
        <v>342</v>
      </c>
    </row>
    <row r="24" spans="1:137" x14ac:dyDescent="0.3">
      <c r="A24" s="325">
        <v>150000992</v>
      </c>
      <c r="B24" s="41" t="s">
        <v>476</v>
      </c>
      <c r="C24" s="42" t="s">
        <v>40</v>
      </c>
      <c r="D24" s="27">
        <v>1</v>
      </c>
      <c r="E24" s="709">
        <v>263.39999999999998</v>
      </c>
      <c r="F24" s="723">
        <v>263.39999999999998</v>
      </c>
      <c r="G24" s="28"/>
      <c r="H24" s="651">
        <v>0</v>
      </c>
      <c r="I24" s="39">
        <v>0</v>
      </c>
      <c r="J24" s="39">
        <v>0</v>
      </c>
      <c r="K24" s="52">
        <v>0</v>
      </c>
      <c r="L24" s="39">
        <v>0</v>
      </c>
      <c r="M24" s="39">
        <v>0</v>
      </c>
      <c r="N24" s="52">
        <v>0</v>
      </c>
      <c r="O24" s="39">
        <v>0</v>
      </c>
      <c r="P24" s="39">
        <v>0</v>
      </c>
      <c r="Q24" s="52">
        <v>0</v>
      </c>
      <c r="R24" s="39">
        <v>0</v>
      </c>
      <c r="S24" s="39">
        <v>0</v>
      </c>
      <c r="T24" s="52">
        <v>0</v>
      </c>
      <c r="U24" s="39">
        <v>0</v>
      </c>
      <c r="V24" s="39">
        <v>0</v>
      </c>
      <c r="W24" s="52">
        <v>0</v>
      </c>
      <c r="X24" s="39">
        <v>0</v>
      </c>
      <c r="Y24" s="39">
        <v>0</v>
      </c>
      <c r="Z24" s="52">
        <v>0</v>
      </c>
      <c r="AA24" s="39">
        <v>0</v>
      </c>
      <c r="AB24" s="39">
        <v>0</v>
      </c>
      <c r="AC24" s="52">
        <v>0</v>
      </c>
      <c r="AD24" s="39">
        <v>0</v>
      </c>
      <c r="AE24" s="39">
        <v>157.50969497315589</v>
      </c>
      <c r="AF24" s="35">
        <v>157.50969497315589</v>
      </c>
      <c r="AG24" s="77">
        <v>0</v>
      </c>
      <c r="AH24" s="53">
        <v>157.50969497315589</v>
      </c>
      <c r="AI24" s="52">
        <v>157.50969497315589</v>
      </c>
      <c r="AJ24" s="39">
        <v>0</v>
      </c>
      <c r="AK24" s="39">
        <v>0</v>
      </c>
      <c r="AL24" s="52">
        <v>0</v>
      </c>
      <c r="AM24" s="39">
        <v>0</v>
      </c>
      <c r="AN24" s="39">
        <v>0</v>
      </c>
      <c r="AO24" s="52">
        <v>0</v>
      </c>
      <c r="AP24" s="39">
        <v>78.91813690780414</v>
      </c>
      <c r="AQ24" s="39">
        <v>0</v>
      </c>
      <c r="AR24" s="52">
        <v>-78.91813690780414</v>
      </c>
      <c r="AS24" s="39">
        <v>510.56207864335602</v>
      </c>
      <c r="AT24" s="39">
        <v>0</v>
      </c>
      <c r="AU24" s="54">
        <v>-510.56207864335602</v>
      </c>
      <c r="AV24" s="39">
        <v>0</v>
      </c>
      <c r="AW24" s="39">
        <v>0</v>
      </c>
      <c r="AX24" s="55">
        <v>0</v>
      </c>
      <c r="AY24" s="39">
        <v>0</v>
      </c>
      <c r="AZ24" s="39">
        <v>0</v>
      </c>
      <c r="BA24" s="35">
        <v>0</v>
      </c>
      <c r="BB24" s="39">
        <v>0</v>
      </c>
      <c r="BC24" s="39">
        <v>0</v>
      </c>
      <c r="BD24" s="55">
        <v>0</v>
      </c>
      <c r="BE24" s="39">
        <v>0</v>
      </c>
      <c r="BF24" s="39">
        <v>0</v>
      </c>
      <c r="BG24" s="38">
        <v>0</v>
      </c>
      <c r="BH24" s="39">
        <v>0</v>
      </c>
      <c r="BI24" s="39">
        <v>0</v>
      </c>
      <c r="BJ24" s="55">
        <v>0</v>
      </c>
      <c r="BK24" s="39">
        <v>0</v>
      </c>
      <c r="BL24" s="39">
        <v>0</v>
      </c>
      <c r="BM24" s="38">
        <v>0</v>
      </c>
      <c r="BN24" s="39">
        <v>0</v>
      </c>
      <c r="BO24" s="39">
        <v>0</v>
      </c>
      <c r="BP24" s="55">
        <v>0</v>
      </c>
      <c r="BQ24" s="77">
        <v>0</v>
      </c>
      <c r="BR24" s="40">
        <v>0</v>
      </c>
      <c r="BS24" s="55">
        <v>0</v>
      </c>
      <c r="BT24" s="39">
        <v>27.914845879897086</v>
      </c>
      <c r="BU24" s="39">
        <v>12.62934364929138</v>
      </c>
      <c r="BV24" s="52">
        <v>-15.285502230605706</v>
      </c>
      <c r="BW24" s="39">
        <v>0</v>
      </c>
      <c r="BX24" s="39">
        <v>1.066219659560131</v>
      </c>
      <c r="BY24" s="52">
        <v>1.066219659560131</v>
      </c>
      <c r="BZ24" s="39">
        <v>0</v>
      </c>
      <c r="CA24" s="39">
        <v>45.312881811849245</v>
      </c>
      <c r="CB24" s="52">
        <v>45.312881811849245</v>
      </c>
      <c r="CC24" s="39">
        <v>0</v>
      </c>
      <c r="CD24" s="39">
        <v>0</v>
      </c>
      <c r="CE24" s="52">
        <v>0</v>
      </c>
      <c r="CF24" s="39">
        <v>0</v>
      </c>
      <c r="CG24" s="39">
        <v>0</v>
      </c>
      <c r="CH24" s="52">
        <v>0</v>
      </c>
      <c r="CI24" s="39">
        <v>0</v>
      </c>
      <c r="CJ24" s="39">
        <v>0</v>
      </c>
      <c r="CK24" s="52">
        <v>0</v>
      </c>
      <c r="CL24" s="39">
        <v>0</v>
      </c>
      <c r="CM24" s="39">
        <v>0</v>
      </c>
      <c r="CN24" s="52">
        <v>0</v>
      </c>
      <c r="CO24" s="39">
        <v>0</v>
      </c>
      <c r="CP24" s="40">
        <v>0</v>
      </c>
      <c r="CQ24" s="52">
        <v>0</v>
      </c>
      <c r="CR24" s="72">
        <v>617.39506143105723</v>
      </c>
      <c r="CS24" s="5">
        <v>216.51814009385663</v>
      </c>
      <c r="CT24" s="52">
        <v>-400.8769213372006</v>
      </c>
      <c r="CU24" s="77">
        <v>740.87407371726863</v>
      </c>
      <c r="CV24" s="65">
        <v>259.82176811262792</v>
      </c>
      <c r="CW24" s="35">
        <v>-481.05230560464071</v>
      </c>
      <c r="CX24" s="39">
        <v>18.521851842931717</v>
      </c>
      <c r="CY24" s="39">
        <v>499.57415744757242</v>
      </c>
      <c r="CZ24" s="52">
        <v>481.05230560464071</v>
      </c>
      <c r="DA24" s="150">
        <v>-3640.7932793948271</v>
      </c>
      <c r="DB24" s="2">
        <v>3</v>
      </c>
      <c r="DC24" s="713">
        <v>1600.99</v>
      </c>
      <c r="DD24" s="714"/>
      <c r="DE24" s="715">
        <v>1221.2920372198998</v>
      </c>
      <c r="DF24" s="716">
        <v>0</v>
      </c>
      <c r="DG24" s="717">
        <v>-2907.9407554146833</v>
      </c>
      <c r="DH24" s="718">
        <v>3745.6140305324875</v>
      </c>
      <c r="DI24" s="718">
        <v>9112.7511067224041</v>
      </c>
      <c r="DJ24" s="693">
        <v>7770.9668376749241</v>
      </c>
      <c r="DK24" s="724"/>
      <c r="DL24" s="5"/>
      <c r="DM24" s="306">
        <v>1.4415260545941542</v>
      </c>
      <c r="DN24" s="306"/>
      <c r="DO24" s="306">
        <v>1.4415260545941542</v>
      </c>
      <c r="DP24" s="719">
        <v>379.69796278010017</v>
      </c>
      <c r="DQ24" s="720">
        <v>0</v>
      </c>
      <c r="DR24" s="650">
        <v>379.69796278010017</v>
      </c>
      <c r="DS24" s="94">
        <v>379.69796278010017</v>
      </c>
      <c r="DT24" s="719">
        <v>379.69</v>
      </c>
      <c r="DU24" s="721"/>
      <c r="DV24" s="93">
        <v>379.69</v>
      </c>
      <c r="DW24" s="95">
        <v>381.55014796439337</v>
      </c>
      <c r="DX24" s="28">
        <v>-1.8601479643933772</v>
      </c>
      <c r="EA24" s="5">
        <v>612.6744943720272</v>
      </c>
      <c r="EB24" s="5">
        <v>0</v>
      </c>
      <c r="EE24" s="722">
        <v>6126.7449437202722</v>
      </c>
      <c r="EG24" s="42" t="s">
        <v>40</v>
      </c>
    </row>
    <row r="25" spans="1:137" x14ac:dyDescent="0.3">
      <c r="A25" s="325">
        <v>150000999</v>
      </c>
      <c r="B25" s="41" t="s">
        <v>477</v>
      </c>
      <c r="C25" s="42" t="s">
        <v>41</v>
      </c>
      <c r="D25" s="27">
        <v>1</v>
      </c>
      <c r="E25" s="709">
        <v>298.60000000000002</v>
      </c>
      <c r="F25" s="723">
        <v>298.60000000000002</v>
      </c>
      <c r="G25" s="28"/>
      <c r="H25" s="651">
        <v>0</v>
      </c>
      <c r="I25" s="39">
        <v>0</v>
      </c>
      <c r="J25" s="39">
        <v>0</v>
      </c>
      <c r="K25" s="52">
        <v>0</v>
      </c>
      <c r="L25" s="39">
        <v>0</v>
      </c>
      <c r="M25" s="39">
        <v>0</v>
      </c>
      <c r="N25" s="52">
        <v>0</v>
      </c>
      <c r="O25" s="39">
        <v>0</v>
      </c>
      <c r="P25" s="39">
        <v>0</v>
      </c>
      <c r="Q25" s="52">
        <v>0</v>
      </c>
      <c r="R25" s="39">
        <v>0</v>
      </c>
      <c r="S25" s="39">
        <v>0</v>
      </c>
      <c r="T25" s="52">
        <v>0</v>
      </c>
      <c r="U25" s="39">
        <v>0</v>
      </c>
      <c r="V25" s="39">
        <v>0</v>
      </c>
      <c r="W25" s="52">
        <v>0</v>
      </c>
      <c r="X25" s="39">
        <v>0</v>
      </c>
      <c r="Y25" s="39">
        <v>0</v>
      </c>
      <c r="Z25" s="52">
        <v>0</v>
      </c>
      <c r="AA25" s="39">
        <v>0</v>
      </c>
      <c r="AB25" s="39">
        <v>0</v>
      </c>
      <c r="AC25" s="52">
        <v>0</v>
      </c>
      <c r="AD25" s="39">
        <v>0</v>
      </c>
      <c r="AE25" s="39">
        <v>178.55882657169457</v>
      </c>
      <c r="AF25" s="35">
        <v>178.55882657169457</v>
      </c>
      <c r="AG25" s="77">
        <v>0</v>
      </c>
      <c r="AH25" s="53">
        <v>178.55882657169457</v>
      </c>
      <c r="AI25" s="52">
        <v>178.55882657169457</v>
      </c>
      <c r="AJ25" s="39">
        <v>0</v>
      </c>
      <c r="AK25" s="39">
        <v>0</v>
      </c>
      <c r="AL25" s="52">
        <v>0</v>
      </c>
      <c r="AM25" s="39">
        <v>0</v>
      </c>
      <c r="AN25" s="39">
        <v>0</v>
      </c>
      <c r="AO25" s="52">
        <v>0</v>
      </c>
      <c r="AP25" s="39">
        <v>78.91813690780414</v>
      </c>
      <c r="AQ25" s="39">
        <v>0</v>
      </c>
      <c r="AR25" s="52">
        <v>-78.91813690780414</v>
      </c>
      <c r="AS25" s="39">
        <v>574.69669133791456</v>
      </c>
      <c r="AT25" s="39">
        <v>0</v>
      </c>
      <c r="AU25" s="54">
        <v>-574.69669133791456</v>
      </c>
      <c r="AV25" s="39">
        <v>0</v>
      </c>
      <c r="AW25" s="39">
        <v>0</v>
      </c>
      <c r="AX25" s="55">
        <v>0</v>
      </c>
      <c r="AY25" s="39">
        <v>0</v>
      </c>
      <c r="AZ25" s="39">
        <v>0</v>
      </c>
      <c r="BA25" s="35">
        <v>0</v>
      </c>
      <c r="BB25" s="39">
        <v>0</v>
      </c>
      <c r="BC25" s="39">
        <v>0</v>
      </c>
      <c r="BD25" s="55">
        <v>0</v>
      </c>
      <c r="BE25" s="39">
        <v>0</v>
      </c>
      <c r="BF25" s="39">
        <v>0</v>
      </c>
      <c r="BG25" s="38">
        <v>0</v>
      </c>
      <c r="BH25" s="39">
        <v>0</v>
      </c>
      <c r="BI25" s="39">
        <v>0</v>
      </c>
      <c r="BJ25" s="55">
        <v>0</v>
      </c>
      <c r="BK25" s="39">
        <v>0</v>
      </c>
      <c r="BL25" s="39">
        <v>0</v>
      </c>
      <c r="BM25" s="38">
        <v>0</v>
      </c>
      <c r="BN25" s="39">
        <v>0</v>
      </c>
      <c r="BO25" s="39">
        <v>0</v>
      </c>
      <c r="BP25" s="55">
        <v>0</v>
      </c>
      <c r="BQ25" s="77">
        <v>0</v>
      </c>
      <c r="BR25" s="40">
        <v>0</v>
      </c>
      <c r="BS25" s="55">
        <v>0</v>
      </c>
      <c r="BT25" s="39">
        <v>35.890516131296266</v>
      </c>
      <c r="BU25" s="39">
        <v>16.230357483934103</v>
      </c>
      <c r="BV25" s="52">
        <v>-19.660158647362163</v>
      </c>
      <c r="BW25" s="39">
        <v>0</v>
      </c>
      <c r="BX25" s="39">
        <v>1.2087061136850994</v>
      </c>
      <c r="BY25" s="52">
        <v>1.2087061136850994</v>
      </c>
      <c r="BZ25" s="39">
        <v>0</v>
      </c>
      <c r="CA25" s="39">
        <v>58.232298079688945</v>
      </c>
      <c r="CB25" s="52">
        <v>58.232298079688945</v>
      </c>
      <c r="CC25" s="39">
        <v>0</v>
      </c>
      <c r="CD25" s="39">
        <v>0</v>
      </c>
      <c r="CE25" s="52">
        <v>0</v>
      </c>
      <c r="CF25" s="39">
        <v>0</v>
      </c>
      <c r="CG25" s="39">
        <v>0</v>
      </c>
      <c r="CH25" s="52">
        <v>0</v>
      </c>
      <c r="CI25" s="39">
        <v>0</v>
      </c>
      <c r="CJ25" s="39">
        <v>0</v>
      </c>
      <c r="CK25" s="52">
        <v>0</v>
      </c>
      <c r="CL25" s="39">
        <v>0</v>
      </c>
      <c r="CM25" s="39">
        <v>0</v>
      </c>
      <c r="CN25" s="52">
        <v>0</v>
      </c>
      <c r="CO25" s="39">
        <v>0</v>
      </c>
      <c r="CP25" s="40">
        <v>0</v>
      </c>
      <c r="CQ25" s="52">
        <v>0</v>
      </c>
      <c r="CR25" s="72">
        <v>689.50534437701504</v>
      </c>
      <c r="CS25" s="5">
        <v>254.23018824900274</v>
      </c>
      <c r="CT25" s="52">
        <v>-435.27515612801233</v>
      </c>
      <c r="CU25" s="77">
        <v>827.40641325241802</v>
      </c>
      <c r="CV25" s="65">
        <v>305.07622589880327</v>
      </c>
      <c r="CW25" s="35">
        <v>-522.33018735361475</v>
      </c>
      <c r="CX25" s="39">
        <v>12.41109619878627</v>
      </c>
      <c r="CY25" s="39">
        <v>534.741283552401</v>
      </c>
      <c r="CZ25" s="52">
        <v>522.33018735361475</v>
      </c>
      <c r="DA25" s="150">
        <v>-4344.4359562502177</v>
      </c>
      <c r="DB25" s="2">
        <v>3</v>
      </c>
      <c r="DC25" s="713">
        <v>684.65</v>
      </c>
      <c r="DD25" s="714"/>
      <c r="DE25" s="715">
        <v>264.74124527439784</v>
      </c>
      <c r="DF25" s="716">
        <v>0</v>
      </c>
      <c r="DG25" s="717">
        <v>-2267.7228341369082</v>
      </c>
      <c r="DH25" s="718">
        <v>4027.5022169657782</v>
      </c>
      <c r="DI25" s="718">
        <v>10077.810113414451</v>
      </c>
      <c r="DJ25" s="693">
        <v>8565.2331393022832</v>
      </c>
      <c r="DK25" s="724"/>
      <c r="DL25" s="5"/>
      <c r="DM25" s="306">
        <v>1.4062583882304156</v>
      </c>
      <c r="DN25" s="306"/>
      <c r="DO25" s="306">
        <v>1.4062583882304156</v>
      </c>
      <c r="DP25" s="719">
        <v>419.90875472560214</v>
      </c>
      <c r="DQ25" s="720">
        <v>0</v>
      </c>
      <c r="DR25" s="650">
        <v>419.90875472560214</v>
      </c>
      <c r="DS25" s="94">
        <v>419.90875472560214</v>
      </c>
      <c r="DT25" s="719">
        <v>419.92</v>
      </c>
      <c r="DU25" s="721"/>
      <c r="DV25" s="93">
        <v>419.92</v>
      </c>
      <c r="DW25" s="95">
        <v>421.14986434548075</v>
      </c>
      <c r="DX25" s="28">
        <v>-1.2298643454807348</v>
      </c>
      <c r="EA25" s="5">
        <v>689.63602960549747</v>
      </c>
      <c r="EB25" s="5">
        <v>0</v>
      </c>
      <c r="EE25" s="722">
        <v>6896.3602960549742</v>
      </c>
      <c r="EG25" s="42" t="s">
        <v>41</v>
      </c>
    </row>
    <row r="26" spans="1:137" x14ac:dyDescent="0.3">
      <c r="A26" s="325">
        <v>150000993</v>
      </c>
      <c r="B26" s="41" t="s">
        <v>478</v>
      </c>
      <c r="C26" s="42" t="s">
        <v>42</v>
      </c>
      <c r="D26" s="27">
        <v>1</v>
      </c>
      <c r="E26" s="709">
        <v>298.39999999999998</v>
      </c>
      <c r="F26" s="723">
        <v>298.39999999999998</v>
      </c>
      <c r="G26" s="28"/>
      <c r="H26" s="651">
        <v>0</v>
      </c>
      <c r="I26" s="39">
        <v>0</v>
      </c>
      <c r="J26" s="39">
        <v>0</v>
      </c>
      <c r="K26" s="52">
        <v>0</v>
      </c>
      <c r="L26" s="39">
        <v>0</v>
      </c>
      <c r="M26" s="39">
        <v>0</v>
      </c>
      <c r="N26" s="52">
        <v>0</v>
      </c>
      <c r="O26" s="39">
        <v>0</v>
      </c>
      <c r="P26" s="39">
        <v>0</v>
      </c>
      <c r="Q26" s="52">
        <v>0</v>
      </c>
      <c r="R26" s="39">
        <v>0</v>
      </c>
      <c r="S26" s="39">
        <v>0</v>
      </c>
      <c r="T26" s="52">
        <v>0</v>
      </c>
      <c r="U26" s="39">
        <v>0</v>
      </c>
      <c r="V26" s="39">
        <v>0</v>
      </c>
      <c r="W26" s="52">
        <v>0</v>
      </c>
      <c r="X26" s="39">
        <v>0</v>
      </c>
      <c r="Y26" s="39">
        <v>0</v>
      </c>
      <c r="Z26" s="52">
        <v>0</v>
      </c>
      <c r="AA26" s="39">
        <v>0</v>
      </c>
      <c r="AB26" s="39">
        <v>0</v>
      </c>
      <c r="AC26" s="52">
        <v>0</v>
      </c>
      <c r="AD26" s="39">
        <v>0</v>
      </c>
      <c r="AE26" s="39">
        <v>178.4392292330665</v>
      </c>
      <c r="AF26" s="35">
        <v>178.4392292330665</v>
      </c>
      <c r="AG26" s="77">
        <v>0</v>
      </c>
      <c r="AH26" s="53">
        <v>178.4392292330665</v>
      </c>
      <c r="AI26" s="52">
        <v>178.4392292330665</v>
      </c>
      <c r="AJ26" s="39">
        <v>0</v>
      </c>
      <c r="AK26" s="39">
        <v>0</v>
      </c>
      <c r="AL26" s="52">
        <v>0</v>
      </c>
      <c r="AM26" s="39">
        <v>0</v>
      </c>
      <c r="AN26" s="39">
        <v>0</v>
      </c>
      <c r="AO26" s="52">
        <v>0</v>
      </c>
      <c r="AP26" s="39">
        <v>94.701764289364974</v>
      </c>
      <c r="AQ26" s="39">
        <v>0</v>
      </c>
      <c r="AR26" s="52">
        <v>-94.701764289364974</v>
      </c>
      <c r="AS26" s="39">
        <v>570.43433432923587</v>
      </c>
      <c r="AT26" s="39">
        <v>0</v>
      </c>
      <c r="AU26" s="54">
        <v>-570.43433432923587</v>
      </c>
      <c r="AV26" s="39">
        <v>0</v>
      </c>
      <c r="AW26" s="39">
        <v>0</v>
      </c>
      <c r="AX26" s="55">
        <v>0</v>
      </c>
      <c r="AY26" s="39">
        <v>0</v>
      </c>
      <c r="AZ26" s="39">
        <v>0</v>
      </c>
      <c r="BA26" s="35">
        <v>0</v>
      </c>
      <c r="BB26" s="39">
        <v>0</v>
      </c>
      <c r="BC26" s="39">
        <v>0</v>
      </c>
      <c r="BD26" s="55">
        <v>0</v>
      </c>
      <c r="BE26" s="39">
        <v>0</v>
      </c>
      <c r="BF26" s="39">
        <v>0</v>
      </c>
      <c r="BG26" s="38">
        <v>0</v>
      </c>
      <c r="BH26" s="39">
        <v>0</v>
      </c>
      <c r="BI26" s="39">
        <v>0</v>
      </c>
      <c r="BJ26" s="55">
        <v>0</v>
      </c>
      <c r="BK26" s="39">
        <v>0</v>
      </c>
      <c r="BL26" s="39">
        <v>0</v>
      </c>
      <c r="BM26" s="38">
        <v>0</v>
      </c>
      <c r="BN26" s="39">
        <v>0</v>
      </c>
      <c r="BO26" s="39">
        <v>0</v>
      </c>
      <c r="BP26" s="55">
        <v>0</v>
      </c>
      <c r="BQ26" s="77">
        <v>0</v>
      </c>
      <c r="BR26" s="40">
        <v>0</v>
      </c>
      <c r="BS26" s="55">
        <v>0</v>
      </c>
      <c r="BT26" s="39">
        <v>27.914845879897086</v>
      </c>
      <c r="BU26" s="39">
        <v>12.62934364929138</v>
      </c>
      <c r="BV26" s="52">
        <v>-15.285502230605706</v>
      </c>
      <c r="BW26" s="39">
        <v>0</v>
      </c>
      <c r="BX26" s="39">
        <v>1.207896531559389</v>
      </c>
      <c r="BY26" s="52">
        <v>1.207896531559389</v>
      </c>
      <c r="BZ26" s="39">
        <v>0</v>
      </c>
      <c r="CA26" s="39">
        <v>45.312881811849245</v>
      </c>
      <c r="CB26" s="52">
        <v>45.312881811849245</v>
      </c>
      <c r="CC26" s="39">
        <v>0</v>
      </c>
      <c r="CD26" s="39">
        <v>0</v>
      </c>
      <c r="CE26" s="52">
        <v>0</v>
      </c>
      <c r="CF26" s="39">
        <v>0</v>
      </c>
      <c r="CG26" s="39">
        <v>0</v>
      </c>
      <c r="CH26" s="52">
        <v>0</v>
      </c>
      <c r="CI26" s="39">
        <v>0</v>
      </c>
      <c r="CJ26" s="39">
        <v>0</v>
      </c>
      <c r="CK26" s="52">
        <v>0</v>
      </c>
      <c r="CL26" s="39">
        <v>0</v>
      </c>
      <c r="CM26" s="39">
        <v>0</v>
      </c>
      <c r="CN26" s="52">
        <v>0</v>
      </c>
      <c r="CO26" s="39">
        <v>0</v>
      </c>
      <c r="CP26" s="40">
        <v>0</v>
      </c>
      <c r="CQ26" s="52">
        <v>0</v>
      </c>
      <c r="CR26" s="72">
        <v>693.05094449849798</v>
      </c>
      <c r="CS26" s="5">
        <v>237.58935122576651</v>
      </c>
      <c r="CT26" s="52">
        <v>-455.46159327273148</v>
      </c>
      <c r="CU26" s="77">
        <v>831.66113339819753</v>
      </c>
      <c r="CV26" s="65">
        <v>285.1072214709198</v>
      </c>
      <c r="CW26" s="35">
        <v>-546.5539119272778</v>
      </c>
      <c r="CX26" s="39">
        <v>12.474917000972962</v>
      </c>
      <c r="CY26" s="39">
        <v>559.02882892825073</v>
      </c>
      <c r="CZ26" s="52">
        <v>546.5539119272778</v>
      </c>
      <c r="DA26" s="150">
        <v>-5162.8405836150714</v>
      </c>
      <c r="DB26" s="2">
        <v>3</v>
      </c>
      <c r="DC26" s="713">
        <v>485.58</v>
      </c>
      <c r="DD26" s="714"/>
      <c r="DE26" s="715">
        <v>63.511974800414748</v>
      </c>
      <c r="DF26" s="716">
        <v>0</v>
      </c>
      <c r="DG26" s="717">
        <v>-2387.3976071398392</v>
      </c>
      <c r="DH26" s="718">
        <v>4055.2294945808567</v>
      </c>
      <c r="DI26" s="718">
        <v>10129.632604790046</v>
      </c>
      <c r="DJ26" s="693">
        <v>8611.0318272377481</v>
      </c>
      <c r="DK26" s="724"/>
      <c r="DL26" s="5"/>
      <c r="DM26" s="306">
        <v>1.4144370817680472</v>
      </c>
      <c r="DN26" s="306"/>
      <c r="DO26" s="306">
        <v>1.4144370817680472</v>
      </c>
      <c r="DP26" s="719">
        <v>422.06802519958524</v>
      </c>
      <c r="DQ26" s="720">
        <v>0</v>
      </c>
      <c r="DR26" s="650">
        <v>422.06802519958524</v>
      </c>
      <c r="DS26" s="94">
        <v>422.06802519958524</v>
      </c>
      <c r="DT26" s="719">
        <v>422.07</v>
      </c>
      <c r="DU26" s="721"/>
      <c r="DV26" s="93">
        <v>422.07</v>
      </c>
      <c r="DW26" s="95">
        <v>423.31551689968256</v>
      </c>
      <c r="DX26" s="28">
        <v>-1.2455168996825705</v>
      </c>
      <c r="EA26" s="5">
        <v>684.52120119508299</v>
      </c>
      <c r="EB26" s="5">
        <v>0</v>
      </c>
      <c r="EE26" s="722">
        <v>6845.2120119508309</v>
      </c>
      <c r="EG26" s="42" t="s">
        <v>42</v>
      </c>
    </row>
    <row r="27" spans="1:137" x14ac:dyDescent="0.3">
      <c r="A27" s="325">
        <v>150001000</v>
      </c>
      <c r="B27" s="41" t="s">
        <v>479</v>
      </c>
      <c r="C27" s="42" t="s">
        <v>43</v>
      </c>
      <c r="D27" s="27">
        <v>1</v>
      </c>
      <c r="E27" s="709">
        <v>236.7</v>
      </c>
      <c r="F27" s="723">
        <v>236.7</v>
      </c>
      <c r="G27" s="28"/>
      <c r="H27" s="651">
        <v>0</v>
      </c>
      <c r="I27" s="39">
        <v>0</v>
      </c>
      <c r="J27" s="39">
        <v>0</v>
      </c>
      <c r="K27" s="52">
        <v>0</v>
      </c>
      <c r="L27" s="39">
        <v>0</v>
      </c>
      <c r="M27" s="39">
        <v>0</v>
      </c>
      <c r="N27" s="52">
        <v>0</v>
      </c>
      <c r="O27" s="39">
        <v>0</v>
      </c>
      <c r="P27" s="39">
        <v>0</v>
      </c>
      <c r="Q27" s="52">
        <v>0</v>
      </c>
      <c r="R27" s="39">
        <v>0</v>
      </c>
      <c r="S27" s="39">
        <v>0</v>
      </c>
      <c r="T27" s="52">
        <v>0</v>
      </c>
      <c r="U27" s="39">
        <v>0</v>
      </c>
      <c r="V27" s="39">
        <v>0</v>
      </c>
      <c r="W27" s="52">
        <v>0</v>
      </c>
      <c r="X27" s="39">
        <v>0</v>
      </c>
      <c r="Y27" s="39">
        <v>0</v>
      </c>
      <c r="Z27" s="52">
        <v>0</v>
      </c>
      <c r="AA27" s="39">
        <v>0</v>
      </c>
      <c r="AB27" s="39">
        <v>0</v>
      </c>
      <c r="AC27" s="52">
        <v>0</v>
      </c>
      <c r="AD27" s="39">
        <v>0</v>
      </c>
      <c r="AE27" s="39">
        <v>141.54345026630978</v>
      </c>
      <c r="AF27" s="35">
        <v>141.54345026630978</v>
      </c>
      <c r="AG27" s="77">
        <v>0</v>
      </c>
      <c r="AH27" s="53">
        <v>141.54345026630978</v>
      </c>
      <c r="AI27" s="52">
        <v>141.54345026630978</v>
      </c>
      <c r="AJ27" s="39">
        <v>0</v>
      </c>
      <c r="AK27" s="39">
        <v>0</v>
      </c>
      <c r="AL27" s="52">
        <v>0</v>
      </c>
      <c r="AM27" s="39">
        <v>0</v>
      </c>
      <c r="AN27" s="39">
        <v>0</v>
      </c>
      <c r="AO27" s="52">
        <v>0</v>
      </c>
      <c r="AP27" s="39">
        <v>78.91813690780414</v>
      </c>
      <c r="AQ27" s="39">
        <v>0</v>
      </c>
      <c r="AR27" s="52">
        <v>-78.91813690780414</v>
      </c>
      <c r="AS27" s="39">
        <v>550.12377861382879</v>
      </c>
      <c r="AT27" s="39">
        <v>0</v>
      </c>
      <c r="AU27" s="54">
        <v>-550.12377861382879</v>
      </c>
      <c r="AV27" s="39">
        <v>0</v>
      </c>
      <c r="AW27" s="39">
        <v>0</v>
      </c>
      <c r="AX27" s="55">
        <v>0</v>
      </c>
      <c r="AY27" s="39">
        <v>0</v>
      </c>
      <c r="AZ27" s="39">
        <v>0</v>
      </c>
      <c r="BA27" s="35">
        <v>0</v>
      </c>
      <c r="BB27" s="39">
        <v>0</v>
      </c>
      <c r="BC27" s="39">
        <v>0</v>
      </c>
      <c r="BD27" s="55">
        <v>0</v>
      </c>
      <c r="BE27" s="39">
        <v>0</v>
      </c>
      <c r="BF27" s="39">
        <v>0</v>
      </c>
      <c r="BG27" s="38">
        <v>0</v>
      </c>
      <c r="BH27" s="39">
        <v>0</v>
      </c>
      <c r="BI27" s="39">
        <v>0</v>
      </c>
      <c r="BJ27" s="55">
        <v>0</v>
      </c>
      <c r="BK27" s="39">
        <v>0</v>
      </c>
      <c r="BL27" s="39">
        <v>0</v>
      </c>
      <c r="BM27" s="38">
        <v>0</v>
      </c>
      <c r="BN27" s="39">
        <v>0</v>
      </c>
      <c r="BO27" s="39">
        <v>0</v>
      </c>
      <c r="BP27" s="55">
        <v>0</v>
      </c>
      <c r="BQ27" s="77">
        <v>0</v>
      </c>
      <c r="BR27" s="40">
        <v>0</v>
      </c>
      <c r="BS27" s="55">
        <v>0</v>
      </c>
      <c r="BT27" s="39">
        <v>15.951340502798338</v>
      </c>
      <c r="BU27" s="39">
        <v>7.2123457605021866</v>
      </c>
      <c r="BV27" s="52">
        <v>-8.7389947422961516</v>
      </c>
      <c r="BW27" s="39">
        <v>0</v>
      </c>
      <c r="BX27" s="39">
        <v>0.95814044577783997</v>
      </c>
      <c r="BY27" s="52">
        <v>0.95814044577783997</v>
      </c>
      <c r="BZ27" s="39">
        <v>0</v>
      </c>
      <c r="CA27" s="39">
        <v>25.876802485443513</v>
      </c>
      <c r="CB27" s="52">
        <v>25.876802485443513</v>
      </c>
      <c r="CC27" s="39">
        <v>0</v>
      </c>
      <c r="CD27" s="39">
        <v>0</v>
      </c>
      <c r="CE27" s="52">
        <v>0</v>
      </c>
      <c r="CF27" s="39">
        <v>0</v>
      </c>
      <c r="CG27" s="39">
        <v>0</v>
      </c>
      <c r="CH27" s="52">
        <v>0</v>
      </c>
      <c r="CI27" s="39">
        <v>6.2391750590640456</v>
      </c>
      <c r="CJ27" s="39">
        <v>166.19565662841461</v>
      </c>
      <c r="CK27" s="52">
        <v>159.95648156935056</v>
      </c>
      <c r="CL27" s="39">
        <v>0</v>
      </c>
      <c r="CM27" s="39">
        <v>0</v>
      </c>
      <c r="CN27" s="52">
        <v>0</v>
      </c>
      <c r="CO27" s="39">
        <v>6.2391750590640456</v>
      </c>
      <c r="CP27" s="40">
        <v>166.19565662841461</v>
      </c>
      <c r="CQ27" s="52">
        <v>159.95648156935056</v>
      </c>
      <c r="CR27" s="72">
        <v>651.23243108349527</v>
      </c>
      <c r="CS27" s="5">
        <v>341.78639558644795</v>
      </c>
      <c r="CT27" s="52">
        <v>-309.44603549704732</v>
      </c>
      <c r="CU27" s="77">
        <v>781.47891730019433</v>
      </c>
      <c r="CV27" s="65">
        <v>410.14367470373753</v>
      </c>
      <c r="CW27" s="35">
        <v>-371.33524259645679</v>
      </c>
      <c r="CX27" s="39">
        <v>35.166551278508742</v>
      </c>
      <c r="CY27" s="39">
        <v>406.50179387496564</v>
      </c>
      <c r="CZ27" s="52">
        <v>371.33524259645691</v>
      </c>
      <c r="DA27" s="150">
        <v>-980.43020281995541</v>
      </c>
      <c r="DB27" s="2">
        <v>3</v>
      </c>
      <c r="DC27" s="713">
        <v>1624.07</v>
      </c>
      <c r="DD27" s="714"/>
      <c r="DE27" s="715">
        <v>1215.7472657106484</v>
      </c>
      <c r="DF27" s="716">
        <v>0</v>
      </c>
      <c r="DG27" s="717">
        <v>1451.8620019371083</v>
      </c>
      <c r="DH27" s="718">
        <v>3905.2127246136479</v>
      </c>
      <c r="DI27" s="718">
        <v>9799.7456229444379</v>
      </c>
      <c r="DJ27" s="693">
        <v>8326.1123983617399</v>
      </c>
      <c r="DK27" s="724"/>
      <c r="DL27" s="5"/>
      <c r="DM27" s="306">
        <v>1.7250643611717429</v>
      </c>
      <c r="DN27" s="306"/>
      <c r="DO27" s="306">
        <v>1.7250643611717429</v>
      </c>
      <c r="DP27" s="719">
        <v>408.3227342893515</v>
      </c>
      <c r="DQ27" s="720">
        <v>0</v>
      </c>
      <c r="DR27" s="650">
        <v>408.3227342893515</v>
      </c>
      <c r="DS27" s="94">
        <v>408.32273428935162</v>
      </c>
      <c r="DT27" s="719">
        <v>409.88</v>
      </c>
      <c r="DU27" s="721"/>
      <c r="DV27" s="93">
        <v>409.88</v>
      </c>
      <c r="DW27" s="95">
        <v>411.83938941720243</v>
      </c>
      <c r="DX27" s="28">
        <v>-1.9593894172024306</v>
      </c>
      <c r="EA27" s="5">
        <v>660.14853433659448</v>
      </c>
      <c r="EB27" s="5">
        <v>0</v>
      </c>
      <c r="EE27" s="722">
        <v>6601.4853433659455</v>
      </c>
      <c r="EG27" s="42" t="s">
        <v>43</v>
      </c>
    </row>
    <row r="28" spans="1:137" x14ac:dyDescent="0.3">
      <c r="A28" s="325">
        <v>150001004</v>
      </c>
      <c r="B28" s="41" t="s">
        <v>480</v>
      </c>
      <c r="C28" s="42" t="s">
        <v>44</v>
      </c>
      <c r="D28" s="27">
        <v>1</v>
      </c>
      <c r="E28" s="709">
        <v>315.7</v>
      </c>
      <c r="F28" s="723">
        <v>315.7</v>
      </c>
      <c r="G28" s="28"/>
      <c r="H28" s="651">
        <v>0</v>
      </c>
      <c r="I28" s="39">
        <v>0</v>
      </c>
      <c r="J28" s="39">
        <v>0</v>
      </c>
      <c r="K28" s="52">
        <v>0</v>
      </c>
      <c r="L28" s="39">
        <v>0</v>
      </c>
      <c r="M28" s="39">
        <v>0</v>
      </c>
      <c r="N28" s="52">
        <v>0</v>
      </c>
      <c r="O28" s="39">
        <v>0</v>
      </c>
      <c r="P28" s="39">
        <v>0</v>
      </c>
      <c r="Q28" s="52">
        <v>0</v>
      </c>
      <c r="R28" s="39">
        <v>0</v>
      </c>
      <c r="S28" s="39">
        <v>0</v>
      </c>
      <c r="T28" s="52">
        <v>0</v>
      </c>
      <c r="U28" s="39">
        <v>0</v>
      </c>
      <c r="V28" s="39">
        <v>0</v>
      </c>
      <c r="W28" s="52">
        <v>0</v>
      </c>
      <c r="X28" s="39">
        <v>0</v>
      </c>
      <c r="Y28" s="39">
        <v>0</v>
      </c>
      <c r="Z28" s="52">
        <v>0</v>
      </c>
      <c r="AA28" s="39">
        <v>0</v>
      </c>
      <c r="AB28" s="39">
        <v>0</v>
      </c>
      <c r="AC28" s="52">
        <v>0</v>
      </c>
      <c r="AD28" s="39">
        <v>0</v>
      </c>
      <c r="AE28" s="39">
        <v>188.78439902439374</v>
      </c>
      <c r="AF28" s="35">
        <v>188.78439902439374</v>
      </c>
      <c r="AG28" s="77">
        <v>0</v>
      </c>
      <c r="AH28" s="53">
        <v>188.78439902439374</v>
      </c>
      <c r="AI28" s="52">
        <v>188.78439902439374</v>
      </c>
      <c r="AJ28" s="39">
        <v>0</v>
      </c>
      <c r="AK28" s="39">
        <v>0</v>
      </c>
      <c r="AL28" s="52">
        <v>0</v>
      </c>
      <c r="AM28" s="39">
        <v>0</v>
      </c>
      <c r="AN28" s="39">
        <v>0</v>
      </c>
      <c r="AO28" s="52">
        <v>0</v>
      </c>
      <c r="AP28" s="39">
        <v>86.809950598584564</v>
      </c>
      <c r="AQ28" s="39">
        <v>0</v>
      </c>
      <c r="AR28" s="52">
        <v>-86.809950598584564</v>
      </c>
      <c r="AS28" s="39">
        <v>601.82121739763295</v>
      </c>
      <c r="AT28" s="39">
        <v>0</v>
      </c>
      <c r="AU28" s="54">
        <v>-601.82121739763295</v>
      </c>
      <c r="AV28" s="39">
        <v>0</v>
      </c>
      <c r="AW28" s="39">
        <v>0</v>
      </c>
      <c r="AX28" s="55">
        <v>0</v>
      </c>
      <c r="AY28" s="39">
        <v>0</v>
      </c>
      <c r="AZ28" s="39">
        <v>0</v>
      </c>
      <c r="BA28" s="35">
        <v>0</v>
      </c>
      <c r="BB28" s="39">
        <v>0</v>
      </c>
      <c r="BC28" s="39">
        <v>0</v>
      </c>
      <c r="BD28" s="55">
        <v>0</v>
      </c>
      <c r="BE28" s="39">
        <v>0</v>
      </c>
      <c r="BF28" s="39">
        <v>0</v>
      </c>
      <c r="BG28" s="38">
        <v>0</v>
      </c>
      <c r="BH28" s="39">
        <v>0</v>
      </c>
      <c r="BI28" s="39">
        <v>0</v>
      </c>
      <c r="BJ28" s="55">
        <v>0</v>
      </c>
      <c r="BK28" s="39">
        <v>0</v>
      </c>
      <c r="BL28" s="39">
        <v>0</v>
      </c>
      <c r="BM28" s="38">
        <v>0</v>
      </c>
      <c r="BN28" s="39">
        <v>0</v>
      </c>
      <c r="BO28" s="39">
        <v>0</v>
      </c>
      <c r="BP28" s="55">
        <v>0</v>
      </c>
      <c r="BQ28" s="77">
        <v>0</v>
      </c>
      <c r="BR28" s="40">
        <v>0</v>
      </c>
      <c r="BS28" s="55">
        <v>0</v>
      </c>
      <c r="BT28" s="39">
        <v>23.927010754197507</v>
      </c>
      <c r="BU28" s="39">
        <v>10.823677686361648</v>
      </c>
      <c r="BV28" s="52">
        <v>-13.103333067835859</v>
      </c>
      <c r="BW28" s="39">
        <v>0</v>
      </c>
      <c r="BX28" s="39">
        <v>1.2779253854333081</v>
      </c>
      <c r="BY28" s="52">
        <v>1.2779253854333081</v>
      </c>
      <c r="BZ28" s="39">
        <v>0</v>
      </c>
      <c r="CA28" s="39">
        <v>38.834188703047332</v>
      </c>
      <c r="CB28" s="52">
        <v>38.834188703047332</v>
      </c>
      <c r="CC28" s="39">
        <v>0</v>
      </c>
      <c r="CD28" s="39">
        <v>0</v>
      </c>
      <c r="CE28" s="52">
        <v>0</v>
      </c>
      <c r="CF28" s="39">
        <v>0</v>
      </c>
      <c r="CG28" s="39">
        <v>0</v>
      </c>
      <c r="CH28" s="52">
        <v>0</v>
      </c>
      <c r="CI28" s="39">
        <v>0</v>
      </c>
      <c r="CJ28" s="39">
        <v>0</v>
      </c>
      <c r="CK28" s="52">
        <v>0</v>
      </c>
      <c r="CL28" s="39">
        <v>0</v>
      </c>
      <c r="CM28" s="39">
        <v>0</v>
      </c>
      <c r="CN28" s="52">
        <v>0</v>
      </c>
      <c r="CO28" s="39">
        <v>0</v>
      </c>
      <c r="CP28" s="40">
        <v>0</v>
      </c>
      <c r="CQ28" s="52">
        <v>0</v>
      </c>
      <c r="CR28" s="72">
        <v>712.55817875041498</v>
      </c>
      <c r="CS28" s="5">
        <v>239.72019079923604</v>
      </c>
      <c r="CT28" s="52">
        <v>-472.83798795117895</v>
      </c>
      <c r="CU28" s="77">
        <v>855.06981450049796</v>
      </c>
      <c r="CV28" s="65">
        <v>287.66422895908323</v>
      </c>
      <c r="CW28" s="35">
        <v>-567.40558554141467</v>
      </c>
      <c r="CX28" s="39">
        <v>21.376745362512452</v>
      </c>
      <c r="CY28" s="39">
        <v>588.78233090392712</v>
      </c>
      <c r="CZ28" s="52">
        <v>567.40558554141467</v>
      </c>
      <c r="DA28" s="150">
        <v>-3823.2165054530715</v>
      </c>
      <c r="DB28" s="2">
        <v>3</v>
      </c>
      <c r="DC28" s="713">
        <v>892.94</v>
      </c>
      <c r="DD28" s="714"/>
      <c r="DE28" s="715">
        <v>454.71672006849485</v>
      </c>
      <c r="DF28" s="716">
        <v>0</v>
      </c>
      <c r="DG28" s="717">
        <v>-1599.0278946254953</v>
      </c>
      <c r="DH28" s="718">
        <v>4148.1157400036245</v>
      </c>
      <c r="DI28" s="718">
        <v>10517.358718356125</v>
      </c>
      <c r="DJ28" s="693">
        <v>8925.0479737679998</v>
      </c>
      <c r="DK28" s="724"/>
      <c r="DL28" s="5"/>
      <c r="DM28" s="306">
        <v>1.3881003482150942</v>
      </c>
      <c r="DN28" s="306"/>
      <c r="DO28" s="306">
        <v>1.3881003482150942</v>
      </c>
      <c r="DP28" s="719">
        <v>438.2232799315052</v>
      </c>
      <c r="DQ28" s="720">
        <v>0</v>
      </c>
      <c r="DR28" s="650">
        <v>438.2232799315052</v>
      </c>
      <c r="DS28" s="94">
        <v>438.2232799315052</v>
      </c>
      <c r="DT28" s="719">
        <v>438.22</v>
      </c>
      <c r="DU28" s="721"/>
      <c r="DV28" s="93">
        <v>438.22</v>
      </c>
      <c r="DW28" s="95">
        <v>440.36095446775647</v>
      </c>
      <c r="DX28" s="28">
        <v>-2.140954467756444</v>
      </c>
      <c r="EA28" s="5">
        <v>722.18546087715947</v>
      </c>
      <c r="EB28" s="5">
        <v>0</v>
      </c>
      <c r="EE28" s="722">
        <v>7221.8546087715949</v>
      </c>
      <c r="EG28" s="42" t="s">
        <v>44</v>
      </c>
    </row>
    <row r="29" spans="1:137" x14ac:dyDescent="0.3">
      <c r="A29" s="325">
        <v>150000994</v>
      </c>
      <c r="B29" s="41" t="s">
        <v>481</v>
      </c>
      <c r="C29" s="42" t="s">
        <v>45</v>
      </c>
      <c r="D29" s="27">
        <v>1</v>
      </c>
      <c r="E29" s="709">
        <v>239.9</v>
      </c>
      <c r="F29" s="723">
        <v>239.9</v>
      </c>
      <c r="G29" s="28"/>
      <c r="H29" s="651">
        <v>0</v>
      </c>
      <c r="I29" s="39">
        <v>0</v>
      </c>
      <c r="J29" s="39">
        <v>0</v>
      </c>
      <c r="K29" s="52">
        <v>0</v>
      </c>
      <c r="L29" s="39">
        <v>0</v>
      </c>
      <c r="M29" s="39">
        <v>0</v>
      </c>
      <c r="N29" s="52">
        <v>0</v>
      </c>
      <c r="O29" s="39">
        <v>0</v>
      </c>
      <c r="P29" s="39">
        <v>0</v>
      </c>
      <c r="Q29" s="52">
        <v>0</v>
      </c>
      <c r="R29" s="39">
        <v>0</v>
      </c>
      <c r="S29" s="39">
        <v>0</v>
      </c>
      <c r="T29" s="52">
        <v>0</v>
      </c>
      <c r="U29" s="39">
        <v>0</v>
      </c>
      <c r="V29" s="39">
        <v>0</v>
      </c>
      <c r="W29" s="52">
        <v>0</v>
      </c>
      <c r="X29" s="39">
        <v>0</v>
      </c>
      <c r="Y29" s="39">
        <v>0</v>
      </c>
      <c r="Z29" s="52">
        <v>0</v>
      </c>
      <c r="AA29" s="39">
        <v>0</v>
      </c>
      <c r="AB29" s="39">
        <v>0</v>
      </c>
      <c r="AC29" s="52">
        <v>0</v>
      </c>
      <c r="AD29" s="39">
        <v>0</v>
      </c>
      <c r="AE29" s="39">
        <v>143.45700768435876</v>
      </c>
      <c r="AF29" s="35">
        <v>143.45700768435876</v>
      </c>
      <c r="AG29" s="77">
        <v>0</v>
      </c>
      <c r="AH29" s="53">
        <v>143.45700768435876</v>
      </c>
      <c r="AI29" s="52">
        <v>143.45700768435876</v>
      </c>
      <c r="AJ29" s="39">
        <v>0</v>
      </c>
      <c r="AK29" s="39">
        <v>0</v>
      </c>
      <c r="AL29" s="52">
        <v>0</v>
      </c>
      <c r="AM29" s="39">
        <v>0</v>
      </c>
      <c r="AN29" s="39">
        <v>0</v>
      </c>
      <c r="AO29" s="52">
        <v>0</v>
      </c>
      <c r="AP29" s="39">
        <v>94.701764289364974</v>
      </c>
      <c r="AQ29" s="39">
        <v>0</v>
      </c>
      <c r="AR29" s="52">
        <v>-94.701764289364974</v>
      </c>
      <c r="AS29" s="39">
        <v>528.83181241499767</v>
      </c>
      <c r="AT29" s="39">
        <v>0</v>
      </c>
      <c r="AU29" s="54">
        <v>-528.83181241499767</v>
      </c>
      <c r="AV29" s="39">
        <v>0</v>
      </c>
      <c r="AW29" s="39">
        <v>0</v>
      </c>
      <c r="AX29" s="55">
        <v>0</v>
      </c>
      <c r="AY29" s="39">
        <v>0</v>
      </c>
      <c r="AZ29" s="39">
        <v>0</v>
      </c>
      <c r="BA29" s="35">
        <v>0</v>
      </c>
      <c r="BB29" s="39">
        <v>0</v>
      </c>
      <c r="BC29" s="39">
        <v>0</v>
      </c>
      <c r="BD29" s="55">
        <v>0</v>
      </c>
      <c r="BE29" s="39">
        <v>0</v>
      </c>
      <c r="BF29" s="39">
        <v>0</v>
      </c>
      <c r="BG29" s="38">
        <v>0</v>
      </c>
      <c r="BH29" s="39">
        <v>0</v>
      </c>
      <c r="BI29" s="39">
        <v>0</v>
      </c>
      <c r="BJ29" s="55">
        <v>0</v>
      </c>
      <c r="BK29" s="39">
        <v>0</v>
      </c>
      <c r="BL29" s="39">
        <v>0</v>
      </c>
      <c r="BM29" s="38">
        <v>0</v>
      </c>
      <c r="BN29" s="39">
        <v>0</v>
      </c>
      <c r="BO29" s="39">
        <v>0</v>
      </c>
      <c r="BP29" s="55">
        <v>0</v>
      </c>
      <c r="BQ29" s="77">
        <v>0</v>
      </c>
      <c r="BR29" s="40">
        <v>0</v>
      </c>
      <c r="BS29" s="55">
        <v>0</v>
      </c>
      <c r="BT29" s="39">
        <v>15.951340502798338</v>
      </c>
      <c r="BU29" s="39">
        <v>7.2123457605021866</v>
      </c>
      <c r="BV29" s="52">
        <v>-8.7389947422961516</v>
      </c>
      <c r="BW29" s="39">
        <v>0</v>
      </c>
      <c r="BX29" s="39">
        <v>0.97109375978920065</v>
      </c>
      <c r="BY29" s="52">
        <v>0.97109375978920065</v>
      </c>
      <c r="BZ29" s="39">
        <v>0</v>
      </c>
      <c r="CA29" s="39">
        <v>25.876802485443513</v>
      </c>
      <c r="CB29" s="52">
        <v>25.876802485443513</v>
      </c>
      <c r="CC29" s="39">
        <v>0</v>
      </c>
      <c r="CD29" s="39">
        <v>0</v>
      </c>
      <c r="CE29" s="52">
        <v>0</v>
      </c>
      <c r="CF29" s="39">
        <v>0</v>
      </c>
      <c r="CG29" s="39">
        <v>0</v>
      </c>
      <c r="CH29" s="52">
        <v>0</v>
      </c>
      <c r="CI29" s="39">
        <v>62.391750590640456</v>
      </c>
      <c r="CJ29" s="39">
        <v>132.34098583373759</v>
      </c>
      <c r="CK29" s="52">
        <v>69.949235243097135</v>
      </c>
      <c r="CL29" s="39">
        <v>0</v>
      </c>
      <c r="CM29" s="39">
        <v>0</v>
      </c>
      <c r="CN29" s="52">
        <v>0</v>
      </c>
      <c r="CO29" s="39">
        <v>62.391750590640456</v>
      </c>
      <c r="CP29" s="40">
        <v>132.34098583373759</v>
      </c>
      <c r="CQ29" s="52">
        <v>69.949235243097135</v>
      </c>
      <c r="CR29" s="72">
        <v>701.87666779780136</v>
      </c>
      <c r="CS29" s="5">
        <v>309.85823552383124</v>
      </c>
      <c r="CT29" s="52">
        <v>-392.01843227397012</v>
      </c>
      <c r="CU29" s="77">
        <v>842.25200135736156</v>
      </c>
      <c r="CV29" s="65">
        <v>371.82988262859749</v>
      </c>
      <c r="CW29" s="35">
        <v>-470.42211872876408</v>
      </c>
      <c r="CX29" s="39">
        <v>0</v>
      </c>
      <c r="CY29" s="39">
        <v>470.42211872876408</v>
      </c>
      <c r="CZ29" s="52">
        <v>470.42211872876408</v>
      </c>
      <c r="DA29" s="150">
        <v>-876.01982423796721</v>
      </c>
      <c r="DB29" s="2">
        <v>3</v>
      </c>
      <c r="DC29" s="713">
        <v>-48.84</v>
      </c>
      <c r="DD29" s="714"/>
      <c r="DE29" s="715">
        <v>-469.96600067868076</v>
      </c>
      <c r="DF29" s="716">
        <v>0</v>
      </c>
      <c r="DG29" s="717">
        <v>976.99267456387247</v>
      </c>
      <c r="DH29" s="718">
        <v>4048.7721477403838</v>
      </c>
      <c r="DI29" s="718">
        <v>10107.024016288338</v>
      </c>
      <c r="DJ29" s="693">
        <v>8592.4610491513504</v>
      </c>
      <c r="DK29" s="724"/>
      <c r="DL29" s="5"/>
      <c r="DM29" s="306">
        <v>1.7554230957844135</v>
      </c>
      <c r="DN29" s="306"/>
      <c r="DO29" s="306">
        <v>1.7554230957844135</v>
      </c>
      <c r="DP29" s="719">
        <v>421.12600067868078</v>
      </c>
      <c r="DQ29" s="720">
        <v>0</v>
      </c>
      <c r="DR29" s="650">
        <v>421.12600067868078</v>
      </c>
      <c r="DS29" s="94">
        <v>421.12600067868078</v>
      </c>
      <c r="DT29" s="719">
        <v>421.12</v>
      </c>
      <c r="DU29" s="721"/>
      <c r="DV29" s="93">
        <v>421.12</v>
      </c>
      <c r="DW29" s="95">
        <v>421.12600067868078</v>
      </c>
      <c r="DX29" s="28">
        <v>-6.0006786807775825E-3</v>
      </c>
      <c r="EA29" s="5">
        <v>634.59817489799718</v>
      </c>
      <c r="EB29" s="5">
        <v>0</v>
      </c>
      <c r="EE29" s="722">
        <v>6345.9817489799716</v>
      </c>
      <c r="EG29" s="42" t="s">
        <v>45</v>
      </c>
    </row>
    <row r="30" spans="1:137" x14ac:dyDescent="0.3">
      <c r="A30" s="325">
        <v>150000995</v>
      </c>
      <c r="B30" s="41" t="s">
        <v>484</v>
      </c>
      <c r="C30" s="42" t="s">
        <v>48</v>
      </c>
      <c r="D30" s="27">
        <v>1</v>
      </c>
      <c r="E30" s="709">
        <v>135.6</v>
      </c>
      <c r="F30" s="723">
        <v>135.6</v>
      </c>
      <c r="G30" s="28"/>
      <c r="H30" s="651">
        <v>0</v>
      </c>
      <c r="I30" s="39">
        <v>0</v>
      </c>
      <c r="J30" s="39">
        <v>0</v>
      </c>
      <c r="K30" s="52">
        <v>0</v>
      </c>
      <c r="L30" s="39">
        <v>0</v>
      </c>
      <c r="M30" s="39">
        <v>0</v>
      </c>
      <c r="N30" s="52">
        <v>0</v>
      </c>
      <c r="O30" s="39">
        <v>0</v>
      </c>
      <c r="P30" s="39">
        <v>0</v>
      </c>
      <c r="Q30" s="52">
        <v>0</v>
      </c>
      <c r="R30" s="39">
        <v>0</v>
      </c>
      <c r="S30" s="39">
        <v>0</v>
      </c>
      <c r="T30" s="52">
        <v>0</v>
      </c>
      <c r="U30" s="39">
        <v>0</v>
      </c>
      <c r="V30" s="39">
        <v>0</v>
      </c>
      <c r="W30" s="52">
        <v>0</v>
      </c>
      <c r="X30" s="39">
        <v>0</v>
      </c>
      <c r="Y30" s="39">
        <v>0</v>
      </c>
      <c r="Z30" s="52">
        <v>0</v>
      </c>
      <c r="AA30" s="39">
        <v>0</v>
      </c>
      <c r="AB30" s="39">
        <v>0</v>
      </c>
      <c r="AC30" s="52">
        <v>0</v>
      </c>
      <c r="AD30" s="39">
        <v>0</v>
      </c>
      <c r="AE30" s="39">
        <v>81.086995589825122</v>
      </c>
      <c r="AF30" s="35">
        <v>81.086995589825122</v>
      </c>
      <c r="AG30" s="77">
        <v>0</v>
      </c>
      <c r="AH30" s="53">
        <v>81.086995589825122</v>
      </c>
      <c r="AI30" s="52">
        <v>81.086995589825122</v>
      </c>
      <c r="AJ30" s="39">
        <v>0</v>
      </c>
      <c r="AK30" s="39">
        <v>0</v>
      </c>
      <c r="AL30" s="52">
        <v>0</v>
      </c>
      <c r="AM30" s="39">
        <v>0</v>
      </c>
      <c r="AN30" s="39">
        <v>0</v>
      </c>
      <c r="AO30" s="52">
        <v>0</v>
      </c>
      <c r="AP30" s="39">
        <v>47.350882144682487</v>
      </c>
      <c r="AQ30" s="39">
        <v>0</v>
      </c>
      <c r="AR30" s="52">
        <v>-47.350882144682487</v>
      </c>
      <c r="AS30" s="39">
        <v>346.58547648362503</v>
      </c>
      <c r="AT30" s="39">
        <v>0</v>
      </c>
      <c r="AU30" s="54">
        <v>-346.58547648362503</v>
      </c>
      <c r="AV30" s="39">
        <v>0</v>
      </c>
      <c r="AW30" s="39">
        <v>0</v>
      </c>
      <c r="AX30" s="55">
        <v>0</v>
      </c>
      <c r="AY30" s="39">
        <v>0</v>
      </c>
      <c r="AZ30" s="39">
        <v>0</v>
      </c>
      <c r="BA30" s="35">
        <v>0</v>
      </c>
      <c r="BB30" s="39">
        <v>0</v>
      </c>
      <c r="BC30" s="39">
        <v>0</v>
      </c>
      <c r="BD30" s="55">
        <v>0</v>
      </c>
      <c r="BE30" s="39">
        <v>0</v>
      </c>
      <c r="BF30" s="39">
        <v>0</v>
      </c>
      <c r="BG30" s="38">
        <v>0</v>
      </c>
      <c r="BH30" s="39">
        <v>0</v>
      </c>
      <c r="BI30" s="39">
        <v>0</v>
      </c>
      <c r="BJ30" s="55">
        <v>0</v>
      </c>
      <c r="BK30" s="39">
        <v>0</v>
      </c>
      <c r="BL30" s="39">
        <v>0</v>
      </c>
      <c r="BM30" s="38">
        <v>0</v>
      </c>
      <c r="BN30" s="39">
        <v>0</v>
      </c>
      <c r="BO30" s="39">
        <v>0</v>
      </c>
      <c r="BP30" s="55">
        <v>0</v>
      </c>
      <c r="BQ30" s="77">
        <v>0</v>
      </c>
      <c r="BR30" s="40">
        <v>0</v>
      </c>
      <c r="BS30" s="55">
        <v>0</v>
      </c>
      <c r="BT30" s="39">
        <v>11.963505377098754</v>
      </c>
      <c r="BU30" s="39">
        <v>5.4066797975724539</v>
      </c>
      <c r="BV30" s="52">
        <v>-6.5568255795262997</v>
      </c>
      <c r="BW30" s="39">
        <v>0</v>
      </c>
      <c r="BX30" s="39">
        <v>0.54889668123141133</v>
      </c>
      <c r="BY30" s="52">
        <v>0.54889668123141133</v>
      </c>
      <c r="BZ30" s="39">
        <v>0</v>
      </c>
      <c r="CA30" s="39">
        <v>19.398109376641603</v>
      </c>
      <c r="CB30" s="52">
        <v>19.398109376641603</v>
      </c>
      <c r="CC30" s="39">
        <v>0</v>
      </c>
      <c r="CD30" s="39">
        <v>0</v>
      </c>
      <c r="CE30" s="52">
        <v>0</v>
      </c>
      <c r="CF30" s="39">
        <v>0</v>
      </c>
      <c r="CG30" s="39">
        <v>0</v>
      </c>
      <c r="CH30" s="52">
        <v>0</v>
      </c>
      <c r="CI30" s="39">
        <v>18.717525177192133</v>
      </c>
      <c r="CJ30" s="39">
        <v>23.1046578461909</v>
      </c>
      <c r="CK30" s="52">
        <v>4.3871326689987669</v>
      </c>
      <c r="CL30" s="39">
        <v>0</v>
      </c>
      <c r="CM30" s="39">
        <v>0</v>
      </c>
      <c r="CN30" s="52">
        <v>0</v>
      </c>
      <c r="CO30" s="39">
        <v>18.717525177192133</v>
      </c>
      <c r="CP30" s="40">
        <v>23.1046578461909</v>
      </c>
      <c r="CQ30" s="52">
        <v>4.3871326689987669</v>
      </c>
      <c r="CR30" s="72">
        <v>424.6173891825984</v>
      </c>
      <c r="CS30" s="5">
        <v>129.54533929146149</v>
      </c>
      <c r="CT30" s="52">
        <v>-295.07204989113688</v>
      </c>
      <c r="CU30" s="77">
        <v>509.54086701911808</v>
      </c>
      <c r="CV30" s="65">
        <v>155.45440714975379</v>
      </c>
      <c r="CW30" s="35">
        <v>-354.08645986936426</v>
      </c>
      <c r="CX30" s="39">
        <v>7.6431130052867706</v>
      </c>
      <c r="CY30" s="39">
        <v>361.72957287465101</v>
      </c>
      <c r="CZ30" s="52">
        <v>354.08645986936426</v>
      </c>
      <c r="DA30" s="150">
        <v>-749.17116407360504</v>
      </c>
      <c r="DB30" s="2">
        <v>3</v>
      </c>
      <c r="DC30" s="713">
        <v>338.11</v>
      </c>
      <c r="DD30" s="714"/>
      <c r="DE30" s="715">
        <v>79.518009987797598</v>
      </c>
      <c r="DF30" s="716">
        <v>0</v>
      </c>
      <c r="DG30" s="717">
        <v>1681.325314312021</v>
      </c>
      <c r="DH30" s="718">
        <v>2484.9265286250352</v>
      </c>
      <c r="DI30" s="718">
        <v>6206.2077602928584</v>
      </c>
      <c r="DJ30" s="693">
        <v>5275.8874523759023</v>
      </c>
      <c r="DK30" s="724"/>
      <c r="DL30" s="5"/>
      <c r="DM30" s="306">
        <v>1.9070205753112273</v>
      </c>
      <c r="DN30" s="306"/>
      <c r="DO30" s="306">
        <v>1.9070205753112273</v>
      </c>
      <c r="DP30" s="719">
        <v>258.59199001220242</v>
      </c>
      <c r="DQ30" s="720">
        <v>0</v>
      </c>
      <c r="DR30" s="650">
        <v>258.59199001220242</v>
      </c>
      <c r="DS30" s="94">
        <v>258.59199001220242</v>
      </c>
      <c r="DT30" s="719">
        <v>258.39999999999998</v>
      </c>
      <c r="DU30" s="721"/>
      <c r="DV30" s="93">
        <v>258.39999999999998</v>
      </c>
      <c r="DW30" s="95">
        <v>259.35630131273109</v>
      </c>
      <c r="DX30" s="28">
        <v>-0.95630131273111374</v>
      </c>
      <c r="EA30" s="5">
        <v>415.90257178035</v>
      </c>
      <c r="EB30" s="5">
        <v>0</v>
      </c>
      <c r="EE30" s="722">
        <v>4159.0257178035008</v>
      </c>
      <c r="EG30" s="42" t="s">
        <v>48</v>
      </c>
    </row>
    <row r="31" spans="1:137" x14ac:dyDescent="0.3">
      <c r="A31" s="325">
        <v>150001002</v>
      </c>
      <c r="B31" s="41" t="s">
        <v>485</v>
      </c>
      <c r="C31" s="42" t="s">
        <v>49</v>
      </c>
      <c r="D31" s="27">
        <v>1</v>
      </c>
      <c r="E31" s="709">
        <v>229.9</v>
      </c>
      <c r="F31" s="723">
        <v>229.9</v>
      </c>
      <c r="G31" s="28"/>
      <c r="H31" s="651">
        <v>0</v>
      </c>
      <c r="I31" s="39">
        <v>0</v>
      </c>
      <c r="J31" s="39">
        <v>0</v>
      </c>
      <c r="K31" s="52">
        <v>0</v>
      </c>
      <c r="L31" s="39">
        <v>0</v>
      </c>
      <c r="M31" s="39">
        <v>0</v>
      </c>
      <c r="N31" s="52">
        <v>0</v>
      </c>
      <c r="O31" s="39">
        <v>0</v>
      </c>
      <c r="P31" s="39">
        <v>0</v>
      </c>
      <c r="Q31" s="52">
        <v>0</v>
      </c>
      <c r="R31" s="39">
        <v>0</v>
      </c>
      <c r="S31" s="39">
        <v>0</v>
      </c>
      <c r="T31" s="52">
        <v>0</v>
      </c>
      <c r="U31" s="39">
        <v>0</v>
      </c>
      <c r="V31" s="39">
        <v>0</v>
      </c>
      <c r="W31" s="52">
        <v>0</v>
      </c>
      <c r="X31" s="39">
        <v>0</v>
      </c>
      <c r="Y31" s="39">
        <v>0</v>
      </c>
      <c r="Z31" s="52">
        <v>0</v>
      </c>
      <c r="AA31" s="39">
        <v>0</v>
      </c>
      <c r="AB31" s="39">
        <v>0</v>
      </c>
      <c r="AC31" s="52">
        <v>0</v>
      </c>
      <c r="AD31" s="39">
        <v>0</v>
      </c>
      <c r="AE31" s="39">
        <v>137.47714075295573</v>
      </c>
      <c r="AF31" s="35">
        <v>137.47714075295573</v>
      </c>
      <c r="AG31" s="77">
        <v>0</v>
      </c>
      <c r="AH31" s="53">
        <v>137.47714075295573</v>
      </c>
      <c r="AI31" s="52">
        <v>137.47714075295573</v>
      </c>
      <c r="AJ31" s="39">
        <v>0</v>
      </c>
      <c r="AK31" s="39">
        <v>0</v>
      </c>
      <c r="AL31" s="52">
        <v>0</v>
      </c>
      <c r="AM31" s="39">
        <v>0</v>
      </c>
      <c r="AN31" s="39">
        <v>0</v>
      </c>
      <c r="AO31" s="52">
        <v>0</v>
      </c>
      <c r="AP31" s="39">
        <v>78.91813690780414</v>
      </c>
      <c r="AQ31" s="39">
        <v>0</v>
      </c>
      <c r="AR31" s="52">
        <v>-78.91813690780414</v>
      </c>
      <c r="AS31" s="39">
        <v>533.71609377250206</v>
      </c>
      <c r="AT31" s="39">
        <v>0</v>
      </c>
      <c r="AU31" s="54">
        <v>-533.71609377250206</v>
      </c>
      <c r="AV31" s="39">
        <v>0</v>
      </c>
      <c r="AW31" s="39">
        <v>0</v>
      </c>
      <c r="AX31" s="55">
        <v>0</v>
      </c>
      <c r="AY31" s="39">
        <v>0</v>
      </c>
      <c r="AZ31" s="39">
        <v>0</v>
      </c>
      <c r="BA31" s="35">
        <v>0</v>
      </c>
      <c r="BB31" s="39">
        <v>0</v>
      </c>
      <c r="BC31" s="39">
        <v>0</v>
      </c>
      <c r="BD31" s="55">
        <v>0</v>
      </c>
      <c r="BE31" s="39">
        <v>0</v>
      </c>
      <c r="BF31" s="39">
        <v>0</v>
      </c>
      <c r="BG31" s="38">
        <v>0</v>
      </c>
      <c r="BH31" s="39">
        <v>0</v>
      </c>
      <c r="BI31" s="39">
        <v>0</v>
      </c>
      <c r="BJ31" s="55">
        <v>0</v>
      </c>
      <c r="BK31" s="39">
        <v>0</v>
      </c>
      <c r="BL31" s="39">
        <v>0</v>
      </c>
      <c r="BM31" s="38">
        <v>0</v>
      </c>
      <c r="BN31" s="39">
        <v>0</v>
      </c>
      <c r="BO31" s="39">
        <v>0</v>
      </c>
      <c r="BP31" s="55">
        <v>0</v>
      </c>
      <c r="BQ31" s="77">
        <v>0</v>
      </c>
      <c r="BR31" s="40">
        <v>0</v>
      </c>
      <c r="BS31" s="55">
        <v>0</v>
      </c>
      <c r="BT31" s="39">
        <v>27.914845879897086</v>
      </c>
      <c r="BU31" s="39">
        <v>12.62934364929138</v>
      </c>
      <c r="BV31" s="52">
        <v>-15.285502230605706</v>
      </c>
      <c r="BW31" s="39">
        <v>0</v>
      </c>
      <c r="BX31" s="39">
        <v>0.93061465350369832</v>
      </c>
      <c r="BY31" s="52">
        <v>0.93061465350369832</v>
      </c>
      <c r="BZ31" s="39">
        <v>0</v>
      </c>
      <c r="CA31" s="39">
        <v>45.312881811849245</v>
      </c>
      <c r="CB31" s="52">
        <v>45.312881811849245</v>
      </c>
      <c r="CC31" s="39">
        <v>0</v>
      </c>
      <c r="CD31" s="39">
        <v>0</v>
      </c>
      <c r="CE31" s="52">
        <v>0</v>
      </c>
      <c r="CF31" s="39">
        <v>0</v>
      </c>
      <c r="CG31" s="39">
        <v>0</v>
      </c>
      <c r="CH31" s="52">
        <v>0</v>
      </c>
      <c r="CI31" s="39">
        <v>46.793812942980331</v>
      </c>
      <c r="CJ31" s="39">
        <v>133.93099927701545</v>
      </c>
      <c r="CK31" s="52">
        <v>87.137186334035107</v>
      </c>
      <c r="CL31" s="39">
        <v>0</v>
      </c>
      <c r="CM31" s="39">
        <v>0</v>
      </c>
      <c r="CN31" s="52">
        <v>0</v>
      </c>
      <c r="CO31" s="39">
        <v>46.793812942980331</v>
      </c>
      <c r="CP31" s="40">
        <v>133.93099927701545</v>
      </c>
      <c r="CQ31" s="52">
        <v>87.137186334035107</v>
      </c>
      <c r="CR31" s="72">
        <v>687.34288950318364</v>
      </c>
      <c r="CS31" s="5">
        <v>330.28098014461551</v>
      </c>
      <c r="CT31" s="52">
        <v>-357.06190935856813</v>
      </c>
      <c r="CU31" s="77">
        <v>824.8114674038203</v>
      </c>
      <c r="CV31" s="65">
        <v>396.33717617353858</v>
      </c>
      <c r="CW31" s="35">
        <v>-428.47429123028172</v>
      </c>
      <c r="CX31" s="39">
        <v>20.620286685095508</v>
      </c>
      <c r="CY31" s="39">
        <v>449.09457791537727</v>
      </c>
      <c r="CZ31" s="52">
        <v>428.47429123028178</v>
      </c>
      <c r="DA31" s="150">
        <v>1220.1949396561395</v>
      </c>
      <c r="DB31" s="2">
        <v>3</v>
      </c>
      <c r="DC31" s="713">
        <v>422.71</v>
      </c>
      <c r="DD31" s="714"/>
      <c r="DE31" s="715">
        <v>-5.8770444579181458E-3</v>
      </c>
      <c r="DF31" s="716">
        <v>0</v>
      </c>
      <c r="DG31" s="717">
        <v>2144.5791071716749</v>
      </c>
      <c r="DH31" s="718">
        <v>4140.5188243143602</v>
      </c>
      <c r="DI31" s="718">
        <v>10145.181049066989</v>
      </c>
      <c r="DJ31" s="693">
        <v>8644.0154928788324</v>
      </c>
      <c r="DK31" s="724"/>
      <c r="DL31" s="5"/>
      <c r="DM31" s="306">
        <v>1.8386945499976419</v>
      </c>
      <c r="DN31" s="306"/>
      <c r="DO31" s="306">
        <v>1.8386945499976419</v>
      </c>
      <c r="DP31" s="719">
        <v>422.7158770444579</v>
      </c>
      <c r="DQ31" s="720">
        <v>0</v>
      </c>
      <c r="DR31" s="650">
        <v>422.7158770444579</v>
      </c>
      <c r="DS31" s="94">
        <v>422.7158770444579</v>
      </c>
      <c r="DT31" s="719">
        <v>422.71</v>
      </c>
      <c r="DU31" s="721"/>
      <c r="DV31" s="93">
        <v>422.71</v>
      </c>
      <c r="DW31" s="95">
        <v>424.77790571296748</v>
      </c>
      <c r="DX31" s="28">
        <v>-2.0679057129675016</v>
      </c>
      <c r="EA31" s="5">
        <v>640.45931252700245</v>
      </c>
      <c r="EB31" s="5">
        <v>0</v>
      </c>
      <c r="EE31" s="722">
        <v>6404.5931252700248</v>
      </c>
      <c r="EG31" s="42" t="s">
        <v>49</v>
      </c>
    </row>
    <row r="32" spans="1:137" x14ac:dyDescent="0.3">
      <c r="A32" s="325">
        <v>150000972</v>
      </c>
      <c r="B32" s="41" t="s">
        <v>486</v>
      </c>
      <c r="C32" s="42" t="s">
        <v>202</v>
      </c>
      <c r="D32" s="27">
        <v>4</v>
      </c>
      <c r="E32" s="709">
        <v>2167.6</v>
      </c>
      <c r="F32" s="723">
        <v>1931.4</v>
      </c>
      <c r="G32" s="28"/>
      <c r="H32" s="651">
        <v>236.2</v>
      </c>
      <c r="I32" s="39">
        <v>1404.8915285558232</v>
      </c>
      <c r="J32" s="39">
        <v>1508.6334929198983</v>
      </c>
      <c r="K32" s="52">
        <v>103.7419643640751</v>
      </c>
      <c r="L32" s="39">
        <v>228.97416816351449</v>
      </c>
      <c r="M32" s="39">
        <v>248.79239579792409</v>
      </c>
      <c r="N32" s="52">
        <v>19.818227634409595</v>
      </c>
      <c r="O32" s="39">
        <v>547.20000000000005</v>
      </c>
      <c r="P32" s="39">
        <v>547.20000000000005</v>
      </c>
      <c r="Q32" s="52">
        <v>0</v>
      </c>
      <c r="R32" s="39">
        <v>0</v>
      </c>
      <c r="S32" s="39">
        <v>0</v>
      </c>
      <c r="T32" s="52">
        <v>0</v>
      </c>
      <c r="U32" s="39">
        <v>0</v>
      </c>
      <c r="V32" s="39">
        <v>0</v>
      </c>
      <c r="W32" s="52">
        <v>0</v>
      </c>
      <c r="X32" s="39">
        <v>802.53212698495156</v>
      </c>
      <c r="Y32" s="39">
        <v>486.4477481395337</v>
      </c>
      <c r="Z32" s="52">
        <v>-316.08437884541786</v>
      </c>
      <c r="AA32" s="39">
        <v>0</v>
      </c>
      <c r="AB32" s="39">
        <v>0</v>
      </c>
      <c r="AC32" s="52">
        <v>0</v>
      </c>
      <c r="AD32" s="39">
        <v>1544.7154052288406</v>
      </c>
      <c r="AE32" s="39">
        <v>1296.1959560509213</v>
      </c>
      <c r="AF32" s="35">
        <v>-248.51944917791934</v>
      </c>
      <c r="AG32" s="77">
        <v>4528.3132289331297</v>
      </c>
      <c r="AH32" s="53">
        <v>4087.2695929082779</v>
      </c>
      <c r="AI32" s="52">
        <v>-441.04363602485182</v>
      </c>
      <c r="AJ32" s="39">
        <v>0</v>
      </c>
      <c r="AK32" s="39">
        <v>0</v>
      </c>
      <c r="AL32" s="52">
        <v>0</v>
      </c>
      <c r="AM32" s="39">
        <v>0</v>
      </c>
      <c r="AN32" s="39">
        <v>0</v>
      </c>
      <c r="AO32" s="52">
        <v>0</v>
      </c>
      <c r="AP32" s="39">
        <v>1018.0439661106735</v>
      </c>
      <c r="AQ32" s="39">
        <v>0</v>
      </c>
      <c r="AR32" s="52">
        <v>-1018.0439661106735</v>
      </c>
      <c r="AS32" s="39">
        <v>3240.9237804053437</v>
      </c>
      <c r="AT32" s="39">
        <v>444.85970353698622</v>
      </c>
      <c r="AU32" s="54">
        <v>-2796.0640768683575</v>
      </c>
      <c r="AV32" s="39">
        <v>232.70143930527138</v>
      </c>
      <c r="AW32" s="39">
        <v>0</v>
      </c>
      <c r="AX32" s="55">
        <v>-232.70143930527138</v>
      </c>
      <c r="AY32" s="39">
        <v>295.12930774881175</v>
      </c>
      <c r="AZ32" s="39">
        <v>0</v>
      </c>
      <c r="BA32" s="35">
        <v>-295.12930774881175</v>
      </c>
      <c r="BB32" s="39">
        <v>285.7634610185147</v>
      </c>
      <c r="BC32" s="39">
        <v>0</v>
      </c>
      <c r="BD32" s="55">
        <v>-285.7634610185147</v>
      </c>
      <c r="BE32" s="39">
        <v>0</v>
      </c>
      <c r="BF32" s="39">
        <v>0</v>
      </c>
      <c r="BG32" s="38">
        <v>0</v>
      </c>
      <c r="BH32" s="39">
        <v>0</v>
      </c>
      <c r="BI32" s="39">
        <v>0</v>
      </c>
      <c r="BJ32" s="55">
        <v>0</v>
      </c>
      <c r="BK32" s="39">
        <v>103.83367027199259</v>
      </c>
      <c r="BL32" s="39">
        <v>0</v>
      </c>
      <c r="BM32" s="38">
        <v>-103.83367027199259</v>
      </c>
      <c r="BN32" s="39">
        <v>0</v>
      </c>
      <c r="BO32" s="39">
        <v>0</v>
      </c>
      <c r="BP32" s="55">
        <v>0</v>
      </c>
      <c r="BQ32" s="77">
        <v>917.42787834459034</v>
      </c>
      <c r="BR32" s="40">
        <v>0</v>
      </c>
      <c r="BS32" s="55">
        <v>-917.42787834459034</v>
      </c>
      <c r="BT32" s="39">
        <v>4265.4749211737553</v>
      </c>
      <c r="BU32" s="39">
        <v>855.15841165811673</v>
      </c>
      <c r="BV32" s="52">
        <v>-3410.3165095156387</v>
      </c>
      <c r="BW32" s="39">
        <v>2268.4796377658272</v>
      </c>
      <c r="BX32" s="39">
        <v>3363.1602679961788</v>
      </c>
      <c r="BY32" s="52">
        <v>1094.6806302303517</v>
      </c>
      <c r="BZ32" s="39">
        <v>1226.8934002743631</v>
      </c>
      <c r="CA32" s="39">
        <v>4266.2904324508554</v>
      </c>
      <c r="CB32" s="52">
        <v>3039.3970321764923</v>
      </c>
      <c r="CC32" s="39">
        <v>223.05050836153961</v>
      </c>
      <c r="CD32" s="39">
        <v>220.05536016540088</v>
      </c>
      <c r="CE32" s="52">
        <v>-2.9951481961387287</v>
      </c>
      <c r="CF32" s="39">
        <v>27.458869400568325</v>
      </c>
      <c r="CG32" s="39">
        <v>0</v>
      </c>
      <c r="CH32" s="52">
        <v>-27.458869400568325</v>
      </c>
      <c r="CI32" s="39">
        <v>489.77524213652754</v>
      </c>
      <c r="CJ32" s="39">
        <v>823.56910064549083</v>
      </c>
      <c r="CK32" s="52">
        <v>333.7938585089633</v>
      </c>
      <c r="CL32" s="39">
        <v>0</v>
      </c>
      <c r="CM32" s="39">
        <v>0</v>
      </c>
      <c r="CN32" s="52">
        <v>0</v>
      </c>
      <c r="CO32" s="39">
        <v>489.77524213652754</v>
      </c>
      <c r="CP32" s="40">
        <v>823.56910064549083</v>
      </c>
      <c r="CQ32" s="52">
        <v>333.7938585089633</v>
      </c>
      <c r="CR32" s="72">
        <v>18205.841432906316</v>
      </c>
      <c r="CS32" s="5">
        <v>14060.362869361308</v>
      </c>
      <c r="CT32" s="52">
        <v>-4145.478563545008</v>
      </c>
      <c r="CU32" s="77">
        <v>21847.009719487578</v>
      </c>
      <c r="CV32" s="65">
        <v>16872.435443233568</v>
      </c>
      <c r="CW32" s="35">
        <v>-4974.5742762540103</v>
      </c>
      <c r="CX32" s="39">
        <v>546.17524298718945</v>
      </c>
      <c r="CY32" s="39">
        <v>5520.749519241197</v>
      </c>
      <c r="CZ32" s="52">
        <v>4974.5742762540076</v>
      </c>
      <c r="DA32" s="150">
        <v>16823.86174698859</v>
      </c>
      <c r="DB32" s="2">
        <v>2</v>
      </c>
      <c r="DC32" s="713">
        <v>23084.16</v>
      </c>
      <c r="DD32" s="714">
        <v>5097.84</v>
      </c>
      <c r="DE32" s="715">
        <v>12955.619274828076</v>
      </c>
      <c r="DF32" s="716">
        <v>4029.7882439345394</v>
      </c>
      <c r="DG32" s="717">
        <v>34834.357033863977</v>
      </c>
      <c r="DH32" s="718">
        <v>113890.81866147183</v>
      </c>
      <c r="DI32" s="718">
        <v>268718.21954969718</v>
      </c>
      <c r="DJ32" s="693">
        <v>230011.36932764086</v>
      </c>
      <c r="DK32" s="724"/>
      <c r="DL32" s="5"/>
      <c r="DM32" s="306">
        <v>5.2441445196085343</v>
      </c>
      <c r="DN32" s="306"/>
      <c r="DO32" s="306">
        <v>4.5218109909630009</v>
      </c>
      <c r="DP32" s="719">
        <v>10128.540725171924</v>
      </c>
      <c r="DQ32" s="720">
        <v>1068.0517560654607</v>
      </c>
      <c r="DR32" s="650">
        <v>11196.592481237385</v>
      </c>
      <c r="DS32" s="94">
        <v>11196.592481237381</v>
      </c>
      <c r="DT32" s="719">
        <v>10128.43</v>
      </c>
      <c r="DU32" s="725">
        <v>1068.0500000000002</v>
      </c>
      <c r="DV32" s="93">
        <v>11196.48</v>
      </c>
      <c r="DW32" s="95">
        <v>11251.210005536102</v>
      </c>
      <c r="DX32" s="28">
        <v>-54.730005536102908</v>
      </c>
      <c r="EA32" s="5">
        <v>4990.0219904999212</v>
      </c>
      <c r="EB32" s="5">
        <v>533.83164424438348</v>
      </c>
      <c r="EE32" s="722">
        <v>38891.08536486412</v>
      </c>
      <c r="EG32" s="42" t="s">
        <v>202</v>
      </c>
    </row>
    <row r="33" spans="1:137" x14ac:dyDescent="0.3">
      <c r="A33" s="325">
        <v>150000974</v>
      </c>
      <c r="B33" s="41" t="s">
        <v>488</v>
      </c>
      <c r="C33" s="42" t="s">
        <v>203</v>
      </c>
      <c r="D33" s="27">
        <v>4</v>
      </c>
      <c r="E33" s="709">
        <v>2315.5700000000002</v>
      </c>
      <c r="F33" s="723">
        <v>1907.4</v>
      </c>
      <c r="G33" s="28"/>
      <c r="H33" s="651">
        <v>408.17</v>
      </c>
      <c r="I33" s="39">
        <v>1092.2517325889678</v>
      </c>
      <c r="J33" s="39">
        <v>1172.0881306725605</v>
      </c>
      <c r="K33" s="52">
        <v>79.836398083592712</v>
      </c>
      <c r="L33" s="39">
        <v>157.0219321963082</v>
      </c>
      <c r="M33" s="39">
        <v>170.61274783988588</v>
      </c>
      <c r="N33" s="52">
        <v>13.590815643577685</v>
      </c>
      <c r="O33" s="39">
        <v>538.36</v>
      </c>
      <c r="P33" s="39">
        <v>538.36</v>
      </c>
      <c r="Q33" s="52">
        <v>0</v>
      </c>
      <c r="R33" s="39">
        <v>133.74</v>
      </c>
      <c r="S33" s="39">
        <v>133.74</v>
      </c>
      <c r="T33" s="52">
        <v>0</v>
      </c>
      <c r="U33" s="39">
        <v>0</v>
      </c>
      <c r="V33" s="39">
        <v>0</v>
      </c>
      <c r="W33" s="52">
        <v>0</v>
      </c>
      <c r="X33" s="39">
        <v>761.05043981804761</v>
      </c>
      <c r="Y33" s="39">
        <v>462.16907160128324</v>
      </c>
      <c r="Z33" s="52">
        <v>-298.88136821676437</v>
      </c>
      <c r="AA33" s="39">
        <v>0</v>
      </c>
      <c r="AB33" s="39">
        <v>0</v>
      </c>
      <c r="AC33" s="52">
        <v>0</v>
      </c>
      <c r="AD33" s="39">
        <v>1650.1645372235407</v>
      </c>
      <c r="AE33" s="39">
        <v>1384.6800470348921</v>
      </c>
      <c r="AF33" s="35">
        <v>-265.48449018864858</v>
      </c>
      <c r="AG33" s="77">
        <v>4332.5886418268637</v>
      </c>
      <c r="AH33" s="53">
        <v>3861.6499971486219</v>
      </c>
      <c r="AI33" s="52">
        <v>-470.93864467824187</v>
      </c>
      <c r="AJ33" s="39">
        <v>0</v>
      </c>
      <c r="AK33" s="39">
        <v>0</v>
      </c>
      <c r="AL33" s="52">
        <v>0</v>
      </c>
      <c r="AM33" s="39">
        <v>0</v>
      </c>
      <c r="AN33" s="39">
        <v>0</v>
      </c>
      <c r="AO33" s="52">
        <v>0</v>
      </c>
      <c r="AP33" s="39">
        <v>252.53803810497325</v>
      </c>
      <c r="AQ33" s="39">
        <v>0</v>
      </c>
      <c r="AR33" s="52">
        <v>-252.53803810497325</v>
      </c>
      <c r="AS33" s="39">
        <v>4387.3632503741846</v>
      </c>
      <c r="AT33" s="39">
        <v>391</v>
      </c>
      <c r="AU33" s="54">
        <v>-3996.3632503741846</v>
      </c>
      <c r="AV33" s="39">
        <v>184.08752228194177</v>
      </c>
      <c r="AW33" s="39">
        <v>0</v>
      </c>
      <c r="AX33" s="55">
        <v>-184.08752228194177</v>
      </c>
      <c r="AY33" s="39">
        <v>202.33697172952878</v>
      </c>
      <c r="AZ33" s="39">
        <v>0</v>
      </c>
      <c r="BA33" s="35">
        <v>-202.33697172952878</v>
      </c>
      <c r="BB33" s="39">
        <v>278.42593120908015</v>
      </c>
      <c r="BC33" s="39">
        <v>0</v>
      </c>
      <c r="BD33" s="55">
        <v>-278.42593120908015</v>
      </c>
      <c r="BE33" s="39">
        <v>166.3792122642065</v>
      </c>
      <c r="BF33" s="39">
        <v>0</v>
      </c>
      <c r="BG33" s="38">
        <v>-166.3792122642065</v>
      </c>
      <c r="BH33" s="39">
        <v>0</v>
      </c>
      <c r="BI33" s="39">
        <v>0</v>
      </c>
      <c r="BJ33" s="55">
        <v>0</v>
      </c>
      <c r="BK33" s="39">
        <v>99.57945223095534</v>
      </c>
      <c r="BL33" s="39">
        <v>0</v>
      </c>
      <c r="BM33" s="38">
        <v>-99.57945223095534</v>
      </c>
      <c r="BN33" s="39">
        <v>0</v>
      </c>
      <c r="BO33" s="39">
        <v>0</v>
      </c>
      <c r="BP33" s="55">
        <v>0</v>
      </c>
      <c r="BQ33" s="77">
        <v>930.8090897157125</v>
      </c>
      <c r="BR33" s="40">
        <v>0</v>
      </c>
      <c r="BS33" s="55">
        <v>-930.8090897157125</v>
      </c>
      <c r="BT33" s="39">
        <v>7227.9308855987092</v>
      </c>
      <c r="BU33" s="39">
        <v>1811.2838739040258</v>
      </c>
      <c r="BV33" s="52">
        <v>-5416.6470116946839</v>
      </c>
      <c r="BW33" s="39">
        <v>3758.0864221511893</v>
      </c>
      <c r="BX33" s="39">
        <v>5048.0755128636119</v>
      </c>
      <c r="BY33" s="52">
        <v>1289.9890907124227</v>
      </c>
      <c r="BZ33" s="39">
        <v>2305.6537305012353</v>
      </c>
      <c r="CA33" s="39">
        <v>7692.8132663696215</v>
      </c>
      <c r="CB33" s="52">
        <v>5387.1595358683862</v>
      </c>
      <c r="CC33" s="39">
        <v>0</v>
      </c>
      <c r="CD33" s="39">
        <v>0</v>
      </c>
      <c r="CE33" s="52">
        <v>0</v>
      </c>
      <c r="CF33" s="39">
        <v>0</v>
      </c>
      <c r="CG33" s="39">
        <v>0</v>
      </c>
      <c r="CH33" s="52">
        <v>0</v>
      </c>
      <c r="CI33" s="39">
        <v>474.17730448886743</v>
      </c>
      <c r="CJ33" s="39">
        <v>560.19061970485518</v>
      </c>
      <c r="CK33" s="52">
        <v>86.013315215987745</v>
      </c>
      <c r="CL33" s="39">
        <v>0</v>
      </c>
      <c r="CM33" s="39">
        <v>0</v>
      </c>
      <c r="CN33" s="52">
        <v>0</v>
      </c>
      <c r="CO33" s="39">
        <v>474.17730448886743</v>
      </c>
      <c r="CP33" s="40">
        <v>560.19061970485518</v>
      </c>
      <c r="CQ33" s="52">
        <v>86.013315215987745</v>
      </c>
      <c r="CR33" s="72">
        <v>23669.147362761734</v>
      </c>
      <c r="CS33" s="5">
        <v>19365.013269990737</v>
      </c>
      <c r="CT33" s="52">
        <v>-4304.1340927709971</v>
      </c>
      <c r="CU33" s="77">
        <v>28402.976835314079</v>
      </c>
      <c r="CV33" s="65">
        <v>23238.015923988885</v>
      </c>
      <c r="CW33" s="35">
        <v>-5164.9609113251936</v>
      </c>
      <c r="CX33" s="39">
        <v>426.04465252971119</v>
      </c>
      <c r="CY33" s="39">
        <v>5591.0055638549075</v>
      </c>
      <c r="CZ33" s="52">
        <v>5164.9609113251963</v>
      </c>
      <c r="DA33" s="150">
        <v>14949.045394988636</v>
      </c>
      <c r="DB33" s="2">
        <v>2</v>
      </c>
      <c r="DC33" s="713">
        <v>22847.55</v>
      </c>
      <c r="DD33" s="714">
        <v>27753.350000000002</v>
      </c>
      <c r="DE33" s="715">
        <v>10570.483827468544</v>
      </c>
      <c r="DF33" s="716">
        <v>25615.90542860956</v>
      </c>
      <c r="DG33" s="717">
        <v>-65624.389894819673</v>
      </c>
      <c r="DH33" s="718">
        <v>138982.48754446872</v>
      </c>
      <c r="DI33" s="718">
        <v>345948.25785412546</v>
      </c>
      <c r="DJ33" s="693">
        <v>294206.81527671125</v>
      </c>
      <c r="DK33" s="724"/>
      <c r="DL33" s="5"/>
      <c r="DM33" s="306">
        <v>6.4365451255800847</v>
      </c>
      <c r="DN33" s="306"/>
      <c r="DO33" s="306">
        <v>5.2366527951354618</v>
      </c>
      <c r="DP33" s="719">
        <v>12277.066172531455</v>
      </c>
      <c r="DQ33" s="720">
        <v>2137.4445713904415</v>
      </c>
      <c r="DR33" s="650">
        <v>14414.510743921895</v>
      </c>
      <c r="DS33" s="94">
        <v>14414.510743921895</v>
      </c>
      <c r="DT33" s="719">
        <v>12275.72</v>
      </c>
      <c r="DU33" s="725">
        <v>2216.0299999999997</v>
      </c>
      <c r="DV33" s="93">
        <v>14491.75</v>
      </c>
      <c r="DW33" s="95">
        <v>14457.115209174868</v>
      </c>
      <c r="DX33" s="28">
        <v>34.634790825131859</v>
      </c>
      <c r="EA33" s="5">
        <v>6381.8068081078763</v>
      </c>
      <c r="EB33" s="5">
        <v>469.2</v>
      </c>
      <c r="EE33" s="722">
        <v>52648.359004490216</v>
      </c>
      <c r="EG33" s="42" t="s">
        <v>203</v>
      </c>
    </row>
    <row r="34" spans="1:137" x14ac:dyDescent="0.3">
      <c r="A34" s="325">
        <v>150000975</v>
      </c>
      <c r="B34" s="41" t="s">
        <v>489</v>
      </c>
      <c r="C34" s="42" t="s">
        <v>204</v>
      </c>
      <c r="D34" s="27">
        <v>4</v>
      </c>
      <c r="E34" s="709">
        <v>3253.33</v>
      </c>
      <c r="F34" s="723">
        <v>2888.6</v>
      </c>
      <c r="G34" s="28"/>
      <c r="H34" s="651">
        <v>364.73</v>
      </c>
      <c r="I34" s="39">
        <v>1639.0758812242188</v>
      </c>
      <c r="J34" s="39">
        <v>1761.1401833789357</v>
      </c>
      <c r="K34" s="52">
        <v>122.06430215471687</v>
      </c>
      <c r="L34" s="39">
        <v>323.26680624618496</v>
      </c>
      <c r="M34" s="39">
        <v>351.24577955102137</v>
      </c>
      <c r="N34" s="52">
        <v>27.978973304836416</v>
      </c>
      <c r="O34" s="39">
        <v>762.1</v>
      </c>
      <c r="P34" s="39">
        <v>762.1</v>
      </c>
      <c r="Q34" s="52">
        <v>0</v>
      </c>
      <c r="R34" s="39">
        <v>0</v>
      </c>
      <c r="S34" s="39">
        <v>0</v>
      </c>
      <c r="T34" s="52">
        <v>0</v>
      </c>
      <c r="U34" s="39">
        <v>0</v>
      </c>
      <c r="V34" s="39">
        <v>0</v>
      </c>
      <c r="W34" s="52">
        <v>0</v>
      </c>
      <c r="X34" s="39">
        <v>1358.3859075355863</v>
      </c>
      <c r="Y34" s="39">
        <v>839.12803602989925</v>
      </c>
      <c r="Z34" s="52">
        <v>-519.25787150568704</v>
      </c>
      <c r="AA34" s="39">
        <v>0</v>
      </c>
      <c r="AB34" s="39">
        <v>0</v>
      </c>
      <c r="AC34" s="52">
        <v>0</v>
      </c>
      <c r="AD34" s="39">
        <v>2318.4485003197747</v>
      </c>
      <c r="AE34" s="39">
        <v>1945.4480483941429</v>
      </c>
      <c r="AF34" s="35">
        <v>-373.00045192563175</v>
      </c>
      <c r="AG34" s="77">
        <v>6401.2770953257641</v>
      </c>
      <c r="AH34" s="53">
        <v>5659.0620473539993</v>
      </c>
      <c r="AI34" s="52">
        <v>-742.21504797176476</v>
      </c>
      <c r="AJ34" s="39">
        <v>0</v>
      </c>
      <c r="AK34" s="39">
        <v>0</v>
      </c>
      <c r="AL34" s="52">
        <v>0</v>
      </c>
      <c r="AM34" s="39">
        <v>0</v>
      </c>
      <c r="AN34" s="39">
        <v>0</v>
      </c>
      <c r="AO34" s="52">
        <v>0</v>
      </c>
      <c r="AP34" s="39">
        <v>1207.4474946894034</v>
      </c>
      <c r="AQ34" s="39">
        <v>2730.2342756622252</v>
      </c>
      <c r="AR34" s="52">
        <v>1522.7867809728218</v>
      </c>
      <c r="AS34" s="39">
        <v>4323.9715266595067</v>
      </c>
      <c r="AT34" s="39">
        <v>521</v>
      </c>
      <c r="AU34" s="54">
        <v>-3802.9715266595067</v>
      </c>
      <c r="AV34" s="39">
        <v>277.79676139153776</v>
      </c>
      <c r="AW34" s="39">
        <v>270</v>
      </c>
      <c r="AX34" s="55">
        <v>-7.7967613915377569</v>
      </c>
      <c r="AY34" s="39">
        <v>416.66744932240522</v>
      </c>
      <c r="AZ34" s="39">
        <v>0</v>
      </c>
      <c r="BA34" s="35">
        <v>-416.66744932240522</v>
      </c>
      <c r="BB34" s="39">
        <v>404.66261151588901</v>
      </c>
      <c r="BC34" s="39">
        <v>0</v>
      </c>
      <c r="BD34" s="55">
        <v>-404.66261151588901</v>
      </c>
      <c r="BE34" s="39">
        <v>0</v>
      </c>
      <c r="BF34" s="39">
        <v>0</v>
      </c>
      <c r="BG34" s="38">
        <v>0</v>
      </c>
      <c r="BH34" s="39">
        <v>0</v>
      </c>
      <c r="BI34" s="39">
        <v>0</v>
      </c>
      <c r="BJ34" s="55">
        <v>0</v>
      </c>
      <c r="BK34" s="39">
        <v>182.40649484309614</v>
      </c>
      <c r="BL34" s="39">
        <v>0</v>
      </c>
      <c r="BM34" s="38">
        <v>-182.40649484309614</v>
      </c>
      <c r="BN34" s="39">
        <v>0</v>
      </c>
      <c r="BO34" s="39">
        <v>0</v>
      </c>
      <c r="BP34" s="55">
        <v>0</v>
      </c>
      <c r="BQ34" s="77">
        <v>1281.5333170729282</v>
      </c>
      <c r="BR34" s="40">
        <v>270</v>
      </c>
      <c r="BS34" s="55">
        <v>-1011.5333170729282</v>
      </c>
      <c r="BT34" s="39">
        <v>6821.3572378848621</v>
      </c>
      <c r="BU34" s="39">
        <v>1902.1270806268935</v>
      </c>
      <c r="BV34" s="52">
        <v>-4919.230157257969</v>
      </c>
      <c r="BW34" s="39">
        <v>4435.9907341832659</v>
      </c>
      <c r="BX34" s="39">
        <v>6558.1270478371544</v>
      </c>
      <c r="BY34" s="52">
        <v>2122.1363136538885</v>
      </c>
      <c r="BZ34" s="39">
        <v>2860.879907325454</v>
      </c>
      <c r="CA34" s="39">
        <v>7949.2443423161913</v>
      </c>
      <c r="CB34" s="52">
        <v>5088.3644349907372</v>
      </c>
      <c r="CC34" s="39">
        <v>169.12620963677182</v>
      </c>
      <c r="CD34" s="39">
        <v>166.85516320233694</v>
      </c>
      <c r="CE34" s="52">
        <v>-2.2710464344348793</v>
      </c>
      <c r="CF34" s="39">
        <v>20.820461413617743</v>
      </c>
      <c r="CG34" s="39">
        <v>0</v>
      </c>
      <c r="CH34" s="52">
        <v>-20.820461413617743</v>
      </c>
      <c r="CI34" s="39">
        <v>386.82885366197075</v>
      </c>
      <c r="CJ34" s="39">
        <v>805.27541494576758</v>
      </c>
      <c r="CK34" s="52">
        <v>418.44656128379683</v>
      </c>
      <c r="CL34" s="39">
        <v>0</v>
      </c>
      <c r="CM34" s="39">
        <v>0</v>
      </c>
      <c r="CN34" s="52">
        <v>0</v>
      </c>
      <c r="CO34" s="39">
        <v>386.82885366197075</v>
      </c>
      <c r="CP34" s="40">
        <v>805.27541494576758</v>
      </c>
      <c r="CQ34" s="52">
        <v>418.44656128379683</v>
      </c>
      <c r="CR34" s="72">
        <v>27909.232837853542</v>
      </c>
      <c r="CS34" s="5">
        <v>26561.92537194457</v>
      </c>
      <c r="CT34" s="52">
        <v>-1347.3074659089725</v>
      </c>
      <c r="CU34" s="77">
        <v>33491.079405424251</v>
      </c>
      <c r="CV34" s="65">
        <v>31874.310446333482</v>
      </c>
      <c r="CW34" s="35">
        <v>-1616.7689590907685</v>
      </c>
      <c r="CX34" s="39">
        <v>0</v>
      </c>
      <c r="CY34" s="39">
        <v>1616.7689590907721</v>
      </c>
      <c r="CZ34" s="52">
        <v>1616.7689590907721</v>
      </c>
      <c r="DA34" s="150">
        <v>28083.491849415394</v>
      </c>
      <c r="DB34" s="2">
        <v>2</v>
      </c>
      <c r="DC34" s="713">
        <v>40177.29</v>
      </c>
      <c r="DD34" s="714">
        <v>1602.8600000000001</v>
      </c>
      <c r="DE34" s="715">
        <v>25010.697823509621</v>
      </c>
      <c r="DF34" s="716">
        <v>23.912473778252661</v>
      </c>
      <c r="DG34" s="717">
        <v>5604.0790203478209</v>
      </c>
      <c r="DH34" s="718">
        <v>160923.43580562464</v>
      </c>
      <c r="DI34" s="718">
        <v>401892.95286509104</v>
      </c>
      <c r="DJ34" s="693">
        <v>341650.57360022445</v>
      </c>
      <c r="DK34" s="724"/>
      <c r="DL34" s="5"/>
      <c r="DM34" s="306">
        <v>5.2504992648654643</v>
      </c>
      <c r="DN34" s="306"/>
      <c r="DO34" s="306">
        <v>4.3290859710518665</v>
      </c>
      <c r="DP34" s="719">
        <v>15166.59217649038</v>
      </c>
      <c r="DQ34" s="720">
        <v>1578.9475262217475</v>
      </c>
      <c r="DR34" s="650">
        <v>16745.539702712129</v>
      </c>
      <c r="DS34" s="94">
        <v>16745.539702712122</v>
      </c>
      <c r="DT34" s="719">
        <v>15166.59</v>
      </c>
      <c r="DU34" s="725">
        <v>1578.95</v>
      </c>
      <c r="DV34" s="93">
        <v>16745.54</v>
      </c>
      <c r="DW34" s="95">
        <v>16745.539702712125</v>
      </c>
      <c r="DX34" s="28">
        <v>2.9728787558269687E-4</v>
      </c>
      <c r="EA34" s="5">
        <v>6726.6058124789215</v>
      </c>
      <c r="EB34" s="5">
        <v>949.19999999999993</v>
      </c>
      <c r="EE34" s="722">
        <v>51887.65831991408</v>
      </c>
      <c r="EG34" s="42" t="s">
        <v>204</v>
      </c>
    </row>
    <row r="35" spans="1:137" x14ac:dyDescent="0.3">
      <c r="A35" s="325">
        <v>150000976</v>
      </c>
      <c r="B35" s="41" t="s">
        <v>490</v>
      </c>
      <c r="C35" s="42" t="s">
        <v>150</v>
      </c>
      <c r="D35" s="27">
        <v>2</v>
      </c>
      <c r="E35" s="709">
        <v>924.5</v>
      </c>
      <c r="F35" s="723">
        <v>821.7</v>
      </c>
      <c r="G35" s="28"/>
      <c r="H35" s="651">
        <v>102.8</v>
      </c>
      <c r="I35" s="39">
        <v>754.72357126679117</v>
      </c>
      <c r="J35" s="39">
        <v>806.478462302651</v>
      </c>
      <c r="K35" s="52">
        <v>51.754891035859828</v>
      </c>
      <c r="L35" s="39">
        <v>138.23324054312235</v>
      </c>
      <c r="M35" s="39">
        <v>150.19708925728651</v>
      </c>
      <c r="N35" s="52">
        <v>11.963848714164158</v>
      </c>
      <c r="O35" s="39">
        <v>209.56</v>
      </c>
      <c r="P35" s="39">
        <v>209.56</v>
      </c>
      <c r="Q35" s="52">
        <v>0</v>
      </c>
      <c r="R35" s="39">
        <v>51.74</v>
      </c>
      <c r="S35" s="39">
        <v>51.74</v>
      </c>
      <c r="T35" s="52">
        <v>0</v>
      </c>
      <c r="U35" s="39">
        <v>0</v>
      </c>
      <c r="V35" s="39">
        <v>0</v>
      </c>
      <c r="W35" s="52">
        <v>0</v>
      </c>
      <c r="X35" s="39">
        <v>275.97152374268182</v>
      </c>
      <c r="Y35" s="39">
        <v>162.58832066206566</v>
      </c>
      <c r="Z35" s="52">
        <v>-113.38320308061617</v>
      </c>
      <c r="AA35" s="39">
        <v>0</v>
      </c>
      <c r="AB35" s="39">
        <v>0</v>
      </c>
      <c r="AC35" s="52">
        <v>0</v>
      </c>
      <c r="AD35" s="39">
        <v>658.83437540785349</v>
      </c>
      <c r="AE35" s="39">
        <v>552.83869780821033</v>
      </c>
      <c r="AF35" s="35">
        <v>-105.99567759964316</v>
      </c>
      <c r="AG35" s="77">
        <v>2089.0627109604484</v>
      </c>
      <c r="AH35" s="53">
        <v>1933.4025700302134</v>
      </c>
      <c r="AI35" s="52">
        <v>-155.660140930235</v>
      </c>
      <c r="AJ35" s="39">
        <v>0</v>
      </c>
      <c r="AK35" s="39">
        <v>0</v>
      </c>
      <c r="AL35" s="52">
        <v>0</v>
      </c>
      <c r="AM35" s="39">
        <v>0</v>
      </c>
      <c r="AN35" s="39">
        <v>0</v>
      </c>
      <c r="AO35" s="52">
        <v>0</v>
      </c>
      <c r="AP35" s="39">
        <v>126.26901905248663</v>
      </c>
      <c r="AQ35" s="39">
        <v>0</v>
      </c>
      <c r="AR35" s="52">
        <v>-126.26901905248663</v>
      </c>
      <c r="AS35" s="39">
        <v>1612.6337968136643</v>
      </c>
      <c r="AT35" s="39">
        <v>391</v>
      </c>
      <c r="AU35" s="54">
        <v>-1221.6337968136643</v>
      </c>
      <c r="AV35" s="39">
        <v>136.67164351341606</v>
      </c>
      <c r="AW35" s="39">
        <v>0</v>
      </c>
      <c r="AX35" s="55">
        <v>-136.67164351341606</v>
      </c>
      <c r="AY35" s="39">
        <v>178.18470192067068</v>
      </c>
      <c r="AZ35" s="39">
        <v>0</v>
      </c>
      <c r="BA35" s="35">
        <v>-178.18470192067068</v>
      </c>
      <c r="BB35" s="39">
        <v>92.228281868088715</v>
      </c>
      <c r="BC35" s="39">
        <v>0</v>
      </c>
      <c r="BD35" s="55">
        <v>-92.228281868088715</v>
      </c>
      <c r="BE35" s="39">
        <v>61.697166401660027</v>
      </c>
      <c r="BF35" s="39">
        <v>0</v>
      </c>
      <c r="BG35" s="38">
        <v>-61.697166401660027</v>
      </c>
      <c r="BH35" s="39">
        <v>0</v>
      </c>
      <c r="BI35" s="39">
        <v>0</v>
      </c>
      <c r="BJ35" s="55">
        <v>0</v>
      </c>
      <c r="BK35" s="39">
        <v>29.632726397869654</v>
      </c>
      <c r="BL35" s="39">
        <v>0</v>
      </c>
      <c r="BM35" s="38">
        <v>-29.632726397869654</v>
      </c>
      <c r="BN35" s="39">
        <v>59.090917443770564</v>
      </c>
      <c r="BO35" s="39">
        <v>0</v>
      </c>
      <c r="BP35" s="55">
        <v>-59.090917443770564</v>
      </c>
      <c r="BQ35" s="77">
        <v>557.50543754547573</v>
      </c>
      <c r="BR35" s="40">
        <v>0</v>
      </c>
      <c r="BS35" s="55">
        <v>-557.50543754547573</v>
      </c>
      <c r="BT35" s="39">
        <v>2217.985281707286</v>
      </c>
      <c r="BU35" s="39">
        <v>570.94719343343149</v>
      </c>
      <c r="BV35" s="52">
        <v>-1647.0380882738546</v>
      </c>
      <c r="BW35" s="39">
        <v>1211.3714592213919</v>
      </c>
      <c r="BX35" s="39">
        <v>2534.5649211108293</v>
      </c>
      <c r="BY35" s="52">
        <v>1323.1934618894375</v>
      </c>
      <c r="BZ35" s="39">
        <v>761.99191271804148</v>
      </c>
      <c r="CA35" s="39">
        <v>2425.0624171665445</v>
      </c>
      <c r="CB35" s="52">
        <v>1663.070504448503</v>
      </c>
      <c r="CC35" s="39">
        <v>0</v>
      </c>
      <c r="CD35" s="39">
        <v>0</v>
      </c>
      <c r="CE35" s="52">
        <v>0</v>
      </c>
      <c r="CF35" s="39">
        <v>0</v>
      </c>
      <c r="CG35" s="39">
        <v>0</v>
      </c>
      <c r="CH35" s="52">
        <v>0</v>
      </c>
      <c r="CI35" s="39">
        <v>436.74225413448318</v>
      </c>
      <c r="CJ35" s="39">
        <v>404.79175524393708</v>
      </c>
      <c r="CK35" s="52">
        <v>-31.9504988905461</v>
      </c>
      <c r="CL35" s="39">
        <v>0</v>
      </c>
      <c r="CM35" s="39">
        <v>0</v>
      </c>
      <c r="CN35" s="52">
        <v>0</v>
      </c>
      <c r="CO35" s="39">
        <v>436.74225413448318</v>
      </c>
      <c r="CP35" s="40">
        <v>404.79175524393708</v>
      </c>
      <c r="CQ35" s="52">
        <v>-31.9504988905461</v>
      </c>
      <c r="CR35" s="72">
        <v>9013.5618721532792</v>
      </c>
      <c r="CS35" s="5">
        <v>8259.7688569849561</v>
      </c>
      <c r="CT35" s="52">
        <v>-753.79301516832311</v>
      </c>
      <c r="CU35" s="77">
        <v>10816.274246583935</v>
      </c>
      <c r="CV35" s="65">
        <v>9911.7226283819473</v>
      </c>
      <c r="CW35" s="35">
        <v>-904.55161820198737</v>
      </c>
      <c r="CX35" s="39">
        <v>270.40685616459837</v>
      </c>
      <c r="CY35" s="39">
        <v>1174.9584743665864</v>
      </c>
      <c r="CZ35" s="52">
        <v>904.55161820198805</v>
      </c>
      <c r="DA35" s="150">
        <v>10890.346964664444</v>
      </c>
      <c r="DB35" s="2">
        <v>2</v>
      </c>
      <c r="DC35" s="713">
        <v>18877.46</v>
      </c>
      <c r="DD35" s="714">
        <v>8875.619999999999</v>
      </c>
      <c r="DE35" s="715">
        <v>13867.672809671032</v>
      </c>
      <c r="DF35" s="716">
        <v>8342.0666389546986</v>
      </c>
      <c r="DG35" s="717">
        <v>28347.360366821929</v>
      </c>
      <c r="DH35" s="718">
        <v>59479.790608635405</v>
      </c>
      <c r="DI35" s="718">
        <v>133040.1732329824</v>
      </c>
      <c r="DJ35" s="693">
        <v>114650.07757689565</v>
      </c>
      <c r="DK35" s="724"/>
      <c r="DL35" s="5"/>
      <c r="DM35" s="306">
        <v>6.0968567486052896</v>
      </c>
      <c r="DN35" s="306"/>
      <c r="DO35" s="306">
        <v>5.1902077922694545</v>
      </c>
      <c r="DP35" s="719">
        <v>5009.787190328967</v>
      </c>
      <c r="DQ35" s="720">
        <v>533.55336104529988</v>
      </c>
      <c r="DR35" s="650">
        <v>5543.3405513742673</v>
      </c>
      <c r="DS35" s="94">
        <v>5543.3405513742655</v>
      </c>
      <c r="DT35" s="719">
        <v>5009.82</v>
      </c>
      <c r="DU35" s="725">
        <v>534.59</v>
      </c>
      <c r="DV35" s="93">
        <v>5544.41</v>
      </c>
      <c r="DW35" s="95">
        <v>5570.3812369907264</v>
      </c>
      <c r="DX35" s="28">
        <v>-25.971236990726538</v>
      </c>
      <c r="EA35" s="5">
        <v>2604.1670812309681</v>
      </c>
      <c r="EB35" s="5">
        <v>469.2</v>
      </c>
      <c r="EE35" s="722">
        <v>19351.605561763972</v>
      </c>
      <c r="EG35" s="42" t="s">
        <v>150</v>
      </c>
    </row>
    <row r="36" spans="1:137" x14ac:dyDescent="0.3">
      <c r="A36" s="325">
        <v>150000977</v>
      </c>
      <c r="B36" s="41" t="s">
        <v>491</v>
      </c>
      <c r="C36" s="42" t="s">
        <v>151</v>
      </c>
      <c r="D36" s="27">
        <v>2</v>
      </c>
      <c r="E36" s="709">
        <v>909.2</v>
      </c>
      <c r="F36" s="723">
        <v>654.20000000000005</v>
      </c>
      <c r="G36" s="28"/>
      <c r="H36" s="651">
        <v>255</v>
      </c>
      <c r="I36" s="39">
        <v>725.91388676437407</v>
      </c>
      <c r="J36" s="39">
        <v>774.67731272672825</v>
      </c>
      <c r="K36" s="52">
        <v>48.763425962354177</v>
      </c>
      <c r="L36" s="39">
        <v>138.23324054312235</v>
      </c>
      <c r="M36" s="39">
        <v>150.19708925728651</v>
      </c>
      <c r="N36" s="52">
        <v>11.963848714164158</v>
      </c>
      <c r="O36" s="39">
        <v>198.6</v>
      </c>
      <c r="P36" s="39">
        <v>198.6</v>
      </c>
      <c r="Q36" s="52">
        <v>0</v>
      </c>
      <c r="R36" s="39">
        <v>0</v>
      </c>
      <c r="S36" s="39">
        <v>0</v>
      </c>
      <c r="T36" s="52">
        <v>0</v>
      </c>
      <c r="U36" s="39">
        <v>0</v>
      </c>
      <c r="V36" s="39">
        <v>0</v>
      </c>
      <c r="W36" s="52">
        <v>0</v>
      </c>
      <c r="X36" s="39">
        <v>275.97152374268182</v>
      </c>
      <c r="Y36" s="39">
        <v>162.23508051564181</v>
      </c>
      <c r="Z36" s="52">
        <v>-113.73644322704001</v>
      </c>
      <c r="AA36" s="39">
        <v>0</v>
      </c>
      <c r="AB36" s="39">
        <v>0</v>
      </c>
      <c r="AC36" s="52">
        <v>0</v>
      </c>
      <c r="AD36" s="39">
        <v>647.9310049981832</v>
      </c>
      <c r="AE36" s="39">
        <v>543.68950140316383</v>
      </c>
      <c r="AF36" s="35">
        <v>-104.24150359501937</v>
      </c>
      <c r="AG36" s="77">
        <v>1986.6496560483615</v>
      </c>
      <c r="AH36" s="53">
        <v>1829.3989839028204</v>
      </c>
      <c r="AI36" s="52">
        <v>-157.2506721455411</v>
      </c>
      <c r="AJ36" s="39">
        <v>0</v>
      </c>
      <c r="AK36" s="39">
        <v>0</v>
      </c>
      <c r="AL36" s="52">
        <v>0</v>
      </c>
      <c r="AM36" s="39">
        <v>0</v>
      </c>
      <c r="AN36" s="39">
        <v>0</v>
      </c>
      <c r="AO36" s="52">
        <v>0</v>
      </c>
      <c r="AP36" s="39">
        <v>307.78073394043616</v>
      </c>
      <c r="AQ36" s="39">
        <v>910.07809188740839</v>
      </c>
      <c r="AR36" s="52">
        <v>602.29735794697217</v>
      </c>
      <c r="AS36" s="39">
        <v>2178.8177220652046</v>
      </c>
      <c r="AT36" s="39">
        <v>391</v>
      </c>
      <c r="AU36" s="54">
        <v>-1787.8177220652046</v>
      </c>
      <c r="AV36" s="39">
        <v>134.92297425237206</v>
      </c>
      <c r="AW36" s="39">
        <v>0</v>
      </c>
      <c r="AX36" s="55">
        <v>-134.92297425237206</v>
      </c>
      <c r="AY36" s="39">
        <v>178.18470192067068</v>
      </c>
      <c r="AZ36" s="39">
        <v>0</v>
      </c>
      <c r="BA36" s="35">
        <v>-178.18470192067068</v>
      </c>
      <c r="BB36" s="39">
        <v>105.77277688990097</v>
      </c>
      <c r="BC36" s="39">
        <v>0</v>
      </c>
      <c r="BD36" s="55">
        <v>-105.77277688990097</v>
      </c>
      <c r="BE36" s="39">
        <v>0</v>
      </c>
      <c r="BF36" s="39">
        <v>0</v>
      </c>
      <c r="BG36" s="38">
        <v>0</v>
      </c>
      <c r="BH36" s="39">
        <v>0</v>
      </c>
      <c r="BI36" s="39">
        <v>0</v>
      </c>
      <c r="BJ36" s="55">
        <v>0</v>
      </c>
      <c r="BK36" s="39">
        <v>29.632726397869654</v>
      </c>
      <c r="BL36" s="39">
        <v>0</v>
      </c>
      <c r="BM36" s="38">
        <v>-29.632726397869654</v>
      </c>
      <c r="BN36" s="39">
        <v>0</v>
      </c>
      <c r="BO36" s="39">
        <v>0</v>
      </c>
      <c r="BP36" s="55">
        <v>0</v>
      </c>
      <c r="BQ36" s="77">
        <v>448.51317946081332</v>
      </c>
      <c r="BR36" s="40">
        <v>0</v>
      </c>
      <c r="BS36" s="55">
        <v>-448.51317946081332</v>
      </c>
      <c r="BT36" s="39">
        <v>2782.7782267533348</v>
      </c>
      <c r="BU36" s="39">
        <v>603.37258587325141</v>
      </c>
      <c r="BV36" s="52">
        <v>-2179.4056408800834</v>
      </c>
      <c r="BW36" s="39">
        <v>1133.3408699124648</v>
      </c>
      <c r="BX36" s="39">
        <v>2436.1338115410849</v>
      </c>
      <c r="BY36" s="52">
        <v>1302.7929416286202</v>
      </c>
      <c r="BZ36" s="39">
        <v>430.90234740318891</v>
      </c>
      <c r="CA36" s="39">
        <v>2563.5332323952907</v>
      </c>
      <c r="CB36" s="52">
        <v>2132.630884992102</v>
      </c>
      <c r="CC36" s="39">
        <v>0</v>
      </c>
      <c r="CD36" s="39">
        <v>0</v>
      </c>
      <c r="CE36" s="52">
        <v>0</v>
      </c>
      <c r="CF36" s="39">
        <v>0</v>
      </c>
      <c r="CG36" s="39">
        <v>0</v>
      </c>
      <c r="CH36" s="52">
        <v>0</v>
      </c>
      <c r="CI36" s="39">
        <v>180.9360767128573</v>
      </c>
      <c r="CJ36" s="39">
        <v>580.53041623320701</v>
      </c>
      <c r="CK36" s="52">
        <v>399.59433952034971</v>
      </c>
      <c r="CL36" s="39">
        <v>0</v>
      </c>
      <c r="CM36" s="39">
        <v>0</v>
      </c>
      <c r="CN36" s="52">
        <v>0</v>
      </c>
      <c r="CO36" s="39">
        <v>180.9360767128573</v>
      </c>
      <c r="CP36" s="40">
        <v>580.53041623320701</v>
      </c>
      <c r="CQ36" s="52">
        <v>399.59433952034971</v>
      </c>
      <c r="CR36" s="72">
        <v>9449.7188122966618</v>
      </c>
      <c r="CS36" s="5">
        <v>9314.047121833064</v>
      </c>
      <c r="CT36" s="52">
        <v>-135.67169046359777</v>
      </c>
      <c r="CU36" s="77">
        <v>11339.662574755994</v>
      </c>
      <c r="CV36" s="65">
        <v>11176.856546199677</v>
      </c>
      <c r="CW36" s="35">
        <v>-162.80602855631696</v>
      </c>
      <c r="CX36" s="39">
        <v>0</v>
      </c>
      <c r="CY36" s="39">
        <v>162.80602855631969</v>
      </c>
      <c r="CZ36" s="52">
        <v>162.80602855631969</v>
      </c>
      <c r="DA36" s="150">
        <v>5107.6758636362792</v>
      </c>
      <c r="DB36" s="2">
        <v>2</v>
      </c>
      <c r="DC36" s="713">
        <v>4455.74</v>
      </c>
      <c r="DD36" s="714">
        <v>6388.19</v>
      </c>
      <c r="DE36" s="715">
        <v>185.38718290882844</v>
      </c>
      <c r="DF36" s="716">
        <v>4988.7115297131731</v>
      </c>
      <c r="DG36" s="717">
        <v>-11404.467976235966</v>
      </c>
      <c r="DH36" s="718">
        <v>54872.908567787978</v>
      </c>
      <c r="DI36" s="718">
        <v>136075.95089707192</v>
      </c>
      <c r="DJ36" s="693">
        <v>115775.19031475093</v>
      </c>
      <c r="DK36" s="724"/>
      <c r="DL36" s="5"/>
      <c r="DM36" s="306">
        <v>6.5275952569415638</v>
      </c>
      <c r="DN36" s="306"/>
      <c r="DO36" s="306">
        <v>5.4881508638699055</v>
      </c>
      <c r="DP36" s="719">
        <v>4270.3528170911713</v>
      </c>
      <c r="DQ36" s="720">
        <v>1399.478470286826</v>
      </c>
      <c r="DR36" s="650">
        <v>5669.8312873779978</v>
      </c>
      <c r="DS36" s="94">
        <v>5669.831287377996</v>
      </c>
      <c r="DT36" s="719">
        <v>4270.3599999999997</v>
      </c>
      <c r="DU36" s="725">
        <v>1399.5</v>
      </c>
      <c r="DV36" s="93">
        <v>5669.86</v>
      </c>
      <c r="DW36" s="95">
        <v>5669.8312873779969</v>
      </c>
      <c r="DX36" s="28">
        <v>2.8712622002785793E-2</v>
      </c>
      <c r="EA36" s="5">
        <v>3152.7970818312215</v>
      </c>
      <c r="EB36" s="5">
        <v>469.2</v>
      </c>
      <c r="EE36" s="722">
        <v>26145.812664782454</v>
      </c>
      <c r="EG36" s="42" t="s">
        <v>151</v>
      </c>
    </row>
    <row r="37" spans="1:137" x14ac:dyDescent="0.3">
      <c r="A37" s="325">
        <v>150000978</v>
      </c>
      <c r="B37" s="41" t="s">
        <v>492</v>
      </c>
      <c r="C37" s="42" t="s">
        <v>244</v>
      </c>
      <c r="D37" s="27">
        <v>5</v>
      </c>
      <c r="E37" s="709">
        <v>1867.1</v>
      </c>
      <c r="F37" s="723">
        <v>1730</v>
      </c>
      <c r="G37" s="28"/>
      <c r="H37" s="651">
        <v>137.1</v>
      </c>
      <c r="I37" s="39">
        <v>1018.6981411229349</v>
      </c>
      <c r="J37" s="39">
        <v>1096.4285438924076</v>
      </c>
      <c r="K37" s="52">
        <v>77.730402769472676</v>
      </c>
      <c r="L37" s="39">
        <v>174.77607321260498</v>
      </c>
      <c r="M37" s="39">
        <v>189.90313390218455</v>
      </c>
      <c r="N37" s="52">
        <v>15.127060689579565</v>
      </c>
      <c r="O37" s="39">
        <v>474.54</v>
      </c>
      <c r="P37" s="39">
        <v>474.54</v>
      </c>
      <c r="Q37" s="52">
        <v>0</v>
      </c>
      <c r="R37" s="39">
        <v>0</v>
      </c>
      <c r="S37" s="39">
        <v>0</v>
      </c>
      <c r="T37" s="52">
        <v>0</v>
      </c>
      <c r="U37" s="39">
        <v>0</v>
      </c>
      <c r="V37" s="39">
        <v>0</v>
      </c>
      <c r="W37" s="52">
        <v>0</v>
      </c>
      <c r="X37" s="39">
        <v>534.8229636829783</v>
      </c>
      <c r="Y37" s="39">
        <v>471.63934291898715</v>
      </c>
      <c r="Z37" s="52">
        <v>-63.183620763991144</v>
      </c>
      <c r="AA37" s="39">
        <v>0</v>
      </c>
      <c r="AB37" s="39">
        <v>0</v>
      </c>
      <c r="AC37" s="52">
        <v>0</v>
      </c>
      <c r="AD37" s="39">
        <v>1330.5675092742056</v>
      </c>
      <c r="AE37" s="39">
        <v>1116.5009547622601</v>
      </c>
      <c r="AF37" s="35">
        <v>-214.06655451194547</v>
      </c>
      <c r="AG37" s="77">
        <v>3533.4046872927238</v>
      </c>
      <c r="AH37" s="53">
        <v>3349.0119754758389</v>
      </c>
      <c r="AI37" s="52">
        <v>-184.39271181688491</v>
      </c>
      <c r="AJ37" s="39">
        <v>0</v>
      </c>
      <c r="AK37" s="39">
        <v>0</v>
      </c>
      <c r="AL37" s="52">
        <v>0</v>
      </c>
      <c r="AM37" s="39">
        <v>0</v>
      </c>
      <c r="AN37" s="39">
        <v>0</v>
      </c>
      <c r="AO37" s="52">
        <v>0</v>
      </c>
      <c r="AP37" s="39">
        <v>875.99131967662606</v>
      </c>
      <c r="AQ37" s="39">
        <v>2590.222261525701</v>
      </c>
      <c r="AR37" s="52">
        <v>1714.230941849075</v>
      </c>
      <c r="AS37" s="39">
        <v>3816.6006608944781</v>
      </c>
      <c r="AT37" s="39">
        <v>261</v>
      </c>
      <c r="AU37" s="54">
        <v>-3555.6006608944781</v>
      </c>
      <c r="AV37" s="39">
        <v>169.22371489358517</v>
      </c>
      <c r="AW37" s="39">
        <v>0</v>
      </c>
      <c r="AX37" s="55">
        <v>-169.22371489358517</v>
      </c>
      <c r="AY37" s="39">
        <v>225.284932994836</v>
      </c>
      <c r="AZ37" s="39">
        <v>0</v>
      </c>
      <c r="BA37" s="35">
        <v>-225.284932994836</v>
      </c>
      <c r="BB37" s="39">
        <v>197.05114053367473</v>
      </c>
      <c r="BC37" s="39">
        <v>0</v>
      </c>
      <c r="BD37" s="55">
        <v>-197.05114053367473</v>
      </c>
      <c r="BE37" s="39">
        <v>0</v>
      </c>
      <c r="BF37" s="39">
        <v>0</v>
      </c>
      <c r="BG37" s="38">
        <v>0</v>
      </c>
      <c r="BH37" s="39">
        <v>0</v>
      </c>
      <c r="BI37" s="39">
        <v>0</v>
      </c>
      <c r="BJ37" s="55">
        <v>0</v>
      </c>
      <c r="BK37" s="39">
        <v>65.725572763423372</v>
      </c>
      <c r="BL37" s="39">
        <v>711</v>
      </c>
      <c r="BM37" s="38">
        <v>645.27442723657668</v>
      </c>
      <c r="BN37" s="39">
        <v>0</v>
      </c>
      <c r="BO37" s="39">
        <v>0</v>
      </c>
      <c r="BP37" s="55">
        <v>0</v>
      </c>
      <c r="BQ37" s="77">
        <v>657.28536118551915</v>
      </c>
      <c r="BR37" s="40">
        <v>711</v>
      </c>
      <c r="BS37" s="55">
        <v>53.71463881448085</v>
      </c>
      <c r="BT37" s="39">
        <v>2470.0777213196375</v>
      </c>
      <c r="BU37" s="39">
        <v>756.17409174919953</v>
      </c>
      <c r="BV37" s="52">
        <v>-1713.9036295704379</v>
      </c>
      <c r="BW37" s="39">
        <v>1421.4723490536485</v>
      </c>
      <c r="BX37" s="39">
        <v>1237.6203428602214</v>
      </c>
      <c r="BY37" s="52">
        <v>-183.85200619342709</v>
      </c>
      <c r="BZ37" s="39">
        <v>1171.8608259426294</v>
      </c>
      <c r="CA37" s="39">
        <v>3093.306480812108</v>
      </c>
      <c r="CB37" s="52">
        <v>1921.4456548694786</v>
      </c>
      <c r="CC37" s="39">
        <v>0</v>
      </c>
      <c r="CD37" s="39">
        <v>0</v>
      </c>
      <c r="CE37" s="52">
        <v>0</v>
      </c>
      <c r="CF37" s="39">
        <v>0</v>
      </c>
      <c r="CG37" s="39">
        <v>0</v>
      </c>
      <c r="CH37" s="52">
        <v>0</v>
      </c>
      <c r="CI37" s="39">
        <v>374.35050354384265</v>
      </c>
      <c r="CJ37" s="39">
        <v>394.02712378951014</v>
      </c>
      <c r="CK37" s="52">
        <v>19.676620245667493</v>
      </c>
      <c r="CL37" s="39">
        <v>0</v>
      </c>
      <c r="CM37" s="39">
        <v>0</v>
      </c>
      <c r="CN37" s="52">
        <v>0</v>
      </c>
      <c r="CO37" s="39">
        <v>374.35050354384265</v>
      </c>
      <c r="CP37" s="40">
        <v>394.02712378951014</v>
      </c>
      <c r="CQ37" s="52">
        <v>19.676620245667493</v>
      </c>
      <c r="CR37" s="72">
        <v>14321.043428909104</v>
      </c>
      <c r="CS37" s="5">
        <v>12392.362276212578</v>
      </c>
      <c r="CT37" s="52">
        <v>-1928.6811526965266</v>
      </c>
      <c r="CU37" s="77">
        <v>17185.252114690924</v>
      </c>
      <c r="CV37" s="65">
        <v>14870.834731455092</v>
      </c>
      <c r="CW37" s="35">
        <v>-2314.4173832358319</v>
      </c>
      <c r="CX37" s="39">
        <v>515.55756344072779</v>
      </c>
      <c r="CY37" s="39">
        <v>2829.9749466765561</v>
      </c>
      <c r="CZ37" s="52">
        <v>2314.4173832358283</v>
      </c>
      <c r="DA37" s="150">
        <v>13356.737318764001</v>
      </c>
      <c r="DB37" s="2">
        <v>2</v>
      </c>
      <c r="DC37" s="713">
        <v>26110.240000000002</v>
      </c>
      <c r="DD37" s="714">
        <v>380.78</v>
      </c>
      <c r="DE37" s="715">
        <v>17845.209419698986</v>
      </c>
      <c r="DF37" s="716">
        <v>-204.59425876481032</v>
      </c>
      <c r="DG37" s="717">
        <v>6090.5345122223725</v>
      </c>
      <c r="DH37" s="718">
        <v>86158.64010259803</v>
      </c>
      <c r="DI37" s="718">
        <v>212409.71613757982</v>
      </c>
      <c r="DJ37" s="693">
        <v>180846.94712883438</v>
      </c>
      <c r="DK37" s="724"/>
      <c r="DL37" s="5"/>
      <c r="DM37" s="306">
        <v>4.7774743238734203</v>
      </c>
      <c r="DN37" s="306"/>
      <c r="DO37" s="306">
        <v>4.2696882477374931</v>
      </c>
      <c r="DP37" s="719">
        <v>8265.0305803010178</v>
      </c>
      <c r="DQ37" s="720">
        <v>585.37425876481029</v>
      </c>
      <c r="DR37" s="650">
        <v>8850.4048390658281</v>
      </c>
      <c r="DS37" s="94">
        <v>8850.4048390658245</v>
      </c>
      <c r="DT37" s="719">
        <v>8265.06</v>
      </c>
      <c r="DU37" s="725">
        <v>585.38</v>
      </c>
      <c r="DV37" s="93">
        <v>8850.4399999999987</v>
      </c>
      <c r="DW37" s="95">
        <v>8901.9605954099006</v>
      </c>
      <c r="DX37" s="28">
        <v>-51.520595409901944</v>
      </c>
      <c r="EA37" s="5">
        <v>5368.6632264959962</v>
      </c>
      <c r="EB37" s="5">
        <v>1166.3999999999999</v>
      </c>
      <c r="EE37" s="722">
        <v>45799.207930733741</v>
      </c>
      <c r="EG37" s="42" t="s">
        <v>244</v>
      </c>
    </row>
    <row r="38" spans="1:137" x14ac:dyDescent="0.3">
      <c r="A38" s="325">
        <v>150000966</v>
      </c>
      <c r="B38" s="41" t="s">
        <v>493</v>
      </c>
      <c r="C38" s="42" t="s">
        <v>205</v>
      </c>
      <c r="D38" s="27">
        <v>4</v>
      </c>
      <c r="E38" s="709">
        <v>1172.81</v>
      </c>
      <c r="F38" s="723">
        <v>934</v>
      </c>
      <c r="G38" s="28"/>
      <c r="H38" s="651">
        <v>238.81</v>
      </c>
      <c r="I38" s="39">
        <v>739.26346231697892</v>
      </c>
      <c r="J38" s="39">
        <v>793.28368329218142</v>
      </c>
      <c r="K38" s="52">
        <v>54.020220975202506</v>
      </c>
      <c r="L38" s="39">
        <v>150.26564882224523</v>
      </c>
      <c r="M38" s="39">
        <v>163.27168425506667</v>
      </c>
      <c r="N38" s="52">
        <v>13.006035432821449</v>
      </c>
      <c r="O38" s="39">
        <v>264.62</v>
      </c>
      <c r="P38" s="39">
        <v>264.62</v>
      </c>
      <c r="Q38" s="52">
        <v>0</v>
      </c>
      <c r="R38" s="39">
        <v>0</v>
      </c>
      <c r="S38" s="39">
        <v>0</v>
      </c>
      <c r="T38" s="52">
        <v>0</v>
      </c>
      <c r="U38" s="39">
        <v>0</v>
      </c>
      <c r="V38" s="39">
        <v>0</v>
      </c>
      <c r="W38" s="52">
        <v>0</v>
      </c>
      <c r="X38" s="39">
        <v>490.57790749522491</v>
      </c>
      <c r="Y38" s="39">
        <v>286.4192783975642</v>
      </c>
      <c r="Z38" s="52">
        <v>-204.15862909766071</v>
      </c>
      <c r="AA38" s="39">
        <v>0</v>
      </c>
      <c r="AB38" s="39">
        <v>0</v>
      </c>
      <c r="AC38" s="52">
        <v>0</v>
      </c>
      <c r="AD38" s="39">
        <v>835.78966340950194</v>
      </c>
      <c r="AE38" s="39">
        <v>701.32477358187907</v>
      </c>
      <c r="AF38" s="35">
        <v>-134.46488982762287</v>
      </c>
      <c r="AG38" s="77">
        <v>2480.5166820439513</v>
      </c>
      <c r="AH38" s="53">
        <v>2208.9194195266914</v>
      </c>
      <c r="AI38" s="52">
        <v>-271.59726251725988</v>
      </c>
      <c r="AJ38" s="39">
        <v>0</v>
      </c>
      <c r="AK38" s="39">
        <v>0</v>
      </c>
      <c r="AL38" s="52">
        <v>0</v>
      </c>
      <c r="AM38" s="39">
        <v>0</v>
      </c>
      <c r="AN38" s="39">
        <v>0</v>
      </c>
      <c r="AO38" s="52">
        <v>0</v>
      </c>
      <c r="AP38" s="39">
        <v>426.15793930214238</v>
      </c>
      <c r="AQ38" s="39">
        <v>0</v>
      </c>
      <c r="AR38" s="52">
        <v>-426.15793930214238</v>
      </c>
      <c r="AS38" s="39">
        <v>2208.9486094834106</v>
      </c>
      <c r="AT38" s="39">
        <v>261</v>
      </c>
      <c r="AU38" s="54">
        <v>-1947.9486094834106</v>
      </c>
      <c r="AV38" s="39">
        <v>134.16117568240614</v>
      </c>
      <c r="AW38" s="39">
        <v>0</v>
      </c>
      <c r="AX38" s="55">
        <v>-134.16117568240614</v>
      </c>
      <c r="AY38" s="39">
        <v>193.62587533250806</v>
      </c>
      <c r="AZ38" s="39">
        <v>0</v>
      </c>
      <c r="BA38" s="35">
        <v>-193.62587533250806</v>
      </c>
      <c r="BB38" s="39">
        <v>134.29499378403258</v>
      </c>
      <c r="BC38" s="39">
        <v>0</v>
      </c>
      <c r="BD38" s="55">
        <v>-134.29499378403258</v>
      </c>
      <c r="BE38" s="39">
        <v>0</v>
      </c>
      <c r="BF38" s="39">
        <v>0</v>
      </c>
      <c r="BG38" s="38">
        <v>0</v>
      </c>
      <c r="BH38" s="39">
        <v>0</v>
      </c>
      <c r="BI38" s="39">
        <v>0</v>
      </c>
      <c r="BJ38" s="55">
        <v>0</v>
      </c>
      <c r="BK38" s="39">
        <v>57.335008608429149</v>
      </c>
      <c r="BL38" s="39">
        <v>0</v>
      </c>
      <c r="BM38" s="38">
        <v>-57.335008608429149</v>
      </c>
      <c r="BN38" s="39">
        <v>0</v>
      </c>
      <c r="BO38" s="39">
        <v>0</v>
      </c>
      <c r="BP38" s="55">
        <v>0</v>
      </c>
      <c r="BQ38" s="77">
        <v>519.41705340737587</v>
      </c>
      <c r="BR38" s="40">
        <v>0</v>
      </c>
      <c r="BS38" s="55">
        <v>-519.41705340737587</v>
      </c>
      <c r="BT38" s="39">
        <v>3483.0594556997635</v>
      </c>
      <c r="BU38" s="39">
        <v>920.06893085010347</v>
      </c>
      <c r="BV38" s="52">
        <v>-2562.9905248496598</v>
      </c>
      <c r="BW38" s="39">
        <v>1340.796661716583</v>
      </c>
      <c r="BX38" s="39">
        <v>2249.9897392760736</v>
      </c>
      <c r="BY38" s="52">
        <v>909.19307755949058</v>
      </c>
      <c r="BZ38" s="39">
        <v>1062.8919321674925</v>
      </c>
      <c r="CA38" s="39">
        <v>3773.8587942977256</v>
      </c>
      <c r="CB38" s="52">
        <v>2710.966862130233</v>
      </c>
      <c r="CC38" s="39">
        <v>48.041647954793149</v>
      </c>
      <c r="CD38" s="39">
        <v>47.396539112547885</v>
      </c>
      <c r="CE38" s="52">
        <v>-0.64510884224526421</v>
      </c>
      <c r="CF38" s="39">
        <v>5.9142180247377931</v>
      </c>
      <c r="CG38" s="39">
        <v>0</v>
      </c>
      <c r="CH38" s="52">
        <v>-5.9142180247377931</v>
      </c>
      <c r="CI38" s="39">
        <v>461.69895437073933</v>
      </c>
      <c r="CJ38" s="39">
        <v>486.38143374813467</v>
      </c>
      <c r="CK38" s="52">
        <v>24.682479377395339</v>
      </c>
      <c r="CL38" s="39">
        <v>0</v>
      </c>
      <c r="CM38" s="39">
        <v>0</v>
      </c>
      <c r="CN38" s="52">
        <v>0</v>
      </c>
      <c r="CO38" s="39">
        <v>461.69895437073933</v>
      </c>
      <c r="CP38" s="40">
        <v>486.38143374813467</v>
      </c>
      <c r="CQ38" s="52">
        <v>24.682479377395339</v>
      </c>
      <c r="CR38" s="72">
        <v>12037.443154170989</v>
      </c>
      <c r="CS38" s="5">
        <v>9947.6148568112749</v>
      </c>
      <c r="CT38" s="52">
        <v>-2089.8282973597143</v>
      </c>
      <c r="CU38" s="77">
        <v>14444.931785005187</v>
      </c>
      <c r="CV38" s="65">
        <v>11937.137828173529</v>
      </c>
      <c r="CW38" s="35">
        <v>-2507.7939568316579</v>
      </c>
      <c r="CX38" s="39">
        <v>361.12329462512969</v>
      </c>
      <c r="CY38" s="39">
        <v>2868.9172514567836</v>
      </c>
      <c r="CZ38" s="52">
        <v>2507.7939568316538</v>
      </c>
      <c r="DA38" s="150">
        <v>-4475.3254590254437</v>
      </c>
      <c r="DB38" s="2">
        <v>2</v>
      </c>
      <c r="DC38" s="713">
        <v>50054.04</v>
      </c>
      <c r="DD38" s="714">
        <v>6874.34</v>
      </c>
      <c r="DE38" s="715">
        <v>43990.527540675947</v>
      </c>
      <c r="DF38" s="716">
        <v>5534.8249195088993</v>
      </c>
      <c r="DG38" s="717">
        <v>22228.251574694288</v>
      </c>
      <c r="DH38" s="718">
        <v>71754.012476391232</v>
      </c>
      <c r="DI38" s="718">
        <v>177672.6609555638</v>
      </c>
      <c r="DJ38" s="693">
        <v>151192.99883577068</v>
      </c>
      <c r="DK38" s="724"/>
      <c r="DL38" s="5"/>
      <c r="DM38" s="306">
        <v>6.4919833611606617</v>
      </c>
      <c r="DN38" s="306"/>
      <c r="DO38" s="306">
        <v>5.6091247455764019</v>
      </c>
      <c r="DP38" s="719">
        <v>6063.512459324058</v>
      </c>
      <c r="DQ38" s="720">
        <v>1339.5150804911007</v>
      </c>
      <c r="DR38" s="650">
        <v>7403.0275398151589</v>
      </c>
      <c r="DS38" s="94">
        <v>7403.0275398151571</v>
      </c>
      <c r="DT38" s="719">
        <v>6053.15</v>
      </c>
      <c r="DU38" s="725">
        <v>1339.51</v>
      </c>
      <c r="DV38" s="93">
        <v>7392.66</v>
      </c>
      <c r="DW38" s="95">
        <v>7439.1398692776711</v>
      </c>
      <c r="DX38" s="28">
        <v>-46.479869277671241</v>
      </c>
      <c r="EA38" s="5">
        <v>3274.0387954689436</v>
      </c>
      <c r="EB38" s="5">
        <v>313.2</v>
      </c>
      <c r="EE38" s="722">
        <v>26507.383313800929</v>
      </c>
      <c r="EG38" s="42" t="s">
        <v>205</v>
      </c>
    </row>
    <row r="39" spans="1:137" x14ac:dyDescent="0.3">
      <c r="A39" s="325">
        <v>150000967</v>
      </c>
      <c r="B39" s="41" t="s">
        <v>494</v>
      </c>
      <c r="C39" s="42" t="s">
        <v>206</v>
      </c>
      <c r="D39" s="27">
        <v>4</v>
      </c>
      <c r="E39" s="709">
        <v>1448.3</v>
      </c>
      <c r="F39" s="723">
        <v>1264.5999999999999</v>
      </c>
      <c r="G39" s="28"/>
      <c r="H39" s="651">
        <v>183.7</v>
      </c>
      <c r="I39" s="39">
        <v>866.85730196865711</v>
      </c>
      <c r="J39" s="39">
        <v>931.34629309980437</v>
      </c>
      <c r="K39" s="52">
        <v>64.488991131147259</v>
      </c>
      <c r="L39" s="39">
        <v>155.14830105407276</v>
      </c>
      <c r="M39" s="39">
        <v>168.57654042219883</v>
      </c>
      <c r="N39" s="52">
        <v>13.428239368126071</v>
      </c>
      <c r="O39" s="39">
        <v>341.66</v>
      </c>
      <c r="P39" s="39">
        <v>341.66</v>
      </c>
      <c r="Q39" s="52">
        <v>0</v>
      </c>
      <c r="R39" s="39">
        <v>0</v>
      </c>
      <c r="S39" s="39">
        <v>0</v>
      </c>
      <c r="T39" s="52">
        <v>0</v>
      </c>
      <c r="U39" s="39">
        <v>0</v>
      </c>
      <c r="V39" s="39">
        <v>0</v>
      </c>
      <c r="W39" s="52">
        <v>0</v>
      </c>
      <c r="X39" s="39">
        <v>494.95930459311847</v>
      </c>
      <c r="Y39" s="39">
        <v>294.69646336724531</v>
      </c>
      <c r="Z39" s="52">
        <v>-200.26284122587316</v>
      </c>
      <c r="AA39" s="39">
        <v>0</v>
      </c>
      <c r="AB39" s="39">
        <v>0</v>
      </c>
      <c r="AC39" s="52">
        <v>0</v>
      </c>
      <c r="AD39" s="39">
        <v>1032.1144682565648</v>
      </c>
      <c r="AE39" s="39">
        <v>866.06412767510119</v>
      </c>
      <c r="AF39" s="35">
        <v>-166.05034058146362</v>
      </c>
      <c r="AG39" s="77">
        <v>2890.7393758724133</v>
      </c>
      <c r="AH39" s="53">
        <v>2602.3434245643498</v>
      </c>
      <c r="AI39" s="52">
        <v>-288.39595130806356</v>
      </c>
      <c r="AJ39" s="39">
        <v>0</v>
      </c>
      <c r="AK39" s="39">
        <v>0</v>
      </c>
      <c r="AL39" s="52">
        <v>0</v>
      </c>
      <c r="AM39" s="39">
        <v>0</v>
      </c>
      <c r="AN39" s="39">
        <v>0</v>
      </c>
      <c r="AO39" s="52">
        <v>0</v>
      </c>
      <c r="AP39" s="39">
        <v>639.23690895321363</v>
      </c>
      <c r="AQ39" s="39">
        <v>1260.1081272287195</v>
      </c>
      <c r="AR39" s="52">
        <v>620.87121827550584</v>
      </c>
      <c r="AS39" s="39">
        <v>2184.8415673809905</v>
      </c>
      <c r="AT39" s="39">
        <v>303.31833849334635</v>
      </c>
      <c r="AU39" s="54">
        <v>-1881.5232288876441</v>
      </c>
      <c r="AV39" s="39">
        <v>146.92028080228897</v>
      </c>
      <c r="AW39" s="39">
        <v>0</v>
      </c>
      <c r="AX39" s="55">
        <v>-146.92028080228897</v>
      </c>
      <c r="AY39" s="39">
        <v>199.98679498901538</v>
      </c>
      <c r="AZ39" s="39">
        <v>0</v>
      </c>
      <c r="BA39" s="35">
        <v>-199.98679498901538</v>
      </c>
      <c r="BB39" s="39">
        <v>191.36245860498491</v>
      </c>
      <c r="BC39" s="39">
        <v>0</v>
      </c>
      <c r="BD39" s="55">
        <v>-191.36245860498491</v>
      </c>
      <c r="BE39" s="39">
        <v>0</v>
      </c>
      <c r="BF39" s="39">
        <v>0</v>
      </c>
      <c r="BG39" s="38">
        <v>0</v>
      </c>
      <c r="BH39" s="39">
        <v>0</v>
      </c>
      <c r="BI39" s="39">
        <v>0</v>
      </c>
      <c r="BJ39" s="55">
        <v>0</v>
      </c>
      <c r="BK39" s="39">
        <v>60.056140153587386</v>
      </c>
      <c r="BL39" s="39">
        <v>0</v>
      </c>
      <c r="BM39" s="38">
        <v>-60.056140153587386</v>
      </c>
      <c r="BN39" s="39">
        <v>0</v>
      </c>
      <c r="BO39" s="39">
        <v>0</v>
      </c>
      <c r="BP39" s="55">
        <v>0</v>
      </c>
      <c r="BQ39" s="77">
        <v>598.32567454987668</v>
      </c>
      <c r="BR39" s="40">
        <v>0</v>
      </c>
      <c r="BS39" s="55">
        <v>-598.32567454987668</v>
      </c>
      <c r="BT39" s="39">
        <v>4579.0736492066962</v>
      </c>
      <c r="BU39" s="39">
        <v>1314.0859784260226</v>
      </c>
      <c r="BV39" s="52">
        <v>-3264.9876707806734</v>
      </c>
      <c r="BW39" s="39">
        <v>1496.5194226195499</v>
      </c>
      <c r="BX39" s="39">
        <v>2392.433878396967</v>
      </c>
      <c r="BY39" s="52">
        <v>895.91445577741706</v>
      </c>
      <c r="BZ39" s="39">
        <v>2056.5181750025595</v>
      </c>
      <c r="CA39" s="39">
        <v>5366.8009060561772</v>
      </c>
      <c r="CB39" s="52">
        <v>3310.2827310536177</v>
      </c>
      <c r="CC39" s="39">
        <v>150.9880364293499</v>
      </c>
      <c r="CD39" s="39">
        <v>148.96055149657906</v>
      </c>
      <c r="CE39" s="52">
        <v>-2.0274849327708466</v>
      </c>
      <c r="CF39" s="39">
        <v>18.587542363461637</v>
      </c>
      <c r="CG39" s="39">
        <v>0</v>
      </c>
      <c r="CH39" s="52">
        <v>-18.587542363461637</v>
      </c>
      <c r="CI39" s="39">
        <v>414.90514142775902</v>
      </c>
      <c r="CJ39" s="39">
        <v>842.10252984264196</v>
      </c>
      <c r="CK39" s="52">
        <v>427.19738841488294</v>
      </c>
      <c r="CL39" s="39">
        <v>0</v>
      </c>
      <c r="CM39" s="39">
        <v>0</v>
      </c>
      <c r="CN39" s="52">
        <v>0</v>
      </c>
      <c r="CO39" s="39">
        <v>414.90514142775902</v>
      </c>
      <c r="CP39" s="40">
        <v>842.10252984264196</v>
      </c>
      <c r="CQ39" s="52">
        <v>427.19738841488294</v>
      </c>
      <c r="CR39" s="72">
        <v>15029.735493805867</v>
      </c>
      <c r="CS39" s="5">
        <v>14230.153734504802</v>
      </c>
      <c r="CT39" s="52">
        <v>-799.58175930106518</v>
      </c>
      <c r="CU39" s="77">
        <v>18035.682592567038</v>
      </c>
      <c r="CV39" s="65">
        <v>17076.184481405762</v>
      </c>
      <c r="CW39" s="35">
        <v>-959.49811116127603</v>
      </c>
      <c r="CX39" s="39">
        <v>0</v>
      </c>
      <c r="CY39" s="39">
        <v>959.49811116127421</v>
      </c>
      <c r="CZ39" s="52">
        <v>959.49811116127421</v>
      </c>
      <c r="DA39" s="150">
        <v>31014.116473552942</v>
      </c>
      <c r="DB39" s="2">
        <v>2</v>
      </c>
      <c r="DC39" s="713">
        <v>11706.56</v>
      </c>
      <c r="DD39" s="714">
        <v>11676.869999999999</v>
      </c>
      <c r="DE39" s="715">
        <v>3718.6372809215882</v>
      </c>
      <c r="DF39" s="716">
        <v>10646.951422794893</v>
      </c>
      <c r="DG39" s="717">
        <v>36374.876936041328</v>
      </c>
      <c r="DH39" s="718">
        <v>89314.983080192716</v>
      </c>
      <c r="DI39" s="718">
        <v>216428.19111080444</v>
      </c>
      <c r="DJ39" s="693">
        <v>184649.88910315151</v>
      </c>
      <c r="DK39" s="724"/>
      <c r="DL39" s="5"/>
      <c r="DM39" s="306">
        <v>6.3165607457523425</v>
      </c>
      <c r="DN39" s="306"/>
      <c r="DO39" s="306">
        <v>5.606524644556921</v>
      </c>
      <c r="DP39" s="719">
        <v>7987.9227190784113</v>
      </c>
      <c r="DQ39" s="720">
        <v>1029.9185772051064</v>
      </c>
      <c r="DR39" s="650">
        <v>9017.8412962835173</v>
      </c>
      <c r="DS39" s="94">
        <v>9017.8412962835209</v>
      </c>
      <c r="DT39" s="719">
        <v>7987.96</v>
      </c>
      <c r="DU39" s="725">
        <v>1029.9099999999999</v>
      </c>
      <c r="DV39" s="93">
        <v>9017.869999999999</v>
      </c>
      <c r="DW39" s="95">
        <v>9017.8412962835191</v>
      </c>
      <c r="DX39" s="28">
        <v>2.870371647986758E-2</v>
      </c>
      <c r="EA39" s="5">
        <v>3339.8006903170403</v>
      </c>
      <c r="EB39" s="5">
        <v>363.9820061920156</v>
      </c>
      <c r="EE39" s="722">
        <v>26218.098808571885</v>
      </c>
      <c r="EG39" s="42" t="s">
        <v>206</v>
      </c>
    </row>
    <row r="40" spans="1:137" x14ac:dyDescent="0.3">
      <c r="A40" s="325">
        <v>150000968</v>
      </c>
      <c r="B40" s="41" t="s">
        <v>495</v>
      </c>
      <c r="C40" s="42" t="s">
        <v>245</v>
      </c>
      <c r="D40" s="27">
        <v>5</v>
      </c>
      <c r="E40" s="709">
        <v>2117.4</v>
      </c>
      <c r="F40" s="723">
        <v>1759.4</v>
      </c>
      <c r="G40" s="28"/>
      <c r="H40" s="651">
        <v>358</v>
      </c>
      <c r="I40" s="39">
        <v>1018.6978960509853</v>
      </c>
      <c r="J40" s="39">
        <v>1098.7890331733181</v>
      </c>
      <c r="K40" s="52">
        <v>80.091137122332839</v>
      </c>
      <c r="L40" s="39">
        <v>174.77607321260498</v>
      </c>
      <c r="M40" s="39">
        <v>189.90313390218455</v>
      </c>
      <c r="N40" s="52">
        <v>15.127060689579565</v>
      </c>
      <c r="O40" s="39">
        <v>448.74</v>
      </c>
      <c r="P40" s="39">
        <v>448.74</v>
      </c>
      <c r="Q40" s="52">
        <v>0</v>
      </c>
      <c r="R40" s="39">
        <v>0</v>
      </c>
      <c r="S40" s="39">
        <v>0</v>
      </c>
      <c r="T40" s="52">
        <v>0</v>
      </c>
      <c r="U40" s="39">
        <v>0</v>
      </c>
      <c r="V40" s="39">
        <v>0</v>
      </c>
      <c r="W40" s="52">
        <v>0</v>
      </c>
      <c r="X40" s="39">
        <v>595.03968650449883</v>
      </c>
      <c r="Y40" s="39">
        <v>533.59285728823397</v>
      </c>
      <c r="Z40" s="52">
        <v>-61.446829216264859</v>
      </c>
      <c r="AA40" s="39">
        <v>0</v>
      </c>
      <c r="AB40" s="39">
        <v>0</v>
      </c>
      <c r="AC40" s="52">
        <v>0</v>
      </c>
      <c r="AD40" s="39">
        <v>1508.9409480677004</v>
      </c>
      <c r="AE40" s="39">
        <v>1266.1770240552783</v>
      </c>
      <c r="AF40" s="35">
        <v>-242.76392401242219</v>
      </c>
      <c r="AG40" s="77">
        <v>3746.1946038357896</v>
      </c>
      <c r="AH40" s="53">
        <v>3537.2020484190148</v>
      </c>
      <c r="AI40" s="52">
        <v>-208.99255541677485</v>
      </c>
      <c r="AJ40" s="39">
        <v>0</v>
      </c>
      <c r="AK40" s="39">
        <v>0</v>
      </c>
      <c r="AL40" s="52">
        <v>0</v>
      </c>
      <c r="AM40" s="39">
        <v>0</v>
      </c>
      <c r="AN40" s="39">
        <v>0</v>
      </c>
      <c r="AO40" s="52">
        <v>0</v>
      </c>
      <c r="AP40" s="39">
        <v>875.99131967662606</v>
      </c>
      <c r="AQ40" s="39">
        <v>0</v>
      </c>
      <c r="AR40" s="52">
        <v>-875.99131967662606</v>
      </c>
      <c r="AS40" s="39">
        <v>2320.279880842194</v>
      </c>
      <c r="AT40" s="39">
        <v>318.70682521819953</v>
      </c>
      <c r="AU40" s="54">
        <v>-2001.5730556239944</v>
      </c>
      <c r="AV40" s="39">
        <v>169.22371489358517</v>
      </c>
      <c r="AW40" s="39">
        <v>0</v>
      </c>
      <c r="AX40" s="55">
        <v>-169.22371489358517</v>
      </c>
      <c r="AY40" s="39">
        <v>225.284932994836</v>
      </c>
      <c r="AZ40" s="39">
        <v>0</v>
      </c>
      <c r="BA40" s="35">
        <v>-225.284932994836</v>
      </c>
      <c r="BB40" s="39">
        <v>274.70400539597944</v>
      </c>
      <c r="BC40" s="39">
        <v>0</v>
      </c>
      <c r="BD40" s="55">
        <v>-274.70400539597944</v>
      </c>
      <c r="BE40" s="39">
        <v>0</v>
      </c>
      <c r="BF40" s="39">
        <v>0</v>
      </c>
      <c r="BG40" s="38">
        <v>0</v>
      </c>
      <c r="BH40" s="39">
        <v>0</v>
      </c>
      <c r="BI40" s="39">
        <v>0</v>
      </c>
      <c r="BJ40" s="55">
        <v>0</v>
      </c>
      <c r="BK40" s="39">
        <v>70.037170653702944</v>
      </c>
      <c r="BL40" s="39">
        <v>711</v>
      </c>
      <c r="BM40" s="38">
        <v>640.9628293462971</v>
      </c>
      <c r="BN40" s="39">
        <v>0</v>
      </c>
      <c r="BO40" s="39">
        <v>0</v>
      </c>
      <c r="BP40" s="55">
        <v>0</v>
      </c>
      <c r="BQ40" s="77">
        <v>739.24982393810353</v>
      </c>
      <c r="BR40" s="40">
        <v>711</v>
      </c>
      <c r="BS40" s="55">
        <v>-28.249823938103532</v>
      </c>
      <c r="BT40" s="39">
        <v>3708.3464369723051</v>
      </c>
      <c r="BU40" s="39">
        <v>1139.3879103518082</v>
      </c>
      <c r="BV40" s="52">
        <v>-2568.9585266204967</v>
      </c>
      <c r="BW40" s="39">
        <v>1655.3174169644992</v>
      </c>
      <c r="BX40" s="39">
        <v>2651.0616128263191</v>
      </c>
      <c r="BY40" s="52">
        <v>995.74419586181989</v>
      </c>
      <c r="BZ40" s="39">
        <v>1901.983641235742</v>
      </c>
      <c r="CA40" s="39">
        <v>4608.2090967303493</v>
      </c>
      <c r="CB40" s="52">
        <v>2706.2254554946076</v>
      </c>
      <c r="CC40" s="39">
        <v>0</v>
      </c>
      <c r="CD40" s="39">
        <v>0</v>
      </c>
      <c r="CE40" s="52">
        <v>0</v>
      </c>
      <c r="CF40" s="39">
        <v>0</v>
      </c>
      <c r="CG40" s="39">
        <v>0</v>
      </c>
      <c r="CH40" s="52">
        <v>0</v>
      </c>
      <c r="CI40" s="39">
        <v>514.73194237278358</v>
      </c>
      <c r="CJ40" s="39">
        <v>789.52438927358435</v>
      </c>
      <c r="CK40" s="52">
        <v>274.79244690080077</v>
      </c>
      <c r="CL40" s="39">
        <v>0</v>
      </c>
      <c r="CM40" s="39">
        <v>0</v>
      </c>
      <c r="CN40" s="52">
        <v>0</v>
      </c>
      <c r="CO40" s="39">
        <v>514.73194237278358</v>
      </c>
      <c r="CP40" s="40">
        <v>789.52438927358435</v>
      </c>
      <c r="CQ40" s="52">
        <v>274.79244690080077</v>
      </c>
      <c r="CR40" s="72">
        <v>15462.095065838043</v>
      </c>
      <c r="CS40" s="5">
        <v>13755.091882819277</v>
      </c>
      <c r="CT40" s="52">
        <v>-1707.0031830187654</v>
      </c>
      <c r="CU40" s="77">
        <v>18554.51407900565</v>
      </c>
      <c r="CV40" s="65">
        <v>16506.110259383131</v>
      </c>
      <c r="CW40" s="35">
        <v>-2048.4038196225192</v>
      </c>
      <c r="CX40" s="39">
        <v>0</v>
      </c>
      <c r="CY40" s="39">
        <v>2048.403819622522</v>
      </c>
      <c r="CZ40" s="52">
        <v>2048.403819622522</v>
      </c>
      <c r="DA40" s="150">
        <v>26715.310010217425</v>
      </c>
      <c r="DB40" s="2">
        <v>2</v>
      </c>
      <c r="DC40" s="713">
        <v>10046.549999999999</v>
      </c>
      <c r="DD40" s="714">
        <v>1400.6399999999999</v>
      </c>
      <c r="DE40" s="715">
        <v>2169.9238469513339</v>
      </c>
      <c r="DF40" s="716">
        <v>9.1135458405915415E-3</v>
      </c>
      <c r="DG40" s="717">
        <v>33421.601431468618</v>
      </c>
      <c r="DH40" s="718">
        <v>96485.479008992435</v>
      </c>
      <c r="DI40" s="718">
        <v>222654.16894806782</v>
      </c>
      <c r="DJ40" s="693">
        <v>191111.99646329897</v>
      </c>
      <c r="DK40" s="724"/>
      <c r="DL40" s="5"/>
      <c r="DM40" s="306">
        <v>4.4768819785430631</v>
      </c>
      <c r="DN40" s="306"/>
      <c r="DO40" s="306">
        <v>3.9123767778049143</v>
      </c>
      <c r="DP40" s="719">
        <v>7876.6261530486654</v>
      </c>
      <c r="DQ40" s="720">
        <v>1400.6308864541593</v>
      </c>
      <c r="DR40" s="650">
        <v>9277.2570395028251</v>
      </c>
      <c r="DS40" s="94">
        <v>9277.2570395028251</v>
      </c>
      <c r="DT40" s="719">
        <v>7871.3</v>
      </c>
      <c r="DU40" s="725">
        <v>1400.6399999999999</v>
      </c>
      <c r="DV40" s="93">
        <v>9271.94</v>
      </c>
      <c r="DW40" s="95">
        <v>9277.2570395028251</v>
      </c>
      <c r="DX40" s="28">
        <v>-5.3170395028246276</v>
      </c>
      <c r="EA40" s="5">
        <v>3671.4356457363569</v>
      </c>
      <c r="EB40" s="5">
        <v>1235.6481902618395</v>
      </c>
      <c r="EE40" s="722">
        <v>27843.358570106328</v>
      </c>
      <c r="EG40" s="42" t="s">
        <v>245</v>
      </c>
    </row>
    <row r="41" spans="1:137" x14ac:dyDescent="0.3">
      <c r="A41" s="325">
        <v>150000981</v>
      </c>
      <c r="B41" s="41" t="s">
        <v>496</v>
      </c>
      <c r="C41" s="42" t="s">
        <v>343</v>
      </c>
      <c r="D41" s="27">
        <v>9</v>
      </c>
      <c r="E41" s="709">
        <v>2214.37</v>
      </c>
      <c r="F41" s="723">
        <v>2214.37</v>
      </c>
      <c r="G41" s="28">
        <v>213.63</v>
      </c>
      <c r="H41" s="651">
        <v>0</v>
      </c>
      <c r="I41" s="39">
        <v>1250.1361702082252</v>
      </c>
      <c r="J41" s="39">
        <v>1187.0891186428271</v>
      </c>
      <c r="K41" s="52">
        <v>-63.047051565398078</v>
      </c>
      <c r="L41" s="39">
        <v>230.05995536213632</v>
      </c>
      <c r="M41" s="39">
        <v>199.09283177492151</v>
      </c>
      <c r="N41" s="52">
        <v>-30.967123587214815</v>
      </c>
      <c r="O41" s="39">
        <v>481.94</v>
      </c>
      <c r="P41" s="39">
        <v>482</v>
      </c>
      <c r="Q41" s="52">
        <v>6.0000000000002274E-2</v>
      </c>
      <c r="R41" s="39">
        <v>121.18</v>
      </c>
      <c r="S41" s="39">
        <v>121.06</v>
      </c>
      <c r="T41" s="52">
        <v>-0.12000000000000455</v>
      </c>
      <c r="U41" s="39">
        <v>65.029090713311319</v>
      </c>
      <c r="V41" s="39">
        <v>38.538164181368032</v>
      </c>
      <c r="W41" s="52">
        <v>-26.490926531943288</v>
      </c>
      <c r="X41" s="39">
        <v>639.57049507040438</v>
      </c>
      <c r="Y41" s="39">
        <v>443.3070290008655</v>
      </c>
      <c r="Z41" s="52">
        <v>-196.26346606953888</v>
      </c>
      <c r="AA41" s="39">
        <v>0</v>
      </c>
      <c r="AB41" s="39">
        <v>0</v>
      </c>
      <c r="AC41" s="52">
        <v>0</v>
      </c>
      <c r="AD41" s="39">
        <v>1578.045512030166</v>
      </c>
      <c r="AE41" s="39">
        <v>1324.1637936890934</v>
      </c>
      <c r="AF41" s="35">
        <v>-253.88171834107266</v>
      </c>
      <c r="AG41" s="77">
        <v>4365.9612233842436</v>
      </c>
      <c r="AH41" s="53">
        <v>3795.2509372890754</v>
      </c>
      <c r="AI41" s="52">
        <v>-570.71028609516816</v>
      </c>
      <c r="AJ41" s="39">
        <v>3456.5475482576176</v>
      </c>
      <c r="AK41" s="39">
        <v>3410.1326253323987</v>
      </c>
      <c r="AL41" s="52">
        <v>-46.414922925218889</v>
      </c>
      <c r="AM41" s="39">
        <v>0</v>
      </c>
      <c r="AN41" s="39">
        <v>0</v>
      </c>
      <c r="AO41" s="52">
        <v>0</v>
      </c>
      <c r="AP41" s="39">
        <v>276.21347917731453</v>
      </c>
      <c r="AQ41" s="39">
        <v>140.01201413652439</v>
      </c>
      <c r="AR41" s="52">
        <v>-136.20146504079014</v>
      </c>
      <c r="AS41" s="39">
        <v>6396.0179222916759</v>
      </c>
      <c r="AT41" s="39">
        <v>73.381098125085728</v>
      </c>
      <c r="AU41" s="54">
        <v>-6322.6368241665905</v>
      </c>
      <c r="AV41" s="39">
        <v>44.924807561176856</v>
      </c>
      <c r="AW41" s="39">
        <v>0</v>
      </c>
      <c r="AX41" s="55">
        <v>-44.924807561176856</v>
      </c>
      <c r="AY41" s="39">
        <v>60.844215905779357</v>
      </c>
      <c r="AZ41" s="39">
        <v>0</v>
      </c>
      <c r="BA41" s="35">
        <v>-60.844215905779357</v>
      </c>
      <c r="BB41" s="39">
        <v>76.6936654717761</v>
      </c>
      <c r="BC41" s="39">
        <v>0</v>
      </c>
      <c r="BD41" s="55">
        <v>-76.6936654717761</v>
      </c>
      <c r="BE41" s="39">
        <v>30.092783099948647</v>
      </c>
      <c r="BF41" s="39">
        <v>0</v>
      </c>
      <c r="BG41" s="38">
        <v>-30.092783099948647</v>
      </c>
      <c r="BH41" s="39">
        <v>13.192247063076561</v>
      </c>
      <c r="BI41" s="39">
        <v>0</v>
      </c>
      <c r="BJ41" s="55">
        <v>-13.192247063076561</v>
      </c>
      <c r="BK41" s="39">
        <v>34.861306109848641</v>
      </c>
      <c r="BL41" s="39">
        <v>0</v>
      </c>
      <c r="BM41" s="38">
        <v>-34.861306109848641</v>
      </c>
      <c r="BN41" s="39">
        <v>0</v>
      </c>
      <c r="BO41" s="39">
        <v>0</v>
      </c>
      <c r="BP41" s="55">
        <v>0</v>
      </c>
      <c r="BQ41" s="77">
        <v>260.60902521160614</v>
      </c>
      <c r="BR41" s="40">
        <v>0</v>
      </c>
      <c r="BS41" s="55">
        <v>-260.60902521160614</v>
      </c>
      <c r="BT41" s="39">
        <v>5510.2796930000077</v>
      </c>
      <c r="BU41" s="39">
        <v>1325.3159617770409</v>
      </c>
      <c r="BV41" s="52">
        <v>-4184.963731222967</v>
      </c>
      <c r="BW41" s="39">
        <v>3636.5813903507978</v>
      </c>
      <c r="BX41" s="39">
        <v>4460.2139823527341</v>
      </c>
      <c r="BY41" s="52">
        <v>823.63259200193625</v>
      </c>
      <c r="BZ41" s="39">
        <v>411.15697653478429</v>
      </c>
      <c r="CA41" s="39">
        <v>5279.9583638410477</v>
      </c>
      <c r="CB41" s="52">
        <v>4868.8013873062637</v>
      </c>
      <c r="CC41" s="39">
        <v>122.2120697462238</v>
      </c>
      <c r="CD41" s="39">
        <v>120.57099184447129</v>
      </c>
      <c r="CE41" s="52">
        <v>-1.6410779017525101</v>
      </c>
      <c r="CF41" s="39">
        <v>15.045046464970735</v>
      </c>
      <c r="CG41" s="39">
        <v>0</v>
      </c>
      <c r="CH41" s="52">
        <v>-15.045046464970735</v>
      </c>
      <c r="CI41" s="39">
        <v>761.17935720581352</v>
      </c>
      <c r="CJ41" s="39">
        <v>1306.6477120571676</v>
      </c>
      <c r="CK41" s="52">
        <v>545.46835485135409</v>
      </c>
      <c r="CL41" s="39">
        <v>948.35460897773487</v>
      </c>
      <c r="CM41" s="39">
        <v>699.03199696873526</v>
      </c>
      <c r="CN41" s="52">
        <v>-249.32261200899961</v>
      </c>
      <c r="CO41" s="39">
        <v>1709.5339661835483</v>
      </c>
      <c r="CP41" s="40">
        <v>2005.6797090259029</v>
      </c>
      <c r="CQ41" s="52">
        <v>296.14574284235459</v>
      </c>
      <c r="CR41" s="72">
        <v>26160.158340602789</v>
      </c>
      <c r="CS41" s="5">
        <v>20610.515683724279</v>
      </c>
      <c r="CT41" s="52">
        <v>-5549.64265687851</v>
      </c>
      <c r="CU41" s="77">
        <v>31392.190008723344</v>
      </c>
      <c r="CV41" s="65">
        <v>24732.618820469135</v>
      </c>
      <c r="CW41" s="35">
        <v>-6659.5711882542091</v>
      </c>
      <c r="CX41" s="39">
        <v>784.80475021808365</v>
      </c>
      <c r="CY41" s="39">
        <v>7444.3759384722925</v>
      </c>
      <c r="CZ41" s="52">
        <v>6659.5711882542091</v>
      </c>
      <c r="DA41" s="150">
        <v>893.17015188301593</v>
      </c>
      <c r="DB41" s="2">
        <v>3</v>
      </c>
      <c r="DC41" s="713">
        <v>42757.25</v>
      </c>
      <c r="DD41" s="714"/>
      <c r="DE41" s="715">
        <v>26668.752620529289</v>
      </c>
      <c r="DF41" s="716">
        <v>0</v>
      </c>
      <c r="DG41" s="717">
        <v>4608.9233473622462</v>
      </c>
      <c r="DH41" s="718">
        <v>153700.4826629491</v>
      </c>
      <c r="DI41" s="718">
        <v>386123.93710729713</v>
      </c>
      <c r="DJ41" s="693">
        <v>328018.0734962101</v>
      </c>
      <c r="DK41" s="724"/>
      <c r="DL41" s="5"/>
      <c r="DM41" s="306">
        <v>6.0421169690571013</v>
      </c>
      <c r="DN41" s="306">
        <v>7.3961234000275127</v>
      </c>
      <c r="DO41" s="306">
        <v>5.0321242600402067</v>
      </c>
      <c r="DP41" s="719">
        <v>16088.497379470713</v>
      </c>
      <c r="DQ41" s="720">
        <v>0</v>
      </c>
      <c r="DR41" s="650">
        <v>16088.497379470713</v>
      </c>
      <c r="DS41" s="94">
        <v>16088.497379470717</v>
      </c>
      <c r="DT41" s="719">
        <v>16085.48</v>
      </c>
      <c r="DU41" s="721"/>
      <c r="DV41" s="93">
        <v>16085.48</v>
      </c>
      <c r="DW41" s="95">
        <v>16166.977854492521</v>
      </c>
      <c r="DX41" s="28">
        <v>-81.497854492521583</v>
      </c>
      <c r="EA41" s="5">
        <v>7987.9523370039387</v>
      </c>
      <c r="EB41" s="5">
        <v>88.057317750102868</v>
      </c>
      <c r="EE41" s="722">
        <v>76752.215067500103</v>
      </c>
      <c r="EG41" s="42" t="s">
        <v>343</v>
      </c>
    </row>
    <row r="42" spans="1:137" x14ac:dyDescent="0.3">
      <c r="A42" s="325">
        <v>150000982</v>
      </c>
      <c r="B42" s="41" t="s">
        <v>497</v>
      </c>
      <c r="C42" s="42" t="s">
        <v>344</v>
      </c>
      <c r="D42" s="27">
        <v>9</v>
      </c>
      <c r="E42" s="709">
        <v>5953.29</v>
      </c>
      <c r="F42" s="723">
        <v>5953.29</v>
      </c>
      <c r="G42" s="28">
        <v>569.36</v>
      </c>
      <c r="H42" s="651">
        <v>0</v>
      </c>
      <c r="I42" s="39">
        <v>2651.857488636876</v>
      </c>
      <c r="J42" s="39">
        <v>2525.0607258342234</v>
      </c>
      <c r="K42" s="52">
        <v>-126.79676280265267</v>
      </c>
      <c r="L42" s="39">
        <v>687.17092668746682</v>
      </c>
      <c r="M42" s="39">
        <v>594.67513782459946</v>
      </c>
      <c r="N42" s="52">
        <v>-92.495788862867357</v>
      </c>
      <c r="O42" s="39">
        <v>1294.46</v>
      </c>
      <c r="P42" s="39">
        <v>1294.7</v>
      </c>
      <c r="Q42" s="52">
        <v>0.24000000000000909</v>
      </c>
      <c r="R42" s="39">
        <v>315.64</v>
      </c>
      <c r="S42" s="39">
        <v>315.48</v>
      </c>
      <c r="T42" s="52">
        <v>-0.15999999999996817</v>
      </c>
      <c r="U42" s="39">
        <v>195.03873136964788</v>
      </c>
      <c r="V42" s="39">
        <v>115.58527483054735</v>
      </c>
      <c r="W42" s="52">
        <v>-79.453456539100529</v>
      </c>
      <c r="X42" s="39">
        <v>2053.8089537204951</v>
      </c>
      <c r="Y42" s="39">
        <v>1459.544155856544</v>
      </c>
      <c r="Z42" s="52">
        <v>-594.26479786395112</v>
      </c>
      <c r="AA42" s="39">
        <v>0</v>
      </c>
      <c r="AB42" s="39">
        <v>0</v>
      </c>
      <c r="AC42" s="52">
        <v>0</v>
      </c>
      <c r="AD42" s="39">
        <v>4242.5441847180309</v>
      </c>
      <c r="AE42" s="39">
        <v>3559.9882004052361</v>
      </c>
      <c r="AF42" s="35">
        <v>-682.55598431279486</v>
      </c>
      <c r="AG42" s="77">
        <v>11440.520285132518</v>
      </c>
      <c r="AH42" s="53">
        <v>9865.033494751151</v>
      </c>
      <c r="AI42" s="52">
        <v>-1575.4867903813665</v>
      </c>
      <c r="AJ42" s="39">
        <v>14402.266595894693</v>
      </c>
      <c r="AK42" s="39">
        <v>14208.849299630889</v>
      </c>
      <c r="AL42" s="52">
        <v>-193.41729626380402</v>
      </c>
      <c r="AM42" s="39">
        <v>0</v>
      </c>
      <c r="AN42" s="39">
        <v>0</v>
      </c>
      <c r="AO42" s="52">
        <v>0</v>
      </c>
      <c r="AP42" s="39">
        <v>828.64043753194358</v>
      </c>
      <c r="AQ42" s="39">
        <v>0</v>
      </c>
      <c r="AR42" s="52">
        <v>-828.64043753194358</v>
      </c>
      <c r="AS42" s="39">
        <v>18213.04239474616</v>
      </c>
      <c r="AT42" s="39">
        <v>2794.9590416738861</v>
      </c>
      <c r="AU42" s="54">
        <v>-15418.083353072274</v>
      </c>
      <c r="AV42" s="39">
        <v>81.224311988646505</v>
      </c>
      <c r="AW42" s="39">
        <v>0</v>
      </c>
      <c r="AX42" s="55">
        <v>-81.224311988646505</v>
      </c>
      <c r="AY42" s="39">
        <v>181.73049913413948</v>
      </c>
      <c r="AZ42" s="39">
        <v>1643</v>
      </c>
      <c r="BA42" s="35">
        <v>1461.2695008658604</v>
      </c>
      <c r="BB42" s="39">
        <v>211.62743048370936</v>
      </c>
      <c r="BC42" s="39">
        <v>0</v>
      </c>
      <c r="BD42" s="55">
        <v>-211.62743048370936</v>
      </c>
      <c r="BE42" s="39">
        <v>71.036897363237614</v>
      </c>
      <c r="BF42" s="39">
        <v>0</v>
      </c>
      <c r="BG42" s="38">
        <v>-71.036897363237614</v>
      </c>
      <c r="BH42" s="39">
        <v>39.576724851099698</v>
      </c>
      <c r="BI42" s="39">
        <v>0</v>
      </c>
      <c r="BJ42" s="55">
        <v>-39.576724851099698</v>
      </c>
      <c r="BK42" s="39">
        <v>48.871603317094689</v>
      </c>
      <c r="BL42" s="39">
        <v>0</v>
      </c>
      <c r="BM42" s="38">
        <v>-48.871603317094689</v>
      </c>
      <c r="BN42" s="39">
        <v>0</v>
      </c>
      <c r="BO42" s="39">
        <v>0</v>
      </c>
      <c r="BP42" s="55">
        <v>0</v>
      </c>
      <c r="BQ42" s="77">
        <v>634.06746713792734</v>
      </c>
      <c r="BR42" s="40">
        <v>1643</v>
      </c>
      <c r="BS42" s="55">
        <v>1008.9325328620727</v>
      </c>
      <c r="BT42" s="39">
        <v>10687.576099554291</v>
      </c>
      <c r="BU42" s="39">
        <v>2579.6022030107974</v>
      </c>
      <c r="BV42" s="52">
        <v>-8107.9738965434935</v>
      </c>
      <c r="BW42" s="39">
        <v>11170.059922599505</v>
      </c>
      <c r="BX42" s="39">
        <v>13691.211276187885</v>
      </c>
      <c r="BY42" s="52">
        <v>2521.1513535883805</v>
      </c>
      <c r="BZ42" s="39">
        <v>1017.0725209018348</v>
      </c>
      <c r="CA42" s="39">
        <v>10210.702375225681</v>
      </c>
      <c r="CB42" s="52">
        <v>9193.6298543238463</v>
      </c>
      <c r="CC42" s="39">
        <v>366.65581807457136</v>
      </c>
      <c r="CD42" s="39">
        <v>361.73232105958232</v>
      </c>
      <c r="CE42" s="52">
        <v>-4.9234970149890387</v>
      </c>
      <c r="CF42" s="39">
        <v>45.137553361452916</v>
      </c>
      <c r="CG42" s="39">
        <v>0</v>
      </c>
      <c r="CH42" s="52">
        <v>-45.137553361452916</v>
      </c>
      <c r="CI42" s="39">
        <v>3858.9297740311113</v>
      </c>
      <c r="CJ42" s="39">
        <v>1783.6795857259376</v>
      </c>
      <c r="CK42" s="52">
        <v>-2075.2501883051737</v>
      </c>
      <c r="CL42" s="39">
        <v>1808.11293211676</v>
      </c>
      <c r="CM42" s="39">
        <v>1430.9484759407565</v>
      </c>
      <c r="CN42" s="52">
        <v>-377.16445617600357</v>
      </c>
      <c r="CO42" s="39">
        <v>5667.0427061478713</v>
      </c>
      <c r="CP42" s="40">
        <v>3214.6280616666941</v>
      </c>
      <c r="CQ42" s="52">
        <v>-2452.4146444811772</v>
      </c>
      <c r="CR42" s="72">
        <v>74472.081801082779</v>
      </c>
      <c r="CS42" s="5">
        <v>58569.718073206561</v>
      </c>
      <c r="CT42" s="52">
        <v>-15902.363727876218</v>
      </c>
      <c r="CU42" s="77">
        <v>89366.498161299329</v>
      </c>
      <c r="CV42" s="65">
        <v>70283.661687847867</v>
      </c>
      <c r="CW42" s="35">
        <v>-19082.836473451462</v>
      </c>
      <c r="CX42" s="39">
        <v>893.6649816129933</v>
      </c>
      <c r="CY42" s="39">
        <v>19976.501455064456</v>
      </c>
      <c r="CZ42" s="52">
        <v>19082.836473451462</v>
      </c>
      <c r="DA42" s="150">
        <v>10173.567064444025</v>
      </c>
      <c r="DB42" s="2">
        <v>3</v>
      </c>
      <c r="DC42" s="713">
        <v>99296.86</v>
      </c>
      <c r="DD42" s="714"/>
      <c r="DE42" s="715">
        <v>54166.778428543847</v>
      </c>
      <c r="DF42" s="716">
        <v>0</v>
      </c>
      <c r="DG42" s="717">
        <v>117370.17201331639</v>
      </c>
      <c r="DH42" s="718">
        <v>432982.01989104337</v>
      </c>
      <c r="DI42" s="718">
        <v>1083121.9577149479</v>
      </c>
      <c r="DJ42" s="693">
        <v>920586.97325897182</v>
      </c>
      <c r="DK42" s="724"/>
      <c r="DL42" s="5"/>
      <c r="DM42" s="306">
        <v>5.9306016635307897</v>
      </c>
      <c r="DN42" s="306">
        <v>7.7551963358194227</v>
      </c>
      <c r="DO42" s="306">
        <v>4.7935738498184897</v>
      </c>
      <c r="DP42" s="719">
        <v>45130.081571456154</v>
      </c>
      <c r="DQ42" s="720">
        <v>0</v>
      </c>
      <c r="DR42" s="650">
        <v>45130.081571456154</v>
      </c>
      <c r="DS42" s="94">
        <v>45130.081571456169</v>
      </c>
      <c r="DT42" s="719">
        <v>45015.18</v>
      </c>
      <c r="DU42" s="721"/>
      <c r="DV42" s="93">
        <v>45015.18</v>
      </c>
      <c r="DW42" s="95">
        <v>45219.448069617451</v>
      </c>
      <c r="DX42" s="28">
        <v>-204.26806961745024</v>
      </c>
      <c r="EA42" s="5">
        <v>22616.531834260906</v>
      </c>
      <c r="EB42" s="5">
        <v>5325.5508500086635</v>
      </c>
      <c r="EE42" s="722">
        <v>218556.50873695393</v>
      </c>
      <c r="EG42" s="42" t="s">
        <v>344</v>
      </c>
    </row>
    <row r="43" spans="1:137" x14ac:dyDescent="0.3">
      <c r="A43" s="325">
        <v>150000983</v>
      </c>
      <c r="B43" s="41" t="s">
        <v>498</v>
      </c>
      <c r="C43" s="42" t="s">
        <v>345</v>
      </c>
      <c r="D43" s="27">
        <v>9</v>
      </c>
      <c r="E43" s="709">
        <v>3858.65</v>
      </c>
      <c r="F43" s="723">
        <v>3858.65</v>
      </c>
      <c r="G43" s="28">
        <v>441.5</v>
      </c>
      <c r="H43" s="651">
        <v>0</v>
      </c>
      <c r="I43" s="39">
        <v>1743.9826197680936</v>
      </c>
      <c r="J43" s="39">
        <v>1660.8271640655416</v>
      </c>
      <c r="K43" s="52">
        <v>-83.15545570255199</v>
      </c>
      <c r="L43" s="39">
        <v>256.3944898366467</v>
      </c>
      <c r="M43" s="39">
        <v>221.88287939931769</v>
      </c>
      <c r="N43" s="52">
        <v>-34.511610437329011</v>
      </c>
      <c r="O43" s="39">
        <v>833.48</v>
      </c>
      <c r="P43" s="39">
        <v>833.42</v>
      </c>
      <c r="Q43" s="52">
        <v>-6.0000000000059117E-2</v>
      </c>
      <c r="R43" s="39">
        <v>213.26</v>
      </c>
      <c r="S43" s="39">
        <v>213.5</v>
      </c>
      <c r="T43" s="52">
        <v>0.24000000000000909</v>
      </c>
      <c r="U43" s="39">
        <v>130.00964065633656</v>
      </c>
      <c r="V43" s="39">
        <v>77.047110649179317</v>
      </c>
      <c r="W43" s="52">
        <v>-52.962530007157241</v>
      </c>
      <c r="X43" s="39">
        <v>1502.8490254426088</v>
      </c>
      <c r="Y43" s="39">
        <v>1056.6022903161775</v>
      </c>
      <c r="Z43" s="52">
        <v>-446.2467351264313</v>
      </c>
      <c r="AA43" s="39">
        <v>0</v>
      </c>
      <c r="AB43" s="39">
        <v>0</v>
      </c>
      <c r="AC43" s="52">
        <v>0</v>
      </c>
      <c r="AD43" s="39">
        <v>2749.8228909329519</v>
      </c>
      <c r="AE43" s="39">
        <v>2307.4213534858313</v>
      </c>
      <c r="AF43" s="35">
        <v>-442.40153744712052</v>
      </c>
      <c r="AG43" s="77">
        <v>7429.7986666366378</v>
      </c>
      <c r="AH43" s="53">
        <v>6370.7007979160471</v>
      </c>
      <c r="AI43" s="52">
        <v>-1059.0978687205907</v>
      </c>
      <c r="AJ43" s="39">
        <v>9601.5110639297945</v>
      </c>
      <c r="AK43" s="39">
        <v>9472.5588719031039</v>
      </c>
      <c r="AL43" s="52">
        <v>-128.95219202669068</v>
      </c>
      <c r="AM43" s="39">
        <v>0</v>
      </c>
      <c r="AN43" s="39">
        <v>0</v>
      </c>
      <c r="AO43" s="52">
        <v>0</v>
      </c>
      <c r="AP43" s="39">
        <v>552.42695835462905</v>
      </c>
      <c r="AQ43" s="39">
        <v>186.68268551536585</v>
      </c>
      <c r="AR43" s="52">
        <v>-365.7442728392632</v>
      </c>
      <c r="AS43" s="39">
        <v>11470.045882700299</v>
      </c>
      <c r="AT43" s="39">
        <v>809</v>
      </c>
      <c r="AU43" s="54">
        <v>-10661.045882700299</v>
      </c>
      <c r="AV43" s="39">
        <v>53.40841260932612</v>
      </c>
      <c r="AW43" s="39">
        <v>0</v>
      </c>
      <c r="AX43" s="55">
        <v>-53.40841260932612</v>
      </c>
      <c r="AY43" s="39">
        <v>69.151720215382937</v>
      </c>
      <c r="AZ43" s="39">
        <v>0</v>
      </c>
      <c r="BA43" s="35">
        <v>-69.151720215382937</v>
      </c>
      <c r="BB43" s="39">
        <v>137.42866535911875</v>
      </c>
      <c r="BC43" s="39">
        <v>0</v>
      </c>
      <c r="BD43" s="55">
        <v>-137.42866535911875</v>
      </c>
      <c r="BE43" s="39">
        <v>51.28841910229302</v>
      </c>
      <c r="BF43" s="39">
        <v>0</v>
      </c>
      <c r="BG43" s="38">
        <v>-51.28841910229302</v>
      </c>
      <c r="BH43" s="39">
        <v>26.384494126153122</v>
      </c>
      <c r="BI43" s="39">
        <v>0</v>
      </c>
      <c r="BJ43" s="55">
        <v>-26.384494126153122</v>
      </c>
      <c r="BK43" s="39">
        <v>44.991929303447613</v>
      </c>
      <c r="BL43" s="39">
        <v>0</v>
      </c>
      <c r="BM43" s="38">
        <v>-44.991929303447613</v>
      </c>
      <c r="BN43" s="39">
        <v>0</v>
      </c>
      <c r="BO43" s="39">
        <v>0</v>
      </c>
      <c r="BP43" s="55">
        <v>0</v>
      </c>
      <c r="BQ43" s="77">
        <v>382.65364071572156</v>
      </c>
      <c r="BR43" s="40">
        <v>0</v>
      </c>
      <c r="BS43" s="55">
        <v>-382.65364071572156</v>
      </c>
      <c r="BT43" s="39">
        <v>6497.9047189565645</v>
      </c>
      <c r="BU43" s="39">
        <v>1573.759364833973</v>
      </c>
      <c r="BV43" s="52">
        <v>-4924.145354122591</v>
      </c>
      <c r="BW43" s="39">
        <v>7699.4429803204403</v>
      </c>
      <c r="BX43" s="39">
        <v>9353.5307261116304</v>
      </c>
      <c r="BY43" s="52">
        <v>1654.0877457911902</v>
      </c>
      <c r="BZ43" s="39">
        <v>670.83506697780592</v>
      </c>
      <c r="CA43" s="39">
        <v>6284.4173467326327</v>
      </c>
      <c r="CB43" s="52">
        <v>5613.5822797548271</v>
      </c>
      <c r="CC43" s="39">
        <v>198.00022049939747</v>
      </c>
      <c r="CD43" s="39">
        <v>195.3414504852866</v>
      </c>
      <c r="CE43" s="52">
        <v>-2.6587700141108712</v>
      </c>
      <c r="CF43" s="39">
        <v>24.37502714481219</v>
      </c>
      <c r="CG43" s="39">
        <v>0</v>
      </c>
      <c r="CH43" s="52">
        <v>-24.37502714481219</v>
      </c>
      <c r="CI43" s="39">
        <v>109.18556353362079</v>
      </c>
      <c r="CJ43" s="39">
        <v>689.89831077422036</v>
      </c>
      <c r="CK43" s="52">
        <v>580.71274724059958</v>
      </c>
      <c r="CL43" s="39">
        <v>789.8795624775081</v>
      </c>
      <c r="CM43" s="39">
        <v>2292.4347520232268</v>
      </c>
      <c r="CN43" s="52">
        <v>1502.5551895457188</v>
      </c>
      <c r="CO43" s="39">
        <v>899.06512601112888</v>
      </c>
      <c r="CP43" s="40">
        <v>2982.3330627974474</v>
      </c>
      <c r="CQ43" s="52">
        <v>2083.2679367863184</v>
      </c>
      <c r="CR43" s="72">
        <v>45426.059352247234</v>
      </c>
      <c r="CS43" s="5">
        <v>37228.324306295486</v>
      </c>
      <c r="CT43" s="52">
        <v>-8197.7350459517475</v>
      </c>
      <c r="CU43" s="77">
        <v>54511.271222696676</v>
      </c>
      <c r="CV43" s="65">
        <v>44673.98916755458</v>
      </c>
      <c r="CW43" s="35">
        <v>-9837.2820551420955</v>
      </c>
      <c r="CX43" s="39">
        <v>545.11271222696666</v>
      </c>
      <c r="CY43" s="39">
        <v>10382.394767369064</v>
      </c>
      <c r="CZ43" s="52">
        <v>9837.2820551420973</v>
      </c>
      <c r="DA43" s="150">
        <v>10256.08441804161</v>
      </c>
      <c r="DB43" s="2">
        <v>3</v>
      </c>
      <c r="DC43" s="713">
        <v>55180.09</v>
      </c>
      <c r="DD43" s="714"/>
      <c r="DE43" s="715">
        <v>27651.898032538178</v>
      </c>
      <c r="DF43" s="716">
        <v>0</v>
      </c>
      <c r="DG43" s="717">
        <v>11760.990816564701</v>
      </c>
      <c r="DH43" s="718">
        <v>264018.19846096123</v>
      </c>
      <c r="DI43" s="718">
        <v>660676.6072190837</v>
      </c>
      <c r="DJ43" s="693">
        <v>561512.00502955308</v>
      </c>
      <c r="DK43" s="724"/>
      <c r="DL43" s="5"/>
      <c r="DM43" s="306">
        <v>5.5021858027701382</v>
      </c>
      <c r="DN43" s="306">
        <v>7.3450029807116461</v>
      </c>
      <c r="DO43" s="306">
        <v>4.2929902431640103</v>
      </c>
      <c r="DP43" s="719">
        <v>27528.191967461818</v>
      </c>
      <c r="DQ43" s="720">
        <v>0</v>
      </c>
      <c r="DR43" s="650">
        <v>27528.191967461818</v>
      </c>
      <c r="DS43" s="94">
        <v>27528.191967461826</v>
      </c>
      <c r="DT43" s="719">
        <v>27335.33</v>
      </c>
      <c r="DU43" s="721"/>
      <c r="DV43" s="93">
        <v>27335.33</v>
      </c>
      <c r="DW43" s="95">
        <v>27582.70323868452</v>
      </c>
      <c r="DX43" s="28">
        <v>-247.37323868451858</v>
      </c>
      <c r="EA43" s="5">
        <v>14223.239428099225</v>
      </c>
      <c r="EB43" s="5">
        <v>970.8</v>
      </c>
      <c r="EE43" s="722">
        <v>137640.55059240357</v>
      </c>
      <c r="EG43" s="42" t="s">
        <v>345</v>
      </c>
    </row>
    <row r="44" spans="1:137" x14ac:dyDescent="0.3">
      <c r="A44" s="325">
        <v>150000984</v>
      </c>
      <c r="B44" s="41" t="s">
        <v>499</v>
      </c>
      <c r="C44" s="42" t="s">
        <v>346</v>
      </c>
      <c r="D44" s="27">
        <v>9</v>
      </c>
      <c r="E44" s="709">
        <v>9788.74</v>
      </c>
      <c r="F44" s="723">
        <v>9788.74</v>
      </c>
      <c r="G44" s="28">
        <v>1089.02</v>
      </c>
      <c r="H44" s="651">
        <v>0</v>
      </c>
      <c r="I44" s="39">
        <v>4353.7176469955293</v>
      </c>
      <c r="J44" s="39">
        <v>4147.3314479173741</v>
      </c>
      <c r="K44" s="52">
        <v>-206.38619907815519</v>
      </c>
      <c r="L44" s="39">
        <v>710.84243395378007</v>
      </c>
      <c r="M44" s="39">
        <v>615.1605738914725</v>
      </c>
      <c r="N44" s="52">
        <v>-95.681860062307578</v>
      </c>
      <c r="O44" s="39">
        <v>2088.58</v>
      </c>
      <c r="P44" s="39">
        <v>2088.2600000000002</v>
      </c>
      <c r="Q44" s="52">
        <v>-0.31999999999970896</v>
      </c>
      <c r="R44" s="39">
        <v>493.3</v>
      </c>
      <c r="S44" s="39">
        <v>492.7</v>
      </c>
      <c r="T44" s="52">
        <v>-0.60000000000002274</v>
      </c>
      <c r="U44" s="39">
        <v>195.03873136964788</v>
      </c>
      <c r="V44" s="39">
        <v>115.58527483054735</v>
      </c>
      <c r="W44" s="52">
        <v>-79.453456539100529</v>
      </c>
      <c r="X44" s="39">
        <v>2756.495322043857</v>
      </c>
      <c r="Y44" s="39">
        <v>1983.7242407399544</v>
      </c>
      <c r="Z44" s="52">
        <v>-772.77108130390252</v>
      </c>
      <c r="AA44" s="39">
        <v>0</v>
      </c>
      <c r="AB44" s="39">
        <v>0</v>
      </c>
      <c r="AC44" s="52">
        <v>0</v>
      </c>
      <c r="AD44" s="39">
        <v>6975.8338603892607</v>
      </c>
      <c r="AE44" s="39">
        <v>5853.5362626102124</v>
      </c>
      <c r="AF44" s="35">
        <v>-1122.2975977790484</v>
      </c>
      <c r="AG44" s="77">
        <v>17573.807994752075</v>
      </c>
      <c r="AH44" s="53">
        <v>15296.297799989561</v>
      </c>
      <c r="AI44" s="52">
        <v>-2277.5101947625135</v>
      </c>
      <c r="AJ44" s="39">
        <v>9264.4841968999954</v>
      </c>
      <c r="AK44" s="39">
        <v>9140.0576408839552</v>
      </c>
      <c r="AL44" s="52">
        <v>-124.42655601604019</v>
      </c>
      <c r="AM44" s="39">
        <v>0</v>
      </c>
      <c r="AN44" s="39">
        <v>0</v>
      </c>
      <c r="AO44" s="52">
        <v>0</v>
      </c>
      <c r="AP44" s="39">
        <v>1270.582004215647</v>
      </c>
      <c r="AQ44" s="39">
        <v>7280.6247350992671</v>
      </c>
      <c r="AR44" s="52">
        <v>6010.0427308836206</v>
      </c>
      <c r="AS44" s="39">
        <v>27808.449636342415</v>
      </c>
      <c r="AT44" s="39">
        <v>1811</v>
      </c>
      <c r="AU44" s="54">
        <v>-25997.449636342415</v>
      </c>
      <c r="AV44" s="39">
        <v>355.3379711336587</v>
      </c>
      <c r="AW44" s="39">
        <v>0</v>
      </c>
      <c r="AX44" s="55">
        <v>-355.3379711336587</v>
      </c>
      <c r="AY44" s="39">
        <v>469.58280172270531</v>
      </c>
      <c r="AZ44" s="39">
        <v>2922</v>
      </c>
      <c r="BA44" s="35">
        <v>2452.4171982772946</v>
      </c>
      <c r="BB44" s="39">
        <v>919.72733484503044</v>
      </c>
      <c r="BC44" s="39">
        <v>0</v>
      </c>
      <c r="BD44" s="55">
        <v>-919.72733484503044</v>
      </c>
      <c r="BE44" s="39">
        <v>270.25810971215151</v>
      </c>
      <c r="BF44" s="39">
        <v>528</v>
      </c>
      <c r="BG44" s="38">
        <v>257.74189028784849</v>
      </c>
      <c r="BH44" s="39">
        <v>98.941812127749259</v>
      </c>
      <c r="BI44" s="39">
        <v>0</v>
      </c>
      <c r="BJ44" s="55">
        <v>-98.941812127749259</v>
      </c>
      <c r="BK44" s="39">
        <v>275.07006865002995</v>
      </c>
      <c r="BL44" s="39">
        <v>0</v>
      </c>
      <c r="BM44" s="38">
        <v>-275.07006865002995</v>
      </c>
      <c r="BN44" s="39">
        <v>0</v>
      </c>
      <c r="BO44" s="39">
        <v>0</v>
      </c>
      <c r="BP44" s="55">
        <v>0</v>
      </c>
      <c r="BQ44" s="77">
        <v>2388.9180981913255</v>
      </c>
      <c r="BR44" s="40">
        <v>3450</v>
      </c>
      <c r="BS44" s="55">
        <v>1061.0819018086745</v>
      </c>
      <c r="BT44" s="39">
        <v>18207.294446422617</v>
      </c>
      <c r="BU44" s="39">
        <v>3276.092375065949</v>
      </c>
      <c r="BV44" s="52">
        <v>-14931.202071356667</v>
      </c>
      <c r="BW44" s="39">
        <v>11845.719334125222</v>
      </c>
      <c r="BX44" s="39">
        <v>12813.604058749836</v>
      </c>
      <c r="BY44" s="52">
        <v>967.88472462461323</v>
      </c>
      <c r="BZ44" s="39">
        <v>1233.4709296043527</v>
      </c>
      <c r="CA44" s="39">
        <v>12766.938870692058</v>
      </c>
      <c r="CB44" s="52">
        <v>11533.467941087705</v>
      </c>
      <c r="CC44" s="39">
        <v>387.77943654775538</v>
      </c>
      <c r="CD44" s="39">
        <v>382.57228912447704</v>
      </c>
      <c r="CE44" s="52">
        <v>-5.207147423278343</v>
      </c>
      <c r="CF44" s="39">
        <v>47.737998817432</v>
      </c>
      <c r="CG44" s="39">
        <v>0</v>
      </c>
      <c r="CH44" s="52">
        <v>-47.737998817432</v>
      </c>
      <c r="CI44" s="39">
        <v>7134.4966800397351</v>
      </c>
      <c r="CJ44" s="39">
        <v>3867.7197234523569</v>
      </c>
      <c r="CK44" s="52">
        <v>-3266.7769565873782</v>
      </c>
      <c r="CL44" s="39">
        <v>3210.0555678884512</v>
      </c>
      <c r="CM44" s="39">
        <v>6113.7512354986375</v>
      </c>
      <c r="CN44" s="52">
        <v>2903.6956676101863</v>
      </c>
      <c r="CO44" s="39">
        <v>10344.552247928186</v>
      </c>
      <c r="CP44" s="40">
        <v>9981.4709589509948</v>
      </c>
      <c r="CQ44" s="52">
        <v>-363.08128897719143</v>
      </c>
      <c r="CR44" s="72">
        <v>100372.79632384705</v>
      </c>
      <c r="CS44" s="5">
        <v>76198.658728556096</v>
      </c>
      <c r="CT44" s="52">
        <v>-24174.137595290958</v>
      </c>
      <c r="CU44" s="77">
        <v>120447.35558861645</v>
      </c>
      <c r="CV44" s="65">
        <v>91438.390474267318</v>
      </c>
      <c r="CW44" s="35">
        <v>-29008.965114349136</v>
      </c>
      <c r="CX44" s="39">
        <v>3011.1838897154116</v>
      </c>
      <c r="CY44" s="39">
        <v>32020.149004064559</v>
      </c>
      <c r="CZ44" s="52">
        <v>29008.965114349146</v>
      </c>
      <c r="DA44" s="150">
        <v>-37203.634428448997</v>
      </c>
      <c r="DB44" s="2">
        <v>3</v>
      </c>
      <c r="DC44" s="713">
        <v>102855.17</v>
      </c>
      <c r="DD44" s="714"/>
      <c r="DE44" s="715">
        <v>41125.900260834067</v>
      </c>
      <c r="DF44" s="716">
        <v>0</v>
      </c>
      <c r="DG44" s="717">
        <v>137035.84395361683</v>
      </c>
      <c r="DH44" s="718">
        <v>591775.08911159378</v>
      </c>
      <c r="DI44" s="718">
        <v>1481502.4737399823</v>
      </c>
      <c r="DJ44" s="693">
        <v>1259070.6275828851</v>
      </c>
      <c r="DK44" s="724"/>
      <c r="DL44" s="5"/>
      <c r="DM44" s="306">
        <v>5.5224091950364445</v>
      </c>
      <c r="DN44" s="306">
        <v>6.4042584908005491</v>
      </c>
      <c r="DO44" s="306">
        <v>4.7781747592983397</v>
      </c>
      <c r="DP44" s="719">
        <v>61729.269739165931</v>
      </c>
      <c r="DQ44" s="720">
        <v>0</v>
      </c>
      <c r="DR44" s="650">
        <v>61729.269739165931</v>
      </c>
      <c r="DS44" s="94">
        <v>61729.269739165931</v>
      </c>
      <c r="DT44" s="719">
        <v>61729.57</v>
      </c>
      <c r="DU44" s="721"/>
      <c r="DV44" s="93">
        <v>61729.57</v>
      </c>
      <c r="DW44" s="95">
        <v>62030.388128137478</v>
      </c>
      <c r="DX44" s="28">
        <v>-300.8181281374782</v>
      </c>
      <c r="EA44" s="5">
        <v>36236.841281440487</v>
      </c>
      <c r="EB44" s="5">
        <v>6313.2</v>
      </c>
      <c r="EE44" s="722">
        <v>333701.39563610899</v>
      </c>
      <c r="EG44" s="42" t="s">
        <v>346</v>
      </c>
    </row>
    <row r="45" spans="1:137" x14ac:dyDescent="0.3">
      <c r="A45" s="325">
        <v>150000986</v>
      </c>
      <c r="B45" s="41" t="s">
        <v>500</v>
      </c>
      <c r="C45" s="42" t="s">
        <v>347</v>
      </c>
      <c r="D45" s="27">
        <v>9</v>
      </c>
      <c r="E45" s="709">
        <v>6581.9</v>
      </c>
      <c r="F45" s="723">
        <v>6581.9</v>
      </c>
      <c r="G45" s="28">
        <v>729.6</v>
      </c>
      <c r="H45" s="651">
        <v>0</v>
      </c>
      <c r="I45" s="39">
        <v>2906.2925569482009</v>
      </c>
      <c r="J45" s="39">
        <v>2768.825848916335</v>
      </c>
      <c r="K45" s="52">
        <v>-137.46670803186589</v>
      </c>
      <c r="L45" s="39">
        <v>475.65393657303974</v>
      </c>
      <c r="M45" s="39">
        <v>411.62923096872839</v>
      </c>
      <c r="N45" s="52">
        <v>-64.02470560431135</v>
      </c>
      <c r="O45" s="39">
        <v>1413.28</v>
      </c>
      <c r="P45" s="39">
        <v>1413.52</v>
      </c>
      <c r="Q45" s="52">
        <v>0.24000000000000909</v>
      </c>
      <c r="R45" s="39">
        <v>333.6</v>
      </c>
      <c r="S45" s="39">
        <v>333.62</v>
      </c>
      <c r="T45" s="52">
        <v>1.999999999998181E-2</v>
      </c>
      <c r="U45" s="39">
        <v>130.00964065633656</v>
      </c>
      <c r="V45" s="39">
        <v>77.047110649179317</v>
      </c>
      <c r="W45" s="52">
        <v>-52.962530007157241</v>
      </c>
      <c r="X45" s="39">
        <v>1691.0760126715447</v>
      </c>
      <c r="Y45" s="39">
        <v>1203.3104849555996</v>
      </c>
      <c r="Z45" s="52">
        <v>-487.76552771594515</v>
      </c>
      <c r="AA45" s="39">
        <v>0</v>
      </c>
      <c r="AB45" s="39">
        <v>0</v>
      </c>
      <c r="AC45" s="52">
        <v>0</v>
      </c>
      <c r="AD45" s="39">
        <v>4690.5159280659282</v>
      </c>
      <c r="AE45" s="39">
        <v>3935.888615580162</v>
      </c>
      <c r="AF45" s="35">
        <v>-754.6273124857662</v>
      </c>
      <c r="AG45" s="77">
        <v>11640.428074915049</v>
      </c>
      <c r="AH45" s="53">
        <v>10143.841291070004</v>
      </c>
      <c r="AI45" s="52">
        <v>-1496.5867838450449</v>
      </c>
      <c r="AJ45" s="39">
        <v>4702.7782007695241</v>
      </c>
      <c r="AK45" s="39">
        <v>4639.6287475432418</v>
      </c>
      <c r="AL45" s="52">
        <v>-63.149453226282276</v>
      </c>
      <c r="AM45" s="39">
        <v>0</v>
      </c>
      <c r="AN45" s="39">
        <v>0</v>
      </c>
      <c r="AO45" s="52">
        <v>0</v>
      </c>
      <c r="AP45" s="39">
        <v>852.31587860428476</v>
      </c>
      <c r="AQ45" s="39">
        <v>280.02402827304877</v>
      </c>
      <c r="AR45" s="52">
        <v>-572.29185033123599</v>
      </c>
      <c r="AS45" s="39">
        <v>21999.051572664823</v>
      </c>
      <c r="AT45" s="39">
        <v>1245.425236610281</v>
      </c>
      <c r="AU45" s="54">
        <v>-20753.626336054542</v>
      </c>
      <c r="AV45" s="39">
        <v>237.6327308728423</v>
      </c>
      <c r="AW45" s="39">
        <v>0</v>
      </c>
      <c r="AX45" s="55">
        <v>-237.6327308728423</v>
      </c>
      <c r="AY45" s="39">
        <v>313.4952251884107</v>
      </c>
      <c r="AZ45" s="39">
        <v>0</v>
      </c>
      <c r="BA45" s="35">
        <v>-313.4952251884107</v>
      </c>
      <c r="BB45" s="39">
        <v>608.83264751210118</v>
      </c>
      <c r="BC45" s="39">
        <v>0</v>
      </c>
      <c r="BD45" s="55">
        <v>-608.83264751210118</v>
      </c>
      <c r="BE45" s="39">
        <v>185.8924655995005</v>
      </c>
      <c r="BF45" s="39">
        <v>0</v>
      </c>
      <c r="BG45" s="38">
        <v>-185.8924655995005</v>
      </c>
      <c r="BH45" s="39">
        <v>65.961235315382794</v>
      </c>
      <c r="BI45" s="39">
        <v>0</v>
      </c>
      <c r="BJ45" s="55">
        <v>-65.961235315382794</v>
      </c>
      <c r="BK45" s="39">
        <v>224.10163676469494</v>
      </c>
      <c r="BL45" s="39">
        <v>0</v>
      </c>
      <c r="BM45" s="38">
        <v>-224.10163676469494</v>
      </c>
      <c r="BN45" s="39">
        <v>0</v>
      </c>
      <c r="BO45" s="39">
        <v>0</v>
      </c>
      <c r="BP45" s="55">
        <v>0</v>
      </c>
      <c r="BQ45" s="77">
        <v>1635.9159412529325</v>
      </c>
      <c r="BR45" s="40">
        <v>0</v>
      </c>
      <c r="BS45" s="55">
        <v>-1635.9159412529325</v>
      </c>
      <c r="BT45" s="39">
        <v>15117.309041736185</v>
      </c>
      <c r="BU45" s="39">
        <v>3540.6955756170369</v>
      </c>
      <c r="BV45" s="52">
        <v>-11576.613466119148</v>
      </c>
      <c r="BW45" s="39">
        <v>7578.5546224775535</v>
      </c>
      <c r="BX45" s="39">
        <v>10156.325279208821</v>
      </c>
      <c r="BY45" s="52">
        <v>2577.7706567312671</v>
      </c>
      <c r="BZ45" s="39">
        <v>1060.3522026423384</v>
      </c>
      <c r="CA45" s="39">
        <v>13792.140767007069</v>
      </c>
      <c r="CB45" s="52">
        <v>12731.788564364731</v>
      </c>
      <c r="CC45" s="39">
        <v>375.52391411030817</v>
      </c>
      <c r="CD45" s="39">
        <v>370.48133526923522</v>
      </c>
      <c r="CE45" s="52">
        <v>-5.0425788410729524</v>
      </c>
      <c r="CF45" s="39">
        <v>46.229269729488692</v>
      </c>
      <c r="CG45" s="39">
        <v>0</v>
      </c>
      <c r="CH45" s="52">
        <v>-46.229269729488692</v>
      </c>
      <c r="CI45" s="39">
        <v>3372.2741194241162</v>
      </c>
      <c r="CJ45" s="39">
        <v>8270.1333411884025</v>
      </c>
      <c r="CK45" s="52">
        <v>4897.8592217642863</v>
      </c>
      <c r="CL45" s="39">
        <v>1285.2700621671934</v>
      </c>
      <c r="CM45" s="39">
        <v>4656.3519038604836</v>
      </c>
      <c r="CN45" s="52">
        <v>3371.0818416932902</v>
      </c>
      <c r="CO45" s="39">
        <v>4657.5441815913091</v>
      </c>
      <c r="CP45" s="40">
        <v>12926.485245048887</v>
      </c>
      <c r="CQ45" s="52">
        <v>8268.9410634575779</v>
      </c>
      <c r="CR45" s="72">
        <v>69666.002900493797</v>
      </c>
      <c r="CS45" s="5">
        <v>57095.047505647628</v>
      </c>
      <c r="CT45" s="52">
        <v>-12570.955394846169</v>
      </c>
      <c r="CU45" s="77">
        <v>83599.20348059255</v>
      </c>
      <c r="CV45" s="65">
        <v>68514.057006777148</v>
      </c>
      <c r="CW45" s="35">
        <v>-15085.146473815403</v>
      </c>
      <c r="CX45" s="39">
        <v>1253.9880522088881</v>
      </c>
      <c r="CY45" s="39">
        <v>16339.134526024296</v>
      </c>
      <c r="CZ45" s="52">
        <v>15085.146473815408</v>
      </c>
      <c r="DA45" s="150">
        <v>106271.42736375864</v>
      </c>
      <c r="DB45" s="2">
        <v>3</v>
      </c>
      <c r="DC45" s="713">
        <v>106407.88</v>
      </c>
      <c r="DD45" s="714"/>
      <c r="DE45" s="715">
        <v>63981.28423359929</v>
      </c>
      <c r="DF45" s="716">
        <v>0</v>
      </c>
      <c r="DG45" s="717">
        <v>74323.141585556616</v>
      </c>
      <c r="DH45" s="718">
        <v>412142.54377921438</v>
      </c>
      <c r="DI45" s="718">
        <v>1018238.2983936174</v>
      </c>
      <c r="DJ45" s="693">
        <v>866714.35974001675</v>
      </c>
      <c r="DK45" s="724"/>
      <c r="DL45" s="5"/>
      <c r="DM45" s="306">
        <v>5.8918966216855715</v>
      </c>
      <c r="DN45" s="306">
        <v>6.5150228100437317</v>
      </c>
      <c r="DO45" s="306">
        <v>5.1906796835539026</v>
      </c>
      <c r="DP45" s="719">
        <v>42426.595766400715</v>
      </c>
      <c r="DQ45" s="720">
        <v>0</v>
      </c>
      <c r="DR45" s="650">
        <v>42426.595766400715</v>
      </c>
      <c r="DS45" s="94">
        <v>42426.595766400729</v>
      </c>
      <c r="DT45" s="719">
        <v>42425.15</v>
      </c>
      <c r="DU45" s="721"/>
      <c r="DV45" s="93">
        <v>42425.15</v>
      </c>
      <c r="DW45" s="95">
        <v>42551.99457162161</v>
      </c>
      <c r="DX45" s="28">
        <v>-126.84457162160834</v>
      </c>
      <c r="EA45" s="5">
        <v>28361.961016701305</v>
      </c>
      <c r="EB45" s="5">
        <v>1494.5102839323372</v>
      </c>
      <c r="EE45" s="722">
        <v>263988.6188719779</v>
      </c>
      <c r="EG45" s="42" t="s">
        <v>347</v>
      </c>
    </row>
    <row r="46" spans="1:137" x14ac:dyDescent="0.3">
      <c r="A46" s="325">
        <v>150000996</v>
      </c>
      <c r="B46" s="41" t="s">
        <v>501</v>
      </c>
      <c r="C46" s="42" t="s">
        <v>246</v>
      </c>
      <c r="D46" s="27">
        <v>5</v>
      </c>
      <c r="E46" s="709">
        <v>3446.77</v>
      </c>
      <c r="F46" s="723">
        <v>3261</v>
      </c>
      <c r="G46" s="28"/>
      <c r="H46" s="651">
        <v>185.77</v>
      </c>
      <c r="I46" s="39">
        <v>1926.546003696857</v>
      </c>
      <c r="J46" s="39">
        <v>2075.3202547417227</v>
      </c>
      <c r="K46" s="52">
        <v>148.77425104486565</v>
      </c>
      <c r="L46" s="39">
        <v>340.52688035073152</v>
      </c>
      <c r="M46" s="39">
        <v>370.00032155603395</v>
      </c>
      <c r="N46" s="52">
        <v>29.473441205302436</v>
      </c>
      <c r="O46" s="39">
        <v>751.9</v>
      </c>
      <c r="P46" s="39">
        <v>751.9</v>
      </c>
      <c r="Q46" s="52">
        <v>0</v>
      </c>
      <c r="R46" s="39">
        <v>0</v>
      </c>
      <c r="S46" s="39">
        <v>0</v>
      </c>
      <c r="T46" s="52">
        <v>0</v>
      </c>
      <c r="U46" s="39">
        <v>0</v>
      </c>
      <c r="V46" s="39">
        <v>0</v>
      </c>
      <c r="W46" s="52">
        <v>0</v>
      </c>
      <c r="X46" s="39">
        <v>1196.982628269664</v>
      </c>
      <c r="Y46" s="39">
        <v>756.01215975840682</v>
      </c>
      <c r="Z46" s="52">
        <v>-440.9704685112572</v>
      </c>
      <c r="AA46" s="39">
        <v>0</v>
      </c>
      <c r="AB46" s="39">
        <v>0</v>
      </c>
      <c r="AC46" s="52">
        <v>0</v>
      </c>
      <c r="AD46" s="39">
        <v>2456.3013089502729</v>
      </c>
      <c r="AE46" s="39">
        <v>2061.1225943152031</v>
      </c>
      <c r="AF46" s="35">
        <v>-395.17871463506981</v>
      </c>
      <c r="AG46" s="77">
        <v>6672.2568212675251</v>
      </c>
      <c r="AH46" s="53">
        <v>6014.355330371367</v>
      </c>
      <c r="AI46" s="52">
        <v>-657.90149089615807</v>
      </c>
      <c r="AJ46" s="39">
        <v>0</v>
      </c>
      <c r="AK46" s="39">
        <v>0</v>
      </c>
      <c r="AL46" s="52">
        <v>0</v>
      </c>
      <c r="AM46" s="39">
        <v>0</v>
      </c>
      <c r="AN46" s="39">
        <v>0</v>
      </c>
      <c r="AO46" s="52">
        <v>0</v>
      </c>
      <c r="AP46" s="39">
        <v>1680.9563161362285</v>
      </c>
      <c r="AQ46" s="39">
        <v>350.03003534131096</v>
      </c>
      <c r="AR46" s="52">
        <v>-1330.9262807949176</v>
      </c>
      <c r="AS46" s="39">
        <v>7215.6825472452292</v>
      </c>
      <c r="AT46" s="39">
        <v>70541</v>
      </c>
      <c r="AU46" s="54">
        <v>63325.317452754767</v>
      </c>
      <c r="AV46" s="39">
        <v>312.08924497789428</v>
      </c>
      <c r="AW46" s="39">
        <v>0</v>
      </c>
      <c r="AX46" s="55">
        <v>-312.08924497789428</v>
      </c>
      <c r="AY46" s="39">
        <v>438.88707713804558</v>
      </c>
      <c r="AZ46" s="39">
        <v>0</v>
      </c>
      <c r="BA46" s="35">
        <v>-438.88707713804558</v>
      </c>
      <c r="BB46" s="39">
        <v>418.3787489409853</v>
      </c>
      <c r="BC46" s="39">
        <v>0</v>
      </c>
      <c r="BD46" s="55">
        <v>-418.3787489409853</v>
      </c>
      <c r="BE46" s="39">
        <v>0</v>
      </c>
      <c r="BF46" s="39">
        <v>0</v>
      </c>
      <c r="BG46" s="38">
        <v>0</v>
      </c>
      <c r="BH46" s="39">
        <v>0</v>
      </c>
      <c r="BI46" s="39">
        <v>0</v>
      </c>
      <c r="BJ46" s="55">
        <v>0</v>
      </c>
      <c r="BK46" s="39">
        <v>166.257356798828</v>
      </c>
      <c r="BL46" s="39">
        <v>0</v>
      </c>
      <c r="BM46" s="38">
        <v>-166.257356798828</v>
      </c>
      <c r="BN46" s="39">
        <v>0</v>
      </c>
      <c r="BO46" s="39">
        <v>0</v>
      </c>
      <c r="BP46" s="55">
        <v>0</v>
      </c>
      <c r="BQ46" s="77">
        <v>1335.6124278557531</v>
      </c>
      <c r="BR46" s="40">
        <v>0</v>
      </c>
      <c r="BS46" s="55">
        <v>-1335.6124278557531</v>
      </c>
      <c r="BT46" s="39">
        <v>6613.7108670434091</v>
      </c>
      <c r="BU46" s="39">
        <v>1344.9134469339597</v>
      </c>
      <c r="BV46" s="52">
        <v>-5268.7974201094494</v>
      </c>
      <c r="BW46" s="39">
        <v>5107.9566969305752</v>
      </c>
      <c r="BX46" s="39">
        <v>5291.9459977823772</v>
      </c>
      <c r="BY46" s="52">
        <v>183.989300851802</v>
      </c>
      <c r="BZ46" s="39">
        <v>3432.9468113931639</v>
      </c>
      <c r="CA46" s="39">
        <v>7143.7288764645837</v>
      </c>
      <c r="CB46" s="52">
        <v>3710.7820650714198</v>
      </c>
      <c r="CC46" s="39">
        <v>0</v>
      </c>
      <c r="CD46" s="39">
        <v>0</v>
      </c>
      <c r="CE46" s="52">
        <v>0</v>
      </c>
      <c r="CF46" s="39">
        <v>0</v>
      </c>
      <c r="CG46" s="39">
        <v>0</v>
      </c>
      <c r="CH46" s="52">
        <v>0</v>
      </c>
      <c r="CI46" s="39">
        <v>917.15873368241455</v>
      </c>
      <c r="CJ46" s="39">
        <v>946.60390191461283</v>
      </c>
      <c r="CK46" s="52">
        <v>29.445168232198284</v>
      </c>
      <c r="CL46" s="39">
        <v>0</v>
      </c>
      <c r="CM46" s="39">
        <v>0</v>
      </c>
      <c r="CN46" s="52">
        <v>0</v>
      </c>
      <c r="CO46" s="39">
        <v>917.15873368241455</v>
      </c>
      <c r="CP46" s="40">
        <v>946.60390191461283</v>
      </c>
      <c r="CQ46" s="52">
        <v>29.445168232198284</v>
      </c>
      <c r="CR46" s="72">
        <v>32976.281221554302</v>
      </c>
      <c r="CS46" s="5">
        <v>91632.577588808199</v>
      </c>
      <c r="CT46" s="52">
        <v>58656.296367253897</v>
      </c>
      <c r="CU46" s="77">
        <v>39571.537465865164</v>
      </c>
      <c r="CV46" s="65">
        <v>109959.09310656984</v>
      </c>
      <c r="CW46" s="35">
        <v>70387.555640704668</v>
      </c>
      <c r="CX46" s="39">
        <v>0</v>
      </c>
      <c r="CY46" s="39">
        <v>-70387.555640704682</v>
      </c>
      <c r="CZ46" s="52">
        <v>-70387.555640704682</v>
      </c>
      <c r="DA46" s="150">
        <v>-22583.02778891769</v>
      </c>
      <c r="DB46" s="2">
        <v>2</v>
      </c>
      <c r="DC46" s="713">
        <v>47469.82</v>
      </c>
      <c r="DD46" s="714">
        <v>-1085.18</v>
      </c>
      <c r="DE46" s="715">
        <v>28585.259989483948</v>
      </c>
      <c r="DF46" s="716">
        <v>-1986.3887224165262</v>
      </c>
      <c r="DG46" s="717">
        <v>-14083.282266845734</v>
      </c>
      <c r="DH46" s="718">
        <v>189735.43658853834</v>
      </c>
      <c r="DI46" s="718">
        <v>474858.44959038193</v>
      </c>
      <c r="DJ46" s="693">
        <v>403577.69633992104</v>
      </c>
      <c r="DK46" s="724"/>
      <c r="DL46" s="5"/>
      <c r="DM46" s="306">
        <v>5.7910334285544476</v>
      </c>
      <c r="DN46" s="306"/>
      <c r="DO46" s="306">
        <v>4.8512069893767888</v>
      </c>
      <c r="DP46" s="719">
        <v>18884.560010516052</v>
      </c>
      <c r="DQ46" s="720">
        <v>901.20872241652614</v>
      </c>
      <c r="DR46" s="650">
        <v>19785.768732932578</v>
      </c>
      <c r="DS46" s="94">
        <v>19785.768732932585</v>
      </c>
      <c r="DT46" s="719">
        <v>18890.259999999998</v>
      </c>
      <c r="DU46" s="725">
        <v>901.22</v>
      </c>
      <c r="DV46" s="93">
        <v>19791.48</v>
      </c>
      <c r="DW46" s="95">
        <v>19785.768732932582</v>
      </c>
      <c r="DX46" s="28">
        <v>5.7112670674177934</v>
      </c>
      <c r="EA46" s="5">
        <v>10261.553970121178</v>
      </c>
      <c r="EB46" s="5">
        <v>84649.2</v>
      </c>
      <c r="EE46" s="722">
        <v>86588.190566942751</v>
      </c>
      <c r="EG46" s="42" t="s">
        <v>246</v>
      </c>
    </row>
    <row r="47" spans="1:137" x14ac:dyDescent="0.3">
      <c r="A47" s="325">
        <v>150000987</v>
      </c>
      <c r="B47" s="41" t="s">
        <v>502</v>
      </c>
      <c r="C47" s="42" t="s">
        <v>51</v>
      </c>
      <c r="D47" s="27">
        <v>1</v>
      </c>
      <c r="E47" s="709">
        <v>244.2</v>
      </c>
      <c r="F47" s="723">
        <v>244.2</v>
      </c>
      <c r="G47" s="28"/>
      <c r="H47" s="651">
        <v>0</v>
      </c>
      <c r="I47" s="39">
        <v>0</v>
      </c>
      <c r="J47" s="39">
        <v>0</v>
      </c>
      <c r="K47" s="52">
        <v>0</v>
      </c>
      <c r="L47" s="39">
        <v>0</v>
      </c>
      <c r="M47" s="39">
        <v>0</v>
      </c>
      <c r="N47" s="52">
        <v>0</v>
      </c>
      <c r="O47" s="39">
        <v>0</v>
      </c>
      <c r="P47" s="39">
        <v>0</v>
      </c>
      <c r="Q47" s="52">
        <v>0</v>
      </c>
      <c r="R47" s="39">
        <v>0</v>
      </c>
      <c r="S47" s="39">
        <v>0</v>
      </c>
      <c r="T47" s="52">
        <v>0</v>
      </c>
      <c r="U47" s="39">
        <v>0</v>
      </c>
      <c r="V47" s="39">
        <v>0</v>
      </c>
      <c r="W47" s="52">
        <v>0</v>
      </c>
      <c r="X47" s="39">
        <v>0</v>
      </c>
      <c r="Y47" s="39">
        <v>0</v>
      </c>
      <c r="Z47" s="52">
        <v>0</v>
      </c>
      <c r="AA47" s="39">
        <v>0</v>
      </c>
      <c r="AB47" s="39">
        <v>0</v>
      </c>
      <c r="AC47" s="52">
        <v>0</v>
      </c>
      <c r="AD47" s="39">
        <v>0</v>
      </c>
      <c r="AE47" s="39">
        <v>0</v>
      </c>
      <c r="AF47" s="35">
        <v>0</v>
      </c>
      <c r="AG47" s="77">
        <v>0</v>
      </c>
      <c r="AH47" s="53">
        <v>0</v>
      </c>
      <c r="AI47" s="52">
        <v>0</v>
      </c>
      <c r="AJ47" s="39">
        <v>0</v>
      </c>
      <c r="AK47" s="39">
        <v>0</v>
      </c>
      <c r="AL47" s="52">
        <v>0</v>
      </c>
      <c r="AM47" s="39">
        <v>0</v>
      </c>
      <c r="AN47" s="39">
        <v>0</v>
      </c>
      <c r="AO47" s="52">
        <v>0</v>
      </c>
      <c r="AP47" s="39">
        <v>94.701764289364974</v>
      </c>
      <c r="AQ47" s="39">
        <v>0</v>
      </c>
      <c r="AR47" s="52">
        <v>-94.701764289364974</v>
      </c>
      <c r="AS47" s="39">
        <v>13.128</v>
      </c>
      <c r="AT47" s="39">
        <v>0</v>
      </c>
      <c r="AU47" s="54">
        <v>-13.128</v>
      </c>
      <c r="AV47" s="39">
        <v>0</v>
      </c>
      <c r="AW47" s="39">
        <v>0</v>
      </c>
      <c r="AX47" s="55">
        <v>0</v>
      </c>
      <c r="AY47" s="39">
        <v>0</v>
      </c>
      <c r="AZ47" s="39">
        <v>0</v>
      </c>
      <c r="BA47" s="35">
        <v>0</v>
      </c>
      <c r="BB47" s="39">
        <v>0</v>
      </c>
      <c r="BC47" s="39">
        <v>0</v>
      </c>
      <c r="BD47" s="55">
        <v>0</v>
      </c>
      <c r="BE47" s="39">
        <v>0</v>
      </c>
      <c r="BF47" s="39">
        <v>0</v>
      </c>
      <c r="BG47" s="38">
        <v>0</v>
      </c>
      <c r="BH47" s="39">
        <v>0</v>
      </c>
      <c r="BI47" s="39">
        <v>0</v>
      </c>
      <c r="BJ47" s="55">
        <v>0</v>
      </c>
      <c r="BK47" s="39">
        <v>0</v>
      </c>
      <c r="BL47" s="39">
        <v>0</v>
      </c>
      <c r="BM47" s="38">
        <v>0</v>
      </c>
      <c r="BN47" s="39">
        <v>0</v>
      </c>
      <c r="BO47" s="39">
        <v>0</v>
      </c>
      <c r="BP47" s="55">
        <v>0</v>
      </c>
      <c r="BQ47" s="77">
        <v>0</v>
      </c>
      <c r="BR47" s="40">
        <v>0</v>
      </c>
      <c r="BS47" s="55">
        <v>0</v>
      </c>
      <c r="BT47" s="39">
        <v>27.914845879897086</v>
      </c>
      <c r="BU47" s="39">
        <v>12.62934364929138</v>
      </c>
      <c r="BV47" s="52">
        <v>-15.285502230605706</v>
      </c>
      <c r="BW47" s="39">
        <v>0</v>
      </c>
      <c r="BX47" s="39">
        <v>0.98849977549196666</v>
      </c>
      <c r="BY47" s="52">
        <v>0.98849977549196666</v>
      </c>
      <c r="BZ47" s="39">
        <v>0</v>
      </c>
      <c r="CA47" s="39">
        <v>45.312881811849245</v>
      </c>
      <c r="CB47" s="52">
        <v>45.312881811849245</v>
      </c>
      <c r="CC47" s="39">
        <v>0</v>
      </c>
      <c r="CD47" s="39">
        <v>0</v>
      </c>
      <c r="CE47" s="52">
        <v>0</v>
      </c>
      <c r="CF47" s="39">
        <v>0</v>
      </c>
      <c r="CG47" s="39">
        <v>0</v>
      </c>
      <c r="CH47" s="52">
        <v>0</v>
      </c>
      <c r="CI47" s="39">
        <v>0</v>
      </c>
      <c r="CJ47" s="39">
        <v>0</v>
      </c>
      <c r="CK47" s="52">
        <v>0</v>
      </c>
      <c r="CL47" s="39">
        <v>0</v>
      </c>
      <c r="CM47" s="39">
        <v>0</v>
      </c>
      <c r="CN47" s="52">
        <v>0</v>
      </c>
      <c r="CO47" s="39">
        <v>0</v>
      </c>
      <c r="CP47" s="40">
        <v>0</v>
      </c>
      <c r="CQ47" s="52">
        <v>0</v>
      </c>
      <c r="CR47" s="72">
        <v>135.74461016926205</v>
      </c>
      <c r="CS47" s="5">
        <v>58.93072523663259</v>
      </c>
      <c r="CT47" s="52">
        <v>-76.813884932629463</v>
      </c>
      <c r="CU47" s="77">
        <v>162.89353220311446</v>
      </c>
      <c r="CV47" s="65">
        <v>70.716870283959111</v>
      </c>
      <c r="CW47" s="35">
        <v>-92.17666191915535</v>
      </c>
      <c r="CX47" s="39">
        <v>4.0723383050778619</v>
      </c>
      <c r="CY47" s="39">
        <v>96.249000224233214</v>
      </c>
      <c r="CZ47" s="52">
        <v>92.17666191915535</v>
      </c>
      <c r="DA47" s="150">
        <v>213.37809963569296</v>
      </c>
      <c r="DB47" s="2">
        <v>3</v>
      </c>
      <c r="DC47" s="713">
        <v>108.21</v>
      </c>
      <c r="DD47" s="714"/>
      <c r="DE47" s="715">
        <v>24.727064745903832</v>
      </c>
      <c r="DF47" s="716">
        <v>0</v>
      </c>
      <c r="DG47" s="717">
        <v>567.32436976125905</v>
      </c>
      <c r="DH47" s="718">
        <v>827.93587049767666</v>
      </c>
      <c r="DI47" s="718">
        <v>2003.5904460983079</v>
      </c>
      <c r="DJ47" s="693">
        <v>1709.67680219815</v>
      </c>
      <c r="DK47" s="724"/>
      <c r="DL47" s="5"/>
      <c r="DM47" s="306">
        <v>0.34186296172848551</v>
      </c>
      <c r="DN47" s="306"/>
      <c r="DO47" s="306">
        <v>0.34186296172848551</v>
      </c>
      <c r="DP47" s="719">
        <v>83.482935254096162</v>
      </c>
      <c r="DQ47" s="720">
        <v>0</v>
      </c>
      <c r="DR47" s="650">
        <v>83.482935254096162</v>
      </c>
      <c r="DS47" s="94">
        <v>83.482935254096162</v>
      </c>
      <c r="DT47" s="719">
        <v>83.49</v>
      </c>
      <c r="DU47" s="721"/>
      <c r="DV47" s="93">
        <v>83.49</v>
      </c>
      <c r="DW47" s="95">
        <v>83.89016908460394</v>
      </c>
      <c r="DX47" s="28">
        <v>-0.40016908460394518</v>
      </c>
      <c r="EA47" s="5">
        <v>15.753599999999999</v>
      </c>
      <c r="EB47" s="5">
        <v>0</v>
      </c>
      <c r="EE47" s="722">
        <v>157.536</v>
      </c>
      <c r="EG47" s="42" t="s">
        <v>51</v>
      </c>
    </row>
    <row r="48" spans="1:137" x14ac:dyDescent="0.3">
      <c r="A48" s="325">
        <v>150000988</v>
      </c>
      <c r="B48" s="41" t="s">
        <v>503</v>
      </c>
      <c r="C48" s="42" t="s">
        <v>52</v>
      </c>
      <c r="D48" s="27">
        <v>1</v>
      </c>
      <c r="E48" s="709">
        <v>323.7</v>
      </c>
      <c r="F48" s="723">
        <v>323.7</v>
      </c>
      <c r="G48" s="28"/>
      <c r="H48" s="651">
        <v>0</v>
      </c>
      <c r="I48" s="39">
        <v>0</v>
      </c>
      <c r="J48" s="39">
        <v>0</v>
      </c>
      <c r="K48" s="52">
        <v>0</v>
      </c>
      <c r="L48" s="39">
        <v>0</v>
      </c>
      <c r="M48" s="39">
        <v>0</v>
      </c>
      <c r="N48" s="52">
        <v>0</v>
      </c>
      <c r="O48" s="39">
        <v>0</v>
      </c>
      <c r="P48" s="39">
        <v>0</v>
      </c>
      <c r="Q48" s="52">
        <v>0</v>
      </c>
      <c r="R48" s="39">
        <v>0</v>
      </c>
      <c r="S48" s="39">
        <v>0</v>
      </c>
      <c r="T48" s="52">
        <v>0</v>
      </c>
      <c r="U48" s="39">
        <v>0</v>
      </c>
      <c r="V48" s="39">
        <v>0</v>
      </c>
      <c r="W48" s="52">
        <v>0</v>
      </c>
      <c r="X48" s="39">
        <v>0</v>
      </c>
      <c r="Y48" s="39">
        <v>0</v>
      </c>
      <c r="Z48" s="52">
        <v>0</v>
      </c>
      <c r="AA48" s="39">
        <v>0</v>
      </c>
      <c r="AB48" s="39">
        <v>0</v>
      </c>
      <c r="AC48" s="52">
        <v>0</v>
      </c>
      <c r="AD48" s="39">
        <v>0</v>
      </c>
      <c r="AE48" s="39">
        <v>193.56829256951616</v>
      </c>
      <c r="AF48" s="35">
        <v>193.56829256951616</v>
      </c>
      <c r="AG48" s="77">
        <v>0</v>
      </c>
      <c r="AH48" s="53">
        <v>193.56829256951616</v>
      </c>
      <c r="AI48" s="52">
        <v>193.56829256951616</v>
      </c>
      <c r="AJ48" s="39">
        <v>0</v>
      </c>
      <c r="AK48" s="39">
        <v>0</v>
      </c>
      <c r="AL48" s="52">
        <v>0</v>
      </c>
      <c r="AM48" s="39">
        <v>0</v>
      </c>
      <c r="AN48" s="39">
        <v>0</v>
      </c>
      <c r="AO48" s="52">
        <v>0</v>
      </c>
      <c r="AP48" s="39">
        <v>78.91813690780414</v>
      </c>
      <c r="AQ48" s="39">
        <v>0</v>
      </c>
      <c r="AR48" s="52">
        <v>-78.91813690780414</v>
      </c>
      <c r="AS48" s="39">
        <v>612.2526097829134</v>
      </c>
      <c r="AT48" s="39">
        <v>0</v>
      </c>
      <c r="AU48" s="54">
        <v>-612.2526097829134</v>
      </c>
      <c r="AV48" s="39">
        <v>0</v>
      </c>
      <c r="AW48" s="39">
        <v>0</v>
      </c>
      <c r="AX48" s="55">
        <v>0</v>
      </c>
      <c r="AY48" s="39">
        <v>0</v>
      </c>
      <c r="AZ48" s="39">
        <v>0</v>
      </c>
      <c r="BA48" s="35">
        <v>0</v>
      </c>
      <c r="BB48" s="39">
        <v>0</v>
      </c>
      <c r="BC48" s="39">
        <v>0</v>
      </c>
      <c r="BD48" s="55">
        <v>0</v>
      </c>
      <c r="BE48" s="39">
        <v>0</v>
      </c>
      <c r="BF48" s="39">
        <v>0</v>
      </c>
      <c r="BG48" s="38">
        <v>0</v>
      </c>
      <c r="BH48" s="39">
        <v>0</v>
      </c>
      <c r="BI48" s="39">
        <v>0</v>
      </c>
      <c r="BJ48" s="55">
        <v>0</v>
      </c>
      <c r="BK48" s="39">
        <v>0</v>
      </c>
      <c r="BL48" s="39">
        <v>0</v>
      </c>
      <c r="BM48" s="38">
        <v>0</v>
      </c>
      <c r="BN48" s="39">
        <v>0</v>
      </c>
      <c r="BO48" s="39">
        <v>0</v>
      </c>
      <c r="BP48" s="55">
        <v>0</v>
      </c>
      <c r="BQ48" s="77">
        <v>0</v>
      </c>
      <c r="BR48" s="40">
        <v>0</v>
      </c>
      <c r="BS48" s="55">
        <v>0</v>
      </c>
      <c r="BT48" s="39">
        <v>15.951340502798338</v>
      </c>
      <c r="BU48" s="39">
        <v>7.2123457605021866</v>
      </c>
      <c r="BV48" s="52">
        <v>-8.7389947422961516</v>
      </c>
      <c r="BW48" s="39">
        <v>0</v>
      </c>
      <c r="BX48" s="39">
        <v>1.3103086704617102</v>
      </c>
      <c r="BY48" s="52">
        <v>1.3103086704617102</v>
      </c>
      <c r="BZ48" s="39">
        <v>0</v>
      </c>
      <c r="CA48" s="39">
        <v>25.876802485443513</v>
      </c>
      <c r="CB48" s="52">
        <v>25.876802485443513</v>
      </c>
      <c r="CC48" s="39">
        <v>0</v>
      </c>
      <c r="CD48" s="39">
        <v>0</v>
      </c>
      <c r="CE48" s="52">
        <v>0</v>
      </c>
      <c r="CF48" s="39">
        <v>0</v>
      </c>
      <c r="CG48" s="39">
        <v>0</v>
      </c>
      <c r="CH48" s="52">
        <v>0</v>
      </c>
      <c r="CI48" s="39">
        <v>0</v>
      </c>
      <c r="CJ48" s="39">
        <v>0</v>
      </c>
      <c r="CK48" s="52">
        <v>0</v>
      </c>
      <c r="CL48" s="39">
        <v>0</v>
      </c>
      <c r="CM48" s="39">
        <v>0</v>
      </c>
      <c r="CN48" s="52">
        <v>0</v>
      </c>
      <c r="CO48" s="39">
        <v>0</v>
      </c>
      <c r="CP48" s="40">
        <v>0</v>
      </c>
      <c r="CQ48" s="52">
        <v>0</v>
      </c>
      <c r="CR48" s="72">
        <v>707.12208719351588</v>
      </c>
      <c r="CS48" s="5">
        <v>227.96774948592358</v>
      </c>
      <c r="CT48" s="52">
        <v>-479.15433770759228</v>
      </c>
      <c r="CU48" s="77">
        <v>848.54650463221901</v>
      </c>
      <c r="CV48" s="65">
        <v>273.56129938310829</v>
      </c>
      <c r="CW48" s="35">
        <v>-574.98520524911078</v>
      </c>
      <c r="CX48" s="39">
        <v>21.213662615805475</v>
      </c>
      <c r="CY48" s="39">
        <v>596.19886786491611</v>
      </c>
      <c r="CZ48" s="52">
        <v>574.98520524911066</v>
      </c>
      <c r="DA48" s="150">
        <v>-5930.294991945002</v>
      </c>
      <c r="DB48" s="2">
        <v>3</v>
      </c>
      <c r="DC48" s="713">
        <v>518.05999999999995</v>
      </c>
      <c r="DD48" s="714"/>
      <c r="DE48" s="715">
        <v>83.179916375987716</v>
      </c>
      <c r="DF48" s="716">
        <v>0</v>
      </c>
      <c r="DG48" s="717">
        <v>-2434.7371685742719</v>
      </c>
      <c r="DH48" s="718">
        <v>4039.2789768955622</v>
      </c>
      <c r="DI48" s="718">
        <v>10437.122006976293</v>
      </c>
      <c r="DJ48" s="693">
        <v>8837.6612494561105</v>
      </c>
      <c r="DK48" s="724"/>
      <c r="DL48" s="5"/>
      <c r="DM48" s="306">
        <v>1.3434664307198401</v>
      </c>
      <c r="DN48" s="306"/>
      <c r="DO48" s="306">
        <v>1.3434664307198401</v>
      </c>
      <c r="DP48" s="719">
        <v>434.88008362401223</v>
      </c>
      <c r="DQ48" s="720">
        <v>0</v>
      </c>
      <c r="DR48" s="650">
        <v>434.88008362401223</v>
      </c>
      <c r="DS48" s="94">
        <v>434.88008362401223</v>
      </c>
      <c r="DT48" s="719">
        <v>434.89</v>
      </c>
      <c r="DU48" s="721"/>
      <c r="DV48" s="93">
        <v>434.89</v>
      </c>
      <c r="DW48" s="95">
        <v>437.00144988559276</v>
      </c>
      <c r="DX48" s="28">
        <v>-2.1114498855927764</v>
      </c>
      <c r="EA48" s="5">
        <v>734.70313173949603</v>
      </c>
      <c r="EB48" s="5">
        <v>0</v>
      </c>
      <c r="EE48" s="722">
        <v>7347.0313173949608</v>
      </c>
      <c r="EG48" s="42" t="s">
        <v>52</v>
      </c>
    </row>
    <row r="49" spans="1:137" x14ac:dyDescent="0.3">
      <c r="A49" s="325">
        <v>150000548</v>
      </c>
      <c r="B49" s="41" t="s">
        <v>504</v>
      </c>
      <c r="C49" s="42" t="s">
        <v>247</v>
      </c>
      <c r="D49" s="27">
        <v>5</v>
      </c>
      <c r="E49" s="709">
        <v>2189.9</v>
      </c>
      <c r="F49" s="723">
        <v>2189.9</v>
      </c>
      <c r="G49" s="28"/>
      <c r="H49" s="651">
        <v>0</v>
      </c>
      <c r="I49" s="39">
        <v>1278.6362450629172</v>
      </c>
      <c r="J49" s="39">
        <v>953.83636863793663</v>
      </c>
      <c r="K49" s="52">
        <v>-324.79987642498054</v>
      </c>
      <c r="L49" s="39">
        <v>294.46879922751515</v>
      </c>
      <c r="M49" s="39">
        <v>153.72677341257548</v>
      </c>
      <c r="N49" s="52">
        <v>-140.74202581493967</v>
      </c>
      <c r="O49" s="39">
        <v>552.96</v>
      </c>
      <c r="P49" s="39">
        <v>552.96</v>
      </c>
      <c r="Q49" s="52">
        <v>0</v>
      </c>
      <c r="R49" s="39">
        <v>108.48</v>
      </c>
      <c r="S49" s="39">
        <v>108.48</v>
      </c>
      <c r="T49" s="52">
        <v>0</v>
      </c>
      <c r="U49" s="39">
        <v>88.645113504097054</v>
      </c>
      <c r="V49" s="39">
        <v>16.039792654400298</v>
      </c>
      <c r="W49" s="52">
        <v>-72.605320849696753</v>
      </c>
      <c r="X49" s="39">
        <v>967.70110311905819</v>
      </c>
      <c r="Y49" s="39">
        <v>631.17895556681458</v>
      </c>
      <c r="Z49" s="52">
        <v>-336.52214755224361</v>
      </c>
      <c r="AA49" s="39">
        <v>0</v>
      </c>
      <c r="AB49" s="39">
        <v>0</v>
      </c>
      <c r="AC49" s="52">
        <v>0</v>
      </c>
      <c r="AD49" s="39">
        <v>1560.6072457605824</v>
      </c>
      <c r="AE49" s="39">
        <v>1309.5310593079503</v>
      </c>
      <c r="AF49" s="35">
        <v>-251.0761864526321</v>
      </c>
      <c r="AG49" s="77">
        <v>4851.4985066741701</v>
      </c>
      <c r="AH49" s="53">
        <v>3725.7529495796775</v>
      </c>
      <c r="AI49" s="52">
        <v>-1125.7455570944926</v>
      </c>
      <c r="AJ49" s="39">
        <v>0</v>
      </c>
      <c r="AK49" s="39">
        <v>0</v>
      </c>
      <c r="AL49" s="52">
        <v>0</v>
      </c>
      <c r="AM49" s="39">
        <v>0</v>
      </c>
      <c r="AN49" s="39">
        <v>0</v>
      </c>
      <c r="AO49" s="52">
        <v>0</v>
      </c>
      <c r="AP49" s="39">
        <v>236.75441072341243</v>
      </c>
      <c r="AQ49" s="39">
        <v>0</v>
      </c>
      <c r="AR49" s="52">
        <v>-236.75441072341243</v>
      </c>
      <c r="AS49" s="39">
        <v>4876.9028539962819</v>
      </c>
      <c r="AT49" s="39">
        <v>0</v>
      </c>
      <c r="AU49" s="54">
        <v>-4876.9028539962819</v>
      </c>
      <c r="AV49" s="39">
        <v>240.97600204603114</v>
      </c>
      <c r="AW49" s="39">
        <v>0</v>
      </c>
      <c r="AX49" s="55">
        <v>-240.97600204603114</v>
      </c>
      <c r="AY49" s="39">
        <v>351.66292323452029</v>
      </c>
      <c r="AZ49" s="39">
        <v>0</v>
      </c>
      <c r="BA49" s="35">
        <v>-351.66292323452029</v>
      </c>
      <c r="BB49" s="39">
        <v>193.26395990750746</v>
      </c>
      <c r="BC49" s="39">
        <v>0</v>
      </c>
      <c r="BD49" s="55">
        <v>-193.26395990750746</v>
      </c>
      <c r="BE49" s="39">
        <v>107.54409784126776</v>
      </c>
      <c r="BF49" s="39">
        <v>0</v>
      </c>
      <c r="BG49" s="38">
        <v>-107.54409784126776</v>
      </c>
      <c r="BH49" s="39">
        <v>89.960355179059135</v>
      </c>
      <c r="BI49" s="39">
        <v>0</v>
      </c>
      <c r="BJ49" s="55">
        <v>-89.960355179059135</v>
      </c>
      <c r="BK49" s="39">
        <v>130.2465264345808</v>
      </c>
      <c r="BL49" s="39">
        <v>0</v>
      </c>
      <c r="BM49" s="38">
        <v>-130.2465264345808</v>
      </c>
      <c r="BN49" s="39">
        <v>118.34437622421669</v>
      </c>
      <c r="BO49" s="39">
        <v>0</v>
      </c>
      <c r="BP49" s="55">
        <v>-118.34437622421669</v>
      </c>
      <c r="BQ49" s="77">
        <v>1231.9982408671833</v>
      </c>
      <c r="BR49" s="40">
        <v>0</v>
      </c>
      <c r="BS49" s="55">
        <v>-1231.9982408671833</v>
      </c>
      <c r="BT49" s="39">
        <v>6348.3673242622444</v>
      </c>
      <c r="BU49" s="39">
        <v>813.1031623600345</v>
      </c>
      <c r="BV49" s="52">
        <v>-5535.2641619022097</v>
      </c>
      <c r="BW49" s="39">
        <v>2934.5000493459806</v>
      </c>
      <c r="BX49" s="39">
        <v>2152.8434438819986</v>
      </c>
      <c r="BY49" s="52">
        <v>-781.65660546398203</v>
      </c>
      <c r="BZ49" s="39">
        <v>822.31395306956858</v>
      </c>
      <c r="CA49" s="39">
        <v>5972.7094948297545</v>
      </c>
      <c r="CB49" s="52">
        <v>5150.3955417601856</v>
      </c>
      <c r="CC49" s="39">
        <v>101.18159324356435</v>
      </c>
      <c r="CD49" s="39">
        <v>99.822915028876366</v>
      </c>
      <c r="CE49" s="52">
        <v>-1.3586782146879841</v>
      </c>
      <c r="CF49" s="39">
        <v>12.456067350060005</v>
      </c>
      <c r="CG49" s="39">
        <v>0</v>
      </c>
      <c r="CH49" s="52">
        <v>-12.456067350060005</v>
      </c>
      <c r="CI49" s="39">
        <v>692.54843155610899</v>
      </c>
      <c r="CJ49" s="39">
        <v>956.03580563031858</v>
      </c>
      <c r="CK49" s="52">
        <v>263.48737407420958</v>
      </c>
      <c r="CL49" s="39">
        <v>0</v>
      </c>
      <c r="CM49" s="39">
        <v>0</v>
      </c>
      <c r="CN49" s="52">
        <v>0</v>
      </c>
      <c r="CO49" s="39">
        <v>692.54843155610899</v>
      </c>
      <c r="CP49" s="40">
        <v>956.03580563031858</v>
      </c>
      <c r="CQ49" s="52">
        <v>263.48737407420958</v>
      </c>
      <c r="CR49" s="72">
        <v>22108.521431088575</v>
      </c>
      <c r="CS49" s="5">
        <v>13720.267771310662</v>
      </c>
      <c r="CT49" s="52">
        <v>-8388.2536597779126</v>
      </c>
      <c r="CU49" s="77">
        <v>26530.22571730629</v>
      </c>
      <c r="CV49" s="65">
        <v>16464.321325572793</v>
      </c>
      <c r="CW49" s="35">
        <v>-10065.904391733497</v>
      </c>
      <c r="CX49" s="39">
        <v>1326.5112858653147</v>
      </c>
      <c r="CY49" s="39">
        <v>11392.415677598812</v>
      </c>
      <c r="CZ49" s="52">
        <v>10065.904391733497</v>
      </c>
      <c r="DA49" s="150">
        <v>-30779.367584789685</v>
      </c>
      <c r="DB49" s="2">
        <v>1</v>
      </c>
      <c r="DC49" s="713">
        <v>21012.63</v>
      </c>
      <c r="DD49" s="714"/>
      <c r="DE49" s="715">
        <v>7084.2614984141983</v>
      </c>
      <c r="DF49" s="716">
        <v>0</v>
      </c>
      <c r="DG49" s="717">
        <v>-10707.956478210799</v>
      </c>
      <c r="DH49" s="718">
        <v>133446.64963021618</v>
      </c>
      <c r="DI49" s="718">
        <v>334280.84403805924</v>
      </c>
      <c r="DJ49" s="693">
        <v>284072.29543609847</v>
      </c>
      <c r="DK49" s="724"/>
      <c r="DL49" s="5"/>
      <c r="DM49" s="306">
        <v>6.36027604072597</v>
      </c>
      <c r="DN49" s="306"/>
      <c r="DO49" s="306">
        <v>5.516066245261352</v>
      </c>
      <c r="DP49" s="719">
        <v>13928.368501585803</v>
      </c>
      <c r="DQ49" s="720">
        <v>0</v>
      </c>
      <c r="DR49" s="650">
        <v>13928.368501585803</v>
      </c>
      <c r="DS49" s="94">
        <v>13928.368501585803</v>
      </c>
      <c r="DT49" s="719">
        <v>13927.46</v>
      </c>
      <c r="DU49" s="721"/>
      <c r="DV49" s="93">
        <v>13927.46</v>
      </c>
      <c r="DW49" s="95">
        <v>14061.019630172334</v>
      </c>
      <c r="DX49" s="28">
        <v>-133.55963017233444</v>
      </c>
      <c r="EA49" s="5">
        <v>7330.6813138361576</v>
      </c>
      <c r="EB49" s="5">
        <v>0</v>
      </c>
      <c r="EE49" s="722">
        <v>58522.834247955383</v>
      </c>
      <c r="EG49" s="42" t="s">
        <v>247</v>
      </c>
    </row>
    <row r="50" spans="1:137" x14ac:dyDescent="0.3">
      <c r="A50" s="325">
        <v>150000549</v>
      </c>
      <c r="B50" s="41" t="s">
        <v>505</v>
      </c>
      <c r="C50" s="42" t="s">
        <v>207</v>
      </c>
      <c r="D50" s="27">
        <v>4</v>
      </c>
      <c r="E50" s="709">
        <v>1173.1199999999999</v>
      </c>
      <c r="F50" s="723">
        <v>1173.1199999999999</v>
      </c>
      <c r="G50" s="28"/>
      <c r="H50" s="651">
        <v>0</v>
      </c>
      <c r="I50" s="39">
        <v>924.36445027596199</v>
      </c>
      <c r="J50" s="39">
        <v>689.57345395535481</v>
      </c>
      <c r="K50" s="52">
        <v>-234.79099632060718</v>
      </c>
      <c r="L50" s="39">
        <v>226.46199146776917</v>
      </c>
      <c r="M50" s="39">
        <v>118.22363816957738</v>
      </c>
      <c r="N50" s="52">
        <v>-108.23835329819178</v>
      </c>
      <c r="O50" s="39">
        <v>283.3</v>
      </c>
      <c r="P50" s="39">
        <v>283.3</v>
      </c>
      <c r="Q50" s="52">
        <v>0</v>
      </c>
      <c r="R50" s="39">
        <v>55.46</v>
      </c>
      <c r="S50" s="39">
        <v>55.46</v>
      </c>
      <c r="T50" s="52">
        <v>0</v>
      </c>
      <c r="U50" s="39">
        <v>0</v>
      </c>
      <c r="V50" s="39">
        <v>0</v>
      </c>
      <c r="W50" s="52">
        <v>0</v>
      </c>
      <c r="X50" s="39">
        <v>475.34409908085331</v>
      </c>
      <c r="Y50" s="39">
        <v>318.37436394048189</v>
      </c>
      <c r="Z50" s="52">
        <v>-156.96973514037143</v>
      </c>
      <c r="AA50" s="39">
        <v>0</v>
      </c>
      <c r="AB50" s="39">
        <v>0</v>
      </c>
      <c r="AC50" s="52">
        <v>0</v>
      </c>
      <c r="AD50" s="39">
        <v>836.01058137205086</v>
      </c>
      <c r="AE50" s="39">
        <v>701.51014945675252</v>
      </c>
      <c r="AF50" s="35">
        <v>-134.50043191529835</v>
      </c>
      <c r="AG50" s="77">
        <v>2800.9411221966357</v>
      </c>
      <c r="AH50" s="53">
        <v>2166.4416055221668</v>
      </c>
      <c r="AI50" s="52">
        <v>-634.49951667446885</v>
      </c>
      <c r="AJ50" s="39">
        <v>0</v>
      </c>
      <c r="AK50" s="39">
        <v>0</v>
      </c>
      <c r="AL50" s="52">
        <v>0</v>
      </c>
      <c r="AM50" s="39">
        <v>0</v>
      </c>
      <c r="AN50" s="39">
        <v>0</v>
      </c>
      <c r="AO50" s="52">
        <v>0</v>
      </c>
      <c r="AP50" s="39">
        <v>284.10529286809492</v>
      </c>
      <c r="AQ50" s="39">
        <v>1470.1261484335059</v>
      </c>
      <c r="AR50" s="52">
        <v>1186.020855565411</v>
      </c>
      <c r="AS50" s="39">
        <v>2348.1552161167724</v>
      </c>
      <c r="AT50" s="39">
        <v>0</v>
      </c>
      <c r="AU50" s="54">
        <v>-2348.1552161167724</v>
      </c>
      <c r="AV50" s="39">
        <v>135.60864137130488</v>
      </c>
      <c r="AW50" s="39">
        <v>0</v>
      </c>
      <c r="AX50" s="55">
        <v>-135.60864137130488</v>
      </c>
      <c r="AY50" s="39">
        <v>264.84451108914089</v>
      </c>
      <c r="AZ50" s="39">
        <v>0</v>
      </c>
      <c r="BA50" s="35">
        <v>-264.84451108914089</v>
      </c>
      <c r="BB50" s="39">
        <v>78.612730666321482</v>
      </c>
      <c r="BC50" s="39">
        <v>0</v>
      </c>
      <c r="BD50" s="55">
        <v>-78.612730666321482</v>
      </c>
      <c r="BE50" s="39">
        <v>80.855039196896257</v>
      </c>
      <c r="BF50" s="39">
        <v>0</v>
      </c>
      <c r="BG50" s="38">
        <v>-80.855039196896257</v>
      </c>
      <c r="BH50" s="39">
        <v>0</v>
      </c>
      <c r="BI50" s="39">
        <v>0</v>
      </c>
      <c r="BJ50" s="55">
        <v>0</v>
      </c>
      <c r="BK50" s="39">
        <v>63.909261025478145</v>
      </c>
      <c r="BL50" s="39">
        <v>0</v>
      </c>
      <c r="BM50" s="38">
        <v>-63.909261025478145</v>
      </c>
      <c r="BN50" s="39">
        <v>54.529073537159114</v>
      </c>
      <c r="BO50" s="39">
        <v>0</v>
      </c>
      <c r="BP50" s="55">
        <v>-54.529073537159114</v>
      </c>
      <c r="BQ50" s="77">
        <v>678.35925688630073</v>
      </c>
      <c r="BR50" s="40">
        <v>0</v>
      </c>
      <c r="BS50" s="55">
        <v>-678.35925688630073</v>
      </c>
      <c r="BT50" s="39">
        <v>3083.8504256899096</v>
      </c>
      <c r="BU50" s="39">
        <v>833.08973286703053</v>
      </c>
      <c r="BV50" s="52">
        <v>-2250.7606928228788</v>
      </c>
      <c r="BW50" s="39">
        <v>1315.9470971797632</v>
      </c>
      <c r="BX50" s="39">
        <v>1633.1260979961557</v>
      </c>
      <c r="BY50" s="52">
        <v>317.17900081639254</v>
      </c>
      <c r="BZ50" s="39">
        <v>1125.2717252530938</v>
      </c>
      <c r="CA50" s="39">
        <v>3378.0888722887526</v>
      </c>
      <c r="CB50" s="52">
        <v>2252.8171470356588</v>
      </c>
      <c r="CC50" s="39">
        <v>99.759952640820472</v>
      </c>
      <c r="CD50" s="39">
        <v>98.420364381668307</v>
      </c>
      <c r="CE50" s="52">
        <v>-1.3395882591521655</v>
      </c>
      <c r="CF50" s="39">
        <v>12.281054775858582</v>
      </c>
      <c r="CG50" s="39">
        <v>0</v>
      </c>
      <c r="CH50" s="52">
        <v>-12.281054775858582</v>
      </c>
      <c r="CI50" s="39">
        <v>271.40411506928592</v>
      </c>
      <c r="CJ50" s="39">
        <v>257.03596937465295</v>
      </c>
      <c r="CK50" s="52">
        <v>-14.368145694632972</v>
      </c>
      <c r="CL50" s="39">
        <v>0</v>
      </c>
      <c r="CM50" s="39">
        <v>0</v>
      </c>
      <c r="CN50" s="52">
        <v>0</v>
      </c>
      <c r="CO50" s="39">
        <v>271.40411506928592</v>
      </c>
      <c r="CP50" s="40">
        <v>257.03596937465295</v>
      </c>
      <c r="CQ50" s="52">
        <v>-14.368145694632972</v>
      </c>
      <c r="CR50" s="72">
        <v>12020.075258676534</v>
      </c>
      <c r="CS50" s="5">
        <v>9836.3287908639322</v>
      </c>
      <c r="CT50" s="52">
        <v>-2183.7464678126016</v>
      </c>
      <c r="CU50" s="77">
        <v>14424.090310411841</v>
      </c>
      <c r="CV50" s="65">
        <v>11803.594549036718</v>
      </c>
      <c r="CW50" s="35">
        <v>-2620.495761375123</v>
      </c>
      <c r="CX50" s="39">
        <v>0</v>
      </c>
      <c r="CY50" s="39">
        <v>2620.4957613751221</v>
      </c>
      <c r="CZ50" s="52">
        <v>2620.4957613751221</v>
      </c>
      <c r="DA50" s="150">
        <v>11733.03552555967</v>
      </c>
      <c r="DB50" s="2">
        <v>1</v>
      </c>
      <c r="DC50" s="713">
        <v>36388.67</v>
      </c>
      <c r="DD50" s="714"/>
      <c r="DE50" s="715">
        <v>29176.624844794078</v>
      </c>
      <c r="DF50" s="716">
        <v>0</v>
      </c>
      <c r="DG50" s="717">
        <v>-7717.5163333766923</v>
      </c>
      <c r="DH50" s="718">
        <v>69215.316286010595</v>
      </c>
      <c r="DI50" s="718">
        <v>173089.08372494209</v>
      </c>
      <c r="DJ50" s="693">
        <v>147120.64186520921</v>
      </c>
      <c r="DK50" s="724"/>
      <c r="DL50" s="5"/>
      <c r="DM50" s="306">
        <v>6.1477471658533833</v>
      </c>
      <c r="DN50" s="306"/>
      <c r="DO50" s="306">
        <v>5.4746973002745358</v>
      </c>
      <c r="DP50" s="719">
        <v>7212.0451552059203</v>
      </c>
      <c r="DQ50" s="720">
        <v>0</v>
      </c>
      <c r="DR50" s="650">
        <v>7212.0451552059203</v>
      </c>
      <c r="DS50" s="94">
        <v>7212.0451552059203</v>
      </c>
      <c r="DT50" s="719">
        <v>7211.98</v>
      </c>
      <c r="DU50" s="721"/>
      <c r="DV50" s="93">
        <v>7211.98</v>
      </c>
      <c r="DW50" s="95">
        <v>7212.0451552059203</v>
      </c>
      <c r="DX50" s="28">
        <v>-6.5155205920746084E-2</v>
      </c>
      <c r="EA50" s="5">
        <v>3631.8173676036881</v>
      </c>
      <c r="EB50" s="5">
        <v>0</v>
      </c>
      <c r="EE50" s="722">
        <v>28177.862593401267</v>
      </c>
      <c r="EG50" s="42" t="s">
        <v>207</v>
      </c>
    </row>
    <row r="51" spans="1:137" x14ac:dyDescent="0.3">
      <c r="A51" s="325">
        <v>150000547</v>
      </c>
      <c r="B51" s="41" t="s">
        <v>506</v>
      </c>
      <c r="C51" s="42" t="s">
        <v>248</v>
      </c>
      <c r="D51" s="27">
        <v>5</v>
      </c>
      <c r="E51" s="709">
        <v>2743.1</v>
      </c>
      <c r="F51" s="723">
        <v>2743.1</v>
      </c>
      <c r="G51" s="28"/>
      <c r="H51" s="651">
        <v>0</v>
      </c>
      <c r="I51" s="39">
        <v>1774.4772626132697</v>
      </c>
      <c r="J51" s="39">
        <v>1324.5425841159602</v>
      </c>
      <c r="K51" s="52">
        <v>-449.93467849730951</v>
      </c>
      <c r="L51" s="39">
        <v>334.70831114493518</v>
      </c>
      <c r="M51" s="39">
        <v>174.73515510821466</v>
      </c>
      <c r="N51" s="52">
        <v>-159.97315603672052</v>
      </c>
      <c r="O51" s="39">
        <v>687.92</v>
      </c>
      <c r="P51" s="39">
        <v>687.92</v>
      </c>
      <c r="Q51" s="52">
        <v>0</v>
      </c>
      <c r="R51" s="39">
        <v>148.96</v>
      </c>
      <c r="S51" s="39">
        <v>148.96</v>
      </c>
      <c r="T51" s="52">
        <v>0</v>
      </c>
      <c r="U51" s="39">
        <v>118.22581795543685</v>
      </c>
      <c r="V51" s="39">
        <v>21.392337477893165</v>
      </c>
      <c r="W51" s="52">
        <v>-96.833480477543688</v>
      </c>
      <c r="X51" s="39">
        <v>1252.3001528107757</v>
      </c>
      <c r="Y51" s="39">
        <v>837.19977358795597</v>
      </c>
      <c r="Z51" s="52">
        <v>-415.1003792228197</v>
      </c>
      <c r="AA51" s="39">
        <v>0</v>
      </c>
      <c r="AB51" s="39">
        <v>0</v>
      </c>
      <c r="AC51" s="52">
        <v>0</v>
      </c>
      <c r="AD51" s="39">
        <v>1954.8389131219933</v>
      </c>
      <c r="AE51" s="39">
        <v>1640.3372979531659</v>
      </c>
      <c r="AF51" s="35">
        <v>-314.50161516882736</v>
      </c>
      <c r="AG51" s="77">
        <v>6271.430457646411</v>
      </c>
      <c r="AH51" s="53">
        <v>4835.0871482431903</v>
      </c>
      <c r="AI51" s="52">
        <v>-1436.3433094032207</v>
      </c>
      <c r="AJ51" s="39">
        <v>0</v>
      </c>
      <c r="AK51" s="39">
        <v>0</v>
      </c>
      <c r="AL51" s="52">
        <v>0</v>
      </c>
      <c r="AM51" s="39">
        <v>0</v>
      </c>
      <c r="AN51" s="39">
        <v>0</v>
      </c>
      <c r="AO51" s="52">
        <v>0</v>
      </c>
      <c r="AP51" s="39">
        <v>473.50882144682487</v>
      </c>
      <c r="AQ51" s="39">
        <v>0</v>
      </c>
      <c r="AR51" s="52">
        <v>-473.50882144682487</v>
      </c>
      <c r="AS51" s="39">
        <v>9576.3677377268014</v>
      </c>
      <c r="AT51" s="39">
        <v>1451</v>
      </c>
      <c r="AU51" s="54">
        <v>-8125.3677377268014</v>
      </c>
      <c r="AV51" s="39">
        <v>296.97430937581089</v>
      </c>
      <c r="AW51" s="39">
        <v>1698</v>
      </c>
      <c r="AX51" s="55">
        <v>1401.0256906241891</v>
      </c>
      <c r="AY51" s="39">
        <v>431.42874836421191</v>
      </c>
      <c r="AZ51" s="39">
        <v>2383</v>
      </c>
      <c r="BA51" s="35">
        <v>1951.571251635788</v>
      </c>
      <c r="BB51" s="39">
        <v>225.25790184519559</v>
      </c>
      <c r="BC51" s="39">
        <v>0</v>
      </c>
      <c r="BD51" s="55">
        <v>-225.25790184519559</v>
      </c>
      <c r="BE51" s="39">
        <v>134.01654655351942</v>
      </c>
      <c r="BF51" s="39">
        <v>0</v>
      </c>
      <c r="BG51" s="38">
        <v>-134.01654655351942</v>
      </c>
      <c r="BH51" s="39">
        <v>119.94714023874553</v>
      </c>
      <c r="BI51" s="39">
        <v>0</v>
      </c>
      <c r="BJ51" s="55">
        <v>-119.94714023874553</v>
      </c>
      <c r="BK51" s="39">
        <v>185.68589968581432</v>
      </c>
      <c r="BL51" s="39">
        <v>0</v>
      </c>
      <c r="BM51" s="38">
        <v>-185.68589968581432</v>
      </c>
      <c r="BN51" s="39">
        <v>39.854603062339315</v>
      </c>
      <c r="BO51" s="39">
        <v>0</v>
      </c>
      <c r="BP51" s="55">
        <v>-39.854603062339315</v>
      </c>
      <c r="BQ51" s="77">
        <v>1433.1651491256371</v>
      </c>
      <c r="BR51" s="40">
        <v>4081</v>
      </c>
      <c r="BS51" s="55">
        <v>2647.8348508743629</v>
      </c>
      <c r="BT51" s="39">
        <v>2638.5371036827164</v>
      </c>
      <c r="BU51" s="39">
        <v>852.92304360760454</v>
      </c>
      <c r="BV51" s="52">
        <v>-1785.6140600751119</v>
      </c>
      <c r="BW51" s="39">
        <v>2944.2932400040918</v>
      </c>
      <c r="BX51" s="39">
        <v>2740.4242984495604</v>
      </c>
      <c r="BY51" s="52">
        <v>-203.86894155453138</v>
      </c>
      <c r="BZ51" s="39">
        <v>1298.3904522151083</v>
      </c>
      <c r="CA51" s="39">
        <v>3723.1096834039681</v>
      </c>
      <c r="CB51" s="52">
        <v>2424.7192311888598</v>
      </c>
      <c r="CC51" s="39">
        <v>243.39467560770206</v>
      </c>
      <c r="CD51" s="39">
        <v>240.12634356510227</v>
      </c>
      <c r="CE51" s="52">
        <v>-3.2683320425997806</v>
      </c>
      <c r="CF51" s="39">
        <v>29.963359686554227</v>
      </c>
      <c r="CG51" s="39">
        <v>0</v>
      </c>
      <c r="CH51" s="52">
        <v>-29.963359686554227</v>
      </c>
      <c r="CI51" s="39">
        <v>1060.6597600408875</v>
      </c>
      <c r="CJ51" s="39">
        <v>2240.1226682622901</v>
      </c>
      <c r="CK51" s="52">
        <v>1179.4629082214026</v>
      </c>
      <c r="CL51" s="39">
        <v>0</v>
      </c>
      <c r="CM51" s="39">
        <v>0</v>
      </c>
      <c r="CN51" s="52">
        <v>0</v>
      </c>
      <c r="CO51" s="39">
        <v>1060.6597600408875</v>
      </c>
      <c r="CP51" s="40">
        <v>2240.1226682622901</v>
      </c>
      <c r="CQ51" s="52">
        <v>1179.4629082214026</v>
      </c>
      <c r="CR51" s="72">
        <v>25969.710757182733</v>
      </c>
      <c r="CS51" s="5">
        <v>20163.793185531715</v>
      </c>
      <c r="CT51" s="52">
        <v>-5805.9175716510181</v>
      </c>
      <c r="CU51" s="77">
        <v>31163.652908619279</v>
      </c>
      <c r="CV51" s="65">
        <v>24196.551822638055</v>
      </c>
      <c r="CW51" s="35">
        <v>-6967.1010859812232</v>
      </c>
      <c r="CX51" s="39">
        <v>1558.1826454309639</v>
      </c>
      <c r="CY51" s="39">
        <v>8525.2837314121862</v>
      </c>
      <c r="CZ51" s="52">
        <v>6967.1010859812222</v>
      </c>
      <c r="DA51" s="150">
        <v>-32714.318133697168</v>
      </c>
      <c r="DB51" s="2">
        <v>1</v>
      </c>
      <c r="DC51" s="713">
        <v>36776.89</v>
      </c>
      <c r="DD51" s="714"/>
      <c r="DE51" s="715">
        <v>20415.972222974877</v>
      </c>
      <c r="DF51" s="716">
        <v>0</v>
      </c>
      <c r="DG51" s="717">
        <v>-91931.535221700033</v>
      </c>
      <c r="DH51" s="718">
        <v>159003.38719409489</v>
      </c>
      <c r="DI51" s="718">
        <v>392662.02664860291</v>
      </c>
      <c r="DJ51" s="693">
        <v>334247.36678497592</v>
      </c>
      <c r="DK51" s="724"/>
      <c r="DL51" s="5"/>
      <c r="DM51" s="306">
        <v>5.9643898425231026</v>
      </c>
      <c r="DN51" s="306"/>
      <c r="DO51" s="306">
        <v>5.2881823614970447</v>
      </c>
      <c r="DP51" s="719">
        <v>16360.917777025123</v>
      </c>
      <c r="DQ51" s="720">
        <v>0</v>
      </c>
      <c r="DR51" s="650">
        <v>16360.917777025123</v>
      </c>
      <c r="DS51" s="94">
        <v>16360.917777025119</v>
      </c>
      <c r="DT51" s="719">
        <v>16360.95</v>
      </c>
      <c r="DU51" s="721"/>
      <c r="DV51" s="93">
        <v>16360.95</v>
      </c>
      <c r="DW51" s="95">
        <v>16516.736041568216</v>
      </c>
      <c r="DX51" s="28">
        <v>-155.7860415682153</v>
      </c>
      <c r="EA51" s="5">
        <v>13211.439464222925</v>
      </c>
      <c r="EB51" s="5">
        <v>6638.4</v>
      </c>
      <c r="EE51" s="722">
        <v>114916.41285272161</v>
      </c>
      <c r="EG51" s="42" t="s">
        <v>248</v>
      </c>
    </row>
    <row r="52" spans="1:137" x14ac:dyDescent="0.3">
      <c r="A52" s="325">
        <v>150000509</v>
      </c>
      <c r="B52" s="41" t="s">
        <v>507</v>
      </c>
      <c r="C52" s="42" t="s">
        <v>53</v>
      </c>
      <c r="D52" s="27">
        <v>1</v>
      </c>
      <c r="E52" s="709">
        <v>249.8</v>
      </c>
      <c r="F52" s="723">
        <v>249.8</v>
      </c>
      <c r="G52" s="28"/>
      <c r="H52" s="651">
        <v>0</v>
      </c>
      <c r="I52" s="39">
        <v>0</v>
      </c>
      <c r="J52" s="39">
        <v>0</v>
      </c>
      <c r="K52" s="52">
        <v>0</v>
      </c>
      <c r="L52" s="39">
        <v>0</v>
      </c>
      <c r="M52" s="39">
        <v>0</v>
      </c>
      <c r="N52" s="52">
        <v>0</v>
      </c>
      <c r="O52" s="39">
        <v>0</v>
      </c>
      <c r="P52" s="39">
        <v>0</v>
      </c>
      <c r="Q52" s="52">
        <v>0</v>
      </c>
      <c r="R52" s="39">
        <v>0</v>
      </c>
      <c r="S52" s="39">
        <v>0</v>
      </c>
      <c r="T52" s="52">
        <v>0</v>
      </c>
      <c r="U52" s="39">
        <v>0</v>
      </c>
      <c r="V52" s="39">
        <v>0</v>
      </c>
      <c r="W52" s="52">
        <v>0</v>
      </c>
      <c r="X52" s="39">
        <v>0</v>
      </c>
      <c r="Y52" s="39">
        <v>0</v>
      </c>
      <c r="Z52" s="52">
        <v>0</v>
      </c>
      <c r="AA52" s="39">
        <v>0</v>
      </c>
      <c r="AB52" s="39">
        <v>0</v>
      </c>
      <c r="AC52" s="52">
        <v>0</v>
      </c>
      <c r="AD52" s="39">
        <v>0</v>
      </c>
      <c r="AE52" s="39">
        <v>149.37707594644777</v>
      </c>
      <c r="AF52" s="35">
        <v>149.37707594644777</v>
      </c>
      <c r="AG52" s="77">
        <v>0</v>
      </c>
      <c r="AH52" s="53">
        <v>149.37707594644777</v>
      </c>
      <c r="AI52" s="52">
        <v>149.37707594644777</v>
      </c>
      <c r="AJ52" s="39">
        <v>0</v>
      </c>
      <c r="AK52" s="39">
        <v>0</v>
      </c>
      <c r="AL52" s="52">
        <v>0</v>
      </c>
      <c r="AM52" s="39">
        <v>0</v>
      </c>
      <c r="AN52" s="39">
        <v>0</v>
      </c>
      <c r="AO52" s="52">
        <v>0</v>
      </c>
      <c r="AP52" s="39">
        <v>94.701764289364974</v>
      </c>
      <c r="AQ52" s="39">
        <v>0</v>
      </c>
      <c r="AR52" s="52">
        <v>-94.701764289364974</v>
      </c>
      <c r="AS52" s="39">
        <v>541.63964571106783</v>
      </c>
      <c r="AT52" s="39">
        <v>0</v>
      </c>
      <c r="AU52" s="54">
        <v>-541.63964571106783</v>
      </c>
      <c r="AV52" s="39">
        <v>0</v>
      </c>
      <c r="AW52" s="39">
        <v>0</v>
      </c>
      <c r="AX52" s="55">
        <v>0</v>
      </c>
      <c r="AY52" s="39">
        <v>0</v>
      </c>
      <c r="AZ52" s="39">
        <v>0</v>
      </c>
      <c r="BA52" s="35">
        <v>0</v>
      </c>
      <c r="BB52" s="39">
        <v>0</v>
      </c>
      <c r="BC52" s="39">
        <v>0</v>
      </c>
      <c r="BD52" s="55">
        <v>0</v>
      </c>
      <c r="BE52" s="39">
        <v>0</v>
      </c>
      <c r="BF52" s="39">
        <v>0</v>
      </c>
      <c r="BG52" s="38">
        <v>0</v>
      </c>
      <c r="BH52" s="39">
        <v>0</v>
      </c>
      <c r="BI52" s="39">
        <v>0</v>
      </c>
      <c r="BJ52" s="55">
        <v>0</v>
      </c>
      <c r="BK52" s="39">
        <v>0</v>
      </c>
      <c r="BL52" s="39">
        <v>0</v>
      </c>
      <c r="BM52" s="38">
        <v>0</v>
      </c>
      <c r="BN52" s="39">
        <v>0</v>
      </c>
      <c r="BO52" s="39">
        <v>0</v>
      </c>
      <c r="BP52" s="55">
        <v>0</v>
      </c>
      <c r="BQ52" s="77">
        <v>0</v>
      </c>
      <c r="BR52" s="40">
        <v>0</v>
      </c>
      <c r="BS52" s="55">
        <v>0</v>
      </c>
      <c r="BT52" s="39">
        <v>0</v>
      </c>
      <c r="BU52" s="39">
        <v>0</v>
      </c>
      <c r="BV52" s="52">
        <v>0</v>
      </c>
      <c r="BW52" s="39">
        <v>0</v>
      </c>
      <c r="BX52" s="39">
        <v>1.0111680750118479</v>
      </c>
      <c r="BY52" s="52">
        <v>1.0111680750118479</v>
      </c>
      <c r="BZ52" s="39">
        <v>0</v>
      </c>
      <c r="CA52" s="39">
        <v>0</v>
      </c>
      <c r="CB52" s="52">
        <v>0</v>
      </c>
      <c r="CC52" s="39">
        <v>0</v>
      </c>
      <c r="CD52" s="39">
        <v>0</v>
      </c>
      <c r="CE52" s="52">
        <v>0</v>
      </c>
      <c r="CF52" s="39">
        <v>0</v>
      </c>
      <c r="CG52" s="39">
        <v>0</v>
      </c>
      <c r="CH52" s="52">
        <v>0</v>
      </c>
      <c r="CI52" s="39">
        <v>0</v>
      </c>
      <c r="CJ52" s="39">
        <v>0</v>
      </c>
      <c r="CK52" s="52">
        <v>0</v>
      </c>
      <c r="CL52" s="39">
        <v>0</v>
      </c>
      <c r="CM52" s="39">
        <v>0</v>
      </c>
      <c r="CN52" s="52">
        <v>0</v>
      </c>
      <c r="CO52" s="39">
        <v>0</v>
      </c>
      <c r="CP52" s="40">
        <v>0</v>
      </c>
      <c r="CQ52" s="52">
        <v>0</v>
      </c>
      <c r="CR52" s="72">
        <v>636.3414100004328</v>
      </c>
      <c r="CS52" s="5">
        <v>150.38824402145963</v>
      </c>
      <c r="CT52" s="52">
        <v>-485.95316597897317</v>
      </c>
      <c r="CU52" s="77">
        <v>763.60969200051932</v>
      </c>
      <c r="CV52" s="65">
        <v>180.46589282575155</v>
      </c>
      <c r="CW52" s="35">
        <v>-583.14379917476776</v>
      </c>
      <c r="CX52" s="39">
        <v>19.090242300012982</v>
      </c>
      <c r="CY52" s="39">
        <v>602.23404147478072</v>
      </c>
      <c r="CZ52" s="52">
        <v>583.14379917476776</v>
      </c>
      <c r="DA52" s="150">
        <v>10467.283702223483</v>
      </c>
      <c r="DB52" s="2">
        <v>2</v>
      </c>
      <c r="DC52" s="713">
        <v>1490.8</v>
      </c>
      <c r="DD52" s="714"/>
      <c r="DE52" s="715">
        <v>1099.4500328497338</v>
      </c>
      <c r="DF52" s="716">
        <v>0</v>
      </c>
      <c r="DG52" s="717">
        <v>14077.17625510994</v>
      </c>
      <c r="DH52" s="718">
        <v>3747.6006290443765</v>
      </c>
      <c r="DI52" s="718">
        <v>9392.3992116063873</v>
      </c>
      <c r="DJ52" s="693">
        <v>7981.1995659658851</v>
      </c>
      <c r="DK52" s="724"/>
      <c r="DL52" s="5"/>
      <c r="DM52" s="306">
        <v>1.5666531911539874</v>
      </c>
      <c r="DN52" s="306"/>
      <c r="DO52" s="306">
        <v>1.5666531911539874</v>
      </c>
      <c r="DP52" s="719">
        <v>391.34996715026608</v>
      </c>
      <c r="DQ52" s="720">
        <v>0</v>
      </c>
      <c r="DR52" s="650">
        <v>391.34996715026608</v>
      </c>
      <c r="DS52" s="94">
        <v>391.3499671502662</v>
      </c>
      <c r="DT52" s="719">
        <v>391.37</v>
      </c>
      <c r="DU52" s="721"/>
      <c r="DV52" s="93">
        <v>391.37</v>
      </c>
      <c r="DW52" s="95">
        <v>393.25899138026745</v>
      </c>
      <c r="DX52" s="28">
        <v>-1.8889913802674414</v>
      </c>
      <c r="EA52" s="5">
        <v>649.96757485328135</v>
      </c>
      <c r="EB52" s="5">
        <v>0</v>
      </c>
      <c r="EE52" s="722">
        <v>6499.6757485328144</v>
      </c>
      <c r="EG52" s="42" t="s">
        <v>53</v>
      </c>
    </row>
    <row r="53" spans="1:137" x14ac:dyDescent="0.3">
      <c r="A53" s="325">
        <v>150000510</v>
      </c>
      <c r="B53" s="41" t="s">
        <v>508</v>
      </c>
      <c r="C53" s="42" t="s">
        <v>249</v>
      </c>
      <c r="D53" s="27">
        <v>5</v>
      </c>
      <c r="E53" s="709">
        <v>2889.06</v>
      </c>
      <c r="F53" s="723">
        <v>2796.95</v>
      </c>
      <c r="G53" s="28"/>
      <c r="H53" s="651">
        <v>92.11</v>
      </c>
      <c r="I53" s="39">
        <v>1104.1718947595289</v>
      </c>
      <c r="J53" s="39">
        <v>1188.7783168747028</v>
      </c>
      <c r="K53" s="52">
        <v>84.606422115173928</v>
      </c>
      <c r="L53" s="39">
        <v>206.28899752640388</v>
      </c>
      <c r="M53" s="39">
        <v>224.14356916276466</v>
      </c>
      <c r="N53" s="52">
        <v>17.854571636360788</v>
      </c>
      <c r="O53" s="39">
        <v>716.7</v>
      </c>
      <c r="P53" s="39">
        <v>716.7</v>
      </c>
      <c r="Q53" s="52">
        <v>0</v>
      </c>
      <c r="R53" s="39">
        <v>0</v>
      </c>
      <c r="S53" s="39">
        <v>0</v>
      </c>
      <c r="T53" s="52">
        <v>0</v>
      </c>
      <c r="U53" s="39">
        <v>0</v>
      </c>
      <c r="V53" s="39">
        <v>0</v>
      </c>
      <c r="W53" s="52">
        <v>0</v>
      </c>
      <c r="X53" s="39">
        <v>887.98203486775833</v>
      </c>
      <c r="Y53" s="39">
        <v>704.99490562459994</v>
      </c>
      <c r="Z53" s="52">
        <v>-182.98712924315839</v>
      </c>
      <c r="AA53" s="39">
        <v>0</v>
      </c>
      <c r="AB53" s="39">
        <v>0</v>
      </c>
      <c r="AC53" s="52">
        <v>0</v>
      </c>
      <c r="AD53" s="39">
        <v>2058.8556415530697</v>
      </c>
      <c r="AE53" s="39">
        <v>1727.6194356839246</v>
      </c>
      <c r="AF53" s="35">
        <v>-331.23620586914512</v>
      </c>
      <c r="AG53" s="77">
        <v>4973.9985687067601</v>
      </c>
      <c r="AH53" s="53">
        <v>4562.2362273459921</v>
      </c>
      <c r="AI53" s="52">
        <v>-411.762341360768</v>
      </c>
      <c r="AJ53" s="39">
        <v>0</v>
      </c>
      <c r="AK53" s="39">
        <v>0</v>
      </c>
      <c r="AL53" s="52">
        <v>0</v>
      </c>
      <c r="AM53" s="39">
        <v>0</v>
      </c>
      <c r="AN53" s="39">
        <v>0</v>
      </c>
      <c r="AO53" s="52">
        <v>0</v>
      </c>
      <c r="AP53" s="39">
        <v>228.86259703263201</v>
      </c>
      <c r="AQ53" s="39">
        <v>0</v>
      </c>
      <c r="AR53" s="52">
        <v>-228.86259703263201</v>
      </c>
      <c r="AS53" s="39">
        <v>3968.7186887636053</v>
      </c>
      <c r="AT53" s="39">
        <v>61.553946899412828</v>
      </c>
      <c r="AU53" s="54">
        <v>-3907.1647418641924</v>
      </c>
      <c r="AV53" s="39">
        <v>199.30110444818735</v>
      </c>
      <c r="AW53" s="39">
        <v>0</v>
      </c>
      <c r="AX53" s="55">
        <v>-199.30110444818735</v>
      </c>
      <c r="AY53" s="39">
        <v>265.86888590663347</v>
      </c>
      <c r="AZ53" s="39">
        <v>0</v>
      </c>
      <c r="BA53" s="35">
        <v>-265.86888590663347</v>
      </c>
      <c r="BB53" s="39">
        <v>339.09608183163061</v>
      </c>
      <c r="BC53" s="39">
        <v>0</v>
      </c>
      <c r="BD53" s="55">
        <v>-339.09608183163061</v>
      </c>
      <c r="BE53" s="39">
        <v>0</v>
      </c>
      <c r="BF53" s="39">
        <v>0</v>
      </c>
      <c r="BG53" s="38">
        <v>0</v>
      </c>
      <c r="BH53" s="39">
        <v>0</v>
      </c>
      <c r="BI53" s="39">
        <v>0</v>
      </c>
      <c r="BJ53" s="55">
        <v>0</v>
      </c>
      <c r="BK53" s="39">
        <v>122.47344089241105</v>
      </c>
      <c r="BL53" s="39">
        <v>711</v>
      </c>
      <c r="BM53" s="38">
        <v>588.52655910758892</v>
      </c>
      <c r="BN53" s="39">
        <v>0</v>
      </c>
      <c r="BO53" s="39">
        <v>0</v>
      </c>
      <c r="BP53" s="55">
        <v>0</v>
      </c>
      <c r="BQ53" s="77">
        <v>926.7395130788625</v>
      </c>
      <c r="BR53" s="40">
        <v>711</v>
      </c>
      <c r="BS53" s="55">
        <v>-215.7395130788625</v>
      </c>
      <c r="BT53" s="39">
        <v>5000.3184534389857</v>
      </c>
      <c r="BU53" s="39">
        <v>1368.5976023953538</v>
      </c>
      <c r="BV53" s="52">
        <v>-3631.7208510436321</v>
      </c>
      <c r="BW53" s="39">
        <v>2778.9371192187477</v>
      </c>
      <c r="BX53" s="39">
        <v>5201.7971232414566</v>
      </c>
      <c r="BY53" s="52">
        <v>2422.8600040227088</v>
      </c>
      <c r="BZ53" s="39">
        <v>1892.1901414312354</v>
      </c>
      <c r="CA53" s="39">
        <v>5981.4011230737606</v>
      </c>
      <c r="CB53" s="52">
        <v>4089.2109816425254</v>
      </c>
      <c r="CC53" s="39">
        <v>0</v>
      </c>
      <c r="CD53" s="39">
        <v>0</v>
      </c>
      <c r="CE53" s="52">
        <v>0</v>
      </c>
      <c r="CF53" s="39">
        <v>0</v>
      </c>
      <c r="CG53" s="39">
        <v>0</v>
      </c>
      <c r="CH53" s="52">
        <v>0</v>
      </c>
      <c r="CI53" s="39">
        <v>483.53606707746354</v>
      </c>
      <c r="CJ53" s="39">
        <v>512.57256004286057</v>
      </c>
      <c r="CK53" s="52">
        <v>29.036492965397031</v>
      </c>
      <c r="CL53" s="39">
        <v>0</v>
      </c>
      <c r="CM53" s="39">
        <v>0</v>
      </c>
      <c r="CN53" s="52">
        <v>0</v>
      </c>
      <c r="CO53" s="39">
        <v>483.53606707746354</v>
      </c>
      <c r="CP53" s="40">
        <v>512.57256004286057</v>
      </c>
      <c r="CQ53" s="52">
        <v>29.036492965397031</v>
      </c>
      <c r="CR53" s="72">
        <v>20253.301148748291</v>
      </c>
      <c r="CS53" s="5">
        <v>18399.158582998836</v>
      </c>
      <c r="CT53" s="52">
        <v>-1854.1425657494547</v>
      </c>
      <c r="CU53" s="77">
        <v>24303.961378497948</v>
      </c>
      <c r="CV53" s="65">
        <v>22078.990299598601</v>
      </c>
      <c r="CW53" s="35">
        <v>-2224.971078899347</v>
      </c>
      <c r="CX53" s="39">
        <v>1215.1980689248974</v>
      </c>
      <c r="CY53" s="39">
        <v>3440.169147824241</v>
      </c>
      <c r="CZ53" s="52">
        <v>2224.9710788993434</v>
      </c>
      <c r="DA53" s="150">
        <v>57061.29363041887</v>
      </c>
      <c r="DB53" s="2">
        <v>2</v>
      </c>
      <c r="DC53" s="713">
        <v>111995.64</v>
      </c>
      <c r="DD53" s="714">
        <v>701.9</v>
      </c>
      <c r="DE53" s="715">
        <v>99587.048179820791</v>
      </c>
      <c r="DF53" s="716">
        <v>350.91209646778583</v>
      </c>
      <c r="DG53" s="717">
        <v>47957.958840315645</v>
      </c>
      <c r="DH53" s="718">
        <v>123243.67847781339</v>
      </c>
      <c r="DI53" s="718">
        <v>306229.91336907411</v>
      </c>
      <c r="DJ53" s="693">
        <v>260483.35464625893</v>
      </c>
      <c r="DK53" s="724"/>
      <c r="DL53" s="5"/>
      <c r="DM53" s="306">
        <v>4.436472521918235</v>
      </c>
      <c r="DN53" s="306"/>
      <c r="DO53" s="306">
        <v>3.8105298396722849</v>
      </c>
      <c r="DP53" s="719">
        <v>12408.591820179206</v>
      </c>
      <c r="DQ53" s="720">
        <v>350.98790353221415</v>
      </c>
      <c r="DR53" s="650">
        <v>12759.57972371142</v>
      </c>
      <c r="DS53" s="94">
        <v>12759.579723711424</v>
      </c>
      <c r="DT53" s="719">
        <v>12405.31</v>
      </c>
      <c r="DU53" s="725">
        <v>350.95</v>
      </c>
      <c r="DV53" s="93">
        <v>12756.26</v>
      </c>
      <c r="DW53" s="95">
        <v>12881.099530603911</v>
      </c>
      <c r="DX53" s="28">
        <v>-124.83953060391104</v>
      </c>
      <c r="EA53" s="5">
        <v>5874.5498422109613</v>
      </c>
      <c r="EB53" s="5">
        <v>927.0647362792954</v>
      </c>
      <c r="EE53" s="722">
        <v>47624.624265163264</v>
      </c>
      <c r="EG53" s="42" t="s">
        <v>249</v>
      </c>
    </row>
    <row r="54" spans="1:137" x14ac:dyDescent="0.3">
      <c r="A54" s="325">
        <v>150000511</v>
      </c>
      <c r="B54" s="41" t="s">
        <v>509</v>
      </c>
      <c r="C54" s="42" t="s">
        <v>250</v>
      </c>
      <c r="D54" s="27">
        <v>5</v>
      </c>
      <c r="E54" s="709">
        <v>3219.5</v>
      </c>
      <c r="F54" s="723">
        <v>3219.5</v>
      </c>
      <c r="G54" s="28"/>
      <c r="H54" s="651">
        <v>0</v>
      </c>
      <c r="I54" s="39">
        <v>2010.5870585823509</v>
      </c>
      <c r="J54" s="39">
        <v>2164.2854634587584</v>
      </c>
      <c r="K54" s="52">
        <v>153.69840487640749</v>
      </c>
      <c r="L54" s="39">
        <v>380.72022052671252</v>
      </c>
      <c r="M54" s="39">
        <v>413.67161222484901</v>
      </c>
      <c r="N54" s="52">
        <v>32.95139169813649</v>
      </c>
      <c r="O54" s="39">
        <v>807.92</v>
      </c>
      <c r="P54" s="39">
        <v>807.92</v>
      </c>
      <c r="Q54" s="52">
        <v>0</v>
      </c>
      <c r="R54" s="39">
        <v>0</v>
      </c>
      <c r="S54" s="39">
        <v>0</v>
      </c>
      <c r="T54" s="52">
        <v>0</v>
      </c>
      <c r="U54" s="39">
        <v>0</v>
      </c>
      <c r="V54" s="39">
        <v>0</v>
      </c>
      <c r="W54" s="52">
        <v>0</v>
      </c>
      <c r="X54" s="39">
        <v>1243.2842644426239</v>
      </c>
      <c r="Y54" s="39">
        <v>943.50473628368957</v>
      </c>
      <c r="Z54" s="52">
        <v>-299.77952815893434</v>
      </c>
      <c r="AA54" s="39">
        <v>0</v>
      </c>
      <c r="AB54" s="39">
        <v>0</v>
      </c>
      <c r="AC54" s="52">
        <v>0</v>
      </c>
      <c r="AD54" s="39">
        <v>2294.3399368583928</v>
      </c>
      <c r="AE54" s="39">
        <v>1925.2181585652065</v>
      </c>
      <c r="AF54" s="35">
        <v>-369.12177829318625</v>
      </c>
      <c r="AG54" s="77">
        <v>6736.8514804100796</v>
      </c>
      <c r="AH54" s="53">
        <v>6254.599970532503</v>
      </c>
      <c r="AI54" s="52">
        <v>-482.25150987757661</v>
      </c>
      <c r="AJ54" s="39">
        <v>0</v>
      </c>
      <c r="AK54" s="39">
        <v>0</v>
      </c>
      <c r="AL54" s="52">
        <v>0</v>
      </c>
      <c r="AM54" s="39">
        <v>0</v>
      </c>
      <c r="AN54" s="39">
        <v>0</v>
      </c>
      <c r="AO54" s="52">
        <v>0</v>
      </c>
      <c r="AP54" s="39">
        <v>1894.0352857872995</v>
      </c>
      <c r="AQ54" s="39">
        <v>5253.9119834906287</v>
      </c>
      <c r="AR54" s="52">
        <v>3359.8766977033292</v>
      </c>
      <c r="AS54" s="39">
        <v>4952.8335367596737</v>
      </c>
      <c r="AT54" s="39">
        <v>0</v>
      </c>
      <c r="AU54" s="54">
        <v>-4952.8335367596737</v>
      </c>
      <c r="AV54" s="39">
        <v>318.0902693443374</v>
      </c>
      <c r="AW54" s="39">
        <v>884</v>
      </c>
      <c r="AX54" s="55">
        <v>565.90973065566254</v>
      </c>
      <c r="AY54" s="39">
        <v>490.73628415417375</v>
      </c>
      <c r="AZ54" s="39">
        <v>0</v>
      </c>
      <c r="BA54" s="35">
        <v>-490.73628415417375</v>
      </c>
      <c r="BB54" s="39">
        <v>365.88444988692856</v>
      </c>
      <c r="BC54" s="39">
        <v>0</v>
      </c>
      <c r="BD54" s="55">
        <v>-365.88444988692856</v>
      </c>
      <c r="BE54" s="39">
        <v>0</v>
      </c>
      <c r="BF54" s="39">
        <v>0</v>
      </c>
      <c r="BG54" s="38">
        <v>0</v>
      </c>
      <c r="BH54" s="39">
        <v>0</v>
      </c>
      <c r="BI54" s="39">
        <v>0</v>
      </c>
      <c r="BJ54" s="55">
        <v>0</v>
      </c>
      <c r="BK54" s="39">
        <v>174.62873904711446</v>
      </c>
      <c r="BL54" s="39">
        <v>711</v>
      </c>
      <c r="BM54" s="38">
        <v>536.37126095288556</v>
      </c>
      <c r="BN54" s="39">
        <v>0</v>
      </c>
      <c r="BO54" s="39">
        <v>0</v>
      </c>
      <c r="BP54" s="55">
        <v>0</v>
      </c>
      <c r="BQ54" s="77">
        <v>1349.3397424325542</v>
      </c>
      <c r="BR54" s="40">
        <v>1595</v>
      </c>
      <c r="BS54" s="55">
        <v>245.6602575674458</v>
      </c>
      <c r="BT54" s="39">
        <v>6121.5088890601883</v>
      </c>
      <c r="BU54" s="39">
        <v>1721.6185515002117</v>
      </c>
      <c r="BV54" s="52">
        <v>-4399.8903375599766</v>
      </c>
      <c r="BW54" s="39">
        <v>3159.8576901785882</v>
      </c>
      <c r="BX54" s="39">
        <v>5366.1624648415072</v>
      </c>
      <c r="BY54" s="52">
        <v>2206.304774662919</v>
      </c>
      <c r="BZ54" s="39">
        <v>2681.7669477046475</v>
      </c>
      <c r="CA54" s="39">
        <v>7446.3308082558196</v>
      </c>
      <c r="CB54" s="52">
        <v>4764.5638605511722</v>
      </c>
      <c r="CC54" s="39">
        <v>328.59506759283516</v>
      </c>
      <c r="CD54" s="39">
        <v>324.18265476674321</v>
      </c>
      <c r="CE54" s="52">
        <v>-4.412412826091952</v>
      </c>
      <c r="CF54" s="39">
        <v>40.452044305936148</v>
      </c>
      <c r="CG54" s="39">
        <v>0</v>
      </c>
      <c r="CH54" s="52">
        <v>-40.452044305936148</v>
      </c>
      <c r="CI54" s="39">
        <v>745.58141955815336</v>
      </c>
      <c r="CJ54" s="39">
        <v>475.75713995073863</v>
      </c>
      <c r="CK54" s="52">
        <v>-269.82427960741472</v>
      </c>
      <c r="CL54" s="39">
        <v>0</v>
      </c>
      <c r="CM54" s="39">
        <v>0</v>
      </c>
      <c r="CN54" s="52">
        <v>0</v>
      </c>
      <c r="CO54" s="39">
        <v>745.58141955815336</v>
      </c>
      <c r="CP54" s="40">
        <v>475.75713995073863</v>
      </c>
      <c r="CQ54" s="52">
        <v>-269.82427960741472</v>
      </c>
      <c r="CR54" s="72">
        <v>28010.822103789957</v>
      </c>
      <c r="CS54" s="5">
        <v>28437.563573338153</v>
      </c>
      <c r="CT54" s="52">
        <v>426.74146954819662</v>
      </c>
      <c r="CU54" s="77">
        <v>33612.986524547945</v>
      </c>
      <c r="CV54" s="65">
        <v>34125.076288005781</v>
      </c>
      <c r="CW54" s="35">
        <v>512.08976345783594</v>
      </c>
      <c r="CX54" s="39">
        <v>1176.4545283591781</v>
      </c>
      <c r="CY54" s="39">
        <v>664.36476490134373</v>
      </c>
      <c r="CZ54" s="52">
        <v>-512.08976345783435</v>
      </c>
      <c r="DA54" s="150">
        <v>-8423.867723735133</v>
      </c>
      <c r="DB54" s="2">
        <v>2</v>
      </c>
      <c r="DC54" s="713">
        <v>53604.87</v>
      </c>
      <c r="DD54" s="714"/>
      <c r="DE54" s="715">
        <v>36210.149473546437</v>
      </c>
      <c r="DF54" s="716">
        <v>0</v>
      </c>
      <c r="DG54" s="717">
        <v>40855.166099704998</v>
      </c>
      <c r="DH54" s="718">
        <v>168525.202034552</v>
      </c>
      <c r="DI54" s="718">
        <v>417473.29263488553</v>
      </c>
      <c r="DJ54" s="693">
        <v>355236.26998480211</v>
      </c>
      <c r="DK54" s="724"/>
      <c r="DL54" s="5"/>
      <c r="DM54" s="306">
        <v>5.4029260836942266</v>
      </c>
      <c r="DN54" s="306"/>
      <c r="DO54" s="306">
        <v>4.7934303155311877</v>
      </c>
      <c r="DP54" s="719">
        <v>17394.720526453562</v>
      </c>
      <c r="DQ54" s="720">
        <v>0</v>
      </c>
      <c r="DR54" s="650">
        <v>17394.720526453562</v>
      </c>
      <c r="DS54" s="94">
        <v>17394.720526453562</v>
      </c>
      <c r="DT54" s="719">
        <v>17249.47</v>
      </c>
      <c r="DU54" s="721"/>
      <c r="DV54" s="93">
        <v>17249.47</v>
      </c>
      <c r="DW54" s="95">
        <v>17512.36597928948</v>
      </c>
      <c r="DX54" s="28">
        <v>-262.89597928947842</v>
      </c>
      <c r="EA54" s="5">
        <v>7562.6079350306727</v>
      </c>
      <c r="EB54" s="5">
        <v>1914</v>
      </c>
      <c r="EE54" s="722">
        <v>59434.002441116085</v>
      </c>
      <c r="EG54" s="42" t="s">
        <v>250</v>
      </c>
    </row>
    <row r="55" spans="1:137" x14ac:dyDescent="0.3">
      <c r="A55" s="325">
        <v>150000512</v>
      </c>
      <c r="B55" s="41" t="s">
        <v>510</v>
      </c>
      <c r="C55" s="42" t="s">
        <v>251</v>
      </c>
      <c r="D55" s="27">
        <v>5</v>
      </c>
      <c r="E55" s="709">
        <v>1871.6999999999998</v>
      </c>
      <c r="F55" s="723">
        <v>1738.1</v>
      </c>
      <c r="G55" s="28"/>
      <c r="H55" s="651">
        <v>133.6</v>
      </c>
      <c r="I55" s="39">
        <v>899.77845885533634</v>
      </c>
      <c r="J55" s="39">
        <v>968.84504904917435</v>
      </c>
      <c r="K55" s="52">
        <v>69.06659019383801</v>
      </c>
      <c r="L55" s="39">
        <v>194.94628967187373</v>
      </c>
      <c r="M55" s="39">
        <v>211.81915584518501</v>
      </c>
      <c r="N55" s="52">
        <v>16.87286617331128</v>
      </c>
      <c r="O55" s="39">
        <v>390.32</v>
      </c>
      <c r="P55" s="39">
        <v>390.32</v>
      </c>
      <c r="Q55" s="52">
        <v>0</v>
      </c>
      <c r="R55" s="39">
        <v>0</v>
      </c>
      <c r="S55" s="39">
        <v>0</v>
      </c>
      <c r="T55" s="52">
        <v>0</v>
      </c>
      <c r="U55" s="39">
        <v>0</v>
      </c>
      <c r="V55" s="39">
        <v>0</v>
      </c>
      <c r="W55" s="52">
        <v>0</v>
      </c>
      <c r="X55" s="39">
        <v>548.47906295308962</v>
      </c>
      <c r="Y55" s="39">
        <v>331.04571331846728</v>
      </c>
      <c r="Z55" s="52">
        <v>-217.43334963462235</v>
      </c>
      <c r="AA55" s="39">
        <v>0</v>
      </c>
      <c r="AB55" s="39">
        <v>0</v>
      </c>
      <c r="AC55" s="52">
        <v>0</v>
      </c>
      <c r="AD55" s="39">
        <v>1333.8456467829953</v>
      </c>
      <c r="AE55" s="39">
        <v>1119.2516935507056</v>
      </c>
      <c r="AF55" s="35">
        <v>-214.59395323228978</v>
      </c>
      <c r="AG55" s="77">
        <v>3367.3694582632952</v>
      </c>
      <c r="AH55" s="53">
        <v>3021.2816117635321</v>
      </c>
      <c r="AI55" s="52">
        <v>-346.08784649976315</v>
      </c>
      <c r="AJ55" s="39">
        <v>0</v>
      </c>
      <c r="AK55" s="39">
        <v>0</v>
      </c>
      <c r="AL55" s="52">
        <v>0</v>
      </c>
      <c r="AM55" s="39">
        <v>0</v>
      </c>
      <c r="AN55" s="39">
        <v>0</v>
      </c>
      <c r="AO55" s="52">
        <v>0</v>
      </c>
      <c r="AP55" s="39">
        <v>875.99131967662606</v>
      </c>
      <c r="AQ55" s="39">
        <v>1963.8959169262266</v>
      </c>
      <c r="AR55" s="52">
        <v>1087.9045972496006</v>
      </c>
      <c r="AS55" s="39">
        <v>3203.0702278670028</v>
      </c>
      <c r="AT55" s="39">
        <v>0</v>
      </c>
      <c r="AU55" s="54">
        <v>-3203.0702278670028</v>
      </c>
      <c r="AV55" s="39">
        <v>141.19134888296281</v>
      </c>
      <c r="AW55" s="39">
        <v>0</v>
      </c>
      <c r="AX55" s="55">
        <v>-141.19134888296281</v>
      </c>
      <c r="AY55" s="39">
        <v>251.26294537068739</v>
      </c>
      <c r="AZ55" s="39">
        <v>0</v>
      </c>
      <c r="BA55" s="35">
        <v>-251.26294537068739</v>
      </c>
      <c r="BB55" s="39">
        <v>238.9164663369109</v>
      </c>
      <c r="BC55" s="39">
        <v>0</v>
      </c>
      <c r="BD55" s="55">
        <v>-238.9164663369109</v>
      </c>
      <c r="BE55" s="39">
        <v>0</v>
      </c>
      <c r="BF55" s="39">
        <v>0</v>
      </c>
      <c r="BG55" s="38">
        <v>0</v>
      </c>
      <c r="BH55" s="39">
        <v>0</v>
      </c>
      <c r="BI55" s="39">
        <v>0</v>
      </c>
      <c r="BJ55" s="55">
        <v>0</v>
      </c>
      <c r="BK55" s="39">
        <v>70.039395863319015</v>
      </c>
      <c r="BL55" s="39">
        <v>291</v>
      </c>
      <c r="BM55" s="38">
        <v>220.96060413668098</v>
      </c>
      <c r="BN55" s="39">
        <v>0</v>
      </c>
      <c r="BO55" s="39">
        <v>0</v>
      </c>
      <c r="BP55" s="55">
        <v>0</v>
      </c>
      <c r="BQ55" s="77">
        <v>701.41015645388006</v>
      </c>
      <c r="BR55" s="40">
        <v>291</v>
      </c>
      <c r="BS55" s="55">
        <v>-410.41015645388006</v>
      </c>
      <c r="BT55" s="39">
        <v>1850.3408731043698</v>
      </c>
      <c r="BU55" s="39">
        <v>625.57115010446864</v>
      </c>
      <c r="BV55" s="52">
        <v>-1224.7697229999012</v>
      </c>
      <c r="BW55" s="39">
        <v>1334.3614911240522</v>
      </c>
      <c r="BX55" s="39">
        <v>3116.9103517329322</v>
      </c>
      <c r="BY55" s="52">
        <v>1782.54886060888</v>
      </c>
      <c r="BZ55" s="39">
        <v>1080.2244591477311</v>
      </c>
      <c r="CA55" s="39">
        <v>2732.5749130883305</v>
      </c>
      <c r="CB55" s="52">
        <v>1652.3504539405994</v>
      </c>
      <c r="CC55" s="39">
        <v>86.965187216125557</v>
      </c>
      <c r="CD55" s="39">
        <v>85.797408556795858</v>
      </c>
      <c r="CE55" s="52">
        <v>-1.1677786593296986</v>
      </c>
      <c r="CF55" s="39">
        <v>10.705941608045761</v>
      </c>
      <c r="CG55" s="39">
        <v>0</v>
      </c>
      <c r="CH55" s="52">
        <v>-10.705941608045761</v>
      </c>
      <c r="CI55" s="39">
        <v>720.62471932189726</v>
      </c>
      <c r="CJ55" s="39">
        <v>1034.2261796588496</v>
      </c>
      <c r="CK55" s="52">
        <v>313.6014603369523</v>
      </c>
      <c r="CL55" s="39">
        <v>0</v>
      </c>
      <c r="CM55" s="39">
        <v>0</v>
      </c>
      <c r="CN55" s="52">
        <v>0</v>
      </c>
      <c r="CO55" s="39">
        <v>720.62471932189726</v>
      </c>
      <c r="CP55" s="40">
        <v>1034.2261796588496</v>
      </c>
      <c r="CQ55" s="52">
        <v>313.6014603369523</v>
      </c>
      <c r="CR55" s="72">
        <v>13231.063833783026</v>
      </c>
      <c r="CS55" s="5">
        <v>12871.257531831137</v>
      </c>
      <c r="CT55" s="52">
        <v>-359.8063019518886</v>
      </c>
      <c r="CU55" s="77">
        <v>15877.27660053963</v>
      </c>
      <c r="CV55" s="65">
        <v>15445.509038197364</v>
      </c>
      <c r="CW55" s="35">
        <v>-431.76756234226559</v>
      </c>
      <c r="CX55" s="39">
        <v>793.86383002698153</v>
      </c>
      <c r="CY55" s="39">
        <v>1225.6313923692514</v>
      </c>
      <c r="CZ55" s="52">
        <v>431.76756234226991</v>
      </c>
      <c r="DA55" s="150">
        <v>28572.765618576796</v>
      </c>
      <c r="DB55" s="2">
        <v>2</v>
      </c>
      <c r="DC55" s="713">
        <v>22377.49</v>
      </c>
      <c r="DD55" s="714">
        <v>895.09999999999991</v>
      </c>
      <c r="DE55" s="715">
        <v>14576.899558599755</v>
      </c>
      <c r="DF55" s="716">
        <v>360.12022611694147</v>
      </c>
      <c r="DG55" s="717">
        <v>-10726.366032897477</v>
      </c>
      <c r="DH55" s="718">
        <v>78770.955857014444</v>
      </c>
      <c r="DI55" s="718">
        <v>200053.68516679935</v>
      </c>
      <c r="DJ55" s="693">
        <v>169733.00283935311</v>
      </c>
      <c r="DK55" s="724"/>
      <c r="DL55" s="5"/>
      <c r="DM55" s="306">
        <v>4.4879986430011209</v>
      </c>
      <c r="DN55" s="306"/>
      <c r="DO55" s="306">
        <v>4.0043396248731922</v>
      </c>
      <c r="DP55" s="719">
        <v>7800.590441400248</v>
      </c>
      <c r="DQ55" s="720">
        <v>534.97977388305844</v>
      </c>
      <c r="DR55" s="650">
        <v>8335.5702152833073</v>
      </c>
      <c r="DS55" s="94">
        <v>8335.5702152833037</v>
      </c>
      <c r="DT55" s="719">
        <v>7728.12</v>
      </c>
      <c r="DU55" s="725">
        <v>534.96</v>
      </c>
      <c r="DV55" s="93">
        <v>8263.08</v>
      </c>
      <c r="DW55" s="95">
        <v>8414.956598286004</v>
      </c>
      <c r="DX55" s="28">
        <v>-151.87659828600408</v>
      </c>
      <c r="EA55" s="5">
        <v>4685.3764611850593</v>
      </c>
      <c r="EB55" s="5">
        <v>349.2</v>
      </c>
      <c r="EE55" s="722">
        <v>38436.842734404032</v>
      </c>
      <c r="EG55" s="42" t="s">
        <v>251</v>
      </c>
    </row>
    <row r="56" spans="1:137" x14ac:dyDescent="0.3">
      <c r="A56" s="325">
        <v>150000513</v>
      </c>
      <c r="B56" s="41" t="s">
        <v>511</v>
      </c>
      <c r="C56" s="42" t="s">
        <v>334</v>
      </c>
      <c r="D56" s="27">
        <v>6</v>
      </c>
      <c r="E56" s="709">
        <v>3630</v>
      </c>
      <c r="F56" s="723">
        <v>2148</v>
      </c>
      <c r="G56" s="28"/>
      <c r="H56" s="651">
        <v>1482</v>
      </c>
      <c r="I56" s="39">
        <v>1346.766002270316</v>
      </c>
      <c r="J56" s="39">
        <v>1451.8631810418683</v>
      </c>
      <c r="K56" s="52">
        <v>105.09717877155231</v>
      </c>
      <c r="L56" s="39">
        <v>269.61123728666183</v>
      </c>
      <c r="M56" s="39">
        <v>292.9459461182966</v>
      </c>
      <c r="N56" s="52">
        <v>23.334708831634771</v>
      </c>
      <c r="O56" s="39">
        <v>925.9</v>
      </c>
      <c r="P56" s="39">
        <v>925.9</v>
      </c>
      <c r="Q56" s="52">
        <v>0</v>
      </c>
      <c r="R56" s="39">
        <v>194.12</v>
      </c>
      <c r="S56" s="39">
        <v>194.12</v>
      </c>
      <c r="T56" s="52">
        <v>0</v>
      </c>
      <c r="U56" s="39">
        <v>67.987120313120343</v>
      </c>
      <c r="V56" s="39">
        <v>185.70206754074303</v>
      </c>
      <c r="W56" s="52">
        <v>117.71494722762269</v>
      </c>
      <c r="X56" s="39">
        <v>665.50686720275428</v>
      </c>
      <c r="Y56" s="39">
        <v>415.32967674101553</v>
      </c>
      <c r="Z56" s="52">
        <v>-250.17719046173875</v>
      </c>
      <c r="AA56" s="39">
        <v>0</v>
      </c>
      <c r="AB56" s="39">
        <v>0</v>
      </c>
      <c r="AC56" s="52">
        <v>0</v>
      </c>
      <c r="AD56" s="39">
        <v>2586.8780775884347</v>
      </c>
      <c r="AE56" s="39">
        <v>2170.6916960993012</v>
      </c>
      <c r="AF56" s="35">
        <v>-416.18638148913351</v>
      </c>
      <c r="AG56" s="77">
        <v>6056.7693046612867</v>
      </c>
      <c r="AH56" s="53">
        <v>5636.5525675412246</v>
      </c>
      <c r="AI56" s="52">
        <v>-420.21673712006213</v>
      </c>
      <c r="AJ56" s="39">
        <v>0</v>
      </c>
      <c r="AK56" s="39">
        <v>0</v>
      </c>
      <c r="AL56" s="52">
        <v>0</v>
      </c>
      <c r="AM56" s="39">
        <v>0</v>
      </c>
      <c r="AN56" s="39">
        <v>0</v>
      </c>
      <c r="AO56" s="52">
        <v>0</v>
      </c>
      <c r="AP56" s="39">
        <v>205.18715596029077</v>
      </c>
      <c r="AQ56" s="39">
        <v>0</v>
      </c>
      <c r="AR56" s="52">
        <v>-205.18715596029077</v>
      </c>
      <c r="AS56" s="39">
        <v>7932.9238123057485</v>
      </c>
      <c r="AT56" s="39">
        <v>0</v>
      </c>
      <c r="AU56" s="54">
        <v>-7932.9238123057485</v>
      </c>
      <c r="AV56" s="39">
        <v>254.36667126777695</v>
      </c>
      <c r="AW56" s="39">
        <v>0</v>
      </c>
      <c r="AX56" s="55">
        <v>-254.36667126777695</v>
      </c>
      <c r="AY56" s="39">
        <v>347.50294893846012</v>
      </c>
      <c r="AZ56" s="39">
        <v>0</v>
      </c>
      <c r="BA56" s="35">
        <v>-347.50294893846012</v>
      </c>
      <c r="BB56" s="39">
        <v>428.65127600087555</v>
      </c>
      <c r="BC56" s="39">
        <v>0</v>
      </c>
      <c r="BD56" s="55">
        <v>-428.65127600087555</v>
      </c>
      <c r="BE56" s="39">
        <v>164.11543594438629</v>
      </c>
      <c r="BF56" s="39">
        <v>0</v>
      </c>
      <c r="BG56" s="38">
        <v>-164.11543594438629</v>
      </c>
      <c r="BH56" s="39">
        <v>68.97925660788097</v>
      </c>
      <c r="BI56" s="39">
        <v>0</v>
      </c>
      <c r="BJ56" s="55">
        <v>-68.97925660788097</v>
      </c>
      <c r="BK56" s="39">
        <v>73.753166691452407</v>
      </c>
      <c r="BL56" s="39">
        <v>0</v>
      </c>
      <c r="BM56" s="38">
        <v>-73.753166691452407</v>
      </c>
      <c r="BN56" s="39">
        <v>0</v>
      </c>
      <c r="BO56" s="39">
        <v>0</v>
      </c>
      <c r="BP56" s="55">
        <v>0</v>
      </c>
      <c r="BQ56" s="77">
        <v>1337.3687554508322</v>
      </c>
      <c r="BR56" s="40">
        <v>0</v>
      </c>
      <c r="BS56" s="55">
        <v>-1337.3687554508322</v>
      </c>
      <c r="BT56" s="39">
        <v>2284.608499797233</v>
      </c>
      <c r="BU56" s="39">
        <v>789.46699528659963</v>
      </c>
      <c r="BV56" s="52">
        <v>-1495.1415045106332</v>
      </c>
      <c r="BW56" s="39">
        <v>2641.5643180941433</v>
      </c>
      <c r="BX56" s="39">
        <v>4965.5471662598711</v>
      </c>
      <c r="BY56" s="52">
        <v>2323.9828481657278</v>
      </c>
      <c r="BZ56" s="39">
        <v>1436.8101838578243</v>
      </c>
      <c r="CA56" s="39">
        <v>3438.4597139456705</v>
      </c>
      <c r="CB56" s="52">
        <v>2001.6495300878462</v>
      </c>
      <c r="CC56" s="39">
        <v>0</v>
      </c>
      <c r="CD56" s="39">
        <v>0</v>
      </c>
      <c r="CE56" s="52">
        <v>0</v>
      </c>
      <c r="CF56" s="39">
        <v>0</v>
      </c>
      <c r="CG56" s="39">
        <v>0</v>
      </c>
      <c r="CH56" s="52">
        <v>0</v>
      </c>
      <c r="CI56" s="39">
        <v>411.78555389822696</v>
      </c>
      <c r="CJ56" s="39">
        <v>2319.0498149902337</v>
      </c>
      <c r="CK56" s="52">
        <v>1907.2642610920068</v>
      </c>
      <c r="CL56" s="39">
        <v>0</v>
      </c>
      <c r="CM56" s="39">
        <v>0</v>
      </c>
      <c r="CN56" s="52">
        <v>0</v>
      </c>
      <c r="CO56" s="39">
        <v>411.78555389822696</v>
      </c>
      <c r="CP56" s="40">
        <v>2319.0498149902337</v>
      </c>
      <c r="CQ56" s="52">
        <v>1907.2642610920068</v>
      </c>
      <c r="CR56" s="72">
        <v>22307.017584025587</v>
      </c>
      <c r="CS56" s="5">
        <v>17149.076258023601</v>
      </c>
      <c r="CT56" s="52">
        <v>-5157.9413260019865</v>
      </c>
      <c r="CU56" s="77">
        <v>26768.421100830703</v>
      </c>
      <c r="CV56" s="65">
        <v>20578.89150962832</v>
      </c>
      <c r="CW56" s="35">
        <v>-6189.529591202383</v>
      </c>
      <c r="CX56" s="39">
        <v>669.21052752076764</v>
      </c>
      <c r="CY56" s="39">
        <v>6858.7401187231553</v>
      </c>
      <c r="CZ56" s="52">
        <v>6189.5295912023876</v>
      </c>
      <c r="DA56" s="150">
        <v>-61015.200573939517</v>
      </c>
      <c r="DB56" s="2">
        <v>2</v>
      </c>
      <c r="DC56" s="713">
        <v>38759.29</v>
      </c>
      <c r="DD56" s="714">
        <v>7069.6900000000005</v>
      </c>
      <c r="DE56" s="715">
        <v>29978.128199644623</v>
      </c>
      <c r="DF56" s="716">
        <v>2132.0359861796433</v>
      </c>
      <c r="DG56" s="717">
        <v>-94341.763982441043</v>
      </c>
      <c r="DH56" s="718">
        <v>132350.40553615455</v>
      </c>
      <c r="DI56" s="718">
        <v>329251.57954021764</v>
      </c>
      <c r="DJ56" s="693">
        <v>280026.28603920189</v>
      </c>
      <c r="DK56" s="724"/>
      <c r="DL56" s="5"/>
      <c r="DM56" s="306">
        <v>4.0880641528656323</v>
      </c>
      <c r="DN56" s="306"/>
      <c r="DO56" s="306">
        <v>3.3317503467073935</v>
      </c>
      <c r="DP56" s="719">
        <v>8781.1618003553776</v>
      </c>
      <c r="DQ56" s="720">
        <v>4937.6540138203572</v>
      </c>
      <c r="DR56" s="650">
        <v>13718.815814175734</v>
      </c>
      <c r="DS56" s="94">
        <v>13718.815814175738</v>
      </c>
      <c r="DT56" s="719">
        <v>8781.25</v>
      </c>
      <c r="DU56" s="725">
        <v>4937.72</v>
      </c>
      <c r="DV56" s="93">
        <v>13718.970000000001</v>
      </c>
      <c r="DW56" s="95">
        <v>13785.736866927813</v>
      </c>
      <c r="DX56" s="28">
        <v>-66.766866927811861</v>
      </c>
      <c r="EA56" s="5">
        <v>11124.351081307896</v>
      </c>
      <c r="EB56" s="5">
        <v>0</v>
      </c>
      <c r="EE56" s="722">
        <v>95195.085747668985</v>
      </c>
      <c r="EG56" s="42" t="s">
        <v>334</v>
      </c>
    </row>
    <row r="57" spans="1:137" x14ac:dyDescent="0.3">
      <c r="A57" s="325">
        <v>150000538</v>
      </c>
      <c r="B57" s="41" t="s">
        <v>512</v>
      </c>
      <c r="C57" s="42" t="s">
        <v>208</v>
      </c>
      <c r="D57" s="27">
        <v>4</v>
      </c>
      <c r="E57" s="709">
        <v>1469.3</v>
      </c>
      <c r="F57" s="723">
        <v>1469.3</v>
      </c>
      <c r="G57" s="28"/>
      <c r="H57" s="651">
        <v>0</v>
      </c>
      <c r="I57" s="39">
        <v>778.91177143626908</v>
      </c>
      <c r="J57" s="39">
        <v>837.1611921692064</v>
      </c>
      <c r="K57" s="52">
        <v>58.249420732937324</v>
      </c>
      <c r="L57" s="39">
        <v>119.14799437597647</v>
      </c>
      <c r="M57" s="39">
        <v>129.45992424031544</v>
      </c>
      <c r="N57" s="52">
        <v>10.311929864338978</v>
      </c>
      <c r="O57" s="39">
        <v>336.02</v>
      </c>
      <c r="P57" s="39">
        <v>336.02</v>
      </c>
      <c r="Q57" s="52">
        <v>0</v>
      </c>
      <c r="R57" s="39">
        <v>0</v>
      </c>
      <c r="S57" s="39">
        <v>0</v>
      </c>
      <c r="T57" s="52">
        <v>0</v>
      </c>
      <c r="U57" s="39">
        <v>0</v>
      </c>
      <c r="V57" s="39">
        <v>0</v>
      </c>
      <c r="W57" s="52">
        <v>0</v>
      </c>
      <c r="X57" s="39">
        <v>494.95930459311847</v>
      </c>
      <c r="Y57" s="39">
        <v>294.63399405157804</v>
      </c>
      <c r="Z57" s="52">
        <v>-200.32531054154043</v>
      </c>
      <c r="AA57" s="39">
        <v>0</v>
      </c>
      <c r="AB57" s="39">
        <v>0</v>
      </c>
      <c r="AC57" s="52">
        <v>0</v>
      </c>
      <c r="AD57" s="39">
        <v>1047.0798786227788</v>
      </c>
      <c r="AE57" s="39">
        <v>878.62184823104758</v>
      </c>
      <c r="AF57" s="35">
        <v>-168.4580303917312</v>
      </c>
      <c r="AG57" s="77">
        <v>2776.1189490281431</v>
      </c>
      <c r="AH57" s="53">
        <v>2475.8969586921476</v>
      </c>
      <c r="AI57" s="52">
        <v>-300.22199033599554</v>
      </c>
      <c r="AJ57" s="39">
        <v>0</v>
      </c>
      <c r="AK57" s="39">
        <v>0</v>
      </c>
      <c r="AL57" s="52">
        <v>0</v>
      </c>
      <c r="AM57" s="39">
        <v>0</v>
      </c>
      <c r="AN57" s="39">
        <v>0</v>
      </c>
      <c r="AO57" s="52">
        <v>0</v>
      </c>
      <c r="AP57" s="39">
        <v>1010.152152419893</v>
      </c>
      <c r="AQ57" s="39">
        <v>0</v>
      </c>
      <c r="AR57" s="52">
        <v>-1010.152152419893</v>
      </c>
      <c r="AS57" s="39">
        <v>2572.1818483559537</v>
      </c>
      <c r="AT57" s="39">
        <v>1967</v>
      </c>
      <c r="AU57" s="54">
        <v>-605.18184835595366</v>
      </c>
      <c r="AV57" s="39">
        <v>124.57062080146615</v>
      </c>
      <c r="AW57" s="39">
        <v>0</v>
      </c>
      <c r="AX57" s="55">
        <v>-124.57062080146615</v>
      </c>
      <c r="AY57" s="39">
        <v>153.61481567386699</v>
      </c>
      <c r="AZ57" s="39">
        <v>0</v>
      </c>
      <c r="BA57" s="35">
        <v>-153.61481567386699</v>
      </c>
      <c r="BB57" s="39">
        <v>187.39808963912321</v>
      </c>
      <c r="BC57" s="39">
        <v>0</v>
      </c>
      <c r="BD57" s="55">
        <v>-187.39808963912321</v>
      </c>
      <c r="BE57" s="39">
        <v>0</v>
      </c>
      <c r="BF57" s="39">
        <v>0</v>
      </c>
      <c r="BG57" s="38">
        <v>0</v>
      </c>
      <c r="BH57" s="39">
        <v>0</v>
      </c>
      <c r="BI57" s="39">
        <v>0</v>
      </c>
      <c r="BJ57" s="55">
        <v>0</v>
      </c>
      <c r="BK57" s="39">
        <v>60.056140153587386</v>
      </c>
      <c r="BL57" s="39">
        <v>291</v>
      </c>
      <c r="BM57" s="38">
        <v>230.94385984641261</v>
      </c>
      <c r="BN57" s="39">
        <v>0</v>
      </c>
      <c r="BO57" s="39">
        <v>0</v>
      </c>
      <c r="BP57" s="55">
        <v>0</v>
      </c>
      <c r="BQ57" s="77">
        <v>525.6396662680437</v>
      </c>
      <c r="BR57" s="40">
        <v>291</v>
      </c>
      <c r="BS57" s="55">
        <v>-234.6396662680437</v>
      </c>
      <c r="BT57" s="39">
        <v>3640.4352898710845</v>
      </c>
      <c r="BU57" s="39">
        <v>924.86809635112127</v>
      </c>
      <c r="BV57" s="52">
        <v>-2715.5671935199634</v>
      </c>
      <c r="BW57" s="39">
        <v>1221.3599418250965</v>
      </c>
      <c r="BX57" s="39">
        <v>2928.0032752900333</v>
      </c>
      <c r="BY57" s="52">
        <v>1706.6433334649369</v>
      </c>
      <c r="BZ57" s="39">
        <v>1030.4528251461522</v>
      </c>
      <c r="CA57" s="39">
        <v>3992.9705664975581</v>
      </c>
      <c r="CB57" s="52">
        <v>2962.5177413514057</v>
      </c>
      <c r="CC57" s="39">
        <v>162.94942632829839</v>
      </c>
      <c r="CD57" s="39">
        <v>160.76132245929506</v>
      </c>
      <c r="CE57" s="52">
        <v>-2.1881038690033279</v>
      </c>
      <c r="CF57" s="39">
        <v>20.060061953294309</v>
      </c>
      <c r="CG57" s="39">
        <v>0</v>
      </c>
      <c r="CH57" s="52">
        <v>-20.060061953294309</v>
      </c>
      <c r="CI57" s="39">
        <v>639.51544355406463</v>
      </c>
      <c r="CJ57" s="39">
        <v>1892.2288439342701</v>
      </c>
      <c r="CK57" s="52">
        <v>1252.7134003802055</v>
      </c>
      <c r="CL57" s="39">
        <v>0</v>
      </c>
      <c r="CM57" s="39">
        <v>0</v>
      </c>
      <c r="CN57" s="52">
        <v>0</v>
      </c>
      <c r="CO57" s="39">
        <v>639.51544355406463</v>
      </c>
      <c r="CP57" s="40">
        <v>1892.2288439342701</v>
      </c>
      <c r="CQ57" s="52">
        <v>1252.7134003802055</v>
      </c>
      <c r="CR57" s="72">
        <v>13598.865604750023</v>
      </c>
      <c r="CS57" s="5">
        <v>14632.729063224428</v>
      </c>
      <c r="CT57" s="52">
        <v>1033.863458474405</v>
      </c>
      <c r="CU57" s="77">
        <v>16318.638725700026</v>
      </c>
      <c r="CV57" s="65">
        <v>17559.274875869312</v>
      </c>
      <c r="CW57" s="35">
        <v>1240.6361501692863</v>
      </c>
      <c r="CX57" s="39">
        <v>0</v>
      </c>
      <c r="CY57" s="39">
        <v>-1240.6361501692854</v>
      </c>
      <c r="CZ57" s="52">
        <v>-1240.6361501692854</v>
      </c>
      <c r="DA57" s="150">
        <v>95560.229321075938</v>
      </c>
      <c r="DB57" s="2">
        <v>2</v>
      </c>
      <c r="DC57" s="713">
        <v>14140.81</v>
      </c>
      <c r="DD57" s="714"/>
      <c r="DE57" s="715">
        <v>5981.4906371499865</v>
      </c>
      <c r="DF57" s="716">
        <v>0</v>
      </c>
      <c r="DG57" s="717">
        <v>5266.3262268242543</v>
      </c>
      <c r="DH57" s="718">
        <v>78490.657810451681</v>
      </c>
      <c r="DI57" s="718">
        <v>195823.66470840032</v>
      </c>
      <c r="DJ57" s="693">
        <v>166490.41298391318</v>
      </c>
      <c r="DK57" s="724"/>
      <c r="DL57" s="5"/>
      <c r="DM57" s="306">
        <v>5.5532017714898343</v>
      </c>
      <c r="DN57" s="306"/>
      <c r="DO57" s="306">
        <v>5.0544500086809743</v>
      </c>
      <c r="DP57" s="719">
        <v>8159.319362850013</v>
      </c>
      <c r="DQ57" s="720">
        <v>0</v>
      </c>
      <c r="DR57" s="650">
        <v>8159.319362850013</v>
      </c>
      <c r="DS57" s="94">
        <v>8159.319362850013</v>
      </c>
      <c r="DT57" s="719">
        <v>8157.67</v>
      </c>
      <c r="DU57" s="721"/>
      <c r="DV57" s="93">
        <v>8157.67</v>
      </c>
      <c r="DW57" s="95">
        <v>8159.319362850013</v>
      </c>
      <c r="DX57" s="28">
        <v>-1.6493628500129489</v>
      </c>
      <c r="EA57" s="5">
        <v>3717.3858175487967</v>
      </c>
      <c r="EB57" s="5">
        <v>2709.6</v>
      </c>
      <c r="EE57" s="722">
        <v>30866.182180271444</v>
      </c>
      <c r="EG57" s="42" t="s">
        <v>208</v>
      </c>
    </row>
    <row r="58" spans="1:137" x14ac:dyDescent="0.3">
      <c r="A58" s="325">
        <v>150000514</v>
      </c>
      <c r="B58" s="41" t="s">
        <v>513</v>
      </c>
      <c r="C58" s="42" t="s">
        <v>152</v>
      </c>
      <c r="D58" s="27">
        <v>2</v>
      </c>
      <c r="E58" s="709">
        <v>253.5</v>
      </c>
      <c r="F58" s="723">
        <v>253.5</v>
      </c>
      <c r="G58" s="28"/>
      <c r="H58" s="651">
        <v>0</v>
      </c>
      <c r="I58" s="39">
        <v>242.61489492325532</v>
      </c>
      <c r="J58" s="39">
        <v>261.51567394746007</v>
      </c>
      <c r="K58" s="52">
        <v>18.900779024204752</v>
      </c>
      <c r="L58" s="39">
        <v>47.738284400156573</v>
      </c>
      <c r="M58" s="39">
        <v>51.869704745291941</v>
      </c>
      <c r="N58" s="52">
        <v>4.1314203451353677</v>
      </c>
      <c r="O58" s="39">
        <v>64.08</v>
      </c>
      <c r="P58" s="39">
        <v>64.08</v>
      </c>
      <c r="Q58" s="52">
        <v>0</v>
      </c>
      <c r="R58" s="39">
        <v>0</v>
      </c>
      <c r="S58" s="39">
        <v>0</v>
      </c>
      <c r="T58" s="52">
        <v>0</v>
      </c>
      <c r="U58" s="39">
        <v>0</v>
      </c>
      <c r="V58" s="39">
        <v>0</v>
      </c>
      <c r="W58" s="52">
        <v>0</v>
      </c>
      <c r="X58" s="39">
        <v>160.71800817894464</v>
      </c>
      <c r="Y58" s="39">
        <v>249.96283056184421</v>
      </c>
      <c r="Z58" s="52">
        <v>89.244822382899571</v>
      </c>
      <c r="AA58" s="39">
        <v>0</v>
      </c>
      <c r="AB58" s="39">
        <v>0</v>
      </c>
      <c r="AC58" s="52">
        <v>0</v>
      </c>
      <c r="AD58" s="39">
        <v>180.65388227787005</v>
      </c>
      <c r="AE58" s="39">
        <v>151.5896267110669</v>
      </c>
      <c r="AF58" s="35">
        <v>-29.064255566803155</v>
      </c>
      <c r="AG58" s="77">
        <v>695.80506978022652</v>
      </c>
      <c r="AH58" s="53">
        <v>779.01783596566304</v>
      </c>
      <c r="AI58" s="52">
        <v>83.212766185436521</v>
      </c>
      <c r="AJ58" s="39">
        <v>0</v>
      </c>
      <c r="AK58" s="39">
        <v>0</v>
      </c>
      <c r="AL58" s="52">
        <v>0</v>
      </c>
      <c r="AM58" s="39">
        <v>0</v>
      </c>
      <c r="AN58" s="39">
        <v>0</v>
      </c>
      <c r="AO58" s="52">
        <v>0</v>
      </c>
      <c r="AP58" s="39">
        <v>94.701764289364974</v>
      </c>
      <c r="AQ58" s="39">
        <v>280.55655956088953</v>
      </c>
      <c r="AR58" s="52">
        <v>185.85479527152455</v>
      </c>
      <c r="AS58" s="39">
        <v>840.80559216705501</v>
      </c>
      <c r="AT58" s="39">
        <v>0</v>
      </c>
      <c r="AU58" s="54">
        <v>-840.80559216705501</v>
      </c>
      <c r="AV58" s="39">
        <v>51.794461945442009</v>
      </c>
      <c r="AW58" s="39">
        <v>0</v>
      </c>
      <c r="AX58" s="55">
        <v>-51.794461945442009</v>
      </c>
      <c r="AY58" s="39">
        <v>61.550813104250835</v>
      </c>
      <c r="AZ58" s="39">
        <v>0</v>
      </c>
      <c r="BA58" s="35">
        <v>-61.550813104250835</v>
      </c>
      <c r="BB58" s="39">
        <v>12.103661341664061</v>
      </c>
      <c r="BC58" s="39">
        <v>0</v>
      </c>
      <c r="BD58" s="55">
        <v>-12.103661341664061</v>
      </c>
      <c r="BE58" s="39">
        <v>0</v>
      </c>
      <c r="BF58" s="39">
        <v>0</v>
      </c>
      <c r="BG58" s="38">
        <v>0</v>
      </c>
      <c r="BH58" s="39">
        <v>0</v>
      </c>
      <c r="BI58" s="39">
        <v>0</v>
      </c>
      <c r="BJ58" s="55">
        <v>0</v>
      </c>
      <c r="BK58" s="39">
        <v>13.131198850039331</v>
      </c>
      <c r="BL58" s="39">
        <v>711</v>
      </c>
      <c r="BM58" s="38">
        <v>697.86880114996063</v>
      </c>
      <c r="BN58" s="39">
        <v>0</v>
      </c>
      <c r="BO58" s="39">
        <v>0</v>
      </c>
      <c r="BP58" s="55">
        <v>0</v>
      </c>
      <c r="BQ58" s="77">
        <v>138.58013524139625</v>
      </c>
      <c r="BR58" s="40">
        <v>711</v>
      </c>
      <c r="BS58" s="55">
        <v>572.41986475860381</v>
      </c>
      <c r="BT58" s="39">
        <v>0</v>
      </c>
      <c r="BU58" s="39">
        <v>0</v>
      </c>
      <c r="BV58" s="52">
        <v>0</v>
      </c>
      <c r="BW58" s="39">
        <v>31.459001284102019</v>
      </c>
      <c r="BX58" s="39">
        <v>639.9249162019604</v>
      </c>
      <c r="BY58" s="52">
        <v>608.46591491785841</v>
      </c>
      <c r="BZ58" s="39">
        <v>0</v>
      </c>
      <c r="CA58" s="39">
        <v>0</v>
      </c>
      <c r="CB58" s="52">
        <v>0</v>
      </c>
      <c r="CC58" s="39">
        <v>0</v>
      </c>
      <c r="CD58" s="39">
        <v>0</v>
      </c>
      <c r="CE58" s="52">
        <v>0</v>
      </c>
      <c r="CF58" s="39">
        <v>0</v>
      </c>
      <c r="CG58" s="39">
        <v>0</v>
      </c>
      <c r="CH58" s="52">
        <v>0</v>
      </c>
      <c r="CI58" s="39">
        <v>40.554637883916286</v>
      </c>
      <c r="CJ58" s="39">
        <v>36.93821554202399</v>
      </c>
      <c r="CK58" s="52">
        <v>-3.6164223418922958</v>
      </c>
      <c r="CL58" s="39">
        <v>0</v>
      </c>
      <c r="CM58" s="39">
        <v>0</v>
      </c>
      <c r="CN58" s="52">
        <v>0</v>
      </c>
      <c r="CO58" s="39">
        <v>40.554637883916286</v>
      </c>
      <c r="CP58" s="40">
        <v>36.93821554202399</v>
      </c>
      <c r="CQ58" s="52">
        <v>-3.6164223418922958</v>
      </c>
      <c r="CR58" s="72">
        <v>1841.9062006460608</v>
      </c>
      <c r="CS58" s="5">
        <v>2447.437527270537</v>
      </c>
      <c r="CT58" s="52">
        <v>605.53132662447615</v>
      </c>
      <c r="CU58" s="77">
        <v>2210.2874407752729</v>
      </c>
      <c r="CV58" s="65">
        <v>2936.9250327246441</v>
      </c>
      <c r="CW58" s="35">
        <v>726.6375919493712</v>
      </c>
      <c r="CX58" s="39">
        <v>33.15431161162909</v>
      </c>
      <c r="CY58" s="39">
        <v>-693.48328033774237</v>
      </c>
      <c r="CZ58" s="52">
        <v>-726.63759194937143</v>
      </c>
      <c r="DA58" s="150">
        <v>-19574.276656998467</v>
      </c>
      <c r="DB58" s="2">
        <v>2</v>
      </c>
      <c r="DC58" s="713">
        <v>1121.71</v>
      </c>
      <c r="DD58" s="714"/>
      <c r="DE58" s="715">
        <v>-1.0876193450940264E-2</v>
      </c>
      <c r="DF58" s="716">
        <v>0</v>
      </c>
      <c r="DG58" s="717">
        <v>-10109.896153647082</v>
      </c>
      <c r="DH58" s="718">
        <v>10740.401705728607</v>
      </c>
      <c r="DI58" s="718">
        <v>26921.301028642825</v>
      </c>
      <c r="DJ58" s="693">
        <v>22876.076197914274</v>
      </c>
      <c r="DK58" s="724"/>
      <c r="DL58" s="5"/>
      <c r="DM58" s="306">
        <v>4.4249344228538501</v>
      </c>
      <c r="DN58" s="306"/>
      <c r="DO58" s="306">
        <v>4.3493583605973685</v>
      </c>
      <c r="DP58" s="719">
        <v>1121.720876193451</v>
      </c>
      <c r="DQ58" s="720">
        <v>0</v>
      </c>
      <c r="DR58" s="650">
        <v>1121.720876193451</v>
      </c>
      <c r="DS58" s="94">
        <v>1121.720876193451</v>
      </c>
      <c r="DT58" s="719">
        <v>1121.71</v>
      </c>
      <c r="DU58" s="721"/>
      <c r="DV58" s="93">
        <v>1121.71</v>
      </c>
      <c r="DW58" s="95">
        <v>1125.0363073546139</v>
      </c>
      <c r="DX58" s="28">
        <v>-3.3263073546138457</v>
      </c>
      <c r="EA58" s="5">
        <v>1175.2628728901414</v>
      </c>
      <c r="EB58" s="5">
        <v>853.19999999999993</v>
      </c>
      <c r="EE58" s="722">
        <v>10089.667106004661</v>
      </c>
      <c r="EG58" s="42" t="s">
        <v>152</v>
      </c>
    </row>
    <row r="59" spans="1:137" x14ac:dyDescent="0.3">
      <c r="A59" s="325">
        <v>150000515</v>
      </c>
      <c r="B59" s="41" t="s">
        <v>514</v>
      </c>
      <c r="C59" s="42" t="s">
        <v>54</v>
      </c>
      <c r="D59" s="27">
        <v>1</v>
      </c>
      <c r="E59" s="709">
        <v>200.6</v>
      </c>
      <c r="F59" s="723">
        <v>200.6</v>
      </c>
      <c r="G59" s="28"/>
      <c r="H59" s="651">
        <v>0</v>
      </c>
      <c r="I59" s="39">
        <v>0</v>
      </c>
      <c r="J59" s="39">
        <v>0</v>
      </c>
      <c r="K59" s="52">
        <v>0</v>
      </c>
      <c r="L59" s="39">
        <v>0</v>
      </c>
      <c r="M59" s="39">
        <v>0</v>
      </c>
      <c r="N59" s="52">
        <v>0</v>
      </c>
      <c r="O59" s="39">
        <v>0</v>
      </c>
      <c r="P59" s="39">
        <v>0</v>
      </c>
      <c r="Q59" s="52">
        <v>0</v>
      </c>
      <c r="R59" s="39">
        <v>0</v>
      </c>
      <c r="S59" s="39">
        <v>0</v>
      </c>
      <c r="T59" s="52">
        <v>0</v>
      </c>
      <c r="U59" s="39">
        <v>0</v>
      </c>
      <c r="V59" s="39">
        <v>0</v>
      </c>
      <c r="W59" s="52">
        <v>0</v>
      </c>
      <c r="X59" s="39">
        <v>0</v>
      </c>
      <c r="Y59" s="39">
        <v>0</v>
      </c>
      <c r="Z59" s="52">
        <v>0</v>
      </c>
      <c r="AA59" s="39">
        <v>0</v>
      </c>
      <c r="AB59" s="39">
        <v>0</v>
      </c>
      <c r="AC59" s="52">
        <v>0</v>
      </c>
      <c r="AD59" s="39">
        <v>0</v>
      </c>
      <c r="AE59" s="39">
        <v>119.95613064394483</v>
      </c>
      <c r="AF59" s="35">
        <v>119.95613064394483</v>
      </c>
      <c r="AG59" s="77">
        <v>0</v>
      </c>
      <c r="AH59" s="53">
        <v>119.95613064394483</v>
      </c>
      <c r="AI59" s="52">
        <v>119.95613064394483</v>
      </c>
      <c r="AJ59" s="39">
        <v>0</v>
      </c>
      <c r="AK59" s="39">
        <v>0</v>
      </c>
      <c r="AL59" s="52">
        <v>0</v>
      </c>
      <c r="AM59" s="39">
        <v>0</v>
      </c>
      <c r="AN59" s="39">
        <v>0</v>
      </c>
      <c r="AO59" s="52">
        <v>0</v>
      </c>
      <c r="AP59" s="39">
        <v>94.701764289364974</v>
      </c>
      <c r="AQ59" s="39">
        <v>0</v>
      </c>
      <c r="AR59" s="52">
        <v>-94.701764289364974</v>
      </c>
      <c r="AS59" s="39">
        <v>449.68071273131363</v>
      </c>
      <c r="AT59" s="39">
        <v>0</v>
      </c>
      <c r="AU59" s="54">
        <v>-449.68071273131363</v>
      </c>
      <c r="AV59" s="39">
        <v>0</v>
      </c>
      <c r="AW59" s="39">
        <v>0</v>
      </c>
      <c r="AX59" s="55">
        <v>0</v>
      </c>
      <c r="AY59" s="39">
        <v>0</v>
      </c>
      <c r="AZ59" s="39">
        <v>0</v>
      </c>
      <c r="BA59" s="35">
        <v>0</v>
      </c>
      <c r="BB59" s="39">
        <v>0</v>
      </c>
      <c r="BC59" s="39">
        <v>0</v>
      </c>
      <c r="BD59" s="55">
        <v>0</v>
      </c>
      <c r="BE59" s="39">
        <v>0</v>
      </c>
      <c r="BF59" s="39">
        <v>0</v>
      </c>
      <c r="BG59" s="38">
        <v>0</v>
      </c>
      <c r="BH59" s="39">
        <v>0</v>
      </c>
      <c r="BI59" s="39">
        <v>0</v>
      </c>
      <c r="BJ59" s="55">
        <v>0</v>
      </c>
      <c r="BK59" s="39">
        <v>0</v>
      </c>
      <c r="BL59" s="39">
        <v>0</v>
      </c>
      <c r="BM59" s="38">
        <v>0</v>
      </c>
      <c r="BN59" s="39">
        <v>0</v>
      </c>
      <c r="BO59" s="39">
        <v>0</v>
      </c>
      <c r="BP59" s="55">
        <v>0</v>
      </c>
      <c r="BQ59" s="77">
        <v>0</v>
      </c>
      <c r="BR59" s="40">
        <v>0</v>
      </c>
      <c r="BS59" s="55">
        <v>0</v>
      </c>
      <c r="BT59" s="39">
        <v>27.914845879897086</v>
      </c>
      <c r="BU59" s="39">
        <v>11.019721419479733</v>
      </c>
      <c r="BV59" s="52">
        <v>-16.895124460417353</v>
      </c>
      <c r="BW59" s="39">
        <v>0</v>
      </c>
      <c r="BX59" s="39">
        <v>0.81201087208717659</v>
      </c>
      <c r="BY59" s="52">
        <v>0.81201087208717659</v>
      </c>
      <c r="BZ59" s="39">
        <v>0</v>
      </c>
      <c r="CA59" s="39">
        <v>43.090070161156973</v>
      </c>
      <c r="CB59" s="52">
        <v>43.090070161156973</v>
      </c>
      <c r="CC59" s="39">
        <v>0</v>
      </c>
      <c r="CD59" s="39">
        <v>0</v>
      </c>
      <c r="CE59" s="52">
        <v>0</v>
      </c>
      <c r="CF59" s="39">
        <v>0</v>
      </c>
      <c r="CG59" s="39">
        <v>0</v>
      </c>
      <c r="CH59" s="52">
        <v>0</v>
      </c>
      <c r="CI59" s="39">
        <v>0</v>
      </c>
      <c r="CJ59" s="39">
        <v>0</v>
      </c>
      <c r="CK59" s="52">
        <v>0</v>
      </c>
      <c r="CL59" s="39">
        <v>0</v>
      </c>
      <c r="CM59" s="39">
        <v>0</v>
      </c>
      <c r="CN59" s="52">
        <v>0</v>
      </c>
      <c r="CO59" s="39">
        <v>0</v>
      </c>
      <c r="CP59" s="40">
        <v>0</v>
      </c>
      <c r="CQ59" s="52">
        <v>0</v>
      </c>
      <c r="CR59" s="72">
        <v>572.29732290057564</v>
      </c>
      <c r="CS59" s="5">
        <v>174.8779330966687</v>
      </c>
      <c r="CT59" s="52">
        <v>-397.41938980390694</v>
      </c>
      <c r="CU59" s="77">
        <v>686.75678748069072</v>
      </c>
      <c r="CV59" s="65">
        <v>209.85351971600244</v>
      </c>
      <c r="CW59" s="35">
        <v>-476.90326776468828</v>
      </c>
      <c r="CX59" s="39">
        <v>17.168919687017269</v>
      </c>
      <c r="CY59" s="39">
        <v>494.07218745170553</v>
      </c>
      <c r="CZ59" s="52">
        <v>476.90326776468828</v>
      </c>
      <c r="DA59" s="150">
        <v>-2398.7896050832742</v>
      </c>
      <c r="DB59" s="2">
        <v>2</v>
      </c>
      <c r="DC59" s="713">
        <v>600.41999999999996</v>
      </c>
      <c r="DD59" s="714"/>
      <c r="DE59" s="715">
        <v>248.45714641614597</v>
      </c>
      <c r="DF59" s="716">
        <v>0</v>
      </c>
      <c r="DG59" s="717">
        <v>788.67207169215089</v>
      </c>
      <c r="DH59" s="718">
        <v>3367.9451400515932</v>
      </c>
      <c r="DI59" s="718">
        <v>8447.1084860124956</v>
      </c>
      <c r="DJ59" s="693">
        <v>7177.3176495222706</v>
      </c>
      <c r="DK59" s="724"/>
      <c r="DL59" s="5"/>
      <c r="DM59" s="306">
        <v>1.7545506160710569</v>
      </c>
      <c r="DN59" s="306"/>
      <c r="DO59" s="306">
        <v>1.7545506160710569</v>
      </c>
      <c r="DP59" s="719">
        <v>351.96285358385398</v>
      </c>
      <c r="DQ59" s="720">
        <v>0</v>
      </c>
      <c r="DR59" s="650">
        <v>351.96285358385398</v>
      </c>
      <c r="DS59" s="94">
        <v>351.96285358385398</v>
      </c>
      <c r="DT59" s="719">
        <v>351.97</v>
      </c>
      <c r="DU59" s="721"/>
      <c r="DV59" s="93">
        <v>351.97</v>
      </c>
      <c r="DW59" s="95">
        <v>353.67974555255574</v>
      </c>
      <c r="DX59" s="28">
        <v>-1.7097455525557166</v>
      </c>
      <c r="EA59" s="5">
        <v>539.61685527757629</v>
      </c>
      <c r="EB59" s="5">
        <v>0</v>
      </c>
      <c r="EE59" s="722">
        <v>5396.1685527757636</v>
      </c>
      <c r="EG59" s="42" t="s">
        <v>54</v>
      </c>
    </row>
    <row r="60" spans="1:137" x14ac:dyDescent="0.3">
      <c r="A60" s="325">
        <v>150000539</v>
      </c>
      <c r="B60" s="41" t="s">
        <v>515</v>
      </c>
      <c r="C60" s="42" t="s">
        <v>55</v>
      </c>
      <c r="D60" s="27">
        <v>1</v>
      </c>
      <c r="E60" s="709">
        <v>83.8</v>
      </c>
      <c r="F60" s="723">
        <v>83.8</v>
      </c>
      <c r="G60" s="28"/>
      <c r="H60" s="651">
        <v>0</v>
      </c>
      <c r="I60" s="39">
        <v>0</v>
      </c>
      <c r="J60" s="39">
        <v>0</v>
      </c>
      <c r="K60" s="52">
        <v>0</v>
      </c>
      <c r="L60" s="39">
        <v>0</v>
      </c>
      <c r="M60" s="39">
        <v>0</v>
      </c>
      <c r="N60" s="52">
        <v>0</v>
      </c>
      <c r="O60" s="39">
        <v>0</v>
      </c>
      <c r="P60" s="39">
        <v>0</v>
      </c>
      <c r="Q60" s="52">
        <v>0</v>
      </c>
      <c r="R60" s="39">
        <v>0</v>
      </c>
      <c r="S60" s="39">
        <v>0</v>
      </c>
      <c r="T60" s="52">
        <v>0</v>
      </c>
      <c r="U60" s="39">
        <v>0</v>
      </c>
      <c r="V60" s="39">
        <v>0</v>
      </c>
      <c r="W60" s="52">
        <v>0</v>
      </c>
      <c r="X60" s="39">
        <v>0</v>
      </c>
      <c r="Y60" s="39">
        <v>0</v>
      </c>
      <c r="Z60" s="52">
        <v>0</v>
      </c>
      <c r="AA60" s="39">
        <v>0</v>
      </c>
      <c r="AB60" s="39">
        <v>0</v>
      </c>
      <c r="AC60" s="52">
        <v>0</v>
      </c>
      <c r="AD60" s="39">
        <v>0</v>
      </c>
      <c r="AE60" s="39">
        <v>50.111284885157417</v>
      </c>
      <c r="AF60" s="35">
        <v>50.111284885157417</v>
      </c>
      <c r="AG60" s="77">
        <v>0</v>
      </c>
      <c r="AH60" s="53">
        <v>50.111284885157417</v>
      </c>
      <c r="AI60" s="52">
        <v>50.111284885157417</v>
      </c>
      <c r="AJ60" s="39">
        <v>0</v>
      </c>
      <c r="AK60" s="39">
        <v>0</v>
      </c>
      <c r="AL60" s="52">
        <v>0</v>
      </c>
      <c r="AM60" s="39">
        <v>0</v>
      </c>
      <c r="AN60" s="39">
        <v>0</v>
      </c>
      <c r="AO60" s="52">
        <v>0</v>
      </c>
      <c r="AP60" s="39">
        <v>47.350882144682487</v>
      </c>
      <c r="AQ60" s="39">
        <v>0</v>
      </c>
      <c r="AR60" s="52">
        <v>-47.350882144682487</v>
      </c>
      <c r="AS60" s="39">
        <v>190.93821728022763</v>
      </c>
      <c r="AT60" s="39">
        <v>0</v>
      </c>
      <c r="AU60" s="54">
        <v>-190.93821728022763</v>
      </c>
      <c r="AV60" s="39">
        <v>0</v>
      </c>
      <c r="AW60" s="39">
        <v>0</v>
      </c>
      <c r="AX60" s="55">
        <v>0</v>
      </c>
      <c r="AY60" s="39">
        <v>0</v>
      </c>
      <c r="AZ60" s="39">
        <v>0</v>
      </c>
      <c r="BA60" s="35">
        <v>0</v>
      </c>
      <c r="BB60" s="39">
        <v>0</v>
      </c>
      <c r="BC60" s="39">
        <v>0</v>
      </c>
      <c r="BD60" s="55">
        <v>0</v>
      </c>
      <c r="BE60" s="39">
        <v>0</v>
      </c>
      <c r="BF60" s="39">
        <v>0</v>
      </c>
      <c r="BG60" s="38">
        <v>0</v>
      </c>
      <c r="BH60" s="39">
        <v>0</v>
      </c>
      <c r="BI60" s="39">
        <v>0</v>
      </c>
      <c r="BJ60" s="55">
        <v>0</v>
      </c>
      <c r="BK60" s="39">
        <v>0</v>
      </c>
      <c r="BL60" s="39">
        <v>0</v>
      </c>
      <c r="BM60" s="38">
        <v>0</v>
      </c>
      <c r="BN60" s="39">
        <v>0</v>
      </c>
      <c r="BO60" s="39">
        <v>0</v>
      </c>
      <c r="BP60" s="55">
        <v>0</v>
      </c>
      <c r="BQ60" s="77">
        <v>0</v>
      </c>
      <c r="BR60" s="40">
        <v>0</v>
      </c>
      <c r="BS60" s="55">
        <v>0</v>
      </c>
      <c r="BT60" s="39">
        <v>11.963505377098754</v>
      </c>
      <c r="BU60" s="39">
        <v>4.7256857772675263</v>
      </c>
      <c r="BV60" s="52">
        <v>-7.2378195998312274</v>
      </c>
      <c r="BW60" s="39">
        <v>0</v>
      </c>
      <c r="BX60" s="39">
        <v>0.33921491067250942</v>
      </c>
      <c r="BY60" s="52">
        <v>0.33921491067250942</v>
      </c>
      <c r="BZ60" s="39">
        <v>0</v>
      </c>
      <c r="CA60" s="39">
        <v>18.457689062887177</v>
      </c>
      <c r="CB60" s="52">
        <v>18.457689062887177</v>
      </c>
      <c r="CC60" s="39">
        <v>0</v>
      </c>
      <c r="CD60" s="39">
        <v>0</v>
      </c>
      <c r="CE60" s="52">
        <v>0</v>
      </c>
      <c r="CF60" s="39">
        <v>0</v>
      </c>
      <c r="CG60" s="39">
        <v>0</v>
      </c>
      <c r="CH60" s="52">
        <v>0</v>
      </c>
      <c r="CI60" s="39">
        <v>0</v>
      </c>
      <c r="CJ60" s="39">
        <v>0</v>
      </c>
      <c r="CK60" s="52">
        <v>0</v>
      </c>
      <c r="CL60" s="39">
        <v>0</v>
      </c>
      <c r="CM60" s="39">
        <v>0</v>
      </c>
      <c r="CN60" s="52">
        <v>0</v>
      </c>
      <c r="CO60" s="39">
        <v>0</v>
      </c>
      <c r="CP60" s="40">
        <v>0</v>
      </c>
      <c r="CQ60" s="52">
        <v>0</v>
      </c>
      <c r="CR60" s="72">
        <v>250.25260480200888</v>
      </c>
      <c r="CS60" s="5">
        <v>73.633874635984625</v>
      </c>
      <c r="CT60" s="52">
        <v>-176.61873016602425</v>
      </c>
      <c r="CU60" s="77">
        <v>300.30312576241062</v>
      </c>
      <c r="CV60" s="65">
        <v>88.360649563181553</v>
      </c>
      <c r="CW60" s="35">
        <v>-211.94247619922908</v>
      </c>
      <c r="CX60" s="39">
        <v>7.5075781440602674</v>
      </c>
      <c r="CY60" s="39">
        <v>219.45005434328937</v>
      </c>
      <c r="CZ60" s="52">
        <v>211.94247619922911</v>
      </c>
      <c r="DA60" s="150">
        <v>10197.542532243975</v>
      </c>
      <c r="DB60" s="2">
        <v>2</v>
      </c>
      <c r="DC60" s="713">
        <v>219.25</v>
      </c>
      <c r="DD60" s="714"/>
      <c r="DE60" s="715">
        <v>65.344648046764519</v>
      </c>
      <c r="DF60" s="716">
        <v>0</v>
      </c>
      <c r="DG60" s="717">
        <v>11576.474067544979</v>
      </c>
      <c r="DH60" s="718">
        <v>1476.009475936773</v>
      </c>
      <c r="DI60" s="718">
        <v>3693.7284468776506</v>
      </c>
      <c r="DJ60" s="693">
        <v>3139.2987041424312</v>
      </c>
      <c r="DK60" s="724"/>
      <c r="DL60" s="5"/>
      <c r="DM60" s="306">
        <v>1.8365793789168912</v>
      </c>
      <c r="DN60" s="306"/>
      <c r="DO60" s="306">
        <v>1.8365793789168912</v>
      </c>
      <c r="DP60" s="719">
        <v>153.90535195323548</v>
      </c>
      <c r="DQ60" s="720">
        <v>0</v>
      </c>
      <c r="DR60" s="650">
        <v>153.90535195323548</v>
      </c>
      <c r="DS60" s="94">
        <v>153.90535195323542</v>
      </c>
      <c r="DT60" s="719">
        <v>153.9</v>
      </c>
      <c r="DU60" s="721"/>
      <c r="DV60" s="93">
        <v>153.9</v>
      </c>
      <c r="DW60" s="95">
        <v>154.65610976764148</v>
      </c>
      <c r="DX60" s="28">
        <v>-0.75610976764147608</v>
      </c>
      <c r="EA60" s="5">
        <v>229.12586073627315</v>
      </c>
      <c r="EB60" s="5">
        <v>0</v>
      </c>
      <c r="EE60" s="722">
        <v>2291.2586073627317</v>
      </c>
      <c r="EG60" s="42" t="s">
        <v>55</v>
      </c>
    </row>
    <row r="61" spans="1:137" x14ac:dyDescent="0.3">
      <c r="A61" s="325">
        <v>150000517</v>
      </c>
      <c r="B61" s="41" t="s">
        <v>517</v>
      </c>
      <c r="C61" s="42" t="s">
        <v>252</v>
      </c>
      <c r="D61" s="27">
        <v>5</v>
      </c>
      <c r="E61" s="709">
        <v>1894.8000000000002</v>
      </c>
      <c r="F61" s="723">
        <v>1531.9</v>
      </c>
      <c r="G61" s="28"/>
      <c r="H61" s="651">
        <v>362.9</v>
      </c>
      <c r="I61" s="39">
        <v>1042.9318580776642</v>
      </c>
      <c r="J61" s="39">
        <v>1122.2120091993193</v>
      </c>
      <c r="K61" s="52">
        <v>79.280151121655081</v>
      </c>
      <c r="L61" s="39">
        <v>194.40384537113721</v>
      </c>
      <c r="M61" s="39">
        <v>211.2297273821703</v>
      </c>
      <c r="N61" s="52">
        <v>16.825882011033087</v>
      </c>
      <c r="O61" s="39">
        <v>399.14</v>
      </c>
      <c r="P61" s="39">
        <v>399.14</v>
      </c>
      <c r="Q61" s="52">
        <v>0</v>
      </c>
      <c r="R61" s="39">
        <v>0</v>
      </c>
      <c r="S61" s="39">
        <v>0</v>
      </c>
      <c r="T61" s="52">
        <v>0</v>
      </c>
      <c r="U61" s="39">
        <v>0</v>
      </c>
      <c r="V61" s="39">
        <v>0</v>
      </c>
      <c r="W61" s="52">
        <v>0</v>
      </c>
      <c r="X61" s="39">
        <v>516.65099587113502</v>
      </c>
      <c r="Y61" s="39">
        <v>465.63876453231154</v>
      </c>
      <c r="Z61" s="52">
        <v>-51.012231338823483</v>
      </c>
      <c r="AA61" s="39">
        <v>0</v>
      </c>
      <c r="AB61" s="39">
        <v>0</v>
      </c>
      <c r="AC61" s="52">
        <v>0</v>
      </c>
      <c r="AD61" s="39">
        <v>1350.307598185831</v>
      </c>
      <c r="AE61" s="39">
        <v>1133.0651861622468</v>
      </c>
      <c r="AF61" s="35">
        <v>-217.24241202358417</v>
      </c>
      <c r="AG61" s="77">
        <v>3503.4342975057671</v>
      </c>
      <c r="AH61" s="53">
        <v>3331.2856872760481</v>
      </c>
      <c r="AI61" s="52">
        <v>-172.148610229719</v>
      </c>
      <c r="AJ61" s="39">
        <v>0</v>
      </c>
      <c r="AK61" s="39">
        <v>0</v>
      </c>
      <c r="AL61" s="52">
        <v>0</v>
      </c>
      <c r="AM61" s="39">
        <v>0</v>
      </c>
      <c r="AN61" s="39">
        <v>0</v>
      </c>
      <c r="AO61" s="52">
        <v>0</v>
      </c>
      <c r="AP61" s="39">
        <v>781.28955538726109</v>
      </c>
      <c r="AQ61" s="39">
        <v>1750.1501767065547</v>
      </c>
      <c r="AR61" s="52">
        <v>968.86062131929361</v>
      </c>
      <c r="AS61" s="39">
        <v>3798.1378183901502</v>
      </c>
      <c r="AT61" s="39">
        <v>35.613354991803135</v>
      </c>
      <c r="AU61" s="54">
        <v>-3762.5244633983471</v>
      </c>
      <c r="AV61" s="39">
        <v>172.97663207927951</v>
      </c>
      <c r="AW61" s="39">
        <v>0</v>
      </c>
      <c r="AX61" s="55">
        <v>-172.97663207927951</v>
      </c>
      <c r="AY61" s="39">
        <v>250.58315269130659</v>
      </c>
      <c r="AZ61" s="39">
        <v>0</v>
      </c>
      <c r="BA61" s="35">
        <v>-250.58315269130659</v>
      </c>
      <c r="BB61" s="39">
        <v>245.82574354996487</v>
      </c>
      <c r="BC61" s="39">
        <v>0</v>
      </c>
      <c r="BD61" s="55">
        <v>-245.82574354996487</v>
      </c>
      <c r="BE61" s="39">
        <v>0</v>
      </c>
      <c r="BF61" s="39">
        <v>0</v>
      </c>
      <c r="BG61" s="38">
        <v>0</v>
      </c>
      <c r="BH61" s="39">
        <v>0</v>
      </c>
      <c r="BI61" s="39">
        <v>0</v>
      </c>
      <c r="BJ61" s="55">
        <v>0</v>
      </c>
      <c r="BK61" s="39">
        <v>65.725579801306026</v>
      </c>
      <c r="BL61" s="39">
        <v>711</v>
      </c>
      <c r="BM61" s="38">
        <v>645.27442019869397</v>
      </c>
      <c r="BN61" s="39">
        <v>0</v>
      </c>
      <c r="BO61" s="39">
        <v>0</v>
      </c>
      <c r="BP61" s="55">
        <v>0</v>
      </c>
      <c r="BQ61" s="77">
        <v>735.111108121857</v>
      </c>
      <c r="BR61" s="40">
        <v>711</v>
      </c>
      <c r="BS61" s="55">
        <v>-24.111108121857001</v>
      </c>
      <c r="BT61" s="39">
        <v>1555.6207516672716</v>
      </c>
      <c r="BU61" s="39">
        <v>501.12218962164843</v>
      </c>
      <c r="BV61" s="52">
        <v>-1054.4985620456232</v>
      </c>
      <c r="BW61" s="39">
        <v>1299.4342977627225</v>
      </c>
      <c r="BX61" s="39">
        <v>3020.5104144929569</v>
      </c>
      <c r="BY61" s="52">
        <v>1721.0761167302344</v>
      </c>
      <c r="BZ61" s="39">
        <v>870.46063115447839</v>
      </c>
      <c r="CA61" s="39">
        <v>2266.8711665858941</v>
      </c>
      <c r="CB61" s="52">
        <v>1396.4105354314156</v>
      </c>
      <c r="CC61" s="39">
        <v>0</v>
      </c>
      <c r="CD61" s="39">
        <v>0</v>
      </c>
      <c r="CE61" s="52">
        <v>0</v>
      </c>
      <c r="CF61" s="39">
        <v>0</v>
      </c>
      <c r="CG61" s="39">
        <v>0</v>
      </c>
      <c r="CH61" s="52">
        <v>0</v>
      </c>
      <c r="CI61" s="39">
        <v>486.65565460699548</v>
      </c>
      <c r="CJ61" s="39">
        <v>352.47967148300057</v>
      </c>
      <c r="CK61" s="52">
        <v>-134.17598312399491</v>
      </c>
      <c r="CL61" s="39">
        <v>0</v>
      </c>
      <c r="CM61" s="39">
        <v>0</v>
      </c>
      <c r="CN61" s="52">
        <v>0</v>
      </c>
      <c r="CO61" s="39">
        <v>486.65565460699548</v>
      </c>
      <c r="CP61" s="40">
        <v>352.47967148300057</v>
      </c>
      <c r="CQ61" s="52">
        <v>-134.17598312399491</v>
      </c>
      <c r="CR61" s="72">
        <v>13030.144114596502</v>
      </c>
      <c r="CS61" s="5">
        <v>11969.032661157906</v>
      </c>
      <c r="CT61" s="52">
        <v>-1061.1114534385961</v>
      </c>
      <c r="CU61" s="77">
        <v>15636.172937515801</v>
      </c>
      <c r="CV61" s="65">
        <v>14362.839193389487</v>
      </c>
      <c r="CW61" s="35">
        <v>-1273.3337441263138</v>
      </c>
      <c r="CX61" s="39">
        <v>547.26605281305308</v>
      </c>
      <c r="CY61" s="39">
        <v>1820.5997969393666</v>
      </c>
      <c r="CZ61" s="52">
        <v>1273.3337441263134</v>
      </c>
      <c r="DA61" s="150">
        <v>97258.419488214058</v>
      </c>
      <c r="DB61" s="2">
        <v>2</v>
      </c>
      <c r="DC61" s="713">
        <v>29857.52</v>
      </c>
      <c r="DD61" s="714">
        <v>2767.7299999999996</v>
      </c>
      <c r="DE61" s="715">
        <v>23161.010195547256</v>
      </c>
      <c r="DF61" s="716">
        <v>1372.5203092883175</v>
      </c>
      <c r="DG61" s="717">
        <v>-10802.374074971569</v>
      </c>
      <c r="DH61" s="718">
        <v>79403.228512812013</v>
      </c>
      <c r="DI61" s="718">
        <v>194201.26788394625</v>
      </c>
      <c r="DJ61" s="693">
        <v>165501.75804116268</v>
      </c>
      <c r="DK61" s="724"/>
      <c r="DL61" s="5"/>
      <c r="DM61" s="306">
        <v>4.3713752884997348</v>
      </c>
      <c r="DN61" s="306"/>
      <c r="DO61" s="306">
        <v>3.8446119887343126</v>
      </c>
      <c r="DP61" s="719">
        <v>6696.509804452744</v>
      </c>
      <c r="DQ61" s="720">
        <v>1395.209690711682</v>
      </c>
      <c r="DR61" s="650">
        <v>8091.719495164426</v>
      </c>
      <c r="DS61" s="94">
        <v>8091.7194951644278</v>
      </c>
      <c r="DT61" s="719">
        <v>6694.78</v>
      </c>
      <c r="DU61" s="725">
        <v>1395.21</v>
      </c>
      <c r="DV61" s="93">
        <v>8089.99</v>
      </c>
      <c r="DW61" s="95">
        <v>8146.4461004457326</v>
      </c>
      <c r="DX61" s="28">
        <v>-56.456100445732773</v>
      </c>
      <c r="EA61" s="5">
        <v>5439.8987118144087</v>
      </c>
      <c r="EB61" s="5">
        <v>895.93602599016378</v>
      </c>
      <c r="EE61" s="722">
        <v>45577.6538206818</v>
      </c>
      <c r="EG61" s="42" t="s">
        <v>252</v>
      </c>
    </row>
    <row r="62" spans="1:137" x14ac:dyDescent="0.3">
      <c r="A62" s="325">
        <v>150000518</v>
      </c>
      <c r="B62" s="41" t="s">
        <v>518</v>
      </c>
      <c r="C62" s="42" t="s">
        <v>195</v>
      </c>
      <c r="D62" s="27">
        <v>3</v>
      </c>
      <c r="E62" s="709">
        <v>847.5</v>
      </c>
      <c r="F62" s="723">
        <v>783.2</v>
      </c>
      <c r="G62" s="28"/>
      <c r="H62" s="651">
        <v>64.3</v>
      </c>
      <c r="I62" s="39">
        <v>599.7820158470247</v>
      </c>
      <c r="J62" s="39">
        <v>643.68414552473007</v>
      </c>
      <c r="K62" s="52">
        <v>43.902129677705375</v>
      </c>
      <c r="L62" s="39">
        <v>133.00565640834853</v>
      </c>
      <c r="M62" s="39">
        <v>144.51714225005412</v>
      </c>
      <c r="N62" s="52">
        <v>11.511485841705593</v>
      </c>
      <c r="O62" s="39">
        <v>189.66</v>
      </c>
      <c r="P62" s="39">
        <v>189.66</v>
      </c>
      <c r="Q62" s="52">
        <v>0</v>
      </c>
      <c r="R62" s="39">
        <v>0</v>
      </c>
      <c r="S62" s="39">
        <v>0</v>
      </c>
      <c r="T62" s="52">
        <v>0</v>
      </c>
      <c r="U62" s="39">
        <v>0</v>
      </c>
      <c r="V62" s="39">
        <v>0</v>
      </c>
      <c r="W62" s="52">
        <v>0</v>
      </c>
      <c r="X62" s="39">
        <v>391.21773853144077</v>
      </c>
      <c r="Y62" s="39">
        <v>222.34728131361453</v>
      </c>
      <c r="Z62" s="52">
        <v>-168.87045721782624</v>
      </c>
      <c r="AA62" s="39">
        <v>0</v>
      </c>
      <c r="AB62" s="39">
        <v>0</v>
      </c>
      <c r="AC62" s="52">
        <v>0</v>
      </c>
      <c r="AD62" s="39">
        <v>603.9612040650685</v>
      </c>
      <c r="AE62" s="39">
        <v>506.79372243640705</v>
      </c>
      <c r="AF62" s="35">
        <v>-97.167481628661449</v>
      </c>
      <c r="AG62" s="77">
        <v>1917.6266148518826</v>
      </c>
      <c r="AH62" s="53">
        <v>1707.0022915248057</v>
      </c>
      <c r="AI62" s="52">
        <v>-210.62432332707681</v>
      </c>
      <c r="AJ62" s="39">
        <v>0</v>
      </c>
      <c r="AK62" s="39">
        <v>0</v>
      </c>
      <c r="AL62" s="52">
        <v>0</v>
      </c>
      <c r="AM62" s="39">
        <v>0</v>
      </c>
      <c r="AN62" s="39">
        <v>0</v>
      </c>
      <c r="AO62" s="52">
        <v>0</v>
      </c>
      <c r="AP62" s="39">
        <v>402.48249822980114</v>
      </c>
      <c r="AQ62" s="39">
        <v>0</v>
      </c>
      <c r="AR62" s="52">
        <v>-402.48249822980114</v>
      </c>
      <c r="AS62" s="39">
        <v>1683.3915846033244</v>
      </c>
      <c r="AT62" s="39">
        <v>48.143979896326456</v>
      </c>
      <c r="AU62" s="54">
        <v>-1635.2476047069979</v>
      </c>
      <c r="AV62" s="39">
        <v>105.50314275515966</v>
      </c>
      <c r="AW62" s="39">
        <v>0</v>
      </c>
      <c r="AX62" s="55">
        <v>-105.50314275515966</v>
      </c>
      <c r="AY62" s="39">
        <v>171.45470659650391</v>
      </c>
      <c r="AZ62" s="39">
        <v>0</v>
      </c>
      <c r="BA62" s="35">
        <v>-171.45470659650391</v>
      </c>
      <c r="BB62" s="39">
        <v>87.527632979009326</v>
      </c>
      <c r="BC62" s="39">
        <v>0</v>
      </c>
      <c r="BD62" s="55">
        <v>-87.527632979009326</v>
      </c>
      <c r="BE62" s="39">
        <v>0</v>
      </c>
      <c r="BF62" s="39">
        <v>0</v>
      </c>
      <c r="BG62" s="38">
        <v>0</v>
      </c>
      <c r="BH62" s="39">
        <v>0</v>
      </c>
      <c r="BI62" s="39">
        <v>0</v>
      </c>
      <c r="BJ62" s="55">
        <v>0</v>
      </c>
      <c r="BK62" s="39">
        <v>41.778843913608405</v>
      </c>
      <c r="BL62" s="39">
        <v>0</v>
      </c>
      <c r="BM62" s="38">
        <v>-41.778843913608405</v>
      </c>
      <c r="BN62" s="39">
        <v>0</v>
      </c>
      <c r="BO62" s="39">
        <v>0</v>
      </c>
      <c r="BP62" s="55">
        <v>0</v>
      </c>
      <c r="BQ62" s="77">
        <v>406.26432624428128</v>
      </c>
      <c r="BR62" s="40">
        <v>0</v>
      </c>
      <c r="BS62" s="55">
        <v>-406.26432624428128</v>
      </c>
      <c r="BT62" s="39">
        <v>2170.9213886355342</v>
      </c>
      <c r="BU62" s="39">
        <v>524.6132567455619</v>
      </c>
      <c r="BV62" s="52">
        <v>-1646.3081318899722</v>
      </c>
      <c r="BW62" s="39">
        <v>1077.1597071967265</v>
      </c>
      <c r="BX62" s="39">
        <v>2432.2870440165862</v>
      </c>
      <c r="BY62" s="52">
        <v>1355.1273368198597</v>
      </c>
      <c r="BZ62" s="39">
        <v>566.34955270334569</v>
      </c>
      <c r="CA62" s="39">
        <v>2204.191317826374</v>
      </c>
      <c r="CB62" s="52">
        <v>1637.8417651230284</v>
      </c>
      <c r="CC62" s="39">
        <v>136.28140950441323</v>
      </c>
      <c r="CD62" s="39">
        <v>134.45140687028888</v>
      </c>
      <c r="CE62" s="52">
        <v>-1.8300026341243552</v>
      </c>
      <c r="CF62" s="39">
        <v>16.777067457929661</v>
      </c>
      <c r="CG62" s="39">
        <v>0</v>
      </c>
      <c r="CH62" s="52">
        <v>-16.777067457929661</v>
      </c>
      <c r="CI62" s="39">
        <v>308.83916542367018</v>
      </c>
      <c r="CJ62" s="39">
        <v>338.59056346459272</v>
      </c>
      <c r="CK62" s="52">
        <v>29.751398040922538</v>
      </c>
      <c r="CL62" s="39">
        <v>0</v>
      </c>
      <c r="CM62" s="39">
        <v>0</v>
      </c>
      <c r="CN62" s="52">
        <v>0</v>
      </c>
      <c r="CO62" s="39">
        <v>308.83916542367018</v>
      </c>
      <c r="CP62" s="40">
        <v>338.59056346459272</v>
      </c>
      <c r="CQ62" s="52">
        <v>29.751398040922538</v>
      </c>
      <c r="CR62" s="72">
        <v>8686.0933148509102</v>
      </c>
      <c r="CS62" s="5">
        <v>7389.2798603445362</v>
      </c>
      <c r="CT62" s="52">
        <v>-1296.813454506374</v>
      </c>
      <c r="CU62" s="77">
        <v>10423.311977821091</v>
      </c>
      <c r="CV62" s="65">
        <v>8867.1358324134435</v>
      </c>
      <c r="CW62" s="35">
        <v>-1556.1761454076477</v>
      </c>
      <c r="CX62" s="39">
        <v>0</v>
      </c>
      <c r="CY62" s="39">
        <v>1556.1761454076477</v>
      </c>
      <c r="CZ62" s="52">
        <v>1556.1761454076477</v>
      </c>
      <c r="DA62" s="150">
        <v>26283.531388089796</v>
      </c>
      <c r="DB62" s="2">
        <v>2</v>
      </c>
      <c r="DC62" s="713">
        <v>11053.82</v>
      </c>
      <c r="DD62" s="714">
        <v>346.38</v>
      </c>
      <c r="DE62" s="715">
        <v>6188.5388294768272</v>
      </c>
      <c r="DF62" s="716">
        <v>5.1816126273251939E-3</v>
      </c>
      <c r="DG62" s="717">
        <v>-7799.5291839591873</v>
      </c>
      <c r="DH62" s="718">
        <v>50031.375639805803</v>
      </c>
      <c r="DI62" s="718">
        <v>125079.7437338531</v>
      </c>
      <c r="DJ62" s="693">
        <v>106317.65171034128</v>
      </c>
      <c r="DK62" s="724"/>
      <c r="DL62" s="5"/>
      <c r="DM62" s="306">
        <v>6.2120546099631921</v>
      </c>
      <c r="DN62" s="306"/>
      <c r="DO62" s="306">
        <v>5.3868556514365888</v>
      </c>
      <c r="DP62" s="719">
        <v>4865.2811705231725</v>
      </c>
      <c r="DQ62" s="720">
        <v>346.37481838737267</v>
      </c>
      <c r="DR62" s="650">
        <v>5211.6559889105447</v>
      </c>
      <c r="DS62" s="94">
        <v>5211.6559889105465</v>
      </c>
      <c r="DT62" s="719">
        <v>4865.33</v>
      </c>
      <c r="DU62" s="725">
        <v>346.38</v>
      </c>
      <c r="DV62" s="93">
        <v>5211.71</v>
      </c>
      <c r="DW62" s="95">
        <v>5211.6559889105447</v>
      </c>
      <c r="DX62" s="28">
        <v>5.4011089455343608E-2</v>
      </c>
      <c r="EA62" s="5">
        <v>2507.5870930171268</v>
      </c>
      <c r="EB62" s="5">
        <v>57.772775875591748</v>
      </c>
      <c r="EE62" s="722">
        <v>20200.699015239894</v>
      </c>
      <c r="EG62" s="42" t="s">
        <v>195</v>
      </c>
    </row>
    <row r="63" spans="1:137" x14ac:dyDescent="0.3">
      <c r="A63" s="325">
        <v>150000519</v>
      </c>
      <c r="B63" s="41" t="s">
        <v>519</v>
      </c>
      <c r="C63" s="42" t="s">
        <v>413</v>
      </c>
      <c r="D63" s="27">
        <v>10</v>
      </c>
      <c r="E63" s="709">
        <v>2696.4</v>
      </c>
      <c r="F63" s="723">
        <v>2635.5</v>
      </c>
      <c r="G63" s="28">
        <v>208.7</v>
      </c>
      <c r="H63" s="651">
        <v>60.9</v>
      </c>
      <c r="I63" s="39">
        <v>1368.0478903158062</v>
      </c>
      <c r="J63" s="39">
        <v>1478.0251849208007</v>
      </c>
      <c r="K63" s="52">
        <v>109.97729460499454</v>
      </c>
      <c r="L63" s="39">
        <v>215.01852599342138</v>
      </c>
      <c r="M63" s="39">
        <v>233.62800897672818</v>
      </c>
      <c r="N63" s="52">
        <v>18.609482983306805</v>
      </c>
      <c r="O63" s="39">
        <v>672.92</v>
      </c>
      <c r="P63" s="39">
        <v>672.92</v>
      </c>
      <c r="Q63" s="52">
        <v>0</v>
      </c>
      <c r="R63" s="39">
        <v>145.9</v>
      </c>
      <c r="S63" s="39">
        <v>145.9</v>
      </c>
      <c r="T63" s="52">
        <v>0</v>
      </c>
      <c r="U63" s="39">
        <v>69.466216803674769</v>
      </c>
      <c r="V63" s="39">
        <v>274.01356384368501</v>
      </c>
      <c r="W63" s="52">
        <v>204.54734704001024</v>
      </c>
      <c r="X63" s="39">
        <v>576.55334155569881</v>
      </c>
      <c r="Y63" s="39">
        <v>319.80255642893178</v>
      </c>
      <c r="Z63" s="52">
        <v>-256.75078512676703</v>
      </c>
      <c r="AA63" s="39">
        <v>0</v>
      </c>
      <c r="AB63" s="39">
        <v>0</v>
      </c>
      <c r="AC63" s="52">
        <v>0</v>
      </c>
      <c r="AD63" s="39">
        <v>1921.5586910218888</v>
      </c>
      <c r="AE63" s="39">
        <v>1612.4113193835137</v>
      </c>
      <c r="AF63" s="35">
        <v>-309.14737163837503</v>
      </c>
      <c r="AG63" s="77">
        <v>4969.4646656904897</v>
      </c>
      <c r="AH63" s="53">
        <v>4736.7006335536589</v>
      </c>
      <c r="AI63" s="52">
        <v>-232.76403213683079</v>
      </c>
      <c r="AJ63" s="39">
        <v>3553.2101961369735</v>
      </c>
      <c r="AK63" s="39">
        <v>3505.4972759215602</v>
      </c>
      <c r="AL63" s="52">
        <v>-47.712920215413305</v>
      </c>
      <c r="AM63" s="39">
        <v>0</v>
      </c>
      <c r="AN63" s="39">
        <v>0</v>
      </c>
      <c r="AO63" s="52">
        <v>0</v>
      </c>
      <c r="AP63" s="39">
        <v>307.78073394043616</v>
      </c>
      <c r="AQ63" s="39">
        <v>0</v>
      </c>
      <c r="AR63" s="52">
        <v>-307.78073394043616</v>
      </c>
      <c r="AS63" s="39">
        <v>6555.680786383632</v>
      </c>
      <c r="AT63" s="39">
        <v>0</v>
      </c>
      <c r="AU63" s="54">
        <v>-6555.680786383632</v>
      </c>
      <c r="AV63" s="39">
        <v>106.72721825659063</v>
      </c>
      <c r="AW63" s="39">
        <v>0</v>
      </c>
      <c r="AX63" s="55">
        <v>-106.72721825659063</v>
      </c>
      <c r="AY63" s="39">
        <v>142.40885198567582</v>
      </c>
      <c r="AZ63" s="39">
        <v>0</v>
      </c>
      <c r="BA63" s="35">
        <v>-142.40885198567582</v>
      </c>
      <c r="BB63" s="39">
        <v>152.44260063250758</v>
      </c>
      <c r="BC63" s="39">
        <v>0</v>
      </c>
      <c r="BD63" s="55">
        <v>-152.44260063250758</v>
      </c>
      <c r="BE63" s="39">
        <v>86.385768771972465</v>
      </c>
      <c r="BF63" s="39">
        <v>0</v>
      </c>
      <c r="BG63" s="38">
        <v>-86.385768771972465</v>
      </c>
      <c r="BH63" s="39">
        <v>35.219944932571877</v>
      </c>
      <c r="BI63" s="39">
        <v>0</v>
      </c>
      <c r="BJ63" s="55">
        <v>-35.219944932571877</v>
      </c>
      <c r="BK63" s="39">
        <v>103.56430512559632</v>
      </c>
      <c r="BL63" s="39">
        <v>0</v>
      </c>
      <c r="BM63" s="38">
        <v>-103.56430512559632</v>
      </c>
      <c r="BN63" s="39">
        <v>0</v>
      </c>
      <c r="BO63" s="39">
        <v>0</v>
      </c>
      <c r="BP63" s="55">
        <v>0</v>
      </c>
      <c r="BQ63" s="77">
        <v>626.7486897049148</v>
      </c>
      <c r="BR63" s="40">
        <v>0</v>
      </c>
      <c r="BS63" s="55">
        <v>-626.7486897049148</v>
      </c>
      <c r="BT63" s="39">
        <v>5875.9117312974586</v>
      </c>
      <c r="BU63" s="39">
        <v>1234.026768624095</v>
      </c>
      <c r="BV63" s="52">
        <v>-4641.8849626733636</v>
      </c>
      <c r="BW63" s="39">
        <v>4463.2329351666622</v>
      </c>
      <c r="BX63" s="39">
        <v>5322.0200567265438</v>
      </c>
      <c r="BY63" s="52">
        <v>858.7871215598816</v>
      </c>
      <c r="BZ63" s="39">
        <v>1081.9920435125903</v>
      </c>
      <c r="CA63" s="39">
        <v>5610.0719055680256</v>
      </c>
      <c r="CB63" s="52">
        <v>4528.0798620554351</v>
      </c>
      <c r="CC63" s="39">
        <v>140.69339758189423</v>
      </c>
      <c r="CD63" s="39">
        <v>138.80415025817595</v>
      </c>
      <c r="CE63" s="52">
        <v>-1.8892473237182799</v>
      </c>
      <c r="CF63" s="39">
        <v>17.320209929589254</v>
      </c>
      <c r="CG63" s="39">
        <v>0</v>
      </c>
      <c r="CH63" s="52">
        <v>-17.320209929589254</v>
      </c>
      <c r="CI63" s="39">
        <v>1606.5875777089918</v>
      </c>
      <c r="CJ63" s="39">
        <v>2273.5767919941914</v>
      </c>
      <c r="CK63" s="52">
        <v>666.98921428519952</v>
      </c>
      <c r="CL63" s="39">
        <v>471.05771695933538</v>
      </c>
      <c r="CM63" s="39">
        <v>506.26513289113575</v>
      </c>
      <c r="CN63" s="52">
        <v>35.207415931800369</v>
      </c>
      <c r="CO63" s="39">
        <v>2077.6452946683271</v>
      </c>
      <c r="CP63" s="40">
        <v>2779.841924885327</v>
      </c>
      <c r="CQ63" s="52">
        <v>702.19663021699989</v>
      </c>
      <c r="CR63" s="72">
        <v>29669.680684012965</v>
      </c>
      <c r="CS63" s="5">
        <v>23326.962715537386</v>
      </c>
      <c r="CT63" s="52">
        <v>-6342.7179684755793</v>
      </c>
      <c r="CU63" s="77">
        <v>35603.616820815558</v>
      </c>
      <c r="CV63" s="65">
        <v>27992.35525864486</v>
      </c>
      <c r="CW63" s="35">
        <v>-7611.2615621706973</v>
      </c>
      <c r="CX63" s="39">
        <v>178.01808410407779</v>
      </c>
      <c r="CY63" s="39">
        <v>7789.2796462747719</v>
      </c>
      <c r="CZ63" s="52">
        <v>7611.2615621706946</v>
      </c>
      <c r="DA63" s="150">
        <v>36946.796275953486</v>
      </c>
      <c r="DB63" s="2">
        <v>2</v>
      </c>
      <c r="DC63" s="713">
        <v>26815.89</v>
      </c>
      <c r="DD63" s="714">
        <v>3311.58</v>
      </c>
      <c r="DE63" s="715">
        <v>9213.5560201163171</v>
      </c>
      <c r="DF63" s="716">
        <v>3023.0965274238629</v>
      </c>
      <c r="DG63" s="717">
        <v>99932.858860255204</v>
      </c>
      <c r="DH63" s="718">
        <v>171323.69999418204</v>
      </c>
      <c r="DI63" s="718">
        <v>429379.61885903566</v>
      </c>
      <c r="DJ63" s="693">
        <v>364865.63914282224</v>
      </c>
      <c r="DK63" s="724"/>
      <c r="DL63" s="5"/>
      <c r="DM63" s="306">
        <v>5.7581864649161858</v>
      </c>
      <c r="DN63" s="306">
        <v>6.7581178773099033</v>
      </c>
      <c r="DO63" s="306">
        <v>4.7370028337625154</v>
      </c>
      <c r="DP63" s="719">
        <v>17602.333979883682</v>
      </c>
      <c r="DQ63" s="720">
        <v>288.48347257613716</v>
      </c>
      <c r="DR63" s="650">
        <v>17890.817452459818</v>
      </c>
      <c r="DS63" s="94">
        <v>17890.817452459818</v>
      </c>
      <c r="DT63" s="719">
        <v>17602.28</v>
      </c>
      <c r="DU63" s="725">
        <v>288.48</v>
      </c>
      <c r="DV63" s="93">
        <v>17890.759999999998</v>
      </c>
      <c r="DW63" s="95">
        <v>17908.619260870226</v>
      </c>
      <c r="DX63" s="28">
        <v>-17.859260870227445</v>
      </c>
      <c r="EA63" s="5">
        <v>8618.9153713062551</v>
      </c>
      <c r="EB63" s="5">
        <v>0</v>
      </c>
      <c r="EE63" s="722">
        <v>78668.169436603581</v>
      </c>
      <c r="EG63" s="42" t="s">
        <v>413</v>
      </c>
    </row>
    <row r="64" spans="1:137" x14ac:dyDescent="0.3">
      <c r="A64" s="325">
        <v>150000521</v>
      </c>
      <c r="B64" s="41" t="s">
        <v>520</v>
      </c>
      <c r="C64" s="42" t="s">
        <v>253</v>
      </c>
      <c r="D64" s="27">
        <v>5</v>
      </c>
      <c r="E64" s="709">
        <v>1861.1999999999998</v>
      </c>
      <c r="F64" s="723">
        <v>1556.6</v>
      </c>
      <c r="G64" s="28"/>
      <c r="H64" s="651">
        <v>304.60000000000002</v>
      </c>
      <c r="I64" s="39">
        <v>910.76891337889401</v>
      </c>
      <c r="J64" s="39">
        <v>983.08073369728208</v>
      </c>
      <c r="K64" s="52">
        <v>72.311820318388072</v>
      </c>
      <c r="L64" s="39">
        <v>194.40384537113721</v>
      </c>
      <c r="M64" s="39">
        <v>211.2297273821703</v>
      </c>
      <c r="N64" s="52">
        <v>16.825882011033087</v>
      </c>
      <c r="O64" s="39">
        <v>442.66</v>
      </c>
      <c r="P64" s="39">
        <v>442.66</v>
      </c>
      <c r="Q64" s="52">
        <v>0</v>
      </c>
      <c r="R64" s="39">
        <v>0</v>
      </c>
      <c r="S64" s="39">
        <v>0</v>
      </c>
      <c r="T64" s="52">
        <v>0</v>
      </c>
      <c r="U64" s="39">
        <v>0</v>
      </c>
      <c r="V64" s="39">
        <v>0</v>
      </c>
      <c r="W64" s="52">
        <v>0</v>
      </c>
      <c r="X64" s="39">
        <v>564.40132585881236</v>
      </c>
      <c r="Y64" s="39">
        <v>335.81997441038277</v>
      </c>
      <c r="Z64" s="52">
        <v>-228.58135144842959</v>
      </c>
      <c r="AA64" s="39">
        <v>0</v>
      </c>
      <c r="AB64" s="39">
        <v>0</v>
      </c>
      <c r="AC64" s="52">
        <v>0</v>
      </c>
      <c r="AD64" s="39">
        <v>1326.3629415998882</v>
      </c>
      <c r="AE64" s="39">
        <v>1112.9728332727323</v>
      </c>
      <c r="AF64" s="35">
        <v>-213.39010832715599</v>
      </c>
      <c r="AG64" s="77">
        <v>3438.5970262087321</v>
      </c>
      <c r="AH64" s="53">
        <v>3085.7632687625673</v>
      </c>
      <c r="AI64" s="52">
        <v>-352.83375744616478</v>
      </c>
      <c r="AJ64" s="39">
        <v>0</v>
      </c>
      <c r="AK64" s="39">
        <v>0</v>
      </c>
      <c r="AL64" s="52">
        <v>0</v>
      </c>
      <c r="AM64" s="39">
        <v>0</v>
      </c>
      <c r="AN64" s="39">
        <v>0</v>
      </c>
      <c r="AO64" s="52">
        <v>0</v>
      </c>
      <c r="AP64" s="39">
        <v>536.64333097306826</v>
      </c>
      <c r="AQ64" s="39">
        <v>0</v>
      </c>
      <c r="AR64" s="52">
        <v>-536.64333097306826</v>
      </c>
      <c r="AS64" s="39">
        <v>3781.5843644521588</v>
      </c>
      <c r="AT64" s="39">
        <v>0</v>
      </c>
      <c r="AU64" s="54">
        <v>-3781.5843644521588</v>
      </c>
      <c r="AV64" s="39">
        <v>149.96382133002803</v>
      </c>
      <c r="AW64" s="39">
        <v>0</v>
      </c>
      <c r="AX64" s="55">
        <v>-149.96382133002803</v>
      </c>
      <c r="AY64" s="39">
        <v>250.58315269130659</v>
      </c>
      <c r="AZ64" s="39">
        <v>0</v>
      </c>
      <c r="BA64" s="35">
        <v>-250.58315269130659</v>
      </c>
      <c r="BB64" s="39">
        <v>189.22455054922412</v>
      </c>
      <c r="BC64" s="39">
        <v>0</v>
      </c>
      <c r="BD64" s="55">
        <v>-189.22455054922412</v>
      </c>
      <c r="BE64" s="39">
        <v>0</v>
      </c>
      <c r="BF64" s="39">
        <v>0</v>
      </c>
      <c r="BG64" s="38">
        <v>0</v>
      </c>
      <c r="BH64" s="39">
        <v>0</v>
      </c>
      <c r="BI64" s="39">
        <v>0</v>
      </c>
      <c r="BJ64" s="55">
        <v>0</v>
      </c>
      <c r="BK64" s="39">
        <v>69.694329510959818</v>
      </c>
      <c r="BL64" s="39">
        <v>0</v>
      </c>
      <c r="BM64" s="38">
        <v>-69.694329510959818</v>
      </c>
      <c r="BN64" s="39">
        <v>0</v>
      </c>
      <c r="BO64" s="39">
        <v>0</v>
      </c>
      <c r="BP64" s="55">
        <v>0</v>
      </c>
      <c r="BQ64" s="77">
        <v>659.46585408151861</v>
      </c>
      <c r="BR64" s="40">
        <v>0</v>
      </c>
      <c r="BS64" s="55">
        <v>-659.46585408151861</v>
      </c>
      <c r="BT64" s="39">
        <v>4252.7385324115112</v>
      </c>
      <c r="BU64" s="39">
        <v>1017.5527159045329</v>
      </c>
      <c r="BV64" s="52">
        <v>-3235.1858165069784</v>
      </c>
      <c r="BW64" s="39">
        <v>1277.0347140781084</v>
      </c>
      <c r="BX64" s="39">
        <v>2259.0225564632278</v>
      </c>
      <c r="BY64" s="52">
        <v>981.98784238511939</v>
      </c>
      <c r="BZ64" s="39">
        <v>1055.0056852432697</v>
      </c>
      <c r="CA64" s="39">
        <v>4592.1518109500485</v>
      </c>
      <c r="CB64" s="52">
        <v>3537.1461257067785</v>
      </c>
      <c r="CC64" s="39">
        <v>131.86942142693221</v>
      </c>
      <c r="CD64" s="39">
        <v>130.09866348240183</v>
      </c>
      <c r="CE64" s="52">
        <v>-1.7707579445303736</v>
      </c>
      <c r="CF64" s="39">
        <v>16.233924986270065</v>
      </c>
      <c r="CG64" s="39">
        <v>0</v>
      </c>
      <c r="CH64" s="52">
        <v>-16.233924986270065</v>
      </c>
      <c r="CI64" s="39">
        <v>745.58141955815336</v>
      </c>
      <c r="CJ64" s="39">
        <v>992.78398059511323</v>
      </c>
      <c r="CK64" s="52">
        <v>247.20256103695988</v>
      </c>
      <c r="CL64" s="39">
        <v>0</v>
      </c>
      <c r="CM64" s="39">
        <v>0</v>
      </c>
      <c r="CN64" s="52">
        <v>0</v>
      </c>
      <c r="CO64" s="39">
        <v>745.58141955815336</v>
      </c>
      <c r="CP64" s="40">
        <v>992.78398059511323</v>
      </c>
      <c r="CQ64" s="52">
        <v>247.20256103695988</v>
      </c>
      <c r="CR64" s="72">
        <v>15894.754273419723</v>
      </c>
      <c r="CS64" s="5">
        <v>12077.372996157892</v>
      </c>
      <c r="CT64" s="52">
        <v>-3817.3812772618312</v>
      </c>
      <c r="CU64" s="77">
        <v>19073.705128103666</v>
      </c>
      <c r="CV64" s="65">
        <v>14492.84759538947</v>
      </c>
      <c r="CW64" s="35">
        <v>-4580.8575327141953</v>
      </c>
      <c r="CX64" s="39">
        <v>1138.98</v>
      </c>
      <c r="CY64" s="39">
        <v>5719.8375327141966</v>
      </c>
      <c r="CZ64" s="52">
        <v>4580.8575327141971</v>
      </c>
      <c r="DA64" s="150">
        <v>26208.636053179551</v>
      </c>
      <c r="DB64" s="2">
        <v>2</v>
      </c>
      <c r="DC64" s="713">
        <v>13108.7</v>
      </c>
      <c r="DD64" s="714">
        <v>12439.560000000001</v>
      </c>
      <c r="DE64" s="715">
        <v>4845.200818365056</v>
      </c>
      <c r="DF64" s="716">
        <v>10975.469566302076</v>
      </c>
      <c r="DG64" s="717">
        <v>50687.291460770408</v>
      </c>
      <c r="DH64" s="718">
        <v>95576.77036723154</v>
      </c>
      <c r="DI64" s="718">
        <v>242552.22153724398</v>
      </c>
      <c r="DJ64" s="693">
        <v>205808.35874474089</v>
      </c>
      <c r="DK64" s="724"/>
      <c r="DL64" s="5"/>
      <c r="DM64" s="306">
        <v>5.3086850710747431</v>
      </c>
      <c r="DN64" s="306"/>
      <c r="DO64" s="306">
        <v>4.8066002419498535</v>
      </c>
      <c r="DP64" s="719">
        <v>8263.4991816349448</v>
      </c>
      <c r="DQ64" s="727">
        <v>1464.0904336979254</v>
      </c>
      <c r="DR64" s="650">
        <v>9727.5896153328704</v>
      </c>
      <c r="DS64" s="94">
        <v>10485.095512770795</v>
      </c>
      <c r="DT64" s="719">
        <v>8263.52</v>
      </c>
      <c r="DU64" s="728">
        <v>1842.8400000000001</v>
      </c>
      <c r="DV64" s="93">
        <v>10106.36</v>
      </c>
      <c r="DW64" s="95">
        <v>9765.7370255890783</v>
      </c>
      <c r="DX64" s="28">
        <v>340.62297441092232</v>
      </c>
      <c r="DY64" s="94"/>
      <c r="EA64" s="5">
        <v>5329.2602622404129</v>
      </c>
      <c r="EB64" s="5">
        <v>0</v>
      </c>
      <c r="EE64" s="722">
        <v>45379.012373425903</v>
      </c>
      <c r="EG64" s="42" t="s">
        <v>253</v>
      </c>
    </row>
    <row r="65" spans="1:137" x14ac:dyDescent="0.3">
      <c r="A65" s="325">
        <v>150000522</v>
      </c>
      <c r="B65" s="41" t="s">
        <v>521</v>
      </c>
      <c r="C65" s="42" t="s">
        <v>57</v>
      </c>
      <c r="D65" s="27">
        <v>1</v>
      </c>
      <c r="E65" s="709">
        <v>269.89999999999998</v>
      </c>
      <c r="F65" s="723">
        <v>269.89999999999998</v>
      </c>
      <c r="G65" s="28"/>
      <c r="H65" s="651">
        <v>0</v>
      </c>
      <c r="I65" s="39">
        <v>0</v>
      </c>
      <c r="J65" s="39">
        <v>0</v>
      </c>
      <c r="K65" s="52">
        <v>0</v>
      </c>
      <c r="L65" s="39">
        <v>0</v>
      </c>
      <c r="M65" s="39">
        <v>0</v>
      </c>
      <c r="N65" s="52">
        <v>0</v>
      </c>
      <c r="O65" s="39">
        <v>0</v>
      </c>
      <c r="P65" s="39">
        <v>0</v>
      </c>
      <c r="Q65" s="52">
        <v>0</v>
      </c>
      <c r="R65" s="39">
        <v>0</v>
      </c>
      <c r="S65" s="39">
        <v>0</v>
      </c>
      <c r="T65" s="52">
        <v>0</v>
      </c>
      <c r="U65" s="39">
        <v>0</v>
      </c>
      <c r="V65" s="39">
        <v>0</v>
      </c>
      <c r="W65" s="52">
        <v>0</v>
      </c>
      <c r="X65" s="39">
        <v>0</v>
      </c>
      <c r="Y65" s="39">
        <v>0</v>
      </c>
      <c r="Z65" s="52">
        <v>0</v>
      </c>
      <c r="AA65" s="39">
        <v>0</v>
      </c>
      <c r="AB65" s="39">
        <v>0</v>
      </c>
      <c r="AC65" s="52">
        <v>0</v>
      </c>
      <c r="AD65" s="39">
        <v>0</v>
      </c>
      <c r="AE65" s="39">
        <v>161.39660847856783</v>
      </c>
      <c r="AF65" s="35">
        <v>161.39660847856783</v>
      </c>
      <c r="AG65" s="77">
        <v>0</v>
      </c>
      <c r="AH65" s="53">
        <v>161.39660847856783</v>
      </c>
      <c r="AI65" s="52">
        <v>161.39660847856783</v>
      </c>
      <c r="AJ65" s="39">
        <v>0</v>
      </c>
      <c r="AK65" s="39">
        <v>0</v>
      </c>
      <c r="AL65" s="52">
        <v>0</v>
      </c>
      <c r="AM65" s="39">
        <v>0</v>
      </c>
      <c r="AN65" s="39">
        <v>0</v>
      </c>
      <c r="AO65" s="52">
        <v>0</v>
      </c>
      <c r="AP65" s="39">
        <v>47.350882144682487</v>
      </c>
      <c r="AQ65" s="39">
        <v>0</v>
      </c>
      <c r="AR65" s="52">
        <v>-47.350882144682487</v>
      </c>
      <c r="AS65" s="39">
        <v>631.08403472070165</v>
      </c>
      <c r="AT65" s="39">
        <v>0</v>
      </c>
      <c r="AU65" s="54">
        <v>-631.08403472070165</v>
      </c>
      <c r="AV65" s="39">
        <v>0</v>
      </c>
      <c r="AW65" s="39">
        <v>0</v>
      </c>
      <c r="AX65" s="55">
        <v>0</v>
      </c>
      <c r="AY65" s="39">
        <v>0</v>
      </c>
      <c r="AZ65" s="39">
        <v>0</v>
      </c>
      <c r="BA65" s="35">
        <v>0</v>
      </c>
      <c r="BB65" s="39">
        <v>0</v>
      </c>
      <c r="BC65" s="39">
        <v>0</v>
      </c>
      <c r="BD65" s="55">
        <v>0</v>
      </c>
      <c r="BE65" s="39">
        <v>0</v>
      </c>
      <c r="BF65" s="39">
        <v>0</v>
      </c>
      <c r="BG65" s="38">
        <v>0</v>
      </c>
      <c r="BH65" s="39">
        <v>0</v>
      </c>
      <c r="BI65" s="39">
        <v>0</v>
      </c>
      <c r="BJ65" s="55">
        <v>0</v>
      </c>
      <c r="BK65" s="39">
        <v>0</v>
      </c>
      <c r="BL65" s="39">
        <v>0</v>
      </c>
      <c r="BM65" s="38">
        <v>0</v>
      </c>
      <c r="BN65" s="39">
        <v>0</v>
      </c>
      <c r="BO65" s="39">
        <v>0</v>
      </c>
      <c r="BP65" s="55">
        <v>0</v>
      </c>
      <c r="BQ65" s="77">
        <v>0</v>
      </c>
      <c r="BR65" s="40">
        <v>0</v>
      </c>
      <c r="BS65" s="55">
        <v>0</v>
      </c>
      <c r="BT65" s="39">
        <v>0</v>
      </c>
      <c r="BU65" s="39">
        <v>0</v>
      </c>
      <c r="BV65" s="52">
        <v>0</v>
      </c>
      <c r="BW65" s="39">
        <v>0</v>
      </c>
      <c r="BX65" s="39">
        <v>1.0925310786457074</v>
      </c>
      <c r="BY65" s="52">
        <v>1.0925310786457074</v>
      </c>
      <c r="BZ65" s="39">
        <v>0</v>
      </c>
      <c r="CA65" s="39">
        <v>0</v>
      </c>
      <c r="CB65" s="52">
        <v>0</v>
      </c>
      <c r="CC65" s="39">
        <v>0</v>
      </c>
      <c r="CD65" s="39">
        <v>0</v>
      </c>
      <c r="CE65" s="52">
        <v>0</v>
      </c>
      <c r="CF65" s="39">
        <v>0</v>
      </c>
      <c r="CG65" s="39">
        <v>0</v>
      </c>
      <c r="CH65" s="52">
        <v>0</v>
      </c>
      <c r="CI65" s="39">
        <v>0</v>
      </c>
      <c r="CJ65" s="39">
        <v>0</v>
      </c>
      <c r="CK65" s="52">
        <v>0</v>
      </c>
      <c r="CL65" s="39">
        <v>0</v>
      </c>
      <c r="CM65" s="39">
        <v>0</v>
      </c>
      <c r="CN65" s="52">
        <v>0</v>
      </c>
      <c r="CO65" s="39">
        <v>0</v>
      </c>
      <c r="CP65" s="40">
        <v>0</v>
      </c>
      <c r="CQ65" s="52">
        <v>0</v>
      </c>
      <c r="CR65" s="72">
        <v>678.43491686538414</v>
      </c>
      <c r="CS65" s="5">
        <v>162.48913955721355</v>
      </c>
      <c r="CT65" s="52">
        <v>-515.94577730817059</v>
      </c>
      <c r="CU65" s="77">
        <v>814.12190023846097</v>
      </c>
      <c r="CV65" s="65">
        <v>194.98696746865625</v>
      </c>
      <c r="CW65" s="35">
        <v>-619.13493276980466</v>
      </c>
      <c r="CX65" s="39">
        <v>20.353047505961527</v>
      </c>
      <c r="CY65" s="39">
        <v>639.48798027576618</v>
      </c>
      <c r="CZ65" s="52">
        <v>619.13493276980466</v>
      </c>
      <c r="DA65" s="150">
        <v>4457.7816290708015</v>
      </c>
      <c r="DB65" s="2">
        <v>1</v>
      </c>
      <c r="DC65" s="713">
        <v>6760.49</v>
      </c>
      <c r="DD65" s="714"/>
      <c r="DE65" s="715">
        <v>6343.2525261277888</v>
      </c>
      <c r="DF65" s="716">
        <v>0</v>
      </c>
      <c r="DG65" s="717">
        <v>8991.6911668920038</v>
      </c>
      <c r="DH65" s="718">
        <v>3993.8873283841403</v>
      </c>
      <c r="DI65" s="718">
        <v>10013.69937293307</v>
      </c>
      <c r="DJ65" s="693">
        <v>8508.7463617958383</v>
      </c>
      <c r="DK65" s="724"/>
      <c r="DL65" s="5"/>
      <c r="DM65" s="306">
        <v>1.54589653157544</v>
      </c>
      <c r="DN65" s="306"/>
      <c r="DO65" s="306">
        <v>1.54589653157544</v>
      </c>
      <c r="DP65" s="719">
        <v>417.23747387221124</v>
      </c>
      <c r="DQ65" s="720">
        <v>0</v>
      </c>
      <c r="DR65" s="650">
        <v>417.23747387221124</v>
      </c>
      <c r="DS65" s="94">
        <v>417.23747387221124</v>
      </c>
      <c r="DT65" s="719">
        <v>417.24</v>
      </c>
      <c r="DU65" s="721"/>
      <c r="DV65" s="93">
        <v>417.24</v>
      </c>
      <c r="DW65" s="95">
        <v>419.27277862280738</v>
      </c>
      <c r="DX65" s="28">
        <v>-2.0327786228073705</v>
      </c>
      <c r="EA65" s="5">
        <v>757.30084166484198</v>
      </c>
      <c r="EB65" s="5">
        <v>0</v>
      </c>
      <c r="EE65" s="722">
        <v>7573.0084166484194</v>
      </c>
      <c r="EG65" s="42" t="s">
        <v>57</v>
      </c>
    </row>
    <row r="66" spans="1:137" x14ac:dyDescent="0.3">
      <c r="A66" s="325">
        <v>150000523</v>
      </c>
      <c r="B66" s="41" t="s">
        <v>522</v>
      </c>
      <c r="C66" s="42" t="s">
        <v>58</v>
      </c>
      <c r="D66" s="27">
        <v>1</v>
      </c>
      <c r="E66" s="709">
        <v>300.7</v>
      </c>
      <c r="F66" s="723">
        <v>300.7</v>
      </c>
      <c r="G66" s="28"/>
      <c r="H66" s="651">
        <v>0</v>
      </c>
      <c r="I66" s="39">
        <v>0</v>
      </c>
      <c r="J66" s="39">
        <v>0</v>
      </c>
      <c r="K66" s="52">
        <v>0</v>
      </c>
      <c r="L66" s="39">
        <v>0</v>
      </c>
      <c r="M66" s="39">
        <v>0</v>
      </c>
      <c r="N66" s="52">
        <v>0</v>
      </c>
      <c r="O66" s="39">
        <v>0</v>
      </c>
      <c r="P66" s="39">
        <v>0</v>
      </c>
      <c r="Q66" s="52">
        <v>0</v>
      </c>
      <c r="R66" s="39">
        <v>0</v>
      </c>
      <c r="S66" s="39">
        <v>0</v>
      </c>
      <c r="T66" s="52">
        <v>0</v>
      </c>
      <c r="U66" s="39">
        <v>0</v>
      </c>
      <c r="V66" s="39">
        <v>0</v>
      </c>
      <c r="W66" s="52">
        <v>0</v>
      </c>
      <c r="X66" s="39">
        <v>0</v>
      </c>
      <c r="Y66" s="39">
        <v>0</v>
      </c>
      <c r="Z66" s="52">
        <v>0</v>
      </c>
      <c r="AA66" s="39">
        <v>0</v>
      </c>
      <c r="AB66" s="39">
        <v>0</v>
      </c>
      <c r="AC66" s="52">
        <v>0</v>
      </c>
      <c r="AD66" s="39">
        <v>0</v>
      </c>
      <c r="AE66" s="39">
        <v>179.81459862728917</v>
      </c>
      <c r="AF66" s="35">
        <v>179.81459862728917</v>
      </c>
      <c r="AG66" s="77">
        <v>0</v>
      </c>
      <c r="AH66" s="53">
        <v>179.81459862728917</v>
      </c>
      <c r="AI66" s="52">
        <v>179.81459862728917</v>
      </c>
      <c r="AJ66" s="39">
        <v>0</v>
      </c>
      <c r="AK66" s="39">
        <v>0</v>
      </c>
      <c r="AL66" s="52">
        <v>0</v>
      </c>
      <c r="AM66" s="39">
        <v>0</v>
      </c>
      <c r="AN66" s="39">
        <v>0</v>
      </c>
      <c r="AO66" s="52">
        <v>0</v>
      </c>
      <c r="AP66" s="39">
        <v>63.134509526243313</v>
      </c>
      <c r="AQ66" s="39">
        <v>0</v>
      </c>
      <c r="AR66" s="52">
        <v>-63.134509526243313</v>
      </c>
      <c r="AS66" s="39">
        <v>674.80434284954276</v>
      </c>
      <c r="AT66" s="39">
        <v>1214</v>
      </c>
      <c r="AU66" s="54">
        <v>539.19565715045724</v>
      </c>
      <c r="AV66" s="39">
        <v>0</v>
      </c>
      <c r="AW66" s="39">
        <v>0</v>
      </c>
      <c r="AX66" s="55">
        <v>0</v>
      </c>
      <c r="AY66" s="39">
        <v>0</v>
      </c>
      <c r="AZ66" s="39">
        <v>0</v>
      </c>
      <c r="BA66" s="35">
        <v>0</v>
      </c>
      <c r="BB66" s="39">
        <v>0</v>
      </c>
      <c r="BC66" s="39">
        <v>0</v>
      </c>
      <c r="BD66" s="55">
        <v>0</v>
      </c>
      <c r="BE66" s="39">
        <v>0</v>
      </c>
      <c r="BF66" s="39">
        <v>0</v>
      </c>
      <c r="BG66" s="38">
        <v>0</v>
      </c>
      <c r="BH66" s="39">
        <v>0</v>
      </c>
      <c r="BI66" s="39">
        <v>0</v>
      </c>
      <c r="BJ66" s="55">
        <v>0</v>
      </c>
      <c r="BK66" s="39">
        <v>0</v>
      </c>
      <c r="BL66" s="39">
        <v>0</v>
      </c>
      <c r="BM66" s="38">
        <v>0</v>
      </c>
      <c r="BN66" s="39">
        <v>0</v>
      </c>
      <c r="BO66" s="39">
        <v>0</v>
      </c>
      <c r="BP66" s="55">
        <v>0</v>
      </c>
      <c r="BQ66" s="77">
        <v>0</v>
      </c>
      <c r="BR66" s="40">
        <v>0</v>
      </c>
      <c r="BS66" s="55">
        <v>0</v>
      </c>
      <c r="BT66" s="39">
        <v>0</v>
      </c>
      <c r="BU66" s="39">
        <v>0</v>
      </c>
      <c r="BV66" s="52">
        <v>0</v>
      </c>
      <c r="BW66" s="39">
        <v>0</v>
      </c>
      <c r="BX66" s="39">
        <v>1.2172067260050548</v>
      </c>
      <c r="BY66" s="52">
        <v>1.2172067260050548</v>
      </c>
      <c r="BZ66" s="39">
        <v>0</v>
      </c>
      <c r="CA66" s="39">
        <v>0</v>
      </c>
      <c r="CB66" s="52">
        <v>0</v>
      </c>
      <c r="CC66" s="39">
        <v>0</v>
      </c>
      <c r="CD66" s="39">
        <v>0</v>
      </c>
      <c r="CE66" s="52">
        <v>0</v>
      </c>
      <c r="CF66" s="39">
        <v>0</v>
      </c>
      <c r="CG66" s="39">
        <v>0</v>
      </c>
      <c r="CH66" s="52">
        <v>0</v>
      </c>
      <c r="CI66" s="39">
        <v>0</v>
      </c>
      <c r="CJ66" s="39">
        <v>0</v>
      </c>
      <c r="CK66" s="52">
        <v>0</v>
      </c>
      <c r="CL66" s="39">
        <v>0</v>
      </c>
      <c r="CM66" s="39">
        <v>0</v>
      </c>
      <c r="CN66" s="52">
        <v>0</v>
      </c>
      <c r="CO66" s="39">
        <v>0</v>
      </c>
      <c r="CP66" s="40">
        <v>0</v>
      </c>
      <c r="CQ66" s="52">
        <v>0</v>
      </c>
      <c r="CR66" s="72">
        <v>737.93885237578604</v>
      </c>
      <c r="CS66" s="5">
        <v>1395.0318053532942</v>
      </c>
      <c r="CT66" s="52">
        <v>657.09295297750816</v>
      </c>
      <c r="CU66" s="77">
        <v>885.52662285094323</v>
      </c>
      <c r="CV66" s="65">
        <v>1674.038166423953</v>
      </c>
      <c r="CW66" s="35">
        <v>788.51154357300982</v>
      </c>
      <c r="CX66" s="39">
        <v>22.138165571273582</v>
      </c>
      <c r="CY66" s="39">
        <v>-766.37337800173589</v>
      </c>
      <c r="CZ66" s="52">
        <v>-788.51154357300948</v>
      </c>
      <c r="DA66" s="150">
        <v>26192.022925122066</v>
      </c>
      <c r="DB66" s="2">
        <v>1</v>
      </c>
      <c r="DC66" s="713">
        <v>3703.02</v>
      </c>
      <c r="DD66" s="714"/>
      <c r="DE66" s="715">
        <v>3249.1876057888917</v>
      </c>
      <c r="DF66" s="716">
        <v>0</v>
      </c>
      <c r="DG66" s="717">
        <v>-2228.9267708978959</v>
      </c>
      <c r="DH66" s="718">
        <v>4339.8650595399031</v>
      </c>
      <c r="DI66" s="718">
        <v>10891.977461066603</v>
      </c>
      <c r="DJ66" s="693">
        <v>9253.9493606849283</v>
      </c>
      <c r="DK66" s="724"/>
      <c r="DL66" s="5"/>
      <c r="DM66" s="306">
        <v>1.5092530569042515</v>
      </c>
      <c r="DN66" s="306"/>
      <c r="DO66" s="306">
        <v>1.5092530569042515</v>
      </c>
      <c r="DP66" s="719">
        <v>453.83239421110841</v>
      </c>
      <c r="DQ66" s="720">
        <v>0</v>
      </c>
      <c r="DR66" s="650">
        <v>453.83239421110841</v>
      </c>
      <c r="DS66" s="94">
        <v>453.83239421110841</v>
      </c>
      <c r="DT66" s="719">
        <v>453.85</v>
      </c>
      <c r="DU66" s="721"/>
      <c r="DV66" s="93">
        <v>453.85</v>
      </c>
      <c r="DW66" s="95">
        <v>456.04621076823577</v>
      </c>
      <c r="DX66" s="28">
        <v>-2.1962107682357441</v>
      </c>
      <c r="EA66" s="5">
        <v>809.76521141945125</v>
      </c>
      <c r="EB66" s="5">
        <v>1456.8</v>
      </c>
      <c r="EE66" s="722">
        <v>8097.6521141945132</v>
      </c>
      <c r="EG66" s="42" t="s">
        <v>58</v>
      </c>
    </row>
    <row r="67" spans="1:137" x14ac:dyDescent="0.3">
      <c r="A67" s="325">
        <v>150000527</v>
      </c>
      <c r="B67" s="41" t="s">
        <v>525</v>
      </c>
      <c r="C67" s="42" t="s">
        <v>61</v>
      </c>
      <c r="D67" s="27">
        <v>1</v>
      </c>
      <c r="E67" s="709">
        <v>293.5</v>
      </c>
      <c r="F67" s="723">
        <v>293.5</v>
      </c>
      <c r="G67" s="28"/>
      <c r="H67" s="651">
        <v>0</v>
      </c>
      <c r="I67" s="39">
        <v>0</v>
      </c>
      <c r="J67" s="39">
        <v>0</v>
      </c>
      <c r="K67" s="52">
        <v>0</v>
      </c>
      <c r="L67" s="39">
        <v>0</v>
      </c>
      <c r="M67" s="39">
        <v>0</v>
      </c>
      <c r="N67" s="52">
        <v>0</v>
      </c>
      <c r="O67" s="39">
        <v>0</v>
      </c>
      <c r="P67" s="39">
        <v>0</v>
      </c>
      <c r="Q67" s="52">
        <v>0</v>
      </c>
      <c r="R67" s="39">
        <v>0</v>
      </c>
      <c r="S67" s="39">
        <v>0</v>
      </c>
      <c r="T67" s="52">
        <v>0</v>
      </c>
      <c r="U67" s="39">
        <v>0</v>
      </c>
      <c r="V67" s="39">
        <v>0</v>
      </c>
      <c r="W67" s="52">
        <v>0</v>
      </c>
      <c r="X67" s="39">
        <v>0</v>
      </c>
      <c r="Y67" s="39">
        <v>0</v>
      </c>
      <c r="Z67" s="52">
        <v>0</v>
      </c>
      <c r="AA67" s="39">
        <v>0</v>
      </c>
      <c r="AB67" s="39">
        <v>0</v>
      </c>
      <c r="AC67" s="52">
        <v>0</v>
      </c>
      <c r="AD67" s="39">
        <v>0</v>
      </c>
      <c r="AE67" s="39">
        <v>175.50909443667902</v>
      </c>
      <c r="AF67" s="35">
        <v>175.50909443667902</v>
      </c>
      <c r="AG67" s="77">
        <v>0</v>
      </c>
      <c r="AH67" s="53">
        <v>175.50909443667902</v>
      </c>
      <c r="AI67" s="52">
        <v>175.50909443667902</v>
      </c>
      <c r="AJ67" s="39">
        <v>0</v>
      </c>
      <c r="AK67" s="39">
        <v>0</v>
      </c>
      <c r="AL67" s="52">
        <v>0</v>
      </c>
      <c r="AM67" s="39">
        <v>0</v>
      </c>
      <c r="AN67" s="39">
        <v>0</v>
      </c>
      <c r="AO67" s="52">
        <v>0</v>
      </c>
      <c r="AP67" s="39">
        <v>94.701764289364974</v>
      </c>
      <c r="AQ67" s="39">
        <v>0</v>
      </c>
      <c r="AR67" s="52">
        <v>-94.701764289364974</v>
      </c>
      <c r="AS67" s="39">
        <v>729.82033441028</v>
      </c>
      <c r="AT67" s="39">
        <v>809</v>
      </c>
      <c r="AU67" s="54">
        <v>79.179665589720003</v>
      </c>
      <c r="AV67" s="39">
        <v>0</v>
      </c>
      <c r="AW67" s="39">
        <v>0</v>
      </c>
      <c r="AX67" s="55">
        <v>0</v>
      </c>
      <c r="AY67" s="39">
        <v>0</v>
      </c>
      <c r="AZ67" s="39">
        <v>0</v>
      </c>
      <c r="BA67" s="35">
        <v>0</v>
      </c>
      <c r="BB67" s="39">
        <v>0</v>
      </c>
      <c r="BC67" s="39">
        <v>0</v>
      </c>
      <c r="BD67" s="55">
        <v>0</v>
      </c>
      <c r="BE67" s="39">
        <v>0</v>
      </c>
      <c r="BF67" s="39">
        <v>0</v>
      </c>
      <c r="BG67" s="38">
        <v>0</v>
      </c>
      <c r="BH67" s="39">
        <v>0</v>
      </c>
      <c r="BI67" s="39">
        <v>0</v>
      </c>
      <c r="BJ67" s="55">
        <v>0</v>
      </c>
      <c r="BK67" s="39">
        <v>0</v>
      </c>
      <c r="BL67" s="39">
        <v>0</v>
      </c>
      <c r="BM67" s="38">
        <v>0</v>
      </c>
      <c r="BN67" s="39">
        <v>0</v>
      </c>
      <c r="BO67" s="39">
        <v>0</v>
      </c>
      <c r="BP67" s="55">
        <v>0</v>
      </c>
      <c r="BQ67" s="77">
        <v>0</v>
      </c>
      <c r="BR67" s="40">
        <v>0</v>
      </c>
      <c r="BS67" s="55">
        <v>0</v>
      </c>
      <c r="BT67" s="39">
        <v>0</v>
      </c>
      <c r="BU67" s="39">
        <v>0</v>
      </c>
      <c r="BV67" s="52">
        <v>0</v>
      </c>
      <c r="BW67" s="39">
        <v>0</v>
      </c>
      <c r="BX67" s="39">
        <v>1.1880617694794933</v>
      </c>
      <c r="BY67" s="52">
        <v>1.1880617694794933</v>
      </c>
      <c r="BZ67" s="39">
        <v>0</v>
      </c>
      <c r="CA67" s="39">
        <v>0</v>
      </c>
      <c r="CB67" s="52">
        <v>0</v>
      </c>
      <c r="CC67" s="39">
        <v>0</v>
      </c>
      <c r="CD67" s="39">
        <v>0</v>
      </c>
      <c r="CE67" s="52">
        <v>0</v>
      </c>
      <c r="CF67" s="39">
        <v>0</v>
      </c>
      <c r="CG67" s="39">
        <v>0</v>
      </c>
      <c r="CH67" s="52">
        <v>0</v>
      </c>
      <c r="CI67" s="39">
        <v>0</v>
      </c>
      <c r="CJ67" s="39">
        <v>0</v>
      </c>
      <c r="CK67" s="52">
        <v>0</v>
      </c>
      <c r="CL67" s="39">
        <v>0</v>
      </c>
      <c r="CM67" s="39">
        <v>0</v>
      </c>
      <c r="CN67" s="52">
        <v>0</v>
      </c>
      <c r="CO67" s="39">
        <v>0</v>
      </c>
      <c r="CP67" s="40">
        <v>0</v>
      </c>
      <c r="CQ67" s="52">
        <v>0</v>
      </c>
      <c r="CR67" s="72">
        <v>824.52209869964497</v>
      </c>
      <c r="CS67" s="5">
        <v>985.69715620615852</v>
      </c>
      <c r="CT67" s="52">
        <v>161.17505750651355</v>
      </c>
      <c r="CU67" s="77">
        <v>989.4265184395739</v>
      </c>
      <c r="CV67" s="65">
        <v>1182.8365874473902</v>
      </c>
      <c r="CW67" s="35">
        <v>193.41006900781633</v>
      </c>
      <c r="CX67" s="39">
        <v>14.841390034834715</v>
      </c>
      <c r="CY67" s="39">
        <v>-178.5686789729815</v>
      </c>
      <c r="CZ67" s="52">
        <v>-193.41006900781622</v>
      </c>
      <c r="DA67" s="150">
        <v>10772.765538979214</v>
      </c>
      <c r="DB67" s="2">
        <v>1</v>
      </c>
      <c r="DC67" s="713">
        <v>1920.06</v>
      </c>
      <c r="DD67" s="714"/>
      <c r="DE67" s="715">
        <v>1417.9263038214253</v>
      </c>
      <c r="DF67" s="716">
        <v>0</v>
      </c>
      <c r="DG67" s="717">
        <v>12612.541525079872</v>
      </c>
      <c r="DH67" s="718">
        <v>4825.4911440822234</v>
      </c>
      <c r="DI67" s="718">
        <v>12051.214901692903</v>
      </c>
      <c r="DJ67" s="693">
        <v>10244.783962290234</v>
      </c>
      <c r="DK67" s="724"/>
      <c r="DL67" s="5"/>
      <c r="DM67" s="306">
        <v>1.7108473464346663</v>
      </c>
      <c r="DN67" s="306"/>
      <c r="DO67" s="306">
        <v>1.7108473464346663</v>
      </c>
      <c r="DP67" s="719">
        <v>502.13369617857455</v>
      </c>
      <c r="DQ67" s="720">
        <v>0</v>
      </c>
      <c r="DR67" s="650">
        <v>502.13369617857455</v>
      </c>
      <c r="DS67" s="94">
        <v>502.13421229583406</v>
      </c>
      <c r="DT67" s="719">
        <v>502.12</v>
      </c>
      <c r="DU67" s="721"/>
      <c r="DV67" s="93">
        <v>502.12</v>
      </c>
      <c r="DW67" s="95">
        <v>503.61809324068781</v>
      </c>
      <c r="DX67" s="28">
        <v>-1.4980932406878082</v>
      </c>
      <c r="EA67" s="5">
        <v>875.78440129233593</v>
      </c>
      <c r="EB67" s="5">
        <v>970.8</v>
      </c>
      <c r="EE67" s="729">
        <v>8757.8440129233604</v>
      </c>
      <c r="EG67" s="42" t="s">
        <v>61</v>
      </c>
    </row>
    <row r="68" spans="1:137" x14ac:dyDescent="0.3">
      <c r="A68" s="325">
        <v>150000529</v>
      </c>
      <c r="B68" s="41" t="s">
        <v>527</v>
      </c>
      <c r="C68" s="42" t="s">
        <v>348</v>
      </c>
      <c r="D68" s="27">
        <v>9</v>
      </c>
      <c r="E68" s="709">
        <v>8443.0499999999993</v>
      </c>
      <c r="F68" s="723">
        <v>8443.0499999999993</v>
      </c>
      <c r="G68" s="28">
        <v>979.2</v>
      </c>
      <c r="H68" s="651">
        <v>0</v>
      </c>
      <c r="I68" s="39">
        <v>2347.6975260114577</v>
      </c>
      <c r="J68" s="39">
        <v>1762.361643161089</v>
      </c>
      <c r="K68" s="52">
        <v>-585.33588285036876</v>
      </c>
      <c r="L68" s="39">
        <v>392.40867719068791</v>
      </c>
      <c r="M68" s="39">
        <v>204.85746709828553</v>
      </c>
      <c r="N68" s="52">
        <v>-187.55121009240239</v>
      </c>
      <c r="O68" s="39">
        <v>2124.54</v>
      </c>
      <c r="P68" s="39">
        <v>2124.54</v>
      </c>
      <c r="Q68" s="52">
        <v>0</v>
      </c>
      <c r="R68" s="39">
        <v>461.52</v>
      </c>
      <c r="S68" s="39">
        <v>461.52</v>
      </c>
      <c r="T68" s="52">
        <v>0</v>
      </c>
      <c r="U68" s="39">
        <v>384.16124015837795</v>
      </c>
      <c r="V68" s="39">
        <v>69.51171544109404</v>
      </c>
      <c r="W68" s="52">
        <v>-314.6495247172839</v>
      </c>
      <c r="X68" s="39">
        <v>3318.3688345038936</v>
      </c>
      <c r="Y68" s="39">
        <v>2332.3359440594049</v>
      </c>
      <c r="Z68" s="52">
        <v>-986.03289044448866</v>
      </c>
      <c r="AA68" s="39">
        <v>0</v>
      </c>
      <c r="AB68" s="39">
        <v>0</v>
      </c>
      <c r="AC68" s="52">
        <v>0</v>
      </c>
      <c r="AD68" s="39">
        <v>6016.8432377363724</v>
      </c>
      <c r="AE68" s="39">
        <v>5048.8315495182378</v>
      </c>
      <c r="AF68" s="35">
        <v>-968.01168821813462</v>
      </c>
      <c r="AG68" s="77">
        <v>15045.539515600787</v>
      </c>
      <c r="AH68" s="53">
        <v>12003.95831927811</v>
      </c>
      <c r="AI68" s="52">
        <v>-3041.581196322677</v>
      </c>
      <c r="AJ68" s="39">
        <v>17507.437174486666</v>
      </c>
      <c r="AK68" s="39">
        <v>17272.323286157272</v>
      </c>
      <c r="AL68" s="52">
        <v>-235.11388832939338</v>
      </c>
      <c r="AM68" s="39">
        <v>263.07035981182185</v>
      </c>
      <c r="AN68" s="39">
        <v>0</v>
      </c>
      <c r="AO68" s="52">
        <v>-263.07035981182185</v>
      </c>
      <c r="AP68" s="39">
        <v>1104.8539167092581</v>
      </c>
      <c r="AQ68" s="39">
        <v>6172.244310339569</v>
      </c>
      <c r="AR68" s="52">
        <v>5067.3903936303104</v>
      </c>
      <c r="AS68" s="39">
        <v>27894.71780304578</v>
      </c>
      <c r="AT68" s="39">
        <v>2155.6004303754953</v>
      </c>
      <c r="AU68" s="54">
        <v>-25739.117372670284</v>
      </c>
      <c r="AV68" s="39">
        <v>79.668368280872841</v>
      </c>
      <c r="AW68" s="39">
        <v>477</v>
      </c>
      <c r="AX68" s="55">
        <v>397.33163171912713</v>
      </c>
      <c r="AY68" s="39">
        <v>107.26776403088104</v>
      </c>
      <c r="AZ68" s="39">
        <v>0</v>
      </c>
      <c r="BA68" s="35">
        <v>-107.26776403088104</v>
      </c>
      <c r="BB68" s="39">
        <v>219.57380665742699</v>
      </c>
      <c r="BC68" s="39">
        <v>0</v>
      </c>
      <c r="BD68" s="55">
        <v>-219.57380665742699</v>
      </c>
      <c r="BE68" s="39">
        <v>90.336393042483721</v>
      </c>
      <c r="BF68" s="39">
        <v>0</v>
      </c>
      <c r="BG68" s="38">
        <v>-90.336393042483721</v>
      </c>
      <c r="BH68" s="39">
        <v>77.955933001127377</v>
      </c>
      <c r="BI68" s="39">
        <v>0</v>
      </c>
      <c r="BJ68" s="55">
        <v>-77.955933001127377</v>
      </c>
      <c r="BK68" s="39">
        <v>123.81884893767143</v>
      </c>
      <c r="BL68" s="39">
        <v>0</v>
      </c>
      <c r="BM68" s="38">
        <v>-123.81884893767143</v>
      </c>
      <c r="BN68" s="39">
        <v>232.74222385317006</v>
      </c>
      <c r="BO68" s="39">
        <v>0</v>
      </c>
      <c r="BP68" s="55">
        <v>-232.74222385317006</v>
      </c>
      <c r="BQ68" s="77">
        <v>931.36333780363339</v>
      </c>
      <c r="BR68" s="40">
        <v>477</v>
      </c>
      <c r="BS68" s="55">
        <v>-454.36333780363339</v>
      </c>
      <c r="BT68" s="39">
        <v>16382.728790387599</v>
      </c>
      <c r="BU68" s="39">
        <v>4565.7894565374727</v>
      </c>
      <c r="BV68" s="52">
        <v>-11816.939333850125</v>
      </c>
      <c r="BW68" s="39">
        <v>14646.095343258816</v>
      </c>
      <c r="BX68" s="39">
        <v>14421.041448299333</v>
      </c>
      <c r="BY68" s="52">
        <v>-225.05389495948293</v>
      </c>
      <c r="BZ68" s="39">
        <v>649.19522610755416</v>
      </c>
      <c r="CA68" s="39">
        <v>18924.086657079719</v>
      </c>
      <c r="CB68" s="52">
        <v>18274.891430972166</v>
      </c>
      <c r="CC68" s="39">
        <v>708.61430733319889</v>
      </c>
      <c r="CD68" s="39">
        <v>699.09895191008127</v>
      </c>
      <c r="CE68" s="52">
        <v>-9.5153554231176258</v>
      </c>
      <c r="CF68" s="39">
        <v>87.234715864882446</v>
      </c>
      <c r="CG68" s="39">
        <v>0</v>
      </c>
      <c r="CH68" s="52">
        <v>-87.234715864882446</v>
      </c>
      <c r="CI68" s="39">
        <v>2870.0205271694608</v>
      </c>
      <c r="CJ68" s="39">
        <v>2891.6472262111074</v>
      </c>
      <c r="CK68" s="52">
        <v>21.626699041646589</v>
      </c>
      <c r="CL68" s="39">
        <v>2657.8885751612834</v>
      </c>
      <c r="CM68" s="39">
        <v>3857.5914988507993</v>
      </c>
      <c r="CN68" s="52">
        <v>1199.702923689516</v>
      </c>
      <c r="CO68" s="39">
        <v>5527.9091023307446</v>
      </c>
      <c r="CP68" s="40">
        <v>6749.2387250619067</v>
      </c>
      <c r="CQ68" s="52">
        <v>1221.3296227311621</v>
      </c>
      <c r="CR68" s="72">
        <v>100748.75959274072</v>
      </c>
      <c r="CS68" s="5">
        <v>83440.381585038966</v>
      </c>
      <c r="CT68" s="52">
        <v>-17308.378007701758</v>
      </c>
      <c r="CU68" s="77">
        <v>120898.51151128886</v>
      </c>
      <c r="CV68" s="65">
        <v>100128.45790204675</v>
      </c>
      <c r="CW68" s="35">
        <v>-20770.05360924211</v>
      </c>
      <c r="CX68" s="39">
        <v>2417.9702302257774</v>
      </c>
      <c r="CY68" s="39">
        <v>23188.023839467889</v>
      </c>
      <c r="CZ68" s="52">
        <v>20770.05360924211</v>
      </c>
      <c r="DA68" s="150">
        <v>144680.3906381909</v>
      </c>
      <c r="DB68" s="2">
        <v>1</v>
      </c>
      <c r="DC68" s="713">
        <v>134004.43</v>
      </c>
      <c r="DD68" s="714"/>
      <c r="DE68" s="715">
        <v>72346.189129242674</v>
      </c>
      <c r="DF68" s="716">
        <v>0</v>
      </c>
      <c r="DG68" s="717">
        <v>-96481.790225276374</v>
      </c>
      <c r="DH68" s="718">
        <v>592143.99157422967</v>
      </c>
      <c r="DI68" s="718">
        <v>1479797.7808981757</v>
      </c>
      <c r="DJ68" s="693">
        <v>1257884.3335671893</v>
      </c>
      <c r="DK68" s="724"/>
      <c r="DL68" s="5"/>
      <c r="DM68" s="306">
        <v>5.822074067045433</v>
      </c>
      <c r="DN68" s="306">
        <v>7.4971048378928344</v>
      </c>
      <c r="DO68" s="306">
        <v>4.760442269285809</v>
      </c>
      <c r="DP68" s="719">
        <v>61658.240870757312</v>
      </c>
      <c r="DQ68" s="720">
        <v>0</v>
      </c>
      <c r="DR68" s="650">
        <v>61658.240870757312</v>
      </c>
      <c r="DS68" s="94">
        <v>61658.240870757327</v>
      </c>
      <c r="DT68" s="719">
        <v>61576.56</v>
      </c>
      <c r="DU68" s="721"/>
      <c r="DV68" s="93">
        <v>61576.56</v>
      </c>
      <c r="DW68" s="95">
        <v>61900.037893779896</v>
      </c>
      <c r="DX68" s="28">
        <v>-323.4778937798983</v>
      </c>
      <c r="EA68" s="5">
        <v>34591.297369019296</v>
      </c>
      <c r="EB68" s="5">
        <v>3159.1205164505941</v>
      </c>
      <c r="EE68" s="722">
        <v>334736.61363654933</v>
      </c>
      <c r="EG68" s="42" t="s">
        <v>348</v>
      </c>
    </row>
    <row r="69" spans="1:137" x14ac:dyDescent="0.3">
      <c r="A69" s="325">
        <v>150000530</v>
      </c>
      <c r="B69" s="41" t="s">
        <v>528</v>
      </c>
      <c r="C69" s="42" t="s">
        <v>63</v>
      </c>
      <c r="D69" s="27">
        <v>1</v>
      </c>
      <c r="E69" s="709">
        <v>174.9</v>
      </c>
      <c r="F69" s="723">
        <v>174.9</v>
      </c>
      <c r="G69" s="28"/>
      <c r="H69" s="651">
        <v>0</v>
      </c>
      <c r="I69" s="39">
        <v>0</v>
      </c>
      <c r="J69" s="39">
        <v>0</v>
      </c>
      <c r="K69" s="52">
        <v>0</v>
      </c>
      <c r="L69" s="39">
        <v>0</v>
      </c>
      <c r="M69" s="39">
        <v>0</v>
      </c>
      <c r="N69" s="52">
        <v>0</v>
      </c>
      <c r="O69" s="39">
        <v>0</v>
      </c>
      <c r="P69" s="39">
        <v>0</v>
      </c>
      <c r="Q69" s="52">
        <v>0</v>
      </c>
      <c r="R69" s="39">
        <v>0</v>
      </c>
      <c r="S69" s="39">
        <v>0</v>
      </c>
      <c r="T69" s="52">
        <v>0</v>
      </c>
      <c r="U69" s="39">
        <v>0</v>
      </c>
      <c r="V69" s="39">
        <v>0</v>
      </c>
      <c r="W69" s="52">
        <v>0</v>
      </c>
      <c r="X69" s="39">
        <v>0</v>
      </c>
      <c r="Y69" s="39">
        <v>0</v>
      </c>
      <c r="Z69" s="52">
        <v>0</v>
      </c>
      <c r="AA69" s="39">
        <v>0</v>
      </c>
      <c r="AB69" s="39">
        <v>0</v>
      </c>
      <c r="AC69" s="52">
        <v>0</v>
      </c>
      <c r="AD69" s="39">
        <v>0</v>
      </c>
      <c r="AE69" s="39">
        <v>104.58787263023905</v>
      </c>
      <c r="AF69" s="35">
        <v>104.58787263023905</v>
      </c>
      <c r="AG69" s="77">
        <v>0</v>
      </c>
      <c r="AH69" s="53">
        <v>104.58787263023905</v>
      </c>
      <c r="AI69" s="52">
        <v>104.58787263023905</v>
      </c>
      <c r="AJ69" s="39">
        <v>0</v>
      </c>
      <c r="AK69" s="39">
        <v>0</v>
      </c>
      <c r="AL69" s="52">
        <v>0</v>
      </c>
      <c r="AM69" s="39">
        <v>0</v>
      </c>
      <c r="AN69" s="39">
        <v>0</v>
      </c>
      <c r="AO69" s="52">
        <v>0</v>
      </c>
      <c r="AP69" s="39">
        <v>118.37720536170622</v>
      </c>
      <c r="AQ69" s="39">
        <v>0</v>
      </c>
      <c r="AR69" s="52">
        <v>-118.37720536170622</v>
      </c>
      <c r="AS69" s="39">
        <v>543.55058287898601</v>
      </c>
      <c r="AT69" s="39">
        <v>809</v>
      </c>
      <c r="AU69" s="54">
        <v>265.44941712101399</v>
      </c>
      <c r="AV69" s="39">
        <v>0</v>
      </c>
      <c r="AW69" s="39">
        <v>0</v>
      </c>
      <c r="AX69" s="55">
        <v>0</v>
      </c>
      <c r="AY69" s="39">
        <v>0</v>
      </c>
      <c r="AZ69" s="39">
        <v>0</v>
      </c>
      <c r="BA69" s="35">
        <v>0</v>
      </c>
      <c r="BB69" s="39">
        <v>0</v>
      </c>
      <c r="BC69" s="39">
        <v>0</v>
      </c>
      <c r="BD69" s="55">
        <v>0</v>
      </c>
      <c r="BE69" s="39">
        <v>0</v>
      </c>
      <c r="BF69" s="39">
        <v>0</v>
      </c>
      <c r="BG69" s="38">
        <v>0</v>
      </c>
      <c r="BH69" s="39">
        <v>0</v>
      </c>
      <c r="BI69" s="39">
        <v>0</v>
      </c>
      <c r="BJ69" s="55">
        <v>0</v>
      </c>
      <c r="BK69" s="39">
        <v>0</v>
      </c>
      <c r="BL69" s="39">
        <v>0</v>
      </c>
      <c r="BM69" s="38">
        <v>0</v>
      </c>
      <c r="BN69" s="39">
        <v>0</v>
      </c>
      <c r="BO69" s="39">
        <v>0</v>
      </c>
      <c r="BP69" s="55">
        <v>0</v>
      </c>
      <c r="BQ69" s="77">
        <v>0</v>
      </c>
      <c r="BR69" s="40">
        <v>0</v>
      </c>
      <c r="BS69" s="55">
        <v>0</v>
      </c>
      <c r="BT69" s="39">
        <v>0</v>
      </c>
      <c r="BU69" s="39">
        <v>0</v>
      </c>
      <c r="BV69" s="52">
        <v>0</v>
      </c>
      <c r="BW69" s="39">
        <v>0</v>
      </c>
      <c r="BX69" s="39">
        <v>0.70797956893343561</v>
      </c>
      <c r="BY69" s="52">
        <v>0.70797956893343561</v>
      </c>
      <c r="BZ69" s="39">
        <v>0</v>
      </c>
      <c r="CA69" s="39">
        <v>0</v>
      </c>
      <c r="CB69" s="52">
        <v>0</v>
      </c>
      <c r="CC69" s="39">
        <v>0</v>
      </c>
      <c r="CD69" s="39">
        <v>0</v>
      </c>
      <c r="CE69" s="52">
        <v>0</v>
      </c>
      <c r="CF69" s="39">
        <v>0</v>
      </c>
      <c r="CG69" s="39">
        <v>0</v>
      </c>
      <c r="CH69" s="52">
        <v>0</v>
      </c>
      <c r="CI69" s="39">
        <v>0</v>
      </c>
      <c r="CJ69" s="39">
        <v>0</v>
      </c>
      <c r="CK69" s="52">
        <v>0</v>
      </c>
      <c r="CL69" s="39">
        <v>0</v>
      </c>
      <c r="CM69" s="39">
        <v>0</v>
      </c>
      <c r="CN69" s="52">
        <v>0</v>
      </c>
      <c r="CO69" s="39">
        <v>0</v>
      </c>
      <c r="CP69" s="40">
        <v>0</v>
      </c>
      <c r="CQ69" s="52">
        <v>0</v>
      </c>
      <c r="CR69" s="72">
        <v>661.92778824069228</v>
      </c>
      <c r="CS69" s="5">
        <v>914.29585219917249</v>
      </c>
      <c r="CT69" s="52">
        <v>252.36806395848021</v>
      </c>
      <c r="CU69" s="77">
        <v>794.31334588883067</v>
      </c>
      <c r="CV69" s="65">
        <v>1097.155022639007</v>
      </c>
      <c r="CW69" s="35">
        <v>302.84167675017636</v>
      </c>
      <c r="CX69" s="39">
        <v>11.914716188472827</v>
      </c>
      <c r="CY69" s="39">
        <v>-290.92696056170348</v>
      </c>
      <c r="CZ69" s="52">
        <v>-302.8416767501763</v>
      </c>
      <c r="DA69" s="150">
        <v>8735.3299622839186</v>
      </c>
      <c r="DB69" s="2">
        <v>1</v>
      </c>
      <c r="DC69" s="713">
        <v>1964.59</v>
      </c>
      <c r="DD69" s="714"/>
      <c r="DE69" s="715">
        <v>1561.4754356233359</v>
      </c>
      <c r="DF69" s="716">
        <v>0</v>
      </c>
      <c r="DG69" s="717">
        <v>9038.4033948822489</v>
      </c>
      <c r="DH69" s="718">
        <v>4001.2041594728071</v>
      </c>
      <c r="DI69" s="718">
        <v>9674.7367449276426</v>
      </c>
      <c r="DJ69" s="693">
        <v>8256.3535985639355</v>
      </c>
      <c r="DK69" s="724"/>
      <c r="DL69" s="5"/>
      <c r="DM69" s="306">
        <v>2.3048288414903602</v>
      </c>
      <c r="DN69" s="306"/>
      <c r="DO69" s="306">
        <v>2.3048288414903602</v>
      </c>
      <c r="DP69" s="719">
        <v>403.11456437666402</v>
      </c>
      <c r="DQ69" s="720">
        <v>0</v>
      </c>
      <c r="DR69" s="650">
        <v>403.11456437666402</v>
      </c>
      <c r="DS69" s="94">
        <v>403.11349770063953</v>
      </c>
      <c r="DT69" s="719">
        <v>403.11</v>
      </c>
      <c r="DU69" s="721"/>
      <c r="DV69" s="93">
        <v>403.11</v>
      </c>
      <c r="DW69" s="95">
        <v>404.30550265749906</v>
      </c>
      <c r="DX69" s="28">
        <v>-1.1955026574990484</v>
      </c>
      <c r="EA69" s="5">
        <v>652.26069945478321</v>
      </c>
      <c r="EB69" s="5">
        <v>970.8</v>
      </c>
      <c r="EE69" s="729">
        <v>6522.6069945478321</v>
      </c>
      <c r="EG69" s="42" t="s">
        <v>63</v>
      </c>
    </row>
    <row r="70" spans="1:137" x14ac:dyDescent="0.3">
      <c r="A70" s="325">
        <v>150000544</v>
      </c>
      <c r="B70" s="41" t="s">
        <v>530</v>
      </c>
      <c r="C70" s="42" t="s">
        <v>65</v>
      </c>
      <c r="D70" s="27">
        <v>1</v>
      </c>
      <c r="E70" s="709">
        <v>136.9</v>
      </c>
      <c r="F70" s="723">
        <v>136.9</v>
      </c>
      <c r="G70" s="28"/>
      <c r="H70" s="651">
        <v>0</v>
      </c>
      <c r="I70" s="39">
        <v>0</v>
      </c>
      <c r="J70" s="39">
        <v>0</v>
      </c>
      <c r="K70" s="52">
        <v>0</v>
      </c>
      <c r="L70" s="39">
        <v>0</v>
      </c>
      <c r="M70" s="39">
        <v>0</v>
      </c>
      <c r="N70" s="52">
        <v>0</v>
      </c>
      <c r="O70" s="39">
        <v>0</v>
      </c>
      <c r="P70" s="39">
        <v>0</v>
      </c>
      <c r="Q70" s="52">
        <v>0</v>
      </c>
      <c r="R70" s="39">
        <v>0</v>
      </c>
      <c r="S70" s="39">
        <v>0</v>
      </c>
      <c r="T70" s="52">
        <v>0</v>
      </c>
      <c r="U70" s="39">
        <v>0</v>
      </c>
      <c r="V70" s="39">
        <v>0</v>
      </c>
      <c r="W70" s="52">
        <v>0</v>
      </c>
      <c r="X70" s="39">
        <v>0</v>
      </c>
      <c r="Y70" s="39">
        <v>0</v>
      </c>
      <c r="Z70" s="52">
        <v>0</v>
      </c>
      <c r="AA70" s="39">
        <v>0</v>
      </c>
      <c r="AB70" s="39">
        <v>0</v>
      </c>
      <c r="AC70" s="52">
        <v>0</v>
      </c>
      <c r="AD70" s="39">
        <v>0</v>
      </c>
      <c r="AE70" s="39">
        <v>81.864378290907524</v>
      </c>
      <c r="AF70" s="35">
        <v>81.864378290907524</v>
      </c>
      <c r="AG70" s="77">
        <v>0</v>
      </c>
      <c r="AH70" s="53">
        <v>81.864378290907524</v>
      </c>
      <c r="AI70" s="52">
        <v>81.864378290907524</v>
      </c>
      <c r="AJ70" s="39">
        <v>0</v>
      </c>
      <c r="AK70" s="39">
        <v>0</v>
      </c>
      <c r="AL70" s="52">
        <v>0</v>
      </c>
      <c r="AM70" s="39">
        <v>0</v>
      </c>
      <c r="AN70" s="39">
        <v>0</v>
      </c>
      <c r="AO70" s="52">
        <v>0</v>
      </c>
      <c r="AP70" s="39">
        <v>55.242695835462904</v>
      </c>
      <c r="AQ70" s="39">
        <v>0</v>
      </c>
      <c r="AR70" s="52">
        <v>-55.242695835462904</v>
      </c>
      <c r="AS70" s="39">
        <v>339.49057757246862</v>
      </c>
      <c r="AT70" s="39">
        <v>0</v>
      </c>
      <c r="AU70" s="54">
        <v>-339.49057757246862</v>
      </c>
      <c r="AV70" s="39">
        <v>0</v>
      </c>
      <c r="AW70" s="39">
        <v>0</v>
      </c>
      <c r="AX70" s="55">
        <v>0</v>
      </c>
      <c r="AY70" s="39">
        <v>0</v>
      </c>
      <c r="AZ70" s="39">
        <v>0</v>
      </c>
      <c r="BA70" s="35">
        <v>0</v>
      </c>
      <c r="BB70" s="39">
        <v>0</v>
      </c>
      <c r="BC70" s="39">
        <v>0</v>
      </c>
      <c r="BD70" s="55">
        <v>0</v>
      </c>
      <c r="BE70" s="39">
        <v>0</v>
      </c>
      <c r="BF70" s="39">
        <v>0</v>
      </c>
      <c r="BG70" s="38">
        <v>0</v>
      </c>
      <c r="BH70" s="39">
        <v>0</v>
      </c>
      <c r="BI70" s="39">
        <v>0</v>
      </c>
      <c r="BJ70" s="55">
        <v>0</v>
      </c>
      <c r="BK70" s="39">
        <v>0</v>
      </c>
      <c r="BL70" s="39">
        <v>0</v>
      </c>
      <c r="BM70" s="38">
        <v>0</v>
      </c>
      <c r="BN70" s="39">
        <v>0</v>
      </c>
      <c r="BO70" s="39">
        <v>0</v>
      </c>
      <c r="BP70" s="55">
        <v>0</v>
      </c>
      <c r="BQ70" s="77">
        <v>0</v>
      </c>
      <c r="BR70" s="40">
        <v>0</v>
      </c>
      <c r="BS70" s="55">
        <v>0</v>
      </c>
      <c r="BT70" s="39">
        <v>0</v>
      </c>
      <c r="BU70" s="39">
        <v>0</v>
      </c>
      <c r="BV70" s="52">
        <v>0</v>
      </c>
      <c r="BW70" s="39">
        <v>0</v>
      </c>
      <c r="BX70" s="39">
        <v>0.5541589650485268</v>
      </c>
      <c r="BY70" s="52">
        <v>0.5541589650485268</v>
      </c>
      <c r="BZ70" s="39">
        <v>0</v>
      </c>
      <c r="CA70" s="39">
        <v>0</v>
      </c>
      <c r="CB70" s="52">
        <v>0</v>
      </c>
      <c r="CC70" s="39">
        <v>0</v>
      </c>
      <c r="CD70" s="39">
        <v>0</v>
      </c>
      <c r="CE70" s="52">
        <v>0</v>
      </c>
      <c r="CF70" s="39">
        <v>0</v>
      </c>
      <c r="CG70" s="39">
        <v>0</v>
      </c>
      <c r="CH70" s="52">
        <v>0</v>
      </c>
      <c r="CI70" s="39">
        <v>0</v>
      </c>
      <c r="CJ70" s="39">
        <v>0</v>
      </c>
      <c r="CK70" s="52">
        <v>0</v>
      </c>
      <c r="CL70" s="39">
        <v>0</v>
      </c>
      <c r="CM70" s="39">
        <v>0</v>
      </c>
      <c r="CN70" s="52">
        <v>0</v>
      </c>
      <c r="CO70" s="39">
        <v>0</v>
      </c>
      <c r="CP70" s="40">
        <v>0</v>
      </c>
      <c r="CQ70" s="52">
        <v>0</v>
      </c>
      <c r="CR70" s="72">
        <v>394.73327340793151</v>
      </c>
      <c r="CS70" s="5">
        <v>82.418537255956053</v>
      </c>
      <c r="CT70" s="52">
        <v>-312.31473615197547</v>
      </c>
      <c r="CU70" s="77">
        <v>473.67992808951777</v>
      </c>
      <c r="CV70" s="65">
        <v>98.902244707147261</v>
      </c>
      <c r="CW70" s="35">
        <v>-374.77768338237053</v>
      </c>
      <c r="CX70" s="39">
        <v>11.842004438970655</v>
      </c>
      <c r="CY70" s="39">
        <v>386.61968782134119</v>
      </c>
      <c r="CZ70" s="52">
        <v>374.77768338237053</v>
      </c>
      <c r="DA70" s="150">
        <v>5539.5441736812918</v>
      </c>
      <c r="DB70" s="2">
        <v>1</v>
      </c>
      <c r="DC70" s="713">
        <v>3345.02</v>
      </c>
      <c r="DD70" s="714"/>
      <c r="DE70" s="715">
        <v>3102.2589090011015</v>
      </c>
      <c r="DF70" s="716">
        <v>0</v>
      </c>
      <c r="DG70" s="717">
        <v>8190.5549237277919</v>
      </c>
      <c r="DH70" s="718">
        <v>2331.031614670248</v>
      </c>
      <c r="DI70" s="718">
        <v>5826.2631903418614</v>
      </c>
      <c r="DJ70" s="693">
        <v>4952.4552964239574</v>
      </c>
      <c r="DK70" s="724"/>
      <c r="DL70" s="5"/>
      <c r="DM70" s="306">
        <v>1.7732731263615662</v>
      </c>
      <c r="DN70" s="306"/>
      <c r="DO70" s="306">
        <v>1.7732731263615662</v>
      </c>
      <c r="DP70" s="719">
        <v>242.76109099889842</v>
      </c>
      <c r="DQ70" s="720">
        <v>0</v>
      </c>
      <c r="DR70" s="650">
        <v>242.76109099889842</v>
      </c>
      <c r="DS70" s="94">
        <v>242.76084152959001</v>
      </c>
      <c r="DT70" s="719">
        <v>242.77</v>
      </c>
      <c r="DU70" s="721"/>
      <c r="DV70" s="93">
        <v>242.77</v>
      </c>
      <c r="DW70" s="95">
        <v>243.9451667081413</v>
      </c>
      <c r="DX70" s="28">
        <v>-1.1751667081412904</v>
      </c>
      <c r="EA70" s="5">
        <v>407.38869308696235</v>
      </c>
      <c r="EB70" s="5">
        <v>0</v>
      </c>
      <c r="EE70" s="729">
        <v>4073.8869308696235</v>
      </c>
      <c r="EG70" s="42" t="s">
        <v>65</v>
      </c>
    </row>
    <row r="71" spans="1:137" x14ac:dyDescent="0.3">
      <c r="A71" s="325">
        <v>150000531</v>
      </c>
      <c r="B71" s="41" t="s">
        <v>531</v>
      </c>
      <c r="C71" s="42" t="s">
        <v>349</v>
      </c>
      <c r="D71" s="27">
        <v>9</v>
      </c>
      <c r="E71" s="709">
        <v>7614.5</v>
      </c>
      <c r="F71" s="723">
        <v>7614.5</v>
      </c>
      <c r="G71" s="28">
        <v>765.25</v>
      </c>
      <c r="H71" s="651">
        <v>0</v>
      </c>
      <c r="I71" s="39">
        <v>3198.5741164837109</v>
      </c>
      <c r="J71" s="39">
        <v>2395.6533222749704</v>
      </c>
      <c r="K71" s="52">
        <v>-802.92079420874052</v>
      </c>
      <c r="L71" s="39">
        <v>527.33756749000668</v>
      </c>
      <c r="M71" s="39">
        <v>275.29733513660517</v>
      </c>
      <c r="N71" s="52">
        <v>-252.04023235340151</v>
      </c>
      <c r="O71" s="39">
        <v>1900.94</v>
      </c>
      <c r="P71" s="39">
        <v>1900.94</v>
      </c>
      <c r="Q71" s="52">
        <v>0</v>
      </c>
      <c r="R71" s="39">
        <v>411.2</v>
      </c>
      <c r="S71" s="39">
        <v>411.2</v>
      </c>
      <c r="T71" s="52">
        <v>0</v>
      </c>
      <c r="U71" s="39">
        <v>576.24186023756681</v>
      </c>
      <c r="V71" s="39">
        <v>126.49379407241169</v>
      </c>
      <c r="W71" s="52">
        <v>-449.74806616515514</v>
      </c>
      <c r="X71" s="39">
        <v>2627.0034835670463</v>
      </c>
      <c r="Y71" s="39">
        <v>1823.3345798062408</v>
      </c>
      <c r="Z71" s="52">
        <v>-803.66890376080551</v>
      </c>
      <c r="AA71" s="39">
        <v>0</v>
      </c>
      <c r="AB71" s="39">
        <v>0</v>
      </c>
      <c r="AC71" s="52">
        <v>0</v>
      </c>
      <c r="AD71" s="39">
        <v>5426.3865349303405</v>
      </c>
      <c r="AE71" s="39">
        <v>4553.3696749168394</v>
      </c>
      <c r="AF71" s="35">
        <v>-873.01686001350117</v>
      </c>
      <c r="AG71" s="77">
        <v>14667.683562708669</v>
      </c>
      <c r="AH71" s="53">
        <v>11486.288706207068</v>
      </c>
      <c r="AI71" s="52">
        <v>-3181.3948565016017</v>
      </c>
      <c r="AJ71" s="39">
        <v>10940.504879909146</v>
      </c>
      <c r="AK71" s="39">
        <v>10793.572523021896</v>
      </c>
      <c r="AL71" s="52">
        <v>-146.93235688724963</v>
      </c>
      <c r="AM71" s="39">
        <v>526.14071962364369</v>
      </c>
      <c r="AN71" s="39">
        <v>0</v>
      </c>
      <c r="AO71" s="52">
        <v>-526.14071962364369</v>
      </c>
      <c r="AP71" s="39">
        <v>923.34220182130855</v>
      </c>
      <c r="AQ71" s="39">
        <v>5190.2963518764564</v>
      </c>
      <c r="AR71" s="52">
        <v>4266.9541500551477</v>
      </c>
      <c r="AS71" s="39">
        <v>20978.873295414356</v>
      </c>
      <c r="AT71" s="39">
        <v>583.47121681213309</v>
      </c>
      <c r="AU71" s="54">
        <v>-20395.402078602223</v>
      </c>
      <c r="AV71" s="39">
        <v>261.46872234701635</v>
      </c>
      <c r="AW71" s="39">
        <v>390</v>
      </c>
      <c r="AX71" s="55">
        <v>128.53127765298365</v>
      </c>
      <c r="AY71" s="39">
        <v>351.30774901844745</v>
      </c>
      <c r="AZ71" s="39">
        <v>0</v>
      </c>
      <c r="BA71" s="35">
        <v>-351.30774901844745</v>
      </c>
      <c r="BB71" s="39">
        <v>483.70917241723362</v>
      </c>
      <c r="BC71" s="39">
        <v>0</v>
      </c>
      <c r="BD71" s="55">
        <v>-483.70917241723362</v>
      </c>
      <c r="BE71" s="39">
        <v>185.6386927230358</v>
      </c>
      <c r="BF71" s="39">
        <v>0</v>
      </c>
      <c r="BG71" s="38">
        <v>-185.6386927230358</v>
      </c>
      <c r="BH71" s="39">
        <v>292.3226339843186</v>
      </c>
      <c r="BI71" s="39">
        <v>0</v>
      </c>
      <c r="BJ71" s="55">
        <v>-292.3226339843186</v>
      </c>
      <c r="BK71" s="39">
        <v>235.82173208405922</v>
      </c>
      <c r="BL71" s="39">
        <v>0</v>
      </c>
      <c r="BM71" s="38">
        <v>-235.82173208405922</v>
      </c>
      <c r="BN71" s="39">
        <v>142.02289427059736</v>
      </c>
      <c r="BO71" s="39">
        <v>0</v>
      </c>
      <c r="BP71" s="55">
        <v>-142.02289427059736</v>
      </c>
      <c r="BQ71" s="77">
        <v>1952.2915968447085</v>
      </c>
      <c r="BR71" s="40">
        <v>390</v>
      </c>
      <c r="BS71" s="55">
        <v>-1562.2915968447085</v>
      </c>
      <c r="BT71" s="39">
        <v>13789.566830533042</v>
      </c>
      <c r="BU71" s="39">
        <v>830.8712315870614</v>
      </c>
      <c r="BV71" s="52">
        <v>-12958.69559894598</v>
      </c>
      <c r="BW71" s="39">
        <v>10503.156030901628</v>
      </c>
      <c r="BX71" s="39">
        <v>4304.4581980964822</v>
      </c>
      <c r="BY71" s="52">
        <v>-6198.6978328051455</v>
      </c>
      <c r="BZ71" s="39">
        <v>1731.1872696201444</v>
      </c>
      <c r="CA71" s="39">
        <v>5771.9728661093113</v>
      </c>
      <c r="CB71" s="52">
        <v>4040.7855964891669</v>
      </c>
      <c r="CC71" s="39">
        <v>457.18000900653158</v>
      </c>
      <c r="CD71" s="39">
        <v>451.04094261594037</v>
      </c>
      <c r="CE71" s="52">
        <v>-6.1390663905912106</v>
      </c>
      <c r="CF71" s="39">
        <v>56.281629896637412</v>
      </c>
      <c r="CG71" s="39">
        <v>0</v>
      </c>
      <c r="CH71" s="52">
        <v>-56.281629896637412</v>
      </c>
      <c r="CI71" s="39">
        <v>2738.9978509291154</v>
      </c>
      <c r="CJ71" s="39">
        <v>4060.894945690151</v>
      </c>
      <c r="CK71" s="52">
        <v>1321.8970947610355</v>
      </c>
      <c r="CL71" s="39">
        <v>4108.4967763936729</v>
      </c>
      <c r="CM71" s="39">
        <v>6092.8798053571163</v>
      </c>
      <c r="CN71" s="52">
        <v>1984.3830289634434</v>
      </c>
      <c r="CO71" s="39">
        <v>6847.4946273227888</v>
      </c>
      <c r="CP71" s="40">
        <v>10153.774751047267</v>
      </c>
      <c r="CQ71" s="52">
        <v>3306.2801237244785</v>
      </c>
      <c r="CR71" s="72">
        <v>83373.702653602595</v>
      </c>
      <c r="CS71" s="5">
        <v>49955.74678737361</v>
      </c>
      <c r="CT71" s="52">
        <v>-33417.955866228986</v>
      </c>
      <c r="CU71" s="77">
        <v>100048.44318432311</v>
      </c>
      <c r="CV71" s="65">
        <v>59946.896144848331</v>
      </c>
      <c r="CW71" s="35">
        <v>-40101.547039474783</v>
      </c>
      <c r="CX71" s="39">
        <v>2000.9688636864623</v>
      </c>
      <c r="CY71" s="39">
        <v>42102.515903161242</v>
      </c>
      <c r="CZ71" s="52">
        <v>40101.547039474783</v>
      </c>
      <c r="DA71" s="150">
        <v>13764.489816510599</v>
      </c>
      <c r="DB71" s="2">
        <v>1</v>
      </c>
      <c r="DC71" s="713">
        <v>123978.5</v>
      </c>
      <c r="DD71" s="714"/>
      <c r="DE71" s="715">
        <v>72953.793975995213</v>
      </c>
      <c r="DF71" s="716">
        <v>0</v>
      </c>
      <c r="DG71" s="717">
        <v>35860.440366492199</v>
      </c>
      <c r="DH71" s="718">
        <v>489502.42213740828</v>
      </c>
      <c r="DI71" s="718">
        <v>1224592.9445761149</v>
      </c>
      <c r="DJ71" s="693">
        <v>1040820.3139664382</v>
      </c>
      <c r="DK71" s="724"/>
      <c r="DL71" s="5"/>
      <c r="DM71" s="306">
        <v>5.4491718287396145</v>
      </c>
      <c r="DN71" s="306">
        <v>6.84085517130515</v>
      </c>
      <c r="DO71" s="306">
        <v>4.6050019566650464</v>
      </c>
      <c r="DP71" s="719">
        <v>51024.706024004794</v>
      </c>
      <c r="DQ71" s="720">
        <v>0</v>
      </c>
      <c r="DR71" s="650">
        <v>51024.706024004794</v>
      </c>
      <c r="DS71" s="94">
        <v>51024.706024004779</v>
      </c>
      <c r="DT71" s="719">
        <v>50896.7</v>
      </c>
      <c r="DU71" s="721"/>
      <c r="DV71" s="93">
        <v>50896.7</v>
      </c>
      <c r="DW71" s="95">
        <v>51224.80291037343</v>
      </c>
      <c r="DX71" s="28">
        <v>-328.10291037343268</v>
      </c>
      <c r="EA71" s="5">
        <v>27517.397870710876</v>
      </c>
      <c r="EB71" s="5">
        <v>1168.1654601745597</v>
      </c>
      <c r="EE71" s="722">
        <v>251746.47954497227</v>
      </c>
      <c r="EG71" s="42" t="s">
        <v>349</v>
      </c>
    </row>
    <row r="72" spans="1:137" x14ac:dyDescent="0.3">
      <c r="A72" s="325">
        <v>150000532</v>
      </c>
      <c r="B72" s="41" t="s">
        <v>532</v>
      </c>
      <c r="C72" s="42" t="s">
        <v>254</v>
      </c>
      <c r="D72" s="27">
        <v>5</v>
      </c>
      <c r="E72" s="709">
        <v>2489.87</v>
      </c>
      <c r="F72" s="723">
        <v>2489.87</v>
      </c>
      <c r="G72" s="28"/>
      <c r="H72" s="651">
        <v>0</v>
      </c>
      <c r="I72" s="39">
        <v>1344.3932896630999</v>
      </c>
      <c r="J72" s="39">
        <v>1006.1098043214779</v>
      </c>
      <c r="K72" s="52">
        <v>-338.28348534162205</v>
      </c>
      <c r="L72" s="39">
        <v>286.23374612549731</v>
      </c>
      <c r="M72" s="39">
        <v>149.42726392339441</v>
      </c>
      <c r="N72" s="52">
        <v>-136.8064822021029</v>
      </c>
      <c r="O72" s="39">
        <v>638.55999999999995</v>
      </c>
      <c r="P72" s="39">
        <v>638.55999999999995</v>
      </c>
      <c r="Q72" s="52">
        <v>0</v>
      </c>
      <c r="R72" s="39">
        <v>133.26</v>
      </c>
      <c r="S72" s="39">
        <v>133.26</v>
      </c>
      <c r="T72" s="52">
        <v>0</v>
      </c>
      <c r="U72" s="39">
        <v>88.645113504097054</v>
      </c>
      <c r="V72" s="39">
        <v>16.039792654400298</v>
      </c>
      <c r="W72" s="52">
        <v>-72.605320849696753</v>
      </c>
      <c r="X72" s="39">
        <v>895.69712760030052</v>
      </c>
      <c r="Y72" s="39">
        <v>587.67092175084463</v>
      </c>
      <c r="Z72" s="52">
        <v>-308.02620584945589</v>
      </c>
      <c r="AA72" s="39">
        <v>0</v>
      </c>
      <c r="AB72" s="39">
        <v>0</v>
      </c>
      <c r="AC72" s="52">
        <v>0</v>
      </c>
      <c r="AD72" s="39">
        <v>1774.3774432631174</v>
      </c>
      <c r="AE72" s="39">
        <v>1488.9091276492468</v>
      </c>
      <c r="AF72" s="35">
        <v>-285.46831561387057</v>
      </c>
      <c r="AG72" s="77">
        <v>5161.1667201561122</v>
      </c>
      <c r="AH72" s="53">
        <v>4019.9769102993637</v>
      </c>
      <c r="AI72" s="52">
        <v>-1141.1898098567485</v>
      </c>
      <c r="AJ72" s="39">
        <v>0</v>
      </c>
      <c r="AK72" s="39">
        <v>0</v>
      </c>
      <c r="AL72" s="52">
        <v>0</v>
      </c>
      <c r="AM72" s="39">
        <v>0</v>
      </c>
      <c r="AN72" s="39">
        <v>0</v>
      </c>
      <c r="AO72" s="52">
        <v>0</v>
      </c>
      <c r="AP72" s="39">
        <v>355.13161608511865</v>
      </c>
      <c r="AQ72" s="39">
        <v>0</v>
      </c>
      <c r="AR72" s="52">
        <v>-355.13161608511865</v>
      </c>
      <c r="AS72" s="39">
        <v>4098.2820626538005</v>
      </c>
      <c r="AT72" s="39">
        <v>0</v>
      </c>
      <c r="AU72" s="54">
        <v>-4098.2820626538005</v>
      </c>
      <c r="AV72" s="39">
        <v>242.09477570878985</v>
      </c>
      <c r="AW72" s="39">
        <v>0</v>
      </c>
      <c r="AX72" s="55">
        <v>-242.09477570878985</v>
      </c>
      <c r="AY72" s="39">
        <v>341.29746007718495</v>
      </c>
      <c r="AZ72" s="39">
        <v>0</v>
      </c>
      <c r="BA72" s="35">
        <v>-341.29746007718495</v>
      </c>
      <c r="BB72" s="39">
        <v>97.993438091568279</v>
      </c>
      <c r="BC72" s="39">
        <v>0</v>
      </c>
      <c r="BD72" s="55">
        <v>-97.993438091568279</v>
      </c>
      <c r="BE72" s="39">
        <v>114.75461373279184</v>
      </c>
      <c r="BF72" s="39">
        <v>0</v>
      </c>
      <c r="BG72" s="38">
        <v>-114.75461373279184</v>
      </c>
      <c r="BH72" s="39">
        <v>89.960355179059135</v>
      </c>
      <c r="BI72" s="39">
        <v>0</v>
      </c>
      <c r="BJ72" s="55">
        <v>-89.960355179059135</v>
      </c>
      <c r="BK72" s="39">
        <v>122.56982730821436</v>
      </c>
      <c r="BL72" s="39">
        <v>0</v>
      </c>
      <c r="BM72" s="38">
        <v>-122.56982730821436</v>
      </c>
      <c r="BN72" s="39">
        <v>122.29074143818023</v>
      </c>
      <c r="BO72" s="39">
        <v>0</v>
      </c>
      <c r="BP72" s="55">
        <v>-122.29074143818023</v>
      </c>
      <c r="BQ72" s="77">
        <v>1130.9612115357886</v>
      </c>
      <c r="BR72" s="40">
        <v>0</v>
      </c>
      <c r="BS72" s="55">
        <v>-1130.9612115357886</v>
      </c>
      <c r="BT72" s="39">
        <v>8812.6475364995222</v>
      </c>
      <c r="BU72" s="39">
        <v>547.64648106225695</v>
      </c>
      <c r="BV72" s="52">
        <v>-8265.0010554372657</v>
      </c>
      <c r="BW72" s="39">
        <v>3764.0620259892066</v>
      </c>
      <c r="BX72" s="39">
        <v>1417.3475237011071</v>
      </c>
      <c r="BY72" s="52">
        <v>-2346.7145022880995</v>
      </c>
      <c r="BZ72" s="39">
        <v>2077.424723544173</v>
      </c>
      <c r="CA72" s="39">
        <v>3705.3781429061655</v>
      </c>
      <c r="CB72" s="52">
        <v>1627.9534193619925</v>
      </c>
      <c r="CC72" s="39">
        <v>247.85568577493282</v>
      </c>
      <c r="CD72" s="39">
        <v>244.52745076841029</v>
      </c>
      <c r="CE72" s="52">
        <v>-3.328235006522533</v>
      </c>
      <c r="CF72" s="39">
        <v>30.512537074565593</v>
      </c>
      <c r="CG72" s="39">
        <v>933.41342757682912</v>
      </c>
      <c r="CH72" s="52">
        <v>902.90089050226356</v>
      </c>
      <c r="CI72" s="39">
        <v>798.61440756019783</v>
      </c>
      <c r="CJ72" s="39">
        <v>1171.445382766382</v>
      </c>
      <c r="CK72" s="52">
        <v>372.83097520618412</v>
      </c>
      <c r="CL72" s="39">
        <v>0</v>
      </c>
      <c r="CM72" s="39">
        <v>0</v>
      </c>
      <c r="CN72" s="52">
        <v>0</v>
      </c>
      <c r="CO72" s="39">
        <v>798.61440756019783</v>
      </c>
      <c r="CP72" s="40">
        <v>1171.445382766382</v>
      </c>
      <c r="CQ72" s="52">
        <v>372.83097520618412</v>
      </c>
      <c r="CR72" s="72">
        <v>26476.65852687342</v>
      </c>
      <c r="CS72" s="5">
        <v>12039.735319080513</v>
      </c>
      <c r="CT72" s="52">
        <v>-14436.923207792906</v>
      </c>
      <c r="CU72" s="77">
        <v>31771.990232248103</v>
      </c>
      <c r="CV72" s="65">
        <v>14447.682382896615</v>
      </c>
      <c r="CW72" s="35">
        <v>-17324.307849351488</v>
      </c>
      <c r="CX72" s="39">
        <v>0</v>
      </c>
      <c r="CY72" s="39">
        <v>17324.307849351484</v>
      </c>
      <c r="CZ72" s="52">
        <v>17324.307849351484</v>
      </c>
      <c r="DA72" s="150">
        <v>19372.930051815209</v>
      </c>
      <c r="DB72" s="2">
        <v>1</v>
      </c>
      <c r="DC72" s="713">
        <v>40001.800000000003</v>
      </c>
      <c r="DD72" s="714"/>
      <c r="DE72" s="715">
        <v>24115.80488387595</v>
      </c>
      <c r="DF72" s="716">
        <v>0</v>
      </c>
      <c r="DG72" s="717">
        <v>-5747.2983849585107</v>
      </c>
      <c r="DH72" s="718">
        <v>152137.10550447617</v>
      </c>
      <c r="DI72" s="718">
        <v>381263.88278697722</v>
      </c>
      <c r="DJ72" s="693">
        <v>323982.18846635194</v>
      </c>
      <c r="DK72" s="724"/>
      <c r="DL72" s="5"/>
      <c r="DM72" s="306">
        <v>6.3802508227835402</v>
      </c>
      <c r="DN72" s="306"/>
      <c r="DO72" s="306">
        <v>5.4732005689174654</v>
      </c>
      <c r="DP72" s="719">
        <v>15885.995116124053</v>
      </c>
      <c r="DQ72" s="720">
        <v>0</v>
      </c>
      <c r="DR72" s="650">
        <v>15885.995116124053</v>
      </c>
      <c r="DS72" s="94">
        <v>15885.99511612405</v>
      </c>
      <c r="DT72" s="719">
        <v>15801.26</v>
      </c>
      <c r="DU72" s="721"/>
      <c r="DV72" s="93">
        <v>15801.26</v>
      </c>
      <c r="DW72" s="95">
        <v>15885.995116124051</v>
      </c>
      <c r="DX72" s="28">
        <v>-84.735116124051274</v>
      </c>
      <c r="EA72" s="5">
        <v>6275.0919290275069</v>
      </c>
      <c r="EB72" s="5">
        <v>0</v>
      </c>
      <c r="EE72" s="722">
        <v>49179.384751845602</v>
      </c>
      <c r="EG72" s="42" t="s">
        <v>254</v>
      </c>
    </row>
    <row r="73" spans="1:137" x14ac:dyDescent="0.3">
      <c r="A73" s="325">
        <v>150000533</v>
      </c>
      <c r="B73" s="41" t="s">
        <v>533</v>
      </c>
      <c r="C73" s="42" t="s">
        <v>350</v>
      </c>
      <c r="D73" s="27">
        <v>9</v>
      </c>
      <c r="E73" s="709">
        <v>11377.55</v>
      </c>
      <c r="F73" s="723">
        <v>11377.55</v>
      </c>
      <c r="G73" s="28">
        <v>1296.7</v>
      </c>
      <c r="H73" s="651">
        <v>0</v>
      </c>
      <c r="I73" s="39">
        <v>5217.213045238298</v>
      </c>
      <c r="J73" s="39">
        <v>3908.0348659187753</v>
      </c>
      <c r="K73" s="52">
        <v>-1309.1781793195228</v>
      </c>
      <c r="L73" s="39">
        <v>888.72599853759777</v>
      </c>
      <c r="M73" s="39">
        <v>463.96084134450211</v>
      </c>
      <c r="N73" s="52">
        <v>-424.76515719309566</v>
      </c>
      <c r="O73" s="39">
        <v>2878.24</v>
      </c>
      <c r="P73" s="39">
        <v>2878.24</v>
      </c>
      <c r="Q73" s="52">
        <v>0</v>
      </c>
      <c r="R73" s="39">
        <v>624.70000000000005</v>
      </c>
      <c r="S73" s="39">
        <v>624.70000000000005</v>
      </c>
      <c r="T73" s="52">
        <v>0</v>
      </c>
      <c r="U73" s="39">
        <v>960.40301870529493</v>
      </c>
      <c r="V73" s="39">
        <v>207.11861996889107</v>
      </c>
      <c r="W73" s="52">
        <v>-753.28439873640389</v>
      </c>
      <c r="X73" s="39">
        <v>4855.2149582976526</v>
      </c>
      <c r="Y73" s="39">
        <v>3440.8966548177377</v>
      </c>
      <c r="Z73" s="52">
        <v>-1414.3183034799149</v>
      </c>
      <c r="AA73" s="39">
        <v>0</v>
      </c>
      <c r="AB73" s="39">
        <v>0</v>
      </c>
      <c r="AC73" s="52">
        <v>0</v>
      </c>
      <c r="AD73" s="39">
        <v>8108.081176767575</v>
      </c>
      <c r="AE73" s="39">
        <v>6803.6235005384569</v>
      </c>
      <c r="AF73" s="35">
        <v>-1304.4576762291181</v>
      </c>
      <c r="AG73" s="77">
        <v>23532.57819754642</v>
      </c>
      <c r="AH73" s="53">
        <v>18326.574482588359</v>
      </c>
      <c r="AI73" s="52">
        <v>-5206.0037149580603</v>
      </c>
      <c r="AJ73" s="39">
        <v>21125.935881063131</v>
      </c>
      <c r="AK73" s="39">
        <v>20842.232370798578</v>
      </c>
      <c r="AL73" s="52">
        <v>-283.70351026455319</v>
      </c>
      <c r="AM73" s="39">
        <v>263.07035981182185</v>
      </c>
      <c r="AN73" s="39">
        <v>0</v>
      </c>
      <c r="AO73" s="52">
        <v>-263.07035981182185</v>
      </c>
      <c r="AP73" s="39">
        <v>1436.3100917220356</v>
      </c>
      <c r="AQ73" s="39">
        <v>7794.0021202665239</v>
      </c>
      <c r="AR73" s="52">
        <v>6357.6920285444885</v>
      </c>
      <c r="AS73" s="39">
        <v>32711.222227285507</v>
      </c>
      <c r="AT73" s="39">
        <v>8105.4621578759761</v>
      </c>
      <c r="AU73" s="54">
        <v>-24605.760069409531</v>
      </c>
      <c r="AV73" s="39">
        <v>172.64896221065933</v>
      </c>
      <c r="AW73" s="39">
        <v>0</v>
      </c>
      <c r="AX73" s="55">
        <v>-172.64896221065933</v>
      </c>
      <c r="AY73" s="39">
        <v>236.7462978235489</v>
      </c>
      <c r="AZ73" s="39">
        <v>0</v>
      </c>
      <c r="BA73" s="35">
        <v>-236.7462978235489</v>
      </c>
      <c r="BB73" s="39">
        <v>184.64634567058175</v>
      </c>
      <c r="BC73" s="39">
        <v>0</v>
      </c>
      <c r="BD73" s="55">
        <v>-184.64634567058175</v>
      </c>
      <c r="BE73" s="39">
        <v>115.32993121019737</v>
      </c>
      <c r="BF73" s="39">
        <v>0</v>
      </c>
      <c r="BG73" s="38">
        <v>-115.32993121019737</v>
      </c>
      <c r="BH73" s="39">
        <v>194.87527844079784</v>
      </c>
      <c r="BI73" s="39">
        <v>0</v>
      </c>
      <c r="BJ73" s="55">
        <v>-194.87527844079784</v>
      </c>
      <c r="BK73" s="39">
        <v>235.39234830930431</v>
      </c>
      <c r="BL73" s="39">
        <v>0</v>
      </c>
      <c r="BM73" s="38">
        <v>-235.39234830930431</v>
      </c>
      <c r="BN73" s="39">
        <v>228.84431771884292</v>
      </c>
      <c r="BO73" s="39">
        <v>0</v>
      </c>
      <c r="BP73" s="55">
        <v>-228.84431771884292</v>
      </c>
      <c r="BQ73" s="77">
        <v>1368.4834813839325</v>
      </c>
      <c r="BR73" s="40">
        <v>0</v>
      </c>
      <c r="BS73" s="55">
        <v>-1368.4834813839325</v>
      </c>
      <c r="BT73" s="39">
        <v>29334.669546950514</v>
      </c>
      <c r="BU73" s="39">
        <v>6867.6763801850557</v>
      </c>
      <c r="BV73" s="52">
        <v>-22466.99316676546</v>
      </c>
      <c r="BW73" s="39">
        <v>17312.470647145135</v>
      </c>
      <c r="BX73" s="39">
        <v>20263.92343439057</v>
      </c>
      <c r="BY73" s="52">
        <v>2951.4527872454346</v>
      </c>
      <c r="BZ73" s="39">
        <v>3245.976130537771</v>
      </c>
      <c r="CA73" s="39">
        <v>27875.736103552619</v>
      </c>
      <c r="CB73" s="52">
        <v>24629.759973014847</v>
      </c>
      <c r="CC73" s="39">
        <v>528.26203914372547</v>
      </c>
      <c r="CD73" s="39">
        <v>521.16847497634285</v>
      </c>
      <c r="CE73" s="52">
        <v>-7.093564167382624</v>
      </c>
      <c r="CF73" s="39">
        <v>65.032258606708638</v>
      </c>
      <c r="CG73" s="39">
        <v>0</v>
      </c>
      <c r="CH73" s="52">
        <v>-65.032258606708638</v>
      </c>
      <c r="CI73" s="39">
        <v>5066.2101479600042</v>
      </c>
      <c r="CJ73" s="39">
        <v>7594.9569132681372</v>
      </c>
      <c r="CK73" s="52">
        <v>2528.746765308133</v>
      </c>
      <c r="CL73" s="39">
        <v>2685.9648629270714</v>
      </c>
      <c r="CM73" s="39">
        <v>5826.400237462005</v>
      </c>
      <c r="CN73" s="52">
        <v>3140.4353745349335</v>
      </c>
      <c r="CO73" s="39">
        <v>7752.1750108870756</v>
      </c>
      <c r="CP73" s="40">
        <v>13421.357150730142</v>
      </c>
      <c r="CQ73" s="52">
        <v>5669.1821398430666</v>
      </c>
      <c r="CR73" s="72">
        <v>138676.18587208376</v>
      </c>
      <c r="CS73" s="5">
        <v>124018.13267536415</v>
      </c>
      <c r="CT73" s="52">
        <v>-14658.053196719615</v>
      </c>
      <c r="CU73" s="77">
        <v>166411.42304650051</v>
      </c>
      <c r="CV73" s="65">
        <v>148821.75921043698</v>
      </c>
      <c r="CW73" s="35">
        <v>-17589.663836063526</v>
      </c>
      <c r="CX73" s="39">
        <v>3328.2284609300104</v>
      </c>
      <c r="CY73" s="39">
        <v>20917.892296993508</v>
      </c>
      <c r="CZ73" s="52">
        <v>17589.663836063497</v>
      </c>
      <c r="DA73" s="150">
        <v>150918.69962025405</v>
      </c>
      <c r="DB73" s="2">
        <v>1</v>
      </c>
      <c r="DC73" s="713">
        <v>195258.43</v>
      </c>
      <c r="DD73" s="714"/>
      <c r="DE73" s="715">
        <v>110388.60424628474</v>
      </c>
      <c r="DF73" s="716">
        <v>0</v>
      </c>
      <c r="DG73" s="717">
        <v>1691.5575787764974</v>
      </c>
      <c r="DH73" s="718">
        <v>812078.02387162787</v>
      </c>
      <c r="DI73" s="718">
        <v>2036875.8180891662</v>
      </c>
      <c r="DJ73" s="693">
        <v>1730676.3695347814</v>
      </c>
      <c r="DK73" s="724"/>
      <c r="DL73" s="5"/>
      <c r="DM73" s="306">
        <v>6.1644153124520153</v>
      </c>
      <c r="DN73" s="306">
        <v>7.62598673902089</v>
      </c>
      <c r="DO73" s="306">
        <v>5.2331751037908516</v>
      </c>
      <c r="DP73" s="719">
        <v>84869.825753715253</v>
      </c>
      <c r="DQ73" s="720">
        <v>0</v>
      </c>
      <c r="DR73" s="650">
        <v>84869.825753715253</v>
      </c>
      <c r="DS73" s="94">
        <v>84869.825753715253</v>
      </c>
      <c r="DT73" s="719">
        <v>84870.720000000001</v>
      </c>
      <c r="DU73" s="721"/>
      <c r="DV73" s="93">
        <v>84870.720000000001</v>
      </c>
      <c r="DW73" s="95">
        <v>85202.648599808264</v>
      </c>
      <c r="DX73" s="28">
        <v>-331.92859980826324</v>
      </c>
      <c r="EA73" s="5">
        <v>40895.646850403326</v>
      </c>
      <c r="EB73" s="5">
        <v>9726.5545894511706</v>
      </c>
      <c r="EE73" s="722">
        <v>392534.66672742611</v>
      </c>
      <c r="EG73" s="42" t="s">
        <v>350</v>
      </c>
    </row>
    <row r="74" spans="1:137" x14ac:dyDescent="0.3">
      <c r="A74" s="325">
        <v>150000534</v>
      </c>
      <c r="B74" s="41" t="s">
        <v>534</v>
      </c>
      <c r="C74" s="42" t="s">
        <v>255</v>
      </c>
      <c r="D74" s="27">
        <v>5</v>
      </c>
      <c r="E74" s="709">
        <v>2481.4</v>
      </c>
      <c r="F74" s="723">
        <v>2481.4</v>
      </c>
      <c r="G74" s="28"/>
      <c r="H74" s="651">
        <v>0</v>
      </c>
      <c r="I74" s="39">
        <v>1344.4919233260202</v>
      </c>
      <c r="J74" s="39">
        <v>1003.9721838482318</v>
      </c>
      <c r="K74" s="52">
        <v>-340.51973947778845</v>
      </c>
      <c r="L74" s="39">
        <v>286.23374612549731</v>
      </c>
      <c r="M74" s="39">
        <v>149.42726392339441</v>
      </c>
      <c r="N74" s="52">
        <v>-136.8064822021029</v>
      </c>
      <c r="O74" s="39">
        <v>639.96</v>
      </c>
      <c r="P74" s="39">
        <v>639.96</v>
      </c>
      <c r="Q74" s="52">
        <v>0</v>
      </c>
      <c r="R74" s="39">
        <v>135.58000000000001</v>
      </c>
      <c r="S74" s="39">
        <v>135.58000000000001</v>
      </c>
      <c r="T74" s="52">
        <v>0</v>
      </c>
      <c r="U74" s="39">
        <v>88.645113504097054</v>
      </c>
      <c r="V74" s="39">
        <v>16.039792654400298</v>
      </c>
      <c r="W74" s="52">
        <v>-72.605320849696753</v>
      </c>
      <c r="X74" s="39">
        <v>895.69712760030052</v>
      </c>
      <c r="Y74" s="39">
        <v>587.6467368430923</v>
      </c>
      <c r="Z74" s="52">
        <v>-308.05039075720822</v>
      </c>
      <c r="AA74" s="39">
        <v>0</v>
      </c>
      <c r="AB74" s="39">
        <v>0</v>
      </c>
      <c r="AC74" s="52">
        <v>0</v>
      </c>
      <c r="AD74" s="39">
        <v>1768.3413944154113</v>
      </c>
      <c r="AE74" s="39">
        <v>1483.8441803583487</v>
      </c>
      <c r="AF74" s="35">
        <v>-284.49721405706259</v>
      </c>
      <c r="AG74" s="77">
        <v>5158.9493049713265</v>
      </c>
      <c r="AH74" s="53">
        <v>4016.4701576274674</v>
      </c>
      <c r="AI74" s="52">
        <v>-1142.479147343859</v>
      </c>
      <c r="AJ74" s="39">
        <v>0</v>
      </c>
      <c r="AK74" s="39">
        <v>0</v>
      </c>
      <c r="AL74" s="52">
        <v>0</v>
      </c>
      <c r="AM74" s="39">
        <v>0</v>
      </c>
      <c r="AN74" s="39">
        <v>0</v>
      </c>
      <c r="AO74" s="52">
        <v>0</v>
      </c>
      <c r="AP74" s="39">
        <v>355.13161608511865</v>
      </c>
      <c r="AQ74" s="39">
        <v>0</v>
      </c>
      <c r="AR74" s="52">
        <v>-355.13161608511865</v>
      </c>
      <c r="AS74" s="39">
        <v>7397.8271065027866</v>
      </c>
      <c r="AT74" s="39">
        <v>0</v>
      </c>
      <c r="AU74" s="54">
        <v>-7397.8271065027866</v>
      </c>
      <c r="AV74" s="39">
        <v>257.18257003536439</v>
      </c>
      <c r="AW74" s="39">
        <v>0</v>
      </c>
      <c r="AX74" s="55">
        <v>-257.18257003536439</v>
      </c>
      <c r="AY74" s="39">
        <v>341.29746007718495</v>
      </c>
      <c r="AZ74" s="39">
        <v>0</v>
      </c>
      <c r="BA74" s="35">
        <v>-341.29746007718495</v>
      </c>
      <c r="BB74" s="39">
        <v>238.21117418178792</v>
      </c>
      <c r="BC74" s="39">
        <v>0</v>
      </c>
      <c r="BD74" s="55">
        <v>-238.21117418178792</v>
      </c>
      <c r="BE74" s="39">
        <v>117.71760222739266</v>
      </c>
      <c r="BF74" s="39">
        <v>0</v>
      </c>
      <c r="BG74" s="38">
        <v>-117.71760222739266</v>
      </c>
      <c r="BH74" s="39">
        <v>89.960355179059135</v>
      </c>
      <c r="BI74" s="39">
        <v>0</v>
      </c>
      <c r="BJ74" s="55">
        <v>-89.960355179059135</v>
      </c>
      <c r="BK74" s="39">
        <v>122.56982730821436</v>
      </c>
      <c r="BL74" s="39">
        <v>827</v>
      </c>
      <c r="BM74" s="38">
        <v>704.43017269178563</v>
      </c>
      <c r="BN74" s="39">
        <v>122.29074143818023</v>
      </c>
      <c r="BO74" s="39">
        <v>0</v>
      </c>
      <c r="BP74" s="55">
        <v>-122.29074143818023</v>
      </c>
      <c r="BQ74" s="77">
        <v>1289.2297304471838</v>
      </c>
      <c r="BR74" s="40">
        <v>827</v>
      </c>
      <c r="BS74" s="55">
        <v>-462.22973044718378</v>
      </c>
      <c r="BT74" s="39">
        <v>7237.1423175673672</v>
      </c>
      <c r="BU74" s="39">
        <v>1606.1456115080591</v>
      </c>
      <c r="BV74" s="52">
        <v>-5630.9967060593081</v>
      </c>
      <c r="BW74" s="39">
        <v>3468.9014645131238</v>
      </c>
      <c r="BX74" s="39">
        <v>4470.7738488897676</v>
      </c>
      <c r="BY74" s="52">
        <v>1001.8723843766438</v>
      </c>
      <c r="BZ74" s="39">
        <v>294.30183583542453</v>
      </c>
      <c r="CA74" s="39">
        <v>6525.3712524532302</v>
      </c>
      <c r="CB74" s="52">
        <v>6231.0694166178055</v>
      </c>
      <c r="CC74" s="39">
        <v>264.86635091810956</v>
      </c>
      <c r="CD74" s="39">
        <v>261.30969471948589</v>
      </c>
      <c r="CE74" s="52">
        <v>-3.5566561986236707</v>
      </c>
      <c r="CF74" s="39">
        <v>32.606653048630918</v>
      </c>
      <c r="CG74" s="39">
        <v>0</v>
      </c>
      <c r="CH74" s="52">
        <v>-32.606653048630918</v>
      </c>
      <c r="CI74" s="39">
        <v>814.21234520785777</v>
      </c>
      <c r="CJ74" s="39">
        <v>1668.8955128925106</v>
      </c>
      <c r="CK74" s="52">
        <v>854.68316768465286</v>
      </c>
      <c r="CL74" s="39">
        <v>0</v>
      </c>
      <c r="CM74" s="39">
        <v>0</v>
      </c>
      <c r="CN74" s="52">
        <v>0</v>
      </c>
      <c r="CO74" s="39">
        <v>814.21234520785777</v>
      </c>
      <c r="CP74" s="40">
        <v>1668.8955128925106</v>
      </c>
      <c r="CQ74" s="52">
        <v>854.68316768465286</v>
      </c>
      <c r="CR74" s="72">
        <v>26313.16872509693</v>
      </c>
      <c r="CS74" s="5">
        <v>19375.966078090521</v>
      </c>
      <c r="CT74" s="52">
        <v>-6937.2026470064084</v>
      </c>
      <c r="CU74" s="77">
        <v>31575.802470116316</v>
      </c>
      <c r="CV74" s="65">
        <v>23251.159293708624</v>
      </c>
      <c r="CW74" s="35">
        <v>-8324.6431764076915</v>
      </c>
      <c r="CX74" s="39">
        <v>631.5160494023263</v>
      </c>
      <c r="CY74" s="39">
        <v>8956.1592258100191</v>
      </c>
      <c r="CZ74" s="52">
        <v>8324.6431764076933</v>
      </c>
      <c r="DA74" s="150">
        <v>-27202.391173866192</v>
      </c>
      <c r="DB74" s="2">
        <v>1</v>
      </c>
      <c r="DC74" s="713">
        <v>20627.599999999999</v>
      </c>
      <c r="DD74" s="714"/>
      <c r="DE74" s="715">
        <v>4523.9407402406778</v>
      </c>
      <c r="DF74" s="716">
        <v>0</v>
      </c>
      <c r="DG74" s="717">
        <v>-29577.942140916053</v>
      </c>
      <c r="DH74" s="718">
        <v>155434.15284004799</v>
      </c>
      <c r="DI74" s="718">
        <v>386487.82223422371</v>
      </c>
      <c r="DJ74" s="693">
        <v>328724.40488567977</v>
      </c>
      <c r="DK74" s="724"/>
      <c r="DL74" s="5"/>
      <c r="DM74" s="306">
        <v>6.4897474247438218</v>
      </c>
      <c r="DN74" s="306"/>
      <c r="DO74" s="306">
        <v>5.6341950364621942</v>
      </c>
      <c r="DP74" s="719">
        <v>16103.659259759321</v>
      </c>
      <c r="DQ74" s="720">
        <v>0</v>
      </c>
      <c r="DR74" s="650">
        <v>16103.659259759321</v>
      </c>
      <c r="DS74" s="94">
        <v>16103.659259759321</v>
      </c>
      <c r="DT74" s="719">
        <v>16103.15</v>
      </c>
      <c r="DU74" s="721"/>
      <c r="DV74" s="93">
        <v>16103.15</v>
      </c>
      <c r="DW74" s="95">
        <v>16166.810864699553</v>
      </c>
      <c r="DX74" s="28">
        <v>-63.660864699553713</v>
      </c>
      <c r="EA74" s="5">
        <v>10424.468204339964</v>
      </c>
      <c r="EB74" s="5">
        <v>992.4</v>
      </c>
      <c r="EE74" s="722">
        <v>88773.925278033435</v>
      </c>
      <c r="EG74" s="42" t="s">
        <v>255</v>
      </c>
    </row>
    <row r="75" spans="1:137" x14ac:dyDescent="0.3">
      <c r="A75" s="325">
        <v>150000535</v>
      </c>
      <c r="B75" s="41" t="s">
        <v>535</v>
      </c>
      <c r="C75" s="42" t="s">
        <v>351</v>
      </c>
      <c r="D75" s="27">
        <v>9</v>
      </c>
      <c r="E75" s="709">
        <v>11456.45</v>
      </c>
      <c r="F75" s="723">
        <v>11363.16</v>
      </c>
      <c r="G75" s="28">
        <v>1267.95</v>
      </c>
      <c r="H75" s="651">
        <v>93.29</v>
      </c>
      <c r="I75" s="39">
        <v>5236.4195015732439</v>
      </c>
      <c r="J75" s="39">
        <v>3920.3820006463325</v>
      </c>
      <c r="K75" s="52">
        <v>-1316.0375009269114</v>
      </c>
      <c r="L75" s="39">
        <v>888.72599853759777</v>
      </c>
      <c r="M75" s="39">
        <v>463.96084134450211</v>
      </c>
      <c r="N75" s="52">
        <v>-424.76515719309566</v>
      </c>
      <c r="O75" s="39">
        <v>2768.78</v>
      </c>
      <c r="P75" s="39">
        <v>2768.78</v>
      </c>
      <c r="Q75" s="52">
        <v>0</v>
      </c>
      <c r="R75" s="39">
        <v>626.34</v>
      </c>
      <c r="S75" s="39">
        <v>626.34</v>
      </c>
      <c r="T75" s="52">
        <v>0</v>
      </c>
      <c r="U75" s="39">
        <v>960.40301870529493</v>
      </c>
      <c r="V75" s="39">
        <v>181.64741473048571</v>
      </c>
      <c r="W75" s="52">
        <v>-778.75560397480922</v>
      </c>
      <c r="X75" s="39">
        <v>4855.2149582976526</v>
      </c>
      <c r="Y75" s="39">
        <v>3415.5949362660886</v>
      </c>
      <c r="Z75" s="52">
        <v>-1439.6200220315641</v>
      </c>
      <c r="AA75" s="39">
        <v>0</v>
      </c>
      <c r="AB75" s="39">
        <v>0</v>
      </c>
      <c r="AC75" s="52">
        <v>0</v>
      </c>
      <c r="AD75" s="39">
        <v>8164.3083614292082</v>
      </c>
      <c r="AE75" s="39">
        <v>6850.8046506272276</v>
      </c>
      <c r="AF75" s="35">
        <v>-1313.5037108019806</v>
      </c>
      <c r="AG75" s="77">
        <v>23500.191838542996</v>
      </c>
      <c r="AH75" s="53">
        <v>18227.509843614636</v>
      </c>
      <c r="AI75" s="52">
        <v>-5272.6819949283599</v>
      </c>
      <c r="AJ75" s="39">
        <v>23908.429695261148</v>
      </c>
      <c r="AK75" s="39">
        <v>23587.340550540212</v>
      </c>
      <c r="AL75" s="52">
        <v>-321.08914472093602</v>
      </c>
      <c r="AM75" s="39">
        <v>0</v>
      </c>
      <c r="AN75" s="39">
        <v>0</v>
      </c>
      <c r="AO75" s="52">
        <v>0</v>
      </c>
      <c r="AP75" s="39">
        <v>1452.0937191035962</v>
      </c>
      <c r="AQ75" s="39">
        <v>0</v>
      </c>
      <c r="AR75" s="52">
        <v>-1452.0937191035962</v>
      </c>
      <c r="AS75" s="39">
        <v>32883.1927937488</v>
      </c>
      <c r="AT75" s="39">
        <v>1827</v>
      </c>
      <c r="AU75" s="54">
        <v>-31056.1927937488</v>
      </c>
      <c r="AV75" s="39">
        <v>432.21338540871011</v>
      </c>
      <c r="AW75" s="39">
        <v>0</v>
      </c>
      <c r="AX75" s="55">
        <v>-432.21338540871011</v>
      </c>
      <c r="AY75" s="39">
        <v>591.86574455887205</v>
      </c>
      <c r="AZ75" s="39">
        <v>0</v>
      </c>
      <c r="BA75" s="35">
        <v>-591.86574455887205</v>
      </c>
      <c r="BB75" s="39">
        <v>690.27183197185354</v>
      </c>
      <c r="BC75" s="39">
        <v>0</v>
      </c>
      <c r="BD75" s="55">
        <v>-690.27183197185354</v>
      </c>
      <c r="BE75" s="39">
        <v>289.88286770503936</v>
      </c>
      <c r="BF75" s="39">
        <v>0</v>
      </c>
      <c r="BG75" s="38">
        <v>-289.88286770503936</v>
      </c>
      <c r="BH75" s="39">
        <v>487.18819610199455</v>
      </c>
      <c r="BI75" s="39">
        <v>0</v>
      </c>
      <c r="BJ75" s="55">
        <v>-487.18819610199455</v>
      </c>
      <c r="BK75" s="39">
        <v>588.48087077326079</v>
      </c>
      <c r="BL75" s="39">
        <v>0</v>
      </c>
      <c r="BM75" s="38">
        <v>-588.48087077326079</v>
      </c>
      <c r="BN75" s="39">
        <v>232.74222385317006</v>
      </c>
      <c r="BO75" s="39">
        <v>0</v>
      </c>
      <c r="BP75" s="55">
        <v>-232.74222385317006</v>
      </c>
      <c r="BQ75" s="77">
        <v>3312.6451203729002</v>
      </c>
      <c r="BR75" s="40">
        <v>0</v>
      </c>
      <c r="BS75" s="55">
        <v>-3312.6451203729002</v>
      </c>
      <c r="BT75" s="39">
        <v>24406.647181947399</v>
      </c>
      <c r="BU75" s="39">
        <v>6120.2326866270087</v>
      </c>
      <c r="BV75" s="52">
        <v>-18286.41449532039</v>
      </c>
      <c r="BW75" s="39">
        <v>17054.735181625801</v>
      </c>
      <c r="BX75" s="39">
        <v>19100.957483721821</v>
      </c>
      <c r="BY75" s="52">
        <v>2046.2223020960191</v>
      </c>
      <c r="BZ75" s="39">
        <v>4544.3665827528803</v>
      </c>
      <c r="CA75" s="39">
        <v>24573.553564921465</v>
      </c>
      <c r="CB75" s="52">
        <v>20029.186982168583</v>
      </c>
      <c r="CC75" s="39">
        <v>378.74466540686927</v>
      </c>
      <c r="CD75" s="39">
        <v>373.65883794239278</v>
      </c>
      <c r="CE75" s="52">
        <v>-5.0858274644764947</v>
      </c>
      <c r="CF75" s="39">
        <v>46.625763733800198</v>
      </c>
      <c r="CG75" s="39">
        <v>0</v>
      </c>
      <c r="CH75" s="52">
        <v>-46.625763733800198</v>
      </c>
      <c r="CI75" s="39">
        <v>5240.9070496137983</v>
      </c>
      <c r="CJ75" s="39">
        <v>8161.9724552350199</v>
      </c>
      <c r="CK75" s="52">
        <v>2921.0654056212215</v>
      </c>
      <c r="CL75" s="39">
        <v>2314.733946912761</v>
      </c>
      <c r="CM75" s="39">
        <v>4648.6561986474626</v>
      </c>
      <c r="CN75" s="52">
        <v>2333.9222517347016</v>
      </c>
      <c r="CO75" s="39">
        <v>7555.6409965265593</v>
      </c>
      <c r="CP75" s="40">
        <v>12810.628653882482</v>
      </c>
      <c r="CQ75" s="52">
        <v>5254.9876573559231</v>
      </c>
      <c r="CR75" s="72">
        <v>139043.31353902275</v>
      </c>
      <c r="CS75" s="5">
        <v>106620.88162125002</v>
      </c>
      <c r="CT75" s="52">
        <v>-32422.43191777273</v>
      </c>
      <c r="CU75" s="77">
        <v>166851.97624682731</v>
      </c>
      <c r="CV75" s="65">
        <v>127945.05794550003</v>
      </c>
      <c r="CW75" s="35">
        <v>-38906.918301327285</v>
      </c>
      <c r="CX75" s="39">
        <v>834.25988123413663</v>
      </c>
      <c r="CY75" s="39">
        <v>39741.178182561431</v>
      </c>
      <c r="CZ75" s="52">
        <v>38906.918301327292</v>
      </c>
      <c r="DA75" s="150">
        <v>-59197.410216178054</v>
      </c>
      <c r="DB75" s="2">
        <v>1</v>
      </c>
      <c r="DC75" s="713">
        <v>270481.59000000003</v>
      </c>
      <c r="DD75" s="714">
        <v>0</v>
      </c>
      <c r="DE75" s="715">
        <v>187108.70269592432</v>
      </c>
      <c r="DF75" s="716">
        <v>-470.23075995498118</v>
      </c>
      <c r="DG75" s="717">
        <v>-104018.84284774943</v>
      </c>
      <c r="DH75" s="718">
        <v>804651.92745327763</v>
      </c>
      <c r="DI75" s="718">
        <v>2012234.8335367376</v>
      </c>
      <c r="DJ75" s="693">
        <v>1710339.1070158726</v>
      </c>
      <c r="DK75" s="724"/>
      <c r="DL75" s="5"/>
      <c r="DM75" s="306">
        <v>5.9455573650150901</v>
      </c>
      <c r="DN75" s="306">
        <v>7.5119009751263075</v>
      </c>
      <c r="DO75" s="306">
        <v>5.0405269584626557</v>
      </c>
      <c r="DP75" s="719">
        <v>83372.887304075717</v>
      </c>
      <c r="DQ75" s="720">
        <v>470.23075995498118</v>
      </c>
      <c r="DR75" s="650">
        <v>83843.118064030699</v>
      </c>
      <c r="DS75" s="94">
        <v>83843.118064030758</v>
      </c>
      <c r="DT75" s="719">
        <v>83283.649999999994</v>
      </c>
      <c r="DU75" s="725">
        <v>479.86</v>
      </c>
      <c r="DV75" s="93">
        <v>83763.509999999995</v>
      </c>
      <c r="DW75" s="95">
        <v>83926.544052154131</v>
      </c>
      <c r="DX75" s="28">
        <v>-163.03405215413659</v>
      </c>
      <c r="EA75" s="5">
        <v>43435.00549694604</v>
      </c>
      <c r="EB75" s="5">
        <v>2192.4</v>
      </c>
      <c r="EE75" s="722">
        <v>394598.31352498557</v>
      </c>
      <c r="EG75" s="42" t="s">
        <v>351</v>
      </c>
    </row>
    <row r="76" spans="1:137" x14ac:dyDescent="0.3">
      <c r="A76" s="325">
        <v>150000645</v>
      </c>
      <c r="B76" s="41" t="s">
        <v>536</v>
      </c>
      <c r="C76" s="42" t="s">
        <v>66</v>
      </c>
      <c r="D76" s="27">
        <v>1</v>
      </c>
      <c r="E76" s="709">
        <v>216</v>
      </c>
      <c r="F76" s="723">
        <v>216</v>
      </c>
      <c r="G76" s="28"/>
      <c r="H76" s="651">
        <v>0</v>
      </c>
      <c r="I76" s="39">
        <v>0</v>
      </c>
      <c r="J76" s="39">
        <v>0</v>
      </c>
      <c r="K76" s="52">
        <v>0</v>
      </c>
      <c r="L76" s="39">
        <v>0</v>
      </c>
      <c r="M76" s="39">
        <v>0</v>
      </c>
      <c r="N76" s="52">
        <v>0</v>
      </c>
      <c r="O76" s="39">
        <v>0</v>
      </c>
      <c r="P76" s="39">
        <v>0</v>
      </c>
      <c r="Q76" s="52">
        <v>0</v>
      </c>
      <c r="R76" s="39">
        <v>0</v>
      </c>
      <c r="S76" s="39">
        <v>0</v>
      </c>
      <c r="T76" s="52">
        <v>0</v>
      </c>
      <c r="U76" s="39">
        <v>0</v>
      </c>
      <c r="V76" s="39">
        <v>0</v>
      </c>
      <c r="W76" s="52">
        <v>0</v>
      </c>
      <c r="X76" s="39">
        <v>0</v>
      </c>
      <c r="Y76" s="39">
        <v>0</v>
      </c>
      <c r="Z76" s="52">
        <v>0</v>
      </c>
      <c r="AA76" s="39">
        <v>0</v>
      </c>
      <c r="AB76" s="39">
        <v>0</v>
      </c>
      <c r="AC76" s="52">
        <v>0</v>
      </c>
      <c r="AD76" s="39">
        <v>0</v>
      </c>
      <c r="AE76" s="39">
        <v>129.16512571830552</v>
      </c>
      <c r="AF76" s="35">
        <v>129.16512571830552</v>
      </c>
      <c r="AG76" s="77">
        <v>0</v>
      </c>
      <c r="AH76" s="53">
        <v>129.16512571830552</v>
      </c>
      <c r="AI76" s="52">
        <v>129.16512571830552</v>
      </c>
      <c r="AJ76" s="39">
        <v>0</v>
      </c>
      <c r="AK76" s="39">
        <v>0</v>
      </c>
      <c r="AL76" s="52">
        <v>0</v>
      </c>
      <c r="AM76" s="39">
        <v>0</v>
      </c>
      <c r="AN76" s="39">
        <v>0</v>
      </c>
      <c r="AO76" s="52">
        <v>0</v>
      </c>
      <c r="AP76" s="39">
        <v>78.91813690780414</v>
      </c>
      <c r="AQ76" s="39">
        <v>0</v>
      </c>
      <c r="AR76" s="52">
        <v>-78.91813690780414</v>
      </c>
      <c r="AS76" s="39">
        <v>568.91798965145097</v>
      </c>
      <c r="AT76" s="39">
        <v>0</v>
      </c>
      <c r="AU76" s="54">
        <v>-568.91798965145097</v>
      </c>
      <c r="AV76" s="39">
        <v>0</v>
      </c>
      <c r="AW76" s="39">
        <v>0</v>
      </c>
      <c r="AX76" s="55">
        <v>0</v>
      </c>
      <c r="AY76" s="39">
        <v>0</v>
      </c>
      <c r="AZ76" s="39">
        <v>0</v>
      </c>
      <c r="BA76" s="35">
        <v>0</v>
      </c>
      <c r="BB76" s="39">
        <v>0</v>
      </c>
      <c r="BC76" s="39">
        <v>0</v>
      </c>
      <c r="BD76" s="55">
        <v>0</v>
      </c>
      <c r="BE76" s="39">
        <v>0</v>
      </c>
      <c r="BF76" s="39">
        <v>0</v>
      </c>
      <c r="BG76" s="38">
        <v>0</v>
      </c>
      <c r="BH76" s="39">
        <v>0</v>
      </c>
      <c r="BI76" s="39">
        <v>0</v>
      </c>
      <c r="BJ76" s="55">
        <v>0</v>
      </c>
      <c r="BK76" s="39">
        <v>0</v>
      </c>
      <c r="BL76" s="39">
        <v>0</v>
      </c>
      <c r="BM76" s="38">
        <v>0</v>
      </c>
      <c r="BN76" s="39">
        <v>0</v>
      </c>
      <c r="BO76" s="39">
        <v>0</v>
      </c>
      <c r="BP76" s="55">
        <v>0</v>
      </c>
      <c r="BQ76" s="77">
        <v>0</v>
      </c>
      <c r="BR76" s="40">
        <v>0</v>
      </c>
      <c r="BS76" s="55">
        <v>0</v>
      </c>
      <c r="BT76" s="39">
        <v>0</v>
      </c>
      <c r="BU76" s="39">
        <v>0</v>
      </c>
      <c r="BV76" s="52">
        <v>0</v>
      </c>
      <c r="BW76" s="39">
        <v>0</v>
      </c>
      <c r="BX76" s="39">
        <v>0.87434869576685015</v>
      </c>
      <c r="BY76" s="52">
        <v>0.87434869576685015</v>
      </c>
      <c r="BZ76" s="39">
        <v>0</v>
      </c>
      <c r="CA76" s="39">
        <v>0</v>
      </c>
      <c r="CB76" s="52">
        <v>0</v>
      </c>
      <c r="CC76" s="39">
        <v>0</v>
      </c>
      <c r="CD76" s="39">
        <v>0</v>
      </c>
      <c r="CE76" s="52">
        <v>0</v>
      </c>
      <c r="CF76" s="39">
        <v>0</v>
      </c>
      <c r="CG76" s="39">
        <v>0</v>
      </c>
      <c r="CH76" s="52">
        <v>0</v>
      </c>
      <c r="CI76" s="39">
        <v>0</v>
      </c>
      <c r="CJ76" s="39">
        <v>0</v>
      </c>
      <c r="CK76" s="52">
        <v>0</v>
      </c>
      <c r="CL76" s="39">
        <v>0</v>
      </c>
      <c r="CM76" s="39">
        <v>0</v>
      </c>
      <c r="CN76" s="52">
        <v>0</v>
      </c>
      <c r="CO76" s="39">
        <v>0</v>
      </c>
      <c r="CP76" s="40">
        <v>0</v>
      </c>
      <c r="CQ76" s="52">
        <v>0</v>
      </c>
      <c r="CR76" s="72">
        <v>647.83612655925515</v>
      </c>
      <c r="CS76" s="5">
        <v>130.03947441407237</v>
      </c>
      <c r="CT76" s="52">
        <v>-517.79665214518275</v>
      </c>
      <c r="CU76" s="77">
        <v>777.40335187110611</v>
      </c>
      <c r="CV76" s="65">
        <v>156.04736929688684</v>
      </c>
      <c r="CW76" s="35">
        <v>-621.3559825742193</v>
      </c>
      <c r="CX76" s="39">
        <v>11.661050278066591</v>
      </c>
      <c r="CY76" s="39">
        <v>633.01703285228587</v>
      </c>
      <c r="CZ76" s="52">
        <v>621.3559825742193</v>
      </c>
      <c r="DA76" s="150">
        <v>-2384.3598804596113</v>
      </c>
      <c r="DB76" s="2">
        <v>3</v>
      </c>
      <c r="DC76" s="713">
        <v>1245.48</v>
      </c>
      <c r="DD76" s="714"/>
      <c r="DE76" s="715">
        <v>850.94779892541374</v>
      </c>
      <c r="DF76" s="716">
        <v>0</v>
      </c>
      <c r="DG76" s="717">
        <v>-3045.5105661455627</v>
      </c>
      <c r="DH76" s="718">
        <v>3748.6954268424633</v>
      </c>
      <c r="DI76" s="718">
        <v>9468.7728257900726</v>
      </c>
      <c r="DJ76" s="693">
        <v>8038.7534760531707</v>
      </c>
      <c r="DK76" s="724"/>
      <c r="DL76" s="5"/>
      <c r="DM76" s="306">
        <v>1.8265379679378997</v>
      </c>
      <c r="DN76" s="306"/>
      <c r="DO76" s="306">
        <v>1.8265379679378997</v>
      </c>
      <c r="DP76" s="719">
        <v>394.53220107458634</v>
      </c>
      <c r="DQ76" s="720">
        <v>0</v>
      </c>
      <c r="DR76" s="650">
        <v>394.53220107458634</v>
      </c>
      <c r="DS76" s="94">
        <v>394.53220107458634</v>
      </c>
      <c r="DT76" s="719">
        <v>394.52</v>
      </c>
      <c r="DU76" s="721"/>
      <c r="DV76" s="93">
        <v>394.52</v>
      </c>
      <c r="DW76" s="95">
        <v>395.69830610239302</v>
      </c>
      <c r="DX76" s="28">
        <v>-1.1783061023930372</v>
      </c>
      <c r="EA76" s="5">
        <v>682.70158758174114</v>
      </c>
      <c r="EB76" s="5">
        <v>0</v>
      </c>
      <c r="EE76" s="722">
        <v>6827.0158758174111</v>
      </c>
      <c r="EG76" s="42" t="s">
        <v>66</v>
      </c>
    </row>
    <row r="77" spans="1:137" x14ac:dyDescent="0.3">
      <c r="A77" s="325">
        <v>150000643</v>
      </c>
      <c r="B77" s="41" t="s">
        <v>537</v>
      </c>
      <c r="C77" s="42" t="s">
        <v>67</v>
      </c>
      <c r="D77" s="27">
        <v>1</v>
      </c>
      <c r="E77" s="709">
        <v>216.8</v>
      </c>
      <c r="F77" s="723">
        <v>216.8</v>
      </c>
      <c r="G77" s="28"/>
      <c r="H77" s="651">
        <v>0</v>
      </c>
      <c r="I77" s="39">
        <v>0</v>
      </c>
      <c r="J77" s="39">
        <v>0</v>
      </c>
      <c r="K77" s="52">
        <v>0</v>
      </c>
      <c r="L77" s="39">
        <v>0</v>
      </c>
      <c r="M77" s="39">
        <v>0</v>
      </c>
      <c r="N77" s="52">
        <v>0</v>
      </c>
      <c r="O77" s="39">
        <v>0</v>
      </c>
      <c r="P77" s="39">
        <v>0</v>
      </c>
      <c r="Q77" s="52">
        <v>0</v>
      </c>
      <c r="R77" s="39">
        <v>0</v>
      </c>
      <c r="S77" s="39">
        <v>0</v>
      </c>
      <c r="T77" s="52">
        <v>0</v>
      </c>
      <c r="U77" s="39">
        <v>0</v>
      </c>
      <c r="V77" s="39">
        <v>0</v>
      </c>
      <c r="W77" s="52">
        <v>0</v>
      </c>
      <c r="X77" s="39">
        <v>0</v>
      </c>
      <c r="Y77" s="39">
        <v>0</v>
      </c>
      <c r="Z77" s="52">
        <v>0</v>
      </c>
      <c r="AA77" s="39">
        <v>0</v>
      </c>
      <c r="AB77" s="39">
        <v>0</v>
      </c>
      <c r="AC77" s="52">
        <v>0</v>
      </c>
      <c r="AD77" s="39">
        <v>0</v>
      </c>
      <c r="AE77" s="39">
        <v>129.64351507281776</v>
      </c>
      <c r="AF77" s="35">
        <v>129.64351507281776</v>
      </c>
      <c r="AG77" s="77">
        <v>0</v>
      </c>
      <c r="AH77" s="53">
        <v>129.64351507281776</v>
      </c>
      <c r="AI77" s="52">
        <v>129.64351507281776</v>
      </c>
      <c r="AJ77" s="39">
        <v>0</v>
      </c>
      <c r="AK77" s="39">
        <v>0</v>
      </c>
      <c r="AL77" s="52">
        <v>0</v>
      </c>
      <c r="AM77" s="39">
        <v>0</v>
      </c>
      <c r="AN77" s="39">
        <v>0</v>
      </c>
      <c r="AO77" s="52">
        <v>0</v>
      </c>
      <c r="AP77" s="39">
        <v>63.134509526243313</v>
      </c>
      <c r="AQ77" s="39">
        <v>0</v>
      </c>
      <c r="AR77" s="52">
        <v>-63.134509526243313</v>
      </c>
      <c r="AS77" s="39">
        <v>483.41008641630623</v>
      </c>
      <c r="AT77" s="39">
        <v>0</v>
      </c>
      <c r="AU77" s="54">
        <v>-483.41008641630623</v>
      </c>
      <c r="AV77" s="39">
        <v>0</v>
      </c>
      <c r="AW77" s="39">
        <v>0</v>
      </c>
      <c r="AX77" s="55">
        <v>0</v>
      </c>
      <c r="AY77" s="39">
        <v>0</v>
      </c>
      <c r="AZ77" s="39">
        <v>0</v>
      </c>
      <c r="BA77" s="35">
        <v>0</v>
      </c>
      <c r="BB77" s="39">
        <v>0</v>
      </c>
      <c r="BC77" s="39">
        <v>0</v>
      </c>
      <c r="BD77" s="55">
        <v>0</v>
      </c>
      <c r="BE77" s="39">
        <v>0</v>
      </c>
      <c r="BF77" s="39">
        <v>0</v>
      </c>
      <c r="BG77" s="38">
        <v>0</v>
      </c>
      <c r="BH77" s="39">
        <v>0</v>
      </c>
      <c r="BI77" s="39">
        <v>0</v>
      </c>
      <c r="BJ77" s="55">
        <v>0</v>
      </c>
      <c r="BK77" s="39">
        <v>0</v>
      </c>
      <c r="BL77" s="39">
        <v>0</v>
      </c>
      <c r="BM77" s="38">
        <v>0</v>
      </c>
      <c r="BN77" s="39">
        <v>0</v>
      </c>
      <c r="BO77" s="39">
        <v>0</v>
      </c>
      <c r="BP77" s="55">
        <v>0</v>
      </c>
      <c r="BQ77" s="77">
        <v>0</v>
      </c>
      <c r="BR77" s="40">
        <v>0</v>
      </c>
      <c r="BS77" s="55">
        <v>0</v>
      </c>
      <c r="BT77" s="39">
        <v>0</v>
      </c>
      <c r="BU77" s="39">
        <v>0</v>
      </c>
      <c r="BV77" s="52">
        <v>0</v>
      </c>
      <c r="BW77" s="39">
        <v>0</v>
      </c>
      <c r="BX77" s="39">
        <v>0.87758702426969037</v>
      </c>
      <c r="BY77" s="52">
        <v>0.87758702426969037</v>
      </c>
      <c r="BZ77" s="39">
        <v>0</v>
      </c>
      <c r="CA77" s="39">
        <v>0</v>
      </c>
      <c r="CB77" s="52">
        <v>0</v>
      </c>
      <c r="CC77" s="39">
        <v>0</v>
      </c>
      <c r="CD77" s="39">
        <v>0</v>
      </c>
      <c r="CE77" s="52">
        <v>0</v>
      </c>
      <c r="CF77" s="39">
        <v>0</v>
      </c>
      <c r="CG77" s="39">
        <v>0</v>
      </c>
      <c r="CH77" s="52">
        <v>0</v>
      </c>
      <c r="CI77" s="39">
        <v>0</v>
      </c>
      <c r="CJ77" s="39">
        <v>0</v>
      </c>
      <c r="CK77" s="52">
        <v>0</v>
      </c>
      <c r="CL77" s="39">
        <v>0</v>
      </c>
      <c r="CM77" s="39">
        <v>0</v>
      </c>
      <c r="CN77" s="52">
        <v>0</v>
      </c>
      <c r="CO77" s="39">
        <v>0</v>
      </c>
      <c r="CP77" s="40">
        <v>0</v>
      </c>
      <c r="CQ77" s="52">
        <v>0</v>
      </c>
      <c r="CR77" s="72">
        <v>546.54459594254956</v>
      </c>
      <c r="CS77" s="5">
        <v>130.52110209708746</v>
      </c>
      <c r="CT77" s="52">
        <v>-416.0234938454621</v>
      </c>
      <c r="CU77" s="77">
        <v>655.85351513105945</v>
      </c>
      <c r="CV77" s="65">
        <v>156.62532251650495</v>
      </c>
      <c r="CW77" s="35">
        <v>-499.22819261455447</v>
      </c>
      <c r="CX77" s="39">
        <v>29.513408180897674</v>
      </c>
      <c r="CY77" s="39">
        <v>528.74160079545231</v>
      </c>
      <c r="CZ77" s="52">
        <v>499.22819261455464</v>
      </c>
      <c r="DA77" s="150">
        <v>-7070.8321789777328</v>
      </c>
      <c r="DB77" s="2">
        <v>3</v>
      </c>
      <c r="DC77" s="713">
        <v>-1.24</v>
      </c>
      <c r="DD77" s="714"/>
      <c r="DE77" s="715">
        <v>-343.9234616559786</v>
      </c>
      <c r="DF77" s="716">
        <v>0</v>
      </c>
      <c r="DG77" s="717">
        <v>-3723.5932951564982</v>
      </c>
      <c r="DH77" s="718">
        <v>3278.8482573383212</v>
      </c>
      <c r="DI77" s="718">
        <v>8224.4030797434862</v>
      </c>
      <c r="DJ77" s="693">
        <v>6988.0143741421953</v>
      </c>
      <c r="DK77" s="724"/>
      <c r="DL77" s="5"/>
      <c r="DM77" s="306">
        <v>1.5806432733209343</v>
      </c>
      <c r="DN77" s="306"/>
      <c r="DO77" s="306">
        <v>1.5806432733209343</v>
      </c>
      <c r="DP77" s="719">
        <v>342.68346165597859</v>
      </c>
      <c r="DQ77" s="720">
        <v>0</v>
      </c>
      <c r="DR77" s="650">
        <v>342.68346165597859</v>
      </c>
      <c r="DS77" s="94">
        <v>342.68346165597859</v>
      </c>
      <c r="DT77" s="719">
        <v>342.67</v>
      </c>
      <c r="DU77" s="721"/>
      <c r="DV77" s="93">
        <v>342.67</v>
      </c>
      <c r="DW77" s="95">
        <v>345.63480247406835</v>
      </c>
      <c r="DX77" s="28">
        <v>-2.9648024740683354</v>
      </c>
      <c r="EA77" s="5">
        <v>580.09210369956747</v>
      </c>
      <c r="EB77" s="5">
        <v>0</v>
      </c>
      <c r="EE77" s="722">
        <v>5800.9210369956745</v>
      </c>
      <c r="EG77" s="42" t="s">
        <v>67</v>
      </c>
    </row>
    <row r="78" spans="1:137" x14ac:dyDescent="0.3">
      <c r="A78" s="325">
        <v>150000644</v>
      </c>
      <c r="B78" s="41" t="s">
        <v>538</v>
      </c>
      <c r="C78" s="42" t="s">
        <v>68</v>
      </c>
      <c r="D78" s="27">
        <v>1</v>
      </c>
      <c r="E78" s="709">
        <v>214.7</v>
      </c>
      <c r="F78" s="723">
        <v>214.7</v>
      </c>
      <c r="G78" s="28"/>
      <c r="H78" s="651">
        <v>0</v>
      </c>
      <c r="I78" s="39">
        <v>0</v>
      </c>
      <c r="J78" s="39">
        <v>0</v>
      </c>
      <c r="K78" s="52">
        <v>0</v>
      </c>
      <c r="L78" s="39">
        <v>0</v>
      </c>
      <c r="M78" s="39">
        <v>0</v>
      </c>
      <c r="N78" s="52">
        <v>0</v>
      </c>
      <c r="O78" s="39">
        <v>44.9</v>
      </c>
      <c r="P78" s="39">
        <v>44.9</v>
      </c>
      <c r="Q78" s="52">
        <v>0</v>
      </c>
      <c r="R78" s="39">
        <v>0</v>
      </c>
      <c r="S78" s="39">
        <v>0</v>
      </c>
      <c r="T78" s="52">
        <v>0</v>
      </c>
      <c r="U78" s="39">
        <v>0</v>
      </c>
      <c r="V78" s="39">
        <v>0</v>
      </c>
      <c r="W78" s="52">
        <v>0</v>
      </c>
      <c r="X78" s="39">
        <v>0</v>
      </c>
      <c r="Y78" s="39">
        <v>0</v>
      </c>
      <c r="Z78" s="52">
        <v>0</v>
      </c>
      <c r="AA78" s="39">
        <v>0</v>
      </c>
      <c r="AB78" s="39">
        <v>0</v>
      </c>
      <c r="AC78" s="52">
        <v>0</v>
      </c>
      <c r="AD78" s="39">
        <v>0</v>
      </c>
      <c r="AE78" s="39">
        <v>128.3877430172231</v>
      </c>
      <c r="AF78" s="35">
        <v>128.3877430172231</v>
      </c>
      <c r="AG78" s="77">
        <v>44.9</v>
      </c>
      <c r="AH78" s="53">
        <v>173.28774301722311</v>
      </c>
      <c r="AI78" s="52">
        <v>128.3877430172231</v>
      </c>
      <c r="AJ78" s="39">
        <v>0</v>
      </c>
      <c r="AK78" s="39">
        <v>0</v>
      </c>
      <c r="AL78" s="52">
        <v>0</v>
      </c>
      <c r="AM78" s="39">
        <v>0</v>
      </c>
      <c r="AN78" s="39">
        <v>0</v>
      </c>
      <c r="AO78" s="52">
        <v>0</v>
      </c>
      <c r="AP78" s="39">
        <v>63.134509526243313</v>
      </c>
      <c r="AQ78" s="39">
        <v>0</v>
      </c>
      <c r="AR78" s="52">
        <v>-63.134509526243313</v>
      </c>
      <c r="AS78" s="39">
        <v>494.22706795266049</v>
      </c>
      <c r="AT78" s="39">
        <v>0</v>
      </c>
      <c r="AU78" s="54">
        <v>-494.22706795266049</v>
      </c>
      <c r="AV78" s="39">
        <v>0</v>
      </c>
      <c r="AW78" s="39">
        <v>0</v>
      </c>
      <c r="AX78" s="55">
        <v>0</v>
      </c>
      <c r="AY78" s="39">
        <v>0</v>
      </c>
      <c r="AZ78" s="39">
        <v>0</v>
      </c>
      <c r="BA78" s="35">
        <v>0</v>
      </c>
      <c r="BB78" s="39">
        <v>16.764476281060535</v>
      </c>
      <c r="BC78" s="39">
        <v>0</v>
      </c>
      <c r="BD78" s="55">
        <v>-16.764476281060535</v>
      </c>
      <c r="BE78" s="39">
        <v>0</v>
      </c>
      <c r="BF78" s="39">
        <v>0</v>
      </c>
      <c r="BG78" s="38">
        <v>0</v>
      </c>
      <c r="BH78" s="39">
        <v>0</v>
      </c>
      <c r="BI78" s="39">
        <v>0</v>
      </c>
      <c r="BJ78" s="55">
        <v>0</v>
      </c>
      <c r="BK78" s="39">
        <v>0</v>
      </c>
      <c r="BL78" s="39">
        <v>0</v>
      </c>
      <c r="BM78" s="38">
        <v>0</v>
      </c>
      <c r="BN78" s="39">
        <v>0</v>
      </c>
      <c r="BO78" s="39">
        <v>0</v>
      </c>
      <c r="BP78" s="55">
        <v>0</v>
      </c>
      <c r="BQ78" s="77">
        <v>16.764476281060535</v>
      </c>
      <c r="BR78" s="40">
        <v>0</v>
      </c>
      <c r="BS78" s="55">
        <v>-16.764476281060535</v>
      </c>
      <c r="BT78" s="39">
        <v>0</v>
      </c>
      <c r="BU78" s="39">
        <v>0</v>
      </c>
      <c r="BV78" s="52">
        <v>0</v>
      </c>
      <c r="BW78" s="39">
        <v>0</v>
      </c>
      <c r="BX78" s="39">
        <v>0.86908641194973468</v>
      </c>
      <c r="BY78" s="52">
        <v>0.86908641194973468</v>
      </c>
      <c r="BZ78" s="39">
        <v>0</v>
      </c>
      <c r="CA78" s="39">
        <v>0</v>
      </c>
      <c r="CB78" s="52">
        <v>0</v>
      </c>
      <c r="CC78" s="39">
        <v>0</v>
      </c>
      <c r="CD78" s="39">
        <v>0</v>
      </c>
      <c r="CE78" s="52">
        <v>0</v>
      </c>
      <c r="CF78" s="39">
        <v>0</v>
      </c>
      <c r="CG78" s="39">
        <v>0</v>
      </c>
      <c r="CH78" s="52">
        <v>0</v>
      </c>
      <c r="CI78" s="39">
        <v>0</v>
      </c>
      <c r="CJ78" s="39">
        <v>0</v>
      </c>
      <c r="CK78" s="52">
        <v>0</v>
      </c>
      <c r="CL78" s="39">
        <v>0</v>
      </c>
      <c r="CM78" s="39">
        <v>0</v>
      </c>
      <c r="CN78" s="52">
        <v>0</v>
      </c>
      <c r="CO78" s="39">
        <v>0</v>
      </c>
      <c r="CP78" s="40">
        <v>0</v>
      </c>
      <c r="CQ78" s="52">
        <v>0</v>
      </c>
      <c r="CR78" s="72">
        <v>619.02605375996427</v>
      </c>
      <c r="CS78" s="5">
        <v>174.15682942917283</v>
      </c>
      <c r="CT78" s="52">
        <v>-444.86922433079144</v>
      </c>
      <c r="CU78" s="77">
        <v>742.8312645119571</v>
      </c>
      <c r="CV78" s="65">
        <v>208.9881953150074</v>
      </c>
      <c r="CW78" s="35">
        <v>-533.84306919694973</v>
      </c>
      <c r="CX78" s="39">
        <v>18.570781612798932</v>
      </c>
      <c r="CY78" s="39">
        <v>552.41385080974851</v>
      </c>
      <c r="CZ78" s="52">
        <v>533.84306919694961</v>
      </c>
      <c r="DA78" s="150">
        <v>-4644.167041233829</v>
      </c>
      <c r="DB78" s="2">
        <v>3</v>
      </c>
      <c r="DC78" s="713">
        <v>380.7</v>
      </c>
      <c r="DD78" s="714"/>
      <c r="DE78" s="715">
        <v>-1.0230623780671522E-3</v>
      </c>
      <c r="DF78" s="716">
        <v>0</v>
      </c>
      <c r="DG78" s="717">
        <v>-3227.8538419198303</v>
      </c>
      <c r="DH78" s="718">
        <v>3656.8937691955525</v>
      </c>
      <c r="DI78" s="718">
        <v>9136.824553497072</v>
      </c>
      <c r="DJ78" s="693">
        <v>7766.8418574216921</v>
      </c>
      <c r="DK78" s="724"/>
      <c r="DL78" s="5"/>
      <c r="DM78" s="306">
        <v>1.7731766328010157</v>
      </c>
      <c r="DN78" s="306"/>
      <c r="DO78" s="306">
        <v>1.7731766328010157</v>
      </c>
      <c r="DP78" s="719">
        <v>380.70102306237806</v>
      </c>
      <c r="DQ78" s="720">
        <v>0</v>
      </c>
      <c r="DR78" s="650">
        <v>380.70102306237806</v>
      </c>
      <c r="DS78" s="94">
        <v>380.70102306237794</v>
      </c>
      <c r="DT78" s="719">
        <v>380.7</v>
      </c>
      <c r="DU78" s="721"/>
      <c r="DV78" s="93">
        <v>380.7</v>
      </c>
      <c r="DW78" s="95">
        <v>382.5581012236579</v>
      </c>
      <c r="DX78" s="28">
        <v>-1.8581012236579113</v>
      </c>
      <c r="EA78" s="5">
        <v>613.18985308046524</v>
      </c>
      <c r="EB78" s="5">
        <v>0</v>
      </c>
      <c r="EE78" s="722">
        <v>5930.7248154319259</v>
      </c>
      <c r="EG78" s="42" t="s">
        <v>68</v>
      </c>
    </row>
    <row r="79" spans="1:137" x14ac:dyDescent="0.3">
      <c r="A79" s="325">
        <v>150000566</v>
      </c>
      <c r="B79" s="41" t="s">
        <v>539</v>
      </c>
      <c r="C79" s="42" t="s">
        <v>69</v>
      </c>
      <c r="D79" s="27">
        <v>1</v>
      </c>
      <c r="E79" s="709">
        <v>397.8</v>
      </c>
      <c r="F79" s="723">
        <v>397.8</v>
      </c>
      <c r="G79" s="28"/>
      <c r="H79" s="651">
        <v>0</v>
      </c>
      <c r="I79" s="39">
        <v>0</v>
      </c>
      <c r="J79" s="39">
        <v>0</v>
      </c>
      <c r="K79" s="52">
        <v>0</v>
      </c>
      <c r="L79" s="39">
        <v>0</v>
      </c>
      <c r="M79" s="39">
        <v>0</v>
      </c>
      <c r="N79" s="52">
        <v>0</v>
      </c>
      <c r="O79" s="39">
        <v>0</v>
      </c>
      <c r="P79" s="39">
        <v>0</v>
      </c>
      <c r="Q79" s="52">
        <v>0</v>
      </c>
      <c r="R79" s="39">
        <v>0</v>
      </c>
      <c r="S79" s="39">
        <v>0</v>
      </c>
      <c r="T79" s="52">
        <v>0</v>
      </c>
      <c r="U79" s="39">
        <v>0</v>
      </c>
      <c r="V79" s="39">
        <v>0</v>
      </c>
      <c r="W79" s="52">
        <v>0</v>
      </c>
      <c r="X79" s="39">
        <v>0</v>
      </c>
      <c r="Y79" s="39">
        <v>0</v>
      </c>
      <c r="Z79" s="52">
        <v>0</v>
      </c>
      <c r="AA79" s="39">
        <v>0</v>
      </c>
      <c r="AB79" s="39">
        <v>0</v>
      </c>
      <c r="AC79" s="52">
        <v>0</v>
      </c>
      <c r="AD79" s="39">
        <v>0</v>
      </c>
      <c r="AE79" s="39">
        <v>237.87910653121264</v>
      </c>
      <c r="AF79" s="35">
        <v>237.87910653121264</v>
      </c>
      <c r="AG79" s="77">
        <v>0</v>
      </c>
      <c r="AH79" s="53">
        <v>237.87910653121264</v>
      </c>
      <c r="AI79" s="52">
        <v>237.87910653121264</v>
      </c>
      <c r="AJ79" s="39">
        <v>0</v>
      </c>
      <c r="AK79" s="39">
        <v>0</v>
      </c>
      <c r="AL79" s="52">
        <v>0</v>
      </c>
      <c r="AM79" s="39">
        <v>0</v>
      </c>
      <c r="AN79" s="39">
        <v>0</v>
      </c>
      <c r="AO79" s="52">
        <v>0</v>
      </c>
      <c r="AP79" s="39">
        <v>110.48539167092581</v>
      </c>
      <c r="AQ79" s="39">
        <v>0</v>
      </c>
      <c r="AR79" s="52">
        <v>-110.48539167092581</v>
      </c>
      <c r="AS79" s="39">
        <v>1075.2062017177741</v>
      </c>
      <c r="AT79" s="39">
        <v>0</v>
      </c>
      <c r="AU79" s="54">
        <v>-1075.2062017177741</v>
      </c>
      <c r="AV79" s="39">
        <v>0</v>
      </c>
      <c r="AW79" s="39">
        <v>0</v>
      </c>
      <c r="AX79" s="55">
        <v>0</v>
      </c>
      <c r="AY79" s="39">
        <v>0</v>
      </c>
      <c r="AZ79" s="39">
        <v>0</v>
      </c>
      <c r="BA79" s="35">
        <v>0</v>
      </c>
      <c r="BB79" s="39">
        <v>0</v>
      </c>
      <c r="BC79" s="39">
        <v>0</v>
      </c>
      <c r="BD79" s="55">
        <v>0</v>
      </c>
      <c r="BE79" s="39">
        <v>0</v>
      </c>
      <c r="BF79" s="39">
        <v>0</v>
      </c>
      <c r="BG79" s="38">
        <v>0</v>
      </c>
      <c r="BH79" s="39">
        <v>0</v>
      </c>
      <c r="BI79" s="39">
        <v>0</v>
      </c>
      <c r="BJ79" s="55">
        <v>0</v>
      </c>
      <c r="BK79" s="39">
        <v>0</v>
      </c>
      <c r="BL79" s="39">
        <v>0</v>
      </c>
      <c r="BM79" s="38">
        <v>0</v>
      </c>
      <c r="BN79" s="39">
        <v>0</v>
      </c>
      <c r="BO79" s="39">
        <v>0</v>
      </c>
      <c r="BP79" s="55">
        <v>0</v>
      </c>
      <c r="BQ79" s="77">
        <v>0</v>
      </c>
      <c r="BR79" s="40">
        <v>0</v>
      </c>
      <c r="BS79" s="55">
        <v>0</v>
      </c>
      <c r="BT79" s="39">
        <v>0</v>
      </c>
      <c r="BU79" s="39">
        <v>0</v>
      </c>
      <c r="BV79" s="52">
        <v>0</v>
      </c>
      <c r="BW79" s="39">
        <v>0</v>
      </c>
      <c r="BX79" s="39">
        <v>1.6102588480372824</v>
      </c>
      <c r="BY79" s="52">
        <v>1.6102588480372824</v>
      </c>
      <c r="BZ79" s="39">
        <v>0</v>
      </c>
      <c r="CA79" s="39">
        <v>0</v>
      </c>
      <c r="CB79" s="52">
        <v>0</v>
      </c>
      <c r="CC79" s="39">
        <v>0</v>
      </c>
      <c r="CD79" s="39">
        <v>0</v>
      </c>
      <c r="CE79" s="52">
        <v>0</v>
      </c>
      <c r="CF79" s="39">
        <v>0</v>
      </c>
      <c r="CG79" s="39">
        <v>0</v>
      </c>
      <c r="CH79" s="52">
        <v>0</v>
      </c>
      <c r="CI79" s="39">
        <v>0</v>
      </c>
      <c r="CJ79" s="39">
        <v>0</v>
      </c>
      <c r="CK79" s="52">
        <v>0</v>
      </c>
      <c r="CL79" s="39">
        <v>0</v>
      </c>
      <c r="CM79" s="39">
        <v>0</v>
      </c>
      <c r="CN79" s="52">
        <v>0</v>
      </c>
      <c r="CO79" s="39">
        <v>0</v>
      </c>
      <c r="CP79" s="40">
        <v>0</v>
      </c>
      <c r="CQ79" s="52">
        <v>0</v>
      </c>
      <c r="CR79" s="72">
        <v>1185.6915933886999</v>
      </c>
      <c r="CS79" s="5">
        <v>239.48936537924993</v>
      </c>
      <c r="CT79" s="52">
        <v>-946.20222800944998</v>
      </c>
      <c r="CU79" s="77">
        <v>1422.8299120664399</v>
      </c>
      <c r="CV79" s="65">
        <v>287.38723845509992</v>
      </c>
      <c r="CW79" s="35">
        <v>-1135.4426736113401</v>
      </c>
      <c r="CX79" s="39">
        <v>35.570749737416541</v>
      </c>
      <c r="CY79" s="39">
        <v>1171.0134233487565</v>
      </c>
      <c r="CZ79" s="52">
        <v>1135.4426736113401</v>
      </c>
      <c r="DA79" s="150">
        <v>-14986.839595896392</v>
      </c>
      <c r="DB79" s="2">
        <v>1</v>
      </c>
      <c r="DC79" s="713">
        <v>541.26</v>
      </c>
      <c r="DD79" s="714"/>
      <c r="DE79" s="715">
        <v>-187.94036961703898</v>
      </c>
      <c r="DF79" s="716">
        <v>0</v>
      </c>
      <c r="DG79" s="717">
        <v>-7955.5276058532618</v>
      </c>
      <c r="DH79" s="718">
        <v>6139.8356810622636</v>
      </c>
      <c r="DI79" s="718">
        <v>17500.807941646275</v>
      </c>
      <c r="DJ79" s="693">
        <v>14660.564876500273</v>
      </c>
      <c r="DK79" s="724"/>
      <c r="DL79" s="5"/>
      <c r="DM79" s="306">
        <v>1.8330828798819481</v>
      </c>
      <c r="DN79" s="306"/>
      <c r="DO79" s="306">
        <v>1.8330828798819481</v>
      </c>
      <c r="DP79" s="719">
        <v>729.20036961703897</v>
      </c>
      <c r="DQ79" s="720">
        <v>0</v>
      </c>
      <c r="DR79" s="650">
        <v>729.20036961703897</v>
      </c>
      <c r="DS79" s="94">
        <v>729.20029218681736</v>
      </c>
      <c r="DT79" s="719">
        <v>729.2</v>
      </c>
      <c r="DU79" s="721"/>
      <c r="DV79" s="93">
        <v>729.2</v>
      </c>
      <c r="DW79" s="95">
        <v>732.75740587566975</v>
      </c>
      <c r="DX79" s="28">
        <v>-3.5574058756697013</v>
      </c>
      <c r="EA79" s="5">
        <v>1290.2474420613289</v>
      </c>
      <c r="EB79" s="5">
        <v>0</v>
      </c>
      <c r="EE79" s="729">
        <v>12902.474420613289</v>
      </c>
      <c r="EG79" s="42" t="s">
        <v>69</v>
      </c>
    </row>
    <row r="80" spans="1:137" x14ac:dyDescent="0.3">
      <c r="A80" s="325">
        <v>150000561</v>
      </c>
      <c r="B80" s="41" t="s">
        <v>542</v>
      </c>
      <c r="C80" s="42" t="s">
        <v>72</v>
      </c>
      <c r="D80" s="27">
        <v>1</v>
      </c>
      <c r="E80" s="709">
        <v>128.1</v>
      </c>
      <c r="F80" s="723">
        <v>128.1</v>
      </c>
      <c r="G80" s="28"/>
      <c r="H80" s="651">
        <v>0</v>
      </c>
      <c r="I80" s="39">
        <v>0</v>
      </c>
      <c r="J80" s="39">
        <v>0</v>
      </c>
      <c r="K80" s="52">
        <v>0</v>
      </c>
      <c r="L80" s="39">
        <v>0</v>
      </c>
      <c r="M80" s="39">
        <v>0</v>
      </c>
      <c r="N80" s="52">
        <v>0</v>
      </c>
      <c r="O80" s="39">
        <v>0</v>
      </c>
      <c r="P80" s="39">
        <v>0</v>
      </c>
      <c r="Q80" s="52">
        <v>0</v>
      </c>
      <c r="R80" s="39">
        <v>0</v>
      </c>
      <c r="S80" s="39">
        <v>0</v>
      </c>
      <c r="T80" s="52">
        <v>0</v>
      </c>
      <c r="U80" s="39">
        <v>0</v>
      </c>
      <c r="V80" s="39">
        <v>0</v>
      </c>
      <c r="W80" s="52">
        <v>0</v>
      </c>
      <c r="X80" s="39">
        <v>0</v>
      </c>
      <c r="Y80" s="39">
        <v>0</v>
      </c>
      <c r="Z80" s="52">
        <v>0</v>
      </c>
      <c r="AA80" s="39">
        <v>0</v>
      </c>
      <c r="AB80" s="39">
        <v>0</v>
      </c>
      <c r="AC80" s="52">
        <v>0</v>
      </c>
      <c r="AD80" s="39">
        <v>0</v>
      </c>
      <c r="AE80" s="39">
        <v>76.602095391272854</v>
      </c>
      <c r="AF80" s="35">
        <v>76.602095391272854</v>
      </c>
      <c r="AG80" s="77">
        <v>0</v>
      </c>
      <c r="AH80" s="53">
        <v>76.602095391272854</v>
      </c>
      <c r="AI80" s="52">
        <v>76.602095391272854</v>
      </c>
      <c r="AJ80" s="39">
        <v>0</v>
      </c>
      <c r="AK80" s="39">
        <v>0</v>
      </c>
      <c r="AL80" s="52">
        <v>0</v>
      </c>
      <c r="AM80" s="39">
        <v>0</v>
      </c>
      <c r="AN80" s="39">
        <v>0</v>
      </c>
      <c r="AO80" s="52">
        <v>0</v>
      </c>
      <c r="AP80" s="39">
        <v>78.91813690780414</v>
      </c>
      <c r="AQ80" s="39">
        <v>0</v>
      </c>
      <c r="AR80" s="52">
        <v>-78.91813690780414</v>
      </c>
      <c r="AS80" s="39">
        <v>229.57698808104203</v>
      </c>
      <c r="AT80" s="39">
        <v>0</v>
      </c>
      <c r="AU80" s="54">
        <v>-229.57698808104203</v>
      </c>
      <c r="AV80" s="39">
        <v>0</v>
      </c>
      <c r="AW80" s="39">
        <v>0</v>
      </c>
      <c r="AX80" s="55">
        <v>0</v>
      </c>
      <c r="AY80" s="39">
        <v>0</v>
      </c>
      <c r="AZ80" s="39">
        <v>0</v>
      </c>
      <c r="BA80" s="35">
        <v>0</v>
      </c>
      <c r="BB80" s="39">
        <v>0</v>
      </c>
      <c r="BC80" s="39">
        <v>0</v>
      </c>
      <c r="BD80" s="55">
        <v>0</v>
      </c>
      <c r="BE80" s="39">
        <v>0</v>
      </c>
      <c r="BF80" s="39">
        <v>0</v>
      </c>
      <c r="BG80" s="38">
        <v>0</v>
      </c>
      <c r="BH80" s="39">
        <v>0</v>
      </c>
      <c r="BI80" s="39">
        <v>0</v>
      </c>
      <c r="BJ80" s="55">
        <v>0</v>
      </c>
      <c r="BK80" s="39">
        <v>0</v>
      </c>
      <c r="BL80" s="39">
        <v>0</v>
      </c>
      <c r="BM80" s="38">
        <v>0</v>
      </c>
      <c r="BN80" s="39">
        <v>0</v>
      </c>
      <c r="BO80" s="39">
        <v>0</v>
      </c>
      <c r="BP80" s="55">
        <v>0</v>
      </c>
      <c r="BQ80" s="77">
        <v>0</v>
      </c>
      <c r="BR80" s="40">
        <v>0</v>
      </c>
      <c r="BS80" s="55">
        <v>0</v>
      </c>
      <c r="BT80" s="39">
        <v>33.497815055876515</v>
      </c>
      <c r="BU80" s="39">
        <v>16.395446943401968</v>
      </c>
      <c r="BV80" s="52">
        <v>-17.102368112474547</v>
      </c>
      <c r="BW80" s="39">
        <v>0</v>
      </c>
      <c r="BX80" s="39">
        <v>0.51853735151728464</v>
      </c>
      <c r="BY80" s="52">
        <v>0.51853735151728464</v>
      </c>
      <c r="BZ80" s="39">
        <v>27.549189285954203</v>
      </c>
      <c r="CA80" s="39">
        <v>56.088163048662764</v>
      </c>
      <c r="CB80" s="52">
        <v>28.538973762708562</v>
      </c>
      <c r="CC80" s="39">
        <v>0</v>
      </c>
      <c r="CD80" s="39">
        <v>0</v>
      </c>
      <c r="CE80" s="52">
        <v>0</v>
      </c>
      <c r="CF80" s="39">
        <v>0</v>
      </c>
      <c r="CG80" s="39">
        <v>0</v>
      </c>
      <c r="CH80" s="52">
        <v>0</v>
      </c>
      <c r="CI80" s="39">
        <v>0</v>
      </c>
      <c r="CJ80" s="39">
        <v>0</v>
      </c>
      <c r="CK80" s="52">
        <v>0</v>
      </c>
      <c r="CL80" s="39">
        <v>0</v>
      </c>
      <c r="CM80" s="39">
        <v>0</v>
      </c>
      <c r="CN80" s="52">
        <v>0</v>
      </c>
      <c r="CO80" s="39">
        <v>0</v>
      </c>
      <c r="CP80" s="40">
        <v>0</v>
      </c>
      <c r="CQ80" s="52">
        <v>0</v>
      </c>
      <c r="CR80" s="72">
        <v>369.54212933067686</v>
      </c>
      <c r="CS80" s="5">
        <v>149.60424273485486</v>
      </c>
      <c r="CT80" s="52">
        <v>-219.93788659582199</v>
      </c>
      <c r="CU80" s="77">
        <v>443.45055519681222</v>
      </c>
      <c r="CV80" s="65">
        <v>179.52509128182584</v>
      </c>
      <c r="CW80" s="35">
        <v>-263.92546391498638</v>
      </c>
      <c r="CX80" s="39">
        <v>6.6517583279521837</v>
      </c>
      <c r="CY80" s="39">
        <v>270.57722224293855</v>
      </c>
      <c r="CZ80" s="52">
        <v>263.92546391498638</v>
      </c>
      <c r="DA80" s="150">
        <v>10180.144295762464</v>
      </c>
      <c r="DB80" s="2">
        <v>1</v>
      </c>
      <c r="DC80" s="713">
        <v>488.02</v>
      </c>
      <c r="DD80" s="714"/>
      <c r="DE80" s="715">
        <v>262.96884323761776</v>
      </c>
      <c r="DF80" s="716">
        <v>0</v>
      </c>
      <c r="DG80" s="717">
        <v>9145.2614267538611</v>
      </c>
      <c r="DH80" s="718">
        <v>2156.5235870100105</v>
      </c>
      <c r="DI80" s="718">
        <v>5401.2277622971724</v>
      </c>
      <c r="DJ80" s="693">
        <v>4590.0517184753817</v>
      </c>
      <c r="DK80" s="724"/>
      <c r="DL80" s="5"/>
      <c r="DM80" s="306">
        <v>1.7568396312442016</v>
      </c>
      <c r="DN80" s="306"/>
      <c r="DO80" s="306">
        <v>1.7568396312442016</v>
      </c>
      <c r="DP80" s="719">
        <v>225.05115676238222</v>
      </c>
      <c r="DQ80" s="720">
        <v>0</v>
      </c>
      <c r="DR80" s="650">
        <v>225.05115676238222</v>
      </c>
      <c r="DS80" s="94">
        <v>225.05115676238216</v>
      </c>
      <c r="DT80" s="719">
        <v>225.04</v>
      </c>
      <c r="DU80" s="721"/>
      <c r="DV80" s="93">
        <v>225.04</v>
      </c>
      <c r="DW80" s="95">
        <v>225.71633259517742</v>
      </c>
      <c r="DX80" s="28">
        <v>-0.67633259517742772</v>
      </c>
      <c r="EA80" s="5">
        <v>275.49238569725043</v>
      </c>
      <c r="EB80" s="5">
        <v>0</v>
      </c>
      <c r="EE80" s="722">
        <v>2754.9238569725044</v>
      </c>
      <c r="EG80" s="42" t="s">
        <v>72</v>
      </c>
    </row>
    <row r="81" spans="1:137" x14ac:dyDescent="0.3">
      <c r="A81" s="325">
        <v>150000569</v>
      </c>
      <c r="B81" s="41" t="s">
        <v>543</v>
      </c>
      <c r="C81" s="42" t="s">
        <v>73</v>
      </c>
      <c r="D81" s="27">
        <v>1</v>
      </c>
      <c r="E81" s="709">
        <v>245.6</v>
      </c>
      <c r="F81" s="723">
        <v>245.6</v>
      </c>
      <c r="G81" s="28"/>
      <c r="H81" s="651">
        <v>0</v>
      </c>
      <c r="I81" s="39">
        <v>0</v>
      </c>
      <c r="J81" s="39">
        <v>0</v>
      </c>
      <c r="K81" s="52">
        <v>0</v>
      </c>
      <c r="L81" s="39">
        <v>0</v>
      </c>
      <c r="M81" s="39">
        <v>0</v>
      </c>
      <c r="N81" s="52">
        <v>0</v>
      </c>
      <c r="O81" s="39">
        <v>0</v>
      </c>
      <c r="P81" s="39">
        <v>0</v>
      </c>
      <c r="Q81" s="52">
        <v>0</v>
      </c>
      <c r="R81" s="39">
        <v>0</v>
      </c>
      <c r="S81" s="39">
        <v>0</v>
      </c>
      <c r="T81" s="52">
        <v>0</v>
      </c>
      <c r="U81" s="39">
        <v>0</v>
      </c>
      <c r="V81" s="39">
        <v>0</v>
      </c>
      <c r="W81" s="52">
        <v>0</v>
      </c>
      <c r="X81" s="39">
        <v>0</v>
      </c>
      <c r="Y81" s="39">
        <v>0</v>
      </c>
      <c r="Z81" s="52">
        <v>0</v>
      </c>
      <c r="AA81" s="39">
        <v>0</v>
      </c>
      <c r="AB81" s="39">
        <v>0</v>
      </c>
      <c r="AC81" s="52">
        <v>0</v>
      </c>
      <c r="AD81" s="39">
        <v>0</v>
      </c>
      <c r="AE81" s="39">
        <v>146.86553183525848</v>
      </c>
      <c r="AF81" s="35">
        <v>146.86553183525848</v>
      </c>
      <c r="AG81" s="77">
        <v>0</v>
      </c>
      <c r="AH81" s="53">
        <v>146.86553183525848</v>
      </c>
      <c r="AI81" s="52">
        <v>146.86553183525848</v>
      </c>
      <c r="AJ81" s="39">
        <v>0</v>
      </c>
      <c r="AK81" s="39">
        <v>0</v>
      </c>
      <c r="AL81" s="52">
        <v>0</v>
      </c>
      <c r="AM81" s="39">
        <v>0</v>
      </c>
      <c r="AN81" s="39">
        <v>0</v>
      </c>
      <c r="AO81" s="52">
        <v>0</v>
      </c>
      <c r="AP81" s="39">
        <v>102.59357798014538</v>
      </c>
      <c r="AQ81" s="39">
        <v>0</v>
      </c>
      <c r="AR81" s="52">
        <v>-102.59357798014538</v>
      </c>
      <c r="AS81" s="39">
        <v>625.77037335856789</v>
      </c>
      <c r="AT81" s="39">
        <v>0</v>
      </c>
      <c r="AU81" s="54">
        <v>-625.77037335856789</v>
      </c>
      <c r="AV81" s="39">
        <v>0</v>
      </c>
      <c r="AW81" s="39">
        <v>0</v>
      </c>
      <c r="AX81" s="55">
        <v>0</v>
      </c>
      <c r="AY81" s="39">
        <v>0</v>
      </c>
      <c r="AZ81" s="39">
        <v>0</v>
      </c>
      <c r="BA81" s="35">
        <v>0</v>
      </c>
      <c r="BB81" s="39">
        <v>0</v>
      </c>
      <c r="BC81" s="39">
        <v>0</v>
      </c>
      <c r="BD81" s="55">
        <v>0</v>
      </c>
      <c r="BE81" s="39">
        <v>0</v>
      </c>
      <c r="BF81" s="39">
        <v>0</v>
      </c>
      <c r="BG81" s="38">
        <v>0</v>
      </c>
      <c r="BH81" s="39">
        <v>0</v>
      </c>
      <c r="BI81" s="39">
        <v>0</v>
      </c>
      <c r="BJ81" s="55">
        <v>0</v>
      </c>
      <c r="BK81" s="39">
        <v>0</v>
      </c>
      <c r="BL81" s="39">
        <v>0</v>
      </c>
      <c r="BM81" s="38">
        <v>0</v>
      </c>
      <c r="BN81" s="39">
        <v>0</v>
      </c>
      <c r="BO81" s="39">
        <v>0</v>
      </c>
      <c r="BP81" s="55">
        <v>0</v>
      </c>
      <c r="BQ81" s="77">
        <v>0</v>
      </c>
      <c r="BR81" s="40">
        <v>0</v>
      </c>
      <c r="BS81" s="55">
        <v>0</v>
      </c>
      <c r="BT81" s="39">
        <v>51.841856634094597</v>
      </c>
      <c r="BU81" s="39">
        <v>25.351550119533432</v>
      </c>
      <c r="BV81" s="52">
        <v>-26.490306514561166</v>
      </c>
      <c r="BW81" s="39">
        <v>0</v>
      </c>
      <c r="BX81" s="39">
        <v>0.99416685037193697</v>
      </c>
      <c r="BY81" s="52">
        <v>0.99416685037193697</v>
      </c>
      <c r="BZ81" s="39">
        <v>0</v>
      </c>
      <c r="CA81" s="39">
        <v>86.745127202171375</v>
      </c>
      <c r="CB81" s="52">
        <v>86.745127202171375</v>
      </c>
      <c r="CC81" s="39">
        <v>0</v>
      </c>
      <c r="CD81" s="39">
        <v>0</v>
      </c>
      <c r="CE81" s="52">
        <v>0</v>
      </c>
      <c r="CF81" s="39">
        <v>0</v>
      </c>
      <c r="CG81" s="39">
        <v>0</v>
      </c>
      <c r="CH81" s="52">
        <v>0</v>
      </c>
      <c r="CI81" s="39">
        <v>0</v>
      </c>
      <c r="CJ81" s="39">
        <v>0</v>
      </c>
      <c r="CK81" s="52">
        <v>0</v>
      </c>
      <c r="CL81" s="39">
        <v>0</v>
      </c>
      <c r="CM81" s="39">
        <v>0</v>
      </c>
      <c r="CN81" s="52">
        <v>0</v>
      </c>
      <c r="CO81" s="39">
        <v>0</v>
      </c>
      <c r="CP81" s="40">
        <v>0</v>
      </c>
      <c r="CQ81" s="52">
        <v>0</v>
      </c>
      <c r="CR81" s="72">
        <v>780.20580797280786</v>
      </c>
      <c r="CS81" s="5">
        <v>259.95637600733522</v>
      </c>
      <c r="CT81" s="52">
        <v>-520.2494319654727</v>
      </c>
      <c r="CU81" s="77">
        <v>936.24696956736943</v>
      </c>
      <c r="CV81" s="65">
        <v>311.94765120880226</v>
      </c>
      <c r="CW81" s="35">
        <v>-624.29931835856723</v>
      </c>
      <c r="CX81" s="39">
        <v>14.043704543510541</v>
      </c>
      <c r="CY81" s="39">
        <v>638.34302290207779</v>
      </c>
      <c r="CZ81" s="52">
        <v>624.29931835856723</v>
      </c>
      <c r="DA81" s="150">
        <v>14927.097619848359</v>
      </c>
      <c r="DB81" s="2">
        <v>1</v>
      </c>
      <c r="DC81" s="713">
        <v>2236.4499999999998</v>
      </c>
      <c r="DD81" s="714"/>
      <c r="DE81" s="715">
        <v>1761.3046629445598</v>
      </c>
      <c r="DF81" s="716">
        <v>0</v>
      </c>
      <c r="DG81" s="717">
        <v>1855.5859891862092</v>
      </c>
      <c r="DH81" s="718">
        <v>4404.4543388262337</v>
      </c>
      <c r="DI81" s="718">
        <v>11403.48808933056</v>
      </c>
      <c r="DJ81" s="693">
        <v>9653.7296517044779</v>
      </c>
      <c r="DK81" s="724"/>
      <c r="DL81" s="5"/>
      <c r="DM81" s="306">
        <v>1.9346308512029315</v>
      </c>
      <c r="DN81" s="306"/>
      <c r="DO81" s="306">
        <v>1.9346308512029315</v>
      </c>
      <c r="DP81" s="719">
        <v>475.14533705544</v>
      </c>
      <c r="DQ81" s="720">
        <v>0</v>
      </c>
      <c r="DR81" s="650">
        <v>475.14533705544</v>
      </c>
      <c r="DS81" s="94">
        <v>475.14533705544</v>
      </c>
      <c r="DT81" s="719">
        <v>475.13</v>
      </c>
      <c r="DU81" s="721"/>
      <c r="DV81" s="93">
        <v>475.13</v>
      </c>
      <c r="DW81" s="95">
        <v>476.54970750979101</v>
      </c>
      <c r="DX81" s="28">
        <v>-1.4197075097910101</v>
      </c>
      <c r="EA81" s="5">
        <v>750.9244480302815</v>
      </c>
      <c r="EB81" s="5">
        <v>0</v>
      </c>
      <c r="EE81" s="722">
        <v>7509.2444803028147</v>
      </c>
      <c r="EG81" s="42" t="s">
        <v>73</v>
      </c>
    </row>
    <row r="82" spans="1:137" x14ac:dyDescent="0.3">
      <c r="A82" s="325">
        <v>150000570</v>
      </c>
      <c r="B82" s="41" t="s">
        <v>545</v>
      </c>
      <c r="C82" s="42" t="s">
        <v>75</v>
      </c>
      <c r="D82" s="27">
        <v>1</v>
      </c>
      <c r="E82" s="709">
        <v>282.8</v>
      </c>
      <c r="F82" s="723">
        <v>282.8</v>
      </c>
      <c r="G82" s="28"/>
      <c r="H82" s="651">
        <v>0</v>
      </c>
      <c r="I82" s="39">
        <v>0</v>
      </c>
      <c r="J82" s="39">
        <v>0</v>
      </c>
      <c r="K82" s="52">
        <v>0</v>
      </c>
      <c r="L82" s="39">
        <v>0</v>
      </c>
      <c r="M82" s="39">
        <v>0</v>
      </c>
      <c r="N82" s="52">
        <v>0</v>
      </c>
      <c r="O82" s="39">
        <v>0</v>
      </c>
      <c r="P82" s="39">
        <v>0</v>
      </c>
      <c r="Q82" s="52">
        <v>0</v>
      </c>
      <c r="R82" s="39">
        <v>0</v>
      </c>
      <c r="S82" s="39">
        <v>0</v>
      </c>
      <c r="T82" s="52">
        <v>0</v>
      </c>
      <c r="U82" s="39">
        <v>0</v>
      </c>
      <c r="V82" s="39">
        <v>0</v>
      </c>
      <c r="W82" s="52">
        <v>0</v>
      </c>
      <c r="X82" s="39">
        <v>0</v>
      </c>
      <c r="Y82" s="39">
        <v>0</v>
      </c>
      <c r="Z82" s="52">
        <v>0</v>
      </c>
      <c r="AA82" s="39">
        <v>0</v>
      </c>
      <c r="AB82" s="39">
        <v>0</v>
      </c>
      <c r="AC82" s="52">
        <v>0</v>
      </c>
      <c r="AD82" s="39">
        <v>0</v>
      </c>
      <c r="AE82" s="39">
        <v>169.11063682007779</v>
      </c>
      <c r="AF82" s="35">
        <v>169.11063682007779</v>
      </c>
      <c r="AG82" s="77">
        <v>0</v>
      </c>
      <c r="AH82" s="53">
        <v>169.11063682007779</v>
      </c>
      <c r="AI82" s="52">
        <v>169.11063682007779</v>
      </c>
      <c r="AJ82" s="39">
        <v>0</v>
      </c>
      <c r="AK82" s="39">
        <v>0</v>
      </c>
      <c r="AL82" s="52">
        <v>0</v>
      </c>
      <c r="AM82" s="39">
        <v>0</v>
      </c>
      <c r="AN82" s="39">
        <v>0</v>
      </c>
      <c r="AO82" s="52">
        <v>0</v>
      </c>
      <c r="AP82" s="39">
        <v>78.91813690780414</v>
      </c>
      <c r="AQ82" s="39">
        <v>0</v>
      </c>
      <c r="AR82" s="52">
        <v>-78.91813690780414</v>
      </c>
      <c r="AS82" s="39">
        <v>475.69300020619374</v>
      </c>
      <c r="AT82" s="39">
        <v>0</v>
      </c>
      <c r="AU82" s="54">
        <v>-475.69300020619374</v>
      </c>
      <c r="AV82" s="39">
        <v>0</v>
      </c>
      <c r="AW82" s="39">
        <v>0</v>
      </c>
      <c r="AX82" s="55">
        <v>0</v>
      </c>
      <c r="AY82" s="39">
        <v>0</v>
      </c>
      <c r="AZ82" s="39">
        <v>0</v>
      </c>
      <c r="BA82" s="35">
        <v>0</v>
      </c>
      <c r="BB82" s="39">
        <v>0</v>
      </c>
      <c r="BC82" s="39">
        <v>0</v>
      </c>
      <c r="BD82" s="55">
        <v>0</v>
      </c>
      <c r="BE82" s="39">
        <v>0</v>
      </c>
      <c r="BF82" s="39">
        <v>0</v>
      </c>
      <c r="BG82" s="38">
        <v>0</v>
      </c>
      <c r="BH82" s="39">
        <v>0</v>
      </c>
      <c r="BI82" s="39">
        <v>0</v>
      </c>
      <c r="BJ82" s="55">
        <v>0</v>
      </c>
      <c r="BK82" s="39">
        <v>0</v>
      </c>
      <c r="BL82" s="39">
        <v>0</v>
      </c>
      <c r="BM82" s="38">
        <v>0</v>
      </c>
      <c r="BN82" s="39">
        <v>0</v>
      </c>
      <c r="BO82" s="39">
        <v>0</v>
      </c>
      <c r="BP82" s="55">
        <v>0</v>
      </c>
      <c r="BQ82" s="77">
        <v>0</v>
      </c>
      <c r="BR82" s="40">
        <v>0</v>
      </c>
      <c r="BS82" s="55">
        <v>0</v>
      </c>
      <c r="BT82" s="39">
        <v>207.36742653637839</v>
      </c>
      <c r="BU82" s="39">
        <v>101.43715475178395</v>
      </c>
      <c r="BV82" s="52">
        <v>-105.93027178459444</v>
      </c>
      <c r="BW82" s="39">
        <v>0</v>
      </c>
      <c r="BX82" s="39">
        <v>1.1447491257540057</v>
      </c>
      <c r="BY82" s="52">
        <v>1.1447491257540057</v>
      </c>
      <c r="BZ82" s="39">
        <v>0</v>
      </c>
      <c r="CA82" s="39">
        <v>347.07069750084634</v>
      </c>
      <c r="CB82" s="52">
        <v>347.07069750084634</v>
      </c>
      <c r="CC82" s="39">
        <v>0</v>
      </c>
      <c r="CD82" s="39">
        <v>0</v>
      </c>
      <c r="CE82" s="52">
        <v>0</v>
      </c>
      <c r="CF82" s="39">
        <v>0</v>
      </c>
      <c r="CG82" s="39">
        <v>0</v>
      </c>
      <c r="CH82" s="52">
        <v>0</v>
      </c>
      <c r="CI82" s="39">
        <v>0</v>
      </c>
      <c r="CJ82" s="39">
        <v>0</v>
      </c>
      <c r="CK82" s="52">
        <v>0</v>
      </c>
      <c r="CL82" s="39">
        <v>0</v>
      </c>
      <c r="CM82" s="39">
        <v>0</v>
      </c>
      <c r="CN82" s="52">
        <v>0</v>
      </c>
      <c r="CO82" s="39">
        <v>0</v>
      </c>
      <c r="CP82" s="40">
        <v>0</v>
      </c>
      <c r="CQ82" s="52">
        <v>0</v>
      </c>
      <c r="CR82" s="72">
        <v>761.97856365037626</v>
      </c>
      <c r="CS82" s="5">
        <v>618.76323819846209</v>
      </c>
      <c r="CT82" s="52">
        <v>-143.21532545191417</v>
      </c>
      <c r="CU82" s="77">
        <v>914.37427638045153</v>
      </c>
      <c r="CV82" s="65">
        <v>742.51588583815453</v>
      </c>
      <c r="CW82" s="35">
        <v>-171.858390542297</v>
      </c>
      <c r="CX82" s="39">
        <v>22.859356909511291</v>
      </c>
      <c r="CY82" s="39">
        <v>194.71774745180846</v>
      </c>
      <c r="CZ82" s="52">
        <v>171.85839054229717</v>
      </c>
      <c r="DA82" s="150">
        <v>-7300.832184110488</v>
      </c>
      <c r="DB82" s="2">
        <v>1</v>
      </c>
      <c r="DC82" s="713">
        <v>604.66</v>
      </c>
      <c r="DD82" s="714"/>
      <c r="DE82" s="715">
        <v>136.04318335501853</v>
      </c>
      <c r="DF82" s="716">
        <v>0</v>
      </c>
      <c r="DG82" s="717">
        <v>-4806.1570024641051</v>
      </c>
      <c r="DH82" s="718">
        <v>3888.1605664816011</v>
      </c>
      <c r="DI82" s="718">
        <v>11246.803599479554</v>
      </c>
      <c r="DJ82" s="693">
        <v>9407.1428412300647</v>
      </c>
      <c r="DK82" s="724"/>
      <c r="DL82" s="5"/>
      <c r="DM82" s="306">
        <v>1.6570608792255355</v>
      </c>
      <c r="DN82" s="306"/>
      <c r="DO82" s="306">
        <v>1.6570608792255355</v>
      </c>
      <c r="DP82" s="719">
        <v>468.61681664498144</v>
      </c>
      <c r="DQ82" s="720">
        <v>0</v>
      </c>
      <c r="DR82" s="650">
        <v>468.61681664498144</v>
      </c>
      <c r="DS82" s="94">
        <v>468.61681664498144</v>
      </c>
      <c r="DT82" s="719">
        <v>539.54</v>
      </c>
      <c r="DU82" s="721"/>
      <c r="DV82" s="93">
        <v>539.54</v>
      </c>
      <c r="DW82" s="95">
        <v>470.90275233593252</v>
      </c>
      <c r="DX82" s="28">
        <v>68.637247664067445</v>
      </c>
      <c r="EA82" s="5">
        <v>570.83160024743245</v>
      </c>
      <c r="EB82" s="5">
        <v>0</v>
      </c>
      <c r="EE82" s="722">
        <v>5708.3160024743247</v>
      </c>
      <c r="EG82" s="42" t="s">
        <v>75</v>
      </c>
    </row>
    <row r="83" spans="1:137" x14ac:dyDescent="0.3">
      <c r="A83" s="325">
        <v>150000572</v>
      </c>
      <c r="B83" s="41" t="s">
        <v>546</v>
      </c>
      <c r="C83" s="42" t="s">
        <v>153</v>
      </c>
      <c r="D83" s="27">
        <v>2</v>
      </c>
      <c r="E83" s="709">
        <v>171.6</v>
      </c>
      <c r="F83" s="723">
        <v>171.6</v>
      </c>
      <c r="G83" s="28"/>
      <c r="H83" s="651">
        <v>0</v>
      </c>
      <c r="I83" s="39">
        <v>180.05647189063268</v>
      </c>
      <c r="J83" s="39">
        <v>134.87736296858441</v>
      </c>
      <c r="K83" s="52">
        <v>-45.179108922048272</v>
      </c>
      <c r="L83" s="39">
        <v>33.781743632914562</v>
      </c>
      <c r="M83" s="39">
        <v>17.635712575383383</v>
      </c>
      <c r="N83" s="52">
        <v>-16.146031057531179</v>
      </c>
      <c r="O83" s="39">
        <v>0</v>
      </c>
      <c r="P83" s="39">
        <v>0</v>
      </c>
      <c r="Q83" s="52">
        <v>0</v>
      </c>
      <c r="R83" s="39">
        <v>0</v>
      </c>
      <c r="S83" s="39">
        <v>0</v>
      </c>
      <c r="T83" s="52">
        <v>0</v>
      </c>
      <c r="U83" s="39">
        <v>0</v>
      </c>
      <c r="V83" s="39">
        <v>0</v>
      </c>
      <c r="W83" s="52">
        <v>0</v>
      </c>
      <c r="X83" s="39">
        <v>4.8420164802125161</v>
      </c>
      <c r="Y83" s="39">
        <v>3.6456201692071781</v>
      </c>
      <c r="Z83" s="52">
        <v>-1.1963963110053379</v>
      </c>
      <c r="AA83" s="39">
        <v>0</v>
      </c>
      <c r="AB83" s="39">
        <v>0</v>
      </c>
      <c r="AC83" s="52">
        <v>0</v>
      </c>
      <c r="AD83" s="39">
        <v>122.2887818496351</v>
      </c>
      <c r="AE83" s="39">
        <v>102.61451654287603</v>
      </c>
      <c r="AF83" s="35">
        <v>-19.674265306759068</v>
      </c>
      <c r="AG83" s="77">
        <v>340.96901385339487</v>
      </c>
      <c r="AH83" s="53">
        <v>258.77321225605101</v>
      </c>
      <c r="AI83" s="52">
        <v>-82.195801597343859</v>
      </c>
      <c r="AJ83" s="39">
        <v>0</v>
      </c>
      <c r="AK83" s="39">
        <v>0</v>
      </c>
      <c r="AL83" s="52">
        <v>0</v>
      </c>
      <c r="AM83" s="39">
        <v>0</v>
      </c>
      <c r="AN83" s="39">
        <v>0</v>
      </c>
      <c r="AO83" s="52">
        <v>0</v>
      </c>
      <c r="AP83" s="39">
        <v>78.91813690780414</v>
      </c>
      <c r="AQ83" s="39">
        <v>0</v>
      </c>
      <c r="AR83" s="52">
        <v>-78.91813690780414</v>
      </c>
      <c r="AS83" s="39">
        <v>522.37939601726362</v>
      </c>
      <c r="AT83" s="39">
        <v>0</v>
      </c>
      <c r="AU83" s="54">
        <v>-522.37939601726362</v>
      </c>
      <c r="AV83" s="39">
        <v>33.712620806155606</v>
      </c>
      <c r="AW83" s="39">
        <v>0</v>
      </c>
      <c r="AX83" s="55">
        <v>-33.712620806155606</v>
      </c>
      <c r="AY83" s="39">
        <v>43.555645366403205</v>
      </c>
      <c r="AZ83" s="39">
        <v>0</v>
      </c>
      <c r="BA83" s="35">
        <v>-43.555645366403205</v>
      </c>
      <c r="BB83" s="39">
        <v>0</v>
      </c>
      <c r="BC83" s="39">
        <v>0</v>
      </c>
      <c r="BD83" s="55">
        <v>0</v>
      </c>
      <c r="BE83" s="39">
        <v>0</v>
      </c>
      <c r="BF83" s="39">
        <v>0</v>
      </c>
      <c r="BG83" s="38">
        <v>0</v>
      </c>
      <c r="BH83" s="39">
        <v>0</v>
      </c>
      <c r="BI83" s="39">
        <v>0</v>
      </c>
      <c r="BJ83" s="55">
        <v>0</v>
      </c>
      <c r="BK83" s="39">
        <v>0</v>
      </c>
      <c r="BL83" s="39">
        <v>0</v>
      </c>
      <c r="BM83" s="38">
        <v>0</v>
      </c>
      <c r="BN83" s="39">
        <v>9.891756720169731</v>
      </c>
      <c r="BO83" s="39">
        <v>0</v>
      </c>
      <c r="BP83" s="55">
        <v>-9.891756720169731</v>
      </c>
      <c r="BQ83" s="77">
        <v>87.160022892728534</v>
      </c>
      <c r="BR83" s="40">
        <v>0</v>
      </c>
      <c r="BS83" s="55">
        <v>-87.160022892728534</v>
      </c>
      <c r="BT83" s="39">
        <v>15.951340502798338</v>
      </c>
      <c r="BU83" s="39">
        <v>7.8004769598564403</v>
      </c>
      <c r="BV83" s="52">
        <v>-8.1508635429418987</v>
      </c>
      <c r="BW83" s="39">
        <v>23.666404635746474</v>
      </c>
      <c r="BX83" s="39">
        <v>146.29542922212551</v>
      </c>
      <c r="BY83" s="52">
        <v>122.62902458637903</v>
      </c>
      <c r="BZ83" s="39">
        <v>13.118661564740098</v>
      </c>
      <c r="CA83" s="39">
        <v>26.68898366550415</v>
      </c>
      <c r="CB83" s="52">
        <v>13.570322100764052</v>
      </c>
      <c r="CC83" s="39">
        <v>0</v>
      </c>
      <c r="CD83" s="39">
        <v>0</v>
      </c>
      <c r="CE83" s="52">
        <v>0</v>
      </c>
      <c r="CF83" s="39">
        <v>0</v>
      </c>
      <c r="CG83" s="39">
        <v>0</v>
      </c>
      <c r="CH83" s="52">
        <v>0</v>
      </c>
      <c r="CI83" s="39">
        <v>3.1195875295320227E-4</v>
      </c>
      <c r="CJ83" s="39">
        <v>0</v>
      </c>
      <c r="CK83" s="52">
        <v>-3.1195875295320227E-4</v>
      </c>
      <c r="CL83" s="39">
        <v>0</v>
      </c>
      <c r="CM83" s="39">
        <v>0</v>
      </c>
      <c r="CN83" s="52">
        <v>0</v>
      </c>
      <c r="CO83" s="39">
        <v>3.1195875295320227E-4</v>
      </c>
      <c r="CP83" s="40">
        <v>0</v>
      </c>
      <c r="CQ83" s="52">
        <v>-3.1195875295320227E-4</v>
      </c>
      <c r="CR83" s="72">
        <v>1082.1632883332288</v>
      </c>
      <c r="CS83" s="5">
        <v>439.55810210353712</v>
      </c>
      <c r="CT83" s="52">
        <v>-642.60518622969175</v>
      </c>
      <c r="CU83" s="77">
        <v>1298.5959459998746</v>
      </c>
      <c r="CV83" s="65">
        <v>527.4697225242445</v>
      </c>
      <c r="CW83" s="35">
        <v>-771.12622347563013</v>
      </c>
      <c r="CX83" s="39">
        <v>32.464898649996869</v>
      </c>
      <c r="CY83" s="39">
        <v>803.59112212562707</v>
      </c>
      <c r="CZ83" s="52">
        <v>771.12622347563024</v>
      </c>
      <c r="DA83" s="150">
        <v>-15187.321659005258</v>
      </c>
      <c r="DB83" s="2">
        <v>1</v>
      </c>
      <c r="DC83" s="713">
        <v>6316.44</v>
      </c>
      <c r="DD83" s="714"/>
      <c r="DE83" s="715">
        <v>5650.9095776750637</v>
      </c>
      <c r="DF83" s="716">
        <v>0</v>
      </c>
      <c r="DG83" s="717">
        <v>-9098.1943295403707</v>
      </c>
      <c r="DH83" s="718">
        <v>6391.8341594997437</v>
      </c>
      <c r="DI83" s="718">
        <v>15972.730135798458</v>
      </c>
      <c r="DJ83" s="693">
        <v>13577.506141723778</v>
      </c>
      <c r="DK83" s="724"/>
      <c r="DL83" s="5"/>
      <c r="DM83" s="306">
        <v>3.8783824144809778</v>
      </c>
      <c r="DN83" s="306"/>
      <c r="DO83" s="306">
        <v>3.7935640062584599</v>
      </c>
      <c r="DP83" s="719">
        <v>665.53042232493578</v>
      </c>
      <c r="DQ83" s="720">
        <v>0</v>
      </c>
      <c r="DR83" s="650">
        <v>665.53042232493578</v>
      </c>
      <c r="DS83" s="94">
        <v>665.53042232493578</v>
      </c>
      <c r="DT83" s="719">
        <v>665.53</v>
      </c>
      <c r="DU83" s="721"/>
      <c r="DV83" s="93">
        <v>665.53</v>
      </c>
      <c r="DW83" s="95">
        <v>668.77691218993539</v>
      </c>
      <c r="DX83" s="28">
        <v>-3.246912189935415</v>
      </c>
      <c r="EA83" s="5">
        <v>731.44730269199056</v>
      </c>
      <c r="EB83" s="5">
        <v>0</v>
      </c>
      <c r="EE83" s="722">
        <v>6268.5527522071634</v>
      </c>
      <c r="EG83" s="42" t="s">
        <v>153</v>
      </c>
    </row>
    <row r="84" spans="1:137" x14ac:dyDescent="0.3">
      <c r="A84" s="325">
        <v>150000573</v>
      </c>
      <c r="B84" s="41" t="s">
        <v>547</v>
      </c>
      <c r="C84" s="42" t="s">
        <v>76</v>
      </c>
      <c r="D84" s="27">
        <v>1</v>
      </c>
      <c r="E84" s="709">
        <v>151.6</v>
      </c>
      <c r="F84" s="723">
        <v>151.6</v>
      </c>
      <c r="G84" s="28"/>
      <c r="H84" s="651">
        <v>0</v>
      </c>
      <c r="I84" s="39">
        <v>0</v>
      </c>
      <c r="J84" s="39">
        <v>0</v>
      </c>
      <c r="K84" s="52">
        <v>0</v>
      </c>
      <c r="L84" s="39">
        <v>0</v>
      </c>
      <c r="M84" s="39">
        <v>0</v>
      </c>
      <c r="N84" s="52">
        <v>0</v>
      </c>
      <c r="O84" s="39">
        <v>0</v>
      </c>
      <c r="P84" s="39">
        <v>0</v>
      </c>
      <c r="Q84" s="52">
        <v>0</v>
      </c>
      <c r="R84" s="39">
        <v>0</v>
      </c>
      <c r="S84" s="39">
        <v>0</v>
      </c>
      <c r="T84" s="52">
        <v>0</v>
      </c>
      <c r="U84" s="39">
        <v>0</v>
      </c>
      <c r="V84" s="39">
        <v>0</v>
      </c>
      <c r="W84" s="52">
        <v>0</v>
      </c>
      <c r="X84" s="39">
        <v>0</v>
      </c>
      <c r="Y84" s="39">
        <v>0</v>
      </c>
      <c r="Z84" s="52">
        <v>0</v>
      </c>
      <c r="AA84" s="39">
        <v>0</v>
      </c>
      <c r="AB84" s="39">
        <v>0</v>
      </c>
      <c r="AC84" s="52">
        <v>0</v>
      </c>
      <c r="AD84" s="39">
        <v>0</v>
      </c>
      <c r="AE84" s="39">
        <v>90.654782680069985</v>
      </c>
      <c r="AF84" s="35">
        <v>90.654782680069985</v>
      </c>
      <c r="AG84" s="77">
        <v>0</v>
      </c>
      <c r="AH84" s="53">
        <v>90.654782680069985</v>
      </c>
      <c r="AI84" s="52">
        <v>90.654782680069985</v>
      </c>
      <c r="AJ84" s="39">
        <v>0</v>
      </c>
      <c r="AK84" s="39">
        <v>0</v>
      </c>
      <c r="AL84" s="52">
        <v>0</v>
      </c>
      <c r="AM84" s="39">
        <v>0</v>
      </c>
      <c r="AN84" s="39">
        <v>0</v>
      </c>
      <c r="AO84" s="52">
        <v>0</v>
      </c>
      <c r="AP84" s="39">
        <v>47.350882144682487</v>
      </c>
      <c r="AQ84" s="39">
        <v>0</v>
      </c>
      <c r="AR84" s="52">
        <v>-47.350882144682487</v>
      </c>
      <c r="AS84" s="39">
        <v>259.94663363461746</v>
      </c>
      <c r="AT84" s="39">
        <v>0</v>
      </c>
      <c r="AU84" s="54">
        <v>-259.94663363461746</v>
      </c>
      <c r="AV84" s="39">
        <v>0</v>
      </c>
      <c r="AW84" s="39">
        <v>0</v>
      </c>
      <c r="AX84" s="55">
        <v>0</v>
      </c>
      <c r="AY84" s="39">
        <v>0</v>
      </c>
      <c r="AZ84" s="39">
        <v>0</v>
      </c>
      <c r="BA84" s="35">
        <v>0</v>
      </c>
      <c r="BB84" s="39">
        <v>0</v>
      </c>
      <c r="BC84" s="39">
        <v>0</v>
      </c>
      <c r="BD84" s="55">
        <v>0</v>
      </c>
      <c r="BE84" s="39">
        <v>0</v>
      </c>
      <c r="BF84" s="39">
        <v>0</v>
      </c>
      <c r="BG84" s="38">
        <v>0</v>
      </c>
      <c r="BH84" s="39">
        <v>0</v>
      </c>
      <c r="BI84" s="39">
        <v>0</v>
      </c>
      <c r="BJ84" s="55">
        <v>0</v>
      </c>
      <c r="BK84" s="39">
        <v>0</v>
      </c>
      <c r="BL84" s="39">
        <v>0</v>
      </c>
      <c r="BM84" s="38">
        <v>0</v>
      </c>
      <c r="BN84" s="39">
        <v>0</v>
      </c>
      <c r="BO84" s="39">
        <v>0</v>
      </c>
      <c r="BP84" s="55">
        <v>0</v>
      </c>
      <c r="BQ84" s="77">
        <v>0</v>
      </c>
      <c r="BR84" s="40">
        <v>0</v>
      </c>
      <c r="BS84" s="55">
        <v>0</v>
      </c>
      <c r="BT84" s="39">
        <v>91.720207891090439</v>
      </c>
      <c r="BU84" s="39">
        <v>44.863060610391273</v>
      </c>
      <c r="BV84" s="52">
        <v>-46.857147280699166</v>
      </c>
      <c r="BW84" s="39">
        <v>0</v>
      </c>
      <c r="BX84" s="39">
        <v>0.61366325128821519</v>
      </c>
      <c r="BY84" s="52">
        <v>0.61366325128821519</v>
      </c>
      <c r="BZ84" s="39">
        <v>0</v>
      </c>
      <c r="CA84" s="39">
        <v>153.49369573713014</v>
      </c>
      <c r="CB84" s="52">
        <v>153.49369573713014</v>
      </c>
      <c r="CC84" s="39">
        <v>0</v>
      </c>
      <c r="CD84" s="39">
        <v>0</v>
      </c>
      <c r="CE84" s="52">
        <v>0</v>
      </c>
      <c r="CF84" s="39">
        <v>0</v>
      </c>
      <c r="CG84" s="39">
        <v>0</v>
      </c>
      <c r="CH84" s="52">
        <v>0</v>
      </c>
      <c r="CI84" s="39">
        <v>0</v>
      </c>
      <c r="CJ84" s="39">
        <v>0</v>
      </c>
      <c r="CK84" s="52">
        <v>0</v>
      </c>
      <c r="CL84" s="39">
        <v>0</v>
      </c>
      <c r="CM84" s="39">
        <v>0</v>
      </c>
      <c r="CN84" s="52">
        <v>0</v>
      </c>
      <c r="CO84" s="39">
        <v>0</v>
      </c>
      <c r="CP84" s="40">
        <v>0</v>
      </c>
      <c r="CQ84" s="52">
        <v>0</v>
      </c>
      <c r="CR84" s="72">
        <v>399.01772367039041</v>
      </c>
      <c r="CS84" s="5">
        <v>289.62520227887961</v>
      </c>
      <c r="CT84" s="52">
        <v>-109.3925213915108</v>
      </c>
      <c r="CU84" s="77">
        <v>478.82126840446847</v>
      </c>
      <c r="CV84" s="65">
        <v>347.55024273465551</v>
      </c>
      <c r="CW84" s="35">
        <v>-131.27102566981296</v>
      </c>
      <c r="CX84" s="39">
        <v>11.970531710111713</v>
      </c>
      <c r="CY84" s="39">
        <v>143.24155737992464</v>
      </c>
      <c r="CZ84" s="52">
        <v>131.27102566981293</v>
      </c>
      <c r="DA84" s="150">
        <v>-4059.1570546378907</v>
      </c>
      <c r="DB84" s="2">
        <v>1</v>
      </c>
      <c r="DC84" s="713">
        <v>335.97</v>
      </c>
      <c r="DD84" s="714"/>
      <c r="DE84" s="715">
        <v>90.57409994270995</v>
      </c>
      <c r="DF84" s="716">
        <v>0</v>
      </c>
      <c r="DG84" s="717">
        <v>-2627.5246810463191</v>
      </c>
      <c r="DH84" s="718">
        <v>2348.893571259744</v>
      </c>
      <c r="DI84" s="718">
        <v>5889.5016013749619</v>
      </c>
      <c r="DJ84" s="693">
        <v>5004.3495938461574</v>
      </c>
      <c r="DK84" s="724"/>
      <c r="DL84" s="5"/>
      <c r="DM84" s="306">
        <v>1.6187064647578502</v>
      </c>
      <c r="DN84" s="306"/>
      <c r="DO84" s="306">
        <v>1.6187064647578502</v>
      </c>
      <c r="DP84" s="719">
        <v>245.39590005729008</v>
      </c>
      <c r="DQ84" s="720">
        <v>0</v>
      </c>
      <c r="DR84" s="650">
        <v>245.39590005729008</v>
      </c>
      <c r="DS84" s="94">
        <v>245.39590005729008</v>
      </c>
      <c r="DT84" s="719">
        <v>245.39</v>
      </c>
      <c r="DU84" s="721"/>
      <c r="DV84" s="93">
        <v>245.39</v>
      </c>
      <c r="DW84" s="95">
        <v>246.59295322830124</v>
      </c>
      <c r="DX84" s="28">
        <v>-1.2029532283012543</v>
      </c>
      <c r="EA84" s="5">
        <v>311.93596036154094</v>
      </c>
      <c r="EB84" s="5">
        <v>0</v>
      </c>
      <c r="EE84" s="722">
        <v>3119.3596036154095</v>
      </c>
      <c r="EG84" s="42" t="s">
        <v>76</v>
      </c>
    </row>
    <row r="85" spans="1:137" x14ac:dyDescent="0.3">
      <c r="A85" s="325">
        <v>150000658</v>
      </c>
      <c r="B85" s="41" t="s">
        <v>548</v>
      </c>
      <c r="C85" s="42" t="s">
        <v>352</v>
      </c>
      <c r="D85" s="27">
        <v>9</v>
      </c>
      <c r="E85" s="709">
        <v>5047.8</v>
      </c>
      <c r="F85" s="723">
        <v>5047.8</v>
      </c>
      <c r="G85" s="28">
        <v>552.1</v>
      </c>
      <c r="H85" s="651">
        <v>0</v>
      </c>
      <c r="I85" s="39">
        <v>2624.201831481359</v>
      </c>
      <c r="J85" s="39">
        <v>2494.3735411067237</v>
      </c>
      <c r="K85" s="52">
        <v>-129.82829037463534</v>
      </c>
      <c r="L85" s="39">
        <v>468.2074626304846</v>
      </c>
      <c r="M85" s="39">
        <v>405.18485420602462</v>
      </c>
      <c r="N85" s="52">
        <v>-63.022608424459975</v>
      </c>
      <c r="O85" s="39">
        <v>1079.48</v>
      </c>
      <c r="P85" s="39">
        <v>1079.3800000000001</v>
      </c>
      <c r="Q85" s="52">
        <v>-9.9999999999909051E-2</v>
      </c>
      <c r="R85" s="39">
        <v>257.26</v>
      </c>
      <c r="S85" s="39">
        <v>257.44</v>
      </c>
      <c r="T85" s="52">
        <v>0.18000000000000682</v>
      </c>
      <c r="U85" s="39">
        <v>130.00964065633656</v>
      </c>
      <c r="V85" s="39">
        <v>77.047110649179317</v>
      </c>
      <c r="W85" s="52">
        <v>-52.962530007157241</v>
      </c>
      <c r="X85" s="39">
        <v>1636.4362498778764</v>
      </c>
      <c r="Y85" s="39">
        <v>1176.8485107098211</v>
      </c>
      <c r="Z85" s="52">
        <v>-459.58773916805535</v>
      </c>
      <c r="AA85" s="39">
        <v>0</v>
      </c>
      <c r="AB85" s="39">
        <v>0</v>
      </c>
      <c r="AC85" s="52">
        <v>0</v>
      </c>
      <c r="AD85" s="39">
        <v>3597.2570688845462</v>
      </c>
      <c r="AE85" s="39">
        <v>3018.5172296336232</v>
      </c>
      <c r="AF85" s="35">
        <v>-578.73983925092307</v>
      </c>
      <c r="AG85" s="77">
        <v>9792.8522535306038</v>
      </c>
      <c r="AH85" s="53">
        <v>8508.7912463053726</v>
      </c>
      <c r="AI85" s="52">
        <v>-1284.0610072252312</v>
      </c>
      <c r="AJ85" s="39">
        <v>6913.0950965152351</v>
      </c>
      <c r="AK85" s="39">
        <v>6820.2432671123333</v>
      </c>
      <c r="AL85" s="52">
        <v>-92.851829402901785</v>
      </c>
      <c r="AM85" s="39">
        <v>0</v>
      </c>
      <c r="AN85" s="39">
        <v>0</v>
      </c>
      <c r="AO85" s="52">
        <v>0</v>
      </c>
      <c r="AP85" s="39">
        <v>639.23690895321363</v>
      </c>
      <c r="AQ85" s="39">
        <v>0</v>
      </c>
      <c r="AR85" s="52">
        <v>-639.23690895321363</v>
      </c>
      <c r="AS85" s="39">
        <v>18881.948881576231</v>
      </c>
      <c r="AT85" s="39">
        <v>11970.016276155657</v>
      </c>
      <c r="AU85" s="54">
        <v>-6911.932605420574</v>
      </c>
      <c r="AV85" s="39">
        <v>181.86362735840896</v>
      </c>
      <c r="AW85" s="39">
        <v>0</v>
      </c>
      <c r="AX85" s="55">
        <v>-181.86362735840896</v>
      </c>
      <c r="AY85" s="39">
        <v>247.51007217452394</v>
      </c>
      <c r="AZ85" s="39">
        <v>0</v>
      </c>
      <c r="BA85" s="35">
        <v>-247.51007217452394</v>
      </c>
      <c r="BB85" s="39">
        <v>186.3722322641847</v>
      </c>
      <c r="BC85" s="39">
        <v>0</v>
      </c>
      <c r="BD85" s="55">
        <v>-186.3722322641847</v>
      </c>
      <c r="BE85" s="39">
        <v>117.22675514518498</v>
      </c>
      <c r="BF85" s="39">
        <v>0</v>
      </c>
      <c r="BG85" s="38">
        <v>-117.22675514518498</v>
      </c>
      <c r="BH85" s="39">
        <v>52.768988252306244</v>
      </c>
      <c r="BI85" s="39">
        <v>0</v>
      </c>
      <c r="BJ85" s="55">
        <v>-52.768988252306244</v>
      </c>
      <c r="BK85" s="39">
        <v>124.71493816741945</v>
      </c>
      <c r="BL85" s="39">
        <v>1054</v>
      </c>
      <c r="BM85" s="38">
        <v>929.2850618325806</v>
      </c>
      <c r="BN85" s="39">
        <v>0</v>
      </c>
      <c r="BO85" s="39">
        <v>0</v>
      </c>
      <c r="BP85" s="55">
        <v>0</v>
      </c>
      <c r="BQ85" s="77">
        <v>910.45661336202818</v>
      </c>
      <c r="BR85" s="40">
        <v>1054</v>
      </c>
      <c r="BS85" s="55">
        <v>143.54338663797182</v>
      </c>
      <c r="BT85" s="39">
        <v>6311.2730490459644</v>
      </c>
      <c r="BU85" s="39">
        <v>712.37623760444171</v>
      </c>
      <c r="BV85" s="52">
        <v>-5598.8968114415229</v>
      </c>
      <c r="BW85" s="39">
        <v>7288.5770829861058</v>
      </c>
      <c r="BX85" s="39">
        <v>6845.3791421458754</v>
      </c>
      <c r="BY85" s="52">
        <v>-443.19794084023033</v>
      </c>
      <c r="BZ85" s="39">
        <v>962.89443045881319</v>
      </c>
      <c r="CA85" s="39">
        <v>3863.3352984367839</v>
      </c>
      <c r="CB85" s="52">
        <v>2900.4408679779708</v>
      </c>
      <c r="CC85" s="39">
        <v>317.95727411713102</v>
      </c>
      <c r="CD85" s="39">
        <v>313.68770682039343</v>
      </c>
      <c r="CE85" s="52">
        <v>-4.2695672967375913</v>
      </c>
      <c r="CF85" s="39">
        <v>39.142467457601356</v>
      </c>
      <c r="CG85" s="39">
        <v>0</v>
      </c>
      <c r="CH85" s="52">
        <v>-39.142467457601356</v>
      </c>
      <c r="CI85" s="39">
        <v>2620.4535248068992</v>
      </c>
      <c r="CJ85" s="39">
        <v>4142.7974602214799</v>
      </c>
      <c r="CK85" s="52">
        <v>1522.3439354145808</v>
      </c>
      <c r="CL85" s="39">
        <v>1166.7257360449762</v>
      </c>
      <c r="CM85" s="39">
        <v>1586.9608376481119</v>
      </c>
      <c r="CN85" s="52">
        <v>420.23510160313572</v>
      </c>
      <c r="CO85" s="39">
        <v>3787.1792608518754</v>
      </c>
      <c r="CP85" s="40">
        <v>5729.7582978695918</v>
      </c>
      <c r="CQ85" s="52">
        <v>1942.5790370177165</v>
      </c>
      <c r="CR85" s="72">
        <v>55844.613318854805</v>
      </c>
      <c r="CS85" s="5">
        <v>45817.587472450447</v>
      </c>
      <c r="CT85" s="52">
        <v>-10027.025846404358</v>
      </c>
      <c r="CU85" s="77">
        <v>67013.535982625763</v>
      </c>
      <c r="CV85" s="65">
        <v>54981.104966940533</v>
      </c>
      <c r="CW85" s="35">
        <v>-12032.43101568523</v>
      </c>
      <c r="CX85" s="39">
        <v>670.13511982625744</v>
      </c>
      <c r="CY85" s="39">
        <v>12702.566135511483</v>
      </c>
      <c r="CZ85" s="52">
        <v>12032.431015685224</v>
      </c>
      <c r="DA85" s="150">
        <v>-114785.90805306243</v>
      </c>
      <c r="DB85" s="2">
        <v>3</v>
      </c>
      <c r="DC85" s="713">
        <v>94177.279999999999</v>
      </c>
      <c r="DD85" s="714"/>
      <c r="DE85" s="715">
        <v>60335.456448774006</v>
      </c>
      <c r="DF85" s="716">
        <v>0</v>
      </c>
      <c r="DG85" s="717">
        <v>-39663.895867009996</v>
      </c>
      <c r="DH85" s="718">
        <v>323732.44610015774</v>
      </c>
      <c r="DI85" s="718">
        <v>812204.05322942417</v>
      </c>
      <c r="DJ85" s="693">
        <v>690086.15144710755</v>
      </c>
      <c r="DK85" s="724"/>
      <c r="DL85" s="5"/>
      <c r="DM85" s="306">
        <v>5.7342707965241306</v>
      </c>
      <c r="DN85" s="306">
        <v>6.8233940530873998</v>
      </c>
      <c r="DO85" s="306">
        <v>4.7961368545514738</v>
      </c>
      <c r="DP85" s="719">
        <v>33841.823551225993</v>
      </c>
      <c r="DQ85" s="720">
        <v>0</v>
      </c>
      <c r="DR85" s="650">
        <v>33841.823551225993</v>
      </c>
      <c r="DS85" s="94">
        <v>33841.847551226027</v>
      </c>
      <c r="DT85" s="719">
        <v>33838.050000000003</v>
      </c>
      <c r="DU85" s="721"/>
      <c r="DV85" s="93">
        <v>33838.050000000003</v>
      </c>
      <c r="DW85" s="95">
        <v>33908.837063208637</v>
      </c>
      <c r="DX85" s="28">
        <v>-70.787063208634208</v>
      </c>
      <c r="EA85" s="5">
        <v>23750.886593925909</v>
      </c>
      <c r="EB85" s="5">
        <v>15628.819531386787</v>
      </c>
      <c r="EE85" s="722">
        <v>226583.38657891477</v>
      </c>
      <c r="EG85" s="42" t="s">
        <v>352</v>
      </c>
    </row>
    <row r="86" spans="1:137" x14ac:dyDescent="0.3">
      <c r="A86" s="325">
        <v>150000659</v>
      </c>
      <c r="B86" s="41" t="s">
        <v>549</v>
      </c>
      <c r="C86" s="42" t="s">
        <v>414</v>
      </c>
      <c r="D86" s="27">
        <v>10</v>
      </c>
      <c r="E86" s="709">
        <v>2605.5</v>
      </c>
      <c r="F86" s="723">
        <v>2605.5</v>
      </c>
      <c r="G86" s="28">
        <v>490.3</v>
      </c>
      <c r="H86" s="651">
        <v>0</v>
      </c>
      <c r="I86" s="39">
        <v>1426.7025312298838</v>
      </c>
      <c r="J86" s="39">
        <v>1357.6512155082332</v>
      </c>
      <c r="K86" s="52">
        <v>-69.051315721650553</v>
      </c>
      <c r="L86" s="39">
        <v>253.38653072550332</v>
      </c>
      <c r="M86" s="39">
        <v>219.2795218991526</v>
      </c>
      <c r="N86" s="52">
        <v>-34.107008826350722</v>
      </c>
      <c r="O86" s="39">
        <v>572.74</v>
      </c>
      <c r="P86" s="39">
        <v>572.9</v>
      </c>
      <c r="Q86" s="52">
        <v>0.15999999999996817</v>
      </c>
      <c r="R86" s="39">
        <v>138.22</v>
      </c>
      <c r="S86" s="39">
        <v>138.12</v>
      </c>
      <c r="T86" s="52">
        <v>-9.9999999999994316E-2</v>
      </c>
      <c r="U86" s="39">
        <v>44.32263844269842</v>
      </c>
      <c r="V86" s="39">
        <v>26.266724487528329</v>
      </c>
      <c r="W86" s="52">
        <v>-18.055913955170091</v>
      </c>
      <c r="X86" s="39">
        <v>551.29715865472485</v>
      </c>
      <c r="Y86" s="39">
        <v>360.65251461337078</v>
      </c>
      <c r="Z86" s="52">
        <v>-190.64464404135407</v>
      </c>
      <c r="AA86" s="39">
        <v>0</v>
      </c>
      <c r="AB86" s="39">
        <v>0</v>
      </c>
      <c r="AC86" s="52">
        <v>0</v>
      </c>
      <c r="AD86" s="39">
        <v>1856.7798432938478</v>
      </c>
      <c r="AE86" s="39">
        <v>1558.0543289770603</v>
      </c>
      <c r="AF86" s="35">
        <v>-298.72551431678744</v>
      </c>
      <c r="AG86" s="77">
        <v>4843.4487023466581</v>
      </c>
      <c r="AH86" s="53">
        <v>4232.924305485345</v>
      </c>
      <c r="AI86" s="52">
        <v>-610.52439686131311</v>
      </c>
      <c r="AJ86" s="39">
        <v>3456.5475482576176</v>
      </c>
      <c r="AK86" s="39">
        <v>3410.1326253323987</v>
      </c>
      <c r="AL86" s="52">
        <v>-46.414922925218889</v>
      </c>
      <c r="AM86" s="39">
        <v>0</v>
      </c>
      <c r="AN86" s="39">
        <v>0</v>
      </c>
      <c r="AO86" s="52">
        <v>0</v>
      </c>
      <c r="AP86" s="39">
        <v>315.67254763121656</v>
      </c>
      <c r="AQ86" s="39">
        <v>0</v>
      </c>
      <c r="AR86" s="52">
        <v>-315.67254763121656</v>
      </c>
      <c r="AS86" s="39">
        <v>8088.1051498008674</v>
      </c>
      <c r="AT86" s="39">
        <v>10088</v>
      </c>
      <c r="AU86" s="54">
        <v>1999.8948501991326</v>
      </c>
      <c r="AV86" s="39">
        <v>120.80412032157389</v>
      </c>
      <c r="AW86" s="39">
        <v>0</v>
      </c>
      <c r="AX86" s="55">
        <v>-120.80412032157389</v>
      </c>
      <c r="AY86" s="39">
        <v>167.13409673834016</v>
      </c>
      <c r="AZ86" s="39">
        <v>0</v>
      </c>
      <c r="BA86" s="35">
        <v>-167.13409673834016</v>
      </c>
      <c r="BB86" s="39">
        <v>227.91988548368033</v>
      </c>
      <c r="BC86" s="39">
        <v>0</v>
      </c>
      <c r="BD86" s="55">
        <v>-227.91988548368033</v>
      </c>
      <c r="BE86" s="39">
        <v>78.705552175750455</v>
      </c>
      <c r="BF86" s="39">
        <v>0</v>
      </c>
      <c r="BG86" s="38">
        <v>-78.705552175750455</v>
      </c>
      <c r="BH86" s="39">
        <v>22.490068372102311</v>
      </c>
      <c r="BI86" s="39">
        <v>0</v>
      </c>
      <c r="BJ86" s="55">
        <v>-22.490068372102311</v>
      </c>
      <c r="BK86" s="39">
        <v>48.034030076738333</v>
      </c>
      <c r="BL86" s="39">
        <v>0</v>
      </c>
      <c r="BM86" s="38">
        <v>-48.034030076738333</v>
      </c>
      <c r="BN86" s="39">
        <v>0</v>
      </c>
      <c r="BO86" s="39">
        <v>0</v>
      </c>
      <c r="BP86" s="55">
        <v>0</v>
      </c>
      <c r="BQ86" s="77">
        <v>665.08775316818549</v>
      </c>
      <c r="BR86" s="40">
        <v>0</v>
      </c>
      <c r="BS86" s="55">
        <v>-665.08775316818549</v>
      </c>
      <c r="BT86" s="39">
        <v>3117.5987474900976</v>
      </c>
      <c r="BU86" s="39">
        <v>526.80025336523806</v>
      </c>
      <c r="BV86" s="52">
        <v>-2590.7984941248596</v>
      </c>
      <c r="BW86" s="39">
        <v>3322.2959011682083</v>
      </c>
      <c r="BX86" s="39">
        <v>3311.6799372021078</v>
      </c>
      <c r="BY86" s="52">
        <v>-10.61596396610048</v>
      </c>
      <c r="BZ86" s="39">
        <v>436.01745392402893</v>
      </c>
      <c r="CA86" s="39">
        <v>2161.4007384256902</v>
      </c>
      <c r="CB86" s="52">
        <v>1725.3832845016614</v>
      </c>
      <c r="CC86" s="39">
        <v>149.86052836510476</v>
      </c>
      <c r="CD86" s="39">
        <v>147.8481837418968</v>
      </c>
      <c r="CE86" s="52">
        <v>-2.0123446232079516</v>
      </c>
      <c r="CF86" s="39">
        <v>18.448739287370852</v>
      </c>
      <c r="CG86" s="39">
        <v>0</v>
      </c>
      <c r="CH86" s="52">
        <v>-18.448739287370852</v>
      </c>
      <c r="CI86" s="39">
        <v>452.34019178214317</v>
      </c>
      <c r="CJ86" s="39">
        <v>908.18969727564854</v>
      </c>
      <c r="CK86" s="52">
        <v>455.84950549350538</v>
      </c>
      <c r="CL86" s="39">
        <v>655.11338120172479</v>
      </c>
      <c r="CM86" s="39">
        <v>938.89357819565134</v>
      </c>
      <c r="CN86" s="52">
        <v>283.78019699392655</v>
      </c>
      <c r="CO86" s="39">
        <v>1107.4535729838681</v>
      </c>
      <c r="CP86" s="40">
        <v>1847.0832754712999</v>
      </c>
      <c r="CQ86" s="52">
        <v>739.62970248743181</v>
      </c>
      <c r="CR86" s="72">
        <v>25520.536644423224</v>
      </c>
      <c r="CS86" s="5">
        <v>25725.869319023983</v>
      </c>
      <c r="CT86" s="52">
        <v>205.33267460075876</v>
      </c>
      <c r="CU86" s="77">
        <v>30624.643973307866</v>
      </c>
      <c r="CV86" s="65">
        <v>30871.043182828776</v>
      </c>
      <c r="CW86" s="35">
        <v>246.39920952091052</v>
      </c>
      <c r="CX86" s="39">
        <v>0</v>
      </c>
      <c r="CY86" s="39">
        <v>-246.39920952090324</v>
      </c>
      <c r="CZ86" s="52">
        <v>-246.39920952090324</v>
      </c>
      <c r="DA86" s="150">
        <v>5729.3657663508711</v>
      </c>
      <c r="DB86" s="2">
        <v>3</v>
      </c>
      <c r="DC86" s="713">
        <v>46469.98</v>
      </c>
      <c r="DD86" s="714"/>
      <c r="DE86" s="715">
        <v>31157.670013346073</v>
      </c>
      <c r="DF86" s="716">
        <v>0</v>
      </c>
      <c r="DG86" s="717">
        <v>-36921.60542397805</v>
      </c>
      <c r="DH86" s="718">
        <v>146769.71835855226</v>
      </c>
      <c r="DI86" s="718">
        <v>367495.72767969442</v>
      </c>
      <c r="DJ86" s="693">
        <v>312314.22534940892</v>
      </c>
      <c r="DK86" s="724"/>
      <c r="DL86" s="5"/>
      <c r="DM86" s="306">
        <v>4.9300761577349173</v>
      </c>
      <c r="DN86" s="306">
        <v>6.0963945000550783</v>
      </c>
      <c r="DO86" s="306">
        <v>4.1099550521118413</v>
      </c>
      <c r="DP86" s="719">
        <v>15312.309986653931</v>
      </c>
      <c r="DQ86" s="720">
        <v>0</v>
      </c>
      <c r="DR86" s="650">
        <v>15312.309986653931</v>
      </c>
      <c r="DS86" s="94">
        <v>15312.333986653935</v>
      </c>
      <c r="DT86" s="719">
        <v>15311.64</v>
      </c>
      <c r="DU86" s="721"/>
      <c r="DV86" s="93">
        <v>15311.64</v>
      </c>
      <c r="DW86" s="95">
        <v>15312.309986653934</v>
      </c>
      <c r="DX86" s="28">
        <v>-0.66998665393475676</v>
      </c>
      <c r="EA86" s="5">
        <v>10503.831483562863</v>
      </c>
      <c r="EB86" s="5">
        <v>12105.6</v>
      </c>
      <c r="EE86" s="722">
        <v>97057.261797610408</v>
      </c>
      <c r="EG86" s="42" t="s">
        <v>414</v>
      </c>
    </row>
    <row r="87" spans="1:137" x14ac:dyDescent="0.3">
      <c r="A87" s="325">
        <v>150000660</v>
      </c>
      <c r="B87" s="41" t="s">
        <v>550</v>
      </c>
      <c r="C87" s="42" t="s">
        <v>415</v>
      </c>
      <c r="D87" s="27">
        <v>10</v>
      </c>
      <c r="E87" s="709">
        <v>4661.7</v>
      </c>
      <c r="F87" s="723">
        <v>4661.7</v>
      </c>
      <c r="G87" s="28">
        <v>410</v>
      </c>
      <c r="H87" s="651">
        <v>0</v>
      </c>
      <c r="I87" s="39">
        <v>2570.6085682782468</v>
      </c>
      <c r="J87" s="39">
        <v>2446.7343644930788</v>
      </c>
      <c r="K87" s="52">
        <v>-123.87420378516799</v>
      </c>
      <c r="L87" s="39">
        <v>496.56402804018524</v>
      </c>
      <c r="M87" s="39">
        <v>429.72469949446617</v>
      </c>
      <c r="N87" s="52">
        <v>-66.83932854571907</v>
      </c>
      <c r="O87" s="39">
        <v>997.88</v>
      </c>
      <c r="P87" s="39">
        <v>997.6</v>
      </c>
      <c r="Q87" s="52">
        <v>-0.27999999999997272</v>
      </c>
      <c r="R87" s="39">
        <v>251.96</v>
      </c>
      <c r="S87" s="39">
        <v>251.74</v>
      </c>
      <c r="T87" s="52">
        <v>-0.21999999999999886</v>
      </c>
      <c r="U87" s="39">
        <v>138.88381114641354</v>
      </c>
      <c r="V87" s="39">
        <v>82.306299089396333</v>
      </c>
      <c r="W87" s="52">
        <v>-56.577512057017202</v>
      </c>
      <c r="X87" s="39">
        <v>1085.9097597306229</v>
      </c>
      <c r="Y87" s="39">
        <v>743.22288977156245</v>
      </c>
      <c r="Z87" s="52">
        <v>-342.68686995906046</v>
      </c>
      <c r="AA87" s="39">
        <v>0</v>
      </c>
      <c r="AB87" s="39">
        <v>0</v>
      </c>
      <c r="AC87" s="52">
        <v>0</v>
      </c>
      <c r="AD87" s="39">
        <v>3322.1073097228668</v>
      </c>
      <c r="AE87" s="39">
        <v>2787.6345674121517</v>
      </c>
      <c r="AF87" s="35">
        <v>-534.47274231071515</v>
      </c>
      <c r="AG87" s="77">
        <v>8863.9134769183347</v>
      </c>
      <c r="AH87" s="53">
        <v>7738.9628202606546</v>
      </c>
      <c r="AI87" s="52">
        <v>-1124.9506566576802</v>
      </c>
      <c r="AJ87" s="39">
        <v>5954.2675865454994</v>
      </c>
      <c r="AK87" s="39">
        <v>5874.2910045831431</v>
      </c>
      <c r="AL87" s="52">
        <v>-79.976581962356249</v>
      </c>
      <c r="AM87" s="39">
        <v>0</v>
      </c>
      <c r="AN87" s="39">
        <v>0</v>
      </c>
      <c r="AO87" s="52">
        <v>0</v>
      </c>
      <c r="AP87" s="39">
        <v>631.34509526243312</v>
      </c>
      <c r="AQ87" s="39">
        <v>0</v>
      </c>
      <c r="AR87" s="52">
        <v>-631.34509526243312</v>
      </c>
      <c r="AS87" s="39">
        <v>15031.684612411525</v>
      </c>
      <c r="AT87" s="39">
        <v>1771</v>
      </c>
      <c r="AU87" s="54">
        <v>-13260.684612411525</v>
      </c>
      <c r="AV87" s="39">
        <v>205.94082565918421</v>
      </c>
      <c r="AW87" s="39">
        <v>0</v>
      </c>
      <c r="AX87" s="55">
        <v>-205.94082565918421</v>
      </c>
      <c r="AY87" s="39">
        <v>327.66924542790565</v>
      </c>
      <c r="AZ87" s="39">
        <v>0</v>
      </c>
      <c r="BA87" s="35">
        <v>-327.66924542790565</v>
      </c>
      <c r="BB87" s="39">
        <v>427.11349242364076</v>
      </c>
      <c r="BC87" s="39">
        <v>0</v>
      </c>
      <c r="BD87" s="55">
        <v>-427.11349242364076</v>
      </c>
      <c r="BE87" s="39">
        <v>142.59912413250379</v>
      </c>
      <c r="BF87" s="39">
        <v>0</v>
      </c>
      <c r="BG87" s="38">
        <v>-142.59912413250379</v>
      </c>
      <c r="BH87" s="39">
        <v>70.464078559636903</v>
      </c>
      <c r="BI87" s="39">
        <v>0</v>
      </c>
      <c r="BJ87" s="55">
        <v>-70.464078559636903</v>
      </c>
      <c r="BK87" s="39">
        <v>133.9978264959357</v>
      </c>
      <c r="BL87" s="39">
        <v>0</v>
      </c>
      <c r="BM87" s="38">
        <v>-133.9978264959357</v>
      </c>
      <c r="BN87" s="39">
        <v>0</v>
      </c>
      <c r="BO87" s="39">
        <v>0</v>
      </c>
      <c r="BP87" s="55">
        <v>0</v>
      </c>
      <c r="BQ87" s="77">
        <v>1307.784592698807</v>
      </c>
      <c r="BR87" s="40">
        <v>0</v>
      </c>
      <c r="BS87" s="55">
        <v>-1307.784592698807</v>
      </c>
      <c r="BT87" s="39">
        <v>6266.3320480143602</v>
      </c>
      <c r="BU87" s="39">
        <v>1073.1203969532362</v>
      </c>
      <c r="BV87" s="52">
        <v>-5193.211651061124</v>
      </c>
      <c r="BW87" s="39">
        <v>6942.4981817021162</v>
      </c>
      <c r="BX87" s="39">
        <v>6785.6606915603516</v>
      </c>
      <c r="BY87" s="52">
        <v>-156.83749014176465</v>
      </c>
      <c r="BZ87" s="39">
        <v>986.97411219931678</v>
      </c>
      <c r="CA87" s="39">
        <v>4214.3057348346347</v>
      </c>
      <c r="CB87" s="52">
        <v>3227.3316226353181</v>
      </c>
      <c r="CC87" s="39">
        <v>259.91511985338093</v>
      </c>
      <c r="CD87" s="39">
        <v>256.42494936196829</v>
      </c>
      <c r="CE87" s="52">
        <v>-3.4901704914126412</v>
      </c>
      <c r="CF87" s="39">
        <v>31.997126497101817</v>
      </c>
      <c r="CG87" s="39">
        <v>0</v>
      </c>
      <c r="CH87" s="52">
        <v>-31.997126497101817</v>
      </c>
      <c r="CI87" s="39">
        <v>985.78965933211919</v>
      </c>
      <c r="CJ87" s="39">
        <v>1305.2331206851784</v>
      </c>
      <c r="CK87" s="52">
        <v>319.44346135305921</v>
      </c>
      <c r="CL87" s="39">
        <v>1310.2267624034496</v>
      </c>
      <c r="CM87" s="39">
        <v>1422.1125272643592</v>
      </c>
      <c r="CN87" s="52">
        <v>111.8857648609096</v>
      </c>
      <c r="CO87" s="39">
        <v>2296.0164217355687</v>
      </c>
      <c r="CP87" s="40">
        <v>2727.3456479495376</v>
      </c>
      <c r="CQ87" s="52">
        <v>431.32922621396892</v>
      </c>
      <c r="CR87" s="72">
        <v>48572.72837383845</v>
      </c>
      <c r="CS87" s="5">
        <v>30441.111245503525</v>
      </c>
      <c r="CT87" s="52">
        <v>-18131.617128334925</v>
      </c>
      <c r="CU87" s="77">
        <v>58287.274048606138</v>
      </c>
      <c r="CV87" s="65">
        <v>36529.333494604231</v>
      </c>
      <c r="CW87" s="35">
        <v>-21757.940554001907</v>
      </c>
      <c r="CX87" s="39">
        <v>0</v>
      </c>
      <c r="CY87" s="39">
        <v>21757.940554001903</v>
      </c>
      <c r="CZ87" s="52">
        <v>21757.940554001903</v>
      </c>
      <c r="DA87" s="150">
        <v>210372.414413202</v>
      </c>
      <c r="DB87" s="2">
        <v>3</v>
      </c>
      <c r="DC87" s="713">
        <v>52031.95</v>
      </c>
      <c r="DD87" s="714"/>
      <c r="DE87" s="715">
        <v>22888.312975696936</v>
      </c>
      <c r="DF87" s="716">
        <v>0</v>
      </c>
      <c r="DG87" s="717">
        <v>-82346.743000407936</v>
      </c>
      <c r="DH87" s="718">
        <v>283908.25911635102</v>
      </c>
      <c r="DI87" s="718">
        <v>699447.28858327365</v>
      </c>
      <c r="DJ87" s="693">
        <v>595562.53121654305</v>
      </c>
      <c r="DK87" s="724"/>
      <c r="DL87" s="5"/>
      <c r="DM87" s="306">
        <v>5.3167171664701067</v>
      </c>
      <c r="DN87" s="306">
        <v>6.3418827730202789</v>
      </c>
      <c r="DO87" s="306">
        <v>4.3583262556390219</v>
      </c>
      <c r="DP87" s="719">
        <v>29143.637024303061</v>
      </c>
      <c r="DQ87" s="720">
        <v>0</v>
      </c>
      <c r="DR87" s="650">
        <v>29143.637024303061</v>
      </c>
      <c r="DS87" s="94">
        <v>29143.637024303076</v>
      </c>
      <c r="DT87" s="719">
        <v>29142.17</v>
      </c>
      <c r="DU87" s="721"/>
      <c r="DV87" s="93">
        <v>29142.17</v>
      </c>
      <c r="DW87" s="95">
        <v>29143.637024303069</v>
      </c>
      <c r="DX87" s="28">
        <v>-1.4670243030705024</v>
      </c>
      <c r="EA87" s="5">
        <v>19607.363046132399</v>
      </c>
      <c r="EB87" s="5">
        <v>2125.1999999999998</v>
      </c>
      <c r="EE87" s="722">
        <v>180380.21534893831</v>
      </c>
      <c r="EG87" s="42" t="s">
        <v>415</v>
      </c>
    </row>
    <row r="88" spans="1:137" x14ac:dyDescent="0.3">
      <c r="A88" s="325">
        <v>150000597</v>
      </c>
      <c r="B88" s="41" t="s">
        <v>551</v>
      </c>
      <c r="C88" s="42" t="s">
        <v>353</v>
      </c>
      <c r="D88" s="27">
        <v>9</v>
      </c>
      <c r="E88" s="709">
        <v>4715.25</v>
      </c>
      <c r="F88" s="723">
        <v>4715.25</v>
      </c>
      <c r="G88" s="28">
        <v>571.65</v>
      </c>
      <c r="H88" s="651">
        <v>0</v>
      </c>
      <c r="I88" s="39">
        <v>2153.8903249409314</v>
      </c>
      <c r="J88" s="39">
        <v>1611.9569057370504</v>
      </c>
      <c r="K88" s="52">
        <v>-541.93341920388093</v>
      </c>
      <c r="L88" s="39">
        <v>363.90338522543288</v>
      </c>
      <c r="M88" s="39">
        <v>189.97653006387446</v>
      </c>
      <c r="N88" s="52">
        <v>-173.92685516155842</v>
      </c>
      <c r="O88" s="39">
        <v>1200.52</v>
      </c>
      <c r="P88" s="39">
        <v>1200.52</v>
      </c>
      <c r="Q88" s="52">
        <v>0</v>
      </c>
      <c r="R88" s="39">
        <v>260.92</v>
      </c>
      <c r="S88" s="39">
        <v>260.92</v>
      </c>
      <c r="T88" s="52">
        <v>0</v>
      </c>
      <c r="U88" s="39">
        <v>130.00964065633656</v>
      </c>
      <c r="V88" s="39">
        <v>23.524434499251157</v>
      </c>
      <c r="W88" s="52">
        <v>-106.4852061570854</v>
      </c>
      <c r="X88" s="39">
        <v>1728.5388552515153</v>
      </c>
      <c r="Y88" s="39">
        <v>1139.0223152435622</v>
      </c>
      <c r="Z88" s="52">
        <v>-589.51654000795315</v>
      </c>
      <c r="AA88" s="39">
        <v>0</v>
      </c>
      <c r="AB88" s="39">
        <v>0</v>
      </c>
      <c r="AC88" s="52">
        <v>0</v>
      </c>
      <c r="AD88" s="39">
        <v>3360.269106156713</v>
      </c>
      <c r="AE88" s="39">
        <v>2819.6567548298153</v>
      </c>
      <c r="AF88" s="35">
        <v>-540.61235132689762</v>
      </c>
      <c r="AG88" s="77">
        <v>9198.0513122309276</v>
      </c>
      <c r="AH88" s="53">
        <v>7245.576940373554</v>
      </c>
      <c r="AI88" s="52">
        <v>-1952.4743718573736</v>
      </c>
      <c r="AJ88" s="39">
        <v>9506.1630993664548</v>
      </c>
      <c r="AK88" s="39">
        <v>9378.4912509093228</v>
      </c>
      <c r="AL88" s="52">
        <v>-127.671848457132</v>
      </c>
      <c r="AM88" s="39">
        <v>0</v>
      </c>
      <c r="AN88" s="39">
        <v>0</v>
      </c>
      <c r="AO88" s="52">
        <v>0</v>
      </c>
      <c r="AP88" s="39">
        <v>583.99421311775063</v>
      </c>
      <c r="AQ88" s="39">
        <v>0</v>
      </c>
      <c r="AR88" s="52">
        <v>-583.99421311775063</v>
      </c>
      <c r="AS88" s="39">
        <v>15405.051077608774</v>
      </c>
      <c r="AT88" s="39">
        <v>1028</v>
      </c>
      <c r="AU88" s="54">
        <v>-14377.051077608774</v>
      </c>
      <c r="AV88" s="39">
        <v>72.267726688588141</v>
      </c>
      <c r="AW88" s="39">
        <v>0</v>
      </c>
      <c r="AX88" s="55">
        <v>-72.267726688588141</v>
      </c>
      <c r="AY88" s="39">
        <v>96.860280139450751</v>
      </c>
      <c r="AZ88" s="39">
        <v>0</v>
      </c>
      <c r="BA88" s="35">
        <v>-96.860280139450751</v>
      </c>
      <c r="BB88" s="39">
        <v>78.98502057400087</v>
      </c>
      <c r="BC88" s="39">
        <v>0</v>
      </c>
      <c r="BD88" s="55">
        <v>-78.98502057400087</v>
      </c>
      <c r="BE88" s="39">
        <v>54.362571797023676</v>
      </c>
      <c r="BF88" s="39">
        <v>0</v>
      </c>
      <c r="BG88" s="38">
        <v>-54.362571797023676</v>
      </c>
      <c r="BH88" s="39">
        <v>26.384494126153122</v>
      </c>
      <c r="BI88" s="39">
        <v>0</v>
      </c>
      <c r="BJ88" s="55">
        <v>-26.384494126153122</v>
      </c>
      <c r="BK88" s="39">
        <v>83.05021167631331</v>
      </c>
      <c r="BL88" s="39">
        <v>0</v>
      </c>
      <c r="BM88" s="38">
        <v>-83.05021167631331</v>
      </c>
      <c r="BN88" s="39">
        <v>94.161478523291592</v>
      </c>
      <c r="BO88" s="39">
        <v>0</v>
      </c>
      <c r="BP88" s="55">
        <v>-94.161478523291592</v>
      </c>
      <c r="BQ88" s="77">
        <v>506.07178352482151</v>
      </c>
      <c r="BR88" s="40">
        <v>0</v>
      </c>
      <c r="BS88" s="55">
        <v>-506.07178352482151</v>
      </c>
      <c r="BT88" s="39">
        <v>11930.409499728048</v>
      </c>
      <c r="BU88" s="39">
        <v>3100.8646090388952</v>
      </c>
      <c r="BV88" s="52">
        <v>-8829.5448906891525</v>
      </c>
      <c r="BW88" s="39">
        <v>6918.4548581166655</v>
      </c>
      <c r="BX88" s="39">
        <v>8308.7620600320734</v>
      </c>
      <c r="BY88" s="52">
        <v>1390.3072019154079</v>
      </c>
      <c r="BZ88" s="39">
        <v>2596.7809044302167</v>
      </c>
      <c r="CA88" s="39">
        <v>12737.000505428783</v>
      </c>
      <c r="CB88" s="52">
        <v>10140.219600998567</v>
      </c>
      <c r="CC88" s="39">
        <v>330.0167081955791</v>
      </c>
      <c r="CD88" s="39">
        <v>325.58520541395137</v>
      </c>
      <c r="CE88" s="52">
        <v>-4.4315027816277279</v>
      </c>
      <c r="CF88" s="39">
        <v>40.62705688013758</v>
      </c>
      <c r="CG88" s="39">
        <v>0</v>
      </c>
      <c r="CH88" s="52">
        <v>-40.62705688013758</v>
      </c>
      <c r="CI88" s="39">
        <v>4074.1813135688208</v>
      </c>
      <c r="CJ88" s="39">
        <v>5978.1108310327036</v>
      </c>
      <c r="CK88" s="52">
        <v>1903.9295174638828</v>
      </c>
      <c r="CL88" s="39">
        <v>1065.6511000881387</v>
      </c>
      <c r="CM88" s="39">
        <v>2184.2797134722205</v>
      </c>
      <c r="CN88" s="52">
        <v>1118.6286133840817</v>
      </c>
      <c r="CO88" s="39">
        <v>5139.832413656959</v>
      </c>
      <c r="CP88" s="40">
        <v>8162.390544504924</v>
      </c>
      <c r="CQ88" s="52">
        <v>3022.558130847965</v>
      </c>
      <c r="CR88" s="72">
        <v>62155.452926856342</v>
      </c>
      <c r="CS88" s="5">
        <v>50286.671115701502</v>
      </c>
      <c r="CT88" s="52">
        <v>-11868.78181115484</v>
      </c>
      <c r="CU88" s="77">
        <v>74586.54351222761</v>
      </c>
      <c r="CV88" s="65">
        <v>60344.005338841802</v>
      </c>
      <c r="CW88" s="35">
        <v>-14242.538173385808</v>
      </c>
      <c r="CX88" s="39">
        <v>745.86543512227615</v>
      </c>
      <c r="CY88" s="39">
        <v>14988.403608508084</v>
      </c>
      <c r="CZ88" s="52">
        <v>14242.538173385808</v>
      </c>
      <c r="DA88" s="150">
        <v>-20785.948310230291</v>
      </c>
      <c r="DB88" s="2">
        <v>1</v>
      </c>
      <c r="DC88" s="713">
        <v>89749.47</v>
      </c>
      <c r="DD88" s="714"/>
      <c r="DE88" s="715">
        <v>52083.265526325049</v>
      </c>
      <c r="DF88" s="716">
        <v>0</v>
      </c>
      <c r="DG88" s="717">
        <v>115732.69864237808</v>
      </c>
      <c r="DH88" s="718">
        <v>360046.99193933583</v>
      </c>
      <c r="DI88" s="718">
        <v>903988.90736819874</v>
      </c>
      <c r="DJ88" s="693">
        <v>768003.42851098301</v>
      </c>
      <c r="DK88" s="724"/>
      <c r="DL88" s="5"/>
      <c r="DM88" s="306">
        <v>6.6294862560427266</v>
      </c>
      <c r="DN88" s="306">
        <v>8.175610255673357</v>
      </c>
      <c r="DO88" s="306">
        <v>5.7403322039736526</v>
      </c>
      <c r="DP88" s="719">
        <v>37666.204473674952</v>
      </c>
      <c r="DQ88" s="720">
        <v>0</v>
      </c>
      <c r="DR88" s="650">
        <v>37666.204473674952</v>
      </c>
      <c r="DS88" s="94">
        <v>37666.204473674938</v>
      </c>
      <c r="DT88" s="719">
        <v>37665.620000000003</v>
      </c>
      <c r="DU88" s="721"/>
      <c r="DV88" s="93">
        <v>37665.620000000003</v>
      </c>
      <c r="DW88" s="95">
        <v>37740.79101718717</v>
      </c>
      <c r="DX88" s="28">
        <v>-75.171017187167308</v>
      </c>
      <c r="EA88" s="5">
        <v>19093.347433360315</v>
      </c>
      <c r="EB88" s="5">
        <v>1233.5999999999999</v>
      </c>
      <c r="EE88" s="722">
        <v>184860.61293130528</v>
      </c>
      <c r="EG88" s="42" t="s">
        <v>353</v>
      </c>
    </row>
    <row r="89" spans="1:137" x14ac:dyDescent="0.3">
      <c r="A89" s="325">
        <v>150000598</v>
      </c>
      <c r="B89" s="41" t="s">
        <v>552</v>
      </c>
      <c r="C89" s="42" t="s">
        <v>77</v>
      </c>
      <c r="D89" s="27">
        <v>1</v>
      </c>
      <c r="E89" s="709">
        <v>258.5</v>
      </c>
      <c r="F89" s="723">
        <v>258.5</v>
      </c>
      <c r="G89" s="28"/>
      <c r="H89" s="651">
        <v>0</v>
      </c>
      <c r="I89" s="39">
        <v>24.995415117984283</v>
      </c>
      <c r="J89" s="39">
        <v>18.692145626391916</v>
      </c>
      <c r="K89" s="52">
        <v>-6.303269491592367</v>
      </c>
      <c r="L89" s="39">
        <v>0</v>
      </c>
      <c r="M89" s="39">
        <v>0</v>
      </c>
      <c r="N89" s="52">
        <v>0</v>
      </c>
      <c r="O89" s="39">
        <v>0</v>
      </c>
      <c r="P89" s="39">
        <v>0</v>
      </c>
      <c r="Q89" s="52">
        <v>0</v>
      </c>
      <c r="R89" s="39">
        <v>0</v>
      </c>
      <c r="S89" s="39">
        <v>0</v>
      </c>
      <c r="T89" s="52">
        <v>0</v>
      </c>
      <c r="U89" s="39">
        <v>0</v>
      </c>
      <c r="V89" s="39">
        <v>0</v>
      </c>
      <c r="W89" s="52">
        <v>0</v>
      </c>
      <c r="X89" s="39">
        <v>0</v>
      </c>
      <c r="Y89" s="39">
        <v>0</v>
      </c>
      <c r="Z89" s="52">
        <v>0</v>
      </c>
      <c r="AA89" s="39">
        <v>0</v>
      </c>
      <c r="AB89" s="39">
        <v>0</v>
      </c>
      <c r="AC89" s="52">
        <v>0</v>
      </c>
      <c r="AD89" s="39">
        <v>0</v>
      </c>
      <c r="AE89" s="39">
        <v>154.57956017676838</v>
      </c>
      <c r="AF89" s="35">
        <v>154.57956017676838</v>
      </c>
      <c r="AG89" s="77">
        <v>24.995415117984283</v>
      </c>
      <c r="AH89" s="53">
        <v>173.2717058031603</v>
      </c>
      <c r="AI89" s="52">
        <v>148.27629068517601</v>
      </c>
      <c r="AJ89" s="39">
        <v>0</v>
      </c>
      <c r="AK89" s="39">
        <v>0</v>
      </c>
      <c r="AL89" s="52">
        <v>0</v>
      </c>
      <c r="AM89" s="39">
        <v>0</v>
      </c>
      <c r="AN89" s="39">
        <v>0</v>
      </c>
      <c r="AO89" s="52">
        <v>0</v>
      </c>
      <c r="AP89" s="39">
        <v>94.701764289364974</v>
      </c>
      <c r="AQ89" s="39">
        <v>0</v>
      </c>
      <c r="AR89" s="52">
        <v>-94.701764289364974</v>
      </c>
      <c r="AS89" s="39">
        <v>451.01894199054971</v>
      </c>
      <c r="AT89" s="39">
        <v>1214</v>
      </c>
      <c r="AU89" s="54">
        <v>762.98105800945029</v>
      </c>
      <c r="AV89" s="39">
        <v>4.1838094870111275</v>
      </c>
      <c r="AW89" s="39">
        <v>0</v>
      </c>
      <c r="AX89" s="55">
        <v>-4.1838094870111275</v>
      </c>
      <c r="AY89" s="39">
        <v>0</v>
      </c>
      <c r="AZ89" s="39">
        <v>0</v>
      </c>
      <c r="BA89" s="35">
        <v>0</v>
      </c>
      <c r="BB89" s="39">
        <v>0</v>
      </c>
      <c r="BC89" s="39">
        <v>0</v>
      </c>
      <c r="BD89" s="55">
        <v>0</v>
      </c>
      <c r="BE89" s="39">
        <v>0</v>
      </c>
      <c r="BF89" s="39">
        <v>0</v>
      </c>
      <c r="BG89" s="38">
        <v>0</v>
      </c>
      <c r="BH89" s="39">
        <v>0</v>
      </c>
      <c r="BI89" s="39">
        <v>0</v>
      </c>
      <c r="BJ89" s="55">
        <v>0</v>
      </c>
      <c r="BK89" s="39">
        <v>0</v>
      </c>
      <c r="BL89" s="39">
        <v>0</v>
      </c>
      <c r="BM89" s="38">
        <v>0</v>
      </c>
      <c r="BN89" s="39">
        <v>0</v>
      </c>
      <c r="BO89" s="39">
        <v>0</v>
      </c>
      <c r="BP89" s="55">
        <v>0</v>
      </c>
      <c r="BQ89" s="77">
        <v>4.1838094870111275</v>
      </c>
      <c r="BR89" s="40">
        <v>0</v>
      </c>
      <c r="BS89" s="55">
        <v>-4.1838094870111275</v>
      </c>
      <c r="BT89" s="39">
        <v>119.63505377098753</v>
      </c>
      <c r="BU89" s="39">
        <v>58.513895290140049</v>
      </c>
      <c r="BV89" s="52">
        <v>-61.121158480847477</v>
      </c>
      <c r="BW89" s="39">
        <v>0</v>
      </c>
      <c r="BX89" s="39">
        <v>1.046384897480235</v>
      </c>
      <c r="BY89" s="52">
        <v>1.046384897480235</v>
      </c>
      <c r="BZ89" s="39">
        <v>0</v>
      </c>
      <c r="CA89" s="39">
        <v>200.21720801961101</v>
      </c>
      <c r="CB89" s="52">
        <v>200.21720801961101</v>
      </c>
      <c r="CC89" s="39">
        <v>0</v>
      </c>
      <c r="CD89" s="39">
        <v>0</v>
      </c>
      <c r="CE89" s="52">
        <v>0</v>
      </c>
      <c r="CF89" s="39">
        <v>0</v>
      </c>
      <c r="CG89" s="39">
        <v>0</v>
      </c>
      <c r="CH89" s="52">
        <v>0</v>
      </c>
      <c r="CI89" s="39">
        <v>0</v>
      </c>
      <c r="CJ89" s="39">
        <v>0</v>
      </c>
      <c r="CK89" s="52">
        <v>0</v>
      </c>
      <c r="CL89" s="39">
        <v>0</v>
      </c>
      <c r="CM89" s="39">
        <v>0</v>
      </c>
      <c r="CN89" s="52">
        <v>0</v>
      </c>
      <c r="CO89" s="39">
        <v>0</v>
      </c>
      <c r="CP89" s="40">
        <v>0</v>
      </c>
      <c r="CQ89" s="52">
        <v>0</v>
      </c>
      <c r="CR89" s="72">
        <v>694.53498465589757</v>
      </c>
      <c r="CS89" s="5">
        <v>1647.0491940103916</v>
      </c>
      <c r="CT89" s="52">
        <v>952.51420935449403</v>
      </c>
      <c r="CU89" s="77">
        <v>833.44198158707707</v>
      </c>
      <c r="CV89" s="65">
        <v>1976.4590328124698</v>
      </c>
      <c r="CW89" s="35">
        <v>1143.0170512253926</v>
      </c>
      <c r="CX89" s="39">
        <v>37.504889171418469</v>
      </c>
      <c r="CY89" s="39">
        <v>-1105.5121620539744</v>
      </c>
      <c r="CZ89" s="52">
        <v>-1143.0170512253928</v>
      </c>
      <c r="DA89" s="150">
        <v>16196.930631800938</v>
      </c>
      <c r="DB89" s="2">
        <v>1</v>
      </c>
      <c r="DC89" s="713">
        <v>2527.9499999999998</v>
      </c>
      <c r="DD89" s="714"/>
      <c r="DE89" s="715">
        <v>2092.476564620752</v>
      </c>
      <c r="DF89" s="716">
        <v>0</v>
      </c>
      <c r="DG89" s="717">
        <v>13184.221399404743</v>
      </c>
      <c r="DH89" s="718">
        <v>4165.2239551462753</v>
      </c>
      <c r="DI89" s="718">
        <v>10451.362449101945</v>
      </c>
      <c r="DJ89" s="693">
        <v>8879.827825613027</v>
      </c>
      <c r="DK89" s="724"/>
      <c r="DL89" s="5"/>
      <c r="DM89" s="306">
        <v>1.684616771293028</v>
      </c>
      <c r="DN89" s="306"/>
      <c r="DO89" s="306">
        <v>1.684616771293028</v>
      </c>
      <c r="DP89" s="719">
        <v>435.47343537924775</v>
      </c>
      <c r="DQ89" s="720">
        <v>0</v>
      </c>
      <c r="DR89" s="650">
        <v>435.47343537924775</v>
      </c>
      <c r="DS89" s="94">
        <v>435.47343537924775</v>
      </c>
      <c r="DT89" s="719">
        <v>435.47</v>
      </c>
      <c r="DU89" s="721"/>
      <c r="DV89" s="93">
        <v>435.47</v>
      </c>
      <c r="DW89" s="95">
        <v>439.22392429638961</v>
      </c>
      <c r="DX89" s="28">
        <v>-3.7539242963895845</v>
      </c>
      <c r="EA89" s="5">
        <v>546.24330177307297</v>
      </c>
      <c r="EB89" s="5">
        <v>1456.8</v>
      </c>
      <c r="EE89" s="722">
        <v>5412.2273038865969</v>
      </c>
      <c r="EG89" s="42" t="s">
        <v>77</v>
      </c>
    </row>
    <row r="90" spans="1:137" x14ac:dyDescent="0.3">
      <c r="A90" s="325">
        <v>150000592</v>
      </c>
      <c r="B90" s="41" t="s">
        <v>553</v>
      </c>
      <c r="C90" s="42" t="s">
        <v>354</v>
      </c>
      <c r="D90" s="27">
        <v>9</v>
      </c>
      <c r="E90" s="709">
        <v>9737.7999999999993</v>
      </c>
      <c r="F90" s="723">
        <v>9698.4</v>
      </c>
      <c r="G90" s="28">
        <v>1110</v>
      </c>
      <c r="H90" s="651">
        <v>39.4</v>
      </c>
      <c r="I90" s="39">
        <v>4130.388322134093</v>
      </c>
      <c r="J90" s="39">
        <v>3096.188951321099</v>
      </c>
      <c r="K90" s="52">
        <v>-1034.1993708129939</v>
      </c>
      <c r="L90" s="39">
        <v>686.77639203578588</v>
      </c>
      <c r="M90" s="39">
        <v>358.53274937925403</v>
      </c>
      <c r="N90" s="52">
        <v>-328.24364265653185</v>
      </c>
      <c r="O90" s="39">
        <v>2516.1</v>
      </c>
      <c r="P90" s="39">
        <v>2516.1</v>
      </c>
      <c r="Q90" s="52">
        <v>0</v>
      </c>
      <c r="R90" s="39">
        <v>523.84</v>
      </c>
      <c r="S90" s="39">
        <v>523.84</v>
      </c>
      <c r="T90" s="52">
        <v>0</v>
      </c>
      <c r="U90" s="39">
        <v>768.32239862610584</v>
      </c>
      <c r="V90" s="39">
        <v>139.02343088218808</v>
      </c>
      <c r="W90" s="52">
        <v>-629.29896774391773</v>
      </c>
      <c r="X90" s="39">
        <v>3607.1769392430233</v>
      </c>
      <c r="Y90" s="39">
        <v>2504.566752837763</v>
      </c>
      <c r="Z90" s="52">
        <v>-1102.6101864052603</v>
      </c>
      <c r="AA90" s="39">
        <v>0</v>
      </c>
      <c r="AB90" s="39">
        <v>0</v>
      </c>
      <c r="AC90" s="52">
        <v>0</v>
      </c>
      <c r="AD90" s="39">
        <v>6939.5320506723583</v>
      </c>
      <c r="AE90" s="39">
        <v>5823.0748204616448</v>
      </c>
      <c r="AF90" s="35">
        <v>-1116.4572302107135</v>
      </c>
      <c r="AG90" s="77">
        <v>19172.136102711367</v>
      </c>
      <c r="AH90" s="53">
        <v>14961.326704881949</v>
      </c>
      <c r="AI90" s="52">
        <v>-4210.8093978294182</v>
      </c>
      <c r="AJ90" s="39">
        <v>12606.097227462427</v>
      </c>
      <c r="AK90" s="39">
        <v>12436.799102606648</v>
      </c>
      <c r="AL90" s="52">
        <v>-169.29812485577895</v>
      </c>
      <c r="AM90" s="39">
        <v>1052.2814392472874</v>
      </c>
      <c r="AN90" s="39">
        <v>389.69856233908649</v>
      </c>
      <c r="AO90" s="52">
        <v>-662.58287690820089</v>
      </c>
      <c r="AP90" s="39">
        <v>1183.7720536170623</v>
      </c>
      <c r="AQ90" s="39">
        <v>0</v>
      </c>
      <c r="AR90" s="52">
        <v>-1183.7720536170623</v>
      </c>
      <c r="AS90" s="39">
        <v>29765.741970449177</v>
      </c>
      <c r="AT90" s="39">
        <v>2485.0041867075433</v>
      </c>
      <c r="AU90" s="54">
        <v>-27280.737783741635</v>
      </c>
      <c r="AV90" s="39">
        <v>202.06990605035185</v>
      </c>
      <c r="AW90" s="39">
        <v>477</v>
      </c>
      <c r="AX90" s="55">
        <v>274.93009394964815</v>
      </c>
      <c r="AY90" s="39">
        <v>274.72892540618346</v>
      </c>
      <c r="AZ90" s="39">
        <v>1138</v>
      </c>
      <c r="BA90" s="35">
        <v>863.27107459381659</v>
      </c>
      <c r="BB90" s="39">
        <v>341.18561558757222</v>
      </c>
      <c r="BC90" s="39">
        <v>0</v>
      </c>
      <c r="BD90" s="55">
        <v>-341.18561558757222</v>
      </c>
      <c r="BE90" s="39">
        <v>142.08269596907468</v>
      </c>
      <c r="BF90" s="39">
        <v>0</v>
      </c>
      <c r="BG90" s="38">
        <v>-142.08269596907468</v>
      </c>
      <c r="BH90" s="39">
        <v>233.85323677229661</v>
      </c>
      <c r="BI90" s="39">
        <v>0</v>
      </c>
      <c r="BJ90" s="55">
        <v>-233.85323677229661</v>
      </c>
      <c r="BK90" s="39">
        <v>267.81638294522492</v>
      </c>
      <c r="BL90" s="39">
        <v>0</v>
      </c>
      <c r="BM90" s="38">
        <v>-267.81638294522492</v>
      </c>
      <c r="BN90" s="39">
        <v>187.38255906188371</v>
      </c>
      <c r="BO90" s="39">
        <v>0</v>
      </c>
      <c r="BP90" s="55">
        <v>-187.38255906188371</v>
      </c>
      <c r="BQ90" s="77">
        <v>1649.1193217925875</v>
      </c>
      <c r="BR90" s="40">
        <v>1615</v>
      </c>
      <c r="BS90" s="55">
        <v>-34.119321792587471</v>
      </c>
      <c r="BT90" s="39">
        <v>21559.947714302514</v>
      </c>
      <c r="BU90" s="39">
        <v>1454.1946708209907</v>
      </c>
      <c r="BV90" s="52">
        <v>-20105.753043481523</v>
      </c>
      <c r="BW90" s="39">
        <v>14346.243679882051</v>
      </c>
      <c r="BX90" s="39">
        <v>9103.8855226599953</v>
      </c>
      <c r="BY90" s="52">
        <v>-5242.3581572220555</v>
      </c>
      <c r="BZ90" s="39">
        <v>5193.5618088604333</v>
      </c>
      <c r="CA90" s="39">
        <v>17398.203207416125</v>
      </c>
      <c r="CB90" s="52">
        <v>12204.641398555692</v>
      </c>
      <c r="CC90" s="39">
        <v>497.08399006285975</v>
      </c>
      <c r="CD90" s="39">
        <v>490.40908836860763</v>
      </c>
      <c r="CE90" s="52">
        <v>-6.674901694252128</v>
      </c>
      <c r="CF90" s="39">
        <v>61.194051806980845</v>
      </c>
      <c r="CG90" s="39">
        <v>0</v>
      </c>
      <c r="CH90" s="52">
        <v>-61.194051806980845</v>
      </c>
      <c r="CI90" s="39">
        <v>3846.4514239129835</v>
      </c>
      <c r="CJ90" s="39">
        <v>5593.9566098352361</v>
      </c>
      <c r="CK90" s="52">
        <v>1747.5051859222526</v>
      </c>
      <c r="CL90" s="39">
        <v>5764.9977545751781</v>
      </c>
      <c r="CM90" s="39">
        <v>8390.931991051666</v>
      </c>
      <c r="CN90" s="52">
        <v>2625.934236476488</v>
      </c>
      <c r="CO90" s="39">
        <v>9611.4491784881611</v>
      </c>
      <c r="CP90" s="40">
        <v>13984.888600886901</v>
      </c>
      <c r="CQ90" s="52">
        <v>4373.4394223987401</v>
      </c>
      <c r="CR90" s="72">
        <v>116698.62853868291</v>
      </c>
      <c r="CS90" s="5">
        <v>74319.409646687855</v>
      </c>
      <c r="CT90" s="52">
        <v>-42379.218891995057</v>
      </c>
      <c r="CU90" s="77">
        <v>140038.35424641948</v>
      </c>
      <c r="CV90" s="65">
        <v>89183.291576025425</v>
      </c>
      <c r="CW90" s="35">
        <v>-50855.062670394051</v>
      </c>
      <c r="CX90" s="39">
        <v>3500.9588561604869</v>
      </c>
      <c r="CY90" s="39">
        <v>54356.021526554563</v>
      </c>
      <c r="CZ90" s="52">
        <v>50855.06267039408</v>
      </c>
      <c r="DA90" s="150">
        <v>25620.922366214632</v>
      </c>
      <c r="DB90" s="2">
        <v>1</v>
      </c>
      <c r="DC90" s="713">
        <v>142796.51999999999</v>
      </c>
      <c r="DD90" s="714">
        <v>2852.52</v>
      </c>
      <c r="DE90" s="715">
        <v>71233.219381615738</v>
      </c>
      <c r="DF90" s="716">
        <v>2646.1640670942666</v>
      </c>
      <c r="DG90" s="717">
        <v>-31606.226489901077</v>
      </c>
      <c r="DH90" s="718">
        <v>692894.08568710613</v>
      </c>
      <c r="DI90" s="718">
        <v>1722471.7572309596</v>
      </c>
      <c r="DJ90" s="693">
        <v>1465077.3393449963</v>
      </c>
      <c r="DK90" s="724"/>
      <c r="DL90" s="5"/>
      <c r="DM90" s="306">
        <v>6.1471917140243795</v>
      </c>
      <c r="DN90" s="306">
        <v>7.5380650430600795</v>
      </c>
      <c r="DO90" s="306">
        <v>5.2374602260338383</v>
      </c>
      <c r="DP90" s="719">
        <v>71563.300618384252</v>
      </c>
      <c r="DQ90" s="720">
        <v>206.35593290573323</v>
      </c>
      <c r="DR90" s="650">
        <v>71769.656551289983</v>
      </c>
      <c r="DS90" s="94">
        <v>71769.656551289983</v>
      </c>
      <c r="DT90" s="719">
        <v>71548.33</v>
      </c>
      <c r="DU90" s="725">
        <v>206.36</v>
      </c>
      <c r="DV90" s="93">
        <v>71754.69</v>
      </c>
      <c r="DW90" s="95">
        <v>72119.752436906041</v>
      </c>
      <c r="DX90" s="28">
        <v>-365.06243690603878</v>
      </c>
      <c r="EA90" s="5">
        <v>37697.833550690113</v>
      </c>
      <c r="EB90" s="5">
        <v>4920.0050240490518</v>
      </c>
      <c r="EE90" s="722">
        <v>357188.90364539012</v>
      </c>
      <c r="EG90" s="42" t="s">
        <v>354</v>
      </c>
    </row>
    <row r="91" spans="1:137" x14ac:dyDescent="0.3">
      <c r="A91" s="325">
        <v>150000599</v>
      </c>
      <c r="B91" s="41" t="s">
        <v>554</v>
      </c>
      <c r="C91" s="42" t="s">
        <v>78</v>
      </c>
      <c r="D91" s="27">
        <v>1</v>
      </c>
      <c r="E91" s="709">
        <v>250.4</v>
      </c>
      <c r="F91" s="723">
        <v>250.4</v>
      </c>
      <c r="G91" s="28"/>
      <c r="H91" s="651">
        <v>0</v>
      </c>
      <c r="I91" s="39">
        <v>0</v>
      </c>
      <c r="J91" s="39">
        <v>0</v>
      </c>
      <c r="K91" s="52">
        <v>0</v>
      </c>
      <c r="L91" s="39">
        <v>0</v>
      </c>
      <c r="M91" s="39">
        <v>0</v>
      </c>
      <c r="N91" s="52">
        <v>0</v>
      </c>
      <c r="O91" s="39">
        <v>0</v>
      </c>
      <c r="P91" s="39">
        <v>0</v>
      </c>
      <c r="Q91" s="52">
        <v>0</v>
      </c>
      <c r="R91" s="39">
        <v>0</v>
      </c>
      <c r="S91" s="39">
        <v>0</v>
      </c>
      <c r="T91" s="52">
        <v>0</v>
      </c>
      <c r="U91" s="39">
        <v>0</v>
      </c>
      <c r="V91" s="39">
        <v>0</v>
      </c>
      <c r="W91" s="52">
        <v>0</v>
      </c>
      <c r="X91" s="39">
        <v>0</v>
      </c>
      <c r="Y91" s="39">
        <v>0</v>
      </c>
      <c r="Z91" s="52">
        <v>0</v>
      </c>
      <c r="AA91" s="39">
        <v>0</v>
      </c>
      <c r="AB91" s="39">
        <v>0</v>
      </c>
      <c r="AC91" s="52">
        <v>0</v>
      </c>
      <c r="AD91" s="39">
        <v>0</v>
      </c>
      <c r="AE91" s="39">
        <v>149.73586796233195</v>
      </c>
      <c r="AF91" s="35">
        <v>149.73586796233195</v>
      </c>
      <c r="AG91" s="77">
        <v>0</v>
      </c>
      <c r="AH91" s="53">
        <v>149.73586796233195</v>
      </c>
      <c r="AI91" s="52">
        <v>149.73586796233195</v>
      </c>
      <c r="AJ91" s="39">
        <v>0</v>
      </c>
      <c r="AK91" s="39">
        <v>0</v>
      </c>
      <c r="AL91" s="52">
        <v>0</v>
      </c>
      <c r="AM91" s="39">
        <v>0</v>
      </c>
      <c r="AN91" s="39">
        <v>0</v>
      </c>
      <c r="AO91" s="52">
        <v>0</v>
      </c>
      <c r="AP91" s="39">
        <v>118.37720536170622</v>
      </c>
      <c r="AQ91" s="39">
        <v>0</v>
      </c>
      <c r="AR91" s="52">
        <v>-118.37720536170622</v>
      </c>
      <c r="AS91" s="39">
        <v>496.33189943305825</v>
      </c>
      <c r="AT91" s="39">
        <v>2023</v>
      </c>
      <c r="AU91" s="54">
        <v>1526.6681005669418</v>
      </c>
      <c r="AV91" s="39">
        <v>0</v>
      </c>
      <c r="AW91" s="39">
        <v>0</v>
      </c>
      <c r="AX91" s="55">
        <v>0</v>
      </c>
      <c r="AY91" s="39">
        <v>0</v>
      </c>
      <c r="AZ91" s="39">
        <v>0</v>
      </c>
      <c r="BA91" s="35">
        <v>0</v>
      </c>
      <c r="BB91" s="39">
        <v>0</v>
      </c>
      <c r="BC91" s="39">
        <v>0</v>
      </c>
      <c r="BD91" s="55">
        <v>0</v>
      </c>
      <c r="BE91" s="39">
        <v>0</v>
      </c>
      <c r="BF91" s="39">
        <v>0</v>
      </c>
      <c r="BG91" s="38">
        <v>0</v>
      </c>
      <c r="BH91" s="39">
        <v>0</v>
      </c>
      <c r="BI91" s="39">
        <v>0</v>
      </c>
      <c r="BJ91" s="55">
        <v>0</v>
      </c>
      <c r="BK91" s="39">
        <v>0</v>
      </c>
      <c r="BL91" s="39">
        <v>0</v>
      </c>
      <c r="BM91" s="38">
        <v>0</v>
      </c>
      <c r="BN91" s="39">
        <v>0</v>
      </c>
      <c r="BO91" s="39">
        <v>0</v>
      </c>
      <c r="BP91" s="55">
        <v>0</v>
      </c>
      <c r="BQ91" s="77">
        <v>0</v>
      </c>
      <c r="BR91" s="40">
        <v>0</v>
      </c>
      <c r="BS91" s="55">
        <v>0</v>
      </c>
      <c r="BT91" s="39">
        <v>247.24577779337423</v>
      </c>
      <c r="BU91" s="39">
        <v>120.93834715142503</v>
      </c>
      <c r="BV91" s="52">
        <v>-126.3074306419492</v>
      </c>
      <c r="BW91" s="39">
        <v>0</v>
      </c>
      <c r="BX91" s="39">
        <v>1.0135968213889781</v>
      </c>
      <c r="BY91" s="52">
        <v>1.0135968213889781</v>
      </c>
      <c r="BZ91" s="39">
        <v>0</v>
      </c>
      <c r="CA91" s="39">
        <v>413.80501724317247</v>
      </c>
      <c r="CB91" s="52">
        <v>413.80501724317247</v>
      </c>
      <c r="CC91" s="39">
        <v>0</v>
      </c>
      <c r="CD91" s="39">
        <v>0</v>
      </c>
      <c r="CE91" s="52">
        <v>0</v>
      </c>
      <c r="CF91" s="39">
        <v>0</v>
      </c>
      <c r="CG91" s="39">
        <v>0</v>
      </c>
      <c r="CH91" s="52">
        <v>0</v>
      </c>
      <c r="CI91" s="39">
        <v>0</v>
      </c>
      <c r="CJ91" s="39">
        <v>0</v>
      </c>
      <c r="CK91" s="52">
        <v>0</v>
      </c>
      <c r="CL91" s="39">
        <v>0</v>
      </c>
      <c r="CM91" s="39">
        <v>0</v>
      </c>
      <c r="CN91" s="52">
        <v>0</v>
      </c>
      <c r="CO91" s="39">
        <v>0</v>
      </c>
      <c r="CP91" s="40">
        <v>0</v>
      </c>
      <c r="CQ91" s="52">
        <v>0</v>
      </c>
      <c r="CR91" s="72">
        <v>861.95488258813873</v>
      </c>
      <c r="CS91" s="5">
        <v>2708.492829178319</v>
      </c>
      <c r="CT91" s="52">
        <v>1846.5379465901801</v>
      </c>
      <c r="CU91" s="77">
        <v>1034.3458591057665</v>
      </c>
      <c r="CV91" s="65">
        <v>3250.1913950139829</v>
      </c>
      <c r="CW91" s="35">
        <v>2215.8455359082163</v>
      </c>
      <c r="CX91" s="39">
        <v>25.858646477644164</v>
      </c>
      <c r="CY91" s="39">
        <v>-2189.9868894305714</v>
      </c>
      <c r="CZ91" s="52">
        <v>-2215.8455359082154</v>
      </c>
      <c r="DA91" s="150">
        <v>11977.186494526832</v>
      </c>
      <c r="DB91" s="2">
        <v>1</v>
      </c>
      <c r="DC91" s="713">
        <v>545.77</v>
      </c>
      <c r="DD91" s="714"/>
      <c r="DE91" s="715">
        <v>15.6677472082946</v>
      </c>
      <c r="DF91" s="716">
        <v>0</v>
      </c>
      <c r="DG91" s="717">
        <v>10947.050698946452</v>
      </c>
      <c r="DH91" s="718">
        <v>5089.1354781074169</v>
      </c>
      <c r="DI91" s="718">
        <v>12722.45406700093</v>
      </c>
      <c r="DJ91" s="693">
        <v>10814.124419777552</v>
      </c>
      <c r="DK91" s="724"/>
      <c r="DL91" s="5"/>
      <c r="DM91" s="306">
        <v>2.1170217763247021</v>
      </c>
      <c r="DN91" s="306"/>
      <c r="DO91" s="306">
        <v>2.1170217763247021</v>
      </c>
      <c r="DP91" s="719">
        <v>530.10225279170538</v>
      </c>
      <c r="DQ91" s="720">
        <v>0</v>
      </c>
      <c r="DR91" s="650">
        <v>530.10225279170538</v>
      </c>
      <c r="DS91" s="94">
        <v>530.10225279170538</v>
      </c>
      <c r="DT91" s="719">
        <v>530.09</v>
      </c>
      <c r="DU91" s="721"/>
      <c r="DV91" s="93">
        <v>530.09</v>
      </c>
      <c r="DW91" s="95">
        <v>532.68811743946969</v>
      </c>
      <c r="DX91" s="28">
        <v>-2.5981174394696609</v>
      </c>
      <c r="EA91" s="5">
        <v>595.59827931966993</v>
      </c>
      <c r="EB91" s="5">
        <v>2427.6</v>
      </c>
      <c r="EE91" s="722">
        <v>5955.9827931966993</v>
      </c>
      <c r="EG91" s="42" t="s">
        <v>78</v>
      </c>
    </row>
    <row r="92" spans="1:137" x14ac:dyDescent="0.3">
      <c r="A92" s="325">
        <v>150000593</v>
      </c>
      <c r="B92" s="41" t="s">
        <v>556</v>
      </c>
      <c r="C92" s="42" t="s">
        <v>256</v>
      </c>
      <c r="D92" s="27">
        <v>5</v>
      </c>
      <c r="E92" s="709">
        <v>1899.07</v>
      </c>
      <c r="F92" s="723">
        <v>1780.57</v>
      </c>
      <c r="G92" s="28"/>
      <c r="H92" s="651">
        <v>118.5</v>
      </c>
      <c r="I92" s="39">
        <v>1033.2350606552918</v>
      </c>
      <c r="J92" s="39">
        <v>770.98998141288894</v>
      </c>
      <c r="K92" s="52">
        <v>-262.24507924240288</v>
      </c>
      <c r="L92" s="39">
        <v>195.14396545096372</v>
      </c>
      <c r="M92" s="39">
        <v>101.87520388436796</v>
      </c>
      <c r="N92" s="52">
        <v>-93.268761566595757</v>
      </c>
      <c r="O92" s="39">
        <v>468.48</v>
      </c>
      <c r="P92" s="39">
        <v>468.48</v>
      </c>
      <c r="Q92" s="52">
        <v>0</v>
      </c>
      <c r="R92" s="39">
        <v>0</v>
      </c>
      <c r="S92" s="39">
        <v>0</v>
      </c>
      <c r="T92" s="52">
        <v>0</v>
      </c>
      <c r="U92" s="39">
        <v>0</v>
      </c>
      <c r="V92" s="39">
        <v>0</v>
      </c>
      <c r="W92" s="52">
        <v>0</v>
      </c>
      <c r="X92" s="39">
        <v>525.29805736846345</v>
      </c>
      <c r="Y92" s="39">
        <v>366.71218403988246</v>
      </c>
      <c r="Z92" s="52">
        <v>-158.58587332858099</v>
      </c>
      <c r="AA92" s="39">
        <v>0</v>
      </c>
      <c r="AB92" s="39">
        <v>0</v>
      </c>
      <c r="AC92" s="52">
        <v>0</v>
      </c>
      <c r="AD92" s="39">
        <v>1353.3505649602944</v>
      </c>
      <c r="AE92" s="39">
        <v>1135.6185893419556</v>
      </c>
      <c r="AF92" s="35">
        <v>-217.73197561833877</v>
      </c>
      <c r="AG92" s="77">
        <v>3575.5076484350134</v>
      </c>
      <c r="AH92" s="53">
        <v>2843.6759586790949</v>
      </c>
      <c r="AI92" s="52">
        <v>-731.83168975591843</v>
      </c>
      <c r="AJ92" s="39">
        <v>0</v>
      </c>
      <c r="AK92" s="39">
        <v>0</v>
      </c>
      <c r="AL92" s="52">
        <v>0</v>
      </c>
      <c r="AM92" s="39">
        <v>0</v>
      </c>
      <c r="AN92" s="39">
        <v>0</v>
      </c>
      <c r="AO92" s="52">
        <v>0</v>
      </c>
      <c r="AP92" s="39">
        <v>899.66676074896725</v>
      </c>
      <c r="AQ92" s="39">
        <v>2454.8698961577834</v>
      </c>
      <c r="AR92" s="52">
        <v>1555.2031354088163</v>
      </c>
      <c r="AS92" s="39">
        <v>2729.1030731621481</v>
      </c>
      <c r="AT92" s="39">
        <v>445.97734179303768</v>
      </c>
      <c r="AU92" s="54">
        <v>-2283.1257313691103</v>
      </c>
      <c r="AV92" s="39">
        <v>186.05208943515458</v>
      </c>
      <c r="AW92" s="39">
        <v>0</v>
      </c>
      <c r="AX92" s="55">
        <v>-186.05208943515458</v>
      </c>
      <c r="AY92" s="39">
        <v>251.52520330277241</v>
      </c>
      <c r="AZ92" s="39">
        <v>0</v>
      </c>
      <c r="BA92" s="35">
        <v>-251.52520330277241</v>
      </c>
      <c r="BB92" s="39">
        <v>75.295688921806018</v>
      </c>
      <c r="BC92" s="39">
        <v>0</v>
      </c>
      <c r="BD92" s="55">
        <v>-75.295688921806018</v>
      </c>
      <c r="BE92" s="39">
        <v>0</v>
      </c>
      <c r="BF92" s="39">
        <v>0</v>
      </c>
      <c r="BG92" s="38">
        <v>0</v>
      </c>
      <c r="BH92" s="39">
        <v>0</v>
      </c>
      <c r="BI92" s="39">
        <v>0</v>
      </c>
      <c r="BJ92" s="55">
        <v>0</v>
      </c>
      <c r="BK92" s="39">
        <v>70.178787536868555</v>
      </c>
      <c r="BL92" s="39">
        <v>0</v>
      </c>
      <c r="BM92" s="38">
        <v>-70.178787536868555</v>
      </c>
      <c r="BN92" s="39">
        <v>78.880070559382432</v>
      </c>
      <c r="BO92" s="39">
        <v>0</v>
      </c>
      <c r="BP92" s="55">
        <v>-78.880070559382432</v>
      </c>
      <c r="BQ92" s="77">
        <v>661.9318397559839</v>
      </c>
      <c r="BR92" s="40">
        <v>0</v>
      </c>
      <c r="BS92" s="55">
        <v>-661.9318397559839</v>
      </c>
      <c r="BT92" s="39">
        <v>2852.316725013673</v>
      </c>
      <c r="BU92" s="39">
        <v>572.80207503092186</v>
      </c>
      <c r="BV92" s="52">
        <v>-2279.5146499827511</v>
      </c>
      <c r="BW92" s="39">
        <v>1353.912359438375</v>
      </c>
      <c r="BX92" s="39">
        <v>784.74158891915829</v>
      </c>
      <c r="BY92" s="52">
        <v>-569.17077051921672</v>
      </c>
      <c r="BZ92" s="39">
        <v>1494.0013266074004</v>
      </c>
      <c r="CA92" s="39">
        <v>3424.0079324866024</v>
      </c>
      <c r="CB92" s="52">
        <v>1930.006605879202</v>
      </c>
      <c r="CC92" s="39">
        <v>116.67257360449764</v>
      </c>
      <c r="CD92" s="39">
        <v>115.10588070190201</v>
      </c>
      <c r="CE92" s="52">
        <v>-1.5666929025956335</v>
      </c>
      <c r="CF92" s="39">
        <v>14.363100917220356</v>
      </c>
      <c r="CG92" s="39">
        <v>0</v>
      </c>
      <c r="CH92" s="52">
        <v>-14.363100917220356</v>
      </c>
      <c r="CI92" s="39">
        <v>283.88246518741403</v>
      </c>
      <c r="CJ92" s="39">
        <v>638.94819176388637</v>
      </c>
      <c r="CK92" s="52">
        <v>355.06572657647234</v>
      </c>
      <c r="CL92" s="39">
        <v>0</v>
      </c>
      <c r="CM92" s="39">
        <v>0</v>
      </c>
      <c r="CN92" s="52">
        <v>0</v>
      </c>
      <c r="CO92" s="39">
        <v>283.88246518741403</v>
      </c>
      <c r="CP92" s="40">
        <v>638.94819176388637</v>
      </c>
      <c r="CQ92" s="52">
        <v>355.06572657647234</v>
      </c>
      <c r="CR92" s="72">
        <v>13981.357872870693</v>
      </c>
      <c r="CS92" s="5">
        <v>11280.128865532386</v>
      </c>
      <c r="CT92" s="52">
        <v>-2701.2290073383065</v>
      </c>
      <c r="CU92" s="77">
        <v>16777.62944744483</v>
      </c>
      <c r="CV92" s="65">
        <v>13536.154638638864</v>
      </c>
      <c r="CW92" s="35">
        <v>-3241.4748088059659</v>
      </c>
      <c r="CX92" s="39">
        <v>335.55258894889658</v>
      </c>
      <c r="CY92" s="39">
        <v>3577.0273977548613</v>
      </c>
      <c r="CZ92" s="52">
        <v>3241.4748088059646</v>
      </c>
      <c r="DA92" s="150">
        <v>51922.483017698505</v>
      </c>
      <c r="DB92" s="2">
        <v>1</v>
      </c>
      <c r="DC92" s="713">
        <v>10940.47</v>
      </c>
      <c r="DD92" s="714">
        <v>366.24</v>
      </c>
      <c r="DE92" s="715">
        <v>2866.0979645289635</v>
      </c>
      <c r="DF92" s="716">
        <v>-115.97898272582819</v>
      </c>
      <c r="DG92" s="717">
        <v>-28144.565345749743</v>
      </c>
      <c r="DH92" s="718">
        <v>82372.994563902568</v>
      </c>
      <c r="DI92" s="718">
        <v>205358.1844367247</v>
      </c>
      <c r="DJ92" s="693">
        <v>174611.88696851919</v>
      </c>
      <c r="DK92" s="724"/>
      <c r="DL92" s="5"/>
      <c r="DM92" s="306">
        <v>4.5347119380148131</v>
      </c>
      <c r="DN92" s="306"/>
      <c r="DO92" s="306">
        <v>4.0693585040154279</v>
      </c>
      <c r="DP92" s="719">
        <v>8074.3720354710358</v>
      </c>
      <c r="DQ92" s="720">
        <v>482.2189827258282</v>
      </c>
      <c r="DR92" s="650">
        <v>8556.5910181968648</v>
      </c>
      <c r="DS92" s="94">
        <v>8556.5910181968611</v>
      </c>
      <c r="DT92" s="719">
        <v>8076.53</v>
      </c>
      <c r="DU92" s="725">
        <v>482.22</v>
      </c>
      <c r="DV92" s="93">
        <v>8558.75</v>
      </c>
      <c r="DW92" s="95">
        <v>8590.1462770917533</v>
      </c>
      <c r="DX92" s="28">
        <v>-31.396277091753291</v>
      </c>
      <c r="EA92" s="5">
        <v>4069.2418955017583</v>
      </c>
      <c r="EB92" s="5">
        <v>535.17281015164519</v>
      </c>
      <c r="EE92" s="722">
        <v>32749.236877945776</v>
      </c>
      <c r="EG92" s="42" t="s">
        <v>256</v>
      </c>
    </row>
    <row r="93" spans="1:137" x14ac:dyDescent="0.3">
      <c r="A93" s="325">
        <v>150000594</v>
      </c>
      <c r="B93" s="41" t="s">
        <v>557</v>
      </c>
      <c r="C93" s="42" t="s">
        <v>355</v>
      </c>
      <c r="D93" s="27">
        <v>9</v>
      </c>
      <c r="E93" s="709">
        <v>9277.65</v>
      </c>
      <c r="F93" s="723">
        <v>9162.5499999999993</v>
      </c>
      <c r="G93" s="28">
        <v>1004.05</v>
      </c>
      <c r="H93" s="651">
        <v>115.1</v>
      </c>
      <c r="I93" s="39">
        <v>4082.3238039077446</v>
      </c>
      <c r="J93" s="39">
        <v>3059.3539368049883</v>
      </c>
      <c r="K93" s="52">
        <v>-1022.9698671027563</v>
      </c>
      <c r="L93" s="39">
        <v>686.77639203578588</v>
      </c>
      <c r="M93" s="39">
        <v>358.53274937925403</v>
      </c>
      <c r="N93" s="52">
        <v>-328.24364265653185</v>
      </c>
      <c r="O93" s="39">
        <v>2343.16</v>
      </c>
      <c r="P93" s="39">
        <v>2343.16</v>
      </c>
      <c r="Q93" s="52">
        <v>0</v>
      </c>
      <c r="R93" s="39">
        <v>499.44</v>
      </c>
      <c r="S93" s="39">
        <v>499.44</v>
      </c>
      <c r="T93" s="52">
        <v>0</v>
      </c>
      <c r="U93" s="39">
        <v>768.32239862610584</v>
      </c>
      <c r="V93" s="39">
        <v>139.02343088218808</v>
      </c>
      <c r="W93" s="52">
        <v>-629.29896774391773</v>
      </c>
      <c r="X93" s="39">
        <v>3607.1769392430233</v>
      </c>
      <c r="Y93" s="39">
        <v>2503.4075581669167</v>
      </c>
      <c r="Z93" s="52">
        <v>-1103.7693810761066</v>
      </c>
      <c r="AA93" s="39">
        <v>0</v>
      </c>
      <c r="AB93" s="39">
        <v>0</v>
      </c>
      <c r="AC93" s="52">
        <v>0</v>
      </c>
      <c r="AD93" s="39">
        <v>6611.6114040050534</v>
      </c>
      <c r="AE93" s="39">
        <v>5547.9112436131345</v>
      </c>
      <c r="AF93" s="35">
        <v>-1063.7001603919189</v>
      </c>
      <c r="AG93" s="77">
        <v>18598.810937817714</v>
      </c>
      <c r="AH93" s="53">
        <v>14450.828918846482</v>
      </c>
      <c r="AI93" s="52">
        <v>-4147.9820189712318</v>
      </c>
      <c r="AJ93" s="39">
        <v>15284.040293884987</v>
      </c>
      <c r="AK93" s="39">
        <v>15078.804421291768</v>
      </c>
      <c r="AL93" s="52">
        <v>-205.23587259321903</v>
      </c>
      <c r="AM93" s="39">
        <v>0</v>
      </c>
      <c r="AN93" s="39">
        <v>0</v>
      </c>
      <c r="AO93" s="52">
        <v>0</v>
      </c>
      <c r="AP93" s="39">
        <v>1144.31298516316</v>
      </c>
      <c r="AQ93" s="39">
        <v>0</v>
      </c>
      <c r="AR93" s="52">
        <v>-1144.31298516316</v>
      </c>
      <c r="AS93" s="39">
        <v>27570.666558880832</v>
      </c>
      <c r="AT93" s="39">
        <v>2768</v>
      </c>
      <c r="AU93" s="54">
        <v>-24802.666558880832</v>
      </c>
      <c r="AV93" s="39">
        <v>134.13685304925804</v>
      </c>
      <c r="AW93" s="39">
        <v>0</v>
      </c>
      <c r="AX93" s="55">
        <v>-134.13685304925804</v>
      </c>
      <c r="AY93" s="39">
        <v>183.15261693745566</v>
      </c>
      <c r="AZ93" s="39">
        <v>0</v>
      </c>
      <c r="BA93" s="35">
        <v>-183.15261693745566</v>
      </c>
      <c r="BB93" s="39">
        <v>212.78673471802713</v>
      </c>
      <c r="BC93" s="39">
        <v>0</v>
      </c>
      <c r="BD93" s="55">
        <v>-212.78673471802713</v>
      </c>
      <c r="BE93" s="39">
        <v>90.737144763417078</v>
      </c>
      <c r="BF93" s="39">
        <v>0</v>
      </c>
      <c r="BG93" s="38">
        <v>-90.737144763417078</v>
      </c>
      <c r="BH93" s="39">
        <v>155.90215784819776</v>
      </c>
      <c r="BI93" s="39">
        <v>0</v>
      </c>
      <c r="BJ93" s="55">
        <v>-155.90215784819776</v>
      </c>
      <c r="BK93" s="39">
        <v>178.54425529681663</v>
      </c>
      <c r="BL93" s="39">
        <v>0</v>
      </c>
      <c r="BM93" s="38">
        <v>-178.54425529681663</v>
      </c>
      <c r="BN93" s="39">
        <v>187.38255906188371</v>
      </c>
      <c r="BO93" s="39">
        <v>0</v>
      </c>
      <c r="BP93" s="55">
        <v>-187.38255906188371</v>
      </c>
      <c r="BQ93" s="77">
        <v>1142.6423216750559</v>
      </c>
      <c r="BR93" s="40">
        <v>0</v>
      </c>
      <c r="BS93" s="55">
        <v>-1142.6423216750559</v>
      </c>
      <c r="BT93" s="39">
        <v>21047.631113071988</v>
      </c>
      <c r="BU93" s="39">
        <v>5260.3045877426439</v>
      </c>
      <c r="BV93" s="52">
        <v>-15787.326525329343</v>
      </c>
      <c r="BW93" s="39">
        <v>12661.634291593467</v>
      </c>
      <c r="BX93" s="39">
        <v>10761.442323721443</v>
      </c>
      <c r="BY93" s="52">
        <v>-1900.1919678720242</v>
      </c>
      <c r="BZ93" s="39">
        <v>2596.7809044302167</v>
      </c>
      <c r="CA93" s="39">
        <v>16577.041541381925</v>
      </c>
      <c r="CB93" s="52">
        <v>13980.260636951709</v>
      </c>
      <c r="CC93" s="39">
        <v>431.78656651614085</v>
      </c>
      <c r="CD93" s="39">
        <v>425.98848622787921</v>
      </c>
      <c r="CE93" s="52">
        <v>-5.7980802882616445</v>
      </c>
      <c r="CF93" s="39">
        <v>53.155543226418857</v>
      </c>
      <c r="CG93" s="39">
        <v>0</v>
      </c>
      <c r="CH93" s="52">
        <v>-53.155543226418857</v>
      </c>
      <c r="CI93" s="39">
        <v>5977.1297065833551</v>
      </c>
      <c r="CJ93" s="39">
        <v>8041.5212458100723</v>
      </c>
      <c r="CK93" s="52">
        <v>2064.3915392267172</v>
      </c>
      <c r="CL93" s="39">
        <v>2420.7999229168495</v>
      </c>
      <c r="CM93" s="39">
        <v>3408.054722206668</v>
      </c>
      <c r="CN93" s="52">
        <v>987.25479928981849</v>
      </c>
      <c r="CO93" s="39">
        <v>8397.9296295002041</v>
      </c>
      <c r="CP93" s="40">
        <v>11449.575968016739</v>
      </c>
      <c r="CQ93" s="52">
        <v>3051.6463385165353</v>
      </c>
      <c r="CR93" s="72">
        <v>108929.39114576016</v>
      </c>
      <c r="CS93" s="5">
        <v>76771.986247228866</v>
      </c>
      <c r="CT93" s="52">
        <v>-32157.404898531298</v>
      </c>
      <c r="CU93" s="77">
        <v>130715.2693749122</v>
      </c>
      <c r="CV93" s="65">
        <v>92126.383496674636</v>
      </c>
      <c r="CW93" s="35">
        <v>-38588.885878237561</v>
      </c>
      <c r="CX93" s="39">
        <v>3620.96</v>
      </c>
      <c r="CY93" s="39">
        <v>42209.845878237546</v>
      </c>
      <c r="CZ93" s="52">
        <v>38588.885878237546</v>
      </c>
      <c r="DA93" s="150">
        <v>18355.403290496062</v>
      </c>
      <c r="DB93" s="2">
        <v>1</v>
      </c>
      <c r="DC93" s="713">
        <v>94956.87</v>
      </c>
      <c r="DD93" s="714">
        <v>6145.22</v>
      </c>
      <c r="DE93" s="715">
        <v>28564.71282162203</v>
      </c>
      <c r="DF93" s="716">
        <v>5545.8016237354477</v>
      </c>
      <c r="DG93" s="717">
        <v>-36139.291279823927</v>
      </c>
      <c r="DH93" s="718">
        <v>653935.8360834897</v>
      </c>
      <c r="DI93" s="718">
        <v>1612034.7524989462</v>
      </c>
      <c r="DJ93" s="693">
        <v>1372510.023395082</v>
      </c>
      <c r="DK93" s="724"/>
      <c r="DL93" s="5"/>
      <c r="DM93" s="306">
        <v>6.0576674010013409</v>
      </c>
      <c r="DN93" s="306">
        <v>7.3922848837902277</v>
      </c>
      <c r="DO93" s="306">
        <v>5.2078051804044563</v>
      </c>
      <c r="DP93" s="719">
        <v>66392.157178377965</v>
      </c>
      <c r="DQ93" s="727">
        <v>599.41837626455288</v>
      </c>
      <c r="DR93" s="650">
        <v>66991.575554642521</v>
      </c>
      <c r="DS93" s="94">
        <v>67344.653820269668</v>
      </c>
      <c r="DT93" s="719">
        <v>66473.61</v>
      </c>
      <c r="DU93" s="728">
        <v>775.96</v>
      </c>
      <c r="DV93" s="93">
        <v>67249.570000000007</v>
      </c>
      <c r="DW93" s="95">
        <v>67318.36372807977</v>
      </c>
      <c r="DX93" s="28">
        <v>-68.793728079763241</v>
      </c>
      <c r="DY93" s="94"/>
      <c r="EA93" s="5">
        <v>34455.970656667065</v>
      </c>
      <c r="EB93" s="5">
        <v>3321.6</v>
      </c>
      <c r="EE93" s="722">
        <v>330847.99870657001</v>
      </c>
      <c r="EG93" s="42" t="s">
        <v>355</v>
      </c>
    </row>
    <row r="94" spans="1:137" x14ac:dyDescent="0.3">
      <c r="A94" s="325">
        <v>150000627</v>
      </c>
      <c r="B94" s="41" t="s">
        <v>559</v>
      </c>
      <c r="C94" s="42" t="s">
        <v>356</v>
      </c>
      <c r="D94" s="27">
        <v>9</v>
      </c>
      <c r="E94" s="709">
        <v>3777.3500000000004</v>
      </c>
      <c r="F94" s="723">
        <v>3714.05</v>
      </c>
      <c r="G94" s="28">
        <v>340.25</v>
      </c>
      <c r="H94" s="651">
        <v>63.3</v>
      </c>
      <c r="I94" s="39">
        <v>1651.4394993166454</v>
      </c>
      <c r="J94" s="39">
        <v>1235.6991853207428</v>
      </c>
      <c r="K94" s="52">
        <v>-415.74031399590262</v>
      </c>
      <c r="L94" s="39">
        <v>330.57166071972682</v>
      </c>
      <c r="M94" s="39">
        <v>172.57252758072238</v>
      </c>
      <c r="N94" s="52">
        <v>-157.99913313900444</v>
      </c>
      <c r="O94" s="39">
        <v>1051.1199999999999</v>
      </c>
      <c r="P94" s="39">
        <v>1051.1199999999999</v>
      </c>
      <c r="Q94" s="52">
        <v>0</v>
      </c>
      <c r="R94" s="39">
        <v>192.42</v>
      </c>
      <c r="S94" s="39">
        <v>192.42</v>
      </c>
      <c r="T94" s="52">
        <v>0</v>
      </c>
      <c r="U94" s="39">
        <v>130.00964065633656</v>
      </c>
      <c r="V94" s="39">
        <v>23.524434499251157</v>
      </c>
      <c r="W94" s="52">
        <v>-106.4852061570854</v>
      </c>
      <c r="X94" s="39">
        <v>1341.8762766724853</v>
      </c>
      <c r="Y94" s="39">
        <v>885.71416597143411</v>
      </c>
      <c r="Z94" s="52">
        <v>-456.16211070105123</v>
      </c>
      <c r="AA94" s="39">
        <v>0</v>
      </c>
      <c r="AB94" s="39">
        <v>0</v>
      </c>
      <c r="AC94" s="52">
        <v>0</v>
      </c>
      <c r="AD94" s="39">
        <v>2691.8853736580372</v>
      </c>
      <c r="AE94" s="39">
        <v>2258.8050353335248</v>
      </c>
      <c r="AF94" s="35">
        <v>-433.08033832451247</v>
      </c>
      <c r="AG94" s="77">
        <v>7389.3224510232321</v>
      </c>
      <c r="AH94" s="53">
        <v>5819.8553487056752</v>
      </c>
      <c r="AI94" s="52">
        <v>-1569.467102317557</v>
      </c>
      <c r="AJ94" s="39">
        <v>9601.5110639297945</v>
      </c>
      <c r="AK94" s="39">
        <v>9472.5588719031039</v>
      </c>
      <c r="AL94" s="52">
        <v>-128.95219202669068</v>
      </c>
      <c r="AM94" s="39">
        <v>0</v>
      </c>
      <c r="AN94" s="39">
        <v>0</v>
      </c>
      <c r="AO94" s="52">
        <v>0</v>
      </c>
      <c r="AP94" s="39">
        <v>560.31877204540945</v>
      </c>
      <c r="AQ94" s="39">
        <v>0</v>
      </c>
      <c r="AR94" s="52">
        <v>-560.31877204540945</v>
      </c>
      <c r="AS94" s="39">
        <v>10208.813653126617</v>
      </c>
      <c r="AT94" s="39">
        <v>1792</v>
      </c>
      <c r="AU94" s="54">
        <v>-8416.8136531266173</v>
      </c>
      <c r="AV94" s="39">
        <v>137.83775051620293</v>
      </c>
      <c r="AW94" s="39">
        <v>0</v>
      </c>
      <c r="AX94" s="55">
        <v>-137.83775051620293</v>
      </c>
      <c r="AY94" s="39">
        <v>196.28665419193635</v>
      </c>
      <c r="AZ94" s="39">
        <v>0</v>
      </c>
      <c r="BA94" s="35">
        <v>-196.28665419193635</v>
      </c>
      <c r="BB94" s="39">
        <v>213.70317684306562</v>
      </c>
      <c r="BC94" s="39">
        <v>0</v>
      </c>
      <c r="BD94" s="55">
        <v>-213.70317684306562</v>
      </c>
      <c r="BE94" s="39">
        <v>94.011752103766042</v>
      </c>
      <c r="BF94" s="39">
        <v>0</v>
      </c>
      <c r="BG94" s="38">
        <v>-94.011752103766042</v>
      </c>
      <c r="BH94" s="39">
        <v>65.961235315382794</v>
      </c>
      <c r="BI94" s="39">
        <v>0</v>
      </c>
      <c r="BJ94" s="55">
        <v>-65.961235315382794</v>
      </c>
      <c r="BK94" s="39">
        <v>143.43543095359502</v>
      </c>
      <c r="BL94" s="39">
        <v>0</v>
      </c>
      <c r="BM94" s="38">
        <v>-143.43543095359502</v>
      </c>
      <c r="BN94" s="39">
        <v>65.148817906898302</v>
      </c>
      <c r="BO94" s="39">
        <v>0</v>
      </c>
      <c r="BP94" s="55">
        <v>-65.148817906898302</v>
      </c>
      <c r="BQ94" s="77">
        <v>916.38481783084717</v>
      </c>
      <c r="BR94" s="40">
        <v>0</v>
      </c>
      <c r="BS94" s="55">
        <v>-916.38481783084717</v>
      </c>
      <c r="BT94" s="39">
        <v>7049.1017358049348</v>
      </c>
      <c r="BU94" s="39">
        <v>1806.392119114711</v>
      </c>
      <c r="BV94" s="52">
        <v>-5242.7096166902238</v>
      </c>
      <c r="BW94" s="39">
        <v>6792.2801346467168</v>
      </c>
      <c r="BX94" s="39">
        <v>6005.9144473432425</v>
      </c>
      <c r="BY94" s="52">
        <v>-786.36568730347426</v>
      </c>
      <c r="BZ94" s="39">
        <v>1255.1107704746041</v>
      </c>
      <c r="CA94" s="39">
        <v>6008.974443091899</v>
      </c>
      <c r="CB94" s="52">
        <v>4753.8636726172954</v>
      </c>
      <c r="CC94" s="39">
        <v>202.3631864871287</v>
      </c>
      <c r="CD94" s="39">
        <v>199.64583005775273</v>
      </c>
      <c r="CE94" s="52">
        <v>-2.7173564293759682</v>
      </c>
      <c r="CF94" s="39">
        <v>24.91213470012001</v>
      </c>
      <c r="CG94" s="39">
        <v>0</v>
      </c>
      <c r="CH94" s="52">
        <v>-24.91213470012001</v>
      </c>
      <c r="CI94" s="39">
        <v>2508.1483737437461</v>
      </c>
      <c r="CJ94" s="39">
        <v>3002.8039458761923</v>
      </c>
      <c r="CK94" s="52">
        <v>494.6555721324462</v>
      </c>
      <c r="CL94" s="39">
        <v>1297.7484122853211</v>
      </c>
      <c r="CM94" s="39">
        <v>1842.4564964996855</v>
      </c>
      <c r="CN94" s="52">
        <v>544.70808421436436</v>
      </c>
      <c r="CO94" s="39">
        <v>3805.8967860290672</v>
      </c>
      <c r="CP94" s="40">
        <v>4845.2604423758776</v>
      </c>
      <c r="CQ94" s="52">
        <v>1039.3636563468103</v>
      </c>
      <c r="CR94" s="72">
        <v>47806.015506098462</v>
      </c>
      <c r="CS94" s="5">
        <v>35950.601502592261</v>
      </c>
      <c r="CT94" s="52">
        <v>-11855.414003506201</v>
      </c>
      <c r="CU94" s="77">
        <v>57367.218607318151</v>
      </c>
      <c r="CV94" s="65">
        <v>43140.721803110711</v>
      </c>
      <c r="CW94" s="35">
        <v>-14226.49680420744</v>
      </c>
      <c r="CX94" s="39">
        <v>1434.1804651829541</v>
      </c>
      <c r="CY94" s="39">
        <v>15660.677269390384</v>
      </c>
      <c r="CZ94" s="52">
        <v>14226.496804207431</v>
      </c>
      <c r="DA94" s="150">
        <v>56970.487285172276</v>
      </c>
      <c r="DB94" s="2">
        <v>1</v>
      </c>
      <c r="DC94" s="713">
        <v>81503.38</v>
      </c>
      <c r="DD94" s="714">
        <v>310.36</v>
      </c>
      <c r="DE94" s="715">
        <v>52413.041295910523</v>
      </c>
      <c r="DF94" s="716">
        <v>-8.3216106901318199E-4</v>
      </c>
      <c r="DG94" s="717">
        <v>46523.255263857915</v>
      </c>
      <c r="DH94" s="718">
        <v>283201.1244905694</v>
      </c>
      <c r="DI94" s="718">
        <v>705616.7888700132</v>
      </c>
      <c r="DJ94" s="693">
        <v>600012.87277515221</v>
      </c>
      <c r="DK94" s="724"/>
      <c r="DL94" s="5"/>
      <c r="DM94" s="306">
        <v>6.0277309476763064</v>
      </c>
      <c r="DN94" s="306">
        <v>8.0145246455458583</v>
      </c>
      <c r="DO94" s="306">
        <v>4.9030147260832395</v>
      </c>
      <c r="DP94" s="719">
        <v>29090.338704089481</v>
      </c>
      <c r="DQ94" s="720">
        <v>310.36083216106903</v>
      </c>
      <c r="DR94" s="650">
        <v>29400.699536250551</v>
      </c>
      <c r="DS94" s="94">
        <v>29400.699536250551</v>
      </c>
      <c r="DT94" s="719">
        <v>29089.68</v>
      </c>
      <c r="DU94" s="725">
        <v>310.36</v>
      </c>
      <c r="DV94" s="93">
        <v>29400.04</v>
      </c>
      <c r="DW94" s="95">
        <v>29544.117582768846</v>
      </c>
      <c r="DX94" s="28">
        <v>-144.07758276884488</v>
      </c>
      <c r="EA94" s="5">
        <v>13350.238165148958</v>
      </c>
      <c r="EB94" s="5">
        <v>2150.4</v>
      </c>
      <c r="EE94" s="722">
        <v>122505.76383751941</v>
      </c>
      <c r="EG94" s="42" t="s">
        <v>356</v>
      </c>
    </row>
    <row r="95" spans="1:137" x14ac:dyDescent="0.3">
      <c r="A95" s="325">
        <v>150000628</v>
      </c>
      <c r="B95" s="41" t="s">
        <v>560</v>
      </c>
      <c r="C95" s="42" t="s">
        <v>357</v>
      </c>
      <c r="D95" s="27">
        <v>9</v>
      </c>
      <c r="E95" s="709">
        <v>4652.96</v>
      </c>
      <c r="F95" s="723">
        <v>4509.26</v>
      </c>
      <c r="G95" s="28">
        <v>368.4</v>
      </c>
      <c r="H95" s="651">
        <v>143.69999999999999</v>
      </c>
      <c r="I95" s="39">
        <v>2620.0810761823745</v>
      </c>
      <c r="J95" s="39">
        <v>1961.3578739332047</v>
      </c>
      <c r="K95" s="52">
        <v>-658.72320224916984</v>
      </c>
      <c r="L95" s="39">
        <v>403.26262802571125</v>
      </c>
      <c r="M95" s="39">
        <v>210.52149157505099</v>
      </c>
      <c r="N95" s="52">
        <v>-192.74113645066026</v>
      </c>
      <c r="O95" s="39">
        <v>1217.44</v>
      </c>
      <c r="P95" s="39">
        <v>1217.44</v>
      </c>
      <c r="Q95" s="52">
        <v>0</v>
      </c>
      <c r="R95" s="39">
        <v>235.52</v>
      </c>
      <c r="S95" s="39">
        <v>235.52</v>
      </c>
      <c r="T95" s="52">
        <v>0</v>
      </c>
      <c r="U95" s="39">
        <v>130.00964065633656</v>
      </c>
      <c r="V95" s="39">
        <v>23.524434499251157</v>
      </c>
      <c r="W95" s="52">
        <v>-106.4852061570854</v>
      </c>
      <c r="X95" s="39">
        <v>1098.0597491529893</v>
      </c>
      <c r="Y95" s="39">
        <v>707.72545112371733</v>
      </c>
      <c r="Z95" s="52">
        <v>-390.33429802927196</v>
      </c>
      <c r="AA95" s="39">
        <v>0</v>
      </c>
      <c r="AB95" s="39">
        <v>0</v>
      </c>
      <c r="AC95" s="52">
        <v>0</v>
      </c>
      <c r="AD95" s="39">
        <v>3315.8788484561665</v>
      </c>
      <c r="AE95" s="39">
        <v>2782.4081637141057</v>
      </c>
      <c r="AF95" s="35">
        <v>-533.47068474206071</v>
      </c>
      <c r="AG95" s="77">
        <v>9020.2519424735783</v>
      </c>
      <c r="AH95" s="53">
        <v>7138.4974148453293</v>
      </c>
      <c r="AI95" s="52">
        <v>-1881.754527628249</v>
      </c>
      <c r="AJ95" s="39">
        <v>6913.0950965152351</v>
      </c>
      <c r="AK95" s="39">
        <v>6820.2432671123333</v>
      </c>
      <c r="AL95" s="52">
        <v>-92.851829402901785</v>
      </c>
      <c r="AM95" s="39">
        <v>0</v>
      </c>
      <c r="AN95" s="39">
        <v>0</v>
      </c>
      <c r="AO95" s="52">
        <v>0</v>
      </c>
      <c r="AP95" s="39">
        <v>552.42695835462905</v>
      </c>
      <c r="AQ95" s="39">
        <v>3080.264311003536</v>
      </c>
      <c r="AR95" s="52">
        <v>2527.8373526489067</v>
      </c>
      <c r="AS95" s="39">
        <v>11575.811840161983</v>
      </c>
      <c r="AT95" s="39">
        <v>5209.5413650436394</v>
      </c>
      <c r="AU95" s="54">
        <v>-6366.2704751183437</v>
      </c>
      <c r="AV95" s="39">
        <v>204.42021713237085</v>
      </c>
      <c r="AW95" s="39">
        <v>0</v>
      </c>
      <c r="AX95" s="55">
        <v>-204.42021713237085</v>
      </c>
      <c r="AY95" s="39">
        <v>247.01192583841049</v>
      </c>
      <c r="AZ95" s="39">
        <v>0</v>
      </c>
      <c r="BA95" s="35">
        <v>-247.01192583841049</v>
      </c>
      <c r="BB95" s="39">
        <v>242.23676703378922</v>
      </c>
      <c r="BC95" s="39">
        <v>0</v>
      </c>
      <c r="BD95" s="55">
        <v>-242.23676703378922</v>
      </c>
      <c r="BE95" s="39">
        <v>112.20924174271603</v>
      </c>
      <c r="BF95" s="39">
        <v>0</v>
      </c>
      <c r="BG95" s="38">
        <v>-112.20924174271603</v>
      </c>
      <c r="BH95" s="39">
        <v>65.961235315382794</v>
      </c>
      <c r="BI95" s="39">
        <v>0</v>
      </c>
      <c r="BJ95" s="55">
        <v>-65.961235315382794</v>
      </c>
      <c r="BK95" s="39">
        <v>125.7136219185039</v>
      </c>
      <c r="BL95" s="39">
        <v>0</v>
      </c>
      <c r="BM95" s="38">
        <v>-125.7136219185039</v>
      </c>
      <c r="BN95" s="39">
        <v>65.815575516818669</v>
      </c>
      <c r="BO95" s="39">
        <v>0</v>
      </c>
      <c r="BP95" s="55">
        <v>-65.815575516818669</v>
      </c>
      <c r="BQ95" s="77">
        <v>1063.3685844979921</v>
      </c>
      <c r="BR95" s="40">
        <v>0</v>
      </c>
      <c r="BS95" s="55">
        <v>-1063.3685844979921</v>
      </c>
      <c r="BT95" s="39">
        <v>9311.9724774132319</v>
      </c>
      <c r="BU95" s="39">
        <v>1737.4015272977833</v>
      </c>
      <c r="BV95" s="52">
        <v>-7574.5709501154488</v>
      </c>
      <c r="BW95" s="39">
        <v>6866.0125003594403</v>
      </c>
      <c r="BX95" s="39">
        <v>7412.2089587854525</v>
      </c>
      <c r="BY95" s="52">
        <v>546.19645842601221</v>
      </c>
      <c r="BZ95" s="39">
        <v>995.43268003158312</v>
      </c>
      <c r="CA95" s="39">
        <v>8179.7306716739486</v>
      </c>
      <c r="CB95" s="52">
        <v>7184.2979916423656</v>
      </c>
      <c r="CC95" s="39">
        <v>174.86179413749713</v>
      </c>
      <c r="CD95" s="39">
        <v>172.51372960659012</v>
      </c>
      <c r="CE95" s="52">
        <v>-2.3480645309070098</v>
      </c>
      <c r="CF95" s="39">
        <v>21.526546626775215</v>
      </c>
      <c r="CG95" s="39">
        <v>0</v>
      </c>
      <c r="CH95" s="52">
        <v>-21.526546626775215</v>
      </c>
      <c r="CI95" s="39">
        <v>1478.6844889981785</v>
      </c>
      <c r="CJ95" s="39">
        <v>2460.001144505808</v>
      </c>
      <c r="CK95" s="52">
        <v>981.31665550762955</v>
      </c>
      <c r="CL95" s="39">
        <v>2214.9071459677357</v>
      </c>
      <c r="CM95" s="39">
        <v>3690.001716758713</v>
      </c>
      <c r="CN95" s="52">
        <v>1475.0945707909773</v>
      </c>
      <c r="CO95" s="39">
        <v>3693.5916349659142</v>
      </c>
      <c r="CP95" s="40">
        <v>6150.002861264521</v>
      </c>
      <c r="CQ95" s="52">
        <v>2456.4112262986068</v>
      </c>
      <c r="CR95" s="72">
        <v>50188.352055537864</v>
      </c>
      <c r="CS95" s="5">
        <v>45900.404106633134</v>
      </c>
      <c r="CT95" s="52">
        <v>-4287.9479489047299</v>
      </c>
      <c r="CU95" s="77">
        <v>60226.022466645431</v>
      </c>
      <c r="CV95" s="65">
        <v>55080.484927959762</v>
      </c>
      <c r="CW95" s="35">
        <v>-5145.5375386856686</v>
      </c>
      <c r="CX95" s="39">
        <v>903.39033699968138</v>
      </c>
      <c r="CY95" s="39">
        <v>6048.9278756853564</v>
      </c>
      <c r="CZ95" s="52">
        <v>5145.5375386856749</v>
      </c>
      <c r="DA95" s="150">
        <v>-3227.69307615664</v>
      </c>
      <c r="DB95" s="2">
        <v>1</v>
      </c>
      <c r="DC95" s="713">
        <v>52778.25</v>
      </c>
      <c r="DD95" s="714">
        <v>643</v>
      </c>
      <c r="DE95" s="715">
        <v>22856.673842053831</v>
      </c>
      <c r="DF95" s="716">
        <v>-0.13024387639495671</v>
      </c>
      <c r="DG95" s="717">
        <v>-22299.040364477587</v>
      </c>
      <c r="DH95" s="718">
        <v>299886.87938890379</v>
      </c>
      <c r="DI95" s="718">
        <v>733552.95364374132</v>
      </c>
      <c r="DJ95" s="693">
        <v>625136.43508003186</v>
      </c>
      <c r="DK95" s="724"/>
      <c r="DL95" s="5"/>
      <c r="DM95" s="306">
        <v>5.4027984175394712</v>
      </c>
      <c r="DN95" s="306">
        <v>6.7452619071701587</v>
      </c>
      <c r="DO95" s="306">
        <v>4.4755062204342035</v>
      </c>
      <c r="DP95" s="719">
        <v>29921.576157946169</v>
      </c>
      <c r="DQ95" s="720">
        <v>643.13024387639496</v>
      </c>
      <c r="DR95" s="650">
        <v>30564.706401822565</v>
      </c>
      <c r="DS95" s="94">
        <v>30564.70640182255</v>
      </c>
      <c r="DT95" s="719">
        <v>29922.85</v>
      </c>
      <c r="DU95" s="725">
        <v>643.13</v>
      </c>
      <c r="DV95" s="93">
        <v>30565.98</v>
      </c>
      <c r="DW95" s="95">
        <v>30655.045435522527</v>
      </c>
      <c r="DX95" s="28">
        <v>-89.065435522526968</v>
      </c>
      <c r="EA95" s="5">
        <v>15167.016509591969</v>
      </c>
      <c r="EB95" s="5">
        <v>6251.4496380523669</v>
      </c>
      <c r="EE95" s="722">
        <v>138909.74208194378</v>
      </c>
      <c r="EG95" s="42" t="s">
        <v>357</v>
      </c>
    </row>
    <row r="96" spans="1:137" x14ac:dyDescent="0.3">
      <c r="A96" s="325">
        <v>150000625</v>
      </c>
      <c r="B96" s="41" t="s">
        <v>561</v>
      </c>
      <c r="C96" s="42" t="s">
        <v>416</v>
      </c>
      <c r="D96" s="27">
        <v>10</v>
      </c>
      <c r="E96" s="709">
        <v>4850.6500000000005</v>
      </c>
      <c r="F96" s="723">
        <v>4786.05</v>
      </c>
      <c r="G96" s="28">
        <v>340.9</v>
      </c>
      <c r="H96" s="651">
        <v>64.599999999999994</v>
      </c>
      <c r="I96" s="39">
        <v>2857.7819032408252</v>
      </c>
      <c r="J96" s="39">
        <v>2138.9040430665877</v>
      </c>
      <c r="K96" s="52">
        <v>-718.87786017423741</v>
      </c>
      <c r="L96" s="39">
        <v>440.94085064255063</v>
      </c>
      <c r="M96" s="39">
        <v>230.19110384890922</v>
      </c>
      <c r="N96" s="52">
        <v>-210.74974679364141</v>
      </c>
      <c r="O96" s="39">
        <v>1312.32</v>
      </c>
      <c r="P96" s="39">
        <v>1312.32</v>
      </c>
      <c r="Q96" s="52">
        <v>0</v>
      </c>
      <c r="R96" s="39">
        <v>252.12</v>
      </c>
      <c r="S96" s="39">
        <v>252.12</v>
      </c>
      <c r="T96" s="52">
        <v>0</v>
      </c>
      <c r="U96" s="39">
        <v>138.88381114641354</v>
      </c>
      <c r="V96" s="39">
        <v>55.224544984820191</v>
      </c>
      <c r="W96" s="52">
        <v>-83.659266161593337</v>
      </c>
      <c r="X96" s="39">
        <v>1203.003071162668</v>
      </c>
      <c r="Y96" s="39">
        <v>776.71849987821611</v>
      </c>
      <c r="Z96" s="52">
        <v>-426.28457128445189</v>
      </c>
      <c r="AA96" s="39">
        <v>0</v>
      </c>
      <c r="AB96" s="39">
        <v>0</v>
      </c>
      <c r="AC96" s="52">
        <v>0</v>
      </c>
      <c r="AD96" s="39">
        <v>3456.7603710893509</v>
      </c>
      <c r="AE96" s="39">
        <v>2900.6241530810125</v>
      </c>
      <c r="AF96" s="35">
        <v>-556.13621800833835</v>
      </c>
      <c r="AG96" s="77">
        <v>9661.8100072818088</v>
      </c>
      <c r="AH96" s="53">
        <v>7666.1023448595461</v>
      </c>
      <c r="AI96" s="52">
        <v>-1995.7076624222627</v>
      </c>
      <c r="AJ96" s="39">
        <v>7106.4203922739471</v>
      </c>
      <c r="AK96" s="39">
        <v>6449.8484260672758</v>
      </c>
      <c r="AL96" s="52">
        <v>-656.57196620667128</v>
      </c>
      <c r="AM96" s="39">
        <v>0</v>
      </c>
      <c r="AN96" s="39">
        <v>129.91419040372483</v>
      </c>
      <c r="AO96" s="52">
        <v>129.91419040372483</v>
      </c>
      <c r="AP96" s="39">
        <v>623.45328157165284</v>
      </c>
      <c r="AQ96" s="39">
        <v>0</v>
      </c>
      <c r="AR96" s="52">
        <v>-623.45328157165284</v>
      </c>
      <c r="AS96" s="39">
        <v>11968.06806260582</v>
      </c>
      <c r="AT96" s="39">
        <v>18.971805776497597</v>
      </c>
      <c r="AU96" s="54">
        <v>-11949.096256829323</v>
      </c>
      <c r="AV96" s="39">
        <v>224.64054342263609</v>
      </c>
      <c r="AW96" s="39">
        <v>0</v>
      </c>
      <c r="AX96" s="55">
        <v>-224.64054342263609</v>
      </c>
      <c r="AY96" s="39">
        <v>267.27344362970138</v>
      </c>
      <c r="AZ96" s="39">
        <v>0</v>
      </c>
      <c r="BA96" s="35">
        <v>-267.27344362970138</v>
      </c>
      <c r="BB96" s="39">
        <v>249.74705045300354</v>
      </c>
      <c r="BC96" s="39">
        <v>0</v>
      </c>
      <c r="BD96" s="55">
        <v>-249.74705045300354</v>
      </c>
      <c r="BE96" s="39">
        <v>116.76510375432694</v>
      </c>
      <c r="BF96" s="39">
        <v>0</v>
      </c>
      <c r="BG96" s="38">
        <v>-116.76510375432694</v>
      </c>
      <c r="BH96" s="39">
        <v>70.464078559636903</v>
      </c>
      <c r="BI96" s="39">
        <v>0</v>
      </c>
      <c r="BJ96" s="55">
        <v>-70.464078559636903</v>
      </c>
      <c r="BK96" s="39">
        <v>129.27437902784081</v>
      </c>
      <c r="BL96" s="39">
        <v>0</v>
      </c>
      <c r="BM96" s="38">
        <v>-129.27437902784081</v>
      </c>
      <c r="BN96" s="39">
        <v>53.862315927238761</v>
      </c>
      <c r="BO96" s="39">
        <v>0</v>
      </c>
      <c r="BP96" s="55">
        <v>-53.862315927238761</v>
      </c>
      <c r="BQ96" s="77">
        <v>1112.0269147743843</v>
      </c>
      <c r="BR96" s="40">
        <v>0</v>
      </c>
      <c r="BS96" s="55">
        <v>-1112.0269147743843</v>
      </c>
      <c r="BT96" s="39">
        <v>12613.798963913558</v>
      </c>
      <c r="BU96" s="39">
        <v>2441.0436152425282</v>
      </c>
      <c r="BV96" s="52">
        <v>-10172.755348671029</v>
      </c>
      <c r="BW96" s="39">
        <v>7645.8973383343236</v>
      </c>
      <c r="BX96" s="39">
        <v>6854.5165572073656</v>
      </c>
      <c r="BY96" s="52">
        <v>-791.38078112695803</v>
      </c>
      <c r="BZ96" s="39">
        <v>1731.1872696201444</v>
      </c>
      <c r="CA96" s="39">
        <v>11339.091726064624</v>
      </c>
      <c r="CB96" s="52">
        <v>9607.9044564444794</v>
      </c>
      <c r="CC96" s="39">
        <v>128.83005186244532</v>
      </c>
      <c r="CD96" s="39">
        <v>127.10010692630186</v>
      </c>
      <c r="CE96" s="52">
        <v>-1.729944936143454</v>
      </c>
      <c r="CF96" s="39">
        <v>15.859760172460122</v>
      </c>
      <c r="CG96" s="39">
        <v>0</v>
      </c>
      <c r="CH96" s="52">
        <v>-15.859760172460122</v>
      </c>
      <c r="CI96" s="39">
        <v>2801.3896015197561</v>
      </c>
      <c r="CJ96" s="39">
        <v>3794.646350188902</v>
      </c>
      <c r="CK96" s="52">
        <v>993.25674866914596</v>
      </c>
      <c r="CL96" s="39">
        <v>1896.7092179554697</v>
      </c>
      <c r="CM96" s="39">
        <v>2541.1668863377245</v>
      </c>
      <c r="CN96" s="52">
        <v>644.45766838225472</v>
      </c>
      <c r="CO96" s="39">
        <v>4698.0988194752263</v>
      </c>
      <c r="CP96" s="40">
        <v>6335.8132365266265</v>
      </c>
      <c r="CQ96" s="52">
        <v>1637.7144170514002</v>
      </c>
      <c r="CR96" s="72">
        <v>57305.45086188578</v>
      </c>
      <c r="CS96" s="5">
        <v>41362.402009074489</v>
      </c>
      <c r="CT96" s="52">
        <v>-15943.048852811291</v>
      </c>
      <c r="CU96" s="77">
        <v>68766.541034262933</v>
      </c>
      <c r="CV96" s="65">
        <v>49634.882410889382</v>
      </c>
      <c r="CW96" s="35">
        <v>-19131.658623373551</v>
      </c>
      <c r="CX96" s="39">
        <v>1031.498115513944</v>
      </c>
      <c r="CY96" s="39">
        <v>20163.156738887483</v>
      </c>
      <c r="CZ96" s="52">
        <v>19131.65862337354</v>
      </c>
      <c r="DA96" s="150">
        <v>5397.642556470546</v>
      </c>
      <c r="DB96" s="2">
        <v>1</v>
      </c>
      <c r="DC96" s="713">
        <v>52404.06</v>
      </c>
      <c r="DD96" s="714">
        <v>0</v>
      </c>
      <c r="DE96" s="715">
        <v>17834.786054201184</v>
      </c>
      <c r="DF96" s="716">
        <v>-329.74562908962042</v>
      </c>
      <c r="DG96" s="717">
        <v>3769.1082019246096</v>
      </c>
      <c r="DH96" s="718">
        <v>342314.07734631479</v>
      </c>
      <c r="DI96" s="718">
        <v>837576.46979732253</v>
      </c>
      <c r="DJ96" s="693">
        <v>713760.87168457056</v>
      </c>
      <c r="DK96" s="724"/>
      <c r="DL96" s="5"/>
      <c r="DM96" s="306">
        <v>6.0773222204467352</v>
      </c>
      <c r="DN96" s="306">
        <v>7.3107802438272094</v>
      </c>
      <c r="DO96" s="306">
        <v>5.1044215029353008</v>
      </c>
      <c r="DP96" s="719">
        <v>34569.273945798814</v>
      </c>
      <c r="DQ96" s="720">
        <v>329.74562908962042</v>
      </c>
      <c r="DR96" s="650">
        <v>34899.019574888436</v>
      </c>
      <c r="DS96" s="94">
        <v>34899.019574888436</v>
      </c>
      <c r="DT96" s="719">
        <v>34569.339999999997</v>
      </c>
      <c r="DU96" s="725">
        <v>329.74</v>
      </c>
      <c r="DV96" s="93">
        <v>34899.079999999994</v>
      </c>
      <c r="DW96" s="95">
        <v>35002.169386439826</v>
      </c>
      <c r="DX96" s="28">
        <v>-103.08938643983129</v>
      </c>
      <c r="EA96" s="5">
        <v>15696.113972856245</v>
      </c>
      <c r="EB96" s="5">
        <v>22.766166931797116</v>
      </c>
      <c r="EE96" s="722">
        <v>143616.81675126986</v>
      </c>
      <c r="EG96" s="42" t="s">
        <v>416</v>
      </c>
    </row>
    <row r="97" spans="1:137" x14ac:dyDescent="0.3">
      <c r="A97" s="325">
        <v>150000629</v>
      </c>
      <c r="B97" s="41" t="s">
        <v>562</v>
      </c>
      <c r="C97" s="42" t="s">
        <v>358</v>
      </c>
      <c r="D97" s="27">
        <v>9</v>
      </c>
      <c r="E97" s="709">
        <v>9553.74</v>
      </c>
      <c r="F97" s="723">
        <v>9553.74</v>
      </c>
      <c r="G97" s="28">
        <v>1060.24</v>
      </c>
      <c r="H97" s="651">
        <v>0</v>
      </c>
      <c r="I97" s="39">
        <v>4023.6856361617752</v>
      </c>
      <c r="J97" s="39">
        <v>3016.6390069637946</v>
      </c>
      <c r="K97" s="52">
        <v>-1007.0466291979806</v>
      </c>
      <c r="L97" s="39">
        <v>667.14870156790357</v>
      </c>
      <c r="M97" s="39">
        <v>348.2860141894692</v>
      </c>
      <c r="N97" s="52">
        <v>-318.86268737843437</v>
      </c>
      <c r="O97" s="39">
        <v>2264.6</v>
      </c>
      <c r="P97" s="39">
        <v>2264.6</v>
      </c>
      <c r="Q97" s="52">
        <v>0</v>
      </c>
      <c r="R97" s="39">
        <v>492.76</v>
      </c>
      <c r="S97" s="39">
        <v>492.76</v>
      </c>
      <c r="T97" s="52">
        <v>0</v>
      </c>
      <c r="U97" s="39">
        <v>768.32239862610584</v>
      </c>
      <c r="V97" s="39">
        <v>161.2496517929587</v>
      </c>
      <c r="W97" s="52">
        <v>-607.07274683314711</v>
      </c>
      <c r="X97" s="39">
        <v>3258.6646951280009</v>
      </c>
      <c r="Y97" s="39">
        <v>2271.9408931357011</v>
      </c>
      <c r="Z97" s="52">
        <v>-986.72380199229974</v>
      </c>
      <c r="AA97" s="39">
        <v>0</v>
      </c>
      <c r="AB97" s="39">
        <v>0</v>
      </c>
      <c r="AC97" s="52">
        <v>0</v>
      </c>
      <c r="AD97" s="39">
        <v>6808.3637920054362</v>
      </c>
      <c r="AE97" s="39">
        <v>5713.0093897222414</v>
      </c>
      <c r="AF97" s="35">
        <v>-1095.3544022831948</v>
      </c>
      <c r="AG97" s="77">
        <v>18283.545223489222</v>
      </c>
      <c r="AH97" s="53">
        <v>14268.484955804166</v>
      </c>
      <c r="AI97" s="52">
        <v>-4015.0602676850558</v>
      </c>
      <c r="AJ97" s="39">
        <v>13826.19019303047</v>
      </c>
      <c r="AK97" s="39">
        <v>13640.508517777131</v>
      </c>
      <c r="AL97" s="52">
        <v>-185.68167525333956</v>
      </c>
      <c r="AM97" s="39">
        <v>0</v>
      </c>
      <c r="AN97" s="39">
        <v>0</v>
      </c>
      <c r="AO97" s="52">
        <v>0</v>
      </c>
      <c r="AP97" s="39">
        <v>1207.4474946894034</v>
      </c>
      <c r="AQ97" s="39">
        <v>7094.7408465156632</v>
      </c>
      <c r="AR97" s="52">
        <v>5887.2933518262598</v>
      </c>
      <c r="AS97" s="39">
        <v>30389.077925700603</v>
      </c>
      <c r="AT97" s="39">
        <v>1100.9718057764976</v>
      </c>
      <c r="AU97" s="54">
        <v>-29288.106119924105</v>
      </c>
      <c r="AV97" s="39">
        <v>323.33608540472653</v>
      </c>
      <c r="AW97" s="39">
        <v>0</v>
      </c>
      <c r="AX97" s="55">
        <v>-323.33608540472653</v>
      </c>
      <c r="AY97" s="39">
        <v>445.23247334072875</v>
      </c>
      <c r="AZ97" s="39">
        <v>2336</v>
      </c>
      <c r="BA97" s="35">
        <v>1890.7675266592712</v>
      </c>
      <c r="BB97" s="39">
        <v>707.69677335411563</v>
      </c>
      <c r="BC97" s="39">
        <v>0</v>
      </c>
      <c r="BD97" s="55">
        <v>-707.69677335411563</v>
      </c>
      <c r="BE97" s="39">
        <v>259.54606438313925</v>
      </c>
      <c r="BF97" s="39">
        <v>0</v>
      </c>
      <c r="BG97" s="38">
        <v>-259.54606438313925</v>
      </c>
      <c r="BH97" s="39">
        <v>389.75539462049437</v>
      </c>
      <c r="BI97" s="39">
        <v>0</v>
      </c>
      <c r="BJ97" s="55">
        <v>-389.75539462049437</v>
      </c>
      <c r="BK97" s="39">
        <v>305.88578314824531</v>
      </c>
      <c r="BL97" s="39">
        <v>0</v>
      </c>
      <c r="BM97" s="38">
        <v>-305.88578314824531</v>
      </c>
      <c r="BN97" s="39">
        <v>186.43229164545758</v>
      </c>
      <c r="BO97" s="39">
        <v>0</v>
      </c>
      <c r="BP97" s="55">
        <v>-186.43229164545758</v>
      </c>
      <c r="BQ97" s="77">
        <v>2617.8848658969073</v>
      </c>
      <c r="BR97" s="40">
        <v>2336</v>
      </c>
      <c r="BS97" s="55">
        <v>-281.88486589690729</v>
      </c>
      <c r="BT97" s="39">
        <v>22681.584756530261</v>
      </c>
      <c r="BU97" s="39">
        <v>5752.0856685411081</v>
      </c>
      <c r="BV97" s="52">
        <v>-16929.499087989152</v>
      </c>
      <c r="BW97" s="39">
        <v>16335.184019151573</v>
      </c>
      <c r="BX97" s="39">
        <v>18633.648096864585</v>
      </c>
      <c r="BY97" s="52">
        <v>2298.4640777130116</v>
      </c>
      <c r="BZ97" s="39">
        <v>5193.5618088604333</v>
      </c>
      <c r="CA97" s="39">
        <v>23435.911952454604</v>
      </c>
      <c r="CB97" s="52">
        <v>18242.350143594173</v>
      </c>
      <c r="CC97" s="39">
        <v>322.56535055361115</v>
      </c>
      <c r="CD97" s="39">
        <v>318.23390546996438</v>
      </c>
      <c r="CE97" s="52">
        <v>-4.3314450836467699</v>
      </c>
      <c r="CF97" s="39">
        <v>39.70974959466804</v>
      </c>
      <c r="CG97" s="39">
        <v>0</v>
      </c>
      <c r="CH97" s="52">
        <v>-39.70974959466804</v>
      </c>
      <c r="CI97" s="39">
        <v>3013.5215535279335</v>
      </c>
      <c r="CJ97" s="39">
        <v>4856.3759179728822</v>
      </c>
      <c r="CK97" s="52">
        <v>1842.8543644449487</v>
      </c>
      <c r="CL97" s="39">
        <v>4517.1627427623689</v>
      </c>
      <c r="CM97" s="39">
        <v>7282.2563348758922</v>
      </c>
      <c r="CN97" s="52">
        <v>2765.0935921135233</v>
      </c>
      <c r="CO97" s="39">
        <v>7530.6842962903029</v>
      </c>
      <c r="CP97" s="40">
        <v>12138.632252848774</v>
      </c>
      <c r="CQ97" s="52">
        <v>4607.9479565584716</v>
      </c>
      <c r="CR97" s="72">
        <v>118427.43568378747</v>
      </c>
      <c r="CS97" s="5">
        <v>98719.218002052497</v>
      </c>
      <c r="CT97" s="52">
        <v>-19708.217681734968</v>
      </c>
      <c r="CU97" s="77">
        <v>142112.92282054495</v>
      </c>
      <c r="CV97" s="65">
        <v>118463.06160246299</v>
      </c>
      <c r="CW97" s="35">
        <v>-23649.861218081962</v>
      </c>
      <c r="CX97" s="39">
        <v>2131.6938423081742</v>
      </c>
      <c r="CY97" s="39">
        <v>25781.555060390157</v>
      </c>
      <c r="CZ97" s="52">
        <v>23649.861218081984</v>
      </c>
      <c r="DA97" s="150">
        <v>-4226.6048273889028</v>
      </c>
      <c r="DB97" s="2">
        <v>1</v>
      </c>
      <c r="DC97" s="713">
        <v>186382.67</v>
      </c>
      <c r="DD97" s="714"/>
      <c r="DE97" s="715">
        <v>114260.36166857345</v>
      </c>
      <c r="DF97" s="716">
        <v>0</v>
      </c>
      <c r="DG97" s="717">
        <v>154568.33927222478</v>
      </c>
      <c r="DH97" s="718">
        <v>695418.75557821337</v>
      </c>
      <c r="DI97" s="718">
        <v>1730935.3999542375</v>
      </c>
      <c r="DJ97" s="693">
        <v>1472056.2388602314</v>
      </c>
      <c r="DK97" s="724"/>
      <c r="DL97" s="5"/>
      <c r="DM97" s="306">
        <v>6.3798267896686252</v>
      </c>
      <c r="DN97" s="306">
        <v>7.6950798582384534</v>
      </c>
      <c r="DO97" s="306">
        <v>5.3385458810754143</v>
      </c>
      <c r="DP97" s="719">
        <v>72122.308331426568</v>
      </c>
      <c r="DQ97" s="720">
        <v>0</v>
      </c>
      <c r="DR97" s="650">
        <v>72122.308331426568</v>
      </c>
      <c r="DS97" s="94">
        <v>72122.308331426568</v>
      </c>
      <c r="DT97" s="719">
        <v>72130.83</v>
      </c>
      <c r="DU97" s="721"/>
      <c r="DV97" s="93">
        <v>72130.83</v>
      </c>
      <c r="DW97" s="95">
        <v>72335.477715657384</v>
      </c>
      <c r="DX97" s="28">
        <v>-204.64771565738192</v>
      </c>
      <c r="EA97" s="5">
        <v>39608.355349917016</v>
      </c>
      <c r="EB97" s="5">
        <v>4124.3661669317971</v>
      </c>
      <c r="EE97" s="722">
        <v>364668.93510840723</v>
      </c>
      <c r="EG97" s="42" t="s">
        <v>358</v>
      </c>
    </row>
    <row r="98" spans="1:137" x14ac:dyDescent="0.3">
      <c r="A98" s="325">
        <v>150000626</v>
      </c>
      <c r="B98" s="41" t="s">
        <v>563</v>
      </c>
      <c r="C98" s="42" t="s">
        <v>359</v>
      </c>
      <c r="D98" s="27">
        <v>9</v>
      </c>
      <c r="E98" s="709">
        <v>7507.43</v>
      </c>
      <c r="F98" s="723">
        <v>7507.43</v>
      </c>
      <c r="G98" s="28">
        <v>772.75</v>
      </c>
      <c r="H98" s="651">
        <v>0</v>
      </c>
      <c r="I98" s="39">
        <v>3271.0078238234873</v>
      </c>
      <c r="J98" s="39">
        <v>2448.3216673541142</v>
      </c>
      <c r="K98" s="52">
        <v>-822.68615646937315</v>
      </c>
      <c r="L98" s="39">
        <v>657.63704750276531</v>
      </c>
      <c r="M98" s="39">
        <v>343.31711998939772</v>
      </c>
      <c r="N98" s="52">
        <v>-314.31992751336759</v>
      </c>
      <c r="O98" s="39">
        <v>2083.2800000000002</v>
      </c>
      <c r="P98" s="39">
        <v>2083.2800000000002</v>
      </c>
      <c r="Q98" s="52">
        <v>0</v>
      </c>
      <c r="R98" s="39">
        <v>387.22</v>
      </c>
      <c r="S98" s="39">
        <v>387.22</v>
      </c>
      <c r="T98" s="52">
        <v>0</v>
      </c>
      <c r="U98" s="39">
        <v>384.16124015837795</v>
      </c>
      <c r="V98" s="39">
        <v>99.606062479615218</v>
      </c>
      <c r="W98" s="52">
        <v>-284.55517767876273</v>
      </c>
      <c r="X98" s="39">
        <v>2922.4912750502126</v>
      </c>
      <c r="Y98" s="39">
        <v>2025.9186276840753</v>
      </c>
      <c r="Z98" s="52">
        <v>-896.57264736613729</v>
      </c>
      <c r="AA98" s="39">
        <v>0</v>
      </c>
      <c r="AB98" s="39">
        <v>0</v>
      </c>
      <c r="AC98" s="52">
        <v>0</v>
      </c>
      <c r="AD98" s="39">
        <v>5350.0843212203154</v>
      </c>
      <c r="AE98" s="39">
        <v>4489.3432396823073</v>
      </c>
      <c r="AF98" s="35">
        <v>-860.74108153800807</v>
      </c>
      <c r="AG98" s="77">
        <v>15055.881707755158</v>
      </c>
      <c r="AH98" s="53">
        <v>11877.00671718951</v>
      </c>
      <c r="AI98" s="52">
        <v>-3178.8749905656477</v>
      </c>
      <c r="AJ98" s="39">
        <v>9928.131878271799</v>
      </c>
      <c r="AK98" s="39">
        <v>9794.7718003690661</v>
      </c>
      <c r="AL98" s="52">
        <v>-133.36007790273288</v>
      </c>
      <c r="AM98" s="39">
        <v>1052.2814392472874</v>
      </c>
      <c r="AN98" s="39">
        <v>389.69856233908649</v>
      </c>
      <c r="AO98" s="52">
        <v>-662.58287690820089</v>
      </c>
      <c r="AP98" s="39">
        <v>1128.5293577815992</v>
      </c>
      <c r="AQ98" s="39">
        <v>0</v>
      </c>
      <c r="AR98" s="52">
        <v>-1128.5293577815992</v>
      </c>
      <c r="AS98" s="39">
        <v>20843.791893704052</v>
      </c>
      <c r="AT98" s="39">
        <v>3896.0226473403914</v>
      </c>
      <c r="AU98" s="54">
        <v>-16947.769246363659</v>
      </c>
      <c r="AV98" s="39">
        <v>269.67725713302559</v>
      </c>
      <c r="AW98" s="39">
        <v>0</v>
      </c>
      <c r="AX98" s="55">
        <v>-269.67725713302559</v>
      </c>
      <c r="AY98" s="39">
        <v>410.25288405390029</v>
      </c>
      <c r="AZ98" s="39">
        <v>5507</v>
      </c>
      <c r="BA98" s="35">
        <v>5096.7471159461002</v>
      </c>
      <c r="BB98" s="39">
        <v>461.00414588991288</v>
      </c>
      <c r="BC98" s="39">
        <v>0</v>
      </c>
      <c r="BD98" s="55">
        <v>-461.00414588991288</v>
      </c>
      <c r="BE98" s="39">
        <v>184.90845320217682</v>
      </c>
      <c r="BF98" s="39">
        <v>0</v>
      </c>
      <c r="BG98" s="38">
        <v>-184.90845320217682</v>
      </c>
      <c r="BH98" s="39">
        <v>194.88983250281842</v>
      </c>
      <c r="BI98" s="39">
        <v>0</v>
      </c>
      <c r="BJ98" s="55">
        <v>-194.88983250281842</v>
      </c>
      <c r="BK98" s="39">
        <v>320.53124901133737</v>
      </c>
      <c r="BL98" s="39">
        <v>0</v>
      </c>
      <c r="BM98" s="38">
        <v>-320.53124901133737</v>
      </c>
      <c r="BN98" s="39">
        <v>127.01222515318118</v>
      </c>
      <c r="BO98" s="39">
        <v>0</v>
      </c>
      <c r="BP98" s="55">
        <v>-127.01222515318118</v>
      </c>
      <c r="BQ98" s="77">
        <v>1968.2760469463524</v>
      </c>
      <c r="BR98" s="40">
        <v>5507</v>
      </c>
      <c r="BS98" s="55">
        <v>3538.7239530536476</v>
      </c>
      <c r="BT98" s="39">
        <v>17586.937373999514</v>
      </c>
      <c r="BU98" s="39">
        <v>2324.597048752868</v>
      </c>
      <c r="BV98" s="52">
        <v>-15262.340325246645</v>
      </c>
      <c r="BW98" s="39">
        <v>11826.962656217722</v>
      </c>
      <c r="BX98" s="39">
        <v>7738.6077590966943</v>
      </c>
      <c r="BY98" s="52">
        <v>-4088.3548971210275</v>
      </c>
      <c r="BZ98" s="39">
        <v>2163.9840870251805</v>
      </c>
      <c r="CA98" s="39">
        <v>11131.031167875699</v>
      </c>
      <c r="CB98" s="52">
        <v>8967.0470808505179</v>
      </c>
      <c r="CC98" s="39">
        <v>331.38932670857315</v>
      </c>
      <c r="CD98" s="39">
        <v>326.93939224573842</v>
      </c>
      <c r="CE98" s="52">
        <v>-4.449934462834733</v>
      </c>
      <c r="CF98" s="39">
        <v>40.796034537987225</v>
      </c>
      <c r="CG98" s="39">
        <v>0</v>
      </c>
      <c r="CH98" s="52">
        <v>-40.796034537987225</v>
      </c>
      <c r="CI98" s="39">
        <v>2080.7648821978587</v>
      </c>
      <c r="CJ98" s="39">
        <v>2280.7082228779</v>
      </c>
      <c r="CK98" s="52">
        <v>199.94334068004127</v>
      </c>
      <c r="CL98" s="39">
        <v>2345.9298222080811</v>
      </c>
      <c r="CM98" s="39">
        <v>3016.7018249981647</v>
      </c>
      <c r="CN98" s="52">
        <v>670.77200279008366</v>
      </c>
      <c r="CO98" s="39">
        <v>4426.6947044059398</v>
      </c>
      <c r="CP98" s="40">
        <v>5297.4100478760647</v>
      </c>
      <c r="CQ98" s="52">
        <v>870.71534347012494</v>
      </c>
      <c r="CR98" s="72">
        <v>86353.656506601154</v>
      </c>
      <c r="CS98" s="5">
        <v>58283.085143085118</v>
      </c>
      <c r="CT98" s="52">
        <v>-28070.571363516035</v>
      </c>
      <c r="CU98" s="77">
        <v>103624.38780792138</v>
      </c>
      <c r="CV98" s="65">
        <v>69939.702171702142</v>
      </c>
      <c r="CW98" s="35">
        <v>-33684.685636219234</v>
      </c>
      <c r="CX98" s="39">
        <v>1554.3658171188206</v>
      </c>
      <c r="CY98" s="39">
        <v>35239.051453338048</v>
      </c>
      <c r="CZ98" s="52">
        <v>33684.685636219227</v>
      </c>
      <c r="DA98" s="150">
        <v>80225.374635451153</v>
      </c>
      <c r="DB98" s="2">
        <v>1</v>
      </c>
      <c r="DC98" s="713">
        <v>144379.06</v>
      </c>
      <c r="DD98" s="714"/>
      <c r="DE98" s="715">
        <v>91789.68318747991</v>
      </c>
      <c r="DF98" s="716">
        <v>0</v>
      </c>
      <c r="DG98" s="717">
        <v>100923.6471259032</v>
      </c>
      <c r="DH98" s="718">
        <v>512973.97767538787</v>
      </c>
      <c r="DI98" s="718">
        <v>1262145.0435004823</v>
      </c>
      <c r="DJ98" s="693">
        <v>1074852.2770442087</v>
      </c>
      <c r="DK98" s="724"/>
      <c r="DL98" s="5"/>
      <c r="DM98" s="306">
        <v>5.9239491863961771</v>
      </c>
      <c r="DN98" s="306">
        <v>7.1290165351185877</v>
      </c>
      <c r="DO98" s="306">
        <v>4.9645502632445</v>
      </c>
      <c r="DP98" s="719">
        <v>52589.376812520095</v>
      </c>
      <c r="DQ98" s="720">
        <v>0</v>
      </c>
      <c r="DR98" s="650">
        <v>52589.376812520095</v>
      </c>
      <c r="DS98" s="94">
        <v>52589.376812520095</v>
      </c>
      <c r="DT98" s="719">
        <v>52479.05</v>
      </c>
      <c r="DU98" s="721"/>
      <c r="DV98" s="93">
        <v>52479.05</v>
      </c>
      <c r="DW98" s="95">
        <v>52744.813394231969</v>
      </c>
      <c r="DX98" s="28">
        <v>-265.76339423196623</v>
      </c>
      <c r="EA98" s="5">
        <v>27374.481528780485</v>
      </c>
      <c r="EB98" s="5">
        <v>11283.627176808468</v>
      </c>
      <c r="EE98" s="722">
        <v>250125.50272444863</v>
      </c>
      <c r="EG98" s="42" t="s">
        <v>359</v>
      </c>
    </row>
    <row r="99" spans="1:137" x14ac:dyDescent="0.3">
      <c r="A99" s="325">
        <v>150000603</v>
      </c>
      <c r="B99" s="41" t="s">
        <v>564</v>
      </c>
      <c r="C99" s="42" t="s">
        <v>154</v>
      </c>
      <c r="D99" s="27">
        <v>2</v>
      </c>
      <c r="E99" s="709">
        <v>506.90000000000003</v>
      </c>
      <c r="F99" s="723">
        <v>311.60000000000002</v>
      </c>
      <c r="G99" s="28"/>
      <c r="H99" s="651">
        <v>195.3</v>
      </c>
      <c r="I99" s="39">
        <v>330.06110514782131</v>
      </c>
      <c r="J99" s="39">
        <v>352.26102837233066</v>
      </c>
      <c r="K99" s="52">
        <v>22.199923224509348</v>
      </c>
      <c r="L99" s="39">
        <v>58.340708793560438</v>
      </c>
      <c r="M99" s="39">
        <v>63.390351976942526</v>
      </c>
      <c r="N99" s="52">
        <v>5.0496431833820878</v>
      </c>
      <c r="O99" s="39">
        <v>119.56</v>
      </c>
      <c r="P99" s="39">
        <v>119.56</v>
      </c>
      <c r="Q99" s="52">
        <v>0</v>
      </c>
      <c r="R99" s="39">
        <v>0</v>
      </c>
      <c r="S99" s="39">
        <v>0</v>
      </c>
      <c r="T99" s="52">
        <v>0</v>
      </c>
      <c r="U99" s="39">
        <v>0</v>
      </c>
      <c r="V99" s="39">
        <v>0</v>
      </c>
      <c r="W99" s="52">
        <v>0</v>
      </c>
      <c r="X99" s="39">
        <v>161.59822986475291</v>
      </c>
      <c r="Y99" s="39">
        <v>95.891287752919794</v>
      </c>
      <c r="Z99" s="52">
        <v>-65.706942111833115</v>
      </c>
      <c r="AA99" s="39">
        <v>0</v>
      </c>
      <c r="AB99" s="39">
        <v>0</v>
      </c>
      <c r="AC99" s="52">
        <v>0</v>
      </c>
      <c r="AD99" s="39">
        <v>361.2365006968534</v>
      </c>
      <c r="AE99" s="39">
        <v>303.11945475281971</v>
      </c>
      <c r="AF99" s="35">
        <v>-58.117045944033691</v>
      </c>
      <c r="AG99" s="77">
        <v>1030.7965445029881</v>
      </c>
      <c r="AH99" s="53">
        <v>934.22212285501269</v>
      </c>
      <c r="AI99" s="52">
        <v>-96.574421647975441</v>
      </c>
      <c r="AJ99" s="39">
        <v>0</v>
      </c>
      <c r="AK99" s="39">
        <v>0</v>
      </c>
      <c r="AL99" s="52">
        <v>0</v>
      </c>
      <c r="AM99" s="39">
        <v>0</v>
      </c>
      <c r="AN99" s="39">
        <v>0</v>
      </c>
      <c r="AO99" s="52">
        <v>0</v>
      </c>
      <c r="AP99" s="39">
        <v>118.37720536170622</v>
      </c>
      <c r="AQ99" s="39">
        <v>0</v>
      </c>
      <c r="AR99" s="52">
        <v>-118.37720536170622</v>
      </c>
      <c r="AS99" s="39">
        <v>1204.8740076873394</v>
      </c>
      <c r="AT99" s="39">
        <v>0</v>
      </c>
      <c r="AU99" s="54">
        <v>-1204.8740076873394</v>
      </c>
      <c r="AV99" s="39">
        <v>65.57164767213348</v>
      </c>
      <c r="AW99" s="39">
        <v>0</v>
      </c>
      <c r="AX99" s="55">
        <v>-65.57164767213348</v>
      </c>
      <c r="AY99" s="39">
        <v>75.166243949094962</v>
      </c>
      <c r="AZ99" s="39">
        <v>0</v>
      </c>
      <c r="BA99" s="35">
        <v>-75.166243949094962</v>
      </c>
      <c r="BB99" s="39">
        <v>45.844143371333203</v>
      </c>
      <c r="BC99" s="39">
        <v>0</v>
      </c>
      <c r="BD99" s="55">
        <v>-45.844143371333203</v>
      </c>
      <c r="BE99" s="39">
        <v>0</v>
      </c>
      <c r="BF99" s="39">
        <v>0</v>
      </c>
      <c r="BG99" s="38">
        <v>0</v>
      </c>
      <c r="BH99" s="39">
        <v>0</v>
      </c>
      <c r="BI99" s="39">
        <v>0</v>
      </c>
      <c r="BJ99" s="55">
        <v>0</v>
      </c>
      <c r="BK99" s="39">
        <v>13.268307429658046</v>
      </c>
      <c r="BL99" s="39">
        <v>0</v>
      </c>
      <c r="BM99" s="38">
        <v>-13.268307429658046</v>
      </c>
      <c r="BN99" s="39">
        <v>0</v>
      </c>
      <c r="BO99" s="39">
        <v>0</v>
      </c>
      <c r="BP99" s="55">
        <v>0</v>
      </c>
      <c r="BQ99" s="77">
        <v>199.85034242221971</v>
      </c>
      <c r="BR99" s="40">
        <v>0</v>
      </c>
      <c r="BS99" s="55">
        <v>-199.85034242221971</v>
      </c>
      <c r="BT99" s="39">
        <v>1444.4003781775982</v>
      </c>
      <c r="BU99" s="39">
        <v>284.46918130323144</v>
      </c>
      <c r="BV99" s="52">
        <v>-1159.9311968743668</v>
      </c>
      <c r="BW99" s="39">
        <v>605.00518935875584</v>
      </c>
      <c r="BX99" s="39">
        <v>461.50496710622804</v>
      </c>
      <c r="BY99" s="52">
        <v>-143.50022225252781</v>
      </c>
      <c r="BZ99" s="39">
        <v>160.4043365250414</v>
      </c>
      <c r="CA99" s="39">
        <v>1500.9220065204172</v>
      </c>
      <c r="CB99" s="52">
        <v>1340.5176699953759</v>
      </c>
      <c r="CC99" s="39">
        <v>0</v>
      </c>
      <c r="CD99" s="39">
        <v>0</v>
      </c>
      <c r="CE99" s="52">
        <v>0</v>
      </c>
      <c r="CF99" s="39">
        <v>0</v>
      </c>
      <c r="CG99" s="39">
        <v>0</v>
      </c>
      <c r="CH99" s="52">
        <v>0</v>
      </c>
      <c r="CI99" s="39">
        <v>87.348450826896624</v>
      </c>
      <c r="CJ99" s="39">
        <v>206.23788282610258</v>
      </c>
      <c r="CK99" s="52">
        <v>118.88943199920595</v>
      </c>
      <c r="CL99" s="39">
        <v>0</v>
      </c>
      <c r="CM99" s="39">
        <v>0</v>
      </c>
      <c r="CN99" s="52">
        <v>0</v>
      </c>
      <c r="CO99" s="39">
        <v>87.348450826896624</v>
      </c>
      <c r="CP99" s="40">
        <v>206.23788282610258</v>
      </c>
      <c r="CQ99" s="52">
        <v>118.88943199920595</v>
      </c>
      <c r="CR99" s="72">
        <v>4851.0564548625462</v>
      </c>
      <c r="CS99" s="5">
        <v>3387.356160610992</v>
      </c>
      <c r="CT99" s="52">
        <v>-1463.7002942515542</v>
      </c>
      <c r="CU99" s="77">
        <v>5821.2677458350554</v>
      </c>
      <c r="CV99" s="65">
        <v>4064.8273927331902</v>
      </c>
      <c r="CW99" s="35">
        <v>-1756.4403531018652</v>
      </c>
      <c r="CX99" s="39">
        <v>145.5316936458764</v>
      </c>
      <c r="CY99" s="39">
        <v>1901.9720467477421</v>
      </c>
      <c r="CZ99" s="52">
        <v>1756.4403531018656</v>
      </c>
      <c r="DA99" s="150">
        <v>-2345.2378934595381</v>
      </c>
      <c r="DB99" s="2">
        <v>2</v>
      </c>
      <c r="DC99" s="713">
        <v>6314.53</v>
      </c>
      <c r="DD99" s="714">
        <v>2283.48</v>
      </c>
      <c r="DE99" s="715">
        <v>4337.228316310091</v>
      </c>
      <c r="DF99" s="716">
        <v>1277.3819639494427</v>
      </c>
      <c r="DG99" s="717">
        <v>11165.449763891069</v>
      </c>
      <c r="DH99" s="718">
        <v>29454.211528731568</v>
      </c>
      <c r="DI99" s="718">
        <v>71601.593273771185</v>
      </c>
      <c r="DJ99" s="693">
        <v>61064.747837511284</v>
      </c>
      <c r="DK99" s="724"/>
      <c r="DL99" s="5"/>
      <c r="DM99" s="306">
        <v>6.3456408334079217</v>
      </c>
      <c r="DN99" s="306"/>
      <c r="DO99" s="306">
        <v>5.1515516438840621</v>
      </c>
      <c r="DP99" s="719">
        <v>1977.3016836899085</v>
      </c>
      <c r="DQ99" s="720">
        <v>1006.0980360505574</v>
      </c>
      <c r="DR99" s="650">
        <v>2983.399719740466</v>
      </c>
      <c r="DS99" s="94">
        <v>2983.399719740466</v>
      </c>
      <c r="DT99" s="719">
        <v>1977.29</v>
      </c>
      <c r="DU99" s="725">
        <v>1006.1200000000001</v>
      </c>
      <c r="DV99" s="93">
        <v>2983.41</v>
      </c>
      <c r="DW99" s="95">
        <v>2997.9528891050536</v>
      </c>
      <c r="DX99" s="28">
        <v>-14.542889105053746</v>
      </c>
      <c r="EA99" s="5">
        <v>1685.6692201314709</v>
      </c>
      <c r="EB99" s="5">
        <v>0</v>
      </c>
      <c r="EE99" s="722">
        <v>14458.488092248073</v>
      </c>
      <c r="EG99" s="42" t="s">
        <v>154</v>
      </c>
    </row>
    <row r="100" spans="1:137" x14ac:dyDescent="0.3">
      <c r="A100" s="325">
        <v>150001562</v>
      </c>
      <c r="B100" s="41" t="s">
        <v>565</v>
      </c>
      <c r="C100" s="42" t="s">
        <v>209</v>
      </c>
      <c r="D100" s="27">
        <v>4</v>
      </c>
      <c r="E100" s="709">
        <v>2425.9</v>
      </c>
      <c r="F100" s="723">
        <v>2425.9</v>
      </c>
      <c r="G100" s="28"/>
      <c r="H100" s="651">
        <v>0</v>
      </c>
      <c r="I100" s="39">
        <v>1513.5616404527182</v>
      </c>
      <c r="J100" s="39">
        <v>1610.5699884668079</v>
      </c>
      <c r="K100" s="52">
        <v>97.008348014089734</v>
      </c>
      <c r="L100" s="39">
        <v>157.0219321963082</v>
      </c>
      <c r="M100" s="39">
        <v>170.61274783988588</v>
      </c>
      <c r="N100" s="52">
        <v>13.590815643577685</v>
      </c>
      <c r="O100" s="39">
        <v>0</v>
      </c>
      <c r="P100" s="39">
        <v>0</v>
      </c>
      <c r="Q100" s="52">
        <v>0</v>
      </c>
      <c r="R100" s="39">
        <v>0</v>
      </c>
      <c r="S100" s="39">
        <v>0</v>
      </c>
      <c r="T100" s="52">
        <v>0</v>
      </c>
      <c r="U100" s="39">
        <v>0</v>
      </c>
      <c r="V100" s="39">
        <v>0</v>
      </c>
      <c r="W100" s="52">
        <v>0</v>
      </c>
      <c r="X100" s="39">
        <v>411.18317022109903</v>
      </c>
      <c r="Y100" s="39">
        <v>305.27722237239567</v>
      </c>
      <c r="Z100" s="52">
        <v>-105.90594784870336</v>
      </c>
      <c r="AA100" s="39">
        <v>0</v>
      </c>
      <c r="AB100" s="39">
        <v>0</v>
      </c>
      <c r="AC100" s="52">
        <v>0</v>
      </c>
      <c r="AD100" s="39">
        <v>1728.789952733274</v>
      </c>
      <c r="AE100" s="39">
        <v>1450.6559188890617</v>
      </c>
      <c r="AF100" s="35">
        <v>-278.13403384421235</v>
      </c>
      <c r="AG100" s="77">
        <v>3810.556695603399</v>
      </c>
      <c r="AH100" s="53">
        <v>3537.1158775681515</v>
      </c>
      <c r="AI100" s="52">
        <v>-273.4408180352475</v>
      </c>
      <c r="AJ100" s="39">
        <v>0</v>
      </c>
      <c r="AK100" s="39">
        <v>0</v>
      </c>
      <c r="AL100" s="52">
        <v>0</v>
      </c>
      <c r="AM100" s="39">
        <v>0</v>
      </c>
      <c r="AN100" s="39">
        <v>0</v>
      </c>
      <c r="AO100" s="52">
        <v>0</v>
      </c>
      <c r="AP100" s="39">
        <v>165.7280875063887</v>
      </c>
      <c r="AQ100" s="39">
        <v>0</v>
      </c>
      <c r="AR100" s="52">
        <v>-165.7280875063887</v>
      </c>
      <c r="AS100" s="39">
        <v>8133.8892895917461</v>
      </c>
      <c r="AT100" s="39">
        <v>0</v>
      </c>
      <c r="AU100" s="54">
        <v>-8133.8892895917461</v>
      </c>
      <c r="AV100" s="39">
        <v>278.28634321365632</v>
      </c>
      <c r="AW100" s="39">
        <v>0</v>
      </c>
      <c r="AX100" s="55">
        <v>-278.28634321365632</v>
      </c>
      <c r="AY100" s="39">
        <v>202.33697172952878</v>
      </c>
      <c r="AZ100" s="39">
        <v>0</v>
      </c>
      <c r="BA100" s="35">
        <v>-202.33697172952878</v>
      </c>
      <c r="BB100" s="39">
        <v>0</v>
      </c>
      <c r="BC100" s="39">
        <v>0</v>
      </c>
      <c r="BD100" s="55">
        <v>0</v>
      </c>
      <c r="BE100" s="39">
        <v>0</v>
      </c>
      <c r="BF100" s="39">
        <v>0</v>
      </c>
      <c r="BG100" s="38">
        <v>0</v>
      </c>
      <c r="BH100" s="39">
        <v>0</v>
      </c>
      <c r="BI100" s="39">
        <v>0</v>
      </c>
      <c r="BJ100" s="55">
        <v>0</v>
      </c>
      <c r="BK100" s="39">
        <v>121.16066476790479</v>
      </c>
      <c r="BL100" s="39">
        <v>0</v>
      </c>
      <c r="BM100" s="38">
        <v>-121.16066476790479</v>
      </c>
      <c r="BN100" s="39">
        <v>0</v>
      </c>
      <c r="BO100" s="39">
        <v>0</v>
      </c>
      <c r="BP100" s="55">
        <v>0</v>
      </c>
      <c r="BQ100" s="77">
        <v>601.78397971108984</v>
      </c>
      <c r="BR100" s="40">
        <v>0</v>
      </c>
      <c r="BS100" s="55">
        <v>-601.78397971108984</v>
      </c>
      <c r="BT100" s="39">
        <v>3186.0731314985942</v>
      </c>
      <c r="BU100" s="39">
        <v>930.13725076372418</v>
      </c>
      <c r="BV100" s="52">
        <v>-2255.9358807348699</v>
      </c>
      <c r="BW100" s="39">
        <v>1633.1344934402202</v>
      </c>
      <c r="BX100" s="39">
        <v>1384.6146147363315</v>
      </c>
      <c r="BY100" s="52">
        <v>-248.51987870388871</v>
      </c>
      <c r="BZ100" s="39">
        <v>1778.7949195346985</v>
      </c>
      <c r="CA100" s="39">
        <v>3973.5627100628026</v>
      </c>
      <c r="CB100" s="52">
        <v>2194.7677905281043</v>
      </c>
      <c r="CC100" s="39">
        <v>14.755649014686469</v>
      </c>
      <c r="CD100" s="39">
        <v>14.557508441711136</v>
      </c>
      <c r="CE100" s="52">
        <v>-0.19814057297533338</v>
      </c>
      <c r="CF100" s="39">
        <v>1.816509821883751</v>
      </c>
      <c r="CG100" s="39">
        <v>0</v>
      </c>
      <c r="CH100" s="52">
        <v>-1.816509821883751</v>
      </c>
      <c r="CI100" s="39">
        <v>1288.3896496967252</v>
      </c>
      <c r="CJ100" s="39">
        <v>2433.0790929140458</v>
      </c>
      <c r="CK100" s="52">
        <v>1144.6894432173206</v>
      </c>
      <c r="CL100" s="39">
        <v>0</v>
      </c>
      <c r="CM100" s="39">
        <v>0</v>
      </c>
      <c r="CN100" s="52">
        <v>0</v>
      </c>
      <c r="CO100" s="39">
        <v>1288.3896496967252</v>
      </c>
      <c r="CP100" s="40">
        <v>2433.0790929140458</v>
      </c>
      <c r="CQ100" s="52">
        <v>1144.6894432173206</v>
      </c>
      <c r="CR100" s="72">
        <v>20614.922405419431</v>
      </c>
      <c r="CS100" s="5">
        <v>12273.067054486766</v>
      </c>
      <c r="CT100" s="52">
        <v>-8341.8553509326648</v>
      </c>
      <c r="CU100" s="77">
        <v>24737.906886503315</v>
      </c>
      <c r="CV100" s="65">
        <v>14727.680465384119</v>
      </c>
      <c r="CW100" s="35">
        <v>-10010.226421119196</v>
      </c>
      <c r="CX100" s="39">
        <v>371.06860329754971</v>
      </c>
      <c r="CY100" s="39">
        <v>10381.295024416744</v>
      </c>
      <c r="CZ100" s="52">
        <v>10010.226421119194</v>
      </c>
      <c r="DA100" s="150">
        <v>-100177.73216202154</v>
      </c>
      <c r="DB100" s="2">
        <v>2</v>
      </c>
      <c r="DC100" s="713">
        <v>17295.18</v>
      </c>
      <c r="DD100" s="714"/>
      <c r="DE100" s="715">
        <v>4740.6922550995678</v>
      </c>
      <c r="DF100" s="716">
        <v>0</v>
      </c>
      <c r="DG100" s="717">
        <v>-53893.476723613421</v>
      </c>
      <c r="DH100" s="718">
        <v>147953.80533447283</v>
      </c>
      <c r="DI100" s="718">
        <v>301307.70587761037</v>
      </c>
      <c r="DJ100" s="693">
        <v>262969.230741826</v>
      </c>
      <c r="DK100" s="724"/>
      <c r="DL100" s="5"/>
      <c r="DM100" s="306">
        <v>5.1751876602087608</v>
      </c>
      <c r="DN100" s="306"/>
      <c r="DO100" s="306">
        <v>4.7652041874748914</v>
      </c>
      <c r="DP100" s="719">
        <v>12554.487744900433</v>
      </c>
      <c r="DQ100" s="720">
        <v>0</v>
      </c>
      <c r="DR100" s="650">
        <v>12554.487744900433</v>
      </c>
      <c r="DS100" s="94">
        <v>12554.487744900433</v>
      </c>
      <c r="DT100" s="719">
        <v>12554.5</v>
      </c>
      <c r="DU100" s="721"/>
      <c r="DV100" s="93">
        <v>12554.5</v>
      </c>
      <c r="DW100" s="95">
        <v>12591.594605230188</v>
      </c>
      <c r="DX100" s="28">
        <v>-37.094605230187881</v>
      </c>
      <c r="EA100" s="5">
        <v>10482.807923163402</v>
      </c>
      <c r="EB100" s="5">
        <v>0</v>
      </c>
      <c r="EE100" s="722">
        <v>97606.671475100957</v>
      </c>
      <c r="EG100" s="42" t="s">
        <v>209</v>
      </c>
    </row>
    <row r="101" spans="1:137" x14ac:dyDescent="0.3">
      <c r="A101" s="325">
        <v>150000604</v>
      </c>
      <c r="B101" s="41" t="s">
        <v>566</v>
      </c>
      <c r="C101" s="42" t="s">
        <v>155</v>
      </c>
      <c r="D101" s="27">
        <v>2</v>
      </c>
      <c r="E101" s="709">
        <v>452.1</v>
      </c>
      <c r="F101" s="723">
        <v>387.5</v>
      </c>
      <c r="G101" s="28"/>
      <c r="H101" s="651">
        <v>64.599999999999994</v>
      </c>
      <c r="I101" s="39">
        <v>327.36131952487551</v>
      </c>
      <c r="J101" s="39">
        <v>349.34829891865365</v>
      </c>
      <c r="K101" s="52">
        <v>21.986979393778142</v>
      </c>
      <c r="L101" s="39">
        <v>57.552129634097753</v>
      </c>
      <c r="M101" s="39">
        <v>62.533001485284814</v>
      </c>
      <c r="N101" s="52">
        <v>4.9808718511870609</v>
      </c>
      <c r="O101" s="39">
        <v>107.68</v>
      </c>
      <c r="P101" s="39">
        <v>107.68</v>
      </c>
      <c r="Q101" s="52">
        <v>0</v>
      </c>
      <c r="R101" s="39">
        <v>0</v>
      </c>
      <c r="S101" s="39">
        <v>0</v>
      </c>
      <c r="T101" s="52">
        <v>0</v>
      </c>
      <c r="U101" s="39">
        <v>0</v>
      </c>
      <c r="V101" s="39">
        <v>0</v>
      </c>
      <c r="W101" s="52">
        <v>0</v>
      </c>
      <c r="X101" s="39">
        <v>161.30494762421137</v>
      </c>
      <c r="Y101" s="39">
        <v>95.55688609571888</v>
      </c>
      <c r="Z101" s="52">
        <v>-65.748061528492485</v>
      </c>
      <c r="AA101" s="39">
        <v>0</v>
      </c>
      <c r="AB101" s="39">
        <v>0</v>
      </c>
      <c r="AC101" s="52">
        <v>0</v>
      </c>
      <c r="AD101" s="39">
        <v>322.1839060269233</v>
      </c>
      <c r="AE101" s="39">
        <v>270.34978396873112</v>
      </c>
      <c r="AF101" s="35">
        <v>-51.834122058192179</v>
      </c>
      <c r="AG101" s="77">
        <v>976.08230281010788</v>
      </c>
      <c r="AH101" s="53">
        <v>885.46797046838856</v>
      </c>
      <c r="AI101" s="52">
        <v>-90.614332341719319</v>
      </c>
      <c r="AJ101" s="39">
        <v>0</v>
      </c>
      <c r="AK101" s="39">
        <v>0</v>
      </c>
      <c r="AL101" s="52">
        <v>0</v>
      </c>
      <c r="AM101" s="39">
        <v>0</v>
      </c>
      <c r="AN101" s="39">
        <v>0</v>
      </c>
      <c r="AO101" s="52">
        <v>0</v>
      </c>
      <c r="AP101" s="39">
        <v>165.7280875063887</v>
      </c>
      <c r="AQ101" s="39">
        <v>0</v>
      </c>
      <c r="AR101" s="52">
        <v>-165.7280875063887</v>
      </c>
      <c r="AS101" s="39">
        <v>789.04142677796767</v>
      </c>
      <c r="AT101" s="39">
        <v>0</v>
      </c>
      <c r="AU101" s="54">
        <v>-789.04142677796767</v>
      </c>
      <c r="AV101" s="39">
        <v>61.647099991546234</v>
      </c>
      <c r="AW101" s="39">
        <v>0</v>
      </c>
      <c r="AX101" s="55">
        <v>-61.647099991546234</v>
      </c>
      <c r="AY101" s="39">
        <v>74.22419333762916</v>
      </c>
      <c r="AZ101" s="39">
        <v>0</v>
      </c>
      <c r="BA101" s="35">
        <v>-74.22419333762916</v>
      </c>
      <c r="BB101" s="39">
        <v>37.481307210205827</v>
      </c>
      <c r="BC101" s="39">
        <v>0</v>
      </c>
      <c r="BD101" s="55">
        <v>-37.481307210205827</v>
      </c>
      <c r="BE101" s="39">
        <v>0</v>
      </c>
      <c r="BF101" s="39">
        <v>0</v>
      </c>
      <c r="BG101" s="38">
        <v>0</v>
      </c>
      <c r="BH101" s="39">
        <v>0</v>
      </c>
      <c r="BI101" s="39">
        <v>0</v>
      </c>
      <c r="BJ101" s="55">
        <v>0</v>
      </c>
      <c r="BK101" s="39">
        <v>13.206444555034306</v>
      </c>
      <c r="BL101" s="39">
        <v>0</v>
      </c>
      <c r="BM101" s="38">
        <v>-13.206444555034306</v>
      </c>
      <c r="BN101" s="39">
        <v>0</v>
      </c>
      <c r="BO101" s="39">
        <v>0</v>
      </c>
      <c r="BP101" s="55">
        <v>0</v>
      </c>
      <c r="BQ101" s="77">
        <v>186.55904509441552</v>
      </c>
      <c r="BR101" s="40">
        <v>0</v>
      </c>
      <c r="BS101" s="55">
        <v>-186.55904509441552</v>
      </c>
      <c r="BT101" s="39">
        <v>1430.8327142327882</v>
      </c>
      <c r="BU101" s="39">
        <v>283.57798548270716</v>
      </c>
      <c r="BV101" s="52">
        <v>-1147.2547287500811</v>
      </c>
      <c r="BW101" s="39">
        <v>703.97638279258308</v>
      </c>
      <c r="BX101" s="39">
        <v>547.9778462302753</v>
      </c>
      <c r="BY101" s="52">
        <v>-155.99853656230778</v>
      </c>
      <c r="BZ101" s="39">
        <v>164.86706174168074</v>
      </c>
      <c r="CA101" s="39">
        <v>1278.1157992187023</v>
      </c>
      <c r="CB101" s="52">
        <v>1113.2487374770215</v>
      </c>
      <c r="CC101" s="39">
        <v>0</v>
      </c>
      <c r="CD101" s="39">
        <v>0</v>
      </c>
      <c r="CE101" s="52">
        <v>0</v>
      </c>
      <c r="CF101" s="39">
        <v>0</v>
      </c>
      <c r="CG101" s="39">
        <v>0</v>
      </c>
      <c r="CH101" s="52">
        <v>0</v>
      </c>
      <c r="CI101" s="39">
        <v>9.3587625885960666</v>
      </c>
      <c r="CJ101" s="39">
        <v>0</v>
      </c>
      <c r="CK101" s="52">
        <v>-9.3587625885960666</v>
      </c>
      <c r="CL101" s="39">
        <v>0</v>
      </c>
      <c r="CM101" s="39">
        <v>0</v>
      </c>
      <c r="CN101" s="52">
        <v>0</v>
      </c>
      <c r="CO101" s="39">
        <v>9.3587625885960666</v>
      </c>
      <c r="CP101" s="40">
        <v>0</v>
      </c>
      <c r="CQ101" s="52">
        <v>-9.3587625885960666</v>
      </c>
      <c r="CR101" s="72">
        <v>4426.4457835445282</v>
      </c>
      <c r="CS101" s="5">
        <v>2995.1396014000734</v>
      </c>
      <c r="CT101" s="52">
        <v>-1431.3061821444549</v>
      </c>
      <c r="CU101" s="77">
        <v>5311.7349402534337</v>
      </c>
      <c r="CV101" s="65">
        <v>3594.1675216800882</v>
      </c>
      <c r="CW101" s="35">
        <v>-1717.5674185733455</v>
      </c>
      <c r="CX101" s="39">
        <v>0</v>
      </c>
      <c r="CY101" s="39">
        <v>1717.567418573346</v>
      </c>
      <c r="CZ101" s="52">
        <v>1717.567418573346</v>
      </c>
      <c r="DA101" s="150">
        <v>46918.414918360897</v>
      </c>
      <c r="DB101" s="2">
        <v>2</v>
      </c>
      <c r="DC101" s="713">
        <v>13853.65</v>
      </c>
      <c r="DD101" s="714">
        <v>1276.56</v>
      </c>
      <c r="DE101" s="715">
        <v>11516.921910481877</v>
      </c>
      <c r="DF101" s="716">
        <v>957.42061939140592</v>
      </c>
      <c r="DG101" s="717">
        <v>39862.890906519424</v>
      </c>
      <c r="DH101" s="718">
        <v>25500.98987794204</v>
      </c>
      <c r="DI101" s="718">
        <v>63740.819283041201</v>
      </c>
      <c r="DJ101" s="693">
        <v>54180.861931766412</v>
      </c>
      <c r="DK101" s="724"/>
      <c r="DL101" s="5"/>
      <c r="DM101" s="306">
        <v>6.0302660374661228</v>
      </c>
      <c r="DN101" s="306"/>
      <c r="DO101" s="306">
        <v>4.940238089916317</v>
      </c>
      <c r="DP101" s="719">
        <v>2336.7280895181225</v>
      </c>
      <c r="DQ101" s="720">
        <v>319.13938060859402</v>
      </c>
      <c r="DR101" s="650">
        <v>2655.8674701267164</v>
      </c>
      <c r="DS101" s="94">
        <v>2655.8674701267173</v>
      </c>
      <c r="DT101" s="719">
        <v>2336.56</v>
      </c>
      <c r="DU101" s="725">
        <v>319.14</v>
      </c>
      <c r="DV101" s="93">
        <v>2655.7</v>
      </c>
      <c r="DW101" s="95">
        <v>2655.8674701267169</v>
      </c>
      <c r="DX101" s="28">
        <v>-0.16747012671703487</v>
      </c>
      <c r="EA101" s="5">
        <v>1170.7205662468598</v>
      </c>
      <c r="EB101" s="5">
        <v>0</v>
      </c>
      <c r="EE101" s="722">
        <v>9468.4971213356112</v>
      </c>
      <c r="EG101" s="42" t="s">
        <v>155</v>
      </c>
    </row>
    <row r="102" spans="1:137" x14ac:dyDescent="0.3">
      <c r="A102" s="325">
        <v>150000605</v>
      </c>
      <c r="B102" s="41" t="s">
        <v>567</v>
      </c>
      <c r="C102" s="42" t="s">
        <v>156</v>
      </c>
      <c r="D102" s="27">
        <v>2</v>
      </c>
      <c r="E102" s="709">
        <v>379</v>
      </c>
      <c r="F102" s="723">
        <v>321.10000000000002</v>
      </c>
      <c r="G102" s="28"/>
      <c r="H102" s="651">
        <v>57.9</v>
      </c>
      <c r="I102" s="39">
        <v>168.94704540147532</v>
      </c>
      <c r="J102" s="39">
        <v>181.40358133849767</v>
      </c>
      <c r="K102" s="52">
        <v>12.456535937022352</v>
      </c>
      <c r="L102" s="39">
        <v>68.154554027501604</v>
      </c>
      <c r="M102" s="39">
        <v>74.053648716935413</v>
      </c>
      <c r="N102" s="52">
        <v>5.8990946894338094</v>
      </c>
      <c r="O102" s="39">
        <v>88.36</v>
      </c>
      <c r="P102" s="39">
        <v>88.36</v>
      </c>
      <c r="Q102" s="52">
        <v>0</v>
      </c>
      <c r="R102" s="39">
        <v>0</v>
      </c>
      <c r="S102" s="39">
        <v>0</v>
      </c>
      <c r="T102" s="52">
        <v>0</v>
      </c>
      <c r="U102" s="39">
        <v>0</v>
      </c>
      <c r="V102" s="39">
        <v>0</v>
      </c>
      <c r="W102" s="52">
        <v>0</v>
      </c>
      <c r="X102" s="39">
        <v>70.863556614904908</v>
      </c>
      <c r="Y102" s="39">
        <v>41.417689919540891</v>
      </c>
      <c r="Z102" s="52">
        <v>-29.445866695364018</v>
      </c>
      <c r="AA102" s="39">
        <v>0</v>
      </c>
      <c r="AB102" s="39">
        <v>0</v>
      </c>
      <c r="AC102" s="52">
        <v>0</v>
      </c>
      <c r="AD102" s="39">
        <v>270.09002518072089</v>
      </c>
      <c r="AE102" s="39">
        <v>226.63695670017495</v>
      </c>
      <c r="AF102" s="35">
        <v>-43.453068480545937</v>
      </c>
      <c r="AG102" s="77">
        <v>666.41518122460275</v>
      </c>
      <c r="AH102" s="53">
        <v>611.871876675149</v>
      </c>
      <c r="AI102" s="52">
        <v>-54.543304549453751</v>
      </c>
      <c r="AJ102" s="39">
        <v>0</v>
      </c>
      <c r="AK102" s="39">
        <v>0</v>
      </c>
      <c r="AL102" s="52">
        <v>0</v>
      </c>
      <c r="AM102" s="39">
        <v>0</v>
      </c>
      <c r="AN102" s="39">
        <v>0</v>
      </c>
      <c r="AO102" s="52">
        <v>0</v>
      </c>
      <c r="AP102" s="39">
        <v>189.40352857872995</v>
      </c>
      <c r="AQ102" s="39">
        <v>0</v>
      </c>
      <c r="AR102" s="52">
        <v>-189.40352857872995</v>
      </c>
      <c r="AS102" s="39">
        <v>991.5081372774448</v>
      </c>
      <c r="AT102" s="39">
        <v>0</v>
      </c>
      <c r="AU102" s="54">
        <v>-991.5081372774448</v>
      </c>
      <c r="AV102" s="39">
        <v>62.624915751524455</v>
      </c>
      <c r="AW102" s="39">
        <v>0</v>
      </c>
      <c r="AX102" s="55">
        <v>-62.624915751524455</v>
      </c>
      <c r="AY102" s="39">
        <v>87.83954249182338</v>
      </c>
      <c r="AZ102" s="39">
        <v>0</v>
      </c>
      <c r="BA102" s="35">
        <v>-87.83954249182338</v>
      </c>
      <c r="BB102" s="39">
        <v>26.929707894682178</v>
      </c>
      <c r="BC102" s="39">
        <v>0</v>
      </c>
      <c r="BD102" s="55">
        <v>-26.929707894682178</v>
      </c>
      <c r="BE102" s="39">
        <v>0</v>
      </c>
      <c r="BF102" s="39">
        <v>0</v>
      </c>
      <c r="BG102" s="38">
        <v>0</v>
      </c>
      <c r="BH102" s="39">
        <v>0</v>
      </c>
      <c r="BI102" s="39">
        <v>0</v>
      </c>
      <c r="BJ102" s="55">
        <v>0</v>
      </c>
      <c r="BK102" s="39">
        <v>9.8614252960765771</v>
      </c>
      <c r="BL102" s="39">
        <v>0</v>
      </c>
      <c r="BM102" s="38">
        <v>-9.8614252960765771</v>
      </c>
      <c r="BN102" s="39">
        <v>0</v>
      </c>
      <c r="BO102" s="39">
        <v>0</v>
      </c>
      <c r="BP102" s="55">
        <v>0</v>
      </c>
      <c r="BQ102" s="77">
        <v>187.25559143410661</v>
      </c>
      <c r="BR102" s="40">
        <v>0</v>
      </c>
      <c r="BS102" s="55">
        <v>-187.25559143410661</v>
      </c>
      <c r="BT102" s="39">
        <v>1082.1947738192671</v>
      </c>
      <c r="BU102" s="39">
        <v>210.75090092452797</v>
      </c>
      <c r="BV102" s="52">
        <v>-871.44387289473912</v>
      </c>
      <c r="BW102" s="39">
        <v>567.40725476558691</v>
      </c>
      <c r="BX102" s="39">
        <v>438.08294455470468</v>
      </c>
      <c r="BY102" s="52">
        <v>-129.32431021088223</v>
      </c>
      <c r="BZ102" s="39">
        <v>162.63569913336102</v>
      </c>
      <c r="CA102" s="39">
        <v>948.58357429114926</v>
      </c>
      <c r="CB102" s="52">
        <v>785.9478751577883</v>
      </c>
      <c r="CC102" s="39">
        <v>50.982973339780486</v>
      </c>
      <c r="CD102" s="39">
        <v>50.298368037805915</v>
      </c>
      <c r="CE102" s="52">
        <v>-0.68460530197457103</v>
      </c>
      <c r="CF102" s="39">
        <v>6.2763130058441892</v>
      </c>
      <c r="CG102" s="39">
        <v>0</v>
      </c>
      <c r="CH102" s="52">
        <v>-6.2763130058441892</v>
      </c>
      <c r="CI102" s="39">
        <v>74.870100708768533</v>
      </c>
      <c r="CJ102" s="39">
        <v>314.1444067761164</v>
      </c>
      <c r="CK102" s="52">
        <v>239.27430606734788</v>
      </c>
      <c r="CL102" s="39">
        <v>0</v>
      </c>
      <c r="CM102" s="39">
        <v>0</v>
      </c>
      <c r="CN102" s="52">
        <v>0</v>
      </c>
      <c r="CO102" s="39">
        <v>74.870100708768533</v>
      </c>
      <c r="CP102" s="40">
        <v>314.1444067761164</v>
      </c>
      <c r="CQ102" s="52">
        <v>239.27430606734788</v>
      </c>
      <c r="CR102" s="72">
        <v>3978.9495532874921</v>
      </c>
      <c r="CS102" s="5">
        <v>2573.7320712594533</v>
      </c>
      <c r="CT102" s="52">
        <v>-1405.2174820280388</v>
      </c>
      <c r="CU102" s="77">
        <v>4774.7394639449903</v>
      </c>
      <c r="CV102" s="65">
        <v>3088.4784855113439</v>
      </c>
      <c r="CW102" s="35">
        <v>-1686.2609784336464</v>
      </c>
      <c r="CX102" s="39">
        <v>119.36848659862477</v>
      </c>
      <c r="CY102" s="39">
        <v>1805.629465032272</v>
      </c>
      <c r="CZ102" s="52">
        <v>1686.2609784336473</v>
      </c>
      <c r="DA102" s="150">
        <v>12895.367634128892</v>
      </c>
      <c r="DB102" s="2">
        <v>2</v>
      </c>
      <c r="DC102" s="713">
        <v>24443.72</v>
      </c>
      <c r="DD102" s="714">
        <v>12839.13</v>
      </c>
      <c r="DE102" s="715">
        <v>22317.193475749082</v>
      </c>
      <c r="DF102" s="716">
        <v>12518.60254897911</v>
      </c>
      <c r="DG102" s="717">
        <v>11355.641462485753</v>
      </c>
      <c r="DH102" s="718">
        <v>23504.273455038277</v>
      </c>
      <c r="DI102" s="718">
        <v>58729.295406523386</v>
      </c>
      <c r="DJ102" s="693">
        <v>49923.03991865211</v>
      </c>
      <c r="DK102" s="724"/>
      <c r="DL102" s="5"/>
      <c r="DM102" s="306">
        <v>6.6226300973245644</v>
      </c>
      <c r="DN102" s="306"/>
      <c r="DO102" s="306">
        <v>5.535879983089635</v>
      </c>
      <c r="DP102" s="719">
        <v>2126.5265242509176</v>
      </c>
      <c r="DQ102" s="720">
        <v>320.52745102088988</v>
      </c>
      <c r="DR102" s="650">
        <v>2447.0539752718078</v>
      </c>
      <c r="DS102" s="94">
        <v>2447.0539752718078</v>
      </c>
      <c r="DT102" s="719">
        <v>2126.52</v>
      </c>
      <c r="DU102" s="725">
        <v>319.42</v>
      </c>
      <c r="DV102" s="93">
        <v>2445.94</v>
      </c>
      <c r="DW102" s="95">
        <v>2458.9908239316701</v>
      </c>
      <c r="DX102" s="28">
        <v>-13.050823931670038</v>
      </c>
      <c r="EA102" s="5">
        <v>1414.5164744538617</v>
      </c>
      <c r="EB102" s="5">
        <v>0</v>
      </c>
      <c r="EE102" s="722">
        <v>11898.097647329338</v>
      </c>
      <c r="EG102" s="42" t="s">
        <v>156</v>
      </c>
    </row>
    <row r="103" spans="1:137" x14ac:dyDescent="0.3">
      <c r="A103" s="325">
        <v>150000606</v>
      </c>
      <c r="B103" s="41" t="s">
        <v>568</v>
      </c>
      <c r="C103" s="42" t="s">
        <v>157</v>
      </c>
      <c r="D103" s="27">
        <v>2</v>
      </c>
      <c r="E103" s="709">
        <v>766.3</v>
      </c>
      <c r="F103" s="723">
        <v>685.8</v>
      </c>
      <c r="G103" s="28"/>
      <c r="H103" s="651">
        <v>80.5</v>
      </c>
      <c r="I103" s="39">
        <v>346.56585113153938</v>
      </c>
      <c r="J103" s="39">
        <v>370.63397460101396</v>
      </c>
      <c r="K103" s="52">
        <v>24.068123469474585</v>
      </c>
      <c r="L103" s="39">
        <v>122.64920349237109</v>
      </c>
      <c r="M103" s="39">
        <v>133.26441704704655</v>
      </c>
      <c r="N103" s="52">
        <v>10.615213554675464</v>
      </c>
      <c r="O103" s="39">
        <v>172.14</v>
      </c>
      <c r="P103" s="39">
        <v>172.14</v>
      </c>
      <c r="Q103" s="52">
        <v>0</v>
      </c>
      <c r="R103" s="39">
        <v>0</v>
      </c>
      <c r="S103" s="39">
        <v>0</v>
      </c>
      <c r="T103" s="52">
        <v>0</v>
      </c>
      <c r="U103" s="39">
        <v>0</v>
      </c>
      <c r="V103" s="39">
        <v>0</v>
      </c>
      <c r="W103" s="52">
        <v>0</v>
      </c>
      <c r="X103" s="39">
        <v>140.13469421323308</v>
      </c>
      <c r="Y103" s="39">
        <v>83.101097273594789</v>
      </c>
      <c r="Z103" s="52">
        <v>-57.033596939638286</v>
      </c>
      <c r="AA103" s="39">
        <v>0</v>
      </c>
      <c r="AB103" s="39">
        <v>0</v>
      </c>
      <c r="AC103" s="52">
        <v>0</v>
      </c>
      <c r="AD103" s="39">
        <v>546.0949506490407</v>
      </c>
      <c r="AE103" s="39">
        <v>458.23720295341434</v>
      </c>
      <c r="AF103" s="35">
        <v>-87.857747695626358</v>
      </c>
      <c r="AG103" s="77">
        <v>1327.5846994861843</v>
      </c>
      <c r="AH103" s="53">
        <v>1217.3766918750696</v>
      </c>
      <c r="AI103" s="52">
        <v>-110.20800761111468</v>
      </c>
      <c r="AJ103" s="39">
        <v>0</v>
      </c>
      <c r="AK103" s="39">
        <v>0</v>
      </c>
      <c r="AL103" s="52">
        <v>0</v>
      </c>
      <c r="AM103" s="39">
        <v>0</v>
      </c>
      <c r="AN103" s="39">
        <v>0</v>
      </c>
      <c r="AO103" s="52">
        <v>0</v>
      </c>
      <c r="AP103" s="39">
        <v>331.45617501277741</v>
      </c>
      <c r="AQ103" s="39">
        <v>911.80881857289091</v>
      </c>
      <c r="AR103" s="52">
        <v>580.35264356011351</v>
      </c>
      <c r="AS103" s="39">
        <v>2219.4063426828725</v>
      </c>
      <c r="AT103" s="39">
        <v>0</v>
      </c>
      <c r="AU103" s="54">
        <v>-2219.4063426828725</v>
      </c>
      <c r="AV103" s="39">
        <v>129.83068955272117</v>
      </c>
      <c r="AW103" s="39">
        <v>0</v>
      </c>
      <c r="AX103" s="55">
        <v>-129.83068955272117</v>
      </c>
      <c r="AY103" s="39">
        <v>158.10153368374478</v>
      </c>
      <c r="AZ103" s="39">
        <v>0</v>
      </c>
      <c r="BA103" s="35">
        <v>-158.10153368374478</v>
      </c>
      <c r="BB103" s="39">
        <v>64.119955629500566</v>
      </c>
      <c r="BC103" s="39">
        <v>0</v>
      </c>
      <c r="BD103" s="55">
        <v>-64.119955629500566</v>
      </c>
      <c r="BE103" s="39">
        <v>0</v>
      </c>
      <c r="BF103" s="39">
        <v>0</v>
      </c>
      <c r="BG103" s="38">
        <v>0</v>
      </c>
      <c r="BH103" s="39">
        <v>0</v>
      </c>
      <c r="BI103" s="39">
        <v>0</v>
      </c>
      <c r="BJ103" s="55">
        <v>0</v>
      </c>
      <c r="BK103" s="39">
        <v>29.632723159187076</v>
      </c>
      <c r="BL103" s="39">
        <v>0</v>
      </c>
      <c r="BM103" s="38">
        <v>-29.632723159187076</v>
      </c>
      <c r="BN103" s="39">
        <v>0</v>
      </c>
      <c r="BO103" s="39">
        <v>0</v>
      </c>
      <c r="BP103" s="55">
        <v>0</v>
      </c>
      <c r="BQ103" s="77">
        <v>381.68490202515358</v>
      </c>
      <c r="BR103" s="40">
        <v>0</v>
      </c>
      <c r="BS103" s="55">
        <v>-381.68490202515358</v>
      </c>
      <c r="BT103" s="39">
        <v>1969.7298490373375</v>
      </c>
      <c r="BU103" s="39">
        <v>406.52168500080893</v>
      </c>
      <c r="BV103" s="52">
        <v>-1563.2081640365286</v>
      </c>
      <c r="BW103" s="39">
        <v>1203.5908831379625</v>
      </c>
      <c r="BX103" s="39">
        <v>869.85560367990286</v>
      </c>
      <c r="BY103" s="52">
        <v>-333.73527945805961</v>
      </c>
      <c r="BZ103" s="39">
        <v>512.65422165548318</v>
      </c>
      <c r="CA103" s="39">
        <v>2024.9923181463639</v>
      </c>
      <c r="CB103" s="52">
        <v>1512.3380964908806</v>
      </c>
      <c r="CC103" s="39">
        <v>0</v>
      </c>
      <c r="CD103" s="39">
        <v>0</v>
      </c>
      <c r="CE103" s="52">
        <v>0</v>
      </c>
      <c r="CF103" s="39">
        <v>0</v>
      </c>
      <c r="CG103" s="39">
        <v>0</v>
      </c>
      <c r="CH103" s="52">
        <v>0</v>
      </c>
      <c r="CI103" s="39">
        <v>224.61030212630564</v>
      </c>
      <c r="CJ103" s="39">
        <v>240.05746920652189</v>
      </c>
      <c r="CK103" s="52">
        <v>15.447167080216246</v>
      </c>
      <c r="CL103" s="39">
        <v>0</v>
      </c>
      <c r="CM103" s="39">
        <v>0</v>
      </c>
      <c r="CN103" s="52">
        <v>0</v>
      </c>
      <c r="CO103" s="39">
        <v>224.61030212630564</v>
      </c>
      <c r="CP103" s="40">
        <v>240.05746920652189</v>
      </c>
      <c r="CQ103" s="52">
        <v>15.447167080216246</v>
      </c>
      <c r="CR103" s="72">
        <v>8170.7173751640767</v>
      </c>
      <c r="CS103" s="5">
        <v>5670.6125864815576</v>
      </c>
      <c r="CT103" s="52">
        <v>-2500.104788682519</v>
      </c>
      <c r="CU103" s="77">
        <v>9804.860850196892</v>
      </c>
      <c r="CV103" s="65">
        <v>6804.735103777869</v>
      </c>
      <c r="CW103" s="35">
        <v>-3000.125746419023</v>
      </c>
      <c r="CX103" s="39">
        <v>147.07291275295339</v>
      </c>
      <c r="CY103" s="39">
        <v>3147.1986591719765</v>
      </c>
      <c r="CZ103" s="52">
        <v>3000.125746419023</v>
      </c>
      <c r="DA103" s="150">
        <v>6894.3970555398573</v>
      </c>
      <c r="DB103" s="2">
        <v>2</v>
      </c>
      <c r="DC103" s="713">
        <v>13843.91</v>
      </c>
      <c r="DD103" s="714">
        <v>1605.13</v>
      </c>
      <c r="DE103" s="715">
        <v>9313.6691953988011</v>
      </c>
      <c r="DF103" s="716">
        <v>1159.4039231262766</v>
      </c>
      <c r="DG103" s="717">
        <v>24420.781062481678</v>
      </c>
      <c r="DH103" s="718">
        <v>48070.860433431575</v>
      </c>
      <c r="DI103" s="718">
        <v>119423.20515539814</v>
      </c>
      <c r="DJ103" s="693">
        <v>101585.11897490651</v>
      </c>
      <c r="DK103" s="724"/>
      <c r="DL103" s="5"/>
      <c r="DM103" s="306">
        <v>6.6057754514453189</v>
      </c>
      <c r="DN103" s="306"/>
      <c r="DO103" s="306">
        <v>5.5369698990524654</v>
      </c>
      <c r="DP103" s="719">
        <v>4530.2408046011997</v>
      </c>
      <c r="DQ103" s="720">
        <v>445.72607687372346</v>
      </c>
      <c r="DR103" s="650">
        <v>4975.966881474923</v>
      </c>
      <c r="DS103" s="94">
        <v>4975.966881474923</v>
      </c>
      <c r="DT103" s="719">
        <v>4530.24</v>
      </c>
      <c r="DU103" s="725">
        <v>445.73</v>
      </c>
      <c r="DV103" s="93">
        <v>4975.9699999999993</v>
      </c>
      <c r="DW103" s="95">
        <v>4990.6741727502185</v>
      </c>
      <c r="DX103" s="28">
        <v>-14.704172750219186</v>
      </c>
      <c r="EA103" s="5">
        <v>3121.3094936496309</v>
      </c>
      <c r="EB103" s="5">
        <v>0</v>
      </c>
      <c r="EE103" s="722">
        <v>26632.87611219447</v>
      </c>
      <c r="EG103" s="42" t="s">
        <v>157</v>
      </c>
    </row>
    <row r="104" spans="1:137" x14ac:dyDescent="0.3">
      <c r="A104" s="325">
        <v>150000607</v>
      </c>
      <c r="B104" s="41" t="s">
        <v>569</v>
      </c>
      <c r="C104" s="42" t="s">
        <v>158</v>
      </c>
      <c r="D104" s="27">
        <v>2</v>
      </c>
      <c r="E104" s="709">
        <v>994.8</v>
      </c>
      <c r="F104" s="723">
        <v>699</v>
      </c>
      <c r="G104" s="28"/>
      <c r="H104" s="651">
        <v>295.8</v>
      </c>
      <c r="I104" s="39">
        <v>724.59658715271075</v>
      </c>
      <c r="J104" s="39">
        <v>771.11572815704392</v>
      </c>
      <c r="K104" s="52">
        <v>46.519141004333164</v>
      </c>
      <c r="L104" s="39">
        <v>147.20816865301694</v>
      </c>
      <c r="M104" s="39">
        <v>159.94945109989303</v>
      </c>
      <c r="N104" s="52">
        <v>12.741282446876085</v>
      </c>
      <c r="O104" s="39">
        <v>225.72</v>
      </c>
      <c r="P104" s="39">
        <v>225.72</v>
      </c>
      <c r="Q104" s="52">
        <v>0</v>
      </c>
      <c r="R104" s="39">
        <v>0</v>
      </c>
      <c r="S104" s="39">
        <v>0</v>
      </c>
      <c r="T104" s="52">
        <v>0</v>
      </c>
      <c r="U104" s="39">
        <v>0</v>
      </c>
      <c r="V104" s="39">
        <v>0</v>
      </c>
      <c r="W104" s="52">
        <v>0</v>
      </c>
      <c r="X104" s="39">
        <v>280.26938842646615</v>
      </c>
      <c r="Y104" s="39">
        <v>164.85546648894854</v>
      </c>
      <c r="Z104" s="52">
        <v>-115.41392193751761</v>
      </c>
      <c r="AA104" s="39">
        <v>0</v>
      </c>
      <c r="AB104" s="39">
        <v>0</v>
      </c>
      <c r="AC104" s="52">
        <v>0</v>
      </c>
      <c r="AD104" s="39">
        <v>708.93286820522724</v>
      </c>
      <c r="AE104" s="39">
        <v>594.87716233597371</v>
      </c>
      <c r="AF104" s="35">
        <v>-114.05570586925353</v>
      </c>
      <c r="AG104" s="77">
        <v>2086.7270124374209</v>
      </c>
      <c r="AH104" s="53">
        <v>1916.5178080818594</v>
      </c>
      <c r="AI104" s="52">
        <v>-170.2092043555615</v>
      </c>
      <c r="AJ104" s="39">
        <v>0</v>
      </c>
      <c r="AK104" s="39">
        <v>0</v>
      </c>
      <c r="AL104" s="52">
        <v>0</v>
      </c>
      <c r="AM104" s="39">
        <v>0</v>
      </c>
      <c r="AN104" s="39">
        <v>0</v>
      </c>
      <c r="AO104" s="52">
        <v>0</v>
      </c>
      <c r="AP104" s="39">
        <v>307.78073394043616</v>
      </c>
      <c r="AQ104" s="39">
        <v>0</v>
      </c>
      <c r="AR104" s="52">
        <v>-307.78073394043616</v>
      </c>
      <c r="AS104" s="39">
        <v>1793.3115562584599</v>
      </c>
      <c r="AT104" s="39">
        <v>0</v>
      </c>
      <c r="AU104" s="54">
        <v>-1793.3115562584599</v>
      </c>
      <c r="AV104" s="39">
        <v>136.87399555182537</v>
      </c>
      <c r="AW104" s="39">
        <v>0</v>
      </c>
      <c r="AX104" s="55">
        <v>-136.87399555182537</v>
      </c>
      <c r="AY104" s="39">
        <v>189.71213226643653</v>
      </c>
      <c r="AZ104" s="39">
        <v>0</v>
      </c>
      <c r="BA104" s="35">
        <v>-189.71213226643653</v>
      </c>
      <c r="BB104" s="39">
        <v>102.89263852286297</v>
      </c>
      <c r="BC104" s="39">
        <v>0</v>
      </c>
      <c r="BD104" s="55">
        <v>-102.89263852286297</v>
      </c>
      <c r="BE104" s="39">
        <v>0</v>
      </c>
      <c r="BF104" s="39">
        <v>0</v>
      </c>
      <c r="BG104" s="38">
        <v>0</v>
      </c>
      <c r="BH104" s="39">
        <v>0</v>
      </c>
      <c r="BI104" s="39">
        <v>0</v>
      </c>
      <c r="BJ104" s="55">
        <v>0</v>
      </c>
      <c r="BK104" s="39">
        <v>29.632723159187076</v>
      </c>
      <c r="BL104" s="39">
        <v>0</v>
      </c>
      <c r="BM104" s="38">
        <v>-29.632723159187076</v>
      </c>
      <c r="BN104" s="39">
        <v>0</v>
      </c>
      <c r="BO104" s="39">
        <v>0</v>
      </c>
      <c r="BP104" s="55">
        <v>0</v>
      </c>
      <c r="BQ104" s="77">
        <v>459.11148950031196</v>
      </c>
      <c r="BR104" s="40">
        <v>0</v>
      </c>
      <c r="BS104" s="55">
        <v>-459.11148950031196</v>
      </c>
      <c r="BT104" s="39">
        <v>3029.5982338546637</v>
      </c>
      <c r="BU104" s="39">
        <v>609.15348632223686</v>
      </c>
      <c r="BV104" s="52">
        <v>-2420.4447475324268</v>
      </c>
      <c r="BW104" s="39">
        <v>1255.6181088844019</v>
      </c>
      <c r="BX104" s="39">
        <v>962.52926855988403</v>
      </c>
      <c r="BY104" s="52">
        <v>-293.08884032451783</v>
      </c>
      <c r="BZ104" s="39">
        <v>432.15278574993789</v>
      </c>
      <c r="CA104" s="39">
        <v>2824.8460474850135</v>
      </c>
      <c r="CB104" s="52">
        <v>2392.6932617350758</v>
      </c>
      <c r="CC104" s="39">
        <v>95.593075012088406</v>
      </c>
      <c r="CD104" s="39">
        <v>94.309440070886097</v>
      </c>
      <c r="CE104" s="52">
        <v>-1.2836349412023083</v>
      </c>
      <c r="CF104" s="39">
        <v>11.768086885957853</v>
      </c>
      <c r="CG104" s="39">
        <v>0</v>
      </c>
      <c r="CH104" s="52">
        <v>-11.768086885957853</v>
      </c>
      <c r="CI104" s="39">
        <v>152.85978894706909</v>
      </c>
      <c r="CJ104" s="39">
        <v>344.70502633789999</v>
      </c>
      <c r="CK104" s="52">
        <v>191.8452373908309</v>
      </c>
      <c r="CL104" s="39">
        <v>0</v>
      </c>
      <c r="CM104" s="39">
        <v>0</v>
      </c>
      <c r="CN104" s="52">
        <v>0</v>
      </c>
      <c r="CO104" s="39">
        <v>152.85978894706909</v>
      </c>
      <c r="CP104" s="40">
        <v>344.70502633789999</v>
      </c>
      <c r="CQ104" s="52">
        <v>191.8452373908309</v>
      </c>
      <c r="CR104" s="72">
        <v>9624.5208714707478</v>
      </c>
      <c r="CS104" s="5">
        <v>6752.0610768577799</v>
      </c>
      <c r="CT104" s="52">
        <v>-2872.4597946129679</v>
      </c>
      <c r="CU104" s="77">
        <v>11549.425045764898</v>
      </c>
      <c r="CV104" s="65">
        <v>8102.4732922293351</v>
      </c>
      <c r="CW104" s="35">
        <v>-3446.9517535355626</v>
      </c>
      <c r="CX104" s="39">
        <v>288.73562614412248</v>
      </c>
      <c r="CY104" s="39">
        <v>3735.687379679684</v>
      </c>
      <c r="CZ104" s="52">
        <v>3446.9517535355617</v>
      </c>
      <c r="DA104" s="150">
        <v>-22257.694041054838</v>
      </c>
      <c r="DB104" s="2">
        <v>2</v>
      </c>
      <c r="DC104" s="713">
        <v>8079.58</v>
      </c>
      <c r="DD104" s="714">
        <v>4444.3899999999994</v>
      </c>
      <c r="DE104" s="715">
        <v>3690.9034475812959</v>
      </c>
      <c r="DF104" s="716">
        <v>2913.9862164641927</v>
      </c>
      <c r="DG104" s="717">
        <v>-27526.641597485319</v>
      </c>
      <c r="DH104" s="718">
        <v>57330.197998984528</v>
      </c>
      <c r="DI104" s="718">
        <v>142057.92806290824</v>
      </c>
      <c r="DJ104" s="693">
        <v>120875.99554692733</v>
      </c>
      <c r="DK104" s="724"/>
      <c r="DL104" s="5"/>
      <c r="DM104" s="306">
        <v>6.2785072280668155</v>
      </c>
      <c r="DN104" s="306"/>
      <c r="DO104" s="306">
        <v>5.1737788490054317</v>
      </c>
      <c r="DP104" s="719">
        <v>4388.676552418704</v>
      </c>
      <c r="DQ104" s="720">
        <v>1530.4037835358067</v>
      </c>
      <c r="DR104" s="650">
        <v>5919.0803359545107</v>
      </c>
      <c r="DS104" s="94">
        <v>5919.0803359545089</v>
      </c>
      <c r="DT104" s="719">
        <v>4388.68</v>
      </c>
      <c r="DU104" s="725">
        <v>1530.4199999999998</v>
      </c>
      <c r="DV104" s="93">
        <v>5919.1</v>
      </c>
      <c r="DW104" s="95">
        <v>5947.9538985689205</v>
      </c>
      <c r="DX104" s="28">
        <v>-28.853898568920158</v>
      </c>
      <c r="EA104" s="5">
        <v>2702.9076549105262</v>
      </c>
      <c r="EB104" s="5">
        <v>0</v>
      </c>
      <c r="EE104" s="722">
        <v>21519.738675101518</v>
      </c>
      <c r="EG104" s="42" t="s">
        <v>158</v>
      </c>
    </row>
    <row r="105" spans="1:137" x14ac:dyDescent="0.3">
      <c r="A105" s="325">
        <v>150000608</v>
      </c>
      <c r="B105" s="41" t="s">
        <v>570</v>
      </c>
      <c r="C105" s="42" t="s">
        <v>159</v>
      </c>
      <c r="D105" s="27">
        <v>2</v>
      </c>
      <c r="E105" s="709">
        <v>598.30999999999995</v>
      </c>
      <c r="F105" s="723">
        <v>468.01</v>
      </c>
      <c r="G105" s="28"/>
      <c r="H105" s="651">
        <v>130.30000000000001</v>
      </c>
      <c r="I105" s="39">
        <v>546.64403299877335</v>
      </c>
      <c r="J105" s="39">
        <v>581.05439937661822</v>
      </c>
      <c r="K105" s="52">
        <v>34.410366377844866</v>
      </c>
      <c r="L105" s="39">
        <v>123.19172948375747</v>
      </c>
      <c r="M105" s="39">
        <v>133.85384551006123</v>
      </c>
      <c r="N105" s="52">
        <v>10.662116026303764</v>
      </c>
      <c r="O105" s="39">
        <v>137.58000000000001</v>
      </c>
      <c r="P105" s="39">
        <v>137.58000000000001</v>
      </c>
      <c r="Q105" s="52">
        <v>0</v>
      </c>
      <c r="R105" s="39">
        <v>0</v>
      </c>
      <c r="S105" s="39">
        <v>0</v>
      </c>
      <c r="T105" s="52">
        <v>0</v>
      </c>
      <c r="U105" s="39">
        <v>0</v>
      </c>
      <c r="V105" s="39">
        <v>0</v>
      </c>
      <c r="W105" s="52">
        <v>0</v>
      </c>
      <c r="X105" s="39">
        <v>201.19626340407379</v>
      </c>
      <c r="Y105" s="39">
        <v>276.92588478848756</v>
      </c>
      <c r="Z105" s="52">
        <v>75.729621384413775</v>
      </c>
      <c r="AA105" s="39">
        <v>0</v>
      </c>
      <c r="AB105" s="39">
        <v>0</v>
      </c>
      <c r="AC105" s="52">
        <v>0</v>
      </c>
      <c r="AD105" s="39">
        <v>426.37879410521663</v>
      </c>
      <c r="AE105" s="39">
        <v>357.78141837277485</v>
      </c>
      <c r="AF105" s="35">
        <v>-68.597375732441776</v>
      </c>
      <c r="AG105" s="77">
        <v>1434.9908199918214</v>
      </c>
      <c r="AH105" s="53">
        <v>1487.1955480479419</v>
      </c>
      <c r="AI105" s="52">
        <v>52.20472805612053</v>
      </c>
      <c r="AJ105" s="39">
        <v>0</v>
      </c>
      <c r="AK105" s="39">
        <v>0</v>
      </c>
      <c r="AL105" s="52">
        <v>0</v>
      </c>
      <c r="AM105" s="39">
        <v>0</v>
      </c>
      <c r="AN105" s="39">
        <v>0</v>
      </c>
      <c r="AO105" s="52">
        <v>0</v>
      </c>
      <c r="AP105" s="39">
        <v>205.18715596029077</v>
      </c>
      <c r="AQ105" s="39">
        <v>0</v>
      </c>
      <c r="AR105" s="52">
        <v>-205.18715596029077</v>
      </c>
      <c r="AS105" s="39">
        <v>1410.7793571771711</v>
      </c>
      <c r="AT105" s="39">
        <v>0</v>
      </c>
      <c r="AU105" s="54">
        <v>-1410.7793571771711</v>
      </c>
      <c r="AV105" s="39">
        <v>104.73648131794</v>
      </c>
      <c r="AW105" s="39">
        <v>0</v>
      </c>
      <c r="AX105" s="55">
        <v>-104.73648131794</v>
      </c>
      <c r="AY105" s="39">
        <v>158.78132636312557</v>
      </c>
      <c r="AZ105" s="39">
        <v>0</v>
      </c>
      <c r="BA105" s="35">
        <v>-158.78132636312557</v>
      </c>
      <c r="BB105" s="39">
        <v>39.003700583199688</v>
      </c>
      <c r="BC105" s="39">
        <v>0</v>
      </c>
      <c r="BD105" s="55">
        <v>-39.003700583199688</v>
      </c>
      <c r="BE105" s="39">
        <v>0</v>
      </c>
      <c r="BF105" s="39">
        <v>0</v>
      </c>
      <c r="BG105" s="38">
        <v>0</v>
      </c>
      <c r="BH105" s="39">
        <v>0</v>
      </c>
      <c r="BI105" s="39">
        <v>0</v>
      </c>
      <c r="BJ105" s="55">
        <v>0</v>
      </c>
      <c r="BK105" s="39">
        <v>19.771301113804686</v>
      </c>
      <c r="BL105" s="39">
        <v>711</v>
      </c>
      <c r="BM105" s="38">
        <v>691.22869888619528</v>
      </c>
      <c r="BN105" s="39">
        <v>0</v>
      </c>
      <c r="BO105" s="39">
        <v>0</v>
      </c>
      <c r="BP105" s="55">
        <v>0</v>
      </c>
      <c r="BQ105" s="77">
        <v>322.29280937806993</v>
      </c>
      <c r="BR105" s="40">
        <v>711</v>
      </c>
      <c r="BS105" s="55">
        <v>388.70719062193007</v>
      </c>
      <c r="BT105" s="39">
        <v>1428.8055632265434</v>
      </c>
      <c r="BU105" s="39">
        <v>378.58338604496737</v>
      </c>
      <c r="BV105" s="52">
        <v>-1050.2221771815762</v>
      </c>
      <c r="BW105" s="39">
        <v>879.35993904153167</v>
      </c>
      <c r="BX105" s="39">
        <v>704.06140111108289</v>
      </c>
      <c r="BY105" s="52">
        <v>-175.29853793044879</v>
      </c>
      <c r="BZ105" s="39">
        <v>500.35197375187818</v>
      </c>
      <c r="CA105" s="39">
        <v>1672.6115986294385</v>
      </c>
      <c r="CB105" s="52">
        <v>1172.2596248775603</v>
      </c>
      <c r="CC105" s="39">
        <v>78.435343599662289</v>
      </c>
      <c r="CD105" s="39">
        <v>77.382104673547559</v>
      </c>
      <c r="CE105" s="52">
        <v>-1.0532389261147301</v>
      </c>
      <c r="CF105" s="39">
        <v>9.6558661628372136</v>
      </c>
      <c r="CG105" s="39">
        <v>0</v>
      </c>
      <c r="CH105" s="52">
        <v>-9.6558661628372136</v>
      </c>
      <c r="CI105" s="39">
        <v>230.84947718536966</v>
      </c>
      <c r="CJ105" s="39">
        <v>1717.1538631147091</v>
      </c>
      <c r="CK105" s="52">
        <v>1486.3043859293393</v>
      </c>
      <c r="CL105" s="39">
        <v>0</v>
      </c>
      <c r="CM105" s="39">
        <v>0</v>
      </c>
      <c r="CN105" s="52">
        <v>0</v>
      </c>
      <c r="CO105" s="39">
        <v>230.84947718536966</v>
      </c>
      <c r="CP105" s="40">
        <v>1717.1538631147091</v>
      </c>
      <c r="CQ105" s="52">
        <v>1486.3043859293393</v>
      </c>
      <c r="CR105" s="72">
        <v>6500.7083054751756</v>
      </c>
      <c r="CS105" s="5">
        <v>6747.9879016216873</v>
      </c>
      <c r="CT105" s="52">
        <v>247.27959614651172</v>
      </c>
      <c r="CU105" s="77">
        <v>7800.8499665702102</v>
      </c>
      <c r="CV105" s="65">
        <v>8097.5854819460246</v>
      </c>
      <c r="CW105" s="35">
        <v>296.73551537581443</v>
      </c>
      <c r="CX105" s="39">
        <v>0</v>
      </c>
      <c r="CY105" s="39">
        <v>-296.73551537581307</v>
      </c>
      <c r="CZ105" s="52">
        <v>-296.73551537581307</v>
      </c>
      <c r="DA105" s="150">
        <v>-12578.24627437394</v>
      </c>
      <c r="DB105" s="2">
        <v>2</v>
      </c>
      <c r="DC105" s="713">
        <v>6995.69</v>
      </c>
      <c r="DD105" s="714">
        <v>2400.75</v>
      </c>
      <c r="DE105" s="715">
        <v>3829.7956367743654</v>
      </c>
      <c r="DF105" s="716">
        <v>1666.2193799405286</v>
      </c>
      <c r="DG105" s="717">
        <v>9324.8791507767473</v>
      </c>
      <c r="DH105" s="718">
        <v>36979.407524029797</v>
      </c>
      <c r="DI105" s="718">
        <v>93610.199598842519</v>
      </c>
      <c r="DJ105" s="693">
        <v>79452.501580139331</v>
      </c>
      <c r="DK105" s="724"/>
      <c r="DL105" s="5"/>
      <c r="DM105" s="306">
        <v>6.7645870028965929</v>
      </c>
      <c r="DN105" s="306"/>
      <c r="DO105" s="306">
        <v>5.6372265545623286</v>
      </c>
      <c r="DP105" s="719">
        <v>3165.8943632256342</v>
      </c>
      <c r="DQ105" s="720">
        <v>734.53062005947152</v>
      </c>
      <c r="DR105" s="650">
        <v>3900.4249832851056</v>
      </c>
      <c r="DS105" s="94">
        <v>3900.4249832851046</v>
      </c>
      <c r="DT105" s="719">
        <v>3165.89</v>
      </c>
      <c r="DU105" s="725">
        <v>734.53</v>
      </c>
      <c r="DV105" s="93">
        <v>3900.42</v>
      </c>
      <c r="DW105" s="95">
        <v>3900.4249832851051</v>
      </c>
      <c r="DX105" s="28">
        <v>-4.98328510502688E-3</v>
      </c>
      <c r="EA105" s="5">
        <v>2079.6865998662893</v>
      </c>
      <c r="EB105" s="5">
        <v>853.19999999999993</v>
      </c>
      <c r="EE105" s="722">
        <v>16929.352286126054</v>
      </c>
      <c r="EG105" s="42" t="s">
        <v>159</v>
      </c>
    </row>
    <row r="106" spans="1:137" x14ac:dyDescent="0.3">
      <c r="A106" s="325">
        <v>150000609</v>
      </c>
      <c r="B106" s="41" t="s">
        <v>571</v>
      </c>
      <c r="C106" s="42" t="s">
        <v>160</v>
      </c>
      <c r="D106" s="27">
        <v>2</v>
      </c>
      <c r="E106" s="709">
        <v>465.59999999999997</v>
      </c>
      <c r="F106" s="723">
        <v>349.9</v>
      </c>
      <c r="G106" s="28"/>
      <c r="H106" s="651">
        <v>115.7</v>
      </c>
      <c r="I106" s="39">
        <v>348.13551215027348</v>
      </c>
      <c r="J106" s="39">
        <v>369.9968744591132</v>
      </c>
      <c r="K106" s="52">
        <v>21.861362308839716</v>
      </c>
      <c r="L106" s="39">
        <v>118.30907725192991</v>
      </c>
      <c r="M106" s="39">
        <v>128.54898934292908</v>
      </c>
      <c r="N106" s="52">
        <v>10.239912090999169</v>
      </c>
      <c r="O106" s="39">
        <v>112.08</v>
      </c>
      <c r="P106" s="39">
        <v>112.08</v>
      </c>
      <c r="Q106" s="52">
        <v>0</v>
      </c>
      <c r="R106" s="39">
        <v>0</v>
      </c>
      <c r="S106" s="39">
        <v>0</v>
      </c>
      <c r="T106" s="52">
        <v>0</v>
      </c>
      <c r="U106" s="39">
        <v>0</v>
      </c>
      <c r="V106" s="39">
        <v>0</v>
      </c>
      <c r="W106" s="52">
        <v>0</v>
      </c>
      <c r="X106" s="39">
        <v>201.19626340407379</v>
      </c>
      <c r="Y106" s="39">
        <v>276.61715089346683</v>
      </c>
      <c r="Z106" s="52">
        <v>75.420887489393039</v>
      </c>
      <c r="AA106" s="39">
        <v>0</v>
      </c>
      <c r="AB106" s="39">
        <v>0</v>
      </c>
      <c r="AC106" s="52">
        <v>0</v>
      </c>
      <c r="AD106" s="39">
        <v>331.8045269766323</v>
      </c>
      <c r="AE106" s="39">
        <v>278.42260432612517</v>
      </c>
      <c r="AF106" s="35">
        <v>-53.381922650507136</v>
      </c>
      <c r="AG106" s="77">
        <v>1111.5253797829096</v>
      </c>
      <c r="AH106" s="53">
        <v>1165.6656190216343</v>
      </c>
      <c r="AI106" s="52">
        <v>54.140239238724689</v>
      </c>
      <c r="AJ106" s="39">
        <v>0</v>
      </c>
      <c r="AK106" s="39">
        <v>0</v>
      </c>
      <c r="AL106" s="52">
        <v>0</v>
      </c>
      <c r="AM106" s="39">
        <v>0</v>
      </c>
      <c r="AN106" s="39">
        <v>0</v>
      </c>
      <c r="AO106" s="52">
        <v>0</v>
      </c>
      <c r="AP106" s="39">
        <v>142.05264643404746</v>
      </c>
      <c r="AQ106" s="39">
        <v>0</v>
      </c>
      <c r="AR106" s="52">
        <v>-142.05264643404746</v>
      </c>
      <c r="AS106" s="39">
        <v>1231.8455391580062</v>
      </c>
      <c r="AT106" s="39">
        <v>0</v>
      </c>
      <c r="AU106" s="54">
        <v>-1231.8455391580062</v>
      </c>
      <c r="AV106" s="39">
        <v>74.37925463325017</v>
      </c>
      <c r="AW106" s="39">
        <v>0</v>
      </c>
      <c r="AX106" s="55">
        <v>-74.37925463325017</v>
      </c>
      <c r="AY106" s="39">
        <v>152.46894747690439</v>
      </c>
      <c r="AZ106" s="39">
        <v>0</v>
      </c>
      <c r="BA106" s="35">
        <v>-152.46894747690439</v>
      </c>
      <c r="BB106" s="39">
        <v>37.303148170468859</v>
      </c>
      <c r="BC106" s="39">
        <v>0</v>
      </c>
      <c r="BD106" s="55">
        <v>-37.303148170468859</v>
      </c>
      <c r="BE106" s="39">
        <v>0</v>
      </c>
      <c r="BF106" s="39">
        <v>0</v>
      </c>
      <c r="BG106" s="38">
        <v>0</v>
      </c>
      <c r="BH106" s="39">
        <v>0</v>
      </c>
      <c r="BI106" s="39">
        <v>0</v>
      </c>
      <c r="BJ106" s="55">
        <v>0</v>
      </c>
      <c r="BK106" s="39">
        <v>19.771301113804686</v>
      </c>
      <c r="BL106" s="39">
        <v>711</v>
      </c>
      <c r="BM106" s="38">
        <v>691.22869888619528</v>
      </c>
      <c r="BN106" s="39">
        <v>0</v>
      </c>
      <c r="BO106" s="39">
        <v>0</v>
      </c>
      <c r="BP106" s="55">
        <v>0</v>
      </c>
      <c r="BQ106" s="77">
        <v>283.9226513944281</v>
      </c>
      <c r="BR106" s="40">
        <v>711</v>
      </c>
      <c r="BS106" s="55">
        <v>427.0773486055719</v>
      </c>
      <c r="BT106" s="39">
        <v>1296.7527311018016</v>
      </c>
      <c r="BU106" s="39">
        <v>246.0050273543718</v>
      </c>
      <c r="BV106" s="52">
        <v>-1050.7477037474298</v>
      </c>
      <c r="BW106" s="39">
        <v>368.3796602903484</v>
      </c>
      <c r="BX106" s="39">
        <v>251.49336669454988</v>
      </c>
      <c r="BY106" s="52">
        <v>-116.88629359579852</v>
      </c>
      <c r="BZ106" s="39">
        <v>275.36500722255391</v>
      </c>
      <c r="CA106" s="39">
        <v>1220.2471353550065</v>
      </c>
      <c r="CB106" s="52">
        <v>944.88212813245264</v>
      </c>
      <c r="CC106" s="39">
        <v>30.393695644869137</v>
      </c>
      <c r="CD106" s="39">
        <v>29.985565560999682</v>
      </c>
      <c r="CE106" s="52">
        <v>-0.40813008386945526</v>
      </c>
      <c r="CF106" s="39">
        <v>3.7416481380994209</v>
      </c>
      <c r="CG106" s="39">
        <v>0</v>
      </c>
      <c r="CH106" s="52">
        <v>-3.7416481380994209</v>
      </c>
      <c r="CI106" s="39">
        <v>102.94638847455674</v>
      </c>
      <c r="CJ106" s="39">
        <v>177.07138872799104</v>
      </c>
      <c r="CK106" s="52">
        <v>74.125000253434294</v>
      </c>
      <c r="CL106" s="39">
        <v>0</v>
      </c>
      <c r="CM106" s="39">
        <v>0</v>
      </c>
      <c r="CN106" s="52">
        <v>0</v>
      </c>
      <c r="CO106" s="39">
        <v>102.94638847455674</v>
      </c>
      <c r="CP106" s="40">
        <v>177.07138872799104</v>
      </c>
      <c r="CQ106" s="52">
        <v>74.125000253434294</v>
      </c>
      <c r="CR106" s="72">
        <v>4846.9253476416197</v>
      </c>
      <c r="CS106" s="5">
        <v>3801.4681027145534</v>
      </c>
      <c r="CT106" s="52">
        <v>-1045.4572449270663</v>
      </c>
      <c r="CU106" s="77">
        <v>5816.3104171699433</v>
      </c>
      <c r="CV106" s="65">
        <v>4561.7617232574639</v>
      </c>
      <c r="CW106" s="35">
        <v>-1254.5486939124794</v>
      </c>
      <c r="CX106" s="39">
        <v>145.40776042924858</v>
      </c>
      <c r="CY106" s="39">
        <v>1399.9564543417284</v>
      </c>
      <c r="CZ106" s="52">
        <v>1254.5486939124798</v>
      </c>
      <c r="DA106" s="150">
        <v>3639.1377916379497</v>
      </c>
      <c r="DB106" s="2">
        <v>2</v>
      </c>
      <c r="DC106" s="713">
        <v>13716.35</v>
      </c>
      <c r="DD106" s="714">
        <v>1357</v>
      </c>
      <c r="DE106" s="715">
        <v>11419.926387266391</v>
      </c>
      <c r="DF106" s="716">
        <v>672.56452393401321</v>
      </c>
      <c r="DG106" s="717">
        <v>15807.349394978424</v>
      </c>
      <c r="DH106" s="718">
        <v>28812.698359637317</v>
      </c>
      <c r="DI106" s="718">
        <v>71540.618131190306</v>
      </c>
      <c r="DJ106" s="693">
        <v>60858.638188302059</v>
      </c>
      <c r="DK106" s="724"/>
      <c r="DL106" s="5"/>
      <c r="DM106" s="306">
        <v>6.5630854893787074</v>
      </c>
      <c r="DN106" s="306"/>
      <c r="DO106" s="306">
        <v>5.9156048061018733</v>
      </c>
      <c r="DP106" s="719">
        <v>2296.4236127336094</v>
      </c>
      <c r="DQ106" s="720">
        <v>684.43547606598679</v>
      </c>
      <c r="DR106" s="650">
        <v>2980.8590887995961</v>
      </c>
      <c r="DS106" s="94">
        <v>2980.8590887995961</v>
      </c>
      <c r="DT106" s="719">
        <v>2296.4299999999998</v>
      </c>
      <c r="DU106" s="725">
        <v>684.45</v>
      </c>
      <c r="DV106" s="93">
        <v>2980.88</v>
      </c>
      <c r="DW106" s="95">
        <v>2995.3998648425209</v>
      </c>
      <c r="DX106" s="28">
        <v>-14.519864842520747</v>
      </c>
      <c r="EA106" s="5">
        <v>1818.9218286629211</v>
      </c>
      <c r="EB106" s="5">
        <v>853.19999999999993</v>
      </c>
      <c r="EE106" s="722">
        <v>14782.146469896074</v>
      </c>
      <c r="EG106" s="42" t="s">
        <v>160</v>
      </c>
    </row>
    <row r="107" spans="1:137" x14ac:dyDescent="0.3">
      <c r="A107" s="325">
        <v>150000610</v>
      </c>
      <c r="B107" s="41" t="s">
        <v>572</v>
      </c>
      <c r="C107" s="42" t="s">
        <v>161</v>
      </c>
      <c r="D107" s="27">
        <v>2</v>
      </c>
      <c r="E107" s="709">
        <v>475.2</v>
      </c>
      <c r="F107" s="723">
        <v>475.2</v>
      </c>
      <c r="G107" s="28"/>
      <c r="H107" s="651">
        <v>0</v>
      </c>
      <c r="I107" s="39">
        <v>159.15974780912475</v>
      </c>
      <c r="J107" s="39">
        <v>171.02765740486171</v>
      </c>
      <c r="K107" s="52">
        <v>11.867909595736961</v>
      </c>
      <c r="L107" s="39">
        <v>98.68122340274779</v>
      </c>
      <c r="M107" s="39">
        <v>107.22239586294339</v>
      </c>
      <c r="N107" s="52">
        <v>8.5411724601955967</v>
      </c>
      <c r="O107" s="39">
        <v>111.26</v>
      </c>
      <c r="P107" s="39">
        <v>111.26</v>
      </c>
      <c r="Q107" s="52">
        <v>0</v>
      </c>
      <c r="R107" s="39">
        <v>0</v>
      </c>
      <c r="S107" s="39">
        <v>0</v>
      </c>
      <c r="T107" s="52">
        <v>0</v>
      </c>
      <c r="U107" s="39">
        <v>0</v>
      </c>
      <c r="V107" s="39">
        <v>0</v>
      </c>
      <c r="W107" s="52">
        <v>0</v>
      </c>
      <c r="X107" s="39">
        <v>98.891409429387878</v>
      </c>
      <c r="Y107" s="39">
        <v>215.6315528089907</v>
      </c>
      <c r="Z107" s="52">
        <v>116.74014337960283</v>
      </c>
      <c r="AA107" s="39">
        <v>0</v>
      </c>
      <c r="AB107" s="39">
        <v>0</v>
      </c>
      <c r="AC107" s="52">
        <v>0</v>
      </c>
      <c r="AD107" s="39">
        <v>338.64585742975873</v>
      </c>
      <c r="AE107" s="39">
        <v>284.16327658027211</v>
      </c>
      <c r="AF107" s="35">
        <v>-54.482580849486624</v>
      </c>
      <c r="AG107" s="77">
        <v>806.63823807101915</v>
      </c>
      <c r="AH107" s="53">
        <v>889.30488265706799</v>
      </c>
      <c r="AI107" s="52">
        <v>82.666644586048847</v>
      </c>
      <c r="AJ107" s="39">
        <v>0</v>
      </c>
      <c r="AK107" s="39">
        <v>0</v>
      </c>
      <c r="AL107" s="52">
        <v>0</v>
      </c>
      <c r="AM107" s="39">
        <v>0</v>
      </c>
      <c r="AN107" s="39">
        <v>0</v>
      </c>
      <c r="AO107" s="52">
        <v>0</v>
      </c>
      <c r="AP107" s="39">
        <v>189.40352857872995</v>
      </c>
      <c r="AQ107" s="39">
        <v>0</v>
      </c>
      <c r="AR107" s="52">
        <v>-189.40352857872995</v>
      </c>
      <c r="AS107" s="39">
        <v>1159.589904724319</v>
      </c>
      <c r="AT107" s="39">
        <v>0</v>
      </c>
      <c r="AU107" s="54">
        <v>-1159.589904724319</v>
      </c>
      <c r="AV107" s="39">
        <v>103.00123221737752</v>
      </c>
      <c r="AW107" s="39">
        <v>0</v>
      </c>
      <c r="AX107" s="55">
        <v>-103.00123221737752</v>
      </c>
      <c r="AY107" s="39">
        <v>127.17072778043382</v>
      </c>
      <c r="AZ107" s="39">
        <v>0</v>
      </c>
      <c r="BA107" s="35">
        <v>-127.17072778043382</v>
      </c>
      <c r="BB107" s="39">
        <v>36.881382527661664</v>
      </c>
      <c r="BC107" s="39">
        <v>0</v>
      </c>
      <c r="BD107" s="55">
        <v>-36.881382527661664</v>
      </c>
      <c r="BE107" s="39">
        <v>0</v>
      </c>
      <c r="BF107" s="39">
        <v>0</v>
      </c>
      <c r="BG107" s="38">
        <v>0</v>
      </c>
      <c r="BH107" s="39">
        <v>0</v>
      </c>
      <c r="BI107" s="39">
        <v>0</v>
      </c>
      <c r="BJ107" s="55">
        <v>0</v>
      </c>
      <c r="BK107" s="39">
        <v>19.771277081972755</v>
      </c>
      <c r="BL107" s="39">
        <v>711</v>
      </c>
      <c r="BM107" s="38">
        <v>691.22872291802719</v>
      </c>
      <c r="BN107" s="39">
        <v>0</v>
      </c>
      <c r="BO107" s="39">
        <v>0</v>
      </c>
      <c r="BP107" s="55">
        <v>0</v>
      </c>
      <c r="BQ107" s="77">
        <v>286.82461960744575</v>
      </c>
      <c r="BR107" s="40">
        <v>711</v>
      </c>
      <c r="BS107" s="55">
        <v>424.17538039255425</v>
      </c>
      <c r="BT107" s="39">
        <v>1282.5886538623627</v>
      </c>
      <c r="BU107" s="39">
        <v>329.59908178795092</v>
      </c>
      <c r="BV107" s="52">
        <v>-952.98957207441174</v>
      </c>
      <c r="BW107" s="39">
        <v>494.3183874156116</v>
      </c>
      <c r="BX107" s="39">
        <v>371.24290693472506</v>
      </c>
      <c r="BY107" s="52">
        <v>-123.07548048088654</v>
      </c>
      <c r="BZ107" s="39">
        <v>424.88204479117491</v>
      </c>
      <c r="CA107" s="39">
        <v>1392.927604355008</v>
      </c>
      <c r="CB107" s="52">
        <v>968.04555956383319</v>
      </c>
      <c r="CC107" s="39">
        <v>0</v>
      </c>
      <c r="CD107" s="39">
        <v>0</v>
      </c>
      <c r="CE107" s="52">
        <v>0</v>
      </c>
      <c r="CF107" s="39">
        <v>0</v>
      </c>
      <c r="CG107" s="39">
        <v>0</v>
      </c>
      <c r="CH107" s="52">
        <v>0</v>
      </c>
      <c r="CI107" s="39">
        <v>49.913400472512365</v>
      </c>
      <c r="CJ107" s="39">
        <v>112.35788085033951</v>
      </c>
      <c r="CK107" s="52">
        <v>62.444480377827148</v>
      </c>
      <c r="CL107" s="39">
        <v>0</v>
      </c>
      <c r="CM107" s="39">
        <v>0</v>
      </c>
      <c r="CN107" s="52">
        <v>0</v>
      </c>
      <c r="CO107" s="39">
        <v>49.913400472512365</v>
      </c>
      <c r="CP107" s="40">
        <v>112.35788085033951</v>
      </c>
      <c r="CQ107" s="52">
        <v>62.444480377827148</v>
      </c>
      <c r="CR107" s="72">
        <v>4694.1587775231746</v>
      </c>
      <c r="CS107" s="5">
        <v>3806.4323565850914</v>
      </c>
      <c r="CT107" s="52">
        <v>-887.72642093808327</v>
      </c>
      <c r="CU107" s="77">
        <v>5632.9905330278098</v>
      </c>
      <c r="CV107" s="65">
        <v>4567.7188279021093</v>
      </c>
      <c r="CW107" s="35">
        <v>-1065.2717051257005</v>
      </c>
      <c r="CX107" s="39">
        <v>140.82476332569524</v>
      </c>
      <c r="CY107" s="39">
        <v>1206.0964684513949</v>
      </c>
      <c r="CZ107" s="52">
        <v>1065.2717051256996</v>
      </c>
      <c r="DA107" s="150">
        <v>-2828.3937223847233</v>
      </c>
      <c r="DB107" s="2">
        <v>2</v>
      </c>
      <c r="DC107" s="713">
        <v>12490.76</v>
      </c>
      <c r="DD107" s="714"/>
      <c r="DE107" s="715">
        <v>9603.8523518232469</v>
      </c>
      <c r="DF107" s="716">
        <v>0</v>
      </c>
      <c r="DG107" s="717">
        <v>-6981.5426316935518</v>
      </c>
      <c r="DH107" s="718">
        <v>27623.698650040245</v>
      </c>
      <c r="DI107" s="718">
        <v>69285.783556242066</v>
      </c>
      <c r="DJ107" s="693">
        <v>58870.262329691606</v>
      </c>
      <c r="DK107" s="724"/>
      <c r="DL107" s="5"/>
      <c r="DM107" s="306">
        <v>6.0751423572743111</v>
      </c>
      <c r="DN107" s="306"/>
      <c r="DO107" s="306">
        <v>5.435399494773046</v>
      </c>
      <c r="DP107" s="719">
        <v>2886.9076481767524</v>
      </c>
      <c r="DQ107" s="720">
        <v>0</v>
      </c>
      <c r="DR107" s="650">
        <v>2886.9076481767524</v>
      </c>
      <c r="DS107" s="94">
        <v>2886.9076481767524</v>
      </c>
      <c r="DT107" s="719">
        <v>2886.88</v>
      </c>
      <c r="DU107" s="721"/>
      <c r="DV107" s="93">
        <v>2886.88</v>
      </c>
      <c r="DW107" s="95">
        <v>2900.990124509322</v>
      </c>
      <c r="DX107" s="28">
        <v>-14.110124509321849</v>
      </c>
      <c r="EA107" s="5">
        <v>1735.6974291981178</v>
      </c>
      <c r="EB107" s="5">
        <v>853.19999999999993</v>
      </c>
      <c r="EE107" s="722">
        <v>13915.078856691827</v>
      </c>
      <c r="EG107" s="42" t="s">
        <v>161</v>
      </c>
    </row>
    <row r="108" spans="1:137" x14ac:dyDescent="0.3">
      <c r="A108" s="325">
        <v>150000611</v>
      </c>
      <c r="B108" s="41" t="s">
        <v>573</v>
      </c>
      <c r="C108" s="42" t="s">
        <v>196</v>
      </c>
      <c r="D108" s="27">
        <v>3</v>
      </c>
      <c r="E108" s="709">
        <v>1108</v>
      </c>
      <c r="F108" s="723">
        <v>1053.5</v>
      </c>
      <c r="G108" s="28"/>
      <c r="H108" s="651">
        <v>54.5</v>
      </c>
      <c r="I108" s="39">
        <v>760.6743199595129</v>
      </c>
      <c r="J108" s="39">
        <v>817.64069272143149</v>
      </c>
      <c r="K108" s="52">
        <v>56.966372761918592</v>
      </c>
      <c r="L108" s="39">
        <v>162.7921240131183</v>
      </c>
      <c r="M108" s="39">
        <v>176.88212331013298</v>
      </c>
      <c r="N108" s="52">
        <v>14.089999297014685</v>
      </c>
      <c r="O108" s="39">
        <v>222.82</v>
      </c>
      <c r="P108" s="39">
        <v>222.82</v>
      </c>
      <c r="Q108" s="52">
        <v>0</v>
      </c>
      <c r="R108" s="39">
        <v>0</v>
      </c>
      <c r="S108" s="39">
        <v>0</v>
      </c>
      <c r="T108" s="52">
        <v>0</v>
      </c>
      <c r="U108" s="39">
        <v>0</v>
      </c>
      <c r="V108" s="39">
        <v>0</v>
      </c>
      <c r="W108" s="52">
        <v>0</v>
      </c>
      <c r="X108" s="39">
        <v>352.33651879988565</v>
      </c>
      <c r="Y108" s="39">
        <v>196.90906003937209</v>
      </c>
      <c r="Z108" s="52">
        <v>-155.42745876051356</v>
      </c>
      <c r="AA108" s="39">
        <v>0</v>
      </c>
      <c r="AB108" s="39">
        <v>0</v>
      </c>
      <c r="AC108" s="52">
        <v>0</v>
      </c>
      <c r="AD108" s="39">
        <v>789.60355646500989</v>
      </c>
      <c r="AE108" s="39">
        <v>662.56925599945612</v>
      </c>
      <c r="AF108" s="35">
        <v>-127.03430046555377</v>
      </c>
      <c r="AG108" s="77">
        <v>2288.2265192375266</v>
      </c>
      <c r="AH108" s="53">
        <v>2076.8211320703931</v>
      </c>
      <c r="AI108" s="52">
        <v>-211.40538716713354</v>
      </c>
      <c r="AJ108" s="39">
        <v>0</v>
      </c>
      <c r="AK108" s="39">
        <v>0</v>
      </c>
      <c r="AL108" s="52">
        <v>0</v>
      </c>
      <c r="AM108" s="39">
        <v>0</v>
      </c>
      <c r="AN108" s="39">
        <v>0</v>
      </c>
      <c r="AO108" s="52">
        <v>0</v>
      </c>
      <c r="AP108" s="39">
        <v>568.21058573618984</v>
      </c>
      <c r="AQ108" s="39">
        <v>0</v>
      </c>
      <c r="AR108" s="52">
        <v>-568.21058573618984</v>
      </c>
      <c r="AS108" s="39">
        <v>1909.0894452390098</v>
      </c>
      <c r="AT108" s="39">
        <v>0</v>
      </c>
      <c r="AU108" s="54">
        <v>-1909.0894452390098</v>
      </c>
      <c r="AV108" s="39">
        <v>128.09725591400303</v>
      </c>
      <c r="AW108" s="39">
        <v>0</v>
      </c>
      <c r="AX108" s="55">
        <v>-128.09725591400303</v>
      </c>
      <c r="AY108" s="39">
        <v>209.79530050336243</v>
      </c>
      <c r="AZ108" s="39">
        <v>0</v>
      </c>
      <c r="BA108" s="35">
        <v>-209.79530050336243</v>
      </c>
      <c r="BB108" s="39">
        <v>132.3516939143727</v>
      </c>
      <c r="BC108" s="39">
        <v>0</v>
      </c>
      <c r="BD108" s="55">
        <v>-132.3516939143727</v>
      </c>
      <c r="BE108" s="39">
        <v>0</v>
      </c>
      <c r="BF108" s="39">
        <v>0</v>
      </c>
      <c r="BG108" s="38">
        <v>0</v>
      </c>
      <c r="BH108" s="39">
        <v>0</v>
      </c>
      <c r="BI108" s="39">
        <v>0</v>
      </c>
      <c r="BJ108" s="55">
        <v>0</v>
      </c>
      <c r="BK108" s="39">
        <v>35.916195899513809</v>
      </c>
      <c r="BL108" s="39">
        <v>0</v>
      </c>
      <c r="BM108" s="38">
        <v>-35.916195899513809</v>
      </c>
      <c r="BN108" s="39">
        <v>0</v>
      </c>
      <c r="BO108" s="39">
        <v>0</v>
      </c>
      <c r="BP108" s="55">
        <v>0</v>
      </c>
      <c r="BQ108" s="77">
        <v>506.16044623125197</v>
      </c>
      <c r="BR108" s="40">
        <v>0</v>
      </c>
      <c r="BS108" s="55">
        <v>-506.16044623125197</v>
      </c>
      <c r="BT108" s="39">
        <v>2632.4025855748146</v>
      </c>
      <c r="BU108" s="39">
        <v>479.98185376843662</v>
      </c>
      <c r="BV108" s="52">
        <v>-2152.4207318063782</v>
      </c>
      <c r="BW108" s="39">
        <v>1247.34724859518</v>
      </c>
      <c r="BX108" s="39">
        <v>857.56377981423771</v>
      </c>
      <c r="BY108" s="52">
        <v>-389.78346878094226</v>
      </c>
      <c r="BZ108" s="39">
        <v>979.06410663350448</v>
      </c>
      <c r="CA108" s="39">
        <v>2561.5845481340757</v>
      </c>
      <c r="CB108" s="52">
        <v>1582.5204415005712</v>
      </c>
      <c r="CC108" s="39">
        <v>43.139438979814258</v>
      </c>
      <c r="CD108" s="39">
        <v>42.560157570451167</v>
      </c>
      <c r="CE108" s="52">
        <v>-0.57928140936309092</v>
      </c>
      <c r="CF108" s="39">
        <v>5.3107263895604673</v>
      </c>
      <c r="CG108" s="39">
        <v>0</v>
      </c>
      <c r="CH108" s="52">
        <v>-5.3107263895604673</v>
      </c>
      <c r="CI108" s="39">
        <v>340.03504071899044</v>
      </c>
      <c r="CJ108" s="39">
        <v>471.03972624229175</v>
      </c>
      <c r="CK108" s="52">
        <v>131.0046855233013</v>
      </c>
      <c r="CL108" s="39">
        <v>0</v>
      </c>
      <c r="CM108" s="39">
        <v>0</v>
      </c>
      <c r="CN108" s="52">
        <v>0</v>
      </c>
      <c r="CO108" s="39">
        <v>340.03504071899044</v>
      </c>
      <c r="CP108" s="40">
        <v>471.03972624229175</v>
      </c>
      <c r="CQ108" s="52">
        <v>131.0046855233013</v>
      </c>
      <c r="CR108" s="72">
        <v>10518.986143335844</v>
      </c>
      <c r="CS108" s="5">
        <v>6489.551197599887</v>
      </c>
      <c r="CT108" s="52">
        <v>-4029.4349457359567</v>
      </c>
      <c r="CU108" s="77">
        <v>12622.783372003012</v>
      </c>
      <c r="CV108" s="65">
        <v>7787.4614371198641</v>
      </c>
      <c r="CW108" s="35">
        <v>-4835.3219348831481</v>
      </c>
      <c r="CX108" s="39">
        <v>0</v>
      </c>
      <c r="CY108" s="39">
        <v>4835.3219348831499</v>
      </c>
      <c r="CZ108" s="52">
        <v>4835.3219348831499</v>
      </c>
      <c r="DA108" s="150">
        <v>47229.906662119029</v>
      </c>
      <c r="DB108" s="2">
        <v>2</v>
      </c>
      <c r="DC108" s="713">
        <v>7920.04</v>
      </c>
      <c r="DD108" s="714">
        <v>1641.72</v>
      </c>
      <c r="DE108" s="715">
        <v>1882.2788120652986</v>
      </c>
      <c r="DF108" s="716">
        <v>1416.24</v>
      </c>
      <c r="DG108" s="717">
        <v>21863.897444827697</v>
      </c>
      <c r="DH108" s="718">
        <v>60775.656602330317</v>
      </c>
      <c r="DI108" s="718">
        <v>151473.40046403615</v>
      </c>
      <c r="DJ108" s="693">
        <v>128798.96449860968</v>
      </c>
      <c r="DK108" s="724"/>
      <c r="DL108" s="5"/>
      <c r="DM108" s="306">
        <v>5.7311449339674434</v>
      </c>
      <c r="DN108" s="306"/>
      <c r="DO108" s="306">
        <v>5.0207430837945832</v>
      </c>
      <c r="DP108" s="719">
        <v>6037.7611879347014</v>
      </c>
      <c r="DQ108" s="720">
        <v>225.48</v>
      </c>
      <c r="DR108" s="650">
        <v>6263.241187934701</v>
      </c>
      <c r="DS108" s="94">
        <v>6359.5421840683111</v>
      </c>
      <c r="DT108" s="719">
        <v>6036.57</v>
      </c>
      <c r="DU108" s="725">
        <v>273.62</v>
      </c>
      <c r="DV108" s="93">
        <v>6310.19</v>
      </c>
      <c r="DW108" s="95">
        <v>6311.3916860015061</v>
      </c>
      <c r="DX108" s="28">
        <v>-1.2016860015064594</v>
      </c>
      <c r="EA108" s="5">
        <v>2898.2998697643143</v>
      </c>
      <c r="EB108" s="5">
        <v>0</v>
      </c>
      <c r="EE108" s="722">
        <v>22909.07334286812</v>
      </c>
      <c r="EG108" s="42" t="s">
        <v>196</v>
      </c>
    </row>
    <row r="109" spans="1:137" x14ac:dyDescent="0.3">
      <c r="A109" s="325">
        <v>150000623</v>
      </c>
      <c r="B109" s="41" t="s">
        <v>574</v>
      </c>
      <c r="C109" s="42" t="s">
        <v>210</v>
      </c>
      <c r="D109" s="27">
        <v>4</v>
      </c>
      <c r="E109" s="709">
        <v>1472.6</v>
      </c>
      <c r="F109" s="723">
        <v>1379.8</v>
      </c>
      <c r="G109" s="28"/>
      <c r="H109" s="651">
        <v>92.8</v>
      </c>
      <c r="I109" s="39">
        <v>891.33220340056687</v>
      </c>
      <c r="J109" s="39">
        <v>957.39821383962681</v>
      </c>
      <c r="K109" s="52">
        <v>66.066010439059937</v>
      </c>
      <c r="L109" s="39">
        <v>155.93696190418538</v>
      </c>
      <c r="M109" s="39">
        <v>169.43389091385654</v>
      </c>
      <c r="N109" s="52">
        <v>13.496929009671163</v>
      </c>
      <c r="O109" s="39">
        <v>354.9</v>
      </c>
      <c r="P109" s="39">
        <v>354.9</v>
      </c>
      <c r="Q109" s="52">
        <v>0</v>
      </c>
      <c r="R109" s="39">
        <v>0</v>
      </c>
      <c r="S109" s="39">
        <v>0</v>
      </c>
      <c r="T109" s="52">
        <v>0</v>
      </c>
      <c r="U109" s="39">
        <v>0</v>
      </c>
      <c r="V109" s="39">
        <v>0</v>
      </c>
      <c r="W109" s="52">
        <v>0</v>
      </c>
      <c r="X109" s="39">
        <v>488.88020781717967</v>
      </c>
      <c r="Y109" s="39">
        <v>293.58852619143789</v>
      </c>
      <c r="Z109" s="52">
        <v>-195.29168162574177</v>
      </c>
      <c r="AA109" s="39">
        <v>0</v>
      </c>
      <c r="AB109" s="39">
        <v>0</v>
      </c>
      <c r="AC109" s="52">
        <v>0</v>
      </c>
      <c r="AD109" s="39">
        <v>1049.431585966041</v>
      </c>
      <c r="AE109" s="39">
        <v>880.59520431841054</v>
      </c>
      <c r="AF109" s="35">
        <v>-168.83638164763045</v>
      </c>
      <c r="AG109" s="77">
        <v>2940.4809590879731</v>
      </c>
      <c r="AH109" s="53">
        <v>2655.9158352633317</v>
      </c>
      <c r="AI109" s="52">
        <v>-284.56512382464143</v>
      </c>
      <c r="AJ109" s="39">
        <v>0</v>
      </c>
      <c r="AK109" s="39">
        <v>0</v>
      </c>
      <c r="AL109" s="52">
        <v>0</v>
      </c>
      <c r="AM109" s="39">
        <v>0</v>
      </c>
      <c r="AN109" s="39">
        <v>0</v>
      </c>
      <c r="AO109" s="52">
        <v>0</v>
      </c>
      <c r="AP109" s="39">
        <v>710.2632321702373</v>
      </c>
      <c r="AQ109" s="39">
        <v>0</v>
      </c>
      <c r="AR109" s="52">
        <v>-710.2632321702373</v>
      </c>
      <c r="AS109" s="39">
        <v>3154.2915281237479</v>
      </c>
      <c r="AT109" s="39">
        <v>0</v>
      </c>
      <c r="AU109" s="54">
        <v>-3154.2915281237479</v>
      </c>
      <c r="AV109" s="39">
        <v>149.27602959383947</v>
      </c>
      <c r="AW109" s="39">
        <v>0</v>
      </c>
      <c r="AX109" s="55">
        <v>-149.27602959383947</v>
      </c>
      <c r="AY109" s="39">
        <v>200.97730468011736</v>
      </c>
      <c r="AZ109" s="39">
        <v>0</v>
      </c>
      <c r="BA109" s="35">
        <v>-200.97730468011736</v>
      </c>
      <c r="BB109" s="39">
        <v>166.70191689660794</v>
      </c>
      <c r="BC109" s="39">
        <v>0</v>
      </c>
      <c r="BD109" s="55">
        <v>-166.70191689660794</v>
      </c>
      <c r="BE109" s="39">
        <v>0</v>
      </c>
      <c r="BF109" s="39">
        <v>0</v>
      </c>
      <c r="BG109" s="38">
        <v>0</v>
      </c>
      <c r="BH109" s="39">
        <v>0</v>
      </c>
      <c r="BI109" s="39">
        <v>0</v>
      </c>
      <c r="BJ109" s="55">
        <v>0</v>
      </c>
      <c r="BK109" s="39">
        <v>60.485387360254336</v>
      </c>
      <c r="BL109" s="39">
        <v>0</v>
      </c>
      <c r="BM109" s="38">
        <v>-60.485387360254336</v>
      </c>
      <c r="BN109" s="39">
        <v>0</v>
      </c>
      <c r="BO109" s="39">
        <v>0</v>
      </c>
      <c r="BP109" s="55">
        <v>0</v>
      </c>
      <c r="BQ109" s="77">
        <v>577.44063853081911</v>
      </c>
      <c r="BR109" s="40">
        <v>0</v>
      </c>
      <c r="BS109" s="55">
        <v>-577.44063853081911</v>
      </c>
      <c r="BT109" s="39">
        <v>2997.3921988985448</v>
      </c>
      <c r="BU109" s="39">
        <v>613.50675995207837</v>
      </c>
      <c r="BV109" s="52">
        <v>-2383.8854389464664</v>
      </c>
      <c r="BW109" s="39">
        <v>1468.0397114384098</v>
      </c>
      <c r="BX109" s="39">
        <v>1038.0184493218446</v>
      </c>
      <c r="BY109" s="52">
        <v>-430.02126211656514</v>
      </c>
      <c r="BZ109" s="39">
        <v>1268.9627243679831</v>
      </c>
      <c r="CA109" s="39">
        <v>3353.0970009887164</v>
      </c>
      <c r="CB109" s="52">
        <v>2084.1342766207335</v>
      </c>
      <c r="CC109" s="39">
        <v>61.277612187236159</v>
      </c>
      <c r="CD109" s="39">
        <v>60.454769276209028</v>
      </c>
      <c r="CE109" s="52">
        <v>-0.8228429110271307</v>
      </c>
      <c r="CF109" s="39">
        <v>7.5436454397165722</v>
      </c>
      <c r="CG109" s="39">
        <v>0</v>
      </c>
      <c r="CH109" s="52">
        <v>-7.5436454397165722</v>
      </c>
      <c r="CI109" s="39">
        <v>505.37317978418764</v>
      </c>
      <c r="CJ109" s="39">
        <v>855.97117195273279</v>
      </c>
      <c r="CK109" s="52">
        <v>350.59799216854515</v>
      </c>
      <c r="CL109" s="39">
        <v>0</v>
      </c>
      <c r="CM109" s="39">
        <v>0</v>
      </c>
      <c r="CN109" s="52">
        <v>0</v>
      </c>
      <c r="CO109" s="39">
        <v>505.37317978418764</v>
      </c>
      <c r="CP109" s="40">
        <v>855.97117195273279</v>
      </c>
      <c r="CQ109" s="52">
        <v>350.59799216854515</v>
      </c>
      <c r="CR109" s="72">
        <v>13691.065430028855</v>
      </c>
      <c r="CS109" s="5">
        <v>8576.9639867549122</v>
      </c>
      <c r="CT109" s="52">
        <v>-5114.101443273943</v>
      </c>
      <c r="CU109" s="77">
        <v>16429.278516034625</v>
      </c>
      <c r="CV109" s="65">
        <v>10292.356784105894</v>
      </c>
      <c r="CW109" s="35">
        <v>-6136.9217319287309</v>
      </c>
      <c r="CX109" s="39">
        <v>246.43917774051937</v>
      </c>
      <c r="CY109" s="39">
        <v>6383.3609096692471</v>
      </c>
      <c r="CZ109" s="52">
        <v>6136.9217319287281</v>
      </c>
      <c r="DA109" s="150">
        <v>-19851.011077831878</v>
      </c>
      <c r="DB109" s="2">
        <v>2</v>
      </c>
      <c r="DC109" s="713">
        <v>11501.2</v>
      </c>
      <c r="DD109" s="714">
        <v>1266.92</v>
      </c>
      <c r="DE109" s="715">
        <v>3632.4344188270034</v>
      </c>
      <c r="DF109" s="716">
        <v>797.82673428542535</v>
      </c>
      <c r="DG109" s="717">
        <v>-18832.941522536657</v>
      </c>
      <c r="DH109" s="718">
        <v>80361.658273865032</v>
      </c>
      <c r="DI109" s="718">
        <v>200108.61232530171</v>
      </c>
      <c r="DJ109" s="693">
        <v>170171.87381244253</v>
      </c>
      <c r="DK109" s="724"/>
      <c r="DL109" s="5"/>
      <c r="DM109" s="306">
        <v>5.7028305415081881</v>
      </c>
      <c r="DN109" s="306"/>
      <c r="DO109" s="306">
        <v>5.0548843288208483</v>
      </c>
      <c r="DP109" s="719">
        <v>7868.7655811729974</v>
      </c>
      <c r="DQ109" s="720">
        <v>469.09326571457473</v>
      </c>
      <c r="DR109" s="650">
        <v>8337.8588468875714</v>
      </c>
      <c r="DS109" s="94">
        <v>8337.8588468875714</v>
      </c>
      <c r="DT109" s="719">
        <v>7868.73</v>
      </c>
      <c r="DU109" s="725">
        <v>469.1</v>
      </c>
      <c r="DV109" s="93">
        <v>8337.83</v>
      </c>
      <c r="DW109" s="95">
        <v>8362.5027646616254</v>
      </c>
      <c r="DX109" s="28">
        <v>-24.672764661625479</v>
      </c>
      <c r="EA109" s="5">
        <v>4478.0785999854797</v>
      </c>
      <c r="EB109" s="5">
        <v>0</v>
      </c>
      <c r="EE109" s="722">
        <v>37851.498337484976</v>
      </c>
      <c r="EG109" s="42" t="s">
        <v>210</v>
      </c>
    </row>
    <row r="110" spans="1:137" x14ac:dyDescent="0.3">
      <c r="A110" s="325">
        <v>150000612</v>
      </c>
      <c r="B110" s="41" t="s">
        <v>575</v>
      </c>
      <c r="C110" s="42" t="s">
        <v>162</v>
      </c>
      <c r="D110" s="27">
        <v>2</v>
      </c>
      <c r="E110" s="709">
        <v>498.78</v>
      </c>
      <c r="F110" s="723">
        <v>498.78</v>
      </c>
      <c r="G110" s="28"/>
      <c r="H110" s="651">
        <v>0</v>
      </c>
      <c r="I110" s="39">
        <v>300.08934464309783</v>
      </c>
      <c r="J110" s="39">
        <v>319.3741450379548</v>
      </c>
      <c r="K110" s="52">
        <v>19.284800394856973</v>
      </c>
      <c r="L110" s="39">
        <v>115.00538053332554</v>
      </c>
      <c r="M110" s="39">
        <v>124.9588341591124</v>
      </c>
      <c r="N110" s="52">
        <v>9.9534536257868638</v>
      </c>
      <c r="O110" s="39">
        <v>113.52</v>
      </c>
      <c r="P110" s="39">
        <v>113.52</v>
      </c>
      <c r="Q110" s="52">
        <v>0</v>
      </c>
      <c r="R110" s="39">
        <v>0</v>
      </c>
      <c r="S110" s="39">
        <v>0</v>
      </c>
      <c r="T110" s="52">
        <v>0</v>
      </c>
      <c r="U110" s="39">
        <v>0</v>
      </c>
      <c r="V110" s="39">
        <v>0</v>
      </c>
      <c r="W110" s="52">
        <v>0</v>
      </c>
      <c r="X110" s="39">
        <v>201.19626340407379</v>
      </c>
      <c r="Y110" s="39">
        <v>121.4047448257644</v>
      </c>
      <c r="Z110" s="52">
        <v>-79.791518578309393</v>
      </c>
      <c r="AA110" s="39">
        <v>0</v>
      </c>
      <c r="AB110" s="39">
        <v>0</v>
      </c>
      <c r="AC110" s="52">
        <v>0</v>
      </c>
      <c r="AD110" s="39">
        <v>355.44987535525053</v>
      </c>
      <c r="AE110" s="39">
        <v>298.26380280452048</v>
      </c>
      <c r="AF110" s="35">
        <v>-57.186072550730046</v>
      </c>
      <c r="AG110" s="77">
        <v>1085.2608639357477</v>
      </c>
      <c r="AH110" s="53">
        <v>977.52152682735209</v>
      </c>
      <c r="AI110" s="52">
        <v>-107.7393371083956</v>
      </c>
      <c r="AJ110" s="39">
        <v>0</v>
      </c>
      <c r="AK110" s="39">
        <v>0</v>
      </c>
      <c r="AL110" s="52">
        <v>0</v>
      </c>
      <c r="AM110" s="39">
        <v>0</v>
      </c>
      <c r="AN110" s="39">
        <v>0</v>
      </c>
      <c r="AO110" s="52">
        <v>0</v>
      </c>
      <c r="AP110" s="39">
        <v>189.40352857872995</v>
      </c>
      <c r="AQ110" s="39">
        <v>0</v>
      </c>
      <c r="AR110" s="52">
        <v>-189.40352857872995</v>
      </c>
      <c r="AS110" s="39">
        <v>1675.5731975947206</v>
      </c>
      <c r="AT110" s="39">
        <v>0</v>
      </c>
      <c r="AU110" s="54">
        <v>-1675.5731975947206</v>
      </c>
      <c r="AV110" s="39">
        <v>66.793785964930606</v>
      </c>
      <c r="AW110" s="39">
        <v>0</v>
      </c>
      <c r="AX110" s="55">
        <v>-66.793785964930606</v>
      </c>
      <c r="AY110" s="39">
        <v>148.24448739911162</v>
      </c>
      <c r="AZ110" s="39">
        <v>0</v>
      </c>
      <c r="BA110" s="35">
        <v>-148.24448739911162</v>
      </c>
      <c r="BB110" s="39">
        <v>27.646517586814632</v>
      </c>
      <c r="BC110" s="39">
        <v>0</v>
      </c>
      <c r="BD110" s="55">
        <v>-27.646517586814632</v>
      </c>
      <c r="BE110" s="39">
        <v>0</v>
      </c>
      <c r="BF110" s="39">
        <v>0</v>
      </c>
      <c r="BG110" s="38">
        <v>0</v>
      </c>
      <c r="BH110" s="39">
        <v>0</v>
      </c>
      <c r="BI110" s="39">
        <v>0</v>
      </c>
      <c r="BJ110" s="55">
        <v>0</v>
      </c>
      <c r="BK110" s="39">
        <v>19.771301113804686</v>
      </c>
      <c r="BL110" s="39">
        <v>0</v>
      </c>
      <c r="BM110" s="38">
        <v>-19.771301113804686</v>
      </c>
      <c r="BN110" s="39">
        <v>0</v>
      </c>
      <c r="BO110" s="39">
        <v>0</v>
      </c>
      <c r="BP110" s="55">
        <v>0</v>
      </c>
      <c r="BQ110" s="77">
        <v>262.45609206466156</v>
      </c>
      <c r="BR110" s="40">
        <v>0</v>
      </c>
      <c r="BS110" s="55">
        <v>-262.45609206466156</v>
      </c>
      <c r="BT110" s="39">
        <v>1210.4882451360165</v>
      </c>
      <c r="BU110" s="39">
        <v>302.75837042745832</v>
      </c>
      <c r="BV110" s="52">
        <v>-907.72987470855821</v>
      </c>
      <c r="BW110" s="39">
        <v>497.30085947542415</v>
      </c>
      <c r="BX110" s="39">
        <v>322.1492843462529</v>
      </c>
      <c r="BY110" s="52">
        <v>-175.15157512917125</v>
      </c>
      <c r="BZ110" s="39">
        <v>328.76229849560036</v>
      </c>
      <c r="CA110" s="39">
        <v>966.61728082658658</v>
      </c>
      <c r="CB110" s="52">
        <v>637.85498233098622</v>
      </c>
      <c r="CC110" s="39">
        <v>62.258053982231942</v>
      </c>
      <c r="CD110" s="39">
        <v>61.422045584628378</v>
      </c>
      <c r="CE110" s="52">
        <v>-0.83600839760356394</v>
      </c>
      <c r="CF110" s="39">
        <v>7.6643437667520375</v>
      </c>
      <c r="CG110" s="39">
        <v>0</v>
      </c>
      <c r="CH110" s="52">
        <v>-7.6643437667520375</v>
      </c>
      <c r="CI110" s="39">
        <v>68.630925649704494</v>
      </c>
      <c r="CJ110" s="39">
        <v>67.729807497671132</v>
      </c>
      <c r="CK110" s="52">
        <v>-0.90111815203336221</v>
      </c>
      <c r="CL110" s="39">
        <v>0</v>
      </c>
      <c r="CM110" s="39">
        <v>0</v>
      </c>
      <c r="CN110" s="52">
        <v>0</v>
      </c>
      <c r="CO110" s="39">
        <v>68.630925649704494</v>
      </c>
      <c r="CP110" s="40">
        <v>67.729807497671132</v>
      </c>
      <c r="CQ110" s="52">
        <v>-0.90111815203336221</v>
      </c>
      <c r="CR110" s="72">
        <v>5387.7984086795886</v>
      </c>
      <c r="CS110" s="5">
        <v>2698.1983155099492</v>
      </c>
      <c r="CT110" s="52">
        <v>-2689.6000931696394</v>
      </c>
      <c r="CU110" s="77">
        <v>6465.358090415506</v>
      </c>
      <c r="CV110" s="65">
        <v>3237.837978611939</v>
      </c>
      <c r="CW110" s="35">
        <v>-3227.520111803567</v>
      </c>
      <c r="CX110" s="39">
        <v>0</v>
      </c>
      <c r="CY110" s="39">
        <v>3227.5201118035666</v>
      </c>
      <c r="CZ110" s="52">
        <v>3227.5201118035666</v>
      </c>
      <c r="DA110" s="150">
        <v>-12620.986221467923</v>
      </c>
      <c r="DB110" s="2">
        <v>2</v>
      </c>
      <c r="DC110" s="713">
        <v>4031.17</v>
      </c>
      <c r="DD110" s="714"/>
      <c r="DE110" s="715">
        <v>798.49095479224707</v>
      </c>
      <c r="DF110" s="716">
        <v>0</v>
      </c>
      <c r="DG110" s="717">
        <v>-11465.05995684687</v>
      </c>
      <c r="DH110" s="718">
        <v>30892.884138483976</v>
      </c>
      <c r="DI110" s="718">
        <v>77584.297084986072</v>
      </c>
      <c r="DJ110" s="693">
        <v>65911.443848360548</v>
      </c>
      <c r="DK110" s="724"/>
      <c r="DL110" s="5"/>
      <c r="DM110" s="306">
        <v>6.4811721504626352</v>
      </c>
      <c r="DN110" s="306"/>
      <c r="DO110" s="306">
        <v>5.8829514606088829</v>
      </c>
      <c r="DP110" s="719">
        <v>3232.679045207753</v>
      </c>
      <c r="DQ110" s="720">
        <v>0</v>
      </c>
      <c r="DR110" s="650">
        <v>3232.679045207753</v>
      </c>
      <c r="DS110" s="94">
        <v>3232.679045207753</v>
      </c>
      <c r="DT110" s="719">
        <v>3232.69</v>
      </c>
      <c r="DU110" s="721"/>
      <c r="DV110" s="93">
        <v>3232.69</v>
      </c>
      <c r="DW110" s="95">
        <v>3232.679045207753</v>
      </c>
      <c r="DX110" s="28">
        <v>1.0954792247048317E-2</v>
      </c>
      <c r="EA110" s="5">
        <v>2325.6351475912584</v>
      </c>
      <c r="EB110" s="5">
        <v>0</v>
      </c>
      <c r="EE110" s="722">
        <v>20106.878371136649</v>
      </c>
      <c r="EG110" s="42" t="s">
        <v>162</v>
      </c>
    </row>
    <row r="111" spans="1:137" x14ac:dyDescent="0.3">
      <c r="A111" s="325">
        <v>150000613</v>
      </c>
      <c r="B111" s="41" t="s">
        <v>576</v>
      </c>
      <c r="C111" s="42" t="s">
        <v>211</v>
      </c>
      <c r="D111" s="27">
        <v>4</v>
      </c>
      <c r="E111" s="709">
        <v>1482.22</v>
      </c>
      <c r="F111" s="723">
        <v>1269.7</v>
      </c>
      <c r="G111" s="28"/>
      <c r="H111" s="651">
        <v>212.52</v>
      </c>
      <c r="I111" s="39">
        <v>857.25440056378432</v>
      </c>
      <c r="J111" s="39">
        <v>920.93721108957152</v>
      </c>
      <c r="K111" s="52">
        <v>63.682810525787204</v>
      </c>
      <c r="L111" s="39">
        <v>155.14830105407276</v>
      </c>
      <c r="M111" s="39">
        <v>168.57654042219883</v>
      </c>
      <c r="N111" s="52">
        <v>13.428239368126071</v>
      </c>
      <c r="O111" s="39">
        <v>360.64</v>
      </c>
      <c r="P111" s="39">
        <v>360.64</v>
      </c>
      <c r="Q111" s="52">
        <v>0</v>
      </c>
      <c r="R111" s="39">
        <v>0</v>
      </c>
      <c r="S111" s="39">
        <v>0</v>
      </c>
      <c r="T111" s="52">
        <v>0</v>
      </c>
      <c r="U111" s="39">
        <v>0</v>
      </c>
      <c r="V111" s="39">
        <v>0</v>
      </c>
      <c r="W111" s="52">
        <v>0</v>
      </c>
      <c r="X111" s="39">
        <v>499.51451257606567</v>
      </c>
      <c r="Y111" s="39">
        <v>296.2088395583005</v>
      </c>
      <c r="Z111" s="52">
        <v>-203.30567301776517</v>
      </c>
      <c r="AA111" s="39">
        <v>0</v>
      </c>
      <c r="AB111" s="39">
        <v>0</v>
      </c>
      <c r="AC111" s="52">
        <v>0</v>
      </c>
      <c r="AD111" s="39">
        <v>1056.287169190945</v>
      </c>
      <c r="AE111" s="39">
        <v>886.34783630642028</v>
      </c>
      <c r="AF111" s="35">
        <v>-169.93933288452467</v>
      </c>
      <c r="AG111" s="77">
        <v>2928.8443833848678</v>
      </c>
      <c r="AH111" s="53">
        <v>2632.7104273764908</v>
      </c>
      <c r="AI111" s="52">
        <v>-296.13395600837703</v>
      </c>
      <c r="AJ111" s="39">
        <v>0</v>
      </c>
      <c r="AK111" s="39">
        <v>0</v>
      </c>
      <c r="AL111" s="52">
        <v>0</v>
      </c>
      <c r="AM111" s="39">
        <v>0</v>
      </c>
      <c r="AN111" s="39">
        <v>0</v>
      </c>
      <c r="AO111" s="52">
        <v>0</v>
      </c>
      <c r="AP111" s="39">
        <v>662.91235002555482</v>
      </c>
      <c r="AQ111" s="39">
        <v>0</v>
      </c>
      <c r="AR111" s="52">
        <v>-662.91235002555482</v>
      </c>
      <c r="AS111" s="39">
        <v>2509.6770077695455</v>
      </c>
      <c r="AT111" s="39">
        <v>0</v>
      </c>
      <c r="AU111" s="54">
        <v>-2509.6770077695455</v>
      </c>
      <c r="AV111" s="39">
        <v>146.35357130536974</v>
      </c>
      <c r="AW111" s="39">
        <v>0</v>
      </c>
      <c r="AX111" s="55">
        <v>-146.35357130536974</v>
      </c>
      <c r="AY111" s="39">
        <v>199.98679498901538</v>
      </c>
      <c r="AZ111" s="39">
        <v>0</v>
      </c>
      <c r="BA111" s="35">
        <v>-199.98679498901538</v>
      </c>
      <c r="BB111" s="39">
        <v>164.52396800690619</v>
      </c>
      <c r="BC111" s="39">
        <v>0</v>
      </c>
      <c r="BD111" s="55">
        <v>-164.52396800690619</v>
      </c>
      <c r="BE111" s="39">
        <v>0</v>
      </c>
      <c r="BF111" s="39">
        <v>0</v>
      </c>
      <c r="BG111" s="38">
        <v>0</v>
      </c>
      <c r="BH111" s="39">
        <v>0</v>
      </c>
      <c r="BI111" s="39">
        <v>0</v>
      </c>
      <c r="BJ111" s="55">
        <v>0</v>
      </c>
      <c r="BK111" s="39">
        <v>60.056147680914883</v>
      </c>
      <c r="BL111" s="39">
        <v>0</v>
      </c>
      <c r="BM111" s="38">
        <v>-60.056147680914883</v>
      </c>
      <c r="BN111" s="39">
        <v>0</v>
      </c>
      <c r="BO111" s="39">
        <v>0</v>
      </c>
      <c r="BP111" s="55">
        <v>0</v>
      </c>
      <c r="BQ111" s="77">
        <v>570.9204819822063</v>
      </c>
      <c r="BR111" s="40">
        <v>0</v>
      </c>
      <c r="BS111" s="55">
        <v>-570.9204819822063</v>
      </c>
      <c r="BT111" s="39">
        <v>4199.3962536786403</v>
      </c>
      <c r="BU111" s="39">
        <v>722.12626387367834</v>
      </c>
      <c r="BV111" s="52">
        <v>-3477.2699898049618</v>
      </c>
      <c r="BW111" s="39">
        <v>1574.8162209483044</v>
      </c>
      <c r="BX111" s="39">
        <v>1105.3747147677084</v>
      </c>
      <c r="BY111" s="52">
        <v>-469.44150618059598</v>
      </c>
      <c r="BZ111" s="39">
        <v>970.06340627333043</v>
      </c>
      <c r="CA111" s="39">
        <v>3756.9196243195352</v>
      </c>
      <c r="CB111" s="52">
        <v>2786.856218046205</v>
      </c>
      <c r="CC111" s="39">
        <v>55.394961417261491</v>
      </c>
      <c r="CD111" s="39">
        <v>54.65111142569296</v>
      </c>
      <c r="CE111" s="52">
        <v>-0.74384999156853127</v>
      </c>
      <c r="CF111" s="39">
        <v>6.8194554775037819</v>
      </c>
      <c r="CG111" s="39">
        <v>0</v>
      </c>
      <c r="CH111" s="52">
        <v>-6.8194554775037819</v>
      </c>
      <c r="CI111" s="39">
        <v>396.18761625056686</v>
      </c>
      <c r="CJ111" s="39">
        <v>477.17173132272785</v>
      </c>
      <c r="CK111" s="52">
        <v>80.984115072160989</v>
      </c>
      <c r="CL111" s="39">
        <v>0</v>
      </c>
      <c r="CM111" s="39">
        <v>0</v>
      </c>
      <c r="CN111" s="52">
        <v>0</v>
      </c>
      <c r="CO111" s="39">
        <v>396.18761625056686</v>
      </c>
      <c r="CP111" s="40">
        <v>477.17173132272785</v>
      </c>
      <c r="CQ111" s="52">
        <v>80.984115072160989</v>
      </c>
      <c r="CR111" s="72">
        <v>13875.032137207781</v>
      </c>
      <c r="CS111" s="5">
        <v>8748.953873085833</v>
      </c>
      <c r="CT111" s="52">
        <v>-5126.0782641219485</v>
      </c>
      <c r="CU111" s="77">
        <v>16650.038564649338</v>
      </c>
      <c r="CV111" s="65">
        <v>10498.744647702999</v>
      </c>
      <c r="CW111" s="35">
        <v>-6151.2939169463389</v>
      </c>
      <c r="CX111" s="39">
        <v>416.25096411623349</v>
      </c>
      <c r="CY111" s="39">
        <v>6567.5448810625712</v>
      </c>
      <c r="CZ111" s="52">
        <v>6151.293916946338</v>
      </c>
      <c r="DA111" s="150">
        <v>57310.31569711279</v>
      </c>
      <c r="DB111" s="2">
        <v>2</v>
      </c>
      <c r="DC111" s="713">
        <v>14939.27</v>
      </c>
      <c r="DD111" s="714">
        <v>2704.5099999999998</v>
      </c>
      <c r="DE111" s="715">
        <v>7490.738693951289</v>
      </c>
      <c r="DF111" s="716">
        <v>1619.8965416659264</v>
      </c>
      <c r="DG111" s="717">
        <v>669.39150002536189</v>
      </c>
      <c r="DH111" s="718">
        <v>82219.90826264827</v>
      </c>
      <c r="DI111" s="718">
        <v>204795.47434518684</v>
      </c>
      <c r="DJ111" s="693">
        <v>174151.5828245522</v>
      </c>
      <c r="DK111" s="724"/>
      <c r="DL111" s="5"/>
      <c r="DM111" s="306">
        <v>5.866371037291259</v>
      </c>
      <c r="DN111" s="306"/>
      <c r="DO111" s="306">
        <v>5.1035829961136523</v>
      </c>
      <c r="DP111" s="719">
        <v>7448.5313060487115</v>
      </c>
      <c r="DQ111" s="720">
        <v>1084.6134583340734</v>
      </c>
      <c r="DR111" s="650">
        <v>8533.1447643827851</v>
      </c>
      <c r="DS111" s="94">
        <v>8533.1447643827851</v>
      </c>
      <c r="DT111" s="719">
        <v>7451.48</v>
      </c>
      <c r="DU111" s="725">
        <v>1084.51</v>
      </c>
      <c r="DV111" s="93">
        <v>8535.99</v>
      </c>
      <c r="DW111" s="95">
        <v>8574.7698607944094</v>
      </c>
      <c r="DX111" s="28">
        <v>-38.779860794409615</v>
      </c>
      <c r="EA111" s="5">
        <v>3696.716987702102</v>
      </c>
      <c r="EB111" s="5">
        <v>0</v>
      </c>
      <c r="EE111" s="722">
        <v>30116.124093234546</v>
      </c>
      <c r="EG111" s="42" t="s">
        <v>211</v>
      </c>
    </row>
    <row r="112" spans="1:137" x14ac:dyDescent="0.3">
      <c r="A112" s="325">
        <v>150000614</v>
      </c>
      <c r="B112" s="41" t="s">
        <v>577</v>
      </c>
      <c r="C112" s="42" t="s">
        <v>163</v>
      </c>
      <c r="D112" s="27">
        <v>2</v>
      </c>
      <c r="E112" s="709">
        <v>626.29999999999995</v>
      </c>
      <c r="F112" s="723">
        <v>626.29999999999995</v>
      </c>
      <c r="G112" s="28"/>
      <c r="H112" s="651">
        <v>0</v>
      </c>
      <c r="I112" s="39">
        <v>260.88601082753377</v>
      </c>
      <c r="J112" s="39">
        <v>280.24613640344899</v>
      </c>
      <c r="K112" s="52">
        <v>19.36012557591522</v>
      </c>
      <c r="L112" s="39">
        <v>91.382414037298403</v>
      </c>
      <c r="M112" s="39">
        <v>99.291903815109478</v>
      </c>
      <c r="N112" s="52">
        <v>7.9094897778110749</v>
      </c>
      <c r="O112" s="39">
        <v>140.86000000000001</v>
      </c>
      <c r="P112" s="39">
        <v>140.86000000000001</v>
      </c>
      <c r="Q112" s="52">
        <v>0</v>
      </c>
      <c r="R112" s="39">
        <v>0</v>
      </c>
      <c r="S112" s="39">
        <v>0</v>
      </c>
      <c r="T112" s="52">
        <v>0</v>
      </c>
      <c r="U112" s="39">
        <v>0</v>
      </c>
      <c r="V112" s="39">
        <v>0</v>
      </c>
      <c r="W112" s="52">
        <v>0</v>
      </c>
      <c r="X112" s="39">
        <v>148.75225375508055</v>
      </c>
      <c r="Y112" s="39">
        <v>94.172419798778634</v>
      </c>
      <c r="Z112" s="52">
        <v>-54.579833956301911</v>
      </c>
      <c r="AA112" s="39">
        <v>0</v>
      </c>
      <c r="AB112" s="39">
        <v>0</v>
      </c>
      <c r="AC112" s="52">
        <v>0</v>
      </c>
      <c r="AD112" s="39">
        <v>446.32554820761339</v>
      </c>
      <c r="AE112" s="39">
        <v>374.5190659137719</v>
      </c>
      <c r="AF112" s="35">
        <v>-71.806482293841498</v>
      </c>
      <c r="AG112" s="77">
        <v>1088.2062268275261</v>
      </c>
      <c r="AH112" s="53">
        <v>989.08952593110894</v>
      </c>
      <c r="AI112" s="52">
        <v>-99.116700896417115</v>
      </c>
      <c r="AJ112" s="39">
        <v>0</v>
      </c>
      <c r="AK112" s="39">
        <v>0</v>
      </c>
      <c r="AL112" s="52">
        <v>0</v>
      </c>
      <c r="AM112" s="39">
        <v>0</v>
      </c>
      <c r="AN112" s="39">
        <v>0</v>
      </c>
      <c r="AO112" s="52">
        <v>0</v>
      </c>
      <c r="AP112" s="39">
        <v>284.10529286809492</v>
      </c>
      <c r="AQ112" s="39">
        <v>0</v>
      </c>
      <c r="AR112" s="52">
        <v>-284.10529286809492</v>
      </c>
      <c r="AS112" s="39">
        <v>1590.6280479295372</v>
      </c>
      <c r="AT112" s="39">
        <v>0</v>
      </c>
      <c r="AU112" s="54">
        <v>-1590.6280479295372</v>
      </c>
      <c r="AV112" s="39">
        <v>94.800233592295626</v>
      </c>
      <c r="AW112" s="39">
        <v>0</v>
      </c>
      <c r="AX112" s="55">
        <v>-94.800233592295626</v>
      </c>
      <c r="AY112" s="39">
        <v>117.77975701338245</v>
      </c>
      <c r="AZ112" s="39">
        <v>0</v>
      </c>
      <c r="BA112" s="35">
        <v>-117.77975701338245</v>
      </c>
      <c r="BB112" s="39">
        <v>49.688136637059898</v>
      </c>
      <c r="BC112" s="39">
        <v>0</v>
      </c>
      <c r="BD112" s="55">
        <v>-49.688136637059898</v>
      </c>
      <c r="BE112" s="39">
        <v>0</v>
      </c>
      <c r="BF112" s="39">
        <v>0</v>
      </c>
      <c r="BG112" s="38">
        <v>0</v>
      </c>
      <c r="BH112" s="39">
        <v>0</v>
      </c>
      <c r="BI112" s="39">
        <v>0</v>
      </c>
      <c r="BJ112" s="55">
        <v>0</v>
      </c>
      <c r="BK112" s="39">
        <v>34.837121188239912</v>
      </c>
      <c r="BL112" s="39">
        <v>0</v>
      </c>
      <c r="BM112" s="38">
        <v>-34.837121188239912</v>
      </c>
      <c r="BN112" s="39">
        <v>0</v>
      </c>
      <c r="BO112" s="39">
        <v>0</v>
      </c>
      <c r="BP112" s="55">
        <v>0</v>
      </c>
      <c r="BQ112" s="77">
        <v>297.10524843097784</v>
      </c>
      <c r="BR112" s="40">
        <v>0</v>
      </c>
      <c r="BS112" s="55">
        <v>-297.10524843097784</v>
      </c>
      <c r="BT112" s="39">
        <v>1417.6693052805904</v>
      </c>
      <c r="BU112" s="39">
        <v>344.65205342577627</v>
      </c>
      <c r="BV112" s="52">
        <v>-1073.017251854814</v>
      </c>
      <c r="BW112" s="39">
        <v>728.20209298592124</v>
      </c>
      <c r="BX112" s="39">
        <v>589.93040668602657</v>
      </c>
      <c r="BY112" s="52">
        <v>-138.27168629989467</v>
      </c>
      <c r="BZ112" s="39">
        <v>314.65361339547968</v>
      </c>
      <c r="CA112" s="39">
        <v>1426.5573032170137</v>
      </c>
      <c r="CB112" s="52">
        <v>1111.903689821534</v>
      </c>
      <c r="CC112" s="39">
        <v>0</v>
      </c>
      <c r="CD112" s="39">
        <v>0</v>
      </c>
      <c r="CE112" s="52">
        <v>0</v>
      </c>
      <c r="CF112" s="39">
        <v>0</v>
      </c>
      <c r="CG112" s="39">
        <v>0</v>
      </c>
      <c r="CH112" s="52">
        <v>0</v>
      </c>
      <c r="CI112" s="39">
        <v>233.96906471490172</v>
      </c>
      <c r="CJ112" s="39">
        <v>295.50864803738</v>
      </c>
      <c r="CK112" s="52">
        <v>61.539583322478279</v>
      </c>
      <c r="CL112" s="39">
        <v>0</v>
      </c>
      <c r="CM112" s="39">
        <v>0</v>
      </c>
      <c r="CN112" s="52">
        <v>0</v>
      </c>
      <c r="CO112" s="39">
        <v>233.96906471490172</v>
      </c>
      <c r="CP112" s="40">
        <v>295.50864803738</v>
      </c>
      <c r="CQ112" s="52">
        <v>61.539583322478279</v>
      </c>
      <c r="CR112" s="72">
        <v>5954.5388924330291</v>
      </c>
      <c r="CS112" s="5">
        <v>3645.7379372973055</v>
      </c>
      <c r="CT112" s="52">
        <v>-2308.8009551357236</v>
      </c>
      <c r="CU112" s="77">
        <v>7145.4466709196349</v>
      </c>
      <c r="CV112" s="65">
        <v>4374.8855247567662</v>
      </c>
      <c r="CW112" s="35">
        <v>-2770.5611461628687</v>
      </c>
      <c r="CX112" s="39">
        <v>178.63616677299089</v>
      </c>
      <c r="CY112" s="39">
        <v>2949.1973129358589</v>
      </c>
      <c r="CZ112" s="52">
        <v>2770.5611461628682</v>
      </c>
      <c r="DA112" s="150">
        <v>-11864.141320984954</v>
      </c>
      <c r="DB112" s="2">
        <v>2</v>
      </c>
      <c r="DC112" s="713">
        <v>5478.73</v>
      </c>
      <c r="DD112" s="714"/>
      <c r="DE112" s="715">
        <v>1816.6885811536872</v>
      </c>
      <c r="DF112" s="716">
        <v>0</v>
      </c>
      <c r="DG112" s="717">
        <v>-2635.2194954105944</v>
      </c>
      <c r="DH112" s="718">
        <v>34980.477541128181</v>
      </c>
      <c r="DI112" s="718">
        <v>87888.994052311507</v>
      </c>
      <c r="DJ112" s="693">
        <v>74661.86492451567</v>
      </c>
      <c r="DK112" s="724"/>
      <c r="DL112" s="5"/>
      <c r="DM112" s="306">
        <v>5.8471042932241941</v>
      </c>
      <c r="DN112" s="306"/>
      <c r="DO112" s="306">
        <v>5.1320407658629588</v>
      </c>
      <c r="DP112" s="719">
        <v>3662.0414188463124</v>
      </c>
      <c r="DQ112" s="720">
        <v>0</v>
      </c>
      <c r="DR112" s="650">
        <v>3662.0414188463124</v>
      </c>
      <c r="DS112" s="94">
        <v>3662.0414188463133</v>
      </c>
      <c r="DT112" s="719">
        <v>3662.04</v>
      </c>
      <c r="DU112" s="721"/>
      <c r="DV112" s="93">
        <v>3662.04</v>
      </c>
      <c r="DW112" s="95">
        <v>3679.9050355236118</v>
      </c>
      <c r="DX112" s="28">
        <v>-17.865035523611823</v>
      </c>
      <c r="EA112" s="5">
        <v>2265.2799556326177</v>
      </c>
      <c r="EB112" s="5">
        <v>0</v>
      </c>
      <c r="EE112" s="722">
        <v>19087.536575154445</v>
      </c>
      <c r="EG112" s="42" t="s">
        <v>163</v>
      </c>
    </row>
    <row r="113" spans="1:137" x14ac:dyDescent="0.3">
      <c r="A113" s="325">
        <v>150000615</v>
      </c>
      <c r="B113" s="41" t="s">
        <v>578</v>
      </c>
      <c r="C113" s="42" t="s">
        <v>257</v>
      </c>
      <c r="D113" s="27">
        <v>5</v>
      </c>
      <c r="E113" s="709">
        <v>2636.9100000000003</v>
      </c>
      <c r="F113" s="723">
        <v>2504.61</v>
      </c>
      <c r="G113" s="28"/>
      <c r="H113" s="651">
        <v>132.30000000000001</v>
      </c>
      <c r="I113" s="39">
        <v>1521.5377372849632</v>
      </c>
      <c r="J113" s="39">
        <v>1638.2285669962012</v>
      </c>
      <c r="K113" s="52">
        <v>116.69082971123794</v>
      </c>
      <c r="L113" s="39">
        <v>287.85748463911119</v>
      </c>
      <c r="M113" s="39">
        <v>312.7721762378813</v>
      </c>
      <c r="N113" s="52">
        <v>24.914691598770105</v>
      </c>
      <c r="O113" s="39">
        <v>613.84</v>
      </c>
      <c r="P113" s="39">
        <v>613.84</v>
      </c>
      <c r="Q113" s="52">
        <v>0</v>
      </c>
      <c r="R113" s="39">
        <v>0</v>
      </c>
      <c r="S113" s="39">
        <v>0</v>
      </c>
      <c r="T113" s="52">
        <v>0</v>
      </c>
      <c r="U113" s="39">
        <v>0</v>
      </c>
      <c r="V113" s="39">
        <v>0</v>
      </c>
      <c r="W113" s="52">
        <v>0</v>
      </c>
      <c r="X113" s="39">
        <v>840.39745932189419</v>
      </c>
      <c r="Y113" s="39">
        <v>524.3816576605152</v>
      </c>
      <c r="Z113" s="52">
        <v>-316.01580166137899</v>
      </c>
      <c r="AA113" s="39">
        <v>0</v>
      </c>
      <c r="AB113" s="39">
        <v>0</v>
      </c>
      <c r="AC113" s="52">
        <v>0</v>
      </c>
      <c r="AD113" s="39">
        <v>1879.163821370171</v>
      </c>
      <c r="AE113" s="39">
        <v>1576.8370910085973</v>
      </c>
      <c r="AF113" s="35">
        <v>-302.32673036157371</v>
      </c>
      <c r="AG113" s="77">
        <v>5142.7965026161392</v>
      </c>
      <c r="AH113" s="53">
        <v>4666.0594919031955</v>
      </c>
      <c r="AI113" s="52">
        <v>-476.73701071294363</v>
      </c>
      <c r="AJ113" s="39">
        <v>0</v>
      </c>
      <c r="AK113" s="39">
        <v>0</v>
      </c>
      <c r="AL113" s="52">
        <v>0</v>
      </c>
      <c r="AM113" s="39">
        <v>0</v>
      </c>
      <c r="AN113" s="39">
        <v>0</v>
      </c>
      <c r="AO113" s="52">
        <v>0</v>
      </c>
      <c r="AP113" s="39">
        <v>1396.8510232681333</v>
      </c>
      <c r="AQ113" s="39">
        <v>0</v>
      </c>
      <c r="AR113" s="52">
        <v>-1396.8510232681333</v>
      </c>
      <c r="AS113" s="39">
        <v>3460.1383067985284</v>
      </c>
      <c r="AT113" s="39">
        <v>0</v>
      </c>
      <c r="AU113" s="54">
        <v>-3460.1383067985284</v>
      </c>
      <c r="AV113" s="39">
        <v>244.42904331491323</v>
      </c>
      <c r="AW113" s="39">
        <v>0</v>
      </c>
      <c r="AX113" s="55">
        <v>-244.42904331491323</v>
      </c>
      <c r="AY113" s="39">
        <v>370.97542606793741</v>
      </c>
      <c r="AZ113" s="39">
        <v>0</v>
      </c>
      <c r="BA113" s="35">
        <v>-370.97542606793741</v>
      </c>
      <c r="BB113" s="39">
        <v>313.66672284506978</v>
      </c>
      <c r="BC113" s="39">
        <v>0</v>
      </c>
      <c r="BD113" s="55">
        <v>-313.66672284506978</v>
      </c>
      <c r="BE113" s="39">
        <v>0</v>
      </c>
      <c r="BF113" s="39">
        <v>0</v>
      </c>
      <c r="BG113" s="38">
        <v>0</v>
      </c>
      <c r="BH113" s="39">
        <v>0</v>
      </c>
      <c r="BI113" s="39">
        <v>0</v>
      </c>
      <c r="BJ113" s="55">
        <v>0</v>
      </c>
      <c r="BK113" s="39">
        <v>108.30269141259552</v>
      </c>
      <c r="BL113" s="39">
        <v>0</v>
      </c>
      <c r="BM113" s="38">
        <v>-108.30269141259552</v>
      </c>
      <c r="BN113" s="39">
        <v>0</v>
      </c>
      <c r="BO113" s="39">
        <v>0</v>
      </c>
      <c r="BP113" s="55">
        <v>0</v>
      </c>
      <c r="BQ113" s="77">
        <v>1037.3738836405159</v>
      </c>
      <c r="BR113" s="40">
        <v>0</v>
      </c>
      <c r="BS113" s="55">
        <v>-1037.3738836405159</v>
      </c>
      <c r="BT113" s="39">
        <v>9573.6108824041603</v>
      </c>
      <c r="BU113" s="39">
        <v>2693.5689913098086</v>
      </c>
      <c r="BV113" s="52">
        <v>-6880.0418910943517</v>
      </c>
      <c r="BW113" s="39">
        <v>2111.3290914545732</v>
      </c>
      <c r="BX113" s="39">
        <v>1843.8234669149078</v>
      </c>
      <c r="BY113" s="52">
        <v>-267.5056245396654</v>
      </c>
      <c r="BZ113" s="39">
        <v>3747.6875761386782</v>
      </c>
      <c r="CA113" s="39">
        <v>11211.460906334436</v>
      </c>
      <c r="CB113" s="52">
        <v>7463.7733301957578</v>
      </c>
      <c r="CC113" s="39">
        <v>127.94765424694911</v>
      </c>
      <c r="CD113" s="39">
        <v>126.22955824872447</v>
      </c>
      <c r="CE113" s="52">
        <v>-1.7180959982246407</v>
      </c>
      <c r="CF113" s="39">
        <v>15.751131678128205</v>
      </c>
      <c r="CG113" s="39">
        <v>0</v>
      </c>
      <c r="CH113" s="52">
        <v>-15.751131678128205</v>
      </c>
      <c r="CI113" s="39">
        <v>455.45977931167528</v>
      </c>
      <c r="CJ113" s="39">
        <v>569.45294875164859</v>
      </c>
      <c r="CK113" s="52">
        <v>113.99316943997331</v>
      </c>
      <c r="CL113" s="39">
        <v>0</v>
      </c>
      <c r="CM113" s="39">
        <v>0</v>
      </c>
      <c r="CN113" s="52">
        <v>0</v>
      </c>
      <c r="CO113" s="39">
        <v>455.45977931167528</v>
      </c>
      <c r="CP113" s="40">
        <v>569.45294875164859</v>
      </c>
      <c r="CQ113" s="52">
        <v>113.99316943997331</v>
      </c>
      <c r="CR113" s="72">
        <v>27068.945831557474</v>
      </c>
      <c r="CS113" s="5">
        <v>21110.595363462719</v>
      </c>
      <c r="CT113" s="52">
        <v>-5958.3504680947553</v>
      </c>
      <c r="CU113" s="77">
        <v>32482.734997868967</v>
      </c>
      <c r="CV113" s="65">
        <v>25332.71443615526</v>
      </c>
      <c r="CW113" s="35">
        <v>-7150.0205617137071</v>
      </c>
      <c r="CX113" s="39">
        <v>0</v>
      </c>
      <c r="CY113" s="39">
        <v>7150.0205617137017</v>
      </c>
      <c r="CZ113" s="52">
        <v>7150.0205617137017</v>
      </c>
      <c r="DA113" s="150">
        <v>-2998.7268127894858</v>
      </c>
      <c r="DB113" s="2">
        <v>2</v>
      </c>
      <c r="DC113" s="713">
        <v>41297.599999999999</v>
      </c>
      <c r="DD113" s="714">
        <v>1551.13</v>
      </c>
      <c r="DE113" s="715">
        <v>25807.542032611669</v>
      </c>
      <c r="DF113" s="716">
        <v>799.82046845384639</v>
      </c>
      <c r="DG113" s="717">
        <v>31902.929956793047</v>
      </c>
      <c r="DH113" s="718">
        <v>155237.18093212481</v>
      </c>
      <c r="DI113" s="718">
        <v>389792.81997442758</v>
      </c>
      <c r="DJ113" s="693">
        <v>331153.91021385189</v>
      </c>
      <c r="DK113" s="724"/>
      <c r="DL113" s="5"/>
      <c r="DM113" s="306">
        <v>6.184618749980368</v>
      </c>
      <c r="DN113" s="306"/>
      <c r="DO113" s="306">
        <v>5.6788324379905797</v>
      </c>
      <c r="DP113" s="719">
        <v>15490.057967388329</v>
      </c>
      <c r="DQ113" s="720">
        <v>751.30953154615372</v>
      </c>
      <c r="DR113" s="650">
        <v>16241.367498934484</v>
      </c>
      <c r="DS113" s="94">
        <v>16241.367498934484</v>
      </c>
      <c r="DT113" s="719">
        <v>15489.67</v>
      </c>
      <c r="DU113" s="725">
        <v>751.31</v>
      </c>
      <c r="DV113" s="93">
        <v>16240.98</v>
      </c>
      <c r="DW113" s="95">
        <v>16241.367498934484</v>
      </c>
      <c r="DX113" s="28">
        <v>-0.38749893448402872</v>
      </c>
      <c r="EA113" s="5">
        <v>5397.0146285268529</v>
      </c>
      <c r="EB113" s="5">
        <v>0</v>
      </c>
      <c r="EE113" s="722">
        <v>41521.659681582343</v>
      </c>
      <c r="EG113" s="42" t="s">
        <v>257</v>
      </c>
    </row>
    <row r="114" spans="1:137" x14ac:dyDescent="0.3">
      <c r="A114" s="325">
        <v>150000616</v>
      </c>
      <c r="B114" s="41" t="s">
        <v>579</v>
      </c>
      <c r="C114" s="42" t="s">
        <v>258</v>
      </c>
      <c r="D114" s="27">
        <v>5</v>
      </c>
      <c r="E114" s="709">
        <v>1804.3</v>
      </c>
      <c r="F114" s="723">
        <v>1804.3</v>
      </c>
      <c r="G114" s="28"/>
      <c r="H114" s="651">
        <v>0</v>
      </c>
      <c r="I114" s="39">
        <v>1028.3012875997574</v>
      </c>
      <c r="J114" s="39">
        <v>1106.9125829438726</v>
      </c>
      <c r="K114" s="52">
        <v>78.611295344115206</v>
      </c>
      <c r="L114" s="39">
        <v>194.40384537113721</v>
      </c>
      <c r="M114" s="39">
        <v>211.2297273821703</v>
      </c>
      <c r="N114" s="52">
        <v>16.825882011033087</v>
      </c>
      <c r="O114" s="39">
        <v>410.92</v>
      </c>
      <c r="P114" s="39">
        <v>410.92</v>
      </c>
      <c r="Q114" s="52">
        <v>0</v>
      </c>
      <c r="R114" s="39">
        <v>0</v>
      </c>
      <c r="S114" s="39">
        <v>0</v>
      </c>
      <c r="T114" s="52">
        <v>0</v>
      </c>
      <c r="U114" s="39">
        <v>0</v>
      </c>
      <c r="V114" s="39">
        <v>0</v>
      </c>
      <c r="W114" s="52">
        <v>0</v>
      </c>
      <c r="X114" s="39">
        <v>550.78456529862183</v>
      </c>
      <c r="Y114" s="39">
        <v>331.24035125641228</v>
      </c>
      <c r="Z114" s="52">
        <v>-219.54421404220955</v>
      </c>
      <c r="AA114" s="39">
        <v>0</v>
      </c>
      <c r="AB114" s="39">
        <v>0</v>
      </c>
      <c r="AC114" s="52">
        <v>0</v>
      </c>
      <c r="AD114" s="39">
        <v>1285.8138058933368</v>
      </c>
      <c r="AE114" s="39">
        <v>1078.9473904330493</v>
      </c>
      <c r="AF114" s="35">
        <v>-206.8664154602875</v>
      </c>
      <c r="AG114" s="77">
        <v>3470.2235041628533</v>
      </c>
      <c r="AH114" s="53">
        <v>3139.2500520155045</v>
      </c>
      <c r="AI114" s="52">
        <v>-330.97345214734878</v>
      </c>
      <c r="AJ114" s="39">
        <v>0</v>
      </c>
      <c r="AK114" s="39">
        <v>0</v>
      </c>
      <c r="AL114" s="52">
        <v>0</v>
      </c>
      <c r="AM114" s="39">
        <v>0</v>
      </c>
      <c r="AN114" s="39">
        <v>0</v>
      </c>
      <c r="AO114" s="52">
        <v>0</v>
      </c>
      <c r="AP114" s="39">
        <v>875.99131967662606</v>
      </c>
      <c r="AQ114" s="39">
        <v>0</v>
      </c>
      <c r="AR114" s="52">
        <v>-875.99131967662606</v>
      </c>
      <c r="AS114" s="39">
        <v>3341.9574334431359</v>
      </c>
      <c r="AT114" s="39">
        <v>23.08273008727981</v>
      </c>
      <c r="AU114" s="54">
        <v>-3318.8747033558561</v>
      </c>
      <c r="AV114" s="39">
        <v>169.7904243905044</v>
      </c>
      <c r="AW114" s="39">
        <v>0</v>
      </c>
      <c r="AX114" s="55">
        <v>-169.7904243905044</v>
      </c>
      <c r="AY114" s="39">
        <v>250.58315269130659</v>
      </c>
      <c r="AZ114" s="39">
        <v>0</v>
      </c>
      <c r="BA114" s="35">
        <v>-250.58315269130659</v>
      </c>
      <c r="BB114" s="39">
        <v>240.66409739837528</v>
      </c>
      <c r="BC114" s="39">
        <v>0</v>
      </c>
      <c r="BD114" s="55">
        <v>-240.66409739837528</v>
      </c>
      <c r="BE114" s="39">
        <v>0</v>
      </c>
      <c r="BF114" s="39">
        <v>0</v>
      </c>
      <c r="BG114" s="38">
        <v>0</v>
      </c>
      <c r="BH114" s="39">
        <v>0</v>
      </c>
      <c r="BI114" s="39">
        <v>0</v>
      </c>
      <c r="BJ114" s="55">
        <v>0</v>
      </c>
      <c r="BK114" s="39">
        <v>69.694344771707904</v>
      </c>
      <c r="BL114" s="39">
        <v>291</v>
      </c>
      <c r="BM114" s="38">
        <v>221.3056552282921</v>
      </c>
      <c r="BN114" s="39">
        <v>0</v>
      </c>
      <c r="BO114" s="39">
        <v>0</v>
      </c>
      <c r="BP114" s="55">
        <v>0</v>
      </c>
      <c r="BQ114" s="77">
        <v>730.73201925189414</v>
      </c>
      <c r="BR114" s="40">
        <v>291</v>
      </c>
      <c r="BS114" s="55">
        <v>-439.73201925189414</v>
      </c>
      <c r="BT114" s="39">
        <v>3455.0817141006105</v>
      </c>
      <c r="BU114" s="39">
        <v>823.91879329557651</v>
      </c>
      <c r="BV114" s="52">
        <v>-2631.162920805034</v>
      </c>
      <c r="BW114" s="39">
        <v>1363.9111632721911</v>
      </c>
      <c r="BX114" s="39">
        <v>1118.8708388447235</v>
      </c>
      <c r="BY114" s="52">
        <v>-245.04032442746757</v>
      </c>
      <c r="BZ114" s="39">
        <v>1131.0820208956234</v>
      </c>
      <c r="CA114" s="39">
        <v>3916.4367678000444</v>
      </c>
      <c r="CB114" s="52">
        <v>2785.3547469044211</v>
      </c>
      <c r="CC114" s="39">
        <v>102.94638847455676</v>
      </c>
      <c r="CD114" s="39">
        <v>101.56401238403116</v>
      </c>
      <c r="CE114" s="52">
        <v>-1.3823760905255966</v>
      </c>
      <c r="CF114" s="39">
        <v>12.673324338723843</v>
      </c>
      <c r="CG114" s="39">
        <v>0</v>
      </c>
      <c r="CH114" s="52">
        <v>-12.673324338723843</v>
      </c>
      <c r="CI114" s="39">
        <v>152.85978894706909</v>
      </c>
      <c r="CJ114" s="39">
        <v>597.55569562034839</v>
      </c>
      <c r="CK114" s="52">
        <v>444.6959066732793</v>
      </c>
      <c r="CL114" s="39">
        <v>0</v>
      </c>
      <c r="CM114" s="39">
        <v>0</v>
      </c>
      <c r="CN114" s="52">
        <v>0</v>
      </c>
      <c r="CO114" s="39">
        <v>152.85978894706909</v>
      </c>
      <c r="CP114" s="40">
        <v>597.55569562034839</v>
      </c>
      <c r="CQ114" s="52">
        <v>444.6959066732793</v>
      </c>
      <c r="CR114" s="72">
        <v>14637.458676563283</v>
      </c>
      <c r="CS114" s="5">
        <v>10011.678890047509</v>
      </c>
      <c r="CT114" s="52">
        <v>-4625.7797865157736</v>
      </c>
      <c r="CU114" s="77">
        <v>17564.95041187594</v>
      </c>
      <c r="CV114" s="65">
        <v>12014.014668057011</v>
      </c>
      <c r="CW114" s="35">
        <v>-5550.935743818929</v>
      </c>
      <c r="CX114" s="39">
        <v>351.29900823751882</v>
      </c>
      <c r="CY114" s="39">
        <v>5902.2347520564472</v>
      </c>
      <c r="CZ114" s="52">
        <v>5550.9357438189281</v>
      </c>
      <c r="DA114" s="150">
        <v>36439.846333460941</v>
      </c>
      <c r="DB114" s="2">
        <v>2</v>
      </c>
      <c r="DC114" s="713">
        <v>22338.28</v>
      </c>
      <c r="DD114" s="714">
        <v>673.07</v>
      </c>
      <c r="DE114" s="715">
        <v>13380.15528994327</v>
      </c>
      <c r="DF114" s="716">
        <v>673.07</v>
      </c>
      <c r="DG114" s="717">
        <v>-9380.2160402195041</v>
      </c>
      <c r="DH114" s="718">
        <v>90535.254608698466</v>
      </c>
      <c r="DI114" s="718">
        <v>214994.99304136151</v>
      </c>
      <c r="DJ114" s="693">
        <v>183880.05843319572</v>
      </c>
      <c r="DK114" s="724"/>
      <c r="DL114" s="5"/>
      <c r="DM114" s="306">
        <v>4.9648754143195308</v>
      </c>
      <c r="DN114" s="306"/>
      <c r="DO114" s="306">
        <v>4.5022507776612253</v>
      </c>
      <c r="DP114" s="719">
        <v>8958.1247100567289</v>
      </c>
      <c r="DQ114" s="720">
        <v>0</v>
      </c>
      <c r="DR114" s="650">
        <v>8958.1247100567289</v>
      </c>
      <c r="DS114" s="94">
        <v>8958.1247100567289</v>
      </c>
      <c r="DT114" s="719">
        <v>8958.17</v>
      </c>
      <c r="DU114" s="721">
        <v>398.45</v>
      </c>
      <c r="DV114" s="93">
        <v>9356.6200000000008</v>
      </c>
      <c r="DW114" s="95">
        <v>8993.25461088048</v>
      </c>
      <c r="DX114" s="28">
        <v>363.36538911952084</v>
      </c>
      <c r="EA114" s="5">
        <v>4887.2273432340362</v>
      </c>
      <c r="EB114" s="5">
        <v>376.89927610473575</v>
      </c>
      <c r="EE114" s="722">
        <v>40103.489201317629</v>
      </c>
      <c r="EG114" s="42" t="s">
        <v>258</v>
      </c>
    </row>
    <row r="115" spans="1:137" x14ac:dyDescent="0.3">
      <c r="A115" s="325">
        <v>150000618</v>
      </c>
      <c r="B115" s="41" t="s">
        <v>580</v>
      </c>
      <c r="C115" s="42" t="s">
        <v>417</v>
      </c>
      <c r="D115" s="27">
        <v>10</v>
      </c>
      <c r="E115" s="709">
        <v>2744.2</v>
      </c>
      <c r="F115" s="723">
        <v>2744.2</v>
      </c>
      <c r="G115" s="28">
        <v>271.5</v>
      </c>
      <c r="H115" s="651">
        <v>0</v>
      </c>
      <c r="I115" s="39">
        <v>1361.8448029045849</v>
      </c>
      <c r="J115" s="39">
        <v>1472.1508742539199</v>
      </c>
      <c r="K115" s="52">
        <v>110.30607134933507</v>
      </c>
      <c r="L115" s="39">
        <v>212.65082793943571</v>
      </c>
      <c r="M115" s="39">
        <v>231.05595750175502</v>
      </c>
      <c r="N115" s="52">
        <v>18.405129562319303</v>
      </c>
      <c r="O115" s="39">
        <v>680.24</v>
      </c>
      <c r="P115" s="39">
        <v>680.24</v>
      </c>
      <c r="Q115" s="52">
        <v>0</v>
      </c>
      <c r="R115" s="39">
        <v>140</v>
      </c>
      <c r="S115" s="39">
        <v>140</v>
      </c>
      <c r="T115" s="52">
        <v>0</v>
      </c>
      <c r="U115" s="39">
        <v>69.466216803674769</v>
      </c>
      <c r="V115" s="39">
        <v>229.625586934404</v>
      </c>
      <c r="W115" s="52">
        <v>160.15937013072923</v>
      </c>
      <c r="X115" s="39">
        <v>613.49460952912648</v>
      </c>
      <c r="Y115" s="39">
        <v>334.5250443551775</v>
      </c>
      <c r="Z115" s="52">
        <v>-278.96956517394898</v>
      </c>
      <c r="AA115" s="39">
        <v>0</v>
      </c>
      <c r="AB115" s="39">
        <v>0</v>
      </c>
      <c r="AC115" s="52">
        <v>0</v>
      </c>
      <c r="AD115" s="39">
        <v>1955.6228155697472</v>
      </c>
      <c r="AE115" s="39">
        <v>1640.9950833156201</v>
      </c>
      <c r="AF115" s="35">
        <v>-314.62773225412707</v>
      </c>
      <c r="AG115" s="77">
        <v>5033.3192727465685</v>
      </c>
      <c r="AH115" s="53">
        <v>4728.5925463608764</v>
      </c>
      <c r="AI115" s="52">
        <v>-304.72672638569202</v>
      </c>
      <c r="AJ115" s="39">
        <v>2977.1337932727497</v>
      </c>
      <c r="AK115" s="39">
        <v>2937.1564940678036</v>
      </c>
      <c r="AL115" s="52">
        <v>-39.977299204946121</v>
      </c>
      <c r="AM115" s="39">
        <v>0</v>
      </c>
      <c r="AN115" s="39">
        <v>0</v>
      </c>
      <c r="AO115" s="52">
        <v>0</v>
      </c>
      <c r="AP115" s="39">
        <v>315.67254763121656</v>
      </c>
      <c r="AQ115" s="39">
        <v>0</v>
      </c>
      <c r="AR115" s="52">
        <v>-315.67254763121656</v>
      </c>
      <c r="AS115" s="39">
        <v>6587.9296288171709</v>
      </c>
      <c r="AT115" s="39">
        <v>54</v>
      </c>
      <c r="AU115" s="54">
        <v>-6533.9296288171709</v>
      </c>
      <c r="AV115" s="39">
        <v>105.27399646775474</v>
      </c>
      <c r="AW115" s="39">
        <v>464</v>
      </c>
      <c r="AX115" s="55">
        <v>358.72600353224527</v>
      </c>
      <c r="AY115" s="39">
        <v>140.84536735076762</v>
      </c>
      <c r="AZ115" s="39">
        <v>0</v>
      </c>
      <c r="BA115" s="35">
        <v>-140.84536735076762</v>
      </c>
      <c r="BB115" s="39">
        <v>172.52999303886682</v>
      </c>
      <c r="BC115" s="39">
        <v>0</v>
      </c>
      <c r="BD115" s="55">
        <v>-172.52999303886682</v>
      </c>
      <c r="BE115" s="39">
        <v>62.030552270349432</v>
      </c>
      <c r="BF115" s="39">
        <v>0</v>
      </c>
      <c r="BG115" s="38">
        <v>-62.030552270349432</v>
      </c>
      <c r="BH115" s="39">
        <v>35.219944932571877</v>
      </c>
      <c r="BI115" s="39">
        <v>0</v>
      </c>
      <c r="BJ115" s="55">
        <v>-35.219944932571877</v>
      </c>
      <c r="BK115" s="39">
        <v>86.679575327637068</v>
      </c>
      <c r="BL115" s="39">
        <v>0</v>
      </c>
      <c r="BM115" s="38">
        <v>-86.679575327637068</v>
      </c>
      <c r="BN115" s="39">
        <v>0</v>
      </c>
      <c r="BO115" s="39">
        <v>0</v>
      </c>
      <c r="BP115" s="55">
        <v>0</v>
      </c>
      <c r="BQ115" s="77">
        <v>602.57942938794747</v>
      </c>
      <c r="BR115" s="40">
        <v>464</v>
      </c>
      <c r="BS115" s="55">
        <v>-138.57942938794747</v>
      </c>
      <c r="BT115" s="39">
        <v>6476.0075387296292</v>
      </c>
      <c r="BU115" s="39">
        <v>1442.1953988603384</v>
      </c>
      <c r="BV115" s="52">
        <v>-5033.8121398692911</v>
      </c>
      <c r="BW115" s="39">
        <v>5022.9104068925235</v>
      </c>
      <c r="BX115" s="39">
        <v>4852.6678766245477</v>
      </c>
      <c r="BY115" s="52">
        <v>-170.24253026797578</v>
      </c>
      <c r="BZ115" s="39">
        <v>640.53928975945348</v>
      </c>
      <c r="CA115" s="39">
        <v>6011.6279674065927</v>
      </c>
      <c r="CB115" s="52">
        <v>5371.0886776471389</v>
      </c>
      <c r="CC115" s="39">
        <v>105.88771385954409</v>
      </c>
      <c r="CD115" s="39">
        <v>104.4658413092892</v>
      </c>
      <c r="CE115" s="52">
        <v>-1.4218725502548892</v>
      </c>
      <c r="CF115" s="39">
        <v>13.03541931983024</v>
      </c>
      <c r="CG115" s="39">
        <v>0</v>
      </c>
      <c r="CH115" s="52">
        <v>-13.03541931983024</v>
      </c>
      <c r="CI115" s="39">
        <v>1054.4205849818234</v>
      </c>
      <c r="CJ115" s="39">
        <v>1130.3160197297771</v>
      </c>
      <c r="CK115" s="52">
        <v>75.895434747953686</v>
      </c>
      <c r="CL115" s="39">
        <v>770.53811979440957</v>
      </c>
      <c r="CM115" s="39">
        <v>1003.5690779578572</v>
      </c>
      <c r="CN115" s="52">
        <v>233.03095816344762</v>
      </c>
      <c r="CO115" s="39">
        <v>1824.9587047762329</v>
      </c>
      <c r="CP115" s="40">
        <v>2133.8850976876342</v>
      </c>
      <c r="CQ115" s="52">
        <v>308.92639291140131</v>
      </c>
      <c r="CR115" s="72">
        <v>29599.973745192867</v>
      </c>
      <c r="CS115" s="5">
        <v>22728.591222317082</v>
      </c>
      <c r="CT115" s="52">
        <v>-6871.3825228757851</v>
      </c>
      <c r="CU115" s="77">
        <v>35519.968494231442</v>
      </c>
      <c r="CV115" s="65">
        <v>27274.309466780498</v>
      </c>
      <c r="CW115" s="35">
        <v>-8245.6590274509435</v>
      </c>
      <c r="CX115" s="39">
        <v>532.79952741347165</v>
      </c>
      <c r="CY115" s="39">
        <v>8778.4585548644209</v>
      </c>
      <c r="CZ115" s="52">
        <v>8245.659027450949</v>
      </c>
      <c r="DA115" s="150">
        <v>-5453.4406332196158</v>
      </c>
      <c r="DB115" s="2">
        <v>2</v>
      </c>
      <c r="DC115" s="713">
        <v>26119.279999999999</v>
      </c>
      <c r="DD115" s="714"/>
      <c r="DE115" s="715">
        <v>8092.8959891775448</v>
      </c>
      <c r="DF115" s="716">
        <v>0</v>
      </c>
      <c r="DG115" s="717">
        <v>43109.722701595907</v>
      </c>
      <c r="DH115" s="718">
        <v>172765.43705543451</v>
      </c>
      <c r="DI115" s="718">
        <v>432633.21625973901</v>
      </c>
      <c r="DJ115" s="693">
        <v>367666.27145866287</v>
      </c>
      <c r="DK115" s="724"/>
      <c r="DL115" s="5"/>
      <c r="DM115" s="306">
        <v>5.7372100487444637</v>
      </c>
      <c r="DN115" s="306">
        <v>6.6602222196741758</v>
      </c>
      <c r="DO115" s="306">
        <v>4.6225127097030141</v>
      </c>
      <c r="DP115" s="719">
        <v>18026.384010822454</v>
      </c>
      <c r="DQ115" s="720">
        <v>0</v>
      </c>
      <c r="DR115" s="650">
        <v>18026.384010822454</v>
      </c>
      <c r="DS115" s="94">
        <v>18026.384010822461</v>
      </c>
      <c r="DT115" s="719">
        <v>18784.259999999998</v>
      </c>
      <c r="DU115" s="721"/>
      <c r="DV115" s="93">
        <v>18784.259999999998</v>
      </c>
      <c r="DW115" s="95">
        <v>18079.663963563802</v>
      </c>
      <c r="DX115" s="28">
        <v>704.5960364361963</v>
      </c>
      <c r="EA115" s="5">
        <v>8628.6108698461412</v>
      </c>
      <c r="EB115" s="5">
        <v>621.6</v>
      </c>
      <c r="EE115" s="722">
        <v>79055.155545806047</v>
      </c>
      <c r="EG115" s="42" t="s">
        <v>417</v>
      </c>
    </row>
    <row r="116" spans="1:137" x14ac:dyDescent="0.3">
      <c r="A116" s="325">
        <v>150000619</v>
      </c>
      <c r="B116" s="41" t="s">
        <v>581</v>
      </c>
      <c r="C116" s="42" t="s">
        <v>360</v>
      </c>
      <c r="D116" s="27">
        <v>9</v>
      </c>
      <c r="E116" s="709">
        <v>4254.1000000000004</v>
      </c>
      <c r="F116" s="723">
        <v>4254.1000000000004</v>
      </c>
      <c r="G116" s="28">
        <v>465</v>
      </c>
      <c r="H116" s="651">
        <v>0</v>
      </c>
      <c r="I116" s="39">
        <v>2622.508365388338</v>
      </c>
      <c r="J116" s="39">
        <v>2828.2422577854359</v>
      </c>
      <c r="K116" s="52">
        <v>205.73389239709786</v>
      </c>
      <c r="L116" s="39">
        <v>399.85531451454284</v>
      </c>
      <c r="M116" s="39">
        <v>434.46236164754868</v>
      </c>
      <c r="N116" s="52">
        <v>34.607047133005835</v>
      </c>
      <c r="O116" s="39">
        <v>1035.8800000000001</v>
      </c>
      <c r="P116" s="39">
        <v>1035.8800000000001</v>
      </c>
      <c r="Q116" s="52">
        <v>0</v>
      </c>
      <c r="R116" s="39">
        <v>231.38</v>
      </c>
      <c r="S116" s="39">
        <v>231.38</v>
      </c>
      <c r="T116" s="52">
        <v>0</v>
      </c>
      <c r="U116" s="39">
        <v>130.00964065633656</v>
      </c>
      <c r="V116" s="39">
        <v>355.10975497094955</v>
      </c>
      <c r="W116" s="52">
        <v>225.10011431461299</v>
      </c>
      <c r="X116" s="39">
        <v>1135.7802883136044</v>
      </c>
      <c r="Y116" s="39">
        <v>617.61010684751727</v>
      </c>
      <c r="Z116" s="52">
        <v>-518.17018146608712</v>
      </c>
      <c r="AA116" s="39">
        <v>0</v>
      </c>
      <c r="AB116" s="39">
        <v>0</v>
      </c>
      <c r="AC116" s="52">
        <v>0</v>
      </c>
      <c r="AD116" s="39">
        <v>3031.6358209005407</v>
      </c>
      <c r="AE116" s="39">
        <v>2543.8951912881644</v>
      </c>
      <c r="AF116" s="35">
        <v>-487.74062961237632</v>
      </c>
      <c r="AG116" s="77">
        <v>8587.0494297733621</v>
      </c>
      <c r="AH116" s="53">
        <v>8046.5796725396158</v>
      </c>
      <c r="AI116" s="52">
        <v>-540.46975723374635</v>
      </c>
      <c r="AJ116" s="39">
        <v>6139.7493479442464</v>
      </c>
      <c r="AK116" s="39">
        <v>6057.304078846576</v>
      </c>
      <c r="AL116" s="52">
        <v>-82.445269097670462</v>
      </c>
      <c r="AM116" s="39">
        <v>0</v>
      </c>
      <c r="AN116" s="39">
        <v>0</v>
      </c>
      <c r="AO116" s="52">
        <v>0</v>
      </c>
      <c r="AP116" s="39">
        <v>568.21058573618984</v>
      </c>
      <c r="AQ116" s="39">
        <v>0</v>
      </c>
      <c r="AR116" s="52">
        <v>-568.21058573618984</v>
      </c>
      <c r="AS116" s="39">
        <v>11118.535947054592</v>
      </c>
      <c r="AT116" s="39">
        <v>0</v>
      </c>
      <c r="AU116" s="54">
        <v>-11118.535947054592</v>
      </c>
      <c r="AV116" s="39">
        <v>208.68357540627463</v>
      </c>
      <c r="AW116" s="39">
        <v>0</v>
      </c>
      <c r="AX116" s="55">
        <v>-208.68357540627463</v>
      </c>
      <c r="AY116" s="39">
        <v>265.33664916087628</v>
      </c>
      <c r="AZ116" s="39">
        <v>0</v>
      </c>
      <c r="BA116" s="35">
        <v>-265.33664916087628</v>
      </c>
      <c r="BB116" s="39">
        <v>274.04768569408526</v>
      </c>
      <c r="BC116" s="39">
        <v>0</v>
      </c>
      <c r="BD116" s="55">
        <v>-274.04768569408526</v>
      </c>
      <c r="BE116" s="39">
        <v>114.36755956189184</v>
      </c>
      <c r="BF116" s="39">
        <v>0</v>
      </c>
      <c r="BG116" s="38">
        <v>-114.36755956189184</v>
      </c>
      <c r="BH116" s="39">
        <v>65.961235315382794</v>
      </c>
      <c r="BI116" s="39">
        <v>0</v>
      </c>
      <c r="BJ116" s="55">
        <v>-65.961235315382794</v>
      </c>
      <c r="BK116" s="39">
        <v>173.06738905400283</v>
      </c>
      <c r="BL116" s="39">
        <v>0</v>
      </c>
      <c r="BM116" s="38">
        <v>-173.06738905400283</v>
      </c>
      <c r="BN116" s="39">
        <v>0</v>
      </c>
      <c r="BO116" s="39">
        <v>0</v>
      </c>
      <c r="BP116" s="55">
        <v>0</v>
      </c>
      <c r="BQ116" s="77">
        <v>1101.4640941925138</v>
      </c>
      <c r="BR116" s="40">
        <v>0</v>
      </c>
      <c r="BS116" s="55">
        <v>-1101.4640941925138</v>
      </c>
      <c r="BT116" s="39">
        <v>8414.2274508281298</v>
      </c>
      <c r="BU116" s="39">
        <v>2008.2767546034931</v>
      </c>
      <c r="BV116" s="52">
        <v>-6405.9506962246369</v>
      </c>
      <c r="BW116" s="39">
        <v>6302.0773372596695</v>
      </c>
      <c r="BX116" s="39">
        <v>6145.5714084311312</v>
      </c>
      <c r="BY116" s="52">
        <v>-156.50592882853834</v>
      </c>
      <c r="BZ116" s="39">
        <v>1493.1490200473745</v>
      </c>
      <c r="CA116" s="39">
        <v>8370.6282209065957</v>
      </c>
      <c r="CB116" s="52">
        <v>6877.4792008592212</v>
      </c>
      <c r="CC116" s="39">
        <v>137.26185129940902</v>
      </c>
      <c r="CD116" s="39">
        <v>135.41868317870822</v>
      </c>
      <c r="CE116" s="52">
        <v>-1.8431681207007955</v>
      </c>
      <c r="CF116" s="39">
        <v>16.897765784965124</v>
      </c>
      <c r="CG116" s="39">
        <v>0</v>
      </c>
      <c r="CH116" s="52">
        <v>-16.897765784965124</v>
      </c>
      <c r="CI116" s="39">
        <v>2177.4720956133515</v>
      </c>
      <c r="CJ116" s="39">
        <v>2700.0615374135182</v>
      </c>
      <c r="CK116" s="52">
        <v>522.5894418001667</v>
      </c>
      <c r="CL116" s="39">
        <v>1079.3772852180796</v>
      </c>
      <c r="CM116" s="39">
        <v>1684.0150191080545</v>
      </c>
      <c r="CN116" s="52">
        <v>604.63773388997492</v>
      </c>
      <c r="CO116" s="39">
        <v>3256.8493808314311</v>
      </c>
      <c r="CP116" s="40">
        <v>4384.0765565215725</v>
      </c>
      <c r="CQ116" s="52">
        <v>1127.2271756901414</v>
      </c>
      <c r="CR116" s="72">
        <v>47135.472210751876</v>
      </c>
      <c r="CS116" s="5">
        <v>35147.855375027691</v>
      </c>
      <c r="CT116" s="52">
        <v>-11987.616835724184</v>
      </c>
      <c r="CU116" s="77">
        <v>56562.566652902249</v>
      </c>
      <c r="CV116" s="65">
        <v>42177.426450033228</v>
      </c>
      <c r="CW116" s="35">
        <v>-14385.140202869021</v>
      </c>
      <c r="CX116" s="39">
        <v>848.43849979353365</v>
      </c>
      <c r="CY116" s="39">
        <v>15233.578702662551</v>
      </c>
      <c r="CZ116" s="52">
        <v>14385.140202869017</v>
      </c>
      <c r="DA116" s="150">
        <v>80281.878604968413</v>
      </c>
      <c r="DB116" s="2">
        <v>2</v>
      </c>
      <c r="DC116" s="713">
        <v>44509.45</v>
      </c>
      <c r="DD116" s="714"/>
      <c r="DE116" s="715">
        <v>15803.947423652102</v>
      </c>
      <c r="DF116" s="716">
        <v>0</v>
      </c>
      <c r="DG116" s="717">
        <v>194026.20734971677</v>
      </c>
      <c r="DH116" s="718">
        <v>281898.99776674458</v>
      </c>
      <c r="DI116" s="718">
        <v>688932.0618323494</v>
      </c>
      <c r="DJ116" s="693">
        <v>587173.79581594816</v>
      </c>
      <c r="DK116" s="724"/>
      <c r="DL116" s="5"/>
      <c r="DM116" s="306">
        <v>5.7142649342403882</v>
      </c>
      <c r="DN116" s="306">
        <v>6.8745531608894224</v>
      </c>
      <c r="DO116" s="306">
        <v>4.8120846614703217</v>
      </c>
      <c r="DP116" s="719">
        <v>28705.502576347895</v>
      </c>
      <c r="DQ116" s="720">
        <v>0</v>
      </c>
      <c r="DR116" s="650">
        <v>28705.502576347895</v>
      </c>
      <c r="DS116" s="94">
        <v>28705.502576347888</v>
      </c>
      <c r="DT116" s="719">
        <v>28705.8</v>
      </c>
      <c r="DU116" s="721"/>
      <c r="DV116" s="93">
        <v>28705.8</v>
      </c>
      <c r="DW116" s="95">
        <v>28790.346426327244</v>
      </c>
      <c r="DX116" s="28">
        <v>-84.546426327244262</v>
      </c>
      <c r="EA116" s="5">
        <v>14664.000049496526</v>
      </c>
      <c r="EB116" s="5">
        <v>0</v>
      </c>
      <c r="EE116" s="722">
        <v>133422.43136465509</v>
      </c>
      <c r="EG116" s="42" t="s">
        <v>360</v>
      </c>
    </row>
    <row r="117" spans="1:137" x14ac:dyDescent="0.3">
      <c r="A117" s="325">
        <v>150000621</v>
      </c>
      <c r="B117" s="41" t="s">
        <v>582</v>
      </c>
      <c r="C117" s="42" t="s">
        <v>81</v>
      </c>
      <c r="D117" s="27">
        <v>1</v>
      </c>
      <c r="E117" s="709">
        <v>130.1</v>
      </c>
      <c r="F117" s="723">
        <v>130.1</v>
      </c>
      <c r="G117" s="28"/>
      <c r="H117" s="651">
        <v>0</v>
      </c>
      <c r="I117" s="39">
        <v>0</v>
      </c>
      <c r="J117" s="39">
        <v>0</v>
      </c>
      <c r="K117" s="52">
        <v>0</v>
      </c>
      <c r="L117" s="39">
        <v>0</v>
      </c>
      <c r="M117" s="39">
        <v>0</v>
      </c>
      <c r="N117" s="52">
        <v>0</v>
      </c>
      <c r="O117" s="39">
        <v>0</v>
      </c>
      <c r="P117" s="39">
        <v>0</v>
      </c>
      <c r="Q117" s="52">
        <v>0</v>
      </c>
      <c r="R117" s="39">
        <v>0</v>
      </c>
      <c r="S117" s="39">
        <v>0</v>
      </c>
      <c r="T117" s="52">
        <v>0</v>
      </c>
      <c r="U117" s="39">
        <v>0</v>
      </c>
      <c r="V117" s="39">
        <v>0</v>
      </c>
      <c r="W117" s="52">
        <v>0</v>
      </c>
      <c r="X117" s="39">
        <v>0</v>
      </c>
      <c r="Y117" s="39">
        <v>0</v>
      </c>
      <c r="Z117" s="52">
        <v>0</v>
      </c>
      <c r="AA117" s="39">
        <v>0</v>
      </c>
      <c r="AB117" s="39">
        <v>0</v>
      </c>
      <c r="AC117" s="52">
        <v>0</v>
      </c>
      <c r="AD117" s="39">
        <v>0</v>
      </c>
      <c r="AE117" s="39">
        <v>77.798068777553453</v>
      </c>
      <c r="AF117" s="35">
        <v>77.798068777553453</v>
      </c>
      <c r="AG117" s="77">
        <v>0</v>
      </c>
      <c r="AH117" s="53">
        <v>77.798068777553453</v>
      </c>
      <c r="AI117" s="52">
        <v>77.798068777553453</v>
      </c>
      <c r="AJ117" s="39">
        <v>0</v>
      </c>
      <c r="AK117" s="39">
        <v>0</v>
      </c>
      <c r="AL117" s="52">
        <v>0</v>
      </c>
      <c r="AM117" s="39">
        <v>0</v>
      </c>
      <c r="AN117" s="39">
        <v>0</v>
      </c>
      <c r="AO117" s="52">
        <v>0</v>
      </c>
      <c r="AP117" s="39">
        <v>47.350882144682487</v>
      </c>
      <c r="AQ117" s="39">
        <v>0</v>
      </c>
      <c r="AR117" s="52">
        <v>-47.350882144682487</v>
      </c>
      <c r="AS117" s="39">
        <v>292.81710297192973</v>
      </c>
      <c r="AT117" s="39">
        <v>0</v>
      </c>
      <c r="AU117" s="54">
        <v>-292.81710297192973</v>
      </c>
      <c r="AV117" s="39">
        <v>0</v>
      </c>
      <c r="AW117" s="39">
        <v>0</v>
      </c>
      <c r="AX117" s="55">
        <v>0</v>
      </c>
      <c r="AY117" s="39">
        <v>0</v>
      </c>
      <c r="AZ117" s="39">
        <v>0</v>
      </c>
      <c r="BA117" s="35">
        <v>0</v>
      </c>
      <c r="BB117" s="39">
        <v>0</v>
      </c>
      <c r="BC117" s="39">
        <v>0</v>
      </c>
      <c r="BD117" s="55">
        <v>0</v>
      </c>
      <c r="BE117" s="39">
        <v>0</v>
      </c>
      <c r="BF117" s="39">
        <v>0</v>
      </c>
      <c r="BG117" s="38">
        <v>0</v>
      </c>
      <c r="BH117" s="39">
        <v>0</v>
      </c>
      <c r="BI117" s="39">
        <v>0</v>
      </c>
      <c r="BJ117" s="55">
        <v>0</v>
      </c>
      <c r="BK117" s="39">
        <v>0</v>
      </c>
      <c r="BL117" s="39">
        <v>0</v>
      </c>
      <c r="BM117" s="38">
        <v>0</v>
      </c>
      <c r="BN117" s="39">
        <v>0</v>
      </c>
      <c r="BO117" s="39">
        <v>0</v>
      </c>
      <c r="BP117" s="55">
        <v>0</v>
      </c>
      <c r="BQ117" s="77">
        <v>0</v>
      </c>
      <c r="BR117" s="40">
        <v>0</v>
      </c>
      <c r="BS117" s="55">
        <v>0</v>
      </c>
      <c r="BT117" s="39">
        <v>31.902681005596676</v>
      </c>
      <c r="BU117" s="39">
        <v>12.804751199975984</v>
      </c>
      <c r="BV117" s="52">
        <v>-19.097929805620694</v>
      </c>
      <c r="BW117" s="39">
        <v>0</v>
      </c>
      <c r="BX117" s="39">
        <v>0.52663317277438515</v>
      </c>
      <c r="BY117" s="52">
        <v>0.52663317277438515</v>
      </c>
      <c r="BZ117" s="39">
        <v>0</v>
      </c>
      <c r="CA117" s="39">
        <v>49.516544527562104</v>
      </c>
      <c r="CB117" s="52">
        <v>49.516544527562104</v>
      </c>
      <c r="CC117" s="39">
        <v>0</v>
      </c>
      <c r="CD117" s="39">
        <v>0</v>
      </c>
      <c r="CE117" s="52">
        <v>0</v>
      </c>
      <c r="CF117" s="39">
        <v>0</v>
      </c>
      <c r="CG117" s="39">
        <v>0</v>
      </c>
      <c r="CH117" s="52">
        <v>0</v>
      </c>
      <c r="CI117" s="39">
        <v>0</v>
      </c>
      <c r="CJ117" s="39">
        <v>0</v>
      </c>
      <c r="CK117" s="52">
        <v>0</v>
      </c>
      <c r="CL117" s="39">
        <v>0</v>
      </c>
      <c r="CM117" s="39">
        <v>0</v>
      </c>
      <c r="CN117" s="52">
        <v>0</v>
      </c>
      <c r="CO117" s="39">
        <v>0</v>
      </c>
      <c r="CP117" s="40">
        <v>0</v>
      </c>
      <c r="CQ117" s="52">
        <v>0</v>
      </c>
      <c r="CR117" s="72">
        <v>372.07066612220888</v>
      </c>
      <c r="CS117" s="5">
        <v>140.64599767786592</v>
      </c>
      <c r="CT117" s="52">
        <v>-231.42466844434296</v>
      </c>
      <c r="CU117" s="77">
        <v>446.48479934665062</v>
      </c>
      <c r="CV117" s="65">
        <v>168.7751972134391</v>
      </c>
      <c r="CW117" s="35">
        <v>-277.70960213321155</v>
      </c>
      <c r="CX117" s="39">
        <v>11.162119983666269</v>
      </c>
      <c r="CY117" s="39">
        <v>288.87172211687778</v>
      </c>
      <c r="CZ117" s="52">
        <v>277.70960213321149</v>
      </c>
      <c r="DA117" s="150">
        <v>-5383.9598303994699</v>
      </c>
      <c r="DB117" s="2">
        <v>2</v>
      </c>
      <c r="DC117" s="713">
        <v>-33.54</v>
      </c>
      <c r="DD117" s="714"/>
      <c r="DE117" s="715">
        <v>-262.36345966515853</v>
      </c>
      <c r="DF117" s="716">
        <v>0</v>
      </c>
      <c r="DG117" s="717">
        <v>-3241.8667499600892</v>
      </c>
      <c r="DH117" s="718">
        <v>2211.5425010736917</v>
      </c>
      <c r="DI117" s="718">
        <v>5491.7630319638029</v>
      </c>
      <c r="DJ117" s="693">
        <v>4671.7078992412753</v>
      </c>
      <c r="DK117" s="724"/>
      <c r="DL117" s="5"/>
      <c r="DM117" s="306">
        <v>1.7588275147206651</v>
      </c>
      <c r="DN117" s="306"/>
      <c r="DO117" s="306">
        <v>1.7588275147206651</v>
      </c>
      <c r="DP117" s="719">
        <v>228.82345966515851</v>
      </c>
      <c r="DQ117" s="720">
        <v>0</v>
      </c>
      <c r="DR117" s="650">
        <v>228.82345966515851</v>
      </c>
      <c r="DS117" s="94">
        <v>228.8234596651584</v>
      </c>
      <c r="DT117" s="719">
        <v>228.81</v>
      </c>
      <c r="DU117" s="721"/>
      <c r="DV117" s="93">
        <v>228.81</v>
      </c>
      <c r="DW117" s="95">
        <v>229.9396716635251</v>
      </c>
      <c r="DX117" s="28">
        <v>-1.1296716635251016</v>
      </c>
      <c r="EA117" s="5">
        <v>351.38052356631567</v>
      </c>
      <c r="EB117" s="5">
        <v>0</v>
      </c>
      <c r="EE117" s="722">
        <v>3513.805235663157</v>
      </c>
      <c r="EG117" s="42" t="s">
        <v>81</v>
      </c>
    </row>
    <row r="118" spans="1:137" x14ac:dyDescent="0.3">
      <c r="A118" s="325">
        <v>150000590</v>
      </c>
      <c r="B118" s="41" t="s">
        <v>585</v>
      </c>
      <c r="C118" s="42" t="s">
        <v>164</v>
      </c>
      <c r="D118" s="27">
        <v>2</v>
      </c>
      <c r="E118" s="709">
        <v>373.5</v>
      </c>
      <c r="F118" s="723">
        <v>373.5</v>
      </c>
      <c r="G118" s="28"/>
      <c r="H118" s="651">
        <v>0</v>
      </c>
      <c r="I118" s="39">
        <v>349.70859153849744</v>
      </c>
      <c r="J118" s="39">
        <v>328.48036799442809</v>
      </c>
      <c r="K118" s="52">
        <v>-21.228223544069351</v>
      </c>
      <c r="L118" s="39">
        <v>69.979726090100854</v>
      </c>
      <c r="M118" s="39">
        <v>60.560070372693161</v>
      </c>
      <c r="N118" s="52">
        <v>-9.4196557174076929</v>
      </c>
      <c r="O118" s="39">
        <v>0</v>
      </c>
      <c r="P118" s="39">
        <v>0</v>
      </c>
      <c r="Q118" s="52">
        <v>0</v>
      </c>
      <c r="R118" s="39">
        <v>0</v>
      </c>
      <c r="S118" s="39">
        <v>0</v>
      </c>
      <c r="T118" s="52">
        <v>0</v>
      </c>
      <c r="U118" s="39">
        <v>0</v>
      </c>
      <c r="V118" s="39">
        <v>0</v>
      </c>
      <c r="W118" s="52">
        <v>0</v>
      </c>
      <c r="X118" s="39">
        <v>112.40342435690623</v>
      </c>
      <c r="Y118" s="39">
        <v>80.878361686657456</v>
      </c>
      <c r="Z118" s="52">
        <v>-31.525062670248772</v>
      </c>
      <c r="AA118" s="39">
        <v>0</v>
      </c>
      <c r="AB118" s="39">
        <v>0</v>
      </c>
      <c r="AC118" s="52">
        <v>0</v>
      </c>
      <c r="AD118" s="39">
        <v>266.17051294195056</v>
      </c>
      <c r="AE118" s="39">
        <v>223.34802988790329</v>
      </c>
      <c r="AF118" s="35">
        <v>-42.822483054047268</v>
      </c>
      <c r="AG118" s="77">
        <v>798.26225492745516</v>
      </c>
      <c r="AH118" s="53">
        <v>693.26682994168209</v>
      </c>
      <c r="AI118" s="52">
        <v>-104.99542498577307</v>
      </c>
      <c r="AJ118" s="39">
        <v>0</v>
      </c>
      <c r="AK118" s="39">
        <v>0</v>
      </c>
      <c r="AL118" s="52">
        <v>0</v>
      </c>
      <c r="AM118" s="39">
        <v>0</v>
      </c>
      <c r="AN118" s="39">
        <v>0</v>
      </c>
      <c r="AO118" s="52">
        <v>0</v>
      </c>
      <c r="AP118" s="39">
        <v>252.53803810497325</v>
      </c>
      <c r="AQ118" s="39">
        <v>0</v>
      </c>
      <c r="AR118" s="52">
        <v>-252.53803810497325</v>
      </c>
      <c r="AS118" s="39">
        <v>792.72739894583151</v>
      </c>
      <c r="AT118" s="39">
        <v>0</v>
      </c>
      <c r="AU118" s="54">
        <v>-792.72739894583151</v>
      </c>
      <c r="AV118" s="39">
        <v>65.283353780054597</v>
      </c>
      <c r="AW118" s="39">
        <v>0</v>
      </c>
      <c r="AX118" s="55">
        <v>-65.283353780054597</v>
      </c>
      <c r="AY118" s="39">
        <v>90.238260002622894</v>
      </c>
      <c r="AZ118" s="39">
        <v>0</v>
      </c>
      <c r="BA118" s="35">
        <v>-90.238260002622894</v>
      </c>
      <c r="BB118" s="39">
        <v>0</v>
      </c>
      <c r="BC118" s="39">
        <v>0</v>
      </c>
      <c r="BD118" s="55">
        <v>0</v>
      </c>
      <c r="BE118" s="39">
        <v>0</v>
      </c>
      <c r="BF118" s="39">
        <v>0</v>
      </c>
      <c r="BG118" s="38">
        <v>0</v>
      </c>
      <c r="BH118" s="39">
        <v>0</v>
      </c>
      <c r="BI118" s="39">
        <v>0</v>
      </c>
      <c r="BJ118" s="55">
        <v>0</v>
      </c>
      <c r="BK118" s="39">
        <v>15.221714027152627</v>
      </c>
      <c r="BL118" s="39">
        <v>0</v>
      </c>
      <c r="BM118" s="38">
        <v>-15.221714027152627</v>
      </c>
      <c r="BN118" s="39">
        <v>0</v>
      </c>
      <c r="BO118" s="39">
        <v>0</v>
      </c>
      <c r="BP118" s="55">
        <v>0</v>
      </c>
      <c r="BQ118" s="77">
        <v>170.74332780983011</v>
      </c>
      <c r="BR118" s="40">
        <v>0</v>
      </c>
      <c r="BS118" s="55">
        <v>-170.74332780983011</v>
      </c>
      <c r="BT118" s="39">
        <v>55.829691759794173</v>
      </c>
      <c r="BU118" s="39">
        <v>25.248369207366014</v>
      </c>
      <c r="BV118" s="52">
        <v>-30.581322552428158</v>
      </c>
      <c r="BW118" s="39">
        <v>58.384948082713876</v>
      </c>
      <c r="BX118" s="39">
        <v>266.98751260582259</v>
      </c>
      <c r="BY118" s="52">
        <v>208.6025645231087</v>
      </c>
      <c r="BZ118" s="39">
        <v>45.915315476590322</v>
      </c>
      <c r="CA118" s="39">
        <v>90.587793673934357</v>
      </c>
      <c r="CB118" s="52">
        <v>44.672478197344034</v>
      </c>
      <c r="CC118" s="39">
        <v>50.73786289103154</v>
      </c>
      <c r="CD118" s="39">
        <v>50.056548960701079</v>
      </c>
      <c r="CE118" s="52">
        <v>-0.68131393033046095</v>
      </c>
      <c r="CF118" s="39">
        <v>6.2461384240853226</v>
      </c>
      <c r="CG118" s="39">
        <v>0</v>
      </c>
      <c r="CH118" s="52">
        <v>-6.2461384240853226</v>
      </c>
      <c r="CI118" s="39">
        <v>3.1195875295320228</v>
      </c>
      <c r="CJ118" s="39">
        <v>10.764631454426882</v>
      </c>
      <c r="CK118" s="52">
        <v>7.6450439248948587</v>
      </c>
      <c r="CL118" s="39">
        <v>0</v>
      </c>
      <c r="CM118" s="39">
        <v>0</v>
      </c>
      <c r="CN118" s="52">
        <v>0</v>
      </c>
      <c r="CO118" s="39">
        <v>3.1195875295320228</v>
      </c>
      <c r="CP118" s="40">
        <v>10.764631454426882</v>
      </c>
      <c r="CQ118" s="52">
        <v>7.6450439248948587</v>
      </c>
      <c r="CR118" s="72">
        <v>2234.5045639518376</v>
      </c>
      <c r="CS118" s="5">
        <v>1136.9116858439331</v>
      </c>
      <c r="CT118" s="52">
        <v>-1097.5928781079044</v>
      </c>
      <c r="CU118" s="77">
        <v>2681.4054767422049</v>
      </c>
      <c r="CV118" s="65">
        <v>1364.2940230127197</v>
      </c>
      <c r="CW118" s="35">
        <v>-1317.1114537294852</v>
      </c>
      <c r="CX118" s="39">
        <v>67.035136918555125</v>
      </c>
      <c r="CY118" s="39">
        <v>1384.1465906480403</v>
      </c>
      <c r="CZ118" s="52">
        <v>1317.1114537294852</v>
      </c>
      <c r="DA118" s="150">
        <v>-3824.8996989177572</v>
      </c>
      <c r="DB118" s="2">
        <v>3</v>
      </c>
      <c r="DC118" s="713">
        <v>1558.2</v>
      </c>
      <c r="DD118" s="714"/>
      <c r="DE118" s="715">
        <v>183.97969316961985</v>
      </c>
      <c r="DF118" s="716">
        <v>0</v>
      </c>
      <c r="DG118" s="717">
        <v>4271.7316161271056</v>
      </c>
      <c r="DH118" s="718">
        <v>13154.432881361221</v>
      </c>
      <c r="DI118" s="718">
        <v>32981.287363929121</v>
      </c>
      <c r="DJ118" s="693">
        <v>28024.573743287143</v>
      </c>
      <c r="DK118" s="724"/>
      <c r="DL118" s="5"/>
      <c r="DM118" s="306">
        <v>3.6793047036957969</v>
      </c>
      <c r="DN118" s="306"/>
      <c r="DO118" s="306">
        <v>3.5831688454069908</v>
      </c>
      <c r="DP118" s="719">
        <v>1374.2203068303802</v>
      </c>
      <c r="DQ118" s="720">
        <v>0</v>
      </c>
      <c r="DR118" s="650">
        <v>1374.2203068303802</v>
      </c>
      <c r="DS118" s="94">
        <v>1374.2203068303797</v>
      </c>
      <c r="DT118" s="719">
        <v>1374.23</v>
      </c>
      <c r="DU118" s="721"/>
      <c r="DV118" s="93">
        <v>1374.23</v>
      </c>
      <c r="DW118" s="95">
        <v>1380.9238205222355</v>
      </c>
      <c r="DX118" s="28">
        <v>-6.6938205222354554</v>
      </c>
      <c r="EA118" s="5">
        <v>1156.1648721067938</v>
      </c>
      <c r="EB118" s="5">
        <v>0</v>
      </c>
      <c r="EE118" s="722">
        <v>9512.7287873499772</v>
      </c>
      <c r="EG118" s="42" t="s">
        <v>164</v>
      </c>
    </row>
    <row r="119" spans="1:137" x14ac:dyDescent="0.3">
      <c r="A119" s="325">
        <v>150000578</v>
      </c>
      <c r="B119" s="41" t="s">
        <v>586</v>
      </c>
      <c r="C119" s="42" t="s">
        <v>84</v>
      </c>
      <c r="D119" s="27">
        <v>1</v>
      </c>
      <c r="E119" s="709">
        <v>173.75</v>
      </c>
      <c r="F119" s="723">
        <v>173.75</v>
      </c>
      <c r="G119" s="28"/>
      <c r="H119" s="651">
        <v>0</v>
      </c>
      <c r="I119" s="39">
        <v>0</v>
      </c>
      <c r="J119" s="39">
        <v>0</v>
      </c>
      <c r="K119" s="52">
        <v>0</v>
      </c>
      <c r="L119" s="39">
        <v>0</v>
      </c>
      <c r="M119" s="39">
        <v>0</v>
      </c>
      <c r="N119" s="52">
        <v>0</v>
      </c>
      <c r="O119" s="39">
        <v>0</v>
      </c>
      <c r="P119" s="39">
        <v>0</v>
      </c>
      <c r="Q119" s="52">
        <v>0</v>
      </c>
      <c r="R119" s="39">
        <v>0</v>
      </c>
      <c r="S119" s="39">
        <v>0</v>
      </c>
      <c r="T119" s="52">
        <v>0</v>
      </c>
      <c r="U119" s="39">
        <v>0</v>
      </c>
      <c r="V119" s="39">
        <v>0</v>
      </c>
      <c r="W119" s="52">
        <v>0</v>
      </c>
      <c r="X119" s="39">
        <v>0</v>
      </c>
      <c r="Y119" s="39">
        <v>0</v>
      </c>
      <c r="Z119" s="52">
        <v>0</v>
      </c>
      <c r="AA119" s="39">
        <v>0</v>
      </c>
      <c r="AB119" s="39">
        <v>0</v>
      </c>
      <c r="AC119" s="52">
        <v>0</v>
      </c>
      <c r="AD119" s="39">
        <v>0</v>
      </c>
      <c r="AE119" s="39">
        <v>103.9001879331277</v>
      </c>
      <c r="AF119" s="35">
        <v>103.9001879331277</v>
      </c>
      <c r="AG119" s="77">
        <v>0</v>
      </c>
      <c r="AH119" s="53">
        <v>103.9001879331277</v>
      </c>
      <c r="AI119" s="52">
        <v>103.9001879331277</v>
      </c>
      <c r="AJ119" s="39">
        <v>0</v>
      </c>
      <c r="AK119" s="39">
        <v>0</v>
      </c>
      <c r="AL119" s="52">
        <v>0</v>
      </c>
      <c r="AM119" s="39">
        <v>0</v>
      </c>
      <c r="AN119" s="39">
        <v>0</v>
      </c>
      <c r="AO119" s="52">
        <v>0</v>
      </c>
      <c r="AP119" s="39">
        <v>31.567254763121657</v>
      </c>
      <c r="AQ119" s="39">
        <v>0</v>
      </c>
      <c r="AR119" s="52">
        <v>-31.567254763121657</v>
      </c>
      <c r="AS119" s="39">
        <v>414.86545717728092</v>
      </c>
      <c r="AT119" s="39">
        <v>0</v>
      </c>
      <c r="AU119" s="54">
        <v>-414.86545717728092</v>
      </c>
      <c r="AV119" s="39">
        <v>0</v>
      </c>
      <c r="AW119" s="39">
        <v>0</v>
      </c>
      <c r="AX119" s="55">
        <v>0</v>
      </c>
      <c r="AY119" s="39">
        <v>0</v>
      </c>
      <c r="AZ119" s="39">
        <v>0</v>
      </c>
      <c r="BA119" s="35">
        <v>0</v>
      </c>
      <c r="BB119" s="39">
        <v>0</v>
      </c>
      <c r="BC119" s="39">
        <v>0</v>
      </c>
      <c r="BD119" s="55">
        <v>0</v>
      </c>
      <c r="BE119" s="39">
        <v>0</v>
      </c>
      <c r="BF119" s="39">
        <v>0</v>
      </c>
      <c r="BG119" s="38">
        <v>0</v>
      </c>
      <c r="BH119" s="39">
        <v>0</v>
      </c>
      <c r="BI119" s="39">
        <v>0</v>
      </c>
      <c r="BJ119" s="55">
        <v>0</v>
      </c>
      <c r="BK119" s="39">
        <v>0</v>
      </c>
      <c r="BL119" s="39">
        <v>0</v>
      </c>
      <c r="BM119" s="38">
        <v>0</v>
      </c>
      <c r="BN119" s="39">
        <v>0</v>
      </c>
      <c r="BO119" s="39">
        <v>0</v>
      </c>
      <c r="BP119" s="55">
        <v>0</v>
      </c>
      <c r="BQ119" s="77">
        <v>0</v>
      </c>
      <c r="BR119" s="40">
        <v>0</v>
      </c>
      <c r="BS119" s="55">
        <v>0</v>
      </c>
      <c r="BT119" s="39">
        <v>15.951340502798338</v>
      </c>
      <c r="BU119" s="39">
        <v>7.2123457605021866</v>
      </c>
      <c r="BV119" s="52">
        <v>-8.7389947422961516</v>
      </c>
      <c r="BW119" s="39">
        <v>0</v>
      </c>
      <c r="BX119" s="39">
        <v>0.70332447171060286</v>
      </c>
      <c r="BY119" s="52">
        <v>0.70332447171060286</v>
      </c>
      <c r="BZ119" s="39">
        <v>0</v>
      </c>
      <c r="CA119" s="39">
        <v>25.876802485443513</v>
      </c>
      <c r="CB119" s="52">
        <v>25.876802485443513</v>
      </c>
      <c r="CC119" s="39">
        <v>0</v>
      </c>
      <c r="CD119" s="39">
        <v>0</v>
      </c>
      <c r="CE119" s="52">
        <v>0</v>
      </c>
      <c r="CF119" s="39">
        <v>0</v>
      </c>
      <c r="CG119" s="39">
        <v>0</v>
      </c>
      <c r="CH119" s="52">
        <v>0</v>
      </c>
      <c r="CI119" s="39">
        <v>0</v>
      </c>
      <c r="CJ119" s="39">
        <v>0</v>
      </c>
      <c r="CK119" s="52">
        <v>0</v>
      </c>
      <c r="CL119" s="39">
        <v>0</v>
      </c>
      <c r="CM119" s="39">
        <v>0</v>
      </c>
      <c r="CN119" s="52">
        <v>0</v>
      </c>
      <c r="CO119" s="39">
        <v>0</v>
      </c>
      <c r="CP119" s="40">
        <v>0</v>
      </c>
      <c r="CQ119" s="52">
        <v>0</v>
      </c>
      <c r="CR119" s="72">
        <v>462.38405244320091</v>
      </c>
      <c r="CS119" s="5">
        <v>137.69266065078401</v>
      </c>
      <c r="CT119" s="52">
        <v>-324.69139179241688</v>
      </c>
      <c r="CU119" s="77">
        <v>554.8608629318411</v>
      </c>
      <c r="CV119" s="65">
        <v>165.2311927809408</v>
      </c>
      <c r="CW119" s="35">
        <v>-389.62967015090032</v>
      </c>
      <c r="CX119" s="39">
        <v>8.3229129439776166</v>
      </c>
      <c r="CY119" s="39">
        <v>397.95258309487787</v>
      </c>
      <c r="CZ119" s="52">
        <v>389.62967015090027</v>
      </c>
      <c r="DA119" s="150">
        <v>-3403.6668888806112</v>
      </c>
      <c r="DB119" s="2">
        <v>3</v>
      </c>
      <c r="DC119" s="713">
        <v>422.28</v>
      </c>
      <c r="DD119" s="714"/>
      <c r="DE119" s="715">
        <v>140.68811206209062</v>
      </c>
      <c r="DF119" s="716">
        <v>0</v>
      </c>
      <c r="DG119" s="717">
        <v>-433.18569893676442</v>
      </c>
      <c r="DH119" s="718">
        <v>2703.577995892038</v>
      </c>
      <c r="DI119" s="718">
        <v>6758.2053105098239</v>
      </c>
      <c r="DJ119" s="693">
        <v>5744.5484818553778</v>
      </c>
      <c r="DK119" s="724"/>
      <c r="DL119" s="5"/>
      <c r="DM119" s="306">
        <v>1.6206727363332911</v>
      </c>
      <c r="DN119" s="306"/>
      <c r="DO119" s="306">
        <v>1.6206727363332911</v>
      </c>
      <c r="DP119" s="719">
        <v>281.59188793790935</v>
      </c>
      <c r="DQ119" s="720">
        <v>0</v>
      </c>
      <c r="DR119" s="650">
        <v>281.59188793790935</v>
      </c>
      <c r="DS119" s="94">
        <v>281.59188793790935</v>
      </c>
      <c r="DT119" s="719">
        <v>281.60000000000002</v>
      </c>
      <c r="DU119" s="721"/>
      <c r="DV119" s="93">
        <v>281.60000000000002</v>
      </c>
      <c r="DW119" s="95">
        <v>282.4241792323071</v>
      </c>
      <c r="DX119" s="28">
        <v>-0.82417923230707402</v>
      </c>
      <c r="EA119" s="5">
        <v>497.8385486127371</v>
      </c>
      <c r="EB119" s="5">
        <v>0</v>
      </c>
      <c r="EE119" s="722">
        <v>4978.3854861273712</v>
      </c>
      <c r="EG119" s="42" t="s">
        <v>84</v>
      </c>
    </row>
    <row r="120" spans="1:137" x14ac:dyDescent="0.3">
      <c r="A120" s="325">
        <v>150000580</v>
      </c>
      <c r="B120" s="41" t="s">
        <v>587</v>
      </c>
      <c r="C120" s="42" t="s">
        <v>85</v>
      </c>
      <c r="D120" s="27">
        <v>1</v>
      </c>
      <c r="E120" s="709">
        <v>188.4</v>
      </c>
      <c r="F120" s="723">
        <v>188.4</v>
      </c>
      <c r="G120" s="28"/>
      <c r="H120" s="651">
        <v>0</v>
      </c>
      <c r="I120" s="39">
        <v>0</v>
      </c>
      <c r="J120" s="39">
        <v>0</v>
      </c>
      <c r="K120" s="52">
        <v>0</v>
      </c>
      <c r="L120" s="39">
        <v>0</v>
      </c>
      <c r="M120" s="39">
        <v>0</v>
      </c>
      <c r="N120" s="52">
        <v>0</v>
      </c>
      <c r="O120" s="39">
        <v>0</v>
      </c>
      <c r="P120" s="39">
        <v>0</v>
      </c>
      <c r="Q120" s="52">
        <v>0</v>
      </c>
      <c r="R120" s="39">
        <v>0</v>
      </c>
      <c r="S120" s="39">
        <v>0</v>
      </c>
      <c r="T120" s="52">
        <v>0</v>
      </c>
      <c r="U120" s="39">
        <v>0</v>
      </c>
      <c r="V120" s="39">
        <v>0</v>
      </c>
      <c r="W120" s="52">
        <v>0</v>
      </c>
      <c r="X120" s="39">
        <v>0</v>
      </c>
      <c r="Y120" s="39">
        <v>0</v>
      </c>
      <c r="Z120" s="52">
        <v>0</v>
      </c>
      <c r="AA120" s="39">
        <v>0</v>
      </c>
      <c r="AB120" s="39">
        <v>0</v>
      </c>
      <c r="AC120" s="52">
        <v>0</v>
      </c>
      <c r="AD120" s="39">
        <v>0</v>
      </c>
      <c r="AE120" s="39">
        <v>112.66069298763315</v>
      </c>
      <c r="AF120" s="35">
        <v>112.66069298763315</v>
      </c>
      <c r="AG120" s="77">
        <v>0</v>
      </c>
      <c r="AH120" s="53">
        <v>112.66069298763315</v>
      </c>
      <c r="AI120" s="52">
        <v>112.66069298763315</v>
      </c>
      <c r="AJ120" s="39">
        <v>0</v>
      </c>
      <c r="AK120" s="39">
        <v>0</v>
      </c>
      <c r="AL120" s="52">
        <v>0</v>
      </c>
      <c r="AM120" s="39">
        <v>0</v>
      </c>
      <c r="AN120" s="39">
        <v>0</v>
      </c>
      <c r="AO120" s="52">
        <v>0</v>
      </c>
      <c r="AP120" s="39">
        <v>23.675441072341243</v>
      </c>
      <c r="AQ120" s="39">
        <v>0</v>
      </c>
      <c r="AR120" s="52">
        <v>-23.675441072341243</v>
      </c>
      <c r="AS120" s="39">
        <v>350.11210501028825</v>
      </c>
      <c r="AT120" s="39">
        <v>0</v>
      </c>
      <c r="AU120" s="54">
        <v>-350.11210501028825</v>
      </c>
      <c r="AV120" s="39">
        <v>0</v>
      </c>
      <c r="AW120" s="39">
        <v>0</v>
      </c>
      <c r="AX120" s="55">
        <v>0</v>
      </c>
      <c r="AY120" s="39">
        <v>0</v>
      </c>
      <c r="AZ120" s="39">
        <v>0</v>
      </c>
      <c r="BA120" s="35">
        <v>0</v>
      </c>
      <c r="BB120" s="39">
        <v>0</v>
      </c>
      <c r="BC120" s="39">
        <v>0</v>
      </c>
      <c r="BD120" s="55">
        <v>0</v>
      </c>
      <c r="BE120" s="39">
        <v>0</v>
      </c>
      <c r="BF120" s="39">
        <v>0</v>
      </c>
      <c r="BG120" s="38">
        <v>0</v>
      </c>
      <c r="BH120" s="39">
        <v>0</v>
      </c>
      <c r="BI120" s="39">
        <v>0</v>
      </c>
      <c r="BJ120" s="55">
        <v>0</v>
      </c>
      <c r="BK120" s="39">
        <v>0</v>
      </c>
      <c r="BL120" s="39">
        <v>0</v>
      </c>
      <c r="BM120" s="38">
        <v>0</v>
      </c>
      <c r="BN120" s="39">
        <v>0</v>
      </c>
      <c r="BO120" s="39">
        <v>0</v>
      </c>
      <c r="BP120" s="55">
        <v>0</v>
      </c>
      <c r="BQ120" s="77">
        <v>0</v>
      </c>
      <c r="BR120" s="40">
        <v>0</v>
      </c>
      <c r="BS120" s="55">
        <v>0</v>
      </c>
      <c r="BT120" s="39">
        <v>31.902681005596676</v>
      </c>
      <c r="BU120" s="39">
        <v>14.424691521004373</v>
      </c>
      <c r="BV120" s="52">
        <v>-17.477989484592303</v>
      </c>
      <c r="BW120" s="39">
        <v>0</v>
      </c>
      <c r="BX120" s="39">
        <v>0.76262636241886383</v>
      </c>
      <c r="BY120" s="52">
        <v>0.76262636241886383</v>
      </c>
      <c r="BZ120" s="39">
        <v>0</v>
      </c>
      <c r="CA120" s="39">
        <v>51.753604970887025</v>
      </c>
      <c r="CB120" s="52">
        <v>51.753604970887025</v>
      </c>
      <c r="CC120" s="39">
        <v>0</v>
      </c>
      <c r="CD120" s="39">
        <v>0</v>
      </c>
      <c r="CE120" s="52">
        <v>0</v>
      </c>
      <c r="CF120" s="39">
        <v>0</v>
      </c>
      <c r="CG120" s="39">
        <v>0</v>
      </c>
      <c r="CH120" s="52">
        <v>0</v>
      </c>
      <c r="CI120" s="39">
        <v>0</v>
      </c>
      <c r="CJ120" s="39">
        <v>0</v>
      </c>
      <c r="CK120" s="52">
        <v>0</v>
      </c>
      <c r="CL120" s="39">
        <v>0</v>
      </c>
      <c r="CM120" s="39">
        <v>0</v>
      </c>
      <c r="CN120" s="52">
        <v>0</v>
      </c>
      <c r="CO120" s="39">
        <v>0</v>
      </c>
      <c r="CP120" s="40">
        <v>0</v>
      </c>
      <c r="CQ120" s="52">
        <v>0</v>
      </c>
      <c r="CR120" s="72">
        <v>405.69022708822615</v>
      </c>
      <c r="CS120" s="5">
        <v>179.60161584194344</v>
      </c>
      <c r="CT120" s="52">
        <v>-226.08861124628271</v>
      </c>
      <c r="CU120" s="77">
        <v>486.82827250587138</v>
      </c>
      <c r="CV120" s="65">
        <v>215.52193901033212</v>
      </c>
      <c r="CW120" s="35">
        <v>-271.30633349553926</v>
      </c>
      <c r="CX120" s="39">
        <v>12.170706812646783</v>
      </c>
      <c r="CY120" s="39">
        <v>283.47704030818602</v>
      </c>
      <c r="CZ120" s="52">
        <v>271.30633349553926</v>
      </c>
      <c r="DA120" s="150">
        <v>-4829.9854414602451</v>
      </c>
      <c r="DB120" s="2">
        <v>3</v>
      </c>
      <c r="DC120" s="713">
        <v>249.5</v>
      </c>
      <c r="DD120" s="714"/>
      <c r="DE120" s="715">
        <v>5.1034074098765814E-4</v>
      </c>
      <c r="DF120" s="716">
        <v>0</v>
      </c>
      <c r="DG120" s="717">
        <v>-2720.2985376798238</v>
      </c>
      <c r="DH120" s="718">
        <v>2385.3990285828681</v>
      </c>
      <c r="DI120" s="718">
        <v>5987.9877518222174</v>
      </c>
      <c r="DJ120" s="693">
        <v>5087.3405710123807</v>
      </c>
      <c r="DK120" s="724"/>
      <c r="DL120" s="5"/>
      <c r="DM120" s="306">
        <v>1.324307269953604</v>
      </c>
      <c r="DN120" s="306"/>
      <c r="DO120" s="306">
        <v>1.324307269953604</v>
      </c>
      <c r="DP120" s="719">
        <v>249.49948965925901</v>
      </c>
      <c r="DQ120" s="720">
        <v>0</v>
      </c>
      <c r="DR120" s="650">
        <v>249.49948965925901</v>
      </c>
      <c r="DS120" s="94">
        <v>249.49948965925913</v>
      </c>
      <c r="DT120" s="719">
        <v>249.5</v>
      </c>
      <c r="DU120" s="721"/>
      <c r="DV120" s="93">
        <v>249.5</v>
      </c>
      <c r="DW120" s="95">
        <v>250.71656034052373</v>
      </c>
      <c r="DX120" s="28">
        <v>-1.2165603405237277</v>
      </c>
      <c r="EA120" s="5">
        <v>420.13452601234587</v>
      </c>
      <c r="EB120" s="5">
        <v>0</v>
      </c>
      <c r="EE120" s="722">
        <v>4201.3452601234585</v>
      </c>
      <c r="EG120" s="42" t="s">
        <v>85</v>
      </c>
    </row>
    <row r="121" spans="1:137" x14ac:dyDescent="0.3">
      <c r="A121" s="325">
        <v>150001054</v>
      </c>
      <c r="B121" s="41" t="s">
        <v>588</v>
      </c>
      <c r="C121" s="42" t="s">
        <v>86</v>
      </c>
      <c r="D121" s="27">
        <v>1</v>
      </c>
      <c r="E121" s="709">
        <v>195.6</v>
      </c>
      <c r="F121" s="723">
        <v>195.6</v>
      </c>
      <c r="G121" s="28"/>
      <c r="H121" s="651">
        <v>0</v>
      </c>
      <c r="I121" s="39">
        <v>0</v>
      </c>
      <c r="J121" s="39">
        <v>0</v>
      </c>
      <c r="K121" s="52">
        <v>0</v>
      </c>
      <c r="L121" s="39">
        <v>0</v>
      </c>
      <c r="M121" s="39">
        <v>0</v>
      </c>
      <c r="N121" s="52">
        <v>0</v>
      </c>
      <c r="O121" s="39">
        <v>0</v>
      </c>
      <c r="P121" s="39">
        <v>0</v>
      </c>
      <c r="Q121" s="52">
        <v>0</v>
      </c>
      <c r="R121" s="39">
        <v>0</v>
      </c>
      <c r="S121" s="39">
        <v>0</v>
      </c>
      <c r="T121" s="52">
        <v>0</v>
      </c>
      <c r="U121" s="39">
        <v>0</v>
      </c>
      <c r="V121" s="39">
        <v>0</v>
      </c>
      <c r="W121" s="52">
        <v>0</v>
      </c>
      <c r="X121" s="39">
        <v>0</v>
      </c>
      <c r="Y121" s="39">
        <v>0</v>
      </c>
      <c r="Z121" s="52">
        <v>0</v>
      </c>
      <c r="AA121" s="39">
        <v>0</v>
      </c>
      <c r="AB121" s="39">
        <v>0</v>
      </c>
      <c r="AC121" s="52">
        <v>0</v>
      </c>
      <c r="AD121" s="39">
        <v>0</v>
      </c>
      <c r="AE121" s="39">
        <v>116.96619717824332</v>
      </c>
      <c r="AF121" s="35">
        <v>116.96619717824332</v>
      </c>
      <c r="AG121" s="77">
        <v>0</v>
      </c>
      <c r="AH121" s="53">
        <v>116.96619717824332</v>
      </c>
      <c r="AI121" s="52">
        <v>116.96619717824332</v>
      </c>
      <c r="AJ121" s="39">
        <v>0</v>
      </c>
      <c r="AK121" s="39">
        <v>0</v>
      </c>
      <c r="AL121" s="52">
        <v>0</v>
      </c>
      <c r="AM121" s="39">
        <v>0</v>
      </c>
      <c r="AN121" s="39">
        <v>0</v>
      </c>
      <c r="AO121" s="52">
        <v>0</v>
      </c>
      <c r="AP121" s="39">
        <v>47.350882144682487</v>
      </c>
      <c r="AQ121" s="39">
        <v>0</v>
      </c>
      <c r="AR121" s="52">
        <v>-47.350882144682487</v>
      </c>
      <c r="AS121" s="39">
        <v>378.03119724461283</v>
      </c>
      <c r="AT121" s="39">
        <v>0</v>
      </c>
      <c r="AU121" s="54">
        <v>-378.03119724461283</v>
      </c>
      <c r="AV121" s="39">
        <v>0</v>
      </c>
      <c r="AW121" s="39">
        <v>0</v>
      </c>
      <c r="AX121" s="55">
        <v>0</v>
      </c>
      <c r="AY121" s="39">
        <v>0</v>
      </c>
      <c r="AZ121" s="39">
        <v>0</v>
      </c>
      <c r="BA121" s="35">
        <v>0</v>
      </c>
      <c r="BB121" s="39">
        <v>0</v>
      </c>
      <c r="BC121" s="39">
        <v>0</v>
      </c>
      <c r="BD121" s="55">
        <v>0</v>
      </c>
      <c r="BE121" s="39">
        <v>0</v>
      </c>
      <c r="BF121" s="39">
        <v>0</v>
      </c>
      <c r="BG121" s="38">
        <v>0</v>
      </c>
      <c r="BH121" s="39">
        <v>0</v>
      </c>
      <c r="BI121" s="39">
        <v>0</v>
      </c>
      <c r="BJ121" s="55">
        <v>0</v>
      </c>
      <c r="BK121" s="39">
        <v>0</v>
      </c>
      <c r="BL121" s="39">
        <v>0</v>
      </c>
      <c r="BM121" s="38">
        <v>0</v>
      </c>
      <c r="BN121" s="39">
        <v>0</v>
      </c>
      <c r="BO121" s="39">
        <v>0</v>
      </c>
      <c r="BP121" s="55">
        <v>0</v>
      </c>
      <c r="BQ121" s="77">
        <v>0</v>
      </c>
      <c r="BR121" s="40">
        <v>0</v>
      </c>
      <c r="BS121" s="55">
        <v>0</v>
      </c>
      <c r="BT121" s="39">
        <v>35.890516131296266</v>
      </c>
      <c r="BU121" s="39">
        <v>15.580317737279399</v>
      </c>
      <c r="BV121" s="52">
        <v>-20.310198394016865</v>
      </c>
      <c r="BW121" s="39">
        <v>0</v>
      </c>
      <c r="BX121" s="39">
        <v>0.79177131894442532</v>
      </c>
      <c r="BY121" s="52">
        <v>0.79177131894442532</v>
      </c>
      <c r="BZ121" s="39">
        <v>0</v>
      </c>
      <c r="CA121" s="39">
        <v>57.334624143832443</v>
      </c>
      <c r="CB121" s="52">
        <v>57.334624143832443</v>
      </c>
      <c r="CC121" s="39">
        <v>0</v>
      </c>
      <c r="CD121" s="39">
        <v>0</v>
      </c>
      <c r="CE121" s="52">
        <v>0</v>
      </c>
      <c r="CF121" s="39">
        <v>0</v>
      </c>
      <c r="CG121" s="39">
        <v>0</v>
      </c>
      <c r="CH121" s="52">
        <v>0</v>
      </c>
      <c r="CI121" s="39">
        <v>0</v>
      </c>
      <c r="CJ121" s="39">
        <v>0</v>
      </c>
      <c r="CK121" s="52">
        <v>0</v>
      </c>
      <c r="CL121" s="39">
        <v>0</v>
      </c>
      <c r="CM121" s="39">
        <v>0</v>
      </c>
      <c r="CN121" s="52">
        <v>0</v>
      </c>
      <c r="CO121" s="39">
        <v>0</v>
      </c>
      <c r="CP121" s="40">
        <v>0</v>
      </c>
      <c r="CQ121" s="52">
        <v>0</v>
      </c>
      <c r="CR121" s="72">
        <v>461.27259552059161</v>
      </c>
      <c r="CS121" s="5">
        <v>190.6729103782996</v>
      </c>
      <c r="CT121" s="52">
        <v>-270.599685142292</v>
      </c>
      <c r="CU121" s="77">
        <v>553.52711462470995</v>
      </c>
      <c r="CV121" s="65">
        <v>228.80749245395953</v>
      </c>
      <c r="CW121" s="35">
        <v>-324.71962217075043</v>
      </c>
      <c r="CX121" s="39">
        <v>13.83817786561775</v>
      </c>
      <c r="CY121" s="39">
        <v>338.55780003636812</v>
      </c>
      <c r="CZ121" s="52">
        <v>324.71962217075037</v>
      </c>
      <c r="DA121" s="150">
        <v>-2436.4531650483077</v>
      </c>
      <c r="DB121" s="2">
        <v>3</v>
      </c>
      <c r="DC121" s="713">
        <v>338.21</v>
      </c>
      <c r="DD121" s="714"/>
      <c r="DE121" s="715">
        <v>54.527353754836156</v>
      </c>
      <c r="DF121" s="716">
        <v>0</v>
      </c>
      <c r="DG121" s="717">
        <v>-695.3364582452964</v>
      </c>
      <c r="DH121" s="718">
        <v>2728.7951308423744</v>
      </c>
      <c r="DI121" s="718">
        <v>6808.3835098839318</v>
      </c>
      <c r="DJ121" s="693">
        <v>5788.4864151235433</v>
      </c>
      <c r="DK121" s="724"/>
      <c r="DL121" s="5"/>
      <c r="DM121" s="306">
        <v>1.4503202773270134</v>
      </c>
      <c r="DN121" s="306"/>
      <c r="DO121" s="306">
        <v>1.4503202773270134</v>
      </c>
      <c r="DP121" s="719">
        <v>283.68264624516382</v>
      </c>
      <c r="DQ121" s="720">
        <v>0</v>
      </c>
      <c r="DR121" s="650">
        <v>283.68264624516382</v>
      </c>
      <c r="DS121" s="94">
        <v>283.68264624516382</v>
      </c>
      <c r="DT121" s="719">
        <v>283.39</v>
      </c>
      <c r="DU121" s="721"/>
      <c r="DV121" s="93">
        <v>283.39</v>
      </c>
      <c r="DW121" s="95">
        <v>285.06646403172562</v>
      </c>
      <c r="DX121" s="28">
        <v>-1.6764640317256294</v>
      </c>
      <c r="EA121" s="5">
        <v>453.63743669353539</v>
      </c>
      <c r="EB121" s="5">
        <v>0</v>
      </c>
      <c r="EE121" s="722">
        <v>4536.3743669353535</v>
      </c>
      <c r="EG121" s="42" t="s">
        <v>86</v>
      </c>
    </row>
    <row r="122" spans="1:137" x14ac:dyDescent="0.3">
      <c r="A122" s="325">
        <v>150000634</v>
      </c>
      <c r="B122" s="41" t="s">
        <v>589</v>
      </c>
      <c r="C122" s="42" t="s">
        <v>87</v>
      </c>
      <c r="D122" s="27">
        <v>1</v>
      </c>
      <c r="E122" s="709">
        <v>196.35</v>
      </c>
      <c r="F122" s="723">
        <v>196.35</v>
      </c>
      <c r="G122" s="28"/>
      <c r="H122" s="651">
        <v>0</v>
      </c>
      <c r="I122" s="39">
        <v>0</v>
      </c>
      <c r="J122" s="39">
        <v>0</v>
      </c>
      <c r="K122" s="52">
        <v>0</v>
      </c>
      <c r="L122" s="39">
        <v>0</v>
      </c>
      <c r="M122" s="39">
        <v>0</v>
      </c>
      <c r="N122" s="52">
        <v>0</v>
      </c>
      <c r="O122" s="39">
        <v>0</v>
      </c>
      <c r="P122" s="39">
        <v>0</v>
      </c>
      <c r="Q122" s="52">
        <v>0</v>
      </c>
      <c r="R122" s="39">
        <v>0</v>
      </c>
      <c r="S122" s="39">
        <v>0</v>
      </c>
      <c r="T122" s="52">
        <v>0</v>
      </c>
      <c r="U122" s="39">
        <v>0</v>
      </c>
      <c r="V122" s="39">
        <v>0</v>
      </c>
      <c r="W122" s="52">
        <v>0</v>
      </c>
      <c r="X122" s="39">
        <v>0</v>
      </c>
      <c r="Y122" s="39">
        <v>0</v>
      </c>
      <c r="Z122" s="52">
        <v>0</v>
      </c>
      <c r="AA122" s="39">
        <v>0</v>
      </c>
      <c r="AB122" s="39">
        <v>0</v>
      </c>
      <c r="AC122" s="52">
        <v>0</v>
      </c>
      <c r="AD122" s="39">
        <v>0</v>
      </c>
      <c r="AE122" s="39">
        <v>117.41468719809855</v>
      </c>
      <c r="AF122" s="35">
        <v>117.41468719809855</v>
      </c>
      <c r="AG122" s="77">
        <v>0</v>
      </c>
      <c r="AH122" s="53">
        <v>117.41468719809855</v>
      </c>
      <c r="AI122" s="52">
        <v>117.41468719809855</v>
      </c>
      <c r="AJ122" s="39">
        <v>0</v>
      </c>
      <c r="AK122" s="39">
        <v>0</v>
      </c>
      <c r="AL122" s="52">
        <v>0</v>
      </c>
      <c r="AM122" s="39">
        <v>0</v>
      </c>
      <c r="AN122" s="39">
        <v>0</v>
      </c>
      <c r="AO122" s="52">
        <v>0</v>
      </c>
      <c r="AP122" s="39">
        <v>63.134509526243313</v>
      </c>
      <c r="AQ122" s="39">
        <v>0</v>
      </c>
      <c r="AR122" s="52">
        <v>-63.134509526243313</v>
      </c>
      <c r="AS122" s="39">
        <v>461.54235661714711</v>
      </c>
      <c r="AT122" s="39">
        <v>0</v>
      </c>
      <c r="AU122" s="54">
        <v>-461.54235661714711</v>
      </c>
      <c r="AV122" s="39">
        <v>0</v>
      </c>
      <c r="AW122" s="39">
        <v>0</v>
      </c>
      <c r="AX122" s="55">
        <v>0</v>
      </c>
      <c r="AY122" s="39">
        <v>0</v>
      </c>
      <c r="AZ122" s="39">
        <v>0</v>
      </c>
      <c r="BA122" s="35">
        <v>0</v>
      </c>
      <c r="BB122" s="39">
        <v>0</v>
      </c>
      <c r="BC122" s="39">
        <v>0</v>
      </c>
      <c r="BD122" s="55">
        <v>0</v>
      </c>
      <c r="BE122" s="39">
        <v>0</v>
      </c>
      <c r="BF122" s="39">
        <v>0</v>
      </c>
      <c r="BG122" s="38">
        <v>0</v>
      </c>
      <c r="BH122" s="39">
        <v>0</v>
      </c>
      <c r="BI122" s="39">
        <v>0</v>
      </c>
      <c r="BJ122" s="55">
        <v>0</v>
      </c>
      <c r="BK122" s="39">
        <v>0</v>
      </c>
      <c r="BL122" s="39">
        <v>0</v>
      </c>
      <c r="BM122" s="38">
        <v>0</v>
      </c>
      <c r="BN122" s="39">
        <v>0</v>
      </c>
      <c r="BO122" s="39">
        <v>0</v>
      </c>
      <c r="BP122" s="55">
        <v>0</v>
      </c>
      <c r="BQ122" s="77">
        <v>0</v>
      </c>
      <c r="BR122" s="40">
        <v>0</v>
      </c>
      <c r="BS122" s="55">
        <v>0</v>
      </c>
      <c r="BT122" s="39">
        <v>39.878351256995849</v>
      </c>
      <c r="BU122" s="39">
        <v>17.891570169829457</v>
      </c>
      <c r="BV122" s="52">
        <v>-21.986781087166392</v>
      </c>
      <c r="BW122" s="39">
        <v>0</v>
      </c>
      <c r="BX122" s="39">
        <v>0.79480725191583801</v>
      </c>
      <c r="BY122" s="52">
        <v>0.79480725191583801</v>
      </c>
      <c r="BZ122" s="39">
        <v>0</v>
      </c>
      <c r="CA122" s="39">
        <v>64.511508091633857</v>
      </c>
      <c r="CB122" s="52">
        <v>64.511508091633857</v>
      </c>
      <c r="CC122" s="39">
        <v>0</v>
      </c>
      <c r="CD122" s="39">
        <v>0</v>
      </c>
      <c r="CE122" s="52">
        <v>0</v>
      </c>
      <c r="CF122" s="39">
        <v>0</v>
      </c>
      <c r="CG122" s="39">
        <v>0</v>
      </c>
      <c r="CH122" s="52">
        <v>0</v>
      </c>
      <c r="CI122" s="39">
        <v>0</v>
      </c>
      <c r="CJ122" s="39">
        <v>0</v>
      </c>
      <c r="CK122" s="52">
        <v>0</v>
      </c>
      <c r="CL122" s="39">
        <v>0</v>
      </c>
      <c r="CM122" s="39">
        <v>0</v>
      </c>
      <c r="CN122" s="52">
        <v>0</v>
      </c>
      <c r="CO122" s="39">
        <v>0</v>
      </c>
      <c r="CP122" s="40">
        <v>0</v>
      </c>
      <c r="CQ122" s="52">
        <v>0</v>
      </c>
      <c r="CR122" s="72">
        <v>564.55521740038625</v>
      </c>
      <c r="CS122" s="5">
        <v>200.6125727114777</v>
      </c>
      <c r="CT122" s="52">
        <v>-363.94264468890856</v>
      </c>
      <c r="CU122" s="77">
        <v>677.46626088046344</v>
      </c>
      <c r="CV122" s="65">
        <v>240.73508725377323</v>
      </c>
      <c r="CW122" s="35">
        <v>-436.73117362669018</v>
      </c>
      <c r="CX122" s="39">
        <v>16.936656522011585</v>
      </c>
      <c r="CY122" s="39">
        <v>453.6678301487018</v>
      </c>
      <c r="CZ122" s="52">
        <v>436.73117362669024</v>
      </c>
      <c r="DA122" s="150">
        <v>-7676.9044037182275</v>
      </c>
      <c r="DB122" s="2">
        <v>3</v>
      </c>
      <c r="DC122" s="713">
        <v>830.26</v>
      </c>
      <c r="DD122" s="714"/>
      <c r="DE122" s="715">
        <v>483.05854129876246</v>
      </c>
      <c r="DF122" s="716">
        <v>0</v>
      </c>
      <c r="DG122" s="717">
        <v>-5126.1490954868359</v>
      </c>
      <c r="DH122" s="718">
        <v>3324.9058272391426</v>
      </c>
      <c r="DI122" s="718">
        <v>8332.8350088297011</v>
      </c>
      <c r="DJ122" s="693">
        <v>7080.8527134320611</v>
      </c>
      <c r="DK122" s="724"/>
      <c r="DL122" s="5"/>
      <c r="DM122" s="306">
        <v>1.7682783738285588</v>
      </c>
      <c r="DN122" s="306"/>
      <c r="DO122" s="306">
        <v>1.7682783738285588</v>
      </c>
      <c r="DP122" s="719">
        <v>347.20145870123753</v>
      </c>
      <c r="DQ122" s="720">
        <v>0</v>
      </c>
      <c r="DR122" s="650">
        <v>347.20145870123753</v>
      </c>
      <c r="DS122" s="94">
        <v>347.20145870123753</v>
      </c>
      <c r="DT122" s="719">
        <v>347.21</v>
      </c>
      <c r="DU122" s="721"/>
      <c r="DV122" s="93">
        <v>347.21</v>
      </c>
      <c r="DW122" s="95">
        <v>348.89512435343869</v>
      </c>
      <c r="DX122" s="28">
        <v>-1.6851243534387095</v>
      </c>
      <c r="EA122" s="5">
        <v>553.85082794057655</v>
      </c>
      <c r="EB122" s="5">
        <v>0</v>
      </c>
      <c r="EE122" s="722">
        <v>5538.5082794057653</v>
      </c>
      <c r="EG122" s="42" t="s">
        <v>87</v>
      </c>
    </row>
    <row r="123" spans="1:137" x14ac:dyDescent="0.3">
      <c r="A123" s="325">
        <v>150000636</v>
      </c>
      <c r="B123" s="41" t="s">
        <v>590</v>
      </c>
      <c r="C123" s="42" t="s">
        <v>259</v>
      </c>
      <c r="D123" s="27">
        <v>5</v>
      </c>
      <c r="E123" s="709">
        <v>3175.8</v>
      </c>
      <c r="F123" s="723">
        <v>3175.8</v>
      </c>
      <c r="G123" s="28"/>
      <c r="H123" s="651">
        <v>0</v>
      </c>
      <c r="I123" s="39">
        <v>1830.4126028444532</v>
      </c>
      <c r="J123" s="39">
        <v>1736.863614849965</v>
      </c>
      <c r="K123" s="52">
        <v>-93.548987994488243</v>
      </c>
      <c r="L123" s="39">
        <v>372.23739875297053</v>
      </c>
      <c r="M123" s="39">
        <v>322.13348215157725</v>
      </c>
      <c r="N123" s="52">
        <v>-50.10391660139328</v>
      </c>
      <c r="O123" s="39">
        <v>781.62</v>
      </c>
      <c r="P123" s="39">
        <v>781.76</v>
      </c>
      <c r="Q123" s="52">
        <v>0.13999999999998636</v>
      </c>
      <c r="R123" s="39">
        <v>0</v>
      </c>
      <c r="S123" s="39">
        <v>0</v>
      </c>
      <c r="T123" s="52">
        <v>0</v>
      </c>
      <c r="U123" s="39">
        <v>118.22581795543685</v>
      </c>
      <c r="V123" s="39">
        <v>70.064077109113384</v>
      </c>
      <c r="W123" s="52">
        <v>-48.161740846323468</v>
      </c>
      <c r="X123" s="39">
        <v>1148.6259876199663</v>
      </c>
      <c r="Y123" s="39">
        <v>815.36594684379179</v>
      </c>
      <c r="Z123" s="52">
        <v>-333.26004077617449</v>
      </c>
      <c r="AA123" s="39">
        <v>0</v>
      </c>
      <c r="AB123" s="39">
        <v>0</v>
      </c>
      <c r="AC123" s="52">
        <v>0</v>
      </c>
      <c r="AD123" s="39">
        <v>2263.1976305248904</v>
      </c>
      <c r="AE123" s="39">
        <v>1899.0861400749752</v>
      </c>
      <c r="AF123" s="35">
        <v>-364.11149044991521</v>
      </c>
      <c r="AG123" s="77">
        <v>6514.3194376977171</v>
      </c>
      <c r="AH123" s="53">
        <v>5625.2732610294224</v>
      </c>
      <c r="AI123" s="52">
        <v>-889.04617666829472</v>
      </c>
      <c r="AJ123" s="39">
        <v>0</v>
      </c>
      <c r="AK123" s="39">
        <v>0</v>
      </c>
      <c r="AL123" s="52">
        <v>0</v>
      </c>
      <c r="AM123" s="39">
        <v>0</v>
      </c>
      <c r="AN123" s="39">
        <v>0</v>
      </c>
      <c r="AO123" s="52">
        <v>0</v>
      </c>
      <c r="AP123" s="39">
        <v>1657.2808750638872</v>
      </c>
      <c r="AQ123" s="39">
        <v>0</v>
      </c>
      <c r="AR123" s="52">
        <v>-1657.2808750638872</v>
      </c>
      <c r="AS123" s="39">
        <v>6739.0552952929311</v>
      </c>
      <c r="AT123" s="39">
        <v>418</v>
      </c>
      <c r="AU123" s="54">
        <v>-6321.0552952929311</v>
      </c>
      <c r="AV123" s="39">
        <v>293.41770088640146</v>
      </c>
      <c r="AW123" s="39">
        <v>442</v>
      </c>
      <c r="AX123" s="55">
        <v>148.58229911359854</v>
      </c>
      <c r="AY123" s="39">
        <v>479.78182875221421</v>
      </c>
      <c r="AZ123" s="39">
        <v>0</v>
      </c>
      <c r="BA123" s="35">
        <v>-479.78182875221421</v>
      </c>
      <c r="BB123" s="39">
        <v>298.87887909621088</v>
      </c>
      <c r="BC123" s="39">
        <v>0</v>
      </c>
      <c r="BD123" s="55">
        <v>-298.87887909621088</v>
      </c>
      <c r="BE123" s="39">
        <v>0</v>
      </c>
      <c r="BF123" s="39">
        <v>0</v>
      </c>
      <c r="BG123" s="38">
        <v>0</v>
      </c>
      <c r="BH123" s="39">
        <v>119.94714023874553</v>
      </c>
      <c r="BI123" s="39">
        <v>0</v>
      </c>
      <c r="BJ123" s="55">
        <v>-119.94714023874553</v>
      </c>
      <c r="BK123" s="39">
        <v>216.37577436144372</v>
      </c>
      <c r="BL123" s="39">
        <v>0</v>
      </c>
      <c r="BM123" s="38">
        <v>-216.37577436144372</v>
      </c>
      <c r="BN123" s="39">
        <v>0</v>
      </c>
      <c r="BO123" s="39">
        <v>0</v>
      </c>
      <c r="BP123" s="55">
        <v>0</v>
      </c>
      <c r="BQ123" s="77">
        <v>1408.4013233350158</v>
      </c>
      <c r="BR123" s="40">
        <v>442</v>
      </c>
      <c r="BS123" s="55">
        <v>-966.40132333501583</v>
      </c>
      <c r="BT123" s="39">
        <v>5925.0570718561357</v>
      </c>
      <c r="BU123" s="39">
        <v>1701.9463261731166</v>
      </c>
      <c r="BV123" s="52">
        <v>-4223.1107456830196</v>
      </c>
      <c r="BW123" s="39">
        <v>2993.9524813163084</v>
      </c>
      <c r="BX123" s="39">
        <v>2779.7558273566028</v>
      </c>
      <c r="BY123" s="52">
        <v>-214.1966539597056</v>
      </c>
      <c r="BZ123" s="39">
        <v>1046.6787700960404</v>
      </c>
      <c r="CA123" s="39">
        <v>6754.8397033776837</v>
      </c>
      <c r="CB123" s="52">
        <v>5708.1609332816433</v>
      </c>
      <c r="CC123" s="39">
        <v>309.13329796216897</v>
      </c>
      <c r="CD123" s="39">
        <v>304.98222004461934</v>
      </c>
      <c r="CE123" s="52">
        <v>-4.1510779175496282</v>
      </c>
      <c r="CF123" s="39">
        <v>38.056182514282163</v>
      </c>
      <c r="CG123" s="39">
        <v>0</v>
      </c>
      <c r="CH123" s="52">
        <v>-38.056182514282163</v>
      </c>
      <c r="CI123" s="39">
        <v>1229.1174866356168</v>
      </c>
      <c r="CJ123" s="39">
        <v>565.29396197013739</v>
      </c>
      <c r="CK123" s="52">
        <v>-663.82352466547945</v>
      </c>
      <c r="CL123" s="39">
        <v>0</v>
      </c>
      <c r="CM123" s="39">
        <v>0</v>
      </c>
      <c r="CN123" s="52">
        <v>0</v>
      </c>
      <c r="CO123" s="39">
        <v>1229.1174866356168</v>
      </c>
      <c r="CP123" s="40">
        <v>565.29396197013739</v>
      </c>
      <c r="CQ123" s="52">
        <v>-663.82352466547945</v>
      </c>
      <c r="CR123" s="72">
        <v>27861.052221770104</v>
      </c>
      <c r="CS123" s="5">
        <v>18592.091299951579</v>
      </c>
      <c r="CT123" s="52">
        <v>-9268.9609218185251</v>
      </c>
      <c r="CU123" s="77">
        <v>33433.262666124123</v>
      </c>
      <c r="CV123" s="65">
        <v>22310.509559941893</v>
      </c>
      <c r="CW123" s="35">
        <v>-11122.75310618223</v>
      </c>
      <c r="CX123" s="39">
        <v>668.6652533224825</v>
      </c>
      <c r="CY123" s="39">
        <v>11791.418359504709</v>
      </c>
      <c r="CZ123" s="52">
        <v>11122.753106182226</v>
      </c>
      <c r="DA123" s="150">
        <v>-82370.793364237354</v>
      </c>
      <c r="DB123" s="2">
        <v>3</v>
      </c>
      <c r="DC123" s="713">
        <v>35774.75</v>
      </c>
      <c r="DD123" s="714"/>
      <c r="DE123" s="715">
        <v>18723.786040276696</v>
      </c>
      <c r="DF123" s="716">
        <v>0</v>
      </c>
      <c r="DG123" s="717">
        <v>-23810.221326833103</v>
      </c>
      <c r="DH123" s="718">
        <v>163335.17170011258</v>
      </c>
      <c r="DI123" s="718">
        <v>409223.13503335929</v>
      </c>
      <c r="DJ123" s="693">
        <v>347751.14420004759</v>
      </c>
      <c r="DK123" s="724"/>
      <c r="DL123" s="5"/>
      <c r="DM123" s="306">
        <v>5.3690295231826006</v>
      </c>
      <c r="DN123" s="306"/>
      <c r="DO123" s="306">
        <v>4.7920728764902458</v>
      </c>
      <c r="DP123" s="719">
        <v>17050.963959723304</v>
      </c>
      <c r="DQ123" s="720">
        <v>0</v>
      </c>
      <c r="DR123" s="650">
        <v>17050.963959723304</v>
      </c>
      <c r="DS123" s="94">
        <v>17050.963959723304</v>
      </c>
      <c r="DT123" s="719">
        <v>17050.52</v>
      </c>
      <c r="DU123" s="721"/>
      <c r="DV123" s="93">
        <v>17050.52</v>
      </c>
      <c r="DW123" s="95">
        <v>17117.830485055554</v>
      </c>
      <c r="DX123" s="28">
        <v>-67.310485055553727</v>
      </c>
      <c r="EA123" s="5">
        <v>9776.9479423535358</v>
      </c>
      <c r="EB123" s="5">
        <v>1032</v>
      </c>
      <c r="EE123" s="722">
        <v>80868.663543515169</v>
      </c>
      <c r="EG123" s="42" t="s">
        <v>259</v>
      </c>
    </row>
    <row r="124" spans="1:137" x14ac:dyDescent="0.3">
      <c r="A124" s="325">
        <v>150000555</v>
      </c>
      <c r="B124" s="41" t="s">
        <v>592</v>
      </c>
      <c r="C124" s="42" t="s">
        <v>89</v>
      </c>
      <c r="D124" s="27">
        <v>1</v>
      </c>
      <c r="E124" s="709">
        <v>175.5</v>
      </c>
      <c r="F124" s="723">
        <v>175.5</v>
      </c>
      <c r="G124" s="28"/>
      <c r="H124" s="651">
        <v>0</v>
      </c>
      <c r="I124" s="39">
        <v>0</v>
      </c>
      <c r="J124" s="39">
        <v>0</v>
      </c>
      <c r="K124" s="52">
        <v>0</v>
      </c>
      <c r="L124" s="39">
        <v>0</v>
      </c>
      <c r="M124" s="39">
        <v>0</v>
      </c>
      <c r="N124" s="52">
        <v>0</v>
      </c>
      <c r="O124" s="39">
        <v>0</v>
      </c>
      <c r="P124" s="39">
        <v>0</v>
      </c>
      <c r="Q124" s="52">
        <v>0</v>
      </c>
      <c r="R124" s="39">
        <v>0</v>
      </c>
      <c r="S124" s="39">
        <v>0</v>
      </c>
      <c r="T124" s="52">
        <v>0</v>
      </c>
      <c r="U124" s="39">
        <v>0</v>
      </c>
      <c r="V124" s="39">
        <v>0</v>
      </c>
      <c r="W124" s="52">
        <v>0</v>
      </c>
      <c r="X124" s="39">
        <v>0</v>
      </c>
      <c r="Y124" s="39">
        <v>0</v>
      </c>
      <c r="Z124" s="52">
        <v>0</v>
      </c>
      <c r="AA124" s="39">
        <v>0</v>
      </c>
      <c r="AB124" s="39">
        <v>0</v>
      </c>
      <c r="AC124" s="52">
        <v>0</v>
      </c>
      <c r="AD124" s="39">
        <v>0</v>
      </c>
      <c r="AE124" s="39">
        <v>104.94666464612322</v>
      </c>
      <c r="AF124" s="35">
        <v>104.94666464612322</v>
      </c>
      <c r="AG124" s="77">
        <v>0</v>
      </c>
      <c r="AH124" s="53">
        <v>104.94666464612322</v>
      </c>
      <c r="AI124" s="52">
        <v>104.94666464612322</v>
      </c>
      <c r="AJ124" s="39">
        <v>0</v>
      </c>
      <c r="AK124" s="39">
        <v>0</v>
      </c>
      <c r="AL124" s="52">
        <v>0</v>
      </c>
      <c r="AM124" s="39">
        <v>0</v>
      </c>
      <c r="AN124" s="39">
        <v>0</v>
      </c>
      <c r="AO124" s="52">
        <v>0</v>
      </c>
      <c r="AP124" s="39">
        <v>47.350882144682487</v>
      </c>
      <c r="AQ124" s="39">
        <v>0</v>
      </c>
      <c r="AR124" s="52">
        <v>-47.350882144682487</v>
      </c>
      <c r="AS124" s="39">
        <v>447.81715310525465</v>
      </c>
      <c r="AT124" s="39">
        <v>0</v>
      </c>
      <c r="AU124" s="54">
        <v>-447.81715310525465</v>
      </c>
      <c r="AV124" s="39">
        <v>0</v>
      </c>
      <c r="AW124" s="39">
        <v>0</v>
      </c>
      <c r="AX124" s="55">
        <v>0</v>
      </c>
      <c r="AY124" s="39">
        <v>0</v>
      </c>
      <c r="AZ124" s="39">
        <v>0</v>
      </c>
      <c r="BA124" s="35">
        <v>0</v>
      </c>
      <c r="BB124" s="39">
        <v>0</v>
      </c>
      <c r="BC124" s="39">
        <v>0</v>
      </c>
      <c r="BD124" s="55">
        <v>0</v>
      </c>
      <c r="BE124" s="39">
        <v>0</v>
      </c>
      <c r="BF124" s="39">
        <v>0</v>
      </c>
      <c r="BG124" s="38">
        <v>0</v>
      </c>
      <c r="BH124" s="39">
        <v>0</v>
      </c>
      <c r="BI124" s="39">
        <v>0</v>
      </c>
      <c r="BJ124" s="55">
        <v>0</v>
      </c>
      <c r="BK124" s="39">
        <v>0</v>
      </c>
      <c r="BL124" s="39">
        <v>0</v>
      </c>
      <c r="BM124" s="38">
        <v>0</v>
      </c>
      <c r="BN124" s="39">
        <v>0</v>
      </c>
      <c r="BO124" s="39">
        <v>0</v>
      </c>
      <c r="BP124" s="55">
        <v>0</v>
      </c>
      <c r="BQ124" s="77">
        <v>0</v>
      </c>
      <c r="BR124" s="40">
        <v>0</v>
      </c>
      <c r="BS124" s="55">
        <v>0</v>
      </c>
      <c r="BT124" s="39">
        <v>0</v>
      </c>
      <c r="BU124" s="39">
        <v>0</v>
      </c>
      <c r="BV124" s="52">
        <v>0</v>
      </c>
      <c r="BW124" s="39">
        <v>0</v>
      </c>
      <c r="BX124" s="39">
        <v>0.7104083153105657</v>
      </c>
      <c r="BY124" s="52">
        <v>0.7104083153105657</v>
      </c>
      <c r="BZ124" s="39">
        <v>0</v>
      </c>
      <c r="CA124" s="39">
        <v>0</v>
      </c>
      <c r="CB124" s="52">
        <v>0</v>
      </c>
      <c r="CC124" s="39">
        <v>0</v>
      </c>
      <c r="CD124" s="39">
        <v>0</v>
      </c>
      <c r="CE124" s="52">
        <v>0</v>
      </c>
      <c r="CF124" s="39">
        <v>0</v>
      </c>
      <c r="CG124" s="39">
        <v>0</v>
      </c>
      <c r="CH124" s="52">
        <v>0</v>
      </c>
      <c r="CI124" s="39">
        <v>0</v>
      </c>
      <c r="CJ124" s="39">
        <v>0</v>
      </c>
      <c r="CK124" s="52">
        <v>0</v>
      </c>
      <c r="CL124" s="39">
        <v>0</v>
      </c>
      <c r="CM124" s="39">
        <v>0</v>
      </c>
      <c r="CN124" s="52">
        <v>0</v>
      </c>
      <c r="CO124" s="39">
        <v>0</v>
      </c>
      <c r="CP124" s="40">
        <v>0</v>
      </c>
      <c r="CQ124" s="52">
        <v>0</v>
      </c>
      <c r="CR124" s="72">
        <v>495.16803524993713</v>
      </c>
      <c r="CS124" s="5">
        <v>105.65707296143378</v>
      </c>
      <c r="CT124" s="52">
        <v>-389.51096228850338</v>
      </c>
      <c r="CU124" s="77">
        <v>594.20164229992452</v>
      </c>
      <c r="CV124" s="65">
        <v>126.78848755372053</v>
      </c>
      <c r="CW124" s="35">
        <v>-467.41315474620399</v>
      </c>
      <c r="CX124" s="39">
        <v>0</v>
      </c>
      <c r="CY124" s="39">
        <v>467.41315474620399</v>
      </c>
      <c r="CZ124" s="52">
        <v>467.41315474620399</v>
      </c>
      <c r="DA124" s="150">
        <v>-7929.4343424820863</v>
      </c>
      <c r="DB124" s="2">
        <v>3</v>
      </c>
      <c r="DC124" s="713">
        <v>1442.11</v>
      </c>
      <c r="DD124" s="714"/>
      <c r="DE124" s="715">
        <v>1145.0091788500376</v>
      </c>
      <c r="DF124" s="716">
        <v>0</v>
      </c>
      <c r="DG124" s="717">
        <v>-4463.1812077707009</v>
      </c>
      <c r="DH124" s="718">
        <v>3042.3534792002251</v>
      </c>
      <c r="DI124" s="718">
        <v>7130.4197075990942</v>
      </c>
      <c r="DJ124" s="693">
        <v>6108.4031504993773</v>
      </c>
      <c r="DK124" s="724"/>
      <c r="DL124" s="5"/>
      <c r="DM124" s="306">
        <v>1.6928821717946567</v>
      </c>
      <c r="DN124" s="306"/>
      <c r="DO124" s="306">
        <v>1.6928821717946567</v>
      </c>
      <c r="DP124" s="719">
        <v>297.10082114996226</v>
      </c>
      <c r="DQ124" s="720">
        <v>0</v>
      </c>
      <c r="DR124" s="650">
        <v>297.10082114996226</v>
      </c>
      <c r="DS124" s="94">
        <v>297.10082114996226</v>
      </c>
      <c r="DT124" s="719">
        <v>302.36</v>
      </c>
      <c r="DU124" s="721"/>
      <c r="DV124" s="93">
        <v>302.36</v>
      </c>
      <c r="DW124" s="95">
        <v>297.10082114996226</v>
      </c>
      <c r="DX124" s="28">
        <v>5.2591788500377561</v>
      </c>
      <c r="EA124" s="5">
        <v>537.38058372630553</v>
      </c>
      <c r="EB124" s="5">
        <v>0</v>
      </c>
      <c r="EE124" s="722">
        <v>5373.8058372630558</v>
      </c>
      <c r="EG124" s="42" t="s">
        <v>89</v>
      </c>
    </row>
    <row r="125" spans="1:137" x14ac:dyDescent="0.3">
      <c r="A125" s="325">
        <v>150000556</v>
      </c>
      <c r="B125" s="41" t="s">
        <v>593</v>
      </c>
      <c r="C125" s="42" t="s">
        <v>90</v>
      </c>
      <c r="D125" s="27">
        <v>1</v>
      </c>
      <c r="E125" s="709">
        <v>181.9</v>
      </c>
      <c r="F125" s="723">
        <v>181.9</v>
      </c>
      <c r="G125" s="28"/>
      <c r="H125" s="651">
        <v>0</v>
      </c>
      <c r="I125" s="39">
        <v>0</v>
      </c>
      <c r="J125" s="39">
        <v>0</v>
      </c>
      <c r="K125" s="52">
        <v>0</v>
      </c>
      <c r="L125" s="39">
        <v>0</v>
      </c>
      <c r="M125" s="39">
        <v>0</v>
      </c>
      <c r="N125" s="52">
        <v>0</v>
      </c>
      <c r="O125" s="39">
        <v>0</v>
      </c>
      <c r="P125" s="39">
        <v>0</v>
      </c>
      <c r="Q125" s="52">
        <v>0</v>
      </c>
      <c r="R125" s="39">
        <v>0</v>
      </c>
      <c r="S125" s="39">
        <v>0</v>
      </c>
      <c r="T125" s="52">
        <v>0</v>
      </c>
      <c r="U125" s="39">
        <v>0</v>
      </c>
      <c r="V125" s="39">
        <v>0</v>
      </c>
      <c r="W125" s="52">
        <v>0</v>
      </c>
      <c r="X125" s="39">
        <v>0</v>
      </c>
      <c r="Y125" s="39">
        <v>0</v>
      </c>
      <c r="Z125" s="52">
        <v>0</v>
      </c>
      <c r="AA125" s="39">
        <v>0</v>
      </c>
      <c r="AB125" s="39">
        <v>0</v>
      </c>
      <c r="AC125" s="52">
        <v>0</v>
      </c>
      <c r="AD125" s="39">
        <v>0</v>
      </c>
      <c r="AE125" s="39">
        <v>108.77377948222117</v>
      </c>
      <c r="AF125" s="35">
        <v>108.77377948222117</v>
      </c>
      <c r="AG125" s="77">
        <v>0</v>
      </c>
      <c r="AH125" s="53">
        <v>108.77377948222117</v>
      </c>
      <c r="AI125" s="52">
        <v>108.77377948222117</v>
      </c>
      <c r="AJ125" s="39">
        <v>0</v>
      </c>
      <c r="AK125" s="39">
        <v>0</v>
      </c>
      <c r="AL125" s="52">
        <v>0</v>
      </c>
      <c r="AM125" s="39">
        <v>0</v>
      </c>
      <c r="AN125" s="39">
        <v>0</v>
      </c>
      <c r="AO125" s="52">
        <v>0</v>
      </c>
      <c r="AP125" s="39">
        <v>55.242695835462904</v>
      </c>
      <c r="AQ125" s="39">
        <v>0</v>
      </c>
      <c r="AR125" s="52">
        <v>-55.242695835462904</v>
      </c>
      <c r="AS125" s="39">
        <v>425.94940385534807</v>
      </c>
      <c r="AT125" s="39">
        <v>0</v>
      </c>
      <c r="AU125" s="54">
        <v>-425.94940385534807</v>
      </c>
      <c r="AV125" s="39">
        <v>0</v>
      </c>
      <c r="AW125" s="39">
        <v>0</v>
      </c>
      <c r="AX125" s="55">
        <v>0</v>
      </c>
      <c r="AY125" s="39">
        <v>0</v>
      </c>
      <c r="AZ125" s="39">
        <v>0</v>
      </c>
      <c r="BA125" s="35">
        <v>0</v>
      </c>
      <c r="BB125" s="39">
        <v>0</v>
      </c>
      <c r="BC125" s="39">
        <v>0</v>
      </c>
      <c r="BD125" s="55">
        <v>0</v>
      </c>
      <c r="BE125" s="39">
        <v>0</v>
      </c>
      <c r="BF125" s="39">
        <v>0</v>
      </c>
      <c r="BG125" s="38">
        <v>0</v>
      </c>
      <c r="BH125" s="39">
        <v>0</v>
      </c>
      <c r="BI125" s="39">
        <v>0</v>
      </c>
      <c r="BJ125" s="55">
        <v>0</v>
      </c>
      <c r="BK125" s="39">
        <v>0</v>
      </c>
      <c r="BL125" s="39">
        <v>0</v>
      </c>
      <c r="BM125" s="38">
        <v>0</v>
      </c>
      <c r="BN125" s="39">
        <v>0</v>
      </c>
      <c r="BO125" s="39">
        <v>0</v>
      </c>
      <c r="BP125" s="55">
        <v>0</v>
      </c>
      <c r="BQ125" s="77">
        <v>0</v>
      </c>
      <c r="BR125" s="40">
        <v>0</v>
      </c>
      <c r="BS125" s="55">
        <v>0</v>
      </c>
      <c r="BT125" s="39">
        <v>0</v>
      </c>
      <c r="BU125" s="39">
        <v>0</v>
      </c>
      <c r="BV125" s="52">
        <v>0</v>
      </c>
      <c r="BW125" s="39">
        <v>0</v>
      </c>
      <c r="BX125" s="39">
        <v>0.73631494333328718</v>
      </c>
      <c r="BY125" s="52">
        <v>0.73631494333328718</v>
      </c>
      <c r="BZ125" s="39">
        <v>0</v>
      </c>
      <c r="CA125" s="39">
        <v>0</v>
      </c>
      <c r="CB125" s="52">
        <v>0</v>
      </c>
      <c r="CC125" s="39">
        <v>0</v>
      </c>
      <c r="CD125" s="39">
        <v>0</v>
      </c>
      <c r="CE125" s="52">
        <v>0</v>
      </c>
      <c r="CF125" s="39">
        <v>0</v>
      </c>
      <c r="CG125" s="39">
        <v>0</v>
      </c>
      <c r="CH125" s="52">
        <v>0</v>
      </c>
      <c r="CI125" s="39">
        <v>0</v>
      </c>
      <c r="CJ125" s="39">
        <v>0</v>
      </c>
      <c r="CK125" s="52">
        <v>0</v>
      </c>
      <c r="CL125" s="39">
        <v>0</v>
      </c>
      <c r="CM125" s="39">
        <v>0</v>
      </c>
      <c r="CN125" s="52">
        <v>0</v>
      </c>
      <c r="CO125" s="39">
        <v>0</v>
      </c>
      <c r="CP125" s="40">
        <v>0</v>
      </c>
      <c r="CQ125" s="52">
        <v>0</v>
      </c>
      <c r="CR125" s="72">
        <v>481.19209969081095</v>
      </c>
      <c r="CS125" s="5">
        <v>109.51009442555446</v>
      </c>
      <c r="CT125" s="52">
        <v>-371.68200526525652</v>
      </c>
      <c r="CU125" s="77">
        <v>577.43051962897312</v>
      </c>
      <c r="CV125" s="65">
        <v>131.41211331066535</v>
      </c>
      <c r="CW125" s="35">
        <v>-446.01840631830777</v>
      </c>
      <c r="CX125" s="39">
        <v>14.435762990724328</v>
      </c>
      <c r="CY125" s="39">
        <v>460.45416930903212</v>
      </c>
      <c r="CZ125" s="52">
        <v>446.01840631830783</v>
      </c>
      <c r="DA125" s="150">
        <v>-7073.9995149403403</v>
      </c>
      <c r="DB125" s="2">
        <v>3</v>
      </c>
      <c r="DC125" s="713">
        <v>343.77</v>
      </c>
      <c r="DD125" s="714"/>
      <c r="DE125" s="715">
        <v>47.836858690151246</v>
      </c>
      <c r="DF125" s="716">
        <v>0</v>
      </c>
      <c r="DG125" s="717">
        <v>-3977.1505538676424</v>
      </c>
      <c r="DH125" s="718">
        <v>2923.1495100283137</v>
      </c>
      <c r="DI125" s="718">
        <v>7102.3953914363701</v>
      </c>
      <c r="DJ125" s="693">
        <v>6057.583921084356</v>
      </c>
      <c r="DK125" s="724"/>
      <c r="DL125" s="5"/>
      <c r="DM125" s="306">
        <v>1.6269001721267109</v>
      </c>
      <c r="DN125" s="306"/>
      <c r="DO125" s="306">
        <v>1.6269001721267109</v>
      </c>
      <c r="DP125" s="719">
        <v>295.93314130984874</v>
      </c>
      <c r="DQ125" s="720">
        <v>0</v>
      </c>
      <c r="DR125" s="650">
        <v>295.93314130984874</v>
      </c>
      <c r="DS125" s="94">
        <v>295.93314130984874</v>
      </c>
      <c r="DT125" s="719">
        <v>295.93</v>
      </c>
      <c r="DU125" s="721"/>
      <c r="DV125" s="93">
        <v>295.93</v>
      </c>
      <c r="DW125" s="95">
        <v>297.37671760892113</v>
      </c>
      <c r="DX125" s="28">
        <v>-1.4467176089211193</v>
      </c>
      <c r="EA125" s="5">
        <v>511.13928462641763</v>
      </c>
      <c r="EB125" s="5">
        <v>0</v>
      </c>
      <c r="EE125" s="722">
        <v>5111.392846264177</v>
      </c>
      <c r="EG125" s="42" t="s">
        <v>90</v>
      </c>
    </row>
    <row r="126" spans="1:137" x14ac:dyDescent="0.3">
      <c r="A126" s="325">
        <v>150000557</v>
      </c>
      <c r="B126" s="41" t="s">
        <v>594</v>
      </c>
      <c r="C126" s="42" t="s">
        <v>91</v>
      </c>
      <c r="D126" s="27">
        <v>1</v>
      </c>
      <c r="E126" s="709">
        <v>110.2</v>
      </c>
      <c r="F126" s="723">
        <v>110.2</v>
      </c>
      <c r="G126" s="28"/>
      <c r="H126" s="651">
        <v>0</v>
      </c>
      <c r="I126" s="39">
        <v>0</v>
      </c>
      <c r="J126" s="39">
        <v>0</v>
      </c>
      <c r="K126" s="52">
        <v>0</v>
      </c>
      <c r="L126" s="39">
        <v>0</v>
      </c>
      <c r="M126" s="39">
        <v>0</v>
      </c>
      <c r="N126" s="52">
        <v>0</v>
      </c>
      <c r="O126" s="39">
        <v>0</v>
      </c>
      <c r="P126" s="39">
        <v>0</v>
      </c>
      <c r="Q126" s="52">
        <v>0</v>
      </c>
      <c r="R126" s="39">
        <v>0</v>
      </c>
      <c r="S126" s="39">
        <v>0</v>
      </c>
      <c r="T126" s="52">
        <v>0</v>
      </c>
      <c r="U126" s="39">
        <v>0</v>
      </c>
      <c r="V126" s="39">
        <v>0</v>
      </c>
      <c r="W126" s="52">
        <v>0</v>
      </c>
      <c r="X126" s="39">
        <v>0</v>
      </c>
      <c r="Y126" s="39">
        <v>0</v>
      </c>
      <c r="Z126" s="52">
        <v>0</v>
      </c>
      <c r="AA126" s="39">
        <v>0</v>
      </c>
      <c r="AB126" s="39">
        <v>0</v>
      </c>
      <c r="AC126" s="52">
        <v>0</v>
      </c>
      <c r="AD126" s="39">
        <v>0</v>
      </c>
      <c r="AE126" s="39">
        <v>65.898133584061426</v>
      </c>
      <c r="AF126" s="35">
        <v>65.898133584061426</v>
      </c>
      <c r="AG126" s="77">
        <v>0</v>
      </c>
      <c r="AH126" s="53">
        <v>65.898133584061426</v>
      </c>
      <c r="AI126" s="52">
        <v>65.898133584061426</v>
      </c>
      <c r="AJ126" s="39">
        <v>0</v>
      </c>
      <c r="AK126" s="39">
        <v>0</v>
      </c>
      <c r="AL126" s="52">
        <v>0</v>
      </c>
      <c r="AM126" s="39">
        <v>0</v>
      </c>
      <c r="AN126" s="39">
        <v>0</v>
      </c>
      <c r="AO126" s="52">
        <v>0</v>
      </c>
      <c r="AP126" s="39">
        <v>23.675441072341243</v>
      </c>
      <c r="AQ126" s="39">
        <v>0</v>
      </c>
      <c r="AR126" s="52">
        <v>-23.675441072341243</v>
      </c>
      <c r="AS126" s="39">
        <v>276.90006966302394</v>
      </c>
      <c r="AT126" s="39">
        <v>0</v>
      </c>
      <c r="AU126" s="54">
        <v>-276.90006966302394</v>
      </c>
      <c r="AV126" s="39">
        <v>0</v>
      </c>
      <c r="AW126" s="39">
        <v>0</v>
      </c>
      <c r="AX126" s="55">
        <v>0</v>
      </c>
      <c r="AY126" s="39">
        <v>0</v>
      </c>
      <c r="AZ126" s="39">
        <v>0</v>
      </c>
      <c r="BA126" s="35">
        <v>0</v>
      </c>
      <c r="BB126" s="39">
        <v>0</v>
      </c>
      <c r="BC126" s="39">
        <v>0</v>
      </c>
      <c r="BD126" s="55">
        <v>0</v>
      </c>
      <c r="BE126" s="39">
        <v>0</v>
      </c>
      <c r="BF126" s="39">
        <v>0</v>
      </c>
      <c r="BG126" s="38">
        <v>0</v>
      </c>
      <c r="BH126" s="39">
        <v>0</v>
      </c>
      <c r="BI126" s="39">
        <v>0</v>
      </c>
      <c r="BJ126" s="55">
        <v>0</v>
      </c>
      <c r="BK126" s="39">
        <v>0</v>
      </c>
      <c r="BL126" s="39">
        <v>0</v>
      </c>
      <c r="BM126" s="38">
        <v>0</v>
      </c>
      <c r="BN126" s="39">
        <v>0</v>
      </c>
      <c r="BO126" s="39">
        <v>0</v>
      </c>
      <c r="BP126" s="55">
        <v>0</v>
      </c>
      <c r="BQ126" s="77">
        <v>0</v>
      </c>
      <c r="BR126" s="40">
        <v>0</v>
      </c>
      <c r="BS126" s="55">
        <v>0</v>
      </c>
      <c r="BT126" s="39">
        <v>0</v>
      </c>
      <c r="BU126" s="39">
        <v>0</v>
      </c>
      <c r="BV126" s="52">
        <v>0</v>
      </c>
      <c r="BW126" s="39">
        <v>0</v>
      </c>
      <c r="BX126" s="39">
        <v>0.44607975126623556</v>
      </c>
      <c r="BY126" s="52">
        <v>0.44607975126623556</v>
      </c>
      <c r="BZ126" s="39">
        <v>0</v>
      </c>
      <c r="CA126" s="39">
        <v>0</v>
      </c>
      <c r="CB126" s="52">
        <v>0</v>
      </c>
      <c r="CC126" s="39">
        <v>0</v>
      </c>
      <c r="CD126" s="39">
        <v>0</v>
      </c>
      <c r="CE126" s="52">
        <v>0</v>
      </c>
      <c r="CF126" s="39">
        <v>0</v>
      </c>
      <c r="CG126" s="39">
        <v>0</v>
      </c>
      <c r="CH126" s="52">
        <v>0</v>
      </c>
      <c r="CI126" s="39">
        <v>0</v>
      </c>
      <c r="CJ126" s="39">
        <v>0</v>
      </c>
      <c r="CK126" s="52">
        <v>0</v>
      </c>
      <c r="CL126" s="39">
        <v>0</v>
      </c>
      <c r="CM126" s="39">
        <v>0</v>
      </c>
      <c r="CN126" s="52">
        <v>0</v>
      </c>
      <c r="CO126" s="39">
        <v>0</v>
      </c>
      <c r="CP126" s="40">
        <v>0</v>
      </c>
      <c r="CQ126" s="52">
        <v>0</v>
      </c>
      <c r="CR126" s="72">
        <v>300.57551073536519</v>
      </c>
      <c r="CS126" s="5">
        <v>66.344213335327666</v>
      </c>
      <c r="CT126" s="52">
        <v>-234.23129740003753</v>
      </c>
      <c r="CU126" s="77">
        <v>360.69061288243819</v>
      </c>
      <c r="CV126" s="65">
        <v>79.613056002393193</v>
      </c>
      <c r="CW126" s="35">
        <v>-281.07755688004499</v>
      </c>
      <c r="CX126" s="39">
        <v>7.2138122576487635</v>
      </c>
      <c r="CY126" s="39">
        <v>288.29136913769378</v>
      </c>
      <c r="CZ126" s="52">
        <v>281.07755688004499</v>
      </c>
      <c r="DA126" s="150">
        <v>-4728.5608697300286</v>
      </c>
      <c r="DB126" s="2">
        <v>3</v>
      </c>
      <c r="DC126" s="713">
        <v>183.66</v>
      </c>
      <c r="DD126" s="714"/>
      <c r="DE126" s="715">
        <v>-0.29221257004348899</v>
      </c>
      <c r="DF126" s="716">
        <v>0</v>
      </c>
      <c r="DG126" s="717">
        <v>-2654.8199733524402</v>
      </c>
      <c r="DH126" s="718">
        <v>1809.5639298802998</v>
      </c>
      <c r="DI126" s="718">
        <v>4414.8531016810439</v>
      </c>
      <c r="DJ126" s="693">
        <v>3763.5308087308581</v>
      </c>
      <c r="DK126" s="724"/>
      <c r="DL126" s="5"/>
      <c r="DM126" s="306">
        <v>1.6692578273143692</v>
      </c>
      <c r="DN126" s="306"/>
      <c r="DO126" s="306">
        <v>1.6692578273143692</v>
      </c>
      <c r="DP126" s="719">
        <v>183.95221257004349</v>
      </c>
      <c r="DQ126" s="720">
        <v>0</v>
      </c>
      <c r="DR126" s="650">
        <v>183.95221257004349</v>
      </c>
      <c r="DS126" s="94">
        <v>183.95221257004349</v>
      </c>
      <c r="DT126" s="719">
        <v>183.96</v>
      </c>
      <c r="DU126" s="721"/>
      <c r="DV126" s="93">
        <v>183.96</v>
      </c>
      <c r="DW126" s="95">
        <v>184.67359379580839</v>
      </c>
      <c r="DX126" s="28">
        <v>-0.71359379580837867</v>
      </c>
      <c r="EA126" s="5">
        <v>332.2800835956287</v>
      </c>
      <c r="EB126" s="5">
        <v>0</v>
      </c>
      <c r="EE126" s="722">
        <v>3322.8008359562873</v>
      </c>
      <c r="EG126" s="42" t="s">
        <v>91</v>
      </c>
    </row>
    <row r="127" spans="1:137" x14ac:dyDescent="0.3">
      <c r="A127" s="325">
        <v>150000552</v>
      </c>
      <c r="B127" s="41" t="s">
        <v>595</v>
      </c>
      <c r="C127" s="42" t="s">
        <v>92</v>
      </c>
      <c r="D127" s="27">
        <v>1</v>
      </c>
      <c r="E127" s="709">
        <v>100.2</v>
      </c>
      <c r="F127" s="723">
        <v>100.2</v>
      </c>
      <c r="G127" s="28"/>
      <c r="H127" s="651">
        <v>0</v>
      </c>
      <c r="I127" s="39">
        <v>0</v>
      </c>
      <c r="J127" s="39">
        <v>0</v>
      </c>
      <c r="K127" s="52">
        <v>0</v>
      </c>
      <c r="L127" s="39">
        <v>0</v>
      </c>
      <c r="M127" s="39">
        <v>0</v>
      </c>
      <c r="N127" s="52">
        <v>0</v>
      </c>
      <c r="O127" s="39">
        <v>0</v>
      </c>
      <c r="P127" s="39">
        <v>0</v>
      </c>
      <c r="Q127" s="52">
        <v>0</v>
      </c>
      <c r="R127" s="39">
        <v>0</v>
      </c>
      <c r="S127" s="39">
        <v>0</v>
      </c>
      <c r="T127" s="52">
        <v>0</v>
      </c>
      <c r="U127" s="39">
        <v>0</v>
      </c>
      <c r="V127" s="39">
        <v>0</v>
      </c>
      <c r="W127" s="52">
        <v>0</v>
      </c>
      <c r="X127" s="39">
        <v>0</v>
      </c>
      <c r="Y127" s="39">
        <v>0</v>
      </c>
      <c r="Z127" s="52">
        <v>0</v>
      </c>
      <c r="AA127" s="39">
        <v>0</v>
      </c>
      <c r="AB127" s="39">
        <v>0</v>
      </c>
      <c r="AC127" s="52">
        <v>0</v>
      </c>
      <c r="AD127" s="39">
        <v>0</v>
      </c>
      <c r="AE127" s="39">
        <v>59.918266652658389</v>
      </c>
      <c r="AF127" s="35">
        <v>59.918266652658389</v>
      </c>
      <c r="AG127" s="77">
        <v>0</v>
      </c>
      <c r="AH127" s="53">
        <v>59.918266652658389</v>
      </c>
      <c r="AI127" s="52">
        <v>59.918266652658389</v>
      </c>
      <c r="AJ127" s="39">
        <v>0</v>
      </c>
      <c r="AK127" s="39">
        <v>0</v>
      </c>
      <c r="AL127" s="52">
        <v>0</v>
      </c>
      <c r="AM127" s="39">
        <v>0</v>
      </c>
      <c r="AN127" s="39">
        <v>0</v>
      </c>
      <c r="AO127" s="52">
        <v>0</v>
      </c>
      <c r="AP127" s="39">
        <v>31.567254763121657</v>
      </c>
      <c r="AQ127" s="39">
        <v>0</v>
      </c>
      <c r="AR127" s="52">
        <v>-31.567254763121657</v>
      </c>
      <c r="AS127" s="39">
        <v>263.16086733937976</v>
      </c>
      <c r="AT127" s="39">
        <v>0</v>
      </c>
      <c r="AU127" s="54">
        <v>-263.16086733937976</v>
      </c>
      <c r="AV127" s="39">
        <v>0</v>
      </c>
      <c r="AW127" s="39">
        <v>0</v>
      </c>
      <c r="AX127" s="55">
        <v>0</v>
      </c>
      <c r="AY127" s="39">
        <v>0</v>
      </c>
      <c r="AZ127" s="39">
        <v>0</v>
      </c>
      <c r="BA127" s="35">
        <v>0</v>
      </c>
      <c r="BB127" s="39">
        <v>0</v>
      </c>
      <c r="BC127" s="39">
        <v>0</v>
      </c>
      <c r="BD127" s="55">
        <v>0</v>
      </c>
      <c r="BE127" s="39">
        <v>0</v>
      </c>
      <c r="BF127" s="39">
        <v>0</v>
      </c>
      <c r="BG127" s="38">
        <v>0</v>
      </c>
      <c r="BH127" s="39">
        <v>0</v>
      </c>
      <c r="BI127" s="39">
        <v>0</v>
      </c>
      <c r="BJ127" s="55">
        <v>0</v>
      </c>
      <c r="BK127" s="39">
        <v>0</v>
      </c>
      <c r="BL127" s="39">
        <v>0</v>
      </c>
      <c r="BM127" s="38">
        <v>0</v>
      </c>
      <c r="BN127" s="39">
        <v>0</v>
      </c>
      <c r="BO127" s="39">
        <v>0</v>
      </c>
      <c r="BP127" s="55">
        <v>0</v>
      </c>
      <c r="BQ127" s="77">
        <v>0</v>
      </c>
      <c r="BR127" s="40">
        <v>0</v>
      </c>
      <c r="BS127" s="55">
        <v>0</v>
      </c>
      <c r="BT127" s="39">
        <v>0</v>
      </c>
      <c r="BU127" s="39">
        <v>0</v>
      </c>
      <c r="BV127" s="52">
        <v>0</v>
      </c>
      <c r="BW127" s="39">
        <v>0</v>
      </c>
      <c r="BX127" s="39">
        <v>0.40560064498073323</v>
      </c>
      <c r="BY127" s="52">
        <v>0.40560064498073323</v>
      </c>
      <c r="BZ127" s="39">
        <v>0</v>
      </c>
      <c r="CA127" s="39">
        <v>0</v>
      </c>
      <c r="CB127" s="52">
        <v>0</v>
      </c>
      <c r="CC127" s="39">
        <v>0</v>
      </c>
      <c r="CD127" s="39">
        <v>0</v>
      </c>
      <c r="CE127" s="52">
        <v>0</v>
      </c>
      <c r="CF127" s="39">
        <v>0</v>
      </c>
      <c r="CG127" s="39">
        <v>0</v>
      </c>
      <c r="CH127" s="52">
        <v>0</v>
      </c>
      <c r="CI127" s="39">
        <v>0</v>
      </c>
      <c r="CJ127" s="39">
        <v>0</v>
      </c>
      <c r="CK127" s="52">
        <v>0</v>
      </c>
      <c r="CL127" s="39">
        <v>0</v>
      </c>
      <c r="CM127" s="39">
        <v>0</v>
      </c>
      <c r="CN127" s="52">
        <v>0</v>
      </c>
      <c r="CO127" s="39">
        <v>0</v>
      </c>
      <c r="CP127" s="40">
        <v>0</v>
      </c>
      <c r="CQ127" s="52">
        <v>0</v>
      </c>
      <c r="CR127" s="72">
        <v>294.7281221025014</v>
      </c>
      <c r="CS127" s="5">
        <v>60.323867297639119</v>
      </c>
      <c r="CT127" s="52">
        <v>-234.40425480486229</v>
      </c>
      <c r="CU127" s="77">
        <v>353.67374652300168</v>
      </c>
      <c r="CV127" s="65">
        <v>72.388640757166939</v>
      </c>
      <c r="CW127" s="35">
        <v>-281.28510576583471</v>
      </c>
      <c r="CX127" s="39">
        <v>8.8418436630750445</v>
      </c>
      <c r="CY127" s="39">
        <v>290.12694942890977</v>
      </c>
      <c r="CZ127" s="52">
        <v>281.28510576583471</v>
      </c>
      <c r="DA127" s="150">
        <v>-4543.0198699490784</v>
      </c>
      <c r="DB127" s="2">
        <v>3</v>
      </c>
      <c r="DC127" s="713">
        <v>322.31</v>
      </c>
      <c r="DD127" s="714"/>
      <c r="DE127" s="715">
        <v>141.05220490696161</v>
      </c>
      <c r="DF127" s="716">
        <v>0</v>
      </c>
      <c r="DG127" s="717">
        <v>-2561.8430342082775</v>
      </c>
      <c r="DH127" s="718">
        <v>1732.3985842023094</v>
      </c>
      <c r="DI127" s="718">
        <v>4350.1870822329211</v>
      </c>
      <c r="DJ127" s="693">
        <v>3695.7399577252681</v>
      </c>
      <c r="DK127" s="724"/>
      <c r="DL127" s="5"/>
      <c r="DM127" s="306">
        <v>1.8089600308686467</v>
      </c>
      <c r="DN127" s="306"/>
      <c r="DO127" s="306">
        <v>1.8089600308686467</v>
      </c>
      <c r="DP127" s="719">
        <v>181.2577950930384</v>
      </c>
      <c r="DQ127" s="720">
        <v>0</v>
      </c>
      <c r="DR127" s="650">
        <v>181.2577950930384</v>
      </c>
      <c r="DS127" s="94">
        <v>181.25779509303834</v>
      </c>
      <c r="DT127" s="719">
        <v>181.26</v>
      </c>
      <c r="DU127" s="721"/>
      <c r="DV127" s="93">
        <v>181.26</v>
      </c>
      <c r="DW127" s="95">
        <v>182.14197945934586</v>
      </c>
      <c r="DX127" s="28">
        <v>-0.88197945934587096</v>
      </c>
      <c r="EA127" s="5">
        <v>315.79304080725569</v>
      </c>
      <c r="EB127" s="5">
        <v>0</v>
      </c>
      <c r="EE127" s="722">
        <v>3157.9304080725569</v>
      </c>
      <c r="EG127" s="42" t="s">
        <v>92</v>
      </c>
    </row>
    <row r="128" spans="1:137" x14ac:dyDescent="0.3">
      <c r="A128" s="325">
        <v>150000553</v>
      </c>
      <c r="B128" s="41" t="s">
        <v>596</v>
      </c>
      <c r="C128" s="42" t="s">
        <v>260</v>
      </c>
      <c r="D128" s="27">
        <v>5</v>
      </c>
      <c r="E128" s="709">
        <v>3380.05</v>
      </c>
      <c r="F128" s="723">
        <v>3077.05</v>
      </c>
      <c r="G128" s="28"/>
      <c r="H128" s="651">
        <v>303</v>
      </c>
      <c r="I128" s="39">
        <v>1892.1726710408768</v>
      </c>
      <c r="J128" s="39">
        <v>1795.1612022970166</v>
      </c>
      <c r="K128" s="52">
        <v>-97.011468743860178</v>
      </c>
      <c r="L128" s="39">
        <v>380.42374770340246</v>
      </c>
      <c r="M128" s="39">
        <v>329.21802879137078</v>
      </c>
      <c r="N128" s="52">
        <v>-51.205718912031671</v>
      </c>
      <c r="O128" s="39">
        <v>747.88</v>
      </c>
      <c r="P128" s="39">
        <v>747.62</v>
      </c>
      <c r="Q128" s="52">
        <v>-0.25999999999999091</v>
      </c>
      <c r="R128" s="39">
        <v>0</v>
      </c>
      <c r="S128" s="39">
        <v>0</v>
      </c>
      <c r="T128" s="52">
        <v>0</v>
      </c>
      <c r="U128" s="39">
        <v>0</v>
      </c>
      <c r="V128" s="39">
        <v>0</v>
      </c>
      <c r="W128" s="52">
        <v>0</v>
      </c>
      <c r="X128" s="39">
        <v>1255.2804053373438</v>
      </c>
      <c r="Y128" s="39">
        <v>887.06477161052862</v>
      </c>
      <c r="Z128" s="52">
        <v>-368.21563372681521</v>
      </c>
      <c r="AA128" s="39">
        <v>0</v>
      </c>
      <c r="AB128" s="39">
        <v>0</v>
      </c>
      <c r="AC128" s="52">
        <v>0</v>
      </c>
      <c r="AD128" s="39">
        <v>2408.7540623010441</v>
      </c>
      <c r="AE128" s="39">
        <v>2021.2249221488823</v>
      </c>
      <c r="AF128" s="35">
        <v>-387.52914015216174</v>
      </c>
      <c r="AG128" s="77">
        <v>6684.5108863826681</v>
      </c>
      <c r="AH128" s="53">
        <v>5780.2889248477986</v>
      </c>
      <c r="AI128" s="52">
        <v>-904.22196153486948</v>
      </c>
      <c r="AJ128" s="39">
        <v>0</v>
      </c>
      <c r="AK128" s="39">
        <v>0</v>
      </c>
      <c r="AL128" s="52">
        <v>0</v>
      </c>
      <c r="AM128" s="39">
        <v>0</v>
      </c>
      <c r="AN128" s="39">
        <v>0</v>
      </c>
      <c r="AO128" s="52">
        <v>0</v>
      </c>
      <c r="AP128" s="39">
        <v>1609.9299929192046</v>
      </c>
      <c r="AQ128" s="39">
        <v>0</v>
      </c>
      <c r="AR128" s="52">
        <v>-1609.9299929192046</v>
      </c>
      <c r="AS128" s="39">
        <v>7027.2795505622944</v>
      </c>
      <c r="AT128" s="39">
        <v>300.47121681213304</v>
      </c>
      <c r="AU128" s="54">
        <v>-6726.8083337501612</v>
      </c>
      <c r="AV128" s="39">
        <v>310.69298550910793</v>
      </c>
      <c r="AW128" s="39">
        <v>0</v>
      </c>
      <c r="AX128" s="55">
        <v>-310.69298550910793</v>
      </c>
      <c r="AY128" s="39">
        <v>490.31866771622811</v>
      </c>
      <c r="AZ128" s="39">
        <v>0</v>
      </c>
      <c r="BA128" s="35">
        <v>-490.31866771622811</v>
      </c>
      <c r="BB128" s="39">
        <v>298.96762202027503</v>
      </c>
      <c r="BC128" s="39">
        <v>0</v>
      </c>
      <c r="BD128" s="55">
        <v>-298.96762202027503</v>
      </c>
      <c r="BE128" s="39">
        <v>0</v>
      </c>
      <c r="BF128" s="39">
        <v>0</v>
      </c>
      <c r="BG128" s="38">
        <v>0</v>
      </c>
      <c r="BH128" s="39">
        <v>0</v>
      </c>
      <c r="BI128" s="39">
        <v>0</v>
      </c>
      <c r="BJ128" s="55">
        <v>0</v>
      </c>
      <c r="BK128" s="39">
        <v>259.81939144057162</v>
      </c>
      <c r="BL128" s="39">
        <v>0</v>
      </c>
      <c r="BM128" s="38">
        <v>-259.81939144057162</v>
      </c>
      <c r="BN128" s="39">
        <v>0</v>
      </c>
      <c r="BO128" s="39">
        <v>0</v>
      </c>
      <c r="BP128" s="55">
        <v>0</v>
      </c>
      <c r="BQ128" s="77">
        <v>1359.7986666861825</v>
      </c>
      <c r="BR128" s="40">
        <v>0</v>
      </c>
      <c r="BS128" s="55">
        <v>-1359.7986666861825</v>
      </c>
      <c r="BT128" s="39">
        <v>4093.4756552240938</v>
      </c>
      <c r="BU128" s="39">
        <v>692.67741589337811</v>
      </c>
      <c r="BV128" s="52">
        <v>-3400.7982393307157</v>
      </c>
      <c r="BW128" s="39">
        <v>2875.7520705027341</v>
      </c>
      <c r="BX128" s="39">
        <v>2045.8750500969963</v>
      </c>
      <c r="BY128" s="52">
        <v>-829.87702040573777</v>
      </c>
      <c r="BZ128" s="39">
        <v>869.57683897204879</v>
      </c>
      <c r="CA128" s="39">
        <v>3842.4791946582518</v>
      </c>
      <c r="CB128" s="52">
        <v>2972.902355686203</v>
      </c>
      <c r="CC128" s="39">
        <v>285.06345189502264</v>
      </c>
      <c r="CD128" s="39">
        <v>281.2355866729244</v>
      </c>
      <c r="CE128" s="52">
        <v>-3.8278652220982394</v>
      </c>
      <c r="CF128" s="39">
        <v>35.093038585561501</v>
      </c>
      <c r="CG128" s="39">
        <v>0</v>
      </c>
      <c r="CH128" s="52">
        <v>-35.093038585561501</v>
      </c>
      <c r="CI128" s="39">
        <v>670.71131884938472</v>
      </c>
      <c r="CJ128" s="39">
        <v>1065.1405670643987</v>
      </c>
      <c r="CK128" s="52">
        <v>394.42924821501401</v>
      </c>
      <c r="CL128" s="39">
        <v>0</v>
      </c>
      <c r="CM128" s="39">
        <v>0</v>
      </c>
      <c r="CN128" s="52">
        <v>0</v>
      </c>
      <c r="CO128" s="39">
        <v>670.71131884938472</v>
      </c>
      <c r="CP128" s="40">
        <v>1065.1405670643987</v>
      </c>
      <c r="CQ128" s="52">
        <v>394.42924821501401</v>
      </c>
      <c r="CR128" s="72">
        <v>25511.191470579193</v>
      </c>
      <c r="CS128" s="5">
        <v>14008.167956045882</v>
      </c>
      <c r="CT128" s="52">
        <v>-11503.023514533312</v>
      </c>
      <c r="CU128" s="77">
        <v>30613.429764695029</v>
      </c>
      <c r="CV128" s="65">
        <v>16809.801547255058</v>
      </c>
      <c r="CW128" s="35">
        <v>-13803.628217439971</v>
      </c>
      <c r="CX128" s="39">
        <v>612.2685952939006</v>
      </c>
      <c r="CY128" s="39">
        <v>14415.896812733872</v>
      </c>
      <c r="CZ128" s="52">
        <v>13803.628217439971</v>
      </c>
      <c r="DA128" s="150">
        <v>33008.889462027946</v>
      </c>
      <c r="DB128" s="2">
        <v>3</v>
      </c>
      <c r="DC128" s="713">
        <v>24650.04</v>
      </c>
      <c r="DD128" s="714">
        <v>369.26</v>
      </c>
      <c r="DE128" s="715">
        <v>10279.014266579574</v>
      </c>
      <c r="DF128" s="716">
        <v>-872.56344657403793</v>
      </c>
      <c r="DG128" s="717">
        <v>47915.998302098043</v>
      </c>
      <c r="DH128" s="718">
        <v>154565.04268951309</v>
      </c>
      <c r="DI128" s="718">
        <v>374708.38031986717</v>
      </c>
      <c r="DJ128" s="693">
        <v>319672.5459122787</v>
      </c>
      <c r="DK128" s="724"/>
      <c r="DL128" s="5"/>
      <c r="DM128" s="306">
        <v>4.6703907097448614</v>
      </c>
      <c r="DN128" s="306"/>
      <c r="DO128" s="306">
        <v>4.098427216415967</v>
      </c>
      <c r="DP128" s="719">
        <v>14371.025733420427</v>
      </c>
      <c r="DQ128" s="727">
        <v>1241.8234465740379</v>
      </c>
      <c r="DR128" s="650">
        <v>15612.849179994464</v>
      </c>
      <c r="DS128" s="94">
        <v>15612.849179994464</v>
      </c>
      <c r="DT128" s="719">
        <v>14391.85</v>
      </c>
      <c r="DU128" s="728">
        <v>369.26</v>
      </c>
      <c r="DV128" s="93">
        <v>14761.11</v>
      </c>
      <c r="DW128" s="95">
        <v>15674.076039523854</v>
      </c>
      <c r="DX128" s="28">
        <v>-912.9660395238534</v>
      </c>
      <c r="DY128" s="94"/>
      <c r="EA128" s="5">
        <v>10064.49386069817</v>
      </c>
      <c r="EB128" s="5">
        <v>360.56546017455963</v>
      </c>
      <c r="EE128" s="722">
        <v>84327.35460674754</v>
      </c>
      <c r="EG128" s="42" t="s">
        <v>260</v>
      </c>
    </row>
    <row r="129" spans="1:137" ht="15.6" customHeight="1" x14ac:dyDescent="0.3">
      <c r="A129" s="325">
        <v>150000493</v>
      </c>
      <c r="B129" s="41" t="s">
        <v>597</v>
      </c>
      <c r="C129" s="42" t="s">
        <v>418</v>
      </c>
      <c r="D129" s="27">
        <v>10</v>
      </c>
      <c r="E129" s="709">
        <v>7111.44</v>
      </c>
      <c r="F129" s="723">
        <v>7111.44</v>
      </c>
      <c r="G129" s="28">
        <v>625.84</v>
      </c>
      <c r="H129" s="651">
        <v>0</v>
      </c>
      <c r="I129" s="39">
        <v>4233.0872346783917</v>
      </c>
      <c r="J129" s="39">
        <v>3169.5336305898554</v>
      </c>
      <c r="K129" s="52">
        <v>-1063.5536040885363</v>
      </c>
      <c r="L129" s="39">
        <v>653.2997804350706</v>
      </c>
      <c r="M129" s="39">
        <v>341.05151019869152</v>
      </c>
      <c r="N129" s="52">
        <v>-312.24827023637908</v>
      </c>
      <c r="O129" s="39">
        <v>1790.94</v>
      </c>
      <c r="P129" s="39">
        <v>1790.9</v>
      </c>
      <c r="Q129" s="52">
        <v>-3.999999999996362E-2</v>
      </c>
      <c r="R129" s="39">
        <v>366.96</v>
      </c>
      <c r="S129" s="39">
        <v>367.42</v>
      </c>
      <c r="T129" s="52">
        <v>0.46000000000003638</v>
      </c>
      <c r="U129" s="39">
        <v>208.3500279500883</v>
      </c>
      <c r="V129" s="39">
        <v>78.907214867374591</v>
      </c>
      <c r="W129" s="52">
        <v>-129.44281308271371</v>
      </c>
      <c r="X129" s="39">
        <v>1777.3378454003325</v>
      </c>
      <c r="Y129" s="39">
        <v>1228.1620611016717</v>
      </c>
      <c r="Z129" s="52">
        <v>-549.1757842986608</v>
      </c>
      <c r="AA129" s="39">
        <v>0</v>
      </c>
      <c r="AB129" s="39">
        <v>0</v>
      </c>
      <c r="AC129" s="52">
        <v>0</v>
      </c>
      <c r="AD129" s="39">
        <v>5067.8865664147379</v>
      </c>
      <c r="AE129" s="39">
        <v>4252.5464890656785</v>
      </c>
      <c r="AF129" s="35">
        <v>-815.34007734905936</v>
      </c>
      <c r="AG129" s="77">
        <v>14097.861454878621</v>
      </c>
      <c r="AH129" s="53">
        <v>11228.520905823272</v>
      </c>
      <c r="AI129" s="52">
        <v>-2869.3405490553487</v>
      </c>
      <c r="AJ129" s="39">
        <v>10659.630588410922</v>
      </c>
      <c r="AK129" s="39">
        <v>9955.3457019888374</v>
      </c>
      <c r="AL129" s="52">
        <v>-704.28488642208504</v>
      </c>
      <c r="AM129" s="39">
        <v>0</v>
      </c>
      <c r="AN129" s="39">
        <v>129.91419040372483</v>
      </c>
      <c r="AO129" s="52">
        <v>129.91419040372483</v>
      </c>
      <c r="AP129" s="39">
        <v>947.01764289364974</v>
      </c>
      <c r="AQ129" s="39">
        <v>0</v>
      </c>
      <c r="AR129" s="52">
        <v>-947.01764289364974</v>
      </c>
      <c r="AS129" s="39">
        <v>17451.15737203055</v>
      </c>
      <c r="AT129" s="39">
        <v>551</v>
      </c>
      <c r="AU129" s="54">
        <v>-16900.15737203055</v>
      </c>
      <c r="AV129" s="39">
        <v>328.46265580426922</v>
      </c>
      <c r="AW129" s="39">
        <v>0</v>
      </c>
      <c r="AX129" s="55">
        <v>-328.46265580426922</v>
      </c>
      <c r="AY129" s="39">
        <v>392.18005276187682</v>
      </c>
      <c r="AZ129" s="39">
        <v>0</v>
      </c>
      <c r="BA129" s="35">
        <v>-392.18005276187682</v>
      </c>
      <c r="BB129" s="39">
        <v>372.00327676087647</v>
      </c>
      <c r="BC129" s="39">
        <v>0</v>
      </c>
      <c r="BD129" s="55">
        <v>-372.00327676087647</v>
      </c>
      <c r="BE129" s="39">
        <v>189.47734017193309</v>
      </c>
      <c r="BF129" s="39">
        <v>0</v>
      </c>
      <c r="BG129" s="38">
        <v>-189.47734017193309</v>
      </c>
      <c r="BH129" s="39">
        <v>105.68402349220877</v>
      </c>
      <c r="BI129" s="39">
        <v>0</v>
      </c>
      <c r="BJ129" s="55">
        <v>-105.68402349220877</v>
      </c>
      <c r="BK129" s="39">
        <v>220.07829963175874</v>
      </c>
      <c r="BL129" s="39">
        <v>3591</v>
      </c>
      <c r="BM129" s="38">
        <v>3370.9217003682411</v>
      </c>
      <c r="BN129" s="39">
        <v>79.769107936159529</v>
      </c>
      <c r="BO129" s="39">
        <v>0</v>
      </c>
      <c r="BP129" s="55">
        <v>-79.769107936159529</v>
      </c>
      <c r="BQ129" s="77">
        <v>1687.6547565590827</v>
      </c>
      <c r="BR129" s="40">
        <v>3591</v>
      </c>
      <c r="BS129" s="55">
        <v>1903.3452434409173</v>
      </c>
      <c r="BT129" s="39">
        <v>16876.157167809484</v>
      </c>
      <c r="BU129" s="39">
        <v>1147.2319111149384</v>
      </c>
      <c r="BV129" s="52">
        <v>-15728.925256694545</v>
      </c>
      <c r="BW129" s="39">
        <v>12533.585930717967</v>
      </c>
      <c r="BX129" s="39">
        <v>4464.3567311828556</v>
      </c>
      <c r="BY129" s="52">
        <v>-8069.2291995351115</v>
      </c>
      <c r="BZ129" s="39">
        <v>3029.5777218352528</v>
      </c>
      <c r="CA129" s="39">
        <v>4462.8207126319985</v>
      </c>
      <c r="CB129" s="52">
        <v>1433.2429907967457</v>
      </c>
      <c r="CC129" s="39">
        <v>296.68168716572262</v>
      </c>
      <c r="CD129" s="39">
        <v>292.69781092769369</v>
      </c>
      <c r="CE129" s="52">
        <v>-3.9838762380289268</v>
      </c>
      <c r="CF129" s="39">
        <v>36.523313760931757</v>
      </c>
      <c r="CG129" s="39">
        <v>0</v>
      </c>
      <c r="CH129" s="52">
        <v>-36.523313760931757</v>
      </c>
      <c r="CI129" s="39">
        <v>2991.6844408212096</v>
      </c>
      <c r="CJ129" s="39">
        <v>4438.1569994982638</v>
      </c>
      <c r="CK129" s="52">
        <v>1446.4725586770542</v>
      </c>
      <c r="CL129" s="39">
        <v>2695.3236255156671</v>
      </c>
      <c r="CM129" s="39">
        <v>4108.966179036307</v>
      </c>
      <c r="CN129" s="52">
        <v>1413.6425535206399</v>
      </c>
      <c r="CO129" s="39">
        <v>5687.0080663368772</v>
      </c>
      <c r="CP129" s="40">
        <v>8547.1231785345699</v>
      </c>
      <c r="CQ129" s="52">
        <v>2860.1151121976927</v>
      </c>
      <c r="CR129" s="72">
        <v>83302.855702399058</v>
      </c>
      <c r="CS129" s="5">
        <v>44370.011142607895</v>
      </c>
      <c r="CT129" s="52">
        <v>-38932.844559791163</v>
      </c>
      <c r="CU129" s="77">
        <v>99963.426842878864</v>
      </c>
      <c r="CV129" s="65">
        <v>53244.013371129469</v>
      </c>
      <c r="CW129" s="35">
        <v>-46719.413471749394</v>
      </c>
      <c r="CX129" s="39">
        <v>2499.0856710719718</v>
      </c>
      <c r="CY129" s="39">
        <v>49218.499142821369</v>
      </c>
      <c r="CZ129" s="52">
        <v>46719.413471749394</v>
      </c>
      <c r="DA129" s="150">
        <v>44476.600678801915</v>
      </c>
      <c r="DB129" s="2">
        <v>1</v>
      </c>
      <c r="DC129" s="713">
        <v>132744.32000000001</v>
      </c>
      <c r="DD129" s="714"/>
      <c r="DE129" s="715">
        <v>81513.063743024584</v>
      </c>
      <c r="DF129" s="716">
        <v>0</v>
      </c>
      <c r="DG129" s="717">
        <v>-120165.79187529894</v>
      </c>
      <c r="DH129" s="718">
        <v>494502.87415325257</v>
      </c>
      <c r="DI129" s="718">
        <v>1229550.15016741</v>
      </c>
      <c r="DJ129" s="693">
        <v>1045788.3311638706</v>
      </c>
      <c r="DK129" s="724"/>
      <c r="DL129" s="5"/>
      <c r="DM129" s="306">
        <v>6.0491207709564545</v>
      </c>
      <c r="DN129" s="306">
        <v>7.3155104406192235</v>
      </c>
      <c r="DO129" s="306">
        <v>4.9652115560307077</v>
      </c>
      <c r="DP129" s="719">
        <v>51231.256256975423</v>
      </c>
      <c r="DQ129" s="720">
        <v>0</v>
      </c>
      <c r="DR129" s="650">
        <v>51231.256256975423</v>
      </c>
      <c r="DS129" s="94">
        <v>51231.256256975408</v>
      </c>
      <c r="DT129" s="719">
        <v>51232.04</v>
      </c>
      <c r="DU129" s="721"/>
      <c r="DV129" s="93">
        <v>51232.04</v>
      </c>
      <c r="DW129" s="95">
        <v>51481.164824082625</v>
      </c>
      <c r="DX129" s="28">
        <v>-249.1248240826244</v>
      </c>
      <c r="EA129" s="5">
        <v>22966.574554307561</v>
      </c>
      <c r="EB129" s="5">
        <v>4970.3999999999996</v>
      </c>
      <c r="EE129" s="722">
        <v>209413.88846436661</v>
      </c>
      <c r="EG129" s="42" t="s">
        <v>418</v>
      </c>
    </row>
    <row r="130" spans="1:137" x14ac:dyDescent="0.3">
      <c r="A130" s="325">
        <v>150000494</v>
      </c>
      <c r="B130" s="41" t="s">
        <v>598</v>
      </c>
      <c r="C130" s="42" t="s">
        <v>419</v>
      </c>
      <c r="D130" s="27">
        <v>10</v>
      </c>
      <c r="E130" s="709">
        <v>9469.1</v>
      </c>
      <c r="F130" s="723">
        <v>9469.1</v>
      </c>
      <c r="G130" s="28">
        <v>988.9</v>
      </c>
      <c r="H130" s="651">
        <v>0</v>
      </c>
      <c r="I130" s="39">
        <v>4776.7343170700387</v>
      </c>
      <c r="J130" s="39">
        <v>3579.4225249198635</v>
      </c>
      <c r="K130" s="52">
        <v>-1197.3117921501753</v>
      </c>
      <c r="L130" s="39">
        <v>719.57122720494851</v>
      </c>
      <c r="M130" s="39">
        <v>375.65355063856794</v>
      </c>
      <c r="N130" s="52">
        <v>-343.91767656638058</v>
      </c>
      <c r="O130" s="39">
        <v>2454.42</v>
      </c>
      <c r="P130" s="39">
        <v>2454.56</v>
      </c>
      <c r="Q130" s="52">
        <v>0.13999999999987267</v>
      </c>
      <c r="R130" s="39">
        <v>501.14</v>
      </c>
      <c r="S130" s="39">
        <v>501.64</v>
      </c>
      <c r="T130" s="52">
        <v>0.5</v>
      </c>
      <c r="U130" s="39">
        <v>208.3500279500883</v>
      </c>
      <c r="V130" s="39">
        <v>45.567883501218667</v>
      </c>
      <c r="W130" s="52">
        <v>-162.78214444886964</v>
      </c>
      <c r="X130" s="39">
        <v>1852.0601884178236</v>
      </c>
      <c r="Y130" s="39">
        <v>1271.0742212668997</v>
      </c>
      <c r="Z130" s="52">
        <v>-580.9859671509239</v>
      </c>
      <c r="AA130" s="39">
        <v>0</v>
      </c>
      <c r="AB130" s="39">
        <v>0</v>
      </c>
      <c r="AC130" s="52">
        <v>0</v>
      </c>
      <c r="AD130" s="39">
        <v>6748.0460618437055</v>
      </c>
      <c r="AE130" s="39">
        <v>5662.3957960148464</v>
      </c>
      <c r="AF130" s="35">
        <v>-1085.6502658288591</v>
      </c>
      <c r="AG130" s="77">
        <v>17260.321822486603</v>
      </c>
      <c r="AH130" s="53">
        <v>13890.313976341396</v>
      </c>
      <c r="AI130" s="52">
        <v>-3370.0078461452067</v>
      </c>
      <c r="AJ130" s="39">
        <v>7894.1608090169193</v>
      </c>
      <c r="AK130" s="39">
        <v>7788.1570985531362</v>
      </c>
      <c r="AL130" s="52">
        <v>-106.00371046378314</v>
      </c>
      <c r="AM130" s="39">
        <v>0</v>
      </c>
      <c r="AN130" s="39">
        <v>0</v>
      </c>
      <c r="AO130" s="52">
        <v>0</v>
      </c>
      <c r="AP130" s="39">
        <v>986.47671134755183</v>
      </c>
      <c r="AQ130" s="39">
        <v>0</v>
      </c>
      <c r="AR130" s="52">
        <v>-986.47671134755183</v>
      </c>
      <c r="AS130" s="39">
        <v>21730.434584412214</v>
      </c>
      <c r="AT130" s="39">
        <v>16460</v>
      </c>
      <c r="AU130" s="54">
        <v>-5270.4345844122145</v>
      </c>
      <c r="AV130" s="39">
        <v>369.47411731187549</v>
      </c>
      <c r="AW130" s="39">
        <v>0</v>
      </c>
      <c r="AX130" s="55">
        <v>-369.47411731187549</v>
      </c>
      <c r="AY130" s="39">
        <v>475.19115838972868</v>
      </c>
      <c r="AZ130" s="39">
        <v>0</v>
      </c>
      <c r="BA130" s="35">
        <v>-475.19115838972868</v>
      </c>
      <c r="BB130" s="39">
        <v>655.87603860784714</v>
      </c>
      <c r="BC130" s="39">
        <v>703</v>
      </c>
      <c r="BD130" s="55">
        <v>47.123961392152864</v>
      </c>
      <c r="BE130" s="39">
        <v>238.48745367779139</v>
      </c>
      <c r="BF130" s="39">
        <v>0</v>
      </c>
      <c r="BG130" s="38">
        <v>-238.48745367779139</v>
      </c>
      <c r="BH130" s="39">
        <v>105.68402349220877</v>
      </c>
      <c r="BI130" s="39">
        <v>0</v>
      </c>
      <c r="BJ130" s="55">
        <v>-105.68402349220877</v>
      </c>
      <c r="BK130" s="39">
        <v>223.64458815826015</v>
      </c>
      <c r="BL130" s="39">
        <v>384</v>
      </c>
      <c r="BM130" s="38">
        <v>160.35541184173985</v>
      </c>
      <c r="BN130" s="39">
        <v>81.769380765920587</v>
      </c>
      <c r="BO130" s="39">
        <v>0</v>
      </c>
      <c r="BP130" s="55">
        <v>-81.769380765920587</v>
      </c>
      <c r="BQ130" s="77">
        <v>2150.126760403632</v>
      </c>
      <c r="BR130" s="40">
        <v>1087</v>
      </c>
      <c r="BS130" s="55">
        <v>-1063.126760403632</v>
      </c>
      <c r="BT130" s="39">
        <v>17587.448211511677</v>
      </c>
      <c r="BU130" s="39">
        <v>4933.4623902351696</v>
      </c>
      <c r="BV130" s="52">
        <v>-12653.985821276507</v>
      </c>
      <c r="BW130" s="39">
        <v>13238.40311574012</v>
      </c>
      <c r="BX130" s="39">
        <v>14836.111249262314</v>
      </c>
      <c r="BY130" s="52">
        <v>1597.7081335221937</v>
      </c>
      <c r="BZ130" s="39">
        <v>4327.9681740503611</v>
      </c>
      <c r="CA130" s="39">
        <v>19558.518984232738</v>
      </c>
      <c r="CB130" s="52">
        <v>15230.550810182376</v>
      </c>
      <c r="CC130" s="39">
        <v>214.12848802707805</v>
      </c>
      <c r="CD130" s="39">
        <v>211.25314575878485</v>
      </c>
      <c r="CE130" s="52">
        <v>-2.8753422682931955</v>
      </c>
      <c r="CF130" s="39">
        <v>26.360514624545594</v>
      </c>
      <c r="CG130" s="39">
        <v>0</v>
      </c>
      <c r="CH130" s="52">
        <v>-26.360514624545594</v>
      </c>
      <c r="CI130" s="39">
        <v>3272.4473184790918</v>
      </c>
      <c r="CJ130" s="39">
        <v>5668.2511301891891</v>
      </c>
      <c r="CK130" s="52">
        <v>2395.8038117100973</v>
      </c>
      <c r="CL130" s="39">
        <v>3303.6431937744119</v>
      </c>
      <c r="CM130" s="39">
        <v>4217.4364973125603</v>
      </c>
      <c r="CN130" s="52">
        <v>913.79330353814839</v>
      </c>
      <c r="CO130" s="39">
        <v>6576.0905122535041</v>
      </c>
      <c r="CP130" s="40">
        <v>9885.6876275017494</v>
      </c>
      <c r="CQ130" s="52">
        <v>3309.5971152482452</v>
      </c>
      <c r="CR130" s="72">
        <v>91991.919703874213</v>
      </c>
      <c r="CS130" s="5">
        <v>88650.504471885302</v>
      </c>
      <c r="CT130" s="52">
        <v>-3341.4152319889108</v>
      </c>
      <c r="CU130" s="77">
        <v>110390.30364464906</v>
      </c>
      <c r="CV130" s="65">
        <v>106380.60536626236</v>
      </c>
      <c r="CW130" s="35">
        <v>-4009.6982783866988</v>
      </c>
      <c r="CX130" s="39">
        <v>0</v>
      </c>
      <c r="CY130" s="39">
        <v>4009.6982783867206</v>
      </c>
      <c r="CZ130" s="52">
        <v>4009.6982783867206</v>
      </c>
      <c r="DA130" s="150">
        <v>-219581.36302009999</v>
      </c>
      <c r="DB130" s="2">
        <v>1</v>
      </c>
      <c r="DC130" s="713">
        <v>124529.39</v>
      </c>
      <c r="DD130" s="714"/>
      <c r="DE130" s="715">
        <v>69334.238177675492</v>
      </c>
      <c r="DF130" s="716">
        <v>0</v>
      </c>
      <c r="DG130" s="717">
        <v>-16613.26344249821</v>
      </c>
      <c r="DH130" s="718">
        <v>540280.6812047282</v>
      </c>
      <c r="DI130" s="718">
        <v>1324683.6437357888</v>
      </c>
      <c r="DJ130" s="693">
        <v>1128582.9031030235</v>
      </c>
      <c r="DK130" s="724"/>
      <c r="DL130" s="5"/>
      <c r="DM130" s="306">
        <v>5.1194379001858374</v>
      </c>
      <c r="DN130" s="306">
        <v>5.9117166673935442</v>
      </c>
      <c r="DO130" s="306">
        <v>4.2805997984186082</v>
      </c>
      <c r="DP130" s="719">
        <v>55195.151822324508</v>
      </c>
      <c r="DQ130" s="720">
        <v>0</v>
      </c>
      <c r="DR130" s="650">
        <v>55195.151822324508</v>
      </c>
      <c r="DS130" s="94">
        <v>55195.151822324551</v>
      </c>
      <c r="DT130" s="719">
        <v>55222.81</v>
      </c>
      <c r="DU130" s="721"/>
      <c r="DV130" s="93">
        <v>55222.81</v>
      </c>
      <c r="DW130" s="95">
        <v>55195.151822324529</v>
      </c>
      <c r="DX130" s="28">
        <v>27.658177675468323</v>
      </c>
      <c r="EA130" s="5">
        <v>28656.673613779018</v>
      </c>
      <c r="EB130" s="5">
        <v>21056.399999999998</v>
      </c>
      <c r="EE130" s="722">
        <v>260765.21501294657</v>
      </c>
      <c r="EG130" s="42" t="s">
        <v>419</v>
      </c>
    </row>
    <row r="131" spans="1:137" x14ac:dyDescent="0.3">
      <c r="A131" s="325">
        <v>150000688</v>
      </c>
      <c r="B131" s="41" t="s">
        <v>599</v>
      </c>
      <c r="C131" s="42" t="s">
        <v>93</v>
      </c>
      <c r="D131" s="27">
        <v>1</v>
      </c>
      <c r="E131" s="709">
        <v>241.1</v>
      </c>
      <c r="F131" s="723">
        <v>241.1</v>
      </c>
      <c r="G131" s="28"/>
      <c r="H131" s="651">
        <v>0</v>
      </c>
      <c r="I131" s="39">
        <v>0</v>
      </c>
      <c r="J131" s="39">
        <v>0</v>
      </c>
      <c r="K131" s="52">
        <v>0</v>
      </c>
      <c r="L131" s="39">
        <v>0</v>
      </c>
      <c r="M131" s="39">
        <v>0</v>
      </c>
      <c r="N131" s="52">
        <v>0</v>
      </c>
      <c r="O131" s="39">
        <v>0</v>
      </c>
      <c r="P131" s="39">
        <v>0</v>
      </c>
      <c r="Q131" s="52">
        <v>0</v>
      </c>
      <c r="R131" s="39">
        <v>0</v>
      </c>
      <c r="S131" s="39">
        <v>0</v>
      </c>
      <c r="T131" s="52">
        <v>0</v>
      </c>
      <c r="U131" s="39">
        <v>0</v>
      </c>
      <c r="V131" s="39">
        <v>0</v>
      </c>
      <c r="W131" s="52">
        <v>0</v>
      </c>
      <c r="X131" s="39">
        <v>0</v>
      </c>
      <c r="Y131" s="39">
        <v>0</v>
      </c>
      <c r="Z131" s="52">
        <v>0</v>
      </c>
      <c r="AA131" s="39">
        <v>0</v>
      </c>
      <c r="AB131" s="39">
        <v>0</v>
      </c>
      <c r="AC131" s="52">
        <v>0</v>
      </c>
      <c r="AD131" s="39">
        <v>0</v>
      </c>
      <c r="AE131" s="39">
        <v>144.17459171612711</v>
      </c>
      <c r="AF131" s="35">
        <v>144.17459171612711</v>
      </c>
      <c r="AG131" s="77">
        <v>0</v>
      </c>
      <c r="AH131" s="53">
        <v>144.17459171612711</v>
      </c>
      <c r="AI131" s="52">
        <v>144.17459171612711</v>
      </c>
      <c r="AJ131" s="39">
        <v>0</v>
      </c>
      <c r="AK131" s="39">
        <v>0</v>
      </c>
      <c r="AL131" s="52">
        <v>0</v>
      </c>
      <c r="AM131" s="39">
        <v>0</v>
      </c>
      <c r="AN131" s="39">
        <v>0</v>
      </c>
      <c r="AO131" s="52">
        <v>0</v>
      </c>
      <c r="AP131" s="39">
        <v>63.134509526243313</v>
      </c>
      <c r="AQ131" s="39">
        <v>0</v>
      </c>
      <c r="AR131" s="52">
        <v>-63.134509526243313</v>
      </c>
      <c r="AS131" s="39">
        <v>569.25774224742077</v>
      </c>
      <c r="AT131" s="39">
        <v>0</v>
      </c>
      <c r="AU131" s="54">
        <v>-569.25774224742077</v>
      </c>
      <c r="AV131" s="39">
        <v>0</v>
      </c>
      <c r="AW131" s="39">
        <v>0</v>
      </c>
      <c r="AX131" s="55">
        <v>0</v>
      </c>
      <c r="AY131" s="39">
        <v>0</v>
      </c>
      <c r="AZ131" s="39">
        <v>0</v>
      </c>
      <c r="BA131" s="35">
        <v>0</v>
      </c>
      <c r="BB131" s="39">
        <v>0</v>
      </c>
      <c r="BC131" s="39">
        <v>0</v>
      </c>
      <c r="BD131" s="55">
        <v>0</v>
      </c>
      <c r="BE131" s="39">
        <v>0</v>
      </c>
      <c r="BF131" s="39">
        <v>0</v>
      </c>
      <c r="BG131" s="38">
        <v>0</v>
      </c>
      <c r="BH131" s="39">
        <v>0</v>
      </c>
      <c r="BI131" s="39">
        <v>0</v>
      </c>
      <c r="BJ131" s="55">
        <v>0</v>
      </c>
      <c r="BK131" s="39">
        <v>0</v>
      </c>
      <c r="BL131" s="39">
        <v>0</v>
      </c>
      <c r="BM131" s="38">
        <v>0</v>
      </c>
      <c r="BN131" s="39">
        <v>0</v>
      </c>
      <c r="BO131" s="39">
        <v>0</v>
      </c>
      <c r="BP131" s="55">
        <v>0</v>
      </c>
      <c r="BQ131" s="77">
        <v>0</v>
      </c>
      <c r="BR131" s="40">
        <v>0</v>
      </c>
      <c r="BS131" s="55">
        <v>0</v>
      </c>
      <c r="BT131" s="39">
        <v>31.902681005596676</v>
      </c>
      <c r="BU131" s="39">
        <v>15.229502635910192</v>
      </c>
      <c r="BV131" s="52">
        <v>-16.673178369686482</v>
      </c>
      <c r="BW131" s="39">
        <v>0</v>
      </c>
      <c r="BX131" s="39">
        <v>0.97595125254346082</v>
      </c>
      <c r="BY131" s="52">
        <v>0.97595125254346082</v>
      </c>
      <c r="BZ131" s="39">
        <v>0</v>
      </c>
      <c r="CA131" s="39">
        <v>52.865010796233157</v>
      </c>
      <c r="CB131" s="52">
        <v>52.865010796233157</v>
      </c>
      <c r="CC131" s="39">
        <v>0</v>
      </c>
      <c r="CD131" s="39">
        <v>0</v>
      </c>
      <c r="CE131" s="52">
        <v>0</v>
      </c>
      <c r="CF131" s="39">
        <v>0</v>
      </c>
      <c r="CG131" s="39">
        <v>0</v>
      </c>
      <c r="CH131" s="52">
        <v>0</v>
      </c>
      <c r="CI131" s="39">
        <v>0</v>
      </c>
      <c r="CJ131" s="39">
        <v>0</v>
      </c>
      <c r="CK131" s="52">
        <v>0</v>
      </c>
      <c r="CL131" s="39">
        <v>0</v>
      </c>
      <c r="CM131" s="39">
        <v>0</v>
      </c>
      <c r="CN131" s="52">
        <v>0</v>
      </c>
      <c r="CO131" s="39">
        <v>0</v>
      </c>
      <c r="CP131" s="40">
        <v>0</v>
      </c>
      <c r="CQ131" s="52">
        <v>0</v>
      </c>
      <c r="CR131" s="72">
        <v>664.29493277926076</v>
      </c>
      <c r="CS131" s="5">
        <v>213.24505640081392</v>
      </c>
      <c r="CT131" s="52">
        <v>-451.04987637844681</v>
      </c>
      <c r="CU131" s="77">
        <v>797.15391933511285</v>
      </c>
      <c r="CV131" s="65">
        <v>255.89406768097669</v>
      </c>
      <c r="CW131" s="35">
        <v>-541.25985165413613</v>
      </c>
      <c r="CX131" s="39">
        <v>11.957308790026696</v>
      </c>
      <c r="CY131" s="39">
        <v>553.2171604441628</v>
      </c>
      <c r="CZ131" s="52">
        <v>541.25985165413613</v>
      </c>
      <c r="DA131" s="150">
        <v>-9616.4392211438662</v>
      </c>
      <c r="DB131" s="2">
        <v>3</v>
      </c>
      <c r="DC131" s="713">
        <v>515.01</v>
      </c>
      <c r="DD131" s="714"/>
      <c r="DE131" s="715">
        <v>110.45438593743012</v>
      </c>
      <c r="DF131" s="716">
        <v>0</v>
      </c>
      <c r="DG131" s="717">
        <v>-5527.855054942469</v>
      </c>
      <c r="DH131" s="718">
        <v>3877.865695684588</v>
      </c>
      <c r="DI131" s="718">
        <v>9709.3347375016747</v>
      </c>
      <c r="DJ131" s="693">
        <v>8251.467477047403</v>
      </c>
      <c r="DK131" s="724"/>
      <c r="DL131" s="5"/>
      <c r="DM131" s="306">
        <v>1.6779577522296552</v>
      </c>
      <c r="DN131" s="306"/>
      <c r="DO131" s="306">
        <v>1.6779577522296552</v>
      </c>
      <c r="DP131" s="719">
        <v>404.55561406256987</v>
      </c>
      <c r="DQ131" s="720">
        <v>0</v>
      </c>
      <c r="DR131" s="650">
        <v>404.55561406256987</v>
      </c>
      <c r="DS131" s="94">
        <v>404.55561406256965</v>
      </c>
      <c r="DT131" s="719">
        <v>404.57</v>
      </c>
      <c r="DU131" s="721"/>
      <c r="DV131" s="93">
        <v>404.57</v>
      </c>
      <c r="DW131" s="95">
        <v>405.75134494157243</v>
      </c>
      <c r="DX131" s="28">
        <v>-1.1813449415724335</v>
      </c>
      <c r="EA131" s="5">
        <v>683.10929069690485</v>
      </c>
      <c r="EB131" s="5">
        <v>0</v>
      </c>
      <c r="EE131" s="722">
        <v>6831.0929069690492</v>
      </c>
      <c r="EG131" s="42" t="s">
        <v>93</v>
      </c>
    </row>
    <row r="132" spans="1:137" x14ac:dyDescent="0.3">
      <c r="A132" s="325">
        <v>150000689</v>
      </c>
      <c r="B132" s="41" t="s">
        <v>600</v>
      </c>
      <c r="C132" s="42" t="s">
        <v>94</v>
      </c>
      <c r="D132" s="27">
        <v>1</v>
      </c>
      <c r="E132" s="709">
        <v>188.9</v>
      </c>
      <c r="F132" s="723">
        <v>188.9</v>
      </c>
      <c r="G132" s="28"/>
      <c r="H132" s="651">
        <v>0</v>
      </c>
      <c r="I132" s="39">
        <v>0</v>
      </c>
      <c r="J132" s="39">
        <v>0</v>
      </c>
      <c r="K132" s="52">
        <v>0</v>
      </c>
      <c r="L132" s="39">
        <v>0</v>
      </c>
      <c r="M132" s="39">
        <v>0</v>
      </c>
      <c r="N132" s="52">
        <v>0</v>
      </c>
      <c r="O132" s="39">
        <v>0</v>
      </c>
      <c r="P132" s="39">
        <v>0</v>
      </c>
      <c r="Q132" s="52">
        <v>0</v>
      </c>
      <c r="R132" s="39">
        <v>0</v>
      </c>
      <c r="S132" s="39">
        <v>0</v>
      </c>
      <c r="T132" s="52">
        <v>0</v>
      </c>
      <c r="U132" s="39">
        <v>0</v>
      </c>
      <c r="V132" s="39">
        <v>0</v>
      </c>
      <c r="W132" s="52">
        <v>0</v>
      </c>
      <c r="X132" s="39">
        <v>0</v>
      </c>
      <c r="Y132" s="39">
        <v>0</v>
      </c>
      <c r="Z132" s="52">
        <v>0</v>
      </c>
      <c r="AA132" s="39">
        <v>0</v>
      </c>
      <c r="AB132" s="39">
        <v>0</v>
      </c>
      <c r="AC132" s="52">
        <v>0</v>
      </c>
      <c r="AD132" s="39">
        <v>0</v>
      </c>
      <c r="AE132" s="39">
        <v>112.9596863342033</v>
      </c>
      <c r="AF132" s="35">
        <v>112.9596863342033</v>
      </c>
      <c r="AG132" s="77">
        <v>0</v>
      </c>
      <c r="AH132" s="53">
        <v>112.9596863342033</v>
      </c>
      <c r="AI132" s="52">
        <v>112.9596863342033</v>
      </c>
      <c r="AJ132" s="39">
        <v>0</v>
      </c>
      <c r="AK132" s="39">
        <v>0</v>
      </c>
      <c r="AL132" s="52">
        <v>0</v>
      </c>
      <c r="AM132" s="39">
        <v>0</v>
      </c>
      <c r="AN132" s="39">
        <v>0</v>
      </c>
      <c r="AO132" s="52">
        <v>0</v>
      </c>
      <c r="AP132" s="39">
        <v>63.134509526243313</v>
      </c>
      <c r="AQ132" s="39">
        <v>0</v>
      </c>
      <c r="AR132" s="52">
        <v>-63.134509526243313</v>
      </c>
      <c r="AS132" s="39">
        <v>381.67647174255643</v>
      </c>
      <c r="AT132" s="39">
        <v>0</v>
      </c>
      <c r="AU132" s="54">
        <v>-381.67647174255643</v>
      </c>
      <c r="AV132" s="39">
        <v>0</v>
      </c>
      <c r="AW132" s="39">
        <v>0</v>
      </c>
      <c r="AX132" s="55">
        <v>0</v>
      </c>
      <c r="AY132" s="39">
        <v>0</v>
      </c>
      <c r="AZ132" s="39">
        <v>0</v>
      </c>
      <c r="BA132" s="35">
        <v>0</v>
      </c>
      <c r="BB132" s="39">
        <v>0</v>
      </c>
      <c r="BC132" s="39">
        <v>0</v>
      </c>
      <c r="BD132" s="55">
        <v>0</v>
      </c>
      <c r="BE132" s="39">
        <v>0</v>
      </c>
      <c r="BF132" s="39">
        <v>0</v>
      </c>
      <c r="BG132" s="38">
        <v>0</v>
      </c>
      <c r="BH132" s="39">
        <v>0</v>
      </c>
      <c r="BI132" s="39">
        <v>0</v>
      </c>
      <c r="BJ132" s="55">
        <v>0</v>
      </c>
      <c r="BK132" s="39">
        <v>0</v>
      </c>
      <c r="BL132" s="39">
        <v>0</v>
      </c>
      <c r="BM132" s="38">
        <v>0</v>
      </c>
      <c r="BN132" s="39">
        <v>0</v>
      </c>
      <c r="BO132" s="39">
        <v>0</v>
      </c>
      <c r="BP132" s="55">
        <v>0</v>
      </c>
      <c r="BQ132" s="77">
        <v>0</v>
      </c>
      <c r="BR132" s="40">
        <v>0</v>
      </c>
      <c r="BS132" s="55">
        <v>0</v>
      </c>
      <c r="BT132" s="39">
        <v>15.951340502798338</v>
      </c>
      <c r="BU132" s="39">
        <v>7.6147513179550961</v>
      </c>
      <c r="BV132" s="52">
        <v>-8.3365891848432412</v>
      </c>
      <c r="BW132" s="39">
        <v>0</v>
      </c>
      <c r="BX132" s="39">
        <v>0.76465031773313885</v>
      </c>
      <c r="BY132" s="52">
        <v>0.76465031773313885</v>
      </c>
      <c r="BZ132" s="39">
        <v>0</v>
      </c>
      <c r="CA132" s="39">
        <v>26.432505398116579</v>
      </c>
      <c r="CB132" s="52">
        <v>26.432505398116579</v>
      </c>
      <c r="CC132" s="39">
        <v>0</v>
      </c>
      <c r="CD132" s="39">
        <v>0</v>
      </c>
      <c r="CE132" s="52">
        <v>0</v>
      </c>
      <c r="CF132" s="39">
        <v>0</v>
      </c>
      <c r="CG132" s="39">
        <v>0</v>
      </c>
      <c r="CH132" s="52">
        <v>0</v>
      </c>
      <c r="CI132" s="39">
        <v>0</v>
      </c>
      <c r="CJ132" s="39">
        <v>0</v>
      </c>
      <c r="CK132" s="52">
        <v>0</v>
      </c>
      <c r="CL132" s="39">
        <v>0</v>
      </c>
      <c r="CM132" s="39">
        <v>0</v>
      </c>
      <c r="CN132" s="52">
        <v>0</v>
      </c>
      <c r="CO132" s="39">
        <v>0</v>
      </c>
      <c r="CP132" s="40">
        <v>0</v>
      </c>
      <c r="CQ132" s="52">
        <v>0</v>
      </c>
      <c r="CR132" s="72">
        <v>460.76232177159812</v>
      </c>
      <c r="CS132" s="5">
        <v>147.77159336800813</v>
      </c>
      <c r="CT132" s="52">
        <v>-312.99072840358997</v>
      </c>
      <c r="CU132" s="77">
        <v>552.91478612591777</v>
      </c>
      <c r="CV132" s="65">
        <v>177.32591204160974</v>
      </c>
      <c r="CW132" s="35">
        <v>-375.58887408430803</v>
      </c>
      <c r="CX132" s="39">
        <v>13.822869653147945</v>
      </c>
      <c r="CY132" s="39">
        <v>389.41174373745594</v>
      </c>
      <c r="CZ132" s="52">
        <v>375.58887408430797</v>
      </c>
      <c r="DA132" s="150">
        <v>-5254.8709259316311</v>
      </c>
      <c r="DB132" s="2">
        <v>3</v>
      </c>
      <c r="DC132" s="713">
        <v>782.97</v>
      </c>
      <c r="DD132" s="714"/>
      <c r="DE132" s="715">
        <v>499.60117211046719</v>
      </c>
      <c r="DF132" s="716">
        <v>0</v>
      </c>
      <c r="DG132" s="717">
        <v>-2861.5210927587432</v>
      </c>
      <c r="DH132" s="718">
        <v>2663.8125072445146</v>
      </c>
      <c r="DI132" s="718">
        <v>6800.8518693487877</v>
      </c>
      <c r="DJ132" s="693">
        <v>5766.5920288227189</v>
      </c>
      <c r="DK132" s="724"/>
      <c r="DL132" s="5"/>
      <c r="DM132" s="306">
        <v>1.5000996711992209</v>
      </c>
      <c r="DN132" s="306"/>
      <c r="DO132" s="306">
        <v>1.5000996711992209</v>
      </c>
      <c r="DP132" s="719">
        <v>283.36882788953284</v>
      </c>
      <c r="DQ132" s="720">
        <v>0</v>
      </c>
      <c r="DR132" s="650">
        <v>283.36882788953284</v>
      </c>
      <c r="DS132" s="94">
        <v>283.36882788953284</v>
      </c>
      <c r="DT132" s="719">
        <v>283.35000000000002</v>
      </c>
      <c r="DU132" s="721"/>
      <c r="DV132" s="93">
        <v>283.35000000000002</v>
      </c>
      <c r="DW132" s="95">
        <v>284.75111485484763</v>
      </c>
      <c r="DX132" s="28">
        <v>-1.4011148548476058</v>
      </c>
      <c r="EA132" s="5">
        <v>458.01176609106773</v>
      </c>
      <c r="EB132" s="5">
        <v>0</v>
      </c>
      <c r="EE132" s="722">
        <v>4580.1176609106769</v>
      </c>
      <c r="EG132" s="42" t="s">
        <v>94</v>
      </c>
    </row>
    <row r="133" spans="1:137" x14ac:dyDescent="0.3">
      <c r="A133" s="325">
        <v>150000690</v>
      </c>
      <c r="B133" s="41" t="s">
        <v>602</v>
      </c>
      <c r="C133" s="42" t="s">
        <v>96</v>
      </c>
      <c r="D133" s="27">
        <v>1</v>
      </c>
      <c r="E133" s="709">
        <v>142.1</v>
      </c>
      <c r="F133" s="723">
        <v>142.1</v>
      </c>
      <c r="G133" s="28"/>
      <c r="H133" s="651">
        <v>0</v>
      </c>
      <c r="I133" s="39">
        <v>0</v>
      </c>
      <c r="J133" s="39">
        <v>0</v>
      </c>
      <c r="K133" s="52">
        <v>0</v>
      </c>
      <c r="L133" s="39">
        <v>0</v>
      </c>
      <c r="M133" s="39">
        <v>0</v>
      </c>
      <c r="N133" s="52">
        <v>0</v>
      </c>
      <c r="O133" s="39">
        <v>0</v>
      </c>
      <c r="P133" s="39">
        <v>0</v>
      </c>
      <c r="Q133" s="52">
        <v>0</v>
      </c>
      <c r="R133" s="39">
        <v>0</v>
      </c>
      <c r="S133" s="39">
        <v>0</v>
      </c>
      <c r="T133" s="52">
        <v>0</v>
      </c>
      <c r="U133" s="39">
        <v>0</v>
      </c>
      <c r="V133" s="39">
        <v>0</v>
      </c>
      <c r="W133" s="52">
        <v>0</v>
      </c>
      <c r="X133" s="39">
        <v>0</v>
      </c>
      <c r="Y133" s="39">
        <v>0</v>
      </c>
      <c r="Z133" s="52">
        <v>0</v>
      </c>
      <c r="AA133" s="39">
        <v>0</v>
      </c>
      <c r="AB133" s="39">
        <v>0</v>
      </c>
      <c r="AC133" s="52">
        <v>0</v>
      </c>
      <c r="AD133" s="39">
        <v>0</v>
      </c>
      <c r="AE133" s="39">
        <v>84.97390909523709</v>
      </c>
      <c r="AF133" s="35">
        <v>84.97390909523709</v>
      </c>
      <c r="AG133" s="77">
        <v>0</v>
      </c>
      <c r="AH133" s="53">
        <v>84.97390909523709</v>
      </c>
      <c r="AI133" s="52">
        <v>84.97390909523709</v>
      </c>
      <c r="AJ133" s="39">
        <v>0</v>
      </c>
      <c r="AK133" s="39">
        <v>0</v>
      </c>
      <c r="AL133" s="52">
        <v>0</v>
      </c>
      <c r="AM133" s="39">
        <v>0</v>
      </c>
      <c r="AN133" s="39">
        <v>0</v>
      </c>
      <c r="AO133" s="52">
        <v>0</v>
      </c>
      <c r="AP133" s="39">
        <v>63.134509526243313</v>
      </c>
      <c r="AQ133" s="39">
        <v>0</v>
      </c>
      <c r="AR133" s="52">
        <v>-63.134509526243313</v>
      </c>
      <c r="AS133" s="39">
        <v>309.06574070629631</v>
      </c>
      <c r="AT133" s="39">
        <v>0</v>
      </c>
      <c r="AU133" s="54">
        <v>-309.06574070629631</v>
      </c>
      <c r="AV133" s="39">
        <v>0</v>
      </c>
      <c r="AW133" s="39">
        <v>0</v>
      </c>
      <c r="AX133" s="55">
        <v>0</v>
      </c>
      <c r="AY133" s="39">
        <v>0</v>
      </c>
      <c r="AZ133" s="39">
        <v>0</v>
      </c>
      <c r="BA133" s="35">
        <v>0</v>
      </c>
      <c r="BB133" s="39">
        <v>0</v>
      </c>
      <c r="BC133" s="39">
        <v>0</v>
      </c>
      <c r="BD133" s="55">
        <v>0</v>
      </c>
      <c r="BE133" s="39">
        <v>0</v>
      </c>
      <c r="BF133" s="39">
        <v>0</v>
      </c>
      <c r="BG133" s="38">
        <v>0</v>
      </c>
      <c r="BH133" s="39">
        <v>0</v>
      </c>
      <c r="BI133" s="39">
        <v>0</v>
      </c>
      <c r="BJ133" s="55">
        <v>0</v>
      </c>
      <c r="BK133" s="39">
        <v>0</v>
      </c>
      <c r="BL133" s="39">
        <v>0</v>
      </c>
      <c r="BM133" s="38">
        <v>0</v>
      </c>
      <c r="BN133" s="39">
        <v>0</v>
      </c>
      <c r="BO133" s="39">
        <v>0</v>
      </c>
      <c r="BP133" s="55">
        <v>0</v>
      </c>
      <c r="BQ133" s="77">
        <v>0</v>
      </c>
      <c r="BR133" s="40">
        <v>0</v>
      </c>
      <c r="BS133" s="55">
        <v>0</v>
      </c>
      <c r="BT133" s="39">
        <v>0</v>
      </c>
      <c r="BU133" s="39">
        <v>0</v>
      </c>
      <c r="BV133" s="52">
        <v>0</v>
      </c>
      <c r="BW133" s="39">
        <v>0</v>
      </c>
      <c r="BX133" s="39">
        <v>0.57520810031698799</v>
      </c>
      <c r="BY133" s="52">
        <v>0.57520810031698799</v>
      </c>
      <c r="BZ133" s="39">
        <v>0</v>
      </c>
      <c r="CA133" s="39">
        <v>0</v>
      </c>
      <c r="CB133" s="52">
        <v>0</v>
      </c>
      <c r="CC133" s="39">
        <v>0</v>
      </c>
      <c r="CD133" s="39">
        <v>0</v>
      </c>
      <c r="CE133" s="52">
        <v>0</v>
      </c>
      <c r="CF133" s="39">
        <v>0</v>
      </c>
      <c r="CG133" s="39">
        <v>0</v>
      </c>
      <c r="CH133" s="52">
        <v>0</v>
      </c>
      <c r="CI133" s="39">
        <v>0</v>
      </c>
      <c r="CJ133" s="39">
        <v>0</v>
      </c>
      <c r="CK133" s="52">
        <v>0</v>
      </c>
      <c r="CL133" s="39">
        <v>0</v>
      </c>
      <c r="CM133" s="39">
        <v>0</v>
      </c>
      <c r="CN133" s="52">
        <v>0</v>
      </c>
      <c r="CO133" s="39">
        <v>0</v>
      </c>
      <c r="CP133" s="40">
        <v>0</v>
      </c>
      <c r="CQ133" s="52">
        <v>0</v>
      </c>
      <c r="CR133" s="72">
        <v>372.20025023253964</v>
      </c>
      <c r="CS133" s="5">
        <v>85.549117195554075</v>
      </c>
      <c r="CT133" s="52">
        <v>-286.65113303698558</v>
      </c>
      <c r="CU133" s="77">
        <v>446.64030027904755</v>
      </c>
      <c r="CV133" s="65">
        <v>102.65894063466489</v>
      </c>
      <c r="CW133" s="35">
        <v>-343.98135964438268</v>
      </c>
      <c r="CX133" s="39">
        <v>0</v>
      </c>
      <c r="CY133" s="39">
        <v>343.98135964438268</v>
      </c>
      <c r="CZ133" s="52">
        <v>343.98135964438268</v>
      </c>
      <c r="DA133" s="150">
        <v>-4399.1539832478502</v>
      </c>
      <c r="DB133" s="2">
        <v>3</v>
      </c>
      <c r="DC133" s="713">
        <v>276.83999999999997</v>
      </c>
      <c r="DD133" s="714"/>
      <c r="DE133" s="715">
        <v>53.519849860476228</v>
      </c>
      <c r="DF133" s="716">
        <v>0</v>
      </c>
      <c r="DG133" s="717">
        <v>-2816.5099424327359</v>
      </c>
      <c r="DH133" s="718">
        <v>2138.8849635141614</v>
      </c>
      <c r="DI133" s="718">
        <v>5359.6836033485706</v>
      </c>
      <c r="DJ133" s="693">
        <v>4554.4839433899688</v>
      </c>
      <c r="DK133" s="724"/>
      <c r="DL133" s="5"/>
      <c r="DM133" s="306">
        <v>1.5715703739586471</v>
      </c>
      <c r="DN133" s="306"/>
      <c r="DO133" s="306">
        <v>1.5715703739586471</v>
      </c>
      <c r="DP133" s="719">
        <v>223.32015013952375</v>
      </c>
      <c r="DQ133" s="720">
        <v>0</v>
      </c>
      <c r="DR133" s="650">
        <v>223.32015013952375</v>
      </c>
      <c r="DS133" s="94">
        <v>223.3201501395238</v>
      </c>
      <c r="DT133" s="719">
        <v>223.32</v>
      </c>
      <c r="DU133" s="721"/>
      <c r="DV133" s="93">
        <v>223.32</v>
      </c>
      <c r="DW133" s="95">
        <v>223.32015013952378</v>
      </c>
      <c r="DX133" s="28">
        <v>-1.5013952378239992E-4</v>
      </c>
      <c r="EA133" s="5">
        <v>370.87888884755557</v>
      </c>
      <c r="EB133" s="5">
        <v>0</v>
      </c>
      <c r="EE133" s="722">
        <v>3708.7888884755557</v>
      </c>
      <c r="EG133" s="42" t="s">
        <v>96</v>
      </c>
    </row>
    <row r="134" spans="1:137" x14ac:dyDescent="0.3">
      <c r="A134" s="325">
        <v>150000648</v>
      </c>
      <c r="B134" s="41" t="s">
        <v>603</v>
      </c>
      <c r="C134" s="42" t="s">
        <v>362</v>
      </c>
      <c r="D134" s="27">
        <v>9</v>
      </c>
      <c r="E134" s="709">
        <v>3815</v>
      </c>
      <c r="F134" s="723">
        <v>3815</v>
      </c>
      <c r="G134" s="28">
        <v>314.8</v>
      </c>
      <c r="H134" s="651">
        <v>0</v>
      </c>
      <c r="I134" s="39">
        <v>1430.0344742090283</v>
      </c>
      <c r="J134" s="39">
        <v>1364.9220434808199</v>
      </c>
      <c r="K134" s="52">
        <v>-65.112430728208437</v>
      </c>
      <c r="L134" s="39">
        <v>231.48993924785538</v>
      </c>
      <c r="M134" s="39">
        <v>200.33049353729507</v>
      </c>
      <c r="N134" s="52">
        <v>-31.159445710560306</v>
      </c>
      <c r="O134" s="39">
        <v>820.06</v>
      </c>
      <c r="P134" s="39">
        <v>820.22</v>
      </c>
      <c r="Q134" s="52">
        <v>0.16000000000008185</v>
      </c>
      <c r="R134" s="39">
        <v>194.64</v>
      </c>
      <c r="S134" s="39">
        <v>194.56</v>
      </c>
      <c r="T134" s="52">
        <v>-7.9999999999984084E-2</v>
      </c>
      <c r="U134" s="39">
        <v>65.029090713311319</v>
      </c>
      <c r="V134" s="39">
        <v>38.538164181368032</v>
      </c>
      <c r="W134" s="52">
        <v>-26.490926531943288</v>
      </c>
      <c r="X134" s="39">
        <v>654.25699934816919</v>
      </c>
      <c r="Y134" s="39">
        <v>434.44106598756196</v>
      </c>
      <c r="Z134" s="52">
        <v>-219.81593336060723</v>
      </c>
      <c r="AA134" s="39">
        <v>0</v>
      </c>
      <c r="AB134" s="39">
        <v>0</v>
      </c>
      <c r="AC134" s="52">
        <v>0</v>
      </c>
      <c r="AD134" s="39">
        <v>2718.7162165288923</v>
      </c>
      <c r="AE134" s="39">
        <v>2281.3192343302571</v>
      </c>
      <c r="AF134" s="35">
        <v>-437.39698219863521</v>
      </c>
      <c r="AG134" s="77">
        <v>6114.2267200472561</v>
      </c>
      <c r="AH134" s="53">
        <v>5334.331001517302</v>
      </c>
      <c r="AI134" s="52">
        <v>-779.89571852995414</v>
      </c>
      <c r="AJ134" s="39">
        <v>2496.4053549718647</v>
      </c>
      <c r="AK134" s="39">
        <v>2462.8833332078275</v>
      </c>
      <c r="AL134" s="52">
        <v>-33.522021764037163</v>
      </c>
      <c r="AM134" s="39">
        <v>0</v>
      </c>
      <c r="AN134" s="39">
        <v>0</v>
      </c>
      <c r="AO134" s="52">
        <v>0</v>
      </c>
      <c r="AP134" s="39">
        <v>355.13161608511865</v>
      </c>
      <c r="AQ134" s="39">
        <v>0</v>
      </c>
      <c r="AR134" s="52">
        <v>-355.13161608511865</v>
      </c>
      <c r="AS134" s="39">
        <v>7879.6081610338397</v>
      </c>
      <c r="AT134" s="39">
        <v>0</v>
      </c>
      <c r="AU134" s="54">
        <v>-7879.6081610338397</v>
      </c>
      <c r="AV134" s="39">
        <v>124.99549231576577</v>
      </c>
      <c r="AW134" s="39">
        <v>0</v>
      </c>
      <c r="AX134" s="55">
        <v>-124.99549231576577</v>
      </c>
      <c r="AY134" s="39">
        <v>153.02341104794502</v>
      </c>
      <c r="AZ134" s="39">
        <v>0</v>
      </c>
      <c r="BA134" s="35">
        <v>-153.02341104794502</v>
      </c>
      <c r="BB134" s="39">
        <v>335.89607452838891</v>
      </c>
      <c r="BC134" s="39">
        <v>0</v>
      </c>
      <c r="BD134" s="55">
        <v>-335.89607452838891</v>
      </c>
      <c r="BE134" s="39">
        <v>111.59307533867725</v>
      </c>
      <c r="BF134" s="39">
        <v>0</v>
      </c>
      <c r="BG134" s="38">
        <v>-111.59307533867725</v>
      </c>
      <c r="BH134" s="39">
        <v>32.980617657691397</v>
      </c>
      <c r="BI134" s="39">
        <v>0</v>
      </c>
      <c r="BJ134" s="55">
        <v>-32.980617657691397</v>
      </c>
      <c r="BK134" s="39">
        <v>43.380793390018312</v>
      </c>
      <c r="BL134" s="39">
        <v>0</v>
      </c>
      <c r="BM134" s="38">
        <v>-43.380793390018312</v>
      </c>
      <c r="BN134" s="39">
        <v>0</v>
      </c>
      <c r="BO134" s="39">
        <v>0</v>
      </c>
      <c r="BP134" s="55">
        <v>0</v>
      </c>
      <c r="BQ134" s="77">
        <v>801.8694642784867</v>
      </c>
      <c r="BR134" s="40">
        <v>0</v>
      </c>
      <c r="BS134" s="55">
        <v>-801.8694642784867</v>
      </c>
      <c r="BT134" s="39">
        <v>5076.3461212406182</v>
      </c>
      <c r="BU134" s="39">
        <v>1233.3529697120896</v>
      </c>
      <c r="BV134" s="52">
        <v>-3842.9931515285289</v>
      </c>
      <c r="BW134" s="39">
        <v>5207.3786003992145</v>
      </c>
      <c r="BX134" s="39">
        <v>5321.5880228592996</v>
      </c>
      <c r="BY134" s="52">
        <v>114.20942246008508</v>
      </c>
      <c r="BZ134" s="39">
        <v>281.31793131327345</v>
      </c>
      <c r="CA134" s="39">
        <v>4987.9218834913263</v>
      </c>
      <c r="CB134" s="52">
        <v>4706.6039521780531</v>
      </c>
      <c r="CC134" s="39">
        <v>224.76628150278225</v>
      </c>
      <c r="CD134" s="39">
        <v>221.74809370513472</v>
      </c>
      <c r="CE134" s="52">
        <v>-3.0181877976475278</v>
      </c>
      <c r="CF134" s="39">
        <v>27.670091472880394</v>
      </c>
      <c r="CG134" s="39">
        <v>0</v>
      </c>
      <c r="CH134" s="52">
        <v>-27.670091472880394</v>
      </c>
      <c r="CI134" s="39">
        <v>586.48245555202027</v>
      </c>
      <c r="CJ134" s="39">
        <v>552.68203136787588</v>
      </c>
      <c r="CK134" s="52">
        <v>-33.80042418414439</v>
      </c>
      <c r="CL134" s="39">
        <v>567.76493037482805</v>
      </c>
      <c r="CM134" s="39">
        <v>444.84275254518946</v>
      </c>
      <c r="CN134" s="52">
        <v>-122.9221778296386</v>
      </c>
      <c r="CO134" s="39">
        <v>1154.2473859268484</v>
      </c>
      <c r="CP134" s="40">
        <v>997.52478391306533</v>
      </c>
      <c r="CQ134" s="52">
        <v>-156.7226020137831</v>
      </c>
      <c r="CR134" s="72">
        <v>29618.967728272182</v>
      </c>
      <c r="CS134" s="5">
        <v>20559.350088406041</v>
      </c>
      <c r="CT134" s="52">
        <v>-9059.617639866141</v>
      </c>
      <c r="CU134" s="77">
        <v>35542.761273926619</v>
      </c>
      <c r="CV134" s="65">
        <v>24671.22010608725</v>
      </c>
      <c r="CW134" s="35">
        <v>-10871.541167839368</v>
      </c>
      <c r="CX134" s="39">
        <v>533.1414191088993</v>
      </c>
      <c r="CY134" s="39">
        <v>11404.682586948262</v>
      </c>
      <c r="CZ134" s="52">
        <v>10871.541167839363</v>
      </c>
      <c r="DA134" s="150">
        <v>-62617.222571663966</v>
      </c>
      <c r="DB134" s="2">
        <v>3</v>
      </c>
      <c r="DC134" s="713">
        <v>24235.3</v>
      </c>
      <c r="DD134" s="714"/>
      <c r="DE134" s="715">
        <v>6197.3486534822441</v>
      </c>
      <c r="DF134" s="716">
        <v>0</v>
      </c>
      <c r="DG134" s="717">
        <v>-30740.102413359447</v>
      </c>
      <c r="DH134" s="718">
        <v>174652.60656836405</v>
      </c>
      <c r="DI134" s="718">
        <v>432910.83231642621</v>
      </c>
      <c r="DJ134" s="693">
        <v>368346.27587941062</v>
      </c>
      <c r="DK134" s="724"/>
      <c r="DL134" s="5"/>
      <c r="DM134" s="306">
        <v>4.2390227110725087</v>
      </c>
      <c r="DN134" s="306">
        <v>4.7721578758562746</v>
      </c>
      <c r="DO134" s="306">
        <v>3.4077530996326342</v>
      </c>
      <c r="DP134" s="719">
        <v>18037.951346517755</v>
      </c>
      <c r="DQ134" s="720">
        <v>0</v>
      </c>
      <c r="DR134" s="650">
        <v>18037.951346517755</v>
      </c>
      <c r="DS134" s="94">
        <v>18037.951346517762</v>
      </c>
      <c r="DT134" s="719">
        <v>18057.66</v>
      </c>
      <c r="DU134" s="721"/>
      <c r="DV134" s="93">
        <v>18057.66</v>
      </c>
      <c r="DW134" s="95">
        <v>18091.265488428649</v>
      </c>
      <c r="DX134" s="28">
        <v>-33.605488428649551</v>
      </c>
      <c r="EA134" s="5">
        <v>10417.773150374793</v>
      </c>
      <c r="EB134" s="5">
        <v>0</v>
      </c>
      <c r="EE134" s="722">
        <v>94555.297932406073</v>
      </c>
      <c r="EG134" s="42" t="s">
        <v>362</v>
      </c>
    </row>
    <row r="135" spans="1:137" x14ac:dyDescent="0.3">
      <c r="A135" s="325">
        <v>150000647</v>
      </c>
      <c r="B135" s="41" t="s">
        <v>604</v>
      </c>
      <c r="C135" s="42" t="s">
        <v>97</v>
      </c>
      <c r="D135" s="27">
        <v>1</v>
      </c>
      <c r="E135" s="709">
        <v>278.14999999999998</v>
      </c>
      <c r="F135" s="723">
        <v>278.14999999999998</v>
      </c>
      <c r="G135" s="28"/>
      <c r="H135" s="651">
        <v>0</v>
      </c>
      <c r="I135" s="39">
        <v>0</v>
      </c>
      <c r="J135" s="39">
        <v>0</v>
      </c>
      <c r="K135" s="52">
        <v>0</v>
      </c>
      <c r="L135" s="39">
        <v>0</v>
      </c>
      <c r="M135" s="39">
        <v>0</v>
      </c>
      <c r="N135" s="52">
        <v>0</v>
      </c>
      <c r="O135" s="39">
        <v>0</v>
      </c>
      <c r="P135" s="39">
        <v>0</v>
      </c>
      <c r="Q135" s="52">
        <v>0</v>
      </c>
      <c r="R135" s="39">
        <v>0</v>
      </c>
      <c r="S135" s="39">
        <v>0</v>
      </c>
      <c r="T135" s="52">
        <v>0</v>
      </c>
      <c r="U135" s="39">
        <v>0</v>
      </c>
      <c r="V135" s="39">
        <v>0</v>
      </c>
      <c r="W135" s="52">
        <v>0</v>
      </c>
      <c r="X135" s="39">
        <v>0</v>
      </c>
      <c r="Y135" s="39">
        <v>0</v>
      </c>
      <c r="Z135" s="52">
        <v>0</v>
      </c>
      <c r="AA135" s="39">
        <v>0</v>
      </c>
      <c r="AB135" s="39">
        <v>0</v>
      </c>
      <c r="AC135" s="52">
        <v>0</v>
      </c>
      <c r="AD135" s="39">
        <v>0</v>
      </c>
      <c r="AE135" s="39">
        <v>166.32999869697534</v>
      </c>
      <c r="AF135" s="35">
        <v>166.32999869697534</v>
      </c>
      <c r="AG135" s="77">
        <v>0</v>
      </c>
      <c r="AH135" s="53">
        <v>166.32999869697534</v>
      </c>
      <c r="AI135" s="52">
        <v>166.32999869697534</v>
      </c>
      <c r="AJ135" s="39">
        <v>0</v>
      </c>
      <c r="AK135" s="39">
        <v>0</v>
      </c>
      <c r="AL135" s="52">
        <v>0</v>
      </c>
      <c r="AM135" s="39">
        <v>0</v>
      </c>
      <c r="AN135" s="39">
        <v>0</v>
      </c>
      <c r="AO135" s="52">
        <v>0</v>
      </c>
      <c r="AP135" s="39">
        <v>55.242695835462904</v>
      </c>
      <c r="AQ135" s="39">
        <v>0</v>
      </c>
      <c r="AR135" s="52">
        <v>-55.242695835462904</v>
      </c>
      <c r="AS135" s="39">
        <v>601.84563493808173</v>
      </c>
      <c r="AT135" s="39">
        <v>0</v>
      </c>
      <c r="AU135" s="54">
        <v>-601.84563493808173</v>
      </c>
      <c r="AV135" s="39">
        <v>0</v>
      </c>
      <c r="AW135" s="39">
        <v>0</v>
      </c>
      <c r="AX135" s="55">
        <v>0</v>
      </c>
      <c r="AY135" s="39">
        <v>0</v>
      </c>
      <c r="AZ135" s="39">
        <v>0</v>
      </c>
      <c r="BA135" s="35">
        <v>0</v>
      </c>
      <c r="BB135" s="39">
        <v>0</v>
      </c>
      <c r="BC135" s="39">
        <v>0</v>
      </c>
      <c r="BD135" s="55">
        <v>0</v>
      </c>
      <c r="BE135" s="39">
        <v>0</v>
      </c>
      <c r="BF135" s="39">
        <v>0</v>
      </c>
      <c r="BG135" s="38">
        <v>0</v>
      </c>
      <c r="BH135" s="39">
        <v>0</v>
      </c>
      <c r="BI135" s="39">
        <v>0</v>
      </c>
      <c r="BJ135" s="55">
        <v>0</v>
      </c>
      <c r="BK135" s="39">
        <v>0</v>
      </c>
      <c r="BL135" s="39">
        <v>0</v>
      </c>
      <c r="BM135" s="38">
        <v>0</v>
      </c>
      <c r="BN135" s="39">
        <v>0</v>
      </c>
      <c r="BO135" s="39">
        <v>0</v>
      </c>
      <c r="BP135" s="55">
        <v>0</v>
      </c>
      <c r="BQ135" s="77">
        <v>0</v>
      </c>
      <c r="BR135" s="40">
        <v>0</v>
      </c>
      <c r="BS135" s="55">
        <v>0</v>
      </c>
      <c r="BT135" s="39">
        <v>55.829691759794173</v>
      </c>
      <c r="BU135" s="39">
        <v>24.23719626812537</v>
      </c>
      <c r="BV135" s="52">
        <v>-31.592495491668803</v>
      </c>
      <c r="BW135" s="39">
        <v>0</v>
      </c>
      <c r="BX135" s="39">
        <v>1.125926341331247</v>
      </c>
      <c r="BY135" s="52">
        <v>1.125926341331247</v>
      </c>
      <c r="BZ135" s="39">
        <v>0</v>
      </c>
      <c r="CA135" s="39">
        <v>89.191411995935368</v>
      </c>
      <c r="CB135" s="52">
        <v>89.191411995935368</v>
      </c>
      <c r="CC135" s="39">
        <v>0</v>
      </c>
      <c r="CD135" s="39">
        <v>0</v>
      </c>
      <c r="CE135" s="52">
        <v>0</v>
      </c>
      <c r="CF135" s="39">
        <v>0</v>
      </c>
      <c r="CG135" s="39">
        <v>0</v>
      </c>
      <c r="CH135" s="52">
        <v>0</v>
      </c>
      <c r="CI135" s="39">
        <v>0</v>
      </c>
      <c r="CJ135" s="39">
        <v>0</v>
      </c>
      <c r="CK135" s="52">
        <v>0</v>
      </c>
      <c r="CL135" s="39">
        <v>0</v>
      </c>
      <c r="CM135" s="39">
        <v>0</v>
      </c>
      <c r="CN135" s="52">
        <v>0</v>
      </c>
      <c r="CO135" s="39">
        <v>0</v>
      </c>
      <c r="CP135" s="40">
        <v>0</v>
      </c>
      <c r="CQ135" s="52">
        <v>0</v>
      </c>
      <c r="CR135" s="72">
        <v>712.91802253333879</v>
      </c>
      <c r="CS135" s="5">
        <v>280.88453330236734</v>
      </c>
      <c r="CT135" s="52">
        <v>-432.03348923097144</v>
      </c>
      <c r="CU135" s="77">
        <v>855.5016270400065</v>
      </c>
      <c r="CV135" s="65">
        <v>337.06143996284078</v>
      </c>
      <c r="CW135" s="35">
        <v>-518.44018707716577</v>
      </c>
      <c r="CX135" s="39">
        <v>12.832524405600097</v>
      </c>
      <c r="CY135" s="39">
        <v>531.27271148276589</v>
      </c>
      <c r="CZ135" s="52">
        <v>518.44018707716577</v>
      </c>
      <c r="DA135" s="150">
        <v>-1526.2986507111975</v>
      </c>
      <c r="DB135" s="2">
        <v>3</v>
      </c>
      <c r="DC135" s="713">
        <v>1817.92</v>
      </c>
      <c r="DD135" s="714"/>
      <c r="DE135" s="715">
        <v>1383.7529242771968</v>
      </c>
      <c r="DF135" s="716">
        <v>0</v>
      </c>
      <c r="DG135" s="717">
        <v>1399.6461790112796</v>
      </c>
      <c r="DH135" s="718">
        <v>4713.883177410471</v>
      </c>
      <c r="DI135" s="718">
        <v>10420.00981734728</v>
      </c>
      <c r="DJ135" s="693">
        <v>8993.4781573630771</v>
      </c>
      <c r="DK135" s="724"/>
      <c r="DL135" s="5"/>
      <c r="DM135" s="306">
        <v>1.5609098533985379</v>
      </c>
      <c r="DN135" s="306"/>
      <c r="DO135" s="306">
        <v>1.5609098533985379</v>
      </c>
      <c r="DP135" s="719">
        <v>434.1670757228033</v>
      </c>
      <c r="DQ135" s="720">
        <v>0</v>
      </c>
      <c r="DR135" s="650">
        <v>434.1670757228033</v>
      </c>
      <c r="DS135" s="94">
        <v>434.1670757228033</v>
      </c>
      <c r="DT135" s="719">
        <v>434.16</v>
      </c>
      <c r="DU135" s="721"/>
      <c r="DV135" s="93">
        <v>434.16</v>
      </c>
      <c r="DW135" s="95">
        <v>435.45032816336334</v>
      </c>
      <c r="DX135" s="28">
        <v>-1.2903281633633128</v>
      </c>
      <c r="EA135" s="5">
        <v>722.2147619256981</v>
      </c>
      <c r="EB135" s="5">
        <v>0</v>
      </c>
      <c r="EE135" s="722">
        <v>7222.1476192569808</v>
      </c>
      <c r="EG135" s="42" t="s">
        <v>97</v>
      </c>
    </row>
    <row r="136" spans="1:137" x14ac:dyDescent="0.3">
      <c r="A136" s="325">
        <v>150000686</v>
      </c>
      <c r="B136" s="41" t="s">
        <v>605</v>
      </c>
      <c r="C136" s="42" t="s">
        <v>98</v>
      </c>
      <c r="D136" s="27">
        <v>1</v>
      </c>
      <c r="E136" s="709">
        <v>214.9</v>
      </c>
      <c r="F136" s="723">
        <v>214.9</v>
      </c>
      <c r="G136" s="28"/>
      <c r="H136" s="651">
        <v>0</v>
      </c>
      <c r="I136" s="39">
        <v>0</v>
      </c>
      <c r="J136" s="39">
        <v>0</v>
      </c>
      <c r="K136" s="52">
        <v>0</v>
      </c>
      <c r="L136" s="39">
        <v>0</v>
      </c>
      <c r="M136" s="39">
        <v>0</v>
      </c>
      <c r="N136" s="52">
        <v>0</v>
      </c>
      <c r="O136" s="39">
        <v>0</v>
      </c>
      <c r="P136" s="39">
        <v>0</v>
      </c>
      <c r="Q136" s="52">
        <v>0</v>
      </c>
      <c r="R136" s="39">
        <v>0</v>
      </c>
      <c r="S136" s="39">
        <v>0</v>
      </c>
      <c r="T136" s="52">
        <v>0</v>
      </c>
      <c r="U136" s="39">
        <v>0</v>
      </c>
      <c r="V136" s="39">
        <v>0</v>
      </c>
      <c r="W136" s="52">
        <v>0</v>
      </c>
      <c r="X136" s="39">
        <v>0</v>
      </c>
      <c r="Y136" s="39">
        <v>0</v>
      </c>
      <c r="Z136" s="52">
        <v>0</v>
      </c>
      <c r="AA136" s="39">
        <v>0</v>
      </c>
      <c r="AB136" s="39">
        <v>0</v>
      </c>
      <c r="AC136" s="52">
        <v>0</v>
      </c>
      <c r="AD136" s="39">
        <v>0</v>
      </c>
      <c r="AE136" s="39">
        <v>128.50734035585117</v>
      </c>
      <c r="AF136" s="35">
        <v>128.50734035585117</v>
      </c>
      <c r="AG136" s="77">
        <v>0</v>
      </c>
      <c r="AH136" s="53">
        <v>128.50734035585117</v>
      </c>
      <c r="AI136" s="52">
        <v>128.50734035585117</v>
      </c>
      <c r="AJ136" s="39">
        <v>0</v>
      </c>
      <c r="AK136" s="39">
        <v>0</v>
      </c>
      <c r="AL136" s="52">
        <v>0</v>
      </c>
      <c r="AM136" s="39">
        <v>0</v>
      </c>
      <c r="AN136" s="39">
        <v>0</v>
      </c>
      <c r="AO136" s="52">
        <v>0</v>
      </c>
      <c r="AP136" s="39">
        <v>47.350882144682487</v>
      </c>
      <c r="AQ136" s="39">
        <v>0</v>
      </c>
      <c r="AR136" s="52">
        <v>-47.350882144682487</v>
      </c>
      <c r="AS136" s="39">
        <v>363.18261367780133</v>
      </c>
      <c r="AT136" s="39">
        <v>0</v>
      </c>
      <c r="AU136" s="54">
        <v>-363.18261367780133</v>
      </c>
      <c r="AV136" s="39">
        <v>0</v>
      </c>
      <c r="AW136" s="39">
        <v>0</v>
      </c>
      <c r="AX136" s="55">
        <v>0</v>
      </c>
      <c r="AY136" s="39">
        <v>0</v>
      </c>
      <c r="AZ136" s="39">
        <v>0</v>
      </c>
      <c r="BA136" s="35">
        <v>0</v>
      </c>
      <c r="BB136" s="39">
        <v>0</v>
      </c>
      <c r="BC136" s="39">
        <v>0</v>
      </c>
      <c r="BD136" s="55">
        <v>0</v>
      </c>
      <c r="BE136" s="39">
        <v>0</v>
      </c>
      <c r="BF136" s="39">
        <v>0</v>
      </c>
      <c r="BG136" s="38">
        <v>0</v>
      </c>
      <c r="BH136" s="39">
        <v>0</v>
      </c>
      <c r="BI136" s="39">
        <v>0</v>
      </c>
      <c r="BJ136" s="55">
        <v>0</v>
      </c>
      <c r="BK136" s="39">
        <v>0</v>
      </c>
      <c r="BL136" s="39">
        <v>0</v>
      </c>
      <c r="BM136" s="38">
        <v>0</v>
      </c>
      <c r="BN136" s="39">
        <v>0</v>
      </c>
      <c r="BO136" s="39">
        <v>0</v>
      </c>
      <c r="BP136" s="55">
        <v>0</v>
      </c>
      <c r="BQ136" s="77">
        <v>0</v>
      </c>
      <c r="BR136" s="40">
        <v>0</v>
      </c>
      <c r="BS136" s="55">
        <v>0</v>
      </c>
      <c r="BT136" s="39">
        <v>0</v>
      </c>
      <c r="BU136" s="39">
        <v>0</v>
      </c>
      <c r="BV136" s="52">
        <v>0</v>
      </c>
      <c r="BW136" s="39">
        <v>0</v>
      </c>
      <c r="BX136" s="39">
        <v>0.86989599407544482</v>
      </c>
      <c r="BY136" s="52">
        <v>0.86989599407544482</v>
      </c>
      <c r="BZ136" s="39">
        <v>0</v>
      </c>
      <c r="CA136" s="39">
        <v>0</v>
      </c>
      <c r="CB136" s="52">
        <v>0</v>
      </c>
      <c r="CC136" s="39">
        <v>0</v>
      </c>
      <c r="CD136" s="39">
        <v>0</v>
      </c>
      <c r="CE136" s="52">
        <v>0</v>
      </c>
      <c r="CF136" s="39">
        <v>0</v>
      </c>
      <c r="CG136" s="39">
        <v>0</v>
      </c>
      <c r="CH136" s="52">
        <v>0</v>
      </c>
      <c r="CI136" s="39">
        <v>0</v>
      </c>
      <c r="CJ136" s="39">
        <v>0</v>
      </c>
      <c r="CK136" s="52">
        <v>0</v>
      </c>
      <c r="CL136" s="39">
        <v>0</v>
      </c>
      <c r="CM136" s="39">
        <v>0</v>
      </c>
      <c r="CN136" s="52">
        <v>0</v>
      </c>
      <c r="CO136" s="39">
        <v>0</v>
      </c>
      <c r="CP136" s="40">
        <v>0</v>
      </c>
      <c r="CQ136" s="52">
        <v>0</v>
      </c>
      <c r="CR136" s="72">
        <v>410.53349582248381</v>
      </c>
      <c r="CS136" s="5">
        <v>129.37723634992662</v>
      </c>
      <c r="CT136" s="52">
        <v>-281.15625947255717</v>
      </c>
      <c r="CU136" s="77">
        <v>492.64019498698053</v>
      </c>
      <c r="CV136" s="65">
        <v>155.25268361991195</v>
      </c>
      <c r="CW136" s="35">
        <v>-337.38751136706856</v>
      </c>
      <c r="CX136" s="39">
        <v>9.8528038997396106</v>
      </c>
      <c r="CY136" s="39">
        <v>347.24031526680824</v>
      </c>
      <c r="CZ136" s="52">
        <v>337.38751136706861</v>
      </c>
      <c r="DA136" s="150">
        <v>-3291.3573865311064</v>
      </c>
      <c r="DB136" s="2">
        <v>3</v>
      </c>
      <c r="DC136" s="713">
        <v>251.23</v>
      </c>
      <c r="DD136" s="714"/>
      <c r="DE136" s="715">
        <v>-1.649944336006115E-2</v>
      </c>
      <c r="DF136" s="716">
        <v>0</v>
      </c>
      <c r="DG136" s="717">
        <v>-882.31038002638059</v>
      </c>
      <c r="DH136" s="718">
        <v>2875.2525843824951</v>
      </c>
      <c r="DI136" s="718">
        <v>6029.9159866406417</v>
      </c>
      <c r="DJ136" s="693">
        <v>5241.2501360761053</v>
      </c>
      <c r="DK136" s="724"/>
      <c r="DL136" s="5"/>
      <c r="DM136" s="306">
        <v>1.1691321519002329</v>
      </c>
      <c r="DN136" s="306"/>
      <c r="DO136" s="306">
        <v>1.1691321519002329</v>
      </c>
      <c r="DP136" s="719">
        <v>251.24649944336005</v>
      </c>
      <c r="DQ136" s="720">
        <v>0</v>
      </c>
      <c r="DR136" s="650">
        <v>251.24649944336005</v>
      </c>
      <c r="DS136" s="94">
        <v>251.24649944336011</v>
      </c>
      <c r="DT136" s="719">
        <v>251.23</v>
      </c>
      <c r="DU136" s="721"/>
      <c r="DV136" s="93">
        <v>251.23</v>
      </c>
      <c r="DW136" s="95">
        <v>252.23177983333406</v>
      </c>
      <c r="DX136" s="28">
        <v>-1.0017798333340693</v>
      </c>
      <c r="EA136" s="5">
        <v>435.8191364133616</v>
      </c>
      <c r="EB136" s="5">
        <v>0</v>
      </c>
      <c r="EE136" s="722">
        <v>4358.1913641336159</v>
      </c>
      <c r="EG136" s="42" t="s">
        <v>98</v>
      </c>
    </row>
    <row r="137" spans="1:137" x14ac:dyDescent="0.3">
      <c r="A137" s="325">
        <v>150000796</v>
      </c>
      <c r="B137" s="41" t="s">
        <v>606</v>
      </c>
      <c r="C137" s="42" t="s">
        <v>99</v>
      </c>
      <c r="D137" s="27">
        <v>1</v>
      </c>
      <c r="E137" s="709">
        <v>181.38</v>
      </c>
      <c r="F137" s="723">
        <v>181.38</v>
      </c>
      <c r="G137" s="28"/>
      <c r="H137" s="651">
        <v>0</v>
      </c>
      <c r="I137" s="39">
        <v>0</v>
      </c>
      <c r="J137" s="39">
        <v>0</v>
      </c>
      <c r="K137" s="52">
        <v>0</v>
      </c>
      <c r="L137" s="39">
        <v>0</v>
      </c>
      <c r="M137" s="39">
        <v>0</v>
      </c>
      <c r="N137" s="52">
        <v>0</v>
      </c>
      <c r="O137" s="39">
        <v>28.1</v>
      </c>
      <c r="P137" s="39">
        <v>28.08</v>
      </c>
      <c r="Q137" s="52">
        <v>-2.0000000000003126E-2</v>
      </c>
      <c r="R137" s="39">
        <v>0</v>
      </c>
      <c r="S137" s="39">
        <v>0</v>
      </c>
      <c r="T137" s="52">
        <v>0</v>
      </c>
      <c r="U137" s="39">
        <v>0</v>
      </c>
      <c r="V137" s="39">
        <v>0</v>
      </c>
      <c r="W137" s="52">
        <v>0</v>
      </c>
      <c r="X137" s="39">
        <v>0</v>
      </c>
      <c r="Y137" s="39">
        <v>0</v>
      </c>
      <c r="Z137" s="52">
        <v>0</v>
      </c>
      <c r="AA137" s="39">
        <v>0</v>
      </c>
      <c r="AB137" s="39">
        <v>0</v>
      </c>
      <c r="AC137" s="52">
        <v>0</v>
      </c>
      <c r="AD137" s="39">
        <v>0</v>
      </c>
      <c r="AE137" s="39">
        <v>108.46282640178821</v>
      </c>
      <c r="AF137" s="35">
        <v>108.46282640178821</v>
      </c>
      <c r="AG137" s="77">
        <v>28.1</v>
      </c>
      <c r="AH137" s="53">
        <v>136.5428264017882</v>
      </c>
      <c r="AI137" s="52">
        <v>108.44282640178821</v>
      </c>
      <c r="AJ137" s="39">
        <v>0</v>
      </c>
      <c r="AK137" s="39">
        <v>0</v>
      </c>
      <c r="AL137" s="52">
        <v>0</v>
      </c>
      <c r="AM137" s="39">
        <v>0</v>
      </c>
      <c r="AN137" s="39">
        <v>0</v>
      </c>
      <c r="AO137" s="52">
        <v>0</v>
      </c>
      <c r="AP137" s="39">
        <v>11.837720536170622</v>
      </c>
      <c r="AQ137" s="39">
        <v>0</v>
      </c>
      <c r="AR137" s="52">
        <v>-11.837720536170622</v>
      </c>
      <c r="AS137" s="39">
        <v>376.0473934711996</v>
      </c>
      <c r="AT137" s="39">
        <v>0</v>
      </c>
      <c r="AU137" s="54">
        <v>-376.0473934711996</v>
      </c>
      <c r="AV137" s="39">
        <v>0</v>
      </c>
      <c r="AW137" s="39">
        <v>0</v>
      </c>
      <c r="AX137" s="55">
        <v>0</v>
      </c>
      <c r="AY137" s="39">
        <v>0</v>
      </c>
      <c r="AZ137" s="39">
        <v>0</v>
      </c>
      <c r="BA137" s="35">
        <v>0</v>
      </c>
      <c r="BB137" s="39">
        <v>10.841388784924442</v>
      </c>
      <c r="BC137" s="39">
        <v>0</v>
      </c>
      <c r="BD137" s="55">
        <v>-10.841388784924442</v>
      </c>
      <c r="BE137" s="39">
        <v>0</v>
      </c>
      <c r="BF137" s="39">
        <v>0</v>
      </c>
      <c r="BG137" s="38">
        <v>0</v>
      </c>
      <c r="BH137" s="39">
        <v>0</v>
      </c>
      <c r="BI137" s="39">
        <v>0</v>
      </c>
      <c r="BJ137" s="55">
        <v>0</v>
      </c>
      <c r="BK137" s="39">
        <v>0</v>
      </c>
      <c r="BL137" s="39">
        <v>0</v>
      </c>
      <c r="BM137" s="38">
        <v>0</v>
      </c>
      <c r="BN137" s="39">
        <v>0</v>
      </c>
      <c r="BO137" s="39">
        <v>0</v>
      </c>
      <c r="BP137" s="55">
        <v>0</v>
      </c>
      <c r="BQ137" s="77">
        <v>10.841388784924442</v>
      </c>
      <c r="BR137" s="40">
        <v>0</v>
      </c>
      <c r="BS137" s="55">
        <v>-10.841388784924442</v>
      </c>
      <c r="BT137" s="39">
        <v>0</v>
      </c>
      <c r="BU137" s="39">
        <v>0</v>
      </c>
      <c r="BV137" s="52">
        <v>0</v>
      </c>
      <c r="BW137" s="39">
        <v>0</v>
      </c>
      <c r="BX137" s="39">
        <v>0.73421002980644112</v>
      </c>
      <c r="BY137" s="52">
        <v>0.73421002980644112</v>
      </c>
      <c r="BZ137" s="39">
        <v>0</v>
      </c>
      <c r="CA137" s="39">
        <v>0</v>
      </c>
      <c r="CB137" s="52">
        <v>0</v>
      </c>
      <c r="CC137" s="39">
        <v>0</v>
      </c>
      <c r="CD137" s="39">
        <v>0</v>
      </c>
      <c r="CE137" s="52">
        <v>0</v>
      </c>
      <c r="CF137" s="39">
        <v>0</v>
      </c>
      <c r="CG137" s="39">
        <v>0</v>
      </c>
      <c r="CH137" s="52">
        <v>0</v>
      </c>
      <c r="CI137" s="39">
        <v>0</v>
      </c>
      <c r="CJ137" s="39">
        <v>0</v>
      </c>
      <c r="CK137" s="52">
        <v>0</v>
      </c>
      <c r="CL137" s="39">
        <v>0</v>
      </c>
      <c r="CM137" s="39">
        <v>0</v>
      </c>
      <c r="CN137" s="52">
        <v>0</v>
      </c>
      <c r="CO137" s="39">
        <v>0</v>
      </c>
      <c r="CP137" s="40">
        <v>0</v>
      </c>
      <c r="CQ137" s="52">
        <v>0</v>
      </c>
      <c r="CR137" s="72">
        <v>426.82650279229466</v>
      </c>
      <c r="CS137" s="5">
        <v>137.27703643159464</v>
      </c>
      <c r="CT137" s="52">
        <v>-289.54946636070002</v>
      </c>
      <c r="CU137" s="77">
        <v>512.19180335075362</v>
      </c>
      <c r="CV137" s="65">
        <v>164.73244371791355</v>
      </c>
      <c r="CW137" s="35">
        <v>-347.45935963284006</v>
      </c>
      <c r="CX137" s="39">
        <v>10.243836067015073</v>
      </c>
      <c r="CY137" s="39">
        <v>357.70319569985509</v>
      </c>
      <c r="CZ137" s="52">
        <v>347.45935963284001</v>
      </c>
      <c r="DA137" s="150">
        <v>-1843.0840336111332</v>
      </c>
      <c r="DB137" s="2">
        <v>3</v>
      </c>
      <c r="DC137" s="713">
        <v>280.08999999999997</v>
      </c>
      <c r="DD137" s="714"/>
      <c r="DE137" s="715">
        <v>18.872180291115626</v>
      </c>
      <c r="DF137" s="716">
        <v>0</v>
      </c>
      <c r="DG137" s="717">
        <v>-306.36276734271399</v>
      </c>
      <c r="DH137" s="718">
        <v>2590.7423546002906</v>
      </c>
      <c r="DI137" s="718">
        <v>6269.2276730132244</v>
      </c>
      <c r="DJ137" s="693">
        <v>5349.6063434099906</v>
      </c>
      <c r="DK137" s="724"/>
      <c r="DL137" s="5"/>
      <c r="DM137" s="306">
        <v>1.440168815243601</v>
      </c>
      <c r="DN137" s="306"/>
      <c r="DO137" s="306">
        <v>1.440168815243601</v>
      </c>
      <c r="DP137" s="719">
        <v>261.21781970888435</v>
      </c>
      <c r="DQ137" s="720">
        <v>0</v>
      </c>
      <c r="DR137" s="650">
        <v>261.21781970888435</v>
      </c>
      <c r="DS137" s="94">
        <v>261.21781970888435</v>
      </c>
      <c r="DT137" s="719">
        <v>280.08999999999997</v>
      </c>
      <c r="DU137" s="721"/>
      <c r="DV137" s="93">
        <v>280.08999999999997</v>
      </c>
      <c r="DW137" s="95">
        <v>262.24220331558581</v>
      </c>
      <c r="DX137" s="28">
        <v>17.847796684414163</v>
      </c>
      <c r="EA137" s="5">
        <v>464.26653870734884</v>
      </c>
      <c r="EB137" s="5">
        <v>0</v>
      </c>
      <c r="EE137" s="722">
        <v>4512.5687216543956</v>
      </c>
      <c r="EG137" s="42" t="s">
        <v>99</v>
      </c>
    </row>
    <row r="138" spans="1:137" x14ac:dyDescent="0.3">
      <c r="A138" s="325">
        <v>150001008</v>
      </c>
      <c r="B138" s="41" t="s">
        <v>607</v>
      </c>
      <c r="C138" s="42" t="s">
        <v>212</v>
      </c>
      <c r="D138" s="27">
        <v>4</v>
      </c>
      <c r="E138" s="709">
        <v>1485.6</v>
      </c>
      <c r="F138" s="723">
        <v>1440.1</v>
      </c>
      <c r="G138" s="28"/>
      <c r="H138" s="651">
        <v>45.5</v>
      </c>
      <c r="I138" s="39">
        <v>865.13584529854973</v>
      </c>
      <c r="J138" s="39">
        <v>930.17954400746407</v>
      </c>
      <c r="K138" s="52">
        <v>65.043698708914349</v>
      </c>
      <c r="L138" s="39">
        <v>151.89314510575448</v>
      </c>
      <c r="M138" s="39">
        <v>165.03996964411078</v>
      </c>
      <c r="N138" s="52">
        <v>13.146824538356299</v>
      </c>
      <c r="O138" s="39">
        <v>355.74</v>
      </c>
      <c r="P138" s="39">
        <v>355.74</v>
      </c>
      <c r="Q138" s="52">
        <v>0</v>
      </c>
      <c r="R138" s="39">
        <v>0</v>
      </c>
      <c r="S138" s="39">
        <v>0</v>
      </c>
      <c r="T138" s="52">
        <v>0</v>
      </c>
      <c r="U138" s="39">
        <v>0</v>
      </c>
      <c r="V138" s="39">
        <v>0</v>
      </c>
      <c r="W138" s="52">
        <v>0</v>
      </c>
      <c r="X138" s="39">
        <v>501.10049208695614</v>
      </c>
      <c r="Y138" s="39">
        <v>292.7385175850041</v>
      </c>
      <c r="Z138" s="52">
        <v>-208.36197450195203</v>
      </c>
      <c r="AA138" s="39">
        <v>0</v>
      </c>
      <c r="AB138" s="39">
        <v>0</v>
      </c>
      <c r="AC138" s="52">
        <v>0</v>
      </c>
      <c r="AD138" s="39">
        <v>1058.6958876213164</v>
      </c>
      <c r="AE138" s="39">
        <v>888.36903132923453</v>
      </c>
      <c r="AF138" s="35">
        <v>-170.32685629208186</v>
      </c>
      <c r="AG138" s="77">
        <v>2932.5653701125766</v>
      </c>
      <c r="AH138" s="53">
        <v>2632.0670625658131</v>
      </c>
      <c r="AI138" s="52">
        <v>-300.4983075467635</v>
      </c>
      <c r="AJ138" s="39">
        <v>0</v>
      </c>
      <c r="AK138" s="39">
        <v>0</v>
      </c>
      <c r="AL138" s="52">
        <v>0</v>
      </c>
      <c r="AM138" s="39">
        <v>0</v>
      </c>
      <c r="AN138" s="39">
        <v>0</v>
      </c>
      <c r="AO138" s="52">
        <v>0</v>
      </c>
      <c r="AP138" s="39">
        <v>733.9386732425786</v>
      </c>
      <c r="AQ138" s="39">
        <v>1890.1621908430791</v>
      </c>
      <c r="AR138" s="52">
        <v>1156.2235176005006</v>
      </c>
      <c r="AS138" s="39">
        <v>2437.5860038463184</v>
      </c>
      <c r="AT138" s="39">
        <v>972.7941800878275</v>
      </c>
      <c r="AU138" s="54">
        <v>-1464.7918237584909</v>
      </c>
      <c r="AV138" s="39">
        <v>143.40667600346097</v>
      </c>
      <c r="AW138" s="39">
        <v>0</v>
      </c>
      <c r="AX138" s="55">
        <v>-143.40667600346097</v>
      </c>
      <c r="AY138" s="39">
        <v>195.76233491122258</v>
      </c>
      <c r="AZ138" s="39">
        <v>0</v>
      </c>
      <c r="BA138" s="35">
        <v>-195.76233491122258</v>
      </c>
      <c r="BB138" s="39">
        <v>195.83071739750042</v>
      </c>
      <c r="BC138" s="39">
        <v>0</v>
      </c>
      <c r="BD138" s="55">
        <v>-195.83071739750042</v>
      </c>
      <c r="BE138" s="39">
        <v>0</v>
      </c>
      <c r="BF138" s="39">
        <v>0</v>
      </c>
      <c r="BG138" s="38">
        <v>0</v>
      </c>
      <c r="BH138" s="39">
        <v>0</v>
      </c>
      <c r="BI138" s="39">
        <v>0</v>
      </c>
      <c r="BJ138" s="55">
        <v>0</v>
      </c>
      <c r="BK138" s="39">
        <v>58.242111861801746</v>
      </c>
      <c r="BL138" s="39">
        <v>0</v>
      </c>
      <c r="BM138" s="38">
        <v>-58.242111861801746</v>
      </c>
      <c r="BN138" s="39">
        <v>0</v>
      </c>
      <c r="BO138" s="39">
        <v>0</v>
      </c>
      <c r="BP138" s="55">
        <v>0</v>
      </c>
      <c r="BQ138" s="77">
        <v>593.24184017398568</v>
      </c>
      <c r="BR138" s="40">
        <v>0</v>
      </c>
      <c r="BS138" s="55">
        <v>-593.24184017398568</v>
      </c>
      <c r="BT138" s="39">
        <v>4523.2235593910427</v>
      </c>
      <c r="BU138" s="39">
        <v>752.25657256451109</v>
      </c>
      <c r="BV138" s="52">
        <v>-3770.9669868265319</v>
      </c>
      <c r="BW138" s="39">
        <v>1590.6871427887886</v>
      </c>
      <c r="BX138" s="39">
        <v>1116.7810174361032</v>
      </c>
      <c r="BY138" s="52">
        <v>-473.90612535268542</v>
      </c>
      <c r="BZ138" s="39">
        <v>1152.8566188084644</v>
      </c>
      <c r="CA138" s="39">
        <v>4222.9449157294748</v>
      </c>
      <c r="CB138" s="52">
        <v>3070.0882969210106</v>
      </c>
      <c r="CC138" s="39">
        <v>98.534400397075743</v>
      </c>
      <c r="CD138" s="39">
        <v>97.211268996144113</v>
      </c>
      <c r="CE138" s="52">
        <v>-1.3231314009316293</v>
      </c>
      <c r="CF138" s="39">
        <v>12.13018186706425</v>
      </c>
      <c r="CG138" s="39">
        <v>0</v>
      </c>
      <c r="CH138" s="52">
        <v>-12.13018186706425</v>
      </c>
      <c r="CI138" s="39">
        <v>271.40411506928592</v>
      </c>
      <c r="CJ138" s="39">
        <v>324.80378498776997</v>
      </c>
      <c r="CK138" s="52">
        <v>53.399669918484051</v>
      </c>
      <c r="CL138" s="39">
        <v>0</v>
      </c>
      <c r="CM138" s="39">
        <v>0</v>
      </c>
      <c r="CN138" s="52">
        <v>0</v>
      </c>
      <c r="CO138" s="39">
        <v>271.40411506928592</v>
      </c>
      <c r="CP138" s="40">
        <v>324.80378498776997</v>
      </c>
      <c r="CQ138" s="52">
        <v>53.399669918484051</v>
      </c>
      <c r="CR138" s="72">
        <v>14346.167905697181</v>
      </c>
      <c r="CS138" s="5">
        <v>12009.020993210723</v>
      </c>
      <c r="CT138" s="52">
        <v>-2337.1469124864579</v>
      </c>
      <c r="CU138" s="77">
        <v>17215.401486836618</v>
      </c>
      <c r="CV138" s="65">
        <v>14410.825191852868</v>
      </c>
      <c r="CW138" s="35">
        <v>-2804.5762949837499</v>
      </c>
      <c r="CX138" s="39">
        <v>258.23102230254926</v>
      </c>
      <c r="CY138" s="39">
        <v>3062.8073172862996</v>
      </c>
      <c r="CZ138" s="52">
        <v>2804.5762949837504</v>
      </c>
      <c r="DA138" s="150">
        <v>34453.54697693621</v>
      </c>
      <c r="DB138" s="2">
        <v>2</v>
      </c>
      <c r="DC138" s="713">
        <v>20887.830000000002</v>
      </c>
      <c r="DD138" s="714">
        <v>10532.58</v>
      </c>
      <c r="DE138" s="715">
        <v>12388.929735064108</v>
      </c>
      <c r="DF138" s="716">
        <v>10294.66401036631</v>
      </c>
      <c r="DG138" s="717">
        <v>-15532.775413154919</v>
      </c>
      <c r="DH138" s="718">
        <v>83901.395719353153</v>
      </c>
      <c r="DI138" s="718">
        <v>209683.59010967001</v>
      </c>
      <c r="DJ138" s="693">
        <v>178238.0415120908</v>
      </c>
      <c r="DK138" s="724"/>
      <c r="DL138" s="5"/>
      <c r="DM138" s="306">
        <v>5.9016042392444232</v>
      </c>
      <c r="DN138" s="306"/>
      <c r="DO138" s="306">
        <v>5.2289228490920916</v>
      </c>
      <c r="DP138" s="719">
        <v>8498.9002649358936</v>
      </c>
      <c r="DQ138" s="720">
        <v>237.91598963369017</v>
      </c>
      <c r="DR138" s="650">
        <v>8736.8162545695832</v>
      </c>
      <c r="DS138" s="94">
        <v>8736.8162545695832</v>
      </c>
      <c r="DT138" s="719">
        <v>8498.91</v>
      </c>
      <c r="DU138" s="725">
        <v>235.3</v>
      </c>
      <c r="DV138" s="93">
        <v>8734.2099999999991</v>
      </c>
      <c r="DW138" s="95">
        <v>8762.6393567998366</v>
      </c>
      <c r="DX138" s="28">
        <v>-28.429356799837478</v>
      </c>
      <c r="EA138" s="5">
        <v>3636.9934128243644</v>
      </c>
      <c r="EB138" s="5">
        <v>1167.353016105393</v>
      </c>
      <c r="EE138" s="722">
        <v>29251.032046155822</v>
      </c>
      <c r="EG138" s="42" t="s">
        <v>212</v>
      </c>
    </row>
    <row r="139" spans="1:137" x14ac:dyDescent="0.3">
      <c r="A139" s="325">
        <v>150001033</v>
      </c>
      <c r="B139" s="41" t="s">
        <v>608</v>
      </c>
      <c r="C139" s="42" t="s">
        <v>363</v>
      </c>
      <c r="D139" s="27">
        <v>9</v>
      </c>
      <c r="E139" s="709">
        <v>4024.2</v>
      </c>
      <c r="F139" s="723">
        <v>4024.2</v>
      </c>
      <c r="G139" s="28">
        <v>446.8</v>
      </c>
      <c r="H139" s="651">
        <v>0</v>
      </c>
      <c r="I139" s="39">
        <v>1901.7003311699566</v>
      </c>
      <c r="J139" s="39">
        <v>1428.1504368855688</v>
      </c>
      <c r="K139" s="52">
        <v>-473.54989428438785</v>
      </c>
      <c r="L139" s="39">
        <v>324.64784090836838</v>
      </c>
      <c r="M139" s="39">
        <v>169.48305968430486</v>
      </c>
      <c r="N139" s="52">
        <v>-155.16478122406352</v>
      </c>
      <c r="O139" s="39">
        <v>991.6</v>
      </c>
      <c r="P139" s="39">
        <v>991.6</v>
      </c>
      <c r="Q139" s="52">
        <v>0</v>
      </c>
      <c r="R139" s="39">
        <v>199.04</v>
      </c>
      <c r="S139" s="39">
        <v>199.04</v>
      </c>
      <c r="T139" s="52">
        <v>0</v>
      </c>
      <c r="U139" s="39">
        <v>130.00964065633656</v>
      </c>
      <c r="V139" s="39">
        <v>31.392560627001728</v>
      </c>
      <c r="W139" s="52">
        <v>-98.617080029334829</v>
      </c>
      <c r="X139" s="39">
        <v>1492.6457810054089</v>
      </c>
      <c r="Y139" s="39">
        <v>1037.6821144990906</v>
      </c>
      <c r="Z139" s="52">
        <v>-454.9636665063183</v>
      </c>
      <c r="AA139" s="39">
        <v>0</v>
      </c>
      <c r="AB139" s="39">
        <v>0</v>
      </c>
      <c r="AC139" s="52">
        <v>0</v>
      </c>
      <c r="AD139" s="39">
        <v>2867.8002093199393</v>
      </c>
      <c r="AE139" s="39">
        <v>2406.4180505352087</v>
      </c>
      <c r="AF139" s="35">
        <v>-461.38215878473056</v>
      </c>
      <c r="AG139" s="77">
        <v>7907.4438030600095</v>
      </c>
      <c r="AH139" s="53">
        <v>6263.7662222311747</v>
      </c>
      <c r="AI139" s="52">
        <v>-1643.6775808288348</v>
      </c>
      <c r="AJ139" s="39">
        <v>6913.0950965152351</v>
      </c>
      <c r="AK139" s="39">
        <v>6820.2432671123333</v>
      </c>
      <c r="AL139" s="52">
        <v>-92.851829402901785</v>
      </c>
      <c r="AM139" s="39">
        <v>0</v>
      </c>
      <c r="AN139" s="39">
        <v>0</v>
      </c>
      <c r="AO139" s="52">
        <v>0</v>
      </c>
      <c r="AP139" s="39">
        <v>552.42695835462905</v>
      </c>
      <c r="AQ139" s="39">
        <v>2992.6033019828214</v>
      </c>
      <c r="AR139" s="52">
        <v>2440.1763436281926</v>
      </c>
      <c r="AS139" s="39">
        <v>12409.802417133933</v>
      </c>
      <c r="AT139" s="39">
        <v>916.20019696306395</v>
      </c>
      <c r="AU139" s="54">
        <v>-11493.602220170869</v>
      </c>
      <c r="AV139" s="39">
        <v>161.43598939048366</v>
      </c>
      <c r="AW139" s="39">
        <v>0</v>
      </c>
      <c r="AX139" s="55">
        <v>-161.43598939048366</v>
      </c>
      <c r="AY139" s="39">
        <v>216.85252149748126</v>
      </c>
      <c r="AZ139" s="39">
        <v>0</v>
      </c>
      <c r="BA139" s="35">
        <v>-216.85252149748126</v>
      </c>
      <c r="BB139" s="39">
        <v>245.14168481353812</v>
      </c>
      <c r="BC139" s="39">
        <v>0</v>
      </c>
      <c r="BD139" s="55">
        <v>-245.14168481353812</v>
      </c>
      <c r="BE139" s="39">
        <v>99.504095214135731</v>
      </c>
      <c r="BF139" s="39">
        <v>0</v>
      </c>
      <c r="BG139" s="38">
        <v>-99.504095214135731</v>
      </c>
      <c r="BH139" s="39">
        <v>65.961235315382794</v>
      </c>
      <c r="BI139" s="39">
        <v>0</v>
      </c>
      <c r="BJ139" s="55">
        <v>-65.961235315382794</v>
      </c>
      <c r="BK139" s="39">
        <v>143.99064936730142</v>
      </c>
      <c r="BL139" s="39">
        <v>0</v>
      </c>
      <c r="BM139" s="38">
        <v>-143.99064936730142</v>
      </c>
      <c r="BN139" s="39">
        <v>65.815575516818669</v>
      </c>
      <c r="BO139" s="39">
        <v>0</v>
      </c>
      <c r="BP139" s="55">
        <v>-65.815575516818669</v>
      </c>
      <c r="BQ139" s="77">
        <v>998.70175111514152</v>
      </c>
      <c r="BR139" s="40">
        <v>0</v>
      </c>
      <c r="BS139" s="55">
        <v>-998.70175111514152</v>
      </c>
      <c r="BT139" s="39">
        <v>8208.7246994349371</v>
      </c>
      <c r="BU139" s="39">
        <v>1933.7453184992335</v>
      </c>
      <c r="BV139" s="52">
        <v>-6274.9793809357034</v>
      </c>
      <c r="BW139" s="39">
        <v>8106.6637301468609</v>
      </c>
      <c r="BX139" s="39">
        <v>8005.3377110760412</v>
      </c>
      <c r="BY139" s="52">
        <v>-101.32601907081971</v>
      </c>
      <c r="BZ139" s="39">
        <v>1081.9920435125903</v>
      </c>
      <c r="CA139" s="39">
        <v>8007.8831580577516</v>
      </c>
      <c r="CB139" s="52">
        <v>6925.8911145451611</v>
      </c>
      <c r="CC139" s="39">
        <v>187.90167001094099</v>
      </c>
      <c r="CD139" s="39">
        <v>185.37850450856737</v>
      </c>
      <c r="CE139" s="52">
        <v>-2.5231655023736153</v>
      </c>
      <c r="CF139" s="39">
        <v>23.131834376346898</v>
      </c>
      <c r="CG139" s="39">
        <v>0</v>
      </c>
      <c r="CH139" s="52">
        <v>-23.131834376346898</v>
      </c>
      <c r="CI139" s="39">
        <v>1060.6597600408875</v>
      </c>
      <c r="CJ139" s="39">
        <v>3268.974081448433</v>
      </c>
      <c r="CK139" s="52">
        <v>2208.3143214075453</v>
      </c>
      <c r="CL139" s="39">
        <v>1157.3669734563805</v>
      </c>
      <c r="CM139" s="39">
        <v>1908.6255275659601</v>
      </c>
      <c r="CN139" s="52">
        <v>751.25855410957956</v>
      </c>
      <c r="CO139" s="39">
        <v>2218.0267334972677</v>
      </c>
      <c r="CP139" s="40">
        <v>5177.5996090143926</v>
      </c>
      <c r="CQ139" s="52">
        <v>2959.5728755171249</v>
      </c>
      <c r="CR139" s="72">
        <v>48607.910737157887</v>
      </c>
      <c r="CS139" s="5">
        <v>40302.757289445377</v>
      </c>
      <c r="CT139" s="52">
        <v>-8305.1534477125097</v>
      </c>
      <c r="CU139" s="77">
        <v>58329.492884589461</v>
      </c>
      <c r="CV139" s="65">
        <v>48363.308747334449</v>
      </c>
      <c r="CW139" s="35">
        <v>-9966.1841372550116</v>
      </c>
      <c r="CX139" s="39">
        <v>1458.2373221147366</v>
      </c>
      <c r="CY139" s="39">
        <v>11424.42145936974</v>
      </c>
      <c r="CZ139" s="52">
        <v>9966.1841372550025</v>
      </c>
      <c r="DA139" s="150">
        <v>-53604.038341958672</v>
      </c>
      <c r="DB139" s="2">
        <v>1</v>
      </c>
      <c r="DC139" s="713">
        <v>47549.57</v>
      </c>
      <c r="DD139" s="714"/>
      <c r="DE139" s="715">
        <v>17655.704896647905</v>
      </c>
      <c r="DF139" s="716">
        <v>0</v>
      </c>
      <c r="DG139" s="717">
        <v>-31978.134733191691</v>
      </c>
      <c r="DH139" s="718">
        <v>286449.44105010066</v>
      </c>
      <c r="DI139" s="718">
        <v>717452.76248045033</v>
      </c>
      <c r="DJ139" s="693">
        <v>609701.9321228629</v>
      </c>
      <c r="DK139" s="724"/>
      <c r="DL139" s="5"/>
      <c r="DM139" s="306">
        <v>6.1951520626011511</v>
      </c>
      <c r="DN139" s="306">
        <v>7.5825658751556722</v>
      </c>
      <c r="DO139" s="306">
        <v>4.9562478843693736</v>
      </c>
      <c r="DP139" s="719">
        <v>29893.865103352095</v>
      </c>
      <c r="DQ139" s="720">
        <v>0</v>
      </c>
      <c r="DR139" s="650">
        <v>29893.865103352095</v>
      </c>
      <c r="DS139" s="94">
        <v>29893.865103352102</v>
      </c>
      <c r="DT139" s="719">
        <v>29894</v>
      </c>
      <c r="DU139" s="721"/>
      <c r="DV139" s="93">
        <v>29894</v>
      </c>
      <c r="DW139" s="95">
        <v>30039.688835563571</v>
      </c>
      <c r="DX139" s="28">
        <v>-145.68883556357105</v>
      </c>
      <c r="EA139" s="5">
        <v>16090.205001898888</v>
      </c>
      <c r="EB139" s="5">
        <v>1099.4402363556767</v>
      </c>
      <c r="EE139" s="722">
        <v>148917.62900560719</v>
      </c>
      <c r="EG139" s="42" t="s">
        <v>363</v>
      </c>
    </row>
    <row r="140" spans="1:137" x14ac:dyDescent="0.3">
      <c r="A140" s="325">
        <v>150001009</v>
      </c>
      <c r="B140" s="41" t="s">
        <v>609</v>
      </c>
      <c r="C140" s="42" t="s">
        <v>213</v>
      </c>
      <c r="D140" s="27">
        <v>4</v>
      </c>
      <c r="E140" s="709">
        <v>1485</v>
      </c>
      <c r="F140" s="723">
        <v>1399.9</v>
      </c>
      <c r="G140" s="28"/>
      <c r="H140" s="651">
        <v>85.1</v>
      </c>
      <c r="I140" s="39">
        <v>855.53261713107736</v>
      </c>
      <c r="J140" s="39">
        <v>919.83139198981189</v>
      </c>
      <c r="K140" s="52">
        <v>64.298774858734532</v>
      </c>
      <c r="L140" s="39">
        <v>151.89314510575448</v>
      </c>
      <c r="M140" s="39">
        <v>165.03996964411078</v>
      </c>
      <c r="N140" s="52">
        <v>13.146824538356299</v>
      </c>
      <c r="O140" s="39">
        <v>355.74</v>
      </c>
      <c r="P140" s="39">
        <v>355.74</v>
      </c>
      <c r="Q140" s="52">
        <v>0</v>
      </c>
      <c r="R140" s="39">
        <v>0</v>
      </c>
      <c r="S140" s="39">
        <v>0</v>
      </c>
      <c r="T140" s="52">
        <v>0</v>
      </c>
      <c r="U140" s="39">
        <v>0</v>
      </c>
      <c r="V140" s="39">
        <v>0</v>
      </c>
      <c r="W140" s="52">
        <v>0</v>
      </c>
      <c r="X140" s="39">
        <v>501.10049208695614</v>
      </c>
      <c r="Y140" s="39">
        <v>292.73625965793178</v>
      </c>
      <c r="Z140" s="52">
        <v>-208.36423242902436</v>
      </c>
      <c r="AA140" s="39">
        <v>0</v>
      </c>
      <c r="AB140" s="39">
        <v>0</v>
      </c>
      <c r="AC140" s="52">
        <v>0</v>
      </c>
      <c r="AD140" s="39">
        <v>1058.2683044679961</v>
      </c>
      <c r="AE140" s="39">
        <v>888.01023931335033</v>
      </c>
      <c r="AF140" s="35">
        <v>-170.25806515464581</v>
      </c>
      <c r="AG140" s="77">
        <v>2922.5345587917841</v>
      </c>
      <c r="AH140" s="53">
        <v>2621.3578606052047</v>
      </c>
      <c r="AI140" s="52">
        <v>-301.17669818657942</v>
      </c>
      <c r="AJ140" s="39">
        <v>0</v>
      </c>
      <c r="AK140" s="39">
        <v>0</v>
      </c>
      <c r="AL140" s="52">
        <v>0</v>
      </c>
      <c r="AM140" s="39">
        <v>0</v>
      </c>
      <c r="AN140" s="39">
        <v>0</v>
      </c>
      <c r="AO140" s="52">
        <v>0</v>
      </c>
      <c r="AP140" s="39">
        <v>710.2632321702373</v>
      </c>
      <c r="AQ140" s="39">
        <v>1750.1501767065547</v>
      </c>
      <c r="AR140" s="52">
        <v>1039.8869445363175</v>
      </c>
      <c r="AS140" s="39">
        <v>3067.072911326195</v>
      </c>
      <c r="AT140" s="39">
        <v>0</v>
      </c>
      <c r="AU140" s="54">
        <v>-3067.072911326195</v>
      </c>
      <c r="AV140" s="39">
        <v>142.83996650654154</v>
      </c>
      <c r="AW140" s="39">
        <v>0</v>
      </c>
      <c r="AX140" s="55">
        <v>-142.83996650654154</v>
      </c>
      <c r="AY140" s="39">
        <v>195.76233491122258</v>
      </c>
      <c r="AZ140" s="39">
        <v>0</v>
      </c>
      <c r="BA140" s="35">
        <v>-195.76233491122258</v>
      </c>
      <c r="BB140" s="39">
        <v>185.89456253896032</v>
      </c>
      <c r="BC140" s="39">
        <v>0</v>
      </c>
      <c r="BD140" s="55">
        <v>-185.89456253896032</v>
      </c>
      <c r="BE140" s="39">
        <v>0</v>
      </c>
      <c r="BF140" s="39">
        <v>0</v>
      </c>
      <c r="BG140" s="38">
        <v>0</v>
      </c>
      <c r="BH140" s="39">
        <v>0</v>
      </c>
      <c r="BI140" s="39">
        <v>0</v>
      </c>
      <c r="BJ140" s="55">
        <v>0</v>
      </c>
      <c r="BK140" s="39">
        <v>58.242111861801746</v>
      </c>
      <c r="BL140" s="39">
        <v>0</v>
      </c>
      <c r="BM140" s="38">
        <v>-58.242111861801746</v>
      </c>
      <c r="BN140" s="39">
        <v>0</v>
      </c>
      <c r="BO140" s="39">
        <v>0</v>
      </c>
      <c r="BP140" s="55">
        <v>0</v>
      </c>
      <c r="BQ140" s="77">
        <v>582.73897581852611</v>
      </c>
      <c r="BR140" s="40">
        <v>0</v>
      </c>
      <c r="BS140" s="55">
        <v>-582.73897581852611</v>
      </c>
      <c r="BT140" s="39">
        <v>1729.1826723157401</v>
      </c>
      <c r="BU140" s="39">
        <v>412.34947575219775</v>
      </c>
      <c r="BV140" s="52">
        <v>-1316.8331965635423</v>
      </c>
      <c r="BW140" s="39">
        <v>1345.5072202328861</v>
      </c>
      <c r="BX140" s="39">
        <v>943.62421280570675</v>
      </c>
      <c r="BY140" s="52">
        <v>-401.88300742717934</v>
      </c>
      <c r="BZ140" s="39">
        <v>1030.5202036674464</v>
      </c>
      <c r="CA140" s="39">
        <v>2273.4001578663115</v>
      </c>
      <c r="CB140" s="52">
        <v>1242.8799541988651</v>
      </c>
      <c r="CC140" s="39">
        <v>102.94638847455676</v>
      </c>
      <c r="CD140" s="39">
        <v>101.56401238403116</v>
      </c>
      <c r="CE140" s="52">
        <v>-1.3823760905255966</v>
      </c>
      <c r="CF140" s="39">
        <v>12.673324338723843</v>
      </c>
      <c r="CG140" s="39">
        <v>0</v>
      </c>
      <c r="CH140" s="52">
        <v>-12.673324338723843</v>
      </c>
      <c r="CI140" s="39">
        <v>489.77524213652754</v>
      </c>
      <c r="CJ140" s="39">
        <v>598.82410193293038</v>
      </c>
      <c r="CK140" s="52">
        <v>109.04885979640284</v>
      </c>
      <c r="CL140" s="39">
        <v>0</v>
      </c>
      <c r="CM140" s="39">
        <v>0</v>
      </c>
      <c r="CN140" s="52">
        <v>0</v>
      </c>
      <c r="CO140" s="39">
        <v>489.77524213652754</v>
      </c>
      <c r="CP140" s="40">
        <v>598.82410193293038</v>
      </c>
      <c r="CQ140" s="52">
        <v>109.04885979640284</v>
      </c>
      <c r="CR140" s="72">
        <v>11993.214729272624</v>
      </c>
      <c r="CS140" s="5">
        <v>8701.2699980529378</v>
      </c>
      <c r="CT140" s="52">
        <v>-3291.9447312196862</v>
      </c>
      <c r="CU140" s="77">
        <v>14391.857675127148</v>
      </c>
      <c r="CV140" s="65">
        <v>10441.523997663526</v>
      </c>
      <c r="CW140" s="35">
        <v>-3950.3336774636227</v>
      </c>
      <c r="CX140" s="39">
        <v>359.79644187817871</v>
      </c>
      <c r="CY140" s="39">
        <v>4310.130119341803</v>
      </c>
      <c r="CZ140" s="52">
        <v>3950.3336774636246</v>
      </c>
      <c r="DA140" s="150">
        <v>-3836.9537266619818</v>
      </c>
      <c r="DB140" s="2">
        <v>2</v>
      </c>
      <c r="DC140" s="713">
        <v>13768.42</v>
      </c>
      <c r="DD140" s="714">
        <v>1377.3400000000001</v>
      </c>
      <c r="DE140" s="715">
        <v>6767.8547220002702</v>
      </c>
      <c r="DF140" s="716">
        <v>1002.0782194970653</v>
      </c>
      <c r="DG140" s="717">
        <v>17028.179363848605</v>
      </c>
      <c r="DH140" s="718">
        <v>70638.717955828906</v>
      </c>
      <c r="DI140" s="718">
        <v>177019.84940406395</v>
      </c>
      <c r="DJ140" s="693">
        <v>150424.5665420052</v>
      </c>
      <c r="DK140" s="724"/>
      <c r="DL140" s="5"/>
      <c r="DM140" s="306">
        <v>5.0007609672117503</v>
      </c>
      <c r="DN140" s="306"/>
      <c r="DO140" s="306">
        <v>4.4096566451578711</v>
      </c>
      <c r="DP140" s="719">
        <v>7000.5652779997299</v>
      </c>
      <c r="DQ140" s="720">
        <v>375.26178050293481</v>
      </c>
      <c r="DR140" s="650">
        <v>7375.8270585026648</v>
      </c>
      <c r="DS140" s="94">
        <v>7375.827058502663</v>
      </c>
      <c r="DT140" s="719">
        <v>7000.61</v>
      </c>
      <c r="DU140" s="725">
        <v>375.26</v>
      </c>
      <c r="DV140" s="93">
        <v>7375.87</v>
      </c>
      <c r="DW140" s="95">
        <v>7411.8067026904819</v>
      </c>
      <c r="DX140" s="28">
        <v>-35.93670269048198</v>
      </c>
      <c r="EA140" s="5">
        <v>4379.7742645736653</v>
      </c>
      <c r="EB140" s="5">
        <v>0</v>
      </c>
      <c r="EE140" s="722">
        <v>36804.87493591434</v>
      </c>
      <c r="EG140" s="42" t="s">
        <v>213</v>
      </c>
    </row>
    <row r="141" spans="1:137" x14ac:dyDescent="0.3">
      <c r="A141" s="325">
        <v>150001010</v>
      </c>
      <c r="B141" s="41" t="s">
        <v>610</v>
      </c>
      <c r="C141" s="42" t="s">
        <v>165</v>
      </c>
      <c r="D141" s="27">
        <v>2</v>
      </c>
      <c r="E141" s="709">
        <v>744.59999999999991</v>
      </c>
      <c r="F141" s="723">
        <v>539.29999999999995</v>
      </c>
      <c r="G141" s="28"/>
      <c r="H141" s="651">
        <v>205.3</v>
      </c>
      <c r="I141" s="39">
        <v>542.49523897892993</v>
      </c>
      <c r="J141" s="39">
        <v>579.05001812208388</v>
      </c>
      <c r="K141" s="52">
        <v>36.554779143153951</v>
      </c>
      <c r="L141" s="39">
        <v>115.89283842765819</v>
      </c>
      <c r="M141" s="39">
        <v>125.92335346222734</v>
      </c>
      <c r="N141" s="52">
        <v>10.030515034569149</v>
      </c>
      <c r="O141" s="39">
        <v>169.16</v>
      </c>
      <c r="P141" s="39">
        <v>169.16</v>
      </c>
      <c r="Q141" s="52">
        <v>0</v>
      </c>
      <c r="R141" s="39">
        <v>0</v>
      </c>
      <c r="S141" s="39">
        <v>0</v>
      </c>
      <c r="T141" s="52">
        <v>0</v>
      </c>
      <c r="U141" s="39">
        <v>0</v>
      </c>
      <c r="V141" s="39">
        <v>0</v>
      </c>
      <c r="W141" s="52">
        <v>0</v>
      </c>
      <c r="X141" s="39">
        <v>337.02213023549615</v>
      </c>
      <c r="Y141" s="39">
        <v>213.64448426561177</v>
      </c>
      <c r="Z141" s="52">
        <v>-123.37764596988438</v>
      </c>
      <c r="AA141" s="39">
        <v>0</v>
      </c>
      <c r="AB141" s="39">
        <v>0</v>
      </c>
      <c r="AC141" s="52">
        <v>0</v>
      </c>
      <c r="AD141" s="39">
        <v>530.63069327061942</v>
      </c>
      <c r="AE141" s="39">
        <v>445.26089171226977</v>
      </c>
      <c r="AF141" s="35">
        <v>-85.36980155834965</v>
      </c>
      <c r="AG141" s="77">
        <v>1695.2009009127037</v>
      </c>
      <c r="AH141" s="53">
        <v>1533.0387475621928</v>
      </c>
      <c r="AI141" s="52">
        <v>-162.16215335051083</v>
      </c>
      <c r="AJ141" s="39">
        <v>0</v>
      </c>
      <c r="AK141" s="39">
        <v>0</v>
      </c>
      <c r="AL141" s="52">
        <v>0</v>
      </c>
      <c r="AM141" s="39">
        <v>0</v>
      </c>
      <c r="AN141" s="39">
        <v>0</v>
      </c>
      <c r="AO141" s="52">
        <v>0</v>
      </c>
      <c r="AP141" s="39">
        <v>260.42985179575368</v>
      </c>
      <c r="AQ141" s="39">
        <v>701.39139890222373</v>
      </c>
      <c r="AR141" s="52">
        <v>440.96154710647005</v>
      </c>
      <c r="AS141" s="39">
        <v>1508.1134669330793</v>
      </c>
      <c r="AT141" s="39">
        <v>0</v>
      </c>
      <c r="AU141" s="54">
        <v>-1508.1134669330793</v>
      </c>
      <c r="AV141" s="39">
        <v>95.899640838670678</v>
      </c>
      <c r="AW141" s="39">
        <v>0</v>
      </c>
      <c r="AX141" s="55">
        <v>-95.899640838670678</v>
      </c>
      <c r="AY141" s="39">
        <v>149.39035559607422</v>
      </c>
      <c r="AZ141" s="39">
        <v>0</v>
      </c>
      <c r="BA141" s="35">
        <v>-149.39035559607422</v>
      </c>
      <c r="BB141" s="39">
        <v>75.981484148226926</v>
      </c>
      <c r="BC141" s="39">
        <v>0</v>
      </c>
      <c r="BD141" s="55">
        <v>-75.981484148226926</v>
      </c>
      <c r="BE141" s="39">
        <v>0</v>
      </c>
      <c r="BF141" s="39">
        <v>0</v>
      </c>
      <c r="BG141" s="38">
        <v>0</v>
      </c>
      <c r="BH141" s="39">
        <v>0</v>
      </c>
      <c r="BI141" s="39">
        <v>0</v>
      </c>
      <c r="BJ141" s="55">
        <v>0</v>
      </c>
      <c r="BK141" s="39">
        <v>40.779527065714653</v>
      </c>
      <c r="BL141" s="39">
        <v>0</v>
      </c>
      <c r="BM141" s="38">
        <v>-40.779527065714653</v>
      </c>
      <c r="BN141" s="39">
        <v>0</v>
      </c>
      <c r="BO141" s="39">
        <v>0</v>
      </c>
      <c r="BP141" s="55">
        <v>0</v>
      </c>
      <c r="BQ141" s="77">
        <v>362.05100764868649</v>
      </c>
      <c r="BR141" s="40">
        <v>0</v>
      </c>
      <c r="BS141" s="55">
        <v>-362.05100764868649</v>
      </c>
      <c r="BT141" s="39">
        <v>1493.6013114539403</v>
      </c>
      <c r="BU141" s="39">
        <v>353.70254236044957</v>
      </c>
      <c r="BV141" s="52">
        <v>-1139.8987690934907</v>
      </c>
      <c r="BW141" s="39">
        <v>836.432635961188</v>
      </c>
      <c r="BX141" s="39">
        <v>609.88040520495883</v>
      </c>
      <c r="BY141" s="52">
        <v>-226.55223075622916</v>
      </c>
      <c r="BZ141" s="39">
        <v>815.63176666774837</v>
      </c>
      <c r="CA141" s="39">
        <v>1782.572208065129</v>
      </c>
      <c r="CB141" s="52">
        <v>966.9404413973806</v>
      </c>
      <c r="CC141" s="39">
        <v>51.473194237278378</v>
      </c>
      <c r="CD141" s="39">
        <v>50.782006192015579</v>
      </c>
      <c r="CE141" s="52">
        <v>-0.69118804526279831</v>
      </c>
      <c r="CF141" s="39">
        <v>6.3366621693619214</v>
      </c>
      <c r="CG141" s="39">
        <v>0</v>
      </c>
      <c r="CH141" s="52">
        <v>-6.3366621693619214</v>
      </c>
      <c r="CI141" s="39">
        <v>140.38143882894101</v>
      </c>
      <c r="CJ141" s="39">
        <v>346.37982711563404</v>
      </c>
      <c r="CK141" s="52">
        <v>205.99838828669303</v>
      </c>
      <c r="CL141" s="39">
        <v>0</v>
      </c>
      <c r="CM141" s="39">
        <v>0</v>
      </c>
      <c r="CN141" s="52">
        <v>0</v>
      </c>
      <c r="CO141" s="39">
        <v>140.38143882894101</v>
      </c>
      <c r="CP141" s="40">
        <v>346.37982711563404</v>
      </c>
      <c r="CQ141" s="52">
        <v>205.99838828669303</v>
      </c>
      <c r="CR141" s="72">
        <v>7169.652236608682</v>
      </c>
      <c r="CS141" s="5">
        <v>5377.7471354026038</v>
      </c>
      <c r="CT141" s="52">
        <v>-1791.9051012060781</v>
      </c>
      <c r="CU141" s="77">
        <v>8603.5826839304173</v>
      </c>
      <c r="CV141" s="65">
        <v>6453.296562483124</v>
      </c>
      <c r="CW141" s="35">
        <v>-2150.2861214472932</v>
      </c>
      <c r="CX141" s="39">
        <v>0</v>
      </c>
      <c r="CY141" s="39">
        <v>2150.2861214472937</v>
      </c>
      <c r="CZ141" s="52">
        <v>2150.2861214472937</v>
      </c>
      <c r="DA141" s="150">
        <v>16708.091721558721</v>
      </c>
      <c r="DB141" s="2">
        <v>2</v>
      </c>
      <c r="DC141" s="713">
        <v>3785.12</v>
      </c>
      <c r="DD141" s="714">
        <v>1046.93</v>
      </c>
      <c r="DE141" s="715">
        <v>531.04016811773272</v>
      </c>
      <c r="DF141" s="716">
        <v>-0.78151008294139501</v>
      </c>
      <c r="DG141" s="717">
        <v>15440.620681751672</v>
      </c>
      <c r="DH141" s="718">
        <v>42814.024995961925</v>
      </c>
      <c r="DI141" s="718">
        <v>103242.99220716501</v>
      </c>
      <c r="DJ141" s="693">
        <v>88135.75040436424</v>
      </c>
      <c r="DK141" s="724"/>
      <c r="DL141" s="5"/>
      <c r="DM141" s="306">
        <v>6.0338954791067447</v>
      </c>
      <c r="DN141" s="306"/>
      <c r="DO141" s="306">
        <v>5.1033195815048291</v>
      </c>
      <c r="DP141" s="719">
        <v>3254.0798318822672</v>
      </c>
      <c r="DQ141" s="720">
        <v>1047.7115100829415</v>
      </c>
      <c r="DR141" s="650">
        <v>4301.7913419652086</v>
      </c>
      <c r="DS141" s="94">
        <v>4301.7913419652086</v>
      </c>
      <c r="DT141" s="719">
        <v>3254.07</v>
      </c>
      <c r="DU141" s="725">
        <v>1047.71</v>
      </c>
      <c r="DV141" s="93">
        <v>4301.7800000000007</v>
      </c>
      <c r="DW141" s="95">
        <v>4301.7913419652086</v>
      </c>
      <c r="DX141" s="28">
        <v>-1.1341965207975591E-2</v>
      </c>
      <c r="EA141" s="5">
        <v>2244.1973694981189</v>
      </c>
      <c r="EB141" s="5">
        <v>0</v>
      </c>
      <c r="EE141" s="722">
        <v>18097.36160319695</v>
      </c>
      <c r="EG141" s="42" t="s">
        <v>165</v>
      </c>
    </row>
    <row r="142" spans="1:137" x14ac:dyDescent="0.3">
      <c r="A142" s="325">
        <v>150001011</v>
      </c>
      <c r="B142" s="41" t="s">
        <v>611</v>
      </c>
      <c r="C142" s="42" t="s">
        <v>166</v>
      </c>
      <c r="D142" s="27">
        <v>2</v>
      </c>
      <c r="E142" s="709">
        <v>422.9</v>
      </c>
      <c r="F142" s="723">
        <v>422.9</v>
      </c>
      <c r="G142" s="28"/>
      <c r="H142" s="651">
        <v>0</v>
      </c>
      <c r="I142" s="39">
        <v>351.57862051750493</v>
      </c>
      <c r="J142" s="39">
        <v>375.52619461084794</v>
      </c>
      <c r="K142" s="52">
        <v>23.947574093343007</v>
      </c>
      <c r="L142" s="39">
        <v>55.924551659938601</v>
      </c>
      <c r="M142" s="39">
        <v>60.764716096240775</v>
      </c>
      <c r="N142" s="52">
        <v>4.8401644363021745</v>
      </c>
      <c r="O142" s="39">
        <v>94.72</v>
      </c>
      <c r="P142" s="39">
        <v>94.72</v>
      </c>
      <c r="Q142" s="52">
        <v>0</v>
      </c>
      <c r="R142" s="39">
        <v>0</v>
      </c>
      <c r="S142" s="39">
        <v>0</v>
      </c>
      <c r="T142" s="52">
        <v>0</v>
      </c>
      <c r="U142" s="39">
        <v>0</v>
      </c>
      <c r="V142" s="39">
        <v>0</v>
      </c>
      <c r="W142" s="52">
        <v>0</v>
      </c>
      <c r="X142" s="39">
        <v>160.71800817894464</v>
      </c>
      <c r="Y142" s="39">
        <v>95.089790933110194</v>
      </c>
      <c r="Z142" s="52">
        <v>-65.628217245834449</v>
      </c>
      <c r="AA142" s="39">
        <v>0</v>
      </c>
      <c r="AB142" s="39">
        <v>0</v>
      </c>
      <c r="AC142" s="52">
        <v>0</v>
      </c>
      <c r="AD142" s="39">
        <v>301.37485923199699</v>
      </c>
      <c r="AE142" s="39">
        <v>252.88857252903426</v>
      </c>
      <c r="AF142" s="35">
        <v>-48.48628670296273</v>
      </c>
      <c r="AG142" s="77">
        <v>964.31603958838514</v>
      </c>
      <c r="AH142" s="53">
        <v>878.98927416923311</v>
      </c>
      <c r="AI142" s="52">
        <v>-85.326765419152025</v>
      </c>
      <c r="AJ142" s="39">
        <v>0</v>
      </c>
      <c r="AK142" s="39">
        <v>0</v>
      </c>
      <c r="AL142" s="52">
        <v>0</v>
      </c>
      <c r="AM142" s="39">
        <v>0</v>
      </c>
      <c r="AN142" s="39">
        <v>0</v>
      </c>
      <c r="AO142" s="52">
        <v>0</v>
      </c>
      <c r="AP142" s="39">
        <v>189.40352857872995</v>
      </c>
      <c r="AQ142" s="39">
        <v>350.69569945111186</v>
      </c>
      <c r="AR142" s="52">
        <v>161.29217087238192</v>
      </c>
      <c r="AS142" s="39">
        <v>1015.0315248158872</v>
      </c>
      <c r="AT142" s="39">
        <v>0</v>
      </c>
      <c r="AU142" s="54">
        <v>-1015.0315248158872</v>
      </c>
      <c r="AV142" s="39">
        <v>59.085306560631935</v>
      </c>
      <c r="AW142" s="39">
        <v>0</v>
      </c>
      <c r="AX142" s="55">
        <v>-59.085306560631935</v>
      </c>
      <c r="AY142" s="39">
        <v>72.08773375891468</v>
      </c>
      <c r="AZ142" s="39">
        <v>0</v>
      </c>
      <c r="BA142" s="35">
        <v>-72.08773375891468</v>
      </c>
      <c r="BB142" s="39">
        <v>44.209091793188861</v>
      </c>
      <c r="BC142" s="39">
        <v>0</v>
      </c>
      <c r="BD142" s="55">
        <v>-44.209091793188861</v>
      </c>
      <c r="BE142" s="39">
        <v>0</v>
      </c>
      <c r="BF142" s="39">
        <v>0</v>
      </c>
      <c r="BG142" s="38">
        <v>0</v>
      </c>
      <c r="BH142" s="39">
        <v>0</v>
      </c>
      <c r="BI142" s="39">
        <v>0</v>
      </c>
      <c r="BJ142" s="55">
        <v>0</v>
      </c>
      <c r="BK142" s="39">
        <v>13.131198850039331</v>
      </c>
      <c r="BL142" s="39">
        <v>0</v>
      </c>
      <c r="BM142" s="38">
        <v>-13.131198850039331</v>
      </c>
      <c r="BN142" s="39">
        <v>0</v>
      </c>
      <c r="BO142" s="39">
        <v>0</v>
      </c>
      <c r="BP142" s="55">
        <v>0</v>
      </c>
      <c r="BQ142" s="77">
        <v>188.5133309627748</v>
      </c>
      <c r="BR142" s="40">
        <v>0</v>
      </c>
      <c r="BS142" s="55">
        <v>-188.5133309627748</v>
      </c>
      <c r="BT142" s="39">
        <v>1100.0539151582304</v>
      </c>
      <c r="BU142" s="39">
        <v>183.30841933206497</v>
      </c>
      <c r="BV142" s="52">
        <v>-916.74549582616544</v>
      </c>
      <c r="BW142" s="39">
        <v>546.9711536846462</v>
      </c>
      <c r="BX142" s="39">
        <v>397.17373514314403</v>
      </c>
      <c r="BY142" s="52">
        <v>-149.79741854150217</v>
      </c>
      <c r="BZ142" s="39">
        <v>151.74840017694066</v>
      </c>
      <c r="CA142" s="39">
        <v>915.73395573478911</v>
      </c>
      <c r="CB142" s="52">
        <v>763.98555555784844</v>
      </c>
      <c r="CC142" s="39">
        <v>0</v>
      </c>
      <c r="CD142" s="39">
        <v>0</v>
      </c>
      <c r="CE142" s="52">
        <v>0</v>
      </c>
      <c r="CF142" s="39">
        <v>0</v>
      </c>
      <c r="CG142" s="39">
        <v>0</v>
      </c>
      <c r="CH142" s="52">
        <v>0</v>
      </c>
      <c r="CI142" s="39">
        <v>124.78350118128091</v>
      </c>
      <c r="CJ142" s="39">
        <v>104.64463343018996</v>
      </c>
      <c r="CK142" s="52">
        <v>-20.138867751090956</v>
      </c>
      <c r="CL142" s="39">
        <v>0</v>
      </c>
      <c r="CM142" s="39">
        <v>0</v>
      </c>
      <c r="CN142" s="52">
        <v>0</v>
      </c>
      <c r="CO142" s="39">
        <v>124.78350118128091</v>
      </c>
      <c r="CP142" s="40">
        <v>104.64463343018996</v>
      </c>
      <c r="CQ142" s="52">
        <v>-20.138867751090956</v>
      </c>
      <c r="CR142" s="72">
        <v>4280.8213941468757</v>
      </c>
      <c r="CS142" s="5">
        <v>2830.5457172605329</v>
      </c>
      <c r="CT142" s="52">
        <v>-1450.2756768863428</v>
      </c>
      <c r="CU142" s="77">
        <v>5136.9856729762505</v>
      </c>
      <c r="CV142" s="65">
        <v>3396.6548607126392</v>
      </c>
      <c r="CW142" s="35">
        <v>-1740.3308122636113</v>
      </c>
      <c r="CX142" s="39">
        <v>0</v>
      </c>
      <c r="CY142" s="39">
        <v>1740.3308122636113</v>
      </c>
      <c r="CZ142" s="52">
        <v>1740.3308122636113</v>
      </c>
      <c r="DA142" s="150">
        <v>9046.4314754591487</v>
      </c>
      <c r="DB142" s="2">
        <v>2</v>
      </c>
      <c r="DC142" s="713">
        <v>9814.4599999999991</v>
      </c>
      <c r="DD142" s="714"/>
      <c r="DE142" s="715">
        <v>7245.9671635118739</v>
      </c>
      <c r="DF142" s="716">
        <v>0</v>
      </c>
      <c r="DG142" s="717">
        <v>-6336.0187503572824</v>
      </c>
      <c r="DH142" s="718">
        <v>24659.077039593329</v>
      </c>
      <c r="DI142" s="718">
        <v>61643.828075715006</v>
      </c>
      <c r="DJ142" s="693">
        <v>52397.640316684585</v>
      </c>
      <c r="DK142" s="724"/>
      <c r="DL142" s="5"/>
      <c r="DM142" s="306">
        <v>6.0735229049139887</v>
      </c>
      <c r="DN142" s="306"/>
      <c r="DO142" s="306">
        <v>5.2974938384425112</v>
      </c>
      <c r="DP142" s="719">
        <v>2568.4928364881257</v>
      </c>
      <c r="DQ142" s="720">
        <v>0</v>
      </c>
      <c r="DR142" s="650">
        <v>2568.4928364881257</v>
      </c>
      <c r="DS142" s="94">
        <v>2568.4928364881248</v>
      </c>
      <c r="DT142" s="719">
        <v>2568.48</v>
      </c>
      <c r="DU142" s="721"/>
      <c r="DV142" s="93">
        <v>2568.48</v>
      </c>
      <c r="DW142" s="95">
        <v>2568.4928364881252</v>
      </c>
      <c r="DX142" s="28">
        <v>-1.2836488125230971E-2</v>
      </c>
      <c r="EA142" s="5">
        <v>1444.2538269343943</v>
      </c>
      <c r="EB142" s="5">
        <v>0</v>
      </c>
      <c r="EE142" s="722">
        <v>12180.378297790647</v>
      </c>
      <c r="EG142" s="42" t="s">
        <v>166</v>
      </c>
    </row>
    <row r="143" spans="1:137" x14ac:dyDescent="0.3">
      <c r="A143" s="391">
        <v>150001013</v>
      </c>
      <c r="B143" s="41" t="s">
        <v>612</v>
      </c>
      <c r="C143" s="42" t="s">
        <v>261</v>
      </c>
      <c r="D143" s="27">
        <v>5</v>
      </c>
      <c r="E143" s="709">
        <v>3476.23</v>
      </c>
      <c r="F143" s="723">
        <v>2612.75</v>
      </c>
      <c r="G143" s="28"/>
      <c r="H143" s="651">
        <v>863.48</v>
      </c>
      <c r="I143" s="39">
        <v>1865.3122688848102</v>
      </c>
      <c r="J143" s="39">
        <v>2009.2055467712753</v>
      </c>
      <c r="K143" s="52">
        <v>143.89327788646506</v>
      </c>
      <c r="L143" s="39">
        <v>380.52254474762248</v>
      </c>
      <c r="M143" s="39">
        <v>413.4572746019345</v>
      </c>
      <c r="N143" s="52">
        <v>32.934729854312025</v>
      </c>
      <c r="O143" s="39">
        <v>820.52</v>
      </c>
      <c r="P143" s="39">
        <v>820.52</v>
      </c>
      <c r="Q143" s="52">
        <v>0</v>
      </c>
      <c r="R143" s="39">
        <v>0</v>
      </c>
      <c r="S143" s="39">
        <v>0</v>
      </c>
      <c r="T143" s="52">
        <v>0</v>
      </c>
      <c r="U143" s="39">
        <v>0</v>
      </c>
      <c r="V143" s="39">
        <v>0</v>
      </c>
      <c r="W143" s="52">
        <v>0</v>
      </c>
      <c r="X143" s="39">
        <v>1250.9767379709051</v>
      </c>
      <c r="Y143" s="39">
        <v>790.95718544620354</v>
      </c>
      <c r="Z143" s="52">
        <v>-460.01955252470157</v>
      </c>
      <c r="AA143" s="39">
        <v>0</v>
      </c>
      <c r="AB143" s="39">
        <v>0</v>
      </c>
      <c r="AC143" s="52">
        <v>0</v>
      </c>
      <c r="AD143" s="39">
        <v>2477.2956417783043</v>
      </c>
      <c r="AE143" s="39">
        <v>2078.7392822951165</v>
      </c>
      <c r="AF143" s="35">
        <v>-398.55635948318786</v>
      </c>
      <c r="AG143" s="77">
        <v>6794.6271933816424</v>
      </c>
      <c r="AH143" s="53">
        <v>6112.8792891145295</v>
      </c>
      <c r="AI143" s="52">
        <v>-681.74790426711297</v>
      </c>
      <c r="AJ143" s="39">
        <v>0</v>
      </c>
      <c r="AK143" s="39">
        <v>0</v>
      </c>
      <c r="AL143" s="52">
        <v>0</v>
      </c>
      <c r="AM143" s="39">
        <v>0</v>
      </c>
      <c r="AN143" s="39">
        <v>0</v>
      </c>
      <c r="AO143" s="52">
        <v>0</v>
      </c>
      <c r="AP143" s="39">
        <v>1538.9036697021809</v>
      </c>
      <c r="AQ143" s="39">
        <v>0</v>
      </c>
      <c r="AR143" s="52">
        <v>-1538.9036697021809</v>
      </c>
      <c r="AS143" s="39">
        <v>5434.9303082525867</v>
      </c>
      <c r="AT143" s="39">
        <v>9236</v>
      </c>
      <c r="AU143" s="54">
        <v>3801.0696917474133</v>
      </c>
      <c r="AV143" s="39">
        <v>309.24744506594914</v>
      </c>
      <c r="AW143" s="39">
        <v>0</v>
      </c>
      <c r="AX143" s="55">
        <v>-309.24744506594914</v>
      </c>
      <c r="AY143" s="39">
        <v>490.42556714245251</v>
      </c>
      <c r="AZ143" s="39">
        <v>0</v>
      </c>
      <c r="BA143" s="35">
        <v>-490.42556714245251</v>
      </c>
      <c r="BB143" s="39">
        <v>430.839921178493</v>
      </c>
      <c r="BC143" s="39">
        <v>0</v>
      </c>
      <c r="BD143" s="55">
        <v>-430.839921178493</v>
      </c>
      <c r="BE143" s="39">
        <v>0</v>
      </c>
      <c r="BF143" s="39">
        <v>0</v>
      </c>
      <c r="BG143" s="38">
        <v>0</v>
      </c>
      <c r="BH143" s="39">
        <v>0</v>
      </c>
      <c r="BI143" s="39">
        <v>0</v>
      </c>
      <c r="BJ143" s="55">
        <v>0</v>
      </c>
      <c r="BK143" s="39">
        <v>174.4186197559111</v>
      </c>
      <c r="BL143" s="39">
        <v>0</v>
      </c>
      <c r="BM143" s="38">
        <v>-174.4186197559111</v>
      </c>
      <c r="BN143" s="39">
        <v>0</v>
      </c>
      <c r="BO143" s="39">
        <v>0</v>
      </c>
      <c r="BP143" s="55">
        <v>0</v>
      </c>
      <c r="BQ143" s="77">
        <v>1404.9315531428056</v>
      </c>
      <c r="BR143" s="40">
        <v>0</v>
      </c>
      <c r="BS143" s="55">
        <v>-1404.9315531428056</v>
      </c>
      <c r="BT143" s="39">
        <v>4635.9429891762629</v>
      </c>
      <c r="BU143" s="39">
        <v>1129.0828932069514</v>
      </c>
      <c r="BV143" s="52">
        <v>-3506.8600959693113</v>
      </c>
      <c r="BW143" s="39">
        <v>3429.2911878663831</v>
      </c>
      <c r="BX143" s="39">
        <v>2636.6957331216945</v>
      </c>
      <c r="BY143" s="52">
        <v>-792.5954547446886</v>
      </c>
      <c r="BZ143" s="39">
        <v>2525.226801110196</v>
      </c>
      <c r="CA143" s="39">
        <v>5826.5517930207461</v>
      </c>
      <c r="CB143" s="52">
        <v>3301.3249919105501</v>
      </c>
      <c r="CC143" s="39">
        <v>146.57604835186891</v>
      </c>
      <c r="CD143" s="39">
        <v>144.60780810869198</v>
      </c>
      <c r="CE143" s="52">
        <v>-1.9682402431769219</v>
      </c>
      <c r="CF143" s="39">
        <v>18.044399891802041</v>
      </c>
      <c r="CG143" s="39">
        <v>0</v>
      </c>
      <c r="CH143" s="52">
        <v>-18.044399891802041</v>
      </c>
      <c r="CI143" s="39">
        <v>807.97317014879377</v>
      </c>
      <c r="CJ143" s="39">
        <v>1081.9641110695582</v>
      </c>
      <c r="CK143" s="52">
        <v>273.99094092076439</v>
      </c>
      <c r="CL143" s="39">
        <v>0</v>
      </c>
      <c r="CM143" s="39">
        <v>0</v>
      </c>
      <c r="CN143" s="52">
        <v>0</v>
      </c>
      <c r="CO143" s="39">
        <v>807.97317014879377</v>
      </c>
      <c r="CP143" s="40">
        <v>1081.9641110695582</v>
      </c>
      <c r="CQ143" s="52">
        <v>273.99094092076439</v>
      </c>
      <c r="CR143" s="72">
        <v>26736.44732102452</v>
      </c>
      <c r="CS143" s="5">
        <v>26167.781627642173</v>
      </c>
      <c r="CT143" s="52">
        <v>-568.66569338234694</v>
      </c>
      <c r="CU143" s="77">
        <v>32083.736785229423</v>
      </c>
      <c r="CV143" s="65">
        <v>31401.337953170605</v>
      </c>
      <c r="CW143" s="35">
        <v>-682.39883205881779</v>
      </c>
      <c r="CX143" s="39">
        <v>641.67473570458844</v>
      </c>
      <c r="CY143" s="39">
        <v>1324.0735677634038</v>
      </c>
      <c r="CZ143" s="52">
        <v>682.3988320588154</v>
      </c>
      <c r="DA143" s="150">
        <v>-55963.839328826194</v>
      </c>
      <c r="DB143" s="2">
        <v>2</v>
      </c>
      <c r="DC143" s="713">
        <v>45968.25</v>
      </c>
      <c r="DD143" s="714">
        <v>57126.340000000011</v>
      </c>
      <c r="DE143" s="715">
        <v>33148.653028321409</v>
      </c>
      <c r="DF143" s="716">
        <v>53583.231211211598</v>
      </c>
      <c r="DG143" s="717">
        <v>-32947.733814622618</v>
      </c>
      <c r="DH143" s="718">
        <v>157757.85938783039</v>
      </c>
      <c r="DI143" s="718">
        <v>392704.93825120816</v>
      </c>
      <c r="DJ143" s="693">
        <v>333968.16853536369</v>
      </c>
      <c r="DK143" s="724"/>
      <c r="DL143" s="5"/>
      <c r="DM143" s="306">
        <v>4.9065532376532737</v>
      </c>
      <c r="DN143" s="306"/>
      <c r="DO143" s="306">
        <v>4.1032899300370742</v>
      </c>
      <c r="DP143" s="719">
        <v>12819.596971678591</v>
      </c>
      <c r="DQ143" s="727">
        <v>3543.1087887884128</v>
      </c>
      <c r="DR143" s="650">
        <v>16362.705760467004</v>
      </c>
      <c r="DS143" s="94">
        <v>16362.705760467008</v>
      </c>
      <c r="DT143" s="719">
        <v>12833.21</v>
      </c>
      <c r="DU143" s="728">
        <v>7752.69</v>
      </c>
      <c r="DV143" s="93">
        <v>20585.899999999998</v>
      </c>
      <c r="DW143" s="95">
        <v>16426.873234037466</v>
      </c>
      <c r="DX143" s="28">
        <v>4159.0267659625315</v>
      </c>
      <c r="DY143" s="94"/>
      <c r="EA143" s="5">
        <v>8207.8342336744699</v>
      </c>
      <c r="EB143" s="5">
        <v>11083.199999999999</v>
      </c>
      <c r="EE143" s="722">
        <v>65219.163699031036</v>
      </c>
      <c r="EG143" s="42" t="s">
        <v>261</v>
      </c>
    </row>
    <row r="144" spans="1:137" x14ac:dyDescent="0.3">
      <c r="A144" s="325">
        <v>150001014</v>
      </c>
      <c r="B144" s="41" t="s">
        <v>613</v>
      </c>
      <c r="C144" s="42" t="s">
        <v>167</v>
      </c>
      <c r="D144" s="27">
        <v>2</v>
      </c>
      <c r="E144" s="709">
        <v>339.3</v>
      </c>
      <c r="F144" s="723">
        <v>339.3</v>
      </c>
      <c r="G144" s="28"/>
      <c r="H144" s="651">
        <v>0</v>
      </c>
      <c r="I144" s="39">
        <v>139.34490585054729</v>
      </c>
      <c r="J144" s="39">
        <v>149.43663039928421</v>
      </c>
      <c r="K144" s="52">
        <v>10.09172454873692</v>
      </c>
      <c r="L144" s="39">
        <v>46.89928558546012</v>
      </c>
      <c r="M144" s="39">
        <v>50.958769847905614</v>
      </c>
      <c r="N144" s="52">
        <v>4.0594842624454941</v>
      </c>
      <c r="O144" s="39">
        <v>76.86</v>
      </c>
      <c r="P144" s="39">
        <v>76.86</v>
      </c>
      <c r="Q144" s="52">
        <v>0</v>
      </c>
      <c r="R144" s="39">
        <v>0</v>
      </c>
      <c r="S144" s="39">
        <v>0</v>
      </c>
      <c r="T144" s="52">
        <v>0</v>
      </c>
      <c r="U144" s="39">
        <v>0</v>
      </c>
      <c r="V144" s="39">
        <v>0</v>
      </c>
      <c r="W144" s="52">
        <v>0</v>
      </c>
      <c r="X144" s="39">
        <v>80.04788026260654</v>
      </c>
      <c r="Y144" s="39">
        <v>47.685137480188516</v>
      </c>
      <c r="Z144" s="52">
        <v>-32.362742782418024</v>
      </c>
      <c r="AA144" s="39">
        <v>0</v>
      </c>
      <c r="AB144" s="39">
        <v>0</v>
      </c>
      <c r="AC144" s="52">
        <v>0</v>
      </c>
      <c r="AD144" s="39">
        <v>241.7982732026876</v>
      </c>
      <c r="AE144" s="39">
        <v>202.8968849825049</v>
      </c>
      <c r="AF144" s="35">
        <v>-38.901388220182696</v>
      </c>
      <c r="AG144" s="77">
        <v>584.95034490130161</v>
      </c>
      <c r="AH144" s="53">
        <v>527.83742270988319</v>
      </c>
      <c r="AI144" s="52">
        <v>-57.11292219141842</v>
      </c>
      <c r="AJ144" s="39">
        <v>0</v>
      </c>
      <c r="AK144" s="39">
        <v>0</v>
      </c>
      <c r="AL144" s="52">
        <v>0</v>
      </c>
      <c r="AM144" s="39">
        <v>0</v>
      </c>
      <c r="AN144" s="39">
        <v>0</v>
      </c>
      <c r="AO144" s="52">
        <v>0</v>
      </c>
      <c r="AP144" s="39">
        <v>94.701764289364974</v>
      </c>
      <c r="AQ144" s="39">
        <v>0</v>
      </c>
      <c r="AR144" s="52">
        <v>-94.701764289364974</v>
      </c>
      <c r="AS144" s="39">
        <v>765.14678073392361</v>
      </c>
      <c r="AT144" s="39">
        <v>0</v>
      </c>
      <c r="AU144" s="54">
        <v>-765.14678073392361</v>
      </c>
      <c r="AV144" s="39">
        <v>47.059309791594281</v>
      </c>
      <c r="AW144" s="39">
        <v>0</v>
      </c>
      <c r="AX144" s="55">
        <v>-47.059309791594281</v>
      </c>
      <c r="AY144" s="39">
        <v>60.404944907288225</v>
      </c>
      <c r="AZ144" s="39">
        <v>0</v>
      </c>
      <c r="BA144" s="35">
        <v>-60.404944907288225</v>
      </c>
      <c r="BB144" s="39">
        <v>29.899082143124652</v>
      </c>
      <c r="BC144" s="39">
        <v>0</v>
      </c>
      <c r="BD144" s="55">
        <v>-29.899082143124652</v>
      </c>
      <c r="BE144" s="39">
        <v>0</v>
      </c>
      <c r="BF144" s="39">
        <v>0</v>
      </c>
      <c r="BG144" s="38">
        <v>0</v>
      </c>
      <c r="BH144" s="39">
        <v>0</v>
      </c>
      <c r="BI144" s="39">
        <v>0</v>
      </c>
      <c r="BJ144" s="55">
        <v>0</v>
      </c>
      <c r="BK144" s="39">
        <v>9.782104083393186</v>
      </c>
      <c r="BL144" s="39">
        <v>0</v>
      </c>
      <c r="BM144" s="38">
        <v>-9.782104083393186</v>
      </c>
      <c r="BN144" s="39">
        <v>0</v>
      </c>
      <c r="BO144" s="39">
        <v>0</v>
      </c>
      <c r="BP144" s="55">
        <v>0</v>
      </c>
      <c r="BQ144" s="77">
        <v>147.14544092540035</v>
      </c>
      <c r="BR144" s="40">
        <v>0</v>
      </c>
      <c r="BS144" s="55">
        <v>-147.14544092540035</v>
      </c>
      <c r="BT144" s="39">
        <v>587.58115212519897</v>
      </c>
      <c r="BU144" s="39">
        <v>145.53548546108303</v>
      </c>
      <c r="BV144" s="52">
        <v>-442.04566666411597</v>
      </c>
      <c r="BW144" s="39">
        <v>419.41787323172497</v>
      </c>
      <c r="BX144" s="39">
        <v>291.52774718266284</v>
      </c>
      <c r="BY144" s="52">
        <v>-127.89012604906213</v>
      </c>
      <c r="BZ144" s="39">
        <v>361.08730275838911</v>
      </c>
      <c r="CA144" s="39">
        <v>731.2972423697496</v>
      </c>
      <c r="CB144" s="52">
        <v>370.20993961136048</v>
      </c>
      <c r="CC144" s="39">
        <v>0</v>
      </c>
      <c r="CD144" s="39">
        <v>0</v>
      </c>
      <c r="CE144" s="52">
        <v>0</v>
      </c>
      <c r="CF144" s="39">
        <v>0</v>
      </c>
      <c r="CG144" s="39">
        <v>0</v>
      </c>
      <c r="CH144" s="52">
        <v>0</v>
      </c>
      <c r="CI144" s="39">
        <v>3.1195875295320228</v>
      </c>
      <c r="CJ144" s="39">
        <v>1.5403105230793934</v>
      </c>
      <c r="CK144" s="52">
        <v>-1.5792770064526294</v>
      </c>
      <c r="CL144" s="39">
        <v>0</v>
      </c>
      <c r="CM144" s="39">
        <v>0</v>
      </c>
      <c r="CN144" s="52">
        <v>0</v>
      </c>
      <c r="CO144" s="39">
        <v>3.1195875295320228</v>
      </c>
      <c r="CP144" s="40">
        <v>1.5403105230793934</v>
      </c>
      <c r="CQ144" s="52">
        <v>-1.5792770064526294</v>
      </c>
      <c r="CR144" s="72">
        <v>2963.1502464948358</v>
      </c>
      <c r="CS144" s="5">
        <v>1697.7382082464578</v>
      </c>
      <c r="CT144" s="52">
        <v>-1265.4120382483779</v>
      </c>
      <c r="CU144" s="77">
        <v>3555.7802957938029</v>
      </c>
      <c r="CV144" s="65">
        <v>2037.2858498957494</v>
      </c>
      <c r="CW144" s="35">
        <v>-1518.4944458980535</v>
      </c>
      <c r="CX144" s="39">
        <v>88.894507394845078</v>
      </c>
      <c r="CY144" s="39">
        <v>1607.3889532928988</v>
      </c>
      <c r="CZ144" s="52">
        <v>1518.4944458980538</v>
      </c>
      <c r="DA144" s="150">
        <v>-8090.8235004725238</v>
      </c>
      <c r="DB144" s="2">
        <v>2</v>
      </c>
      <c r="DC144" s="713">
        <v>2803.44</v>
      </c>
      <c r="DD144" s="714"/>
      <c r="DE144" s="715">
        <v>981.10259840567596</v>
      </c>
      <c r="DF144" s="716">
        <v>0</v>
      </c>
      <c r="DG144" s="717">
        <v>1965.2538635713154</v>
      </c>
      <c r="DH144" s="718">
        <v>17419.253395691689</v>
      </c>
      <c r="DI144" s="718">
        <v>43736.097638263775</v>
      </c>
      <c r="DJ144" s="693">
        <v>37156.886577620753</v>
      </c>
      <c r="DK144" s="724"/>
      <c r="DL144" s="5"/>
      <c r="DM144" s="306">
        <v>5.3708735679172532</v>
      </c>
      <c r="DN144" s="306"/>
      <c r="DO144" s="306">
        <v>4.6106554953044894</v>
      </c>
      <c r="DP144" s="719">
        <v>1822.3374015943241</v>
      </c>
      <c r="DQ144" s="720">
        <v>0</v>
      </c>
      <c r="DR144" s="650">
        <v>1822.3374015943241</v>
      </c>
      <c r="DS144" s="94">
        <v>1822.3374015943241</v>
      </c>
      <c r="DT144" s="719">
        <v>1822.33</v>
      </c>
      <c r="DU144" s="721"/>
      <c r="DV144" s="93">
        <v>1822.33</v>
      </c>
      <c r="DW144" s="95">
        <v>1831.2268523338087</v>
      </c>
      <c r="DX144" s="28">
        <v>-8.896852333808738</v>
      </c>
      <c r="EA144" s="5">
        <v>1094.7506659911887</v>
      </c>
      <c r="EB144" s="5">
        <v>0</v>
      </c>
      <c r="EE144" s="722">
        <v>9181.7613688070833</v>
      </c>
      <c r="EG144" s="42" t="s">
        <v>167</v>
      </c>
    </row>
    <row r="145" spans="1:137" x14ac:dyDescent="0.3">
      <c r="A145" s="325">
        <v>150001015</v>
      </c>
      <c r="B145" s="41" t="s">
        <v>614</v>
      </c>
      <c r="C145" s="42" t="s">
        <v>100</v>
      </c>
      <c r="D145" s="27">
        <v>1</v>
      </c>
      <c r="E145" s="709">
        <v>346.4</v>
      </c>
      <c r="F145" s="723">
        <v>213.3</v>
      </c>
      <c r="G145" s="28"/>
      <c r="H145" s="651">
        <v>133.1</v>
      </c>
      <c r="I145" s="39">
        <v>0</v>
      </c>
      <c r="J145" s="39">
        <v>0</v>
      </c>
      <c r="K145" s="52">
        <v>0</v>
      </c>
      <c r="L145" s="39">
        <v>0</v>
      </c>
      <c r="M145" s="39">
        <v>0</v>
      </c>
      <c r="N145" s="52">
        <v>0</v>
      </c>
      <c r="O145" s="39">
        <v>84.86</v>
      </c>
      <c r="P145" s="39">
        <v>84.86</v>
      </c>
      <c r="Q145" s="52">
        <v>0</v>
      </c>
      <c r="R145" s="39">
        <v>0</v>
      </c>
      <c r="S145" s="39">
        <v>0</v>
      </c>
      <c r="T145" s="52">
        <v>0</v>
      </c>
      <c r="U145" s="39">
        <v>0</v>
      </c>
      <c r="V145" s="39">
        <v>0</v>
      </c>
      <c r="W145" s="52">
        <v>0</v>
      </c>
      <c r="X145" s="39">
        <v>0</v>
      </c>
      <c r="Y145" s="39">
        <v>0</v>
      </c>
      <c r="Z145" s="52">
        <v>0</v>
      </c>
      <c r="AA145" s="39">
        <v>0</v>
      </c>
      <c r="AB145" s="39">
        <v>0</v>
      </c>
      <c r="AC145" s="52">
        <v>0</v>
      </c>
      <c r="AD145" s="39">
        <v>0</v>
      </c>
      <c r="AE145" s="39">
        <v>207.14259050380105</v>
      </c>
      <c r="AF145" s="35">
        <v>207.14259050380105</v>
      </c>
      <c r="AG145" s="77">
        <v>84.86</v>
      </c>
      <c r="AH145" s="53">
        <v>292.00259050380106</v>
      </c>
      <c r="AI145" s="52">
        <v>207.14259050380105</v>
      </c>
      <c r="AJ145" s="39">
        <v>0</v>
      </c>
      <c r="AK145" s="39">
        <v>0</v>
      </c>
      <c r="AL145" s="52">
        <v>0</v>
      </c>
      <c r="AM145" s="39">
        <v>0</v>
      </c>
      <c r="AN145" s="39">
        <v>0</v>
      </c>
      <c r="AO145" s="52">
        <v>0</v>
      </c>
      <c r="AP145" s="39">
        <v>23.675441072341243</v>
      </c>
      <c r="AQ145" s="39">
        <v>0</v>
      </c>
      <c r="AR145" s="52">
        <v>-23.675441072341243</v>
      </c>
      <c r="AS145" s="39">
        <v>520.50321866540708</v>
      </c>
      <c r="AT145" s="39">
        <v>0</v>
      </c>
      <c r="AU145" s="54">
        <v>-520.50321866540708</v>
      </c>
      <c r="AV145" s="39">
        <v>0</v>
      </c>
      <c r="AW145" s="39">
        <v>0</v>
      </c>
      <c r="AX145" s="55">
        <v>0</v>
      </c>
      <c r="AY145" s="39">
        <v>0</v>
      </c>
      <c r="AZ145" s="39">
        <v>0</v>
      </c>
      <c r="BA145" s="35">
        <v>0</v>
      </c>
      <c r="BB145" s="39">
        <v>37.508628877400184</v>
      </c>
      <c r="BC145" s="39">
        <v>0</v>
      </c>
      <c r="BD145" s="55">
        <v>-37.508628877400184</v>
      </c>
      <c r="BE145" s="39">
        <v>0</v>
      </c>
      <c r="BF145" s="39">
        <v>0</v>
      </c>
      <c r="BG145" s="38">
        <v>0</v>
      </c>
      <c r="BH145" s="39">
        <v>0</v>
      </c>
      <c r="BI145" s="39">
        <v>0</v>
      </c>
      <c r="BJ145" s="55">
        <v>0</v>
      </c>
      <c r="BK145" s="39">
        <v>0</v>
      </c>
      <c r="BL145" s="39">
        <v>0</v>
      </c>
      <c r="BM145" s="38">
        <v>0</v>
      </c>
      <c r="BN145" s="39">
        <v>0</v>
      </c>
      <c r="BO145" s="39">
        <v>0</v>
      </c>
      <c r="BP145" s="55">
        <v>0</v>
      </c>
      <c r="BQ145" s="77">
        <v>37.508628877400184</v>
      </c>
      <c r="BR145" s="40">
        <v>0</v>
      </c>
      <c r="BS145" s="55">
        <v>-37.508628877400184</v>
      </c>
      <c r="BT145" s="39">
        <v>55.829691759794173</v>
      </c>
      <c r="BU145" s="39">
        <v>21.92594383557531</v>
      </c>
      <c r="BV145" s="52">
        <v>-33.903747924218862</v>
      </c>
      <c r="BW145" s="39">
        <v>0</v>
      </c>
      <c r="BX145" s="39">
        <v>1.4021962417298002</v>
      </c>
      <c r="BY145" s="52">
        <v>1.4021962417298002</v>
      </c>
      <c r="BZ145" s="39">
        <v>0</v>
      </c>
      <c r="CA145" s="39">
        <v>85.999682446223375</v>
      </c>
      <c r="CB145" s="52">
        <v>85.999682446223375</v>
      </c>
      <c r="CC145" s="39">
        <v>0</v>
      </c>
      <c r="CD145" s="39">
        <v>0</v>
      </c>
      <c r="CE145" s="52">
        <v>0</v>
      </c>
      <c r="CF145" s="39">
        <v>0</v>
      </c>
      <c r="CG145" s="39">
        <v>0</v>
      </c>
      <c r="CH145" s="52">
        <v>0</v>
      </c>
      <c r="CI145" s="39">
        <v>0</v>
      </c>
      <c r="CJ145" s="39">
        <v>0</v>
      </c>
      <c r="CK145" s="52">
        <v>0</v>
      </c>
      <c r="CL145" s="39">
        <v>0</v>
      </c>
      <c r="CM145" s="39">
        <v>0</v>
      </c>
      <c r="CN145" s="52">
        <v>0</v>
      </c>
      <c r="CO145" s="39">
        <v>0</v>
      </c>
      <c r="CP145" s="40">
        <v>0</v>
      </c>
      <c r="CQ145" s="52">
        <v>0</v>
      </c>
      <c r="CR145" s="72">
        <v>722.3769803749426</v>
      </c>
      <c r="CS145" s="5">
        <v>401.33041302732954</v>
      </c>
      <c r="CT145" s="52">
        <v>-321.04656734761306</v>
      </c>
      <c r="CU145" s="77">
        <v>866.85237644993106</v>
      </c>
      <c r="CV145" s="65">
        <v>481.59649563279544</v>
      </c>
      <c r="CW145" s="35">
        <v>-385.25588081713562</v>
      </c>
      <c r="CX145" s="39">
        <v>747.98</v>
      </c>
      <c r="CY145" s="39">
        <v>1133.2358808171357</v>
      </c>
      <c r="CZ145" s="52">
        <v>385.25588081713568</v>
      </c>
      <c r="DA145" s="150">
        <v>-2475.3766968728528</v>
      </c>
      <c r="DB145" s="2">
        <v>2</v>
      </c>
      <c r="DC145" s="713">
        <v>294.08</v>
      </c>
      <c r="DD145" s="714">
        <v>2944.8399999999997</v>
      </c>
      <c r="DE145" s="715">
        <v>23.189257974564271</v>
      </c>
      <c r="DF145" s="716">
        <v>2775.8031609770956</v>
      </c>
      <c r="DG145" s="717">
        <v>235.17343434867962</v>
      </c>
      <c r="DH145" s="718">
        <v>4836.6060779572836</v>
      </c>
      <c r="DI145" s="718">
        <v>19377.988517399172</v>
      </c>
      <c r="DJ145" s="693">
        <v>15742.642907538699</v>
      </c>
      <c r="DK145" s="724"/>
      <c r="DL145" s="5"/>
      <c r="DM145" s="306">
        <v>1.2699987905552541</v>
      </c>
      <c r="DN145" s="306"/>
      <c r="DO145" s="306">
        <v>1.2699987905552541</v>
      </c>
      <c r="DP145" s="719">
        <v>270.89074202543571</v>
      </c>
      <c r="DQ145" s="727">
        <v>169.0368390229043</v>
      </c>
      <c r="DR145" s="650">
        <v>439.92758104834002</v>
      </c>
      <c r="DS145" s="94">
        <v>1174.9047954015909</v>
      </c>
      <c r="DT145" s="719">
        <v>270.89</v>
      </c>
      <c r="DU145" s="728">
        <v>536.53</v>
      </c>
      <c r="DV145" s="93">
        <v>807.42</v>
      </c>
      <c r="DW145" s="95">
        <v>441.22785961301491</v>
      </c>
      <c r="DX145" s="28">
        <v>366.19214038698505</v>
      </c>
      <c r="DY145" s="94"/>
      <c r="EA145" s="5">
        <v>669.61421705136866</v>
      </c>
      <c r="EB145" s="5">
        <v>0</v>
      </c>
      <c r="EE145" s="722">
        <v>6246.0386239848849</v>
      </c>
      <c r="EG145" s="42" t="s">
        <v>100</v>
      </c>
    </row>
    <row r="146" spans="1:137" x14ac:dyDescent="0.3">
      <c r="A146" s="325">
        <v>150001016</v>
      </c>
      <c r="B146" s="41" t="s">
        <v>615</v>
      </c>
      <c r="C146" s="42" t="s">
        <v>262</v>
      </c>
      <c r="D146" s="27">
        <v>5</v>
      </c>
      <c r="E146" s="709">
        <v>3298.2799999999997</v>
      </c>
      <c r="F146" s="723">
        <v>2162.08</v>
      </c>
      <c r="G146" s="28"/>
      <c r="H146" s="651">
        <v>1136.2</v>
      </c>
      <c r="I146" s="39">
        <v>1009.1308553746552</v>
      </c>
      <c r="J146" s="39">
        <v>1089.4882797579914</v>
      </c>
      <c r="K146" s="52">
        <v>80.357424383336252</v>
      </c>
      <c r="L146" s="39">
        <v>200.42000866537376</v>
      </c>
      <c r="M146" s="39">
        <v>217.76702488106042</v>
      </c>
      <c r="N146" s="52">
        <v>17.347016215686665</v>
      </c>
      <c r="O146" s="39">
        <v>675.9</v>
      </c>
      <c r="P146" s="39">
        <v>675.9</v>
      </c>
      <c r="Q146" s="52">
        <v>0</v>
      </c>
      <c r="R146" s="39">
        <v>199.6</v>
      </c>
      <c r="S146" s="39">
        <v>199.6</v>
      </c>
      <c r="T146" s="52">
        <v>0</v>
      </c>
      <c r="U146" s="39">
        <v>0</v>
      </c>
      <c r="V146" s="39">
        <v>0</v>
      </c>
      <c r="W146" s="52">
        <v>0</v>
      </c>
      <c r="X146" s="39">
        <v>899.10558157150649</v>
      </c>
      <c r="Y146" s="39">
        <v>551.43829169551532</v>
      </c>
      <c r="Z146" s="52">
        <v>-347.66728987599117</v>
      </c>
      <c r="AA146" s="39">
        <v>0</v>
      </c>
      <c r="AB146" s="39">
        <v>0</v>
      </c>
      <c r="AC146" s="52">
        <v>0</v>
      </c>
      <c r="AD146" s="39">
        <v>2350.4816048893617</v>
      </c>
      <c r="AE146" s="39">
        <v>1972.3275502507995</v>
      </c>
      <c r="AF146" s="35">
        <v>-378.15405463856223</v>
      </c>
      <c r="AG146" s="77">
        <v>5334.6380505008974</v>
      </c>
      <c r="AH146" s="53">
        <v>4706.5211465853663</v>
      </c>
      <c r="AI146" s="52">
        <v>-628.11690391553111</v>
      </c>
      <c r="AJ146" s="39">
        <v>0</v>
      </c>
      <c r="AK146" s="39">
        <v>0</v>
      </c>
      <c r="AL146" s="52">
        <v>0</v>
      </c>
      <c r="AM146" s="39">
        <v>0</v>
      </c>
      <c r="AN146" s="39">
        <v>0</v>
      </c>
      <c r="AO146" s="52">
        <v>0</v>
      </c>
      <c r="AP146" s="39">
        <v>284.10529286809492</v>
      </c>
      <c r="AQ146" s="39">
        <v>46.670671378841462</v>
      </c>
      <c r="AR146" s="52">
        <v>-237.43462148925346</v>
      </c>
      <c r="AS146" s="39">
        <v>6661.8589022123697</v>
      </c>
      <c r="AT146" s="39">
        <v>11083</v>
      </c>
      <c r="AU146" s="54">
        <v>4421.1410977876303</v>
      </c>
      <c r="AV146" s="39">
        <v>187.4391067611696</v>
      </c>
      <c r="AW146" s="39">
        <v>0</v>
      </c>
      <c r="AX146" s="55">
        <v>-187.4391067611696</v>
      </c>
      <c r="AY146" s="39">
        <v>258.30373939722529</v>
      </c>
      <c r="AZ146" s="39">
        <v>780</v>
      </c>
      <c r="BA146" s="35">
        <v>521.69626060277471</v>
      </c>
      <c r="BB146" s="39">
        <v>417.52689610795557</v>
      </c>
      <c r="BC146" s="39">
        <v>0</v>
      </c>
      <c r="BD146" s="55">
        <v>-417.52689610795557</v>
      </c>
      <c r="BE146" s="39">
        <v>234.92107816430971</v>
      </c>
      <c r="BF146" s="39">
        <v>0</v>
      </c>
      <c r="BG146" s="38">
        <v>-234.92107816430971</v>
      </c>
      <c r="BH146" s="39">
        <v>0</v>
      </c>
      <c r="BI146" s="39">
        <v>0</v>
      </c>
      <c r="BJ146" s="55">
        <v>0</v>
      </c>
      <c r="BK146" s="39">
        <v>120.7391811804537</v>
      </c>
      <c r="BL146" s="39">
        <v>0</v>
      </c>
      <c r="BM146" s="38">
        <v>-120.7391811804537</v>
      </c>
      <c r="BN146" s="39">
        <v>0</v>
      </c>
      <c r="BO146" s="39">
        <v>0</v>
      </c>
      <c r="BP146" s="55">
        <v>0</v>
      </c>
      <c r="BQ146" s="77">
        <v>1218.9300016111138</v>
      </c>
      <c r="BR146" s="40">
        <v>780</v>
      </c>
      <c r="BS146" s="55">
        <v>-438.93000161111377</v>
      </c>
      <c r="BT146" s="39">
        <v>6308.2688282534582</v>
      </c>
      <c r="BU146" s="39">
        <v>1462.6092533774988</v>
      </c>
      <c r="BV146" s="52">
        <v>-4845.6595748759592</v>
      </c>
      <c r="BW146" s="39">
        <v>2577.0798472638176</v>
      </c>
      <c r="BX146" s="39">
        <v>1986.130657667276</v>
      </c>
      <c r="BY146" s="52">
        <v>-590.9491895965416</v>
      </c>
      <c r="BZ146" s="39">
        <v>2752.2272518727541</v>
      </c>
      <c r="CA146" s="39">
        <v>7089.9624545017705</v>
      </c>
      <c r="CB146" s="52">
        <v>4337.7352026290164</v>
      </c>
      <c r="CC146" s="39">
        <v>0</v>
      </c>
      <c r="CD146" s="39">
        <v>0</v>
      </c>
      <c r="CE146" s="52">
        <v>0</v>
      </c>
      <c r="CF146" s="39">
        <v>0</v>
      </c>
      <c r="CG146" s="39">
        <v>0</v>
      </c>
      <c r="CH146" s="52">
        <v>0</v>
      </c>
      <c r="CI146" s="39">
        <v>567.76493037482805</v>
      </c>
      <c r="CJ146" s="39">
        <v>623.27610602378297</v>
      </c>
      <c r="CK146" s="52">
        <v>55.511175648954918</v>
      </c>
      <c r="CL146" s="39">
        <v>0</v>
      </c>
      <c r="CM146" s="39">
        <v>0</v>
      </c>
      <c r="CN146" s="52">
        <v>0</v>
      </c>
      <c r="CO146" s="39">
        <v>567.76493037482805</v>
      </c>
      <c r="CP146" s="40">
        <v>623.27610602378297</v>
      </c>
      <c r="CQ146" s="52">
        <v>55.511175648954918</v>
      </c>
      <c r="CR146" s="72">
        <v>25704.873104957333</v>
      </c>
      <c r="CS146" s="5">
        <v>27778.170289534537</v>
      </c>
      <c r="CT146" s="52">
        <v>2073.2971845772045</v>
      </c>
      <c r="CU146" s="77">
        <v>30845.847725948799</v>
      </c>
      <c r="CV146" s="65">
        <v>33333.804347441444</v>
      </c>
      <c r="CW146" s="35">
        <v>2487.9566214926454</v>
      </c>
      <c r="CX146" s="39">
        <v>616.91695451897601</v>
      </c>
      <c r="CY146" s="39">
        <v>-1871.0396669736638</v>
      </c>
      <c r="CZ146" s="52">
        <v>-2487.9566214926399</v>
      </c>
      <c r="DA146" s="150">
        <v>57179.055892947406</v>
      </c>
      <c r="DB146" s="2">
        <v>2</v>
      </c>
      <c r="DC146" s="713">
        <v>47012.13</v>
      </c>
      <c r="DD146" s="714">
        <v>17929.709999999995</v>
      </c>
      <c r="DE146" s="715">
        <v>36156.626240125421</v>
      </c>
      <c r="DF146" s="716">
        <v>13053.831419640679</v>
      </c>
      <c r="DG146" s="717">
        <v>41587.971575961121</v>
      </c>
      <c r="DH146" s="718">
        <v>150127.20326595823</v>
      </c>
      <c r="DI146" s="718">
        <v>377553.17616561329</v>
      </c>
      <c r="DJ146" s="693">
        <v>320696.68294069951</v>
      </c>
      <c r="DK146" s="724"/>
      <c r="DL146" s="5"/>
      <c r="DM146" s="306">
        <v>5.0208612816706939</v>
      </c>
      <c r="DN146" s="306"/>
      <c r="DO146" s="306">
        <v>4.2913911110361864</v>
      </c>
      <c r="DP146" s="719">
        <v>10855.503759874573</v>
      </c>
      <c r="DQ146" s="727">
        <v>4875.8785803593155</v>
      </c>
      <c r="DR146" s="650">
        <v>15731.382340233889</v>
      </c>
      <c r="DS146" s="94">
        <v>15731.382340233886</v>
      </c>
      <c r="DT146" s="719">
        <v>10857.97</v>
      </c>
      <c r="DU146" s="728">
        <v>3694.4599999999996</v>
      </c>
      <c r="DV146" s="93">
        <v>14552.429999999998</v>
      </c>
      <c r="DW146" s="95">
        <v>15793.074035685786</v>
      </c>
      <c r="DX146" s="28">
        <v>-1240.6440356857875</v>
      </c>
      <c r="DY146" s="94"/>
      <c r="EA146" s="5">
        <v>9456.9466845881798</v>
      </c>
      <c r="EB146" s="5">
        <v>14235.6</v>
      </c>
      <c r="EE146" s="722">
        <v>79942.306826548433</v>
      </c>
      <c r="EG146" s="42" t="s">
        <v>262</v>
      </c>
    </row>
    <row r="147" spans="1:137" x14ac:dyDescent="0.3">
      <c r="A147" s="325">
        <v>150001007</v>
      </c>
      <c r="B147" s="41" t="s">
        <v>616</v>
      </c>
      <c r="C147" s="42" t="s">
        <v>214</v>
      </c>
      <c r="D147" s="27">
        <v>4</v>
      </c>
      <c r="E147" s="709">
        <v>2046.1999999999998</v>
      </c>
      <c r="F147" s="723">
        <v>2000.1</v>
      </c>
      <c r="G147" s="28"/>
      <c r="H147" s="651">
        <v>46.1</v>
      </c>
      <c r="I147" s="39">
        <v>1316.1161092304196</v>
      </c>
      <c r="J147" s="39">
        <v>1415.1706882057636</v>
      </c>
      <c r="K147" s="52">
        <v>99.054578975343929</v>
      </c>
      <c r="L147" s="39">
        <v>242.04325103642387</v>
      </c>
      <c r="M147" s="39">
        <v>262.99226331600505</v>
      </c>
      <c r="N147" s="52">
        <v>20.949012279581183</v>
      </c>
      <c r="O147" s="39">
        <v>475.2</v>
      </c>
      <c r="P147" s="39">
        <v>475.2</v>
      </c>
      <c r="Q147" s="52">
        <v>0</v>
      </c>
      <c r="R147" s="39">
        <v>0</v>
      </c>
      <c r="S147" s="39">
        <v>0</v>
      </c>
      <c r="T147" s="52">
        <v>0</v>
      </c>
      <c r="U147" s="39">
        <v>0</v>
      </c>
      <c r="V147" s="39">
        <v>0</v>
      </c>
      <c r="W147" s="52">
        <v>0</v>
      </c>
      <c r="X147" s="39">
        <v>678.7348856284442</v>
      </c>
      <c r="Y147" s="39">
        <v>405.76520082760953</v>
      </c>
      <c r="Z147" s="52">
        <v>-272.96968480083467</v>
      </c>
      <c r="AA147" s="39">
        <v>0</v>
      </c>
      <c r="AB147" s="39">
        <v>0</v>
      </c>
      <c r="AC147" s="52">
        <v>0</v>
      </c>
      <c r="AD147" s="39">
        <v>1458.2010805403459</v>
      </c>
      <c r="AE147" s="39">
        <v>1223.6003715036886</v>
      </c>
      <c r="AF147" s="35">
        <v>-234.60070903665724</v>
      </c>
      <c r="AG147" s="77">
        <v>4170.2953264356338</v>
      </c>
      <c r="AH147" s="53">
        <v>3782.7285238530667</v>
      </c>
      <c r="AI147" s="52">
        <v>-387.56680258256711</v>
      </c>
      <c r="AJ147" s="39">
        <v>0</v>
      </c>
      <c r="AK147" s="39">
        <v>0</v>
      </c>
      <c r="AL147" s="52">
        <v>0</v>
      </c>
      <c r="AM147" s="39">
        <v>0</v>
      </c>
      <c r="AN147" s="39">
        <v>0</v>
      </c>
      <c r="AO147" s="52">
        <v>0</v>
      </c>
      <c r="AP147" s="39">
        <v>1112.7457304000384</v>
      </c>
      <c r="AQ147" s="39">
        <v>350.03003534131096</v>
      </c>
      <c r="AR147" s="52">
        <v>-762.71569505872742</v>
      </c>
      <c r="AS147" s="39">
        <v>4338.0403342556865</v>
      </c>
      <c r="AT147" s="39">
        <v>16988</v>
      </c>
      <c r="AU147" s="54">
        <v>12649.959665744314</v>
      </c>
      <c r="AV147" s="39">
        <v>209.68610314611877</v>
      </c>
      <c r="AW147" s="39">
        <v>0</v>
      </c>
      <c r="AX147" s="55">
        <v>-209.68610314611877</v>
      </c>
      <c r="AY147" s="39">
        <v>311.97860728969681</v>
      </c>
      <c r="AZ147" s="39">
        <v>0</v>
      </c>
      <c r="BA147" s="35">
        <v>-311.97860728969681</v>
      </c>
      <c r="BB147" s="39">
        <v>235.70928345887529</v>
      </c>
      <c r="BC147" s="39">
        <v>0</v>
      </c>
      <c r="BD147" s="55">
        <v>-235.70928345887529</v>
      </c>
      <c r="BE147" s="39">
        <v>0</v>
      </c>
      <c r="BF147" s="39">
        <v>0</v>
      </c>
      <c r="BG147" s="38">
        <v>0</v>
      </c>
      <c r="BH147" s="39">
        <v>0</v>
      </c>
      <c r="BI147" s="39">
        <v>0</v>
      </c>
      <c r="BJ147" s="55">
        <v>0</v>
      </c>
      <c r="BK147" s="39">
        <v>86.524571442710084</v>
      </c>
      <c r="BL147" s="39">
        <v>0</v>
      </c>
      <c r="BM147" s="38">
        <v>-86.524571442710084</v>
      </c>
      <c r="BN147" s="39">
        <v>0</v>
      </c>
      <c r="BO147" s="39">
        <v>0</v>
      </c>
      <c r="BP147" s="55">
        <v>0</v>
      </c>
      <c r="BQ147" s="77">
        <v>843.8985653374009</v>
      </c>
      <c r="BR147" s="40">
        <v>0</v>
      </c>
      <c r="BS147" s="55">
        <v>-843.8985653374009</v>
      </c>
      <c r="BT147" s="39">
        <v>2123.3113174156992</v>
      </c>
      <c r="BU147" s="39">
        <v>672.40799633463268</v>
      </c>
      <c r="BV147" s="52">
        <v>-1450.9033210810667</v>
      </c>
      <c r="BW147" s="39">
        <v>1851.3847795805198</v>
      </c>
      <c r="BX147" s="39">
        <v>1644.9725446039811</v>
      </c>
      <c r="BY147" s="52">
        <v>-206.41223497653868</v>
      </c>
      <c r="BZ147" s="39">
        <v>1217.2371132488631</v>
      </c>
      <c r="CA147" s="39">
        <v>2791.0707560519595</v>
      </c>
      <c r="CB147" s="52">
        <v>1573.8336428030964</v>
      </c>
      <c r="CC147" s="39">
        <v>334.62478463205923</v>
      </c>
      <c r="CD147" s="39">
        <v>330.13140406352227</v>
      </c>
      <c r="CE147" s="52">
        <v>-4.4933805685369634</v>
      </c>
      <c r="CF147" s="39">
        <v>41.194339017204264</v>
      </c>
      <c r="CG147" s="39">
        <v>0</v>
      </c>
      <c r="CH147" s="52">
        <v>-41.194339017204264</v>
      </c>
      <c r="CI147" s="39">
        <v>552.16699272716801</v>
      </c>
      <c r="CJ147" s="39">
        <v>714.16027428784355</v>
      </c>
      <c r="CK147" s="52">
        <v>161.99328156067554</v>
      </c>
      <c r="CL147" s="39">
        <v>0</v>
      </c>
      <c r="CM147" s="39">
        <v>0</v>
      </c>
      <c r="CN147" s="52">
        <v>0</v>
      </c>
      <c r="CO147" s="39">
        <v>552.16699272716801</v>
      </c>
      <c r="CP147" s="40">
        <v>714.16027428784355</v>
      </c>
      <c r="CQ147" s="52">
        <v>161.99328156067554</v>
      </c>
      <c r="CR147" s="72">
        <v>16584.899283050268</v>
      </c>
      <c r="CS147" s="5">
        <v>27273.501534536317</v>
      </c>
      <c r="CT147" s="52">
        <v>10688.602251486049</v>
      </c>
      <c r="CU147" s="77">
        <v>19901.879139660323</v>
      </c>
      <c r="CV147" s="65">
        <v>32728.201841443581</v>
      </c>
      <c r="CW147" s="35">
        <v>12826.322701783258</v>
      </c>
      <c r="CX147" s="39">
        <v>298.52818709490481</v>
      </c>
      <c r="CY147" s="39">
        <v>-12527.794514688354</v>
      </c>
      <c r="CZ147" s="52">
        <v>-12826.32270178326</v>
      </c>
      <c r="DA147" s="150">
        <v>13534.672021839935</v>
      </c>
      <c r="DB147" s="2">
        <v>2</v>
      </c>
      <c r="DC147" s="713">
        <v>14365.34</v>
      </c>
      <c r="DD147" s="714">
        <v>-11.04</v>
      </c>
      <c r="DE147" s="715">
        <v>4467.287615252757</v>
      </c>
      <c r="DF147" s="716">
        <v>-213.19127863036988</v>
      </c>
      <c r="DG147" s="717">
        <v>-13454.819526009393</v>
      </c>
      <c r="DH147" s="718">
        <v>96775.254408489753</v>
      </c>
      <c r="DI147" s="718">
        <v>242404.88792106271</v>
      </c>
      <c r="DJ147" s="693">
        <v>205997.47954291949</v>
      </c>
      <c r="DK147" s="724"/>
      <c r="DL147" s="5"/>
      <c r="DM147" s="306">
        <v>4.94877875343595</v>
      </c>
      <c r="DN147" s="306"/>
      <c r="DO147" s="306">
        <v>4.385060273977655</v>
      </c>
      <c r="DP147" s="719">
        <v>9898.0523847472432</v>
      </c>
      <c r="DQ147" s="720">
        <v>202.15127863036989</v>
      </c>
      <c r="DR147" s="650">
        <v>10100.203663377613</v>
      </c>
      <c r="DS147" s="94">
        <v>10100.203663377613</v>
      </c>
      <c r="DT147" s="719">
        <v>9898.06</v>
      </c>
      <c r="DU147" s="725">
        <v>202.15</v>
      </c>
      <c r="DV147" s="93">
        <v>10100.209999999999</v>
      </c>
      <c r="DW147" s="95">
        <v>10130.056482087102</v>
      </c>
      <c r="DX147" s="28">
        <v>-29.846482087103141</v>
      </c>
      <c r="EA147" s="5">
        <v>6218.3266795117052</v>
      </c>
      <c r="EB147" s="5">
        <v>20385.599999999999</v>
      </c>
      <c r="EE147" s="722">
        <v>52056.484011068242</v>
      </c>
      <c r="EG147" s="42" t="s">
        <v>214</v>
      </c>
    </row>
    <row r="148" spans="1:137" x14ac:dyDescent="0.3">
      <c r="A148" s="325">
        <v>150001018</v>
      </c>
      <c r="B148" s="41" t="s">
        <v>852</v>
      </c>
      <c r="C148" s="43" t="s">
        <v>430</v>
      </c>
      <c r="D148" s="29">
        <v>5</v>
      </c>
      <c r="E148" s="709">
        <v>2816.07</v>
      </c>
      <c r="F148" s="723">
        <v>2338.0700000000002</v>
      </c>
      <c r="G148" s="28"/>
      <c r="H148" s="651">
        <v>478</v>
      </c>
      <c r="I148" s="39">
        <v>1068.5265618407543</v>
      </c>
      <c r="J148" s="39">
        <v>1152.5183191790807</v>
      </c>
      <c r="K148" s="52">
        <v>83.991757338326352</v>
      </c>
      <c r="L148" s="39">
        <v>214.22921161810962</v>
      </c>
      <c r="M148" s="39">
        <v>232.77065848507044</v>
      </c>
      <c r="N148" s="52">
        <v>18.541446866960825</v>
      </c>
      <c r="O148" s="39">
        <v>600.14</v>
      </c>
      <c r="P148" s="39">
        <v>600.14</v>
      </c>
      <c r="Q148" s="52">
        <v>0</v>
      </c>
      <c r="R148" s="39">
        <v>177.32</v>
      </c>
      <c r="S148" s="39">
        <v>177.32</v>
      </c>
      <c r="T148" s="52">
        <v>0</v>
      </c>
      <c r="U148" s="39">
        <v>0</v>
      </c>
      <c r="V148" s="39">
        <v>0</v>
      </c>
      <c r="W148" s="52">
        <v>0</v>
      </c>
      <c r="X148" s="39">
        <v>882.13503577038978</v>
      </c>
      <c r="Y148" s="39">
        <v>548.08917941635059</v>
      </c>
      <c r="Z148" s="52">
        <v>-334.04585635403919</v>
      </c>
      <c r="AA148" s="39">
        <v>0</v>
      </c>
      <c r="AB148" s="39">
        <v>0</v>
      </c>
      <c r="AC148" s="52">
        <v>0</v>
      </c>
      <c r="AD148" s="39">
        <v>2006.840150951643</v>
      </c>
      <c r="AE148" s="39">
        <v>1683.972386951614</v>
      </c>
      <c r="AF148" s="35">
        <v>-322.86776400002896</v>
      </c>
      <c r="AG148" s="77">
        <v>4949.1909601808966</v>
      </c>
      <c r="AH148" s="53">
        <v>4394.810544032116</v>
      </c>
      <c r="AI148" s="52">
        <v>-554.38041614878057</v>
      </c>
      <c r="AJ148" s="39">
        <v>0</v>
      </c>
      <c r="AK148" s="39">
        <v>0</v>
      </c>
      <c r="AL148" s="52">
        <v>0</v>
      </c>
      <c r="AM148" s="39">
        <v>0</v>
      </c>
      <c r="AN148" s="39">
        <v>0</v>
      </c>
      <c r="AO148" s="52">
        <v>0</v>
      </c>
      <c r="AP148" s="39">
        <v>260.42985179575368</v>
      </c>
      <c r="AQ148" s="39">
        <v>0</v>
      </c>
      <c r="AR148" s="52">
        <v>-260.42985179575368</v>
      </c>
      <c r="AS148" s="39">
        <v>6034.821116901755</v>
      </c>
      <c r="AT148" s="39">
        <v>32.711526066545105</v>
      </c>
      <c r="AU148" s="54">
        <v>-6002.1095908352099</v>
      </c>
      <c r="AV148" s="39">
        <v>185.03472901469073</v>
      </c>
      <c r="AW148" s="39">
        <v>0</v>
      </c>
      <c r="AX148" s="55">
        <v>-185.03472901469073</v>
      </c>
      <c r="AY148" s="39">
        <v>276.14354862921226</v>
      </c>
      <c r="AZ148" s="39">
        <v>0</v>
      </c>
      <c r="BA148" s="35">
        <v>-276.14354862921226</v>
      </c>
      <c r="BB148" s="39">
        <v>370.93148431507529</v>
      </c>
      <c r="BC148" s="39">
        <v>0</v>
      </c>
      <c r="BD148" s="55">
        <v>-370.93148431507529</v>
      </c>
      <c r="BE148" s="39">
        <v>213.4689416535854</v>
      </c>
      <c r="BF148" s="39">
        <v>0</v>
      </c>
      <c r="BG148" s="38">
        <v>-213.4689416535854</v>
      </c>
      <c r="BH148" s="39">
        <v>0</v>
      </c>
      <c r="BI148" s="39">
        <v>0</v>
      </c>
      <c r="BJ148" s="55">
        <v>0</v>
      </c>
      <c r="BK148" s="39">
        <v>118.21256501765102</v>
      </c>
      <c r="BL148" s="39">
        <v>0</v>
      </c>
      <c r="BM148" s="38">
        <v>-118.21256501765102</v>
      </c>
      <c r="BN148" s="39">
        <v>0</v>
      </c>
      <c r="BO148" s="39">
        <v>0</v>
      </c>
      <c r="BP148" s="55">
        <v>0</v>
      </c>
      <c r="BQ148" s="77">
        <v>1163.7912686302147</v>
      </c>
      <c r="BR148" s="40">
        <v>0</v>
      </c>
      <c r="BS148" s="55">
        <v>-1163.7912686302147</v>
      </c>
      <c r="BT148" s="39">
        <v>5231.556439532781</v>
      </c>
      <c r="BU148" s="39">
        <v>1395.1412992506826</v>
      </c>
      <c r="BV148" s="52">
        <v>-3836.4151402820985</v>
      </c>
      <c r="BW148" s="39">
        <v>3479.5450299323425</v>
      </c>
      <c r="BX148" s="39">
        <v>2957.2513802208482</v>
      </c>
      <c r="BY148" s="52">
        <v>-522.29364971149425</v>
      </c>
      <c r="BZ148" s="39">
        <v>2034.3988130776456</v>
      </c>
      <c r="CA148" s="39">
        <v>5871.0780736103197</v>
      </c>
      <c r="CB148" s="52">
        <v>3836.6792605326741</v>
      </c>
      <c r="CC148" s="39">
        <v>286.28900413876733</v>
      </c>
      <c r="CD148" s="39">
        <v>282.44468205844856</v>
      </c>
      <c r="CE148" s="52">
        <v>-3.8443220803187614</v>
      </c>
      <c r="CF148" s="39">
        <v>35.243911494355835</v>
      </c>
      <c r="CG148" s="39">
        <v>0</v>
      </c>
      <c r="CH148" s="52">
        <v>-35.243911494355835</v>
      </c>
      <c r="CI148" s="39">
        <v>96.707213415492689</v>
      </c>
      <c r="CJ148" s="39">
        <v>346.46753815127846</v>
      </c>
      <c r="CK148" s="52">
        <v>249.76032473578579</v>
      </c>
      <c r="CL148" s="39">
        <v>0</v>
      </c>
      <c r="CM148" s="39">
        <v>0</v>
      </c>
      <c r="CN148" s="52">
        <v>0</v>
      </c>
      <c r="CO148" s="39">
        <v>96.707213415492689</v>
      </c>
      <c r="CP148" s="40">
        <v>346.46753815127846</v>
      </c>
      <c r="CQ148" s="52">
        <v>249.76032473578579</v>
      </c>
      <c r="CR148" s="72">
        <v>23571.973609100005</v>
      </c>
      <c r="CS148" s="5">
        <v>15279.905043390241</v>
      </c>
      <c r="CT148" s="52">
        <v>-8292.0685657097638</v>
      </c>
      <c r="CU148" s="77">
        <v>28286.368330920006</v>
      </c>
      <c r="CV148" s="65">
        <v>18335.88605206829</v>
      </c>
      <c r="CW148" s="35">
        <v>-9950.4822788517158</v>
      </c>
      <c r="CX148" s="39">
        <v>1131.4547332368002</v>
      </c>
      <c r="CY148" s="39">
        <v>11081.937012088521</v>
      </c>
      <c r="CZ148" s="52">
        <v>9950.4822788517213</v>
      </c>
      <c r="DA148" s="150">
        <v>150681.16073749686</v>
      </c>
      <c r="DB148" s="2">
        <v>2</v>
      </c>
      <c r="DC148" s="713">
        <v>22285.82</v>
      </c>
      <c r="DD148" s="714">
        <v>14468.239999999998</v>
      </c>
      <c r="DE148" s="715">
        <v>9705.132943999999</v>
      </c>
      <c r="DF148" s="716">
        <v>12340.088399999997</v>
      </c>
      <c r="DG148" s="717">
        <v>-83774.612579423949</v>
      </c>
      <c r="DH148" s="718">
        <v>139228.15874361113</v>
      </c>
      <c r="DI148" s="718">
        <v>353013.8767698817</v>
      </c>
      <c r="DJ148" s="693">
        <v>299567.44726331404</v>
      </c>
      <c r="DK148" s="724"/>
      <c r="DL148" s="5"/>
      <c r="DM148" s="306">
        <v>5.3807999999999998</v>
      </c>
      <c r="DN148" s="306"/>
      <c r="DO148" s="306">
        <v>4.4522000000000004</v>
      </c>
      <c r="DP148" s="719">
        <v>12580.687056000001</v>
      </c>
      <c r="DQ148" s="720">
        <v>2128.1516000000001</v>
      </c>
      <c r="DR148" s="650">
        <v>14708.838656</v>
      </c>
      <c r="DS148" s="94">
        <v>14708.984408156808</v>
      </c>
      <c r="DT148" s="719">
        <v>12580.66</v>
      </c>
      <c r="DU148" s="725">
        <v>2154.4199999999996</v>
      </c>
      <c r="DV148" s="93">
        <v>14735.08</v>
      </c>
      <c r="DW148" s="95">
        <v>14822.057005402081</v>
      </c>
      <c r="DX148" s="28">
        <v>-86.977005402080977</v>
      </c>
      <c r="EA148" s="5">
        <v>8638.3348626383631</v>
      </c>
      <c r="EB148" s="5">
        <v>39.253831279854126</v>
      </c>
      <c r="EE148" s="722">
        <v>72417.853402821056</v>
      </c>
      <c r="EG148" s="43" t="s">
        <v>430</v>
      </c>
    </row>
    <row r="149" spans="1:137" x14ac:dyDescent="0.3">
      <c r="A149" s="325">
        <v>150001019</v>
      </c>
      <c r="B149" s="41" t="s">
        <v>617</v>
      </c>
      <c r="C149" s="42" t="s">
        <v>420</v>
      </c>
      <c r="D149" s="27">
        <v>10</v>
      </c>
      <c r="E149" s="709">
        <v>6921.8</v>
      </c>
      <c r="F149" s="723">
        <v>6921.8</v>
      </c>
      <c r="G149" s="28">
        <v>646.79999999999995</v>
      </c>
      <c r="H149" s="651">
        <v>0</v>
      </c>
      <c r="I149" s="39">
        <v>4212.8469126046803</v>
      </c>
      <c r="J149" s="39">
        <v>3154.1009112870815</v>
      </c>
      <c r="K149" s="52">
        <v>-1058.7460013175987</v>
      </c>
      <c r="L149" s="39">
        <v>653.74375445418661</v>
      </c>
      <c r="M149" s="39">
        <v>341.28322029092288</v>
      </c>
      <c r="N149" s="52">
        <v>-312.46053416326373</v>
      </c>
      <c r="O149" s="39">
        <v>1733.54</v>
      </c>
      <c r="P149" s="39">
        <v>1733.54</v>
      </c>
      <c r="Q149" s="52">
        <v>0</v>
      </c>
      <c r="R149" s="39">
        <v>364.22</v>
      </c>
      <c r="S149" s="39">
        <v>364.22</v>
      </c>
      <c r="T149" s="52">
        <v>0</v>
      </c>
      <c r="U149" s="39">
        <v>208.3500279500883</v>
      </c>
      <c r="V149" s="39">
        <v>59.925978284238724</v>
      </c>
      <c r="W149" s="52">
        <v>-148.42404966584957</v>
      </c>
      <c r="X149" s="39">
        <v>1862.1635498189644</v>
      </c>
      <c r="Y149" s="39">
        <v>1238.3909535552643</v>
      </c>
      <c r="Z149" s="52">
        <v>-623.77259626370005</v>
      </c>
      <c r="AA149" s="39">
        <v>0</v>
      </c>
      <c r="AB149" s="39">
        <v>0</v>
      </c>
      <c r="AC149" s="52">
        <v>0</v>
      </c>
      <c r="AD149" s="39">
        <v>4932.7417844219362</v>
      </c>
      <c r="AE149" s="39">
        <v>4139.1442925785514</v>
      </c>
      <c r="AF149" s="35">
        <v>-793.59749184338489</v>
      </c>
      <c r="AG149" s="77">
        <v>13967.606029249857</v>
      </c>
      <c r="AH149" s="53">
        <v>11030.60535599606</v>
      </c>
      <c r="AI149" s="52">
        <v>-2937.0006732537968</v>
      </c>
      <c r="AJ149" s="39">
        <v>8931.4013798182496</v>
      </c>
      <c r="AK149" s="39">
        <v>8811.4474986509449</v>
      </c>
      <c r="AL149" s="52">
        <v>-119.95388116730464</v>
      </c>
      <c r="AM149" s="39">
        <v>0</v>
      </c>
      <c r="AN149" s="39">
        <v>0</v>
      </c>
      <c r="AO149" s="52">
        <v>0</v>
      </c>
      <c r="AP149" s="39">
        <v>931.23401551208894</v>
      </c>
      <c r="AQ149" s="39">
        <v>0</v>
      </c>
      <c r="AR149" s="52">
        <v>-931.23401551208894</v>
      </c>
      <c r="AS149" s="39">
        <v>17154.831197693347</v>
      </c>
      <c r="AT149" s="39">
        <v>2486</v>
      </c>
      <c r="AU149" s="54">
        <v>-14668.831197693347</v>
      </c>
      <c r="AV149" s="39">
        <v>327.89594630734996</v>
      </c>
      <c r="AW149" s="39">
        <v>477</v>
      </c>
      <c r="AX149" s="55">
        <v>149.10405369265004</v>
      </c>
      <c r="AY149" s="39">
        <v>390.07398117832253</v>
      </c>
      <c r="AZ149" s="39">
        <v>0</v>
      </c>
      <c r="BA149" s="35">
        <v>-390.07398117832253</v>
      </c>
      <c r="BB149" s="39">
        <v>422.98261503208329</v>
      </c>
      <c r="BC149" s="39">
        <v>0</v>
      </c>
      <c r="BD149" s="55">
        <v>-422.98261503208329</v>
      </c>
      <c r="BE149" s="39">
        <v>179.97352815066915</v>
      </c>
      <c r="BF149" s="39">
        <v>0</v>
      </c>
      <c r="BG149" s="38">
        <v>-179.97352815066915</v>
      </c>
      <c r="BH149" s="39">
        <v>105.68402349220877</v>
      </c>
      <c r="BI149" s="39">
        <v>0</v>
      </c>
      <c r="BJ149" s="55">
        <v>-105.68402349220877</v>
      </c>
      <c r="BK149" s="39">
        <v>220.07829817605759</v>
      </c>
      <c r="BL149" s="39">
        <v>0</v>
      </c>
      <c r="BM149" s="38">
        <v>-220.07829817605759</v>
      </c>
      <c r="BN149" s="39">
        <v>118.34437622421669</v>
      </c>
      <c r="BO149" s="39">
        <v>0</v>
      </c>
      <c r="BP149" s="55">
        <v>-118.34437622421669</v>
      </c>
      <c r="BQ149" s="77">
        <v>1765.0327685609079</v>
      </c>
      <c r="BR149" s="40">
        <v>477</v>
      </c>
      <c r="BS149" s="55">
        <v>-1288.0327685609079</v>
      </c>
      <c r="BT149" s="39">
        <v>15467.810670251904</v>
      </c>
      <c r="BU149" s="39">
        <v>3973.0407669995288</v>
      </c>
      <c r="BV149" s="52">
        <v>-11494.769903252374</v>
      </c>
      <c r="BW149" s="39">
        <v>11472.75782530564</v>
      </c>
      <c r="BX149" s="39">
        <v>11846.10405972761</v>
      </c>
      <c r="BY149" s="52">
        <v>373.34623442196971</v>
      </c>
      <c r="BZ149" s="39">
        <v>2813.1793131327345</v>
      </c>
      <c r="CA149" s="39">
        <v>15782.281459966965</v>
      </c>
      <c r="CB149" s="52">
        <v>12969.102146834231</v>
      </c>
      <c r="CC149" s="39">
        <v>262.26818016137076</v>
      </c>
      <c r="CD149" s="39">
        <v>258.74641250217462</v>
      </c>
      <c r="CE149" s="52">
        <v>-3.5217676591961435</v>
      </c>
      <c r="CF149" s="39">
        <v>32.286802481986932</v>
      </c>
      <c r="CG149" s="39">
        <v>0</v>
      </c>
      <c r="CH149" s="52">
        <v>-32.286802481986932</v>
      </c>
      <c r="CI149" s="39">
        <v>2043.3298318434745</v>
      </c>
      <c r="CJ149" s="39">
        <v>3349.704191803316</v>
      </c>
      <c r="CK149" s="52">
        <v>1306.3743599598415</v>
      </c>
      <c r="CL149" s="39">
        <v>3060.3153664709139</v>
      </c>
      <c r="CM149" s="39">
        <v>5024.5562877049742</v>
      </c>
      <c r="CN149" s="52">
        <v>1964.2409212340604</v>
      </c>
      <c r="CO149" s="39">
        <v>5103.6451983143888</v>
      </c>
      <c r="CP149" s="40">
        <v>8374.2604795082898</v>
      </c>
      <c r="CQ149" s="52">
        <v>3270.615281193901</v>
      </c>
      <c r="CR149" s="72">
        <v>77902.053380482466</v>
      </c>
      <c r="CS149" s="5">
        <v>63039.486033351568</v>
      </c>
      <c r="CT149" s="52">
        <v>-14862.567347130898</v>
      </c>
      <c r="CU149" s="77">
        <v>93482.46405657896</v>
      </c>
      <c r="CV149" s="65">
        <v>75647.383240021882</v>
      </c>
      <c r="CW149" s="35">
        <v>-17835.080816557078</v>
      </c>
      <c r="CX149" s="39">
        <v>2337.0616014144739</v>
      </c>
      <c r="CY149" s="39">
        <v>20172.142417971547</v>
      </c>
      <c r="CZ149" s="52">
        <v>17835.080816557074</v>
      </c>
      <c r="DA149" s="150">
        <v>-9112.5420854846743</v>
      </c>
      <c r="DB149" s="2">
        <v>1</v>
      </c>
      <c r="DC149" s="713">
        <v>117428.24</v>
      </c>
      <c r="DD149" s="714"/>
      <c r="DE149" s="715">
        <v>69518.477171003295</v>
      </c>
      <c r="DF149" s="716">
        <v>0</v>
      </c>
      <c r="DG149" s="717">
        <v>-88875.094183951529</v>
      </c>
      <c r="DH149" s="718">
        <v>467779.87696244224</v>
      </c>
      <c r="DI149" s="718">
        <v>1149834.3078959212</v>
      </c>
      <c r="DJ149" s="693">
        <v>979320.70016255148</v>
      </c>
      <c r="DK149" s="724"/>
      <c r="DL149" s="5"/>
      <c r="DM149" s="306">
        <v>5.8561150322212265</v>
      </c>
      <c r="DN149" s="306">
        <v>7.0313988248854233</v>
      </c>
      <c r="DO149" s="306">
        <v>4.8367636983827786</v>
      </c>
      <c r="DP149" s="719">
        <v>47909.762828996718</v>
      </c>
      <c r="DQ149" s="720">
        <v>0</v>
      </c>
      <c r="DR149" s="650">
        <v>47909.762828996718</v>
      </c>
      <c r="DS149" s="94">
        <v>47909.762828996718</v>
      </c>
      <c r="DT149" s="719">
        <v>47918.74</v>
      </c>
      <c r="DU149" s="721"/>
      <c r="DV149" s="93">
        <v>47918.74</v>
      </c>
      <c r="DW149" s="95">
        <v>48143.468989138149</v>
      </c>
      <c r="DX149" s="28">
        <v>-224.72898913815152</v>
      </c>
      <c r="EA149" s="5">
        <v>22703.836759505106</v>
      </c>
      <c r="EB149" s="5">
        <v>3555.6</v>
      </c>
      <c r="EE149" s="722">
        <v>205857.97437232017</v>
      </c>
      <c r="EG149" s="42" t="s">
        <v>420</v>
      </c>
    </row>
    <row r="150" spans="1:137" x14ac:dyDescent="0.3">
      <c r="A150" s="325">
        <v>150001020</v>
      </c>
      <c r="B150" s="41" t="s">
        <v>618</v>
      </c>
      <c r="C150" s="42" t="s">
        <v>101</v>
      </c>
      <c r="D150" s="27">
        <v>1</v>
      </c>
      <c r="E150" s="709">
        <v>320.5</v>
      </c>
      <c r="F150" s="723">
        <v>320.5</v>
      </c>
      <c r="G150" s="28"/>
      <c r="H150" s="651">
        <v>0</v>
      </c>
      <c r="I150" s="39">
        <v>0</v>
      </c>
      <c r="J150" s="39">
        <v>0</v>
      </c>
      <c r="K150" s="52">
        <v>0</v>
      </c>
      <c r="L150" s="39">
        <v>0</v>
      </c>
      <c r="M150" s="39">
        <v>0</v>
      </c>
      <c r="N150" s="52">
        <v>0</v>
      </c>
      <c r="O150" s="39">
        <v>0</v>
      </c>
      <c r="P150" s="39">
        <v>0</v>
      </c>
      <c r="Q150" s="52">
        <v>0</v>
      </c>
      <c r="R150" s="39">
        <v>0</v>
      </c>
      <c r="S150" s="39">
        <v>0</v>
      </c>
      <c r="T150" s="52">
        <v>0</v>
      </c>
      <c r="U150" s="39">
        <v>0</v>
      </c>
      <c r="V150" s="39">
        <v>0</v>
      </c>
      <c r="W150" s="52">
        <v>0</v>
      </c>
      <c r="X150" s="39">
        <v>0</v>
      </c>
      <c r="Y150" s="39">
        <v>0</v>
      </c>
      <c r="Z150" s="52">
        <v>0</v>
      </c>
      <c r="AA150" s="39">
        <v>0</v>
      </c>
      <c r="AB150" s="39">
        <v>0</v>
      </c>
      <c r="AC150" s="52">
        <v>0</v>
      </c>
      <c r="AD150" s="39">
        <v>0</v>
      </c>
      <c r="AE150" s="39">
        <v>191.65473515146721</v>
      </c>
      <c r="AF150" s="35">
        <v>191.65473515146721</v>
      </c>
      <c r="AG150" s="77">
        <v>0</v>
      </c>
      <c r="AH150" s="53">
        <v>191.65473515146721</v>
      </c>
      <c r="AI150" s="52">
        <v>191.65473515146721</v>
      </c>
      <c r="AJ150" s="39">
        <v>0</v>
      </c>
      <c r="AK150" s="39">
        <v>0</v>
      </c>
      <c r="AL150" s="52">
        <v>0</v>
      </c>
      <c r="AM150" s="39">
        <v>0</v>
      </c>
      <c r="AN150" s="39">
        <v>0</v>
      </c>
      <c r="AO150" s="52">
        <v>0</v>
      </c>
      <c r="AP150" s="39">
        <v>94.701764289364974</v>
      </c>
      <c r="AQ150" s="39">
        <v>0</v>
      </c>
      <c r="AR150" s="52">
        <v>-94.701764289364974</v>
      </c>
      <c r="AS150" s="39">
        <v>602.23699525329232</v>
      </c>
      <c r="AT150" s="39">
        <v>0</v>
      </c>
      <c r="AU150" s="54">
        <v>-602.23699525329232</v>
      </c>
      <c r="AV150" s="39">
        <v>0</v>
      </c>
      <c r="AW150" s="39">
        <v>0</v>
      </c>
      <c r="AX150" s="55">
        <v>0</v>
      </c>
      <c r="AY150" s="39">
        <v>0</v>
      </c>
      <c r="AZ150" s="39">
        <v>0</v>
      </c>
      <c r="BA150" s="35">
        <v>0</v>
      </c>
      <c r="BB150" s="39">
        <v>0</v>
      </c>
      <c r="BC150" s="39">
        <v>0</v>
      </c>
      <c r="BD150" s="55">
        <v>0</v>
      </c>
      <c r="BE150" s="39">
        <v>0</v>
      </c>
      <c r="BF150" s="39">
        <v>0</v>
      </c>
      <c r="BG150" s="38">
        <v>0</v>
      </c>
      <c r="BH150" s="39">
        <v>0</v>
      </c>
      <c r="BI150" s="39">
        <v>0</v>
      </c>
      <c r="BJ150" s="55">
        <v>0</v>
      </c>
      <c r="BK150" s="39">
        <v>0</v>
      </c>
      <c r="BL150" s="39">
        <v>0</v>
      </c>
      <c r="BM150" s="38">
        <v>0</v>
      </c>
      <c r="BN150" s="39">
        <v>0</v>
      </c>
      <c r="BO150" s="39">
        <v>0</v>
      </c>
      <c r="BP150" s="55">
        <v>0</v>
      </c>
      <c r="BQ150" s="77">
        <v>0</v>
      </c>
      <c r="BR150" s="40">
        <v>0</v>
      </c>
      <c r="BS150" s="55">
        <v>0</v>
      </c>
      <c r="BT150" s="39">
        <v>135.58639427378586</v>
      </c>
      <c r="BU150" s="39">
        <v>53.251668769601977</v>
      </c>
      <c r="BV150" s="52">
        <v>-82.334725504183879</v>
      </c>
      <c r="BW150" s="39">
        <v>0</v>
      </c>
      <c r="BX150" s="39">
        <v>1.2973553564503493</v>
      </c>
      <c r="BY150" s="52">
        <v>1.2973553564503493</v>
      </c>
      <c r="BZ150" s="39">
        <v>0</v>
      </c>
      <c r="CA150" s="39">
        <v>208.86722021218941</v>
      </c>
      <c r="CB150" s="52">
        <v>208.86722021218941</v>
      </c>
      <c r="CC150" s="39">
        <v>0</v>
      </c>
      <c r="CD150" s="39">
        <v>0</v>
      </c>
      <c r="CE150" s="52">
        <v>0</v>
      </c>
      <c r="CF150" s="39">
        <v>0</v>
      </c>
      <c r="CG150" s="39">
        <v>0</v>
      </c>
      <c r="CH150" s="52">
        <v>0</v>
      </c>
      <c r="CI150" s="39">
        <v>0</v>
      </c>
      <c r="CJ150" s="39">
        <v>0</v>
      </c>
      <c r="CK150" s="52">
        <v>0</v>
      </c>
      <c r="CL150" s="39">
        <v>0</v>
      </c>
      <c r="CM150" s="39">
        <v>0</v>
      </c>
      <c r="CN150" s="52">
        <v>0</v>
      </c>
      <c r="CO150" s="39">
        <v>0</v>
      </c>
      <c r="CP150" s="40">
        <v>0</v>
      </c>
      <c r="CQ150" s="52">
        <v>0</v>
      </c>
      <c r="CR150" s="72">
        <v>832.52515381644321</v>
      </c>
      <c r="CS150" s="5">
        <v>455.07097948970892</v>
      </c>
      <c r="CT150" s="52">
        <v>-377.45417432673429</v>
      </c>
      <c r="CU150" s="77">
        <v>999.03018457973178</v>
      </c>
      <c r="CV150" s="65">
        <v>546.08517538765068</v>
      </c>
      <c r="CW150" s="35">
        <v>-452.9450091920811</v>
      </c>
      <c r="CX150" s="39">
        <v>14.985452768695977</v>
      </c>
      <c r="CY150" s="39">
        <v>467.93046196077705</v>
      </c>
      <c r="CZ150" s="52">
        <v>452.9450091920811</v>
      </c>
      <c r="DA150" s="150">
        <v>-10120.430938569847</v>
      </c>
      <c r="DB150" s="2">
        <v>2</v>
      </c>
      <c r="DC150" s="713">
        <v>600.34</v>
      </c>
      <c r="DD150" s="714"/>
      <c r="DE150" s="715">
        <v>93.332181325786166</v>
      </c>
      <c r="DF150" s="716">
        <v>0</v>
      </c>
      <c r="DG150" s="717">
        <v>-6156.2102914276584</v>
      </c>
      <c r="DH150" s="718">
        <v>4858.0806854799412</v>
      </c>
      <c r="DI150" s="718">
        <v>12168.187648181132</v>
      </c>
      <c r="DJ150" s="693">
        <v>10340.660907505833</v>
      </c>
      <c r="DK150" s="724"/>
      <c r="DL150" s="5"/>
      <c r="DM150" s="306">
        <v>1.581927671370402</v>
      </c>
      <c r="DN150" s="306"/>
      <c r="DO150" s="306">
        <v>1.581927671370402</v>
      </c>
      <c r="DP150" s="719">
        <v>507.00781867421387</v>
      </c>
      <c r="DQ150" s="720">
        <v>0</v>
      </c>
      <c r="DR150" s="650">
        <v>507.00781867421387</v>
      </c>
      <c r="DS150" s="94">
        <v>507.00781867421387</v>
      </c>
      <c r="DT150" s="719">
        <v>507</v>
      </c>
      <c r="DU150" s="721"/>
      <c r="DV150" s="93">
        <v>507</v>
      </c>
      <c r="DW150" s="95">
        <v>508.50636395108347</v>
      </c>
      <c r="DX150" s="28">
        <v>-1.5063639510834719</v>
      </c>
      <c r="EA150" s="5">
        <v>722.68439430395074</v>
      </c>
      <c r="EB150" s="5">
        <v>0</v>
      </c>
      <c r="EE150" s="722">
        <v>7226.8439430395083</v>
      </c>
      <c r="EG150" s="42" t="s">
        <v>101</v>
      </c>
    </row>
    <row r="151" spans="1:137" x14ac:dyDescent="0.3">
      <c r="A151" s="325">
        <v>150001021</v>
      </c>
      <c r="B151" s="41" t="s">
        <v>619</v>
      </c>
      <c r="C151" s="42" t="s">
        <v>364</v>
      </c>
      <c r="D151" s="27">
        <v>9</v>
      </c>
      <c r="E151" s="709">
        <v>11582.12</v>
      </c>
      <c r="F151" s="723">
        <v>11582.12</v>
      </c>
      <c r="G151" s="28">
        <v>1227.6300000000001</v>
      </c>
      <c r="H151" s="651">
        <v>0</v>
      </c>
      <c r="I151" s="39">
        <v>4953.5548673331296</v>
      </c>
      <c r="J151" s="39">
        <v>3707.2464397421727</v>
      </c>
      <c r="K151" s="52">
        <v>-1246.3084275909569</v>
      </c>
      <c r="L151" s="39">
        <v>1396.0090565770847</v>
      </c>
      <c r="M151" s="39">
        <v>728.77973119909109</v>
      </c>
      <c r="N151" s="52">
        <v>-667.22932537799363</v>
      </c>
      <c r="O151" s="39">
        <v>2897.22</v>
      </c>
      <c r="P151" s="39">
        <v>2897.22</v>
      </c>
      <c r="Q151" s="52">
        <v>0</v>
      </c>
      <c r="R151" s="39">
        <v>630.94000000000005</v>
      </c>
      <c r="S151" s="39">
        <v>630.94000000000005</v>
      </c>
      <c r="T151" s="52">
        <v>0</v>
      </c>
      <c r="U151" s="39">
        <v>576.24186023756681</v>
      </c>
      <c r="V151" s="39">
        <v>126.49379407241169</v>
      </c>
      <c r="W151" s="52">
        <v>-449.74806616515514</v>
      </c>
      <c r="X151" s="39">
        <v>3782.2713191717239</v>
      </c>
      <c r="Y151" s="39">
        <v>2601.7255953340273</v>
      </c>
      <c r="Z151" s="52">
        <v>-1180.5457238376966</v>
      </c>
      <c r="AA151" s="39">
        <v>0</v>
      </c>
      <c r="AB151" s="39">
        <v>0</v>
      </c>
      <c r="AC151" s="52">
        <v>0</v>
      </c>
      <c r="AD151" s="39">
        <v>8253.8656528921674</v>
      </c>
      <c r="AE151" s="39">
        <v>6925.9536383541699</v>
      </c>
      <c r="AF151" s="35">
        <v>-1327.9120145379975</v>
      </c>
      <c r="AG151" s="77">
        <v>22490.102756211672</v>
      </c>
      <c r="AH151" s="53">
        <v>17618.359198701874</v>
      </c>
      <c r="AI151" s="52">
        <v>-4871.7435575097988</v>
      </c>
      <c r="AJ151" s="39">
        <v>20705.326351009942</v>
      </c>
      <c r="AK151" s="39">
        <v>19669.36108337262</v>
      </c>
      <c r="AL151" s="52">
        <v>-1035.9652676373225</v>
      </c>
      <c r="AM151" s="39">
        <v>1052.2814392472874</v>
      </c>
      <c r="AN151" s="39">
        <v>129.91419040372483</v>
      </c>
      <c r="AO151" s="52">
        <v>-922.36724884356249</v>
      </c>
      <c r="AP151" s="39">
        <v>1688.8481298270087</v>
      </c>
      <c r="AQ151" s="39">
        <v>653.38939930378046</v>
      </c>
      <c r="AR151" s="52">
        <v>-1035.4587305232283</v>
      </c>
      <c r="AS151" s="39">
        <v>35144.668095611945</v>
      </c>
      <c r="AT151" s="39">
        <v>8034</v>
      </c>
      <c r="AU151" s="54">
        <v>-27110.668095611945</v>
      </c>
      <c r="AV151" s="39">
        <v>163.40459525333648</v>
      </c>
      <c r="AW151" s="39">
        <v>2888</v>
      </c>
      <c r="AX151" s="55">
        <v>2724.5954047466635</v>
      </c>
      <c r="AY151" s="39">
        <v>336.8331617242394</v>
      </c>
      <c r="AZ151" s="39">
        <v>2144</v>
      </c>
      <c r="BA151" s="35">
        <v>1807.1668382757607</v>
      </c>
      <c r="BB151" s="39">
        <v>244.72535051333389</v>
      </c>
      <c r="BC151" s="39">
        <v>0</v>
      </c>
      <c r="BD151" s="55">
        <v>-244.72535051333389</v>
      </c>
      <c r="BE151" s="39">
        <v>103.02668463952413</v>
      </c>
      <c r="BF151" s="39">
        <v>0</v>
      </c>
      <c r="BG151" s="38">
        <v>-103.02668463952413</v>
      </c>
      <c r="BH151" s="39">
        <v>116.92905359372746</v>
      </c>
      <c r="BI151" s="39">
        <v>0</v>
      </c>
      <c r="BJ151" s="55">
        <v>-116.92905359372746</v>
      </c>
      <c r="BK151" s="39">
        <v>166.61389976254213</v>
      </c>
      <c r="BL151" s="39">
        <v>0</v>
      </c>
      <c r="BM151" s="38">
        <v>-166.61389976254213</v>
      </c>
      <c r="BN151" s="39">
        <v>187.49373979063722</v>
      </c>
      <c r="BO151" s="39">
        <v>0</v>
      </c>
      <c r="BP151" s="55">
        <v>-187.49373979063722</v>
      </c>
      <c r="BQ151" s="77">
        <v>1319.0264852773405</v>
      </c>
      <c r="BR151" s="40">
        <v>5032</v>
      </c>
      <c r="BS151" s="55">
        <v>3712.9735147226593</v>
      </c>
      <c r="BT151" s="39">
        <v>24082.874176425357</v>
      </c>
      <c r="BU151" s="39">
        <v>5359.8089469497281</v>
      </c>
      <c r="BV151" s="52">
        <v>-18723.065229475629</v>
      </c>
      <c r="BW151" s="39">
        <v>14792.293665798035</v>
      </c>
      <c r="BX151" s="39">
        <v>17615.179710676057</v>
      </c>
      <c r="BY151" s="52">
        <v>2822.8860448780215</v>
      </c>
      <c r="BZ151" s="39">
        <v>2596.7809044302167</v>
      </c>
      <c r="CA151" s="39">
        <v>22440.956517293809</v>
      </c>
      <c r="CB151" s="52">
        <v>19844.175612863593</v>
      </c>
      <c r="CC151" s="39">
        <v>286.77922503626519</v>
      </c>
      <c r="CD151" s="39">
        <v>282.92832021265826</v>
      </c>
      <c r="CE151" s="52">
        <v>-3.8509048236069248</v>
      </c>
      <c r="CF151" s="39">
        <v>35.304260657873563</v>
      </c>
      <c r="CG151" s="39">
        <v>0</v>
      </c>
      <c r="CH151" s="52">
        <v>-35.304260657873563</v>
      </c>
      <c r="CI151" s="39">
        <v>1294.6288247557891</v>
      </c>
      <c r="CJ151" s="39">
        <v>2416.3637258528479</v>
      </c>
      <c r="CK151" s="52">
        <v>1121.7349010970588</v>
      </c>
      <c r="CL151" s="39">
        <v>4641.9462439436484</v>
      </c>
      <c r="CM151" s="39">
        <v>7671.8437965698286</v>
      </c>
      <c r="CN151" s="52">
        <v>3029.8975526261802</v>
      </c>
      <c r="CO151" s="39">
        <v>5936.5750686994379</v>
      </c>
      <c r="CP151" s="40">
        <v>10088.207522422676</v>
      </c>
      <c r="CQ151" s="52">
        <v>4151.6324537232376</v>
      </c>
      <c r="CR151" s="72">
        <v>130130.86055823238</v>
      </c>
      <c r="CS151" s="5">
        <v>106924.10488933692</v>
      </c>
      <c r="CT151" s="52">
        <v>-23206.755668895465</v>
      </c>
      <c r="CU151" s="77">
        <v>156157.03266987886</v>
      </c>
      <c r="CV151" s="65">
        <v>128308.92586720429</v>
      </c>
      <c r="CW151" s="35">
        <v>-27848.106802674563</v>
      </c>
      <c r="CX151" s="39">
        <v>2342.3554900481827</v>
      </c>
      <c r="CY151" s="39">
        <v>30190.462292722717</v>
      </c>
      <c r="CZ151" s="52">
        <v>27848.106802674534</v>
      </c>
      <c r="DA151" s="150">
        <v>121844.7004852246</v>
      </c>
      <c r="DB151" s="2">
        <v>1</v>
      </c>
      <c r="DC151" s="713">
        <v>158659.04</v>
      </c>
      <c r="DD151" s="714"/>
      <c r="DE151" s="715">
        <v>79409.345920036503</v>
      </c>
      <c r="DF151" s="716">
        <v>0</v>
      </c>
      <c r="DG151" s="717">
        <v>12788.756639393454</v>
      </c>
      <c r="DH151" s="718">
        <v>785489.8959152305</v>
      </c>
      <c r="DI151" s="718">
        <v>1901992.6579191245</v>
      </c>
      <c r="DJ151" s="693">
        <v>1622866.9674181512</v>
      </c>
      <c r="DK151" s="724"/>
      <c r="DL151" s="5"/>
      <c r="DM151" s="306">
        <v>5.454300738822873</v>
      </c>
      <c r="DN151" s="306">
        <v>7.0069922192172074</v>
      </c>
      <c r="DO151" s="306">
        <v>4.676506445336793</v>
      </c>
      <c r="DP151" s="719">
        <v>79249.694079963505</v>
      </c>
      <c r="DQ151" s="720">
        <v>0</v>
      </c>
      <c r="DR151" s="650">
        <v>79249.694079963505</v>
      </c>
      <c r="DS151" s="94">
        <v>79249.694079963534</v>
      </c>
      <c r="DT151" s="719">
        <v>79109.820000000007</v>
      </c>
      <c r="DU151" s="721"/>
      <c r="DV151" s="93">
        <v>79109.820000000007</v>
      </c>
      <c r="DW151" s="95">
        <v>79483.929628968297</v>
      </c>
      <c r="DX151" s="28">
        <v>-374.10962896829005</v>
      </c>
      <c r="EA151" s="5">
        <v>43756.433497067141</v>
      </c>
      <c r="EB151" s="5">
        <v>15679.199999999999</v>
      </c>
      <c r="EE151" s="722">
        <v>421736.01714734337</v>
      </c>
      <c r="EG151" s="42" t="s">
        <v>364</v>
      </c>
    </row>
    <row r="152" spans="1:137" x14ac:dyDescent="0.3">
      <c r="A152" s="325">
        <v>150001035</v>
      </c>
      <c r="B152" s="41" t="s">
        <v>620</v>
      </c>
      <c r="C152" s="42" t="s">
        <v>263</v>
      </c>
      <c r="D152" s="27">
        <v>5</v>
      </c>
      <c r="E152" s="709">
        <v>2850.7000000000003</v>
      </c>
      <c r="F152" s="723">
        <v>2771.3</v>
      </c>
      <c r="G152" s="28"/>
      <c r="H152" s="651">
        <v>79.400000000000006</v>
      </c>
      <c r="I152" s="39">
        <v>1764.9731582526167</v>
      </c>
      <c r="J152" s="39">
        <v>1317.5824227869277</v>
      </c>
      <c r="K152" s="52">
        <v>-447.39073546568898</v>
      </c>
      <c r="L152" s="39">
        <v>334.70831114493518</v>
      </c>
      <c r="M152" s="39">
        <v>174.73515510821466</v>
      </c>
      <c r="N152" s="52">
        <v>-159.97315603672052</v>
      </c>
      <c r="O152" s="39">
        <v>737.24</v>
      </c>
      <c r="P152" s="39">
        <v>737.24</v>
      </c>
      <c r="Q152" s="52">
        <v>0</v>
      </c>
      <c r="R152" s="39">
        <v>155.72</v>
      </c>
      <c r="S152" s="39">
        <v>155.72</v>
      </c>
      <c r="T152" s="52">
        <v>0</v>
      </c>
      <c r="U152" s="39">
        <v>118.22581795543685</v>
      </c>
      <c r="V152" s="39">
        <v>21.392337477893165</v>
      </c>
      <c r="W152" s="52">
        <v>-96.833480477543688</v>
      </c>
      <c r="X152" s="39">
        <v>1200.0816683219018</v>
      </c>
      <c r="Y152" s="39">
        <v>828.63160335583848</v>
      </c>
      <c r="Z152" s="52">
        <v>-371.45006496606334</v>
      </c>
      <c r="AA152" s="39">
        <v>0</v>
      </c>
      <c r="AB152" s="39">
        <v>0</v>
      </c>
      <c r="AC152" s="52">
        <v>0</v>
      </c>
      <c r="AD152" s="39">
        <v>2031.518825284119</v>
      </c>
      <c r="AE152" s="39">
        <v>1704.6806661350629</v>
      </c>
      <c r="AF152" s="35">
        <v>-326.83815914905608</v>
      </c>
      <c r="AG152" s="77">
        <v>6342.4677809590094</v>
      </c>
      <c r="AH152" s="53">
        <v>4939.9821848639367</v>
      </c>
      <c r="AI152" s="52">
        <v>-1402.4855960950727</v>
      </c>
      <c r="AJ152" s="39">
        <v>0</v>
      </c>
      <c r="AK152" s="39">
        <v>0</v>
      </c>
      <c r="AL152" s="52">
        <v>0</v>
      </c>
      <c r="AM152" s="39">
        <v>0</v>
      </c>
      <c r="AN152" s="39">
        <v>0</v>
      </c>
      <c r="AO152" s="52">
        <v>0</v>
      </c>
      <c r="AP152" s="39">
        <v>465.61700775604447</v>
      </c>
      <c r="AQ152" s="39">
        <v>280.02402827304877</v>
      </c>
      <c r="AR152" s="52">
        <v>-185.5929794829957</v>
      </c>
      <c r="AS152" s="39">
        <v>6284.1279773878887</v>
      </c>
      <c r="AT152" s="39">
        <v>0</v>
      </c>
      <c r="AU152" s="54">
        <v>-6284.1279773878887</v>
      </c>
      <c r="AV152" s="39">
        <v>296.40759987889163</v>
      </c>
      <c r="AW152" s="39">
        <v>0</v>
      </c>
      <c r="AX152" s="55">
        <v>-296.40759987889163</v>
      </c>
      <c r="AY152" s="39">
        <v>431.42874836421191</v>
      </c>
      <c r="AZ152" s="39">
        <v>0</v>
      </c>
      <c r="BA152" s="35">
        <v>-431.42874836421191</v>
      </c>
      <c r="BB152" s="39">
        <v>290.03422020352775</v>
      </c>
      <c r="BC152" s="39">
        <v>0</v>
      </c>
      <c r="BD152" s="55">
        <v>-290.03422020352775</v>
      </c>
      <c r="BE152" s="39">
        <v>144.21332472826128</v>
      </c>
      <c r="BF152" s="39">
        <v>0</v>
      </c>
      <c r="BG152" s="38">
        <v>-144.21332472826128</v>
      </c>
      <c r="BH152" s="39">
        <v>119.94714023874553</v>
      </c>
      <c r="BI152" s="39">
        <v>0</v>
      </c>
      <c r="BJ152" s="55">
        <v>-119.94714023874553</v>
      </c>
      <c r="BK152" s="39">
        <v>165.91452866121352</v>
      </c>
      <c r="BL152" s="39">
        <v>0</v>
      </c>
      <c r="BM152" s="38">
        <v>-165.91452866121352</v>
      </c>
      <c r="BN152" s="39">
        <v>232.74222385317006</v>
      </c>
      <c r="BO152" s="39">
        <v>0</v>
      </c>
      <c r="BP152" s="55">
        <v>-232.74222385317006</v>
      </c>
      <c r="BQ152" s="77">
        <v>1680.6877859280219</v>
      </c>
      <c r="BR152" s="40">
        <v>0</v>
      </c>
      <c r="BS152" s="55">
        <v>-1680.6877859280219</v>
      </c>
      <c r="BT152" s="39">
        <v>6867.58119902608</v>
      </c>
      <c r="BU152" s="39">
        <v>2218.7662542370285</v>
      </c>
      <c r="BV152" s="52">
        <v>-4648.8149447890519</v>
      </c>
      <c r="BW152" s="39">
        <v>2924.6861180462056</v>
      </c>
      <c r="BX152" s="39">
        <v>3352.7529830766134</v>
      </c>
      <c r="BY152" s="52">
        <v>428.06686503040783</v>
      </c>
      <c r="BZ152" s="39">
        <v>3242.8749864936658</v>
      </c>
      <c r="CA152" s="39">
        <v>8535.5635137538138</v>
      </c>
      <c r="CB152" s="52">
        <v>5292.6885272601485</v>
      </c>
      <c r="CC152" s="39">
        <v>278.44546977880111</v>
      </c>
      <c r="CD152" s="39">
        <v>274.70647159109382</v>
      </c>
      <c r="CE152" s="52">
        <v>-3.7389981877072955</v>
      </c>
      <c r="CF152" s="39">
        <v>34.278324878072105</v>
      </c>
      <c r="CG152" s="39">
        <v>0</v>
      </c>
      <c r="CH152" s="52">
        <v>-34.278324878072105</v>
      </c>
      <c r="CI152" s="39">
        <v>1004.5071845093111</v>
      </c>
      <c r="CJ152" s="39">
        <v>1557.8001909523766</v>
      </c>
      <c r="CK152" s="52">
        <v>553.29300644306556</v>
      </c>
      <c r="CL152" s="39">
        <v>0</v>
      </c>
      <c r="CM152" s="39">
        <v>0</v>
      </c>
      <c r="CN152" s="52">
        <v>0</v>
      </c>
      <c r="CO152" s="39">
        <v>1004.5071845093111</v>
      </c>
      <c r="CP152" s="40">
        <v>1557.8001909523766</v>
      </c>
      <c r="CQ152" s="52">
        <v>553.29300644306556</v>
      </c>
      <c r="CR152" s="72">
        <v>29125.273834763102</v>
      </c>
      <c r="CS152" s="5">
        <v>21159.595626747912</v>
      </c>
      <c r="CT152" s="52">
        <v>-7965.6782080151897</v>
      </c>
      <c r="CU152" s="77">
        <v>34950.328601715722</v>
      </c>
      <c r="CV152" s="65">
        <v>25391.514752097493</v>
      </c>
      <c r="CW152" s="35">
        <v>-9558.8138496182291</v>
      </c>
      <c r="CX152" s="39">
        <v>699.00657203431444</v>
      </c>
      <c r="CY152" s="39">
        <v>10257.820421652539</v>
      </c>
      <c r="CZ152" s="52">
        <v>9558.8138496182255</v>
      </c>
      <c r="DA152" s="150">
        <v>-42978.310689186459</v>
      </c>
      <c r="DB152" s="2">
        <v>1</v>
      </c>
      <c r="DC152" s="713">
        <v>33496.379999999997</v>
      </c>
      <c r="DD152" s="714">
        <v>893.24</v>
      </c>
      <c r="DE152" s="715">
        <v>16118.325497209902</v>
      </c>
      <c r="DF152" s="716">
        <v>446.62691591508025</v>
      </c>
      <c r="DG152" s="717">
        <v>-24830.220981961342</v>
      </c>
      <c r="DH152" s="718">
        <v>170497.41386738338</v>
      </c>
      <c r="DI152" s="718">
        <v>427792.02208500041</v>
      </c>
      <c r="DJ152" s="693">
        <v>363468.37003059615</v>
      </c>
      <c r="DK152" s="724"/>
      <c r="DL152" s="5"/>
      <c r="DM152" s="306">
        <v>6.2707229469166439</v>
      </c>
      <c r="DN152" s="306"/>
      <c r="DO152" s="306">
        <v>5.6248499255027671</v>
      </c>
      <c r="DP152" s="719">
        <v>17378.054502790095</v>
      </c>
      <c r="DQ152" s="720">
        <v>446.61308408491976</v>
      </c>
      <c r="DR152" s="650">
        <v>17824.667586875014</v>
      </c>
      <c r="DS152" s="94">
        <v>17824.667586875021</v>
      </c>
      <c r="DT152" s="719">
        <v>17377.95</v>
      </c>
      <c r="DU152" s="725">
        <v>446.62</v>
      </c>
      <c r="DV152" s="93">
        <v>17824.57</v>
      </c>
      <c r="DW152" s="95">
        <v>17894.568244078451</v>
      </c>
      <c r="DX152" s="28">
        <v>-69.998244078451535</v>
      </c>
      <c r="EA152" s="5">
        <v>9557.7789159790918</v>
      </c>
      <c r="EB152" s="5">
        <v>0</v>
      </c>
      <c r="EE152" s="722">
        <v>75409.535728654664</v>
      </c>
      <c r="EG152" s="42" t="s">
        <v>263</v>
      </c>
    </row>
    <row r="153" spans="1:137" x14ac:dyDescent="0.3">
      <c r="A153" s="325">
        <v>150001022</v>
      </c>
      <c r="B153" s="41" t="s">
        <v>621</v>
      </c>
      <c r="C153" s="42" t="s">
        <v>365</v>
      </c>
      <c r="D153" s="27">
        <v>9</v>
      </c>
      <c r="E153" s="709">
        <v>3771.47</v>
      </c>
      <c r="F153" s="723">
        <v>3771.47</v>
      </c>
      <c r="G153" s="28">
        <v>405</v>
      </c>
      <c r="H153" s="651">
        <v>0</v>
      </c>
      <c r="I153" s="39">
        <v>1652.6847824644592</v>
      </c>
      <c r="J153" s="39">
        <v>1236.6187703843998</v>
      </c>
      <c r="K153" s="52">
        <v>-416.06601208005941</v>
      </c>
      <c r="L153" s="39">
        <v>374.90728797575917</v>
      </c>
      <c r="M153" s="39">
        <v>195.71779123805032</v>
      </c>
      <c r="N153" s="52">
        <v>-179.18949673770885</v>
      </c>
      <c r="O153" s="39">
        <v>894.22</v>
      </c>
      <c r="P153" s="39">
        <v>894.22</v>
      </c>
      <c r="Q153" s="52">
        <v>0</v>
      </c>
      <c r="R153" s="39">
        <v>190.56</v>
      </c>
      <c r="S153" s="39">
        <v>190.56</v>
      </c>
      <c r="T153" s="52">
        <v>0</v>
      </c>
      <c r="U153" s="39">
        <v>121.13538847560967</v>
      </c>
      <c r="V153" s="39">
        <v>21.918671052203294</v>
      </c>
      <c r="W153" s="52">
        <v>-99.216717423406379</v>
      </c>
      <c r="X153" s="39">
        <v>1121.771732780521</v>
      </c>
      <c r="Y153" s="39">
        <v>736.96565178335618</v>
      </c>
      <c r="Z153" s="52">
        <v>-384.80608099716483</v>
      </c>
      <c r="AA153" s="39">
        <v>0</v>
      </c>
      <c r="AB153" s="39">
        <v>0</v>
      </c>
      <c r="AC153" s="52">
        <v>0</v>
      </c>
      <c r="AD153" s="39">
        <v>2687.695058755497</v>
      </c>
      <c r="AE153" s="39">
        <v>2255.2888735778597</v>
      </c>
      <c r="AF153" s="35">
        <v>-432.40618517763733</v>
      </c>
      <c r="AG153" s="77">
        <v>7042.9742504518454</v>
      </c>
      <c r="AH153" s="53">
        <v>5531.2897580358695</v>
      </c>
      <c r="AI153" s="52">
        <v>-1511.6844924159759</v>
      </c>
      <c r="AJ153" s="39">
        <v>6139.7493479442464</v>
      </c>
      <c r="AK153" s="39">
        <v>6057.304078846576</v>
      </c>
      <c r="AL153" s="52">
        <v>-82.445269097670462</v>
      </c>
      <c r="AM153" s="39">
        <v>526.14071962364369</v>
      </c>
      <c r="AN153" s="39">
        <v>129.91419040372483</v>
      </c>
      <c r="AO153" s="52">
        <v>-396.22652921991886</v>
      </c>
      <c r="AP153" s="39">
        <v>568.21058573618984</v>
      </c>
      <c r="AQ153" s="39">
        <v>3086.1221551697845</v>
      </c>
      <c r="AR153" s="52">
        <v>2517.9115694335947</v>
      </c>
      <c r="AS153" s="39">
        <v>11411.464666137987</v>
      </c>
      <c r="AT153" s="39">
        <v>3296</v>
      </c>
      <c r="AU153" s="54">
        <v>-8115.4646661379866</v>
      </c>
      <c r="AV153" s="39">
        <v>137.99555972980002</v>
      </c>
      <c r="AW153" s="39">
        <v>0</v>
      </c>
      <c r="AX153" s="55">
        <v>-137.99555972980002</v>
      </c>
      <c r="AY153" s="39">
        <v>220.85066511954076</v>
      </c>
      <c r="AZ153" s="39">
        <v>0</v>
      </c>
      <c r="BA153" s="35">
        <v>-220.85066511954076</v>
      </c>
      <c r="BB153" s="39">
        <v>177.48698710665167</v>
      </c>
      <c r="BC153" s="39">
        <v>0</v>
      </c>
      <c r="BD153" s="55">
        <v>-177.48698710665167</v>
      </c>
      <c r="BE153" s="39">
        <v>87.157379501975697</v>
      </c>
      <c r="BF153" s="39">
        <v>0</v>
      </c>
      <c r="BG153" s="38">
        <v>-87.157379501975697</v>
      </c>
      <c r="BH153" s="39">
        <v>61.458351225803753</v>
      </c>
      <c r="BI153" s="39">
        <v>0</v>
      </c>
      <c r="BJ153" s="55">
        <v>-61.458351225803753</v>
      </c>
      <c r="BK153" s="39">
        <v>128.7899698064362</v>
      </c>
      <c r="BL153" s="39">
        <v>0</v>
      </c>
      <c r="BM153" s="38">
        <v>-128.7899698064362</v>
      </c>
      <c r="BN153" s="39">
        <v>65.148817906898302</v>
      </c>
      <c r="BO153" s="39">
        <v>0</v>
      </c>
      <c r="BP153" s="55">
        <v>-65.148817906898302</v>
      </c>
      <c r="BQ153" s="77">
        <v>878.88773039710645</v>
      </c>
      <c r="BR153" s="40">
        <v>0</v>
      </c>
      <c r="BS153" s="55">
        <v>-878.88773039710645</v>
      </c>
      <c r="BT153" s="39">
        <v>8934.8374435718233</v>
      </c>
      <c r="BU153" s="39">
        <v>2101.5143607639093</v>
      </c>
      <c r="BV153" s="52">
        <v>-6833.323082807914</v>
      </c>
      <c r="BW153" s="39">
        <v>4533.9062185831153</v>
      </c>
      <c r="BX153" s="39">
        <v>5560.3209409933843</v>
      </c>
      <c r="BY153" s="52">
        <v>1026.414722410269</v>
      </c>
      <c r="BZ153" s="39">
        <v>1423.9015292625688</v>
      </c>
      <c r="CA153" s="39">
        <v>8675.6790141404454</v>
      </c>
      <c r="CB153" s="52">
        <v>7251.7774848778763</v>
      </c>
      <c r="CC153" s="39">
        <v>156.87068719932458</v>
      </c>
      <c r="CD153" s="39">
        <v>154.76420934709512</v>
      </c>
      <c r="CE153" s="52">
        <v>-2.1064778522294603</v>
      </c>
      <c r="CF153" s="39">
        <v>19.311732325674427</v>
      </c>
      <c r="CG153" s="39">
        <v>0</v>
      </c>
      <c r="CH153" s="52">
        <v>-19.311732325674427</v>
      </c>
      <c r="CI153" s="39">
        <v>1397.575213230346</v>
      </c>
      <c r="CJ153" s="39">
        <v>1769.8046162103972</v>
      </c>
      <c r="CK153" s="52">
        <v>372.22940298005119</v>
      </c>
      <c r="CL153" s="39">
        <v>1522.358714411627</v>
      </c>
      <c r="CM153" s="39">
        <v>1990.2678326915443</v>
      </c>
      <c r="CN153" s="52">
        <v>467.90911827991727</v>
      </c>
      <c r="CO153" s="39">
        <v>2919.9339276419732</v>
      </c>
      <c r="CP153" s="40">
        <v>3760.0724489019412</v>
      </c>
      <c r="CQ153" s="52">
        <v>840.138521259968</v>
      </c>
      <c r="CR153" s="72">
        <v>44556.188838875496</v>
      </c>
      <c r="CS153" s="5">
        <v>38352.981156602727</v>
      </c>
      <c r="CT153" s="52">
        <v>-6203.2076822727686</v>
      </c>
      <c r="CU153" s="77">
        <v>53467.426606650595</v>
      </c>
      <c r="CV153" s="65">
        <v>46023.577387923273</v>
      </c>
      <c r="CW153" s="35">
        <v>-7443.8492187273223</v>
      </c>
      <c r="CX153" s="39">
        <v>802.01139909975893</v>
      </c>
      <c r="CY153" s="39">
        <v>8245.8606178270784</v>
      </c>
      <c r="CZ153" s="52">
        <v>7443.8492187273196</v>
      </c>
      <c r="DA153" s="150">
        <v>-14292.683290861452</v>
      </c>
      <c r="DB153" s="2">
        <v>1</v>
      </c>
      <c r="DC153" s="713">
        <v>35629.550000000003</v>
      </c>
      <c r="DD153" s="714"/>
      <c r="DE153" s="715">
        <v>8494.8309971248273</v>
      </c>
      <c r="DF153" s="716">
        <v>0</v>
      </c>
      <c r="DG153" s="717">
        <v>66686.170487617899</v>
      </c>
      <c r="DH153" s="718">
        <v>265153.85273263778</v>
      </c>
      <c r="DI153" s="718">
        <v>651233.25606900419</v>
      </c>
      <c r="DJ153" s="693">
        <v>554713.40523491264</v>
      </c>
      <c r="DK153" s="724"/>
      <c r="DL153" s="5"/>
      <c r="DM153" s="306">
        <v>5.8725312662303164</v>
      </c>
      <c r="DN153" s="306">
        <v>7.3537990358006748</v>
      </c>
      <c r="DO153" s="306">
        <v>5.1404164974221018</v>
      </c>
      <c r="DP153" s="719">
        <v>27134.719002875176</v>
      </c>
      <c r="DQ153" s="720">
        <v>0</v>
      </c>
      <c r="DR153" s="650">
        <v>27134.719002875176</v>
      </c>
      <c r="DS153" s="94">
        <v>27134.719002875176</v>
      </c>
      <c r="DT153" s="719">
        <v>27132.58</v>
      </c>
      <c r="DU153" s="721"/>
      <c r="DV153" s="93">
        <v>27132.58</v>
      </c>
      <c r="DW153" s="95">
        <v>27214.920142785151</v>
      </c>
      <c r="DX153" s="28">
        <v>-82.34014278514951</v>
      </c>
      <c r="EA153" s="5">
        <v>14748.42287584211</v>
      </c>
      <c r="EB153" s="5">
        <v>3955.2</v>
      </c>
      <c r="EE153" s="722">
        <v>136937.57599365583</v>
      </c>
      <c r="EG153" s="42" t="s">
        <v>365</v>
      </c>
    </row>
    <row r="154" spans="1:137" x14ac:dyDescent="0.3">
      <c r="A154" s="325">
        <v>150001023</v>
      </c>
      <c r="B154" s="41" t="s">
        <v>622</v>
      </c>
      <c r="C154" s="42" t="s">
        <v>366</v>
      </c>
      <c r="D154" s="27">
        <v>9</v>
      </c>
      <c r="E154" s="709">
        <v>3767.85</v>
      </c>
      <c r="F154" s="723">
        <v>3767.85</v>
      </c>
      <c r="G154" s="28">
        <v>406.43</v>
      </c>
      <c r="H154" s="651">
        <v>0</v>
      </c>
      <c r="I154" s="39">
        <v>1652.5861488015391</v>
      </c>
      <c r="J154" s="39">
        <v>1236.5385610201524</v>
      </c>
      <c r="K154" s="52">
        <v>-416.04758778138671</v>
      </c>
      <c r="L154" s="39">
        <v>374.90728797575917</v>
      </c>
      <c r="M154" s="39">
        <v>195.71779123805032</v>
      </c>
      <c r="N154" s="52">
        <v>-179.18949673770885</v>
      </c>
      <c r="O154" s="39">
        <v>798.36</v>
      </c>
      <c r="P154" s="39">
        <v>798.36</v>
      </c>
      <c r="Q154" s="52">
        <v>0</v>
      </c>
      <c r="R154" s="39">
        <v>196.26</v>
      </c>
      <c r="S154" s="39">
        <v>196.26</v>
      </c>
      <c r="T154" s="52">
        <v>0</v>
      </c>
      <c r="U154" s="39">
        <v>121.13538847560967</v>
      </c>
      <c r="V154" s="39">
        <v>21.918671052203294</v>
      </c>
      <c r="W154" s="52">
        <v>-99.216717423406379</v>
      </c>
      <c r="X154" s="39">
        <v>1216.3509927181026</v>
      </c>
      <c r="Y154" s="39">
        <v>797.97467717543805</v>
      </c>
      <c r="Z154" s="52">
        <v>-418.37631554266454</v>
      </c>
      <c r="AA154" s="39">
        <v>0</v>
      </c>
      <c r="AB154" s="39">
        <v>0</v>
      </c>
      <c r="AC154" s="52">
        <v>0</v>
      </c>
      <c r="AD154" s="39">
        <v>2685.1153070637974</v>
      </c>
      <c r="AE154" s="39">
        <v>2253.1241617486917</v>
      </c>
      <c r="AF154" s="35">
        <v>-431.99114531510577</v>
      </c>
      <c r="AG154" s="77">
        <v>7044.7151250348079</v>
      </c>
      <c r="AH154" s="53">
        <v>5499.8938622345358</v>
      </c>
      <c r="AI154" s="52">
        <v>-1544.8212628002721</v>
      </c>
      <c r="AJ154" s="39">
        <v>4964.0659391358995</v>
      </c>
      <c r="AK154" s="39">
        <v>4897.3859001845331</v>
      </c>
      <c r="AL154" s="52">
        <v>-66.680038951366441</v>
      </c>
      <c r="AM154" s="39">
        <v>0</v>
      </c>
      <c r="AN154" s="39">
        <v>0</v>
      </c>
      <c r="AO154" s="52">
        <v>0</v>
      </c>
      <c r="AP154" s="39">
        <v>568.21058573618984</v>
      </c>
      <c r="AQ154" s="39">
        <v>0</v>
      </c>
      <c r="AR154" s="52">
        <v>-568.21058573618984</v>
      </c>
      <c r="AS154" s="39">
        <v>10361.984393040482</v>
      </c>
      <c r="AT154" s="39">
        <v>451.16445362609772</v>
      </c>
      <c r="AU154" s="54">
        <v>-9910.8199394143849</v>
      </c>
      <c r="AV154" s="39">
        <v>137.99555972980002</v>
      </c>
      <c r="AW154" s="39">
        <v>0</v>
      </c>
      <c r="AX154" s="55">
        <v>-137.99555972980002</v>
      </c>
      <c r="AY154" s="39">
        <v>220.85066511954076</v>
      </c>
      <c r="AZ154" s="39">
        <v>0</v>
      </c>
      <c r="BA154" s="35">
        <v>-220.85066511954076</v>
      </c>
      <c r="BB154" s="39">
        <v>317.2358755353203</v>
      </c>
      <c r="BC154" s="39">
        <v>0</v>
      </c>
      <c r="BD154" s="55">
        <v>-317.2358755353203</v>
      </c>
      <c r="BE154" s="39">
        <v>109.91849602876229</v>
      </c>
      <c r="BF154" s="39">
        <v>0</v>
      </c>
      <c r="BG154" s="38">
        <v>-109.91849602876229</v>
      </c>
      <c r="BH154" s="39">
        <v>61.458351225803753</v>
      </c>
      <c r="BI154" s="39">
        <v>0</v>
      </c>
      <c r="BJ154" s="55">
        <v>-61.458351225803753</v>
      </c>
      <c r="BK154" s="39">
        <v>133.88047942032034</v>
      </c>
      <c r="BL154" s="39">
        <v>0</v>
      </c>
      <c r="BM154" s="38">
        <v>-133.88047942032034</v>
      </c>
      <c r="BN154" s="39">
        <v>63.148545077137236</v>
      </c>
      <c r="BO154" s="39">
        <v>0</v>
      </c>
      <c r="BP154" s="55">
        <v>-63.148545077137236</v>
      </c>
      <c r="BQ154" s="77">
        <v>1044.4879721366847</v>
      </c>
      <c r="BR154" s="40">
        <v>0</v>
      </c>
      <c r="BS154" s="55">
        <v>-1044.4879721366847</v>
      </c>
      <c r="BT154" s="39">
        <v>8098.8418938056129</v>
      </c>
      <c r="BU154" s="39">
        <v>1552.9893096882633</v>
      </c>
      <c r="BV154" s="52">
        <v>-6545.8525841173496</v>
      </c>
      <c r="BW154" s="39">
        <v>6213.7072475330815</v>
      </c>
      <c r="BX154" s="39">
        <v>4966.1943329548449</v>
      </c>
      <c r="BY154" s="52">
        <v>-1247.5129145782366</v>
      </c>
      <c r="BZ154" s="39">
        <v>1255.1107704746041</v>
      </c>
      <c r="CA154" s="39">
        <v>6955.22331334726</v>
      </c>
      <c r="CB154" s="52">
        <v>5700.1125428726555</v>
      </c>
      <c r="CC154" s="39">
        <v>156.87068719932458</v>
      </c>
      <c r="CD154" s="39">
        <v>154.76420934709512</v>
      </c>
      <c r="CE154" s="52">
        <v>-2.1064778522294603</v>
      </c>
      <c r="CF154" s="39">
        <v>19.311732325674427</v>
      </c>
      <c r="CG154" s="39">
        <v>0</v>
      </c>
      <c r="CH154" s="52">
        <v>-19.311732325674427</v>
      </c>
      <c r="CI154" s="39">
        <v>1207.2803739288927</v>
      </c>
      <c r="CJ154" s="39">
        <v>865.19841658526843</v>
      </c>
      <c r="CK154" s="52">
        <v>-342.08195734362425</v>
      </c>
      <c r="CL154" s="39">
        <v>1491.1628391163067</v>
      </c>
      <c r="CM154" s="39">
        <v>1876.3901072264425</v>
      </c>
      <c r="CN154" s="52">
        <v>385.22726811013581</v>
      </c>
      <c r="CO154" s="39">
        <v>2698.4432130451996</v>
      </c>
      <c r="CP154" s="40">
        <v>2741.5885238117107</v>
      </c>
      <c r="CQ154" s="52">
        <v>43.145310766511102</v>
      </c>
      <c r="CR154" s="72">
        <v>42425.749559467557</v>
      </c>
      <c r="CS154" s="5">
        <v>27219.203905194339</v>
      </c>
      <c r="CT154" s="52">
        <v>-15206.545654273217</v>
      </c>
      <c r="CU154" s="77">
        <v>50910.899471361066</v>
      </c>
      <c r="CV154" s="65">
        <v>32663.044686233206</v>
      </c>
      <c r="CW154" s="35">
        <v>-18247.85478512786</v>
      </c>
      <c r="CX154" s="39">
        <v>763.66349207041594</v>
      </c>
      <c r="CY154" s="39">
        <v>19011.518277198273</v>
      </c>
      <c r="CZ154" s="52">
        <v>18247.854785127856</v>
      </c>
      <c r="DA154" s="150">
        <v>54385.089245762036</v>
      </c>
      <c r="DB154" s="2">
        <v>1</v>
      </c>
      <c r="DC154" s="713">
        <v>69434.55</v>
      </c>
      <c r="DD154" s="714"/>
      <c r="DE154" s="715">
        <v>43597.268518284262</v>
      </c>
      <c r="DF154" s="716">
        <v>0</v>
      </c>
      <c r="DG154" s="717">
        <v>-30755.780692639593</v>
      </c>
      <c r="DH154" s="718">
        <v>254090.84880682715</v>
      </c>
      <c r="DI154" s="718">
        <v>620094.75556117785</v>
      </c>
      <c r="DJ154" s="693">
        <v>528593.77887259016</v>
      </c>
      <c r="DK154" s="724"/>
      <c r="DL154" s="5"/>
      <c r="DM154" s="306">
        <v>5.8139382288998096</v>
      </c>
      <c r="DN154" s="306">
        <v>6.9834541852383785</v>
      </c>
      <c r="DO154" s="306">
        <v>4.8096127611270356</v>
      </c>
      <c r="DP154" s="719">
        <v>25837.281481715741</v>
      </c>
      <c r="DQ154" s="720">
        <v>0</v>
      </c>
      <c r="DR154" s="650">
        <v>25837.281481715741</v>
      </c>
      <c r="DS154" s="94">
        <v>25837.281481715741</v>
      </c>
      <c r="DT154" s="719">
        <v>25837.47</v>
      </c>
      <c r="DU154" s="721"/>
      <c r="DV154" s="93">
        <v>25837.47</v>
      </c>
      <c r="DW154" s="95">
        <v>25913.647830922782</v>
      </c>
      <c r="DX154" s="28">
        <v>-76.177830922781141</v>
      </c>
      <c r="EA154" s="5">
        <v>13687.766838212601</v>
      </c>
      <c r="EB154" s="5">
        <v>541.3973443513172</v>
      </c>
      <c r="EE154" s="722">
        <v>124343.81271648579</v>
      </c>
      <c r="EG154" s="42" t="s">
        <v>366</v>
      </c>
    </row>
    <row r="155" spans="1:137" x14ac:dyDescent="0.3">
      <c r="A155" s="325">
        <v>150001024</v>
      </c>
      <c r="B155" s="41" t="s">
        <v>623</v>
      </c>
      <c r="C155" s="42" t="s">
        <v>367</v>
      </c>
      <c r="D155" s="27">
        <v>9</v>
      </c>
      <c r="E155" s="709">
        <v>4293.3200000000006</v>
      </c>
      <c r="F155" s="723">
        <v>4227.22</v>
      </c>
      <c r="G155" s="28">
        <v>344.66</v>
      </c>
      <c r="H155" s="651">
        <v>66.099999999999994</v>
      </c>
      <c r="I155" s="39">
        <v>2612.839205832151</v>
      </c>
      <c r="J155" s="39">
        <v>1956.8752075420894</v>
      </c>
      <c r="K155" s="52">
        <v>-655.96399829006168</v>
      </c>
      <c r="L155" s="39">
        <v>407.55257968286838</v>
      </c>
      <c r="M155" s="39">
        <v>212.76135579995372</v>
      </c>
      <c r="N155" s="52">
        <v>-194.79122388291466</v>
      </c>
      <c r="O155" s="39">
        <v>1010.48</v>
      </c>
      <c r="P155" s="39">
        <v>1010.48</v>
      </c>
      <c r="Q155" s="52">
        <v>0</v>
      </c>
      <c r="R155" s="39">
        <v>233.44</v>
      </c>
      <c r="S155" s="39">
        <v>233.44</v>
      </c>
      <c r="T155" s="52">
        <v>0</v>
      </c>
      <c r="U155" s="39">
        <v>130.00964065633656</v>
      </c>
      <c r="V155" s="39">
        <v>23.524434499251157</v>
      </c>
      <c r="W155" s="52">
        <v>-106.4852061570854</v>
      </c>
      <c r="X155" s="39">
        <v>1127.611659990966</v>
      </c>
      <c r="Y155" s="39">
        <v>731.01739652627066</v>
      </c>
      <c r="Z155" s="52">
        <v>-396.59426346469536</v>
      </c>
      <c r="AA155" s="39">
        <v>0</v>
      </c>
      <c r="AB155" s="39">
        <v>0</v>
      </c>
      <c r="AC155" s="52">
        <v>0</v>
      </c>
      <c r="AD155" s="39">
        <v>3059.5855063559175</v>
      </c>
      <c r="AE155" s="39">
        <v>2567.3482293931274</v>
      </c>
      <c r="AF155" s="35">
        <v>-492.23727696279002</v>
      </c>
      <c r="AG155" s="77">
        <v>8581.5185925182395</v>
      </c>
      <c r="AH155" s="53">
        <v>6735.446623760693</v>
      </c>
      <c r="AI155" s="52">
        <v>-1846.0719687575465</v>
      </c>
      <c r="AJ155" s="39">
        <v>6913.0950965152351</v>
      </c>
      <c r="AK155" s="39">
        <v>6820.2432671123333</v>
      </c>
      <c r="AL155" s="52">
        <v>-92.851829402901785</v>
      </c>
      <c r="AM155" s="39">
        <v>0</v>
      </c>
      <c r="AN155" s="39">
        <v>0</v>
      </c>
      <c r="AO155" s="52">
        <v>0</v>
      </c>
      <c r="AP155" s="39">
        <v>552.42695835462905</v>
      </c>
      <c r="AQ155" s="39">
        <v>0</v>
      </c>
      <c r="AR155" s="52">
        <v>-552.42695835462905</v>
      </c>
      <c r="AS155" s="39">
        <v>11046.006216479449</v>
      </c>
      <c r="AT155" s="39">
        <v>19138</v>
      </c>
      <c r="AU155" s="54">
        <v>8091.993783520551</v>
      </c>
      <c r="AV155" s="39">
        <v>206.77985978735606</v>
      </c>
      <c r="AW155" s="39">
        <v>1460</v>
      </c>
      <c r="AX155" s="55">
        <v>1253.2201402126439</v>
      </c>
      <c r="AY155" s="39">
        <v>249.72595634349193</v>
      </c>
      <c r="AZ155" s="39">
        <v>0</v>
      </c>
      <c r="BA155" s="35">
        <v>-249.72595634349193</v>
      </c>
      <c r="BB155" s="39">
        <v>261.65200467571259</v>
      </c>
      <c r="BC155" s="39">
        <v>0</v>
      </c>
      <c r="BD155" s="55">
        <v>-261.65200467571259</v>
      </c>
      <c r="BE155" s="39">
        <v>136.18455916075749</v>
      </c>
      <c r="BF155" s="39">
        <v>0</v>
      </c>
      <c r="BG155" s="38">
        <v>-136.18455916075749</v>
      </c>
      <c r="BH155" s="39">
        <v>65.961235315382794</v>
      </c>
      <c r="BI155" s="39">
        <v>0</v>
      </c>
      <c r="BJ155" s="55">
        <v>-65.961235315382794</v>
      </c>
      <c r="BK155" s="39">
        <v>127.29001511917984</v>
      </c>
      <c r="BL155" s="39">
        <v>0</v>
      </c>
      <c r="BM155" s="38">
        <v>-127.29001511917984</v>
      </c>
      <c r="BN155" s="39">
        <v>63.815302687057624</v>
      </c>
      <c r="BO155" s="39">
        <v>0</v>
      </c>
      <c r="BP155" s="55">
        <v>-63.815302687057624</v>
      </c>
      <c r="BQ155" s="77">
        <v>1111.4089330889383</v>
      </c>
      <c r="BR155" s="40">
        <v>1460</v>
      </c>
      <c r="BS155" s="55">
        <v>348.59106691106172</v>
      </c>
      <c r="BT155" s="39">
        <v>10007.904790429529</v>
      </c>
      <c r="BU155" s="39">
        <v>1914.8828839172552</v>
      </c>
      <c r="BV155" s="52">
        <v>-8093.0219065122747</v>
      </c>
      <c r="BW155" s="39">
        <v>6922.2340613249498</v>
      </c>
      <c r="BX155" s="39">
        <v>5533.9468740686625</v>
      </c>
      <c r="BY155" s="52">
        <v>-1388.2871872562873</v>
      </c>
      <c r="BZ155" s="39">
        <v>1731.1872696201444</v>
      </c>
      <c r="CA155" s="39">
        <v>7985.7781269057177</v>
      </c>
      <c r="CB155" s="52">
        <v>6254.5908572855733</v>
      </c>
      <c r="CC155" s="39">
        <v>117.65301539949343</v>
      </c>
      <c r="CD155" s="39">
        <v>116.07315701032135</v>
      </c>
      <c r="CE155" s="52">
        <v>-1.5798583891720739</v>
      </c>
      <c r="CF155" s="39">
        <v>14.48379924425582</v>
      </c>
      <c r="CG155" s="39">
        <v>0</v>
      </c>
      <c r="CH155" s="52">
        <v>-14.48379924425582</v>
      </c>
      <c r="CI155" s="39">
        <v>2395.843222680593</v>
      </c>
      <c r="CJ155" s="39">
        <v>2244.5594066566755</v>
      </c>
      <c r="CK155" s="52">
        <v>-151.28381602391755</v>
      </c>
      <c r="CL155" s="39">
        <v>1715.7731412426126</v>
      </c>
      <c r="CM155" s="39">
        <v>2717.0575797887786</v>
      </c>
      <c r="CN155" s="52">
        <v>1001.284438546166</v>
      </c>
      <c r="CO155" s="39">
        <v>4111.6163639232054</v>
      </c>
      <c r="CP155" s="40">
        <v>4961.6169864454541</v>
      </c>
      <c r="CQ155" s="52">
        <v>850.0006225222487</v>
      </c>
      <c r="CR155" s="72">
        <v>51109.535096898064</v>
      </c>
      <c r="CS155" s="5">
        <v>54665.987919220439</v>
      </c>
      <c r="CT155" s="52">
        <v>3556.4528223223751</v>
      </c>
      <c r="CU155" s="77">
        <v>61331.442116277671</v>
      </c>
      <c r="CV155" s="65">
        <v>65599.185503064524</v>
      </c>
      <c r="CW155" s="35">
        <v>4267.7433867868531</v>
      </c>
      <c r="CX155" s="39">
        <v>919.97163174416505</v>
      </c>
      <c r="CY155" s="39">
        <v>-3347.7717550426933</v>
      </c>
      <c r="CZ155" s="52">
        <v>-4267.7433867868585</v>
      </c>
      <c r="DA155" s="150">
        <v>-18442.141695619193</v>
      </c>
      <c r="DB155" s="2">
        <v>1</v>
      </c>
      <c r="DC155" s="713">
        <v>43737.96</v>
      </c>
      <c r="DD155" s="714">
        <v>1349.97</v>
      </c>
      <c r="DE155" s="715">
        <v>12945.655051872262</v>
      </c>
      <c r="DF155" s="716">
        <v>1016.5680741168203</v>
      </c>
      <c r="DG155" s="717">
        <v>-6386.2796844294062</v>
      </c>
      <c r="DH155" s="718">
        <v>305379.43832711386</v>
      </c>
      <c r="DI155" s="718">
        <v>747016.96497626207</v>
      </c>
      <c r="DJ155" s="693">
        <v>636607.58331397502</v>
      </c>
      <c r="DK155" s="724"/>
      <c r="DL155" s="5"/>
      <c r="DM155" s="306">
        <v>6.0411627952491722</v>
      </c>
      <c r="DN155" s="306">
        <v>7.3946462589418207</v>
      </c>
      <c r="DO155" s="306">
        <v>5.0439020557213281</v>
      </c>
      <c r="DP155" s="719">
        <v>30792.304948127738</v>
      </c>
      <c r="DQ155" s="720">
        <v>333.40192588317979</v>
      </c>
      <c r="DR155" s="650">
        <v>31125.706874010917</v>
      </c>
      <c r="DS155" s="94">
        <v>31125.706874010917</v>
      </c>
      <c r="DT155" s="719">
        <v>30792.16</v>
      </c>
      <c r="DU155" s="725">
        <v>333.4</v>
      </c>
      <c r="DV155" s="93">
        <v>31125.56</v>
      </c>
      <c r="DW155" s="95">
        <v>31217.70403718534</v>
      </c>
      <c r="DX155" s="28">
        <v>-92.144037185338675</v>
      </c>
      <c r="EA155" s="5">
        <v>14588.898179482065</v>
      </c>
      <c r="EB155" s="5">
        <v>24717.599999999999</v>
      </c>
      <c r="EE155" s="722">
        <v>132552.07459775338</v>
      </c>
      <c r="EG155" s="42" t="s">
        <v>367</v>
      </c>
    </row>
    <row r="156" spans="1:137" x14ac:dyDescent="0.3">
      <c r="A156" s="325">
        <v>150001025</v>
      </c>
      <c r="B156" s="41" t="s">
        <v>624</v>
      </c>
      <c r="C156" s="42" t="s">
        <v>421</v>
      </c>
      <c r="D156" s="27">
        <v>10</v>
      </c>
      <c r="E156" s="709">
        <v>5265.4</v>
      </c>
      <c r="F156" s="723">
        <v>5062.2</v>
      </c>
      <c r="G156" s="28">
        <v>311.8</v>
      </c>
      <c r="H156" s="651">
        <v>203.2</v>
      </c>
      <c r="I156" s="39">
        <v>3105.0042771839958</v>
      </c>
      <c r="J156" s="39">
        <v>2326.2064095275364</v>
      </c>
      <c r="K156" s="52">
        <v>-778.7978676564594</v>
      </c>
      <c r="L156" s="39">
        <v>515.65801510687027</v>
      </c>
      <c r="M156" s="39">
        <v>269.19563604118053</v>
      </c>
      <c r="N156" s="52">
        <v>-246.46237906568973</v>
      </c>
      <c r="O156" s="39">
        <v>1293.08</v>
      </c>
      <c r="P156" s="39">
        <v>1293.08</v>
      </c>
      <c r="Q156" s="52">
        <v>0</v>
      </c>
      <c r="R156" s="39">
        <v>264.98</v>
      </c>
      <c r="S156" s="39">
        <v>264.98</v>
      </c>
      <c r="T156" s="52">
        <v>0</v>
      </c>
      <c r="U156" s="39">
        <v>138.88381114641354</v>
      </c>
      <c r="V156" s="39">
        <v>25.13019794629902</v>
      </c>
      <c r="W156" s="52">
        <v>-113.75361320011451</v>
      </c>
      <c r="X156" s="39">
        <v>1186.0641134234106</v>
      </c>
      <c r="Y156" s="39">
        <v>776.76476789122557</v>
      </c>
      <c r="Z156" s="52">
        <v>-409.29934553218504</v>
      </c>
      <c r="AA156" s="39">
        <v>0</v>
      </c>
      <c r="AB156" s="39">
        <v>0</v>
      </c>
      <c r="AC156" s="52">
        <v>0</v>
      </c>
      <c r="AD156" s="39">
        <v>3752.3272258220782</v>
      </c>
      <c r="AE156" s="39">
        <v>3148.6391340609525</v>
      </c>
      <c r="AF156" s="35">
        <v>-603.68809176112563</v>
      </c>
      <c r="AG156" s="77">
        <v>10255.997442682768</v>
      </c>
      <c r="AH156" s="53">
        <v>8103.9961454671929</v>
      </c>
      <c r="AI156" s="52">
        <v>-2152.0012972155755</v>
      </c>
      <c r="AJ156" s="39">
        <v>7106.4203922739471</v>
      </c>
      <c r="AK156" s="39">
        <v>7010.9945518431205</v>
      </c>
      <c r="AL156" s="52">
        <v>-95.425840430826611</v>
      </c>
      <c r="AM156" s="39">
        <v>0</v>
      </c>
      <c r="AN156" s="39">
        <v>0</v>
      </c>
      <c r="AO156" s="52">
        <v>0</v>
      </c>
      <c r="AP156" s="39">
        <v>607.66965419009193</v>
      </c>
      <c r="AQ156" s="39">
        <v>0</v>
      </c>
      <c r="AR156" s="52">
        <v>-607.66965419009193</v>
      </c>
      <c r="AS156" s="39">
        <v>12984.424745619957</v>
      </c>
      <c r="AT156" s="39">
        <v>27383</v>
      </c>
      <c r="AU156" s="54">
        <v>14398.575254380043</v>
      </c>
      <c r="AV156" s="39">
        <v>253.79559344136993</v>
      </c>
      <c r="AW156" s="39">
        <v>562</v>
      </c>
      <c r="AX156" s="55">
        <v>308.20440655863007</v>
      </c>
      <c r="AY156" s="39">
        <v>299.85918245111566</v>
      </c>
      <c r="AZ156" s="39">
        <v>0</v>
      </c>
      <c r="BA156" s="35">
        <v>-299.85918245111566</v>
      </c>
      <c r="BB156" s="39">
        <v>314.1999342756028</v>
      </c>
      <c r="BC156" s="39">
        <v>0</v>
      </c>
      <c r="BD156" s="55">
        <v>-314.1999342756028</v>
      </c>
      <c r="BE156" s="39">
        <v>149.09893932882818</v>
      </c>
      <c r="BF156" s="39">
        <v>0</v>
      </c>
      <c r="BG156" s="38">
        <v>-149.09893932882818</v>
      </c>
      <c r="BH156" s="39">
        <v>70.464078559636903</v>
      </c>
      <c r="BI156" s="39">
        <v>0</v>
      </c>
      <c r="BJ156" s="55">
        <v>-70.464078559636903</v>
      </c>
      <c r="BK156" s="39">
        <v>139.13578215632674</v>
      </c>
      <c r="BL156" s="39">
        <v>0</v>
      </c>
      <c r="BM156" s="38">
        <v>-139.13578215632674</v>
      </c>
      <c r="BN156" s="39">
        <v>80.877523551507238</v>
      </c>
      <c r="BO156" s="39">
        <v>0</v>
      </c>
      <c r="BP156" s="55">
        <v>-80.877523551507238</v>
      </c>
      <c r="BQ156" s="77">
        <v>1307.4310337643874</v>
      </c>
      <c r="BR156" s="40">
        <v>562</v>
      </c>
      <c r="BS156" s="55">
        <v>-745.43103376438739</v>
      </c>
      <c r="BT156" s="39">
        <v>12932.82197640883</v>
      </c>
      <c r="BU156" s="39">
        <v>2326.9151504441111</v>
      </c>
      <c r="BV156" s="52">
        <v>-10605.906825964719</v>
      </c>
      <c r="BW156" s="39">
        <v>7588.0457957871631</v>
      </c>
      <c r="BX156" s="39">
        <v>6095.7941814425085</v>
      </c>
      <c r="BY156" s="52">
        <v>-1492.2516143446546</v>
      </c>
      <c r="BZ156" s="39">
        <v>1298.3904522151083</v>
      </c>
      <c r="CA156" s="39">
        <v>9674.4084894016632</v>
      </c>
      <c r="CB156" s="52">
        <v>8376.0180371865554</v>
      </c>
      <c r="CC156" s="39">
        <v>98.044179499577865</v>
      </c>
      <c r="CD156" s="39">
        <v>96.727630841934442</v>
      </c>
      <c r="CE156" s="52">
        <v>-1.3165486576434233</v>
      </c>
      <c r="CF156" s="39">
        <v>12.069832703546517</v>
      </c>
      <c r="CG156" s="39">
        <v>0</v>
      </c>
      <c r="CH156" s="52">
        <v>-12.069832703546517</v>
      </c>
      <c r="CI156" s="39">
        <v>2002.775193959558</v>
      </c>
      <c r="CJ156" s="39">
        <v>2547.4830845930137</v>
      </c>
      <c r="CK156" s="52">
        <v>544.70789063345569</v>
      </c>
      <c r="CL156" s="39">
        <v>1690.8164410063562</v>
      </c>
      <c r="CM156" s="39">
        <v>2516.776279971823</v>
      </c>
      <c r="CN156" s="52">
        <v>825.95983896546682</v>
      </c>
      <c r="CO156" s="39">
        <v>3693.5916349659142</v>
      </c>
      <c r="CP156" s="40">
        <v>5064.2593645648367</v>
      </c>
      <c r="CQ156" s="52">
        <v>1370.6677295989225</v>
      </c>
      <c r="CR156" s="72">
        <v>57884.907140111296</v>
      </c>
      <c r="CS156" s="5">
        <v>66318.095514005356</v>
      </c>
      <c r="CT156" s="52">
        <v>8433.1883738940596</v>
      </c>
      <c r="CU156" s="77">
        <v>69461.888568133552</v>
      </c>
      <c r="CV156" s="65">
        <v>79581.714616806421</v>
      </c>
      <c r="CW156" s="35">
        <v>10119.826048672869</v>
      </c>
      <c r="CX156" s="39">
        <v>1736.5472142033389</v>
      </c>
      <c r="CY156" s="39">
        <v>-8383.2788344695437</v>
      </c>
      <c r="CZ156" s="52">
        <v>-10119.826048672883</v>
      </c>
      <c r="DA156" s="150">
        <v>-67940.223042873782</v>
      </c>
      <c r="DB156" s="2">
        <v>1</v>
      </c>
      <c r="DC156" s="713">
        <v>39843.72</v>
      </c>
      <c r="DD156" s="714">
        <v>2978.7400000000002</v>
      </c>
      <c r="DE156" s="715">
        <v>5229.4462870319112</v>
      </c>
      <c r="DF156" s="716">
        <v>1993.7958217996497</v>
      </c>
      <c r="DG156" s="717">
        <v>-23593.273924216468</v>
      </c>
      <c r="DH156" s="718">
        <v>340381.09501527878</v>
      </c>
      <c r="DI156" s="718">
        <v>854381.2293880427</v>
      </c>
      <c r="DJ156" s="693">
        <v>725881.19579485175</v>
      </c>
      <c r="DK156" s="724"/>
      <c r="DL156" s="5"/>
      <c r="DM156" s="306">
        <v>5.7690279049624094</v>
      </c>
      <c r="DN156" s="306">
        <v>6.9079426600288008</v>
      </c>
      <c r="DO156" s="306">
        <v>4.8471662313009372</v>
      </c>
      <c r="DP156" s="719">
        <v>34614.27371296809</v>
      </c>
      <c r="DQ156" s="720">
        <v>984.94417820035039</v>
      </c>
      <c r="DR156" s="650">
        <v>35599.217891168439</v>
      </c>
      <c r="DS156" s="94">
        <v>35599.217891168453</v>
      </c>
      <c r="DT156" s="719">
        <v>34613.4</v>
      </c>
      <c r="DU156" s="725">
        <v>984.95</v>
      </c>
      <c r="DV156" s="93">
        <v>35598.35</v>
      </c>
      <c r="DW156" s="95">
        <v>35772.872612588777</v>
      </c>
      <c r="DX156" s="28">
        <v>-174.52261258877843</v>
      </c>
      <c r="EA156" s="5">
        <v>17150.226935261213</v>
      </c>
      <c r="EB156" s="5">
        <v>33534</v>
      </c>
      <c r="EE156" s="722">
        <v>155813.09694743948</v>
      </c>
      <c r="EG156" s="42" t="s">
        <v>421</v>
      </c>
    </row>
    <row r="157" spans="1:137" x14ac:dyDescent="0.3">
      <c r="A157" s="325">
        <v>150001026</v>
      </c>
      <c r="B157" s="41" t="s">
        <v>625</v>
      </c>
      <c r="C157" s="42" t="s">
        <v>335</v>
      </c>
      <c r="D157" s="27">
        <v>8</v>
      </c>
      <c r="E157" s="709">
        <v>7052.84</v>
      </c>
      <c r="F157" s="723">
        <v>7052.84</v>
      </c>
      <c r="G157" s="28">
        <v>879.7</v>
      </c>
      <c r="H157" s="651">
        <v>0</v>
      </c>
      <c r="I157" s="39">
        <v>1928.5014906753588</v>
      </c>
      <c r="J157" s="39">
        <v>1450.0187923196627</v>
      </c>
      <c r="K157" s="52">
        <v>-478.48269835569613</v>
      </c>
      <c r="L157" s="39">
        <v>643.87058528417276</v>
      </c>
      <c r="M157" s="39">
        <v>336.13410713022699</v>
      </c>
      <c r="N157" s="52">
        <v>-307.73647815394577</v>
      </c>
      <c r="O157" s="39">
        <v>1683.56</v>
      </c>
      <c r="P157" s="39">
        <v>1683.56</v>
      </c>
      <c r="Q157" s="52">
        <v>0</v>
      </c>
      <c r="R157" s="39">
        <v>381.46</v>
      </c>
      <c r="S157" s="39">
        <v>381.46</v>
      </c>
      <c r="T157" s="52">
        <v>0</v>
      </c>
      <c r="U157" s="39">
        <v>375.28698797765099</v>
      </c>
      <c r="V157" s="39">
        <v>67.905951994046191</v>
      </c>
      <c r="W157" s="52">
        <v>-307.38103598360482</v>
      </c>
      <c r="X157" s="39">
        <v>3048.0559394023562</v>
      </c>
      <c r="Y157" s="39">
        <v>2075.8826525005406</v>
      </c>
      <c r="Z157" s="52">
        <v>-972.17328690181557</v>
      </c>
      <c r="AA157" s="39">
        <v>0</v>
      </c>
      <c r="AB157" s="39">
        <v>0</v>
      </c>
      <c r="AC157" s="52">
        <v>0</v>
      </c>
      <c r="AD157" s="39">
        <v>5026.1259451071119</v>
      </c>
      <c r="AE157" s="39">
        <v>4217.5044688476573</v>
      </c>
      <c r="AF157" s="35">
        <v>-808.62147625945454</v>
      </c>
      <c r="AG157" s="77">
        <v>13086.860948446651</v>
      </c>
      <c r="AH157" s="53">
        <v>10212.465972792133</v>
      </c>
      <c r="AI157" s="52">
        <v>-2874.3949756545171</v>
      </c>
      <c r="AJ157" s="39">
        <v>10450.68507223648</v>
      </c>
      <c r="AK157" s="39">
        <v>10310.330072756577</v>
      </c>
      <c r="AL157" s="52">
        <v>-140.3549994799032</v>
      </c>
      <c r="AM157" s="39">
        <v>1052.2814392472874</v>
      </c>
      <c r="AN157" s="39">
        <v>0</v>
      </c>
      <c r="AO157" s="52">
        <v>-1052.2814392472874</v>
      </c>
      <c r="AP157" s="39">
        <v>1010.152152419893</v>
      </c>
      <c r="AQ157" s="39">
        <v>0</v>
      </c>
      <c r="AR157" s="52">
        <v>-1010.152152419893</v>
      </c>
      <c r="AS157" s="39">
        <v>23490.658100615346</v>
      </c>
      <c r="AT157" s="39">
        <v>433</v>
      </c>
      <c r="AU157" s="54">
        <v>-23057.658100615346</v>
      </c>
      <c r="AV157" s="39">
        <v>94.43378304313336</v>
      </c>
      <c r="AW157" s="39">
        <v>913</v>
      </c>
      <c r="AX157" s="55">
        <v>818.56621695686658</v>
      </c>
      <c r="AY157" s="39">
        <v>164.69565160645897</v>
      </c>
      <c r="AZ157" s="39">
        <v>3436</v>
      </c>
      <c r="BA157" s="35">
        <v>3271.3043483935412</v>
      </c>
      <c r="BB157" s="39">
        <v>85.522569153203989</v>
      </c>
      <c r="BC157" s="39">
        <v>0</v>
      </c>
      <c r="BD157" s="55">
        <v>-85.522569153203989</v>
      </c>
      <c r="BE157" s="39">
        <v>77.168991502675269</v>
      </c>
      <c r="BF157" s="39">
        <v>0</v>
      </c>
      <c r="BG157" s="38">
        <v>-77.168991502675269</v>
      </c>
      <c r="BH157" s="39">
        <v>114.23216904794364</v>
      </c>
      <c r="BI157" s="39">
        <v>0</v>
      </c>
      <c r="BJ157" s="55">
        <v>-114.23216904794364</v>
      </c>
      <c r="BK157" s="39">
        <v>117.81904756011804</v>
      </c>
      <c r="BL157" s="39">
        <v>0</v>
      </c>
      <c r="BM157" s="38">
        <v>-117.81904756011804</v>
      </c>
      <c r="BN157" s="39">
        <v>186.43229164545758</v>
      </c>
      <c r="BO157" s="39">
        <v>0</v>
      </c>
      <c r="BP157" s="55">
        <v>-186.43229164545758</v>
      </c>
      <c r="BQ157" s="77">
        <v>840.30450355899086</v>
      </c>
      <c r="BR157" s="40">
        <v>4349</v>
      </c>
      <c r="BS157" s="55">
        <v>3508.6954964410093</v>
      </c>
      <c r="BT157" s="39">
        <v>17257.130629112617</v>
      </c>
      <c r="BU157" s="39">
        <v>3961.2947709186865</v>
      </c>
      <c r="BV157" s="52">
        <v>-13295.83585819393</v>
      </c>
      <c r="BW157" s="39">
        <v>8645.2856067834819</v>
      </c>
      <c r="BX157" s="39">
        <v>9416.8690200018282</v>
      </c>
      <c r="BY157" s="52">
        <v>771.58341321834632</v>
      </c>
      <c r="BZ157" s="39">
        <v>2077.424723544173</v>
      </c>
      <c r="CA157" s="39">
        <v>16382.554036751984</v>
      </c>
      <c r="CB157" s="52">
        <v>14305.129313207812</v>
      </c>
      <c r="CC157" s="39">
        <v>496.83887961411079</v>
      </c>
      <c r="CD157" s="39">
        <v>490.16726929150286</v>
      </c>
      <c r="CE157" s="52">
        <v>-6.6716103226079326</v>
      </c>
      <c r="CF157" s="39">
        <v>61.163877225221974</v>
      </c>
      <c r="CG157" s="39">
        <v>0</v>
      </c>
      <c r="CH157" s="52">
        <v>-61.163877225221974</v>
      </c>
      <c r="CI157" s="39">
        <v>4280.0740905179355</v>
      </c>
      <c r="CJ157" s="39">
        <v>6191.7783622637053</v>
      </c>
      <c r="CK157" s="52">
        <v>1911.7042717457698</v>
      </c>
      <c r="CL157" s="39">
        <v>4342.4658411085748</v>
      </c>
      <c r="CM157" s="39">
        <v>6046.5857023302788</v>
      </c>
      <c r="CN157" s="52">
        <v>1704.119861221704</v>
      </c>
      <c r="CO157" s="39">
        <v>8622.5399316265102</v>
      </c>
      <c r="CP157" s="40">
        <v>12238.364064593985</v>
      </c>
      <c r="CQ157" s="52">
        <v>3615.8241329674747</v>
      </c>
      <c r="CR157" s="72">
        <v>87091.325864430764</v>
      </c>
      <c r="CS157" s="5">
        <v>67794.045207106697</v>
      </c>
      <c r="CT157" s="52">
        <v>-19297.280657324067</v>
      </c>
      <c r="CU157" s="77">
        <v>104509.59103731692</v>
      </c>
      <c r="CV157" s="65">
        <v>81352.854248528034</v>
      </c>
      <c r="CW157" s="35">
        <v>-23156.736788788883</v>
      </c>
      <c r="CX157" s="39">
        <v>1567.6438655597537</v>
      </c>
      <c r="CY157" s="39">
        <v>24724.380654348643</v>
      </c>
      <c r="CZ157" s="52">
        <v>23156.73678878889</v>
      </c>
      <c r="DA157" s="150">
        <v>44420.753627328144</v>
      </c>
      <c r="DB157" s="2">
        <v>1</v>
      </c>
      <c r="DC157" s="713">
        <v>77160.14</v>
      </c>
      <c r="DD157" s="714"/>
      <c r="DE157" s="715">
        <v>24121.522548561654</v>
      </c>
      <c r="DF157" s="716">
        <v>0</v>
      </c>
      <c r="DG157" s="717">
        <v>130460.11697759054</v>
      </c>
      <c r="DH157" s="718">
        <v>516743.29719727056</v>
      </c>
      <c r="DI157" s="718">
        <v>1272926.8188345202</v>
      </c>
      <c r="DJ157" s="693">
        <v>1083880.9384252077</v>
      </c>
      <c r="DK157" s="724"/>
      <c r="DL157" s="5"/>
      <c r="DM157" s="306">
        <v>6.1519542693028075</v>
      </c>
      <c r="DN157" s="306">
        <v>7.7151568376438355</v>
      </c>
      <c r="DO157" s="306">
        <v>5.4054494663395838</v>
      </c>
      <c r="DP157" s="719">
        <v>53038.617451438346</v>
      </c>
      <c r="DQ157" s="720">
        <v>0</v>
      </c>
      <c r="DR157" s="650">
        <v>53038.617451438346</v>
      </c>
      <c r="DS157" s="94">
        <v>53038.617451438331</v>
      </c>
      <c r="DT157" s="719">
        <v>53039.96</v>
      </c>
      <c r="DU157" s="721"/>
      <c r="DV157" s="93">
        <v>53039.96</v>
      </c>
      <c r="DW157" s="95">
        <v>53195.381837994304</v>
      </c>
      <c r="DX157" s="28">
        <v>-155.42183799430495</v>
      </c>
      <c r="EA157" s="5">
        <v>29197.155125009202</v>
      </c>
      <c r="EB157" s="5">
        <v>5738.4</v>
      </c>
      <c r="EE157" s="722">
        <v>281887.89720738417</v>
      </c>
      <c r="EG157" s="42" t="s">
        <v>335</v>
      </c>
    </row>
    <row r="158" spans="1:137" x14ac:dyDescent="0.3">
      <c r="A158" s="325">
        <v>150001027</v>
      </c>
      <c r="B158" s="41" t="s">
        <v>626</v>
      </c>
      <c r="C158" s="42" t="s">
        <v>368</v>
      </c>
      <c r="D158" s="27">
        <v>9</v>
      </c>
      <c r="E158" s="709">
        <v>10381.549999999999</v>
      </c>
      <c r="F158" s="723">
        <v>10260.299999999999</v>
      </c>
      <c r="G158" s="28">
        <v>1160.45</v>
      </c>
      <c r="H158" s="651">
        <v>121.25</v>
      </c>
      <c r="I158" s="39">
        <v>4459.6169808458826</v>
      </c>
      <c r="J158" s="39">
        <v>3339.1089716136748</v>
      </c>
      <c r="K158" s="52">
        <v>-1120.5080092322078</v>
      </c>
      <c r="L158" s="39">
        <v>735.84578158679165</v>
      </c>
      <c r="M158" s="39">
        <v>384.14958735371607</v>
      </c>
      <c r="N158" s="52">
        <v>-351.69619423307557</v>
      </c>
      <c r="O158" s="39">
        <v>2588.2800000000002</v>
      </c>
      <c r="P158" s="39">
        <v>2588.2800000000002</v>
      </c>
      <c r="Q158" s="52">
        <v>0</v>
      </c>
      <c r="R158" s="39">
        <v>578.48</v>
      </c>
      <c r="S158" s="39">
        <v>578.48</v>
      </c>
      <c r="T158" s="52">
        <v>0</v>
      </c>
      <c r="U158" s="39">
        <v>768.32239862610584</v>
      </c>
      <c r="V158" s="39">
        <v>139.02343088218808</v>
      </c>
      <c r="W158" s="52">
        <v>-629.29896774391773</v>
      </c>
      <c r="X158" s="39">
        <v>4134.792460814112</v>
      </c>
      <c r="Y158" s="39">
        <v>2754.3019055100103</v>
      </c>
      <c r="Z158" s="52">
        <v>-1380.4905553041017</v>
      </c>
      <c r="AA158" s="39">
        <v>0</v>
      </c>
      <c r="AB158" s="39">
        <v>0</v>
      </c>
      <c r="AC158" s="52">
        <v>0</v>
      </c>
      <c r="AD158" s="39">
        <v>7398.2931422557067</v>
      </c>
      <c r="AE158" s="39">
        <v>6208.0287541707148</v>
      </c>
      <c r="AF158" s="35">
        <v>-1190.2643880849919</v>
      </c>
      <c r="AG158" s="77">
        <v>20663.630764128597</v>
      </c>
      <c r="AH158" s="53">
        <v>15991.372649530305</v>
      </c>
      <c r="AI158" s="52">
        <v>-4672.2581145982913</v>
      </c>
      <c r="AJ158" s="39">
        <v>15123.381536114088</v>
      </c>
      <c r="AK158" s="39">
        <v>14920.303008025779</v>
      </c>
      <c r="AL158" s="52">
        <v>-203.0785280883083</v>
      </c>
      <c r="AM158" s="39">
        <v>0</v>
      </c>
      <c r="AN158" s="39">
        <v>0</v>
      </c>
      <c r="AO158" s="52">
        <v>0</v>
      </c>
      <c r="AP158" s="39">
        <v>1262.6901905248662</v>
      </c>
      <c r="AQ158" s="39">
        <v>0</v>
      </c>
      <c r="AR158" s="52">
        <v>-1262.6901905248662</v>
      </c>
      <c r="AS158" s="39">
        <v>31894.502917421258</v>
      </c>
      <c r="AT158" s="39">
        <v>4256</v>
      </c>
      <c r="AU158" s="54">
        <v>-27638.502917421258</v>
      </c>
      <c r="AV158" s="39">
        <v>218.8366539500102</v>
      </c>
      <c r="AW158" s="39">
        <v>0</v>
      </c>
      <c r="AX158" s="55">
        <v>-218.8366539500102</v>
      </c>
      <c r="AY158" s="39">
        <v>293.70984678688399</v>
      </c>
      <c r="AZ158" s="39">
        <v>6333</v>
      </c>
      <c r="BA158" s="35">
        <v>6039.2901532131164</v>
      </c>
      <c r="BB158" s="39">
        <v>364.69237551859214</v>
      </c>
      <c r="BC158" s="39">
        <v>0</v>
      </c>
      <c r="BD158" s="55">
        <v>-364.69237551859214</v>
      </c>
      <c r="BE158" s="39">
        <v>200.31082217688231</v>
      </c>
      <c r="BF158" s="39">
        <v>0</v>
      </c>
      <c r="BG158" s="38">
        <v>-200.31082217688231</v>
      </c>
      <c r="BH158" s="39">
        <v>233.85323677229661</v>
      </c>
      <c r="BI158" s="39">
        <v>0</v>
      </c>
      <c r="BJ158" s="55">
        <v>-233.85323677229661</v>
      </c>
      <c r="BK158" s="39">
        <v>278.72226634903535</v>
      </c>
      <c r="BL158" s="39">
        <v>0</v>
      </c>
      <c r="BM158" s="38">
        <v>-278.72226634903535</v>
      </c>
      <c r="BN158" s="39">
        <v>127.01222515318118</v>
      </c>
      <c r="BO158" s="39">
        <v>0</v>
      </c>
      <c r="BP158" s="55">
        <v>-127.01222515318118</v>
      </c>
      <c r="BQ158" s="77">
        <v>1717.1374267068818</v>
      </c>
      <c r="BR158" s="40">
        <v>6333</v>
      </c>
      <c r="BS158" s="55">
        <v>4615.8625732931177</v>
      </c>
      <c r="BT158" s="39">
        <v>19978.405690516272</v>
      </c>
      <c r="BU158" s="39">
        <v>4937.2271282879692</v>
      </c>
      <c r="BV158" s="52">
        <v>-15041.178562228302</v>
      </c>
      <c r="BW158" s="39">
        <v>14131.823100860949</v>
      </c>
      <c r="BX158" s="39">
        <v>13996.253539026835</v>
      </c>
      <c r="BY158" s="52">
        <v>-135.56956183411421</v>
      </c>
      <c r="BZ158" s="39">
        <v>3462.3745392402889</v>
      </c>
      <c r="CA158" s="39">
        <v>20328.824198084407</v>
      </c>
      <c r="CB158" s="52">
        <v>16866.449658844118</v>
      </c>
      <c r="CC158" s="39">
        <v>364.62630355893003</v>
      </c>
      <c r="CD158" s="39">
        <v>359.73005910115421</v>
      </c>
      <c r="CE158" s="52">
        <v>-4.896244457775822</v>
      </c>
      <c r="CF158" s="39">
        <v>44.887707824489496</v>
      </c>
      <c r="CG158" s="39">
        <v>0</v>
      </c>
      <c r="CH158" s="52">
        <v>-44.887707824489496</v>
      </c>
      <c r="CI158" s="39">
        <v>5103.6451983143888</v>
      </c>
      <c r="CJ158" s="39">
        <v>5945.6298197933811</v>
      </c>
      <c r="CK158" s="52">
        <v>841.98462147899227</v>
      </c>
      <c r="CL158" s="39">
        <v>2894.9772274057168</v>
      </c>
      <c r="CM158" s="39">
        <v>3871.3227270050475</v>
      </c>
      <c r="CN158" s="52">
        <v>976.34549959933065</v>
      </c>
      <c r="CO158" s="39">
        <v>7998.6224257201056</v>
      </c>
      <c r="CP158" s="40">
        <v>9816.9525467984276</v>
      </c>
      <c r="CQ158" s="52">
        <v>1818.330121078322</v>
      </c>
      <c r="CR158" s="72">
        <v>116642.08260261672</v>
      </c>
      <c r="CS158" s="5">
        <v>90939.663128854882</v>
      </c>
      <c r="CT158" s="52">
        <v>-25702.419473761838</v>
      </c>
      <c r="CU158" s="77">
        <v>139970.49912314006</v>
      </c>
      <c r="CV158" s="65">
        <v>109127.59575462586</v>
      </c>
      <c r="CW158" s="35">
        <v>-30842.903368514206</v>
      </c>
      <c r="CX158" s="39">
        <v>3499.2624780785018</v>
      </c>
      <c r="CY158" s="39">
        <v>34342.165846592718</v>
      </c>
      <c r="CZ158" s="52">
        <v>30842.903368514217</v>
      </c>
      <c r="DA158" s="150">
        <v>62832.931712264501</v>
      </c>
      <c r="DB158" s="2">
        <v>1</v>
      </c>
      <c r="DC158" s="713">
        <v>187124.93</v>
      </c>
      <c r="DD158" s="714">
        <v>7744.64</v>
      </c>
      <c r="DE158" s="715">
        <v>115996.93886646107</v>
      </c>
      <c r="DF158" s="716">
        <v>7137.7503329296369</v>
      </c>
      <c r="DG158" s="717">
        <v>-57240.662401787456</v>
      </c>
      <c r="DH158" s="718">
        <v>696840.89976030937</v>
      </c>
      <c r="DI158" s="718">
        <v>1721637.1392146228</v>
      </c>
      <c r="DJ158" s="693">
        <v>1465438.0793510445</v>
      </c>
      <c r="DK158" s="724"/>
      <c r="DL158" s="5"/>
      <c r="DM158" s="306">
        <v>5.8523338005686236</v>
      </c>
      <c r="DN158" s="306">
        <v>7.0700781193831848</v>
      </c>
      <c r="DO158" s="306">
        <v>5.005275604704031</v>
      </c>
      <c r="DP158" s="719">
        <v>71127.991133538919</v>
      </c>
      <c r="DQ158" s="720">
        <v>606.88966707036377</v>
      </c>
      <c r="DR158" s="650">
        <v>71734.880800609288</v>
      </c>
      <c r="DS158" s="94">
        <v>71734.880800609288</v>
      </c>
      <c r="DT158" s="719">
        <v>71128.37</v>
      </c>
      <c r="DU158" s="725">
        <v>451.98</v>
      </c>
      <c r="DV158" s="93">
        <v>71580.349999999991</v>
      </c>
      <c r="DW158" s="95">
        <v>72084.807048417133</v>
      </c>
      <c r="DX158" s="28">
        <v>-504.45704841714178</v>
      </c>
      <c r="EA158" s="5">
        <v>40333.968412953764</v>
      </c>
      <c r="EB158" s="5">
        <v>12706.8</v>
      </c>
      <c r="EE158" s="722">
        <v>382734.03500905511</v>
      </c>
      <c r="EG158" s="42" t="s">
        <v>368</v>
      </c>
    </row>
    <row r="159" spans="1:137" x14ac:dyDescent="0.3">
      <c r="A159" s="325">
        <v>150001028</v>
      </c>
      <c r="B159" s="41" t="s">
        <v>627</v>
      </c>
      <c r="C159" s="42" t="s">
        <v>102</v>
      </c>
      <c r="D159" s="27">
        <v>1</v>
      </c>
      <c r="E159" s="709">
        <v>110.7</v>
      </c>
      <c r="F159" s="723">
        <v>110.7</v>
      </c>
      <c r="G159" s="28"/>
      <c r="H159" s="651">
        <v>0</v>
      </c>
      <c r="I159" s="39">
        <v>0</v>
      </c>
      <c r="J159" s="39">
        <v>0</v>
      </c>
      <c r="K159" s="52">
        <v>0</v>
      </c>
      <c r="L159" s="39">
        <v>0</v>
      </c>
      <c r="M159" s="39">
        <v>0</v>
      </c>
      <c r="N159" s="52">
        <v>0</v>
      </c>
      <c r="O159" s="39">
        <v>0</v>
      </c>
      <c r="P159" s="39">
        <v>0</v>
      </c>
      <c r="Q159" s="52">
        <v>0</v>
      </c>
      <c r="R159" s="39">
        <v>0</v>
      </c>
      <c r="S159" s="39">
        <v>0</v>
      </c>
      <c r="T159" s="52">
        <v>0</v>
      </c>
      <c r="U159" s="39">
        <v>0</v>
      </c>
      <c r="V159" s="39">
        <v>0</v>
      </c>
      <c r="W159" s="52">
        <v>0</v>
      </c>
      <c r="X159" s="39">
        <v>0</v>
      </c>
      <c r="Y159" s="39">
        <v>0</v>
      </c>
      <c r="Z159" s="52">
        <v>0</v>
      </c>
      <c r="AA159" s="39">
        <v>0</v>
      </c>
      <c r="AB159" s="39">
        <v>0</v>
      </c>
      <c r="AC159" s="52">
        <v>0</v>
      </c>
      <c r="AD159" s="39">
        <v>0</v>
      </c>
      <c r="AE159" s="39">
        <v>66.197126930631583</v>
      </c>
      <c r="AF159" s="35">
        <v>66.197126930631583</v>
      </c>
      <c r="AG159" s="77">
        <v>0</v>
      </c>
      <c r="AH159" s="53">
        <v>66.197126930631583</v>
      </c>
      <c r="AI159" s="52">
        <v>66.197126930631583</v>
      </c>
      <c r="AJ159" s="39">
        <v>0</v>
      </c>
      <c r="AK159" s="39">
        <v>0</v>
      </c>
      <c r="AL159" s="52">
        <v>0</v>
      </c>
      <c r="AM159" s="39">
        <v>0</v>
      </c>
      <c r="AN159" s="39">
        <v>0</v>
      </c>
      <c r="AO159" s="52">
        <v>0</v>
      </c>
      <c r="AP159" s="39">
        <v>39.45906845390207</v>
      </c>
      <c r="AQ159" s="39">
        <v>0</v>
      </c>
      <c r="AR159" s="52">
        <v>-39.45906845390207</v>
      </c>
      <c r="AS159" s="39">
        <v>352.26530486119486</v>
      </c>
      <c r="AT159" s="39">
        <v>1214</v>
      </c>
      <c r="AU159" s="54">
        <v>861.73469513880514</v>
      </c>
      <c r="AV159" s="39">
        <v>0</v>
      </c>
      <c r="AW159" s="39">
        <v>0</v>
      </c>
      <c r="AX159" s="55">
        <v>0</v>
      </c>
      <c r="AY159" s="39">
        <v>0</v>
      </c>
      <c r="AZ159" s="39">
        <v>0</v>
      </c>
      <c r="BA159" s="35">
        <v>0</v>
      </c>
      <c r="BB159" s="39">
        <v>0</v>
      </c>
      <c r="BC159" s="39">
        <v>0</v>
      </c>
      <c r="BD159" s="55">
        <v>0</v>
      </c>
      <c r="BE159" s="39">
        <v>0</v>
      </c>
      <c r="BF159" s="39">
        <v>0</v>
      </c>
      <c r="BG159" s="38">
        <v>0</v>
      </c>
      <c r="BH159" s="39">
        <v>0</v>
      </c>
      <c r="BI159" s="39">
        <v>0</v>
      </c>
      <c r="BJ159" s="55">
        <v>0</v>
      </c>
      <c r="BK159" s="39">
        <v>0</v>
      </c>
      <c r="BL159" s="39">
        <v>0</v>
      </c>
      <c r="BM159" s="38">
        <v>0</v>
      </c>
      <c r="BN159" s="39">
        <v>0</v>
      </c>
      <c r="BO159" s="39">
        <v>0</v>
      </c>
      <c r="BP159" s="55">
        <v>0</v>
      </c>
      <c r="BQ159" s="77">
        <v>0</v>
      </c>
      <c r="BR159" s="40">
        <v>0</v>
      </c>
      <c r="BS159" s="55">
        <v>0</v>
      </c>
      <c r="BT159" s="39">
        <v>35.890516131296266</v>
      </c>
      <c r="BU159" s="39">
        <v>17.551073159676992</v>
      </c>
      <c r="BV159" s="52">
        <v>-18.339442971619274</v>
      </c>
      <c r="BW159" s="39">
        <v>0</v>
      </c>
      <c r="BX159" s="39">
        <v>0.44810370658051069</v>
      </c>
      <c r="BY159" s="52">
        <v>0.44810370658051069</v>
      </c>
      <c r="BZ159" s="39">
        <v>0</v>
      </c>
      <c r="CA159" s="39">
        <v>60.056143536667207</v>
      </c>
      <c r="CB159" s="52">
        <v>60.056143536667207</v>
      </c>
      <c r="CC159" s="39">
        <v>0</v>
      </c>
      <c r="CD159" s="39">
        <v>0</v>
      </c>
      <c r="CE159" s="52">
        <v>0</v>
      </c>
      <c r="CF159" s="39">
        <v>0</v>
      </c>
      <c r="CG159" s="39">
        <v>0</v>
      </c>
      <c r="CH159" s="52">
        <v>0</v>
      </c>
      <c r="CI159" s="39">
        <v>0</v>
      </c>
      <c r="CJ159" s="39">
        <v>0</v>
      </c>
      <c r="CK159" s="52">
        <v>0</v>
      </c>
      <c r="CL159" s="39">
        <v>0</v>
      </c>
      <c r="CM159" s="39">
        <v>0</v>
      </c>
      <c r="CN159" s="52">
        <v>0</v>
      </c>
      <c r="CO159" s="39">
        <v>0</v>
      </c>
      <c r="CP159" s="40">
        <v>0</v>
      </c>
      <c r="CQ159" s="52">
        <v>0</v>
      </c>
      <c r="CR159" s="72">
        <v>427.61488944639325</v>
      </c>
      <c r="CS159" s="5">
        <v>1358.2524473335561</v>
      </c>
      <c r="CT159" s="52">
        <v>930.63755788716287</v>
      </c>
      <c r="CU159" s="77">
        <v>513.1378673356719</v>
      </c>
      <c r="CV159" s="65">
        <v>1629.9029368002673</v>
      </c>
      <c r="CW159" s="35">
        <v>1116.7650694645954</v>
      </c>
      <c r="CX159" s="39">
        <v>2.5656893366783589</v>
      </c>
      <c r="CY159" s="39">
        <v>-1114.1993801279173</v>
      </c>
      <c r="CZ159" s="52">
        <v>-1116.7650694645956</v>
      </c>
      <c r="DA159" s="150">
        <v>-1526.0180681438464</v>
      </c>
      <c r="DB159" s="2">
        <v>1</v>
      </c>
      <c r="DC159" s="713">
        <v>291.14999999999998</v>
      </c>
      <c r="DD159" s="714"/>
      <c r="DE159" s="715">
        <v>33.298221663824904</v>
      </c>
      <c r="DF159" s="716">
        <v>0</v>
      </c>
      <c r="DG159" s="717">
        <v>-2738.2197123146307</v>
      </c>
      <c r="DH159" s="718">
        <v>2472.9771490962871</v>
      </c>
      <c r="DI159" s="718">
        <v>6188.4426800682031</v>
      </c>
      <c r="DJ159" s="693">
        <v>5259.5762973252249</v>
      </c>
      <c r="DK159" s="724"/>
      <c r="DL159" s="5"/>
      <c r="DM159" s="306">
        <v>2.3292843571470194</v>
      </c>
      <c r="DN159" s="306"/>
      <c r="DO159" s="306">
        <v>2.3292843571470194</v>
      </c>
      <c r="DP159" s="719">
        <v>257.85177833617507</v>
      </c>
      <c r="DQ159" s="720">
        <v>0</v>
      </c>
      <c r="DR159" s="650">
        <v>257.85177833617507</v>
      </c>
      <c r="DS159" s="94">
        <v>257.85177833617519</v>
      </c>
      <c r="DT159" s="719">
        <v>257.83999999999997</v>
      </c>
      <c r="DU159" s="721"/>
      <c r="DV159" s="93">
        <v>257.83999999999997</v>
      </c>
      <c r="DW159" s="95">
        <v>258.10834726984297</v>
      </c>
      <c r="DX159" s="28">
        <v>-0.26834726984299095</v>
      </c>
      <c r="EA159" s="5">
        <v>422.71836583343384</v>
      </c>
      <c r="EB159" s="5">
        <v>1456.8</v>
      </c>
      <c r="EE159" s="722">
        <v>4227.1836583343384</v>
      </c>
      <c r="EG159" s="42" t="s">
        <v>102</v>
      </c>
    </row>
    <row r="160" spans="1:137" x14ac:dyDescent="0.3">
      <c r="A160" s="325">
        <v>150001036</v>
      </c>
      <c r="B160" s="41" t="s">
        <v>628</v>
      </c>
      <c r="C160" s="42" t="s">
        <v>103</v>
      </c>
      <c r="D160" s="27">
        <v>1</v>
      </c>
      <c r="E160" s="709">
        <v>211.4</v>
      </c>
      <c r="F160" s="723">
        <v>211.4</v>
      </c>
      <c r="G160" s="28"/>
      <c r="H160" s="651">
        <v>0</v>
      </c>
      <c r="I160" s="39">
        <v>0</v>
      </c>
      <c r="J160" s="39">
        <v>0</v>
      </c>
      <c r="K160" s="52">
        <v>0</v>
      </c>
      <c r="L160" s="39">
        <v>0</v>
      </c>
      <c r="M160" s="39">
        <v>0</v>
      </c>
      <c r="N160" s="52">
        <v>0</v>
      </c>
      <c r="O160" s="39">
        <v>0</v>
      </c>
      <c r="P160" s="39">
        <v>0</v>
      </c>
      <c r="Q160" s="52">
        <v>0</v>
      </c>
      <c r="R160" s="39">
        <v>0</v>
      </c>
      <c r="S160" s="39">
        <v>0</v>
      </c>
      <c r="T160" s="52">
        <v>0</v>
      </c>
      <c r="U160" s="39">
        <v>0</v>
      </c>
      <c r="V160" s="39">
        <v>0</v>
      </c>
      <c r="W160" s="52">
        <v>0</v>
      </c>
      <c r="X160" s="39">
        <v>0</v>
      </c>
      <c r="Y160" s="39">
        <v>0</v>
      </c>
      <c r="Z160" s="52">
        <v>0</v>
      </c>
      <c r="AA160" s="39">
        <v>0</v>
      </c>
      <c r="AB160" s="39">
        <v>0</v>
      </c>
      <c r="AC160" s="52">
        <v>0</v>
      </c>
      <c r="AD160" s="39">
        <v>0</v>
      </c>
      <c r="AE160" s="39">
        <v>126.41438692986011</v>
      </c>
      <c r="AF160" s="35">
        <v>126.41438692986011</v>
      </c>
      <c r="AG160" s="77">
        <v>0</v>
      </c>
      <c r="AH160" s="53">
        <v>126.41438692986011</v>
      </c>
      <c r="AI160" s="52">
        <v>126.41438692986011</v>
      </c>
      <c r="AJ160" s="39">
        <v>0</v>
      </c>
      <c r="AK160" s="39">
        <v>0</v>
      </c>
      <c r="AL160" s="52">
        <v>0</v>
      </c>
      <c r="AM160" s="39">
        <v>0</v>
      </c>
      <c r="AN160" s="39">
        <v>0</v>
      </c>
      <c r="AO160" s="52">
        <v>0</v>
      </c>
      <c r="AP160" s="39">
        <v>39.45906845390207</v>
      </c>
      <c r="AQ160" s="39">
        <v>0</v>
      </c>
      <c r="AR160" s="52">
        <v>-39.45906845390207</v>
      </c>
      <c r="AS160" s="39">
        <v>442.11606747447229</v>
      </c>
      <c r="AT160" s="39">
        <v>0</v>
      </c>
      <c r="AU160" s="54">
        <v>-442.11606747447229</v>
      </c>
      <c r="AV160" s="39">
        <v>0</v>
      </c>
      <c r="AW160" s="39">
        <v>0</v>
      </c>
      <c r="AX160" s="55">
        <v>0</v>
      </c>
      <c r="AY160" s="39">
        <v>0</v>
      </c>
      <c r="AZ160" s="39">
        <v>0</v>
      </c>
      <c r="BA160" s="35">
        <v>0</v>
      </c>
      <c r="BB160" s="39">
        <v>0</v>
      </c>
      <c r="BC160" s="39">
        <v>0</v>
      </c>
      <c r="BD160" s="55">
        <v>0</v>
      </c>
      <c r="BE160" s="39">
        <v>0</v>
      </c>
      <c r="BF160" s="39">
        <v>0</v>
      </c>
      <c r="BG160" s="38">
        <v>0</v>
      </c>
      <c r="BH160" s="39">
        <v>0</v>
      </c>
      <c r="BI160" s="39">
        <v>0</v>
      </c>
      <c r="BJ160" s="55">
        <v>0</v>
      </c>
      <c r="BK160" s="39">
        <v>0</v>
      </c>
      <c r="BL160" s="39">
        <v>0</v>
      </c>
      <c r="BM160" s="38">
        <v>0</v>
      </c>
      <c r="BN160" s="39">
        <v>0</v>
      </c>
      <c r="BO160" s="39">
        <v>0</v>
      </c>
      <c r="BP160" s="55">
        <v>0</v>
      </c>
      <c r="BQ160" s="77">
        <v>0</v>
      </c>
      <c r="BR160" s="40">
        <v>0</v>
      </c>
      <c r="BS160" s="55">
        <v>0</v>
      </c>
      <c r="BT160" s="39">
        <v>159.5134050279834</v>
      </c>
      <c r="BU160" s="39">
        <v>78.025405780997886</v>
      </c>
      <c r="BV160" s="52">
        <v>-81.48799924698551</v>
      </c>
      <c r="BW160" s="39">
        <v>0</v>
      </c>
      <c r="BX160" s="39">
        <v>0.85572830687551904</v>
      </c>
      <c r="BY160" s="52">
        <v>0.85572830687551904</v>
      </c>
      <c r="BZ160" s="39">
        <v>0</v>
      </c>
      <c r="CA160" s="39">
        <v>266.96577655456974</v>
      </c>
      <c r="CB160" s="52">
        <v>266.96577655456974</v>
      </c>
      <c r="CC160" s="39">
        <v>0</v>
      </c>
      <c r="CD160" s="39">
        <v>0</v>
      </c>
      <c r="CE160" s="52">
        <v>0</v>
      </c>
      <c r="CF160" s="39">
        <v>0</v>
      </c>
      <c r="CG160" s="39">
        <v>0</v>
      </c>
      <c r="CH160" s="52">
        <v>0</v>
      </c>
      <c r="CI160" s="39">
        <v>0</v>
      </c>
      <c r="CJ160" s="39">
        <v>0</v>
      </c>
      <c r="CK160" s="52">
        <v>0</v>
      </c>
      <c r="CL160" s="39">
        <v>0</v>
      </c>
      <c r="CM160" s="39">
        <v>0</v>
      </c>
      <c r="CN160" s="52">
        <v>0</v>
      </c>
      <c r="CO160" s="39">
        <v>0</v>
      </c>
      <c r="CP160" s="40">
        <v>0</v>
      </c>
      <c r="CQ160" s="52">
        <v>0</v>
      </c>
      <c r="CR160" s="72">
        <v>641.08854095635775</v>
      </c>
      <c r="CS160" s="5">
        <v>472.26129757230325</v>
      </c>
      <c r="CT160" s="52">
        <v>-168.8272433840545</v>
      </c>
      <c r="CU160" s="77">
        <v>769.30624914762927</v>
      </c>
      <c r="CV160" s="65">
        <v>566.7135570867639</v>
      </c>
      <c r="CW160" s="35">
        <v>-202.59269206086537</v>
      </c>
      <c r="CX160" s="39">
        <v>19.232656228690733</v>
      </c>
      <c r="CY160" s="39">
        <v>221.82534828955613</v>
      </c>
      <c r="CZ160" s="52">
        <v>202.5926920608654</v>
      </c>
      <c r="DA160" s="150">
        <v>-8209.4712478265428</v>
      </c>
      <c r="DB160" s="2">
        <v>1</v>
      </c>
      <c r="DC160" s="713">
        <v>461.77</v>
      </c>
      <c r="DD160" s="714"/>
      <c r="DE160" s="715">
        <v>67.500547311839966</v>
      </c>
      <c r="DF160" s="716">
        <v>0</v>
      </c>
      <c r="DG160" s="717">
        <v>-4741.2084674956714</v>
      </c>
      <c r="DH160" s="718">
        <v>3814.6220833958469</v>
      </c>
      <c r="DI160" s="718">
        <v>9462.4668645158399</v>
      </c>
      <c r="DJ160" s="693">
        <v>8050.5056692358412</v>
      </c>
      <c r="DK160" s="724"/>
      <c r="DL160" s="5"/>
      <c r="DM160" s="306">
        <v>1.8650399843337748</v>
      </c>
      <c r="DN160" s="306"/>
      <c r="DO160" s="306">
        <v>1.8650399843337748</v>
      </c>
      <c r="DP160" s="719">
        <v>394.26945268816002</v>
      </c>
      <c r="DQ160" s="720">
        <v>0</v>
      </c>
      <c r="DR160" s="650">
        <v>394.26945268816002</v>
      </c>
      <c r="DS160" s="94">
        <v>394.26945268816002</v>
      </c>
      <c r="DT160" s="719">
        <v>394.26</v>
      </c>
      <c r="DU160" s="721"/>
      <c r="DV160" s="93">
        <v>394.26</v>
      </c>
      <c r="DW160" s="95">
        <v>396.19271831102907</v>
      </c>
      <c r="DX160" s="28">
        <v>-1.9327183110290775</v>
      </c>
      <c r="EA160" s="5">
        <v>530.5392809693667</v>
      </c>
      <c r="EB160" s="5">
        <v>0</v>
      </c>
      <c r="EE160" s="722">
        <v>5305.392809693667</v>
      </c>
      <c r="EG160" s="42" t="s">
        <v>103</v>
      </c>
    </row>
    <row r="161" spans="1:137" x14ac:dyDescent="0.3">
      <c r="A161" s="325">
        <v>150001029</v>
      </c>
      <c r="B161" s="41" t="s">
        <v>629</v>
      </c>
      <c r="C161" s="42" t="s">
        <v>369</v>
      </c>
      <c r="D161" s="27">
        <v>9</v>
      </c>
      <c r="E161" s="709">
        <v>7425.1</v>
      </c>
      <c r="F161" s="723">
        <v>7425.1</v>
      </c>
      <c r="G161" s="28">
        <v>926.05</v>
      </c>
      <c r="H161" s="651">
        <v>0</v>
      </c>
      <c r="I161" s="39">
        <v>3437.6021270753272</v>
      </c>
      <c r="J161" s="39">
        <v>2576.7004285948187</v>
      </c>
      <c r="K161" s="52">
        <v>-860.90169848050846</v>
      </c>
      <c r="L161" s="39">
        <v>587.84829855846283</v>
      </c>
      <c r="M161" s="39">
        <v>306.88714437747439</v>
      </c>
      <c r="N161" s="52">
        <v>-280.96115418098844</v>
      </c>
      <c r="O161" s="39">
        <v>2095.3200000000002</v>
      </c>
      <c r="P161" s="39">
        <v>2095.3200000000002</v>
      </c>
      <c r="Q161" s="52">
        <v>0</v>
      </c>
      <c r="R161" s="39">
        <v>390.44</v>
      </c>
      <c r="S161" s="39">
        <v>390.44</v>
      </c>
      <c r="T161" s="52">
        <v>0</v>
      </c>
      <c r="U161" s="39">
        <v>576.24186023756681</v>
      </c>
      <c r="V161" s="39">
        <v>104.26757316164107</v>
      </c>
      <c r="W161" s="52">
        <v>-471.97428707592576</v>
      </c>
      <c r="X161" s="39">
        <v>2602.6625165641813</v>
      </c>
      <c r="Y161" s="39">
        <v>1757.1895458491726</v>
      </c>
      <c r="Z161" s="52">
        <v>-845.47297071500861</v>
      </c>
      <c r="AA161" s="39">
        <v>0</v>
      </c>
      <c r="AB161" s="39">
        <v>0</v>
      </c>
      <c r="AC161" s="52">
        <v>0</v>
      </c>
      <c r="AD161" s="39">
        <v>5291.4127861988673</v>
      </c>
      <c r="AE161" s="39">
        <v>4440.1109952360666</v>
      </c>
      <c r="AF161" s="35">
        <v>-851.30179096280062</v>
      </c>
      <c r="AG161" s="77">
        <v>14981.527588634404</v>
      </c>
      <c r="AH161" s="53">
        <v>11670.915687219174</v>
      </c>
      <c r="AI161" s="52">
        <v>-3310.61190141523</v>
      </c>
      <c r="AJ161" s="39">
        <v>11827.537311163507</v>
      </c>
      <c r="AK161" s="39">
        <v>11668.693779511834</v>
      </c>
      <c r="AL161" s="52">
        <v>-158.8435316516734</v>
      </c>
      <c r="AM161" s="39">
        <v>0</v>
      </c>
      <c r="AN161" s="39">
        <v>0</v>
      </c>
      <c r="AO161" s="52">
        <v>0</v>
      </c>
      <c r="AP161" s="39">
        <v>947.01764289364974</v>
      </c>
      <c r="AQ161" s="39">
        <v>0</v>
      </c>
      <c r="AR161" s="52">
        <v>-947.01764289364974</v>
      </c>
      <c r="AS161" s="39">
        <v>21655.570957957854</v>
      </c>
      <c r="AT161" s="39">
        <v>0</v>
      </c>
      <c r="AU161" s="54">
        <v>-21655.570957957854</v>
      </c>
      <c r="AV161" s="39">
        <v>285.60590283188384</v>
      </c>
      <c r="AW161" s="39">
        <v>0</v>
      </c>
      <c r="AX161" s="55">
        <v>-285.60590283188384</v>
      </c>
      <c r="AY161" s="39">
        <v>390.32326750718556</v>
      </c>
      <c r="AZ161" s="39">
        <v>0</v>
      </c>
      <c r="BA161" s="35">
        <v>-390.32326750718556</v>
      </c>
      <c r="BB161" s="39">
        <v>457.79539128399068</v>
      </c>
      <c r="BC161" s="39">
        <v>0</v>
      </c>
      <c r="BD161" s="55">
        <v>-457.79539128399068</v>
      </c>
      <c r="BE161" s="39">
        <v>190.64462400592069</v>
      </c>
      <c r="BF161" s="39">
        <v>0</v>
      </c>
      <c r="BG161" s="38">
        <v>-190.64462400592069</v>
      </c>
      <c r="BH161" s="39">
        <v>292.3226339843186</v>
      </c>
      <c r="BI161" s="39">
        <v>0</v>
      </c>
      <c r="BJ161" s="55">
        <v>-292.3226339843186</v>
      </c>
      <c r="BK161" s="39">
        <v>231.42810175412231</v>
      </c>
      <c r="BL161" s="39">
        <v>0</v>
      </c>
      <c r="BM161" s="38">
        <v>-231.42810175412231</v>
      </c>
      <c r="BN161" s="39">
        <v>143.02162076665977</v>
      </c>
      <c r="BO161" s="39">
        <v>0</v>
      </c>
      <c r="BP161" s="55">
        <v>-143.02162076665977</v>
      </c>
      <c r="BQ161" s="77">
        <v>1991.1415421340812</v>
      </c>
      <c r="BR161" s="40">
        <v>0</v>
      </c>
      <c r="BS161" s="55">
        <v>-1991.1415421340812</v>
      </c>
      <c r="BT161" s="39">
        <v>18249.029775995474</v>
      </c>
      <c r="BU161" s="39">
        <v>5198.8675736346941</v>
      </c>
      <c r="BV161" s="52">
        <v>-13050.16220236078</v>
      </c>
      <c r="BW161" s="39">
        <v>7244.1589342153557</v>
      </c>
      <c r="BX161" s="39">
        <v>7087.9095440936298</v>
      </c>
      <c r="BY161" s="52">
        <v>-156.24939012172581</v>
      </c>
      <c r="BZ161" s="39">
        <v>6491.9522610755421</v>
      </c>
      <c r="CA161" s="39">
        <v>20943.566686729224</v>
      </c>
      <c r="CB161" s="52">
        <v>14451.614425653683</v>
      </c>
      <c r="CC161" s="39">
        <v>367.86176148241611</v>
      </c>
      <c r="CD161" s="39">
        <v>362.92207091893806</v>
      </c>
      <c r="CE161" s="52">
        <v>-4.9396905634780524</v>
      </c>
      <c r="CF161" s="39">
        <v>45.286012303706535</v>
      </c>
      <c r="CG161" s="39">
        <v>0</v>
      </c>
      <c r="CH161" s="52">
        <v>-45.286012303706535</v>
      </c>
      <c r="CI161" s="39">
        <v>4329.9874909904465</v>
      </c>
      <c r="CJ161" s="39">
        <v>6813.514157764409</v>
      </c>
      <c r="CK161" s="52">
        <v>2483.5266667739625</v>
      </c>
      <c r="CL161" s="39">
        <v>1778.164891833253</v>
      </c>
      <c r="CM161" s="39">
        <v>2486.0694753506323</v>
      </c>
      <c r="CN161" s="52">
        <v>707.90458351737925</v>
      </c>
      <c r="CO161" s="39">
        <v>6108.1523828236996</v>
      </c>
      <c r="CP161" s="40">
        <v>9299.5836331150422</v>
      </c>
      <c r="CQ161" s="52">
        <v>3191.4312502913426</v>
      </c>
      <c r="CR161" s="72">
        <v>89909.236170679695</v>
      </c>
      <c r="CS161" s="5">
        <v>66232.458975222544</v>
      </c>
      <c r="CT161" s="52">
        <v>-23676.777195457151</v>
      </c>
      <c r="CU161" s="77">
        <v>107891.08340481562</v>
      </c>
      <c r="CV161" s="65">
        <v>79478.950770267053</v>
      </c>
      <c r="CW161" s="35">
        <v>-28412.132634548572</v>
      </c>
      <c r="CX161" s="39">
        <v>2697.2770851203909</v>
      </c>
      <c r="CY161" s="39">
        <v>31109.409719668984</v>
      </c>
      <c r="CZ161" s="52">
        <v>28412.132634548594</v>
      </c>
      <c r="DA161" s="150">
        <v>-10424.889465380904</v>
      </c>
      <c r="DB161" s="2">
        <v>1</v>
      </c>
      <c r="DC161" s="713">
        <v>90500.52</v>
      </c>
      <c r="DD161" s="714"/>
      <c r="DE161" s="715">
        <v>35206.339755031993</v>
      </c>
      <c r="DF161" s="716">
        <v>0</v>
      </c>
      <c r="DG161" s="717">
        <v>44644.067483023609</v>
      </c>
      <c r="DH161" s="718">
        <v>530709.14019938465</v>
      </c>
      <c r="DI161" s="718">
        <v>1327060.3258792323</v>
      </c>
      <c r="DJ161" s="693">
        <v>1127972.5294592704</v>
      </c>
      <c r="DK161" s="724"/>
      <c r="DL161" s="5"/>
      <c r="DM161" s="306">
        <v>6.3200055743525345</v>
      </c>
      <c r="DN161" s="306">
        <v>7.6075024938781581</v>
      </c>
      <c r="DO161" s="306">
        <v>5.7199924102816881</v>
      </c>
      <c r="DP161" s="719">
        <v>55294.180244968011</v>
      </c>
      <c r="DQ161" s="720">
        <v>0</v>
      </c>
      <c r="DR161" s="650">
        <v>55294.180244968011</v>
      </c>
      <c r="DS161" s="94">
        <v>55294.180244968011</v>
      </c>
      <c r="DT161" s="719">
        <v>55290.32</v>
      </c>
      <c r="DU161" s="721"/>
      <c r="DV161" s="93">
        <v>55290.32</v>
      </c>
      <c r="DW161" s="95">
        <v>55563.907953480055</v>
      </c>
      <c r="DX161" s="28">
        <v>-273.58795348005515</v>
      </c>
      <c r="EA161" s="5">
        <v>28376.055000110322</v>
      </c>
      <c r="EB161" s="5">
        <v>0</v>
      </c>
      <c r="EE161" s="722">
        <v>259866.85149549425</v>
      </c>
      <c r="EG161" s="42" t="s">
        <v>369</v>
      </c>
    </row>
    <row r="162" spans="1:137" x14ac:dyDescent="0.3">
      <c r="A162" s="325">
        <v>150001030</v>
      </c>
      <c r="B162" s="41" t="s">
        <v>630</v>
      </c>
      <c r="C162" s="42" t="s">
        <v>336</v>
      </c>
      <c r="D162" s="27">
        <v>8</v>
      </c>
      <c r="E162" s="709">
        <v>6125.75</v>
      </c>
      <c r="F162" s="723">
        <v>6125.75</v>
      </c>
      <c r="G162" s="28">
        <v>715.15</v>
      </c>
      <c r="H162" s="651">
        <v>0</v>
      </c>
      <c r="I162" s="39">
        <v>1684.5663027301821</v>
      </c>
      <c r="J162" s="39">
        <v>1263.3103333950799</v>
      </c>
      <c r="K162" s="52">
        <v>-421.25596933510224</v>
      </c>
      <c r="L162" s="39">
        <v>469.78543785590898</v>
      </c>
      <c r="M162" s="39">
        <v>245.25225984394473</v>
      </c>
      <c r="N162" s="52">
        <v>-224.53317801196425</v>
      </c>
      <c r="O162" s="39">
        <v>1585.64</v>
      </c>
      <c r="P162" s="39">
        <v>1585.64</v>
      </c>
      <c r="Q162" s="52">
        <v>0</v>
      </c>
      <c r="R162" s="39">
        <v>323.06</v>
      </c>
      <c r="S162" s="39">
        <v>323.06</v>
      </c>
      <c r="T162" s="52">
        <v>0</v>
      </c>
      <c r="U162" s="39">
        <v>181.72735309855759</v>
      </c>
      <c r="V162" s="39">
        <v>32.88246703232452</v>
      </c>
      <c r="W162" s="52">
        <v>-148.84488606623307</v>
      </c>
      <c r="X162" s="39">
        <v>2139.1197373635459</v>
      </c>
      <c r="Y162" s="39">
        <v>1404.9034861818577</v>
      </c>
      <c r="Z162" s="52">
        <v>-734.21625118168822</v>
      </c>
      <c r="AA162" s="39">
        <v>0</v>
      </c>
      <c r="AB162" s="39">
        <v>0</v>
      </c>
      <c r="AC162" s="52">
        <v>0</v>
      </c>
      <c r="AD162" s="39">
        <v>4365.4458357540925</v>
      </c>
      <c r="AE162" s="39">
        <v>3663.1169855042126</v>
      </c>
      <c r="AF162" s="35">
        <v>-702.32885024987991</v>
      </c>
      <c r="AG162" s="77">
        <v>10749.344666802288</v>
      </c>
      <c r="AH162" s="53">
        <v>8518.1655319574202</v>
      </c>
      <c r="AI162" s="52">
        <v>-2231.1791348448678</v>
      </c>
      <c r="AJ162" s="39">
        <v>12380.083110947831</v>
      </c>
      <c r="AK162" s="39">
        <v>12213.819929963527</v>
      </c>
      <c r="AL162" s="52">
        <v>-166.2631809843042</v>
      </c>
      <c r="AM162" s="39">
        <v>0</v>
      </c>
      <c r="AN162" s="39">
        <v>0</v>
      </c>
      <c r="AO162" s="52">
        <v>0</v>
      </c>
      <c r="AP162" s="39">
        <v>804.96499645960228</v>
      </c>
      <c r="AQ162" s="39">
        <v>0</v>
      </c>
      <c r="AR162" s="52">
        <v>-804.96499645960228</v>
      </c>
      <c r="AS162" s="39">
        <v>19270.077390402439</v>
      </c>
      <c r="AT162" s="39">
        <v>60956.044470379158</v>
      </c>
      <c r="AU162" s="54">
        <v>41685.967079976719</v>
      </c>
      <c r="AV162" s="39">
        <v>86.443035780007833</v>
      </c>
      <c r="AW162" s="39">
        <v>0</v>
      </c>
      <c r="AX162" s="55">
        <v>-86.443035780007833</v>
      </c>
      <c r="AY162" s="39">
        <v>120.14218698074031</v>
      </c>
      <c r="AZ162" s="39">
        <v>0</v>
      </c>
      <c r="BA162" s="35">
        <v>-120.14218698074031</v>
      </c>
      <c r="BB162" s="39">
        <v>78.018301012424018</v>
      </c>
      <c r="BC162" s="39">
        <v>0</v>
      </c>
      <c r="BD162" s="55">
        <v>-78.018301012424018</v>
      </c>
      <c r="BE162" s="39">
        <v>64.015527193052435</v>
      </c>
      <c r="BF162" s="39">
        <v>0</v>
      </c>
      <c r="BG162" s="38">
        <v>-64.015527193052435</v>
      </c>
      <c r="BH162" s="39">
        <v>55.319784965168807</v>
      </c>
      <c r="BI162" s="39">
        <v>0</v>
      </c>
      <c r="BJ162" s="55">
        <v>-55.319784965168807</v>
      </c>
      <c r="BK162" s="39">
        <v>78.644690031445961</v>
      </c>
      <c r="BL162" s="39">
        <v>0</v>
      </c>
      <c r="BM162" s="38">
        <v>-78.644690031445961</v>
      </c>
      <c r="BN162" s="39">
        <v>184.43633026280074</v>
      </c>
      <c r="BO162" s="39">
        <v>0</v>
      </c>
      <c r="BP162" s="55">
        <v>-184.43633026280074</v>
      </c>
      <c r="BQ162" s="77">
        <v>667.01985622564007</v>
      </c>
      <c r="BR162" s="40">
        <v>0</v>
      </c>
      <c r="BS162" s="55">
        <v>-667.01985622564007</v>
      </c>
      <c r="BT162" s="39">
        <v>14328.406584822418</v>
      </c>
      <c r="BU162" s="39">
        <v>3433.5095529275031</v>
      </c>
      <c r="BV162" s="52">
        <v>-10894.897031894914</v>
      </c>
      <c r="BW162" s="39">
        <v>6342.6826259517184</v>
      </c>
      <c r="BX162" s="39">
        <v>6929.9297344989645</v>
      </c>
      <c r="BY162" s="52">
        <v>587.24710854724617</v>
      </c>
      <c r="BZ162" s="39">
        <v>2168.3120551992306</v>
      </c>
      <c r="CA162" s="39">
        <v>14094.907254639282</v>
      </c>
      <c r="CB162" s="52">
        <v>11926.595199440051</v>
      </c>
      <c r="CC162" s="39">
        <v>411.78555389822702</v>
      </c>
      <c r="CD162" s="39">
        <v>406.25604953612464</v>
      </c>
      <c r="CE162" s="52">
        <v>-5.5295043621023865</v>
      </c>
      <c r="CF162" s="39">
        <v>50.693297354895371</v>
      </c>
      <c r="CG162" s="39">
        <v>0</v>
      </c>
      <c r="CH162" s="52">
        <v>-50.693297354895371</v>
      </c>
      <c r="CI162" s="39">
        <v>1974.6989061937702</v>
      </c>
      <c r="CJ162" s="39">
        <v>2777.1384612924394</v>
      </c>
      <c r="CK162" s="52">
        <v>802.43955509866919</v>
      </c>
      <c r="CL162" s="39">
        <v>1834.3174673648291</v>
      </c>
      <c r="CM162" s="39">
        <v>2128.8577716532436</v>
      </c>
      <c r="CN162" s="52">
        <v>294.54030428841452</v>
      </c>
      <c r="CO162" s="39">
        <v>3809.0163735585993</v>
      </c>
      <c r="CP162" s="40">
        <v>4905.996232945683</v>
      </c>
      <c r="CQ162" s="52">
        <v>1096.9798593870837</v>
      </c>
      <c r="CR162" s="72">
        <v>70982.386511622884</v>
      </c>
      <c r="CS162" s="5">
        <v>111458.62875684767</v>
      </c>
      <c r="CT162" s="52">
        <v>40476.242245224785</v>
      </c>
      <c r="CU162" s="77">
        <v>85178.863813947464</v>
      </c>
      <c r="CV162" s="65">
        <v>133750.35450821719</v>
      </c>
      <c r="CW162" s="35">
        <v>48571.490694269727</v>
      </c>
      <c r="CX162" s="39">
        <v>1277.682957209212</v>
      </c>
      <c r="CY162" s="39">
        <v>-47293.807737060517</v>
      </c>
      <c r="CZ162" s="52">
        <v>-48571.490694269727</v>
      </c>
      <c r="DA162" s="150">
        <v>-3465.4852903723986</v>
      </c>
      <c r="DB162" s="2">
        <v>1</v>
      </c>
      <c r="DC162" s="713">
        <v>73671.83</v>
      </c>
      <c r="DD162" s="714"/>
      <c r="DE162" s="715">
        <v>30443.556614421657</v>
      </c>
      <c r="DF162" s="716">
        <v>0</v>
      </c>
      <c r="DG162" s="717">
        <v>-30045.16564011258</v>
      </c>
      <c r="DH162" s="718">
        <v>422132.39593619795</v>
      </c>
      <c r="DI162" s="718">
        <v>1037478.5612538802</v>
      </c>
      <c r="DJ162" s="693">
        <v>883642.01992445951</v>
      </c>
      <c r="DK162" s="724"/>
      <c r="DL162" s="5"/>
      <c r="DM162" s="306">
        <v>5.6436686827549165</v>
      </c>
      <c r="DN162" s="306">
        <v>7.2435965931885855</v>
      </c>
      <c r="DO162" s="306">
        <v>5.0131020224758327</v>
      </c>
      <c r="DP162" s="719">
        <v>43228.273385578344</v>
      </c>
      <c r="DQ162" s="720">
        <v>0</v>
      </c>
      <c r="DR162" s="650">
        <v>43228.273385578344</v>
      </c>
      <c r="DS162" s="94">
        <v>43228.27338557833</v>
      </c>
      <c r="DT162" s="719">
        <v>43228.4</v>
      </c>
      <c r="DU162" s="721"/>
      <c r="DV162" s="93">
        <v>43228.4</v>
      </c>
      <c r="DW162" s="95">
        <v>43356.041681299255</v>
      </c>
      <c r="DX162" s="28">
        <v>-127.64168129925383</v>
      </c>
      <c r="EA162" s="5">
        <v>23924.516695953695</v>
      </c>
      <c r="EB162" s="5">
        <v>73147.253364454984</v>
      </c>
      <c r="EE162" s="722">
        <v>231240.92868482927</v>
      </c>
      <c r="EG162" s="42" t="s">
        <v>336</v>
      </c>
    </row>
    <row r="163" spans="1:137" x14ac:dyDescent="0.3">
      <c r="A163" s="325">
        <v>150001031</v>
      </c>
      <c r="B163" s="41" t="s">
        <v>631</v>
      </c>
      <c r="C163" s="42" t="s">
        <v>104</v>
      </c>
      <c r="D163" s="27">
        <v>1</v>
      </c>
      <c r="E163" s="709">
        <v>159.9</v>
      </c>
      <c r="F163" s="723">
        <v>159.9</v>
      </c>
      <c r="G163" s="28"/>
      <c r="H163" s="651">
        <v>0</v>
      </c>
      <c r="I163" s="39">
        <v>0</v>
      </c>
      <c r="J163" s="39">
        <v>0</v>
      </c>
      <c r="K163" s="52">
        <v>0</v>
      </c>
      <c r="L163" s="39">
        <v>0</v>
      </c>
      <c r="M163" s="39">
        <v>0</v>
      </c>
      <c r="N163" s="52">
        <v>0</v>
      </c>
      <c r="O163" s="39">
        <v>0</v>
      </c>
      <c r="P163" s="39">
        <v>0</v>
      </c>
      <c r="Q163" s="52">
        <v>0</v>
      </c>
      <c r="R163" s="39">
        <v>0</v>
      </c>
      <c r="S163" s="39">
        <v>0</v>
      </c>
      <c r="T163" s="52">
        <v>0</v>
      </c>
      <c r="U163" s="39">
        <v>0</v>
      </c>
      <c r="V163" s="39">
        <v>0</v>
      </c>
      <c r="W163" s="52">
        <v>0</v>
      </c>
      <c r="X163" s="39">
        <v>0</v>
      </c>
      <c r="Y163" s="39">
        <v>0</v>
      </c>
      <c r="Z163" s="52">
        <v>0</v>
      </c>
      <c r="AA163" s="39">
        <v>0</v>
      </c>
      <c r="AB163" s="39">
        <v>0</v>
      </c>
      <c r="AC163" s="52">
        <v>0</v>
      </c>
      <c r="AD163" s="39">
        <v>0</v>
      </c>
      <c r="AE163" s="39">
        <v>95.618072233134498</v>
      </c>
      <c r="AF163" s="35">
        <v>95.618072233134498</v>
      </c>
      <c r="AG163" s="77">
        <v>0</v>
      </c>
      <c r="AH163" s="53">
        <v>95.618072233134498</v>
      </c>
      <c r="AI163" s="52">
        <v>95.618072233134498</v>
      </c>
      <c r="AJ163" s="39">
        <v>0</v>
      </c>
      <c r="AK163" s="39">
        <v>0</v>
      </c>
      <c r="AL163" s="52">
        <v>0</v>
      </c>
      <c r="AM163" s="39">
        <v>0</v>
      </c>
      <c r="AN163" s="39">
        <v>0</v>
      </c>
      <c r="AO163" s="52">
        <v>0</v>
      </c>
      <c r="AP163" s="39">
        <v>39.45906845390207</v>
      </c>
      <c r="AQ163" s="39">
        <v>0</v>
      </c>
      <c r="AR163" s="52">
        <v>-39.45906845390207</v>
      </c>
      <c r="AS163" s="39">
        <v>339.44755533208934</v>
      </c>
      <c r="AT163" s="39">
        <v>1214</v>
      </c>
      <c r="AU163" s="54">
        <v>874.55244466791066</v>
      </c>
      <c r="AV163" s="39">
        <v>0</v>
      </c>
      <c r="AW163" s="39">
        <v>0</v>
      </c>
      <c r="AX163" s="55">
        <v>0</v>
      </c>
      <c r="AY163" s="39">
        <v>0</v>
      </c>
      <c r="AZ163" s="39">
        <v>0</v>
      </c>
      <c r="BA163" s="35">
        <v>0</v>
      </c>
      <c r="BB163" s="39">
        <v>0</v>
      </c>
      <c r="BC163" s="39">
        <v>0</v>
      </c>
      <c r="BD163" s="55">
        <v>0</v>
      </c>
      <c r="BE163" s="39">
        <v>0</v>
      </c>
      <c r="BF163" s="39">
        <v>0</v>
      </c>
      <c r="BG163" s="38">
        <v>0</v>
      </c>
      <c r="BH163" s="39">
        <v>0</v>
      </c>
      <c r="BI163" s="39">
        <v>0</v>
      </c>
      <c r="BJ163" s="55">
        <v>0</v>
      </c>
      <c r="BK163" s="39">
        <v>0</v>
      </c>
      <c r="BL163" s="39">
        <v>0</v>
      </c>
      <c r="BM163" s="38">
        <v>0</v>
      </c>
      <c r="BN163" s="39">
        <v>0</v>
      </c>
      <c r="BO163" s="39">
        <v>0</v>
      </c>
      <c r="BP163" s="55">
        <v>0</v>
      </c>
      <c r="BQ163" s="77">
        <v>0</v>
      </c>
      <c r="BR163" s="40">
        <v>0</v>
      </c>
      <c r="BS163" s="55">
        <v>0</v>
      </c>
      <c r="BT163" s="39">
        <v>183.44041578218088</v>
      </c>
      <c r="BU163" s="39">
        <v>89.726121220782545</v>
      </c>
      <c r="BV163" s="52">
        <v>-93.714294561398333</v>
      </c>
      <c r="BW163" s="39">
        <v>0</v>
      </c>
      <c r="BX163" s="39">
        <v>0.64726090950518211</v>
      </c>
      <c r="BY163" s="52">
        <v>0.64726090950518211</v>
      </c>
      <c r="BZ163" s="39">
        <v>0</v>
      </c>
      <c r="CA163" s="39">
        <v>307.01111263139171</v>
      </c>
      <c r="CB163" s="52">
        <v>307.01111263139171</v>
      </c>
      <c r="CC163" s="39">
        <v>0</v>
      </c>
      <c r="CD163" s="39">
        <v>0</v>
      </c>
      <c r="CE163" s="52">
        <v>0</v>
      </c>
      <c r="CF163" s="39">
        <v>0</v>
      </c>
      <c r="CG163" s="39">
        <v>0</v>
      </c>
      <c r="CH163" s="52">
        <v>0</v>
      </c>
      <c r="CI163" s="39">
        <v>0</v>
      </c>
      <c r="CJ163" s="39">
        <v>0</v>
      </c>
      <c r="CK163" s="52">
        <v>0</v>
      </c>
      <c r="CL163" s="39">
        <v>0</v>
      </c>
      <c r="CM163" s="39">
        <v>0</v>
      </c>
      <c r="CN163" s="52">
        <v>0</v>
      </c>
      <c r="CO163" s="39">
        <v>0</v>
      </c>
      <c r="CP163" s="40">
        <v>0</v>
      </c>
      <c r="CQ163" s="52">
        <v>0</v>
      </c>
      <c r="CR163" s="72">
        <v>562.34703956817225</v>
      </c>
      <c r="CS163" s="5">
        <v>1707.0025669948136</v>
      </c>
      <c r="CT163" s="52">
        <v>1144.6555274266414</v>
      </c>
      <c r="CU163" s="77">
        <v>674.81644748180668</v>
      </c>
      <c r="CV163" s="65">
        <v>2048.4030803937762</v>
      </c>
      <c r="CW163" s="35">
        <v>1373.5866329119694</v>
      </c>
      <c r="CX163" s="39">
        <v>30.366740136681301</v>
      </c>
      <c r="CY163" s="39">
        <v>-1343.2198927752886</v>
      </c>
      <c r="CZ163" s="52">
        <v>-1373.5866329119699</v>
      </c>
      <c r="DA163" s="150">
        <v>-3199.899713262349</v>
      </c>
      <c r="DB163" s="2">
        <v>1</v>
      </c>
      <c r="DC163" s="713">
        <v>257.69</v>
      </c>
      <c r="DD163" s="714"/>
      <c r="DE163" s="715">
        <v>-94.901593809244048</v>
      </c>
      <c r="DF163" s="716">
        <v>0</v>
      </c>
      <c r="DG163" s="717">
        <v>-4172.3516543104688</v>
      </c>
      <c r="DH163" s="718">
        <v>3378.9350599310287</v>
      </c>
      <c r="DI163" s="718">
        <v>8462.1982514218562</v>
      </c>
      <c r="DJ163" s="693">
        <v>7191.3824535491485</v>
      </c>
      <c r="DK163" s="724"/>
      <c r="DL163" s="5"/>
      <c r="DM163" s="306">
        <v>2.2050756335787618</v>
      </c>
      <c r="DN163" s="306"/>
      <c r="DO163" s="306">
        <v>2.2050756335787618</v>
      </c>
      <c r="DP163" s="719">
        <v>352.59159380924405</v>
      </c>
      <c r="DQ163" s="720">
        <v>0</v>
      </c>
      <c r="DR163" s="650">
        <v>352.59159380924405</v>
      </c>
      <c r="DS163" s="94">
        <v>352.59159380924393</v>
      </c>
      <c r="DT163" s="719">
        <v>352.59</v>
      </c>
      <c r="DU163" s="721"/>
      <c r="DV163" s="93">
        <v>352.59</v>
      </c>
      <c r="DW163" s="95">
        <v>355.62826782291211</v>
      </c>
      <c r="DX163" s="28">
        <v>-3.0382678229121325</v>
      </c>
      <c r="EA163" s="5">
        <v>407.3370663985072</v>
      </c>
      <c r="EB163" s="5">
        <v>1456.8</v>
      </c>
      <c r="EE163" s="722">
        <v>4073.370663985072</v>
      </c>
      <c r="EG163" s="42" t="s">
        <v>104</v>
      </c>
    </row>
    <row r="164" spans="1:137" x14ac:dyDescent="0.3">
      <c r="A164" s="325">
        <v>150001037</v>
      </c>
      <c r="B164" s="41" t="s">
        <v>632</v>
      </c>
      <c r="C164" s="42" t="s">
        <v>105</v>
      </c>
      <c r="D164" s="27">
        <v>1</v>
      </c>
      <c r="E164" s="709">
        <v>161.4</v>
      </c>
      <c r="F164" s="723">
        <v>161.4</v>
      </c>
      <c r="G164" s="28"/>
      <c r="H164" s="651">
        <v>0</v>
      </c>
      <c r="I164" s="39">
        <v>0</v>
      </c>
      <c r="J164" s="39">
        <v>0</v>
      </c>
      <c r="K164" s="52">
        <v>0</v>
      </c>
      <c r="L164" s="39">
        <v>0</v>
      </c>
      <c r="M164" s="39">
        <v>0</v>
      </c>
      <c r="N164" s="52">
        <v>0</v>
      </c>
      <c r="O164" s="39">
        <v>0</v>
      </c>
      <c r="P164" s="39">
        <v>0</v>
      </c>
      <c r="Q164" s="52">
        <v>0</v>
      </c>
      <c r="R164" s="39">
        <v>0</v>
      </c>
      <c r="S164" s="39">
        <v>0</v>
      </c>
      <c r="T164" s="52">
        <v>0</v>
      </c>
      <c r="U164" s="39">
        <v>0</v>
      </c>
      <c r="V164" s="39">
        <v>0</v>
      </c>
      <c r="W164" s="52">
        <v>0</v>
      </c>
      <c r="X164" s="39">
        <v>0</v>
      </c>
      <c r="Y164" s="39">
        <v>0</v>
      </c>
      <c r="Z164" s="52">
        <v>0</v>
      </c>
      <c r="AA164" s="39">
        <v>0</v>
      </c>
      <c r="AB164" s="39">
        <v>0</v>
      </c>
      <c r="AC164" s="52">
        <v>0</v>
      </c>
      <c r="AD164" s="39">
        <v>0</v>
      </c>
      <c r="AE164" s="39">
        <v>96.51505227284494</v>
      </c>
      <c r="AF164" s="35">
        <v>96.51505227284494</v>
      </c>
      <c r="AG164" s="77">
        <v>0</v>
      </c>
      <c r="AH164" s="53">
        <v>96.51505227284494</v>
      </c>
      <c r="AI164" s="52">
        <v>96.51505227284494</v>
      </c>
      <c r="AJ164" s="39">
        <v>0</v>
      </c>
      <c r="AK164" s="39">
        <v>0</v>
      </c>
      <c r="AL164" s="52">
        <v>0</v>
      </c>
      <c r="AM164" s="39">
        <v>0</v>
      </c>
      <c r="AN164" s="39">
        <v>0</v>
      </c>
      <c r="AO164" s="52">
        <v>0</v>
      </c>
      <c r="AP164" s="39">
        <v>55.242695835462904</v>
      </c>
      <c r="AQ164" s="39">
        <v>0</v>
      </c>
      <c r="AR164" s="52">
        <v>-55.242695835462904</v>
      </c>
      <c r="AS164" s="39">
        <v>323.23582226545983</v>
      </c>
      <c r="AT164" s="39">
        <v>0</v>
      </c>
      <c r="AU164" s="54">
        <v>-323.23582226545983</v>
      </c>
      <c r="AV164" s="39">
        <v>0</v>
      </c>
      <c r="AW164" s="39">
        <v>0</v>
      </c>
      <c r="AX164" s="55">
        <v>0</v>
      </c>
      <c r="AY164" s="39">
        <v>0</v>
      </c>
      <c r="AZ164" s="39">
        <v>0</v>
      </c>
      <c r="BA164" s="35">
        <v>0</v>
      </c>
      <c r="BB164" s="39">
        <v>0</v>
      </c>
      <c r="BC164" s="39">
        <v>0</v>
      </c>
      <c r="BD164" s="55">
        <v>0</v>
      </c>
      <c r="BE164" s="39">
        <v>0</v>
      </c>
      <c r="BF164" s="39">
        <v>0</v>
      </c>
      <c r="BG164" s="38">
        <v>0</v>
      </c>
      <c r="BH164" s="39">
        <v>0</v>
      </c>
      <c r="BI164" s="39">
        <v>0</v>
      </c>
      <c r="BJ164" s="55">
        <v>0</v>
      </c>
      <c r="BK164" s="39">
        <v>0</v>
      </c>
      <c r="BL164" s="39">
        <v>0</v>
      </c>
      <c r="BM164" s="38">
        <v>0</v>
      </c>
      <c r="BN164" s="39">
        <v>0</v>
      </c>
      <c r="BO164" s="39">
        <v>0</v>
      </c>
      <c r="BP164" s="55">
        <v>0</v>
      </c>
      <c r="BQ164" s="77">
        <v>0</v>
      </c>
      <c r="BR164" s="40">
        <v>0</v>
      </c>
      <c r="BS164" s="55">
        <v>0</v>
      </c>
      <c r="BT164" s="39">
        <v>159.5134050279834</v>
      </c>
      <c r="BU164" s="39">
        <v>78.025405780997886</v>
      </c>
      <c r="BV164" s="52">
        <v>-81.48799924698551</v>
      </c>
      <c r="BW164" s="39">
        <v>0</v>
      </c>
      <c r="BX164" s="39">
        <v>0.65333277544800739</v>
      </c>
      <c r="BY164" s="52">
        <v>0.65333277544800739</v>
      </c>
      <c r="BZ164" s="39">
        <v>0</v>
      </c>
      <c r="CA164" s="39">
        <v>266.96577655456974</v>
      </c>
      <c r="CB164" s="52">
        <v>266.96577655456974</v>
      </c>
      <c r="CC164" s="39">
        <v>0</v>
      </c>
      <c r="CD164" s="39">
        <v>0</v>
      </c>
      <c r="CE164" s="52">
        <v>0</v>
      </c>
      <c r="CF164" s="39">
        <v>0</v>
      </c>
      <c r="CG164" s="39">
        <v>0</v>
      </c>
      <c r="CH164" s="52">
        <v>0</v>
      </c>
      <c r="CI164" s="39">
        <v>0</v>
      </c>
      <c r="CJ164" s="39">
        <v>0</v>
      </c>
      <c r="CK164" s="52">
        <v>0</v>
      </c>
      <c r="CL164" s="39">
        <v>0</v>
      </c>
      <c r="CM164" s="39">
        <v>0</v>
      </c>
      <c r="CN164" s="52">
        <v>0</v>
      </c>
      <c r="CO164" s="39">
        <v>0</v>
      </c>
      <c r="CP164" s="40">
        <v>0</v>
      </c>
      <c r="CQ164" s="52">
        <v>0</v>
      </c>
      <c r="CR164" s="72">
        <v>537.99192312890614</v>
      </c>
      <c r="CS164" s="5">
        <v>442.15956738386058</v>
      </c>
      <c r="CT164" s="52">
        <v>-95.832355745045561</v>
      </c>
      <c r="CU164" s="77">
        <v>645.59030775468739</v>
      </c>
      <c r="CV164" s="65">
        <v>530.59148086063271</v>
      </c>
      <c r="CW164" s="35">
        <v>-114.99882689405467</v>
      </c>
      <c r="CX164" s="39">
        <v>25.823612310187496</v>
      </c>
      <c r="CY164" s="39">
        <v>140.82243920424222</v>
      </c>
      <c r="CZ164" s="52">
        <v>114.99882689405472</v>
      </c>
      <c r="DA164" s="150">
        <v>-4781.4781889574551</v>
      </c>
      <c r="DB164" s="2">
        <v>1</v>
      </c>
      <c r="DC164" s="713">
        <v>335.71</v>
      </c>
      <c r="DD164" s="714"/>
      <c r="DE164" s="715">
        <v>3.0399675624721567E-3</v>
      </c>
      <c r="DF164" s="716">
        <v>0</v>
      </c>
      <c r="DG164" s="717">
        <v>-2122.8046687430401</v>
      </c>
      <c r="DH164" s="718">
        <v>3215.7224912224519</v>
      </c>
      <c r="DI164" s="718">
        <v>8056.9670407784988</v>
      </c>
      <c r="DJ164" s="693">
        <v>6846.6559033894864</v>
      </c>
      <c r="DK164" s="724"/>
      <c r="DL164" s="5"/>
      <c r="DM164" s="306">
        <v>2.0799687734351764</v>
      </c>
      <c r="DN164" s="306"/>
      <c r="DO164" s="306">
        <v>2.0799687734351764</v>
      </c>
      <c r="DP164" s="719">
        <v>335.70696003243751</v>
      </c>
      <c r="DQ164" s="720">
        <v>0</v>
      </c>
      <c r="DR164" s="650">
        <v>335.70696003243751</v>
      </c>
      <c r="DS164" s="94">
        <v>335.70696003243739</v>
      </c>
      <c r="DT164" s="719">
        <v>335.71</v>
      </c>
      <c r="DU164" s="721"/>
      <c r="DV164" s="93">
        <v>335.71</v>
      </c>
      <c r="DW164" s="95">
        <v>338.2893212634562</v>
      </c>
      <c r="DX164" s="28">
        <v>-2.5793212634562224</v>
      </c>
      <c r="EA164" s="5">
        <v>387.88298671855176</v>
      </c>
      <c r="EB164" s="5">
        <v>0</v>
      </c>
      <c r="EE164" s="722">
        <v>3878.8298671855182</v>
      </c>
      <c r="EG164" s="42" t="s">
        <v>105</v>
      </c>
    </row>
    <row r="165" spans="1:137" x14ac:dyDescent="0.3">
      <c r="A165" s="325">
        <v>150001032</v>
      </c>
      <c r="B165" s="41" t="s">
        <v>633</v>
      </c>
      <c r="C165" s="42" t="s">
        <v>370</v>
      </c>
      <c r="D165" s="27">
        <v>9</v>
      </c>
      <c r="E165" s="709">
        <v>6020</v>
      </c>
      <c r="F165" s="723">
        <v>6020</v>
      </c>
      <c r="G165" s="28">
        <v>735.55</v>
      </c>
      <c r="H165" s="651">
        <v>0</v>
      </c>
      <c r="I165" s="39">
        <v>2347.6926884600516</v>
      </c>
      <c r="J165" s="39">
        <v>1760.5392340384985</v>
      </c>
      <c r="K165" s="52">
        <v>-587.15345442155308</v>
      </c>
      <c r="L165" s="39">
        <v>310.69211704762535</v>
      </c>
      <c r="M165" s="39">
        <v>162.1970645619202</v>
      </c>
      <c r="N165" s="52">
        <v>-148.49505248570514</v>
      </c>
      <c r="O165" s="39">
        <v>1483.54</v>
      </c>
      <c r="P165" s="39">
        <v>1483.54</v>
      </c>
      <c r="Q165" s="52">
        <v>0</v>
      </c>
      <c r="R165" s="39">
        <v>311.36</v>
      </c>
      <c r="S165" s="39">
        <v>311.36</v>
      </c>
      <c r="T165" s="52">
        <v>0</v>
      </c>
      <c r="U165" s="39">
        <v>288.12088927345849</v>
      </c>
      <c r="V165" s="39">
        <v>85.473117946976458</v>
      </c>
      <c r="W165" s="52">
        <v>-202.64777132648203</v>
      </c>
      <c r="X165" s="39">
        <v>2571.6499428926695</v>
      </c>
      <c r="Y165" s="39">
        <v>1751.6728892659976</v>
      </c>
      <c r="Z165" s="52">
        <v>-819.97705362667193</v>
      </c>
      <c r="AA165" s="39">
        <v>0</v>
      </c>
      <c r="AB165" s="39">
        <v>0</v>
      </c>
      <c r="AC165" s="52">
        <v>0</v>
      </c>
      <c r="AD165" s="39">
        <v>4290.0843049813711</v>
      </c>
      <c r="AE165" s="39">
        <v>3599.8798927046255</v>
      </c>
      <c r="AF165" s="35">
        <v>-690.20441227674564</v>
      </c>
      <c r="AG165" s="77">
        <v>11603.139942655176</v>
      </c>
      <c r="AH165" s="53">
        <v>9154.6621985180172</v>
      </c>
      <c r="AI165" s="52">
        <v>-2448.4777441371589</v>
      </c>
      <c r="AJ165" s="39">
        <v>14306.918631331355</v>
      </c>
      <c r="AK165" s="39">
        <v>14114.781678637108</v>
      </c>
      <c r="AL165" s="52">
        <v>-192.13695269424716</v>
      </c>
      <c r="AM165" s="39">
        <v>0</v>
      </c>
      <c r="AN165" s="39">
        <v>0</v>
      </c>
      <c r="AO165" s="52">
        <v>0</v>
      </c>
      <c r="AP165" s="39">
        <v>844.42406491350437</v>
      </c>
      <c r="AQ165" s="39">
        <v>0</v>
      </c>
      <c r="AR165" s="52">
        <v>-844.42406491350437</v>
      </c>
      <c r="AS165" s="39">
        <v>17637.511541191994</v>
      </c>
      <c r="AT165" s="39">
        <v>8973</v>
      </c>
      <c r="AU165" s="54">
        <v>-8664.5115411919942</v>
      </c>
      <c r="AV165" s="39">
        <v>169.81309339741193</v>
      </c>
      <c r="AW165" s="39">
        <v>0</v>
      </c>
      <c r="AX165" s="55">
        <v>-169.81309339741193</v>
      </c>
      <c r="AY165" s="39">
        <v>211.69671960875121</v>
      </c>
      <c r="AZ165" s="39">
        <v>0</v>
      </c>
      <c r="BA165" s="35">
        <v>-211.69671960875121</v>
      </c>
      <c r="BB165" s="39">
        <v>351.24098113888738</v>
      </c>
      <c r="BC165" s="39">
        <v>0</v>
      </c>
      <c r="BD165" s="55">
        <v>-351.24098113888738</v>
      </c>
      <c r="BE165" s="39">
        <v>132.75947329872042</v>
      </c>
      <c r="BF165" s="39">
        <v>0</v>
      </c>
      <c r="BG165" s="38">
        <v>-132.75947329872042</v>
      </c>
      <c r="BH165" s="39">
        <v>146.1613169921593</v>
      </c>
      <c r="BI165" s="39">
        <v>0</v>
      </c>
      <c r="BJ165" s="55">
        <v>-146.1613169921593</v>
      </c>
      <c r="BK165" s="39">
        <v>232.16032966965076</v>
      </c>
      <c r="BL165" s="39">
        <v>0</v>
      </c>
      <c r="BM165" s="38">
        <v>-232.16032966965076</v>
      </c>
      <c r="BN165" s="39">
        <v>184.43633026280074</v>
      </c>
      <c r="BO165" s="39">
        <v>0</v>
      </c>
      <c r="BP165" s="55">
        <v>-184.43633026280074</v>
      </c>
      <c r="BQ165" s="77">
        <v>1428.2682443683818</v>
      </c>
      <c r="BR165" s="40">
        <v>0</v>
      </c>
      <c r="BS165" s="55">
        <v>-1428.2682443683818</v>
      </c>
      <c r="BT165" s="39">
        <v>13454.166438498833</v>
      </c>
      <c r="BU165" s="39">
        <v>3902.7297639570788</v>
      </c>
      <c r="BV165" s="52">
        <v>-9551.4366745417537</v>
      </c>
      <c r="BW165" s="39">
        <v>10236.655456880142</v>
      </c>
      <c r="BX165" s="39">
        <v>8624.8170257679976</v>
      </c>
      <c r="BY165" s="52">
        <v>-1611.8384311121445</v>
      </c>
      <c r="BZ165" s="39">
        <v>1558.0685426581299</v>
      </c>
      <c r="CA165" s="39">
        <v>12183.374190462459</v>
      </c>
      <c r="CB165" s="52">
        <v>10625.305647804329</v>
      </c>
      <c r="CC165" s="39">
        <v>450.26789435181132</v>
      </c>
      <c r="CD165" s="39">
        <v>444.22164464158396</v>
      </c>
      <c r="CE165" s="52">
        <v>-6.0462497102273574</v>
      </c>
      <c r="CF165" s="39">
        <v>55.430706691037372</v>
      </c>
      <c r="CG165" s="39">
        <v>0</v>
      </c>
      <c r="CH165" s="52">
        <v>-55.430706691037372</v>
      </c>
      <c r="CI165" s="39">
        <v>4613.8699561778612</v>
      </c>
      <c r="CJ165" s="39">
        <v>6543.9013422017524</v>
      </c>
      <c r="CK165" s="52">
        <v>1930.0313860238912</v>
      </c>
      <c r="CL165" s="39">
        <v>2021.4927191367506</v>
      </c>
      <c r="CM165" s="39">
        <v>3183.4997640713368</v>
      </c>
      <c r="CN165" s="52">
        <v>1162.0070449345862</v>
      </c>
      <c r="CO165" s="39">
        <v>6635.3626753146118</v>
      </c>
      <c r="CP165" s="40">
        <v>9727.4011062730897</v>
      </c>
      <c r="CQ165" s="52">
        <v>3092.0384309584779</v>
      </c>
      <c r="CR165" s="72">
        <v>78210.214138854979</v>
      </c>
      <c r="CS165" s="5">
        <v>67124.987608257332</v>
      </c>
      <c r="CT165" s="52">
        <v>-11085.226530597647</v>
      </c>
      <c r="CU165" s="77">
        <v>93852.256966625966</v>
      </c>
      <c r="CV165" s="65">
        <v>80549.98512990879</v>
      </c>
      <c r="CW165" s="35">
        <v>-13302.271836717176</v>
      </c>
      <c r="CX165" s="39">
        <v>2346.3064241656493</v>
      </c>
      <c r="CY165" s="39">
        <v>15648.578260882816</v>
      </c>
      <c r="CZ165" s="52">
        <v>13302.271836717166</v>
      </c>
      <c r="DA165" s="150">
        <v>-38225.498997246963</v>
      </c>
      <c r="DB165" s="2">
        <v>1</v>
      </c>
      <c r="DC165" s="713">
        <v>72388.41</v>
      </c>
      <c r="DD165" s="714"/>
      <c r="DE165" s="715">
        <v>24289.128304604201</v>
      </c>
      <c r="DF165" s="716">
        <v>0</v>
      </c>
      <c r="DG165" s="717">
        <v>-20727.175093138696</v>
      </c>
      <c r="DH165" s="718">
        <v>462955.74803678988</v>
      </c>
      <c r="DI165" s="718">
        <v>1154382.7606894993</v>
      </c>
      <c r="DJ165" s="693">
        <v>981526.00752632192</v>
      </c>
      <c r="DK165" s="724"/>
      <c r="DL165" s="5"/>
      <c r="DM165" s="306">
        <v>6.321812078880054</v>
      </c>
      <c r="DN165" s="306">
        <v>8.2220993330953238</v>
      </c>
      <c r="DO165" s="306">
        <v>5.2760407988167168</v>
      </c>
      <c r="DP165" s="719">
        <v>48099.281695395803</v>
      </c>
      <c r="DQ165" s="720">
        <v>0</v>
      </c>
      <c r="DR165" s="650">
        <v>48099.281695395803</v>
      </c>
      <c r="DS165" s="94">
        <v>48099.281695395817</v>
      </c>
      <c r="DT165" s="719">
        <v>48093.51</v>
      </c>
      <c r="DU165" s="721"/>
      <c r="DV165" s="93">
        <v>48093.51</v>
      </c>
      <c r="DW165" s="95">
        <v>48333.91233781237</v>
      </c>
      <c r="DX165" s="28">
        <v>-240.40233781236748</v>
      </c>
      <c r="EA165" s="5">
        <v>22878.935742672449</v>
      </c>
      <c r="EB165" s="5">
        <v>10767.6</v>
      </c>
      <c r="EE165" s="722">
        <v>211650.13849430392</v>
      </c>
      <c r="EG165" s="42" t="s">
        <v>370</v>
      </c>
    </row>
    <row r="166" spans="1:137" x14ac:dyDescent="0.3">
      <c r="A166" s="325">
        <v>150000537</v>
      </c>
      <c r="B166" s="41" t="s">
        <v>634</v>
      </c>
      <c r="C166" s="42" t="s">
        <v>106</v>
      </c>
      <c r="D166" s="27">
        <v>1</v>
      </c>
      <c r="E166" s="709">
        <v>108.3</v>
      </c>
      <c r="F166" s="723">
        <v>108.3</v>
      </c>
      <c r="G166" s="28"/>
      <c r="H166" s="651">
        <v>0</v>
      </c>
      <c r="I166" s="39">
        <v>0</v>
      </c>
      <c r="J166" s="39">
        <v>0</v>
      </c>
      <c r="K166" s="52">
        <v>0</v>
      </c>
      <c r="L166" s="39">
        <v>0</v>
      </c>
      <c r="M166" s="39">
        <v>0</v>
      </c>
      <c r="N166" s="52">
        <v>0</v>
      </c>
      <c r="O166" s="39">
        <v>0</v>
      </c>
      <c r="P166" s="39">
        <v>0</v>
      </c>
      <c r="Q166" s="52">
        <v>0</v>
      </c>
      <c r="R166" s="39">
        <v>0</v>
      </c>
      <c r="S166" s="39">
        <v>0</v>
      </c>
      <c r="T166" s="52">
        <v>0</v>
      </c>
      <c r="U166" s="39">
        <v>0</v>
      </c>
      <c r="V166" s="39">
        <v>0</v>
      </c>
      <c r="W166" s="52">
        <v>0</v>
      </c>
      <c r="X166" s="39">
        <v>0</v>
      </c>
      <c r="Y166" s="39">
        <v>0</v>
      </c>
      <c r="Z166" s="52">
        <v>0</v>
      </c>
      <c r="AA166" s="39">
        <v>0</v>
      </c>
      <c r="AB166" s="39">
        <v>0</v>
      </c>
      <c r="AC166" s="52">
        <v>0</v>
      </c>
      <c r="AD166" s="39">
        <v>0</v>
      </c>
      <c r="AE166" s="39">
        <v>0</v>
      </c>
      <c r="AF166" s="35">
        <v>0</v>
      </c>
      <c r="AG166" s="77">
        <v>0</v>
      </c>
      <c r="AH166" s="53">
        <v>0</v>
      </c>
      <c r="AI166" s="52">
        <v>0</v>
      </c>
      <c r="AJ166" s="39">
        <v>0</v>
      </c>
      <c r="AK166" s="39">
        <v>0</v>
      </c>
      <c r="AL166" s="52">
        <v>0</v>
      </c>
      <c r="AM166" s="39">
        <v>0</v>
      </c>
      <c r="AN166" s="39">
        <v>0</v>
      </c>
      <c r="AO166" s="52">
        <v>0</v>
      </c>
      <c r="AP166" s="39">
        <v>71.02632321702373</v>
      </c>
      <c r="AQ166" s="39">
        <v>0</v>
      </c>
      <c r="AR166" s="52">
        <v>-71.02632321702373</v>
      </c>
      <c r="AS166" s="39">
        <v>27.075999999999997</v>
      </c>
      <c r="AT166" s="39">
        <v>0</v>
      </c>
      <c r="AU166" s="54">
        <v>-27.075999999999997</v>
      </c>
      <c r="AV166" s="39">
        <v>0</v>
      </c>
      <c r="AW166" s="39">
        <v>0</v>
      </c>
      <c r="AX166" s="55">
        <v>0</v>
      </c>
      <c r="AY166" s="39">
        <v>0</v>
      </c>
      <c r="AZ166" s="39">
        <v>0</v>
      </c>
      <c r="BA166" s="35">
        <v>0</v>
      </c>
      <c r="BB166" s="39">
        <v>0</v>
      </c>
      <c r="BC166" s="39">
        <v>0</v>
      </c>
      <c r="BD166" s="55">
        <v>0</v>
      </c>
      <c r="BE166" s="39">
        <v>0</v>
      </c>
      <c r="BF166" s="39">
        <v>0</v>
      </c>
      <c r="BG166" s="38">
        <v>0</v>
      </c>
      <c r="BH166" s="39">
        <v>0</v>
      </c>
      <c r="BI166" s="39">
        <v>0</v>
      </c>
      <c r="BJ166" s="55">
        <v>0</v>
      </c>
      <c r="BK166" s="39">
        <v>0</v>
      </c>
      <c r="BL166" s="39">
        <v>0</v>
      </c>
      <c r="BM166" s="38">
        <v>0</v>
      </c>
      <c r="BN166" s="39">
        <v>0</v>
      </c>
      <c r="BO166" s="39">
        <v>0</v>
      </c>
      <c r="BP166" s="55">
        <v>0</v>
      </c>
      <c r="BQ166" s="77">
        <v>0</v>
      </c>
      <c r="BR166" s="40">
        <v>0</v>
      </c>
      <c r="BS166" s="55">
        <v>0</v>
      </c>
      <c r="BT166" s="39">
        <v>0</v>
      </c>
      <c r="BU166" s="39">
        <v>0</v>
      </c>
      <c r="BV166" s="52">
        <v>0</v>
      </c>
      <c r="BW166" s="39">
        <v>0</v>
      </c>
      <c r="BX166" s="39">
        <v>0.43838872107199012</v>
      </c>
      <c r="BY166" s="52">
        <v>0.43838872107199012</v>
      </c>
      <c r="BZ166" s="39">
        <v>0</v>
      </c>
      <c r="CA166" s="39">
        <v>0</v>
      </c>
      <c r="CB166" s="52">
        <v>0</v>
      </c>
      <c r="CC166" s="39">
        <v>0</v>
      </c>
      <c r="CD166" s="39">
        <v>0</v>
      </c>
      <c r="CE166" s="52">
        <v>0</v>
      </c>
      <c r="CF166" s="39">
        <v>0</v>
      </c>
      <c r="CG166" s="39">
        <v>0</v>
      </c>
      <c r="CH166" s="52">
        <v>0</v>
      </c>
      <c r="CI166" s="39">
        <v>0</v>
      </c>
      <c r="CJ166" s="39">
        <v>0</v>
      </c>
      <c r="CK166" s="52">
        <v>0</v>
      </c>
      <c r="CL166" s="39">
        <v>0</v>
      </c>
      <c r="CM166" s="39">
        <v>0</v>
      </c>
      <c r="CN166" s="52">
        <v>0</v>
      </c>
      <c r="CO166" s="39">
        <v>0</v>
      </c>
      <c r="CP166" s="40">
        <v>0</v>
      </c>
      <c r="CQ166" s="52">
        <v>0</v>
      </c>
      <c r="CR166" s="72">
        <v>98.102323217023724</v>
      </c>
      <c r="CS166" s="5">
        <v>0.43838872107199012</v>
      </c>
      <c r="CT166" s="52">
        <v>-97.663934495951736</v>
      </c>
      <c r="CU166" s="77">
        <v>117.72278786042847</v>
      </c>
      <c r="CV166" s="65">
        <v>0.52606646528638812</v>
      </c>
      <c r="CW166" s="35">
        <v>-117.19672139514208</v>
      </c>
      <c r="CX166" s="39">
        <v>0</v>
      </c>
      <c r="CY166" s="39">
        <v>117.19672139514208</v>
      </c>
      <c r="CZ166" s="52">
        <v>117.19672139514208</v>
      </c>
      <c r="DA166" s="150">
        <v>-39.062410693265406</v>
      </c>
      <c r="DB166" s="2">
        <v>2</v>
      </c>
      <c r="DC166" s="713">
        <v>58.86</v>
      </c>
      <c r="DD166" s="714"/>
      <c r="DE166" s="715">
        <v>-1.3939302142347287E-3</v>
      </c>
      <c r="DF166" s="716">
        <v>0</v>
      </c>
      <c r="DG166" s="717">
        <v>318.2139187341719</v>
      </c>
      <c r="DH166" s="718">
        <v>567.50210616251115</v>
      </c>
      <c r="DI166" s="718">
        <v>1412.6734543251416</v>
      </c>
      <c r="DJ166" s="693">
        <v>1201.3806172844841</v>
      </c>
      <c r="DK166" s="724"/>
      <c r="DL166" s="5"/>
      <c r="DM166" s="306">
        <v>0.543503175717583</v>
      </c>
      <c r="DN166" s="306"/>
      <c r="DO166" s="306">
        <v>0.543503175717583</v>
      </c>
      <c r="DP166" s="719">
        <v>58.861393930214234</v>
      </c>
      <c r="DQ166" s="720">
        <v>0</v>
      </c>
      <c r="DR166" s="650">
        <v>58.861393930214234</v>
      </c>
      <c r="DS166" s="94">
        <v>58.861393930214234</v>
      </c>
      <c r="DT166" s="719">
        <v>58.86</v>
      </c>
      <c r="DU166" s="721"/>
      <c r="DV166" s="93">
        <v>58.86</v>
      </c>
      <c r="DW166" s="95">
        <v>58.861393930214234</v>
      </c>
      <c r="DX166" s="28">
        <v>-1.3939302142347287E-3</v>
      </c>
      <c r="EA166" s="5">
        <v>32.491199999999992</v>
      </c>
      <c r="EB166" s="5">
        <v>0</v>
      </c>
      <c r="EE166" s="722">
        <v>324.91199999999998</v>
      </c>
      <c r="EG166" s="42" t="s">
        <v>106</v>
      </c>
    </row>
    <row r="167" spans="1:137" x14ac:dyDescent="0.3">
      <c r="A167" s="325">
        <v>150000545</v>
      </c>
      <c r="B167" s="41" t="s">
        <v>635</v>
      </c>
      <c r="C167" s="42" t="s">
        <v>107</v>
      </c>
      <c r="D167" s="27">
        <v>1</v>
      </c>
      <c r="E167" s="709">
        <v>95</v>
      </c>
      <c r="F167" s="723">
        <v>95</v>
      </c>
      <c r="G167" s="28"/>
      <c r="H167" s="651">
        <v>0</v>
      </c>
      <c r="I167" s="39">
        <v>0</v>
      </c>
      <c r="J167" s="39">
        <v>0</v>
      </c>
      <c r="K167" s="52">
        <v>0</v>
      </c>
      <c r="L167" s="39">
        <v>0</v>
      </c>
      <c r="M167" s="39">
        <v>0</v>
      </c>
      <c r="N167" s="52">
        <v>0</v>
      </c>
      <c r="O167" s="39">
        <v>0</v>
      </c>
      <c r="P167" s="39">
        <v>0</v>
      </c>
      <c r="Q167" s="52">
        <v>0</v>
      </c>
      <c r="R167" s="39">
        <v>0</v>
      </c>
      <c r="S167" s="39">
        <v>0</v>
      </c>
      <c r="T167" s="52">
        <v>0</v>
      </c>
      <c r="U167" s="39">
        <v>0</v>
      </c>
      <c r="V167" s="39">
        <v>0</v>
      </c>
      <c r="W167" s="52">
        <v>0</v>
      </c>
      <c r="X167" s="39">
        <v>0</v>
      </c>
      <c r="Y167" s="39">
        <v>0</v>
      </c>
      <c r="Z167" s="52">
        <v>0</v>
      </c>
      <c r="AA167" s="39">
        <v>0</v>
      </c>
      <c r="AB167" s="39">
        <v>0</v>
      </c>
      <c r="AC167" s="52">
        <v>0</v>
      </c>
      <c r="AD167" s="39">
        <v>0</v>
      </c>
      <c r="AE167" s="39">
        <v>56.808735848328809</v>
      </c>
      <c r="AF167" s="35">
        <v>56.808735848328809</v>
      </c>
      <c r="AG167" s="77">
        <v>0</v>
      </c>
      <c r="AH167" s="53">
        <v>56.808735848328809</v>
      </c>
      <c r="AI167" s="52">
        <v>56.808735848328809</v>
      </c>
      <c r="AJ167" s="39">
        <v>0</v>
      </c>
      <c r="AK167" s="39">
        <v>0</v>
      </c>
      <c r="AL167" s="52">
        <v>0</v>
      </c>
      <c r="AM167" s="39">
        <v>0</v>
      </c>
      <c r="AN167" s="39">
        <v>0</v>
      </c>
      <c r="AO167" s="52">
        <v>0</v>
      </c>
      <c r="AP167" s="39">
        <v>71.02632321702373</v>
      </c>
      <c r="AQ167" s="39">
        <v>0</v>
      </c>
      <c r="AR167" s="52">
        <v>-71.02632321702373</v>
      </c>
      <c r="AS167" s="39">
        <v>206.91011246234066</v>
      </c>
      <c r="AT167" s="39">
        <v>0</v>
      </c>
      <c r="AU167" s="54">
        <v>-206.91011246234066</v>
      </c>
      <c r="AV167" s="39">
        <v>0</v>
      </c>
      <c r="AW167" s="39">
        <v>0</v>
      </c>
      <c r="AX167" s="55">
        <v>0</v>
      </c>
      <c r="AY167" s="39">
        <v>0</v>
      </c>
      <c r="AZ167" s="39">
        <v>0</v>
      </c>
      <c r="BA167" s="35">
        <v>0</v>
      </c>
      <c r="BB167" s="39">
        <v>0</v>
      </c>
      <c r="BC167" s="39">
        <v>0</v>
      </c>
      <c r="BD167" s="55">
        <v>0</v>
      </c>
      <c r="BE167" s="39">
        <v>0</v>
      </c>
      <c r="BF167" s="39">
        <v>0</v>
      </c>
      <c r="BG167" s="38">
        <v>0</v>
      </c>
      <c r="BH167" s="39">
        <v>0</v>
      </c>
      <c r="BI167" s="39">
        <v>0</v>
      </c>
      <c r="BJ167" s="55">
        <v>0</v>
      </c>
      <c r="BK167" s="39">
        <v>0</v>
      </c>
      <c r="BL167" s="39">
        <v>0</v>
      </c>
      <c r="BM167" s="38">
        <v>0</v>
      </c>
      <c r="BN167" s="39">
        <v>0</v>
      </c>
      <c r="BO167" s="39">
        <v>0</v>
      </c>
      <c r="BP167" s="55">
        <v>0</v>
      </c>
      <c r="BQ167" s="77">
        <v>0</v>
      </c>
      <c r="BR167" s="40">
        <v>0</v>
      </c>
      <c r="BS167" s="55">
        <v>0</v>
      </c>
      <c r="BT167" s="39">
        <v>0</v>
      </c>
      <c r="BU167" s="39">
        <v>0</v>
      </c>
      <c r="BV167" s="52">
        <v>0</v>
      </c>
      <c r="BW167" s="39">
        <v>0</v>
      </c>
      <c r="BX167" s="39">
        <v>0.38455150971227203</v>
      </c>
      <c r="BY167" s="52">
        <v>0.38455150971227203</v>
      </c>
      <c r="BZ167" s="39">
        <v>0</v>
      </c>
      <c r="CA167" s="39">
        <v>0</v>
      </c>
      <c r="CB167" s="52">
        <v>0</v>
      </c>
      <c r="CC167" s="39">
        <v>0</v>
      </c>
      <c r="CD167" s="39">
        <v>0</v>
      </c>
      <c r="CE167" s="52">
        <v>0</v>
      </c>
      <c r="CF167" s="39">
        <v>0</v>
      </c>
      <c r="CG167" s="39">
        <v>0</v>
      </c>
      <c r="CH167" s="52">
        <v>0</v>
      </c>
      <c r="CI167" s="39">
        <v>0</v>
      </c>
      <c r="CJ167" s="39">
        <v>0</v>
      </c>
      <c r="CK167" s="52">
        <v>0</v>
      </c>
      <c r="CL167" s="39">
        <v>0</v>
      </c>
      <c r="CM167" s="39">
        <v>0</v>
      </c>
      <c r="CN167" s="52">
        <v>0</v>
      </c>
      <c r="CO167" s="39">
        <v>0</v>
      </c>
      <c r="CP167" s="40">
        <v>0</v>
      </c>
      <c r="CQ167" s="52">
        <v>0</v>
      </c>
      <c r="CR167" s="72">
        <v>277.93643567936442</v>
      </c>
      <c r="CS167" s="5">
        <v>57.193287358041083</v>
      </c>
      <c r="CT167" s="52">
        <v>-220.74314832132333</v>
      </c>
      <c r="CU167" s="77">
        <v>333.52372281523731</v>
      </c>
      <c r="CV167" s="65">
        <v>68.631944829649299</v>
      </c>
      <c r="CW167" s="35">
        <v>-264.89177798558802</v>
      </c>
      <c r="CX167" s="39">
        <v>0</v>
      </c>
      <c r="CY167" s="39">
        <v>264.89177798558802</v>
      </c>
      <c r="CZ167" s="52">
        <v>264.89177798558802</v>
      </c>
      <c r="DA167" s="150">
        <v>-3035.0556849560066</v>
      </c>
      <c r="DB167" s="2">
        <v>2</v>
      </c>
      <c r="DC167" s="713">
        <v>586.79999999999995</v>
      </c>
      <c r="DD167" s="714"/>
      <c r="DE167" s="715">
        <v>420.0381385923813</v>
      </c>
      <c r="DF167" s="716">
        <v>0</v>
      </c>
      <c r="DG167" s="717">
        <v>-1658.6998276536203</v>
      </c>
      <c r="DH167" s="718">
        <v>1608.0049155913266</v>
      </c>
      <c r="DI167" s="718">
        <v>4002.2846737828477</v>
      </c>
      <c r="DJ167" s="693">
        <v>3403.7147342349681</v>
      </c>
      <c r="DK167" s="724"/>
      <c r="DL167" s="5"/>
      <c r="DM167" s="306">
        <v>1.7553880148170384</v>
      </c>
      <c r="DN167" s="306"/>
      <c r="DO167" s="306">
        <v>1.7553880148170384</v>
      </c>
      <c r="DP167" s="719">
        <v>166.76186140761865</v>
      </c>
      <c r="DQ167" s="720">
        <v>0</v>
      </c>
      <c r="DR167" s="650">
        <v>166.76186140761865</v>
      </c>
      <c r="DS167" s="94">
        <v>166.76186140761865</v>
      </c>
      <c r="DT167" s="719">
        <v>166.76</v>
      </c>
      <c r="DU167" s="721"/>
      <c r="DV167" s="93">
        <v>166.76</v>
      </c>
      <c r="DW167" s="95">
        <v>166.76186140761865</v>
      </c>
      <c r="DX167" s="28">
        <v>-1.8614076186622697E-3</v>
      </c>
      <c r="EA167" s="5">
        <v>248.29213495480877</v>
      </c>
      <c r="EB167" s="5">
        <v>0</v>
      </c>
      <c r="EE167" s="722">
        <v>2482.9213495480881</v>
      </c>
      <c r="EG167" s="42" t="s">
        <v>107</v>
      </c>
    </row>
    <row r="168" spans="1:137" x14ac:dyDescent="0.3">
      <c r="A168" s="325">
        <v>150000546</v>
      </c>
      <c r="B168" s="41" t="s">
        <v>636</v>
      </c>
      <c r="C168" s="42" t="s">
        <v>108</v>
      </c>
      <c r="D168" s="27">
        <v>1</v>
      </c>
      <c r="E168" s="709">
        <v>131.30000000000001</v>
      </c>
      <c r="F168" s="723">
        <v>131.30000000000001</v>
      </c>
      <c r="G168" s="28"/>
      <c r="H168" s="651">
        <v>0</v>
      </c>
      <c r="I168" s="39">
        <v>0</v>
      </c>
      <c r="J168" s="39">
        <v>0</v>
      </c>
      <c r="K168" s="52">
        <v>0</v>
      </c>
      <c r="L168" s="39">
        <v>0</v>
      </c>
      <c r="M168" s="39">
        <v>0</v>
      </c>
      <c r="N168" s="52">
        <v>0</v>
      </c>
      <c r="O168" s="39">
        <v>0</v>
      </c>
      <c r="P168" s="39">
        <v>0</v>
      </c>
      <c r="Q168" s="52">
        <v>0</v>
      </c>
      <c r="R168" s="39">
        <v>0</v>
      </c>
      <c r="S168" s="39">
        <v>0</v>
      </c>
      <c r="T168" s="52">
        <v>0</v>
      </c>
      <c r="U168" s="39">
        <v>0</v>
      </c>
      <c r="V168" s="39">
        <v>0</v>
      </c>
      <c r="W168" s="52">
        <v>0</v>
      </c>
      <c r="X168" s="39">
        <v>0</v>
      </c>
      <c r="Y168" s="39">
        <v>0</v>
      </c>
      <c r="Z168" s="52">
        <v>0</v>
      </c>
      <c r="AA168" s="39">
        <v>0</v>
      </c>
      <c r="AB168" s="39">
        <v>0</v>
      </c>
      <c r="AC168" s="52">
        <v>0</v>
      </c>
      <c r="AD168" s="39">
        <v>0</v>
      </c>
      <c r="AE168" s="39">
        <v>78.515652809321836</v>
      </c>
      <c r="AF168" s="35">
        <v>78.515652809321836</v>
      </c>
      <c r="AG168" s="77">
        <v>0</v>
      </c>
      <c r="AH168" s="53">
        <v>78.515652809321836</v>
      </c>
      <c r="AI168" s="52">
        <v>78.515652809321836</v>
      </c>
      <c r="AJ168" s="39">
        <v>0</v>
      </c>
      <c r="AK168" s="39">
        <v>0</v>
      </c>
      <c r="AL168" s="52">
        <v>0</v>
      </c>
      <c r="AM168" s="39">
        <v>0</v>
      </c>
      <c r="AN168" s="39">
        <v>0</v>
      </c>
      <c r="AO168" s="52">
        <v>0</v>
      </c>
      <c r="AP168" s="39">
        <v>71.02632321702373</v>
      </c>
      <c r="AQ168" s="39">
        <v>0</v>
      </c>
      <c r="AR168" s="52">
        <v>-71.02632321702373</v>
      </c>
      <c r="AS168" s="39">
        <v>283.32110185525045</v>
      </c>
      <c r="AT168" s="39">
        <v>0</v>
      </c>
      <c r="AU168" s="54">
        <v>-283.32110185525045</v>
      </c>
      <c r="AV168" s="39">
        <v>0</v>
      </c>
      <c r="AW168" s="39">
        <v>0</v>
      </c>
      <c r="AX168" s="55">
        <v>0</v>
      </c>
      <c r="AY168" s="39">
        <v>0</v>
      </c>
      <c r="AZ168" s="39">
        <v>0</v>
      </c>
      <c r="BA168" s="35">
        <v>0</v>
      </c>
      <c r="BB168" s="39">
        <v>0</v>
      </c>
      <c r="BC168" s="39">
        <v>0</v>
      </c>
      <c r="BD168" s="55">
        <v>0</v>
      </c>
      <c r="BE168" s="39">
        <v>0</v>
      </c>
      <c r="BF168" s="39">
        <v>0</v>
      </c>
      <c r="BG168" s="38">
        <v>0</v>
      </c>
      <c r="BH168" s="39">
        <v>0</v>
      </c>
      <c r="BI168" s="39">
        <v>0</v>
      </c>
      <c r="BJ168" s="55">
        <v>0</v>
      </c>
      <c r="BK168" s="39">
        <v>0</v>
      </c>
      <c r="BL168" s="39">
        <v>0</v>
      </c>
      <c r="BM168" s="38">
        <v>0</v>
      </c>
      <c r="BN168" s="39">
        <v>0</v>
      </c>
      <c r="BO168" s="39">
        <v>0</v>
      </c>
      <c r="BP168" s="55">
        <v>0</v>
      </c>
      <c r="BQ168" s="77">
        <v>0</v>
      </c>
      <c r="BR168" s="40">
        <v>0</v>
      </c>
      <c r="BS168" s="55">
        <v>0</v>
      </c>
      <c r="BT168" s="39">
        <v>0</v>
      </c>
      <c r="BU168" s="39">
        <v>0</v>
      </c>
      <c r="BV168" s="52">
        <v>0</v>
      </c>
      <c r="BW168" s="39">
        <v>0</v>
      </c>
      <c r="BX168" s="39">
        <v>0.53149066552864555</v>
      </c>
      <c r="BY168" s="52">
        <v>0.53149066552864555</v>
      </c>
      <c r="BZ168" s="39">
        <v>0</v>
      </c>
      <c r="CA168" s="39">
        <v>0</v>
      </c>
      <c r="CB168" s="52">
        <v>0</v>
      </c>
      <c r="CC168" s="39">
        <v>0</v>
      </c>
      <c r="CD168" s="39">
        <v>0</v>
      </c>
      <c r="CE168" s="52">
        <v>0</v>
      </c>
      <c r="CF168" s="39">
        <v>0</v>
      </c>
      <c r="CG168" s="39">
        <v>0</v>
      </c>
      <c r="CH168" s="52">
        <v>0</v>
      </c>
      <c r="CI168" s="39">
        <v>0</v>
      </c>
      <c r="CJ168" s="39">
        <v>0</v>
      </c>
      <c r="CK168" s="52">
        <v>0</v>
      </c>
      <c r="CL168" s="39">
        <v>0</v>
      </c>
      <c r="CM168" s="39">
        <v>0</v>
      </c>
      <c r="CN168" s="52">
        <v>0</v>
      </c>
      <c r="CO168" s="39">
        <v>0</v>
      </c>
      <c r="CP168" s="40">
        <v>0</v>
      </c>
      <c r="CQ168" s="52">
        <v>0</v>
      </c>
      <c r="CR168" s="72">
        <v>354.34742507227418</v>
      </c>
      <c r="CS168" s="5">
        <v>79.047143474850486</v>
      </c>
      <c r="CT168" s="52">
        <v>-275.30028159742369</v>
      </c>
      <c r="CU168" s="77">
        <v>425.216910086729</v>
      </c>
      <c r="CV168" s="65">
        <v>94.856572169820581</v>
      </c>
      <c r="CW168" s="35">
        <v>-330.36033791690841</v>
      </c>
      <c r="CX168" s="39">
        <v>0</v>
      </c>
      <c r="CY168" s="39">
        <v>330.36033791690846</v>
      </c>
      <c r="CZ168" s="52">
        <v>330.36033791690846</v>
      </c>
      <c r="DA168" s="150">
        <v>-3775.5609464153563</v>
      </c>
      <c r="DB168" s="2">
        <v>2</v>
      </c>
      <c r="DC168" s="713">
        <v>2046.3</v>
      </c>
      <c r="DD168" s="714"/>
      <c r="DE168" s="715">
        <v>1833.6915449566354</v>
      </c>
      <c r="DF168" s="716">
        <v>0</v>
      </c>
      <c r="DG168" s="717">
        <v>-1938.1549684243882</v>
      </c>
      <c r="DH168" s="718">
        <v>2035.2883263535948</v>
      </c>
      <c r="DI168" s="718">
        <v>5102.6029210407478</v>
      </c>
      <c r="DJ168" s="693">
        <v>4335.7742723689598</v>
      </c>
      <c r="DK168" s="724"/>
      <c r="DL168" s="5"/>
      <c r="DM168" s="306">
        <v>1.6192570833462641</v>
      </c>
      <c r="DN168" s="306"/>
      <c r="DO168" s="306">
        <v>1.6192570833462641</v>
      </c>
      <c r="DP168" s="719">
        <v>212.6084550433645</v>
      </c>
      <c r="DQ168" s="720">
        <v>0</v>
      </c>
      <c r="DR168" s="650">
        <v>212.6084550433645</v>
      </c>
      <c r="DS168" s="94">
        <v>212.6084550433645</v>
      </c>
      <c r="DT168" s="719">
        <v>212.62</v>
      </c>
      <c r="DU168" s="721"/>
      <c r="DV168" s="93">
        <v>212.62</v>
      </c>
      <c r="DW168" s="95">
        <v>212.6084550433645</v>
      </c>
      <c r="DX168" s="28">
        <v>1.1544956635503922E-2</v>
      </c>
      <c r="EA168" s="5">
        <v>339.98532222630053</v>
      </c>
      <c r="EB168" s="5">
        <v>0</v>
      </c>
      <c r="EE168" s="722">
        <v>3399.8532222630056</v>
      </c>
      <c r="EG168" s="42" t="s">
        <v>108</v>
      </c>
    </row>
    <row r="169" spans="1:137" x14ac:dyDescent="0.3">
      <c r="A169" s="325">
        <v>150000502</v>
      </c>
      <c r="B169" s="41" t="s">
        <v>637</v>
      </c>
      <c r="C169" s="42" t="s">
        <v>109</v>
      </c>
      <c r="D169" s="27">
        <v>1</v>
      </c>
      <c r="E169" s="709">
        <v>137.30000000000001</v>
      </c>
      <c r="F169" s="723">
        <v>137.30000000000001</v>
      </c>
      <c r="G169" s="28"/>
      <c r="H169" s="651">
        <v>0</v>
      </c>
      <c r="I169" s="39">
        <v>0</v>
      </c>
      <c r="J169" s="39">
        <v>0</v>
      </c>
      <c r="K169" s="52">
        <v>0</v>
      </c>
      <c r="L169" s="39">
        <v>0</v>
      </c>
      <c r="M169" s="39">
        <v>0</v>
      </c>
      <c r="N169" s="52">
        <v>0</v>
      </c>
      <c r="O169" s="39">
        <v>0</v>
      </c>
      <c r="P169" s="39">
        <v>0</v>
      </c>
      <c r="Q169" s="52">
        <v>0</v>
      </c>
      <c r="R169" s="39">
        <v>0</v>
      </c>
      <c r="S169" s="39">
        <v>0</v>
      </c>
      <c r="T169" s="52">
        <v>0</v>
      </c>
      <c r="U169" s="39">
        <v>0</v>
      </c>
      <c r="V169" s="39">
        <v>0</v>
      </c>
      <c r="W169" s="52">
        <v>0</v>
      </c>
      <c r="X169" s="39">
        <v>0</v>
      </c>
      <c r="Y169" s="39">
        <v>0</v>
      </c>
      <c r="Z169" s="52">
        <v>0</v>
      </c>
      <c r="AA169" s="39">
        <v>0</v>
      </c>
      <c r="AB169" s="39">
        <v>0</v>
      </c>
      <c r="AC169" s="52">
        <v>0</v>
      </c>
      <c r="AD169" s="39">
        <v>0</v>
      </c>
      <c r="AE169" s="39">
        <v>82.103572968163661</v>
      </c>
      <c r="AF169" s="35">
        <v>82.103572968163661</v>
      </c>
      <c r="AG169" s="77">
        <v>0</v>
      </c>
      <c r="AH169" s="53">
        <v>82.103572968163661</v>
      </c>
      <c r="AI169" s="52">
        <v>82.103572968163661</v>
      </c>
      <c r="AJ169" s="39">
        <v>0</v>
      </c>
      <c r="AK169" s="39">
        <v>0</v>
      </c>
      <c r="AL169" s="52">
        <v>0</v>
      </c>
      <c r="AM169" s="39">
        <v>0</v>
      </c>
      <c r="AN169" s="39">
        <v>0</v>
      </c>
      <c r="AO169" s="52">
        <v>0</v>
      </c>
      <c r="AP169" s="39">
        <v>47.350882144682487</v>
      </c>
      <c r="AQ169" s="39">
        <v>0</v>
      </c>
      <c r="AR169" s="52">
        <v>-47.350882144682487</v>
      </c>
      <c r="AS169" s="39">
        <v>330.065614280077</v>
      </c>
      <c r="AT169" s="39">
        <v>446</v>
      </c>
      <c r="AU169" s="54">
        <v>115.934385719923</v>
      </c>
      <c r="AV169" s="39">
        <v>0</v>
      </c>
      <c r="AW169" s="39">
        <v>0</v>
      </c>
      <c r="AX169" s="55">
        <v>0</v>
      </c>
      <c r="AY169" s="39">
        <v>0</v>
      </c>
      <c r="AZ169" s="39">
        <v>0</v>
      </c>
      <c r="BA169" s="35">
        <v>0</v>
      </c>
      <c r="BB169" s="39">
        <v>0</v>
      </c>
      <c r="BC169" s="39">
        <v>0</v>
      </c>
      <c r="BD169" s="55">
        <v>0</v>
      </c>
      <c r="BE169" s="39">
        <v>0</v>
      </c>
      <c r="BF169" s="39">
        <v>0</v>
      </c>
      <c r="BG169" s="38">
        <v>0</v>
      </c>
      <c r="BH169" s="39">
        <v>0</v>
      </c>
      <c r="BI169" s="39">
        <v>0</v>
      </c>
      <c r="BJ169" s="55">
        <v>0</v>
      </c>
      <c r="BK169" s="39">
        <v>0</v>
      </c>
      <c r="BL169" s="39">
        <v>0</v>
      </c>
      <c r="BM169" s="38">
        <v>0</v>
      </c>
      <c r="BN169" s="39">
        <v>0</v>
      </c>
      <c r="BO169" s="39">
        <v>0</v>
      </c>
      <c r="BP169" s="55">
        <v>0</v>
      </c>
      <c r="BQ169" s="77">
        <v>0</v>
      </c>
      <c r="BR169" s="40">
        <v>0</v>
      </c>
      <c r="BS169" s="55">
        <v>0</v>
      </c>
      <c r="BT169" s="39">
        <v>0</v>
      </c>
      <c r="BU169" s="39">
        <v>0</v>
      </c>
      <c r="BV169" s="52">
        <v>0</v>
      </c>
      <c r="BW169" s="39">
        <v>0</v>
      </c>
      <c r="BX169" s="39">
        <v>0.55577812929994685</v>
      </c>
      <c r="BY169" s="52">
        <v>0.55577812929994685</v>
      </c>
      <c r="BZ169" s="39">
        <v>0</v>
      </c>
      <c r="CA169" s="39">
        <v>0</v>
      </c>
      <c r="CB169" s="52">
        <v>0</v>
      </c>
      <c r="CC169" s="39">
        <v>0</v>
      </c>
      <c r="CD169" s="39">
        <v>0</v>
      </c>
      <c r="CE169" s="52">
        <v>0</v>
      </c>
      <c r="CF169" s="39">
        <v>0</v>
      </c>
      <c r="CG169" s="39">
        <v>0</v>
      </c>
      <c r="CH169" s="52">
        <v>0</v>
      </c>
      <c r="CI169" s="39">
        <v>0</v>
      </c>
      <c r="CJ169" s="39">
        <v>0</v>
      </c>
      <c r="CK169" s="52">
        <v>0</v>
      </c>
      <c r="CL169" s="39">
        <v>0</v>
      </c>
      <c r="CM169" s="39">
        <v>0</v>
      </c>
      <c r="CN169" s="52">
        <v>0</v>
      </c>
      <c r="CO169" s="39">
        <v>0</v>
      </c>
      <c r="CP169" s="40">
        <v>0</v>
      </c>
      <c r="CQ169" s="52">
        <v>0</v>
      </c>
      <c r="CR169" s="72">
        <v>377.41649642475949</v>
      </c>
      <c r="CS169" s="5">
        <v>528.65935109746363</v>
      </c>
      <c r="CT169" s="52">
        <v>151.24285467270414</v>
      </c>
      <c r="CU169" s="77">
        <v>452.89979570971138</v>
      </c>
      <c r="CV169" s="65">
        <v>634.39122131695638</v>
      </c>
      <c r="CW169" s="35">
        <v>181.49142560724499</v>
      </c>
      <c r="CX169" s="39">
        <v>11.322494892742785</v>
      </c>
      <c r="CY169" s="39">
        <v>-170.16893071450212</v>
      </c>
      <c r="CZ169" s="52">
        <v>-181.49142560724491</v>
      </c>
      <c r="DA169" s="150">
        <v>-4874.5231601788955</v>
      </c>
      <c r="DB169" s="2">
        <v>3</v>
      </c>
      <c r="DC169" s="713">
        <v>354.39</v>
      </c>
      <c r="DD169" s="714"/>
      <c r="DE169" s="715">
        <v>122.2788546987729</v>
      </c>
      <c r="DF169" s="716">
        <v>0</v>
      </c>
      <c r="DG169" s="717">
        <v>-3030.1088997514253</v>
      </c>
      <c r="DH169" s="718">
        <v>2236.9175431646954</v>
      </c>
      <c r="DI169" s="718">
        <v>5570.6674872294498</v>
      </c>
      <c r="DJ169" s="693">
        <v>4737.2300012132609</v>
      </c>
      <c r="DK169" s="724"/>
      <c r="DL169" s="5"/>
      <c r="DM169" s="306">
        <v>1.690540024043897</v>
      </c>
      <c r="DN169" s="306"/>
      <c r="DO169" s="306">
        <v>1.690540024043897</v>
      </c>
      <c r="DP169" s="719">
        <v>232.11114530122708</v>
      </c>
      <c r="DQ169" s="720">
        <v>0</v>
      </c>
      <c r="DR169" s="650">
        <v>232.11114530122708</v>
      </c>
      <c r="DS169" s="94">
        <v>232.11114530122708</v>
      </c>
      <c r="DT169" s="719">
        <v>232.11</v>
      </c>
      <c r="DU169" s="721"/>
      <c r="DV169" s="93">
        <v>232.11</v>
      </c>
      <c r="DW169" s="95">
        <v>233.24339479050136</v>
      </c>
      <c r="DX169" s="28">
        <v>-1.1333947905013417</v>
      </c>
      <c r="EA169" s="5">
        <v>396.0787371360924</v>
      </c>
      <c r="EB169" s="5">
        <v>535.19999999999993</v>
      </c>
      <c r="EE169" s="722">
        <v>3960.7873713609242</v>
      </c>
      <c r="EG169" s="42" t="s">
        <v>109</v>
      </c>
    </row>
    <row r="170" spans="1:137" x14ac:dyDescent="0.3">
      <c r="A170" s="325">
        <v>150000503</v>
      </c>
      <c r="B170" s="41" t="s">
        <v>638</v>
      </c>
      <c r="C170" s="42" t="s">
        <v>110</v>
      </c>
      <c r="D170" s="27">
        <v>1</v>
      </c>
      <c r="E170" s="709">
        <v>211.6</v>
      </c>
      <c r="F170" s="723">
        <v>211.6</v>
      </c>
      <c r="G170" s="28"/>
      <c r="H170" s="651">
        <v>0</v>
      </c>
      <c r="I170" s="39">
        <v>4.9512429948257046E-2</v>
      </c>
      <c r="J170" s="39">
        <v>4.6942307764103214E-2</v>
      </c>
      <c r="K170" s="52">
        <v>-2.5701221841538321E-3</v>
      </c>
      <c r="L170" s="39">
        <v>0</v>
      </c>
      <c r="M170" s="39">
        <v>0</v>
      </c>
      <c r="N170" s="52">
        <v>0</v>
      </c>
      <c r="O170" s="39">
        <v>0</v>
      </c>
      <c r="P170" s="39">
        <v>0</v>
      </c>
      <c r="Q170" s="52">
        <v>0</v>
      </c>
      <c r="R170" s="39">
        <v>0</v>
      </c>
      <c r="S170" s="39">
        <v>0</v>
      </c>
      <c r="T170" s="52">
        <v>0</v>
      </c>
      <c r="U170" s="39">
        <v>0</v>
      </c>
      <c r="V170" s="39">
        <v>0</v>
      </c>
      <c r="W170" s="52">
        <v>0</v>
      </c>
      <c r="X170" s="39">
        <v>0</v>
      </c>
      <c r="Y170" s="39">
        <v>0</v>
      </c>
      <c r="Z170" s="52">
        <v>0</v>
      </c>
      <c r="AA170" s="39">
        <v>0</v>
      </c>
      <c r="AB170" s="39">
        <v>0</v>
      </c>
      <c r="AC170" s="52">
        <v>0</v>
      </c>
      <c r="AD170" s="39">
        <v>0</v>
      </c>
      <c r="AE170" s="39">
        <v>126.53398426848817</v>
      </c>
      <c r="AF170" s="35">
        <v>126.53398426848817</v>
      </c>
      <c r="AG170" s="77">
        <v>4.9512429948257046E-2</v>
      </c>
      <c r="AH170" s="53">
        <v>126.58092657625227</v>
      </c>
      <c r="AI170" s="52">
        <v>126.53141414630402</v>
      </c>
      <c r="AJ170" s="39">
        <v>0</v>
      </c>
      <c r="AK170" s="39">
        <v>0</v>
      </c>
      <c r="AL170" s="52">
        <v>0</v>
      </c>
      <c r="AM170" s="39">
        <v>0</v>
      </c>
      <c r="AN170" s="39">
        <v>0</v>
      </c>
      <c r="AO170" s="52">
        <v>0</v>
      </c>
      <c r="AP170" s="39">
        <v>63.134509526243313</v>
      </c>
      <c r="AQ170" s="39">
        <v>0</v>
      </c>
      <c r="AR170" s="52">
        <v>-63.134509526243313</v>
      </c>
      <c r="AS170" s="39">
        <v>491.33388269603643</v>
      </c>
      <c r="AT170" s="39">
        <v>0</v>
      </c>
      <c r="AU170" s="54">
        <v>-491.33388269603643</v>
      </c>
      <c r="AV170" s="39">
        <v>2.4740542054058649E-3</v>
      </c>
      <c r="AW170" s="39">
        <v>0</v>
      </c>
      <c r="AX170" s="55">
        <v>-2.4740542054058649E-3</v>
      </c>
      <c r="AY170" s="39">
        <v>0</v>
      </c>
      <c r="AZ170" s="39">
        <v>0</v>
      </c>
      <c r="BA170" s="35">
        <v>0</v>
      </c>
      <c r="BB170" s="39">
        <v>0</v>
      </c>
      <c r="BC170" s="39">
        <v>0</v>
      </c>
      <c r="BD170" s="55">
        <v>0</v>
      </c>
      <c r="BE170" s="39">
        <v>0</v>
      </c>
      <c r="BF170" s="39">
        <v>0</v>
      </c>
      <c r="BG170" s="38">
        <v>0</v>
      </c>
      <c r="BH170" s="39">
        <v>0</v>
      </c>
      <c r="BI170" s="39">
        <v>0</v>
      </c>
      <c r="BJ170" s="55">
        <v>0</v>
      </c>
      <c r="BK170" s="39">
        <v>0</v>
      </c>
      <c r="BL170" s="39">
        <v>0</v>
      </c>
      <c r="BM170" s="38">
        <v>0</v>
      </c>
      <c r="BN170" s="39">
        <v>0</v>
      </c>
      <c r="BO170" s="39">
        <v>0</v>
      </c>
      <c r="BP170" s="55">
        <v>0</v>
      </c>
      <c r="BQ170" s="77">
        <v>2.4740542054058649E-3</v>
      </c>
      <c r="BR170" s="40">
        <v>0</v>
      </c>
      <c r="BS170" s="55">
        <v>-2.4740542054058649E-3</v>
      </c>
      <c r="BT170" s="39">
        <v>0</v>
      </c>
      <c r="BU170" s="39">
        <v>0</v>
      </c>
      <c r="BV170" s="52">
        <v>0</v>
      </c>
      <c r="BW170" s="39">
        <v>0</v>
      </c>
      <c r="BX170" s="39">
        <v>0.85653788900122907</v>
      </c>
      <c r="BY170" s="52">
        <v>0.85653788900122907</v>
      </c>
      <c r="BZ170" s="39">
        <v>0</v>
      </c>
      <c r="CA170" s="39">
        <v>0</v>
      </c>
      <c r="CB170" s="52">
        <v>0</v>
      </c>
      <c r="CC170" s="39">
        <v>0</v>
      </c>
      <c r="CD170" s="39">
        <v>0</v>
      </c>
      <c r="CE170" s="52">
        <v>0</v>
      </c>
      <c r="CF170" s="39">
        <v>0</v>
      </c>
      <c r="CG170" s="39">
        <v>0</v>
      </c>
      <c r="CH170" s="52">
        <v>0</v>
      </c>
      <c r="CI170" s="39">
        <v>0</v>
      </c>
      <c r="CJ170" s="39">
        <v>0</v>
      </c>
      <c r="CK170" s="52">
        <v>0</v>
      </c>
      <c r="CL170" s="39">
        <v>0</v>
      </c>
      <c r="CM170" s="39">
        <v>0</v>
      </c>
      <c r="CN170" s="52">
        <v>0</v>
      </c>
      <c r="CO170" s="39">
        <v>0</v>
      </c>
      <c r="CP170" s="40">
        <v>0</v>
      </c>
      <c r="CQ170" s="52">
        <v>0</v>
      </c>
      <c r="CR170" s="72">
        <v>554.52037870643346</v>
      </c>
      <c r="CS170" s="5">
        <v>127.4374644652535</v>
      </c>
      <c r="CT170" s="52">
        <v>-427.08291424117999</v>
      </c>
      <c r="CU170" s="77">
        <v>665.42445444772011</v>
      </c>
      <c r="CV170" s="65">
        <v>152.9249573583042</v>
      </c>
      <c r="CW170" s="35">
        <v>-512.49949708941585</v>
      </c>
      <c r="CX170" s="39">
        <v>16.635611361193003</v>
      </c>
      <c r="CY170" s="39">
        <v>529.13510845060887</v>
      </c>
      <c r="CZ170" s="52">
        <v>512.49949708941585</v>
      </c>
      <c r="DA170" s="150">
        <v>-1747.9558281452564</v>
      </c>
      <c r="DB170" s="2">
        <v>3</v>
      </c>
      <c r="DC170" s="713">
        <v>455.78</v>
      </c>
      <c r="DD170" s="714"/>
      <c r="DE170" s="715">
        <v>114.74996709554341</v>
      </c>
      <c r="DF170" s="716">
        <v>0</v>
      </c>
      <c r="DG170" s="717">
        <v>-1975.8513665932501</v>
      </c>
      <c r="DH170" s="718">
        <v>3320.5487972435649</v>
      </c>
      <c r="DI170" s="718">
        <v>8184.7207897069575</v>
      </c>
      <c r="DJ170" s="693">
        <v>6968.6777915911089</v>
      </c>
      <c r="DK170" s="724"/>
      <c r="DL170" s="5"/>
      <c r="DM170" s="306">
        <v>1.611673123366997</v>
      </c>
      <c r="DN170" s="306"/>
      <c r="DO170" s="306">
        <v>1.611673123366997</v>
      </c>
      <c r="DP170" s="719">
        <v>341.03003290445656</v>
      </c>
      <c r="DQ170" s="720">
        <v>0</v>
      </c>
      <c r="DR170" s="650">
        <v>341.03003290445656</v>
      </c>
      <c r="DS170" s="94">
        <v>341.03003290445656</v>
      </c>
      <c r="DT170" s="719">
        <v>341.03</v>
      </c>
      <c r="DU170" s="721"/>
      <c r="DV170" s="93">
        <v>341.03</v>
      </c>
      <c r="DW170" s="95">
        <v>342.69359404057587</v>
      </c>
      <c r="DX170" s="28">
        <v>-1.6635940405759015</v>
      </c>
      <c r="EA170" s="5">
        <v>589.60362810029017</v>
      </c>
      <c r="EB170" s="5">
        <v>0</v>
      </c>
      <c r="EE170" s="722">
        <v>5896.0065923524371</v>
      </c>
      <c r="EG170" s="42" t="s">
        <v>110</v>
      </c>
    </row>
    <row r="171" spans="1:137" x14ac:dyDescent="0.3">
      <c r="A171" s="325">
        <v>150000504</v>
      </c>
      <c r="B171" s="41" t="s">
        <v>639</v>
      </c>
      <c r="C171" s="42" t="s">
        <v>111</v>
      </c>
      <c r="D171" s="27">
        <v>1</v>
      </c>
      <c r="E171" s="709">
        <v>180.6</v>
      </c>
      <c r="F171" s="723">
        <v>180.6</v>
      </c>
      <c r="G171" s="28"/>
      <c r="H171" s="651">
        <v>0</v>
      </c>
      <c r="I171" s="39">
        <v>0</v>
      </c>
      <c r="J171" s="39">
        <v>0</v>
      </c>
      <c r="K171" s="52">
        <v>0</v>
      </c>
      <c r="L171" s="39">
        <v>0</v>
      </c>
      <c r="M171" s="39">
        <v>0</v>
      </c>
      <c r="N171" s="52">
        <v>0</v>
      </c>
      <c r="O171" s="39">
        <v>0</v>
      </c>
      <c r="P171" s="39">
        <v>0</v>
      </c>
      <c r="Q171" s="52">
        <v>0</v>
      </c>
      <c r="R171" s="39">
        <v>0</v>
      </c>
      <c r="S171" s="39">
        <v>0</v>
      </c>
      <c r="T171" s="52">
        <v>0</v>
      </c>
      <c r="U171" s="39">
        <v>0</v>
      </c>
      <c r="V171" s="39">
        <v>0</v>
      </c>
      <c r="W171" s="52">
        <v>0</v>
      </c>
      <c r="X171" s="39">
        <v>0</v>
      </c>
      <c r="Y171" s="39">
        <v>0</v>
      </c>
      <c r="Z171" s="52">
        <v>0</v>
      </c>
      <c r="AA171" s="39">
        <v>0</v>
      </c>
      <c r="AB171" s="39">
        <v>0</v>
      </c>
      <c r="AC171" s="52">
        <v>0</v>
      </c>
      <c r="AD171" s="39">
        <v>0</v>
      </c>
      <c r="AE171" s="39">
        <v>107.99639678113877</v>
      </c>
      <c r="AF171" s="35">
        <v>107.99639678113877</v>
      </c>
      <c r="AG171" s="77">
        <v>0</v>
      </c>
      <c r="AH171" s="53">
        <v>107.99639678113877</v>
      </c>
      <c r="AI171" s="52">
        <v>107.99639678113877</v>
      </c>
      <c r="AJ171" s="39">
        <v>0</v>
      </c>
      <c r="AK171" s="39">
        <v>0</v>
      </c>
      <c r="AL171" s="52">
        <v>0</v>
      </c>
      <c r="AM171" s="39">
        <v>0</v>
      </c>
      <c r="AN171" s="39">
        <v>0</v>
      </c>
      <c r="AO171" s="52">
        <v>0</v>
      </c>
      <c r="AP171" s="39">
        <v>39.45906845390207</v>
      </c>
      <c r="AQ171" s="39">
        <v>0</v>
      </c>
      <c r="AR171" s="52">
        <v>-39.45906845390207</v>
      </c>
      <c r="AS171" s="39">
        <v>443.58864013860301</v>
      </c>
      <c r="AT171" s="39">
        <v>0</v>
      </c>
      <c r="AU171" s="54">
        <v>-443.58864013860301</v>
      </c>
      <c r="AV171" s="39">
        <v>0</v>
      </c>
      <c r="AW171" s="39">
        <v>0</v>
      </c>
      <c r="AX171" s="55">
        <v>0</v>
      </c>
      <c r="AY171" s="39">
        <v>0</v>
      </c>
      <c r="AZ171" s="39">
        <v>0</v>
      </c>
      <c r="BA171" s="35">
        <v>0</v>
      </c>
      <c r="BB171" s="39">
        <v>0</v>
      </c>
      <c r="BC171" s="39">
        <v>0</v>
      </c>
      <c r="BD171" s="55">
        <v>0</v>
      </c>
      <c r="BE171" s="39">
        <v>0</v>
      </c>
      <c r="BF171" s="39">
        <v>0</v>
      </c>
      <c r="BG171" s="38">
        <v>0</v>
      </c>
      <c r="BH171" s="39">
        <v>0</v>
      </c>
      <c r="BI171" s="39">
        <v>0</v>
      </c>
      <c r="BJ171" s="55">
        <v>0</v>
      </c>
      <c r="BK171" s="39">
        <v>0</v>
      </c>
      <c r="BL171" s="39">
        <v>0</v>
      </c>
      <c r="BM171" s="38">
        <v>0</v>
      </c>
      <c r="BN171" s="39">
        <v>0</v>
      </c>
      <c r="BO171" s="39">
        <v>0</v>
      </c>
      <c r="BP171" s="55">
        <v>0</v>
      </c>
      <c r="BQ171" s="77">
        <v>0</v>
      </c>
      <c r="BR171" s="40">
        <v>0</v>
      </c>
      <c r="BS171" s="55">
        <v>0</v>
      </c>
      <c r="BT171" s="39">
        <v>0</v>
      </c>
      <c r="BU171" s="39">
        <v>0</v>
      </c>
      <c r="BV171" s="52">
        <v>0</v>
      </c>
      <c r="BW171" s="39">
        <v>0</v>
      </c>
      <c r="BX171" s="39">
        <v>0.73105265951617193</v>
      </c>
      <c r="BY171" s="52">
        <v>0.73105265951617193</v>
      </c>
      <c r="BZ171" s="39">
        <v>0</v>
      </c>
      <c r="CA171" s="39">
        <v>0</v>
      </c>
      <c r="CB171" s="52">
        <v>0</v>
      </c>
      <c r="CC171" s="39">
        <v>0</v>
      </c>
      <c r="CD171" s="39">
        <v>0</v>
      </c>
      <c r="CE171" s="52">
        <v>0</v>
      </c>
      <c r="CF171" s="39">
        <v>0</v>
      </c>
      <c r="CG171" s="39">
        <v>0</v>
      </c>
      <c r="CH171" s="52">
        <v>0</v>
      </c>
      <c r="CI171" s="39">
        <v>0</v>
      </c>
      <c r="CJ171" s="39">
        <v>0</v>
      </c>
      <c r="CK171" s="52">
        <v>0</v>
      </c>
      <c r="CL171" s="39">
        <v>0</v>
      </c>
      <c r="CM171" s="39">
        <v>0</v>
      </c>
      <c r="CN171" s="52">
        <v>0</v>
      </c>
      <c r="CO171" s="39">
        <v>0</v>
      </c>
      <c r="CP171" s="40">
        <v>0</v>
      </c>
      <c r="CQ171" s="52">
        <v>0</v>
      </c>
      <c r="CR171" s="72">
        <v>483.0477085925051</v>
      </c>
      <c r="CS171" s="5">
        <v>108.72744944065494</v>
      </c>
      <c r="CT171" s="52">
        <v>-374.32025915185017</v>
      </c>
      <c r="CU171" s="77">
        <v>579.65725031100612</v>
      </c>
      <c r="CV171" s="65">
        <v>130.47293932878591</v>
      </c>
      <c r="CW171" s="35">
        <v>-449.18431098222021</v>
      </c>
      <c r="CX171" s="39">
        <v>14.491431257775151</v>
      </c>
      <c r="CY171" s="39">
        <v>463.67574223999537</v>
      </c>
      <c r="CZ171" s="52">
        <v>449.18431098222021</v>
      </c>
      <c r="DA171" s="150">
        <v>-7093.1348212759312</v>
      </c>
      <c r="DB171" s="2">
        <v>3</v>
      </c>
      <c r="DC171" s="713">
        <v>297.12</v>
      </c>
      <c r="DD171" s="714"/>
      <c r="DE171" s="715">
        <v>4.5659215609418879E-2</v>
      </c>
      <c r="DF171" s="716">
        <v>0</v>
      </c>
      <c r="DG171" s="717">
        <v>-3872.0116419982305</v>
      </c>
      <c r="DH171" s="718">
        <v>2861.1647448817876</v>
      </c>
      <c r="DI171" s="718">
        <v>7129.7841788253754</v>
      </c>
      <c r="DJ171" s="693">
        <v>6062.629320339478</v>
      </c>
      <c r="DK171" s="724"/>
      <c r="DL171" s="5"/>
      <c r="DM171" s="306">
        <v>1.644929904675474</v>
      </c>
      <c r="DN171" s="306"/>
      <c r="DO171" s="306">
        <v>1.644929904675474</v>
      </c>
      <c r="DP171" s="719">
        <v>297.07434078439059</v>
      </c>
      <c r="DQ171" s="720">
        <v>0</v>
      </c>
      <c r="DR171" s="650">
        <v>297.07434078439059</v>
      </c>
      <c r="DS171" s="94">
        <v>297.0743407843907</v>
      </c>
      <c r="DT171" s="719">
        <v>297.08</v>
      </c>
      <c r="DU171" s="721"/>
      <c r="DV171" s="93">
        <v>297.08</v>
      </c>
      <c r="DW171" s="95">
        <v>298.52348391016812</v>
      </c>
      <c r="DX171" s="28">
        <v>-1.4434839101681405</v>
      </c>
      <c r="EA171" s="5">
        <v>532.30636816632364</v>
      </c>
      <c r="EB171" s="5">
        <v>0</v>
      </c>
      <c r="EE171" s="722">
        <v>5323.0636816632359</v>
      </c>
      <c r="EG171" s="42" t="s">
        <v>111</v>
      </c>
    </row>
    <row r="172" spans="1:137" x14ac:dyDescent="0.3">
      <c r="A172" s="325">
        <v>150000506</v>
      </c>
      <c r="B172" s="41" t="s">
        <v>640</v>
      </c>
      <c r="C172" s="42" t="s">
        <v>112</v>
      </c>
      <c r="D172" s="27">
        <v>1</v>
      </c>
      <c r="E172" s="709">
        <v>102.4</v>
      </c>
      <c r="F172" s="723">
        <v>102.4</v>
      </c>
      <c r="G172" s="28"/>
      <c r="H172" s="651">
        <v>0</v>
      </c>
      <c r="I172" s="39">
        <v>0</v>
      </c>
      <c r="J172" s="39">
        <v>0</v>
      </c>
      <c r="K172" s="52">
        <v>0</v>
      </c>
      <c r="L172" s="39">
        <v>0</v>
      </c>
      <c r="M172" s="39">
        <v>0</v>
      </c>
      <c r="N172" s="52">
        <v>0</v>
      </c>
      <c r="O172" s="39">
        <v>0</v>
      </c>
      <c r="P172" s="39">
        <v>0</v>
      </c>
      <c r="Q172" s="52">
        <v>0</v>
      </c>
      <c r="R172" s="39">
        <v>0</v>
      </c>
      <c r="S172" s="39">
        <v>0</v>
      </c>
      <c r="T172" s="52">
        <v>0</v>
      </c>
      <c r="U172" s="39">
        <v>0</v>
      </c>
      <c r="V172" s="39">
        <v>0</v>
      </c>
      <c r="W172" s="52">
        <v>0</v>
      </c>
      <c r="X172" s="39">
        <v>0</v>
      </c>
      <c r="Y172" s="39">
        <v>0</v>
      </c>
      <c r="Z172" s="52">
        <v>0</v>
      </c>
      <c r="AA172" s="39">
        <v>0</v>
      </c>
      <c r="AB172" s="39">
        <v>0</v>
      </c>
      <c r="AC172" s="52">
        <v>0</v>
      </c>
      <c r="AD172" s="39">
        <v>0</v>
      </c>
      <c r="AE172" s="39">
        <v>61.233837377567056</v>
      </c>
      <c r="AF172" s="35">
        <v>61.233837377567056</v>
      </c>
      <c r="AG172" s="77">
        <v>0</v>
      </c>
      <c r="AH172" s="53">
        <v>61.233837377567056</v>
      </c>
      <c r="AI172" s="52">
        <v>61.233837377567056</v>
      </c>
      <c r="AJ172" s="39">
        <v>0</v>
      </c>
      <c r="AK172" s="39">
        <v>0</v>
      </c>
      <c r="AL172" s="52">
        <v>0</v>
      </c>
      <c r="AM172" s="39">
        <v>0</v>
      </c>
      <c r="AN172" s="39">
        <v>0</v>
      </c>
      <c r="AO172" s="52">
        <v>0</v>
      </c>
      <c r="AP172" s="39">
        <v>55.242695835462904</v>
      </c>
      <c r="AQ172" s="39">
        <v>0</v>
      </c>
      <c r="AR172" s="52">
        <v>-55.242695835462904</v>
      </c>
      <c r="AS172" s="39">
        <v>286.6016945796448</v>
      </c>
      <c r="AT172" s="39">
        <v>0</v>
      </c>
      <c r="AU172" s="54">
        <v>-286.6016945796448</v>
      </c>
      <c r="AV172" s="39">
        <v>0</v>
      </c>
      <c r="AW172" s="39">
        <v>0</v>
      </c>
      <c r="AX172" s="55">
        <v>0</v>
      </c>
      <c r="AY172" s="39">
        <v>0</v>
      </c>
      <c r="AZ172" s="39">
        <v>0</v>
      </c>
      <c r="BA172" s="35">
        <v>0</v>
      </c>
      <c r="BB172" s="39">
        <v>0</v>
      </c>
      <c r="BC172" s="39">
        <v>0</v>
      </c>
      <c r="BD172" s="55">
        <v>0</v>
      </c>
      <c r="BE172" s="39">
        <v>0</v>
      </c>
      <c r="BF172" s="39">
        <v>0</v>
      </c>
      <c r="BG172" s="38">
        <v>0</v>
      </c>
      <c r="BH172" s="39">
        <v>0</v>
      </c>
      <c r="BI172" s="39">
        <v>0</v>
      </c>
      <c r="BJ172" s="55">
        <v>0</v>
      </c>
      <c r="BK172" s="39">
        <v>0</v>
      </c>
      <c r="BL172" s="39">
        <v>0</v>
      </c>
      <c r="BM172" s="38">
        <v>0</v>
      </c>
      <c r="BN172" s="39">
        <v>0</v>
      </c>
      <c r="BO172" s="39">
        <v>0</v>
      </c>
      <c r="BP172" s="55">
        <v>0</v>
      </c>
      <c r="BQ172" s="77">
        <v>0</v>
      </c>
      <c r="BR172" s="40">
        <v>0</v>
      </c>
      <c r="BS172" s="55">
        <v>0</v>
      </c>
      <c r="BT172" s="39">
        <v>0</v>
      </c>
      <c r="BU172" s="39">
        <v>0</v>
      </c>
      <c r="BV172" s="52">
        <v>0</v>
      </c>
      <c r="BW172" s="39">
        <v>0</v>
      </c>
      <c r="BX172" s="39">
        <v>0.41450604836354377</v>
      </c>
      <c r="BY172" s="52">
        <v>0.41450604836354377</v>
      </c>
      <c r="BZ172" s="39">
        <v>0</v>
      </c>
      <c r="CA172" s="39">
        <v>0</v>
      </c>
      <c r="CB172" s="52">
        <v>0</v>
      </c>
      <c r="CC172" s="39">
        <v>0</v>
      </c>
      <c r="CD172" s="39">
        <v>0</v>
      </c>
      <c r="CE172" s="52">
        <v>0</v>
      </c>
      <c r="CF172" s="39">
        <v>0</v>
      </c>
      <c r="CG172" s="39">
        <v>0</v>
      </c>
      <c r="CH172" s="52">
        <v>0</v>
      </c>
      <c r="CI172" s="39">
        <v>0</v>
      </c>
      <c r="CJ172" s="39">
        <v>0</v>
      </c>
      <c r="CK172" s="52">
        <v>0</v>
      </c>
      <c r="CL172" s="39">
        <v>0</v>
      </c>
      <c r="CM172" s="39">
        <v>0</v>
      </c>
      <c r="CN172" s="52">
        <v>0</v>
      </c>
      <c r="CO172" s="39">
        <v>0</v>
      </c>
      <c r="CP172" s="40">
        <v>0</v>
      </c>
      <c r="CQ172" s="52">
        <v>0</v>
      </c>
      <c r="CR172" s="72">
        <v>341.84439041510768</v>
      </c>
      <c r="CS172" s="5">
        <v>61.648343425930598</v>
      </c>
      <c r="CT172" s="52">
        <v>-280.19604698917709</v>
      </c>
      <c r="CU172" s="77">
        <v>410.2132684981292</v>
      </c>
      <c r="CV172" s="65">
        <v>73.978012111116712</v>
      </c>
      <c r="CW172" s="35">
        <v>-336.2352563870125</v>
      </c>
      <c r="CX172" s="39">
        <v>10.255331712453231</v>
      </c>
      <c r="CY172" s="39">
        <v>346.49058809946575</v>
      </c>
      <c r="CZ172" s="52">
        <v>336.2352563870125</v>
      </c>
      <c r="DA172" s="150">
        <v>-5039.0917161101515</v>
      </c>
      <c r="DB172" s="2">
        <v>3</v>
      </c>
      <c r="DC172" s="713">
        <v>383.74</v>
      </c>
      <c r="DD172" s="714"/>
      <c r="DE172" s="715">
        <v>173.50569989470875</v>
      </c>
      <c r="DF172" s="716">
        <v>0</v>
      </c>
      <c r="DG172" s="717">
        <v>-2755.9274156818419</v>
      </c>
      <c r="DH172" s="718">
        <v>2036.8470707884749</v>
      </c>
      <c r="DI172" s="718">
        <v>5045.6232025269892</v>
      </c>
      <c r="DJ172" s="693">
        <v>4293.4291695923603</v>
      </c>
      <c r="DK172" s="724"/>
      <c r="DL172" s="5"/>
      <c r="DM172" s="306">
        <v>2.0530693369657347</v>
      </c>
      <c r="DN172" s="306"/>
      <c r="DO172" s="306">
        <v>2.0530693369657347</v>
      </c>
      <c r="DP172" s="719">
        <v>210.23430010529125</v>
      </c>
      <c r="DQ172" s="720">
        <v>0</v>
      </c>
      <c r="DR172" s="650">
        <v>210.23430010529125</v>
      </c>
      <c r="DS172" s="94">
        <v>210.2343001052912</v>
      </c>
      <c r="DT172" s="719">
        <v>210.24</v>
      </c>
      <c r="DU172" s="721"/>
      <c r="DV172" s="93">
        <v>210.24</v>
      </c>
      <c r="DW172" s="95">
        <v>211.25983327653657</v>
      </c>
      <c r="DX172" s="28">
        <v>-1.0198332765365592</v>
      </c>
      <c r="EA172" s="5">
        <v>343.92203349557377</v>
      </c>
      <c r="EB172" s="5">
        <v>0</v>
      </c>
      <c r="EE172" s="722">
        <v>3439.2203349557376</v>
      </c>
      <c r="EG172" s="42" t="s">
        <v>112</v>
      </c>
    </row>
    <row r="173" spans="1:137" x14ac:dyDescent="0.3">
      <c r="A173" s="325">
        <v>150000505</v>
      </c>
      <c r="B173" s="41" t="s">
        <v>641</v>
      </c>
      <c r="C173" s="42" t="s">
        <v>113</v>
      </c>
      <c r="D173" s="27">
        <v>1</v>
      </c>
      <c r="E173" s="709">
        <v>180.22</v>
      </c>
      <c r="F173" s="723">
        <v>180.22</v>
      </c>
      <c r="G173" s="28"/>
      <c r="H173" s="651">
        <v>0</v>
      </c>
      <c r="I173" s="39">
        <v>0</v>
      </c>
      <c r="J173" s="39">
        <v>0</v>
      </c>
      <c r="K173" s="52">
        <v>0</v>
      </c>
      <c r="L173" s="39">
        <v>0</v>
      </c>
      <c r="M173" s="39">
        <v>0</v>
      </c>
      <c r="N173" s="52">
        <v>0</v>
      </c>
      <c r="O173" s="39">
        <v>0</v>
      </c>
      <c r="P173" s="39">
        <v>0</v>
      </c>
      <c r="Q173" s="52">
        <v>0</v>
      </c>
      <c r="R173" s="39">
        <v>0</v>
      </c>
      <c r="S173" s="39">
        <v>0</v>
      </c>
      <c r="T173" s="52">
        <v>0</v>
      </c>
      <c r="U173" s="39">
        <v>0</v>
      </c>
      <c r="V173" s="39">
        <v>0</v>
      </c>
      <c r="W173" s="52">
        <v>0</v>
      </c>
      <c r="X173" s="39">
        <v>0</v>
      </c>
      <c r="Y173" s="39">
        <v>0</v>
      </c>
      <c r="Z173" s="52">
        <v>0</v>
      </c>
      <c r="AA173" s="39">
        <v>0</v>
      </c>
      <c r="AB173" s="39">
        <v>0</v>
      </c>
      <c r="AC173" s="52">
        <v>0</v>
      </c>
      <c r="AD173" s="39">
        <v>0</v>
      </c>
      <c r="AE173" s="39">
        <v>107.76916183774546</v>
      </c>
      <c r="AF173" s="35">
        <v>107.76916183774546</v>
      </c>
      <c r="AG173" s="77">
        <v>0</v>
      </c>
      <c r="AH173" s="53">
        <v>107.76916183774546</v>
      </c>
      <c r="AI173" s="52">
        <v>107.76916183774546</v>
      </c>
      <c r="AJ173" s="39">
        <v>0</v>
      </c>
      <c r="AK173" s="39">
        <v>0</v>
      </c>
      <c r="AL173" s="52">
        <v>0</v>
      </c>
      <c r="AM173" s="39">
        <v>0</v>
      </c>
      <c r="AN173" s="39">
        <v>0</v>
      </c>
      <c r="AO173" s="52">
        <v>0</v>
      </c>
      <c r="AP173" s="39">
        <v>71.02632321702373</v>
      </c>
      <c r="AQ173" s="39">
        <v>0</v>
      </c>
      <c r="AR173" s="52">
        <v>-71.02632321702373</v>
      </c>
      <c r="AS173" s="39">
        <v>451.18038633558456</v>
      </c>
      <c r="AT173" s="39">
        <v>0</v>
      </c>
      <c r="AU173" s="54">
        <v>-451.18038633558456</v>
      </c>
      <c r="AV173" s="39">
        <v>0</v>
      </c>
      <c r="AW173" s="39">
        <v>0</v>
      </c>
      <c r="AX173" s="55">
        <v>0</v>
      </c>
      <c r="AY173" s="39">
        <v>0</v>
      </c>
      <c r="AZ173" s="39">
        <v>0</v>
      </c>
      <c r="BA173" s="35">
        <v>0</v>
      </c>
      <c r="BB173" s="39">
        <v>0</v>
      </c>
      <c r="BC173" s="39">
        <v>0</v>
      </c>
      <c r="BD173" s="55">
        <v>0</v>
      </c>
      <c r="BE173" s="39">
        <v>0</v>
      </c>
      <c r="BF173" s="39">
        <v>0</v>
      </c>
      <c r="BG173" s="38">
        <v>0</v>
      </c>
      <c r="BH173" s="39">
        <v>0</v>
      </c>
      <c r="BI173" s="39">
        <v>0</v>
      </c>
      <c r="BJ173" s="55">
        <v>0</v>
      </c>
      <c r="BK173" s="39">
        <v>0</v>
      </c>
      <c r="BL173" s="39">
        <v>0</v>
      </c>
      <c r="BM173" s="38">
        <v>0</v>
      </c>
      <c r="BN173" s="39">
        <v>0</v>
      </c>
      <c r="BO173" s="39">
        <v>0</v>
      </c>
      <c r="BP173" s="55">
        <v>0</v>
      </c>
      <c r="BQ173" s="77">
        <v>0</v>
      </c>
      <c r="BR173" s="40">
        <v>0</v>
      </c>
      <c r="BS173" s="55">
        <v>0</v>
      </c>
      <c r="BT173" s="39">
        <v>0</v>
      </c>
      <c r="BU173" s="39">
        <v>0</v>
      </c>
      <c r="BV173" s="52">
        <v>0</v>
      </c>
      <c r="BW173" s="39">
        <v>0</v>
      </c>
      <c r="BX173" s="39">
        <v>0.7295144534773228</v>
      </c>
      <c r="BY173" s="52">
        <v>0.7295144534773228</v>
      </c>
      <c r="BZ173" s="39">
        <v>0</v>
      </c>
      <c r="CA173" s="39">
        <v>0</v>
      </c>
      <c r="CB173" s="52">
        <v>0</v>
      </c>
      <c r="CC173" s="39">
        <v>0</v>
      </c>
      <c r="CD173" s="39">
        <v>0</v>
      </c>
      <c r="CE173" s="52">
        <v>0</v>
      </c>
      <c r="CF173" s="39">
        <v>0</v>
      </c>
      <c r="CG173" s="39">
        <v>0</v>
      </c>
      <c r="CH173" s="52">
        <v>0</v>
      </c>
      <c r="CI173" s="39">
        <v>0</v>
      </c>
      <c r="CJ173" s="39">
        <v>0</v>
      </c>
      <c r="CK173" s="52">
        <v>0</v>
      </c>
      <c r="CL173" s="39">
        <v>0</v>
      </c>
      <c r="CM173" s="39">
        <v>0</v>
      </c>
      <c r="CN173" s="52">
        <v>0</v>
      </c>
      <c r="CO173" s="39">
        <v>0</v>
      </c>
      <c r="CP173" s="40">
        <v>0</v>
      </c>
      <c r="CQ173" s="52">
        <v>0</v>
      </c>
      <c r="CR173" s="72">
        <v>522.20670955260834</v>
      </c>
      <c r="CS173" s="5">
        <v>108.49867629122278</v>
      </c>
      <c r="CT173" s="52">
        <v>-413.70803326138559</v>
      </c>
      <c r="CU173" s="77">
        <v>626.64805146312995</v>
      </c>
      <c r="CV173" s="65">
        <v>130.19841154946732</v>
      </c>
      <c r="CW173" s="35">
        <v>-496.44963991366262</v>
      </c>
      <c r="CX173" s="39">
        <v>15.66620128657825</v>
      </c>
      <c r="CY173" s="39">
        <v>512.11584120024088</v>
      </c>
      <c r="CZ173" s="52">
        <v>496.44963991366262</v>
      </c>
      <c r="DA173" s="150">
        <v>-6637.6552393059537</v>
      </c>
      <c r="DB173" s="2">
        <v>3</v>
      </c>
      <c r="DC173" s="713">
        <v>372.66</v>
      </c>
      <c r="DD173" s="714"/>
      <c r="DE173" s="715">
        <v>51.502873625145924</v>
      </c>
      <c r="DF173" s="716">
        <v>0</v>
      </c>
      <c r="DG173" s="717">
        <v>-4452.3236299815062</v>
      </c>
      <c r="DH173" s="718">
        <v>3091.0275535696928</v>
      </c>
      <c r="DI173" s="718">
        <v>7707.7710329964984</v>
      </c>
      <c r="DJ173" s="693">
        <v>6553.5851631397973</v>
      </c>
      <c r="DK173" s="724"/>
      <c r="DL173" s="5"/>
      <c r="DM173" s="306">
        <v>1.7820282231431257</v>
      </c>
      <c r="DN173" s="306"/>
      <c r="DO173" s="306">
        <v>1.7820282231431257</v>
      </c>
      <c r="DP173" s="719">
        <v>321.1571263748541</v>
      </c>
      <c r="DQ173" s="720">
        <v>0</v>
      </c>
      <c r="DR173" s="650">
        <v>321.1571263748541</v>
      </c>
      <c r="DS173" s="94">
        <v>321.1571263748541</v>
      </c>
      <c r="DT173" s="719">
        <v>321.16000000000003</v>
      </c>
      <c r="DU173" s="721"/>
      <c r="DV173" s="93">
        <v>321.16000000000003</v>
      </c>
      <c r="DW173" s="95">
        <v>322.72374650351196</v>
      </c>
      <c r="DX173" s="28">
        <v>-1.5637465035119362</v>
      </c>
      <c r="EA173" s="5">
        <v>541.41646360270147</v>
      </c>
      <c r="EB173" s="5">
        <v>0</v>
      </c>
      <c r="EE173" s="722">
        <v>5414.1646360270151</v>
      </c>
      <c r="EG173" s="42" t="s">
        <v>113</v>
      </c>
    </row>
    <row r="174" spans="1:137" x14ac:dyDescent="0.3">
      <c r="A174" s="325">
        <v>150000507</v>
      </c>
      <c r="B174" s="41" t="s">
        <v>642</v>
      </c>
      <c r="C174" s="42" t="s">
        <v>114</v>
      </c>
      <c r="D174" s="27">
        <v>1</v>
      </c>
      <c r="E174" s="709">
        <v>329.7</v>
      </c>
      <c r="F174" s="723">
        <v>278.3</v>
      </c>
      <c r="G174" s="28"/>
      <c r="H174" s="651">
        <v>51.4</v>
      </c>
      <c r="I174" s="39">
        <v>0</v>
      </c>
      <c r="J174" s="39">
        <v>0</v>
      </c>
      <c r="K174" s="52">
        <v>0</v>
      </c>
      <c r="L174" s="39">
        <v>0</v>
      </c>
      <c r="M174" s="39">
        <v>0</v>
      </c>
      <c r="N174" s="52">
        <v>0</v>
      </c>
      <c r="O174" s="39">
        <v>0</v>
      </c>
      <c r="P174" s="39">
        <v>0</v>
      </c>
      <c r="Q174" s="52">
        <v>0</v>
      </c>
      <c r="R174" s="39">
        <v>0</v>
      </c>
      <c r="S174" s="39">
        <v>0</v>
      </c>
      <c r="T174" s="52">
        <v>0</v>
      </c>
      <c r="U174" s="39">
        <v>0</v>
      </c>
      <c r="V174" s="39">
        <v>0</v>
      </c>
      <c r="W174" s="52">
        <v>0</v>
      </c>
      <c r="X174" s="39">
        <v>0</v>
      </c>
      <c r="Y174" s="39">
        <v>0</v>
      </c>
      <c r="Z174" s="52">
        <v>0</v>
      </c>
      <c r="AA174" s="39">
        <v>0</v>
      </c>
      <c r="AB174" s="39">
        <v>0</v>
      </c>
      <c r="AC174" s="52">
        <v>0</v>
      </c>
      <c r="AD174" s="39">
        <v>0</v>
      </c>
      <c r="AE174" s="39">
        <v>197.15621272835799</v>
      </c>
      <c r="AF174" s="35">
        <v>197.15621272835799</v>
      </c>
      <c r="AG174" s="77">
        <v>0</v>
      </c>
      <c r="AH174" s="53">
        <v>197.15621272835799</v>
      </c>
      <c r="AI174" s="52">
        <v>197.15621272835799</v>
      </c>
      <c r="AJ174" s="39">
        <v>0</v>
      </c>
      <c r="AK174" s="39">
        <v>0</v>
      </c>
      <c r="AL174" s="52">
        <v>0</v>
      </c>
      <c r="AM174" s="39">
        <v>0</v>
      </c>
      <c r="AN174" s="39">
        <v>0</v>
      </c>
      <c r="AO174" s="52">
        <v>0</v>
      </c>
      <c r="AP174" s="39">
        <v>63.134509526243313</v>
      </c>
      <c r="AQ174" s="39">
        <v>0</v>
      </c>
      <c r="AR174" s="52">
        <v>-63.134509526243313</v>
      </c>
      <c r="AS174" s="39">
        <v>699.67583544097977</v>
      </c>
      <c r="AT174" s="39">
        <v>0</v>
      </c>
      <c r="AU174" s="54">
        <v>-699.67583544097977</v>
      </c>
      <c r="AV174" s="39">
        <v>0</v>
      </c>
      <c r="AW174" s="39">
        <v>0</v>
      </c>
      <c r="AX174" s="55">
        <v>0</v>
      </c>
      <c r="AY174" s="39">
        <v>0</v>
      </c>
      <c r="AZ174" s="39">
        <v>0</v>
      </c>
      <c r="BA174" s="35">
        <v>0</v>
      </c>
      <c r="BB174" s="39">
        <v>0</v>
      </c>
      <c r="BC174" s="39">
        <v>0</v>
      </c>
      <c r="BD174" s="55">
        <v>0</v>
      </c>
      <c r="BE174" s="39">
        <v>0</v>
      </c>
      <c r="BF174" s="39">
        <v>0</v>
      </c>
      <c r="BG174" s="38">
        <v>0</v>
      </c>
      <c r="BH174" s="39">
        <v>0</v>
      </c>
      <c r="BI174" s="39">
        <v>0</v>
      </c>
      <c r="BJ174" s="55">
        <v>0</v>
      </c>
      <c r="BK174" s="39">
        <v>0</v>
      </c>
      <c r="BL174" s="39">
        <v>0</v>
      </c>
      <c r="BM174" s="38">
        <v>0</v>
      </c>
      <c r="BN174" s="39">
        <v>0</v>
      </c>
      <c r="BO174" s="39">
        <v>0</v>
      </c>
      <c r="BP174" s="55">
        <v>0</v>
      </c>
      <c r="BQ174" s="77">
        <v>0</v>
      </c>
      <c r="BR174" s="40">
        <v>0</v>
      </c>
      <c r="BS174" s="55">
        <v>0</v>
      </c>
      <c r="BT174" s="39">
        <v>0</v>
      </c>
      <c r="BU174" s="39">
        <v>0</v>
      </c>
      <c r="BV174" s="52">
        <v>0</v>
      </c>
      <c r="BW174" s="39">
        <v>0</v>
      </c>
      <c r="BX174" s="39">
        <v>1.3345961342330113</v>
      </c>
      <c r="BY174" s="52">
        <v>1.3345961342330113</v>
      </c>
      <c r="BZ174" s="39">
        <v>0</v>
      </c>
      <c r="CA174" s="39">
        <v>0</v>
      </c>
      <c r="CB174" s="52">
        <v>0</v>
      </c>
      <c r="CC174" s="39">
        <v>0</v>
      </c>
      <c r="CD174" s="39">
        <v>0</v>
      </c>
      <c r="CE174" s="52">
        <v>0</v>
      </c>
      <c r="CF174" s="39">
        <v>0</v>
      </c>
      <c r="CG174" s="39">
        <v>0</v>
      </c>
      <c r="CH174" s="52">
        <v>0</v>
      </c>
      <c r="CI174" s="39">
        <v>0</v>
      </c>
      <c r="CJ174" s="39">
        <v>0</v>
      </c>
      <c r="CK174" s="52">
        <v>0</v>
      </c>
      <c r="CL174" s="39">
        <v>0</v>
      </c>
      <c r="CM174" s="39">
        <v>0</v>
      </c>
      <c r="CN174" s="52">
        <v>0</v>
      </c>
      <c r="CO174" s="39">
        <v>0</v>
      </c>
      <c r="CP174" s="40">
        <v>0</v>
      </c>
      <c r="CQ174" s="52">
        <v>0</v>
      </c>
      <c r="CR174" s="72">
        <v>762.81034496722305</v>
      </c>
      <c r="CS174" s="5">
        <v>198.490808862591</v>
      </c>
      <c r="CT174" s="52">
        <v>-564.31953610463211</v>
      </c>
      <c r="CU174" s="77">
        <v>915.37241396066759</v>
      </c>
      <c r="CV174" s="65">
        <v>238.18897063510917</v>
      </c>
      <c r="CW174" s="35">
        <v>-677.18344332555841</v>
      </c>
      <c r="CX174" s="39">
        <v>22.88431034901669</v>
      </c>
      <c r="CY174" s="39">
        <v>700.06775367457499</v>
      </c>
      <c r="CZ174" s="52">
        <v>677.1834433255583</v>
      </c>
      <c r="DA174" s="150">
        <v>-10455.550213180772</v>
      </c>
      <c r="DB174" s="2">
        <v>3</v>
      </c>
      <c r="DC174" s="713">
        <v>1635.46</v>
      </c>
      <c r="DD174" s="714">
        <v>8.6800000000000068</v>
      </c>
      <c r="DE174" s="715">
        <v>1239.4684222393309</v>
      </c>
      <c r="DF174" s="716">
        <v>-64.456784394173141</v>
      </c>
      <c r="DG174" s="717">
        <v>-6072.7130631141845</v>
      </c>
      <c r="DH174" s="718">
        <v>4362.6707278424547</v>
      </c>
      <c r="DI174" s="718">
        <v>11259.080691716212</v>
      </c>
      <c r="DJ174" s="693">
        <v>9534.9782007477734</v>
      </c>
      <c r="DK174" s="724"/>
      <c r="DL174" s="5"/>
      <c r="DM174" s="306">
        <v>1.4228946380189329</v>
      </c>
      <c r="DN174" s="306"/>
      <c r="DO174" s="306">
        <v>1.4228946380189329</v>
      </c>
      <c r="DP174" s="719">
        <v>395.99157776066903</v>
      </c>
      <c r="DQ174" s="720">
        <v>73.136784394173148</v>
      </c>
      <c r="DR174" s="650">
        <v>469.12836215484219</v>
      </c>
      <c r="DS174" s="94">
        <v>469.12836215484208</v>
      </c>
      <c r="DT174" s="719">
        <v>397</v>
      </c>
      <c r="DU174" s="725">
        <v>73.14</v>
      </c>
      <c r="DV174" s="93">
        <v>470.14</v>
      </c>
      <c r="DW174" s="95">
        <v>471.41679318974383</v>
      </c>
      <c r="DX174" s="28">
        <v>-1.2767931897438416</v>
      </c>
      <c r="EA174" s="5">
        <v>839.61100252917572</v>
      </c>
      <c r="EB174" s="5">
        <v>0</v>
      </c>
      <c r="EE174" s="722">
        <v>8396.1100252917568</v>
      </c>
      <c r="EG174" s="42" t="s">
        <v>114</v>
      </c>
    </row>
    <row r="175" spans="1:137" x14ac:dyDescent="0.3">
      <c r="A175" s="325">
        <v>150000508</v>
      </c>
      <c r="B175" s="41" t="s">
        <v>643</v>
      </c>
      <c r="C175" s="42" t="s">
        <v>115</v>
      </c>
      <c r="D175" s="27">
        <v>1</v>
      </c>
      <c r="E175" s="709">
        <v>151.80000000000001</v>
      </c>
      <c r="F175" s="723">
        <v>151.80000000000001</v>
      </c>
      <c r="G175" s="28"/>
      <c r="H175" s="651">
        <v>0</v>
      </c>
      <c r="I175" s="39">
        <v>0</v>
      </c>
      <c r="J175" s="39">
        <v>0</v>
      </c>
      <c r="K175" s="52">
        <v>0</v>
      </c>
      <c r="L175" s="39">
        <v>0</v>
      </c>
      <c r="M175" s="39">
        <v>0</v>
      </c>
      <c r="N175" s="52">
        <v>0</v>
      </c>
      <c r="O175" s="39">
        <v>0</v>
      </c>
      <c r="P175" s="39">
        <v>0</v>
      </c>
      <c r="Q175" s="52">
        <v>0</v>
      </c>
      <c r="R175" s="39">
        <v>0</v>
      </c>
      <c r="S175" s="39">
        <v>0</v>
      </c>
      <c r="T175" s="52">
        <v>0</v>
      </c>
      <c r="U175" s="39">
        <v>0</v>
      </c>
      <c r="V175" s="39">
        <v>0</v>
      </c>
      <c r="W175" s="52">
        <v>0</v>
      </c>
      <c r="X175" s="39">
        <v>0</v>
      </c>
      <c r="Y175" s="39">
        <v>0</v>
      </c>
      <c r="Z175" s="52">
        <v>0</v>
      </c>
      <c r="AA175" s="39">
        <v>0</v>
      </c>
      <c r="AB175" s="39">
        <v>0</v>
      </c>
      <c r="AC175" s="52">
        <v>0</v>
      </c>
      <c r="AD175" s="39">
        <v>0</v>
      </c>
      <c r="AE175" s="39">
        <v>90.774380018698054</v>
      </c>
      <c r="AF175" s="35">
        <v>90.774380018698054</v>
      </c>
      <c r="AG175" s="77">
        <v>0</v>
      </c>
      <c r="AH175" s="53">
        <v>90.774380018698054</v>
      </c>
      <c r="AI175" s="52">
        <v>90.774380018698054</v>
      </c>
      <c r="AJ175" s="39">
        <v>0</v>
      </c>
      <c r="AK175" s="39">
        <v>0</v>
      </c>
      <c r="AL175" s="52">
        <v>0</v>
      </c>
      <c r="AM175" s="39">
        <v>0</v>
      </c>
      <c r="AN175" s="39">
        <v>0</v>
      </c>
      <c r="AO175" s="52">
        <v>0</v>
      </c>
      <c r="AP175" s="39">
        <v>31.567254763121657</v>
      </c>
      <c r="AQ175" s="39">
        <v>0</v>
      </c>
      <c r="AR175" s="52">
        <v>-31.567254763121657</v>
      </c>
      <c r="AS175" s="39">
        <v>293.14970307877951</v>
      </c>
      <c r="AT175" s="39">
        <v>0</v>
      </c>
      <c r="AU175" s="54">
        <v>-293.14970307877951</v>
      </c>
      <c r="AV175" s="39">
        <v>0</v>
      </c>
      <c r="AW175" s="39">
        <v>0</v>
      </c>
      <c r="AX175" s="55">
        <v>0</v>
      </c>
      <c r="AY175" s="39">
        <v>0</v>
      </c>
      <c r="AZ175" s="39">
        <v>0</v>
      </c>
      <c r="BA175" s="35">
        <v>0</v>
      </c>
      <c r="BB175" s="39">
        <v>0</v>
      </c>
      <c r="BC175" s="39">
        <v>0</v>
      </c>
      <c r="BD175" s="55">
        <v>0</v>
      </c>
      <c r="BE175" s="39">
        <v>0</v>
      </c>
      <c r="BF175" s="39">
        <v>0</v>
      </c>
      <c r="BG175" s="38">
        <v>0</v>
      </c>
      <c r="BH175" s="39">
        <v>0</v>
      </c>
      <c r="BI175" s="39">
        <v>0</v>
      </c>
      <c r="BJ175" s="55">
        <v>0</v>
      </c>
      <c r="BK175" s="39">
        <v>0</v>
      </c>
      <c r="BL175" s="39">
        <v>0</v>
      </c>
      <c r="BM175" s="38">
        <v>0</v>
      </c>
      <c r="BN175" s="39">
        <v>0</v>
      </c>
      <c r="BO175" s="39">
        <v>0</v>
      </c>
      <c r="BP175" s="55">
        <v>0</v>
      </c>
      <c r="BQ175" s="77">
        <v>0</v>
      </c>
      <c r="BR175" s="40">
        <v>0</v>
      </c>
      <c r="BS175" s="55">
        <v>0</v>
      </c>
      <c r="BT175" s="39">
        <v>0</v>
      </c>
      <c r="BU175" s="39">
        <v>0</v>
      </c>
      <c r="BV175" s="52">
        <v>0</v>
      </c>
      <c r="BW175" s="39">
        <v>0</v>
      </c>
      <c r="BX175" s="39">
        <v>0.61447283341392533</v>
      </c>
      <c r="BY175" s="52">
        <v>0.61447283341392533</v>
      </c>
      <c r="BZ175" s="39">
        <v>0</v>
      </c>
      <c r="CA175" s="39">
        <v>0</v>
      </c>
      <c r="CB175" s="52">
        <v>0</v>
      </c>
      <c r="CC175" s="39">
        <v>0</v>
      </c>
      <c r="CD175" s="39">
        <v>0</v>
      </c>
      <c r="CE175" s="52">
        <v>0</v>
      </c>
      <c r="CF175" s="39">
        <v>0</v>
      </c>
      <c r="CG175" s="39">
        <v>0</v>
      </c>
      <c r="CH175" s="52">
        <v>0</v>
      </c>
      <c r="CI175" s="39">
        <v>0</v>
      </c>
      <c r="CJ175" s="39">
        <v>0</v>
      </c>
      <c r="CK175" s="52">
        <v>0</v>
      </c>
      <c r="CL175" s="39">
        <v>0</v>
      </c>
      <c r="CM175" s="39">
        <v>0</v>
      </c>
      <c r="CN175" s="52">
        <v>0</v>
      </c>
      <c r="CO175" s="39">
        <v>0</v>
      </c>
      <c r="CP175" s="40">
        <v>0</v>
      </c>
      <c r="CQ175" s="52">
        <v>0</v>
      </c>
      <c r="CR175" s="72">
        <v>324.71695784190115</v>
      </c>
      <c r="CS175" s="5">
        <v>91.388852852111981</v>
      </c>
      <c r="CT175" s="52">
        <v>-233.32810498978915</v>
      </c>
      <c r="CU175" s="77">
        <v>389.66034941028136</v>
      </c>
      <c r="CV175" s="65">
        <v>109.66662342253437</v>
      </c>
      <c r="CW175" s="35">
        <v>-279.99372598774698</v>
      </c>
      <c r="CX175" s="39">
        <v>9.7415087352570353</v>
      </c>
      <c r="CY175" s="39">
        <v>289.73523472300406</v>
      </c>
      <c r="CZ175" s="52">
        <v>279.99372598774704</v>
      </c>
      <c r="DA175" s="150">
        <v>-4166.0823653488251</v>
      </c>
      <c r="DB175" s="2">
        <v>3</v>
      </c>
      <c r="DC175" s="713">
        <v>316.8</v>
      </c>
      <c r="DD175" s="714"/>
      <c r="DE175" s="715">
        <v>117.09907092723083</v>
      </c>
      <c r="DF175" s="716">
        <v>0</v>
      </c>
      <c r="DG175" s="717">
        <v>-2410.8731290972491</v>
      </c>
      <c r="DH175" s="718">
        <v>1917.9630689411215</v>
      </c>
      <c r="DI175" s="718">
        <v>4792.8222977464602</v>
      </c>
      <c r="DJ175" s="693">
        <v>4074.107490545126</v>
      </c>
      <c r="DK175" s="724"/>
      <c r="DL175" s="5"/>
      <c r="DM175" s="306">
        <v>1.3155528924424846</v>
      </c>
      <c r="DN175" s="306"/>
      <c r="DO175" s="306">
        <v>1.3155528924424846</v>
      </c>
      <c r="DP175" s="719">
        <v>199.70092907276918</v>
      </c>
      <c r="DQ175" s="720">
        <v>0</v>
      </c>
      <c r="DR175" s="650">
        <v>199.70092907276918</v>
      </c>
      <c r="DS175" s="94">
        <v>199.70092907276918</v>
      </c>
      <c r="DT175" s="719">
        <v>199.71</v>
      </c>
      <c r="DU175" s="721"/>
      <c r="DV175" s="93">
        <v>199.71</v>
      </c>
      <c r="DW175" s="95">
        <v>200.67507994629489</v>
      </c>
      <c r="DX175" s="28">
        <v>-0.96507994629487825</v>
      </c>
      <c r="EA175" s="5">
        <v>351.77964369453542</v>
      </c>
      <c r="EB175" s="5">
        <v>0</v>
      </c>
      <c r="EE175" s="722">
        <v>3517.7964369453539</v>
      </c>
      <c r="EG175" s="42" t="s">
        <v>115</v>
      </c>
    </row>
    <row r="176" spans="1:137" x14ac:dyDescent="0.3">
      <c r="A176" s="325">
        <v>150000501</v>
      </c>
      <c r="B176" s="41" t="s">
        <v>644</v>
      </c>
      <c r="C176" s="42" t="s">
        <v>264</v>
      </c>
      <c r="D176" s="27">
        <v>5</v>
      </c>
      <c r="E176" s="709">
        <v>4529.63</v>
      </c>
      <c r="F176" s="723">
        <v>4489.03</v>
      </c>
      <c r="G176" s="28"/>
      <c r="H176" s="651">
        <v>40.6</v>
      </c>
      <c r="I176" s="39">
        <v>2779.3626400322678</v>
      </c>
      <c r="J176" s="39">
        <v>2991.1008323244878</v>
      </c>
      <c r="K176" s="52">
        <v>211.73819229221999</v>
      </c>
      <c r="L176" s="39">
        <v>575.46883441949626</v>
      </c>
      <c r="M176" s="39">
        <v>625.27643044711954</v>
      </c>
      <c r="N176" s="52">
        <v>49.807596027623276</v>
      </c>
      <c r="O176" s="39">
        <v>996.02</v>
      </c>
      <c r="P176" s="39">
        <v>996.3</v>
      </c>
      <c r="Q176" s="52">
        <v>0.27999999999997272</v>
      </c>
      <c r="R176" s="39">
        <v>0</v>
      </c>
      <c r="S176" s="39">
        <v>0</v>
      </c>
      <c r="T176" s="52">
        <v>0</v>
      </c>
      <c r="U176" s="39">
        <v>0</v>
      </c>
      <c r="V176" s="39">
        <v>0</v>
      </c>
      <c r="W176" s="52">
        <v>0</v>
      </c>
      <c r="X176" s="39">
        <v>2178.6718581157106</v>
      </c>
      <c r="Y176" s="39">
        <v>1385.5294417070243</v>
      </c>
      <c r="Z176" s="52">
        <v>-793.14241640868636</v>
      </c>
      <c r="AA176" s="39">
        <v>0</v>
      </c>
      <c r="AB176" s="39">
        <v>0</v>
      </c>
      <c r="AC176" s="52">
        <v>0</v>
      </c>
      <c r="AD176" s="39">
        <v>3227.9891312911577</v>
      </c>
      <c r="AE176" s="39">
        <v>2708.6584648491121</v>
      </c>
      <c r="AF176" s="35">
        <v>-519.33066644204564</v>
      </c>
      <c r="AG176" s="77">
        <v>9757.5124638586312</v>
      </c>
      <c r="AH176" s="53">
        <v>8706.8651693277443</v>
      </c>
      <c r="AI176" s="52">
        <v>-1050.6472945308869</v>
      </c>
      <c r="AJ176" s="39">
        <v>0</v>
      </c>
      <c r="AK176" s="39">
        <v>0</v>
      </c>
      <c r="AL176" s="52">
        <v>0</v>
      </c>
      <c r="AM176" s="39">
        <v>0</v>
      </c>
      <c r="AN176" s="39">
        <v>0</v>
      </c>
      <c r="AO176" s="52">
        <v>0</v>
      </c>
      <c r="AP176" s="39">
        <v>2343.868666161783</v>
      </c>
      <c r="AQ176" s="39">
        <v>0</v>
      </c>
      <c r="AR176" s="52">
        <v>-2343.868666161783</v>
      </c>
      <c r="AS176" s="39">
        <v>10424.452286655856</v>
      </c>
      <c r="AT176" s="39">
        <v>0</v>
      </c>
      <c r="AU176" s="54">
        <v>-10424.452286655856</v>
      </c>
      <c r="AV176" s="39">
        <v>454.72108416307685</v>
      </c>
      <c r="AW176" s="39">
        <v>0</v>
      </c>
      <c r="AX176" s="55">
        <v>-454.72108416307685</v>
      </c>
      <c r="AY176" s="39">
        <v>741.68851251314095</v>
      </c>
      <c r="AZ176" s="39">
        <v>936</v>
      </c>
      <c r="BA176" s="35">
        <v>194.31148748685905</v>
      </c>
      <c r="BB176" s="39">
        <v>610.8355127320923</v>
      </c>
      <c r="BC176" s="39">
        <v>0</v>
      </c>
      <c r="BD176" s="55">
        <v>-610.8355127320923</v>
      </c>
      <c r="BE176" s="39">
        <v>0</v>
      </c>
      <c r="BF176" s="39">
        <v>0</v>
      </c>
      <c r="BG176" s="38">
        <v>0</v>
      </c>
      <c r="BH176" s="39">
        <v>0</v>
      </c>
      <c r="BI176" s="39">
        <v>0</v>
      </c>
      <c r="BJ176" s="55">
        <v>0</v>
      </c>
      <c r="BK176" s="39">
        <v>319.67691085591161</v>
      </c>
      <c r="BL176" s="39">
        <v>0</v>
      </c>
      <c r="BM176" s="38">
        <v>-319.67691085591161</v>
      </c>
      <c r="BN176" s="39">
        <v>0</v>
      </c>
      <c r="BO176" s="39">
        <v>0</v>
      </c>
      <c r="BP176" s="55">
        <v>0</v>
      </c>
      <c r="BQ176" s="77">
        <v>2126.9220202642218</v>
      </c>
      <c r="BR176" s="40">
        <v>936</v>
      </c>
      <c r="BS176" s="55">
        <v>-1190.9220202642218</v>
      </c>
      <c r="BT176" s="39">
        <v>5362.7903577612769</v>
      </c>
      <c r="BU176" s="39">
        <v>1535.3871383573705</v>
      </c>
      <c r="BV176" s="52">
        <v>-3827.4032194039064</v>
      </c>
      <c r="BW176" s="39">
        <v>4199.3326514734072</v>
      </c>
      <c r="BX176" s="39">
        <v>7542.5568087406909</v>
      </c>
      <c r="BY176" s="52">
        <v>3343.2241572672838</v>
      </c>
      <c r="BZ176" s="39">
        <v>2120.4943983151925</v>
      </c>
      <c r="CA176" s="39">
        <v>6277.1523560546248</v>
      </c>
      <c r="CB176" s="52">
        <v>4156.6579577394323</v>
      </c>
      <c r="CC176" s="39">
        <v>442.27729372259574</v>
      </c>
      <c r="CD176" s="39">
        <v>436.33834272796639</v>
      </c>
      <c r="CE176" s="52">
        <v>-5.9389509946293515</v>
      </c>
      <c r="CF176" s="39">
        <v>54.447015325698345</v>
      </c>
      <c r="CG176" s="39">
        <v>0</v>
      </c>
      <c r="CH176" s="52">
        <v>-54.447015325698345</v>
      </c>
      <c r="CI176" s="39">
        <v>1244.7154242832769</v>
      </c>
      <c r="CJ176" s="39">
        <v>2169.0110984960811</v>
      </c>
      <c r="CK176" s="52">
        <v>924.29567421280422</v>
      </c>
      <c r="CL176" s="39">
        <v>0</v>
      </c>
      <c r="CM176" s="39">
        <v>0</v>
      </c>
      <c r="CN176" s="52">
        <v>0</v>
      </c>
      <c r="CO176" s="39">
        <v>1244.7154242832769</v>
      </c>
      <c r="CP176" s="40">
        <v>2169.0110984960811</v>
      </c>
      <c r="CQ176" s="52">
        <v>924.29567421280422</v>
      </c>
      <c r="CR176" s="72">
        <v>38076.81257782194</v>
      </c>
      <c r="CS176" s="5">
        <v>27603.310913704474</v>
      </c>
      <c r="CT176" s="52">
        <v>-10473.501664117466</v>
      </c>
      <c r="CU176" s="77">
        <v>45692.17509338633</v>
      </c>
      <c r="CV176" s="65">
        <v>33123.97309644537</v>
      </c>
      <c r="CW176" s="35">
        <v>-12568.201996940959</v>
      </c>
      <c r="CX176" s="39">
        <v>1827.6870037354531</v>
      </c>
      <c r="CY176" s="39">
        <v>14395.889000676412</v>
      </c>
      <c r="CZ176" s="52">
        <v>12568.201996940959</v>
      </c>
      <c r="DA176" s="150">
        <v>107198.36878492493</v>
      </c>
      <c r="DB176" s="2">
        <v>2</v>
      </c>
      <c r="DC176" s="713">
        <v>64399.22</v>
      </c>
      <c r="DD176" s="714">
        <v>901.94</v>
      </c>
      <c r="DE176" s="715">
        <v>40828.767038489503</v>
      </c>
      <c r="DF176" s="716">
        <v>712.46191294960431</v>
      </c>
      <c r="DG176" s="717">
        <v>46361.075761034939</v>
      </c>
      <c r="DH176" s="718">
        <v>245806.20523741056</v>
      </c>
      <c r="DI176" s="718">
        <v>570238.34516546142</v>
      </c>
      <c r="DJ176" s="693">
        <v>489130.31018344866</v>
      </c>
      <c r="DK176" s="724"/>
      <c r="DL176" s="5"/>
      <c r="DM176" s="306">
        <v>5.2506784230692372</v>
      </c>
      <c r="DN176" s="306"/>
      <c r="DO176" s="306">
        <v>4.6669479569063004</v>
      </c>
      <c r="DP176" s="719">
        <v>23570.452961510495</v>
      </c>
      <c r="DQ176" s="720">
        <v>189.4780870503958</v>
      </c>
      <c r="DR176" s="650">
        <v>23759.931048560891</v>
      </c>
      <c r="DS176" s="94">
        <v>23759.931048560891</v>
      </c>
      <c r="DT176" s="719">
        <v>23570.59</v>
      </c>
      <c r="DU176" s="725">
        <v>189.48</v>
      </c>
      <c r="DV176" s="93">
        <v>23760.07</v>
      </c>
      <c r="DW176" s="95">
        <v>23942.699748934436</v>
      </c>
      <c r="DX176" s="28">
        <v>-182.62974893443607</v>
      </c>
      <c r="EA176" s="5">
        <v>15061.649168304095</v>
      </c>
      <c r="EB176" s="5">
        <v>1123.2</v>
      </c>
      <c r="EE176" s="722">
        <v>125093.42743987028</v>
      </c>
      <c r="EG176" s="42" t="s">
        <v>264</v>
      </c>
    </row>
    <row r="177" spans="1:137" x14ac:dyDescent="0.3">
      <c r="A177" s="325">
        <v>150000778</v>
      </c>
      <c r="B177" s="41" t="s">
        <v>645</v>
      </c>
      <c r="C177" s="42" t="s">
        <v>215</v>
      </c>
      <c r="D177" s="27">
        <v>4</v>
      </c>
      <c r="E177" s="709">
        <v>2055.6</v>
      </c>
      <c r="F177" s="723">
        <v>2055.6</v>
      </c>
      <c r="G177" s="28"/>
      <c r="H177" s="651">
        <v>0</v>
      </c>
      <c r="I177" s="39">
        <v>1207.8164369706947</v>
      </c>
      <c r="J177" s="39">
        <v>1146.2715020182272</v>
      </c>
      <c r="K177" s="52">
        <v>-61.544934952467429</v>
      </c>
      <c r="L177" s="39">
        <v>225.57175609133998</v>
      </c>
      <c r="M177" s="39">
        <v>195.20913452057687</v>
      </c>
      <c r="N177" s="52">
        <v>-30.36262157076311</v>
      </c>
      <c r="O177" s="39">
        <v>497.54</v>
      </c>
      <c r="P177" s="39">
        <v>497.64</v>
      </c>
      <c r="Q177" s="52">
        <v>9.9999999999965894E-2</v>
      </c>
      <c r="R177" s="39">
        <v>111.26</v>
      </c>
      <c r="S177" s="39">
        <v>111.28</v>
      </c>
      <c r="T177" s="52">
        <v>1.9999999999996021E-2</v>
      </c>
      <c r="U177" s="39">
        <v>0</v>
      </c>
      <c r="V177" s="39">
        <v>0</v>
      </c>
      <c r="W177" s="52">
        <v>0</v>
      </c>
      <c r="X177" s="39">
        <v>838.61312760300916</v>
      </c>
      <c r="Y177" s="39">
        <v>587.7086093639316</v>
      </c>
      <c r="Z177" s="52">
        <v>-250.90451823907756</v>
      </c>
      <c r="AA177" s="39">
        <v>0</v>
      </c>
      <c r="AB177" s="39">
        <v>0</v>
      </c>
      <c r="AC177" s="52">
        <v>0</v>
      </c>
      <c r="AD177" s="39">
        <v>1464.8998832756988</v>
      </c>
      <c r="AE177" s="39">
        <v>1229.2214464192075</v>
      </c>
      <c r="AF177" s="35">
        <v>-235.67843685649132</v>
      </c>
      <c r="AG177" s="77">
        <v>4345.7012039407427</v>
      </c>
      <c r="AH177" s="53">
        <v>3767.3306923219429</v>
      </c>
      <c r="AI177" s="52">
        <v>-578.37051161879981</v>
      </c>
      <c r="AJ177" s="39">
        <v>0</v>
      </c>
      <c r="AK177" s="39">
        <v>0</v>
      </c>
      <c r="AL177" s="52">
        <v>0</v>
      </c>
      <c r="AM177" s="39">
        <v>0</v>
      </c>
      <c r="AN177" s="39">
        <v>0</v>
      </c>
      <c r="AO177" s="52">
        <v>0</v>
      </c>
      <c r="AP177" s="39">
        <v>378.80705715745989</v>
      </c>
      <c r="AQ177" s="39">
        <v>2104.1741967066714</v>
      </c>
      <c r="AR177" s="52">
        <v>1725.3671395492115</v>
      </c>
      <c r="AS177" s="39">
        <v>4305.5288912157057</v>
      </c>
      <c r="AT177" s="39">
        <v>193</v>
      </c>
      <c r="AU177" s="54">
        <v>-4112.5288912157057</v>
      </c>
      <c r="AV177" s="39">
        <v>190.79061341632988</v>
      </c>
      <c r="AW177" s="39">
        <v>884</v>
      </c>
      <c r="AX177" s="55">
        <v>693.20938658367015</v>
      </c>
      <c r="AY177" s="39">
        <v>290.74948916515837</v>
      </c>
      <c r="AZ177" s="39">
        <v>0</v>
      </c>
      <c r="BA177" s="35">
        <v>-290.74948916515837</v>
      </c>
      <c r="BB177" s="39">
        <v>204.1555035312102</v>
      </c>
      <c r="BC177" s="39">
        <v>0</v>
      </c>
      <c r="BD177" s="55">
        <v>-204.1555035312102</v>
      </c>
      <c r="BE177" s="39">
        <v>116.04666518546276</v>
      </c>
      <c r="BF177" s="39">
        <v>0</v>
      </c>
      <c r="BG177" s="38">
        <v>-116.04666518546276</v>
      </c>
      <c r="BH177" s="39">
        <v>0</v>
      </c>
      <c r="BI177" s="39">
        <v>0</v>
      </c>
      <c r="BJ177" s="55">
        <v>0</v>
      </c>
      <c r="BK177" s="39">
        <v>186.09129502760808</v>
      </c>
      <c r="BL177" s="39">
        <v>0</v>
      </c>
      <c r="BM177" s="38">
        <v>-186.09129502760808</v>
      </c>
      <c r="BN177" s="39">
        <v>0</v>
      </c>
      <c r="BO177" s="39">
        <v>0</v>
      </c>
      <c r="BP177" s="55">
        <v>0</v>
      </c>
      <c r="BQ177" s="77">
        <v>987.83356632576931</v>
      </c>
      <c r="BR177" s="40">
        <v>884</v>
      </c>
      <c r="BS177" s="55">
        <v>-103.83356632576931</v>
      </c>
      <c r="BT177" s="39">
        <v>4403.2198791861747</v>
      </c>
      <c r="BU177" s="39">
        <v>1270.1243290243294</v>
      </c>
      <c r="BV177" s="52">
        <v>-3133.0955501618455</v>
      </c>
      <c r="BW177" s="39">
        <v>1808.6188591330028</v>
      </c>
      <c r="BX177" s="39">
        <v>1673.2144656395408</v>
      </c>
      <c r="BY177" s="52">
        <v>-135.40439349346207</v>
      </c>
      <c r="BZ177" s="39">
        <v>760.08957131059344</v>
      </c>
      <c r="CA177" s="39">
        <v>5046.2304746757291</v>
      </c>
      <c r="CB177" s="52">
        <v>4286.1409033651353</v>
      </c>
      <c r="CC177" s="39">
        <v>256.15512556957208</v>
      </c>
      <c r="CD177" s="39">
        <v>252.71544471918003</v>
      </c>
      <c r="CE177" s="52">
        <v>-3.4396808503920511</v>
      </c>
      <c r="CF177" s="39">
        <v>31.534248412920803</v>
      </c>
      <c r="CG177" s="39">
        <v>0</v>
      </c>
      <c r="CH177" s="52">
        <v>-31.534248412920803</v>
      </c>
      <c r="CI177" s="39">
        <v>736.22265696955719</v>
      </c>
      <c r="CJ177" s="39">
        <v>355.75325680757697</v>
      </c>
      <c r="CK177" s="52">
        <v>-380.46940016198022</v>
      </c>
      <c r="CL177" s="39">
        <v>0</v>
      </c>
      <c r="CM177" s="39">
        <v>0</v>
      </c>
      <c r="CN177" s="52">
        <v>0</v>
      </c>
      <c r="CO177" s="39">
        <v>736.22265696955719</v>
      </c>
      <c r="CP177" s="40">
        <v>355.75325680757697</v>
      </c>
      <c r="CQ177" s="52">
        <v>-380.46940016198022</v>
      </c>
      <c r="CR177" s="72">
        <v>18013.711059221496</v>
      </c>
      <c r="CS177" s="5">
        <v>15546.542859894971</v>
      </c>
      <c r="CT177" s="52">
        <v>-2467.1681993265247</v>
      </c>
      <c r="CU177" s="77">
        <v>21616.453271065795</v>
      </c>
      <c r="CV177" s="65">
        <v>18655.851431873965</v>
      </c>
      <c r="CW177" s="35">
        <v>-2960.6018391918296</v>
      </c>
      <c r="CX177" s="39">
        <v>324.24679906598692</v>
      </c>
      <c r="CY177" s="39">
        <v>3284.8486382578158</v>
      </c>
      <c r="CZ177" s="52">
        <v>2960.6018391918287</v>
      </c>
      <c r="DA177" s="150">
        <v>-50460.9653592088</v>
      </c>
      <c r="DB177" s="2">
        <v>3</v>
      </c>
      <c r="DC177" s="713">
        <v>49900.12</v>
      </c>
      <c r="DD177" s="714"/>
      <c r="DE177" s="715">
        <v>38929.769964934108</v>
      </c>
      <c r="DF177" s="716">
        <v>0</v>
      </c>
      <c r="DG177" s="717">
        <v>-34951.882915740869</v>
      </c>
      <c r="DH177" s="718">
        <v>107118.63714745168</v>
      </c>
      <c r="DI177" s="718">
        <v>263288.4008415814</v>
      </c>
      <c r="DJ177" s="693">
        <v>224245.95991804899</v>
      </c>
      <c r="DK177" s="724"/>
      <c r="DL177" s="5"/>
      <c r="DM177" s="306">
        <v>5.3368116535638697</v>
      </c>
      <c r="DN177" s="306"/>
      <c r="DO177" s="306">
        <v>4.8009832408318216</v>
      </c>
      <c r="DP177" s="719">
        <v>10970.350035065891</v>
      </c>
      <c r="DQ177" s="720">
        <v>0</v>
      </c>
      <c r="DR177" s="650">
        <v>10970.350035065891</v>
      </c>
      <c r="DS177" s="94">
        <v>10970.350035065891</v>
      </c>
      <c r="DT177" s="719">
        <v>10970.35</v>
      </c>
      <c r="DU177" s="721"/>
      <c r="DV177" s="93">
        <v>10970.35</v>
      </c>
      <c r="DW177" s="95">
        <v>11002.774714972489</v>
      </c>
      <c r="DX177" s="28">
        <v>-32.4247149724888</v>
      </c>
      <c r="EA177" s="5">
        <v>6352.0349490497701</v>
      </c>
      <c r="EB177" s="5">
        <v>1292.3999999999999</v>
      </c>
      <c r="EE177" s="722">
        <v>51666.346694588472</v>
      </c>
      <c r="EG177" s="42" t="s">
        <v>215</v>
      </c>
    </row>
    <row r="178" spans="1:137" x14ac:dyDescent="0.3">
      <c r="A178" s="325">
        <v>150001071</v>
      </c>
      <c r="B178" s="41" t="s">
        <v>646</v>
      </c>
      <c r="C178" s="42" t="s">
        <v>168</v>
      </c>
      <c r="D178" s="27">
        <v>2</v>
      </c>
      <c r="E178" s="709">
        <v>373.83</v>
      </c>
      <c r="F178" s="723">
        <v>373.83</v>
      </c>
      <c r="G178" s="28"/>
      <c r="H178" s="651">
        <v>0</v>
      </c>
      <c r="I178" s="39">
        <v>296.2828483682124</v>
      </c>
      <c r="J178" s="39">
        <v>281.86730196341148</v>
      </c>
      <c r="K178" s="52">
        <v>-14.415546404800921</v>
      </c>
      <c r="L178" s="39">
        <v>48.083134612452938</v>
      </c>
      <c r="M178" s="39">
        <v>41.611042010835689</v>
      </c>
      <c r="N178" s="52">
        <v>-6.4720926016172484</v>
      </c>
      <c r="O178" s="39">
        <v>110.64</v>
      </c>
      <c r="P178" s="39">
        <v>110.66</v>
      </c>
      <c r="Q178" s="52">
        <v>1.9999999999996021E-2</v>
      </c>
      <c r="R178" s="39">
        <v>0</v>
      </c>
      <c r="S178" s="39">
        <v>0</v>
      </c>
      <c r="T178" s="52">
        <v>0</v>
      </c>
      <c r="U178" s="39">
        <v>0</v>
      </c>
      <c r="V178" s="39">
        <v>0</v>
      </c>
      <c r="W178" s="52">
        <v>0</v>
      </c>
      <c r="X178" s="39">
        <v>210.05805986574245</v>
      </c>
      <c r="Y178" s="39">
        <v>136.92313953896758</v>
      </c>
      <c r="Z178" s="52">
        <v>-73.134920326774875</v>
      </c>
      <c r="AA178" s="39">
        <v>0</v>
      </c>
      <c r="AB178" s="39">
        <v>0</v>
      </c>
      <c r="AC178" s="52">
        <v>0</v>
      </c>
      <c r="AD178" s="39">
        <v>266.40568367627674</v>
      </c>
      <c r="AE178" s="39">
        <v>223.54536549663959</v>
      </c>
      <c r="AF178" s="35">
        <v>-42.860318179637147</v>
      </c>
      <c r="AG178" s="77">
        <v>931.4697265226846</v>
      </c>
      <c r="AH178" s="53">
        <v>794.60684900985439</v>
      </c>
      <c r="AI178" s="52">
        <v>-136.86287751283021</v>
      </c>
      <c r="AJ178" s="39">
        <v>0</v>
      </c>
      <c r="AK178" s="39">
        <v>0</v>
      </c>
      <c r="AL178" s="52">
        <v>0</v>
      </c>
      <c r="AM178" s="39">
        <v>0</v>
      </c>
      <c r="AN178" s="39">
        <v>0</v>
      </c>
      <c r="AO178" s="52">
        <v>0</v>
      </c>
      <c r="AP178" s="39">
        <v>15.783627381560828</v>
      </c>
      <c r="AQ178" s="39">
        <v>0</v>
      </c>
      <c r="AR178" s="52">
        <v>-15.783627381560828</v>
      </c>
      <c r="AS178" s="39">
        <v>839.08823977043005</v>
      </c>
      <c r="AT178" s="39">
        <v>0</v>
      </c>
      <c r="AU178" s="54">
        <v>-839.08823977043005</v>
      </c>
      <c r="AV178" s="39">
        <v>51.220190741760831</v>
      </c>
      <c r="AW178" s="39">
        <v>0</v>
      </c>
      <c r="AX178" s="55">
        <v>-51.220190741760831</v>
      </c>
      <c r="AY178" s="39">
        <v>61.968429542196461</v>
      </c>
      <c r="AZ178" s="39">
        <v>0</v>
      </c>
      <c r="BA178" s="35">
        <v>-61.968429542196461</v>
      </c>
      <c r="BB178" s="39">
        <v>35.432018750601188</v>
      </c>
      <c r="BC178" s="39">
        <v>0</v>
      </c>
      <c r="BD178" s="55">
        <v>-35.432018750601188</v>
      </c>
      <c r="BE178" s="39">
        <v>0</v>
      </c>
      <c r="BF178" s="39">
        <v>0</v>
      </c>
      <c r="BG178" s="38">
        <v>0</v>
      </c>
      <c r="BH178" s="39">
        <v>0</v>
      </c>
      <c r="BI178" s="39">
        <v>0</v>
      </c>
      <c r="BJ178" s="55">
        <v>0</v>
      </c>
      <c r="BK178" s="39">
        <v>38.421864630327121</v>
      </c>
      <c r="BL178" s="39">
        <v>0</v>
      </c>
      <c r="BM178" s="38">
        <v>-38.421864630327121</v>
      </c>
      <c r="BN178" s="39">
        <v>18.119813214430302</v>
      </c>
      <c r="BO178" s="39">
        <v>0</v>
      </c>
      <c r="BP178" s="55">
        <v>-18.119813214430302</v>
      </c>
      <c r="BQ178" s="77">
        <v>205.16231687931591</v>
      </c>
      <c r="BR178" s="40">
        <v>0</v>
      </c>
      <c r="BS178" s="55">
        <v>-205.16231687931591</v>
      </c>
      <c r="BT178" s="39">
        <v>0</v>
      </c>
      <c r="BU178" s="39">
        <v>0</v>
      </c>
      <c r="BV178" s="52">
        <v>0</v>
      </c>
      <c r="BW178" s="39">
        <v>34.489455536240278</v>
      </c>
      <c r="BX178" s="39">
        <v>1.5132304302709332</v>
      </c>
      <c r="BY178" s="52">
        <v>-32.976225105969348</v>
      </c>
      <c r="BZ178" s="39">
        <v>0</v>
      </c>
      <c r="CA178" s="39">
        <v>0</v>
      </c>
      <c r="CB178" s="52">
        <v>0</v>
      </c>
      <c r="CC178" s="39">
        <v>14.706626924936678</v>
      </c>
      <c r="CD178" s="39">
        <v>14.509144626290169</v>
      </c>
      <c r="CE178" s="52">
        <v>-0.19748229864650924</v>
      </c>
      <c r="CF178" s="39">
        <v>1.8104749055319775</v>
      </c>
      <c r="CG178" s="39">
        <v>0</v>
      </c>
      <c r="CH178" s="52">
        <v>-1.8104749055319775</v>
      </c>
      <c r="CI178" s="39">
        <v>215.25153953770956</v>
      </c>
      <c r="CJ178" s="39">
        <v>461.88557413945972</v>
      </c>
      <c r="CK178" s="52">
        <v>246.63403460175016</v>
      </c>
      <c r="CL178" s="39">
        <v>0</v>
      </c>
      <c r="CM178" s="39">
        <v>0</v>
      </c>
      <c r="CN178" s="52">
        <v>0</v>
      </c>
      <c r="CO178" s="39">
        <v>215.25153953770956</v>
      </c>
      <c r="CP178" s="40">
        <v>461.88557413945972</v>
      </c>
      <c r="CQ178" s="52">
        <v>246.63403460175016</v>
      </c>
      <c r="CR178" s="72">
        <v>2257.7620074584102</v>
      </c>
      <c r="CS178" s="5">
        <v>1272.5147982058752</v>
      </c>
      <c r="CT178" s="52">
        <v>-985.24720925253496</v>
      </c>
      <c r="CU178" s="77">
        <v>2709.314408950092</v>
      </c>
      <c r="CV178" s="65">
        <v>1527.0177578470502</v>
      </c>
      <c r="CW178" s="35">
        <v>-1182.2966511030418</v>
      </c>
      <c r="CX178" s="39">
        <v>40.639716134251373</v>
      </c>
      <c r="CY178" s="39">
        <v>1222.9363672372938</v>
      </c>
      <c r="CZ178" s="52">
        <v>1182.2966511030424</v>
      </c>
      <c r="DA178" s="150">
        <v>13731.313835145284</v>
      </c>
      <c r="DB178" s="2">
        <v>3</v>
      </c>
      <c r="DC178" s="713">
        <v>2388.96</v>
      </c>
      <c r="DD178" s="714"/>
      <c r="DE178" s="715">
        <v>1013.9829374578283</v>
      </c>
      <c r="DF178" s="716">
        <v>0</v>
      </c>
      <c r="DG178" s="717">
        <v>16354.436143371624</v>
      </c>
      <c r="DH178" s="718">
        <v>13176.09138238593</v>
      </c>
      <c r="DI178" s="718">
        <v>32999.449501012125</v>
      </c>
      <c r="DJ178" s="693">
        <v>28043.609971355574</v>
      </c>
      <c r="DK178" s="724"/>
      <c r="DL178" s="5"/>
      <c r="DM178" s="306">
        <v>3.6780811131855971</v>
      </c>
      <c r="DN178" s="306"/>
      <c r="DO178" s="306">
        <v>3.6218949365235571</v>
      </c>
      <c r="DP178" s="719">
        <v>1374.9770625421718</v>
      </c>
      <c r="DQ178" s="720">
        <v>0</v>
      </c>
      <c r="DR178" s="650">
        <v>1374.9770625421718</v>
      </c>
      <c r="DS178" s="94">
        <v>1374.9770625421718</v>
      </c>
      <c r="DT178" s="719">
        <v>1385.93</v>
      </c>
      <c r="DU178" s="721"/>
      <c r="DV178" s="93">
        <v>1385.93</v>
      </c>
      <c r="DW178" s="95">
        <v>1379.0410341555967</v>
      </c>
      <c r="DX178" s="28">
        <v>6.8889658444034012</v>
      </c>
      <c r="EA178" s="5">
        <v>1253.1006679796951</v>
      </c>
      <c r="EB178" s="5">
        <v>0</v>
      </c>
      <c r="EE178" s="722">
        <v>10069.058877245161</v>
      </c>
      <c r="EG178" s="42" t="s">
        <v>168</v>
      </c>
    </row>
    <row r="179" spans="1:137" x14ac:dyDescent="0.3">
      <c r="A179" s="325">
        <v>150000768</v>
      </c>
      <c r="B179" s="41" t="s">
        <v>647</v>
      </c>
      <c r="C179" s="42" t="s">
        <v>117</v>
      </c>
      <c r="D179" s="27">
        <v>1</v>
      </c>
      <c r="E179" s="709">
        <v>119.3</v>
      </c>
      <c r="F179" s="723">
        <v>119.3</v>
      </c>
      <c r="G179" s="28"/>
      <c r="H179" s="651">
        <v>0</v>
      </c>
      <c r="I179" s="39">
        <v>0</v>
      </c>
      <c r="J179" s="39">
        <v>0</v>
      </c>
      <c r="K179" s="52">
        <v>0</v>
      </c>
      <c r="L179" s="39">
        <v>0</v>
      </c>
      <c r="M179" s="39">
        <v>0</v>
      </c>
      <c r="N179" s="52">
        <v>0</v>
      </c>
      <c r="O179" s="39">
        <v>0</v>
      </c>
      <c r="P179" s="39">
        <v>0</v>
      </c>
      <c r="Q179" s="52">
        <v>0</v>
      </c>
      <c r="R179" s="39">
        <v>0</v>
      </c>
      <c r="S179" s="39">
        <v>0</v>
      </c>
      <c r="T179" s="52">
        <v>0</v>
      </c>
      <c r="U179" s="39">
        <v>0</v>
      </c>
      <c r="V179" s="39">
        <v>0</v>
      </c>
      <c r="W179" s="52">
        <v>0</v>
      </c>
      <c r="X179" s="39">
        <v>0</v>
      </c>
      <c r="Y179" s="39">
        <v>0</v>
      </c>
      <c r="Z179" s="52">
        <v>0</v>
      </c>
      <c r="AA179" s="39">
        <v>0</v>
      </c>
      <c r="AB179" s="39">
        <v>0</v>
      </c>
      <c r="AC179" s="52">
        <v>0</v>
      </c>
      <c r="AD179" s="39">
        <v>0</v>
      </c>
      <c r="AE179" s="39">
        <v>71.339812491638185</v>
      </c>
      <c r="AF179" s="35">
        <v>71.339812491638185</v>
      </c>
      <c r="AG179" s="77">
        <v>0</v>
      </c>
      <c r="AH179" s="53">
        <v>71.339812491638185</v>
      </c>
      <c r="AI179" s="52">
        <v>71.339812491638185</v>
      </c>
      <c r="AJ179" s="39">
        <v>0</v>
      </c>
      <c r="AK179" s="39">
        <v>0</v>
      </c>
      <c r="AL179" s="52">
        <v>0</v>
      </c>
      <c r="AM179" s="39">
        <v>0</v>
      </c>
      <c r="AN179" s="39">
        <v>0</v>
      </c>
      <c r="AO179" s="52">
        <v>0</v>
      </c>
      <c r="AP179" s="39">
        <v>31.567254763121657</v>
      </c>
      <c r="AQ179" s="39">
        <v>0</v>
      </c>
      <c r="AR179" s="52">
        <v>-31.567254763121657</v>
      </c>
      <c r="AS179" s="39">
        <v>349.5063683686804</v>
      </c>
      <c r="AT179" s="39">
        <v>0</v>
      </c>
      <c r="AU179" s="54">
        <v>-349.5063683686804</v>
      </c>
      <c r="AV179" s="39">
        <v>0</v>
      </c>
      <c r="AW179" s="39">
        <v>0</v>
      </c>
      <c r="AX179" s="55">
        <v>0</v>
      </c>
      <c r="AY179" s="39">
        <v>0</v>
      </c>
      <c r="AZ179" s="39">
        <v>0</v>
      </c>
      <c r="BA179" s="35">
        <v>0</v>
      </c>
      <c r="BB179" s="39">
        <v>0</v>
      </c>
      <c r="BC179" s="39">
        <v>0</v>
      </c>
      <c r="BD179" s="55">
        <v>0</v>
      </c>
      <c r="BE179" s="39">
        <v>0</v>
      </c>
      <c r="BF179" s="39">
        <v>0</v>
      </c>
      <c r="BG179" s="38">
        <v>0</v>
      </c>
      <c r="BH179" s="39">
        <v>0</v>
      </c>
      <c r="BI179" s="39">
        <v>0</v>
      </c>
      <c r="BJ179" s="55">
        <v>0</v>
      </c>
      <c r="BK179" s="39">
        <v>0</v>
      </c>
      <c r="BL179" s="39">
        <v>0</v>
      </c>
      <c r="BM179" s="38">
        <v>0</v>
      </c>
      <c r="BN179" s="39">
        <v>0</v>
      </c>
      <c r="BO179" s="39">
        <v>0</v>
      </c>
      <c r="BP179" s="55">
        <v>0</v>
      </c>
      <c r="BQ179" s="77">
        <v>0</v>
      </c>
      <c r="BR179" s="40">
        <v>0</v>
      </c>
      <c r="BS179" s="55">
        <v>0</v>
      </c>
      <c r="BT179" s="39">
        <v>0</v>
      </c>
      <c r="BU179" s="39">
        <v>0</v>
      </c>
      <c r="BV179" s="52">
        <v>0</v>
      </c>
      <c r="BW179" s="39">
        <v>0</v>
      </c>
      <c r="BX179" s="39">
        <v>0.4829157379860427</v>
      </c>
      <c r="BY179" s="52">
        <v>0.4829157379860427</v>
      </c>
      <c r="BZ179" s="39">
        <v>0</v>
      </c>
      <c r="CA179" s="39">
        <v>0</v>
      </c>
      <c r="CB179" s="52">
        <v>0</v>
      </c>
      <c r="CC179" s="39">
        <v>0</v>
      </c>
      <c r="CD179" s="39">
        <v>0</v>
      </c>
      <c r="CE179" s="52">
        <v>0</v>
      </c>
      <c r="CF179" s="39">
        <v>0</v>
      </c>
      <c r="CG179" s="39">
        <v>0</v>
      </c>
      <c r="CH179" s="52">
        <v>0</v>
      </c>
      <c r="CI179" s="39">
        <v>0</v>
      </c>
      <c r="CJ179" s="39">
        <v>0</v>
      </c>
      <c r="CK179" s="52">
        <v>0</v>
      </c>
      <c r="CL179" s="39">
        <v>0</v>
      </c>
      <c r="CM179" s="39">
        <v>0</v>
      </c>
      <c r="CN179" s="52">
        <v>0</v>
      </c>
      <c r="CO179" s="39">
        <v>0</v>
      </c>
      <c r="CP179" s="40">
        <v>0</v>
      </c>
      <c r="CQ179" s="52">
        <v>0</v>
      </c>
      <c r="CR179" s="72">
        <v>381.07362313180204</v>
      </c>
      <c r="CS179" s="5">
        <v>71.822728229624232</v>
      </c>
      <c r="CT179" s="52">
        <v>-309.25089490217783</v>
      </c>
      <c r="CU179" s="77">
        <v>457.28834775816244</v>
      </c>
      <c r="CV179" s="65">
        <v>86.187273875549081</v>
      </c>
      <c r="CW179" s="35">
        <v>-371.10107388261338</v>
      </c>
      <c r="CX179" s="39">
        <v>6.8593252163724365</v>
      </c>
      <c r="CY179" s="39">
        <v>377.96039909898582</v>
      </c>
      <c r="CZ179" s="52">
        <v>371.10107388261338</v>
      </c>
      <c r="DA179" s="150">
        <v>4236.8424027406345</v>
      </c>
      <c r="DB179" s="2">
        <v>3</v>
      </c>
      <c r="DC179" s="713">
        <v>424.68</v>
      </c>
      <c r="DD179" s="714"/>
      <c r="DE179" s="715">
        <v>192.60616351273256</v>
      </c>
      <c r="DF179" s="716">
        <v>0</v>
      </c>
      <c r="DG179" s="717">
        <v>-751.68908938980007</v>
      </c>
      <c r="DH179" s="718">
        <v>2196.8734283232425</v>
      </c>
      <c r="DI179" s="718">
        <v>5569.7720756944182</v>
      </c>
      <c r="DJ179" s="693">
        <v>4726.5474138516238</v>
      </c>
      <c r="DK179" s="724"/>
      <c r="DL179" s="5"/>
      <c r="DM179" s="306">
        <v>1.945296198552116</v>
      </c>
      <c r="DN179" s="306"/>
      <c r="DO179" s="306">
        <v>1.945296198552116</v>
      </c>
      <c r="DP179" s="719">
        <v>232.07383648726744</v>
      </c>
      <c r="DQ179" s="720">
        <v>0</v>
      </c>
      <c r="DR179" s="650">
        <v>232.07383648726744</v>
      </c>
      <c r="DS179" s="94">
        <v>232.07383648726744</v>
      </c>
      <c r="DT179" s="719">
        <v>232.08</v>
      </c>
      <c r="DU179" s="721"/>
      <c r="DV179" s="93">
        <v>232.08</v>
      </c>
      <c r="DW179" s="95">
        <v>232.75976900890467</v>
      </c>
      <c r="DX179" s="28">
        <v>-0.67976900890465686</v>
      </c>
      <c r="EA179" s="5">
        <v>419.40764204241646</v>
      </c>
      <c r="EB179" s="5">
        <v>0</v>
      </c>
      <c r="EE179" s="722">
        <v>4194.076420424165</v>
      </c>
      <c r="EG179" s="42" t="s">
        <v>117</v>
      </c>
    </row>
    <row r="180" spans="1:137" x14ac:dyDescent="0.3">
      <c r="A180" s="325">
        <v>150000763</v>
      </c>
      <c r="B180" s="41" t="s">
        <v>648</v>
      </c>
      <c r="C180" s="42" t="s">
        <v>118</v>
      </c>
      <c r="D180" s="27">
        <v>1</v>
      </c>
      <c r="E180" s="709">
        <v>182.8</v>
      </c>
      <c r="F180" s="723">
        <v>182.8</v>
      </c>
      <c r="G180" s="28"/>
      <c r="H180" s="651">
        <v>0</v>
      </c>
      <c r="I180" s="39">
        <v>0</v>
      </c>
      <c r="J180" s="39">
        <v>0</v>
      </c>
      <c r="K180" s="52">
        <v>0</v>
      </c>
      <c r="L180" s="39">
        <v>0</v>
      </c>
      <c r="M180" s="39">
        <v>0</v>
      </c>
      <c r="N180" s="52">
        <v>0</v>
      </c>
      <c r="O180" s="39">
        <v>0</v>
      </c>
      <c r="P180" s="39">
        <v>0</v>
      </c>
      <c r="Q180" s="52">
        <v>0</v>
      </c>
      <c r="R180" s="39">
        <v>0</v>
      </c>
      <c r="S180" s="39">
        <v>0</v>
      </c>
      <c r="T180" s="52">
        <v>0</v>
      </c>
      <c r="U180" s="39">
        <v>0</v>
      </c>
      <c r="V180" s="39">
        <v>0</v>
      </c>
      <c r="W180" s="52">
        <v>0</v>
      </c>
      <c r="X180" s="39">
        <v>0</v>
      </c>
      <c r="Y180" s="39">
        <v>0</v>
      </c>
      <c r="Z180" s="52">
        <v>0</v>
      </c>
      <c r="AA180" s="39">
        <v>0</v>
      </c>
      <c r="AB180" s="39">
        <v>0</v>
      </c>
      <c r="AC180" s="52">
        <v>0</v>
      </c>
      <c r="AD180" s="39">
        <v>0</v>
      </c>
      <c r="AE180" s="39">
        <v>109.31196750604744</v>
      </c>
      <c r="AF180" s="35">
        <v>109.31196750604744</v>
      </c>
      <c r="AG180" s="77">
        <v>0</v>
      </c>
      <c r="AH180" s="53">
        <v>109.31196750604744</v>
      </c>
      <c r="AI180" s="52">
        <v>109.31196750604744</v>
      </c>
      <c r="AJ180" s="39">
        <v>0</v>
      </c>
      <c r="AK180" s="39">
        <v>0</v>
      </c>
      <c r="AL180" s="52">
        <v>0</v>
      </c>
      <c r="AM180" s="39">
        <v>0</v>
      </c>
      <c r="AN180" s="39">
        <v>0</v>
      </c>
      <c r="AO180" s="52">
        <v>0</v>
      </c>
      <c r="AP180" s="39">
        <v>39.45906845390207</v>
      </c>
      <c r="AQ180" s="39">
        <v>0</v>
      </c>
      <c r="AR180" s="52">
        <v>-39.45906845390207</v>
      </c>
      <c r="AS180" s="39">
        <v>401.31287954890888</v>
      </c>
      <c r="AT180" s="39">
        <v>0</v>
      </c>
      <c r="AU180" s="54">
        <v>-401.31287954890888</v>
      </c>
      <c r="AV180" s="39">
        <v>0</v>
      </c>
      <c r="AW180" s="39">
        <v>0</v>
      </c>
      <c r="AX180" s="55">
        <v>0</v>
      </c>
      <c r="AY180" s="39">
        <v>0</v>
      </c>
      <c r="AZ180" s="39">
        <v>0</v>
      </c>
      <c r="BA180" s="35">
        <v>0</v>
      </c>
      <c r="BB180" s="39">
        <v>0</v>
      </c>
      <c r="BC180" s="39">
        <v>0</v>
      </c>
      <c r="BD180" s="55">
        <v>0</v>
      </c>
      <c r="BE180" s="39">
        <v>0</v>
      </c>
      <c r="BF180" s="39">
        <v>0</v>
      </c>
      <c r="BG180" s="38">
        <v>0</v>
      </c>
      <c r="BH180" s="39">
        <v>0</v>
      </c>
      <c r="BI180" s="39">
        <v>0</v>
      </c>
      <c r="BJ180" s="55">
        <v>0</v>
      </c>
      <c r="BK180" s="39">
        <v>0</v>
      </c>
      <c r="BL180" s="39">
        <v>0</v>
      </c>
      <c r="BM180" s="38">
        <v>0</v>
      </c>
      <c r="BN180" s="39">
        <v>0</v>
      </c>
      <c r="BO180" s="39">
        <v>0</v>
      </c>
      <c r="BP180" s="55">
        <v>0</v>
      </c>
      <c r="BQ180" s="77">
        <v>0</v>
      </c>
      <c r="BR180" s="40">
        <v>0</v>
      </c>
      <c r="BS180" s="55">
        <v>0</v>
      </c>
      <c r="BT180" s="39">
        <v>39.878351256995849</v>
      </c>
      <c r="BU180" s="39">
        <v>17.313757061691941</v>
      </c>
      <c r="BV180" s="52">
        <v>-22.564594195303908</v>
      </c>
      <c r="BW180" s="39">
        <v>0</v>
      </c>
      <c r="BX180" s="39">
        <v>0.73995806289898247</v>
      </c>
      <c r="BY180" s="52">
        <v>0.73995806289898247</v>
      </c>
      <c r="BZ180" s="39">
        <v>0</v>
      </c>
      <c r="CA180" s="39">
        <v>63.713575704205851</v>
      </c>
      <c r="CB180" s="52">
        <v>63.713575704205851</v>
      </c>
      <c r="CC180" s="39">
        <v>0</v>
      </c>
      <c r="CD180" s="39">
        <v>0</v>
      </c>
      <c r="CE180" s="52">
        <v>0</v>
      </c>
      <c r="CF180" s="39">
        <v>0</v>
      </c>
      <c r="CG180" s="39">
        <v>0</v>
      </c>
      <c r="CH180" s="52">
        <v>0</v>
      </c>
      <c r="CI180" s="39">
        <v>0</v>
      </c>
      <c r="CJ180" s="39">
        <v>0</v>
      </c>
      <c r="CK180" s="52">
        <v>0</v>
      </c>
      <c r="CL180" s="39">
        <v>0</v>
      </c>
      <c r="CM180" s="39">
        <v>0</v>
      </c>
      <c r="CN180" s="52">
        <v>0</v>
      </c>
      <c r="CO180" s="39">
        <v>0</v>
      </c>
      <c r="CP180" s="40">
        <v>0</v>
      </c>
      <c r="CQ180" s="52">
        <v>0</v>
      </c>
      <c r="CR180" s="72">
        <v>480.65029925980684</v>
      </c>
      <c r="CS180" s="5">
        <v>191.07925833484421</v>
      </c>
      <c r="CT180" s="52">
        <v>-289.57104092496263</v>
      </c>
      <c r="CU180" s="77">
        <v>576.78035911176823</v>
      </c>
      <c r="CV180" s="65">
        <v>229.29511000181304</v>
      </c>
      <c r="CW180" s="35">
        <v>-347.48524910995519</v>
      </c>
      <c r="CX180" s="39">
        <v>14.419508977794207</v>
      </c>
      <c r="CY180" s="39">
        <v>361.90475808774931</v>
      </c>
      <c r="CZ180" s="52">
        <v>347.48524910995513</v>
      </c>
      <c r="DA180" s="150">
        <v>-3566.7200361624091</v>
      </c>
      <c r="DB180" s="2">
        <v>3</v>
      </c>
      <c r="DC180" s="713">
        <v>-8.6199999999999992</v>
      </c>
      <c r="DD180" s="714"/>
      <c r="DE180" s="715">
        <v>-304.21993404478121</v>
      </c>
      <c r="DF180" s="716">
        <v>0</v>
      </c>
      <c r="DG180" s="717">
        <v>-750.68960490687391</v>
      </c>
      <c r="DH180" s="718">
        <v>2823.4632368759048</v>
      </c>
      <c r="DI180" s="718">
        <v>7094.398417074749</v>
      </c>
      <c r="DJ180" s="693">
        <v>6026.6646220250377</v>
      </c>
      <c r="DK180" s="724"/>
      <c r="DL180" s="5"/>
      <c r="DM180" s="306">
        <v>1.6170674728926762</v>
      </c>
      <c r="DN180" s="306"/>
      <c r="DO180" s="306">
        <v>1.6170674728926762</v>
      </c>
      <c r="DP180" s="719">
        <v>295.59993404478121</v>
      </c>
      <c r="DQ180" s="720">
        <v>0</v>
      </c>
      <c r="DR180" s="650">
        <v>295.59993404478121</v>
      </c>
      <c r="DS180" s="94">
        <v>295.59993404478121</v>
      </c>
      <c r="DT180" s="719">
        <v>274.58999999999997</v>
      </c>
      <c r="DU180" s="721"/>
      <c r="DV180" s="93">
        <v>274.58999999999997</v>
      </c>
      <c r="DW180" s="95">
        <v>297.04188494256061</v>
      </c>
      <c r="DX180" s="28">
        <v>-22.451884942560639</v>
      </c>
      <c r="EA180" s="5">
        <v>481.57545545869061</v>
      </c>
      <c r="EB180" s="5">
        <v>0</v>
      </c>
      <c r="EE180" s="722">
        <v>4815.754554586907</v>
      </c>
      <c r="EG180" s="42" t="s">
        <v>118</v>
      </c>
    </row>
    <row r="181" spans="1:137" x14ac:dyDescent="0.3">
      <c r="A181" s="325">
        <v>150000764</v>
      </c>
      <c r="B181" s="41" t="s">
        <v>649</v>
      </c>
      <c r="C181" s="42" t="s">
        <v>119</v>
      </c>
      <c r="D181" s="27">
        <v>1</v>
      </c>
      <c r="E181" s="709">
        <v>229</v>
      </c>
      <c r="F181" s="723">
        <v>229</v>
      </c>
      <c r="G181" s="28"/>
      <c r="H181" s="651">
        <v>0</v>
      </c>
      <c r="I181" s="39">
        <v>0</v>
      </c>
      <c r="J181" s="39">
        <v>0</v>
      </c>
      <c r="K181" s="52">
        <v>0</v>
      </c>
      <c r="L181" s="39">
        <v>0</v>
      </c>
      <c r="M181" s="39">
        <v>0</v>
      </c>
      <c r="N181" s="52">
        <v>0</v>
      </c>
      <c r="O181" s="39">
        <v>0</v>
      </c>
      <c r="P181" s="39">
        <v>0</v>
      </c>
      <c r="Q181" s="52">
        <v>0</v>
      </c>
      <c r="R181" s="39">
        <v>0</v>
      </c>
      <c r="S181" s="39">
        <v>0</v>
      </c>
      <c r="T181" s="52">
        <v>0</v>
      </c>
      <c r="U181" s="39">
        <v>0</v>
      </c>
      <c r="V181" s="39">
        <v>0</v>
      </c>
      <c r="W181" s="52">
        <v>0</v>
      </c>
      <c r="X181" s="39">
        <v>0</v>
      </c>
      <c r="Y181" s="39">
        <v>0</v>
      </c>
      <c r="Z181" s="52">
        <v>0</v>
      </c>
      <c r="AA181" s="39">
        <v>0</v>
      </c>
      <c r="AB181" s="39">
        <v>0</v>
      </c>
      <c r="AC181" s="52">
        <v>0</v>
      </c>
      <c r="AD181" s="39">
        <v>0</v>
      </c>
      <c r="AE181" s="39">
        <v>136.93895272912945</v>
      </c>
      <c r="AF181" s="35">
        <v>136.93895272912945</v>
      </c>
      <c r="AG181" s="77">
        <v>0</v>
      </c>
      <c r="AH181" s="53">
        <v>136.93895272912945</v>
      </c>
      <c r="AI181" s="52">
        <v>136.93895272912945</v>
      </c>
      <c r="AJ181" s="39">
        <v>0</v>
      </c>
      <c r="AK181" s="39">
        <v>0</v>
      </c>
      <c r="AL181" s="52">
        <v>0</v>
      </c>
      <c r="AM181" s="39">
        <v>0</v>
      </c>
      <c r="AN181" s="39">
        <v>0</v>
      </c>
      <c r="AO181" s="52">
        <v>0</v>
      </c>
      <c r="AP181" s="39">
        <v>23.675441072341243</v>
      </c>
      <c r="AQ181" s="39">
        <v>0</v>
      </c>
      <c r="AR181" s="52">
        <v>-23.675441072341243</v>
      </c>
      <c r="AS181" s="39">
        <v>518.93488637135329</v>
      </c>
      <c r="AT181" s="39">
        <v>0</v>
      </c>
      <c r="AU181" s="54">
        <v>-518.93488637135329</v>
      </c>
      <c r="AV181" s="39">
        <v>0</v>
      </c>
      <c r="AW181" s="39">
        <v>0</v>
      </c>
      <c r="AX181" s="55">
        <v>0</v>
      </c>
      <c r="AY181" s="39">
        <v>0</v>
      </c>
      <c r="AZ181" s="39">
        <v>0</v>
      </c>
      <c r="BA181" s="35">
        <v>0</v>
      </c>
      <c r="BB181" s="39">
        <v>0</v>
      </c>
      <c r="BC181" s="39">
        <v>0</v>
      </c>
      <c r="BD181" s="55">
        <v>0</v>
      </c>
      <c r="BE181" s="39">
        <v>0</v>
      </c>
      <c r="BF181" s="39">
        <v>0</v>
      </c>
      <c r="BG181" s="38">
        <v>0</v>
      </c>
      <c r="BH181" s="39">
        <v>0</v>
      </c>
      <c r="BI181" s="39">
        <v>0</v>
      </c>
      <c r="BJ181" s="55">
        <v>0</v>
      </c>
      <c r="BK181" s="39">
        <v>0</v>
      </c>
      <c r="BL181" s="39">
        <v>0</v>
      </c>
      <c r="BM181" s="38">
        <v>0</v>
      </c>
      <c r="BN181" s="39">
        <v>0</v>
      </c>
      <c r="BO181" s="39">
        <v>0</v>
      </c>
      <c r="BP181" s="55">
        <v>0</v>
      </c>
      <c r="BQ181" s="77">
        <v>0</v>
      </c>
      <c r="BR181" s="40">
        <v>0</v>
      </c>
      <c r="BS181" s="55">
        <v>0</v>
      </c>
      <c r="BT181" s="39">
        <v>19.939175628497924</v>
      </c>
      <c r="BU181" s="39">
        <v>8.6568785308459706</v>
      </c>
      <c r="BV181" s="52">
        <v>-11.282297097651954</v>
      </c>
      <c r="BW181" s="39">
        <v>0</v>
      </c>
      <c r="BX181" s="39">
        <v>0.92697153393800313</v>
      </c>
      <c r="BY181" s="52">
        <v>0.92697153393800313</v>
      </c>
      <c r="BZ181" s="39">
        <v>0</v>
      </c>
      <c r="CA181" s="39">
        <v>31.856787852102926</v>
      </c>
      <c r="CB181" s="52">
        <v>31.856787852102926</v>
      </c>
      <c r="CC181" s="39">
        <v>0</v>
      </c>
      <c r="CD181" s="39">
        <v>0</v>
      </c>
      <c r="CE181" s="52">
        <v>0</v>
      </c>
      <c r="CF181" s="39">
        <v>0</v>
      </c>
      <c r="CG181" s="39">
        <v>0</v>
      </c>
      <c r="CH181" s="52">
        <v>0</v>
      </c>
      <c r="CI181" s="39">
        <v>0</v>
      </c>
      <c r="CJ181" s="39">
        <v>0</v>
      </c>
      <c r="CK181" s="52">
        <v>0</v>
      </c>
      <c r="CL181" s="39">
        <v>0</v>
      </c>
      <c r="CM181" s="39">
        <v>0</v>
      </c>
      <c r="CN181" s="52">
        <v>0</v>
      </c>
      <c r="CO181" s="39">
        <v>0</v>
      </c>
      <c r="CP181" s="40">
        <v>0</v>
      </c>
      <c r="CQ181" s="52">
        <v>0</v>
      </c>
      <c r="CR181" s="72">
        <v>562.54950307219246</v>
      </c>
      <c r="CS181" s="5">
        <v>178.37959064601637</v>
      </c>
      <c r="CT181" s="52">
        <v>-384.1699124261761</v>
      </c>
      <c r="CU181" s="77">
        <v>675.05940368663096</v>
      </c>
      <c r="CV181" s="65">
        <v>214.05550877521964</v>
      </c>
      <c r="CW181" s="35">
        <v>-461.00389491141129</v>
      </c>
      <c r="CX181" s="39">
        <v>16.876485092165776</v>
      </c>
      <c r="CY181" s="39">
        <v>477.88038000357722</v>
      </c>
      <c r="CZ181" s="52">
        <v>461.00389491141146</v>
      </c>
      <c r="DA181" s="150">
        <v>-5271.7521004590808</v>
      </c>
      <c r="DB181" s="2">
        <v>3</v>
      </c>
      <c r="DC181" s="713">
        <v>191.02</v>
      </c>
      <c r="DD181" s="714"/>
      <c r="DE181" s="715">
        <v>-154.94794438939837</v>
      </c>
      <c r="DF181" s="716">
        <v>0</v>
      </c>
      <c r="DG181" s="717">
        <v>-3848.8922741026954</v>
      </c>
      <c r="DH181" s="718">
        <v>3333.7922379251022</v>
      </c>
      <c r="DI181" s="718">
        <v>8303.2306653455616</v>
      </c>
      <c r="DJ181" s="693">
        <v>7060.8710584904466</v>
      </c>
      <c r="DK181" s="724"/>
      <c r="DL181" s="5"/>
      <c r="DM181" s="306">
        <v>1.5107770497353641</v>
      </c>
      <c r="DN181" s="306"/>
      <c r="DO181" s="306">
        <v>1.5107770497353641</v>
      </c>
      <c r="DP181" s="719">
        <v>345.96794438939838</v>
      </c>
      <c r="DQ181" s="720">
        <v>0</v>
      </c>
      <c r="DR181" s="650">
        <v>345.96794438939838</v>
      </c>
      <c r="DS181" s="94">
        <v>345.96794438939838</v>
      </c>
      <c r="DT181" s="719">
        <v>345.98</v>
      </c>
      <c r="DU181" s="721"/>
      <c r="DV181" s="93">
        <v>345.98</v>
      </c>
      <c r="DW181" s="95">
        <v>347.65559289861494</v>
      </c>
      <c r="DX181" s="28">
        <v>-1.6755928986149229</v>
      </c>
      <c r="EA181" s="5">
        <v>622.7218636456239</v>
      </c>
      <c r="EB181" s="5">
        <v>0</v>
      </c>
      <c r="EE181" s="722">
        <v>6227.2186364562394</v>
      </c>
      <c r="EG181" s="42" t="s">
        <v>119</v>
      </c>
    </row>
    <row r="182" spans="1:137" x14ac:dyDescent="0.3">
      <c r="A182" s="325">
        <v>150000770</v>
      </c>
      <c r="B182" s="41" t="s">
        <v>650</v>
      </c>
      <c r="C182" s="42" t="s">
        <v>120</v>
      </c>
      <c r="D182" s="27">
        <v>1</v>
      </c>
      <c r="E182" s="709">
        <v>144.5</v>
      </c>
      <c r="F182" s="723">
        <v>144.5</v>
      </c>
      <c r="G182" s="28"/>
      <c r="H182" s="651">
        <v>0</v>
      </c>
      <c r="I182" s="39">
        <v>0</v>
      </c>
      <c r="J182" s="39">
        <v>0</v>
      </c>
      <c r="K182" s="52">
        <v>0</v>
      </c>
      <c r="L182" s="39">
        <v>0</v>
      </c>
      <c r="M182" s="39">
        <v>0</v>
      </c>
      <c r="N182" s="52">
        <v>0</v>
      </c>
      <c r="O182" s="39">
        <v>0</v>
      </c>
      <c r="P182" s="39">
        <v>0</v>
      </c>
      <c r="Q182" s="52">
        <v>0</v>
      </c>
      <c r="R182" s="39">
        <v>0</v>
      </c>
      <c r="S182" s="39">
        <v>0</v>
      </c>
      <c r="T182" s="52">
        <v>0</v>
      </c>
      <c r="U182" s="39">
        <v>0</v>
      </c>
      <c r="V182" s="39">
        <v>0</v>
      </c>
      <c r="W182" s="52">
        <v>0</v>
      </c>
      <c r="X182" s="39">
        <v>0</v>
      </c>
      <c r="Y182" s="39">
        <v>0</v>
      </c>
      <c r="Z182" s="52">
        <v>0</v>
      </c>
      <c r="AA182" s="39">
        <v>0</v>
      </c>
      <c r="AB182" s="39">
        <v>0</v>
      </c>
      <c r="AC182" s="52">
        <v>0</v>
      </c>
      <c r="AD182" s="39">
        <v>0</v>
      </c>
      <c r="AE182" s="39">
        <v>86.409077158773812</v>
      </c>
      <c r="AF182" s="35">
        <v>86.409077158773812</v>
      </c>
      <c r="AG182" s="77">
        <v>0</v>
      </c>
      <c r="AH182" s="53">
        <v>86.409077158773812</v>
      </c>
      <c r="AI182" s="52">
        <v>86.409077158773812</v>
      </c>
      <c r="AJ182" s="39">
        <v>0</v>
      </c>
      <c r="AK182" s="39">
        <v>0</v>
      </c>
      <c r="AL182" s="52">
        <v>0</v>
      </c>
      <c r="AM182" s="39">
        <v>0</v>
      </c>
      <c r="AN182" s="39">
        <v>0</v>
      </c>
      <c r="AO182" s="52">
        <v>0</v>
      </c>
      <c r="AP182" s="39">
        <v>39.45906845390207</v>
      </c>
      <c r="AQ182" s="39">
        <v>0</v>
      </c>
      <c r="AR182" s="52">
        <v>-39.45906845390207</v>
      </c>
      <c r="AS182" s="39">
        <v>391.51070671639127</v>
      </c>
      <c r="AT182" s="39">
        <v>0</v>
      </c>
      <c r="AU182" s="54">
        <v>-391.51070671639127</v>
      </c>
      <c r="AV182" s="39">
        <v>0</v>
      </c>
      <c r="AW182" s="39">
        <v>0</v>
      </c>
      <c r="AX182" s="55">
        <v>0</v>
      </c>
      <c r="AY182" s="39">
        <v>0</v>
      </c>
      <c r="AZ182" s="39">
        <v>0</v>
      </c>
      <c r="BA182" s="35">
        <v>0</v>
      </c>
      <c r="BB182" s="39">
        <v>0</v>
      </c>
      <c r="BC182" s="39">
        <v>0</v>
      </c>
      <c r="BD182" s="55">
        <v>0</v>
      </c>
      <c r="BE182" s="39">
        <v>0</v>
      </c>
      <c r="BF182" s="39">
        <v>0</v>
      </c>
      <c r="BG182" s="38">
        <v>0</v>
      </c>
      <c r="BH182" s="39">
        <v>0</v>
      </c>
      <c r="BI182" s="39">
        <v>0</v>
      </c>
      <c r="BJ182" s="55">
        <v>0</v>
      </c>
      <c r="BK182" s="39">
        <v>0</v>
      </c>
      <c r="BL182" s="39">
        <v>0</v>
      </c>
      <c r="BM182" s="38">
        <v>0</v>
      </c>
      <c r="BN182" s="39">
        <v>0</v>
      </c>
      <c r="BO182" s="39">
        <v>0</v>
      </c>
      <c r="BP182" s="55">
        <v>0</v>
      </c>
      <c r="BQ182" s="77">
        <v>0</v>
      </c>
      <c r="BR182" s="40">
        <v>0</v>
      </c>
      <c r="BS182" s="55">
        <v>0</v>
      </c>
      <c r="BT182" s="39">
        <v>0</v>
      </c>
      <c r="BU182" s="39">
        <v>0</v>
      </c>
      <c r="BV182" s="52">
        <v>0</v>
      </c>
      <c r="BW182" s="39">
        <v>0</v>
      </c>
      <c r="BX182" s="39">
        <v>0.58492308582550856</v>
      </c>
      <c r="BY182" s="52">
        <v>0.58492308582550856</v>
      </c>
      <c r="BZ182" s="39">
        <v>0</v>
      </c>
      <c r="CA182" s="39">
        <v>0</v>
      </c>
      <c r="CB182" s="52">
        <v>0</v>
      </c>
      <c r="CC182" s="39">
        <v>0</v>
      </c>
      <c r="CD182" s="39">
        <v>0</v>
      </c>
      <c r="CE182" s="52">
        <v>0</v>
      </c>
      <c r="CF182" s="39">
        <v>0</v>
      </c>
      <c r="CG182" s="39">
        <v>0</v>
      </c>
      <c r="CH182" s="52">
        <v>0</v>
      </c>
      <c r="CI182" s="39">
        <v>0</v>
      </c>
      <c r="CJ182" s="39">
        <v>0</v>
      </c>
      <c r="CK182" s="52">
        <v>0</v>
      </c>
      <c r="CL182" s="39">
        <v>0</v>
      </c>
      <c r="CM182" s="39">
        <v>0</v>
      </c>
      <c r="CN182" s="52">
        <v>0</v>
      </c>
      <c r="CO182" s="39">
        <v>0</v>
      </c>
      <c r="CP182" s="40">
        <v>0</v>
      </c>
      <c r="CQ182" s="52">
        <v>0</v>
      </c>
      <c r="CR182" s="72">
        <v>430.96977517029336</v>
      </c>
      <c r="CS182" s="5">
        <v>86.99400024459932</v>
      </c>
      <c r="CT182" s="52">
        <v>-343.97577492569405</v>
      </c>
      <c r="CU182" s="77">
        <v>517.16373020435196</v>
      </c>
      <c r="CV182" s="65">
        <v>104.39280029351919</v>
      </c>
      <c r="CW182" s="35">
        <v>-412.77092991083276</v>
      </c>
      <c r="CX182" s="39">
        <v>7.7574559530652794</v>
      </c>
      <c r="CY182" s="39">
        <v>420.52838586389805</v>
      </c>
      <c r="CZ182" s="52">
        <v>412.77092991083276</v>
      </c>
      <c r="DA182" s="150">
        <v>-6818.2885895256541</v>
      </c>
      <c r="DB182" s="2">
        <v>3</v>
      </c>
      <c r="DC182" s="713">
        <v>262.49</v>
      </c>
      <c r="DD182" s="714"/>
      <c r="DE182" s="715">
        <v>2.9406921291410981E-2</v>
      </c>
      <c r="DF182" s="716">
        <v>0</v>
      </c>
      <c r="DG182" s="717">
        <v>-3843.710387977148</v>
      </c>
      <c r="DH182" s="718">
        <v>2516.8254836299534</v>
      </c>
      <c r="DI182" s="718">
        <v>6299.0542338890064</v>
      </c>
      <c r="DJ182" s="693">
        <v>5353.4970463242435</v>
      </c>
      <c r="DK182" s="724"/>
      <c r="DL182" s="5"/>
      <c r="DM182" s="306">
        <v>1.8163362842817203</v>
      </c>
      <c r="DN182" s="306"/>
      <c r="DO182" s="306">
        <v>1.8163362842817203</v>
      </c>
      <c r="DP182" s="719">
        <v>262.4605930787086</v>
      </c>
      <c r="DQ182" s="720">
        <v>0</v>
      </c>
      <c r="DR182" s="650">
        <v>262.4605930787086</v>
      </c>
      <c r="DS182" s="94">
        <v>262.4605930787086</v>
      </c>
      <c r="DT182" s="719">
        <v>262.45</v>
      </c>
      <c r="DU182" s="721"/>
      <c r="DV182" s="93">
        <v>262.45</v>
      </c>
      <c r="DW182" s="95">
        <v>263.2363386740152</v>
      </c>
      <c r="DX182" s="28">
        <v>-0.78633867401521229</v>
      </c>
      <c r="EA182" s="5">
        <v>469.81284805966948</v>
      </c>
      <c r="EB182" s="5">
        <v>0</v>
      </c>
      <c r="EE182" s="722">
        <v>4698.1284805966952</v>
      </c>
      <c r="EG182" s="42" t="s">
        <v>120</v>
      </c>
    </row>
    <row r="183" spans="1:137" x14ac:dyDescent="0.3">
      <c r="A183" s="325">
        <v>150000777</v>
      </c>
      <c r="B183" s="41" t="s">
        <v>651</v>
      </c>
      <c r="C183" s="42" t="s">
        <v>169</v>
      </c>
      <c r="D183" s="27">
        <v>2</v>
      </c>
      <c r="E183" s="709">
        <v>393</v>
      </c>
      <c r="F183" s="723">
        <v>393</v>
      </c>
      <c r="G183" s="28"/>
      <c r="H183" s="651">
        <v>0</v>
      </c>
      <c r="I183" s="39">
        <v>247.89885197944591</v>
      </c>
      <c r="J183" s="39">
        <v>235.1610191564817</v>
      </c>
      <c r="K183" s="52">
        <v>-12.737832822964208</v>
      </c>
      <c r="L183" s="39">
        <v>37.9243574755655</v>
      </c>
      <c r="M183" s="39">
        <v>32.819375698802709</v>
      </c>
      <c r="N183" s="52">
        <v>-5.1049817767627914</v>
      </c>
      <c r="O183" s="39">
        <v>96.08</v>
      </c>
      <c r="P183" s="39">
        <v>96.08</v>
      </c>
      <c r="Q183" s="52">
        <v>0</v>
      </c>
      <c r="R183" s="39">
        <v>19.62</v>
      </c>
      <c r="S183" s="39">
        <v>19.66</v>
      </c>
      <c r="T183" s="52">
        <v>3.9999999999999147E-2</v>
      </c>
      <c r="U183" s="39">
        <v>0</v>
      </c>
      <c r="V183" s="39">
        <v>0</v>
      </c>
      <c r="W183" s="52">
        <v>0</v>
      </c>
      <c r="X183" s="39">
        <v>97.742402165657325</v>
      </c>
      <c r="Y183" s="39">
        <v>62.033715346615054</v>
      </c>
      <c r="Z183" s="52">
        <v>-35.708686819042271</v>
      </c>
      <c r="AA183" s="39">
        <v>0</v>
      </c>
      <c r="AB183" s="39">
        <v>0</v>
      </c>
      <c r="AC183" s="52">
        <v>0</v>
      </c>
      <c r="AD183" s="39">
        <v>280.06696542486361</v>
      </c>
      <c r="AE183" s="39">
        <v>235.00877040413917</v>
      </c>
      <c r="AF183" s="35">
        <v>-45.05819502072444</v>
      </c>
      <c r="AG183" s="77">
        <v>779.33257704553239</v>
      </c>
      <c r="AH183" s="53">
        <v>680.76288060603861</v>
      </c>
      <c r="AI183" s="52">
        <v>-98.569696439493782</v>
      </c>
      <c r="AJ183" s="39">
        <v>0</v>
      </c>
      <c r="AK183" s="39">
        <v>0</v>
      </c>
      <c r="AL183" s="52">
        <v>0</v>
      </c>
      <c r="AM183" s="39">
        <v>0</v>
      </c>
      <c r="AN183" s="39">
        <v>0</v>
      </c>
      <c r="AO183" s="52">
        <v>0</v>
      </c>
      <c r="AP183" s="39">
        <v>63.134509526243313</v>
      </c>
      <c r="AQ183" s="39">
        <v>0</v>
      </c>
      <c r="AR183" s="52">
        <v>-63.134509526243313</v>
      </c>
      <c r="AS183" s="39">
        <v>729.85327260524946</v>
      </c>
      <c r="AT183" s="39">
        <v>0</v>
      </c>
      <c r="AU183" s="54">
        <v>-729.85327260524946</v>
      </c>
      <c r="AV183" s="39">
        <v>46.068659712404099</v>
      </c>
      <c r="AW183" s="39">
        <v>0</v>
      </c>
      <c r="AX183" s="55">
        <v>-46.068659712404099</v>
      </c>
      <c r="AY183" s="39">
        <v>48.925973641158578</v>
      </c>
      <c r="AZ183" s="39">
        <v>0</v>
      </c>
      <c r="BA183" s="35">
        <v>-48.925973641158578</v>
      </c>
      <c r="BB183" s="39">
        <v>22.313697520928265</v>
      </c>
      <c r="BC183" s="39">
        <v>0</v>
      </c>
      <c r="BD183" s="55">
        <v>-22.313697520928265</v>
      </c>
      <c r="BE183" s="39">
        <v>28.65895693375586</v>
      </c>
      <c r="BF183" s="39">
        <v>0</v>
      </c>
      <c r="BG183" s="38">
        <v>-28.65895693375586</v>
      </c>
      <c r="BH183" s="39">
        <v>0</v>
      </c>
      <c r="BI183" s="39">
        <v>0</v>
      </c>
      <c r="BJ183" s="55">
        <v>0</v>
      </c>
      <c r="BK183" s="39">
        <v>13.058040995621697</v>
      </c>
      <c r="BL183" s="39">
        <v>0</v>
      </c>
      <c r="BM183" s="38">
        <v>-13.058040995621697</v>
      </c>
      <c r="BN183" s="39">
        <v>0</v>
      </c>
      <c r="BO183" s="39">
        <v>0</v>
      </c>
      <c r="BP183" s="55">
        <v>0</v>
      </c>
      <c r="BQ183" s="77">
        <v>159.02532880386849</v>
      </c>
      <c r="BR183" s="40">
        <v>0</v>
      </c>
      <c r="BS183" s="55">
        <v>-159.02532880386849</v>
      </c>
      <c r="BT183" s="39">
        <v>700.83766086006881</v>
      </c>
      <c r="BU183" s="39">
        <v>191.22889086597397</v>
      </c>
      <c r="BV183" s="52">
        <v>-509.60876999409481</v>
      </c>
      <c r="BW183" s="39">
        <v>432.40571561830296</v>
      </c>
      <c r="BX183" s="39">
        <v>387.6975008969788</v>
      </c>
      <c r="BY183" s="52">
        <v>-44.708214721324168</v>
      </c>
      <c r="BZ183" s="39">
        <v>95.754327999463968</v>
      </c>
      <c r="CA183" s="39">
        <v>795.42365671556422</v>
      </c>
      <c r="CB183" s="52">
        <v>699.66932871610027</v>
      </c>
      <c r="CC183" s="39">
        <v>0</v>
      </c>
      <c r="CD183" s="39">
        <v>0</v>
      </c>
      <c r="CE183" s="52">
        <v>0</v>
      </c>
      <c r="CF183" s="39">
        <v>0</v>
      </c>
      <c r="CG183" s="39">
        <v>0</v>
      </c>
      <c r="CH183" s="52">
        <v>0</v>
      </c>
      <c r="CI183" s="39">
        <v>46.793812942980331</v>
      </c>
      <c r="CJ183" s="39">
        <v>35.403752421320881</v>
      </c>
      <c r="CK183" s="52">
        <v>-11.39006052165945</v>
      </c>
      <c r="CL183" s="39">
        <v>0</v>
      </c>
      <c r="CM183" s="39">
        <v>0</v>
      </c>
      <c r="CN183" s="52">
        <v>0</v>
      </c>
      <c r="CO183" s="39">
        <v>46.793812942980331</v>
      </c>
      <c r="CP183" s="40">
        <v>35.403752421320881</v>
      </c>
      <c r="CQ183" s="52">
        <v>-11.39006052165945</v>
      </c>
      <c r="CR183" s="72">
        <v>3007.1372054017097</v>
      </c>
      <c r="CS183" s="5">
        <v>2090.5166815058765</v>
      </c>
      <c r="CT183" s="52">
        <v>-916.62052389583323</v>
      </c>
      <c r="CU183" s="77">
        <v>3608.5646464820516</v>
      </c>
      <c r="CV183" s="65">
        <v>2508.6200178070517</v>
      </c>
      <c r="CW183" s="35">
        <v>-1099.9446286749999</v>
      </c>
      <c r="CX183" s="39">
        <v>54.128469697230763</v>
      </c>
      <c r="CY183" s="39">
        <v>1154.0730983722303</v>
      </c>
      <c r="CZ183" s="52">
        <v>1099.9446286749996</v>
      </c>
      <c r="DA183" s="150">
        <v>-1592.3828660886693</v>
      </c>
      <c r="DB183" s="2">
        <v>3</v>
      </c>
      <c r="DC183" s="713">
        <v>2123.9899999999998</v>
      </c>
      <c r="DD183" s="714"/>
      <c r="DE183" s="715">
        <v>292.64344191035912</v>
      </c>
      <c r="DF183" s="716">
        <v>0</v>
      </c>
      <c r="DG183" s="717">
        <v>-11544.928649293954</v>
      </c>
      <c r="DH183" s="718">
        <v>17548.417568585071</v>
      </c>
      <c r="DI183" s="718">
        <v>43952.317394151389</v>
      </c>
      <c r="DJ183" s="693">
        <v>37351.342437759813</v>
      </c>
      <c r="DK183" s="724"/>
      <c r="DL183" s="5"/>
      <c r="DM183" s="306">
        <v>4.6599149060805107</v>
      </c>
      <c r="DN183" s="306"/>
      <c r="DO183" s="306">
        <v>3.9898510872216142</v>
      </c>
      <c r="DP183" s="719">
        <v>1831.3465580896407</v>
      </c>
      <c r="DQ183" s="720">
        <v>0</v>
      </c>
      <c r="DR183" s="650">
        <v>1831.3465580896407</v>
      </c>
      <c r="DS183" s="94">
        <v>1831.3465580896416</v>
      </c>
      <c r="DT183" s="719">
        <v>1831.35</v>
      </c>
      <c r="DU183" s="721"/>
      <c r="DV183" s="93">
        <v>1831.35</v>
      </c>
      <c r="DW183" s="95">
        <v>1836.7594050593646</v>
      </c>
      <c r="DX183" s="28">
        <v>-5.4094050593646443</v>
      </c>
      <c r="EA183" s="5">
        <v>1066.6543216909415</v>
      </c>
      <c r="EB183" s="5">
        <v>0</v>
      </c>
      <c r="EE183" s="722">
        <v>8758.2392712629935</v>
      </c>
      <c r="EG183" s="42" t="s">
        <v>169</v>
      </c>
    </row>
    <row r="184" spans="1:137" x14ac:dyDescent="0.3">
      <c r="A184" s="325">
        <v>150000765</v>
      </c>
      <c r="B184" s="41" t="s">
        <v>652</v>
      </c>
      <c r="C184" s="42" t="s">
        <v>265</v>
      </c>
      <c r="D184" s="27">
        <v>5</v>
      </c>
      <c r="E184" s="709">
        <v>4524.01</v>
      </c>
      <c r="F184" s="723">
        <v>4524.01</v>
      </c>
      <c r="G184" s="28"/>
      <c r="H184" s="651">
        <v>0</v>
      </c>
      <c r="I184" s="39">
        <v>2652.574894035266</v>
      </c>
      <c r="J184" s="39">
        <v>2859.5218988534602</v>
      </c>
      <c r="K184" s="52">
        <v>206.94700481819427</v>
      </c>
      <c r="L184" s="39">
        <v>546.91467492135553</v>
      </c>
      <c r="M184" s="39">
        <v>594.25105953025582</v>
      </c>
      <c r="N184" s="52">
        <v>47.336384608900289</v>
      </c>
      <c r="O184" s="39">
        <v>1018.72</v>
      </c>
      <c r="P184" s="39">
        <v>1018.56</v>
      </c>
      <c r="Q184" s="52">
        <v>-0.16000000000008185</v>
      </c>
      <c r="R184" s="39">
        <v>0</v>
      </c>
      <c r="S184" s="39">
        <v>0</v>
      </c>
      <c r="T184" s="52">
        <v>0</v>
      </c>
      <c r="U184" s="39">
        <v>215.74518364026076</v>
      </c>
      <c r="V184" s="39">
        <v>589.29096994799977</v>
      </c>
      <c r="W184" s="52">
        <v>373.54578630773904</v>
      </c>
      <c r="X184" s="39">
        <v>1951.8747008543114</v>
      </c>
      <c r="Y184" s="39">
        <v>1236.3162692285714</v>
      </c>
      <c r="Z184" s="52">
        <v>-715.55843162574001</v>
      </c>
      <c r="AA184" s="39">
        <v>0</v>
      </c>
      <c r="AB184" s="39">
        <v>0</v>
      </c>
      <c r="AC184" s="52">
        <v>0</v>
      </c>
      <c r="AD184" s="39">
        <v>3223.9841024217235</v>
      </c>
      <c r="AE184" s="39">
        <v>2705.2977796336636</v>
      </c>
      <c r="AF184" s="35">
        <v>-518.6863227880599</v>
      </c>
      <c r="AG184" s="77">
        <v>9609.8135558729173</v>
      </c>
      <c r="AH184" s="53">
        <v>9003.2379771939522</v>
      </c>
      <c r="AI184" s="52">
        <v>-606.57557867896503</v>
      </c>
      <c r="AJ184" s="39">
        <v>0</v>
      </c>
      <c r="AK184" s="39">
        <v>0</v>
      </c>
      <c r="AL184" s="52">
        <v>0</v>
      </c>
      <c r="AM184" s="39">
        <v>0</v>
      </c>
      <c r="AN184" s="39">
        <v>0</v>
      </c>
      <c r="AO184" s="52">
        <v>0</v>
      </c>
      <c r="AP184" s="39">
        <v>3156.7254763121659</v>
      </c>
      <c r="AQ184" s="39">
        <v>0</v>
      </c>
      <c r="AR184" s="52">
        <v>-3156.7254763121659</v>
      </c>
      <c r="AS184" s="39">
        <v>9352.3552740010964</v>
      </c>
      <c r="AT184" s="39">
        <v>5449.1906238861047</v>
      </c>
      <c r="AU184" s="54">
        <v>-3903.1646501149917</v>
      </c>
      <c r="AV184" s="39">
        <v>430.09161387458335</v>
      </c>
      <c r="AW184" s="39">
        <v>0</v>
      </c>
      <c r="AX184" s="55">
        <v>-430.09161387458335</v>
      </c>
      <c r="AY184" s="39">
        <v>704.86294416155238</v>
      </c>
      <c r="AZ184" s="39">
        <v>0</v>
      </c>
      <c r="BA184" s="35">
        <v>-704.86294416155238</v>
      </c>
      <c r="BB184" s="39">
        <v>609.57690160425739</v>
      </c>
      <c r="BC184" s="39">
        <v>0</v>
      </c>
      <c r="BD184" s="55">
        <v>-609.57690160425739</v>
      </c>
      <c r="BE184" s="39">
        <v>0</v>
      </c>
      <c r="BF184" s="39">
        <v>0</v>
      </c>
      <c r="BG184" s="38">
        <v>0</v>
      </c>
      <c r="BH184" s="39">
        <v>218.86472282667671</v>
      </c>
      <c r="BI184" s="39">
        <v>0</v>
      </c>
      <c r="BJ184" s="55">
        <v>-218.86472282667671</v>
      </c>
      <c r="BK184" s="39">
        <v>286.80844471916237</v>
      </c>
      <c r="BL184" s="39">
        <v>333</v>
      </c>
      <c r="BM184" s="38">
        <v>46.191555280837633</v>
      </c>
      <c r="BN184" s="39">
        <v>0</v>
      </c>
      <c r="BO184" s="39">
        <v>0</v>
      </c>
      <c r="BP184" s="55">
        <v>0</v>
      </c>
      <c r="BQ184" s="77">
        <v>2250.2046271862323</v>
      </c>
      <c r="BR184" s="40">
        <v>333</v>
      </c>
      <c r="BS184" s="55">
        <v>-1917.2046271862323</v>
      </c>
      <c r="BT184" s="39">
        <v>6689.3798685175752</v>
      </c>
      <c r="BU184" s="39">
        <v>1413.3939211520933</v>
      </c>
      <c r="BV184" s="52">
        <v>-5275.9859473654815</v>
      </c>
      <c r="BW184" s="39">
        <v>4151.549923141989</v>
      </c>
      <c r="BX184" s="39">
        <v>3162.8342576937193</v>
      </c>
      <c r="BY184" s="52">
        <v>-988.71566544826965</v>
      </c>
      <c r="BZ184" s="39">
        <v>2597.4389468319587</v>
      </c>
      <c r="CA184" s="39">
        <v>7106.267649678728</v>
      </c>
      <c r="CB184" s="52">
        <v>4508.8287028467694</v>
      </c>
      <c r="CC184" s="39">
        <v>346.97835124900598</v>
      </c>
      <c r="CD184" s="39">
        <v>342.31908554960597</v>
      </c>
      <c r="CE184" s="52">
        <v>-4.6592656994000095</v>
      </c>
      <c r="CF184" s="39">
        <v>42.715137937851118</v>
      </c>
      <c r="CG184" s="39">
        <v>0</v>
      </c>
      <c r="CH184" s="52">
        <v>-42.715137937851118</v>
      </c>
      <c r="CI184" s="39">
        <v>1229.1174866356168</v>
      </c>
      <c r="CJ184" s="39">
        <v>3163.496193179622</v>
      </c>
      <c r="CK184" s="52">
        <v>1934.3787065440051</v>
      </c>
      <c r="CL184" s="39">
        <v>0</v>
      </c>
      <c r="CM184" s="39">
        <v>0</v>
      </c>
      <c r="CN184" s="52">
        <v>0</v>
      </c>
      <c r="CO184" s="39">
        <v>1229.1174866356168</v>
      </c>
      <c r="CP184" s="40">
        <v>3163.496193179622</v>
      </c>
      <c r="CQ184" s="52">
        <v>1934.3787065440051</v>
      </c>
      <c r="CR184" s="72">
        <v>39426.278647686398</v>
      </c>
      <c r="CS184" s="5">
        <v>29973.739708333826</v>
      </c>
      <c r="CT184" s="52">
        <v>-9452.5389393525729</v>
      </c>
      <c r="CU184" s="77">
        <v>47311.534377223674</v>
      </c>
      <c r="CV184" s="65">
        <v>35968.487650000592</v>
      </c>
      <c r="CW184" s="35">
        <v>-11343.046727223082</v>
      </c>
      <c r="CX184" s="39">
        <v>2365.576718861184</v>
      </c>
      <c r="CY184" s="39">
        <v>13708.623446084272</v>
      </c>
      <c r="CZ184" s="52">
        <v>11343.046727223087</v>
      </c>
      <c r="DA184" s="150">
        <v>-2947.5899205296882</v>
      </c>
      <c r="DB184" s="2">
        <v>2</v>
      </c>
      <c r="DC184" s="713">
        <v>73134.48</v>
      </c>
      <c r="DD184" s="714"/>
      <c r="DE184" s="715">
        <v>48295.924451957566</v>
      </c>
      <c r="DF184" s="716">
        <v>0</v>
      </c>
      <c r="DG184" s="717">
        <v>67395.53605099651</v>
      </c>
      <c r="DH184" s="718">
        <v>248698.08256448287</v>
      </c>
      <c r="DI184" s="718">
        <v>596125.33315301826</v>
      </c>
      <c r="DJ184" s="693">
        <v>509268.52050588449</v>
      </c>
      <c r="DK184" s="724"/>
      <c r="DL184" s="5"/>
      <c r="DM184" s="306">
        <v>5.4903847577795872</v>
      </c>
      <c r="DN184" s="306"/>
      <c r="DO184" s="306">
        <v>4.9122524257158977</v>
      </c>
      <c r="DP184" s="719">
        <v>24838.55554804243</v>
      </c>
      <c r="DQ184" s="720">
        <v>0</v>
      </c>
      <c r="DR184" s="650">
        <v>24838.55554804243</v>
      </c>
      <c r="DS184" s="94">
        <v>24838.55554804243</v>
      </c>
      <c r="DT184" s="719">
        <v>24838.62</v>
      </c>
      <c r="DU184" s="721"/>
      <c r="DV184" s="93">
        <v>24838.62</v>
      </c>
      <c r="DW184" s="95">
        <v>25075.113219928549</v>
      </c>
      <c r="DX184" s="28">
        <v>-236.49321992855039</v>
      </c>
      <c r="EA184" s="5">
        <v>13923.071881424794</v>
      </c>
      <c r="EB184" s="5">
        <v>6938.6287486633255</v>
      </c>
      <c r="EE184" s="722">
        <v>112228.26328801316</v>
      </c>
      <c r="EG184" s="42" t="s">
        <v>265</v>
      </c>
    </row>
    <row r="185" spans="1:137" x14ac:dyDescent="0.3">
      <c r="A185" s="325">
        <v>150000696</v>
      </c>
      <c r="B185" s="41" t="s">
        <v>654</v>
      </c>
      <c r="C185" s="42" t="s">
        <v>371</v>
      </c>
      <c r="D185" s="27">
        <v>9</v>
      </c>
      <c r="E185" s="709">
        <v>6306.37</v>
      </c>
      <c r="F185" s="723">
        <v>6306.37</v>
      </c>
      <c r="G185" s="28">
        <v>706.38</v>
      </c>
      <c r="H185" s="651">
        <v>0</v>
      </c>
      <c r="I185" s="39">
        <v>3697.9904506457724</v>
      </c>
      <c r="J185" s="39">
        <v>3512.6877252050008</v>
      </c>
      <c r="K185" s="52">
        <v>-185.30272544077161</v>
      </c>
      <c r="L185" s="39">
        <v>688.05838458179949</v>
      </c>
      <c r="M185" s="39">
        <v>595.44334167710736</v>
      </c>
      <c r="N185" s="52">
        <v>-92.615042904692132</v>
      </c>
      <c r="O185" s="39">
        <v>1358.34</v>
      </c>
      <c r="P185" s="39">
        <v>1358.5</v>
      </c>
      <c r="Q185" s="52">
        <v>0.16000000000008185</v>
      </c>
      <c r="R185" s="39">
        <v>337.34</v>
      </c>
      <c r="S185" s="39">
        <v>337.26</v>
      </c>
      <c r="T185" s="52">
        <v>-7.9999999999984084E-2</v>
      </c>
      <c r="U185" s="39">
        <v>195.03873136964788</v>
      </c>
      <c r="V185" s="39">
        <v>115.58527483054735</v>
      </c>
      <c r="W185" s="52">
        <v>-79.453456539100529</v>
      </c>
      <c r="X185" s="39">
        <v>2066.5129284296781</v>
      </c>
      <c r="Y185" s="39">
        <v>1478.0864600650707</v>
      </c>
      <c r="Z185" s="52">
        <v>-588.42646836460744</v>
      </c>
      <c r="AA185" s="39">
        <v>0</v>
      </c>
      <c r="AB185" s="39">
        <v>0</v>
      </c>
      <c r="AC185" s="52">
        <v>0</v>
      </c>
      <c r="AD185" s="39">
        <v>4494.1626176753107</v>
      </c>
      <c r="AE185" s="39">
        <v>3771.1253420192143</v>
      </c>
      <c r="AF185" s="35">
        <v>-723.03727565609643</v>
      </c>
      <c r="AG185" s="77">
        <v>12837.443112702209</v>
      </c>
      <c r="AH185" s="53">
        <v>11168.688143796939</v>
      </c>
      <c r="AI185" s="52">
        <v>-1668.7549689052703</v>
      </c>
      <c r="AJ185" s="39">
        <v>14402.266595894693</v>
      </c>
      <c r="AK185" s="39">
        <v>14208.849299630889</v>
      </c>
      <c r="AL185" s="52">
        <v>-193.41729626380402</v>
      </c>
      <c r="AM185" s="39">
        <v>0</v>
      </c>
      <c r="AN185" s="39">
        <v>0</v>
      </c>
      <c r="AO185" s="52">
        <v>0</v>
      </c>
      <c r="AP185" s="39">
        <v>852.31587860428476</v>
      </c>
      <c r="AQ185" s="39">
        <v>373.36537103073169</v>
      </c>
      <c r="AR185" s="52">
        <v>-478.95050757355307</v>
      </c>
      <c r="AS185" s="39">
        <v>18592.892818995231</v>
      </c>
      <c r="AT185" s="39">
        <v>1243.1701610229052</v>
      </c>
      <c r="AU185" s="54">
        <v>-17349.722657972325</v>
      </c>
      <c r="AV185" s="39">
        <v>323.77807226747711</v>
      </c>
      <c r="AW185" s="39">
        <v>0</v>
      </c>
      <c r="AX185" s="55">
        <v>-323.77807226747711</v>
      </c>
      <c r="AY185" s="39">
        <v>454.89918193382948</v>
      </c>
      <c r="AZ185" s="39">
        <v>1838</v>
      </c>
      <c r="BA185" s="35">
        <v>1383.1008180661706</v>
      </c>
      <c r="BB185" s="39">
        <v>547.50131884064126</v>
      </c>
      <c r="BC185" s="39">
        <v>0</v>
      </c>
      <c r="BD185" s="55">
        <v>-547.50131884064126</v>
      </c>
      <c r="BE185" s="39">
        <v>186.23364705591104</v>
      </c>
      <c r="BF185" s="39">
        <v>0</v>
      </c>
      <c r="BG185" s="38">
        <v>-186.23364705591104</v>
      </c>
      <c r="BH185" s="39">
        <v>98.941812127749259</v>
      </c>
      <c r="BI185" s="39">
        <v>0</v>
      </c>
      <c r="BJ185" s="55">
        <v>-98.941812127749259</v>
      </c>
      <c r="BK185" s="39">
        <v>234.91889578159507</v>
      </c>
      <c r="BL185" s="39">
        <v>0</v>
      </c>
      <c r="BM185" s="38">
        <v>-234.91889578159507</v>
      </c>
      <c r="BN185" s="39">
        <v>0</v>
      </c>
      <c r="BO185" s="39">
        <v>0</v>
      </c>
      <c r="BP185" s="55">
        <v>0</v>
      </c>
      <c r="BQ185" s="77">
        <v>1846.2729280072031</v>
      </c>
      <c r="BR185" s="40">
        <v>1838</v>
      </c>
      <c r="BS185" s="55">
        <v>-8.2729280072030633</v>
      </c>
      <c r="BT185" s="39">
        <v>14318.047733316491</v>
      </c>
      <c r="BU185" s="39">
        <v>3370.2357122968656</v>
      </c>
      <c r="BV185" s="52">
        <v>-10947.812021019625</v>
      </c>
      <c r="BW185" s="39">
        <v>9746.1891562727087</v>
      </c>
      <c r="BX185" s="39">
        <v>9896.0285804730775</v>
      </c>
      <c r="BY185" s="52">
        <v>149.83942420036874</v>
      </c>
      <c r="BZ185" s="39">
        <v>1038.7123617720865</v>
      </c>
      <c r="CA185" s="39">
        <v>13163.21448854803</v>
      </c>
      <c r="CB185" s="52">
        <v>12124.502126775944</v>
      </c>
      <c r="CC185" s="39">
        <v>294.1325384987336</v>
      </c>
      <c r="CD185" s="39">
        <v>290.18289252580337</v>
      </c>
      <c r="CE185" s="52">
        <v>-3.9496459729302273</v>
      </c>
      <c r="CF185" s="39">
        <v>36.209498110639551</v>
      </c>
      <c r="CG185" s="39">
        <v>0</v>
      </c>
      <c r="CH185" s="52">
        <v>-36.209498110639551</v>
      </c>
      <c r="CI185" s="39">
        <v>6039.5214571739953</v>
      </c>
      <c r="CJ185" s="39">
        <v>8266.7803359286718</v>
      </c>
      <c r="CK185" s="52">
        <v>2227.2588787546765</v>
      </c>
      <c r="CL185" s="39">
        <v>1246.5871768009961</v>
      </c>
      <c r="CM185" s="39">
        <v>2788.8177312156822</v>
      </c>
      <c r="CN185" s="52">
        <v>1542.2305544146861</v>
      </c>
      <c r="CO185" s="39">
        <v>7286.1086339749909</v>
      </c>
      <c r="CP185" s="40">
        <v>11055.598067144354</v>
      </c>
      <c r="CQ185" s="52">
        <v>3769.4894331693631</v>
      </c>
      <c r="CR185" s="72">
        <v>81250.591256149259</v>
      </c>
      <c r="CS185" s="5">
        <v>66607.332716469595</v>
      </c>
      <c r="CT185" s="52">
        <v>-14643.258539679664</v>
      </c>
      <c r="CU185" s="77">
        <v>97500.709507379113</v>
      </c>
      <c r="CV185" s="65">
        <v>79928.799259763517</v>
      </c>
      <c r="CW185" s="35">
        <v>-17571.910247615597</v>
      </c>
      <c r="CX185" s="39">
        <v>975.00709507379111</v>
      </c>
      <c r="CY185" s="39">
        <v>18546.91734268939</v>
      </c>
      <c r="CZ185" s="52">
        <v>17571.9102476156</v>
      </c>
      <c r="DA185" s="150">
        <v>130648.48855860482</v>
      </c>
      <c r="DB185" s="2">
        <v>3</v>
      </c>
      <c r="DC185" s="713">
        <v>112337.71</v>
      </c>
      <c r="DD185" s="714"/>
      <c r="DE185" s="715">
        <v>63099.851698773557</v>
      </c>
      <c r="DF185" s="716">
        <v>0</v>
      </c>
      <c r="DG185" s="717">
        <v>133456.23992386635</v>
      </c>
      <c r="DH185" s="718">
        <v>470862.53631117602</v>
      </c>
      <c r="DI185" s="718">
        <v>1181708.5992294347</v>
      </c>
      <c r="DJ185" s="693">
        <v>1003997.08349987</v>
      </c>
      <c r="DK185" s="724"/>
      <c r="DL185" s="5"/>
      <c r="DM185" s="306">
        <v>6.3038884358153524</v>
      </c>
      <c r="DN185" s="306">
        <v>7.9973209930616314</v>
      </c>
      <c r="DO185" s="306">
        <v>5.3673448094976353</v>
      </c>
      <c r="DP185" s="719">
        <v>49237.85830122645</v>
      </c>
      <c r="DQ185" s="720">
        <v>0</v>
      </c>
      <c r="DR185" s="650">
        <v>49237.85830122645</v>
      </c>
      <c r="DS185" s="94">
        <v>49237.85830122645</v>
      </c>
      <c r="DT185" s="719">
        <v>49153.39</v>
      </c>
      <c r="DU185" s="721"/>
      <c r="DV185" s="93">
        <v>49153.39</v>
      </c>
      <c r="DW185" s="95">
        <v>49335.359010733824</v>
      </c>
      <c r="DX185" s="28">
        <v>-181.96901073382469</v>
      </c>
      <c r="EA185" s="5">
        <v>24526.998896402918</v>
      </c>
      <c r="EB185" s="5">
        <v>3697.4041932274858</v>
      </c>
      <c r="EE185" s="722">
        <v>223114.71382794279</v>
      </c>
      <c r="EG185" s="42" t="s">
        <v>371</v>
      </c>
    </row>
    <row r="186" spans="1:137" x14ac:dyDescent="0.3">
      <c r="A186" s="325">
        <v>150000697</v>
      </c>
      <c r="B186" s="41" t="s">
        <v>655</v>
      </c>
      <c r="C186" s="42" t="s">
        <v>266</v>
      </c>
      <c r="D186" s="27">
        <v>5</v>
      </c>
      <c r="E186" s="709">
        <v>2744.3</v>
      </c>
      <c r="F186" s="723">
        <v>2744.3</v>
      </c>
      <c r="G186" s="28"/>
      <c r="H186" s="651">
        <v>0</v>
      </c>
      <c r="I186" s="39">
        <v>1778.0570670174257</v>
      </c>
      <c r="J186" s="39">
        <v>1684.4462240027226</v>
      </c>
      <c r="K186" s="52">
        <v>-93.61084301470305</v>
      </c>
      <c r="L186" s="39">
        <v>444.83095775578329</v>
      </c>
      <c r="M186" s="39">
        <v>384.95548608998763</v>
      </c>
      <c r="N186" s="52">
        <v>-59.875471665795658</v>
      </c>
      <c r="O186" s="39">
        <v>676.42</v>
      </c>
      <c r="P186" s="39">
        <v>676.5</v>
      </c>
      <c r="Q186" s="52">
        <v>8.0000000000040927E-2</v>
      </c>
      <c r="R186" s="39">
        <v>161.44</v>
      </c>
      <c r="S186" s="39">
        <v>161.46</v>
      </c>
      <c r="T186" s="52">
        <v>2.0000000000010232E-2</v>
      </c>
      <c r="U186" s="39">
        <v>118.22581795543685</v>
      </c>
      <c r="V186" s="39">
        <v>70.064077109113384</v>
      </c>
      <c r="W186" s="52">
        <v>-48.161740846323468</v>
      </c>
      <c r="X186" s="39">
        <v>1327.5722267365047</v>
      </c>
      <c r="Y186" s="39">
        <v>947.5433147653298</v>
      </c>
      <c r="Z186" s="52">
        <v>-380.02891197117492</v>
      </c>
      <c r="AA186" s="39">
        <v>0</v>
      </c>
      <c r="AB186" s="39">
        <v>0</v>
      </c>
      <c r="AC186" s="52">
        <v>0</v>
      </c>
      <c r="AD186" s="39">
        <v>1955.6940794286343</v>
      </c>
      <c r="AE186" s="39">
        <v>1641.0548819849344</v>
      </c>
      <c r="AF186" s="35">
        <v>-314.63919744369991</v>
      </c>
      <c r="AG186" s="77">
        <v>6462.2401488937849</v>
      </c>
      <c r="AH186" s="53">
        <v>5566.0239839520882</v>
      </c>
      <c r="AI186" s="52">
        <v>-896.21616494169666</v>
      </c>
      <c r="AJ186" s="39">
        <v>0</v>
      </c>
      <c r="AK186" s="39">
        <v>0</v>
      </c>
      <c r="AL186" s="52">
        <v>0</v>
      </c>
      <c r="AM186" s="39">
        <v>0</v>
      </c>
      <c r="AN186" s="39">
        <v>0</v>
      </c>
      <c r="AO186" s="52">
        <v>0</v>
      </c>
      <c r="AP186" s="39">
        <v>473.50882144682487</v>
      </c>
      <c r="AQ186" s="39">
        <v>0</v>
      </c>
      <c r="AR186" s="52">
        <v>-473.50882144682487</v>
      </c>
      <c r="AS186" s="39">
        <v>8191.5701476768691</v>
      </c>
      <c r="AT186" s="39">
        <v>1420</v>
      </c>
      <c r="AU186" s="54">
        <v>-6771.5701476768691</v>
      </c>
      <c r="AV186" s="39">
        <v>297.77636292708985</v>
      </c>
      <c r="AW186" s="39">
        <v>0</v>
      </c>
      <c r="AX186" s="55">
        <v>-297.77636292708985</v>
      </c>
      <c r="AY186" s="39">
        <v>573.36085687710136</v>
      </c>
      <c r="AZ186" s="39">
        <v>0</v>
      </c>
      <c r="BA186" s="35">
        <v>-573.36085687710136</v>
      </c>
      <c r="BB186" s="39">
        <v>247.03479876144331</v>
      </c>
      <c r="BC186" s="39">
        <v>0</v>
      </c>
      <c r="BD186" s="55">
        <v>-247.03479876144331</v>
      </c>
      <c r="BE186" s="39">
        <v>169.24387227042521</v>
      </c>
      <c r="BF186" s="39">
        <v>2881</v>
      </c>
      <c r="BG186" s="38">
        <v>2711.7561277295749</v>
      </c>
      <c r="BH186" s="39">
        <v>119.94714023874553</v>
      </c>
      <c r="BI186" s="39">
        <v>0</v>
      </c>
      <c r="BJ186" s="55">
        <v>-119.94714023874553</v>
      </c>
      <c r="BK186" s="39">
        <v>179.8175182931152</v>
      </c>
      <c r="BL186" s="39">
        <v>0</v>
      </c>
      <c r="BM186" s="38">
        <v>-179.8175182931152</v>
      </c>
      <c r="BN186" s="39">
        <v>0</v>
      </c>
      <c r="BO186" s="39">
        <v>0</v>
      </c>
      <c r="BP186" s="55">
        <v>0</v>
      </c>
      <c r="BQ186" s="77">
        <v>1587.1805493679205</v>
      </c>
      <c r="BR186" s="40">
        <v>2881</v>
      </c>
      <c r="BS186" s="55">
        <v>1293.8194506320795</v>
      </c>
      <c r="BT186" s="39">
        <v>4408.3255244416896</v>
      </c>
      <c r="BU186" s="39">
        <v>1207.7301358393754</v>
      </c>
      <c r="BV186" s="52">
        <v>-3200.5953886023144</v>
      </c>
      <c r="BW186" s="39">
        <v>3030.6388628691693</v>
      </c>
      <c r="BX186" s="39">
        <v>2812.1474591196734</v>
      </c>
      <c r="BY186" s="52">
        <v>-218.49140374949593</v>
      </c>
      <c r="BZ186" s="39">
        <v>874.84810644422237</v>
      </c>
      <c r="CA186" s="39">
        <v>4710.4161978693483</v>
      </c>
      <c r="CB186" s="52">
        <v>3835.5680914251261</v>
      </c>
      <c r="CC186" s="39">
        <v>269.62149362383911</v>
      </c>
      <c r="CD186" s="39">
        <v>266.00098481531973</v>
      </c>
      <c r="CE186" s="52">
        <v>-3.6205088085193893</v>
      </c>
      <c r="CF186" s="39">
        <v>33.19203993475292</v>
      </c>
      <c r="CG186" s="39">
        <v>0</v>
      </c>
      <c r="CH186" s="52">
        <v>-33.19203993475292</v>
      </c>
      <c r="CI186" s="39">
        <v>1428.7710885256663</v>
      </c>
      <c r="CJ186" s="39">
        <v>1500.6332795271505</v>
      </c>
      <c r="CK186" s="52">
        <v>71.862191001484234</v>
      </c>
      <c r="CL186" s="39">
        <v>0</v>
      </c>
      <c r="CM186" s="39">
        <v>0</v>
      </c>
      <c r="CN186" s="52">
        <v>0</v>
      </c>
      <c r="CO186" s="39">
        <v>1428.7710885256663</v>
      </c>
      <c r="CP186" s="40">
        <v>1500.6332795271505</v>
      </c>
      <c r="CQ186" s="52">
        <v>71.862191001484234</v>
      </c>
      <c r="CR186" s="72">
        <v>26759.896783224747</v>
      </c>
      <c r="CS186" s="5">
        <v>20363.952041122957</v>
      </c>
      <c r="CT186" s="52">
        <v>-6395.9447421017903</v>
      </c>
      <c r="CU186" s="77">
        <v>32111.876139869695</v>
      </c>
      <c r="CV186" s="65">
        <v>24436.742449347548</v>
      </c>
      <c r="CW186" s="35">
        <v>-7675.1336905221469</v>
      </c>
      <c r="CX186" s="39">
        <v>1605.5938069934848</v>
      </c>
      <c r="CY186" s="39">
        <v>9280.7274975156342</v>
      </c>
      <c r="CZ186" s="52">
        <v>7675.1336905221497</v>
      </c>
      <c r="DA186" s="150">
        <v>-130816.632211416</v>
      </c>
      <c r="DB186" s="2">
        <v>3</v>
      </c>
      <c r="DC186" s="713">
        <v>46894.9</v>
      </c>
      <c r="DD186" s="714"/>
      <c r="DE186" s="715">
        <v>30036.165026568411</v>
      </c>
      <c r="DF186" s="716">
        <v>0</v>
      </c>
      <c r="DG186" s="717">
        <v>-61925.65418756556</v>
      </c>
      <c r="DH186" s="718">
        <v>167906.74910340487</v>
      </c>
      <c r="DI186" s="718">
        <v>404609.63936235814</v>
      </c>
      <c r="DJ186" s="693">
        <v>345433.91679761978</v>
      </c>
      <c r="DK186" s="724"/>
      <c r="DL186" s="5"/>
      <c r="DM186" s="306">
        <v>6.1431822225819293</v>
      </c>
      <c r="DN186" s="306"/>
      <c r="DO186" s="306">
        <v>5.4474483437758305</v>
      </c>
      <c r="DP186" s="719">
        <v>16858.73497343159</v>
      </c>
      <c r="DQ186" s="720">
        <v>0</v>
      </c>
      <c r="DR186" s="650">
        <v>16858.73497343159</v>
      </c>
      <c r="DS186" s="94">
        <v>16858.73497343159</v>
      </c>
      <c r="DT186" s="719">
        <v>16858.759999999998</v>
      </c>
      <c r="DU186" s="721"/>
      <c r="DV186" s="93">
        <v>16858.759999999998</v>
      </c>
      <c r="DW186" s="95">
        <v>17019.29435413094</v>
      </c>
      <c r="DX186" s="28">
        <v>-160.53435413094121</v>
      </c>
      <c r="EA186" s="5">
        <v>11734.500836453748</v>
      </c>
      <c r="EB186" s="5">
        <v>5161.2</v>
      </c>
      <c r="EE186" s="722">
        <v>98298.841772122425</v>
      </c>
      <c r="EG186" s="42" t="s">
        <v>266</v>
      </c>
    </row>
    <row r="187" spans="1:137" x14ac:dyDescent="0.3">
      <c r="A187" s="325">
        <v>150000694</v>
      </c>
      <c r="B187" s="41" t="s">
        <v>656</v>
      </c>
      <c r="C187" s="42" t="s">
        <v>372</v>
      </c>
      <c r="D187" s="27">
        <v>9</v>
      </c>
      <c r="E187" s="709">
        <v>6138.38</v>
      </c>
      <c r="F187" s="723">
        <v>6138.38</v>
      </c>
      <c r="G187" s="28">
        <v>688.06</v>
      </c>
      <c r="H187" s="651">
        <v>0</v>
      </c>
      <c r="I187" s="39">
        <v>3696.2005892890193</v>
      </c>
      <c r="J187" s="39">
        <v>3510.2225254207538</v>
      </c>
      <c r="K187" s="52">
        <v>-185.97806386826551</v>
      </c>
      <c r="L187" s="39">
        <v>687.71345267885329</v>
      </c>
      <c r="M187" s="39">
        <v>595.14459573446527</v>
      </c>
      <c r="N187" s="52">
        <v>-92.568856944388017</v>
      </c>
      <c r="O187" s="39">
        <v>1325.06</v>
      </c>
      <c r="P187" s="39">
        <v>1324.86</v>
      </c>
      <c r="Q187" s="52">
        <v>-0.20000000000004547</v>
      </c>
      <c r="R187" s="39">
        <v>323.04000000000002</v>
      </c>
      <c r="S187" s="39">
        <v>323.27999999999997</v>
      </c>
      <c r="T187" s="52">
        <v>0.23999999999995225</v>
      </c>
      <c r="U187" s="39">
        <v>195.03873136964788</v>
      </c>
      <c r="V187" s="39">
        <v>115.58527483054735</v>
      </c>
      <c r="W187" s="52">
        <v>-79.453456539100529</v>
      </c>
      <c r="X187" s="39">
        <v>2062.2996755049794</v>
      </c>
      <c r="Y187" s="39">
        <v>1474.6466926118983</v>
      </c>
      <c r="Z187" s="52">
        <v>-587.65298289308112</v>
      </c>
      <c r="AA187" s="39">
        <v>0</v>
      </c>
      <c r="AB187" s="39">
        <v>0</v>
      </c>
      <c r="AC187" s="52">
        <v>0</v>
      </c>
      <c r="AD187" s="39">
        <v>4374.446461131487</v>
      </c>
      <c r="AE187" s="39">
        <v>3670.6695574385749</v>
      </c>
      <c r="AF187" s="35">
        <v>-703.77690369291213</v>
      </c>
      <c r="AG187" s="77">
        <v>12663.798909973988</v>
      </c>
      <c r="AH187" s="53">
        <v>11014.408646036238</v>
      </c>
      <c r="AI187" s="52">
        <v>-1649.3902639377502</v>
      </c>
      <c r="AJ187" s="39">
        <v>14402.266595894693</v>
      </c>
      <c r="AK187" s="39">
        <v>14208.849299630889</v>
      </c>
      <c r="AL187" s="52">
        <v>-193.41729626380402</v>
      </c>
      <c r="AM187" s="39">
        <v>0</v>
      </c>
      <c r="AN187" s="39">
        <v>0</v>
      </c>
      <c r="AO187" s="52">
        <v>0</v>
      </c>
      <c r="AP187" s="39">
        <v>852.31587860428476</v>
      </c>
      <c r="AQ187" s="39">
        <v>373.36537103073169</v>
      </c>
      <c r="AR187" s="52">
        <v>-478.95050757355307</v>
      </c>
      <c r="AS187" s="39">
        <v>19508.831416694451</v>
      </c>
      <c r="AT187" s="39">
        <v>3468.942433624266</v>
      </c>
      <c r="AU187" s="54">
        <v>-16039.888983070185</v>
      </c>
      <c r="AV187" s="39">
        <v>323.58965322690381</v>
      </c>
      <c r="AW187" s="39">
        <v>0</v>
      </c>
      <c r="AX187" s="55">
        <v>-323.58965322690381</v>
      </c>
      <c r="AY187" s="39">
        <v>454.66614417503911</v>
      </c>
      <c r="AZ187" s="39">
        <v>0</v>
      </c>
      <c r="BA187" s="35">
        <v>-454.66614417503911</v>
      </c>
      <c r="BB187" s="39">
        <v>530.89323843394777</v>
      </c>
      <c r="BC187" s="39">
        <v>0</v>
      </c>
      <c r="BD187" s="55">
        <v>-530.89323843394777</v>
      </c>
      <c r="BE187" s="39">
        <v>179.5277080876393</v>
      </c>
      <c r="BF187" s="39">
        <v>0</v>
      </c>
      <c r="BG187" s="38">
        <v>-179.5277080876393</v>
      </c>
      <c r="BH187" s="39">
        <v>98.941812127749259</v>
      </c>
      <c r="BI187" s="39">
        <v>0</v>
      </c>
      <c r="BJ187" s="55">
        <v>-98.941812127749259</v>
      </c>
      <c r="BK187" s="39">
        <v>229.74257394823968</v>
      </c>
      <c r="BL187" s="39">
        <v>0</v>
      </c>
      <c r="BM187" s="38">
        <v>-229.74257394823968</v>
      </c>
      <c r="BN187" s="39">
        <v>0</v>
      </c>
      <c r="BO187" s="39">
        <v>0</v>
      </c>
      <c r="BP187" s="55">
        <v>0</v>
      </c>
      <c r="BQ187" s="77">
        <v>1817.3611299995187</v>
      </c>
      <c r="BR187" s="40">
        <v>0</v>
      </c>
      <c r="BS187" s="55">
        <v>-1817.3611299995187</v>
      </c>
      <c r="BT187" s="39">
        <v>10537.498655378708</v>
      </c>
      <c r="BU187" s="39">
        <v>2635.6112001236588</v>
      </c>
      <c r="BV187" s="52">
        <v>-7901.8874552550487</v>
      </c>
      <c r="BW187" s="39">
        <v>9681.9672079739248</v>
      </c>
      <c r="BX187" s="39">
        <v>9828.8392647818437</v>
      </c>
      <c r="BY187" s="52">
        <v>146.87205680791885</v>
      </c>
      <c r="BZ187" s="39">
        <v>1038.7123617720865</v>
      </c>
      <c r="CA187" s="39">
        <v>10330.646599235723</v>
      </c>
      <c r="CB187" s="52">
        <v>9291.9342374636362</v>
      </c>
      <c r="CC187" s="39">
        <v>294.1325384987336</v>
      </c>
      <c r="CD187" s="39">
        <v>290.18289252580337</v>
      </c>
      <c r="CE187" s="52">
        <v>-3.9496459729302273</v>
      </c>
      <c r="CF187" s="39">
        <v>36.209498110639551</v>
      </c>
      <c r="CG187" s="39">
        <v>0</v>
      </c>
      <c r="CH187" s="52">
        <v>-36.209498110639551</v>
      </c>
      <c r="CI187" s="39">
        <v>1965.3401436051738</v>
      </c>
      <c r="CJ187" s="39">
        <v>2322.6240615341158</v>
      </c>
      <c r="CK187" s="52">
        <v>357.28391792894195</v>
      </c>
      <c r="CL187" s="39">
        <v>2063.6071507854331</v>
      </c>
      <c r="CM187" s="39">
        <v>3484.7047857121197</v>
      </c>
      <c r="CN187" s="52">
        <v>1421.0976349266866</v>
      </c>
      <c r="CO187" s="39">
        <v>4028.9472943906067</v>
      </c>
      <c r="CP187" s="40">
        <v>5807.3288472462355</v>
      </c>
      <c r="CQ187" s="52">
        <v>1778.3815528556288</v>
      </c>
      <c r="CR187" s="72">
        <v>74862.04148729163</v>
      </c>
      <c r="CS187" s="5">
        <v>57958.174554235382</v>
      </c>
      <c r="CT187" s="52">
        <v>-16903.866933056248</v>
      </c>
      <c r="CU187" s="77">
        <v>89834.449784749959</v>
      </c>
      <c r="CV187" s="65">
        <v>69549.80946508245</v>
      </c>
      <c r="CW187" s="35">
        <v>-20284.640319667509</v>
      </c>
      <c r="CX187" s="39">
        <v>898.34449784749961</v>
      </c>
      <c r="CY187" s="39">
        <v>21182.984817514996</v>
      </c>
      <c r="CZ187" s="52">
        <v>20284.640319667498</v>
      </c>
      <c r="DA187" s="150">
        <v>172832.20156296584</v>
      </c>
      <c r="DB187" s="2">
        <v>3</v>
      </c>
      <c r="DC187" s="713">
        <v>115717.17</v>
      </c>
      <c r="DD187" s="714"/>
      <c r="DE187" s="715">
        <v>70350.772858701268</v>
      </c>
      <c r="DF187" s="716">
        <v>0</v>
      </c>
      <c r="DG187" s="717">
        <v>51940.821438521823</v>
      </c>
      <c r="DH187" s="718">
        <v>436771.73677546554</v>
      </c>
      <c r="DI187" s="718">
        <v>1088793.5313911694</v>
      </c>
      <c r="DJ187" s="693">
        <v>925788.0827372435</v>
      </c>
      <c r="DK187" s="724"/>
      <c r="DL187" s="5"/>
      <c r="DM187" s="306">
        <v>5.7650516342765643</v>
      </c>
      <c r="DN187" s="306">
        <v>7.5958284493054347</v>
      </c>
      <c r="DO187" s="306">
        <v>4.8092176637448931</v>
      </c>
      <c r="DP187" s="719">
        <v>45366.397141298723</v>
      </c>
      <c r="DQ187" s="720">
        <v>0</v>
      </c>
      <c r="DR187" s="650">
        <v>45366.397141298723</v>
      </c>
      <c r="DS187" s="94">
        <v>45366.397141298738</v>
      </c>
      <c r="DT187" s="719">
        <v>45375.99</v>
      </c>
      <c r="DU187" s="721"/>
      <c r="DV187" s="93">
        <v>45375.99</v>
      </c>
      <c r="DW187" s="95">
        <v>45456.231591083488</v>
      </c>
      <c r="DX187" s="28">
        <v>-80.241591083489766</v>
      </c>
      <c r="EA187" s="5">
        <v>25591.431056032761</v>
      </c>
      <c r="EB187" s="5">
        <v>4162.7309203491186</v>
      </c>
      <c r="EE187" s="722">
        <v>234105.97700033343</v>
      </c>
      <c r="EG187" s="42" t="s">
        <v>372</v>
      </c>
    </row>
    <row r="188" spans="1:137" x14ac:dyDescent="0.3">
      <c r="A188" s="325">
        <v>150000695</v>
      </c>
      <c r="B188" s="41" t="s">
        <v>657</v>
      </c>
      <c r="C188" s="42" t="s">
        <v>373</v>
      </c>
      <c r="D188" s="27">
        <v>9</v>
      </c>
      <c r="E188" s="709">
        <v>6304.12</v>
      </c>
      <c r="F188" s="723">
        <v>6304.12</v>
      </c>
      <c r="G188" s="28">
        <v>695.2</v>
      </c>
      <c r="H188" s="651">
        <v>0</v>
      </c>
      <c r="I188" s="39">
        <v>3701.1643116310679</v>
      </c>
      <c r="J188" s="39">
        <v>3515.5999857027828</v>
      </c>
      <c r="K188" s="52">
        <v>-185.56432592828514</v>
      </c>
      <c r="L188" s="39">
        <v>642.19348625192868</v>
      </c>
      <c r="M188" s="39">
        <v>555.75280929754081</v>
      </c>
      <c r="N188" s="52">
        <v>-86.440676954387868</v>
      </c>
      <c r="O188" s="39">
        <v>1358.34</v>
      </c>
      <c r="P188" s="39">
        <v>1358.58</v>
      </c>
      <c r="Q188" s="52">
        <v>0.24000000000000909</v>
      </c>
      <c r="R188" s="39">
        <v>337.34</v>
      </c>
      <c r="S188" s="39">
        <v>337.28</v>
      </c>
      <c r="T188" s="52">
        <v>-6.0000000000002274E-2</v>
      </c>
      <c r="U188" s="39">
        <v>195.03873136964788</v>
      </c>
      <c r="V188" s="39">
        <v>115.58527483054735</v>
      </c>
      <c r="W188" s="52">
        <v>-79.453456539100529</v>
      </c>
      <c r="X188" s="39">
        <v>2079.5286002385078</v>
      </c>
      <c r="Y188" s="39">
        <v>1483.1653666265706</v>
      </c>
      <c r="Z188" s="52">
        <v>-596.36323361193718</v>
      </c>
      <c r="AA188" s="39">
        <v>0</v>
      </c>
      <c r="AB188" s="39">
        <v>0</v>
      </c>
      <c r="AC188" s="52">
        <v>0</v>
      </c>
      <c r="AD188" s="39">
        <v>4492.5591808503596</v>
      </c>
      <c r="AE188" s="39">
        <v>3769.7798719596485</v>
      </c>
      <c r="AF188" s="35">
        <v>-722.77930889071104</v>
      </c>
      <c r="AG188" s="77">
        <v>12806.164310341512</v>
      </c>
      <c r="AH188" s="53">
        <v>11135.74330841709</v>
      </c>
      <c r="AI188" s="52">
        <v>-1670.4210019244219</v>
      </c>
      <c r="AJ188" s="39">
        <v>12475.431075511171</v>
      </c>
      <c r="AK188" s="39">
        <v>12307.887550957308</v>
      </c>
      <c r="AL188" s="52">
        <v>-167.54352455386288</v>
      </c>
      <c r="AM188" s="39">
        <v>0</v>
      </c>
      <c r="AN188" s="39">
        <v>129.91419040372483</v>
      </c>
      <c r="AO188" s="52">
        <v>129.91419040372483</v>
      </c>
      <c r="AP188" s="39">
        <v>852.31587860428476</v>
      </c>
      <c r="AQ188" s="39">
        <v>280.02402827304877</v>
      </c>
      <c r="AR188" s="52">
        <v>-572.29185033123599</v>
      </c>
      <c r="AS188" s="39">
        <v>18775.294033528022</v>
      </c>
      <c r="AT188" s="39">
        <v>9476.5821411229153</v>
      </c>
      <c r="AU188" s="54">
        <v>-9298.7118924051065</v>
      </c>
      <c r="AV188" s="39">
        <v>259.31682263898614</v>
      </c>
      <c r="AW188" s="39">
        <v>0</v>
      </c>
      <c r="AX188" s="55">
        <v>-259.31682263898614</v>
      </c>
      <c r="AY188" s="39">
        <v>350.53630385809657</v>
      </c>
      <c r="AZ188" s="39">
        <v>0</v>
      </c>
      <c r="BA188" s="35">
        <v>-350.53630385809657</v>
      </c>
      <c r="BB188" s="39">
        <v>438.00105507251305</v>
      </c>
      <c r="BC188" s="39">
        <v>0</v>
      </c>
      <c r="BD188" s="55">
        <v>-438.00105507251305</v>
      </c>
      <c r="BE188" s="39">
        <v>148.98691764472883</v>
      </c>
      <c r="BF188" s="39">
        <v>0</v>
      </c>
      <c r="BG188" s="38">
        <v>-148.98691764472883</v>
      </c>
      <c r="BH188" s="39">
        <v>79.153449702199396</v>
      </c>
      <c r="BI188" s="39">
        <v>0</v>
      </c>
      <c r="BJ188" s="55">
        <v>-79.153449702199396</v>
      </c>
      <c r="BK188" s="39">
        <v>186.96012202314108</v>
      </c>
      <c r="BL188" s="39">
        <v>0</v>
      </c>
      <c r="BM188" s="38">
        <v>-186.96012202314108</v>
      </c>
      <c r="BN188" s="39">
        <v>0</v>
      </c>
      <c r="BO188" s="39">
        <v>0</v>
      </c>
      <c r="BP188" s="55">
        <v>0</v>
      </c>
      <c r="BQ188" s="77">
        <v>1462.9546709396652</v>
      </c>
      <c r="BR188" s="40">
        <v>0</v>
      </c>
      <c r="BS188" s="55">
        <v>-1462.9546709396652</v>
      </c>
      <c r="BT188" s="39">
        <v>13577.646893884415</v>
      </c>
      <c r="BU188" s="39">
        <v>3192.9029984032609</v>
      </c>
      <c r="BV188" s="52">
        <v>-10384.743895481155</v>
      </c>
      <c r="BW188" s="39">
        <v>9995.7192303169813</v>
      </c>
      <c r="BX188" s="39">
        <v>10150.066474975229</v>
      </c>
      <c r="BY188" s="52">
        <v>154.34724465824729</v>
      </c>
      <c r="BZ188" s="39">
        <v>1038.7123617720865</v>
      </c>
      <c r="CA188" s="39">
        <v>12849.297038226397</v>
      </c>
      <c r="CB188" s="52">
        <v>11810.584676454311</v>
      </c>
      <c r="CC188" s="39">
        <v>294.1325384987336</v>
      </c>
      <c r="CD188" s="39">
        <v>290.18289252580337</v>
      </c>
      <c r="CE188" s="52">
        <v>-3.9496459729302273</v>
      </c>
      <c r="CF188" s="39">
        <v>36.209498110639551</v>
      </c>
      <c r="CG188" s="39">
        <v>0</v>
      </c>
      <c r="CH188" s="52">
        <v>-36.209498110639551</v>
      </c>
      <c r="CI188" s="39">
        <v>3178.8596925931306</v>
      </c>
      <c r="CJ188" s="39">
        <v>5013.2858559449978</v>
      </c>
      <c r="CK188" s="52">
        <v>1834.4261633518672</v>
      </c>
      <c r="CL188" s="39">
        <v>4772.9689201839947</v>
      </c>
      <c r="CM188" s="39">
        <v>7519.1600905065516</v>
      </c>
      <c r="CN188" s="52">
        <v>2746.1911703225569</v>
      </c>
      <c r="CO188" s="39">
        <v>7951.8286127771253</v>
      </c>
      <c r="CP188" s="40">
        <v>12532.445946451549</v>
      </c>
      <c r="CQ188" s="52">
        <v>4580.6173336744241</v>
      </c>
      <c r="CR188" s="72">
        <v>79266.409104284641</v>
      </c>
      <c r="CS188" s="5">
        <v>72345.04656975632</v>
      </c>
      <c r="CT188" s="52">
        <v>-6921.3625345283217</v>
      </c>
      <c r="CU188" s="77">
        <v>95119.690925141564</v>
      </c>
      <c r="CV188" s="65">
        <v>86814.055883707581</v>
      </c>
      <c r="CW188" s="35">
        <v>-8305.6350414339831</v>
      </c>
      <c r="CX188" s="39">
        <v>2377.9922731285392</v>
      </c>
      <c r="CY188" s="39">
        <v>10683.627314562509</v>
      </c>
      <c r="CZ188" s="52">
        <v>8305.6350414339704</v>
      </c>
      <c r="DA188" s="150">
        <v>-44322.987807214216</v>
      </c>
      <c r="DB188" s="2">
        <v>3</v>
      </c>
      <c r="DC188" s="713">
        <v>107481.05</v>
      </c>
      <c r="DD188" s="714"/>
      <c r="DE188" s="715">
        <v>58732.208400864954</v>
      </c>
      <c r="DF188" s="716">
        <v>0</v>
      </c>
      <c r="DG188" s="717">
        <v>17714.843340028601</v>
      </c>
      <c r="DH188" s="718">
        <v>465962.23264791002</v>
      </c>
      <c r="DI188" s="718">
        <v>1169972.1983792412</v>
      </c>
      <c r="DJ188" s="693">
        <v>993969.70694640838</v>
      </c>
      <c r="DK188" s="724"/>
      <c r="DL188" s="5"/>
      <c r="DM188" s="306">
        <v>6.0501823572175848</v>
      </c>
      <c r="DN188" s="306">
        <v>7.9414138237659628</v>
      </c>
      <c r="DO188" s="306">
        <v>5.0750474729442931</v>
      </c>
      <c r="DP188" s="719">
        <v>48748.841599135048</v>
      </c>
      <c r="DQ188" s="720">
        <v>0</v>
      </c>
      <c r="DR188" s="650">
        <v>48748.841599135048</v>
      </c>
      <c r="DS188" s="94">
        <v>48748.841599135048</v>
      </c>
      <c r="DT188" s="719">
        <v>48758</v>
      </c>
      <c r="DU188" s="721"/>
      <c r="DV188" s="93">
        <v>48758</v>
      </c>
      <c r="DW188" s="95">
        <v>48986.640826447903</v>
      </c>
      <c r="DX188" s="28">
        <v>-228.64082644790324</v>
      </c>
      <c r="EA188" s="5">
        <v>24285.898445361221</v>
      </c>
      <c r="EB188" s="5">
        <v>11371.898569347499</v>
      </c>
      <c r="EE188" s="722">
        <v>225303.52840233626</v>
      </c>
      <c r="EG188" s="42" t="s">
        <v>373</v>
      </c>
    </row>
    <row r="189" spans="1:137" x14ac:dyDescent="0.3">
      <c r="A189" s="325">
        <v>150000699</v>
      </c>
      <c r="B189" s="41" t="s">
        <v>659</v>
      </c>
      <c r="C189" s="42" t="s">
        <v>374</v>
      </c>
      <c r="D189" s="27">
        <v>9</v>
      </c>
      <c r="E189" s="709">
        <v>4191.3999999999996</v>
      </c>
      <c r="F189" s="723">
        <v>4191.3999999999996</v>
      </c>
      <c r="G189" s="28">
        <v>468.7</v>
      </c>
      <c r="H189" s="651">
        <v>0</v>
      </c>
      <c r="I189" s="39">
        <v>2191.4050820489592</v>
      </c>
      <c r="J189" s="39">
        <v>2082.8921743755654</v>
      </c>
      <c r="K189" s="52">
        <v>-108.51290767339378</v>
      </c>
      <c r="L189" s="39">
        <v>289.83064804141583</v>
      </c>
      <c r="M189" s="39">
        <v>250.81855784377578</v>
      </c>
      <c r="N189" s="52">
        <v>-39.012090197640049</v>
      </c>
      <c r="O189" s="39">
        <v>910.42</v>
      </c>
      <c r="P189" s="39">
        <v>910.76</v>
      </c>
      <c r="Q189" s="52">
        <v>0.34000000000003183</v>
      </c>
      <c r="R189" s="39">
        <v>219.08</v>
      </c>
      <c r="S189" s="39">
        <v>219.3</v>
      </c>
      <c r="T189" s="52">
        <v>0.21999999999999886</v>
      </c>
      <c r="U189" s="39">
        <v>130.00964065633656</v>
      </c>
      <c r="V189" s="39">
        <v>77.047110649179317</v>
      </c>
      <c r="W189" s="52">
        <v>-52.962530007157241</v>
      </c>
      <c r="X189" s="39">
        <v>1009.1417827583608</v>
      </c>
      <c r="Y189" s="39">
        <v>763.81822765967433</v>
      </c>
      <c r="Z189" s="52">
        <v>-245.32355509868648</v>
      </c>
      <c r="AA189" s="39">
        <v>0</v>
      </c>
      <c r="AB189" s="39">
        <v>0</v>
      </c>
      <c r="AC189" s="52">
        <v>0</v>
      </c>
      <c r="AD189" s="39">
        <v>2986.9533813785579</v>
      </c>
      <c r="AE189" s="39">
        <v>2506.4014256282671</v>
      </c>
      <c r="AF189" s="35">
        <v>-480.55195575029074</v>
      </c>
      <c r="AG189" s="77">
        <v>7736.8405348836295</v>
      </c>
      <c r="AH189" s="53">
        <v>6811.0374961564612</v>
      </c>
      <c r="AI189" s="52">
        <v>-925.80303872716831</v>
      </c>
      <c r="AJ189" s="39">
        <v>2090.1236447864553</v>
      </c>
      <c r="AK189" s="39">
        <v>2062.0572211303297</v>
      </c>
      <c r="AL189" s="52">
        <v>-28.066423656125608</v>
      </c>
      <c r="AM189" s="39">
        <v>0</v>
      </c>
      <c r="AN189" s="39">
        <v>0</v>
      </c>
      <c r="AO189" s="52">
        <v>0</v>
      </c>
      <c r="AP189" s="39">
        <v>1349.5001411234509</v>
      </c>
      <c r="AQ189" s="39">
        <v>0</v>
      </c>
      <c r="AR189" s="52">
        <v>-1349.5001411234509</v>
      </c>
      <c r="AS189" s="39">
        <v>9891.6284381155456</v>
      </c>
      <c r="AT189" s="39">
        <v>12359.859703536986</v>
      </c>
      <c r="AU189" s="54">
        <v>2468.2312654214402</v>
      </c>
      <c r="AV189" s="39">
        <v>173.0252149111553</v>
      </c>
      <c r="AW189" s="39">
        <v>0</v>
      </c>
      <c r="AX189" s="55">
        <v>-173.0252149111553</v>
      </c>
      <c r="AY189" s="39">
        <v>190.6065330224925</v>
      </c>
      <c r="AZ189" s="39">
        <v>0</v>
      </c>
      <c r="BA189" s="35">
        <v>-190.6065330224925</v>
      </c>
      <c r="BB189" s="39">
        <v>347.57607156084669</v>
      </c>
      <c r="BC189" s="39">
        <v>0</v>
      </c>
      <c r="BD189" s="55">
        <v>-347.57607156084669</v>
      </c>
      <c r="BE189" s="39">
        <v>135.57212084364016</v>
      </c>
      <c r="BF189" s="39">
        <v>4660</v>
      </c>
      <c r="BG189" s="38">
        <v>4524.4278791563602</v>
      </c>
      <c r="BH189" s="39">
        <v>65.961235315382794</v>
      </c>
      <c r="BI189" s="39">
        <v>0</v>
      </c>
      <c r="BJ189" s="55">
        <v>-65.961235315382794</v>
      </c>
      <c r="BK189" s="39">
        <v>162.82689024297548</v>
      </c>
      <c r="BL189" s="39">
        <v>0</v>
      </c>
      <c r="BM189" s="38">
        <v>-162.82689024297548</v>
      </c>
      <c r="BN189" s="39">
        <v>0</v>
      </c>
      <c r="BO189" s="39">
        <v>0</v>
      </c>
      <c r="BP189" s="55">
        <v>0</v>
      </c>
      <c r="BQ189" s="77">
        <v>1075.568065896493</v>
      </c>
      <c r="BR189" s="40">
        <v>4660</v>
      </c>
      <c r="BS189" s="55">
        <v>3584.431934103507</v>
      </c>
      <c r="BT189" s="39">
        <v>7416.1887362632224</v>
      </c>
      <c r="BU189" s="39">
        <v>1189.974973505005</v>
      </c>
      <c r="BV189" s="52">
        <v>-6226.2137627582179</v>
      </c>
      <c r="BW189" s="39">
        <v>9290.8720135918593</v>
      </c>
      <c r="BX189" s="39">
        <v>5116.1289063691856</v>
      </c>
      <c r="BY189" s="52">
        <v>-4174.7431072226736</v>
      </c>
      <c r="BZ189" s="39">
        <v>1111.7173069381831</v>
      </c>
      <c r="CA189" s="39">
        <v>5099.8335143288077</v>
      </c>
      <c r="CB189" s="52">
        <v>3988.1162073906244</v>
      </c>
      <c r="CC189" s="39">
        <v>289.23032952375473</v>
      </c>
      <c r="CD189" s="39">
        <v>285.34651098370659</v>
      </c>
      <c r="CE189" s="52">
        <v>-3.8838185400481393</v>
      </c>
      <c r="CF189" s="39">
        <v>35.606006475462223</v>
      </c>
      <c r="CG189" s="39">
        <v>0</v>
      </c>
      <c r="CH189" s="52">
        <v>-35.606006475462223</v>
      </c>
      <c r="CI189" s="39">
        <v>3702.9503975545108</v>
      </c>
      <c r="CJ189" s="39">
        <v>4432.8051426319898</v>
      </c>
      <c r="CK189" s="52">
        <v>729.85474507747904</v>
      </c>
      <c r="CL189" s="39">
        <v>1406.9339758189421</v>
      </c>
      <c r="CM189" s="39">
        <v>1391.464196666931</v>
      </c>
      <c r="CN189" s="52">
        <v>-15.469779152011142</v>
      </c>
      <c r="CO189" s="39">
        <v>5109.8843733734529</v>
      </c>
      <c r="CP189" s="40">
        <v>5824.2693392989204</v>
      </c>
      <c r="CQ189" s="52">
        <v>714.38496592546744</v>
      </c>
      <c r="CR189" s="72">
        <v>45397.159590971511</v>
      </c>
      <c r="CS189" s="5">
        <v>43408.5076653094</v>
      </c>
      <c r="CT189" s="52">
        <v>-1988.6519256621104</v>
      </c>
      <c r="CU189" s="77">
        <v>54476.59150916581</v>
      </c>
      <c r="CV189" s="65">
        <v>52090.209198371282</v>
      </c>
      <c r="CW189" s="35">
        <v>-2386.3823107945282</v>
      </c>
      <c r="CX189" s="39">
        <v>817.1488726374871</v>
      </c>
      <c r="CY189" s="39">
        <v>3203.5311834320091</v>
      </c>
      <c r="CZ189" s="52">
        <v>2386.3823107945218</v>
      </c>
      <c r="DA189" s="150">
        <v>262964.92638919305</v>
      </c>
      <c r="DB189" s="2">
        <v>3</v>
      </c>
      <c r="DC189" s="713">
        <v>73810.98</v>
      </c>
      <c r="DD189" s="714"/>
      <c r="DE189" s="715">
        <v>46164.109809098343</v>
      </c>
      <c r="DF189" s="716">
        <v>0</v>
      </c>
      <c r="DG189" s="717">
        <v>265409.97742095322</v>
      </c>
      <c r="DH189" s="718">
        <v>270837.12082432379</v>
      </c>
      <c r="DI189" s="718">
        <v>663524.88458163955</v>
      </c>
      <c r="DJ189" s="693">
        <v>565352.94364231057</v>
      </c>
      <c r="DK189" s="724"/>
      <c r="DL189" s="5"/>
      <c r="DM189" s="306">
        <v>6.0879806508452941</v>
      </c>
      <c r="DN189" s="306">
        <v>6.6600676014318809</v>
      </c>
      <c r="DO189" s="306">
        <v>4.7380400447763327</v>
      </c>
      <c r="DP189" s="719">
        <v>27646.870190901653</v>
      </c>
      <c r="DQ189" s="720">
        <v>0</v>
      </c>
      <c r="DR189" s="650">
        <v>27646.870190901653</v>
      </c>
      <c r="DS189" s="94">
        <v>27646.870190901645</v>
      </c>
      <c r="DT189" s="719">
        <v>27646.880000000001</v>
      </c>
      <c r="DU189" s="721"/>
      <c r="DV189" s="93">
        <v>27646.880000000001</v>
      </c>
      <c r="DW189" s="95">
        <v>27728.585078165404</v>
      </c>
      <c r="DX189" s="28">
        <v>-81.705078165403393</v>
      </c>
      <c r="EA189" s="5">
        <v>13160.635804814445</v>
      </c>
      <c r="EB189" s="5">
        <v>20423.831644244383</v>
      </c>
      <c r="EE189" s="722">
        <v>118699.54125738655</v>
      </c>
      <c r="EG189" s="42" t="s">
        <v>374</v>
      </c>
    </row>
    <row r="190" spans="1:137" x14ac:dyDescent="0.3">
      <c r="A190" s="325">
        <v>150000928</v>
      </c>
      <c r="B190" s="41" t="s">
        <v>660</v>
      </c>
      <c r="C190" s="42" t="s">
        <v>170</v>
      </c>
      <c r="D190" s="27">
        <v>2</v>
      </c>
      <c r="E190" s="709">
        <v>479.2</v>
      </c>
      <c r="F190" s="723">
        <v>234.6</v>
      </c>
      <c r="G190" s="28"/>
      <c r="H190" s="651">
        <v>244.6</v>
      </c>
      <c r="I190" s="39">
        <v>429.89971026334257</v>
      </c>
      <c r="J190" s="39">
        <v>457.09528023628195</v>
      </c>
      <c r="K190" s="52">
        <v>27.195569972939381</v>
      </c>
      <c r="L190" s="39">
        <v>93.750112091284052</v>
      </c>
      <c r="M190" s="39">
        <v>101.86395529008263</v>
      </c>
      <c r="N190" s="52">
        <v>8.1138431987985769</v>
      </c>
      <c r="O190" s="39">
        <v>108.74</v>
      </c>
      <c r="P190" s="39">
        <v>108.74</v>
      </c>
      <c r="Q190" s="52">
        <v>0</v>
      </c>
      <c r="R190" s="39">
        <v>0</v>
      </c>
      <c r="S190" s="39">
        <v>0</v>
      </c>
      <c r="T190" s="52">
        <v>0</v>
      </c>
      <c r="U190" s="39">
        <v>0</v>
      </c>
      <c r="V190" s="39">
        <v>0</v>
      </c>
      <c r="W190" s="52">
        <v>0</v>
      </c>
      <c r="X190" s="39">
        <v>197.78281885877576</v>
      </c>
      <c r="Y190" s="39">
        <v>119.48840432643429</v>
      </c>
      <c r="Z190" s="52">
        <v>-78.294414532341463</v>
      </c>
      <c r="AA190" s="39">
        <v>0</v>
      </c>
      <c r="AB190" s="39">
        <v>0</v>
      </c>
      <c r="AC190" s="52">
        <v>0</v>
      </c>
      <c r="AD190" s="39">
        <v>341.49641178522808</v>
      </c>
      <c r="AE190" s="39">
        <v>286.55522335283331</v>
      </c>
      <c r="AF190" s="35">
        <v>-54.941188432394767</v>
      </c>
      <c r="AG190" s="77">
        <v>1171.6690529986304</v>
      </c>
      <c r="AH190" s="53">
        <v>1073.7428632056321</v>
      </c>
      <c r="AI190" s="52">
        <v>-97.92618979299823</v>
      </c>
      <c r="AJ190" s="39">
        <v>0</v>
      </c>
      <c r="AK190" s="39">
        <v>0</v>
      </c>
      <c r="AL190" s="52">
        <v>0</v>
      </c>
      <c r="AM190" s="39">
        <v>0</v>
      </c>
      <c r="AN190" s="39">
        <v>0</v>
      </c>
      <c r="AO190" s="52">
        <v>0</v>
      </c>
      <c r="AP190" s="39">
        <v>118.37720536170622</v>
      </c>
      <c r="AQ190" s="39">
        <v>0</v>
      </c>
      <c r="AR190" s="52">
        <v>-118.37720536170622</v>
      </c>
      <c r="AS190" s="39">
        <v>1056.515040328379</v>
      </c>
      <c r="AT190" s="39">
        <v>261</v>
      </c>
      <c r="AU190" s="54">
        <v>-795.51504032837897</v>
      </c>
      <c r="AV190" s="39">
        <v>83.07505612416243</v>
      </c>
      <c r="AW190" s="39">
        <v>0</v>
      </c>
      <c r="AX190" s="55">
        <v>-83.07505612416243</v>
      </c>
      <c r="AY190" s="39">
        <v>120.85834889421265</v>
      </c>
      <c r="AZ190" s="39">
        <v>0</v>
      </c>
      <c r="BA190" s="35">
        <v>-120.85834889421265</v>
      </c>
      <c r="BB190" s="39">
        <v>50.255603364884891</v>
      </c>
      <c r="BC190" s="39">
        <v>0</v>
      </c>
      <c r="BD190" s="55">
        <v>-50.255603364884891</v>
      </c>
      <c r="BE190" s="39">
        <v>0</v>
      </c>
      <c r="BF190" s="39">
        <v>0</v>
      </c>
      <c r="BG190" s="38">
        <v>0</v>
      </c>
      <c r="BH190" s="39">
        <v>0</v>
      </c>
      <c r="BI190" s="39">
        <v>0</v>
      </c>
      <c r="BJ190" s="55">
        <v>0</v>
      </c>
      <c r="BK190" s="39">
        <v>19.771277081972755</v>
      </c>
      <c r="BL190" s="39">
        <v>0</v>
      </c>
      <c r="BM190" s="38">
        <v>-19.771277081972755</v>
      </c>
      <c r="BN190" s="39">
        <v>0</v>
      </c>
      <c r="BO190" s="39">
        <v>0</v>
      </c>
      <c r="BP190" s="55">
        <v>0</v>
      </c>
      <c r="BQ190" s="77">
        <v>273.96028546523274</v>
      </c>
      <c r="BR190" s="40">
        <v>0</v>
      </c>
      <c r="BS190" s="55">
        <v>-273.96028546523274</v>
      </c>
      <c r="BT190" s="39">
        <v>1162.7988093856859</v>
      </c>
      <c r="BU190" s="39">
        <v>272.01343995375743</v>
      </c>
      <c r="BV190" s="52">
        <v>-890.78536943192853</v>
      </c>
      <c r="BW190" s="39">
        <v>465.45645904822544</v>
      </c>
      <c r="BX190" s="39">
        <v>363.1611729411635</v>
      </c>
      <c r="BY190" s="52">
        <v>-102.29528610706194</v>
      </c>
      <c r="BZ190" s="39">
        <v>318.44255339917396</v>
      </c>
      <c r="CA190" s="39">
        <v>1153.7457514540451</v>
      </c>
      <c r="CB190" s="52">
        <v>835.30319805487125</v>
      </c>
      <c r="CC190" s="39">
        <v>0</v>
      </c>
      <c r="CD190" s="39">
        <v>0</v>
      </c>
      <c r="CE190" s="52">
        <v>0</v>
      </c>
      <c r="CF190" s="39">
        <v>0</v>
      </c>
      <c r="CG190" s="39">
        <v>0</v>
      </c>
      <c r="CH190" s="52">
        <v>0</v>
      </c>
      <c r="CI190" s="39">
        <v>155.97937647660115</v>
      </c>
      <c r="CJ190" s="39">
        <v>58.531799877016951</v>
      </c>
      <c r="CK190" s="52">
        <v>-97.447576599584195</v>
      </c>
      <c r="CL190" s="39">
        <v>0</v>
      </c>
      <c r="CM190" s="39">
        <v>0</v>
      </c>
      <c r="CN190" s="52">
        <v>0</v>
      </c>
      <c r="CO190" s="39">
        <v>155.97937647660115</v>
      </c>
      <c r="CP190" s="40">
        <v>58.531799877016951</v>
      </c>
      <c r="CQ190" s="52">
        <v>-97.447576599584195</v>
      </c>
      <c r="CR190" s="72">
        <v>4723.1987824636344</v>
      </c>
      <c r="CS190" s="5">
        <v>3182.195027431615</v>
      </c>
      <c r="CT190" s="52">
        <v>-1541.0037550320194</v>
      </c>
      <c r="CU190" s="77">
        <v>5667.8385389563609</v>
      </c>
      <c r="CV190" s="65">
        <v>3818.6340329179379</v>
      </c>
      <c r="CW190" s="35">
        <v>-1849.204506038423</v>
      </c>
      <c r="CX190" s="39">
        <v>85.017578084345416</v>
      </c>
      <c r="CY190" s="39">
        <v>1934.2220841227679</v>
      </c>
      <c r="CZ190" s="52">
        <v>1849.2045060384226</v>
      </c>
      <c r="DA190" s="150">
        <v>17451.9249176708</v>
      </c>
      <c r="DB190" s="2">
        <v>2</v>
      </c>
      <c r="DC190" s="713">
        <v>1552.89</v>
      </c>
      <c r="DD190" s="714">
        <v>4410.1499999999996</v>
      </c>
      <c r="DE190" s="715">
        <v>-3.7626824132530601E-4</v>
      </c>
      <c r="DF190" s="716">
        <v>3086.6123177478876</v>
      </c>
      <c r="DG190" s="717">
        <v>12519.330665178199</v>
      </c>
      <c r="DH190" s="718">
        <v>28759.442979641917</v>
      </c>
      <c r="DI190" s="718">
        <v>69034.273404488486</v>
      </c>
      <c r="DJ190" s="693">
        <v>58965.565798276846</v>
      </c>
      <c r="DK190" s="724"/>
      <c r="DL190" s="5"/>
      <c r="DM190" s="306">
        <v>6.6193110667870476</v>
      </c>
      <c r="DN190" s="306"/>
      <c r="DO190" s="306">
        <v>5.4110289544240073</v>
      </c>
      <c r="DP190" s="719">
        <v>1552.8903762682414</v>
      </c>
      <c r="DQ190" s="720">
        <v>1323.5376822521121</v>
      </c>
      <c r="DR190" s="650">
        <v>2876.4280585203533</v>
      </c>
      <c r="DS190" s="94">
        <v>2876.4280585203533</v>
      </c>
      <c r="DT190" s="719">
        <v>1552.89</v>
      </c>
      <c r="DU190" s="725">
        <v>1323.51</v>
      </c>
      <c r="DV190" s="93">
        <v>2876.4</v>
      </c>
      <c r="DW190" s="95">
        <v>2884.9298163287881</v>
      </c>
      <c r="DX190" s="28">
        <v>-8.5298163287880016</v>
      </c>
      <c r="EA190" s="5">
        <v>1596.570390952334</v>
      </c>
      <c r="EB190" s="5">
        <v>313.2</v>
      </c>
      <c r="EE190" s="722">
        <v>12678.180483940549</v>
      </c>
      <c r="EG190" s="42" t="s">
        <v>170</v>
      </c>
    </row>
    <row r="191" spans="1:137" x14ac:dyDescent="0.3">
      <c r="A191" s="325">
        <v>150000951</v>
      </c>
      <c r="B191" s="41" t="s">
        <v>661</v>
      </c>
      <c r="C191" s="42" t="s">
        <v>171</v>
      </c>
      <c r="D191" s="27">
        <v>1</v>
      </c>
      <c r="E191" s="709">
        <v>553.20000000000005</v>
      </c>
      <c r="F191" s="723">
        <v>553.20000000000005</v>
      </c>
      <c r="G191" s="28"/>
      <c r="H191" s="651">
        <v>0</v>
      </c>
      <c r="I191" s="39">
        <v>0</v>
      </c>
      <c r="J191" s="39">
        <v>0</v>
      </c>
      <c r="K191" s="52">
        <v>0</v>
      </c>
      <c r="L191" s="39">
        <v>0</v>
      </c>
      <c r="M191" s="39">
        <v>0</v>
      </c>
      <c r="N191" s="52">
        <v>0</v>
      </c>
      <c r="O191" s="39">
        <v>0</v>
      </c>
      <c r="P191" s="39">
        <v>0</v>
      </c>
      <c r="Q191" s="52">
        <v>0</v>
      </c>
      <c r="R191" s="39">
        <v>0</v>
      </c>
      <c r="S191" s="39">
        <v>0</v>
      </c>
      <c r="T191" s="52">
        <v>0</v>
      </c>
      <c r="U191" s="39">
        <v>0</v>
      </c>
      <c r="V191" s="39">
        <v>0</v>
      </c>
      <c r="W191" s="52">
        <v>0</v>
      </c>
      <c r="X191" s="39">
        <v>183.84689632155502</v>
      </c>
      <c r="Y191" s="39">
        <v>127.03288278322427</v>
      </c>
      <c r="Z191" s="52">
        <v>-56.814013538330755</v>
      </c>
      <c r="AA191" s="39">
        <v>0</v>
      </c>
      <c r="AB191" s="39">
        <v>0</v>
      </c>
      <c r="AC191" s="52">
        <v>0</v>
      </c>
      <c r="AD191" s="39">
        <v>394.2316673614111</v>
      </c>
      <c r="AE191" s="39">
        <v>330.80623864521579</v>
      </c>
      <c r="AF191" s="35">
        <v>-63.425428716195313</v>
      </c>
      <c r="AG191" s="77">
        <v>578.07856368296609</v>
      </c>
      <c r="AH191" s="53">
        <v>457.83912142844008</v>
      </c>
      <c r="AI191" s="52">
        <v>-120.23944225452601</v>
      </c>
      <c r="AJ191" s="39">
        <v>0</v>
      </c>
      <c r="AK191" s="39">
        <v>0</v>
      </c>
      <c r="AL191" s="52">
        <v>0</v>
      </c>
      <c r="AM191" s="39">
        <v>0</v>
      </c>
      <c r="AN191" s="39">
        <v>0</v>
      </c>
      <c r="AO191" s="52">
        <v>0</v>
      </c>
      <c r="AP191" s="39">
        <v>173.61990119716913</v>
      </c>
      <c r="AQ191" s="39">
        <v>0</v>
      </c>
      <c r="AR191" s="52">
        <v>-173.61990119716913</v>
      </c>
      <c r="AS191" s="39">
        <v>840.67548234952994</v>
      </c>
      <c r="AT191" s="39">
        <v>0</v>
      </c>
      <c r="AU191" s="54">
        <v>-840.67548234952994</v>
      </c>
      <c r="AV191" s="39">
        <v>0</v>
      </c>
      <c r="AW191" s="39">
        <v>0</v>
      </c>
      <c r="AX191" s="55">
        <v>0</v>
      </c>
      <c r="AY191" s="39">
        <v>0</v>
      </c>
      <c r="AZ191" s="39">
        <v>0</v>
      </c>
      <c r="BA191" s="35">
        <v>0</v>
      </c>
      <c r="BB191" s="39">
        <v>0</v>
      </c>
      <c r="BC191" s="39">
        <v>0</v>
      </c>
      <c r="BD191" s="55">
        <v>0</v>
      </c>
      <c r="BE191" s="39">
        <v>0</v>
      </c>
      <c r="BF191" s="39">
        <v>0</v>
      </c>
      <c r="BG191" s="38">
        <v>0</v>
      </c>
      <c r="BH191" s="39">
        <v>0</v>
      </c>
      <c r="BI191" s="39">
        <v>0</v>
      </c>
      <c r="BJ191" s="55">
        <v>0</v>
      </c>
      <c r="BK191" s="39">
        <v>11.79923975269347</v>
      </c>
      <c r="BL191" s="39">
        <v>0</v>
      </c>
      <c r="BM191" s="38">
        <v>-11.79923975269347</v>
      </c>
      <c r="BN191" s="39">
        <v>18.844525374458165</v>
      </c>
      <c r="BO191" s="39">
        <v>0</v>
      </c>
      <c r="BP191" s="55">
        <v>-18.844525374458165</v>
      </c>
      <c r="BQ191" s="77">
        <v>30.643765127151635</v>
      </c>
      <c r="BR191" s="40">
        <v>0</v>
      </c>
      <c r="BS191" s="55">
        <v>-30.643765127151635</v>
      </c>
      <c r="BT191" s="39">
        <v>0</v>
      </c>
      <c r="BU191" s="39">
        <v>0</v>
      </c>
      <c r="BV191" s="52">
        <v>0</v>
      </c>
      <c r="BW191" s="39">
        <v>0</v>
      </c>
      <c r="BX191" s="39">
        <v>2.2393041597139884</v>
      </c>
      <c r="BY191" s="52">
        <v>2.2393041597139884</v>
      </c>
      <c r="BZ191" s="39">
        <v>0</v>
      </c>
      <c r="CA191" s="39">
        <v>0</v>
      </c>
      <c r="CB191" s="52">
        <v>0</v>
      </c>
      <c r="CC191" s="39">
        <v>0</v>
      </c>
      <c r="CD191" s="39">
        <v>0</v>
      </c>
      <c r="CE191" s="52">
        <v>0</v>
      </c>
      <c r="CF191" s="39">
        <v>0</v>
      </c>
      <c r="CG191" s="39">
        <v>0</v>
      </c>
      <c r="CH191" s="52">
        <v>0</v>
      </c>
      <c r="CI191" s="39">
        <v>0</v>
      </c>
      <c r="CJ191" s="39">
        <v>0</v>
      </c>
      <c r="CK191" s="52">
        <v>0</v>
      </c>
      <c r="CL191" s="39">
        <v>0</v>
      </c>
      <c r="CM191" s="39">
        <v>0</v>
      </c>
      <c r="CN191" s="52">
        <v>0</v>
      </c>
      <c r="CO191" s="39">
        <v>0</v>
      </c>
      <c r="CP191" s="40">
        <v>0</v>
      </c>
      <c r="CQ191" s="52">
        <v>0</v>
      </c>
      <c r="CR191" s="72">
        <v>1623.0177123568169</v>
      </c>
      <c r="CS191" s="5">
        <v>460.07842558815406</v>
      </c>
      <c r="CT191" s="52">
        <v>-1162.9392867686629</v>
      </c>
      <c r="CU191" s="77">
        <v>1947.6212548281801</v>
      </c>
      <c r="CV191" s="65">
        <v>552.09411070578483</v>
      </c>
      <c r="CW191" s="35">
        <v>-1395.5271441223954</v>
      </c>
      <c r="CX191" s="39">
        <v>48.690531370704505</v>
      </c>
      <c r="CY191" s="39">
        <v>1444.2176754930997</v>
      </c>
      <c r="CZ191" s="52">
        <v>1395.5271441223952</v>
      </c>
      <c r="DA191" s="150">
        <v>-10260.741921741288</v>
      </c>
      <c r="DB191" s="2">
        <v>1</v>
      </c>
      <c r="DC191" s="713">
        <v>1126.74</v>
      </c>
      <c r="DD191" s="714"/>
      <c r="DE191" s="715">
        <v>128.5841069005578</v>
      </c>
      <c r="DF191" s="716">
        <v>0</v>
      </c>
      <c r="DG191" s="717">
        <v>-3411.1458211325034</v>
      </c>
      <c r="DH191" s="718">
        <v>9552.2643905909681</v>
      </c>
      <c r="DI191" s="718">
        <v>23955.741434386615</v>
      </c>
      <c r="DJ191" s="693">
        <v>20354.872173437703</v>
      </c>
      <c r="DK191" s="724"/>
      <c r="DL191" s="5"/>
      <c r="DM191" s="306">
        <v>1.8043309708955932</v>
      </c>
      <c r="DN191" s="306"/>
      <c r="DO191" s="306">
        <v>1.8043309708955932</v>
      </c>
      <c r="DP191" s="719">
        <v>998.15589309944221</v>
      </c>
      <c r="DQ191" s="720">
        <v>0</v>
      </c>
      <c r="DR191" s="650">
        <v>998.15589309944221</v>
      </c>
      <c r="DS191" s="94">
        <v>998.15589309944244</v>
      </c>
      <c r="DT191" s="719">
        <v>998.15</v>
      </c>
      <c r="DU191" s="721"/>
      <c r="DV191" s="93">
        <v>998.15</v>
      </c>
      <c r="DW191" s="95">
        <v>1003.0249462365128</v>
      </c>
      <c r="DX191" s="28">
        <v>-4.8749462365128693</v>
      </c>
      <c r="EA191" s="5">
        <v>1045.5830969720178</v>
      </c>
      <c r="EB191" s="5">
        <v>0</v>
      </c>
      <c r="EE191" s="722">
        <v>10088.10578819436</v>
      </c>
      <c r="EG191" s="42" t="s">
        <v>171</v>
      </c>
    </row>
    <row r="192" spans="1:137" x14ac:dyDescent="0.3">
      <c r="A192" s="325">
        <v>150000954</v>
      </c>
      <c r="B192" s="41" t="s">
        <v>662</v>
      </c>
      <c r="C192" s="42" t="s">
        <v>172</v>
      </c>
      <c r="D192" s="27">
        <v>2</v>
      </c>
      <c r="E192" s="709">
        <v>358.84</v>
      </c>
      <c r="F192" s="723">
        <v>358.84</v>
      </c>
      <c r="G192" s="28"/>
      <c r="H192" s="651">
        <v>0</v>
      </c>
      <c r="I192" s="39">
        <v>205.02480444573766</v>
      </c>
      <c r="J192" s="39">
        <v>153.76250777626387</v>
      </c>
      <c r="K192" s="52">
        <v>-51.262296669473784</v>
      </c>
      <c r="L192" s="39">
        <v>40.340596299837237</v>
      </c>
      <c r="M192" s="39">
        <v>21.059872827246146</v>
      </c>
      <c r="N192" s="52">
        <v>-19.280723472591092</v>
      </c>
      <c r="O192" s="39">
        <v>89.68</v>
      </c>
      <c r="P192" s="39">
        <v>89.66</v>
      </c>
      <c r="Q192" s="52">
        <v>-2.0000000000010232E-2</v>
      </c>
      <c r="R192" s="39">
        <v>0</v>
      </c>
      <c r="S192" s="39">
        <v>0</v>
      </c>
      <c r="T192" s="52">
        <v>0</v>
      </c>
      <c r="U192" s="39">
        <v>0</v>
      </c>
      <c r="V192" s="39">
        <v>0</v>
      </c>
      <c r="W192" s="52">
        <v>0</v>
      </c>
      <c r="X192" s="39">
        <v>146.17925307445458</v>
      </c>
      <c r="Y192" s="39">
        <v>83.939386688194986</v>
      </c>
      <c r="Z192" s="52">
        <v>-62.239866386259592</v>
      </c>
      <c r="AA192" s="39">
        <v>0</v>
      </c>
      <c r="AB192" s="39">
        <v>0</v>
      </c>
      <c r="AC192" s="52">
        <v>0</v>
      </c>
      <c r="AD192" s="39">
        <v>255.72323122915535</v>
      </c>
      <c r="AE192" s="39">
        <v>214.58154496646642</v>
      </c>
      <c r="AF192" s="35">
        <v>-41.141686262688921</v>
      </c>
      <c r="AG192" s="77">
        <v>736.94788504918483</v>
      </c>
      <c r="AH192" s="53">
        <v>563.00331225817149</v>
      </c>
      <c r="AI192" s="52">
        <v>-173.94457279101334</v>
      </c>
      <c r="AJ192" s="39">
        <v>0</v>
      </c>
      <c r="AK192" s="39">
        <v>0</v>
      </c>
      <c r="AL192" s="52">
        <v>0</v>
      </c>
      <c r="AM192" s="39">
        <v>0</v>
      </c>
      <c r="AN192" s="39">
        <v>0</v>
      </c>
      <c r="AO192" s="52">
        <v>0</v>
      </c>
      <c r="AP192" s="39">
        <v>126.26901905248663</v>
      </c>
      <c r="AQ192" s="39">
        <v>327.3159861543711</v>
      </c>
      <c r="AR192" s="52">
        <v>201.04696710188449</v>
      </c>
      <c r="AS192" s="39">
        <v>1246.5313505136853</v>
      </c>
      <c r="AT192" s="39">
        <v>0</v>
      </c>
      <c r="AU192" s="54">
        <v>-1246.5313505136853</v>
      </c>
      <c r="AV192" s="39">
        <v>39.854034337902583</v>
      </c>
      <c r="AW192" s="39">
        <v>0</v>
      </c>
      <c r="AX192" s="55">
        <v>-39.854034337902583</v>
      </c>
      <c r="AY192" s="39">
        <v>52.004483831338867</v>
      </c>
      <c r="AZ192" s="39">
        <v>0</v>
      </c>
      <c r="BA192" s="35">
        <v>-52.004483831338867</v>
      </c>
      <c r="BB192" s="39">
        <v>40.915006131433771</v>
      </c>
      <c r="BC192" s="39">
        <v>0</v>
      </c>
      <c r="BD192" s="55">
        <v>-40.915006131433771</v>
      </c>
      <c r="BE192" s="39">
        <v>0</v>
      </c>
      <c r="BF192" s="39">
        <v>820</v>
      </c>
      <c r="BG192" s="38">
        <v>820</v>
      </c>
      <c r="BH192" s="39">
        <v>0</v>
      </c>
      <c r="BI192" s="39">
        <v>0</v>
      </c>
      <c r="BJ192" s="55">
        <v>0</v>
      </c>
      <c r="BK192" s="39">
        <v>36.676348877749327</v>
      </c>
      <c r="BL192" s="39">
        <v>0</v>
      </c>
      <c r="BM192" s="38">
        <v>-36.676348877749327</v>
      </c>
      <c r="BN192" s="39">
        <v>27.907064838681809</v>
      </c>
      <c r="BO192" s="39">
        <v>0</v>
      </c>
      <c r="BP192" s="55">
        <v>-27.907064838681809</v>
      </c>
      <c r="BQ192" s="77">
        <v>197.35693801710633</v>
      </c>
      <c r="BR192" s="40">
        <v>820</v>
      </c>
      <c r="BS192" s="55">
        <v>622.64306198289364</v>
      </c>
      <c r="BT192" s="39">
        <v>0</v>
      </c>
      <c r="BU192" s="39">
        <v>0</v>
      </c>
      <c r="BV192" s="52">
        <v>0</v>
      </c>
      <c r="BW192" s="39">
        <v>35.78822164429954</v>
      </c>
      <c r="BX192" s="39">
        <v>1.4525522499489651</v>
      </c>
      <c r="BY192" s="52">
        <v>-34.335669394350575</v>
      </c>
      <c r="BZ192" s="39">
        <v>0</v>
      </c>
      <c r="CA192" s="39">
        <v>0</v>
      </c>
      <c r="CB192" s="52">
        <v>0</v>
      </c>
      <c r="CC192" s="39">
        <v>0</v>
      </c>
      <c r="CD192" s="39">
        <v>0</v>
      </c>
      <c r="CE192" s="52">
        <v>0</v>
      </c>
      <c r="CF192" s="39">
        <v>0</v>
      </c>
      <c r="CG192" s="39">
        <v>0</v>
      </c>
      <c r="CH192" s="52">
        <v>0</v>
      </c>
      <c r="CI192" s="39">
        <v>143.50102635847304</v>
      </c>
      <c r="CJ192" s="39">
        <v>89.261994107713036</v>
      </c>
      <c r="CK192" s="52">
        <v>-54.239032250760005</v>
      </c>
      <c r="CL192" s="39">
        <v>0</v>
      </c>
      <c r="CM192" s="39">
        <v>0</v>
      </c>
      <c r="CN192" s="52">
        <v>0</v>
      </c>
      <c r="CO192" s="39">
        <v>143.50102635847304</v>
      </c>
      <c r="CP192" s="40">
        <v>89.261994107713036</v>
      </c>
      <c r="CQ192" s="52">
        <v>-54.239032250760005</v>
      </c>
      <c r="CR192" s="72">
        <v>2486.3944406352357</v>
      </c>
      <c r="CS192" s="5">
        <v>1801.0338447702045</v>
      </c>
      <c r="CT192" s="52">
        <v>-685.3605958650312</v>
      </c>
      <c r="CU192" s="77">
        <v>2983.6733287622828</v>
      </c>
      <c r="CV192" s="65">
        <v>2161.2406137242451</v>
      </c>
      <c r="CW192" s="35">
        <v>-822.43271503803771</v>
      </c>
      <c r="CX192" s="39">
        <v>74.591833219057079</v>
      </c>
      <c r="CY192" s="39">
        <v>897.02454825709469</v>
      </c>
      <c r="CZ192" s="52">
        <v>822.4327150380376</v>
      </c>
      <c r="DA192" s="150">
        <v>2175.7984034108886</v>
      </c>
      <c r="DB192" s="2">
        <v>1</v>
      </c>
      <c r="DC192" s="713">
        <v>4967.7</v>
      </c>
      <c r="DD192" s="714"/>
      <c r="DE192" s="715">
        <v>3438.5674190093296</v>
      </c>
      <c r="DF192" s="716">
        <v>0</v>
      </c>
      <c r="DG192" s="717">
        <v>19157.226925994913</v>
      </c>
      <c r="DH192" s="718">
        <v>15828.7039218512</v>
      </c>
      <c r="DI192" s="718">
        <v>36699.181943776079</v>
      </c>
      <c r="DJ192" s="693">
        <v>31481.562438294859</v>
      </c>
      <c r="DK192" s="724"/>
      <c r="DL192" s="5"/>
      <c r="DM192" s="306">
        <v>4.2613214273511044</v>
      </c>
      <c r="DN192" s="306"/>
      <c r="DO192" s="306">
        <v>4.1999855776374595</v>
      </c>
      <c r="DP192" s="719">
        <v>1529.1325809906702</v>
      </c>
      <c r="DQ192" s="720">
        <v>0</v>
      </c>
      <c r="DR192" s="650">
        <v>1529.1325809906702</v>
      </c>
      <c r="DS192" s="94">
        <v>1529.1325809906698</v>
      </c>
      <c r="DT192" s="719">
        <v>1529.12</v>
      </c>
      <c r="DU192" s="721"/>
      <c r="DV192" s="93">
        <v>1529.12</v>
      </c>
      <c r="DW192" s="95">
        <v>1536.5917643125761</v>
      </c>
      <c r="DX192" s="28">
        <v>-7.4717643125761697</v>
      </c>
      <c r="EA192" s="5">
        <v>1732.66594623695</v>
      </c>
      <c r="EB192" s="5">
        <v>984</v>
      </c>
      <c r="EE192" s="722">
        <v>14958.376206164223</v>
      </c>
      <c r="EG192" s="42" t="s">
        <v>172</v>
      </c>
    </row>
    <row r="193" spans="1:137" x14ac:dyDescent="0.3">
      <c r="A193" s="325">
        <v>150000929</v>
      </c>
      <c r="B193" s="41" t="s">
        <v>1041</v>
      </c>
      <c r="C193" s="42" t="s">
        <v>1034</v>
      </c>
      <c r="D193" s="27">
        <v>2</v>
      </c>
      <c r="E193" s="730">
        <v>488.8</v>
      </c>
      <c r="F193" s="723">
        <v>170.2</v>
      </c>
      <c r="G193" s="28"/>
      <c r="H193" s="651">
        <v>318.60000000000002</v>
      </c>
      <c r="I193" s="39">
        <v>451.00308958110253</v>
      </c>
      <c r="J193" s="39">
        <v>479.53275014201745</v>
      </c>
      <c r="K193" s="52">
        <v>28.52966056091492</v>
      </c>
      <c r="L193" s="39">
        <v>93.750112091284052</v>
      </c>
      <c r="M193" s="39">
        <v>101.86395529008263</v>
      </c>
      <c r="N193" s="52">
        <v>8.1138431987985769</v>
      </c>
      <c r="O193" s="39">
        <v>0</v>
      </c>
      <c r="P193" s="39">
        <v>0</v>
      </c>
      <c r="Q193" s="52">
        <v>0</v>
      </c>
      <c r="R193" s="39">
        <v>0</v>
      </c>
      <c r="S193" s="39">
        <v>0</v>
      </c>
      <c r="T193" s="52">
        <v>0</v>
      </c>
      <c r="U193" s="39">
        <v>0</v>
      </c>
      <c r="V193" s="39">
        <v>0</v>
      </c>
      <c r="W193" s="52">
        <v>0</v>
      </c>
      <c r="X193" s="39">
        <v>197.78281885877576</v>
      </c>
      <c r="Y193" s="39">
        <v>119.5089765508709</v>
      </c>
      <c r="Z193" s="52">
        <v>-78.273842307904857</v>
      </c>
      <c r="AA193" s="39">
        <v>0</v>
      </c>
      <c r="AB193" s="39">
        <v>0</v>
      </c>
      <c r="AC193" s="52">
        <v>0</v>
      </c>
      <c r="AD193" s="39">
        <v>348.33774223835456</v>
      </c>
      <c r="AE193" s="39">
        <v>292.29589560698025</v>
      </c>
      <c r="AF193" s="35">
        <v>-56.041846631374312</v>
      </c>
      <c r="AG193" s="77">
        <v>1090.8737627695168</v>
      </c>
      <c r="AH193" s="53">
        <v>993.20157758995128</v>
      </c>
      <c r="AI193" s="52">
        <v>-97.672185179565531</v>
      </c>
      <c r="AJ193" s="39">
        <v>0</v>
      </c>
      <c r="AK193" s="39">
        <v>0</v>
      </c>
      <c r="AL193" s="52">
        <v>0</v>
      </c>
      <c r="AM193" s="39">
        <v>0</v>
      </c>
      <c r="AN193" s="39">
        <v>0</v>
      </c>
      <c r="AO193" s="52">
        <v>0</v>
      </c>
      <c r="AP193" s="39">
        <v>47.350882144682487</v>
      </c>
      <c r="AQ193" s="39">
        <v>0</v>
      </c>
      <c r="AR193" s="52">
        <v>-47.350882144682487</v>
      </c>
      <c r="AS193" s="39">
        <v>1355.5330261552676</v>
      </c>
      <c r="AT193" s="39">
        <v>296.10773328512937</v>
      </c>
      <c r="AU193" s="54">
        <v>-1059.4252928701383</v>
      </c>
      <c r="AV193" s="39">
        <v>93.124297043027042</v>
      </c>
      <c r="AW193" s="39">
        <v>0</v>
      </c>
      <c r="AX193" s="55">
        <v>-93.124297043027042</v>
      </c>
      <c r="AY193" s="39">
        <v>120.85834889421265</v>
      </c>
      <c r="AZ193" s="39">
        <v>0</v>
      </c>
      <c r="BA193" s="35">
        <v>-120.85834889421265</v>
      </c>
      <c r="BB193" s="39">
        <v>0</v>
      </c>
      <c r="BC193" s="39">
        <v>0</v>
      </c>
      <c r="BD193" s="55">
        <v>0</v>
      </c>
      <c r="BE193" s="39">
        <v>0</v>
      </c>
      <c r="BF193" s="39">
        <v>0</v>
      </c>
      <c r="BG193" s="38">
        <v>0</v>
      </c>
      <c r="BH193" s="39">
        <v>0</v>
      </c>
      <c r="BI193" s="39">
        <v>0</v>
      </c>
      <c r="BJ193" s="55">
        <v>0</v>
      </c>
      <c r="BK193" s="39">
        <v>19.771277081972755</v>
      </c>
      <c r="BL193" s="39">
        <v>0</v>
      </c>
      <c r="BM193" s="38">
        <v>-19.771277081972755</v>
      </c>
      <c r="BN193" s="39">
        <v>0</v>
      </c>
      <c r="BO193" s="39">
        <v>0</v>
      </c>
      <c r="BP193" s="55">
        <v>0</v>
      </c>
      <c r="BQ193" s="77">
        <v>233.75392301921244</v>
      </c>
      <c r="BR193" s="40">
        <v>0</v>
      </c>
      <c r="BS193" s="55">
        <v>-233.75392301921244</v>
      </c>
      <c r="BT193" s="39">
        <v>1309.3857204389506</v>
      </c>
      <c r="BU193" s="39">
        <v>299.77465068099559</v>
      </c>
      <c r="BV193" s="52">
        <v>-1009.611069757955</v>
      </c>
      <c r="BW193" s="39">
        <v>332.84883019540251</v>
      </c>
      <c r="BX193" s="39">
        <v>250.45010737658149</v>
      </c>
      <c r="BY193" s="52">
        <v>-82.398722818821028</v>
      </c>
      <c r="BZ193" s="39">
        <v>272.7293734864673</v>
      </c>
      <c r="CA193" s="39">
        <v>1295.8949352391592</v>
      </c>
      <c r="CB193" s="52">
        <v>1023.1655617526919</v>
      </c>
      <c r="CC193" s="39">
        <v>0</v>
      </c>
      <c r="CD193" s="39">
        <v>0</v>
      </c>
      <c r="CE193" s="52">
        <v>0</v>
      </c>
      <c r="CF193" s="39">
        <v>0</v>
      </c>
      <c r="CG193" s="39">
        <v>0</v>
      </c>
      <c r="CH193" s="52">
        <v>0</v>
      </c>
      <c r="CI193" s="39">
        <v>18.717525177192133</v>
      </c>
      <c r="CJ193" s="39">
        <v>21.552652518358926</v>
      </c>
      <c r="CK193" s="52">
        <v>2.8351273411667925</v>
      </c>
      <c r="CL193" s="39">
        <v>0</v>
      </c>
      <c r="CM193" s="39">
        <v>0</v>
      </c>
      <c r="CN193" s="52">
        <v>0</v>
      </c>
      <c r="CO193" s="39">
        <v>18.717525177192133</v>
      </c>
      <c r="CP193" s="40">
        <v>21.552652518358926</v>
      </c>
      <c r="CQ193" s="52">
        <v>2.8351273411667925</v>
      </c>
      <c r="CR193" s="72">
        <v>4661.1930433866919</v>
      </c>
      <c r="CS193" s="5">
        <v>3156.9816566901759</v>
      </c>
      <c r="CT193" s="52">
        <v>-1504.211386696516</v>
      </c>
      <c r="CU193" s="77">
        <v>5593.4316520640305</v>
      </c>
      <c r="CV193" s="65">
        <v>3788.3779880282109</v>
      </c>
      <c r="CW193" s="35">
        <v>-1805.0536640358196</v>
      </c>
      <c r="CX193" s="39">
        <v>0</v>
      </c>
      <c r="CY193" s="39">
        <v>1805.0536640358198</v>
      </c>
      <c r="CZ193" s="52">
        <v>1805.0536640358198</v>
      </c>
      <c r="DA193" s="150">
        <v>8954.7141058293018</v>
      </c>
      <c r="DB193" s="2">
        <v>2</v>
      </c>
      <c r="DC193" s="713">
        <v>22747.46</v>
      </c>
      <c r="DD193" s="714">
        <v>2703.36</v>
      </c>
      <c r="DE193" s="715">
        <v>21643.473878946803</v>
      </c>
      <c r="DF193" s="716">
        <v>1010.6302950211812</v>
      </c>
      <c r="DG193" s="717">
        <v>-15748.877708276832</v>
      </c>
      <c r="DH193" s="718">
        <v>27821.46914494739</v>
      </c>
      <c r="DI193" s="718">
        <v>67121.179824768362</v>
      </c>
      <c r="DJ193" s="693">
        <v>57296.252154813119</v>
      </c>
      <c r="DK193" s="724"/>
      <c r="DL193" s="5"/>
      <c r="DM193" s="306">
        <v>6.4864049415581411</v>
      </c>
      <c r="DN193" s="306"/>
      <c r="DO193" s="306">
        <v>5.3130248116096013</v>
      </c>
      <c r="DP193" s="719">
        <v>1103.9861210531956</v>
      </c>
      <c r="DQ193" s="720">
        <v>1692.729704978819</v>
      </c>
      <c r="DR193" s="650">
        <v>2796.7158260320148</v>
      </c>
      <c r="DS193" s="94">
        <v>2796.7158260320157</v>
      </c>
      <c r="DT193" s="719">
        <v>1103.99</v>
      </c>
      <c r="DU193" s="725">
        <v>1692.72</v>
      </c>
      <c r="DV193" s="93">
        <v>2796.71</v>
      </c>
      <c r="DW193" s="95">
        <v>2796.7158260320152</v>
      </c>
      <c r="DX193" s="28">
        <v>-5.82603201519305E-3</v>
      </c>
      <c r="EA193" s="5">
        <v>1907.1443390093759</v>
      </c>
      <c r="EB193" s="5">
        <v>355.32927994215521</v>
      </c>
      <c r="EE193" s="722">
        <v>16266.396313863212</v>
      </c>
      <c r="EG193" s="42" t="s">
        <v>1034</v>
      </c>
    </row>
    <row r="194" spans="1:137" x14ac:dyDescent="0.3">
      <c r="A194" s="325">
        <v>150000930</v>
      </c>
      <c r="B194" s="41" t="s">
        <v>663</v>
      </c>
      <c r="C194" s="42" t="s">
        <v>173</v>
      </c>
      <c r="D194" s="27">
        <v>2</v>
      </c>
      <c r="E194" s="709">
        <v>327.9</v>
      </c>
      <c r="F194" s="723">
        <v>239.5</v>
      </c>
      <c r="G194" s="28"/>
      <c r="H194" s="651">
        <v>88.4</v>
      </c>
      <c r="I194" s="39">
        <v>142.60929764448582</v>
      </c>
      <c r="J194" s="39">
        <v>152.81776100261769</v>
      </c>
      <c r="K194" s="52">
        <v>10.208463358131866</v>
      </c>
      <c r="L194" s="39">
        <v>56.713212510051193</v>
      </c>
      <c r="M194" s="39">
        <v>61.622066587898495</v>
      </c>
      <c r="N194" s="52">
        <v>4.9088540778473018</v>
      </c>
      <c r="O194" s="39">
        <v>82.88</v>
      </c>
      <c r="P194" s="39">
        <v>82.88</v>
      </c>
      <c r="Q194" s="52">
        <v>0</v>
      </c>
      <c r="R194" s="39">
        <v>0</v>
      </c>
      <c r="S194" s="39">
        <v>0</v>
      </c>
      <c r="T194" s="52">
        <v>0</v>
      </c>
      <c r="U194" s="39">
        <v>0</v>
      </c>
      <c r="V194" s="39">
        <v>0</v>
      </c>
      <c r="W194" s="52">
        <v>0</v>
      </c>
      <c r="X194" s="39">
        <v>70.863556614904908</v>
      </c>
      <c r="Y194" s="39">
        <v>41.279454606558247</v>
      </c>
      <c r="Z194" s="52">
        <v>-29.584102008346662</v>
      </c>
      <c r="AA194" s="39">
        <v>0</v>
      </c>
      <c r="AB194" s="39">
        <v>0</v>
      </c>
      <c r="AC194" s="52">
        <v>0</v>
      </c>
      <c r="AD194" s="39">
        <v>233.67419328959994</v>
      </c>
      <c r="AE194" s="39">
        <v>196.07983668070545</v>
      </c>
      <c r="AF194" s="35">
        <v>-37.594356608894486</v>
      </c>
      <c r="AG194" s="77">
        <v>586.74026005904182</v>
      </c>
      <c r="AH194" s="53">
        <v>534.67911887777996</v>
      </c>
      <c r="AI194" s="52">
        <v>-52.06114118126186</v>
      </c>
      <c r="AJ194" s="39">
        <v>0</v>
      </c>
      <c r="AK194" s="39">
        <v>0</v>
      </c>
      <c r="AL194" s="52">
        <v>0</v>
      </c>
      <c r="AM194" s="39">
        <v>0</v>
      </c>
      <c r="AN194" s="39">
        <v>0</v>
      </c>
      <c r="AO194" s="52">
        <v>0</v>
      </c>
      <c r="AP194" s="39">
        <v>142.05264643404746</v>
      </c>
      <c r="AQ194" s="39">
        <v>0</v>
      </c>
      <c r="AR194" s="52">
        <v>-142.05264643404746</v>
      </c>
      <c r="AS194" s="39">
        <v>663.02809882485838</v>
      </c>
      <c r="AT194" s="39">
        <v>130</v>
      </c>
      <c r="AU194" s="54">
        <v>-533.02809882485838</v>
      </c>
      <c r="AV194" s="39">
        <v>55.317016831563706</v>
      </c>
      <c r="AW194" s="39">
        <v>0</v>
      </c>
      <c r="AX194" s="55">
        <v>-55.317016831563706</v>
      </c>
      <c r="AY194" s="39">
        <v>73.078243450016657</v>
      </c>
      <c r="AZ194" s="39">
        <v>0</v>
      </c>
      <c r="BA194" s="35">
        <v>-73.078243450016657</v>
      </c>
      <c r="BB194" s="39">
        <v>39.334542562527318</v>
      </c>
      <c r="BC194" s="39">
        <v>0</v>
      </c>
      <c r="BD194" s="55">
        <v>-39.334542562527318</v>
      </c>
      <c r="BE194" s="39">
        <v>0</v>
      </c>
      <c r="BF194" s="39">
        <v>0</v>
      </c>
      <c r="BG194" s="38">
        <v>0</v>
      </c>
      <c r="BH194" s="39">
        <v>0</v>
      </c>
      <c r="BI194" s="39">
        <v>0</v>
      </c>
      <c r="BJ194" s="55">
        <v>0</v>
      </c>
      <c r="BK194" s="39">
        <v>9.8614252960765771</v>
      </c>
      <c r="BL194" s="39">
        <v>0</v>
      </c>
      <c r="BM194" s="38">
        <v>-9.8614252960765771</v>
      </c>
      <c r="BN194" s="39">
        <v>0</v>
      </c>
      <c r="BO194" s="39">
        <v>0</v>
      </c>
      <c r="BP194" s="55">
        <v>0</v>
      </c>
      <c r="BQ194" s="77">
        <v>177.59122814018426</v>
      </c>
      <c r="BR194" s="40">
        <v>0</v>
      </c>
      <c r="BS194" s="55">
        <v>-177.59122814018426</v>
      </c>
      <c r="BT194" s="39">
        <v>1154.4105908852571</v>
      </c>
      <c r="BU194" s="39">
        <v>246.59958261001262</v>
      </c>
      <c r="BV194" s="52">
        <v>-907.81100827524449</v>
      </c>
      <c r="BW194" s="39">
        <v>599.86955317543266</v>
      </c>
      <c r="BX194" s="39">
        <v>450.62514311193013</v>
      </c>
      <c r="BY194" s="52">
        <v>-149.24441006350253</v>
      </c>
      <c r="BZ194" s="39">
        <v>274.96073609478691</v>
      </c>
      <c r="CA194" s="39">
        <v>1184.9459374419857</v>
      </c>
      <c r="CB194" s="52">
        <v>909.98520134719888</v>
      </c>
      <c r="CC194" s="39">
        <v>29.903474747371249</v>
      </c>
      <c r="CD194" s="39">
        <v>29.50192740679001</v>
      </c>
      <c r="CE194" s="52">
        <v>-0.40154734058123864</v>
      </c>
      <c r="CF194" s="39">
        <v>3.6812989745816878</v>
      </c>
      <c r="CG194" s="39">
        <v>0</v>
      </c>
      <c r="CH194" s="52">
        <v>-3.6812989745816878</v>
      </c>
      <c r="CI194" s="39">
        <v>18.717525177192133</v>
      </c>
      <c r="CJ194" s="39">
        <v>20.00941829409139</v>
      </c>
      <c r="CK194" s="52">
        <v>1.2918931168992565</v>
      </c>
      <c r="CL194" s="39">
        <v>0</v>
      </c>
      <c r="CM194" s="39">
        <v>0</v>
      </c>
      <c r="CN194" s="52">
        <v>0</v>
      </c>
      <c r="CO194" s="39">
        <v>18.717525177192133</v>
      </c>
      <c r="CP194" s="40">
        <v>20.00941829409139</v>
      </c>
      <c r="CQ194" s="52">
        <v>1.2918931168992565</v>
      </c>
      <c r="CR194" s="72">
        <v>3650.9554125127538</v>
      </c>
      <c r="CS194" s="5">
        <v>2596.3611277425898</v>
      </c>
      <c r="CT194" s="52">
        <v>-1054.594284770164</v>
      </c>
      <c r="CU194" s="77">
        <v>4381.146495015304</v>
      </c>
      <c r="CV194" s="65">
        <v>3115.6333532911076</v>
      </c>
      <c r="CW194" s="35">
        <v>-1265.5131417241964</v>
      </c>
      <c r="CX194" s="39">
        <v>109.52866237538261</v>
      </c>
      <c r="CY194" s="39">
        <v>1375.0418040995794</v>
      </c>
      <c r="CZ194" s="52">
        <v>1265.5131417241969</v>
      </c>
      <c r="DA194" s="150">
        <v>11036.55278596793</v>
      </c>
      <c r="DB194" s="2">
        <v>2</v>
      </c>
      <c r="DC194" s="713">
        <v>2512.25</v>
      </c>
      <c r="DD194" s="714">
        <v>1671</v>
      </c>
      <c r="DE194" s="715">
        <v>772.78413166980704</v>
      </c>
      <c r="DF194" s="716">
        <v>1165.1282896348496</v>
      </c>
      <c r="DG194" s="717">
        <v>14410.658148795988</v>
      </c>
      <c r="DH194" s="718">
        <v>21543.13752103363</v>
      </c>
      <c r="DI194" s="718">
        <v>53888.101888688238</v>
      </c>
      <c r="DJ194" s="693">
        <v>45801.860796774585</v>
      </c>
      <c r="DK194" s="724"/>
      <c r="DL194" s="5"/>
      <c r="DM194" s="306">
        <v>7.2629055045102007</v>
      </c>
      <c r="DN194" s="306"/>
      <c r="DO194" s="306">
        <v>5.7225306602392569</v>
      </c>
      <c r="DP194" s="719">
        <v>1739.465868330193</v>
      </c>
      <c r="DQ194" s="720">
        <v>505.87171036515036</v>
      </c>
      <c r="DR194" s="650">
        <v>2245.3375786953434</v>
      </c>
      <c r="DS194" s="94">
        <v>2245.3375786953434</v>
      </c>
      <c r="DT194" s="719">
        <v>1739.47</v>
      </c>
      <c r="DU194" s="725">
        <v>505.88</v>
      </c>
      <c r="DV194" s="93">
        <v>2245.35</v>
      </c>
      <c r="DW194" s="95">
        <v>2256.2904449328817</v>
      </c>
      <c r="DX194" s="28">
        <v>-10.940444932881746</v>
      </c>
      <c r="EA194" s="5">
        <v>1008.7431923580511</v>
      </c>
      <c r="EB194" s="5">
        <v>156</v>
      </c>
      <c r="EE194" s="722">
        <v>7956.337185898301</v>
      </c>
      <c r="EG194" s="42" t="s">
        <v>173</v>
      </c>
    </row>
    <row r="195" spans="1:137" x14ac:dyDescent="0.3">
      <c r="A195" s="325">
        <v>150000931</v>
      </c>
      <c r="B195" s="41" t="s">
        <v>664</v>
      </c>
      <c r="C195" s="42" t="s">
        <v>267</v>
      </c>
      <c r="D195" s="27">
        <v>5</v>
      </c>
      <c r="E195" s="709">
        <v>2292.33</v>
      </c>
      <c r="F195" s="723">
        <v>2128.4299999999998</v>
      </c>
      <c r="G195" s="28"/>
      <c r="H195" s="651">
        <v>163.9</v>
      </c>
      <c r="I195" s="39">
        <v>1327.4832038396437</v>
      </c>
      <c r="J195" s="39">
        <v>1424.9964878969313</v>
      </c>
      <c r="K195" s="52">
        <v>97.513284057287592</v>
      </c>
      <c r="L195" s="39">
        <v>275.62748227154816</v>
      </c>
      <c r="M195" s="39">
        <v>299.48324361718664</v>
      </c>
      <c r="N195" s="52">
        <v>23.855761345638484</v>
      </c>
      <c r="O195" s="39">
        <v>517.36</v>
      </c>
      <c r="P195" s="39">
        <v>517.36</v>
      </c>
      <c r="Q195" s="52">
        <v>0</v>
      </c>
      <c r="R195" s="39">
        <v>130.54</v>
      </c>
      <c r="S195" s="39">
        <v>130.54</v>
      </c>
      <c r="T195" s="52">
        <v>0</v>
      </c>
      <c r="U195" s="39">
        <v>88.645113504097054</v>
      </c>
      <c r="V195" s="39">
        <v>279.35109299592682</v>
      </c>
      <c r="W195" s="52">
        <v>190.70597949182977</v>
      </c>
      <c r="X195" s="39">
        <v>985.6645116009646</v>
      </c>
      <c r="Y195" s="39">
        <v>598.11614696829565</v>
      </c>
      <c r="Z195" s="52">
        <v>-387.54836463266895</v>
      </c>
      <c r="AA195" s="39">
        <v>0</v>
      </c>
      <c r="AB195" s="39">
        <v>0</v>
      </c>
      <c r="AC195" s="52">
        <v>0</v>
      </c>
      <c r="AD195" s="39">
        <v>1633.6028164182635</v>
      </c>
      <c r="AE195" s="39">
        <v>1370.7828362863115</v>
      </c>
      <c r="AF195" s="35">
        <v>-262.81998013195198</v>
      </c>
      <c r="AG195" s="77">
        <v>4958.9231276345163</v>
      </c>
      <c r="AH195" s="53">
        <v>4620.6298077646516</v>
      </c>
      <c r="AI195" s="52">
        <v>-338.29331986986472</v>
      </c>
      <c r="AJ195" s="39">
        <v>0</v>
      </c>
      <c r="AK195" s="39">
        <v>0</v>
      </c>
      <c r="AL195" s="52">
        <v>0</v>
      </c>
      <c r="AM195" s="39">
        <v>0</v>
      </c>
      <c r="AN195" s="39">
        <v>0</v>
      </c>
      <c r="AO195" s="52">
        <v>0</v>
      </c>
      <c r="AP195" s="39">
        <v>291.99710655887532</v>
      </c>
      <c r="AQ195" s="39">
        <v>0</v>
      </c>
      <c r="AR195" s="52">
        <v>-291.99710655887532</v>
      </c>
      <c r="AS195" s="39">
        <v>3738.8353777026609</v>
      </c>
      <c r="AT195" s="39">
        <v>2402</v>
      </c>
      <c r="AU195" s="54">
        <v>-1336.8353777026609</v>
      </c>
      <c r="AV195" s="39">
        <v>234.83426435119529</v>
      </c>
      <c r="AW195" s="39">
        <v>0</v>
      </c>
      <c r="AX195" s="55">
        <v>-234.83426435119529</v>
      </c>
      <c r="AY195" s="39">
        <v>355.27199472401503</v>
      </c>
      <c r="AZ195" s="39">
        <v>0</v>
      </c>
      <c r="BA195" s="35">
        <v>-355.27199472401503</v>
      </c>
      <c r="BB195" s="39">
        <v>291.88442736632646</v>
      </c>
      <c r="BC195" s="39">
        <v>0</v>
      </c>
      <c r="BD195" s="55">
        <v>-291.88442736632646</v>
      </c>
      <c r="BE195" s="39">
        <v>148.75500964976717</v>
      </c>
      <c r="BF195" s="39">
        <v>0</v>
      </c>
      <c r="BG195" s="38">
        <v>-148.75500964976717</v>
      </c>
      <c r="BH195" s="39">
        <v>89.960355179059135</v>
      </c>
      <c r="BI195" s="39">
        <v>0</v>
      </c>
      <c r="BJ195" s="55">
        <v>-89.960355179059135</v>
      </c>
      <c r="BK195" s="39">
        <v>129.72769086525304</v>
      </c>
      <c r="BL195" s="39">
        <v>0</v>
      </c>
      <c r="BM195" s="38">
        <v>-129.72769086525304</v>
      </c>
      <c r="BN195" s="39">
        <v>0</v>
      </c>
      <c r="BO195" s="39">
        <v>0</v>
      </c>
      <c r="BP195" s="55">
        <v>0</v>
      </c>
      <c r="BQ195" s="77">
        <v>1250.4337421356161</v>
      </c>
      <c r="BR195" s="40">
        <v>0</v>
      </c>
      <c r="BS195" s="55">
        <v>-1250.4337421356161</v>
      </c>
      <c r="BT195" s="39">
        <v>3992.1287333348687</v>
      </c>
      <c r="BU195" s="39">
        <v>1339.9290936477621</v>
      </c>
      <c r="BV195" s="52">
        <v>-2652.1996396871064</v>
      </c>
      <c r="BW195" s="39">
        <v>3953.8482913113594</v>
      </c>
      <c r="BX195" s="39">
        <v>3368.5841557746708</v>
      </c>
      <c r="BY195" s="52">
        <v>-585.26413553668863</v>
      </c>
      <c r="BZ195" s="39">
        <v>3106.252592773656</v>
      </c>
      <c r="CA195" s="39">
        <v>5953.7024023271824</v>
      </c>
      <c r="CB195" s="52">
        <v>2847.4498095535264</v>
      </c>
      <c r="CC195" s="39">
        <v>328.44800132358586</v>
      </c>
      <c r="CD195" s="39">
        <v>324.03756332048044</v>
      </c>
      <c r="CE195" s="52">
        <v>-4.410438003105412</v>
      </c>
      <c r="CF195" s="39">
        <v>40.43393955688083</v>
      </c>
      <c r="CG195" s="39">
        <v>0</v>
      </c>
      <c r="CH195" s="52">
        <v>-40.43393955688083</v>
      </c>
      <c r="CI195" s="39">
        <v>698.78760661517299</v>
      </c>
      <c r="CJ195" s="39">
        <v>994.40615475146069</v>
      </c>
      <c r="CK195" s="52">
        <v>295.6185481362877</v>
      </c>
      <c r="CL195" s="39">
        <v>0</v>
      </c>
      <c r="CM195" s="39">
        <v>0</v>
      </c>
      <c r="CN195" s="52">
        <v>0</v>
      </c>
      <c r="CO195" s="39">
        <v>698.78760661517299</v>
      </c>
      <c r="CP195" s="40">
        <v>994.40615475146069</v>
      </c>
      <c r="CQ195" s="52">
        <v>295.6185481362877</v>
      </c>
      <c r="CR195" s="72">
        <v>22360.088518947192</v>
      </c>
      <c r="CS195" s="5">
        <v>19003.289177586212</v>
      </c>
      <c r="CT195" s="52">
        <v>-3356.7993413609802</v>
      </c>
      <c r="CU195" s="77">
        <v>26832.106222736631</v>
      </c>
      <c r="CV195" s="65">
        <v>22803.947013103454</v>
      </c>
      <c r="CW195" s="35">
        <v>-4028.1592096331769</v>
      </c>
      <c r="CX195" s="39">
        <v>0</v>
      </c>
      <c r="CY195" s="39">
        <v>4028.1592096331842</v>
      </c>
      <c r="CZ195" s="52">
        <v>4028.1592096331842</v>
      </c>
      <c r="DA195" s="150">
        <v>19226.86371410764</v>
      </c>
      <c r="DB195" s="2">
        <v>2</v>
      </c>
      <c r="DC195" s="713">
        <v>24155.82</v>
      </c>
      <c r="DD195" s="714">
        <v>2304.0700000000006</v>
      </c>
      <c r="DE195" s="715">
        <v>11529.386910175575</v>
      </c>
      <c r="DF195" s="716">
        <v>1514.4499784561094</v>
      </c>
      <c r="DG195" s="717">
        <v>-11182.179157154122</v>
      </c>
      <c r="DH195" s="718">
        <v>129249.85667516428</v>
      </c>
      <c r="DI195" s="718">
        <v>321985.27467283956</v>
      </c>
      <c r="DJ195" s="693">
        <v>273801.42017342075</v>
      </c>
      <c r="DK195" s="724"/>
      <c r="DL195" s="5"/>
      <c r="DM195" s="306">
        <v>5.9322754752678852</v>
      </c>
      <c r="DN195" s="306"/>
      <c r="DO195" s="306">
        <v>4.8176938471256321</v>
      </c>
      <c r="DP195" s="719">
        <v>12626.433089824424</v>
      </c>
      <c r="DQ195" s="720">
        <v>789.62002154389108</v>
      </c>
      <c r="DR195" s="650">
        <v>13416.053111368316</v>
      </c>
      <c r="DS195" s="94">
        <v>13416.053111368316</v>
      </c>
      <c r="DT195" s="719">
        <v>12626.46</v>
      </c>
      <c r="DU195" s="725">
        <v>789.62</v>
      </c>
      <c r="DV195" s="93">
        <v>13416.08</v>
      </c>
      <c r="DW195" s="95">
        <v>13416.053111368316</v>
      </c>
      <c r="DX195" s="28">
        <v>2.6888631684414577E-2</v>
      </c>
      <c r="EA195" s="5">
        <v>5987.1229438059327</v>
      </c>
      <c r="EB195" s="5">
        <v>2882.4</v>
      </c>
      <c r="EE195" s="722">
        <v>44866.024532431933</v>
      </c>
      <c r="EG195" s="42" t="s">
        <v>267</v>
      </c>
    </row>
    <row r="196" spans="1:137" x14ac:dyDescent="0.3">
      <c r="A196" s="325">
        <v>150000932</v>
      </c>
      <c r="B196" s="41" t="s">
        <v>665</v>
      </c>
      <c r="C196" s="42" t="s">
        <v>174</v>
      </c>
      <c r="D196" s="27">
        <v>2</v>
      </c>
      <c r="E196" s="709">
        <v>354.3</v>
      </c>
      <c r="F196" s="723">
        <v>354.3</v>
      </c>
      <c r="G196" s="28"/>
      <c r="H196" s="651">
        <v>0</v>
      </c>
      <c r="I196" s="39">
        <v>72.971859826195953</v>
      </c>
      <c r="J196" s="39">
        <v>78.939668207359503</v>
      </c>
      <c r="K196" s="52">
        <v>5.9678083811635503</v>
      </c>
      <c r="L196" s="39">
        <v>40.340596299837237</v>
      </c>
      <c r="M196" s="39">
        <v>43.832043886000839</v>
      </c>
      <c r="N196" s="52">
        <v>3.4914475861636021</v>
      </c>
      <c r="O196" s="39">
        <v>80.62</v>
      </c>
      <c r="P196" s="39">
        <v>80.62</v>
      </c>
      <c r="Q196" s="52">
        <v>0</v>
      </c>
      <c r="R196" s="39">
        <v>0</v>
      </c>
      <c r="S196" s="39">
        <v>0</v>
      </c>
      <c r="T196" s="52">
        <v>0</v>
      </c>
      <c r="U196" s="39">
        <v>0</v>
      </c>
      <c r="V196" s="39">
        <v>0</v>
      </c>
      <c r="W196" s="52">
        <v>0</v>
      </c>
      <c r="X196" s="39">
        <v>37.053408462048985</v>
      </c>
      <c r="Y196" s="39">
        <v>12.176157336599102</v>
      </c>
      <c r="Z196" s="52">
        <v>-24.877251125449881</v>
      </c>
      <c r="AA196" s="39">
        <v>0</v>
      </c>
      <c r="AB196" s="39">
        <v>0</v>
      </c>
      <c r="AC196" s="52">
        <v>0</v>
      </c>
      <c r="AD196" s="39">
        <v>252.48785203569767</v>
      </c>
      <c r="AE196" s="39">
        <v>211.86668537960946</v>
      </c>
      <c r="AF196" s="35">
        <v>-40.621166656088207</v>
      </c>
      <c r="AG196" s="77">
        <v>483.47371662377986</v>
      </c>
      <c r="AH196" s="53">
        <v>427.43455480956891</v>
      </c>
      <c r="AI196" s="52">
        <v>-56.039161814210956</v>
      </c>
      <c r="AJ196" s="39">
        <v>0</v>
      </c>
      <c r="AK196" s="39">
        <v>0</v>
      </c>
      <c r="AL196" s="52">
        <v>0</v>
      </c>
      <c r="AM196" s="39">
        <v>0</v>
      </c>
      <c r="AN196" s="39">
        <v>0</v>
      </c>
      <c r="AO196" s="52">
        <v>0</v>
      </c>
      <c r="AP196" s="39">
        <v>386.69887084824029</v>
      </c>
      <c r="AQ196" s="39">
        <v>0</v>
      </c>
      <c r="AR196" s="52">
        <v>-386.69887084824029</v>
      </c>
      <c r="AS196" s="39">
        <v>448.18829791239602</v>
      </c>
      <c r="AT196" s="39">
        <v>0</v>
      </c>
      <c r="AU196" s="54">
        <v>-448.18829791239602</v>
      </c>
      <c r="AV196" s="39">
        <v>50.356859347754401</v>
      </c>
      <c r="AW196" s="39">
        <v>0</v>
      </c>
      <c r="AX196" s="55">
        <v>-50.356859347754401</v>
      </c>
      <c r="AY196" s="39">
        <v>52.004483831338867</v>
      </c>
      <c r="AZ196" s="39">
        <v>0</v>
      </c>
      <c r="BA196" s="35">
        <v>-52.004483831338867</v>
      </c>
      <c r="BB196" s="39">
        <v>41.88574554546431</v>
      </c>
      <c r="BC196" s="39">
        <v>0</v>
      </c>
      <c r="BD196" s="55">
        <v>-41.88574554546431</v>
      </c>
      <c r="BE196" s="39">
        <v>0</v>
      </c>
      <c r="BF196" s="39">
        <v>0</v>
      </c>
      <c r="BG196" s="38">
        <v>0</v>
      </c>
      <c r="BH196" s="39">
        <v>0</v>
      </c>
      <c r="BI196" s="39">
        <v>0</v>
      </c>
      <c r="BJ196" s="55">
        <v>0</v>
      </c>
      <c r="BK196" s="39">
        <v>0.28321488959834151</v>
      </c>
      <c r="BL196" s="39">
        <v>0</v>
      </c>
      <c r="BM196" s="38">
        <v>-0.28321488959834151</v>
      </c>
      <c r="BN196" s="39">
        <v>0</v>
      </c>
      <c r="BO196" s="39">
        <v>0</v>
      </c>
      <c r="BP196" s="55">
        <v>0</v>
      </c>
      <c r="BQ196" s="77">
        <v>144.53030361415594</v>
      </c>
      <c r="BR196" s="40">
        <v>0</v>
      </c>
      <c r="BS196" s="55">
        <v>-144.53030361415594</v>
      </c>
      <c r="BT196" s="39">
        <v>1242.4336902557943</v>
      </c>
      <c r="BU196" s="39">
        <v>298.39581940041484</v>
      </c>
      <c r="BV196" s="52">
        <v>-944.03787085537942</v>
      </c>
      <c r="BW196" s="39">
        <v>45.47124451660801</v>
      </c>
      <c r="BX196" s="39">
        <v>1.4341747356953474</v>
      </c>
      <c r="BY196" s="52">
        <v>-44.03706978091266</v>
      </c>
      <c r="BZ196" s="39">
        <v>377.93785294754753</v>
      </c>
      <c r="CA196" s="39">
        <v>1266.9200660293998</v>
      </c>
      <c r="CB196" s="52">
        <v>888.98221308185225</v>
      </c>
      <c r="CC196" s="39">
        <v>0</v>
      </c>
      <c r="CD196" s="39">
        <v>0</v>
      </c>
      <c r="CE196" s="52">
        <v>0</v>
      </c>
      <c r="CF196" s="39">
        <v>0</v>
      </c>
      <c r="CG196" s="39">
        <v>0</v>
      </c>
      <c r="CH196" s="52">
        <v>0</v>
      </c>
      <c r="CI196" s="39">
        <v>0</v>
      </c>
      <c r="CJ196" s="39">
        <v>0</v>
      </c>
      <c r="CK196" s="52">
        <v>0</v>
      </c>
      <c r="CL196" s="39">
        <v>0</v>
      </c>
      <c r="CM196" s="39">
        <v>0</v>
      </c>
      <c r="CN196" s="52">
        <v>0</v>
      </c>
      <c r="CO196" s="39">
        <v>0</v>
      </c>
      <c r="CP196" s="40">
        <v>0</v>
      </c>
      <c r="CQ196" s="52">
        <v>0</v>
      </c>
      <c r="CR196" s="72">
        <v>3128.7339767185217</v>
      </c>
      <c r="CS196" s="5">
        <v>1994.1846149750791</v>
      </c>
      <c r="CT196" s="52">
        <v>-1134.5493617434427</v>
      </c>
      <c r="CU196" s="77">
        <v>3754.4807720622257</v>
      </c>
      <c r="CV196" s="65">
        <v>2393.0215379700949</v>
      </c>
      <c r="CW196" s="35">
        <v>-1361.4592340921308</v>
      </c>
      <c r="CX196" s="39">
        <v>56.317211580933382</v>
      </c>
      <c r="CY196" s="39">
        <v>1417.7764456730647</v>
      </c>
      <c r="CZ196" s="52">
        <v>1361.4592340921313</v>
      </c>
      <c r="DA196" s="150">
        <v>5913.5866047392028</v>
      </c>
      <c r="DB196" s="2">
        <v>2</v>
      </c>
      <c r="DC196" s="713">
        <v>2243.66</v>
      </c>
      <c r="DD196" s="714"/>
      <c r="DE196" s="715">
        <v>338.2610081784203</v>
      </c>
      <c r="DF196" s="716">
        <v>0</v>
      </c>
      <c r="DG196" s="717">
        <v>4247.2683031774986</v>
      </c>
      <c r="DH196" s="718">
        <v>18286.662524089064</v>
      </c>
      <c r="DI196" s="718">
        <v>45729.575803717911</v>
      </c>
      <c r="DJ196" s="693">
        <v>38868.847483810699</v>
      </c>
      <c r="DK196" s="724"/>
      <c r="DL196" s="5"/>
      <c r="DM196" s="306">
        <v>5.3779254637922085</v>
      </c>
      <c r="DN196" s="306"/>
      <c r="DO196" s="306">
        <v>5.2997657462911807</v>
      </c>
      <c r="DP196" s="719">
        <v>1905.3989918215796</v>
      </c>
      <c r="DQ196" s="720">
        <v>0</v>
      </c>
      <c r="DR196" s="650">
        <v>1905.3989918215796</v>
      </c>
      <c r="DS196" s="94">
        <v>1905.3989918215796</v>
      </c>
      <c r="DT196" s="719">
        <v>1905.39</v>
      </c>
      <c r="DU196" s="721"/>
      <c r="DV196" s="93">
        <v>1905.39</v>
      </c>
      <c r="DW196" s="95">
        <v>1911.0307129796729</v>
      </c>
      <c r="DX196" s="28">
        <v>-5.6407129796727986</v>
      </c>
      <c r="EA196" s="5">
        <v>711.26232183186232</v>
      </c>
      <c r="EB196" s="5">
        <v>0</v>
      </c>
      <c r="EE196" s="722">
        <v>5378.2595749487518</v>
      </c>
      <c r="EG196" s="42" t="s">
        <v>174</v>
      </c>
    </row>
    <row r="197" spans="1:137" x14ac:dyDescent="0.3">
      <c r="A197" s="325">
        <v>150000924</v>
      </c>
      <c r="B197" s="41" t="s">
        <v>666</v>
      </c>
      <c r="C197" s="42" t="s">
        <v>175</v>
      </c>
      <c r="D197" s="27">
        <v>2</v>
      </c>
      <c r="E197" s="709">
        <v>474.29999999999995</v>
      </c>
      <c r="F197" s="723">
        <v>397.4</v>
      </c>
      <c r="G197" s="28"/>
      <c r="H197" s="651">
        <v>76.900000000000006</v>
      </c>
      <c r="I197" s="39">
        <v>403.39185773935259</v>
      </c>
      <c r="J197" s="39">
        <v>429.54992628431239</v>
      </c>
      <c r="K197" s="52">
        <v>26.158068544959804</v>
      </c>
      <c r="L197" s="39">
        <v>109.38260822167149</v>
      </c>
      <c r="M197" s="39">
        <v>118.85021190605117</v>
      </c>
      <c r="N197" s="52">
        <v>9.4676036843796822</v>
      </c>
      <c r="O197" s="39">
        <v>109.34</v>
      </c>
      <c r="P197" s="39">
        <v>109.34</v>
      </c>
      <c r="Q197" s="52">
        <v>0</v>
      </c>
      <c r="R197" s="39">
        <v>0</v>
      </c>
      <c r="S197" s="39">
        <v>0</v>
      </c>
      <c r="T197" s="52">
        <v>0</v>
      </c>
      <c r="U197" s="39">
        <v>0</v>
      </c>
      <c r="V197" s="39">
        <v>0</v>
      </c>
      <c r="W197" s="52">
        <v>0</v>
      </c>
      <c r="X197" s="39">
        <v>201.19626340407379</v>
      </c>
      <c r="Y197" s="39">
        <v>121.34332920939752</v>
      </c>
      <c r="Z197" s="52">
        <v>-79.852934194676266</v>
      </c>
      <c r="AA197" s="39">
        <v>0</v>
      </c>
      <c r="AB197" s="39">
        <v>0</v>
      </c>
      <c r="AC197" s="52">
        <v>0</v>
      </c>
      <c r="AD197" s="39">
        <v>338.00448269977812</v>
      </c>
      <c r="AE197" s="39">
        <v>283.6250885564458</v>
      </c>
      <c r="AF197" s="35">
        <v>-54.37939414333232</v>
      </c>
      <c r="AG197" s="77">
        <v>1161.3152120648761</v>
      </c>
      <c r="AH197" s="53">
        <v>1062.708555956207</v>
      </c>
      <c r="AI197" s="52">
        <v>-98.606656108669085</v>
      </c>
      <c r="AJ197" s="39">
        <v>0</v>
      </c>
      <c r="AK197" s="39">
        <v>0</v>
      </c>
      <c r="AL197" s="52">
        <v>0</v>
      </c>
      <c r="AM197" s="39">
        <v>0</v>
      </c>
      <c r="AN197" s="39">
        <v>0</v>
      </c>
      <c r="AO197" s="52">
        <v>0</v>
      </c>
      <c r="AP197" s="39">
        <v>165.7280875063887</v>
      </c>
      <c r="AQ197" s="39">
        <v>0</v>
      </c>
      <c r="AR197" s="52">
        <v>-165.7280875063887</v>
      </c>
      <c r="AS197" s="39">
        <v>950.93820110495744</v>
      </c>
      <c r="AT197" s="39">
        <v>261</v>
      </c>
      <c r="AU197" s="54">
        <v>-689.93820110495744</v>
      </c>
      <c r="AV197" s="39">
        <v>68.737885799463683</v>
      </c>
      <c r="AW197" s="39">
        <v>0</v>
      </c>
      <c r="AX197" s="55">
        <v>-68.737885799463683</v>
      </c>
      <c r="AY197" s="39">
        <v>140.94151713113857</v>
      </c>
      <c r="AZ197" s="39">
        <v>0</v>
      </c>
      <c r="BA197" s="35">
        <v>-140.94151713113857</v>
      </c>
      <c r="BB197" s="39">
        <v>50.066584629659644</v>
      </c>
      <c r="BC197" s="39">
        <v>0</v>
      </c>
      <c r="BD197" s="55">
        <v>-50.066584629659644</v>
      </c>
      <c r="BE197" s="39">
        <v>0</v>
      </c>
      <c r="BF197" s="39">
        <v>0</v>
      </c>
      <c r="BG197" s="38">
        <v>0</v>
      </c>
      <c r="BH197" s="39">
        <v>0</v>
      </c>
      <c r="BI197" s="39">
        <v>0</v>
      </c>
      <c r="BJ197" s="55">
        <v>0</v>
      </c>
      <c r="BK197" s="39">
        <v>19.771301113804686</v>
      </c>
      <c r="BL197" s="39">
        <v>0</v>
      </c>
      <c r="BM197" s="38">
        <v>-19.771301113804686</v>
      </c>
      <c r="BN197" s="39">
        <v>0</v>
      </c>
      <c r="BO197" s="39">
        <v>0</v>
      </c>
      <c r="BP197" s="55">
        <v>0</v>
      </c>
      <c r="BQ197" s="77">
        <v>279.51728867406655</v>
      </c>
      <c r="BR197" s="40">
        <v>0</v>
      </c>
      <c r="BS197" s="55">
        <v>-279.51728867406655</v>
      </c>
      <c r="BT197" s="39">
        <v>1547.0980408854621</v>
      </c>
      <c r="BU197" s="39">
        <v>363.89819913319525</v>
      </c>
      <c r="BV197" s="52">
        <v>-1183.1998417522668</v>
      </c>
      <c r="BW197" s="39">
        <v>400.43647143041733</v>
      </c>
      <c r="BX197" s="39">
        <v>305.04850050915547</v>
      </c>
      <c r="BY197" s="52">
        <v>-95.387970921261854</v>
      </c>
      <c r="BZ197" s="39">
        <v>420.68883365971362</v>
      </c>
      <c r="CA197" s="39">
        <v>1625.0060805478947</v>
      </c>
      <c r="CB197" s="52">
        <v>1204.3172468881812</v>
      </c>
      <c r="CC197" s="39">
        <v>52.453636032274154</v>
      </c>
      <c r="CD197" s="39">
        <v>51.74928250043493</v>
      </c>
      <c r="CE197" s="52">
        <v>-0.70435353183922444</v>
      </c>
      <c r="CF197" s="39">
        <v>6.4573604963973867</v>
      </c>
      <c r="CG197" s="39">
        <v>0</v>
      </c>
      <c r="CH197" s="52">
        <v>-6.4573604963973867</v>
      </c>
      <c r="CI197" s="39">
        <v>215.25153953770956</v>
      </c>
      <c r="CJ197" s="39">
        <v>283.25633268126035</v>
      </c>
      <c r="CK197" s="52">
        <v>68.004793143550785</v>
      </c>
      <c r="CL197" s="39">
        <v>0</v>
      </c>
      <c r="CM197" s="39">
        <v>0</v>
      </c>
      <c r="CN197" s="52">
        <v>0</v>
      </c>
      <c r="CO197" s="39">
        <v>215.25153953770956</v>
      </c>
      <c r="CP197" s="40">
        <v>283.25633268126035</v>
      </c>
      <c r="CQ197" s="52">
        <v>68.004793143550785</v>
      </c>
      <c r="CR197" s="72">
        <v>5199.884671392263</v>
      </c>
      <c r="CS197" s="5">
        <v>3952.6669513281477</v>
      </c>
      <c r="CT197" s="52">
        <v>-1247.2177200641154</v>
      </c>
      <c r="CU197" s="77">
        <v>6239.8616056707151</v>
      </c>
      <c r="CV197" s="65">
        <v>4743.200341593777</v>
      </c>
      <c r="CW197" s="35">
        <v>-1496.6612640769381</v>
      </c>
      <c r="CX197" s="39">
        <v>0</v>
      </c>
      <c r="CY197" s="39">
        <v>1496.6612640769381</v>
      </c>
      <c r="CZ197" s="52">
        <v>1496.6612640769381</v>
      </c>
      <c r="DA197" s="150">
        <v>35125.861272766095</v>
      </c>
      <c r="DB197" s="2">
        <v>2</v>
      </c>
      <c r="DC197" s="713">
        <v>3396.45</v>
      </c>
      <c r="DD197" s="714">
        <v>4492.53</v>
      </c>
      <c r="DE197" s="715">
        <v>743.41048948224579</v>
      </c>
      <c r="DF197" s="716">
        <v>4025.6387076823958</v>
      </c>
      <c r="DG197" s="717">
        <v>-4949.3814879538277</v>
      </c>
      <c r="DH197" s="718">
        <v>29656.181184265075</v>
      </c>
      <c r="DI197" s="718">
        <v>74878.339268048585</v>
      </c>
      <c r="DJ197" s="693">
        <v>63572.799747102697</v>
      </c>
      <c r="DK197" s="724"/>
      <c r="DL197" s="5"/>
      <c r="DM197" s="306">
        <v>6.6759927290331005</v>
      </c>
      <c r="DN197" s="306"/>
      <c r="DO197" s="306">
        <v>6.0714082225956307</v>
      </c>
      <c r="DP197" s="719">
        <v>2653.039510517754</v>
      </c>
      <c r="DQ197" s="720">
        <v>466.89129231760404</v>
      </c>
      <c r="DR197" s="650">
        <v>3119.930802835358</v>
      </c>
      <c r="DS197" s="94">
        <v>3119.9308028353571</v>
      </c>
      <c r="DT197" s="719">
        <v>2653.03</v>
      </c>
      <c r="DU197" s="725">
        <v>466.89</v>
      </c>
      <c r="DV197" s="93">
        <v>3119.92</v>
      </c>
      <c r="DW197" s="95">
        <v>3119.9308028353576</v>
      </c>
      <c r="DX197" s="28">
        <v>-1.0802835357480944E-2</v>
      </c>
      <c r="EA197" s="5">
        <v>1476.5465877348288</v>
      </c>
      <c r="EB197" s="5">
        <v>313.2</v>
      </c>
      <c r="EE197" s="722">
        <v>11411.258413259489</v>
      </c>
      <c r="EG197" s="42" t="s">
        <v>175</v>
      </c>
    </row>
    <row r="198" spans="1:137" x14ac:dyDescent="0.3">
      <c r="A198" s="325">
        <v>150000933</v>
      </c>
      <c r="B198" s="41" t="s">
        <v>667</v>
      </c>
      <c r="C198" s="42" t="s">
        <v>268</v>
      </c>
      <c r="D198" s="27">
        <v>5</v>
      </c>
      <c r="E198" s="709">
        <v>4735.0700000000006</v>
      </c>
      <c r="F198" s="723">
        <v>4358.7700000000004</v>
      </c>
      <c r="G198" s="28"/>
      <c r="H198" s="651">
        <v>376.3</v>
      </c>
      <c r="I198" s="39">
        <v>2338.4513727925773</v>
      </c>
      <c r="J198" s="39">
        <v>2519.9959823458394</v>
      </c>
      <c r="K198" s="52">
        <v>181.54460955326203</v>
      </c>
      <c r="L198" s="39">
        <v>481.37387211591579</v>
      </c>
      <c r="M198" s="39">
        <v>523.03738431693671</v>
      </c>
      <c r="N198" s="52">
        <v>41.663512201020922</v>
      </c>
      <c r="O198" s="39">
        <v>1078.22</v>
      </c>
      <c r="P198" s="39">
        <v>1078.22</v>
      </c>
      <c r="Q198" s="52">
        <v>0</v>
      </c>
      <c r="R198" s="39">
        <v>257.04000000000002</v>
      </c>
      <c r="S198" s="39">
        <v>257.04000000000002</v>
      </c>
      <c r="T198" s="52">
        <v>0</v>
      </c>
      <c r="U198" s="39">
        <v>147.75798163649051</v>
      </c>
      <c r="V198" s="39">
        <v>445.72468608221482</v>
      </c>
      <c r="W198" s="52">
        <v>297.9667044457243</v>
      </c>
      <c r="X198" s="39">
        <v>1777.3195384548037</v>
      </c>
      <c r="Y198" s="39">
        <v>1115.3326435339543</v>
      </c>
      <c r="Z198" s="52">
        <v>-661.98689492084941</v>
      </c>
      <c r="AA198" s="39">
        <v>0</v>
      </c>
      <c r="AB198" s="39">
        <v>0</v>
      </c>
      <c r="AC198" s="52">
        <v>0</v>
      </c>
      <c r="AD198" s="39">
        <v>3374.3936029880638</v>
      </c>
      <c r="AE198" s="39">
        <v>2831.5088510878559</v>
      </c>
      <c r="AF198" s="35">
        <v>-542.8847519002079</v>
      </c>
      <c r="AG198" s="77">
        <v>9454.5563679878505</v>
      </c>
      <c r="AH198" s="53">
        <v>8770.8595473668011</v>
      </c>
      <c r="AI198" s="52">
        <v>-683.69682062104948</v>
      </c>
      <c r="AJ198" s="39">
        <v>0</v>
      </c>
      <c r="AK198" s="39">
        <v>0</v>
      </c>
      <c r="AL198" s="52">
        <v>0</v>
      </c>
      <c r="AM198" s="39">
        <v>0</v>
      </c>
      <c r="AN198" s="39">
        <v>0</v>
      </c>
      <c r="AO198" s="52">
        <v>0</v>
      </c>
      <c r="AP198" s="39">
        <v>623.45328157165284</v>
      </c>
      <c r="AQ198" s="39">
        <v>0</v>
      </c>
      <c r="AR198" s="52">
        <v>-623.45328157165284</v>
      </c>
      <c r="AS198" s="39">
        <v>8763.0691241502554</v>
      </c>
      <c r="AT198" s="39">
        <v>3827</v>
      </c>
      <c r="AU198" s="54">
        <v>-4936.0691241502554</v>
      </c>
      <c r="AV198" s="39">
        <v>390.33847504504604</v>
      </c>
      <c r="AW198" s="39">
        <v>0</v>
      </c>
      <c r="AX198" s="55">
        <v>-390.33847504504604</v>
      </c>
      <c r="AY198" s="39">
        <v>620.41262887163259</v>
      </c>
      <c r="AZ198" s="39">
        <v>0</v>
      </c>
      <c r="BA198" s="35">
        <v>-620.41262887163259</v>
      </c>
      <c r="BB198" s="39">
        <v>575.45004834420865</v>
      </c>
      <c r="BC198" s="39">
        <v>0</v>
      </c>
      <c r="BD198" s="55">
        <v>-575.45004834420865</v>
      </c>
      <c r="BE198" s="39">
        <v>271.31080726994344</v>
      </c>
      <c r="BF198" s="39">
        <v>0</v>
      </c>
      <c r="BG198" s="38">
        <v>-271.31080726994344</v>
      </c>
      <c r="BH198" s="39">
        <v>149.88538452814583</v>
      </c>
      <c r="BI198" s="39">
        <v>0</v>
      </c>
      <c r="BJ198" s="55">
        <v>-149.88538452814583</v>
      </c>
      <c r="BK198" s="39">
        <v>252.38051312156597</v>
      </c>
      <c r="BL198" s="39">
        <v>0</v>
      </c>
      <c r="BM198" s="38">
        <v>-252.38051312156597</v>
      </c>
      <c r="BN198" s="39">
        <v>0</v>
      </c>
      <c r="BO198" s="39">
        <v>0</v>
      </c>
      <c r="BP198" s="55">
        <v>0</v>
      </c>
      <c r="BQ198" s="77">
        <v>2259.7778571805425</v>
      </c>
      <c r="BR198" s="40">
        <v>0</v>
      </c>
      <c r="BS198" s="55">
        <v>-2259.7778571805425</v>
      </c>
      <c r="BT198" s="39">
        <v>11487.492797209252</v>
      </c>
      <c r="BU198" s="39">
        <v>2588.8354401882825</v>
      </c>
      <c r="BV198" s="52">
        <v>-8898.6573570209694</v>
      </c>
      <c r="BW198" s="39">
        <v>5122.0058400875741</v>
      </c>
      <c r="BX198" s="39">
        <v>4359.8539893694997</v>
      </c>
      <c r="BY198" s="52">
        <v>-762.15185071807446</v>
      </c>
      <c r="BZ198" s="39">
        <v>2642.6804770956051</v>
      </c>
      <c r="CA198" s="39">
        <v>11551.601080430064</v>
      </c>
      <c r="CB198" s="52">
        <v>8908.9206033344599</v>
      </c>
      <c r="CC198" s="39">
        <v>452.47388839055179</v>
      </c>
      <c r="CD198" s="39">
        <v>446.39801633552753</v>
      </c>
      <c r="CE198" s="52">
        <v>-6.0758720550242629</v>
      </c>
      <c r="CF198" s="39">
        <v>55.702277926867183</v>
      </c>
      <c r="CG198" s="39">
        <v>0</v>
      </c>
      <c r="CH198" s="52">
        <v>-55.702277926867183</v>
      </c>
      <c r="CI198" s="39">
        <v>1466.2061388800507</v>
      </c>
      <c r="CJ198" s="39">
        <v>1822.166402891532</v>
      </c>
      <c r="CK198" s="52">
        <v>355.96026401148129</v>
      </c>
      <c r="CL198" s="39">
        <v>0</v>
      </c>
      <c r="CM198" s="39">
        <v>0</v>
      </c>
      <c r="CN198" s="52">
        <v>0</v>
      </c>
      <c r="CO198" s="39">
        <v>1466.2061388800507</v>
      </c>
      <c r="CP198" s="40">
        <v>1822.166402891532</v>
      </c>
      <c r="CQ198" s="52">
        <v>355.96026401148129</v>
      </c>
      <c r="CR198" s="72">
        <v>42327.418050480199</v>
      </c>
      <c r="CS198" s="5">
        <v>33366.714476581707</v>
      </c>
      <c r="CT198" s="52">
        <v>-8960.7035738984923</v>
      </c>
      <c r="CU198" s="77">
        <v>50792.901660576237</v>
      </c>
      <c r="CV198" s="65">
        <v>40040.057371898045</v>
      </c>
      <c r="CW198" s="35">
        <v>-10752.844288678192</v>
      </c>
      <c r="CX198" s="39">
        <v>1015.8580332115248</v>
      </c>
      <c r="CY198" s="39">
        <v>11768.702321889712</v>
      </c>
      <c r="CZ198" s="52">
        <v>10752.844288678187</v>
      </c>
      <c r="DA198" s="150">
        <v>6587.7204628016916</v>
      </c>
      <c r="DB198" s="2">
        <v>2</v>
      </c>
      <c r="DC198" s="713">
        <v>34394.75</v>
      </c>
      <c r="DD198" s="714">
        <v>38404.979999999996</v>
      </c>
      <c r="DE198" s="715">
        <v>10299.898360342697</v>
      </c>
      <c r="DF198" s="716">
        <v>36595.451792763422</v>
      </c>
      <c r="DG198" s="717">
        <v>-25572.44261937651</v>
      </c>
      <c r="DH198" s="718">
        <v>248609.2475790552</v>
      </c>
      <c r="DI198" s="718">
        <v>621705.11632545316</v>
      </c>
      <c r="DJ198" s="693">
        <v>528431.14913885365</v>
      </c>
      <c r="DK198" s="724"/>
      <c r="DL198" s="5"/>
      <c r="DM198" s="306">
        <v>5.5279015960138524</v>
      </c>
      <c r="DN198" s="306"/>
      <c r="DO198" s="306">
        <v>4.8087382599962156</v>
      </c>
      <c r="DP198" s="719">
        <v>24094.851639657303</v>
      </c>
      <c r="DQ198" s="720">
        <v>1809.528207236576</v>
      </c>
      <c r="DR198" s="650">
        <v>25904.37984689388</v>
      </c>
      <c r="DS198" s="94">
        <v>25904.37984689388</v>
      </c>
      <c r="DT198" s="719">
        <v>24094.82</v>
      </c>
      <c r="DU198" s="725">
        <v>1809.5100000000002</v>
      </c>
      <c r="DV198" s="93">
        <v>25904.33</v>
      </c>
      <c r="DW198" s="95">
        <v>26005.965650215032</v>
      </c>
      <c r="DX198" s="28">
        <v>-101.63565021503018</v>
      </c>
      <c r="EA198" s="5">
        <v>13227.416377596957</v>
      </c>
      <c r="EB198" s="5">
        <v>4592.3999999999996</v>
      </c>
      <c r="EE198" s="722">
        <v>105156.82948980306</v>
      </c>
      <c r="EG198" s="42" t="s">
        <v>268</v>
      </c>
    </row>
    <row r="199" spans="1:137" x14ac:dyDescent="0.3">
      <c r="A199" s="325">
        <v>150000934</v>
      </c>
      <c r="B199" s="41" t="s">
        <v>668</v>
      </c>
      <c r="C199" s="42" t="s">
        <v>216</v>
      </c>
      <c r="D199" s="27">
        <v>4</v>
      </c>
      <c r="E199" s="709">
        <v>1981.17</v>
      </c>
      <c r="F199" s="723">
        <v>1981.17</v>
      </c>
      <c r="G199" s="28"/>
      <c r="H199" s="651">
        <v>0</v>
      </c>
      <c r="I199" s="39">
        <v>1099.6846566762104</v>
      </c>
      <c r="J199" s="39">
        <v>1179.266178818923</v>
      </c>
      <c r="K199" s="52">
        <v>79.581522142712629</v>
      </c>
      <c r="L199" s="39">
        <v>156.23343472749542</v>
      </c>
      <c r="M199" s="39">
        <v>169.7553973482282</v>
      </c>
      <c r="N199" s="52">
        <v>13.521962620732779</v>
      </c>
      <c r="O199" s="39">
        <v>424.88</v>
      </c>
      <c r="P199" s="39">
        <v>424.88</v>
      </c>
      <c r="Q199" s="52">
        <v>0</v>
      </c>
      <c r="R199" s="39">
        <v>0</v>
      </c>
      <c r="S199" s="39">
        <v>0</v>
      </c>
      <c r="T199" s="52">
        <v>0</v>
      </c>
      <c r="U199" s="39">
        <v>0</v>
      </c>
      <c r="V199" s="39">
        <v>0</v>
      </c>
      <c r="W199" s="52">
        <v>0</v>
      </c>
      <c r="X199" s="39">
        <v>770.1690841785512</v>
      </c>
      <c r="Y199" s="39">
        <v>462.90547814613228</v>
      </c>
      <c r="Z199" s="52">
        <v>-307.26360603241892</v>
      </c>
      <c r="AA199" s="39">
        <v>0</v>
      </c>
      <c r="AB199" s="39">
        <v>0</v>
      </c>
      <c r="AC199" s="52">
        <v>0</v>
      </c>
      <c r="AD199" s="39">
        <v>1411.8581931063029</v>
      </c>
      <c r="AE199" s="39">
        <v>1184.7132968487747</v>
      </c>
      <c r="AF199" s="35">
        <v>-227.14489625752822</v>
      </c>
      <c r="AG199" s="77">
        <v>3862.82536868856</v>
      </c>
      <c r="AH199" s="53">
        <v>3421.5203511620584</v>
      </c>
      <c r="AI199" s="52">
        <v>-441.30501752650162</v>
      </c>
      <c r="AJ199" s="39">
        <v>0</v>
      </c>
      <c r="AK199" s="39">
        <v>0</v>
      </c>
      <c r="AL199" s="52">
        <v>0</v>
      </c>
      <c r="AM199" s="39">
        <v>0</v>
      </c>
      <c r="AN199" s="39">
        <v>0</v>
      </c>
      <c r="AO199" s="52">
        <v>0</v>
      </c>
      <c r="AP199" s="39">
        <v>852.31587860428476</v>
      </c>
      <c r="AQ199" s="39">
        <v>0</v>
      </c>
      <c r="AR199" s="52">
        <v>-852.31587860428476</v>
      </c>
      <c r="AS199" s="39">
        <v>2988.2570570820485</v>
      </c>
      <c r="AT199" s="39">
        <v>391</v>
      </c>
      <c r="AU199" s="54">
        <v>-2597.2570570820485</v>
      </c>
      <c r="AV199" s="39">
        <v>187.94647068857452</v>
      </c>
      <c r="AW199" s="39">
        <v>0</v>
      </c>
      <c r="AX199" s="55">
        <v>-187.94647068857452</v>
      </c>
      <c r="AY199" s="39">
        <v>201.394921118063</v>
      </c>
      <c r="AZ199" s="39">
        <v>0</v>
      </c>
      <c r="BA199" s="35">
        <v>-201.394921118063</v>
      </c>
      <c r="BB199" s="39">
        <v>261.14611199583754</v>
      </c>
      <c r="BC199" s="39">
        <v>0</v>
      </c>
      <c r="BD199" s="55">
        <v>-261.14611199583754</v>
      </c>
      <c r="BE199" s="39">
        <v>0</v>
      </c>
      <c r="BF199" s="39">
        <v>0</v>
      </c>
      <c r="BG199" s="38">
        <v>0</v>
      </c>
      <c r="BH199" s="39">
        <v>0</v>
      </c>
      <c r="BI199" s="39">
        <v>0</v>
      </c>
      <c r="BJ199" s="55">
        <v>0</v>
      </c>
      <c r="BK199" s="39">
        <v>98.937810135742524</v>
      </c>
      <c r="BL199" s="39">
        <v>0</v>
      </c>
      <c r="BM199" s="38">
        <v>-98.937810135742524</v>
      </c>
      <c r="BN199" s="39">
        <v>0</v>
      </c>
      <c r="BO199" s="39">
        <v>0</v>
      </c>
      <c r="BP199" s="55">
        <v>0</v>
      </c>
      <c r="BQ199" s="77">
        <v>749.42531393821753</v>
      </c>
      <c r="BR199" s="40">
        <v>0</v>
      </c>
      <c r="BS199" s="55">
        <v>-749.42531393821753</v>
      </c>
      <c r="BT199" s="39">
        <v>5290.7080601649777</v>
      </c>
      <c r="BU199" s="39">
        <v>1273.6248509848847</v>
      </c>
      <c r="BV199" s="52">
        <v>-4017.083209180093</v>
      </c>
      <c r="BW199" s="39">
        <v>2447.855812051062</v>
      </c>
      <c r="BX199" s="39">
        <v>2054.6143805517095</v>
      </c>
      <c r="BY199" s="52">
        <v>-393.24143149935253</v>
      </c>
      <c r="BZ199" s="39">
        <v>1549.3373563831337</v>
      </c>
      <c r="CA199" s="39">
        <v>5476.4920508645009</v>
      </c>
      <c r="CB199" s="52">
        <v>3927.1546944813672</v>
      </c>
      <c r="CC199" s="39">
        <v>0</v>
      </c>
      <c r="CD199" s="39">
        <v>0</v>
      </c>
      <c r="CE199" s="52">
        <v>0</v>
      </c>
      <c r="CF199" s="39">
        <v>0</v>
      </c>
      <c r="CG199" s="39">
        <v>0</v>
      </c>
      <c r="CH199" s="52">
        <v>0</v>
      </c>
      <c r="CI199" s="39">
        <v>1101.214397924804</v>
      </c>
      <c r="CJ199" s="39">
        <v>1753.124333563457</v>
      </c>
      <c r="CK199" s="52">
        <v>651.909935638653</v>
      </c>
      <c r="CL199" s="39">
        <v>0</v>
      </c>
      <c r="CM199" s="39">
        <v>0</v>
      </c>
      <c r="CN199" s="52">
        <v>0</v>
      </c>
      <c r="CO199" s="39">
        <v>1101.214397924804</v>
      </c>
      <c r="CP199" s="40">
        <v>1753.124333563457</v>
      </c>
      <c r="CQ199" s="52">
        <v>651.909935638653</v>
      </c>
      <c r="CR199" s="72">
        <v>18841.939244837089</v>
      </c>
      <c r="CS199" s="5">
        <v>14370.375967126611</v>
      </c>
      <c r="CT199" s="52">
        <v>-4471.5632777104784</v>
      </c>
      <c r="CU199" s="77">
        <v>22610.327093804506</v>
      </c>
      <c r="CV199" s="65">
        <v>17244.451160551933</v>
      </c>
      <c r="CW199" s="35">
        <v>-5365.8759332525733</v>
      </c>
      <c r="CX199" s="39">
        <v>565.2581773451127</v>
      </c>
      <c r="CY199" s="39">
        <v>5931.1341105976871</v>
      </c>
      <c r="CZ199" s="52">
        <v>5365.8759332525742</v>
      </c>
      <c r="DA199" s="150">
        <v>-9369.3239737434706</v>
      </c>
      <c r="DB199" s="2">
        <v>2</v>
      </c>
      <c r="DC199" s="713">
        <v>63049.99</v>
      </c>
      <c r="DD199" s="714"/>
      <c r="DE199" s="715">
        <v>51462.197364425192</v>
      </c>
      <c r="DF199" s="716">
        <v>0</v>
      </c>
      <c r="DG199" s="717">
        <v>18784.907743289765</v>
      </c>
      <c r="DH199" s="718">
        <v>111533.70356796539</v>
      </c>
      <c r="DI199" s="718">
        <v>278107.02325379546</v>
      </c>
      <c r="DJ199" s="693">
        <v>236463.69333233798</v>
      </c>
      <c r="DK199" s="724"/>
      <c r="DL199" s="5"/>
      <c r="DM199" s="306">
        <v>5.8489643168303616</v>
      </c>
      <c r="DN199" s="306"/>
      <c r="DO199" s="306">
        <v>5.0890944801119566</v>
      </c>
      <c r="DP199" s="719">
        <v>11587.792635574808</v>
      </c>
      <c r="DQ199" s="720">
        <v>0</v>
      </c>
      <c r="DR199" s="650">
        <v>11587.792635574808</v>
      </c>
      <c r="DS199" s="94">
        <v>11587.792635574811</v>
      </c>
      <c r="DT199" s="719">
        <v>11587.83</v>
      </c>
      <c r="DU199" s="721"/>
      <c r="DV199" s="93">
        <v>11587.83</v>
      </c>
      <c r="DW199" s="95">
        <v>11644.318453309321</v>
      </c>
      <c r="DX199" s="28">
        <v>-56.488453309320903</v>
      </c>
      <c r="EA199" s="5">
        <v>4485.218845224319</v>
      </c>
      <c r="EB199" s="5">
        <v>469.2</v>
      </c>
      <c r="EE199" s="722">
        <v>35859.084684984584</v>
      </c>
      <c r="EG199" s="42" t="s">
        <v>216</v>
      </c>
    </row>
    <row r="200" spans="1:137" x14ac:dyDescent="0.3">
      <c r="A200" s="325">
        <v>150000935</v>
      </c>
      <c r="B200" s="41" t="s">
        <v>669</v>
      </c>
      <c r="C200" s="42" t="s">
        <v>176</v>
      </c>
      <c r="D200" s="27">
        <v>2</v>
      </c>
      <c r="E200" s="709">
        <v>286.2</v>
      </c>
      <c r="F200" s="723">
        <v>286.2</v>
      </c>
      <c r="G200" s="28"/>
      <c r="H200" s="651">
        <v>0</v>
      </c>
      <c r="I200" s="39">
        <v>93.269085878945262</v>
      </c>
      <c r="J200" s="39">
        <v>100.23930611277197</v>
      </c>
      <c r="K200" s="52">
        <v>6.9702202338267085</v>
      </c>
      <c r="L200" s="39">
        <v>46.653150726733912</v>
      </c>
      <c r="M200" s="39">
        <v>50.690847819262586</v>
      </c>
      <c r="N200" s="52">
        <v>4.0376970925286741</v>
      </c>
      <c r="O200" s="39">
        <v>63.92</v>
      </c>
      <c r="P200" s="39">
        <v>63.92</v>
      </c>
      <c r="Q200" s="52">
        <v>0</v>
      </c>
      <c r="R200" s="39">
        <v>0</v>
      </c>
      <c r="S200" s="39">
        <v>0</v>
      </c>
      <c r="T200" s="52">
        <v>0</v>
      </c>
      <c r="U200" s="39">
        <v>0</v>
      </c>
      <c r="V200" s="39">
        <v>0</v>
      </c>
      <c r="W200" s="52">
        <v>0</v>
      </c>
      <c r="X200" s="39">
        <v>69.599247294264174</v>
      </c>
      <c r="Y200" s="39">
        <v>40.512066012839902</v>
      </c>
      <c r="Z200" s="52">
        <v>-29.087181281424272</v>
      </c>
      <c r="AA200" s="39">
        <v>0</v>
      </c>
      <c r="AB200" s="39">
        <v>0</v>
      </c>
      <c r="AC200" s="52">
        <v>0</v>
      </c>
      <c r="AD200" s="39">
        <v>203.95716413383198</v>
      </c>
      <c r="AE200" s="39">
        <v>171.14379157675478</v>
      </c>
      <c r="AF200" s="35">
        <v>-32.813372557077201</v>
      </c>
      <c r="AG200" s="77">
        <v>477.39864803377532</v>
      </c>
      <c r="AH200" s="53">
        <v>426.50601152162926</v>
      </c>
      <c r="AI200" s="52">
        <v>-50.892636512146055</v>
      </c>
      <c r="AJ200" s="39">
        <v>0</v>
      </c>
      <c r="AK200" s="39">
        <v>0</v>
      </c>
      <c r="AL200" s="52">
        <v>0</v>
      </c>
      <c r="AM200" s="39">
        <v>0</v>
      </c>
      <c r="AN200" s="39">
        <v>0</v>
      </c>
      <c r="AO200" s="52">
        <v>0</v>
      </c>
      <c r="AP200" s="39">
        <v>142.05264643404746</v>
      </c>
      <c r="AQ200" s="39">
        <v>0</v>
      </c>
      <c r="AR200" s="52">
        <v>-142.05264643404746</v>
      </c>
      <c r="AS200" s="39">
        <v>751.0658898522405</v>
      </c>
      <c r="AT200" s="39">
        <v>130</v>
      </c>
      <c r="AU200" s="54">
        <v>-621.0658898522405</v>
      </c>
      <c r="AV200" s="39">
        <v>61.08498790277315</v>
      </c>
      <c r="AW200" s="39">
        <v>0</v>
      </c>
      <c r="AX200" s="55">
        <v>-61.08498790277315</v>
      </c>
      <c r="AY200" s="39">
        <v>60.142686975203205</v>
      </c>
      <c r="AZ200" s="39">
        <v>0</v>
      </c>
      <c r="BA200" s="35">
        <v>-60.142686975203205</v>
      </c>
      <c r="BB200" s="39">
        <v>25.856638541695908</v>
      </c>
      <c r="BC200" s="39">
        <v>0</v>
      </c>
      <c r="BD200" s="55">
        <v>-25.856638541695908</v>
      </c>
      <c r="BE200" s="39">
        <v>0</v>
      </c>
      <c r="BF200" s="39">
        <v>0</v>
      </c>
      <c r="BG200" s="38">
        <v>0</v>
      </c>
      <c r="BH200" s="39">
        <v>0</v>
      </c>
      <c r="BI200" s="39">
        <v>0</v>
      </c>
      <c r="BJ200" s="55">
        <v>0</v>
      </c>
      <c r="BK200" s="39">
        <v>9.8614099354183207</v>
      </c>
      <c r="BL200" s="39">
        <v>0</v>
      </c>
      <c r="BM200" s="38">
        <v>-9.8614099354183207</v>
      </c>
      <c r="BN200" s="39">
        <v>0</v>
      </c>
      <c r="BO200" s="39">
        <v>0</v>
      </c>
      <c r="BP200" s="55">
        <v>0</v>
      </c>
      <c r="BQ200" s="77">
        <v>156.94572335509059</v>
      </c>
      <c r="BR200" s="40">
        <v>0</v>
      </c>
      <c r="BS200" s="55">
        <v>-156.94572335509059</v>
      </c>
      <c r="BT200" s="39">
        <v>955.32120006988953</v>
      </c>
      <c r="BU200" s="39">
        <v>224.83198185654436</v>
      </c>
      <c r="BV200" s="52">
        <v>-730.48921821334511</v>
      </c>
      <c r="BW200" s="39">
        <v>190.28264997171078</v>
      </c>
      <c r="BX200" s="39">
        <v>135.91673491631724</v>
      </c>
      <c r="BY200" s="52">
        <v>-54.365915055393543</v>
      </c>
      <c r="BZ200" s="39">
        <v>259.94760452819969</v>
      </c>
      <c r="CA200" s="39">
        <v>1023.50751459753</v>
      </c>
      <c r="CB200" s="52">
        <v>763.55991006933027</v>
      </c>
      <c r="CC200" s="39">
        <v>0</v>
      </c>
      <c r="CD200" s="39">
        <v>0</v>
      </c>
      <c r="CE200" s="52">
        <v>0</v>
      </c>
      <c r="CF200" s="39">
        <v>0</v>
      </c>
      <c r="CG200" s="39">
        <v>0</v>
      </c>
      <c r="CH200" s="52">
        <v>0</v>
      </c>
      <c r="CI200" s="39">
        <v>187.17525177192132</v>
      </c>
      <c r="CJ200" s="39">
        <v>150.81009360474957</v>
      </c>
      <c r="CK200" s="52">
        <v>-36.365158167171757</v>
      </c>
      <c r="CL200" s="39">
        <v>0</v>
      </c>
      <c r="CM200" s="39">
        <v>0</v>
      </c>
      <c r="CN200" s="52">
        <v>0</v>
      </c>
      <c r="CO200" s="39">
        <v>187.17525177192132</v>
      </c>
      <c r="CP200" s="40">
        <v>150.81009360474957</v>
      </c>
      <c r="CQ200" s="52">
        <v>-36.365158167171757</v>
      </c>
      <c r="CR200" s="72">
        <v>3120.1896140168756</v>
      </c>
      <c r="CS200" s="5">
        <v>2091.5723364967703</v>
      </c>
      <c r="CT200" s="52">
        <v>-1028.6172775201053</v>
      </c>
      <c r="CU200" s="77">
        <v>3744.2275368202504</v>
      </c>
      <c r="CV200" s="65">
        <v>2509.8868037961242</v>
      </c>
      <c r="CW200" s="35">
        <v>-1234.3407330241262</v>
      </c>
      <c r="CX200" s="39">
        <v>0</v>
      </c>
      <c r="CY200" s="39">
        <v>1234.3407330241262</v>
      </c>
      <c r="CZ200" s="52">
        <v>1234.3407330241262</v>
      </c>
      <c r="DA200" s="150">
        <v>3869.271516319719</v>
      </c>
      <c r="DB200" s="2">
        <v>2</v>
      </c>
      <c r="DC200" s="713">
        <v>2492.1799999999998</v>
      </c>
      <c r="DD200" s="714"/>
      <c r="DE200" s="715">
        <v>620.06623158987486</v>
      </c>
      <c r="DF200" s="716">
        <v>0</v>
      </c>
      <c r="DG200" s="717">
        <v>-10158.593182874807</v>
      </c>
      <c r="DH200" s="718">
        <v>18004.862394571301</v>
      </c>
      <c r="DI200" s="718">
        <v>44930.730441843007</v>
      </c>
      <c r="DJ200" s="693">
        <v>38199.263430025079</v>
      </c>
      <c r="DK200" s="724"/>
      <c r="DL200" s="5"/>
      <c r="DM200" s="306">
        <v>6.5412780168068663</v>
      </c>
      <c r="DN200" s="306"/>
      <c r="DO200" s="306">
        <v>6.1423626080611413</v>
      </c>
      <c r="DP200" s="719">
        <v>1872.113768410125</v>
      </c>
      <c r="DQ200" s="720">
        <v>0</v>
      </c>
      <c r="DR200" s="650">
        <v>1872.113768410125</v>
      </c>
      <c r="DS200" s="94">
        <v>1872.1137684101254</v>
      </c>
      <c r="DT200" s="719">
        <v>1867.54</v>
      </c>
      <c r="DU200" s="721"/>
      <c r="DV200" s="93">
        <v>1867.54</v>
      </c>
      <c r="DW200" s="95">
        <v>1872.1137684101252</v>
      </c>
      <c r="DX200" s="28">
        <v>-4.5737684101252398</v>
      </c>
      <c r="EA200" s="5">
        <v>1089.6139358487972</v>
      </c>
      <c r="EB200" s="5">
        <v>156</v>
      </c>
      <c r="EE200" s="722">
        <v>9012.7906782268856</v>
      </c>
      <c r="EG200" s="42" t="s">
        <v>176</v>
      </c>
    </row>
    <row r="201" spans="1:137" x14ac:dyDescent="0.3">
      <c r="A201" s="325">
        <v>150000936</v>
      </c>
      <c r="B201" s="41" t="s">
        <v>670</v>
      </c>
      <c r="C201" s="42" t="s">
        <v>122</v>
      </c>
      <c r="D201" s="27">
        <v>1</v>
      </c>
      <c r="E201" s="709">
        <v>341.75</v>
      </c>
      <c r="F201" s="723">
        <v>341.75</v>
      </c>
      <c r="G201" s="28"/>
      <c r="H201" s="651">
        <v>0</v>
      </c>
      <c r="I201" s="39">
        <v>0</v>
      </c>
      <c r="J201" s="39">
        <v>0</v>
      </c>
      <c r="K201" s="52">
        <v>0</v>
      </c>
      <c r="L201" s="39">
        <v>0</v>
      </c>
      <c r="M201" s="39">
        <v>0</v>
      </c>
      <c r="N201" s="52">
        <v>0</v>
      </c>
      <c r="O201" s="39">
        <v>0</v>
      </c>
      <c r="P201" s="39">
        <v>0</v>
      </c>
      <c r="Q201" s="52">
        <v>0</v>
      </c>
      <c r="R201" s="39">
        <v>0</v>
      </c>
      <c r="S201" s="39">
        <v>0</v>
      </c>
      <c r="T201" s="52">
        <v>0</v>
      </c>
      <c r="U201" s="39">
        <v>0</v>
      </c>
      <c r="V201" s="39">
        <v>0</v>
      </c>
      <c r="W201" s="52">
        <v>0</v>
      </c>
      <c r="X201" s="39">
        <v>0</v>
      </c>
      <c r="Y201" s="39">
        <v>0</v>
      </c>
      <c r="Z201" s="52">
        <v>0</v>
      </c>
      <c r="AA201" s="39">
        <v>0</v>
      </c>
      <c r="AB201" s="39">
        <v>0</v>
      </c>
      <c r="AC201" s="52">
        <v>0</v>
      </c>
      <c r="AD201" s="39">
        <v>0</v>
      </c>
      <c r="AE201" s="39">
        <v>204.36195238069865</v>
      </c>
      <c r="AF201" s="35">
        <v>204.36195238069865</v>
      </c>
      <c r="AG201" s="77">
        <v>0</v>
      </c>
      <c r="AH201" s="53">
        <v>204.36195238069865</v>
      </c>
      <c r="AI201" s="52">
        <v>204.36195238069865</v>
      </c>
      <c r="AJ201" s="39">
        <v>0</v>
      </c>
      <c r="AK201" s="39">
        <v>0</v>
      </c>
      <c r="AL201" s="52">
        <v>0</v>
      </c>
      <c r="AM201" s="39">
        <v>0</v>
      </c>
      <c r="AN201" s="39">
        <v>0</v>
      </c>
      <c r="AO201" s="52">
        <v>0</v>
      </c>
      <c r="AP201" s="39">
        <v>94.701764289364974</v>
      </c>
      <c r="AQ201" s="39">
        <v>0</v>
      </c>
      <c r="AR201" s="52">
        <v>-94.701764289364974</v>
      </c>
      <c r="AS201" s="39">
        <v>620.74206800187403</v>
      </c>
      <c r="AT201" s="39">
        <v>1214</v>
      </c>
      <c r="AU201" s="54">
        <v>593.25793199812597</v>
      </c>
      <c r="AV201" s="39">
        <v>0</v>
      </c>
      <c r="AW201" s="39">
        <v>0</v>
      </c>
      <c r="AX201" s="55">
        <v>0</v>
      </c>
      <c r="AY201" s="39">
        <v>0</v>
      </c>
      <c r="AZ201" s="39">
        <v>0</v>
      </c>
      <c r="BA201" s="35">
        <v>0</v>
      </c>
      <c r="BB201" s="39">
        <v>0</v>
      </c>
      <c r="BC201" s="39">
        <v>0</v>
      </c>
      <c r="BD201" s="55">
        <v>0</v>
      </c>
      <c r="BE201" s="39">
        <v>0</v>
      </c>
      <c r="BF201" s="39">
        <v>0</v>
      </c>
      <c r="BG201" s="38">
        <v>0</v>
      </c>
      <c r="BH201" s="39">
        <v>0</v>
      </c>
      <c r="BI201" s="39">
        <v>0</v>
      </c>
      <c r="BJ201" s="55">
        <v>0</v>
      </c>
      <c r="BK201" s="39">
        <v>0</v>
      </c>
      <c r="BL201" s="39">
        <v>0</v>
      </c>
      <c r="BM201" s="38">
        <v>0</v>
      </c>
      <c r="BN201" s="39">
        <v>0</v>
      </c>
      <c r="BO201" s="39">
        <v>0</v>
      </c>
      <c r="BP201" s="55">
        <v>0</v>
      </c>
      <c r="BQ201" s="77">
        <v>0</v>
      </c>
      <c r="BR201" s="40">
        <v>0</v>
      </c>
      <c r="BS201" s="55">
        <v>0</v>
      </c>
      <c r="BT201" s="39">
        <v>0</v>
      </c>
      <c r="BU201" s="39">
        <v>0</v>
      </c>
      <c r="BV201" s="52">
        <v>0</v>
      </c>
      <c r="BW201" s="39">
        <v>0</v>
      </c>
      <c r="BX201" s="39">
        <v>1.3833734573070418</v>
      </c>
      <c r="BY201" s="52">
        <v>1.3833734573070418</v>
      </c>
      <c r="BZ201" s="39">
        <v>0</v>
      </c>
      <c r="CA201" s="39">
        <v>0</v>
      </c>
      <c r="CB201" s="52">
        <v>0</v>
      </c>
      <c r="CC201" s="39">
        <v>0</v>
      </c>
      <c r="CD201" s="39">
        <v>0</v>
      </c>
      <c r="CE201" s="52">
        <v>0</v>
      </c>
      <c r="CF201" s="39">
        <v>0</v>
      </c>
      <c r="CG201" s="39">
        <v>0</v>
      </c>
      <c r="CH201" s="52">
        <v>0</v>
      </c>
      <c r="CI201" s="39">
        <v>0</v>
      </c>
      <c r="CJ201" s="39">
        <v>0</v>
      </c>
      <c r="CK201" s="52">
        <v>0</v>
      </c>
      <c r="CL201" s="39">
        <v>0</v>
      </c>
      <c r="CM201" s="39">
        <v>0</v>
      </c>
      <c r="CN201" s="52">
        <v>0</v>
      </c>
      <c r="CO201" s="39">
        <v>0</v>
      </c>
      <c r="CP201" s="40">
        <v>0</v>
      </c>
      <c r="CQ201" s="52">
        <v>0</v>
      </c>
      <c r="CR201" s="72">
        <v>715.443832291239</v>
      </c>
      <c r="CS201" s="5">
        <v>1419.7453258380058</v>
      </c>
      <c r="CT201" s="52">
        <v>704.30149354676678</v>
      </c>
      <c r="CU201" s="77">
        <v>858.53259874948674</v>
      </c>
      <c r="CV201" s="65">
        <v>1703.6943910056068</v>
      </c>
      <c r="CW201" s="35">
        <v>845.16179225612007</v>
      </c>
      <c r="CX201" s="39">
        <v>21.463314968737169</v>
      </c>
      <c r="CY201" s="39">
        <v>-823.69847728738296</v>
      </c>
      <c r="CZ201" s="52">
        <v>-845.16179225612018</v>
      </c>
      <c r="DA201" s="150">
        <v>5503.2138044010353</v>
      </c>
      <c r="DB201" s="2">
        <v>1</v>
      </c>
      <c r="DC201" s="713">
        <v>3016.76</v>
      </c>
      <c r="DD201" s="714"/>
      <c r="DE201" s="715">
        <v>2576.7620431408882</v>
      </c>
      <c r="DF201" s="716">
        <v>0</v>
      </c>
      <c r="DG201" s="717">
        <v>5189.8062626816172</v>
      </c>
      <c r="DH201" s="718">
        <v>4326.7415145856739</v>
      </c>
      <c r="DI201" s="718">
        <v>10559.950964618687</v>
      </c>
      <c r="DJ201" s="693">
        <v>9001.6486021104338</v>
      </c>
      <c r="DK201" s="724"/>
      <c r="DL201" s="5"/>
      <c r="DM201" s="306">
        <v>1.2874848774224199</v>
      </c>
      <c r="DN201" s="306"/>
      <c r="DO201" s="306">
        <v>1.2874848774224199</v>
      </c>
      <c r="DP201" s="719">
        <v>439.99795685911198</v>
      </c>
      <c r="DQ201" s="720">
        <v>0</v>
      </c>
      <c r="DR201" s="650">
        <v>439.99795685911198</v>
      </c>
      <c r="DS201" s="94">
        <v>439.99795685911198</v>
      </c>
      <c r="DT201" s="719">
        <v>440</v>
      </c>
      <c r="DU201" s="721"/>
      <c r="DV201" s="93">
        <v>440</v>
      </c>
      <c r="DW201" s="95">
        <v>442.14428835598574</v>
      </c>
      <c r="DX201" s="28">
        <v>-2.1442883559857364</v>
      </c>
      <c r="EA201" s="5">
        <v>744.89048160224877</v>
      </c>
      <c r="EB201" s="5">
        <v>1456.8</v>
      </c>
      <c r="EE201" s="722">
        <v>7448.9048160224884</v>
      </c>
      <c r="EG201" s="42" t="s">
        <v>122</v>
      </c>
    </row>
    <row r="202" spans="1:137" x14ac:dyDescent="0.3">
      <c r="A202" s="325">
        <v>150000937</v>
      </c>
      <c r="B202" s="41" t="s">
        <v>671</v>
      </c>
      <c r="C202" s="42" t="s">
        <v>375</v>
      </c>
      <c r="D202" s="27">
        <v>9</v>
      </c>
      <c r="E202" s="709">
        <v>3813.3</v>
      </c>
      <c r="F202" s="723">
        <v>3813.3</v>
      </c>
      <c r="G202" s="28">
        <v>407.65</v>
      </c>
      <c r="H202" s="651">
        <v>0</v>
      </c>
      <c r="I202" s="39">
        <v>967.24574842025538</v>
      </c>
      <c r="J202" s="39">
        <v>732.00678648641997</v>
      </c>
      <c r="K202" s="52">
        <v>-235.23896193383541</v>
      </c>
      <c r="L202" s="39">
        <v>374.11870881629648</v>
      </c>
      <c r="M202" s="39">
        <v>195.30586218519468</v>
      </c>
      <c r="N202" s="52">
        <v>-178.81284663110179</v>
      </c>
      <c r="O202" s="39">
        <v>883.3</v>
      </c>
      <c r="P202" s="39">
        <v>883.3</v>
      </c>
      <c r="Q202" s="52">
        <v>0</v>
      </c>
      <c r="R202" s="39">
        <v>207.38</v>
      </c>
      <c r="S202" s="39">
        <v>207.38</v>
      </c>
      <c r="T202" s="52">
        <v>0</v>
      </c>
      <c r="U202" s="39">
        <v>192.08062007918898</v>
      </c>
      <c r="V202" s="39">
        <v>34.75585772054702</v>
      </c>
      <c r="W202" s="52">
        <v>-157.32476235864195</v>
      </c>
      <c r="X202" s="39">
        <v>1491.4338275199132</v>
      </c>
      <c r="Y202" s="39">
        <v>919.27795478411326</v>
      </c>
      <c r="Z202" s="52">
        <v>-572.1558727357999</v>
      </c>
      <c r="AA202" s="39">
        <v>0</v>
      </c>
      <c r="AB202" s="39">
        <v>0</v>
      </c>
      <c r="AC202" s="52">
        <v>0</v>
      </c>
      <c r="AD202" s="39">
        <v>2717.5047309278179</v>
      </c>
      <c r="AE202" s="39">
        <v>2280.3026569519184</v>
      </c>
      <c r="AF202" s="35">
        <v>-437.20207397589957</v>
      </c>
      <c r="AG202" s="77">
        <v>6833.0636357634721</v>
      </c>
      <c r="AH202" s="53">
        <v>5252.3291181281929</v>
      </c>
      <c r="AI202" s="52">
        <v>-1580.7345176352792</v>
      </c>
      <c r="AJ202" s="39">
        <v>4964.0659391358995</v>
      </c>
      <c r="AK202" s="39">
        <v>4897.3859001845331</v>
      </c>
      <c r="AL202" s="52">
        <v>-66.680038951366441</v>
      </c>
      <c r="AM202" s="39">
        <v>0</v>
      </c>
      <c r="AN202" s="39">
        <v>129.91419040372483</v>
      </c>
      <c r="AO202" s="52">
        <v>129.91419040372483</v>
      </c>
      <c r="AP202" s="39">
        <v>568.21058573618984</v>
      </c>
      <c r="AQ202" s="39">
        <v>3220.8088564279014</v>
      </c>
      <c r="AR202" s="52">
        <v>2652.5982706917116</v>
      </c>
      <c r="AS202" s="39">
        <v>10284.17970223984</v>
      </c>
      <c r="AT202" s="39">
        <v>650</v>
      </c>
      <c r="AU202" s="54">
        <v>-9634.1797022398405</v>
      </c>
      <c r="AV202" s="39">
        <v>101.50287500156291</v>
      </c>
      <c r="AW202" s="39">
        <v>1404</v>
      </c>
      <c r="AX202" s="55">
        <v>1302.4971249984371</v>
      </c>
      <c r="AY202" s="39">
        <v>220.35536942866483</v>
      </c>
      <c r="AZ202" s="39">
        <v>0</v>
      </c>
      <c r="BA202" s="35">
        <v>-220.35536942866483</v>
      </c>
      <c r="BB202" s="39">
        <v>230.42606906662934</v>
      </c>
      <c r="BC202" s="39">
        <v>0</v>
      </c>
      <c r="BD202" s="55">
        <v>-230.42606906662934</v>
      </c>
      <c r="BE202" s="39">
        <v>112.07757032379568</v>
      </c>
      <c r="BF202" s="39">
        <v>0</v>
      </c>
      <c r="BG202" s="38">
        <v>-112.07757032379568</v>
      </c>
      <c r="BH202" s="39">
        <v>97.432801481500164</v>
      </c>
      <c r="BI202" s="39">
        <v>0</v>
      </c>
      <c r="BJ202" s="55">
        <v>-97.432801481500164</v>
      </c>
      <c r="BK202" s="39">
        <v>142.88014072649705</v>
      </c>
      <c r="BL202" s="39">
        <v>0</v>
      </c>
      <c r="BM202" s="38">
        <v>-142.88014072649705</v>
      </c>
      <c r="BN202" s="39">
        <v>96.663229479310985</v>
      </c>
      <c r="BO202" s="39">
        <v>0</v>
      </c>
      <c r="BP202" s="55">
        <v>-96.663229479310985</v>
      </c>
      <c r="BQ202" s="77">
        <v>1001.338055507961</v>
      </c>
      <c r="BR202" s="40">
        <v>1404</v>
      </c>
      <c r="BS202" s="55">
        <v>402.66194449203897</v>
      </c>
      <c r="BT202" s="39">
        <v>9669.3420490419412</v>
      </c>
      <c r="BU202" s="39">
        <v>2512.9097576827694</v>
      </c>
      <c r="BV202" s="52">
        <v>-7156.4322913591714</v>
      </c>
      <c r="BW202" s="39">
        <v>4980.7765172872423</v>
      </c>
      <c r="BX202" s="39">
        <v>5078.4811821854919</v>
      </c>
      <c r="BY202" s="52">
        <v>97.704664898249575</v>
      </c>
      <c r="BZ202" s="39">
        <v>1817.7466331011517</v>
      </c>
      <c r="CA202" s="39">
        <v>10026.733984947459</v>
      </c>
      <c r="CB202" s="52">
        <v>8208.9873518463082</v>
      </c>
      <c r="CC202" s="39">
        <v>156.87068719932458</v>
      </c>
      <c r="CD202" s="39">
        <v>154.76420934709512</v>
      </c>
      <c r="CE202" s="52">
        <v>-2.1064778522294603</v>
      </c>
      <c r="CF202" s="39">
        <v>19.311732325674427</v>
      </c>
      <c r="CG202" s="39">
        <v>0</v>
      </c>
      <c r="CH202" s="52">
        <v>-19.311732325674427</v>
      </c>
      <c r="CI202" s="39">
        <v>1428.7710885256663</v>
      </c>
      <c r="CJ202" s="39">
        <v>1646.8896866899893</v>
      </c>
      <c r="CK202" s="52">
        <v>218.11859816432298</v>
      </c>
      <c r="CL202" s="39">
        <v>2239.8638462039921</v>
      </c>
      <c r="CM202" s="39">
        <v>3100.1183367418794</v>
      </c>
      <c r="CN202" s="52">
        <v>860.25449053788725</v>
      </c>
      <c r="CO202" s="39">
        <v>3668.6349347296582</v>
      </c>
      <c r="CP202" s="40">
        <v>4747.0080234318684</v>
      </c>
      <c r="CQ202" s="52">
        <v>1078.3730887022102</v>
      </c>
      <c r="CR202" s="72">
        <v>43963.540472068358</v>
      </c>
      <c r="CS202" s="5">
        <v>38074.335222739035</v>
      </c>
      <c r="CT202" s="52">
        <v>-5889.2052493293231</v>
      </c>
      <c r="CU202" s="77">
        <v>52756.248566482027</v>
      </c>
      <c r="CV202" s="65">
        <v>45689.202267286841</v>
      </c>
      <c r="CW202" s="35">
        <v>-7067.0462991951863</v>
      </c>
      <c r="CX202" s="39">
        <v>791.34372849723036</v>
      </c>
      <c r="CY202" s="39">
        <v>7858.3900276924178</v>
      </c>
      <c r="CZ202" s="52">
        <v>7067.0462991951872</v>
      </c>
      <c r="DA202" s="150">
        <v>37321.403818453386</v>
      </c>
      <c r="DB202" s="2">
        <v>1</v>
      </c>
      <c r="DC202" s="713">
        <v>63032.26</v>
      </c>
      <c r="DD202" s="714"/>
      <c r="DE202" s="715">
        <v>36258.463852510373</v>
      </c>
      <c r="DF202" s="716">
        <v>0</v>
      </c>
      <c r="DG202" s="717">
        <v>80027.142170770894</v>
      </c>
      <c r="DH202" s="718">
        <v>268012.7377731133</v>
      </c>
      <c r="DI202" s="718">
        <v>642571.1075397511</v>
      </c>
      <c r="DJ202" s="693">
        <v>548931.51509809156</v>
      </c>
      <c r="DK202" s="724"/>
      <c r="DL202" s="5"/>
      <c r="DM202" s="306">
        <v>5.8706639677490982</v>
      </c>
      <c r="DN202" s="306">
        <v>7.1588742181482861</v>
      </c>
      <c r="DO202" s="306">
        <v>5.0752130724542273</v>
      </c>
      <c r="DP202" s="719">
        <v>26773.796147489629</v>
      </c>
      <c r="DQ202" s="720">
        <v>0</v>
      </c>
      <c r="DR202" s="650">
        <v>26773.796147489629</v>
      </c>
      <c r="DS202" s="94">
        <v>26773.796147489629</v>
      </c>
      <c r="DT202" s="719">
        <v>26773.63</v>
      </c>
      <c r="DU202" s="721"/>
      <c r="DV202" s="93">
        <v>26773.63</v>
      </c>
      <c r="DW202" s="95">
        <v>26852.930520339352</v>
      </c>
      <c r="DX202" s="28">
        <v>-79.300520339351351</v>
      </c>
      <c r="EA202" s="5">
        <v>13542.621309297361</v>
      </c>
      <c r="EB202" s="5">
        <v>2464.7999999999997</v>
      </c>
      <c r="EE202" s="722">
        <v>123410.15642687809</v>
      </c>
      <c r="EG202" s="42" t="s">
        <v>375</v>
      </c>
    </row>
    <row r="203" spans="1:137" x14ac:dyDescent="0.3">
      <c r="A203" s="325">
        <v>150000938</v>
      </c>
      <c r="B203" s="41" t="s">
        <v>672</v>
      </c>
      <c r="C203" s="42" t="s">
        <v>376</v>
      </c>
      <c r="D203" s="27">
        <v>9</v>
      </c>
      <c r="E203" s="709">
        <v>15432.37</v>
      </c>
      <c r="F203" s="723">
        <v>14576.67</v>
      </c>
      <c r="G203" s="28">
        <v>1189.72</v>
      </c>
      <c r="H203" s="651">
        <v>855.7</v>
      </c>
      <c r="I203" s="39">
        <v>8893.3527177792257</v>
      </c>
      <c r="J203" s="39">
        <v>6659.3998378750402</v>
      </c>
      <c r="K203" s="52">
        <v>-2233.9528799041855</v>
      </c>
      <c r="L203" s="39">
        <v>1383.8738484118967</v>
      </c>
      <c r="M203" s="39">
        <v>722.4463220114352</v>
      </c>
      <c r="N203" s="52">
        <v>-661.42752640046149</v>
      </c>
      <c r="O203" s="39">
        <v>3747.56</v>
      </c>
      <c r="P203" s="39">
        <v>3747.56</v>
      </c>
      <c r="Q203" s="52">
        <v>0</v>
      </c>
      <c r="R203" s="39">
        <v>835.94</v>
      </c>
      <c r="S203" s="39">
        <v>835.94</v>
      </c>
      <c r="T203" s="52">
        <v>0</v>
      </c>
      <c r="U203" s="39">
        <v>455.10639007130726</v>
      </c>
      <c r="V203" s="39">
        <v>104.57512302020839</v>
      </c>
      <c r="W203" s="52">
        <v>-350.53126705109889</v>
      </c>
      <c r="X203" s="39">
        <v>5882.661021426873</v>
      </c>
      <c r="Y203" s="39">
        <v>4184.3343576787065</v>
      </c>
      <c r="Z203" s="52">
        <v>-1698.3266637481665</v>
      </c>
      <c r="AA203" s="39">
        <v>0</v>
      </c>
      <c r="AB203" s="39">
        <v>0</v>
      </c>
      <c r="AC203" s="52">
        <v>0</v>
      </c>
      <c r="AD203" s="39">
        <v>10997.702379678632</v>
      </c>
      <c r="AE203" s="39">
        <v>9228.3519036176222</v>
      </c>
      <c r="AF203" s="35">
        <v>-1769.3504760610103</v>
      </c>
      <c r="AG203" s="77">
        <v>32196.196357367931</v>
      </c>
      <c r="AH203" s="53">
        <v>25482.607544203012</v>
      </c>
      <c r="AI203" s="52">
        <v>-6713.588813164919</v>
      </c>
      <c r="AJ203" s="39">
        <v>18941.823520565489</v>
      </c>
      <c r="AK203" s="39">
        <v>18687.404558269845</v>
      </c>
      <c r="AL203" s="52">
        <v>-254.41896229564372</v>
      </c>
      <c r="AM203" s="39">
        <v>0</v>
      </c>
      <c r="AN203" s="39">
        <v>259.81737858942768</v>
      </c>
      <c r="AO203" s="52">
        <v>259.81737858942768</v>
      </c>
      <c r="AP203" s="39">
        <v>1933.4943542412018</v>
      </c>
      <c r="AQ203" s="39">
        <v>0</v>
      </c>
      <c r="AR203" s="52">
        <v>-1933.4943542412018</v>
      </c>
      <c r="AS203" s="39">
        <v>38335.786223766067</v>
      </c>
      <c r="AT203" s="39">
        <v>27145.973476112886</v>
      </c>
      <c r="AU203" s="54">
        <v>-11189.812747653181</v>
      </c>
      <c r="AV203" s="39">
        <v>687.5689269980968</v>
      </c>
      <c r="AW203" s="39">
        <v>2545</v>
      </c>
      <c r="AX203" s="55">
        <v>1857.4310730019033</v>
      </c>
      <c r="AY203" s="39">
        <v>852.73376605057626</v>
      </c>
      <c r="AZ203" s="39">
        <v>5348</v>
      </c>
      <c r="BA203" s="35">
        <v>4495.2662339494236</v>
      </c>
      <c r="BB203" s="39">
        <v>818.59852281293365</v>
      </c>
      <c r="BC203" s="39">
        <v>0</v>
      </c>
      <c r="BD203" s="55">
        <v>-818.59852281293365</v>
      </c>
      <c r="BE203" s="39">
        <v>452.47536652234191</v>
      </c>
      <c r="BF203" s="39">
        <v>0</v>
      </c>
      <c r="BG203" s="38">
        <v>-452.47536652234191</v>
      </c>
      <c r="BH203" s="39">
        <v>230.86424191318989</v>
      </c>
      <c r="BI203" s="39">
        <v>0</v>
      </c>
      <c r="BJ203" s="55">
        <v>-230.86424191318989</v>
      </c>
      <c r="BK203" s="39">
        <v>728.97575593989166</v>
      </c>
      <c r="BL203" s="39">
        <v>0</v>
      </c>
      <c r="BM203" s="38">
        <v>-728.97575593989166</v>
      </c>
      <c r="BN203" s="39">
        <v>235.73840334135744</v>
      </c>
      <c r="BO203" s="39">
        <v>0</v>
      </c>
      <c r="BP203" s="55">
        <v>-235.73840334135744</v>
      </c>
      <c r="BQ203" s="77">
        <v>4006.9549835783878</v>
      </c>
      <c r="BR203" s="40">
        <v>7893</v>
      </c>
      <c r="BS203" s="55">
        <v>3886.0450164216122</v>
      </c>
      <c r="BT203" s="39">
        <v>35932.432701699378</v>
      </c>
      <c r="BU203" s="39">
        <v>8135.7316182588083</v>
      </c>
      <c r="BV203" s="52">
        <v>-27796.70108344057</v>
      </c>
      <c r="BW203" s="39">
        <v>21908.491209721928</v>
      </c>
      <c r="BX203" s="39">
        <v>20820.512212797177</v>
      </c>
      <c r="BY203" s="52">
        <v>-1087.9789969247504</v>
      </c>
      <c r="BZ203" s="39">
        <v>6924.7490784805777</v>
      </c>
      <c r="CA203" s="39">
        <v>35378.405971262371</v>
      </c>
      <c r="CB203" s="52">
        <v>28453.656892781793</v>
      </c>
      <c r="CC203" s="39">
        <v>350.01772081349299</v>
      </c>
      <c r="CD203" s="39">
        <v>345.317642105706</v>
      </c>
      <c r="CE203" s="52">
        <v>-4.7000787077869859</v>
      </c>
      <c r="CF203" s="39">
        <v>43.089302751661066</v>
      </c>
      <c r="CG203" s="39">
        <v>0</v>
      </c>
      <c r="CH203" s="52">
        <v>-43.089302751661066</v>
      </c>
      <c r="CI203" s="39">
        <v>4133.4534766299294</v>
      </c>
      <c r="CJ203" s="39">
        <v>3755.4135092172573</v>
      </c>
      <c r="CK203" s="52">
        <v>-378.03996741267201</v>
      </c>
      <c r="CL203" s="39">
        <v>2664.1277502203475</v>
      </c>
      <c r="CM203" s="39">
        <v>4269.9298505471615</v>
      </c>
      <c r="CN203" s="52">
        <v>1605.8021003268141</v>
      </c>
      <c r="CO203" s="39">
        <v>6797.5812268502768</v>
      </c>
      <c r="CP203" s="40">
        <v>8025.3433597644189</v>
      </c>
      <c r="CQ203" s="52">
        <v>1227.7621329141421</v>
      </c>
      <c r="CR203" s="72">
        <v>167370.61667983638</v>
      </c>
      <c r="CS203" s="5">
        <v>152174.11376136367</v>
      </c>
      <c r="CT203" s="52">
        <v>-15196.502918472717</v>
      </c>
      <c r="CU203" s="77">
        <v>200844.74001580366</v>
      </c>
      <c r="CV203" s="65">
        <v>182608.93651363641</v>
      </c>
      <c r="CW203" s="35">
        <v>-18235.803502167255</v>
      </c>
      <c r="CX203" s="39">
        <v>3012.6711002370548</v>
      </c>
      <c r="CY203" s="39">
        <v>21248.474602404356</v>
      </c>
      <c r="CZ203" s="52">
        <v>18235.803502167302</v>
      </c>
      <c r="DA203" s="150">
        <v>213508.82811222831</v>
      </c>
      <c r="DB203" s="2">
        <v>1</v>
      </c>
      <c r="DC203" s="713">
        <v>182891.93</v>
      </c>
      <c r="DD203" s="714">
        <v>36068.080000000009</v>
      </c>
      <c r="DE203" s="715">
        <v>85145.607997569619</v>
      </c>
      <c r="DF203" s="716">
        <v>31885.696444410001</v>
      </c>
      <c r="DG203" s="717">
        <v>-41405.43206028155</v>
      </c>
      <c r="DH203" s="718">
        <v>1001862.8141648266</v>
      </c>
      <c r="DI203" s="718">
        <v>2446288.9333924884</v>
      </c>
      <c r="DJ203" s="693">
        <v>2085182.403585573</v>
      </c>
      <c r="DK203" s="724"/>
      <c r="DL203" s="5"/>
      <c r="DM203" s="306">
        <v>5.8029918821323241</v>
      </c>
      <c r="DN203" s="306">
        <v>6.785891222453202</v>
      </c>
      <c r="DO203" s="306">
        <v>4.8876750678859526</v>
      </c>
      <c r="DP203" s="719">
        <v>97746.322002430374</v>
      </c>
      <c r="DQ203" s="720">
        <v>4182.3835555900096</v>
      </c>
      <c r="DR203" s="650">
        <v>101928.70555802039</v>
      </c>
      <c r="DS203" s="94">
        <v>101928.70555802033</v>
      </c>
      <c r="DT203" s="719">
        <v>97746.65</v>
      </c>
      <c r="DU203" s="725">
        <v>4207.33</v>
      </c>
      <c r="DV203" s="93">
        <v>101953.98</v>
      </c>
      <c r="DW203" s="95">
        <v>102229.97266804407</v>
      </c>
      <c r="DX203" s="28">
        <v>-275.99266804406943</v>
      </c>
      <c r="EA203" s="5">
        <v>50811.289448813346</v>
      </c>
      <c r="EB203" s="5">
        <v>42046.768171335461</v>
      </c>
      <c r="EE203" s="722">
        <v>460029.43468519277</v>
      </c>
      <c r="EG203" s="42" t="s">
        <v>376</v>
      </c>
    </row>
    <row r="204" spans="1:137" x14ac:dyDescent="0.3">
      <c r="A204" s="325">
        <v>150000925</v>
      </c>
      <c r="B204" s="41" t="s">
        <v>673</v>
      </c>
      <c r="C204" s="42" t="s">
        <v>177</v>
      </c>
      <c r="D204" s="27">
        <v>2</v>
      </c>
      <c r="E204" s="709">
        <v>479.4</v>
      </c>
      <c r="F204" s="723">
        <v>366</v>
      </c>
      <c r="G204" s="28"/>
      <c r="H204" s="651">
        <v>113.4</v>
      </c>
      <c r="I204" s="39">
        <v>403.65464800973967</v>
      </c>
      <c r="J204" s="39">
        <v>429.43864685909978</v>
      </c>
      <c r="K204" s="52">
        <v>25.783998849360103</v>
      </c>
      <c r="L204" s="39">
        <v>89.70629529285317</v>
      </c>
      <c r="M204" s="39">
        <v>97.47003402033684</v>
      </c>
      <c r="N204" s="52">
        <v>7.7637387274836698</v>
      </c>
      <c r="O204" s="39">
        <v>95.86</v>
      </c>
      <c r="P204" s="39">
        <v>95.86</v>
      </c>
      <c r="Q204" s="52">
        <v>0</v>
      </c>
      <c r="R204" s="39">
        <v>0</v>
      </c>
      <c r="S204" s="39">
        <v>0</v>
      </c>
      <c r="T204" s="52">
        <v>0</v>
      </c>
      <c r="U204" s="39">
        <v>0</v>
      </c>
      <c r="V204" s="39">
        <v>0</v>
      </c>
      <c r="W204" s="52">
        <v>0</v>
      </c>
      <c r="X204" s="39">
        <v>197.78281885877576</v>
      </c>
      <c r="Y204" s="39">
        <v>119.34841284795097</v>
      </c>
      <c r="Z204" s="52">
        <v>-78.434406010824787</v>
      </c>
      <c r="AA204" s="39">
        <v>0</v>
      </c>
      <c r="AB204" s="39">
        <v>0</v>
      </c>
      <c r="AC204" s="52">
        <v>0</v>
      </c>
      <c r="AD204" s="39">
        <v>341.63893950300155</v>
      </c>
      <c r="AE204" s="39">
        <v>286.67482069146138</v>
      </c>
      <c r="AF204" s="35">
        <v>-54.964118811540175</v>
      </c>
      <c r="AG204" s="77">
        <v>1128.6427016643702</v>
      </c>
      <c r="AH204" s="53">
        <v>1028.791914418849</v>
      </c>
      <c r="AI204" s="52">
        <v>-99.850787245521133</v>
      </c>
      <c r="AJ204" s="39">
        <v>0</v>
      </c>
      <c r="AK204" s="39">
        <v>0</v>
      </c>
      <c r="AL204" s="52">
        <v>0</v>
      </c>
      <c r="AM204" s="39">
        <v>0</v>
      </c>
      <c r="AN204" s="39">
        <v>0</v>
      </c>
      <c r="AO204" s="52">
        <v>0</v>
      </c>
      <c r="AP204" s="39">
        <v>142.05264643404746</v>
      </c>
      <c r="AQ204" s="39">
        <v>0</v>
      </c>
      <c r="AR204" s="52">
        <v>-142.05264643404746</v>
      </c>
      <c r="AS204" s="39">
        <v>1177.6042701828499</v>
      </c>
      <c r="AT204" s="39">
        <v>261</v>
      </c>
      <c r="AU204" s="54">
        <v>-916.60427018284986</v>
      </c>
      <c r="AV204" s="39">
        <v>77.254161613420038</v>
      </c>
      <c r="AW204" s="39">
        <v>0</v>
      </c>
      <c r="AX204" s="55">
        <v>-77.254161613420038</v>
      </c>
      <c r="AY204" s="39">
        <v>115.64329743466799</v>
      </c>
      <c r="AZ204" s="39">
        <v>0</v>
      </c>
      <c r="BA204" s="35">
        <v>-115.64329743466799</v>
      </c>
      <c r="BB204" s="39">
        <v>53.682635866982842</v>
      </c>
      <c r="BC204" s="39">
        <v>0</v>
      </c>
      <c r="BD204" s="55">
        <v>-53.682635866982842</v>
      </c>
      <c r="BE204" s="39">
        <v>0</v>
      </c>
      <c r="BF204" s="39">
        <v>0</v>
      </c>
      <c r="BG204" s="38">
        <v>0</v>
      </c>
      <c r="BH204" s="39">
        <v>0</v>
      </c>
      <c r="BI204" s="39">
        <v>0</v>
      </c>
      <c r="BJ204" s="55">
        <v>0</v>
      </c>
      <c r="BK204" s="39">
        <v>19.771277081972755</v>
      </c>
      <c r="BL204" s="39">
        <v>0</v>
      </c>
      <c r="BM204" s="38">
        <v>-19.771277081972755</v>
      </c>
      <c r="BN204" s="39">
        <v>0</v>
      </c>
      <c r="BO204" s="39">
        <v>0</v>
      </c>
      <c r="BP204" s="55">
        <v>0</v>
      </c>
      <c r="BQ204" s="77">
        <v>266.35137199704366</v>
      </c>
      <c r="BR204" s="40">
        <v>0</v>
      </c>
      <c r="BS204" s="55">
        <v>-266.35137199704366</v>
      </c>
      <c r="BT204" s="39">
        <v>1325.6562383130422</v>
      </c>
      <c r="BU204" s="39">
        <v>341.42023329475245</v>
      </c>
      <c r="BV204" s="52">
        <v>-984.23600501828969</v>
      </c>
      <c r="BW204" s="39">
        <v>360.32658888365421</v>
      </c>
      <c r="BX204" s="39">
        <v>268.98130937507869</v>
      </c>
      <c r="BY204" s="52">
        <v>-91.345279508575516</v>
      </c>
      <c r="BZ204" s="39">
        <v>532.81173505725587</v>
      </c>
      <c r="CA204" s="39">
        <v>1535.4963779185043</v>
      </c>
      <c r="CB204" s="52">
        <v>1002.6846428612484</v>
      </c>
      <c r="CC204" s="39">
        <v>0</v>
      </c>
      <c r="CD204" s="39">
        <v>0</v>
      </c>
      <c r="CE204" s="52">
        <v>0</v>
      </c>
      <c r="CF204" s="39">
        <v>0</v>
      </c>
      <c r="CG204" s="39">
        <v>0</v>
      </c>
      <c r="CH204" s="52">
        <v>0</v>
      </c>
      <c r="CI204" s="39">
        <v>224.61030212630564</v>
      </c>
      <c r="CJ204" s="39">
        <v>161.61273317462235</v>
      </c>
      <c r="CK204" s="52">
        <v>-62.997568951683292</v>
      </c>
      <c r="CL204" s="39">
        <v>0</v>
      </c>
      <c r="CM204" s="39">
        <v>0</v>
      </c>
      <c r="CN204" s="52">
        <v>0</v>
      </c>
      <c r="CO204" s="39">
        <v>224.61030212630564</v>
      </c>
      <c r="CP204" s="40">
        <v>161.61273317462235</v>
      </c>
      <c r="CQ204" s="52">
        <v>-62.997568951683292</v>
      </c>
      <c r="CR204" s="72">
        <v>5158.0558546585689</v>
      </c>
      <c r="CS204" s="5">
        <v>3597.3025681818067</v>
      </c>
      <c r="CT204" s="52">
        <v>-1560.7532864767622</v>
      </c>
      <c r="CU204" s="77">
        <v>6189.6670255902827</v>
      </c>
      <c r="CV204" s="65">
        <v>4316.7630818181678</v>
      </c>
      <c r="CW204" s="35">
        <v>-1872.9039437721149</v>
      </c>
      <c r="CX204" s="39">
        <v>154.74167563975706</v>
      </c>
      <c r="CY204" s="39">
        <v>2027.6456194118714</v>
      </c>
      <c r="CZ204" s="52">
        <v>1872.9039437721144</v>
      </c>
      <c r="DA204" s="150">
        <v>-6465.5978610344955</v>
      </c>
      <c r="DB204" s="2">
        <v>2</v>
      </c>
      <c r="DC204" s="713">
        <v>3266.67</v>
      </c>
      <c r="DD204" s="714">
        <v>11273.05</v>
      </c>
      <c r="DE204" s="715">
        <v>792.41816654060904</v>
      </c>
      <c r="DF204" s="716">
        <v>10575.09748284437</v>
      </c>
      <c r="DG204" s="717">
        <v>2295.5803981330628</v>
      </c>
      <c r="DH204" s="718">
        <v>27280.478138555569</v>
      </c>
      <c r="DI204" s="718">
        <v>76132.904414760473</v>
      </c>
      <c r="DJ204" s="693">
        <v>63919.797845709239</v>
      </c>
      <c r="DK204" s="724"/>
      <c r="DL204" s="5"/>
      <c r="DM204" s="306">
        <v>6.7602509110912328</v>
      </c>
      <c r="DN204" s="306"/>
      <c r="DO204" s="306">
        <v>6.1547841019014857</v>
      </c>
      <c r="DP204" s="719">
        <v>2474.251833459391</v>
      </c>
      <c r="DQ204" s="720">
        <v>697.95251715562847</v>
      </c>
      <c r="DR204" s="650">
        <v>3172.2043506150194</v>
      </c>
      <c r="DS204" s="94">
        <v>3172.2043506150203</v>
      </c>
      <c r="DT204" s="719">
        <v>2474.2600000000002</v>
      </c>
      <c r="DU204" s="725">
        <v>697.95</v>
      </c>
      <c r="DV204" s="93">
        <v>3172.21</v>
      </c>
      <c r="DW204" s="95">
        <v>3187.6785181789951</v>
      </c>
      <c r="DX204" s="28">
        <v>-15.468518178995055</v>
      </c>
      <c r="EA204" s="5">
        <v>1732.746770615872</v>
      </c>
      <c r="EB204" s="5">
        <v>313.2</v>
      </c>
      <c r="EE204" s="722">
        <v>14131.251242194197</v>
      </c>
      <c r="EG204" s="42" t="s">
        <v>177</v>
      </c>
    </row>
    <row r="205" spans="1:137" x14ac:dyDescent="0.3">
      <c r="A205" s="325">
        <v>150000939</v>
      </c>
      <c r="B205" s="41" t="s">
        <v>674</v>
      </c>
      <c r="C205" s="42" t="s">
        <v>337</v>
      </c>
      <c r="D205" s="27">
        <v>8</v>
      </c>
      <c r="E205" s="709">
        <v>5138.55</v>
      </c>
      <c r="F205" s="723">
        <v>5138.55</v>
      </c>
      <c r="G205" s="28">
        <v>642.45000000000005</v>
      </c>
      <c r="H205" s="651">
        <v>0</v>
      </c>
      <c r="I205" s="39">
        <v>2233.8642851748746</v>
      </c>
      <c r="J205" s="39">
        <v>1672.1103712296699</v>
      </c>
      <c r="K205" s="52">
        <v>-561.75391394520466</v>
      </c>
      <c r="L205" s="39">
        <v>384.07368337535149</v>
      </c>
      <c r="M205" s="39">
        <v>200.50646647749753</v>
      </c>
      <c r="N205" s="52">
        <v>-183.56721689785397</v>
      </c>
      <c r="O205" s="39">
        <v>1308.22</v>
      </c>
      <c r="P205" s="39">
        <v>1308.22</v>
      </c>
      <c r="Q205" s="52">
        <v>0</v>
      </c>
      <c r="R205" s="39">
        <v>273.18</v>
      </c>
      <c r="S205" s="39">
        <v>273.18</v>
      </c>
      <c r="T205" s="52">
        <v>0</v>
      </c>
      <c r="U205" s="39">
        <v>375.28698797765099</v>
      </c>
      <c r="V205" s="39">
        <v>67.905951994046191</v>
      </c>
      <c r="W205" s="52">
        <v>-307.38103598360482</v>
      </c>
      <c r="X205" s="39">
        <v>1360.4233611864354</v>
      </c>
      <c r="Y205" s="39">
        <v>896.02265237758297</v>
      </c>
      <c r="Z205" s="52">
        <v>-464.40070880885241</v>
      </c>
      <c r="AA205" s="39">
        <v>0</v>
      </c>
      <c r="AB205" s="39">
        <v>0</v>
      </c>
      <c r="AC205" s="52">
        <v>0</v>
      </c>
      <c r="AD205" s="39">
        <v>3661.9290208242569</v>
      </c>
      <c r="AE205" s="39">
        <v>3072.784522036106</v>
      </c>
      <c r="AF205" s="35">
        <v>-589.14449878815094</v>
      </c>
      <c r="AG205" s="77">
        <v>9596.9773385385706</v>
      </c>
      <c r="AH205" s="53">
        <v>7490.729964114902</v>
      </c>
      <c r="AI205" s="52">
        <v>-2106.2473744236686</v>
      </c>
      <c r="AJ205" s="39">
        <v>6401.0370863106209</v>
      </c>
      <c r="AK205" s="39">
        <v>6315.0612314878672</v>
      </c>
      <c r="AL205" s="52">
        <v>-85.975854822753718</v>
      </c>
      <c r="AM205" s="39">
        <v>0</v>
      </c>
      <c r="AN205" s="39">
        <v>0</v>
      </c>
      <c r="AO205" s="52">
        <v>0</v>
      </c>
      <c r="AP205" s="39">
        <v>631.34509526243312</v>
      </c>
      <c r="AQ205" s="39">
        <v>0</v>
      </c>
      <c r="AR205" s="52">
        <v>-631.34509526243312</v>
      </c>
      <c r="AS205" s="39">
        <v>14480.956615968795</v>
      </c>
      <c r="AT205" s="39">
        <v>0</v>
      </c>
      <c r="AU205" s="54">
        <v>-14480.956615968795</v>
      </c>
      <c r="AV205" s="39">
        <v>110.3839524567741</v>
      </c>
      <c r="AW205" s="39">
        <v>0</v>
      </c>
      <c r="AX205" s="55">
        <v>-110.3839524567741</v>
      </c>
      <c r="AY205" s="39">
        <v>147.54288771672486</v>
      </c>
      <c r="AZ205" s="39">
        <v>0</v>
      </c>
      <c r="BA205" s="35">
        <v>-147.54288771672486</v>
      </c>
      <c r="BB205" s="39">
        <v>216.4953644508474</v>
      </c>
      <c r="BC205" s="39">
        <v>0</v>
      </c>
      <c r="BD205" s="55">
        <v>-216.4953644508474</v>
      </c>
      <c r="BE205" s="39">
        <v>57.544955533841751</v>
      </c>
      <c r="BF205" s="39">
        <v>0</v>
      </c>
      <c r="BG205" s="38">
        <v>-57.544955533841751</v>
      </c>
      <c r="BH205" s="39">
        <v>114.23216904794364</v>
      </c>
      <c r="BI205" s="39">
        <v>0</v>
      </c>
      <c r="BJ205" s="55">
        <v>-114.23216904794364</v>
      </c>
      <c r="BK205" s="39">
        <v>75.197898812150427</v>
      </c>
      <c r="BL205" s="39">
        <v>0</v>
      </c>
      <c r="BM205" s="38">
        <v>-75.197898812150427</v>
      </c>
      <c r="BN205" s="39">
        <v>98.612223391799574</v>
      </c>
      <c r="BO205" s="39">
        <v>0</v>
      </c>
      <c r="BP205" s="55">
        <v>-98.612223391799574</v>
      </c>
      <c r="BQ205" s="77">
        <v>820.00945141008185</v>
      </c>
      <c r="BR205" s="40">
        <v>0</v>
      </c>
      <c r="BS205" s="55">
        <v>-820.00945141008185</v>
      </c>
      <c r="BT205" s="39">
        <v>12150.573642261808</v>
      </c>
      <c r="BU205" s="39">
        <v>3043.574948410349</v>
      </c>
      <c r="BV205" s="52">
        <v>-9106.9986938514594</v>
      </c>
      <c r="BW205" s="39">
        <v>6138.0025138061746</v>
      </c>
      <c r="BX205" s="39">
        <v>6678.9846317550691</v>
      </c>
      <c r="BY205" s="52">
        <v>540.98211794889448</v>
      </c>
      <c r="BZ205" s="39">
        <v>2596.7809044302167</v>
      </c>
      <c r="CA205" s="39">
        <v>12510.001682176839</v>
      </c>
      <c r="CB205" s="52">
        <v>9913.220777746621</v>
      </c>
      <c r="CC205" s="39">
        <v>300.0151892687083</v>
      </c>
      <c r="CD205" s="39">
        <v>295.98655037631943</v>
      </c>
      <c r="CE205" s="52">
        <v>-4.0286388923888694</v>
      </c>
      <c r="CF205" s="39">
        <v>36.933688072852341</v>
      </c>
      <c r="CG205" s="39">
        <v>0</v>
      </c>
      <c r="CH205" s="52">
        <v>-36.933688072852341</v>
      </c>
      <c r="CI205" s="39">
        <v>5761.8781670456456</v>
      </c>
      <c r="CJ205" s="39">
        <v>6194.4642836494641</v>
      </c>
      <c r="CK205" s="52">
        <v>432.58611660381848</v>
      </c>
      <c r="CL205" s="39">
        <v>1235.3566616946807</v>
      </c>
      <c r="CM205" s="39">
        <v>1856.360223024034</v>
      </c>
      <c r="CN205" s="52">
        <v>621.00356132935326</v>
      </c>
      <c r="CO205" s="39">
        <v>6997.2348287403265</v>
      </c>
      <c r="CP205" s="40">
        <v>8050.824506673498</v>
      </c>
      <c r="CQ205" s="52">
        <v>1053.5896779331715</v>
      </c>
      <c r="CR205" s="72">
        <v>60149.866354070597</v>
      </c>
      <c r="CS205" s="5">
        <v>44385.163514994842</v>
      </c>
      <c r="CT205" s="52">
        <v>-15764.702839075755</v>
      </c>
      <c r="CU205" s="77">
        <v>72179.839624884713</v>
      </c>
      <c r="CV205" s="65">
        <v>53262.196217993805</v>
      </c>
      <c r="CW205" s="35">
        <v>-18917.643406890907</v>
      </c>
      <c r="CX205" s="39">
        <v>1804.4959906221175</v>
      </c>
      <c r="CY205" s="39">
        <v>20722.139397513023</v>
      </c>
      <c r="CZ205" s="52">
        <v>18917.643406890907</v>
      </c>
      <c r="DA205" s="150">
        <v>92214.616404626795</v>
      </c>
      <c r="DB205" s="2">
        <v>1</v>
      </c>
      <c r="DC205" s="713">
        <v>79399.649999999994</v>
      </c>
      <c r="DD205" s="714"/>
      <c r="DE205" s="715">
        <v>42407.482192246585</v>
      </c>
      <c r="DF205" s="716">
        <v>0</v>
      </c>
      <c r="DG205" s="717">
        <v>27727.664647060574</v>
      </c>
      <c r="DH205" s="718">
        <v>362720.20932372921</v>
      </c>
      <c r="DI205" s="718">
        <v>887812.02738608199</v>
      </c>
      <c r="DJ205" s="693">
        <v>756539.07287049387</v>
      </c>
      <c r="DK205" s="724"/>
      <c r="DL205" s="5"/>
      <c r="DM205" s="306">
        <v>6.2849997864631355</v>
      </c>
      <c r="DN205" s="306">
        <v>7.3295455383421553</v>
      </c>
      <c r="DO205" s="306">
        <v>5.5503817432426166</v>
      </c>
      <c r="DP205" s="719">
        <v>36992.167807753409</v>
      </c>
      <c r="DQ205" s="720">
        <v>0</v>
      </c>
      <c r="DR205" s="650">
        <v>36992.167807753409</v>
      </c>
      <c r="DS205" s="94">
        <v>36992.167807753423</v>
      </c>
      <c r="DT205" s="719">
        <v>36992.9</v>
      </c>
      <c r="DU205" s="721"/>
      <c r="DV205" s="93">
        <v>36992.9</v>
      </c>
      <c r="DW205" s="95">
        <v>37172.617406815625</v>
      </c>
      <c r="DX205" s="28">
        <v>-179.71740681562369</v>
      </c>
      <c r="EA205" s="5">
        <v>18361.159280854652</v>
      </c>
      <c r="EB205" s="5">
        <v>0</v>
      </c>
      <c r="EE205" s="722">
        <v>173771.47939162553</v>
      </c>
      <c r="EG205" s="42" t="s">
        <v>337</v>
      </c>
    </row>
    <row r="206" spans="1:137" x14ac:dyDescent="0.3">
      <c r="A206" s="325">
        <v>150000926</v>
      </c>
      <c r="B206" s="41" t="s">
        <v>675</v>
      </c>
      <c r="C206" s="42" t="s">
        <v>178</v>
      </c>
      <c r="D206" s="27">
        <v>2</v>
      </c>
      <c r="E206" s="709">
        <v>404.5</v>
      </c>
      <c r="F206" s="723">
        <v>284.10000000000002</v>
      </c>
      <c r="G206" s="28"/>
      <c r="H206" s="651">
        <v>120.4</v>
      </c>
      <c r="I206" s="39">
        <v>239.78116175653739</v>
      </c>
      <c r="J206" s="39">
        <v>255.78742722779236</v>
      </c>
      <c r="K206" s="52">
        <v>16.006265471254977</v>
      </c>
      <c r="L206" s="39">
        <v>89.70629529285317</v>
      </c>
      <c r="M206" s="39">
        <v>97.47003402033684</v>
      </c>
      <c r="N206" s="52">
        <v>7.7637387274836698</v>
      </c>
      <c r="O206" s="39">
        <v>0</v>
      </c>
      <c r="P206" s="39">
        <v>0</v>
      </c>
      <c r="Q206" s="52">
        <v>0</v>
      </c>
      <c r="R206" s="39">
        <v>0</v>
      </c>
      <c r="S206" s="39">
        <v>0</v>
      </c>
      <c r="T206" s="52">
        <v>0</v>
      </c>
      <c r="U206" s="39">
        <v>0</v>
      </c>
      <c r="V206" s="39">
        <v>0</v>
      </c>
      <c r="W206" s="52">
        <v>0</v>
      </c>
      <c r="X206" s="39">
        <v>197.78281885877576</v>
      </c>
      <c r="Y206" s="39">
        <v>119.29848757157431</v>
      </c>
      <c r="Z206" s="52">
        <v>-78.484331287201442</v>
      </c>
      <c r="AA206" s="39">
        <v>0</v>
      </c>
      <c r="AB206" s="39">
        <v>0</v>
      </c>
      <c r="AC206" s="52">
        <v>0</v>
      </c>
      <c r="AD206" s="39">
        <v>288.26230919683798</v>
      </c>
      <c r="AE206" s="39">
        <v>241.88561737525268</v>
      </c>
      <c r="AF206" s="35">
        <v>-46.376691821585297</v>
      </c>
      <c r="AG206" s="77">
        <v>815.53258510500427</v>
      </c>
      <c r="AH206" s="53">
        <v>714.44156619495618</v>
      </c>
      <c r="AI206" s="52">
        <v>-101.09101891004809</v>
      </c>
      <c r="AJ206" s="39">
        <v>0</v>
      </c>
      <c r="AK206" s="39">
        <v>0</v>
      </c>
      <c r="AL206" s="52">
        <v>0</v>
      </c>
      <c r="AM206" s="39">
        <v>0</v>
      </c>
      <c r="AN206" s="39">
        <v>0</v>
      </c>
      <c r="AO206" s="52">
        <v>0</v>
      </c>
      <c r="AP206" s="39">
        <v>118.37720536170622</v>
      </c>
      <c r="AQ206" s="39">
        <v>0</v>
      </c>
      <c r="AR206" s="52">
        <v>-118.37720536170622</v>
      </c>
      <c r="AS206" s="39">
        <v>1154.3966077777561</v>
      </c>
      <c r="AT206" s="39">
        <v>261</v>
      </c>
      <c r="AU206" s="54">
        <v>-893.39660777775612</v>
      </c>
      <c r="AV206" s="39">
        <v>53.23428105407536</v>
      </c>
      <c r="AW206" s="39">
        <v>0</v>
      </c>
      <c r="AX206" s="55">
        <v>-53.23428105407536</v>
      </c>
      <c r="AY206" s="39">
        <v>115.64329743466799</v>
      </c>
      <c r="AZ206" s="39">
        <v>0</v>
      </c>
      <c r="BA206" s="35">
        <v>-115.64329743466799</v>
      </c>
      <c r="BB206" s="39">
        <v>0</v>
      </c>
      <c r="BC206" s="39">
        <v>0</v>
      </c>
      <c r="BD206" s="55">
        <v>0</v>
      </c>
      <c r="BE206" s="39">
        <v>0</v>
      </c>
      <c r="BF206" s="39">
        <v>0</v>
      </c>
      <c r="BG206" s="38">
        <v>0</v>
      </c>
      <c r="BH206" s="39">
        <v>0</v>
      </c>
      <c r="BI206" s="39">
        <v>0</v>
      </c>
      <c r="BJ206" s="55">
        <v>0</v>
      </c>
      <c r="BK206" s="39">
        <v>19.771277081972755</v>
      </c>
      <c r="BL206" s="39">
        <v>0</v>
      </c>
      <c r="BM206" s="38">
        <v>-19.771277081972755</v>
      </c>
      <c r="BN206" s="39">
        <v>0</v>
      </c>
      <c r="BO206" s="39">
        <v>0</v>
      </c>
      <c r="BP206" s="55">
        <v>0</v>
      </c>
      <c r="BQ206" s="77">
        <v>188.64885557071611</v>
      </c>
      <c r="BR206" s="40">
        <v>0</v>
      </c>
      <c r="BS206" s="55">
        <v>-188.64885557071611</v>
      </c>
      <c r="BT206" s="39">
        <v>1381.4348106070515</v>
      </c>
      <c r="BU206" s="39">
        <v>314.600500516154</v>
      </c>
      <c r="BV206" s="52">
        <v>-1066.8343100908976</v>
      </c>
      <c r="BW206" s="39">
        <v>358.66164288679494</v>
      </c>
      <c r="BX206" s="39">
        <v>267.49153041789646</v>
      </c>
      <c r="BY206" s="52">
        <v>-91.170112468898481</v>
      </c>
      <c r="BZ206" s="39">
        <v>272.97036188200735</v>
      </c>
      <c r="CA206" s="39">
        <v>1414.2199000109952</v>
      </c>
      <c r="CB206" s="52">
        <v>1141.2495381289878</v>
      </c>
      <c r="CC206" s="39">
        <v>0</v>
      </c>
      <c r="CD206" s="39">
        <v>0</v>
      </c>
      <c r="CE206" s="52">
        <v>0</v>
      </c>
      <c r="CF206" s="39">
        <v>0</v>
      </c>
      <c r="CG206" s="39">
        <v>0</v>
      </c>
      <c r="CH206" s="52">
        <v>0</v>
      </c>
      <c r="CI206" s="39">
        <v>68.630925649704494</v>
      </c>
      <c r="CJ206" s="39">
        <v>46.183002381688489</v>
      </c>
      <c r="CK206" s="52">
        <v>-22.447923268016005</v>
      </c>
      <c r="CL206" s="39">
        <v>0</v>
      </c>
      <c r="CM206" s="39">
        <v>0</v>
      </c>
      <c r="CN206" s="52">
        <v>0</v>
      </c>
      <c r="CO206" s="39">
        <v>68.630925649704494</v>
      </c>
      <c r="CP206" s="40">
        <v>46.183002381688489</v>
      </c>
      <c r="CQ206" s="52">
        <v>-22.447923268016005</v>
      </c>
      <c r="CR206" s="72">
        <v>4358.6529948407406</v>
      </c>
      <c r="CS206" s="5">
        <v>3017.9364995216902</v>
      </c>
      <c r="CT206" s="52">
        <v>-1340.7164953190504</v>
      </c>
      <c r="CU206" s="77">
        <v>5230.3835938088887</v>
      </c>
      <c r="CV206" s="65">
        <v>3621.5237994260283</v>
      </c>
      <c r="CW206" s="35">
        <v>-1608.8597943828604</v>
      </c>
      <c r="CX206" s="39">
        <v>0</v>
      </c>
      <c r="CY206" s="39">
        <v>1608.8597943828602</v>
      </c>
      <c r="CZ206" s="52">
        <v>1608.8597943828602</v>
      </c>
      <c r="DA206" s="150">
        <v>9896.2987191317698</v>
      </c>
      <c r="DB206" s="2">
        <v>2</v>
      </c>
      <c r="DC206" s="713">
        <v>3517.09</v>
      </c>
      <c r="DD206" s="714">
        <v>2475.13</v>
      </c>
      <c r="DE206" s="715">
        <v>1616.260070252918</v>
      </c>
      <c r="DF206" s="716">
        <v>1760.7681328426379</v>
      </c>
      <c r="DG206" s="717">
        <v>24458.151028254884</v>
      </c>
      <c r="DH206" s="718">
        <v>25553.546692199157</v>
      </c>
      <c r="DI206" s="718">
        <v>62764.603125706664</v>
      </c>
      <c r="DJ206" s="693">
        <v>53461.839017329788</v>
      </c>
      <c r="DK206" s="724"/>
      <c r="DL206" s="5"/>
      <c r="DM206" s="306">
        <v>6.6907072500777263</v>
      </c>
      <c r="DN206" s="306"/>
      <c r="DO206" s="306">
        <v>5.9332380993136402</v>
      </c>
      <c r="DP206" s="719">
        <v>1900.8299297470821</v>
      </c>
      <c r="DQ206" s="720">
        <v>714.36186715736233</v>
      </c>
      <c r="DR206" s="650">
        <v>2615.1917969044443</v>
      </c>
      <c r="DS206" s="94">
        <v>2615.1917969044443</v>
      </c>
      <c r="DT206" s="719">
        <v>1900.82</v>
      </c>
      <c r="DU206" s="725">
        <v>714.36</v>
      </c>
      <c r="DV206" s="93">
        <v>2615.1799999999998</v>
      </c>
      <c r="DW206" s="95">
        <v>2615.1917969044443</v>
      </c>
      <c r="DX206" s="28">
        <v>-1.1796904444508982E-2</v>
      </c>
      <c r="EA206" s="5">
        <v>1611.6545560181664</v>
      </c>
      <c r="EB206" s="5">
        <v>313.2</v>
      </c>
      <c r="EE206" s="722">
        <v>13852.759293333074</v>
      </c>
      <c r="EG206" s="42" t="s">
        <v>178</v>
      </c>
    </row>
    <row r="207" spans="1:137" x14ac:dyDescent="0.3">
      <c r="A207" s="325">
        <v>150000940</v>
      </c>
      <c r="B207" s="41" t="s">
        <v>676</v>
      </c>
      <c r="C207" s="42" t="s">
        <v>377</v>
      </c>
      <c r="D207" s="27">
        <v>9</v>
      </c>
      <c r="E207" s="709">
        <v>7450.81</v>
      </c>
      <c r="F207" s="723">
        <v>7450.81</v>
      </c>
      <c r="G207" s="28">
        <v>941.36</v>
      </c>
      <c r="H207" s="651">
        <v>0</v>
      </c>
      <c r="I207" s="39">
        <v>3427.9988989078552</v>
      </c>
      <c r="J207" s="39">
        <v>2567.3337816425692</v>
      </c>
      <c r="K207" s="52">
        <v>-860.66511726528597</v>
      </c>
      <c r="L207" s="39">
        <v>587.84829855846283</v>
      </c>
      <c r="M207" s="39">
        <v>306.88714437747439</v>
      </c>
      <c r="N207" s="52">
        <v>-280.96115418098844</v>
      </c>
      <c r="O207" s="39">
        <v>2003.2</v>
      </c>
      <c r="P207" s="39">
        <v>2003.2</v>
      </c>
      <c r="Q207" s="52">
        <v>0</v>
      </c>
      <c r="R207" s="39">
        <v>390.18</v>
      </c>
      <c r="S207" s="39">
        <v>390.18</v>
      </c>
      <c r="T207" s="52">
        <v>0</v>
      </c>
      <c r="U207" s="39">
        <v>195.03873136964788</v>
      </c>
      <c r="V207" s="39">
        <v>35.291112202896308</v>
      </c>
      <c r="W207" s="52">
        <v>-159.74761916675158</v>
      </c>
      <c r="X207" s="39">
        <v>2605.4494085979932</v>
      </c>
      <c r="Y207" s="39">
        <v>1761.0489472112345</v>
      </c>
      <c r="Z207" s="52">
        <v>-844.40046138675871</v>
      </c>
      <c r="AA207" s="39">
        <v>0</v>
      </c>
      <c r="AB207" s="39">
        <v>0</v>
      </c>
      <c r="AC207" s="52">
        <v>0</v>
      </c>
      <c r="AD207" s="39">
        <v>5309.7347243186468</v>
      </c>
      <c r="AE207" s="39">
        <v>4455.485233116704</v>
      </c>
      <c r="AF207" s="35">
        <v>-854.24949120194287</v>
      </c>
      <c r="AG207" s="77">
        <v>14519.450061752606</v>
      </c>
      <c r="AH207" s="53">
        <v>11519.426218550878</v>
      </c>
      <c r="AI207" s="52">
        <v>-3000.0238432017286</v>
      </c>
      <c r="AJ207" s="39">
        <v>14116.222702204675</v>
      </c>
      <c r="AK207" s="39">
        <v>13926.646436649546</v>
      </c>
      <c r="AL207" s="52">
        <v>-189.57626555512979</v>
      </c>
      <c r="AM207" s="39">
        <v>0</v>
      </c>
      <c r="AN207" s="39">
        <v>0</v>
      </c>
      <c r="AO207" s="52">
        <v>0</v>
      </c>
      <c r="AP207" s="39">
        <v>947.01764289364974</v>
      </c>
      <c r="AQ207" s="39">
        <v>0</v>
      </c>
      <c r="AR207" s="52">
        <v>-947.01764289364974</v>
      </c>
      <c r="AS207" s="39">
        <v>19849.94132568179</v>
      </c>
      <c r="AT207" s="39">
        <v>5159</v>
      </c>
      <c r="AU207" s="54">
        <v>-14690.94132568179</v>
      </c>
      <c r="AV207" s="39">
        <v>285.32250723809909</v>
      </c>
      <c r="AW207" s="39">
        <v>710</v>
      </c>
      <c r="AX207" s="55">
        <v>424.67749276190091</v>
      </c>
      <c r="AY207" s="39">
        <v>390.32326750718556</v>
      </c>
      <c r="AZ207" s="39">
        <v>2298</v>
      </c>
      <c r="BA207" s="35">
        <v>1907.6767324928144</v>
      </c>
      <c r="BB207" s="39">
        <v>487.49537740688345</v>
      </c>
      <c r="BC207" s="39">
        <v>0</v>
      </c>
      <c r="BD207" s="55">
        <v>-487.49537740688345</v>
      </c>
      <c r="BE207" s="39">
        <v>200.76067396593027</v>
      </c>
      <c r="BF207" s="39">
        <v>0</v>
      </c>
      <c r="BG207" s="38">
        <v>-200.76067396593027</v>
      </c>
      <c r="BH207" s="39">
        <v>98.941812127749259</v>
      </c>
      <c r="BI207" s="39">
        <v>0</v>
      </c>
      <c r="BJ207" s="55">
        <v>-98.941812127749259</v>
      </c>
      <c r="BK207" s="39">
        <v>320.3263120897879</v>
      </c>
      <c r="BL207" s="39">
        <v>0</v>
      </c>
      <c r="BM207" s="38">
        <v>-320.3263120897879</v>
      </c>
      <c r="BN207" s="39">
        <v>143.02162076665977</v>
      </c>
      <c r="BO207" s="39">
        <v>0</v>
      </c>
      <c r="BP207" s="55">
        <v>-143.02162076665977</v>
      </c>
      <c r="BQ207" s="77">
        <v>1926.1915711022953</v>
      </c>
      <c r="BR207" s="40">
        <v>3008</v>
      </c>
      <c r="BS207" s="55">
        <v>1081.8084288977047</v>
      </c>
      <c r="BT207" s="39">
        <v>17471.169404994558</v>
      </c>
      <c r="BU207" s="39">
        <v>4385.7851604095413</v>
      </c>
      <c r="BV207" s="52">
        <v>-13085.384244585017</v>
      </c>
      <c r="BW207" s="39">
        <v>9798.5500390698744</v>
      </c>
      <c r="BX207" s="39">
        <v>8299.3778407856862</v>
      </c>
      <c r="BY207" s="52">
        <v>-1499.1721982841882</v>
      </c>
      <c r="BZ207" s="39">
        <v>2596.7809044302167</v>
      </c>
      <c r="CA207" s="39">
        <v>13766.003334923033</v>
      </c>
      <c r="CB207" s="52">
        <v>11169.222430492817</v>
      </c>
      <c r="CC207" s="39">
        <v>381.58794661235697</v>
      </c>
      <c r="CD207" s="39">
        <v>376.46393923680893</v>
      </c>
      <c r="CE207" s="52">
        <v>-5.1240073755480466</v>
      </c>
      <c r="CF207" s="39">
        <v>46.975788882203041</v>
      </c>
      <c r="CG207" s="39">
        <v>0</v>
      </c>
      <c r="CH207" s="52">
        <v>-46.975788882203041</v>
      </c>
      <c r="CI207" s="39">
        <v>4894.6328338357434</v>
      </c>
      <c r="CJ207" s="39">
        <v>6687.7846640059643</v>
      </c>
      <c r="CK207" s="52">
        <v>1793.1518301702208</v>
      </c>
      <c r="CL207" s="39">
        <v>2779.5524888130321</v>
      </c>
      <c r="CM207" s="39">
        <v>2683.1853667869723</v>
      </c>
      <c r="CN207" s="52">
        <v>-96.36712202605986</v>
      </c>
      <c r="CO207" s="39">
        <v>7674.1853226487756</v>
      </c>
      <c r="CP207" s="40">
        <v>9370.9700307929361</v>
      </c>
      <c r="CQ207" s="52">
        <v>1696.7847081441605</v>
      </c>
      <c r="CR207" s="72">
        <v>89328.072710273002</v>
      </c>
      <c r="CS207" s="5">
        <v>69811.67296134842</v>
      </c>
      <c r="CT207" s="52">
        <v>-19516.399748924581</v>
      </c>
      <c r="CU207" s="77">
        <v>107193.6872523276</v>
      </c>
      <c r="CV207" s="65">
        <v>83774.007553618096</v>
      </c>
      <c r="CW207" s="35">
        <v>-23419.6796987095</v>
      </c>
      <c r="CX207" s="39">
        <v>2679.84218130819</v>
      </c>
      <c r="CY207" s="39">
        <v>26099.521880017681</v>
      </c>
      <c r="CZ207" s="52">
        <v>23419.679698709489</v>
      </c>
      <c r="DA207" s="150">
        <v>-32936.381785948717</v>
      </c>
      <c r="DB207" s="2">
        <v>1</v>
      </c>
      <c r="DC207" s="713">
        <v>101929.24</v>
      </c>
      <c r="DD207" s="714"/>
      <c r="DE207" s="715">
        <v>46992.475283182117</v>
      </c>
      <c r="DF207" s="716">
        <v>0</v>
      </c>
      <c r="DG207" s="717">
        <v>16309.246749088619</v>
      </c>
      <c r="DH207" s="718">
        <v>547193.05738460529</v>
      </c>
      <c r="DI207" s="718">
        <v>1318482.3532036296</v>
      </c>
      <c r="DJ207" s="693">
        <v>1125660.0292488735</v>
      </c>
      <c r="DK207" s="724"/>
      <c r="DL207" s="5"/>
      <c r="DM207" s="306">
        <v>5.9786604375016941</v>
      </c>
      <c r="DN207" s="306">
        <v>7.5749399607295995</v>
      </c>
      <c r="DO207" s="306">
        <v>5.1698747787574808</v>
      </c>
      <c r="DP207" s="719">
        <v>54936.764716817888</v>
      </c>
      <c r="DQ207" s="720">
        <v>0</v>
      </c>
      <c r="DR207" s="650">
        <v>54936.764716817888</v>
      </c>
      <c r="DS207" s="94">
        <v>54936.764716817903</v>
      </c>
      <c r="DT207" s="719">
        <v>54943.89</v>
      </c>
      <c r="DU207" s="721"/>
      <c r="DV207" s="93">
        <v>54943.89</v>
      </c>
      <c r="DW207" s="95">
        <v>55204.748934948715</v>
      </c>
      <c r="DX207" s="28">
        <v>-260.85893494871561</v>
      </c>
      <c r="EA207" s="5">
        <v>26131.3594761409</v>
      </c>
      <c r="EB207" s="5">
        <v>9800.4</v>
      </c>
      <c r="EE207" s="722">
        <v>238199.29590818146</v>
      </c>
      <c r="EG207" s="42" t="s">
        <v>377</v>
      </c>
    </row>
    <row r="208" spans="1:137" x14ac:dyDescent="0.3">
      <c r="A208" s="325">
        <v>150000941</v>
      </c>
      <c r="B208" s="41" t="s">
        <v>677</v>
      </c>
      <c r="C208" s="42" t="s">
        <v>338</v>
      </c>
      <c r="D208" s="27">
        <v>8</v>
      </c>
      <c r="E208" s="709">
        <v>6120.05</v>
      </c>
      <c r="F208" s="723">
        <v>6120.05</v>
      </c>
      <c r="G208" s="28">
        <v>717.15</v>
      </c>
      <c r="H208" s="651">
        <v>0</v>
      </c>
      <c r="I208" s="39">
        <v>1684.5663027301821</v>
      </c>
      <c r="J208" s="39">
        <v>1261.100864574438</v>
      </c>
      <c r="K208" s="52">
        <v>-423.4654381557441</v>
      </c>
      <c r="L208" s="39">
        <v>469.78543785590898</v>
      </c>
      <c r="M208" s="39">
        <v>245.25225984394473</v>
      </c>
      <c r="N208" s="52">
        <v>-224.53317801196425</v>
      </c>
      <c r="O208" s="39">
        <v>1636</v>
      </c>
      <c r="P208" s="39">
        <v>1636</v>
      </c>
      <c r="Q208" s="52">
        <v>0</v>
      </c>
      <c r="R208" s="39">
        <v>301.92</v>
      </c>
      <c r="S208" s="39">
        <v>301.92</v>
      </c>
      <c r="T208" s="52">
        <v>0</v>
      </c>
      <c r="U208" s="39">
        <v>181.72735309855759</v>
      </c>
      <c r="V208" s="39">
        <v>32.88246703232452</v>
      </c>
      <c r="W208" s="52">
        <v>-148.84488606623307</v>
      </c>
      <c r="X208" s="39">
        <v>2141.9062526719076</v>
      </c>
      <c r="Y208" s="39">
        <v>1408.6824802520669</v>
      </c>
      <c r="Z208" s="52">
        <v>-733.22377241984077</v>
      </c>
      <c r="AA208" s="39">
        <v>0</v>
      </c>
      <c r="AB208" s="39">
        <v>0</v>
      </c>
      <c r="AC208" s="52">
        <v>0</v>
      </c>
      <c r="AD208" s="39">
        <v>4361.3837957975484</v>
      </c>
      <c r="AE208" s="39">
        <v>3659.7084613533134</v>
      </c>
      <c r="AF208" s="35">
        <v>-701.67533444423498</v>
      </c>
      <c r="AG208" s="77">
        <v>10777.289142154104</v>
      </c>
      <c r="AH208" s="53">
        <v>8545.5465330560874</v>
      </c>
      <c r="AI208" s="52">
        <v>-2231.7426090980171</v>
      </c>
      <c r="AJ208" s="39">
        <v>8948.3808490861302</v>
      </c>
      <c r="AK208" s="39">
        <v>8828.1989656285732</v>
      </c>
      <c r="AL208" s="52">
        <v>-120.18188345755698</v>
      </c>
      <c r="AM208" s="39">
        <v>789.21107943546565</v>
      </c>
      <c r="AN208" s="39">
        <v>0</v>
      </c>
      <c r="AO208" s="52">
        <v>-789.21107943546565</v>
      </c>
      <c r="AP208" s="39">
        <v>804.96499645960228</v>
      </c>
      <c r="AQ208" s="39">
        <v>0</v>
      </c>
      <c r="AR208" s="52">
        <v>-804.96499645960228</v>
      </c>
      <c r="AS208" s="39">
        <v>19449.217537715067</v>
      </c>
      <c r="AT208" s="39">
        <v>12360</v>
      </c>
      <c r="AU208" s="54">
        <v>-7089.217537715067</v>
      </c>
      <c r="AV208" s="39">
        <v>86.443035780007833</v>
      </c>
      <c r="AW208" s="39">
        <v>710</v>
      </c>
      <c r="AX208" s="55">
        <v>623.55696421999221</v>
      </c>
      <c r="AY208" s="39">
        <v>120.14218698074031</v>
      </c>
      <c r="AZ208" s="39">
        <v>6600</v>
      </c>
      <c r="BA208" s="35">
        <v>6479.85781301926</v>
      </c>
      <c r="BB208" s="39">
        <v>76.741518410294219</v>
      </c>
      <c r="BC208" s="39">
        <v>0</v>
      </c>
      <c r="BD208" s="55">
        <v>-76.741518410294219</v>
      </c>
      <c r="BE208" s="39">
        <v>71.32701187536864</v>
      </c>
      <c r="BF208" s="39">
        <v>0</v>
      </c>
      <c r="BG208" s="38">
        <v>-71.32701187536864</v>
      </c>
      <c r="BH208" s="39">
        <v>55.319784965168807</v>
      </c>
      <c r="BI208" s="39">
        <v>0</v>
      </c>
      <c r="BJ208" s="55">
        <v>-55.319784965168807</v>
      </c>
      <c r="BK208" s="39">
        <v>114.19426926644365</v>
      </c>
      <c r="BL208" s="39">
        <v>0</v>
      </c>
      <c r="BM208" s="38">
        <v>-114.19426926644365</v>
      </c>
      <c r="BN208" s="39">
        <v>180.65516284184937</v>
      </c>
      <c r="BO208" s="39">
        <v>0</v>
      </c>
      <c r="BP208" s="55">
        <v>-180.65516284184937</v>
      </c>
      <c r="BQ208" s="77">
        <v>704.82297011987282</v>
      </c>
      <c r="BR208" s="40">
        <v>7310</v>
      </c>
      <c r="BS208" s="55">
        <v>6605.1770298801275</v>
      </c>
      <c r="BT208" s="39">
        <v>12181.296074819107</v>
      </c>
      <c r="BU208" s="39">
        <v>2891.2284121486246</v>
      </c>
      <c r="BV208" s="52">
        <v>-9290.0676626704826</v>
      </c>
      <c r="BW208" s="39">
        <v>8868.0551148426694</v>
      </c>
      <c r="BX208" s="39">
        <v>9254.8429098301167</v>
      </c>
      <c r="BY208" s="52">
        <v>386.78779498744734</v>
      </c>
      <c r="BZ208" s="39">
        <v>1514.7888609176264</v>
      </c>
      <c r="CA208" s="39">
        <v>11888.255971304028</v>
      </c>
      <c r="CB208" s="52">
        <v>10373.467110386402</v>
      </c>
      <c r="CC208" s="39">
        <v>303.54477973069311</v>
      </c>
      <c r="CD208" s="39">
        <v>299.46874508662904</v>
      </c>
      <c r="CE208" s="52">
        <v>-4.076034644064066</v>
      </c>
      <c r="CF208" s="39">
        <v>37.368202050180017</v>
      </c>
      <c r="CG208" s="39">
        <v>0</v>
      </c>
      <c r="CH208" s="52">
        <v>-37.368202050180017</v>
      </c>
      <c r="CI208" s="39">
        <v>2263.5727114284355</v>
      </c>
      <c r="CJ208" s="39">
        <v>4602.3094689992377</v>
      </c>
      <c r="CK208" s="52">
        <v>2338.7367575708022</v>
      </c>
      <c r="CL208" s="39">
        <v>1506.7607767639668</v>
      </c>
      <c r="CM208" s="39">
        <v>2225.8768686989288</v>
      </c>
      <c r="CN208" s="52">
        <v>719.11609193496201</v>
      </c>
      <c r="CO208" s="39">
        <v>3770.333488192402</v>
      </c>
      <c r="CP208" s="40">
        <v>6828.1863376981664</v>
      </c>
      <c r="CQ208" s="52">
        <v>3057.8528495057644</v>
      </c>
      <c r="CR208" s="72">
        <v>68149.27309552292</v>
      </c>
      <c r="CS208" s="5">
        <v>68205.727874752221</v>
      </c>
      <c r="CT208" s="52">
        <v>56.454779229301494</v>
      </c>
      <c r="CU208" s="77">
        <v>81779.127714627495</v>
      </c>
      <c r="CV208" s="65">
        <v>81846.87344970266</v>
      </c>
      <c r="CW208" s="35">
        <v>67.745735075164703</v>
      </c>
      <c r="CX208" s="39">
        <v>2044.4781928656876</v>
      </c>
      <c r="CY208" s="39">
        <v>1976.7324577905165</v>
      </c>
      <c r="CZ208" s="52">
        <v>-67.745735075171069</v>
      </c>
      <c r="DA208" s="150">
        <v>-2387.1206122981821</v>
      </c>
      <c r="DB208" s="2">
        <v>1</v>
      </c>
      <c r="DC208" s="713">
        <v>75250.98</v>
      </c>
      <c r="DD208" s="714"/>
      <c r="DE208" s="715">
        <v>33339.177046253411</v>
      </c>
      <c r="DF208" s="716">
        <v>0</v>
      </c>
      <c r="DG208" s="717">
        <v>35436.402843070216</v>
      </c>
      <c r="DH208" s="718">
        <v>422935.85664058465</v>
      </c>
      <c r="DI208" s="718">
        <v>1005883.2708899182</v>
      </c>
      <c r="DJ208" s="693">
        <v>860146.41732758482</v>
      </c>
      <c r="DK208" s="724"/>
      <c r="DL208" s="5"/>
      <c r="DM208" s="306">
        <v>5.7183398893793296</v>
      </c>
      <c r="DN208" s="306">
        <v>6.9982593610983361</v>
      </c>
      <c r="DO208" s="306">
        <v>4.8271945726534469</v>
      </c>
      <c r="DP208" s="719">
        <v>41911.802953746585</v>
      </c>
      <c r="DQ208" s="720">
        <v>0</v>
      </c>
      <c r="DR208" s="650">
        <v>41911.802953746585</v>
      </c>
      <c r="DS208" s="94">
        <v>41911.802953746599</v>
      </c>
      <c r="DT208" s="719">
        <v>41908.19</v>
      </c>
      <c r="DU208" s="721"/>
      <c r="DV208" s="93">
        <v>41908.19</v>
      </c>
      <c r="DW208" s="95">
        <v>42116.250773033164</v>
      </c>
      <c r="DX208" s="28">
        <v>-208.06077303316124</v>
      </c>
      <c r="EA208" s="5">
        <v>24184.848609401928</v>
      </c>
      <c r="EB208" s="5">
        <v>23604</v>
      </c>
      <c r="EE208" s="722">
        <v>233390.61045258079</v>
      </c>
      <c r="EG208" s="42" t="s">
        <v>338</v>
      </c>
    </row>
    <row r="209" spans="1:137" x14ac:dyDescent="0.3">
      <c r="A209" s="325">
        <v>150000957</v>
      </c>
      <c r="B209" s="41" t="s">
        <v>678</v>
      </c>
      <c r="C209" s="42" t="s">
        <v>378</v>
      </c>
      <c r="D209" s="27">
        <v>9</v>
      </c>
      <c r="E209" s="709">
        <v>2163.8200000000002</v>
      </c>
      <c r="F209" s="723">
        <v>2163.8200000000002</v>
      </c>
      <c r="G209" s="28">
        <v>234.2</v>
      </c>
      <c r="H209" s="651">
        <v>0</v>
      </c>
      <c r="I209" s="39">
        <v>1330.4224455269668</v>
      </c>
      <c r="J209" s="39">
        <v>997.10760829982678</v>
      </c>
      <c r="K209" s="52">
        <v>-333.31483722714006</v>
      </c>
      <c r="L209" s="39">
        <v>200.32194683700277</v>
      </c>
      <c r="M209" s="39">
        <v>104.5784882937333</v>
      </c>
      <c r="N209" s="52">
        <v>-95.743458543269469</v>
      </c>
      <c r="O209" s="39">
        <v>526.67999999999995</v>
      </c>
      <c r="P209" s="39">
        <v>526.67999999999995</v>
      </c>
      <c r="Q209" s="52">
        <v>0</v>
      </c>
      <c r="R209" s="39">
        <v>123.12</v>
      </c>
      <c r="S209" s="39">
        <v>123.12</v>
      </c>
      <c r="T209" s="52">
        <v>0</v>
      </c>
      <c r="U209" s="39">
        <v>65.029090713311319</v>
      </c>
      <c r="V209" s="39">
        <v>11.766677703645154</v>
      </c>
      <c r="W209" s="52">
        <v>-53.262413009666162</v>
      </c>
      <c r="X209" s="39">
        <v>361.52046946747163</v>
      </c>
      <c r="Y209" s="39">
        <v>274.06730863580856</v>
      </c>
      <c r="Z209" s="52">
        <v>-87.45316083166307</v>
      </c>
      <c r="AA209" s="39">
        <v>0</v>
      </c>
      <c r="AB209" s="39">
        <v>0</v>
      </c>
      <c r="AC209" s="52">
        <v>0</v>
      </c>
      <c r="AD209" s="39">
        <v>1542.0216313629221</v>
      </c>
      <c r="AE209" s="39">
        <v>1293.9355663508511</v>
      </c>
      <c r="AF209" s="35">
        <v>-248.086065012071</v>
      </c>
      <c r="AG209" s="77">
        <v>4149.1155839076746</v>
      </c>
      <c r="AH209" s="53">
        <v>3331.2556492838648</v>
      </c>
      <c r="AI209" s="52">
        <v>-817.85993462380975</v>
      </c>
      <c r="AJ209" s="39">
        <v>2873.920011581376</v>
      </c>
      <c r="AK209" s="39">
        <v>2835.3286790542033</v>
      </c>
      <c r="AL209" s="52">
        <v>-38.591332527172653</v>
      </c>
      <c r="AM209" s="39">
        <v>263.07035981182185</v>
      </c>
      <c r="AN209" s="39">
        <v>0</v>
      </c>
      <c r="AO209" s="52">
        <v>-263.07035981182185</v>
      </c>
      <c r="AP209" s="39">
        <v>284.10529286809492</v>
      </c>
      <c r="AQ209" s="39">
        <v>0</v>
      </c>
      <c r="AR209" s="52">
        <v>-284.10529286809492</v>
      </c>
      <c r="AS209" s="39">
        <v>5461.3657630380385</v>
      </c>
      <c r="AT209" s="39">
        <v>133.92380161115108</v>
      </c>
      <c r="AU209" s="54">
        <v>-5327.4419614268872</v>
      </c>
      <c r="AV209" s="39">
        <v>106.46004484722503</v>
      </c>
      <c r="AW209" s="39">
        <v>0</v>
      </c>
      <c r="AX209" s="55">
        <v>-106.46004484722503</v>
      </c>
      <c r="AY209" s="39">
        <v>132.91597242587608</v>
      </c>
      <c r="AZ209" s="39">
        <v>0</v>
      </c>
      <c r="BA209" s="35">
        <v>-132.91597242587608</v>
      </c>
      <c r="BB209" s="39">
        <v>96.496044322568451</v>
      </c>
      <c r="BC209" s="39">
        <v>0</v>
      </c>
      <c r="BD209" s="55">
        <v>-96.496044322568451</v>
      </c>
      <c r="BE209" s="39">
        <v>68.311243232300868</v>
      </c>
      <c r="BF209" s="39">
        <v>0</v>
      </c>
      <c r="BG209" s="38">
        <v>-68.311243232300868</v>
      </c>
      <c r="BH209" s="39">
        <v>32.980617657691397</v>
      </c>
      <c r="BI209" s="39">
        <v>0</v>
      </c>
      <c r="BJ209" s="55">
        <v>-32.980617657691397</v>
      </c>
      <c r="BK209" s="39">
        <v>43.626293285779226</v>
      </c>
      <c r="BL209" s="39">
        <v>0</v>
      </c>
      <c r="BM209" s="38">
        <v>-43.626293285779226</v>
      </c>
      <c r="BN209" s="39">
        <v>38.465579168771882</v>
      </c>
      <c r="BO209" s="39">
        <v>0</v>
      </c>
      <c r="BP209" s="55">
        <v>-38.465579168771882</v>
      </c>
      <c r="BQ209" s="77">
        <v>519.25579494021292</v>
      </c>
      <c r="BR209" s="40">
        <v>0</v>
      </c>
      <c r="BS209" s="55">
        <v>-519.25579494021292</v>
      </c>
      <c r="BT209" s="39">
        <v>5111.3809466259045</v>
      </c>
      <c r="BU209" s="39">
        <v>738.37210787207857</v>
      </c>
      <c r="BV209" s="52">
        <v>-4373.0088387538262</v>
      </c>
      <c r="BW209" s="39">
        <v>3063.4321930426122</v>
      </c>
      <c r="BX209" s="39">
        <v>2568.7953810948902</v>
      </c>
      <c r="BY209" s="52">
        <v>-494.63681194772198</v>
      </c>
      <c r="BZ209" s="39">
        <v>1168.5514069935975</v>
      </c>
      <c r="CA209" s="39">
        <v>3471.7402697594507</v>
      </c>
      <c r="CB209" s="52">
        <v>2303.1888627658532</v>
      </c>
      <c r="CC209" s="39">
        <v>130.15364828568963</v>
      </c>
      <c r="CD209" s="39">
        <v>128.405929942668</v>
      </c>
      <c r="CE209" s="52">
        <v>-1.7477183430216314</v>
      </c>
      <c r="CF209" s="39">
        <v>16.022702913958003</v>
      </c>
      <c r="CG209" s="39">
        <v>0</v>
      </c>
      <c r="CH209" s="52">
        <v>-16.022702913958003</v>
      </c>
      <c r="CI209" s="39">
        <v>739.34224449908925</v>
      </c>
      <c r="CJ209" s="39">
        <v>1006.6058434861936</v>
      </c>
      <c r="CK209" s="52">
        <v>267.26359898710439</v>
      </c>
      <c r="CL209" s="39">
        <v>658.23296873125662</v>
      </c>
      <c r="CM209" s="39">
        <v>878.96180545258608</v>
      </c>
      <c r="CN209" s="52">
        <v>220.72883672132946</v>
      </c>
      <c r="CO209" s="39">
        <v>1397.575213230346</v>
      </c>
      <c r="CP209" s="40">
        <v>1885.5676489387797</v>
      </c>
      <c r="CQ209" s="52">
        <v>487.99243570843373</v>
      </c>
      <c r="CR209" s="72">
        <v>24437.948917239326</v>
      </c>
      <c r="CS209" s="5">
        <v>15093.389467557085</v>
      </c>
      <c r="CT209" s="52">
        <v>-9344.5594496822414</v>
      </c>
      <c r="CU209" s="77">
        <v>29325.53870068719</v>
      </c>
      <c r="CV209" s="65">
        <v>18112.067361068501</v>
      </c>
      <c r="CW209" s="35">
        <v>-11213.471339618689</v>
      </c>
      <c r="CX209" s="39">
        <v>439.88308051030782</v>
      </c>
      <c r="CY209" s="39">
        <v>11653.354420128991</v>
      </c>
      <c r="CZ209" s="52">
        <v>11213.471339618683</v>
      </c>
      <c r="DA209" s="150">
        <v>-12222.947940813814</v>
      </c>
      <c r="DB209" s="2">
        <v>1</v>
      </c>
      <c r="DC209" s="713">
        <v>20939.46</v>
      </c>
      <c r="DD209" s="714"/>
      <c r="DE209" s="715">
        <v>6056.7491094012548</v>
      </c>
      <c r="DF209" s="716">
        <v>0</v>
      </c>
      <c r="DG209" s="717">
        <v>8390.7022111580591</v>
      </c>
      <c r="DH209" s="718">
        <v>145830.51647668652</v>
      </c>
      <c r="DI209" s="718">
        <v>357185.06137436995</v>
      </c>
      <c r="DJ209" s="693">
        <v>304346.42514994909</v>
      </c>
      <c r="DK209" s="724"/>
      <c r="DL209" s="5"/>
      <c r="DM209" s="306">
        <v>5.809827008005727</v>
      </c>
      <c r="DN209" s="306">
        <v>7.0076229544282311</v>
      </c>
      <c r="DO209" s="306">
        <v>4.9476341243264237</v>
      </c>
      <c r="DP209" s="719">
        <v>14882.710890598744</v>
      </c>
      <c r="DQ209" s="720">
        <v>0</v>
      </c>
      <c r="DR209" s="650">
        <v>14882.710890598744</v>
      </c>
      <c r="DS209" s="94">
        <v>14882.710890598752</v>
      </c>
      <c r="DT209" s="719">
        <v>14882.75</v>
      </c>
      <c r="DU209" s="721"/>
      <c r="DV209" s="93">
        <v>14882.75</v>
      </c>
      <c r="DW209" s="95">
        <v>14926.699198649776</v>
      </c>
      <c r="DX209" s="28">
        <v>-43.949198649776008</v>
      </c>
      <c r="EA209" s="5">
        <v>7176.7458695739015</v>
      </c>
      <c r="EB209" s="5">
        <v>160.70856193338128</v>
      </c>
      <c r="EE209" s="722">
        <v>65536.389156456455</v>
      </c>
      <c r="EG209" s="42" t="s">
        <v>378</v>
      </c>
    </row>
    <row r="210" spans="1:137" x14ac:dyDescent="0.3">
      <c r="A210" s="325">
        <v>150000960</v>
      </c>
      <c r="B210" s="41" t="s">
        <v>679</v>
      </c>
      <c r="C210" s="42" t="s">
        <v>379</v>
      </c>
      <c r="D210" s="27">
        <v>9</v>
      </c>
      <c r="E210" s="709">
        <v>4314</v>
      </c>
      <c r="F210" s="723">
        <v>4314</v>
      </c>
      <c r="G210" s="28">
        <v>457.6</v>
      </c>
      <c r="H210" s="651">
        <v>0</v>
      </c>
      <c r="I210" s="39">
        <v>2627.7766471040031</v>
      </c>
      <c r="J210" s="39">
        <v>1968.0969317708489</v>
      </c>
      <c r="K210" s="52">
        <v>-659.67971533315426</v>
      </c>
      <c r="L210" s="39">
        <v>400.64389367400554</v>
      </c>
      <c r="M210" s="39">
        <v>209.1569765874666</v>
      </c>
      <c r="N210" s="52">
        <v>-191.48691708653894</v>
      </c>
      <c r="O210" s="39">
        <v>1070.02</v>
      </c>
      <c r="P210" s="39">
        <v>1070.02</v>
      </c>
      <c r="Q210" s="52">
        <v>0</v>
      </c>
      <c r="R210" s="39">
        <v>235.44</v>
      </c>
      <c r="S210" s="39">
        <v>235.44</v>
      </c>
      <c r="T210" s="52">
        <v>0</v>
      </c>
      <c r="U210" s="39">
        <v>130.00964065633656</v>
      </c>
      <c r="V210" s="39">
        <v>23.524434499251157</v>
      </c>
      <c r="W210" s="52">
        <v>-106.4852061570854</v>
      </c>
      <c r="X210" s="39">
        <v>1174.6791043787337</v>
      </c>
      <c r="Y210" s="39">
        <v>729.04784787458698</v>
      </c>
      <c r="Z210" s="52">
        <v>-445.63125650414668</v>
      </c>
      <c r="AA210" s="39">
        <v>0</v>
      </c>
      <c r="AB210" s="39">
        <v>0</v>
      </c>
      <c r="AC210" s="52">
        <v>0</v>
      </c>
      <c r="AD210" s="39">
        <v>3074.3228723736938</v>
      </c>
      <c r="AE210" s="39">
        <v>2579.7145942072684</v>
      </c>
      <c r="AF210" s="35">
        <v>-494.60827816642541</v>
      </c>
      <c r="AG210" s="77">
        <v>8712.8921581867726</v>
      </c>
      <c r="AH210" s="53">
        <v>6815.0007849394224</v>
      </c>
      <c r="AI210" s="52">
        <v>-1897.8913732473502</v>
      </c>
      <c r="AJ210" s="39">
        <v>6139.7493479442464</v>
      </c>
      <c r="AK210" s="39">
        <v>6057.304078846576</v>
      </c>
      <c r="AL210" s="52">
        <v>-82.445269097670462</v>
      </c>
      <c r="AM210" s="39">
        <v>526.14071962364369</v>
      </c>
      <c r="AN210" s="39">
        <v>0</v>
      </c>
      <c r="AO210" s="52">
        <v>-526.14071962364369</v>
      </c>
      <c r="AP210" s="39">
        <v>568.21058573618984</v>
      </c>
      <c r="AQ210" s="39">
        <v>0</v>
      </c>
      <c r="AR210" s="52">
        <v>-568.21058573618984</v>
      </c>
      <c r="AS210" s="39">
        <v>10155.214744297535</v>
      </c>
      <c r="AT210" s="39">
        <v>1186.8427527268311</v>
      </c>
      <c r="AU210" s="54">
        <v>-8968.3719915707043</v>
      </c>
      <c r="AV210" s="39">
        <v>165.41116391265822</v>
      </c>
      <c r="AW210" s="39">
        <v>253</v>
      </c>
      <c r="AX210" s="55">
        <v>87.588836087341775</v>
      </c>
      <c r="AY210" s="39">
        <v>212.66555588140139</v>
      </c>
      <c r="AZ210" s="39">
        <v>0</v>
      </c>
      <c r="BA210" s="35">
        <v>-212.66555588140139</v>
      </c>
      <c r="BB210" s="39">
        <v>158.75959729993374</v>
      </c>
      <c r="BC210" s="39">
        <v>0</v>
      </c>
      <c r="BD210" s="55">
        <v>-158.75959729993374</v>
      </c>
      <c r="BE210" s="39">
        <v>94.310142601773379</v>
      </c>
      <c r="BF210" s="39">
        <v>0</v>
      </c>
      <c r="BG210" s="38">
        <v>-94.310142601773379</v>
      </c>
      <c r="BH210" s="39">
        <v>52.768988252306244</v>
      </c>
      <c r="BI210" s="39">
        <v>0</v>
      </c>
      <c r="BJ210" s="55">
        <v>-52.768988252306244</v>
      </c>
      <c r="BK210" s="39">
        <v>78.040883527025315</v>
      </c>
      <c r="BL210" s="39">
        <v>0</v>
      </c>
      <c r="BM210" s="38">
        <v>-78.040883527025315</v>
      </c>
      <c r="BN210" s="39">
        <v>79.878797055444863</v>
      </c>
      <c r="BO210" s="39">
        <v>0</v>
      </c>
      <c r="BP210" s="55">
        <v>-79.878797055444863</v>
      </c>
      <c r="BQ210" s="77">
        <v>841.83512853054322</v>
      </c>
      <c r="BR210" s="40">
        <v>253</v>
      </c>
      <c r="BS210" s="55">
        <v>-588.83512853054322</v>
      </c>
      <c r="BT210" s="39">
        <v>9832.0320414307116</v>
      </c>
      <c r="BU210" s="39">
        <v>2724.9928806465778</v>
      </c>
      <c r="BV210" s="52">
        <v>-7107.0391607841339</v>
      </c>
      <c r="BW210" s="39">
        <v>6116.0004807725318</v>
      </c>
      <c r="BX210" s="39">
        <v>7406.0792839629248</v>
      </c>
      <c r="BY210" s="52">
        <v>1290.078803190393</v>
      </c>
      <c r="BZ210" s="39">
        <v>2293.8231322466918</v>
      </c>
      <c r="CA210" s="39">
        <v>10540.148465483549</v>
      </c>
      <c r="CB210" s="52">
        <v>8246.3253332368586</v>
      </c>
      <c r="CC210" s="39">
        <v>242.6593442614552</v>
      </c>
      <c r="CD210" s="39">
        <v>239.40088633378775</v>
      </c>
      <c r="CE210" s="52">
        <v>-3.2584579276674503</v>
      </c>
      <c r="CF210" s="39">
        <v>29.872835941277629</v>
      </c>
      <c r="CG210" s="39">
        <v>0</v>
      </c>
      <c r="CH210" s="52">
        <v>-29.872835941277629</v>
      </c>
      <c r="CI210" s="39">
        <v>1469.3257264095823</v>
      </c>
      <c r="CJ210" s="39">
        <v>2003.9756712362873</v>
      </c>
      <c r="CK210" s="52">
        <v>534.649944826705</v>
      </c>
      <c r="CL210" s="39">
        <v>1310.2267624034496</v>
      </c>
      <c r="CM210" s="39">
        <v>1748.6905188702599</v>
      </c>
      <c r="CN210" s="52">
        <v>438.46375646681031</v>
      </c>
      <c r="CO210" s="39">
        <v>2779.5524888130321</v>
      </c>
      <c r="CP210" s="40">
        <v>3752.6661901065472</v>
      </c>
      <c r="CQ210" s="52">
        <v>973.11370129351508</v>
      </c>
      <c r="CR210" s="72">
        <v>48237.983007784627</v>
      </c>
      <c r="CS210" s="5">
        <v>38975.435323046215</v>
      </c>
      <c r="CT210" s="52">
        <v>-9262.5476847384125</v>
      </c>
      <c r="CU210" s="77">
        <v>57885.579609341548</v>
      </c>
      <c r="CV210" s="65">
        <v>46770.522387655459</v>
      </c>
      <c r="CW210" s="35">
        <v>-11115.057221686089</v>
      </c>
      <c r="CX210" s="39">
        <v>868.2836941401232</v>
      </c>
      <c r="CY210" s="39">
        <v>11983.340915826215</v>
      </c>
      <c r="CZ210" s="52">
        <v>11115.057221686091</v>
      </c>
      <c r="DA210" s="150">
        <v>42534.591692360649</v>
      </c>
      <c r="DB210" s="2">
        <v>1</v>
      </c>
      <c r="DC210" s="713">
        <v>36858.93</v>
      </c>
      <c r="DD210" s="714"/>
      <c r="DE210" s="715">
        <v>7481.9983482591633</v>
      </c>
      <c r="DF210" s="716">
        <v>0</v>
      </c>
      <c r="DG210" s="717">
        <v>-78258.809867363583</v>
      </c>
      <c r="DH210" s="718">
        <v>287087.52787353972</v>
      </c>
      <c r="DI210" s="718">
        <v>705046.35964178015</v>
      </c>
      <c r="DJ210" s="693">
        <v>600556.65169972007</v>
      </c>
      <c r="DK210" s="724"/>
      <c r="DL210" s="5"/>
      <c r="DM210" s="306">
        <v>5.6836987719722512</v>
      </c>
      <c r="DN210" s="306">
        <v>6.9432815822234044</v>
      </c>
      <c r="DO210" s="306">
        <v>4.8203134468006077</v>
      </c>
      <c r="DP210" s="719">
        <v>29376.931651740837</v>
      </c>
      <c r="DQ210" s="720">
        <v>0</v>
      </c>
      <c r="DR210" s="650">
        <v>29376.931651740837</v>
      </c>
      <c r="DS210" s="94">
        <v>29376.931651740837</v>
      </c>
      <c r="DT210" s="719">
        <v>29109.03</v>
      </c>
      <c r="DU210" s="721"/>
      <c r="DV210" s="93">
        <v>29109.03</v>
      </c>
      <c r="DW210" s="95">
        <v>29463.760021154852</v>
      </c>
      <c r="DX210" s="28">
        <v>-354.7300211548536</v>
      </c>
      <c r="EA210" s="5">
        <v>13196.459847393693</v>
      </c>
      <c r="EB210" s="5">
        <v>1727.8113032721974</v>
      </c>
      <c r="EE210" s="722">
        <v>121862.57693157042</v>
      </c>
      <c r="EG210" s="42" t="s">
        <v>379</v>
      </c>
    </row>
    <row r="211" spans="1:137" ht="14.1" customHeight="1" x14ac:dyDescent="0.3">
      <c r="A211" s="325">
        <v>150000963</v>
      </c>
      <c r="B211" s="41" t="s">
        <v>680</v>
      </c>
      <c r="C211" s="42" t="s">
        <v>380</v>
      </c>
      <c r="D211" s="27">
        <v>9</v>
      </c>
      <c r="E211" s="709">
        <v>2140.7399999999998</v>
      </c>
      <c r="F211" s="723">
        <v>2140.7399999999998</v>
      </c>
      <c r="G211" s="28">
        <v>236.5</v>
      </c>
      <c r="H211" s="651">
        <v>0</v>
      </c>
      <c r="I211" s="39">
        <v>1330.4224455269668</v>
      </c>
      <c r="J211" s="39">
        <v>997.07259443716976</v>
      </c>
      <c r="K211" s="52">
        <v>-333.34985108979708</v>
      </c>
      <c r="L211" s="39">
        <v>200.32194683700277</v>
      </c>
      <c r="M211" s="39">
        <v>104.5784882937333</v>
      </c>
      <c r="N211" s="52">
        <v>-95.743458543269469</v>
      </c>
      <c r="O211" s="39">
        <v>526.22</v>
      </c>
      <c r="P211" s="39">
        <v>526.22</v>
      </c>
      <c r="Q211" s="52">
        <v>0</v>
      </c>
      <c r="R211" s="39">
        <v>116.72</v>
      </c>
      <c r="S211" s="39">
        <v>116.72</v>
      </c>
      <c r="T211" s="52">
        <v>0</v>
      </c>
      <c r="U211" s="39">
        <v>65.029090713311319</v>
      </c>
      <c r="V211" s="39">
        <v>11.766677703645154</v>
      </c>
      <c r="W211" s="52">
        <v>-53.262413009666162</v>
      </c>
      <c r="X211" s="39">
        <v>361.52046946747163</v>
      </c>
      <c r="Y211" s="39">
        <v>274.00684636642779</v>
      </c>
      <c r="Z211" s="52">
        <v>-87.513623101043834</v>
      </c>
      <c r="AA211" s="39">
        <v>0</v>
      </c>
      <c r="AB211" s="39">
        <v>0</v>
      </c>
      <c r="AC211" s="52">
        <v>0</v>
      </c>
      <c r="AD211" s="39">
        <v>1525.5739327318638</v>
      </c>
      <c r="AE211" s="39">
        <v>1280.1340334731726</v>
      </c>
      <c r="AF211" s="35">
        <v>-245.43989925869118</v>
      </c>
      <c r="AG211" s="77">
        <v>4125.8078852766157</v>
      </c>
      <c r="AH211" s="53">
        <v>3310.4986402741488</v>
      </c>
      <c r="AI211" s="52">
        <v>-815.30924500246692</v>
      </c>
      <c r="AJ211" s="39">
        <v>3265.8293363628704</v>
      </c>
      <c r="AK211" s="39">
        <v>3221.9753997923726</v>
      </c>
      <c r="AL211" s="52">
        <v>-43.853936570497808</v>
      </c>
      <c r="AM211" s="39">
        <v>263.07035981182185</v>
      </c>
      <c r="AN211" s="39">
        <v>0</v>
      </c>
      <c r="AO211" s="52">
        <v>-263.07035981182185</v>
      </c>
      <c r="AP211" s="39">
        <v>284.10529286809492</v>
      </c>
      <c r="AQ211" s="39">
        <v>0</v>
      </c>
      <c r="AR211" s="52">
        <v>-284.10529286809492</v>
      </c>
      <c r="AS211" s="39">
        <v>5865.1706698543385</v>
      </c>
      <c r="AT211" s="39">
        <v>57.706825218199526</v>
      </c>
      <c r="AU211" s="54">
        <v>-5807.4638446361387</v>
      </c>
      <c r="AV211" s="39">
        <v>106.46004484722503</v>
      </c>
      <c r="AW211" s="39">
        <v>0</v>
      </c>
      <c r="AX211" s="55">
        <v>-106.46004484722503</v>
      </c>
      <c r="AY211" s="39">
        <v>132.91597242587608</v>
      </c>
      <c r="AZ211" s="39">
        <v>0</v>
      </c>
      <c r="BA211" s="35">
        <v>-132.91597242587608</v>
      </c>
      <c r="BB211" s="39">
        <v>93.124853889192295</v>
      </c>
      <c r="BC211" s="39">
        <v>0</v>
      </c>
      <c r="BD211" s="55">
        <v>-93.124853889192295</v>
      </c>
      <c r="BE211" s="39">
        <v>64.567014438461243</v>
      </c>
      <c r="BF211" s="39">
        <v>0</v>
      </c>
      <c r="BG211" s="38">
        <v>-64.567014438461243</v>
      </c>
      <c r="BH211" s="39">
        <v>32.980617657691397</v>
      </c>
      <c r="BI211" s="39">
        <v>0</v>
      </c>
      <c r="BJ211" s="55">
        <v>-32.980617657691397</v>
      </c>
      <c r="BK211" s="39">
        <v>43.626293285779226</v>
      </c>
      <c r="BL211" s="39">
        <v>0</v>
      </c>
      <c r="BM211" s="38">
        <v>-43.626293285779226</v>
      </c>
      <c r="BN211" s="39">
        <v>27.907064838681809</v>
      </c>
      <c r="BO211" s="39">
        <v>0</v>
      </c>
      <c r="BP211" s="55">
        <v>-27.907064838681809</v>
      </c>
      <c r="BQ211" s="77">
        <v>501.58186138290716</v>
      </c>
      <c r="BR211" s="40">
        <v>0</v>
      </c>
      <c r="BS211" s="55">
        <v>-501.58186138290716</v>
      </c>
      <c r="BT211" s="39">
        <v>5625.827936020507</v>
      </c>
      <c r="BU211" s="39">
        <v>1497.9761245625341</v>
      </c>
      <c r="BV211" s="52">
        <v>-4127.8518114579729</v>
      </c>
      <c r="BW211" s="39">
        <v>3058.1566772653482</v>
      </c>
      <c r="BX211" s="39">
        <v>3451.2162261188678</v>
      </c>
      <c r="BY211" s="52">
        <v>393.05954885351957</v>
      </c>
      <c r="BZ211" s="39">
        <v>1168.5514069935975</v>
      </c>
      <c r="CA211" s="39">
        <v>5848.9123129939262</v>
      </c>
      <c r="CB211" s="52">
        <v>4680.3609060003291</v>
      </c>
      <c r="CC211" s="39">
        <v>119.31976645098626</v>
      </c>
      <c r="CD211" s="39">
        <v>117.71752673463422</v>
      </c>
      <c r="CE211" s="52">
        <v>-1.6022397163520452</v>
      </c>
      <c r="CF211" s="39">
        <v>14.688986400216113</v>
      </c>
      <c r="CG211" s="39">
        <v>0</v>
      </c>
      <c r="CH211" s="52">
        <v>-14.688986400216113</v>
      </c>
      <c r="CI211" s="39">
        <v>733.10306944002537</v>
      </c>
      <c r="CJ211" s="39">
        <v>997.36982775009358</v>
      </c>
      <c r="CK211" s="52">
        <v>264.26675831006821</v>
      </c>
      <c r="CL211" s="39">
        <v>651.99379367219262</v>
      </c>
      <c r="CM211" s="39">
        <v>871.26610023956539</v>
      </c>
      <c r="CN211" s="52">
        <v>219.27230656737277</v>
      </c>
      <c r="CO211" s="39">
        <v>1385.096863112218</v>
      </c>
      <c r="CP211" s="40">
        <v>1868.635927989659</v>
      </c>
      <c r="CQ211" s="52">
        <v>483.53906487744098</v>
      </c>
      <c r="CR211" s="72">
        <v>25677.20704179952</v>
      </c>
      <c r="CS211" s="5">
        <v>19374.638983684345</v>
      </c>
      <c r="CT211" s="52">
        <v>-6302.5680581151755</v>
      </c>
      <c r="CU211" s="77">
        <v>30812.648450159424</v>
      </c>
      <c r="CV211" s="65">
        <v>23249.566780421213</v>
      </c>
      <c r="CW211" s="35">
        <v>-7563.0816697382106</v>
      </c>
      <c r="CX211" s="39">
        <v>462.18972675239132</v>
      </c>
      <c r="CY211" s="39">
        <v>8025.271396490607</v>
      </c>
      <c r="CZ211" s="52">
        <v>7563.0816697382161</v>
      </c>
      <c r="DA211" s="150">
        <v>-46774.389532340312</v>
      </c>
      <c r="DB211" s="2">
        <v>1</v>
      </c>
      <c r="DC211" s="713">
        <v>30472.31</v>
      </c>
      <c r="DD211" s="714"/>
      <c r="DE211" s="715">
        <v>14834.890911544091</v>
      </c>
      <c r="DF211" s="716">
        <v>0</v>
      </c>
      <c r="DG211" s="717">
        <v>-29188.612644238929</v>
      </c>
      <c r="DH211" s="718">
        <v>152987.06818603037</v>
      </c>
      <c r="DI211" s="718">
        <v>375298.05812294182</v>
      </c>
      <c r="DJ211" s="693">
        <v>319720.310638714</v>
      </c>
      <c r="DK211" s="724"/>
      <c r="DL211" s="5"/>
      <c r="DM211" s="306">
        <v>6.1152942221564306</v>
      </c>
      <c r="DN211" s="306">
        <v>7.4523967592929017</v>
      </c>
      <c r="DO211" s="306">
        <v>5.2453065466542226</v>
      </c>
      <c r="DP211" s="719">
        <v>15637.41908845591</v>
      </c>
      <c r="DQ211" s="720">
        <v>0</v>
      </c>
      <c r="DR211" s="650">
        <v>15637.41908845591</v>
      </c>
      <c r="DS211" s="94">
        <v>15637.419088455907</v>
      </c>
      <c r="DT211" s="719">
        <v>15636.67</v>
      </c>
      <c r="DU211" s="721"/>
      <c r="DV211" s="93">
        <v>15636.67</v>
      </c>
      <c r="DW211" s="95">
        <v>15683.638061131147</v>
      </c>
      <c r="DX211" s="28">
        <v>-46.968061131146897</v>
      </c>
      <c r="EA211" s="5">
        <v>7640.1030374846941</v>
      </c>
      <c r="EB211" s="5">
        <v>69.248190261839426</v>
      </c>
      <c r="EE211" s="722">
        <v>70382.048038252062</v>
      </c>
      <c r="EG211" s="42" t="s">
        <v>380</v>
      </c>
    </row>
    <row r="212" spans="1:137" x14ac:dyDescent="0.3">
      <c r="A212" s="325">
        <v>150000927</v>
      </c>
      <c r="B212" s="41" t="s">
        <v>681</v>
      </c>
      <c r="C212" s="42" t="s">
        <v>179</v>
      </c>
      <c r="D212" s="27">
        <v>2</v>
      </c>
      <c r="E212" s="709">
        <v>602.9</v>
      </c>
      <c r="F212" s="723">
        <v>418.2</v>
      </c>
      <c r="G212" s="28"/>
      <c r="H212" s="651">
        <v>184.7</v>
      </c>
      <c r="I212" s="39">
        <v>475.15131827153402</v>
      </c>
      <c r="J212" s="39">
        <v>505.96029989673548</v>
      </c>
      <c r="K212" s="52">
        <v>30.808981625201454</v>
      </c>
      <c r="L212" s="39">
        <v>118.60538669394019</v>
      </c>
      <c r="M212" s="39">
        <v>128.87049577730076</v>
      </c>
      <c r="N212" s="52">
        <v>10.265109083360571</v>
      </c>
      <c r="O212" s="39">
        <v>150.72</v>
      </c>
      <c r="P212" s="39">
        <v>150.72</v>
      </c>
      <c r="Q212" s="52">
        <v>0</v>
      </c>
      <c r="R212" s="39">
        <v>0</v>
      </c>
      <c r="S212" s="39">
        <v>0</v>
      </c>
      <c r="T212" s="52">
        <v>0</v>
      </c>
      <c r="U212" s="39">
        <v>0</v>
      </c>
      <c r="V212" s="39">
        <v>0</v>
      </c>
      <c r="W212" s="52">
        <v>0</v>
      </c>
      <c r="X212" s="39">
        <v>201.19626340407379</v>
      </c>
      <c r="Y212" s="39">
        <v>121.93340081762832</v>
      </c>
      <c r="Z212" s="52">
        <v>-79.262862586445465</v>
      </c>
      <c r="AA212" s="39">
        <v>0</v>
      </c>
      <c r="AB212" s="39">
        <v>0</v>
      </c>
      <c r="AC212" s="52">
        <v>0</v>
      </c>
      <c r="AD212" s="39">
        <v>429.64980522811771</v>
      </c>
      <c r="AE212" s="39">
        <v>360.5261772942888</v>
      </c>
      <c r="AF212" s="35">
        <v>-69.123627933828914</v>
      </c>
      <c r="AG212" s="77">
        <v>1375.3227735976657</v>
      </c>
      <c r="AH212" s="53">
        <v>1268.0103737859536</v>
      </c>
      <c r="AI212" s="52">
        <v>-107.31239981171211</v>
      </c>
      <c r="AJ212" s="39">
        <v>0</v>
      </c>
      <c r="AK212" s="39">
        <v>0</v>
      </c>
      <c r="AL212" s="52">
        <v>0</v>
      </c>
      <c r="AM212" s="39">
        <v>0</v>
      </c>
      <c r="AN212" s="39">
        <v>0</v>
      </c>
      <c r="AO212" s="52">
        <v>0</v>
      </c>
      <c r="AP212" s="39">
        <v>189.40352857872995</v>
      </c>
      <c r="AQ212" s="39">
        <v>560.04805654609754</v>
      </c>
      <c r="AR212" s="52">
        <v>370.64452796736759</v>
      </c>
      <c r="AS212" s="39">
        <v>1309.0255373683758</v>
      </c>
      <c r="AT212" s="39">
        <v>261</v>
      </c>
      <c r="AU212" s="54">
        <v>-1048.0255373683758</v>
      </c>
      <c r="AV212" s="39">
        <v>91.656095609273535</v>
      </c>
      <c r="AW212" s="39">
        <v>0</v>
      </c>
      <c r="AX212" s="55">
        <v>-91.656095609273535</v>
      </c>
      <c r="AY212" s="39">
        <v>152.88656391485003</v>
      </c>
      <c r="AZ212" s="39">
        <v>0</v>
      </c>
      <c r="BA212" s="35">
        <v>-152.88656391485003</v>
      </c>
      <c r="BB212" s="39">
        <v>77.57745813108339</v>
      </c>
      <c r="BC212" s="39">
        <v>0</v>
      </c>
      <c r="BD212" s="55">
        <v>-77.57745813108339</v>
      </c>
      <c r="BE212" s="39">
        <v>0</v>
      </c>
      <c r="BF212" s="39">
        <v>0</v>
      </c>
      <c r="BG212" s="38">
        <v>0</v>
      </c>
      <c r="BH212" s="39">
        <v>0</v>
      </c>
      <c r="BI212" s="39">
        <v>0</v>
      </c>
      <c r="BJ212" s="55">
        <v>0</v>
      </c>
      <c r="BK212" s="39">
        <v>19.771301113804686</v>
      </c>
      <c r="BL212" s="39">
        <v>0</v>
      </c>
      <c r="BM212" s="38">
        <v>-19.771301113804686</v>
      </c>
      <c r="BN212" s="39">
        <v>0</v>
      </c>
      <c r="BO212" s="39">
        <v>0</v>
      </c>
      <c r="BP212" s="55">
        <v>0</v>
      </c>
      <c r="BQ212" s="77">
        <v>341.89141876901164</v>
      </c>
      <c r="BR212" s="40">
        <v>0</v>
      </c>
      <c r="BS212" s="55">
        <v>-341.89141876901164</v>
      </c>
      <c r="BT212" s="39">
        <v>961.88578290139924</v>
      </c>
      <c r="BU212" s="39">
        <v>285.35890946513018</v>
      </c>
      <c r="BV212" s="52">
        <v>-676.52687343626906</v>
      </c>
      <c r="BW212" s="39">
        <v>995.29916758668571</v>
      </c>
      <c r="BX212" s="39">
        <v>893.42830837913471</v>
      </c>
      <c r="BY212" s="52">
        <v>-101.87085920755101</v>
      </c>
      <c r="BZ212" s="39">
        <v>312.66796202606071</v>
      </c>
      <c r="CA212" s="39">
        <v>1297.1458534482731</v>
      </c>
      <c r="CB212" s="52">
        <v>984.47789142221245</v>
      </c>
      <c r="CC212" s="39">
        <v>100.00506308956942</v>
      </c>
      <c r="CD212" s="39">
        <v>98.662183458773143</v>
      </c>
      <c r="CE212" s="52">
        <v>-1.3428796307962756</v>
      </c>
      <c r="CF212" s="39">
        <v>12.311229357617446</v>
      </c>
      <c r="CG212" s="39">
        <v>0</v>
      </c>
      <c r="CH212" s="52">
        <v>-12.311229357617446</v>
      </c>
      <c r="CI212" s="39">
        <v>174.69690165379325</v>
      </c>
      <c r="CJ212" s="39">
        <v>1228.9514435294332</v>
      </c>
      <c r="CK212" s="52">
        <v>1054.2545418756399</v>
      </c>
      <c r="CL212" s="39">
        <v>0</v>
      </c>
      <c r="CM212" s="39">
        <v>0</v>
      </c>
      <c r="CN212" s="52">
        <v>0</v>
      </c>
      <c r="CO212" s="39">
        <v>174.69690165379325</v>
      </c>
      <c r="CP212" s="40">
        <v>1228.9514435294332</v>
      </c>
      <c r="CQ212" s="52">
        <v>1054.2545418756399</v>
      </c>
      <c r="CR212" s="72">
        <v>5772.5093649289101</v>
      </c>
      <c r="CS212" s="5">
        <v>5892.6051286127949</v>
      </c>
      <c r="CT212" s="52">
        <v>120.0957636838848</v>
      </c>
      <c r="CU212" s="77">
        <v>6927.0112379146922</v>
      </c>
      <c r="CV212" s="65">
        <v>7071.1261543353539</v>
      </c>
      <c r="CW212" s="35">
        <v>144.11491642066176</v>
      </c>
      <c r="CX212" s="39">
        <v>103.90516856872038</v>
      </c>
      <c r="CY212" s="39">
        <v>-40.209747851942211</v>
      </c>
      <c r="CZ212" s="52">
        <v>-144.11491642066261</v>
      </c>
      <c r="DA212" s="150">
        <v>-19977.426055573917</v>
      </c>
      <c r="DB212" s="2">
        <v>2</v>
      </c>
      <c r="DC212" s="713">
        <v>7075.13</v>
      </c>
      <c r="DD212" s="714">
        <v>5150.28</v>
      </c>
      <c r="DE212" s="715">
        <v>4450.9499367160097</v>
      </c>
      <c r="DF212" s="716">
        <v>4259.0018600422836</v>
      </c>
      <c r="DG212" s="717">
        <v>-20482.390117137627</v>
      </c>
      <c r="DH212" s="718">
        <v>39359.268047550882</v>
      </c>
      <c r="DI212" s="718">
        <v>84370.99687780095</v>
      </c>
      <c r="DJ212" s="693">
        <v>73118.064670238426</v>
      </c>
      <c r="DK212" s="724"/>
      <c r="DL212" s="5"/>
      <c r="DM212" s="306">
        <v>6.2749403713151359</v>
      </c>
      <c r="DN212" s="306"/>
      <c r="DO212" s="306">
        <v>4.8255448833660886</v>
      </c>
      <c r="DP212" s="719">
        <v>2624.18006328399</v>
      </c>
      <c r="DQ212" s="720">
        <v>891.27813995771646</v>
      </c>
      <c r="DR212" s="650">
        <v>3515.4582032417065</v>
      </c>
      <c r="DS212" s="94">
        <v>3515.4582032417056</v>
      </c>
      <c r="DT212" s="719">
        <v>2624.18</v>
      </c>
      <c r="DU212" s="725">
        <v>891.27</v>
      </c>
      <c r="DV212" s="93">
        <v>3515.45</v>
      </c>
      <c r="DW212" s="95">
        <v>3525.8487200985778</v>
      </c>
      <c r="DX212" s="28">
        <v>-10.398720098577996</v>
      </c>
      <c r="EA212" s="5">
        <v>1981.1003473648648</v>
      </c>
      <c r="EB212" s="5">
        <v>313.2</v>
      </c>
      <c r="EE212" s="722">
        <v>15708.30644842051</v>
      </c>
      <c r="EG212" s="42" t="s">
        <v>179</v>
      </c>
    </row>
    <row r="213" spans="1:137" x14ac:dyDescent="0.3">
      <c r="A213" s="325">
        <v>150000958</v>
      </c>
      <c r="B213" s="41" t="s">
        <v>682</v>
      </c>
      <c r="C213" s="42" t="s">
        <v>381</v>
      </c>
      <c r="D213" s="27">
        <v>9</v>
      </c>
      <c r="E213" s="709">
        <v>2135.1</v>
      </c>
      <c r="F213" s="723">
        <v>2135.1</v>
      </c>
      <c r="G213" s="28">
        <v>233.5</v>
      </c>
      <c r="H213" s="651">
        <v>0</v>
      </c>
      <c r="I213" s="39">
        <v>1330.422118764367</v>
      </c>
      <c r="J213" s="39">
        <v>997.06371557578507</v>
      </c>
      <c r="K213" s="52">
        <v>-333.35840318858197</v>
      </c>
      <c r="L213" s="39">
        <v>200.32194683700277</v>
      </c>
      <c r="M213" s="39">
        <v>104.5784882937333</v>
      </c>
      <c r="N213" s="52">
        <v>-95.743458543269469</v>
      </c>
      <c r="O213" s="39">
        <v>517.46</v>
      </c>
      <c r="P213" s="39">
        <v>517.46</v>
      </c>
      <c r="Q213" s="52">
        <v>0</v>
      </c>
      <c r="R213" s="39">
        <v>116.24</v>
      </c>
      <c r="S213" s="39">
        <v>116.24</v>
      </c>
      <c r="T213" s="52">
        <v>0</v>
      </c>
      <c r="U213" s="39">
        <v>65.029090713311319</v>
      </c>
      <c r="V213" s="39">
        <v>11.766677703645154</v>
      </c>
      <c r="W213" s="52">
        <v>-53.262413009666162</v>
      </c>
      <c r="X213" s="39">
        <v>361.52046946747163</v>
      </c>
      <c r="Y213" s="39">
        <v>273.99314827552246</v>
      </c>
      <c r="Z213" s="52">
        <v>-87.52732119194917</v>
      </c>
      <c r="AA213" s="39">
        <v>0</v>
      </c>
      <c r="AB213" s="39">
        <v>0</v>
      </c>
      <c r="AC213" s="52">
        <v>0</v>
      </c>
      <c r="AD213" s="39">
        <v>1521.5546510906522</v>
      </c>
      <c r="AE213" s="39">
        <v>1276.7613885238616</v>
      </c>
      <c r="AF213" s="35">
        <v>-244.79326256679064</v>
      </c>
      <c r="AG213" s="77">
        <v>4112.5482768728043</v>
      </c>
      <c r="AH213" s="53">
        <v>3297.8634183725476</v>
      </c>
      <c r="AI213" s="52">
        <v>-814.68485850025672</v>
      </c>
      <c r="AJ213" s="39">
        <v>2873.920011581376</v>
      </c>
      <c r="AK213" s="39">
        <v>2835.3286790542033</v>
      </c>
      <c r="AL213" s="52">
        <v>-38.591332527172653</v>
      </c>
      <c r="AM213" s="39">
        <v>263.07035981182185</v>
      </c>
      <c r="AN213" s="39">
        <v>0</v>
      </c>
      <c r="AO213" s="52">
        <v>-263.07035981182185</v>
      </c>
      <c r="AP213" s="39">
        <v>284.10529286809492</v>
      </c>
      <c r="AQ213" s="39">
        <v>0</v>
      </c>
      <c r="AR213" s="52">
        <v>-284.10529286809492</v>
      </c>
      <c r="AS213" s="39">
        <v>5485.2675711898219</v>
      </c>
      <c r="AT213" s="39">
        <v>46.16546017455962</v>
      </c>
      <c r="AU213" s="54">
        <v>-5439.1021110152624</v>
      </c>
      <c r="AV213" s="39">
        <v>106.46004484722503</v>
      </c>
      <c r="AW213" s="39">
        <v>0</v>
      </c>
      <c r="AX213" s="55">
        <v>-106.46004484722503</v>
      </c>
      <c r="AY213" s="39">
        <v>132.91597242587608</v>
      </c>
      <c r="AZ213" s="39">
        <v>0</v>
      </c>
      <c r="BA213" s="35">
        <v>-132.91597242587608</v>
      </c>
      <c r="BB213" s="39">
        <v>91.344582835785587</v>
      </c>
      <c r="BC213" s="39">
        <v>0</v>
      </c>
      <c r="BD213" s="55">
        <v>-91.344582835785587</v>
      </c>
      <c r="BE213" s="39">
        <v>59.813520908187947</v>
      </c>
      <c r="BF213" s="39">
        <v>0</v>
      </c>
      <c r="BG213" s="38">
        <v>-59.813520908187947</v>
      </c>
      <c r="BH213" s="39">
        <v>32.980617657691397</v>
      </c>
      <c r="BI213" s="39">
        <v>0</v>
      </c>
      <c r="BJ213" s="55">
        <v>-32.980617657691397</v>
      </c>
      <c r="BK213" s="39">
        <v>43.626293285779226</v>
      </c>
      <c r="BL213" s="39">
        <v>0</v>
      </c>
      <c r="BM213" s="38">
        <v>-43.626293285779226</v>
      </c>
      <c r="BN213" s="39">
        <v>51.805042814282956</v>
      </c>
      <c r="BO213" s="39">
        <v>0</v>
      </c>
      <c r="BP213" s="55">
        <v>-51.805042814282956</v>
      </c>
      <c r="BQ213" s="77">
        <v>518.94607477482828</v>
      </c>
      <c r="BR213" s="40">
        <v>0</v>
      </c>
      <c r="BS213" s="55">
        <v>-518.94607477482828</v>
      </c>
      <c r="BT213" s="39">
        <v>5877.6616319760251</v>
      </c>
      <c r="BU213" s="39">
        <v>1450.5426810604895</v>
      </c>
      <c r="BV213" s="52">
        <v>-4427.1189509155356</v>
      </c>
      <c r="BW213" s="39">
        <v>3000.9409824985819</v>
      </c>
      <c r="BX213" s="39">
        <v>3283.2707650148795</v>
      </c>
      <c r="BY213" s="52">
        <v>282.32978251629766</v>
      </c>
      <c r="BZ213" s="39">
        <v>1168.5514069935975</v>
      </c>
      <c r="CA213" s="39">
        <v>5819.1965721485667</v>
      </c>
      <c r="CB213" s="52">
        <v>4650.6451651549687</v>
      </c>
      <c r="CC213" s="39">
        <v>118.19225838674112</v>
      </c>
      <c r="CD213" s="39">
        <v>116.60515897995197</v>
      </c>
      <c r="CE213" s="52">
        <v>-1.5870994067891502</v>
      </c>
      <c r="CF213" s="39">
        <v>14.550183324125326</v>
      </c>
      <c r="CG213" s="39">
        <v>0</v>
      </c>
      <c r="CH213" s="52">
        <v>-14.550183324125326</v>
      </c>
      <c r="CI213" s="39">
        <v>46.793812942980331</v>
      </c>
      <c r="CJ213" s="39">
        <v>985.03857246189409</v>
      </c>
      <c r="CK213" s="52">
        <v>938.24475951891372</v>
      </c>
      <c r="CL213" s="39">
        <v>1254.0741868718731</v>
      </c>
      <c r="CM213" s="39">
        <v>1100.6057172106707</v>
      </c>
      <c r="CN213" s="52">
        <v>-153.46846966120233</v>
      </c>
      <c r="CO213" s="39">
        <v>1300.8679998148534</v>
      </c>
      <c r="CP213" s="40">
        <v>2085.6442896725648</v>
      </c>
      <c r="CQ213" s="52">
        <v>784.77628985771139</v>
      </c>
      <c r="CR213" s="72">
        <v>25018.622050092668</v>
      </c>
      <c r="CS213" s="5">
        <v>18934.61702447776</v>
      </c>
      <c r="CT213" s="52">
        <v>-6084.0050256149079</v>
      </c>
      <c r="CU213" s="77">
        <v>30022.346460111199</v>
      </c>
      <c r="CV213" s="65">
        <v>22721.540429373312</v>
      </c>
      <c r="CW213" s="35">
        <v>-7300.8060307378873</v>
      </c>
      <c r="CX213" s="39">
        <v>750.55866150278018</v>
      </c>
      <c r="CY213" s="39">
        <v>8051.3646922406588</v>
      </c>
      <c r="CZ213" s="52">
        <v>7300.8060307378782</v>
      </c>
      <c r="DA213" s="150">
        <v>-40894.498597734557</v>
      </c>
      <c r="DB213" s="2">
        <v>1</v>
      </c>
      <c r="DC213" s="713">
        <v>62675.62</v>
      </c>
      <c r="DD213" s="714"/>
      <c r="DE213" s="715">
        <v>47289.167439193014</v>
      </c>
      <c r="DF213" s="716">
        <v>0</v>
      </c>
      <c r="DG213" s="717">
        <v>-1411.147026562885</v>
      </c>
      <c r="DH213" s="718">
        <v>149703.54895544209</v>
      </c>
      <c r="DI213" s="718">
        <v>369274.86145936773</v>
      </c>
      <c r="DJ213" s="693">
        <v>314382.03333338635</v>
      </c>
      <c r="DK213" s="724"/>
      <c r="DL213" s="5"/>
      <c r="DM213" s="306">
        <v>5.9416176560694929</v>
      </c>
      <c r="DN213" s="306">
        <v>7.3617400284574916</v>
      </c>
      <c r="DO213" s="306">
        <v>5.0772184690353361</v>
      </c>
      <c r="DP213" s="719">
        <v>15386.452560806993</v>
      </c>
      <c r="DQ213" s="720">
        <v>0</v>
      </c>
      <c r="DR213" s="650">
        <v>15386.452560806993</v>
      </c>
      <c r="DS213" s="94">
        <v>15386.452560806985</v>
      </c>
      <c r="DT213" s="719">
        <v>15388.23</v>
      </c>
      <c r="DU213" s="721"/>
      <c r="DV213" s="93">
        <v>15388.23</v>
      </c>
      <c r="DW213" s="95">
        <v>15461.508426957265</v>
      </c>
      <c r="DX213" s="28">
        <v>-73.278426957265765</v>
      </c>
      <c r="EA213" s="5">
        <v>7205.0563751575801</v>
      </c>
      <c r="EB213" s="5">
        <v>55.398552209471539</v>
      </c>
      <c r="EE213" s="722">
        <v>65823.210854277859</v>
      </c>
      <c r="EG213" s="42" t="s">
        <v>381</v>
      </c>
    </row>
    <row r="214" spans="1:137" x14ac:dyDescent="0.3">
      <c r="A214" s="325">
        <v>150000961</v>
      </c>
      <c r="B214" s="41" t="s">
        <v>683</v>
      </c>
      <c r="C214" s="42" t="s">
        <v>382</v>
      </c>
      <c r="D214" s="27">
        <v>9</v>
      </c>
      <c r="E214" s="709">
        <v>4349.8999999999996</v>
      </c>
      <c r="F214" s="723">
        <v>4349.8999999999996</v>
      </c>
      <c r="G214" s="28">
        <v>477.8</v>
      </c>
      <c r="H214" s="651">
        <v>0</v>
      </c>
      <c r="I214" s="39">
        <v>2618.1248781662448</v>
      </c>
      <c r="J214" s="39">
        <v>1960.9124768713725</v>
      </c>
      <c r="K214" s="52">
        <v>-657.21240129487228</v>
      </c>
      <c r="L214" s="39">
        <v>400.64389367400554</v>
      </c>
      <c r="M214" s="39">
        <v>209.1569765874666</v>
      </c>
      <c r="N214" s="52">
        <v>-191.48691708653894</v>
      </c>
      <c r="O214" s="39">
        <v>1085.26</v>
      </c>
      <c r="P214" s="39">
        <v>1085.26</v>
      </c>
      <c r="Q214" s="52">
        <v>0</v>
      </c>
      <c r="R214" s="39">
        <v>234.48</v>
      </c>
      <c r="S214" s="39">
        <v>234.48</v>
      </c>
      <c r="T214" s="52">
        <v>0</v>
      </c>
      <c r="U214" s="39">
        <v>130.00964065633656</v>
      </c>
      <c r="V214" s="39">
        <v>23.524434499251157</v>
      </c>
      <c r="W214" s="52">
        <v>-106.4852061570854</v>
      </c>
      <c r="X214" s="39">
        <v>1551.8619205973914</v>
      </c>
      <c r="Y214" s="39">
        <v>770.38044077406266</v>
      </c>
      <c r="Z214" s="52">
        <v>-781.48147982332875</v>
      </c>
      <c r="AA214" s="39">
        <v>0</v>
      </c>
      <c r="AB214" s="39">
        <v>0</v>
      </c>
      <c r="AC214" s="52">
        <v>0</v>
      </c>
      <c r="AD214" s="39">
        <v>3099.9065977140308</v>
      </c>
      <c r="AE214" s="39">
        <v>2601.1823164910047</v>
      </c>
      <c r="AF214" s="35">
        <v>-498.72428122302608</v>
      </c>
      <c r="AG214" s="77">
        <v>9120.286930808008</v>
      </c>
      <c r="AH214" s="53">
        <v>6884.896645223158</v>
      </c>
      <c r="AI214" s="52">
        <v>-2235.3902855848501</v>
      </c>
      <c r="AJ214" s="39">
        <v>5747.840023162752</v>
      </c>
      <c r="AK214" s="39">
        <v>5670.6573581084067</v>
      </c>
      <c r="AL214" s="52">
        <v>-77.182665054345307</v>
      </c>
      <c r="AM214" s="39">
        <v>526.14071962364369</v>
      </c>
      <c r="AN214" s="39">
        <v>0</v>
      </c>
      <c r="AO214" s="52">
        <v>-526.14071962364369</v>
      </c>
      <c r="AP214" s="39">
        <v>560.31877204540945</v>
      </c>
      <c r="AQ214" s="39">
        <v>0</v>
      </c>
      <c r="AR214" s="52">
        <v>-560.31877204540945</v>
      </c>
      <c r="AS214" s="39">
        <v>9864.4201277499997</v>
      </c>
      <c r="AT214" s="39">
        <v>33.744753032356677</v>
      </c>
      <c r="AU214" s="54">
        <v>-9830.6753747176426</v>
      </c>
      <c r="AV214" s="39">
        <v>206.48060014236324</v>
      </c>
      <c r="AW214" s="39">
        <v>0</v>
      </c>
      <c r="AX214" s="55">
        <v>-206.48060014236324</v>
      </c>
      <c r="AY214" s="39">
        <v>265.8319448517517</v>
      </c>
      <c r="AZ214" s="39">
        <v>0</v>
      </c>
      <c r="BA214" s="35">
        <v>-265.8319448517517</v>
      </c>
      <c r="BB214" s="39">
        <v>201.92473535792897</v>
      </c>
      <c r="BC214" s="39">
        <v>0</v>
      </c>
      <c r="BD214" s="55">
        <v>-201.92473535792897</v>
      </c>
      <c r="BE214" s="39">
        <v>110.15949442599425</v>
      </c>
      <c r="BF214" s="39">
        <v>0</v>
      </c>
      <c r="BG214" s="38">
        <v>-110.15949442599425</v>
      </c>
      <c r="BH214" s="39">
        <v>65.961235315382794</v>
      </c>
      <c r="BI214" s="39">
        <v>0</v>
      </c>
      <c r="BJ214" s="55">
        <v>-65.961235315382794</v>
      </c>
      <c r="BK214" s="39">
        <v>97.681528674260917</v>
      </c>
      <c r="BL214" s="39">
        <v>0</v>
      </c>
      <c r="BM214" s="38">
        <v>-97.681528674260917</v>
      </c>
      <c r="BN214" s="39">
        <v>55.195831147079431</v>
      </c>
      <c r="BO214" s="39">
        <v>0</v>
      </c>
      <c r="BP214" s="55">
        <v>-55.195831147079431</v>
      </c>
      <c r="BQ214" s="77">
        <v>1003.2353699147612</v>
      </c>
      <c r="BR214" s="40">
        <v>0</v>
      </c>
      <c r="BS214" s="55">
        <v>-1003.2353699147612</v>
      </c>
      <c r="BT214" s="39">
        <v>8986.7021064876772</v>
      </c>
      <c r="BU214" s="39">
        <v>2406.8679016651417</v>
      </c>
      <c r="BV214" s="52">
        <v>-6579.834204822535</v>
      </c>
      <c r="BW214" s="39">
        <v>6001.8365519769541</v>
      </c>
      <c r="BX214" s="39">
        <v>5960.707065177301</v>
      </c>
      <c r="BY214" s="52">
        <v>-41.129486799653023</v>
      </c>
      <c r="BZ214" s="39">
        <v>2596.7809044302167</v>
      </c>
      <c r="CA214" s="39">
        <v>9656.2760545185592</v>
      </c>
      <c r="CB214" s="52">
        <v>7059.4951500883426</v>
      </c>
      <c r="CC214" s="39">
        <v>234.57069945274003</v>
      </c>
      <c r="CD214" s="39">
        <v>231.42085678932816</v>
      </c>
      <c r="CE214" s="52">
        <v>-3.1498426634118744</v>
      </c>
      <c r="CF214" s="39">
        <v>28.877074743235045</v>
      </c>
      <c r="CG214" s="39">
        <v>0</v>
      </c>
      <c r="CH214" s="52">
        <v>-28.877074743235045</v>
      </c>
      <c r="CI214" s="39">
        <v>93.587625885960662</v>
      </c>
      <c r="CJ214" s="39">
        <v>1934.6763162036555</v>
      </c>
      <c r="CK214" s="52">
        <v>1841.0886903176947</v>
      </c>
      <c r="CL214" s="39">
        <v>2551.8225991571944</v>
      </c>
      <c r="CM214" s="39">
        <v>2156.5716662639206</v>
      </c>
      <c r="CN214" s="52">
        <v>-395.25093289327378</v>
      </c>
      <c r="CO214" s="39">
        <v>2645.4102250431552</v>
      </c>
      <c r="CP214" s="40">
        <v>4091.2479824675761</v>
      </c>
      <c r="CQ214" s="52">
        <v>1445.8377574244209</v>
      </c>
      <c r="CR214" s="72">
        <v>47316.419505438556</v>
      </c>
      <c r="CS214" s="5">
        <v>34935.818616981829</v>
      </c>
      <c r="CT214" s="52">
        <v>-12380.600888456727</v>
      </c>
      <c r="CU214" s="77">
        <v>56779.703406526263</v>
      </c>
      <c r="CV214" s="65">
        <v>41922.982340378192</v>
      </c>
      <c r="CW214" s="35">
        <v>-14856.721066148071</v>
      </c>
      <c r="CX214" s="39">
        <v>1419.4925851631567</v>
      </c>
      <c r="CY214" s="39">
        <v>16276.213651311227</v>
      </c>
      <c r="CZ214" s="52">
        <v>14856.721066148071</v>
      </c>
      <c r="DA214" s="150">
        <v>-120096.75136718617</v>
      </c>
      <c r="DB214" s="2">
        <v>1</v>
      </c>
      <c r="DC214" s="713">
        <v>52739.76</v>
      </c>
      <c r="DD214" s="714"/>
      <c r="DE214" s="715">
        <v>23640.162004155296</v>
      </c>
      <c r="DF214" s="716">
        <v>0</v>
      </c>
      <c r="DG214" s="717">
        <v>-37394.015702555102</v>
      </c>
      <c r="DH214" s="718">
        <v>288657.40273990552</v>
      </c>
      <c r="DI214" s="718">
        <v>698390.351900273</v>
      </c>
      <c r="DJ214" s="693">
        <v>595957.11461018119</v>
      </c>
      <c r="DK214" s="724"/>
      <c r="DL214" s="5"/>
      <c r="DM214" s="306">
        <v>5.4419018691347851</v>
      </c>
      <c r="DN214" s="306">
        <v>6.843691351662434</v>
      </c>
      <c r="DO214" s="306">
        <v>4.5933468496019625</v>
      </c>
      <c r="DP214" s="719">
        <v>29099.597995844706</v>
      </c>
      <c r="DQ214" s="720">
        <v>0</v>
      </c>
      <c r="DR214" s="650">
        <v>29099.597995844706</v>
      </c>
      <c r="DS214" s="94">
        <v>29099.597995844713</v>
      </c>
      <c r="DT214" s="719">
        <v>29084.560000000001</v>
      </c>
      <c r="DU214" s="721"/>
      <c r="DV214" s="93">
        <v>29084.560000000001</v>
      </c>
      <c r="DW214" s="95">
        <v>29241.547254361027</v>
      </c>
      <c r="DX214" s="28">
        <v>-156.98725436102541</v>
      </c>
      <c r="EA214" s="5">
        <v>13041.186597197711</v>
      </c>
      <c r="EB214" s="5">
        <v>40.493703638828009</v>
      </c>
      <c r="EE214" s="722">
        <v>118373.041533</v>
      </c>
      <c r="EG214" s="42" t="s">
        <v>382</v>
      </c>
    </row>
    <row r="215" spans="1:137" x14ac:dyDescent="0.3">
      <c r="A215" s="325">
        <v>150000964</v>
      </c>
      <c r="B215" s="41" t="s">
        <v>684</v>
      </c>
      <c r="C215" s="42" t="s">
        <v>383</v>
      </c>
      <c r="D215" s="27">
        <v>9</v>
      </c>
      <c r="E215" s="709">
        <v>2131.85</v>
      </c>
      <c r="F215" s="723">
        <v>2131.85</v>
      </c>
      <c r="G215" s="28">
        <v>234</v>
      </c>
      <c r="H215" s="651">
        <v>0</v>
      </c>
      <c r="I215" s="39">
        <v>1330.422118764367</v>
      </c>
      <c r="J215" s="39">
        <v>994.85709254404844</v>
      </c>
      <c r="K215" s="52">
        <v>-335.5650262203186</v>
      </c>
      <c r="L215" s="39">
        <v>200.32194683700277</v>
      </c>
      <c r="M215" s="39">
        <v>104.5784882937333</v>
      </c>
      <c r="N215" s="52">
        <v>-95.743458543269469</v>
      </c>
      <c r="O215" s="39">
        <v>527.55999999999995</v>
      </c>
      <c r="P215" s="39">
        <v>527.55999999999995</v>
      </c>
      <c r="Q215" s="52">
        <v>0</v>
      </c>
      <c r="R215" s="39">
        <v>116.2</v>
      </c>
      <c r="S215" s="39">
        <v>116.2</v>
      </c>
      <c r="T215" s="52">
        <v>0</v>
      </c>
      <c r="U215" s="39">
        <v>65.029090713311319</v>
      </c>
      <c r="V215" s="39">
        <v>11.766677703645154</v>
      </c>
      <c r="W215" s="52">
        <v>-53.262413009666162</v>
      </c>
      <c r="X215" s="39">
        <v>361.52046946747163</v>
      </c>
      <c r="Y215" s="39">
        <v>273.98361480566155</v>
      </c>
      <c r="Z215" s="52">
        <v>-87.536854661810082</v>
      </c>
      <c r="AA215" s="39">
        <v>0</v>
      </c>
      <c r="AB215" s="39">
        <v>0</v>
      </c>
      <c r="AC215" s="52">
        <v>0</v>
      </c>
      <c r="AD215" s="39">
        <v>1519.2385756768333</v>
      </c>
      <c r="AE215" s="39">
        <v>1274.8179317711556</v>
      </c>
      <c r="AF215" s="35">
        <v>-244.42064390567771</v>
      </c>
      <c r="AG215" s="77">
        <v>4120.2922014589858</v>
      </c>
      <c r="AH215" s="53">
        <v>3303.7638051182439</v>
      </c>
      <c r="AI215" s="52">
        <v>-816.52839634074189</v>
      </c>
      <c r="AJ215" s="39">
        <v>2873.920011581376</v>
      </c>
      <c r="AK215" s="39">
        <v>2835.3286790542033</v>
      </c>
      <c r="AL215" s="52">
        <v>-38.591332527172653</v>
      </c>
      <c r="AM215" s="39">
        <v>263.07035981182185</v>
      </c>
      <c r="AN215" s="39">
        <v>0</v>
      </c>
      <c r="AO215" s="52">
        <v>-263.07035981182185</v>
      </c>
      <c r="AP215" s="39">
        <v>284.10529286809492</v>
      </c>
      <c r="AQ215" s="39">
        <v>0</v>
      </c>
      <c r="AR215" s="52">
        <v>-284.10529286809492</v>
      </c>
      <c r="AS215" s="39">
        <v>4976.1432389686479</v>
      </c>
      <c r="AT215" s="39">
        <v>1780.3562663075033</v>
      </c>
      <c r="AU215" s="54">
        <v>-3195.7869726611443</v>
      </c>
      <c r="AV215" s="39">
        <v>42.584017938890014</v>
      </c>
      <c r="AW215" s="39">
        <v>0</v>
      </c>
      <c r="AX215" s="55">
        <v>-42.584017938890014</v>
      </c>
      <c r="AY215" s="39">
        <v>53.16638897035044</v>
      </c>
      <c r="AZ215" s="39">
        <v>0</v>
      </c>
      <c r="BA215" s="35">
        <v>-53.16638897035044</v>
      </c>
      <c r="BB215" s="39">
        <v>44.006444341695001</v>
      </c>
      <c r="BC215" s="39">
        <v>0</v>
      </c>
      <c r="BD215" s="55">
        <v>-44.006444341695001</v>
      </c>
      <c r="BE215" s="39">
        <v>23.588891810124462</v>
      </c>
      <c r="BF215" s="39">
        <v>0</v>
      </c>
      <c r="BG215" s="38">
        <v>-23.588891810124462</v>
      </c>
      <c r="BH215" s="39">
        <v>13.192247063076561</v>
      </c>
      <c r="BI215" s="39">
        <v>0</v>
      </c>
      <c r="BJ215" s="55">
        <v>-13.192247063076561</v>
      </c>
      <c r="BK215" s="39">
        <v>17.450517314311693</v>
      </c>
      <c r="BL215" s="39">
        <v>0</v>
      </c>
      <c r="BM215" s="38">
        <v>-17.450517314311693</v>
      </c>
      <c r="BN215" s="39">
        <v>27.907064838681809</v>
      </c>
      <c r="BO215" s="39">
        <v>0</v>
      </c>
      <c r="BP215" s="55">
        <v>-27.907064838681809</v>
      </c>
      <c r="BQ215" s="77">
        <v>221.89557227712999</v>
      </c>
      <c r="BR215" s="40">
        <v>0</v>
      </c>
      <c r="BS215" s="55">
        <v>-221.89557227712999</v>
      </c>
      <c r="BT215" s="39">
        <v>5863.2433549948337</v>
      </c>
      <c r="BU215" s="39">
        <v>1429.8672858499563</v>
      </c>
      <c r="BV215" s="52">
        <v>-4433.376069144877</v>
      </c>
      <c r="BW215" s="39">
        <v>3003.260001538195</v>
      </c>
      <c r="BX215" s="39">
        <v>2980.4283671348317</v>
      </c>
      <c r="BY215" s="52">
        <v>-22.831634403363296</v>
      </c>
      <c r="BZ215" s="39">
        <v>1168.5514069935975</v>
      </c>
      <c r="CA215" s="39">
        <v>5878.2999314287526</v>
      </c>
      <c r="CB215" s="52">
        <v>4709.7485244351556</v>
      </c>
      <c r="CC215" s="39">
        <v>123.5356661694681</v>
      </c>
      <c r="CD215" s="39">
        <v>121.87681486083741</v>
      </c>
      <c r="CE215" s="52">
        <v>-1.6588513086306875</v>
      </c>
      <c r="CF215" s="39">
        <v>15.207989206468611</v>
      </c>
      <c r="CG215" s="39">
        <v>0</v>
      </c>
      <c r="CH215" s="52">
        <v>-15.207989206468611</v>
      </c>
      <c r="CI215" s="39">
        <v>43.674225413448312</v>
      </c>
      <c r="CJ215" s="39">
        <v>946.56004639679065</v>
      </c>
      <c r="CK215" s="52">
        <v>902.88582098334234</v>
      </c>
      <c r="CL215" s="39">
        <v>1247.8350118128092</v>
      </c>
      <c r="CM215" s="39">
        <v>1055.9659490532497</v>
      </c>
      <c r="CN215" s="52">
        <v>-191.86906275955948</v>
      </c>
      <c r="CO215" s="39">
        <v>1291.5092372262575</v>
      </c>
      <c r="CP215" s="40">
        <v>2002.5259954500402</v>
      </c>
      <c r="CQ215" s="52">
        <v>711.01675822378274</v>
      </c>
      <c r="CR215" s="72">
        <v>24204.734333094875</v>
      </c>
      <c r="CS215" s="5">
        <v>20332.447145204365</v>
      </c>
      <c r="CT215" s="52">
        <v>-3872.2871878905098</v>
      </c>
      <c r="CU215" s="77">
        <v>29045.68119971385</v>
      </c>
      <c r="CV215" s="65">
        <v>24398.936574245239</v>
      </c>
      <c r="CW215" s="35">
        <v>-4646.744625468611</v>
      </c>
      <c r="CX215" s="39">
        <v>726.14202999284635</v>
      </c>
      <c r="CY215" s="39">
        <v>5372.8866554614542</v>
      </c>
      <c r="CZ215" s="52">
        <v>4646.7446254686074</v>
      </c>
      <c r="DA215" s="150">
        <v>40913.155031011855</v>
      </c>
      <c r="DB215" s="2">
        <v>1</v>
      </c>
      <c r="DC215" s="713">
        <v>19500.490000000002</v>
      </c>
      <c r="DD215" s="714"/>
      <c r="DE215" s="715">
        <v>4614.5783851466513</v>
      </c>
      <c r="DF215" s="716">
        <v>0</v>
      </c>
      <c r="DG215" s="717">
        <v>-81577.915368777816</v>
      </c>
      <c r="DH215" s="718">
        <v>144845.89693408884</v>
      </c>
      <c r="DI215" s="718">
        <v>357261.87875648035</v>
      </c>
      <c r="DJ215" s="693">
        <v>304157.88330088247</v>
      </c>
      <c r="DK215" s="724"/>
      <c r="DL215" s="5"/>
      <c r="DM215" s="306">
        <v>5.7176837039105264</v>
      </c>
      <c r="DN215" s="306">
        <v>7.1385903143758922</v>
      </c>
      <c r="DO215" s="306">
        <v>4.8512977476068508</v>
      </c>
      <c r="DP215" s="719">
        <v>14885.91161485335</v>
      </c>
      <c r="DQ215" s="720">
        <v>0</v>
      </c>
      <c r="DR215" s="650">
        <v>14885.91161485335</v>
      </c>
      <c r="DS215" s="94">
        <v>14885.911614853347</v>
      </c>
      <c r="DT215" s="719">
        <v>14884.53</v>
      </c>
      <c r="DU215" s="721"/>
      <c r="DV215" s="93">
        <v>14884.53</v>
      </c>
      <c r="DW215" s="95">
        <v>14958.525817852631</v>
      </c>
      <c r="DX215" s="28">
        <v>-73.995817852630353</v>
      </c>
      <c r="EA215" s="5">
        <v>6237.6465734949334</v>
      </c>
      <c r="EB215" s="5">
        <v>2136.4275195690038</v>
      </c>
      <c r="EE215" s="722">
        <v>59713.718867623771</v>
      </c>
      <c r="EG215" s="42" t="s">
        <v>383</v>
      </c>
    </row>
    <row r="216" spans="1:137" x14ac:dyDescent="0.3">
      <c r="A216" s="325">
        <v>150000943</v>
      </c>
      <c r="B216" s="41" t="s">
        <v>685</v>
      </c>
      <c r="C216" s="42" t="s">
        <v>123</v>
      </c>
      <c r="D216" s="27">
        <v>1</v>
      </c>
      <c r="E216" s="709">
        <v>105</v>
      </c>
      <c r="F216" s="723">
        <v>105</v>
      </c>
      <c r="G216" s="28"/>
      <c r="H216" s="651">
        <v>0</v>
      </c>
      <c r="I216" s="39">
        <v>0</v>
      </c>
      <c r="J216" s="39">
        <v>0</v>
      </c>
      <c r="K216" s="52">
        <v>0</v>
      </c>
      <c r="L216" s="39">
        <v>0</v>
      </c>
      <c r="M216" s="39">
        <v>0</v>
      </c>
      <c r="N216" s="52">
        <v>0</v>
      </c>
      <c r="O216" s="39">
        <v>0</v>
      </c>
      <c r="P216" s="39">
        <v>0</v>
      </c>
      <c r="Q216" s="52">
        <v>0</v>
      </c>
      <c r="R216" s="39">
        <v>0</v>
      </c>
      <c r="S216" s="39">
        <v>0</v>
      </c>
      <c r="T216" s="52">
        <v>0</v>
      </c>
      <c r="U216" s="39">
        <v>0</v>
      </c>
      <c r="V216" s="39">
        <v>0</v>
      </c>
      <c r="W216" s="52">
        <v>0</v>
      </c>
      <c r="X216" s="39">
        <v>0</v>
      </c>
      <c r="Y216" s="39">
        <v>0</v>
      </c>
      <c r="Z216" s="52">
        <v>0</v>
      </c>
      <c r="AA216" s="39">
        <v>0</v>
      </c>
      <c r="AB216" s="39">
        <v>0</v>
      </c>
      <c r="AC216" s="52">
        <v>0</v>
      </c>
      <c r="AD216" s="39">
        <v>0</v>
      </c>
      <c r="AE216" s="39">
        <v>62.788602779731846</v>
      </c>
      <c r="AF216" s="35">
        <v>62.788602779731846</v>
      </c>
      <c r="AG216" s="77">
        <v>0</v>
      </c>
      <c r="AH216" s="53">
        <v>62.788602779731846</v>
      </c>
      <c r="AI216" s="52">
        <v>62.788602779731846</v>
      </c>
      <c r="AJ216" s="39">
        <v>0</v>
      </c>
      <c r="AK216" s="39">
        <v>0</v>
      </c>
      <c r="AL216" s="52">
        <v>0</v>
      </c>
      <c r="AM216" s="39">
        <v>0</v>
      </c>
      <c r="AN216" s="39">
        <v>0</v>
      </c>
      <c r="AO216" s="52">
        <v>0</v>
      </c>
      <c r="AP216" s="39">
        <v>63.134509526243313</v>
      </c>
      <c r="AQ216" s="39">
        <v>0</v>
      </c>
      <c r="AR216" s="52">
        <v>-63.134509526243313</v>
      </c>
      <c r="AS216" s="39">
        <v>262.85744834382518</v>
      </c>
      <c r="AT216" s="39">
        <v>2023</v>
      </c>
      <c r="AU216" s="54">
        <v>1760.1425516561749</v>
      </c>
      <c r="AV216" s="39">
        <v>0</v>
      </c>
      <c r="AW216" s="39">
        <v>0</v>
      </c>
      <c r="AX216" s="55">
        <v>0</v>
      </c>
      <c r="AY216" s="39">
        <v>0</v>
      </c>
      <c r="AZ216" s="39">
        <v>0</v>
      </c>
      <c r="BA216" s="35">
        <v>0</v>
      </c>
      <c r="BB216" s="39">
        <v>0</v>
      </c>
      <c r="BC216" s="39">
        <v>0</v>
      </c>
      <c r="BD216" s="55">
        <v>0</v>
      </c>
      <c r="BE216" s="39">
        <v>0</v>
      </c>
      <c r="BF216" s="39">
        <v>0</v>
      </c>
      <c r="BG216" s="38">
        <v>0</v>
      </c>
      <c r="BH216" s="39">
        <v>0</v>
      </c>
      <c r="BI216" s="39">
        <v>0</v>
      </c>
      <c r="BJ216" s="55">
        <v>0</v>
      </c>
      <c r="BK216" s="39">
        <v>0</v>
      </c>
      <c r="BL216" s="39">
        <v>0</v>
      </c>
      <c r="BM216" s="38">
        <v>0</v>
      </c>
      <c r="BN216" s="39">
        <v>0</v>
      </c>
      <c r="BO216" s="39">
        <v>0</v>
      </c>
      <c r="BP216" s="55">
        <v>0</v>
      </c>
      <c r="BQ216" s="77">
        <v>0</v>
      </c>
      <c r="BR216" s="40">
        <v>0</v>
      </c>
      <c r="BS216" s="55">
        <v>0</v>
      </c>
      <c r="BT216" s="39">
        <v>28.712412905037006</v>
      </c>
      <c r="BU216" s="39">
        <v>17.334393244125422</v>
      </c>
      <c r="BV216" s="52">
        <v>-11.378019660911583</v>
      </c>
      <c r="BW216" s="39">
        <v>0</v>
      </c>
      <c r="BX216" s="39">
        <v>0.42503061599777436</v>
      </c>
      <c r="BY216" s="52">
        <v>0.42503061599777436</v>
      </c>
      <c r="BZ216" s="39">
        <v>0</v>
      </c>
      <c r="CA216" s="39">
        <v>52.59312943767334</v>
      </c>
      <c r="CB216" s="52">
        <v>52.59312943767334</v>
      </c>
      <c r="CC216" s="39">
        <v>0</v>
      </c>
      <c r="CD216" s="39">
        <v>0</v>
      </c>
      <c r="CE216" s="52">
        <v>0</v>
      </c>
      <c r="CF216" s="39">
        <v>0</v>
      </c>
      <c r="CG216" s="39">
        <v>0</v>
      </c>
      <c r="CH216" s="52">
        <v>0</v>
      </c>
      <c r="CI216" s="39">
        <v>0</v>
      </c>
      <c r="CJ216" s="39">
        <v>0</v>
      </c>
      <c r="CK216" s="52">
        <v>0</v>
      </c>
      <c r="CL216" s="39">
        <v>0</v>
      </c>
      <c r="CM216" s="39">
        <v>0</v>
      </c>
      <c r="CN216" s="52">
        <v>0</v>
      </c>
      <c r="CO216" s="39">
        <v>0</v>
      </c>
      <c r="CP216" s="40">
        <v>0</v>
      </c>
      <c r="CQ216" s="52">
        <v>0</v>
      </c>
      <c r="CR216" s="72">
        <v>354.70437077510553</v>
      </c>
      <c r="CS216" s="5">
        <v>2156.1411560775282</v>
      </c>
      <c r="CT216" s="52">
        <v>1801.4367853024228</v>
      </c>
      <c r="CU216" s="77">
        <v>425.64524493012664</v>
      </c>
      <c r="CV216" s="65">
        <v>2587.3693872930339</v>
      </c>
      <c r="CW216" s="35">
        <v>2161.7241423629075</v>
      </c>
      <c r="CX216" s="39">
        <v>6.3846786739518997</v>
      </c>
      <c r="CY216" s="39">
        <v>-2155.3394636889557</v>
      </c>
      <c r="CZ216" s="52">
        <v>-2161.7241423629075</v>
      </c>
      <c r="DA216" s="150">
        <v>5692.9428616225523</v>
      </c>
      <c r="DB216" s="2">
        <v>1</v>
      </c>
      <c r="DC216" s="713">
        <v>216.02</v>
      </c>
      <c r="DD216" s="714"/>
      <c r="DE216" s="715">
        <v>5.038197960772095E-3</v>
      </c>
      <c r="DF216" s="716">
        <v>0</v>
      </c>
      <c r="DG216" s="717">
        <v>1740.9054203588269</v>
      </c>
      <c r="DH216" s="718">
        <v>2067.9689297899804</v>
      </c>
      <c r="DI216" s="718">
        <v>5184.3590832489426</v>
      </c>
      <c r="DJ216" s="693">
        <v>4405.2615448842025</v>
      </c>
      <c r="DK216" s="724"/>
      <c r="DL216" s="5"/>
      <c r="DM216" s="306">
        <v>2.0572853504956119</v>
      </c>
      <c r="DN216" s="306"/>
      <c r="DO216" s="306">
        <v>2.0572853504956119</v>
      </c>
      <c r="DP216" s="719">
        <v>216.01496180203924</v>
      </c>
      <c r="DQ216" s="720">
        <v>0</v>
      </c>
      <c r="DR216" s="650">
        <v>216.01496180203924</v>
      </c>
      <c r="DS216" s="94">
        <v>216.01496180203929</v>
      </c>
      <c r="DT216" s="719">
        <v>216.02</v>
      </c>
      <c r="DU216" s="721"/>
      <c r="DV216" s="93">
        <v>216.02</v>
      </c>
      <c r="DW216" s="95">
        <v>216.65342966943444</v>
      </c>
      <c r="DX216" s="28">
        <v>-0.63342966943443457</v>
      </c>
      <c r="EA216" s="5">
        <v>315.42893801259021</v>
      </c>
      <c r="EB216" s="5">
        <v>2427.6</v>
      </c>
      <c r="EE216" s="722">
        <v>3154.2893801259024</v>
      </c>
      <c r="EG216" s="42" t="s">
        <v>123</v>
      </c>
    </row>
    <row r="217" spans="1:137" x14ac:dyDescent="0.3">
      <c r="A217" s="325">
        <v>150000944</v>
      </c>
      <c r="B217" s="41" t="s">
        <v>686</v>
      </c>
      <c r="C217" s="42" t="s">
        <v>124</v>
      </c>
      <c r="D217" s="27">
        <v>1</v>
      </c>
      <c r="E217" s="709">
        <v>140.69999999999999</v>
      </c>
      <c r="F217" s="723">
        <v>140.69999999999999</v>
      </c>
      <c r="G217" s="28"/>
      <c r="H217" s="651">
        <v>0</v>
      </c>
      <c r="I217" s="39">
        <v>0</v>
      </c>
      <c r="J217" s="39">
        <v>0</v>
      </c>
      <c r="K217" s="52">
        <v>0</v>
      </c>
      <c r="L217" s="39">
        <v>0</v>
      </c>
      <c r="M217" s="39">
        <v>0</v>
      </c>
      <c r="N217" s="52">
        <v>0</v>
      </c>
      <c r="O217" s="39">
        <v>0</v>
      </c>
      <c r="P217" s="39">
        <v>0</v>
      </c>
      <c r="Q217" s="52">
        <v>0</v>
      </c>
      <c r="R217" s="39">
        <v>0</v>
      </c>
      <c r="S217" s="39">
        <v>0</v>
      </c>
      <c r="T217" s="52">
        <v>0</v>
      </c>
      <c r="U217" s="39">
        <v>0</v>
      </c>
      <c r="V217" s="39">
        <v>0</v>
      </c>
      <c r="W217" s="52">
        <v>0</v>
      </c>
      <c r="X217" s="39">
        <v>0</v>
      </c>
      <c r="Y217" s="39">
        <v>0</v>
      </c>
      <c r="Z217" s="52">
        <v>0</v>
      </c>
      <c r="AA217" s="39">
        <v>0</v>
      </c>
      <c r="AB217" s="39">
        <v>0</v>
      </c>
      <c r="AC217" s="52">
        <v>0</v>
      </c>
      <c r="AD217" s="39">
        <v>0</v>
      </c>
      <c r="AE217" s="39">
        <v>84.136727724840668</v>
      </c>
      <c r="AF217" s="35">
        <v>84.136727724840668</v>
      </c>
      <c r="AG217" s="77">
        <v>0</v>
      </c>
      <c r="AH217" s="53">
        <v>84.136727724840668</v>
      </c>
      <c r="AI217" s="52">
        <v>84.136727724840668</v>
      </c>
      <c r="AJ217" s="39">
        <v>0</v>
      </c>
      <c r="AK217" s="39">
        <v>0</v>
      </c>
      <c r="AL217" s="52">
        <v>0</v>
      </c>
      <c r="AM217" s="39">
        <v>0</v>
      </c>
      <c r="AN217" s="39">
        <v>0</v>
      </c>
      <c r="AO217" s="52">
        <v>0</v>
      </c>
      <c r="AP217" s="39">
        <v>63.134509526243313</v>
      </c>
      <c r="AQ217" s="39">
        <v>0</v>
      </c>
      <c r="AR217" s="52">
        <v>-63.134509526243313</v>
      </c>
      <c r="AS217" s="39">
        <v>293.07518524158934</v>
      </c>
      <c r="AT217" s="39">
        <v>2023</v>
      </c>
      <c r="AU217" s="54">
        <v>1729.9248147584108</v>
      </c>
      <c r="AV217" s="39">
        <v>0</v>
      </c>
      <c r="AW217" s="39">
        <v>0</v>
      </c>
      <c r="AX217" s="55">
        <v>0</v>
      </c>
      <c r="AY217" s="39">
        <v>0</v>
      </c>
      <c r="AZ217" s="39">
        <v>0</v>
      </c>
      <c r="BA217" s="35">
        <v>0</v>
      </c>
      <c r="BB217" s="39">
        <v>0</v>
      </c>
      <c r="BC217" s="39">
        <v>0</v>
      </c>
      <c r="BD217" s="55">
        <v>0</v>
      </c>
      <c r="BE217" s="39">
        <v>0</v>
      </c>
      <c r="BF217" s="39">
        <v>0</v>
      </c>
      <c r="BG217" s="38">
        <v>0</v>
      </c>
      <c r="BH217" s="39">
        <v>0</v>
      </c>
      <c r="BI217" s="39">
        <v>0</v>
      </c>
      <c r="BJ217" s="55">
        <v>0</v>
      </c>
      <c r="BK217" s="39">
        <v>0</v>
      </c>
      <c r="BL217" s="39">
        <v>0</v>
      </c>
      <c r="BM217" s="38">
        <v>0</v>
      </c>
      <c r="BN217" s="39">
        <v>0</v>
      </c>
      <c r="BO217" s="39">
        <v>0</v>
      </c>
      <c r="BP217" s="55">
        <v>0</v>
      </c>
      <c r="BQ217" s="77">
        <v>0</v>
      </c>
      <c r="BR217" s="40">
        <v>0</v>
      </c>
      <c r="BS217" s="55">
        <v>0</v>
      </c>
      <c r="BT217" s="39">
        <v>175.46474553078173</v>
      </c>
      <c r="BU217" s="39">
        <v>105.93584252228318</v>
      </c>
      <c r="BV217" s="52">
        <v>-69.528903008498546</v>
      </c>
      <c r="BW217" s="39">
        <v>0</v>
      </c>
      <c r="BX217" s="39">
        <v>0.56954102543701768</v>
      </c>
      <c r="BY217" s="52">
        <v>0.56954102543701768</v>
      </c>
      <c r="BZ217" s="39">
        <v>0</v>
      </c>
      <c r="CA217" s="39">
        <v>321.42565706109474</v>
      </c>
      <c r="CB217" s="52">
        <v>321.42565706109474</v>
      </c>
      <c r="CC217" s="39">
        <v>0</v>
      </c>
      <c r="CD217" s="39">
        <v>0</v>
      </c>
      <c r="CE217" s="52">
        <v>0</v>
      </c>
      <c r="CF217" s="39">
        <v>0</v>
      </c>
      <c r="CG217" s="39">
        <v>0</v>
      </c>
      <c r="CH217" s="52">
        <v>0</v>
      </c>
      <c r="CI217" s="39">
        <v>0</v>
      </c>
      <c r="CJ217" s="39">
        <v>0</v>
      </c>
      <c r="CK217" s="52">
        <v>0</v>
      </c>
      <c r="CL217" s="39">
        <v>0</v>
      </c>
      <c r="CM217" s="39">
        <v>0</v>
      </c>
      <c r="CN217" s="52">
        <v>0</v>
      </c>
      <c r="CO217" s="39">
        <v>0</v>
      </c>
      <c r="CP217" s="40">
        <v>0</v>
      </c>
      <c r="CQ217" s="52">
        <v>0</v>
      </c>
      <c r="CR217" s="72">
        <v>531.6744402986144</v>
      </c>
      <c r="CS217" s="5">
        <v>2535.0677683336553</v>
      </c>
      <c r="CT217" s="52">
        <v>2003.3933280350409</v>
      </c>
      <c r="CU217" s="77">
        <v>638.00932835833726</v>
      </c>
      <c r="CV217" s="65">
        <v>3042.0813220003861</v>
      </c>
      <c r="CW217" s="35">
        <v>2404.0719936420487</v>
      </c>
      <c r="CX217" s="39">
        <v>9.5701399253750576</v>
      </c>
      <c r="CY217" s="39">
        <v>-2394.5018537166743</v>
      </c>
      <c r="CZ217" s="52">
        <v>-2404.0719936420492</v>
      </c>
      <c r="DA217" s="150">
        <v>12911.000932336414</v>
      </c>
      <c r="DB217" s="2">
        <v>1</v>
      </c>
      <c r="DC217" s="713">
        <v>348.05</v>
      </c>
      <c r="DD217" s="714"/>
      <c r="DE217" s="715">
        <v>24.260265858143839</v>
      </c>
      <c r="DF217" s="716">
        <v>0</v>
      </c>
      <c r="DG217" s="717">
        <v>11537.929251423064</v>
      </c>
      <c r="DH217" s="718">
        <v>3114.1194057659259</v>
      </c>
      <c r="DI217" s="718">
        <v>7770.9536194045486</v>
      </c>
      <c r="DJ217" s="693">
        <v>6606.7450659948936</v>
      </c>
      <c r="DK217" s="724"/>
      <c r="DL217" s="5"/>
      <c r="DM217" s="306">
        <v>2.301277428158182</v>
      </c>
      <c r="DN217" s="306"/>
      <c r="DO217" s="306">
        <v>2.301277428158182</v>
      </c>
      <c r="DP217" s="719">
        <v>323.78973414185617</v>
      </c>
      <c r="DQ217" s="720">
        <v>0</v>
      </c>
      <c r="DR217" s="650">
        <v>323.78973414185617</v>
      </c>
      <c r="DS217" s="94">
        <v>323.78973414185617</v>
      </c>
      <c r="DT217" s="719">
        <v>323.8</v>
      </c>
      <c r="DU217" s="721"/>
      <c r="DV217" s="93">
        <v>323.8</v>
      </c>
      <c r="DW217" s="95">
        <v>324.74674813439367</v>
      </c>
      <c r="DX217" s="28">
        <v>-0.94674813439365835</v>
      </c>
      <c r="EA217" s="5">
        <v>351.69022228990718</v>
      </c>
      <c r="EB217" s="5">
        <v>2427.6</v>
      </c>
      <c r="EE217" s="722">
        <v>3516.9022228990721</v>
      </c>
      <c r="EG217" s="42" t="s">
        <v>124</v>
      </c>
    </row>
    <row r="218" spans="1:137" x14ac:dyDescent="0.3">
      <c r="A218" s="325">
        <v>150000945</v>
      </c>
      <c r="B218" s="41" t="s">
        <v>687</v>
      </c>
      <c r="C218" s="42" t="s">
        <v>422</v>
      </c>
      <c r="D218" s="27">
        <v>10</v>
      </c>
      <c r="E218" s="709">
        <v>6742.76</v>
      </c>
      <c r="F218" s="723">
        <v>6677.85</v>
      </c>
      <c r="G218" s="28">
        <v>613.75</v>
      </c>
      <c r="H218" s="651">
        <v>64.91</v>
      </c>
      <c r="I218" s="39">
        <v>4185.0227164520438</v>
      </c>
      <c r="J218" s="39">
        <v>3132.8516707319027</v>
      </c>
      <c r="K218" s="52">
        <v>-1052.1710457201411</v>
      </c>
      <c r="L218" s="39">
        <v>651.96638794602427</v>
      </c>
      <c r="M218" s="39">
        <v>340.35637992199759</v>
      </c>
      <c r="N218" s="52">
        <v>-311.61000802402668</v>
      </c>
      <c r="O218" s="39">
        <v>1616.44</v>
      </c>
      <c r="P218" s="39">
        <v>1616.44</v>
      </c>
      <c r="Q218" s="52">
        <v>0</v>
      </c>
      <c r="R218" s="39">
        <v>351.62</v>
      </c>
      <c r="S218" s="39">
        <v>351.62</v>
      </c>
      <c r="T218" s="52">
        <v>0</v>
      </c>
      <c r="U218" s="39">
        <v>208.3500279500883</v>
      </c>
      <c r="V218" s="39">
        <v>37.699757373468096</v>
      </c>
      <c r="W218" s="52">
        <v>-170.65027057662022</v>
      </c>
      <c r="X218" s="39">
        <v>1871.6807656904325</v>
      </c>
      <c r="Y218" s="39">
        <v>1228.8475182407269</v>
      </c>
      <c r="Z218" s="52">
        <v>-642.8332474497056</v>
      </c>
      <c r="AA218" s="39">
        <v>0</v>
      </c>
      <c r="AB218" s="39">
        <v>0</v>
      </c>
      <c r="AC218" s="52">
        <v>0</v>
      </c>
      <c r="AD218" s="39">
        <v>4805.1509714711283</v>
      </c>
      <c r="AE218" s="39">
        <v>4032.0807550387117</v>
      </c>
      <c r="AF218" s="35">
        <v>-773.0702164324166</v>
      </c>
      <c r="AG218" s="77">
        <v>13690.230869509718</v>
      </c>
      <c r="AH218" s="53">
        <v>10739.896081306808</v>
      </c>
      <c r="AI218" s="52">
        <v>-2950.3347882029102</v>
      </c>
      <c r="AJ218" s="39">
        <v>6348.78399519096</v>
      </c>
      <c r="AK218" s="39">
        <v>6263.5098009596077</v>
      </c>
      <c r="AL218" s="52">
        <v>-85.27419423135234</v>
      </c>
      <c r="AM218" s="39">
        <v>789.21107943546565</v>
      </c>
      <c r="AN218" s="39">
        <v>0</v>
      </c>
      <c r="AO218" s="52">
        <v>-789.21107943546565</v>
      </c>
      <c r="AP218" s="39">
        <v>907.55857443974776</v>
      </c>
      <c r="AQ218" s="39">
        <v>0</v>
      </c>
      <c r="AR218" s="52">
        <v>-907.55857443974776</v>
      </c>
      <c r="AS218" s="39">
        <v>17187.464720093318</v>
      </c>
      <c r="AT218" s="39">
        <v>0</v>
      </c>
      <c r="AU218" s="54">
        <v>-17187.464720093318</v>
      </c>
      <c r="AV218" s="39">
        <v>327.04584121664607</v>
      </c>
      <c r="AW218" s="39">
        <v>0</v>
      </c>
      <c r="AX218" s="55">
        <v>-327.04584121664607</v>
      </c>
      <c r="AY218" s="39">
        <v>398.9137894360008</v>
      </c>
      <c r="AZ218" s="39">
        <v>0</v>
      </c>
      <c r="BA218" s="35">
        <v>-398.9137894360008</v>
      </c>
      <c r="BB218" s="39">
        <v>458.67069947314712</v>
      </c>
      <c r="BC218" s="39">
        <v>0</v>
      </c>
      <c r="BD218" s="55">
        <v>-458.67069947314712</v>
      </c>
      <c r="BE218" s="39">
        <v>194.41885365990336</v>
      </c>
      <c r="BF218" s="39">
        <v>0</v>
      </c>
      <c r="BG218" s="38">
        <v>-194.41885365990336</v>
      </c>
      <c r="BH218" s="39">
        <v>105.68402349220877</v>
      </c>
      <c r="BI218" s="39">
        <v>0</v>
      </c>
      <c r="BJ218" s="55">
        <v>-105.68402349220877</v>
      </c>
      <c r="BK218" s="39">
        <v>205.26189571466762</v>
      </c>
      <c r="BL218" s="39">
        <v>0</v>
      </c>
      <c r="BM218" s="38">
        <v>-205.26189571466762</v>
      </c>
      <c r="BN218" s="39">
        <v>119.34310272027908</v>
      </c>
      <c r="BO218" s="39">
        <v>0</v>
      </c>
      <c r="BP218" s="55">
        <v>-119.34310272027908</v>
      </c>
      <c r="BQ218" s="77">
        <v>1809.3382057128529</v>
      </c>
      <c r="BR218" s="40">
        <v>0</v>
      </c>
      <c r="BS218" s="55">
        <v>-1809.3382057128529</v>
      </c>
      <c r="BT218" s="39">
        <v>14779.544639045822</v>
      </c>
      <c r="BU218" s="39">
        <v>2127.6238670726334</v>
      </c>
      <c r="BV218" s="52">
        <v>-12651.920771973189</v>
      </c>
      <c r="BW218" s="39">
        <v>12300.06579802831</v>
      </c>
      <c r="BX218" s="39">
        <v>9855.0060550363305</v>
      </c>
      <c r="BY218" s="52">
        <v>-2445.0597429919799</v>
      </c>
      <c r="BZ218" s="39">
        <v>2596.7809044302167</v>
      </c>
      <c r="CA218" s="39">
        <v>12627.029795944196</v>
      </c>
      <c r="CB218" s="52">
        <v>10030.24889151398</v>
      </c>
      <c r="CC218" s="39">
        <v>364.62630355893003</v>
      </c>
      <c r="CD218" s="39">
        <v>359.73005910115421</v>
      </c>
      <c r="CE218" s="52">
        <v>-4.896244457775822</v>
      </c>
      <c r="CF218" s="39">
        <v>44.887707824489496</v>
      </c>
      <c r="CG218" s="39">
        <v>0</v>
      </c>
      <c r="CH218" s="52">
        <v>-44.887707824489496</v>
      </c>
      <c r="CI218" s="39">
        <v>4445.4122295831321</v>
      </c>
      <c r="CJ218" s="39">
        <v>6126.366089802088</v>
      </c>
      <c r="CK218" s="52">
        <v>1680.9538602189559</v>
      </c>
      <c r="CL218" s="39">
        <v>2012.1339565481544</v>
      </c>
      <c r="CM218" s="39">
        <v>2738.2915488776293</v>
      </c>
      <c r="CN218" s="52">
        <v>726.15759232947494</v>
      </c>
      <c r="CO218" s="39">
        <v>6457.546186131287</v>
      </c>
      <c r="CP218" s="40">
        <v>8864.6576386797169</v>
      </c>
      <c r="CQ218" s="52">
        <v>2407.11145254843</v>
      </c>
      <c r="CR218" s="72">
        <v>77276.038983401115</v>
      </c>
      <c r="CS218" s="5">
        <v>50837.453298100445</v>
      </c>
      <c r="CT218" s="52">
        <v>-26438.58568530067</v>
      </c>
      <c r="CU218" s="77">
        <v>92731.246780081332</v>
      </c>
      <c r="CV218" s="65">
        <v>61004.943957720534</v>
      </c>
      <c r="CW218" s="35">
        <v>-31726.302822360798</v>
      </c>
      <c r="CX218" s="39">
        <v>1390.96870170122</v>
      </c>
      <c r="CY218" s="39">
        <v>33117.271524062016</v>
      </c>
      <c r="CZ218" s="52">
        <v>31726.302822360798</v>
      </c>
      <c r="DA218" s="150">
        <v>-12791.619986144928</v>
      </c>
      <c r="DB218" s="2">
        <v>1</v>
      </c>
      <c r="DC218" s="713">
        <v>82763.64</v>
      </c>
      <c r="DD218" s="714">
        <v>327.27999999999997</v>
      </c>
      <c r="DE218" s="715">
        <v>36029.817558648647</v>
      </c>
      <c r="DF218" s="716">
        <v>-5.2995399279893718E-3</v>
      </c>
      <c r="DG218" s="717">
        <v>28611.539147811491</v>
      </c>
      <c r="DH218" s="718">
        <v>459739.48847510945</v>
      </c>
      <c r="DI218" s="718">
        <v>1129466.5857813905</v>
      </c>
      <c r="DJ218" s="693">
        <v>962034.81145482021</v>
      </c>
      <c r="DK218" s="724"/>
      <c r="DL218" s="5"/>
      <c r="DM218" s="306">
        <v>6.1638691886409589</v>
      </c>
      <c r="DN218" s="306">
        <v>7.0827901464063849</v>
      </c>
      <c r="DO218" s="306">
        <v>5.0421398789081495</v>
      </c>
      <c r="DP218" s="719">
        <v>46733.822441351353</v>
      </c>
      <c r="DQ218" s="720">
        <v>327.28529953992796</v>
      </c>
      <c r="DR218" s="650">
        <v>47061.107740891282</v>
      </c>
      <c r="DS218" s="94">
        <v>47061.107740891268</v>
      </c>
      <c r="DT218" s="719">
        <v>46734.32</v>
      </c>
      <c r="DU218" s="725">
        <v>327.27999999999997</v>
      </c>
      <c r="DV218" s="93">
        <v>47061.599999999999</v>
      </c>
      <c r="DW218" s="95">
        <v>47200.20461106141</v>
      </c>
      <c r="DX218" s="28">
        <v>-138.60461106141156</v>
      </c>
      <c r="EA218" s="5">
        <v>22796.163510967406</v>
      </c>
      <c r="EB218" s="5">
        <v>0</v>
      </c>
      <c r="EE218" s="722">
        <v>206249.57664111981</v>
      </c>
      <c r="EG218" s="42" t="s">
        <v>422</v>
      </c>
    </row>
    <row r="219" spans="1:137" x14ac:dyDescent="0.3">
      <c r="A219" s="325">
        <v>150000947</v>
      </c>
      <c r="B219" s="41" t="s">
        <v>689</v>
      </c>
      <c r="C219" s="42" t="s">
        <v>269</v>
      </c>
      <c r="D219" s="27">
        <v>5</v>
      </c>
      <c r="E219" s="709">
        <v>3267.3</v>
      </c>
      <c r="F219" s="723">
        <v>3267.3</v>
      </c>
      <c r="G219" s="28"/>
      <c r="H219" s="651">
        <v>0</v>
      </c>
      <c r="I219" s="39">
        <v>1880.1776838190253</v>
      </c>
      <c r="J219" s="39">
        <v>1402.1329898801498</v>
      </c>
      <c r="K219" s="52">
        <v>-478.04469393887553</v>
      </c>
      <c r="L219" s="39">
        <v>390.33638998156368</v>
      </c>
      <c r="M219" s="39">
        <v>203.7761533345394</v>
      </c>
      <c r="N219" s="52">
        <v>-186.56023664702428</v>
      </c>
      <c r="O219" s="39">
        <v>904.7</v>
      </c>
      <c r="P219" s="39">
        <v>904.7</v>
      </c>
      <c r="Q219" s="52">
        <v>0</v>
      </c>
      <c r="R219" s="39">
        <v>177.98</v>
      </c>
      <c r="S219" s="39">
        <v>177.98</v>
      </c>
      <c r="T219" s="52">
        <v>0</v>
      </c>
      <c r="U219" s="39">
        <v>118.22581795543685</v>
      </c>
      <c r="V219" s="39">
        <v>21.392337477893165</v>
      </c>
      <c r="W219" s="52">
        <v>-96.833480477543688</v>
      </c>
      <c r="X219" s="39">
        <v>1353.4159106571487</v>
      </c>
      <c r="Y219" s="39">
        <v>948.47166392715337</v>
      </c>
      <c r="Z219" s="52">
        <v>-404.94424672999537</v>
      </c>
      <c r="AA219" s="39">
        <v>0</v>
      </c>
      <c r="AB219" s="39">
        <v>0</v>
      </c>
      <c r="AC219" s="52">
        <v>0</v>
      </c>
      <c r="AD219" s="39">
        <v>2328.4040614062519</v>
      </c>
      <c r="AE219" s="39">
        <v>1953.8019224973132</v>
      </c>
      <c r="AF219" s="35">
        <v>-374.60213890893874</v>
      </c>
      <c r="AG219" s="77">
        <v>7153.2398638194263</v>
      </c>
      <c r="AH219" s="53">
        <v>5612.2550671170493</v>
      </c>
      <c r="AI219" s="52">
        <v>-1540.984796702377</v>
      </c>
      <c r="AJ219" s="39">
        <v>0</v>
      </c>
      <c r="AK219" s="39">
        <v>0</v>
      </c>
      <c r="AL219" s="52">
        <v>0</v>
      </c>
      <c r="AM219" s="39">
        <v>0</v>
      </c>
      <c r="AN219" s="39">
        <v>0</v>
      </c>
      <c r="AO219" s="52">
        <v>0</v>
      </c>
      <c r="AP219" s="39">
        <v>710.2632321702373</v>
      </c>
      <c r="AQ219" s="39">
        <v>0</v>
      </c>
      <c r="AR219" s="52">
        <v>-710.2632321702373</v>
      </c>
      <c r="AS219" s="39">
        <v>7590.045220573912</v>
      </c>
      <c r="AT219" s="39">
        <v>0</v>
      </c>
      <c r="AU219" s="54">
        <v>-7590.045220573912</v>
      </c>
      <c r="AV219" s="39">
        <v>335.49122236556309</v>
      </c>
      <c r="AW219" s="39">
        <v>0</v>
      </c>
      <c r="AX219" s="55">
        <v>-335.49122236556309</v>
      </c>
      <c r="AY219" s="39">
        <v>503.09886568518095</v>
      </c>
      <c r="AZ219" s="39">
        <v>0</v>
      </c>
      <c r="BA219" s="35">
        <v>-503.09886568518095</v>
      </c>
      <c r="BB219" s="39">
        <v>349.5833390983895</v>
      </c>
      <c r="BC219" s="39">
        <v>0</v>
      </c>
      <c r="BD219" s="55">
        <v>-349.5833390983895</v>
      </c>
      <c r="BE219" s="39">
        <v>201.87973305220362</v>
      </c>
      <c r="BF219" s="39">
        <v>0</v>
      </c>
      <c r="BG219" s="38">
        <v>-201.87973305220362</v>
      </c>
      <c r="BH219" s="39">
        <v>119.94714023874553</v>
      </c>
      <c r="BI219" s="39">
        <v>0</v>
      </c>
      <c r="BJ219" s="55">
        <v>-119.94714023874553</v>
      </c>
      <c r="BK219" s="39">
        <v>187.174739446508</v>
      </c>
      <c r="BL219" s="39">
        <v>0</v>
      </c>
      <c r="BM219" s="38">
        <v>-187.174739446508</v>
      </c>
      <c r="BN219" s="39">
        <v>107.72463185447754</v>
      </c>
      <c r="BO219" s="39">
        <v>0</v>
      </c>
      <c r="BP219" s="55">
        <v>-107.72463185447754</v>
      </c>
      <c r="BQ219" s="77">
        <v>1804.8996717410685</v>
      </c>
      <c r="BR219" s="40">
        <v>0</v>
      </c>
      <c r="BS219" s="55">
        <v>-1804.8996717410685</v>
      </c>
      <c r="BT219" s="39">
        <v>6060.8573856186777</v>
      </c>
      <c r="BU219" s="39">
        <v>1324.1574071060634</v>
      </c>
      <c r="BV219" s="52">
        <v>-4736.6999785126145</v>
      </c>
      <c r="BW219" s="39">
        <v>3191.7162668114447</v>
      </c>
      <c r="BX219" s="39">
        <v>2465.2962938826331</v>
      </c>
      <c r="BY219" s="52">
        <v>-726.4199729288116</v>
      </c>
      <c r="BZ219" s="39">
        <v>2163.9840870251805</v>
      </c>
      <c r="CA219" s="39">
        <v>5935.0166435686224</v>
      </c>
      <c r="CB219" s="52">
        <v>3771.0325565434418</v>
      </c>
      <c r="CC219" s="39">
        <v>187.4114491134431</v>
      </c>
      <c r="CD219" s="39">
        <v>184.8948663543577</v>
      </c>
      <c r="CE219" s="52">
        <v>-2.5165827590853951</v>
      </c>
      <c r="CF219" s="39">
        <v>23.071485212829167</v>
      </c>
      <c r="CG219" s="39">
        <v>0</v>
      </c>
      <c r="CH219" s="52">
        <v>-23.071485212829167</v>
      </c>
      <c r="CI219" s="39">
        <v>1300.8679998148534</v>
      </c>
      <c r="CJ219" s="39">
        <v>4142.00806090068</v>
      </c>
      <c r="CK219" s="52">
        <v>2841.1400610858263</v>
      </c>
      <c r="CL219" s="39">
        <v>0</v>
      </c>
      <c r="CM219" s="39">
        <v>0</v>
      </c>
      <c r="CN219" s="52">
        <v>0</v>
      </c>
      <c r="CO219" s="39">
        <v>1300.8679998148534</v>
      </c>
      <c r="CP219" s="40">
        <v>4142.00806090068</v>
      </c>
      <c r="CQ219" s="52">
        <v>2841.1400610858263</v>
      </c>
      <c r="CR219" s="72">
        <v>30186.356661901071</v>
      </c>
      <c r="CS219" s="5">
        <v>19663.628338929404</v>
      </c>
      <c r="CT219" s="52">
        <v>-10522.728322971667</v>
      </c>
      <c r="CU219" s="77">
        <v>36223.627994281283</v>
      </c>
      <c r="CV219" s="65">
        <v>23596.354006715283</v>
      </c>
      <c r="CW219" s="35">
        <v>-12627.273987566001</v>
      </c>
      <c r="CX219" s="39">
        <v>1811.1813997140644</v>
      </c>
      <c r="CY219" s="39">
        <v>14438.455387280062</v>
      </c>
      <c r="CZ219" s="52">
        <v>12627.273987565997</v>
      </c>
      <c r="DA219" s="150">
        <v>-16195.876988063268</v>
      </c>
      <c r="DB219" s="2">
        <v>1</v>
      </c>
      <c r="DC219" s="713">
        <v>48602.29</v>
      </c>
      <c r="DD219" s="714"/>
      <c r="DE219" s="715">
        <v>29584.885303002327</v>
      </c>
      <c r="DF219" s="716">
        <v>0</v>
      </c>
      <c r="DG219" s="717">
        <v>2338.5299649703393</v>
      </c>
      <c r="DH219" s="718">
        <v>183526.040150719</v>
      </c>
      <c r="DI219" s="718">
        <v>456417.71272794413</v>
      </c>
      <c r="DJ219" s="693">
        <v>388194.79458363785</v>
      </c>
      <c r="DK219" s="724"/>
      <c r="DL219" s="5"/>
      <c r="DM219" s="306">
        <v>5.8205260297486223</v>
      </c>
      <c r="DN219" s="306"/>
      <c r="DO219" s="306">
        <v>5.2051000669991927</v>
      </c>
      <c r="DP219" s="719">
        <v>19017.404696997673</v>
      </c>
      <c r="DQ219" s="720">
        <v>0</v>
      </c>
      <c r="DR219" s="650">
        <v>19017.404696997673</v>
      </c>
      <c r="DS219" s="94">
        <v>19017.404696997673</v>
      </c>
      <c r="DT219" s="719">
        <v>19017.04</v>
      </c>
      <c r="DU219" s="721"/>
      <c r="DV219" s="93">
        <v>19017.04</v>
      </c>
      <c r="DW219" s="95">
        <v>19198.522836969081</v>
      </c>
      <c r="DX219" s="28">
        <v>-181.48283696908038</v>
      </c>
      <c r="EA219" s="5">
        <v>11273.933870777977</v>
      </c>
      <c r="EB219" s="5">
        <v>0</v>
      </c>
      <c r="EE219" s="722">
        <v>91080.542646886941</v>
      </c>
      <c r="EG219" s="42" t="s">
        <v>269</v>
      </c>
    </row>
    <row r="220" spans="1:137" x14ac:dyDescent="0.3">
      <c r="A220" s="325">
        <v>150000948</v>
      </c>
      <c r="B220" s="41" t="s">
        <v>690</v>
      </c>
      <c r="C220" s="42" t="s">
        <v>384</v>
      </c>
      <c r="D220" s="27">
        <v>9</v>
      </c>
      <c r="E220" s="709">
        <v>6615</v>
      </c>
      <c r="F220" s="723">
        <v>6615</v>
      </c>
      <c r="G220" s="28">
        <v>699.7</v>
      </c>
      <c r="H220" s="651">
        <v>0</v>
      </c>
      <c r="I220" s="39">
        <v>2837.6329023539311</v>
      </c>
      <c r="J220" s="39">
        <v>2124.2922221486142</v>
      </c>
      <c r="K220" s="52">
        <v>-713.34068020531686</v>
      </c>
      <c r="L220" s="39">
        <v>585.88616339389444</v>
      </c>
      <c r="M220" s="39">
        <v>305.85732174533518</v>
      </c>
      <c r="N220" s="52">
        <v>-280.02884164855925</v>
      </c>
      <c r="O220" s="39">
        <v>1634.34</v>
      </c>
      <c r="P220" s="39">
        <v>1634.34</v>
      </c>
      <c r="Q220" s="52">
        <v>0</v>
      </c>
      <c r="R220" s="39">
        <v>334.14</v>
      </c>
      <c r="S220" s="39">
        <v>334.14</v>
      </c>
      <c r="T220" s="52">
        <v>0</v>
      </c>
      <c r="U220" s="39">
        <v>144.80003372733142</v>
      </c>
      <c r="V220" s="39">
        <v>26.200706910997585</v>
      </c>
      <c r="W220" s="52">
        <v>-118.59932681633384</v>
      </c>
      <c r="X220" s="39">
        <v>2133.4766130925459</v>
      </c>
      <c r="Y220" s="39">
        <v>1469.8860239666983</v>
      </c>
      <c r="Z220" s="52">
        <v>-663.5905891258476</v>
      </c>
      <c r="AA220" s="39">
        <v>0</v>
      </c>
      <c r="AB220" s="39">
        <v>0</v>
      </c>
      <c r="AC220" s="52">
        <v>0</v>
      </c>
      <c r="AD220" s="39">
        <v>4714.1042653574368</v>
      </c>
      <c r="AE220" s="39">
        <v>3955.681975123106</v>
      </c>
      <c r="AF220" s="35">
        <v>-758.42229023433083</v>
      </c>
      <c r="AG220" s="77">
        <v>12384.37997792514</v>
      </c>
      <c r="AH220" s="53">
        <v>9850.3982498947516</v>
      </c>
      <c r="AI220" s="52">
        <v>-2533.9817280303887</v>
      </c>
      <c r="AJ220" s="39">
        <v>14402.266595894693</v>
      </c>
      <c r="AK220" s="39">
        <v>13450.939569400412</v>
      </c>
      <c r="AL220" s="52">
        <v>-951.32702649428029</v>
      </c>
      <c r="AM220" s="39">
        <v>0</v>
      </c>
      <c r="AN220" s="39">
        <v>129.91419040372483</v>
      </c>
      <c r="AO220" s="52">
        <v>129.91419040372483</v>
      </c>
      <c r="AP220" s="39">
        <v>852.31587860428476</v>
      </c>
      <c r="AQ220" s="39">
        <v>280.02402827304877</v>
      </c>
      <c r="AR220" s="52">
        <v>-572.29185033123599</v>
      </c>
      <c r="AS220" s="39">
        <v>17454.572487647143</v>
      </c>
      <c r="AT220" s="39">
        <v>9086.1854197635294</v>
      </c>
      <c r="AU220" s="54">
        <v>-8368.3870678836138</v>
      </c>
      <c r="AV220" s="39">
        <v>234.19939836518847</v>
      </c>
      <c r="AW220" s="39">
        <v>363</v>
      </c>
      <c r="AX220" s="55">
        <v>128.80060163481153</v>
      </c>
      <c r="AY220" s="39">
        <v>340.39419120155407</v>
      </c>
      <c r="AZ220" s="39">
        <v>0</v>
      </c>
      <c r="BA220" s="35">
        <v>-340.39419120155407</v>
      </c>
      <c r="BB220" s="39">
        <v>377.32558295153785</v>
      </c>
      <c r="BC220" s="39">
        <v>0</v>
      </c>
      <c r="BD220" s="55">
        <v>-377.32558295153785</v>
      </c>
      <c r="BE220" s="39">
        <v>175.11975664192488</v>
      </c>
      <c r="BF220" s="39">
        <v>0</v>
      </c>
      <c r="BG220" s="38">
        <v>-175.11975664192488</v>
      </c>
      <c r="BH220" s="39">
        <v>73.457911157641931</v>
      </c>
      <c r="BI220" s="39">
        <v>0</v>
      </c>
      <c r="BJ220" s="55">
        <v>-73.457911157641931</v>
      </c>
      <c r="BK220" s="39">
        <v>232.89259241061026</v>
      </c>
      <c r="BL220" s="39">
        <v>309</v>
      </c>
      <c r="BM220" s="38">
        <v>76.107407589389737</v>
      </c>
      <c r="BN220" s="39">
        <v>141.02416777453496</v>
      </c>
      <c r="BO220" s="39">
        <v>0</v>
      </c>
      <c r="BP220" s="55">
        <v>-141.02416777453496</v>
      </c>
      <c r="BQ220" s="77">
        <v>1574.4136005029925</v>
      </c>
      <c r="BR220" s="40">
        <v>672</v>
      </c>
      <c r="BS220" s="55">
        <v>-902.41360050299249</v>
      </c>
      <c r="BT220" s="39">
        <v>15113.912714101716</v>
      </c>
      <c r="BU220" s="39">
        <v>2469.3197213210742</v>
      </c>
      <c r="BV220" s="52">
        <v>-12644.592992780643</v>
      </c>
      <c r="BW220" s="39">
        <v>11381.06104685687</v>
      </c>
      <c r="BX220" s="39">
        <v>8289.0694483944062</v>
      </c>
      <c r="BY220" s="52">
        <v>-3091.991598462464</v>
      </c>
      <c r="BZ220" s="39">
        <v>1514.7888609176264</v>
      </c>
      <c r="CA220" s="39">
        <v>10647.697130899192</v>
      </c>
      <c r="CB220" s="52">
        <v>9132.9082699815663</v>
      </c>
      <c r="CC220" s="39">
        <v>310.80004901366181</v>
      </c>
      <c r="CD220" s="39">
        <v>306.62658976893215</v>
      </c>
      <c r="CE220" s="52">
        <v>-4.1734592447296563</v>
      </c>
      <c r="CF220" s="39">
        <v>38.261369670242459</v>
      </c>
      <c r="CG220" s="39">
        <v>0</v>
      </c>
      <c r="CH220" s="52">
        <v>-38.261369670242459</v>
      </c>
      <c r="CI220" s="39">
        <v>1731.3710788902722</v>
      </c>
      <c r="CJ220" s="39">
        <v>2439.4742311014152</v>
      </c>
      <c r="CK220" s="52">
        <v>708.10315221114297</v>
      </c>
      <c r="CL220" s="39">
        <v>2620.4535248068992</v>
      </c>
      <c r="CM220" s="39">
        <v>3173.6790080976079</v>
      </c>
      <c r="CN220" s="52">
        <v>553.22548329070878</v>
      </c>
      <c r="CO220" s="39">
        <v>4351.8246036971714</v>
      </c>
      <c r="CP220" s="40">
        <v>5613.1532391990231</v>
      </c>
      <c r="CQ220" s="52">
        <v>1261.3286355018517</v>
      </c>
      <c r="CR220" s="72">
        <v>79378.597184831553</v>
      </c>
      <c r="CS220" s="5">
        <v>60795.32758731809</v>
      </c>
      <c r="CT220" s="52">
        <v>-18583.269597513463</v>
      </c>
      <c r="CU220" s="77">
        <v>95254.316621797858</v>
      </c>
      <c r="CV220" s="65">
        <v>72954.393104781702</v>
      </c>
      <c r="CW220" s="35">
        <v>-22299.923517016156</v>
      </c>
      <c r="CX220" s="39">
        <v>2381.3579155449465</v>
      </c>
      <c r="CY220" s="39">
        <v>24681.281432561096</v>
      </c>
      <c r="CZ220" s="52">
        <v>22299.923517016148</v>
      </c>
      <c r="DA220" s="150">
        <v>45647.666069952815</v>
      </c>
      <c r="DB220" s="2">
        <v>1</v>
      </c>
      <c r="DC220" s="713">
        <v>77415.78</v>
      </c>
      <c r="DD220" s="714"/>
      <c r="DE220" s="715">
        <v>28597.9427313286</v>
      </c>
      <c r="DF220" s="716">
        <v>0</v>
      </c>
      <c r="DG220" s="717">
        <v>-7758.3008314594408</v>
      </c>
      <c r="DH220" s="718">
        <v>469816.57189185463</v>
      </c>
      <c r="DI220" s="718">
        <v>1171628.0944481136</v>
      </c>
      <c r="DJ220" s="693">
        <v>996175.21380904887</v>
      </c>
      <c r="DK220" s="724"/>
      <c r="DL220" s="5"/>
      <c r="DM220" s="306">
        <v>5.7972584118578867</v>
      </c>
      <c r="DN220" s="306">
        <v>7.5670710797245171</v>
      </c>
      <c r="DO220" s="306">
        <v>4.7391552306308311</v>
      </c>
      <c r="DP220" s="719">
        <v>48817.837268671399</v>
      </c>
      <c r="DQ220" s="720">
        <v>0</v>
      </c>
      <c r="DR220" s="650">
        <v>48817.837268671399</v>
      </c>
      <c r="DS220" s="94">
        <v>48817.837268671399</v>
      </c>
      <c r="DT220" s="719">
        <v>48812.08</v>
      </c>
      <c r="DU220" s="721"/>
      <c r="DV220" s="93">
        <v>48812.08</v>
      </c>
      <c r="DW220" s="95">
        <v>49055.973060225886</v>
      </c>
      <c r="DX220" s="28">
        <v>-243.89306022588426</v>
      </c>
      <c r="EA220" s="5">
        <v>22834.783305780165</v>
      </c>
      <c r="EB220" s="5">
        <v>11709.822503716236</v>
      </c>
      <c r="EE220" s="722">
        <v>209454.86985176572</v>
      </c>
      <c r="EG220" s="42" t="s">
        <v>384</v>
      </c>
    </row>
    <row r="221" spans="1:137" x14ac:dyDescent="0.3">
      <c r="A221" s="325">
        <v>150000949</v>
      </c>
      <c r="B221" s="41" t="s">
        <v>691</v>
      </c>
      <c r="C221" s="42" t="s">
        <v>385</v>
      </c>
      <c r="D221" s="27">
        <v>9</v>
      </c>
      <c r="E221" s="709">
        <v>9392.7999999999993</v>
      </c>
      <c r="F221" s="723">
        <v>9392.7999999999993</v>
      </c>
      <c r="G221" s="28">
        <v>999.75</v>
      </c>
      <c r="H221" s="651">
        <v>0</v>
      </c>
      <c r="I221" s="39">
        <v>4025.0525254893359</v>
      </c>
      <c r="J221" s="39">
        <v>3014.0778106479502</v>
      </c>
      <c r="K221" s="52">
        <v>-1010.9747148413858</v>
      </c>
      <c r="L221" s="39">
        <v>816.83676258570961</v>
      </c>
      <c r="M221" s="39">
        <v>426.42380640302918</v>
      </c>
      <c r="N221" s="52">
        <v>-390.41295618268043</v>
      </c>
      <c r="O221" s="39">
        <v>2363.7199999999998</v>
      </c>
      <c r="P221" s="39">
        <v>2363.7199999999998</v>
      </c>
      <c r="Q221" s="52">
        <v>0</v>
      </c>
      <c r="R221" s="39">
        <v>487.7</v>
      </c>
      <c r="S221" s="39">
        <v>487.7</v>
      </c>
      <c r="T221" s="52">
        <v>0</v>
      </c>
      <c r="U221" s="39">
        <v>480.20150935264746</v>
      </c>
      <c r="V221" s="39">
        <v>116.98399133988875</v>
      </c>
      <c r="W221" s="52">
        <v>-363.21751801275872</v>
      </c>
      <c r="X221" s="39">
        <v>3775.4868641328226</v>
      </c>
      <c r="Y221" s="39">
        <v>2653.2930821222271</v>
      </c>
      <c r="Z221" s="52">
        <v>-1122.1937820105954</v>
      </c>
      <c r="AA221" s="39">
        <v>0</v>
      </c>
      <c r="AB221" s="39">
        <v>0</v>
      </c>
      <c r="AC221" s="52">
        <v>0</v>
      </c>
      <c r="AD221" s="39">
        <v>6693.6717375131266</v>
      </c>
      <c r="AE221" s="39">
        <v>5616.7694113282396</v>
      </c>
      <c r="AF221" s="35">
        <v>-1076.902326184887</v>
      </c>
      <c r="AG221" s="77">
        <v>18642.669399073642</v>
      </c>
      <c r="AH221" s="53">
        <v>14678.968101841334</v>
      </c>
      <c r="AI221" s="52">
        <v>-3963.7012972323082</v>
      </c>
      <c r="AJ221" s="39">
        <v>22468.851464222462</v>
      </c>
      <c r="AK221" s="39">
        <v>22167.09314359858</v>
      </c>
      <c r="AL221" s="52">
        <v>-301.75832062388145</v>
      </c>
      <c r="AM221" s="39">
        <v>0</v>
      </c>
      <c r="AN221" s="39">
        <v>0</v>
      </c>
      <c r="AO221" s="52">
        <v>0</v>
      </c>
      <c r="AP221" s="39">
        <v>1412.6346506496943</v>
      </c>
      <c r="AQ221" s="39">
        <v>0</v>
      </c>
      <c r="AR221" s="52">
        <v>-1412.6346506496943</v>
      </c>
      <c r="AS221" s="39">
        <v>28446.047949750613</v>
      </c>
      <c r="AT221" s="39">
        <v>25583.74827595197</v>
      </c>
      <c r="AU221" s="54">
        <v>-2862.2996737986432</v>
      </c>
      <c r="AV221" s="39">
        <v>131.66111816664187</v>
      </c>
      <c r="AW221" s="39">
        <v>776</v>
      </c>
      <c r="AX221" s="55">
        <v>644.33888183335807</v>
      </c>
      <c r="AY221" s="39">
        <v>193.84601730458303</v>
      </c>
      <c r="AZ221" s="39">
        <v>6270</v>
      </c>
      <c r="BA221" s="35">
        <v>6076.1539826954167</v>
      </c>
      <c r="BB221" s="39">
        <v>215.16401743022467</v>
      </c>
      <c r="BC221" s="39">
        <v>0</v>
      </c>
      <c r="BD221" s="55">
        <v>-215.16401743022467</v>
      </c>
      <c r="BE221" s="39">
        <v>101.39158159948053</v>
      </c>
      <c r="BF221" s="39">
        <v>0</v>
      </c>
      <c r="BG221" s="38">
        <v>-101.39158159948053</v>
      </c>
      <c r="BH221" s="39">
        <v>97.437647389463777</v>
      </c>
      <c r="BI221" s="39">
        <v>0</v>
      </c>
      <c r="BJ221" s="55">
        <v>-97.437647389463777</v>
      </c>
      <c r="BK221" s="39">
        <v>163.8440843954931</v>
      </c>
      <c r="BL221" s="39">
        <v>326</v>
      </c>
      <c r="BM221" s="38">
        <v>162.1559156045069</v>
      </c>
      <c r="BN221" s="39">
        <v>156.91956282162403</v>
      </c>
      <c r="BO221" s="39">
        <v>0</v>
      </c>
      <c r="BP221" s="55">
        <v>-156.91956282162403</v>
      </c>
      <c r="BQ221" s="77">
        <v>1060.2640291075109</v>
      </c>
      <c r="BR221" s="40">
        <v>7372</v>
      </c>
      <c r="BS221" s="55">
        <v>6311.7359708924887</v>
      </c>
      <c r="BT221" s="39">
        <v>20337.119895776657</v>
      </c>
      <c r="BU221" s="39">
        <v>4743.6119178715471</v>
      </c>
      <c r="BV221" s="52">
        <v>-15593.50797790511</v>
      </c>
      <c r="BW221" s="39">
        <v>15093.048212070516</v>
      </c>
      <c r="BX221" s="39">
        <v>15357.058866215653</v>
      </c>
      <c r="BY221" s="52">
        <v>264.01065414513687</v>
      </c>
      <c r="BZ221" s="39">
        <v>1731.1872696201444</v>
      </c>
      <c r="CA221" s="39">
        <v>18568.255717304128</v>
      </c>
      <c r="CB221" s="52">
        <v>16837.068447683982</v>
      </c>
      <c r="CC221" s="39">
        <v>433.60038383688311</v>
      </c>
      <c r="CD221" s="39">
        <v>427.77794739845513</v>
      </c>
      <c r="CE221" s="52">
        <v>-5.8224364384279852</v>
      </c>
      <c r="CF221" s="39">
        <v>53.378835131434471</v>
      </c>
      <c r="CG221" s="39">
        <v>0</v>
      </c>
      <c r="CH221" s="52">
        <v>-53.378835131434471</v>
      </c>
      <c r="CI221" s="39">
        <v>2689.084450456603</v>
      </c>
      <c r="CJ221" s="39">
        <v>3502.5833058431263</v>
      </c>
      <c r="CK221" s="52">
        <v>813.49885538652325</v>
      </c>
      <c r="CL221" s="39">
        <v>2745.2370259881795</v>
      </c>
      <c r="CM221" s="39">
        <v>3697.0980632281635</v>
      </c>
      <c r="CN221" s="52">
        <v>951.86103723998394</v>
      </c>
      <c r="CO221" s="39">
        <v>5434.3214764447821</v>
      </c>
      <c r="CP221" s="40">
        <v>7199.6813690712897</v>
      </c>
      <c r="CQ221" s="52">
        <v>1765.3598926265076</v>
      </c>
      <c r="CR221" s="72">
        <v>115113.12356568432</v>
      </c>
      <c r="CS221" s="5">
        <v>116098.19533925295</v>
      </c>
      <c r="CT221" s="52">
        <v>985.07177356863394</v>
      </c>
      <c r="CU221" s="77">
        <v>138135.74827882118</v>
      </c>
      <c r="CV221" s="65">
        <v>139317.83440710354</v>
      </c>
      <c r="CW221" s="35">
        <v>1182.0861282823607</v>
      </c>
      <c r="CX221" s="39">
        <v>3453.3937069705298</v>
      </c>
      <c r="CY221" s="39">
        <v>2271.3075786881673</v>
      </c>
      <c r="CZ221" s="52">
        <v>-1182.0861282823626</v>
      </c>
      <c r="DA221" s="150">
        <v>-66278.910677274951</v>
      </c>
      <c r="DB221" s="2">
        <v>1</v>
      </c>
      <c r="DC221" s="713">
        <v>185695.92</v>
      </c>
      <c r="DD221" s="714"/>
      <c r="DE221" s="715">
        <v>114901.34900710416</v>
      </c>
      <c r="DF221" s="716">
        <v>0</v>
      </c>
      <c r="DG221" s="717">
        <v>-72098.553029169852</v>
      </c>
      <c r="DH221" s="718">
        <v>681818.7874502599</v>
      </c>
      <c r="DI221" s="718">
        <v>1699069.7038295004</v>
      </c>
      <c r="DJ221" s="693">
        <v>1444756.9747346903</v>
      </c>
      <c r="DK221" s="724"/>
      <c r="DL221" s="5"/>
      <c r="DM221" s="306">
        <v>5.8862007677600197</v>
      </c>
      <c r="DN221" s="306">
        <v>7.7337608825549449</v>
      </c>
      <c r="DO221" s="306">
        <v>4.8979731199421837</v>
      </c>
      <c r="DP221" s="719">
        <v>70794.570992895853</v>
      </c>
      <c r="DQ221" s="720">
        <v>0</v>
      </c>
      <c r="DR221" s="650">
        <v>70794.570992895853</v>
      </c>
      <c r="DS221" s="94">
        <v>70794.570992895853</v>
      </c>
      <c r="DT221" s="719">
        <v>70676.39</v>
      </c>
      <c r="DU221" s="721"/>
      <c r="DV221" s="93">
        <v>70676.39</v>
      </c>
      <c r="DW221" s="95">
        <v>71139.91036359292</v>
      </c>
      <c r="DX221" s="28">
        <v>-463.52036359292106</v>
      </c>
      <c r="EA221" s="5">
        <v>35407.574374629745</v>
      </c>
      <c r="EB221" s="5">
        <v>39546.897931142361</v>
      </c>
      <c r="EE221" s="722">
        <v>341352.57539700734</v>
      </c>
      <c r="EG221" s="42" t="s">
        <v>385</v>
      </c>
    </row>
    <row r="222" spans="1:137" x14ac:dyDescent="0.3">
      <c r="A222" s="325">
        <v>150001044</v>
      </c>
      <c r="B222" s="41" t="s">
        <v>692</v>
      </c>
      <c r="C222" s="42" t="s">
        <v>270</v>
      </c>
      <c r="D222" s="27">
        <v>5</v>
      </c>
      <c r="E222" s="709">
        <v>3505.5</v>
      </c>
      <c r="F222" s="723">
        <v>3228.8</v>
      </c>
      <c r="G222" s="28"/>
      <c r="H222" s="651">
        <v>276.7</v>
      </c>
      <c r="I222" s="39">
        <v>2021.1215785517211</v>
      </c>
      <c r="J222" s="39">
        <v>2176.8932542999501</v>
      </c>
      <c r="K222" s="52">
        <v>155.77167574822897</v>
      </c>
      <c r="L222" s="39">
        <v>382.49505462472791</v>
      </c>
      <c r="M222" s="39">
        <v>415.60065083107884</v>
      </c>
      <c r="N222" s="52">
        <v>33.105596206350924</v>
      </c>
      <c r="O222" s="39">
        <v>824.68</v>
      </c>
      <c r="P222" s="39">
        <v>824.68</v>
      </c>
      <c r="Q222" s="52">
        <v>0</v>
      </c>
      <c r="R222" s="39">
        <v>0</v>
      </c>
      <c r="S222" s="39">
        <v>0</v>
      </c>
      <c r="T222" s="52">
        <v>0</v>
      </c>
      <c r="U222" s="39">
        <v>0</v>
      </c>
      <c r="V222" s="39">
        <v>0</v>
      </c>
      <c r="W222" s="52">
        <v>0</v>
      </c>
      <c r="X222" s="39">
        <v>1258.4452621155397</v>
      </c>
      <c r="Y222" s="39">
        <v>808.26889335557485</v>
      </c>
      <c r="Z222" s="52">
        <v>-450.17636875996482</v>
      </c>
      <c r="AA222" s="39">
        <v>0</v>
      </c>
      <c r="AB222" s="39">
        <v>0</v>
      </c>
      <c r="AC222" s="52">
        <v>0</v>
      </c>
      <c r="AD222" s="39">
        <v>2498.1545732744512</v>
      </c>
      <c r="AE222" s="39">
        <v>2096.2423528033332</v>
      </c>
      <c r="AF222" s="35">
        <v>-401.91222047111796</v>
      </c>
      <c r="AG222" s="77">
        <v>6984.8964685664396</v>
      </c>
      <c r="AH222" s="53">
        <v>6321.6851512899366</v>
      </c>
      <c r="AI222" s="52">
        <v>-663.211317276503</v>
      </c>
      <c r="AJ222" s="39">
        <v>0</v>
      </c>
      <c r="AK222" s="39">
        <v>0</v>
      </c>
      <c r="AL222" s="52">
        <v>0</v>
      </c>
      <c r="AM222" s="39">
        <v>0</v>
      </c>
      <c r="AN222" s="39">
        <v>0</v>
      </c>
      <c r="AO222" s="52">
        <v>0</v>
      </c>
      <c r="AP222" s="39">
        <v>1894.0352857872995</v>
      </c>
      <c r="AQ222" s="39">
        <v>630.05406361435973</v>
      </c>
      <c r="AR222" s="52">
        <v>-1263.9812221729399</v>
      </c>
      <c r="AS222" s="39">
        <v>5576.6969253063198</v>
      </c>
      <c r="AT222" s="39">
        <v>522</v>
      </c>
      <c r="AU222" s="54">
        <v>-5054.6969253063198</v>
      </c>
      <c r="AV222" s="39">
        <v>320.62601161897658</v>
      </c>
      <c r="AW222" s="39">
        <v>0</v>
      </c>
      <c r="AX222" s="55">
        <v>-320.62601161897658</v>
      </c>
      <c r="AY222" s="39">
        <v>492.97964315911258</v>
      </c>
      <c r="AZ222" s="39">
        <v>0</v>
      </c>
      <c r="BA222" s="35">
        <v>-492.97964315911258</v>
      </c>
      <c r="BB222" s="39">
        <v>425.24465874824136</v>
      </c>
      <c r="BC222" s="39">
        <v>0</v>
      </c>
      <c r="BD222" s="55">
        <v>-425.24465874824136</v>
      </c>
      <c r="BE222" s="39">
        <v>0</v>
      </c>
      <c r="BF222" s="39">
        <v>0</v>
      </c>
      <c r="BG222" s="38">
        <v>0</v>
      </c>
      <c r="BH222" s="39">
        <v>0</v>
      </c>
      <c r="BI222" s="39">
        <v>0</v>
      </c>
      <c r="BJ222" s="55">
        <v>0</v>
      </c>
      <c r="BK222" s="39">
        <v>176.92726331589199</v>
      </c>
      <c r="BL222" s="39">
        <v>711</v>
      </c>
      <c r="BM222" s="38">
        <v>534.07273668410801</v>
      </c>
      <c r="BN222" s="39">
        <v>0</v>
      </c>
      <c r="BO222" s="39">
        <v>0</v>
      </c>
      <c r="BP222" s="55">
        <v>0</v>
      </c>
      <c r="BQ222" s="77">
        <v>1415.7775768422225</v>
      </c>
      <c r="BR222" s="40">
        <v>711</v>
      </c>
      <c r="BS222" s="55">
        <v>-704.77757684222252</v>
      </c>
      <c r="BT222" s="39">
        <v>3559.0348874387128</v>
      </c>
      <c r="BU222" s="39">
        <v>1050.5054093670708</v>
      </c>
      <c r="BV222" s="52">
        <v>-2508.5294780716422</v>
      </c>
      <c r="BW222" s="39">
        <v>2461.0725475679833</v>
      </c>
      <c r="BX222" s="39">
        <v>2157.7194864559697</v>
      </c>
      <c r="BY222" s="52">
        <v>-303.35306111201362</v>
      </c>
      <c r="BZ222" s="39">
        <v>1692.0255490842067</v>
      </c>
      <c r="CA222" s="39">
        <v>4297.7465887663702</v>
      </c>
      <c r="CB222" s="52">
        <v>2605.7210396821638</v>
      </c>
      <c r="CC222" s="39">
        <v>216.08937161706959</v>
      </c>
      <c r="CD222" s="39">
        <v>213.18769837562351</v>
      </c>
      <c r="CE222" s="52">
        <v>-2.9016732414460762</v>
      </c>
      <c r="CF222" s="39">
        <v>26.601911278616519</v>
      </c>
      <c r="CG222" s="39">
        <v>0</v>
      </c>
      <c r="CH222" s="52">
        <v>-26.601911278616519</v>
      </c>
      <c r="CI222" s="39">
        <v>792.37523250113372</v>
      </c>
      <c r="CJ222" s="39">
        <v>552.56215961916189</v>
      </c>
      <c r="CK222" s="52">
        <v>-239.81307288197183</v>
      </c>
      <c r="CL222" s="39">
        <v>0</v>
      </c>
      <c r="CM222" s="39">
        <v>0</v>
      </c>
      <c r="CN222" s="52">
        <v>0</v>
      </c>
      <c r="CO222" s="39">
        <v>792.37523250113372</v>
      </c>
      <c r="CP222" s="40">
        <v>552.56215961916189</v>
      </c>
      <c r="CQ222" s="52">
        <v>-239.81307288197183</v>
      </c>
      <c r="CR222" s="72">
        <v>24618.605755990004</v>
      </c>
      <c r="CS222" s="5">
        <v>16456.460557488492</v>
      </c>
      <c r="CT222" s="52">
        <v>-8162.1451985015119</v>
      </c>
      <c r="CU222" s="77">
        <v>29542.326907188002</v>
      </c>
      <c r="CV222" s="65">
        <v>19747.752668986188</v>
      </c>
      <c r="CW222" s="35">
        <v>-9794.5742382018143</v>
      </c>
      <c r="CX222" s="39">
        <v>590.84653814376009</v>
      </c>
      <c r="CY222" s="39">
        <v>10385.420776345572</v>
      </c>
      <c r="CZ222" s="52">
        <v>9794.5742382018125</v>
      </c>
      <c r="DA222" s="150">
        <v>40328.593398734003</v>
      </c>
      <c r="DB222" s="2">
        <v>2</v>
      </c>
      <c r="DC222" s="713">
        <v>27047</v>
      </c>
      <c r="DD222" s="714">
        <v>12017.76</v>
      </c>
      <c r="DE222" s="715">
        <v>13050.778570880679</v>
      </c>
      <c r="DF222" s="716">
        <v>10947.39470645344</v>
      </c>
      <c r="DG222" s="717">
        <v>52148.584140836552</v>
      </c>
      <c r="DH222" s="718">
        <v>145095.35687087823</v>
      </c>
      <c r="DI222" s="718">
        <v>361598.08134398115</v>
      </c>
      <c r="DJ222" s="693">
        <v>307472.40022570541</v>
      </c>
      <c r="DK222" s="724"/>
      <c r="DL222" s="5"/>
      <c r="DM222" s="306">
        <v>4.3348059431117818</v>
      </c>
      <c r="DN222" s="306"/>
      <c r="DO222" s="306">
        <v>3.8683241544870275</v>
      </c>
      <c r="DP222" s="719">
        <v>13996.221429119321</v>
      </c>
      <c r="DQ222" s="720">
        <v>1070.3652935465605</v>
      </c>
      <c r="DR222" s="650">
        <v>15066.586722665881</v>
      </c>
      <c r="DS222" s="94">
        <v>15066.586722665881</v>
      </c>
      <c r="DT222" s="719">
        <v>13996.17</v>
      </c>
      <c r="DU222" s="725">
        <v>1070.3599999999999</v>
      </c>
      <c r="DV222" s="93">
        <v>15066.53</v>
      </c>
      <c r="DW222" s="95">
        <v>15125.671376480257</v>
      </c>
      <c r="DX222" s="28">
        <v>-59.14137648025644</v>
      </c>
      <c r="EA222" s="5">
        <v>8390.9694025782501</v>
      </c>
      <c r="EB222" s="5">
        <v>1479.6</v>
      </c>
      <c r="EE222" s="722">
        <v>66920.363103675831</v>
      </c>
      <c r="EG222" s="42" t="s">
        <v>270</v>
      </c>
    </row>
    <row r="223" spans="1:137" x14ac:dyDescent="0.3">
      <c r="A223" s="325">
        <v>150001050</v>
      </c>
      <c r="B223" s="41" t="s">
        <v>693</v>
      </c>
      <c r="C223" s="42" t="s">
        <v>271</v>
      </c>
      <c r="D223" s="27">
        <v>5</v>
      </c>
      <c r="E223" s="709">
        <v>3564.3</v>
      </c>
      <c r="F223" s="723">
        <v>3564.3</v>
      </c>
      <c r="G223" s="28"/>
      <c r="H223" s="651">
        <v>0</v>
      </c>
      <c r="I223" s="39">
        <v>2034.7811152672907</v>
      </c>
      <c r="J223" s="39">
        <v>2191.3886128614249</v>
      </c>
      <c r="K223" s="52">
        <v>156.6074975941342</v>
      </c>
      <c r="L223" s="39">
        <v>345.21193849411895</v>
      </c>
      <c r="M223" s="39">
        <v>375.09084010025163</v>
      </c>
      <c r="N223" s="52">
        <v>29.878901606132672</v>
      </c>
      <c r="O223" s="39">
        <v>806.66</v>
      </c>
      <c r="P223" s="39">
        <v>806.66</v>
      </c>
      <c r="Q223" s="52">
        <v>0</v>
      </c>
      <c r="R223" s="39">
        <v>0</v>
      </c>
      <c r="S223" s="39">
        <v>0</v>
      </c>
      <c r="T223" s="52">
        <v>0</v>
      </c>
      <c r="U223" s="39">
        <v>0</v>
      </c>
      <c r="V223" s="39">
        <v>0</v>
      </c>
      <c r="W223" s="52">
        <v>0</v>
      </c>
      <c r="X223" s="39">
        <v>1275.7588742575476</v>
      </c>
      <c r="Y223" s="39">
        <v>951.06079917673765</v>
      </c>
      <c r="Z223" s="52">
        <v>-324.69807508080999</v>
      </c>
      <c r="AA223" s="39">
        <v>0</v>
      </c>
      <c r="AB223" s="39">
        <v>0</v>
      </c>
      <c r="AC223" s="52">
        <v>0</v>
      </c>
      <c r="AD223" s="39">
        <v>2540.0577222998509</v>
      </c>
      <c r="AE223" s="39">
        <v>2131.4039703599833</v>
      </c>
      <c r="AF223" s="35">
        <v>-408.65375193986756</v>
      </c>
      <c r="AG223" s="77">
        <v>7002.4696503188079</v>
      </c>
      <c r="AH223" s="53">
        <v>6455.6042224983976</v>
      </c>
      <c r="AI223" s="52">
        <v>-546.86542782041033</v>
      </c>
      <c r="AJ223" s="39">
        <v>0</v>
      </c>
      <c r="AK223" s="39">
        <v>0</v>
      </c>
      <c r="AL223" s="52">
        <v>0</v>
      </c>
      <c r="AM223" s="39">
        <v>0</v>
      </c>
      <c r="AN223" s="39">
        <v>0</v>
      </c>
      <c r="AO223" s="52">
        <v>0</v>
      </c>
      <c r="AP223" s="39">
        <v>1894.0352857872995</v>
      </c>
      <c r="AQ223" s="39">
        <v>0</v>
      </c>
      <c r="AR223" s="52">
        <v>-1894.0352857872995</v>
      </c>
      <c r="AS223" s="39">
        <v>9161.9698506459335</v>
      </c>
      <c r="AT223" s="39">
        <v>522</v>
      </c>
      <c r="AU223" s="54">
        <v>-8639.9698506459335</v>
      </c>
      <c r="AV223" s="39">
        <v>323.47537914525492</v>
      </c>
      <c r="AW223" s="39">
        <v>0</v>
      </c>
      <c r="AX223" s="55">
        <v>-323.47537914525492</v>
      </c>
      <c r="AY223" s="39">
        <v>444.88882070319545</v>
      </c>
      <c r="AZ223" s="39">
        <v>0</v>
      </c>
      <c r="BA223" s="35">
        <v>-444.88882070319545</v>
      </c>
      <c r="BB223" s="39">
        <v>431.67565626018109</v>
      </c>
      <c r="BC223" s="39">
        <v>0</v>
      </c>
      <c r="BD223" s="55">
        <v>-431.67565626018109</v>
      </c>
      <c r="BE223" s="39">
        <v>0</v>
      </c>
      <c r="BF223" s="39">
        <v>0</v>
      </c>
      <c r="BG223" s="38">
        <v>0</v>
      </c>
      <c r="BH223" s="39">
        <v>0</v>
      </c>
      <c r="BI223" s="39">
        <v>0</v>
      </c>
      <c r="BJ223" s="55">
        <v>0</v>
      </c>
      <c r="BK223" s="39">
        <v>179.51810429532154</v>
      </c>
      <c r="BL223" s="39">
        <v>711</v>
      </c>
      <c r="BM223" s="38">
        <v>531.48189570467844</v>
      </c>
      <c r="BN223" s="39">
        <v>0</v>
      </c>
      <c r="BO223" s="39">
        <v>0</v>
      </c>
      <c r="BP223" s="55">
        <v>0</v>
      </c>
      <c r="BQ223" s="77">
        <v>1379.5579604039531</v>
      </c>
      <c r="BR223" s="40">
        <v>711</v>
      </c>
      <c r="BS223" s="55">
        <v>-668.55796040395308</v>
      </c>
      <c r="BT223" s="39">
        <v>3024.4355619921371</v>
      </c>
      <c r="BU223" s="39">
        <v>860.56563448598581</v>
      </c>
      <c r="BV223" s="52">
        <v>-2163.8699275061513</v>
      </c>
      <c r="BW223" s="39">
        <v>2512.3115606459678</v>
      </c>
      <c r="BX223" s="39">
        <v>2287.6691559404271</v>
      </c>
      <c r="BY223" s="52">
        <v>-224.64240470554068</v>
      </c>
      <c r="BZ223" s="39">
        <v>1372.1601753322466</v>
      </c>
      <c r="CA223" s="39">
        <v>3780.7427962825218</v>
      </c>
      <c r="CB223" s="52">
        <v>2408.5826209502752</v>
      </c>
      <c r="CC223" s="39">
        <v>349.77261036474403</v>
      </c>
      <c r="CD223" s="39">
        <v>345.07582302860112</v>
      </c>
      <c r="CE223" s="52">
        <v>-4.6967873361429042</v>
      </c>
      <c r="CF223" s="39">
        <v>43.059128169902195</v>
      </c>
      <c r="CG223" s="39">
        <v>0</v>
      </c>
      <c r="CH223" s="52">
        <v>-43.059128169902195</v>
      </c>
      <c r="CI223" s="39">
        <v>277.64329012834997</v>
      </c>
      <c r="CJ223" s="39">
        <v>380.06199954021054</v>
      </c>
      <c r="CK223" s="52">
        <v>102.41870941186056</v>
      </c>
      <c r="CL223" s="39">
        <v>0</v>
      </c>
      <c r="CM223" s="39">
        <v>0</v>
      </c>
      <c r="CN223" s="52">
        <v>0</v>
      </c>
      <c r="CO223" s="39">
        <v>277.64329012834997</v>
      </c>
      <c r="CP223" s="40">
        <v>380.06199954021054</v>
      </c>
      <c r="CQ223" s="52">
        <v>102.41870941186056</v>
      </c>
      <c r="CR223" s="72">
        <v>27017.415073789343</v>
      </c>
      <c r="CS223" s="5">
        <v>15342.719631776145</v>
      </c>
      <c r="CT223" s="52">
        <v>-11674.695442013199</v>
      </c>
      <c r="CU223" s="77">
        <v>32420.898088547212</v>
      </c>
      <c r="CV223" s="65">
        <v>18411.263558131373</v>
      </c>
      <c r="CW223" s="35">
        <v>-14009.634530415839</v>
      </c>
      <c r="CX223" s="39">
        <v>1621.0449044273607</v>
      </c>
      <c r="CY223" s="39">
        <v>15630.679434843205</v>
      </c>
      <c r="CZ223" s="52">
        <v>14009.634530415844</v>
      </c>
      <c r="DA223" s="150">
        <v>66832.501861068828</v>
      </c>
      <c r="DB223" s="2">
        <v>2</v>
      </c>
      <c r="DC223" s="713">
        <v>27867.01</v>
      </c>
      <c r="DD223" s="714"/>
      <c r="DE223" s="715">
        <v>10846.038503512711</v>
      </c>
      <c r="DF223" s="716">
        <v>0</v>
      </c>
      <c r="DG223" s="717">
        <v>-34750.228771861191</v>
      </c>
      <c r="DH223" s="718">
        <v>170289.34135998072</v>
      </c>
      <c r="DI223" s="718">
        <v>408503.31591569493</v>
      </c>
      <c r="DJ223" s="693">
        <v>348949.82227676635</v>
      </c>
      <c r="DK223" s="724"/>
      <c r="DL223" s="5"/>
      <c r="DM223" s="306">
        <v>4.7754037248512429</v>
      </c>
      <c r="DN223" s="306"/>
      <c r="DO223" s="306">
        <v>4.3313456255871632</v>
      </c>
      <c r="DP223" s="719">
        <v>17020.971496487287</v>
      </c>
      <c r="DQ223" s="720">
        <v>0</v>
      </c>
      <c r="DR223" s="650">
        <v>17020.971496487287</v>
      </c>
      <c r="DS223" s="94">
        <v>17020.971496487287</v>
      </c>
      <c r="DT223" s="719">
        <v>17019.02</v>
      </c>
      <c r="DU223" s="721"/>
      <c r="DV223" s="93">
        <v>17019.02</v>
      </c>
      <c r="DW223" s="95">
        <v>17183.07598693002</v>
      </c>
      <c r="DX223" s="28">
        <v>-164.05598693001957</v>
      </c>
      <c r="EA223" s="5">
        <v>12649.833373259864</v>
      </c>
      <c r="EB223" s="5">
        <v>1479.6</v>
      </c>
      <c r="EE223" s="722">
        <v>109943.63820775121</v>
      </c>
      <c r="EG223" s="42" t="s">
        <v>271</v>
      </c>
    </row>
    <row r="224" spans="1:137" x14ac:dyDescent="0.3">
      <c r="A224" s="325">
        <v>150001045</v>
      </c>
      <c r="B224" s="41" t="s">
        <v>694</v>
      </c>
      <c r="C224" s="42" t="s">
        <v>272</v>
      </c>
      <c r="D224" s="27">
        <v>5</v>
      </c>
      <c r="E224" s="709">
        <v>3571.4</v>
      </c>
      <c r="F224" s="723">
        <v>3571.4</v>
      </c>
      <c r="G224" s="28"/>
      <c r="H224" s="651">
        <v>0</v>
      </c>
      <c r="I224" s="39">
        <v>1974.1598408175182</v>
      </c>
      <c r="J224" s="39">
        <v>2126.5473983637194</v>
      </c>
      <c r="K224" s="52">
        <v>152.38755754620115</v>
      </c>
      <c r="L224" s="39">
        <v>345.21193849411895</v>
      </c>
      <c r="M224" s="39">
        <v>375.09084010025163</v>
      </c>
      <c r="N224" s="52">
        <v>29.878901606132672</v>
      </c>
      <c r="O224" s="39">
        <v>884.08</v>
      </c>
      <c r="P224" s="39">
        <v>884.08</v>
      </c>
      <c r="Q224" s="52">
        <v>0</v>
      </c>
      <c r="R224" s="39">
        <v>0</v>
      </c>
      <c r="S224" s="39">
        <v>0</v>
      </c>
      <c r="T224" s="52">
        <v>0</v>
      </c>
      <c r="U224" s="39">
        <v>0</v>
      </c>
      <c r="V224" s="39">
        <v>0</v>
      </c>
      <c r="W224" s="52">
        <v>0</v>
      </c>
      <c r="X224" s="39">
        <v>1275.7588742575476</v>
      </c>
      <c r="Y224" s="39">
        <v>960.14047055431888</v>
      </c>
      <c r="Z224" s="52">
        <v>-315.61840370322875</v>
      </c>
      <c r="AA224" s="39">
        <v>0</v>
      </c>
      <c r="AB224" s="39">
        <v>0</v>
      </c>
      <c r="AC224" s="52">
        <v>0</v>
      </c>
      <c r="AD224" s="39">
        <v>2545.1174562808092</v>
      </c>
      <c r="AE224" s="39">
        <v>2135.6496758812791</v>
      </c>
      <c r="AF224" s="35">
        <v>-409.46778039953006</v>
      </c>
      <c r="AG224" s="77">
        <v>7024.3281098499938</v>
      </c>
      <c r="AH224" s="53">
        <v>6481.5083848995691</v>
      </c>
      <c r="AI224" s="52">
        <v>-542.81972495042464</v>
      </c>
      <c r="AJ224" s="39">
        <v>0</v>
      </c>
      <c r="AK224" s="39">
        <v>0</v>
      </c>
      <c r="AL224" s="52">
        <v>0</v>
      </c>
      <c r="AM224" s="39">
        <v>0</v>
      </c>
      <c r="AN224" s="39">
        <v>0</v>
      </c>
      <c r="AO224" s="52">
        <v>0</v>
      </c>
      <c r="AP224" s="39">
        <v>1894.0352857872995</v>
      </c>
      <c r="AQ224" s="39">
        <v>0</v>
      </c>
      <c r="AR224" s="52">
        <v>-1894.0352857872995</v>
      </c>
      <c r="AS224" s="39">
        <v>9306.2546949358311</v>
      </c>
      <c r="AT224" s="39">
        <v>522</v>
      </c>
      <c r="AU224" s="54">
        <v>-8784.2546949358311</v>
      </c>
      <c r="AV224" s="39">
        <v>309.21091681822662</v>
      </c>
      <c r="AW224" s="39">
        <v>0</v>
      </c>
      <c r="AX224" s="55">
        <v>-309.21091681822662</v>
      </c>
      <c r="AY224" s="39">
        <v>444.88882070319545</v>
      </c>
      <c r="AZ224" s="39">
        <v>0</v>
      </c>
      <c r="BA224" s="35">
        <v>-444.88882070319545</v>
      </c>
      <c r="BB224" s="39">
        <v>470.67431918363008</v>
      </c>
      <c r="BC224" s="39">
        <v>0</v>
      </c>
      <c r="BD224" s="55">
        <v>-470.67431918363008</v>
      </c>
      <c r="BE224" s="39">
        <v>0</v>
      </c>
      <c r="BF224" s="39">
        <v>0</v>
      </c>
      <c r="BG224" s="38">
        <v>0</v>
      </c>
      <c r="BH224" s="39">
        <v>0</v>
      </c>
      <c r="BI224" s="39">
        <v>0</v>
      </c>
      <c r="BJ224" s="55">
        <v>0</v>
      </c>
      <c r="BK224" s="39">
        <v>179.51810429532154</v>
      </c>
      <c r="BL224" s="39">
        <v>1214</v>
      </c>
      <c r="BM224" s="38">
        <v>1034.4818957046784</v>
      </c>
      <c r="BN224" s="39">
        <v>0</v>
      </c>
      <c r="BO224" s="39">
        <v>0</v>
      </c>
      <c r="BP224" s="55">
        <v>0</v>
      </c>
      <c r="BQ224" s="77">
        <v>1404.2921610003737</v>
      </c>
      <c r="BR224" s="40">
        <v>1214</v>
      </c>
      <c r="BS224" s="55">
        <v>-190.29216100037365</v>
      </c>
      <c r="BT224" s="39">
        <v>2458.7614289456974</v>
      </c>
      <c r="BU224" s="39">
        <v>771.8336984983431</v>
      </c>
      <c r="BV224" s="52">
        <v>-1686.9277304473544</v>
      </c>
      <c r="BW224" s="39">
        <v>2956.0565738150385</v>
      </c>
      <c r="BX224" s="39">
        <v>2628.1780761350337</v>
      </c>
      <c r="BY224" s="52">
        <v>-327.87849768000478</v>
      </c>
      <c r="BZ224" s="39">
        <v>1287.6974174169707</v>
      </c>
      <c r="CA224" s="39">
        <v>3149.2265813501554</v>
      </c>
      <c r="CB224" s="52">
        <v>1861.5291639331847</v>
      </c>
      <c r="CC224" s="39">
        <v>356.24352621171619</v>
      </c>
      <c r="CD224" s="39">
        <v>351.45984666416882</v>
      </c>
      <c r="CE224" s="52">
        <v>-4.783679547547365</v>
      </c>
      <c r="CF224" s="39">
        <v>43.855737128336273</v>
      </c>
      <c r="CG224" s="39">
        <v>0</v>
      </c>
      <c r="CH224" s="52">
        <v>-43.855737128336273</v>
      </c>
      <c r="CI224" s="39">
        <v>1472.4453139391144</v>
      </c>
      <c r="CJ224" s="39">
        <v>3371.1574384812784</v>
      </c>
      <c r="CK224" s="52">
        <v>1898.712124542164</v>
      </c>
      <c r="CL224" s="39">
        <v>0</v>
      </c>
      <c r="CM224" s="39">
        <v>0</v>
      </c>
      <c r="CN224" s="52">
        <v>0</v>
      </c>
      <c r="CO224" s="39">
        <v>1472.4453139391144</v>
      </c>
      <c r="CP224" s="40">
        <v>3371.1574384812784</v>
      </c>
      <c r="CQ224" s="52">
        <v>1898.712124542164</v>
      </c>
      <c r="CR224" s="72">
        <v>28203.970249030372</v>
      </c>
      <c r="CS224" s="5">
        <v>18489.364026028547</v>
      </c>
      <c r="CT224" s="52">
        <v>-9714.6062230018251</v>
      </c>
      <c r="CU224" s="77">
        <v>33844.764298836446</v>
      </c>
      <c r="CV224" s="65">
        <v>22187.236831234255</v>
      </c>
      <c r="CW224" s="35">
        <v>-11657.527467602191</v>
      </c>
      <c r="CX224" s="39">
        <v>1353.7905719534579</v>
      </c>
      <c r="CY224" s="39">
        <v>13011.31803955565</v>
      </c>
      <c r="CZ224" s="52">
        <v>11657.527467602193</v>
      </c>
      <c r="DA224" s="150">
        <v>-5871.0278251484633</v>
      </c>
      <c r="DB224" s="2">
        <v>2</v>
      </c>
      <c r="DC224" s="713">
        <v>32383</v>
      </c>
      <c r="DD224" s="714"/>
      <c r="DE224" s="715">
        <v>14783.722564605047</v>
      </c>
      <c r="DF224" s="716">
        <v>0</v>
      </c>
      <c r="DG224" s="717">
        <v>-43695.113962520263</v>
      </c>
      <c r="DH224" s="718">
        <v>183537.63303545254</v>
      </c>
      <c r="DI224" s="718">
        <v>422382.65844947891</v>
      </c>
      <c r="DJ224" s="693">
        <v>362671.40209597233</v>
      </c>
      <c r="DK224" s="724"/>
      <c r="DL224" s="5"/>
      <c r="DM224" s="306">
        <v>4.9278371046074234</v>
      </c>
      <c r="DN224" s="306"/>
      <c r="DO224" s="306">
        <v>4.4113507681397683</v>
      </c>
      <c r="DP224" s="719">
        <v>17599.277435394953</v>
      </c>
      <c r="DQ224" s="720">
        <v>0</v>
      </c>
      <c r="DR224" s="650">
        <v>17599.277435394953</v>
      </c>
      <c r="DS224" s="94">
        <v>17599.277435394953</v>
      </c>
      <c r="DT224" s="719">
        <v>17599.189999999999</v>
      </c>
      <c r="DU224" s="721"/>
      <c r="DV224" s="93">
        <v>17599.189999999999</v>
      </c>
      <c r="DW224" s="95">
        <v>17734.656492590297</v>
      </c>
      <c r="DX224" s="28">
        <v>-135.466492590298</v>
      </c>
      <c r="EA224" s="5">
        <v>12852.656227123445</v>
      </c>
      <c r="EB224" s="5">
        <v>2083.1999999999998</v>
      </c>
      <c r="EE224" s="722">
        <v>111675.05633922998</v>
      </c>
      <c r="EG224" s="42" t="s">
        <v>272</v>
      </c>
    </row>
    <row r="225" spans="1:137" x14ac:dyDescent="0.3">
      <c r="A225" s="325">
        <v>150001046</v>
      </c>
      <c r="B225" s="41" t="s">
        <v>695</v>
      </c>
      <c r="C225" s="42" t="s">
        <v>273</v>
      </c>
      <c r="D225" s="27">
        <v>5</v>
      </c>
      <c r="E225" s="709">
        <v>2681.5</v>
      </c>
      <c r="F225" s="723">
        <v>2470.9</v>
      </c>
      <c r="G225" s="28"/>
      <c r="H225" s="651">
        <v>210.6</v>
      </c>
      <c r="I225" s="39">
        <v>1436.498904966975</v>
      </c>
      <c r="J225" s="39">
        <v>1549.4854842744735</v>
      </c>
      <c r="K225" s="52">
        <v>112.98657930749846</v>
      </c>
      <c r="L225" s="39">
        <v>300.92648582137065</v>
      </c>
      <c r="M225" s="39">
        <v>326.97204375596226</v>
      </c>
      <c r="N225" s="52">
        <v>26.045557934591614</v>
      </c>
      <c r="O225" s="39">
        <v>584.26</v>
      </c>
      <c r="P225" s="39">
        <v>584.26</v>
      </c>
      <c r="Q225" s="52">
        <v>0</v>
      </c>
      <c r="R225" s="39">
        <v>0</v>
      </c>
      <c r="S225" s="39">
        <v>0</v>
      </c>
      <c r="T225" s="52">
        <v>0</v>
      </c>
      <c r="U225" s="39">
        <v>0</v>
      </c>
      <c r="V225" s="39">
        <v>0</v>
      </c>
      <c r="W225" s="52">
        <v>0</v>
      </c>
      <c r="X225" s="39">
        <v>949.89980205882534</v>
      </c>
      <c r="Y225" s="39">
        <v>743.92061774641024</v>
      </c>
      <c r="Z225" s="52">
        <v>-205.9791843124151</v>
      </c>
      <c r="AA225" s="39">
        <v>0</v>
      </c>
      <c r="AB225" s="39">
        <v>0</v>
      </c>
      <c r="AC225" s="52">
        <v>0</v>
      </c>
      <c r="AD225" s="39">
        <v>1910.9403760477653</v>
      </c>
      <c r="AE225" s="39">
        <v>1603.5013176557231</v>
      </c>
      <c r="AF225" s="35">
        <v>-307.43905839204217</v>
      </c>
      <c r="AG225" s="77">
        <v>5182.5255688949364</v>
      </c>
      <c r="AH225" s="53">
        <v>4808.1394634325688</v>
      </c>
      <c r="AI225" s="52">
        <v>-374.3861054623676</v>
      </c>
      <c r="AJ225" s="39">
        <v>0</v>
      </c>
      <c r="AK225" s="39">
        <v>0</v>
      </c>
      <c r="AL225" s="52">
        <v>0</v>
      </c>
      <c r="AM225" s="39">
        <v>0</v>
      </c>
      <c r="AN225" s="39">
        <v>0</v>
      </c>
      <c r="AO225" s="52">
        <v>0</v>
      </c>
      <c r="AP225" s="39">
        <v>1373.1755821957922</v>
      </c>
      <c r="AQ225" s="39">
        <v>3360.2883392765852</v>
      </c>
      <c r="AR225" s="52">
        <v>1987.112757080793</v>
      </c>
      <c r="AS225" s="39">
        <v>5075.1058847571803</v>
      </c>
      <c r="AT225" s="39">
        <v>390</v>
      </c>
      <c r="AU225" s="54">
        <v>-4685.1058847571803</v>
      </c>
      <c r="AV225" s="39">
        <v>227.2230240106725</v>
      </c>
      <c r="AW225" s="39">
        <v>0</v>
      </c>
      <c r="AX225" s="55">
        <v>-227.2230240106725</v>
      </c>
      <c r="AY225" s="39">
        <v>387.87318468845865</v>
      </c>
      <c r="AZ225" s="39">
        <v>0</v>
      </c>
      <c r="BA225" s="35">
        <v>-387.87318468845865</v>
      </c>
      <c r="BB225" s="39">
        <v>299.02802678329249</v>
      </c>
      <c r="BC225" s="39">
        <v>0</v>
      </c>
      <c r="BD225" s="55">
        <v>-299.02802678329249</v>
      </c>
      <c r="BE225" s="39">
        <v>0</v>
      </c>
      <c r="BF225" s="39">
        <v>0</v>
      </c>
      <c r="BG225" s="38">
        <v>0</v>
      </c>
      <c r="BH225" s="39">
        <v>0</v>
      </c>
      <c r="BI225" s="39">
        <v>0</v>
      </c>
      <c r="BJ225" s="55">
        <v>0</v>
      </c>
      <c r="BK225" s="39">
        <v>130.49535443444742</v>
      </c>
      <c r="BL225" s="39">
        <v>711</v>
      </c>
      <c r="BM225" s="38">
        <v>580.50464556555255</v>
      </c>
      <c r="BN225" s="39">
        <v>0</v>
      </c>
      <c r="BO225" s="39">
        <v>0</v>
      </c>
      <c r="BP225" s="55">
        <v>0</v>
      </c>
      <c r="BQ225" s="77">
        <v>1044.6195899168711</v>
      </c>
      <c r="BR225" s="40">
        <v>711</v>
      </c>
      <c r="BS225" s="55">
        <v>-333.61958991687106</v>
      </c>
      <c r="BT225" s="39">
        <v>3327.5271503856011</v>
      </c>
      <c r="BU225" s="39">
        <v>979.47182457545932</v>
      </c>
      <c r="BV225" s="52">
        <v>-2348.0553258101418</v>
      </c>
      <c r="BW225" s="39">
        <v>1860.8905842438116</v>
      </c>
      <c r="BX225" s="39">
        <v>1628.4327737894664</v>
      </c>
      <c r="BY225" s="52">
        <v>-232.45781045434524</v>
      </c>
      <c r="BZ225" s="39">
        <v>1397.7237132487819</v>
      </c>
      <c r="CA225" s="39">
        <v>4006.6097556895138</v>
      </c>
      <c r="CB225" s="52">
        <v>2608.8860424407321</v>
      </c>
      <c r="CC225" s="39">
        <v>115.64310971975209</v>
      </c>
      <c r="CD225" s="39">
        <v>114.09024057806168</v>
      </c>
      <c r="CE225" s="52">
        <v>-1.5528691416904081</v>
      </c>
      <c r="CF225" s="39">
        <v>14.236367673833119</v>
      </c>
      <c r="CG225" s="39">
        <v>0</v>
      </c>
      <c r="CH225" s="52">
        <v>-14.236367673833119</v>
      </c>
      <c r="CI225" s="39">
        <v>801.73399508972977</v>
      </c>
      <c r="CJ225" s="39">
        <v>784.99993984355478</v>
      </c>
      <c r="CK225" s="52">
        <v>-16.734055246174989</v>
      </c>
      <c r="CL225" s="39">
        <v>0</v>
      </c>
      <c r="CM225" s="39">
        <v>0</v>
      </c>
      <c r="CN225" s="52">
        <v>0</v>
      </c>
      <c r="CO225" s="39">
        <v>801.73399508972977</v>
      </c>
      <c r="CP225" s="40">
        <v>784.99993984355478</v>
      </c>
      <c r="CQ225" s="52">
        <v>-16.734055246174989</v>
      </c>
      <c r="CR225" s="72">
        <v>20193.181546126289</v>
      </c>
      <c r="CS225" s="5">
        <v>16783.03233718521</v>
      </c>
      <c r="CT225" s="52">
        <v>-3410.1492089410785</v>
      </c>
      <c r="CU225" s="77">
        <v>24231.817855351546</v>
      </c>
      <c r="CV225" s="65">
        <v>20139.638804622253</v>
      </c>
      <c r="CW225" s="35">
        <v>-4092.1790507292935</v>
      </c>
      <c r="CX225" s="39">
        <v>484.63635710703096</v>
      </c>
      <c r="CY225" s="39">
        <v>4576.8154078363286</v>
      </c>
      <c r="CZ225" s="52">
        <v>4092.1790507292976</v>
      </c>
      <c r="DA225" s="150">
        <v>48300.416053786452</v>
      </c>
      <c r="DB225" s="2">
        <v>2</v>
      </c>
      <c r="DC225" s="713">
        <v>33907.46</v>
      </c>
      <c r="DD225" s="714">
        <v>8019.82</v>
      </c>
      <c r="DE225" s="715">
        <v>22430.38062886761</v>
      </c>
      <c r="DF225" s="716">
        <v>7138.6722649030989</v>
      </c>
      <c r="DG225" s="717">
        <v>-7005.9873227057087</v>
      </c>
      <c r="DH225" s="718">
        <v>117022.16207038982</v>
      </c>
      <c r="DI225" s="718">
        <v>296597.45054950297</v>
      </c>
      <c r="DJ225" s="693">
        <v>251703.62842972469</v>
      </c>
      <c r="DK225" s="724"/>
      <c r="DL225" s="5"/>
      <c r="DM225" s="306">
        <v>4.6448983654265206</v>
      </c>
      <c r="DN225" s="306"/>
      <c r="DO225" s="306">
        <v>4.1839873461391299</v>
      </c>
      <c r="DP225" s="719">
        <v>11477.079371132389</v>
      </c>
      <c r="DQ225" s="720">
        <v>881.14773509690076</v>
      </c>
      <c r="DR225" s="650">
        <v>12358.227106229289</v>
      </c>
      <c r="DS225" s="94">
        <v>12358.227106229289</v>
      </c>
      <c r="DT225" s="719">
        <v>11477.12</v>
      </c>
      <c r="DU225" s="725">
        <v>881.14</v>
      </c>
      <c r="DV225" s="93">
        <v>12358.26</v>
      </c>
      <c r="DW225" s="95">
        <v>12406.690741939992</v>
      </c>
      <c r="DX225" s="28">
        <v>-48.430741939992004</v>
      </c>
      <c r="EA225" s="5">
        <v>7343.6705696088611</v>
      </c>
      <c r="EB225" s="5">
        <v>1321.2</v>
      </c>
      <c r="EE225" s="722">
        <v>60901.270617086164</v>
      </c>
      <c r="EG225" s="42" t="s">
        <v>273</v>
      </c>
    </row>
    <row r="226" spans="1:137" x14ac:dyDescent="0.3">
      <c r="A226" s="325">
        <v>150001040</v>
      </c>
      <c r="B226" s="41" t="s">
        <v>696</v>
      </c>
      <c r="C226" s="42" t="s">
        <v>217</v>
      </c>
      <c r="D226" s="27">
        <v>4</v>
      </c>
      <c r="E226" s="709">
        <v>2483.1999999999998</v>
      </c>
      <c r="F226" s="723">
        <v>2013</v>
      </c>
      <c r="G226" s="28"/>
      <c r="H226" s="651">
        <v>470.2</v>
      </c>
      <c r="I226" s="39">
        <v>1490.3154577269845</v>
      </c>
      <c r="J226" s="39">
        <v>1597.2977593313067</v>
      </c>
      <c r="K226" s="52">
        <v>106.98230160432217</v>
      </c>
      <c r="L226" s="39">
        <v>379.73388389750988</v>
      </c>
      <c r="M226" s="39">
        <v>412.5999241102769</v>
      </c>
      <c r="N226" s="52">
        <v>32.866040212767018</v>
      </c>
      <c r="O226" s="39">
        <v>568.74</v>
      </c>
      <c r="P226" s="39">
        <v>568.74</v>
      </c>
      <c r="Q226" s="52">
        <v>0</v>
      </c>
      <c r="R226" s="39">
        <v>0</v>
      </c>
      <c r="S226" s="39">
        <v>0</v>
      </c>
      <c r="T226" s="52">
        <v>0</v>
      </c>
      <c r="U226" s="39">
        <v>0</v>
      </c>
      <c r="V226" s="39">
        <v>0</v>
      </c>
      <c r="W226" s="52">
        <v>0</v>
      </c>
      <c r="X226" s="39">
        <v>1543.8325580368994</v>
      </c>
      <c r="Y226" s="39">
        <v>978.09500280592601</v>
      </c>
      <c r="Z226" s="52">
        <v>-565.73755523097338</v>
      </c>
      <c r="AA226" s="39">
        <v>0</v>
      </c>
      <c r="AB226" s="39">
        <v>0</v>
      </c>
      <c r="AC226" s="52">
        <v>0</v>
      </c>
      <c r="AD226" s="39">
        <v>1769.6241438753723</v>
      </c>
      <c r="AE226" s="39">
        <v>1484.920556406001</v>
      </c>
      <c r="AF226" s="35">
        <v>-284.70358746937131</v>
      </c>
      <c r="AG226" s="77">
        <v>5752.2460435367657</v>
      </c>
      <c r="AH226" s="53">
        <v>5041.6532426535105</v>
      </c>
      <c r="AI226" s="52">
        <v>-710.59280088325522</v>
      </c>
      <c r="AJ226" s="39">
        <v>0</v>
      </c>
      <c r="AK226" s="39">
        <v>0</v>
      </c>
      <c r="AL226" s="52">
        <v>0</v>
      </c>
      <c r="AM226" s="39">
        <v>0</v>
      </c>
      <c r="AN226" s="39">
        <v>0</v>
      </c>
      <c r="AO226" s="52">
        <v>0</v>
      </c>
      <c r="AP226" s="39">
        <v>781.28955538726109</v>
      </c>
      <c r="AQ226" s="39">
        <v>140.01201413652439</v>
      </c>
      <c r="AR226" s="52">
        <v>-641.2775412507367</v>
      </c>
      <c r="AS226" s="39">
        <v>6894.6143675661087</v>
      </c>
      <c r="AT226" s="39">
        <v>6694</v>
      </c>
      <c r="AU226" s="54">
        <v>-200.61436756610874</v>
      </c>
      <c r="AV226" s="39">
        <v>268.63508955986697</v>
      </c>
      <c r="AW226" s="39">
        <v>0</v>
      </c>
      <c r="AX226" s="55">
        <v>-268.63508955986697</v>
      </c>
      <c r="AY226" s="39">
        <v>489.43497576070069</v>
      </c>
      <c r="AZ226" s="39">
        <v>0</v>
      </c>
      <c r="BA226" s="35">
        <v>-489.43497576070069</v>
      </c>
      <c r="BB226" s="39">
        <v>246.53671761751028</v>
      </c>
      <c r="BC226" s="39">
        <v>0</v>
      </c>
      <c r="BD226" s="55">
        <v>-246.53671761751028</v>
      </c>
      <c r="BE226" s="39">
        <v>0</v>
      </c>
      <c r="BF226" s="39">
        <v>0</v>
      </c>
      <c r="BG226" s="38">
        <v>0</v>
      </c>
      <c r="BH226" s="39">
        <v>0</v>
      </c>
      <c r="BI226" s="39">
        <v>0</v>
      </c>
      <c r="BJ226" s="55">
        <v>0</v>
      </c>
      <c r="BK226" s="39">
        <v>222.83021985135576</v>
      </c>
      <c r="BL226" s="39">
        <v>0</v>
      </c>
      <c r="BM226" s="38">
        <v>-222.83021985135576</v>
      </c>
      <c r="BN226" s="39">
        <v>0</v>
      </c>
      <c r="BO226" s="39">
        <v>0</v>
      </c>
      <c r="BP226" s="55">
        <v>0</v>
      </c>
      <c r="BQ226" s="77">
        <v>1227.4370027894338</v>
      </c>
      <c r="BR226" s="40">
        <v>0</v>
      </c>
      <c r="BS226" s="55">
        <v>-1227.4370027894338</v>
      </c>
      <c r="BT226" s="39">
        <v>2539.3847630448886</v>
      </c>
      <c r="BU226" s="39">
        <v>319.20027634430448</v>
      </c>
      <c r="BV226" s="52">
        <v>-2220.1844867005839</v>
      </c>
      <c r="BW226" s="39">
        <v>2803.8522920308114</v>
      </c>
      <c r="BX226" s="39">
        <v>1194.1793607127038</v>
      </c>
      <c r="BY226" s="52">
        <v>-1609.6729313181077</v>
      </c>
      <c r="BZ226" s="39">
        <v>755.70209602084947</v>
      </c>
      <c r="CA226" s="39">
        <v>1363.4227054186545</v>
      </c>
      <c r="CB226" s="52">
        <v>607.72060939780499</v>
      </c>
      <c r="CC226" s="39">
        <v>144.23279246182901</v>
      </c>
      <c r="CD226" s="39">
        <v>142.2960177315698</v>
      </c>
      <c r="CE226" s="52">
        <v>-1.9367747302592022</v>
      </c>
      <c r="CF226" s="39">
        <v>17.755930890187283</v>
      </c>
      <c r="CG226" s="39">
        <v>0</v>
      </c>
      <c r="CH226" s="52">
        <v>-17.755930890187283</v>
      </c>
      <c r="CI226" s="39">
        <v>795.49482003066578</v>
      </c>
      <c r="CJ226" s="39">
        <v>1003.6392467863725</v>
      </c>
      <c r="CK226" s="52">
        <v>208.14442675570672</v>
      </c>
      <c r="CL226" s="39">
        <v>0</v>
      </c>
      <c r="CM226" s="39">
        <v>0</v>
      </c>
      <c r="CN226" s="52">
        <v>0</v>
      </c>
      <c r="CO226" s="39">
        <v>795.49482003066578</v>
      </c>
      <c r="CP226" s="40">
        <v>1003.6392467863725</v>
      </c>
      <c r="CQ226" s="52">
        <v>208.14442675570672</v>
      </c>
      <c r="CR226" s="72">
        <v>21712.009663758796</v>
      </c>
      <c r="CS226" s="5">
        <v>15898.402863783638</v>
      </c>
      <c r="CT226" s="52">
        <v>-5813.6067999751576</v>
      </c>
      <c r="CU226" s="77">
        <v>26054.411596510556</v>
      </c>
      <c r="CV226" s="65">
        <v>19078.083436540364</v>
      </c>
      <c r="CW226" s="35">
        <v>-6976.3281599701913</v>
      </c>
      <c r="CX226" s="39">
        <v>260.54411596510556</v>
      </c>
      <c r="CY226" s="39">
        <v>7236.8722759352922</v>
      </c>
      <c r="CZ226" s="52">
        <v>6976.3281599701868</v>
      </c>
      <c r="DA226" s="150">
        <v>75158.775248131307</v>
      </c>
      <c r="DB226" s="2">
        <v>2</v>
      </c>
      <c r="DC226" s="713">
        <v>13729.03</v>
      </c>
      <c r="DD226" s="714">
        <v>1086.27</v>
      </c>
      <c r="DE226" s="715">
        <v>2741.2175155763671</v>
      </c>
      <c r="DF226" s="716">
        <v>-1083.3953718141993</v>
      </c>
      <c r="DG226" s="717">
        <v>50829.550216587384</v>
      </c>
      <c r="DH226" s="718">
        <v>125541.30050823091</v>
      </c>
      <c r="DI226" s="718">
        <v>315779.4685497079</v>
      </c>
      <c r="DJ226" s="693">
        <v>268219.92653933866</v>
      </c>
      <c r="DK226" s="724"/>
      <c r="DL226" s="5"/>
      <c r="DM226" s="306">
        <v>5.4584264701558043</v>
      </c>
      <c r="DN226" s="306"/>
      <c r="DO226" s="306">
        <v>4.6143457503492114</v>
      </c>
      <c r="DP226" s="719">
        <v>10987.812484423634</v>
      </c>
      <c r="DQ226" s="720">
        <v>2169.6653718141993</v>
      </c>
      <c r="DR226" s="650">
        <v>13157.477856237832</v>
      </c>
      <c r="DS226" s="94">
        <v>13157.477856237829</v>
      </c>
      <c r="DT226" s="719">
        <v>10987.77</v>
      </c>
      <c r="DU226" s="725">
        <v>2169.75</v>
      </c>
      <c r="DV226" s="93">
        <v>13157.52</v>
      </c>
      <c r="DW226" s="95">
        <v>13183.53226783434</v>
      </c>
      <c r="DX226" s="28">
        <v>-26.012267834339582</v>
      </c>
      <c r="EA226" s="5">
        <v>9746.4616444266503</v>
      </c>
      <c r="EB226" s="5">
        <v>8032.7999999999993</v>
      </c>
      <c r="EE226" s="722">
        <v>82735.372410793309</v>
      </c>
      <c r="EG226" s="42" t="s">
        <v>217</v>
      </c>
    </row>
    <row r="227" spans="1:137" x14ac:dyDescent="0.3">
      <c r="A227" s="325">
        <v>150001047</v>
      </c>
      <c r="B227" s="41" t="s">
        <v>697</v>
      </c>
      <c r="C227" s="42" t="s">
        <v>180</v>
      </c>
      <c r="D227" s="27">
        <v>2</v>
      </c>
      <c r="E227" s="709">
        <v>762.81000000000006</v>
      </c>
      <c r="F227" s="723">
        <v>635.11</v>
      </c>
      <c r="G227" s="28"/>
      <c r="H227" s="651">
        <v>127.7</v>
      </c>
      <c r="I227" s="39">
        <v>414.24396484887802</v>
      </c>
      <c r="J227" s="39">
        <v>441.58061548263254</v>
      </c>
      <c r="K227" s="52">
        <v>27.336650633754516</v>
      </c>
      <c r="L227" s="39">
        <v>70.76838694021346</v>
      </c>
      <c r="M227" s="39">
        <v>76.893622220551592</v>
      </c>
      <c r="N227" s="52">
        <v>6.1252352803381314</v>
      </c>
      <c r="O227" s="39">
        <v>188.68</v>
      </c>
      <c r="P227" s="39">
        <v>188.68</v>
      </c>
      <c r="Q227" s="52">
        <v>0</v>
      </c>
      <c r="R227" s="39">
        <v>0</v>
      </c>
      <c r="S227" s="39">
        <v>0</v>
      </c>
      <c r="T227" s="52">
        <v>0</v>
      </c>
      <c r="U227" s="39">
        <v>0</v>
      </c>
      <c r="V227" s="39">
        <v>0</v>
      </c>
      <c r="W227" s="52">
        <v>0</v>
      </c>
      <c r="X227" s="39">
        <v>198.89135680411229</v>
      </c>
      <c r="Y227" s="39">
        <v>118.81798208604542</v>
      </c>
      <c r="Z227" s="52">
        <v>-80.073374718066873</v>
      </c>
      <c r="AA227" s="39">
        <v>0</v>
      </c>
      <c r="AB227" s="39">
        <v>0</v>
      </c>
      <c r="AC227" s="52">
        <v>0</v>
      </c>
      <c r="AD227" s="39">
        <v>543.60784197389376</v>
      </c>
      <c r="AE227" s="39">
        <v>456.15022939435477</v>
      </c>
      <c r="AF227" s="35">
        <v>-87.457612579538988</v>
      </c>
      <c r="AG227" s="77">
        <v>1416.1915505670977</v>
      </c>
      <c r="AH227" s="53">
        <v>1282.1224491835844</v>
      </c>
      <c r="AI227" s="52">
        <v>-134.06910138351327</v>
      </c>
      <c r="AJ227" s="39">
        <v>0</v>
      </c>
      <c r="AK227" s="39">
        <v>0</v>
      </c>
      <c r="AL227" s="52">
        <v>0</v>
      </c>
      <c r="AM227" s="39">
        <v>0</v>
      </c>
      <c r="AN227" s="39">
        <v>0</v>
      </c>
      <c r="AO227" s="52">
        <v>0</v>
      </c>
      <c r="AP227" s="39">
        <v>7.8918136907804142</v>
      </c>
      <c r="AQ227" s="39">
        <v>0</v>
      </c>
      <c r="AR227" s="52">
        <v>-7.8918136907804142</v>
      </c>
      <c r="AS227" s="39">
        <v>1645.8035773027812</v>
      </c>
      <c r="AT227" s="39">
        <v>130</v>
      </c>
      <c r="AU227" s="54">
        <v>-1515.8035773027812</v>
      </c>
      <c r="AV227" s="39">
        <v>82.667714407915298</v>
      </c>
      <c r="AW227" s="39">
        <v>0</v>
      </c>
      <c r="AX227" s="55">
        <v>-82.667714407915298</v>
      </c>
      <c r="AY227" s="39">
        <v>91.180310614088697</v>
      </c>
      <c r="AZ227" s="39">
        <v>0</v>
      </c>
      <c r="BA227" s="35">
        <v>-91.180310614088697</v>
      </c>
      <c r="BB227" s="39">
        <v>83.006215262450169</v>
      </c>
      <c r="BC227" s="39">
        <v>0</v>
      </c>
      <c r="BD227" s="55">
        <v>-83.006215262450169</v>
      </c>
      <c r="BE227" s="39">
        <v>0</v>
      </c>
      <c r="BF227" s="39">
        <v>0</v>
      </c>
      <c r="BG227" s="38">
        <v>0</v>
      </c>
      <c r="BH227" s="39">
        <v>0</v>
      </c>
      <c r="BI227" s="39">
        <v>0</v>
      </c>
      <c r="BJ227" s="55">
        <v>0</v>
      </c>
      <c r="BK227" s="39">
        <v>14.381053614686898</v>
      </c>
      <c r="BL227" s="39">
        <v>0</v>
      </c>
      <c r="BM227" s="38">
        <v>-14.381053614686898</v>
      </c>
      <c r="BN227" s="39">
        <v>0</v>
      </c>
      <c r="BO227" s="39">
        <v>0</v>
      </c>
      <c r="BP227" s="55">
        <v>0</v>
      </c>
      <c r="BQ227" s="77">
        <v>271.23529389914103</v>
      </c>
      <c r="BR227" s="40">
        <v>0</v>
      </c>
      <c r="BS227" s="55">
        <v>-271.23529389914103</v>
      </c>
      <c r="BT227" s="39">
        <v>733.40400365136895</v>
      </c>
      <c r="BU227" s="39">
        <v>115.70888000642978</v>
      </c>
      <c r="BV227" s="52">
        <v>-617.69512364493914</v>
      </c>
      <c r="BW227" s="39">
        <v>34.337932823633373</v>
      </c>
      <c r="BX227" s="39">
        <v>56.998655014343178</v>
      </c>
      <c r="BY227" s="52">
        <v>22.660722190709805</v>
      </c>
      <c r="BZ227" s="39">
        <v>316.54808339732688</v>
      </c>
      <c r="CA227" s="39">
        <v>551.44692665550622</v>
      </c>
      <c r="CB227" s="52">
        <v>234.89884325817934</v>
      </c>
      <c r="CC227" s="39">
        <v>0</v>
      </c>
      <c r="CD227" s="39">
        <v>0</v>
      </c>
      <c r="CE227" s="52">
        <v>0</v>
      </c>
      <c r="CF227" s="39">
        <v>0</v>
      </c>
      <c r="CG227" s="39">
        <v>0</v>
      </c>
      <c r="CH227" s="52">
        <v>0</v>
      </c>
      <c r="CI227" s="39">
        <v>1182.3236736926367</v>
      </c>
      <c r="CJ227" s="39">
        <v>3219.7309239289029</v>
      </c>
      <c r="CK227" s="52">
        <v>2037.4072502362662</v>
      </c>
      <c r="CL227" s="39">
        <v>0</v>
      </c>
      <c r="CM227" s="39">
        <v>0</v>
      </c>
      <c r="CN227" s="52">
        <v>0</v>
      </c>
      <c r="CO227" s="39">
        <v>1182.3236736926367</v>
      </c>
      <c r="CP227" s="40">
        <v>3219.7309239289029</v>
      </c>
      <c r="CQ227" s="52">
        <v>2037.4072502362662</v>
      </c>
      <c r="CR227" s="72">
        <v>5607.7359290247668</v>
      </c>
      <c r="CS227" s="5">
        <v>5356.0078347887666</v>
      </c>
      <c r="CT227" s="52">
        <v>-251.72809423600029</v>
      </c>
      <c r="CU227" s="77">
        <v>6729.28311482972</v>
      </c>
      <c r="CV227" s="65">
        <v>6427.2094017465197</v>
      </c>
      <c r="CW227" s="35">
        <v>-302.07371308320035</v>
      </c>
      <c r="CX227" s="39">
        <v>67.292831148297196</v>
      </c>
      <c r="CY227" s="39">
        <v>369.3665442314973</v>
      </c>
      <c r="CZ227" s="52">
        <v>302.07371308320012</v>
      </c>
      <c r="DA227" s="150">
        <v>9957.1217806537861</v>
      </c>
      <c r="DB227" s="2">
        <v>2</v>
      </c>
      <c r="DC227" s="713">
        <v>12162.12</v>
      </c>
      <c r="DD227" s="714">
        <v>1008.03</v>
      </c>
      <c r="DE227" s="715">
        <v>9329.2468642753447</v>
      </c>
      <c r="DF227" s="716">
        <v>442.61516273564825</v>
      </c>
      <c r="DG227" s="717">
        <v>34127.542691991577</v>
      </c>
      <c r="DH227" s="718">
        <v>32468.238440608817</v>
      </c>
      <c r="DI227" s="718">
        <v>81558.911351736213</v>
      </c>
      <c r="DJ227" s="693">
        <v>69286.243123954366</v>
      </c>
      <c r="DK227" s="724"/>
      <c r="DL227" s="5"/>
      <c r="DM227" s="306">
        <v>4.4604448610865148</v>
      </c>
      <c r="DN227" s="306"/>
      <c r="DO227" s="306">
        <v>4.4276807929863091</v>
      </c>
      <c r="DP227" s="719">
        <v>2832.8731357246565</v>
      </c>
      <c r="DQ227" s="720">
        <v>565.41483726435172</v>
      </c>
      <c r="DR227" s="650">
        <v>3398.2879729890083</v>
      </c>
      <c r="DS227" s="94">
        <v>3398.2879729890092</v>
      </c>
      <c r="DT227" s="719">
        <v>4357.74</v>
      </c>
      <c r="DU227" s="725">
        <v>565.41999999999996</v>
      </c>
      <c r="DV227" s="93">
        <v>4923.16</v>
      </c>
      <c r="DW227" s="95">
        <v>3405.0172561038385</v>
      </c>
      <c r="DX227" s="28">
        <v>1518.1427438961614</v>
      </c>
      <c r="EA227" s="5">
        <v>2300.4466454423064</v>
      </c>
      <c r="EB227" s="5">
        <v>156</v>
      </c>
      <c r="EE227" s="722">
        <v>19749.642927633373</v>
      </c>
      <c r="EG227" s="42" t="s">
        <v>180</v>
      </c>
    </row>
    <row r="228" spans="1:137" x14ac:dyDescent="0.3">
      <c r="A228" s="325">
        <v>150001048</v>
      </c>
      <c r="B228" s="41" t="s">
        <v>698</v>
      </c>
      <c r="C228" s="42" t="s">
        <v>126</v>
      </c>
      <c r="D228" s="27">
        <v>1</v>
      </c>
      <c r="E228" s="709">
        <v>63</v>
      </c>
      <c r="F228" s="723">
        <v>63</v>
      </c>
      <c r="G228" s="28"/>
      <c r="H228" s="651">
        <v>0</v>
      </c>
      <c r="I228" s="39">
        <v>0</v>
      </c>
      <c r="J228" s="39">
        <v>0</v>
      </c>
      <c r="K228" s="52">
        <v>0</v>
      </c>
      <c r="L228" s="39">
        <v>0</v>
      </c>
      <c r="M228" s="39">
        <v>0</v>
      </c>
      <c r="N228" s="52">
        <v>0</v>
      </c>
      <c r="O228" s="39">
        <v>0</v>
      </c>
      <c r="P228" s="39">
        <v>0</v>
      </c>
      <c r="Q228" s="52">
        <v>0</v>
      </c>
      <c r="R228" s="39">
        <v>0</v>
      </c>
      <c r="S228" s="39">
        <v>0</v>
      </c>
      <c r="T228" s="52">
        <v>0</v>
      </c>
      <c r="U228" s="39">
        <v>0</v>
      </c>
      <c r="V228" s="39">
        <v>0</v>
      </c>
      <c r="W228" s="52">
        <v>0</v>
      </c>
      <c r="X228" s="39">
        <v>0</v>
      </c>
      <c r="Y228" s="39">
        <v>0</v>
      </c>
      <c r="Z228" s="52">
        <v>0</v>
      </c>
      <c r="AA228" s="39">
        <v>0</v>
      </c>
      <c r="AB228" s="39">
        <v>0</v>
      </c>
      <c r="AC228" s="52">
        <v>0</v>
      </c>
      <c r="AD228" s="39">
        <v>0</v>
      </c>
      <c r="AE228" s="39">
        <v>37.673161667839111</v>
      </c>
      <c r="AF228" s="35">
        <v>37.673161667839111</v>
      </c>
      <c r="AG228" s="77">
        <v>0</v>
      </c>
      <c r="AH228" s="53">
        <v>37.673161667839111</v>
      </c>
      <c r="AI228" s="52">
        <v>37.673161667839111</v>
      </c>
      <c r="AJ228" s="39">
        <v>0</v>
      </c>
      <c r="AK228" s="39">
        <v>0</v>
      </c>
      <c r="AL228" s="52">
        <v>0</v>
      </c>
      <c r="AM228" s="39">
        <v>0</v>
      </c>
      <c r="AN228" s="39">
        <v>0</v>
      </c>
      <c r="AO228" s="52">
        <v>0</v>
      </c>
      <c r="AP228" s="39">
        <v>47.350882144682487</v>
      </c>
      <c r="AQ228" s="39">
        <v>0</v>
      </c>
      <c r="AR228" s="52">
        <v>-47.350882144682487</v>
      </c>
      <c r="AS228" s="39">
        <v>188.58160580956394</v>
      </c>
      <c r="AT228" s="39">
        <v>0</v>
      </c>
      <c r="AU228" s="54">
        <v>-188.58160580956394</v>
      </c>
      <c r="AV228" s="39">
        <v>0</v>
      </c>
      <c r="AW228" s="39">
        <v>0</v>
      </c>
      <c r="AX228" s="55">
        <v>0</v>
      </c>
      <c r="AY228" s="39">
        <v>0</v>
      </c>
      <c r="AZ228" s="39">
        <v>0</v>
      </c>
      <c r="BA228" s="35">
        <v>0</v>
      </c>
      <c r="BB228" s="39">
        <v>0</v>
      </c>
      <c r="BC228" s="39">
        <v>0</v>
      </c>
      <c r="BD228" s="55">
        <v>0</v>
      </c>
      <c r="BE228" s="39">
        <v>0</v>
      </c>
      <c r="BF228" s="39">
        <v>0</v>
      </c>
      <c r="BG228" s="38">
        <v>0</v>
      </c>
      <c r="BH228" s="39">
        <v>0</v>
      </c>
      <c r="BI228" s="39">
        <v>0</v>
      </c>
      <c r="BJ228" s="55">
        <v>0</v>
      </c>
      <c r="BK228" s="39">
        <v>0</v>
      </c>
      <c r="BL228" s="39">
        <v>0</v>
      </c>
      <c r="BM228" s="38">
        <v>0</v>
      </c>
      <c r="BN228" s="39">
        <v>0</v>
      </c>
      <c r="BO228" s="39">
        <v>0</v>
      </c>
      <c r="BP228" s="55">
        <v>0</v>
      </c>
      <c r="BQ228" s="77">
        <v>0</v>
      </c>
      <c r="BR228" s="40">
        <v>0</v>
      </c>
      <c r="BS228" s="55">
        <v>0</v>
      </c>
      <c r="BT228" s="39">
        <v>0</v>
      </c>
      <c r="BU228" s="39">
        <v>0</v>
      </c>
      <c r="BV228" s="52">
        <v>0</v>
      </c>
      <c r="BW228" s="39">
        <v>0</v>
      </c>
      <c r="BX228" s="39">
        <v>0.25501836959866464</v>
      </c>
      <c r="BY228" s="52">
        <v>0.25501836959866464</v>
      </c>
      <c r="BZ228" s="39">
        <v>0</v>
      </c>
      <c r="CA228" s="39">
        <v>0</v>
      </c>
      <c r="CB228" s="52">
        <v>0</v>
      </c>
      <c r="CC228" s="39">
        <v>0</v>
      </c>
      <c r="CD228" s="39">
        <v>0</v>
      </c>
      <c r="CE228" s="52">
        <v>0</v>
      </c>
      <c r="CF228" s="39">
        <v>0</v>
      </c>
      <c r="CG228" s="39">
        <v>0</v>
      </c>
      <c r="CH228" s="52">
        <v>0</v>
      </c>
      <c r="CI228" s="39">
        <v>0</v>
      </c>
      <c r="CJ228" s="39">
        <v>0</v>
      </c>
      <c r="CK228" s="52">
        <v>0</v>
      </c>
      <c r="CL228" s="39">
        <v>0</v>
      </c>
      <c r="CM228" s="39">
        <v>0</v>
      </c>
      <c r="CN228" s="52">
        <v>0</v>
      </c>
      <c r="CO228" s="39">
        <v>0</v>
      </c>
      <c r="CP228" s="40">
        <v>0</v>
      </c>
      <c r="CQ228" s="52">
        <v>0</v>
      </c>
      <c r="CR228" s="72">
        <v>235.93248795424643</v>
      </c>
      <c r="CS228" s="5">
        <v>37.928180037437777</v>
      </c>
      <c r="CT228" s="52">
        <v>-198.00430791680864</v>
      </c>
      <c r="CU228" s="77">
        <v>283.11898554509571</v>
      </c>
      <c r="CV228" s="65">
        <v>45.513816044925328</v>
      </c>
      <c r="CW228" s="35">
        <v>-237.60516950017038</v>
      </c>
      <c r="CX228" s="39">
        <v>0</v>
      </c>
      <c r="CY228" s="39">
        <v>237.6051695001704</v>
      </c>
      <c r="CZ228" s="52">
        <v>237.6051695001704</v>
      </c>
      <c r="DA228" s="150">
        <v>-2780.2082956965705</v>
      </c>
      <c r="DB228" s="2">
        <v>2</v>
      </c>
      <c r="DC228" s="713">
        <v>198.17</v>
      </c>
      <c r="DD228" s="714"/>
      <c r="DE228" s="715">
        <v>56.610507227452132</v>
      </c>
      <c r="DF228" s="716">
        <v>0</v>
      </c>
      <c r="DG228" s="717">
        <v>-1619.8985893769766</v>
      </c>
      <c r="DH228" s="718">
        <v>1360.8416039367803</v>
      </c>
      <c r="DI228" s="718">
        <v>3397.4278265411485</v>
      </c>
      <c r="DJ228" s="693">
        <v>2888.2812708900565</v>
      </c>
      <c r="DK228" s="724"/>
      <c r="DL228" s="5"/>
      <c r="DM228" s="306">
        <v>2.2469760757547279</v>
      </c>
      <c r="DN228" s="306"/>
      <c r="DO228" s="306">
        <v>2.2469760757547279</v>
      </c>
      <c r="DP228" s="719">
        <v>141.55949277254786</v>
      </c>
      <c r="DQ228" s="720">
        <v>0</v>
      </c>
      <c r="DR228" s="650">
        <v>141.55949277254786</v>
      </c>
      <c r="DS228" s="94">
        <v>141.55949277254786</v>
      </c>
      <c r="DT228" s="719">
        <v>141.55000000000001</v>
      </c>
      <c r="DU228" s="721"/>
      <c r="DV228" s="93">
        <v>141.55000000000001</v>
      </c>
      <c r="DW228" s="95">
        <v>141.55949277254786</v>
      </c>
      <c r="DX228" s="28">
        <v>-9.4927725478441971E-3</v>
      </c>
      <c r="EA228" s="5">
        <v>226.29792697147673</v>
      </c>
      <c r="EB228" s="5">
        <v>0</v>
      </c>
      <c r="EE228" s="722">
        <v>2262.9792697147673</v>
      </c>
      <c r="EG228" s="42" t="s">
        <v>126</v>
      </c>
    </row>
    <row r="229" spans="1:137" x14ac:dyDescent="0.3">
      <c r="A229" s="325">
        <v>150001049</v>
      </c>
      <c r="B229" s="41" t="s">
        <v>699</v>
      </c>
      <c r="C229" s="42" t="s">
        <v>181</v>
      </c>
      <c r="D229" s="27">
        <v>2</v>
      </c>
      <c r="E229" s="709">
        <v>253.7</v>
      </c>
      <c r="F229" s="723">
        <v>253.7</v>
      </c>
      <c r="G229" s="28"/>
      <c r="H229" s="651">
        <v>0</v>
      </c>
      <c r="I229" s="39">
        <v>116.37927869235573</v>
      </c>
      <c r="J229" s="39">
        <v>124.2558341375066</v>
      </c>
      <c r="K229" s="52">
        <v>7.8765554451508706</v>
      </c>
      <c r="L229" s="39">
        <v>38.7130183256781</v>
      </c>
      <c r="M229" s="39">
        <v>42.063758496956794</v>
      </c>
      <c r="N229" s="52">
        <v>3.3507401712786944</v>
      </c>
      <c r="O229" s="39">
        <v>0</v>
      </c>
      <c r="P229" s="39">
        <v>0</v>
      </c>
      <c r="Q229" s="52">
        <v>0</v>
      </c>
      <c r="R229" s="39">
        <v>0</v>
      </c>
      <c r="S229" s="39">
        <v>0</v>
      </c>
      <c r="T229" s="52">
        <v>0</v>
      </c>
      <c r="U229" s="39">
        <v>0</v>
      </c>
      <c r="V229" s="39">
        <v>0</v>
      </c>
      <c r="W229" s="52">
        <v>0</v>
      </c>
      <c r="X229" s="39">
        <v>62.594311045124996</v>
      </c>
      <c r="Y229" s="39">
        <v>35.802933572921283</v>
      </c>
      <c r="Z229" s="52">
        <v>-26.791377472203713</v>
      </c>
      <c r="AA229" s="39">
        <v>0</v>
      </c>
      <c r="AB229" s="39">
        <v>0</v>
      </c>
      <c r="AC229" s="52">
        <v>0</v>
      </c>
      <c r="AD229" s="39">
        <v>180.7964099956435</v>
      </c>
      <c r="AE229" s="39">
        <v>151.70922404969494</v>
      </c>
      <c r="AF229" s="35">
        <v>-29.087185945948562</v>
      </c>
      <c r="AG229" s="77">
        <v>398.48301805880232</v>
      </c>
      <c r="AH229" s="53">
        <v>353.83175025707965</v>
      </c>
      <c r="AI229" s="52">
        <v>-44.651267801722668</v>
      </c>
      <c r="AJ229" s="39">
        <v>0</v>
      </c>
      <c r="AK229" s="39">
        <v>0</v>
      </c>
      <c r="AL229" s="52">
        <v>0</v>
      </c>
      <c r="AM229" s="39">
        <v>0</v>
      </c>
      <c r="AN229" s="39">
        <v>0</v>
      </c>
      <c r="AO229" s="52">
        <v>0</v>
      </c>
      <c r="AP229" s="39">
        <v>63.134509526243313</v>
      </c>
      <c r="AQ229" s="39">
        <v>0</v>
      </c>
      <c r="AR229" s="52">
        <v>-63.134509526243313</v>
      </c>
      <c r="AS229" s="39">
        <v>600.36541364669756</v>
      </c>
      <c r="AT229" s="39">
        <v>130</v>
      </c>
      <c r="AU229" s="54">
        <v>-470.36541364669756</v>
      </c>
      <c r="AV229" s="39">
        <v>42.947547082987398</v>
      </c>
      <c r="AW229" s="39">
        <v>0</v>
      </c>
      <c r="AX229" s="55">
        <v>-42.947547082987398</v>
      </c>
      <c r="AY229" s="39">
        <v>49.86802425262438</v>
      </c>
      <c r="AZ229" s="39">
        <v>0</v>
      </c>
      <c r="BA229" s="35">
        <v>-49.86802425262438</v>
      </c>
      <c r="BB229" s="39">
        <v>0</v>
      </c>
      <c r="BC229" s="39">
        <v>0</v>
      </c>
      <c r="BD229" s="55">
        <v>0</v>
      </c>
      <c r="BE229" s="39">
        <v>0</v>
      </c>
      <c r="BF229" s="39">
        <v>0</v>
      </c>
      <c r="BG229" s="38">
        <v>0</v>
      </c>
      <c r="BH229" s="39">
        <v>0</v>
      </c>
      <c r="BI229" s="39">
        <v>0</v>
      </c>
      <c r="BJ229" s="55">
        <v>0</v>
      </c>
      <c r="BK229" s="39">
        <v>9.8614077016833726</v>
      </c>
      <c r="BL229" s="39">
        <v>0</v>
      </c>
      <c r="BM229" s="38">
        <v>-9.8614077016833726</v>
      </c>
      <c r="BN229" s="39">
        <v>0</v>
      </c>
      <c r="BO229" s="39">
        <v>0</v>
      </c>
      <c r="BP229" s="55">
        <v>0</v>
      </c>
      <c r="BQ229" s="77">
        <v>102.67697903729515</v>
      </c>
      <c r="BR229" s="40">
        <v>0</v>
      </c>
      <c r="BS229" s="55">
        <v>-102.67697903729515</v>
      </c>
      <c r="BT229" s="39">
        <v>455.25419053531419</v>
      </c>
      <c r="BU229" s="39">
        <v>144.10453625918495</v>
      </c>
      <c r="BV229" s="52">
        <v>-311.14965427612924</v>
      </c>
      <c r="BW229" s="39">
        <v>366.40386385111339</v>
      </c>
      <c r="BX229" s="39">
        <v>299.25677146985106</v>
      </c>
      <c r="BY229" s="52">
        <v>-67.147092381262325</v>
      </c>
      <c r="BZ229" s="39">
        <v>253.72516635230215</v>
      </c>
      <c r="CA229" s="39">
        <v>800.97340962451096</v>
      </c>
      <c r="CB229" s="52">
        <v>547.24824327220881</v>
      </c>
      <c r="CC229" s="39">
        <v>0</v>
      </c>
      <c r="CD229" s="39">
        <v>0</v>
      </c>
      <c r="CE229" s="52">
        <v>0</v>
      </c>
      <c r="CF229" s="39">
        <v>0</v>
      </c>
      <c r="CG229" s="39">
        <v>0</v>
      </c>
      <c r="CH229" s="52">
        <v>0</v>
      </c>
      <c r="CI229" s="39">
        <v>180.9360767128573</v>
      </c>
      <c r="CJ229" s="39">
        <v>210.8822040048459</v>
      </c>
      <c r="CK229" s="52">
        <v>29.946127291988603</v>
      </c>
      <c r="CL229" s="39">
        <v>0</v>
      </c>
      <c r="CM229" s="39">
        <v>0</v>
      </c>
      <c r="CN229" s="52">
        <v>0</v>
      </c>
      <c r="CO229" s="39">
        <v>180.9360767128573</v>
      </c>
      <c r="CP229" s="40">
        <v>210.8822040048459</v>
      </c>
      <c r="CQ229" s="52">
        <v>29.946127291988603</v>
      </c>
      <c r="CR229" s="72">
        <v>2420.979217720625</v>
      </c>
      <c r="CS229" s="5">
        <v>1939.0486716154724</v>
      </c>
      <c r="CT229" s="52">
        <v>-481.93054610515264</v>
      </c>
      <c r="CU229" s="77">
        <v>2905.1750612647497</v>
      </c>
      <c r="CV229" s="65">
        <v>2326.8584059385666</v>
      </c>
      <c r="CW229" s="35">
        <v>-578.31665532618308</v>
      </c>
      <c r="CX229" s="39">
        <v>0</v>
      </c>
      <c r="CY229" s="39">
        <v>578.31665532618297</v>
      </c>
      <c r="CZ229" s="52">
        <v>578.31665532618297</v>
      </c>
      <c r="DA229" s="150">
        <v>12349.585433066</v>
      </c>
      <c r="DB229" s="2">
        <v>2</v>
      </c>
      <c r="DC229" s="713">
        <v>2542.63</v>
      </c>
      <c r="DD229" s="714"/>
      <c r="DE229" s="715">
        <v>1090.0424693676255</v>
      </c>
      <c r="DF229" s="716">
        <v>0</v>
      </c>
      <c r="DG229" s="717">
        <v>7730.3728397101495</v>
      </c>
      <c r="DH229" s="718">
        <v>13898.044352131366</v>
      </c>
      <c r="DI229" s="718">
        <v>34862.100735176995</v>
      </c>
      <c r="DJ229" s="693">
        <v>29621.086639415589</v>
      </c>
      <c r="DK229" s="724"/>
      <c r="DL229" s="5"/>
      <c r="DM229" s="306">
        <v>5.7256110785667111</v>
      </c>
      <c r="DN229" s="306"/>
      <c r="DO229" s="306">
        <v>4.859066662679175</v>
      </c>
      <c r="DP229" s="719">
        <v>1452.5875306323746</v>
      </c>
      <c r="DQ229" s="720">
        <v>0</v>
      </c>
      <c r="DR229" s="650">
        <v>1452.5875306323746</v>
      </c>
      <c r="DS229" s="94">
        <v>1452.5875306323751</v>
      </c>
      <c r="DT229" s="719">
        <v>1452.58</v>
      </c>
      <c r="DU229" s="721"/>
      <c r="DV229" s="93">
        <v>1452.58</v>
      </c>
      <c r="DW229" s="95">
        <v>1452.5875306323753</v>
      </c>
      <c r="DX229" s="28">
        <v>-7.5306323753920879E-3</v>
      </c>
      <c r="EA229" s="5">
        <v>843.65087122079126</v>
      </c>
      <c r="EB229" s="5">
        <v>156</v>
      </c>
      <c r="EE229" s="722">
        <v>7204.3849637603707</v>
      </c>
      <c r="EG229" s="42" t="s">
        <v>181</v>
      </c>
    </row>
    <row r="230" spans="1:137" x14ac:dyDescent="0.3">
      <c r="A230" s="325">
        <v>150001041</v>
      </c>
      <c r="B230" s="41" t="s">
        <v>700</v>
      </c>
      <c r="C230" s="42" t="s">
        <v>197</v>
      </c>
      <c r="D230" s="27">
        <v>3</v>
      </c>
      <c r="E230" s="709">
        <v>601.4</v>
      </c>
      <c r="F230" s="723">
        <v>601.4</v>
      </c>
      <c r="G230" s="28"/>
      <c r="H230" s="651">
        <v>0</v>
      </c>
      <c r="I230" s="39">
        <v>410.78558730684119</v>
      </c>
      <c r="J230" s="39">
        <v>439.30999427936268</v>
      </c>
      <c r="K230" s="52">
        <v>28.52440697252149</v>
      </c>
      <c r="L230" s="39">
        <v>61.497067697658665</v>
      </c>
      <c r="M230" s="39">
        <v>66.819753943573403</v>
      </c>
      <c r="N230" s="52">
        <v>5.3226862459147384</v>
      </c>
      <c r="O230" s="39">
        <v>149.82</v>
      </c>
      <c r="P230" s="39">
        <v>149.82</v>
      </c>
      <c r="Q230" s="52">
        <v>0</v>
      </c>
      <c r="R230" s="39">
        <v>0</v>
      </c>
      <c r="S230" s="39">
        <v>0</v>
      </c>
      <c r="T230" s="52">
        <v>0</v>
      </c>
      <c r="U230" s="39">
        <v>0</v>
      </c>
      <c r="V230" s="39">
        <v>0</v>
      </c>
      <c r="W230" s="52">
        <v>0</v>
      </c>
      <c r="X230" s="39">
        <v>214.56978278589349</v>
      </c>
      <c r="Y230" s="39">
        <v>263.40564012543609</v>
      </c>
      <c r="Z230" s="52">
        <v>48.835857339542599</v>
      </c>
      <c r="AA230" s="39">
        <v>0</v>
      </c>
      <c r="AB230" s="39">
        <v>0</v>
      </c>
      <c r="AC230" s="52">
        <v>0</v>
      </c>
      <c r="AD230" s="39">
        <v>428.58084734481673</v>
      </c>
      <c r="AE230" s="39">
        <v>359.62919725457834</v>
      </c>
      <c r="AF230" s="35">
        <v>-68.951650090238388</v>
      </c>
      <c r="AG230" s="77">
        <v>1265.25328513521</v>
      </c>
      <c r="AH230" s="53">
        <v>1278.9845856029506</v>
      </c>
      <c r="AI230" s="52">
        <v>13.731300467740539</v>
      </c>
      <c r="AJ230" s="39">
        <v>0</v>
      </c>
      <c r="AK230" s="39">
        <v>0</v>
      </c>
      <c r="AL230" s="52">
        <v>0</v>
      </c>
      <c r="AM230" s="39">
        <v>0</v>
      </c>
      <c r="AN230" s="39">
        <v>0</v>
      </c>
      <c r="AO230" s="52">
        <v>0</v>
      </c>
      <c r="AP230" s="39">
        <v>284.10529286809492</v>
      </c>
      <c r="AQ230" s="39">
        <v>0</v>
      </c>
      <c r="AR230" s="52">
        <v>-284.10529286809492</v>
      </c>
      <c r="AS230" s="39">
        <v>1376.2265766356456</v>
      </c>
      <c r="AT230" s="39">
        <v>130</v>
      </c>
      <c r="AU230" s="54">
        <v>-1246.2265766356456</v>
      </c>
      <c r="AV230" s="39">
        <v>74.400935727157275</v>
      </c>
      <c r="AW230" s="39">
        <v>0</v>
      </c>
      <c r="AX230" s="55">
        <v>-74.400935727157275</v>
      </c>
      <c r="AY230" s="39">
        <v>79.235345521027114</v>
      </c>
      <c r="AZ230" s="39">
        <v>0</v>
      </c>
      <c r="BA230" s="35">
        <v>-79.235345521027114</v>
      </c>
      <c r="BB230" s="39">
        <v>68.280931052039634</v>
      </c>
      <c r="BC230" s="39">
        <v>0</v>
      </c>
      <c r="BD230" s="55">
        <v>-68.280931052039634</v>
      </c>
      <c r="BE230" s="39">
        <v>0</v>
      </c>
      <c r="BF230" s="39">
        <v>0</v>
      </c>
      <c r="BG230" s="38">
        <v>0</v>
      </c>
      <c r="BH230" s="39">
        <v>0</v>
      </c>
      <c r="BI230" s="39">
        <v>0</v>
      </c>
      <c r="BJ230" s="55">
        <v>0</v>
      </c>
      <c r="BK230" s="39">
        <v>14.743558598792214</v>
      </c>
      <c r="BL230" s="39">
        <v>0</v>
      </c>
      <c r="BM230" s="38">
        <v>-14.743558598792214</v>
      </c>
      <c r="BN230" s="39">
        <v>0</v>
      </c>
      <c r="BO230" s="39">
        <v>0</v>
      </c>
      <c r="BP230" s="55">
        <v>0</v>
      </c>
      <c r="BQ230" s="77">
        <v>236.66077089901626</v>
      </c>
      <c r="BR230" s="40">
        <v>0</v>
      </c>
      <c r="BS230" s="55">
        <v>-236.66077089901626</v>
      </c>
      <c r="BT230" s="39">
        <v>1089.4554965623192</v>
      </c>
      <c r="BU230" s="39">
        <v>124.45482357231455</v>
      </c>
      <c r="BV230" s="52">
        <v>-965.00067299000466</v>
      </c>
      <c r="BW230" s="39">
        <v>850.07251789900113</v>
      </c>
      <c r="BX230" s="39">
        <v>355.4679332579986</v>
      </c>
      <c r="BY230" s="52">
        <v>-494.60458464100253</v>
      </c>
      <c r="BZ230" s="39">
        <v>272.79675200776171</v>
      </c>
      <c r="CA230" s="39">
        <v>533.48991454496127</v>
      </c>
      <c r="CB230" s="52">
        <v>260.69316253719956</v>
      </c>
      <c r="CC230" s="39">
        <v>0</v>
      </c>
      <c r="CD230" s="39">
        <v>0</v>
      </c>
      <c r="CE230" s="52">
        <v>0</v>
      </c>
      <c r="CF230" s="39">
        <v>0</v>
      </c>
      <c r="CG230" s="39">
        <v>0</v>
      </c>
      <c r="CH230" s="52">
        <v>0</v>
      </c>
      <c r="CI230" s="39">
        <v>180.9360767128573</v>
      </c>
      <c r="CJ230" s="39">
        <v>10.782173661555754</v>
      </c>
      <c r="CK230" s="52">
        <v>-170.15390305130154</v>
      </c>
      <c r="CL230" s="39">
        <v>0</v>
      </c>
      <c r="CM230" s="39">
        <v>0</v>
      </c>
      <c r="CN230" s="52">
        <v>0</v>
      </c>
      <c r="CO230" s="39">
        <v>180.9360767128573</v>
      </c>
      <c r="CP230" s="40">
        <v>10.782173661555754</v>
      </c>
      <c r="CQ230" s="52">
        <v>-170.15390305130154</v>
      </c>
      <c r="CR230" s="72">
        <v>5555.5067687199071</v>
      </c>
      <c r="CS230" s="5">
        <v>2433.1794306397805</v>
      </c>
      <c r="CT230" s="52">
        <v>-3122.3273380801265</v>
      </c>
      <c r="CU230" s="77">
        <v>6666.6081224638883</v>
      </c>
      <c r="CV230" s="65">
        <v>2919.8153167677365</v>
      </c>
      <c r="CW230" s="35">
        <v>-3746.7928056961518</v>
      </c>
      <c r="CX230" s="39">
        <v>0</v>
      </c>
      <c r="CY230" s="39">
        <v>3746.7928056961518</v>
      </c>
      <c r="CZ230" s="52">
        <v>3746.7928056961518</v>
      </c>
      <c r="DA230" s="150">
        <v>-1827.9216060138642</v>
      </c>
      <c r="DB230" s="2">
        <v>2</v>
      </c>
      <c r="DC230" s="713">
        <v>4380.26</v>
      </c>
      <c r="DD230" s="714"/>
      <c r="DE230" s="715">
        <v>1046.9559387680556</v>
      </c>
      <c r="DF230" s="716">
        <v>0</v>
      </c>
      <c r="DG230" s="717">
        <v>4776.0840431174965</v>
      </c>
      <c r="DH230" s="718">
        <v>31868.908751769748</v>
      </c>
      <c r="DI230" s="718">
        <v>79999.297469566663</v>
      </c>
      <c r="DJ230" s="693">
        <v>67966.700290117442</v>
      </c>
      <c r="DK230" s="724"/>
      <c r="DL230" s="5"/>
      <c r="DM230" s="306">
        <v>5.5425740958296386</v>
      </c>
      <c r="DN230" s="306"/>
      <c r="DO230" s="306">
        <v>4.6944804630737345</v>
      </c>
      <c r="DP230" s="719">
        <v>3333.3040612319446</v>
      </c>
      <c r="DQ230" s="720">
        <v>0</v>
      </c>
      <c r="DR230" s="650">
        <v>3333.3040612319446</v>
      </c>
      <c r="DS230" s="94">
        <v>3333.3040612319437</v>
      </c>
      <c r="DT230" s="719">
        <v>3333.33</v>
      </c>
      <c r="DU230" s="721"/>
      <c r="DV230" s="93">
        <v>3333.33</v>
      </c>
      <c r="DW230" s="95">
        <v>3333.3040612319442</v>
      </c>
      <c r="DX230" s="28">
        <v>2.5938768055766559E-2</v>
      </c>
      <c r="EA230" s="5">
        <v>1935.464817041594</v>
      </c>
      <c r="EB230" s="5">
        <v>156</v>
      </c>
      <c r="EE230" s="722">
        <v>16514.718919627747</v>
      </c>
      <c r="EG230" s="42" t="s">
        <v>197</v>
      </c>
    </row>
    <row r="231" spans="1:137" x14ac:dyDescent="0.3">
      <c r="A231" s="325">
        <v>150001042</v>
      </c>
      <c r="B231" s="41" t="s">
        <v>701</v>
      </c>
      <c r="C231" s="42" t="s">
        <v>182</v>
      </c>
      <c r="D231" s="27">
        <v>2</v>
      </c>
      <c r="E231" s="709">
        <v>427.1</v>
      </c>
      <c r="F231" s="723">
        <v>427.1</v>
      </c>
      <c r="G231" s="28"/>
      <c r="H231" s="651">
        <v>0</v>
      </c>
      <c r="I231" s="39">
        <v>372.5117198805134</v>
      </c>
      <c r="J231" s="39">
        <v>396.76880470701394</v>
      </c>
      <c r="K231" s="52">
        <v>24.257084826500545</v>
      </c>
      <c r="L231" s="39">
        <v>69.437281789364391</v>
      </c>
      <c r="M231" s="39">
        <v>75.446843265879181</v>
      </c>
      <c r="N231" s="52">
        <v>6.00956147651479</v>
      </c>
      <c r="O231" s="39">
        <v>102.84</v>
      </c>
      <c r="P231" s="39">
        <v>102.86</v>
      </c>
      <c r="Q231" s="52">
        <v>1.9999999999996021E-2</v>
      </c>
      <c r="R231" s="39">
        <v>0</v>
      </c>
      <c r="S231" s="39">
        <v>0</v>
      </c>
      <c r="T231" s="52">
        <v>0</v>
      </c>
      <c r="U231" s="39">
        <v>0</v>
      </c>
      <c r="V231" s="39">
        <v>0</v>
      </c>
      <c r="W231" s="52">
        <v>0</v>
      </c>
      <c r="X231" s="39">
        <v>197.78281885877576</v>
      </c>
      <c r="Y231" s="39">
        <v>119.35418310602465</v>
      </c>
      <c r="Z231" s="52">
        <v>-78.428635752751106</v>
      </c>
      <c r="AA231" s="39">
        <v>0</v>
      </c>
      <c r="AB231" s="39">
        <v>0</v>
      </c>
      <c r="AC231" s="52">
        <v>0</v>
      </c>
      <c r="AD231" s="39">
        <v>304.36794130523981</v>
      </c>
      <c r="AE231" s="39">
        <v>255.40011664022356</v>
      </c>
      <c r="AF231" s="35">
        <v>-48.967824665016252</v>
      </c>
      <c r="AG231" s="77">
        <v>1046.9397618338935</v>
      </c>
      <c r="AH231" s="53">
        <v>949.82994771914127</v>
      </c>
      <c r="AI231" s="52">
        <v>-97.109814114752226</v>
      </c>
      <c r="AJ231" s="39">
        <v>0</v>
      </c>
      <c r="AK231" s="39">
        <v>0</v>
      </c>
      <c r="AL231" s="52">
        <v>0</v>
      </c>
      <c r="AM231" s="39">
        <v>0</v>
      </c>
      <c r="AN231" s="39">
        <v>0</v>
      </c>
      <c r="AO231" s="52">
        <v>0</v>
      </c>
      <c r="AP231" s="39">
        <v>189.40352857872995</v>
      </c>
      <c r="AQ231" s="39">
        <v>70.006007068262193</v>
      </c>
      <c r="AR231" s="52">
        <v>-119.39752151046775</v>
      </c>
      <c r="AS231" s="39">
        <v>824.54031171835345</v>
      </c>
      <c r="AT231" s="39">
        <v>261</v>
      </c>
      <c r="AU231" s="54">
        <v>-563.54031171835345</v>
      </c>
      <c r="AV231" s="39">
        <v>71.960731953791409</v>
      </c>
      <c r="AW231" s="39">
        <v>0</v>
      </c>
      <c r="AX231" s="55">
        <v>-71.960731953791409</v>
      </c>
      <c r="AY231" s="39">
        <v>89.509926552956031</v>
      </c>
      <c r="AZ231" s="39">
        <v>0</v>
      </c>
      <c r="BA231" s="35">
        <v>-89.509926552956031</v>
      </c>
      <c r="BB231" s="39">
        <v>47.277902860351134</v>
      </c>
      <c r="BC231" s="39">
        <v>0</v>
      </c>
      <c r="BD231" s="55">
        <v>-47.277902860351134</v>
      </c>
      <c r="BE231" s="39">
        <v>0</v>
      </c>
      <c r="BF231" s="39">
        <v>0</v>
      </c>
      <c r="BG231" s="38">
        <v>0</v>
      </c>
      <c r="BH231" s="39">
        <v>0</v>
      </c>
      <c r="BI231" s="39">
        <v>0</v>
      </c>
      <c r="BJ231" s="55">
        <v>0</v>
      </c>
      <c r="BK231" s="39">
        <v>19.771277081972755</v>
      </c>
      <c r="BL231" s="39">
        <v>0</v>
      </c>
      <c r="BM231" s="38">
        <v>-19.771277081972755</v>
      </c>
      <c r="BN231" s="39">
        <v>0</v>
      </c>
      <c r="BO231" s="39">
        <v>0</v>
      </c>
      <c r="BP231" s="55">
        <v>0</v>
      </c>
      <c r="BQ231" s="77">
        <v>228.51983844907133</v>
      </c>
      <c r="BR231" s="40">
        <v>0</v>
      </c>
      <c r="BS231" s="55">
        <v>-228.51983844907133</v>
      </c>
      <c r="BT231" s="39">
        <v>1063.1335779721182</v>
      </c>
      <c r="BU231" s="39">
        <v>134.62622704190866</v>
      </c>
      <c r="BV231" s="52">
        <v>-928.50735093020955</v>
      </c>
      <c r="BW231" s="39">
        <v>767.68068062324369</v>
      </c>
      <c r="BX231" s="39">
        <v>316.75567896285906</v>
      </c>
      <c r="BY231" s="52">
        <v>-450.92500166038462</v>
      </c>
      <c r="BZ231" s="39">
        <v>266.91120643833676</v>
      </c>
      <c r="CA231" s="39">
        <v>779.59944295163302</v>
      </c>
      <c r="CB231" s="52">
        <v>512.68823651329626</v>
      </c>
      <c r="CC231" s="39">
        <v>0</v>
      </c>
      <c r="CD231" s="39">
        <v>0</v>
      </c>
      <c r="CE231" s="52">
        <v>0</v>
      </c>
      <c r="CF231" s="39">
        <v>0</v>
      </c>
      <c r="CG231" s="39">
        <v>0</v>
      </c>
      <c r="CH231" s="52">
        <v>0</v>
      </c>
      <c r="CI231" s="39">
        <v>174.69690165379325</v>
      </c>
      <c r="CJ231" s="39">
        <v>160.04610934084963</v>
      </c>
      <c r="CK231" s="52">
        <v>-14.650792312943622</v>
      </c>
      <c r="CL231" s="39">
        <v>0</v>
      </c>
      <c r="CM231" s="39">
        <v>0</v>
      </c>
      <c r="CN231" s="52">
        <v>0</v>
      </c>
      <c r="CO231" s="39">
        <v>174.69690165379325</v>
      </c>
      <c r="CP231" s="40">
        <v>160.04610934084963</v>
      </c>
      <c r="CQ231" s="52">
        <v>-14.650792312943622</v>
      </c>
      <c r="CR231" s="72">
        <v>4561.8258072675408</v>
      </c>
      <c r="CS231" s="5">
        <v>2671.863413084654</v>
      </c>
      <c r="CT231" s="52">
        <v>-1889.9623941828868</v>
      </c>
      <c r="CU231" s="77">
        <v>5474.1909687210491</v>
      </c>
      <c r="CV231" s="65">
        <v>3206.2360957015849</v>
      </c>
      <c r="CW231" s="35">
        <v>-2267.9548730194642</v>
      </c>
      <c r="CX231" s="39">
        <v>0</v>
      </c>
      <c r="CY231" s="39">
        <v>2267.9548730194642</v>
      </c>
      <c r="CZ231" s="52">
        <v>2267.9548730194642</v>
      </c>
      <c r="DA231" s="150">
        <v>85860.761412256616</v>
      </c>
      <c r="DB231" s="2">
        <v>2</v>
      </c>
      <c r="DC231" s="713">
        <v>8284.18</v>
      </c>
      <c r="DD231" s="714"/>
      <c r="DE231" s="715">
        <v>5547.0845156394753</v>
      </c>
      <c r="DF231" s="716">
        <v>0</v>
      </c>
      <c r="DG231" s="717">
        <v>5459.0582198445354</v>
      </c>
      <c r="DH231" s="718">
        <v>26260.246876180878</v>
      </c>
      <c r="DI231" s="718">
        <v>65690.291624652586</v>
      </c>
      <c r="DJ231" s="693">
        <v>55832.780437534653</v>
      </c>
      <c r="DK231" s="724"/>
      <c r="DL231" s="5"/>
      <c r="DM231" s="306">
        <v>6.4085588488890757</v>
      </c>
      <c r="DN231" s="306"/>
      <c r="DO231" s="306">
        <v>5.3301031982827869</v>
      </c>
      <c r="DP231" s="719">
        <v>2737.0954843605246</v>
      </c>
      <c r="DQ231" s="720">
        <v>0</v>
      </c>
      <c r="DR231" s="650">
        <v>2737.0954843605246</v>
      </c>
      <c r="DS231" s="94">
        <v>2737.0954843605246</v>
      </c>
      <c r="DT231" s="719">
        <v>2737.12</v>
      </c>
      <c r="DU231" s="721"/>
      <c r="DV231" s="93">
        <v>2737.12</v>
      </c>
      <c r="DW231" s="95">
        <v>2737.0954843605246</v>
      </c>
      <c r="DX231" s="28">
        <v>2.4515639475339412E-2</v>
      </c>
      <c r="EA231" s="5">
        <v>1263.6721802009097</v>
      </c>
      <c r="EB231" s="5">
        <v>313.2</v>
      </c>
      <c r="EE231" s="722">
        <v>9894.4837406202423</v>
      </c>
      <c r="EG231" s="42" t="s">
        <v>182</v>
      </c>
    </row>
    <row r="232" spans="1:137" x14ac:dyDescent="0.3">
      <c r="A232" s="325">
        <v>150001043</v>
      </c>
      <c r="B232" s="41" t="s">
        <v>702</v>
      </c>
      <c r="C232" s="42" t="s">
        <v>218</v>
      </c>
      <c r="D232" s="27">
        <v>4</v>
      </c>
      <c r="E232" s="709">
        <v>1282.0999999999999</v>
      </c>
      <c r="F232" s="723">
        <v>1282.0999999999999</v>
      </c>
      <c r="G232" s="28"/>
      <c r="H232" s="651">
        <v>0</v>
      </c>
      <c r="I232" s="39">
        <v>778.01751528651096</v>
      </c>
      <c r="J232" s="39">
        <v>835.28241511215356</v>
      </c>
      <c r="K232" s="52">
        <v>57.264899825642601</v>
      </c>
      <c r="L232" s="39">
        <v>151.89314510575448</v>
      </c>
      <c r="M232" s="39">
        <v>165.03996964411078</v>
      </c>
      <c r="N232" s="52">
        <v>13.146824538356299</v>
      </c>
      <c r="O232" s="39">
        <v>319.72000000000003</v>
      </c>
      <c r="P232" s="39">
        <v>319.72000000000003</v>
      </c>
      <c r="Q232" s="52">
        <v>0</v>
      </c>
      <c r="R232" s="39">
        <v>0</v>
      </c>
      <c r="S232" s="39">
        <v>0</v>
      </c>
      <c r="T232" s="52">
        <v>0</v>
      </c>
      <c r="U232" s="39">
        <v>0</v>
      </c>
      <c r="V232" s="39">
        <v>0</v>
      </c>
      <c r="W232" s="52">
        <v>0</v>
      </c>
      <c r="X232" s="39">
        <v>482.97657801160892</v>
      </c>
      <c r="Y232" s="39">
        <v>286.12348660202832</v>
      </c>
      <c r="Z232" s="52">
        <v>-196.8530914095806</v>
      </c>
      <c r="AA232" s="39">
        <v>0</v>
      </c>
      <c r="AB232" s="39">
        <v>0</v>
      </c>
      <c r="AC232" s="52">
        <v>0</v>
      </c>
      <c r="AD232" s="39">
        <v>913.67393478681322</v>
      </c>
      <c r="AE232" s="39">
        <v>766.67873927518281</v>
      </c>
      <c r="AF232" s="35">
        <v>-146.99519551163041</v>
      </c>
      <c r="AG232" s="77">
        <v>2646.2811731906877</v>
      </c>
      <c r="AH232" s="53">
        <v>2372.8446106334754</v>
      </c>
      <c r="AI232" s="52">
        <v>-273.43656255721226</v>
      </c>
      <c r="AJ232" s="39">
        <v>0</v>
      </c>
      <c r="AK232" s="39">
        <v>0</v>
      </c>
      <c r="AL232" s="52">
        <v>0</v>
      </c>
      <c r="AM232" s="39">
        <v>0</v>
      </c>
      <c r="AN232" s="39">
        <v>0</v>
      </c>
      <c r="AO232" s="52">
        <v>0</v>
      </c>
      <c r="AP232" s="39">
        <v>520.85970359150735</v>
      </c>
      <c r="AQ232" s="39">
        <v>210.01802120478658</v>
      </c>
      <c r="AR232" s="52">
        <v>-310.84168238672078</v>
      </c>
      <c r="AS232" s="39">
        <v>2022.5811832907536</v>
      </c>
      <c r="AT232" s="39">
        <v>261</v>
      </c>
      <c r="AU232" s="54">
        <v>-1761.5811832907536</v>
      </c>
      <c r="AV232" s="39">
        <v>138.25758637960135</v>
      </c>
      <c r="AW232" s="39">
        <v>0</v>
      </c>
      <c r="AX232" s="55">
        <v>-138.25758637960135</v>
      </c>
      <c r="AY232" s="39">
        <v>195.76233491122258</v>
      </c>
      <c r="AZ232" s="39">
        <v>0</v>
      </c>
      <c r="BA232" s="35">
        <v>-195.76233491122258</v>
      </c>
      <c r="BB232" s="39">
        <v>144.91736678168084</v>
      </c>
      <c r="BC232" s="39">
        <v>0</v>
      </c>
      <c r="BD232" s="55">
        <v>-144.91736678168084</v>
      </c>
      <c r="BE232" s="39">
        <v>0</v>
      </c>
      <c r="BF232" s="39">
        <v>0</v>
      </c>
      <c r="BG232" s="38">
        <v>0</v>
      </c>
      <c r="BH232" s="39">
        <v>0</v>
      </c>
      <c r="BI232" s="39">
        <v>0</v>
      </c>
      <c r="BJ232" s="55">
        <v>0</v>
      </c>
      <c r="BK232" s="39">
        <v>58.242082060788206</v>
      </c>
      <c r="BL232" s="39">
        <v>0</v>
      </c>
      <c r="BM232" s="38">
        <v>-58.242082060788206</v>
      </c>
      <c r="BN232" s="39">
        <v>0</v>
      </c>
      <c r="BO232" s="39">
        <v>0</v>
      </c>
      <c r="BP232" s="55">
        <v>0</v>
      </c>
      <c r="BQ232" s="77">
        <v>537.17937013329299</v>
      </c>
      <c r="BR232" s="40">
        <v>0</v>
      </c>
      <c r="BS232" s="55">
        <v>-537.17937013329299</v>
      </c>
      <c r="BT232" s="39">
        <v>3277.4590101138278</v>
      </c>
      <c r="BU232" s="39">
        <v>426.17334566537221</v>
      </c>
      <c r="BV232" s="52">
        <v>-2851.2856644484555</v>
      </c>
      <c r="BW232" s="39">
        <v>1234.8270535032732</v>
      </c>
      <c r="BX232" s="39">
        <v>585.32613499693025</v>
      </c>
      <c r="BY232" s="52">
        <v>-649.50091850634294</v>
      </c>
      <c r="BZ232" s="39">
        <v>1309.6820222992956</v>
      </c>
      <c r="CA232" s="39">
        <v>1828.9740320277567</v>
      </c>
      <c r="CB232" s="52">
        <v>519.29200972846115</v>
      </c>
      <c r="CC232" s="39">
        <v>149.27226328810727</v>
      </c>
      <c r="CD232" s="39">
        <v>147.26781795684519</v>
      </c>
      <c r="CE232" s="52">
        <v>-2.004445331262076</v>
      </c>
      <c r="CF232" s="39">
        <v>18.376320291149575</v>
      </c>
      <c r="CG232" s="39">
        <v>0</v>
      </c>
      <c r="CH232" s="52">
        <v>-18.376320291149575</v>
      </c>
      <c r="CI232" s="39">
        <v>283.88246518741403</v>
      </c>
      <c r="CJ232" s="39">
        <v>401.76083711797673</v>
      </c>
      <c r="CK232" s="52">
        <v>117.87837193056271</v>
      </c>
      <c r="CL232" s="39">
        <v>0</v>
      </c>
      <c r="CM232" s="39">
        <v>0</v>
      </c>
      <c r="CN232" s="52">
        <v>0</v>
      </c>
      <c r="CO232" s="39">
        <v>283.88246518741403</v>
      </c>
      <c r="CP232" s="40">
        <v>401.76083711797673</v>
      </c>
      <c r="CQ232" s="52">
        <v>117.87837193056271</v>
      </c>
      <c r="CR232" s="72">
        <v>12000.400564889311</v>
      </c>
      <c r="CS232" s="5">
        <v>6233.3647996031441</v>
      </c>
      <c r="CT232" s="52">
        <v>-5767.0357652861667</v>
      </c>
      <c r="CU232" s="77">
        <v>14400.480677867172</v>
      </c>
      <c r="CV232" s="65">
        <v>7480.0377595237724</v>
      </c>
      <c r="CW232" s="35">
        <v>-6920.4429183433995</v>
      </c>
      <c r="CX232" s="39">
        <v>0</v>
      </c>
      <c r="CY232" s="39">
        <v>6920.4429183434004</v>
      </c>
      <c r="CZ232" s="52">
        <v>6920.4429183434004</v>
      </c>
      <c r="DA232" s="150">
        <v>56724.773209323874</v>
      </c>
      <c r="DB232" s="2">
        <v>2</v>
      </c>
      <c r="DC232" s="713">
        <v>11348.72</v>
      </c>
      <c r="DD232" s="714"/>
      <c r="DE232" s="715">
        <v>4148.4796610664134</v>
      </c>
      <c r="DF232" s="716">
        <v>0</v>
      </c>
      <c r="DG232" s="717">
        <v>18979.613316855881</v>
      </c>
      <c r="DH232" s="718">
        <v>69087.858495579392</v>
      </c>
      <c r="DI232" s="718">
        <v>172805.76813440607</v>
      </c>
      <c r="DJ232" s="693">
        <v>146876.29072469939</v>
      </c>
      <c r="DK232" s="724"/>
      <c r="DL232" s="5"/>
      <c r="DM232" s="306">
        <v>5.615974057354018</v>
      </c>
      <c r="DN232" s="306"/>
      <c r="DO232" s="306">
        <v>5.0380969556443516</v>
      </c>
      <c r="DP232" s="719">
        <v>7200.2403389335859</v>
      </c>
      <c r="DQ232" s="720">
        <v>0</v>
      </c>
      <c r="DR232" s="650">
        <v>7200.2403389335859</v>
      </c>
      <c r="DS232" s="94">
        <v>7200.2403389335859</v>
      </c>
      <c r="DT232" s="719">
        <v>7200.27</v>
      </c>
      <c r="DU232" s="721"/>
      <c r="DV232" s="93">
        <v>7200.27</v>
      </c>
      <c r="DW232" s="95">
        <v>7200.2403389335859</v>
      </c>
      <c r="DX232" s="28">
        <v>2.9661066414519155E-2</v>
      </c>
      <c r="EA232" s="5">
        <v>3071.7126641088557</v>
      </c>
      <c r="EB232" s="5">
        <v>313.2</v>
      </c>
      <c r="EE232" s="722">
        <v>24270.974199489043</v>
      </c>
      <c r="EG232" s="42" t="s">
        <v>218</v>
      </c>
    </row>
    <row r="233" spans="1:137" x14ac:dyDescent="0.3">
      <c r="A233" s="325">
        <v>150000672</v>
      </c>
      <c r="B233" s="41"/>
      <c r="C233" s="43" t="s">
        <v>429</v>
      </c>
      <c r="D233" s="29">
        <v>5</v>
      </c>
      <c r="E233" s="709">
        <v>3174.5</v>
      </c>
      <c r="F233" s="723">
        <v>3107.5</v>
      </c>
      <c r="G233" s="28"/>
      <c r="H233" s="651">
        <v>67</v>
      </c>
      <c r="I233" s="39">
        <v>2179.1610473992082</v>
      </c>
      <c r="J233" s="39">
        <v>2346.595673425285</v>
      </c>
      <c r="K233" s="52">
        <v>167.43462602607678</v>
      </c>
      <c r="L233" s="39">
        <v>429.59193429862819</v>
      </c>
      <c r="M233" s="39">
        <v>466.77375830189897</v>
      </c>
      <c r="N233" s="52">
        <v>37.181824003270776</v>
      </c>
      <c r="O233" s="39">
        <v>737.66</v>
      </c>
      <c r="P233" s="39">
        <v>737.66</v>
      </c>
      <c r="Q233" s="52">
        <v>0</v>
      </c>
      <c r="R233" s="39">
        <v>0</v>
      </c>
      <c r="S233" s="39">
        <v>0</v>
      </c>
      <c r="T233" s="52">
        <v>0</v>
      </c>
      <c r="U233" s="39">
        <v>0</v>
      </c>
      <c r="V233" s="39">
        <v>0</v>
      </c>
      <c r="W233" s="52">
        <v>0</v>
      </c>
      <c r="X233" s="39">
        <v>1241.9147834079502</v>
      </c>
      <c r="Y233" s="39">
        <v>772.17511779359404</v>
      </c>
      <c r="Z233" s="52">
        <v>-469.73966561435611</v>
      </c>
      <c r="AA233" s="39">
        <v>0</v>
      </c>
      <c r="AB233" s="39">
        <v>0</v>
      </c>
      <c r="AC233" s="52">
        <v>0</v>
      </c>
      <c r="AD233" s="39">
        <v>2262.2712003593629</v>
      </c>
      <c r="AE233" s="39">
        <v>1898.3087573738928</v>
      </c>
      <c r="AF233" s="35">
        <v>-363.96244298547003</v>
      </c>
      <c r="AG233" s="77">
        <v>6850.5989654651494</v>
      </c>
      <c r="AH233" s="53">
        <v>6221.5133068946707</v>
      </c>
      <c r="AI233" s="52">
        <v>-629.0856585704787</v>
      </c>
      <c r="AJ233" s="39">
        <v>0</v>
      </c>
      <c r="AK233" s="39">
        <v>0</v>
      </c>
      <c r="AL233" s="52">
        <v>0</v>
      </c>
      <c r="AM233" s="39">
        <v>0</v>
      </c>
      <c r="AN233" s="39">
        <v>0</v>
      </c>
      <c r="AO233" s="52">
        <v>0</v>
      </c>
      <c r="AP233" s="39">
        <v>1633.6054339915459</v>
      </c>
      <c r="AQ233" s="39">
        <v>0</v>
      </c>
      <c r="AR233" s="52">
        <v>-1633.6054339915459</v>
      </c>
      <c r="AS233" s="39">
        <v>7334.9898286120761</v>
      </c>
      <c r="AT233" s="39">
        <v>6370.1780420303321</v>
      </c>
      <c r="AU233" s="54">
        <v>-964.81178658174395</v>
      </c>
      <c r="AV233" s="39">
        <v>338.3518327252624</v>
      </c>
      <c r="AW233" s="39">
        <v>0</v>
      </c>
      <c r="AX233" s="55">
        <v>-338.3518327252624</v>
      </c>
      <c r="AY233" s="39">
        <v>553.69522338747106</v>
      </c>
      <c r="AZ233" s="39">
        <v>0</v>
      </c>
      <c r="BA233" s="35">
        <v>-553.69522338747106</v>
      </c>
      <c r="BB233" s="39">
        <v>395.83670735449164</v>
      </c>
      <c r="BC233" s="39">
        <v>0</v>
      </c>
      <c r="BD233" s="55">
        <v>-395.83670735449164</v>
      </c>
      <c r="BE233" s="39">
        <v>0</v>
      </c>
      <c r="BF233" s="39">
        <v>0</v>
      </c>
      <c r="BG233" s="38">
        <v>0</v>
      </c>
      <c r="BH233" s="39">
        <v>0</v>
      </c>
      <c r="BI233" s="39">
        <v>0</v>
      </c>
      <c r="BJ233" s="55">
        <v>0</v>
      </c>
      <c r="BK233" s="39">
        <v>174.41860241614506</v>
      </c>
      <c r="BL233" s="39">
        <v>0</v>
      </c>
      <c r="BM233" s="38">
        <v>-174.41860241614506</v>
      </c>
      <c r="BN233" s="39">
        <v>200.88589227223855</v>
      </c>
      <c r="BO233" s="39">
        <v>0</v>
      </c>
      <c r="BP233" s="55">
        <v>-200.88589227223855</v>
      </c>
      <c r="BQ233" s="77">
        <v>1663.1882581556085</v>
      </c>
      <c r="BR233" s="40">
        <v>0</v>
      </c>
      <c r="BS233" s="55">
        <v>-1663.1882581556085</v>
      </c>
      <c r="BT233" s="39">
        <v>3380.651705548893</v>
      </c>
      <c r="BU233" s="39">
        <v>578.76745534400516</v>
      </c>
      <c r="BV233" s="52">
        <v>-2801.8842502048878</v>
      </c>
      <c r="BW233" s="39">
        <v>2264.1058263503965</v>
      </c>
      <c r="BX233" s="39">
        <v>1002.8718491293674</v>
      </c>
      <c r="BY233" s="52">
        <v>-1261.2339772210289</v>
      </c>
      <c r="BZ233" s="39">
        <v>1465.7426478390848</v>
      </c>
      <c r="CA233" s="39">
        <v>2397.6239008665243</v>
      </c>
      <c r="CB233" s="52">
        <v>931.88125302743947</v>
      </c>
      <c r="CC233" s="39">
        <v>175.00886040674649</v>
      </c>
      <c r="CD233" s="39">
        <v>172.658821052853</v>
      </c>
      <c r="CE233" s="52">
        <v>-2.3500393538934929</v>
      </c>
      <c r="CF233" s="39">
        <v>21.544651375830533</v>
      </c>
      <c r="CG233" s="39">
        <v>0</v>
      </c>
      <c r="CH233" s="52">
        <v>-21.544651375830533</v>
      </c>
      <c r="CI233" s="39">
        <v>1550.4350021774148</v>
      </c>
      <c r="CJ233" s="39">
        <v>3187.0394062040345</v>
      </c>
      <c r="CK233" s="52">
        <v>1636.6044040266197</v>
      </c>
      <c r="CL233" s="39">
        <v>0</v>
      </c>
      <c r="CM233" s="39">
        <v>0</v>
      </c>
      <c r="CN233" s="52">
        <v>0</v>
      </c>
      <c r="CO233" s="39">
        <v>1550.4350021774148</v>
      </c>
      <c r="CP233" s="40">
        <v>3187.0394062040345</v>
      </c>
      <c r="CQ233" s="52">
        <v>1636.6044040266197</v>
      </c>
      <c r="CR233" s="72">
        <v>26339.871179922742</v>
      </c>
      <c r="CS233" s="5">
        <v>19930.652781521789</v>
      </c>
      <c r="CT233" s="52">
        <v>-6409.2183984009534</v>
      </c>
      <c r="CU233" s="77">
        <v>31607.84541590729</v>
      </c>
      <c r="CV233" s="65">
        <v>23916.783337826146</v>
      </c>
      <c r="CW233" s="35">
        <v>-7691.0620780811441</v>
      </c>
      <c r="CX233" s="39">
        <v>1580.3922707953645</v>
      </c>
      <c r="CY233" s="39">
        <v>9271.4543488765121</v>
      </c>
      <c r="CZ233" s="52">
        <v>7691.0620780811478</v>
      </c>
      <c r="DA233" s="150">
        <v>44381.561265869444</v>
      </c>
      <c r="DB233" s="2">
        <v>2</v>
      </c>
      <c r="DC233" s="713">
        <v>38588.769999999997</v>
      </c>
      <c r="DD233" s="714">
        <v>1019.43</v>
      </c>
      <c r="DE233" s="715">
        <v>22314.792499999996</v>
      </c>
      <c r="DF233" s="716">
        <v>699.30399999999997</v>
      </c>
      <c r="DG233" s="717">
        <v>32463.42058370763</v>
      </c>
      <c r="DH233" s="718">
        <v>160817.39985484458</v>
      </c>
      <c r="DI233" s="718">
        <v>398258.85224043182</v>
      </c>
      <c r="DJ233" s="693">
        <v>338898.48914403503</v>
      </c>
      <c r="DK233" s="724"/>
      <c r="DL233" s="5"/>
      <c r="DM233" s="306">
        <v>5.2370000000000001</v>
      </c>
      <c r="DN233" s="306"/>
      <c r="DO233" s="306">
        <v>4.7779999999999996</v>
      </c>
      <c r="DP233" s="719">
        <v>16273.977500000001</v>
      </c>
      <c r="DQ233" s="720">
        <v>320.12599999999998</v>
      </c>
      <c r="DR233" s="650">
        <v>16594.103500000001</v>
      </c>
      <c r="DS233" s="94">
        <v>16594.134186702653</v>
      </c>
      <c r="DT233" s="719">
        <v>16273.95</v>
      </c>
      <c r="DU233" s="725">
        <v>320.12</v>
      </c>
      <c r="DV233" s="93">
        <v>16594.07</v>
      </c>
      <c r="DW233" s="95">
        <v>16752.158070430862</v>
      </c>
      <c r="DX233" s="28">
        <v>-158.08807043086199</v>
      </c>
      <c r="EA233" s="5">
        <v>10797.813704121221</v>
      </c>
      <c r="EB233" s="5">
        <v>7644.213650436398</v>
      </c>
      <c r="EE233" s="722">
        <v>88019.877943344909</v>
      </c>
      <c r="EG233" s="43" t="s">
        <v>429</v>
      </c>
    </row>
    <row r="234" spans="1:137" x14ac:dyDescent="0.3">
      <c r="A234" s="325">
        <v>150000673</v>
      </c>
      <c r="B234" s="41" t="s">
        <v>703</v>
      </c>
      <c r="C234" s="42" t="s">
        <v>183</v>
      </c>
      <c r="D234" s="27">
        <v>2</v>
      </c>
      <c r="E234" s="709">
        <v>603.29999999999995</v>
      </c>
      <c r="F234" s="723">
        <v>603.29999999999995</v>
      </c>
      <c r="G234" s="28"/>
      <c r="H234" s="651">
        <v>0</v>
      </c>
      <c r="I234" s="39">
        <v>603.65476624585074</v>
      </c>
      <c r="J234" s="39">
        <v>642.559358868044</v>
      </c>
      <c r="K234" s="52">
        <v>38.904592622193263</v>
      </c>
      <c r="L234" s="39">
        <v>102.82383724539872</v>
      </c>
      <c r="M234" s="39">
        <v>111.7234859441464</v>
      </c>
      <c r="N234" s="52">
        <v>8.8996486987476828</v>
      </c>
      <c r="O234" s="39">
        <v>137.76</v>
      </c>
      <c r="P234" s="39">
        <v>137.76</v>
      </c>
      <c r="Q234" s="52">
        <v>0</v>
      </c>
      <c r="R234" s="39">
        <v>0</v>
      </c>
      <c r="S234" s="39">
        <v>0</v>
      </c>
      <c r="T234" s="52">
        <v>0</v>
      </c>
      <c r="U234" s="39">
        <v>0</v>
      </c>
      <c r="V234" s="39">
        <v>0</v>
      </c>
      <c r="W234" s="52">
        <v>0</v>
      </c>
      <c r="X234" s="39">
        <v>201.19626340407379</v>
      </c>
      <c r="Y234" s="39">
        <v>276.96499710299571</v>
      </c>
      <c r="Z234" s="52">
        <v>75.76873369892192</v>
      </c>
      <c r="AA234" s="39">
        <v>0</v>
      </c>
      <c r="AB234" s="39">
        <v>0</v>
      </c>
      <c r="AC234" s="52">
        <v>0</v>
      </c>
      <c r="AD234" s="39">
        <v>429.93486066366467</v>
      </c>
      <c r="AE234" s="39">
        <v>360.76537197154494</v>
      </c>
      <c r="AF234" s="35">
        <v>-69.169488692119728</v>
      </c>
      <c r="AG234" s="77">
        <v>1475.369727558988</v>
      </c>
      <c r="AH234" s="53">
        <v>1529.7732138867311</v>
      </c>
      <c r="AI234" s="52">
        <v>54.403486327743167</v>
      </c>
      <c r="AJ234" s="39">
        <v>0</v>
      </c>
      <c r="AK234" s="39">
        <v>0</v>
      </c>
      <c r="AL234" s="52">
        <v>0</v>
      </c>
      <c r="AM234" s="39">
        <v>0</v>
      </c>
      <c r="AN234" s="39">
        <v>0</v>
      </c>
      <c r="AO234" s="52">
        <v>0</v>
      </c>
      <c r="AP234" s="39">
        <v>284.10529286809492</v>
      </c>
      <c r="AQ234" s="39">
        <v>0</v>
      </c>
      <c r="AR234" s="52">
        <v>-284.10529286809492</v>
      </c>
      <c r="AS234" s="39">
        <v>1512.9277306976576</v>
      </c>
      <c r="AT234" s="39">
        <v>261</v>
      </c>
      <c r="AU234" s="54">
        <v>-1251.9277306976576</v>
      </c>
      <c r="AV234" s="39">
        <v>106.42402557711507</v>
      </c>
      <c r="AW234" s="39">
        <v>0</v>
      </c>
      <c r="AX234" s="55">
        <v>-106.42402557711507</v>
      </c>
      <c r="AY234" s="39">
        <v>132.492596975553</v>
      </c>
      <c r="AZ234" s="39">
        <v>0</v>
      </c>
      <c r="BA234" s="35">
        <v>-132.492596975553</v>
      </c>
      <c r="BB234" s="39">
        <v>66.563181804184708</v>
      </c>
      <c r="BC234" s="39">
        <v>0</v>
      </c>
      <c r="BD234" s="55">
        <v>-66.563181804184708</v>
      </c>
      <c r="BE234" s="39">
        <v>0</v>
      </c>
      <c r="BF234" s="39">
        <v>0</v>
      </c>
      <c r="BG234" s="38">
        <v>0</v>
      </c>
      <c r="BH234" s="39">
        <v>0</v>
      </c>
      <c r="BI234" s="39">
        <v>0</v>
      </c>
      <c r="BJ234" s="55">
        <v>0</v>
      </c>
      <c r="BK234" s="39">
        <v>19.771301113804686</v>
      </c>
      <c r="BL234" s="39">
        <v>711</v>
      </c>
      <c r="BM234" s="38">
        <v>691.22869888619528</v>
      </c>
      <c r="BN234" s="39">
        <v>0</v>
      </c>
      <c r="BO234" s="39">
        <v>0</v>
      </c>
      <c r="BP234" s="55">
        <v>0</v>
      </c>
      <c r="BQ234" s="77">
        <v>325.25110547065742</v>
      </c>
      <c r="BR234" s="40">
        <v>711</v>
      </c>
      <c r="BS234" s="55">
        <v>385.74889452934258</v>
      </c>
      <c r="BT234" s="39">
        <v>1543.6814883329262</v>
      </c>
      <c r="BU234" s="39">
        <v>353.54478701496555</v>
      </c>
      <c r="BV234" s="52">
        <v>-1190.1367013179606</v>
      </c>
      <c r="BW234" s="39">
        <v>815.58566851900912</v>
      </c>
      <c r="BX234" s="39">
        <v>669.41174223240751</v>
      </c>
      <c r="BY234" s="52">
        <v>-146.17392628660161</v>
      </c>
      <c r="BZ234" s="39">
        <v>279.8951109604879</v>
      </c>
      <c r="CA234" s="39">
        <v>1465.2843998156684</v>
      </c>
      <c r="CB234" s="52">
        <v>1185.3892888551804</v>
      </c>
      <c r="CC234" s="39">
        <v>0</v>
      </c>
      <c r="CD234" s="39">
        <v>0</v>
      </c>
      <c r="CE234" s="52">
        <v>0</v>
      </c>
      <c r="CF234" s="39">
        <v>0</v>
      </c>
      <c r="CG234" s="39">
        <v>0</v>
      </c>
      <c r="CH234" s="52">
        <v>0</v>
      </c>
      <c r="CI234" s="39">
        <v>124.78350118128091</v>
      </c>
      <c r="CJ234" s="39">
        <v>201.68419638419175</v>
      </c>
      <c r="CK234" s="52">
        <v>76.900695202910839</v>
      </c>
      <c r="CL234" s="39">
        <v>0</v>
      </c>
      <c r="CM234" s="39">
        <v>0</v>
      </c>
      <c r="CN234" s="52">
        <v>0</v>
      </c>
      <c r="CO234" s="39">
        <v>124.78350118128091</v>
      </c>
      <c r="CP234" s="40">
        <v>201.68419638419175</v>
      </c>
      <c r="CQ234" s="52">
        <v>76.900695202910839</v>
      </c>
      <c r="CR234" s="72">
        <v>6361.5996255891023</v>
      </c>
      <c r="CS234" s="5">
        <v>5191.6983393339642</v>
      </c>
      <c r="CT234" s="52">
        <v>-1169.9012862551381</v>
      </c>
      <c r="CU234" s="77">
        <v>7633.9195507069226</v>
      </c>
      <c r="CV234" s="65">
        <v>6230.0380072007565</v>
      </c>
      <c r="CW234" s="35">
        <v>-1403.8815435061661</v>
      </c>
      <c r="CX234" s="39">
        <v>114.50879326060384</v>
      </c>
      <c r="CY234" s="39">
        <v>1518.390336766769</v>
      </c>
      <c r="CZ234" s="52">
        <v>1403.8815435061651</v>
      </c>
      <c r="DA234" s="150">
        <v>12644.485125209027</v>
      </c>
      <c r="DB234" s="2">
        <v>2</v>
      </c>
      <c r="DC234" s="713">
        <v>24725.87</v>
      </c>
      <c r="DD234" s="714"/>
      <c r="DE234" s="715">
        <v>20851.655828016235</v>
      </c>
      <c r="DF234" s="716">
        <v>0</v>
      </c>
      <c r="DG234" s="717">
        <v>-4168.5669994463215</v>
      </c>
      <c r="DH234" s="718">
        <v>37233.376481853018</v>
      </c>
      <c r="DI234" s="718">
        <v>92981.140127610313</v>
      </c>
      <c r="DJ234" s="693">
        <v>79044.199216170993</v>
      </c>
      <c r="DK234" s="724"/>
      <c r="DL234" s="5"/>
      <c r="DM234" s="306">
        <v>6.4217042466165477</v>
      </c>
      <c r="DN234" s="306"/>
      <c r="DO234" s="306">
        <v>5.5984128955008901</v>
      </c>
      <c r="DP234" s="719">
        <v>3874.2141719837628</v>
      </c>
      <c r="DQ234" s="720">
        <v>0</v>
      </c>
      <c r="DR234" s="650">
        <v>3874.2141719837628</v>
      </c>
      <c r="DS234" s="94">
        <v>3874.2141719837637</v>
      </c>
      <c r="DT234" s="719">
        <v>3869.07</v>
      </c>
      <c r="DU234" s="721"/>
      <c r="DV234" s="93">
        <v>3869.07</v>
      </c>
      <c r="DW234" s="95">
        <v>3885.6650513098234</v>
      </c>
      <c r="DX234" s="28">
        <v>-16.595051309823248</v>
      </c>
      <c r="EA234" s="5">
        <v>2205.8146034019778</v>
      </c>
      <c r="EB234" s="5">
        <v>1166.3999999999999</v>
      </c>
      <c r="EE234" s="722">
        <v>18155.132768371892</v>
      </c>
      <c r="EG234" s="42" t="s">
        <v>183</v>
      </c>
    </row>
    <row r="235" spans="1:137" x14ac:dyDescent="0.3">
      <c r="A235" s="325">
        <v>150000676</v>
      </c>
      <c r="B235" s="41" t="s">
        <v>705</v>
      </c>
      <c r="C235" s="42" t="s">
        <v>386</v>
      </c>
      <c r="D235" s="27">
        <v>9</v>
      </c>
      <c r="E235" s="709">
        <v>4198.2</v>
      </c>
      <c r="F235" s="723">
        <v>4198.2</v>
      </c>
      <c r="G235" s="28">
        <v>460.2</v>
      </c>
      <c r="H235" s="651">
        <v>0</v>
      </c>
      <c r="I235" s="39">
        <v>2596.3118439050209</v>
      </c>
      <c r="J235" s="39">
        <v>2800.6383920469407</v>
      </c>
      <c r="K235" s="52">
        <v>204.32654814191983</v>
      </c>
      <c r="L235" s="39">
        <v>395.71270067189192</v>
      </c>
      <c r="M235" s="39">
        <v>429.96127156634554</v>
      </c>
      <c r="N235" s="52">
        <v>34.248570894453621</v>
      </c>
      <c r="O235" s="39">
        <v>1011.36</v>
      </c>
      <c r="P235" s="39">
        <v>1011.36</v>
      </c>
      <c r="Q235" s="52">
        <v>0</v>
      </c>
      <c r="R235" s="39">
        <v>251.7</v>
      </c>
      <c r="S235" s="39">
        <v>251.7</v>
      </c>
      <c r="T235" s="52">
        <v>0</v>
      </c>
      <c r="U235" s="39">
        <v>130.00964065633656</v>
      </c>
      <c r="V235" s="39">
        <v>418.05923498647877</v>
      </c>
      <c r="W235" s="52">
        <v>288.04959433014221</v>
      </c>
      <c r="X235" s="39">
        <v>1078.8889875448481</v>
      </c>
      <c r="Y235" s="39">
        <v>623.37743408552001</v>
      </c>
      <c r="Z235" s="52">
        <v>-455.51155345932807</v>
      </c>
      <c r="AA235" s="39">
        <v>0</v>
      </c>
      <c r="AB235" s="39">
        <v>0</v>
      </c>
      <c r="AC235" s="52">
        <v>0</v>
      </c>
      <c r="AD235" s="39">
        <v>2991.7993237828559</v>
      </c>
      <c r="AE235" s="39">
        <v>2510.4677351416212</v>
      </c>
      <c r="AF235" s="35">
        <v>-481.3315886412347</v>
      </c>
      <c r="AG235" s="77">
        <v>8455.7824965609525</v>
      </c>
      <c r="AH235" s="53">
        <v>8045.5640678269065</v>
      </c>
      <c r="AI235" s="52">
        <v>-410.21842873404603</v>
      </c>
      <c r="AJ235" s="39">
        <v>6139.7493479442464</v>
      </c>
      <c r="AK235" s="39">
        <v>6057.304078846576</v>
      </c>
      <c r="AL235" s="52">
        <v>-82.445269097670462</v>
      </c>
      <c r="AM235" s="39">
        <v>0</v>
      </c>
      <c r="AN235" s="39">
        <v>129.91419040372483</v>
      </c>
      <c r="AO235" s="52">
        <v>129.91419040372483</v>
      </c>
      <c r="AP235" s="39">
        <v>568.21058573618984</v>
      </c>
      <c r="AQ235" s="39">
        <v>0</v>
      </c>
      <c r="AR235" s="52">
        <v>-568.21058573618984</v>
      </c>
      <c r="AS235" s="39">
        <v>10751.05370272178</v>
      </c>
      <c r="AT235" s="39">
        <v>4519</v>
      </c>
      <c r="AU235" s="54">
        <v>-6232.0537027217797</v>
      </c>
      <c r="AV235" s="39">
        <v>205.77312815090349</v>
      </c>
      <c r="AW235" s="39">
        <v>0</v>
      </c>
      <c r="AX235" s="55">
        <v>-205.77312815090349</v>
      </c>
      <c r="AY235" s="39">
        <v>262.67571456331655</v>
      </c>
      <c r="AZ235" s="39">
        <v>0</v>
      </c>
      <c r="BA235" s="35">
        <v>-262.67571456331655</v>
      </c>
      <c r="BB235" s="39">
        <v>264.85518945278432</v>
      </c>
      <c r="BC235" s="39">
        <v>0</v>
      </c>
      <c r="BD235" s="55">
        <v>-264.85518945278432</v>
      </c>
      <c r="BE235" s="39">
        <v>145.72291312674076</v>
      </c>
      <c r="BF235" s="39">
        <v>0</v>
      </c>
      <c r="BG235" s="38">
        <v>-145.72291312674076</v>
      </c>
      <c r="BH235" s="39">
        <v>65.961235315382794</v>
      </c>
      <c r="BI235" s="39">
        <v>0</v>
      </c>
      <c r="BJ235" s="55">
        <v>-65.961235315382794</v>
      </c>
      <c r="BK235" s="39">
        <v>171.46695994239872</v>
      </c>
      <c r="BL235" s="39">
        <v>0</v>
      </c>
      <c r="BM235" s="38">
        <v>-171.46695994239872</v>
      </c>
      <c r="BN235" s="39">
        <v>0</v>
      </c>
      <c r="BO235" s="39">
        <v>0</v>
      </c>
      <c r="BP235" s="55">
        <v>0</v>
      </c>
      <c r="BQ235" s="77">
        <v>1116.4551405515267</v>
      </c>
      <c r="BR235" s="40">
        <v>0</v>
      </c>
      <c r="BS235" s="55">
        <v>-1116.4551405515267</v>
      </c>
      <c r="BT235" s="39">
        <v>9851.5077486654918</v>
      </c>
      <c r="BU235" s="39">
        <v>2387.8134672071465</v>
      </c>
      <c r="BV235" s="52">
        <v>-7463.6942814583454</v>
      </c>
      <c r="BW235" s="39">
        <v>5954.258277416272</v>
      </c>
      <c r="BX235" s="39">
        <v>5880.699287741023</v>
      </c>
      <c r="BY235" s="52">
        <v>-73.558989675248995</v>
      </c>
      <c r="BZ235" s="39">
        <v>1934.6017738005112</v>
      </c>
      <c r="CA235" s="39">
        <v>9953.8778391629021</v>
      </c>
      <c r="CB235" s="52">
        <v>8019.2760653623909</v>
      </c>
      <c r="CC235" s="39">
        <v>88.23976154962007</v>
      </c>
      <c r="CD235" s="39">
        <v>87.054867757741007</v>
      </c>
      <c r="CE235" s="52">
        <v>-1.1848937918790625</v>
      </c>
      <c r="CF235" s="39">
        <v>10.862849433191865</v>
      </c>
      <c r="CG235" s="39">
        <v>0</v>
      </c>
      <c r="CH235" s="52">
        <v>-10.862849433191865</v>
      </c>
      <c r="CI235" s="39">
        <v>1372.6185129940898</v>
      </c>
      <c r="CJ235" s="39">
        <v>4904.3769824905239</v>
      </c>
      <c r="CK235" s="52">
        <v>3531.7584694964344</v>
      </c>
      <c r="CL235" s="39">
        <v>2058.9277694911343</v>
      </c>
      <c r="CM235" s="39">
        <v>7356.5654737357854</v>
      </c>
      <c r="CN235" s="52">
        <v>5297.6377042446511</v>
      </c>
      <c r="CO235" s="39">
        <v>3431.5462824852239</v>
      </c>
      <c r="CP235" s="40">
        <v>12260.942456226308</v>
      </c>
      <c r="CQ235" s="52">
        <v>8829.3961737410846</v>
      </c>
      <c r="CR235" s="72">
        <v>48302.267966865009</v>
      </c>
      <c r="CS235" s="5">
        <v>49322.170255172328</v>
      </c>
      <c r="CT235" s="52">
        <v>1019.9022883073194</v>
      </c>
      <c r="CU235" s="77">
        <v>57962.721560238009</v>
      </c>
      <c r="CV235" s="65">
        <v>59186.604306206791</v>
      </c>
      <c r="CW235" s="35">
        <v>1223.8827459687818</v>
      </c>
      <c r="CX235" s="39">
        <v>1449.0680390059504</v>
      </c>
      <c r="CY235" s="39">
        <v>225.18529303716059</v>
      </c>
      <c r="CZ235" s="52">
        <v>-1223.8827459687898</v>
      </c>
      <c r="DA235" s="150">
        <v>59606.004045262249</v>
      </c>
      <c r="DB235" s="2">
        <v>2</v>
      </c>
      <c r="DC235" s="713">
        <v>97987.08</v>
      </c>
      <c r="DD235" s="714"/>
      <c r="DE235" s="715">
        <v>68281.185200378022</v>
      </c>
      <c r="DF235" s="716">
        <v>0</v>
      </c>
      <c r="DG235" s="717">
        <v>54841.834993527722</v>
      </c>
      <c r="DH235" s="718">
        <v>287144.77313006291</v>
      </c>
      <c r="DI235" s="718">
        <v>712941.47519092751</v>
      </c>
      <c r="DJ235" s="693">
        <v>606492.29967571131</v>
      </c>
      <c r="DK235" s="724"/>
      <c r="DL235" s="5"/>
      <c r="DM235" s="306">
        <v>5.8748293012241479</v>
      </c>
      <c r="DN235" s="306">
        <v>7.2237288269659246</v>
      </c>
      <c r="DO235" s="306">
        <v>5.0025819474508628</v>
      </c>
      <c r="DP235" s="719">
        <v>29705.894799621979</v>
      </c>
      <c r="DQ235" s="720">
        <v>0</v>
      </c>
      <c r="DR235" s="650">
        <v>29705.894799621979</v>
      </c>
      <c r="DS235" s="94">
        <v>29705.894799621979</v>
      </c>
      <c r="DT235" s="719">
        <v>29705.07</v>
      </c>
      <c r="DU235" s="721"/>
      <c r="DV235" s="93">
        <v>29705.07</v>
      </c>
      <c r="DW235" s="95">
        <v>29850.801603522577</v>
      </c>
      <c r="DX235" s="28">
        <v>-145.73160352257764</v>
      </c>
      <c r="EA235" s="5">
        <v>14241.010611927968</v>
      </c>
      <c r="EB235" s="5">
        <v>5422.8</v>
      </c>
      <c r="EE235" s="722">
        <v>129012.64443266136</v>
      </c>
      <c r="EG235" s="42" t="s">
        <v>386</v>
      </c>
    </row>
    <row r="236" spans="1:137" x14ac:dyDescent="0.3">
      <c r="A236" s="325">
        <v>150000671</v>
      </c>
      <c r="B236" s="41" t="s">
        <v>706</v>
      </c>
      <c r="C236" s="42" t="s">
        <v>128</v>
      </c>
      <c r="D236" s="27">
        <v>1</v>
      </c>
      <c r="E236" s="709">
        <v>229.7</v>
      </c>
      <c r="F236" s="723">
        <v>229.7</v>
      </c>
      <c r="G236" s="28"/>
      <c r="H236" s="651">
        <v>0</v>
      </c>
      <c r="I236" s="39">
        <v>0</v>
      </c>
      <c r="J236" s="39">
        <v>0</v>
      </c>
      <c r="K236" s="52">
        <v>0</v>
      </c>
      <c r="L236" s="39">
        <v>0</v>
      </c>
      <c r="M236" s="39">
        <v>0</v>
      </c>
      <c r="N236" s="52">
        <v>0</v>
      </c>
      <c r="O236" s="39">
        <v>0</v>
      </c>
      <c r="P236" s="39">
        <v>0</v>
      </c>
      <c r="Q236" s="52">
        <v>0</v>
      </c>
      <c r="R236" s="39">
        <v>0</v>
      </c>
      <c r="S236" s="39">
        <v>0</v>
      </c>
      <c r="T236" s="52">
        <v>0</v>
      </c>
      <c r="U236" s="39">
        <v>0</v>
      </c>
      <c r="V236" s="39">
        <v>0</v>
      </c>
      <c r="W236" s="52">
        <v>0</v>
      </c>
      <c r="X236" s="39">
        <v>0</v>
      </c>
      <c r="Y236" s="39">
        <v>0</v>
      </c>
      <c r="Z236" s="52">
        <v>0</v>
      </c>
      <c r="AA236" s="39">
        <v>0</v>
      </c>
      <c r="AB236" s="39">
        <v>0</v>
      </c>
      <c r="AC236" s="52">
        <v>0</v>
      </c>
      <c r="AD236" s="39">
        <v>0</v>
      </c>
      <c r="AE236" s="39">
        <v>137.35754341432767</v>
      </c>
      <c r="AF236" s="35">
        <v>137.35754341432767</v>
      </c>
      <c r="AG236" s="77">
        <v>0</v>
      </c>
      <c r="AH236" s="53">
        <v>137.35754341432767</v>
      </c>
      <c r="AI236" s="52">
        <v>137.35754341432767</v>
      </c>
      <c r="AJ236" s="39">
        <v>0</v>
      </c>
      <c r="AK236" s="39">
        <v>0</v>
      </c>
      <c r="AL236" s="52">
        <v>0</v>
      </c>
      <c r="AM236" s="39">
        <v>0</v>
      </c>
      <c r="AN236" s="39">
        <v>0</v>
      </c>
      <c r="AO236" s="52">
        <v>0</v>
      </c>
      <c r="AP236" s="39">
        <v>94.701764289364974</v>
      </c>
      <c r="AQ236" s="39">
        <v>0</v>
      </c>
      <c r="AR236" s="52">
        <v>-94.701764289364974</v>
      </c>
      <c r="AS236" s="39">
        <v>547.48421012736378</v>
      </c>
      <c r="AT236" s="39">
        <v>0</v>
      </c>
      <c r="AU236" s="54">
        <v>-547.48421012736378</v>
      </c>
      <c r="AV236" s="39">
        <v>0</v>
      </c>
      <c r="AW236" s="39">
        <v>0</v>
      </c>
      <c r="AX236" s="55">
        <v>0</v>
      </c>
      <c r="AY236" s="39">
        <v>0</v>
      </c>
      <c r="AZ236" s="39">
        <v>0</v>
      </c>
      <c r="BA236" s="35">
        <v>0</v>
      </c>
      <c r="BB236" s="39">
        <v>0</v>
      </c>
      <c r="BC236" s="39">
        <v>0</v>
      </c>
      <c r="BD236" s="55">
        <v>0</v>
      </c>
      <c r="BE236" s="39">
        <v>0</v>
      </c>
      <c r="BF236" s="39">
        <v>0</v>
      </c>
      <c r="BG236" s="38">
        <v>0</v>
      </c>
      <c r="BH236" s="39">
        <v>0</v>
      </c>
      <c r="BI236" s="39">
        <v>0</v>
      </c>
      <c r="BJ236" s="55">
        <v>0</v>
      </c>
      <c r="BK236" s="39">
        <v>0</v>
      </c>
      <c r="BL236" s="39">
        <v>0</v>
      </c>
      <c r="BM236" s="38">
        <v>0</v>
      </c>
      <c r="BN236" s="39">
        <v>0</v>
      </c>
      <c r="BO236" s="39">
        <v>0</v>
      </c>
      <c r="BP236" s="55">
        <v>0</v>
      </c>
      <c r="BQ236" s="77">
        <v>0</v>
      </c>
      <c r="BR236" s="40">
        <v>0</v>
      </c>
      <c r="BS236" s="55">
        <v>0</v>
      </c>
      <c r="BT236" s="39">
        <v>87.732372765390863</v>
      </c>
      <c r="BU236" s="39">
        <v>35.824412704525876</v>
      </c>
      <c r="BV236" s="52">
        <v>-51.907960060864987</v>
      </c>
      <c r="BW236" s="39">
        <v>0</v>
      </c>
      <c r="BX236" s="39">
        <v>0.92980507137798829</v>
      </c>
      <c r="BY236" s="52">
        <v>0.92980507137798829</v>
      </c>
      <c r="BZ236" s="39">
        <v>0</v>
      </c>
      <c r="CA236" s="39">
        <v>137.0503201499771</v>
      </c>
      <c r="CB236" s="52">
        <v>137.0503201499771</v>
      </c>
      <c r="CC236" s="39">
        <v>0</v>
      </c>
      <c r="CD236" s="39">
        <v>0</v>
      </c>
      <c r="CE236" s="52">
        <v>0</v>
      </c>
      <c r="CF236" s="39">
        <v>0</v>
      </c>
      <c r="CG236" s="39">
        <v>0</v>
      </c>
      <c r="CH236" s="52">
        <v>0</v>
      </c>
      <c r="CI236" s="39">
        <v>0</v>
      </c>
      <c r="CJ236" s="39">
        <v>0</v>
      </c>
      <c r="CK236" s="52">
        <v>0</v>
      </c>
      <c r="CL236" s="39">
        <v>0</v>
      </c>
      <c r="CM236" s="39">
        <v>0</v>
      </c>
      <c r="CN236" s="52">
        <v>0</v>
      </c>
      <c r="CO236" s="39">
        <v>0</v>
      </c>
      <c r="CP236" s="40">
        <v>0</v>
      </c>
      <c r="CQ236" s="52">
        <v>0</v>
      </c>
      <c r="CR236" s="72">
        <v>729.91834718211965</v>
      </c>
      <c r="CS236" s="5">
        <v>311.1620813402086</v>
      </c>
      <c r="CT236" s="52">
        <v>-418.75626584191104</v>
      </c>
      <c r="CU236" s="77">
        <v>875.9020166185436</v>
      </c>
      <c r="CV236" s="65">
        <v>373.39449760825033</v>
      </c>
      <c r="CW236" s="35">
        <v>-502.50751901029327</v>
      </c>
      <c r="CX236" s="39">
        <v>13.138530249278153</v>
      </c>
      <c r="CY236" s="39">
        <v>515.64604925957133</v>
      </c>
      <c r="CZ236" s="52">
        <v>502.50751901029315</v>
      </c>
      <c r="DA236" s="150">
        <v>-10299.41288258755</v>
      </c>
      <c r="DB236" s="2">
        <v>2</v>
      </c>
      <c r="DC236" s="713">
        <v>516.5</v>
      </c>
      <c r="DD236" s="714"/>
      <c r="DE236" s="715">
        <v>71.979726566089141</v>
      </c>
      <c r="DF236" s="716">
        <v>0</v>
      </c>
      <c r="DG236" s="717">
        <v>-6134.0028454945559</v>
      </c>
      <c r="DH236" s="718">
        <v>4221.7125147151537</v>
      </c>
      <c r="DI236" s="718">
        <v>10668.48656241386</v>
      </c>
      <c r="DJ236" s="693">
        <v>9056.7930504891847</v>
      </c>
      <c r="DK236" s="724"/>
      <c r="DL236" s="5"/>
      <c r="DM236" s="306">
        <v>1.9352210423766256</v>
      </c>
      <c r="DN236" s="306"/>
      <c r="DO236" s="306">
        <v>1.9352210423766256</v>
      </c>
      <c r="DP236" s="719">
        <v>444.52027343391086</v>
      </c>
      <c r="DQ236" s="720">
        <v>0</v>
      </c>
      <c r="DR236" s="650">
        <v>444.52027343391086</v>
      </c>
      <c r="DS236" s="94">
        <v>444.52027343391086</v>
      </c>
      <c r="DT236" s="719">
        <v>444.51</v>
      </c>
      <c r="DU236" s="721"/>
      <c r="DV236" s="93">
        <v>444.51</v>
      </c>
      <c r="DW236" s="95">
        <v>445.83412645883863</v>
      </c>
      <c r="DX236" s="28">
        <v>-1.3241264588386343</v>
      </c>
      <c r="EA236" s="5">
        <v>656.98105215283647</v>
      </c>
      <c r="EB236" s="5">
        <v>0</v>
      </c>
      <c r="EE236" s="722">
        <v>6569.8105215283649</v>
      </c>
      <c r="EG236" s="42" t="s">
        <v>128</v>
      </c>
    </row>
    <row r="237" spans="1:137" x14ac:dyDescent="0.3">
      <c r="A237" s="325">
        <v>150000726</v>
      </c>
      <c r="B237" s="41" t="s">
        <v>707</v>
      </c>
      <c r="C237" s="42" t="s">
        <v>184</v>
      </c>
      <c r="D237" s="27">
        <v>2</v>
      </c>
      <c r="E237" s="709">
        <v>409.7</v>
      </c>
      <c r="F237" s="723">
        <v>409.7</v>
      </c>
      <c r="G237" s="28"/>
      <c r="H237" s="651">
        <v>0</v>
      </c>
      <c r="I237" s="39">
        <v>327.32270344175856</v>
      </c>
      <c r="J237" s="39">
        <v>349.43039003113142</v>
      </c>
      <c r="K237" s="52">
        <v>22.107686589372861</v>
      </c>
      <c r="L237" s="39">
        <v>55.924551659938601</v>
      </c>
      <c r="M237" s="39">
        <v>60.764716096240775</v>
      </c>
      <c r="N237" s="52">
        <v>4.8401644363021745</v>
      </c>
      <c r="O237" s="39">
        <v>95.5</v>
      </c>
      <c r="P237" s="39">
        <v>95.5</v>
      </c>
      <c r="Q237" s="52">
        <v>0</v>
      </c>
      <c r="R237" s="39">
        <v>0</v>
      </c>
      <c r="S237" s="39">
        <v>0</v>
      </c>
      <c r="T237" s="52">
        <v>0</v>
      </c>
      <c r="U237" s="39">
        <v>0</v>
      </c>
      <c r="V237" s="39">
        <v>0</v>
      </c>
      <c r="W237" s="52">
        <v>0</v>
      </c>
      <c r="X237" s="39">
        <v>160.71800817894464</v>
      </c>
      <c r="Y237" s="39">
        <v>250.35219754142503</v>
      </c>
      <c r="Z237" s="52">
        <v>89.634189362480384</v>
      </c>
      <c r="AA237" s="39">
        <v>0</v>
      </c>
      <c r="AB237" s="39">
        <v>0</v>
      </c>
      <c r="AC237" s="52">
        <v>0</v>
      </c>
      <c r="AD237" s="39">
        <v>291.96802985894811</v>
      </c>
      <c r="AE237" s="39">
        <v>244.99514817958226</v>
      </c>
      <c r="AF237" s="35">
        <v>-46.972881679365855</v>
      </c>
      <c r="AG237" s="77">
        <v>931.43329313958998</v>
      </c>
      <c r="AH237" s="53">
        <v>1001.0424518483794</v>
      </c>
      <c r="AI237" s="52">
        <v>69.609158708789437</v>
      </c>
      <c r="AJ237" s="39">
        <v>0</v>
      </c>
      <c r="AK237" s="39">
        <v>0</v>
      </c>
      <c r="AL237" s="52">
        <v>0</v>
      </c>
      <c r="AM237" s="39">
        <v>0</v>
      </c>
      <c r="AN237" s="39">
        <v>0</v>
      </c>
      <c r="AO237" s="52">
        <v>0</v>
      </c>
      <c r="AP237" s="39">
        <v>189.40352857872995</v>
      </c>
      <c r="AQ237" s="39">
        <v>560.04805654609754</v>
      </c>
      <c r="AR237" s="52">
        <v>370.64452796736759</v>
      </c>
      <c r="AS237" s="39">
        <v>931.67389590225719</v>
      </c>
      <c r="AT237" s="39">
        <v>130</v>
      </c>
      <c r="AU237" s="54">
        <v>-801.67389590225719</v>
      </c>
      <c r="AV237" s="39">
        <v>55.047242791802105</v>
      </c>
      <c r="AW237" s="39">
        <v>0</v>
      </c>
      <c r="AX237" s="55">
        <v>-55.047242791802105</v>
      </c>
      <c r="AY237" s="39">
        <v>72.08773375891468</v>
      </c>
      <c r="AZ237" s="39">
        <v>0</v>
      </c>
      <c r="BA237" s="35">
        <v>-72.08773375891468</v>
      </c>
      <c r="BB237" s="39">
        <v>47.77744413412605</v>
      </c>
      <c r="BC237" s="39">
        <v>0</v>
      </c>
      <c r="BD237" s="55">
        <v>-47.77744413412605</v>
      </c>
      <c r="BE237" s="39">
        <v>0</v>
      </c>
      <c r="BF237" s="39">
        <v>0</v>
      </c>
      <c r="BG237" s="38">
        <v>0</v>
      </c>
      <c r="BH237" s="39">
        <v>0</v>
      </c>
      <c r="BI237" s="39">
        <v>0</v>
      </c>
      <c r="BJ237" s="55">
        <v>0</v>
      </c>
      <c r="BK237" s="39">
        <v>13.131198850039331</v>
      </c>
      <c r="BL237" s="39">
        <v>711</v>
      </c>
      <c r="BM237" s="38">
        <v>697.86880114996063</v>
      </c>
      <c r="BN237" s="39">
        <v>0</v>
      </c>
      <c r="BO237" s="39">
        <v>0</v>
      </c>
      <c r="BP237" s="55">
        <v>0</v>
      </c>
      <c r="BQ237" s="77">
        <v>188.04361953488217</v>
      </c>
      <c r="BR237" s="40">
        <v>711</v>
      </c>
      <c r="BS237" s="55">
        <v>522.95638046511783</v>
      </c>
      <c r="BT237" s="39">
        <v>975.27684272162037</v>
      </c>
      <c r="BU237" s="39">
        <v>230.03851130964557</v>
      </c>
      <c r="BV237" s="52">
        <v>-745.23833141197474</v>
      </c>
      <c r="BW237" s="39">
        <v>581.89933690651253</v>
      </c>
      <c r="BX237" s="39">
        <v>482.73666475327889</v>
      </c>
      <c r="BY237" s="52">
        <v>-99.162672153233643</v>
      </c>
      <c r="BZ237" s="39">
        <v>183.22723722074753</v>
      </c>
      <c r="CA237" s="39">
        <v>940.96317088473484</v>
      </c>
      <c r="CB237" s="52">
        <v>757.73593366398734</v>
      </c>
      <c r="CC237" s="39">
        <v>0</v>
      </c>
      <c r="CD237" s="39">
        <v>0</v>
      </c>
      <c r="CE237" s="52">
        <v>0</v>
      </c>
      <c r="CF237" s="39">
        <v>0</v>
      </c>
      <c r="CG237" s="39">
        <v>0</v>
      </c>
      <c r="CH237" s="52">
        <v>0</v>
      </c>
      <c r="CI237" s="39">
        <v>115.42473859268483</v>
      </c>
      <c r="CJ237" s="39">
        <v>86.198915268683123</v>
      </c>
      <c r="CK237" s="52">
        <v>-29.225823324001709</v>
      </c>
      <c r="CL237" s="39">
        <v>0</v>
      </c>
      <c r="CM237" s="39">
        <v>0</v>
      </c>
      <c r="CN237" s="52">
        <v>0</v>
      </c>
      <c r="CO237" s="39">
        <v>115.42473859268483</v>
      </c>
      <c r="CP237" s="40">
        <v>86.198915268683123</v>
      </c>
      <c r="CQ237" s="52">
        <v>-29.225823324001709</v>
      </c>
      <c r="CR237" s="72">
        <v>4096.3824925970239</v>
      </c>
      <c r="CS237" s="5">
        <v>4142.0277706108191</v>
      </c>
      <c r="CT237" s="52">
        <v>45.645278013795178</v>
      </c>
      <c r="CU237" s="77">
        <v>4915.6589911164283</v>
      </c>
      <c r="CV237" s="65">
        <v>4970.4333247329823</v>
      </c>
      <c r="CW237" s="35">
        <v>54.774333616554031</v>
      </c>
      <c r="CX237" s="39">
        <v>0</v>
      </c>
      <c r="CY237" s="39">
        <v>-54.774333616554941</v>
      </c>
      <c r="CZ237" s="52">
        <v>-54.774333616554941</v>
      </c>
      <c r="DA237" s="150">
        <v>5842.403698020662</v>
      </c>
      <c r="DB237" s="2">
        <v>2</v>
      </c>
      <c r="DC237" s="713">
        <v>4779.1099999999997</v>
      </c>
      <c r="DD237" s="714"/>
      <c r="DE237" s="715">
        <v>2321.280504441786</v>
      </c>
      <c r="DF237" s="716">
        <v>0</v>
      </c>
      <c r="DG237" s="717">
        <v>-2375.6894417913409</v>
      </c>
      <c r="DH237" s="718">
        <v>23603.333783786344</v>
      </c>
      <c r="DI237" s="718">
        <v>58987.90789339714</v>
      </c>
      <c r="DJ237" s="693">
        <v>50141.764365994437</v>
      </c>
      <c r="DK237" s="724"/>
      <c r="DL237" s="5"/>
      <c r="DM237" s="306">
        <v>5.9990956689241246</v>
      </c>
      <c r="DN237" s="306"/>
      <c r="DO237" s="306">
        <v>5.1469121147530057</v>
      </c>
      <c r="DP237" s="719">
        <v>2457.8294955582137</v>
      </c>
      <c r="DQ237" s="720">
        <v>0</v>
      </c>
      <c r="DR237" s="650">
        <v>2457.8294955582137</v>
      </c>
      <c r="DS237" s="94">
        <v>2457.8294955582146</v>
      </c>
      <c r="DT237" s="719">
        <v>2457.8200000000002</v>
      </c>
      <c r="DU237" s="721"/>
      <c r="DV237" s="93">
        <v>2457.8200000000002</v>
      </c>
      <c r="DW237" s="95">
        <v>2457.8294955582141</v>
      </c>
      <c r="DX237" s="28">
        <v>-9.4955582139846229E-3</v>
      </c>
      <c r="EA237" s="5">
        <v>1343.6610185245672</v>
      </c>
      <c r="EB237" s="5">
        <v>1009.1999999999999</v>
      </c>
      <c r="EE237" s="722">
        <v>11180.086750827086</v>
      </c>
      <c r="EG237" s="42" t="s">
        <v>184</v>
      </c>
    </row>
    <row r="238" spans="1:137" x14ac:dyDescent="0.3">
      <c r="A238" s="325">
        <v>150000728</v>
      </c>
      <c r="B238" s="41" t="s">
        <v>709</v>
      </c>
      <c r="C238" s="42" t="s">
        <v>185</v>
      </c>
      <c r="D238" s="27">
        <v>2</v>
      </c>
      <c r="E238" s="709">
        <v>450.6</v>
      </c>
      <c r="F238" s="723">
        <v>386.5</v>
      </c>
      <c r="G238" s="28"/>
      <c r="H238" s="651">
        <v>64.099999999999994</v>
      </c>
      <c r="I238" s="39">
        <v>333.51076696215716</v>
      </c>
      <c r="J238" s="39">
        <v>356.21778851031638</v>
      </c>
      <c r="K238" s="52">
        <v>22.707021548159219</v>
      </c>
      <c r="L238" s="39">
        <v>55.924551659938601</v>
      </c>
      <c r="M238" s="39">
        <v>60.764716096240775</v>
      </c>
      <c r="N238" s="52">
        <v>4.8401644363021745</v>
      </c>
      <c r="O238" s="39">
        <v>107.52</v>
      </c>
      <c r="P238" s="39">
        <v>107.52</v>
      </c>
      <c r="Q238" s="52">
        <v>0</v>
      </c>
      <c r="R238" s="39">
        <v>0</v>
      </c>
      <c r="S238" s="39">
        <v>0</v>
      </c>
      <c r="T238" s="52">
        <v>0</v>
      </c>
      <c r="U238" s="39">
        <v>0</v>
      </c>
      <c r="V238" s="39">
        <v>0</v>
      </c>
      <c r="W238" s="52">
        <v>0</v>
      </c>
      <c r="X238" s="39">
        <v>160.71800817894464</v>
      </c>
      <c r="Y238" s="39">
        <v>95.159284910780229</v>
      </c>
      <c r="Z238" s="52">
        <v>-65.558723268164414</v>
      </c>
      <c r="AA238" s="39">
        <v>0</v>
      </c>
      <c r="AB238" s="39">
        <v>0</v>
      </c>
      <c r="AC238" s="52">
        <v>0</v>
      </c>
      <c r="AD238" s="39">
        <v>321.11494814362226</v>
      </c>
      <c r="AE238" s="39">
        <v>269.45280392902066</v>
      </c>
      <c r="AF238" s="35">
        <v>-51.662144214601597</v>
      </c>
      <c r="AG238" s="77">
        <v>978.78827494466259</v>
      </c>
      <c r="AH238" s="53">
        <v>889.11459344635807</v>
      </c>
      <c r="AI238" s="52">
        <v>-89.673681498304518</v>
      </c>
      <c r="AJ238" s="39">
        <v>0</v>
      </c>
      <c r="AK238" s="39">
        <v>0</v>
      </c>
      <c r="AL238" s="52">
        <v>0</v>
      </c>
      <c r="AM238" s="39">
        <v>0</v>
      </c>
      <c r="AN238" s="39">
        <v>0</v>
      </c>
      <c r="AO238" s="52">
        <v>0</v>
      </c>
      <c r="AP238" s="39">
        <v>165.7280875063887</v>
      </c>
      <c r="AQ238" s="39">
        <v>490.04204947783529</v>
      </c>
      <c r="AR238" s="52">
        <v>324.31396197144659</v>
      </c>
      <c r="AS238" s="39">
        <v>669.94801109952175</v>
      </c>
      <c r="AT238" s="39">
        <v>130</v>
      </c>
      <c r="AU238" s="54">
        <v>-539.94801109952175</v>
      </c>
      <c r="AV238" s="39">
        <v>58.218883533051603</v>
      </c>
      <c r="AW238" s="39">
        <v>0</v>
      </c>
      <c r="AX238" s="55">
        <v>-58.218883533051603</v>
      </c>
      <c r="AY238" s="39">
        <v>72.08773375891468</v>
      </c>
      <c r="AZ238" s="39">
        <v>0</v>
      </c>
      <c r="BA238" s="35">
        <v>-72.08773375891468</v>
      </c>
      <c r="BB238" s="39">
        <v>53.860905364050453</v>
      </c>
      <c r="BC238" s="39">
        <v>0</v>
      </c>
      <c r="BD238" s="55">
        <v>-53.860905364050453</v>
      </c>
      <c r="BE238" s="39">
        <v>0</v>
      </c>
      <c r="BF238" s="39">
        <v>0</v>
      </c>
      <c r="BG238" s="38">
        <v>0</v>
      </c>
      <c r="BH238" s="39">
        <v>0</v>
      </c>
      <c r="BI238" s="39">
        <v>0</v>
      </c>
      <c r="BJ238" s="55">
        <v>0</v>
      </c>
      <c r="BK238" s="39">
        <v>13.131198850039331</v>
      </c>
      <c r="BL238" s="39">
        <v>0</v>
      </c>
      <c r="BM238" s="38">
        <v>-13.131198850039331</v>
      </c>
      <c r="BN238" s="39">
        <v>0</v>
      </c>
      <c r="BO238" s="39">
        <v>0</v>
      </c>
      <c r="BP238" s="55">
        <v>0</v>
      </c>
      <c r="BQ238" s="77">
        <v>197.29872150605607</v>
      </c>
      <c r="BR238" s="40">
        <v>0</v>
      </c>
      <c r="BS238" s="55">
        <v>-197.29872150605607</v>
      </c>
      <c r="BT238" s="39">
        <v>998.385822723616</v>
      </c>
      <c r="BU238" s="39">
        <v>219.42650389540876</v>
      </c>
      <c r="BV238" s="52">
        <v>-778.95931882820719</v>
      </c>
      <c r="BW238" s="39">
        <v>802.9280128816464</v>
      </c>
      <c r="BX238" s="39">
        <v>672.81346726030279</v>
      </c>
      <c r="BY238" s="52">
        <v>-130.11454562134361</v>
      </c>
      <c r="BZ238" s="39">
        <v>177.85096626383185</v>
      </c>
      <c r="CA238" s="39">
        <v>896.94545065461011</v>
      </c>
      <c r="CB238" s="52">
        <v>719.09448439077823</v>
      </c>
      <c r="CC238" s="39">
        <v>0</v>
      </c>
      <c r="CD238" s="39">
        <v>0</v>
      </c>
      <c r="CE238" s="52">
        <v>0</v>
      </c>
      <c r="CF238" s="39">
        <v>0</v>
      </c>
      <c r="CG238" s="39">
        <v>0</v>
      </c>
      <c r="CH238" s="52">
        <v>0</v>
      </c>
      <c r="CI238" s="39">
        <v>159.09896400613314</v>
      </c>
      <c r="CJ238" s="39">
        <v>76.94828102664232</v>
      </c>
      <c r="CK238" s="52">
        <v>-82.150682979490824</v>
      </c>
      <c r="CL238" s="39">
        <v>0</v>
      </c>
      <c r="CM238" s="39">
        <v>0</v>
      </c>
      <c r="CN238" s="52">
        <v>0</v>
      </c>
      <c r="CO238" s="39">
        <v>159.09896400613314</v>
      </c>
      <c r="CP238" s="40">
        <v>76.94828102664232</v>
      </c>
      <c r="CQ238" s="52">
        <v>-82.150682979490824</v>
      </c>
      <c r="CR238" s="72">
        <v>4150.0268609318564</v>
      </c>
      <c r="CS238" s="5">
        <v>3375.2903457611569</v>
      </c>
      <c r="CT238" s="52">
        <v>-774.73651517069948</v>
      </c>
      <c r="CU238" s="77">
        <v>4980.0322331182279</v>
      </c>
      <c r="CV238" s="65">
        <v>4050.3484149133883</v>
      </c>
      <c r="CW238" s="35">
        <v>-929.68381820483955</v>
      </c>
      <c r="CX238" s="39">
        <v>124.5008058279557</v>
      </c>
      <c r="CY238" s="39">
        <v>1054.1846240327943</v>
      </c>
      <c r="CZ238" s="52">
        <v>929.68381820483864</v>
      </c>
      <c r="DA238" s="150">
        <v>21815.721655189893</v>
      </c>
      <c r="DB238" s="2">
        <v>2</v>
      </c>
      <c r="DC238" s="713">
        <v>5012.8100000000004</v>
      </c>
      <c r="DD238" s="714">
        <v>713.93</v>
      </c>
      <c r="DE238" s="715">
        <v>2753.3700611714085</v>
      </c>
      <c r="DF238" s="716">
        <v>421.10341935550076</v>
      </c>
      <c r="DG238" s="717">
        <v>-5904.3263651682146</v>
      </c>
      <c r="DH238" s="718">
        <v>24625.122364254123</v>
      </c>
      <c r="DI238" s="718">
        <v>61254.3964673542</v>
      </c>
      <c r="DJ238" s="693">
        <v>52097.077941579177</v>
      </c>
      <c r="DK238" s="724"/>
      <c r="DL238" s="5"/>
      <c r="DM238" s="306">
        <v>5.8458989361671208</v>
      </c>
      <c r="DN238" s="306"/>
      <c r="DO238" s="306">
        <v>4.5682773891497535</v>
      </c>
      <c r="DP238" s="719">
        <v>2259.4399388285919</v>
      </c>
      <c r="DQ238" s="720">
        <v>292.82658064449919</v>
      </c>
      <c r="DR238" s="650">
        <v>2552.2665194730912</v>
      </c>
      <c r="DS238" s="94">
        <v>2552.2665194730921</v>
      </c>
      <c r="DT238" s="719">
        <v>2259.4299999999998</v>
      </c>
      <c r="DU238" s="725">
        <v>292.82</v>
      </c>
      <c r="DV238" s="93">
        <v>2552.25</v>
      </c>
      <c r="DW238" s="95">
        <v>2564.7166000558868</v>
      </c>
      <c r="DX238" s="28">
        <v>-12.466600055886829</v>
      </c>
      <c r="EA238" s="5">
        <v>1040.6960791266933</v>
      </c>
      <c r="EB238" s="5">
        <v>156</v>
      </c>
      <c r="EE238" s="722">
        <v>8039.3761331942605</v>
      </c>
      <c r="EG238" s="42" t="s">
        <v>185</v>
      </c>
    </row>
    <row r="239" spans="1:137" x14ac:dyDescent="0.3">
      <c r="A239" s="325">
        <v>150000729</v>
      </c>
      <c r="B239" s="41" t="s">
        <v>710</v>
      </c>
      <c r="C239" s="42" t="s">
        <v>274</v>
      </c>
      <c r="D239" s="27">
        <v>5</v>
      </c>
      <c r="E239" s="709">
        <v>2102.6</v>
      </c>
      <c r="F239" s="723">
        <v>2102.6</v>
      </c>
      <c r="G239" s="28"/>
      <c r="H239" s="651">
        <v>0</v>
      </c>
      <c r="I239" s="39">
        <v>1412.3497975921871</v>
      </c>
      <c r="J239" s="39">
        <v>1515.1435083446747</v>
      </c>
      <c r="K239" s="52">
        <v>102.79371075248764</v>
      </c>
      <c r="L239" s="39">
        <v>299.29898953786147</v>
      </c>
      <c r="M239" s="39">
        <v>325.20375836691812</v>
      </c>
      <c r="N239" s="52">
        <v>25.90476882905665</v>
      </c>
      <c r="O239" s="39">
        <v>523.96</v>
      </c>
      <c r="P239" s="39">
        <v>523.96</v>
      </c>
      <c r="Q239" s="52">
        <v>0</v>
      </c>
      <c r="R239" s="39">
        <v>0</v>
      </c>
      <c r="S239" s="39">
        <v>0</v>
      </c>
      <c r="T239" s="52">
        <v>0</v>
      </c>
      <c r="U239" s="39">
        <v>0</v>
      </c>
      <c r="V239" s="39">
        <v>0</v>
      </c>
      <c r="W239" s="52">
        <v>0</v>
      </c>
      <c r="X239" s="39">
        <v>939.72715203929658</v>
      </c>
      <c r="Y239" s="39">
        <v>580.45033666345375</v>
      </c>
      <c r="Z239" s="52">
        <v>-359.27681537584283</v>
      </c>
      <c r="AA239" s="39">
        <v>0</v>
      </c>
      <c r="AB239" s="39">
        <v>0</v>
      </c>
      <c r="AC239" s="52">
        <v>0</v>
      </c>
      <c r="AD239" s="39">
        <v>1498.3938969524636</v>
      </c>
      <c r="AE239" s="39">
        <v>1257.3268209968016</v>
      </c>
      <c r="AF239" s="35">
        <v>-241.06707595566195</v>
      </c>
      <c r="AG239" s="77">
        <v>4673.7298361218091</v>
      </c>
      <c r="AH239" s="53">
        <v>4202.0844243718484</v>
      </c>
      <c r="AI239" s="52">
        <v>-471.64541174996066</v>
      </c>
      <c r="AJ239" s="39">
        <v>0</v>
      </c>
      <c r="AK239" s="39">
        <v>0</v>
      </c>
      <c r="AL239" s="52">
        <v>0</v>
      </c>
      <c r="AM239" s="39">
        <v>0</v>
      </c>
      <c r="AN239" s="39">
        <v>0</v>
      </c>
      <c r="AO239" s="52">
        <v>0</v>
      </c>
      <c r="AP239" s="39">
        <v>947.01764289364974</v>
      </c>
      <c r="AQ239" s="39">
        <v>0</v>
      </c>
      <c r="AR239" s="52">
        <v>-947.01764289364974</v>
      </c>
      <c r="AS239" s="39">
        <v>4693.1017113782236</v>
      </c>
      <c r="AT239" s="39">
        <v>512</v>
      </c>
      <c r="AU239" s="54">
        <v>-4181.1017113782236</v>
      </c>
      <c r="AV239" s="39">
        <v>249.80458999544032</v>
      </c>
      <c r="AW239" s="39">
        <v>0</v>
      </c>
      <c r="AX239" s="55">
        <v>-249.80458999544032</v>
      </c>
      <c r="AY239" s="39">
        <v>385.7367251097441</v>
      </c>
      <c r="AZ239" s="39">
        <v>0</v>
      </c>
      <c r="BA239" s="35">
        <v>-385.7367251097441</v>
      </c>
      <c r="BB239" s="39">
        <v>225.03237420717613</v>
      </c>
      <c r="BC239" s="39">
        <v>0</v>
      </c>
      <c r="BD239" s="55">
        <v>-225.03237420717613</v>
      </c>
      <c r="BE239" s="39">
        <v>0</v>
      </c>
      <c r="BF239" s="39">
        <v>0</v>
      </c>
      <c r="BG239" s="38">
        <v>0</v>
      </c>
      <c r="BH239" s="39">
        <v>0</v>
      </c>
      <c r="BI239" s="39">
        <v>0</v>
      </c>
      <c r="BJ239" s="55">
        <v>0</v>
      </c>
      <c r="BK239" s="39">
        <v>128.96003314994545</v>
      </c>
      <c r="BL239" s="39">
        <v>0</v>
      </c>
      <c r="BM239" s="38">
        <v>-128.96003314994545</v>
      </c>
      <c r="BN239" s="39">
        <v>0</v>
      </c>
      <c r="BO239" s="39">
        <v>0</v>
      </c>
      <c r="BP239" s="55">
        <v>0</v>
      </c>
      <c r="BQ239" s="77">
        <v>989.53372246230606</v>
      </c>
      <c r="BR239" s="40">
        <v>0</v>
      </c>
      <c r="BS239" s="55">
        <v>-989.53372246230606</v>
      </c>
      <c r="BT239" s="39">
        <v>2174.3199739358015</v>
      </c>
      <c r="BU239" s="39">
        <v>644.37056864852138</v>
      </c>
      <c r="BV239" s="52">
        <v>-1529.9494052872801</v>
      </c>
      <c r="BW239" s="39">
        <v>1926.4745622324472</v>
      </c>
      <c r="BX239" s="39">
        <v>1680.6603612477063</v>
      </c>
      <c r="BY239" s="52">
        <v>-245.81420098474086</v>
      </c>
      <c r="BZ239" s="39">
        <v>879.31083166086194</v>
      </c>
      <c r="CA239" s="39">
        <v>2621.3326734026905</v>
      </c>
      <c r="CB239" s="52">
        <v>1742.0218417418287</v>
      </c>
      <c r="CC239" s="39">
        <v>185.30349925420214</v>
      </c>
      <c r="CD239" s="39">
        <v>182.81522229125613</v>
      </c>
      <c r="CE239" s="52">
        <v>-2.4882769629460029</v>
      </c>
      <c r="CF239" s="39">
        <v>22.81198380970292</v>
      </c>
      <c r="CG239" s="39">
        <v>0</v>
      </c>
      <c r="CH239" s="52">
        <v>-22.81198380970292</v>
      </c>
      <c r="CI239" s="39">
        <v>452.34019178214317</v>
      </c>
      <c r="CJ239" s="39">
        <v>769.62899532583049</v>
      </c>
      <c r="CK239" s="52">
        <v>317.28880354368732</v>
      </c>
      <c r="CL239" s="39">
        <v>0</v>
      </c>
      <c r="CM239" s="39">
        <v>0</v>
      </c>
      <c r="CN239" s="52">
        <v>0</v>
      </c>
      <c r="CO239" s="39">
        <v>452.34019178214317</v>
      </c>
      <c r="CP239" s="40">
        <v>769.62899532583049</v>
      </c>
      <c r="CQ239" s="52">
        <v>317.28880354368732</v>
      </c>
      <c r="CR239" s="72">
        <v>16943.943955531151</v>
      </c>
      <c r="CS239" s="5">
        <v>10612.892245287854</v>
      </c>
      <c r="CT239" s="52">
        <v>-6331.0517102432968</v>
      </c>
      <c r="CU239" s="77">
        <v>20332.732746637379</v>
      </c>
      <c r="CV239" s="65">
        <v>12735.470694345424</v>
      </c>
      <c r="CW239" s="35">
        <v>-7597.2620522919551</v>
      </c>
      <c r="CX239" s="39">
        <v>1016.636637331869</v>
      </c>
      <c r="CY239" s="39">
        <v>8613.8986896238239</v>
      </c>
      <c r="CZ239" s="52">
        <v>7597.2620522919551</v>
      </c>
      <c r="DA239" s="150">
        <v>-33773.5462031516</v>
      </c>
      <c r="DB239" s="2">
        <v>2</v>
      </c>
      <c r="DC239" s="713">
        <v>24870.91</v>
      </c>
      <c r="DD239" s="714"/>
      <c r="DE239" s="715">
        <v>14196.225308015373</v>
      </c>
      <c r="DF239" s="716">
        <v>0</v>
      </c>
      <c r="DG239" s="717">
        <v>10452.663635201618</v>
      </c>
      <c r="DH239" s="718">
        <v>102907.20002223529</v>
      </c>
      <c r="DI239" s="718">
        <v>256192.432607631</v>
      </c>
      <c r="DJ239" s="693">
        <v>217871.12446128207</v>
      </c>
      <c r="DK239" s="724"/>
      <c r="DL239" s="5"/>
      <c r="DM239" s="306">
        <v>5.0768975040353022</v>
      </c>
      <c r="DN239" s="306"/>
      <c r="DO239" s="306">
        <v>4.4996697982394105</v>
      </c>
      <c r="DP239" s="719">
        <v>10674.684691984627</v>
      </c>
      <c r="DQ239" s="720">
        <v>0</v>
      </c>
      <c r="DR239" s="650">
        <v>10674.684691984627</v>
      </c>
      <c r="DS239" s="94">
        <v>10674.684691984623</v>
      </c>
      <c r="DT239" s="719">
        <v>10664.01</v>
      </c>
      <c r="DU239" s="721"/>
      <c r="DV239" s="93">
        <v>10664.01</v>
      </c>
      <c r="DW239" s="95">
        <v>10776.348355717813</v>
      </c>
      <c r="DX239" s="28">
        <v>-112.3383557178131</v>
      </c>
      <c r="EA239" s="5">
        <v>6819.1625206086355</v>
      </c>
      <c r="EB239" s="5">
        <v>614.4</v>
      </c>
      <c r="EE239" s="722">
        <v>56317.220536538684</v>
      </c>
      <c r="EG239" s="42" t="s">
        <v>274</v>
      </c>
    </row>
    <row r="240" spans="1:137" x14ac:dyDescent="0.3">
      <c r="A240" s="325">
        <v>150000721</v>
      </c>
      <c r="B240" s="41" t="s">
        <v>711</v>
      </c>
      <c r="C240" s="42" t="s">
        <v>219</v>
      </c>
      <c r="D240" s="27">
        <v>4</v>
      </c>
      <c r="E240" s="709">
        <v>2791.9</v>
      </c>
      <c r="F240" s="723">
        <v>2723.3</v>
      </c>
      <c r="G240" s="28"/>
      <c r="H240" s="651">
        <v>68.599999999999994</v>
      </c>
      <c r="I240" s="39">
        <v>1762.7751319934337</v>
      </c>
      <c r="J240" s="39">
        <v>1896.1512398094014</v>
      </c>
      <c r="K240" s="52">
        <v>133.37610781596777</v>
      </c>
      <c r="L240" s="39">
        <v>247.51688833927398</v>
      </c>
      <c r="M240" s="39">
        <v>268.94013235188044</v>
      </c>
      <c r="N240" s="52">
        <v>21.42324401260646</v>
      </c>
      <c r="O240" s="39">
        <v>625.32000000000005</v>
      </c>
      <c r="P240" s="39">
        <v>625.32000000000005</v>
      </c>
      <c r="Q240" s="52">
        <v>0</v>
      </c>
      <c r="R240" s="39">
        <v>0</v>
      </c>
      <c r="S240" s="39">
        <v>0</v>
      </c>
      <c r="T240" s="52">
        <v>0</v>
      </c>
      <c r="U240" s="39">
        <v>0</v>
      </c>
      <c r="V240" s="39">
        <v>0</v>
      </c>
      <c r="W240" s="52">
        <v>0</v>
      </c>
      <c r="X240" s="39">
        <v>773.10054146450511</v>
      </c>
      <c r="Y240" s="39">
        <v>457.64742029878789</v>
      </c>
      <c r="Z240" s="52">
        <v>-315.45312116571722</v>
      </c>
      <c r="AA240" s="39">
        <v>0</v>
      </c>
      <c r="AB240" s="39">
        <v>0</v>
      </c>
      <c r="AC240" s="52">
        <v>0</v>
      </c>
      <c r="AD240" s="39">
        <v>1989.6156762587195</v>
      </c>
      <c r="AE240" s="39">
        <v>1669.5190485784128</v>
      </c>
      <c r="AF240" s="35">
        <v>-320.09662768030671</v>
      </c>
      <c r="AG240" s="77">
        <v>5398.3282380559322</v>
      </c>
      <c r="AH240" s="53">
        <v>4917.5778410384828</v>
      </c>
      <c r="AI240" s="52">
        <v>-480.75039701744936</v>
      </c>
      <c r="AJ240" s="39">
        <v>0</v>
      </c>
      <c r="AK240" s="39">
        <v>0</v>
      </c>
      <c r="AL240" s="52">
        <v>0</v>
      </c>
      <c r="AM240" s="39">
        <v>0</v>
      </c>
      <c r="AN240" s="39">
        <v>0</v>
      </c>
      <c r="AO240" s="52">
        <v>0</v>
      </c>
      <c r="AP240" s="39">
        <v>1633.6054339915459</v>
      </c>
      <c r="AQ240" s="39">
        <v>0</v>
      </c>
      <c r="AR240" s="52">
        <v>-1633.6054339915459</v>
      </c>
      <c r="AS240" s="39">
        <v>5274.8921488145579</v>
      </c>
      <c r="AT240" s="39">
        <v>7555.6039532951118</v>
      </c>
      <c r="AU240" s="54">
        <v>2280.7118044805538</v>
      </c>
      <c r="AV240" s="39">
        <v>276.78672703023619</v>
      </c>
      <c r="AW240" s="39">
        <v>1526</v>
      </c>
      <c r="AX240" s="55">
        <v>1249.2132729697637</v>
      </c>
      <c r="AY240" s="39">
        <v>319.0193196255849</v>
      </c>
      <c r="AZ240" s="39">
        <v>0</v>
      </c>
      <c r="BA240" s="35">
        <v>-319.0193196255849</v>
      </c>
      <c r="BB240" s="39">
        <v>346.12883444303247</v>
      </c>
      <c r="BC240" s="39">
        <v>0</v>
      </c>
      <c r="BD240" s="55">
        <v>-346.12883444303247</v>
      </c>
      <c r="BE240" s="39">
        <v>0</v>
      </c>
      <c r="BF240" s="39">
        <v>0</v>
      </c>
      <c r="BG240" s="38">
        <v>0</v>
      </c>
      <c r="BH240" s="39">
        <v>0</v>
      </c>
      <c r="BI240" s="39">
        <v>0</v>
      </c>
      <c r="BJ240" s="55">
        <v>0</v>
      </c>
      <c r="BK240" s="39">
        <v>113.23255725526957</v>
      </c>
      <c r="BL240" s="39">
        <v>0</v>
      </c>
      <c r="BM240" s="38">
        <v>-113.23255725526957</v>
      </c>
      <c r="BN240" s="39">
        <v>0</v>
      </c>
      <c r="BO240" s="39">
        <v>0</v>
      </c>
      <c r="BP240" s="55">
        <v>0</v>
      </c>
      <c r="BQ240" s="77">
        <v>1055.1674383541231</v>
      </c>
      <c r="BR240" s="40">
        <v>1526</v>
      </c>
      <c r="BS240" s="55">
        <v>470.83256164587692</v>
      </c>
      <c r="BT240" s="39">
        <v>5955.8271266455595</v>
      </c>
      <c r="BU240" s="39">
        <v>1531.3812623445847</v>
      </c>
      <c r="BV240" s="52">
        <v>-4424.4458643009748</v>
      </c>
      <c r="BW240" s="39">
        <v>2935.1660347396864</v>
      </c>
      <c r="BX240" s="39">
        <v>2544.7418571859625</v>
      </c>
      <c r="BY240" s="52">
        <v>-390.42417755372389</v>
      </c>
      <c r="BZ240" s="39">
        <v>1902.5954635965757</v>
      </c>
      <c r="CA240" s="39">
        <v>6586.8261410105333</v>
      </c>
      <c r="CB240" s="52">
        <v>4684.2306774139579</v>
      </c>
      <c r="CC240" s="39">
        <v>0</v>
      </c>
      <c r="CD240" s="39">
        <v>0</v>
      </c>
      <c r="CE240" s="52">
        <v>0</v>
      </c>
      <c r="CF240" s="39">
        <v>0</v>
      </c>
      <c r="CG240" s="39">
        <v>0</v>
      </c>
      <c r="CH240" s="52">
        <v>0</v>
      </c>
      <c r="CI240" s="39">
        <v>340.03504071899044</v>
      </c>
      <c r="CJ240" s="39">
        <v>484.77972550010412</v>
      </c>
      <c r="CK240" s="52">
        <v>144.74468478111368</v>
      </c>
      <c r="CL240" s="39">
        <v>0</v>
      </c>
      <c r="CM240" s="39">
        <v>0</v>
      </c>
      <c r="CN240" s="52">
        <v>0</v>
      </c>
      <c r="CO240" s="39">
        <v>340.03504071899044</v>
      </c>
      <c r="CP240" s="40">
        <v>484.77972550010412</v>
      </c>
      <c r="CQ240" s="52">
        <v>144.74468478111368</v>
      </c>
      <c r="CR240" s="72">
        <v>24495.616924916972</v>
      </c>
      <c r="CS240" s="5">
        <v>25146.910780374779</v>
      </c>
      <c r="CT240" s="52">
        <v>651.29385545780679</v>
      </c>
      <c r="CU240" s="77">
        <v>29394.740309900368</v>
      </c>
      <c r="CV240" s="65">
        <v>30176.292936449732</v>
      </c>
      <c r="CW240" s="35">
        <v>781.5526265493645</v>
      </c>
      <c r="CX240" s="39">
        <v>734.86850774750928</v>
      </c>
      <c r="CY240" s="39">
        <v>-46.684118801857039</v>
      </c>
      <c r="CZ240" s="52">
        <v>-781.55262654936632</v>
      </c>
      <c r="DA240" s="150">
        <v>119607.63297873203</v>
      </c>
      <c r="DB240" s="2">
        <v>2</v>
      </c>
      <c r="DC240" s="713">
        <v>38563.449999999997</v>
      </c>
      <c r="DD240" s="714">
        <v>0</v>
      </c>
      <c r="DE240" s="715">
        <v>23824.450191127951</v>
      </c>
      <c r="DF240" s="716">
        <v>-325.80459995189278</v>
      </c>
      <c r="DG240" s="717">
        <v>30640.981388067754</v>
      </c>
      <c r="DH240" s="718">
        <v>144914.08859497364</v>
      </c>
      <c r="DI240" s="718">
        <v>361555.30581177451</v>
      </c>
      <c r="DJ240" s="693">
        <v>307395.00150757428</v>
      </c>
      <c r="DK240" s="724"/>
      <c r="DL240" s="5"/>
      <c r="DM240" s="306">
        <v>5.412183677476607</v>
      </c>
      <c r="DN240" s="306"/>
      <c r="DO240" s="306">
        <v>4.7493381917185538</v>
      </c>
      <c r="DP240" s="719">
        <v>14738.999808872044</v>
      </c>
      <c r="DQ240" s="720">
        <v>325.80459995189278</v>
      </c>
      <c r="DR240" s="650">
        <v>15064.804408823937</v>
      </c>
      <c r="DS240" s="94">
        <v>15064.80440882394</v>
      </c>
      <c r="DT240" s="719">
        <v>14731.46</v>
      </c>
      <c r="DU240" s="725">
        <v>316.77</v>
      </c>
      <c r="DV240" s="93">
        <v>15048.23</v>
      </c>
      <c r="DW240" s="95">
        <v>15138.291259598685</v>
      </c>
      <c r="DX240" s="28">
        <v>-90.061259598685865</v>
      </c>
      <c r="EA240" s="5">
        <v>7596.071504602417</v>
      </c>
      <c r="EB240" s="5">
        <v>10897.924743954132</v>
      </c>
      <c r="EE240" s="722">
        <v>63298.705785774699</v>
      </c>
      <c r="EG240" s="42" t="s">
        <v>219</v>
      </c>
    </row>
    <row r="241" spans="1:137" x14ac:dyDescent="0.3">
      <c r="A241" s="325">
        <v>150000722</v>
      </c>
      <c r="B241" s="41" t="s">
        <v>712</v>
      </c>
      <c r="C241" s="42" t="s">
        <v>275</v>
      </c>
      <c r="D241" s="27">
        <v>5</v>
      </c>
      <c r="E241" s="709">
        <v>3559.5</v>
      </c>
      <c r="F241" s="723">
        <v>3559.5</v>
      </c>
      <c r="G241" s="28"/>
      <c r="H241" s="651">
        <v>0</v>
      </c>
      <c r="I241" s="39">
        <v>2033.8603633767334</v>
      </c>
      <c r="J241" s="39">
        <v>2190.4603309032309</v>
      </c>
      <c r="K241" s="52">
        <v>156.59996752649749</v>
      </c>
      <c r="L241" s="39">
        <v>345.21193849411895</v>
      </c>
      <c r="M241" s="39">
        <v>375.09084010025163</v>
      </c>
      <c r="N241" s="52">
        <v>29.878901606132672</v>
      </c>
      <c r="O241" s="39">
        <v>813</v>
      </c>
      <c r="P241" s="39">
        <v>813</v>
      </c>
      <c r="Q241" s="52">
        <v>0</v>
      </c>
      <c r="R241" s="39">
        <v>0</v>
      </c>
      <c r="S241" s="39">
        <v>0</v>
      </c>
      <c r="T241" s="52">
        <v>0</v>
      </c>
      <c r="U241" s="39">
        <v>0</v>
      </c>
      <c r="V241" s="39">
        <v>0</v>
      </c>
      <c r="W241" s="52">
        <v>0</v>
      </c>
      <c r="X241" s="39">
        <v>1458.8328846659915</v>
      </c>
      <c r="Y241" s="39">
        <v>918.46608073317861</v>
      </c>
      <c r="Z241" s="52">
        <v>-540.3668039328129</v>
      </c>
      <c r="AA241" s="39">
        <v>0</v>
      </c>
      <c r="AB241" s="39">
        <v>0</v>
      </c>
      <c r="AC241" s="52">
        <v>0</v>
      </c>
      <c r="AD241" s="39">
        <v>2536.6370570732875</v>
      </c>
      <c r="AE241" s="39">
        <v>2128.5336342329097</v>
      </c>
      <c r="AF241" s="35">
        <v>-408.10342284037779</v>
      </c>
      <c r="AG241" s="77">
        <v>7187.5422436101308</v>
      </c>
      <c r="AH241" s="53">
        <v>6425.550885969571</v>
      </c>
      <c r="AI241" s="52">
        <v>-761.99135764055973</v>
      </c>
      <c r="AJ241" s="39">
        <v>0</v>
      </c>
      <c r="AK241" s="39">
        <v>0</v>
      </c>
      <c r="AL241" s="52">
        <v>0</v>
      </c>
      <c r="AM241" s="39">
        <v>0</v>
      </c>
      <c r="AN241" s="39">
        <v>0</v>
      </c>
      <c r="AO241" s="52">
        <v>0</v>
      </c>
      <c r="AP241" s="39">
        <v>1894.0352857872995</v>
      </c>
      <c r="AQ241" s="39">
        <v>0</v>
      </c>
      <c r="AR241" s="52">
        <v>-1894.0352857872995</v>
      </c>
      <c r="AS241" s="39">
        <v>9634.576653702592</v>
      </c>
      <c r="AT241" s="39">
        <v>7398</v>
      </c>
      <c r="AU241" s="54">
        <v>-2236.576653702592</v>
      </c>
      <c r="AV241" s="39">
        <v>323.47028542496639</v>
      </c>
      <c r="AW241" s="39">
        <v>0</v>
      </c>
      <c r="AX241" s="55">
        <v>-323.47028542496639</v>
      </c>
      <c r="AY241" s="39">
        <v>444.88882070319545</v>
      </c>
      <c r="AZ241" s="39">
        <v>0</v>
      </c>
      <c r="BA241" s="35">
        <v>-444.88882070319545</v>
      </c>
      <c r="BB241" s="39">
        <v>469.97318737165875</v>
      </c>
      <c r="BC241" s="39">
        <v>0</v>
      </c>
      <c r="BD241" s="55">
        <v>-469.97318737165875</v>
      </c>
      <c r="BE241" s="39">
        <v>0</v>
      </c>
      <c r="BF241" s="39">
        <v>0</v>
      </c>
      <c r="BG241" s="38">
        <v>0</v>
      </c>
      <c r="BH241" s="39">
        <v>0</v>
      </c>
      <c r="BI241" s="39">
        <v>0</v>
      </c>
      <c r="BJ241" s="55">
        <v>0</v>
      </c>
      <c r="BK241" s="39">
        <v>179.51138020506116</v>
      </c>
      <c r="BL241" s="39">
        <v>11384</v>
      </c>
      <c r="BM241" s="38">
        <v>11204.488619794938</v>
      </c>
      <c r="BN241" s="39">
        <v>0</v>
      </c>
      <c r="BO241" s="39">
        <v>0</v>
      </c>
      <c r="BP241" s="55">
        <v>0</v>
      </c>
      <c r="BQ241" s="77">
        <v>1417.8436737048817</v>
      </c>
      <c r="BR241" s="40">
        <v>11384</v>
      </c>
      <c r="BS241" s="55">
        <v>9966.1563262951186</v>
      </c>
      <c r="BT241" s="39">
        <v>4105.1319113664031</v>
      </c>
      <c r="BU241" s="39">
        <v>1171.6697375693955</v>
      </c>
      <c r="BV241" s="52">
        <v>-2933.4621737970074</v>
      </c>
      <c r="BW241" s="39">
        <v>2922.8817848610447</v>
      </c>
      <c r="BX241" s="39">
        <v>2589.6419841756128</v>
      </c>
      <c r="BY241" s="52">
        <v>-333.23980068543187</v>
      </c>
      <c r="BZ241" s="39">
        <v>1922.0816475218207</v>
      </c>
      <c r="CA241" s="39">
        <v>4863.9652797816316</v>
      </c>
      <c r="CB241" s="52">
        <v>2941.8836322598108</v>
      </c>
      <c r="CC241" s="39">
        <v>305.79979585918329</v>
      </c>
      <c r="CD241" s="39">
        <v>301.69348059599349</v>
      </c>
      <c r="CE241" s="52">
        <v>-4.1063152631897992</v>
      </c>
      <c r="CF241" s="39">
        <v>37.645808202361586</v>
      </c>
      <c r="CG241" s="39">
        <v>0</v>
      </c>
      <c r="CH241" s="52">
        <v>-37.645808202361586</v>
      </c>
      <c r="CI241" s="39">
        <v>311.95875295320229</v>
      </c>
      <c r="CJ241" s="39">
        <v>414.04531318716602</v>
      </c>
      <c r="CK241" s="52">
        <v>102.08656023396372</v>
      </c>
      <c r="CL241" s="39">
        <v>0</v>
      </c>
      <c r="CM241" s="39">
        <v>0</v>
      </c>
      <c r="CN241" s="52">
        <v>0</v>
      </c>
      <c r="CO241" s="39">
        <v>311.95875295320229</v>
      </c>
      <c r="CP241" s="40">
        <v>414.04531318716602</v>
      </c>
      <c r="CQ241" s="52">
        <v>102.08656023396372</v>
      </c>
      <c r="CR241" s="72">
        <v>29739.49755756892</v>
      </c>
      <c r="CS241" s="5">
        <v>34548.566681279372</v>
      </c>
      <c r="CT241" s="52">
        <v>4809.0691237104511</v>
      </c>
      <c r="CU241" s="77">
        <v>35687.397069082705</v>
      </c>
      <c r="CV241" s="65">
        <v>41458.280017535246</v>
      </c>
      <c r="CW241" s="35">
        <v>5770.8829484525413</v>
      </c>
      <c r="CX241" s="39">
        <v>1070.6219120724811</v>
      </c>
      <c r="CY241" s="39">
        <v>-4700.2610363800595</v>
      </c>
      <c r="CZ241" s="52">
        <v>-5770.8829484525404</v>
      </c>
      <c r="DA241" s="150">
        <v>25368.922876096629</v>
      </c>
      <c r="DB241" s="2">
        <v>2</v>
      </c>
      <c r="DC241" s="713">
        <v>49279.74</v>
      </c>
      <c r="DD241" s="714"/>
      <c r="DE241" s="715">
        <v>30900.730509422407</v>
      </c>
      <c r="DF241" s="716">
        <v>0</v>
      </c>
      <c r="DG241" s="717">
        <v>1867.3567453412397</v>
      </c>
      <c r="DH241" s="718">
        <v>182121.52929504111</v>
      </c>
      <c r="DI241" s="718">
        <v>441096.22777386219</v>
      </c>
      <c r="DJ241" s="693">
        <v>376352.55315415689</v>
      </c>
      <c r="DK241" s="724"/>
      <c r="DL241" s="5"/>
      <c r="DM241" s="306">
        <v>5.1633683075088053</v>
      </c>
      <c r="DN241" s="306"/>
      <c r="DO241" s="306">
        <v>4.6558978922695511</v>
      </c>
      <c r="DP241" s="719">
        <v>18379.009490577591</v>
      </c>
      <c r="DQ241" s="720">
        <v>0</v>
      </c>
      <c r="DR241" s="650">
        <v>18379.009490577591</v>
      </c>
      <c r="DS241" s="94">
        <v>18379.009490577591</v>
      </c>
      <c r="DT241" s="719">
        <v>18387.38</v>
      </c>
      <c r="DU241" s="721"/>
      <c r="DV241" s="93">
        <v>18387.38</v>
      </c>
      <c r="DW241" s="95">
        <v>18486.071681784841</v>
      </c>
      <c r="DX241" s="28">
        <v>-98.691681784839602</v>
      </c>
      <c r="EA241" s="5">
        <v>13262.904392888968</v>
      </c>
      <c r="EB241" s="5">
        <v>22538.399999999998</v>
      </c>
      <c r="EE241" s="722">
        <v>115614.9198444311</v>
      </c>
      <c r="EG241" s="42" t="s">
        <v>275</v>
      </c>
    </row>
    <row r="242" spans="1:137" x14ac:dyDescent="0.3">
      <c r="A242" s="325">
        <v>150000723</v>
      </c>
      <c r="B242" s="41" t="s">
        <v>713</v>
      </c>
      <c r="C242" s="42" t="s">
        <v>276</v>
      </c>
      <c r="D242" s="27">
        <v>5</v>
      </c>
      <c r="E242" s="709">
        <v>3575.2</v>
      </c>
      <c r="F242" s="723">
        <v>3575.2</v>
      </c>
      <c r="G242" s="28"/>
      <c r="H242" s="651">
        <v>0</v>
      </c>
      <c r="I242" s="39">
        <v>2034.0152430067699</v>
      </c>
      <c r="J242" s="39">
        <v>2190.7073987365411</v>
      </c>
      <c r="K242" s="52">
        <v>156.69215572977123</v>
      </c>
      <c r="L242" s="39">
        <v>345.21193849411895</v>
      </c>
      <c r="M242" s="39">
        <v>375.09084010025163</v>
      </c>
      <c r="N242" s="52">
        <v>29.878901606132672</v>
      </c>
      <c r="O242" s="39">
        <v>820.28</v>
      </c>
      <c r="P242" s="39">
        <v>820.28</v>
      </c>
      <c r="Q242" s="52">
        <v>0</v>
      </c>
      <c r="R242" s="39">
        <v>0</v>
      </c>
      <c r="S242" s="39">
        <v>0</v>
      </c>
      <c r="T242" s="52">
        <v>0</v>
      </c>
      <c r="U242" s="39">
        <v>0</v>
      </c>
      <c r="V242" s="39">
        <v>0</v>
      </c>
      <c r="W242" s="52">
        <v>0</v>
      </c>
      <c r="X242" s="39">
        <v>1275.7588742575476</v>
      </c>
      <c r="Y242" s="39">
        <v>795.79262231034909</v>
      </c>
      <c r="Z242" s="52">
        <v>-479.96625194719854</v>
      </c>
      <c r="AA242" s="39">
        <v>0</v>
      </c>
      <c r="AB242" s="39">
        <v>0</v>
      </c>
      <c r="AC242" s="52">
        <v>0</v>
      </c>
      <c r="AD242" s="39">
        <v>2547.8254829185048</v>
      </c>
      <c r="AE242" s="39">
        <v>2137.9220253152121</v>
      </c>
      <c r="AF242" s="35">
        <v>-409.90345760329274</v>
      </c>
      <c r="AG242" s="77">
        <v>7023.0915386769411</v>
      </c>
      <c r="AH242" s="53">
        <v>6319.7928864623536</v>
      </c>
      <c r="AI242" s="52">
        <v>-703.29865221458749</v>
      </c>
      <c r="AJ242" s="39">
        <v>0</v>
      </c>
      <c r="AK242" s="39">
        <v>0</v>
      </c>
      <c r="AL242" s="52">
        <v>0</v>
      </c>
      <c r="AM242" s="39">
        <v>0</v>
      </c>
      <c r="AN242" s="39">
        <v>0</v>
      </c>
      <c r="AO242" s="52">
        <v>0</v>
      </c>
      <c r="AP242" s="39">
        <v>1894.0352857872995</v>
      </c>
      <c r="AQ242" s="39">
        <v>560.04805654609754</v>
      </c>
      <c r="AR242" s="52">
        <v>-1333.9872292412019</v>
      </c>
      <c r="AS242" s="39">
        <v>9653.4290157244177</v>
      </c>
      <c r="AT242" s="39">
        <v>49675.967360756113</v>
      </c>
      <c r="AU242" s="54">
        <v>40022.538345031695</v>
      </c>
      <c r="AV242" s="39">
        <v>323.52638508503514</v>
      </c>
      <c r="AW242" s="39">
        <v>0</v>
      </c>
      <c r="AX242" s="55">
        <v>-323.52638508503514</v>
      </c>
      <c r="AY242" s="39">
        <v>444.88882070319545</v>
      </c>
      <c r="AZ242" s="39">
        <v>0</v>
      </c>
      <c r="BA242" s="35">
        <v>-444.88882070319545</v>
      </c>
      <c r="BB242" s="39">
        <v>472.79176507359625</v>
      </c>
      <c r="BC242" s="39">
        <v>0</v>
      </c>
      <c r="BD242" s="55">
        <v>-472.79176507359625</v>
      </c>
      <c r="BE242" s="39">
        <v>0</v>
      </c>
      <c r="BF242" s="39">
        <v>0</v>
      </c>
      <c r="BG242" s="38">
        <v>0</v>
      </c>
      <c r="BH242" s="39">
        <v>0</v>
      </c>
      <c r="BI242" s="39">
        <v>0</v>
      </c>
      <c r="BJ242" s="55">
        <v>0</v>
      </c>
      <c r="BK242" s="39">
        <v>179.51810429532154</v>
      </c>
      <c r="BL242" s="39">
        <v>333</v>
      </c>
      <c r="BM242" s="38">
        <v>153.48189570467846</v>
      </c>
      <c r="BN242" s="39">
        <v>0</v>
      </c>
      <c r="BO242" s="39">
        <v>0</v>
      </c>
      <c r="BP242" s="55">
        <v>0</v>
      </c>
      <c r="BQ242" s="77">
        <v>1420.7250751571485</v>
      </c>
      <c r="BR242" s="40">
        <v>333</v>
      </c>
      <c r="BS242" s="55">
        <v>-1087.7250751571485</v>
      </c>
      <c r="BT242" s="39">
        <v>4845.0990235753434</v>
      </c>
      <c r="BU242" s="39">
        <v>1383.6922244047259</v>
      </c>
      <c r="BV242" s="52">
        <v>-3461.4067991706174</v>
      </c>
      <c r="BW242" s="39">
        <v>3157.2849209092883</v>
      </c>
      <c r="BX242" s="39">
        <v>2849.5442856022828</v>
      </c>
      <c r="BY242" s="52">
        <v>-307.7406353070055</v>
      </c>
      <c r="BZ242" s="39">
        <v>2000.0445817704201</v>
      </c>
      <c r="CA242" s="39">
        <v>5914.0513918495199</v>
      </c>
      <c r="CB242" s="52">
        <v>3914.0068100790995</v>
      </c>
      <c r="CC242" s="39">
        <v>422.17823692518226</v>
      </c>
      <c r="CD242" s="39">
        <v>416.50917840536977</v>
      </c>
      <c r="CE242" s="52">
        <v>-5.669058519812495</v>
      </c>
      <c r="CF242" s="39">
        <v>51.9726996214713</v>
      </c>
      <c r="CG242" s="39">
        <v>0</v>
      </c>
      <c r="CH242" s="52">
        <v>-51.9726996214713</v>
      </c>
      <c r="CI242" s="39">
        <v>754.94018214674941</v>
      </c>
      <c r="CJ242" s="39">
        <v>1213.1097831204174</v>
      </c>
      <c r="CK242" s="52">
        <v>458.16960097366803</v>
      </c>
      <c r="CL242" s="39">
        <v>0</v>
      </c>
      <c r="CM242" s="39">
        <v>0</v>
      </c>
      <c r="CN242" s="52">
        <v>0</v>
      </c>
      <c r="CO242" s="39">
        <v>754.94018214674941</v>
      </c>
      <c r="CP242" s="40">
        <v>1213.1097831204174</v>
      </c>
      <c r="CQ242" s="52">
        <v>458.16960097366803</v>
      </c>
      <c r="CR242" s="72">
        <v>31222.800560294261</v>
      </c>
      <c r="CS242" s="5">
        <v>68665.715167146875</v>
      </c>
      <c r="CT242" s="52">
        <v>37442.914606852617</v>
      </c>
      <c r="CU242" s="77">
        <v>37467.360672353112</v>
      </c>
      <c r="CV242" s="65">
        <v>82398.858200576244</v>
      </c>
      <c r="CW242" s="35">
        <v>44931.497528223132</v>
      </c>
      <c r="CX242" s="39">
        <v>1311.357623532359</v>
      </c>
      <c r="CY242" s="39">
        <v>-43620.139904690775</v>
      </c>
      <c r="CZ242" s="52">
        <v>-44931.497528223132</v>
      </c>
      <c r="DA242" s="150">
        <v>45560.038057911217</v>
      </c>
      <c r="DB242" s="2">
        <v>2</v>
      </c>
      <c r="DC242" s="713">
        <v>45873.56</v>
      </c>
      <c r="DD242" s="714"/>
      <c r="DE242" s="715">
        <v>26484.200852057267</v>
      </c>
      <c r="DF242" s="716">
        <v>0</v>
      </c>
      <c r="DG242" s="717">
        <v>-72247.761618738266</v>
      </c>
      <c r="DH242" s="718">
        <v>191095.01076806834</v>
      </c>
      <c r="DI242" s="718">
        <v>465344.61955062562</v>
      </c>
      <c r="DJ242" s="693">
        <v>396782.21735498629</v>
      </c>
      <c r="DK242" s="724"/>
      <c r="DL242" s="5"/>
      <c r="DM242" s="306">
        <v>5.4232935634209927</v>
      </c>
      <c r="DN242" s="306"/>
      <c r="DO242" s="306">
        <v>4.8748839818913812</v>
      </c>
      <c r="DP242" s="719">
        <v>19389.35914794273</v>
      </c>
      <c r="DQ242" s="720">
        <v>0</v>
      </c>
      <c r="DR242" s="650">
        <v>19389.35914794273</v>
      </c>
      <c r="DS242" s="94">
        <v>19389.359147942738</v>
      </c>
      <c r="DT242" s="719">
        <v>19381.23</v>
      </c>
      <c r="DU242" s="721"/>
      <c r="DV242" s="93">
        <v>19381.23</v>
      </c>
      <c r="DW242" s="95">
        <v>19520.494910295976</v>
      </c>
      <c r="DX242" s="28">
        <v>-139.26491029597673</v>
      </c>
      <c r="EA242" s="5">
        <v>13288.984909057879</v>
      </c>
      <c r="EB242" s="5">
        <v>60010.760832907334</v>
      </c>
      <c r="EE242" s="722">
        <v>115841.14818869301</v>
      </c>
      <c r="EG242" s="42" t="s">
        <v>276</v>
      </c>
    </row>
    <row r="243" spans="1:137" x14ac:dyDescent="0.3">
      <c r="A243" s="325">
        <v>150000724</v>
      </c>
      <c r="B243" s="41" t="s">
        <v>714</v>
      </c>
      <c r="C243" s="42" t="s">
        <v>277</v>
      </c>
      <c r="D243" s="27">
        <v>5</v>
      </c>
      <c r="E243" s="709">
        <v>3564.2</v>
      </c>
      <c r="F243" s="723">
        <v>3564.2</v>
      </c>
      <c r="G243" s="28"/>
      <c r="H243" s="651">
        <v>0</v>
      </c>
      <c r="I243" s="39">
        <v>2034.7811152672907</v>
      </c>
      <c r="J243" s="39">
        <v>2191.3968318352449</v>
      </c>
      <c r="K243" s="52">
        <v>156.61571656795422</v>
      </c>
      <c r="L243" s="39">
        <v>345.21193849411895</v>
      </c>
      <c r="M243" s="39">
        <v>375.09084010025163</v>
      </c>
      <c r="N243" s="52">
        <v>29.878901606132672</v>
      </c>
      <c r="O243" s="39">
        <v>820.28</v>
      </c>
      <c r="P243" s="39">
        <v>820.28</v>
      </c>
      <c r="Q243" s="52">
        <v>0</v>
      </c>
      <c r="R243" s="39">
        <v>0</v>
      </c>
      <c r="S243" s="39">
        <v>0</v>
      </c>
      <c r="T243" s="52">
        <v>0</v>
      </c>
      <c r="U243" s="39">
        <v>0</v>
      </c>
      <c r="V243" s="39">
        <v>0</v>
      </c>
      <c r="W243" s="52">
        <v>0</v>
      </c>
      <c r="X243" s="39">
        <v>1275.7588742575476</v>
      </c>
      <c r="Y243" s="39">
        <v>951.06456238852479</v>
      </c>
      <c r="Z243" s="52">
        <v>-324.69431186902284</v>
      </c>
      <c r="AA243" s="39">
        <v>0</v>
      </c>
      <c r="AB243" s="39">
        <v>0</v>
      </c>
      <c r="AC243" s="52">
        <v>0</v>
      </c>
      <c r="AD243" s="39">
        <v>2539.9864584409638</v>
      </c>
      <c r="AE243" s="39">
        <v>2131.3441716906686</v>
      </c>
      <c r="AF243" s="35">
        <v>-408.64228675029517</v>
      </c>
      <c r="AG243" s="77">
        <v>7016.0183864599221</v>
      </c>
      <c r="AH243" s="53">
        <v>6469.1764060146907</v>
      </c>
      <c r="AI243" s="52">
        <v>-546.84198044523146</v>
      </c>
      <c r="AJ243" s="39">
        <v>0</v>
      </c>
      <c r="AK243" s="39">
        <v>0</v>
      </c>
      <c r="AL243" s="52">
        <v>0</v>
      </c>
      <c r="AM243" s="39">
        <v>0</v>
      </c>
      <c r="AN243" s="39">
        <v>0</v>
      </c>
      <c r="AO243" s="52">
        <v>0</v>
      </c>
      <c r="AP243" s="39">
        <v>1894.0352857872995</v>
      </c>
      <c r="AQ243" s="39">
        <v>0</v>
      </c>
      <c r="AR243" s="52">
        <v>-1894.0352857872995</v>
      </c>
      <c r="AS243" s="39">
        <v>8783.0631475805385</v>
      </c>
      <c r="AT243" s="39">
        <v>683</v>
      </c>
      <c r="AU243" s="54">
        <v>-8100.0631475805385</v>
      </c>
      <c r="AV243" s="39">
        <v>323.47537914525492</v>
      </c>
      <c r="AW243" s="39">
        <v>0</v>
      </c>
      <c r="AX243" s="55">
        <v>-323.47537914525492</v>
      </c>
      <c r="AY243" s="39">
        <v>444.88882070319545</v>
      </c>
      <c r="AZ243" s="39">
        <v>0</v>
      </c>
      <c r="BA243" s="35">
        <v>-444.88882070319545</v>
      </c>
      <c r="BB243" s="39">
        <v>472.79176507359625</v>
      </c>
      <c r="BC243" s="39">
        <v>0</v>
      </c>
      <c r="BD243" s="55">
        <v>-472.79176507359625</v>
      </c>
      <c r="BE243" s="39">
        <v>0</v>
      </c>
      <c r="BF243" s="39">
        <v>0</v>
      </c>
      <c r="BG243" s="38">
        <v>0</v>
      </c>
      <c r="BH243" s="39">
        <v>0</v>
      </c>
      <c r="BI243" s="39">
        <v>0</v>
      </c>
      <c r="BJ243" s="55">
        <v>0</v>
      </c>
      <c r="BK243" s="39">
        <v>179.51810429532154</v>
      </c>
      <c r="BL243" s="39">
        <v>711</v>
      </c>
      <c r="BM243" s="38">
        <v>531.48189570467844</v>
      </c>
      <c r="BN243" s="39">
        <v>0</v>
      </c>
      <c r="BO243" s="39">
        <v>0</v>
      </c>
      <c r="BP243" s="55">
        <v>0</v>
      </c>
      <c r="BQ243" s="77">
        <v>1420.6740692173682</v>
      </c>
      <c r="BR243" s="40">
        <v>711</v>
      </c>
      <c r="BS243" s="55">
        <v>-709.67406921736824</v>
      </c>
      <c r="BT243" s="39">
        <v>4585.7963105153513</v>
      </c>
      <c r="BU243" s="39">
        <v>1228.9460355989024</v>
      </c>
      <c r="BV243" s="52">
        <v>-3356.8502749164491</v>
      </c>
      <c r="BW243" s="39">
        <v>3058.3057780193394</v>
      </c>
      <c r="BX243" s="39">
        <v>2636.5548954253727</v>
      </c>
      <c r="BY243" s="52">
        <v>-421.75088259396671</v>
      </c>
      <c r="BZ243" s="39">
        <v>1991.3291383066266</v>
      </c>
      <c r="CA243" s="39">
        <v>5191.5164106834109</v>
      </c>
      <c r="CB243" s="52">
        <v>3200.1872723767842</v>
      </c>
      <c r="CC243" s="39">
        <v>350.80207424948964</v>
      </c>
      <c r="CD243" s="39">
        <v>346.09146315244152</v>
      </c>
      <c r="CE243" s="52">
        <v>-4.7106110970481154</v>
      </c>
      <c r="CF243" s="39">
        <v>43.185861413289444</v>
      </c>
      <c r="CG243" s="39">
        <v>0</v>
      </c>
      <c r="CH243" s="52">
        <v>-43.185861413289444</v>
      </c>
      <c r="CI243" s="39">
        <v>1279.0308871081293</v>
      </c>
      <c r="CJ243" s="39">
        <v>2453.6937173540837</v>
      </c>
      <c r="CK243" s="52">
        <v>1174.6628302459544</v>
      </c>
      <c r="CL243" s="39">
        <v>0</v>
      </c>
      <c r="CM243" s="39">
        <v>0</v>
      </c>
      <c r="CN243" s="52">
        <v>0</v>
      </c>
      <c r="CO243" s="39">
        <v>1279.0308871081293</v>
      </c>
      <c r="CP243" s="40">
        <v>2453.6937173540837</v>
      </c>
      <c r="CQ243" s="52">
        <v>1174.6628302459544</v>
      </c>
      <c r="CR243" s="72">
        <v>30422.240938657353</v>
      </c>
      <c r="CS243" s="5">
        <v>19719.978928228902</v>
      </c>
      <c r="CT243" s="52">
        <v>-10702.262010428451</v>
      </c>
      <c r="CU243" s="77">
        <v>36506.689126388825</v>
      </c>
      <c r="CV243" s="65">
        <v>23663.974713874682</v>
      </c>
      <c r="CW243" s="35">
        <v>-12842.714412514142</v>
      </c>
      <c r="CX243" s="39">
        <v>1825.3344563194414</v>
      </c>
      <c r="CY243" s="39">
        <v>14668.048868833583</v>
      </c>
      <c r="CZ243" s="52">
        <v>12842.714412514142</v>
      </c>
      <c r="DA243" s="150">
        <v>42969.743813816429</v>
      </c>
      <c r="DB243" s="2">
        <v>2</v>
      </c>
      <c r="DC243" s="713">
        <v>60986.57</v>
      </c>
      <c r="DD243" s="714"/>
      <c r="DE243" s="715">
        <v>41820.55820864586</v>
      </c>
      <c r="DF243" s="716">
        <v>0</v>
      </c>
      <c r="DG243" s="717">
        <v>-68837.15054738136</v>
      </c>
      <c r="DH243" s="718">
        <v>188932.75083092946</v>
      </c>
      <c r="DI243" s="718">
        <v>459984.28299249918</v>
      </c>
      <c r="DJ243" s="693">
        <v>392221.39995210676</v>
      </c>
      <c r="DK243" s="724"/>
      <c r="DL243" s="5"/>
      <c r="DM243" s="306">
        <v>5.3773670925745289</v>
      </c>
      <c r="DN243" s="306"/>
      <c r="DO243" s="306">
        <v>4.8367878208860198</v>
      </c>
      <c r="DP243" s="719">
        <v>19166.011791354136</v>
      </c>
      <c r="DQ243" s="720">
        <v>0</v>
      </c>
      <c r="DR243" s="650">
        <v>19166.011791354136</v>
      </c>
      <c r="DS243" s="94">
        <v>19166.011791354129</v>
      </c>
      <c r="DT243" s="719">
        <v>19164.47</v>
      </c>
      <c r="DU243" s="721"/>
      <c r="DV243" s="93">
        <v>19164.47</v>
      </c>
      <c r="DW243" s="95">
        <v>19348.545236986076</v>
      </c>
      <c r="DX243" s="28">
        <v>-184.07523698607474</v>
      </c>
      <c r="EA243" s="5">
        <v>12244.484660157488</v>
      </c>
      <c r="EB243" s="5">
        <v>1672.8</v>
      </c>
      <c r="EE243" s="722">
        <v>105396.75777096646</v>
      </c>
      <c r="EG243" s="42" t="s">
        <v>277</v>
      </c>
    </row>
    <row r="244" spans="1:137" x14ac:dyDescent="0.3">
      <c r="A244" s="325">
        <v>150000725</v>
      </c>
      <c r="B244" s="41" t="s">
        <v>715</v>
      </c>
      <c r="C244" s="42" t="s">
        <v>278</v>
      </c>
      <c r="D244" s="27">
        <v>5</v>
      </c>
      <c r="E244" s="709">
        <v>3571.96</v>
      </c>
      <c r="F244" s="723">
        <v>3571.96</v>
      </c>
      <c r="G244" s="28"/>
      <c r="H244" s="651">
        <v>0</v>
      </c>
      <c r="I244" s="39">
        <v>2033.9636981540743</v>
      </c>
      <c r="J244" s="39">
        <v>2190.636330182816</v>
      </c>
      <c r="K244" s="52">
        <v>156.67263202874165</v>
      </c>
      <c r="L244" s="39">
        <v>345.21193849411895</v>
      </c>
      <c r="M244" s="39">
        <v>375.09084010025163</v>
      </c>
      <c r="N244" s="52">
        <v>29.878901606132672</v>
      </c>
      <c r="O244" s="39">
        <v>811.52</v>
      </c>
      <c r="P244" s="39">
        <v>811.52</v>
      </c>
      <c r="Q244" s="52">
        <v>0</v>
      </c>
      <c r="R244" s="39">
        <v>0</v>
      </c>
      <c r="S244" s="39">
        <v>0</v>
      </c>
      <c r="T244" s="52">
        <v>0</v>
      </c>
      <c r="U244" s="39">
        <v>0</v>
      </c>
      <c r="V244" s="39">
        <v>0</v>
      </c>
      <c r="W244" s="52">
        <v>0</v>
      </c>
      <c r="X244" s="39">
        <v>1275.7588742575476</v>
      </c>
      <c r="Y244" s="39">
        <v>951.08252545278901</v>
      </c>
      <c r="Z244" s="52">
        <v>-324.67634880475862</v>
      </c>
      <c r="AA244" s="39">
        <v>0</v>
      </c>
      <c r="AB244" s="39">
        <v>0</v>
      </c>
      <c r="AC244" s="52">
        <v>0</v>
      </c>
      <c r="AD244" s="39">
        <v>2545.5165338905745</v>
      </c>
      <c r="AE244" s="39">
        <v>2135.9845484294378</v>
      </c>
      <c r="AF244" s="35">
        <v>-409.53198546113663</v>
      </c>
      <c r="AG244" s="77">
        <v>7011.9710447963153</v>
      </c>
      <c r="AH244" s="53">
        <v>6464.3142441652944</v>
      </c>
      <c r="AI244" s="52">
        <v>-547.65680063102081</v>
      </c>
      <c r="AJ244" s="39">
        <v>0</v>
      </c>
      <c r="AK244" s="39">
        <v>0</v>
      </c>
      <c r="AL244" s="52">
        <v>0</v>
      </c>
      <c r="AM244" s="39">
        <v>0</v>
      </c>
      <c r="AN244" s="39">
        <v>0</v>
      </c>
      <c r="AO244" s="52">
        <v>0</v>
      </c>
      <c r="AP244" s="39">
        <v>1894.0352857872995</v>
      </c>
      <c r="AQ244" s="39">
        <v>0</v>
      </c>
      <c r="AR244" s="52">
        <v>-1894.0352857872995</v>
      </c>
      <c r="AS244" s="39">
        <v>9622.1724222320809</v>
      </c>
      <c r="AT244" s="39">
        <v>683</v>
      </c>
      <c r="AU244" s="54">
        <v>-8939.1724222320809</v>
      </c>
      <c r="AV244" s="39">
        <v>323.47537914525492</v>
      </c>
      <c r="AW244" s="39">
        <v>0</v>
      </c>
      <c r="AX244" s="55">
        <v>-323.47537914525492</v>
      </c>
      <c r="AY244" s="39">
        <v>444.88882070319545</v>
      </c>
      <c r="AZ244" s="39">
        <v>0</v>
      </c>
      <c r="BA244" s="35">
        <v>-444.88882070319545</v>
      </c>
      <c r="BB244" s="39">
        <v>469.39987804412397</v>
      </c>
      <c r="BC244" s="39">
        <v>0</v>
      </c>
      <c r="BD244" s="55">
        <v>-469.39987804412397</v>
      </c>
      <c r="BE244" s="39">
        <v>0</v>
      </c>
      <c r="BF244" s="39">
        <v>0</v>
      </c>
      <c r="BG244" s="38">
        <v>0</v>
      </c>
      <c r="BH244" s="39">
        <v>0</v>
      </c>
      <c r="BI244" s="39">
        <v>0</v>
      </c>
      <c r="BJ244" s="55">
        <v>0</v>
      </c>
      <c r="BK244" s="39">
        <v>179.51810429532154</v>
      </c>
      <c r="BL244" s="39">
        <v>711</v>
      </c>
      <c r="BM244" s="38">
        <v>531.48189570467844</v>
      </c>
      <c r="BN244" s="39">
        <v>0</v>
      </c>
      <c r="BO244" s="39">
        <v>0</v>
      </c>
      <c r="BP244" s="55">
        <v>0</v>
      </c>
      <c r="BQ244" s="77">
        <v>1417.2821821878958</v>
      </c>
      <c r="BR244" s="40">
        <v>711</v>
      </c>
      <c r="BS244" s="55">
        <v>-706.28218218789584</v>
      </c>
      <c r="BT244" s="39">
        <v>6196.558486382004</v>
      </c>
      <c r="BU244" s="39">
        <v>1520.5103387908518</v>
      </c>
      <c r="BV244" s="52">
        <v>-4676.048147591152</v>
      </c>
      <c r="BW244" s="39">
        <v>3120.7220613320342</v>
      </c>
      <c r="BX244" s="39">
        <v>2690.7263747471666</v>
      </c>
      <c r="BY244" s="52">
        <v>-429.9956865848676</v>
      </c>
      <c r="BZ244" s="39">
        <v>1751.3290402107157</v>
      </c>
      <c r="CA244" s="39">
        <v>6646.974657464868</v>
      </c>
      <c r="CB244" s="52">
        <v>4895.6456172541521</v>
      </c>
      <c r="CC244" s="39">
        <v>349.72358827499426</v>
      </c>
      <c r="CD244" s="39">
        <v>345.02745921318024</v>
      </c>
      <c r="CE244" s="52">
        <v>-4.6961290618140197</v>
      </c>
      <c r="CF244" s="39">
        <v>43.053093253550429</v>
      </c>
      <c r="CG244" s="39">
        <v>0</v>
      </c>
      <c r="CH244" s="52">
        <v>-43.053093253550429</v>
      </c>
      <c r="CI244" s="39">
        <v>1232.2370741651489</v>
      </c>
      <c r="CJ244" s="39">
        <v>2778.9594471295804</v>
      </c>
      <c r="CK244" s="52">
        <v>1546.7223729644315</v>
      </c>
      <c r="CL244" s="39">
        <v>0</v>
      </c>
      <c r="CM244" s="39">
        <v>0</v>
      </c>
      <c r="CN244" s="52">
        <v>0</v>
      </c>
      <c r="CO244" s="39">
        <v>1232.2370741651489</v>
      </c>
      <c r="CP244" s="40">
        <v>2778.9594471295804</v>
      </c>
      <c r="CQ244" s="52">
        <v>1546.7223729644315</v>
      </c>
      <c r="CR244" s="72">
        <v>32639.084278622046</v>
      </c>
      <c r="CS244" s="5">
        <v>21840.512521510936</v>
      </c>
      <c r="CT244" s="52">
        <v>-10798.571757111109</v>
      </c>
      <c r="CU244" s="77">
        <v>39166.901134346452</v>
      </c>
      <c r="CV244" s="65">
        <v>26208.615025813124</v>
      </c>
      <c r="CW244" s="35">
        <v>-12958.286108533328</v>
      </c>
      <c r="CX244" s="39">
        <v>1253.3408362990865</v>
      </c>
      <c r="CY244" s="39">
        <v>14211.626944832411</v>
      </c>
      <c r="CZ244" s="52">
        <v>12958.286108533324</v>
      </c>
      <c r="DA244" s="150">
        <v>3027.3340613963373</v>
      </c>
      <c r="DB244" s="2">
        <v>2</v>
      </c>
      <c r="DC244" s="713">
        <v>70959.22</v>
      </c>
      <c r="DD244" s="714"/>
      <c r="DE244" s="715">
        <v>50749.099014677231</v>
      </c>
      <c r="DF244" s="716">
        <v>0</v>
      </c>
      <c r="DG244" s="717">
        <v>-13168.337453942588</v>
      </c>
      <c r="DH244" s="718">
        <v>199840.54887848429</v>
      </c>
      <c r="DI244" s="718">
        <v>485042.90364774648</v>
      </c>
      <c r="DJ244" s="693">
        <v>413742.31495543092</v>
      </c>
      <c r="DK244" s="724"/>
      <c r="DL244" s="5"/>
      <c r="DM244" s="306">
        <v>5.6579919666857323</v>
      </c>
      <c r="DN244" s="306"/>
      <c r="DO244" s="306">
        <v>5.1170141560784481</v>
      </c>
      <c r="DP244" s="719">
        <v>20210.12098532277</v>
      </c>
      <c r="DQ244" s="720">
        <v>0</v>
      </c>
      <c r="DR244" s="650">
        <v>20210.12098532277</v>
      </c>
      <c r="DS244" s="94">
        <v>20210.12098532277</v>
      </c>
      <c r="DT244" s="719">
        <v>20209.59</v>
      </c>
      <c r="DU244" s="721"/>
      <c r="DV244" s="93">
        <v>20209.59</v>
      </c>
      <c r="DW244" s="95">
        <v>20335.45506895268</v>
      </c>
      <c r="DX244" s="28">
        <v>-125.8650689526803</v>
      </c>
      <c r="EA244" s="5">
        <v>13247.34552530397</v>
      </c>
      <c r="EB244" s="5">
        <v>1672.8</v>
      </c>
      <c r="EE244" s="722">
        <v>115466.06906678497</v>
      </c>
      <c r="EG244" s="42" t="s">
        <v>278</v>
      </c>
    </row>
    <row r="245" spans="1:137" x14ac:dyDescent="0.3">
      <c r="A245" s="325">
        <v>150000710</v>
      </c>
      <c r="B245" s="41" t="s">
        <v>716</v>
      </c>
      <c r="C245" s="42" t="s">
        <v>279</v>
      </c>
      <c r="D245" s="27">
        <v>5</v>
      </c>
      <c r="E245" s="709">
        <v>4572.3</v>
      </c>
      <c r="F245" s="723">
        <v>4471.5</v>
      </c>
      <c r="G245" s="28"/>
      <c r="H245" s="651">
        <v>100.8</v>
      </c>
      <c r="I245" s="39">
        <v>2777.6280587360443</v>
      </c>
      <c r="J245" s="39">
        <v>2633.3180218738175</v>
      </c>
      <c r="K245" s="52">
        <v>-144.31003686222675</v>
      </c>
      <c r="L245" s="39">
        <v>566.64124412410786</v>
      </c>
      <c r="M245" s="39">
        <v>490.37012585077139</v>
      </c>
      <c r="N245" s="52">
        <v>-76.271118273336469</v>
      </c>
      <c r="O245" s="39">
        <v>1106.6199999999999</v>
      </c>
      <c r="P245" s="39">
        <v>1106.94</v>
      </c>
      <c r="Q245" s="52">
        <v>0.32000000000016371</v>
      </c>
      <c r="R245" s="39">
        <v>0</v>
      </c>
      <c r="S245" s="39">
        <v>0</v>
      </c>
      <c r="T245" s="52">
        <v>0</v>
      </c>
      <c r="U245" s="39">
        <v>0</v>
      </c>
      <c r="V245" s="39">
        <v>0</v>
      </c>
      <c r="W245" s="52">
        <v>0</v>
      </c>
      <c r="X245" s="39">
        <v>2122.1356925593641</v>
      </c>
      <c r="Y245" s="39">
        <v>1542.5135068192403</v>
      </c>
      <c r="Z245" s="52">
        <v>-579.62218574012377</v>
      </c>
      <c r="AA245" s="39">
        <v>0</v>
      </c>
      <c r="AB245" s="39">
        <v>0</v>
      </c>
      <c r="AC245" s="52">
        <v>0</v>
      </c>
      <c r="AD245" s="39">
        <v>3258.397419878127</v>
      </c>
      <c r="AE245" s="39">
        <v>2734.1745570454086</v>
      </c>
      <c r="AF245" s="35">
        <v>-524.22286283271842</v>
      </c>
      <c r="AG245" s="77">
        <v>9831.422415297644</v>
      </c>
      <c r="AH245" s="53">
        <v>8507.3162115892374</v>
      </c>
      <c r="AI245" s="52">
        <v>-1324.1062037084066</v>
      </c>
      <c r="AJ245" s="39">
        <v>0</v>
      </c>
      <c r="AK245" s="39">
        <v>0</v>
      </c>
      <c r="AL245" s="52">
        <v>0</v>
      </c>
      <c r="AM245" s="39">
        <v>0</v>
      </c>
      <c r="AN245" s="39">
        <v>0</v>
      </c>
      <c r="AO245" s="52">
        <v>0</v>
      </c>
      <c r="AP245" s="39">
        <v>2320.193225089442</v>
      </c>
      <c r="AQ245" s="39">
        <v>0</v>
      </c>
      <c r="AR245" s="52">
        <v>-2320.193225089442</v>
      </c>
      <c r="AS245" s="39">
        <v>10039.618184446057</v>
      </c>
      <c r="AT245" s="39">
        <v>4219</v>
      </c>
      <c r="AU245" s="54">
        <v>-5820.6181844460571</v>
      </c>
      <c r="AV245" s="39">
        <v>453.16429572632046</v>
      </c>
      <c r="AW245" s="39">
        <v>0</v>
      </c>
      <c r="AX245" s="55">
        <v>-453.16429572632046</v>
      </c>
      <c r="AY245" s="39">
        <v>730.31644067323475</v>
      </c>
      <c r="AZ245" s="39">
        <v>0</v>
      </c>
      <c r="BA245" s="35">
        <v>-730.31644067323475</v>
      </c>
      <c r="BB245" s="39">
        <v>413.83434175910082</v>
      </c>
      <c r="BC245" s="39">
        <v>0</v>
      </c>
      <c r="BD245" s="55">
        <v>-413.83434175910082</v>
      </c>
      <c r="BE245" s="39">
        <v>0</v>
      </c>
      <c r="BF245" s="39">
        <v>0</v>
      </c>
      <c r="BG245" s="38">
        <v>0</v>
      </c>
      <c r="BH245" s="39">
        <v>0</v>
      </c>
      <c r="BI245" s="39">
        <v>0</v>
      </c>
      <c r="BJ245" s="55">
        <v>0</v>
      </c>
      <c r="BK245" s="39">
        <v>332.67629256086099</v>
      </c>
      <c r="BL245" s="39">
        <v>0</v>
      </c>
      <c r="BM245" s="38">
        <v>-332.67629256086099</v>
      </c>
      <c r="BN245" s="39">
        <v>0</v>
      </c>
      <c r="BO245" s="39">
        <v>0</v>
      </c>
      <c r="BP245" s="55">
        <v>0</v>
      </c>
      <c r="BQ245" s="77">
        <v>1929.9913707195169</v>
      </c>
      <c r="BR245" s="40">
        <v>0</v>
      </c>
      <c r="BS245" s="55">
        <v>-1929.9913707195169</v>
      </c>
      <c r="BT245" s="39">
        <v>7998.952622454618</v>
      </c>
      <c r="BU245" s="39">
        <v>2236.453661191716</v>
      </c>
      <c r="BV245" s="52">
        <v>-5762.4989612629015</v>
      </c>
      <c r="BW245" s="39">
        <v>4218.4013623814062</v>
      </c>
      <c r="BX245" s="39">
        <v>3155.1656775726369</v>
      </c>
      <c r="BY245" s="52">
        <v>-1063.2356848087693</v>
      </c>
      <c r="BZ245" s="39">
        <v>1181.1152975767798</v>
      </c>
      <c r="CA245" s="39">
        <v>7146.7656732858959</v>
      </c>
      <c r="CB245" s="52">
        <v>5965.6503757091159</v>
      </c>
      <c r="CC245" s="39">
        <v>98.044179499577865</v>
      </c>
      <c r="CD245" s="39">
        <v>96.727630841934442</v>
      </c>
      <c r="CE245" s="52">
        <v>-1.3165486576434233</v>
      </c>
      <c r="CF245" s="39">
        <v>12.069832703546517</v>
      </c>
      <c r="CG245" s="39">
        <v>0</v>
      </c>
      <c r="CH245" s="52">
        <v>-12.069832703546517</v>
      </c>
      <c r="CI245" s="39">
        <v>773.65770732394151</v>
      </c>
      <c r="CJ245" s="39">
        <v>1524.3572820221548</v>
      </c>
      <c r="CK245" s="52">
        <v>750.69957469821327</v>
      </c>
      <c r="CL245" s="39">
        <v>0</v>
      </c>
      <c r="CM245" s="39">
        <v>0</v>
      </c>
      <c r="CN245" s="52">
        <v>0</v>
      </c>
      <c r="CO245" s="39">
        <v>773.65770732394151</v>
      </c>
      <c r="CP245" s="40">
        <v>1524.3572820221548</v>
      </c>
      <c r="CQ245" s="52">
        <v>750.69957469821327</v>
      </c>
      <c r="CR245" s="72">
        <v>38403.466197492526</v>
      </c>
      <c r="CS245" s="5">
        <v>26885.786136503579</v>
      </c>
      <c r="CT245" s="52">
        <v>-11517.680060988947</v>
      </c>
      <c r="CU245" s="77">
        <v>46084.159436991031</v>
      </c>
      <c r="CV245" s="65">
        <v>32262.943363804294</v>
      </c>
      <c r="CW245" s="35">
        <v>-13821.216073186737</v>
      </c>
      <c r="CX245" s="39">
        <v>1751.1980586056591</v>
      </c>
      <c r="CY245" s="39">
        <v>15572.414131792399</v>
      </c>
      <c r="CZ245" s="52">
        <v>13821.216073186739</v>
      </c>
      <c r="DA245" s="150">
        <v>-8115.2281539358719</v>
      </c>
      <c r="DB245" s="2">
        <v>3</v>
      </c>
      <c r="DC245" s="713">
        <v>56886.41</v>
      </c>
      <c r="DD245" s="714">
        <v>6328.69</v>
      </c>
      <c r="DE245" s="715">
        <v>33438.096386736615</v>
      </c>
      <c r="DF245" s="716">
        <v>5859.324865465047</v>
      </c>
      <c r="DG245" s="717">
        <v>2145.8479075563137</v>
      </c>
      <c r="DH245" s="718">
        <v>229807.15284626695</v>
      </c>
      <c r="DI245" s="718">
        <v>574024.28994716029</v>
      </c>
      <c r="DJ245" s="693">
        <v>487970.00567193696</v>
      </c>
      <c r="DK245" s="724"/>
      <c r="DL245" s="5"/>
      <c r="DM245" s="306">
        <v>5.2439480293555603</v>
      </c>
      <c r="DN245" s="306"/>
      <c r="DO245" s="306">
        <v>4.6564001441959633</v>
      </c>
      <c r="DP245" s="719">
        <v>23448.313613263388</v>
      </c>
      <c r="DQ245" s="720">
        <v>469.36513453495309</v>
      </c>
      <c r="DR245" s="650">
        <v>23917.678747798342</v>
      </c>
      <c r="DS245" s="94">
        <v>23917.678747798349</v>
      </c>
      <c r="DT245" s="719">
        <v>23448.639999999999</v>
      </c>
      <c r="DU245" s="725">
        <v>469.37</v>
      </c>
      <c r="DV245" s="93">
        <v>23918.01</v>
      </c>
      <c r="DW245" s="95">
        <v>24092.798553658911</v>
      </c>
      <c r="DX245" s="28">
        <v>-174.78855365891286</v>
      </c>
      <c r="EA245" s="5">
        <v>14363.531466198689</v>
      </c>
      <c r="EB245" s="5">
        <v>5062.8</v>
      </c>
      <c r="EE245" s="722">
        <v>120475.41821335268</v>
      </c>
      <c r="EG245" s="42" t="s">
        <v>279</v>
      </c>
    </row>
    <row r="246" spans="1:137" x14ac:dyDescent="0.3">
      <c r="A246" s="325">
        <v>150000711</v>
      </c>
      <c r="B246" s="41" t="s">
        <v>717</v>
      </c>
      <c r="C246" s="42" t="s">
        <v>280</v>
      </c>
      <c r="D246" s="27">
        <v>5</v>
      </c>
      <c r="E246" s="709">
        <v>4577.8</v>
      </c>
      <c r="F246" s="723">
        <v>4538</v>
      </c>
      <c r="G246" s="28"/>
      <c r="H246" s="651">
        <v>39.799999999999997</v>
      </c>
      <c r="I246" s="39">
        <v>2778.1929466304364</v>
      </c>
      <c r="J246" s="39">
        <v>2633.9431424465984</v>
      </c>
      <c r="K246" s="52">
        <v>-144.24980418383802</v>
      </c>
      <c r="L246" s="39">
        <v>566.74004116832782</v>
      </c>
      <c r="M246" s="39">
        <v>490.45548183438336</v>
      </c>
      <c r="N246" s="52">
        <v>-76.284559333944458</v>
      </c>
      <c r="O246" s="39">
        <v>1142.5999999999999</v>
      </c>
      <c r="P246" s="39">
        <v>1142.78</v>
      </c>
      <c r="Q246" s="52">
        <v>0.18000000000006366</v>
      </c>
      <c r="R246" s="39">
        <v>0</v>
      </c>
      <c r="S246" s="39">
        <v>0</v>
      </c>
      <c r="T246" s="52">
        <v>0</v>
      </c>
      <c r="U246" s="39">
        <v>215.74518364026076</v>
      </c>
      <c r="V246" s="39">
        <v>127.85671452438703</v>
      </c>
      <c r="W246" s="52">
        <v>-87.888469115873733</v>
      </c>
      <c r="X246" s="39">
        <v>2123.4561880117967</v>
      </c>
      <c r="Y246" s="39">
        <v>1543.5765777567008</v>
      </c>
      <c r="Z246" s="52">
        <v>-579.87961025509594</v>
      </c>
      <c r="AA246" s="39">
        <v>0</v>
      </c>
      <c r="AB246" s="39">
        <v>0</v>
      </c>
      <c r="AC246" s="52">
        <v>0</v>
      </c>
      <c r="AD246" s="39">
        <v>3262.3169321168975</v>
      </c>
      <c r="AE246" s="39">
        <v>2737.4634838576803</v>
      </c>
      <c r="AF246" s="35">
        <v>-524.8534482592172</v>
      </c>
      <c r="AG246" s="77">
        <v>10089.051291567719</v>
      </c>
      <c r="AH246" s="53">
        <v>8676.0754004197497</v>
      </c>
      <c r="AI246" s="52">
        <v>-1412.9758911479694</v>
      </c>
      <c r="AJ246" s="39">
        <v>0</v>
      </c>
      <c r="AK246" s="39">
        <v>0</v>
      </c>
      <c r="AL246" s="52">
        <v>0</v>
      </c>
      <c r="AM246" s="39">
        <v>0</v>
      </c>
      <c r="AN246" s="39">
        <v>0</v>
      </c>
      <c r="AO246" s="52">
        <v>0</v>
      </c>
      <c r="AP246" s="39">
        <v>2367.5441072341246</v>
      </c>
      <c r="AQ246" s="39">
        <v>0</v>
      </c>
      <c r="AR246" s="52">
        <v>-2367.5441072341246</v>
      </c>
      <c r="AS246" s="39">
        <v>11450.190492822518</v>
      </c>
      <c r="AT246" s="39">
        <v>2877</v>
      </c>
      <c r="AU246" s="54">
        <v>-8573.1904928225176</v>
      </c>
      <c r="AV246" s="39">
        <v>453.28676417768395</v>
      </c>
      <c r="AW246" s="39">
        <v>0</v>
      </c>
      <c r="AX246" s="55">
        <v>-453.28676417768395</v>
      </c>
      <c r="AY246" s="39">
        <v>730.47179917909421</v>
      </c>
      <c r="AZ246" s="39">
        <v>0</v>
      </c>
      <c r="BA246" s="35">
        <v>-730.47179917909421</v>
      </c>
      <c r="BB246" s="39">
        <v>411.00574223534153</v>
      </c>
      <c r="BC246" s="39">
        <v>0</v>
      </c>
      <c r="BD246" s="55">
        <v>-411.00574223534153</v>
      </c>
      <c r="BE246" s="39">
        <v>0</v>
      </c>
      <c r="BF246" s="39">
        <v>0</v>
      </c>
      <c r="BG246" s="38">
        <v>0</v>
      </c>
      <c r="BH246" s="39">
        <v>218.86472282667671</v>
      </c>
      <c r="BI246" s="39">
        <v>0</v>
      </c>
      <c r="BJ246" s="55">
        <v>-218.86472282667671</v>
      </c>
      <c r="BK246" s="39">
        <v>332.88205778624234</v>
      </c>
      <c r="BL246" s="39">
        <v>0</v>
      </c>
      <c r="BM246" s="38">
        <v>-332.88205778624234</v>
      </c>
      <c r="BN246" s="39">
        <v>0</v>
      </c>
      <c r="BO246" s="39">
        <v>0</v>
      </c>
      <c r="BP246" s="55">
        <v>0</v>
      </c>
      <c r="BQ246" s="77">
        <v>2146.5110862050392</v>
      </c>
      <c r="BR246" s="40">
        <v>0</v>
      </c>
      <c r="BS246" s="55">
        <v>-2146.5110862050392</v>
      </c>
      <c r="BT246" s="39">
        <v>7863.8055369347612</v>
      </c>
      <c r="BU246" s="39">
        <v>2166.7702089324821</v>
      </c>
      <c r="BV246" s="52">
        <v>-5697.0353280022791</v>
      </c>
      <c r="BW246" s="39">
        <v>4213.3130259614436</v>
      </c>
      <c r="BX246" s="39">
        <v>3152.4014025085562</v>
      </c>
      <c r="BY246" s="52">
        <v>-1060.9116234528874</v>
      </c>
      <c r="BZ246" s="39">
        <v>1266.3865977475903</v>
      </c>
      <c r="CA246" s="39">
        <v>6959.347972603211</v>
      </c>
      <c r="CB246" s="52">
        <v>5692.9613748556203</v>
      </c>
      <c r="CC246" s="39">
        <v>98.044179499577865</v>
      </c>
      <c r="CD246" s="39">
        <v>96.727630841934442</v>
      </c>
      <c r="CE246" s="52">
        <v>-1.3165486576434233</v>
      </c>
      <c r="CF246" s="39">
        <v>12.069832703546517</v>
      </c>
      <c r="CG246" s="39">
        <v>0</v>
      </c>
      <c r="CH246" s="52">
        <v>-12.069832703546517</v>
      </c>
      <c r="CI246" s="39">
        <v>942.11543391867076</v>
      </c>
      <c r="CJ246" s="39">
        <v>1057.2285079634553</v>
      </c>
      <c r="CK246" s="52">
        <v>115.11307404478453</v>
      </c>
      <c r="CL246" s="39">
        <v>0</v>
      </c>
      <c r="CM246" s="39">
        <v>0</v>
      </c>
      <c r="CN246" s="52">
        <v>0</v>
      </c>
      <c r="CO246" s="39">
        <v>942.11543391867076</v>
      </c>
      <c r="CP246" s="40">
        <v>1057.2285079634553</v>
      </c>
      <c r="CQ246" s="52">
        <v>115.11307404478453</v>
      </c>
      <c r="CR246" s="72">
        <v>40449.031584594988</v>
      </c>
      <c r="CS246" s="5">
        <v>24985.55112326939</v>
      </c>
      <c r="CT246" s="52">
        <v>-15463.480461325598</v>
      </c>
      <c r="CU246" s="77">
        <v>48538.837901513987</v>
      </c>
      <c r="CV246" s="65">
        <v>29982.661347923266</v>
      </c>
      <c r="CW246" s="35">
        <v>-18556.176553590722</v>
      </c>
      <c r="CX246" s="39">
        <v>1941.5535160605596</v>
      </c>
      <c r="CY246" s="39">
        <v>20497.730069651276</v>
      </c>
      <c r="CZ246" s="52">
        <v>18556.176553590718</v>
      </c>
      <c r="DA246" s="150">
        <v>25232.948625814133</v>
      </c>
      <c r="DB246" s="2">
        <v>3</v>
      </c>
      <c r="DC246" s="713">
        <v>105769.67</v>
      </c>
      <c r="DD246" s="714">
        <v>0</v>
      </c>
      <c r="DE246" s="715">
        <v>80726.0580907556</v>
      </c>
      <c r="DF246" s="716">
        <v>-196.58379954287557</v>
      </c>
      <c r="DG246" s="717">
        <v>5578.8841651014882</v>
      </c>
      <c r="DH246" s="718">
        <v>245791.34049310483</v>
      </c>
      <c r="DI246" s="718">
        <v>605764.69701089454</v>
      </c>
      <c r="DJ246" s="693">
        <v>515771.35788144713</v>
      </c>
      <c r="DK246" s="724"/>
      <c r="DL246" s="5"/>
      <c r="DM246" s="306">
        <v>5.5186451981587474</v>
      </c>
      <c r="DN246" s="306"/>
      <c r="DO246" s="306">
        <v>4.9392914458008939</v>
      </c>
      <c r="DP246" s="719">
        <v>25043.611909244395</v>
      </c>
      <c r="DQ246" s="720">
        <v>196.58379954287557</v>
      </c>
      <c r="DR246" s="650">
        <v>25240.195708787272</v>
      </c>
      <c r="DS246" s="94">
        <v>25240.195708787272</v>
      </c>
      <c r="DT246" s="719">
        <v>25036.19</v>
      </c>
      <c r="DU246" s="725">
        <v>196.58</v>
      </c>
      <c r="DV246" s="93">
        <v>25232.77</v>
      </c>
      <c r="DW246" s="95">
        <v>25434.351060393328</v>
      </c>
      <c r="DX246" s="28">
        <v>-201.58106039332779</v>
      </c>
      <c r="EA246" s="5">
        <v>16316.041894833066</v>
      </c>
      <c r="EB246" s="5">
        <v>3452.4</v>
      </c>
      <c r="EE246" s="722">
        <v>137402.2859138702</v>
      </c>
      <c r="EG246" s="42" t="s">
        <v>280</v>
      </c>
    </row>
    <row r="247" spans="1:137" x14ac:dyDescent="0.3">
      <c r="A247" s="325">
        <v>150000712</v>
      </c>
      <c r="B247" s="41" t="s">
        <v>718</v>
      </c>
      <c r="C247" s="42" t="s">
        <v>281</v>
      </c>
      <c r="D247" s="27">
        <v>5</v>
      </c>
      <c r="E247" s="709">
        <v>3208.93</v>
      </c>
      <c r="F247" s="723">
        <v>3208.93</v>
      </c>
      <c r="G247" s="28"/>
      <c r="H247" s="651">
        <v>0</v>
      </c>
      <c r="I247" s="39">
        <v>1912.6586571860612</v>
      </c>
      <c r="J247" s="39">
        <v>1813.2156525891587</v>
      </c>
      <c r="K247" s="52">
        <v>-99.443004596902483</v>
      </c>
      <c r="L247" s="39">
        <v>380.52254474762248</v>
      </c>
      <c r="M247" s="39">
        <v>329.30338477498276</v>
      </c>
      <c r="N247" s="52">
        <v>-51.219159972639716</v>
      </c>
      <c r="O247" s="39">
        <v>794.46</v>
      </c>
      <c r="P247" s="39">
        <v>794.22</v>
      </c>
      <c r="Q247" s="52">
        <v>-0.24000000000000909</v>
      </c>
      <c r="R247" s="39">
        <v>0</v>
      </c>
      <c r="S247" s="39">
        <v>0</v>
      </c>
      <c r="T247" s="52">
        <v>0</v>
      </c>
      <c r="U247" s="39">
        <v>0</v>
      </c>
      <c r="V247" s="39">
        <v>0</v>
      </c>
      <c r="W247" s="52">
        <v>0</v>
      </c>
      <c r="X247" s="39">
        <v>1238.730472921307</v>
      </c>
      <c r="Y247" s="39">
        <v>882.54566104294508</v>
      </c>
      <c r="Z247" s="52">
        <v>-356.18481187836187</v>
      </c>
      <c r="AA247" s="39">
        <v>0</v>
      </c>
      <c r="AB247" s="39">
        <v>0</v>
      </c>
      <c r="AC247" s="52">
        <v>0</v>
      </c>
      <c r="AD247" s="39">
        <v>2286.8073469740652</v>
      </c>
      <c r="AE247" s="39">
        <v>1918.8974392187133</v>
      </c>
      <c r="AF247" s="35">
        <v>-367.90990775535192</v>
      </c>
      <c r="AG247" s="77">
        <v>6613.1790218290553</v>
      </c>
      <c r="AH247" s="53">
        <v>5738.1821376258004</v>
      </c>
      <c r="AI247" s="52">
        <v>-874.99688420325492</v>
      </c>
      <c r="AJ247" s="39">
        <v>0</v>
      </c>
      <c r="AK247" s="39">
        <v>0</v>
      </c>
      <c r="AL247" s="52">
        <v>0</v>
      </c>
      <c r="AM247" s="39">
        <v>0</v>
      </c>
      <c r="AN247" s="39">
        <v>0</v>
      </c>
      <c r="AO247" s="52">
        <v>0</v>
      </c>
      <c r="AP247" s="39">
        <v>1657.2808750638872</v>
      </c>
      <c r="AQ247" s="39">
        <v>0</v>
      </c>
      <c r="AR247" s="52">
        <v>-1657.2808750638872</v>
      </c>
      <c r="AS247" s="39">
        <v>6845.1072319288323</v>
      </c>
      <c r="AT247" s="39">
        <v>416</v>
      </c>
      <c r="AU247" s="54">
        <v>-6429.1072319288323</v>
      </c>
      <c r="AV247" s="39">
        <v>312.08107424119544</v>
      </c>
      <c r="AW247" s="39">
        <v>0</v>
      </c>
      <c r="AX247" s="55">
        <v>-312.08107424119544</v>
      </c>
      <c r="AY247" s="39">
        <v>490.42556714245251</v>
      </c>
      <c r="AZ247" s="39">
        <v>0</v>
      </c>
      <c r="BA247" s="35">
        <v>-490.42556714245251</v>
      </c>
      <c r="BB247" s="39">
        <v>295.04809673845114</v>
      </c>
      <c r="BC247" s="39">
        <v>0</v>
      </c>
      <c r="BD247" s="55">
        <v>-295.04809673845114</v>
      </c>
      <c r="BE247" s="39">
        <v>0</v>
      </c>
      <c r="BF247" s="39">
        <v>0</v>
      </c>
      <c r="BG247" s="38">
        <v>0</v>
      </c>
      <c r="BH247" s="39">
        <v>0</v>
      </c>
      <c r="BI247" s="39">
        <v>0</v>
      </c>
      <c r="BJ247" s="55">
        <v>0</v>
      </c>
      <c r="BK247" s="39">
        <v>187.56725379517582</v>
      </c>
      <c r="BL247" s="39">
        <v>260</v>
      </c>
      <c r="BM247" s="38">
        <v>72.432746204824184</v>
      </c>
      <c r="BN247" s="39">
        <v>0</v>
      </c>
      <c r="BO247" s="39">
        <v>0</v>
      </c>
      <c r="BP247" s="55">
        <v>0</v>
      </c>
      <c r="BQ247" s="77">
        <v>1285.121991917275</v>
      </c>
      <c r="BR247" s="40">
        <v>260</v>
      </c>
      <c r="BS247" s="55">
        <v>-1025.121991917275</v>
      </c>
      <c r="BT247" s="39">
        <v>7619.4211272690991</v>
      </c>
      <c r="BU247" s="39">
        <v>2067.4063186483759</v>
      </c>
      <c r="BV247" s="52">
        <v>-5552.0148086207228</v>
      </c>
      <c r="BW247" s="39">
        <v>3081.5043764892421</v>
      </c>
      <c r="BX247" s="39">
        <v>2305.838051522946</v>
      </c>
      <c r="BY247" s="52">
        <v>-775.66632496629609</v>
      </c>
      <c r="BZ247" s="39">
        <v>1007.3227854018201</v>
      </c>
      <c r="CA247" s="39">
        <v>6435.2870323539628</v>
      </c>
      <c r="CB247" s="52">
        <v>5427.9642469521423</v>
      </c>
      <c r="CC247" s="39">
        <v>49.022089749788933</v>
      </c>
      <c r="CD247" s="39">
        <v>48.363815420967221</v>
      </c>
      <c r="CE247" s="52">
        <v>-0.65827432882171166</v>
      </c>
      <c r="CF247" s="39">
        <v>6.0349163517732585</v>
      </c>
      <c r="CG247" s="39">
        <v>0</v>
      </c>
      <c r="CH247" s="52">
        <v>-6.0349163517732585</v>
      </c>
      <c r="CI247" s="39">
        <v>655.11338120172479</v>
      </c>
      <c r="CJ247" s="39">
        <v>515.57716485812762</v>
      </c>
      <c r="CK247" s="52">
        <v>-139.53621634359718</v>
      </c>
      <c r="CL247" s="39">
        <v>0</v>
      </c>
      <c r="CM247" s="39">
        <v>0</v>
      </c>
      <c r="CN247" s="52">
        <v>0</v>
      </c>
      <c r="CO247" s="39">
        <v>655.11338120172479</v>
      </c>
      <c r="CP247" s="40">
        <v>515.57716485812762</v>
      </c>
      <c r="CQ247" s="52">
        <v>-139.53621634359718</v>
      </c>
      <c r="CR247" s="72">
        <v>28819.107797202501</v>
      </c>
      <c r="CS247" s="5">
        <v>17786.654520430176</v>
      </c>
      <c r="CT247" s="52">
        <v>-11032.453276772325</v>
      </c>
      <c r="CU247" s="77">
        <v>34582.929356642999</v>
      </c>
      <c r="CV247" s="65">
        <v>21343.98542451621</v>
      </c>
      <c r="CW247" s="35">
        <v>-13238.943932126789</v>
      </c>
      <c r="CX247" s="39">
        <v>1729.1464678321499</v>
      </c>
      <c r="CY247" s="39">
        <v>14968.090399958934</v>
      </c>
      <c r="CZ247" s="52">
        <v>13238.943932126784</v>
      </c>
      <c r="DA247" s="150">
        <v>63313.925236177281</v>
      </c>
      <c r="DB247" s="2">
        <v>3</v>
      </c>
      <c r="DC247" s="713">
        <v>42834.14</v>
      </c>
      <c r="DD247" s="714"/>
      <c r="DE247" s="715">
        <v>24678.102087762425</v>
      </c>
      <c r="DF247" s="716">
        <v>0</v>
      </c>
      <c r="DG247" s="717">
        <v>17494.958382704157</v>
      </c>
      <c r="DH247" s="718">
        <v>174360.81734894798</v>
      </c>
      <c r="DI247" s="718">
        <v>435744.90989370178</v>
      </c>
      <c r="DJ247" s="693">
        <v>370398.88675751333</v>
      </c>
      <c r="DK247" s="724"/>
      <c r="DL247" s="5"/>
      <c r="DM247" s="306">
        <v>5.6579725678770103</v>
      </c>
      <c r="DN247" s="306"/>
      <c r="DO247" s="306">
        <v>5.0529896741435163</v>
      </c>
      <c r="DP247" s="719">
        <v>18156.037912237574</v>
      </c>
      <c r="DQ247" s="720">
        <v>0</v>
      </c>
      <c r="DR247" s="650">
        <v>18156.037912237574</v>
      </c>
      <c r="DS247" s="94">
        <v>18156.037912237574</v>
      </c>
      <c r="DT247" s="719">
        <v>18153.830000000002</v>
      </c>
      <c r="DU247" s="721"/>
      <c r="DV247" s="93">
        <v>18153.830000000002</v>
      </c>
      <c r="DW247" s="95">
        <v>18328.952559020789</v>
      </c>
      <c r="DX247" s="28">
        <v>-175.12255902078687</v>
      </c>
      <c r="EA247" s="5">
        <v>9756.2750686153286</v>
      </c>
      <c r="EB247" s="5">
        <v>811.19999999999993</v>
      </c>
      <c r="EE247" s="722">
        <v>82141.286783145988</v>
      </c>
      <c r="EG247" s="42" t="s">
        <v>281</v>
      </c>
    </row>
    <row r="248" spans="1:137" x14ac:dyDescent="0.3">
      <c r="A248" s="325">
        <v>150000713</v>
      </c>
      <c r="B248" s="41" t="s">
        <v>719</v>
      </c>
      <c r="C248" s="42" t="s">
        <v>282</v>
      </c>
      <c r="D248" s="27">
        <v>5</v>
      </c>
      <c r="E248" s="709">
        <v>6256.6</v>
      </c>
      <c r="F248" s="723">
        <v>5131.2</v>
      </c>
      <c r="G248" s="28"/>
      <c r="H248" s="651">
        <v>1125.4000000000001</v>
      </c>
      <c r="I248" s="39">
        <v>3637.3261310959024</v>
      </c>
      <c r="J248" s="39">
        <v>3449.1947974559753</v>
      </c>
      <c r="K248" s="52">
        <v>-188.13133363992711</v>
      </c>
      <c r="L248" s="39">
        <v>756.35994966120768</v>
      </c>
      <c r="M248" s="39">
        <v>654.55236032839696</v>
      </c>
      <c r="N248" s="52">
        <v>-101.80758933281072</v>
      </c>
      <c r="O248" s="39">
        <v>1458.14</v>
      </c>
      <c r="P248" s="39">
        <v>1457.94</v>
      </c>
      <c r="Q248" s="52">
        <v>-0.20000000000004547</v>
      </c>
      <c r="R248" s="39">
        <v>0</v>
      </c>
      <c r="S248" s="39">
        <v>0</v>
      </c>
      <c r="T248" s="52">
        <v>0</v>
      </c>
      <c r="U248" s="39">
        <v>333.92254251606141</v>
      </c>
      <c r="V248" s="39">
        <v>197.89157391994368</v>
      </c>
      <c r="W248" s="52">
        <v>-136.03096859611773</v>
      </c>
      <c r="X248" s="39">
        <v>3364.7305826295478</v>
      </c>
      <c r="Y248" s="39">
        <v>2457.7735028927282</v>
      </c>
      <c r="Z248" s="52">
        <v>-906.95707973681965</v>
      </c>
      <c r="AA248" s="39">
        <v>0</v>
      </c>
      <c r="AB248" s="39">
        <v>0</v>
      </c>
      <c r="AC248" s="52">
        <v>0</v>
      </c>
      <c r="AD248" s="39">
        <v>4458.694595107384</v>
      </c>
      <c r="AE248" s="39">
        <v>3741.3635443016219</v>
      </c>
      <c r="AF248" s="35">
        <v>-717.33105080576206</v>
      </c>
      <c r="AG248" s="77">
        <v>14009.173801010103</v>
      </c>
      <c r="AH248" s="53">
        <v>11958.715778898666</v>
      </c>
      <c r="AI248" s="52">
        <v>-2050.4580221114375</v>
      </c>
      <c r="AJ248" s="39">
        <v>0</v>
      </c>
      <c r="AK248" s="39">
        <v>0</v>
      </c>
      <c r="AL248" s="52">
        <v>0</v>
      </c>
      <c r="AM248" s="39">
        <v>0</v>
      </c>
      <c r="AN248" s="39">
        <v>0</v>
      </c>
      <c r="AO248" s="52">
        <v>0</v>
      </c>
      <c r="AP248" s="39">
        <v>2533.272194740513</v>
      </c>
      <c r="AQ248" s="39">
        <v>0</v>
      </c>
      <c r="AR248" s="52">
        <v>-2533.272194740513</v>
      </c>
      <c r="AS248" s="39">
        <v>15370.074459256723</v>
      </c>
      <c r="AT248" s="39">
        <v>6837</v>
      </c>
      <c r="AU248" s="54">
        <v>-8533.0744592567225</v>
      </c>
      <c r="AV248" s="39">
        <v>597.70861840761279</v>
      </c>
      <c r="AW248" s="39">
        <v>0</v>
      </c>
      <c r="AX248" s="55">
        <v>-597.70861840761279</v>
      </c>
      <c r="AY248" s="39">
        <v>974.84939071975509</v>
      </c>
      <c r="AZ248" s="39">
        <v>0</v>
      </c>
      <c r="BA248" s="35">
        <v>-974.84939071975509</v>
      </c>
      <c r="BB248" s="39">
        <v>567.61626868907615</v>
      </c>
      <c r="BC248" s="39">
        <v>5741</v>
      </c>
      <c r="BD248" s="55">
        <v>5173.3837313109234</v>
      </c>
      <c r="BE248" s="39">
        <v>0</v>
      </c>
      <c r="BF248" s="39">
        <v>0</v>
      </c>
      <c r="BG248" s="38">
        <v>0</v>
      </c>
      <c r="BH248" s="39">
        <v>338.81178137477229</v>
      </c>
      <c r="BI248" s="39">
        <v>0</v>
      </c>
      <c r="BJ248" s="55">
        <v>-338.81178137477229</v>
      </c>
      <c r="BK248" s="39">
        <v>521.68679861452631</v>
      </c>
      <c r="BL248" s="39">
        <v>0</v>
      </c>
      <c r="BM248" s="38">
        <v>-521.68679861452631</v>
      </c>
      <c r="BN248" s="39">
        <v>0</v>
      </c>
      <c r="BO248" s="39">
        <v>0</v>
      </c>
      <c r="BP248" s="55">
        <v>0</v>
      </c>
      <c r="BQ248" s="77">
        <v>3000.6728578057423</v>
      </c>
      <c r="BR248" s="40">
        <v>5741</v>
      </c>
      <c r="BS248" s="55">
        <v>2740.3271421942577</v>
      </c>
      <c r="BT248" s="39">
        <v>10004.685608990432</v>
      </c>
      <c r="BU248" s="39">
        <v>2863.088512996615</v>
      </c>
      <c r="BV248" s="52">
        <v>-7141.5970959938168</v>
      </c>
      <c r="BW248" s="39">
        <v>5416.3801571906324</v>
      </c>
      <c r="BX248" s="39">
        <v>5104.4389964603806</v>
      </c>
      <c r="BY248" s="52">
        <v>-311.9411607302518</v>
      </c>
      <c r="BZ248" s="39">
        <v>1897.8656800311755</v>
      </c>
      <c r="CA248" s="39">
        <v>11018.544066792734</v>
      </c>
      <c r="CB248" s="52">
        <v>9120.6783867615595</v>
      </c>
      <c r="CC248" s="39">
        <v>147.0662692493668</v>
      </c>
      <c r="CD248" s="39">
        <v>145.09144626290168</v>
      </c>
      <c r="CE248" s="52">
        <v>-1.9748229864651137</v>
      </c>
      <c r="CF248" s="39">
        <v>18.104749055319775</v>
      </c>
      <c r="CG248" s="39">
        <v>0</v>
      </c>
      <c r="CH248" s="52">
        <v>-18.104749055319775</v>
      </c>
      <c r="CI248" s="39">
        <v>480.41647954793149</v>
      </c>
      <c r="CJ248" s="39">
        <v>667.94218749189724</v>
      </c>
      <c r="CK248" s="52">
        <v>187.52570794396576</v>
      </c>
      <c r="CL248" s="39">
        <v>0</v>
      </c>
      <c r="CM248" s="39">
        <v>0</v>
      </c>
      <c r="CN248" s="52">
        <v>0</v>
      </c>
      <c r="CO248" s="39">
        <v>480.41647954793149</v>
      </c>
      <c r="CP248" s="40">
        <v>667.94218749189724</v>
      </c>
      <c r="CQ248" s="52">
        <v>187.52570794396576</v>
      </c>
      <c r="CR248" s="72">
        <v>52877.71225687793</v>
      </c>
      <c r="CS248" s="5">
        <v>44335.820988903193</v>
      </c>
      <c r="CT248" s="52">
        <v>-8541.8912679747373</v>
      </c>
      <c r="CU248" s="77">
        <v>63453.254708253517</v>
      </c>
      <c r="CV248" s="65">
        <v>53202.985186683829</v>
      </c>
      <c r="CW248" s="35">
        <v>-10250.269521569688</v>
      </c>
      <c r="CX248" s="39">
        <v>2411.2236789136336</v>
      </c>
      <c r="CY248" s="39">
        <v>12661.493200483324</v>
      </c>
      <c r="CZ248" s="52">
        <v>10250.269521569691</v>
      </c>
      <c r="DA248" s="150">
        <v>23022.482421964247</v>
      </c>
      <c r="DB248" s="2">
        <v>3</v>
      </c>
      <c r="DC248" s="713">
        <v>73133.820000000007</v>
      </c>
      <c r="DD248" s="714">
        <v>14959.819999999998</v>
      </c>
      <c r="DE248" s="715">
        <v>45518.463123121765</v>
      </c>
      <c r="DF248" s="716">
        <v>9642.9376832946655</v>
      </c>
      <c r="DG248" s="717">
        <v>9711.5393007118655</v>
      </c>
      <c r="DH248" s="718">
        <v>322591.54870462761</v>
      </c>
      <c r="DI248" s="718">
        <v>790373.74064600584</v>
      </c>
      <c r="DJ248" s="693">
        <v>673428.19266066118</v>
      </c>
      <c r="DK248" s="724"/>
      <c r="DL248" s="5"/>
      <c r="DM248" s="306">
        <v>5.3818515896628938</v>
      </c>
      <c r="DN248" s="306"/>
      <c r="DO248" s="306">
        <v>4.7244378147372768</v>
      </c>
      <c r="DP248" s="719">
        <v>27615.356876878239</v>
      </c>
      <c r="DQ248" s="720">
        <v>5316.8823167053315</v>
      </c>
      <c r="DR248" s="650">
        <v>32932.239193583569</v>
      </c>
      <c r="DS248" s="94">
        <v>32932.239193583584</v>
      </c>
      <c r="DT248" s="719">
        <v>27615.599999999999</v>
      </c>
      <c r="DU248" s="725">
        <v>5319.7000000000007</v>
      </c>
      <c r="DV248" s="93">
        <v>32935.300000000003</v>
      </c>
      <c r="DW248" s="95">
        <v>33173.361561474936</v>
      </c>
      <c r="DX248" s="28">
        <v>-238.06156147493311</v>
      </c>
      <c r="EA248" s="5">
        <v>22044.896780474959</v>
      </c>
      <c r="EB248" s="5">
        <v>15093.599999999999</v>
      </c>
      <c r="EE248" s="722">
        <v>184440.89351108068</v>
      </c>
      <c r="EG248" s="42" t="s">
        <v>282</v>
      </c>
    </row>
    <row r="249" spans="1:137" ht="13.95" customHeight="1" x14ac:dyDescent="0.3">
      <c r="A249" s="325">
        <v>150000714</v>
      </c>
      <c r="B249" s="41" t="s">
        <v>720</v>
      </c>
      <c r="C249" s="42" t="s">
        <v>283</v>
      </c>
      <c r="D249" s="27">
        <v>5</v>
      </c>
      <c r="E249" s="709">
        <v>2767.8</v>
      </c>
      <c r="F249" s="723">
        <v>2767.8</v>
      </c>
      <c r="G249" s="28"/>
      <c r="H249" s="651">
        <v>0</v>
      </c>
      <c r="I249" s="39">
        <v>1759.3844797938718</v>
      </c>
      <c r="J249" s="39">
        <v>1667.4205402571715</v>
      </c>
      <c r="K249" s="52">
        <v>-91.963939536700309</v>
      </c>
      <c r="L249" s="39">
        <v>371.69495445223407</v>
      </c>
      <c r="M249" s="39">
        <v>321.66402424171133</v>
      </c>
      <c r="N249" s="52">
        <v>-50.03093021052274</v>
      </c>
      <c r="O249" s="39">
        <v>681.36</v>
      </c>
      <c r="P249" s="39">
        <v>681.4</v>
      </c>
      <c r="Q249" s="52">
        <v>3.999999999996362E-2</v>
      </c>
      <c r="R249" s="39">
        <v>0</v>
      </c>
      <c r="S249" s="39">
        <v>0</v>
      </c>
      <c r="T249" s="52">
        <v>0</v>
      </c>
      <c r="U249" s="39">
        <v>0</v>
      </c>
      <c r="V249" s="39">
        <v>0</v>
      </c>
      <c r="W249" s="52">
        <v>0</v>
      </c>
      <c r="X249" s="39">
        <v>1174.0143956197849</v>
      </c>
      <c r="Y249" s="39">
        <v>824.64372331754214</v>
      </c>
      <c r="Z249" s="52">
        <v>-349.37067230224272</v>
      </c>
      <c r="AA249" s="39">
        <v>0</v>
      </c>
      <c r="AB249" s="39">
        <v>0</v>
      </c>
      <c r="AC249" s="52">
        <v>0</v>
      </c>
      <c r="AD249" s="39">
        <v>1972.4410862670168</v>
      </c>
      <c r="AE249" s="39">
        <v>1655.1075692737315</v>
      </c>
      <c r="AF249" s="35">
        <v>-317.33351699328523</v>
      </c>
      <c r="AG249" s="77">
        <v>5958.8949161329074</v>
      </c>
      <c r="AH249" s="53">
        <v>5150.2358570901561</v>
      </c>
      <c r="AI249" s="52">
        <v>-808.65905904275132</v>
      </c>
      <c r="AJ249" s="39">
        <v>0</v>
      </c>
      <c r="AK249" s="39">
        <v>0</v>
      </c>
      <c r="AL249" s="52">
        <v>0</v>
      </c>
      <c r="AM249" s="39">
        <v>0</v>
      </c>
      <c r="AN249" s="39">
        <v>0</v>
      </c>
      <c r="AO249" s="52">
        <v>0</v>
      </c>
      <c r="AP249" s="39">
        <v>710.2632321702373</v>
      </c>
      <c r="AQ249" s="39">
        <v>0</v>
      </c>
      <c r="AR249" s="52">
        <v>-710.2632321702373</v>
      </c>
      <c r="AS249" s="39">
        <v>7884.4708332189193</v>
      </c>
      <c r="AT249" s="39">
        <v>768</v>
      </c>
      <c r="AU249" s="54">
        <v>-7116.4708332189193</v>
      </c>
      <c r="AV249" s="39">
        <v>293.62362475258334</v>
      </c>
      <c r="AW249" s="39">
        <v>0</v>
      </c>
      <c r="AX249" s="55">
        <v>-293.62362475258334</v>
      </c>
      <c r="AY249" s="39">
        <v>479.05349530254739</v>
      </c>
      <c r="AZ249" s="39">
        <v>0</v>
      </c>
      <c r="BA249" s="35">
        <v>-479.05349530254739</v>
      </c>
      <c r="BB249" s="39">
        <v>251.78681354995123</v>
      </c>
      <c r="BC249" s="39">
        <v>0</v>
      </c>
      <c r="BD249" s="55">
        <v>-251.78681354995123</v>
      </c>
      <c r="BE249" s="39">
        <v>0</v>
      </c>
      <c r="BF249" s="39">
        <v>0</v>
      </c>
      <c r="BG249" s="38">
        <v>0</v>
      </c>
      <c r="BH249" s="39">
        <v>0</v>
      </c>
      <c r="BI249" s="39">
        <v>0</v>
      </c>
      <c r="BJ249" s="55">
        <v>0</v>
      </c>
      <c r="BK249" s="39">
        <v>176.11396072083613</v>
      </c>
      <c r="BL249" s="39">
        <v>0</v>
      </c>
      <c r="BM249" s="38">
        <v>-176.11396072083613</v>
      </c>
      <c r="BN249" s="39">
        <v>0</v>
      </c>
      <c r="BO249" s="39">
        <v>0</v>
      </c>
      <c r="BP249" s="55">
        <v>0</v>
      </c>
      <c r="BQ249" s="77">
        <v>1200.5778943259179</v>
      </c>
      <c r="BR249" s="40">
        <v>0</v>
      </c>
      <c r="BS249" s="55">
        <v>-1200.5778943259179</v>
      </c>
      <c r="BT249" s="39">
        <v>5925.4262718617965</v>
      </c>
      <c r="BU249" s="39">
        <v>1722.2377453706663</v>
      </c>
      <c r="BV249" s="52">
        <v>-4203.1885264911307</v>
      </c>
      <c r="BW249" s="39">
        <v>3079.6104734382711</v>
      </c>
      <c r="BX249" s="39">
        <v>2875.8593781637992</v>
      </c>
      <c r="BY249" s="52">
        <v>-203.75109527447194</v>
      </c>
      <c r="BZ249" s="39">
        <v>820.41161166212044</v>
      </c>
      <c r="CA249" s="39">
        <v>6698.6218024354257</v>
      </c>
      <c r="CB249" s="52">
        <v>5878.2101907733049</v>
      </c>
      <c r="CC249" s="39">
        <v>98.044179499577865</v>
      </c>
      <c r="CD249" s="39">
        <v>96.727630841934442</v>
      </c>
      <c r="CE249" s="52">
        <v>-1.3165486576434233</v>
      </c>
      <c r="CF249" s="39">
        <v>12.069832703546517</v>
      </c>
      <c r="CG249" s="39">
        <v>0</v>
      </c>
      <c r="CH249" s="52">
        <v>-12.069832703546517</v>
      </c>
      <c r="CI249" s="39">
        <v>1634.6638654747796</v>
      </c>
      <c r="CJ249" s="39">
        <v>2873.6488343313863</v>
      </c>
      <c r="CK249" s="52">
        <v>1238.9849688566067</v>
      </c>
      <c r="CL249" s="39">
        <v>0</v>
      </c>
      <c r="CM249" s="39">
        <v>0</v>
      </c>
      <c r="CN249" s="52">
        <v>0</v>
      </c>
      <c r="CO249" s="39">
        <v>1634.6638654747796</v>
      </c>
      <c r="CP249" s="40">
        <v>2873.6488343313863</v>
      </c>
      <c r="CQ249" s="52">
        <v>1238.9849688566067</v>
      </c>
      <c r="CR249" s="72">
        <v>27324.433110488073</v>
      </c>
      <c r="CS249" s="5">
        <v>20185.331248233371</v>
      </c>
      <c r="CT249" s="52">
        <v>-7139.1018622547017</v>
      </c>
      <c r="CU249" s="77">
        <v>32789.319732585689</v>
      </c>
      <c r="CV249" s="65">
        <v>24222.397497880043</v>
      </c>
      <c r="CW249" s="35">
        <v>-8566.9222347056457</v>
      </c>
      <c r="CX249" s="39">
        <v>655.78639465171375</v>
      </c>
      <c r="CY249" s="39">
        <v>9222.708629357363</v>
      </c>
      <c r="CZ249" s="52">
        <v>8566.9222347056493</v>
      </c>
      <c r="DA249" s="150">
        <v>91385.83749605756</v>
      </c>
      <c r="DB249" s="2">
        <v>3</v>
      </c>
      <c r="DC249" s="713">
        <v>24599.58</v>
      </c>
      <c r="DD249" s="714"/>
      <c r="DE249" s="715">
        <v>7877.0269363813022</v>
      </c>
      <c r="DF249" s="716">
        <v>0</v>
      </c>
      <c r="DG249" s="717">
        <v>114342.50110686746</v>
      </c>
      <c r="DH249" s="718">
        <v>160693.85865565596</v>
      </c>
      <c r="DI249" s="718">
        <v>401341.27352684888</v>
      </c>
      <c r="DJ249" s="693">
        <v>341179.41980905063</v>
      </c>
      <c r="DK249" s="724"/>
      <c r="DL249" s="5"/>
      <c r="DM249" s="306">
        <v>6.0418213251025001</v>
      </c>
      <c r="DN249" s="306"/>
      <c r="DO249" s="306">
        <v>5.360875588508736</v>
      </c>
      <c r="DP249" s="719">
        <v>16722.5530636187</v>
      </c>
      <c r="DQ249" s="720">
        <v>0</v>
      </c>
      <c r="DR249" s="650">
        <v>16722.5530636187</v>
      </c>
      <c r="DS249" s="94">
        <v>16722.553063618707</v>
      </c>
      <c r="DT249" s="719">
        <v>16722.48</v>
      </c>
      <c r="DU249" s="721"/>
      <c r="DV249" s="93">
        <v>16722.48</v>
      </c>
      <c r="DW249" s="95">
        <v>16788.131703083873</v>
      </c>
      <c r="DX249" s="28">
        <v>-65.651703083873144</v>
      </c>
      <c r="EA249" s="5">
        <v>10902.058473053805</v>
      </c>
      <c r="EB249" s="5">
        <v>921.59999999999991</v>
      </c>
      <c r="EE249" s="722">
        <v>94613.649998627036</v>
      </c>
      <c r="EG249" s="42" t="s">
        <v>283</v>
      </c>
    </row>
    <row r="250" spans="1:137" x14ac:dyDescent="0.3">
      <c r="A250" s="325">
        <v>150000715</v>
      </c>
      <c r="B250" s="41" t="s">
        <v>721</v>
      </c>
      <c r="C250" s="42" t="s">
        <v>284</v>
      </c>
      <c r="D250" s="27">
        <v>5</v>
      </c>
      <c r="E250" s="709">
        <v>4580.3</v>
      </c>
      <c r="F250" s="723">
        <v>4580.3</v>
      </c>
      <c r="G250" s="28"/>
      <c r="H250" s="651">
        <v>0</v>
      </c>
      <c r="I250" s="39">
        <v>2782.8965038330093</v>
      </c>
      <c r="J250" s="39">
        <v>2638.277229330798</v>
      </c>
      <c r="K250" s="52">
        <v>-144.61927450221128</v>
      </c>
      <c r="L250" s="39">
        <v>567.3814458945842</v>
      </c>
      <c r="M250" s="39">
        <v>491.01029572786115</v>
      </c>
      <c r="N250" s="52">
        <v>-76.371150166723055</v>
      </c>
      <c r="O250" s="39">
        <v>1154.22</v>
      </c>
      <c r="P250" s="39">
        <v>1154.24</v>
      </c>
      <c r="Q250" s="52">
        <v>1.999999999998181E-2</v>
      </c>
      <c r="R250" s="39">
        <v>0</v>
      </c>
      <c r="S250" s="39">
        <v>0</v>
      </c>
      <c r="T250" s="52">
        <v>0</v>
      </c>
      <c r="U250" s="39">
        <v>220.18230973062418</v>
      </c>
      <c r="V250" s="39">
        <v>130.48630874449555</v>
      </c>
      <c r="W250" s="52">
        <v>-89.696000986128638</v>
      </c>
      <c r="X250" s="39">
        <v>2121.4138921648696</v>
      </c>
      <c r="Y250" s="39">
        <v>1549.4090948787407</v>
      </c>
      <c r="Z250" s="52">
        <v>-572.00479728612891</v>
      </c>
      <c r="AA250" s="39">
        <v>0</v>
      </c>
      <c r="AB250" s="39">
        <v>0</v>
      </c>
      <c r="AC250" s="52">
        <v>0</v>
      </c>
      <c r="AD250" s="39">
        <v>3264.0985285890656</v>
      </c>
      <c r="AE250" s="39">
        <v>2738.9584505905314</v>
      </c>
      <c r="AF250" s="35">
        <v>-525.14007799853425</v>
      </c>
      <c r="AG250" s="77">
        <v>10110.192680212152</v>
      </c>
      <c r="AH250" s="53">
        <v>8702.3813792724268</v>
      </c>
      <c r="AI250" s="52">
        <v>-1407.8113009397257</v>
      </c>
      <c r="AJ250" s="39">
        <v>0</v>
      </c>
      <c r="AK250" s="39">
        <v>0</v>
      </c>
      <c r="AL250" s="52">
        <v>0</v>
      </c>
      <c r="AM250" s="39">
        <v>0</v>
      </c>
      <c r="AN250" s="39">
        <v>0</v>
      </c>
      <c r="AO250" s="52">
        <v>0</v>
      </c>
      <c r="AP250" s="39">
        <v>2367.5441072341246</v>
      </c>
      <c r="AQ250" s="39">
        <v>6733.3574294613481</v>
      </c>
      <c r="AR250" s="52">
        <v>4365.8133222272236</v>
      </c>
      <c r="AS250" s="39">
        <v>11294.600946759965</v>
      </c>
      <c r="AT250" s="39">
        <v>2352</v>
      </c>
      <c r="AU250" s="54">
        <v>-8942.6009467599652</v>
      </c>
      <c r="AV250" s="39">
        <v>454.33816644439599</v>
      </c>
      <c r="AW250" s="39">
        <v>1689</v>
      </c>
      <c r="AX250" s="55">
        <v>1234.6618335556041</v>
      </c>
      <c r="AY250" s="39">
        <v>731.30703205498548</v>
      </c>
      <c r="AZ250" s="39">
        <v>0</v>
      </c>
      <c r="BA250" s="35">
        <v>-731.30703205498548</v>
      </c>
      <c r="BB250" s="39">
        <v>419.31302136116989</v>
      </c>
      <c r="BC250" s="39">
        <v>0</v>
      </c>
      <c r="BD250" s="55">
        <v>-419.31302136116989</v>
      </c>
      <c r="BE250" s="39">
        <v>0</v>
      </c>
      <c r="BF250" s="39">
        <v>0</v>
      </c>
      <c r="BG250" s="38">
        <v>0</v>
      </c>
      <c r="BH250" s="39">
        <v>223.34337737643764</v>
      </c>
      <c r="BI250" s="39">
        <v>0</v>
      </c>
      <c r="BJ250" s="55">
        <v>-223.34337737643764</v>
      </c>
      <c r="BK250" s="39">
        <v>334.27802161567132</v>
      </c>
      <c r="BL250" s="39">
        <v>149</v>
      </c>
      <c r="BM250" s="38">
        <v>-185.27802161567132</v>
      </c>
      <c r="BN250" s="39">
        <v>0</v>
      </c>
      <c r="BO250" s="39">
        <v>0</v>
      </c>
      <c r="BP250" s="55">
        <v>0</v>
      </c>
      <c r="BQ250" s="77">
        <v>2162.5796188526601</v>
      </c>
      <c r="BR250" s="40">
        <v>1838</v>
      </c>
      <c r="BS250" s="55">
        <v>-324.57961885266013</v>
      </c>
      <c r="BT250" s="39">
        <v>7816.8702094166374</v>
      </c>
      <c r="BU250" s="39">
        <v>2479.6624169375846</v>
      </c>
      <c r="BV250" s="52">
        <v>-5337.2077924790528</v>
      </c>
      <c r="BW250" s="39">
        <v>3921.7505948211219</v>
      </c>
      <c r="BX250" s="39">
        <v>3666.9945371493841</v>
      </c>
      <c r="BY250" s="52">
        <v>-254.75605767173784</v>
      </c>
      <c r="BZ250" s="39">
        <v>1395.5518577561559</v>
      </c>
      <c r="CA250" s="39">
        <v>9537.6063710325434</v>
      </c>
      <c r="CB250" s="52">
        <v>8142.0545132763873</v>
      </c>
      <c r="CC250" s="39">
        <v>98.044179499577865</v>
      </c>
      <c r="CD250" s="39">
        <v>96.727630841934442</v>
      </c>
      <c r="CE250" s="52">
        <v>-1.3165486576434233</v>
      </c>
      <c r="CF250" s="39">
        <v>12.069832703546517</v>
      </c>
      <c r="CG250" s="39">
        <v>0</v>
      </c>
      <c r="CH250" s="52">
        <v>-12.069832703546517</v>
      </c>
      <c r="CI250" s="39">
        <v>895.32162097569039</v>
      </c>
      <c r="CJ250" s="39">
        <v>1046.5077320268506</v>
      </c>
      <c r="CK250" s="52">
        <v>151.1861110511602</v>
      </c>
      <c r="CL250" s="39">
        <v>0</v>
      </c>
      <c r="CM250" s="39">
        <v>0</v>
      </c>
      <c r="CN250" s="52">
        <v>0</v>
      </c>
      <c r="CO250" s="39">
        <v>895.32162097569039</v>
      </c>
      <c r="CP250" s="40">
        <v>1046.5077320268506</v>
      </c>
      <c r="CQ250" s="52">
        <v>151.1861110511602</v>
      </c>
      <c r="CR250" s="72">
        <v>40074.525648231633</v>
      </c>
      <c r="CS250" s="5">
        <v>36453.237496722075</v>
      </c>
      <c r="CT250" s="52">
        <v>-3621.2881515095578</v>
      </c>
      <c r="CU250" s="77">
        <v>48089.430777877955</v>
      </c>
      <c r="CV250" s="65">
        <v>43743.884996066488</v>
      </c>
      <c r="CW250" s="35">
        <v>-4345.5457818114664</v>
      </c>
      <c r="CX250" s="39">
        <v>1731.2195080036063</v>
      </c>
      <c r="CY250" s="39">
        <v>6076.7652898150736</v>
      </c>
      <c r="CZ250" s="52">
        <v>4345.5457818114674</v>
      </c>
      <c r="DA250" s="150">
        <v>63578.16843742074</v>
      </c>
      <c r="DB250" s="2">
        <v>3</v>
      </c>
      <c r="DC250" s="713">
        <v>39741.980000000003</v>
      </c>
      <c r="DD250" s="714"/>
      <c r="DE250" s="715">
        <v>14831.654857059224</v>
      </c>
      <c r="DF250" s="716">
        <v>0</v>
      </c>
      <c r="DG250" s="717">
        <v>41819.653571427552</v>
      </c>
      <c r="DH250" s="718">
        <v>244320.74126565413</v>
      </c>
      <c r="DI250" s="718">
        <v>597847.80343057867</v>
      </c>
      <c r="DJ250" s="693">
        <v>509466.03788934753</v>
      </c>
      <c r="DK250" s="724"/>
      <c r="DL250" s="5"/>
      <c r="DM250" s="306">
        <v>5.438579381905285</v>
      </c>
      <c r="DN250" s="306"/>
      <c r="DO250" s="306">
        <v>4.9063521981529528</v>
      </c>
      <c r="DP250" s="719">
        <v>24910.325142940779</v>
      </c>
      <c r="DQ250" s="720">
        <v>0</v>
      </c>
      <c r="DR250" s="650">
        <v>24910.325142940779</v>
      </c>
      <c r="DS250" s="94">
        <v>24910.325142940779</v>
      </c>
      <c r="DT250" s="719">
        <v>24908.25</v>
      </c>
      <c r="DU250" s="721"/>
      <c r="DV250" s="93">
        <v>24908.25</v>
      </c>
      <c r="DW250" s="95">
        <v>25083.447093741142</v>
      </c>
      <c r="DX250" s="28">
        <v>-175.19709374114245</v>
      </c>
      <c r="EA250" s="5">
        <v>16148.61667873515</v>
      </c>
      <c r="EB250" s="5">
        <v>5028</v>
      </c>
      <c r="EE250" s="722">
        <v>135535.21136111958</v>
      </c>
      <c r="EG250" s="42" t="s">
        <v>284</v>
      </c>
    </row>
    <row r="251" spans="1:137" x14ac:dyDescent="0.3">
      <c r="A251" s="325">
        <v>150000719</v>
      </c>
      <c r="B251" s="41" t="s">
        <v>722</v>
      </c>
      <c r="C251" s="42" t="s">
        <v>285</v>
      </c>
      <c r="D251" s="27">
        <v>5</v>
      </c>
      <c r="E251" s="709">
        <v>6211.0999999999995</v>
      </c>
      <c r="F251" s="723">
        <v>5975.2</v>
      </c>
      <c r="G251" s="28"/>
      <c r="H251" s="651">
        <v>235.9</v>
      </c>
      <c r="I251" s="39">
        <v>3641.0657773573757</v>
      </c>
      <c r="J251" s="39">
        <v>3452.6563478547932</v>
      </c>
      <c r="K251" s="52">
        <v>-188.4094295025825</v>
      </c>
      <c r="L251" s="39">
        <v>756.90247565259403</v>
      </c>
      <c r="M251" s="39">
        <v>655.02181823826277</v>
      </c>
      <c r="N251" s="52">
        <v>-101.88065741433127</v>
      </c>
      <c r="O251" s="39">
        <v>1505.08</v>
      </c>
      <c r="P251" s="39">
        <v>1505.14</v>
      </c>
      <c r="Q251" s="52">
        <v>6.0000000000172804E-2</v>
      </c>
      <c r="R251" s="39">
        <v>0</v>
      </c>
      <c r="S251" s="39">
        <v>0</v>
      </c>
      <c r="T251" s="52">
        <v>0</v>
      </c>
      <c r="U251" s="39">
        <v>333.92254251606141</v>
      </c>
      <c r="V251" s="39">
        <v>197.89157391994368</v>
      </c>
      <c r="W251" s="52">
        <v>-136.03096859611773</v>
      </c>
      <c r="X251" s="39">
        <v>3444.7655272752972</v>
      </c>
      <c r="Y251" s="39">
        <v>2503.1568265892774</v>
      </c>
      <c r="Z251" s="52">
        <v>-941.6087006860198</v>
      </c>
      <c r="AA251" s="39">
        <v>0</v>
      </c>
      <c r="AB251" s="39">
        <v>0</v>
      </c>
      <c r="AC251" s="52">
        <v>0</v>
      </c>
      <c r="AD251" s="39">
        <v>4426.2695393139193</v>
      </c>
      <c r="AE251" s="39">
        <v>3714.1551497637374</v>
      </c>
      <c r="AF251" s="35">
        <v>-712.11438955018184</v>
      </c>
      <c r="AG251" s="77">
        <v>14108.005862115246</v>
      </c>
      <c r="AH251" s="53">
        <v>12028.021716366015</v>
      </c>
      <c r="AI251" s="52">
        <v>-2079.9841457492312</v>
      </c>
      <c r="AJ251" s="39">
        <v>0</v>
      </c>
      <c r="AK251" s="39">
        <v>0</v>
      </c>
      <c r="AL251" s="52">
        <v>0</v>
      </c>
      <c r="AM251" s="39">
        <v>0</v>
      </c>
      <c r="AN251" s="39">
        <v>0</v>
      </c>
      <c r="AO251" s="52">
        <v>0</v>
      </c>
      <c r="AP251" s="39">
        <v>3006.7810161873381</v>
      </c>
      <c r="AQ251" s="39">
        <v>0</v>
      </c>
      <c r="AR251" s="52">
        <v>-3006.7810161873381</v>
      </c>
      <c r="AS251" s="39">
        <v>12958.266236529415</v>
      </c>
      <c r="AT251" s="39">
        <v>124211</v>
      </c>
      <c r="AU251" s="54">
        <v>111252.73376347059</v>
      </c>
      <c r="AV251" s="39">
        <v>598.56467936387094</v>
      </c>
      <c r="AW251" s="39">
        <v>0</v>
      </c>
      <c r="AX251" s="55">
        <v>-598.56467936387094</v>
      </c>
      <c r="AY251" s="39">
        <v>975.5292650897868</v>
      </c>
      <c r="AZ251" s="39">
        <v>0</v>
      </c>
      <c r="BA251" s="35">
        <v>-975.5292650897868</v>
      </c>
      <c r="BB251" s="39">
        <v>568.60575830468986</v>
      </c>
      <c r="BC251" s="39">
        <v>0</v>
      </c>
      <c r="BD251" s="55">
        <v>-568.60575830468986</v>
      </c>
      <c r="BE251" s="39">
        <v>0</v>
      </c>
      <c r="BF251" s="39">
        <v>0</v>
      </c>
      <c r="BG251" s="38">
        <v>0</v>
      </c>
      <c r="BH251" s="39">
        <v>338.81178137477229</v>
      </c>
      <c r="BI251" s="39">
        <v>0</v>
      </c>
      <c r="BJ251" s="55">
        <v>-338.81178137477229</v>
      </c>
      <c r="BK251" s="39">
        <v>542.99350131699373</v>
      </c>
      <c r="BL251" s="39">
        <v>0</v>
      </c>
      <c r="BM251" s="38">
        <v>-542.99350131699373</v>
      </c>
      <c r="BN251" s="39">
        <v>0</v>
      </c>
      <c r="BO251" s="39">
        <v>0</v>
      </c>
      <c r="BP251" s="55">
        <v>0</v>
      </c>
      <c r="BQ251" s="77">
        <v>3024.5049854501135</v>
      </c>
      <c r="BR251" s="40">
        <v>0</v>
      </c>
      <c r="BS251" s="55">
        <v>-3024.5049854501135</v>
      </c>
      <c r="BT251" s="39">
        <v>12384.606998632191</v>
      </c>
      <c r="BU251" s="39">
        <v>3221.050417259311</v>
      </c>
      <c r="BV251" s="52">
        <v>-9163.556581372879</v>
      </c>
      <c r="BW251" s="39">
        <v>5839.6307177346489</v>
      </c>
      <c r="BX251" s="39">
        <v>5001.1537025452772</v>
      </c>
      <c r="BY251" s="52">
        <v>-838.47701518937174</v>
      </c>
      <c r="BZ251" s="39">
        <v>2069.8153579143809</v>
      </c>
      <c r="CA251" s="39">
        <v>11295.505184649923</v>
      </c>
      <c r="CB251" s="52">
        <v>9225.6898267355427</v>
      </c>
      <c r="CC251" s="39">
        <v>592.28488835694986</v>
      </c>
      <c r="CD251" s="39">
        <v>584.33161791612611</v>
      </c>
      <c r="CE251" s="52">
        <v>-7.9532704408237578</v>
      </c>
      <c r="CF251" s="39">
        <v>72.913859362124512</v>
      </c>
      <c r="CG251" s="39">
        <v>0</v>
      </c>
      <c r="CH251" s="52">
        <v>-72.913859362124512</v>
      </c>
      <c r="CI251" s="39">
        <v>3091.5112417662344</v>
      </c>
      <c r="CJ251" s="39">
        <v>6846.9887474046272</v>
      </c>
      <c r="CK251" s="52">
        <v>3755.4775056383928</v>
      </c>
      <c r="CL251" s="39">
        <v>0</v>
      </c>
      <c r="CM251" s="39">
        <v>0</v>
      </c>
      <c r="CN251" s="52">
        <v>0</v>
      </c>
      <c r="CO251" s="39">
        <v>3091.5112417662344</v>
      </c>
      <c r="CP251" s="40">
        <v>6846.9887474046272</v>
      </c>
      <c r="CQ251" s="52">
        <v>3755.4775056383928</v>
      </c>
      <c r="CR251" s="72">
        <v>57148.321164048641</v>
      </c>
      <c r="CS251" s="5">
        <v>163188.05138614128</v>
      </c>
      <c r="CT251" s="52">
        <v>106039.73022209264</v>
      </c>
      <c r="CU251" s="77">
        <v>68577.985396858363</v>
      </c>
      <c r="CV251" s="65">
        <v>195825.66166336954</v>
      </c>
      <c r="CW251" s="35">
        <v>127247.67626651117</v>
      </c>
      <c r="CX251" s="39">
        <v>2743.1194158743347</v>
      </c>
      <c r="CY251" s="39">
        <v>-124504.55685063684</v>
      </c>
      <c r="CZ251" s="52">
        <v>-127247.67626651117</v>
      </c>
      <c r="DA251" s="150">
        <v>-76793.761378098992</v>
      </c>
      <c r="DB251" s="2">
        <v>3</v>
      </c>
      <c r="DC251" s="713">
        <v>96325.04</v>
      </c>
      <c r="DD251" s="714">
        <v>3648</v>
      </c>
      <c r="DE251" s="715">
        <v>61880.491413826865</v>
      </c>
      <c r="DF251" s="716">
        <v>2431.9961798067761</v>
      </c>
      <c r="DG251" s="717">
        <v>-41428.637249539257</v>
      </c>
      <c r="DH251" s="718">
        <v>351331.23563116108</v>
      </c>
      <c r="DI251" s="718">
        <v>855853.25775279233</v>
      </c>
      <c r="DJ251" s="693">
        <v>729722.75222238444</v>
      </c>
      <c r="DK251" s="724"/>
      <c r="DL251" s="5"/>
      <c r="DM251" s="306">
        <v>5.7645850492323483</v>
      </c>
      <c r="DN251" s="306"/>
      <c r="DO251" s="306">
        <v>5.1547427731802626</v>
      </c>
      <c r="DP251" s="719">
        <v>34444.548586173129</v>
      </c>
      <c r="DQ251" s="720">
        <v>1216.0038201932239</v>
      </c>
      <c r="DR251" s="650">
        <v>35660.552406366354</v>
      </c>
      <c r="DS251" s="94">
        <v>35660.55240636634</v>
      </c>
      <c r="DT251" s="719">
        <v>34444.67</v>
      </c>
      <c r="DU251" s="725">
        <v>1216</v>
      </c>
      <c r="DV251" s="93">
        <v>35660.67</v>
      </c>
      <c r="DW251" s="95">
        <v>35934.864347953779</v>
      </c>
      <c r="DX251" s="28">
        <v>-274.19434795378038</v>
      </c>
      <c r="EA251" s="5">
        <v>19179.325466375434</v>
      </c>
      <c r="EB251" s="5">
        <v>149053.19999999998</v>
      </c>
      <c r="EE251" s="722">
        <v>155499.19483835297</v>
      </c>
      <c r="EG251" s="42" t="s">
        <v>285</v>
      </c>
    </row>
    <row r="252" spans="1:137" x14ac:dyDescent="0.3">
      <c r="A252" s="325">
        <v>150000716</v>
      </c>
      <c r="B252" s="41" t="s">
        <v>723</v>
      </c>
      <c r="C252" s="42" t="s">
        <v>286</v>
      </c>
      <c r="D252" s="27">
        <v>5</v>
      </c>
      <c r="E252" s="709">
        <v>3171.42</v>
      </c>
      <c r="F252" s="723">
        <v>2685</v>
      </c>
      <c r="G252" s="28"/>
      <c r="H252" s="651">
        <v>486.42</v>
      </c>
      <c r="I252" s="39">
        <v>2084.2643251384357</v>
      </c>
      <c r="J252" s="39">
        <v>1974.4716308805018</v>
      </c>
      <c r="K252" s="52">
        <v>-109.79269425793382</v>
      </c>
      <c r="L252" s="39">
        <v>380.42374770340246</v>
      </c>
      <c r="M252" s="39">
        <v>329.21802879137078</v>
      </c>
      <c r="N252" s="52">
        <v>-51.205718912031671</v>
      </c>
      <c r="O252" s="39">
        <v>774.64</v>
      </c>
      <c r="P252" s="39">
        <v>774.72</v>
      </c>
      <c r="Q252" s="52">
        <v>8.0000000000040927E-2</v>
      </c>
      <c r="R252" s="39">
        <v>0</v>
      </c>
      <c r="S252" s="39">
        <v>0</v>
      </c>
      <c r="T252" s="52">
        <v>0</v>
      </c>
      <c r="U252" s="39">
        <v>0</v>
      </c>
      <c r="V252" s="39">
        <v>0</v>
      </c>
      <c r="W252" s="52">
        <v>0</v>
      </c>
      <c r="X252" s="39">
        <v>1223.372364506854</v>
      </c>
      <c r="Y252" s="39">
        <v>874.23751619767791</v>
      </c>
      <c r="Z252" s="52">
        <v>-349.13484830917605</v>
      </c>
      <c r="AA252" s="39">
        <v>0</v>
      </c>
      <c r="AB252" s="39">
        <v>0</v>
      </c>
      <c r="AC252" s="52">
        <v>0</v>
      </c>
      <c r="AD252" s="39">
        <v>2260.0762735056514</v>
      </c>
      <c r="AE252" s="39">
        <v>1896.4669583590207</v>
      </c>
      <c r="AF252" s="35">
        <v>-363.60931514663071</v>
      </c>
      <c r="AG252" s="77">
        <v>6722.7767108543439</v>
      </c>
      <c r="AH252" s="53">
        <v>5849.1141342285719</v>
      </c>
      <c r="AI252" s="52">
        <v>-873.66257662577209</v>
      </c>
      <c r="AJ252" s="39">
        <v>0</v>
      </c>
      <c r="AK252" s="39">
        <v>0</v>
      </c>
      <c r="AL252" s="52">
        <v>0</v>
      </c>
      <c r="AM252" s="39">
        <v>0</v>
      </c>
      <c r="AN252" s="39">
        <v>0</v>
      </c>
      <c r="AO252" s="52">
        <v>0</v>
      </c>
      <c r="AP252" s="39">
        <v>1420.5264643404746</v>
      </c>
      <c r="AQ252" s="39">
        <v>3927.7918338524532</v>
      </c>
      <c r="AR252" s="52">
        <v>2507.2653695119789</v>
      </c>
      <c r="AS252" s="39">
        <v>7842.3553060547802</v>
      </c>
      <c r="AT252" s="39">
        <v>678</v>
      </c>
      <c r="AU252" s="54">
        <v>-7164.3553060547802</v>
      </c>
      <c r="AV252" s="39">
        <v>366.08836141794058</v>
      </c>
      <c r="AW252" s="39">
        <v>0</v>
      </c>
      <c r="AX252" s="55">
        <v>-366.08836141794058</v>
      </c>
      <c r="AY252" s="39">
        <v>490.31866771622811</v>
      </c>
      <c r="AZ252" s="39">
        <v>0</v>
      </c>
      <c r="BA252" s="35">
        <v>-490.31866771622811</v>
      </c>
      <c r="BB252" s="39">
        <v>307.91442535873171</v>
      </c>
      <c r="BC252" s="39">
        <v>0</v>
      </c>
      <c r="BD252" s="55">
        <v>-307.91442535873171</v>
      </c>
      <c r="BE252" s="39">
        <v>0</v>
      </c>
      <c r="BF252" s="39">
        <v>0</v>
      </c>
      <c r="BG252" s="38">
        <v>0</v>
      </c>
      <c r="BH252" s="39">
        <v>0</v>
      </c>
      <c r="BI252" s="39">
        <v>0</v>
      </c>
      <c r="BJ252" s="55">
        <v>0</v>
      </c>
      <c r="BK252" s="39">
        <v>200.55401869626783</v>
      </c>
      <c r="BL252" s="39">
        <v>0</v>
      </c>
      <c r="BM252" s="38">
        <v>-200.55401869626783</v>
      </c>
      <c r="BN252" s="39">
        <v>0</v>
      </c>
      <c r="BO252" s="39">
        <v>0</v>
      </c>
      <c r="BP252" s="55">
        <v>0</v>
      </c>
      <c r="BQ252" s="77">
        <v>1364.8754731891681</v>
      </c>
      <c r="BR252" s="40">
        <v>0</v>
      </c>
      <c r="BS252" s="55">
        <v>-1364.8754731891681</v>
      </c>
      <c r="BT252" s="39">
        <v>2681.8480731967179</v>
      </c>
      <c r="BU252" s="39">
        <v>941.49705933870928</v>
      </c>
      <c r="BV252" s="52">
        <v>-1740.3510138580086</v>
      </c>
      <c r="BW252" s="39">
        <v>3532.2579182251634</v>
      </c>
      <c r="BX252" s="39">
        <v>3065.5288071346258</v>
      </c>
      <c r="BY252" s="52">
        <v>-466.72911109053757</v>
      </c>
      <c r="BZ252" s="39">
        <v>1019.1533836563633</v>
      </c>
      <c r="CA252" s="39">
        <v>3438.2638138503658</v>
      </c>
      <c r="CB252" s="52">
        <v>2419.1104301940022</v>
      </c>
      <c r="CC252" s="39">
        <v>323.20263772035838</v>
      </c>
      <c r="CD252" s="39">
        <v>318.86263507043691</v>
      </c>
      <c r="CE252" s="52">
        <v>-4.3400026499214732</v>
      </c>
      <c r="CF252" s="39">
        <v>39.788203507241093</v>
      </c>
      <c r="CG252" s="39">
        <v>0</v>
      </c>
      <c r="CH252" s="52">
        <v>-39.788203507241093</v>
      </c>
      <c r="CI252" s="39">
        <v>948.35460897773487</v>
      </c>
      <c r="CJ252" s="39">
        <v>1251.2199228358145</v>
      </c>
      <c r="CK252" s="52">
        <v>302.86531385807962</v>
      </c>
      <c r="CL252" s="39">
        <v>0</v>
      </c>
      <c r="CM252" s="39">
        <v>0</v>
      </c>
      <c r="CN252" s="52">
        <v>0</v>
      </c>
      <c r="CO252" s="39">
        <v>948.35460897773487</v>
      </c>
      <c r="CP252" s="40">
        <v>1251.2199228358145</v>
      </c>
      <c r="CQ252" s="52">
        <v>302.86531385807962</v>
      </c>
      <c r="CR252" s="72">
        <v>25895.138779722347</v>
      </c>
      <c r="CS252" s="5">
        <v>19470.278206310977</v>
      </c>
      <c r="CT252" s="52">
        <v>-6424.8605734113698</v>
      </c>
      <c r="CU252" s="77">
        <v>31074.166535666816</v>
      </c>
      <c r="CV252" s="65">
        <v>23364.333847573173</v>
      </c>
      <c r="CW252" s="35">
        <v>-7709.8326880936438</v>
      </c>
      <c r="CX252" s="39">
        <v>1553.7083267833409</v>
      </c>
      <c r="CY252" s="39">
        <v>9263.5410148769843</v>
      </c>
      <c r="CZ252" s="52">
        <v>7709.8326880936438</v>
      </c>
      <c r="DA252" s="150">
        <v>-23580.336237755168</v>
      </c>
      <c r="DB252" s="2">
        <v>3</v>
      </c>
      <c r="DC252" s="713">
        <v>24176.42</v>
      </c>
      <c r="DD252" s="714">
        <v>5717.7899999999991</v>
      </c>
      <c r="DE252" s="715">
        <v>10023.339245105763</v>
      </c>
      <c r="DF252" s="716">
        <v>3556.9333236691568</v>
      </c>
      <c r="DG252" s="717">
        <v>-37786.5010035823</v>
      </c>
      <c r="DH252" s="718">
        <v>159480.17401948269</v>
      </c>
      <c r="DI252" s="718">
        <v>391534.49834940187</v>
      </c>
      <c r="DJ252" s="693">
        <v>333520.91726692207</v>
      </c>
      <c r="DK252" s="724"/>
      <c r="DL252" s="5"/>
      <c r="DM252" s="306">
        <v>5.271166016720386</v>
      </c>
      <c r="DN252" s="306"/>
      <c r="DO252" s="306">
        <v>4.4423680694273306</v>
      </c>
      <c r="DP252" s="719">
        <v>14153.080754894236</v>
      </c>
      <c r="DQ252" s="720">
        <v>2160.8566763308422</v>
      </c>
      <c r="DR252" s="650">
        <v>16313.937431225078</v>
      </c>
      <c r="DS252" s="94">
        <v>16313.937431225078</v>
      </c>
      <c r="DT252" s="719">
        <v>14153.17</v>
      </c>
      <c r="DU252" s="725">
        <v>2160.87</v>
      </c>
      <c r="DV252" s="93">
        <v>16314.04</v>
      </c>
      <c r="DW252" s="95">
        <v>16469.308263903411</v>
      </c>
      <c r="DX252" s="28">
        <v>-155.26826390341012</v>
      </c>
      <c r="EA252" s="5">
        <v>11048.676935092737</v>
      </c>
      <c r="EB252" s="5">
        <v>813.6</v>
      </c>
      <c r="EE252" s="722">
        <v>94108.263672657369</v>
      </c>
      <c r="EG252" s="42" t="s">
        <v>286</v>
      </c>
    </row>
    <row r="253" spans="1:137" x14ac:dyDescent="0.3">
      <c r="A253" s="325">
        <v>150000717</v>
      </c>
      <c r="B253" s="41" t="s">
        <v>724</v>
      </c>
      <c r="C253" s="42" t="s">
        <v>287</v>
      </c>
      <c r="D253" s="27">
        <v>5</v>
      </c>
      <c r="E253" s="709">
        <v>3165.2999999999997</v>
      </c>
      <c r="F253" s="723">
        <v>2595.6999999999998</v>
      </c>
      <c r="G253" s="28"/>
      <c r="H253" s="651">
        <v>569.6</v>
      </c>
      <c r="I253" s="39">
        <v>2046.4175987851995</v>
      </c>
      <c r="J253" s="39">
        <v>1938.3820394503846</v>
      </c>
      <c r="K253" s="52">
        <v>-108.03555933481493</v>
      </c>
      <c r="L253" s="39">
        <v>380.42374770340246</v>
      </c>
      <c r="M253" s="39">
        <v>329.21802879137078</v>
      </c>
      <c r="N253" s="52">
        <v>-51.205718912031671</v>
      </c>
      <c r="O253" s="39">
        <v>772.38</v>
      </c>
      <c r="P253" s="39">
        <v>772.34</v>
      </c>
      <c r="Q253" s="52">
        <v>-3.999999999996362E-2</v>
      </c>
      <c r="R253" s="39">
        <v>0</v>
      </c>
      <c r="S253" s="39">
        <v>0</v>
      </c>
      <c r="T253" s="52">
        <v>0</v>
      </c>
      <c r="U253" s="39">
        <v>0</v>
      </c>
      <c r="V253" s="39">
        <v>0</v>
      </c>
      <c r="W253" s="52">
        <v>0</v>
      </c>
      <c r="X253" s="39">
        <v>1223.8130747547289</v>
      </c>
      <c r="Y253" s="39">
        <v>874.48326688465306</v>
      </c>
      <c r="Z253" s="52">
        <v>-349.3298078700758</v>
      </c>
      <c r="AA253" s="39">
        <v>0</v>
      </c>
      <c r="AB253" s="39">
        <v>0</v>
      </c>
      <c r="AC253" s="52">
        <v>0</v>
      </c>
      <c r="AD253" s="39">
        <v>2255.7149253417829</v>
      </c>
      <c r="AE253" s="39">
        <v>1892.8072797970017</v>
      </c>
      <c r="AF253" s="35">
        <v>-362.90764554478119</v>
      </c>
      <c r="AG253" s="77">
        <v>6678.7493465851139</v>
      </c>
      <c r="AH253" s="53">
        <v>5807.23061492341</v>
      </c>
      <c r="AI253" s="52">
        <v>-871.5187316617039</v>
      </c>
      <c r="AJ253" s="39">
        <v>0</v>
      </c>
      <c r="AK253" s="39">
        <v>0</v>
      </c>
      <c r="AL253" s="52">
        <v>0</v>
      </c>
      <c r="AM253" s="39">
        <v>0</v>
      </c>
      <c r="AN253" s="39">
        <v>0</v>
      </c>
      <c r="AO253" s="52">
        <v>0</v>
      </c>
      <c r="AP253" s="39">
        <v>1349.5001411234509</v>
      </c>
      <c r="AQ253" s="39">
        <v>3787.5135540720084</v>
      </c>
      <c r="AR253" s="52">
        <v>2438.0134129485577</v>
      </c>
      <c r="AS253" s="39">
        <v>7164.5218917400261</v>
      </c>
      <c r="AT253" s="39">
        <v>489</v>
      </c>
      <c r="AU253" s="54">
        <v>-6675.5218917400261</v>
      </c>
      <c r="AV253" s="39">
        <v>363.89792516554621</v>
      </c>
      <c r="AW253" s="39">
        <v>0</v>
      </c>
      <c r="AX253" s="55">
        <v>-363.89792516554621</v>
      </c>
      <c r="AY253" s="39">
        <v>490.31866771622811</v>
      </c>
      <c r="AZ253" s="39">
        <v>0</v>
      </c>
      <c r="BA253" s="35">
        <v>-490.31866771622811</v>
      </c>
      <c r="BB253" s="39">
        <v>310.38881940211519</v>
      </c>
      <c r="BC253" s="39">
        <v>0</v>
      </c>
      <c r="BD253" s="55">
        <v>-310.38881940211519</v>
      </c>
      <c r="BE253" s="39">
        <v>0</v>
      </c>
      <c r="BF253" s="39">
        <v>0</v>
      </c>
      <c r="BG253" s="38">
        <v>0</v>
      </c>
      <c r="BH253" s="39">
        <v>0</v>
      </c>
      <c r="BI253" s="39">
        <v>0</v>
      </c>
      <c r="BJ253" s="55">
        <v>0</v>
      </c>
      <c r="BK253" s="39">
        <v>200.62495309533139</v>
      </c>
      <c r="BL253" s="39">
        <v>0</v>
      </c>
      <c r="BM253" s="38">
        <v>-200.62495309533139</v>
      </c>
      <c r="BN253" s="39">
        <v>0</v>
      </c>
      <c r="BO253" s="39">
        <v>0</v>
      </c>
      <c r="BP253" s="55">
        <v>0</v>
      </c>
      <c r="BQ253" s="77">
        <v>1365.230365379221</v>
      </c>
      <c r="BR253" s="40">
        <v>0</v>
      </c>
      <c r="BS253" s="55">
        <v>-1365.230365379221</v>
      </c>
      <c r="BT253" s="39">
        <v>4957.321149718061</v>
      </c>
      <c r="BU253" s="39">
        <v>1322.603444398778</v>
      </c>
      <c r="BV253" s="52">
        <v>-3634.7177053192827</v>
      </c>
      <c r="BW253" s="39">
        <v>3488.9701552107817</v>
      </c>
      <c r="BX253" s="39">
        <v>3027.7210497367819</v>
      </c>
      <c r="BY253" s="52">
        <v>-461.24910547399986</v>
      </c>
      <c r="BZ253" s="39">
        <v>1019.1533836563633</v>
      </c>
      <c r="CA253" s="39">
        <v>4725.2586884446246</v>
      </c>
      <c r="CB253" s="52">
        <v>3706.1053047882615</v>
      </c>
      <c r="CC253" s="39">
        <v>313.74137439864916</v>
      </c>
      <c r="CD253" s="39">
        <v>309.52841869419024</v>
      </c>
      <c r="CE253" s="52">
        <v>-4.2129557044589205</v>
      </c>
      <c r="CF253" s="39">
        <v>38.623464651348854</v>
      </c>
      <c r="CG253" s="39">
        <v>0</v>
      </c>
      <c r="CH253" s="52">
        <v>-38.623464651348854</v>
      </c>
      <c r="CI253" s="39">
        <v>1094.9752228657399</v>
      </c>
      <c r="CJ253" s="39">
        <v>1245.2896531373603</v>
      </c>
      <c r="CK253" s="52">
        <v>150.31443027162049</v>
      </c>
      <c r="CL253" s="39">
        <v>0</v>
      </c>
      <c r="CM253" s="39">
        <v>0</v>
      </c>
      <c r="CN253" s="52">
        <v>0</v>
      </c>
      <c r="CO253" s="39">
        <v>1094.9752228657399</v>
      </c>
      <c r="CP253" s="40">
        <v>1245.2896531373603</v>
      </c>
      <c r="CQ253" s="52">
        <v>150.31443027162049</v>
      </c>
      <c r="CR253" s="72">
        <v>27470.786495328757</v>
      </c>
      <c r="CS253" s="5">
        <v>20714.14542340715</v>
      </c>
      <c r="CT253" s="52">
        <v>-6756.6410719216074</v>
      </c>
      <c r="CU253" s="77">
        <v>32964.943794394509</v>
      </c>
      <c r="CV253" s="65">
        <v>24856.97450808858</v>
      </c>
      <c r="CW253" s="35">
        <v>-8107.9692863059281</v>
      </c>
      <c r="CX253" s="39">
        <v>1648.2471897197256</v>
      </c>
      <c r="CY253" s="39">
        <v>9756.2164760256492</v>
      </c>
      <c r="CZ253" s="52">
        <v>8107.9692863059236</v>
      </c>
      <c r="DA253" s="150">
        <v>-32197.499661646551</v>
      </c>
      <c r="DB253" s="2">
        <v>3</v>
      </c>
      <c r="DC253" s="713">
        <v>25070.92</v>
      </c>
      <c r="DD253" s="714">
        <v>5301.7300000000005</v>
      </c>
      <c r="DE253" s="715">
        <v>10483.127411307067</v>
      </c>
      <c r="DF253" s="716">
        <v>2582.9270966358149</v>
      </c>
      <c r="DG253" s="717">
        <v>-10383.833201603564</v>
      </c>
      <c r="DH253" s="718">
        <v>171635.83709269002</v>
      </c>
      <c r="DI253" s="718">
        <v>415358.2918093708</v>
      </c>
      <c r="DJ253" s="693">
        <v>354427.6781302006</v>
      </c>
      <c r="DK253" s="724"/>
      <c r="DL253" s="5"/>
      <c r="DM253" s="306">
        <v>5.6199840461890558</v>
      </c>
      <c r="DN253" s="306"/>
      <c r="DO253" s="306">
        <v>4.7731792545017298</v>
      </c>
      <c r="DP253" s="719">
        <v>14587.792588692932</v>
      </c>
      <c r="DQ253" s="720">
        <v>2718.8029033641856</v>
      </c>
      <c r="DR253" s="650">
        <v>17306.595492057117</v>
      </c>
      <c r="DS253" s="94">
        <v>17306.595492057117</v>
      </c>
      <c r="DT253" s="719">
        <v>14587.86</v>
      </c>
      <c r="DU253" s="725">
        <v>2718.79</v>
      </c>
      <c r="DV253" s="93">
        <v>17306.650000000001</v>
      </c>
      <c r="DW253" s="95">
        <v>17471.420211029083</v>
      </c>
      <c r="DX253" s="28">
        <v>-164.77021102908111</v>
      </c>
      <c r="EA253" s="5">
        <v>10235.702708543096</v>
      </c>
      <c r="EB253" s="5">
        <v>586.79999999999995</v>
      </c>
      <c r="EE253" s="722">
        <v>85974.26270088031</v>
      </c>
      <c r="EG253" s="42" t="s">
        <v>287</v>
      </c>
    </row>
    <row r="254" spans="1:137" x14ac:dyDescent="0.3">
      <c r="A254" s="325">
        <v>150000718</v>
      </c>
      <c r="B254" s="41" t="s">
        <v>725</v>
      </c>
      <c r="C254" s="42" t="s">
        <v>288</v>
      </c>
      <c r="D254" s="27">
        <v>5</v>
      </c>
      <c r="E254" s="709">
        <v>4456.6000000000004</v>
      </c>
      <c r="F254" s="723">
        <v>4456.6000000000004</v>
      </c>
      <c r="G254" s="28"/>
      <c r="H254" s="651">
        <v>0</v>
      </c>
      <c r="I254" s="39">
        <v>2655.818929614788</v>
      </c>
      <c r="J254" s="39">
        <v>2518.1013750556431</v>
      </c>
      <c r="K254" s="52">
        <v>-137.7175545591449</v>
      </c>
      <c r="L254" s="39">
        <v>562.59750901632674</v>
      </c>
      <c r="M254" s="39">
        <v>486.87053052268055</v>
      </c>
      <c r="N254" s="52">
        <v>-75.726978493646186</v>
      </c>
      <c r="O254" s="39">
        <v>1101.06</v>
      </c>
      <c r="P254" s="39">
        <v>1100.8</v>
      </c>
      <c r="Q254" s="52">
        <v>-0.25999999999999091</v>
      </c>
      <c r="R254" s="39">
        <v>0</v>
      </c>
      <c r="S254" s="39">
        <v>0</v>
      </c>
      <c r="T254" s="52">
        <v>0</v>
      </c>
      <c r="U254" s="39">
        <v>215.74518364026076</v>
      </c>
      <c r="V254" s="39">
        <v>127.85671452438703</v>
      </c>
      <c r="W254" s="52">
        <v>-87.888469115873733</v>
      </c>
      <c r="X254" s="39">
        <v>2267.2493512317697</v>
      </c>
      <c r="Y254" s="39">
        <v>1633.6697478110932</v>
      </c>
      <c r="Z254" s="52">
        <v>-633.57960342067645</v>
      </c>
      <c r="AA254" s="39">
        <v>0</v>
      </c>
      <c r="AB254" s="39">
        <v>0</v>
      </c>
      <c r="AC254" s="52">
        <v>0</v>
      </c>
      <c r="AD254" s="39">
        <v>3175.9451351461762</v>
      </c>
      <c r="AE254" s="39">
        <v>2664.9874966490761</v>
      </c>
      <c r="AF254" s="35">
        <v>-510.95763849710011</v>
      </c>
      <c r="AG254" s="77">
        <v>9978.4161086493204</v>
      </c>
      <c r="AH254" s="53">
        <v>8532.2858645628803</v>
      </c>
      <c r="AI254" s="52">
        <v>-1446.1302440864401</v>
      </c>
      <c r="AJ254" s="39">
        <v>0</v>
      </c>
      <c r="AK254" s="39">
        <v>0</v>
      </c>
      <c r="AL254" s="52">
        <v>0</v>
      </c>
      <c r="AM254" s="39">
        <v>0</v>
      </c>
      <c r="AN254" s="39">
        <v>0</v>
      </c>
      <c r="AO254" s="52">
        <v>0</v>
      </c>
      <c r="AP254" s="39">
        <v>1278.4738179064273</v>
      </c>
      <c r="AQ254" s="39">
        <v>6090.52261493881</v>
      </c>
      <c r="AR254" s="52">
        <v>4812.0487970323829</v>
      </c>
      <c r="AS254" s="39">
        <v>10249.621393124984</v>
      </c>
      <c r="AT254" s="39">
        <v>76816.248854049772</v>
      </c>
      <c r="AU254" s="54">
        <v>66566.627460924792</v>
      </c>
      <c r="AV254" s="39">
        <v>441.65315238689044</v>
      </c>
      <c r="AW254" s="39">
        <v>0</v>
      </c>
      <c r="AX254" s="55">
        <v>-441.65315238689044</v>
      </c>
      <c r="AY254" s="39">
        <v>725.10147090433986</v>
      </c>
      <c r="AZ254" s="39">
        <v>0</v>
      </c>
      <c r="BA254" s="35">
        <v>-725.10147090433986</v>
      </c>
      <c r="BB254" s="39">
        <v>412.62285498128728</v>
      </c>
      <c r="BC254" s="39">
        <v>0</v>
      </c>
      <c r="BD254" s="55">
        <v>-412.62285498128728</v>
      </c>
      <c r="BE254" s="39">
        <v>0</v>
      </c>
      <c r="BF254" s="39">
        <v>0</v>
      </c>
      <c r="BG254" s="38">
        <v>0</v>
      </c>
      <c r="BH254" s="39">
        <v>218.86472282667671</v>
      </c>
      <c r="BI254" s="39">
        <v>0</v>
      </c>
      <c r="BJ254" s="55">
        <v>-218.86472282667671</v>
      </c>
      <c r="BK254" s="39">
        <v>324.71868414836467</v>
      </c>
      <c r="BL254" s="39">
        <v>0</v>
      </c>
      <c r="BM254" s="38">
        <v>-324.71868414836467</v>
      </c>
      <c r="BN254" s="39">
        <v>0</v>
      </c>
      <c r="BO254" s="39">
        <v>0</v>
      </c>
      <c r="BP254" s="55">
        <v>0</v>
      </c>
      <c r="BQ254" s="77">
        <v>2122.9608852475585</v>
      </c>
      <c r="BR254" s="40">
        <v>0</v>
      </c>
      <c r="BS254" s="55">
        <v>-2122.9608852475585</v>
      </c>
      <c r="BT254" s="39">
        <v>8113.0470201650342</v>
      </c>
      <c r="BU254" s="39">
        <v>1146.5864803837121</v>
      </c>
      <c r="BV254" s="52">
        <v>-6966.460539781322</v>
      </c>
      <c r="BW254" s="39">
        <v>4332.3585445506205</v>
      </c>
      <c r="BX254" s="39">
        <v>2232.0337669355058</v>
      </c>
      <c r="BY254" s="52">
        <v>-2100.3247776151147</v>
      </c>
      <c r="BZ254" s="39">
        <v>1277.5434107891886</v>
      </c>
      <c r="CA254" s="39">
        <v>5086.4589394789427</v>
      </c>
      <c r="CB254" s="52">
        <v>3808.915528689754</v>
      </c>
      <c r="CC254" s="39">
        <v>412.76599569322281</v>
      </c>
      <c r="CD254" s="39">
        <v>407.22332584454404</v>
      </c>
      <c r="CE254" s="52">
        <v>-5.54266984867877</v>
      </c>
      <c r="CF254" s="39">
        <v>50.813995681930848</v>
      </c>
      <c r="CG254" s="39">
        <v>0</v>
      </c>
      <c r="CH254" s="52">
        <v>-50.813995681930848</v>
      </c>
      <c r="CI254" s="39">
        <v>1566.0329398250753</v>
      </c>
      <c r="CJ254" s="39">
        <v>2399.7916201498692</v>
      </c>
      <c r="CK254" s="52">
        <v>833.75868032479389</v>
      </c>
      <c r="CL254" s="39">
        <v>0</v>
      </c>
      <c r="CM254" s="39">
        <v>0</v>
      </c>
      <c r="CN254" s="52">
        <v>0</v>
      </c>
      <c r="CO254" s="39">
        <v>1566.0329398250753</v>
      </c>
      <c r="CP254" s="40">
        <v>2399.7916201498692</v>
      </c>
      <c r="CQ254" s="52">
        <v>833.75868032479389</v>
      </c>
      <c r="CR254" s="72">
        <v>39382.034111633358</v>
      </c>
      <c r="CS254" s="5">
        <v>102711.15146634405</v>
      </c>
      <c r="CT254" s="52">
        <v>63329.117354710688</v>
      </c>
      <c r="CU254" s="77">
        <v>47258.440933960032</v>
      </c>
      <c r="CV254" s="65">
        <v>123253.38175961285</v>
      </c>
      <c r="CW254" s="35">
        <v>75994.940825652826</v>
      </c>
      <c r="CX254" s="39">
        <v>2362.9220466980019</v>
      </c>
      <c r="CY254" s="39">
        <v>-73632.018778954793</v>
      </c>
      <c r="CZ254" s="52">
        <v>-75994.940825652797</v>
      </c>
      <c r="DA254" s="150">
        <v>33397.071460988416</v>
      </c>
      <c r="DB254" s="2">
        <v>3</v>
      </c>
      <c r="DC254" s="713">
        <v>41422.75</v>
      </c>
      <c r="DD254" s="714"/>
      <c r="DE254" s="715">
        <v>16612.068509670979</v>
      </c>
      <c r="DF254" s="716">
        <v>0</v>
      </c>
      <c r="DG254" s="717">
        <v>-60164.347097913596</v>
      </c>
      <c r="DH254" s="718">
        <v>238631.24104380381</v>
      </c>
      <c r="DI254" s="718">
        <v>595456.3557678964</v>
      </c>
      <c r="DJ254" s="693">
        <v>506250.07708687324</v>
      </c>
      <c r="DK254" s="724"/>
      <c r="DL254" s="5"/>
      <c r="DM254" s="306">
        <v>5.5671771059392858</v>
      </c>
      <c r="DN254" s="306"/>
      <c r="DO254" s="306">
        <v>4.9547402969218979</v>
      </c>
      <c r="DP254" s="719">
        <v>24810.681490329021</v>
      </c>
      <c r="DQ254" s="720">
        <v>0</v>
      </c>
      <c r="DR254" s="650">
        <v>24810.681490329021</v>
      </c>
      <c r="DS254" s="94">
        <v>24810.681490329014</v>
      </c>
      <c r="DT254" s="719">
        <v>24810.78</v>
      </c>
      <c r="DU254" s="721"/>
      <c r="DV254" s="93">
        <v>24810.78</v>
      </c>
      <c r="DW254" s="95">
        <v>25046.973694998822</v>
      </c>
      <c r="DX254" s="28">
        <v>-236.19369499882305</v>
      </c>
      <c r="EA254" s="5">
        <v>14847.098734047049</v>
      </c>
      <c r="EB254" s="5">
        <v>92179.498624859727</v>
      </c>
      <c r="EE254" s="722">
        <v>122995.45671749981</v>
      </c>
      <c r="EG254" s="42" t="s">
        <v>288</v>
      </c>
    </row>
    <row r="255" spans="1:137" x14ac:dyDescent="0.3">
      <c r="A255" s="325">
        <v>150000720</v>
      </c>
      <c r="B255" s="41" t="s">
        <v>726</v>
      </c>
      <c r="C255" s="42" t="s">
        <v>289</v>
      </c>
      <c r="D255" s="27">
        <v>5</v>
      </c>
      <c r="E255" s="709">
        <v>3670.1</v>
      </c>
      <c r="F255" s="723">
        <v>3569.1</v>
      </c>
      <c r="G255" s="28"/>
      <c r="H255" s="651">
        <v>101</v>
      </c>
      <c r="I255" s="39">
        <v>1795.381679978763</v>
      </c>
      <c r="J255" s="39">
        <v>1704.3464335463259</v>
      </c>
      <c r="K255" s="52">
        <v>-91.035246432437134</v>
      </c>
      <c r="L255" s="39">
        <v>364.93850769687128</v>
      </c>
      <c r="M255" s="39">
        <v>315.81713936429139</v>
      </c>
      <c r="N255" s="52">
        <v>-49.121368332579891</v>
      </c>
      <c r="O255" s="39">
        <v>874.22</v>
      </c>
      <c r="P255" s="39">
        <v>874.1</v>
      </c>
      <c r="Q255" s="52">
        <v>-0.12000000000000455</v>
      </c>
      <c r="R255" s="39">
        <v>220.74</v>
      </c>
      <c r="S255" s="39">
        <v>220.82</v>
      </c>
      <c r="T255" s="52">
        <v>7.9999999999984084E-2</v>
      </c>
      <c r="U255" s="39">
        <v>0</v>
      </c>
      <c r="V255" s="39">
        <v>0</v>
      </c>
      <c r="W255" s="52">
        <v>0</v>
      </c>
      <c r="X255" s="39">
        <v>757.24664802622283</v>
      </c>
      <c r="Y255" s="39">
        <v>492.66098058750447</v>
      </c>
      <c r="Z255" s="52">
        <v>-264.58566743871836</v>
      </c>
      <c r="AA255" s="39">
        <v>0</v>
      </c>
      <c r="AB255" s="39">
        <v>0</v>
      </c>
      <c r="AC255" s="52">
        <v>0</v>
      </c>
      <c r="AD255" s="39">
        <v>2615.4548850020151</v>
      </c>
      <c r="AE255" s="39">
        <v>2194.6709624942268</v>
      </c>
      <c r="AF255" s="35">
        <v>-420.78392250778825</v>
      </c>
      <c r="AG255" s="77">
        <v>6627.9817207038723</v>
      </c>
      <c r="AH255" s="53">
        <v>5802.4155159923484</v>
      </c>
      <c r="AI255" s="52">
        <v>-825.56620471152382</v>
      </c>
      <c r="AJ255" s="39">
        <v>0</v>
      </c>
      <c r="AK255" s="39">
        <v>0</v>
      </c>
      <c r="AL255" s="52">
        <v>0</v>
      </c>
      <c r="AM255" s="39">
        <v>0</v>
      </c>
      <c r="AN255" s="39">
        <v>0</v>
      </c>
      <c r="AO255" s="52">
        <v>0</v>
      </c>
      <c r="AP255" s="39">
        <v>457.72519406526402</v>
      </c>
      <c r="AQ255" s="39">
        <v>0</v>
      </c>
      <c r="AR255" s="52">
        <v>-457.72519406526402</v>
      </c>
      <c r="AS255" s="39">
        <v>5110.3195709486081</v>
      </c>
      <c r="AT255" s="39">
        <v>0</v>
      </c>
      <c r="AU255" s="54">
        <v>-5110.3195709486081</v>
      </c>
      <c r="AV255" s="39">
        <v>304.74829424469891</v>
      </c>
      <c r="AW255" s="39">
        <v>0</v>
      </c>
      <c r="AX255" s="55">
        <v>-304.74829424469891</v>
      </c>
      <c r="AY255" s="39">
        <v>470.34239890552664</v>
      </c>
      <c r="AZ255" s="39">
        <v>0</v>
      </c>
      <c r="BA255" s="35">
        <v>-470.34239890552664</v>
      </c>
      <c r="BB255" s="39">
        <v>376.50712476896177</v>
      </c>
      <c r="BC255" s="39">
        <v>0</v>
      </c>
      <c r="BD255" s="55">
        <v>-376.50712476896177</v>
      </c>
      <c r="BE255" s="39">
        <v>225.85537583994028</v>
      </c>
      <c r="BF255" s="39">
        <v>0</v>
      </c>
      <c r="BG255" s="38">
        <v>-225.85537583994028</v>
      </c>
      <c r="BH255" s="39">
        <v>0</v>
      </c>
      <c r="BI255" s="39">
        <v>0</v>
      </c>
      <c r="BJ255" s="55">
        <v>0</v>
      </c>
      <c r="BK255" s="39">
        <v>188.63842984583084</v>
      </c>
      <c r="BL255" s="39">
        <v>0</v>
      </c>
      <c r="BM255" s="38">
        <v>-188.63842984583084</v>
      </c>
      <c r="BN255" s="39">
        <v>0</v>
      </c>
      <c r="BO255" s="39">
        <v>0</v>
      </c>
      <c r="BP255" s="55">
        <v>0</v>
      </c>
      <c r="BQ255" s="77">
        <v>1566.0916236049584</v>
      </c>
      <c r="BR255" s="40">
        <v>0</v>
      </c>
      <c r="BS255" s="55">
        <v>-1566.0916236049584</v>
      </c>
      <c r="BT255" s="39">
        <v>6868.388963306701</v>
      </c>
      <c r="BU255" s="39">
        <v>1790.8363401956594</v>
      </c>
      <c r="BV255" s="52">
        <v>-5077.5526231110416</v>
      </c>
      <c r="BW255" s="39">
        <v>3364.5467045565879</v>
      </c>
      <c r="BX255" s="39">
        <v>3191.186777225153</v>
      </c>
      <c r="BY255" s="52">
        <v>-173.35992733143485</v>
      </c>
      <c r="BZ255" s="39">
        <v>960.1194066150332</v>
      </c>
      <c r="CA255" s="39">
        <v>6899.1980499969031</v>
      </c>
      <c r="CB255" s="52">
        <v>5939.0786433818703</v>
      </c>
      <c r="CC255" s="39">
        <v>408.64814015424054</v>
      </c>
      <c r="CD255" s="39">
        <v>403.16076534918284</v>
      </c>
      <c r="CE255" s="52">
        <v>-5.4873748050576978</v>
      </c>
      <c r="CF255" s="39">
        <v>50.307062708381885</v>
      </c>
      <c r="CG255" s="39">
        <v>0</v>
      </c>
      <c r="CH255" s="52">
        <v>-50.307062708381885</v>
      </c>
      <c r="CI255" s="39">
        <v>2386.4844600919973</v>
      </c>
      <c r="CJ255" s="39">
        <v>2488.7787863458966</v>
      </c>
      <c r="CK255" s="52">
        <v>102.29432625389927</v>
      </c>
      <c r="CL255" s="39">
        <v>0</v>
      </c>
      <c r="CM255" s="39">
        <v>0</v>
      </c>
      <c r="CN255" s="52">
        <v>0</v>
      </c>
      <c r="CO255" s="39">
        <v>2386.4844600919973</v>
      </c>
      <c r="CP255" s="40">
        <v>2488.7787863458966</v>
      </c>
      <c r="CQ255" s="52">
        <v>102.29432625389927</v>
      </c>
      <c r="CR255" s="72">
        <v>27800.612846755648</v>
      </c>
      <c r="CS255" s="5">
        <v>20575.576235105142</v>
      </c>
      <c r="CT255" s="52">
        <v>-7225.0366116505065</v>
      </c>
      <c r="CU255" s="77">
        <v>33360.735416106778</v>
      </c>
      <c r="CV255" s="65">
        <v>24690.691482126171</v>
      </c>
      <c r="CW255" s="35">
        <v>-8670.0439339806071</v>
      </c>
      <c r="CX255" s="39">
        <v>1668.0367708053391</v>
      </c>
      <c r="CY255" s="39">
        <v>10338.080704785945</v>
      </c>
      <c r="CZ255" s="52">
        <v>8670.0439339806071</v>
      </c>
      <c r="DA255" s="150">
        <v>67405.607553091046</v>
      </c>
      <c r="DB255" s="2">
        <v>3</v>
      </c>
      <c r="DC255" s="713">
        <v>33701.410000000003</v>
      </c>
      <c r="DD255" s="714">
        <v>4883.8999999999996</v>
      </c>
      <c r="DE255" s="715">
        <v>16610.681814674004</v>
      </c>
      <c r="DF255" s="716">
        <v>4460.2420918699418</v>
      </c>
      <c r="DG255" s="717">
        <v>27780.038529262911</v>
      </c>
      <c r="DH255" s="718">
        <v>169101.85303457771</v>
      </c>
      <c r="DI255" s="718">
        <v>420345.26624294539</v>
      </c>
      <c r="DJ255" s="693">
        <v>357534.41294085351</v>
      </c>
      <c r="DK255" s="724"/>
      <c r="DL255" s="5"/>
      <c r="DM255" s="306">
        <v>4.7885260108503545</v>
      </c>
      <c r="DN255" s="306"/>
      <c r="DO255" s="306">
        <v>4.1946327537629511</v>
      </c>
      <c r="DP255" s="719">
        <v>17090.728185325999</v>
      </c>
      <c r="DQ255" s="720">
        <v>423.65790813005805</v>
      </c>
      <c r="DR255" s="650">
        <v>17514.386093456058</v>
      </c>
      <c r="DS255" s="94">
        <v>17514.386093456058</v>
      </c>
      <c r="DT255" s="719">
        <v>17090.63</v>
      </c>
      <c r="DU255" s="725">
        <v>423.65</v>
      </c>
      <c r="DV255" s="93">
        <v>17514.280000000002</v>
      </c>
      <c r="DW255" s="95">
        <v>17681.189770536588</v>
      </c>
      <c r="DX255" s="28">
        <v>-166.90977053658571</v>
      </c>
      <c r="EA255" s="5">
        <v>8011.6934334642792</v>
      </c>
      <c r="EB255" s="5">
        <v>0</v>
      </c>
      <c r="EE255" s="722">
        <v>61323.834851383297</v>
      </c>
      <c r="EG255" s="42" t="s">
        <v>289</v>
      </c>
    </row>
    <row r="256" spans="1:137" x14ac:dyDescent="0.3">
      <c r="A256" s="325">
        <v>150000750</v>
      </c>
      <c r="B256" s="41" t="s">
        <v>727</v>
      </c>
      <c r="C256" s="42" t="s">
        <v>130</v>
      </c>
      <c r="D256" s="27">
        <v>1</v>
      </c>
      <c r="E256" s="709">
        <v>275.8</v>
      </c>
      <c r="F256" s="723">
        <v>275.8</v>
      </c>
      <c r="G256" s="28"/>
      <c r="H256" s="651">
        <v>0</v>
      </c>
      <c r="I256" s="39">
        <v>0</v>
      </c>
      <c r="J256" s="39">
        <v>0</v>
      </c>
      <c r="K256" s="52">
        <v>0</v>
      </c>
      <c r="L256" s="39">
        <v>0</v>
      </c>
      <c r="M256" s="39">
        <v>0</v>
      </c>
      <c r="N256" s="52">
        <v>0</v>
      </c>
      <c r="O256" s="39">
        <v>0</v>
      </c>
      <c r="P256" s="39">
        <v>0</v>
      </c>
      <c r="Q256" s="52">
        <v>0</v>
      </c>
      <c r="R256" s="39">
        <v>0</v>
      </c>
      <c r="S256" s="39">
        <v>0</v>
      </c>
      <c r="T256" s="52">
        <v>0</v>
      </c>
      <c r="U256" s="39">
        <v>0</v>
      </c>
      <c r="V256" s="39">
        <v>0</v>
      </c>
      <c r="W256" s="52">
        <v>0</v>
      </c>
      <c r="X256" s="39">
        <v>0</v>
      </c>
      <c r="Y256" s="39">
        <v>0</v>
      </c>
      <c r="Z256" s="52">
        <v>0</v>
      </c>
      <c r="AA256" s="39">
        <v>0</v>
      </c>
      <c r="AB256" s="39">
        <v>0</v>
      </c>
      <c r="AC256" s="52">
        <v>0</v>
      </c>
      <c r="AD256" s="39">
        <v>0</v>
      </c>
      <c r="AE256" s="39">
        <v>164.92472996809565</v>
      </c>
      <c r="AF256" s="35">
        <v>164.92472996809565</v>
      </c>
      <c r="AG256" s="77">
        <v>0</v>
      </c>
      <c r="AH256" s="53">
        <v>164.92472996809565</v>
      </c>
      <c r="AI256" s="52">
        <v>164.92472996809565</v>
      </c>
      <c r="AJ256" s="39">
        <v>0</v>
      </c>
      <c r="AK256" s="39">
        <v>0</v>
      </c>
      <c r="AL256" s="52">
        <v>0</v>
      </c>
      <c r="AM256" s="39">
        <v>0</v>
      </c>
      <c r="AN256" s="39">
        <v>0</v>
      </c>
      <c r="AO256" s="52">
        <v>0</v>
      </c>
      <c r="AP256" s="39">
        <v>94.701764289364974</v>
      </c>
      <c r="AQ256" s="39">
        <v>0</v>
      </c>
      <c r="AR256" s="52">
        <v>-94.701764289364974</v>
      </c>
      <c r="AS256" s="39">
        <v>650.57765300888207</v>
      </c>
      <c r="AT256" s="39">
        <v>1349</v>
      </c>
      <c r="AU256" s="54">
        <v>698.42234699111793</v>
      </c>
      <c r="AV256" s="39">
        <v>0</v>
      </c>
      <c r="AW256" s="39">
        <v>0</v>
      </c>
      <c r="AX256" s="55">
        <v>0</v>
      </c>
      <c r="AY256" s="39">
        <v>0</v>
      </c>
      <c r="AZ256" s="39">
        <v>0</v>
      </c>
      <c r="BA256" s="35">
        <v>0</v>
      </c>
      <c r="BB256" s="39">
        <v>0</v>
      </c>
      <c r="BC256" s="39">
        <v>0</v>
      </c>
      <c r="BD256" s="55">
        <v>0</v>
      </c>
      <c r="BE256" s="39">
        <v>0</v>
      </c>
      <c r="BF256" s="39">
        <v>0</v>
      </c>
      <c r="BG256" s="38">
        <v>0</v>
      </c>
      <c r="BH256" s="39">
        <v>0</v>
      </c>
      <c r="BI256" s="39">
        <v>0</v>
      </c>
      <c r="BJ256" s="55">
        <v>0</v>
      </c>
      <c r="BK256" s="39">
        <v>0</v>
      </c>
      <c r="BL256" s="39">
        <v>0</v>
      </c>
      <c r="BM256" s="38">
        <v>0</v>
      </c>
      <c r="BN256" s="39">
        <v>0</v>
      </c>
      <c r="BO256" s="39">
        <v>0</v>
      </c>
      <c r="BP256" s="55">
        <v>0</v>
      </c>
      <c r="BQ256" s="77">
        <v>0</v>
      </c>
      <c r="BR256" s="40">
        <v>0</v>
      </c>
      <c r="BS256" s="55">
        <v>0</v>
      </c>
      <c r="BT256" s="39">
        <v>127.61072402238671</v>
      </c>
      <c r="BU256" s="39">
        <v>55.408149833900914</v>
      </c>
      <c r="BV256" s="52">
        <v>-72.202574188485784</v>
      </c>
      <c r="BW256" s="39">
        <v>0</v>
      </c>
      <c r="BX256" s="39">
        <v>1.1164137513541541</v>
      </c>
      <c r="BY256" s="52">
        <v>1.1164137513541541</v>
      </c>
      <c r="BZ256" s="39">
        <v>0</v>
      </c>
      <c r="CA256" s="39">
        <v>203.89863023336437</v>
      </c>
      <c r="CB256" s="52">
        <v>203.89863023336437</v>
      </c>
      <c r="CC256" s="39">
        <v>0</v>
      </c>
      <c r="CD256" s="39">
        <v>0</v>
      </c>
      <c r="CE256" s="52">
        <v>0</v>
      </c>
      <c r="CF256" s="39">
        <v>0</v>
      </c>
      <c r="CG256" s="39">
        <v>0</v>
      </c>
      <c r="CH256" s="52">
        <v>0</v>
      </c>
      <c r="CI256" s="39">
        <v>0</v>
      </c>
      <c r="CJ256" s="39">
        <v>0</v>
      </c>
      <c r="CK256" s="52">
        <v>0</v>
      </c>
      <c r="CL256" s="39">
        <v>0</v>
      </c>
      <c r="CM256" s="39">
        <v>0</v>
      </c>
      <c r="CN256" s="52">
        <v>0</v>
      </c>
      <c r="CO256" s="39">
        <v>0</v>
      </c>
      <c r="CP256" s="40">
        <v>0</v>
      </c>
      <c r="CQ256" s="52">
        <v>0</v>
      </c>
      <c r="CR256" s="72">
        <v>872.8901413206338</v>
      </c>
      <c r="CS256" s="5">
        <v>1774.3479237867152</v>
      </c>
      <c r="CT256" s="52">
        <v>901.45778246608143</v>
      </c>
      <c r="CU256" s="77">
        <v>1047.4681695847605</v>
      </c>
      <c r="CV256" s="65">
        <v>2129.2175085440581</v>
      </c>
      <c r="CW256" s="35">
        <v>1081.7493389592976</v>
      </c>
      <c r="CX256" s="39">
        <v>47.136067631314219</v>
      </c>
      <c r="CY256" s="39">
        <v>-1034.6132713279835</v>
      </c>
      <c r="CZ256" s="52">
        <v>-1081.7493389592978</v>
      </c>
      <c r="DA256" s="150">
        <v>-6226.3980939974726</v>
      </c>
      <c r="DB256" s="2">
        <v>1</v>
      </c>
      <c r="DC256" s="713">
        <v>710.55</v>
      </c>
      <c r="DD256" s="714"/>
      <c r="DE256" s="715">
        <v>163.24788139196255</v>
      </c>
      <c r="DF256" s="716">
        <v>0</v>
      </c>
      <c r="DG256" s="717">
        <v>-6165.3695332093321</v>
      </c>
      <c r="DH256" s="718">
        <v>5231.4055586200266</v>
      </c>
      <c r="DI256" s="718">
        <v>13135.250846592899</v>
      </c>
      <c r="DJ256" s="693">
        <v>11159.289524599681</v>
      </c>
      <c r="DK256" s="724"/>
      <c r="DL256" s="5"/>
      <c r="DM256" s="306">
        <v>1.9844166737057194</v>
      </c>
      <c r="DN256" s="306"/>
      <c r="DO256" s="306">
        <v>1.9844166737057194</v>
      </c>
      <c r="DP256" s="719">
        <v>547.3021186080374</v>
      </c>
      <c r="DQ256" s="720">
        <v>0</v>
      </c>
      <c r="DR256" s="650">
        <v>547.3021186080374</v>
      </c>
      <c r="DS256" s="94">
        <v>547.3021186080374</v>
      </c>
      <c r="DT256" s="719">
        <v>547.30999999999995</v>
      </c>
      <c r="DU256" s="721"/>
      <c r="DV256" s="93">
        <v>547.30999999999995</v>
      </c>
      <c r="DW256" s="95">
        <v>552.01572537116874</v>
      </c>
      <c r="DX256" s="28">
        <v>-4.7057253711687963</v>
      </c>
      <c r="EA256" s="5">
        <v>780.69318361065848</v>
      </c>
      <c r="EB256" s="5">
        <v>1618.8</v>
      </c>
      <c r="EE256" s="722">
        <v>7806.9318361065853</v>
      </c>
      <c r="EG256" s="42" t="s">
        <v>130</v>
      </c>
    </row>
    <row r="257" spans="1:137" x14ac:dyDescent="0.3">
      <c r="A257" s="325">
        <v>150000751</v>
      </c>
      <c r="B257" s="41" t="s">
        <v>728</v>
      </c>
      <c r="C257" s="42" t="s">
        <v>131</v>
      </c>
      <c r="D257" s="27">
        <v>1</v>
      </c>
      <c r="E257" s="709">
        <v>146.1</v>
      </c>
      <c r="F257" s="723">
        <v>146.1</v>
      </c>
      <c r="G257" s="28"/>
      <c r="H257" s="651">
        <v>0</v>
      </c>
      <c r="I257" s="39">
        <v>0</v>
      </c>
      <c r="J257" s="39">
        <v>0</v>
      </c>
      <c r="K257" s="52">
        <v>0</v>
      </c>
      <c r="L257" s="39">
        <v>0</v>
      </c>
      <c r="M257" s="39">
        <v>0</v>
      </c>
      <c r="N257" s="52">
        <v>0</v>
      </c>
      <c r="O257" s="39">
        <v>0</v>
      </c>
      <c r="P257" s="39">
        <v>0</v>
      </c>
      <c r="Q257" s="52">
        <v>0</v>
      </c>
      <c r="R257" s="39">
        <v>0</v>
      </c>
      <c r="S257" s="39">
        <v>0</v>
      </c>
      <c r="T257" s="52">
        <v>0</v>
      </c>
      <c r="U257" s="39">
        <v>0</v>
      </c>
      <c r="V257" s="39">
        <v>0</v>
      </c>
      <c r="W257" s="52">
        <v>0</v>
      </c>
      <c r="X257" s="39">
        <v>0</v>
      </c>
      <c r="Y257" s="39">
        <v>0</v>
      </c>
      <c r="Z257" s="52">
        <v>0</v>
      </c>
      <c r="AA257" s="39">
        <v>0</v>
      </c>
      <c r="AB257" s="39">
        <v>0</v>
      </c>
      <c r="AC257" s="52">
        <v>0</v>
      </c>
      <c r="AD257" s="39">
        <v>0</v>
      </c>
      <c r="AE257" s="39">
        <v>87.365855867798302</v>
      </c>
      <c r="AF257" s="35">
        <v>87.365855867798302</v>
      </c>
      <c r="AG257" s="77">
        <v>0</v>
      </c>
      <c r="AH257" s="53">
        <v>87.365855867798302</v>
      </c>
      <c r="AI257" s="52">
        <v>87.365855867798302</v>
      </c>
      <c r="AJ257" s="39">
        <v>0</v>
      </c>
      <c r="AK257" s="39">
        <v>0</v>
      </c>
      <c r="AL257" s="52">
        <v>0</v>
      </c>
      <c r="AM257" s="39">
        <v>0</v>
      </c>
      <c r="AN257" s="39">
        <v>0</v>
      </c>
      <c r="AO257" s="52">
        <v>0</v>
      </c>
      <c r="AP257" s="39">
        <v>55.242695835462904</v>
      </c>
      <c r="AQ257" s="39">
        <v>0</v>
      </c>
      <c r="AR257" s="52">
        <v>-55.242695835462904</v>
      </c>
      <c r="AS257" s="39">
        <v>302.1483716781014</v>
      </c>
      <c r="AT257" s="39">
        <v>1619</v>
      </c>
      <c r="AU257" s="54">
        <v>1316.8516283218987</v>
      </c>
      <c r="AV257" s="39">
        <v>0</v>
      </c>
      <c r="AW257" s="39">
        <v>0</v>
      </c>
      <c r="AX257" s="55">
        <v>0</v>
      </c>
      <c r="AY257" s="39">
        <v>0</v>
      </c>
      <c r="AZ257" s="39">
        <v>0</v>
      </c>
      <c r="BA257" s="35">
        <v>0</v>
      </c>
      <c r="BB257" s="39">
        <v>0</v>
      </c>
      <c r="BC257" s="39">
        <v>0</v>
      </c>
      <c r="BD257" s="55">
        <v>0</v>
      </c>
      <c r="BE257" s="39">
        <v>0</v>
      </c>
      <c r="BF257" s="39">
        <v>0</v>
      </c>
      <c r="BG257" s="38">
        <v>0</v>
      </c>
      <c r="BH257" s="39">
        <v>0</v>
      </c>
      <c r="BI257" s="39">
        <v>0</v>
      </c>
      <c r="BJ257" s="55">
        <v>0</v>
      </c>
      <c r="BK257" s="39">
        <v>0</v>
      </c>
      <c r="BL257" s="39">
        <v>0</v>
      </c>
      <c r="BM257" s="38">
        <v>0</v>
      </c>
      <c r="BN257" s="39">
        <v>0</v>
      </c>
      <c r="BO257" s="39">
        <v>0</v>
      </c>
      <c r="BP257" s="55">
        <v>0</v>
      </c>
      <c r="BQ257" s="77">
        <v>0</v>
      </c>
      <c r="BR257" s="40">
        <v>0</v>
      </c>
      <c r="BS257" s="55">
        <v>0</v>
      </c>
      <c r="BT257" s="39">
        <v>67.394413624322965</v>
      </c>
      <c r="BU257" s="39">
        <v>29.262106690678394</v>
      </c>
      <c r="BV257" s="52">
        <v>-38.132306933644571</v>
      </c>
      <c r="BW257" s="39">
        <v>0</v>
      </c>
      <c r="BX257" s="39">
        <v>0.59139974283118879</v>
      </c>
      <c r="BY257" s="52">
        <v>0.59139974283118879</v>
      </c>
      <c r="BZ257" s="39">
        <v>0</v>
      </c>
      <c r="CA257" s="39">
        <v>107.68277753106543</v>
      </c>
      <c r="CB257" s="52">
        <v>107.68277753106543</v>
      </c>
      <c r="CC257" s="39">
        <v>0</v>
      </c>
      <c r="CD257" s="39">
        <v>0</v>
      </c>
      <c r="CE257" s="52">
        <v>0</v>
      </c>
      <c r="CF257" s="39">
        <v>0</v>
      </c>
      <c r="CG257" s="39">
        <v>0</v>
      </c>
      <c r="CH257" s="52">
        <v>0</v>
      </c>
      <c r="CI257" s="39">
        <v>0</v>
      </c>
      <c r="CJ257" s="39">
        <v>0</v>
      </c>
      <c r="CK257" s="52">
        <v>0</v>
      </c>
      <c r="CL257" s="39">
        <v>0</v>
      </c>
      <c r="CM257" s="39">
        <v>0</v>
      </c>
      <c r="CN257" s="52">
        <v>0</v>
      </c>
      <c r="CO257" s="39">
        <v>0</v>
      </c>
      <c r="CP257" s="40">
        <v>0</v>
      </c>
      <c r="CQ257" s="52">
        <v>0</v>
      </c>
      <c r="CR257" s="72">
        <v>424.78548113788725</v>
      </c>
      <c r="CS257" s="5">
        <v>1843.9021398323735</v>
      </c>
      <c r="CT257" s="52">
        <v>1419.1166586944862</v>
      </c>
      <c r="CU257" s="77">
        <v>509.74257736546468</v>
      </c>
      <c r="CV257" s="65">
        <v>2212.6825677988481</v>
      </c>
      <c r="CW257" s="35">
        <v>1702.9399904333834</v>
      </c>
      <c r="CX257" s="39">
        <v>7.646138660481971</v>
      </c>
      <c r="CY257" s="39">
        <v>-1695.2938517729012</v>
      </c>
      <c r="CZ257" s="52">
        <v>-1702.9399904333832</v>
      </c>
      <c r="DA257" s="150">
        <v>-261.36468903582806</v>
      </c>
      <c r="DB257" s="2">
        <v>1</v>
      </c>
      <c r="DC257" s="713">
        <v>981.07</v>
      </c>
      <c r="DD257" s="714"/>
      <c r="DE257" s="715">
        <v>722.37564198702671</v>
      </c>
      <c r="DF257" s="716">
        <v>0</v>
      </c>
      <c r="DG257" s="717">
        <v>-2240.0830915776205</v>
      </c>
      <c r="DH257" s="718">
        <v>2487.5941371836325</v>
      </c>
      <c r="DI257" s="718">
        <v>6208.6645923113601</v>
      </c>
      <c r="DJ257" s="693">
        <v>5278.3969785294285</v>
      </c>
      <c r="DK257" s="724"/>
      <c r="DL257" s="5"/>
      <c r="DM257" s="306">
        <v>1.7706663792811317</v>
      </c>
      <c r="DN257" s="306"/>
      <c r="DO257" s="306">
        <v>1.7706663792811317</v>
      </c>
      <c r="DP257" s="719">
        <v>258.69435801297334</v>
      </c>
      <c r="DQ257" s="720">
        <v>0</v>
      </c>
      <c r="DR257" s="650">
        <v>258.69435801297334</v>
      </c>
      <c r="DS257" s="94">
        <v>258.69435801297334</v>
      </c>
      <c r="DT257" s="719">
        <v>258.69</v>
      </c>
      <c r="DU257" s="721"/>
      <c r="DV257" s="93">
        <v>258.69</v>
      </c>
      <c r="DW257" s="95">
        <v>259.45897187902153</v>
      </c>
      <c r="DX257" s="28">
        <v>-0.76897187902153519</v>
      </c>
      <c r="EA257" s="5">
        <v>362.57804601372169</v>
      </c>
      <c r="EB257" s="5">
        <v>1942.8</v>
      </c>
      <c r="EE257" s="722">
        <v>3625.7804601372168</v>
      </c>
      <c r="EG257" s="42" t="s">
        <v>131</v>
      </c>
    </row>
    <row r="258" spans="1:137" x14ac:dyDescent="0.3">
      <c r="A258" s="325">
        <v>150000752</v>
      </c>
      <c r="B258" s="41" t="s">
        <v>729</v>
      </c>
      <c r="C258" s="42" t="s">
        <v>387</v>
      </c>
      <c r="D258" s="27">
        <v>9</v>
      </c>
      <c r="E258" s="709">
        <v>3990.7000000000003</v>
      </c>
      <c r="F258" s="723">
        <v>3818.4</v>
      </c>
      <c r="G258" s="28">
        <v>276.3</v>
      </c>
      <c r="H258" s="651">
        <v>172.3</v>
      </c>
      <c r="I258" s="39">
        <v>1928.1594161834294</v>
      </c>
      <c r="J258" s="39">
        <v>1444.0978728057694</v>
      </c>
      <c r="K258" s="52">
        <v>-484.06154337765997</v>
      </c>
      <c r="L258" s="39">
        <v>323.76046470468566</v>
      </c>
      <c r="M258" s="39">
        <v>169.01963949984224</v>
      </c>
      <c r="N258" s="52">
        <v>-154.74082520484342</v>
      </c>
      <c r="O258" s="39">
        <v>974.86</v>
      </c>
      <c r="P258" s="39">
        <v>974.86</v>
      </c>
      <c r="Q258" s="52">
        <v>0</v>
      </c>
      <c r="R258" s="39">
        <v>209.92</v>
      </c>
      <c r="S258" s="39">
        <v>209.92</v>
      </c>
      <c r="T258" s="52">
        <v>0</v>
      </c>
      <c r="U258" s="39">
        <v>130.00964065633656</v>
      </c>
      <c r="V258" s="39">
        <v>23.524434499251157</v>
      </c>
      <c r="W258" s="52">
        <v>-106.4852061570854</v>
      </c>
      <c r="X258" s="39">
        <v>1385.9851302479817</v>
      </c>
      <c r="Y258" s="39">
        <v>880.98369994454902</v>
      </c>
      <c r="Z258" s="52">
        <v>-505.0014303034327</v>
      </c>
      <c r="AA258" s="39">
        <v>0</v>
      </c>
      <c r="AB258" s="39">
        <v>0</v>
      </c>
      <c r="AC258" s="52">
        <v>0</v>
      </c>
      <c r="AD258" s="39">
        <v>2843.9268165928838</v>
      </c>
      <c r="AE258" s="39">
        <v>2386.3854963150084</v>
      </c>
      <c r="AF258" s="35">
        <v>-457.54132027787546</v>
      </c>
      <c r="AG258" s="77">
        <v>7796.6214683853177</v>
      </c>
      <c r="AH258" s="53">
        <v>6088.7911430644199</v>
      </c>
      <c r="AI258" s="52">
        <v>-1707.8303253208978</v>
      </c>
      <c r="AJ258" s="39">
        <v>6913.0950965152351</v>
      </c>
      <c r="AK258" s="39">
        <v>6820.2432671123333</v>
      </c>
      <c r="AL258" s="52">
        <v>-92.851829402901785</v>
      </c>
      <c r="AM258" s="39">
        <v>0</v>
      </c>
      <c r="AN258" s="39">
        <v>0</v>
      </c>
      <c r="AO258" s="52">
        <v>0</v>
      </c>
      <c r="AP258" s="39">
        <v>536.64333097306826</v>
      </c>
      <c r="AQ258" s="39">
        <v>0</v>
      </c>
      <c r="AR258" s="52">
        <v>-536.64333097306826</v>
      </c>
      <c r="AS258" s="39">
        <v>12433.750025904579</v>
      </c>
      <c r="AT258" s="39">
        <v>118840</v>
      </c>
      <c r="AU258" s="54">
        <v>106406.24997409542</v>
      </c>
      <c r="AV258" s="39">
        <v>160.28234453452649</v>
      </c>
      <c r="AW258" s="39">
        <v>0</v>
      </c>
      <c r="AX258" s="55">
        <v>-160.28234453452649</v>
      </c>
      <c r="AY258" s="39">
        <v>216.30381693881802</v>
      </c>
      <c r="AZ258" s="39">
        <v>0</v>
      </c>
      <c r="BA258" s="35">
        <v>-216.30381693881802</v>
      </c>
      <c r="BB258" s="39">
        <v>300.81395588574151</v>
      </c>
      <c r="BC258" s="39">
        <v>0</v>
      </c>
      <c r="BD258" s="55">
        <v>-300.81395588574151</v>
      </c>
      <c r="BE258" s="39">
        <v>109.41598290170468</v>
      </c>
      <c r="BF258" s="39">
        <v>0</v>
      </c>
      <c r="BG258" s="38">
        <v>-109.41598290170468</v>
      </c>
      <c r="BH258" s="39">
        <v>65.961235315382794</v>
      </c>
      <c r="BI258" s="39">
        <v>0</v>
      </c>
      <c r="BJ258" s="55">
        <v>-65.961235315382794</v>
      </c>
      <c r="BK258" s="39">
        <v>182.09319879634614</v>
      </c>
      <c r="BL258" s="39">
        <v>13783</v>
      </c>
      <c r="BM258" s="38">
        <v>13600.906801203653</v>
      </c>
      <c r="BN258" s="39">
        <v>94.161478523291592</v>
      </c>
      <c r="BO258" s="39">
        <v>0</v>
      </c>
      <c r="BP258" s="55">
        <v>-94.161478523291592</v>
      </c>
      <c r="BQ258" s="77">
        <v>1129.0320128958112</v>
      </c>
      <c r="BR258" s="40">
        <v>13783</v>
      </c>
      <c r="BS258" s="55">
        <v>12653.967987104188</v>
      </c>
      <c r="BT258" s="39">
        <v>7355.0518485833745</v>
      </c>
      <c r="BU258" s="39">
        <v>1991.8851792975154</v>
      </c>
      <c r="BV258" s="52">
        <v>-5363.1666692858589</v>
      </c>
      <c r="BW258" s="39">
        <v>8062.640992532848</v>
      </c>
      <c r="BX258" s="39">
        <v>7107.7906585552446</v>
      </c>
      <c r="BY258" s="52">
        <v>-954.85033397760344</v>
      </c>
      <c r="BZ258" s="39">
        <v>1081.9920435125903</v>
      </c>
      <c r="CA258" s="39">
        <v>6626.0605808960518</v>
      </c>
      <c r="CB258" s="52">
        <v>5544.0685373834613</v>
      </c>
      <c r="CC258" s="39">
        <v>245.69871382594209</v>
      </c>
      <c r="CD258" s="39">
        <v>242.39944288988772</v>
      </c>
      <c r="CE258" s="52">
        <v>-3.2992709360543699</v>
      </c>
      <c r="CF258" s="39">
        <v>30.247000755087576</v>
      </c>
      <c r="CG258" s="39">
        <v>0</v>
      </c>
      <c r="CH258" s="52">
        <v>-30.247000755087576</v>
      </c>
      <c r="CI258" s="39">
        <v>642.63503108359669</v>
      </c>
      <c r="CJ258" s="39">
        <v>2606.96216365499</v>
      </c>
      <c r="CK258" s="52">
        <v>1964.3271325713933</v>
      </c>
      <c r="CL258" s="39">
        <v>2002.775193959558</v>
      </c>
      <c r="CM258" s="39">
        <v>2092.8809737990464</v>
      </c>
      <c r="CN258" s="52">
        <v>90.105779839488378</v>
      </c>
      <c r="CO258" s="39">
        <v>2645.4102250431547</v>
      </c>
      <c r="CP258" s="40">
        <v>4699.843137454036</v>
      </c>
      <c r="CQ258" s="52">
        <v>2054.4329124108813</v>
      </c>
      <c r="CR258" s="72">
        <v>48230.182758927011</v>
      </c>
      <c r="CS258" s="5">
        <v>166200.01340926948</v>
      </c>
      <c r="CT258" s="52">
        <v>117969.83065034247</v>
      </c>
      <c r="CU258" s="77">
        <v>57876.219310712411</v>
      </c>
      <c r="CV258" s="65">
        <v>199440.01609112337</v>
      </c>
      <c r="CW258" s="35">
        <v>141563.79678041095</v>
      </c>
      <c r="CX258" s="39">
        <v>1446.9054827678103</v>
      </c>
      <c r="CY258" s="39">
        <v>-140116.89129764319</v>
      </c>
      <c r="CZ258" s="52">
        <v>-141563.79678041101</v>
      </c>
      <c r="DA258" s="150">
        <v>81917.681339698669</v>
      </c>
      <c r="DB258" s="2">
        <v>1</v>
      </c>
      <c r="DC258" s="713">
        <v>56291.44</v>
      </c>
      <c r="DD258" s="714">
        <v>0.17</v>
      </c>
      <c r="DE258" s="715">
        <v>27459.698873240111</v>
      </c>
      <c r="DF258" s="716">
        <v>-829.65126998021867</v>
      </c>
      <c r="DG258" s="717">
        <v>1096.9421258767943</v>
      </c>
      <c r="DH258" s="718">
        <v>289715.92504262051</v>
      </c>
      <c r="DI258" s="718">
        <v>711877.49752176274</v>
      </c>
      <c r="DJ258" s="693">
        <v>606337.10440197715</v>
      </c>
      <c r="DK258" s="724"/>
      <c r="DL258" s="5"/>
      <c r="DM258" s="306">
        <v>6.1147289173784554</v>
      </c>
      <c r="DN258" s="306">
        <v>7.6627541647294617</v>
      </c>
      <c r="DO258" s="306">
        <v>4.8161420196182156</v>
      </c>
      <c r="DP258" s="719">
        <v>28831.741126759891</v>
      </c>
      <c r="DQ258" s="720">
        <v>829.82126998021863</v>
      </c>
      <c r="DR258" s="650">
        <v>29661.562396740108</v>
      </c>
      <c r="DS258" s="94">
        <v>29661.562396740115</v>
      </c>
      <c r="DT258" s="719">
        <v>28831.87</v>
      </c>
      <c r="DU258" s="725">
        <v>829.87</v>
      </c>
      <c r="DV258" s="93">
        <v>29661.739999999998</v>
      </c>
      <c r="DW258" s="95">
        <v>29806.252945016891</v>
      </c>
      <c r="DX258" s="28">
        <v>-144.51294501689335</v>
      </c>
      <c r="EA258" s="5">
        <v>16275.338446560469</v>
      </c>
      <c r="EB258" s="5">
        <v>159147.6</v>
      </c>
      <c r="EE258" s="722">
        <v>149205.00031085496</v>
      </c>
      <c r="EG258" s="42" t="s">
        <v>387</v>
      </c>
    </row>
    <row r="259" spans="1:137" x14ac:dyDescent="0.3">
      <c r="A259" s="325">
        <v>150000760</v>
      </c>
      <c r="B259" s="41" t="s">
        <v>730</v>
      </c>
      <c r="C259" s="42" t="s">
        <v>388</v>
      </c>
      <c r="D259" s="27">
        <v>9</v>
      </c>
      <c r="E259" s="709">
        <v>11337.62</v>
      </c>
      <c r="F259" s="723">
        <v>11337.62</v>
      </c>
      <c r="G259" s="28">
        <v>1200.4000000000001</v>
      </c>
      <c r="H259" s="651">
        <v>0</v>
      </c>
      <c r="I259" s="39">
        <v>4495.5148763879806</v>
      </c>
      <c r="J259" s="39">
        <v>4867.1887202732451</v>
      </c>
      <c r="K259" s="52">
        <v>371.67384388526443</v>
      </c>
      <c r="L259" s="39">
        <v>1354.0728398714448</v>
      </c>
      <c r="M259" s="39">
        <v>1471.2670280903728</v>
      </c>
      <c r="N259" s="52">
        <v>117.19418821892805</v>
      </c>
      <c r="O259" s="39">
        <v>2639.62</v>
      </c>
      <c r="P259" s="39">
        <v>2639.8</v>
      </c>
      <c r="Q259" s="52">
        <v>0.18000000000029104</v>
      </c>
      <c r="R259" s="39">
        <v>600.52</v>
      </c>
      <c r="S259" s="39">
        <v>600.9</v>
      </c>
      <c r="T259" s="52">
        <v>0.37999999999999545</v>
      </c>
      <c r="U259" s="39">
        <v>195.03873136964788</v>
      </c>
      <c r="V259" s="39">
        <v>532.73196460564145</v>
      </c>
      <c r="W259" s="52">
        <v>337.6932332359936</v>
      </c>
      <c r="X259" s="39">
        <v>4068.6898622916251</v>
      </c>
      <c r="Y259" s="39">
        <v>2584.190048133376</v>
      </c>
      <c r="Z259" s="52">
        <v>-1484.4998141582491</v>
      </c>
      <c r="AA259" s="39">
        <v>0</v>
      </c>
      <c r="AB259" s="39">
        <v>0</v>
      </c>
      <c r="AC259" s="52">
        <v>0</v>
      </c>
      <c r="AD259" s="39">
        <v>8079.6255179141026</v>
      </c>
      <c r="AE259" s="39">
        <v>6779.7458918813654</v>
      </c>
      <c r="AF259" s="35">
        <v>-1299.8796260327372</v>
      </c>
      <c r="AG259" s="77">
        <v>21433.081827834802</v>
      </c>
      <c r="AH259" s="53">
        <v>19475.823652984003</v>
      </c>
      <c r="AI259" s="52">
        <v>-1957.2581748507982</v>
      </c>
      <c r="AJ259" s="39">
        <v>14892.175534639631</v>
      </c>
      <c r="AK259" s="39">
        <v>14692.1577005536</v>
      </c>
      <c r="AL259" s="52">
        <v>-200.01783408603114</v>
      </c>
      <c r="AM259" s="39">
        <v>1578.4221588709313</v>
      </c>
      <c r="AN259" s="39">
        <v>649.53794536455825</v>
      </c>
      <c r="AO259" s="52">
        <v>-928.88421350637304</v>
      </c>
      <c r="AP259" s="39">
        <v>1704.6317572085695</v>
      </c>
      <c r="AQ259" s="39">
        <v>7154.1922688026825</v>
      </c>
      <c r="AR259" s="52">
        <v>5449.5605115941125</v>
      </c>
      <c r="AS259" s="39">
        <v>33229.790980690806</v>
      </c>
      <c r="AT259" s="39">
        <v>3964.5010813720246</v>
      </c>
      <c r="AU259" s="54">
        <v>-29265.289899318781</v>
      </c>
      <c r="AV259" s="39">
        <v>355.34403081711207</v>
      </c>
      <c r="AW259" s="39">
        <v>0</v>
      </c>
      <c r="AX259" s="55">
        <v>-355.34403081711207</v>
      </c>
      <c r="AY259" s="39">
        <v>895.58576938451483</v>
      </c>
      <c r="AZ259" s="39">
        <v>13374</v>
      </c>
      <c r="BA259" s="35">
        <v>12478.414230615484</v>
      </c>
      <c r="BB259" s="39">
        <v>745.46315154097363</v>
      </c>
      <c r="BC259" s="39">
        <v>0</v>
      </c>
      <c r="BD259" s="55">
        <v>-745.46315154097363</v>
      </c>
      <c r="BE259" s="39">
        <v>288.12756542741425</v>
      </c>
      <c r="BF259" s="39">
        <v>742</v>
      </c>
      <c r="BG259" s="38">
        <v>453.87243457258575</v>
      </c>
      <c r="BH259" s="39">
        <v>98.941812127749259</v>
      </c>
      <c r="BI259" s="39">
        <v>0</v>
      </c>
      <c r="BJ259" s="55">
        <v>-98.941812127749259</v>
      </c>
      <c r="BK259" s="39">
        <v>518.72018098120952</v>
      </c>
      <c r="BL259" s="39">
        <v>0</v>
      </c>
      <c r="BM259" s="38">
        <v>-518.72018098120952</v>
      </c>
      <c r="BN259" s="39">
        <v>0</v>
      </c>
      <c r="BO259" s="39">
        <v>0</v>
      </c>
      <c r="BP259" s="55">
        <v>0</v>
      </c>
      <c r="BQ259" s="77">
        <v>2902.1825102789735</v>
      </c>
      <c r="BR259" s="40">
        <v>14116</v>
      </c>
      <c r="BS259" s="55">
        <v>11213.817489721027</v>
      </c>
      <c r="BT259" s="39">
        <v>20610.245704899979</v>
      </c>
      <c r="BU259" s="39">
        <v>4522.2673606382541</v>
      </c>
      <c r="BV259" s="52">
        <v>-16087.978344261724</v>
      </c>
      <c r="BW259" s="39">
        <v>21070.534873087257</v>
      </c>
      <c r="BX259" s="39">
        <v>20607.630543293788</v>
      </c>
      <c r="BY259" s="52">
        <v>-462.90432979346951</v>
      </c>
      <c r="BZ259" s="39">
        <v>1834.7732489009734</v>
      </c>
      <c r="CA259" s="39">
        <v>18806.871617027675</v>
      </c>
      <c r="CB259" s="52">
        <v>16972.098368126703</v>
      </c>
      <c r="CC259" s="39">
        <v>649.56229802060329</v>
      </c>
      <c r="CD259" s="39">
        <v>640.83989985398409</v>
      </c>
      <c r="CE259" s="52">
        <v>-8.7223981666192003</v>
      </c>
      <c r="CF259" s="39">
        <v>79.965055627536373</v>
      </c>
      <c r="CG259" s="39">
        <v>0</v>
      </c>
      <c r="CH259" s="52">
        <v>-79.965055627536373</v>
      </c>
      <c r="CI259" s="39">
        <v>2585.5141444761402</v>
      </c>
      <c r="CJ259" s="39">
        <v>3525.3814550676348</v>
      </c>
      <c r="CK259" s="52">
        <v>939.86731059149452</v>
      </c>
      <c r="CL259" s="39">
        <v>3649.9174095524668</v>
      </c>
      <c r="CM259" s="39">
        <v>3426.8400697090728</v>
      </c>
      <c r="CN259" s="52">
        <v>-223.07733984339393</v>
      </c>
      <c r="CO259" s="39">
        <v>6235.431554028607</v>
      </c>
      <c r="CP259" s="40">
        <v>6952.2215247767072</v>
      </c>
      <c r="CQ259" s="52">
        <v>716.78997074810013</v>
      </c>
      <c r="CR259" s="72">
        <v>126220.79750408867</v>
      </c>
      <c r="CS259" s="5">
        <v>111582.04359466727</v>
      </c>
      <c r="CT259" s="52">
        <v>-14638.753909421401</v>
      </c>
      <c r="CU259" s="77">
        <v>151464.95700490641</v>
      </c>
      <c r="CV259" s="65">
        <v>133898.45231360072</v>
      </c>
      <c r="CW259" s="35">
        <v>-17566.504691305687</v>
      </c>
      <c r="CX259" s="39">
        <v>3786.6239251226602</v>
      </c>
      <c r="CY259" s="39">
        <v>21353.128616428367</v>
      </c>
      <c r="CZ259" s="52">
        <v>17566.504691305705</v>
      </c>
      <c r="DA259" s="150">
        <v>127838.59029137816</v>
      </c>
      <c r="DB259" s="2">
        <v>2</v>
      </c>
      <c r="DC259" s="713">
        <v>175164.01</v>
      </c>
      <c r="DD259" s="714"/>
      <c r="DE259" s="715">
        <v>97538.219534985459</v>
      </c>
      <c r="DF259" s="716">
        <v>0</v>
      </c>
      <c r="DG259" s="717">
        <v>78093.355183338164</v>
      </c>
      <c r="DH259" s="718">
        <v>744947.42185661499</v>
      </c>
      <c r="DI259" s="718">
        <v>1863018.971160349</v>
      </c>
      <c r="DJ259" s="693">
        <v>1583501.0838344153</v>
      </c>
      <c r="DK259" s="724"/>
      <c r="DL259" s="5"/>
      <c r="DM259" s="306">
        <v>5.7553237519541813</v>
      </c>
      <c r="DN259" s="306">
        <v>6.975985510146641</v>
      </c>
      <c r="DO259" s="306">
        <v>4.6123696798518656</v>
      </c>
      <c r="DP259" s="719">
        <v>77625.79046501455</v>
      </c>
      <c r="DQ259" s="720">
        <v>0</v>
      </c>
      <c r="DR259" s="650">
        <v>77625.79046501455</v>
      </c>
      <c r="DS259" s="94">
        <v>77625.790465014521</v>
      </c>
      <c r="DT259" s="719">
        <v>77625.91</v>
      </c>
      <c r="DU259" s="721"/>
      <c r="DV259" s="93">
        <v>77625.91</v>
      </c>
      <c r="DW259" s="95">
        <v>78004.45285752682</v>
      </c>
      <c r="DX259" s="28">
        <v>-378.54285752681608</v>
      </c>
      <c r="EA259" s="5">
        <v>43358.368189163732</v>
      </c>
      <c r="EB259" s="5">
        <v>21696.60129764643</v>
      </c>
      <c r="EE259" s="722">
        <v>398757.49176828971</v>
      </c>
      <c r="EG259" s="42" t="s">
        <v>388</v>
      </c>
    </row>
    <row r="260" spans="1:137" x14ac:dyDescent="0.3">
      <c r="A260" s="325">
        <v>150000758</v>
      </c>
      <c r="B260" s="41" t="s">
        <v>731</v>
      </c>
      <c r="C260" s="42" t="s">
        <v>389</v>
      </c>
      <c r="D260" s="27">
        <v>9</v>
      </c>
      <c r="E260" s="709">
        <v>13218.32</v>
      </c>
      <c r="F260" s="723">
        <v>13211.52</v>
      </c>
      <c r="G260" s="28">
        <v>1410.95</v>
      </c>
      <c r="H260" s="651">
        <v>6.8</v>
      </c>
      <c r="I260" s="39">
        <v>5631.3437984163129</v>
      </c>
      <c r="J260" s="39">
        <v>6091.9723891528502</v>
      </c>
      <c r="K260" s="52">
        <v>460.62859073653726</v>
      </c>
      <c r="L260" s="39">
        <v>1579.6938719489201</v>
      </c>
      <c r="M260" s="39">
        <v>1716.4156842987518</v>
      </c>
      <c r="N260" s="52">
        <v>136.72181234983168</v>
      </c>
      <c r="O260" s="39">
        <v>3032.12</v>
      </c>
      <c r="P260" s="39">
        <v>3033.1</v>
      </c>
      <c r="Q260" s="52">
        <v>0.98000000000001819</v>
      </c>
      <c r="R260" s="39">
        <v>658.82</v>
      </c>
      <c r="S260" s="39">
        <v>658.6</v>
      </c>
      <c r="T260" s="52">
        <v>-0.22000000000002728</v>
      </c>
      <c r="U260" s="39">
        <v>227.52892465051059</v>
      </c>
      <c r="V260" s="39">
        <v>621.47573727377028</v>
      </c>
      <c r="W260" s="52">
        <v>393.94681262325969</v>
      </c>
      <c r="X260" s="39">
        <v>3794.1316402648622</v>
      </c>
      <c r="Y260" s="39">
        <v>2397.0863898197263</v>
      </c>
      <c r="Z260" s="52">
        <v>-1397.0452504451359</v>
      </c>
      <c r="AA260" s="39">
        <v>0</v>
      </c>
      <c r="AB260" s="39">
        <v>0</v>
      </c>
      <c r="AC260" s="52">
        <v>0</v>
      </c>
      <c r="AD260" s="39">
        <v>9419.8849119969036</v>
      </c>
      <c r="AE260" s="39">
        <v>7904.379465670334</v>
      </c>
      <c r="AF260" s="35">
        <v>-1515.5054463265697</v>
      </c>
      <c r="AG260" s="77">
        <v>24343.523147277509</v>
      </c>
      <c r="AH260" s="53">
        <v>22423.029666215432</v>
      </c>
      <c r="AI260" s="52">
        <v>-1920.4934810620762</v>
      </c>
      <c r="AJ260" s="39">
        <v>28216.713770153285</v>
      </c>
      <c r="AK260" s="39">
        <v>27837.750501706985</v>
      </c>
      <c r="AL260" s="52">
        <v>-378.96326844629948</v>
      </c>
      <c r="AM260" s="39">
        <v>789.21107943546565</v>
      </c>
      <c r="AN260" s="39">
        <v>129.91419040372483</v>
      </c>
      <c r="AO260" s="52">
        <v>-659.29688903174087</v>
      </c>
      <c r="AP260" s="39">
        <v>1980.8452363858842</v>
      </c>
      <c r="AQ260" s="39">
        <v>0</v>
      </c>
      <c r="AR260" s="52">
        <v>-1980.8452363858842</v>
      </c>
      <c r="AS260" s="39">
        <v>40646.256181783298</v>
      </c>
      <c r="AT260" s="39">
        <v>4029</v>
      </c>
      <c r="AU260" s="54">
        <v>-36617.256181783298</v>
      </c>
      <c r="AV260" s="39">
        <v>459.45289091382273</v>
      </c>
      <c r="AW260" s="39">
        <v>0</v>
      </c>
      <c r="AX260" s="55">
        <v>-459.45289091382273</v>
      </c>
      <c r="AY260" s="39">
        <v>1044.8023367926141</v>
      </c>
      <c r="AZ260" s="39">
        <v>2683</v>
      </c>
      <c r="BA260" s="35">
        <v>1638.1976632073859</v>
      </c>
      <c r="BB260" s="39">
        <v>822.83356848650783</v>
      </c>
      <c r="BC260" s="39">
        <v>0</v>
      </c>
      <c r="BD260" s="55">
        <v>-822.83356848650783</v>
      </c>
      <c r="BE260" s="39">
        <v>312.27663283934402</v>
      </c>
      <c r="BF260" s="39">
        <v>0</v>
      </c>
      <c r="BG260" s="38">
        <v>-312.27663283934402</v>
      </c>
      <c r="BH260" s="39">
        <v>115.42002660934838</v>
      </c>
      <c r="BI260" s="39">
        <v>0</v>
      </c>
      <c r="BJ260" s="55">
        <v>-115.42002660934838</v>
      </c>
      <c r="BK260" s="39">
        <v>542.44879755970385</v>
      </c>
      <c r="BL260" s="39">
        <v>0</v>
      </c>
      <c r="BM260" s="38">
        <v>-542.44879755970385</v>
      </c>
      <c r="BN260" s="39">
        <v>0</v>
      </c>
      <c r="BO260" s="39">
        <v>0</v>
      </c>
      <c r="BP260" s="55">
        <v>0</v>
      </c>
      <c r="BQ260" s="77">
        <v>3297.2342532013413</v>
      </c>
      <c r="BR260" s="40">
        <v>2683</v>
      </c>
      <c r="BS260" s="55">
        <v>-614.23425320134129</v>
      </c>
      <c r="BT260" s="39">
        <v>28264.848470784535</v>
      </c>
      <c r="BU260" s="39">
        <v>6035.8318377605838</v>
      </c>
      <c r="BV260" s="52">
        <v>-22229.016633023952</v>
      </c>
      <c r="BW260" s="39">
        <v>19233.423492017784</v>
      </c>
      <c r="BX260" s="39">
        <v>17885.919800373056</v>
      </c>
      <c r="BY260" s="52">
        <v>-1347.503691644728</v>
      </c>
      <c r="BZ260" s="39">
        <v>1908.6339647562093</v>
      </c>
      <c r="CA260" s="39">
        <v>24797.256790187734</v>
      </c>
      <c r="CB260" s="52">
        <v>22888.622825431525</v>
      </c>
      <c r="CC260" s="39">
        <v>750.1360173512702</v>
      </c>
      <c r="CD260" s="39">
        <v>740.06310357164057</v>
      </c>
      <c r="CE260" s="52">
        <v>-10.07291377962963</v>
      </c>
      <c r="CF260" s="39">
        <v>92.346290014834409</v>
      </c>
      <c r="CG260" s="39">
        <v>0</v>
      </c>
      <c r="CH260" s="52">
        <v>-92.346290014834409</v>
      </c>
      <c r="CI260" s="39">
        <v>3331.7194815401999</v>
      </c>
      <c r="CJ260" s="39">
        <v>4356.0673680908931</v>
      </c>
      <c r="CK260" s="52">
        <v>1024.3478865506931</v>
      </c>
      <c r="CL260" s="39">
        <v>4607.6307811187971</v>
      </c>
      <c r="CM260" s="39">
        <v>6786.7465823325456</v>
      </c>
      <c r="CN260" s="52">
        <v>2179.1158012137485</v>
      </c>
      <c r="CO260" s="39">
        <v>7939.3502626589971</v>
      </c>
      <c r="CP260" s="40">
        <v>11142.813950423439</v>
      </c>
      <c r="CQ260" s="52">
        <v>3203.4636877644416</v>
      </c>
      <c r="CR260" s="72">
        <v>157462.52216582038</v>
      </c>
      <c r="CS260" s="5">
        <v>117704.57984064259</v>
      </c>
      <c r="CT260" s="52">
        <v>-39757.942325177792</v>
      </c>
      <c r="CU260" s="77">
        <v>188955.02659898446</v>
      </c>
      <c r="CV260" s="65">
        <v>141245.49580877111</v>
      </c>
      <c r="CW260" s="35">
        <v>-47709.53079021335</v>
      </c>
      <c r="CX260" s="39">
        <v>1889.5502659898448</v>
      </c>
      <c r="CY260" s="39">
        <v>49599.081056203213</v>
      </c>
      <c r="CZ260" s="52">
        <v>47709.530790213365</v>
      </c>
      <c r="DA260" s="150">
        <v>-7342.5005436992869</v>
      </c>
      <c r="DB260" s="2">
        <v>2</v>
      </c>
      <c r="DC260" s="713">
        <v>218756.1</v>
      </c>
      <c r="DD260" s="714">
        <v>65.239999999999995</v>
      </c>
      <c r="DE260" s="715">
        <v>123366.42537393997</v>
      </c>
      <c r="DF260" s="716">
        <v>38.949999999999996</v>
      </c>
      <c r="DG260" s="717">
        <v>-26220.010742889863</v>
      </c>
      <c r="DH260" s="718">
        <v>924151.24708918366</v>
      </c>
      <c r="DI260" s="718">
        <v>2290134.9223796916</v>
      </c>
      <c r="DJ260" s="693">
        <v>1948639.0035570646</v>
      </c>
      <c r="DK260" s="724"/>
      <c r="DL260" s="5"/>
      <c r="DM260" s="306">
        <v>5.6783670549528935</v>
      </c>
      <c r="DN260" s="306">
        <v>7.4045391561487488</v>
      </c>
      <c r="DO260" s="306">
        <v>4.7961480039910986</v>
      </c>
      <c r="DP260" s="719">
        <v>95389.674626060034</v>
      </c>
      <c r="DQ260" s="720">
        <v>26.29</v>
      </c>
      <c r="DR260" s="650">
        <v>95415.964626060028</v>
      </c>
      <c r="DS260" s="94">
        <v>95428.612238914284</v>
      </c>
      <c r="DT260" s="719">
        <v>95472.3</v>
      </c>
      <c r="DU260" s="725">
        <v>32.619999999999997</v>
      </c>
      <c r="DV260" s="93">
        <v>95504.92</v>
      </c>
      <c r="DW260" s="95">
        <v>95611.243459086138</v>
      </c>
      <c r="DX260" s="28">
        <v>-106.32345908613934</v>
      </c>
      <c r="EA260" s="5">
        <v>52732.188521981567</v>
      </c>
      <c r="EB260" s="5">
        <v>8054.4</v>
      </c>
      <c r="EE260" s="722">
        <v>487755.07418139954</v>
      </c>
      <c r="EG260" s="42" t="s">
        <v>389</v>
      </c>
    </row>
    <row r="261" spans="1:137" x14ac:dyDescent="0.3">
      <c r="A261" s="325">
        <v>150000759</v>
      </c>
      <c r="B261" s="41" t="s">
        <v>732</v>
      </c>
      <c r="C261" s="42" t="s">
        <v>390</v>
      </c>
      <c r="D261" s="27">
        <v>9</v>
      </c>
      <c r="E261" s="709">
        <v>5689.68</v>
      </c>
      <c r="F261" s="723">
        <v>5689.68</v>
      </c>
      <c r="G261" s="28">
        <v>618.45000000000005</v>
      </c>
      <c r="H261" s="651">
        <v>0</v>
      </c>
      <c r="I261" s="39">
        <v>2463.0106897655455</v>
      </c>
      <c r="J261" s="39">
        <v>2662.5540183355615</v>
      </c>
      <c r="K261" s="52">
        <v>199.543328570016</v>
      </c>
      <c r="L261" s="39">
        <v>387.47674897272515</v>
      </c>
      <c r="M261" s="39">
        <v>421.01267580966817</v>
      </c>
      <c r="N261" s="52">
        <v>33.53592683694302</v>
      </c>
      <c r="O261" s="39">
        <v>1402.1</v>
      </c>
      <c r="P261" s="39">
        <v>1401.98</v>
      </c>
      <c r="Q261" s="52">
        <v>-0.11999999999989086</v>
      </c>
      <c r="R261" s="39">
        <v>324.02</v>
      </c>
      <c r="S261" s="39">
        <v>324.2</v>
      </c>
      <c r="T261" s="52">
        <v>0.18000000000000682</v>
      </c>
      <c r="U261" s="39">
        <v>97.519283994174046</v>
      </c>
      <c r="V261" s="39">
        <v>266.36598230282073</v>
      </c>
      <c r="W261" s="52">
        <v>168.84669830864669</v>
      </c>
      <c r="X261" s="39">
        <v>1957.5932903819687</v>
      </c>
      <c r="Y261" s="39">
        <v>1235.2324018294071</v>
      </c>
      <c r="Z261" s="52">
        <v>-722.36088855256162</v>
      </c>
      <c r="AA261" s="39">
        <v>0</v>
      </c>
      <c r="AB261" s="39">
        <v>0</v>
      </c>
      <c r="AC261" s="52">
        <v>0</v>
      </c>
      <c r="AD261" s="39">
        <v>4054.6855263067127</v>
      </c>
      <c r="AE261" s="39">
        <v>3402.3529282265208</v>
      </c>
      <c r="AF261" s="35">
        <v>-652.33259808019193</v>
      </c>
      <c r="AG261" s="77">
        <v>10686.405539421125</v>
      </c>
      <c r="AH261" s="53">
        <v>9713.6980065039788</v>
      </c>
      <c r="AI261" s="52">
        <v>-972.70753291714573</v>
      </c>
      <c r="AJ261" s="39">
        <v>14402.266595894693</v>
      </c>
      <c r="AK261" s="39">
        <v>14208.849299630889</v>
      </c>
      <c r="AL261" s="52">
        <v>-193.41729626380402</v>
      </c>
      <c r="AM261" s="39">
        <v>0</v>
      </c>
      <c r="AN261" s="39">
        <v>0</v>
      </c>
      <c r="AO261" s="52">
        <v>0</v>
      </c>
      <c r="AP261" s="39">
        <v>852.31587860428476</v>
      </c>
      <c r="AQ261" s="39">
        <v>513.37738516725608</v>
      </c>
      <c r="AR261" s="52">
        <v>-338.93849343702868</v>
      </c>
      <c r="AS261" s="39">
        <v>17529.84731482427</v>
      </c>
      <c r="AT261" s="39">
        <v>2897</v>
      </c>
      <c r="AU261" s="54">
        <v>-14632.84731482427</v>
      </c>
      <c r="AV261" s="39">
        <v>203.84207769388419</v>
      </c>
      <c r="AW261" s="39">
        <v>0</v>
      </c>
      <c r="AX261" s="55">
        <v>-203.84207769388419</v>
      </c>
      <c r="AY261" s="39">
        <v>261.17139780857241</v>
      </c>
      <c r="AZ261" s="39">
        <v>0</v>
      </c>
      <c r="BA261" s="35">
        <v>-261.17139780857241</v>
      </c>
      <c r="BB261" s="39">
        <v>343.78808840870335</v>
      </c>
      <c r="BC261" s="39">
        <v>0</v>
      </c>
      <c r="BD261" s="55">
        <v>-343.78808840870335</v>
      </c>
      <c r="BE261" s="39">
        <v>180.56196682523498</v>
      </c>
      <c r="BF261" s="39">
        <v>0</v>
      </c>
      <c r="BG261" s="38">
        <v>-180.56196682523498</v>
      </c>
      <c r="BH261" s="39">
        <v>49.458791293965582</v>
      </c>
      <c r="BI261" s="39">
        <v>0</v>
      </c>
      <c r="BJ261" s="55">
        <v>-49.458791293965582</v>
      </c>
      <c r="BK261" s="39">
        <v>252.40009770630149</v>
      </c>
      <c r="BL261" s="39">
        <v>0</v>
      </c>
      <c r="BM261" s="38">
        <v>-252.40009770630149</v>
      </c>
      <c r="BN261" s="39">
        <v>0</v>
      </c>
      <c r="BO261" s="39">
        <v>0</v>
      </c>
      <c r="BP261" s="55">
        <v>0</v>
      </c>
      <c r="BQ261" s="77">
        <v>1291.222419736662</v>
      </c>
      <c r="BR261" s="40">
        <v>0</v>
      </c>
      <c r="BS261" s="55">
        <v>-1291.222419736662</v>
      </c>
      <c r="BT261" s="39">
        <v>12376.096120263899</v>
      </c>
      <c r="BU261" s="39">
        <v>1456.4156831455653</v>
      </c>
      <c r="BV261" s="52">
        <v>-10919.680437118333</v>
      </c>
      <c r="BW261" s="39">
        <v>5469.8086639089634</v>
      </c>
      <c r="BX261" s="39">
        <v>4059.6038757706174</v>
      </c>
      <c r="BY261" s="52">
        <v>-1410.204788138346</v>
      </c>
      <c r="BZ261" s="39">
        <v>1886.9941238859574</v>
      </c>
      <c r="CA261" s="39">
        <v>10087.826520756795</v>
      </c>
      <c r="CB261" s="52">
        <v>8200.8323968708373</v>
      </c>
      <c r="CC261" s="39">
        <v>451.78757913405479</v>
      </c>
      <c r="CD261" s="39">
        <v>445.72092291963401</v>
      </c>
      <c r="CE261" s="52">
        <v>-6.0666562144207887</v>
      </c>
      <c r="CF261" s="39">
        <v>55.617789097942342</v>
      </c>
      <c r="CG261" s="39">
        <v>0</v>
      </c>
      <c r="CH261" s="52">
        <v>-55.617789097942342</v>
      </c>
      <c r="CI261" s="39">
        <v>2860.6617645808642</v>
      </c>
      <c r="CJ261" s="39">
        <v>2663.5677244520925</v>
      </c>
      <c r="CK261" s="52">
        <v>-197.09404012877167</v>
      </c>
      <c r="CL261" s="39">
        <v>1590.9896400613316</v>
      </c>
      <c r="CM261" s="39">
        <v>2101.0620134092997</v>
      </c>
      <c r="CN261" s="52">
        <v>510.0723733479681</v>
      </c>
      <c r="CO261" s="39">
        <v>4451.6514046421962</v>
      </c>
      <c r="CP261" s="40">
        <v>4764.6297378613926</v>
      </c>
      <c r="CQ261" s="52">
        <v>312.97833321919643</v>
      </c>
      <c r="CR261" s="72">
        <v>69454.013429414059</v>
      </c>
      <c r="CS261" s="5">
        <v>48147.121431756124</v>
      </c>
      <c r="CT261" s="52">
        <v>-21306.891997657935</v>
      </c>
      <c r="CU261" s="77">
        <v>83344.816115296868</v>
      </c>
      <c r="CV261" s="65">
        <v>57776.545718107351</v>
      </c>
      <c r="CW261" s="35">
        <v>-25568.270397189517</v>
      </c>
      <c r="CX261" s="39">
        <v>1250.1722417294529</v>
      </c>
      <c r="CY261" s="39">
        <v>26818.442638918983</v>
      </c>
      <c r="CZ261" s="52">
        <v>25568.270397189532</v>
      </c>
      <c r="DA261" s="150">
        <v>9536.1749263513921</v>
      </c>
      <c r="DB261" s="2">
        <v>2</v>
      </c>
      <c r="DC261" s="713">
        <v>121828.44</v>
      </c>
      <c r="DD261" s="714"/>
      <c r="DE261" s="715">
        <v>79530.94582148685</v>
      </c>
      <c r="DF261" s="716">
        <v>0</v>
      </c>
      <c r="DG261" s="717">
        <v>10377.051541261346</v>
      </c>
      <c r="DH261" s="718">
        <v>412451.17506450374</v>
      </c>
      <c r="DI261" s="718">
        <v>1015139.8602843159</v>
      </c>
      <c r="DJ261" s="693">
        <v>864467.68897936284</v>
      </c>
      <c r="DK261" s="724"/>
      <c r="DL261" s="5"/>
      <c r="DM261" s="306">
        <v>5.7222200775467051</v>
      </c>
      <c r="DN261" s="306">
        <v>7.6428375702846045</v>
      </c>
      <c r="DO261" s="306">
        <v>5.1367542031353928</v>
      </c>
      <c r="DP261" s="719">
        <v>42297.49417851316</v>
      </c>
      <c r="DQ261" s="720">
        <v>0</v>
      </c>
      <c r="DR261" s="650">
        <v>42297.49417851316</v>
      </c>
      <c r="DS261" s="94">
        <v>42297.49417851316</v>
      </c>
      <c r="DT261" s="719">
        <v>42290.59</v>
      </c>
      <c r="DU261" s="721"/>
      <c r="DV261" s="93">
        <v>42290.59</v>
      </c>
      <c r="DW261" s="95">
        <v>42422.511402686112</v>
      </c>
      <c r="DX261" s="28">
        <v>-131.92140268611547</v>
      </c>
      <c r="EA261" s="5">
        <v>22585.28368147312</v>
      </c>
      <c r="EB261" s="5">
        <v>3476.4</v>
      </c>
      <c r="EE261" s="722">
        <v>210358.16777789124</v>
      </c>
      <c r="EG261" s="42" t="s">
        <v>390</v>
      </c>
    </row>
    <row r="262" spans="1:137" x14ac:dyDescent="0.3">
      <c r="A262" s="325">
        <v>150000761</v>
      </c>
      <c r="B262" s="41" t="s">
        <v>733</v>
      </c>
      <c r="C262" s="42" t="s">
        <v>391</v>
      </c>
      <c r="D262" s="27">
        <v>9</v>
      </c>
      <c r="E262" s="709">
        <v>6815.39</v>
      </c>
      <c r="F262" s="723">
        <v>6720.79</v>
      </c>
      <c r="G262" s="28">
        <v>727.4</v>
      </c>
      <c r="H262" s="651">
        <v>94.6</v>
      </c>
      <c r="I262" s="39">
        <v>2601.6863827897873</v>
      </c>
      <c r="J262" s="39">
        <v>2820.0580464388295</v>
      </c>
      <c r="K262" s="52">
        <v>218.37166364904215</v>
      </c>
      <c r="L262" s="39">
        <v>396.60015856622454</v>
      </c>
      <c r="M262" s="39">
        <v>430.92579086946063</v>
      </c>
      <c r="N262" s="52">
        <v>34.325632303236091</v>
      </c>
      <c r="O262" s="39">
        <v>1656.04</v>
      </c>
      <c r="P262" s="39">
        <v>1656.14</v>
      </c>
      <c r="Q262" s="52">
        <v>0.10000000000013642</v>
      </c>
      <c r="R262" s="39">
        <v>331.12</v>
      </c>
      <c r="S262" s="39">
        <v>331.68</v>
      </c>
      <c r="T262" s="52">
        <v>0.56000000000000227</v>
      </c>
      <c r="U262" s="39">
        <v>130.00964065633656</v>
      </c>
      <c r="V262" s="39">
        <v>355.10975497094955</v>
      </c>
      <c r="W262" s="52">
        <v>225.10011431461299</v>
      </c>
      <c r="X262" s="39">
        <v>1302.4649450734105</v>
      </c>
      <c r="Y262" s="39">
        <v>815.89277862690915</v>
      </c>
      <c r="Z262" s="52">
        <v>-486.57216644650134</v>
      </c>
      <c r="AA262" s="39">
        <v>0</v>
      </c>
      <c r="AB262" s="39">
        <v>0</v>
      </c>
      <c r="AC262" s="52">
        <v>0</v>
      </c>
      <c r="AD262" s="39">
        <v>4856.909912180563</v>
      </c>
      <c r="AE262" s="39">
        <v>4075.5125285614918</v>
      </c>
      <c r="AF262" s="35">
        <v>-781.39738361907121</v>
      </c>
      <c r="AG262" s="77">
        <v>11274.831039266322</v>
      </c>
      <c r="AH262" s="53">
        <v>10485.318899467642</v>
      </c>
      <c r="AI262" s="52">
        <v>-789.51213979868044</v>
      </c>
      <c r="AJ262" s="39">
        <v>9601.5110639297945</v>
      </c>
      <c r="AK262" s="39">
        <v>9472.5588719031039</v>
      </c>
      <c r="AL262" s="52">
        <v>-128.95219202669068</v>
      </c>
      <c r="AM262" s="39">
        <v>0</v>
      </c>
      <c r="AN262" s="39">
        <v>0</v>
      </c>
      <c r="AO262" s="52">
        <v>0</v>
      </c>
      <c r="AP262" s="39">
        <v>710.2632321702373</v>
      </c>
      <c r="AQ262" s="39">
        <v>3273.159861543711</v>
      </c>
      <c r="AR262" s="52">
        <v>2562.8966293734738</v>
      </c>
      <c r="AS262" s="39">
        <v>14873.233913691975</v>
      </c>
      <c r="AT262" s="39">
        <v>364.41835128474463</v>
      </c>
      <c r="AU262" s="54">
        <v>-14508.81556240723</v>
      </c>
      <c r="AV262" s="39">
        <v>122.31439675540068</v>
      </c>
      <c r="AW262" s="39">
        <v>336</v>
      </c>
      <c r="AX262" s="55">
        <v>213.68560324459932</v>
      </c>
      <c r="AY262" s="39">
        <v>157.93467598038256</v>
      </c>
      <c r="AZ262" s="39">
        <v>0</v>
      </c>
      <c r="BA262" s="35">
        <v>-157.93467598038256</v>
      </c>
      <c r="BB262" s="39">
        <v>264.37306341340508</v>
      </c>
      <c r="BC262" s="39">
        <v>0</v>
      </c>
      <c r="BD262" s="55">
        <v>-264.37306341340508</v>
      </c>
      <c r="BE262" s="39">
        <v>91.444637194136348</v>
      </c>
      <c r="BF262" s="39">
        <v>0</v>
      </c>
      <c r="BG262" s="38">
        <v>-91.444637194136348</v>
      </c>
      <c r="BH262" s="39">
        <v>39.576741189229679</v>
      </c>
      <c r="BI262" s="39">
        <v>0</v>
      </c>
      <c r="BJ262" s="55">
        <v>-39.576741189229679</v>
      </c>
      <c r="BK262" s="39">
        <v>89.250700815318339</v>
      </c>
      <c r="BL262" s="39">
        <v>2331</v>
      </c>
      <c r="BM262" s="38">
        <v>2241.7492991846816</v>
      </c>
      <c r="BN262" s="39">
        <v>0</v>
      </c>
      <c r="BO262" s="39">
        <v>0</v>
      </c>
      <c r="BP262" s="55">
        <v>0</v>
      </c>
      <c r="BQ262" s="77">
        <v>764.89421534787266</v>
      </c>
      <c r="BR262" s="40">
        <v>2667</v>
      </c>
      <c r="BS262" s="55">
        <v>1902.1057846521273</v>
      </c>
      <c r="BT262" s="39">
        <v>13238.358977585085</v>
      </c>
      <c r="BU262" s="39">
        <v>2884.5914581816651</v>
      </c>
      <c r="BV262" s="52">
        <v>-10353.76751940342</v>
      </c>
      <c r="BW262" s="39">
        <v>8258.2763064508417</v>
      </c>
      <c r="BX262" s="39">
        <v>7988.5917324981019</v>
      </c>
      <c r="BY262" s="52">
        <v>-269.68457395273981</v>
      </c>
      <c r="BZ262" s="39">
        <v>3587.8856162877496</v>
      </c>
      <c r="CA262" s="39">
        <v>13459.909097527896</v>
      </c>
      <c r="CB262" s="52">
        <v>9872.0234812401468</v>
      </c>
      <c r="CC262" s="39">
        <v>394.50526726142641</v>
      </c>
      <c r="CD262" s="39">
        <v>389.20780460023366</v>
      </c>
      <c r="CE262" s="52">
        <v>-5.2974626611927533</v>
      </c>
      <c r="CF262" s="39">
        <v>48.565989340895293</v>
      </c>
      <c r="CG262" s="39">
        <v>0</v>
      </c>
      <c r="CH262" s="52">
        <v>-48.565989340895293</v>
      </c>
      <c r="CI262" s="39">
        <v>3768.461735674683</v>
      </c>
      <c r="CJ262" s="39">
        <v>4417.5628409665433</v>
      </c>
      <c r="CK262" s="52">
        <v>649.10110529186022</v>
      </c>
      <c r="CL262" s="39">
        <v>1590.9896400613316</v>
      </c>
      <c r="CM262" s="39">
        <v>3912.7064520450208</v>
      </c>
      <c r="CN262" s="52">
        <v>2321.7168119836892</v>
      </c>
      <c r="CO262" s="39">
        <v>5359.4513757360146</v>
      </c>
      <c r="CP262" s="40">
        <v>8330.2692930115645</v>
      </c>
      <c r="CQ262" s="52">
        <v>2970.8179172755499</v>
      </c>
      <c r="CR262" s="72">
        <v>68111.776997068213</v>
      </c>
      <c r="CS262" s="5">
        <v>59315.025370018666</v>
      </c>
      <c r="CT262" s="52">
        <v>-8796.7516270495471</v>
      </c>
      <c r="CU262" s="77">
        <v>81734.132396481858</v>
      </c>
      <c r="CV262" s="65">
        <v>71178.030444022399</v>
      </c>
      <c r="CW262" s="35">
        <v>-10556.101952459459</v>
      </c>
      <c r="CX262" s="39">
        <v>653.87305917185483</v>
      </c>
      <c r="CY262" s="39">
        <v>11209.975011631315</v>
      </c>
      <c r="CZ262" s="52">
        <v>10556.101952459461</v>
      </c>
      <c r="DA262" s="150">
        <v>155751.68826959369</v>
      </c>
      <c r="DB262" s="2">
        <v>2</v>
      </c>
      <c r="DC262" s="713">
        <v>59235.71</v>
      </c>
      <c r="DD262" s="714">
        <v>817</v>
      </c>
      <c r="DE262" s="715">
        <v>18450.208377189119</v>
      </c>
      <c r="DF262" s="716">
        <v>479.85</v>
      </c>
      <c r="DG262" s="717">
        <v>38212.834533103101</v>
      </c>
      <c r="DH262" s="718">
        <v>390265.07570304198</v>
      </c>
      <c r="DI262" s="718">
        <v>988656.06546784448</v>
      </c>
      <c r="DJ262" s="693">
        <v>839058.31802664383</v>
      </c>
      <c r="DK262" s="724"/>
      <c r="DL262" s="5"/>
      <c r="DM262" s="306">
        <v>5.0613510014502827</v>
      </c>
      <c r="DN262" s="306">
        <v>6.1907993480077117</v>
      </c>
      <c r="DO262" s="306">
        <v>4.3181934991117972</v>
      </c>
      <c r="DP262" s="719">
        <v>40785.50162281088</v>
      </c>
      <c r="DQ262" s="720">
        <v>337.15</v>
      </c>
      <c r="DR262" s="650">
        <v>41122.651622810881</v>
      </c>
      <c r="DS262" s="94">
        <v>41265.353832842826</v>
      </c>
      <c r="DT262" s="719">
        <v>40790.300000000003</v>
      </c>
      <c r="DU262" s="725">
        <v>408.5</v>
      </c>
      <c r="DV262" s="93">
        <v>41198.800000000003</v>
      </c>
      <c r="DW262" s="95">
        <v>41259.390033744035</v>
      </c>
      <c r="DX262" s="28">
        <v>-60.590033744032553</v>
      </c>
      <c r="EA262" s="5">
        <v>18765.753754847818</v>
      </c>
      <c r="EB262" s="5">
        <v>3637.7020215416937</v>
      </c>
      <c r="EE262" s="722">
        <v>178478.80696430369</v>
      </c>
      <c r="EG262" s="42" t="s">
        <v>391</v>
      </c>
    </row>
    <row r="263" spans="1:137" x14ac:dyDescent="0.3">
      <c r="A263" s="325">
        <v>150000762</v>
      </c>
      <c r="B263" s="41" t="s">
        <v>734</v>
      </c>
      <c r="C263" s="42" t="s">
        <v>392</v>
      </c>
      <c r="D263" s="27">
        <v>9</v>
      </c>
      <c r="E263" s="709">
        <v>2823.8</v>
      </c>
      <c r="F263" s="723">
        <v>2823.8</v>
      </c>
      <c r="G263" s="28">
        <v>312.10000000000002</v>
      </c>
      <c r="H263" s="651">
        <v>0</v>
      </c>
      <c r="I263" s="39">
        <v>1439.446373435276</v>
      </c>
      <c r="J263" s="39">
        <v>1554.9062683026173</v>
      </c>
      <c r="K263" s="52">
        <v>115.45989486734129</v>
      </c>
      <c r="L263" s="39">
        <v>231.19354811519523</v>
      </c>
      <c r="M263" s="39">
        <v>251.20369405571145</v>
      </c>
      <c r="N263" s="52">
        <v>20.010145940516225</v>
      </c>
      <c r="O263" s="39">
        <v>0</v>
      </c>
      <c r="P263" s="39">
        <v>0</v>
      </c>
      <c r="Q263" s="52">
        <v>0</v>
      </c>
      <c r="R263" s="39">
        <v>0</v>
      </c>
      <c r="S263" s="39">
        <v>0</v>
      </c>
      <c r="T263" s="52">
        <v>0</v>
      </c>
      <c r="U263" s="39">
        <v>65.029090713311319</v>
      </c>
      <c r="V263" s="39">
        <v>177.62220963469184</v>
      </c>
      <c r="W263" s="52">
        <v>112.59311892138052</v>
      </c>
      <c r="X263" s="39">
        <v>556.80633545066314</v>
      </c>
      <c r="Y263" s="39">
        <v>313.06365693735427</v>
      </c>
      <c r="Z263" s="52">
        <v>-243.74267851330887</v>
      </c>
      <c r="AA263" s="39">
        <v>0</v>
      </c>
      <c r="AB263" s="39">
        <v>0</v>
      </c>
      <c r="AC263" s="52">
        <v>0</v>
      </c>
      <c r="AD263" s="39">
        <v>2012.3488472435877</v>
      </c>
      <c r="AE263" s="39">
        <v>1688.5948240895887</v>
      </c>
      <c r="AF263" s="35">
        <v>-323.75402315399901</v>
      </c>
      <c r="AG263" s="77">
        <v>4304.8241949580333</v>
      </c>
      <c r="AH263" s="53">
        <v>3985.3906530199633</v>
      </c>
      <c r="AI263" s="52">
        <v>-319.43354193806999</v>
      </c>
      <c r="AJ263" s="39">
        <v>2496.4053549718647</v>
      </c>
      <c r="AK263" s="39">
        <v>2462.8833332078275</v>
      </c>
      <c r="AL263" s="52">
        <v>-33.522021764037163</v>
      </c>
      <c r="AM263" s="39">
        <v>0</v>
      </c>
      <c r="AN263" s="39">
        <v>0</v>
      </c>
      <c r="AO263" s="52">
        <v>0</v>
      </c>
      <c r="AP263" s="39">
        <v>284.10529286809492</v>
      </c>
      <c r="AQ263" s="39">
        <v>0</v>
      </c>
      <c r="AR263" s="52">
        <v>-284.10529286809492</v>
      </c>
      <c r="AS263" s="39">
        <v>6066.251384786151</v>
      </c>
      <c r="AT263" s="39">
        <v>190</v>
      </c>
      <c r="AU263" s="54">
        <v>-5876.251384786151</v>
      </c>
      <c r="AV263" s="39">
        <v>71.122629880379705</v>
      </c>
      <c r="AW263" s="39">
        <v>0</v>
      </c>
      <c r="AX263" s="55">
        <v>-71.122629880379705</v>
      </c>
      <c r="AY263" s="39">
        <v>91.67422397349246</v>
      </c>
      <c r="AZ263" s="39">
        <v>0</v>
      </c>
      <c r="BA263" s="35">
        <v>-91.67422397349246</v>
      </c>
      <c r="BB263" s="39">
        <v>0</v>
      </c>
      <c r="BC263" s="39">
        <v>0</v>
      </c>
      <c r="BD263" s="55">
        <v>0</v>
      </c>
      <c r="BE263" s="39">
        <v>0</v>
      </c>
      <c r="BF263" s="39">
        <v>0</v>
      </c>
      <c r="BG263" s="38">
        <v>0</v>
      </c>
      <c r="BH263" s="39">
        <v>19.78837059461484</v>
      </c>
      <c r="BI263" s="39">
        <v>0</v>
      </c>
      <c r="BJ263" s="55">
        <v>-19.78837059461484</v>
      </c>
      <c r="BK263" s="39">
        <v>47.713523922280622</v>
      </c>
      <c r="BL263" s="39">
        <v>0</v>
      </c>
      <c r="BM263" s="38">
        <v>-47.713523922280622</v>
      </c>
      <c r="BN263" s="39">
        <v>0</v>
      </c>
      <c r="BO263" s="39">
        <v>0</v>
      </c>
      <c r="BP263" s="55">
        <v>0</v>
      </c>
      <c r="BQ263" s="77">
        <v>230.29874837076761</v>
      </c>
      <c r="BR263" s="40">
        <v>0</v>
      </c>
      <c r="BS263" s="55">
        <v>-230.29874837076761</v>
      </c>
      <c r="BT263" s="39">
        <v>6423.5254258936084</v>
      </c>
      <c r="BU263" s="39">
        <v>887.10069370251585</v>
      </c>
      <c r="BV263" s="52">
        <v>-5536.4247321910925</v>
      </c>
      <c r="BW263" s="39">
        <v>3835.3996248189073</v>
      </c>
      <c r="BX263" s="39">
        <v>2825.4313319561597</v>
      </c>
      <c r="BY263" s="52">
        <v>-1009.9682928627476</v>
      </c>
      <c r="BZ263" s="39">
        <v>1986.5373918891155</v>
      </c>
      <c r="CA263" s="39">
        <v>6136.0965157761475</v>
      </c>
      <c r="CB263" s="52">
        <v>4149.559123887032</v>
      </c>
      <c r="CC263" s="39">
        <v>174.24901801562476</v>
      </c>
      <c r="CD263" s="39">
        <v>171.90918191382798</v>
      </c>
      <c r="CE263" s="52">
        <v>-2.3398361017967773</v>
      </c>
      <c r="CF263" s="39">
        <v>21.451110172378048</v>
      </c>
      <c r="CG263" s="39">
        <v>0</v>
      </c>
      <c r="CH263" s="52">
        <v>-21.451110172378048</v>
      </c>
      <c r="CI263" s="39">
        <v>318.19792801226629</v>
      </c>
      <c r="CJ263" s="39">
        <v>507.92239146174097</v>
      </c>
      <c r="CK263" s="52">
        <v>189.72446344947468</v>
      </c>
      <c r="CL263" s="39">
        <v>673.83090637891678</v>
      </c>
      <c r="CM263" s="39">
        <v>746.5243374796396</v>
      </c>
      <c r="CN263" s="52">
        <v>72.693431100722819</v>
      </c>
      <c r="CO263" s="39">
        <v>992.02883439118307</v>
      </c>
      <c r="CP263" s="40">
        <v>1254.4467289413806</v>
      </c>
      <c r="CQ263" s="52">
        <v>262.4178945501975</v>
      </c>
      <c r="CR263" s="72">
        <v>26815.076381135725</v>
      </c>
      <c r="CS263" s="5">
        <v>17913.25843851782</v>
      </c>
      <c r="CT263" s="52">
        <v>-8901.8179426179049</v>
      </c>
      <c r="CU263" s="77">
        <v>32178.091657362867</v>
      </c>
      <c r="CV263" s="65">
        <v>21495.910126221384</v>
      </c>
      <c r="CW263" s="35">
        <v>-10682.181531141483</v>
      </c>
      <c r="CX263" s="39">
        <v>804.45229143407175</v>
      </c>
      <c r="CY263" s="39">
        <v>11486.633822575555</v>
      </c>
      <c r="CZ263" s="52">
        <v>10682.181531141483</v>
      </c>
      <c r="DA263" s="150">
        <v>-28912.550156905876</v>
      </c>
      <c r="DB263" s="2">
        <v>2</v>
      </c>
      <c r="DC263" s="713">
        <v>24240.39</v>
      </c>
      <c r="DD263" s="714"/>
      <c r="DE263" s="715">
        <v>7749.1180256015286</v>
      </c>
      <c r="DF263" s="716">
        <v>0</v>
      </c>
      <c r="DG263" s="717">
        <v>22378.704082453598</v>
      </c>
      <c r="DH263" s="718">
        <v>158731.44360529489</v>
      </c>
      <c r="DI263" s="718">
        <v>395790.5273855633</v>
      </c>
      <c r="DJ263" s="693">
        <v>336525.75644049619</v>
      </c>
      <c r="DK263" s="724"/>
      <c r="DL263" s="5"/>
      <c r="DM263" s="306">
        <v>5.149648230635222</v>
      </c>
      <c r="DN263" s="306">
        <v>5.9258935229594369</v>
      </c>
      <c r="DO263" s="306">
        <v>4.3143303011559286</v>
      </c>
      <c r="DP263" s="719">
        <v>16491.271974398471</v>
      </c>
      <c r="DQ263" s="720">
        <v>0</v>
      </c>
      <c r="DR263" s="650">
        <v>16491.271974398471</v>
      </c>
      <c r="DS263" s="94">
        <v>16491.271974398471</v>
      </c>
      <c r="DT263" s="719">
        <v>16491.86</v>
      </c>
      <c r="DU263" s="721"/>
      <c r="DV263" s="93">
        <v>16491.86</v>
      </c>
      <c r="DW263" s="95">
        <v>16571.717203541877</v>
      </c>
      <c r="DX263" s="28">
        <v>-79.857203541876515</v>
      </c>
      <c r="EA263" s="5">
        <v>7555.8601597883016</v>
      </c>
      <c r="EB263" s="5">
        <v>228</v>
      </c>
      <c r="EE263" s="722">
        <v>72795.016617433808</v>
      </c>
      <c r="EG263" s="42" t="s">
        <v>392</v>
      </c>
    </row>
    <row r="264" spans="1:137" x14ac:dyDescent="0.3">
      <c r="A264" s="325">
        <v>150000736</v>
      </c>
      <c r="B264" s="41" t="s">
        <v>737</v>
      </c>
      <c r="C264" s="42" t="s">
        <v>220</v>
      </c>
      <c r="D264" s="27">
        <v>4</v>
      </c>
      <c r="E264" s="709">
        <v>2846.8999999999996</v>
      </c>
      <c r="F264" s="723">
        <v>2653.7</v>
      </c>
      <c r="G264" s="28"/>
      <c r="H264" s="651">
        <v>193.2</v>
      </c>
      <c r="I264" s="39">
        <v>1502.5186096054649</v>
      </c>
      <c r="J264" s="39">
        <v>1623.3834015920556</v>
      </c>
      <c r="K264" s="52">
        <v>120.86479198659072</v>
      </c>
      <c r="L264" s="39">
        <v>304.97030261980154</v>
      </c>
      <c r="M264" s="39">
        <v>331.36596502570802</v>
      </c>
      <c r="N264" s="52">
        <v>26.395662405906478</v>
      </c>
      <c r="O264" s="39">
        <v>652.78</v>
      </c>
      <c r="P264" s="39">
        <v>652.78</v>
      </c>
      <c r="Q264" s="52">
        <v>0</v>
      </c>
      <c r="R264" s="39">
        <v>0</v>
      </c>
      <c r="S264" s="39">
        <v>0</v>
      </c>
      <c r="T264" s="52">
        <v>0</v>
      </c>
      <c r="U264" s="39">
        <v>0</v>
      </c>
      <c r="V264" s="39">
        <v>0</v>
      </c>
      <c r="W264" s="52">
        <v>0</v>
      </c>
      <c r="X264" s="39">
        <v>1149.8122135358485</v>
      </c>
      <c r="Y264" s="39">
        <v>1026.9092987724778</v>
      </c>
      <c r="Z264" s="52">
        <v>-122.90291476337075</v>
      </c>
      <c r="AA264" s="39">
        <v>0</v>
      </c>
      <c r="AB264" s="39">
        <v>0</v>
      </c>
      <c r="AC264" s="52">
        <v>0</v>
      </c>
      <c r="AD264" s="39">
        <v>2028.8107986464227</v>
      </c>
      <c r="AE264" s="39">
        <v>1702.4083167011293</v>
      </c>
      <c r="AF264" s="35">
        <v>-326.4024819452934</v>
      </c>
      <c r="AG264" s="77">
        <v>5638.8919244075378</v>
      </c>
      <c r="AH264" s="53">
        <v>5336.8469820913706</v>
      </c>
      <c r="AI264" s="52">
        <v>-302.04494231616718</v>
      </c>
      <c r="AJ264" s="39">
        <v>0</v>
      </c>
      <c r="AK264" s="39">
        <v>0</v>
      </c>
      <c r="AL264" s="52">
        <v>0</v>
      </c>
      <c r="AM264" s="39">
        <v>0</v>
      </c>
      <c r="AN264" s="39">
        <v>0</v>
      </c>
      <c r="AO264" s="52">
        <v>0</v>
      </c>
      <c r="AP264" s="39">
        <v>1491.5527875574985</v>
      </c>
      <c r="AQ264" s="39">
        <v>3717.3744141817861</v>
      </c>
      <c r="AR264" s="52">
        <v>2225.8216266242875</v>
      </c>
      <c r="AS264" s="39">
        <v>5769.3295467474818</v>
      </c>
      <c r="AT264" s="39">
        <v>759</v>
      </c>
      <c r="AU264" s="54">
        <v>-5010.3295467474818</v>
      </c>
      <c r="AV264" s="39">
        <v>228.12681019305984</v>
      </c>
      <c r="AW264" s="39">
        <v>933</v>
      </c>
      <c r="AX264" s="55">
        <v>704.87318980694022</v>
      </c>
      <c r="AY264" s="39">
        <v>393.03969537771724</v>
      </c>
      <c r="AZ264" s="39">
        <v>0</v>
      </c>
      <c r="BA264" s="35">
        <v>-393.03969537771724</v>
      </c>
      <c r="BB264" s="39">
        <v>367.83331737600776</v>
      </c>
      <c r="BC264" s="39">
        <v>0</v>
      </c>
      <c r="BD264" s="55">
        <v>-367.83331737600776</v>
      </c>
      <c r="BE264" s="39">
        <v>0</v>
      </c>
      <c r="BF264" s="39">
        <v>0</v>
      </c>
      <c r="BG264" s="38">
        <v>0</v>
      </c>
      <c r="BH264" s="39">
        <v>0</v>
      </c>
      <c r="BI264" s="39">
        <v>0</v>
      </c>
      <c r="BJ264" s="55">
        <v>0</v>
      </c>
      <c r="BK264" s="39">
        <v>159.1131641582902</v>
      </c>
      <c r="BL264" s="39">
        <v>1421</v>
      </c>
      <c r="BM264" s="38">
        <v>1261.8868358417099</v>
      </c>
      <c r="BN264" s="39">
        <v>0</v>
      </c>
      <c r="BO264" s="39">
        <v>0</v>
      </c>
      <c r="BP264" s="55">
        <v>0</v>
      </c>
      <c r="BQ264" s="77">
        <v>1148.112987105075</v>
      </c>
      <c r="BR264" s="40">
        <v>2354</v>
      </c>
      <c r="BS264" s="55">
        <v>1205.887012894925</v>
      </c>
      <c r="BT264" s="39">
        <v>2718.1677486991421</v>
      </c>
      <c r="BU264" s="39">
        <v>848.20766990748541</v>
      </c>
      <c r="BV264" s="52">
        <v>-1869.9600787916565</v>
      </c>
      <c r="BW264" s="39">
        <v>3193.6257175959154</v>
      </c>
      <c r="BX264" s="39">
        <v>2754.1674427852117</v>
      </c>
      <c r="BY264" s="52">
        <v>-439.45827481070364</v>
      </c>
      <c r="BZ264" s="39">
        <v>1446.4846694309438</v>
      </c>
      <c r="CA264" s="39">
        <v>3690.6809534470722</v>
      </c>
      <c r="CB264" s="52">
        <v>2244.1962840161286</v>
      </c>
      <c r="CC264" s="39">
        <v>99.759952640820472</v>
      </c>
      <c r="CD264" s="39">
        <v>98.420364381668307</v>
      </c>
      <c r="CE264" s="52">
        <v>-1.3395882591521655</v>
      </c>
      <c r="CF264" s="39">
        <v>12.281054775858582</v>
      </c>
      <c r="CG264" s="39">
        <v>0</v>
      </c>
      <c r="CH264" s="52">
        <v>-12.281054775858582</v>
      </c>
      <c r="CI264" s="39">
        <v>489.77524213652754</v>
      </c>
      <c r="CJ264" s="39">
        <v>781.97194541878264</v>
      </c>
      <c r="CK264" s="52">
        <v>292.1967032822551</v>
      </c>
      <c r="CL264" s="39">
        <v>0</v>
      </c>
      <c r="CM264" s="39">
        <v>0</v>
      </c>
      <c r="CN264" s="52">
        <v>0</v>
      </c>
      <c r="CO264" s="39">
        <v>489.77524213652754</v>
      </c>
      <c r="CP264" s="40">
        <v>781.97194541878264</v>
      </c>
      <c r="CQ264" s="52">
        <v>292.1967032822551</v>
      </c>
      <c r="CR264" s="72">
        <v>22007.981631096798</v>
      </c>
      <c r="CS264" s="5">
        <v>20340.669772213379</v>
      </c>
      <c r="CT264" s="52">
        <v>-1667.3118588834186</v>
      </c>
      <c r="CU264" s="77">
        <v>26409.577957316156</v>
      </c>
      <c r="CV264" s="65">
        <v>24408.803726656053</v>
      </c>
      <c r="CW264" s="35">
        <v>-2000.7742306601031</v>
      </c>
      <c r="CX264" s="39">
        <v>660.239448932904</v>
      </c>
      <c r="CY264" s="39">
        <v>2661.0136795930066</v>
      </c>
      <c r="CZ264" s="52">
        <v>2000.7742306601026</v>
      </c>
      <c r="DA264" s="150">
        <v>72801.809172889567</v>
      </c>
      <c r="DB264" s="2">
        <v>2</v>
      </c>
      <c r="DC264" s="713">
        <v>19217.46</v>
      </c>
      <c r="DD264" s="714">
        <v>2407.8000000000002</v>
      </c>
      <c r="DE264" s="715">
        <v>6467.7858119375869</v>
      </c>
      <c r="DF264" s="716">
        <v>1622.5654849378807</v>
      </c>
      <c r="DG264" s="717">
        <v>-22881.500736182821</v>
      </c>
      <c r="DH264" s="718">
        <v>131203.96202037204</v>
      </c>
      <c r="DI264" s="718">
        <v>324837.80887498875</v>
      </c>
      <c r="DJ264" s="693">
        <v>276429.34716133459</v>
      </c>
      <c r="DK264" s="724"/>
      <c r="DL264" s="5"/>
      <c r="DM264" s="306">
        <v>4.804489651453598</v>
      </c>
      <c r="DN264" s="306"/>
      <c r="DO264" s="306">
        <v>4.0643608440068304</v>
      </c>
      <c r="DP264" s="719">
        <v>12749.674188062412</v>
      </c>
      <c r="DQ264" s="720">
        <v>785.23451506211961</v>
      </c>
      <c r="DR264" s="650">
        <v>13534.908703124533</v>
      </c>
      <c r="DS264" s="94">
        <v>13534.908703124529</v>
      </c>
      <c r="DT264" s="719">
        <v>12748.24</v>
      </c>
      <c r="DU264" s="725">
        <v>785.25</v>
      </c>
      <c r="DV264" s="93">
        <v>13533.49</v>
      </c>
      <c r="DW264" s="95">
        <v>13600.932648017824</v>
      </c>
      <c r="DX264" s="28">
        <v>-67.442648017824467</v>
      </c>
      <c r="EA264" s="5">
        <v>8300.9310406230688</v>
      </c>
      <c r="EB264" s="5">
        <v>3735.6</v>
      </c>
      <c r="EE264" s="722">
        <v>69231.954560969782</v>
      </c>
      <c r="EG264" s="42" t="s">
        <v>220</v>
      </c>
    </row>
    <row r="265" spans="1:137" x14ac:dyDescent="0.3">
      <c r="A265" s="325">
        <v>150000743</v>
      </c>
      <c r="B265" s="41" t="s">
        <v>738</v>
      </c>
      <c r="C265" s="42" t="s">
        <v>221</v>
      </c>
      <c r="D265" s="27">
        <v>4</v>
      </c>
      <c r="E265" s="709">
        <v>2296.6999999999998</v>
      </c>
      <c r="F265" s="723">
        <v>1773.9</v>
      </c>
      <c r="G265" s="28"/>
      <c r="H265" s="651">
        <v>522.79999999999995</v>
      </c>
      <c r="I265" s="39">
        <v>1294.4919141352987</v>
      </c>
      <c r="J265" s="39">
        <v>1392.8178280611914</v>
      </c>
      <c r="K265" s="52">
        <v>98.325913925892792</v>
      </c>
      <c r="L265" s="39">
        <v>228.18567069470174</v>
      </c>
      <c r="M265" s="39">
        <v>247.93504530626637</v>
      </c>
      <c r="N265" s="52">
        <v>19.749374611564633</v>
      </c>
      <c r="O265" s="39">
        <v>474.32</v>
      </c>
      <c r="P265" s="39">
        <v>474.32</v>
      </c>
      <c r="Q265" s="52">
        <v>0</v>
      </c>
      <c r="R265" s="39">
        <v>0</v>
      </c>
      <c r="S265" s="39">
        <v>0</v>
      </c>
      <c r="T265" s="52">
        <v>0</v>
      </c>
      <c r="U265" s="39">
        <v>0</v>
      </c>
      <c r="V265" s="39">
        <v>0</v>
      </c>
      <c r="W265" s="52">
        <v>0</v>
      </c>
      <c r="X265" s="39">
        <v>768.55189986748701</v>
      </c>
      <c r="Y265" s="39">
        <v>468.19339914975194</v>
      </c>
      <c r="Z265" s="52">
        <v>-300.35850071773507</v>
      </c>
      <c r="AA265" s="39">
        <v>0</v>
      </c>
      <c r="AB265" s="39">
        <v>0</v>
      </c>
      <c r="AC265" s="52">
        <v>0</v>
      </c>
      <c r="AD265" s="39">
        <v>1636.7170470516137</v>
      </c>
      <c r="AE265" s="39">
        <v>1373.3960381353345</v>
      </c>
      <c r="AF265" s="35">
        <v>-263.3210089162792</v>
      </c>
      <c r="AG265" s="77">
        <v>4402.266531749101</v>
      </c>
      <c r="AH265" s="53">
        <v>3956.662310652544</v>
      </c>
      <c r="AI265" s="52">
        <v>-445.60422109655701</v>
      </c>
      <c r="AJ265" s="39">
        <v>0</v>
      </c>
      <c r="AK265" s="39">
        <v>0</v>
      </c>
      <c r="AL265" s="52">
        <v>0</v>
      </c>
      <c r="AM265" s="39">
        <v>0</v>
      </c>
      <c r="AN265" s="39">
        <v>0</v>
      </c>
      <c r="AO265" s="52">
        <v>0</v>
      </c>
      <c r="AP265" s="39">
        <v>1018.0439661106735</v>
      </c>
      <c r="AQ265" s="39">
        <v>2735.426455718673</v>
      </c>
      <c r="AR265" s="52">
        <v>1717.3824896079996</v>
      </c>
      <c r="AS265" s="39">
        <v>4093.7792772436806</v>
      </c>
      <c r="AT265" s="39">
        <v>7733.7133677832016</v>
      </c>
      <c r="AU265" s="54">
        <v>3639.9340905395211</v>
      </c>
      <c r="AV265" s="39">
        <v>209.63946651249057</v>
      </c>
      <c r="AW265" s="39">
        <v>0</v>
      </c>
      <c r="AX265" s="55">
        <v>-209.63946651249057</v>
      </c>
      <c r="AY265" s="39">
        <v>294.13871636705994</v>
      </c>
      <c r="AZ265" s="39">
        <v>0</v>
      </c>
      <c r="BA265" s="35">
        <v>-294.13871636705994</v>
      </c>
      <c r="BB265" s="39">
        <v>215.11532239040895</v>
      </c>
      <c r="BC265" s="39">
        <v>0</v>
      </c>
      <c r="BD265" s="55">
        <v>-215.11532239040895</v>
      </c>
      <c r="BE265" s="39">
        <v>0</v>
      </c>
      <c r="BF265" s="39">
        <v>0</v>
      </c>
      <c r="BG265" s="38">
        <v>0</v>
      </c>
      <c r="BH265" s="39">
        <v>0</v>
      </c>
      <c r="BI265" s="39">
        <v>0</v>
      </c>
      <c r="BJ265" s="55">
        <v>0</v>
      </c>
      <c r="BK265" s="39">
        <v>103.19210586326328</v>
      </c>
      <c r="BL265" s="39">
        <v>0</v>
      </c>
      <c r="BM265" s="38">
        <v>-103.19210586326328</v>
      </c>
      <c r="BN265" s="39">
        <v>0</v>
      </c>
      <c r="BO265" s="39">
        <v>0</v>
      </c>
      <c r="BP265" s="55">
        <v>0</v>
      </c>
      <c r="BQ265" s="77">
        <v>822.08561113322264</v>
      </c>
      <c r="BR265" s="40">
        <v>0</v>
      </c>
      <c r="BS265" s="55">
        <v>-822.08561113322264</v>
      </c>
      <c r="BT265" s="39">
        <v>1979.4414983963732</v>
      </c>
      <c r="BU265" s="39">
        <v>699.62979951828208</v>
      </c>
      <c r="BV265" s="52">
        <v>-1279.8116988780912</v>
      </c>
      <c r="BW265" s="39">
        <v>1940.9362467393446</v>
      </c>
      <c r="BX265" s="39">
        <v>1686.0471406816644</v>
      </c>
      <c r="BY265" s="52">
        <v>-254.88910605768024</v>
      </c>
      <c r="BZ265" s="39">
        <v>1286.6788681919518</v>
      </c>
      <c r="CA265" s="39">
        <v>3031.4551033853877</v>
      </c>
      <c r="CB265" s="52">
        <v>1744.7762351934359</v>
      </c>
      <c r="CC265" s="39">
        <v>274.81783513731676</v>
      </c>
      <c r="CD265" s="39">
        <v>271.12754924994226</v>
      </c>
      <c r="CE265" s="52">
        <v>-3.6902858873745004</v>
      </c>
      <c r="CF265" s="39">
        <v>33.831741068040884</v>
      </c>
      <c r="CG265" s="39">
        <v>0</v>
      </c>
      <c r="CH265" s="52">
        <v>-33.831741068040884</v>
      </c>
      <c r="CI265" s="39">
        <v>74.870100708768533</v>
      </c>
      <c r="CJ265" s="39">
        <v>115.44142559768645</v>
      </c>
      <c r="CK265" s="52">
        <v>40.571324888917914</v>
      </c>
      <c r="CL265" s="39">
        <v>0</v>
      </c>
      <c r="CM265" s="39">
        <v>0</v>
      </c>
      <c r="CN265" s="52">
        <v>0</v>
      </c>
      <c r="CO265" s="39">
        <v>74.870100708768533</v>
      </c>
      <c r="CP265" s="40">
        <v>115.44142559768645</v>
      </c>
      <c r="CQ265" s="52">
        <v>40.571324888917914</v>
      </c>
      <c r="CR265" s="72">
        <v>15926.751676478474</v>
      </c>
      <c r="CS265" s="5">
        <v>20229.503152587378</v>
      </c>
      <c r="CT265" s="52">
        <v>4302.7514761089042</v>
      </c>
      <c r="CU265" s="77">
        <v>19112.102011774168</v>
      </c>
      <c r="CV265" s="65">
        <v>24275.403783104852</v>
      </c>
      <c r="CW265" s="35">
        <v>5163.3017713306836</v>
      </c>
      <c r="CX265" s="39">
        <v>477.80255029435421</v>
      </c>
      <c r="CY265" s="39">
        <v>-4685.4992210363353</v>
      </c>
      <c r="CZ265" s="52">
        <v>-5163.301771330689</v>
      </c>
      <c r="DA265" s="150">
        <v>13001.970118419311</v>
      </c>
      <c r="DB265" s="2">
        <v>2</v>
      </c>
      <c r="DC265" s="713">
        <v>35339.39</v>
      </c>
      <c r="DD265" s="714">
        <v>3661.91</v>
      </c>
      <c r="DE265" s="715">
        <v>27502.354446705795</v>
      </c>
      <c r="DF265" s="716">
        <v>1703.9932722599451</v>
      </c>
      <c r="DG265" s="717">
        <v>52472.556944864373</v>
      </c>
      <c r="DH265" s="718">
        <v>94687.823541286096</v>
      </c>
      <c r="DI265" s="718">
        <v>235078.85474482225</v>
      </c>
      <c r="DJ265" s="693">
        <v>199981.0969439382</v>
      </c>
      <c r="DK265" s="724"/>
      <c r="DL265" s="5"/>
      <c r="DM265" s="306">
        <v>4.4179691940324739</v>
      </c>
      <c r="DN265" s="306"/>
      <c r="DO265" s="306">
        <v>3.7450587753252771</v>
      </c>
      <c r="DP265" s="719">
        <v>7837.0355532942058</v>
      </c>
      <c r="DQ265" s="720">
        <v>1957.9167277400547</v>
      </c>
      <c r="DR265" s="650">
        <v>9794.9522810342605</v>
      </c>
      <c r="DS265" s="94">
        <v>9794.9522810342605</v>
      </c>
      <c r="DT265" s="719">
        <v>7837.07</v>
      </c>
      <c r="DU265" s="725">
        <v>1957.9400000000003</v>
      </c>
      <c r="DV265" s="93">
        <v>9795.01</v>
      </c>
      <c r="DW265" s="95">
        <v>9842.7325360636951</v>
      </c>
      <c r="DX265" s="28">
        <v>-47.722536063694861</v>
      </c>
      <c r="EA265" s="5">
        <v>5899.0378660522829</v>
      </c>
      <c r="EB265" s="5">
        <v>9280.4560413398412</v>
      </c>
      <c r="EE265" s="722">
        <v>49125.351326924167</v>
      </c>
      <c r="EG265" s="42" t="s">
        <v>221</v>
      </c>
    </row>
    <row r="266" spans="1:137" x14ac:dyDescent="0.3">
      <c r="A266" s="325">
        <v>150000737</v>
      </c>
      <c r="B266" s="41" t="s">
        <v>739</v>
      </c>
      <c r="C266" s="42" t="s">
        <v>222</v>
      </c>
      <c r="D266" s="27">
        <v>4</v>
      </c>
      <c r="E266" s="709">
        <v>2573.1</v>
      </c>
      <c r="F266" s="723">
        <v>2311.4</v>
      </c>
      <c r="G266" s="28"/>
      <c r="H266" s="651">
        <v>261.7</v>
      </c>
      <c r="I266" s="39">
        <v>1677.3271461910476</v>
      </c>
      <c r="J266" s="39">
        <v>1802.8950053039262</v>
      </c>
      <c r="K266" s="52">
        <v>125.56785911287852</v>
      </c>
      <c r="L266" s="39">
        <v>302.20913189258357</v>
      </c>
      <c r="M266" s="39">
        <v>328.36523830490603</v>
      </c>
      <c r="N266" s="52">
        <v>26.156106412322458</v>
      </c>
      <c r="O266" s="39">
        <v>689.2</v>
      </c>
      <c r="P266" s="39">
        <v>689.2</v>
      </c>
      <c r="Q266" s="52">
        <v>0</v>
      </c>
      <c r="R266" s="39">
        <v>0</v>
      </c>
      <c r="S266" s="39">
        <v>0</v>
      </c>
      <c r="T266" s="52">
        <v>0</v>
      </c>
      <c r="U266" s="39">
        <v>0</v>
      </c>
      <c r="V266" s="39">
        <v>0</v>
      </c>
      <c r="W266" s="52">
        <v>0</v>
      </c>
      <c r="X266" s="39">
        <v>1126.6784905085808</v>
      </c>
      <c r="Y266" s="39">
        <v>700.10505252059465</v>
      </c>
      <c r="Z266" s="52">
        <v>-426.57343798798615</v>
      </c>
      <c r="AA266" s="39">
        <v>0</v>
      </c>
      <c r="AB266" s="39">
        <v>0</v>
      </c>
      <c r="AC266" s="52">
        <v>0</v>
      </c>
      <c r="AD266" s="39">
        <v>1833.690353014546</v>
      </c>
      <c r="AE266" s="39">
        <v>1538.6795601193144</v>
      </c>
      <c r="AF266" s="35">
        <v>-295.01079289523159</v>
      </c>
      <c r="AG266" s="77">
        <v>5629.1051216067572</v>
      </c>
      <c r="AH266" s="53">
        <v>5059.2448562487416</v>
      </c>
      <c r="AI266" s="52">
        <v>-569.86026535801557</v>
      </c>
      <c r="AJ266" s="39">
        <v>0</v>
      </c>
      <c r="AK266" s="39">
        <v>0</v>
      </c>
      <c r="AL266" s="52">
        <v>0</v>
      </c>
      <c r="AM266" s="39">
        <v>0</v>
      </c>
      <c r="AN266" s="39">
        <v>0</v>
      </c>
      <c r="AO266" s="52">
        <v>0</v>
      </c>
      <c r="AP266" s="39">
        <v>1373.1755821957922</v>
      </c>
      <c r="AQ266" s="39">
        <v>0</v>
      </c>
      <c r="AR266" s="52">
        <v>-1373.1755821957922</v>
      </c>
      <c r="AS266" s="39">
        <v>6476.2261206265648</v>
      </c>
      <c r="AT266" s="39">
        <v>759</v>
      </c>
      <c r="AU266" s="54">
        <v>-5717.2261206265648</v>
      </c>
      <c r="AV266" s="39">
        <v>271.83156836932346</v>
      </c>
      <c r="AW266" s="39">
        <v>1380</v>
      </c>
      <c r="AX266" s="55">
        <v>1108.1684316306764</v>
      </c>
      <c r="AY266" s="39">
        <v>389.54356874959132</v>
      </c>
      <c r="AZ266" s="39">
        <v>0</v>
      </c>
      <c r="BA266" s="35">
        <v>-389.54356874959132</v>
      </c>
      <c r="BB266" s="39">
        <v>239.64210531342968</v>
      </c>
      <c r="BC266" s="39">
        <v>0</v>
      </c>
      <c r="BD266" s="55">
        <v>-239.64210531342968</v>
      </c>
      <c r="BE266" s="39">
        <v>0</v>
      </c>
      <c r="BF266" s="39">
        <v>0</v>
      </c>
      <c r="BG266" s="38">
        <v>0</v>
      </c>
      <c r="BH266" s="39">
        <v>0</v>
      </c>
      <c r="BI266" s="39">
        <v>0</v>
      </c>
      <c r="BJ266" s="55">
        <v>0</v>
      </c>
      <c r="BK266" s="39">
        <v>155.62201221057634</v>
      </c>
      <c r="BL266" s="39">
        <v>0</v>
      </c>
      <c r="BM266" s="38">
        <v>-155.62201221057634</v>
      </c>
      <c r="BN266" s="39">
        <v>0</v>
      </c>
      <c r="BO266" s="39">
        <v>0</v>
      </c>
      <c r="BP266" s="55">
        <v>0</v>
      </c>
      <c r="BQ266" s="77">
        <v>1056.6392546429208</v>
      </c>
      <c r="BR266" s="40">
        <v>1380</v>
      </c>
      <c r="BS266" s="55">
        <v>323.36074535707917</v>
      </c>
      <c r="BT266" s="39">
        <v>2260.8172763639477</v>
      </c>
      <c r="BU266" s="39">
        <v>349.05187059421201</v>
      </c>
      <c r="BV266" s="52">
        <v>-1911.7654057697357</v>
      </c>
      <c r="BW266" s="39">
        <v>2444.4507972912147</v>
      </c>
      <c r="BX266" s="39">
        <v>1052.0684835325642</v>
      </c>
      <c r="BY266" s="52">
        <v>-1392.3823137586505</v>
      </c>
      <c r="BZ266" s="39">
        <v>1217.1023562062742</v>
      </c>
      <c r="CA266" s="39">
        <v>1483.1668271778367</v>
      </c>
      <c r="CB266" s="52">
        <v>266.06447097156251</v>
      </c>
      <c r="CC266" s="39">
        <v>163.29258095654694</v>
      </c>
      <c r="CD266" s="39">
        <v>161.09986916724185</v>
      </c>
      <c r="CE266" s="52">
        <v>-2.1927117893050934</v>
      </c>
      <c r="CF266" s="39">
        <v>20.102306367756725</v>
      </c>
      <c r="CG266" s="39">
        <v>0</v>
      </c>
      <c r="CH266" s="52">
        <v>-20.102306367756725</v>
      </c>
      <c r="CI266" s="39">
        <v>670.71131884938472</v>
      </c>
      <c r="CJ266" s="39">
        <v>748.05880060034269</v>
      </c>
      <c r="CK266" s="52">
        <v>77.347481750957968</v>
      </c>
      <c r="CL266" s="39">
        <v>0</v>
      </c>
      <c r="CM266" s="39">
        <v>0</v>
      </c>
      <c r="CN266" s="52">
        <v>0</v>
      </c>
      <c r="CO266" s="39">
        <v>670.71131884938472</v>
      </c>
      <c r="CP266" s="40">
        <v>748.05880060034269</v>
      </c>
      <c r="CQ266" s="52">
        <v>77.347481750957968</v>
      </c>
      <c r="CR266" s="72">
        <v>21311.622715107158</v>
      </c>
      <c r="CS266" s="5">
        <v>10991.690707320937</v>
      </c>
      <c r="CT266" s="52">
        <v>-10319.932007786221</v>
      </c>
      <c r="CU266" s="77">
        <v>25573.947258128588</v>
      </c>
      <c r="CV266" s="65">
        <v>13190.028848785123</v>
      </c>
      <c r="CW266" s="35">
        <v>-12383.918409343465</v>
      </c>
      <c r="CX266" s="39">
        <v>383.60920887192879</v>
      </c>
      <c r="CY266" s="39">
        <v>12767.527618215394</v>
      </c>
      <c r="CZ266" s="52">
        <v>12383.918409343465</v>
      </c>
      <c r="DA266" s="150">
        <v>-44701.189386579026</v>
      </c>
      <c r="DB266" s="2">
        <v>2</v>
      </c>
      <c r="DC266" s="713">
        <v>45704.74</v>
      </c>
      <c r="DD266" s="714">
        <v>1566.02</v>
      </c>
      <c r="DE266" s="715">
        <v>33894.575961266164</v>
      </c>
      <c r="DF266" s="716">
        <v>397.4058052335738</v>
      </c>
      <c r="DG266" s="717">
        <v>8593.6641475588694</v>
      </c>
      <c r="DH266" s="718">
        <v>125740.88824750006</v>
      </c>
      <c r="DI266" s="718">
        <v>311490.67760400625</v>
      </c>
      <c r="DJ266" s="693">
        <v>265053.2302648797</v>
      </c>
      <c r="DK266" s="724"/>
      <c r="DL266" s="5"/>
      <c r="DM266" s="306">
        <v>5.1095284410893109</v>
      </c>
      <c r="DN266" s="306"/>
      <c r="DO266" s="306">
        <v>4.4654726586412927</v>
      </c>
      <c r="DP266" s="719">
        <v>11810.164038733834</v>
      </c>
      <c r="DQ266" s="720">
        <v>1168.6141947664262</v>
      </c>
      <c r="DR266" s="650">
        <v>12978.778233500259</v>
      </c>
      <c r="DS266" s="94">
        <v>12978.778233500259</v>
      </c>
      <c r="DT266" s="719">
        <v>11808.57</v>
      </c>
      <c r="DU266" s="725">
        <v>1168.6300000000001</v>
      </c>
      <c r="DV266" s="93">
        <v>12977.2</v>
      </c>
      <c r="DW266" s="95">
        <v>13017.139154387452</v>
      </c>
      <c r="DX266" s="28">
        <v>-39.939154387451708</v>
      </c>
      <c r="EA266" s="5">
        <v>9039.4384503233814</v>
      </c>
      <c r="EB266" s="5">
        <v>2566.7999999999997</v>
      </c>
      <c r="EE266" s="722">
        <v>77714.713447518778</v>
      </c>
      <c r="EG266" s="42" t="s">
        <v>222</v>
      </c>
    </row>
    <row r="267" spans="1:137" x14ac:dyDescent="0.3">
      <c r="A267" s="325">
        <v>150000738</v>
      </c>
      <c r="B267" s="41" t="s">
        <v>740</v>
      </c>
      <c r="C267" s="42" t="s">
        <v>290</v>
      </c>
      <c r="D267" s="27">
        <v>5</v>
      </c>
      <c r="E267" s="709">
        <v>3567.9</v>
      </c>
      <c r="F267" s="723">
        <v>3567.9</v>
      </c>
      <c r="G267" s="28"/>
      <c r="H267" s="651">
        <v>0</v>
      </c>
      <c r="I267" s="39">
        <v>2035.037297251921</v>
      </c>
      <c r="J267" s="39">
        <v>2191.6803955658465</v>
      </c>
      <c r="K267" s="52">
        <v>156.64309831392552</v>
      </c>
      <c r="L267" s="39">
        <v>345.31073553833897</v>
      </c>
      <c r="M267" s="39">
        <v>375.19800891170888</v>
      </c>
      <c r="N267" s="52">
        <v>29.887273373369908</v>
      </c>
      <c r="O267" s="39">
        <v>870.36</v>
      </c>
      <c r="P267" s="39">
        <v>870.36</v>
      </c>
      <c r="Q267" s="52">
        <v>0</v>
      </c>
      <c r="R267" s="39">
        <v>0</v>
      </c>
      <c r="S267" s="39">
        <v>0</v>
      </c>
      <c r="T267" s="52">
        <v>0</v>
      </c>
      <c r="U267" s="39">
        <v>0</v>
      </c>
      <c r="V267" s="39">
        <v>0</v>
      </c>
      <c r="W267" s="52">
        <v>0</v>
      </c>
      <c r="X267" s="39">
        <v>1271.5458962357698</v>
      </c>
      <c r="Y267" s="39">
        <v>794.46151476914656</v>
      </c>
      <c r="Z267" s="52">
        <v>-477.0843814666232</v>
      </c>
      <c r="AA267" s="39">
        <v>0</v>
      </c>
      <c r="AB267" s="39">
        <v>0</v>
      </c>
      <c r="AC267" s="52">
        <v>0</v>
      </c>
      <c r="AD267" s="39">
        <v>2542.6232212197733</v>
      </c>
      <c r="AE267" s="39">
        <v>2133.5567224552879</v>
      </c>
      <c r="AF267" s="35">
        <v>-409.06649876448546</v>
      </c>
      <c r="AG267" s="77">
        <v>7064.8771502458039</v>
      </c>
      <c r="AH267" s="53">
        <v>6365.2566417019898</v>
      </c>
      <c r="AI267" s="52">
        <v>-699.62050854381414</v>
      </c>
      <c r="AJ267" s="39">
        <v>0</v>
      </c>
      <c r="AK267" s="39">
        <v>0</v>
      </c>
      <c r="AL267" s="52">
        <v>0</v>
      </c>
      <c r="AM267" s="39">
        <v>0</v>
      </c>
      <c r="AN267" s="39">
        <v>0</v>
      </c>
      <c r="AO267" s="52">
        <v>0</v>
      </c>
      <c r="AP267" s="39">
        <v>1894.0352857872995</v>
      </c>
      <c r="AQ267" s="39">
        <v>4769.461512535122</v>
      </c>
      <c r="AR267" s="52">
        <v>2875.4262267478225</v>
      </c>
      <c r="AS267" s="39">
        <v>9562.4065541049185</v>
      </c>
      <c r="AT267" s="39">
        <v>7546</v>
      </c>
      <c r="AU267" s="54">
        <v>-2016.4065541049185</v>
      </c>
      <c r="AV267" s="39">
        <v>323.5364997196728</v>
      </c>
      <c r="AW267" s="39">
        <v>0</v>
      </c>
      <c r="AX267" s="55">
        <v>-323.5364997196728</v>
      </c>
      <c r="AY267" s="39">
        <v>445.04417920905604</v>
      </c>
      <c r="AZ267" s="39">
        <v>0</v>
      </c>
      <c r="BA267" s="35">
        <v>-445.04417920905604</v>
      </c>
      <c r="BB267" s="39">
        <v>445.86836908779861</v>
      </c>
      <c r="BC267" s="39">
        <v>0</v>
      </c>
      <c r="BD267" s="55">
        <v>-445.86836908779861</v>
      </c>
      <c r="BE267" s="39">
        <v>0</v>
      </c>
      <c r="BF267" s="39">
        <v>0</v>
      </c>
      <c r="BG267" s="38">
        <v>0</v>
      </c>
      <c r="BH267" s="39">
        <v>0</v>
      </c>
      <c r="BI267" s="39">
        <v>0</v>
      </c>
      <c r="BJ267" s="55">
        <v>0</v>
      </c>
      <c r="BK267" s="39">
        <v>179.58218534787574</v>
      </c>
      <c r="BL267" s="39">
        <v>385</v>
      </c>
      <c r="BM267" s="38">
        <v>205.41781465212426</v>
      </c>
      <c r="BN267" s="39">
        <v>0</v>
      </c>
      <c r="BO267" s="39">
        <v>0</v>
      </c>
      <c r="BP267" s="55">
        <v>0</v>
      </c>
      <c r="BQ267" s="77">
        <v>1394.0312333644033</v>
      </c>
      <c r="BR267" s="40">
        <v>385</v>
      </c>
      <c r="BS267" s="55">
        <v>-1009.0312333644033</v>
      </c>
      <c r="BT267" s="39">
        <v>4858.1349118951357</v>
      </c>
      <c r="BU267" s="39">
        <v>1287.5615591345634</v>
      </c>
      <c r="BV267" s="52">
        <v>-3570.5733527605726</v>
      </c>
      <c r="BW267" s="39">
        <v>2995.2490216940291</v>
      </c>
      <c r="BX267" s="39">
        <v>2662.1183276963584</v>
      </c>
      <c r="BY267" s="52">
        <v>-333.13069399767073</v>
      </c>
      <c r="BZ267" s="39">
        <v>1451.3516657753503</v>
      </c>
      <c r="CA267" s="39">
        <v>5252.3450356707781</v>
      </c>
      <c r="CB267" s="52">
        <v>3800.9933698954278</v>
      </c>
      <c r="CC267" s="39">
        <v>346.29204199250898</v>
      </c>
      <c r="CD267" s="39">
        <v>341.64199213371239</v>
      </c>
      <c r="CE267" s="52">
        <v>-4.6500498587965922</v>
      </c>
      <c r="CF267" s="39">
        <v>42.630649108926299</v>
      </c>
      <c r="CG267" s="39">
        <v>0</v>
      </c>
      <c r="CH267" s="52">
        <v>-42.630649108926299</v>
      </c>
      <c r="CI267" s="39">
        <v>954.59378403679898</v>
      </c>
      <c r="CJ267" s="39">
        <v>1043.3247814391066</v>
      </c>
      <c r="CK267" s="52">
        <v>88.730997402307594</v>
      </c>
      <c r="CL267" s="39">
        <v>0</v>
      </c>
      <c r="CM267" s="39">
        <v>0</v>
      </c>
      <c r="CN267" s="52">
        <v>0</v>
      </c>
      <c r="CO267" s="39">
        <v>954.59378403679898</v>
      </c>
      <c r="CP267" s="40">
        <v>1043.3247814391066</v>
      </c>
      <c r="CQ267" s="52">
        <v>88.730997402307594</v>
      </c>
      <c r="CR267" s="72">
        <v>30563.602298005178</v>
      </c>
      <c r="CS267" s="5">
        <v>29652.709850311625</v>
      </c>
      <c r="CT267" s="52">
        <v>-910.89244769355355</v>
      </c>
      <c r="CU267" s="77">
        <v>36676.322757606213</v>
      </c>
      <c r="CV267" s="65">
        <v>35583.251820373946</v>
      </c>
      <c r="CW267" s="35">
        <v>-1093.0709372322672</v>
      </c>
      <c r="CX267" s="39">
        <v>1100.2896827281861</v>
      </c>
      <c r="CY267" s="39">
        <v>2193.3606199604474</v>
      </c>
      <c r="CZ267" s="52">
        <v>1093.0709372322613</v>
      </c>
      <c r="DA267" s="150">
        <v>88722.640767516612</v>
      </c>
      <c r="DB267" s="2">
        <v>2</v>
      </c>
      <c r="DC267" s="713">
        <v>40037.47</v>
      </c>
      <c r="DD267" s="714"/>
      <c r="DE267" s="715">
        <v>21149.163779832805</v>
      </c>
      <c r="DF267" s="716">
        <v>0</v>
      </c>
      <c r="DG267" s="717">
        <v>50227.294595843763</v>
      </c>
      <c r="DH267" s="718">
        <v>183639.07175063732</v>
      </c>
      <c r="DI267" s="718">
        <v>453319.3492840128</v>
      </c>
      <c r="DJ267" s="693">
        <v>385899.27990066895</v>
      </c>
      <c r="DK267" s="724"/>
      <c r="DL267" s="5"/>
      <c r="DM267" s="306">
        <v>5.2939561703431135</v>
      </c>
      <c r="DN267" s="306"/>
      <c r="DO267" s="306">
        <v>4.7751456948794209</v>
      </c>
      <c r="DP267" s="719">
        <v>18888.306220167196</v>
      </c>
      <c r="DQ267" s="720">
        <v>0</v>
      </c>
      <c r="DR267" s="650">
        <v>18888.306220167196</v>
      </c>
      <c r="DS267" s="94">
        <v>18888.306220167204</v>
      </c>
      <c r="DT267" s="719">
        <v>18888.419999999998</v>
      </c>
      <c r="DU267" s="721"/>
      <c r="DV267" s="93">
        <v>18888.419999999998</v>
      </c>
      <c r="DW267" s="95">
        <v>18998.335188440022</v>
      </c>
      <c r="DX267" s="28">
        <v>-109.91518844002348</v>
      </c>
      <c r="EA267" s="5">
        <v>13147.725344963186</v>
      </c>
      <c r="EB267" s="5">
        <v>9517.1999999999989</v>
      </c>
      <c r="EE267" s="722">
        <v>114748.87864925902</v>
      </c>
      <c r="EG267" s="42" t="s">
        <v>290</v>
      </c>
    </row>
    <row r="268" spans="1:137" x14ac:dyDescent="0.3">
      <c r="A268" s="325">
        <v>150000739</v>
      </c>
      <c r="B268" s="41" t="s">
        <v>741</v>
      </c>
      <c r="C268" s="42" t="s">
        <v>223</v>
      </c>
      <c r="D268" s="27">
        <v>4</v>
      </c>
      <c r="E268" s="709">
        <v>3631.7</v>
      </c>
      <c r="F268" s="723">
        <v>3340.7</v>
      </c>
      <c r="G268" s="28"/>
      <c r="H268" s="651">
        <v>291</v>
      </c>
      <c r="I268" s="39">
        <v>2146.2565035349362</v>
      </c>
      <c r="J268" s="39">
        <v>2308.0597834028431</v>
      </c>
      <c r="K268" s="52">
        <v>161.80327986790689</v>
      </c>
      <c r="L268" s="39">
        <v>384.02375386401712</v>
      </c>
      <c r="M268" s="39">
        <v>417.26176740866566</v>
      </c>
      <c r="N268" s="52">
        <v>33.238013544648538</v>
      </c>
      <c r="O268" s="39">
        <v>849.22</v>
      </c>
      <c r="P268" s="39">
        <v>849.22</v>
      </c>
      <c r="Q268" s="52">
        <v>0</v>
      </c>
      <c r="R268" s="39">
        <v>0</v>
      </c>
      <c r="S268" s="39">
        <v>0</v>
      </c>
      <c r="T268" s="52">
        <v>0</v>
      </c>
      <c r="U268" s="39">
        <v>0</v>
      </c>
      <c r="V268" s="39">
        <v>0</v>
      </c>
      <c r="W268" s="52">
        <v>0</v>
      </c>
      <c r="X268" s="39">
        <v>1679.7499651644921</v>
      </c>
      <c r="Y268" s="39">
        <v>1056.6788507515562</v>
      </c>
      <c r="Z268" s="52">
        <v>-623.07111441293591</v>
      </c>
      <c r="AA268" s="39">
        <v>0</v>
      </c>
      <c r="AB268" s="39">
        <v>0</v>
      </c>
      <c r="AC268" s="52">
        <v>0</v>
      </c>
      <c r="AD268" s="39">
        <v>2588.0895631895091</v>
      </c>
      <c r="AE268" s="39">
        <v>2171.7082734776395</v>
      </c>
      <c r="AF268" s="35">
        <v>-416.38128971186961</v>
      </c>
      <c r="AG268" s="77">
        <v>7647.3397857529544</v>
      </c>
      <c r="AH268" s="53">
        <v>6802.9286750407045</v>
      </c>
      <c r="AI268" s="52">
        <v>-844.41111071224987</v>
      </c>
      <c r="AJ268" s="39">
        <v>0</v>
      </c>
      <c r="AK268" s="39">
        <v>0</v>
      </c>
      <c r="AL268" s="52">
        <v>0</v>
      </c>
      <c r="AM268" s="39">
        <v>0</v>
      </c>
      <c r="AN268" s="39">
        <v>0</v>
      </c>
      <c r="AO268" s="52">
        <v>0</v>
      </c>
      <c r="AP268" s="39">
        <v>1775.6580804255932</v>
      </c>
      <c r="AQ268" s="39">
        <v>4348.6266731937876</v>
      </c>
      <c r="AR268" s="52">
        <v>2572.9685927681944</v>
      </c>
      <c r="AS268" s="39">
        <v>7510.4836489941408</v>
      </c>
      <c r="AT268" s="39">
        <v>1413.6663484331748</v>
      </c>
      <c r="AU268" s="54">
        <v>-6096.817300560966</v>
      </c>
      <c r="AV268" s="39">
        <v>346.64143553108937</v>
      </c>
      <c r="AW268" s="39">
        <v>499</v>
      </c>
      <c r="AX268" s="55">
        <v>152.35856446891063</v>
      </c>
      <c r="AY268" s="39">
        <v>494.96074423196654</v>
      </c>
      <c r="AZ268" s="39">
        <v>0</v>
      </c>
      <c r="BA268" s="35">
        <v>-494.96074423196654</v>
      </c>
      <c r="BB268" s="39">
        <v>427.90836804502794</v>
      </c>
      <c r="BC268" s="39">
        <v>0</v>
      </c>
      <c r="BD268" s="55">
        <v>-427.90836804502794</v>
      </c>
      <c r="BE268" s="39">
        <v>0</v>
      </c>
      <c r="BF268" s="39">
        <v>0</v>
      </c>
      <c r="BG268" s="38">
        <v>0</v>
      </c>
      <c r="BH268" s="39">
        <v>0</v>
      </c>
      <c r="BI268" s="39">
        <v>0</v>
      </c>
      <c r="BJ268" s="55">
        <v>0</v>
      </c>
      <c r="BK268" s="39">
        <v>229.60894525507237</v>
      </c>
      <c r="BL268" s="39">
        <v>0</v>
      </c>
      <c r="BM268" s="38">
        <v>-229.60894525507237</v>
      </c>
      <c r="BN268" s="39">
        <v>0</v>
      </c>
      <c r="BO268" s="39">
        <v>0</v>
      </c>
      <c r="BP268" s="55">
        <v>0</v>
      </c>
      <c r="BQ268" s="77">
        <v>1499.1194930631561</v>
      </c>
      <c r="BR268" s="40">
        <v>499</v>
      </c>
      <c r="BS268" s="55">
        <v>-1000.1194930631561</v>
      </c>
      <c r="BT268" s="39">
        <v>4136.8747565661242</v>
      </c>
      <c r="BU268" s="39">
        <v>597.93433329758238</v>
      </c>
      <c r="BV268" s="52">
        <v>-3538.940423268542</v>
      </c>
      <c r="BW268" s="39">
        <v>3533.0309729436153</v>
      </c>
      <c r="BX268" s="39">
        <v>1521.8637621012181</v>
      </c>
      <c r="BY268" s="52">
        <v>-2011.1672108423973</v>
      </c>
      <c r="BZ268" s="39">
        <v>2042.05194301193</v>
      </c>
      <c r="CA268" s="39">
        <v>2757.7266203379741</v>
      </c>
      <c r="CB268" s="52">
        <v>715.67467732604405</v>
      </c>
      <c r="CC268" s="39">
        <v>454.72890451904209</v>
      </c>
      <c r="CD268" s="39">
        <v>448.62275184489192</v>
      </c>
      <c r="CE268" s="52">
        <v>-6.1061526741501666</v>
      </c>
      <c r="CF268" s="39">
        <v>55.979884079048752</v>
      </c>
      <c r="CG268" s="39">
        <v>0</v>
      </c>
      <c r="CH268" s="52">
        <v>-55.979884079048752</v>
      </c>
      <c r="CI268" s="39">
        <v>570.88451790436011</v>
      </c>
      <c r="CJ268" s="39">
        <v>1308.594417045399</v>
      </c>
      <c r="CK268" s="52">
        <v>737.70989914103893</v>
      </c>
      <c r="CL268" s="39">
        <v>0</v>
      </c>
      <c r="CM268" s="39">
        <v>0</v>
      </c>
      <c r="CN268" s="52">
        <v>0</v>
      </c>
      <c r="CO268" s="39">
        <v>570.88451790436011</v>
      </c>
      <c r="CP268" s="40">
        <v>1308.594417045399</v>
      </c>
      <c r="CQ268" s="52">
        <v>737.70989914103893</v>
      </c>
      <c r="CR268" s="72">
        <v>29226.151987259967</v>
      </c>
      <c r="CS268" s="5">
        <v>19698.963581294731</v>
      </c>
      <c r="CT268" s="52">
        <v>-9527.1884059652366</v>
      </c>
      <c r="CU268" s="77">
        <v>35071.382384711957</v>
      </c>
      <c r="CV268" s="65">
        <v>23638.756297553675</v>
      </c>
      <c r="CW268" s="35">
        <v>-11432.626087158282</v>
      </c>
      <c r="CX268" s="39">
        <v>1233.54</v>
      </c>
      <c r="CY268" s="39">
        <v>12666.166087158277</v>
      </c>
      <c r="CZ268" s="52">
        <v>11432.626087158278</v>
      </c>
      <c r="DA268" s="150">
        <v>33110.820712617962</v>
      </c>
      <c r="DB268" s="2">
        <v>2</v>
      </c>
      <c r="DC268" s="713">
        <v>31884.11</v>
      </c>
      <c r="DD268" s="714">
        <v>5589.8999999999987</v>
      </c>
      <c r="DE268" s="715">
        <v>15176.146912868888</v>
      </c>
      <c r="DF268" s="716">
        <v>4323.7796149662336</v>
      </c>
      <c r="DG268" s="717">
        <v>9042.6997269288768</v>
      </c>
      <c r="DH268" s="718">
        <v>172519.93636670039</v>
      </c>
      <c r="DI268" s="718">
        <v>435659.06861654349</v>
      </c>
      <c r="DJ268" s="693">
        <v>369874.28555408271</v>
      </c>
      <c r="DK268" s="724"/>
      <c r="DL268" s="5"/>
      <c r="DM268" s="306">
        <v>5.0013359736375955</v>
      </c>
      <c r="DN268" s="306"/>
      <c r="DO268" s="306">
        <v>4.3509291581916338</v>
      </c>
      <c r="DP268" s="719">
        <v>16707.963087131113</v>
      </c>
      <c r="DQ268" s="727">
        <v>1266.1203850337654</v>
      </c>
      <c r="DR268" s="650">
        <v>17974.083472164879</v>
      </c>
      <c r="DS268" s="94">
        <v>18330.838912547079</v>
      </c>
      <c r="DT268" s="719">
        <v>16495.310000000001</v>
      </c>
      <c r="DU268" s="728">
        <v>1444.5</v>
      </c>
      <c r="DV268" s="93">
        <v>17939.810000000001</v>
      </c>
      <c r="DW268" s="95">
        <v>18061.761928126656</v>
      </c>
      <c r="DX268" s="28">
        <v>-121.95192812665482</v>
      </c>
      <c r="DY268" s="94"/>
      <c r="EA268" s="5">
        <v>10811.523770468755</v>
      </c>
      <c r="EB268" s="5">
        <v>2295.1996181198097</v>
      </c>
      <c r="EE268" s="722">
        <v>90125.80378792969</v>
      </c>
      <c r="EG268" s="42" t="s">
        <v>223</v>
      </c>
    </row>
    <row r="269" spans="1:137" x14ac:dyDescent="0.3">
      <c r="A269" s="325">
        <v>150000740</v>
      </c>
      <c r="B269" s="41" t="s">
        <v>742</v>
      </c>
      <c r="C269" s="42" t="s">
        <v>198</v>
      </c>
      <c r="D269" s="27">
        <v>3</v>
      </c>
      <c r="E269" s="709">
        <v>1366.1</v>
      </c>
      <c r="F269" s="723">
        <v>1236.8</v>
      </c>
      <c r="G269" s="28"/>
      <c r="H269" s="651">
        <v>129.30000000000001</v>
      </c>
      <c r="I269" s="39">
        <v>933.58164452706671</v>
      </c>
      <c r="J269" s="39">
        <v>1003.8999862935596</v>
      </c>
      <c r="K269" s="52">
        <v>70.318341766492836</v>
      </c>
      <c r="L269" s="39">
        <v>233.01798496194539</v>
      </c>
      <c r="M269" s="39">
        <v>253.1863170676699</v>
      </c>
      <c r="N269" s="52">
        <v>20.168332105724517</v>
      </c>
      <c r="O269" s="39">
        <v>330.3</v>
      </c>
      <c r="P269" s="39">
        <v>330.3</v>
      </c>
      <c r="Q269" s="52">
        <v>0</v>
      </c>
      <c r="R269" s="39">
        <v>0</v>
      </c>
      <c r="S269" s="39">
        <v>0</v>
      </c>
      <c r="T269" s="52">
        <v>0</v>
      </c>
      <c r="U269" s="39">
        <v>0</v>
      </c>
      <c r="V269" s="39">
        <v>0</v>
      </c>
      <c r="W269" s="52">
        <v>0</v>
      </c>
      <c r="X269" s="39">
        <v>655.57717177108248</v>
      </c>
      <c r="Y269" s="39">
        <v>544.42396913454013</v>
      </c>
      <c r="Z269" s="52">
        <v>-111.15320263654235</v>
      </c>
      <c r="AA269" s="39">
        <v>0</v>
      </c>
      <c r="AB269" s="39">
        <v>0</v>
      </c>
      <c r="AC269" s="52">
        <v>0</v>
      </c>
      <c r="AD269" s="39">
        <v>973.53557625166957</v>
      </c>
      <c r="AE269" s="39">
        <v>816.90962149896825</v>
      </c>
      <c r="AF269" s="35">
        <v>-156.62595475270132</v>
      </c>
      <c r="AG269" s="77">
        <v>3126.012377511764</v>
      </c>
      <c r="AH269" s="53">
        <v>2948.719893994738</v>
      </c>
      <c r="AI269" s="52">
        <v>-177.29248351702608</v>
      </c>
      <c r="AJ269" s="39">
        <v>0</v>
      </c>
      <c r="AK269" s="39">
        <v>0</v>
      </c>
      <c r="AL269" s="52">
        <v>0</v>
      </c>
      <c r="AM269" s="39">
        <v>0</v>
      </c>
      <c r="AN269" s="39">
        <v>0</v>
      </c>
      <c r="AO269" s="52">
        <v>0</v>
      </c>
      <c r="AP269" s="39">
        <v>473.50882144682487</v>
      </c>
      <c r="AQ269" s="39">
        <v>0</v>
      </c>
      <c r="AR269" s="52">
        <v>-473.50882144682487</v>
      </c>
      <c r="AS269" s="39">
        <v>2696.6519777680537</v>
      </c>
      <c r="AT269" s="39">
        <v>570</v>
      </c>
      <c r="AU269" s="54">
        <v>-2126.6519777680537</v>
      </c>
      <c r="AV269" s="39">
        <v>166.96317896061075</v>
      </c>
      <c r="AW269" s="39">
        <v>0</v>
      </c>
      <c r="AX269" s="55">
        <v>-166.96317896061075</v>
      </c>
      <c r="AY269" s="39">
        <v>300.29581843807034</v>
      </c>
      <c r="AZ269" s="39">
        <v>0</v>
      </c>
      <c r="BA269" s="35">
        <v>-300.29581843807034</v>
      </c>
      <c r="BB269" s="39">
        <v>160.64986160541216</v>
      </c>
      <c r="BC269" s="39">
        <v>0</v>
      </c>
      <c r="BD269" s="55">
        <v>-160.64986160541216</v>
      </c>
      <c r="BE269" s="39">
        <v>0</v>
      </c>
      <c r="BF269" s="39">
        <v>0</v>
      </c>
      <c r="BG269" s="38">
        <v>0</v>
      </c>
      <c r="BH269" s="39">
        <v>0</v>
      </c>
      <c r="BI269" s="39">
        <v>0</v>
      </c>
      <c r="BJ269" s="55">
        <v>0</v>
      </c>
      <c r="BK269" s="39">
        <v>80.014774571099423</v>
      </c>
      <c r="BL269" s="39">
        <v>711</v>
      </c>
      <c r="BM269" s="38">
        <v>630.98522542890055</v>
      </c>
      <c r="BN269" s="39">
        <v>0</v>
      </c>
      <c r="BO269" s="39">
        <v>0</v>
      </c>
      <c r="BP269" s="55">
        <v>0</v>
      </c>
      <c r="BQ269" s="77">
        <v>707.92363357519275</v>
      </c>
      <c r="BR269" s="40">
        <v>711</v>
      </c>
      <c r="BS269" s="55">
        <v>3.0763664248072473</v>
      </c>
      <c r="BT269" s="39">
        <v>2233.977107845878</v>
      </c>
      <c r="BU269" s="39">
        <v>676.23448198533254</v>
      </c>
      <c r="BV269" s="52">
        <v>-1557.7426258605456</v>
      </c>
      <c r="BW269" s="39">
        <v>2057.1678062338697</v>
      </c>
      <c r="BX269" s="39">
        <v>1741.6819399655881</v>
      </c>
      <c r="BY269" s="52">
        <v>-315.4858662682816</v>
      </c>
      <c r="BZ269" s="39">
        <v>1056.4880127117485</v>
      </c>
      <c r="CA269" s="39">
        <v>2959.4946642201526</v>
      </c>
      <c r="CB269" s="52">
        <v>1903.006651508404</v>
      </c>
      <c r="CC269" s="39">
        <v>169.12620963677182</v>
      </c>
      <c r="CD269" s="39">
        <v>166.85516320233694</v>
      </c>
      <c r="CE269" s="52">
        <v>-2.2710464344348793</v>
      </c>
      <c r="CF269" s="39">
        <v>20.820461413617743</v>
      </c>
      <c r="CG269" s="39">
        <v>0</v>
      </c>
      <c r="CH269" s="52">
        <v>-20.820461413617743</v>
      </c>
      <c r="CI269" s="39">
        <v>199.65360189004946</v>
      </c>
      <c r="CJ269" s="39">
        <v>494.2584084348203</v>
      </c>
      <c r="CK269" s="52">
        <v>294.60480654477084</v>
      </c>
      <c r="CL269" s="39">
        <v>0</v>
      </c>
      <c r="CM269" s="39">
        <v>0</v>
      </c>
      <c r="CN269" s="52">
        <v>0</v>
      </c>
      <c r="CO269" s="39">
        <v>199.65360189004946</v>
      </c>
      <c r="CP269" s="40">
        <v>494.2584084348203</v>
      </c>
      <c r="CQ269" s="52">
        <v>294.60480654477084</v>
      </c>
      <c r="CR269" s="72">
        <v>12741.330010033771</v>
      </c>
      <c r="CS269" s="5">
        <v>10268.244551802967</v>
      </c>
      <c r="CT269" s="52">
        <v>-2473.0854582308039</v>
      </c>
      <c r="CU269" s="77">
        <v>15289.596012040525</v>
      </c>
      <c r="CV269" s="65">
        <v>12321.89346216356</v>
      </c>
      <c r="CW269" s="35">
        <v>-2967.7025498769653</v>
      </c>
      <c r="CX269" s="39">
        <v>382.23990030101317</v>
      </c>
      <c r="CY269" s="39">
        <v>3349.9424501779768</v>
      </c>
      <c r="CZ269" s="52">
        <v>2967.7025498769635</v>
      </c>
      <c r="DA269" s="150">
        <v>9880.1085501517919</v>
      </c>
      <c r="DB269" s="2">
        <v>2</v>
      </c>
      <c r="DC269" s="713">
        <v>11031.95</v>
      </c>
      <c r="DD269" s="714">
        <v>5085.3599999999997</v>
      </c>
      <c r="DE269" s="715">
        <v>3817.947889202972</v>
      </c>
      <c r="DF269" s="716">
        <v>4463.4441546262597</v>
      </c>
      <c r="DG269" s="717">
        <v>-14517.263011535473</v>
      </c>
      <c r="DH269" s="718">
        <v>75492.38679681308</v>
      </c>
      <c r="DI269" s="718">
        <v>188062.03094809846</v>
      </c>
      <c r="DJ269" s="693">
        <v>159919.61991027714</v>
      </c>
      <c r="DK269" s="724"/>
      <c r="DL269" s="5"/>
      <c r="DM269" s="306">
        <v>5.8327960145512847</v>
      </c>
      <c r="DN269" s="306"/>
      <c r="DO269" s="306">
        <v>4.8098673269430785</v>
      </c>
      <c r="DP269" s="719">
        <v>7214.0021107970288</v>
      </c>
      <c r="DQ269" s="720">
        <v>621.91584537374013</v>
      </c>
      <c r="DR269" s="650">
        <v>7835.9179561707688</v>
      </c>
      <c r="DS269" s="94">
        <v>7835.9179561707688</v>
      </c>
      <c r="DT269" s="719">
        <v>7214.03</v>
      </c>
      <c r="DU269" s="725">
        <v>621.92999999999995</v>
      </c>
      <c r="DV269" s="93">
        <v>7835.96</v>
      </c>
      <c r="DW269" s="95">
        <v>7874.1419462008698</v>
      </c>
      <c r="DX269" s="28">
        <v>-38.181946200869788</v>
      </c>
      <c r="EA269" s="5">
        <v>4085.4907336118954</v>
      </c>
      <c r="EB269" s="5">
        <v>1537.2</v>
      </c>
      <c r="EE269" s="722">
        <v>32359.823733216646</v>
      </c>
      <c r="EG269" s="42" t="s">
        <v>198</v>
      </c>
    </row>
    <row r="270" spans="1:137" x14ac:dyDescent="0.3">
      <c r="A270" s="325">
        <v>150000744</v>
      </c>
      <c r="B270" s="41" t="s">
        <v>743</v>
      </c>
      <c r="C270" s="42" t="s">
        <v>224</v>
      </c>
      <c r="D270" s="27">
        <v>4</v>
      </c>
      <c r="E270" s="709">
        <v>1504.4</v>
      </c>
      <c r="F270" s="723">
        <v>1504.4</v>
      </c>
      <c r="G270" s="28"/>
      <c r="H270" s="651">
        <v>0</v>
      </c>
      <c r="I270" s="39">
        <v>950.42358610886231</v>
      </c>
      <c r="J270" s="39">
        <v>1022.9461121472214</v>
      </c>
      <c r="K270" s="52">
        <v>72.522526038359047</v>
      </c>
      <c r="L270" s="39">
        <v>181.53243827731791</v>
      </c>
      <c r="M270" s="39">
        <v>197.24419748700382</v>
      </c>
      <c r="N270" s="52">
        <v>15.711759209685908</v>
      </c>
      <c r="O270" s="39">
        <v>366.76</v>
      </c>
      <c r="P270" s="39">
        <v>366.76</v>
      </c>
      <c r="Q270" s="52">
        <v>0</v>
      </c>
      <c r="R270" s="39">
        <v>0</v>
      </c>
      <c r="S270" s="39">
        <v>0</v>
      </c>
      <c r="T270" s="52">
        <v>0</v>
      </c>
      <c r="U270" s="39">
        <v>0</v>
      </c>
      <c r="V270" s="39">
        <v>0</v>
      </c>
      <c r="W270" s="52">
        <v>0</v>
      </c>
      <c r="X270" s="39">
        <v>459.84373703407272</v>
      </c>
      <c r="Y270" s="39">
        <v>271.15791624207446</v>
      </c>
      <c r="Z270" s="52">
        <v>-188.68582079199825</v>
      </c>
      <c r="AA270" s="39">
        <v>0</v>
      </c>
      <c r="AB270" s="39">
        <v>0</v>
      </c>
      <c r="AC270" s="52">
        <v>0</v>
      </c>
      <c r="AD270" s="39">
        <v>1072.0934930920225</v>
      </c>
      <c r="AE270" s="39">
        <v>899.61118116027228</v>
      </c>
      <c r="AF270" s="35">
        <v>-172.48231193175025</v>
      </c>
      <c r="AG270" s="77">
        <v>3030.6532545122755</v>
      </c>
      <c r="AH270" s="53">
        <v>2757.7194070365722</v>
      </c>
      <c r="AI270" s="52">
        <v>-272.93384747570326</v>
      </c>
      <c r="AJ270" s="39">
        <v>0</v>
      </c>
      <c r="AK270" s="39">
        <v>0</v>
      </c>
      <c r="AL270" s="52">
        <v>0</v>
      </c>
      <c r="AM270" s="39">
        <v>0</v>
      </c>
      <c r="AN270" s="39">
        <v>0</v>
      </c>
      <c r="AO270" s="52">
        <v>0</v>
      </c>
      <c r="AP270" s="39">
        <v>757.61411431491979</v>
      </c>
      <c r="AQ270" s="39">
        <v>0</v>
      </c>
      <c r="AR270" s="52">
        <v>-757.61411431491979</v>
      </c>
      <c r="AS270" s="39">
        <v>2516.9875896159838</v>
      </c>
      <c r="AT270" s="39">
        <v>380</v>
      </c>
      <c r="AU270" s="54">
        <v>-2136.9875896159838</v>
      </c>
      <c r="AV270" s="39">
        <v>159.03712164227363</v>
      </c>
      <c r="AW270" s="39">
        <v>0</v>
      </c>
      <c r="AX270" s="55">
        <v>-159.03712164227363</v>
      </c>
      <c r="AY270" s="39">
        <v>233.99602939185672</v>
      </c>
      <c r="AZ270" s="39">
        <v>0</v>
      </c>
      <c r="BA270" s="35">
        <v>-233.99602939185672</v>
      </c>
      <c r="BB270" s="39">
        <v>172.71582493274184</v>
      </c>
      <c r="BC270" s="39">
        <v>0</v>
      </c>
      <c r="BD270" s="55">
        <v>-172.71582493274184</v>
      </c>
      <c r="BE270" s="39">
        <v>0</v>
      </c>
      <c r="BF270" s="39">
        <v>0</v>
      </c>
      <c r="BG270" s="38">
        <v>0</v>
      </c>
      <c r="BH270" s="39">
        <v>0</v>
      </c>
      <c r="BI270" s="39">
        <v>0</v>
      </c>
      <c r="BJ270" s="55">
        <v>0</v>
      </c>
      <c r="BK270" s="39">
        <v>54.753204443068483</v>
      </c>
      <c r="BL270" s="39">
        <v>0</v>
      </c>
      <c r="BM270" s="38">
        <v>-54.753204443068483</v>
      </c>
      <c r="BN270" s="39">
        <v>0</v>
      </c>
      <c r="BO270" s="39">
        <v>0</v>
      </c>
      <c r="BP270" s="55">
        <v>0</v>
      </c>
      <c r="BQ270" s="77">
        <v>620.50218040994071</v>
      </c>
      <c r="BR270" s="40">
        <v>0</v>
      </c>
      <c r="BS270" s="55">
        <v>-620.50218040994071</v>
      </c>
      <c r="BT270" s="39">
        <v>3627.3848223148484</v>
      </c>
      <c r="BU270" s="39">
        <v>518.74232799430536</v>
      </c>
      <c r="BV270" s="52">
        <v>-3108.6424943205429</v>
      </c>
      <c r="BW270" s="39">
        <v>1257.9292594552583</v>
      </c>
      <c r="BX270" s="39">
        <v>525.3469509996778</v>
      </c>
      <c r="BY270" s="52">
        <v>-732.58230845558046</v>
      </c>
      <c r="BZ270" s="39">
        <v>1133.2381335770474</v>
      </c>
      <c r="CA270" s="39">
        <v>2169.5715360383037</v>
      </c>
      <c r="CB270" s="52">
        <v>1036.3334024612564</v>
      </c>
      <c r="CC270" s="39">
        <v>145.59560655687312</v>
      </c>
      <c r="CD270" s="39">
        <v>143.64053180027264</v>
      </c>
      <c r="CE270" s="52">
        <v>-1.9550747566004816</v>
      </c>
      <c r="CF270" s="39">
        <v>17.923701564766581</v>
      </c>
      <c r="CG270" s="39">
        <v>0</v>
      </c>
      <c r="CH270" s="52">
        <v>-17.923701564766581</v>
      </c>
      <c r="CI270" s="39">
        <v>549.04740519763595</v>
      </c>
      <c r="CJ270" s="39">
        <v>652.56247187060853</v>
      </c>
      <c r="CK270" s="52">
        <v>103.51506667297258</v>
      </c>
      <c r="CL270" s="39">
        <v>0</v>
      </c>
      <c r="CM270" s="39">
        <v>0</v>
      </c>
      <c r="CN270" s="52">
        <v>0</v>
      </c>
      <c r="CO270" s="39">
        <v>549.04740519763595</v>
      </c>
      <c r="CP270" s="40">
        <v>652.56247187060853</v>
      </c>
      <c r="CQ270" s="52">
        <v>103.51506667297258</v>
      </c>
      <c r="CR270" s="72">
        <v>13656.876067519552</v>
      </c>
      <c r="CS270" s="5">
        <v>7147.5832257397406</v>
      </c>
      <c r="CT270" s="52">
        <v>-6509.2928417798112</v>
      </c>
      <c r="CU270" s="77">
        <v>16388.251281023462</v>
      </c>
      <c r="CV270" s="65">
        <v>8577.0998708876887</v>
      </c>
      <c r="CW270" s="35">
        <v>-7811.1514101357734</v>
      </c>
      <c r="CX270" s="39">
        <v>409.70628202558657</v>
      </c>
      <c r="CY270" s="39">
        <v>8220.8576921613603</v>
      </c>
      <c r="CZ270" s="52">
        <v>7811.1514101357734</v>
      </c>
      <c r="DA270" s="150">
        <v>530.19607067091056</v>
      </c>
      <c r="DB270" s="2">
        <v>2</v>
      </c>
      <c r="DC270" s="713">
        <v>11507.38</v>
      </c>
      <c r="DD270" s="714"/>
      <c r="DE270" s="715">
        <v>3108.4012184754756</v>
      </c>
      <c r="DF270" s="716">
        <v>0</v>
      </c>
      <c r="DG270" s="717">
        <v>-3882.6457384639834</v>
      </c>
      <c r="DH270" s="718">
        <v>80992.432078223035</v>
      </c>
      <c r="DI270" s="718">
        <v>201575.49075658858</v>
      </c>
      <c r="DJ270" s="693">
        <v>171429.72608699719</v>
      </c>
      <c r="DK270" s="724"/>
      <c r="DL270" s="5"/>
      <c r="DM270" s="306">
        <v>5.5829425561848733</v>
      </c>
      <c r="DN270" s="306"/>
      <c r="DO270" s="306">
        <v>5.0687000046261232</v>
      </c>
      <c r="DP270" s="719">
        <v>8398.9787815245236</v>
      </c>
      <c r="DQ270" s="720">
        <v>0</v>
      </c>
      <c r="DR270" s="650">
        <v>8398.9787815245236</v>
      </c>
      <c r="DS270" s="94">
        <v>8398.9787815245236</v>
      </c>
      <c r="DT270" s="719">
        <v>8310.98</v>
      </c>
      <c r="DU270" s="721"/>
      <c r="DV270" s="93">
        <v>8310.98</v>
      </c>
      <c r="DW270" s="95">
        <v>8439.9494097270835</v>
      </c>
      <c r="DX270" s="28">
        <v>-128.96940972708398</v>
      </c>
      <c r="EA270" s="5">
        <v>3764.9877240311089</v>
      </c>
      <c r="EB270" s="5">
        <v>456</v>
      </c>
      <c r="EE270" s="722">
        <v>30203.851075391805</v>
      </c>
      <c r="EG270" s="42" t="s">
        <v>224</v>
      </c>
    </row>
    <row r="271" spans="1:137" ht="15" customHeight="1" x14ac:dyDescent="0.3">
      <c r="A271" s="325">
        <v>150000741</v>
      </c>
      <c r="B271" s="41" t="s">
        <v>744</v>
      </c>
      <c r="C271" s="42" t="s">
        <v>225</v>
      </c>
      <c r="D271" s="27">
        <v>4</v>
      </c>
      <c r="E271" s="709">
        <v>2594.3000000000002</v>
      </c>
      <c r="F271" s="723">
        <v>2273.5</v>
      </c>
      <c r="G271" s="28"/>
      <c r="H271" s="651">
        <v>320.8</v>
      </c>
      <c r="I271" s="39">
        <v>1667.92351123758</v>
      </c>
      <c r="J271" s="39">
        <v>1793.8581704696367</v>
      </c>
      <c r="K271" s="52">
        <v>125.93465923205667</v>
      </c>
      <c r="L271" s="39">
        <v>263.0021283458052</v>
      </c>
      <c r="M271" s="39">
        <v>285.76563575066314</v>
      </c>
      <c r="N271" s="52">
        <v>22.763507404857933</v>
      </c>
      <c r="O271" s="39">
        <v>606.64</v>
      </c>
      <c r="P271" s="39">
        <v>606.64</v>
      </c>
      <c r="Q271" s="52">
        <v>0</v>
      </c>
      <c r="R271" s="39">
        <v>0</v>
      </c>
      <c r="S271" s="39">
        <v>0</v>
      </c>
      <c r="T271" s="52">
        <v>0</v>
      </c>
      <c r="U271" s="39">
        <v>0</v>
      </c>
      <c r="V271" s="39">
        <v>0</v>
      </c>
      <c r="W271" s="52">
        <v>0</v>
      </c>
      <c r="X271" s="39">
        <v>1092.6593652683889</v>
      </c>
      <c r="Y271" s="39">
        <v>673.23382055426441</v>
      </c>
      <c r="Z271" s="52">
        <v>-419.4255447141245</v>
      </c>
      <c r="AA271" s="39">
        <v>0</v>
      </c>
      <c r="AB271" s="39">
        <v>0</v>
      </c>
      <c r="AC271" s="52">
        <v>0</v>
      </c>
      <c r="AD271" s="39">
        <v>1848.7982910985336</v>
      </c>
      <c r="AE271" s="39">
        <v>1551.3568780138889</v>
      </c>
      <c r="AF271" s="35">
        <v>-297.44141308464464</v>
      </c>
      <c r="AG271" s="77">
        <v>5479.0232959503082</v>
      </c>
      <c r="AH271" s="53">
        <v>4910.8545047884527</v>
      </c>
      <c r="AI271" s="52">
        <v>-568.16879116185555</v>
      </c>
      <c r="AJ271" s="39">
        <v>0</v>
      </c>
      <c r="AK271" s="39">
        <v>0</v>
      </c>
      <c r="AL271" s="52">
        <v>0</v>
      </c>
      <c r="AM271" s="39">
        <v>0</v>
      </c>
      <c r="AN271" s="39">
        <v>0</v>
      </c>
      <c r="AO271" s="52">
        <v>0</v>
      </c>
      <c r="AP271" s="39">
        <v>1325.8247000511096</v>
      </c>
      <c r="AQ271" s="39">
        <v>0</v>
      </c>
      <c r="AR271" s="52">
        <v>-1325.8247000511096</v>
      </c>
      <c r="AS271" s="39">
        <v>5491.0605006795886</v>
      </c>
      <c r="AT271" s="39">
        <v>14423</v>
      </c>
      <c r="AU271" s="54">
        <v>8931.9394993204114</v>
      </c>
      <c r="AV271" s="39">
        <v>271.32552484176745</v>
      </c>
      <c r="AW271" s="39">
        <v>0</v>
      </c>
      <c r="AX271" s="55">
        <v>-271.32552484176745</v>
      </c>
      <c r="AY271" s="39">
        <v>338.94721104730002</v>
      </c>
      <c r="AZ271" s="39">
        <v>0</v>
      </c>
      <c r="BA271" s="35">
        <v>-338.94721104730002</v>
      </c>
      <c r="BB271" s="39">
        <v>299.40237983729122</v>
      </c>
      <c r="BC271" s="39">
        <v>0</v>
      </c>
      <c r="BD271" s="55">
        <v>-299.40237983729122</v>
      </c>
      <c r="BE271" s="39">
        <v>0</v>
      </c>
      <c r="BF271" s="39">
        <v>0</v>
      </c>
      <c r="BG271" s="38">
        <v>0</v>
      </c>
      <c r="BH271" s="39">
        <v>0</v>
      </c>
      <c r="BI271" s="39">
        <v>0</v>
      </c>
      <c r="BJ271" s="55">
        <v>0</v>
      </c>
      <c r="BK271" s="39">
        <v>148.43420890847807</v>
      </c>
      <c r="BL271" s="39">
        <v>291</v>
      </c>
      <c r="BM271" s="38">
        <v>142.56579109152193</v>
      </c>
      <c r="BN271" s="39">
        <v>0</v>
      </c>
      <c r="BO271" s="39">
        <v>0</v>
      </c>
      <c r="BP271" s="55">
        <v>0</v>
      </c>
      <c r="BQ271" s="77">
        <v>1058.1093246348366</v>
      </c>
      <c r="BR271" s="40">
        <v>291</v>
      </c>
      <c r="BS271" s="55">
        <v>-767.10932463483664</v>
      </c>
      <c r="BT271" s="39">
        <v>4584.9234001021596</v>
      </c>
      <c r="BU271" s="39">
        <v>1220.2328731900202</v>
      </c>
      <c r="BV271" s="52">
        <v>-3364.6905269121394</v>
      </c>
      <c r="BW271" s="39">
        <v>2938.0539291155892</v>
      </c>
      <c r="BX271" s="39">
        <v>2561.0174971543538</v>
      </c>
      <c r="BY271" s="52">
        <v>-377.03643196123539</v>
      </c>
      <c r="BZ271" s="39">
        <v>1383.6617523859186</v>
      </c>
      <c r="CA271" s="39">
        <v>5194.9881182661875</v>
      </c>
      <c r="CB271" s="52">
        <v>3811.3263658802689</v>
      </c>
      <c r="CC271" s="39">
        <v>0</v>
      </c>
      <c r="CD271" s="39">
        <v>0</v>
      </c>
      <c r="CE271" s="52">
        <v>0</v>
      </c>
      <c r="CF271" s="39">
        <v>0</v>
      </c>
      <c r="CG271" s="39">
        <v>0</v>
      </c>
      <c r="CH271" s="52">
        <v>0</v>
      </c>
      <c r="CI271" s="39">
        <v>274.52370259881798</v>
      </c>
      <c r="CJ271" s="39">
        <v>229.39224359249195</v>
      </c>
      <c r="CK271" s="52">
        <v>-45.131459006326025</v>
      </c>
      <c r="CL271" s="39">
        <v>0</v>
      </c>
      <c r="CM271" s="39">
        <v>0</v>
      </c>
      <c r="CN271" s="52">
        <v>0</v>
      </c>
      <c r="CO271" s="39">
        <v>274.52370259881798</v>
      </c>
      <c r="CP271" s="40">
        <v>229.39224359249195</v>
      </c>
      <c r="CQ271" s="52">
        <v>-45.131459006326025</v>
      </c>
      <c r="CR271" s="72">
        <v>22535.180605518326</v>
      </c>
      <c r="CS271" s="5">
        <v>28830.485236991506</v>
      </c>
      <c r="CT271" s="52">
        <v>6295.3046314731801</v>
      </c>
      <c r="CU271" s="77">
        <v>27042.216726621991</v>
      </c>
      <c r="CV271" s="65">
        <v>34596.582284389806</v>
      </c>
      <c r="CW271" s="35">
        <v>7554.3655577678146</v>
      </c>
      <c r="CX271" s="39">
        <v>676.05541816554978</v>
      </c>
      <c r="CY271" s="39">
        <v>-6878.3101396022612</v>
      </c>
      <c r="CZ271" s="52">
        <v>-7554.365557767811</v>
      </c>
      <c r="DA271" s="150">
        <v>4330.5351101274573</v>
      </c>
      <c r="DB271" s="2">
        <v>2</v>
      </c>
      <c r="DC271" s="713">
        <v>22733.68</v>
      </c>
      <c r="DD271" s="714">
        <v>742.02</v>
      </c>
      <c r="DE271" s="715">
        <v>10364.871305411747</v>
      </c>
      <c r="DF271" s="716">
        <v>-748.30737780551544</v>
      </c>
      <c r="DG271" s="717">
        <v>4348.9079702763011</v>
      </c>
      <c r="DH271" s="718">
        <v>142371.2757942226</v>
      </c>
      <c r="DI271" s="718">
        <v>332619.26573745051</v>
      </c>
      <c r="DJ271" s="693">
        <v>285057.26825164352</v>
      </c>
      <c r="DK271" s="724"/>
      <c r="DL271" s="5"/>
      <c r="DM271" s="306">
        <v>5.4404260807513758</v>
      </c>
      <c r="DN271" s="306"/>
      <c r="DO271" s="306">
        <v>4.6456589083713071</v>
      </c>
      <c r="DP271" s="719">
        <v>12368.808694588253</v>
      </c>
      <c r="DQ271" s="720">
        <v>1490.3273778055154</v>
      </c>
      <c r="DR271" s="650">
        <v>13859.136072393769</v>
      </c>
      <c r="DS271" s="94">
        <v>13859.136072393772</v>
      </c>
      <c r="DT271" s="719">
        <v>12367.12</v>
      </c>
      <c r="DU271" s="725">
        <v>1490.38</v>
      </c>
      <c r="DV271" s="93">
        <v>13857.5</v>
      </c>
      <c r="DW271" s="95">
        <v>13926.741614210325</v>
      </c>
      <c r="DX271" s="28">
        <v>-69.241614210324769</v>
      </c>
      <c r="EA271" s="5">
        <v>7859.00379037731</v>
      </c>
      <c r="EB271" s="5">
        <v>17656.8</v>
      </c>
      <c r="EE271" s="722">
        <v>65892.726008155063</v>
      </c>
      <c r="EG271" s="42" t="s">
        <v>225</v>
      </c>
    </row>
    <row r="272" spans="1:137" x14ac:dyDescent="0.3">
      <c r="A272" s="325">
        <v>150000742</v>
      </c>
      <c r="B272" s="41" t="s">
        <v>745</v>
      </c>
      <c r="C272" s="42" t="s">
        <v>291</v>
      </c>
      <c r="D272" s="27">
        <v>5</v>
      </c>
      <c r="E272" s="709">
        <v>1869.4</v>
      </c>
      <c r="F272" s="723">
        <v>1700.4</v>
      </c>
      <c r="G272" s="28"/>
      <c r="H272" s="651">
        <v>169</v>
      </c>
      <c r="I272" s="39">
        <v>1029.9111845356804</v>
      </c>
      <c r="J272" s="39">
        <v>1108.0488323412014</v>
      </c>
      <c r="K272" s="52">
        <v>78.137647805521055</v>
      </c>
      <c r="L272" s="39">
        <v>194.74869558343363</v>
      </c>
      <c r="M272" s="39">
        <v>211.60481822227058</v>
      </c>
      <c r="N272" s="52">
        <v>16.856122638836951</v>
      </c>
      <c r="O272" s="39">
        <v>429.84</v>
      </c>
      <c r="P272" s="39">
        <v>429.84</v>
      </c>
      <c r="Q272" s="52">
        <v>0</v>
      </c>
      <c r="R272" s="39">
        <v>0</v>
      </c>
      <c r="S272" s="39">
        <v>0</v>
      </c>
      <c r="T272" s="52">
        <v>0</v>
      </c>
      <c r="U272" s="39">
        <v>0</v>
      </c>
      <c r="V272" s="39">
        <v>0</v>
      </c>
      <c r="W272" s="52">
        <v>0</v>
      </c>
      <c r="X272" s="39">
        <v>547.54941357618532</v>
      </c>
      <c r="Y272" s="39">
        <v>330.32303861724824</v>
      </c>
      <c r="Z272" s="52">
        <v>-217.22637495893707</v>
      </c>
      <c r="AA272" s="39">
        <v>0</v>
      </c>
      <c r="AB272" s="39">
        <v>0</v>
      </c>
      <c r="AC272" s="52">
        <v>0</v>
      </c>
      <c r="AD272" s="39">
        <v>1332.2065780286007</v>
      </c>
      <c r="AE272" s="39">
        <v>1117.876324156483</v>
      </c>
      <c r="AF272" s="35">
        <v>-214.33025387211774</v>
      </c>
      <c r="AG272" s="77">
        <v>3534.2558717238999</v>
      </c>
      <c r="AH272" s="53">
        <v>3197.693013337203</v>
      </c>
      <c r="AI272" s="52">
        <v>-336.56285838669692</v>
      </c>
      <c r="AJ272" s="39">
        <v>0</v>
      </c>
      <c r="AK272" s="39">
        <v>0</v>
      </c>
      <c r="AL272" s="52">
        <v>0</v>
      </c>
      <c r="AM272" s="39">
        <v>0</v>
      </c>
      <c r="AN272" s="39">
        <v>0</v>
      </c>
      <c r="AO272" s="52">
        <v>0</v>
      </c>
      <c r="AP272" s="39">
        <v>828.64043753194358</v>
      </c>
      <c r="AQ272" s="39">
        <v>1683.339357365337</v>
      </c>
      <c r="AR272" s="52">
        <v>854.69891983339346</v>
      </c>
      <c r="AS272" s="39">
        <v>3688.054129397507</v>
      </c>
      <c r="AT272" s="39">
        <v>380</v>
      </c>
      <c r="AU272" s="54">
        <v>-3308.054129397507</v>
      </c>
      <c r="AV272" s="39">
        <v>170.22583618592486</v>
      </c>
      <c r="AW272" s="39">
        <v>0</v>
      </c>
      <c r="AX272" s="55">
        <v>-170.22583618592486</v>
      </c>
      <c r="AY272" s="39">
        <v>251.00068743860237</v>
      </c>
      <c r="AZ272" s="39">
        <v>0</v>
      </c>
      <c r="BA272" s="35">
        <v>-251.00068743860237</v>
      </c>
      <c r="BB272" s="39">
        <v>220.77882065324417</v>
      </c>
      <c r="BC272" s="39">
        <v>0</v>
      </c>
      <c r="BD272" s="55">
        <v>-220.77882065324417</v>
      </c>
      <c r="BE272" s="39">
        <v>0</v>
      </c>
      <c r="BF272" s="39">
        <v>0</v>
      </c>
      <c r="BG272" s="38">
        <v>0</v>
      </c>
      <c r="BH272" s="39">
        <v>0</v>
      </c>
      <c r="BI272" s="39">
        <v>0</v>
      </c>
      <c r="BJ272" s="55">
        <v>0</v>
      </c>
      <c r="BK272" s="39">
        <v>69.900011236879692</v>
      </c>
      <c r="BL272" s="39">
        <v>0</v>
      </c>
      <c r="BM272" s="38">
        <v>-69.900011236879692</v>
      </c>
      <c r="BN272" s="39">
        <v>0</v>
      </c>
      <c r="BO272" s="39">
        <v>0</v>
      </c>
      <c r="BP272" s="55">
        <v>0</v>
      </c>
      <c r="BQ272" s="77">
        <v>711.90535551465109</v>
      </c>
      <c r="BR272" s="40">
        <v>0</v>
      </c>
      <c r="BS272" s="55">
        <v>-711.90535551465109</v>
      </c>
      <c r="BT272" s="39">
        <v>2632.6545472906359</v>
      </c>
      <c r="BU272" s="39">
        <v>842.43360920216935</v>
      </c>
      <c r="BV272" s="52">
        <v>-1790.2209380884665</v>
      </c>
      <c r="BW272" s="39">
        <v>1505.6475528038907</v>
      </c>
      <c r="BX272" s="39">
        <v>1317.8554706018617</v>
      </c>
      <c r="BY272" s="52">
        <v>-187.79208220202895</v>
      </c>
      <c r="BZ272" s="39">
        <v>1454.0468066271301</v>
      </c>
      <c r="CA272" s="39">
        <v>3391.583277629536</v>
      </c>
      <c r="CB272" s="52">
        <v>1937.536471002406</v>
      </c>
      <c r="CC272" s="39">
        <v>249.03221592892777</v>
      </c>
      <c r="CD272" s="39">
        <v>245.68818233851351</v>
      </c>
      <c r="CE272" s="52">
        <v>-3.3440335904142557</v>
      </c>
      <c r="CF272" s="39">
        <v>30.65737506700815</v>
      </c>
      <c r="CG272" s="39">
        <v>0</v>
      </c>
      <c r="CH272" s="52">
        <v>-30.65737506700815</v>
      </c>
      <c r="CI272" s="39">
        <v>623.91750590640459</v>
      </c>
      <c r="CJ272" s="39">
        <v>818.92185576555926</v>
      </c>
      <c r="CK272" s="52">
        <v>195.00434985915467</v>
      </c>
      <c r="CL272" s="39">
        <v>0</v>
      </c>
      <c r="CM272" s="39">
        <v>0</v>
      </c>
      <c r="CN272" s="52">
        <v>0</v>
      </c>
      <c r="CO272" s="39">
        <v>623.91750590640459</v>
      </c>
      <c r="CP272" s="40">
        <v>818.92185576555926</v>
      </c>
      <c r="CQ272" s="52">
        <v>195.00434985915467</v>
      </c>
      <c r="CR272" s="72">
        <v>15258.811797791997</v>
      </c>
      <c r="CS272" s="5">
        <v>11877.51476624018</v>
      </c>
      <c r="CT272" s="52">
        <v>-3381.2970315518178</v>
      </c>
      <c r="CU272" s="77">
        <v>18310.574157350395</v>
      </c>
      <c r="CV272" s="65">
        <v>14253.017719488214</v>
      </c>
      <c r="CW272" s="35">
        <v>-4057.5564378621802</v>
      </c>
      <c r="CX272" s="39">
        <v>366.21148314700793</v>
      </c>
      <c r="CY272" s="39">
        <v>4423.7679210091846</v>
      </c>
      <c r="CZ272" s="52">
        <v>4057.5564378621766</v>
      </c>
      <c r="DA272" s="150">
        <v>-9161.5351292400264</v>
      </c>
      <c r="DB272" s="2">
        <v>2</v>
      </c>
      <c r="DC272" s="713">
        <v>24645.279999999999</v>
      </c>
      <c r="DD272" s="714">
        <v>990.54000000000008</v>
      </c>
      <c r="DE272" s="715">
        <v>16067.806336448972</v>
      </c>
      <c r="DF272" s="716">
        <v>229.62084330232722</v>
      </c>
      <c r="DG272" s="717">
        <v>28456.784616263754</v>
      </c>
      <c r="DH272" s="718">
        <v>86592.308586674437</v>
      </c>
      <c r="DI272" s="718">
        <v>224121.42768596881</v>
      </c>
      <c r="DJ272" s="693">
        <v>189739.14791114521</v>
      </c>
      <c r="DK272" s="724"/>
      <c r="DL272" s="5"/>
      <c r="DM272" s="306">
        <v>5.0443858289526151</v>
      </c>
      <c r="DN272" s="306"/>
      <c r="DO272" s="306">
        <v>4.502480217145993</v>
      </c>
      <c r="DP272" s="719">
        <v>8577.4736635510271</v>
      </c>
      <c r="DQ272" s="720">
        <v>760.91915669767286</v>
      </c>
      <c r="DR272" s="650">
        <v>9338.3928202487004</v>
      </c>
      <c r="DS272" s="94">
        <v>9338.3928202487004</v>
      </c>
      <c r="DT272" s="719">
        <v>8578.02</v>
      </c>
      <c r="DU272" s="725">
        <v>761.37</v>
      </c>
      <c r="DV272" s="93">
        <v>9339.3900000000012</v>
      </c>
      <c r="DW272" s="95">
        <v>9375.0139685634022</v>
      </c>
      <c r="DX272" s="28">
        <v>-35.623968563400922</v>
      </c>
      <c r="EA272" s="5">
        <v>5279.9513818945898</v>
      </c>
      <c r="EB272" s="5">
        <v>456</v>
      </c>
      <c r="EE272" s="722">
        <v>44256.649552770083</v>
      </c>
      <c r="EG272" s="42" t="s">
        <v>291</v>
      </c>
    </row>
    <row r="273" spans="1:137" x14ac:dyDescent="0.3">
      <c r="A273" s="325">
        <v>150000745</v>
      </c>
      <c r="B273" s="41" t="s">
        <v>746</v>
      </c>
      <c r="C273" s="42" t="s">
        <v>134</v>
      </c>
      <c r="D273" s="27">
        <v>1</v>
      </c>
      <c r="E273" s="709">
        <v>275.3</v>
      </c>
      <c r="F273" s="723">
        <v>275.3</v>
      </c>
      <c r="G273" s="28"/>
      <c r="H273" s="651">
        <v>0</v>
      </c>
      <c r="I273" s="39">
        <v>0</v>
      </c>
      <c r="J273" s="39">
        <v>0</v>
      </c>
      <c r="K273" s="52">
        <v>0</v>
      </c>
      <c r="L273" s="39">
        <v>0</v>
      </c>
      <c r="M273" s="39">
        <v>0</v>
      </c>
      <c r="N273" s="52">
        <v>0</v>
      </c>
      <c r="O273" s="39">
        <v>0</v>
      </c>
      <c r="P273" s="39">
        <v>0</v>
      </c>
      <c r="Q273" s="52">
        <v>0</v>
      </c>
      <c r="R273" s="39">
        <v>0</v>
      </c>
      <c r="S273" s="39">
        <v>0</v>
      </c>
      <c r="T273" s="52">
        <v>0</v>
      </c>
      <c r="U273" s="39">
        <v>0</v>
      </c>
      <c r="V273" s="39">
        <v>0</v>
      </c>
      <c r="W273" s="52">
        <v>0</v>
      </c>
      <c r="X273" s="39">
        <v>0</v>
      </c>
      <c r="Y273" s="39">
        <v>0</v>
      </c>
      <c r="Z273" s="52">
        <v>0</v>
      </c>
      <c r="AA273" s="39">
        <v>0</v>
      </c>
      <c r="AB273" s="39">
        <v>0</v>
      </c>
      <c r="AC273" s="52">
        <v>0</v>
      </c>
      <c r="AD273" s="39">
        <v>0</v>
      </c>
      <c r="AE273" s="39">
        <v>164.6257366215255</v>
      </c>
      <c r="AF273" s="35">
        <v>164.6257366215255</v>
      </c>
      <c r="AG273" s="77">
        <v>0</v>
      </c>
      <c r="AH273" s="53">
        <v>164.6257366215255</v>
      </c>
      <c r="AI273" s="52">
        <v>164.6257366215255</v>
      </c>
      <c r="AJ273" s="39">
        <v>0</v>
      </c>
      <c r="AK273" s="39">
        <v>0</v>
      </c>
      <c r="AL273" s="52">
        <v>0</v>
      </c>
      <c r="AM273" s="39">
        <v>0</v>
      </c>
      <c r="AN273" s="39">
        <v>0</v>
      </c>
      <c r="AO273" s="52">
        <v>0</v>
      </c>
      <c r="AP273" s="39">
        <v>142.05264643404746</v>
      </c>
      <c r="AQ273" s="39">
        <v>0</v>
      </c>
      <c r="AR273" s="52">
        <v>-142.05264643404746</v>
      </c>
      <c r="AS273" s="39">
        <v>452.12299260614532</v>
      </c>
      <c r="AT273" s="39">
        <v>0</v>
      </c>
      <c r="AU273" s="54">
        <v>-452.12299260614532</v>
      </c>
      <c r="AV273" s="39">
        <v>0</v>
      </c>
      <c r="AW273" s="39">
        <v>0</v>
      </c>
      <c r="AX273" s="55">
        <v>0</v>
      </c>
      <c r="AY273" s="39">
        <v>0</v>
      </c>
      <c r="AZ273" s="39">
        <v>0</v>
      </c>
      <c r="BA273" s="35">
        <v>0</v>
      </c>
      <c r="BB273" s="39">
        <v>0</v>
      </c>
      <c r="BC273" s="39">
        <v>0</v>
      </c>
      <c r="BD273" s="55">
        <v>0</v>
      </c>
      <c r="BE273" s="39">
        <v>0</v>
      </c>
      <c r="BF273" s="39">
        <v>0</v>
      </c>
      <c r="BG273" s="38">
        <v>0</v>
      </c>
      <c r="BH273" s="39">
        <v>0</v>
      </c>
      <c r="BI273" s="39">
        <v>0</v>
      </c>
      <c r="BJ273" s="55">
        <v>0</v>
      </c>
      <c r="BK273" s="39">
        <v>0</v>
      </c>
      <c r="BL273" s="39">
        <v>0</v>
      </c>
      <c r="BM273" s="38">
        <v>0</v>
      </c>
      <c r="BN273" s="39">
        <v>0</v>
      </c>
      <c r="BO273" s="39">
        <v>0</v>
      </c>
      <c r="BP273" s="55">
        <v>0</v>
      </c>
      <c r="BQ273" s="77">
        <v>0</v>
      </c>
      <c r="BR273" s="40">
        <v>0</v>
      </c>
      <c r="BS273" s="55">
        <v>0</v>
      </c>
      <c r="BT273" s="39">
        <v>99.695878142489619</v>
      </c>
      <c r="BU273" s="39">
        <v>39.982603464872625</v>
      </c>
      <c r="BV273" s="52">
        <v>-59.713274677616994</v>
      </c>
      <c r="BW273" s="39">
        <v>0</v>
      </c>
      <c r="BX273" s="39">
        <v>1.114389796039879</v>
      </c>
      <c r="BY273" s="52">
        <v>1.114389796039879</v>
      </c>
      <c r="BZ273" s="39">
        <v>0</v>
      </c>
      <c r="CA273" s="39">
        <v>154.72432561806895</v>
      </c>
      <c r="CB273" s="52">
        <v>154.72432561806895</v>
      </c>
      <c r="CC273" s="39">
        <v>0</v>
      </c>
      <c r="CD273" s="39">
        <v>0</v>
      </c>
      <c r="CE273" s="52">
        <v>0</v>
      </c>
      <c r="CF273" s="39">
        <v>0</v>
      </c>
      <c r="CG273" s="39">
        <v>0</v>
      </c>
      <c r="CH273" s="52">
        <v>0</v>
      </c>
      <c r="CI273" s="39">
        <v>0</v>
      </c>
      <c r="CJ273" s="39">
        <v>0</v>
      </c>
      <c r="CK273" s="52">
        <v>0</v>
      </c>
      <c r="CL273" s="39">
        <v>0</v>
      </c>
      <c r="CM273" s="39">
        <v>0</v>
      </c>
      <c r="CN273" s="52">
        <v>0</v>
      </c>
      <c r="CO273" s="39">
        <v>0</v>
      </c>
      <c r="CP273" s="40">
        <v>0</v>
      </c>
      <c r="CQ273" s="52">
        <v>0</v>
      </c>
      <c r="CR273" s="72">
        <v>693.8715171826824</v>
      </c>
      <c r="CS273" s="5">
        <v>360.44705550050696</v>
      </c>
      <c r="CT273" s="52">
        <v>-333.42446168217543</v>
      </c>
      <c r="CU273" s="77">
        <v>832.64582061921885</v>
      </c>
      <c r="CV273" s="65">
        <v>432.53646660060832</v>
      </c>
      <c r="CW273" s="35">
        <v>-400.10935401861053</v>
      </c>
      <c r="CX273" s="39">
        <v>20.816145515480471</v>
      </c>
      <c r="CY273" s="39">
        <v>420.92549953409099</v>
      </c>
      <c r="CZ273" s="52">
        <v>400.10935401861053</v>
      </c>
      <c r="DA273" s="150">
        <v>-6936.243046616828</v>
      </c>
      <c r="DB273" s="2">
        <v>2</v>
      </c>
      <c r="DC273" s="713">
        <v>1328.47</v>
      </c>
      <c r="DD273" s="714"/>
      <c r="DE273" s="715">
        <v>901.73901693265043</v>
      </c>
      <c r="DF273" s="716">
        <v>0</v>
      </c>
      <c r="DG273" s="717">
        <v>-4311.1669132401412</v>
      </c>
      <c r="DH273" s="718">
        <v>4087.5514485677318</v>
      </c>
      <c r="DI273" s="718">
        <v>10241.543593616392</v>
      </c>
      <c r="DJ273" s="693">
        <v>8703.0455573542276</v>
      </c>
      <c r="DK273" s="724"/>
      <c r="DL273" s="5"/>
      <c r="DM273" s="306">
        <v>1.5500580569100968</v>
      </c>
      <c r="DN273" s="306"/>
      <c r="DO273" s="306">
        <v>1.5500580569100968</v>
      </c>
      <c r="DP273" s="719">
        <v>426.73098306734965</v>
      </c>
      <c r="DQ273" s="720">
        <v>0</v>
      </c>
      <c r="DR273" s="650">
        <v>426.73098306734965</v>
      </c>
      <c r="DS273" s="94">
        <v>426.73098306734965</v>
      </c>
      <c r="DT273" s="719">
        <v>426.74</v>
      </c>
      <c r="DU273" s="721"/>
      <c r="DV273" s="93">
        <v>426.74</v>
      </c>
      <c r="DW273" s="95">
        <v>428.81259761889771</v>
      </c>
      <c r="DX273" s="28">
        <v>-2.0725976188977029</v>
      </c>
      <c r="EA273" s="5">
        <v>542.5475911273744</v>
      </c>
      <c r="EB273" s="5">
        <v>0</v>
      </c>
      <c r="EE273" s="722">
        <v>5425.4759112737438</v>
      </c>
      <c r="EG273" s="42" t="s">
        <v>134</v>
      </c>
    </row>
    <row r="274" spans="1:137" ht="22.8" x14ac:dyDescent="0.3">
      <c r="A274" s="325">
        <v>150001094</v>
      </c>
      <c r="B274" s="41" t="s">
        <v>747</v>
      </c>
      <c r="C274" s="42" t="s">
        <v>186</v>
      </c>
      <c r="D274" s="27">
        <v>1</v>
      </c>
      <c r="E274" s="709">
        <v>304.89999999999998</v>
      </c>
      <c r="F274" s="723">
        <v>304.89999999999998</v>
      </c>
      <c r="G274" s="28"/>
      <c r="H274" s="651">
        <v>0</v>
      </c>
      <c r="I274" s="39">
        <v>0</v>
      </c>
      <c r="J274" s="39">
        <v>0</v>
      </c>
      <c r="K274" s="52">
        <v>0</v>
      </c>
      <c r="L274" s="39">
        <v>0</v>
      </c>
      <c r="M274" s="39">
        <v>0</v>
      </c>
      <c r="N274" s="52">
        <v>0</v>
      </c>
      <c r="O274" s="39">
        <v>0</v>
      </c>
      <c r="P274" s="39">
        <v>0</v>
      </c>
      <c r="Q274" s="52">
        <v>0</v>
      </c>
      <c r="R274" s="39">
        <v>0</v>
      </c>
      <c r="S274" s="39">
        <v>0</v>
      </c>
      <c r="T274" s="52">
        <v>0</v>
      </c>
      <c r="U274" s="39">
        <v>0</v>
      </c>
      <c r="V274" s="39">
        <v>0</v>
      </c>
      <c r="W274" s="52">
        <v>0</v>
      </c>
      <c r="X274" s="39">
        <v>82.785282348368511</v>
      </c>
      <c r="Y274" s="39">
        <v>45.580537365668619</v>
      </c>
      <c r="Z274" s="52">
        <v>-37.204744982699893</v>
      </c>
      <c r="AA274" s="39">
        <v>0</v>
      </c>
      <c r="AB274" s="39">
        <v>0</v>
      </c>
      <c r="AC274" s="52">
        <v>0</v>
      </c>
      <c r="AD274" s="39">
        <v>217.28350574565118</v>
      </c>
      <c r="AE274" s="39">
        <v>182.32614273847844</v>
      </c>
      <c r="AF274" s="35">
        <v>-34.957363007172745</v>
      </c>
      <c r="AG274" s="77">
        <v>300.06878809401968</v>
      </c>
      <c r="AH274" s="53">
        <v>227.90668010414706</v>
      </c>
      <c r="AI274" s="52">
        <v>-72.162107989872624</v>
      </c>
      <c r="AJ274" s="39">
        <v>0</v>
      </c>
      <c r="AK274" s="39">
        <v>0</v>
      </c>
      <c r="AL274" s="52">
        <v>0</v>
      </c>
      <c r="AM274" s="39">
        <v>0</v>
      </c>
      <c r="AN274" s="39">
        <v>0</v>
      </c>
      <c r="AO274" s="52">
        <v>0</v>
      </c>
      <c r="AP274" s="39">
        <v>0</v>
      </c>
      <c r="AQ274" s="39">
        <v>0</v>
      </c>
      <c r="AR274" s="52">
        <v>0</v>
      </c>
      <c r="AS274" s="39">
        <v>846.81030710599521</v>
      </c>
      <c r="AT274" s="39">
        <v>0</v>
      </c>
      <c r="AU274" s="54">
        <v>-846.81030710599521</v>
      </c>
      <c r="AV274" s="39">
        <v>0</v>
      </c>
      <c r="AW274" s="39">
        <v>0</v>
      </c>
      <c r="AX274" s="55">
        <v>0</v>
      </c>
      <c r="AY274" s="39">
        <v>0</v>
      </c>
      <c r="AZ274" s="39">
        <v>0</v>
      </c>
      <c r="BA274" s="35">
        <v>0</v>
      </c>
      <c r="BB274" s="39">
        <v>0</v>
      </c>
      <c r="BC274" s="39">
        <v>0</v>
      </c>
      <c r="BD274" s="55">
        <v>0</v>
      </c>
      <c r="BE274" s="39">
        <v>0</v>
      </c>
      <c r="BF274" s="39">
        <v>0</v>
      </c>
      <c r="BG274" s="38">
        <v>0</v>
      </c>
      <c r="BH274" s="39">
        <v>0</v>
      </c>
      <c r="BI274" s="39">
        <v>0</v>
      </c>
      <c r="BJ274" s="55">
        <v>0</v>
      </c>
      <c r="BK274" s="39">
        <v>23.058508430931262</v>
      </c>
      <c r="BL274" s="39">
        <v>0</v>
      </c>
      <c r="BM274" s="38">
        <v>-23.058508430931262</v>
      </c>
      <c r="BN274" s="39">
        <v>0</v>
      </c>
      <c r="BO274" s="39">
        <v>0</v>
      </c>
      <c r="BP274" s="55">
        <v>0</v>
      </c>
      <c r="BQ274" s="77">
        <v>23.058508430931262</v>
      </c>
      <c r="BR274" s="40">
        <v>0</v>
      </c>
      <c r="BS274" s="55">
        <v>-23.058508430931262</v>
      </c>
      <c r="BT274" s="39">
        <v>0</v>
      </c>
      <c r="BU274" s="39">
        <v>0</v>
      </c>
      <c r="BV274" s="52">
        <v>0</v>
      </c>
      <c r="BW274" s="39">
        <v>38.962983241777721</v>
      </c>
      <c r="BX274" s="39">
        <v>1.2342079506449657</v>
      </c>
      <c r="BY274" s="52">
        <v>-37.728775291132756</v>
      </c>
      <c r="BZ274" s="39">
        <v>0</v>
      </c>
      <c r="CA274" s="39">
        <v>0</v>
      </c>
      <c r="CB274" s="52">
        <v>0</v>
      </c>
      <c r="CC274" s="39">
        <v>0</v>
      </c>
      <c r="CD274" s="39">
        <v>0</v>
      </c>
      <c r="CE274" s="52">
        <v>0</v>
      </c>
      <c r="CF274" s="39">
        <v>0</v>
      </c>
      <c r="CG274" s="39">
        <v>0</v>
      </c>
      <c r="CH274" s="52">
        <v>0</v>
      </c>
      <c r="CI274" s="39">
        <v>15.597937647660114</v>
      </c>
      <c r="CJ274" s="39">
        <v>7.7015526153969667</v>
      </c>
      <c r="CK274" s="52">
        <v>-7.8963850322631473</v>
      </c>
      <c r="CL274" s="39">
        <v>0</v>
      </c>
      <c r="CM274" s="39">
        <v>0</v>
      </c>
      <c r="CN274" s="52">
        <v>0</v>
      </c>
      <c r="CO274" s="39">
        <v>15.597937647660114</v>
      </c>
      <c r="CP274" s="40">
        <v>7.7015526153969667</v>
      </c>
      <c r="CQ274" s="52">
        <v>-7.8963850322631473</v>
      </c>
      <c r="CR274" s="72">
        <v>1224.4985245203839</v>
      </c>
      <c r="CS274" s="5">
        <v>236.84244067018898</v>
      </c>
      <c r="CT274" s="52">
        <v>-987.65608385019482</v>
      </c>
      <c r="CU274" s="77">
        <v>1469.3982294244606</v>
      </c>
      <c r="CV274" s="65">
        <v>284.21092880422674</v>
      </c>
      <c r="CW274" s="35">
        <v>-1185.1873006202338</v>
      </c>
      <c r="CX274" s="39">
        <v>36.734955735611514</v>
      </c>
      <c r="CY274" s="39">
        <v>1221.9222563558453</v>
      </c>
      <c r="CZ274" s="52">
        <v>1185.1873006202338</v>
      </c>
      <c r="DA274" s="150">
        <v>-4673.9449517348512</v>
      </c>
      <c r="DB274" s="2">
        <v>1</v>
      </c>
      <c r="DC274" s="713">
        <v>1013.14</v>
      </c>
      <c r="DD274" s="714"/>
      <c r="DE274" s="715">
        <v>260.07340741996393</v>
      </c>
      <c r="DF274" s="716">
        <v>0</v>
      </c>
      <c r="DG274" s="717">
        <v>2323.4134986025747</v>
      </c>
      <c r="DH274" s="718">
        <v>7198.8560264039515</v>
      </c>
      <c r="DI274" s="718">
        <v>18073.598221920867</v>
      </c>
      <c r="DJ274" s="693">
        <v>15354.912673041639</v>
      </c>
      <c r="DK274" s="724"/>
      <c r="DL274" s="5"/>
      <c r="DM274" s="306">
        <v>2.4698805922598757</v>
      </c>
      <c r="DN274" s="306"/>
      <c r="DO274" s="306">
        <v>2.391290120978494</v>
      </c>
      <c r="DP274" s="719">
        <v>753.06659258003606</v>
      </c>
      <c r="DQ274" s="720">
        <v>0</v>
      </c>
      <c r="DR274" s="650">
        <v>753.06659258003606</v>
      </c>
      <c r="DS274" s="94">
        <v>753.06659258003606</v>
      </c>
      <c r="DT274" s="719">
        <v>788.88</v>
      </c>
      <c r="DU274" s="721"/>
      <c r="DV274" s="93">
        <v>788.88</v>
      </c>
      <c r="DW274" s="95">
        <v>756.74008815359718</v>
      </c>
      <c r="DX274" s="28">
        <v>32.139911846402811</v>
      </c>
      <c r="EA274" s="5">
        <v>1043.8425786443117</v>
      </c>
      <c r="EB274" s="5">
        <v>0</v>
      </c>
      <c r="EE274" s="722">
        <v>10161.723685271943</v>
      </c>
      <c r="EG274" s="42" t="s">
        <v>186</v>
      </c>
    </row>
    <row r="275" spans="1:137" x14ac:dyDescent="0.3">
      <c r="A275" s="325">
        <v>150000851</v>
      </c>
      <c r="B275" s="41" t="s">
        <v>748</v>
      </c>
      <c r="C275" s="42" t="s">
        <v>135</v>
      </c>
      <c r="D275" s="27">
        <v>1</v>
      </c>
      <c r="E275" s="709">
        <v>168.1</v>
      </c>
      <c r="F275" s="723">
        <v>168.1</v>
      </c>
      <c r="G275" s="28"/>
      <c r="H275" s="651">
        <v>0</v>
      </c>
      <c r="I275" s="39">
        <v>0</v>
      </c>
      <c r="J275" s="39">
        <v>0</v>
      </c>
      <c r="K275" s="52">
        <v>0</v>
      </c>
      <c r="L275" s="39">
        <v>0</v>
      </c>
      <c r="M275" s="39">
        <v>0</v>
      </c>
      <c r="N275" s="52">
        <v>0</v>
      </c>
      <c r="O275" s="39">
        <v>0</v>
      </c>
      <c r="P275" s="39">
        <v>0</v>
      </c>
      <c r="Q275" s="52">
        <v>0</v>
      </c>
      <c r="R275" s="39">
        <v>0</v>
      </c>
      <c r="S275" s="39">
        <v>0</v>
      </c>
      <c r="T275" s="52">
        <v>0</v>
      </c>
      <c r="U275" s="39">
        <v>0</v>
      </c>
      <c r="V275" s="39">
        <v>0</v>
      </c>
      <c r="W275" s="52">
        <v>0</v>
      </c>
      <c r="X275" s="39">
        <v>0</v>
      </c>
      <c r="Y275" s="39">
        <v>0</v>
      </c>
      <c r="Z275" s="52">
        <v>0</v>
      </c>
      <c r="AA275" s="39">
        <v>0</v>
      </c>
      <c r="AB275" s="39">
        <v>0</v>
      </c>
      <c r="AC275" s="52">
        <v>0</v>
      </c>
      <c r="AD275" s="39">
        <v>0</v>
      </c>
      <c r="AE275" s="39">
        <v>100.52156311688498</v>
      </c>
      <c r="AF275" s="35">
        <v>100.52156311688498</v>
      </c>
      <c r="AG275" s="77">
        <v>0</v>
      </c>
      <c r="AH275" s="53">
        <v>100.52156311688498</v>
      </c>
      <c r="AI275" s="52">
        <v>100.52156311688498</v>
      </c>
      <c r="AJ275" s="39">
        <v>0</v>
      </c>
      <c r="AK275" s="39">
        <v>0</v>
      </c>
      <c r="AL275" s="52">
        <v>0</v>
      </c>
      <c r="AM275" s="39">
        <v>0</v>
      </c>
      <c r="AN275" s="39">
        <v>0</v>
      </c>
      <c r="AO275" s="52">
        <v>0</v>
      </c>
      <c r="AP275" s="39">
        <v>47.350882144682487</v>
      </c>
      <c r="AQ275" s="39">
        <v>0</v>
      </c>
      <c r="AR275" s="52">
        <v>-47.350882144682487</v>
      </c>
      <c r="AS275" s="39">
        <v>337.25477452587961</v>
      </c>
      <c r="AT275" s="39">
        <v>0</v>
      </c>
      <c r="AU275" s="54">
        <v>-337.25477452587961</v>
      </c>
      <c r="AV275" s="39">
        <v>0</v>
      </c>
      <c r="AW275" s="39">
        <v>0</v>
      </c>
      <c r="AX275" s="55">
        <v>0</v>
      </c>
      <c r="AY275" s="39">
        <v>0</v>
      </c>
      <c r="AZ275" s="39">
        <v>0</v>
      </c>
      <c r="BA275" s="35">
        <v>0</v>
      </c>
      <c r="BB275" s="39">
        <v>0</v>
      </c>
      <c r="BC275" s="39">
        <v>0</v>
      </c>
      <c r="BD275" s="55">
        <v>0</v>
      </c>
      <c r="BE275" s="39">
        <v>0</v>
      </c>
      <c r="BF275" s="39">
        <v>0</v>
      </c>
      <c r="BG275" s="38">
        <v>0</v>
      </c>
      <c r="BH275" s="39">
        <v>0</v>
      </c>
      <c r="BI275" s="39">
        <v>0</v>
      </c>
      <c r="BJ275" s="55">
        <v>0</v>
      </c>
      <c r="BK275" s="39">
        <v>0</v>
      </c>
      <c r="BL275" s="39">
        <v>0</v>
      </c>
      <c r="BM275" s="38">
        <v>0</v>
      </c>
      <c r="BN275" s="39">
        <v>0</v>
      </c>
      <c r="BO275" s="39">
        <v>0</v>
      </c>
      <c r="BP275" s="55">
        <v>0</v>
      </c>
      <c r="BQ275" s="77">
        <v>0</v>
      </c>
      <c r="BR275" s="40">
        <v>0</v>
      </c>
      <c r="BS275" s="55">
        <v>0</v>
      </c>
      <c r="BT275" s="39">
        <v>0</v>
      </c>
      <c r="BU275" s="39">
        <v>0</v>
      </c>
      <c r="BV275" s="52">
        <v>0</v>
      </c>
      <c r="BW275" s="39">
        <v>0</v>
      </c>
      <c r="BX275" s="39">
        <v>0.68045377665929396</v>
      </c>
      <c r="BY275" s="52">
        <v>0.68045377665929396</v>
      </c>
      <c r="BZ275" s="39">
        <v>0</v>
      </c>
      <c r="CA275" s="39">
        <v>0</v>
      </c>
      <c r="CB275" s="52">
        <v>0</v>
      </c>
      <c r="CC275" s="39">
        <v>0</v>
      </c>
      <c r="CD275" s="39">
        <v>0</v>
      </c>
      <c r="CE275" s="52">
        <v>0</v>
      </c>
      <c r="CF275" s="39">
        <v>0</v>
      </c>
      <c r="CG275" s="39">
        <v>0</v>
      </c>
      <c r="CH275" s="52">
        <v>0</v>
      </c>
      <c r="CI275" s="39">
        <v>0</v>
      </c>
      <c r="CJ275" s="39">
        <v>0</v>
      </c>
      <c r="CK275" s="52">
        <v>0</v>
      </c>
      <c r="CL275" s="39">
        <v>0</v>
      </c>
      <c r="CM275" s="39">
        <v>0</v>
      </c>
      <c r="CN275" s="52">
        <v>0</v>
      </c>
      <c r="CO275" s="39">
        <v>0</v>
      </c>
      <c r="CP275" s="40">
        <v>0</v>
      </c>
      <c r="CQ275" s="52">
        <v>0</v>
      </c>
      <c r="CR275" s="72">
        <v>384.6056566705621</v>
      </c>
      <c r="CS275" s="5">
        <v>101.20201689354427</v>
      </c>
      <c r="CT275" s="52">
        <v>-283.40363977701782</v>
      </c>
      <c r="CU275" s="77">
        <v>461.52678800467447</v>
      </c>
      <c r="CV275" s="65">
        <v>121.44242027225312</v>
      </c>
      <c r="CW275" s="35">
        <v>-340.08436773242136</v>
      </c>
      <c r="CX275" s="39">
        <v>11.538169700116862</v>
      </c>
      <c r="CY275" s="39">
        <v>351.62253743253819</v>
      </c>
      <c r="CZ275" s="52">
        <v>340.08436773242136</v>
      </c>
      <c r="DA275" s="150">
        <v>-5007.9313106934715</v>
      </c>
      <c r="DB275" s="2">
        <v>3</v>
      </c>
      <c r="DC275" s="713">
        <v>1110.8900000000001</v>
      </c>
      <c r="DD275" s="714"/>
      <c r="DE275" s="715">
        <v>874.35752114760442</v>
      </c>
      <c r="DF275" s="716">
        <v>0</v>
      </c>
      <c r="DG275" s="717">
        <v>-2838.0166205772493</v>
      </c>
      <c r="DH275" s="718">
        <v>2328.0189850830884</v>
      </c>
      <c r="DI275" s="718">
        <v>5676.7794924574955</v>
      </c>
      <c r="DJ275" s="693">
        <v>4839.5893656138942</v>
      </c>
      <c r="DK275" s="724"/>
      <c r="DL275" s="5"/>
      <c r="DM275" s="306">
        <v>1.40709386586791</v>
      </c>
      <c r="DN275" s="306"/>
      <c r="DO275" s="306">
        <v>1.40709386586791</v>
      </c>
      <c r="DP275" s="719">
        <v>236.53247885239566</v>
      </c>
      <c r="DQ275" s="720">
        <v>0</v>
      </c>
      <c r="DR275" s="650">
        <v>236.53247885239566</v>
      </c>
      <c r="DS275" s="94">
        <v>236.53247885239566</v>
      </c>
      <c r="DT275" s="719">
        <v>236.53</v>
      </c>
      <c r="DU275" s="721"/>
      <c r="DV275" s="93">
        <v>236.53</v>
      </c>
      <c r="DW275" s="95">
        <v>237.68629582240735</v>
      </c>
      <c r="DX275" s="28">
        <v>-1.1562958224073441</v>
      </c>
      <c r="EA275" s="5">
        <v>404.70572943105554</v>
      </c>
      <c r="EB275" s="5">
        <v>0</v>
      </c>
      <c r="EE275" s="722">
        <v>4047.0572943105553</v>
      </c>
      <c r="EG275" s="42" t="s">
        <v>135</v>
      </c>
    </row>
    <row r="276" spans="1:137" x14ac:dyDescent="0.3">
      <c r="A276" s="325">
        <v>150000795</v>
      </c>
      <c r="B276" s="41" t="s">
        <v>749</v>
      </c>
      <c r="C276" s="42" t="s">
        <v>292</v>
      </c>
      <c r="D276" s="27">
        <v>5</v>
      </c>
      <c r="E276" s="709">
        <v>2762.24</v>
      </c>
      <c r="F276" s="723">
        <v>2762.24</v>
      </c>
      <c r="G276" s="28"/>
      <c r="H276" s="651">
        <v>0</v>
      </c>
      <c r="I276" s="39">
        <v>1759.6365152423575</v>
      </c>
      <c r="J276" s="39">
        <v>1667.6355864744392</v>
      </c>
      <c r="K276" s="52">
        <v>-92.000928767918367</v>
      </c>
      <c r="L276" s="39">
        <v>332.43932844451967</v>
      </c>
      <c r="M276" s="39">
        <v>287.69234276414704</v>
      </c>
      <c r="N276" s="52">
        <v>-44.746985680372632</v>
      </c>
      <c r="O276" s="39">
        <v>0</v>
      </c>
      <c r="P276" s="39">
        <v>0</v>
      </c>
      <c r="Q276" s="52">
        <v>0</v>
      </c>
      <c r="R276" s="39">
        <v>0</v>
      </c>
      <c r="S276" s="39">
        <v>0</v>
      </c>
      <c r="T276" s="52">
        <v>0</v>
      </c>
      <c r="U276" s="39">
        <v>0</v>
      </c>
      <c r="V276" s="39">
        <v>0</v>
      </c>
      <c r="W276" s="52">
        <v>0</v>
      </c>
      <c r="X276" s="39">
        <v>1181.996657516398</v>
      </c>
      <c r="Y276" s="39">
        <v>829.0023433016836</v>
      </c>
      <c r="Z276" s="52">
        <v>-352.99431421471445</v>
      </c>
      <c r="AA276" s="39">
        <v>0</v>
      </c>
      <c r="AB276" s="39">
        <v>0</v>
      </c>
      <c r="AC276" s="52">
        <v>0</v>
      </c>
      <c r="AD276" s="39">
        <v>1968.478815712914</v>
      </c>
      <c r="AE276" s="39">
        <v>1651.7827632598712</v>
      </c>
      <c r="AF276" s="35">
        <v>-316.69605245304274</v>
      </c>
      <c r="AG276" s="77">
        <v>5242.5513169161895</v>
      </c>
      <c r="AH276" s="53">
        <v>4436.113035800141</v>
      </c>
      <c r="AI276" s="52">
        <v>-806.43828111604853</v>
      </c>
      <c r="AJ276" s="39">
        <v>0</v>
      </c>
      <c r="AK276" s="39">
        <v>0</v>
      </c>
      <c r="AL276" s="52">
        <v>0</v>
      </c>
      <c r="AM276" s="39">
        <v>0</v>
      </c>
      <c r="AN276" s="39">
        <v>0</v>
      </c>
      <c r="AO276" s="52">
        <v>0</v>
      </c>
      <c r="AP276" s="39">
        <v>473.50882144682487</v>
      </c>
      <c r="AQ276" s="39">
        <v>0</v>
      </c>
      <c r="AR276" s="52">
        <v>-473.50882144682487</v>
      </c>
      <c r="AS276" s="39">
        <v>6187.3527149777783</v>
      </c>
      <c r="AT276" s="39">
        <v>443</v>
      </c>
      <c r="AU276" s="54">
        <v>-5744.3527149777783</v>
      </c>
      <c r="AV276" s="39">
        <v>293.68451802447441</v>
      </c>
      <c r="AW276" s="39">
        <v>0</v>
      </c>
      <c r="AX276" s="55">
        <v>-293.68451802447441</v>
      </c>
      <c r="AY276" s="39">
        <v>428.45713760025609</v>
      </c>
      <c r="AZ276" s="39">
        <v>2922</v>
      </c>
      <c r="BA276" s="35">
        <v>2493.5428623997441</v>
      </c>
      <c r="BB276" s="39">
        <v>0</v>
      </c>
      <c r="BC276" s="39">
        <v>0</v>
      </c>
      <c r="BD276" s="55">
        <v>0</v>
      </c>
      <c r="BE276" s="39">
        <v>0</v>
      </c>
      <c r="BF276" s="39">
        <v>0</v>
      </c>
      <c r="BG276" s="38">
        <v>0</v>
      </c>
      <c r="BH276" s="39">
        <v>0</v>
      </c>
      <c r="BI276" s="39">
        <v>0</v>
      </c>
      <c r="BJ276" s="55">
        <v>0</v>
      </c>
      <c r="BK276" s="39">
        <v>264.95478811646899</v>
      </c>
      <c r="BL276" s="39">
        <v>0</v>
      </c>
      <c r="BM276" s="38">
        <v>-264.95478811646899</v>
      </c>
      <c r="BN276" s="39">
        <v>0</v>
      </c>
      <c r="BO276" s="39">
        <v>0</v>
      </c>
      <c r="BP276" s="55">
        <v>0</v>
      </c>
      <c r="BQ276" s="77">
        <v>987.09644374119944</v>
      </c>
      <c r="BR276" s="40">
        <v>2922</v>
      </c>
      <c r="BS276" s="55">
        <v>1934.9035562588006</v>
      </c>
      <c r="BT276" s="39">
        <v>7357.6898695921918</v>
      </c>
      <c r="BU276" s="39">
        <v>1207.0270425088597</v>
      </c>
      <c r="BV276" s="52">
        <v>-6150.6628270833316</v>
      </c>
      <c r="BW276" s="39">
        <v>2980.7044766115614</v>
      </c>
      <c r="BX276" s="39">
        <v>2088.6408469261446</v>
      </c>
      <c r="BY276" s="52">
        <v>-892.0636296854168</v>
      </c>
      <c r="BZ276" s="39">
        <v>1458.6285460751567</v>
      </c>
      <c r="CA276" s="39">
        <v>6153.0610742364734</v>
      </c>
      <c r="CB276" s="52">
        <v>4694.4325281613164</v>
      </c>
      <c r="CC276" s="39">
        <v>287.26944593376311</v>
      </c>
      <c r="CD276" s="39">
        <v>283.41195836686791</v>
      </c>
      <c r="CE276" s="52">
        <v>-3.8574875668952018</v>
      </c>
      <c r="CF276" s="39">
        <v>35.364609821391298</v>
      </c>
      <c r="CG276" s="39">
        <v>0</v>
      </c>
      <c r="CH276" s="52">
        <v>-35.364609821391298</v>
      </c>
      <c r="CI276" s="39">
        <v>1113.692748042932</v>
      </c>
      <c r="CJ276" s="39">
        <v>1201.0241187320221</v>
      </c>
      <c r="CK276" s="52">
        <v>87.331370689090136</v>
      </c>
      <c r="CL276" s="39">
        <v>0</v>
      </c>
      <c r="CM276" s="39">
        <v>0</v>
      </c>
      <c r="CN276" s="52">
        <v>0</v>
      </c>
      <c r="CO276" s="39">
        <v>1113.692748042932</v>
      </c>
      <c r="CP276" s="40">
        <v>1201.0241187320221</v>
      </c>
      <c r="CQ276" s="52">
        <v>87.331370689090136</v>
      </c>
      <c r="CR276" s="72">
        <v>26123.858993158989</v>
      </c>
      <c r="CS276" s="5">
        <v>18734.278076570507</v>
      </c>
      <c r="CT276" s="52">
        <v>-7389.5809165884821</v>
      </c>
      <c r="CU276" s="77">
        <v>31348.630791790783</v>
      </c>
      <c r="CV276" s="65">
        <v>22481.133691884606</v>
      </c>
      <c r="CW276" s="35">
        <v>-8867.497099906177</v>
      </c>
      <c r="CX276" s="39">
        <v>0</v>
      </c>
      <c r="CY276" s="39">
        <v>8867.4970999061734</v>
      </c>
      <c r="CZ276" s="52">
        <v>8867.4970999061734</v>
      </c>
      <c r="DA276" s="150">
        <v>9568.5355530273991</v>
      </c>
      <c r="DB276" s="2">
        <v>3</v>
      </c>
      <c r="DC276" s="713">
        <v>20281.96</v>
      </c>
      <c r="DD276" s="714"/>
      <c r="DE276" s="715">
        <v>4607.6446041046074</v>
      </c>
      <c r="DF276" s="716">
        <v>0</v>
      </c>
      <c r="DG276" s="717">
        <v>3476.8640158891449</v>
      </c>
      <c r="DH276" s="718">
        <v>149971.77028080568</v>
      </c>
      <c r="DI276" s="718">
        <v>376183.5695014894</v>
      </c>
      <c r="DJ276" s="693">
        <v>319630.61969631846</v>
      </c>
      <c r="DK276" s="724"/>
      <c r="DL276" s="5"/>
      <c r="DM276" s="306">
        <v>5.674494394366671</v>
      </c>
      <c r="DN276" s="306"/>
      <c r="DO276" s="306">
        <v>5.0270406300424497</v>
      </c>
      <c r="DP276" s="719">
        <v>15674.315395895392</v>
      </c>
      <c r="DQ276" s="720">
        <v>0</v>
      </c>
      <c r="DR276" s="650">
        <v>15674.315395895392</v>
      </c>
      <c r="DS276" s="94">
        <v>15674.315395895392</v>
      </c>
      <c r="DT276" s="719">
        <v>15674.67</v>
      </c>
      <c r="DU276" s="721"/>
      <c r="DV276" s="93">
        <v>15674.67</v>
      </c>
      <c r="DW276" s="95">
        <v>15674.315395895392</v>
      </c>
      <c r="DX276" s="28">
        <v>0.35460410460837011</v>
      </c>
      <c r="EA276" s="5">
        <v>8609.3389904627729</v>
      </c>
      <c r="EB276" s="5">
        <v>4038</v>
      </c>
      <c r="EE276" s="722">
        <v>74248.232579733332</v>
      </c>
      <c r="EG276" s="42" t="s">
        <v>292</v>
      </c>
    </row>
    <row r="277" spans="1:137" x14ac:dyDescent="0.3">
      <c r="A277" s="325">
        <v>150000832</v>
      </c>
      <c r="B277" s="41" t="s">
        <v>750</v>
      </c>
      <c r="C277" s="42" t="s">
        <v>423</v>
      </c>
      <c r="D277" s="27">
        <v>10</v>
      </c>
      <c r="E277" s="709">
        <v>4396.8</v>
      </c>
      <c r="F277" s="723">
        <v>4396.8</v>
      </c>
      <c r="G277" s="28">
        <v>394.3</v>
      </c>
      <c r="H277" s="651">
        <v>0</v>
      </c>
      <c r="I277" s="39">
        <v>2772.9413641345659</v>
      </c>
      <c r="J277" s="39">
        <v>2076.9633239958716</v>
      </c>
      <c r="K277" s="52">
        <v>-695.97804013869427</v>
      </c>
      <c r="L277" s="39">
        <v>426.44292755302081</v>
      </c>
      <c r="M277" s="39">
        <v>222.6219075026863</v>
      </c>
      <c r="N277" s="52">
        <v>-203.82102005033451</v>
      </c>
      <c r="O277" s="39">
        <v>1119.7</v>
      </c>
      <c r="P277" s="39">
        <v>1119.7</v>
      </c>
      <c r="Q277" s="52">
        <v>0</v>
      </c>
      <c r="R277" s="39">
        <v>224.62</v>
      </c>
      <c r="S277" s="39">
        <v>224.62</v>
      </c>
      <c r="T277" s="52">
        <v>0</v>
      </c>
      <c r="U277" s="39">
        <v>88.645113504097054</v>
      </c>
      <c r="V277" s="39">
        <v>23.907918782150862</v>
      </c>
      <c r="W277" s="52">
        <v>-64.737194721946196</v>
      </c>
      <c r="X277" s="39">
        <v>1206.9765271512726</v>
      </c>
      <c r="Y277" s="39">
        <v>735.0313339550687</v>
      </c>
      <c r="Z277" s="52">
        <v>-471.94519319620395</v>
      </c>
      <c r="AA277" s="39">
        <v>0</v>
      </c>
      <c r="AB277" s="39">
        <v>0</v>
      </c>
      <c r="AC277" s="52">
        <v>0</v>
      </c>
      <c r="AD277" s="39">
        <v>3133.3293475319092</v>
      </c>
      <c r="AE277" s="39">
        <v>2629.2278923992853</v>
      </c>
      <c r="AF277" s="35">
        <v>-504.10145513262387</v>
      </c>
      <c r="AG277" s="77">
        <v>8972.6552798748653</v>
      </c>
      <c r="AH277" s="53">
        <v>7032.072376635062</v>
      </c>
      <c r="AI277" s="52">
        <v>-1940.5829032398033</v>
      </c>
      <c r="AJ277" s="39">
        <v>7106.4203922739471</v>
      </c>
      <c r="AK277" s="39">
        <v>7010.9945518431205</v>
      </c>
      <c r="AL277" s="52">
        <v>-95.425840430826611</v>
      </c>
      <c r="AM277" s="39">
        <v>0</v>
      </c>
      <c r="AN277" s="39">
        <v>0</v>
      </c>
      <c r="AO277" s="52">
        <v>0</v>
      </c>
      <c r="AP277" s="39">
        <v>631.34509526243312</v>
      </c>
      <c r="AQ277" s="39">
        <v>0</v>
      </c>
      <c r="AR277" s="52">
        <v>-631.34509526243312</v>
      </c>
      <c r="AS277" s="39">
        <v>10322.180931511321</v>
      </c>
      <c r="AT277" s="39">
        <v>581</v>
      </c>
      <c r="AU277" s="54">
        <v>-9741.1809315113205</v>
      </c>
      <c r="AV277" s="39">
        <v>214.40752078805031</v>
      </c>
      <c r="AW277" s="39">
        <v>0</v>
      </c>
      <c r="AX277" s="55">
        <v>-214.40752078805031</v>
      </c>
      <c r="AY277" s="39">
        <v>249.06583069279796</v>
      </c>
      <c r="AZ277" s="39">
        <v>0</v>
      </c>
      <c r="BA277" s="35">
        <v>-249.06583069279796</v>
      </c>
      <c r="BB277" s="39">
        <v>226.77710403175575</v>
      </c>
      <c r="BC277" s="39">
        <v>0</v>
      </c>
      <c r="BD277" s="55">
        <v>-226.77710403175575</v>
      </c>
      <c r="BE277" s="39">
        <v>128.6876472295032</v>
      </c>
      <c r="BF277" s="39">
        <v>0</v>
      </c>
      <c r="BG277" s="38">
        <v>-128.6876472295032</v>
      </c>
      <c r="BH277" s="39">
        <v>44.980177589529568</v>
      </c>
      <c r="BI277" s="39">
        <v>0</v>
      </c>
      <c r="BJ277" s="55">
        <v>-44.980177589529568</v>
      </c>
      <c r="BK277" s="39">
        <v>133.23107334635267</v>
      </c>
      <c r="BL277" s="39">
        <v>0</v>
      </c>
      <c r="BM277" s="38">
        <v>-133.23107334635267</v>
      </c>
      <c r="BN277" s="39">
        <v>79.878797055444863</v>
      </c>
      <c r="BO277" s="39">
        <v>0</v>
      </c>
      <c r="BP277" s="55">
        <v>-79.878797055444863</v>
      </c>
      <c r="BQ277" s="77">
        <v>1077.0281507334344</v>
      </c>
      <c r="BR277" s="40">
        <v>0</v>
      </c>
      <c r="BS277" s="55">
        <v>-1077.0281507334344</v>
      </c>
      <c r="BT277" s="39">
        <v>11956.9359590036</v>
      </c>
      <c r="BU277" s="39">
        <v>2678.6072144201662</v>
      </c>
      <c r="BV277" s="52">
        <v>-9278.3287445834339</v>
      </c>
      <c r="BW277" s="39">
        <v>7934.1147340712114</v>
      </c>
      <c r="BX277" s="39">
        <v>8451.1519462199976</v>
      </c>
      <c r="BY277" s="52">
        <v>517.03721214878624</v>
      </c>
      <c r="BZ277" s="39">
        <v>822.31395306956858</v>
      </c>
      <c r="CA277" s="39">
        <v>11105.636839352108</v>
      </c>
      <c r="CB277" s="52">
        <v>10283.32288628254</v>
      </c>
      <c r="CC277" s="39">
        <v>234.32558900399107</v>
      </c>
      <c r="CD277" s="39">
        <v>231.17903771222336</v>
      </c>
      <c r="CE277" s="52">
        <v>-3.1465512917677074</v>
      </c>
      <c r="CF277" s="39">
        <v>28.846900161476174</v>
      </c>
      <c r="CG277" s="39">
        <v>0</v>
      </c>
      <c r="CH277" s="52">
        <v>-28.846900161476174</v>
      </c>
      <c r="CI277" s="39">
        <v>2735.8782633995838</v>
      </c>
      <c r="CJ277" s="39">
        <v>4946.5998097714946</v>
      </c>
      <c r="CK277" s="52">
        <v>2210.7215463719108</v>
      </c>
      <c r="CL277" s="39">
        <v>979.55048427305508</v>
      </c>
      <c r="CM277" s="39">
        <v>1209.7660289673254</v>
      </c>
      <c r="CN277" s="52">
        <v>230.21554469427031</v>
      </c>
      <c r="CO277" s="39">
        <v>3715.428747672639</v>
      </c>
      <c r="CP277" s="40">
        <v>6156.3658387388205</v>
      </c>
      <c r="CQ277" s="52">
        <v>2440.9370910661814</v>
      </c>
      <c r="CR277" s="72">
        <v>52801.595732638489</v>
      </c>
      <c r="CS277" s="5">
        <v>43247.007804921501</v>
      </c>
      <c r="CT277" s="52">
        <v>-9554.5879277169879</v>
      </c>
      <c r="CU277" s="77">
        <v>63361.914879166186</v>
      </c>
      <c r="CV277" s="65">
        <v>51896.409365905798</v>
      </c>
      <c r="CW277" s="35">
        <v>-11465.505513260388</v>
      </c>
      <c r="CX277" s="39">
        <v>633.61914879166193</v>
      </c>
      <c r="CY277" s="39">
        <v>12099.124662052051</v>
      </c>
      <c r="CZ277" s="52">
        <v>11465.505513260388</v>
      </c>
      <c r="DA277" s="150">
        <v>-45589.572232760387</v>
      </c>
      <c r="DB277" s="2">
        <v>1</v>
      </c>
      <c r="DC277" s="713">
        <v>59217.440000000002</v>
      </c>
      <c r="DD277" s="714">
        <v>0</v>
      </c>
      <c r="DE277" s="715">
        <v>27219.672986021076</v>
      </c>
      <c r="DF277" s="716">
        <v>0</v>
      </c>
      <c r="DG277" s="717">
        <v>-11302.01251298553</v>
      </c>
      <c r="DH277" s="718">
        <v>311770.39021330443</v>
      </c>
      <c r="DI277" s="718">
        <v>767946.40833549411</v>
      </c>
      <c r="DJ277" s="693">
        <v>653902.40380494669</v>
      </c>
      <c r="DK277" s="724"/>
      <c r="DL277" s="5"/>
      <c r="DM277" s="306">
        <v>6.163043273014793</v>
      </c>
      <c r="DN277" s="306">
        <v>7.3873026986706289</v>
      </c>
      <c r="DO277" s="306">
        <v>5.0695039878876198</v>
      </c>
      <c r="DP277" s="719">
        <v>31997.767013978926</v>
      </c>
      <c r="DQ277" s="720">
        <v>0</v>
      </c>
      <c r="DR277" s="650">
        <v>31997.767013978926</v>
      </c>
      <c r="DS277" s="94">
        <v>31997.767013978919</v>
      </c>
      <c r="DT277" s="719">
        <v>31997.78</v>
      </c>
      <c r="DU277" s="721">
        <v>0</v>
      </c>
      <c r="DV277" s="93">
        <v>31997.78</v>
      </c>
      <c r="DW277" s="95">
        <v>32061.128928858088</v>
      </c>
      <c r="DX277" s="28">
        <v>-63.348928858089494</v>
      </c>
      <c r="EA277" s="5">
        <v>13679.050898693706</v>
      </c>
      <c r="EB277" s="5">
        <v>697.19999999999993</v>
      </c>
      <c r="EE277" s="722">
        <v>123866.17117813585</v>
      </c>
      <c r="EG277" s="42" t="s">
        <v>423</v>
      </c>
    </row>
    <row r="278" spans="1:137" x14ac:dyDescent="0.3">
      <c r="A278" s="325">
        <v>150000833</v>
      </c>
      <c r="B278" s="41" t="s">
        <v>751</v>
      </c>
      <c r="C278" s="42" t="s">
        <v>393</v>
      </c>
      <c r="D278" s="27">
        <v>9</v>
      </c>
      <c r="E278" s="709">
        <v>4752.1000000000004</v>
      </c>
      <c r="F278" s="723">
        <v>4752.1000000000004</v>
      </c>
      <c r="G278" s="28">
        <v>455.3</v>
      </c>
      <c r="H278" s="651">
        <v>0</v>
      </c>
      <c r="I278" s="39">
        <v>2772.8912712419319</v>
      </c>
      <c r="J278" s="39">
        <v>2077.3161170608523</v>
      </c>
      <c r="K278" s="52">
        <v>-695.5751541810796</v>
      </c>
      <c r="L278" s="39">
        <v>393.00611582305254</v>
      </c>
      <c r="M278" s="39">
        <v>205.16641388792729</v>
      </c>
      <c r="N278" s="52">
        <v>-187.83970193512525</v>
      </c>
      <c r="O278" s="39">
        <v>1174.28</v>
      </c>
      <c r="P278" s="39">
        <v>1174.28</v>
      </c>
      <c r="Q278" s="52">
        <v>0</v>
      </c>
      <c r="R278" s="39">
        <v>242.64</v>
      </c>
      <c r="S278" s="39">
        <v>242.64</v>
      </c>
      <c r="T278" s="52">
        <v>0</v>
      </c>
      <c r="U278" s="39">
        <v>138.88381114641354</v>
      </c>
      <c r="V278" s="39">
        <v>55.224544984820191</v>
      </c>
      <c r="W278" s="52">
        <v>-83.659266161593337</v>
      </c>
      <c r="X278" s="39">
        <v>1167.3899526286189</v>
      </c>
      <c r="Y278" s="39">
        <v>2060.9031110130809</v>
      </c>
      <c r="Z278" s="52">
        <v>893.51315838446203</v>
      </c>
      <c r="AA278" s="39">
        <v>0</v>
      </c>
      <c r="AB278" s="39">
        <v>0</v>
      </c>
      <c r="AC278" s="52">
        <v>0</v>
      </c>
      <c r="AD278" s="39">
        <v>3386.5298381564744</v>
      </c>
      <c r="AE278" s="39">
        <v>2841.6925644720354</v>
      </c>
      <c r="AF278" s="35">
        <v>-544.83727368443897</v>
      </c>
      <c r="AG278" s="77">
        <v>9275.6209889964921</v>
      </c>
      <c r="AH278" s="53">
        <v>8657.2227514187161</v>
      </c>
      <c r="AI278" s="52">
        <v>-618.39823757777594</v>
      </c>
      <c r="AJ278" s="39">
        <v>5954.2675865454994</v>
      </c>
      <c r="AK278" s="39">
        <v>4266.5765021015841</v>
      </c>
      <c r="AL278" s="52">
        <v>-1687.6910844439153</v>
      </c>
      <c r="AM278" s="39">
        <v>0</v>
      </c>
      <c r="AN278" s="39">
        <v>0</v>
      </c>
      <c r="AO278" s="52">
        <v>0</v>
      </c>
      <c r="AP278" s="39">
        <v>631.34509526243312</v>
      </c>
      <c r="AQ278" s="39">
        <v>0</v>
      </c>
      <c r="AR278" s="52">
        <v>-631.34509526243312</v>
      </c>
      <c r="AS278" s="39">
        <v>11465.553840186622</v>
      </c>
      <c r="AT278" s="39">
        <v>418888</v>
      </c>
      <c r="AU278" s="54">
        <v>407422.44615981338</v>
      </c>
      <c r="AV278" s="39">
        <v>171.52601663044027</v>
      </c>
      <c r="AW278" s="39">
        <v>0</v>
      </c>
      <c r="AX278" s="55">
        <v>-171.52601663044027</v>
      </c>
      <c r="AY278" s="39">
        <v>185.23402568086527</v>
      </c>
      <c r="AZ278" s="39">
        <v>0</v>
      </c>
      <c r="BA278" s="35">
        <v>-185.23402568086527</v>
      </c>
      <c r="BB278" s="39">
        <v>229.91088521272141</v>
      </c>
      <c r="BC278" s="39">
        <v>0</v>
      </c>
      <c r="BD278" s="55">
        <v>-229.91088521272141</v>
      </c>
      <c r="BE278" s="39">
        <v>111.16789026792613</v>
      </c>
      <c r="BF278" s="39">
        <v>0</v>
      </c>
      <c r="BG278" s="38">
        <v>-111.16789026792613</v>
      </c>
      <c r="BH278" s="39">
        <v>56.371262847709524</v>
      </c>
      <c r="BI278" s="39">
        <v>8442</v>
      </c>
      <c r="BJ278" s="55">
        <v>8385.6287371522903</v>
      </c>
      <c r="BK278" s="39">
        <v>105.1618901772249</v>
      </c>
      <c r="BL278" s="39">
        <v>9612</v>
      </c>
      <c r="BM278" s="38">
        <v>9506.8381098227746</v>
      </c>
      <c r="BN278" s="39">
        <v>78.880070559382432</v>
      </c>
      <c r="BO278" s="39">
        <v>0</v>
      </c>
      <c r="BP278" s="55">
        <v>-78.880070559382432</v>
      </c>
      <c r="BQ278" s="77">
        <v>938.25204137626997</v>
      </c>
      <c r="BR278" s="40">
        <v>18054</v>
      </c>
      <c r="BS278" s="55">
        <v>17115.747958623731</v>
      </c>
      <c r="BT278" s="39">
        <v>10642.112670513292</v>
      </c>
      <c r="BU278" s="39">
        <v>2482.4823715893294</v>
      </c>
      <c r="BV278" s="52">
        <v>-8159.630298923963</v>
      </c>
      <c r="BW278" s="39">
        <v>6864.3542547369134</v>
      </c>
      <c r="BX278" s="39">
        <v>7469.2908502911396</v>
      </c>
      <c r="BY278" s="52">
        <v>604.93659555422619</v>
      </c>
      <c r="BZ278" s="39">
        <v>1255.1107704746041</v>
      </c>
      <c r="CA278" s="39">
        <v>10375.187446525044</v>
      </c>
      <c r="CB278" s="52">
        <v>9120.0766760504393</v>
      </c>
      <c r="CC278" s="39">
        <v>261.97404762287204</v>
      </c>
      <c r="CD278" s="39">
        <v>258.45622960964886</v>
      </c>
      <c r="CE278" s="52">
        <v>-3.5178180132231773</v>
      </c>
      <c r="CF278" s="39">
        <v>32.250592983876295</v>
      </c>
      <c r="CG278" s="39">
        <v>0</v>
      </c>
      <c r="CH278" s="52">
        <v>-32.250592983876295</v>
      </c>
      <c r="CI278" s="39">
        <v>708.14636920376904</v>
      </c>
      <c r="CJ278" s="39">
        <v>757.19248679485781</v>
      </c>
      <c r="CK278" s="52">
        <v>49.046117591088773</v>
      </c>
      <c r="CL278" s="39">
        <v>3968.1153375647327</v>
      </c>
      <c r="CM278" s="39">
        <v>8182.3999627990161</v>
      </c>
      <c r="CN278" s="52">
        <v>4214.2846252342833</v>
      </c>
      <c r="CO278" s="39">
        <v>4676.2617067685014</v>
      </c>
      <c r="CP278" s="40">
        <v>8939.5924495938743</v>
      </c>
      <c r="CQ278" s="52">
        <v>4263.3307428253729</v>
      </c>
      <c r="CR278" s="72">
        <v>51997.103595467364</v>
      </c>
      <c r="CS278" s="5">
        <v>479390.80860112939</v>
      </c>
      <c r="CT278" s="52">
        <v>427393.70500566205</v>
      </c>
      <c r="CU278" s="77">
        <v>62396.524314560833</v>
      </c>
      <c r="CV278" s="65">
        <v>575268.97032135527</v>
      </c>
      <c r="CW278" s="35">
        <v>512872.44600679446</v>
      </c>
      <c r="CX278" s="39">
        <v>935.94786471841246</v>
      </c>
      <c r="CY278" s="39">
        <v>-511936.49814207602</v>
      </c>
      <c r="CZ278" s="52">
        <v>-512872.4460067944</v>
      </c>
      <c r="DA278" s="150">
        <v>485682.97341676115</v>
      </c>
      <c r="DB278" s="2">
        <v>1</v>
      </c>
      <c r="DC278" s="713">
        <v>59557.07</v>
      </c>
      <c r="DD278" s="714"/>
      <c r="DE278" s="715">
        <v>27890.833910360372</v>
      </c>
      <c r="DF278" s="716">
        <v>0</v>
      </c>
      <c r="DG278" s="717">
        <v>-35057.635144168147</v>
      </c>
      <c r="DH278" s="718">
        <v>313140.74401397782</v>
      </c>
      <c r="DI278" s="718">
        <v>759989.66615135095</v>
      </c>
      <c r="DJ278" s="693">
        <v>648277.43561700766</v>
      </c>
      <c r="DK278" s="724"/>
      <c r="DL278" s="5"/>
      <c r="DM278" s="306">
        <v>5.3920382333823982</v>
      </c>
      <c r="DN278" s="306">
        <v>6.7983711324661655</v>
      </c>
      <c r="DO278" s="306">
        <v>4.5123446787150341</v>
      </c>
      <c r="DP278" s="719">
        <v>31666.236089639628</v>
      </c>
      <c r="DQ278" s="720">
        <v>0</v>
      </c>
      <c r="DR278" s="650">
        <v>31666.236089639628</v>
      </c>
      <c r="DS278" s="94">
        <v>31666.23608963962</v>
      </c>
      <c r="DT278" s="719">
        <v>31666.29</v>
      </c>
      <c r="DU278" s="721"/>
      <c r="DV278" s="93">
        <v>31666.29</v>
      </c>
      <c r="DW278" s="95">
        <v>31759.830876111468</v>
      </c>
      <c r="DX278" s="28">
        <v>-93.540876111466787</v>
      </c>
      <c r="EA278" s="5">
        <v>14884.567057875469</v>
      </c>
      <c r="EB278" s="5">
        <v>524330.4</v>
      </c>
      <c r="EE278" s="722">
        <v>137586.64608223946</v>
      </c>
      <c r="EG278" s="42" t="s">
        <v>393</v>
      </c>
    </row>
    <row r="279" spans="1:137" x14ac:dyDescent="0.3">
      <c r="A279" s="325">
        <v>150000836</v>
      </c>
      <c r="B279" s="41" t="s">
        <v>752</v>
      </c>
      <c r="C279" s="42" t="s">
        <v>199</v>
      </c>
      <c r="D279" s="27">
        <v>3</v>
      </c>
      <c r="E279" s="709">
        <v>1578.7</v>
      </c>
      <c r="F279" s="723">
        <v>1578.7</v>
      </c>
      <c r="G279" s="28"/>
      <c r="H279" s="651">
        <v>0</v>
      </c>
      <c r="I279" s="39">
        <v>1086.8459842226634</v>
      </c>
      <c r="J279" s="39">
        <v>808.85645874581292</v>
      </c>
      <c r="K279" s="52">
        <v>-277.98952547685053</v>
      </c>
      <c r="L279" s="39">
        <v>239.23492827996802</v>
      </c>
      <c r="M279" s="39">
        <v>124.89173971267853</v>
      </c>
      <c r="N279" s="52">
        <v>-114.34318856728949</v>
      </c>
      <c r="O279" s="39">
        <v>370.12</v>
      </c>
      <c r="P279" s="39">
        <v>370.12</v>
      </c>
      <c r="Q279" s="52">
        <v>0</v>
      </c>
      <c r="R279" s="39">
        <v>89.84</v>
      </c>
      <c r="S279" s="39">
        <v>89.84</v>
      </c>
      <c r="T279" s="52">
        <v>0</v>
      </c>
      <c r="U279" s="39">
        <v>35.448304571321643</v>
      </c>
      <c r="V279" s="39">
        <v>6.4141328801522883</v>
      </c>
      <c r="W279" s="52">
        <v>-29.034171691169355</v>
      </c>
      <c r="X279" s="39">
        <v>427.61588856909913</v>
      </c>
      <c r="Y279" s="39">
        <v>211.17181347197197</v>
      </c>
      <c r="Z279" s="52">
        <v>-216.44407509712715</v>
      </c>
      <c r="AA279" s="39">
        <v>0</v>
      </c>
      <c r="AB279" s="39">
        <v>0</v>
      </c>
      <c r="AC279" s="52">
        <v>0</v>
      </c>
      <c r="AD279" s="39">
        <v>1125.0425402448657</v>
      </c>
      <c r="AE279" s="39">
        <v>944.0415924605968</v>
      </c>
      <c r="AF279" s="35">
        <v>-181.00094778426887</v>
      </c>
      <c r="AG279" s="77">
        <v>3374.1476458879179</v>
      </c>
      <c r="AH279" s="53">
        <v>2555.3357372712126</v>
      </c>
      <c r="AI279" s="52">
        <v>-818.8119086167053</v>
      </c>
      <c r="AJ279" s="39">
        <v>0</v>
      </c>
      <c r="AK279" s="39">
        <v>0</v>
      </c>
      <c r="AL279" s="52">
        <v>0</v>
      </c>
      <c r="AM279" s="39">
        <v>0</v>
      </c>
      <c r="AN279" s="39">
        <v>0</v>
      </c>
      <c r="AO279" s="52">
        <v>0</v>
      </c>
      <c r="AP279" s="39">
        <v>94.701764289364974</v>
      </c>
      <c r="AQ279" s="39">
        <v>0</v>
      </c>
      <c r="AR279" s="52">
        <v>-94.701764289364974</v>
      </c>
      <c r="AS279" s="39">
        <v>4361.3246293003276</v>
      </c>
      <c r="AT279" s="39">
        <v>0</v>
      </c>
      <c r="AU279" s="54">
        <v>-4361.3246293003276</v>
      </c>
      <c r="AV279" s="39">
        <v>196.24790144530206</v>
      </c>
      <c r="AW279" s="39">
        <v>0</v>
      </c>
      <c r="AX279" s="55">
        <v>-196.24790144530206</v>
      </c>
      <c r="AY279" s="39">
        <v>285.79135804273159</v>
      </c>
      <c r="AZ279" s="39">
        <v>0</v>
      </c>
      <c r="BA279" s="35">
        <v>-285.79135804273159</v>
      </c>
      <c r="BB279" s="39">
        <v>174.4002952120108</v>
      </c>
      <c r="BC279" s="39">
        <v>0</v>
      </c>
      <c r="BD279" s="55">
        <v>-174.4002952120108</v>
      </c>
      <c r="BE279" s="39">
        <v>106.53832154271349</v>
      </c>
      <c r="BF279" s="39">
        <v>0</v>
      </c>
      <c r="BG279" s="38">
        <v>-106.53832154271349</v>
      </c>
      <c r="BH279" s="39">
        <v>35.974450255696418</v>
      </c>
      <c r="BI279" s="39">
        <v>0</v>
      </c>
      <c r="BJ279" s="55">
        <v>-35.974450255696418</v>
      </c>
      <c r="BK279" s="39">
        <v>92.185307259032186</v>
      </c>
      <c r="BL279" s="39">
        <v>0</v>
      </c>
      <c r="BM279" s="38">
        <v>-92.185307259032186</v>
      </c>
      <c r="BN279" s="39">
        <v>31.907610498203873</v>
      </c>
      <c r="BO279" s="39">
        <v>0</v>
      </c>
      <c r="BP279" s="55">
        <v>-31.907610498203873</v>
      </c>
      <c r="BQ279" s="77">
        <v>923.04524425569048</v>
      </c>
      <c r="BR279" s="40">
        <v>0</v>
      </c>
      <c r="BS279" s="55">
        <v>-923.04524425569048</v>
      </c>
      <c r="BT279" s="39">
        <v>4683.7447847143994</v>
      </c>
      <c r="BU279" s="39">
        <v>1125.1962060268272</v>
      </c>
      <c r="BV279" s="52">
        <v>-3558.5485786875724</v>
      </c>
      <c r="BW279" s="39">
        <v>2022.4492303529128</v>
      </c>
      <c r="BX279" s="39">
        <v>1616.2158124508478</v>
      </c>
      <c r="BY279" s="52">
        <v>-406.23341790206496</v>
      </c>
      <c r="BZ279" s="39">
        <v>2163.9840870251805</v>
      </c>
      <c r="CA279" s="39">
        <v>5528.011600009575</v>
      </c>
      <c r="CB279" s="52">
        <v>3364.0275129843944</v>
      </c>
      <c r="CC279" s="39">
        <v>156.87068719932458</v>
      </c>
      <c r="CD279" s="39">
        <v>154.76420934709512</v>
      </c>
      <c r="CE279" s="52">
        <v>-2.1064778522294603</v>
      </c>
      <c r="CF279" s="39">
        <v>19.311732325674427</v>
      </c>
      <c r="CG279" s="39">
        <v>0</v>
      </c>
      <c r="CH279" s="52">
        <v>-19.311732325674427</v>
      </c>
      <c r="CI279" s="39">
        <v>648.87420614266057</v>
      </c>
      <c r="CJ279" s="39">
        <v>1195.9500134786213</v>
      </c>
      <c r="CK279" s="52">
        <v>547.07580733596069</v>
      </c>
      <c r="CL279" s="39">
        <v>0</v>
      </c>
      <c r="CM279" s="39">
        <v>0</v>
      </c>
      <c r="CN279" s="52">
        <v>0</v>
      </c>
      <c r="CO279" s="39">
        <v>648.87420614266057</v>
      </c>
      <c r="CP279" s="40">
        <v>1195.9500134786213</v>
      </c>
      <c r="CQ279" s="52">
        <v>547.07580733596069</v>
      </c>
      <c r="CR279" s="72">
        <v>18448.45401149345</v>
      </c>
      <c r="CS279" s="5">
        <v>12175.473578584179</v>
      </c>
      <c r="CT279" s="52">
        <v>-6272.9804329092713</v>
      </c>
      <c r="CU279" s="77">
        <v>22138.14481379214</v>
      </c>
      <c r="CV279" s="65">
        <v>14610.568294301014</v>
      </c>
      <c r="CW279" s="35">
        <v>-7527.5765194911255</v>
      </c>
      <c r="CX279" s="39">
        <v>221.38144813792141</v>
      </c>
      <c r="CY279" s="39">
        <v>7748.9579676290505</v>
      </c>
      <c r="CZ279" s="52">
        <v>7527.5765194911291</v>
      </c>
      <c r="DA279" s="150">
        <v>59959.035753938493</v>
      </c>
      <c r="DB279" s="2">
        <v>1</v>
      </c>
      <c r="DC279" s="713">
        <v>19637.87</v>
      </c>
      <c r="DD279" s="714"/>
      <c r="DE279" s="715">
        <v>8458.1068690349675</v>
      </c>
      <c r="DF279" s="716">
        <v>0</v>
      </c>
      <c r="DG279" s="717">
        <v>29408.749391087338</v>
      </c>
      <c r="DH279" s="718">
        <v>109937.11745697766</v>
      </c>
      <c r="DI279" s="718">
        <v>268314.31514316075</v>
      </c>
      <c r="DJ279" s="693">
        <v>228720.01572161494</v>
      </c>
      <c r="DK279" s="724"/>
      <c r="DL279" s="5"/>
      <c r="DM279" s="306">
        <v>7.0816261043675368</v>
      </c>
      <c r="DN279" s="306"/>
      <c r="DO279" s="306">
        <v>6.3052884635276909</v>
      </c>
      <c r="DP279" s="719">
        <v>11179.763130965031</v>
      </c>
      <c r="DQ279" s="720">
        <v>0</v>
      </c>
      <c r="DR279" s="650">
        <v>11179.763130965031</v>
      </c>
      <c r="DS279" s="94">
        <v>11179.763130965031</v>
      </c>
      <c r="DT279" s="719">
        <v>11179.7</v>
      </c>
      <c r="DU279" s="721"/>
      <c r="DV279" s="93">
        <v>11179.7</v>
      </c>
      <c r="DW279" s="95">
        <v>11201.901275778824</v>
      </c>
      <c r="DX279" s="28">
        <v>-22.201275778823401</v>
      </c>
      <c r="EA279" s="5">
        <v>6341.2438482672214</v>
      </c>
      <c r="EB279" s="5">
        <v>0</v>
      </c>
      <c r="EE279" s="722">
        <v>52335.895551603928</v>
      </c>
      <c r="EG279" s="42" t="s">
        <v>199</v>
      </c>
    </row>
    <row r="280" spans="1:137" x14ac:dyDescent="0.3">
      <c r="A280" s="325">
        <v>150000837</v>
      </c>
      <c r="B280" s="41" t="s">
        <v>753</v>
      </c>
      <c r="C280" s="42" t="s">
        <v>200</v>
      </c>
      <c r="D280" s="27">
        <v>3</v>
      </c>
      <c r="E280" s="709">
        <v>631.1</v>
      </c>
      <c r="F280" s="723">
        <v>525.20000000000005</v>
      </c>
      <c r="G280" s="28"/>
      <c r="H280" s="651">
        <v>105.9</v>
      </c>
      <c r="I280" s="39">
        <v>484.7768484533787</v>
      </c>
      <c r="J280" s="39">
        <v>360.26282695323118</v>
      </c>
      <c r="K280" s="52">
        <v>-124.51402150014752</v>
      </c>
      <c r="L280" s="39">
        <v>72.297167870152549</v>
      </c>
      <c r="M280" s="39">
        <v>37.742999467900788</v>
      </c>
      <c r="N280" s="52">
        <v>-34.554168402251761</v>
      </c>
      <c r="O280" s="39">
        <v>134.28</v>
      </c>
      <c r="P280" s="39">
        <v>134.28</v>
      </c>
      <c r="Q280" s="52">
        <v>0</v>
      </c>
      <c r="R280" s="39">
        <v>0</v>
      </c>
      <c r="S280" s="39">
        <v>0</v>
      </c>
      <c r="T280" s="52">
        <v>0</v>
      </c>
      <c r="U280" s="39">
        <v>0</v>
      </c>
      <c r="V280" s="39">
        <v>0</v>
      </c>
      <c r="W280" s="52">
        <v>0</v>
      </c>
      <c r="X280" s="39">
        <v>242.41668202897176</v>
      </c>
      <c r="Y280" s="39">
        <v>141.37007484958326</v>
      </c>
      <c r="Z280" s="52">
        <v>-101.0466071793885</v>
      </c>
      <c r="AA280" s="39">
        <v>0</v>
      </c>
      <c r="AB280" s="39">
        <v>0</v>
      </c>
      <c r="AC280" s="52">
        <v>0</v>
      </c>
      <c r="AD280" s="39">
        <v>449.7462134341767</v>
      </c>
      <c r="AE280" s="39">
        <v>377.38940204084543</v>
      </c>
      <c r="AF280" s="35">
        <v>-72.35681139333127</v>
      </c>
      <c r="AG280" s="77">
        <v>1383.5169117866797</v>
      </c>
      <c r="AH280" s="53">
        <v>1051.0453033115607</v>
      </c>
      <c r="AI280" s="52">
        <v>-332.47160847511896</v>
      </c>
      <c r="AJ280" s="39">
        <v>0</v>
      </c>
      <c r="AK280" s="39">
        <v>0</v>
      </c>
      <c r="AL280" s="52">
        <v>0</v>
      </c>
      <c r="AM280" s="39">
        <v>0</v>
      </c>
      <c r="AN280" s="39">
        <v>0</v>
      </c>
      <c r="AO280" s="52">
        <v>0</v>
      </c>
      <c r="AP280" s="39">
        <v>260.42985179575368</v>
      </c>
      <c r="AQ280" s="39">
        <v>0</v>
      </c>
      <c r="AR280" s="52">
        <v>-260.42985179575368</v>
      </c>
      <c r="AS280" s="39">
        <v>874.75995205603374</v>
      </c>
      <c r="AT280" s="39">
        <v>809</v>
      </c>
      <c r="AU280" s="54">
        <v>-65.75995205603374</v>
      </c>
      <c r="AV280" s="39">
        <v>91.799711134666694</v>
      </c>
      <c r="AW280" s="39">
        <v>0</v>
      </c>
      <c r="AX280" s="55">
        <v>-91.799711134666694</v>
      </c>
      <c r="AY280" s="39">
        <v>93.161411686942571</v>
      </c>
      <c r="AZ280" s="39">
        <v>0</v>
      </c>
      <c r="BA280" s="35">
        <v>-93.161411686942571</v>
      </c>
      <c r="BB280" s="39">
        <v>67.913456968774284</v>
      </c>
      <c r="BC280" s="39">
        <v>0</v>
      </c>
      <c r="BD280" s="55">
        <v>-67.913456968774284</v>
      </c>
      <c r="BE280" s="39">
        <v>0</v>
      </c>
      <c r="BF280" s="39">
        <v>0</v>
      </c>
      <c r="BG280" s="38">
        <v>0</v>
      </c>
      <c r="BH280" s="39">
        <v>0</v>
      </c>
      <c r="BI280" s="39">
        <v>0</v>
      </c>
      <c r="BJ280" s="55">
        <v>0</v>
      </c>
      <c r="BK280" s="39">
        <v>44.518397153018292</v>
      </c>
      <c r="BL280" s="39">
        <v>0</v>
      </c>
      <c r="BM280" s="38">
        <v>-44.518397153018292</v>
      </c>
      <c r="BN280" s="39">
        <v>15.287047639181583</v>
      </c>
      <c r="BO280" s="39">
        <v>0</v>
      </c>
      <c r="BP280" s="55">
        <v>-15.287047639181583</v>
      </c>
      <c r="BQ280" s="77">
        <v>312.68002458258343</v>
      </c>
      <c r="BR280" s="40">
        <v>0</v>
      </c>
      <c r="BS280" s="55">
        <v>-312.68002458258343</v>
      </c>
      <c r="BT280" s="39">
        <v>1517.0969820315222</v>
      </c>
      <c r="BU280" s="39">
        <v>450.97692196684341</v>
      </c>
      <c r="BV280" s="52">
        <v>-1066.1200600646789</v>
      </c>
      <c r="BW280" s="39">
        <v>733.41286011125896</v>
      </c>
      <c r="BX280" s="39">
        <v>651.77383781273545</v>
      </c>
      <c r="BY280" s="52">
        <v>-81.639022298523514</v>
      </c>
      <c r="BZ280" s="39">
        <v>649.19522610755416</v>
      </c>
      <c r="CA280" s="39">
        <v>2054.8858502697694</v>
      </c>
      <c r="CB280" s="52">
        <v>1405.6906241622153</v>
      </c>
      <c r="CC280" s="39">
        <v>0</v>
      </c>
      <c r="CD280" s="39">
        <v>0</v>
      </c>
      <c r="CE280" s="52">
        <v>0</v>
      </c>
      <c r="CF280" s="39">
        <v>0</v>
      </c>
      <c r="CG280" s="39">
        <v>0</v>
      </c>
      <c r="CH280" s="52">
        <v>0</v>
      </c>
      <c r="CI280" s="39">
        <v>84.228863297364597</v>
      </c>
      <c r="CJ280" s="39">
        <v>170.88090962379201</v>
      </c>
      <c r="CK280" s="52">
        <v>86.65204632642741</v>
      </c>
      <c r="CL280" s="39">
        <v>0</v>
      </c>
      <c r="CM280" s="39">
        <v>0</v>
      </c>
      <c r="CN280" s="52">
        <v>0</v>
      </c>
      <c r="CO280" s="39">
        <v>84.228863297364597</v>
      </c>
      <c r="CP280" s="40">
        <v>170.88090962379201</v>
      </c>
      <c r="CQ280" s="52">
        <v>86.65204632642741</v>
      </c>
      <c r="CR280" s="72">
        <v>5815.3206717687508</v>
      </c>
      <c r="CS280" s="5">
        <v>5188.5628229847016</v>
      </c>
      <c r="CT280" s="52">
        <v>-626.7578487840492</v>
      </c>
      <c r="CU280" s="77">
        <v>6978.3848061225008</v>
      </c>
      <c r="CV280" s="65">
        <v>6226.2753875816416</v>
      </c>
      <c r="CW280" s="35">
        <v>-752.10941854085922</v>
      </c>
      <c r="CX280" s="39">
        <v>0</v>
      </c>
      <c r="CY280" s="39">
        <v>752.10941854086013</v>
      </c>
      <c r="CZ280" s="52">
        <v>752.10941854086013</v>
      </c>
      <c r="DA280" s="150">
        <v>19184.586525855248</v>
      </c>
      <c r="DB280" s="2">
        <v>1</v>
      </c>
      <c r="DC280" s="713">
        <v>3524.55</v>
      </c>
      <c r="DD280" s="714">
        <v>1770.6</v>
      </c>
      <c r="DE280" s="715">
        <v>547.01093611275883</v>
      </c>
      <c r="DF280" s="716">
        <v>1258.9466608259909</v>
      </c>
      <c r="DG280" s="717">
        <v>7118.9615361380338</v>
      </c>
      <c r="DH280" s="718">
        <v>35482.674066770705</v>
      </c>
      <c r="DI280" s="718">
        <v>83740.617673470013</v>
      </c>
      <c r="DJ280" s="693">
        <v>71676.13177179519</v>
      </c>
      <c r="DK280" s="724"/>
      <c r="DL280" s="5"/>
      <c r="DM280" s="306">
        <v>5.6693432290313046</v>
      </c>
      <c r="DN280" s="306"/>
      <c r="DO280" s="306">
        <v>4.8314762905949848</v>
      </c>
      <c r="DP280" s="719">
        <v>2977.5390638872414</v>
      </c>
      <c r="DQ280" s="720">
        <v>511.65333917400892</v>
      </c>
      <c r="DR280" s="650">
        <v>3489.1924030612504</v>
      </c>
      <c r="DS280" s="94">
        <v>3489.1924030612504</v>
      </c>
      <c r="DT280" s="719">
        <v>2977.53</v>
      </c>
      <c r="DU280" s="725">
        <v>511.65</v>
      </c>
      <c r="DV280" s="93">
        <v>3489.1800000000003</v>
      </c>
      <c r="DW280" s="95">
        <v>3489.1924030612504</v>
      </c>
      <c r="DX280" s="28">
        <v>-1.240306125009738E-2</v>
      </c>
      <c r="EA280" s="5">
        <v>1424.9279719663407</v>
      </c>
      <c r="EB280" s="5">
        <v>970.8</v>
      </c>
      <c r="EE280" s="722">
        <v>10497.119424672404</v>
      </c>
      <c r="EG280" s="42" t="s">
        <v>200</v>
      </c>
    </row>
    <row r="281" spans="1:137" x14ac:dyDescent="0.3">
      <c r="A281" s="325">
        <v>150000839</v>
      </c>
      <c r="B281" s="41" t="s">
        <v>754</v>
      </c>
      <c r="C281" s="42" t="s">
        <v>136</v>
      </c>
      <c r="D281" s="27">
        <v>1</v>
      </c>
      <c r="E281" s="709">
        <v>128.19999999999999</v>
      </c>
      <c r="F281" s="723">
        <v>128.19999999999999</v>
      </c>
      <c r="G281" s="28"/>
      <c r="H281" s="651">
        <v>0</v>
      </c>
      <c r="I281" s="39">
        <v>0</v>
      </c>
      <c r="J281" s="39">
        <v>0</v>
      </c>
      <c r="K281" s="52">
        <v>0</v>
      </c>
      <c r="L281" s="39">
        <v>0</v>
      </c>
      <c r="M281" s="39">
        <v>0</v>
      </c>
      <c r="N281" s="52">
        <v>0</v>
      </c>
      <c r="O281" s="39">
        <v>0</v>
      </c>
      <c r="P281" s="39">
        <v>0</v>
      </c>
      <c r="Q281" s="52">
        <v>0</v>
      </c>
      <c r="R281" s="39">
        <v>0</v>
      </c>
      <c r="S281" s="39">
        <v>0</v>
      </c>
      <c r="T281" s="52">
        <v>0</v>
      </c>
      <c r="U281" s="39">
        <v>0</v>
      </c>
      <c r="V281" s="39">
        <v>0</v>
      </c>
      <c r="W281" s="52">
        <v>0</v>
      </c>
      <c r="X281" s="39">
        <v>0</v>
      </c>
      <c r="Y281" s="39">
        <v>0</v>
      </c>
      <c r="Z281" s="52">
        <v>0</v>
      </c>
      <c r="AA281" s="39">
        <v>0</v>
      </c>
      <c r="AB281" s="39">
        <v>0</v>
      </c>
      <c r="AC281" s="52">
        <v>0</v>
      </c>
      <c r="AD281" s="39">
        <v>0</v>
      </c>
      <c r="AE281" s="39">
        <v>76.661894060586874</v>
      </c>
      <c r="AF281" s="35">
        <v>76.661894060586874</v>
      </c>
      <c r="AG281" s="77">
        <v>0</v>
      </c>
      <c r="AH281" s="53">
        <v>76.661894060586874</v>
      </c>
      <c r="AI281" s="52">
        <v>76.661894060586874</v>
      </c>
      <c r="AJ281" s="39">
        <v>0</v>
      </c>
      <c r="AK281" s="39">
        <v>0</v>
      </c>
      <c r="AL281" s="52">
        <v>0</v>
      </c>
      <c r="AM281" s="39">
        <v>0</v>
      </c>
      <c r="AN281" s="39">
        <v>0</v>
      </c>
      <c r="AO281" s="52">
        <v>0</v>
      </c>
      <c r="AP281" s="39">
        <v>71.02632321702373</v>
      </c>
      <c r="AQ281" s="39">
        <v>0</v>
      </c>
      <c r="AR281" s="52">
        <v>-71.02632321702373</v>
      </c>
      <c r="AS281" s="39">
        <v>398.0008367639935</v>
      </c>
      <c r="AT281" s="39">
        <v>0</v>
      </c>
      <c r="AU281" s="54">
        <v>-398.0008367639935</v>
      </c>
      <c r="AV281" s="39">
        <v>0</v>
      </c>
      <c r="AW281" s="39">
        <v>0</v>
      </c>
      <c r="AX281" s="55">
        <v>0</v>
      </c>
      <c r="AY281" s="39">
        <v>0</v>
      </c>
      <c r="AZ281" s="39">
        <v>0</v>
      </c>
      <c r="BA281" s="35">
        <v>0</v>
      </c>
      <c r="BB281" s="39">
        <v>0</v>
      </c>
      <c r="BC281" s="39">
        <v>0</v>
      </c>
      <c r="BD281" s="55">
        <v>0</v>
      </c>
      <c r="BE281" s="39">
        <v>0</v>
      </c>
      <c r="BF281" s="39">
        <v>0</v>
      </c>
      <c r="BG281" s="38">
        <v>0</v>
      </c>
      <c r="BH281" s="39">
        <v>0</v>
      </c>
      <c r="BI281" s="39">
        <v>0</v>
      </c>
      <c r="BJ281" s="55">
        <v>0</v>
      </c>
      <c r="BK281" s="39">
        <v>0</v>
      </c>
      <c r="BL281" s="39">
        <v>0</v>
      </c>
      <c r="BM281" s="38">
        <v>0</v>
      </c>
      <c r="BN281" s="39">
        <v>0</v>
      </c>
      <c r="BO281" s="39">
        <v>0</v>
      </c>
      <c r="BP281" s="55">
        <v>0</v>
      </c>
      <c r="BQ281" s="77">
        <v>0</v>
      </c>
      <c r="BR281" s="40">
        <v>0</v>
      </c>
      <c r="BS281" s="55">
        <v>0</v>
      </c>
      <c r="BT281" s="39">
        <v>39.878351256995849</v>
      </c>
      <c r="BU281" s="39">
        <v>17.313757061691941</v>
      </c>
      <c r="BV281" s="52">
        <v>-22.564594195303908</v>
      </c>
      <c r="BW281" s="39">
        <v>0</v>
      </c>
      <c r="BX281" s="39">
        <v>0.51894214258013971</v>
      </c>
      <c r="BY281" s="52">
        <v>0.51894214258013971</v>
      </c>
      <c r="BZ281" s="39">
        <v>0</v>
      </c>
      <c r="CA281" s="39">
        <v>63.713575704205851</v>
      </c>
      <c r="CB281" s="52">
        <v>63.713575704205851</v>
      </c>
      <c r="CC281" s="39">
        <v>0</v>
      </c>
      <c r="CD281" s="39">
        <v>0</v>
      </c>
      <c r="CE281" s="52">
        <v>0</v>
      </c>
      <c r="CF281" s="39">
        <v>0</v>
      </c>
      <c r="CG281" s="39">
        <v>0</v>
      </c>
      <c r="CH281" s="52">
        <v>0</v>
      </c>
      <c r="CI281" s="39">
        <v>0</v>
      </c>
      <c r="CJ281" s="39">
        <v>0</v>
      </c>
      <c r="CK281" s="52">
        <v>0</v>
      </c>
      <c r="CL281" s="39">
        <v>0</v>
      </c>
      <c r="CM281" s="39">
        <v>0</v>
      </c>
      <c r="CN281" s="52">
        <v>0</v>
      </c>
      <c r="CO281" s="39">
        <v>0</v>
      </c>
      <c r="CP281" s="40">
        <v>0</v>
      </c>
      <c r="CQ281" s="52">
        <v>0</v>
      </c>
      <c r="CR281" s="72">
        <v>508.9055112380131</v>
      </c>
      <c r="CS281" s="5">
        <v>158.20816896906481</v>
      </c>
      <c r="CT281" s="52">
        <v>-350.69734226894832</v>
      </c>
      <c r="CU281" s="77">
        <v>610.68661348561568</v>
      </c>
      <c r="CV281" s="65">
        <v>189.84980276287777</v>
      </c>
      <c r="CW281" s="35">
        <v>-420.83681072273794</v>
      </c>
      <c r="CX281" s="39">
        <v>9.160299202284234</v>
      </c>
      <c r="CY281" s="39">
        <v>429.99710992502219</v>
      </c>
      <c r="CZ281" s="52">
        <v>420.83681072273794</v>
      </c>
      <c r="DA281" s="150">
        <v>-2978.2621899449323</v>
      </c>
      <c r="DB281" s="2">
        <v>1</v>
      </c>
      <c r="DC281" s="713">
        <v>144.24</v>
      </c>
      <c r="DD281" s="714"/>
      <c r="DE281" s="715">
        <v>-165.68345634394996</v>
      </c>
      <c r="DF281" s="716">
        <v>0</v>
      </c>
      <c r="DG281" s="717">
        <v>443.27605877095971</v>
      </c>
      <c r="DH281" s="718">
        <v>2985.7582819880663</v>
      </c>
      <c r="DI281" s="718">
        <v>7438.1629522547992</v>
      </c>
      <c r="DJ281" s="693">
        <v>6325.0617846881159</v>
      </c>
      <c r="DK281" s="724"/>
      <c r="DL281" s="5"/>
      <c r="DM281" s="306">
        <v>2.4174996594691889</v>
      </c>
      <c r="DN281" s="306"/>
      <c r="DO281" s="306">
        <v>2.4174996594691889</v>
      </c>
      <c r="DP281" s="719">
        <v>309.92345634394997</v>
      </c>
      <c r="DQ281" s="720">
        <v>0</v>
      </c>
      <c r="DR281" s="650">
        <v>309.92345634394997</v>
      </c>
      <c r="DS281" s="94">
        <v>309.92345634394997</v>
      </c>
      <c r="DT281" s="719">
        <v>309.92</v>
      </c>
      <c r="DU281" s="721"/>
      <c r="DV281" s="93">
        <v>309.92</v>
      </c>
      <c r="DW281" s="95">
        <v>310.83948626417839</v>
      </c>
      <c r="DX281" s="28">
        <v>-0.91948626417837431</v>
      </c>
      <c r="EA281" s="5">
        <v>477.60100411679218</v>
      </c>
      <c r="EB281" s="5">
        <v>0</v>
      </c>
      <c r="EE281" s="722">
        <v>4776.0100411679223</v>
      </c>
      <c r="EG281" s="42" t="s">
        <v>136</v>
      </c>
    </row>
    <row r="282" spans="1:137" x14ac:dyDescent="0.3">
      <c r="A282" s="325">
        <v>150000840</v>
      </c>
      <c r="B282" s="41" t="s">
        <v>755</v>
      </c>
      <c r="C282" s="42" t="s">
        <v>394</v>
      </c>
      <c r="D282" s="27">
        <v>9</v>
      </c>
      <c r="E282" s="709">
        <v>4216.5600000000004</v>
      </c>
      <c r="F282" s="723">
        <v>4216.5600000000004</v>
      </c>
      <c r="G282" s="28">
        <v>460.11</v>
      </c>
      <c r="H282" s="651">
        <v>0</v>
      </c>
      <c r="I282" s="39">
        <v>2627.2186425265522</v>
      </c>
      <c r="J282" s="39">
        <v>1965.3690370045661</v>
      </c>
      <c r="K282" s="52">
        <v>-661.84960552198618</v>
      </c>
      <c r="L282" s="39">
        <v>407.55257968286838</v>
      </c>
      <c r="M282" s="39">
        <v>212.76135579995372</v>
      </c>
      <c r="N282" s="52">
        <v>-194.79122388291466</v>
      </c>
      <c r="O282" s="39">
        <v>991.82</v>
      </c>
      <c r="P282" s="39">
        <v>991.82</v>
      </c>
      <c r="Q282" s="52">
        <v>0</v>
      </c>
      <c r="R282" s="39">
        <v>221.4</v>
      </c>
      <c r="S282" s="39">
        <v>221.4</v>
      </c>
      <c r="T282" s="52">
        <v>0</v>
      </c>
      <c r="U282" s="39">
        <v>130.00964065633656</v>
      </c>
      <c r="V282" s="39">
        <v>56.863765865407075</v>
      </c>
      <c r="W282" s="52">
        <v>-73.145874790929483</v>
      </c>
      <c r="X282" s="39">
        <v>1129.1493210721176</v>
      </c>
      <c r="Y282" s="39">
        <v>733.44086139670208</v>
      </c>
      <c r="Z282" s="52">
        <v>-395.7084596754155</v>
      </c>
      <c r="AA282" s="39">
        <v>0</v>
      </c>
      <c r="AB282" s="39">
        <v>0</v>
      </c>
      <c r="AC282" s="52">
        <v>0</v>
      </c>
      <c r="AD282" s="39">
        <v>3004.8833682744607</v>
      </c>
      <c r="AE282" s="39">
        <v>2521.446770827677</v>
      </c>
      <c r="AF282" s="35">
        <v>-483.43659744678371</v>
      </c>
      <c r="AG282" s="77">
        <v>8512.0335522123351</v>
      </c>
      <c r="AH282" s="53">
        <v>6703.1017908943068</v>
      </c>
      <c r="AI282" s="52">
        <v>-1808.9317613180283</v>
      </c>
      <c r="AJ282" s="39">
        <v>5747.840023162752</v>
      </c>
      <c r="AK282" s="39">
        <v>5670.6573581084067</v>
      </c>
      <c r="AL282" s="52">
        <v>-77.182665054345307</v>
      </c>
      <c r="AM282" s="39">
        <v>0</v>
      </c>
      <c r="AN282" s="39">
        <v>0</v>
      </c>
      <c r="AO282" s="52">
        <v>0</v>
      </c>
      <c r="AP282" s="39">
        <v>568.21058573618984</v>
      </c>
      <c r="AQ282" s="39">
        <v>0</v>
      </c>
      <c r="AR282" s="52">
        <v>-568.21058573618984</v>
      </c>
      <c r="AS282" s="39">
        <v>10064.675918389228</v>
      </c>
      <c r="AT282" s="39">
        <v>1864.7737824240537</v>
      </c>
      <c r="AU282" s="54">
        <v>-8199.9021359651742</v>
      </c>
      <c r="AV282" s="39">
        <v>206.76395489082276</v>
      </c>
      <c r="AW282" s="39">
        <v>456</v>
      </c>
      <c r="AX282" s="55">
        <v>249.23604510917724</v>
      </c>
      <c r="AY282" s="39">
        <v>249.72595634349193</v>
      </c>
      <c r="AZ282" s="39">
        <v>0</v>
      </c>
      <c r="BA282" s="35">
        <v>-249.72595634349193</v>
      </c>
      <c r="BB282" s="39">
        <v>312.35655427083907</v>
      </c>
      <c r="BC282" s="39">
        <v>0</v>
      </c>
      <c r="BD282" s="55">
        <v>-312.35655427083907</v>
      </c>
      <c r="BE282" s="39">
        <v>115.73902546114914</v>
      </c>
      <c r="BF282" s="39">
        <v>0</v>
      </c>
      <c r="BG282" s="38">
        <v>-115.73902546114914</v>
      </c>
      <c r="BH282" s="39">
        <v>65.961235315382794</v>
      </c>
      <c r="BI282" s="39">
        <v>0</v>
      </c>
      <c r="BJ282" s="55">
        <v>-65.961235315382794</v>
      </c>
      <c r="BK282" s="39">
        <v>127.2900014790072</v>
      </c>
      <c r="BL282" s="39">
        <v>0</v>
      </c>
      <c r="BM282" s="38">
        <v>-127.2900014790072</v>
      </c>
      <c r="BN282" s="39">
        <v>102.33357069191999</v>
      </c>
      <c r="BO282" s="39">
        <v>0</v>
      </c>
      <c r="BP282" s="55">
        <v>-102.33357069191999</v>
      </c>
      <c r="BQ282" s="77">
        <v>1180.170298452613</v>
      </c>
      <c r="BR282" s="40">
        <v>456</v>
      </c>
      <c r="BS282" s="55">
        <v>-724.170298452613</v>
      </c>
      <c r="BT282" s="39">
        <v>10638.35249388026</v>
      </c>
      <c r="BU282" s="39">
        <v>2566.8104828280898</v>
      </c>
      <c r="BV282" s="52">
        <v>-8071.54201105217</v>
      </c>
      <c r="BW282" s="39">
        <v>6063.4296423644155</v>
      </c>
      <c r="BX282" s="39">
        <v>6015.1679153240329</v>
      </c>
      <c r="BY282" s="52">
        <v>-48.261727040382539</v>
      </c>
      <c r="BZ282" s="39">
        <v>2120.7044052846768</v>
      </c>
      <c r="CA282" s="39">
        <v>10446.769403172369</v>
      </c>
      <c r="CB282" s="52">
        <v>8326.0649978876936</v>
      </c>
      <c r="CC282" s="39">
        <v>327.46755952859007</v>
      </c>
      <c r="CD282" s="39">
        <v>323.07028701206104</v>
      </c>
      <c r="CE282" s="52">
        <v>-4.3972725165290285</v>
      </c>
      <c r="CF282" s="39">
        <v>40.31324122984536</v>
      </c>
      <c r="CG282" s="39">
        <v>0</v>
      </c>
      <c r="CH282" s="52">
        <v>-40.31324122984536</v>
      </c>
      <c r="CI282" s="39">
        <v>1410.0535633484742</v>
      </c>
      <c r="CJ282" s="39">
        <v>1417.6962547782912</v>
      </c>
      <c r="CK282" s="52">
        <v>7.6426914298169777</v>
      </c>
      <c r="CL282" s="39">
        <v>1041.9422348636956</v>
      </c>
      <c r="CM282" s="39">
        <v>1413.0314676912308</v>
      </c>
      <c r="CN282" s="52">
        <v>371.08923282753517</v>
      </c>
      <c r="CO282" s="39">
        <v>2451.9957982121696</v>
      </c>
      <c r="CP282" s="40">
        <v>2830.7277224695217</v>
      </c>
      <c r="CQ282" s="52">
        <v>378.73192425735215</v>
      </c>
      <c r="CR282" s="72">
        <v>47715.193518453067</v>
      </c>
      <c r="CS282" s="5">
        <v>36877.078742232836</v>
      </c>
      <c r="CT282" s="52">
        <v>-10838.114776220231</v>
      </c>
      <c r="CU282" s="77">
        <v>57258.232222143677</v>
      </c>
      <c r="CV282" s="65">
        <v>44252.494490679404</v>
      </c>
      <c r="CW282" s="35">
        <v>-13005.737731464273</v>
      </c>
      <c r="CX282" s="39">
        <v>1431.455805553592</v>
      </c>
      <c r="CY282" s="39">
        <v>14437.193537017858</v>
      </c>
      <c r="CZ282" s="52">
        <v>13005.737731464265</v>
      </c>
      <c r="DA282" s="150">
        <v>19477.709681697521</v>
      </c>
      <c r="DB282" s="2">
        <v>1</v>
      </c>
      <c r="DC282" s="713">
        <v>53433.65</v>
      </c>
      <c r="DD282" s="714"/>
      <c r="DE282" s="715">
        <v>24088.805986151368</v>
      </c>
      <c r="DF282" s="716">
        <v>0</v>
      </c>
      <c r="DG282" s="717">
        <v>-58237.573978822569</v>
      </c>
      <c r="DH282" s="718">
        <v>287935.18367727927</v>
      </c>
      <c r="DI282" s="718">
        <v>704276.25633236719</v>
      </c>
      <c r="DJ282" s="693">
        <v>600190.98816859524</v>
      </c>
      <c r="DK282" s="724"/>
      <c r="DL282" s="5"/>
      <c r="DM282" s="306">
        <v>5.9691141416610618</v>
      </c>
      <c r="DN282" s="306">
        <v>7.0807264587919336</v>
      </c>
      <c r="DO282" s="306">
        <v>5.0847417551530754</v>
      </c>
      <c r="DP282" s="719">
        <v>29344.844013848633</v>
      </c>
      <c r="DQ282" s="720">
        <v>0</v>
      </c>
      <c r="DR282" s="650">
        <v>29344.844013848633</v>
      </c>
      <c r="DS282" s="94">
        <v>29344.844013848633</v>
      </c>
      <c r="DT282" s="719">
        <v>29338.22</v>
      </c>
      <c r="DU282" s="721"/>
      <c r="DV282" s="93">
        <v>29338.22</v>
      </c>
      <c r="DW282" s="95">
        <v>29487.989594403993</v>
      </c>
      <c r="DX282" s="28">
        <v>-149.7695944039915</v>
      </c>
      <c r="EA282" s="5">
        <v>13493.815460210209</v>
      </c>
      <c r="EB282" s="5">
        <v>2784.9285389088645</v>
      </c>
      <c r="EE282" s="722">
        <v>120776.11102067074</v>
      </c>
      <c r="EG282" s="42" t="s">
        <v>394</v>
      </c>
    </row>
    <row r="283" spans="1:137" x14ac:dyDescent="0.3">
      <c r="A283" s="325">
        <v>150000841</v>
      </c>
      <c r="B283" s="41" t="s">
        <v>756</v>
      </c>
      <c r="C283" s="42" t="s">
        <v>137</v>
      </c>
      <c r="D283" s="27">
        <v>1</v>
      </c>
      <c r="E283" s="709">
        <v>172.4</v>
      </c>
      <c r="F283" s="723">
        <v>172.4</v>
      </c>
      <c r="G283" s="28"/>
      <c r="H283" s="651">
        <v>0</v>
      </c>
      <c r="I283" s="39">
        <v>0</v>
      </c>
      <c r="J283" s="39">
        <v>0</v>
      </c>
      <c r="K283" s="52">
        <v>0</v>
      </c>
      <c r="L283" s="39">
        <v>0</v>
      </c>
      <c r="M283" s="39">
        <v>0</v>
      </c>
      <c r="N283" s="52">
        <v>0</v>
      </c>
      <c r="O283" s="39">
        <v>0</v>
      </c>
      <c r="P283" s="39">
        <v>0</v>
      </c>
      <c r="Q283" s="52">
        <v>0</v>
      </c>
      <c r="R283" s="39">
        <v>0</v>
      </c>
      <c r="S283" s="39">
        <v>0</v>
      </c>
      <c r="T283" s="52">
        <v>0</v>
      </c>
      <c r="U283" s="39">
        <v>0</v>
      </c>
      <c r="V283" s="39">
        <v>0</v>
      </c>
      <c r="W283" s="52">
        <v>0</v>
      </c>
      <c r="X283" s="39">
        <v>0</v>
      </c>
      <c r="Y283" s="39">
        <v>0</v>
      </c>
      <c r="Z283" s="52">
        <v>0</v>
      </c>
      <c r="AA283" s="39">
        <v>0</v>
      </c>
      <c r="AB283" s="39">
        <v>0</v>
      </c>
      <c r="AC283" s="52">
        <v>0</v>
      </c>
      <c r="AD283" s="39">
        <v>0</v>
      </c>
      <c r="AE283" s="39">
        <v>103.09290589738829</v>
      </c>
      <c r="AF283" s="35">
        <v>103.09290589738829</v>
      </c>
      <c r="AG283" s="77">
        <v>0</v>
      </c>
      <c r="AH283" s="53">
        <v>103.09290589738829</v>
      </c>
      <c r="AI283" s="52">
        <v>103.09290589738829</v>
      </c>
      <c r="AJ283" s="39">
        <v>0</v>
      </c>
      <c r="AK283" s="39">
        <v>0</v>
      </c>
      <c r="AL283" s="52">
        <v>0</v>
      </c>
      <c r="AM283" s="39">
        <v>0</v>
      </c>
      <c r="AN283" s="39">
        <v>0</v>
      </c>
      <c r="AO283" s="52">
        <v>0</v>
      </c>
      <c r="AP283" s="39">
        <v>47.350882144682487</v>
      </c>
      <c r="AQ283" s="39">
        <v>0</v>
      </c>
      <c r="AR283" s="52">
        <v>-47.350882144682487</v>
      </c>
      <c r="AS283" s="39">
        <v>320.83238666977394</v>
      </c>
      <c r="AT283" s="39">
        <v>0</v>
      </c>
      <c r="AU283" s="54">
        <v>-320.83238666977394</v>
      </c>
      <c r="AV283" s="39">
        <v>0</v>
      </c>
      <c r="AW283" s="39">
        <v>0</v>
      </c>
      <c r="AX283" s="55">
        <v>0</v>
      </c>
      <c r="AY283" s="39">
        <v>0</v>
      </c>
      <c r="AZ283" s="39">
        <v>0</v>
      </c>
      <c r="BA283" s="35">
        <v>0</v>
      </c>
      <c r="BB283" s="39">
        <v>0</v>
      </c>
      <c r="BC283" s="39">
        <v>0</v>
      </c>
      <c r="BD283" s="55">
        <v>0</v>
      </c>
      <c r="BE283" s="39">
        <v>0</v>
      </c>
      <c r="BF283" s="39">
        <v>0</v>
      </c>
      <c r="BG283" s="38">
        <v>0</v>
      </c>
      <c r="BH283" s="39">
        <v>0</v>
      </c>
      <c r="BI283" s="39">
        <v>0</v>
      </c>
      <c r="BJ283" s="55">
        <v>0</v>
      </c>
      <c r="BK283" s="39">
        <v>0</v>
      </c>
      <c r="BL283" s="39">
        <v>0</v>
      </c>
      <c r="BM283" s="38">
        <v>0</v>
      </c>
      <c r="BN283" s="39">
        <v>0</v>
      </c>
      <c r="BO283" s="39">
        <v>0</v>
      </c>
      <c r="BP283" s="55">
        <v>0</v>
      </c>
      <c r="BQ283" s="77">
        <v>0</v>
      </c>
      <c r="BR283" s="40">
        <v>0</v>
      </c>
      <c r="BS283" s="55">
        <v>0</v>
      </c>
      <c r="BT283" s="39">
        <v>127.61072402238671</v>
      </c>
      <c r="BU283" s="39">
        <v>55.408149833900914</v>
      </c>
      <c r="BV283" s="52">
        <v>-72.202574188485784</v>
      </c>
      <c r="BW283" s="39">
        <v>0</v>
      </c>
      <c r="BX283" s="39">
        <v>0.69785979236205997</v>
      </c>
      <c r="BY283" s="52">
        <v>0.69785979236205997</v>
      </c>
      <c r="BZ283" s="39">
        <v>0</v>
      </c>
      <c r="CA283" s="39">
        <v>203.89863023336437</v>
      </c>
      <c r="CB283" s="52">
        <v>203.89863023336437</v>
      </c>
      <c r="CC283" s="39">
        <v>0</v>
      </c>
      <c r="CD283" s="39">
        <v>0</v>
      </c>
      <c r="CE283" s="52">
        <v>0</v>
      </c>
      <c r="CF283" s="39">
        <v>0</v>
      </c>
      <c r="CG283" s="39">
        <v>0</v>
      </c>
      <c r="CH283" s="52">
        <v>0</v>
      </c>
      <c r="CI283" s="39">
        <v>0</v>
      </c>
      <c r="CJ283" s="39">
        <v>0</v>
      </c>
      <c r="CK283" s="52">
        <v>0</v>
      </c>
      <c r="CL283" s="39">
        <v>0</v>
      </c>
      <c r="CM283" s="39">
        <v>0</v>
      </c>
      <c r="CN283" s="52">
        <v>0</v>
      </c>
      <c r="CO283" s="39">
        <v>0</v>
      </c>
      <c r="CP283" s="40">
        <v>0</v>
      </c>
      <c r="CQ283" s="52">
        <v>0</v>
      </c>
      <c r="CR283" s="72">
        <v>495.79399283684313</v>
      </c>
      <c r="CS283" s="5">
        <v>363.09754575701561</v>
      </c>
      <c r="CT283" s="52">
        <v>-132.69644707982752</v>
      </c>
      <c r="CU283" s="77">
        <v>594.95279140421178</v>
      </c>
      <c r="CV283" s="65">
        <v>435.71705490841873</v>
      </c>
      <c r="CW283" s="35">
        <v>-159.23573649579305</v>
      </c>
      <c r="CX283" s="39">
        <v>8.9242918710631756</v>
      </c>
      <c r="CY283" s="39">
        <v>168.16002836685618</v>
      </c>
      <c r="CZ283" s="52">
        <v>159.23573649579299</v>
      </c>
      <c r="DA283" s="150">
        <v>-2837.4706304167048</v>
      </c>
      <c r="DB283" s="2">
        <v>1</v>
      </c>
      <c r="DC283" s="713">
        <v>532.96</v>
      </c>
      <c r="DD283" s="714"/>
      <c r="DE283" s="715">
        <v>231.02145836236258</v>
      </c>
      <c r="DF283" s="716">
        <v>0</v>
      </c>
      <c r="DG283" s="717">
        <v>-541.9247094401112</v>
      </c>
      <c r="DH283" s="718">
        <v>2896.2278543912903</v>
      </c>
      <c r="DI283" s="718">
        <v>7246.5249993032994</v>
      </c>
      <c r="DJ283" s="693">
        <v>6158.9507130752972</v>
      </c>
      <c r="DK283" s="724"/>
      <c r="DL283" s="5"/>
      <c r="DM283" s="306">
        <v>1.7513836521904724</v>
      </c>
      <c r="DN283" s="306"/>
      <c r="DO283" s="306">
        <v>1.7513836521904724</v>
      </c>
      <c r="DP283" s="719">
        <v>301.93854163763746</v>
      </c>
      <c r="DQ283" s="720">
        <v>0</v>
      </c>
      <c r="DR283" s="650">
        <v>301.93854163763746</v>
      </c>
      <c r="DS283" s="94">
        <v>301.93854163763746</v>
      </c>
      <c r="DT283" s="719">
        <v>301.94</v>
      </c>
      <c r="DU283" s="721"/>
      <c r="DV283" s="93">
        <v>301.94</v>
      </c>
      <c r="DW283" s="95">
        <v>302.83097082474376</v>
      </c>
      <c r="DX283" s="28">
        <v>-0.89097082474376066</v>
      </c>
      <c r="EA283" s="5">
        <v>384.99886400372873</v>
      </c>
      <c r="EB283" s="5">
        <v>0</v>
      </c>
      <c r="EE283" s="722">
        <v>3849.988640037287</v>
      </c>
      <c r="EG283" s="42" t="s">
        <v>137</v>
      </c>
    </row>
    <row r="284" spans="1:137" x14ac:dyDescent="0.3">
      <c r="A284" s="325">
        <v>150000848</v>
      </c>
      <c r="B284" s="41" t="s">
        <v>757</v>
      </c>
      <c r="C284" s="42" t="s">
        <v>187</v>
      </c>
      <c r="D284" s="27">
        <v>2</v>
      </c>
      <c r="E284" s="709">
        <v>261.2</v>
      </c>
      <c r="F284" s="723">
        <v>261.2</v>
      </c>
      <c r="G284" s="28"/>
      <c r="H284" s="651">
        <v>0</v>
      </c>
      <c r="I284" s="39">
        <v>82.969000405177255</v>
      </c>
      <c r="J284" s="39">
        <v>89.161968195341885</v>
      </c>
      <c r="K284" s="52">
        <v>6.1929677901646301</v>
      </c>
      <c r="L284" s="39">
        <v>37.9243574755655</v>
      </c>
      <c r="M284" s="39">
        <v>41.206408005299082</v>
      </c>
      <c r="N284" s="52">
        <v>3.2820505297335814</v>
      </c>
      <c r="O284" s="39">
        <v>0</v>
      </c>
      <c r="P284" s="39">
        <v>0</v>
      </c>
      <c r="Q284" s="52">
        <v>0</v>
      </c>
      <c r="R284" s="39">
        <v>0</v>
      </c>
      <c r="S284" s="39">
        <v>0</v>
      </c>
      <c r="T284" s="52">
        <v>0</v>
      </c>
      <c r="U284" s="39">
        <v>0</v>
      </c>
      <c r="V284" s="39">
        <v>0</v>
      </c>
      <c r="W284" s="52">
        <v>0</v>
      </c>
      <c r="X284" s="39">
        <v>70.863556614904908</v>
      </c>
      <c r="Y284" s="39">
        <v>41.122152353853863</v>
      </c>
      <c r="Z284" s="52">
        <v>-29.741404261051045</v>
      </c>
      <c r="AA284" s="39">
        <v>0</v>
      </c>
      <c r="AB284" s="39">
        <v>0</v>
      </c>
      <c r="AC284" s="52">
        <v>0</v>
      </c>
      <c r="AD284" s="39">
        <v>186.14119941214852</v>
      </c>
      <c r="AE284" s="39">
        <v>156.19412424824722</v>
      </c>
      <c r="AF284" s="35">
        <v>-29.947075163901303</v>
      </c>
      <c r="AG284" s="77">
        <v>377.89811390779619</v>
      </c>
      <c r="AH284" s="53">
        <v>327.68465280274205</v>
      </c>
      <c r="AI284" s="52">
        <v>-50.213461105054137</v>
      </c>
      <c r="AJ284" s="39">
        <v>0</v>
      </c>
      <c r="AK284" s="39">
        <v>0</v>
      </c>
      <c r="AL284" s="52">
        <v>0</v>
      </c>
      <c r="AM284" s="39">
        <v>0</v>
      </c>
      <c r="AN284" s="39">
        <v>0</v>
      </c>
      <c r="AO284" s="52">
        <v>0</v>
      </c>
      <c r="AP284" s="39">
        <v>94.701764289364974</v>
      </c>
      <c r="AQ284" s="39">
        <v>0</v>
      </c>
      <c r="AR284" s="52">
        <v>-94.701764289364974</v>
      </c>
      <c r="AS284" s="39">
        <v>623.57614642388046</v>
      </c>
      <c r="AT284" s="39">
        <v>190</v>
      </c>
      <c r="AU284" s="54">
        <v>-433.57614642388046</v>
      </c>
      <c r="AV284" s="39">
        <v>36.308589429809629</v>
      </c>
      <c r="AW284" s="39">
        <v>0</v>
      </c>
      <c r="AX284" s="55">
        <v>-36.308589429809629</v>
      </c>
      <c r="AY284" s="39">
        <v>48.925973641158578</v>
      </c>
      <c r="AZ284" s="39">
        <v>0</v>
      </c>
      <c r="BA284" s="35">
        <v>-48.925973641158578</v>
      </c>
      <c r="BB284" s="39">
        <v>25.314242800838446</v>
      </c>
      <c r="BC284" s="39">
        <v>0</v>
      </c>
      <c r="BD284" s="55">
        <v>-25.314242800838446</v>
      </c>
      <c r="BE284" s="39">
        <v>0</v>
      </c>
      <c r="BF284" s="39">
        <v>0</v>
      </c>
      <c r="BG284" s="38">
        <v>0</v>
      </c>
      <c r="BH284" s="39">
        <v>0</v>
      </c>
      <c r="BI284" s="39">
        <v>0</v>
      </c>
      <c r="BJ284" s="55">
        <v>0</v>
      </c>
      <c r="BK284" s="39">
        <v>9.8614252960765771</v>
      </c>
      <c r="BL284" s="39">
        <v>0</v>
      </c>
      <c r="BM284" s="38">
        <v>-9.8614252960765771</v>
      </c>
      <c r="BN284" s="39">
        <v>0</v>
      </c>
      <c r="BO284" s="39">
        <v>0</v>
      </c>
      <c r="BP284" s="55">
        <v>0</v>
      </c>
      <c r="BQ284" s="77">
        <v>120.41023116788323</v>
      </c>
      <c r="BR284" s="40">
        <v>0</v>
      </c>
      <c r="BS284" s="55">
        <v>-120.41023116788323</v>
      </c>
      <c r="BT284" s="39">
        <v>660.13963200194405</v>
      </c>
      <c r="BU284" s="39">
        <v>161.35152044172395</v>
      </c>
      <c r="BV284" s="52">
        <v>-498.7881115602201</v>
      </c>
      <c r="BW284" s="39">
        <v>386.57171728327529</v>
      </c>
      <c r="BX284" s="39">
        <v>247.99960124611744</v>
      </c>
      <c r="BY284" s="52">
        <v>-138.57211603715785</v>
      </c>
      <c r="BZ284" s="39">
        <v>338.39005983146222</v>
      </c>
      <c r="CA284" s="39">
        <v>792.99631707404319</v>
      </c>
      <c r="CB284" s="52">
        <v>454.60625724258097</v>
      </c>
      <c r="CC284" s="39">
        <v>0</v>
      </c>
      <c r="CD284" s="39">
        <v>0</v>
      </c>
      <c r="CE284" s="52">
        <v>0</v>
      </c>
      <c r="CF284" s="39">
        <v>0</v>
      </c>
      <c r="CG284" s="39">
        <v>0</v>
      </c>
      <c r="CH284" s="52">
        <v>0</v>
      </c>
      <c r="CI284" s="39">
        <v>155.97937647660115</v>
      </c>
      <c r="CJ284" s="39">
        <v>290.79123432893306</v>
      </c>
      <c r="CK284" s="52">
        <v>134.81185785233191</v>
      </c>
      <c r="CL284" s="39">
        <v>0</v>
      </c>
      <c r="CM284" s="39">
        <v>0</v>
      </c>
      <c r="CN284" s="52">
        <v>0</v>
      </c>
      <c r="CO284" s="39">
        <v>155.97937647660115</v>
      </c>
      <c r="CP284" s="40">
        <v>290.79123432893306</v>
      </c>
      <c r="CQ284" s="52">
        <v>134.81185785233191</v>
      </c>
      <c r="CR284" s="72">
        <v>2757.6670413822076</v>
      </c>
      <c r="CS284" s="5">
        <v>2010.8233258935597</v>
      </c>
      <c r="CT284" s="52">
        <v>-746.84371548864783</v>
      </c>
      <c r="CU284" s="77">
        <v>3309.2004496586492</v>
      </c>
      <c r="CV284" s="65">
        <v>2412.9879910722716</v>
      </c>
      <c r="CW284" s="35">
        <v>-896.21245858637758</v>
      </c>
      <c r="CX284" s="39">
        <v>49.638006744879739</v>
      </c>
      <c r="CY284" s="39">
        <v>945.85046533125774</v>
      </c>
      <c r="CZ284" s="52">
        <v>896.21245858637803</v>
      </c>
      <c r="DA284" s="150">
        <v>-23156.831363179233</v>
      </c>
      <c r="DB284" s="2">
        <v>2</v>
      </c>
      <c r="DC284" s="713">
        <v>3493.81</v>
      </c>
      <c r="DD284" s="714"/>
      <c r="DE284" s="715">
        <v>1814.3907717982354</v>
      </c>
      <c r="DF284" s="716">
        <v>0</v>
      </c>
      <c r="DG284" s="717">
        <v>-13331.883083443001</v>
      </c>
      <c r="DH284" s="718">
        <v>16069.852861968771</v>
      </c>
      <c r="DI284" s="718">
        <v>40306.061476842347</v>
      </c>
      <c r="DJ284" s="693">
        <v>34247.009323123952</v>
      </c>
      <c r="DK284" s="724"/>
      <c r="DL284" s="5"/>
      <c r="DM284" s="306">
        <v>6.4296295107265111</v>
      </c>
      <c r="DN284" s="306"/>
      <c r="DO284" s="306">
        <v>5.5283194960805897</v>
      </c>
      <c r="DP284" s="719">
        <v>1679.4192282017646</v>
      </c>
      <c r="DQ284" s="720">
        <v>0</v>
      </c>
      <c r="DR284" s="650">
        <v>1679.4192282017646</v>
      </c>
      <c r="DS284" s="94">
        <v>1679.4192282017646</v>
      </c>
      <c r="DT284" s="719">
        <v>1679.41</v>
      </c>
      <c r="DU284" s="721"/>
      <c r="DV284" s="93">
        <v>1679.41</v>
      </c>
      <c r="DW284" s="95">
        <v>1684.3830288762524</v>
      </c>
      <c r="DX284" s="28">
        <v>-4.9730288762523287</v>
      </c>
      <c r="EA284" s="5">
        <v>892.78365311011646</v>
      </c>
      <c r="EB284" s="5">
        <v>228</v>
      </c>
      <c r="EE284" s="722">
        <v>7482.913757086566</v>
      </c>
      <c r="EG284" s="42" t="s">
        <v>187</v>
      </c>
    </row>
    <row r="285" spans="1:137" x14ac:dyDescent="0.3">
      <c r="A285" s="325">
        <v>150000835</v>
      </c>
      <c r="B285" s="41" t="s">
        <v>758</v>
      </c>
      <c r="C285" s="42" t="s">
        <v>138</v>
      </c>
      <c r="D285" s="27">
        <v>1</v>
      </c>
      <c r="E285" s="709">
        <v>128.6</v>
      </c>
      <c r="F285" s="723">
        <v>128.6</v>
      </c>
      <c r="G285" s="28"/>
      <c r="H285" s="651">
        <v>0</v>
      </c>
      <c r="I285" s="39">
        <v>0</v>
      </c>
      <c r="J285" s="39">
        <v>0</v>
      </c>
      <c r="K285" s="52">
        <v>0</v>
      </c>
      <c r="L285" s="39">
        <v>0</v>
      </c>
      <c r="M285" s="39">
        <v>0</v>
      </c>
      <c r="N285" s="52">
        <v>0</v>
      </c>
      <c r="O285" s="39">
        <v>0</v>
      </c>
      <c r="P285" s="39">
        <v>0</v>
      </c>
      <c r="Q285" s="52">
        <v>0</v>
      </c>
      <c r="R285" s="39">
        <v>0</v>
      </c>
      <c r="S285" s="39">
        <v>0</v>
      </c>
      <c r="T285" s="52">
        <v>0</v>
      </c>
      <c r="U285" s="39">
        <v>0</v>
      </c>
      <c r="V285" s="39">
        <v>0</v>
      </c>
      <c r="W285" s="52">
        <v>0</v>
      </c>
      <c r="X285" s="39">
        <v>0</v>
      </c>
      <c r="Y285" s="39">
        <v>0</v>
      </c>
      <c r="Z285" s="52">
        <v>0</v>
      </c>
      <c r="AA285" s="39">
        <v>0</v>
      </c>
      <c r="AB285" s="39">
        <v>0</v>
      </c>
      <c r="AC285" s="52">
        <v>0</v>
      </c>
      <c r="AD285" s="39">
        <v>0</v>
      </c>
      <c r="AE285" s="39">
        <v>76.901088737842997</v>
      </c>
      <c r="AF285" s="35">
        <v>76.901088737842997</v>
      </c>
      <c r="AG285" s="77">
        <v>0</v>
      </c>
      <c r="AH285" s="53">
        <v>76.901088737842997</v>
      </c>
      <c r="AI285" s="52">
        <v>76.901088737842997</v>
      </c>
      <c r="AJ285" s="39">
        <v>0</v>
      </c>
      <c r="AK285" s="39">
        <v>0</v>
      </c>
      <c r="AL285" s="52">
        <v>0</v>
      </c>
      <c r="AM285" s="39">
        <v>0</v>
      </c>
      <c r="AN285" s="39">
        <v>0</v>
      </c>
      <c r="AO285" s="52">
        <v>0</v>
      </c>
      <c r="AP285" s="39">
        <v>63.134509526243313</v>
      </c>
      <c r="AQ285" s="39">
        <v>0</v>
      </c>
      <c r="AR285" s="52">
        <v>-63.134509526243313</v>
      </c>
      <c r="AS285" s="39">
        <v>319.39668192727891</v>
      </c>
      <c r="AT285" s="39">
        <v>0</v>
      </c>
      <c r="AU285" s="54">
        <v>-319.39668192727891</v>
      </c>
      <c r="AV285" s="39">
        <v>0</v>
      </c>
      <c r="AW285" s="39">
        <v>0</v>
      </c>
      <c r="AX285" s="55">
        <v>0</v>
      </c>
      <c r="AY285" s="39">
        <v>0</v>
      </c>
      <c r="AZ285" s="39">
        <v>0</v>
      </c>
      <c r="BA285" s="35">
        <v>0</v>
      </c>
      <c r="BB285" s="39">
        <v>0</v>
      </c>
      <c r="BC285" s="39">
        <v>0</v>
      </c>
      <c r="BD285" s="55">
        <v>0</v>
      </c>
      <c r="BE285" s="39">
        <v>0</v>
      </c>
      <c r="BF285" s="39">
        <v>0</v>
      </c>
      <c r="BG285" s="38">
        <v>0</v>
      </c>
      <c r="BH285" s="39">
        <v>0</v>
      </c>
      <c r="BI285" s="39">
        <v>0</v>
      </c>
      <c r="BJ285" s="55">
        <v>0</v>
      </c>
      <c r="BK285" s="39">
        <v>0</v>
      </c>
      <c r="BL285" s="39">
        <v>0</v>
      </c>
      <c r="BM285" s="38">
        <v>0</v>
      </c>
      <c r="BN285" s="39">
        <v>0</v>
      </c>
      <c r="BO285" s="39">
        <v>0</v>
      </c>
      <c r="BP285" s="55">
        <v>0</v>
      </c>
      <c r="BQ285" s="77">
        <v>0</v>
      </c>
      <c r="BR285" s="40">
        <v>0</v>
      </c>
      <c r="BS285" s="55">
        <v>0</v>
      </c>
      <c r="BT285" s="39">
        <v>23.927010754197507</v>
      </c>
      <c r="BU285" s="39">
        <v>9.3997810984513475</v>
      </c>
      <c r="BV285" s="52">
        <v>-14.52722965574616</v>
      </c>
      <c r="BW285" s="39">
        <v>0</v>
      </c>
      <c r="BX285" s="39">
        <v>0.52056130683155977</v>
      </c>
      <c r="BY285" s="52">
        <v>0.52056130683155977</v>
      </c>
      <c r="BZ285" s="39">
        <v>0</v>
      </c>
      <c r="CA285" s="39">
        <v>36.867855319742631</v>
      </c>
      <c r="CB285" s="52">
        <v>36.867855319742631</v>
      </c>
      <c r="CC285" s="39">
        <v>0</v>
      </c>
      <c r="CD285" s="39">
        <v>0</v>
      </c>
      <c r="CE285" s="52">
        <v>0</v>
      </c>
      <c r="CF285" s="39">
        <v>0</v>
      </c>
      <c r="CG285" s="39">
        <v>0</v>
      </c>
      <c r="CH285" s="52">
        <v>0</v>
      </c>
      <c r="CI285" s="39">
        <v>0</v>
      </c>
      <c r="CJ285" s="39">
        <v>0</v>
      </c>
      <c r="CK285" s="52">
        <v>0</v>
      </c>
      <c r="CL285" s="39">
        <v>0</v>
      </c>
      <c r="CM285" s="39">
        <v>0</v>
      </c>
      <c r="CN285" s="52">
        <v>0</v>
      </c>
      <c r="CO285" s="39">
        <v>0</v>
      </c>
      <c r="CP285" s="40">
        <v>0</v>
      </c>
      <c r="CQ285" s="52">
        <v>0</v>
      </c>
      <c r="CR285" s="72">
        <v>406.45820220771975</v>
      </c>
      <c r="CS285" s="5">
        <v>123.68928646286852</v>
      </c>
      <c r="CT285" s="52">
        <v>-282.76891574485126</v>
      </c>
      <c r="CU285" s="77">
        <v>487.74984264926366</v>
      </c>
      <c r="CV285" s="65">
        <v>148.42714375544222</v>
      </c>
      <c r="CW285" s="35">
        <v>-339.32269889382144</v>
      </c>
      <c r="CX285" s="39">
        <v>7.316247639738954</v>
      </c>
      <c r="CY285" s="39">
        <v>346.63894653356033</v>
      </c>
      <c r="CZ285" s="52">
        <v>339.32269889382138</v>
      </c>
      <c r="DA285" s="150">
        <v>2891.8728800312765</v>
      </c>
      <c r="DB285" s="2">
        <v>2</v>
      </c>
      <c r="DC285" s="713">
        <v>2084.09</v>
      </c>
      <c r="DD285" s="714"/>
      <c r="DE285" s="715">
        <v>1836.5569548554988</v>
      </c>
      <c r="DF285" s="716">
        <v>0</v>
      </c>
      <c r="DG285" s="717">
        <v>5307.1986957772187</v>
      </c>
      <c r="DH285" s="718">
        <v>2375.5203880993572</v>
      </c>
      <c r="DI285" s="718">
        <v>5940.793083468031</v>
      </c>
      <c r="DJ285" s="693">
        <v>5049.4749096258629</v>
      </c>
      <c r="DK285" s="724"/>
      <c r="DL285" s="5"/>
      <c r="DM285" s="306">
        <v>1.9248292779510208</v>
      </c>
      <c r="DN285" s="306"/>
      <c r="DO285" s="306">
        <v>1.9248292779510208</v>
      </c>
      <c r="DP285" s="719">
        <v>247.53304514450127</v>
      </c>
      <c r="DQ285" s="720">
        <v>0</v>
      </c>
      <c r="DR285" s="650">
        <v>247.53304514450127</v>
      </c>
      <c r="DS285" s="94">
        <v>247.53304514450133</v>
      </c>
      <c r="DT285" s="719">
        <v>247.52</v>
      </c>
      <c r="DU285" s="721"/>
      <c r="DV285" s="93">
        <v>247.52</v>
      </c>
      <c r="DW285" s="95">
        <v>248.26466990847521</v>
      </c>
      <c r="DX285" s="28">
        <v>-0.74466990847520265</v>
      </c>
      <c r="EA285" s="5">
        <v>383.27601831273466</v>
      </c>
      <c r="EB285" s="5">
        <v>0</v>
      </c>
      <c r="EE285" s="722">
        <v>3832.7601831273469</v>
      </c>
      <c r="EG285" s="42" t="s">
        <v>138</v>
      </c>
    </row>
    <row r="286" spans="1:137" x14ac:dyDescent="0.3">
      <c r="A286" s="325">
        <v>150000845</v>
      </c>
      <c r="B286" s="41" t="s">
        <v>759</v>
      </c>
      <c r="C286" s="42" t="s">
        <v>139</v>
      </c>
      <c r="D286" s="27">
        <v>1</v>
      </c>
      <c r="E286" s="709">
        <v>252.8</v>
      </c>
      <c r="F286" s="723">
        <v>252.8</v>
      </c>
      <c r="G286" s="28"/>
      <c r="H286" s="651">
        <v>0</v>
      </c>
      <c r="I286" s="39">
        <v>0</v>
      </c>
      <c r="J286" s="39">
        <v>0</v>
      </c>
      <c r="K286" s="52">
        <v>0</v>
      </c>
      <c r="L286" s="39">
        <v>0</v>
      </c>
      <c r="M286" s="39">
        <v>0</v>
      </c>
      <c r="N286" s="52">
        <v>0</v>
      </c>
      <c r="O286" s="39">
        <v>0</v>
      </c>
      <c r="P286" s="39">
        <v>0</v>
      </c>
      <c r="Q286" s="52">
        <v>0</v>
      </c>
      <c r="R286" s="39">
        <v>0</v>
      </c>
      <c r="S286" s="39">
        <v>0</v>
      </c>
      <c r="T286" s="52">
        <v>0</v>
      </c>
      <c r="U286" s="39">
        <v>0</v>
      </c>
      <c r="V286" s="39">
        <v>0</v>
      </c>
      <c r="W286" s="52">
        <v>0</v>
      </c>
      <c r="X286" s="39">
        <v>0</v>
      </c>
      <c r="Y286" s="39">
        <v>0</v>
      </c>
      <c r="Z286" s="52">
        <v>0</v>
      </c>
      <c r="AA286" s="39">
        <v>0</v>
      </c>
      <c r="AB286" s="39">
        <v>0</v>
      </c>
      <c r="AC286" s="52">
        <v>0</v>
      </c>
      <c r="AD286" s="39">
        <v>0</v>
      </c>
      <c r="AE286" s="39">
        <v>151.17103602586866</v>
      </c>
      <c r="AF286" s="35">
        <v>151.17103602586866</v>
      </c>
      <c r="AG286" s="77">
        <v>0</v>
      </c>
      <c r="AH286" s="53">
        <v>151.17103602586866</v>
      </c>
      <c r="AI286" s="52">
        <v>151.17103602586866</v>
      </c>
      <c r="AJ286" s="39">
        <v>0</v>
      </c>
      <c r="AK286" s="39">
        <v>0</v>
      </c>
      <c r="AL286" s="52">
        <v>0</v>
      </c>
      <c r="AM286" s="39">
        <v>0</v>
      </c>
      <c r="AN286" s="39">
        <v>0</v>
      </c>
      <c r="AO286" s="52">
        <v>0</v>
      </c>
      <c r="AP286" s="39">
        <v>63.134509526243313</v>
      </c>
      <c r="AQ286" s="39">
        <v>0</v>
      </c>
      <c r="AR286" s="52">
        <v>-63.134509526243313</v>
      </c>
      <c r="AS286" s="39">
        <v>695.48980715602272</v>
      </c>
      <c r="AT286" s="39">
        <v>0</v>
      </c>
      <c r="AU286" s="54">
        <v>-695.48980715602272</v>
      </c>
      <c r="AV286" s="39">
        <v>0</v>
      </c>
      <c r="AW286" s="39">
        <v>0</v>
      </c>
      <c r="AX286" s="55">
        <v>0</v>
      </c>
      <c r="AY286" s="39">
        <v>0</v>
      </c>
      <c r="AZ286" s="39">
        <v>0</v>
      </c>
      <c r="BA286" s="35">
        <v>0</v>
      </c>
      <c r="BB286" s="39">
        <v>0</v>
      </c>
      <c r="BC286" s="39">
        <v>0</v>
      </c>
      <c r="BD286" s="55">
        <v>0</v>
      </c>
      <c r="BE286" s="39">
        <v>0</v>
      </c>
      <c r="BF286" s="39">
        <v>0</v>
      </c>
      <c r="BG286" s="38">
        <v>0</v>
      </c>
      <c r="BH286" s="39">
        <v>0</v>
      </c>
      <c r="BI286" s="39">
        <v>0</v>
      </c>
      <c r="BJ286" s="55">
        <v>0</v>
      </c>
      <c r="BK286" s="39">
        <v>0</v>
      </c>
      <c r="BL286" s="39">
        <v>0</v>
      </c>
      <c r="BM286" s="38">
        <v>0</v>
      </c>
      <c r="BN286" s="39">
        <v>0</v>
      </c>
      <c r="BO286" s="39">
        <v>0</v>
      </c>
      <c r="BP286" s="55">
        <v>0</v>
      </c>
      <c r="BQ286" s="77">
        <v>0</v>
      </c>
      <c r="BR286" s="40">
        <v>0</v>
      </c>
      <c r="BS286" s="55">
        <v>0</v>
      </c>
      <c r="BT286" s="39">
        <v>0</v>
      </c>
      <c r="BU286" s="39">
        <v>0</v>
      </c>
      <c r="BV286" s="52">
        <v>0</v>
      </c>
      <c r="BW286" s="39">
        <v>0</v>
      </c>
      <c r="BX286" s="39">
        <v>1.0233118068974987</v>
      </c>
      <c r="BY286" s="52">
        <v>1.0233118068974987</v>
      </c>
      <c r="BZ286" s="39">
        <v>0</v>
      </c>
      <c r="CA286" s="39">
        <v>0</v>
      </c>
      <c r="CB286" s="52">
        <v>0</v>
      </c>
      <c r="CC286" s="39">
        <v>0</v>
      </c>
      <c r="CD286" s="39">
        <v>0</v>
      </c>
      <c r="CE286" s="52">
        <v>0</v>
      </c>
      <c r="CF286" s="39">
        <v>0</v>
      </c>
      <c r="CG286" s="39">
        <v>0</v>
      </c>
      <c r="CH286" s="52">
        <v>0</v>
      </c>
      <c r="CI286" s="39">
        <v>0</v>
      </c>
      <c r="CJ286" s="39">
        <v>0</v>
      </c>
      <c r="CK286" s="52">
        <v>0</v>
      </c>
      <c r="CL286" s="39">
        <v>0</v>
      </c>
      <c r="CM286" s="39">
        <v>0</v>
      </c>
      <c r="CN286" s="52">
        <v>0</v>
      </c>
      <c r="CO286" s="39">
        <v>0</v>
      </c>
      <c r="CP286" s="40">
        <v>0</v>
      </c>
      <c r="CQ286" s="52">
        <v>0</v>
      </c>
      <c r="CR286" s="72">
        <v>758.624316682266</v>
      </c>
      <c r="CS286" s="5">
        <v>152.19434783276617</v>
      </c>
      <c r="CT286" s="52">
        <v>-606.4299688494998</v>
      </c>
      <c r="CU286" s="77">
        <v>910.34918001871915</v>
      </c>
      <c r="CV286" s="65">
        <v>182.63321739931939</v>
      </c>
      <c r="CW286" s="35">
        <v>-727.71596261939976</v>
      </c>
      <c r="CX286" s="39">
        <v>22.758729500467982</v>
      </c>
      <c r="CY286" s="39">
        <v>750.47469211986777</v>
      </c>
      <c r="CZ286" s="52">
        <v>727.71596261939976</v>
      </c>
      <c r="DA286" s="150">
        <v>-3706.8069893744187</v>
      </c>
      <c r="DB286" s="2">
        <v>1</v>
      </c>
      <c r="DC286" s="713">
        <v>219.07</v>
      </c>
      <c r="DD286" s="714"/>
      <c r="DE286" s="715">
        <v>-247.48395475959364</v>
      </c>
      <c r="DF286" s="716">
        <v>0</v>
      </c>
      <c r="DG286" s="717">
        <v>1342.5193145253124</v>
      </c>
      <c r="DH286" s="718">
        <v>4614.9706142218374</v>
      </c>
      <c r="DI286" s="718">
        <v>11197.294914230246</v>
      </c>
      <c r="DJ286" s="693">
        <v>9551.7138392281431</v>
      </c>
      <c r="DK286" s="724"/>
      <c r="DL286" s="5"/>
      <c r="DM286" s="306">
        <v>1.8455457071186456</v>
      </c>
      <c r="DN286" s="306"/>
      <c r="DO286" s="306">
        <v>1.8455457071186456</v>
      </c>
      <c r="DP286" s="719">
        <v>466.55395475959364</v>
      </c>
      <c r="DQ286" s="720">
        <v>0</v>
      </c>
      <c r="DR286" s="650">
        <v>466.55395475959364</v>
      </c>
      <c r="DS286" s="94">
        <v>466.55395475959352</v>
      </c>
      <c r="DT286" s="719">
        <v>466.54</v>
      </c>
      <c r="DU286" s="721"/>
      <c r="DV286" s="93">
        <v>466.54</v>
      </c>
      <c r="DW286" s="95">
        <v>468.82982770964037</v>
      </c>
      <c r="DX286" s="28">
        <v>-2.289827709640349</v>
      </c>
      <c r="EA286" s="5">
        <v>834.58776858722729</v>
      </c>
      <c r="EB286" s="5">
        <v>0</v>
      </c>
      <c r="EE286" s="722">
        <v>8345.8776858722722</v>
      </c>
      <c r="EG286" s="42" t="s">
        <v>139</v>
      </c>
    </row>
    <row r="287" spans="1:137" x14ac:dyDescent="0.3">
      <c r="A287" s="325">
        <v>150000846</v>
      </c>
      <c r="B287" s="41" t="s">
        <v>760</v>
      </c>
      <c r="C287" s="42" t="s">
        <v>140</v>
      </c>
      <c r="D287" s="27">
        <v>1</v>
      </c>
      <c r="E287" s="709">
        <v>126.2</v>
      </c>
      <c r="F287" s="723">
        <v>126.2</v>
      </c>
      <c r="G287" s="28"/>
      <c r="H287" s="651">
        <v>0</v>
      </c>
      <c r="I287" s="39">
        <v>0</v>
      </c>
      <c r="J287" s="39">
        <v>0</v>
      </c>
      <c r="K287" s="52">
        <v>0</v>
      </c>
      <c r="L287" s="39">
        <v>0</v>
      </c>
      <c r="M287" s="39">
        <v>0</v>
      </c>
      <c r="N287" s="52">
        <v>0</v>
      </c>
      <c r="O287" s="39">
        <v>0</v>
      </c>
      <c r="P287" s="39">
        <v>0</v>
      </c>
      <c r="Q287" s="52">
        <v>0</v>
      </c>
      <c r="R287" s="39">
        <v>0</v>
      </c>
      <c r="S287" s="39">
        <v>0</v>
      </c>
      <c r="T287" s="52">
        <v>0</v>
      </c>
      <c r="U287" s="39">
        <v>0</v>
      </c>
      <c r="V287" s="39">
        <v>0</v>
      </c>
      <c r="W287" s="52">
        <v>0</v>
      </c>
      <c r="X287" s="39">
        <v>0</v>
      </c>
      <c r="Y287" s="39">
        <v>0</v>
      </c>
      <c r="Z287" s="52">
        <v>0</v>
      </c>
      <c r="AA287" s="39">
        <v>0</v>
      </c>
      <c r="AB287" s="39">
        <v>0</v>
      </c>
      <c r="AC287" s="52">
        <v>0</v>
      </c>
      <c r="AD287" s="39">
        <v>0</v>
      </c>
      <c r="AE287" s="39">
        <v>75.465920674306275</v>
      </c>
      <c r="AF287" s="35">
        <v>75.465920674306275</v>
      </c>
      <c r="AG287" s="77">
        <v>0</v>
      </c>
      <c r="AH287" s="53">
        <v>75.465920674306275</v>
      </c>
      <c r="AI287" s="52">
        <v>75.465920674306275</v>
      </c>
      <c r="AJ287" s="39">
        <v>0</v>
      </c>
      <c r="AK287" s="39">
        <v>0</v>
      </c>
      <c r="AL287" s="52">
        <v>0</v>
      </c>
      <c r="AM287" s="39">
        <v>0</v>
      </c>
      <c r="AN287" s="39">
        <v>0</v>
      </c>
      <c r="AO287" s="52">
        <v>0</v>
      </c>
      <c r="AP287" s="39">
        <v>47.350882144682487</v>
      </c>
      <c r="AQ287" s="39">
        <v>0</v>
      </c>
      <c r="AR287" s="52">
        <v>-47.350882144682487</v>
      </c>
      <c r="AS287" s="39">
        <v>333.49125639965536</v>
      </c>
      <c r="AT287" s="39">
        <v>0</v>
      </c>
      <c r="AU287" s="54">
        <v>-333.49125639965536</v>
      </c>
      <c r="AV287" s="39">
        <v>0</v>
      </c>
      <c r="AW287" s="39">
        <v>0</v>
      </c>
      <c r="AX287" s="55">
        <v>0</v>
      </c>
      <c r="AY287" s="39">
        <v>0</v>
      </c>
      <c r="AZ287" s="39">
        <v>0</v>
      </c>
      <c r="BA287" s="35">
        <v>0</v>
      </c>
      <c r="BB287" s="39">
        <v>0</v>
      </c>
      <c r="BC287" s="39">
        <v>0</v>
      </c>
      <c r="BD287" s="55">
        <v>0</v>
      </c>
      <c r="BE287" s="39">
        <v>0</v>
      </c>
      <c r="BF287" s="39">
        <v>0</v>
      </c>
      <c r="BG287" s="38">
        <v>0</v>
      </c>
      <c r="BH287" s="39">
        <v>0</v>
      </c>
      <c r="BI287" s="39">
        <v>0</v>
      </c>
      <c r="BJ287" s="55">
        <v>0</v>
      </c>
      <c r="BK287" s="39">
        <v>0</v>
      </c>
      <c r="BL287" s="39">
        <v>0</v>
      </c>
      <c r="BM287" s="38">
        <v>0</v>
      </c>
      <c r="BN287" s="39">
        <v>0</v>
      </c>
      <c r="BO287" s="39">
        <v>0</v>
      </c>
      <c r="BP287" s="55">
        <v>0</v>
      </c>
      <c r="BQ287" s="77">
        <v>0</v>
      </c>
      <c r="BR287" s="40">
        <v>0</v>
      </c>
      <c r="BS287" s="55">
        <v>0</v>
      </c>
      <c r="BT287" s="39">
        <v>0</v>
      </c>
      <c r="BU287" s="39">
        <v>0</v>
      </c>
      <c r="BV287" s="52">
        <v>0</v>
      </c>
      <c r="BW287" s="39">
        <v>0</v>
      </c>
      <c r="BX287" s="39">
        <v>0.51084632132303931</v>
      </c>
      <c r="BY287" s="52">
        <v>0.51084632132303931</v>
      </c>
      <c r="BZ287" s="39">
        <v>0</v>
      </c>
      <c r="CA287" s="39">
        <v>0</v>
      </c>
      <c r="CB287" s="52">
        <v>0</v>
      </c>
      <c r="CC287" s="39">
        <v>0</v>
      </c>
      <c r="CD287" s="39">
        <v>0</v>
      </c>
      <c r="CE287" s="52">
        <v>0</v>
      </c>
      <c r="CF287" s="39">
        <v>0</v>
      </c>
      <c r="CG287" s="39">
        <v>0</v>
      </c>
      <c r="CH287" s="52">
        <v>0</v>
      </c>
      <c r="CI287" s="39">
        <v>0</v>
      </c>
      <c r="CJ287" s="39">
        <v>0</v>
      </c>
      <c r="CK287" s="52">
        <v>0</v>
      </c>
      <c r="CL287" s="39">
        <v>0</v>
      </c>
      <c r="CM287" s="39">
        <v>0</v>
      </c>
      <c r="CN287" s="52">
        <v>0</v>
      </c>
      <c r="CO287" s="39">
        <v>0</v>
      </c>
      <c r="CP287" s="40">
        <v>0</v>
      </c>
      <c r="CQ287" s="52">
        <v>0</v>
      </c>
      <c r="CR287" s="72">
        <v>380.84213854433784</v>
      </c>
      <c r="CS287" s="5">
        <v>75.976766995629319</v>
      </c>
      <c r="CT287" s="52">
        <v>-304.86537154870854</v>
      </c>
      <c r="CU287" s="77">
        <v>457.01056625320541</v>
      </c>
      <c r="CV287" s="65">
        <v>91.172120394755183</v>
      </c>
      <c r="CW287" s="35">
        <v>-365.8384458584502</v>
      </c>
      <c r="CX287" s="39">
        <v>11.425264156330137</v>
      </c>
      <c r="CY287" s="39">
        <v>377.26371001478037</v>
      </c>
      <c r="CZ287" s="52">
        <v>365.83844585845026</v>
      </c>
      <c r="DA287" s="150">
        <v>-5313.7234207236088</v>
      </c>
      <c r="DB287" s="2">
        <v>1</v>
      </c>
      <c r="DC287" s="713">
        <v>940.85</v>
      </c>
      <c r="DD287" s="714"/>
      <c r="DE287" s="715">
        <v>706.63208479523223</v>
      </c>
      <c r="DF287" s="716">
        <v>0</v>
      </c>
      <c r="DG287" s="717">
        <v>-2750.6936039083589</v>
      </c>
      <c r="DH287" s="718">
        <v>2270.4164422571498</v>
      </c>
      <c r="DI287" s="718">
        <v>5621.2299649144261</v>
      </c>
      <c r="DJ287" s="693">
        <v>4783.5265842501067</v>
      </c>
      <c r="DK287" s="724"/>
      <c r="DL287" s="5"/>
      <c r="DM287" s="306">
        <v>1.8559264279300138</v>
      </c>
      <c r="DN287" s="306"/>
      <c r="DO287" s="306">
        <v>1.8559264279300138</v>
      </c>
      <c r="DP287" s="719">
        <v>234.21791520476776</v>
      </c>
      <c r="DQ287" s="720">
        <v>0</v>
      </c>
      <c r="DR287" s="650">
        <v>234.21791520476776</v>
      </c>
      <c r="DS287" s="94">
        <v>234.21791520476776</v>
      </c>
      <c r="DT287" s="719">
        <v>234.21</v>
      </c>
      <c r="DU287" s="721"/>
      <c r="DV287" s="93">
        <v>234.21</v>
      </c>
      <c r="DW287" s="95">
        <v>235.36044162040076</v>
      </c>
      <c r="DX287" s="28">
        <v>-1.1504416204007555</v>
      </c>
      <c r="EA287" s="5">
        <v>400.18950767958643</v>
      </c>
      <c r="EB287" s="5">
        <v>0</v>
      </c>
      <c r="EE287" s="722">
        <v>4001.895076795864</v>
      </c>
      <c r="EG287" s="42" t="s">
        <v>140</v>
      </c>
    </row>
    <row r="288" spans="1:137" x14ac:dyDescent="0.3">
      <c r="A288" s="325">
        <v>150000798</v>
      </c>
      <c r="B288" s="41" t="s">
        <v>761</v>
      </c>
      <c r="C288" s="42" t="s">
        <v>226</v>
      </c>
      <c r="D288" s="27">
        <v>4</v>
      </c>
      <c r="E288" s="709">
        <v>1317.9</v>
      </c>
      <c r="F288" s="723">
        <v>996.3</v>
      </c>
      <c r="G288" s="28"/>
      <c r="H288" s="651">
        <v>321.60000000000002</v>
      </c>
      <c r="I288" s="39">
        <v>658.30376027673867</v>
      </c>
      <c r="J288" s="39">
        <v>706.43171522207035</v>
      </c>
      <c r="K288" s="52">
        <v>48.12795494533168</v>
      </c>
      <c r="L288" s="39">
        <v>117.52041640181733</v>
      </c>
      <c r="M288" s="39">
        <v>127.69163885127138</v>
      </c>
      <c r="N288" s="52">
        <v>10.171222449454049</v>
      </c>
      <c r="O288" s="39">
        <v>314.88</v>
      </c>
      <c r="P288" s="39">
        <v>314.88</v>
      </c>
      <c r="Q288" s="52">
        <v>0</v>
      </c>
      <c r="R288" s="39">
        <v>0</v>
      </c>
      <c r="S288" s="39">
        <v>0</v>
      </c>
      <c r="T288" s="52">
        <v>0</v>
      </c>
      <c r="U288" s="39">
        <v>0</v>
      </c>
      <c r="V288" s="39">
        <v>0</v>
      </c>
      <c r="W288" s="52">
        <v>0</v>
      </c>
      <c r="X288" s="39">
        <v>488.94306633129565</v>
      </c>
      <c r="Y288" s="39">
        <v>445.5291514401755</v>
      </c>
      <c r="Z288" s="52">
        <v>-43.413914891120157</v>
      </c>
      <c r="AA288" s="39">
        <v>0</v>
      </c>
      <c r="AB288" s="39">
        <v>0</v>
      </c>
      <c r="AC288" s="52">
        <v>0</v>
      </c>
      <c r="AD288" s="39">
        <v>939.18639626826405</v>
      </c>
      <c r="AE288" s="39">
        <v>788.0866628896058</v>
      </c>
      <c r="AF288" s="35">
        <v>-151.09973337865824</v>
      </c>
      <c r="AG288" s="77">
        <v>2518.8336392781157</v>
      </c>
      <c r="AH288" s="53">
        <v>2382.6191684031228</v>
      </c>
      <c r="AI288" s="52">
        <v>-136.21447087499291</v>
      </c>
      <c r="AJ288" s="39">
        <v>0</v>
      </c>
      <c r="AK288" s="39">
        <v>0</v>
      </c>
      <c r="AL288" s="52">
        <v>0</v>
      </c>
      <c r="AM288" s="39">
        <v>0</v>
      </c>
      <c r="AN288" s="39">
        <v>0</v>
      </c>
      <c r="AO288" s="52">
        <v>0</v>
      </c>
      <c r="AP288" s="39">
        <v>426.15793930214238</v>
      </c>
      <c r="AQ288" s="39">
        <v>0</v>
      </c>
      <c r="AR288" s="52">
        <v>-426.15793930214238</v>
      </c>
      <c r="AS288" s="39">
        <v>2609.1057601751249</v>
      </c>
      <c r="AT288" s="39">
        <v>380</v>
      </c>
      <c r="AU288" s="54">
        <v>-2229.1057601751249</v>
      </c>
      <c r="AV288" s="39">
        <v>126.78159136424794</v>
      </c>
      <c r="AW288" s="39">
        <v>0</v>
      </c>
      <c r="AX288" s="55">
        <v>-126.78159136424794</v>
      </c>
      <c r="AY288" s="39">
        <v>151.47835609515252</v>
      </c>
      <c r="AZ288" s="39">
        <v>0</v>
      </c>
      <c r="BA288" s="35">
        <v>-151.47835609515252</v>
      </c>
      <c r="BB288" s="39">
        <v>158.77057002037245</v>
      </c>
      <c r="BC288" s="39">
        <v>0</v>
      </c>
      <c r="BD288" s="55">
        <v>-158.77057002037245</v>
      </c>
      <c r="BE288" s="39">
        <v>0</v>
      </c>
      <c r="BF288" s="39">
        <v>0</v>
      </c>
      <c r="BG288" s="38">
        <v>0</v>
      </c>
      <c r="BH288" s="39">
        <v>0</v>
      </c>
      <c r="BI288" s="39">
        <v>0</v>
      </c>
      <c r="BJ288" s="55">
        <v>0</v>
      </c>
      <c r="BK288" s="39">
        <v>59.149004912770224</v>
      </c>
      <c r="BL288" s="39">
        <v>711</v>
      </c>
      <c r="BM288" s="38">
        <v>651.85099508722976</v>
      </c>
      <c r="BN288" s="39">
        <v>0</v>
      </c>
      <c r="BO288" s="39">
        <v>0</v>
      </c>
      <c r="BP288" s="55">
        <v>0</v>
      </c>
      <c r="BQ288" s="77">
        <v>496.17952239254316</v>
      </c>
      <c r="BR288" s="40">
        <v>711</v>
      </c>
      <c r="BS288" s="55">
        <v>214.82047760745684</v>
      </c>
      <c r="BT288" s="39">
        <v>1635.5688770838797</v>
      </c>
      <c r="BU288" s="39">
        <v>506.51993978431312</v>
      </c>
      <c r="BV288" s="52">
        <v>-1129.0489372995667</v>
      </c>
      <c r="BW288" s="39">
        <v>1492.5482862868741</v>
      </c>
      <c r="BX288" s="39">
        <v>1284.8030816091245</v>
      </c>
      <c r="BY288" s="52">
        <v>-207.7452046777496</v>
      </c>
      <c r="BZ288" s="39">
        <v>866.40217706560645</v>
      </c>
      <c r="CA288" s="39">
        <v>2286.5982979989776</v>
      </c>
      <c r="CB288" s="52">
        <v>1420.1961209333713</v>
      </c>
      <c r="CC288" s="39">
        <v>234.2275448244915</v>
      </c>
      <c r="CD288" s="39">
        <v>231.08231008138139</v>
      </c>
      <c r="CE288" s="52">
        <v>-3.1452347431101089</v>
      </c>
      <c r="CF288" s="39">
        <v>28.834830328772625</v>
      </c>
      <c r="CG288" s="39">
        <v>0</v>
      </c>
      <c r="CH288" s="52">
        <v>-28.834830328772625</v>
      </c>
      <c r="CI288" s="39">
        <v>514.73194237278358</v>
      </c>
      <c r="CJ288" s="39">
        <v>1558.4755659268385</v>
      </c>
      <c r="CK288" s="52">
        <v>1043.7436235540549</v>
      </c>
      <c r="CL288" s="39">
        <v>0</v>
      </c>
      <c r="CM288" s="39">
        <v>0</v>
      </c>
      <c r="CN288" s="52">
        <v>0</v>
      </c>
      <c r="CO288" s="39">
        <v>514.73194237278358</v>
      </c>
      <c r="CP288" s="40">
        <v>1558.4755659268385</v>
      </c>
      <c r="CQ288" s="52">
        <v>1043.7436235540549</v>
      </c>
      <c r="CR288" s="72">
        <v>10822.590519110336</v>
      </c>
      <c r="CS288" s="5">
        <v>9341.0983638037578</v>
      </c>
      <c r="CT288" s="52">
        <v>-1481.4921553065778</v>
      </c>
      <c r="CU288" s="77">
        <v>12987.108622932403</v>
      </c>
      <c r="CV288" s="65">
        <v>11209.318036564509</v>
      </c>
      <c r="CW288" s="35">
        <v>-1777.7905863678934</v>
      </c>
      <c r="CX288" s="39">
        <v>324.67771557331008</v>
      </c>
      <c r="CY288" s="39">
        <v>2102.4683019412041</v>
      </c>
      <c r="CZ288" s="52">
        <v>1777.7905863678941</v>
      </c>
      <c r="DA288" s="150">
        <v>121473.81939239144</v>
      </c>
      <c r="DB288" s="2">
        <v>2</v>
      </c>
      <c r="DC288" s="713">
        <v>15946.85</v>
      </c>
      <c r="DD288" s="714">
        <v>624.72</v>
      </c>
      <c r="DE288" s="715">
        <v>10691.164033855694</v>
      </c>
      <c r="DF288" s="716">
        <v>-775.48720310854787</v>
      </c>
      <c r="DG288" s="717">
        <v>10402.659418976555</v>
      </c>
      <c r="DH288" s="718">
        <v>64525.136456051827</v>
      </c>
      <c r="DI288" s="718">
        <v>159741.43606206856</v>
      </c>
      <c r="DJ288" s="693">
        <v>135937.36116056438</v>
      </c>
      <c r="DK288" s="724"/>
      <c r="DL288" s="5"/>
      <c r="DM288" s="306">
        <v>5.2752042217648372</v>
      </c>
      <c r="DN288" s="306"/>
      <c r="DO288" s="306">
        <v>4.3538781191186189</v>
      </c>
      <c r="DP288" s="719">
        <v>5255.6859661443068</v>
      </c>
      <c r="DQ288" s="720">
        <v>1400.2072031085479</v>
      </c>
      <c r="DR288" s="650">
        <v>6655.8931692528549</v>
      </c>
      <c r="DS288" s="94">
        <v>6655.8931692528586</v>
      </c>
      <c r="DT288" s="719">
        <v>5255.14</v>
      </c>
      <c r="DU288" s="725">
        <v>1400.21</v>
      </c>
      <c r="DV288" s="93">
        <v>6655.35</v>
      </c>
      <c r="DW288" s="95">
        <v>6688.3609408101875</v>
      </c>
      <c r="DX288" s="28">
        <v>-33.010940810187094</v>
      </c>
      <c r="EA288" s="5">
        <v>3726.3423390812018</v>
      </c>
      <c r="EB288" s="5">
        <v>1309.2</v>
      </c>
      <c r="EE288" s="722">
        <v>31309.269122101497</v>
      </c>
      <c r="EG288" s="42" t="s">
        <v>226</v>
      </c>
    </row>
    <row r="289" spans="1:137" x14ac:dyDescent="0.3">
      <c r="A289" s="325">
        <v>150000819</v>
      </c>
      <c r="B289" s="41" t="s">
        <v>762</v>
      </c>
      <c r="C289" s="42" t="s">
        <v>424</v>
      </c>
      <c r="D289" s="27">
        <v>10</v>
      </c>
      <c r="E289" s="709">
        <v>6770.3499999999995</v>
      </c>
      <c r="F289" s="723">
        <v>6584.95</v>
      </c>
      <c r="G289" s="28">
        <v>226.3</v>
      </c>
      <c r="H289" s="651">
        <v>185.4</v>
      </c>
      <c r="I289" s="39">
        <v>4409.5360282952852</v>
      </c>
      <c r="J289" s="39">
        <v>4192.6724533409342</v>
      </c>
      <c r="K289" s="52">
        <v>-216.86357495435095</v>
      </c>
      <c r="L289" s="39">
        <v>748.37160325246532</v>
      </c>
      <c r="M289" s="39">
        <v>647.63852565582727</v>
      </c>
      <c r="N289" s="52">
        <v>-100.73307759663805</v>
      </c>
      <c r="O289" s="39">
        <v>1427.52</v>
      </c>
      <c r="P289" s="39">
        <v>1427.82</v>
      </c>
      <c r="Q289" s="52">
        <v>0.29999999999995453</v>
      </c>
      <c r="R289" s="39">
        <v>362.02</v>
      </c>
      <c r="S289" s="39">
        <v>362.34</v>
      </c>
      <c r="T289" s="52">
        <v>0.31999999999999318</v>
      </c>
      <c r="U289" s="39">
        <v>208.3500279500883</v>
      </c>
      <c r="V289" s="39">
        <v>123.47405749087287</v>
      </c>
      <c r="W289" s="52">
        <v>-84.875970459215438</v>
      </c>
      <c r="X289" s="39">
        <v>1680.7795733443816</v>
      </c>
      <c r="Y289" s="39">
        <v>1182.535646765162</v>
      </c>
      <c r="Z289" s="52">
        <v>-498.24392657921953</v>
      </c>
      <c r="AA289" s="39">
        <v>0</v>
      </c>
      <c r="AB289" s="39">
        <v>0</v>
      </c>
      <c r="AC289" s="52">
        <v>0</v>
      </c>
      <c r="AD289" s="39">
        <v>4824.8126701379779</v>
      </c>
      <c r="AE289" s="39">
        <v>4048.5792079024523</v>
      </c>
      <c r="AF289" s="35">
        <v>-776.23346223552562</v>
      </c>
      <c r="AG289" s="77">
        <v>13661.389902980198</v>
      </c>
      <c r="AH289" s="53">
        <v>11985.059891155248</v>
      </c>
      <c r="AI289" s="52">
        <v>-1676.3300118249499</v>
      </c>
      <c r="AJ289" s="39">
        <v>8685.8007101718067</v>
      </c>
      <c r="AK289" s="39">
        <v>8569.144783391901</v>
      </c>
      <c r="AL289" s="52">
        <v>-116.65592677990571</v>
      </c>
      <c r="AM289" s="39">
        <v>263.07035981182185</v>
      </c>
      <c r="AN289" s="39">
        <v>0</v>
      </c>
      <c r="AO289" s="52">
        <v>-263.07035981182185</v>
      </c>
      <c r="AP289" s="39">
        <v>883.88313336740646</v>
      </c>
      <c r="AQ289" s="39">
        <v>0</v>
      </c>
      <c r="AR289" s="52">
        <v>-883.88313336740646</v>
      </c>
      <c r="AS289" s="39">
        <v>17079.983820366782</v>
      </c>
      <c r="AT289" s="39">
        <v>41032</v>
      </c>
      <c r="AU289" s="54">
        <v>23952.016179633218</v>
      </c>
      <c r="AV289" s="39">
        <v>354.5053752788794</v>
      </c>
      <c r="AW289" s="39">
        <v>727</v>
      </c>
      <c r="AX289" s="55">
        <v>372.4946247211206</v>
      </c>
      <c r="AY289" s="39">
        <v>493.73511237688888</v>
      </c>
      <c r="AZ289" s="39">
        <v>0</v>
      </c>
      <c r="BA289" s="35">
        <v>-493.73511237688888</v>
      </c>
      <c r="BB289" s="39">
        <v>599.00354063093062</v>
      </c>
      <c r="BC289" s="39">
        <v>0</v>
      </c>
      <c r="BD289" s="55">
        <v>-599.00354063093062</v>
      </c>
      <c r="BE289" s="39">
        <v>202.16392511926523</v>
      </c>
      <c r="BF289" s="39">
        <v>0</v>
      </c>
      <c r="BG289" s="38">
        <v>-202.16392511926523</v>
      </c>
      <c r="BH289" s="39">
        <v>105.68402349220877</v>
      </c>
      <c r="BI289" s="39">
        <v>0</v>
      </c>
      <c r="BJ289" s="55">
        <v>-105.68402349220877</v>
      </c>
      <c r="BK289" s="39">
        <v>136.87374713977206</v>
      </c>
      <c r="BL289" s="39">
        <v>0</v>
      </c>
      <c r="BM289" s="38">
        <v>-136.87374713977206</v>
      </c>
      <c r="BN289" s="39">
        <v>0</v>
      </c>
      <c r="BO289" s="39">
        <v>0</v>
      </c>
      <c r="BP289" s="55">
        <v>0</v>
      </c>
      <c r="BQ289" s="77">
        <v>1891.9657240379449</v>
      </c>
      <c r="BR289" s="40">
        <v>727</v>
      </c>
      <c r="BS289" s="55">
        <v>-1164.9657240379449</v>
      </c>
      <c r="BT289" s="39">
        <v>13684.808546610016</v>
      </c>
      <c r="BU289" s="39">
        <v>3211.0872425316702</v>
      </c>
      <c r="BV289" s="52">
        <v>-10473.721304078346</v>
      </c>
      <c r="BW289" s="39">
        <v>10322.764762398767</v>
      </c>
      <c r="BX289" s="39">
        <v>10548.602166438752</v>
      </c>
      <c r="BY289" s="52">
        <v>225.8374040399849</v>
      </c>
      <c r="BZ289" s="39">
        <v>822.31395306956858</v>
      </c>
      <c r="CA289" s="39">
        <v>12653.254978483332</v>
      </c>
      <c r="CB289" s="52">
        <v>11830.941025413764</v>
      </c>
      <c r="CC289" s="39">
        <v>107.84859744953565</v>
      </c>
      <c r="CD289" s="39">
        <v>106.4003939261279</v>
      </c>
      <c r="CE289" s="52">
        <v>-1.4482035234077415</v>
      </c>
      <c r="CF289" s="39">
        <v>13.276815973901169</v>
      </c>
      <c r="CG289" s="39">
        <v>0</v>
      </c>
      <c r="CH289" s="52">
        <v>-13.276815973901169</v>
      </c>
      <c r="CI289" s="39">
        <v>2214.9071459677357</v>
      </c>
      <c r="CJ289" s="39">
        <v>3155.578286676302</v>
      </c>
      <c r="CK289" s="52">
        <v>940.67114070856633</v>
      </c>
      <c r="CL289" s="39">
        <v>3322.3607189516042</v>
      </c>
      <c r="CM289" s="39">
        <v>4733.367430014453</v>
      </c>
      <c r="CN289" s="52">
        <v>1411.0067110628488</v>
      </c>
      <c r="CO289" s="39">
        <v>5537.2678649193404</v>
      </c>
      <c r="CP289" s="40">
        <v>7888.945716690755</v>
      </c>
      <c r="CQ289" s="52">
        <v>2351.6778517714147</v>
      </c>
      <c r="CR289" s="72">
        <v>72954.374191157098</v>
      </c>
      <c r="CS289" s="5">
        <v>96721.495172617797</v>
      </c>
      <c r="CT289" s="52">
        <v>23767.120981460699</v>
      </c>
      <c r="CU289" s="77">
        <v>87545.24902938852</v>
      </c>
      <c r="CV289" s="65">
        <v>116065.79420714136</v>
      </c>
      <c r="CW289" s="35">
        <v>28520.545177752836</v>
      </c>
      <c r="CX289" s="39">
        <v>2188.6312257347131</v>
      </c>
      <c r="CY289" s="39">
        <v>-26331.913952018098</v>
      </c>
      <c r="CZ289" s="52">
        <v>-28520.545177752811</v>
      </c>
      <c r="DA289" s="150">
        <v>32257.822050126349</v>
      </c>
      <c r="DB289" s="2">
        <v>3</v>
      </c>
      <c r="DC289" s="713">
        <v>66656.08</v>
      </c>
      <c r="DD289" s="714">
        <v>1450.6299999999999</v>
      </c>
      <c r="DE289" s="715">
        <v>22637.270415005645</v>
      </c>
      <c r="DF289" s="716">
        <v>602.49945743273668</v>
      </c>
      <c r="DG289" s="717">
        <v>20705.925892333817</v>
      </c>
      <c r="DH289" s="718">
        <v>439881.14359585976</v>
      </c>
      <c r="DI289" s="718">
        <v>1076806.5630614788</v>
      </c>
      <c r="DJ289" s="693">
        <v>917575.20819507411</v>
      </c>
      <c r="DK289" s="724"/>
      <c r="DL289" s="5"/>
      <c r="DM289" s="306">
        <v>5.5386908077964438</v>
      </c>
      <c r="DN289" s="306">
        <v>6.7255476956885545</v>
      </c>
      <c r="DO289" s="306">
        <v>4.5745983957241814</v>
      </c>
      <c r="DP289" s="719">
        <v>44018.809584994357</v>
      </c>
      <c r="DQ289" s="720">
        <v>848.13054256726321</v>
      </c>
      <c r="DR289" s="650">
        <v>44866.940127561618</v>
      </c>
      <c r="DS289" s="94">
        <v>44866.940127561618</v>
      </c>
      <c r="DT289" s="719">
        <v>44006.43</v>
      </c>
      <c r="DU289" s="725">
        <v>3572.19</v>
      </c>
      <c r="DV289" s="93">
        <v>47578.62</v>
      </c>
      <c r="DW289" s="95">
        <v>45085.80325013509</v>
      </c>
      <c r="DX289" s="28">
        <v>2492.8167498649127</v>
      </c>
      <c r="EA289" s="5">
        <v>22766.339453285673</v>
      </c>
      <c r="EB289" s="5">
        <v>50110.799999999996</v>
      </c>
      <c r="EE289" s="722">
        <v>204959.80584440139</v>
      </c>
      <c r="EG289" s="42" t="s">
        <v>424</v>
      </c>
    </row>
    <row r="290" spans="1:137" x14ac:dyDescent="0.3">
      <c r="A290" s="325">
        <v>150000820</v>
      </c>
      <c r="B290" s="41" t="s">
        <v>763</v>
      </c>
      <c r="C290" s="42" t="s">
        <v>395</v>
      </c>
      <c r="D290" s="27">
        <v>9</v>
      </c>
      <c r="E290" s="709">
        <v>4188.63</v>
      </c>
      <c r="F290" s="723">
        <v>4138.63</v>
      </c>
      <c r="G290" s="28">
        <v>406.76</v>
      </c>
      <c r="H290" s="651">
        <v>50</v>
      </c>
      <c r="I290" s="39">
        <v>2407.9303413111493</v>
      </c>
      <c r="J290" s="39">
        <v>2289.3446922216058</v>
      </c>
      <c r="K290" s="52">
        <v>-118.58564908954349</v>
      </c>
      <c r="L290" s="39">
        <v>458.54087352039971</v>
      </c>
      <c r="M290" s="39">
        <v>396.81996781205152</v>
      </c>
      <c r="N290" s="52">
        <v>-61.720905708348198</v>
      </c>
      <c r="O290" s="39">
        <v>916.84</v>
      </c>
      <c r="P290" s="39">
        <v>917.06</v>
      </c>
      <c r="Q290" s="52">
        <v>0.2199999999999136</v>
      </c>
      <c r="R290" s="39">
        <v>249.28</v>
      </c>
      <c r="S290" s="39">
        <v>249.34</v>
      </c>
      <c r="T290" s="52">
        <v>6.0000000000002274E-2</v>
      </c>
      <c r="U290" s="39">
        <v>130.00964065633656</v>
      </c>
      <c r="V290" s="39">
        <v>77.047110649179317</v>
      </c>
      <c r="W290" s="52">
        <v>-52.962530007157241</v>
      </c>
      <c r="X290" s="39">
        <v>1043.277573106724</v>
      </c>
      <c r="Y290" s="39">
        <v>710.71447027208842</v>
      </c>
      <c r="Z290" s="52">
        <v>-332.56310283463563</v>
      </c>
      <c r="AA290" s="39">
        <v>0</v>
      </c>
      <c r="AB290" s="39">
        <v>0</v>
      </c>
      <c r="AC290" s="52">
        <v>0</v>
      </c>
      <c r="AD290" s="39">
        <v>2984.9793724873957</v>
      </c>
      <c r="AE290" s="39">
        <v>2504.7450024882683</v>
      </c>
      <c r="AF290" s="35">
        <v>-480.23436999912747</v>
      </c>
      <c r="AG290" s="77">
        <v>8190.8578010820056</v>
      </c>
      <c r="AH290" s="53">
        <v>7145.0712434431925</v>
      </c>
      <c r="AI290" s="52">
        <v>-1045.7865576388131</v>
      </c>
      <c r="AJ290" s="39">
        <v>6913.0950965152351</v>
      </c>
      <c r="AK290" s="39">
        <v>6820.2432671123333</v>
      </c>
      <c r="AL290" s="52">
        <v>-92.851829402901785</v>
      </c>
      <c r="AM290" s="39">
        <v>0</v>
      </c>
      <c r="AN290" s="39">
        <v>0</v>
      </c>
      <c r="AO290" s="52">
        <v>0</v>
      </c>
      <c r="AP290" s="39">
        <v>560.31877204540945</v>
      </c>
      <c r="AQ290" s="39">
        <v>0</v>
      </c>
      <c r="AR290" s="52">
        <v>-560.31877204540945</v>
      </c>
      <c r="AS290" s="39">
        <v>12199.674276605239</v>
      </c>
      <c r="AT290" s="39">
        <v>3958</v>
      </c>
      <c r="AU290" s="54">
        <v>-8241.6742766052394</v>
      </c>
      <c r="AV290" s="39">
        <v>180.28000083455336</v>
      </c>
      <c r="AW290" s="39">
        <v>0</v>
      </c>
      <c r="AX290" s="55">
        <v>-180.28000083455336</v>
      </c>
      <c r="AY290" s="39">
        <v>303.15280889421359</v>
      </c>
      <c r="AZ290" s="39">
        <v>1620</v>
      </c>
      <c r="BA290" s="35">
        <v>1316.8471911057864</v>
      </c>
      <c r="BB290" s="39">
        <v>375.12738273257935</v>
      </c>
      <c r="BC290" s="39">
        <v>0</v>
      </c>
      <c r="BD290" s="55">
        <v>-375.12738273257935</v>
      </c>
      <c r="BE290" s="39">
        <v>148.4035862329026</v>
      </c>
      <c r="BF290" s="39">
        <v>0</v>
      </c>
      <c r="BG290" s="38">
        <v>-148.4035862329026</v>
      </c>
      <c r="BH290" s="39">
        <v>65.961235315382794</v>
      </c>
      <c r="BI290" s="39">
        <v>0</v>
      </c>
      <c r="BJ290" s="55">
        <v>-65.961235315382794</v>
      </c>
      <c r="BK290" s="39">
        <v>71.693988049612315</v>
      </c>
      <c r="BL290" s="39">
        <v>0</v>
      </c>
      <c r="BM290" s="38">
        <v>-71.693988049612315</v>
      </c>
      <c r="BN290" s="39">
        <v>0</v>
      </c>
      <c r="BO290" s="39">
        <v>0</v>
      </c>
      <c r="BP290" s="55">
        <v>0</v>
      </c>
      <c r="BQ290" s="77">
        <v>1144.6190020592439</v>
      </c>
      <c r="BR290" s="40">
        <v>1620</v>
      </c>
      <c r="BS290" s="55">
        <v>475.38099794075606</v>
      </c>
      <c r="BT290" s="39">
        <v>11328.893102714379</v>
      </c>
      <c r="BU290" s="39">
        <v>1655.907653464707</v>
      </c>
      <c r="BV290" s="52">
        <v>-9672.9854492496725</v>
      </c>
      <c r="BW290" s="39">
        <v>6745.9663310825017</v>
      </c>
      <c r="BX290" s="39">
        <v>4353.4728943236769</v>
      </c>
      <c r="BY290" s="52">
        <v>-2392.4934367588248</v>
      </c>
      <c r="BZ290" s="39">
        <v>649.19522610755416</v>
      </c>
      <c r="CA290" s="39">
        <v>6570.2005233869131</v>
      </c>
      <c r="CB290" s="52">
        <v>5921.0052972793592</v>
      </c>
      <c r="CC290" s="39">
        <v>220.59940387405018</v>
      </c>
      <c r="CD290" s="39">
        <v>217.6371693943525</v>
      </c>
      <c r="CE290" s="52">
        <v>-2.9622344796976847</v>
      </c>
      <c r="CF290" s="39">
        <v>27.157123582979661</v>
      </c>
      <c r="CG290" s="39">
        <v>0</v>
      </c>
      <c r="CH290" s="52">
        <v>-27.157123582979661</v>
      </c>
      <c r="CI290" s="39">
        <v>4623.228718766457</v>
      </c>
      <c r="CJ290" s="39">
        <v>6242.33378161364</v>
      </c>
      <c r="CK290" s="52">
        <v>1619.105062847183</v>
      </c>
      <c r="CL290" s="39">
        <v>1516.1195393525629</v>
      </c>
      <c r="CM290" s="39">
        <v>1823.879211784712</v>
      </c>
      <c r="CN290" s="52">
        <v>307.75967243214905</v>
      </c>
      <c r="CO290" s="39">
        <v>6139.3482581190201</v>
      </c>
      <c r="CP290" s="40">
        <v>8066.2129933983524</v>
      </c>
      <c r="CQ290" s="52">
        <v>1926.8647352793323</v>
      </c>
      <c r="CR290" s="72">
        <v>54119.724393787619</v>
      </c>
      <c r="CS290" s="5">
        <v>40406.745744523527</v>
      </c>
      <c r="CT290" s="52">
        <v>-13712.978649264092</v>
      </c>
      <c r="CU290" s="77">
        <v>64943.669272545143</v>
      </c>
      <c r="CV290" s="65">
        <v>48488.094893428228</v>
      </c>
      <c r="CW290" s="35">
        <v>-16455.574379116915</v>
      </c>
      <c r="CX290" s="39">
        <v>974.15503908817709</v>
      </c>
      <c r="CY290" s="39">
        <v>17429.729418205083</v>
      </c>
      <c r="CZ290" s="52">
        <v>16455.574379116904</v>
      </c>
      <c r="DA290" s="150">
        <v>3474.5501390060235</v>
      </c>
      <c r="DB290" s="2">
        <v>3</v>
      </c>
      <c r="DC290" s="713">
        <v>47898.39</v>
      </c>
      <c r="DD290" s="714">
        <v>282.83999999999997</v>
      </c>
      <c r="DE290" s="715">
        <v>15222.592215074827</v>
      </c>
      <c r="DF290" s="716">
        <v>-0.27437089148395444</v>
      </c>
      <c r="DG290" s="717">
        <v>89504.622343863462</v>
      </c>
      <c r="DH290" s="718">
        <v>318857.17962148873</v>
      </c>
      <c r="DI290" s="718">
        <v>791013.89173959987</v>
      </c>
      <c r="DJ290" s="693">
        <v>672974.7137100721</v>
      </c>
      <c r="DK290" s="724"/>
      <c r="DL290" s="5"/>
      <c r="DM290" s="306">
        <v>6.6549573341133863</v>
      </c>
      <c r="DN290" s="306">
        <v>8.03051213994625</v>
      </c>
      <c r="DO290" s="306">
        <v>5.6622874178296785</v>
      </c>
      <c r="DP290" s="719">
        <v>32675.797784925173</v>
      </c>
      <c r="DQ290" s="720">
        <v>283.11437089148393</v>
      </c>
      <c r="DR290" s="650">
        <v>32958.912155816659</v>
      </c>
      <c r="DS290" s="94">
        <v>32958.912155816659</v>
      </c>
      <c r="DT290" s="719">
        <v>32557.05</v>
      </c>
      <c r="DU290" s="725">
        <v>283.12</v>
      </c>
      <c r="DV290" s="93">
        <v>32840.17</v>
      </c>
      <c r="DW290" s="95">
        <v>33056.327659725473</v>
      </c>
      <c r="DX290" s="28">
        <v>-216.15765972547524</v>
      </c>
      <c r="EA290" s="5">
        <v>16013.15193439738</v>
      </c>
      <c r="EB290" s="5">
        <v>6693.5999999999995</v>
      </c>
      <c r="EE290" s="722">
        <v>146396.09131926286</v>
      </c>
      <c r="EG290" s="42" t="s">
        <v>395</v>
      </c>
    </row>
    <row r="291" spans="1:137" x14ac:dyDescent="0.3">
      <c r="A291" s="325">
        <v>150000799</v>
      </c>
      <c r="B291" s="41" t="s">
        <v>764</v>
      </c>
      <c r="C291" s="42" t="s">
        <v>293</v>
      </c>
      <c r="D291" s="27">
        <v>5</v>
      </c>
      <c r="E291" s="709">
        <v>2066.5</v>
      </c>
      <c r="F291" s="723">
        <v>1762.3</v>
      </c>
      <c r="G291" s="28"/>
      <c r="H291" s="651">
        <v>304.2</v>
      </c>
      <c r="I291" s="39">
        <v>1113.5935605671871</v>
      </c>
      <c r="J291" s="39">
        <v>1196.2051679874903</v>
      </c>
      <c r="K291" s="52">
        <v>82.611607420303244</v>
      </c>
      <c r="L291" s="39">
        <v>210.77646158135121</v>
      </c>
      <c r="M291" s="39">
        <v>229.01975008406799</v>
      </c>
      <c r="N291" s="52">
        <v>18.24328850271678</v>
      </c>
      <c r="O291" s="39">
        <v>460.58</v>
      </c>
      <c r="P291" s="39">
        <v>460.58</v>
      </c>
      <c r="Q291" s="52">
        <v>0</v>
      </c>
      <c r="R291" s="39">
        <v>0</v>
      </c>
      <c r="S291" s="39">
        <v>0</v>
      </c>
      <c r="T291" s="52">
        <v>0</v>
      </c>
      <c r="U291" s="39">
        <v>0</v>
      </c>
      <c r="V291" s="39">
        <v>0</v>
      </c>
      <c r="W291" s="52">
        <v>0</v>
      </c>
      <c r="X291" s="39">
        <v>609.27111061101425</v>
      </c>
      <c r="Y291" s="39">
        <v>372.4857778710624</v>
      </c>
      <c r="Z291" s="52">
        <v>-236.78533273995185</v>
      </c>
      <c r="AA291" s="39">
        <v>0</v>
      </c>
      <c r="AB291" s="39">
        <v>0</v>
      </c>
      <c r="AC291" s="52">
        <v>0</v>
      </c>
      <c r="AD291" s="39">
        <v>1472.6676438943528</v>
      </c>
      <c r="AE291" s="39">
        <v>1235.7395013744367</v>
      </c>
      <c r="AF291" s="35">
        <v>-236.92814251991604</v>
      </c>
      <c r="AG291" s="77">
        <v>3866.8887766539051</v>
      </c>
      <c r="AH291" s="53">
        <v>3494.0301973170572</v>
      </c>
      <c r="AI291" s="52">
        <v>-372.85857933684792</v>
      </c>
      <c r="AJ291" s="39">
        <v>0</v>
      </c>
      <c r="AK291" s="39">
        <v>0</v>
      </c>
      <c r="AL291" s="52">
        <v>0</v>
      </c>
      <c r="AM291" s="39">
        <v>0</v>
      </c>
      <c r="AN291" s="39">
        <v>0</v>
      </c>
      <c r="AO291" s="52">
        <v>0</v>
      </c>
      <c r="AP291" s="39">
        <v>852.31587860428476</v>
      </c>
      <c r="AQ291" s="39">
        <v>2104.1741967066714</v>
      </c>
      <c r="AR291" s="52">
        <v>1251.8583181023866</v>
      </c>
      <c r="AS291" s="39">
        <v>2829.2121625546706</v>
      </c>
      <c r="AT291" s="39">
        <v>378</v>
      </c>
      <c r="AU291" s="54">
        <v>-2451.2121625546706</v>
      </c>
      <c r="AV291" s="39">
        <v>191.98904251927169</v>
      </c>
      <c r="AW291" s="39">
        <v>0</v>
      </c>
      <c r="AX291" s="55">
        <v>-191.98904251927169</v>
      </c>
      <c r="AY291" s="39">
        <v>271.65683061933453</v>
      </c>
      <c r="AZ291" s="39">
        <v>0</v>
      </c>
      <c r="BA291" s="35">
        <v>-271.65683061933453</v>
      </c>
      <c r="BB291" s="39">
        <v>267.77851529053544</v>
      </c>
      <c r="BC291" s="39">
        <v>0</v>
      </c>
      <c r="BD291" s="55">
        <v>-267.77851529053544</v>
      </c>
      <c r="BE291" s="39">
        <v>0</v>
      </c>
      <c r="BF291" s="39">
        <v>0</v>
      </c>
      <c r="BG291" s="38">
        <v>0</v>
      </c>
      <c r="BH291" s="39">
        <v>0</v>
      </c>
      <c r="BI291" s="39">
        <v>0</v>
      </c>
      <c r="BJ291" s="55">
        <v>0</v>
      </c>
      <c r="BK291" s="39">
        <v>79.191999924649934</v>
      </c>
      <c r="BL291" s="39">
        <v>0</v>
      </c>
      <c r="BM291" s="38">
        <v>-79.191999924649934</v>
      </c>
      <c r="BN291" s="39">
        <v>0</v>
      </c>
      <c r="BO291" s="39">
        <v>0</v>
      </c>
      <c r="BP291" s="55">
        <v>0</v>
      </c>
      <c r="BQ291" s="77">
        <v>810.61638835379165</v>
      </c>
      <c r="BR291" s="40">
        <v>0</v>
      </c>
      <c r="BS291" s="55">
        <v>-810.61638835379165</v>
      </c>
      <c r="BT291" s="39">
        <v>1100.4940473618412</v>
      </c>
      <c r="BU291" s="39">
        <v>389.4965900417638</v>
      </c>
      <c r="BV291" s="52">
        <v>-710.9974573200775</v>
      </c>
      <c r="BW291" s="39">
        <v>1717.1036891768752</v>
      </c>
      <c r="BX291" s="39">
        <v>1498.3152522909163</v>
      </c>
      <c r="BY291" s="52">
        <v>-218.78843688595884</v>
      </c>
      <c r="BZ291" s="39">
        <v>708.76823131924061</v>
      </c>
      <c r="CA291" s="39">
        <v>1800.9869835800664</v>
      </c>
      <c r="CB291" s="52">
        <v>1092.2187522608258</v>
      </c>
      <c r="CC291" s="39">
        <v>122.94740109247064</v>
      </c>
      <c r="CD291" s="39">
        <v>121.29644907578582</v>
      </c>
      <c r="CE291" s="52">
        <v>-1.6509520166848262</v>
      </c>
      <c r="CF291" s="39">
        <v>15.135570210247334</v>
      </c>
      <c r="CG291" s="39">
        <v>0</v>
      </c>
      <c r="CH291" s="52">
        <v>-15.135570210247334</v>
      </c>
      <c r="CI291" s="39">
        <v>483.53606707746354</v>
      </c>
      <c r="CJ291" s="39">
        <v>703.38102432747587</v>
      </c>
      <c r="CK291" s="52">
        <v>219.84495725001233</v>
      </c>
      <c r="CL291" s="39">
        <v>0</v>
      </c>
      <c r="CM291" s="39">
        <v>0</v>
      </c>
      <c r="CN291" s="52">
        <v>0</v>
      </c>
      <c r="CO291" s="39">
        <v>483.53606707746354</v>
      </c>
      <c r="CP291" s="40">
        <v>703.38102432747587</v>
      </c>
      <c r="CQ291" s="52">
        <v>219.84495725001233</v>
      </c>
      <c r="CR291" s="72">
        <v>12507.01821240479</v>
      </c>
      <c r="CS291" s="5">
        <v>10489.680693339738</v>
      </c>
      <c r="CT291" s="52">
        <v>-2017.3375190650513</v>
      </c>
      <c r="CU291" s="77">
        <v>15008.421854885746</v>
      </c>
      <c r="CV291" s="65">
        <v>12587.616832007685</v>
      </c>
      <c r="CW291" s="35">
        <v>-2420.8050228780612</v>
      </c>
      <c r="CX291" s="39">
        <v>300.16843709771496</v>
      </c>
      <c r="CY291" s="39">
        <v>2720.9734599757776</v>
      </c>
      <c r="CZ291" s="52">
        <v>2420.8050228780626</v>
      </c>
      <c r="DA291" s="150">
        <v>7328.7331514818043</v>
      </c>
      <c r="DB291" s="2">
        <v>2</v>
      </c>
      <c r="DC291" s="713">
        <v>13210.68</v>
      </c>
      <c r="DD291" s="714">
        <v>0</v>
      </c>
      <c r="DE291" s="715">
        <v>6528.4451989176086</v>
      </c>
      <c r="DF291" s="716">
        <v>-972.06034490933939</v>
      </c>
      <c r="DG291" s="717">
        <v>-11110.469403238385</v>
      </c>
      <c r="DH291" s="718">
        <v>75025.952494772762</v>
      </c>
      <c r="DI291" s="718">
        <v>183703.08350380152</v>
      </c>
      <c r="DJ291" s="693">
        <v>156533.80075154433</v>
      </c>
      <c r="DK291" s="724"/>
      <c r="DL291" s="5"/>
      <c r="DM291" s="306">
        <v>3.7917691659095452</v>
      </c>
      <c r="DN291" s="306"/>
      <c r="DO291" s="306">
        <v>3.1954646446723847</v>
      </c>
      <c r="DP291" s="719">
        <v>6682.2348010823916</v>
      </c>
      <c r="DQ291" s="720">
        <v>972.06034490933939</v>
      </c>
      <c r="DR291" s="650">
        <v>7654.2951459917313</v>
      </c>
      <c r="DS291" s="94">
        <v>7654.2951459917294</v>
      </c>
      <c r="DT291" s="719">
        <v>6682.3</v>
      </c>
      <c r="DU291" s="725">
        <v>972.07</v>
      </c>
      <c r="DV291" s="93">
        <v>7654.37</v>
      </c>
      <c r="DW291" s="95">
        <v>7684.3119897015022</v>
      </c>
      <c r="DX291" s="28">
        <v>-29.94198970150228</v>
      </c>
      <c r="EA291" s="5">
        <v>4367.7942610901546</v>
      </c>
      <c r="EB291" s="5">
        <v>453.59999999999997</v>
      </c>
      <c r="EE291" s="722">
        <v>33950.545950656044</v>
      </c>
      <c r="EG291" s="42" t="s">
        <v>293</v>
      </c>
    </row>
    <row r="292" spans="1:137" x14ac:dyDescent="0.3">
      <c r="A292" s="325">
        <v>150000830</v>
      </c>
      <c r="B292" s="41" t="s">
        <v>765</v>
      </c>
      <c r="C292" s="42" t="s">
        <v>294</v>
      </c>
      <c r="D292" s="27">
        <v>5</v>
      </c>
      <c r="E292" s="709">
        <v>5961.3</v>
      </c>
      <c r="F292" s="723">
        <v>4483.3</v>
      </c>
      <c r="G292" s="28"/>
      <c r="H292" s="651">
        <v>1478</v>
      </c>
      <c r="I292" s="39">
        <v>2766.3811920269686</v>
      </c>
      <c r="J292" s="39">
        <v>2628.6585118976586</v>
      </c>
      <c r="K292" s="52">
        <v>-137.72268012930999</v>
      </c>
      <c r="L292" s="39">
        <v>566.29631222116154</v>
      </c>
      <c r="M292" s="39">
        <v>490.07137990812942</v>
      </c>
      <c r="N292" s="52">
        <v>-76.224932313032127</v>
      </c>
      <c r="O292" s="39">
        <v>1168.56</v>
      </c>
      <c r="P292" s="39">
        <v>1168.42</v>
      </c>
      <c r="Q292" s="52">
        <v>-0.13999999999987267</v>
      </c>
      <c r="R292" s="39">
        <v>0</v>
      </c>
      <c r="S292" s="39">
        <v>0</v>
      </c>
      <c r="T292" s="52">
        <v>0</v>
      </c>
      <c r="U292" s="39">
        <v>215.74518364026076</v>
      </c>
      <c r="V292" s="39">
        <v>127.85671452438703</v>
      </c>
      <c r="W292" s="52">
        <v>-87.888469115873733</v>
      </c>
      <c r="X292" s="39">
        <v>2245.766570348344</v>
      </c>
      <c r="Y292" s="39">
        <v>1596.5219690876522</v>
      </c>
      <c r="Z292" s="52">
        <v>-649.24460126069175</v>
      </c>
      <c r="AA292" s="39">
        <v>0</v>
      </c>
      <c r="AB292" s="39">
        <v>0</v>
      </c>
      <c r="AC292" s="52">
        <v>0</v>
      </c>
      <c r="AD292" s="39">
        <v>4248.2524198148585</v>
      </c>
      <c r="AE292" s="39">
        <v>3564.7780738172901</v>
      </c>
      <c r="AF292" s="35">
        <v>-683.47434599756843</v>
      </c>
      <c r="AG292" s="77">
        <v>11211.001678051594</v>
      </c>
      <c r="AH292" s="53">
        <v>9576.3066492351172</v>
      </c>
      <c r="AI292" s="52">
        <v>-1634.6950288164771</v>
      </c>
      <c r="AJ292" s="39">
        <v>0</v>
      </c>
      <c r="AK292" s="39">
        <v>0</v>
      </c>
      <c r="AL292" s="52">
        <v>0</v>
      </c>
      <c r="AM292" s="39">
        <v>0</v>
      </c>
      <c r="AN292" s="39">
        <v>0</v>
      </c>
      <c r="AO292" s="52">
        <v>0</v>
      </c>
      <c r="AP292" s="39">
        <v>2225.4914608000768</v>
      </c>
      <c r="AQ292" s="39">
        <v>0</v>
      </c>
      <c r="AR292" s="52">
        <v>-2225.4914608000768</v>
      </c>
      <c r="AS292" s="39">
        <v>11865.297829181649</v>
      </c>
      <c r="AT292" s="39">
        <v>42313</v>
      </c>
      <c r="AU292" s="54">
        <v>30447.702170818353</v>
      </c>
      <c r="AV292" s="39">
        <v>456.80205837427036</v>
      </c>
      <c r="AW292" s="39">
        <v>0</v>
      </c>
      <c r="AX292" s="55">
        <v>-456.80205837427036</v>
      </c>
      <c r="AY292" s="39">
        <v>729.89882423528786</v>
      </c>
      <c r="AZ292" s="39">
        <v>0</v>
      </c>
      <c r="BA292" s="35">
        <v>-729.89882423528786</v>
      </c>
      <c r="BB292" s="39">
        <v>431.56064698254022</v>
      </c>
      <c r="BC292" s="39">
        <v>4875</v>
      </c>
      <c r="BD292" s="55">
        <v>4443.4393530174602</v>
      </c>
      <c r="BE292" s="39">
        <v>0</v>
      </c>
      <c r="BF292" s="39">
        <v>0</v>
      </c>
      <c r="BG292" s="38">
        <v>0</v>
      </c>
      <c r="BH292" s="39">
        <v>218.86472282667671</v>
      </c>
      <c r="BI292" s="39">
        <v>0</v>
      </c>
      <c r="BJ292" s="55">
        <v>-218.86472282667671</v>
      </c>
      <c r="BK292" s="39">
        <v>332.1874362013159</v>
      </c>
      <c r="BL292" s="39">
        <v>0</v>
      </c>
      <c r="BM292" s="38">
        <v>-332.1874362013159</v>
      </c>
      <c r="BN292" s="39">
        <v>0</v>
      </c>
      <c r="BO292" s="39">
        <v>0</v>
      </c>
      <c r="BP292" s="55">
        <v>0</v>
      </c>
      <c r="BQ292" s="77">
        <v>2169.3136886200909</v>
      </c>
      <c r="BR292" s="40">
        <v>4875</v>
      </c>
      <c r="BS292" s="55">
        <v>2705.6863113799091</v>
      </c>
      <c r="BT292" s="39">
        <v>7168.1078983121715</v>
      </c>
      <c r="BU292" s="39">
        <v>2046.8839100069672</v>
      </c>
      <c r="BV292" s="52">
        <v>-5121.2239883052043</v>
      </c>
      <c r="BW292" s="39">
        <v>4387.1142673102959</v>
      </c>
      <c r="BX292" s="39">
        <v>4097.7553507546281</v>
      </c>
      <c r="BY292" s="52">
        <v>-289.35891655566775</v>
      </c>
      <c r="BZ292" s="39">
        <v>1661.9082932129347</v>
      </c>
      <c r="CA292" s="39">
        <v>7953.8474369474816</v>
      </c>
      <c r="CB292" s="52">
        <v>6291.9391437345466</v>
      </c>
      <c r="CC292" s="39">
        <v>178.9306275867296</v>
      </c>
      <c r="CD292" s="39">
        <v>176.52792628653037</v>
      </c>
      <c r="CE292" s="52">
        <v>-2.4027013001992259</v>
      </c>
      <c r="CF292" s="39">
        <v>22.027444683972391</v>
      </c>
      <c r="CG292" s="39">
        <v>0</v>
      </c>
      <c r="CH292" s="52">
        <v>-22.027444683972391</v>
      </c>
      <c r="CI292" s="39">
        <v>184.0556642423893</v>
      </c>
      <c r="CJ292" s="39">
        <v>425.00875632238672</v>
      </c>
      <c r="CK292" s="52">
        <v>240.95309207999742</v>
      </c>
      <c r="CL292" s="39">
        <v>0</v>
      </c>
      <c r="CM292" s="39">
        <v>0</v>
      </c>
      <c r="CN292" s="52">
        <v>0</v>
      </c>
      <c r="CO292" s="39">
        <v>184.0556642423893</v>
      </c>
      <c r="CP292" s="40">
        <v>425.00875632238672</v>
      </c>
      <c r="CQ292" s="52">
        <v>240.95309207999742</v>
      </c>
      <c r="CR292" s="72">
        <v>41073.248852001903</v>
      </c>
      <c r="CS292" s="5">
        <v>71464.330029553123</v>
      </c>
      <c r="CT292" s="52">
        <v>30391.081177551219</v>
      </c>
      <c r="CU292" s="77">
        <v>49287.898622402281</v>
      </c>
      <c r="CV292" s="65">
        <v>85757.196035463741</v>
      </c>
      <c r="CW292" s="35">
        <v>36469.29741306146</v>
      </c>
      <c r="CX292" s="39">
        <v>1971.5159448960912</v>
      </c>
      <c r="CY292" s="39">
        <v>-34497.781468165354</v>
      </c>
      <c r="CZ292" s="52">
        <v>-36469.297413061446</v>
      </c>
      <c r="DA292" s="150">
        <v>-92167.994245803071</v>
      </c>
      <c r="DB292" s="2">
        <v>3</v>
      </c>
      <c r="DC292" s="713">
        <v>40108.089999999997</v>
      </c>
      <c r="DD292" s="714">
        <v>147282.12</v>
      </c>
      <c r="DE292" s="715">
        <v>20154.090148570744</v>
      </c>
      <c r="DF292" s="716">
        <v>141606.41256778006</v>
      </c>
      <c r="DG292" s="717">
        <v>-12855.651827720547</v>
      </c>
      <c r="DH292" s="718">
        <v>247806.86563551912</v>
      </c>
      <c r="DI292" s="718">
        <v>615112.97480758047</v>
      </c>
      <c r="DJ292" s="693">
        <v>523286.4475145652</v>
      </c>
      <c r="DK292" s="724"/>
      <c r="DL292" s="5"/>
      <c r="DM292" s="306">
        <v>4.4507393775632353</v>
      </c>
      <c r="DN292" s="306"/>
      <c r="DO292" s="306">
        <v>3.8401268147631495</v>
      </c>
      <c r="DP292" s="719">
        <v>19953.999851429253</v>
      </c>
      <c r="DQ292" s="720">
        <v>5675.7074322199351</v>
      </c>
      <c r="DR292" s="650">
        <v>25629.707283649186</v>
      </c>
      <c r="DS292" s="94">
        <v>25629.707283649186</v>
      </c>
      <c r="DT292" s="719">
        <v>19954.79</v>
      </c>
      <c r="DU292" s="725">
        <v>5675.68</v>
      </c>
      <c r="DV292" s="93">
        <v>25630.47</v>
      </c>
      <c r="DW292" s="95">
        <v>25826.858878138792</v>
      </c>
      <c r="DX292" s="28">
        <v>-196.38887813879046</v>
      </c>
      <c r="EA292" s="5">
        <v>16841.533821362085</v>
      </c>
      <c r="EB292" s="5">
        <v>56625.599999999999</v>
      </c>
      <c r="EE292" s="722">
        <v>142383.57395017979</v>
      </c>
      <c r="EG292" s="42" t="s">
        <v>294</v>
      </c>
    </row>
    <row r="293" spans="1:137" x14ac:dyDescent="0.3">
      <c r="A293" s="325">
        <v>150000800</v>
      </c>
      <c r="B293" s="41" t="s">
        <v>766</v>
      </c>
      <c r="C293" s="42" t="s">
        <v>227</v>
      </c>
      <c r="D293" s="27">
        <v>4</v>
      </c>
      <c r="E293" s="709">
        <v>1452.8</v>
      </c>
      <c r="F293" s="723">
        <v>1452.8</v>
      </c>
      <c r="G293" s="28"/>
      <c r="H293" s="651">
        <v>0</v>
      </c>
      <c r="I293" s="39">
        <v>778.91177143626908</v>
      </c>
      <c r="J293" s="39">
        <v>837.07078345719378</v>
      </c>
      <c r="K293" s="52">
        <v>58.159012020924706</v>
      </c>
      <c r="L293" s="39">
        <v>119.14799437597647</v>
      </c>
      <c r="M293" s="39">
        <v>129.45992424031544</v>
      </c>
      <c r="N293" s="52">
        <v>10.311929864338978</v>
      </c>
      <c r="O293" s="39">
        <v>345.54</v>
      </c>
      <c r="P293" s="39">
        <v>345.54</v>
      </c>
      <c r="Q293" s="52">
        <v>0</v>
      </c>
      <c r="R293" s="39">
        <v>0</v>
      </c>
      <c r="S293" s="39">
        <v>0</v>
      </c>
      <c r="T293" s="52">
        <v>0</v>
      </c>
      <c r="U293" s="39">
        <v>0</v>
      </c>
      <c r="V293" s="39">
        <v>0</v>
      </c>
      <c r="W293" s="52">
        <v>0</v>
      </c>
      <c r="X293" s="39">
        <v>494.95930459311847</v>
      </c>
      <c r="Y293" s="39">
        <v>294.59259872191899</v>
      </c>
      <c r="Z293" s="52">
        <v>-200.36670587119949</v>
      </c>
      <c r="AA293" s="39">
        <v>0</v>
      </c>
      <c r="AB293" s="39">
        <v>0</v>
      </c>
      <c r="AC293" s="52">
        <v>0</v>
      </c>
      <c r="AD293" s="39">
        <v>1035.3213419064678</v>
      </c>
      <c r="AE293" s="39">
        <v>868.75506779423256</v>
      </c>
      <c r="AF293" s="35">
        <v>-166.56627411223519</v>
      </c>
      <c r="AG293" s="77">
        <v>2773.8804123118316</v>
      </c>
      <c r="AH293" s="53">
        <v>2475.4183742136611</v>
      </c>
      <c r="AI293" s="52">
        <v>-298.46203809817052</v>
      </c>
      <c r="AJ293" s="39">
        <v>0</v>
      </c>
      <c r="AK293" s="39">
        <v>0</v>
      </c>
      <c r="AL293" s="52">
        <v>0</v>
      </c>
      <c r="AM293" s="39">
        <v>0</v>
      </c>
      <c r="AN293" s="39">
        <v>0</v>
      </c>
      <c r="AO293" s="52">
        <v>0</v>
      </c>
      <c r="AP293" s="39">
        <v>757.61411431491979</v>
      </c>
      <c r="AQ293" s="39">
        <v>0</v>
      </c>
      <c r="AR293" s="52">
        <v>-757.61411431491979</v>
      </c>
      <c r="AS293" s="39">
        <v>2733.687474040727</v>
      </c>
      <c r="AT293" s="39">
        <v>380</v>
      </c>
      <c r="AU293" s="54">
        <v>-2353.687474040727</v>
      </c>
      <c r="AV293" s="39">
        <v>124.57062080146615</v>
      </c>
      <c r="AW293" s="39">
        <v>1060</v>
      </c>
      <c r="AX293" s="55">
        <v>935.42937919853387</v>
      </c>
      <c r="AY293" s="39">
        <v>153.61481567386699</v>
      </c>
      <c r="AZ293" s="39">
        <v>0</v>
      </c>
      <c r="BA293" s="35">
        <v>-153.61481567386699</v>
      </c>
      <c r="BB293" s="39">
        <v>172.42294749368233</v>
      </c>
      <c r="BC293" s="39">
        <v>0</v>
      </c>
      <c r="BD293" s="55">
        <v>-172.42294749368233</v>
      </c>
      <c r="BE293" s="39">
        <v>0</v>
      </c>
      <c r="BF293" s="39">
        <v>0</v>
      </c>
      <c r="BG293" s="38">
        <v>0</v>
      </c>
      <c r="BH293" s="39">
        <v>0</v>
      </c>
      <c r="BI293" s="39">
        <v>0</v>
      </c>
      <c r="BJ293" s="55">
        <v>0</v>
      </c>
      <c r="BK293" s="39">
        <v>60.056140153587386</v>
      </c>
      <c r="BL293" s="39">
        <v>0</v>
      </c>
      <c r="BM293" s="38">
        <v>-60.056140153587386</v>
      </c>
      <c r="BN293" s="39">
        <v>0</v>
      </c>
      <c r="BO293" s="39">
        <v>0</v>
      </c>
      <c r="BP293" s="55">
        <v>0</v>
      </c>
      <c r="BQ293" s="77">
        <v>510.66452412260281</v>
      </c>
      <c r="BR293" s="40">
        <v>1060</v>
      </c>
      <c r="BS293" s="55">
        <v>549.33547587739713</v>
      </c>
      <c r="BT293" s="39">
        <v>1576.9685222086114</v>
      </c>
      <c r="BU293" s="39">
        <v>479.43437746827158</v>
      </c>
      <c r="BV293" s="52">
        <v>-1097.5341447403398</v>
      </c>
      <c r="BW293" s="39">
        <v>1593.8418223367955</v>
      </c>
      <c r="BX293" s="39">
        <v>1377.0233232500827</v>
      </c>
      <c r="BY293" s="52">
        <v>-216.81849908671279</v>
      </c>
      <c r="BZ293" s="39">
        <v>798.09798557892361</v>
      </c>
      <c r="CA293" s="39">
        <v>1952.9777658250332</v>
      </c>
      <c r="CB293" s="52">
        <v>1154.8797802461095</v>
      </c>
      <c r="CC293" s="39">
        <v>241.43379201771046</v>
      </c>
      <c r="CD293" s="39">
        <v>238.19179094826359</v>
      </c>
      <c r="CE293" s="52">
        <v>-3.2420010694468715</v>
      </c>
      <c r="CF293" s="39">
        <v>29.721963032483295</v>
      </c>
      <c r="CG293" s="39">
        <v>0</v>
      </c>
      <c r="CH293" s="52">
        <v>-29.721963032483295</v>
      </c>
      <c r="CI293" s="39">
        <v>520.9711174318478</v>
      </c>
      <c r="CJ293" s="39">
        <v>712.56733714337759</v>
      </c>
      <c r="CK293" s="52">
        <v>191.59621971152978</v>
      </c>
      <c r="CL293" s="39">
        <v>0</v>
      </c>
      <c r="CM293" s="39">
        <v>0</v>
      </c>
      <c r="CN293" s="52">
        <v>0</v>
      </c>
      <c r="CO293" s="39">
        <v>520.9711174318478</v>
      </c>
      <c r="CP293" s="40">
        <v>712.56733714337759</v>
      </c>
      <c r="CQ293" s="52">
        <v>191.59621971152978</v>
      </c>
      <c r="CR293" s="72">
        <v>11536.881727396452</v>
      </c>
      <c r="CS293" s="5">
        <v>8675.612968848689</v>
      </c>
      <c r="CT293" s="52">
        <v>-2861.2687585477634</v>
      </c>
      <c r="CU293" s="77">
        <v>13844.258072875742</v>
      </c>
      <c r="CV293" s="65">
        <v>10410.735562618427</v>
      </c>
      <c r="CW293" s="35">
        <v>-3433.5225102573149</v>
      </c>
      <c r="CX293" s="39">
        <v>207.66387109313612</v>
      </c>
      <c r="CY293" s="39">
        <v>3641.1863813504506</v>
      </c>
      <c r="CZ293" s="52">
        <v>3433.5225102573145</v>
      </c>
      <c r="DA293" s="150">
        <v>94.180396593812475</v>
      </c>
      <c r="DB293" s="2">
        <v>2</v>
      </c>
      <c r="DC293" s="713">
        <v>8938.17</v>
      </c>
      <c r="DD293" s="714"/>
      <c r="DE293" s="715">
        <v>1912.2090280155608</v>
      </c>
      <c r="DF293" s="716">
        <v>0</v>
      </c>
      <c r="DG293" s="717">
        <v>22834.504421620135</v>
      </c>
      <c r="DH293" s="718">
        <v>67492.955035312407</v>
      </c>
      <c r="DI293" s="718">
        <v>168623.06332762656</v>
      </c>
      <c r="DJ293" s="693">
        <v>143340.53625454803</v>
      </c>
      <c r="DK293" s="724"/>
      <c r="DL293" s="5"/>
      <c r="DM293" s="306">
        <v>4.8361515500994212</v>
      </c>
      <c r="DN293" s="306"/>
      <c r="DO293" s="306">
        <v>4.1680281540345065</v>
      </c>
      <c r="DP293" s="719">
        <v>7025.9609719844393</v>
      </c>
      <c r="DQ293" s="720">
        <v>0</v>
      </c>
      <c r="DR293" s="650">
        <v>7025.9609719844393</v>
      </c>
      <c r="DS293" s="94">
        <v>7025.9609719844393</v>
      </c>
      <c r="DT293" s="719">
        <v>7026.03</v>
      </c>
      <c r="DU293" s="721"/>
      <c r="DV293" s="93">
        <v>7026.03</v>
      </c>
      <c r="DW293" s="95">
        <v>7046.727359093753</v>
      </c>
      <c r="DX293" s="28">
        <v>-20.697359093753221</v>
      </c>
      <c r="EA293" s="5">
        <v>3893.2223977959957</v>
      </c>
      <c r="EB293" s="5">
        <v>1728</v>
      </c>
      <c r="EE293" s="722">
        <v>32804.249688488722</v>
      </c>
      <c r="EG293" s="42" t="s">
        <v>227</v>
      </c>
    </row>
    <row r="294" spans="1:137" x14ac:dyDescent="0.3">
      <c r="A294" s="325">
        <v>150000801</v>
      </c>
      <c r="B294" s="41" t="s">
        <v>767</v>
      </c>
      <c r="C294" s="42" t="s">
        <v>295</v>
      </c>
      <c r="D294" s="27">
        <v>5</v>
      </c>
      <c r="E294" s="709">
        <v>4212.1099999999997</v>
      </c>
      <c r="F294" s="723">
        <v>3766.2</v>
      </c>
      <c r="G294" s="28"/>
      <c r="H294" s="651">
        <v>445.91</v>
      </c>
      <c r="I294" s="39">
        <v>2435.3227992771217</v>
      </c>
      <c r="J294" s="39">
        <v>2623.0163870557626</v>
      </c>
      <c r="K294" s="52">
        <v>187.6935877786409</v>
      </c>
      <c r="L294" s="39">
        <v>475.16003304258925</v>
      </c>
      <c r="M294" s="39">
        <v>516.2857491951321</v>
      </c>
      <c r="N294" s="52">
        <v>41.12571615254285</v>
      </c>
      <c r="O294" s="39">
        <v>921.6</v>
      </c>
      <c r="P294" s="39">
        <v>921.6</v>
      </c>
      <c r="Q294" s="52">
        <v>0</v>
      </c>
      <c r="R294" s="39">
        <v>0</v>
      </c>
      <c r="S294" s="39">
        <v>0</v>
      </c>
      <c r="T294" s="52">
        <v>0</v>
      </c>
      <c r="U294" s="39">
        <v>0</v>
      </c>
      <c r="V294" s="39">
        <v>0</v>
      </c>
      <c r="W294" s="52">
        <v>0</v>
      </c>
      <c r="X294" s="39">
        <v>1732.8550417264596</v>
      </c>
      <c r="Y294" s="39">
        <v>1248.1251774572202</v>
      </c>
      <c r="Z294" s="52">
        <v>-484.72986426923944</v>
      </c>
      <c r="AA294" s="39">
        <v>0</v>
      </c>
      <c r="AB294" s="39">
        <v>0</v>
      </c>
      <c r="AC294" s="52">
        <v>0</v>
      </c>
      <c r="AD294" s="39">
        <v>3001.7121265540004</v>
      </c>
      <c r="AE294" s="39">
        <v>2518.7857300432024</v>
      </c>
      <c r="AF294" s="35">
        <v>-482.92639651079799</v>
      </c>
      <c r="AG294" s="77">
        <v>8566.6500006001716</v>
      </c>
      <c r="AH294" s="53">
        <v>7827.8130437513173</v>
      </c>
      <c r="AI294" s="52">
        <v>-738.83695684885424</v>
      </c>
      <c r="AJ294" s="39">
        <v>0</v>
      </c>
      <c r="AK294" s="39">
        <v>0</v>
      </c>
      <c r="AL294" s="52">
        <v>0</v>
      </c>
      <c r="AM294" s="39">
        <v>0</v>
      </c>
      <c r="AN294" s="39">
        <v>0</v>
      </c>
      <c r="AO294" s="52">
        <v>0</v>
      </c>
      <c r="AP294" s="39">
        <v>2130.789696510712</v>
      </c>
      <c r="AQ294" s="39">
        <v>0</v>
      </c>
      <c r="AR294" s="52">
        <v>-2130.789696510712</v>
      </c>
      <c r="AS294" s="39">
        <v>8823.0796166398486</v>
      </c>
      <c r="AT294" s="39">
        <v>71732.690859223367</v>
      </c>
      <c r="AU294" s="54">
        <v>62909.611242583516</v>
      </c>
      <c r="AV294" s="39">
        <v>390.20101697689392</v>
      </c>
      <c r="AW294" s="39">
        <v>1760</v>
      </c>
      <c r="AX294" s="55">
        <v>1369.7989830231061</v>
      </c>
      <c r="AY294" s="39">
        <v>612.42978423362774</v>
      </c>
      <c r="AZ294" s="39">
        <v>0</v>
      </c>
      <c r="BA294" s="35">
        <v>-612.42978423362774</v>
      </c>
      <c r="BB294" s="39">
        <v>498.54465057686645</v>
      </c>
      <c r="BC294" s="39">
        <v>0</v>
      </c>
      <c r="BD294" s="55">
        <v>-498.54465057686645</v>
      </c>
      <c r="BE294" s="39">
        <v>0</v>
      </c>
      <c r="BF294" s="39">
        <v>0</v>
      </c>
      <c r="BG294" s="38">
        <v>0</v>
      </c>
      <c r="BH294" s="39">
        <v>0</v>
      </c>
      <c r="BI294" s="39">
        <v>0</v>
      </c>
      <c r="BJ294" s="55">
        <v>0</v>
      </c>
      <c r="BK294" s="39">
        <v>242.89648827755306</v>
      </c>
      <c r="BL294" s="39">
        <v>711</v>
      </c>
      <c r="BM294" s="38">
        <v>468.10351172244691</v>
      </c>
      <c r="BN294" s="39">
        <v>0</v>
      </c>
      <c r="BO294" s="39">
        <v>0</v>
      </c>
      <c r="BP294" s="55">
        <v>0</v>
      </c>
      <c r="BQ294" s="77">
        <v>1744.0719400649411</v>
      </c>
      <c r="BR294" s="40">
        <v>2471</v>
      </c>
      <c r="BS294" s="55">
        <v>726.92805993505885</v>
      </c>
      <c r="BT294" s="39">
        <v>5446.3230803184488</v>
      </c>
      <c r="BU294" s="39">
        <v>1581.3118559623881</v>
      </c>
      <c r="BV294" s="52">
        <v>-3865.0112243560607</v>
      </c>
      <c r="BW294" s="39">
        <v>3565.4750207439934</v>
      </c>
      <c r="BX294" s="39">
        <v>3104.6486716755189</v>
      </c>
      <c r="BY294" s="52">
        <v>-460.82634906847443</v>
      </c>
      <c r="BZ294" s="39">
        <v>2263.10734108937</v>
      </c>
      <c r="CA294" s="39">
        <v>6674.563357841158</v>
      </c>
      <c r="CB294" s="52">
        <v>4411.4560167517884</v>
      </c>
      <c r="CC294" s="39">
        <v>128.78102977269552</v>
      </c>
      <c r="CD294" s="39">
        <v>127.05174311088089</v>
      </c>
      <c r="CE294" s="52">
        <v>-1.7292866618146263</v>
      </c>
      <c r="CF294" s="39">
        <v>15.853725256108348</v>
      </c>
      <c r="CG294" s="39">
        <v>0</v>
      </c>
      <c r="CH294" s="52">
        <v>-15.853725256108348</v>
      </c>
      <c r="CI294" s="39">
        <v>692.54843155610899</v>
      </c>
      <c r="CJ294" s="39">
        <v>1072.7164005287054</v>
      </c>
      <c r="CK294" s="52">
        <v>380.16796897259644</v>
      </c>
      <c r="CL294" s="39">
        <v>0</v>
      </c>
      <c r="CM294" s="39">
        <v>0</v>
      </c>
      <c r="CN294" s="52">
        <v>0</v>
      </c>
      <c r="CO294" s="39">
        <v>692.54843155610899</v>
      </c>
      <c r="CP294" s="40">
        <v>1072.7164005287054</v>
      </c>
      <c r="CQ294" s="52">
        <v>380.16796897259644</v>
      </c>
      <c r="CR294" s="72">
        <v>33376.679882552395</v>
      </c>
      <c r="CS294" s="5">
        <v>94591.795932093315</v>
      </c>
      <c r="CT294" s="52">
        <v>61215.11604954092</v>
      </c>
      <c r="CU294" s="77">
        <v>40052.015859062871</v>
      </c>
      <c r="CV294" s="65">
        <v>113510.15511851198</v>
      </c>
      <c r="CW294" s="35">
        <v>73458.139259449104</v>
      </c>
      <c r="CX294" s="39">
        <v>0</v>
      </c>
      <c r="CY294" s="39">
        <v>-73458.139259449104</v>
      </c>
      <c r="CZ294" s="52">
        <v>-73458.139259449104</v>
      </c>
      <c r="DA294" s="150">
        <v>-1831.4271519348586</v>
      </c>
      <c r="DB294" s="2">
        <v>2</v>
      </c>
      <c r="DC294" s="713">
        <v>48420.13</v>
      </c>
      <c r="DD294" s="714">
        <v>11290.210000000001</v>
      </c>
      <c r="DE294" s="715">
        <v>30287.678652788916</v>
      </c>
      <c r="DF294" s="716">
        <v>9396.6534176796449</v>
      </c>
      <c r="DG294" s="717">
        <v>5080.5746685007907</v>
      </c>
      <c r="DH294" s="718">
        <v>192945.08862173522</v>
      </c>
      <c r="DI294" s="718">
        <v>480624.19030875445</v>
      </c>
      <c r="DJ294" s="693">
        <v>408704.41488699964</v>
      </c>
      <c r="DK294" s="724"/>
      <c r="DL294" s="5"/>
      <c r="DM294" s="306">
        <v>4.8145216258326915</v>
      </c>
      <c r="DN294" s="306"/>
      <c r="DO294" s="306">
        <v>4.2464994781914625</v>
      </c>
      <c r="DP294" s="719">
        <v>18132.451347211081</v>
      </c>
      <c r="DQ294" s="720">
        <v>1893.5565823203551</v>
      </c>
      <c r="DR294" s="650">
        <v>20026.007929531435</v>
      </c>
      <c r="DS294" s="94">
        <v>20026.007929531435</v>
      </c>
      <c r="DT294" s="719">
        <v>18134.3</v>
      </c>
      <c r="DU294" s="725">
        <v>1892.29</v>
      </c>
      <c r="DV294" s="93">
        <v>20026.59</v>
      </c>
      <c r="DW294" s="95">
        <v>20026.007929531435</v>
      </c>
      <c r="DX294" s="28">
        <v>0.58207046856477973</v>
      </c>
      <c r="EA294" s="5">
        <v>12680.581868045747</v>
      </c>
      <c r="EB294" s="5">
        <v>89044.429031068037</v>
      </c>
      <c r="EE294" s="722">
        <v>105876.95539967818</v>
      </c>
      <c r="EG294" s="42" t="s">
        <v>295</v>
      </c>
    </row>
    <row r="295" spans="1:137" x14ac:dyDescent="0.3">
      <c r="A295" s="325">
        <v>150000802</v>
      </c>
      <c r="B295" s="41" t="s">
        <v>768</v>
      </c>
      <c r="C295" s="42" t="s">
        <v>296</v>
      </c>
      <c r="D295" s="27">
        <v>5</v>
      </c>
      <c r="E295" s="709">
        <v>3203.6</v>
      </c>
      <c r="F295" s="723">
        <v>3203.6</v>
      </c>
      <c r="G295" s="28"/>
      <c r="H295" s="651">
        <v>0</v>
      </c>
      <c r="I295" s="39">
        <v>2009.5059052545041</v>
      </c>
      <c r="J295" s="39">
        <v>2163.085838471141</v>
      </c>
      <c r="K295" s="52">
        <v>153.57993321663685</v>
      </c>
      <c r="L295" s="39">
        <v>380.52254474762248</v>
      </c>
      <c r="M295" s="39">
        <v>413.4572746019345</v>
      </c>
      <c r="N295" s="52">
        <v>32.934729854312025</v>
      </c>
      <c r="O295" s="39">
        <v>693.02</v>
      </c>
      <c r="P295" s="39">
        <v>693.02</v>
      </c>
      <c r="Q295" s="52">
        <v>0</v>
      </c>
      <c r="R295" s="39">
        <v>0</v>
      </c>
      <c r="S295" s="39">
        <v>0</v>
      </c>
      <c r="T295" s="52">
        <v>0</v>
      </c>
      <c r="U295" s="39">
        <v>0</v>
      </c>
      <c r="V295" s="39">
        <v>0</v>
      </c>
      <c r="W295" s="52">
        <v>0</v>
      </c>
      <c r="X295" s="39">
        <v>1241.9147834079502</v>
      </c>
      <c r="Y295" s="39">
        <v>927.44981756041375</v>
      </c>
      <c r="Z295" s="52">
        <v>-314.4649658475364</v>
      </c>
      <c r="AA295" s="39">
        <v>0</v>
      </c>
      <c r="AB295" s="39">
        <v>0</v>
      </c>
      <c r="AC295" s="52">
        <v>0</v>
      </c>
      <c r="AD295" s="39">
        <v>2283.0089832954022</v>
      </c>
      <c r="AE295" s="39">
        <v>1915.7101701442757</v>
      </c>
      <c r="AF295" s="35">
        <v>-367.29881315112652</v>
      </c>
      <c r="AG295" s="77">
        <v>6607.9722167054788</v>
      </c>
      <c r="AH295" s="53">
        <v>6112.7231007777646</v>
      </c>
      <c r="AI295" s="52">
        <v>-495.24911592771423</v>
      </c>
      <c r="AJ295" s="39">
        <v>0</v>
      </c>
      <c r="AK295" s="39">
        <v>0</v>
      </c>
      <c r="AL295" s="52">
        <v>0</v>
      </c>
      <c r="AM295" s="39">
        <v>0</v>
      </c>
      <c r="AN295" s="39">
        <v>0</v>
      </c>
      <c r="AO295" s="52">
        <v>0</v>
      </c>
      <c r="AP295" s="39">
        <v>1894.0352857872995</v>
      </c>
      <c r="AQ295" s="39">
        <v>0</v>
      </c>
      <c r="AR295" s="52">
        <v>-1894.0352857872995</v>
      </c>
      <c r="AS295" s="39">
        <v>6667.8872003906527</v>
      </c>
      <c r="AT295" s="39">
        <v>2795</v>
      </c>
      <c r="AU295" s="54">
        <v>-3872.8872003906527</v>
      </c>
      <c r="AV295" s="39">
        <v>317.84533244161025</v>
      </c>
      <c r="AW295" s="39">
        <v>3584</v>
      </c>
      <c r="AX295" s="55">
        <v>3266.1546675583895</v>
      </c>
      <c r="AY295" s="39">
        <v>490.42556714245251</v>
      </c>
      <c r="AZ295" s="39">
        <v>0</v>
      </c>
      <c r="BA295" s="35">
        <v>-490.42556714245251</v>
      </c>
      <c r="BB295" s="39">
        <v>435.35818498390751</v>
      </c>
      <c r="BC295" s="39">
        <v>0</v>
      </c>
      <c r="BD295" s="55">
        <v>-435.35818498390751</v>
      </c>
      <c r="BE295" s="39">
        <v>0</v>
      </c>
      <c r="BF295" s="39">
        <v>0</v>
      </c>
      <c r="BG295" s="38">
        <v>0</v>
      </c>
      <c r="BH295" s="39">
        <v>0</v>
      </c>
      <c r="BI295" s="39">
        <v>0</v>
      </c>
      <c r="BJ295" s="55">
        <v>0</v>
      </c>
      <c r="BK295" s="39">
        <v>174.41860241614506</v>
      </c>
      <c r="BL295" s="39">
        <v>711</v>
      </c>
      <c r="BM295" s="38">
        <v>536.58139758385494</v>
      </c>
      <c r="BN295" s="39">
        <v>0</v>
      </c>
      <c r="BO295" s="39">
        <v>0</v>
      </c>
      <c r="BP295" s="55">
        <v>0</v>
      </c>
      <c r="BQ295" s="77">
        <v>1418.0476869841154</v>
      </c>
      <c r="BR295" s="40">
        <v>4295</v>
      </c>
      <c r="BS295" s="55">
        <v>2876.9523130158846</v>
      </c>
      <c r="BT295" s="39">
        <v>5498.9202187760247</v>
      </c>
      <c r="BU295" s="39">
        <v>1468.1296676797442</v>
      </c>
      <c r="BV295" s="52">
        <v>-4030.7905510962805</v>
      </c>
      <c r="BW295" s="39">
        <v>2916.7450961684772</v>
      </c>
      <c r="BX295" s="39">
        <v>2552.0616053833564</v>
      </c>
      <c r="BY295" s="52">
        <v>-364.68349078512074</v>
      </c>
      <c r="BZ295" s="39">
        <v>1705.338474807229</v>
      </c>
      <c r="CA295" s="39">
        <v>5990.2373111128736</v>
      </c>
      <c r="CB295" s="52">
        <v>4284.8988363056451</v>
      </c>
      <c r="CC295" s="39">
        <v>346.58617453100771</v>
      </c>
      <c r="CD295" s="39">
        <v>341.93217502623827</v>
      </c>
      <c r="CE295" s="52">
        <v>-4.6539995047694447</v>
      </c>
      <c r="CF295" s="39">
        <v>42.666858607036936</v>
      </c>
      <c r="CG295" s="39">
        <v>0</v>
      </c>
      <c r="CH295" s="52">
        <v>-42.666858607036936</v>
      </c>
      <c r="CI295" s="39">
        <v>467.93812942980344</v>
      </c>
      <c r="CJ295" s="39">
        <v>880.45533675665502</v>
      </c>
      <c r="CK295" s="52">
        <v>412.51720732685158</v>
      </c>
      <c r="CL295" s="39">
        <v>0</v>
      </c>
      <c r="CM295" s="39">
        <v>0</v>
      </c>
      <c r="CN295" s="52">
        <v>0</v>
      </c>
      <c r="CO295" s="39">
        <v>467.93812942980344</v>
      </c>
      <c r="CP295" s="40">
        <v>880.45533675665502</v>
      </c>
      <c r="CQ295" s="52">
        <v>412.51720732685158</v>
      </c>
      <c r="CR295" s="72">
        <v>27566.137342187125</v>
      </c>
      <c r="CS295" s="5">
        <v>24435.539196736634</v>
      </c>
      <c r="CT295" s="52">
        <v>-3130.5981454504908</v>
      </c>
      <c r="CU295" s="77">
        <v>33079.364810624545</v>
      </c>
      <c r="CV295" s="65">
        <v>29322.647036083959</v>
      </c>
      <c r="CW295" s="35">
        <v>-3756.7177745405861</v>
      </c>
      <c r="CX295" s="39">
        <v>0</v>
      </c>
      <c r="CY295" s="39">
        <v>3756.7177745405897</v>
      </c>
      <c r="CZ295" s="52">
        <v>3756.7177745405897</v>
      </c>
      <c r="DA295" s="150">
        <v>-3553.3131060077467</v>
      </c>
      <c r="DB295" s="2">
        <v>2</v>
      </c>
      <c r="DC295" s="713">
        <v>31020.39</v>
      </c>
      <c r="DD295" s="714"/>
      <c r="DE295" s="715">
        <v>14480.70759468773</v>
      </c>
      <c r="DF295" s="716">
        <v>0</v>
      </c>
      <c r="DG295" s="717">
        <v>52844.694053223597</v>
      </c>
      <c r="DH295" s="718">
        <v>158218.24888434331</v>
      </c>
      <c r="DI295" s="718">
        <v>396952.37772749458</v>
      </c>
      <c r="DJ295" s="693">
        <v>337268.84551670676</v>
      </c>
      <c r="DK295" s="724"/>
      <c r="DL295" s="5"/>
      <c r="DM295" s="306">
        <v>5.1628425537870744</v>
      </c>
      <c r="DN295" s="306"/>
      <c r="DO295" s="306">
        <v>4.6165674077947267</v>
      </c>
      <c r="DP295" s="719">
        <v>16539.682405312269</v>
      </c>
      <c r="DQ295" s="720">
        <v>0</v>
      </c>
      <c r="DR295" s="650">
        <v>16539.682405312269</v>
      </c>
      <c r="DS295" s="94">
        <v>16539.682405312276</v>
      </c>
      <c r="DT295" s="719">
        <v>16539.03</v>
      </c>
      <c r="DU295" s="721"/>
      <c r="DV295" s="93">
        <v>16539.03</v>
      </c>
      <c r="DW295" s="95">
        <v>16539.682405312273</v>
      </c>
      <c r="DX295" s="28">
        <v>-0.6524053122739133</v>
      </c>
      <c r="EA295" s="5">
        <v>9703.1218648497215</v>
      </c>
      <c r="EB295" s="5">
        <v>8508</v>
      </c>
      <c r="EE295" s="722">
        <v>80014.646404687839</v>
      </c>
      <c r="EG295" s="42" t="s">
        <v>296</v>
      </c>
    </row>
    <row r="296" spans="1:137" x14ac:dyDescent="0.3">
      <c r="A296" s="325">
        <v>150000803</v>
      </c>
      <c r="B296" s="41" t="s">
        <v>769</v>
      </c>
      <c r="C296" s="42" t="s">
        <v>228</v>
      </c>
      <c r="D296" s="27">
        <v>4</v>
      </c>
      <c r="E296" s="709">
        <v>1607.2</v>
      </c>
      <c r="F296" s="723">
        <v>1311.9</v>
      </c>
      <c r="G296" s="28"/>
      <c r="H296" s="651">
        <v>295.3</v>
      </c>
      <c r="I296" s="39">
        <v>832.7926803702386</v>
      </c>
      <c r="J296" s="39">
        <v>896.97131340103692</v>
      </c>
      <c r="K296" s="52">
        <v>64.178633030798323</v>
      </c>
      <c r="L296" s="39">
        <v>148.29313894513984</v>
      </c>
      <c r="M296" s="39">
        <v>161.12830802592242</v>
      </c>
      <c r="N296" s="52">
        <v>12.835169080782578</v>
      </c>
      <c r="O296" s="39">
        <v>385.62</v>
      </c>
      <c r="P296" s="39">
        <v>385.62</v>
      </c>
      <c r="Q296" s="52">
        <v>0</v>
      </c>
      <c r="R296" s="39">
        <v>0</v>
      </c>
      <c r="S296" s="39">
        <v>0</v>
      </c>
      <c r="T296" s="52">
        <v>0</v>
      </c>
      <c r="U296" s="39">
        <v>0</v>
      </c>
      <c r="V296" s="39">
        <v>0</v>
      </c>
      <c r="W296" s="52">
        <v>0</v>
      </c>
      <c r="X296" s="39">
        <v>470.0163864930384</v>
      </c>
      <c r="Y296" s="39">
        <v>588.90238451803066</v>
      </c>
      <c r="Z296" s="52">
        <v>118.88599802499226</v>
      </c>
      <c r="AA296" s="39">
        <v>0</v>
      </c>
      <c r="AB296" s="39">
        <v>0</v>
      </c>
      <c r="AC296" s="52">
        <v>0</v>
      </c>
      <c r="AD296" s="39">
        <v>1145.3527400275848</v>
      </c>
      <c r="AE296" s="39">
        <v>961.08421321509547</v>
      </c>
      <c r="AF296" s="35">
        <v>-184.26852681248931</v>
      </c>
      <c r="AG296" s="77">
        <v>2982.0749458360015</v>
      </c>
      <c r="AH296" s="53">
        <v>2993.7062191600853</v>
      </c>
      <c r="AI296" s="52">
        <v>11.63127332408385</v>
      </c>
      <c r="AJ296" s="39">
        <v>0</v>
      </c>
      <c r="AK296" s="39">
        <v>0</v>
      </c>
      <c r="AL296" s="52">
        <v>0</v>
      </c>
      <c r="AM296" s="39">
        <v>0</v>
      </c>
      <c r="AN296" s="39">
        <v>0</v>
      </c>
      <c r="AO296" s="52">
        <v>0</v>
      </c>
      <c r="AP296" s="39">
        <v>639.23690895321363</v>
      </c>
      <c r="AQ296" s="39">
        <v>0</v>
      </c>
      <c r="AR296" s="52">
        <v>-639.23690895321363</v>
      </c>
      <c r="AS296" s="39">
        <v>2316.5467020425285</v>
      </c>
      <c r="AT296" s="39">
        <v>276</v>
      </c>
      <c r="AU296" s="54">
        <v>-2040.5467020425285</v>
      </c>
      <c r="AV296" s="39">
        <v>137.88486578757917</v>
      </c>
      <c r="AW296" s="39">
        <v>0</v>
      </c>
      <c r="AX296" s="55">
        <v>-137.88486578757917</v>
      </c>
      <c r="AY296" s="39">
        <v>191.12025839548414</v>
      </c>
      <c r="AZ296" s="39">
        <v>0</v>
      </c>
      <c r="BA296" s="35">
        <v>-191.12025839548414</v>
      </c>
      <c r="BB296" s="39">
        <v>164.78563296374301</v>
      </c>
      <c r="BC296" s="39">
        <v>0</v>
      </c>
      <c r="BD296" s="55">
        <v>-164.78563296374301</v>
      </c>
      <c r="BE296" s="39">
        <v>0</v>
      </c>
      <c r="BF296" s="39">
        <v>0</v>
      </c>
      <c r="BG296" s="38">
        <v>0</v>
      </c>
      <c r="BH296" s="39">
        <v>0</v>
      </c>
      <c r="BI296" s="39">
        <v>0</v>
      </c>
      <c r="BJ296" s="55">
        <v>0</v>
      </c>
      <c r="BK296" s="39">
        <v>56.288526279835082</v>
      </c>
      <c r="BL296" s="39">
        <v>1421</v>
      </c>
      <c r="BM296" s="38">
        <v>1364.711473720165</v>
      </c>
      <c r="BN296" s="39">
        <v>0</v>
      </c>
      <c r="BO296" s="39">
        <v>0</v>
      </c>
      <c r="BP296" s="55">
        <v>0</v>
      </c>
      <c r="BQ296" s="77">
        <v>550.0792834266415</v>
      </c>
      <c r="BR296" s="40">
        <v>1421</v>
      </c>
      <c r="BS296" s="55">
        <v>870.9207165733585</v>
      </c>
      <c r="BT296" s="39">
        <v>909.73922671289483</v>
      </c>
      <c r="BU296" s="39">
        <v>318.75639642225417</v>
      </c>
      <c r="BV296" s="52">
        <v>-590.98283029064066</v>
      </c>
      <c r="BW296" s="39">
        <v>1866.8021391367986</v>
      </c>
      <c r="BX296" s="39">
        <v>1618.3414756553525</v>
      </c>
      <c r="BY296" s="52">
        <v>-248.46066348144609</v>
      </c>
      <c r="BZ296" s="39">
        <v>580.75627757828238</v>
      </c>
      <c r="CA296" s="39">
        <v>1301.6300640061631</v>
      </c>
      <c r="CB296" s="52">
        <v>720.87378642788076</v>
      </c>
      <c r="CC296" s="39">
        <v>244.96338247969527</v>
      </c>
      <c r="CD296" s="39">
        <v>241.67398565857326</v>
      </c>
      <c r="CE296" s="52">
        <v>-3.2893968211220113</v>
      </c>
      <c r="CF296" s="39">
        <v>30.15647700981097</v>
      </c>
      <c r="CG296" s="39">
        <v>0</v>
      </c>
      <c r="CH296" s="52">
        <v>-30.15647700981097</v>
      </c>
      <c r="CI296" s="39">
        <v>140.38143882894101</v>
      </c>
      <c r="CJ296" s="39">
        <v>321.79918017250299</v>
      </c>
      <c r="CK296" s="52">
        <v>181.41774134356197</v>
      </c>
      <c r="CL296" s="39">
        <v>0</v>
      </c>
      <c r="CM296" s="39">
        <v>0</v>
      </c>
      <c r="CN296" s="52">
        <v>0</v>
      </c>
      <c r="CO296" s="39">
        <v>140.38143882894101</v>
      </c>
      <c r="CP296" s="40">
        <v>321.79918017250299</v>
      </c>
      <c r="CQ296" s="52">
        <v>181.41774134356197</v>
      </c>
      <c r="CR296" s="72">
        <v>10260.736782004806</v>
      </c>
      <c r="CS296" s="5">
        <v>8492.9073210749339</v>
      </c>
      <c r="CT296" s="52">
        <v>-1767.8294609298719</v>
      </c>
      <c r="CU296" s="77">
        <v>12312.884138405767</v>
      </c>
      <c r="CV296" s="65">
        <v>10191.488785289921</v>
      </c>
      <c r="CW296" s="35">
        <v>-2121.3953531158459</v>
      </c>
      <c r="CX296" s="39">
        <v>307.82210346014421</v>
      </c>
      <c r="CY296" s="39">
        <v>2429.2174565759933</v>
      </c>
      <c r="CZ296" s="52">
        <v>2121.395353115849</v>
      </c>
      <c r="DA296" s="150">
        <v>55914.141989329721</v>
      </c>
      <c r="DB296" s="2">
        <v>2</v>
      </c>
      <c r="DC296" s="713">
        <v>25701.98</v>
      </c>
      <c r="DD296" s="714">
        <v>-499.6099999999999</v>
      </c>
      <c r="DE296" s="715">
        <v>20340.120080612549</v>
      </c>
      <c r="DF296" s="716">
        <v>-1448.1032015455062</v>
      </c>
      <c r="DG296" s="717">
        <v>-23001.325936764824</v>
      </c>
      <c r="DH296" s="718">
        <v>62904.646357172758</v>
      </c>
      <c r="DI296" s="718">
        <v>151448.47490239094</v>
      </c>
      <c r="DJ296" s="693">
        <v>129312.5177660864</v>
      </c>
      <c r="DK296" s="724"/>
      <c r="DL296" s="5"/>
      <c r="DM296" s="306">
        <v>4.0870949915294226</v>
      </c>
      <c r="DN296" s="306"/>
      <c r="DO296" s="306">
        <v>3.2119647868117376</v>
      </c>
      <c r="DP296" s="719">
        <v>5361.8599193874497</v>
      </c>
      <c r="DQ296" s="720">
        <v>948.49320154550617</v>
      </c>
      <c r="DR296" s="650">
        <v>6310.3531209329558</v>
      </c>
      <c r="DS296" s="94">
        <v>6310.3531209329558</v>
      </c>
      <c r="DT296" s="719">
        <v>5254.59</v>
      </c>
      <c r="DU296" s="725">
        <v>806.53</v>
      </c>
      <c r="DV296" s="93">
        <v>6061.12</v>
      </c>
      <c r="DW296" s="95">
        <v>6341.1353312789697</v>
      </c>
      <c r="DX296" s="28">
        <v>-280.01533127896982</v>
      </c>
      <c r="EA296" s="5">
        <v>3439.9511825630038</v>
      </c>
      <c r="EB296" s="5">
        <v>2036.3999999999999</v>
      </c>
      <c r="EE296" s="722">
        <v>27798.560424510342</v>
      </c>
      <c r="EG296" s="42" t="s">
        <v>228</v>
      </c>
    </row>
    <row r="297" spans="1:137" x14ac:dyDescent="0.3">
      <c r="A297" s="325">
        <v>150000805</v>
      </c>
      <c r="B297" s="41" t="s">
        <v>770</v>
      </c>
      <c r="C297" s="42" t="s">
        <v>297</v>
      </c>
      <c r="D297" s="27">
        <v>5</v>
      </c>
      <c r="E297" s="709">
        <v>3709.9399999999996</v>
      </c>
      <c r="F297" s="723">
        <v>2920.74</v>
      </c>
      <c r="G297" s="28"/>
      <c r="H297" s="651">
        <v>789.2</v>
      </c>
      <c r="I297" s="39">
        <v>1928.3163278998504</v>
      </c>
      <c r="J297" s="39">
        <v>1829.5570091597788</v>
      </c>
      <c r="K297" s="52">
        <v>-98.759318740071649</v>
      </c>
      <c r="L297" s="39">
        <v>382.93870188124436</v>
      </c>
      <c r="M297" s="39">
        <v>331.39460637347599</v>
      </c>
      <c r="N297" s="52">
        <v>-51.544095507768361</v>
      </c>
      <c r="O297" s="39">
        <v>863.78</v>
      </c>
      <c r="P297" s="39">
        <v>863.88</v>
      </c>
      <c r="Q297" s="52">
        <v>0.10000000000002274</v>
      </c>
      <c r="R297" s="39">
        <v>0</v>
      </c>
      <c r="S297" s="39">
        <v>0</v>
      </c>
      <c r="T297" s="52">
        <v>0</v>
      </c>
      <c r="U297" s="39">
        <v>0</v>
      </c>
      <c r="V297" s="39">
        <v>0</v>
      </c>
      <c r="W297" s="52">
        <v>0</v>
      </c>
      <c r="X297" s="39">
        <v>1330.9268406679189</v>
      </c>
      <c r="Y297" s="39">
        <v>908.85965790079649</v>
      </c>
      <c r="Z297" s="52">
        <v>-422.0671827671224</v>
      </c>
      <c r="AA297" s="39">
        <v>0</v>
      </c>
      <c r="AB297" s="39">
        <v>0</v>
      </c>
      <c r="AC297" s="52">
        <v>0</v>
      </c>
      <c r="AD297" s="39">
        <v>2643.8464063824895</v>
      </c>
      <c r="AE297" s="39">
        <v>2218.4947523489363</v>
      </c>
      <c r="AF297" s="35">
        <v>-425.35165403355313</v>
      </c>
      <c r="AG297" s="77">
        <v>7149.8082768315026</v>
      </c>
      <c r="AH297" s="53">
        <v>6152.1860257829876</v>
      </c>
      <c r="AI297" s="52">
        <v>-997.62225104851495</v>
      </c>
      <c r="AJ297" s="39">
        <v>0</v>
      </c>
      <c r="AK297" s="39">
        <v>0</v>
      </c>
      <c r="AL297" s="52">
        <v>0</v>
      </c>
      <c r="AM297" s="39">
        <v>0</v>
      </c>
      <c r="AN297" s="39">
        <v>0</v>
      </c>
      <c r="AO297" s="52">
        <v>0</v>
      </c>
      <c r="AP297" s="39">
        <v>1562.5791107745222</v>
      </c>
      <c r="AQ297" s="39">
        <v>4488.9049529742324</v>
      </c>
      <c r="AR297" s="52">
        <v>2926.3258421997102</v>
      </c>
      <c r="AS297" s="39">
        <v>6590.1876472866888</v>
      </c>
      <c r="AT297" s="39">
        <v>1951.4106307910135</v>
      </c>
      <c r="AU297" s="54">
        <v>-4638.7770164956755</v>
      </c>
      <c r="AV297" s="39">
        <v>315.60276808607239</v>
      </c>
      <c r="AW297" s="39">
        <v>0</v>
      </c>
      <c r="AX297" s="55">
        <v>-315.60276808607239</v>
      </c>
      <c r="AY297" s="39">
        <v>493.55253641226898</v>
      </c>
      <c r="AZ297" s="39">
        <v>0</v>
      </c>
      <c r="BA297" s="35">
        <v>-493.55253641226898</v>
      </c>
      <c r="BB297" s="39">
        <v>328.5099679824072</v>
      </c>
      <c r="BC297" s="39">
        <v>0</v>
      </c>
      <c r="BD297" s="55">
        <v>-328.5099679824072</v>
      </c>
      <c r="BE297" s="39">
        <v>0</v>
      </c>
      <c r="BF297" s="39">
        <v>0</v>
      </c>
      <c r="BG297" s="38">
        <v>0</v>
      </c>
      <c r="BH297" s="39">
        <v>0</v>
      </c>
      <c r="BI297" s="39">
        <v>0</v>
      </c>
      <c r="BJ297" s="55">
        <v>0</v>
      </c>
      <c r="BK297" s="39">
        <v>230.25583944896033</v>
      </c>
      <c r="BL297" s="39">
        <v>0</v>
      </c>
      <c r="BM297" s="38">
        <v>-230.25583944896033</v>
      </c>
      <c r="BN297" s="39">
        <v>0</v>
      </c>
      <c r="BO297" s="39">
        <v>0</v>
      </c>
      <c r="BP297" s="55">
        <v>0</v>
      </c>
      <c r="BQ297" s="77">
        <v>1367.921111929709</v>
      </c>
      <c r="BR297" s="40">
        <v>0</v>
      </c>
      <c r="BS297" s="55">
        <v>-1367.921111929709</v>
      </c>
      <c r="BT297" s="39">
        <v>4319.1874490223454</v>
      </c>
      <c r="BU297" s="39">
        <v>1348.2942842409939</v>
      </c>
      <c r="BV297" s="52">
        <v>-2970.8931647813515</v>
      </c>
      <c r="BW297" s="39">
        <v>2861.2059009833047</v>
      </c>
      <c r="BX297" s="39">
        <v>2632.9365000103917</v>
      </c>
      <c r="BY297" s="52">
        <v>-228.26940097291299</v>
      </c>
      <c r="BZ297" s="39">
        <v>886.00491948582101</v>
      </c>
      <c r="CA297" s="39">
        <v>5355.9224743699187</v>
      </c>
      <c r="CB297" s="52">
        <v>4469.9175548840976</v>
      </c>
      <c r="CC297" s="39">
        <v>208.02523785322933</v>
      </c>
      <c r="CD297" s="39">
        <v>205.23185073887444</v>
      </c>
      <c r="CE297" s="52">
        <v>-2.7933871143548856</v>
      </c>
      <c r="CF297" s="39">
        <v>25.609167538749819</v>
      </c>
      <c r="CG297" s="39">
        <v>0</v>
      </c>
      <c r="CH297" s="52">
        <v>-25.609167538749819</v>
      </c>
      <c r="CI297" s="39">
        <v>524.09070496137974</v>
      </c>
      <c r="CJ297" s="39">
        <v>381.81281654883645</v>
      </c>
      <c r="CK297" s="52">
        <v>-142.27788841254329</v>
      </c>
      <c r="CL297" s="39">
        <v>0</v>
      </c>
      <c r="CM297" s="39">
        <v>0</v>
      </c>
      <c r="CN297" s="52">
        <v>0</v>
      </c>
      <c r="CO297" s="39">
        <v>524.09070496137974</v>
      </c>
      <c r="CP297" s="40">
        <v>381.81281654883645</v>
      </c>
      <c r="CQ297" s="52">
        <v>-142.27788841254329</v>
      </c>
      <c r="CR297" s="72">
        <v>25494.619526667251</v>
      </c>
      <c r="CS297" s="5">
        <v>22516.69953545725</v>
      </c>
      <c r="CT297" s="52">
        <v>-2977.9199912100012</v>
      </c>
      <c r="CU297" s="77">
        <v>30593.543432000701</v>
      </c>
      <c r="CV297" s="65">
        <v>27020.039442548699</v>
      </c>
      <c r="CW297" s="35">
        <v>-3573.5039894520014</v>
      </c>
      <c r="CX297" s="39">
        <v>1529.6771716000351</v>
      </c>
      <c r="CY297" s="39">
        <v>5103.1811610520417</v>
      </c>
      <c r="CZ297" s="52">
        <v>3573.5039894520069</v>
      </c>
      <c r="DA297" s="150">
        <v>-66172.566616321827</v>
      </c>
      <c r="DB297" s="2">
        <v>3</v>
      </c>
      <c r="DC297" s="713">
        <v>15708.75</v>
      </c>
      <c r="DD297" s="714">
        <v>2461.2399999999998</v>
      </c>
      <c r="DE297" s="715">
        <v>2680.4078160224399</v>
      </c>
      <c r="DF297" s="716">
        <v>-572.0281178228106</v>
      </c>
      <c r="DG297" s="717">
        <v>-26118.897809876944</v>
      </c>
      <c r="DH297" s="718">
        <v>152048.70340088994</v>
      </c>
      <c r="DI297" s="718">
        <v>385478.64724320883</v>
      </c>
      <c r="DJ297" s="693">
        <v>327121.16128262907</v>
      </c>
      <c r="DK297" s="724"/>
      <c r="DL297" s="5"/>
      <c r="DM297" s="306">
        <v>4.4606305881309396</v>
      </c>
      <c r="DN297" s="306"/>
      <c r="DO297" s="306">
        <v>3.8434720195423342</v>
      </c>
      <c r="DP297" s="719">
        <v>13028.34218397756</v>
      </c>
      <c r="DQ297" s="727">
        <v>3033.2681178228104</v>
      </c>
      <c r="DR297" s="650">
        <v>16061.610301800371</v>
      </c>
      <c r="DS297" s="94">
        <v>16061.610301800367</v>
      </c>
      <c r="DT297" s="719">
        <v>13028.25</v>
      </c>
      <c r="DU297" s="728">
        <v>3970.5499999999997</v>
      </c>
      <c r="DV297" s="93">
        <v>16998.8</v>
      </c>
      <c r="DW297" s="95">
        <v>16214.578018960372</v>
      </c>
      <c r="DX297" s="28">
        <v>784.22198103962728</v>
      </c>
      <c r="DY297" s="94"/>
      <c r="EA297" s="5">
        <v>9549.7305110596772</v>
      </c>
      <c r="EB297" s="5">
        <v>2341.6927569492163</v>
      </c>
      <c r="EE297" s="722">
        <v>79082.251767440262</v>
      </c>
      <c r="EG297" s="42" t="s">
        <v>297</v>
      </c>
    </row>
    <row r="298" spans="1:137" x14ac:dyDescent="0.3">
      <c r="A298" s="325">
        <v>150000806</v>
      </c>
      <c r="B298" s="41" t="s">
        <v>771</v>
      </c>
      <c r="C298" s="42" t="s">
        <v>229</v>
      </c>
      <c r="D298" s="27">
        <v>4</v>
      </c>
      <c r="E298" s="709">
        <v>2716</v>
      </c>
      <c r="F298" s="723">
        <v>2014</v>
      </c>
      <c r="G298" s="28"/>
      <c r="H298" s="651">
        <v>702</v>
      </c>
      <c r="I298" s="39">
        <v>1383.7525259095701</v>
      </c>
      <c r="J298" s="39">
        <v>1484.0804664404322</v>
      </c>
      <c r="K298" s="52">
        <v>100.32794053086218</v>
      </c>
      <c r="L298" s="39">
        <v>285.09639560254317</v>
      </c>
      <c r="M298" s="39">
        <v>309.7714495170793</v>
      </c>
      <c r="N298" s="52">
        <v>24.675053914536136</v>
      </c>
      <c r="O298" s="39">
        <v>543.29999999999995</v>
      </c>
      <c r="P298" s="39">
        <v>543.29999999999995</v>
      </c>
      <c r="Q298" s="52">
        <v>0</v>
      </c>
      <c r="R298" s="39">
        <v>0</v>
      </c>
      <c r="S298" s="39">
        <v>0</v>
      </c>
      <c r="T298" s="52">
        <v>0</v>
      </c>
      <c r="U298" s="39">
        <v>0</v>
      </c>
      <c r="V298" s="39">
        <v>0</v>
      </c>
      <c r="W298" s="52">
        <v>0</v>
      </c>
      <c r="X298" s="39">
        <v>1239.5354138387061</v>
      </c>
      <c r="Y298" s="39">
        <v>1080.0660233611272</v>
      </c>
      <c r="Z298" s="52">
        <v>-159.46939047757883</v>
      </c>
      <c r="AA298" s="39">
        <v>0</v>
      </c>
      <c r="AB298" s="39">
        <v>0</v>
      </c>
      <c r="AC298" s="52">
        <v>0</v>
      </c>
      <c r="AD298" s="39">
        <v>1935.5264073636886</v>
      </c>
      <c r="AE298" s="39">
        <v>1624.1318585690638</v>
      </c>
      <c r="AF298" s="35">
        <v>-311.39454879462482</v>
      </c>
      <c r="AG298" s="77">
        <v>5387.2107427145074</v>
      </c>
      <c r="AH298" s="53">
        <v>5041.3497978877022</v>
      </c>
      <c r="AI298" s="52">
        <v>-345.86094482680528</v>
      </c>
      <c r="AJ298" s="39">
        <v>0</v>
      </c>
      <c r="AK298" s="39">
        <v>0</v>
      </c>
      <c r="AL298" s="52">
        <v>0</v>
      </c>
      <c r="AM298" s="39">
        <v>0</v>
      </c>
      <c r="AN298" s="39">
        <v>0</v>
      </c>
      <c r="AO298" s="52">
        <v>0</v>
      </c>
      <c r="AP298" s="39">
        <v>781.28955538726109</v>
      </c>
      <c r="AQ298" s="39">
        <v>0</v>
      </c>
      <c r="AR298" s="52">
        <v>-781.28955538726109</v>
      </c>
      <c r="AS298" s="39">
        <v>5037.6354411843131</v>
      </c>
      <c r="AT298" s="39">
        <v>10919</v>
      </c>
      <c r="AU298" s="54">
        <v>5881.3645588156869</v>
      </c>
      <c r="AV298" s="39">
        <v>248.84834163653545</v>
      </c>
      <c r="AW298" s="39">
        <v>0</v>
      </c>
      <c r="AX298" s="55">
        <v>-248.84834163653545</v>
      </c>
      <c r="AY298" s="39">
        <v>367.47921774916153</v>
      </c>
      <c r="AZ298" s="39">
        <v>0</v>
      </c>
      <c r="BA298" s="35">
        <v>-367.47921774916153</v>
      </c>
      <c r="BB298" s="39">
        <v>237.8926264600704</v>
      </c>
      <c r="BC298" s="39">
        <v>0</v>
      </c>
      <c r="BD298" s="55">
        <v>-237.8926264600704</v>
      </c>
      <c r="BE298" s="39">
        <v>0</v>
      </c>
      <c r="BF298" s="39">
        <v>0</v>
      </c>
      <c r="BG298" s="38">
        <v>0</v>
      </c>
      <c r="BH298" s="39">
        <v>0</v>
      </c>
      <c r="BI298" s="39">
        <v>0</v>
      </c>
      <c r="BJ298" s="55">
        <v>0</v>
      </c>
      <c r="BK298" s="39">
        <v>169.9247496489308</v>
      </c>
      <c r="BL298" s="39">
        <v>1421</v>
      </c>
      <c r="BM298" s="38">
        <v>1251.0752503510691</v>
      </c>
      <c r="BN298" s="39">
        <v>0</v>
      </c>
      <c r="BO298" s="39">
        <v>0</v>
      </c>
      <c r="BP298" s="55">
        <v>0</v>
      </c>
      <c r="BQ298" s="77">
        <v>1024.1449354946983</v>
      </c>
      <c r="BR298" s="40">
        <v>1421</v>
      </c>
      <c r="BS298" s="55">
        <v>396.8550645053017</v>
      </c>
      <c r="BT298" s="39">
        <v>3289.6468412217719</v>
      </c>
      <c r="BU298" s="39">
        <v>1053.0432174619202</v>
      </c>
      <c r="BV298" s="52">
        <v>-2236.6036237598519</v>
      </c>
      <c r="BW298" s="39">
        <v>2473.1689425710824</v>
      </c>
      <c r="BX298" s="39">
        <v>2126.1759974392626</v>
      </c>
      <c r="BY298" s="52">
        <v>-346.99294513181985</v>
      </c>
      <c r="BZ298" s="39">
        <v>1780.4120040457667</v>
      </c>
      <c r="CA298" s="39">
        <v>4312.1427016151138</v>
      </c>
      <c r="CB298" s="52">
        <v>2531.7306975693473</v>
      </c>
      <c r="CC298" s="39">
        <v>293.98547222948423</v>
      </c>
      <c r="CD298" s="39">
        <v>290.03780107954043</v>
      </c>
      <c r="CE298" s="52">
        <v>-3.9476711499438011</v>
      </c>
      <c r="CF298" s="39">
        <v>36.191393361584232</v>
      </c>
      <c r="CG298" s="39">
        <v>0</v>
      </c>
      <c r="CH298" s="52">
        <v>-36.191393361584232</v>
      </c>
      <c r="CI298" s="39">
        <v>733.10306944002537</v>
      </c>
      <c r="CJ298" s="39">
        <v>1590.3835317332837</v>
      </c>
      <c r="CK298" s="52">
        <v>857.28046229325832</v>
      </c>
      <c r="CL298" s="39">
        <v>0</v>
      </c>
      <c r="CM298" s="39">
        <v>0</v>
      </c>
      <c r="CN298" s="52">
        <v>0</v>
      </c>
      <c r="CO298" s="39">
        <v>733.10306944002537</v>
      </c>
      <c r="CP298" s="40">
        <v>1590.3835317332837</v>
      </c>
      <c r="CQ298" s="52">
        <v>857.28046229325832</v>
      </c>
      <c r="CR298" s="72">
        <v>20836.788397650493</v>
      </c>
      <c r="CS298" s="5">
        <v>26753.133047216823</v>
      </c>
      <c r="CT298" s="52">
        <v>5916.3446495663302</v>
      </c>
      <c r="CU298" s="77">
        <v>25004.146077180591</v>
      </c>
      <c r="CV298" s="65">
        <v>32103.759656660186</v>
      </c>
      <c r="CW298" s="35">
        <v>7099.6135794795955</v>
      </c>
      <c r="CX298" s="39">
        <v>575.09535977515361</v>
      </c>
      <c r="CY298" s="39">
        <v>-6524.5182197044433</v>
      </c>
      <c r="CZ298" s="52">
        <v>-7099.6135794795973</v>
      </c>
      <c r="DA298" s="150">
        <v>-25446.734963125353</v>
      </c>
      <c r="DB298" s="2">
        <v>2</v>
      </c>
      <c r="DC298" s="713">
        <v>34191.550000000003</v>
      </c>
      <c r="DD298" s="714">
        <v>3437.1000000000004</v>
      </c>
      <c r="DE298" s="715">
        <v>24315.278292682833</v>
      </c>
      <c r="DF298" s="716">
        <v>523.75098883929468</v>
      </c>
      <c r="DG298" s="717">
        <v>-25177.338500332342</v>
      </c>
      <c r="DH298" s="718">
        <v>121341.30598868722</v>
      </c>
      <c r="DI298" s="718">
        <v>306950.89724346891</v>
      </c>
      <c r="DJ298" s="693">
        <v>260548.49942977348</v>
      </c>
      <c r="DK298" s="724"/>
      <c r="DL298" s="5"/>
      <c r="DM298" s="306">
        <v>4.903809189333252</v>
      </c>
      <c r="DN298" s="306"/>
      <c r="DO298" s="306">
        <v>4.1500698164682417</v>
      </c>
      <c r="DP298" s="719">
        <v>9876.2717073171698</v>
      </c>
      <c r="DQ298" s="720">
        <v>2913.3490111607057</v>
      </c>
      <c r="DR298" s="650">
        <v>12789.620718477876</v>
      </c>
      <c r="DS298" s="94">
        <v>12789.620718477869</v>
      </c>
      <c r="DT298" s="719">
        <v>9876.2099999999991</v>
      </c>
      <c r="DU298" s="725">
        <v>3059.48</v>
      </c>
      <c r="DV298" s="93">
        <v>12935.689999999999</v>
      </c>
      <c r="DW298" s="95">
        <v>12847.130254455389</v>
      </c>
      <c r="DX298" s="28">
        <v>88.559745544609541</v>
      </c>
      <c r="EA298" s="5">
        <v>7274.1364520148136</v>
      </c>
      <c r="EB298" s="5">
        <v>14808</v>
      </c>
      <c r="EE298" s="722">
        <v>60451.625294211757</v>
      </c>
      <c r="EG298" s="42" t="s">
        <v>229</v>
      </c>
    </row>
    <row r="299" spans="1:137" x14ac:dyDescent="0.3">
      <c r="A299" s="325">
        <v>150000807</v>
      </c>
      <c r="B299" s="41" t="s">
        <v>772</v>
      </c>
      <c r="C299" s="42" t="s">
        <v>188</v>
      </c>
      <c r="D299" s="27">
        <v>2</v>
      </c>
      <c r="E299" s="709">
        <v>300.7</v>
      </c>
      <c r="F299" s="723">
        <v>194.4</v>
      </c>
      <c r="G299" s="28"/>
      <c r="H299" s="651">
        <v>106.3</v>
      </c>
      <c r="I299" s="39">
        <v>322.88297423746343</v>
      </c>
      <c r="J299" s="39">
        <v>302.90983143385165</v>
      </c>
      <c r="K299" s="52">
        <v>-19.973142803611779</v>
      </c>
      <c r="L299" s="39">
        <v>55.726875880848588</v>
      </c>
      <c r="M299" s="39">
        <v>48.226130740763423</v>
      </c>
      <c r="N299" s="52">
        <v>-7.500745140085165</v>
      </c>
      <c r="O299" s="39">
        <v>0</v>
      </c>
      <c r="P299" s="39">
        <v>0</v>
      </c>
      <c r="Q299" s="52">
        <v>0</v>
      </c>
      <c r="R299" s="39">
        <v>0</v>
      </c>
      <c r="S299" s="39">
        <v>0</v>
      </c>
      <c r="T299" s="52">
        <v>0</v>
      </c>
      <c r="U299" s="39">
        <v>0</v>
      </c>
      <c r="V299" s="39">
        <v>0</v>
      </c>
      <c r="W299" s="52">
        <v>0</v>
      </c>
      <c r="X299" s="39">
        <v>63.034244557186227</v>
      </c>
      <c r="Y299" s="39">
        <v>43.170452579886486</v>
      </c>
      <c r="Z299" s="52">
        <v>-19.863791977299741</v>
      </c>
      <c r="AA299" s="39">
        <v>0</v>
      </c>
      <c r="AB299" s="39">
        <v>0</v>
      </c>
      <c r="AC299" s="52">
        <v>0</v>
      </c>
      <c r="AD299" s="39">
        <v>214.29042367240837</v>
      </c>
      <c r="AE299" s="39">
        <v>179.81459862728917</v>
      </c>
      <c r="AF299" s="35">
        <v>-34.475825045119194</v>
      </c>
      <c r="AG299" s="77">
        <v>655.93451834790665</v>
      </c>
      <c r="AH299" s="53">
        <v>574.12101338179082</v>
      </c>
      <c r="AI299" s="52">
        <v>-81.813504966115829</v>
      </c>
      <c r="AJ299" s="39">
        <v>0</v>
      </c>
      <c r="AK299" s="39">
        <v>0</v>
      </c>
      <c r="AL299" s="52">
        <v>0</v>
      </c>
      <c r="AM299" s="39">
        <v>0</v>
      </c>
      <c r="AN299" s="39">
        <v>0</v>
      </c>
      <c r="AO299" s="52">
        <v>0</v>
      </c>
      <c r="AP299" s="39">
        <v>157.83627381560828</v>
      </c>
      <c r="AQ299" s="39">
        <v>0</v>
      </c>
      <c r="AR299" s="52">
        <v>-157.83627381560828</v>
      </c>
      <c r="AS299" s="39">
        <v>585.00448907763837</v>
      </c>
      <c r="AT299" s="39">
        <v>0</v>
      </c>
      <c r="AU299" s="54">
        <v>-585.00448907763837</v>
      </c>
      <c r="AV299" s="39">
        <v>62.42080348743935</v>
      </c>
      <c r="AW299" s="39">
        <v>0</v>
      </c>
      <c r="AX299" s="55">
        <v>-62.42080348743935</v>
      </c>
      <c r="AY299" s="39">
        <v>71.825475826829646</v>
      </c>
      <c r="AZ299" s="39">
        <v>0</v>
      </c>
      <c r="BA299" s="35">
        <v>-71.825475826829646</v>
      </c>
      <c r="BB299" s="39">
        <v>0</v>
      </c>
      <c r="BC299" s="39">
        <v>0</v>
      </c>
      <c r="BD299" s="55">
        <v>0</v>
      </c>
      <c r="BE299" s="39">
        <v>0</v>
      </c>
      <c r="BF299" s="39">
        <v>0</v>
      </c>
      <c r="BG299" s="38">
        <v>0</v>
      </c>
      <c r="BH299" s="39">
        <v>0</v>
      </c>
      <c r="BI299" s="39">
        <v>0</v>
      </c>
      <c r="BJ299" s="55">
        <v>0</v>
      </c>
      <c r="BK299" s="39">
        <v>9.8614351170038965</v>
      </c>
      <c r="BL299" s="39">
        <v>0</v>
      </c>
      <c r="BM299" s="38">
        <v>-9.8614351170038965</v>
      </c>
      <c r="BN299" s="39">
        <v>0</v>
      </c>
      <c r="BO299" s="39">
        <v>0</v>
      </c>
      <c r="BP299" s="55">
        <v>0</v>
      </c>
      <c r="BQ299" s="77">
        <v>144.10771443127291</v>
      </c>
      <c r="BR299" s="40">
        <v>0</v>
      </c>
      <c r="BS299" s="55">
        <v>-144.10771443127291</v>
      </c>
      <c r="BT299" s="39">
        <v>631.57591838490885</v>
      </c>
      <c r="BU299" s="39">
        <v>168.86920919702419</v>
      </c>
      <c r="BV299" s="52">
        <v>-462.70670918788466</v>
      </c>
      <c r="BW299" s="39">
        <v>365.5818688913136</v>
      </c>
      <c r="BX299" s="39">
        <v>322.83189973639344</v>
      </c>
      <c r="BY299" s="52">
        <v>-42.749969154920166</v>
      </c>
      <c r="BZ299" s="39">
        <v>62.957674087613753</v>
      </c>
      <c r="CA299" s="39">
        <v>714.37515776600753</v>
      </c>
      <c r="CB299" s="52">
        <v>651.41748367839375</v>
      </c>
      <c r="CC299" s="39">
        <v>0</v>
      </c>
      <c r="CD299" s="39">
        <v>0</v>
      </c>
      <c r="CE299" s="52">
        <v>0</v>
      </c>
      <c r="CF299" s="39">
        <v>0</v>
      </c>
      <c r="CG299" s="39">
        <v>0</v>
      </c>
      <c r="CH299" s="52">
        <v>0</v>
      </c>
      <c r="CI299" s="39">
        <v>0</v>
      </c>
      <c r="CJ299" s="39">
        <v>0</v>
      </c>
      <c r="CK299" s="52">
        <v>0</v>
      </c>
      <c r="CL299" s="39">
        <v>0</v>
      </c>
      <c r="CM299" s="39">
        <v>0</v>
      </c>
      <c r="CN299" s="52">
        <v>0</v>
      </c>
      <c r="CO299" s="39">
        <v>0</v>
      </c>
      <c r="CP299" s="40">
        <v>0</v>
      </c>
      <c r="CQ299" s="52">
        <v>0</v>
      </c>
      <c r="CR299" s="72">
        <v>2602.9984570362622</v>
      </c>
      <c r="CS299" s="5">
        <v>1780.1972800812161</v>
      </c>
      <c r="CT299" s="52">
        <v>-822.801176955046</v>
      </c>
      <c r="CU299" s="77">
        <v>3123.5981484435147</v>
      </c>
      <c r="CV299" s="65">
        <v>2136.2367360974595</v>
      </c>
      <c r="CW299" s="35">
        <v>-987.3614123460552</v>
      </c>
      <c r="CX299" s="39">
        <v>78.089953711087873</v>
      </c>
      <c r="CY299" s="39">
        <v>1065.4513660571433</v>
      </c>
      <c r="CZ299" s="52">
        <v>987.36141234605543</v>
      </c>
      <c r="DA299" s="150">
        <v>-2607.4260991472847</v>
      </c>
      <c r="DB299" s="2">
        <v>3</v>
      </c>
      <c r="DC299" s="713">
        <v>7578.17</v>
      </c>
      <c r="DD299" s="714">
        <v>0</v>
      </c>
      <c r="DE299" s="715">
        <v>6463.7575775947371</v>
      </c>
      <c r="DF299" s="716">
        <v>-432.34</v>
      </c>
      <c r="DG299" s="717">
        <v>5234.0015507983298</v>
      </c>
      <c r="DH299" s="718">
        <v>16575.733027649061</v>
      </c>
      <c r="DI299" s="718">
        <v>38420.257225855225</v>
      </c>
      <c r="DJ299" s="693">
        <v>32959.126176303689</v>
      </c>
      <c r="DK299" s="724"/>
      <c r="DL299" s="5"/>
      <c r="DM299" s="306">
        <v>5.732574189327484</v>
      </c>
      <c r="DN299" s="306"/>
      <c r="DO299" s="306">
        <v>4.5760266102731739</v>
      </c>
      <c r="DP299" s="719">
        <v>1114.412422405263</v>
      </c>
      <c r="DQ299" s="720">
        <v>432.34</v>
      </c>
      <c r="DR299" s="650">
        <v>1546.7524224052629</v>
      </c>
      <c r="DS299" s="94">
        <v>1654.9356797493394</v>
      </c>
      <c r="DT299" s="719">
        <v>1114.42</v>
      </c>
      <c r="DU299" s="725">
        <v>486.43</v>
      </c>
      <c r="DV299" s="93">
        <v>1600.8500000000001</v>
      </c>
      <c r="DW299" s="95">
        <v>1608.6530464484099</v>
      </c>
      <c r="DX299" s="28">
        <v>-7.8030464484097593</v>
      </c>
      <c r="EA299" s="5">
        <v>874.93464421069359</v>
      </c>
      <c r="EB299" s="5">
        <v>0</v>
      </c>
      <c r="EE299" s="722">
        <v>7020.05386893166</v>
      </c>
      <c r="EG299" s="42" t="s">
        <v>188</v>
      </c>
    </row>
    <row r="300" spans="1:137" x14ac:dyDescent="0.3">
      <c r="A300" s="325">
        <v>150000808</v>
      </c>
      <c r="B300" s="41" t="s">
        <v>773</v>
      </c>
      <c r="C300" s="42" t="s">
        <v>298</v>
      </c>
      <c r="D300" s="27">
        <v>5</v>
      </c>
      <c r="E300" s="709">
        <v>1950.8</v>
      </c>
      <c r="F300" s="723">
        <v>1754.6</v>
      </c>
      <c r="G300" s="28"/>
      <c r="H300" s="651">
        <v>196.2</v>
      </c>
      <c r="I300" s="39">
        <v>1027.9168494282924</v>
      </c>
      <c r="J300" s="39">
        <v>1106.8648453151925</v>
      </c>
      <c r="K300" s="52">
        <v>78.947995886900117</v>
      </c>
      <c r="L300" s="39">
        <v>194.40384537113721</v>
      </c>
      <c r="M300" s="39">
        <v>211.2297273821703</v>
      </c>
      <c r="N300" s="52">
        <v>16.825882011033087</v>
      </c>
      <c r="O300" s="39">
        <v>456.46</v>
      </c>
      <c r="P300" s="39">
        <v>456.46</v>
      </c>
      <c r="Q300" s="52">
        <v>0</v>
      </c>
      <c r="R300" s="39">
        <v>0</v>
      </c>
      <c r="S300" s="39">
        <v>0</v>
      </c>
      <c r="T300" s="52">
        <v>0</v>
      </c>
      <c r="U300" s="39">
        <v>0</v>
      </c>
      <c r="V300" s="39">
        <v>0</v>
      </c>
      <c r="W300" s="52">
        <v>0</v>
      </c>
      <c r="X300" s="39">
        <v>546.22935805347265</v>
      </c>
      <c r="Y300" s="39">
        <v>329.846842381675</v>
      </c>
      <c r="Z300" s="52">
        <v>-216.38251567179765</v>
      </c>
      <c r="AA300" s="39">
        <v>0</v>
      </c>
      <c r="AB300" s="39">
        <v>0</v>
      </c>
      <c r="AC300" s="52">
        <v>0</v>
      </c>
      <c r="AD300" s="39">
        <v>1390.2153591624019</v>
      </c>
      <c r="AE300" s="39">
        <v>1166.5524409781037</v>
      </c>
      <c r="AF300" s="35">
        <v>-223.66291818429818</v>
      </c>
      <c r="AG300" s="77">
        <v>3615.2254120153038</v>
      </c>
      <c r="AH300" s="53">
        <v>3270.9538560571414</v>
      </c>
      <c r="AI300" s="52">
        <v>-344.27155595816248</v>
      </c>
      <c r="AJ300" s="39">
        <v>0</v>
      </c>
      <c r="AK300" s="39">
        <v>0</v>
      </c>
      <c r="AL300" s="52">
        <v>0</v>
      </c>
      <c r="AM300" s="39">
        <v>0</v>
      </c>
      <c r="AN300" s="39">
        <v>0</v>
      </c>
      <c r="AO300" s="52">
        <v>0</v>
      </c>
      <c r="AP300" s="39">
        <v>899.66676074896725</v>
      </c>
      <c r="AQ300" s="39">
        <v>0</v>
      </c>
      <c r="AR300" s="52">
        <v>-899.66676074896725</v>
      </c>
      <c r="AS300" s="39">
        <v>2271.9955234672261</v>
      </c>
      <c r="AT300" s="39">
        <v>276</v>
      </c>
      <c r="AU300" s="54">
        <v>-1995.9955234672261</v>
      </c>
      <c r="AV300" s="39">
        <v>169.7904243905044</v>
      </c>
      <c r="AW300" s="39">
        <v>0</v>
      </c>
      <c r="AX300" s="55">
        <v>-169.7904243905044</v>
      </c>
      <c r="AY300" s="39">
        <v>250.58315269130659</v>
      </c>
      <c r="AZ300" s="39">
        <v>0</v>
      </c>
      <c r="BA300" s="35">
        <v>-250.58315269130659</v>
      </c>
      <c r="BB300" s="39">
        <v>248.87608838806503</v>
      </c>
      <c r="BC300" s="39">
        <v>0</v>
      </c>
      <c r="BD300" s="55">
        <v>-248.87608838806503</v>
      </c>
      <c r="BE300" s="39">
        <v>0</v>
      </c>
      <c r="BF300" s="39">
        <v>0</v>
      </c>
      <c r="BG300" s="38">
        <v>0</v>
      </c>
      <c r="BH300" s="39">
        <v>0</v>
      </c>
      <c r="BI300" s="39">
        <v>0</v>
      </c>
      <c r="BJ300" s="55">
        <v>0</v>
      </c>
      <c r="BK300" s="39">
        <v>69.694336541971353</v>
      </c>
      <c r="BL300" s="39">
        <v>0</v>
      </c>
      <c r="BM300" s="38">
        <v>-69.694336541971353</v>
      </c>
      <c r="BN300" s="39">
        <v>0</v>
      </c>
      <c r="BO300" s="39">
        <v>0</v>
      </c>
      <c r="BP300" s="55">
        <v>0</v>
      </c>
      <c r="BQ300" s="77">
        <v>738.94400201184737</v>
      </c>
      <c r="BR300" s="40">
        <v>0</v>
      </c>
      <c r="BS300" s="55">
        <v>-738.94400201184737</v>
      </c>
      <c r="BT300" s="39">
        <v>3503.2805051570626</v>
      </c>
      <c r="BU300" s="39">
        <v>942.60367427259143</v>
      </c>
      <c r="BV300" s="52">
        <v>-2560.6768308844712</v>
      </c>
      <c r="BW300" s="39">
        <v>1509.1538510472581</v>
      </c>
      <c r="BX300" s="39">
        <v>1329.020368136235</v>
      </c>
      <c r="BY300" s="52">
        <v>-180.13348291102307</v>
      </c>
      <c r="BZ300" s="39">
        <v>1131.8905631511575</v>
      </c>
      <c r="CA300" s="39">
        <v>3834.8670413079581</v>
      </c>
      <c r="CB300" s="52">
        <v>2702.9764781568006</v>
      </c>
      <c r="CC300" s="39">
        <v>138.73251399190266</v>
      </c>
      <c r="CD300" s="39">
        <v>136.86959764133724</v>
      </c>
      <c r="CE300" s="52">
        <v>-1.8629163505654276</v>
      </c>
      <c r="CF300" s="39">
        <v>17.078813275518321</v>
      </c>
      <c r="CG300" s="39">
        <v>0</v>
      </c>
      <c r="CH300" s="52">
        <v>-17.078813275518321</v>
      </c>
      <c r="CI300" s="39">
        <v>1182.3236736926367</v>
      </c>
      <c r="CJ300" s="39">
        <v>2397.8098307473801</v>
      </c>
      <c r="CK300" s="52">
        <v>1215.4861570547434</v>
      </c>
      <c r="CL300" s="39">
        <v>0</v>
      </c>
      <c r="CM300" s="39">
        <v>0</v>
      </c>
      <c r="CN300" s="52">
        <v>0</v>
      </c>
      <c r="CO300" s="39">
        <v>1182.3236736926367</v>
      </c>
      <c r="CP300" s="40">
        <v>2397.8098307473801</v>
      </c>
      <c r="CQ300" s="52">
        <v>1215.4861570547434</v>
      </c>
      <c r="CR300" s="72">
        <v>15008.291618558882</v>
      </c>
      <c r="CS300" s="5">
        <v>12188.124368162644</v>
      </c>
      <c r="CT300" s="52">
        <v>-2820.1672503962382</v>
      </c>
      <c r="CU300" s="77">
        <v>18009.949942270658</v>
      </c>
      <c r="CV300" s="65">
        <v>14625.749241795173</v>
      </c>
      <c r="CW300" s="35">
        <v>-3384.2007004754851</v>
      </c>
      <c r="CX300" s="39">
        <v>360.19899884541314</v>
      </c>
      <c r="CY300" s="39">
        <v>3744.3996993208975</v>
      </c>
      <c r="CZ300" s="52">
        <v>3384.2007004754842</v>
      </c>
      <c r="DA300" s="150">
        <v>-17923.63935926562</v>
      </c>
      <c r="DB300" s="2">
        <v>2</v>
      </c>
      <c r="DC300" s="713">
        <v>12902.75</v>
      </c>
      <c r="DD300" s="714">
        <v>830.89</v>
      </c>
      <c r="DE300" s="715">
        <v>4548.5658656892974</v>
      </c>
      <c r="DF300" s="716">
        <v>-3.3624733327997092E-4</v>
      </c>
      <c r="DG300" s="717">
        <v>4390.4545830315983</v>
      </c>
      <c r="DH300" s="718">
        <v>88225.338046416669</v>
      </c>
      <c r="DI300" s="718">
        <v>220441.78729339282</v>
      </c>
      <c r="DJ300" s="693">
        <v>187387.67498164877</v>
      </c>
      <c r="DK300" s="724"/>
      <c r="DL300" s="5"/>
      <c r="DM300" s="306">
        <v>4.7613040774596502</v>
      </c>
      <c r="DN300" s="306"/>
      <c r="DO300" s="306">
        <v>4.2349150675195375</v>
      </c>
      <c r="DP300" s="719">
        <v>8354.1841343107026</v>
      </c>
      <c r="DQ300" s="720">
        <v>830.89033624733327</v>
      </c>
      <c r="DR300" s="650">
        <v>9185.0744705580364</v>
      </c>
      <c r="DS300" s="94">
        <v>9185.0744705580328</v>
      </c>
      <c r="DT300" s="719">
        <v>8279.18</v>
      </c>
      <c r="DU300" s="725">
        <v>830.89</v>
      </c>
      <c r="DV300" s="93">
        <v>9110.07</v>
      </c>
      <c r="DW300" s="95">
        <v>9221.0943704425754</v>
      </c>
      <c r="DX300" s="28">
        <v>-111.02437044257567</v>
      </c>
      <c r="EA300" s="5">
        <v>3613.127430574888</v>
      </c>
      <c r="EB300" s="5">
        <v>331.2</v>
      </c>
      <c r="EE300" s="722">
        <v>27263.946281606713</v>
      </c>
      <c r="EG300" s="42" t="s">
        <v>298</v>
      </c>
    </row>
    <row r="301" spans="1:137" x14ac:dyDescent="0.3">
      <c r="A301" s="325">
        <v>150000827</v>
      </c>
      <c r="B301" s="41" t="s">
        <v>774</v>
      </c>
      <c r="C301" s="42" t="s">
        <v>299</v>
      </c>
      <c r="D301" s="27">
        <v>5</v>
      </c>
      <c r="E301" s="709">
        <v>4420.7</v>
      </c>
      <c r="F301" s="723">
        <v>3727.2</v>
      </c>
      <c r="G301" s="28"/>
      <c r="H301" s="651">
        <v>693.5</v>
      </c>
      <c r="I301" s="39">
        <v>2435.3227992771217</v>
      </c>
      <c r="J301" s="39">
        <v>2624.0135677526819</v>
      </c>
      <c r="K301" s="52">
        <v>188.69076847556016</v>
      </c>
      <c r="L301" s="39">
        <v>475.70255903397566</v>
      </c>
      <c r="M301" s="39">
        <v>516.87517765814675</v>
      </c>
      <c r="N301" s="52">
        <v>41.172618624171093</v>
      </c>
      <c r="O301" s="39">
        <v>960.84</v>
      </c>
      <c r="P301" s="39">
        <v>960.84</v>
      </c>
      <c r="Q301" s="52">
        <v>0</v>
      </c>
      <c r="R301" s="39">
        <v>0</v>
      </c>
      <c r="S301" s="39">
        <v>0</v>
      </c>
      <c r="T301" s="52">
        <v>0</v>
      </c>
      <c r="U301" s="39">
        <v>0</v>
      </c>
      <c r="V301" s="39">
        <v>0</v>
      </c>
      <c r="W301" s="52">
        <v>0</v>
      </c>
      <c r="X301" s="39">
        <v>1687.3388704359256</v>
      </c>
      <c r="Y301" s="39">
        <v>1063.2535782666218</v>
      </c>
      <c r="Z301" s="52">
        <v>-624.08529216930378</v>
      </c>
      <c r="AA301" s="39">
        <v>0</v>
      </c>
      <c r="AB301" s="39">
        <v>0</v>
      </c>
      <c r="AC301" s="52">
        <v>0</v>
      </c>
      <c r="AD301" s="39">
        <v>3150.3614098058383</v>
      </c>
      <c r="AE301" s="39">
        <v>2643.5197743653384</v>
      </c>
      <c r="AF301" s="35">
        <v>-506.84163544049989</v>
      </c>
      <c r="AG301" s="77">
        <v>8709.5656385528619</v>
      </c>
      <c r="AH301" s="53">
        <v>7808.5020980427889</v>
      </c>
      <c r="AI301" s="52">
        <v>-901.06354051007293</v>
      </c>
      <c r="AJ301" s="39">
        <v>0</v>
      </c>
      <c r="AK301" s="39">
        <v>0</v>
      </c>
      <c r="AL301" s="52">
        <v>0</v>
      </c>
      <c r="AM301" s="39">
        <v>0</v>
      </c>
      <c r="AN301" s="39">
        <v>0</v>
      </c>
      <c r="AO301" s="52">
        <v>0</v>
      </c>
      <c r="AP301" s="39">
        <v>2107.1142554383709</v>
      </c>
      <c r="AQ301" s="39">
        <v>0</v>
      </c>
      <c r="AR301" s="52">
        <v>-2107.1142554383709</v>
      </c>
      <c r="AS301" s="39">
        <v>7936.3886563973701</v>
      </c>
      <c r="AT301" s="39">
        <v>62637</v>
      </c>
      <c r="AU301" s="54">
        <v>54700.611343602628</v>
      </c>
      <c r="AV301" s="39">
        <v>390.20101697689392</v>
      </c>
      <c r="AW301" s="39">
        <v>793</v>
      </c>
      <c r="AX301" s="55">
        <v>402.79898302310608</v>
      </c>
      <c r="AY301" s="39">
        <v>613.10965860365957</v>
      </c>
      <c r="AZ301" s="39">
        <v>0</v>
      </c>
      <c r="BA301" s="35">
        <v>-613.10965860365957</v>
      </c>
      <c r="BB301" s="39">
        <v>465.95764131857197</v>
      </c>
      <c r="BC301" s="39">
        <v>0</v>
      </c>
      <c r="BD301" s="55">
        <v>-465.95764131857197</v>
      </c>
      <c r="BE301" s="39">
        <v>0</v>
      </c>
      <c r="BF301" s="39">
        <v>0</v>
      </c>
      <c r="BG301" s="38">
        <v>0</v>
      </c>
      <c r="BH301" s="39">
        <v>0</v>
      </c>
      <c r="BI301" s="39">
        <v>0</v>
      </c>
      <c r="BJ301" s="55">
        <v>0</v>
      </c>
      <c r="BK301" s="39">
        <v>242.89646399461824</v>
      </c>
      <c r="BL301" s="39">
        <v>0</v>
      </c>
      <c r="BM301" s="38">
        <v>-242.89646399461824</v>
      </c>
      <c r="BN301" s="39">
        <v>0</v>
      </c>
      <c r="BO301" s="39">
        <v>0</v>
      </c>
      <c r="BP301" s="55">
        <v>0</v>
      </c>
      <c r="BQ301" s="77">
        <v>1712.1647808937437</v>
      </c>
      <c r="BR301" s="40">
        <v>793</v>
      </c>
      <c r="BS301" s="55">
        <v>-919.16478089374368</v>
      </c>
      <c r="BT301" s="39">
        <v>4895.3771267205602</v>
      </c>
      <c r="BU301" s="39">
        <v>1454.1959149578799</v>
      </c>
      <c r="BV301" s="52">
        <v>-3441.1812117626805</v>
      </c>
      <c r="BW301" s="39">
        <v>3593.4220142755858</v>
      </c>
      <c r="BX301" s="39">
        <v>3139.58994041202</v>
      </c>
      <c r="BY301" s="52">
        <v>-453.83207386356571</v>
      </c>
      <c r="BZ301" s="39">
        <v>2086.1996741236608</v>
      </c>
      <c r="CA301" s="39">
        <v>6146.7973598628714</v>
      </c>
      <c r="CB301" s="52">
        <v>4060.5976857392106</v>
      </c>
      <c r="CC301" s="39">
        <v>337.90926464529508</v>
      </c>
      <c r="CD301" s="39">
        <v>333.371779696727</v>
      </c>
      <c r="CE301" s="52">
        <v>-4.5374849485680784</v>
      </c>
      <c r="CF301" s="39">
        <v>41.598678412773069</v>
      </c>
      <c r="CG301" s="39">
        <v>0</v>
      </c>
      <c r="CH301" s="52">
        <v>-41.598678412773069</v>
      </c>
      <c r="CI301" s="39">
        <v>979.55048427305508</v>
      </c>
      <c r="CJ301" s="39">
        <v>1396.09974674211</v>
      </c>
      <c r="CK301" s="52">
        <v>416.54926246905495</v>
      </c>
      <c r="CL301" s="39">
        <v>0</v>
      </c>
      <c r="CM301" s="39">
        <v>0</v>
      </c>
      <c r="CN301" s="52">
        <v>0</v>
      </c>
      <c r="CO301" s="39">
        <v>979.55048427305508</v>
      </c>
      <c r="CP301" s="40">
        <v>1396.09974674211</v>
      </c>
      <c r="CQ301" s="52">
        <v>416.54926246905495</v>
      </c>
      <c r="CR301" s="72">
        <v>32399.29057373328</v>
      </c>
      <c r="CS301" s="5">
        <v>83708.556839714394</v>
      </c>
      <c r="CT301" s="52">
        <v>51309.266265981118</v>
      </c>
      <c r="CU301" s="77">
        <v>38879.148688479938</v>
      </c>
      <c r="CV301" s="65">
        <v>100450.26820765727</v>
      </c>
      <c r="CW301" s="35">
        <v>61571.119519177329</v>
      </c>
      <c r="CX301" s="39">
        <v>1943.957434423997</v>
      </c>
      <c r="CY301" s="39">
        <v>-59627.162084753327</v>
      </c>
      <c r="CZ301" s="52">
        <v>-61571.119519177322</v>
      </c>
      <c r="DA301" s="150">
        <v>-34168.202851129608</v>
      </c>
      <c r="DB301" s="2">
        <v>2</v>
      </c>
      <c r="DC301" s="713">
        <v>58748.12</v>
      </c>
      <c r="DD301" s="714">
        <v>18914.47</v>
      </c>
      <c r="DE301" s="715">
        <v>41183.497968242402</v>
      </c>
      <c r="DF301" s="716">
        <v>16067.538970305639</v>
      </c>
      <c r="DG301" s="717">
        <v>-21049.867983573888</v>
      </c>
      <c r="DH301" s="718">
        <v>196483.52163727043</v>
      </c>
      <c r="DI301" s="718">
        <v>489877.2734748472</v>
      </c>
      <c r="DJ301" s="693">
        <v>416528.83551545301</v>
      </c>
      <c r="DK301" s="724"/>
      <c r="DL301" s="5"/>
      <c r="DM301" s="306">
        <v>4.7125515217207568</v>
      </c>
      <c r="DN301" s="306"/>
      <c r="DO301" s="306">
        <v>4.1051637053992236</v>
      </c>
      <c r="DP301" s="719">
        <v>17564.622031757604</v>
      </c>
      <c r="DQ301" s="727">
        <v>2846.9310296943618</v>
      </c>
      <c r="DR301" s="650">
        <v>20411.553061451967</v>
      </c>
      <c r="DS301" s="94">
        <v>20411.553061451967</v>
      </c>
      <c r="DT301" s="719">
        <v>17364.07</v>
      </c>
      <c r="DU301" s="728">
        <v>2045.23</v>
      </c>
      <c r="DV301" s="93">
        <v>19409.3</v>
      </c>
      <c r="DW301" s="95">
        <v>20605.948804894368</v>
      </c>
      <c r="DX301" s="28">
        <v>-1196.6488048943684</v>
      </c>
      <c r="DY301" s="94"/>
      <c r="EA301" s="5">
        <v>11578.264124749336</v>
      </c>
      <c r="EB301" s="5">
        <v>76116</v>
      </c>
      <c r="EE301" s="722">
        <v>95236.663876768434</v>
      </c>
      <c r="EG301" s="42" t="s">
        <v>299</v>
      </c>
    </row>
    <row r="302" spans="1:137" x14ac:dyDescent="0.3">
      <c r="A302" s="325">
        <v>150000809</v>
      </c>
      <c r="B302" s="41" t="s">
        <v>775</v>
      </c>
      <c r="C302" s="42" t="s">
        <v>300</v>
      </c>
      <c r="D302" s="27">
        <v>5</v>
      </c>
      <c r="E302" s="709">
        <v>2543.14</v>
      </c>
      <c r="F302" s="723">
        <v>2104.64</v>
      </c>
      <c r="G302" s="28"/>
      <c r="H302" s="651">
        <v>438.5</v>
      </c>
      <c r="I302" s="39">
        <v>1391.3736070871398</v>
      </c>
      <c r="J302" s="39">
        <v>1498.1462776821377</v>
      </c>
      <c r="K302" s="52">
        <v>106.77267059499786</v>
      </c>
      <c r="L302" s="39">
        <v>256.24576328109225</v>
      </c>
      <c r="M302" s="39">
        <v>278.42457216584393</v>
      </c>
      <c r="N302" s="52">
        <v>22.178808884751675</v>
      </c>
      <c r="O302" s="39">
        <v>581.58000000000004</v>
      </c>
      <c r="P302" s="39">
        <v>581.74</v>
      </c>
      <c r="Q302" s="52">
        <v>0.15999999999996817</v>
      </c>
      <c r="R302" s="39">
        <v>0</v>
      </c>
      <c r="S302" s="39">
        <v>0</v>
      </c>
      <c r="T302" s="52">
        <v>0</v>
      </c>
      <c r="U302" s="39">
        <v>0</v>
      </c>
      <c r="V302" s="39">
        <v>0</v>
      </c>
      <c r="W302" s="52">
        <v>0</v>
      </c>
      <c r="X302" s="39">
        <v>801.1580031402101</v>
      </c>
      <c r="Y302" s="39">
        <v>493.62089845852256</v>
      </c>
      <c r="Z302" s="52">
        <v>-307.53710468168754</v>
      </c>
      <c r="AA302" s="39">
        <v>0</v>
      </c>
      <c r="AB302" s="39">
        <v>0</v>
      </c>
      <c r="AC302" s="52">
        <v>0</v>
      </c>
      <c r="AD302" s="39">
        <v>1812.3397008920804</v>
      </c>
      <c r="AE302" s="39">
        <v>1520.7638787928308</v>
      </c>
      <c r="AF302" s="35">
        <v>-291.57582209924954</v>
      </c>
      <c r="AG302" s="77">
        <v>4842.6970744005221</v>
      </c>
      <c r="AH302" s="53">
        <v>4372.6956270993351</v>
      </c>
      <c r="AI302" s="52">
        <v>-470.001447301187</v>
      </c>
      <c r="AJ302" s="39">
        <v>0</v>
      </c>
      <c r="AK302" s="39">
        <v>0</v>
      </c>
      <c r="AL302" s="52">
        <v>0</v>
      </c>
      <c r="AM302" s="39">
        <v>0</v>
      </c>
      <c r="AN302" s="39">
        <v>0</v>
      </c>
      <c r="AO302" s="52">
        <v>0</v>
      </c>
      <c r="AP302" s="39">
        <v>1089.0702893276973</v>
      </c>
      <c r="AQ302" s="39">
        <v>2940.2522968670119</v>
      </c>
      <c r="AR302" s="52">
        <v>1851.1820075393146</v>
      </c>
      <c r="AS302" s="39">
        <v>6146.015088983142</v>
      </c>
      <c r="AT302" s="39">
        <v>570</v>
      </c>
      <c r="AU302" s="54">
        <v>-5576.015088983142</v>
      </c>
      <c r="AV302" s="39">
        <v>234.32748203760042</v>
      </c>
      <c r="AW302" s="39">
        <v>0</v>
      </c>
      <c r="AX302" s="55">
        <v>-234.32748203760042</v>
      </c>
      <c r="AY302" s="39">
        <v>330.23603295962948</v>
      </c>
      <c r="AZ302" s="39">
        <v>0</v>
      </c>
      <c r="BA302" s="35">
        <v>-330.23603295962948</v>
      </c>
      <c r="BB302" s="39">
        <v>294.64577629970915</v>
      </c>
      <c r="BC302" s="39">
        <v>0</v>
      </c>
      <c r="BD302" s="55">
        <v>-294.64577629970915</v>
      </c>
      <c r="BE302" s="39">
        <v>0</v>
      </c>
      <c r="BF302" s="39">
        <v>0</v>
      </c>
      <c r="BG302" s="38">
        <v>0</v>
      </c>
      <c r="BH302" s="39">
        <v>0</v>
      </c>
      <c r="BI302" s="39">
        <v>0</v>
      </c>
      <c r="BJ302" s="55">
        <v>0</v>
      </c>
      <c r="BK302" s="39">
        <v>110.74602375906008</v>
      </c>
      <c r="BL302" s="39">
        <v>0</v>
      </c>
      <c r="BM302" s="38">
        <v>-110.74602375906008</v>
      </c>
      <c r="BN302" s="39">
        <v>0</v>
      </c>
      <c r="BO302" s="39">
        <v>0</v>
      </c>
      <c r="BP302" s="55">
        <v>0</v>
      </c>
      <c r="BQ302" s="77">
        <v>969.95531505599922</v>
      </c>
      <c r="BR302" s="40">
        <v>0</v>
      </c>
      <c r="BS302" s="55">
        <v>-969.95531505599922</v>
      </c>
      <c r="BT302" s="39">
        <v>3189.5300164076129</v>
      </c>
      <c r="BU302" s="39">
        <v>1023.9646877643307</v>
      </c>
      <c r="BV302" s="52">
        <v>-2165.5653286432821</v>
      </c>
      <c r="BW302" s="39">
        <v>1598.8032824644117</v>
      </c>
      <c r="BX302" s="39">
        <v>1409.1149779255238</v>
      </c>
      <c r="BY302" s="52">
        <v>-189.68830453888791</v>
      </c>
      <c r="BZ302" s="39">
        <v>1812.1306016169046</v>
      </c>
      <c r="CA302" s="39">
        <v>4190.2757806413501</v>
      </c>
      <c r="CB302" s="52">
        <v>2378.1451790244455</v>
      </c>
      <c r="CC302" s="39">
        <v>0</v>
      </c>
      <c r="CD302" s="39">
        <v>0</v>
      </c>
      <c r="CE302" s="52">
        <v>0</v>
      </c>
      <c r="CF302" s="39">
        <v>0</v>
      </c>
      <c r="CG302" s="39">
        <v>0</v>
      </c>
      <c r="CH302" s="52">
        <v>0</v>
      </c>
      <c r="CI302" s="39">
        <v>1035.7030598046313</v>
      </c>
      <c r="CJ302" s="39">
        <v>1277.463675751927</v>
      </c>
      <c r="CK302" s="52">
        <v>241.76061594729572</v>
      </c>
      <c r="CL302" s="39">
        <v>0</v>
      </c>
      <c r="CM302" s="39">
        <v>0</v>
      </c>
      <c r="CN302" s="52">
        <v>0</v>
      </c>
      <c r="CO302" s="39">
        <v>1035.7030598046313</v>
      </c>
      <c r="CP302" s="40">
        <v>1277.463675751927</v>
      </c>
      <c r="CQ302" s="52">
        <v>241.76061594729572</v>
      </c>
      <c r="CR302" s="72">
        <v>20683.904728060923</v>
      </c>
      <c r="CS302" s="5">
        <v>15783.767046049479</v>
      </c>
      <c r="CT302" s="52">
        <v>-4900.1376820114438</v>
      </c>
      <c r="CU302" s="77">
        <v>24820.685673673106</v>
      </c>
      <c r="CV302" s="65">
        <v>18940.520455259375</v>
      </c>
      <c r="CW302" s="35">
        <v>-5880.1652184137311</v>
      </c>
      <c r="CX302" s="39">
        <v>794.26194155753944</v>
      </c>
      <c r="CY302" s="39">
        <v>6674.4271599712702</v>
      </c>
      <c r="CZ302" s="52">
        <v>5880.1652184137311</v>
      </c>
      <c r="DA302" s="150">
        <v>20398.155445537566</v>
      </c>
      <c r="DB302" s="2">
        <v>2</v>
      </c>
      <c r="DC302" s="713">
        <v>27486.29</v>
      </c>
      <c r="DD302" s="714">
        <v>1508.2900000000002</v>
      </c>
      <c r="DE302" s="715">
        <v>16716.443486370539</v>
      </c>
      <c r="DF302" s="716">
        <v>-529.3372939858632</v>
      </c>
      <c r="DG302" s="717">
        <v>50249.812913279915</v>
      </c>
      <c r="DH302" s="718">
        <v>127813.20747835719</v>
      </c>
      <c r="DI302" s="718">
        <v>307379.37138276774</v>
      </c>
      <c r="DJ302" s="693">
        <v>262487.8304066651</v>
      </c>
      <c r="DK302" s="724"/>
      <c r="DL302" s="5"/>
      <c r="DM302" s="306">
        <v>5.1171917827416857</v>
      </c>
      <c r="DN302" s="306"/>
      <c r="DO302" s="306">
        <v>4.6468125290441584</v>
      </c>
      <c r="DP302" s="719">
        <v>10769.846513629462</v>
      </c>
      <c r="DQ302" s="720">
        <v>2037.6272939858634</v>
      </c>
      <c r="DR302" s="650">
        <v>12807.473807615324</v>
      </c>
      <c r="DS302" s="94">
        <v>12807.473807615321</v>
      </c>
      <c r="DT302" s="719">
        <v>10769.81</v>
      </c>
      <c r="DU302" s="725">
        <v>2037.62</v>
      </c>
      <c r="DV302" s="93">
        <v>12807.43</v>
      </c>
      <c r="DW302" s="95">
        <v>12886.900001771077</v>
      </c>
      <c r="DX302" s="28">
        <v>-79.470001771076568</v>
      </c>
      <c r="EA302" s="5">
        <v>8539.1644848469696</v>
      </c>
      <c r="EB302" s="5">
        <v>684</v>
      </c>
      <c r="EE302" s="722">
        <v>73752.181067797705</v>
      </c>
      <c r="EG302" s="42" t="s">
        <v>300</v>
      </c>
    </row>
    <row r="303" spans="1:137" x14ac:dyDescent="0.3">
      <c r="A303" s="325">
        <v>150000810</v>
      </c>
      <c r="B303" s="41" t="s">
        <v>776</v>
      </c>
      <c r="C303" s="42" t="s">
        <v>301</v>
      </c>
      <c r="D303" s="27">
        <v>5</v>
      </c>
      <c r="E303" s="709">
        <v>2998.76</v>
      </c>
      <c r="F303" s="723">
        <v>2552.36</v>
      </c>
      <c r="G303" s="28"/>
      <c r="H303" s="651">
        <v>446.4</v>
      </c>
      <c r="I303" s="39">
        <v>1675.5350396727472</v>
      </c>
      <c r="J303" s="39">
        <v>1808.4229227350329</v>
      </c>
      <c r="K303" s="52">
        <v>132.88788306228571</v>
      </c>
      <c r="L303" s="39">
        <v>329.38184827529136</v>
      </c>
      <c r="M303" s="39">
        <v>357.89024586136873</v>
      </c>
      <c r="N303" s="52">
        <v>28.508397586077365</v>
      </c>
      <c r="O303" s="39">
        <v>608.5</v>
      </c>
      <c r="P303" s="39">
        <v>608.32000000000005</v>
      </c>
      <c r="Q303" s="52">
        <v>-0.17999999999994998</v>
      </c>
      <c r="R303" s="39">
        <v>0</v>
      </c>
      <c r="S303" s="39">
        <v>0</v>
      </c>
      <c r="T303" s="52">
        <v>0</v>
      </c>
      <c r="U303" s="39">
        <v>0</v>
      </c>
      <c r="V303" s="39">
        <v>0</v>
      </c>
      <c r="W303" s="52">
        <v>0</v>
      </c>
      <c r="X303" s="39">
        <v>1075.6045586748592</v>
      </c>
      <c r="Y303" s="39">
        <v>666.64495898774624</v>
      </c>
      <c r="Z303" s="52">
        <v>-408.95959968711293</v>
      </c>
      <c r="AA303" s="39">
        <v>0</v>
      </c>
      <c r="AB303" s="39">
        <v>0</v>
      </c>
      <c r="AC303" s="52">
        <v>0</v>
      </c>
      <c r="AD303" s="39">
        <v>2137.0320947518171</v>
      </c>
      <c r="AE303" s="39">
        <v>1793.218575921416</v>
      </c>
      <c r="AF303" s="35">
        <v>-343.81351883040111</v>
      </c>
      <c r="AG303" s="77">
        <v>5826.0535413747148</v>
      </c>
      <c r="AH303" s="53">
        <v>5234.4967035055643</v>
      </c>
      <c r="AI303" s="52">
        <v>-591.55683786915051</v>
      </c>
      <c r="AJ303" s="39">
        <v>0</v>
      </c>
      <c r="AK303" s="39">
        <v>0</v>
      </c>
      <c r="AL303" s="52">
        <v>0</v>
      </c>
      <c r="AM303" s="39">
        <v>0</v>
      </c>
      <c r="AN303" s="39">
        <v>0</v>
      </c>
      <c r="AO303" s="52">
        <v>0</v>
      </c>
      <c r="AP303" s="39">
        <v>1515.2282286298396</v>
      </c>
      <c r="AQ303" s="39">
        <v>0</v>
      </c>
      <c r="AR303" s="52">
        <v>-1515.2282286298396</v>
      </c>
      <c r="AS303" s="39">
        <v>5643.5687996202159</v>
      </c>
      <c r="AT303" s="39">
        <v>6982.7942561538248</v>
      </c>
      <c r="AU303" s="54">
        <v>1339.2254565336088</v>
      </c>
      <c r="AV303" s="39">
        <v>268.60745020669066</v>
      </c>
      <c r="AW303" s="39">
        <v>0</v>
      </c>
      <c r="AX303" s="55">
        <v>-268.60745020669066</v>
      </c>
      <c r="AY303" s="39">
        <v>424.54339453418447</v>
      </c>
      <c r="AZ303" s="39">
        <v>0</v>
      </c>
      <c r="BA303" s="35">
        <v>-424.54339453418447</v>
      </c>
      <c r="BB303" s="39">
        <v>279.86139543396388</v>
      </c>
      <c r="BC303" s="39">
        <v>0</v>
      </c>
      <c r="BD303" s="55">
        <v>-279.86139543396388</v>
      </c>
      <c r="BE303" s="39">
        <v>0</v>
      </c>
      <c r="BF303" s="39">
        <v>0</v>
      </c>
      <c r="BG303" s="38">
        <v>0</v>
      </c>
      <c r="BH303" s="39">
        <v>0</v>
      </c>
      <c r="BI303" s="39">
        <v>0</v>
      </c>
      <c r="BJ303" s="55">
        <v>0</v>
      </c>
      <c r="BK303" s="39">
        <v>152.85067587953245</v>
      </c>
      <c r="BL303" s="39">
        <v>0</v>
      </c>
      <c r="BM303" s="38">
        <v>-152.85067587953245</v>
      </c>
      <c r="BN303" s="39">
        <v>0</v>
      </c>
      <c r="BO303" s="39">
        <v>0</v>
      </c>
      <c r="BP303" s="55">
        <v>0</v>
      </c>
      <c r="BQ303" s="77">
        <v>1125.8629160543715</v>
      </c>
      <c r="BR303" s="40">
        <v>0</v>
      </c>
      <c r="BS303" s="55">
        <v>-1125.8629160543715</v>
      </c>
      <c r="BT303" s="39">
        <v>3541.1002959785565</v>
      </c>
      <c r="BU303" s="39">
        <v>1093.6126169156039</v>
      </c>
      <c r="BV303" s="52">
        <v>-2447.4876790629523</v>
      </c>
      <c r="BW303" s="39">
        <v>2098.507205764322</v>
      </c>
      <c r="BX303" s="39">
        <v>1847.0315896211507</v>
      </c>
      <c r="BY303" s="52">
        <v>-251.47561614317124</v>
      </c>
      <c r="BZ303" s="39">
        <v>1767.0238283958488</v>
      </c>
      <c r="CA303" s="39">
        <v>4754.4450835222478</v>
      </c>
      <c r="CB303" s="52">
        <v>2987.421255126399</v>
      </c>
      <c r="CC303" s="39">
        <v>0</v>
      </c>
      <c r="CD303" s="39">
        <v>0</v>
      </c>
      <c r="CE303" s="52">
        <v>0</v>
      </c>
      <c r="CF303" s="39">
        <v>0</v>
      </c>
      <c r="CG303" s="39">
        <v>0</v>
      </c>
      <c r="CH303" s="52">
        <v>0</v>
      </c>
      <c r="CI303" s="39">
        <v>651.99379367219262</v>
      </c>
      <c r="CJ303" s="39">
        <v>1588.0655166941576</v>
      </c>
      <c r="CK303" s="52">
        <v>936.071723021965</v>
      </c>
      <c r="CL303" s="39">
        <v>0</v>
      </c>
      <c r="CM303" s="39">
        <v>0</v>
      </c>
      <c r="CN303" s="52">
        <v>0</v>
      </c>
      <c r="CO303" s="39">
        <v>651.99379367219262</v>
      </c>
      <c r="CP303" s="40">
        <v>1588.0655166941576</v>
      </c>
      <c r="CQ303" s="52">
        <v>936.071723021965</v>
      </c>
      <c r="CR303" s="72">
        <v>22169.338609490063</v>
      </c>
      <c r="CS303" s="5">
        <v>21500.445766412548</v>
      </c>
      <c r="CT303" s="52">
        <v>-668.89284307751586</v>
      </c>
      <c r="CU303" s="77">
        <v>26603.206331388075</v>
      </c>
      <c r="CV303" s="65">
        <v>25800.534919695056</v>
      </c>
      <c r="CW303" s="35">
        <v>-802.67141169301976</v>
      </c>
      <c r="CX303" s="39">
        <v>1197.1442849124633</v>
      </c>
      <c r="CY303" s="39">
        <v>1999.8156966054812</v>
      </c>
      <c r="CZ303" s="52">
        <v>802.67141169301794</v>
      </c>
      <c r="DA303" s="150">
        <v>41096.730785590793</v>
      </c>
      <c r="DB303" s="2">
        <v>2</v>
      </c>
      <c r="DC303" s="713">
        <v>46336.01</v>
      </c>
      <c r="DD303" s="714">
        <v>1881.29</v>
      </c>
      <c r="DE303" s="715">
        <v>34309.16940350279</v>
      </c>
      <c r="DF303" s="716">
        <v>7.9552883469409608</v>
      </c>
      <c r="DG303" s="717">
        <v>20319.661246878495</v>
      </c>
      <c r="DH303" s="718">
        <v>140039.94118339557</v>
      </c>
      <c r="DI303" s="718">
        <v>333604.20739560644</v>
      </c>
      <c r="DJ303" s="693">
        <v>285213.14084255375</v>
      </c>
      <c r="DK303" s="724"/>
      <c r="DL303" s="5"/>
      <c r="DM303" s="306">
        <v>4.712047123641339</v>
      </c>
      <c r="DN303" s="306"/>
      <c r="DO303" s="306">
        <v>4.1965383325561358</v>
      </c>
      <c r="DP303" s="719">
        <v>12026.840596497208</v>
      </c>
      <c r="DQ303" s="720">
        <v>1873.334711653059</v>
      </c>
      <c r="DR303" s="650">
        <v>13900.175308150267</v>
      </c>
      <c r="DS303" s="94">
        <v>13900.17530815027</v>
      </c>
      <c r="DT303" s="719">
        <v>12026.73</v>
      </c>
      <c r="DU303" s="725">
        <v>1881.29</v>
      </c>
      <c r="DV303" s="93">
        <v>13908.02</v>
      </c>
      <c r="DW303" s="95">
        <v>14019.889736641517</v>
      </c>
      <c r="DX303" s="28">
        <v>-111.86973664151628</v>
      </c>
      <c r="EA303" s="5">
        <v>8123.3180588095047</v>
      </c>
      <c r="EB303" s="5">
        <v>8379.3531073845897</v>
      </c>
      <c r="EE303" s="722">
        <v>67722.825595442584</v>
      </c>
      <c r="EG303" s="42" t="s">
        <v>301</v>
      </c>
    </row>
    <row r="304" spans="1:137" x14ac:dyDescent="0.3">
      <c r="A304" s="325">
        <v>150000811</v>
      </c>
      <c r="B304" s="41" t="s">
        <v>777</v>
      </c>
      <c r="C304" s="42" t="s">
        <v>302</v>
      </c>
      <c r="D304" s="27">
        <v>5</v>
      </c>
      <c r="E304" s="709">
        <v>2604</v>
      </c>
      <c r="F304" s="723">
        <v>2562</v>
      </c>
      <c r="G304" s="28"/>
      <c r="H304" s="651">
        <v>42</v>
      </c>
      <c r="I304" s="39">
        <v>1527.9701902401994</v>
      </c>
      <c r="J304" s="39">
        <v>1645.0617889970424</v>
      </c>
      <c r="K304" s="52">
        <v>117.09159875684304</v>
      </c>
      <c r="L304" s="39">
        <v>257.97213829947151</v>
      </c>
      <c r="M304" s="39">
        <v>280.30002636634526</v>
      </c>
      <c r="N304" s="52">
        <v>22.327888066873754</v>
      </c>
      <c r="O304" s="39">
        <v>591.82000000000005</v>
      </c>
      <c r="P304" s="39">
        <v>591.88</v>
      </c>
      <c r="Q304" s="52">
        <v>5.999999999994543E-2</v>
      </c>
      <c r="R304" s="39">
        <v>0</v>
      </c>
      <c r="S304" s="39">
        <v>0</v>
      </c>
      <c r="T304" s="52">
        <v>0</v>
      </c>
      <c r="U304" s="39">
        <v>0</v>
      </c>
      <c r="V304" s="39">
        <v>0</v>
      </c>
      <c r="W304" s="52">
        <v>0</v>
      </c>
      <c r="X304" s="39">
        <v>865.48589964102246</v>
      </c>
      <c r="Y304" s="39">
        <v>531.86943502249392</v>
      </c>
      <c r="Z304" s="52">
        <v>-333.61646461852854</v>
      </c>
      <c r="AA304" s="39">
        <v>0</v>
      </c>
      <c r="AB304" s="39">
        <v>0</v>
      </c>
      <c r="AC304" s="52">
        <v>0</v>
      </c>
      <c r="AD304" s="39">
        <v>1855.7108854105468</v>
      </c>
      <c r="AE304" s="39">
        <v>1557.1573489373498</v>
      </c>
      <c r="AF304" s="35">
        <v>-298.55353647319703</v>
      </c>
      <c r="AG304" s="77">
        <v>5098.9591135912397</v>
      </c>
      <c r="AH304" s="53">
        <v>4606.2685993232308</v>
      </c>
      <c r="AI304" s="52">
        <v>-492.69051426800888</v>
      </c>
      <c r="AJ304" s="39">
        <v>0</v>
      </c>
      <c r="AK304" s="39">
        <v>0</v>
      </c>
      <c r="AL304" s="52">
        <v>0</v>
      </c>
      <c r="AM304" s="39">
        <v>0</v>
      </c>
      <c r="AN304" s="39">
        <v>0</v>
      </c>
      <c r="AO304" s="52">
        <v>0</v>
      </c>
      <c r="AP304" s="39">
        <v>1396.8510232681333</v>
      </c>
      <c r="AQ304" s="39">
        <v>0</v>
      </c>
      <c r="AR304" s="52">
        <v>-1396.8510232681333</v>
      </c>
      <c r="AS304" s="39">
        <v>6453.5226305070473</v>
      </c>
      <c r="AT304" s="39">
        <v>76.942433624266044</v>
      </c>
      <c r="AU304" s="54">
        <v>-6376.5801968827809</v>
      </c>
      <c r="AV304" s="39">
        <v>244.26238760946541</v>
      </c>
      <c r="AW304" s="39">
        <v>0</v>
      </c>
      <c r="AX304" s="55">
        <v>-244.26238760946541</v>
      </c>
      <c r="AY304" s="39">
        <v>332.47939196456838</v>
      </c>
      <c r="AZ304" s="39">
        <v>0</v>
      </c>
      <c r="BA304" s="35">
        <v>-332.47939196456838</v>
      </c>
      <c r="BB304" s="39">
        <v>328.85794079324251</v>
      </c>
      <c r="BC304" s="39">
        <v>0</v>
      </c>
      <c r="BD304" s="55">
        <v>-328.85794079324251</v>
      </c>
      <c r="BE304" s="39">
        <v>0</v>
      </c>
      <c r="BF304" s="39">
        <v>0</v>
      </c>
      <c r="BG304" s="38">
        <v>0</v>
      </c>
      <c r="BH304" s="39">
        <v>0</v>
      </c>
      <c r="BI304" s="39">
        <v>0</v>
      </c>
      <c r="BJ304" s="55">
        <v>0</v>
      </c>
      <c r="BK304" s="39">
        <v>117.73258216618191</v>
      </c>
      <c r="BL304" s="39">
        <v>0</v>
      </c>
      <c r="BM304" s="38">
        <v>-117.73258216618191</v>
      </c>
      <c r="BN304" s="39">
        <v>0</v>
      </c>
      <c r="BO304" s="39">
        <v>0</v>
      </c>
      <c r="BP304" s="55">
        <v>0</v>
      </c>
      <c r="BQ304" s="77">
        <v>1023.3323025334582</v>
      </c>
      <c r="BR304" s="40">
        <v>0</v>
      </c>
      <c r="BS304" s="55">
        <v>-1023.3323025334582</v>
      </c>
      <c r="BT304" s="39">
        <v>5030.6533181889426</v>
      </c>
      <c r="BU304" s="39">
        <v>1529.5201651364066</v>
      </c>
      <c r="BV304" s="52">
        <v>-3501.1331530525358</v>
      </c>
      <c r="BW304" s="39">
        <v>2309.3059932151023</v>
      </c>
      <c r="BX304" s="39">
        <v>2051.5379143930522</v>
      </c>
      <c r="BY304" s="52">
        <v>-257.76807882205003</v>
      </c>
      <c r="BZ304" s="39">
        <v>2452.0398704679046</v>
      </c>
      <c r="CA304" s="39">
        <v>6214.8962239061784</v>
      </c>
      <c r="CB304" s="52">
        <v>3762.8563534382738</v>
      </c>
      <c r="CC304" s="39">
        <v>227.31543016977125</v>
      </c>
      <c r="CD304" s="39">
        <v>224.26301210702502</v>
      </c>
      <c r="CE304" s="52">
        <v>-3.0524180627462272</v>
      </c>
      <c r="CF304" s="39">
        <v>27.983907123172603</v>
      </c>
      <c r="CG304" s="39">
        <v>0</v>
      </c>
      <c r="CH304" s="52">
        <v>-27.983907123172603</v>
      </c>
      <c r="CI304" s="39">
        <v>461.69895437073933</v>
      </c>
      <c r="CJ304" s="39">
        <v>712.46208390060428</v>
      </c>
      <c r="CK304" s="52">
        <v>250.76312952986495</v>
      </c>
      <c r="CL304" s="39">
        <v>0</v>
      </c>
      <c r="CM304" s="39">
        <v>0</v>
      </c>
      <c r="CN304" s="52">
        <v>0</v>
      </c>
      <c r="CO304" s="39">
        <v>461.69895437073933</v>
      </c>
      <c r="CP304" s="40">
        <v>712.46208390060428</v>
      </c>
      <c r="CQ304" s="52">
        <v>250.76312952986495</v>
      </c>
      <c r="CR304" s="72">
        <v>24481.662543435512</v>
      </c>
      <c r="CS304" s="5">
        <v>15415.890432390763</v>
      </c>
      <c r="CT304" s="52">
        <v>-9065.7721110447492</v>
      </c>
      <c r="CU304" s="77">
        <v>29377.995052122613</v>
      </c>
      <c r="CV304" s="65">
        <v>18499.068518868913</v>
      </c>
      <c r="CW304" s="35">
        <v>-10878.9265332537</v>
      </c>
      <c r="CX304" s="39">
        <v>293.77995052122611</v>
      </c>
      <c r="CY304" s="39">
        <v>11172.706483774926</v>
      </c>
      <c r="CZ304" s="52">
        <v>10878.9265332537</v>
      </c>
      <c r="DA304" s="150">
        <v>74233.097816462236</v>
      </c>
      <c r="DB304" s="2">
        <v>2</v>
      </c>
      <c r="DC304" s="713">
        <v>32895.449999999997</v>
      </c>
      <c r="DD304" s="714">
        <v>9866.9599999999991</v>
      </c>
      <c r="DE304" s="715">
        <v>18276.279403023778</v>
      </c>
      <c r="DF304" s="716">
        <v>9650.2430956542958</v>
      </c>
      <c r="DG304" s="717">
        <v>-23065.847281157294</v>
      </c>
      <c r="DH304" s="718">
        <v>141883.44544784247</v>
      </c>
      <c r="DI304" s="718">
        <v>356061.30003172607</v>
      </c>
      <c r="DJ304" s="693">
        <v>302516.83638575522</v>
      </c>
      <c r="DK304" s="724"/>
      <c r="DL304" s="5"/>
      <c r="DM304" s="306">
        <v>5.7061555803966506</v>
      </c>
      <c r="DN304" s="306"/>
      <c r="DO304" s="306">
        <v>5.1599262939453032</v>
      </c>
      <c r="DP304" s="719">
        <v>14619.170596976219</v>
      </c>
      <c r="DQ304" s="720">
        <v>216.71690434570274</v>
      </c>
      <c r="DR304" s="650">
        <v>14835.887501321922</v>
      </c>
      <c r="DS304" s="94">
        <v>14835.887501321919</v>
      </c>
      <c r="DT304" s="719">
        <v>14619.36</v>
      </c>
      <c r="DU304" s="725">
        <v>279.67</v>
      </c>
      <c r="DV304" s="93">
        <v>14899.03</v>
      </c>
      <c r="DW304" s="95">
        <v>14865.265496374042</v>
      </c>
      <c r="DX304" s="28">
        <v>33.764503625958241</v>
      </c>
      <c r="EA304" s="5">
        <v>8972.2259196486066</v>
      </c>
      <c r="EB304" s="5">
        <v>92.330920349119253</v>
      </c>
      <c r="EE304" s="722">
        <v>77442.271566084572</v>
      </c>
      <c r="EG304" s="42" t="s">
        <v>302</v>
      </c>
    </row>
    <row r="305" spans="1:137" x14ac:dyDescent="0.3">
      <c r="A305" s="325">
        <v>150000812</v>
      </c>
      <c r="B305" s="41" t="s">
        <v>778</v>
      </c>
      <c r="C305" s="42" t="s">
        <v>303</v>
      </c>
      <c r="D305" s="27">
        <v>5</v>
      </c>
      <c r="E305" s="709">
        <v>2780.9</v>
      </c>
      <c r="F305" s="723">
        <v>2295.3000000000002</v>
      </c>
      <c r="G305" s="28"/>
      <c r="H305" s="651">
        <v>485.6</v>
      </c>
      <c r="I305" s="39">
        <v>996.60073422847427</v>
      </c>
      <c r="J305" s="39">
        <v>1076.5522431870413</v>
      </c>
      <c r="K305" s="52">
        <v>79.951508958567047</v>
      </c>
      <c r="L305" s="39">
        <v>193.86131937975091</v>
      </c>
      <c r="M305" s="39">
        <v>210.64029891915564</v>
      </c>
      <c r="N305" s="52">
        <v>16.77897953940473</v>
      </c>
      <c r="O305" s="39">
        <v>695.34</v>
      </c>
      <c r="P305" s="39">
        <v>695.26</v>
      </c>
      <c r="Q305" s="52">
        <v>-8.0000000000040927E-2</v>
      </c>
      <c r="R305" s="39">
        <v>0</v>
      </c>
      <c r="S305" s="39">
        <v>0</v>
      </c>
      <c r="T305" s="52">
        <v>0</v>
      </c>
      <c r="U305" s="39">
        <v>0</v>
      </c>
      <c r="V305" s="39">
        <v>0</v>
      </c>
      <c r="W305" s="52">
        <v>0</v>
      </c>
      <c r="X305" s="39">
        <v>831.23592650068872</v>
      </c>
      <c r="Y305" s="39">
        <v>515.06175643866891</v>
      </c>
      <c r="Z305" s="52">
        <v>-316.17417006201981</v>
      </c>
      <c r="AA305" s="39">
        <v>0</v>
      </c>
      <c r="AB305" s="39">
        <v>0</v>
      </c>
      <c r="AC305" s="52">
        <v>0</v>
      </c>
      <c r="AD305" s="39">
        <v>1981.7766517811788</v>
      </c>
      <c r="AE305" s="39">
        <v>1662.9411949538694</v>
      </c>
      <c r="AF305" s="35">
        <v>-318.83545682730937</v>
      </c>
      <c r="AG305" s="77">
        <v>4698.8146318900926</v>
      </c>
      <c r="AH305" s="53">
        <v>4160.4554934987354</v>
      </c>
      <c r="AI305" s="52">
        <v>-538.35913839135719</v>
      </c>
      <c r="AJ305" s="39">
        <v>0</v>
      </c>
      <c r="AK305" s="39">
        <v>0</v>
      </c>
      <c r="AL305" s="52">
        <v>0</v>
      </c>
      <c r="AM305" s="39">
        <v>0</v>
      </c>
      <c r="AN305" s="39">
        <v>0</v>
      </c>
      <c r="AO305" s="52">
        <v>0</v>
      </c>
      <c r="AP305" s="39">
        <v>205.18715596029077</v>
      </c>
      <c r="AQ305" s="39">
        <v>0</v>
      </c>
      <c r="AR305" s="52">
        <v>-205.18715596029077</v>
      </c>
      <c r="AS305" s="39">
        <v>4542.4450879451815</v>
      </c>
      <c r="AT305" s="39">
        <v>6573</v>
      </c>
      <c r="AU305" s="54">
        <v>2030.5549120548185</v>
      </c>
      <c r="AV305" s="39">
        <v>179.91919703832136</v>
      </c>
      <c r="AW305" s="39">
        <v>0</v>
      </c>
      <c r="AX305" s="55">
        <v>-179.91919703832136</v>
      </c>
      <c r="AY305" s="39">
        <v>249.85481924163975</v>
      </c>
      <c r="AZ305" s="39">
        <v>0</v>
      </c>
      <c r="BA305" s="35">
        <v>-249.85481924163975</v>
      </c>
      <c r="BB305" s="39">
        <v>320.43261331890704</v>
      </c>
      <c r="BC305" s="39">
        <v>0</v>
      </c>
      <c r="BD305" s="55">
        <v>-320.43261331890704</v>
      </c>
      <c r="BE305" s="39">
        <v>0</v>
      </c>
      <c r="BF305" s="39">
        <v>0</v>
      </c>
      <c r="BG305" s="38">
        <v>0</v>
      </c>
      <c r="BH305" s="39">
        <v>0</v>
      </c>
      <c r="BI305" s="39">
        <v>0</v>
      </c>
      <c r="BJ305" s="55">
        <v>0</v>
      </c>
      <c r="BK305" s="39">
        <v>115.28343760292933</v>
      </c>
      <c r="BL305" s="39">
        <v>239</v>
      </c>
      <c r="BM305" s="38">
        <v>123.71656239707067</v>
      </c>
      <c r="BN305" s="39">
        <v>0</v>
      </c>
      <c r="BO305" s="39">
        <v>0</v>
      </c>
      <c r="BP305" s="55">
        <v>0</v>
      </c>
      <c r="BQ305" s="77">
        <v>865.4900672017975</v>
      </c>
      <c r="BR305" s="40">
        <v>239</v>
      </c>
      <c r="BS305" s="55">
        <v>-626.4900672017975</v>
      </c>
      <c r="BT305" s="39">
        <v>5394.9118923447586</v>
      </c>
      <c r="BU305" s="39">
        <v>1706.1393791368032</v>
      </c>
      <c r="BV305" s="52">
        <v>-3688.7725132079554</v>
      </c>
      <c r="BW305" s="39">
        <v>1996.0607229594841</v>
      </c>
      <c r="BX305" s="39">
        <v>1779.5409292801592</v>
      </c>
      <c r="BY305" s="52">
        <v>-216.51979367932495</v>
      </c>
      <c r="BZ305" s="39">
        <v>2762.4250228050273</v>
      </c>
      <c r="CA305" s="39">
        <v>6913.0322646340483</v>
      </c>
      <c r="CB305" s="52">
        <v>4150.6072418290205</v>
      </c>
      <c r="CC305" s="39">
        <v>0</v>
      </c>
      <c r="CD305" s="39">
        <v>0</v>
      </c>
      <c r="CE305" s="52">
        <v>0</v>
      </c>
      <c r="CF305" s="39">
        <v>0</v>
      </c>
      <c r="CG305" s="39">
        <v>0</v>
      </c>
      <c r="CH305" s="52">
        <v>0</v>
      </c>
      <c r="CI305" s="39">
        <v>973.31130921399097</v>
      </c>
      <c r="CJ305" s="39">
        <v>1215.9828213822179</v>
      </c>
      <c r="CK305" s="52">
        <v>242.67151216822697</v>
      </c>
      <c r="CL305" s="39">
        <v>0</v>
      </c>
      <c r="CM305" s="39">
        <v>0</v>
      </c>
      <c r="CN305" s="52">
        <v>0</v>
      </c>
      <c r="CO305" s="39">
        <v>973.31130921399097</v>
      </c>
      <c r="CP305" s="40">
        <v>1215.9828213822179</v>
      </c>
      <c r="CQ305" s="52">
        <v>242.67151216822697</v>
      </c>
      <c r="CR305" s="72">
        <v>21438.645890320622</v>
      </c>
      <c r="CS305" s="5">
        <v>22587.150887931966</v>
      </c>
      <c r="CT305" s="52">
        <v>1148.5049976113442</v>
      </c>
      <c r="CU305" s="77">
        <v>25726.375068384747</v>
      </c>
      <c r="CV305" s="65">
        <v>27104.58106551836</v>
      </c>
      <c r="CW305" s="35">
        <v>1378.205997133613</v>
      </c>
      <c r="CX305" s="39">
        <v>760.98</v>
      </c>
      <c r="CY305" s="39">
        <v>-617.22599713360614</v>
      </c>
      <c r="CZ305" s="52">
        <v>-1378.2059971336062</v>
      </c>
      <c r="DA305" s="150">
        <v>12292.562733795097</v>
      </c>
      <c r="DB305" s="2">
        <v>2</v>
      </c>
      <c r="DC305" s="713">
        <v>47444.9</v>
      </c>
      <c r="DD305" s="714">
        <v>2428.34</v>
      </c>
      <c r="DE305" s="715">
        <v>36618.747819240809</v>
      </c>
      <c r="DF305" s="716">
        <v>391.30464656681625</v>
      </c>
      <c r="DG305" s="717">
        <v>29678.87265234864</v>
      </c>
      <c r="DH305" s="718">
        <v>135847.81182449844</v>
      </c>
      <c r="DI305" s="718">
        <v>317848.26082061697</v>
      </c>
      <c r="DJ305" s="693">
        <v>272348.14857158734</v>
      </c>
      <c r="DK305" s="724"/>
      <c r="DL305" s="5"/>
      <c r="DM305" s="306">
        <v>4.716661081670888</v>
      </c>
      <c r="DN305" s="306"/>
      <c r="DO305" s="306">
        <v>4.1948833472676768</v>
      </c>
      <c r="DP305" s="719">
        <v>10826.152180759191</v>
      </c>
      <c r="DQ305" s="727">
        <v>2037.0353534331839</v>
      </c>
      <c r="DR305" s="650">
        <v>12863.187534192375</v>
      </c>
      <c r="DS305" s="94">
        <v>13624.167534192371</v>
      </c>
      <c r="DT305" s="719">
        <v>10827</v>
      </c>
      <c r="DU305" s="728">
        <v>2416.6799999999998</v>
      </c>
      <c r="DV305" s="93">
        <v>13243.68</v>
      </c>
      <c r="DW305" s="95">
        <v>12863.187534192373</v>
      </c>
      <c r="DX305" s="28">
        <v>380.49246580762701</v>
      </c>
      <c r="DY305" s="94"/>
      <c r="EA305" s="5">
        <v>6489.5221861763748</v>
      </c>
      <c r="EB305" s="5">
        <v>8174.4</v>
      </c>
      <c r="EE305" s="722">
        <v>54509.341055342178</v>
      </c>
      <c r="EG305" s="42" t="s">
        <v>303</v>
      </c>
    </row>
    <row r="306" spans="1:137" x14ac:dyDescent="0.3">
      <c r="A306" s="325">
        <v>150000828</v>
      </c>
      <c r="B306" s="41" t="s">
        <v>779</v>
      </c>
      <c r="C306" s="42" t="s">
        <v>304</v>
      </c>
      <c r="D306" s="27">
        <v>5</v>
      </c>
      <c r="E306" s="709">
        <v>2595.52</v>
      </c>
      <c r="F306" s="723">
        <v>2595.52</v>
      </c>
      <c r="G306" s="28"/>
      <c r="H306" s="651">
        <v>0</v>
      </c>
      <c r="I306" s="39">
        <v>1527.9701902401994</v>
      </c>
      <c r="J306" s="39">
        <v>1645.0383375250781</v>
      </c>
      <c r="K306" s="52">
        <v>117.06814728487871</v>
      </c>
      <c r="L306" s="39">
        <v>257.97213829947151</v>
      </c>
      <c r="M306" s="39">
        <v>280.30002636634526</v>
      </c>
      <c r="N306" s="52">
        <v>22.327888066873754</v>
      </c>
      <c r="O306" s="39">
        <v>591.1</v>
      </c>
      <c r="P306" s="39">
        <v>590.91999999999996</v>
      </c>
      <c r="Q306" s="52">
        <v>-0.18000000000006366</v>
      </c>
      <c r="R306" s="39">
        <v>0</v>
      </c>
      <c r="S306" s="39">
        <v>0</v>
      </c>
      <c r="T306" s="52">
        <v>0</v>
      </c>
      <c r="U306" s="39">
        <v>0</v>
      </c>
      <c r="V306" s="39">
        <v>0</v>
      </c>
      <c r="W306" s="52">
        <v>0</v>
      </c>
      <c r="X306" s="39">
        <v>851.86913729745174</v>
      </c>
      <c r="Y306" s="39">
        <v>527.26392097142764</v>
      </c>
      <c r="Z306" s="52">
        <v>-324.60521632602411</v>
      </c>
      <c r="AA306" s="39">
        <v>0</v>
      </c>
      <c r="AB306" s="39">
        <v>0</v>
      </c>
      <c r="AC306" s="52">
        <v>0</v>
      </c>
      <c r="AD306" s="39">
        <v>1849.6677101769517</v>
      </c>
      <c r="AE306" s="39">
        <v>1552.0864217795199</v>
      </c>
      <c r="AF306" s="35">
        <v>-297.58128839743176</v>
      </c>
      <c r="AG306" s="77">
        <v>5078.5791760140746</v>
      </c>
      <c r="AH306" s="53">
        <v>4595.6087066423706</v>
      </c>
      <c r="AI306" s="52">
        <v>-482.97046937170398</v>
      </c>
      <c r="AJ306" s="39">
        <v>0</v>
      </c>
      <c r="AK306" s="39">
        <v>0</v>
      </c>
      <c r="AL306" s="52">
        <v>0</v>
      </c>
      <c r="AM306" s="39">
        <v>0</v>
      </c>
      <c r="AN306" s="39">
        <v>0</v>
      </c>
      <c r="AO306" s="52">
        <v>0</v>
      </c>
      <c r="AP306" s="39">
        <v>1420.5264643404746</v>
      </c>
      <c r="AQ306" s="39">
        <v>0</v>
      </c>
      <c r="AR306" s="52">
        <v>-1420.5264643404746</v>
      </c>
      <c r="AS306" s="39">
        <v>6643.8248808251838</v>
      </c>
      <c r="AT306" s="39">
        <v>0</v>
      </c>
      <c r="AU306" s="54">
        <v>-6643.8248808251838</v>
      </c>
      <c r="AV306" s="39">
        <v>244.26238760946541</v>
      </c>
      <c r="AW306" s="39">
        <v>250</v>
      </c>
      <c r="AX306" s="55">
        <v>5.7376123905345935</v>
      </c>
      <c r="AY306" s="39">
        <v>332.47939196456838</v>
      </c>
      <c r="AZ306" s="39">
        <v>0</v>
      </c>
      <c r="BA306" s="35">
        <v>-332.47939196456838</v>
      </c>
      <c r="BB306" s="39">
        <v>328.55404111072403</v>
      </c>
      <c r="BC306" s="39">
        <v>0</v>
      </c>
      <c r="BD306" s="55">
        <v>-328.55404111072403</v>
      </c>
      <c r="BE306" s="39">
        <v>0</v>
      </c>
      <c r="BF306" s="39">
        <v>0</v>
      </c>
      <c r="BG306" s="38">
        <v>0</v>
      </c>
      <c r="BH306" s="39">
        <v>0</v>
      </c>
      <c r="BI306" s="39">
        <v>0</v>
      </c>
      <c r="BJ306" s="55">
        <v>0</v>
      </c>
      <c r="BK306" s="39">
        <v>117.7325992495455</v>
      </c>
      <c r="BL306" s="39">
        <v>0</v>
      </c>
      <c r="BM306" s="38">
        <v>-117.7325992495455</v>
      </c>
      <c r="BN306" s="39">
        <v>0</v>
      </c>
      <c r="BO306" s="39">
        <v>0</v>
      </c>
      <c r="BP306" s="55">
        <v>0</v>
      </c>
      <c r="BQ306" s="77">
        <v>1023.0284199343033</v>
      </c>
      <c r="BR306" s="40">
        <v>250</v>
      </c>
      <c r="BS306" s="55">
        <v>-773.02841993430332</v>
      </c>
      <c r="BT306" s="39">
        <v>4013.7361343205798</v>
      </c>
      <c r="BU306" s="39">
        <v>801.70332606832972</v>
      </c>
      <c r="BV306" s="52">
        <v>-3212.0328082522501</v>
      </c>
      <c r="BW306" s="39">
        <v>2355.6251779567428</v>
      </c>
      <c r="BX306" s="39">
        <v>1593.7667239936827</v>
      </c>
      <c r="BY306" s="52">
        <v>-761.85845396306013</v>
      </c>
      <c r="BZ306" s="39">
        <v>2128.3855567122505</v>
      </c>
      <c r="CA306" s="39">
        <v>4476.1147164280837</v>
      </c>
      <c r="CB306" s="52">
        <v>2347.7291597158332</v>
      </c>
      <c r="CC306" s="39">
        <v>274.46487609111824</v>
      </c>
      <c r="CD306" s="39">
        <v>270.77932977891135</v>
      </c>
      <c r="CE306" s="52">
        <v>-3.6855463122068954</v>
      </c>
      <c r="CF306" s="39">
        <v>33.788289670308124</v>
      </c>
      <c r="CG306" s="39">
        <v>0</v>
      </c>
      <c r="CH306" s="52">
        <v>-33.788289670308124</v>
      </c>
      <c r="CI306" s="39">
        <v>745.58141955815336</v>
      </c>
      <c r="CJ306" s="39">
        <v>588.39861981632828</v>
      </c>
      <c r="CK306" s="52">
        <v>-157.18279974182508</v>
      </c>
      <c r="CL306" s="39">
        <v>0</v>
      </c>
      <c r="CM306" s="39">
        <v>0</v>
      </c>
      <c r="CN306" s="52">
        <v>0</v>
      </c>
      <c r="CO306" s="39">
        <v>745.58141955815336</v>
      </c>
      <c r="CP306" s="40">
        <v>588.39861981632828</v>
      </c>
      <c r="CQ306" s="52">
        <v>-157.18279974182508</v>
      </c>
      <c r="CR306" s="72">
        <v>23717.540395423195</v>
      </c>
      <c r="CS306" s="5">
        <v>12576.371422727707</v>
      </c>
      <c r="CT306" s="52">
        <v>-11141.168972695488</v>
      </c>
      <c r="CU306" s="77">
        <v>28461.048474507832</v>
      </c>
      <c r="CV306" s="65">
        <v>15091.645707273248</v>
      </c>
      <c r="CW306" s="35">
        <v>-13369.402767234584</v>
      </c>
      <c r="CX306" s="39">
        <v>569.22096949015668</v>
      </c>
      <c r="CY306" s="39">
        <v>13938.623736724741</v>
      </c>
      <c r="CZ306" s="52">
        <v>13369.402767234584</v>
      </c>
      <c r="DA306" s="150">
        <v>-17180.040771685184</v>
      </c>
      <c r="DB306" s="2">
        <v>2</v>
      </c>
      <c r="DC306" s="713">
        <v>35831.93</v>
      </c>
      <c r="DD306" s="714"/>
      <c r="DE306" s="715">
        <v>21316.795278001002</v>
      </c>
      <c r="DF306" s="716">
        <v>0</v>
      </c>
      <c r="DG306" s="717">
        <v>-55307.903528451796</v>
      </c>
      <c r="DH306" s="718">
        <v>140314.95385670435</v>
      </c>
      <c r="DI306" s="718">
        <v>348363.23332797585</v>
      </c>
      <c r="DJ306" s="693">
        <v>296351.16346015799</v>
      </c>
      <c r="DK306" s="724"/>
      <c r="DL306" s="5"/>
      <c r="DM306" s="306">
        <v>5.5923802251568073</v>
      </c>
      <c r="DN306" s="306"/>
      <c r="DO306" s="306">
        <v>5.0369452414504492</v>
      </c>
      <c r="DP306" s="719">
        <v>14515.134721998997</v>
      </c>
      <c r="DQ306" s="720">
        <v>0</v>
      </c>
      <c r="DR306" s="650">
        <v>14515.134721998997</v>
      </c>
      <c r="DS306" s="94">
        <v>14515.134721998993</v>
      </c>
      <c r="DT306" s="719">
        <v>14515.18</v>
      </c>
      <c r="DU306" s="721"/>
      <c r="DV306" s="93">
        <v>14515.18</v>
      </c>
      <c r="DW306" s="95">
        <v>14572.056818948011</v>
      </c>
      <c r="DX306" s="28">
        <v>-56.876818948010623</v>
      </c>
      <c r="EA306" s="5">
        <v>9200.223960911384</v>
      </c>
      <c r="EB306" s="5">
        <v>300</v>
      </c>
      <c r="EE306" s="722">
        <v>79725.898569902201</v>
      </c>
      <c r="EG306" s="42" t="s">
        <v>304</v>
      </c>
    </row>
    <row r="307" spans="1:137" x14ac:dyDescent="0.3">
      <c r="A307" s="325">
        <v>150000813</v>
      </c>
      <c r="B307" s="41" t="s">
        <v>780</v>
      </c>
      <c r="C307" s="42" t="s">
        <v>189</v>
      </c>
      <c r="D307" s="27">
        <v>2</v>
      </c>
      <c r="E307" s="709">
        <v>373.3</v>
      </c>
      <c r="F307" s="723">
        <v>373.3</v>
      </c>
      <c r="G307" s="28"/>
      <c r="H307" s="651">
        <v>0</v>
      </c>
      <c r="I307" s="39">
        <v>163.84144553351629</v>
      </c>
      <c r="J307" s="39">
        <v>156.10622748852467</v>
      </c>
      <c r="K307" s="52">
        <v>-7.7352180449916261</v>
      </c>
      <c r="L307" s="39">
        <v>56.910806598491305</v>
      </c>
      <c r="M307" s="39">
        <v>49.250402544107054</v>
      </c>
      <c r="N307" s="52">
        <v>-7.6604040543842515</v>
      </c>
      <c r="O307" s="39">
        <v>0</v>
      </c>
      <c r="P307" s="39">
        <v>0</v>
      </c>
      <c r="Q307" s="52">
        <v>0</v>
      </c>
      <c r="R307" s="39">
        <v>0</v>
      </c>
      <c r="S307" s="39">
        <v>0</v>
      </c>
      <c r="T307" s="52">
        <v>0</v>
      </c>
      <c r="U307" s="39">
        <v>0</v>
      </c>
      <c r="V307" s="39">
        <v>0</v>
      </c>
      <c r="W307" s="52">
        <v>0</v>
      </c>
      <c r="X307" s="39">
        <v>95.007403249296928</v>
      </c>
      <c r="Y307" s="39">
        <v>65.34471864970206</v>
      </c>
      <c r="Z307" s="52">
        <v>-29.662684599594868</v>
      </c>
      <c r="AA307" s="39">
        <v>0</v>
      </c>
      <c r="AB307" s="39">
        <v>0</v>
      </c>
      <c r="AC307" s="52">
        <v>0</v>
      </c>
      <c r="AD307" s="39">
        <v>266.02798522417709</v>
      </c>
      <c r="AE307" s="39">
        <v>223.22843254927523</v>
      </c>
      <c r="AF307" s="35">
        <v>-42.799552674901861</v>
      </c>
      <c r="AG307" s="77">
        <v>581.78764060548156</v>
      </c>
      <c r="AH307" s="53">
        <v>493.92978123160901</v>
      </c>
      <c r="AI307" s="52">
        <v>-87.857859373872543</v>
      </c>
      <c r="AJ307" s="39">
        <v>0</v>
      </c>
      <c r="AK307" s="39">
        <v>0</v>
      </c>
      <c r="AL307" s="52">
        <v>0</v>
      </c>
      <c r="AM307" s="39">
        <v>0</v>
      </c>
      <c r="AN307" s="39">
        <v>0</v>
      </c>
      <c r="AO307" s="52">
        <v>0</v>
      </c>
      <c r="AP307" s="39">
        <v>63.134509526243313</v>
      </c>
      <c r="AQ307" s="39">
        <v>0</v>
      </c>
      <c r="AR307" s="52">
        <v>-63.134509526243313</v>
      </c>
      <c r="AS307" s="39">
        <v>788.01840163412226</v>
      </c>
      <c r="AT307" s="39">
        <v>0</v>
      </c>
      <c r="AU307" s="54">
        <v>-788.01840163412226</v>
      </c>
      <c r="AV307" s="39">
        <v>61.456808197748892</v>
      </c>
      <c r="AW307" s="39">
        <v>0</v>
      </c>
      <c r="AX307" s="55">
        <v>-61.456808197748892</v>
      </c>
      <c r="AY307" s="39">
        <v>73.340501382101692</v>
      </c>
      <c r="AZ307" s="39">
        <v>0</v>
      </c>
      <c r="BA307" s="35">
        <v>-73.340501382101692</v>
      </c>
      <c r="BB307" s="39">
        <v>0</v>
      </c>
      <c r="BC307" s="39">
        <v>0</v>
      </c>
      <c r="BD307" s="55">
        <v>0</v>
      </c>
      <c r="BE307" s="39">
        <v>0</v>
      </c>
      <c r="BF307" s="39">
        <v>0</v>
      </c>
      <c r="BG307" s="38">
        <v>0</v>
      </c>
      <c r="BH307" s="39">
        <v>0</v>
      </c>
      <c r="BI307" s="39">
        <v>0</v>
      </c>
      <c r="BJ307" s="55">
        <v>0</v>
      </c>
      <c r="BK307" s="39">
        <v>23.056621496874509</v>
      </c>
      <c r="BL307" s="39">
        <v>0</v>
      </c>
      <c r="BM307" s="38">
        <v>-23.056621496874509</v>
      </c>
      <c r="BN307" s="39">
        <v>0</v>
      </c>
      <c r="BO307" s="39">
        <v>0</v>
      </c>
      <c r="BP307" s="55">
        <v>0</v>
      </c>
      <c r="BQ307" s="77">
        <v>157.85393107672508</v>
      </c>
      <c r="BR307" s="40">
        <v>0</v>
      </c>
      <c r="BS307" s="55">
        <v>-157.85393107672508</v>
      </c>
      <c r="BT307" s="39">
        <v>526.64910919947442</v>
      </c>
      <c r="BU307" s="39">
        <v>157.36675946607539</v>
      </c>
      <c r="BV307" s="52">
        <v>-369.28234973339903</v>
      </c>
      <c r="BW307" s="39">
        <v>424.17744144478115</v>
      </c>
      <c r="BX307" s="39">
        <v>365.85755629103301</v>
      </c>
      <c r="BY307" s="52">
        <v>-58.319885153748146</v>
      </c>
      <c r="BZ307" s="39">
        <v>228.90279217000659</v>
      </c>
      <c r="CA307" s="39">
        <v>593.47872082519939</v>
      </c>
      <c r="CB307" s="52">
        <v>364.5759286551928</v>
      </c>
      <c r="CC307" s="39">
        <v>0</v>
      </c>
      <c r="CD307" s="39">
        <v>0</v>
      </c>
      <c r="CE307" s="52">
        <v>0</v>
      </c>
      <c r="CF307" s="39">
        <v>0</v>
      </c>
      <c r="CG307" s="39">
        <v>0</v>
      </c>
      <c r="CH307" s="52">
        <v>0</v>
      </c>
      <c r="CI307" s="39">
        <v>155.97937647660115</v>
      </c>
      <c r="CJ307" s="39">
        <v>98.515552050941977</v>
      </c>
      <c r="CK307" s="52">
        <v>-57.463824425659169</v>
      </c>
      <c r="CL307" s="39">
        <v>0</v>
      </c>
      <c r="CM307" s="39">
        <v>0</v>
      </c>
      <c r="CN307" s="52">
        <v>0</v>
      </c>
      <c r="CO307" s="39">
        <v>155.97937647660115</v>
      </c>
      <c r="CP307" s="40">
        <v>98.515552050941977</v>
      </c>
      <c r="CQ307" s="52">
        <v>-57.463824425659169</v>
      </c>
      <c r="CR307" s="72">
        <v>2926.5032021334355</v>
      </c>
      <c r="CS307" s="5">
        <v>1709.1483698648588</v>
      </c>
      <c r="CT307" s="52">
        <v>-1217.3548322685767</v>
      </c>
      <c r="CU307" s="77">
        <v>3511.8038425601226</v>
      </c>
      <c r="CV307" s="65">
        <v>2050.9780438378302</v>
      </c>
      <c r="CW307" s="35">
        <v>-1460.8257987222923</v>
      </c>
      <c r="CX307" s="39">
        <v>52.677057638401834</v>
      </c>
      <c r="CY307" s="39">
        <v>1513.5028563606941</v>
      </c>
      <c r="CZ307" s="52">
        <v>1460.8257987222923</v>
      </c>
      <c r="DA307" s="150">
        <v>-6070.7237331564138</v>
      </c>
      <c r="DB307" s="2">
        <v>3</v>
      </c>
      <c r="DC307" s="713">
        <v>3043.71</v>
      </c>
      <c r="DD307" s="714"/>
      <c r="DE307" s="715">
        <v>1261.4695499007378</v>
      </c>
      <c r="DF307" s="716">
        <v>0</v>
      </c>
      <c r="DG307" s="717">
        <v>-1126.6484421175778</v>
      </c>
      <c r="DH307" s="718">
        <v>17098.944475109267</v>
      </c>
      <c r="DI307" s="718">
        <v>42773.770802382292</v>
      </c>
      <c r="DJ307" s="693">
        <v>36355.064220564032</v>
      </c>
      <c r="DK307" s="724"/>
      <c r="DL307" s="5"/>
      <c r="DM307" s="306">
        <v>4.7742846238930143</v>
      </c>
      <c r="DN307" s="306"/>
      <c r="DO307" s="306">
        <v>4.0822833867114667</v>
      </c>
      <c r="DP307" s="719">
        <v>1782.2404500992623</v>
      </c>
      <c r="DQ307" s="720">
        <v>0</v>
      </c>
      <c r="DR307" s="650">
        <v>1782.2404500992623</v>
      </c>
      <c r="DS307" s="94">
        <v>1782.2404500992623</v>
      </c>
      <c r="DT307" s="719">
        <v>1788.47</v>
      </c>
      <c r="DU307" s="721"/>
      <c r="DV307" s="93">
        <v>1788.47</v>
      </c>
      <c r="DW307" s="95">
        <v>1787.5081558631025</v>
      </c>
      <c r="DX307" s="28">
        <v>0.96184413689752546</v>
      </c>
      <c r="EA307" s="5">
        <v>1135.0467992530168</v>
      </c>
      <c r="EB307" s="5">
        <v>0</v>
      </c>
      <c r="EE307" s="722">
        <v>9456.2208196094671</v>
      </c>
      <c r="EG307" s="42" t="s">
        <v>189</v>
      </c>
    </row>
    <row r="308" spans="1:137" x14ac:dyDescent="0.3">
      <c r="A308" s="325">
        <v>150000814</v>
      </c>
      <c r="B308" s="41" t="s">
        <v>781</v>
      </c>
      <c r="C308" s="42" t="s">
        <v>305</v>
      </c>
      <c r="D308" s="27">
        <v>5</v>
      </c>
      <c r="E308" s="709">
        <v>3235</v>
      </c>
      <c r="F308" s="723">
        <v>2559.3000000000002</v>
      </c>
      <c r="G308" s="28"/>
      <c r="H308" s="651">
        <v>675.7</v>
      </c>
      <c r="I308" s="39">
        <v>1766.5345354470705</v>
      </c>
      <c r="J308" s="39">
        <v>1904.6560038238113</v>
      </c>
      <c r="K308" s="52">
        <v>138.12146837674072</v>
      </c>
      <c r="L308" s="39">
        <v>366.66488271525043</v>
      </c>
      <c r="M308" s="39">
        <v>398.40005659219582</v>
      </c>
      <c r="N308" s="52">
        <v>31.735173876945396</v>
      </c>
      <c r="O308" s="39">
        <v>638.74</v>
      </c>
      <c r="P308" s="39">
        <v>638.94000000000005</v>
      </c>
      <c r="Q308" s="52">
        <v>0.20000000000004547</v>
      </c>
      <c r="R308" s="39">
        <v>0</v>
      </c>
      <c r="S308" s="39">
        <v>0</v>
      </c>
      <c r="T308" s="52">
        <v>0</v>
      </c>
      <c r="U308" s="39">
        <v>0</v>
      </c>
      <c r="V308" s="39">
        <v>0</v>
      </c>
      <c r="W308" s="52">
        <v>0</v>
      </c>
      <c r="X308" s="39">
        <v>1104.3597692297192</v>
      </c>
      <c r="Y308" s="39">
        <v>685.97026197644368</v>
      </c>
      <c r="Z308" s="52">
        <v>-418.3895072532755</v>
      </c>
      <c r="AA308" s="39">
        <v>0</v>
      </c>
      <c r="AB308" s="39">
        <v>0</v>
      </c>
      <c r="AC308" s="52">
        <v>0</v>
      </c>
      <c r="AD308" s="39">
        <v>2305.3858349858365</v>
      </c>
      <c r="AE308" s="39">
        <v>1934.486952308881</v>
      </c>
      <c r="AF308" s="35">
        <v>-370.89888267695551</v>
      </c>
      <c r="AG308" s="77">
        <v>6181.6850223778765</v>
      </c>
      <c r="AH308" s="53">
        <v>5562.4532747013318</v>
      </c>
      <c r="AI308" s="52">
        <v>-619.23174767654473</v>
      </c>
      <c r="AJ308" s="39">
        <v>0</v>
      </c>
      <c r="AK308" s="39">
        <v>0</v>
      </c>
      <c r="AL308" s="52">
        <v>0</v>
      </c>
      <c r="AM308" s="39">
        <v>0</v>
      </c>
      <c r="AN308" s="39">
        <v>0</v>
      </c>
      <c r="AO308" s="52">
        <v>0</v>
      </c>
      <c r="AP308" s="39">
        <v>1515.2282286298396</v>
      </c>
      <c r="AQ308" s="39">
        <v>0</v>
      </c>
      <c r="AR308" s="52">
        <v>-1515.2282286298396</v>
      </c>
      <c r="AS308" s="39">
        <v>5174.5732964202189</v>
      </c>
      <c r="AT308" s="39">
        <v>34.624095130919713</v>
      </c>
      <c r="AU308" s="54">
        <v>-5139.9492012892988</v>
      </c>
      <c r="AV308" s="39">
        <v>288.77331075072891</v>
      </c>
      <c r="AW308" s="39">
        <v>253</v>
      </c>
      <c r="AX308" s="55">
        <v>-35.773310750728911</v>
      </c>
      <c r="AY308" s="39">
        <v>472.58567621981564</v>
      </c>
      <c r="AZ308" s="39">
        <v>2745</v>
      </c>
      <c r="BA308" s="35">
        <v>2272.4143237801845</v>
      </c>
      <c r="BB308" s="39">
        <v>315.4105094807349</v>
      </c>
      <c r="BC308" s="39">
        <v>0</v>
      </c>
      <c r="BD308" s="55">
        <v>-315.4105094807349</v>
      </c>
      <c r="BE308" s="39">
        <v>0</v>
      </c>
      <c r="BF308" s="39">
        <v>0</v>
      </c>
      <c r="BG308" s="38">
        <v>0</v>
      </c>
      <c r="BH308" s="39">
        <v>0</v>
      </c>
      <c r="BI308" s="39">
        <v>0</v>
      </c>
      <c r="BJ308" s="55">
        <v>0</v>
      </c>
      <c r="BK308" s="39">
        <v>156.35955570117008</v>
      </c>
      <c r="BL308" s="39">
        <v>0</v>
      </c>
      <c r="BM308" s="38">
        <v>-156.35955570117008</v>
      </c>
      <c r="BN308" s="39">
        <v>0</v>
      </c>
      <c r="BO308" s="39">
        <v>0</v>
      </c>
      <c r="BP308" s="55">
        <v>0</v>
      </c>
      <c r="BQ308" s="77">
        <v>1233.1290521524495</v>
      </c>
      <c r="BR308" s="40">
        <v>2998</v>
      </c>
      <c r="BS308" s="55">
        <v>1764.8709478475505</v>
      </c>
      <c r="BT308" s="39">
        <v>5860.4790640931706</v>
      </c>
      <c r="BU308" s="39">
        <v>1229.1242711620264</v>
      </c>
      <c r="BV308" s="52">
        <v>-4631.3547929311444</v>
      </c>
      <c r="BW308" s="39">
        <v>2169.4588307578529</v>
      </c>
      <c r="BX308" s="39">
        <v>1661.7804107490451</v>
      </c>
      <c r="BY308" s="52">
        <v>-507.67842000880773</v>
      </c>
      <c r="BZ308" s="39">
        <v>2290.632727529046</v>
      </c>
      <c r="CA308" s="39">
        <v>6320.8443230741923</v>
      </c>
      <c r="CB308" s="52">
        <v>4030.2115955451463</v>
      </c>
      <c r="CC308" s="39">
        <v>6.1277612187236166</v>
      </c>
      <c r="CD308" s="39">
        <v>6.0454769276209026</v>
      </c>
      <c r="CE308" s="52">
        <v>-8.2284291102713958E-2</v>
      </c>
      <c r="CF308" s="39">
        <v>0.75436454397165731</v>
      </c>
      <c r="CG308" s="39">
        <v>0</v>
      </c>
      <c r="CH308" s="52">
        <v>-0.75436454397165731</v>
      </c>
      <c r="CI308" s="39">
        <v>1023.2247096865035</v>
      </c>
      <c r="CJ308" s="39">
        <v>885.12304754490356</v>
      </c>
      <c r="CK308" s="52">
        <v>-138.10166214159995</v>
      </c>
      <c r="CL308" s="39">
        <v>0</v>
      </c>
      <c r="CM308" s="39">
        <v>0</v>
      </c>
      <c r="CN308" s="52">
        <v>0</v>
      </c>
      <c r="CO308" s="39">
        <v>1023.2247096865035</v>
      </c>
      <c r="CP308" s="40">
        <v>885.12304754490356</v>
      </c>
      <c r="CQ308" s="52">
        <v>-138.10166214159995</v>
      </c>
      <c r="CR308" s="72">
        <v>25455.293057409654</v>
      </c>
      <c r="CS308" s="5">
        <v>18697.994899290043</v>
      </c>
      <c r="CT308" s="52">
        <v>-6757.2981581196109</v>
      </c>
      <c r="CU308" s="77">
        <v>30546.351668891584</v>
      </c>
      <c r="CV308" s="65">
        <v>22437.593879148051</v>
      </c>
      <c r="CW308" s="35">
        <v>-8108.7577897435331</v>
      </c>
      <c r="CX308" s="39">
        <v>3227.34</v>
      </c>
      <c r="CY308" s="39">
        <v>11336.097789743535</v>
      </c>
      <c r="CZ308" s="52">
        <v>8108.7577897435349</v>
      </c>
      <c r="DA308" s="150">
        <v>34102.996953267735</v>
      </c>
      <c r="DB308" s="2">
        <v>2</v>
      </c>
      <c r="DC308" s="713">
        <v>33326.19</v>
      </c>
      <c r="DD308" s="714">
        <v>3796.74</v>
      </c>
      <c r="DE308" s="715">
        <v>20971.265452159823</v>
      </c>
      <c r="DF308" s="716">
        <v>878.48871339438165</v>
      </c>
      <c r="DG308" s="717">
        <v>5108.9661389292196</v>
      </c>
      <c r="DH308" s="718">
        <v>146847.44451226902</v>
      </c>
      <c r="DI308" s="718">
        <v>405284.30002669897</v>
      </c>
      <c r="DJ308" s="693">
        <v>340675.08614809148</v>
      </c>
      <c r="DK308" s="724"/>
      <c r="DL308" s="5"/>
      <c r="DM308" s="306">
        <v>4.8274624107530091</v>
      </c>
      <c r="DN308" s="306"/>
      <c r="DO308" s="306">
        <v>4.3188564253450021</v>
      </c>
      <c r="DP308" s="719">
        <v>12354.924547840177</v>
      </c>
      <c r="DQ308" s="727">
        <v>2918.2512866056181</v>
      </c>
      <c r="DR308" s="650">
        <v>15273.175834445796</v>
      </c>
      <c r="DS308" s="94">
        <v>18500.515834445785</v>
      </c>
      <c r="DT308" s="719">
        <v>12355.03</v>
      </c>
      <c r="DU308" s="728">
        <v>4531.82</v>
      </c>
      <c r="DV308" s="93">
        <v>16886.849999999999</v>
      </c>
      <c r="DW308" s="95">
        <v>15273.175834445792</v>
      </c>
      <c r="DX308" s="28">
        <v>1613.6741655542064</v>
      </c>
      <c r="DY308" s="94"/>
      <c r="EA308" s="5">
        <v>7689.2428182872018</v>
      </c>
      <c r="EB308" s="5">
        <v>3639.1489141571033</v>
      </c>
      <c r="EE308" s="722">
        <v>62094.87955704263</v>
      </c>
      <c r="EG308" s="42" t="s">
        <v>305</v>
      </c>
    </row>
    <row r="309" spans="1:137" x14ac:dyDescent="0.3">
      <c r="A309" s="325">
        <v>150000816</v>
      </c>
      <c r="B309" s="41" t="s">
        <v>782</v>
      </c>
      <c r="C309" s="42" t="s">
        <v>230</v>
      </c>
      <c r="D309" s="27">
        <v>4</v>
      </c>
      <c r="E309" s="709">
        <v>2488.34</v>
      </c>
      <c r="F309" s="723">
        <v>2100.34</v>
      </c>
      <c r="G309" s="28"/>
      <c r="H309" s="651">
        <v>388</v>
      </c>
      <c r="I309" s="39">
        <v>1550.2639500612102</v>
      </c>
      <c r="J309" s="39">
        <v>1668.0580340657255</v>
      </c>
      <c r="K309" s="52">
        <v>117.7940840045153</v>
      </c>
      <c r="L309" s="39">
        <v>250.57445019915215</v>
      </c>
      <c r="M309" s="39">
        <v>272.26236550705414</v>
      </c>
      <c r="N309" s="52">
        <v>21.687915307901989</v>
      </c>
      <c r="O309" s="39">
        <v>574.88</v>
      </c>
      <c r="P309" s="39">
        <v>574.70000000000005</v>
      </c>
      <c r="Q309" s="52">
        <v>-0.17999999999994998</v>
      </c>
      <c r="R309" s="39">
        <v>148.44</v>
      </c>
      <c r="S309" s="39">
        <v>148.46</v>
      </c>
      <c r="T309" s="52">
        <v>2.0000000000010232E-2</v>
      </c>
      <c r="U309" s="39">
        <v>0</v>
      </c>
      <c r="V309" s="39">
        <v>0</v>
      </c>
      <c r="W309" s="52">
        <v>0</v>
      </c>
      <c r="X309" s="39">
        <v>981.66943278726808</v>
      </c>
      <c r="Y309" s="39">
        <v>602.47603613236515</v>
      </c>
      <c r="Z309" s="52">
        <v>-379.19339665490293</v>
      </c>
      <c r="AA309" s="39">
        <v>0</v>
      </c>
      <c r="AB309" s="39">
        <v>0</v>
      </c>
      <c r="AC309" s="52">
        <v>0</v>
      </c>
      <c r="AD309" s="39">
        <v>1773.2871062221504</v>
      </c>
      <c r="AE309" s="39">
        <v>1487.9942080087424</v>
      </c>
      <c r="AF309" s="35">
        <v>-285.29289821340808</v>
      </c>
      <c r="AG309" s="77">
        <v>5279.1149392697807</v>
      </c>
      <c r="AH309" s="53">
        <v>4753.9506437138871</v>
      </c>
      <c r="AI309" s="52">
        <v>-525.16429555589366</v>
      </c>
      <c r="AJ309" s="39">
        <v>0</v>
      </c>
      <c r="AK309" s="39">
        <v>0</v>
      </c>
      <c r="AL309" s="52">
        <v>0</v>
      </c>
      <c r="AM309" s="39">
        <v>0</v>
      </c>
      <c r="AN309" s="39">
        <v>0</v>
      </c>
      <c r="AO309" s="52">
        <v>0</v>
      </c>
      <c r="AP309" s="39">
        <v>418.26612561136199</v>
      </c>
      <c r="AQ309" s="39">
        <v>0</v>
      </c>
      <c r="AR309" s="52">
        <v>-418.26612561136199</v>
      </c>
      <c r="AS309" s="39">
        <v>4106.8253622593747</v>
      </c>
      <c r="AT309" s="39">
        <v>11.541365043639905</v>
      </c>
      <c r="AU309" s="54">
        <v>-4095.2839972157349</v>
      </c>
      <c r="AV309" s="39">
        <v>251.19340059985063</v>
      </c>
      <c r="AW309" s="39">
        <v>0</v>
      </c>
      <c r="AX309" s="55">
        <v>-251.19340059985063</v>
      </c>
      <c r="AY309" s="39">
        <v>322.9330626916564</v>
      </c>
      <c r="AZ309" s="39">
        <v>0</v>
      </c>
      <c r="BA309" s="35">
        <v>-322.9330626916564</v>
      </c>
      <c r="BB309" s="39">
        <v>309.58538086016767</v>
      </c>
      <c r="BC309" s="39">
        <v>0</v>
      </c>
      <c r="BD309" s="55">
        <v>-309.58538086016767</v>
      </c>
      <c r="BE309" s="39">
        <v>143.16730422382903</v>
      </c>
      <c r="BF309" s="39">
        <v>0</v>
      </c>
      <c r="BG309" s="38">
        <v>-143.16730422382903</v>
      </c>
      <c r="BH309" s="39">
        <v>0</v>
      </c>
      <c r="BI309" s="39">
        <v>0</v>
      </c>
      <c r="BJ309" s="55">
        <v>0</v>
      </c>
      <c r="BK309" s="39">
        <v>133.71803528478662</v>
      </c>
      <c r="BL309" s="39">
        <v>0</v>
      </c>
      <c r="BM309" s="38">
        <v>-133.71803528478662</v>
      </c>
      <c r="BN309" s="39">
        <v>0</v>
      </c>
      <c r="BO309" s="39">
        <v>0</v>
      </c>
      <c r="BP309" s="55">
        <v>0</v>
      </c>
      <c r="BQ309" s="77">
        <v>1160.5971836602903</v>
      </c>
      <c r="BR309" s="40">
        <v>0</v>
      </c>
      <c r="BS309" s="55">
        <v>-1160.5971836602903</v>
      </c>
      <c r="BT309" s="39">
        <v>5255.6928155417563</v>
      </c>
      <c r="BU309" s="39">
        <v>1414.9768185573053</v>
      </c>
      <c r="BV309" s="52">
        <v>-3840.7159969844511</v>
      </c>
      <c r="BW309" s="39">
        <v>2350.2401647372367</v>
      </c>
      <c r="BX309" s="39">
        <v>1888.4201242978277</v>
      </c>
      <c r="BY309" s="52">
        <v>-461.82004043940901</v>
      </c>
      <c r="BZ309" s="39">
        <v>2928.132112424646</v>
      </c>
      <c r="CA309" s="39">
        <v>6528.8127097475681</v>
      </c>
      <c r="CB309" s="52">
        <v>3600.680597322922</v>
      </c>
      <c r="CC309" s="39">
        <v>0</v>
      </c>
      <c r="CD309" s="39">
        <v>0</v>
      </c>
      <c r="CE309" s="52">
        <v>0</v>
      </c>
      <c r="CF309" s="39">
        <v>0</v>
      </c>
      <c r="CG309" s="39">
        <v>0</v>
      </c>
      <c r="CH309" s="52">
        <v>0</v>
      </c>
      <c r="CI309" s="39">
        <v>414.90514142775902</v>
      </c>
      <c r="CJ309" s="39">
        <v>403.31284244580877</v>
      </c>
      <c r="CK309" s="52">
        <v>-11.59229898195025</v>
      </c>
      <c r="CL309" s="39">
        <v>0</v>
      </c>
      <c r="CM309" s="39">
        <v>0</v>
      </c>
      <c r="CN309" s="52">
        <v>0</v>
      </c>
      <c r="CO309" s="39">
        <v>414.90514142775902</v>
      </c>
      <c r="CP309" s="40">
        <v>403.31284244580877</v>
      </c>
      <c r="CQ309" s="52">
        <v>-11.59229898195025</v>
      </c>
      <c r="CR309" s="72">
        <v>21913.773844932206</v>
      </c>
      <c r="CS309" s="5">
        <v>15001.014503806036</v>
      </c>
      <c r="CT309" s="52">
        <v>-6912.7593411261696</v>
      </c>
      <c r="CU309" s="77">
        <v>26296.528613918646</v>
      </c>
      <c r="CV309" s="65">
        <v>18001.217404567244</v>
      </c>
      <c r="CW309" s="35">
        <v>-8295.3112093514028</v>
      </c>
      <c r="CX309" s="39">
        <v>2662.14</v>
      </c>
      <c r="CY309" s="39">
        <v>10957.451209351404</v>
      </c>
      <c r="CZ309" s="52">
        <v>8295.3112093514046</v>
      </c>
      <c r="DA309" s="150">
        <v>39666.036526752912</v>
      </c>
      <c r="DB309" s="2">
        <v>2</v>
      </c>
      <c r="DC309" s="713">
        <v>13874.78</v>
      </c>
      <c r="DD309" s="714">
        <v>16604.100000000002</v>
      </c>
      <c r="DE309" s="715">
        <v>2273.8591455546612</v>
      </c>
      <c r="DF309" s="716">
        <v>14728.049939812037</v>
      </c>
      <c r="DG309" s="717">
        <v>-33061.310431170161</v>
      </c>
      <c r="DH309" s="718">
        <v>127730.67242306101</v>
      </c>
      <c r="DI309" s="718">
        <v>347504.02336702374</v>
      </c>
      <c r="DJ309" s="693">
        <v>292560.68563103303</v>
      </c>
      <c r="DK309" s="724"/>
      <c r="DL309" s="5"/>
      <c r="DM309" s="306">
        <v>5.5233537686495229</v>
      </c>
      <c r="DN309" s="306"/>
      <c r="DO309" s="306">
        <v>4.8351805674947572</v>
      </c>
      <c r="DP309" s="719">
        <v>11600.92085444534</v>
      </c>
      <c r="DQ309" s="727">
        <v>1876.0500601879658</v>
      </c>
      <c r="DR309" s="650">
        <v>13476.970914633304</v>
      </c>
      <c r="DS309" s="94">
        <v>15481.697699285342</v>
      </c>
      <c r="DT309" s="719">
        <v>11364.56</v>
      </c>
      <c r="DU309" s="728">
        <v>2878.41</v>
      </c>
      <c r="DV309" s="93">
        <v>14242.97</v>
      </c>
      <c r="DW309" s="95">
        <v>13542.712236168103</v>
      </c>
      <c r="DX309" s="28">
        <v>700.25776383189623</v>
      </c>
      <c r="DY309" s="94"/>
      <c r="EA309" s="5">
        <v>6320.9070551035975</v>
      </c>
      <c r="EB309" s="5">
        <v>13.849638052367885</v>
      </c>
      <c r="EE309" s="722">
        <v>49281.904347112497</v>
      </c>
      <c r="EG309" s="42" t="s">
        <v>230</v>
      </c>
    </row>
    <row r="310" spans="1:137" x14ac:dyDescent="0.3">
      <c r="A310" s="325">
        <v>150000829</v>
      </c>
      <c r="B310" s="41" t="s">
        <v>783</v>
      </c>
      <c r="C310" s="42" t="s">
        <v>231</v>
      </c>
      <c r="D310" s="27">
        <v>4</v>
      </c>
      <c r="E310" s="709">
        <v>2581.1999999999998</v>
      </c>
      <c r="F310" s="723">
        <v>2581.1999999999998</v>
      </c>
      <c r="G310" s="28"/>
      <c r="H310" s="651">
        <v>0</v>
      </c>
      <c r="I310" s="39">
        <v>1619.6324311259314</v>
      </c>
      <c r="J310" s="39">
        <v>1743.4403071987654</v>
      </c>
      <c r="K310" s="52">
        <v>123.80787607283401</v>
      </c>
      <c r="L310" s="39">
        <v>251.51224605806865</v>
      </c>
      <c r="M310" s="39">
        <v>273.28046921589765</v>
      </c>
      <c r="N310" s="52">
        <v>21.768223157828999</v>
      </c>
      <c r="O310" s="39">
        <v>634.66</v>
      </c>
      <c r="P310" s="39">
        <v>634.84</v>
      </c>
      <c r="Q310" s="52">
        <v>0.18000000000006366</v>
      </c>
      <c r="R310" s="39">
        <v>0</v>
      </c>
      <c r="S310" s="39">
        <v>0</v>
      </c>
      <c r="T310" s="52">
        <v>0</v>
      </c>
      <c r="U310" s="39">
        <v>0</v>
      </c>
      <c r="V310" s="39">
        <v>0</v>
      </c>
      <c r="W310" s="52">
        <v>0</v>
      </c>
      <c r="X310" s="39">
        <v>979.07870868258465</v>
      </c>
      <c r="Y310" s="39">
        <v>601.63356250685774</v>
      </c>
      <c r="Z310" s="52">
        <v>-377.4451461757269</v>
      </c>
      <c r="AA310" s="39">
        <v>0</v>
      </c>
      <c r="AB310" s="39">
        <v>0</v>
      </c>
      <c r="AC310" s="52">
        <v>0</v>
      </c>
      <c r="AD310" s="39">
        <v>1839.4627255843714</v>
      </c>
      <c r="AE310" s="39">
        <v>1543.5232523337506</v>
      </c>
      <c r="AF310" s="35">
        <v>-295.93947325062072</v>
      </c>
      <c r="AG310" s="77">
        <v>5324.3461114509564</v>
      </c>
      <c r="AH310" s="53">
        <v>4796.7175912552711</v>
      </c>
      <c r="AI310" s="52">
        <v>-527.62852019568527</v>
      </c>
      <c r="AJ310" s="39">
        <v>0</v>
      </c>
      <c r="AK310" s="39">
        <v>0</v>
      </c>
      <c r="AL310" s="52">
        <v>0</v>
      </c>
      <c r="AM310" s="39">
        <v>0</v>
      </c>
      <c r="AN310" s="39">
        <v>0</v>
      </c>
      <c r="AO310" s="52">
        <v>0</v>
      </c>
      <c r="AP310" s="39">
        <v>1515.2282286298396</v>
      </c>
      <c r="AQ310" s="39">
        <v>0</v>
      </c>
      <c r="AR310" s="52">
        <v>-1515.2282286298396</v>
      </c>
      <c r="AS310" s="39">
        <v>4724.3770727724414</v>
      </c>
      <c r="AT310" s="39">
        <v>50.012581855772922</v>
      </c>
      <c r="AU310" s="54">
        <v>-4674.3644909166687</v>
      </c>
      <c r="AV310" s="39">
        <v>255.6979541345664</v>
      </c>
      <c r="AW310" s="39">
        <v>0</v>
      </c>
      <c r="AX310" s="55">
        <v>-255.6979541345664</v>
      </c>
      <c r="AY310" s="39">
        <v>324.18583031484343</v>
      </c>
      <c r="AZ310" s="39">
        <v>0</v>
      </c>
      <c r="BA310" s="35">
        <v>-324.18583031484343</v>
      </c>
      <c r="BB310" s="39">
        <v>286.47761685119247</v>
      </c>
      <c r="BC310" s="39">
        <v>0</v>
      </c>
      <c r="BD310" s="55">
        <v>-286.47761685119247</v>
      </c>
      <c r="BE310" s="39">
        <v>0</v>
      </c>
      <c r="BF310" s="39">
        <v>0</v>
      </c>
      <c r="BG310" s="38">
        <v>0</v>
      </c>
      <c r="BH310" s="39">
        <v>0</v>
      </c>
      <c r="BI310" s="39">
        <v>0</v>
      </c>
      <c r="BJ310" s="55">
        <v>0</v>
      </c>
      <c r="BK310" s="39">
        <v>134.07877525191492</v>
      </c>
      <c r="BL310" s="39">
        <v>0</v>
      </c>
      <c r="BM310" s="38">
        <v>-134.07877525191492</v>
      </c>
      <c r="BN310" s="39">
        <v>0</v>
      </c>
      <c r="BO310" s="39">
        <v>0</v>
      </c>
      <c r="BP310" s="55">
        <v>0</v>
      </c>
      <c r="BQ310" s="77">
        <v>1000.4401765525172</v>
      </c>
      <c r="BR310" s="40">
        <v>0</v>
      </c>
      <c r="BS310" s="55">
        <v>-1000.4401765525172</v>
      </c>
      <c r="BT310" s="39">
        <v>5338.3166517972904</v>
      </c>
      <c r="BU310" s="39">
        <v>1065.4640737481354</v>
      </c>
      <c r="BV310" s="52">
        <v>-4272.8525780491545</v>
      </c>
      <c r="BW310" s="39">
        <v>2286.965133285707</v>
      </c>
      <c r="BX310" s="39">
        <v>1714.0370081098604</v>
      </c>
      <c r="BY310" s="52">
        <v>-572.92812517584662</v>
      </c>
      <c r="BZ310" s="39">
        <v>1811.9205946474203</v>
      </c>
      <c r="CA310" s="39">
        <v>5641.1243151784192</v>
      </c>
      <c r="CB310" s="52">
        <v>3829.2037205309989</v>
      </c>
      <c r="CC310" s="39">
        <v>0</v>
      </c>
      <c r="CD310" s="39">
        <v>0</v>
      </c>
      <c r="CE310" s="52">
        <v>0</v>
      </c>
      <c r="CF310" s="39">
        <v>0</v>
      </c>
      <c r="CG310" s="39">
        <v>0</v>
      </c>
      <c r="CH310" s="52">
        <v>0</v>
      </c>
      <c r="CI310" s="39">
        <v>739.34224449908925</v>
      </c>
      <c r="CJ310" s="39">
        <v>721.93784313413221</v>
      </c>
      <c r="CK310" s="52">
        <v>-17.404401364957039</v>
      </c>
      <c r="CL310" s="39">
        <v>0</v>
      </c>
      <c r="CM310" s="39">
        <v>0</v>
      </c>
      <c r="CN310" s="52">
        <v>0</v>
      </c>
      <c r="CO310" s="39">
        <v>739.34224449908925</v>
      </c>
      <c r="CP310" s="40">
        <v>721.93784313413221</v>
      </c>
      <c r="CQ310" s="52">
        <v>-17.404401364957039</v>
      </c>
      <c r="CR310" s="72">
        <v>22740.936213635261</v>
      </c>
      <c r="CS310" s="5">
        <v>13989.29341328159</v>
      </c>
      <c r="CT310" s="52">
        <v>-8751.6428003536712</v>
      </c>
      <c r="CU310" s="77">
        <v>27289.123456362311</v>
      </c>
      <c r="CV310" s="65">
        <v>16787.152095937909</v>
      </c>
      <c r="CW310" s="35">
        <v>-10501.971360424403</v>
      </c>
      <c r="CX310" s="39">
        <v>409.33685184543464</v>
      </c>
      <c r="CY310" s="39">
        <v>10911.308212269836</v>
      </c>
      <c r="CZ310" s="52">
        <v>10501.971360424401</v>
      </c>
      <c r="DA310" s="150">
        <v>39044.081677504983</v>
      </c>
      <c r="DB310" s="2">
        <v>2</v>
      </c>
      <c r="DC310" s="713">
        <v>27985.32</v>
      </c>
      <c r="DD310" s="714"/>
      <c r="DE310" s="715">
        <v>14136.089845896127</v>
      </c>
      <c r="DF310" s="716">
        <v>0</v>
      </c>
      <c r="DG310" s="717">
        <v>44893.347001396847</v>
      </c>
      <c r="DH310" s="718">
        <v>132995.85448167165</v>
      </c>
      <c r="DI310" s="718">
        <v>332381.52369849291</v>
      </c>
      <c r="DJ310" s="693">
        <v>282535.10639428761</v>
      </c>
      <c r="DK310" s="724"/>
      <c r="DL310" s="5"/>
      <c r="DM310" s="306">
        <v>5.3654231187447206</v>
      </c>
      <c r="DN310" s="306"/>
      <c r="DO310" s="306">
        <v>4.8258439438760563</v>
      </c>
      <c r="DP310" s="719">
        <v>13849.230154103872</v>
      </c>
      <c r="DQ310" s="720">
        <v>0</v>
      </c>
      <c r="DR310" s="650">
        <v>13849.230154103872</v>
      </c>
      <c r="DS310" s="94">
        <v>13849.230154103872</v>
      </c>
      <c r="DT310" s="719">
        <v>13848.64</v>
      </c>
      <c r="DU310" s="721"/>
      <c r="DV310" s="93">
        <v>13848.64</v>
      </c>
      <c r="DW310" s="95">
        <v>13890.163839288418</v>
      </c>
      <c r="DX310" s="28">
        <v>-41.523839288418458</v>
      </c>
      <c r="EA310" s="5">
        <v>6869.7806991899497</v>
      </c>
      <c r="EB310" s="5">
        <v>60.015098226927506</v>
      </c>
      <c r="EE310" s="722">
        <v>56692.5248732693</v>
      </c>
      <c r="EG310" s="42" t="s">
        <v>231</v>
      </c>
    </row>
    <row r="311" spans="1:137" x14ac:dyDescent="0.3">
      <c r="A311" s="325">
        <v>150000797</v>
      </c>
      <c r="B311" s="41" t="s">
        <v>784</v>
      </c>
      <c r="C311" s="42" t="s">
        <v>232</v>
      </c>
      <c r="D311" s="27">
        <v>4</v>
      </c>
      <c r="E311" s="709">
        <v>5513</v>
      </c>
      <c r="F311" s="723">
        <v>3993</v>
      </c>
      <c r="G311" s="28"/>
      <c r="H311" s="651">
        <v>1520</v>
      </c>
      <c r="I311" s="39">
        <v>2900.6167466167371</v>
      </c>
      <c r="J311" s="39">
        <v>3112.2421913427088</v>
      </c>
      <c r="K311" s="52">
        <v>211.62544472597165</v>
      </c>
      <c r="L311" s="39">
        <v>616.54955079915999</v>
      </c>
      <c r="M311" s="39">
        <v>669.91224041904934</v>
      </c>
      <c r="N311" s="52">
        <v>53.362689619889352</v>
      </c>
      <c r="O311" s="39">
        <v>987.3</v>
      </c>
      <c r="P311" s="39">
        <v>987.3</v>
      </c>
      <c r="Q311" s="52">
        <v>0</v>
      </c>
      <c r="R311" s="39">
        <v>0</v>
      </c>
      <c r="S311" s="39">
        <v>0</v>
      </c>
      <c r="T311" s="52">
        <v>0</v>
      </c>
      <c r="U311" s="39">
        <v>0</v>
      </c>
      <c r="V311" s="39">
        <v>0</v>
      </c>
      <c r="W311" s="52">
        <v>0</v>
      </c>
      <c r="X311" s="39">
        <v>3393.3952839029434</v>
      </c>
      <c r="Y311" s="39">
        <v>2195.8220901110672</v>
      </c>
      <c r="Z311" s="52">
        <v>-1197.5731937918763</v>
      </c>
      <c r="AA311" s="39">
        <v>0</v>
      </c>
      <c r="AB311" s="39">
        <v>0</v>
      </c>
      <c r="AC311" s="52">
        <v>0</v>
      </c>
      <c r="AD311" s="39">
        <v>3534.7586646408809</v>
      </c>
      <c r="AE311" s="39">
        <v>3296.7006392824919</v>
      </c>
      <c r="AF311" s="35">
        <v>-238.05802535838893</v>
      </c>
      <c r="AG311" s="77">
        <v>11432.620245959723</v>
      </c>
      <c r="AH311" s="53">
        <v>10261.977161155317</v>
      </c>
      <c r="AI311" s="52">
        <v>-1170.6430848044056</v>
      </c>
      <c r="AJ311" s="39">
        <v>0</v>
      </c>
      <c r="AK311" s="39">
        <v>0</v>
      </c>
      <c r="AL311" s="52">
        <v>0</v>
      </c>
      <c r="AM311" s="39">
        <v>0</v>
      </c>
      <c r="AN311" s="39">
        <v>0</v>
      </c>
      <c r="AO311" s="52">
        <v>0</v>
      </c>
      <c r="AP311" s="39">
        <v>1751.9826393532521</v>
      </c>
      <c r="AQ311" s="39">
        <v>4138.2092535231204</v>
      </c>
      <c r="AR311" s="52">
        <v>2386.2266141698683</v>
      </c>
      <c r="AS311" s="39">
        <v>14230.204542697285</v>
      </c>
      <c r="AT311" s="39">
        <v>10647.189788717911</v>
      </c>
      <c r="AU311" s="54">
        <v>-3583.0147539793743</v>
      </c>
      <c r="AV311" s="39">
        <v>510.18365466681013</v>
      </c>
      <c r="AW311" s="39">
        <v>2101</v>
      </c>
      <c r="AX311" s="55">
        <v>1590.8163453331899</v>
      </c>
      <c r="AY311" s="39">
        <v>794.68358772623048</v>
      </c>
      <c r="AZ311" s="39">
        <v>0</v>
      </c>
      <c r="BA311" s="35">
        <v>-794.68358772623048</v>
      </c>
      <c r="BB311" s="39">
        <v>490.33909690043743</v>
      </c>
      <c r="BC311" s="39">
        <v>0</v>
      </c>
      <c r="BD311" s="55">
        <v>-490.33909690043743</v>
      </c>
      <c r="BE311" s="39">
        <v>0</v>
      </c>
      <c r="BF311" s="39">
        <v>0</v>
      </c>
      <c r="BG311" s="38">
        <v>0</v>
      </c>
      <c r="BH311" s="39">
        <v>0</v>
      </c>
      <c r="BI311" s="39">
        <v>0</v>
      </c>
      <c r="BJ311" s="55">
        <v>0</v>
      </c>
      <c r="BK311" s="39">
        <v>503.79300843766771</v>
      </c>
      <c r="BL311" s="39">
        <v>0</v>
      </c>
      <c r="BM311" s="38">
        <v>-503.79300843766771</v>
      </c>
      <c r="BN311" s="39">
        <v>0</v>
      </c>
      <c r="BO311" s="39">
        <v>0</v>
      </c>
      <c r="BP311" s="55">
        <v>0</v>
      </c>
      <c r="BQ311" s="77">
        <v>2298.9993477311459</v>
      </c>
      <c r="BR311" s="40">
        <v>2101</v>
      </c>
      <c r="BS311" s="55">
        <v>-197.99934773114592</v>
      </c>
      <c r="BT311" s="39">
        <v>4114.0271250128562</v>
      </c>
      <c r="BU311" s="39">
        <v>1296.7029272649918</v>
      </c>
      <c r="BV311" s="52">
        <v>-2817.3241977478647</v>
      </c>
      <c r="BW311" s="39">
        <v>7802.9519615376666</v>
      </c>
      <c r="BX311" s="39">
        <v>6775.6357990268298</v>
      </c>
      <c r="BY311" s="52">
        <v>-1027.3161625108369</v>
      </c>
      <c r="BZ311" s="39">
        <v>2008.835275161111</v>
      </c>
      <c r="CA311" s="39">
        <v>5448.4134360572671</v>
      </c>
      <c r="CB311" s="52">
        <v>3439.5781608961561</v>
      </c>
      <c r="CC311" s="39">
        <v>137.26185129940902</v>
      </c>
      <c r="CD311" s="39">
        <v>135.41868317870822</v>
      </c>
      <c r="CE311" s="52">
        <v>-1.8431681207007955</v>
      </c>
      <c r="CF311" s="39">
        <v>16.897765784965124</v>
      </c>
      <c r="CG311" s="39">
        <v>0</v>
      </c>
      <c r="CH311" s="52">
        <v>-16.897765784965124</v>
      </c>
      <c r="CI311" s="39">
        <v>770.53811979440957</v>
      </c>
      <c r="CJ311" s="39">
        <v>1445.2668880307485</v>
      </c>
      <c r="CK311" s="52">
        <v>674.72876823633896</v>
      </c>
      <c r="CL311" s="39">
        <v>0</v>
      </c>
      <c r="CM311" s="39">
        <v>0</v>
      </c>
      <c r="CN311" s="52">
        <v>0</v>
      </c>
      <c r="CO311" s="39">
        <v>770.53811979440957</v>
      </c>
      <c r="CP311" s="40">
        <v>1445.2668880307485</v>
      </c>
      <c r="CQ311" s="52">
        <v>674.72876823633896</v>
      </c>
      <c r="CR311" s="72">
        <v>44564.318874331824</v>
      </c>
      <c r="CS311" s="5">
        <v>42249.813936954888</v>
      </c>
      <c r="CT311" s="52">
        <v>-2314.5049373769361</v>
      </c>
      <c r="CU311" s="77">
        <v>53477.182649198185</v>
      </c>
      <c r="CV311" s="65">
        <v>50699.776724345866</v>
      </c>
      <c r="CW311" s="35">
        <v>-2777.405924852319</v>
      </c>
      <c r="CX311" s="39">
        <v>5774.46</v>
      </c>
      <c r="CY311" s="39">
        <v>8551.8659248523109</v>
      </c>
      <c r="CZ311" s="52">
        <v>2777.4059248523108</v>
      </c>
      <c r="DA311" s="150">
        <v>-24310.017694326736</v>
      </c>
      <c r="DB311" s="2">
        <v>2</v>
      </c>
      <c r="DC311" s="713">
        <v>59372.08</v>
      </c>
      <c r="DD311" s="714">
        <v>7417.1100000000006</v>
      </c>
      <c r="DE311" s="715">
        <v>36597.466563720307</v>
      </c>
      <c r="DF311" s="716">
        <v>556.50998713024092</v>
      </c>
      <c r="DG311" s="717">
        <v>48351.041566588261</v>
      </c>
      <c r="DH311" s="718">
        <v>243503.30543274985</v>
      </c>
      <c r="DI311" s="718">
        <v>711019.71179037821</v>
      </c>
      <c r="DJ311" s="693">
        <v>594140.61020097113</v>
      </c>
      <c r="DK311" s="724"/>
      <c r="DL311" s="5"/>
      <c r="DM311" s="306">
        <v>5.7036347198296253</v>
      </c>
      <c r="DN311" s="306"/>
      <c r="DO311" s="306">
        <v>4.5135526400458943</v>
      </c>
      <c r="DP311" s="719">
        <v>22774.613436279695</v>
      </c>
      <c r="DQ311" s="727">
        <v>6860.6000128697597</v>
      </c>
      <c r="DR311" s="650">
        <v>29635.213449149454</v>
      </c>
      <c r="DS311" s="94">
        <v>29616.429200048729</v>
      </c>
      <c r="DT311" s="719">
        <v>22779.63</v>
      </c>
      <c r="DU311" s="728">
        <v>7199.18</v>
      </c>
      <c r="DV311" s="93">
        <v>29978.81</v>
      </c>
      <c r="DW311" s="95">
        <v>29796.969968441877</v>
      </c>
      <c r="DX311" s="28">
        <v>181.84003155812388</v>
      </c>
      <c r="DY311" s="94"/>
      <c r="EA311" s="5">
        <v>19835.044668514118</v>
      </c>
      <c r="EB311" s="5">
        <v>15297.827746461493</v>
      </c>
      <c r="EE311" s="722">
        <v>170762.45451236743</v>
      </c>
      <c r="EG311" s="42" t="s">
        <v>232</v>
      </c>
    </row>
    <row r="312" spans="1:137" x14ac:dyDescent="0.3">
      <c r="A312" s="325">
        <v>150000709</v>
      </c>
      <c r="B312" s="41" t="s">
        <v>786</v>
      </c>
      <c r="C312" s="42" t="s">
        <v>143</v>
      </c>
      <c r="D312" s="27">
        <v>1</v>
      </c>
      <c r="E312" s="709">
        <v>201.1</v>
      </c>
      <c r="F312" s="723">
        <v>201.1</v>
      </c>
      <c r="G312" s="28"/>
      <c r="H312" s="651">
        <v>0</v>
      </c>
      <c r="I312" s="39">
        <v>0</v>
      </c>
      <c r="J312" s="39">
        <v>0</v>
      </c>
      <c r="K312" s="52">
        <v>0</v>
      </c>
      <c r="L312" s="39">
        <v>0</v>
      </c>
      <c r="M312" s="39">
        <v>0</v>
      </c>
      <c r="N312" s="52">
        <v>0</v>
      </c>
      <c r="O312" s="39">
        <v>0</v>
      </c>
      <c r="P312" s="39">
        <v>0</v>
      </c>
      <c r="Q312" s="52">
        <v>0</v>
      </c>
      <c r="R312" s="39">
        <v>0</v>
      </c>
      <c r="S312" s="39">
        <v>0</v>
      </c>
      <c r="T312" s="52">
        <v>0</v>
      </c>
      <c r="U312" s="39">
        <v>0</v>
      </c>
      <c r="V312" s="39">
        <v>0</v>
      </c>
      <c r="W312" s="52">
        <v>0</v>
      </c>
      <c r="X312" s="39">
        <v>0</v>
      </c>
      <c r="Y312" s="39">
        <v>0</v>
      </c>
      <c r="Z312" s="52">
        <v>0</v>
      </c>
      <c r="AA312" s="39">
        <v>0</v>
      </c>
      <c r="AB312" s="39">
        <v>0</v>
      </c>
      <c r="AC312" s="52">
        <v>0</v>
      </c>
      <c r="AD312" s="39">
        <v>0</v>
      </c>
      <c r="AE312" s="39">
        <v>120.25512399051499</v>
      </c>
      <c r="AF312" s="35">
        <v>120.25512399051499</v>
      </c>
      <c r="AG312" s="77">
        <v>0</v>
      </c>
      <c r="AH312" s="53">
        <v>120.25512399051499</v>
      </c>
      <c r="AI312" s="52">
        <v>120.25512399051499</v>
      </c>
      <c r="AJ312" s="39">
        <v>0</v>
      </c>
      <c r="AK312" s="39">
        <v>0</v>
      </c>
      <c r="AL312" s="52">
        <v>0</v>
      </c>
      <c r="AM312" s="39">
        <v>0</v>
      </c>
      <c r="AN312" s="39">
        <v>0</v>
      </c>
      <c r="AO312" s="52">
        <v>0</v>
      </c>
      <c r="AP312" s="39">
        <v>63.134509526243313</v>
      </c>
      <c r="AQ312" s="39">
        <v>0</v>
      </c>
      <c r="AR312" s="52">
        <v>-63.134509526243313</v>
      </c>
      <c r="AS312" s="39">
        <v>405.04931561218223</v>
      </c>
      <c r="AT312" s="39">
        <v>0</v>
      </c>
      <c r="AU312" s="54">
        <v>-405.04931561218223</v>
      </c>
      <c r="AV312" s="39">
        <v>0</v>
      </c>
      <c r="AW312" s="39">
        <v>0</v>
      </c>
      <c r="AX312" s="55">
        <v>0</v>
      </c>
      <c r="AY312" s="39">
        <v>0</v>
      </c>
      <c r="AZ312" s="39">
        <v>0</v>
      </c>
      <c r="BA312" s="35">
        <v>0</v>
      </c>
      <c r="BB312" s="39">
        <v>0</v>
      </c>
      <c r="BC312" s="39">
        <v>0</v>
      </c>
      <c r="BD312" s="55">
        <v>0</v>
      </c>
      <c r="BE312" s="39">
        <v>0</v>
      </c>
      <c r="BF312" s="39">
        <v>0</v>
      </c>
      <c r="BG312" s="38">
        <v>0</v>
      </c>
      <c r="BH312" s="39">
        <v>0</v>
      </c>
      <c r="BI312" s="39">
        <v>0</v>
      </c>
      <c r="BJ312" s="55">
        <v>0</v>
      </c>
      <c r="BK312" s="39">
        <v>0</v>
      </c>
      <c r="BL312" s="39">
        <v>0</v>
      </c>
      <c r="BM312" s="38">
        <v>0</v>
      </c>
      <c r="BN312" s="39">
        <v>0</v>
      </c>
      <c r="BO312" s="39">
        <v>0</v>
      </c>
      <c r="BP312" s="55">
        <v>0</v>
      </c>
      <c r="BQ312" s="77">
        <v>0</v>
      </c>
      <c r="BR312" s="40">
        <v>0</v>
      </c>
      <c r="BS312" s="55">
        <v>0</v>
      </c>
      <c r="BT312" s="39">
        <v>31.902681005596676</v>
      </c>
      <c r="BU312" s="39">
        <v>15.343001639294346</v>
      </c>
      <c r="BV312" s="52">
        <v>-16.55967936630233</v>
      </c>
      <c r="BW312" s="39">
        <v>0</v>
      </c>
      <c r="BX312" s="39">
        <v>0.81403482740145172</v>
      </c>
      <c r="BY312" s="52">
        <v>0.81403482740145172</v>
      </c>
      <c r="BZ312" s="39">
        <v>0</v>
      </c>
      <c r="CA312" s="39">
        <v>53.021747515192232</v>
      </c>
      <c r="CB312" s="52">
        <v>53.021747515192232</v>
      </c>
      <c r="CC312" s="39">
        <v>0</v>
      </c>
      <c r="CD312" s="39">
        <v>0</v>
      </c>
      <c r="CE312" s="52">
        <v>0</v>
      </c>
      <c r="CF312" s="39">
        <v>0</v>
      </c>
      <c r="CG312" s="39">
        <v>0</v>
      </c>
      <c r="CH312" s="52">
        <v>0</v>
      </c>
      <c r="CI312" s="39">
        <v>0</v>
      </c>
      <c r="CJ312" s="39">
        <v>0</v>
      </c>
      <c r="CK312" s="52">
        <v>0</v>
      </c>
      <c r="CL312" s="39">
        <v>0</v>
      </c>
      <c r="CM312" s="39">
        <v>0</v>
      </c>
      <c r="CN312" s="52">
        <v>0</v>
      </c>
      <c r="CO312" s="39">
        <v>0</v>
      </c>
      <c r="CP312" s="40">
        <v>0</v>
      </c>
      <c r="CQ312" s="52">
        <v>0</v>
      </c>
      <c r="CR312" s="72">
        <v>500.08650614402222</v>
      </c>
      <c r="CS312" s="5">
        <v>189.43390797240303</v>
      </c>
      <c r="CT312" s="52">
        <v>-310.65259817161916</v>
      </c>
      <c r="CU312" s="77">
        <v>600.10380737282662</v>
      </c>
      <c r="CV312" s="65">
        <v>227.32068956688363</v>
      </c>
      <c r="CW312" s="35">
        <v>-372.78311780594299</v>
      </c>
      <c r="CX312" s="39">
        <v>15.002595184320667</v>
      </c>
      <c r="CY312" s="39">
        <v>387.78571299026362</v>
      </c>
      <c r="CZ312" s="52">
        <v>372.78311780594294</v>
      </c>
      <c r="DA312" s="150">
        <v>-5623.6095363488985</v>
      </c>
      <c r="DB312" s="2">
        <v>3</v>
      </c>
      <c r="DC312" s="713">
        <v>313.56</v>
      </c>
      <c r="DD312" s="714"/>
      <c r="DE312" s="715">
        <v>6.0067987214263781</v>
      </c>
      <c r="DF312" s="716">
        <v>0</v>
      </c>
      <c r="DG312" s="717">
        <v>-2932.2139368340559</v>
      </c>
      <c r="DH312" s="718">
        <v>2981.5667222400461</v>
      </c>
      <c r="DI312" s="718">
        <v>7381.276830685767</v>
      </c>
      <c r="DJ312" s="693">
        <v>6281.3493035743359</v>
      </c>
      <c r="DK312" s="724"/>
      <c r="DL312" s="5"/>
      <c r="DM312" s="306">
        <v>1.5293545563330364</v>
      </c>
      <c r="DN312" s="306"/>
      <c r="DO312" s="306">
        <v>1.5293545563330364</v>
      </c>
      <c r="DP312" s="719">
        <v>307.55320127857362</v>
      </c>
      <c r="DQ312" s="720">
        <v>0</v>
      </c>
      <c r="DR312" s="650">
        <v>307.55320127857362</v>
      </c>
      <c r="DS312" s="94">
        <v>307.55320127857362</v>
      </c>
      <c r="DT312" s="719">
        <v>307.56</v>
      </c>
      <c r="DU312" s="721"/>
      <c r="DV312" s="93">
        <v>307.56</v>
      </c>
      <c r="DW312" s="95">
        <v>309.0534607970057</v>
      </c>
      <c r="DX312" s="28">
        <v>-1.4934607970056959</v>
      </c>
      <c r="EA312" s="5">
        <v>486.05917873461863</v>
      </c>
      <c r="EB312" s="5">
        <v>0</v>
      </c>
      <c r="EE312" s="722">
        <v>4860.5917873461867</v>
      </c>
      <c r="EG312" s="42" t="s">
        <v>143</v>
      </c>
    </row>
    <row r="313" spans="1:137" x14ac:dyDescent="0.3">
      <c r="A313" s="325">
        <v>150000706</v>
      </c>
      <c r="B313" s="41" t="s">
        <v>787</v>
      </c>
      <c r="C313" s="42" t="s">
        <v>144</v>
      </c>
      <c r="D313" s="27">
        <v>1</v>
      </c>
      <c r="E313" s="709">
        <v>243.32</v>
      </c>
      <c r="F313" s="723">
        <v>243.32</v>
      </c>
      <c r="G313" s="28"/>
      <c r="H313" s="651">
        <v>0</v>
      </c>
      <c r="I313" s="39">
        <v>0</v>
      </c>
      <c r="J313" s="39">
        <v>0</v>
      </c>
      <c r="K313" s="52">
        <v>0</v>
      </c>
      <c r="L313" s="39">
        <v>0</v>
      </c>
      <c r="M313" s="39">
        <v>0</v>
      </c>
      <c r="N313" s="52">
        <v>0</v>
      </c>
      <c r="O313" s="39">
        <v>0</v>
      </c>
      <c r="P313" s="39">
        <v>0</v>
      </c>
      <c r="Q313" s="52">
        <v>0</v>
      </c>
      <c r="R313" s="39">
        <v>0</v>
      </c>
      <c r="S313" s="39">
        <v>0</v>
      </c>
      <c r="T313" s="52">
        <v>0</v>
      </c>
      <c r="U313" s="39">
        <v>0</v>
      </c>
      <c r="V313" s="39">
        <v>0</v>
      </c>
      <c r="W313" s="52">
        <v>0</v>
      </c>
      <c r="X313" s="39">
        <v>0</v>
      </c>
      <c r="Y313" s="39">
        <v>0</v>
      </c>
      <c r="Z313" s="52">
        <v>0</v>
      </c>
      <c r="AA313" s="39">
        <v>0</v>
      </c>
      <c r="AB313" s="39">
        <v>0</v>
      </c>
      <c r="AC313" s="52">
        <v>0</v>
      </c>
      <c r="AD313" s="39">
        <v>0</v>
      </c>
      <c r="AE313" s="39">
        <v>145.5021221748986</v>
      </c>
      <c r="AF313" s="35">
        <v>145.5021221748986</v>
      </c>
      <c r="AG313" s="77">
        <v>0</v>
      </c>
      <c r="AH313" s="53">
        <v>145.5021221748986</v>
      </c>
      <c r="AI313" s="52">
        <v>145.5021221748986</v>
      </c>
      <c r="AJ313" s="39">
        <v>0</v>
      </c>
      <c r="AK313" s="39">
        <v>0</v>
      </c>
      <c r="AL313" s="52">
        <v>0</v>
      </c>
      <c r="AM313" s="39">
        <v>0</v>
      </c>
      <c r="AN313" s="39">
        <v>0</v>
      </c>
      <c r="AO313" s="52">
        <v>0</v>
      </c>
      <c r="AP313" s="39">
        <v>94.701764289364974</v>
      </c>
      <c r="AQ313" s="39">
        <v>0</v>
      </c>
      <c r="AR313" s="52">
        <v>-94.701764289364974</v>
      </c>
      <c r="AS313" s="39">
        <v>492.86698204367883</v>
      </c>
      <c r="AT313" s="39">
        <v>0</v>
      </c>
      <c r="AU313" s="54">
        <v>-492.86698204367883</v>
      </c>
      <c r="AV313" s="39">
        <v>0</v>
      </c>
      <c r="AW313" s="39">
        <v>0</v>
      </c>
      <c r="AX313" s="55">
        <v>0</v>
      </c>
      <c r="AY313" s="39">
        <v>0</v>
      </c>
      <c r="AZ313" s="39">
        <v>0</v>
      </c>
      <c r="BA313" s="35">
        <v>0</v>
      </c>
      <c r="BB313" s="39">
        <v>0</v>
      </c>
      <c r="BC313" s="39">
        <v>0</v>
      </c>
      <c r="BD313" s="55">
        <v>0</v>
      </c>
      <c r="BE313" s="39">
        <v>0</v>
      </c>
      <c r="BF313" s="39">
        <v>0</v>
      </c>
      <c r="BG313" s="38">
        <v>0</v>
      </c>
      <c r="BH313" s="39">
        <v>0</v>
      </c>
      <c r="BI313" s="39">
        <v>0</v>
      </c>
      <c r="BJ313" s="55">
        <v>0</v>
      </c>
      <c r="BK313" s="39">
        <v>0</v>
      </c>
      <c r="BL313" s="39">
        <v>0</v>
      </c>
      <c r="BM313" s="38">
        <v>0</v>
      </c>
      <c r="BN313" s="39">
        <v>0</v>
      </c>
      <c r="BO313" s="39">
        <v>0</v>
      </c>
      <c r="BP313" s="55">
        <v>0</v>
      </c>
      <c r="BQ313" s="77">
        <v>0</v>
      </c>
      <c r="BR313" s="40">
        <v>0</v>
      </c>
      <c r="BS313" s="55">
        <v>0</v>
      </c>
      <c r="BT313" s="39">
        <v>19.939175628497924</v>
      </c>
      <c r="BU313" s="39">
        <v>9.5855067403526881</v>
      </c>
      <c r="BV313" s="52">
        <v>-10.353668888145236</v>
      </c>
      <c r="BW313" s="39">
        <v>0</v>
      </c>
      <c r="BX313" s="39">
        <v>0.9849376141388424</v>
      </c>
      <c r="BY313" s="52">
        <v>0.9849376141388424</v>
      </c>
      <c r="BZ313" s="39">
        <v>0</v>
      </c>
      <c r="CA313" s="39">
        <v>33.139179189040775</v>
      </c>
      <c r="CB313" s="52">
        <v>33.139179189040775</v>
      </c>
      <c r="CC313" s="39">
        <v>0</v>
      </c>
      <c r="CD313" s="39">
        <v>0</v>
      </c>
      <c r="CE313" s="52">
        <v>0</v>
      </c>
      <c r="CF313" s="39">
        <v>0</v>
      </c>
      <c r="CG313" s="39">
        <v>0</v>
      </c>
      <c r="CH313" s="52">
        <v>0</v>
      </c>
      <c r="CI313" s="39">
        <v>0</v>
      </c>
      <c r="CJ313" s="39">
        <v>0</v>
      </c>
      <c r="CK313" s="52">
        <v>0</v>
      </c>
      <c r="CL313" s="39">
        <v>0</v>
      </c>
      <c r="CM313" s="39">
        <v>0</v>
      </c>
      <c r="CN313" s="52">
        <v>0</v>
      </c>
      <c r="CO313" s="39">
        <v>0</v>
      </c>
      <c r="CP313" s="40">
        <v>0</v>
      </c>
      <c r="CQ313" s="52">
        <v>0</v>
      </c>
      <c r="CR313" s="72">
        <v>607.50792196154168</v>
      </c>
      <c r="CS313" s="5">
        <v>189.2117457184309</v>
      </c>
      <c r="CT313" s="52">
        <v>-418.29617624311078</v>
      </c>
      <c r="CU313" s="77">
        <v>729.00950635385004</v>
      </c>
      <c r="CV313" s="65">
        <v>227.05409486211707</v>
      </c>
      <c r="CW313" s="35">
        <v>-501.955411491733</v>
      </c>
      <c r="CX313" s="39">
        <v>18.22523765884625</v>
      </c>
      <c r="CY313" s="39">
        <v>520.18064915057926</v>
      </c>
      <c r="CZ313" s="52">
        <v>501.955411491733</v>
      </c>
      <c r="DA313" s="150">
        <v>-547.18715045395834</v>
      </c>
      <c r="DB313" s="2">
        <v>3</v>
      </c>
      <c r="DC313" s="713">
        <v>442.24</v>
      </c>
      <c r="DD313" s="714"/>
      <c r="DE313" s="715">
        <v>68.622627993651861</v>
      </c>
      <c r="DF313" s="716">
        <v>0</v>
      </c>
      <c r="DG313" s="717">
        <v>2151.0544705569459</v>
      </c>
      <c r="DH313" s="718">
        <v>3571.8269556785672</v>
      </c>
      <c r="DI313" s="718">
        <v>8966.8169281523551</v>
      </c>
      <c r="DJ313" s="693">
        <v>7618.0694350339081</v>
      </c>
      <c r="DK313" s="724"/>
      <c r="DL313" s="5"/>
      <c r="DM313" s="306">
        <v>1.5354979944367424</v>
      </c>
      <c r="DN313" s="306"/>
      <c r="DO313" s="306">
        <v>1.5354979944367424</v>
      </c>
      <c r="DP313" s="719">
        <v>373.61737200634815</v>
      </c>
      <c r="DQ313" s="720">
        <v>0</v>
      </c>
      <c r="DR313" s="650">
        <v>373.61737200634815</v>
      </c>
      <c r="DS313" s="94">
        <v>373.61737200634815</v>
      </c>
      <c r="DT313" s="719">
        <v>373.62</v>
      </c>
      <c r="DU313" s="721"/>
      <c r="DV313" s="93">
        <v>373.62</v>
      </c>
      <c r="DW313" s="95">
        <v>375.43989577223277</v>
      </c>
      <c r="DX313" s="28">
        <v>-1.8198957722327691</v>
      </c>
      <c r="EA313" s="5">
        <v>591.44037845241462</v>
      </c>
      <c r="EB313" s="5">
        <v>0</v>
      </c>
      <c r="EE313" s="722">
        <v>5914.4037845241455</v>
      </c>
      <c r="EG313" s="42" t="s">
        <v>144</v>
      </c>
    </row>
    <row r="314" spans="1:137" x14ac:dyDescent="0.3">
      <c r="A314" s="325">
        <v>150000707</v>
      </c>
      <c r="B314" s="41" t="s">
        <v>788</v>
      </c>
      <c r="C314" s="42" t="s">
        <v>145</v>
      </c>
      <c r="D314" s="27">
        <v>1</v>
      </c>
      <c r="E314" s="709">
        <v>326.10000000000002</v>
      </c>
      <c r="F314" s="723">
        <v>326.10000000000002</v>
      </c>
      <c r="G314" s="28"/>
      <c r="H314" s="651">
        <v>0</v>
      </c>
      <c r="I314" s="39">
        <v>0</v>
      </c>
      <c r="J314" s="39">
        <v>0</v>
      </c>
      <c r="K314" s="52">
        <v>0</v>
      </c>
      <c r="L314" s="39">
        <v>0</v>
      </c>
      <c r="M314" s="39">
        <v>0</v>
      </c>
      <c r="N314" s="52">
        <v>0</v>
      </c>
      <c r="O314" s="39">
        <v>0</v>
      </c>
      <c r="P314" s="39">
        <v>0</v>
      </c>
      <c r="Q314" s="52">
        <v>0</v>
      </c>
      <c r="R314" s="39">
        <v>0</v>
      </c>
      <c r="S314" s="39">
        <v>0</v>
      </c>
      <c r="T314" s="52">
        <v>0</v>
      </c>
      <c r="U314" s="39">
        <v>0</v>
      </c>
      <c r="V314" s="39">
        <v>0</v>
      </c>
      <c r="W314" s="52">
        <v>0</v>
      </c>
      <c r="X314" s="39">
        <v>0</v>
      </c>
      <c r="Y314" s="39">
        <v>0</v>
      </c>
      <c r="Z314" s="52">
        <v>0</v>
      </c>
      <c r="AA314" s="39">
        <v>0</v>
      </c>
      <c r="AB314" s="39">
        <v>0</v>
      </c>
      <c r="AC314" s="52">
        <v>0</v>
      </c>
      <c r="AD314" s="39">
        <v>0</v>
      </c>
      <c r="AE314" s="39">
        <v>195.0034606330529</v>
      </c>
      <c r="AF314" s="35">
        <v>195.0034606330529</v>
      </c>
      <c r="AG314" s="77">
        <v>0</v>
      </c>
      <c r="AH314" s="53">
        <v>195.0034606330529</v>
      </c>
      <c r="AI314" s="52">
        <v>195.0034606330529</v>
      </c>
      <c r="AJ314" s="39">
        <v>0</v>
      </c>
      <c r="AK314" s="39">
        <v>0</v>
      </c>
      <c r="AL314" s="52">
        <v>0</v>
      </c>
      <c r="AM314" s="39">
        <v>0</v>
      </c>
      <c r="AN314" s="39">
        <v>0</v>
      </c>
      <c r="AO314" s="52">
        <v>0</v>
      </c>
      <c r="AP314" s="39">
        <v>78.91813690780414</v>
      </c>
      <c r="AQ314" s="39">
        <v>0</v>
      </c>
      <c r="AR314" s="52">
        <v>-78.91813690780414</v>
      </c>
      <c r="AS314" s="39">
        <v>641.46266254981379</v>
      </c>
      <c r="AT314" s="39">
        <v>0</v>
      </c>
      <c r="AU314" s="54">
        <v>-641.46266254981379</v>
      </c>
      <c r="AV314" s="39">
        <v>0</v>
      </c>
      <c r="AW314" s="39">
        <v>0</v>
      </c>
      <c r="AX314" s="55">
        <v>0</v>
      </c>
      <c r="AY314" s="39">
        <v>0</v>
      </c>
      <c r="AZ314" s="39">
        <v>0</v>
      </c>
      <c r="BA314" s="35">
        <v>0</v>
      </c>
      <c r="BB314" s="39">
        <v>0</v>
      </c>
      <c r="BC314" s="39">
        <v>0</v>
      </c>
      <c r="BD314" s="55">
        <v>0</v>
      </c>
      <c r="BE314" s="39">
        <v>0</v>
      </c>
      <c r="BF314" s="39">
        <v>0</v>
      </c>
      <c r="BG314" s="38">
        <v>0</v>
      </c>
      <c r="BH314" s="39">
        <v>0</v>
      </c>
      <c r="BI314" s="39">
        <v>0</v>
      </c>
      <c r="BJ314" s="55">
        <v>0</v>
      </c>
      <c r="BK314" s="39">
        <v>0</v>
      </c>
      <c r="BL314" s="39">
        <v>0</v>
      </c>
      <c r="BM314" s="38">
        <v>0</v>
      </c>
      <c r="BN314" s="39">
        <v>0</v>
      </c>
      <c r="BO314" s="39">
        <v>0</v>
      </c>
      <c r="BP314" s="55">
        <v>0</v>
      </c>
      <c r="BQ314" s="77">
        <v>0</v>
      </c>
      <c r="BR314" s="40">
        <v>0</v>
      </c>
      <c r="BS314" s="55">
        <v>0</v>
      </c>
      <c r="BT314" s="39">
        <v>87.732372765390863</v>
      </c>
      <c r="BU314" s="39">
        <v>42.20099307647201</v>
      </c>
      <c r="BV314" s="52">
        <v>-45.531379688918854</v>
      </c>
      <c r="BW314" s="39">
        <v>0</v>
      </c>
      <c r="BX314" s="39">
        <v>1.320023655970231</v>
      </c>
      <c r="BY314" s="52">
        <v>1.320023655970231</v>
      </c>
      <c r="BZ314" s="39">
        <v>0</v>
      </c>
      <c r="CA314" s="39">
        <v>145.85607399695033</v>
      </c>
      <c r="CB314" s="52">
        <v>145.85607399695033</v>
      </c>
      <c r="CC314" s="39">
        <v>0</v>
      </c>
      <c r="CD314" s="39">
        <v>0</v>
      </c>
      <c r="CE314" s="52">
        <v>0</v>
      </c>
      <c r="CF314" s="39">
        <v>0</v>
      </c>
      <c r="CG314" s="39">
        <v>0</v>
      </c>
      <c r="CH314" s="52">
        <v>0</v>
      </c>
      <c r="CI314" s="39">
        <v>0</v>
      </c>
      <c r="CJ314" s="39">
        <v>0</v>
      </c>
      <c r="CK314" s="52">
        <v>0</v>
      </c>
      <c r="CL314" s="39">
        <v>0</v>
      </c>
      <c r="CM314" s="39">
        <v>0</v>
      </c>
      <c r="CN314" s="52">
        <v>0</v>
      </c>
      <c r="CO314" s="39">
        <v>0</v>
      </c>
      <c r="CP314" s="40">
        <v>0</v>
      </c>
      <c r="CQ314" s="52">
        <v>0</v>
      </c>
      <c r="CR314" s="72">
        <v>808.11317222300886</v>
      </c>
      <c r="CS314" s="5">
        <v>384.38055136244543</v>
      </c>
      <c r="CT314" s="52">
        <v>-423.73262086056343</v>
      </c>
      <c r="CU314" s="77">
        <v>969.73580666761063</v>
      </c>
      <c r="CV314" s="65">
        <v>461.25666163493452</v>
      </c>
      <c r="CW314" s="35">
        <v>-508.47914503267612</v>
      </c>
      <c r="CX314" s="39">
        <v>24.243395166690263</v>
      </c>
      <c r="CY314" s="39">
        <v>532.72254019936622</v>
      </c>
      <c r="CZ314" s="52">
        <v>508.47914503267594</v>
      </c>
      <c r="DA314" s="150">
        <v>-9207.0687903385879</v>
      </c>
      <c r="DB314" s="2">
        <v>3</v>
      </c>
      <c r="DC314" s="713">
        <v>1219.45</v>
      </c>
      <c r="DD314" s="714"/>
      <c r="DE314" s="715">
        <v>722.46039908284979</v>
      </c>
      <c r="DF314" s="716">
        <v>0</v>
      </c>
      <c r="DG314" s="717">
        <v>-4982.4488735435079</v>
      </c>
      <c r="DH314" s="718">
        <v>4756.6754766751101</v>
      </c>
      <c r="DI314" s="718">
        <v>11927.75042201161</v>
      </c>
      <c r="DJ314" s="693">
        <v>10134.981685677485</v>
      </c>
      <c r="DK314" s="724"/>
      <c r="DL314" s="5"/>
      <c r="DM314" s="306">
        <v>1.5240404811933463</v>
      </c>
      <c r="DN314" s="306"/>
      <c r="DO314" s="306">
        <v>1.5240404811933463</v>
      </c>
      <c r="DP314" s="719">
        <v>496.98960091715026</v>
      </c>
      <c r="DQ314" s="720">
        <v>0</v>
      </c>
      <c r="DR314" s="650">
        <v>496.98960091715026</v>
      </c>
      <c r="DS314" s="94">
        <v>496.9896009171506</v>
      </c>
      <c r="DT314" s="719">
        <v>496.98</v>
      </c>
      <c r="DU314" s="721"/>
      <c r="DV314" s="93">
        <v>496.98</v>
      </c>
      <c r="DW314" s="95">
        <v>499.41394043381945</v>
      </c>
      <c r="DX314" s="28">
        <v>-2.4339404338194299</v>
      </c>
      <c r="EA314" s="5">
        <v>769.7551950597765</v>
      </c>
      <c r="EB314" s="5">
        <v>0</v>
      </c>
      <c r="EE314" s="722">
        <v>7697.5519505977654</v>
      </c>
      <c r="EG314" s="42" t="s">
        <v>145</v>
      </c>
    </row>
    <row r="315" spans="1:137" x14ac:dyDescent="0.3">
      <c r="A315" s="325">
        <v>150000708</v>
      </c>
      <c r="B315" s="41" t="s">
        <v>789</v>
      </c>
      <c r="C315" s="42" t="s">
        <v>146</v>
      </c>
      <c r="D315" s="27">
        <v>1</v>
      </c>
      <c r="E315" s="709">
        <v>241.4</v>
      </c>
      <c r="F315" s="723">
        <v>241.4</v>
      </c>
      <c r="G315" s="28"/>
      <c r="H315" s="651">
        <v>0</v>
      </c>
      <c r="I315" s="39">
        <v>0</v>
      </c>
      <c r="J315" s="39">
        <v>0</v>
      </c>
      <c r="K315" s="52">
        <v>0</v>
      </c>
      <c r="L315" s="39">
        <v>0</v>
      </c>
      <c r="M315" s="39">
        <v>0</v>
      </c>
      <c r="N315" s="52">
        <v>0</v>
      </c>
      <c r="O315" s="39">
        <v>0</v>
      </c>
      <c r="P315" s="39">
        <v>0</v>
      </c>
      <c r="Q315" s="52">
        <v>0</v>
      </c>
      <c r="R315" s="39">
        <v>0</v>
      </c>
      <c r="S315" s="39">
        <v>0</v>
      </c>
      <c r="T315" s="52">
        <v>0</v>
      </c>
      <c r="U315" s="39">
        <v>0</v>
      </c>
      <c r="V315" s="39">
        <v>0</v>
      </c>
      <c r="W315" s="52">
        <v>0</v>
      </c>
      <c r="X315" s="39">
        <v>0</v>
      </c>
      <c r="Y315" s="39">
        <v>0</v>
      </c>
      <c r="Z315" s="52">
        <v>0</v>
      </c>
      <c r="AA315" s="39">
        <v>0</v>
      </c>
      <c r="AB315" s="39">
        <v>0</v>
      </c>
      <c r="AC315" s="52">
        <v>0</v>
      </c>
      <c r="AD315" s="39">
        <v>0</v>
      </c>
      <c r="AE315" s="39">
        <v>144.35398772406921</v>
      </c>
      <c r="AF315" s="35">
        <v>144.35398772406921</v>
      </c>
      <c r="AG315" s="77">
        <v>0</v>
      </c>
      <c r="AH315" s="53">
        <v>144.35398772406921</v>
      </c>
      <c r="AI315" s="52">
        <v>144.35398772406921</v>
      </c>
      <c r="AJ315" s="39">
        <v>0</v>
      </c>
      <c r="AK315" s="39">
        <v>0</v>
      </c>
      <c r="AL315" s="52">
        <v>0</v>
      </c>
      <c r="AM315" s="39">
        <v>0</v>
      </c>
      <c r="AN315" s="39">
        <v>0</v>
      </c>
      <c r="AO315" s="52">
        <v>0</v>
      </c>
      <c r="AP315" s="39">
        <v>86.809950598584564</v>
      </c>
      <c r="AQ315" s="39">
        <v>0</v>
      </c>
      <c r="AR315" s="52">
        <v>-86.809950598584564</v>
      </c>
      <c r="AS315" s="39">
        <v>488.70442035541703</v>
      </c>
      <c r="AT315" s="39">
        <v>0</v>
      </c>
      <c r="AU315" s="54">
        <v>-488.70442035541703</v>
      </c>
      <c r="AV315" s="39">
        <v>0</v>
      </c>
      <c r="AW315" s="39">
        <v>0</v>
      </c>
      <c r="AX315" s="55">
        <v>0</v>
      </c>
      <c r="AY315" s="39">
        <v>0</v>
      </c>
      <c r="AZ315" s="39">
        <v>0</v>
      </c>
      <c r="BA315" s="35">
        <v>0</v>
      </c>
      <c r="BB315" s="39">
        <v>0</v>
      </c>
      <c r="BC315" s="39">
        <v>0</v>
      </c>
      <c r="BD315" s="55">
        <v>0</v>
      </c>
      <c r="BE315" s="39">
        <v>0</v>
      </c>
      <c r="BF315" s="39">
        <v>0</v>
      </c>
      <c r="BG315" s="38">
        <v>0</v>
      </c>
      <c r="BH315" s="39">
        <v>0</v>
      </c>
      <c r="BI315" s="39">
        <v>0</v>
      </c>
      <c r="BJ315" s="55">
        <v>0</v>
      </c>
      <c r="BK315" s="39">
        <v>0</v>
      </c>
      <c r="BL315" s="39">
        <v>0</v>
      </c>
      <c r="BM315" s="38">
        <v>0</v>
      </c>
      <c r="BN315" s="39">
        <v>0</v>
      </c>
      <c r="BO315" s="39">
        <v>0</v>
      </c>
      <c r="BP315" s="55">
        <v>0</v>
      </c>
      <c r="BQ315" s="77">
        <v>0</v>
      </c>
      <c r="BR315" s="40">
        <v>0</v>
      </c>
      <c r="BS315" s="55">
        <v>0</v>
      </c>
      <c r="BT315" s="39">
        <v>19.939175628497924</v>
      </c>
      <c r="BU315" s="39">
        <v>9.5855067403526881</v>
      </c>
      <c r="BV315" s="52">
        <v>-10.353668888145236</v>
      </c>
      <c r="BW315" s="39">
        <v>0</v>
      </c>
      <c r="BX315" s="39">
        <v>0.97716562573202603</v>
      </c>
      <c r="BY315" s="52">
        <v>0.97716562573202603</v>
      </c>
      <c r="BZ315" s="39">
        <v>0</v>
      </c>
      <c r="CA315" s="39">
        <v>33.139179189040775</v>
      </c>
      <c r="CB315" s="52">
        <v>33.139179189040775</v>
      </c>
      <c r="CC315" s="39">
        <v>0</v>
      </c>
      <c r="CD315" s="39">
        <v>0</v>
      </c>
      <c r="CE315" s="52">
        <v>0</v>
      </c>
      <c r="CF315" s="39">
        <v>0</v>
      </c>
      <c r="CG315" s="39">
        <v>0</v>
      </c>
      <c r="CH315" s="52">
        <v>0</v>
      </c>
      <c r="CI315" s="39">
        <v>0</v>
      </c>
      <c r="CJ315" s="39">
        <v>0</v>
      </c>
      <c r="CK315" s="52">
        <v>0</v>
      </c>
      <c r="CL315" s="39">
        <v>0</v>
      </c>
      <c r="CM315" s="39">
        <v>0</v>
      </c>
      <c r="CN315" s="52">
        <v>0</v>
      </c>
      <c r="CO315" s="39">
        <v>0</v>
      </c>
      <c r="CP315" s="40">
        <v>0</v>
      </c>
      <c r="CQ315" s="52">
        <v>0</v>
      </c>
      <c r="CR315" s="72">
        <v>595.45354658249948</v>
      </c>
      <c r="CS315" s="5">
        <v>188.05583927919469</v>
      </c>
      <c r="CT315" s="52">
        <v>-407.3977073033048</v>
      </c>
      <c r="CU315" s="77">
        <v>714.54425589899938</v>
      </c>
      <c r="CV315" s="65">
        <v>225.66700713503363</v>
      </c>
      <c r="CW315" s="35">
        <v>-488.87724876396578</v>
      </c>
      <c r="CX315" s="39">
        <v>17.863606397474985</v>
      </c>
      <c r="CY315" s="39">
        <v>506.74085516144072</v>
      </c>
      <c r="CZ315" s="52">
        <v>488.87724876396572</v>
      </c>
      <c r="DA315" s="150">
        <v>-4836.9393245802485</v>
      </c>
      <c r="DB315" s="2">
        <v>3</v>
      </c>
      <c r="DC315" s="713">
        <v>518.51</v>
      </c>
      <c r="DD315" s="714"/>
      <c r="DE315" s="715">
        <v>152.3060688517628</v>
      </c>
      <c r="DF315" s="716">
        <v>0</v>
      </c>
      <c r="DG315" s="717">
        <v>-1684.9861657746908</v>
      </c>
      <c r="DH315" s="718">
        <v>3509.7093698450462</v>
      </c>
      <c r="DI315" s="718">
        <v>8788.8943475576925</v>
      </c>
      <c r="DJ315" s="693">
        <v>7469.0981031295305</v>
      </c>
      <c r="DK315" s="724"/>
      <c r="DL315" s="5"/>
      <c r="DM315" s="306">
        <v>1.5170005432818441</v>
      </c>
      <c r="DN315" s="306"/>
      <c r="DO315" s="306">
        <v>1.5170005432818441</v>
      </c>
      <c r="DP315" s="719">
        <v>366.20393114823719</v>
      </c>
      <c r="DQ315" s="720">
        <v>0</v>
      </c>
      <c r="DR315" s="650">
        <v>366.20393114823719</v>
      </c>
      <c r="DS315" s="94">
        <v>366.20393114823719</v>
      </c>
      <c r="DT315" s="719">
        <v>366.2</v>
      </c>
      <c r="DU315" s="721"/>
      <c r="DV315" s="93">
        <v>366.2</v>
      </c>
      <c r="DW315" s="95">
        <v>367.99029178798469</v>
      </c>
      <c r="DX315" s="28">
        <v>-1.7902917879846996</v>
      </c>
      <c r="EA315" s="5">
        <v>586.44530442650046</v>
      </c>
      <c r="EB315" s="5">
        <v>0</v>
      </c>
      <c r="EE315" s="722">
        <v>5864.4530442650048</v>
      </c>
      <c r="EG315" s="42" t="s">
        <v>146</v>
      </c>
    </row>
    <row r="316" spans="1:137" x14ac:dyDescent="0.3">
      <c r="A316" s="325">
        <v>150000591</v>
      </c>
      <c r="B316" s="41" t="s">
        <v>790</v>
      </c>
      <c r="C316" s="42" t="s">
        <v>192</v>
      </c>
      <c r="D316" s="27">
        <v>2</v>
      </c>
      <c r="E316" s="709">
        <v>148.4</v>
      </c>
      <c r="F316" s="723">
        <v>148.4</v>
      </c>
      <c r="G316" s="28"/>
      <c r="H316" s="651">
        <v>0</v>
      </c>
      <c r="I316" s="39">
        <v>158.05032189664524</v>
      </c>
      <c r="J316" s="39">
        <v>147.94803010743243</v>
      </c>
      <c r="K316" s="52">
        <v>-10.102291789212813</v>
      </c>
      <c r="L316" s="39">
        <v>27.271513426927882</v>
      </c>
      <c r="M316" s="39">
        <v>23.600929468709886</v>
      </c>
      <c r="N316" s="52">
        <v>-3.6705839582179962</v>
      </c>
      <c r="O316" s="39">
        <v>41.28</v>
      </c>
      <c r="P316" s="39">
        <v>41.28</v>
      </c>
      <c r="Q316" s="52">
        <v>0</v>
      </c>
      <c r="R316" s="39">
        <v>12.44</v>
      </c>
      <c r="S316" s="39">
        <v>12.44</v>
      </c>
      <c r="T316" s="52">
        <v>0</v>
      </c>
      <c r="U316" s="39">
        <v>0</v>
      </c>
      <c r="V316" s="39">
        <v>0</v>
      </c>
      <c r="W316" s="52">
        <v>0</v>
      </c>
      <c r="X316" s="39">
        <v>79.672767514422688</v>
      </c>
      <c r="Y316" s="39">
        <v>46.223464112494945</v>
      </c>
      <c r="Z316" s="52">
        <v>-33.449303401927743</v>
      </c>
      <c r="AA316" s="39">
        <v>0</v>
      </c>
      <c r="AB316" s="39">
        <v>0</v>
      </c>
      <c r="AC316" s="52">
        <v>0</v>
      </c>
      <c r="AD316" s="39">
        <v>105.75556658791288</v>
      </c>
      <c r="AE316" s="39">
        <v>88.741225262021004</v>
      </c>
      <c r="AF316" s="35">
        <v>-17.014341325891877</v>
      </c>
      <c r="AG316" s="77">
        <v>424.47016942590869</v>
      </c>
      <c r="AH316" s="53">
        <v>360.23364895065822</v>
      </c>
      <c r="AI316" s="52">
        <v>-64.236520475250472</v>
      </c>
      <c r="AJ316" s="39">
        <v>0</v>
      </c>
      <c r="AK316" s="39">
        <v>0</v>
      </c>
      <c r="AL316" s="52">
        <v>0</v>
      </c>
      <c r="AM316" s="39">
        <v>0</v>
      </c>
      <c r="AN316" s="39">
        <v>0</v>
      </c>
      <c r="AO316" s="52">
        <v>0</v>
      </c>
      <c r="AP316" s="39">
        <v>31.567254763121657</v>
      </c>
      <c r="AQ316" s="39">
        <v>0</v>
      </c>
      <c r="AR316" s="52">
        <v>-31.567254763121657</v>
      </c>
      <c r="AS316" s="39">
        <v>577.40207006763296</v>
      </c>
      <c r="AT316" s="39">
        <v>0</v>
      </c>
      <c r="AU316" s="54">
        <v>-577.40207006763296</v>
      </c>
      <c r="AV316" s="39">
        <v>34.501372213371873</v>
      </c>
      <c r="AW316" s="39">
        <v>0</v>
      </c>
      <c r="AX316" s="55">
        <v>-34.501372213371873</v>
      </c>
      <c r="AY316" s="39">
        <v>35.106725210817658</v>
      </c>
      <c r="AZ316" s="39">
        <v>0</v>
      </c>
      <c r="BA316" s="35">
        <v>-35.106725210817658</v>
      </c>
      <c r="BB316" s="39">
        <v>11.463616105968482</v>
      </c>
      <c r="BC316" s="39">
        <v>0</v>
      </c>
      <c r="BD316" s="55">
        <v>-11.463616105968482</v>
      </c>
      <c r="BE316" s="39">
        <v>17.956827810507491</v>
      </c>
      <c r="BF316" s="39">
        <v>0</v>
      </c>
      <c r="BG316" s="38">
        <v>-17.956827810507491</v>
      </c>
      <c r="BH316" s="39">
        <v>0</v>
      </c>
      <c r="BI316" s="39">
        <v>0</v>
      </c>
      <c r="BJ316" s="55">
        <v>0</v>
      </c>
      <c r="BK316" s="39">
        <v>9.8614204561619534</v>
      </c>
      <c r="BL316" s="39">
        <v>0</v>
      </c>
      <c r="BM316" s="38">
        <v>-9.8614204561619534</v>
      </c>
      <c r="BN316" s="39">
        <v>0</v>
      </c>
      <c r="BO316" s="39">
        <v>0</v>
      </c>
      <c r="BP316" s="55">
        <v>0</v>
      </c>
      <c r="BQ316" s="77">
        <v>108.88996179682746</v>
      </c>
      <c r="BR316" s="40">
        <v>0</v>
      </c>
      <c r="BS316" s="55">
        <v>-108.88996179682746</v>
      </c>
      <c r="BT316" s="39">
        <v>0</v>
      </c>
      <c r="BU316" s="39">
        <v>0</v>
      </c>
      <c r="BV316" s="52">
        <v>0</v>
      </c>
      <c r="BW316" s="39">
        <v>30.304542521382679</v>
      </c>
      <c r="BX316" s="39">
        <v>0.60070993727685451</v>
      </c>
      <c r="BY316" s="52">
        <v>-29.703832584105825</v>
      </c>
      <c r="BZ316" s="39">
        <v>0</v>
      </c>
      <c r="CA316" s="39">
        <v>0</v>
      </c>
      <c r="CB316" s="52">
        <v>0</v>
      </c>
      <c r="CC316" s="39">
        <v>0</v>
      </c>
      <c r="CD316" s="39">
        <v>0</v>
      </c>
      <c r="CE316" s="52">
        <v>0</v>
      </c>
      <c r="CF316" s="39">
        <v>0</v>
      </c>
      <c r="CG316" s="39">
        <v>0</v>
      </c>
      <c r="CH316" s="52">
        <v>0</v>
      </c>
      <c r="CI316" s="39">
        <v>18.717525177192133</v>
      </c>
      <c r="CJ316" s="39">
        <v>13.851099902961959</v>
      </c>
      <c r="CK316" s="52">
        <v>-4.8664252742301741</v>
      </c>
      <c r="CL316" s="39">
        <v>0</v>
      </c>
      <c r="CM316" s="39">
        <v>0</v>
      </c>
      <c r="CN316" s="52">
        <v>0</v>
      </c>
      <c r="CO316" s="39">
        <v>18.717525177192133</v>
      </c>
      <c r="CP316" s="40">
        <v>13.851099902961959</v>
      </c>
      <c r="CQ316" s="52">
        <v>-4.8664252742301741</v>
      </c>
      <c r="CR316" s="72">
        <v>1191.3515237520655</v>
      </c>
      <c r="CS316" s="5">
        <v>374.68545879089703</v>
      </c>
      <c r="CT316" s="52">
        <v>-816.66606496116856</v>
      </c>
      <c r="CU316" s="77">
        <v>1429.6218285024786</v>
      </c>
      <c r="CV316" s="65">
        <v>449.62255054907644</v>
      </c>
      <c r="CW316" s="35">
        <v>-979.99927795340216</v>
      </c>
      <c r="CX316" s="39">
        <v>0</v>
      </c>
      <c r="CY316" s="39">
        <v>979.99927795340204</v>
      </c>
      <c r="CZ316" s="52">
        <v>979.99927795340204</v>
      </c>
      <c r="DA316" s="150">
        <v>-12456.831885688065</v>
      </c>
      <c r="DB316" s="2">
        <v>3</v>
      </c>
      <c r="DC316" s="713">
        <v>818.62</v>
      </c>
      <c r="DD316" s="714"/>
      <c r="DE316" s="715">
        <v>103.80908574876082</v>
      </c>
      <c r="DF316" s="716">
        <v>0</v>
      </c>
      <c r="DG316" s="717">
        <v>-5025.5966773732907</v>
      </c>
      <c r="DH316" s="718">
        <v>6870.7344981257847</v>
      </c>
      <c r="DI316" s="718">
        <v>17155.461942029742</v>
      </c>
      <c r="DJ316" s="693">
        <v>14584.280081053752</v>
      </c>
      <c r="DK316" s="724"/>
      <c r="DL316" s="5"/>
      <c r="DM316" s="306">
        <v>4.8167851364638761</v>
      </c>
      <c r="DN316" s="306"/>
      <c r="DO316" s="306">
        <v>4.6942600319299839</v>
      </c>
      <c r="DP316" s="719">
        <v>714.81091425123918</v>
      </c>
      <c r="DQ316" s="720">
        <v>0</v>
      </c>
      <c r="DR316" s="650">
        <v>714.81091425123918</v>
      </c>
      <c r="DS316" s="94">
        <v>714.81091425123941</v>
      </c>
      <c r="DT316" s="719">
        <v>638.95000000000005</v>
      </c>
      <c r="DU316" s="721"/>
      <c r="DV316" s="93">
        <v>638.95000000000005</v>
      </c>
      <c r="DW316" s="95">
        <v>714.8109142512393</v>
      </c>
      <c r="DX316" s="28">
        <v>-75.860914251239251</v>
      </c>
      <c r="EA316" s="5">
        <v>823.55043823735252</v>
      </c>
      <c r="EB316" s="5">
        <v>0</v>
      </c>
      <c r="EE316" s="722">
        <v>6928.824840811596</v>
      </c>
      <c r="EG316" s="42" t="s">
        <v>192</v>
      </c>
    </row>
    <row r="317" spans="1:137" x14ac:dyDescent="0.3">
      <c r="A317" s="325">
        <v>150000861</v>
      </c>
      <c r="B317" s="41" t="s">
        <v>791</v>
      </c>
      <c r="C317" s="42" t="s">
        <v>233</v>
      </c>
      <c r="D317" s="27">
        <v>4</v>
      </c>
      <c r="E317" s="709">
        <v>3401.3999999999996</v>
      </c>
      <c r="F317" s="723">
        <v>2784.6</v>
      </c>
      <c r="G317" s="28"/>
      <c r="H317" s="651">
        <v>616.79999999999995</v>
      </c>
      <c r="I317" s="39">
        <v>2004.3340630414596</v>
      </c>
      <c r="J317" s="39">
        <v>2148.4618456573994</v>
      </c>
      <c r="K317" s="52">
        <v>144.12778261593985</v>
      </c>
      <c r="L317" s="39">
        <v>407.00539732443775</v>
      </c>
      <c r="M317" s="39">
        <v>442.23210047819674</v>
      </c>
      <c r="N317" s="52">
        <v>35.22670315375899</v>
      </c>
      <c r="O317" s="39">
        <v>767.24</v>
      </c>
      <c r="P317" s="39">
        <v>767.24</v>
      </c>
      <c r="Q317" s="52">
        <v>0</v>
      </c>
      <c r="R317" s="39">
        <v>0</v>
      </c>
      <c r="S317" s="39">
        <v>0</v>
      </c>
      <c r="T317" s="52">
        <v>0</v>
      </c>
      <c r="U317" s="39">
        <v>0</v>
      </c>
      <c r="V317" s="39">
        <v>0</v>
      </c>
      <c r="W317" s="52">
        <v>0</v>
      </c>
      <c r="X317" s="39">
        <v>1841.1466847069255</v>
      </c>
      <c r="Y317" s="39">
        <v>1178.3616944851906</v>
      </c>
      <c r="Z317" s="52">
        <v>-662.78499022173492</v>
      </c>
      <c r="AA317" s="39">
        <v>0</v>
      </c>
      <c r="AB317" s="39">
        <v>0</v>
      </c>
      <c r="AC317" s="52">
        <v>0</v>
      </c>
      <c r="AD317" s="39">
        <v>2423.9688961733614</v>
      </c>
      <c r="AE317" s="39">
        <v>2033.9919380474275</v>
      </c>
      <c r="AF317" s="35">
        <v>-389.97695812593383</v>
      </c>
      <c r="AG317" s="77">
        <v>7443.6950412461829</v>
      </c>
      <c r="AH317" s="53">
        <v>6570.2875786682143</v>
      </c>
      <c r="AI317" s="52">
        <v>-873.40746257796854</v>
      </c>
      <c r="AJ317" s="39">
        <v>0</v>
      </c>
      <c r="AK317" s="39">
        <v>0</v>
      </c>
      <c r="AL317" s="52">
        <v>0</v>
      </c>
      <c r="AM317" s="39">
        <v>0</v>
      </c>
      <c r="AN317" s="39">
        <v>0</v>
      </c>
      <c r="AO317" s="52">
        <v>0</v>
      </c>
      <c r="AP317" s="39">
        <v>710.2632321702373</v>
      </c>
      <c r="AQ317" s="39">
        <v>2595.1481759382282</v>
      </c>
      <c r="AR317" s="52">
        <v>1884.884943767991</v>
      </c>
      <c r="AS317" s="39">
        <v>6510.7854720027708</v>
      </c>
      <c r="AT317" s="39">
        <v>67353</v>
      </c>
      <c r="AU317" s="54">
        <v>60842.214527997232</v>
      </c>
      <c r="AV317" s="39">
        <v>362.19421393906958</v>
      </c>
      <c r="AW317" s="39">
        <v>4774</v>
      </c>
      <c r="AX317" s="55">
        <v>4411.8057860609306</v>
      </c>
      <c r="AY317" s="39">
        <v>524.59024174180445</v>
      </c>
      <c r="AZ317" s="39">
        <v>0</v>
      </c>
      <c r="BA317" s="35">
        <v>-524.59024174180445</v>
      </c>
      <c r="BB317" s="39">
        <v>380.4641738473648</v>
      </c>
      <c r="BC317" s="39">
        <v>0</v>
      </c>
      <c r="BD317" s="55">
        <v>-380.4641738473648</v>
      </c>
      <c r="BE317" s="39">
        <v>0</v>
      </c>
      <c r="BF317" s="39">
        <v>0</v>
      </c>
      <c r="BG317" s="38">
        <v>0</v>
      </c>
      <c r="BH317" s="39">
        <v>0</v>
      </c>
      <c r="BI317" s="39">
        <v>0</v>
      </c>
      <c r="BJ317" s="55">
        <v>0</v>
      </c>
      <c r="BK317" s="39">
        <v>267.01036497539843</v>
      </c>
      <c r="BL317" s="39">
        <v>1029</v>
      </c>
      <c r="BM317" s="38">
        <v>761.98963502460151</v>
      </c>
      <c r="BN317" s="39">
        <v>0</v>
      </c>
      <c r="BO317" s="39">
        <v>0</v>
      </c>
      <c r="BP317" s="55">
        <v>0</v>
      </c>
      <c r="BQ317" s="77">
        <v>1534.2589945036373</v>
      </c>
      <c r="BR317" s="40">
        <v>5803</v>
      </c>
      <c r="BS317" s="55">
        <v>4268.741005496363</v>
      </c>
      <c r="BT317" s="39">
        <v>6010.8189774226976</v>
      </c>
      <c r="BU317" s="39">
        <v>1753.0924475178188</v>
      </c>
      <c r="BV317" s="52">
        <v>-4257.7265299048786</v>
      </c>
      <c r="BW317" s="39">
        <v>4406.816469451157</v>
      </c>
      <c r="BX317" s="39">
        <v>3806.825693115331</v>
      </c>
      <c r="BY317" s="52">
        <v>-599.99077633582601</v>
      </c>
      <c r="BZ317" s="39">
        <v>2486.2436019213378</v>
      </c>
      <c r="CA317" s="39">
        <v>7300.0504086314268</v>
      </c>
      <c r="CB317" s="52">
        <v>4813.8068067100885</v>
      </c>
      <c r="CC317" s="39">
        <v>361.55261853161829</v>
      </c>
      <c r="CD317" s="39">
        <v>356.69764787425959</v>
      </c>
      <c r="CE317" s="52">
        <v>-4.8549706573587059</v>
      </c>
      <c r="CF317" s="39">
        <v>44.509318569233315</v>
      </c>
      <c r="CG317" s="39">
        <v>0</v>
      </c>
      <c r="CH317" s="52">
        <v>-44.509318569233315</v>
      </c>
      <c r="CI317" s="39">
        <v>1154.2473859268484</v>
      </c>
      <c r="CJ317" s="39">
        <v>1350.0453872126998</v>
      </c>
      <c r="CK317" s="52">
        <v>195.79800128585134</v>
      </c>
      <c r="CL317" s="39">
        <v>0</v>
      </c>
      <c r="CM317" s="39">
        <v>0</v>
      </c>
      <c r="CN317" s="52">
        <v>0</v>
      </c>
      <c r="CO317" s="39">
        <v>1154.2473859268484</v>
      </c>
      <c r="CP317" s="40">
        <v>1350.0453872126998</v>
      </c>
      <c r="CQ317" s="52">
        <v>195.79800128585134</v>
      </c>
      <c r="CR317" s="72">
        <v>30663.191111745728</v>
      </c>
      <c r="CS317" s="5">
        <v>96888.147338957977</v>
      </c>
      <c r="CT317" s="52">
        <v>66224.956227212242</v>
      </c>
      <c r="CU317" s="77">
        <v>36795.829334094873</v>
      </c>
      <c r="CV317" s="65">
        <v>116265.77680674956</v>
      </c>
      <c r="CW317" s="35">
        <v>79469.947472654691</v>
      </c>
      <c r="CX317" s="39">
        <v>919.89573335237185</v>
      </c>
      <c r="CY317" s="39">
        <v>-78550.051739302347</v>
      </c>
      <c r="CZ317" s="52">
        <v>-79469.94747265472</v>
      </c>
      <c r="DA317" s="150">
        <v>-46542.135950811287</v>
      </c>
      <c r="DB317" s="2">
        <v>2</v>
      </c>
      <c r="DC317" s="713">
        <v>37926.339999999997</v>
      </c>
      <c r="DD317" s="714">
        <v>18415.830000000002</v>
      </c>
      <c r="DE317" s="715">
        <v>21996.649132593444</v>
      </c>
      <c r="DF317" s="716">
        <v>15487.658333682932</v>
      </c>
      <c r="DG317" s="717">
        <v>-15658.266024667464</v>
      </c>
      <c r="DH317" s="718">
        <v>178731.51812526214</v>
      </c>
      <c r="DI317" s="718">
        <v>452588.70080936694</v>
      </c>
      <c r="DJ317" s="693">
        <v>384124.40513834072</v>
      </c>
      <c r="DK317" s="724"/>
      <c r="DL317" s="5"/>
      <c r="DM317" s="306">
        <v>5.7206388233162944</v>
      </c>
      <c r="DN317" s="306"/>
      <c r="DO317" s="306">
        <v>4.7473600296969378</v>
      </c>
      <c r="DP317" s="719">
        <v>15929.690867406553</v>
      </c>
      <c r="DQ317" s="720">
        <v>2928.171666317071</v>
      </c>
      <c r="DR317" s="650">
        <v>18857.862533723623</v>
      </c>
      <c r="DS317" s="94">
        <v>18857.862533723623</v>
      </c>
      <c r="DT317" s="719">
        <v>15923.31</v>
      </c>
      <c r="DU317" s="725">
        <v>2928.2099999999996</v>
      </c>
      <c r="DV317" s="93">
        <v>18851.52</v>
      </c>
      <c r="DW317" s="95">
        <v>18949.852107058858</v>
      </c>
      <c r="DX317" s="28">
        <v>-98.332107058857218</v>
      </c>
      <c r="EA317" s="5">
        <v>9654.053359807689</v>
      </c>
      <c r="EB317" s="5">
        <v>87787.199999999997</v>
      </c>
      <c r="EE317" s="722">
        <v>78129.425664033246</v>
      </c>
      <c r="EG317" s="42" t="s">
        <v>233</v>
      </c>
    </row>
    <row r="318" spans="1:137" x14ac:dyDescent="0.3">
      <c r="A318" s="325">
        <v>150000872</v>
      </c>
      <c r="B318" s="41" t="s">
        <v>792</v>
      </c>
      <c r="C318" s="42" t="s">
        <v>234</v>
      </c>
      <c r="D318" s="27">
        <v>4</v>
      </c>
      <c r="E318" s="709">
        <v>1210.4000000000001</v>
      </c>
      <c r="F318" s="723">
        <v>1113.4000000000001</v>
      </c>
      <c r="G318" s="28"/>
      <c r="H318" s="651">
        <v>97</v>
      </c>
      <c r="I318" s="39">
        <v>1279.2848239882026</v>
      </c>
      <c r="J318" s="39">
        <v>1372.3049624271071</v>
      </c>
      <c r="K318" s="52">
        <v>93.020138438904496</v>
      </c>
      <c r="L318" s="39">
        <v>311.48053282578826</v>
      </c>
      <c r="M318" s="39">
        <v>338.43910658188423</v>
      </c>
      <c r="N318" s="52">
        <v>26.958573756095973</v>
      </c>
      <c r="O318" s="39">
        <v>278.76</v>
      </c>
      <c r="P318" s="39">
        <v>278.76</v>
      </c>
      <c r="Q318" s="52">
        <v>0</v>
      </c>
      <c r="R318" s="39">
        <v>67.94</v>
      </c>
      <c r="S318" s="39">
        <v>67.94</v>
      </c>
      <c r="T318" s="52">
        <v>0</v>
      </c>
      <c r="U318" s="39">
        <v>0</v>
      </c>
      <c r="V318" s="39">
        <v>0</v>
      </c>
      <c r="W318" s="52">
        <v>0</v>
      </c>
      <c r="X318" s="39">
        <v>493.03019413598702</v>
      </c>
      <c r="Y318" s="39">
        <v>286.63028763567911</v>
      </c>
      <c r="Z318" s="52">
        <v>-206.39990650030791</v>
      </c>
      <c r="AA318" s="39">
        <v>0</v>
      </c>
      <c r="AB318" s="39">
        <v>0</v>
      </c>
      <c r="AC318" s="52">
        <v>0</v>
      </c>
      <c r="AD318" s="39">
        <v>862.57774796502531</v>
      </c>
      <c r="AE318" s="39">
        <v>723.80309337702306</v>
      </c>
      <c r="AF318" s="35">
        <v>-138.77465458800225</v>
      </c>
      <c r="AG318" s="77">
        <v>3293.0732989150029</v>
      </c>
      <c r="AH318" s="53">
        <v>3067.8774500216932</v>
      </c>
      <c r="AI318" s="52">
        <v>-225.19584889330963</v>
      </c>
      <c r="AJ318" s="39">
        <v>0</v>
      </c>
      <c r="AK318" s="39">
        <v>0</v>
      </c>
      <c r="AL318" s="52">
        <v>0</v>
      </c>
      <c r="AM318" s="39">
        <v>0</v>
      </c>
      <c r="AN318" s="39">
        <v>0</v>
      </c>
      <c r="AO318" s="52">
        <v>0</v>
      </c>
      <c r="AP318" s="39">
        <v>165.7280875063887</v>
      </c>
      <c r="AQ318" s="39">
        <v>840.07208481914631</v>
      </c>
      <c r="AR318" s="52">
        <v>674.34399731275766</v>
      </c>
      <c r="AS318" s="39">
        <v>2091.0073168983063</v>
      </c>
      <c r="AT318" s="39">
        <v>3694</v>
      </c>
      <c r="AU318" s="54">
        <v>1602.9926831016937</v>
      </c>
      <c r="AV318" s="39">
        <v>242.96787395953822</v>
      </c>
      <c r="AW318" s="39">
        <v>0</v>
      </c>
      <c r="AX318" s="55">
        <v>-242.96787395953822</v>
      </c>
      <c r="AY318" s="39">
        <v>401.48853384265288</v>
      </c>
      <c r="AZ318" s="39">
        <v>0</v>
      </c>
      <c r="BA318" s="35">
        <v>-401.48853384265288</v>
      </c>
      <c r="BB318" s="39">
        <v>162.10302398842919</v>
      </c>
      <c r="BC318" s="39">
        <v>0</v>
      </c>
      <c r="BD318" s="55">
        <v>-162.10302398842919</v>
      </c>
      <c r="BE318" s="39">
        <v>72.616538247391418</v>
      </c>
      <c r="BF318" s="39">
        <v>0</v>
      </c>
      <c r="BG318" s="38">
        <v>-72.616538247391418</v>
      </c>
      <c r="BH318" s="39">
        <v>0</v>
      </c>
      <c r="BI318" s="39">
        <v>0</v>
      </c>
      <c r="BJ318" s="55">
        <v>0</v>
      </c>
      <c r="BK318" s="39">
        <v>56.996604701232371</v>
      </c>
      <c r="BL318" s="39">
        <v>0</v>
      </c>
      <c r="BM318" s="38">
        <v>-56.996604701232371</v>
      </c>
      <c r="BN318" s="39">
        <v>0</v>
      </c>
      <c r="BO318" s="39">
        <v>0</v>
      </c>
      <c r="BP318" s="55">
        <v>0</v>
      </c>
      <c r="BQ318" s="77">
        <v>936.17257473924406</v>
      </c>
      <c r="BR318" s="40">
        <v>0</v>
      </c>
      <c r="BS318" s="55">
        <v>-936.17257473924406</v>
      </c>
      <c r="BT318" s="39">
        <v>3121.2606851033652</v>
      </c>
      <c r="BU318" s="39">
        <v>813.48523782962104</v>
      </c>
      <c r="BV318" s="52">
        <v>-2307.7754472737442</v>
      </c>
      <c r="BW318" s="39">
        <v>1332.5065156875817</v>
      </c>
      <c r="BX318" s="39">
        <v>1145.1075071008358</v>
      </c>
      <c r="BY318" s="52">
        <v>-187.39900858674582</v>
      </c>
      <c r="BZ318" s="39">
        <v>893.91182069408126</v>
      </c>
      <c r="CA318" s="39">
        <v>3291.2633883978815</v>
      </c>
      <c r="CB318" s="52">
        <v>2397.3515677038004</v>
      </c>
      <c r="CC318" s="39">
        <v>152.80185375009208</v>
      </c>
      <c r="CD318" s="39">
        <v>150.75001266715483</v>
      </c>
      <c r="CE318" s="52">
        <v>-2.0518410829372442</v>
      </c>
      <c r="CF318" s="39">
        <v>18.810834268477251</v>
      </c>
      <c r="CG318" s="39">
        <v>0</v>
      </c>
      <c r="CH318" s="52">
        <v>-18.810834268477251</v>
      </c>
      <c r="CI318" s="39">
        <v>227.72988965583764</v>
      </c>
      <c r="CJ318" s="39">
        <v>754.42177807464236</v>
      </c>
      <c r="CK318" s="52">
        <v>526.69188841880475</v>
      </c>
      <c r="CL318" s="39">
        <v>0</v>
      </c>
      <c r="CM318" s="39">
        <v>0</v>
      </c>
      <c r="CN318" s="52">
        <v>0</v>
      </c>
      <c r="CO318" s="39">
        <v>227.72988965583764</v>
      </c>
      <c r="CP318" s="40">
        <v>754.42177807464236</v>
      </c>
      <c r="CQ318" s="52">
        <v>526.69188841880475</v>
      </c>
      <c r="CR318" s="72">
        <v>12233.002877218376</v>
      </c>
      <c r="CS318" s="5">
        <v>13756.977458910977</v>
      </c>
      <c r="CT318" s="52">
        <v>1523.9745816926006</v>
      </c>
      <c r="CU318" s="77">
        <v>14679.603452662051</v>
      </c>
      <c r="CV318" s="65">
        <v>16508.37295069317</v>
      </c>
      <c r="CW318" s="35">
        <v>1828.7694980311189</v>
      </c>
      <c r="CX318" s="39">
        <v>366.9900863165513</v>
      </c>
      <c r="CY318" s="39">
        <v>-1461.7794117145659</v>
      </c>
      <c r="CZ318" s="52">
        <v>-1828.7694980311171</v>
      </c>
      <c r="DA318" s="150">
        <v>-7052.2160496463002</v>
      </c>
      <c r="DB318" s="2">
        <v>2</v>
      </c>
      <c r="DC318" s="713">
        <v>10862.98</v>
      </c>
      <c r="DD318" s="714">
        <v>858.03</v>
      </c>
      <c r="DE318" s="715">
        <v>3876.9181201728916</v>
      </c>
      <c r="DF318" s="716">
        <v>320.79511033780614</v>
      </c>
      <c r="DG318" s="717">
        <v>-3521.8226127372577</v>
      </c>
      <c r="DH318" s="718">
        <v>72081.523902954694</v>
      </c>
      <c r="DI318" s="718">
        <v>180559.12246774323</v>
      </c>
      <c r="DJ318" s="693">
        <v>153439.72282654609</v>
      </c>
      <c r="DK318" s="724"/>
      <c r="DL318" s="5"/>
      <c r="DM318" s="306">
        <v>6.2745301597153826</v>
      </c>
      <c r="DN318" s="306"/>
      <c r="DO318" s="306">
        <v>5.5385040171360194</v>
      </c>
      <c r="DP318" s="719">
        <v>6986.061879827108</v>
      </c>
      <c r="DQ318" s="720">
        <v>537.23488966219384</v>
      </c>
      <c r="DR318" s="650">
        <v>7523.2967694893014</v>
      </c>
      <c r="DS318" s="94">
        <v>7523.2967694893014</v>
      </c>
      <c r="DT318" s="719">
        <v>6981.63</v>
      </c>
      <c r="DU318" s="725">
        <v>537.24</v>
      </c>
      <c r="DV318" s="93">
        <v>7518.87</v>
      </c>
      <c r="DW318" s="95">
        <v>7559.9957781209578</v>
      </c>
      <c r="DX318" s="28">
        <v>-41.125778120957875</v>
      </c>
      <c r="EA318" s="5">
        <v>3632.61586996506</v>
      </c>
      <c r="EB318" s="5">
        <v>4432.8</v>
      </c>
      <c r="EE318" s="722">
        <v>25092.087802779675</v>
      </c>
      <c r="EG318" s="42" t="s">
        <v>234</v>
      </c>
    </row>
    <row r="319" spans="1:137" x14ac:dyDescent="0.3">
      <c r="A319" s="325">
        <v>150000862</v>
      </c>
      <c r="B319" s="41" t="s">
        <v>793</v>
      </c>
      <c r="C319" s="42" t="s">
        <v>235</v>
      </c>
      <c r="D319" s="27">
        <v>4</v>
      </c>
      <c r="E319" s="709">
        <v>4486.1000000000004</v>
      </c>
      <c r="F319" s="723">
        <v>3517.1</v>
      </c>
      <c r="G319" s="28"/>
      <c r="H319" s="651">
        <v>969</v>
      </c>
      <c r="I319" s="39">
        <v>2381.2507752590182</v>
      </c>
      <c r="J319" s="39">
        <v>2557.1303729427582</v>
      </c>
      <c r="K319" s="52">
        <v>175.87959768374003</v>
      </c>
      <c r="L319" s="39">
        <v>477.57619017621118</v>
      </c>
      <c r="M319" s="39">
        <v>518.911385075834</v>
      </c>
      <c r="N319" s="52">
        <v>41.33519489962282</v>
      </c>
      <c r="O319" s="39">
        <v>906.38</v>
      </c>
      <c r="P319" s="39">
        <v>906.38</v>
      </c>
      <c r="Q319" s="52">
        <v>0</v>
      </c>
      <c r="R319" s="39">
        <v>0</v>
      </c>
      <c r="S319" s="39">
        <v>0</v>
      </c>
      <c r="T319" s="52">
        <v>0</v>
      </c>
      <c r="U319" s="39">
        <v>0</v>
      </c>
      <c r="V319" s="39">
        <v>0</v>
      </c>
      <c r="W319" s="52">
        <v>0</v>
      </c>
      <c r="X319" s="39">
        <v>2338.7043276189638</v>
      </c>
      <c r="Y319" s="39">
        <v>1502.7414963380936</v>
      </c>
      <c r="Z319" s="52">
        <v>-835.9628312808702</v>
      </c>
      <c r="AA319" s="39">
        <v>0</v>
      </c>
      <c r="AB319" s="39">
        <v>0</v>
      </c>
      <c r="AC319" s="52">
        <v>0</v>
      </c>
      <c r="AD319" s="39">
        <v>3196.9679735177629</v>
      </c>
      <c r="AE319" s="39">
        <v>2682.6281040967151</v>
      </c>
      <c r="AF319" s="35">
        <v>-514.33986942104775</v>
      </c>
      <c r="AG319" s="77">
        <v>9300.8792665719557</v>
      </c>
      <c r="AH319" s="53">
        <v>8167.7913584534008</v>
      </c>
      <c r="AI319" s="52">
        <v>-1133.0879081185549</v>
      </c>
      <c r="AJ319" s="39">
        <v>0</v>
      </c>
      <c r="AK319" s="39">
        <v>0</v>
      </c>
      <c r="AL319" s="52">
        <v>0</v>
      </c>
      <c r="AM319" s="39">
        <v>0</v>
      </c>
      <c r="AN319" s="39">
        <v>0</v>
      </c>
      <c r="AO319" s="52">
        <v>0</v>
      </c>
      <c r="AP319" s="39">
        <v>1491.5527875574985</v>
      </c>
      <c r="AQ319" s="39">
        <v>0</v>
      </c>
      <c r="AR319" s="52">
        <v>-1491.5527875574985</v>
      </c>
      <c r="AS319" s="39">
        <v>7177.1206678136678</v>
      </c>
      <c r="AT319" s="39">
        <v>99.189788717910943</v>
      </c>
      <c r="AU319" s="54">
        <v>-7077.9308790957566</v>
      </c>
      <c r="AV319" s="39">
        <v>429.92685568395893</v>
      </c>
      <c r="AW319" s="39">
        <v>0</v>
      </c>
      <c r="AX319" s="55">
        <v>-429.92685568395893</v>
      </c>
      <c r="AY319" s="39">
        <v>615.50829442380814</v>
      </c>
      <c r="AZ319" s="39">
        <v>0</v>
      </c>
      <c r="BA319" s="35">
        <v>-615.50829442380814</v>
      </c>
      <c r="BB319" s="39">
        <v>420.47370380186715</v>
      </c>
      <c r="BC319" s="39">
        <v>0</v>
      </c>
      <c r="BD319" s="55">
        <v>-420.47370380186715</v>
      </c>
      <c r="BE319" s="39">
        <v>0</v>
      </c>
      <c r="BF319" s="39">
        <v>0</v>
      </c>
      <c r="BG319" s="38">
        <v>0</v>
      </c>
      <c r="BH319" s="39">
        <v>0</v>
      </c>
      <c r="BI319" s="39">
        <v>0</v>
      </c>
      <c r="BJ319" s="55">
        <v>0</v>
      </c>
      <c r="BK319" s="39">
        <v>0</v>
      </c>
      <c r="BL319" s="39">
        <v>0</v>
      </c>
      <c r="BM319" s="38">
        <v>0</v>
      </c>
      <c r="BN319" s="39">
        <v>0</v>
      </c>
      <c r="BO319" s="39">
        <v>0</v>
      </c>
      <c r="BP319" s="55">
        <v>0</v>
      </c>
      <c r="BQ319" s="77">
        <v>1465.9088539096342</v>
      </c>
      <c r="BR319" s="40">
        <v>0</v>
      </c>
      <c r="BS319" s="55">
        <v>-1465.9088539096342</v>
      </c>
      <c r="BT319" s="39">
        <v>12520.739435895232</v>
      </c>
      <c r="BU319" s="39">
        <v>3084.815528912528</v>
      </c>
      <c r="BV319" s="52">
        <v>-9435.9239069827036</v>
      </c>
      <c r="BW319" s="39">
        <v>5054.2773046667062</v>
      </c>
      <c r="BX319" s="39">
        <v>4415.6670237860908</v>
      </c>
      <c r="BY319" s="52">
        <v>-638.61028088061539</v>
      </c>
      <c r="BZ319" s="39">
        <v>2641.0555211789356</v>
      </c>
      <c r="CA319" s="39">
        <v>12799.747425533353</v>
      </c>
      <c r="CB319" s="52">
        <v>10158.691904354417</v>
      </c>
      <c r="CC319" s="39">
        <v>194.86280675541099</v>
      </c>
      <c r="CD319" s="39">
        <v>192.24616629834472</v>
      </c>
      <c r="CE319" s="52">
        <v>-2.6166404570662678</v>
      </c>
      <c r="CF319" s="39">
        <v>23.9887924982987</v>
      </c>
      <c r="CG319" s="39">
        <v>0</v>
      </c>
      <c r="CH319" s="52">
        <v>-23.9887924982987</v>
      </c>
      <c r="CI319" s="39">
        <v>346.2742157780545</v>
      </c>
      <c r="CJ319" s="39">
        <v>423.26378671613725</v>
      </c>
      <c r="CK319" s="52">
        <v>76.98957093808275</v>
      </c>
      <c r="CL319" s="39">
        <v>0</v>
      </c>
      <c r="CM319" s="39">
        <v>0</v>
      </c>
      <c r="CN319" s="52">
        <v>0</v>
      </c>
      <c r="CO319" s="39">
        <v>346.2742157780545</v>
      </c>
      <c r="CP319" s="40">
        <v>423.26378671613725</v>
      </c>
      <c r="CQ319" s="52">
        <v>76.98957093808275</v>
      </c>
      <c r="CR319" s="72">
        <v>40216.659652625385</v>
      </c>
      <c r="CS319" s="5">
        <v>29182.721078417762</v>
      </c>
      <c r="CT319" s="52">
        <v>-11033.938574207623</v>
      </c>
      <c r="CU319" s="77">
        <v>48259.991583150462</v>
      </c>
      <c r="CV319" s="65">
        <v>35019.265294101315</v>
      </c>
      <c r="CW319" s="35">
        <v>-13240.726289049147</v>
      </c>
      <c r="CX319" s="39">
        <v>1206.4997895787617</v>
      </c>
      <c r="CY319" s="39">
        <v>14447.226078627908</v>
      </c>
      <c r="CZ319" s="52">
        <v>13240.726289049146</v>
      </c>
      <c r="DA319" s="150">
        <v>238411.42368586533</v>
      </c>
      <c r="DB319" s="2">
        <v>2</v>
      </c>
      <c r="DC319" s="713">
        <v>40209.29</v>
      </c>
      <c r="DD319" s="714">
        <v>3688.8500000000004</v>
      </c>
      <c r="DE319" s="715">
        <v>20147.026753734979</v>
      </c>
      <c r="DF319" s="716">
        <v>-982.13244009958544</v>
      </c>
      <c r="DG319" s="717">
        <v>308215.72267989028</v>
      </c>
      <c r="DH319" s="718">
        <v>232460.17169076455</v>
      </c>
      <c r="DI319" s="718">
        <v>593597.8964727507</v>
      </c>
      <c r="DJ319" s="693">
        <v>503313.46527725412</v>
      </c>
      <c r="DK319" s="724"/>
      <c r="DL319" s="5"/>
      <c r="DM319" s="306">
        <v>5.7042060920261077</v>
      </c>
      <c r="DN319" s="306"/>
      <c r="DO319" s="306">
        <v>4.820415314860254</v>
      </c>
      <c r="DP319" s="719">
        <v>20062.263246265022</v>
      </c>
      <c r="DQ319" s="727">
        <v>4670.9824400995858</v>
      </c>
      <c r="DR319" s="650">
        <v>24733.245686364608</v>
      </c>
      <c r="DS319" s="94">
        <v>24733.245686364615</v>
      </c>
      <c r="DT319" s="719">
        <v>20075.919999999998</v>
      </c>
      <c r="DU319" s="728">
        <v>3224.8300000000004</v>
      </c>
      <c r="DV319" s="93">
        <v>23300.75</v>
      </c>
      <c r="DW319" s="95">
        <v>24853.895665322492</v>
      </c>
      <c r="DX319" s="28">
        <v>-1553.1456653224923</v>
      </c>
      <c r="DY319" s="94"/>
      <c r="EA319" s="5">
        <v>10371.635426067962</v>
      </c>
      <c r="EB319" s="5">
        <v>119.02774646149312</v>
      </c>
      <c r="EE319" s="722">
        <v>86125.44801376402</v>
      </c>
      <c r="EG319" s="42" t="s">
        <v>235</v>
      </c>
    </row>
    <row r="320" spans="1:137" x14ac:dyDescent="0.3">
      <c r="A320" s="325">
        <v>150000863</v>
      </c>
      <c r="B320" s="41" t="s">
        <v>794</v>
      </c>
      <c r="C320" s="42" t="s">
        <v>236</v>
      </c>
      <c r="D320" s="27">
        <v>4</v>
      </c>
      <c r="E320" s="709">
        <v>3322.9</v>
      </c>
      <c r="F320" s="723">
        <v>2278.4</v>
      </c>
      <c r="G320" s="28"/>
      <c r="H320" s="651">
        <v>1044.5</v>
      </c>
      <c r="I320" s="39">
        <v>1812.9250872823966</v>
      </c>
      <c r="J320" s="39">
        <v>1945.3975431407086</v>
      </c>
      <c r="K320" s="52">
        <v>132.47245585831206</v>
      </c>
      <c r="L320" s="39">
        <v>383.03749892546443</v>
      </c>
      <c r="M320" s="39">
        <v>416.19007929409355</v>
      </c>
      <c r="N320" s="52">
        <v>33.152580368629117</v>
      </c>
      <c r="O320" s="39">
        <v>681.68</v>
      </c>
      <c r="P320" s="39">
        <v>681.68</v>
      </c>
      <c r="Q320" s="52">
        <v>0</v>
      </c>
      <c r="R320" s="39">
        <v>196.26</v>
      </c>
      <c r="S320" s="39">
        <v>196.26</v>
      </c>
      <c r="T320" s="52">
        <v>0</v>
      </c>
      <c r="U320" s="39">
        <v>0</v>
      </c>
      <c r="V320" s="39">
        <v>0</v>
      </c>
      <c r="W320" s="52">
        <v>0</v>
      </c>
      <c r="X320" s="39">
        <v>1719.2560424194046</v>
      </c>
      <c r="Y320" s="39">
        <v>1078.1306948669182</v>
      </c>
      <c r="Z320" s="52">
        <v>-641.12534755248635</v>
      </c>
      <c r="AA320" s="39">
        <v>0</v>
      </c>
      <c r="AB320" s="39">
        <v>0</v>
      </c>
      <c r="AC320" s="52">
        <v>0</v>
      </c>
      <c r="AD320" s="39">
        <v>2368.0267669472755</v>
      </c>
      <c r="AE320" s="39">
        <v>1987.0499826359137</v>
      </c>
      <c r="AF320" s="35">
        <v>-380.97678431136183</v>
      </c>
      <c r="AG320" s="77">
        <v>7161.185395574541</v>
      </c>
      <c r="AH320" s="53">
        <v>6304.7082999376335</v>
      </c>
      <c r="AI320" s="52">
        <v>-856.47709563690751</v>
      </c>
      <c r="AJ320" s="39">
        <v>0</v>
      </c>
      <c r="AK320" s="39">
        <v>0</v>
      </c>
      <c r="AL320" s="52">
        <v>0</v>
      </c>
      <c r="AM320" s="39">
        <v>0</v>
      </c>
      <c r="AN320" s="39">
        <v>0</v>
      </c>
      <c r="AO320" s="52">
        <v>0</v>
      </c>
      <c r="AP320" s="39">
        <v>307.78073394043616</v>
      </c>
      <c r="AQ320" s="39">
        <v>0</v>
      </c>
      <c r="AR320" s="52">
        <v>-307.78073394043616</v>
      </c>
      <c r="AS320" s="39">
        <v>6661.9038663488545</v>
      </c>
      <c r="AT320" s="39">
        <v>8370.7068252181998</v>
      </c>
      <c r="AU320" s="54">
        <v>1708.8029588693453</v>
      </c>
      <c r="AV320" s="39">
        <v>333.66454642231821</v>
      </c>
      <c r="AW320" s="39">
        <v>0</v>
      </c>
      <c r="AX320" s="55">
        <v>-333.66454642231821</v>
      </c>
      <c r="AY320" s="39">
        <v>493.65943583849338</v>
      </c>
      <c r="AZ320" s="39">
        <v>0</v>
      </c>
      <c r="BA320" s="35">
        <v>-493.65943583849338</v>
      </c>
      <c r="BB320" s="39">
        <v>405.93418033429435</v>
      </c>
      <c r="BC320" s="39">
        <v>0</v>
      </c>
      <c r="BD320" s="55">
        <v>-405.93418033429435</v>
      </c>
      <c r="BE320" s="39">
        <v>199.58031090607005</v>
      </c>
      <c r="BF320" s="39">
        <v>0</v>
      </c>
      <c r="BG320" s="38">
        <v>-199.58031090607005</v>
      </c>
      <c r="BH320" s="39">
        <v>0</v>
      </c>
      <c r="BI320" s="39">
        <v>0</v>
      </c>
      <c r="BJ320" s="55">
        <v>0</v>
      </c>
      <c r="BK320" s="39">
        <v>240.41378397964613</v>
      </c>
      <c r="BL320" s="39">
        <v>0</v>
      </c>
      <c r="BM320" s="38">
        <v>-240.41378397964613</v>
      </c>
      <c r="BN320" s="39">
        <v>0</v>
      </c>
      <c r="BO320" s="39">
        <v>0</v>
      </c>
      <c r="BP320" s="55">
        <v>0</v>
      </c>
      <c r="BQ320" s="77">
        <v>1673.252257480822</v>
      </c>
      <c r="BR320" s="40">
        <v>0</v>
      </c>
      <c r="BS320" s="55">
        <v>-1673.252257480822</v>
      </c>
      <c r="BT320" s="39">
        <v>8161.5306315697508</v>
      </c>
      <c r="BU320" s="39">
        <v>2417.4648636000607</v>
      </c>
      <c r="BV320" s="52">
        <v>-5744.0657679696906</v>
      </c>
      <c r="BW320" s="39">
        <v>4678.2140539380944</v>
      </c>
      <c r="BX320" s="39">
        <v>4044.3904050977153</v>
      </c>
      <c r="BY320" s="52">
        <v>-633.82364884037906</v>
      </c>
      <c r="BZ320" s="39">
        <v>3802.0806838752378</v>
      </c>
      <c r="CA320" s="39">
        <v>9958.6027874848824</v>
      </c>
      <c r="CB320" s="52">
        <v>6156.5221036096445</v>
      </c>
      <c r="CC320" s="39">
        <v>181.38173207421906</v>
      </c>
      <c r="CD320" s="39">
        <v>178.94611705757873</v>
      </c>
      <c r="CE320" s="52">
        <v>-2.4356150166403268</v>
      </c>
      <c r="CF320" s="39">
        <v>22.329190501561058</v>
      </c>
      <c r="CG320" s="39">
        <v>0</v>
      </c>
      <c r="CH320" s="52">
        <v>-22.329190501561058</v>
      </c>
      <c r="CI320" s="39">
        <v>923.39790874147866</v>
      </c>
      <c r="CJ320" s="39">
        <v>1237.9360209633526</v>
      </c>
      <c r="CK320" s="52">
        <v>314.53811222187392</v>
      </c>
      <c r="CL320" s="39">
        <v>0</v>
      </c>
      <c r="CM320" s="39">
        <v>0</v>
      </c>
      <c r="CN320" s="52">
        <v>0</v>
      </c>
      <c r="CO320" s="39">
        <v>923.39790874147866</v>
      </c>
      <c r="CP320" s="40">
        <v>1237.9360209633526</v>
      </c>
      <c r="CQ320" s="52">
        <v>314.53811222187392</v>
      </c>
      <c r="CR320" s="72">
        <v>33573.056454045</v>
      </c>
      <c r="CS320" s="5">
        <v>32512.755319359418</v>
      </c>
      <c r="CT320" s="52">
        <v>-1060.3011346855819</v>
      </c>
      <c r="CU320" s="77">
        <v>40287.667744853999</v>
      </c>
      <c r="CV320" s="65">
        <v>39015.306383231298</v>
      </c>
      <c r="CW320" s="35">
        <v>-1272.3613616227012</v>
      </c>
      <c r="CX320" s="39">
        <v>604.31501617280992</v>
      </c>
      <c r="CY320" s="39">
        <v>1876.6763777955039</v>
      </c>
      <c r="CZ320" s="52">
        <v>1272.3613616226939</v>
      </c>
      <c r="DA320" s="150">
        <v>-21560.504632067368</v>
      </c>
      <c r="DB320" s="2">
        <v>2</v>
      </c>
      <c r="DC320" s="713">
        <v>45519.02</v>
      </c>
      <c r="DD320" s="714">
        <v>17943.699999999997</v>
      </c>
      <c r="DE320" s="715">
        <v>30604.348760968191</v>
      </c>
      <c r="DF320" s="716">
        <v>12412.379858518398</v>
      </c>
      <c r="DG320" s="717">
        <v>-32155.243716401848</v>
      </c>
      <c r="DH320" s="718">
        <v>191934.45546384057</v>
      </c>
      <c r="DI320" s="718">
        <v>490703.79313232173</v>
      </c>
      <c r="DJ320" s="693">
        <v>416011.45871520141</v>
      </c>
      <c r="DK320" s="724"/>
      <c r="DL320" s="5"/>
      <c r="DM320" s="306">
        <v>6.5461162390413481</v>
      </c>
      <c r="DN320" s="306"/>
      <c r="DO320" s="306">
        <v>5.2956631321030141</v>
      </c>
      <c r="DP320" s="719">
        <v>14914.671239031808</v>
      </c>
      <c r="DQ320" s="720">
        <v>5531.3201414815985</v>
      </c>
      <c r="DR320" s="650">
        <v>20445.991380513406</v>
      </c>
      <c r="DS320" s="94">
        <v>20445.991380513406</v>
      </c>
      <c r="DT320" s="719">
        <v>14914.63</v>
      </c>
      <c r="DU320" s="725">
        <v>5531.3900000000012</v>
      </c>
      <c r="DV320" s="93">
        <v>20446.02</v>
      </c>
      <c r="DW320" s="95">
        <v>20506.422882130686</v>
      </c>
      <c r="DX320" s="28">
        <v>-60.402882130685612</v>
      </c>
      <c r="EA320" s="5">
        <v>10002.187348595611</v>
      </c>
      <c r="EB320" s="5">
        <v>10044.848190261839</v>
      </c>
      <c r="EE320" s="722">
        <v>79942.846396186258</v>
      </c>
      <c r="EG320" s="42" t="s">
        <v>236</v>
      </c>
    </row>
    <row r="321" spans="1:137" x14ac:dyDescent="0.3">
      <c r="A321" s="325">
        <v>150000864</v>
      </c>
      <c r="B321" s="41" t="s">
        <v>795</v>
      </c>
      <c r="C321" s="42" t="s">
        <v>201</v>
      </c>
      <c r="D321" s="27">
        <v>3</v>
      </c>
      <c r="E321" s="709">
        <v>3973.0600000000004</v>
      </c>
      <c r="F321" s="723">
        <v>3022.76</v>
      </c>
      <c r="G321" s="28"/>
      <c r="H321" s="651">
        <v>950.3</v>
      </c>
      <c r="I321" s="39">
        <v>1791.363825525561</v>
      </c>
      <c r="J321" s="39">
        <v>1921.7914903739506</v>
      </c>
      <c r="K321" s="52">
        <v>130.42766484838967</v>
      </c>
      <c r="L321" s="39">
        <v>332.88305739168595</v>
      </c>
      <c r="M321" s="39">
        <v>361.69473866809983</v>
      </c>
      <c r="N321" s="52">
        <v>28.811681276413879</v>
      </c>
      <c r="O321" s="39">
        <v>767.76</v>
      </c>
      <c r="P321" s="39">
        <v>767.76</v>
      </c>
      <c r="Q321" s="52">
        <v>0</v>
      </c>
      <c r="R321" s="39">
        <v>0</v>
      </c>
      <c r="S321" s="39">
        <v>0</v>
      </c>
      <c r="T321" s="52">
        <v>0</v>
      </c>
      <c r="U321" s="39">
        <v>0</v>
      </c>
      <c r="V321" s="39">
        <v>0</v>
      </c>
      <c r="W321" s="52">
        <v>0</v>
      </c>
      <c r="X321" s="39">
        <v>2273.2516362826163</v>
      </c>
      <c r="Y321" s="39">
        <v>1440.7482038984917</v>
      </c>
      <c r="Z321" s="52">
        <v>-832.50343238412461</v>
      </c>
      <c r="AA321" s="39">
        <v>0</v>
      </c>
      <c r="AB321" s="39">
        <v>0</v>
      </c>
      <c r="AC321" s="52">
        <v>0</v>
      </c>
      <c r="AD321" s="39">
        <v>2831.3558718852642</v>
      </c>
      <c r="AE321" s="39">
        <v>2375.8370110480137</v>
      </c>
      <c r="AF321" s="35">
        <v>-455.51886083725049</v>
      </c>
      <c r="AG321" s="77">
        <v>7996.6143910851279</v>
      </c>
      <c r="AH321" s="53">
        <v>6867.8314439885562</v>
      </c>
      <c r="AI321" s="52">
        <v>-1128.7829470965717</v>
      </c>
      <c r="AJ321" s="39">
        <v>0</v>
      </c>
      <c r="AK321" s="39">
        <v>0</v>
      </c>
      <c r="AL321" s="52">
        <v>0</v>
      </c>
      <c r="AM321" s="39">
        <v>0</v>
      </c>
      <c r="AN321" s="39">
        <v>0</v>
      </c>
      <c r="AO321" s="52">
        <v>0</v>
      </c>
      <c r="AP321" s="39">
        <v>1231.1229357617447</v>
      </c>
      <c r="AQ321" s="39">
        <v>3015.9830152795621</v>
      </c>
      <c r="AR321" s="52">
        <v>1784.8600795178174</v>
      </c>
      <c r="AS321" s="39">
        <v>7406.1872865321629</v>
      </c>
      <c r="AT321" s="39">
        <v>2169.2528911101849</v>
      </c>
      <c r="AU321" s="54">
        <v>-5236.9343954219785</v>
      </c>
      <c r="AV321" s="39">
        <v>309.40264000821674</v>
      </c>
      <c r="AW321" s="39">
        <v>0</v>
      </c>
      <c r="AX321" s="55">
        <v>-309.40264000821674</v>
      </c>
      <c r="AY321" s="39">
        <v>429.03011254406238</v>
      </c>
      <c r="AZ321" s="39">
        <v>0</v>
      </c>
      <c r="BA321" s="35">
        <v>-429.03011254406238</v>
      </c>
      <c r="BB321" s="39">
        <v>540.19704455889519</v>
      </c>
      <c r="BC321" s="39">
        <v>0</v>
      </c>
      <c r="BD321" s="55">
        <v>-540.19704455889519</v>
      </c>
      <c r="BE321" s="39">
        <v>0</v>
      </c>
      <c r="BF321" s="39">
        <v>0</v>
      </c>
      <c r="BG321" s="38">
        <v>0</v>
      </c>
      <c r="BH321" s="39">
        <v>0</v>
      </c>
      <c r="BI321" s="39">
        <v>0</v>
      </c>
      <c r="BJ321" s="55">
        <v>0</v>
      </c>
      <c r="BK321" s="39">
        <v>317.0796259884653</v>
      </c>
      <c r="BL321" s="39">
        <v>0</v>
      </c>
      <c r="BM321" s="38">
        <v>-317.0796259884653</v>
      </c>
      <c r="BN321" s="39">
        <v>0</v>
      </c>
      <c r="BO321" s="39">
        <v>0</v>
      </c>
      <c r="BP321" s="55">
        <v>0</v>
      </c>
      <c r="BQ321" s="77">
        <v>1595.7094230996397</v>
      </c>
      <c r="BR321" s="40">
        <v>0</v>
      </c>
      <c r="BS321" s="55">
        <v>-1595.7094230996397</v>
      </c>
      <c r="BT321" s="39">
        <v>8427.9075633708999</v>
      </c>
      <c r="BU321" s="39">
        <v>2106.891503172521</v>
      </c>
      <c r="BV321" s="52">
        <v>-6321.0160601983789</v>
      </c>
      <c r="BW321" s="39">
        <v>6592.5305520171587</v>
      </c>
      <c r="BX321" s="39">
        <v>5300.0936672493272</v>
      </c>
      <c r="BY321" s="52">
        <v>-1292.4368847678315</v>
      </c>
      <c r="BZ321" s="39">
        <v>3311.6289454771645</v>
      </c>
      <c r="CA321" s="39">
        <v>9496.3160272459427</v>
      </c>
      <c r="CB321" s="52">
        <v>6184.6870817687777</v>
      </c>
      <c r="CC321" s="39">
        <v>137.26185129940902</v>
      </c>
      <c r="CD321" s="39">
        <v>135.41868317870822</v>
      </c>
      <c r="CE321" s="52">
        <v>-1.8431681207007955</v>
      </c>
      <c r="CF321" s="39">
        <v>16.897765784965124</v>
      </c>
      <c r="CG321" s="39">
        <v>0</v>
      </c>
      <c r="CH321" s="52">
        <v>-16.897765784965124</v>
      </c>
      <c r="CI321" s="39">
        <v>489.77524213652754</v>
      </c>
      <c r="CJ321" s="39">
        <v>2079.1702115531152</v>
      </c>
      <c r="CK321" s="52">
        <v>1589.3949694165876</v>
      </c>
      <c r="CL321" s="39">
        <v>0</v>
      </c>
      <c r="CM321" s="39">
        <v>0</v>
      </c>
      <c r="CN321" s="52">
        <v>0</v>
      </c>
      <c r="CO321" s="39">
        <v>489.77524213652754</v>
      </c>
      <c r="CP321" s="40">
        <v>2079.1702115531152</v>
      </c>
      <c r="CQ321" s="52">
        <v>1589.3949694165876</v>
      </c>
      <c r="CR321" s="72">
        <v>37205.635956564802</v>
      </c>
      <c r="CS321" s="5">
        <v>31170.957442777919</v>
      </c>
      <c r="CT321" s="52">
        <v>-6034.6785137868828</v>
      </c>
      <c r="CU321" s="77">
        <v>44646.763147877762</v>
      </c>
      <c r="CV321" s="65">
        <v>37405.148931333504</v>
      </c>
      <c r="CW321" s="35">
        <v>-7241.6142165442579</v>
      </c>
      <c r="CX321" s="39">
        <v>1116.1690786969441</v>
      </c>
      <c r="CY321" s="39">
        <v>8357.7832952412027</v>
      </c>
      <c r="CZ321" s="52">
        <v>7241.6142165442589</v>
      </c>
      <c r="DA321" s="150">
        <v>29928.868355917984</v>
      </c>
      <c r="DB321" s="2">
        <v>2</v>
      </c>
      <c r="DC321" s="713">
        <v>52114.12</v>
      </c>
      <c r="DD321" s="714">
        <v>23361.360000000001</v>
      </c>
      <c r="DE321" s="715">
        <v>33735.821457943413</v>
      </c>
      <c r="DF321" s="716">
        <v>18858.192428769238</v>
      </c>
      <c r="DG321" s="717">
        <v>25032.335112737663</v>
      </c>
      <c r="DH321" s="718">
        <v>217907.40647718759</v>
      </c>
      <c r="DI321" s="718">
        <v>549155.1867188965</v>
      </c>
      <c r="DJ321" s="693">
        <v>466343.2416584692</v>
      </c>
      <c r="DK321" s="724"/>
      <c r="DL321" s="5"/>
      <c r="DM321" s="306">
        <v>6.0799727871404237</v>
      </c>
      <c r="DN321" s="306"/>
      <c r="DO321" s="306">
        <v>4.7386799655169565</v>
      </c>
      <c r="DP321" s="719">
        <v>18378.298542056589</v>
      </c>
      <c r="DQ321" s="720">
        <v>4503.1675712307633</v>
      </c>
      <c r="DR321" s="650">
        <v>22881.466113287352</v>
      </c>
      <c r="DS321" s="94">
        <v>22881.466113287352</v>
      </c>
      <c r="DT321" s="719">
        <v>18378.330000000002</v>
      </c>
      <c r="DU321" s="725">
        <v>4503.16</v>
      </c>
      <c r="DV321" s="93">
        <v>22881.49</v>
      </c>
      <c r="DW321" s="95">
        <v>22993.08302115705</v>
      </c>
      <c r="DX321" s="28">
        <v>-111.5930211570485</v>
      </c>
      <c r="EA321" s="5">
        <v>10802.276051558163</v>
      </c>
      <c r="EB321" s="5">
        <v>2603.1034693322217</v>
      </c>
      <c r="EE321" s="722">
        <v>88874.247438385952</v>
      </c>
      <c r="EG321" s="42" t="s">
        <v>201</v>
      </c>
    </row>
    <row r="322" spans="1:137" x14ac:dyDescent="0.3">
      <c r="A322" s="325">
        <v>150000865</v>
      </c>
      <c r="B322" s="41" t="s">
        <v>796</v>
      </c>
      <c r="C322" s="42" t="s">
        <v>306</v>
      </c>
      <c r="D322" s="27">
        <v>5</v>
      </c>
      <c r="E322" s="709">
        <v>9098.1</v>
      </c>
      <c r="F322" s="723">
        <v>6585.6</v>
      </c>
      <c r="G322" s="28"/>
      <c r="H322" s="651">
        <v>2512.5</v>
      </c>
      <c r="I322" s="39">
        <v>4624.8339399851884</v>
      </c>
      <c r="J322" s="39">
        <v>4985.8300245871469</v>
      </c>
      <c r="K322" s="52">
        <v>360.9960846019585</v>
      </c>
      <c r="L322" s="39">
        <v>953.82127520157314</v>
      </c>
      <c r="M322" s="39">
        <v>1036.3759911969955</v>
      </c>
      <c r="N322" s="52">
        <v>82.554715995422384</v>
      </c>
      <c r="O322" s="39">
        <v>2070.1799999999998</v>
      </c>
      <c r="P322" s="39">
        <v>2070.1799999999998</v>
      </c>
      <c r="Q322" s="52">
        <v>0</v>
      </c>
      <c r="R322" s="39">
        <v>0</v>
      </c>
      <c r="S322" s="39">
        <v>0</v>
      </c>
      <c r="T322" s="52">
        <v>0</v>
      </c>
      <c r="U322" s="39">
        <v>0</v>
      </c>
      <c r="V322" s="39">
        <v>0</v>
      </c>
      <c r="W322" s="52">
        <v>0</v>
      </c>
      <c r="X322" s="39">
        <v>5140.469160362929</v>
      </c>
      <c r="Y322" s="39">
        <v>3322.8602965515693</v>
      </c>
      <c r="Z322" s="52">
        <v>-1817.6088638113597</v>
      </c>
      <c r="AA322" s="39">
        <v>0</v>
      </c>
      <c r="AB322" s="39">
        <v>0</v>
      </c>
      <c r="AC322" s="52">
        <v>0</v>
      </c>
      <c r="AD322" s="39">
        <v>6483.6571453739234</v>
      </c>
      <c r="AE322" s="39">
        <v>5440.5427328597934</v>
      </c>
      <c r="AF322" s="35">
        <v>-1043.11441251413</v>
      </c>
      <c r="AG322" s="77">
        <v>19272.961520923614</v>
      </c>
      <c r="AH322" s="53">
        <v>16855.789045195506</v>
      </c>
      <c r="AI322" s="52">
        <v>-2417.1724757281081</v>
      </c>
      <c r="AJ322" s="39">
        <v>0</v>
      </c>
      <c r="AK322" s="39">
        <v>0</v>
      </c>
      <c r="AL322" s="52">
        <v>0</v>
      </c>
      <c r="AM322" s="39">
        <v>0</v>
      </c>
      <c r="AN322" s="39">
        <v>0</v>
      </c>
      <c r="AO322" s="52">
        <v>0</v>
      </c>
      <c r="AP322" s="39">
        <v>3811.7460126469405</v>
      </c>
      <c r="AQ322" s="39">
        <v>9749.3404447409102</v>
      </c>
      <c r="AR322" s="52">
        <v>5937.5944320939698</v>
      </c>
      <c r="AS322" s="39">
        <v>17821.236917758972</v>
      </c>
      <c r="AT322" s="39">
        <v>0</v>
      </c>
      <c r="AU322" s="54">
        <v>-17821.236917758972</v>
      </c>
      <c r="AV322" s="39">
        <v>767.84224561021233</v>
      </c>
      <c r="AW322" s="39">
        <v>848</v>
      </c>
      <c r="AX322" s="55">
        <v>80.157754389787669</v>
      </c>
      <c r="AY322" s="39">
        <v>1229.3462864771334</v>
      </c>
      <c r="AZ322" s="39">
        <v>0</v>
      </c>
      <c r="BA322" s="35">
        <v>-1229.3462864771334</v>
      </c>
      <c r="BB322" s="39">
        <v>1074.4919495575432</v>
      </c>
      <c r="BC322" s="39">
        <v>0</v>
      </c>
      <c r="BD322" s="55">
        <v>-1074.4919495575432</v>
      </c>
      <c r="BE322" s="39">
        <v>0</v>
      </c>
      <c r="BF322" s="39">
        <v>0</v>
      </c>
      <c r="BG322" s="38">
        <v>0</v>
      </c>
      <c r="BH322" s="39">
        <v>0</v>
      </c>
      <c r="BI322" s="39">
        <v>0</v>
      </c>
      <c r="BJ322" s="55">
        <v>0</v>
      </c>
      <c r="BK322" s="39">
        <v>743.01646728891683</v>
      </c>
      <c r="BL322" s="39">
        <v>0</v>
      </c>
      <c r="BM322" s="38">
        <v>-743.01646728891683</v>
      </c>
      <c r="BN322" s="39">
        <v>0</v>
      </c>
      <c r="BO322" s="39">
        <v>0</v>
      </c>
      <c r="BP322" s="55">
        <v>0</v>
      </c>
      <c r="BQ322" s="77">
        <v>3814.6969489338057</v>
      </c>
      <c r="BR322" s="40">
        <v>848</v>
      </c>
      <c r="BS322" s="55">
        <v>-2966.6969489338057</v>
      </c>
      <c r="BT322" s="39">
        <v>13102.708404765153</v>
      </c>
      <c r="BU322" s="39">
        <v>3218.6677085637107</v>
      </c>
      <c r="BV322" s="52">
        <v>-9884.0406962014422</v>
      </c>
      <c r="BW322" s="39">
        <v>9083.7556455963822</v>
      </c>
      <c r="BX322" s="39">
        <v>7790.4412010093547</v>
      </c>
      <c r="BY322" s="52">
        <v>-1293.3144445870275</v>
      </c>
      <c r="BZ322" s="39">
        <v>4225.2187585183556</v>
      </c>
      <c r="CA322" s="39">
        <v>14258.803902969419</v>
      </c>
      <c r="CB322" s="52">
        <v>10033.585144451063</v>
      </c>
      <c r="CC322" s="39">
        <v>151.4782573268478</v>
      </c>
      <c r="CD322" s="39">
        <v>149.44418965078873</v>
      </c>
      <c r="CE322" s="52">
        <v>-2.0340676760590668</v>
      </c>
      <c r="CF322" s="39">
        <v>18.647891526979368</v>
      </c>
      <c r="CG322" s="39">
        <v>0</v>
      </c>
      <c r="CH322" s="52">
        <v>-18.647891526979368</v>
      </c>
      <c r="CI322" s="39">
        <v>2442.6370356235734</v>
      </c>
      <c r="CJ322" s="39">
        <v>2934.6443543038636</v>
      </c>
      <c r="CK322" s="52">
        <v>492.00731868029015</v>
      </c>
      <c r="CL322" s="39">
        <v>0</v>
      </c>
      <c r="CM322" s="39">
        <v>0</v>
      </c>
      <c r="CN322" s="52">
        <v>0</v>
      </c>
      <c r="CO322" s="39">
        <v>2442.6370356235734</v>
      </c>
      <c r="CP322" s="40">
        <v>2934.6443543038636</v>
      </c>
      <c r="CQ322" s="52">
        <v>492.00731868029015</v>
      </c>
      <c r="CR322" s="72">
        <v>73745.087393620634</v>
      </c>
      <c r="CS322" s="5">
        <v>55805.130846433545</v>
      </c>
      <c r="CT322" s="52">
        <v>-17939.956547187088</v>
      </c>
      <c r="CU322" s="77">
        <v>88494.10487234476</v>
      </c>
      <c r="CV322" s="65">
        <v>66966.157015720251</v>
      </c>
      <c r="CW322" s="35">
        <v>-21527.947856624509</v>
      </c>
      <c r="CX322" s="39">
        <v>2035.3644120639294</v>
      </c>
      <c r="CY322" s="39">
        <v>23563.312268688438</v>
      </c>
      <c r="CZ322" s="52">
        <v>21527.947856624509</v>
      </c>
      <c r="DA322" s="150">
        <v>70370.251890452666</v>
      </c>
      <c r="DB322" s="2">
        <v>2</v>
      </c>
      <c r="DC322" s="713">
        <v>96590.6</v>
      </c>
      <c r="DD322" s="714">
        <v>17057.260000000002</v>
      </c>
      <c r="DE322" s="715">
        <v>62286.277711493676</v>
      </c>
      <c r="DF322" s="716">
        <v>6096.8476463019852</v>
      </c>
      <c r="DG322" s="717">
        <v>126053.74307665952</v>
      </c>
      <c r="DH322" s="718">
        <v>448996.46942151198</v>
      </c>
      <c r="DI322" s="718">
        <v>1086353.6314129042</v>
      </c>
      <c r="DJ322" s="693">
        <v>927014.34091505618</v>
      </c>
      <c r="DK322" s="724"/>
      <c r="DL322" s="5"/>
      <c r="DM322" s="306">
        <v>5.2089896575112862</v>
      </c>
      <c r="DN322" s="306"/>
      <c r="DO322" s="306">
        <v>4.3623531756012008</v>
      </c>
      <c r="DP322" s="719">
        <v>34304.32228850633</v>
      </c>
      <c r="DQ322" s="727">
        <v>10960.412353698017</v>
      </c>
      <c r="DR322" s="650">
        <v>45264.734642204348</v>
      </c>
      <c r="DS322" s="94">
        <v>45264.734642204348</v>
      </c>
      <c r="DT322" s="719">
        <v>34304.28</v>
      </c>
      <c r="DU322" s="728">
        <v>11130.21</v>
      </c>
      <c r="DV322" s="93">
        <v>45434.49</v>
      </c>
      <c r="DW322" s="95">
        <v>45468.271083410742</v>
      </c>
      <c r="DX322" s="28">
        <v>-33.781083410744031</v>
      </c>
      <c r="DY322" s="94"/>
      <c r="EA322" s="5">
        <v>25963.120640031331</v>
      </c>
      <c r="EB322" s="5">
        <v>1017.5999999999999</v>
      </c>
      <c r="EE322" s="722">
        <v>213854.84301310766</v>
      </c>
      <c r="EG322" s="42" t="s">
        <v>306</v>
      </c>
    </row>
    <row r="323" spans="1:137" x14ac:dyDescent="0.3">
      <c r="A323" s="325">
        <v>150000873</v>
      </c>
      <c r="B323" s="41" t="s">
        <v>797</v>
      </c>
      <c r="C323" s="42" t="s">
        <v>307</v>
      </c>
      <c r="D323" s="27">
        <v>5</v>
      </c>
      <c r="E323" s="709">
        <v>2609.46</v>
      </c>
      <c r="F323" s="723">
        <v>2468.86</v>
      </c>
      <c r="G323" s="28"/>
      <c r="H323" s="651">
        <v>140.6</v>
      </c>
      <c r="I323" s="39">
        <v>1511.8860500378551</v>
      </c>
      <c r="J323" s="39">
        <v>1627.6805277084959</v>
      </c>
      <c r="K323" s="52">
        <v>115.79447767064084</v>
      </c>
      <c r="L323" s="39">
        <v>287.85748463911119</v>
      </c>
      <c r="M323" s="39">
        <v>312.7721762378813</v>
      </c>
      <c r="N323" s="52">
        <v>24.914691598770105</v>
      </c>
      <c r="O323" s="39">
        <v>587.36</v>
      </c>
      <c r="P323" s="39">
        <v>587.36</v>
      </c>
      <c r="Q323" s="52">
        <v>0</v>
      </c>
      <c r="R323" s="39">
        <v>0</v>
      </c>
      <c r="S323" s="39">
        <v>0</v>
      </c>
      <c r="T323" s="52">
        <v>0</v>
      </c>
      <c r="U323" s="39">
        <v>0</v>
      </c>
      <c r="V323" s="39">
        <v>0</v>
      </c>
      <c r="W323" s="52">
        <v>0</v>
      </c>
      <c r="X323" s="39">
        <v>882.13503577038978</v>
      </c>
      <c r="Y323" s="39">
        <v>538.52327598778629</v>
      </c>
      <c r="Z323" s="52">
        <v>-343.61175978260349</v>
      </c>
      <c r="AA323" s="39">
        <v>0</v>
      </c>
      <c r="AB323" s="39">
        <v>0</v>
      </c>
      <c r="AC323" s="52">
        <v>0</v>
      </c>
      <c r="AD323" s="39">
        <v>1859.6018921057623</v>
      </c>
      <c r="AE323" s="39">
        <v>1560.4223562818956</v>
      </c>
      <c r="AF323" s="35">
        <v>-299.17953582386667</v>
      </c>
      <c r="AG323" s="77">
        <v>5128.8404625531184</v>
      </c>
      <c r="AH323" s="53">
        <v>4626.7583362160585</v>
      </c>
      <c r="AI323" s="52">
        <v>-502.08212633705989</v>
      </c>
      <c r="AJ323" s="39">
        <v>0</v>
      </c>
      <c r="AK323" s="39">
        <v>0</v>
      </c>
      <c r="AL323" s="52">
        <v>0</v>
      </c>
      <c r="AM323" s="39">
        <v>0</v>
      </c>
      <c r="AN323" s="39">
        <v>0</v>
      </c>
      <c r="AO323" s="52">
        <v>0</v>
      </c>
      <c r="AP323" s="39">
        <v>1373.1755821957922</v>
      </c>
      <c r="AQ323" s="39">
        <v>3360.2883392765852</v>
      </c>
      <c r="AR323" s="52">
        <v>1987.112757080793</v>
      </c>
      <c r="AS323" s="39">
        <v>4665.4019357218185</v>
      </c>
      <c r="AT323" s="39">
        <v>0</v>
      </c>
      <c r="AU323" s="54">
        <v>-4665.4019357218185</v>
      </c>
      <c r="AV323" s="39">
        <v>243.81387473835781</v>
      </c>
      <c r="AW323" s="39">
        <v>0</v>
      </c>
      <c r="AX323" s="55">
        <v>-243.81387473835781</v>
      </c>
      <c r="AY323" s="39">
        <v>370.97542606793741</v>
      </c>
      <c r="AZ323" s="39">
        <v>0</v>
      </c>
      <c r="BA323" s="35">
        <v>-370.97542606793741</v>
      </c>
      <c r="BB323" s="39">
        <v>313.66727724597587</v>
      </c>
      <c r="BC323" s="39">
        <v>0</v>
      </c>
      <c r="BD323" s="55">
        <v>-313.66727724597587</v>
      </c>
      <c r="BE323" s="39">
        <v>0</v>
      </c>
      <c r="BF323" s="39">
        <v>0</v>
      </c>
      <c r="BG323" s="38">
        <v>0</v>
      </c>
      <c r="BH323" s="39">
        <v>0</v>
      </c>
      <c r="BI323" s="39">
        <v>0</v>
      </c>
      <c r="BJ323" s="55">
        <v>0</v>
      </c>
      <c r="BK323" s="39">
        <v>118.21256501765102</v>
      </c>
      <c r="BL323" s="39">
        <v>0</v>
      </c>
      <c r="BM323" s="38">
        <v>-118.21256501765102</v>
      </c>
      <c r="BN323" s="39">
        <v>0</v>
      </c>
      <c r="BO323" s="39">
        <v>0</v>
      </c>
      <c r="BP323" s="55">
        <v>0</v>
      </c>
      <c r="BQ323" s="77">
        <v>1046.669143069922</v>
      </c>
      <c r="BR323" s="40">
        <v>0</v>
      </c>
      <c r="BS323" s="55">
        <v>-1046.669143069922</v>
      </c>
      <c r="BT323" s="39">
        <v>5808.6604039677914</v>
      </c>
      <c r="BU323" s="39">
        <v>1445.8044768617081</v>
      </c>
      <c r="BV323" s="52">
        <v>-4362.8559271060831</v>
      </c>
      <c r="BW323" s="39">
        <v>2198.6644359415013</v>
      </c>
      <c r="BX323" s="39">
        <v>1552.0559754999379</v>
      </c>
      <c r="BY323" s="52">
        <v>-646.60846044156347</v>
      </c>
      <c r="BZ323" s="39">
        <v>1439.7153316790893</v>
      </c>
      <c r="CA323" s="39">
        <v>4694.4922220510462</v>
      </c>
      <c r="CB323" s="52">
        <v>3254.7768903719571</v>
      </c>
      <c r="CC323" s="39">
        <v>113.73124821951032</v>
      </c>
      <c r="CD323" s="39">
        <v>112.20405177664395</v>
      </c>
      <c r="CE323" s="52">
        <v>-1.5271964428663694</v>
      </c>
      <c r="CF323" s="39">
        <v>14.001005936113961</v>
      </c>
      <c r="CG323" s="39">
        <v>0</v>
      </c>
      <c r="CH323" s="52">
        <v>-14.001005936113961</v>
      </c>
      <c r="CI323" s="39">
        <v>1070.0185226294839</v>
      </c>
      <c r="CJ323" s="39">
        <v>1491.4674326195659</v>
      </c>
      <c r="CK323" s="52">
        <v>421.44890999008203</v>
      </c>
      <c r="CL323" s="39">
        <v>0</v>
      </c>
      <c r="CM323" s="39">
        <v>0</v>
      </c>
      <c r="CN323" s="52">
        <v>0</v>
      </c>
      <c r="CO323" s="39">
        <v>1070.0185226294839</v>
      </c>
      <c r="CP323" s="40">
        <v>1491.4674326195659</v>
      </c>
      <c r="CQ323" s="52">
        <v>421.44890999008203</v>
      </c>
      <c r="CR323" s="72">
        <v>22858.878071914147</v>
      </c>
      <c r="CS323" s="5">
        <v>17283.070834301547</v>
      </c>
      <c r="CT323" s="52">
        <v>-5575.8072376126001</v>
      </c>
      <c r="CU323" s="77">
        <v>27430.653686296977</v>
      </c>
      <c r="CV323" s="65">
        <v>20739.685001161855</v>
      </c>
      <c r="CW323" s="35">
        <v>-6690.9686851351216</v>
      </c>
      <c r="CX323" s="39">
        <v>548.61307372593956</v>
      </c>
      <c r="CY323" s="39">
        <v>7239.5817588610626</v>
      </c>
      <c r="CZ323" s="52">
        <v>6690.9686851351235</v>
      </c>
      <c r="DA323" s="150">
        <v>25455.99100874467</v>
      </c>
      <c r="DB323" s="2">
        <v>2</v>
      </c>
      <c r="DC323" s="713">
        <v>21523.23</v>
      </c>
      <c r="DD323" s="714">
        <v>535.45000000000005</v>
      </c>
      <c r="DE323" s="715">
        <v>8214.869195455216</v>
      </c>
      <c r="DF323" s="716">
        <v>-145.82257546667324</v>
      </c>
      <c r="DG323" s="717">
        <v>48081.118220302917</v>
      </c>
      <c r="DH323" s="718">
        <v>134126.96993375762</v>
      </c>
      <c r="DI323" s="718">
        <v>335751.20112027501</v>
      </c>
      <c r="DJ323" s="693">
        <v>285345.14332364569</v>
      </c>
      <c r="DK323" s="724"/>
      <c r="DL323" s="5"/>
      <c r="DM323" s="306">
        <v>5.3904882433774226</v>
      </c>
      <c r="DN323" s="306"/>
      <c r="DO323" s="306">
        <v>4.8454663973447607</v>
      </c>
      <c r="DP323" s="719">
        <v>13308.360804544784</v>
      </c>
      <c r="DQ323" s="720">
        <v>681.27257546667329</v>
      </c>
      <c r="DR323" s="650">
        <v>13989.633380011457</v>
      </c>
      <c r="DS323" s="94">
        <v>13989.633380011461</v>
      </c>
      <c r="DT323" s="719">
        <v>13308.69</v>
      </c>
      <c r="DU323" s="725">
        <v>681.28</v>
      </c>
      <c r="DV323" s="93">
        <v>13989.970000000001</v>
      </c>
      <c r="DW323" s="95">
        <v>14044.494687384053</v>
      </c>
      <c r="DX323" s="28">
        <v>-54.524687384051504</v>
      </c>
      <c r="EA323" s="5">
        <v>6854.4852945500888</v>
      </c>
      <c r="EB323" s="5">
        <v>0</v>
      </c>
      <c r="EE323" s="722">
        <v>55984.823228661822</v>
      </c>
      <c r="EG323" s="42" t="s">
        <v>307</v>
      </c>
    </row>
    <row r="324" spans="1:137" x14ac:dyDescent="0.3">
      <c r="A324" s="325">
        <v>150000874</v>
      </c>
      <c r="B324" s="41" t="s">
        <v>798</v>
      </c>
      <c r="C324" s="42" t="s">
        <v>308</v>
      </c>
      <c r="D324" s="27">
        <v>5</v>
      </c>
      <c r="E324" s="709">
        <v>2619.3000000000002</v>
      </c>
      <c r="F324" s="723">
        <v>2004.8</v>
      </c>
      <c r="G324" s="28"/>
      <c r="H324" s="651">
        <v>614.5</v>
      </c>
      <c r="I324" s="39">
        <v>1367.7410361290968</v>
      </c>
      <c r="J324" s="39">
        <v>1470.6154402735669</v>
      </c>
      <c r="K324" s="52">
        <v>102.87440414447019</v>
      </c>
      <c r="L324" s="39">
        <v>287.85748463911119</v>
      </c>
      <c r="M324" s="39">
        <v>312.7721762378813</v>
      </c>
      <c r="N324" s="52">
        <v>24.914691598770105</v>
      </c>
      <c r="O324" s="39">
        <v>532.55999999999995</v>
      </c>
      <c r="P324" s="39">
        <v>532.55999999999995</v>
      </c>
      <c r="Q324" s="52">
        <v>0</v>
      </c>
      <c r="R324" s="39">
        <v>120.58</v>
      </c>
      <c r="S324" s="39">
        <v>120.58</v>
      </c>
      <c r="T324" s="52">
        <v>0</v>
      </c>
      <c r="U324" s="39">
        <v>88.645113504097054</v>
      </c>
      <c r="V324" s="39">
        <v>307.73479462957209</v>
      </c>
      <c r="W324" s="52">
        <v>219.08968112547504</v>
      </c>
      <c r="X324" s="39">
        <v>909.36904397144713</v>
      </c>
      <c r="Y324" s="39">
        <v>546.88401893064361</v>
      </c>
      <c r="Z324" s="52">
        <v>-362.48502504080352</v>
      </c>
      <c r="AA324" s="39">
        <v>0</v>
      </c>
      <c r="AB324" s="39">
        <v>0</v>
      </c>
      <c r="AC324" s="52">
        <v>0</v>
      </c>
      <c r="AD324" s="39">
        <v>1866.6142558202171</v>
      </c>
      <c r="AE324" s="39">
        <v>1566.3065453423965</v>
      </c>
      <c r="AF324" s="35">
        <v>-300.30771047782059</v>
      </c>
      <c r="AG324" s="77">
        <v>5173.366934063969</v>
      </c>
      <c r="AH324" s="53">
        <v>4857.4529754140603</v>
      </c>
      <c r="AI324" s="52">
        <v>-315.91395864990864</v>
      </c>
      <c r="AJ324" s="39">
        <v>0</v>
      </c>
      <c r="AK324" s="39">
        <v>0</v>
      </c>
      <c r="AL324" s="52">
        <v>0</v>
      </c>
      <c r="AM324" s="39">
        <v>0</v>
      </c>
      <c r="AN324" s="39">
        <v>0</v>
      </c>
      <c r="AO324" s="52">
        <v>0</v>
      </c>
      <c r="AP324" s="39">
        <v>315.67254763121656</v>
      </c>
      <c r="AQ324" s="39">
        <v>0</v>
      </c>
      <c r="AR324" s="52">
        <v>-315.67254763121656</v>
      </c>
      <c r="AS324" s="39">
        <v>4936.2947533393517</v>
      </c>
      <c r="AT324" s="39">
        <v>0</v>
      </c>
      <c r="AU324" s="54">
        <v>-4936.2947533393517</v>
      </c>
      <c r="AV324" s="39">
        <v>235.2159873626965</v>
      </c>
      <c r="AW324" s="39">
        <v>253</v>
      </c>
      <c r="AX324" s="55">
        <v>17.784012637303505</v>
      </c>
      <c r="AY324" s="39">
        <v>370.97542606793741</v>
      </c>
      <c r="AZ324" s="39">
        <v>0</v>
      </c>
      <c r="BA324" s="35">
        <v>-370.97542606793741</v>
      </c>
      <c r="BB324" s="39">
        <v>279.88110539235134</v>
      </c>
      <c r="BC324" s="39">
        <v>0</v>
      </c>
      <c r="BD324" s="55">
        <v>-279.88110539235134</v>
      </c>
      <c r="BE324" s="39">
        <v>131.41230815033148</v>
      </c>
      <c r="BF324" s="39">
        <v>0</v>
      </c>
      <c r="BG324" s="38">
        <v>-131.41230815033148</v>
      </c>
      <c r="BH324" s="39">
        <v>89.960355179059135</v>
      </c>
      <c r="BI324" s="39">
        <v>0</v>
      </c>
      <c r="BJ324" s="55">
        <v>-89.960355179059135</v>
      </c>
      <c r="BK324" s="39">
        <v>118.21257789507058</v>
      </c>
      <c r="BL324" s="39">
        <v>0</v>
      </c>
      <c r="BM324" s="38">
        <v>-118.21257789507058</v>
      </c>
      <c r="BN324" s="39">
        <v>0</v>
      </c>
      <c r="BO324" s="39">
        <v>0</v>
      </c>
      <c r="BP324" s="55">
        <v>0</v>
      </c>
      <c r="BQ324" s="77">
        <v>1225.6577600474466</v>
      </c>
      <c r="BR324" s="40">
        <v>253</v>
      </c>
      <c r="BS324" s="55">
        <v>-972.65776004744657</v>
      </c>
      <c r="BT324" s="39">
        <v>7882.1749946396194</v>
      </c>
      <c r="BU324" s="39">
        <v>1985.7845813695963</v>
      </c>
      <c r="BV324" s="52">
        <v>-5896.3904132700227</v>
      </c>
      <c r="BW324" s="39">
        <v>2972.8835895816837</v>
      </c>
      <c r="BX324" s="39">
        <v>2100.4184952238752</v>
      </c>
      <c r="BY324" s="52">
        <v>-872.46509435780854</v>
      </c>
      <c r="BZ324" s="39">
        <v>2205.630941443414</v>
      </c>
      <c r="CA324" s="39">
        <v>6386.3512510018427</v>
      </c>
      <c r="CB324" s="52">
        <v>4180.7203095584282</v>
      </c>
      <c r="CC324" s="39">
        <v>58.826507699746713</v>
      </c>
      <c r="CD324" s="39">
        <v>58.036578505160676</v>
      </c>
      <c r="CE324" s="52">
        <v>-0.78992919458603694</v>
      </c>
      <c r="CF324" s="39">
        <v>7.2418996221279102</v>
      </c>
      <c r="CG324" s="39">
        <v>0</v>
      </c>
      <c r="CH324" s="52">
        <v>-7.2418996221279102</v>
      </c>
      <c r="CI324" s="39">
        <v>811.09275767832594</v>
      </c>
      <c r="CJ324" s="39">
        <v>757.19833419723409</v>
      </c>
      <c r="CK324" s="52">
        <v>-53.894423481091849</v>
      </c>
      <c r="CL324" s="39">
        <v>0</v>
      </c>
      <c r="CM324" s="39">
        <v>0</v>
      </c>
      <c r="CN324" s="52">
        <v>0</v>
      </c>
      <c r="CO324" s="39">
        <v>811.09275767832594</v>
      </c>
      <c r="CP324" s="40">
        <v>757.19833419723409</v>
      </c>
      <c r="CQ324" s="52">
        <v>-53.894423481091849</v>
      </c>
      <c r="CR324" s="72">
        <v>25588.842685746902</v>
      </c>
      <c r="CS324" s="5">
        <v>16398.242215711769</v>
      </c>
      <c r="CT324" s="52">
        <v>-9190.6004700351332</v>
      </c>
      <c r="CU324" s="77">
        <v>30706.611222896281</v>
      </c>
      <c r="CV324" s="65">
        <v>19677.890658854121</v>
      </c>
      <c r="CW324" s="35">
        <v>-11028.72056404216</v>
      </c>
      <c r="CX324" s="39">
        <v>614.13222445792564</v>
      </c>
      <c r="CY324" s="39">
        <v>11642.852788500086</v>
      </c>
      <c r="CZ324" s="52">
        <v>11028.72056404216</v>
      </c>
      <c r="DA324" s="150">
        <v>43173.103345472387</v>
      </c>
      <c r="DB324" s="2">
        <v>2</v>
      </c>
      <c r="DC324" s="713">
        <v>38184.400000000001</v>
      </c>
      <c r="DD324" s="714">
        <v>1811.78</v>
      </c>
      <c r="DE324" s="715">
        <v>25771.18369995946</v>
      </c>
      <c r="DF324" s="716">
        <v>-1435.3754236365583</v>
      </c>
      <c r="DG324" s="717">
        <v>40635.619076161507</v>
      </c>
      <c r="DH324" s="718">
        <v>133346.022833483</v>
      </c>
      <c r="DI324" s="718">
        <v>375848.92136825045</v>
      </c>
      <c r="DJ324" s="693">
        <v>315223.19673455862</v>
      </c>
      <c r="DK324" s="724"/>
      <c r="DL324" s="5"/>
      <c r="DM324" s="306">
        <v>6.1917479549284433</v>
      </c>
      <c r="DN324" s="306"/>
      <c r="DO324" s="306">
        <v>5.2842236348845537</v>
      </c>
      <c r="DP324" s="719">
        <v>12413.216300040544</v>
      </c>
      <c r="DQ324" s="720">
        <v>3247.1554236365582</v>
      </c>
      <c r="DR324" s="650">
        <v>15660.371723677101</v>
      </c>
      <c r="DS324" s="94">
        <v>15660.371723677104</v>
      </c>
      <c r="DT324" s="719">
        <v>12413.1</v>
      </c>
      <c r="DU324" s="725">
        <v>3247.1400000000003</v>
      </c>
      <c r="DV324" s="93">
        <v>15660.240000000002</v>
      </c>
      <c r="DW324" s="95">
        <v>15721.784946122894</v>
      </c>
      <c r="DX324" s="28">
        <v>-61.544946122892725</v>
      </c>
      <c r="EA324" s="5">
        <v>7394.3430160641574</v>
      </c>
      <c r="EB324" s="5">
        <v>303.59999999999997</v>
      </c>
      <c r="EE324" s="722">
        <v>59235.537040072217</v>
      </c>
      <c r="EG324" s="42" t="s">
        <v>308</v>
      </c>
    </row>
    <row r="325" spans="1:137" x14ac:dyDescent="0.3">
      <c r="A325" s="325">
        <v>150000866</v>
      </c>
      <c r="B325" s="41" t="s">
        <v>799</v>
      </c>
      <c r="C325" s="42" t="s">
        <v>309</v>
      </c>
      <c r="D325" s="27">
        <v>5</v>
      </c>
      <c r="E325" s="709">
        <v>5026.5</v>
      </c>
      <c r="F325" s="723">
        <v>3834.8</v>
      </c>
      <c r="G325" s="28"/>
      <c r="H325" s="651">
        <v>1191.7</v>
      </c>
      <c r="I325" s="39">
        <v>2956.5241919586238</v>
      </c>
      <c r="J325" s="39">
        <v>2204.8919230656593</v>
      </c>
      <c r="K325" s="52">
        <v>-751.63226889296448</v>
      </c>
      <c r="L325" s="39">
        <v>570.78385796675877</v>
      </c>
      <c r="M325" s="39">
        <v>297.97917860947052</v>
      </c>
      <c r="N325" s="52">
        <v>-272.80467935728825</v>
      </c>
      <c r="O325" s="39">
        <v>1271.4000000000001</v>
      </c>
      <c r="P325" s="39">
        <v>1271.42</v>
      </c>
      <c r="Q325" s="52">
        <v>1.999999999998181E-2</v>
      </c>
      <c r="R325" s="39">
        <v>0</v>
      </c>
      <c r="S325" s="39">
        <v>0</v>
      </c>
      <c r="T325" s="52">
        <v>0</v>
      </c>
      <c r="U325" s="39">
        <v>0</v>
      </c>
      <c r="V325" s="39">
        <v>0</v>
      </c>
      <c r="W325" s="52">
        <v>0</v>
      </c>
      <c r="X325" s="39">
        <v>2366.2425399499689</v>
      </c>
      <c r="Y325" s="39">
        <v>1643.3543578303934</v>
      </c>
      <c r="Z325" s="52">
        <v>-722.8881821195755</v>
      </c>
      <c r="AA325" s="39">
        <v>0</v>
      </c>
      <c r="AB325" s="39">
        <v>0</v>
      </c>
      <c r="AC325" s="52">
        <v>0</v>
      </c>
      <c r="AD325" s="39">
        <v>3582.0778669416718</v>
      </c>
      <c r="AE325" s="39">
        <v>3005.7801130697344</v>
      </c>
      <c r="AF325" s="35">
        <v>-576.2977538719374</v>
      </c>
      <c r="AG325" s="77">
        <v>10747.028456817023</v>
      </c>
      <c r="AH325" s="53">
        <v>8423.4255725752591</v>
      </c>
      <c r="AI325" s="52">
        <v>-2323.6028842417636</v>
      </c>
      <c r="AJ325" s="39">
        <v>0</v>
      </c>
      <c r="AK325" s="39">
        <v>0</v>
      </c>
      <c r="AL325" s="52">
        <v>0</v>
      </c>
      <c r="AM325" s="39">
        <v>0</v>
      </c>
      <c r="AN325" s="39">
        <v>0</v>
      </c>
      <c r="AO325" s="52">
        <v>0</v>
      </c>
      <c r="AP325" s="39">
        <v>2178.1405786553946</v>
      </c>
      <c r="AQ325" s="39">
        <v>560.04805654609754</v>
      </c>
      <c r="AR325" s="52">
        <v>-1618.0925221092971</v>
      </c>
      <c r="AS325" s="39">
        <v>9233.3596955533867</v>
      </c>
      <c r="AT325" s="39">
        <v>2678</v>
      </c>
      <c r="AU325" s="54">
        <v>-6555.3596955533867</v>
      </c>
      <c r="AV325" s="39">
        <v>536.98858182502408</v>
      </c>
      <c r="AW325" s="39">
        <v>710</v>
      </c>
      <c r="AX325" s="55">
        <v>173.01141817497592</v>
      </c>
      <c r="AY325" s="39">
        <v>735.63830986835274</v>
      </c>
      <c r="AZ325" s="39">
        <v>2267</v>
      </c>
      <c r="BA325" s="35">
        <v>1531.3616901316473</v>
      </c>
      <c r="BB325" s="39">
        <v>498.87522422955419</v>
      </c>
      <c r="BC325" s="39">
        <v>0</v>
      </c>
      <c r="BD325" s="55">
        <v>-498.87522422955419</v>
      </c>
      <c r="BE325" s="39">
        <v>0</v>
      </c>
      <c r="BF325" s="39">
        <v>0</v>
      </c>
      <c r="BG325" s="38">
        <v>0</v>
      </c>
      <c r="BH325" s="39">
        <v>0</v>
      </c>
      <c r="BI325" s="39">
        <v>0</v>
      </c>
      <c r="BJ325" s="55">
        <v>0</v>
      </c>
      <c r="BK325" s="39">
        <v>321.34271961888942</v>
      </c>
      <c r="BL325" s="39">
        <v>0</v>
      </c>
      <c r="BM325" s="38">
        <v>-321.34271961888942</v>
      </c>
      <c r="BN325" s="39">
        <v>237.68739725384614</v>
      </c>
      <c r="BO325" s="39">
        <v>0</v>
      </c>
      <c r="BP325" s="55">
        <v>-237.68739725384614</v>
      </c>
      <c r="BQ325" s="77">
        <v>2330.5322327956665</v>
      </c>
      <c r="BR325" s="40">
        <v>2977</v>
      </c>
      <c r="BS325" s="55">
        <v>646.46776720433354</v>
      </c>
      <c r="BT325" s="39">
        <v>7220.6160561497554</v>
      </c>
      <c r="BU325" s="39">
        <v>2275.4337331934717</v>
      </c>
      <c r="BV325" s="52">
        <v>-4945.1823229562833</v>
      </c>
      <c r="BW325" s="39">
        <v>4073.6830493193465</v>
      </c>
      <c r="BX325" s="39">
        <v>3658.0788216196024</v>
      </c>
      <c r="BY325" s="52">
        <v>-415.60422769974411</v>
      </c>
      <c r="BZ325" s="39">
        <v>3502.2065808600578</v>
      </c>
      <c r="CA325" s="39">
        <v>9255.8211297586204</v>
      </c>
      <c r="CB325" s="52">
        <v>5753.6145488985621</v>
      </c>
      <c r="CC325" s="39">
        <v>15.687068719932457</v>
      </c>
      <c r="CD325" s="39">
        <v>15.476420934709513</v>
      </c>
      <c r="CE325" s="52">
        <v>-0.21064778522294425</v>
      </c>
      <c r="CF325" s="39">
        <v>1.9311732325674427</v>
      </c>
      <c r="CG325" s="39">
        <v>0</v>
      </c>
      <c r="CH325" s="52">
        <v>-1.9311732325674427</v>
      </c>
      <c r="CI325" s="39">
        <v>1952.8617934870463</v>
      </c>
      <c r="CJ325" s="39">
        <v>1593.2185618796382</v>
      </c>
      <c r="CK325" s="52">
        <v>-359.6432316074081</v>
      </c>
      <c r="CL325" s="39">
        <v>0</v>
      </c>
      <c r="CM325" s="39">
        <v>0</v>
      </c>
      <c r="CN325" s="52">
        <v>0</v>
      </c>
      <c r="CO325" s="39">
        <v>1952.8617934870463</v>
      </c>
      <c r="CP325" s="40">
        <v>1593.2185618796382</v>
      </c>
      <c r="CQ325" s="52">
        <v>-359.6432316074081</v>
      </c>
      <c r="CR325" s="72">
        <v>41256.046685590183</v>
      </c>
      <c r="CS325" s="5">
        <v>31436.502296507399</v>
      </c>
      <c r="CT325" s="52">
        <v>-9819.5443890827846</v>
      </c>
      <c r="CU325" s="77">
        <v>49507.256022708221</v>
      </c>
      <c r="CV325" s="65">
        <v>37723.80275580888</v>
      </c>
      <c r="CW325" s="35">
        <v>-11783.453266899342</v>
      </c>
      <c r="CX325" s="39">
        <v>990.1451204541645</v>
      </c>
      <c r="CY325" s="39">
        <v>12773.598387353511</v>
      </c>
      <c r="CZ325" s="52">
        <v>11783.453266899347</v>
      </c>
      <c r="DA325" s="150">
        <v>-3866.6293520856634</v>
      </c>
      <c r="DB325" s="2">
        <v>1</v>
      </c>
      <c r="DC325" s="713">
        <v>81188.22</v>
      </c>
      <c r="DD325" s="714">
        <v>268</v>
      </c>
      <c r="DE325" s="715">
        <v>61334.497309678234</v>
      </c>
      <c r="DF325" s="716">
        <v>-5126.977881259425</v>
      </c>
      <c r="DG325" s="717">
        <v>6874.8404744491181</v>
      </c>
      <c r="DH325" s="718">
        <v>243607.0549702954</v>
      </c>
      <c r="DI325" s="718">
        <v>605968.81371794862</v>
      </c>
      <c r="DJ325" s="693">
        <v>515378.37403103529</v>
      </c>
      <c r="DK325" s="724"/>
      <c r="DL325" s="5"/>
      <c r="DM325" s="306">
        <v>5.1772511448632956</v>
      </c>
      <c r="DN325" s="306"/>
      <c r="DO325" s="306">
        <v>4.527127533153835</v>
      </c>
      <c r="DP325" s="719">
        <v>19853.722690321767</v>
      </c>
      <c r="DQ325" s="720">
        <v>5394.977881259425</v>
      </c>
      <c r="DR325" s="650">
        <v>25248.70057158119</v>
      </c>
      <c r="DS325" s="94">
        <v>25248.700571581197</v>
      </c>
      <c r="DT325" s="719">
        <v>19853.8</v>
      </c>
      <c r="DU325" s="725">
        <v>5394.9400000000005</v>
      </c>
      <c r="DV325" s="93">
        <v>25248.739999999998</v>
      </c>
      <c r="DW325" s="95">
        <v>25347.715083626608</v>
      </c>
      <c r="DX325" s="28">
        <v>-98.975083626610285</v>
      </c>
      <c r="EA325" s="5">
        <v>13876.670314018864</v>
      </c>
      <c r="EB325" s="5">
        <v>6786</v>
      </c>
      <c r="EE325" s="722">
        <v>110800.31634664064</v>
      </c>
      <c r="EG325" s="42" t="s">
        <v>309</v>
      </c>
    </row>
    <row r="326" spans="1:137" x14ac:dyDescent="0.3">
      <c r="A326" s="325">
        <v>150000867</v>
      </c>
      <c r="B326" s="41" t="s">
        <v>800</v>
      </c>
      <c r="C326" s="42" t="s">
        <v>310</v>
      </c>
      <c r="D326" s="27">
        <v>5</v>
      </c>
      <c r="E326" s="709">
        <v>2840.51</v>
      </c>
      <c r="F326" s="723">
        <v>2289.0100000000002</v>
      </c>
      <c r="G326" s="28"/>
      <c r="H326" s="651">
        <v>551.5</v>
      </c>
      <c r="I326" s="39">
        <v>1456.9727095287185</v>
      </c>
      <c r="J326" s="39">
        <v>1087.1646719256</v>
      </c>
      <c r="K326" s="52">
        <v>-369.80803760311846</v>
      </c>
      <c r="L326" s="39">
        <v>292.74013687093884</v>
      </c>
      <c r="M326" s="39">
        <v>152.82567860945369</v>
      </c>
      <c r="N326" s="52">
        <v>-139.91445826148515</v>
      </c>
      <c r="O326" s="39">
        <v>776.82</v>
      </c>
      <c r="P326" s="39">
        <v>776.84</v>
      </c>
      <c r="Q326" s="52">
        <v>1.999999999998181E-2</v>
      </c>
      <c r="R326" s="39">
        <v>0</v>
      </c>
      <c r="S326" s="39">
        <v>0</v>
      </c>
      <c r="T326" s="52">
        <v>0</v>
      </c>
      <c r="U326" s="39">
        <v>0</v>
      </c>
      <c r="V326" s="39">
        <v>0</v>
      </c>
      <c r="W326" s="52">
        <v>0</v>
      </c>
      <c r="X326" s="39">
        <v>939.7324956333714</v>
      </c>
      <c r="Y326" s="39">
        <v>631.11502859725033</v>
      </c>
      <c r="Z326" s="52">
        <v>-308.61746703612107</v>
      </c>
      <c r="AA326" s="39">
        <v>0</v>
      </c>
      <c r="AB326" s="39">
        <v>0</v>
      </c>
      <c r="AC326" s="52">
        <v>0</v>
      </c>
      <c r="AD326" s="39">
        <v>2024.2570380635609</v>
      </c>
      <c r="AE326" s="39">
        <v>1698.587181731963</v>
      </c>
      <c r="AF326" s="35">
        <v>-325.66985633159788</v>
      </c>
      <c r="AG326" s="77">
        <v>5490.5223800965896</v>
      </c>
      <c r="AH326" s="53">
        <v>4346.532560864267</v>
      </c>
      <c r="AI326" s="52">
        <v>-1143.9898192323226</v>
      </c>
      <c r="AJ326" s="39">
        <v>0</v>
      </c>
      <c r="AK326" s="39">
        <v>0</v>
      </c>
      <c r="AL326" s="52">
        <v>0</v>
      </c>
      <c r="AM326" s="39">
        <v>0</v>
      </c>
      <c r="AN326" s="39">
        <v>0</v>
      </c>
      <c r="AO326" s="52">
        <v>0</v>
      </c>
      <c r="AP326" s="39">
        <v>1160.096612544721</v>
      </c>
      <c r="AQ326" s="39">
        <v>420.03604240957316</v>
      </c>
      <c r="AR326" s="52">
        <v>-740.06057013514783</v>
      </c>
      <c r="AS326" s="39">
        <v>3775.4779419759097</v>
      </c>
      <c r="AT326" s="39">
        <v>417</v>
      </c>
      <c r="AU326" s="54">
        <v>-3358.4779419759097</v>
      </c>
      <c r="AV326" s="39">
        <v>260.74742636054094</v>
      </c>
      <c r="AW326" s="39">
        <v>0</v>
      </c>
      <c r="AX326" s="55">
        <v>-260.74742636054094</v>
      </c>
      <c r="AY326" s="39">
        <v>377.33626403379481</v>
      </c>
      <c r="AZ326" s="39">
        <v>0</v>
      </c>
      <c r="BA326" s="35">
        <v>-377.33626403379481</v>
      </c>
      <c r="BB326" s="39">
        <v>286.46913740690536</v>
      </c>
      <c r="BC326" s="39">
        <v>0</v>
      </c>
      <c r="BD326" s="55">
        <v>-286.46913740690536</v>
      </c>
      <c r="BE326" s="39">
        <v>0</v>
      </c>
      <c r="BF326" s="39">
        <v>0</v>
      </c>
      <c r="BG326" s="38">
        <v>0</v>
      </c>
      <c r="BH326" s="39">
        <v>0</v>
      </c>
      <c r="BI326" s="39">
        <v>0</v>
      </c>
      <c r="BJ326" s="55">
        <v>0</v>
      </c>
      <c r="BK326" s="39">
        <v>122.81870137610875</v>
      </c>
      <c r="BL326" s="39">
        <v>0</v>
      </c>
      <c r="BM326" s="38">
        <v>-122.81870137610875</v>
      </c>
      <c r="BN326" s="39">
        <v>119.34310272027908</v>
      </c>
      <c r="BO326" s="39">
        <v>0</v>
      </c>
      <c r="BP326" s="55">
        <v>-119.34310272027908</v>
      </c>
      <c r="BQ326" s="77">
        <v>1166.714631897629</v>
      </c>
      <c r="BR326" s="40">
        <v>0</v>
      </c>
      <c r="BS326" s="55">
        <v>-1166.714631897629</v>
      </c>
      <c r="BT326" s="39">
        <v>2632.8943698044923</v>
      </c>
      <c r="BU326" s="39">
        <v>1029.7879688571752</v>
      </c>
      <c r="BV326" s="52">
        <v>-1603.1064009473171</v>
      </c>
      <c r="BW326" s="39">
        <v>2253.8475109640076</v>
      </c>
      <c r="BX326" s="39">
        <v>2104.8539557891349</v>
      </c>
      <c r="BY326" s="52">
        <v>-148.99355517487265</v>
      </c>
      <c r="BZ326" s="39">
        <v>1789.1117046983588</v>
      </c>
      <c r="CA326" s="39">
        <v>4251.9287487827414</v>
      </c>
      <c r="CB326" s="52">
        <v>2462.8170440843824</v>
      </c>
      <c r="CC326" s="39">
        <v>115.201910912004</v>
      </c>
      <c r="CD326" s="39">
        <v>113.65496623927297</v>
      </c>
      <c r="CE326" s="52">
        <v>-1.5469446727310299</v>
      </c>
      <c r="CF326" s="39">
        <v>14.182053426667157</v>
      </c>
      <c r="CG326" s="39">
        <v>0</v>
      </c>
      <c r="CH326" s="52">
        <v>-14.182053426667157</v>
      </c>
      <c r="CI326" s="39">
        <v>570.88451790436011</v>
      </c>
      <c r="CJ326" s="39">
        <v>480.29620788670877</v>
      </c>
      <c r="CK326" s="52">
        <v>-90.588310017651338</v>
      </c>
      <c r="CL326" s="39">
        <v>0</v>
      </c>
      <c r="CM326" s="39">
        <v>0</v>
      </c>
      <c r="CN326" s="52">
        <v>0</v>
      </c>
      <c r="CO326" s="39">
        <v>570.88451790436011</v>
      </c>
      <c r="CP326" s="40">
        <v>480.29620788670877</v>
      </c>
      <c r="CQ326" s="52">
        <v>-90.588310017651338</v>
      </c>
      <c r="CR326" s="72">
        <v>18968.933634224737</v>
      </c>
      <c r="CS326" s="5">
        <v>13164.090450828875</v>
      </c>
      <c r="CT326" s="52">
        <v>-5804.8431833958621</v>
      </c>
      <c r="CU326" s="77">
        <v>22762.720361069685</v>
      </c>
      <c r="CV326" s="65">
        <v>15796.908540994649</v>
      </c>
      <c r="CW326" s="35">
        <v>-6965.8118200750359</v>
      </c>
      <c r="CX326" s="39">
        <v>1138.1360180534843</v>
      </c>
      <c r="CY326" s="39">
        <v>8103.9478381285198</v>
      </c>
      <c r="CZ326" s="52">
        <v>6965.8118200750359</v>
      </c>
      <c r="DA326" s="150">
        <v>-15098.315626752425</v>
      </c>
      <c r="DB326" s="2">
        <v>1</v>
      </c>
      <c r="DC326" s="713">
        <v>22035.5</v>
      </c>
      <c r="DD326" s="714">
        <v>2313.37</v>
      </c>
      <c r="DE326" s="715">
        <v>12129.624759766644</v>
      </c>
      <c r="DF326" s="716">
        <v>268.81705067177268</v>
      </c>
      <c r="DG326" s="717">
        <v>4906.7124347014797</v>
      </c>
      <c r="DH326" s="718">
        <v>115463.61858108453</v>
      </c>
      <c r="DI326" s="718">
        <v>286810.276549478</v>
      </c>
      <c r="DJ326" s="693">
        <v>243973.61205737965</v>
      </c>
      <c r="DK326" s="724"/>
      <c r="DL326" s="5"/>
      <c r="DM326" s="306">
        <v>4.3275805873427178</v>
      </c>
      <c r="DN326" s="306"/>
      <c r="DO326" s="306">
        <v>3.7072582943394874</v>
      </c>
      <c r="DP326" s="719">
        <v>9905.8752402333557</v>
      </c>
      <c r="DQ326" s="720">
        <v>2044.5529493282272</v>
      </c>
      <c r="DR326" s="650">
        <v>11950.428189561582</v>
      </c>
      <c r="DS326" s="94">
        <v>11950.428189561586</v>
      </c>
      <c r="DT326" s="719">
        <v>9901.8799999999992</v>
      </c>
      <c r="DU326" s="725">
        <v>2044.57</v>
      </c>
      <c r="DV326" s="93">
        <v>11946.449999999999</v>
      </c>
      <c r="DW326" s="95">
        <v>12064.241791366936</v>
      </c>
      <c r="DX326" s="28">
        <v>-117.7917913669371</v>
      </c>
      <c r="EA326" s="5">
        <v>5930.631088648247</v>
      </c>
      <c r="EB326" s="5">
        <v>500.4</v>
      </c>
      <c r="EE326" s="722">
        <v>45305.735303710913</v>
      </c>
      <c r="EG326" s="42" t="s">
        <v>310</v>
      </c>
    </row>
    <row r="327" spans="1:137" x14ac:dyDescent="0.3">
      <c r="A327" s="325">
        <v>150000868</v>
      </c>
      <c r="B327" s="41" t="s">
        <v>801</v>
      </c>
      <c r="C327" s="42" t="s">
        <v>311</v>
      </c>
      <c r="D327" s="27">
        <v>5</v>
      </c>
      <c r="E327" s="709">
        <v>3295.38</v>
      </c>
      <c r="F327" s="723">
        <v>2609.98</v>
      </c>
      <c r="G327" s="28"/>
      <c r="H327" s="651">
        <v>685.4</v>
      </c>
      <c r="I327" s="39">
        <v>1865.380218099715</v>
      </c>
      <c r="J327" s="39">
        <v>1392.4064604500165</v>
      </c>
      <c r="K327" s="52">
        <v>-472.97375764969843</v>
      </c>
      <c r="L327" s="39">
        <v>382.1501227217816</v>
      </c>
      <c r="M327" s="39">
        <v>199.50238941116183</v>
      </c>
      <c r="N327" s="52">
        <v>-182.64773331061977</v>
      </c>
      <c r="O327" s="39">
        <v>871.48</v>
      </c>
      <c r="P327" s="39">
        <v>871.48</v>
      </c>
      <c r="Q327" s="52">
        <v>0</v>
      </c>
      <c r="R327" s="39">
        <v>0</v>
      </c>
      <c r="S327" s="39">
        <v>0</v>
      </c>
      <c r="T327" s="52">
        <v>0</v>
      </c>
      <c r="U327" s="39">
        <v>0</v>
      </c>
      <c r="V327" s="39">
        <v>0</v>
      </c>
      <c r="W327" s="52">
        <v>0</v>
      </c>
      <c r="X327" s="39">
        <v>1261.2501337003903</v>
      </c>
      <c r="Y327" s="39">
        <v>879.20435791245677</v>
      </c>
      <c r="Z327" s="52">
        <v>-382.04577578793351</v>
      </c>
      <c r="AA327" s="39">
        <v>0</v>
      </c>
      <c r="AB327" s="39">
        <v>0</v>
      </c>
      <c r="AC327" s="52">
        <v>0</v>
      </c>
      <c r="AD327" s="39">
        <v>2348.4149529816464</v>
      </c>
      <c r="AE327" s="39">
        <v>1970.5933888406926</v>
      </c>
      <c r="AF327" s="35">
        <v>-377.8215641409538</v>
      </c>
      <c r="AG327" s="77">
        <v>6728.6754275035328</v>
      </c>
      <c r="AH327" s="53">
        <v>5313.1865966143278</v>
      </c>
      <c r="AI327" s="52">
        <v>-1415.488830889205</v>
      </c>
      <c r="AJ327" s="39">
        <v>0</v>
      </c>
      <c r="AK327" s="39">
        <v>0</v>
      </c>
      <c r="AL327" s="52">
        <v>0</v>
      </c>
      <c r="AM327" s="39">
        <v>0</v>
      </c>
      <c r="AN327" s="39">
        <v>0</v>
      </c>
      <c r="AO327" s="52">
        <v>0</v>
      </c>
      <c r="AP327" s="39">
        <v>1515.2282286298396</v>
      </c>
      <c r="AQ327" s="39">
        <v>0</v>
      </c>
      <c r="AR327" s="52">
        <v>-1515.2282286298396</v>
      </c>
      <c r="AS327" s="39">
        <v>4717.2020944824671</v>
      </c>
      <c r="AT327" s="39">
        <v>459.95586151480455</v>
      </c>
      <c r="AU327" s="54">
        <v>-4257.2462329676628</v>
      </c>
      <c r="AV327" s="39">
        <v>326.06781225211932</v>
      </c>
      <c r="AW327" s="39">
        <v>0</v>
      </c>
      <c r="AX327" s="55">
        <v>-326.06781225211932</v>
      </c>
      <c r="AY327" s="39">
        <v>492.56202672116706</v>
      </c>
      <c r="AZ327" s="39">
        <v>0</v>
      </c>
      <c r="BA327" s="35">
        <v>-492.56202672116706</v>
      </c>
      <c r="BB327" s="39">
        <v>300.2074328718092</v>
      </c>
      <c r="BC327" s="39">
        <v>0</v>
      </c>
      <c r="BD327" s="55">
        <v>-300.2074328718092</v>
      </c>
      <c r="BE327" s="39">
        <v>0</v>
      </c>
      <c r="BF327" s="39">
        <v>0</v>
      </c>
      <c r="BG327" s="38">
        <v>0</v>
      </c>
      <c r="BH327" s="39">
        <v>0</v>
      </c>
      <c r="BI327" s="39">
        <v>0</v>
      </c>
      <c r="BJ327" s="55">
        <v>0</v>
      </c>
      <c r="BK327" s="39">
        <v>176.52030214061796</v>
      </c>
      <c r="BL327" s="39">
        <v>0</v>
      </c>
      <c r="BM327" s="38">
        <v>-176.52030214061796</v>
      </c>
      <c r="BN327" s="39">
        <v>107.05787424455717</v>
      </c>
      <c r="BO327" s="39">
        <v>0</v>
      </c>
      <c r="BP327" s="55">
        <v>-107.05787424455717</v>
      </c>
      <c r="BQ327" s="77">
        <v>1402.4154482302706</v>
      </c>
      <c r="BR327" s="40">
        <v>0</v>
      </c>
      <c r="BS327" s="55">
        <v>-1402.4154482302706</v>
      </c>
      <c r="BT327" s="39">
        <v>6473.3966128912243</v>
      </c>
      <c r="BU327" s="39">
        <v>2460.4347692207793</v>
      </c>
      <c r="BV327" s="52">
        <v>-4012.961843670445</v>
      </c>
      <c r="BW327" s="39">
        <v>2637.0462610794589</v>
      </c>
      <c r="BX327" s="39">
        <v>2480.0963294370194</v>
      </c>
      <c r="BY327" s="52">
        <v>-156.94993164243942</v>
      </c>
      <c r="BZ327" s="39">
        <v>4236.2565573285665</v>
      </c>
      <c r="CA327" s="39">
        <v>9389.6858045652498</v>
      </c>
      <c r="CB327" s="52">
        <v>5153.4292472366833</v>
      </c>
      <c r="CC327" s="39">
        <v>196.67662407615319</v>
      </c>
      <c r="CD327" s="39">
        <v>194.03562746892052</v>
      </c>
      <c r="CE327" s="52">
        <v>-2.6409966072326654</v>
      </c>
      <c r="CF327" s="39">
        <v>24.212084403314314</v>
      </c>
      <c r="CG327" s="39">
        <v>0</v>
      </c>
      <c r="CH327" s="52">
        <v>-24.212084403314314</v>
      </c>
      <c r="CI327" s="39">
        <v>1441.2494386437945</v>
      </c>
      <c r="CJ327" s="39">
        <v>2570.9912132031691</v>
      </c>
      <c r="CK327" s="52">
        <v>1129.7417745593746</v>
      </c>
      <c r="CL327" s="39">
        <v>0</v>
      </c>
      <c r="CM327" s="39">
        <v>0</v>
      </c>
      <c r="CN327" s="52">
        <v>0</v>
      </c>
      <c r="CO327" s="39">
        <v>1441.2494386437945</v>
      </c>
      <c r="CP327" s="40">
        <v>2570.9912132031691</v>
      </c>
      <c r="CQ327" s="52">
        <v>1129.7417745593746</v>
      </c>
      <c r="CR327" s="72">
        <v>29372.358777268626</v>
      </c>
      <c r="CS327" s="5">
        <v>22868.38620202427</v>
      </c>
      <c r="CT327" s="52">
        <v>-6503.9725752443555</v>
      </c>
      <c r="CU327" s="77">
        <v>35246.83053272235</v>
      </c>
      <c r="CV327" s="65">
        <v>27442.063442429124</v>
      </c>
      <c r="CW327" s="35">
        <v>-7804.7670902932259</v>
      </c>
      <c r="CX327" s="39">
        <v>0</v>
      </c>
      <c r="CY327" s="39">
        <v>7804.7670902932259</v>
      </c>
      <c r="CZ327" s="52">
        <v>7804.7670902932259</v>
      </c>
      <c r="DA327" s="150">
        <v>-20433.318399435215</v>
      </c>
      <c r="DB327" s="2">
        <v>1</v>
      </c>
      <c r="DC327" s="713">
        <v>24172.18</v>
      </c>
      <c r="DD327" s="714">
        <v>4940.33</v>
      </c>
      <c r="DE327" s="715">
        <v>9885.1416974966014</v>
      </c>
      <c r="DF327" s="716">
        <v>1603.9530361422258</v>
      </c>
      <c r="DG327" s="717">
        <v>31674.92382384144</v>
      </c>
      <c r="DH327" s="718">
        <v>169444.40332188871</v>
      </c>
      <c r="DI327" s="718">
        <v>422961.9663926682</v>
      </c>
      <c r="DJ327" s="693">
        <v>359582.57562497334</v>
      </c>
      <c r="DK327" s="724"/>
      <c r="DL327" s="5"/>
      <c r="DM327" s="306">
        <v>5.4740029818249178</v>
      </c>
      <c r="DN327" s="306"/>
      <c r="DO327" s="306">
        <v>4.8677808051616198</v>
      </c>
      <c r="DP327" s="719">
        <v>14287.038302503399</v>
      </c>
      <c r="DQ327" s="720">
        <v>3336.3769638577742</v>
      </c>
      <c r="DR327" s="650">
        <v>17623.415266361175</v>
      </c>
      <c r="DS327" s="94">
        <v>17623.415266361175</v>
      </c>
      <c r="DT327" s="719">
        <v>14286.72</v>
      </c>
      <c r="DU327" s="725">
        <v>3336.3900000000003</v>
      </c>
      <c r="DV327" s="93">
        <v>17623.11</v>
      </c>
      <c r="DW327" s="95">
        <v>17623.415266361175</v>
      </c>
      <c r="DX327" s="28">
        <v>-0.30526636117429007</v>
      </c>
      <c r="EA327" s="5">
        <v>7343.5410512552853</v>
      </c>
      <c r="EB327" s="5">
        <v>551.94703381776549</v>
      </c>
      <c r="EE327" s="722">
        <v>56606.425133789606</v>
      </c>
      <c r="EG327" s="42" t="s">
        <v>311</v>
      </c>
    </row>
    <row r="328" spans="1:137" x14ac:dyDescent="0.3">
      <c r="A328" s="325">
        <v>150000869</v>
      </c>
      <c r="B328" s="41" t="s">
        <v>802</v>
      </c>
      <c r="C328" s="42" t="s">
        <v>312</v>
      </c>
      <c r="D328" s="27">
        <v>5</v>
      </c>
      <c r="E328" s="709">
        <v>5761.1900000000005</v>
      </c>
      <c r="F328" s="723">
        <v>4602.8900000000003</v>
      </c>
      <c r="G328" s="28"/>
      <c r="H328" s="651">
        <v>1158.3</v>
      </c>
      <c r="I328" s="39">
        <v>3028.4179462609359</v>
      </c>
      <c r="J328" s="39">
        <v>2261.721940852779</v>
      </c>
      <c r="K328" s="52">
        <v>-766.69600540815691</v>
      </c>
      <c r="L328" s="39">
        <v>682.83357792912227</v>
      </c>
      <c r="M328" s="39">
        <v>356.47310411497568</v>
      </c>
      <c r="N328" s="52">
        <v>-326.36047381414659</v>
      </c>
      <c r="O328" s="39">
        <v>1314.82</v>
      </c>
      <c r="P328" s="39">
        <v>1314.82</v>
      </c>
      <c r="Q328" s="52">
        <v>0</v>
      </c>
      <c r="R328" s="39">
        <v>298.32</v>
      </c>
      <c r="S328" s="39">
        <v>298.32</v>
      </c>
      <c r="T328" s="52">
        <v>0</v>
      </c>
      <c r="U328" s="39">
        <v>206.87093145953389</v>
      </c>
      <c r="V328" s="39">
        <v>37.432130132293466</v>
      </c>
      <c r="W328" s="52">
        <v>-169.43880132724041</v>
      </c>
      <c r="X328" s="39">
        <v>2975.9022482921964</v>
      </c>
      <c r="Y328" s="39">
        <v>2101.1872933550508</v>
      </c>
      <c r="Z328" s="52">
        <v>-874.71495493714565</v>
      </c>
      <c r="AA328" s="39">
        <v>0</v>
      </c>
      <c r="AB328" s="39">
        <v>0</v>
      </c>
      <c r="AC328" s="52">
        <v>0</v>
      </c>
      <c r="AD328" s="39">
        <v>4105.6463117966159</v>
      </c>
      <c r="AE328" s="39">
        <v>3445.1149566529839</v>
      </c>
      <c r="AF328" s="35">
        <v>-660.53135514363203</v>
      </c>
      <c r="AG328" s="77">
        <v>12612.811015738404</v>
      </c>
      <c r="AH328" s="53">
        <v>9815.0694251080822</v>
      </c>
      <c r="AI328" s="52">
        <v>-2797.7415906303213</v>
      </c>
      <c r="AJ328" s="39">
        <v>0</v>
      </c>
      <c r="AK328" s="39">
        <v>0</v>
      </c>
      <c r="AL328" s="52">
        <v>0</v>
      </c>
      <c r="AM328" s="39">
        <v>0</v>
      </c>
      <c r="AN328" s="39">
        <v>0</v>
      </c>
      <c r="AO328" s="52">
        <v>0</v>
      </c>
      <c r="AP328" s="39">
        <v>670.80416371633532</v>
      </c>
      <c r="AQ328" s="39">
        <v>3740.7541274785267</v>
      </c>
      <c r="AR328" s="52">
        <v>3069.9499637621911</v>
      </c>
      <c r="AS328" s="39">
        <v>13481.383032372123</v>
      </c>
      <c r="AT328" s="39">
        <v>0</v>
      </c>
      <c r="AU328" s="54">
        <v>-13481.383032372123</v>
      </c>
      <c r="AV328" s="39">
        <v>542.09011909004789</v>
      </c>
      <c r="AW328" s="39">
        <v>0</v>
      </c>
      <c r="AX328" s="55">
        <v>-542.09011909004789</v>
      </c>
      <c r="AY328" s="39">
        <v>850.60757030285652</v>
      </c>
      <c r="AZ328" s="39">
        <v>1624</v>
      </c>
      <c r="BA328" s="35">
        <v>773.39242969714348</v>
      </c>
      <c r="BB328" s="39">
        <v>489.80949694715548</v>
      </c>
      <c r="BC328" s="39">
        <v>0</v>
      </c>
      <c r="BD328" s="55">
        <v>-489.80949694715548</v>
      </c>
      <c r="BE328" s="39">
        <v>271.06661852588115</v>
      </c>
      <c r="BF328" s="39">
        <v>0</v>
      </c>
      <c r="BG328" s="38">
        <v>-271.06661852588115</v>
      </c>
      <c r="BH328" s="39">
        <v>209.85895464751857</v>
      </c>
      <c r="BI328" s="39">
        <v>0</v>
      </c>
      <c r="BJ328" s="55">
        <v>-209.85895464751857</v>
      </c>
      <c r="BK328" s="39">
        <v>427.20193121784132</v>
      </c>
      <c r="BL328" s="39">
        <v>0</v>
      </c>
      <c r="BM328" s="38">
        <v>-427.20193121784132</v>
      </c>
      <c r="BN328" s="39">
        <v>232.06982656797737</v>
      </c>
      <c r="BO328" s="39">
        <v>0</v>
      </c>
      <c r="BP328" s="55">
        <v>-232.06982656797737</v>
      </c>
      <c r="BQ328" s="77">
        <v>3022.7045172992785</v>
      </c>
      <c r="BR328" s="40">
        <v>1624</v>
      </c>
      <c r="BS328" s="55">
        <v>-1398.7045172992785</v>
      </c>
      <c r="BT328" s="39">
        <v>6664.8470942676622</v>
      </c>
      <c r="BU328" s="39">
        <v>2296.079203490156</v>
      </c>
      <c r="BV328" s="52">
        <v>-4368.7678907775062</v>
      </c>
      <c r="BW328" s="39">
        <v>5651.0940655556651</v>
      </c>
      <c r="BX328" s="39">
        <v>5134.7806229769139</v>
      </c>
      <c r="BY328" s="52">
        <v>-516.31344257875116</v>
      </c>
      <c r="BZ328" s="39">
        <v>3836.4944222981553</v>
      </c>
      <c r="CA328" s="39">
        <v>9347.7866146809174</v>
      </c>
      <c r="CB328" s="52">
        <v>5511.2921923827616</v>
      </c>
      <c r="CC328" s="39">
        <v>431.68852233664131</v>
      </c>
      <c r="CD328" s="39">
        <v>425.89175859703732</v>
      </c>
      <c r="CE328" s="52">
        <v>-5.7967637396039891</v>
      </c>
      <c r="CF328" s="39">
        <v>53.143473393715311</v>
      </c>
      <c r="CG328" s="39">
        <v>0</v>
      </c>
      <c r="CH328" s="52">
        <v>-53.143473393715311</v>
      </c>
      <c r="CI328" s="39">
        <v>2439.5174480940414</v>
      </c>
      <c r="CJ328" s="39">
        <v>3236.82004473911</v>
      </c>
      <c r="CK328" s="52">
        <v>797.30259664506866</v>
      </c>
      <c r="CL328" s="39">
        <v>0</v>
      </c>
      <c r="CM328" s="39">
        <v>0</v>
      </c>
      <c r="CN328" s="52">
        <v>0</v>
      </c>
      <c r="CO328" s="39">
        <v>2439.5174480940414</v>
      </c>
      <c r="CP328" s="40">
        <v>3236.82004473911</v>
      </c>
      <c r="CQ328" s="52">
        <v>797.30259664506866</v>
      </c>
      <c r="CR328" s="72">
        <v>48864.487755072019</v>
      </c>
      <c r="CS328" s="5">
        <v>35621.181797070742</v>
      </c>
      <c r="CT328" s="52">
        <v>-13243.305958001278</v>
      </c>
      <c r="CU328" s="77">
        <v>58637.38530608642</v>
      </c>
      <c r="CV328" s="65">
        <v>42745.418156484891</v>
      </c>
      <c r="CW328" s="35">
        <v>-15891.967149601529</v>
      </c>
      <c r="CX328" s="39">
        <v>2931.8692653043213</v>
      </c>
      <c r="CY328" s="39">
        <v>18823.836414905843</v>
      </c>
      <c r="CZ328" s="52">
        <v>15891.967149601522</v>
      </c>
      <c r="DA328" s="150">
        <v>-9756.6581824991736</v>
      </c>
      <c r="DB328" s="2">
        <v>1</v>
      </c>
      <c r="DC328" s="713">
        <v>59274.22</v>
      </c>
      <c r="DD328" s="714">
        <v>10125.140000000001</v>
      </c>
      <c r="DE328" s="715">
        <v>33963.126231452494</v>
      </c>
      <c r="DF328" s="716">
        <v>4651.6064828521421</v>
      </c>
      <c r="DG328" s="717">
        <v>-23838.599498017607</v>
      </c>
      <c r="DH328" s="718">
        <v>309819.65807079582</v>
      </c>
      <c r="DI328" s="718">
        <v>738831.05485668883</v>
      </c>
      <c r="DJ328" s="693">
        <v>631578.20566021558</v>
      </c>
      <c r="DK328" s="724"/>
      <c r="DL328" s="5"/>
      <c r="DM328" s="306">
        <v>5.4989569093650967</v>
      </c>
      <c r="DN328" s="306"/>
      <c r="DO328" s="306">
        <v>4.7254886619596475</v>
      </c>
      <c r="DP328" s="719">
        <v>25311.093768547511</v>
      </c>
      <c r="DQ328" s="727">
        <v>5473.5335171478591</v>
      </c>
      <c r="DR328" s="650">
        <v>30784.627285695369</v>
      </c>
      <c r="DS328" s="94">
        <v>30784.627285695369</v>
      </c>
      <c r="DT328" s="719">
        <v>25304.25</v>
      </c>
      <c r="DU328" s="728">
        <v>5606.8200000000006</v>
      </c>
      <c r="DV328" s="93">
        <v>30911.07</v>
      </c>
      <c r="DW328" s="95">
        <v>31077.8142122258</v>
      </c>
      <c r="DX328" s="28">
        <v>-166.74421222579986</v>
      </c>
      <c r="DY328" s="94"/>
      <c r="EA328" s="5">
        <v>19804.90505960568</v>
      </c>
      <c r="EB328" s="5">
        <v>1948.8</v>
      </c>
      <c r="EE328" s="722">
        <v>161776.59638846549</v>
      </c>
      <c r="EG328" s="42" t="s">
        <v>312</v>
      </c>
    </row>
    <row r="329" spans="1:137" x14ac:dyDescent="0.3">
      <c r="A329" s="325">
        <v>150000875</v>
      </c>
      <c r="B329" s="41" t="s">
        <v>803</v>
      </c>
      <c r="C329" s="42" t="s">
        <v>313</v>
      </c>
      <c r="D329" s="27">
        <v>5</v>
      </c>
      <c r="E329" s="709">
        <v>3190.1</v>
      </c>
      <c r="F329" s="723">
        <v>3190.1</v>
      </c>
      <c r="G329" s="28"/>
      <c r="H329" s="651">
        <v>0</v>
      </c>
      <c r="I329" s="39">
        <v>2144.645149117503</v>
      </c>
      <c r="J329" s="39">
        <v>1606.1757529541205</v>
      </c>
      <c r="K329" s="52">
        <v>-538.4693961633825</v>
      </c>
      <c r="L329" s="39">
        <v>429.59193429862819</v>
      </c>
      <c r="M329" s="39">
        <v>224.269623714109</v>
      </c>
      <c r="N329" s="52">
        <v>-205.32231058451919</v>
      </c>
      <c r="O329" s="39">
        <v>823.1</v>
      </c>
      <c r="P329" s="39">
        <v>823.1</v>
      </c>
      <c r="Q329" s="52">
        <v>0</v>
      </c>
      <c r="R329" s="39">
        <v>0</v>
      </c>
      <c r="S329" s="39">
        <v>0</v>
      </c>
      <c r="T329" s="52">
        <v>0</v>
      </c>
      <c r="U329" s="39">
        <v>0</v>
      </c>
      <c r="V329" s="39">
        <v>0</v>
      </c>
      <c r="W329" s="52">
        <v>0</v>
      </c>
      <c r="X329" s="39">
        <v>1247.2145862139712</v>
      </c>
      <c r="Y329" s="39">
        <v>868.37008420227437</v>
      </c>
      <c r="Z329" s="52">
        <v>-378.84450201169682</v>
      </c>
      <c r="AA329" s="39">
        <v>0</v>
      </c>
      <c r="AB329" s="39">
        <v>0</v>
      </c>
      <c r="AC329" s="52">
        <v>0</v>
      </c>
      <c r="AD329" s="39">
        <v>2273.3883623456932</v>
      </c>
      <c r="AE329" s="39">
        <v>1907.6373497868813</v>
      </c>
      <c r="AF329" s="35">
        <v>-365.75101255881191</v>
      </c>
      <c r="AG329" s="77">
        <v>6917.9400319757951</v>
      </c>
      <c r="AH329" s="53">
        <v>5429.5528106573856</v>
      </c>
      <c r="AI329" s="52">
        <v>-1488.3872213184095</v>
      </c>
      <c r="AJ329" s="39">
        <v>0</v>
      </c>
      <c r="AK329" s="39">
        <v>0</v>
      </c>
      <c r="AL329" s="52">
        <v>0</v>
      </c>
      <c r="AM329" s="39">
        <v>0</v>
      </c>
      <c r="AN329" s="39">
        <v>0</v>
      </c>
      <c r="AO329" s="52">
        <v>0</v>
      </c>
      <c r="AP329" s="39">
        <v>1657.2808750638872</v>
      </c>
      <c r="AQ329" s="39">
        <v>0</v>
      </c>
      <c r="AR329" s="52">
        <v>-1657.2808750638872</v>
      </c>
      <c r="AS329" s="39">
        <v>5950.6543204209074</v>
      </c>
      <c r="AT329" s="39">
        <v>0</v>
      </c>
      <c r="AU329" s="54">
        <v>-5950.6543204209074</v>
      </c>
      <c r="AV329" s="39">
        <v>356.05503281979952</v>
      </c>
      <c r="AW329" s="39">
        <v>0</v>
      </c>
      <c r="AX329" s="55">
        <v>-356.05503281979952</v>
      </c>
      <c r="AY329" s="39">
        <v>553.69522338747106</v>
      </c>
      <c r="AZ329" s="39">
        <v>0</v>
      </c>
      <c r="BA329" s="35">
        <v>-553.69522338747106</v>
      </c>
      <c r="BB329" s="39">
        <v>316.94103982577809</v>
      </c>
      <c r="BC329" s="39">
        <v>0</v>
      </c>
      <c r="BD329" s="55">
        <v>-316.94103982577809</v>
      </c>
      <c r="BE329" s="39">
        <v>0</v>
      </c>
      <c r="BF329" s="39">
        <v>0</v>
      </c>
      <c r="BG329" s="38">
        <v>0</v>
      </c>
      <c r="BH329" s="39">
        <v>0</v>
      </c>
      <c r="BI329" s="39">
        <v>0</v>
      </c>
      <c r="BJ329" s="55">
        <v>0</v>
      </c>
      <c r="BK329" s="39">
        <v>174.41860246110207</v>
      </c>
      <c r="BL329" s="39">
        <v>0</v>
      </c>
      <c r="BM329" s="38">
        <v>-174.41860246110207</v>
      </c>
      <c r="BN329" s="39">
        <v>200.88589227223855</v>
      </c>
      <c r="BO329" s="39">
        <v>0</v>
      </c>
      <c r="BP329" s="55">
        <v>-200.88589227223855</v>
      </c>
      <c r="BQ329" s="77">
        <v>1601.9957907663895</v>
      </c>
      <c r="BR329" s="40">
        <v>0</v>
      </c>
      <c r="BS329" s="55">
        <v>-1601.9957907663895</v>
      </c>
      <c r="BT329" s="39">
        <v>4364.2065204496175</v>
      </c>
      <c r="BU329" s="39">
        <v>943.89119263690623</v>
      </c>
      <c r="BV329" s="52">
        <v>-3420.3153278127111</v>
      </c>
      <c r="BW329" s="39">
        <v>2856.3341959829895</v>
      </c>
      <c r="BX329" s="39">
        <v>1730.42891285321</v>
      </c>
      <c r="BY329" s="52">
        <v>-1125.9052831297795</v>
      </c>
      <c r="BZ329" s="39">
        <v>1960.9423683501768</v>
      </c>
      <c r="CA329" s="39">
        <v>4019.2962555894655</v>
      </c>
      <c r="CB329" s="52">
        <v>2058.3538872392887</v>
      </c>
      <c r="CC329" s="39">
        <v>144.61516476187737</v>
      </c>
      <c r="CD329" s="39">
        <v>142.6732554918533</v>
      </c>
      <c r="CE329" s="52">
        <v>-1.9419092700240697</v>
      </c>
      <c r="CF329" s="39">
        <v>17.803003237731112</v>
      </c>
      <c r="CG329" s="39">
        <v>0</v>
      </c>
      <c r="CH329" s="52">
        <v>-17.803003237731112</v>
      </c>
      <c r="CI329" s="39">
        <v>976.43089674352314</v>
      </c>
      <c r="CJ329" s="39">
        <v>1554.6815617907719</v>
      </c>
      <c r="CK329" s="52">
        <v>578.25066504724873</v>
      </c>
      <c r="CL329" s="39">
        <v>0</v>
      </c>
      <c r="CM329" s="39">
        <v>0</v>
      </c>
      <c r="CN329" s="52">
        <v>0</v>
      </c>
      <c r="CO329" s="39">
        <v>976.43089674352314</v>
      </c>
      <c r="CP329" s="40">
        <v>1554.6815617907719</v>
      </c>
      <c r="CQ329" s="52">
        <v>578.25066504724873</v>
      </c>
      <c r="CR329" s="72">
        <v>26448.203167752898</v>
      </c>
      <c r="CS329" s="5">
        <v>13820.523989019594</v>
      </c>
      <c r="CT329" s="52">
        <v>-12627.679178733304</v>
      </c>
      <c r="CU329" s="77">
        <v>31737.843801303476</v>
      </c>
      <c r="CV329" s="65">
        <v>16584.628786823512</v>
      </c>
      <c r="CW329" s="35">
        <v>-15153.215014479963</v>
      </c>
      <c r="CX329" s="39">
        <v>634.75687602606956</v>
      </c>
      <c r="CY329" s="39">
        <v>15787.971890506034</v>
      </c>
      <c r="CZ329" s="52">
        <v>15153.215014479965</v>
      </c>
      <c r="DA329" s="150">
        <v>24236.541319678188</v>
      </c>
      <c r="DB329" s="2">
        <v>1</v>
      </c>
      <c r="DC329" s="713">
        <v>32853.050000000003</v>
      </c>
      <c r="DD329" s="714"/>
      <c r="DE329" s="715">
        <v>16666.74966133523</v>
      </c>
      <c r="DF329" s="716">
        <v>0</v>
      </c>
      <c r="DG329" s="717">
        <v>60833.880763089488</v>
      </c>
      <c r="DH329" s="718">
        <v>156470.36260460305</v>
      </c>
      <c r="DI329" s="718">
        <v>388471.20812795451</v>
      </c>
      <c r="DJ329" s="693">
        <v>330470.99674711667</v>
      </c>
      <c r="DK329" s="724"/>
      <c r="DL329" s="5"/>
      <c r="DM329" s="306">
        <v>5.0739162843374102</v>
      </c>
      <c r="DN329" s="306"/>
      <c r="DO329" s="306">
        <v>4.5259470896596294</v>
      </c>
      <c r="DP329" s="719">
        <v>16186.300338664772</v>
      </c>
      <c r="DQ329" s="720">
        <v>0</v>
      </c>
      <c r="DR329" s="650">
        <v>16186.300338664772</v>
      </c>
      <c r="DS329" s="94">
        <v>16186.300338664772</v>
      </c>
      <c r="DT329" s="719">
        <v>16186.26</v>
      </c>
      <c r="DU329" s="721"/>
      <c r="DV329" s="93">
        <v>16186.26</v>
      </c>
      <c r="DW329" s="95">
        <v>16249.77602626738</v>
      </c>
      <c r="DX329" s="28">
        <v>-63.516026267379857</v>
      </c>
      <c r="EA329" s="5">
        <v>9063.1801334247557</v>
      </c>
      <c r="EB329" s="5">
        <v>0</v>
      </c>
      <c r="EE329" s="722">
        <v>71407.851845050885</v>
      </c>
      <c r="EG329" s="42" t="s">
        <v>313</v>
      </c>
    </row>
    <row r="330" spans="1:137" x14ac:dyDescent="0.3">
      <c r="A330" s="325">
        <v>150000871</v>
      </c>
      <c r="B330" s="41" t="s">
        <v>804</v>
      </c>
      <c r="C330" s="42" t="s">
        <v>141</v>
      </c>
      <c r="D330" s="27">
        <v>1</v>
      </c>
      <c r="E330" s="709">
        <v>152.6</v>
      </c>
      <c r="F330" s="723">
        <v>152.6</v>
      </c>
      <c r="G330" s="28"/>
      <c r="H330" s="651">
        <v>0</v>
      </c>
      <c r="I330" s="39">
        <v>0</v>
      </c>
      <c r="J330" s="39">
        <v>0</v>
      </c>
      <c r="K330" s="52">
        <v>0</v>
      </c>
      <c r="L330" s="39">
        <v>0</v>
      </c>
      <c r="M330" s="39">
        <v>0</v>
      </c>
      <c r="N330" s="52">
        <v>0</v>
      </c>
      <c r="O330" s="39">
        <v>0</v>
      </c>
      <c r="P330" s="39">
        <v>0</v>
      </c>
      <c r="Q330" s="52">
        <v>0</v>
      </c>
      <c r="R330" s="39">
        <v>0</v>
      </c>
      <c r="S330" s="39">
        <v>0</v>
      </c>
      <c r="T330" s="52">
        <v>0</v>
      </c>
      <c r="U330" s="39">
        <v>0</v>
      </c>
      <c r="V330" s="39">
        <v>0</v>
      </c>
      <c r="W330" s="52">
        <v>0</v>
      </c>
      <c r="X330" s="39">
        <v>0</v>
      </c>
      <c r="Y330" s="39">
        <v>0</v>
      </c>
      <c r="Z330" s="52">
        <v>0</v>
      </c>
      <c r="AA330" s="39">
        <v>0</v>
      </c>
      <c r="AB330" s="39">
        <v>0</v>
      </c>
      <c r="AC330" s="52">
        <v>0</v>
      </c>
      <c r="AD330" s="39">
        <v>0</v>
      </c>
      <c r="AE330" s="39">
        <v>91.25276937321027</v>
      </c>
      <c r="AF330" s="35">
        <v>91.25276937321027</v>
      </c>
      <c r="AG330" s="77">
        <v>0</v>
      </c>
      <c r="AH330" s="53">
        <v>91.25276937321027</v>
      </c>
      <c r="AI330" s="52">
        <v>91.25276937321027</v>
      </c>
      <c r="AJ330" s="39">
        <v>0</v>
      </c>
      <c r="AK330" s="39">
        <v>0</v>
      </c>
      <c r="AL330" s="52">
        <v>0</v>
      </c>
      <c r="AM330" s="39">
        <v>0</v>
      </c>
      <c r="AN330" s="39">
        <v>0</v>
      </c>
      <c r="AO330" s="52">
        <v>0</v>
      </c>
      <c r="AP330" s="39">
        <v>47.350882144682487</v>
      </c>
      <c r="AQ330" s="39">
        <v>0</v>
      </c>
      <c r="AR330" s="52">
        <v>-47.350882144682487</v>
      </c>
      <c r="AS330" s="39">
        <v>371.67113217406614</v>
      </c>
      <c r="AT330" s="39">
        <v>0</v>
      </c>
      <c r="AU330" s="54">
        <v>-371.67113217406614</v>
      </c>
      <c r="AV330" s="39">
        <v>0</v>
      </c>
      <c r="AW330" s="39">
        <v>0</v>
      </c>
      <c r="AX330" s="55">
        <v>0</v>
      </c>
      <c r="AY330" s="39">
        <v>0</v>
      </c>
      <c r="AZ330" s="39">
        <v>0</v>
      </c>
      <c r="BA330" s="35">
        <v>0</v>
      </c>
      <c r="BB330" s="39">
        <v>0</v>
      </c>
      <c r="BC330" s="39">
        <v>0</v>
      </c>
      <c r="BD330" s="55">
        <v>0</v>
      </c>
      <c r="BE330" s="39">
        <v>0</v>
      </c>
      <c r="BF330" s="39">
        <v>0</v>
      </c>
      <c r="BG330" s="38">
        <v>0</v>
      </c>
      <c r="BH330" s="39">
        <v>0</v>
      </c>
      <c r="BI330" s="39">
        <v>0</v>
      </c>
      <c r="BJ330" s="55">
        <v>0</v>
      </c>
      <c r="BK330" s="39">
        <v>0</v>
      </c>
      <c r="BL330" s="39">
        <v>0</v>
      </c>
      <c r="BM330" s="38">
        <v>0</v>
      </c>
      <c r="BN330" s="39">
        <v>0</v>
      </c>
      <c r="BO330" s="39">
        <v>0</v>
      </c>
      <c r="BP330" s="55">
        <v>0</v>
      </c>
      <c r="BQ330" s="77">
        <v>0</v>
      </c>
      <c r="BR330" s="40">
        <v>0</v>
      </c>
      <c r="BS330" s="55">
        <v>0</v>
      </c>
      <c r="BT330" s="39">
        <v>0</v>
      </c>
      <c r="BU330" s="39">
        <v>0</v>
      </c>
      <c r="BV330" s="52">
        <v>0</v>
      </c>
      <c r="BW330" s="39">
        <v>0</v>
      </c>
      <c r="BX330" s="39">
        <v>0.61771116191676545</v>
      </c>
      <c r="BY330" s="52">
        <v>0.61771116191676545</v>
      </c>
      <c r="BZ330" s="39">
        <v>0</v>
      </c>
      <c r="CA330" s="39">
        <v>0</v>
      </c>
      <c r="CB330" s="52">
        <v>0</v>
      </c>
      <c r="CC330" s="39">
        <v>0</v>
      </c>
      <c r="CD330" s="39">
        <v>0</v>
      </c>
      <c r="CE330" s="52">
        <v>0</v>
      </c>
      <c r="CF330" s="39">
        <v>0</v>
      </c>
      <c r="CG330" s="39">
        <v>0</v>
      </c>
      <c r="CH330" s="52">
        <v>0</v>
      </c>
      <c r="CI330" s="39">
        <v>0</v>
      </c>
      <c r="CJ330" s="39">
        <v>0</v>
      </c>
      <c r="CK330" s="52">
        <v>0</v>
      </c>
      <c r="CL330" s="39">
        <v>0</v>
      </c>
      <c r="CM330" s="39">
        <v>0</v>
      </c>
      <c r="CN330" s="52">
        <v>0</v>
      </c>
      <c r="CO330" s="39">
        <v>0</v>
      </c>
      <c r="CP330" s="40">
        <v>0</v>
      </c>
      <c r="CQ330" s="52">
        <v>0</v>
      </c>
      <c r="CR330" s="72">
        <v>419.02201431874863</v>
      </c>
      <c r="CS330" s="5">
        <v>91.870480535127029</v>
      </c>
      <c r="CT330" s="52">
        <v>-327.15153378362163</v>
      </c>
      <c r="CU330" s="77">
        <v>502.82641718249835</v>
      </c>
      <c r="CV330" s="65">
        <v>110.24457664215244</v>
      </c>
      <c r="CW330" s="35">
        <v>-392.58184054034592</v>
      </c>
      <c r="CX330" s="39">
        <v>12.570660429562459</v>
      </c>
      <c r="CY330" s="39">
        <v>405.15250096990837</v>
      </c>
      <c r="CZ330" s="52">
        <v>392.58184054034592</v>
      </c>
      <c r="DA330" s="150">
        <v>-3682.037558678609</v>
      </c>
      <c r="DB330" s="2">
        <v>2</v>
      </c>
      <c r="DC330" s="713">
        <v>431.96</v>
      </c>
      <c r="DD330" s="714"/>
      <c r="DE330" s="715">
        <v>174.26146119396958</v>
      </c>
      <c r="DF330" s="716">
        <v>0</v>
      </c>
      <c r="DG330" s="717">
        <v>-1523.8775594804542</v>
      </c>
      <c r="DH330" s="718">
        <v>2389.422503909399</v>
      </c>
      <c r="DI330" s="718">
        <v>6184.7649313447291</v>
      </c>
      <c r="DJ330" s="693">
        <v>5235.9293244858964</v>
      </c>
      <c r="DK330" s="724"/>
      <c r="DL330" s="5"/>
      <c r="DM330" s="306">
        <v>1.6887191271692688</v>
      </c>
      <c r="DN330" s="306"/>
      <c r="DO330" s="306">
        <v>1.6887191271692688</v>
      </c>
      <c r="DP330" s="719">
        <v>257.6985388060304</v>
      </c>
      <c r="DQ330" s="720">
        <v>0</v>
      </c>
      <c r="DR330" s="650">
        <v>257.6985388060304</v>
      </c>
      <c r="DS330" s="94">
        <v>257.6985388060304</v>
      </c>
      <c r="DT330" s="719">
        <v>257.69</v>
      </c>
      <c r="DU330" s="721"/>
      <c r="DV330" s="93">
        <v>257.69</v>
      </c>
      <c r="DW330" s="95">
        <v>258.95560484898664</v>
      </c>
      <c r="DX330" s="28">
        <v>-1.2656048489866407</v>
      </c>
      <c r="EA330" s="5">
        <v>446.00535860887936</v>
      </c>
      <c r="EB330" s="5">
        <v>0</v>
      </c>
      <c r="EE330" s="722">
        <v>4460.053586088794</v>
      </c>
      <c r="EG330" s="42" t="s">
        <v>141</v>
      </c>
    </row>
    <row r="331" spans="1:137" x14ac:dyDescent="0.3">
      <c r="A331" s="325">
        <v>150000886</v>
      </c>
      <c r="B331" s="41" t="s">
        <v>805</v>
      </c>
      <c r="C331" s="42" t="s">
        <v>397</v>
      </c>
      <c r="D331" s="27">
        <v>9</v>
      </c>
      <c r="E331" s="709">
        <v>2133.27</v>
      </c>
      <c r="F331" s="723">
        <v>2133.27</v>
      </c>
      <c r="G331" s="28">
        <v>0</v>
      </c>
      <c r="H331" s="651">
        <v>0</v>
      </c>
      <c r="I331" s="39">
        <v>1141.4247850654117</v>
      </c>
      <c r="J331" s="39">
        <v>1231.6024236499056</v>
      </c>
      <c r="K331" s="52">
        <v>90.177638584493934</v>
      </c>
      <c r="L331" s="39">
        <v>165.85042108884559</v>
      </c>
      <c r="M331" s="39">
        <v>180.20435646530666</v>
      </c>
      <c r="N331" s="52">
        <v>14.353935376461067</v>
      </c>
      <c r="O331" s="39">
        <v>481.08</v>
      </c>
      <c r="P331" s="39">
        <v>481.08</v>
      </c>
      <c r="Q331" s="52">
        <v>0</v>
      </c>
      <c r="R331" s="39">
        <v>121.76</v>
      </c>
      <c r="S331" s="39">
        <v>121.76</v>
      </c>
      <c r="T331" s="52">
        <v>0</v>
      </c>
      <c r="U331" s="39">
        <v>65.029090713311319</v>
      </c>
      <c r="V331" s="39">
        <v>177.62220963469184</v>
      </c>
      <c r="W331" s="52">
        <v>112.59311892138052</v>
      </c>
      <c r="X331" s="39">
        <v>671.15385085154321</v>
      </c>
      <c r="Y331" s="39">
        <v>381.43440906804256</v>
      </c>
      <c r="Z331" s="52">
        <v>-289.71944178350066</v>
      </c>
      <c r="AA331" s="39">
        <v>0</v>
      </c>
      <c r="AB331" s="39">
        <v>0</v>
      </c>
      <c r="AC331" s="52">
        <v>0</v>
      </c>
      <c r="AD331" s="39">
        <v>1520.2505224730248</v>
      </c>
      <c r="AE331" s="39">
        <v>1275.6670728754148</v>
      </c>
      <c r="AF331" s="35">
        <v>-244.58344959761007</v>
      </c>
      <c r="AG331" s="77">
        <v>4166.5486701921363</v>
      </c>
      <c r="AH331" s="53">
        <v>3849.3704716933612</v>
      </c>
      <c r="AI331" s="52">
        <v>-317.17819849877515</v>
      </c>
      <c r="AJ331" s="39">
        <v>4800.7555319648973</v>
      </c>
      <c r="AK331" s="39">
        <v>4736.2904277277839</v>
      </c>
      <c r="AL331" s="52">
        <v>-64.465104237113337</v>
      </c>
      <c r="AM331" s="39">
        <v>0</v>
      </c>
      <c r="AN331" s="39">
        <v>0</v>
      </c>
      <c r="AO331" s="52">
        <v>0</v>
      </c>
      <c r="AP331" s="39">
        <v>378.80705715745989</v>
      </c>
      <c r="AQ331" s="39">
        <v>140.01201413652439</v>
      </c>
      <c r="AR331" s="52">
        <v>-238.79504302093551</v>
      </c>
      <c r="AS331" s="39">
        <v>5252.7729232824277</v>
      </c>
      <c r="AT331" s="39">
        <v>135.2320854864501</v>
      </c>
      <c r="AU331" s="54">
        <v>-5117.5408377959775</v>
      </c>
      <c r="AV331" s="39">
        <v>72.145296138836983</v>
      </c>
      <c r="AW331" s="39">
        <v>0</v>
      </c>
      <c r="AX331" s="55">
        <v>-72.145296138836983</v>
      </c>
      <c r="AY331" s="39">
        <v>84.872810033977956</v>
      </c>
      <c r="AZ331" s="39">
        <v>0</v>
      </c>
      <c r="BA331" s="35">
        <v>-84.872810033977956</v>
      </c>
      <c r="BB331" s="39">
        <v>109.49441663650556</v>
      </c>
      <c r="BC331" s="39">
        <v>0</v>
      </c>
      <c r="BD331" s="55">
        <v>-109.49441663650556</v>
      </c>
      <c r="BE331" s="39">
        <v>57.686128782423815</v>
      </c>
      <c r="BF331" s="39">
        <v>0</v>
      </c>
      <c r="BG331" s="38">
        <v>-57.686128782423815</v>
      </c>
      <c r="BH331" s="39">
        <v>26.384494126153122</v>
      </c>
      <c r="BI331" s="39">
        <v>0</v>
      </c>
      <c r="BJ331" s="55">
        <v>-26.384494126153122</v>
      </c>
      <c r="BK331" s="39">
        <v>53.107231388226225</v>
      </c>
      <c r="BL331" s="39">
        <v>0</v>
      </c>
      <c r="BM331" s="38">
        <v>-53.107231388226225</v>
      </c>
      <c r="BN331" s="39">
        <v>0</v>
      </c>
      <c r="BO331" s="39">
        <v>0</v>
      </c>
      <c r="BP331" s="55">
        <v>0</v>
      </c>
      <c r="BQ331" s="77">
        <v>403.69037710612366</v>
      </c>
      <c r="BR331" s="40">
        <v>0</v>
      </c>
      <c r="BS331" s="55">
        <v>-403.69037710612366</v>
      </c>
      <c r="BT331" s="39">
        <v>7045.0923007383235</v>
      </c>
      <c r="BU331" s="39">
        <v>1586.1578767907188</v>
      </c>
      <c r="BV331" s="52">
        <v>-5458.934423947605</v>
      </c>
      <c r="BW331" s="39">
        <v>3217.8033091012931</v>
      </c>
      <c r="BX331" s="39">
        <v>3108.7018077069388</v>
      </c>
      <c r="BY331" s="52">
        <v>-109.10150139435427</v>
      </c>
      <c r="BZ331" s="39">
        <v>887.23347568032386</v>
      </c>
      <c r="CA331" s="39">
        <v>6600.0474047537373</v>
      </c>
      <c r="CB331" s="52">
        <v>5712.8139290734134</v>
      </c>
      <c r="CC331" s="39">
        <v>24.511044874894466</v>
      </c>
      <c r="CD331" s="39">
        <v>24.18190771048361</v>
      </c>
      <c r="CE331" s="52">
        <v>-0.32913716441085583</v>
      </c>
      <c r="CF331" s="39">
        <v>3.0174581758866292</v>
      </c>
      <c r="CG331" s="39">
        <v>0</v>
      </c>
      <c r="CH331" s="52">
        <v>-3.0174581758866292</v>
      </c>
      <c r="CI331" s="39">
        <v>1587.8700525317995</v>
      </c>
      <c r="CJ331" s="39">
        <v>895.96954263259863</v>
      </c>
      <c r="CK331" s="52">
        <v>-691.90050989920087</v>
      </c>
      <c r="CL331" s="39">
        <v>330.67627813039439</v>
      </c>
      <c r="CM331" s="39">
        <v>1407.3375377859431</v>
      </c>
      <c r="CN331" s="52">
        <v>1076.6612596555487</v>
      </c>
      <c r="CO331" s="39">
        <v>1918.5463306621939</v>
      </c>
      <c r="CP331" s="40">
        <v>2303.3070804185418</v>
      </c>
      <c r="CQ331" s="52">
        <v>384.76074975634788</v>
      </c>
      <c r="CR331" s="72">
        <v>28098.778478935961</v>
      </c>
      <c r="CS331" s="5">
        <v>22483.301076424541</v>
      </c>
      <c r="CT331" s="52">
        <v>-5615.4774025114202</v>
      </c>
      <c r="CU331" s="77">
        <v>33718.53417472315</v>
      </c>
      <c r="CV331" s="65">
        <v>26979.961291709449</v>
      </c>
      <c r="CW331" s="35">
        <v>-6738.5728830137014</v>
      </c>
      <c r="CX331" s="39">
        <v>505.77801262084722</v>
      </c>
      <c r="CY331" s="39">
        <v>7244.3508956345504</v>
      </c>
      <c r="CZ331" s="52">
        <v>6738.5728830137032</v>
      </c>
      <c r="DA331" s="150">
        <v>94759.025445873951</v>
      </c>
      <c r="DB331" s="2">
        <v>2</v>
      </c>
      <c r="DC331" s="713">
        <v>73184.84</v>
      </c>
      <c r="DD331" s="714"/>
      <c r="DE331" s="715">
        <v>56072.683906327999</v>
      </c>
      <c r="DF331" s="716">
        <v>0</v>
      </c>
      <c r="DG331" s="717">
        <v>133435.38974346415</v>
      </c>
      <c r="DH331" s="718">
        <v>169094.9262196825</v>
      </c>
      <c r="DI331" s="718">
        <v>410691.74624812795</v>
      </c>
      <c r="DJ331" s="693">
        <v>350292.54124101659</v>
      </c>
      <c r="DK331" s="724"/>
      <c r="DL331" s="5"/>
      <c r="DM331" s="306">
        <v>6.5566543950479614</v>
      </c>
      <c r="DN331" s="306">
        <v>8.0215613090101101</v>
      </c>
      <c r="DO331" s="306">
        <v>5.6380448354316508</v>
      </c>
      <c r="DP331" s="719">
        <v>17112.156093671998</v>
      </c>
      <c r="DQ331" s="720">
        <v>0</v>
      </c>
      <c r="DR331" s="650">
        <v>17112.156093671998</v>
      </c>
      <c r="DS331" s="94">
        <v>17112.156093671998</v>
      </c>
      <c r="DT331" s="719">
        <v>17112.23</v>
      </c>
      <c r="DU331" s="721"/>
      <c r="DV331" s="93">
        <v>17112.23</v>
      </c>
      <c r="DW331" s="95">
        <v>17162.733894934085</v>
      </c>
      <c r="DX331" s="28">
        <v>-50.50389493408511</v>
      </c>
      <c r="EA331" s="5">
        <v>6787.7559604662611</v>
      </c>
      <c r="EB331" s="5">
        <v>162.27850258374011</v>
      </c>
      <c r="EE331" s="722">
        <v>63033.275079389132</v>
      </c>
      <c r="EG331" s="42" t="s">
        <v>397</v>
      </c>
    </row>
    <row r="332" spans="1:137" x14ac:dyDescent="0.3">
      <c r="A332" s="325">
        <v>150000887</v>
      </c>
      <c r="B332" s="41" t="s">
        <v>806</v>
      </c>
      <c r="C332" s="42" t="s">
        <v>398</v>
      </c>
      <c r="D332" s="27">
        <v>9</v>
      </c>
      <c r="E332" s="709">
        <v>6420.63</v>
      </c>
      <c r="F332" s="723">
        <v>6420.63</v>
      </c>
      <c r="G332" s="28">
        <v>653.79999999999995</v>
      </c>
      <c r="H332" s="651">
        <v>0</v>
      </c>
      <c r="I332" s="39">
        <v>3891.675913268823</v>
      </c>
      <c r="J332" s="39">
        <v>4199.1851097315684</v>
      </c>
      <c r="K332" s="52">
        <v>307.50919646274542</v>
      </c>
      <c r="L332" s="39">
        <v>600.17717966089572</v>
      </c>
      <c r="M332" s="39">
        <v>652.12221771715178</v>
      </c>
      <c r="N332" s="52">
        <v>51.945038056256067</v>
      </c>
      <c r="O332" s="39">
        <v>1592.02</v>
      </c>
      <c r="P332" s="39">
        <v>1592.02</v>
      </c>
      <c r="Q332" s="52">
        <v>0</v>
      </c>
      <c r="R332" s="39">
        <v>337.78</v>
      </c>
      <c r="S332" s="39">
        <v>337.78</v>
      </c>
      <c r="T332" s="52">
        <v>0</v>
      </c>
      <c r="U332" s="39">
        <v>195.03873136964788</v>
      </c>
      <c r="V332" s="39">
        <v>532.73196460564145</v>
      </c>
      <c r="W332" s="52">
        <v>337.6932332359936</v>
      </c>
      <c r="X332" s="39">
        <v>1725.4278623829603</v>
      </c>
      <c r="Y332" s="39">
        <v>1069.5942185384574</v>
      </c>
      <c r="Z332" s="52">
        <v>-655.83364384450283</v>
      </c>
      <c r="AA332" s="39">
        <v>0</v>
      </c>
      <c r="AB332" s="39">
        <v>0</v>
      </c>
      <c r="AC332" s="52">
        <v>0</v>
      </c>
      <c r="AD332" s="39">
        <v>4575.5887028392926</v>
      </c>
      <c r="AE332" s="39">
        <v>3839.4513015774255</v>
      </c>
      <c r="AF332" s="35">
        <v>-736.13740126186713</v>
      </c>
      <c r="AG332" s="77">
        <v>12917.70838952162</v>
      </c>
      <c r="AH332" s="53">
        <v>12222.884812170243</v>
      </c>
      <c r="AI332" s="52">
        <v>-694.82357735137703</v>
      </c>
      <c r="AJ332" s="39">
        <v>14402.266595894693</v>
      </c>
      <c r="AK332" s="39">
        <v>14208.849299630889</v>
      </c>
      <c r="AL332" s="52">
        <v>-193.41729626380402</v>
      </c>
      <c r="AM332" s="39">
        <v>0</v>
      </c>
      <c r="AN332" s="39">
        <v>0</v>
      </c>
      <c r="AO332" s="52">
        <v>0</v>
      </c>
      <c r="AP332" s="39">
        <v>852.31587860428476</v>
      </c>
      <c r="AQ332" s="39">
        <v>0</v>
      </c>
      <c r="AR332" s="52">
        <v>-852.31587860428476</v>
      </c>
      <c r="AS332" s="39">
        <v>15847.528667418721</v>
      </c>
      <c r="AT332" s="39">
        <v>441.69407198215924</v>
      </c>
      <c r="AU332" s="54">
        <v>-15405.834595436561</v>
      </c>
      <c r="AV332" s="39">
        <v>121.58007400255997</v>
      </c>
      <c r="AW332" s="39">
        <v>2267</v>
      </c>
      <c r="AX332" s="55">
        <v>2145.4199259974403</v>
      </c>
      <c r="AY332" s="39">
        <v>159.30104863470086</v>
      </c>
      <c r="AZ332" s="39">
        <v>0</v>
      </c>
      <c r="BA332" s="35">
        <v>-159.30104863470086</v>
      </c>
      <c r="BB332" s="39">
        <v>155.80471250959988</v>
      </c>
      <c r="BC332" s="39">
        <v>0</v>
      </c>
      <c r="BD332" s="55">
        <v>-155.80471250959988</v>
      </c>
      <c r="BE332" s="39">
        <v>65.835441136694755</v>
      </c>
      <c r="BF332" s="39">
        <v>0</v>
      </c>
      <c r="BG332" s="38">
        <v>-65.835441136694755</v>
      </c>
      <c r="BH332" s="39">
        <v>39.576724851099698</v>
      </c>
      <c r="BI332" s="39">
        <v>0</v>
      </c>
      <c r="BJ332" s="55">
        <v>-39.576724851099698</v>
      </c>
      <c r="BK332" s="39">
        <v>92.643523219730568</v>
      </c>
      <c r="BL332" s="39">
        <v>0</v>
      </c>
      <c r="BM332" s="38">
        <v>-92.643523219730568</v>
      </c>
      <c r="BN332" s="39">
        <v>0</v>
      </c>
      <c r="BO332" s="39">
        <v>0</v>
      </c>
      <c r="BP332" s="55">
        <v>0</v>
      </c>
      <c r="BQ332" s="77">
        <v>634.74152435438577</v>
      </c>
      <c r="BR332" s="40">
        <v>2267</v>
      </c>
      <c r="BS332" s="55">
        <v>1632.2584756456142</v>
      </c>
      <c r="BT332" s="39">
        <v>11136.08742225672</v>
      </c>
      <c r="BU332" s="39">
        <v>2829.3619477694942</v>
      </c>
      <c r="BV332" s="52">
        <v>-8306.7254744872262</v>
      </c>
      <c r="BW332" s="39">
        <v>8699.8429876710579</v>
      </c>
      <c r="BX332" s="39">
        <v>8596.8465769634131</v>
      </c>
      <c r="BY332" s="52">
        <v>-102.99641070764483</v>
      </c>
      <c r="BZ332" s="39">
        <v>2657.3724588669211</v>
      </c>
      <c r="CA332" s="39">
        <v>11984.27001927759</v>
      </c>
      <c r="CB332" s="52">
        <v>9326.897560410669</v>
      </c>
      <c r="CC332" s="39">
        <v>172.06753502175914</v>
      </c>
      <c r="CD332" s="39">
        <v>169.75699212759497</v>
      </c>
      <c r="CE332" s="52">
        <v>-2.3105428941641719</v>
      </c>
      <c r="CF332" s="39">
        <v>21.182556394724138</v>
      </c>
      <c r="CG332" s="39">
        <v>0</v>
      </c>
      <c r="CH332" s="52">
        <v>-21.182556394724138</v>
      </c>
      <c r="CI332" s="39">
        <v>1762.5669541855927</v>
      </c>
      <c r="CJ332" s="39">
        <v>2098.0515611916562</v>
      </c>
      <c r="CK332" s="52">
        <v>335.48460700606347</v>
      </c>
      <c r="CL332" s="39">
        <v>2470.7133233893614</v>
      </c>
      <c r="CM332" s="39">
        <v>3015.4392660879589</v>
      </c>
      <c r="CN332" s="52">
        <v>544.72594269859746</v>
      </c>
      <c r="CO332" s="39">
        <v>4233.2802775749542</v>
      </c>
      <c r="CP332" s="40">
        <v>5113.4908272796147</v>
      </c>
      <c r="CQ332" s="52">
        <v>880.21054970466048</v>
      </c>
      <c r="CR332" s="72">
        <v>71574.39429357984</v>
      </c>
      <c r="CS332" s="5">
        <v>57834.154547200997</v>
      </c>
      <c r="CT332" s="52">
        <v>-13740.239746378844</v>
      </c>
      <c r="CU332" s="77">
        <v>85889.273152295806</v>
      </c>
      <c r="CV332" s="65">
        <v>69400.985456641196</v>
      </c>
      <c r="CW332" s="35">
        <v>-16488.28769565461</v>
      </c>
      <c r="CX332" s="39">
        <v>2147.2318288073952</v>
      </c>
      <c r="CY332" s="39">
        <v>18635.519524462012</v>
      </c>
      <c r="CZ332" s="52">
        <v>16488.287695654617</v>
      </c>
      <c r="DA332" s="150">
        <v>128860.20174237277</v>
      </c>
      <c r="DB332" s="2">
        <v>2</v>
      </c>
      <c r="DC332" s="713">
        <v>95335.5</v>
      </c>
      <c r="DD332" s="714"/>
      <c r="DE332" s="715">
        <v>51317.247509448403</v>
      </c>
      <c r="DF332" s="716">
        <v>0</v>
      </c>
      <c r="DG332" s="717">
        <v>132772.71366927735</v>
      </c>
      <c r="DH332" s="718">
        <v>423288.45344050962</v>
      </c>
      <c r="DI332" s="718">
        <v>1056438.0597732384</v>
      </c>
      <c r="DJ332" s="693">
        <v>898150.65819005622</v>
      </c>
      <c r="DK332" s="724"/>
      <c r="DL332" s="5"/>
      <c r="DM332" s="306">
        <v>5.2395745962922504</v>
      </c>
      <c r="DN332" s="306">
        <v>7.0389830495256023</v>
      </c>
      <c r="DO332" s="306">
        <v>4.40626019608266</v>
      </c>
      <c r="DP332" s="719">
        <v>44018.252490551597</v>
      </c>
      <c r="DQ332" s="720">
        <v>0</v>
      </c>
      <c r="DR332" s="650">
        <v>44018.252490551597</v>
      </c>
      <c r="DS332" s="94">
        <v>44018.252490551611</v>
      </c>
      <c r="DT332" s="719">
        <v>43835.3</v>
      </c>
      <c r="DU332" s="721"/>
      <c r="DV332" s="93">
        <v>43835.3</v>
      </c>
      <c r="DW332" s="95">
        <v>44232.975673432338</v>
      </c>
      <c r="DX332" s="28">
        <v>-397.67567343233532</v>
      </c>
      <c r="EA332" s="5">
        <v>19778.724230127726</v>
      </c>
      <c r="EB332" s="5">
        <v>3250.4328863785909</v>
      </c>
      <c r="EE332" s="722">
        <v>190170.34400902464</v>
      </c>
      <c r="EG332" s="42" t="s">
        <v>398</v>
      </c>
    </row>
    <row r="333" spans="1:137" x14ac:dyDescent="0.3">
      <c r="A333" s="325">
        <v>150000888</v>
      </c>
      <c r="B333" s="41" t="s">
        <v>807</v>
      </c>
      <c r="C333" s="42" t="s">
        <v>314</v>
      </c>
      <c r="D333" s="27">
        <v>5</v>
      </c>
      <c r="E333" s="709">
        <v>3374.56</v>
      </c>
      <c r="F333" s="723">
        <v>2586.9899999999998</v>
      </c>
      <c r="G333" s="28"/>
      <c r="H333" s="651">
        <v>787.57</v>
      </c>
      <c r="I333" s="39">
        <v>1855.709449170587</v>
      </c>
      <c r="J333" s="39">
        <v>1998.3661192918623</v>
      </c>
      <c r="K333" s="52">
        <v>142.65667012127528</v>
      </c>
      <c r="L333" s="39">
        <v>380.52254474762248</v>
      </c>
      <c r="M333" s="39">
        <v>413.4572746019345</v>
      </c>
      <c r="N333" s="52">
        <v>32.934729854312025</v>
      </c>
      <c r="O333" s="39">
        <v>765.12</v>
      </c>
      <c r="P333" s="39">
        <v>765.12</v>
      </c>
      <c r="Q333" s="52">
        <v>0</v>
      </c>
      <c r="R333" s="39">
        <v>0</v>
      </c>
      <c r="S333" s="39">
        <v>0</v>
      </c>
      <c r="T333" s="52">
        <v>0</v>
      </c>
      <c r="U333" s="39">
        <v>0</v>
      </c>
      <c r="V333" s="39">
        <v>0</v>
      </c>
      <c r="W333" s="52">
        <v>0</v>
      </c>
      <c r="X333" s="39">
        <v>1264.5935845780994</v>
      </c>
      <c r="Y333" s="39">
        <v>780.22542930214513</v>
      </c>
      <c r="Z333" s="52">
        <v>-484.36815527595422</v>
      </c>
      <c r="AA333" s="39">
        <v>0</v>
      </c>
      <c r="AB333" s="39">
        <v>0</v>
      </c>
      <c r="AC333" s="52">
        <v>0</v>
      </c>
      <c r="AD333" s="39">
        <v>2404.8416764481622</v>
      </c>
      <c r="AE333" s="39">
        <v>2017.9419752035419</v>
      </c>
      <c r="AF333" s="35">
        <v>-386.89970124462025</v>
      </c>
      <c r="AG333" s="77">
        <v>6670.787254944471</v>
      </c>
      <c r="AH333" s="53">
        <v>5975.1107983994843</v>
      </c>
      <c r="AI333" s="52">
        <v>-695.67645654498665</v>
      </c>
      <c r="AJ333" s="39">
        <v>0</v>
      </c>
      <c r="AK333" s="39">
        <v>0</v>
      </c>
      <c r="AL333" s="52">
        <v>0</v>
      </c>
      <c r="AM333" s="39">
        <v>0</v>
      </c>
      <c r="AN333" s="39">
        <v>0</v>
      </c>
      <c r="AO333" s="52">
        <v>0</v>
      </c>
      <c r="AP333" s="39">
        <v>1515.2282286298396</v>
      </c>
      <c r="AQ333" s="39">
        <v>4480.3844523687803</v>
      </c>
      <c r="AR333" s="52">
        <v>2965.1562237389408</v>
      </c>
      <c r="AS333" s="39">
        <v>5412.1138316388606</v>
      </c>
      <c r="AT333" s="39">
        <v>610</v>
      </c>
      <c r="AU333" s="54">
        <v>-4802.1138316388606</v>
      </c>
      <c r="AV333" s="39">
        <v>308.63227648939352</v>
      </c>
      <c r="AW333" s="39">
        <v>0</v>
      </c>
      <c r="AX333" s="55">
        <v>-308.63227648939352</v>
      </c>
      <c r="AY333" s="39">
        <v>490.42556714245251</v>
      </c>
      <c r="AZ333" s="39">
        <v>0</v>
      </c>
      <c r="BA333" s="35">
        <v>-490.42556714245251</v>
      </c>
      <c r="BB333" s="39">
        <v>392.24599536342089</v>
      </c>
      <c r="BC333" s="39">
        <v>0</v>
      </c>
      <c r="BD333" s="55">
        <v>-392.24599536342089</v>
      </c>
      <c r="BE333" s="39">
        <v>0</v>
      </c>
      <c r="BF333" s="39">
        <v>0</v>
      </c>
      <c r="BG333" s="38">
        <v>0</v>
      </c>
      <c r="BH333" s="39">
        <v>0</v>
      </c>
      <c r="BI333" s="39">
        <v>0</v>
      </c>
      <c r="BJ333" s="55">
        <v>0</v>
      </c>
      <c r="BK333" s="39">
        <v>174.41860683958959</v>
      </c>
      <c r="BL333" s="39">
        <v>0</v>
      </c>
      <c r="BM333" s="38">
        <v>-174.41860683958959</v>
      </c>
      <c r="BN333" s="39">
        <v>0</v>
      </c>
      <c r="BO333" s="39">
        <v>0</v>
      </c>
      <c r="BP333" s="55">
        <v>0</v>
      </c>
      <c r="BQ333" s="77">
        <v>1365.7224458348564</v>
      </c>
      <c r="BR333" s="40">
        <v>0</v>
      </c>
      <c r="BS333" s="55">
        <v>-1365.7224458348564</v>
      </c>
      <c r="BT333" s="39">
        <v>5729.9409402849542</v>
      </c>
      <c r="BU333" s="39">
        <v>1581.9930024367009</v>
      </c>
      <c r="BV333" s="52">
        <v>-4147.9479378482538</v>
      </c>
      <c r="BW333" s="39">
        <v>3952.4787555964867</v>
      </c>
      <c r="BX333" s="39">
        <v>3368.0615040054822</v>
      </c>
      <c r="BY333" s="52">
        <v>-584.41725159100451</v>
      </c>
      <c r="BZ333" s="39">
        <v>2369.6142110026649</v>
      </c>
      <c r="CA333" s="39">
        <v>6759.6295918762153</v>
      </c>
      <c r="CB333" s="52">
        <v>4390.0153808735504</v>
      </c>
      <c r="CC333" s="39">
        <v>130.39875873443856</v>
      </c>
      <c r="CD333" s="39">
        <v>128.64774901977282</v>
      </c>
      <c r="CE333" s="52">
        <v>-1.7510097146657415</v>
      </c>
      <c r="CF333" s="39">
        <v>16.052877495716867</v>
      </c>
      <c r="CG333" s="39">
        <v>0</v>
      </c>
      <c r="CH333" s="52">
        <v>-16.052877495716867</v>
      </c>
      <c r="CI333" s="39">
        <v>1101.214397924804</v>
      </c>
      <c r="CJ333" s="39">
        <v>547.98800726893398</v>
      </c>
      <c r="CK333" s="52">
        <v>-553.22639065586998</v>
      </c>
      <c r="CL333" s="39">
        <v>0</v>
      </c>
      <c r="CM333" s="39">
        <v>0</v>
      </c>
      <c r="CN333" s="52">
        <v>0</v>
      </c>
      <c r="CO333" s="39">
        <v>1101.214397924804</v>
      </c>
      <c r="CP333" s="40">
        <v>547.98800726893398</v>
      </c>
      <c r="CQ333" s="52">
        <v>-553.22639065586998</v>
      </c>
      <c r="CR333" s="72">
        <v>28263.55170208709</v>
      </c>
      <c r="CS333" s="5">
        <v>23451.815105375368</v>
      </c>
      <c r="CT333" s="52">
        <v>-4811.7365967117221</v>
      </c>
      <c r="CU333" s="77">
        <v>33916.26204250451</v>
      </c>
      <c r="CV333" s="65">
        <v>28142.178126450443</v>
      </c>
      <c r="CW333" s="35">
        <v>-5774.0839160540672</v>
      </c>
      <c r="CX333" s="39">
        <v>678.32524085009015</v>
      </c>
      <c r="CY333" s="39">
        <v>6452.4091569041575</v>
      </c>
      <c r="CZ333" s="52">
        <v>5774.0839160540672</v>
      </c>
      <c r="DA333" s="150">
        <v>82382.131692979849</v>
      </c>
      <c r="DB333" s="2">
        <v>2</v>
      </c>
      <c r="DC333" s="713">
        <v>31484.01</v>
      </c>
      <c r="DD333" s="714">
        <v>5601.9299999999994</v>
      </c>
      <c r="DE333" s="715">
        <v>17659.098859426893</v>
      </c>
      <c r="DF333" s="716">
        <v>2129.5474988958031</v>
      </c>
      <c r="DG333" s="717">
        <v>15222.898904278198</v>
      </c>
      <c r="DH333" s="718">
        <v>167725.07663123042</v>
      </c>
      <c r="DI333" s="718">
        <v>415135.04740025522</v>
      </c>
      <c r="DJ333" s="693">
        <v>353282.55470799899</v>
      </c>
      <c r="DK333" s="724"/>
      <c r="DL333" s="5"/>
      <c r="DM333" s="306">
        <v>5.344014140206613</v>
      </c>
      <c r="DN333" s="306"/>
      <c r="DO333" s="306">
        <v>4.4089826950038677</v>
      </c>
      <c r="DP333" s="719">
        <v>13824.911140573106</v>
      </c>
      <c r="DQ333" s="720">
        <v>3472.3825011041963</v>
      </c>
      <c r="DR333" s="650">
        <v>17297.293641677301</v>
      </c>
      <c r="DS333" s="94">
        <v>17297.293641677301</v>
      </c>
      <c r="DT333" s="719">
        <v>13824.88</v>
      </c>
      <c r="DU333" s="725">
        <v>3472.4199999999996</v>
      </c>
      <c r="DV333" s="93">
        <v>17297.3</v>
      </c>
      <c r="DW333" s="95">
        <v>17365.126165762307</v>
      </c>
      <c r="DX333" s="28">
        <v>-67.826165762307937</v>
      </c>
      <c r="EA333" s="5">
        <v>8133.4035329684602</v>
      </c>
      <c r="EB333" s="5">
        <v>732</v>
      </c>
      <c r="EE333" s="722">
        <v>64945.365979666327</v>
      </c>
      <c r="EG333" s="42" t="s">
        <v>314</v>
      </c>
    </row>
    <row r="334" spans="1:137" x14ac:dyDescent="0.3">
      <c r="A334" s="325">
        <v>150000889</v>
      </c>
      <c r="B334" s="41" t="s">
        <v>808</v>
      </c>
      <c r="C334" s="42" t="s">
        <v>428</v>
      </c>
      <c r="D334" s="27">
        <v>16</v>
      </c>
      <c r="E334" s="709">
        <v>5256.18</v>
      </c>
      <c r="F334" s="723">
        <v>4414.38</v>
      </c>
      <c r="G334" s="28">
        <v>0</v>
      </c>
      <c r="H334" s="651">
        <v>841.8</v>
      </c>
      <c r="I334" s="39">
        <v>3689.4693573970144</v>
      </c>
      <c r="J334" s="39">
        <v>3983.8140956769889</v>
      </c>
      <c r="K334" s="52">
        <v>294.34473827997454</v>
      </c>
      <c r="L334" s="39">
        <v>587.5027948209671</v>
      </c>
      <c r="M334" s="39">
        <v>638.35102544489973</v>
      </c>
      <c r="N334" s="52">
        <v>50.848230623932636</v>
      </c>
      <c r="O334" s="39">
        <v>1137.76</v>
      </c>
      <c r="P334" s="39">
        <v>1137.76</v>
      </c>
      <c r="Q334" s="52">
        <v>0</v>
      </c>
      <c r="R334" s="39">
        <v>263.98</v>
      </c>
      <c r="S334" s="39">
        <v>263.98</v>
      </c>
      <c r="T334" s="52">
        <v>0</v>
      </c>
      <c r="U334" s="39">
        <v>147.75798163649051</v>
      </c>
      <c r="V334" s="39">
        <v>403.58890240725668</v>
      </c>
      <c r="W334" s="52">
        <v>255.83092077076617</v>
      </c>
      <c r="X334" s="39">
        <v>1114.7100315474197</v>
      </c>
      <c r="Y334" s="39">
        <v>644.35018599051693</v>
      </c>
      <c r="Z334" s="52">
        <v>-470.35984555690277</v>
      </c>
      <c r="AA334" s="39">
        <v>0</v>
      </c>
      <c r="AB334" s="39">
        <v>0</v>
      </c>
      <c r="AC334" s="52">
        <v>0</v>
      </c>
      <c r="AD334" s="39">
        <v>3745.7566980327219</v>
      </c>
      <c r="AE334" s="39">
        <v>3143.1256967501995</v>
      </c>
      <c r="AF334" s="35">
        <v>-602.63100128252245</v>
      </c>
      <c r="AG334" s="77">
        <v>10686.936863434614</v>
      </c>
      <c r="AH334" s="53">
        <v>10214.969906269862</v>
      </c>
      <c r="AI334" s="52">
        <v>-471.96695716475188</v>
      </c>
      <c r="AJ334" s="39">
        <v>7818.3771148173601</v>
      </c>
      <c r="AK334" s="39">
        <v>7713.3910366228138</v>
      </c>
      <c r="AL334" s="52">
        <v>-104.98607819454628</v>
      </c>
      <c r="AM334" s="39">
        <v>0</v>
      </c>
      <c r="AN334" s="39">
        <v>0</v>
      </c>
      <c r="AO334" s="52">
        <v>0</v>
      </c>
      <c r="AP334" s="39">
        <v>710.2632321702373</v>
      </c>
      <c r="AQ334" s="39">
        <v>0</v>
      </c>
      <c r="AR334" s="52">
        <v>-710.2632321702373</v>
      </c>
      <c r="AS334" s="39">
        <v>12773.36424678388</v>
      </c>
      <c r="AT334" s="39">
        <v>130</v>
      </c>
      <c r="AU334" s="54">
        <v>-12643.36424678388</v>
      </c>
      <c r="AV334" s="39">
        <v>299.40314063924632</v>
      </c>
      <c r="AW334" s="39">
        <v>270</v>
      </c>
      <c r="AX334" s="55">
        <v>-29.403140639246317</v>
      </c>
      <c r="AY334" s="39">
        <v>382.22287577264916</v>
      </c>
      <c r="AZ334" s="39">
        <v>0</v>
      </c>
      <c r="BA334" s="35">
        <v>-382.22287577264916</v>
      </c>
      <c r="BB334" s="39">
        <v>393.17290868409344</v>
      </c>
      <c r="BC334" s="39">
        <v>0</v>
      </c>
      <c r="BD334" s="55">
        <v>-393.17290868409344</v>
      </c>
      <c r="BE334" s="39">
        <v>151.25715432493635</v>
      </c>
      <c r="BF334" s="39">
        <v>0</v>
      </c>
      <c r="BG334" s="38">
        <v>-151.25715432493635</v>
      </c>
      <c r="BH334" s="39">
        <v>74.942692264072917</v>
      </c>
      <c r="BI334" s="39">
        <v>0</v>
      </c>
      <c r="BJ334" s="55">
        <v>-74.942692264072917</v>
      </c>
      <c r="BK334" s="39">
        <v>322.07430498385054</v>
      </c>
      <c r="BL334" s="39">
        <v>0</v>
      </c>
      <c r="BM334" s="38">
        <v>-322.07430498385054</v>
      </c>
      <c r="BN334" s="39">
        <v>0</v>
      </c>
      <c r="BO334" s="39">
        <v>0</v>
      </c>
      <c r="BP334" s="55">
        <v>0</v>
      </c>
      <c r="BQ334" s="77">
        <v>1623.0730766688489</v>
      </c>
      <c r="BR334" s="40">
        <v>270</v>
      </c>
      <c r="BS334" s="55">
        <v>-1353.0730766688489</v>
      </c>
      <c r="BT334" s="39">
        <v>8675.0093822070376</v>
      </c>
      <c r="BU334" s="39">
        <v>1965.6212529852389</v>
      </c>
      <c r="BV334" s="52">
        <v>-6709.3881292217984</v>
      </c>
      <c r="BW334" s="39">
        <v>10475.761450403141</v>
      </c>
      <c r="BX334" s="39">
        <v>10181.857176527235</v>
      </c>
      <c r="BY334" s="52">
        <v>-293.90427387590535</v>
      </c>
      <c r="BZ334" s="39">
        <v>878.5775393322233</v>
      </c>
      <c r="CA334" s="39">
        <v>8410.636246489501</v>
      </c>
      <c r="CB334" s="52">
        <v>7532.0587071572772</v>
      </c>
      <c r="CC334" s="39">
        <v>135.30096770941745</v>
      </c>
      <c r="CD334" s="39">
        <v>133.48413056186951</v>
      </c>
      <c r="CE334" s="52">
        <v>-1.8168371475479432</v>
      </c>
      <c r="CF334" s="39">
        <v>16.656369130894195</v>
      </c>
      <c r="CG334" s="39">
        <v>0</v>
      </c>
      <c r="CH334" s="52">
        <v>-16.656369130894195</v>
      </c>
      <c r="CI334" s="39">
        <v>2517.5071363323418</v>
      </c>
      <c r="CJ334" s="39">
        <v>2916.6956653443413</v>
      </c>
      <c r="CK334" s="52">
        <v>399.18852901199944</v>
      </c>
      <c r="CL334" s="39">
        <v>5920.977131051779</v>
      </c>
      <c r="CM334" s="39">
        <v>7303.3124381953385</v>
      </c>
      <c r="CN334" s="52">
        <v>1382.3353071435595</v>
      </c>
      <c r="CO334" s="39">
        <v>8438.4842673841213</v>
      </c>
      <c r="CP334" s="40">
        <v>10220.00810353968</v>
      </c>
      <c r="CQ334" s="52">
        <v>1781.5238361555585</v>
      </c>
      <c r="CR334" s="72">
        <v>62231.804510041766</v>
      </c>
      <c r="CS334" s="5">
        <v>49239.967852996197</v>
      </c>
      <c r="CT334" s="52">
        <v>-12991.836657045569</v>
      </c>
      <c r="CU334" s="77">
        <v>74678.165412050119</v>
      </c>
      <c r="CV334" s="65">
        <v>59087.961423595436</v>
      </c>
      <c r="CW334" s="35">
        <v>-15590.203988454683</v>
      </c>
      <c r="CX334" s="39">
        <v>1866.9541353012535</v>
      </c>
      <c r="CY334" s="39">
        <v>17457.158123755922</v>
      </c>
      <c r="CZ334" s="52">
        <v>15590.203988454668</v>
      </c>
      <c r="DA334" s="150">
        <v>44172.31198538249</v>
      </c>
      <c r="DB334" s="2">
        <v>2</v>
      </c>
      <c r="DC334" s="713">
        <v>63674.559999999998</v>
      </c>
      <c r="DD334" s="714">
        <v>17558.400000000001</v>
      </c>
      <c r="DE334" s="715">
        <v>29146.450742803987</v>
      </c>
      <c r="DF334" s="716">
        <v>13813.949483520322</v>
      </c>
      <c r="DG334" s="717">
        <v>88228.744153200401</v>
      </c>
      <c r="DH334" s="718">
        <v>383720.99756482919</v>
      </c>
      <c r="DI334" s="718">
        <v>918541.43456821633</v>
      </c>
      <c r="DJ334" s="693">
        <v>784836.32531736954</v>
      </c>
      <c r="DK334" s="724"/>
      <c r="DL334" s="5"/>
      <c r="DM334" s="306">
        <v>5.9076034224481102</v>
      </c>
      <c r="DN334" s="306">
        <v>7.8217347072966099</v>
      </c>
      <c r="DO334" s="306">
        <v>4.4481474417672597</v>
      </c>
      <c r="DP334" s="719">
        <v>34528.109257196011</v>
      </c>
      <c r="DQ334" s="720">
        <v>3744.4505164796792</v>
      </c>
      <c r="DR334" s="650">
        <v>38272.55977367569</v>
      </c>
      <c r="DS334" s="94">
        <v>38272.559773675675</v>
      </c>
      <c r="DT334" s="719">
        <v>34552.19</v>
      </c>
      <c r="DU334" s="725">
        <v>3744.4</v>
      </c>
      <c r="DV334" s="93">
        <v>38296.590000000004</v>
      </c>
      <c r="DW334" s="95">
        <v>38459.25518720581</v>
      </c>
      <c r="DX334" s="28">
        <v>-162.66518720580643</v>
      </c>
      <c r="EA334" s="5">
        <v>17275.724788143274</v>
      </c>
      <c r="EB334" s="5">
        <v>480</v>
      </c>
      <c r="EE334" s="731">
        <v>153280.37096140656</v>
      </c>
      <c r="EG334" s="42" t="s">
        <v>428</v>
      </c>
    </row>
    <row r="335" spans="1:137" x14ac:dyDescent="0.3">
      <c r="A335" s="325">
        <v>150000890</v>
      </c>
      <c r="B335" s="41" t="s">
        <v>809</v>
      </c>
      <c r="C335" s="42" t="s">
        <v>399</v>
      </c>
      <c r="D335" s="27">
        <v>9</v>
      </c>
      <c r="E335" s="709">
        <v>8449.6999999999989</v>
      </c>
      <c r="F335" s="723">
        <v>8324.4</v>
      </c>
      <c r="G335" s="28">
        <v>801.12</v>
      </c>
      <c r="H335" s="651">
        <v>125.3</v>
      </c>
      <c r="I335" s="39">
        <v>3449.7755903847119</v>
      </c>
      <c r="J335" s="39">
        <v>3730.3481759477136</v>
      </c>
      <c r="K335" s="52">
        <v>280.57258556300167</v>
      </c>
      <c r="L335" s="39">
        <v>680.02010866172282</v>
      </c>
      <c r="M335" s="39">
        <v>738.87537059176714</v>
      </c>
      <c r="N335" s="52">
        <v>58.855261930044321</v>
      </c>
      <c r="O335" s="39">
        <v>2089.56</v>
      </c>
      <c r="P335" s="39">
        <v>2089.56</v>
      </c>
      <c r="Q335" s="52">
        <v>0</v>
      </c>
      <c r="R335" s="39">
        <v>492.3</v>
      </c>
      <c r="S335" s="39">
        <v>492.3</v>
      </c>
      <c r="T335" s="52">
        <v>0</v>
      </c>
      <c r="U335" s="39">
        <v>260.0677403923093</v>
      </c>
      <c r="V335" s="39">
        <v>820.70641089019045</v>
      </c>
      <c r="W335" s="52">
        <v>560.63867049788109</v>
      </c>
      <c r="X335" s="39">
        <v>2453.1927875344977</v>
      </c>
      <c r="Y335" s="39">
        <v>1524.5205164696486</v>
      </c>
      <c r="Z335" s="52">
        <v>-928.67227106484916</v>
      </c>
      <c r="AA335" s="39">
        <v>0</v>
      </c>
      <c r="AB335" s="39">
        <v>0</v>
      </c>
      <c r="AC335" s="52">
        <v>0</v>
      </c>
      <c r="AD335" s="39">
        <v>6021.5822843523401</v>
      </c>
      <c r="AE335" s="39">
        <v>5052.8081610276204</v>
      </c>
      <c r="AF335" s="35">
        <v>-968.77412332471977</v>
      </c>
      <c r="AG335" s="77">
        <v>15446.498511325583</v>
      </c>
      <c r="AH335" s="53">
        <v>14449.118634926939</v>
      </c>
      <c r="AI335" s="52">
        <v>-997.37987639864332</v>
      </c>
      <c r="AJ335" s="39">
        <v>11887.589371106998</v>
      </c>
      <c r="AK335" s="39">
        <v>11727.961436954982</v>
      </c>
      <c r="AL335" s="52">
        <v>-159.62793415201668</v>
      </c>
      <c r="AM335" s="39">
        <v>0</v>
      </c>
      <c r="AN335" s="39">
        <v>0</v>
      </c>
      <c r="AO335" s="52">
        <v>0</v>
      </c>
      <c r="AP335" s="39">
        <v>1120.6375440908189</v>
      </c>
      <c r="AQ335" s="39">
        <v>5651.5889975718228</v>
      </c>
      <c r="AR335" s="52">
        <v>4530.9514534810041</v>
      </c>
      <c r="AS335" s="39">
        <v>19256.164844230105</v>
      </c>
      <c r="AT335" s="39">
        <v>24515</v>
      </c>
      <c r="AU335" s="54">
        <v>5258.8351557698952</v>
      </c>
      <c r="AV335" s="39">
        <v>285.95847221364954</v>
      </c>
      <c r="AW335" s="39">
        <v>0</v>
      </c>
      <c r="AX335" s="55">
        <v>-285.95847221364954</v>
      </c>
      <c r="AY335" s="39">
        <v>453.52599414512929</v>
      </c>
      <c r="AZ335" s="39">
        <v>0</v>
      </c>
      <c r="BA335" s="35">
        <v>-453.52599414512929</v>
      </c>
      <c r="BB335" s="39">
        <v>508.91541862213694</v>
      </c>
      <c r="BC335" s="39">
        <v>0</v>
      </c>
      <c r="BD335" s="55">
        <v>-508.91541862213694</v>
      </c>
      <c r="BE335" s="39">
        <v>269.21077308432922</v>
      </c>
      <c r="BF335" s="39">
        <v>0</v>
      </c>
      <c r="BG335" s="38">
        <v>-269.21077308432922</v>
      </c>
      <c r="BH335" s="39">
        <v>131.92242978544064</v>
      </c>
      <c r="BI335" s="39">
        <v>0</v>
      </c>
      <c r="BJ335" s="55">
        <v>-131.92242978544064</v>
      </c>
      <c r="BK335" s="39">
        <v>367.24734680686328</v>
      </c>
      <c r="BL335" s="39">
        <v>0</v>
      </c>
      <c r="BM335" s="38">
        <v>-367.24734680686328</v>
      </c>
      <c r="BN335" s="39">
        <v>0</v>
      </c>
      <c r="BO335" s="39">
        <v>0</v>
      </c>
      <c r="BP335" s="55">
        <v>0</v>
      </c>
      <c r="BQ335" s="77">
        <v>2016.7804346575492</v>
      </c>
      <c r="BR335" s="40">
        <v>0</v>
      </c>
      <c r="BS335" s="55">
        <v>-2016.7804346575492</v>
      </c>
      <c r="BT335" s="39">
        <v>23536.621741483654</v>
      </c>
      <c r="BU335" s="39">
        <v>5008.898695096118</v>
      </c>
      <c r="BV335" s="52">
        <v>-18527.723046387535</v>
      </c>
      <c r="BW335" s="39">
        <v>13255.337426447353</v>
      </c>
      <c r="BX335" s="39">
        <v>12560.684226841226</v>
      </c>
      <c r="BY335" s="52">
        <v>-694.6531996061276</v>
      </c>
      <c r="BZ335" s="39">
        <v>2059.2472572131619</v>
      </c>
      <c r="CA335" s="39">
        <v>21888.964566324194</v>
      </c>
      <c r="CB335" s="52">
        <v>19829.717309111031</v>
      </c>
      <c r="CC335" s="39">
        <v>300.0151892687083</v>
      </c>
      <c r="CD335" s="39">
        <v>295.98655037631943</v>
      </c>
      <c r="CE335" s="52">
        <v>-4.0286388923888694</v>
      </c>
      <c r="CF335" s="39">
        <v>36.933688072852341</v>
      </c>
      <c r="CG335" s="39">
        <v>0</v>
      </c>
      <c r="CH335" s="52">
        <v>-36.933688072852341</v>
      </c>
      <c r="CI335" s="39">
        <v>2115.0803450227108</v>
      </c>
      <c r="CJ335" s="39">
        <v>1911.4810236206317</v>
      </c>
      <c r="CK335" s="52">
        <v>-203.59932140207911</v>
      </c>
      <c r="CL335" s="39">
        <v>2707.8019756337953</v>
      </c>
      <c r="CM335" s="39">
        <v>3418.8573617765405</v>
      </c>
      <c r="CN335" s="52">
        <v>711.05538614274519</v>
      </c>
      <c r="CO335" s="39">
        <v>4822.8823206565066</v>
      </c>
      <c r="CP335" s="40">
        <v>5330.3383853971718</v>
      </c>
      <c r="CQ335" s="52">
        <v>507.45606474066517</v>
      </c>
      <c r="CR335" s="72">
        <v>93738.708328553301</v>
      </c>
      <c r="CS335" s="5">
        <v>101428.54149348878</v>
      </c>
      <c r="CT335" s="52">
        <v>7689.8331649354805</v>
      </c>
      <c r="CU335" s="77">
        <v>112486.44999426395</v>
      </c>
      <c r="CV335" s="65">
        <v>121714.24979218653</v>
      </c>
      <c r="CW335" s="35">
        <v>9227.7997979225765</v>
      </c>
      <c r="CX335" s="39">
        <v>2812.1612498565992</v>
      </c>
      <c r="CY335" s="39">
        <v>-6415.638548065981</v>
      </c>
      <c r="CZ335" s="52">
        <v>-9227.7997979225802</v>
      </c>
      <c r="DA335" s="150">
        <v>-67219.440815492271</v>
      </c>
      <c r="DB335" s="2">
        <v>2</v>
      </c>
      <c r="DC335" s="713">
        <v>110784.78</v>
      </c>
      <c r="DD335" s="714">
        <v>5417.5999999999995</v>
      </c>
      <c r="DE335" s="715">
        <v>53736.358996393232</v>
      </c>
      <c r="DF335" s="716">
        <v>4926.2599999999993</v>
      </c>
      <c r="DG335" s="717">
        <v>50387.063084631409</v>
      </c>
      <c r="DH335" s="718">
        <v>560967.30498179479</v>
      </c>
      <c r="DI335" s="718">
        <v>1383583.3349294467</v>
      </c>
      <c r="DJ335" s="693">
        <v>1177929.3274425338</v>
      </c>
      <c r="DK335" s="724"/>
      <c r="DL335" s="5"/>
      <c r="DM335" s="306">
        <v>5.7748612903465926</v>
      </c>
      <c r="DN335" s="306">
        <v>6.967979940489295</v>
      </c>
      <c r="DO335" s="306">
        <v>4.7955675854231004</v>
      </c>
      <c r="DP335" s="719">
        <v>57048.421003606767</v>
      </c>
      <c r="DQ335" s="720">
        <v>491.34</v>
      </c>
      <c r="DR335" s="650">
        <v>57539.761003606764</v>
      </c>
      <c r="DS335" s="94">
        <v>57758.850240513784</v>
      </c>
      <c r="DT335" s="719">
        <v>56862.2</v>
      </c>
      <c r="DU335" s="725">
        <v>767.79</v>
      </c>
      <c r="DV335" s="93">
        <v>57629.99</v>
      </c>
      <c r="DW335" s="95">
        <v>57930.521747045925</v>
      </c>
      <c r="DX335" s="28">
        <v>-300.53174704592675</v>
      </c>
      <c r="EA335" s="5">
        <v>25527.534334665186</v>
      </c>
      <c r="EB335" s="5">
        <v>29418</v>
      </c>
      <c r="EE335" s="722">
        <v>231073.97813076124</v>
      </c>
      <c r="EG335" s="42" t="s">
        <v>399</v>
      </c>
    </row>
    <row r="336" spans="1:137" x14ac:dyDescent="0.3">
      <c r="A336" s="325">
        <v>150000891</v>
      </c>
      <c r="B336" s="41" t="s">
        <v>810</v>
      </c>
      <c r="C336" s="42" t="s">
        <v>190</v>
      </c>
      <c r="D336" s="27">
        <v>2</v>
      </c>
      <c r="E336" s="709">
        <v>294.26</v>
      </c>
      <c r="F336" s="723">
        <v>232.46</v>
      </c>
      <c r="G336" s="28"/>
      <c r="H336" s="651">
        <v>61.8</v>
      </c>
      <c r="I336" s="39">
        <v>158.31082679912393</v>
      </c>
      <c r="J336" s="39">
        <v>173.65437569360944</v>
      </c>
      <c r="K336" s="52">
        <v>15.343548894485508</v>
      </c>
      <c r="L336" s="39">
        <v>51.041817737461159</v>
      </c>
      <c r="M336" s="39">
        <v>55.459859929108646</v>
      </c>
      <c r="N336" s="52">
        <v>4.418042191647487</v>
      </c>
      <c r="O336" s="39">
        <v>0</v>
      </c>
      <c r="P336" s="39">
        <v>0</v>
      </c>
      <c r="Q336" s="52">
        <v>0</v>
      </c>
      <c r="R336" s="39">
        <v>0</v>
      </c>
      <c r="S336" s="39">
        <v>0</v>
      </c>
      <c r="T336" s="52">
        <v>0</v>
      </c>
      <c r="U336" s="39">
        <v>0</v>
      </c>
      <c r="V336" s="39">
        <v>0</v>
      </c>
      <c r="W336" s="52">
        <v>0</v>
      </c>
      <c r="X336" s="39">
        <v>4.8420164802125161</v>
      </c>
      <c r="Y336" s="39">
        <v>5.058164272678467</v>
      </c>
      <c r="Z336" s="52">
        <v>0.21614779246595095</v>
      </c>
      <c r="AA336" s="39">
        <v>0</v>
      </c>
      <c r="AB336" s="39">
        <v>0</v>
      </c>
      <c r="AC336" s="52">
        <v>0</v>
      </c>
      <c r="AD336" s="39">
        <v>209.7010311601027</v>
      </c>
      <c r="AE336" s="39">
        <v>175.96356432346562</v>
      </c>
      <c r="AF336" s="35">
        <v>-33.737466836637083</v>
      </c>
      <c r="AG336" s="77">
        <v>423.8956921769003</v>
      </c>
      <c r="AH336" s="53">
        <v>410.13596421886211</v>
      </c>
      <c r="AI336" s="52">
        <v>-13.759727958038184</v>
      </c>
      <c r="AJ336" s="39">
        <v>0</v>
      </c>
      <c r="AK336" s="39">
        <v>0</v>
      </c>
      <c r="AL336" s="52">
        <v>0</v>
      </c>
      <c r="AM336" s="39">
        <v>0</v>
      </c>
      <c r="AN336" s="39">
        <v>0</v>
      </c>
      <c r="AO336" s="52">
        <v>0</v>
      </c>
      <c r="AP336" s="39">
        <v>94.701764289364974</v>
      </c>
      <c r="AQ336" s="39">
        <v>0</v>
      </c>
      <c r="AR336" s="52">
        <v>-94.701764289364974</v>
      </c>
      <c r="AS336" s="39">
        <v>346.72450712606081</v>
      </c>
      <c r="AT336" s="39">
        <v>0</v>
      </c>
      <c r="AU336" s="54">
        <v>-346.72450712606081</v>
      </c>
      <c r="AV336" s="39">
        <v>35.585389395679698</v>
      </c>
      <c r="AW336" s="39">
        <v>0</v>
      </c>
      <c r="AX336" s="55">
        <v>-35.585389395679698</v>
      </c>
      <c r="AY336" s="39">
        <v>65.775273182043605</v>
      </c>
      <c r="AZ336" s="39">
        <v>0</v>
      </c>
      <c r="BA336" s="35">
        <v>-65.775273182043605</v>
      </c>
      <c r="BB336" s="39">
        <v>0</v>
      </c>
      <c r="BC336" s="39">
        <v>0</v>
      </c>
      <c r="BD336" s="55">
        <v>0</v>
      </c>
      <c r="BE336" s="39">
        <v>0</v>
      </c>
      <c r="BF336" s="39">
        <v>0</v>
      </c>
      <c r="BG336" s="38">
        <v>0</v>
      </c>
      <c r="BH336" s="39">
        <v>0</v>
      </c>
      <c r="BI336" s="39">
        <v>0</v>
      </c>
      <c r="BJ336" s="55">
        <v>0</v>
      </c>
      <c r="BK336" s="39">
        <v>0</v>
      </c>
      <c r="BL336" s="39">
        <v>0</v>
      </c>
      <c r="BM336" s="38">
        <v>0</v>
      </c>
      <c r="BN336" s="39">
        <v>0</v>
      </c>
      <c r="BO336" s="39">
        <v>0</v>
      </c>
      <c r="BP336" s="55">
        <v>0</v>
      </c>
      <c r="BQ336" s="77">
        <v>101.3606625777233</v>
      </c>
      <c r="BR336" s="40">
        <v>0</v>
      </c>
      <c r="BS336" s="55">
        <v>-101.3606625777233</v>
      </c>
      <c r="BT336" s="39">
        <v>338.12253493875841</v>
      </c>
      <c r="BU336" s="39">
        <v>124.6714154843914</v>
      </c>
      <c r="BV336" s="52">
        <v>-213.45111945436702</v>
      </c>
      <c r="BW336" s="39">
        <v>14.43073453399175</v>
      </c>
      <c r="BX336" s="39">
        <v>24.956158655503472</v>
      </c>
      <c r="BY336" s="52">
        <v>10.525424121511723</v>
      </c>
      <c r="BZ336" s="39">
        <v>270.83490348462016</v>
      </c>
      <c r="CA336" s="39">
        <v>531.46151897185712</v>
      </c>
      <c r="CB336" s="52">
        <v>260.62661548723696</v>
      </c>
      <c r="CC336" s="39">
        <v>0</v>
      </c>
      <c r="CD336" s="39">
        <v>0</v>
      </c>
      <c r="CE336" s="52">
        <v>0</v>
      </c>
      <c r="CF336" s="39">
        <v>0</v>
      </c>
      <c r="CG336" s="39">
        <v>0</v>
      </c>
      <c r="CH336" s="52">
        <v>0</v>
      </c>
      <c r="CI336" s="39">
        <v>0</v>
      </c>
      <c r="CJ336" s="39">
        <v>0</v>
      </c>
      <c r="CK336" s="52">
        <v>0</v>
      </c>
      <c r="CL336" s="39">
        <v>0</v>
      </c>
      <c r="CM336" s="39">
        <v>0</v>
      </c>
      <c r="CN336" s="52">
        <v>0</v>
      </c>
      <c r="CO336" s="39">
        <v>0</v>
      </c>
      <c r="CP336" s="40">
        <v>0</v>
      </c>
      <c r="CQ336" s="52">
        <v>0</v>
      </c>
      <c r="CR336" s="72">
        <v>1590.0707991274196</v>
      </c>
      <c r="CS336" s="5">
        <v>1091.2250573306142</v>
      </c>
      <c r="CT336" s="52">
        <v>-498.84574179680544</v>
      </c>
      <c r="CU336" s="77">
        <v>1908.0849589529034</v>
      </c>
      <c r="CV336" s="65">
        <v>1309.470068796737</v>
      </c>
      <c r="CW336" s="35">
        <v>-598.61489015616644</v>
      </c>
      <c r="CX336" s="39">
        <v>28.62127438429355</v>
      </c>
      <c r="CY336" s="39">
        <v>627.23616454046021</v>
      </c>
      <c r="CZ336" s="52">
        <v>598.61489015616667</v>
      </c>
      <c r="DA336" s="150">
        <v>-9440.714733773817</v>
      </c>
      <c r="DB336" s="2">
        <v>2</v>
      </c>
      <c r="DC336" s="713">
        <v>7931.18</v>
      </c>
      <c r="DD336" s="714">
        <v>431.58000000000004</v>
      </c>
      <c r="DE336" s="715">
        <v>7164.3531002791733</v>
      </c>
      <c r="DF336" s="716">
        <v>230.05378305222879</v>
      </c>
      <c r="DG336" s="717">
        <v>-2130.5902725902251</v>
      </c>
      <c r="DH336" s="718">
        <v>22747.910911874882</v>
      </c>
      <c r="DI336" s="718">
        <v>23240.474800046366</v>
      </c>
      <c r="DJ336" s="693">
        <v>23117.333828003495</v>
      </c>
      <c r="DK336" s="724"/>
      <c r="DL336" s="5"/>
      <c r="DM336" s="306">
        <v>3.2987477403459833</v>
      </c>
      <c r="DN336" s="306"/>
      <c r="DO336" s="306">
        <v>3.2609420218085963</v>
      </c>
      <c r="DP336" s="719">
        <v>766.82689972082733</v>
      </c>
      <c r="DQ336" s="720">
        <v>201.52621694777125</v>
      </c>
      <c r="DR336" s="650">
        <v>968.35311666859855</v>
      </c>
      <c r="DS336" s="94">
        <v>968.35311666859855</v>
      </c>
      <c r="DT336" s="719">
        <v>766.83</v>
      </c>
      <c r="DU336" s="725">
        <v>201.52</v>
      </c>
      <c r="DV336" s="93">
        <v>968.35</v>
      </c>
      <c r="DW336" s="95">
        <v>971.21524410702796</v>
      </c>
      <c r="DX336" s="28">
        <v>-2.8652441070279338</v>
      </c>
      <c r="EA336" s="5">
        <v>537.70220364454087</v>
      </c>
      <c r="EB336" s="5">
        <v>0</v>
      </c>
      <c r="EE336" s="722">
        <v>4160.6940855127295</v>
      </c>
      <c r="EG336" s="42" t="s">
        <v>190</v>
      </c>
    </row>
    <row r="337" spans="1:137" x14ac:dyDescent="0.3">
      <c r="A337" s="325">
        <v>150001561</v>
      </c>
      <c r="B337" s="41" t="s">
        <v>811</v>
      </c>
      <c r="C337" s="42" t="s">
        <v>400</v>
      </c>
      <c r="D337" s="27">
        <v>9</v>
      </c>
      <c r="E337" s="709">
        <v>3516.6</v>
      </c>
      <c r="F337" s="723">
        <v>3516.6</v>
      </c>
      <c r="G337" s="28">
        <v>191</v>
      </c>
      <c r="H337" s="651">
        <v>0</v>
      </c>
      <c r="I337" s="39">
        <v>3261.6525169802894</v>
      </c>
      <c r="J337" s="39">
        <v>3520.4191583088741</v>
      </c>
      <c r="K337" s="52">
        <v>258.76664132858468</v>
      </c>
      <c r="L337" s="39">
        <v>516.78319372298949</v>
      </c>
      <c r="M337" s="39">
        <v>561.51098763007678</v>
      </c>
      <c r="N337" s="52">
        <v>44.727793907087289</v>
      </c>
      <c r="O337" s="39">
        <v>0</v>
      </c>
      <c r="P337" s="39">
        <v>0</v>
      </c>
      <c r="Q337" s="52">
        <v>0</v>
      </c>
      <c r="R337" s="39">
        <v>0</v>
      </c>
      <c r="S337" s="39">
        <v>0</v>
      </c>
      <c r="T337" s="52">
        <v>0</v>
      </c>
      <c r="U337" s="39">
        <v>44.32263844269842</v>
      </c>
      <c r="V337" s="39">
        <v>205.33477164224996</v>
      </c>
      <c r="W337" s="52">
        <v>161.01213319955156</v>
      </c>
      <c r="X337" s="39">
        <v>1203.0025609383945</v>
      </c>
      <c r="Y337" s="39">
        <v>711.44869008473438</v>
      </c>
      <c r="Z337" s="52">
        <v>-491.5538708536601</v>
      </c>
      <c r="AA337" s="39">
        <v>0</v>
      </c>
      <c r="AB337" s="39">
        <v>0</v>
      </c>
      <c r="AC337" s="52">
        <v>0</v>
      </c>
      <c r="AD337" s="39">
        <v>2506.0648616108788</v>
      </c>
      <c r="AE337" s="39">
        <v>2102.8800050971904</v>
      </c>
      <c r="AF337" s="35">
        <v>-403.18485651368837</v>
      </c>
      <c r="AG337" s="77">
        <v>7531.8257716952503</v>
      </c>
      <c r="AH337" s="53">
        <v>7101.5936127631248</v>
      </c>
      <c r="AI337" s="52">
        <v>-430.23215893212546</v>
      </c>
      <c r="AJ337" s="39">
        <v>1877.1003820555543</v>
      </c>
      <c r="AK337" s="39">
        <v>1851.894459573763</v>
      </c>
      <c r="AL337" s="52">
        <v>-25.205922481791276</v>
      </c>
      <c r="AM337" s="39">
        <v>278.53460085107349</v>
      </c>
      <c r="AN337" s="39">
        <v>274.79440580095013</v>
      </c>
      <c r="AO337" s="52">
        <v>-3.7401950501233614</v>
      </c>
      <c r="AP337" s="39">
        <v>781.28955538726109</v>
      </c>
      <c r="AQ337" s="39">
        <v>0</v>
      </c>
      <c r="AR337" s="52">
        <v>-781.28955538726109</v>
      </c>
      <c r="AS337" s="39">
        <v>6653.4224571358491</v>
      </c>
      <c r="AT337" s="39">
        <v>501</v>
      </c>
      <c r="AU337" s="54">
        <v>-6152.4224571358491</v>
      </c>
      <c r="AV337" s="39">
        <v>256.75397524749241</v>
      </c>
      <c r="AW337" s="39">
        <v>0</v>
      </c>
      <c r="AX337" s="55">
        <v>-256.75397524749241</v>
      </c>
      <c r="AY337" s="39">
        <v>333.0523260630502</v>
      </c>
      <c r="AZ337" s="39">
        <v>0</v>
      </c>
      <c r="BA337" s="35">
        <v>-333.0523260630502</v>
      </c>
      <c r="BB337" s="39">
        <v>0</v>
      </c>
      <c r="BC337" s="39">
        <v>0</v>
      </c>
      <c r="BD337" s="55">
        <v>0</v>
      </c>
      <c r="BE337" s="39">
        <v>0</v>
      </c>
      <c r="BF337" s="39">
        <v>0</v>
      </c>
      <c r="BG337" s="38">
        <v>0</v>
      </c>
      <c r="BH337" s="39">
        <v>22.490068372102311</v>
      </c>
      <c r="BI337" s="39">
        <v>0</v>
      </c>
      <c r="BJ337" s="55">
        <v>-22.490068372102311</v>
      </c>
      <c r="BK337" s="39">
        <v>77.368966108617101</v>
      </c>
      <c r="BL337" s="39">
        <v>0</v>
      </c>
      <c r="BM337" s="38">
        <v>-77.368966108617101</v>
      </c>
      <c r="BN337" s="39">
        <v>0</v>
      </c>
      <c r="BO337" s="39">
        <v>0</v>
      </c>
      <c r="BP337" s="55">
        <v>0</v>
      </c>
      <c r="BQ337" s="77">
        <v>689.66533579126201</v>
      </c>
      <c r="BR337" s="40">
        <v>0</v>
      </c>
      <c r="BS337" s="55">
        <v>-689.66533579126201</v>
      </c>
      <c r="BT337" s="39">
        <v>3164.9645781884769</v>
      </c>
      <c r="BU337" s="39">
        <v>1134.6133720177079</v>
      </c>
      <c r="BV337" s="52">
        <v>-2030.351206170769</v>
      </c>
      <c r="BW337" s="39">
        <v>5161.7650497204995</v>
      </c>
      <c r="BX337" s="39">
        <v>4850.6378983834084</v>
      </c>
      <c r="BY337" s="52">
        <v>-311.12715133709116</v>
      </c>
      <c r="BZ337" s="39">
        <v>2282.3810623087134</v>
      </c>
      <c r="CA337" s="39">
        <v>4772.0638488863333</v>
      </c>
      <c r="CB337" s="52">
        <v>2489.6827865776199</v>
      </c>
      <c r="CC337" s="39">
        <v>16.716532604678026</v>
      </c>
      <c r="CD337" s="39">
        <v>16.492061058549822</v>
      </c>
      <c r="CE337" s="52">
        <v>-0.22447154612820341</v>
      </c>
      <c r="CF337" s="39">
        <v>2.057906475954681</v>
      </c>
      <c r="CG337" s="39">
        <v>0</v>
      </c>
      <c r="CH337" s="52">
        <v>-2.057906475954681</v>
      </c>
      <c r="CI337" s="39">
        <v>442.98142919354717</v>
      </c>
      <c r="CJ337" s="39">
        <v>930.1852094858491</v>
      </c>
      <c r="CK337" s="52">
        <v>487.20378029230193</v>
      </c>
      <c r="CL337" s="39">
        <v>1279.0308871081293</v>
      </c>
      <c r="CM337" s="39">
        <v>3794.2633453332551</v>
      </c>
      <c r="CN337" s="52">
        <v>2515.2324582251258</v>
      </c>
      <c r="CO337" s="39">
        <v>1722.0123163016765</v>
      </c>
      <c r="CP337" s="40">
        <v>4724.4485548191042</v>
      </c>
      <c r="CQ337" s="52">
        <v>3002.4362385174277</v>
      </c>
      <c r="CR337" s="72">
        <v>30161.735548516244</v>
      </c>
      <c r="CS337" s="5">
        <v>25227.538213302942</v>
      </c>
      <c r="CT337" s="52">
        <v>-4934.1973352133027</v>
      </c>
      <c r="CU337" s="77">
        <v>36194.082658219493</v>
      </c>
      <c r="CV337" s="65">
        <v>30273.04585596353</v>
      </c>
      <c r="CW337" s="35">
        <v>-5921.0368022559633</v>
      </c>
      <c r="CX337" s="39">
        <v>542.9112398732924</v>
      </c>
      <c r="CY337" s="39">
        <v>6463.9480421292574</v>
      </c>
      <c r="CZ337" s="52">
        <v>5921.0368022559651</v>
      </c>
      <c r="DA337" s="150">
        <v>-121597.32605529788</v>
      </c>
      <c r="DB337" s="2">
        <v>2</v>
      </c>
      <c r="DC337" s="713">
        <v>51903.86</v>
      </c>
      <c r="DD337" s="714"/>
      <c r="DE337" s="715">
        <v>33535.363050953609</v>
      </c>
      <c r="DF337" s="716">
        <v>0</v>
      </c>
      <c r="DG337" s="717">
        <v>-45080.252862166562</v>
      </c>
      <c r="DH337" s="718">
        <v>177709.94836123261</v>
      </c>
      <c r="DI337" s="718">
        <v>440843.9267771134</v>
      </c>
      <c r="DJ337" s="693">
        <v>375060.4321731432</v>
      </c>
      <c r="DK337" s="724"/>
      <c r="DL337" s="5"/>
      <c r="DM337" s="306">
        <v>4.6285575368843217</v>
      </c>
      <c r="DN337" s="306">
        <v>5.2575302079328505</v>
      </c>
      <c r="DO337" s="306">
        <v>3.7346500935356937</v>
      </c>
      <c r="DP337" s="719">
        <v>18368.496949046392</v>
      </c>
      <c r="DQ337" s="720">
        <v>0</v>
      </c>
      <c r="DR337" s="650">
        <v>18368.496949046392</v>
      </c>
      <c r="DS337" s="94">
        <v>18368.496949046392</v>
      </c>
      <c r="DT337" s="719">
        <v>18368.41</v>
      </c>
      <c r="DU337" s="721"/>
      <c r="DV337" s="93">
        <v>18368.41</v>
      </c>
      <c r="DW337" s="95">
        <v>18422.788073033724</v>
      </c>
      <c r="DX337" s="28">
        <v>-54.378073033723922</v>
      </c>
      <c r="EA337" s="5">
        <v>8811.7053515125335</v>
      </c>
      <c r="EB337" s="5">
        <v>601.19999999999993</v>
      </c>
      <c r="EE337" s="722">
        <v>79841.069485630185</v>
      </c>
      <c r="EG337" s="42" t="s">
        <v>400</v>
      </c>
    </row>
    <row r="338" spans="1:137" x14ac:dyDescent="0.3">
      <c r="A338" s="325">
        <v>150000892</v>
      </c>
      <c r="B338" s="41" t="s">
        <v>812</v>
      </c>
      <c r="C338" s="42" t="s">
        <v>401</v>
      </c>
      <c r="D338" s="27">
        <v>9</v>
      </c>
      <c r="E338" s="709">
        <v>4153.8999999999996</v>
      </c>
      <c r="F338" s="723">
        <v>4153.8999999999996</v>
      </c>
      <c r="G338" s="28">
        <v>391.15</v>
      </c>
      <c r="H338" s="651">
        <v>0</v>
      </c>
      <c r="I338" s="39">
        <v>2781.4765038740534</v>
      </c>
      <c r="J338" s="39">
        <v>2641.9336349256419</v>
      </c>
      <c r="K338" s="52">
        <v>-139.54286894841152</v>
      </c>
      <c r="L338" s="39">
        <v>453.85581537701228</v>
      </c>
      <c r="M338" s="39">
        <v>392.7655585904829</v>
      </c>
      <c r="N338" s="52">
        <v>-61.09025678652938</v>
      </c>
      <c r="O338" s="39">
        <v>899.12</v>
      </c>
      <c r="P338" s="39">
        <v>899.32</v>
      </c>
      <c r="Q338" s="52">
        <v>0.20000000000004547</v>
      </c>
      <c r="R338" s="39">
        <v>222.48</v>
      </c>
      <c r="S338" s="39">
        <v>222.24</v>
      </c>
      <c r="T338" s="52">
        <v>-0.23999999999998067</v>
      </c>
      <c r="U338" s="39">
        <v>130.00964065633656</v>
      </c>
      <c r="V338" s="39">
        <v>77.047110649179317</v>
      </c>
      <c r="W338" s="52">
        <v>-52.962530007157241</v>
      </c>
      <c r="X338" s="39">
        <v>974.77311418430293</v>
      </c>
      <c r="Y338" s="39">
        <v>670.67053052614119</v>
      </c>
      <c r="Z338" s="52">
        <v>-304.10258365816173</v>
      </c>
      <c r="AA338" s="39">
        <v>0</v>
      </c>
      <c r="AB338" s="39">
        <v>0</v>
      </c>
      <c r="AC338" s="52">
        <v>0</v>
      </c>
      <c r="AD338" s="39">
        <v>2960.2294342960327</v>
      </c>
      <c r="AE338" s="39">
        <v>2483.9769246355054</v>
      </c>
      <c r="AF338" s="35">
        <v>-476.25250966052727</v>
      </c>
      <c r="AG338" s="77">
        <v>8421.9445083877381</v>
      </c>
      <c r="AH338" s="53">
        <v>7387.9537593269515</v>
      </c>
      <c r="AI338" s="52">
        <v>-1033.9907490607866</v>
      </c>
      <c r="AJ338" s="39">
        <v>9601.5110639297945</v>
      </c>
      <c r="AK338" s="39">
        <v>9472.5588719031039</v>
      </c>
      <c r="AL338" s="52">
        <v>-128.95219202669068</v>
      </c>
      <c r="AM338" s="39">
        <v>0</v>
      </c>
      <c r="AN338" s="39">
        <v>0</v>
      </c>
      <c r="AO338" s="52">
        <v>0</v>
      </c>
      <c r="AP338" s="39">
        <v>560.31877204540945</v>
      </c>
      <c r="AQ338" s="39">
        <v>0</v>
      </c>
      <c r="AR338" s="52">
        <v>-560.31877204540945</v>
      </c>
      <c r="AS338" s="39">
        <v>10714.352313839907</v>
      </c>
      <c r="AT338" s="39">
        <v>2232.5059536006374</v>
      </c>
      <c r="AU338" s="54">
        <v>-8481.8463602392694</v>
      </c>
      <c r="AV338" s="39">
        <v>224.51577674707013</v>
      </c>
      <c r="AW338" s="39">
        <v>0</v>
      </c>
      <c r="AX338" s="55">
        <v>-224.51577674707013</v>
      </c>
      <c r="AY338" s="39">
        <v>300.12770757182062</v>
      </c>
      <c r="AZ338" s="39">
        <v>0</v>
      </c>
      <c r="BA338" s="35">
        <v>-300.12770757182062</v>
      </c>
      <c r="BB338" s="39">
        <v>376.27692534240782</v>
      </c>
      <c r="BC338" s="39">
        <v>0</v>
      </c>
      <c r="BD338" s="55">
        <v>-376.27692534240782</v>
      </c>
      <c r="BE338" s="39">
        <v>125.13234211792332</v>
      </c>
      <c r="BF338" s="39">
        <v>0</v>
      </c>
      <c r="BG338" s="38">
        <v>-125.13234211792332</v>
      </c>
      <c r="BH338" s="39">
        <v>65.961235315382794</v>
      </c>
      <c r="BI338" s="39">
        <v>0</v>
      </c>
      <c r="BJ338" s="55">
        <v>-65.961235315382794</v>
      </c>
      <c r="BK338" s="39">
        <v>125.82945550466667</v>
      </c>
      <c r="BL338" s="39">
        <v>0</v>
      </c>
      <c r="BM338" s="38">
        <v>-125.82945550466667</v>
      </c>
      <c r="BN338" s="39">
        <v>0</v>
      </c>
      <c r="BO338" s="39">
        <v>0</v>
      </c>
      <c r="BP338" s="55">
        <v>0</v>
      </c>
      <c r="BQ338" s="77">
        <v>1217.8434425992712</v>
      </c>
      <c r="BR338" s="40">
        <v>0</v>
      </c>
      <c r="BS338" s="55">
        <v>-1217.8434425992712</v>
      </c>
      <c r="BT338" s="39">
        <v>9839.560606017385</v>
      </c>
      <c r="BU338" s="39">
        <v>2297.5005220672047</v>
      </c>
      <c r="BV338" s="52">
        <v>-7542.0600839501803</v>
      </c>
      <c r="BW338" s="39">
        <v>6619.2653265028293</v>
      </c>
      <c r="BX338" s="39">
        <v>6719.0793476331992</v>
      </c>
      <c r="BY338" s="52">
        <v>99.814021130369838</v>
      </c>
      <c r="BZ338" s="39">
        <v>863.69129340262396</v>
      </c>
      <c r="CA338" s="39">
        <v>9386.0317755110427</v>
      </c>
      <c r="CB338" s="52">
        <v>8522.3404821084187</v>
      </c>
      <c r="CC338" s="39">
        <v>238.11499654164979</v>
      </c>
      <c r="CD338" s="39">
        <v>234.91756064426414</v>
      </c>
      <c r="CE338" s="52">
        <v>-3.1974358973856454</v>
      </c>
      <c r="CF338" s="39">
        <v>29.313399195468254</v>
      </c>
      <c r="CG338" s="39">
        <v>0</v>
      </c>
      <c r="CH338" s="52">
        <v>-29.313399195468254</v>
      </c>
      <c r="CI338" s="39">
        <v>1815.5999421876372</v>
      </c>
      <c r="CJ338" s="39">
        <v>1974.9816755082763</v>
      </c>
      <c r="CK338" s="52">
        <v>159.38173332063911</v>
      </c>
      <c r="CL338" s="39">
        <v>1179.2040861631044</v>
      </c>
      <c r="CM338" s="39">
        <v>2084.91044067434</v>
      </c>
      <c r="CN338" s="52">
        <v>905.70635451123553</v>
      </c>
      <c r="CO338" s="39">
        <v>2994.8040283507416</v>
      </c>
      <c r="CP338" s="40">
        <v>4059.8921161826165</v>
      </c>
      <c r="CQ338" s="52">
        <v>1065.0880878318749</v>
      </c>
      <c r="CR338" s="72">
        <v>51100.719750812816</v>
      </c>
      <c r="CS338" s="5">
        <v>41790.439906869018</v>
      </c>
      <c r="CT338" s="52">
        <v>-9310.2798439437975</v>
      </c>
      <c r="CU338" s="77">
        <v>61320.863700975373</v>
      </c>
      <c r="CV338" s="65">
        <v>50148.527888242817</v>
      </c>
      <c r="CW338" s="35">
        <v>-11172.335812732555</v>
      </c>
      <c r="CX338" s="39">
        <v>613.20863700975372</v>
      </c>
      <c r="CY338" s="39">
        <v>11785.544449742301</v>
      </c>
      <c r="CZ338" s="52">
        <v>11172.335812732548</v>
      </c>
      <c r="DA338" s="150">
        <v>111556.66477713098</v>
      </c>
      <c r="DB338" s="2">
        <v>3</v>
      </c>
      <c r="DC338" s="713">
        <v>68920.39</v>
      </c>
      <c r="DD338" s="714"/>
      <c r="DE338" s="715">
        <v>37953.353831007436</v>
      </c>
      <c r="DF338" s="716">
        <v>0</v>
      </c>
      <c r="DG338" s="717">
        <v>29075.809991979419</v>
      </c>
      <c r="DH338" s="718">
        <v>299148.50396079588</v>
      </c>
      <c r="DI338" s="718">
        <v>743208.86805582151</v>
      </c>
      <c r="DJ338" s="693">
        <v>632193.77703206509</v>
      </c>
      <c r="DK338" s="724"/>
      <c r="DL338" s="5"/>
      <c r="DM338" s="306">
        <v>5.8821644209143864</v>
      </c>
      <c r="DN338" s="306">
        <v>7.6184247042062072</v>
      </c>
      <c r="DO338" s="306">
        <v>4.9164996750464756</v>
      </c>
      <c r="DP338" s="719">
        <v>30967.036168992563</v>
      </c>
      <c r="DQ338" s="720">
        <v>0</v>
      </c>
      <c r="DR338" s="650">
        <v>30967.036168992563</v>
      </c>
      <c r="DS338" s="94">
        <v>30967.036168992563</v>
      </c>
      <c r="DT338" s="719">
        <v>30851.37</v>
      </c>
      <c r="DU338" s="721"/>
      <c r="DV338" s="93">
        <v>30851.37</v>
      </c>
      <c r="DW338" s="95">
        <v>31028.357032693541</v>
      </c>
      <c r="DX338" s="28">
        <v>-176.98703269354155</v>
      </c>
      <c r="EA338" s="5">
        <v>14318.634907727013</v>
      </c>
      <c r="EB338" s="5">
        <v>2679.0071443207648</v>
      </c>
      <c r="EE338" s="722">
        <v>128572.22776607888</v>
      </c>
      <c r="EG338" s="42" t="s">
        <v>401</v>
      </c>
    </row>
    <row r="339" spans="1:137" x14ac:dyDescent="0.3">
      <c r="A339" s="325">
        <v>150000893</v>
      </c>
      <c r="B339" s="41" t="s">
        <v>813</v>
      </c>
      <c r="C339" s="42" t="s">
        <v>315</v>
      </c>
      <c r="D339" s="27">
        <v>5</v>
      </c>
      <c r="E339" s="709">
        <v>2749.1</v>
      </c>
      <c r="F339" s="723">
        <v>2749.1</v>
      </c>
      <c r="G339" s="28"/>
      <c r="H339" s="651">
        <v>0</v>
      </c>
      <c r="I339" s="39">
        <v>1760.045544434277</v>
      </c>
      <c r="J339" s="39">
        <v>1667.9488514183013</v>
      </c>
      <c r="K339" s="52">
        <v>-92.096693015975688</v>
      </c>
      <c r="L339" s="39">
        <v>332.43932844451967</v>
      </c>
      <c r="M339" s="39">
        <v>287.69234276414704</v>
      </c>
      <c r="N339" s="52">
        <v>-44.746985680372632</v>
      </c>
      <c r="O339" s="39">
        <v>664.94</v>
      </c>
      <c r="P339" s="39">
        <v>664.96</v>
      </c>
      <c r="Q339" s="52">
        <v>1.999999999998181E-2</v>
      </c>
      <c r="R339" s="39">
        <v>0</v>
      </c>
      <c r="S339" s="39">
        <v>0</v>
      </c>
      <c r="T339" s="52">
        <v>0</v>
      </c>
      <c r="U339" s="39">
        <v>118.22581795543685</v>
      </c>
      <c r="V339" s="39">
        <v>70.064077109113384</v>
      </c>
      <c r="W339" s="52">
        <v>-48.161740846323468</v>
      </c>
      <c r="X339" s="39">
        <v>1186.201490290071</v>
      </c>
      <c r="Y339" s="39">
        <v>826.39455562409216</v>
      </c>
      <c r="Z339" s="52">
        <v>-359.80693466597882</v>
      </c>
      <c r="AA339" s="39">
        <v>0</v>
      </c>
      <c r="AB339" s="39">
        <v>0</v>
      </c>
      <c r="AC339" s="52">
        <v>0</v>
      </c>
      <c r="AD339" s="39">
        <v>1959.1147446551972</v>
      </c>
      <c r="AE339" s="39">
        <v>1643.9252181120078</v>
      </c>
      <c r="AF339" s="35">
        <v>-315.18952654318946</v>
      </c>
      <c r="AG339" s="77">
        <v>6020.9669257795013</v>
      </c>
      <c r="AH339" s="53">
        <v>5160.9850450276608</v>
      </c>
      <c r="AI339" s="52">
        <v>-859.98188075184044</v>
      </c>
      <c r="AJ339" s="39">
        <v>0</v>
      </c>
      <c r="AK339" s="39">
        <v>0</v>
      </c>
      <c r="AL339" s="52">
        <v>0</v>
      </c>
      <c r="AM339" s="39">
        <v>0</v>
      </c>
      <c r="AN339" s="39">
        <v>0</v>
      </c>
      <c r="AO339" s="52">
        <v>0</v>
      </c>
      <c r="AP339" s="39">
        <v>852.31587860428476</v>
      </c>
      <c r="AQ339" s="39">
        <v>3997.9309737426756</v>
      </c>
      <c r="AR339" s="52">
        <v>3145.6150951383906</v>
      </c>
      <c r="AS339" s="39">
        <v>8888.2871910180547</v>
      </c>
      <c r="AT339" s="39">
        <v>1934.5000748235625</v>
      </c>
      <c r="AU339" s="54">
        <v>-6953.7871161944922</v>
      </c>
      <c r="AV339" s="39">
        <v>293.75320637338609</v>
      </c>
      <c r="AW339" s="39">
        <v>0</v>
      </c>
      <c r="AX339" s="55">
        <v>-293.75320637338609</v>
      </c>
      <c r="AY339" s="39">
        <v>428.45713760025609</v>
      </c>
      <c r="AZ339" s="39">
        <v>0</v>
      </c>
      <c r="BA339" s="35">
        <v>-428.45713760025609</v>
      </c>
      <c r="BB339" s="39">
        <v>270.44394550521525</v>
      </c>
      <c r="BC339" s="39">
        <v>0</v>
      </c>
      <c r="BD339" s="55">
        <v>-270.44394550521525</v>
      </c>
      <c r="BE339" s="39">
        <v>0</v>
      </c>
      <c r="BF339" s="39">
        <v>0</v>
      </c>
      <c r="BG339" s="38">
        <v>0</v>
      </c>
      <c r="BH339" s="39">
        <v>119.94714023874553</v>
      </c>
      <c r="BI339" s="39">
        <v>0</v>
      </c>
      <c r="BJ339" s="55">
        <v>-119.94714023874553</v>
      </c>
      <c r="BK339" s="39">
        <v>182.75233818840255</v>
      </c>
      <c r="BL339" s="39">
        <v>0</v>
      </c>
      <c r="BM339" s="38">
        <v>-182.75233818840255</v>
      </c>
      <c r="BN339" s="39">
        <v>0</v>
      </c>
      <c r="BO339" s="39">
        <v>0</v>
      </c>
      <c r="BP339" s="55">
        <v>0</v>
      </c>
      <c r="BQ339" s="77">
        <v>1295.3537679060055</v>
      </c>
      <c r="BR339" s="40">
        <v>0</v>
      </c>
      <c r="BS339" s="55">
        <v>-1295.3537679060055</v>
      </c>
      <c r="BT339" s="39">
        <v>5146.4343732686229</v>
      </c>
      <c r="BU339" s="39">
        <v>410.23681662931619</v>
      </c>
      <c r="BV339" s="52">
        <v>-4736.1975566393066</v>
      </c>
      <c r="BW339" s="39">
        <v>2982.6517889647957</v>
      </c>
      <c r="BX339" s="39">
        <v>784.30517414515282</v>
      </c>
      <c r="BY339" s="52">
        <v>-2198.346614819643</v>
      </c>
      <c r="BZ339" s="39">
        <v>741.69964227367973</v>
      </c>
      <c r="CA339" s="39">
        <v>1640.2414333318691</v>
      </c>
      <c r="CB339" s="52">
        <v>898.54179105818935</v>
      </c>
      <c r="CC339" s="39">
        <v>290.99512475474711</v>
      </c>
      <c r="CD339" s="39">
        <v>287.08760833886146</v>
      </c>
      <c r="CE339" s="52">
        <v>-3.9075164158856523</v>
      </c>
      <c r="CF339" s="39">
        <v>35.823263464126065</v>
      </c>
      <c r="CG339" s="39">
        <v>0</v>
      </c>
      <c r="CH339" s="52">
        <v>-35.823263464126065</v>
      </c>
      <c r="CI339" s="39">
        <v>648.87420614266057</v>
      </c>
      <c r="CJ339" s="39">
        <v>972.77456230102166</v>
      </c>
      <c r="CK339" s="52">
        <v>323.90035615836109</v>
      </c>
      <c r="CL339" s="39">
        <v>0</v>
      </c>
      <c r="CM339" s="39">
        <v>0</v>
      </c>
      <c r="CN339" s="52">
        <v>0</v>
      </c>
      <c r="CO339" s="39">
        <v>648.87420614266057</v>
      </c>
      <c r="CP339" s="40">
        <v>972.77456230102166</v>
      </c>
      <c r="CQ339" s="52">
        <v>323.90035615836109</v>
      </c>
      <c r="CR339" s="72">
        <v>26903.402162176477</v>
      </c>
      <c r="CS339" s="5">
        <v>15188.06168834012</v>
      </c>
      <c r="CT339" s="52">
        <v>-11715.340473836357</v>
      </c>
      <c r="CU339" s="77">
        <v>32284.082594611769</v>
      </c>
      <c r="CV339" s="65">
        <v>18225.674026008142</v>
      </c>
      <c r="CW339" s="35">
        <v>-14058.408568603627</v>
      </c>
      <c r="CX339" s="39">
        <v>1614.2041297305886</v>
      </c>
      <c r="CY339" s="39">
        <v>15672.612698334216</v>
      </c>
      <c r="CZ339" s="52">
        <v>14058.408568603627</v>
      </c>
      <c r="DA339" s="150">
        <v>-117558.28782512194</v>
      </c>
      <c r="DB339" s="2">
        <v>3</v>
      </c>
      <c r="DC339" s="713">
        <v>40428.129999999997</v>
      </c>
      <c r="DD339" s="714"/>
      <c r="DE339" s="715">
        <v>23478.986637828821</v>
      </c>
      <c r="DF339" s="716">
        <v>0</v>
      </c>
      <c r="DG339" s="717">
        <v>-37343.294753472066</v>
      </c>
      <c r="DH339" s="718">
        <v>162382.33123978256</v>
      </c>
      <c r="DI339" s="718">
        <v>406779.44069210836</v>
      </c>
      <c r="DJ339" s="693">
        <v>345680.16332902689</v>
      </c>
      <c r="DK339" s="724"/>
      <c r="DL339" s="5"/>
      <c r="DM339" s="306">
        <v>6.165342607461052</v>
      </c>
      <c r="DN339" s="306"/>
      <c r="DO339" s="306">
        <v>5.4818204994810511</v>
      </c>
      <c r="DP339" s="719">
        <v>16949.143362171177</v>
      </c>
      <c r="DQ339" s="720">
        <v>0</v>
      </c>
      <c r="DR339" s="650">
        <v>16949.143362171177</v>
      </c>
      <c r="DS339" s="94">
        <v>16949.143362171184</v>
      </c>
      <c r="DT339" s="719">
        <v>16949.04</v>
      </c>
      <c r="DU339" s="721"/>
      <c r="DV339" s="93">
        <v>16949.04</v>
      </c>
      <c r="DW339" s="95">
        <v>17110.563775144237</v>
      </c>
      <c r="DX339" s="28">
        <v>-161.52377514423642</v>
      </c>
      <c r="EA339" s="5">
        <v>12220.369150708873</v>
      </c>
      <c r="EB339" s="5">
        <v>2321.4000897882747</v>
      </c>
      <c r="EE339" s="722">
        <v>106659.44629221666</v>
      </c>
      <c r="EG339" s="42" t="s">
        <v>315</v>
      </c>
    </row>
    <row r="340" spans="1:137" x14ac:dyDescent="0.3">
      <c r="A340" s="325">
        <v>150000894</v>
      </c>
      <c r="B340" s="41" t="s">
        <v>814</v>
      </c>
      <c r="C340" s="42" t="s">
        <v>316</v>
      </c>
      <c r="D340" s="27">
        <v>5</v>
      </c>
      <c r="E340" s="709">
        <v>4228.09</v>
      </c>
      <c r="F340" s="723">
        <v>3582</v>
      </c>
      <c r="G340" s="28"/>
      <c r="H340" s="651">
        <v>646.09</v>
      </c>
      <c r="I340" s="39">
        <v>2453.4871831668916</v>
      </c>
      <c r="J340" s="39">
        <v>2323.9602698454937</v>
      </c>
      <c r="K340" s="52">
        <v>-129.52691332139784</v>
      </c>
      <c r="L340" s="39">
        <v>566.98617602705406</v>
      </c>
      <c r="M340" s="39">
        <v>490.66887179341325</v>
      </c>
      <c r="N340" s="52">
        <v>-76.317304233640812</v>
      </c>
      <c r="O340" s="39">
        <v>937.1</v>
      </c>
      <c r="P340" s="39">
        <v>937.42</v>
      </c>
      <c r="Q340" s="52">
        <v>0.31999999999993634</v>
      </c>
      <c r="R340" s="39">
        <v>0</v>
      </c>
      <c r="S340" s="39">
        <v>0</v>
      </c>
      <c r="T340" s="52">
        <v>0</v>
      </c>
      <c r="U340" s="39">
        <v>177.29022700819411</v>
      </c>
      <c r="V340" s="39">
        <v>105.06689795011332</v>
      </c>
      <c r="W340" s="52">
        <v>-72.223329058080793</v>
      </c>
      <c r="X340" s="39">
        <v>2176.6167458896812</v>
      </c>
      <c r="Y340" s="39">
        <v>1558.1763310981205</v>
      </c>
      <c r="Z340" s="52">
        <v>-618.44041479156067</v>
      </c>
      <c r="AA340" s="39">
        <v>0</v>
      </c>
      <c r="AB340" s="39">
        <v>0</v>
      </c>
      <c r="AC340" s="52">
        <v>0</v>
      </c>
      <c r="AD340" s="39">
        <v>3013.1000912041009</v>
      </c>
      <c r="AE340" s="39">
        <v>2528.3415573995849</v>
      </c>
      <c r="AF340" s="35">
        <v>-484.75853380451599</v>
      </c>
      <c r="AG340" s="77">
        <v>9324.5804232959235</v>
      </c>
      <c r="AH340" s="53">
        <v>7943.6339280867251</v>
      </c>
      <c r="AI340" s="52">
        <v>-1380.9464952091985</v>
      </c>
      <c r="AJ340" s="39">
        <v>0</v>
      </c>
      <c r="AK340" s="39">
        <v>0</v>
      </c>
      <c r="AL340" s="52">
        <v>0</v>
      </c>
      <c r="AM340" s="39">
        <v>0</v>
      </c>
      <c r="AN340" s="39">
        <v>0</v>
      </c>
      <c r="AO340" s="52">
        <v>0</v>
      </c>
      <c r="AP340" s="39">
        <v>1420.5264643404746</v>
      </c>
      <c r="AQ340" s="39">
        <v>0</v>
      </c>
      <c r="AR340" s="52">
        <v>-1420.5264643404746</v>
      </c>
      <c r="AS340" s="39">
        <v>9463.6085460755166</v>
      </c>
      <c r="AT340" s="39">
        <v>4846</v>
      </c>
      <c r="AU340" s="54">
        <v>-4617.6085460755166</v>
      </c>
      <c r="AV340" s="39">
        <v>434.16734811129322</v>
      </c>
      <c r="AW340" s="39">
        <v>884</v>
      </c>
      <c r="AX340" s="55">
        <v>449.83265188870678</v>
      </c>
      <c r="AY340" s="39">
        <v>730.73405711118153</v>
      </c>
      <c r="AZ340" s="39">
        <v>0</v>
      </c>
      <c r="BA340" s="35">
        <v>-730.73405711118153</v>
      </c>
      <c r="BB340" s="39">
        <v>357.3446292239239</v>
      </c>
      <c r="BC340" s="39">
        <v>0</v>
      </c>
      <c r="BD340" s="55">
        <v>-357.3446292239239</v>
      </c>
      <c r="BE340" s="39">
        <v>0</v>
      </c>
      <c r="BF340" s="39">
        <v>0</v>
      </c>
      <c r="BG340" s="38">
        <v>0</v>
      </c>
      <c r="BH340" s="39">
        <v>179.87216958783222</v>
      </c>
      <c r="BI340" s="39">
        <v>0</v>
      </c>
      <c r="BJ340" s="55">
        <v>-179.87216958783222</v>
      </c>
      <c r="BK340" s="39">
        <v>326.88088209596361</v>
      </c>
      <c r="BL340" s="39">
        <v>0</v>
      </c>
      <c r="BM340" s="38">
        <v>-326.88088209596361</v>
      </c>
      <c r="BN340" s="39">
        <v>0</v>
      </c>
      <c r="BO340" s="39">
        <v>0</v>
      </c>
      <c r="BP340" s="55">
        <v>0</v>
      </c>
      <c r="BQ340" s="77">
        <v>2028.9990861301947</v>
      </c>
      <c r="BR340" s="40">
        <v>884</v>
      </c>
      <c r="BS340" s="55">
        <v>-1144.9990861301947</v>
      </c>
      <c r="BT340" s="39">
        <v>6335.3854175917204</v>
      </c>
      <c r="BU340" s="39">
        <v>1458.6717786845581</v>
      </c>
      <c r="BV340" s="52">
        <v>-4876.713638907162</v>
      </c>
      <c r="BW340" s="39">
        <v>4552.6782089307026</v>
      </c>
      <c r="BX340" s="39">
        <v>4244.8361648025293</v>
      </c>
      <c r="BY340" s="52">
        <v>-307.84204412817326</v>
      </c>
      <c r="BZ340" s="39">
        <v>839.41581879628552</v>
      </c>
      <c r="CA340" s="39">
        <v>6005.6243778359112</v>
      </c>
      <c r="CB340" s="52">
        <v>5166.2085590396255</v>
      </c>
      <c r="CC340" s="39">
        <v>400.94676985454868</v>
      </c>
      <c r="CD340" s="39">
        <v>395.56280994654884</v>
      </c>
      <c r="CE340" s="52">
        <v>-5.3839599079998379</v>
      </c>
      <c r="CF340" s="39">
        <v>49.358977349518305</v>
      </c>
      <c r="CG340" s="39">
        <v>0</v>
      </c>
      <c r="CH340" s="52">
        <v>-49.358977349518305</v>
      </c>
      <c r="CI340" s="39">
        <v>1734.4906664198047</v>
      </c>
      <c r="CJ340" s="39">
        <v>2047.7797408569718</v>
      </c>
      <c r="CK340" s="52">
        <v>313.28907443716707</v>
      </c>
      <c r="CL340" s="39">
        <v>0</v>
      </c>
      <c r="CM340" s="39">
        <v>0</v>
      </c>
      <c r="CN340" s="52">
        <v>0</v>
      </c>
      <c r="CO340" s="39">
        <v>1734.4906664198047</v>
      </c>
      <c r="CP340" s="40">
        <v>2047.7797408569718</v>
      </c>
      <c r="CQ340" s="52">
        <v>313.28907443716707</v>
      </c>
      <c r="CR340" s="72">
        <v>36149.990378784685</v>
      </c>
      <c r="CS340" s="5">
        <v>27826.108800213246</v>
      </c>
      <c r="CT340" s="52">
        <v>-8323.8815785714396</v>
      </c>
      <c r="CU340" s="77">
        <v>43379.988454541621</v>
      </c>
      <c r="CV340" s="65">
        <v>33391.33056025589</v>
      </c>
      <c r="CW340" s="35">
        <v>-9988.6578942857304</v>
      </c>
      <c r="CX340" s="39">
        <v>3848.98</v>
      </c>
      <c r="CY340" s="39">
        <v>13837.63789428573</v>
      </c>
      <c r="CZ340" s="52">
        <v>9988.6578942857304</v>
      </c>
      <c r="DA340" s="150">
        <v>-86355.718441327597</v>
      </c>
      <c r="DB340" s="2">
        <v>3</v>
      </c>
      <c r="DC340" s="713">
        <v>39121.42</v>
      </c>
      <c r="DD340" s="714">
        <v>44443.44</v>
      </c>
      <c r="DE340" s="715">
        <v>19388.787912576765</v>
      </c>
      <c r="DF340" s="716">
        <v>41401.578148788889</v>
      </c>
      <c r="DG340" s="717">
        <v>-75722.472544723016</v>
      </c>
      <c r="DH340" s="718">
        <v>217163.0589199164</v>
      </c>
      <c r="DI340" s="718">
        <v>566747.62145449943</v>
      </c>
      <c r="DJ340" s="693">
        <v>479351.48082085367</v>
      </c>
      <c r="DK340" s="724"/>
      <c r="DL340" s="5"/>
      <c r="DM340" s="306">
        <v>5.5088308451767816</v>
      </c>
      <c r="DN340" s="306"/>
      <c r="DO340" s="306">
        <v>4.7081085471236435</v>
      </c>
      <c r="DP340" s="719">
        <v>19732.632087423233</v>
      </c>
      <c r="DQ340" s="727">
        <v>3041.8618512111148</v>
      </c>
      <c r="DR340" s="650">
        <v>22774.493938634347</v>
      </c>
      <c r="DS340" s="94">
        <v>24454.474515907277</v>
      </c>
      <c r="DT340" s="719">
        <v>19732.54</v>
      </c>
      <c r="DU340" s="728">
        <v>3881.85</v>
      </c>
      <c r="DV340" s="93">
        <v>23614.39</v>
      </c>
      <c r="DW340" s="95">
        <v>22991.393880907057</v>
      </c>
      <c r="DX340" s="28">
        <v>622.99611909294254</v>
      </c>
      <c r="DY340" s="94"/>
      <c r="EA340" s="5">
        <v>13791.129158646852</v>
      </c>
      <c r="EB340" s="5">
        <v>6876</v>
      </c>
      <c r="EE340" s="722">
        <v>113563.3025529062</v>
      </c>
      <c r="EG340" s="42" t="s">
        <v>316</v>
      </c>
    </row>
    <row r="341" spans="1:137" x14ac:dyDescent="0.3">
      <c r="A341" s="325">
        <v>150000895</v>
      </c>
      <c r="B341" s="41" t="s">
        <v>815</v>
      </c>
      <c r="C341" s="42" t="s">
        <v>317</v>
      </c>
      <c r="D341" s="27">
        <v>5</v>
      </c>
      <c r="E341" s="709">
        <v>2741.4</v>
      </c>
      <c r="F341" s="723">
        <v>2741.4</v>
      </c>
      <c r="G341" s="28"/>
      <c r="H341" s="651">
        <v>0</v>
      </c>
      <c r="I341" s="39">
        <v>1744.3939339937453</v>
      </c>
      <c r="J341" s="39">
        <v>1653.7315533531548</v>
      </c>
      <c r="K341" s="52">
        <v>-90.662380640590527</v>
      </c>
      <c r="L341" s="39">
        <v>328.83932228390506</v>
      </c>
      <c r="M341" s="39">
        <v>284.57684936231016</v>
      </c>
      <c r="N341" s="52">
        <v>-44.262472921594906</v>
      </c>
      <c r="O341" s="39">
        <v>660.84</v>
      </c>
      <c r="P341" s="39">
        <v>660.7</v>
      </c>
      <c r="Q341" s="52">
        <v>-0.13999999999998636</v>
      </c>
      <c r="R341" s="39">
        <v>0</v>
      </c>
      <c r="S341" s="39">
        <v>0</v>
      </c>
      <c r="T341" s="52">
        <v>0</v>
      </c>
      <c r="U341" s="39">
        <v>0</v>
      </c>
      <c r="V341" s="39">
        <v>0</v>
      </c>
      <c r="W341" s="52">
        <v>0</v>
      </c>
      <c r="X341" s="39">
        <v>1146.1815444650981</v>
      </c>
      <c r="Y341" s="39">
        <v>799.2665404019931</v>
      </c>
      <c r="Z341" s="52">
        <v>-346.91500406310502</v>
      </c>
      <c r="AA341" s="39">
        <v>0</v>
      </c>
      <c r="AB341" s="39">
        <v>0</v>
      </c>
      <c r="AC341" s="52">
        <v>0</v>
      </c>
      <c r="AD341" s="39">
        <v>1953.6274275209189</v>
      </c>
      <c r="AE341" s="39">
        <v>1639.3207205748274</v>
      </c>
      <c r="AF341" s="35">
        <v>-314.30670694609148</v>
      </c>
      <c r="AG341" s="77">
        <v>5833.8822282636675</v>
      </c>
      <c r="AH341" s="53">
        <v>5037.5956636922856</v>
      </c>
      <c r="AI341" s="52">
        <v>-796.28656457138186</v>
      </c>
      <c r="AJ341" s="39">
        <v>0</v>
      </c>
      <c r="AK341" s="39">
        <v>0</v>
      </c>
      <c r="AL341" s="52">
        <v>0</v>
      </c>
      <c r="AM341" s="39">
        <v>0</v>
      </c>
      <c r="AN341" s="39">
        <v>0</v>
      </c>
      <c r="AO341" s="52">
        <v>0</v>
      </c>
      <c r="AP341" s="39">
        <v>710.2632321702373</v>
      </c>
      <c r="AQ341" s="39">
        <v>3997.9309737426756</v>
      </c>
      <c r="AR341" s="52">
        <v>3287.6677415724384</v>
      </c>
      <c r="AS341" s="39">
        <v>7473.8007231799484</v>
      </c>
      <c r="AT341" s="39">
        <v>2369</v>
      </c>
      <c r="AU341" s="54">
        <v>-5104.8007231799484</v>
      </c>
      <c r="AV341" s="39">
        <v>290.36266880217647</v>
      </c>
      <c r="AW341" s="39">
        <v>884</v>
      </c>
      <c r="AX341" s="55">
        <v>593.63733119782353</v>
      </c>
      <c r="AY341" s="39">
        <v>423.81506108451765</v>
      </c>
      <c r="AZ341" s="39">
        <v>0</v>
      </c>
      <c r="BA341" s="35">
        <v>-423.81506108451765</v>
      </c>
      <c r="BB341" s="39">
        <v>261.73110883754254</v>
      </c>
      <c r="BC341" s="39">
        <v>0</v>
      </c>
      <c r="BD341" s="55">
        <v>-261.73110883754254</v>
      </c>
      <c r="BE341" s="39">
        <v>0</v>
      </c>
      <c r="BF341" s="39">
        <v>0</v>
      </c>
      <c r="BG341" s="38">
        <v>0</v>
      </c>
      <c r="BH341" s="39">
        <v>0</v>
      </c>
      <c r="BI341" s="39">
        <v>0</v>
      </c>
      <c r="BJ341" s="55">
        <v>0</v>
      </c>
      <c r="BK341" s="39">
        <v>178.07764464286564</v>
      </c>
      <c r="BL341" s="39">
        <v>0</v>
      </c>
      <c r="BM341" s="38">
        <v>-178.07764464286564</v>
      </c>
      <c r="BN341" s="39">
        <v>0</v>
      </c>
      <c r="BO341" s="39">
        <v>0</v>
      </c>
      <c r="BP341" s="55">
        <v>0</v>
      </c>
      <c r="BQ341" s="77">
        <v>1153.9864833671022</v>
      </c>
      <c r="BR341" s="40">
        <v>884</v>
      </c>
      <c r="BS341" s="55">
        <v>-269.98648336710221</v>
      </c>
      <c r="BT341" s="39">
        <v>4605.4460976492683</v>
      </c>
      <c r="BU341" s="39">
        <v>657.92071516130716</v>
      </c>
      <c r="BV341" s="52">
        <v>-3947.525382487961</v>
      </c>
      <c r="BW341" s="39">
        <v>2988.9184716316986</v>
      </c>
      <c r="BX341" s="39">
        <v>2116.7894084770874</v>
      </c>
      <c r="BY341" s="52">
        <v>-872.12906315461123</v>
      </c>
      <c r="BZ341" s="39">
        <v>722.02164992656981</v>
      </c>
      <c r="CA341" s="39">
        <v>3719.2742049299409</v>
      </c>
      <c r="CB341" s="52">
        <v>2997.2525550033711</v>
      </c>
      <c r="CC341" s="39">
        <v>290.00487854180136</v>
      </c>
      <c r="CD341" s="39">
        <v>286.1106592673579</v>
      </c>
      <c r="CE341" s="52">
        <v>-3.8942192744434578</v>
      </c>
      <c r="CF341" s="39">
        <v>35.701358153820244</v>
      </c>
      <c r="CG341" s="39">
        <v>0</v>
      </c>
      <c r="CH341" s="52">
        <v>-35.701358153820244</v>
      </c>
      <c r="CI341" s="39">
        <v>1506.7607767639668</v>
      </c>
      <c r="CJ341" s="39">
        <v>857.49394026868333</v>
      </c>
      <c r="CK341" s="52">
        <v>-649.26683649528343</v>
      </c>
      <c r="CL341" s="39">
        <v>0</v>
      </c>
      <c r="CM341" s="39">
        <v>0</v>
      </c>
      <c r="CN341" s="52">
        <v>0</v>
      </c>
      <c r="CO341" s="39">
        <v>1506.7607767639668</v>
      </c>
      <c r="CP341" s="40">
        <v>857.49394026868333</v>
      </c>
      <c r="CQ341" s="52">
        <v>-649.26683649528343</v>
      </c>
      <c r="CR341" s="72">
        <v>25320.785899648079</v>
      </c>
      <c r="CS341" s="5">
        <v>19926.115565539334</v>
      </c>
      <c r="CT341" s="52">
        <v>-5394.670334108745</v>
      </c>
      <c r="CU341" s="77">
        <v>30384.943079577693</v>
      </c>
      <c r="CV341" s="65">
        <v>23911.3386786472</v>
      </c>
      <c r="CW341" s="35">
        <v>-6473.6044009304933</v>
      </c>
      <c r="CX341" s="39">
        <v>1519.2471539788849</v>
      </c>
      <c r="CY341" s="39">
        <v>7992.8515549093754</v>
      </c>
      <c r="CZ341" s="52">
        <v>6473.6044009304906</v>
      </c>
      <c r="DA341" s="150">
        <v>-63317.32950550456</v>
      </c>
      <c r="DB341" s="2">
        <v>3</v>
      </c>
      <c r="DC341" s="713">
        <v>30750.720000000001</v>
      </c>
      <c r="DD341" s="714"/>
      <c r="DE341" s="715">
        <v>14798.624883221712</v>
      </c>
      <c r="DF341" s="716">
        <v>0</v>
      </c>
      <c r="DG341" s="717">
        <v>-41135.654855199849</v>
      </c>
      <c r="DH341" s="718">
        <v>155317.31858767627</v>
      </c>
      <c r="DI341" s="718">
        <v>382850.28280267894</v>
      </c>
      <c r="DJ341" s="693">
        <v>325967.04174892826</v>
      </c>
      <c r="DK341" s="724"/>
      <c r="DL341" s="5"/>
      <c r="DM341" s="306">
        <v>5.8189593334713248</v>
      </c>
      <c r="DN341" s="306"/>
      <c r="DO341" s="306">
        <v>5.1320772158934558</v>
      </c>
      <c r="DP341" s="719">
        <v>15952.09511677829</v>
      </c>
      <c r="DQ341" s="720">
        <v>0</v>
      </c>
      <c r="DR341" s="650">
        <v>15952.09511677829</v>
      </c>
      <c r="DS341" s="94">
        <v>15952.09511677829</v>
      </c>
      <c r="DT341" s="719">
        <v>15947.58</v>
      </c>
      <c r="DU341" s="721"/>
      <c r="DV341" s="93">
        <v>15947.58</v>
      </c>
      <c r="DW341" s="95">
        <v>16104.019832176178</v>
      </c>
      <c r="DX341" s="28">
        <v>-156.43983217617824</v>
      </c>
      <c r="EA341" s="5">
        <v>10353.34464785646</v>
      </c>
      <c r="EB341" s="5">
        <v>3903.6</v>
      </c>
      <c r="EE341" s="722">
        <v>89685.608678159377</v>
      </c>
      <c r="EG341" s="42" t="s">
        <v>317</v>
      </c>
    </row>
    <row r="342" spans="1:137" x14ac:dyDescent="0.3">
      <c r="A342" s="325">
        <v>150000922</v>
      </c>
      <c r="B342" s="41" t="s">
        <v>816</v>
      </c>
      <c r="C342" s="42" t="s">
        <v>402</v>
      </c>
      <c r="D342" s="27">
        <v>9</v>
      </c>
      <c r="E342" s="709">
        <v>4247.05</v>
      </c>
      <c r="F342" s="723">
        <v>4247.05</v>
      </c>
      <c r="G342" s="28">
        <v>410.5</v>
      </c>
      <c r="H342" s="651">
        <v>0</v>
      </c>
      <c r="I342" s="39">
        <v>2793.4108792934157</v>
      </c>
      <c r="J342" s="39">
        <v>2653.4066924905001</v>
      </c>
      <c r="K342" s="52">
        <v>-140.00418680291568</v>
      </c>
      <c r="L342" s="39">
        <v>457.2097683695506</v>
      </c>
      <c r="M342" s="39">
        <v>395.66766203328984</v>
      </c>
      <c r="N342" s="52">
        <v>-61.542106336260758</v>
      </c>
      <c r="O342" s="39">
        <v>918.12</v>
      </c>
      <c r="P342" s="39">
        <v>918.4</v>
      </c>
      <c r="Q342" s="52">
        <v>0.27999999999997272</v>
      </c>
      <c r="R342" s="39">
        <v>228.82</v>
      </c>
      <c r="S342" s="39">
        <v>228.88</v>
      </c>
      <c r="T342" s="52">
        <v>6.0000000000002274E-2</v>
      </c>
      <c r="U342" s="39">
        <v>130.00964065633656</v>
      </c>
      <c r="V342" s="39">
        <v>77.047110649179317</v>
      </c>
      <c r="W342" s="52">
        <v>-52.962530007157241</v>
      </c>
      <c r="X342" s="39">
        <v>988.95184304512236</v>
      </c>
      <c r="Y342" s="39">
        <v>682.54614411578291</v>
      </c>
      <c r="Z342" s="52">
        <v>-306.40569892933945</v>
      </c>
      <c r="AA342" s="39">
        <v>0</v>
      </c>
      <c r="AB342" s="39">
        <v>0</v>
      </c>
      <c r="AC342" s="52">
        <v>0</v>
      </c>
      <c r="AD342" s="39">
        <v>3026.6117188490257</v>
      </c>
      <c r="AE342" s="39">
        <v>2539.6793851015254</v>
      </c>
      <c r="AF342" s="35">
        <v>-486.93233374750025</v>
      </c>
      <c r="AG342" s="77">
        <v>8543.1338502134513</v>
      </c>
      <c r="AH342" s="53">
        <v>7495.626994390278</v>
      </c>
      <c r="AI342" s="52">
        <v>-1047.5068558231733</v>
      </c>
      <c r="AJ342" s="39">
        <v>9601.5110639297945</v>
      </c>
      <c r="AK342" s="39">
        <v>9472.5588719031039</v>
      </c>
      <c r="AL342" s="52">
        <v>-128.95219202669068</v>
      </c>
      <c r="AM342" s="39">
        <v>0</v>
      </c>
      <c r="AN342" s="39">
        <v>0</v>
      </c>
      <c r="AO342" s="52">
        <v>0</v>
      </c>
      <c r="AP342" s="39">
        <v>552.42695835462905</v>
      </c>
      <c r="AQ342" s="39">
        <v>0</v>
      </c>
      <c r="AR342" s="52">
        <v>-552.42695835462905</v>
      </c>
      <c r="AS342" s="39">
        <v>11269.600750747102</v>
      </c>
      <c r="AT342" s="39">
        <v>0</v>
      </c>
      <c r="AU342" s="54">
        <v>-11269.600750747102</v>
      </c>
      <c r="AV342" s="39">
        <v>226.61705446936185</v>
      </c>
      <c r="AW342" s="39">
        <v>0</v>
      </c>
      <c r="AX342" s="55">
        <v>-226.61705446936185</v>
      </c>
      <c r="AY342" s="39">
        <v>302.29338732382973</v>
      </c>
      <c r="AZ342" s="39">
        <v>0</v>
      </c>
      <c r="BA342" s="35">
        <v>-302.29338732382973</v>
      </c>
      <c r="BB342" s="39">
        <v>385.51225731494043</v>
      </c>
      <c r="BC342" s="39">
        <v>0</v>
      </c>
      <c r="BD342" s="55">
        <v>-385.51225731494043</v>
      </c>
      <c r="BE342" s="39">
        <v>128.20842570396613</v>
      </c>
      <c r="BF342" s="39">
        <v>0</v>
      </c>
      <c r="BG342" s="38">
        <v>-128.20842570396613</v>
      </c>
      <c r="BH342" s="39">
        <v>65.961235315382794</v>
      </c>
      <c r="BI342" s="39">
        <v>0</v>
      </c>
      <c r="BJ342" s="55">
        <v>-65.961235315382794</v>
      </c>
      <c r="BK342" s="39">
        <v>110.66378371817535</v>
      </c>
      <c r="BL342" s="39">
        <v>0</v>
      </c>
      <c r="BM342" s="38">
        <v>-110.66378371817535</v>
      </c>
      <c r="BN342" s="39">
        <v>0</v>
      </c>
      <c r="BO342" s="39">
        <v>0</v>
      </c>
      <c r="BP342" s="55">
        <v>0</v>
      </c>
      <c r="BQ342" s="77">
        <v>1219.2561438456564</v>
      </c>
      <c r="BR342" s="40">
        <v>0</v>
      </c>
      <c r="BS342" s="55">
        <v>-1219.2561438456564</v>
      </c>
      <c r="BT342" s="39">
        <v>8935.2972637107687</v>
      </c>
      <c r="BU342" s="39">
        <v>2126.9042207547941</v>
      </c>
      <c r="BV342" s="52">
        <v>-6808.393042955975</v>
      </c>
      <c r="BW342" s="39">
        <v>6477.1436647426272</v>
      </c>
      <c r="BX342" s="39">
        <v>6587.5530882230623</v>
      </c>
      <c r="BY342" s="52">
        <v>110.40942348043518</v>
      </c>
      <c r="BZ342" s="39">
        <v>863.69129340262396</v>
      </c>
      <c r="CA342" s="39">
        <v>8688.7276609785895</v>
      </c>
      <c r="CB342" s="52">
        <v>7825.0363675759654</v>
      </c>
      <c r="CC342" s="39">
        <v>306.38806093618081</v>
      </c>
      <c r="CD342" s="39">
        <v>302.27384638104513</v>
      </c>
      <c r="CE342" s="52">
        <v>-4.1142145551356748</v>
      </c>
      <c r="CF342" s="39">
        <v>37.718227198582859</v>
      </c>
      <c r="CG342" s="39">
        <v>0</v>
      </c>
      <c r="CH342" s="52">
        <v>-37.718227198582859</v>
      </c>
      <c r="CI342" s="39">
        <v>2545.5834240981303</v>
      </c>
      <c r="CJ342" s="39">
        <v>3885.1007343783058</v>
      </c>
      <c r="CK342" s="52">
        <v>1339.5173102801755</v>
      </c>
      <c r="CL342" s="39">
        <v>1422.531913466602</v>
      </c>
      <c r="CM342" s="39">
        <v>1105.3582153333755</v>
      </c>
      <c r="CN342" s="52">
        <v>-317.17369813322648</v>
      </c>
      <c r="CO342" s="39">
        <v>3968.1153375647323</v>
      </c>
      <c r="CP342" s="40">
        <v>4990.4589497116813</v>
      </c>
      <c r="CQ342" s="52">
        <v>1022.343612146949</v>
      </c>
      <c r="CR342" s="72">
        <v>51774.282614646159</v>
      </c>
      <c r="CS342" s="5">
        <v>39664.103632342558</v>
      </c>
      <c r="CT342" s="52">
        <v>-12110.178982303602</v>
      </c>
      <c r="CU342" s="77">
        <v>62129.139137575388</v>
      </c>
      <c r="CV342" s="65">
        <v>47596.924358811069</v>
      </c>
      <c r="CW342" s="35">
        <v>-14532.214778764319</v>
      </c>
      <c r="CX342" s="39">
        <v>931.93708706363077</v>
      </c>
      <c r="CY342" s="39">
        <v>15464.151865827956</v>
      </c>
      <c r="CZ342" s="52">
        <v>14532.214778764326</v>
      </c>
      <c r="DA342" s="150">
        <v>-65063.707944214155</v>
      </c>
      <c r="DB342" s="2">
        <v>3</v>
      </c>
      <c r="DC342" s="713">
        <v>46561.09</v>
      </c>
      <c r="DD342" s="714"/>
      <c r="DE342" s="715">
        <v>15030.551887680485</v>
      </c>
      <c r="DF342" s="716">
        <v>0</v>
      </c>
      <c r="DG342" s="717">
        <v>2116.3833129715458</v>
      </c>
      <c r="DH342" s="718">
        <v>307234.34202540515</v>
      </c>
      <c r="DI342" s="718">
        <v>756732.91469566827</v>
      </c>
      <c r="DJ342" s="693">
        <v>644358.27152810246</v>
      </c>
      <c r="DK342" s="724"/>
      <c r="DL342" s="5"/>
      <c r="DM342" s="306">
        <v>5.8433255881341406</v>
      </c>
      <c r="DN342" s="306">
        <v>7.593242094691961</v>
      </c>
      <c r="DO342" s="306">
        <v>4.9145443183519957</v>
      </c>
      <c r="DP342" s="719">
        <v>31530.538112319511</v>
      </c>
      <c r="DQ342" s="720">
        <v>0</v>
      </c>
      <c r="DR342" s="650">
        <v>31530.538112319511</v>
      </c>
      <c r="DS342" s="94">
        <v>31530.538112319511</v>
      </c>
      <c r="DT342" s="719">
        <v>31520.02</v>
      </c>
      <c r="DU342" s="721"/>
      <c r="DV342" s="93">
        <v>31520.02</v>
      </c>
      <c r="DW342" s="95">
        <v>31623.731821025871</v>
      </c>
      <c r="DX342" s="28">
        <v>-103.71182102587045</v>
      </c>
      <c r="EA342" s="5">
        <v>14986.628273511309</v>
      </c>
      <c r="EB342" s="5">
        <v>0</v>
      </c>
      <c r="EE342" s="722">
        <v>135235.20900896523</v>
      </c>
      <c r="EG342" s="42" t="s">
        <v>402</v>
      </c>
    </row>
    <row r="343" spans="1:137" x14ac:dyDescent="0.3">
      <c r="A343" s="325">
        <v>150000896</v>
      </c>
      <c r="B343" s="41" t="s">
        <v>817</v>
      </c>
      <c r="C343" s="42" t="s">
        <v>318</v>
      </c>
      <c r="D343" s="27">
        <v>5</v>
      </c>
      <c r="E343" s="709">
        <v>2712.05</v>
      </c>
      <c r="F343" s="723">
        <v>2712.05</v>
      </c>
      <c r="G343" s="28"/>
      <c r="H343" s="651">
        <v>0</v>
      </c>
      <c r="I343" s="39">
        <v>1767.0056145677497</v>
      </c>
      <c r="J343" s="39">
        <v>1674.3343015698438</v>
      </c>
      <c r="K343" s="52">
        <v>-92.671312997905943</v>
      </c>
      <c r="L343" s="39">
        <v>332.43932844451967</v>
      </c>
      <c r="M343" s="39">
        <v>287.69234276414704</v>
      </c>
      <c r="N343" s="52">
        <v>-44.746985680372632</v>
      </c>
      <c r="O343" s="39">
        <v>678.94</v>
      </c>
      <c r="P343" s="39">
        <v>678.94</v>
      </c>
      <c r="Q343" s="52">
        <v>0</v>
      </c>
      <c r="R343" s="39">
        <v>0</v>
      </c>
      <c r="S343" s="39">
        <v>0</v>
      </c>
      <c r="T343" s="52">
        <v>0</v>
      </c>
      <c r="U343" s="39">
        <v>0</v>
      </c>
      <c r="V343" s="39">
        <v>0</v>
      </c>
      <c r="W343" s="52">
        <v>0</v>
      </c>
      <c r="X343" s="39">
        <v>1179.7864252704626</v>
      </c>
      <c r="Y343" s="39">
        <v>824.20941764677559</v>
      </c>
      <c r="Z343" s="52">
        <v>-355.577007623687</v>
      </c>
      <c r="AA343" s="39">
        <v>0</v>
      </c>
      <c r="AB343" s="39">
        <v>0</v>
      </c>
      <c r="AC343" s="52">
        <v>0</v>
      </c>
      <c r="AD343" s="39">
        <v>1932.7114849376626</v>
      </c>
      <c r="AE343" s="39">
        <v>1621.7698111311597</v>
      </c>
      <c r="AF343" s="35">
        <v>-310.94167380650288</v>
      </c>
      <c r="AG343" s="77">
        <v>5890.8828532203952</v>
      </c>
      <c r="AH343" s="53">
        <v>5086.9458731119266</v>
      </c>
      <c r="AI343" s="52">
        <v>-803.93698010846856</v>
      </c>
      <c r="AJ343" s="39">
        <v>0</v>
      </c>
      <c r="AK343" s="39">
        <v>0</v>
      </c>
      <c r="AL343" s="52">
        <v>0</v>
      </c>
      <c r="AM343" s="39">
        <v>0</v>
      </c>
      <c r="AN343" s="39">
        <v>0</v>
      </c>
      <c r="AO343" s="52">
        <v>0</v>
      </c>
      <c r="AP343" s="39">
        <v>710.2632321702373</v>
      </c>
      <c r="AQ343" s="39">
        <v>0</v>
      </c>
      <c r="AR343" s="52">
        <v>-710.2632321702373</v>
      </c>
      <c r="AS343" s="39">
        <v>7432.7519527779668</v>
      </c>
      <c r="AT343" s="39">
        <v>349.36952281777462</v>
      </c>
      <c r="AU343" s="54">
        <v>-7083.382429960192</v>
      </c>
      <c r="AV343" s="39">
        <v>295.42726748454351</v>
      </c>
      <c r="AW343" s="39">
        <v>0</v>
      </c>
      <c r="AX343" s="55">
        <v>-295.42726748454351</v>
      </c>
      <c r="AY343" s="39">
        <v>428.45713760025609</v>
      </c>
      <c r="AZ343" s="39">
        <v>0</v>
      </c>
      <c r="BA343" s="35">
        <v>-428.45713760025609</v>
      </c>
      <c r="BB343" s="39">
        <v>308.57612691882474</v>
      </c>
      <c r="BC343" s="39">
        <v>0</v>
      </c>
      <c r="BD343" s="55">
        <v>-308.57612691882474</v>
      </c>
      <c r="BE343" s="39">
        <v>0</v>
      </c>
      <c r="BF343" s="39">
        <v>0</v>
      </c>
      <c r="BG343" s="38">
        <v>0</v>
      </c>
      <c r="BH343" s="39">
        <v>0</v>
      </c>
      <c r="BI343" s="39">
        <v>0</v>
      </c>
      <c r="BJ343" s="55">
        <v>0</v>
      </c>
      <c r="BK343" s="39">
        <v>215.60581703809186</v>
      </c>
      <c r="BL343" s="39">
        <v>0</v>
      </c>
      <c r="BM343" s="38">
        <v>-215.60581703809186</v>
      </c>
      <c r="BN343" s="39">
        <v>0</v>
      </c>
      <c r="BO343" s="39">
        <v>0</v>
      </c>
      <c r="BP343" s="55">
        <v>0</v>
      </c>
      <c r="BQ343" s="77">
        <v>1248.0663490417162</v>
      </c>
      <c r="BR343" s="40">
        <v>0</v>
      </c>
      <c r="BS343" s="55">
        <v>-1248.0663490417162</v>
      </c>
      <c r="BT343" s="39">
        <v>5196.4193784783765</v>
      </c>
      <c r="BU343" s="39">
        <v>737.7073283762744</v>
      </c>
      <c r="BV343" s="52">
        <v>-4458.7120501021018</v>
      </c>
      <c r="BW343" s="39">
        <v>3017.3154900401701</v>
      </c>
      <c r="BX343" s="39">
        <v>2118.0305268395477</v>
      </c>
      <c r="BY343" s="52">
        <v>-899.28496320062231</v>
      </c>
      <c r="BZ343" s="39">
        <v>843.33951584256852</v>
      </c>
      <c r="CA343" s="39">
        <v>4156.2164806346236</v>
      </c>
      <c r="CB343" s="52">
        <v>3312.8769647920553</v>
      </c>
      <c r="CC343" s="39">
        <v>290.18626027387558</v>
      </c>
      <c r="CD343" s="39">
        <v>286.28960538441549</v>
      </c>
      <c r="CE343" s="52">
        <v>-3.8966548894600805</v>
      </c>
      <c r="CF343" s="39">
        <v>35.72368734432181</v>
      </c>
      <c r="CG343" s="39">
        <v>0</v>
      </c>
      <c r="CH343" s="52">
        <v>-35.72368734432181</v>
      </c>
      <c r="CI343" s="39">
        <v>2377.1256975034007</v>
      </c>
      <c r="CJ343" s="39">
        <v>5775.7341974699948</v>
      </c>
      <c r="CK343" s="52">
        <v>3398.6084999665941</v>
      </c>
      <c r="CL343" s="39">
        <v>0</v>
      </c>
      <c r="CM343" s="39">
        <v>0</v>
      </c>
      <c r="CN343" s="52">
        <v>0</v>
      </c>
      <c r="CO343" s="39">
        <v>2377.1256975034007</v>
      </c>
      <c r="CP343" s="40">
        <v>5775.7341974699948</v>
      </c>
      <c r="CQ343" s="52">
        <v>3398.6084999665941</v>
      </c>
      <c r="CR343" s="72">
        <v>27042.074416693031</v>
      </c>
      <c r="CS343" s="5">
        <v>18510.293534634558</v>
      </c>
      <c r="CT343" s="52">
        <v>-8531.7808820584723</v>
      </c>
      <c r="CU343" s="77">
        <v>32450.489300031637</v>
      </c>
      <c r="CV343" s="65">
        <v>22212.352241561468</v>
      </c>
      <c r="CW343" s="35">
        <v>-10238.137058470169</v>
      </c>
      <c r="CX343" s="39">
        <v>1622.524465001582</v>
      </c>
      <c r="CY343" s="39">
        <v>11860.66152347175</v>
      </c>
      <c r="CZ343" s="52">
        <v>10238.137058470169</v>
      </c>
      <c r="DA343" s="150">
        <v>52653.170859726117</v>
      </c>
      <c r="DB343" s="2">
        <v>3</v>
      </c>
      <c r="DC343" s="713">
        <v>51599.040000000001</v>
      </c>
      <c r="DD343" s="714"/>
      <c r="DE343" s="715">
        <v>34562.533117483392</v>
      </c>
      <c r="DF343" s="716">
        <v>0</v>
      </c>
      <c r="DG343" s="717">
        <v>-62945.037998928514</v>
      </c>
      <c r="DH343" s="718">
        <v>165882.29165691294</v>
      </c>
      <c r="DI343" s="718">
        <v>408876.16518039862</v>
      </c>
      <c r="DJ343" s="693">
        <v>348127.69679952721</v>
      </c>
      <c r="DK343" s="724"/>
      <c r="DL343" s="5"/>
      <c r="DM343" s="306">
        <v>6.2817820034721361</v>
      </c>
      <c r="DN343" s="306"/>
      <c r="DO343" s="306">
        <v>5.580869867366494</v>
      </c>
      <c r="DP343" s="719">
        <v>17036.506882516609</v>
      </c>
      <c r="DQ343" s="720">
        <v>0</v>
      </c>
      <c r="DR343" s="650">
        <v>17036.506882516609</v>
      </c>
      <c r="DS343" s="94">
        <v>17036.506882516609</v>
      </c>
      <c r="DT343" s="719">
        <v>17035.310000000001</v>
      </c>
      <c r="DU343" s="721"/>
      <c r="DV343" s="93">
        <v>17035.310000000001</v>
      </c>
      <c r="DW343" s="95">
        <v>17198.759329016768</v>
      </c>
      <c r="DX343" s="28">
        <v>-163.44932901676657</v>
      </c>
      <c r="EA343" s="5">
        <v>10416.98196218362</v>
      </c>
      <c r="EB343" s="5">
        <v>419.24342738132952</v>
      </c>
      <c r="EE343" s="722">
        <v>89193.023433335606</v>
      </c>
      <c r="EG343" s="42" t="s">
        <v>318</v>
      </c>
    </row>
    <row r="344" spans="1:137" x14ac:dyDescent="0.3">
      <c r="A344" s="325">
        <v>150000898</v>
      </c>
      <c r="B344" s="41" t="s">
        <v>818</v>
      </c>
      <c r="C344" s="42" t="s">
        <v>191</v>
      </c>
      <c r="D344" s="27">
        <v>2</v>
      </c>
      <c r="E344" s="709">
        <v>472.1</v>
      </c>
      <c r="F344" s="723">
        <v>472.1</v>
      </c>
      <c r="G344" s="28"/>
      <c r="H344" s="651">
        <v>0</v>
      </c>
      <c r="I344" s="39">
        <v>323.39899114313721</v>
      </c>
      <c r="J344" s="39">
        <v>306.81225217441931</v>
      </c>
      <c r="K344" s="52">
        <v>-16.586738968717896</v>
      </c>
      <c r="L344" s="39">
        <v>73.481016897145366</v>
      </c>
      <c r="M344" s="39">
        <v>63.590207790918129</v>
      </c>
      <c r="N344" s="52">
        <v>-9.8908091062272376</v>
      </c>
      <c r="O344" s="39">
        <v>107.22</v>
      </c>
      <c r="P344" s="39">
        <v>107.24</v>
      </c>
      <c r="Q344" s="52">
        <v>1.9999999999996021E-2</v>
      </c>
      <c r="R344" s="39">
        <v>0</v>
      </c>
      <c r="S344" s="39">
        <v>0</v>
      </c>
      <c r="T344" s="52">
        <v>0</v>
      </c>
      <c r="U344" s="39">
        <v>0</v>
      </c>
      <c r="V344" s="39">
        <v>0</v>
      </c>
      <c r="W344" s="52">
        <v>0</v>
      </c>
      <c r="X344" s="39">
        <v>123.36109996059983</v>
      </c>
      <c r="Y344" s="39">
        <v>80.042424183020543</v>
      </c>
      <c r="Z344" s="52">
        <v>-43.318675777579287</v>
      </c>
      <c r="AA344" s="39">
        <v>0</v>
      </c>
      <c r="AB344" s="39">
        <v>0</v>
      </c>
      <c r="AC344" s="52">
        <v>0</v>
      </c>
      <c r="AD344" s="39">
        <v>336.43667780427</v>
      </c>
      <c r="AE344" s="39">
        <v>282.30951783153716</v>
      </c>
      <c r="AF344" s="35">
        <v>-54.127159972732841</v>
      </c>
      <c r="AG344" s="77">
        <v>963.89778580515235</v>
      </c>
      <c r="AH344" s="53">
        <v>839.9944019798952</v>
      </c>
      <c r="AI344" s="52">
        <v>-123.90338382525715</v>
      </c>
      <c r="AJ344" s="39">
        <v>0</v>
      </c>
      <c r="AK344" s="39">
        <v>0</v>
      </c>
      <c r="AL344" s="52">
        <v>0</v>
      </c>
      <c r="AM344" s="39">
        <v>0</v>
      </c>
      <c r="AN344" s="39">
        <v>0</v>
      </c>
      <c r="AO344" s="52">
        <v>0</v>
      </c>
      <c r="AP344" s="39">
        <v>252.53803810497325</v>
      </c>
      <c r="AQ344" s="39">
        <v>0</v>
      </c>
      <c r="AR344" s="52">
        <v>-252.53803810497325</v>
      </c>
      <c r="AS344" s="39">
        <v>1172.2516068596362</v>
      </c>
      <c r="AT344" s="39">
        <v>0</v>
      </c>
      <c r="AU344" s="54">
        <v>-1172.2516068596362</v>
      </c>
      <c r="AV344" s="39">
        <v>60.429984657058824</v>
      </c>
      <c r="AW344" s="39">
        <v>0</v>
      </c>
      <c r="AX344" s="55">
        <v>-60.429984657058824</v>
      </c>
      <c r="AY344" s="39">
        <v>94.724978012500713</v>
      </c>
      <c r="AZ344" s="39">
        <v>0</v>
      </c>
      <c r="BA344" s="35">
        <v>-94.724978012500713</v>
      </c>
      <c r="BB344" s="39">
        <v>31.502063628871475</v>
      </c>
      <c r="BC344" s="39">
        <v>0</v>
      </c>
      <c r="BD344" s="55">
        <v>-31.502063628871475</v>
      </c>
      <c r="BE344" s="39">
        <v>0</v>
      </c>
      <c r="BF344" s="39">
        <v>0</v>
      </c>
      <c r="BG344" s="38">
        <v>0</v>
      </c>
      <c r="BH344" s="39">
        <v>0</v>
      </c>
      <c r="BI344" s="39">
        <v>0</v>
      </c>
      <c r="BJ344" s="55">
        <v>0</v>
      </c>
      <c r="BK344" s="39">
        <v>9.8614283025793927</v>
      </c>
      <c r="BL344" s="39">
        <v>0</v>
      </c>
      <c r="BM344" s="38">
        <v>-9.8614283025793927</v>
      </c>
      <c r="BN344" s="39">
        <v>0</v>
      </c>
      <c r="BO344" s="39">
        <v>0</v>
      </c>
      <c r="BP344" s="55">
        <v>0</v>
      </c>
      <c r="BQ344" s="77">
        <v>196.5184546010104</v>
      </c>
      <c r="BR344" s="40">
        <v>0</v>
      </c>
      <c r="BS344" s="55">
        <v>-196.5184546010104</v>
      </c>
      <c r="BT344" s="39">
        <v>797.16932296984749</v>
      </c>
      <c r="BU344" s="39">
        <v>117.22721057267917</v>
      </c>
      <c r="BV344" s="52">
        <v>-679.94211239716833</v>
      </c>
      <c r="BW344" s="39">
        <v>614.89401467262894</v>
      </c>
      <c r="BX344" s="39">
        <v>397.23933098823755</v>
      </c>
      <c r="BY344" s="52">
        <v>-217.65468368439139</v>
      </c>
      <c r="BZ344" s="39">
        <v>91.15684574023561</v>
      </c>
      <c r="CA344" s="39">
        <v>679.09935469783613</v>
      </c>
      <c r="CB344" s="52">
        <v>587.94250895760047</v>
      </c>
      <c r="CC344" s="39">
        <v>0</v>
      </c>
      <c r="CD344" s="39">
        <v>0</v>
      </c>
      <c r="CE344" s="52">
        <v>0</v>
      </c>
      <c r="CF344" s="39">
        <v>0</v>
      </c>
      <c r="CG344" s="39">
        <v>0</v>
      </c>
      <c r="CH344" s="52">
        <v>0</v>
      </c>
      <c r="CI344" s="39">
        <v>215.25153953770956</v>
      </c>
      <c r="CJ344" s="39">
        <v>220.11237233856971</v>
      </c>
      <c r="CK344" s="52">
        <v>4.8608328008601518</v>
      </c>
      <c r="CL344" s="39">
        <v>0</v>
      </c>
      <c r="CM344" s="39">
        <v>0</v>
      </c>
      <c r="CN344" s="52">
        <v>0</v>
      </c>
      <c r="CO344" s="39">
        <v>215.25153953770956</v>
      </c>
      <c r="CP344" s="40">
        <v>220.11237233856971</v>
      </c>
      <c r="CQ344" s="52">
        <v>4.8608328008601518</v>
      </c>
      <c r="CR344" s="72">
        <v>4303.6776082911938</v>
      </c>
      <c r="CS344" s="5">
        <v>2253.672670577218</v>
      </c>
      <c r="CT344" s="52">
        <v>-2050.0049377139758</v>
      </c>
      <c r="CU344" s="77">
        <v>5164.413129949432</v>
      </c>
      <c r="CV344" s="65">
        <v>2704.4072046926617</v>
      </c>
      <c r="CW344" s="35">
        <v>-2460.0059252567703</v>
      </c>
      <c r="CX344" s="39">
        <v>0</v>
      </c>
      <c r="CY344" s="39">
        <v>2460.0059252567708</v>
      </c>
      <c r="CZ344" s="52">
        <v>2460.0059252567708</v>
      </c>
      <c r="DA344" s="150">
        <v>-22533.979817829408</v>
      </c>
      <c r="DB344" s="2">
        <v>3</v>
      </c>
      <c r="DC344" s="713">
        <v>3230.36</v>
      </c>
      <c r="DD344" s="714"/>
      <c r="DE344" s="715">
        <v>648.15343502528322</v>
      </c>
      <c r="DF344" s="716">
        <v>0</v>
      </c>
      <c r="DG344" s="717">
        <v>-10825.53275336403</v>
      </c>
      <c r="DH344" s="718">
        <v>24734.237125437296</v>
      </c>
      <c r="DI344" s="718">
        <v>61972.95755939318</v>
      </c>
      <c r="DJ344" s="693">
        <v>52663.277450904206</v>
      </c>
      <c r="DK344" s="724"/>
      <c r="DL344" s="5"/>
      <c r="DM344" s="306">
        <v>5.4696178033779219</v>
      </c>
      <c r="DN344" s="306"/>
      <c r="DO344" s="306">
        <v>4.6881384371343771</v>
      </c>
      <c r="DP344" s="719">
        <v>2582.2065649747169</v>
      </c>
      <c r="DQ344" s="720">
        <v>0</v>
      </c>
      <c r="DR344" s="650">
        <v>2582.2065649747169</v>
      </c>
      <c r="DS344" s="94">
        <v>2582.2065649747151</v>
      </c>
      <c r="DT344" s="719">
        <v>2582.21</v>
      </c>
      <c r="DU344" s="721"/>
      <c r="DV344" s="93">
        <v>2582.21</v>
      </c>
      <c r="DW344" s="95">
        <v>2582.206564974716</v>
      </c>
      <c r="DX344" s="28">
        <v>3.4350252840340545E-3</v>
      </c>
      <c r="EA344" s="5">
        <v>1642.5240737527761</v>
      </c>
      <c r="EB344" s="5">
        <v>0</v>
      </c>
      <c r="EE344" s="722">
        <v>14067.019282315636</v>
      </c>
      <c r="EG344" s="42" t="s">
        <v>191</v>
      </c>
    </row>
    <row r="345" spans="1:137" x14ac:dyDescent="0.3">
      <c r="A345" s="325">
        <v>150000899</v>
      </c>
      <c r="B345" s="41" t="s">
        <v>819</v>
      </c>
      <c r="C345" s="42" t="s">
        <v>403</v>
      </c>
      <c r="D345" s="27">
        <v>9</v>
      </c>
      <c r="E345" s="709">
        <v>6212</v>
      </c>
      <c r="F345" s="723">
        <v>6212</v>
      </c>
      <c r="G345" s="28">
        <v>656.15</v>
      </c>
      <c r="H345" s="651">
        <v>0</v>
      </c>
      <c r="I345" s="39">
        <v>4259.6072769604034</v>
      </c>
      <c r="J345" s="39">
        <v>4044.6924850761475</v>
      </c>
      <c r="K345" s="52">
        <v>-214.91479188425592</v>
      </c>
      <c r="L345" s="39">
        <v>688.69978930805587</v>
      </c>
      <c r="M345" s="39">
        <v>595.99815557058503</v>
      </c>
      <c r="N345" s="52">
        <v>-92.701633737470843</v>
      </c>
      <c r="O345" s="39">
        <v>1333.2</v>
      </c>
      <c r="P345" s="39">
        <v>1333.28</v>
      </c>
      <c r="Q345" s="52">
        <v>7.999999999992724E-2</v>
      </c>
      <c r="R345" s="39">
        <v>326.36</v>
      </c>
      <c r="S345" s="39">
        <v>326.08</v>
      </c>
      <c r="T345" s="52">
        <v>-0.28000000000002956</v>
      </c>
      <c r="U345" s="39">
        <v>195.03873136964788</v>
      </c>
      <c r="V345" s="39">
        <v>115.58527483054735</v>
      </c>
      <c r="W345" s="52">
        <v>-79.453456539100529</v>
      </c>
      <c r="X345" s="39">
        <v>1632.1620602731828</v>
      </c>
      <c r="Y345" s="39">
        <v>1146.2163520840741</v>
      </c>
      <c r="Z345" s="52">
        <v>-485.9457081891087</v>
      </c>
      <c r="AA345" s="39">
        <v>0</v>
      </c>
      <c r="AB345" s="39">
        <v>0</v>
      </c>
      <c r="AC345" s="52">
        <v>0</v>
      </c>
      <c r="AD345" s="39">
        <v>4426.9109140439004</v>
      </c>
      <c r="AE345" s="39">
        <v>3714.6933377875639</v>
      </c>
      <c r="AF345" s="35">
        <v>-712.21757625633654</v>
      </c>
      <c r="AG345" s="77">
        <v>12861.97877195519</v>
      </c>
      <c r="AH345" s="53">
        <v>11276.545605348918</v>
      </c>
      <c r="AI345" s="52">
        <v>-1585.4331666062717</v>
      </c>
      <c r="AJ345" s="39">
        <v>14498.92924377405</v>
      </c>
      <c r="AK345" s="39">
        <v>14304.213950220048</v>
      </c>
      <c r="AL345" s="52">
        <v>-194.71529355400162</v>
      </c>
      <c r="AM345" s="39">
        <v>0</v>
      </c>
      <c r="AN345" s="39">
        <v>0</v>
      </c>
      <c r="AO345" s="52">
        <v>0</v>
      </c>
      <c r="AP345" s="39">
        <v>883.88313336740646</v>
      </c>
      <c r="AQ345" s="39">
        <v>0</v>
      </c>
      <c r="AR345" s="52">
        <v>-883.88313336740646</v>
      </c>
      <c r="AS345" s="39">
        <v>16723.939383678033</v>
      </c>
      <c r="AT345" s="39">
        <v>0</v>
      </c>
      <c r="AU345" s="54">
        <v>-16723.939383678033</v>
      </c>
      <c r="AV345" s="39">
        <v>340.96883158200427</v>
      </c>
      <c r="AW345" s="39">
        <v>0</v>
      </c>
      <c r="AX345" s="55">
        <v>-340.96883158200427</v>
      </c>
      <c r="AY345" s="39">
        <v>455.31679837177501</v>
      </c>
      <c r="AZ345" s="39">
        <v>0</v>
      </c>
      <c r="BA345" s="35">
        <v>-455.31679837177501</v>
      </c>
      <c r="BB345" s="39">
        <v>555.88466136810791</v>
      </c>
      <c r="BC345" s="39">
        <v>0</v>
      </c>
      <c r="BD345" s="55">
        <v>-555.88466136810791</v>
      </c>
      <c r="BE345" s="39">
        <v>181.65122486457074</v>
      </c>
      <c r="BF345" s="39">
        <v>0</v>
      </c>
      <c r="BG345" s="38">
        <v>-181.65122486457074</v>
      </c>
      <c r="BH345" s="39">
        <v>98.941812127749259</v>
      </c>
      <c r="BI345" s="39">
        <v>0</v>
      </c>
      <c r="BJ345" s="55">
        <v>-98.941812127749259</v>
      </c>
      <c r="BK345" s="39">
        <v>140.16379835239022</v>
      </c>
      <c r="BL345" s="39">
        <v>0</v>
      </c>
      <c r="BM345" s="38">
        <v>-140.16379835239022</v>
      </c>
      <c r="BN345" s="39">
        <v>0</v>
      </c>
      <c r="BO345" s="39">
        <v>0</v>
      </c>
      <c r="BP345" s="55">
        <v>0</v>
      </c>
      <c r="BQ345" s="77">
        <v>1772.9271266665976</v>
      </c>
      <c r="BR345" s="40">
        <v>0</v>
      </c>
      <c r="BS345" s="55">
        <v>-1772.9271266665976</v>
      </c>
      <c r="BT345" s="39">
        <v>15985.39400729447</v>
      </c>
      <c r="BU345" s="39">
        <v>3763.1990282201141</v>
      </c>
      <c r="BV345" s="52">
        <v>-12222.194979074357</v>
      </c>
      <c r="BW345" s="39">
        <v>8388.5472129932186</v>
      </c>
      <c r="BX345" s="39">
        <v>8518.2715401823334</v>
      </c>
      <c r="BY345" s="52">
        <v>129.72432718911477</v>
      </c>
      <c r="BZ345" s="39">
        <v>800.67411219931682</v>
      </c>
      <c r="CA345" s="39">
        <v>14919.507700359238</v>
      </c>
      <c r="CB345" s="52">
        <v>14118.833588159921</v>
      </c>
      <c r="CC345" s="39">
        <v>322.56535055361115</v>
      </c>
      <c r="CD345" s="39">
        <v>318.23390546996438</v>
      </c>
      <c r="CE345" s="52">
        <v>-4.3314450836467699</v>
      </c>
      <c r="CF345" s="39">
        <v>39.70974959466804</v>
      </c>
      <c r="CG345" s="39">
        <v>0</v>
      </c>
      <c r="CH345" s="52">
        <v>-39.70974959466804</v>
      </c>
      <c r="CI345" s="39">
        <v>5764.9977545751781</v>
      </c>
      <c r="CJ345" s="39">
        <v>3970.6539916874822</v>
      </c>
      <c r="CK345" s="52">
        <v>-1794.3437628876959</v>
      </c>
      <c r="CL345" s="39">
        <v>2480.0720859779581</v>
      </c>
      <c r="CM345" s="39">
        <v>2010.4468256545483</v>
      </c>
      <c r="CN345" s="52">
        <v>-469.62526032340975</v>
      </c>
      <c r="CO345" s="39">
        <v>8245.0698405531366</v>
      </c>
      <c r="CP345" s="40">
        <v>5981.1008173420305</v>
      </c>
      <c r="CQ345" s="52">
        <v>-2263.9690232111061</v>
      </c>
      <c r="CR345" s="72">
        <v>80523.617932629684</v>
      </c>
      <c r="CS345" s="5">
        <v>59081.072547142641</v>
      </c>
      <c r="CT345" s="52">
        <v>-21442.545385487043</v>
      </c>
      <c r="CU345" s="77">
        <v>96628.341519155612</v>
      </c>
      <c r="CV345" s="65">
        <v>70897.287056571164</v>
      </c>
      <c r="CW345" s="35">
        <v>-25731.054462584449</v>
      </c>
      <c r="CX345" s="39">
        <v>1449.4251227873342</v>
      </c>
      <c r="CY345" s="39">
        <v>27180.479585371766</v>
      </c>
      <c r="CZ345" s="52">
        <v>25731.05446258443</v>
      </c>
      <c r="DA345" s="150">
        <v>3866.5298820727548</v>
      </c>
      <c r="DB345" s="2">
        <v>3</v>
      </c>
      <c r="DC345" s="713">
        <v>109057.85</v>
      </c>
      <c r="DD345" s="714"/>
      <c r="DE345" s="715">
        <v>60018.966679028534</v>
      </c>
      <c r="DF345" s="716">
        <v>0</v>
      </c>
      <c r="DG345" s="717">
        <v>94880.460033200419</v>
      </c>
      <c r="DH345" s="718">
        <v>476792.7697684564</v>
      </c>
      <c r="DI345" s="718">
        <v>1176933.1997033153</v>
      </c>
      <c r="DJ345" s="693">
        <v>1001898.0922196006</v>
      </c>
      <c r="DK345" s="724"/>
      <c r="DL345" s="5"/>
      <c r="DM345" s="306">
        <v>6.2296637976742595</v>
      </c>
      <c r="DN345" s="306">
        <v>8.0908032830489489</v>
      </c>
      <c r="DO345" s="306">
        <v>5.4072836861622067</v>
      </c>
      <c r="DP345" s="719">
        <v>49038.883320971472</v>
      </c>
      <c r="DQ345" s="720">
        <v>0</v>
      </c>
      <c r="DR345" s="650">
        <v>49038.883320971472</v>
      </c>
      <c r="DS345" s="94">
        <v>49038.883320971472</v>
      </c>
      <c r="DT345" s="719">
        <v>49037.58</v>
      </c>
      <c r="DU345" s="721"/>
      <c r="DV345" s="93">
        <v>49037.58</v>
      </c>
      <c r="DW345" s="95">
        <v>49183.825833250208</v>
      </c>
      <c r="DX345" s="28">
        <v>-146.24583325020649</v>
      </c>
      <c r="EA345" s="5">
        <v>22196.239812413554</v>
      </c>
      <c r="EB345" s="5">
        <v>0</v>
      </c>
      <c r="EE345" s="722">
        <v>200687.27260413638</v>
      </c>
      <c r="EG345" s="42" t="s">
        <v>403</v>
      </c>
    </row>
    <row r="346" spans="1:137" x14ac:dyDescent="0.3">
      <c r="A346" s="325">
        <v>150000900</v>
      </c>
      <c r="B346" s="41" t="s">
        <v>820</v>
      </c>
      <c r="C346" s="42" t="s">
        <v>426</v>
      </c>
      <c r="D346" s="27">
        <v>14</v>
      </c>
      <c r="E346" s="709">
        <v>4357.8100000000004</v>
      </c>
      <c r="F346" s="723">
        <v>3895.01</v>
      </c>
      <c r="G346" s="28">
        <v>0</v>
      </c>
      <c r="H346" s="651">
        <v>462.8</v>
      </c>
      <c r="I346" s="39">
        <v>1899.7820676313297</v>
      </c>
      <c r="J346" s="39">
        <v>1805.1382432754908</v>
      </c>
      <c r="K346" s="52">
        <v>-94.643824355838888</v>
      </c>
      <c r="L346" s="39">
        <v>245.00659052847635</v>
      </c>
      <c r="M346" s="39">
        <v>212.02426329213506</v>
      </c>
      <c r="N346" s="52">
        <v>-32.982327236341291</v>
      </c>
      <c r="O346" s="39">
        <v>857.58</v>
      </c>
      <c r="P346" s="39">
        <v>857.66</v>
      </c>
      <c r="Q346" s="52">
        <v>7.999999999992724E-2</v>
      </c>
      <c r="R346" s="39">
        <v>218.1</v>
      </c>
      <c r="S346" s="39">
        <v>217.86</v>
      </c>
      <c r="T346" s="52">
        <v>-0.23999999999998067</v>
      </c>
      <c r="U346" s="39">
        <v>132.96775194679549</v>
      </c>
      <c r="V346" s="39">
        <v>78.800173462584979</v>
      </c>
      <c r="W346" s="52">
        <v>-54.167578484210509</v>
      </c>
      <c r="X346" s="39">
        <v>931.88644126591032</v>
      </c>
      <c r="Y346" s="39">
        <v>640.54738182083111</v>
      </c>
      <c r="Z346" s="52">
        <v>-291.33905944507922</v>
      </c>
      <c r="AA346" s="39">
        <v>0</v>
      </c>
      <c r="AB346" s="39">
        <v>0</v>
      </c>
      <c r="AC346" s="52">
        <v>0</v>
      </c>
      <c r="AD346" s="39">
        <v>3105.5435689519722</v>
      </c>
      <c r="AE346" s="39">
        <v>2605.9123912337454</v>
      </c>
      <c r="AF346" s="35">
        <v>-499.63117771822681</v>
      </c>
      <c r="AG346" s="77">
        <v>7390.8664203244844</v>
      </c>
      <c r="AH346" s="53">
        <v>6417.9424530847873</v>
      </c>
      <c r="AI346" s="52">
        <v>-972.92396723969705</v>
      </c>
      <c r="AJ346" s="39">
        <v>6306.9592395271629</v>
      </c>
      <c r="AK346" s="39">
        <v>6222.2686565370022</v>
      </c>
      <c r="AL346" s="52">
        <v>-84.690582990160692</v>
      </c>
      <c r="AM346" s="39">
        <v>0</v>
      </c>
      <c r="AN346" s="39">
        <v>0</v>
      </c>
      <c r="AO346" s="52">
        <v>0</v>
      </c>
      <c r="AP346" s="39">
        <v>505.07607620994651</v>
      </c>
      <c r="AQ346" s="39">
        <v>0</v>
      </c>
      <c r="AR346" s="52">
        <v>-505.07607620994651</v>
      </c>
      <c r="AS346" s="39">
        <v>11245.874506167012</v>
      </c>
      <c r="AT346" s="39">
        <v>0</v>
      </c>
      <c r="AU346" s="54">
        <v>-11245.874506167012</v>
      </c>
      <c r="AV346" s="39">
        <v>561.048539709024</v>
      </c>
      <c r="AW346" s="39">
        <v>0</v>
      </c>
      <c r="AX346" s="55">
        <v>-561.048539709024</v>
      </c>
      <c r="AY346" s="39">
        <v>141.51362313451344</v>
      </c>
      <c r="AZ346" s="39">
        <v>0</v>
      </c>
      <c r="BA346" s="35">
        <v>-141.51362313451344</v>
      </c>
      <c r="BB346" s="39">
        <v>356.63179670758154</v>
      </c>
      <c r="BC346" s="39">
        <v>0</v>
      </c>
      <c r="BD346" s="55">
        <v>-356.63179670758154</v>
      </c>
      <c r="BE346" s="39">
        <v>126.89920129436939</v>
      </c>
      <c r="BF346" s="39">
        <v>0</v>
      </c>
      <c r="BG346" s="38">
        <v>-126.89920129436939</v>
      </c>
      <c r="BH346" s="39">
        <v>67.470245961631889</v>
      </c>
      <c r="BI346" s="39">
        <v>0</v>
      </c>
      <c r="BJ346" s="55">
        <v>-67.470245961631889</v>
      </c>
      <c r="BK346" s="39">
        <v>112.82000111684427</v>
      </c>
      <c r="BL346" s="39">
        <v>0</v>
      </c>
      <c r="BM346" s="38">
        <v>-112.82000111684427</v>
      </c>
      <c r="BN346" s="39">
        <v>0</v>
      </c>
      <c r="BO346" s="39">
        <v>0</v>
      </c>
      <c r="BP346" s="55">
        <v>0</v>
      </c>
      <c r="BQ346" s="77">
        <v>1366.3834079239646</v>
      </c>
      <c r="BR346" s="40">
        <v>0</v>
      </c>
      <c r="BS346" s="55">
        <v>-1366.3834079239646</v>
      </c>
      <c r="BT346" s="39">
        <v>7574.3754799325079</v>
      </c>
      <c r="BU346" s="39">
        <v>1467.9557050825424</v>
      </c>
      <c r="BV346" s="52">
        <v>-6106.4197748499655</v>
      </c>
      <c r="BW346" s="39">
        <v>5169.1244007651567</v>
      </c>
      <c r="BX346" s="39">
        <v>4802.2943193798992</v>
      </c>
      <c r="BY346" s="52">
        <v>-366.83008138525747</v>
      </c>
      <c r="BZ346" s="39">
        <v>281.31793131327345</v>
      </c>
      <c r="CA346" s="39">
        <v>6673.9725848279295</v>
      </c>
      <c r="CB346" s="52">
        <v>6392.6546535146563</v>
      </c>
      <c r="CC346" s="39">
        <v>192.65681271667049</v>
      </c>
      <c r="CD346" s="39">
        <v>190.06979460440118</v>
      </c>
      <c r="CE346" s="52">
        <v>-2.5870181122693054</v>
      </c>
      <c r="CF346" s="39">
        <v>23.717221262468907</v>
      </c>
      <c r="CG346" s="39">
        <v>0</v>
      </c>
      <c r="CH346" s="52">
        <v>-23.717221262468907</v>
      </c>
      <c r="CI346" s="39">
        <v>2345.9298222080811</v>
      </c>
      <c r="CJ346" s="39">
        <v>2774.1835593973701</v>
      </c>
      <c r="CK346" s="52">
        <v>428.25373718928904</v>
      </c>
      <c r="CL346" s="39">
        <v>3518.8947333121214</v>
      </c>
      <c r="CM346" s="39">
        <v>4162.8127259179473</v>
      </c>
      <c r="CN346" s="52">
        <v>643.91799260582593</v>
      </c>
      <c r="CO346" s="39">
        <v>5864.8245555202029</v>
      </c>
      <c r="CP346" s="40">
        <v>6936.9962853153174</v>
      </c>
      <c r="CQ346" s="52">
        <v>1072.1717297951145</v>
      </c>
      <c r="CR346" s="72">
        <v>45921.176051662849</v>
      </c>
      <c r="CS346" s="5">
        <v>32711.499798831879</v>
      </c>
      <c r="CT346" s="52">
        <v>-13209.67625283097</v>
      </c>
      <c r="CU346" s="77">
        <v>55105.411261995418</v>
      </c>
      <c r="CV346" s="65">
        <v>39253.799758598252</v>
      </c>
      <c r="CW346" s="35">
        <v>-15851.611503397166</v>
      </c>
      <c r="CX346" s="39">
        <v>1377.6352815498856</v>
      </c>
      <c r="CY346" s="39">
        <v>17229.246784947045</v>
      </c>
      <c r="CZ346" s="52">
        <v>15851.61150339716</v>
      </c>
      <c r="DA346" s="150">
        <v>4457.2003511421499</v>
      </c>
      <c r="DB346" s="2">
        <v>3</v>
      </c>
      <c r="DC346" s="713">
        <v>60764.21</v>
      </c>
      <c r="DD346" s="714">
        <v>4852.3999999999996</v>
      </c>
      <c r="DE346" s="715">
        <v>34542.571999848718</v>
      </c>
      <c r="DF346" s="716">
        <v>2832.5147283786255</v>
      </c>
      <c r="DG346" s="717">
        <v>66132.56586033295</v>
      </c>
      <c r="DH346" s="718">
        <v>273679.96646939672</v>
      </c>
      <c r="DI346" s="718">
        <v>677796.55852254364</v>
      </c>
      <c r="DJ346" s="693">
        <v>576767.41050925688</v>
      </c>
      <c r="DK346" s="724"/>
      <c r="DL346" s="5"/>
      <c r="DM346" s="306">
        <v>5.1806639281683786</v>
      </c>
      <c r="DN346" s="306">
        <v>6.7321105722838386</v>
      </c>
      <c r="DO346" s="306">
        <v>4.364488486649468</v>
      </c>
      <c r="DP346" s="719">
        <v>26221.638000151277</v>
      </c>
      <c r="DQ346" s="727">
        <v>2019.8852716213739</v>
      </c>
      <c r="DR346" s="650">
        <v>28241.52327177265</v>
      </c>
      <c r="DS346" s="94">
        <v>28241.52327177265</v>
      </c>
      <c r="DT346" s="719">
        <v>26221.599999999999</v>
      </c>
      <c r="DU346" s="728">
        <v>878.45</v>
      </c>
      <c r="DV346" s="93">
        <v>27100.05</v>
      </c>
      <c r="DW346" s="95">
        <v>28379.286799927642</v>
      </c>
      <c r="DX346" s="28">
        <v>-1279.236799927643</v>
      </c>
      <c r="DY346" s="94"/>
      <c r="EA346" s="5">
        <v>15134.70949690917</v>
      </c>
      <c r="EB346" s="5">
        <v>0</v>
      </c>
      <c r="EE346" s="722">
        <v>134950.49407400415</v>
      </c>
      <c r="EG346" s="42" t="s">
        <v>426</v>
      </c>
    </row>
    <row r="347" spans="1:137" x14ac:dyDescent="0.3">
      <c r="A347" s="325">
        <v>150000901</v>
      </c>
      <c r="B347" s="41" t="s">
        <v>821</v>
      </c>
      <c r="C347" s="42" t="s">
        <v>425</v>
      </c>
      <c r="D347" s="27">
        <v>10</v>
      </c>
      <c r="E347" s="709">
        <v>9955.5999999999985</v>
      </c>
      <c r="F347" s="723">
        <v>8350.2999999999993</v>
      </c>
      <c r="G347" s="28">
        <v>0</v>
      </c>
      <c r="H347" s="651">
        <v>1605.3</v>
      </c>
      <c r="I347" s="39">
        <v>5741.7901250224586</v>
      </c>
      <c r="J347" s="39">
        <v>5458.9021160078009</v>
      </c>
      <c r="K347" s="52">
        <v>-282.88800901465765</v>
      </c>
      <c r="L347" s="39">
        <v>997.81319591440774</v>
      </c>
      <c r="M347" s="39">
        <v>863.50380821050112</v>
      </c>
      <c r="N347" s="52">
        <v>-134.30938770390662</v>
      </c>
      <c r="O347" s="39">
        <v>1946.96</v>
      </c>
      <c r="P347" s="39">
        <v>1946.28</v>
      </c>
      <c r="Q347" s="52">
        <v>-0.68000000000006366</v>
      </c>
      <c r="R347" s="39">
        <v>480.28</v>
      </c>
      <c r="S347" s="39">
        <v>479.54</v>
      </c>
      <c r="T347" s="52">
        <v>-0.73999999999995225</v>
      </c>
      <c r="U347" s="39">
        <v>277.76762229282707</v>
      </c>
      <c r="V347" s="39">
        <v>164.61259817879267</v>
      </c>
      <c r="W347" s="52">
        <v>-113.1550241140344</v>
      </c>
      <c r="X347" s="39">
        <v>2424.4201211638015</v>
      </c>
      <c r="Y347" s="39">
        <v>1728.8891512467151</v>
      </c>
      <c r="Z347" s="52">
        <v>-695.5309699170864</v>
      </c>
      <c r="AA347" s="39">
        <v>0</v>
      </c>
      <c r="AB347" s="39">
        <v>0</v>
      </c>
      <c r="AC347" s="52">
        <v>0</v>
      </c>
      <c r="AD347" s="39">
        <v>7094.7447353276639</v>
      </c>
      <c r="AE347" s="39">
        <v>5953.3163222276025</v>
      </c>
      <c r="AF347" s="35">
        <v>-1141.4284131000613</v>
      </c>
      <c r="AG347" s="77">
        <v>18963.775799721159</v>
      </c>
      <c r="AH347" s="53">
        <v>16595.043995871412</v>
      </c>
      <c r="AI347" s="52">
        <v>-2368.7318038497469</v>
      </c>
      <c r="AJ347" s="39">
        <v>13827.504876346487</v>
      </c>
      <c r="AK347" s="39">
        <v>13641.805547372511</v>
      </c>
      <c r="AL347" s="52">
        <v>-185.69932897397666</v>
      </c>
      <c r="AM347" s="39">
        <v>0</v>
      </c>
      <c r="AN347" s="39">
        <v>0</v>
      </c>
      <c r="AO347" s="52">
        <v>0</v>
      </c>
      <c r="AP347" s="39">
        <v>1041.7194071830147</v>
      </c>
      <c r="AQ347" s="39">
        <v>0</v>
      </c>
      <c r="AR347" s="52">
        <v>-1041.7194071830147</v>
      </c>
      <c r="AS347" s="39">
        <v>25571.933646143214</v>
      </c>
      <c r="AT347" s="39">
        <v>421</v>
      </c>
      <c r="AU347" s="54">
        <v>-25150.933646143214</v>
      </c>
      <c r="AV347" s="39">
        <v>476.64650222106394</v>
      </c>
      <c r="AW347" s="39">
        <v>2509</v>
      </c>
      <c r="AX347" s="55">
        <v>2032.3534977789361</v>
      </c>
      <c r="AY347" s="39">
        <v>658.33936263838734</v>
      </c>
      <c r="AZ347" s="39">
        <v>0</v>
      </c>
      <c r="BA347" s="35">
        <v>-658.33936263838734</v>
      </c>
      <c r="BB347" s="39">
        <v>769.26804466027988</v>
      </c>
      <c r="BC347" s="39">
        <v>0</v>
      </c>
      <c r="BD347" s="55">
        <v>-769.26804466027988</v>
      </c>
      <c r="BE347" s="39">
        <v>257.8404877473065</v>
      </c>
      <c r="BF347" s="39">
        <v>0</v>
      </c>
      <c r="BG347" s="38">
        <v>-257.8404877473065</v>
      </c>
      <c r="BH347" s="39">
        <v>140.90392757945571</v>
      </c>
      <c r="BI347" s="39">
        <v>0</v>
      </c>
      <c r="BJ347" s="55">
        <v>-140.90392757945571</v>
      </c>
      <c r="BK347" s="39">
        <v>174.71782081390026</v>
      </c>
      <c r="BL347" s="39">
        <v>0</v>
      </c>
      <c r="BM347" s="38">
        <v>-174.71782081390026</v>
      </c>
      <c r="BN347" s="39">
        <v>0</v>
      </c>
      <c r="BO347" s="39">
        <v>0</v>
      </c>
      <c r="BP347" s="55">
        <v>0</v>
      </c>
      <c r="BQ347" s="77">
        <v>2477.7161456603935</v>
      </c>
      <c r="BR347" s="40">
        <v>2509</v>
      </c>
      <c r="BS347" s="55">
        <v>31.283854339606478</v>
      </c>
      <c r="BT347" s="39">
        <v>20249.561949587325</v>
      </c>
      <c r="BU347" s="39">
        <v>3856.2554510687364</v>
      </c>
      <c r="BV347" s="52">
        <v>-16393.306498518588</v>
      </c>
      <c r="BW347" s="39">
        <v>13441.019714522139</v>
      </c>
      <c r="BX347" s="39">
        <v>12293.034419043583</v>
      </c>
      <c r="BY347" s="52">
        <v>-1147.9852954785565</v>
      </c>
      <c r="BZ347" s="39">
        <v>757.39443045881319</v>
      </c>
      <c r="CA347" s="39">
        <v>17309.45966652636</v>
      </c>
      <c r="CB347" s="52">
        <v>16552.065236067545</v>
      </c>
      <c r="CC347" s="39">
        <v>401.39287087127173</v>
      </c>
      <c r="CD347" s="39">
        <v>396.00292066687962</v>
      </c>
      <c r="CE347" s="52">
        <v>-5.3899502043921075</v>
      </c>
      <c r="CF347" s="39">
        <v>49.413895088319435</v>
      </c>
      <c r="CG347" s="39">
        <v>0</v>
      </c>
      <c r="CH347" s="52">
        <v>-49.413895088319435</v>
      </c>
      <c r="CI347" s="39">
        <v>3203.816392829387</v>
      </c>
      <c r="CJ347" s="39">
        <v>4605.4719536786652</v>
      </c>
      <c r="CK347" s="52">
        <v>1401.6555608492781</v>
      </c>
      <c r="CL347" s="39">
        <v>2870.0205271694608</v>
      </c>
      <c r="CM347" s="39">
        <v>3863.3375753743999</v>
      </c>
      <c r="CN347" s="52">
        <v>993.31704820493906</v>
      </c>
      <c r="CO347" s="39">
        <v>6073.8369199988483</v>
      </c>
      <c r="CP347" s="40">
        <v>8468.8095290530655</v>
      </c>
      <c r="CQ347" s="52">
        <v>2394.9726090542172</v>
      </c>
      <c r="CR347" s="72">
        <v>102855.269655581</v>
      </c>
      <c r="CS347" s="5">
        <v>75490.411529602556</v>
      </c>
      <c r="CT347" s="52">
        <v>-27364.858125978441</v>
      </c>
      <c r="CU347" s="77">
        <v>123426.3235866972</v>
      </c>
      <c r="CV347" s="65">
        <v>90588.49383552307</v>
      </c>
      <c r="CW347" s="35">
        <v>-32837.829751174126</v>
      </c>
      <c r="CX347" s="39">
        <v>617.13161793348604</v>
      </c>
      <c r="CY347" s="39">
        <v>33454.961369107608</v>
      </c>
      <c r="CZ347" s="52">
        <v>32837.829751174126</v>
      </c>
      <c r="DA347" s="150">
        <v>-36755.459470836446</v>
      </c>
      <c r="DB347" s="2">
        <v>3</v>
      </c>
      <c r="DC347" s="713">
        <v>145321.65</v>
      </c>
      <c r="DD347" s="714">
        <v>72556.78</v>
      </c>
      <c r="DE347" s="715">
        <v>90370.263835043617</v>
      </c>
      <c r="DF347" s="716">
        <v>65486.438562641029</v>
      </c>
      <c r="DG347" s="717">
        <v>30307.749913706211</v>
      </c>
      <c r="DH347" s="718">
        <v>594067.59717710339</v>
      </c>
      <c r="DI347" s="718">
        <v>1488521.4624555681</v>
      </c>
      <c r="DJ347" s="693">
        <v>1264907.996135952</v>
      </c>
      <c r="DK347" s="724"/>
      <c r="DL347" s="5"/>
      <c r="DM347" s="306">
        <v>5.374989922114926</v>
      </c>
      <c r="DN347" s="306">
        <v>6.5807678963577816</v>
      </c>
      <c r="DO347" s="306">
        <v>4.4043739097732315</v>
      </c>
      <c r="DP347" s="719">
        <v>54951.386164956377</v>
      </c>
      <c r="DQ347" s="727">
        <v>7070.3414373589685</v>
      </c>
      <c r="DR347" s="650">
        <v>62021.727602315346</v>
      </c>
      <c r="DS347" s="94">
        <v>62021.727602315332</v>
      </c>
      <c r="DT347" s="719">
        <v>54951.63</v>
      </c>
      <c r="DU347" s="728">
        <v>6483.01</v>
      </c>
      <c r="DV347" s="93">
        <v>61434.64</v>
      </c>
      <c r="DW347" s="95">
        <v>62083.440764108673</v>
      </c>
      <c r="DX347" s="28">
        <v>-648.80076410867332</v>
      </c>
      <c r="DY347" s="94"/>
      <c r="EA347" s="5">
        <v>33659.579750164325</v>
      </c>
      <c r="EB347" s="5">
        <v>3516</v>
      </c>
      <c r="EE347" s="722">
        <v>306863.20375371858</v>
      </c>
      <c r="EG347" s="42" t="s">
        <v>425</v>
      </c>
    </row>
    <row r="348" spans="1:137" s="4" customFormat="1" ht="24.75" customHeight="1" x14ac:dyDescent="0.3">
      <c r="A348" s="325">
        <v>150000902</v>
      </c>
      <c r="B348" s="41" t="s">
        <v>822</v>
      </c>
      <c r="C348" s="42" t="s">
        <v>404</v>
      </c>
      <c r="D348" s="27">
        <v>9</v>
      </c>
      <c r="E348" s="709">
        <v>3581.3</v>
      </c>
      <c r="F348" s="723">
        <v>3581.3</v>
      </c>
      <c r="G348" s="28">
        <v>455.7</v>
      </c>
      <c r="H348" s="651">
        <v>0</v>
      </c>
      <c r="I348" s="39">
        <v>1803.7218838157032</v>
      </c>
      <c r="J348" s="39">
        <v>1715.1246651640936</v>
      </c>
      <c r="K348" s="52">
        <v>-88.597218651609637</v>
      </c>
      <c r="L348" s="39">
        <v>454.39834136839863</v>
      </c>
      <c r="M348" s="39">
        <v>393.23501650034871</v>
      </c>
      <c r="N348" s="52">
        <v>-61.163324868049926</v>
      </c>
      <c r="O348" s="39">
        <v>772.98</v>
      </c>
      <c r="P348" s="39">
        <v>772.96</v>
      </c>
      <c r="Q348" s="52">
        <v>-1.999999999998181E-2</v>
      </c>
      <c r="R348" s="39">
        <v>190.66</v>
      </c>
      <c r="S348" s="39">
        <v>190.4</v>
      </c>
      <c r="T348" s="52">
        <v>-0.25999999999999091</v>
      </c>
      <c r="U348" s="39">
        <v>130.00964065633656</v>
      </c>
      <c r="V348" s="39">
        <v>77.047110649179317</v>
      </c>
      <c r="W348" s="52">
        <v>-52.962530007157241</v>
      </c>
      <c r="X348" s="39">
        <v>1536.6765162541769</v>
      </c>
      <c r="Y348" s="39">
        <v>1077.8992262780071</v>
      </c>
      <c r="Z348" s="52">
        <v>-458.77728997616987</v>
      </c>
      <c r="AA348" s="39">
        <v>0</v>
      </c>
      <c r="AB348" s="39">
        <v>0</v>
      </c>
      <c r="AC348" s="52">
        <v>0</v>
      </c>
      <c r="AD348" s="39">
        <v>2552.1725783105958</v>
      </c>
      <c r="AE348" s="39">
        <v>2141.5697441433681</v>
      </c>
      <c r="AF348" s="35">
        <v>-410.60283416722768</v>
      </c>
      <c r="AG348" s="77">
        <v>7440.6189604052106</v>
      </c>
      <c r="AH348" s="53">
        <v>6368.2357627349957</v>
      </c>
      <c r="AI348" s="52">
        <v>-1072.3831976702149</v>
      </c>
      <c r="AJ348" s="39">
        <v>5742.6258554348196</v>
      </c>
      <c r="AK348" s="39">
        <v>5665.5132068318126</v>
      </c>
      <c r="AL348" s="52">
        <v>-77.112648603007074</v>
      </c>
      <c r="AM348" s="39">
        <v>0</v>
      </c>
      <c r="AN348" s="39">
        <v>0</v>
      </c>
      <c r="AO348" s="52">
        <v>0</v>
      </c>
      <c r="AP348" s="39">
        <v>505.07607620994651</v>
      </c>
      <c r="AQ348" s="39">
        <v>2805.5655956088949</v>
      </c>
      <c r="AR348" s="52">
        <v>2300.4895193989482</v>
      </c>
      <c r="AS348" s="39">
        <v>11292.644715090924</v>
      </c>
      <c r="AT348" s="39">
        <v>0</v>
      </c>
      <c r="AU348" s="54">
        <v>-11292.644715090924</v>
      </c>
      <c r="AV348" s="39">
        <v>145.57624762893238</v>
      </c>
      <c r="AW348" s="39">
        <v>0</v>
      </c>
      <c r="AX348" s="55">
        <v>-145.57624762893238</v>
      </c>
      <c r="AY348" s="39">
        <v>300.46764475683648</v>
      </c>
      <c r="AZ348" s="39">
        <v>0</v>
      </c>
      <c r="BA348" s="35">
        <v>-300.46764475683648</v>
      </c>
      <c r="BB348" s="39">
        <v>314.65407721141514</v>
      </c>
      <c r="BC348" s="39">
        <v>0</v>
      </c>
      <c r="BD348" s="55">
        <v>-314.65407721141514</v>
      </c>
      <c r="BE348" s="39">
        <v>109.3875700743293</v>
      </c>
      <c r="BF348" s="39">
        <v>0</v>
      </c>
      <c r="BG348" s="38">
        <v>-109.3875700743293</v>
      </c>
      <c r="BH348" s="39">
        <v>65.961235315382794</v>
      </c>
      <c r="BI348" s="39">
        <v>0</v>
      </c>
      <c r="BJ348" s="55">
        <v>-65.961235315382794</v>
      </c>
      <c r="BK348" s="39">
        <v>212.42405582180592</v>
      </c>
      <c r="BL348" s="39">
        <v>0</v>
      </c>
      <c r="BM348" s="38">
        <v>-212.42405582180592</v>
      </c>
      <c r="BN348" s="39">
        <v>0</v>
      </c>
      <c r="BO348" s="39">
        <v>0</v>
      </c>
      <c r="BP348" s="55">
        <v>0</v>
      </c>
      <c r="BQ348" s="77">
        <v>1148.4708308087022</v>
      </c>
      <c r="BR348" s="40">
        <v>0</v>
      </c>
      <c r="BS348" s="55">
        <v>-1148.4708308087022</v>
      </c>
      <c r="BT348" s="39">
        <v>6539.103044575304</v>
      </c>
      <c r="BU348" s="39">
        <v>1562.9265519930434</v>
      </c>
      <c r="BV348" s="52">
        <v>-4976.1764925822608</v>
      </c>
      <c r="BW348" s="39">
        <v>8104.8387066902869</v>
      </c>
      <c r="BX348" s="39">
        <v>8202.8327331260571</v>
      </c>
      <c r="BY348" s="52">
        <v>97.994026435770138</v>
      </c>
      <c r="BZ348" s="39">
        <v>424.14088105693531</v>
      </c>
      <c r="CA348" s="39">
        <v>6221.2608796945124</v>
      </c>
      <c r="CB348" s="52">
        <v>5797.1199986375768</v>
      </c>
      <c r="CC348" s="39">
        <v>242.07107918445774</v>
      </c>
      <c r="CD348" s="39">
        <v>238.82052054873617</v>
      </c>
      <c r="CE348" s="52">
        <v>-3.2505586357215748</v>
      </c>
      <c r="CF348" s="39">
        <v>29.800416945056352</v>
      </c>
      <c r="CG348" s="39">
        <v>0</v>
      </c>
      <c r="CH348" s="52">
        <v>-29.800416945056352</v>
      </c>
      <c r="CI348" s="39">
        <v>749.01296584063869</v>
      </c>
      <c r="CJ348" s="39">
        <v>817.28798680445925</v>
      </c>
      <c r="CK348" s="52">
        <v>68.275020963820566</v>
      </c>
      <c r="CL348" s="39">
        <v>923.39790874147866</v>
      </c>
      <c r="CM348" s="39">
        <v>1251.3748789987862</v>
      </c>
      <c r="CN348" s="52">
        <v>327.97697025730758</v>
      </c>
      <c r="CO348" s="39">
        <v>1672.4108745821172</v>
      </c>
      <c r="CP348" s="40">
        <v>2068.6628658032455</v>
      </c>
      <c r="CQ348" s="52">
        <v>396.25199122112826</v>
      </c>
      <c r="CR348" s="72">
        <v>43141.801440983763</v>
      </c>
      <c r="CS348" s="5">
        <v>33133.818116341303</v>
      </c>
      <c r="CT348" s="52">
        <v>-10007.983324642461</v>
      </c>
      <c r="CU348" s="77">
        <v>51770.161729180516</v>
      </c>
      <c r="CV348" s="65">
        <v>39760.581739609559</v>
      </c>
      <c r="CW348" s="35">
        <v>-12009.579989570957</v>
      </c>
      <c r="CX348" s="39">
        <v>1294.2540432295129</v>
      </c>
      <c r="CY348" s="39">
        <v>13303.834032800478</v>
      </c>
      <c r="CZ348" s="52">
        <v>12009.579989570964</v>
      </c>
      <c r="DA348" s="150">
        <v>127219.1542057632</v>
      </c>
      <c r="DB348" s="2">
        <v>3</v>
      </c>
      <c r="DC348" s="713">
        <v>69193.36</v>
      </c>
      <c r="DD348" s="714"/>
      <c r="DE348" s="715">
        <v>42661.152113794989</v>
      </c>
      <c r="DF348" s="716">
        <v>0</v>
      </c>
      <c r="DG348" s="717">
        <v>175602.45510154823</v>
      </c>
      <c r="DH348" s="718">
        <v>257164.61272958864</v>
      </c>
      <c r="DI348" s="718">
        <v>636772.98926892038</v>
      </c>
      <c r="DJ348" s="693">
        <v>541870.89513408742</v>
      </c>
      <c r="DK348" s="724"/>
      <c r="DL348" s="5"/>
      <c r="DM348" s="306">
        <v>6.263815729270541</v>
      </c>
      <c r="DN348" s="306">
        <v>7.5754373747045127</v>
      </c>
      <c r="DO348" s="306">
        <v>4.8720094565163663</v>
      </c>
      <c r="DP348" s="719">
        <v>26532.207886205011</v>
      </c>
      <c r="DQ348" s="720">
        <v>0</v>
      </c>
      <c r="DR348" s="650">
        <v>26532.207886205011</v>
      </c>
      <c r="DS348" s="94">
        <v>26532.207886205018</v>
      </c>
      <c r="DT348" s="719">
        <v>26532.09</v>
      </c>
      <c r="DU348" s="721"/>
      <c r="DV348" s="93">
        <v>26532.09</v>
      </c>
      <c r="DW348" s="95">
        <v>26661.633290527967</v>
      </c>
      <c r="DX348" s="28">
        <v>-129.54329052796675</v>
      </c>
      <c r="DY348" s="1"/>
      <c r="DZ348" s="1"/>
      <c r="EA348" s="5">
        <v>14929.338655079551</v>
      </c>
      <c r="EB348" s="5">
        <v>0</v>
      </c>
      <c r="EC348" s="1"/>
      <c r="ED348" s="1"/>
      <c r="EE348" s="722">
        <v>135511.7365810911</v>
      </c>
      <c r="EF348" s="1"/>
      <c r="EG348" s="42" t="s">
        <v>404</v>
      </c>
    </row>
    <row r="349" spans="1:137" x14ac:dyDescent="0.3">
      <c r="A349" s="325">
        <v>150000903</v>
      </c>
      <c r="B349" s="41" t="s">
        <v>823</v>
      </c>
      <c r="C349" s="42" t="s">
        <v>405</v>
      </c>
      <c r="D349" s="27">
        <v>9</v>
      </c>
      <c r="E349" s="709">
        <v>4073.8</v>
      </c>
      <c r="F349" s="723">
        <v>4073.8</v>
      </c>
      <c r="G349" s="28">
        <v>501.2</v>
      </c>
      <c r="H349" s="651">
        <v>0</v>
      </c>
      <c r="I349" s="39">
        <v>1816.9204344069685</v>
      </c>
      <c r="J349" s="39">
        <v>1729.6790477904719</v>
      </c>
      <c r="K349" s="52">
        <v>-87.241386616496584</v>
      </c>
      <c r="L349" s="39">
        <v>260.19217177635136</v>
      </c>
      <c r="M349" s="39">
        <v>225.16908476837855</v>
      </c>
      <c r="N349" s="52">
        <v>-35.023087007972805</v>
      </c>
      <c r="O349" s="39">
        <v>889.8</v>
      </c>
      <c r="P349" s="39">
        <v>890.02</v>
      </c>
      <c r="Q349" s="52">
        <v>0.22000000000002728</v>
      </c>
      <c r="R349" s="39">
        <v>229.78</v>
      </c>
      <c r="S349" s="39">
        <v>229.46</v>
      </c>
      <c r="T349" s="52">
        <v>-0.31999999999999318</v>
      </c>
      <c r="U349" s="39">
        <v>130.00964065633656</v>
      </c>
      <c r="V349" s="39">
        <v>77.047110649179317</v>
      </c>
      <c r="W349" s="52">
        <v>-52.962530007157241</v>
      </c>
      <c r="X349" s="39">
        <v>1548.9414336861032</v>
      </c>
      <c r="Y349" s="39">
        <v>1089.7749113341956</v>
      </c>
      <c r="Z349" s="52">
        <v>-459.16652235190759</v>
      </c>
      <c r="AA349" s="39">
        <v>0</v>
      </c>
      <c r="AB349" s="39">
        <v>0</v>
      </c>
      <c r="AC349" s="52">
        <v>0</v>
      </c>
      <c r="AD349" s="39">
        <v>2903.1470833277594</v>
      </c>
      <c r="AE349" s="39">
        <v>2436.0781905149679</v>
      </c>
      <c r="AF349" s="35">
        <v>-467.06889281279155</v>
      </c>
      <c r="AG349" s="77">
        <v>7778.7907638535198</v>
      </c>
      <c r="AH349" s="53">
        <v>6677.2283450571931</v>
      </c>
      <c r="AI349" s="52">
        <v>-1101.5624187963267</v>
      </c>
      <c r="AJ349" s="39">
        <v>6913.0950965152351</v>
      </c>
      <c r="AK349" s="39">
        <v>6820.2432671123333</v>
      </c>
      <c r="AL349" s="52">
        <v>-92.851829402901785</v>
      </c>
      <c r="AM349" s="39">
        <v>0</v>
      </c>
      <c r="AN349" s="39">
        <v>0</v>
      </c>
      <c r="AO349" s="52">
        <v>0</v>
      </c>
      <c r="AP349" s="39">
        <v>505.07607620994651</v>
      </c>
      <c r="AQ349" s="39">
        <v>2805.5655956088949</v>
      </c>
      <c r="AR349" s="52">
        <v>2300.4895193989482</v>
      </c>
      <c r="AS349" s="39">
        <v>12366.532375090457</v>
      </c>
      <c r="AT349" s="39">
        <v>547</v>
      </c>
      <c r="AU349" s="54">
        <v>-11819.532375090457</v>
      </c>
      <c r="AV349" s="39">
        <v>147.03276510935248</v>
      </c>
      <c r="AW349" s="39">
        <v>0</v>
      </c>
      <c r="AX349" s="55">
        <v>-147.03276510935248</v>
      </c>
      <c r="AY349" s="39">
        <v>175.33142691704413</v>
      </c>
      <c r="AZ349" s="39">
        <v>0</v>
      </c>
      <c r="BA349" s="35">
        <v>-175.33142691704413</v>
      </c>
      <c r="BB349" s="39">
        <v>356.82220769353341</v>
      </c>
      <c r="BC349" s="39">
        <v>0</v>
      </c>
      <c r="BD349" s="55">
        <v>-356.82220769353341</v>
      </c>
      <c r="BE349" s="39">
        <v>132.02736547955371</v>
      </c>
      <c r="BF349" s="39">
        <v>0</v>
      </c>
      <c r="BG349" s="38">
        <v>-132.02736547955371</v>
      </c>
      <c r="BH349" s="39">
        <v>65.961235315382794</v>
      </c>
      <c r="BI349" s="39">
        <v>0</v>
      </c>
      <c r="BJ349" s="55">
        <v>-65.961235315382794</v>
      </c>
      <c r="BK349" s="39">
        <v>180.8957334091144</v>
      </c>
      <c r="BL349" s="39">
        <v>0</v>
      </c>
      <c r="BM349" s="38">
        <v>-180.8957334091144</v>
      </c>
      <c r="BN349" s="39">
        <v>0</v>
      </c>
      <c r="BO349" s="39">
        <v>0</v>
      </c>
      <c r="BP349" s="55">
        <v>0</v>
      </c>
      <c r="BQ349" s="77">
        <v>1058.0707339239809</v>
      </c>
      <c r="BR349" s="40">
        <v>0</v>
      </c>
      <c r="BS349" s="55">
        <v>-1058.0707339239809</v>
      </c>
      <c r="BT349" s="39">
        <v>8512.3373364095078</v>
      </c>
      <c r="BU349" s="39">
        <v>1383.2317081931831</v>
      </c>
      <c r="BV349" s="52">
        <v>-7129.1056282163245</v>
      </c>
      <c r="BW349" s="39">
        <v>7517.7079617173531</v>
      </c>
      <c r="BX349" s="39">
        <v>4839.4238954780521</v>
      </c>
      <c r="BY349" s="52">
        <v>-2678.284066239301</v>
      </c>
      <c r="BZ349" s="39">
        <v>1103.6318843828419</v>
      </c>
      <c r="CA349" s="39">
        <v>5500.0787240376103</v>
      </c>
      <c r="CB349" s="52">
        <v>4396.4468396547682</v>
      </c>
      <c r="CC349" s="39">
        <v>282.80843576653234</v>
      </c>
      <c r="CD349" s="39">
        <v>279.01085116355989</v>
      </c>
      <c r="CE349" s="52">
        <v>-3.7975846029724494</v>
      </c>
      <c r="CF349" s="39">
        <v>34.815432433379925</v>
      </c>
      <c r="CG349" s="39">
        <v>0</v>
      </c>
      <c r="CH349" s="52">
        <v>-34.815432433379925</v>
      </c>
      <c r="CI349" s="39">
        <v>1316.4659374625132</v>
      </c>
      <c r="CJ349" s="39">
        <v>1691.5966999747375</v>
      </c>
      <c r="CK349" s="52">
        <v>375.13076251222424</v>
      </c>
      <c r="CL349" s="39">
        <v>1310.2267624034496</v>
      </c>
      <c r="CM349" s="39">
        <v>1153.0318253179448</v>
      </c>
      <c r="CN349" s="52">
        <v>-157.19493708550476</v>
      </c>
      <c r="CO349" s="39">
        <v>2626.6926998659628</v>
      </c>
      <c r="CP349" s="40">
        <v>2844.6285252926823</v>
      </c>
      <c r="CQ349" s="52">
        <v>217.93582542671948</v>
      </c>
      <c r="CR349" s="72">
        <v>48699.55879616872</v>
      </c>
      <c r="CS349" s="5">
        <v>31696.410911943512</v>
      </c>
      <c r="CT349" s="52">
        <v>-17003.147884225207</v>
      </c>
      <c r="CU349" s="77">
        <v>58439.470555402462</v>
      </c>
      <c r="CV349" s="65">
        <v>38035.693094332215</v>
      </c>
      <c r="CW349" s="35">
        <v>-20403.777461070247</v>
      </c>
      <c r="CX349" s="39">
        <v>584.39470555402465</v>
      </c>
      <c r="CY349" s="39">
        <v>20988.172166624281</v>
      </c>
      <c r="CZ349" s="52">
        <v>20403.777461070258</v>
      </c>
      <c r="DA349" s="150">
        <v>-31890.652811110536</v>
      </c>
      <c r="DB349" s="2">
        <v>3</v>
      </c>
      <c r="DC349" s="713">
        <v>43801.84</v>
      </c>
      <c r="DD349" s="714"/>
      <c r="DE349" s="715">
        <v>14289.907369521748</v>
      </c>
      <c r="DF349" s="716">
        <v>0</v>
      </c>
      <c r="DG349" s="717">
        <v>42027.180929808004</v>
      </c>
      <c r="DH349" s="718">
        <v>282652.42609756766</v>
      </c>
      <c r="DI349" s="718">
        <v>708286.38313147787</v>
      </c>
      <c r="DJ349" s="693">
        <v>601877.89387300028</v>
      </c>
      <c r="DK349" s="724"/>
      <c r="DL349" s="5"/>
      <c r="DM349" s="306">
        <v>6.0210613147364924</v>
      </c>
      <c r="DN349" s="306">
        <v>7.4159370485171348</v>
      </c>
      <c r="DO349" s="306">
        <v>4.902761195731947</v>
      </c>
      <c r="DP349" s="719">
        <v>29511.932630478248</v>
      </c>
      <c r="DQ349" s="720">
        <v>0</v>
      </c>
      <c r="DR349" s="650">
        <v>29511.932630478248</v>
      </c>
      <c r="DS349" s="94">
        <v>29511.932630478241</v>
      </c>
      <c r="DT349" s="719">
        <v>29512.46</v>
      </c>
      <c r="DU349" s="721"/>
      <c r="DV349" s="93">
        <v>29512.46</v>
      </c>
      <c r="DW349" s="95">
        <v>29570.372101033645</v>
      </c>
      <c r="DX349" s="28">
        <v>-57.91210103364574</v>
      </c>
      <c r="EA349" s="5">
        <v>16109.523730817325</v>
      </c>
      <c r="EB349" s="5">
        <v>656.4</v>
      </c>
      <c r="EE349" s="722">
        <v>148398.38850108549</v>
      </c>
      <c r="EG349" s="42" t="s">
        <v>405</v>
      </c>
    </row>
    <row r="350" spans="1:137" x14ac:dyDescent="0.3">
      <c r="A350" s="325">
        <v>150000904</v>
      </c>
      <c r="B350" s="41" t="s">
        <v>824</v>
      </c>
      <c r="C350" s="42" t="s">
        <v>406</v>
      </c>
      <c r="D350" s="27">
        <v>9</v>
      </c>
      <c r="E350" s="709">
        <v>4387.3</v>
      </c>
      <c r="F350" s="723">
        <v>4387.3</v>
      </c>
      <c r="G350" s="28">
        <v>446.3</v>
      </c>
      <c r="H350" s="651">
        <v>0</v>
      </c>
      <c r="I350" s="39">
        <v>2692.3363433941463</v>
      </c>
      <c r="J350" s="39">
        <v>2558.1740623143314</v>
      </c>
      <c r="K350" s="52">
        <v>-134.16228107981487</v>
      </c>
      <c r="L350" s="39">
        <v>460.26724853877886</v>
      </c>
      <c r="M350" s="39">
        <v>398.31369752526098</v>
      </c>
      <c r="N350" s="52">
        <v>-61.953551013517881</v>
      </c>
      <c r="O350" s="39">
        <v>946.34</v>
      </c>
      <c r="P350" s="39">
        <v>946.2</v>
      </c>
      <c r="Q350" s="52">
        <v>-0.13999999999998636</v>
      </c>
      <c r="R350" s="39">
        <v>228.14</v>
      </c>
      <c r="S350" s="39">
        <v>228.14</v>
      </c>
      <c r="T350" s="52">
        <v>0</v>
      </c>
      <c r="U350" s="39">
        <v>130.00964065633656</v>
      </c>
      <c r="V350" s="39">
        <v>77.047110649179317</v>
      </c>
      <c r="W350" s="52">
        <v>-52.962530007157241</v>
      </c>
      <c r="X350" s="39">
        <v>1019.6514513166584</v>
      </c>
      <c r="Y350" s="39">
        <v>718.6754424882597</v>
      </c>
      <c r="Z350" s="52">
        <v>-300.97600882839868</v>
      </c>
      <c r="AA350" s="39">
        <v>0</v>
      </c>
      <c r="AB350" s="39">
        <v>0</v>
      </c>
      <c r="AC350" s="52">
        <v>0</v>
      </c>
      <c r="AD350" s="39">
        <v>3126.5592809376699</v>
      </c>
      <c r="AE350" s="39">
        <v>2623.5470188144527</v>
      </c>
      <c r="AF350" s="35">
        <v>-503.01226212321717</v>
      </c>
      <c r="AG350" s="77">
        <v>8603.3039648435897</v>
      </c>
      <c r="AH350" s="53">
        <v>7550.0973317914841</v>
      </c>
      <c r="AI350" s="52">
        <v>-1053.2066330521056</v>
      </c>
      <c r="AJ350" s="39">
        <v>4544.7265268625906</v>
      </c>
      <c r="AK350" s="39">
        <v>4483.6994099155509</v>
      </c>
      <c r="AL350" s="52">
        <v>-61.027116947039758</v>
      </c>
      <c r="AM350" s="39">
        <v>263.07035981182185</v>
      </c>
      <c r="AN350" s="39">
        <v>0</v>
      </c>
      <c r="AO350" s="52">
        <v>-263.07035981182185</v>
      </c>
      <c r="AP350" s="39">
        <v>591.88602680853114</v>
      </c>
      <c r="AQ350" s="39">
        <v>0</v>
      </c>
      <c r="AR350" s="52">
        <v>-591.88602680853114</v>
      </c>
      <c r="AS350" s="39">
        <v>11530.213981401888</v>
      </c>
      <c r="AT350" s="39">
        <v>286</v>
      </c>
      <c r="AU350" s="54">
        <v>-11244.213981401888</v>
      </c>
      <c r="AV350" s="39">
        <v>212.04421281182931</v>
      </c>
      <c r="AW350" s="39">
        <v>0</v>
      </c>
      <c r="AX350" s="55">
        <v>-212.04421281182931</v>
      </c>
      <c r="AY350" s="39">
        <v>304.27448839668364</v>
      </c>
      <c r="AZ350" s="39">
        <v>0</v>
      </c>
      <c r="BA350" s="35">
        <v>-304.27448839668364</v>
      </c>
      <c r="BB350" s="39">
        <v>398.7972333502222</v>
      </c>
      <c r="BC350" s="39">
        <v>0</v>
      </c>
      <c r="BD350" s="55">
        <v>-398.7972333502222</v>
      </c>
      <c r="BE350" s="39">
        <v>132.606248971273</v>
      </c>
      <c r="BF350" s="39">
        <v>0</v>
      </c>
      <c r="BG350" s="38">
        <v>-132.606248971273</v>
      </c>
      <c r="BH350" s="39">
        <v>65.961235315382794</v>
      </c>
      <c r="BI350" s="39">
        <v>0</v>
      </c>
      <c r="BJ350" s="55">
        <v>-65.961235315382794</v>
      </c>
      <c r="BK350" s="39">
        <v>161.26258263002811</v>
      </c>
      <c r="BL350" s="39">
        <v>0</v>
      </c>
      <c r="BM350" s="38">
        <v>-161.26258263002811</v>
      </c>
      <c r="BN350" s="39">
        <v>0</v>
      </c>
      <c r="BO350" s="39">
        <v>0</v>
      </c>
      <c r="BP350" s="55">
        <v>0</v>
      </c>
      <c r="BQ350" s="77">
        <v>1274.9460014754191</v>
      </c>
      <c r="BR350" s="40">
        <v>0</v>
      </c>
      <c r="BS350" s="55">
        <v>-1274.9460014754191</v>
      </c>
      <c r="BT350" s="39">
        <v>9553.6380965732951</v>
      </c>
      <c r="BU350" s="39">
        <v>618.27647951847314</v>
      </c>
      <c r="BV350" s="52">
        <v>-8935.3616170548212</v>
      </c>
      <c r="BW350" s="39">
        <v>5702.5995500001018</v>
      </c>
      <c r="BX350" s="39">
        <v>1606.4131049562038</v>
      </c>
      <c r="BY350" s="52">
        <v>-4096.1864450438979</v>
      </c>
      <c r="BZ350" s="39">
        <v>952.1529982910796</v>
      </c>
      <c r="CA350" s="39">
        <v>2436.2377293509371</v>
      </c>
      <c r="CB350" s="52">
        <v>1484.0847310598574</v>
      </c>
      <c r="CC350" s="39">
        <v>264.7192846488602</v>
      </c>
      <c r="CD350" s="39">
        <v>261.16460327322307</v>
      </c>
      <c r="CE350" s="52">
        <v>-3.5546813756371307</v>
      </c>
      <c r="CF350" s="39">
        <v>32.588548299575592</v>
      </c>
      <c r="CG350" s="39">
        <v>0</v>
      </c>
      <c r="CH350" s="52">
        <v>-32.588548299575592</v>
      </c>
      <c r="CI350" s="39">
        <v>1098.0948103952719</v>
      </c>
      <c r="CJ350" s="39">
        <v>1449.6890079191928</v>
      </c>
      <c r="CK350" s="52">
        <v>351.59419752392091</v>
      </c>
      <c r="CL350" s="39">
        <v>1035.7030598046315</v>
      </c>
      <c r="CM350" s="39">
        <v>969.57991690852532</v>
      </c>
      <c r="CN350" s="52">
        <v>-66.123142896106174</v>
      </c>
      <c r="CO350" s="39">
        <v>2133.7978701999036</v>
      </c>
      <c r="CP350" s="40">
        <v>2419.2689248277184</v>
      </c>
      <c r="CQ350" s="52">
        <v>285.47105462781474</v>
      </c>
      <c r="CR350" s="72">
        <v>45447.643209216651</v>
      </c>
      <c r="CS350" s="5">
        <v>19661.157583633591</v>
      </c>
      <c r="CT350" s="52">
        <v>-25786.48562558306</v>
      </c>
      <c r="CU350" s="77">
        <v>54537.171851059982</v>
      </c>
      <c r="CV350" s="65">
        <v>23593.389100360309</v>
      </c>
      <c r="CW350" s="35">
        <v>-30943.782750699673</v>
      </c>
      <c r="CX350" s="39">
        <v>818.05757776589974</v>
      </c>
      <c r="CY350" s="39">
        <v>31761.84032846558</v>
      </c>
      <c r="CZ350" s="52">
        <v>30943.78275069968</v>
      </c>
      <c r="DA350" s="150">
        <v>31614.550301082534</v>
      </c>
      <c r="DB350" s="2">
        <v>3</v>
      </c>
      <c r="DC350" s="713">
        <v>46590.12</v>
      </c>
      <c r="DD350" s="714"/>
      <c r="DE350" s="715">
        <v>18912.50528558706</v>
      </c>
      <c r="DF350" s="716">
        <v>0</v>
      </c>
      <c r="DG350" s="717">
        <v>-66997.143920662042</v>
      </c>
      <c r="DH350" s="718">
        <v>278704.97911842127</v>
      </c>
      <c r="DI350" s="718">
        <v>664262.75314591057</v>
      </c>
      <c r="DJ350" s="693">
        <v>567873.30963903829</v>
      </c>
      <c r="DK350" s="724"/>
      <c r="DL350" s="5"/>
      <c r="DM350" s="306">
        <v>5.4974410792531181</v>
      </c>
      <c r="DN350" s="306">
        <v>6.4004330780873575</v>
      </c>
      <c r="DO350" s="306">
        <v>4.7058646823917085</v>
      </c>
      <c r="DP350" s="719">
        <v>27677.614714412943</v>
      </c>
      <c r="DQ350" s="720">
        <v>0</v>
      </c>
      <c r="DR350" s="650">
        <v>27677.614714412943</v>
      </c>
      <c r="DS350" s="94">
        <v>27677.614714412943</v>
      </c>
      <c r="DT350" s="719">
        <v>27686.54</v>
      </c>
      <c r="DU350" s="721"/>
      <c r="DV350" s="93">
        <v>27686.54</v>
      </c>
      <c r="DW350" s="95">
        <v>27759.420472189533</v>
      </c>
      <c r="DX350" s="28">
        <v>-72.880472189532156</v>
      </c>
      <c r="EA350" s="5">
        <v>15366.191979452768</v>
      </c>
      <c r="EB350" s="5">
        <v>343.2</v>
      </c>
      <c r="EE350" s="722">
        <v>138362.56777682266</v>
      </c>
      <c r="EG350" s="42" t="s">
        <v>406</v>
      </c>
    </row>
    <row r="351" spans="1:137" s="2" customFormat="1" x14ac:dyDescent="0.3">
      <c r="A351" s="325">
        <v>150000905</v>
      </c>
      <c r="B351" s="41" t="s">
        <v>825</v>
      </c>
      <c r="C351" s="42" t="s">
        <v>427</v>
      </c>
      <c r="D351" s="27">
        <v>14</v>
      </c>
      <c r="E351" s="709">
        <v>5222.9000000000005</v>
      </c>
      <c r="F351" s="723">
        <v>5047.1000000000004</v>
      </c>
      <c r="G351" s="28">
        <v>0</v>
      </c>
      <c r="H351" s="651">
        <v>175.8</v>
      </c>
      <c r="I351" s="39">
        <v>1954.8781143293224</v>
      </c>
      <c r="J351" s="39">
        <v>1867.4366619695857</v>
      </c>
      <c r="K351" s="52">
        <v>-87.441452359736786</v>
      </c>
      <c r="L351" s="39">
        <v>333.37696092213639</v>
      </c>
      <c r="M351" s="39">
        <v>288.50322460846076</v>
      </c>
      <c r="N351" s="52">
        <v>-44.873736313675636</v>
      </c>
      <c r="O351" s="39">
        <v>1113.28</v>
      </c>
      <c r="P351" s="39">
        <v>1113.3399999999999</v>
      </c>
      <c r="Q351" s="52">
        <v>5.999999999994543E-2</v>
      </c>
      <c r="R351" s="39">
        <v>258.66000000000003</v>
      </c>
      <c r="S351" s="39">
        <v>258.54000000000002</v>
      </c>
      <c r="T351" s="52">
        <v>-0.12000000000000455</v>
      </c>
      <c r="U351" s="39">
        <v>132.96775194679549</v>
      </c>
      <c r="V351" s="39">
        <v>78.800173462584979</v>
      </c>
      <c r="W351" s="52">
        <v>-54.167578484210509</v>
      </c>
      <c r="X351" s="39">
        <v>1270.7215095205236</v>
      </c>
      <c r="Y351" s="39">
        <v>920.08245071126112</v>
      </c>
      <c r="Z351" s="52">
        <v>-350.63905880926245</v>
      </c>
      <c r="AA351" s="39">
        <v>0</v>
      </c>
      <c r="AB351" s="39">
        <v>0</v>
      </c>
      <c r="AC351" s="52">
        <v>0</v>
      </c>
      <c r="AD351" s="39">
        <v>3722.0400857952172</v>
      </c>
      <c r="AE351" s="39">
        <v>3123.2246996024905</v>
      </c>
      <c r="AF351" s="35">
        <v>-598.81538619272669</v>
      </c>
      <c r="AG351" s="77">
        <v>8785.9244225139955</v>
      </c>
      <c r="AH351" s="53">
        <v>7649.9272103543826</v>
      </c>
      <c r="AI351" s="52">
        <v>-1135.9972121596129</v>
      </c>
      <c r="AJ351" s="39">
        <v>6250.7843812275187</v>
      </c>
      <c r="AK351" s="39">
        <v>6024.8594455553875</v>
      </c>
      <c r="AL351" s="52">
        <v>-225.92493567213114</v>
      </c>
      <c r="AM351" s="39">
        <v>0</v>
      </c>
      <c r="AN351" s="39">
        <v>0</v>
      </c>
      <c r="AO351" s="52">
        <v>0</v>
      </c>
      <c r="AP351" s="39">
        <v>528.75151728228775</v>
      </c>
      <c r="AQ351" s="39">
        <v>0</v>
      </c>
      <c r="AR351" s="52">
        <v>-528.75151728228775</v>
      </c>
      <c r="AS351" s="39">
        <v>12659.552194377515</v>
      </c>
      <c r="AT351" s="39">
        <v>991</v>
      </c>
      <c r="AU351" s="54">
        <v>-11668.552194377515</v>
      </c>
      <c r="AV351" s="39">
        <v>183.3946159153254</v>
      </c>
      <c r="AW351" s="39">
        <v>0</v>
      </c>
      <c r="AX351" s="55">
        <v>-183.3946159153254</v>
      </c>
      <c r="AY351" s="39">
        <v>218.36186909299212</v>
      </c>
      <c r="AZ351" s="39">
        <v>0</v>
      </c>
      <c r="BA351" s="35">
        <v>-218.36186909299212</v>
      </c>
      <c r="BB351" s="39">
        <v>522.00363200181357</v>
      </c>
      <c r="BC351" s="39">
        <v>0</v>
      </c>
      <c r="BD351" s="55">
        <v>-522.00363200181357</v>
      </c>
      <c r="BE351" s="39">
        <v>144.54378108389068</v>
      </c>
      <c r="BF351" s="39">
        <v>0</v>
      </c>
      <c r="BG351" s="38">
        <v>-144.54378108389068</v>
      </c>
      <c r="BH351" s="39">
        <v>67.470245961631889</v>
      </c>
      <c r="BI351" s="39">
        <v>0</v>
      </c>
      <c r="BJ351" s="55">
        <v>-67.470245961631889</v>
      </c>
      <c r="BK351" s="39">
        <v>142.92069518764279</v>
      </c>
      <c r="BL351" s="39">
        <v>0</v>
      </c>
      <c r="BM351" s="38">
        <v>-142.92069518764279</v>
      </c>
      <c r="BN351" s="39">
        <v>0</v>
      </c>
      <c r="BO351" s="39">
        <v>0</v>
      </c>
      <c r="BP351" s="55">
        <v>0</v>
      </c>
      <c r="BQ351" s="77">
        <v>1278.6948392432967</v>
      </c>
      <c r="BR351" s="40">
        <v>0</v>
      </c>
      <c r="BS351" s="55">
        <v>-1278.6948392432967</v>
      </c>
      <c r="BT351" s="39">
        <v>8475.719005359917</v>
      </c>
      <c r="BU351" s="39">
        <v>1955.4629463691053</v>
      </c>
      <c r="BV351" s="52">
        <v>-6520.2560589908117</v>
      </c>
      <c r="BW351" s="39">
        <v>9189.4619349631012</v>
      </c>
      <c r="BX351" s="39">
        <v>9376.1453461932761</v>
      </c>
      <c r="BY351" s="52">
        <v>186.6834112301749</v>
      </c>
      <c r="BZ351" s="39">
        <v>411.15697653478429</v>
      </c>
      <c r="CA351" s="39">
        <v>7802.5670796049062</v>
      </c>
      <c r="CB351" s="52">
        <v>7391.4101030701222</v>
      </c>
      <c r="CC351" s="39">
        <v>211.04009637284133</v>
      </c>
      <c r="CD351" s="39">
        <v>208.20622538726388</v>
      </c>
      <c r="CE351" s="52">
        <v>-2.8338709855774482</v>
      </c>
      <c r="CF351" s="39">
        <v>25.980314894383874</v>
      </c>
      <c r="CG351" s="39">
        <v>0</v>
      </c>
      <c r="CH351" s="52">
        <v>-25.980314894383874</v>
      </c>
      <c r="CI351" s="39">
        <v>2087.0040572569228</v>
      </c>
      <c r="CJ351" s="39">
        <v>3771.5533871474645</v>
      </c>
      <c r="CK351" s="52">
        <v>1684.5493298905417</v>
      </c>
      <c r="CL351" s="39">
        <v>2002.775193959558</v>
      </c>
      <c r="CM351" s="39">
        <v>2145.4503432645397</v>
      </c>
      <c r="CN351" s="52">
        <v>142.67514930498169</v>
      </c>
      <c r="CO351" s="39">
        <v>4089.7792512164806</v>
      </c>
      <c r="CP351" s="40">
        <v>5917.0037304120042</v>
      </c>
      <c r="CQ351" s="52">
        <v>1827.2244791955236</v>
      </c>
      <c r="CR351" s="72">
        <v>51906.844933986118</v>
      </c>
      <c r="CS351" s="5">
        <v>39925.171983876331</v>
      </c>
      <c r="CT351" s="52">
        <v>-11981.672950109787</v>
      </c>
      <c r="CU351" s="77">
        <v>62288.213920783339</v>
      </c>
      <c r="CV351" s="65">
        <v>47910.206380651594</v>
      </c>
      <c r="CW351" s="35">
        <v>-14378.007540131744</v>
      </c>
      <c r="CX351" s="39">
        <v>1557.2053480195837</v>
      </c>
      <c r="CY351" s="39">
        <v>15935.212888151331</v>
      </c>
      <c r="CZ351" s="52">
        <v>14378.007540131748</v>
      </c>
      <c r="DA351" s="150">
        <v>32808.429816484262</v>
      </c>
      <c r="DB351" s="2">
        <v>3</v>
      </c>
      <c r="DC351" s="713">
        <v>61888.3</v>
      </c>
      <c r="DD351" s="714">
        <v>649.29999999999995</v>
      </c>
      <c r="DE351" s="715">
        <v>30679.011108311381</v>
      </c>
      <c r="DF351" s="716">
        <v>-64.120742712835863</v>
      </c>
      <c r="DG351" s="717">
        <v>102582.89116188695</v>
      </c>
      <c r="DH351" s="718">
        <v>312281.38355149189</v>
      </c>
      <c r="DI351" s="718">
        <v>766145.03122563509</v>
      </c>
      <c r="DJ351" s="693">
        <v>652679.11930709926</v>
      </c>
      <c r="DK351" s="724"/>
      <c r="DL351" s="5"/>
      <c r="DM351" s="306">
        <v>5.1778941873449247</v>
      </c>
      <c r="DN351" s="306">
        <v>6.1836081891955024</v>
      </c>
      <c r="DO351" s="306">
        <v>4.0581384682186332</v>
      </c>
      <c r="DP351" s="719">
        <v>31209.288891688622</v>
      </c>
      <c r="DQ351" s="720">
        <v>713.42074271283582</v>
      </c>
      <c r="DR351" s="650">
        <v>31922.709634401457</v>
      </c>
      <c r="DS351" s="94">
        <v>31922.709634401464</v>
      </c>
      <c r="DT351" s="719">
        <v>31201.200000000001</v>
      </c>
      <c r="DU351" s="725">
        <v>713.43</v>
      </c>
      <c r="DV351" s="93">
        <v>31914.63</v>
      </c>
      <c r="DW351" s="95">
        <v>32078.430169203413</v>
      </c>
      <c r="DX351" s="28">
        <v>-163.80016920341222</v>
      </c>
      <c r="DY351" s="1"/>
      <c r="DZ351" s="1"/>
      <c r="EA351" s="5">
        <v>16725.896440344972</v>
      </c>
      <c r="EB351" s="5">
        <v>1189.2</v>
      </c>
      <c r="EC351" s="1"/>
      <c r="ED351" s="1"/>
      <c r="EE351" s="722">
        <v>151914.62633253017</v>
      </c>
      <c r="EF351" s="4"/>
      <c r="EG351" s="42" t="s">
        <v>427</v>
      </c>
    </row>
    <row r="352" spans="1:137" s="2" customFormat="1" x14ac:dyDescent="0.3">
      <c r="A352" s="325">
        <v>150000906</v>
      </c>
      <c r="B352" s="41" t="s">
        <v>826</v>
      </c>
      <c r="C352" s="42" t="s">
        <v>407</v>
      </c>
      <c r="D352" s="27">
        <v>9</v>
      </c>
      <c r="E352" s="709">
        <v>3936.36</v>
      </c>
      <c r="F352" s="723">
        <v>3936.36</v>
      </c>
      <c r="G352" s="28">
        <v>436.6</v>
      </c>
      <c r="H352" s="651">
        <v>0</v>
      </c>
      <c r="I352" s="39">
        <v>1769.4820040665747</v>
      </c>
      <c r="J352" s="39">
        <v>1685.1982564230857</v>
      </c>
      <c r="K352" s="52">
        <v>-84.28374764348905</v>
      </c>
      <c r="L352" s="39">
        <v>453.60976220893593</v>
      </c>
      <c r="M352" s="39">
        <v>392.55216863145301</v>
      </c>
      <c r="N352" s="52">
        <v>-61.057593577482919</v>
      </c>
      <c r="O352" s="39">
        <v>837.74</v>
      </c>
      <c r="P352" s="39">
        <v>837.64</v>
      </c>
      <c r="Q352" s="52">
        <v>-0.10000000000002274</v>
      </c>
      <c r="R352" s="39">
        <v>203.38</v>
      </c>
      <c r="S352" s="39">
        <v>203.34</v>
      </c>
      <c r="T352" s="52">
        <v>-3.9999999999992042E-2</v>
      </c>
      <c r="U352" s="39">
        <v>130.00964065633656</v>
      </c>
      <c r="V352" s="39">
        <v>77.047110649179317</v>
      </c>
      <c r="W352" s="52">
        <v>-52.962530007157241</v>
      </c>
      <c r="X352" s="39">
        <v>1532.8177559537396</v>
      </c>
      <c r="Y352" s="39">
        <v>1075.2037419820365</v>
      </c>
      <c r="Z352" s="52">
        <v>-457.61401397170312</v>
      </c>
      <c r="AA352" s="39">
        <v>0</v>
      </c>
      <c r="AB352" s="39">
        <v>0</v>
      </c>
      <c r="AC352" s="52">
        <v>0</v>
      </c>
      <c r="AD352" s="39">
        <v>2805.2020356738326</v>
      </c>
      <c r="AE352" s="39">
        <v>2353.8908994097646</v>
      </c>
      <c r="AF352" s="35">
        <v>-451.31113626406795</v>
      </c>
      <c r="AG352" s="77">
        <v>7732.241198559419</v>
      </c>
      <c r="AH352" s="53">
        <v>6624.872177095519</v>
      </c>
      <c r="AI352" s="52">
        <v>-1107.3690214639</v>
      </c>
      <c r="AJ352" s="39">
        <v>6913.0950965152351</v>
      </c>
      <c r="AK352" s="39">
        <v>6820.2432671123333</v>
      </c>
      <c r="AL352" s="52">
        <v>-92.851829402901785</v>
      </c>
      <c r="AM352" s="39">
        <v>0</v>
      </c>
      <c r="AN352" s="39">
        <v>0</v>
      </c>
      <c r="AO352" s="52">
        <v>0</v>
      </c>
      <c r="AP352" s="39">
        <v>568.21058573618984</v>
      </c>
      <c r="AQ352" s="39">
        <v>0</v>
      </c>
      <c r="AR352" s="52">
        <v>-568.21058573618984</v>
      </c>
      <c r="AS352" s="39">
        <v>13243.355806017549</v>
      </c>
      <c r="AT352" s="39">
        <v>5510</v>
      </c>
      <c r="AU352" s="54">
        <v>-7733.3558060175492</v>
      </c>
      <c r="AV352" s="39">
        <v>80.878175024060099</v>
      </c>
      <c r="AW352" s="39">
        <v>0</v>
      </c>
      <c r="AX352" s="55">
        <v>-80.878175024060099</v>
      </c>
      <c r="AY352" s="39">
        <v>179.98343394677127</v>
      </c>
      <c r="AZ352" s="39">
        <v>0</v>
      </c>
      <c r="BA352" s="35">
        <v>-179.98343394677127</v>
      </c>
      <c r="BB352" s="39">
        <v>214.01736783688938</v>
      </c>
      <c r="BC352" s="39">
        <v>0</v>
      </c>
      <c r="BD352" s="55">
        <v>-214.01736783688938</v>
      </c>
      <c r="BE352" s="39">
        <v>71.621259226018381</v>
      </c>
      <c r="BF352" s="39">
        <v>0</v>
      </c>
      <c r="BG352" s="38">
        <v>-71.621259226018381</v>
      </c>
      <c r="BH352" s="39">
        <v>39.576741189229679</v>
      </c>
      <c r="BI352" s="39">
        <v>0</v>
      </c>
      <c r="BJ352" s="55">
        <v>-39.576741189229679</v>
      </c>
      <c r="BK352" s="39">
        <v>137.0164525129411</v>
      </c>
      <c r="BL352" s="39">
        <v>0</v>
      </c>
      <c r="BM352" s="38">
        <v>-137.0164525129411</v>
      </c>
      <c r="BN352" s="39">
        <v>0</v>
      </c>
      <c r="BO352" s="39">
        <v>0</v>
      </c>
      <c r="BP352" s="55">
        <v>0</v>
      </c>
      <c r="BQ352" s="77">
        <v>723.09342973590992</v>
      </c>
      <c r="BR352" s="40">
        <v>0</v>
      </c>
      <c r="BS352" s="55">
        <v>-723.09342973590992</v>
      </c>
      <c r="BT352" s="39">
        <v>8035.9768701693192</v>
      </c>
      <c r="BU352" s="39">
        <v>2040.070748502842</v>
      </c>
      <c r="BV352" s="52">
        <v>-5995.9061216664777</v>
      </c>
      <c r="BW352" s="39">
        <v>7500.5258547791373</v>
      </c>
      <c r="BX352" s="39">
        <v>7602.5358151277433</v>
      </c>
      <c r="BY352" s="52">
        <v>102.009960348606</v>
      </c>
      <c r="BZ352" s="39">
        <v>1060.3522026423384</v>
      </c>
      <c r="CA352" s="39">
        <v>8141.1382061762724</v>
      </c>
      <c r="CB352" s="52">
        <v>7080.7860035339345</v>
      </c>
      <c r="CC352" s="39">
        <v>235.60016333748558</v>
      </c>
      <c r="CD352" s="39">
        <v>232.43649691316853</v>
      </c>
      <c r="CE352" s="52">
        <v>-3.1636664243170571</v>
      </c>
      <c r="CF352" s="39">
        <v>29.003807986622277</v>
      </c>
      <c r="CG352" s="39">
        <v>0</v>
      </c>
      <c r="CH352" s="52">
        <v>-29.003807986622277</v>
      </c>
      <c r="CI352" s="39">
        <v>876.60409579849829</v>
      </c>
      <c r="CJ352" s="39">
        <v>532.94744098547005</v>
      </c>
      <c r="CK352" s="52">
        <v>-343.65665481302824</v>
      </c>
      <c r="CL352" s="39">
        <v>1054.4205849818234</v>
      </c>
      <c r="CM352" s="39">
        <v>597.64048295480472</v>
      </c>
      <c r="CN352" s="52">
        <v>-456.78010202701864</v>
      </c>
      <c r="CO352" s="39">
        <v>1931.0246807803217</v>
      </c>
      <c r="CP352" s="40">
        <v>1130.5879239402748</v>
      </c>
      <c r="CQ352" s="52">
        <v>-800.43675684004688</v>
      </c>
      <c r="CR352" s="72">
        <v>47972.479696259521</v>
      </c>
      <c r="CS352" s="5">
        <v>38101.884634868155</v>
      </c>
      <c r="CT352" s="52">
        <v>-9870.5950613913665</v>
      </c>
      <c r="CU352" s="77">
        <v>57566.975635511422</v>
      </c>
      <c r="CV352" s="65">
        <v>45722.261561841784</v>
      </c>
      <c r="CW352" s="35">
        <v>-11844.714073669638</v>
      </c>
      <c r="CX352" s="39">
        <v>863.50463453267128</v>
      </c>
      <c r="CY352" s="39">
        <v>12708.218708202305</v>
      </c>
      <c r="CZ352" s="52">
        <v>11844.714073669633</v>
      </c>
      <c r="DA352" s="150">
        <v>16488.20831515039</v>
      </c>
      <c r="DB352" s="2">
        <v>3</v>
      </c>
      <c r="DC352" s="713">
        <v>43208.959999999999</v>
      </c>
      <c r="DD352" s="714"/>
      <c r="DE352" s="715">
        <v>13993.719864977953</v>
      </c>
      <c r="DF352" s="716">
        <v>0</v>
      </c>
      <c r="DG352" s="717">
        <v>98053.129628535302</v>
      </c>
      <c r="DH352" s="718">
        <v>283405.56473425555</v>
      </c>
      <c r="DI352" s="718">
        <v>701165.76324052911</v>
      </c>
      <c r="DJ352" s="693">
        <v>596725.71361396066</v>
      </c>
      <c r="DK352" s="724"/>
      <c r="DL352" s="5"/>
      <c r="DM352" s="306">
        <v>6.1892263626777879</v>
      </c>
      <c r="DN352" s="306">
        <v>7.5756691616216321</v>
      </c>
      <c r="DO352" s="306">
        <v>5.0288090620344281</v>
      </c>
      <c r="DP352" s="719">
        <v>29215.240135022046</v>
      </c>
      <c r="DQ352" s="720">
        <v>0</v>
      </c>
      <c r="DR352" s="650">
        <v>29215.240135022046</v>
      </c>
      <c r="DS352" s="94">
        <v>29215.240135022046</v>
      </c>
      <c r="DT352" s="719">
        <v>29218.28</v>
      </c>
      <c r="DU352" s="721"/>
      <c r="DV352" s="93">
        <v>29218.28</v>
      </c>
      <c r="DW352" s="95">
        <v>29301.590598475315</v>
      </c>
      <c r="DX352" s="28">
        <v>-83.31059847531651</v>
      </c>
      <c r="DY352" s="1"/>
      <c r="DZ352" s="1"/>
      <c r="EA352" s="5">
        <v>16759.739082904151</v>
      </c>
      <c r="EB352" s="5">
        <v>6612</v>
      </c>
      <c r="EC352" s="1"/>
      <c r="ED352" s="1"/>
      <c r="EE352" s="722">
        <v>158920.26967221059</v>
      </c>
      <c r="EF352" s="1"/>
      <c r="EG352" s="42" t="s">
        <v>407</v>
      </c>
    </row>
    <row r="353" spans="1:137" s="274" customFormat="1" x14ac:dyDescent="0.3">
      <c r="A353" s="325">
        <v>150000907</v>
      </c>
      <c r="B353" s="41" t="s">
        <v>827</v>
      </c>
      <c r="C353" s="42" t="s">
        <v>408</v>
      </c>
      <c r="D353" s="27">
        <v>9</v>
      </c>
      <c r="E353" s="709">
        <v>6307.74</v>
      </c>
      <c r="F353" s="723">
        <v>6307.74</v>
      </c>
      <c r="G353" s="28">
        <v>689.99</v>
      </c>
      <c r="H353" s="651">
        <v>0</v>
      </c>
      <c r="I353" s="39">
        <v>4229.0729249321193</v>
      </c>
      <c r="J353" s="39">
        <v>4015.9768156036598</v>
      </c>
      <c r="K353" s="52">
        <v>-213.09610932845953</v>
      </c>
      <c r="L353" s="39">
        <v>689.93201572403495</v>
      </c>
      <c r="M353" s="39">
        <v>597.06510536573478</v>
      </c>
      <c r="N353" s="52">
        <v>-92.866910358300174</v>
      </c>
      <c r="O353" s="39">
        <v>1369.08</v>
      </c>
      <c r="P353" s="39">
        <v>1368.86</v>
      </c>
      <c r="Q353" s="52">
        <v>-0.22000000000002728</v>
      </c>
      <c r="R353" s="39">
        <v>322.48</v>
      </c>
      <c r="S353" s="39">
        <v>322.76</v>
      </c>
      <c r="T353" s="52">
        <v>0.27999999999997272</v>
      </c>
      <c r="U353" s="39">
        <v>195.03873136964788</v>
      </c>
      <c r="V353" s="39">
        <v>115.58527483054735</v>
      </c>
      <c r="W353" s="52">
        <v>-79.453456539100529</v>
      </c>
      <c r="X353" s="39">
        <v>1641.1325516528952</v>
      </c>
      <c r="Y353" s="39">
        <v>1158.5202812361476</v>
      </c>
      <c r="Z353" s="52">
        <v>-482.61227041674761</v>
      </c>
      <c r="AA353" s="39">
        <v>0</v>
      </c>
      <c r="AB353" s="39">
        <v>0</v>
      </c>
      <c r="AC353" s="52">
        <v>0</v>
      </c>
      <c r="AD353" s="39">
        <v>4495.1389325420587</v>
      </c>
      <c r="AE353" s="39">
        <v>3771.9445837888165</v>
      </c>
      <c r="AF353" s="35">
        <v>-723.19434875324214</v>
      </c>
      <c r="AG353" s="77">
        <v>12941.875156220756</v>
      </c>
      <c r="AH353" s="53">
        <v>11350.712060824906</v>
      </c>
      <c r="AI353" s="52">
        <v>-1591.1630953958502</v>
      </c>
      <c r="AJ353" s="39">
        <v>14402.266595894693</v>
      </c>
      <c r="AK353" s="39">
        <v>14208.849299630889</v>
      </c>
      <c r="AL353" s="52">
        <v>-193.41729626380402</v>
      </c>
      <c r="AM353" s="39">
        <v>0</v>
      </c>
      <c r="AN353" s="39">
        <v>0</v>
      </c>
      <c r="AO353" s="52">
        <v>0</v>
      </c>
      <c r="AP353" s="39">
        <v>852.31587860428476</v>
      </c>
      <c r="AQ353" s="39">
        <v>0</v>
      </c>
      <c r="AR353" s="52">
        <v>-852.31587860428476</v>
      </c>
      <c r="AS353" s="39">
        <v>19965.106872581044</v>
      </c>
      <c r="AT353" s="39">
        <v>629.47704125635255</v>
      </c>
      <c r="AU353" s="54">
        <v>-19335.629831324692</v>
      </c>
      <c r="AV353" s="39">
        <v>340.67941004900786</v>
      </c>
      <c r="AW353" s="39">
        <v>0</v>
      </c>
      <c r="AX353" s="55">
        <v>-340.67941004900786</v>
      </c>
      <c r="AY353" s="39">
        <v>456.07431114941113</v>
      </c>
      <c r="AZ353" s="39">
        <v>0</v>
      </c>
      <c r="BA353" s="35">
        <v>-456.07431114941113</v>
      </c>
      <c r="BB353" s="39">
        <v>1150.4514219355508</v>
      </c>
      <c r="BC353" s="39">
        <v>0</v>
      </c>
      <c r="BD353" s="55">
        <v>-1150.4514219355508</v>
      </c>
      <c r="BE353" s="39">
        <v>365.27880722162689</v>
      </c>
      <c r="BF353" s="39">
        <v>0</v>
      </c>
      <c r="BG353" s="38">
        <v>-365.27880722162689</v>
      </c>
      <c r="BH353" s="39">
        <v>98.941812127749259</v>
      </c>
      <c r="BI353" s="39">
        <v>0</v>
      </c>
      <c r="BJ353" s="55">
        <v>-98.941812127749259</v>
      </c>
      <c r="BK353" s="39">
        <v>393.71141400837746</v>
      </c>
      <c r="BL353" s="39">
        <v>0</v>
      </c>
      <c r="BM353" s="38">
        <v>-393.71141400837746</v>
      </c>
      <c r="BN353" s="39">
        <v>0</v>
      </c>
      <c r="BO353" s="39">
        <v>0</v>
      </c>
      <c r="BP353" s="55">
        <v>0</v>
      </c>
      <c r="BQ353" s="77">
        <v>2805.1371764917239</v>
      </c>
      <c r="BR353" s="40">
        <v>0</v>
      </c>
      <c r="BS353" s="55">
        <v>-2805.1371764917239</v>
      </c>
      <c r="BT353" s="39">
        <v>6367.3819027450727</v>
      </c>
      <c r="BU353" s="39">
        <v>1019.8762359307511</v>
      </c>
      <c r="BV353" s="52">
        <v>-5347.5056668143216</v>
      </c>
      <c r="BW353" s="39">
        <v>6003.0422866740437</v>
      </c>
      <c r="BX353" s="39">
        <v>3428.3936258363065</v>
      </c>
      <c r="BY353" s="52">
        <v>-2574.6486608377372</v>
      </c>
      <c r="BZ353" s="39">
        <v>1448.026504015116</v>
      </c>
      <c r="CA353" s="39">
        <v>4395.5970383866224</v>
      </c>
      <c r="CB353" s="52">
        <v>2947.5705343715063</v>
      </c>
      <c r="CC353" s="39">
        <v>386.0489567795878</v>
      </c>
      <c r="CD353" s="39">
        <v>380.86504644011688</v>
      </c>
      <c r="CE353" s="52">
        <v>-5.1839103394709127</v>
      </c>
      <c r="CF353" s="39">
        <v>47.524966270214406</v>
      </c>
      <c r="CG353" s="39">
        <v>0</v>
      </c>
      <c r="CH353" s="52">
        <v>-47.524966270214406</v>
      </c>
      <c r="CI353" s="39">
        <v>4969.5029345445118</v>
      </c>
      <c r="CJ353" s="39">
        <v>3992.036589533855</v>
      </c>
      <c r="CK353" s="52">
        <v>-977.46634501065682</v>
      </c>
      <c r="CL353" s="39">
        <v>1927.9050932507898</v>
      </c>
      <c r="CM353" s="39">
        <v>2501.2152948768694</v>
      </c>
      <c r="CN353" s="52">
        <v>573.31020162607956</v>
      </c>
      <c r="CO353" s="39">
        <v>6897.4080277953017</v>
      </c>
      <c r="CP353" s="40">
        <v>6493.2518844107244</v>
      </c>
      <c r="CQ353" s="52">
        <v>-404.15614338457726</v>
      </c>
      <c r="CR353" s="72">
        <v>72116.134324071827</v>
      </c>
      <c r="CS353" s="5">
        <v>41907.02223271667</v>
      </c>
      <c r="CT353" s="52">
        <v>-30209.112091355157</v>
      </c>
      <c r="CU353" s="77">
        <v>86539.361188886192</v>
      </c>
      <c r="CV353" s="65">
        <v>50288.426679260003</v>
      </c>
      <c r="CW353" s="35">
        <v>-36250.93450962619</v>
      </c>
      <c r="CX353" s="39">
        <v>1298.0904178332928</v>
      </c>
      <c r="CY353" s="39">
        <v>37549.024927459483</v>
      </c>
      <c r="CZ353" s="52">
        <v>36250.93450962619</v>
      </c>
      <c r="DA353" s="150">
        <v>64696.862667885362</v>
      </c>
      <c r="DB353" s="2">
        <v>3</v>
      </c>
      <c r="DC353" s="713">
        <v>86838.76</v>
      </c>
      <c r="DD353" s="714"/>
      <c r="DE353" s="715">
        <v>42920.034196640256</v>
      </c>
      <c r="DF353" s="716">
        <v>0</v>
      </c>
      <c r="DG353" s="717">
        <v>63859.543497020451</v>
      </c>
      <c r="DH353" s="718">
        <v>467815.7092660357</v>
      </c>
      <c r="DI353" s="718">
        <v>1054049.4192806338</v>
      </c>
      <c r="DJ353" s="693">
        <v>907490.9917769843</v>
      </c>
      <c r="DK353" s="724"/>
      <c r="DL353" s="5"/>
      <c r="DM353" s="306">
        <v>5.3860259371296442</v>
      </c>
      <c r="DN353" s="306">
        <v>7.1563209055226125</v>
      </c>
      <c r="DO353" s="306">
        <v>4.8064439073401326</v>
      </c>
      <c r="DP353" s="719">
        <v>43918.725803359739</v>
      </c>
      <c r="DQ353" s="720">
        <v>0</v>
      </c>
      <c r="DR353" s="650">
        <v>43918.725803359739</v>
      </c>
      <c r="DS353" s="94">
        <v>43918.725803359739</v>
      </c>
      <c r="DT353" s="719">
        <v>43917.74</v>
      </c>
      <c r="DU353" s="721"/>
      <c r="DV353" s="93">
        <v>43917.74</v>
      </c>
      <c r="DW353" s="95">
        <v>44048.534845143069</v>
      </c>
      <c r="DX353" s="28">
        <v>-130.79484514307114</v>
      </c>
      <c r="DY353" s="1"/>
      <c r="DZ353" s="1"/>
      <c r="EA353" s="5">
        <v>27324.292858887322</v>
      </c>
      <c r="EB353" s="5">
        <v>755.37244950762306</v>
      </c>
      <c r="EC353" s="1"/>
      <c r="ED353" s="1"/>
      <c r="EE353" s="722">
        <v>239581.28247097251</v>
      </c>
      <c r="EF353" s="1"/>
      <c r="EG353" s="42" t="s">
        <v>408</v>
      </c>
    </row>
    <row r="354" spans="1:137" s="4" customFormat="1" x14ac:dyDescent="0.3">
      <c r="A354" s="325">
        <v>150000908</v>
      </c>
      <c r="B354" s="41" t="s">
        <v>828</v>
      </c>
      <c r="C354" s="42" t="s">
        <v>409</v>
      </c>
      <c r="D354" s="27">
        <v>9</v>
      </c>
      <c r="E354" s="709">
        <v>6324.72</v>
      </c>
      <c r="F354" s="723">
        <v>6280.52</v>
      </c>
      <c r="G354" s="28">
        <v>653.29</v>
      </c>
      <c r="H354" s="651">
        <v>44.2</v>
      </c>
      <c r="I354" s="39">
        <v>4218.6693447917187</v>
      </c>
      <c r="J354" s="39">
        <v>4005.8806302218545</v>
      </c>
      <c r="K354" s="52">
        <v>-212.78871456986417</v>
      </c>
      <c r="L354" s="39">
        <v>691.31354053011785</v>
      </c>
      <c r="M354" s="39">
        <v>598.26008913630233</v>
      </c>
      <c r="N354" s="52">
        <v>-93.053451393815521</v>
      </c>
      <c r="O354" s="39">
        <v>1372.38</v>
      </c>
      <c r="P354" s="39">
        <v>1372.86</v>
      </c>
      <c r="Q354" s="52">
        <v>0.47999999999979082</v>
      </c>
      <c r="R354" s="39">
        <v>322.32</v>
      </c>
      <c r="S354" s="39">
        <v>322.16000000000003</v>
      </c>
      <c r="T354" s="52">
        <v>-0.15999999999996817</v>
      </c>
      <c r="U354" s="39">
        <v>195.03873136964788</v>
      </c>
      <c r="V354" s="39">
        <v>115.58527483054735</v>
      </c>
      <c r="W354" s="52">
        <v>-79.453456539100529</v>
      </c>
      <c r="X354" s="39">
        <v>1652.3817105886289</v>
      </c>
      <c r="Y354" s="39">
        <v>1238.4921424241102</v>
      </c>
      <c r="Z354" s="52">
        <v>-413.88956816451878</v>
      </c>
      <c r="AA354" s="39">
        <v>0</v>
      </c>
      <c r="AB354" s="39">
        <v>0</v>
      </c>
      <c r="AC354" s="52">
        <v>0</v>
      </c>
      <c r="AD354" s="39">
        <v>4507.2395357810265</v>
      </c>
      <c r="AE354" s="39">
        <v>3782.0983978383392</v>
      </c>
      <c r="AF354" s="35">
        <v>-725.14113794268724</v>
      </c>
      <c r="AG354" s="77">
        <v>12959.342863061142</v>
      </c>
      <c r="AH354" s="53">
        <v>11435.336534451153</v>
      </c>
      <c r="AI354" s="52">
        <v>-1524.0063286099885</v>
      </c>
      <c r="AJ354" s="39">
        <v>14402.266595894693</v>
      </c>
      <c r="AK354" s="39">
        <v>14208.849299630889</v>
      </c>
      <c r="AL354" s="52">
        <v>-193.41729626380402</v>
      </c>
      <c r="AM354" s="39">
        <v>0</v>
      </c>
      <c r="AN354" s="39">
        <v>0</v>
      </c>
      <c r="AO354" s="52">
        <v>0</v>
      </c>
      <c r="AP354" s="39">
        <v>836.53225122272397</v>
      </c>
      <c r="AQ354" s="39">
        <v>0</v>
      </c>
      <c r="AR354" s="52">
        <v>-836.53225122272397</v>
      </c>
      <c r="AS354" s="39">
        <v>19644.542428767843</v>
      </c>
      <c r="AT354" s="39">
        <v>23873.024456457337</v>
      </c>
      <c r="AU354" s="54">
        <v>4228.4820276894934</v>
      </c>
      <c r="AV354" s="39">
        <v>341.10193611683809</v>
      </c>
      <c r="AW354" s="39">
        <v>0</v>
      </c>
      <c r="AX354" s="55">
        <v>-341.10193611683809</v>
      </c>
      <c r="AY354" s="39">
        <v>456.98718243290779</v>
      </c>
      <c r="AZ354" s="39">
        <v>0</v>
      </c>
      <c r="BA354" s="35">
        <v>-456.98718243290779</v>
      </c>
      <c r="BB354" s="39">
        <v>1118.9449665843622</v>
      </c>
      <c r="BC354" s="39">
        <v>2046</v>
      </c>
      <c r="BD354" s="55">
        <v>927.05503341563781</v>
      </c>
      <c r="BE354" s="39">
        <v>365.34992358096986</v>
      </c>
      <c r="BF354" s="39">
        <v>0</v>
      </c>
      <c r="BG354" s="38">
        <v>-365.34992358096986</v>
      </c>
      <c r="BH354" s="39">
        <v>98.941812127749259</v>
      </c>
      <c r="BI354" s="39">
        <v>0</v>
      </c>
      <c r="BJ354" s="55">
        <v>-98.941812127749259</v>
      </c>
      <c r="BK354" s="39">
        <v>395.44141636158889</v>
      </c>
      <c r="BL354" s="39">
        <v>0</v>
      </c>
      <c r="BM354" s="38">
        <v>-395.44141636158889</v>
      </c>
      <c r="BN354" s="39">
        <v>0</v>
      </c>
      <c r="BO354" s="39">
        <v>0</v>
      </c>
      <c r="BP354" s="55">
        <v>0</v>
      </c>
      <c r="BQ354" s="77">
        <v>2776.7672372044162</v>
      </c>
      <c r="BR354" s="40">
        <v>2046</v>
      </c>
      <c r="BS354" s="55">
        <v>-730.76723720441623</v>
      </c>
      <c r="BT354" s="39">
        <v>6472.3726902779981</v>
      </c>
      <c r="BU354" s="39">
        <v>1795.2994942642656</v>
      </c>
      <c r="BV354" s="52">
        <v>-4677.0731960137327</v>
      </c>
      <c r="BW354" s="39">
        <v>6600.1771265409279</v>
      </c>
      <c r="BX354" s="39">
        <v>6806.6110439237655</v>
      </c>
      <c r="BY354" s="52">
        <v>206.43391738283754</v>
      </c>
      <c r="BZ354" s="39">
        <v>1444.1028069688332</v>
      </c>
      <c r="CA354" s="39">
        <v>6953.3956334635586</v>
      </c>
      <c r="CB354" s="52">
        <v>5509.2928264947259</v>
      </c>
      <c r="CC354" s="39">
        <v>408.84422851323967</v>
      </c>
      <c r="CD354" s="39">
        <v>403.35422061086672</v>
      </c>
      <c r="CE354" s="52">
        <v>-5.4900079023729518</v>
      </c>
      <c r="CF354" s="39">
        <v>50.331202373788983</v>
      </c>
      <c r="CG354" s="39">
        <v>0</v>
      </c>
      <c r="CH354" s="52">
        <v>-50.331202373788983</v>
      </c>
      <c r="CI354" s="39">
        <v>3219.4143304770473</v>
      </c>
      <c r="CJ354" s="39">
        <v>3035.7410545008647</v>
      </c>
      <c r="CK354" s="52">
        <v>-183.67327597618259</v>
      </c>
      <c r="CL354" s="39">
        <v>1815.5999421876372</v>
      </c>
      <c r="CM354" s="39">
        <v>2256.6626132521997</v>
      </c>
      <c r="CN354" s="52">
        <v>441.06267106456244</v>
      </c>
      <c r="CO354" s="39">
        <v>5035.0142726646845</v>
      </c>
      <c r="CP354" s="40">
        <v>5292.4036677530639</v>
      </c>
      <c r="CQ354" s="52">
        <v>257.38939508837939</v>
      </c>
      <c r="CR354" s="72">
        <v>70630.293703490301</v>
      </c>
      <c r="CS354" s="5">
        <v>72814.274350554915</v>
      </c>
      <c r="CT354" s="52">
        <v>2183.9806470646145</v>
      </c>
      <c r="CU354" s="77">
        <v>84756.352444188364</v>
      </c>
      <c r="CV354" s="65">
        <v>87377.129220665898</v>
      </c>
      <c r="CW354" s="35">
        <v>2620.7767764775344</v>
      </c>
      <c r="CX354" s="39">
        <v>1271.3452866628254</v>
      </c>
      <c r="CY354" s="39">
        <v>-1349.4314898146949</v>
      </c>
      <c r="CZ354" s="52">
        <v>-2620.7767764775203</v>
      </c>
      <c r="DA354" s="150">
        <v>26798.534929620502</v>
      </c>
      <c r="DB354" s="2">
        <v>3</v>
      </c>
      <c r="DC354" s="713">
        <v>68952.7</v>
      </c>
      <c r="DD354" s="714">
        <v>203.48</v>
      </c>
      <c r="DE354" s="715">
        <v>26142.338495927346</v>
      </c>
      <c r="DF354" s="716">
        <v>-7.3613529476972417E-3</v>
      </c>
      <c r="DG354" s="717">
        <v>105301.50172932954</v>
      </c>
      <c r="DH354" s="718">
        <v>449564.90184363752</v>
      </c>
      <c r="DI354" s="718">
        <v>1032332.3727702142</v>
      </c>
      <c r="DJ354" s="693">
        <v>886640.50503857015</v>
      </c>
      <c r="DK354" s="724"/>
      <c r="DL354" s="5"/>
      <c r="DM354" s="306">
        <v>5.2437824865425959</v>
      </c>
      <c r="DN354" s="306">
        <v>6.9989410142182269</v>
      </c>
      <c r="DO354" s="306">
        <v>4.6037864559490425</v>
      </c>
      <c r="DP354" s="719">
        <v>42810.361504072651</v>
      </c>
      <c r="DQ354" s="720">
        <v>203.48736135294769</v>
      </c>
      <c r="DR354" s="650">
        <v>43013.8488654256</v>
      </c>
      <c r="DS354" s="94">
        <v>43013.848865425585</v>
      </c>
      <c r="DT354" s="719">
        <v>42727.58</v>
      </c>
      <c r="DU354" s="725">
        <v>203.48</v>
      </c>
      <c r="DV354" s="93">
        <v>42931.060000000005</v>
      </c>
      <c r="DW354" s="95">
        <v>43140.983394091862</v>
      </c>
      <c r="DX354" s="28">
        <v>-209.92339409185661</v>
      </c>
      <c r="DY354" s="1"/>
      <c r="DZ354" s="1"/>
      <c r="EA354" s="5">
        <v>26905.571599166709</v>
      </c>
      <c r="EB354" s="5">
        <v>31102.829347748804</v>
      </c>
      <c r="EC354" s="1"/>
      <c r="ED354" s="1"/>
      <c r="EE354" s="722">
        <v>235734.50914521411</v>
      </c>
      <c r="EF354" s="2"/>
      <c r="EG354" s="42" t="s">
        <v>409</v>
      </c>
    </row>
    <row r="355" spans="1:137" x14ac:dyDescent="0.3">
      <c r="A355" s="325">
        <v>150000909</v>
      </c>
      <c r="B355" s="41" t="s">
        <v>829</v>
      </c>
      <c r="C355" s="42" t="s">
        <v>410</v>
      </c>
      <c r="D355" s="27">
        <v>9</v>
      </c>
      <c r="E355" s="709">
        <v>6335.19</v>
      </c>
      <c r="F355" s="723">
        <v>6335.19</v>
      </c>
      <c r="G355" s="28">
        <v>691.97</v>
      </c>
      <c r="H355" s="651">
        <v>0</v>
      </c>
      <c r="I355" s="39">
        <v>4213.5205224714955</v>
      </c>
      <c r="J355" s="39">
        <v>4001.8425214971548</v>
      </c>
      <c r="K355" s="52">
        <v>-211.67800097434065</v>
      </c>
      <c r="L355" s="39">
        <v>687.51585859041313</v>
      </c>
      <c r="M355" s="39">
        <v>594.97388376724132</v>
      </c>
      <c r="N355" s="52">
        <v>-92.541974823171813</v>
      </c>
      <c r="O355" s="39">
        <v>1376.08</v>
      </c>
      <c r="P355" s="39">
        <v>1375.86</v>
      </c>
      <c r="Q355" s="52">
        <v>-0.22000000000002728</v>
      </c>
      <c r="R355" s="39">
        <v>333</v>
      </c>
      <c r="S355" s="39">
        <v>332.62</v>
      </c>
      <c r="T355" s="52">
        <v>-0.37999999999999545</v>
      </c>
      <c r="U355" s="39">
        <v>195.03873136964788</v>
      </c>
      <c r="V355" s="39">
        <v>115.58527483054735</v>
      </c>
      <c r="W355" s="52">
        <v>-79.453456539100529</v>
      </c>
      <c r="X355" s="39">
        <v>1621.4226940991348</v>
      </c>
      <c r="Y355" s="39">
        <v>1143.541828218612</v>
      </c>
      <c r="Z355" s="52">
        <v>-477.88086588052283</v>
      </c>
      <c r="AA355" s="39">
        <v>0</v>
      </c>
      <c r="AB355" s="39">
        <v>0</v>
      </c>
      <c r="AC355" s="52">
        <v>0</v>
      </c>
      <c r="AD355" s="39">
        <v>4514.7008618064674</v>
      </c>
      <c r="AE355" s="39">
        <v>3788.3593185155178</v>
      </c>
      <c r="AF355" s="35">
        <v>-726.34154329094963</v>
      </c>
      <c r="AG355" s="77">
        <v>12941.27866833716</v>
      </c>
      <c r="AH355" s="53">
        <v>11352.782826829072</v>
      </c>
      <c r="AI355" s="52">
        <v>-1588.4958415080873</v>
      </c>
      <c r="AJ355" s="39">
        <v>8621.7600347441276</v>
      </c>
      <c r="AK355" s="39">
        <v>8505.986037162611</v>
      </c>
      <c r="AL355" s="52">
        <v>-115.7739975815166</v>
      </c>
      <c r="AM355" s="39">
        <v>0</v>
      </c>
      <c r="AN355" s="39">
        <v>0</v>
      </c>
      <c r="AO355" s="52">
        <v>0</v>
      </c>
      <c r="AP355" s="39">
        <v>852.31587860428476</v>
      </c>
      <c r="AQ355" s="39">
        <v>0</v>
      </c>
      <c r="AR355" s="52">
        <v>-852.31587860428476</v>
      </c>
      <c r="AS355" s="39">
        <v>19561.369038329085</v>
      </c>
      <c r="AT355" s="39">
        <v>1172.6334533613267</v>
      </c>
      <c r="AU355" s="54">
        <v>-18388.735584967759</v>
      </c>
      <c r="AV355" s="39">
        <v>338.94789082903128</v>
      </c>
      <c r="AW355" s="39">
        <v>505</v>
      </c>
      <c r="AX355" s="55">
        <v>166.05210917096872</v>
      </c>
      <c r="AY355" s="39">
        <v>454.5350152089967</v>
      </c>
      <c r="AZ355" s="39">
        <v>0</v>
      </c>
      <c r="BA355" s="35">
        <v>-454.5350152089967</v>
      </c>
      <c r="BB355" s="39">
        <v>1157.2474197511715</v>
      </c>
      <c r="BC355" s="39">
        <v>1527</v>
      </c>
      <c r="BD355" s="55">
        <v>369.75258024882851</v>
      </c>
      <c r="BE355" s="39">
        <v>368.35609494407032</v>
      </c>
      <c r="BF355" s="39">
        <v>0</v>
      </c>
      <c r="BG355" s="38">
        <v>-368.35609494407032</v>
      </c>
      <c r="BH355" s="39">
        <v>98.941812127749259</v>
      </c>
      <c r="BI355" s="39">
        <v>0</v>
      </c>
      <c r="BJ355" s="55">
        <v>-98.941812127749259</v>
      </c>
      <c r="BK355" s="39">
        <v>390.76670427356618</v>
      </c>
      <c r="BL355" s="39">
        <v>0</v>
      </c>
      <c r="BM355" s="38">
        <v>-390.76670427356618</v>
      </c>
      <c r="BN355" s="39">
        <v>0</v>
      </c>
      <c r="BO355" s="39">
        <v>0</v>
      </c>
      <c r="BP355" s="55">
        <v>0</v>
      </c>
      <c r="BQ355" s="77">
        <v>2808.7949371345853</v>
      </c>
      <c r="BR355" s="40">
        <v>2032</v>
      </c>
      <c r="BS355" s="55">
        <v>-776.79493713458533</v>
      </c>
      <c r="BT355" s="39">
        <v>6708.69254836253</v>
      </c>
      <c r="BU355" s="39">
        <v>1859.5505513090684</v>
      </c>
      <c r="BV355" s="52">
        <v>-4849.1419970534616</v>
      </c>
      <c r="BW355" s="39">
        <v>6832.3680887851806</v>
      </c>
      <c r="BX355" s="39">
        <v>6955.4551780984475</v>
      </c>
      <c r="BY355" s="52">
        <v>123.08708931326692</v>
      </c>
      <c r="BZ355" s="39">
        <v>1621.2047380928243</v>
      </c>
      <c r="CA355" s="39">
        <v>7271.1054627483481</v>
      </c>
      <c r="CB355" s="52">
        <v>5649.9007246555238</v>
      </c>
      <c r="CC355" s="39">
        <v>408.74618433374008</v>
      </c>
      <c r="CD355" s="39">
        <v>403.25749298002472</v>
      </c>
      <c r="CE355" s="52">
        <v>-5.4886913537153532</v>
      </c>
      <c r="CF355" s="39">
        <v>50.31913254108543</v>
      </c>
      <c r="CG355" s="39">
        <v>0</v>
      </c>
      <c r="CH355" s="52">
        <v>-50.31913254108543</v>
      </c>
      <c r="CI355" s="39">
        <v>2392.723635151061</v>
      </c>
      <c r="CJ355" s="39">
        <v>3147.9644450965498</v>
      </c>
      <c r="CK355" s="52">
        <v>755.24080994548876</v>
      </c>
      <c r="CL355" s="39">
        <v>3584.4060714322941</v>
      </c>
      <c r="CM355" s="39">
        <v>4721.1765123832847</v>
      </c>
      <c r="CN355" s="52">
        <v>1136.7704409509906</v>
      </c>
      <c r="CO355" s="39">
        <v>5977.1297065833551</v>
      </c>
      <c r="CP355" s="40">
        <v>7869.1409574798345</v>
      </c>
      <c r="CQ355" s="52">
        <v>1892.0112508964794</v>
      </c>
      <c r="CR355" s="72">
        <v>66383.978955847953</v>
      </c>
      <c r="CS355" s="5">
        <v>47421.911959968726</v>
      </c>
      <c r="CT355" s="52">
        <v>-18962.066995879228</v>
      </c>
      <c r="CU355" s="77">
        <v>79660.774747017538</v>
      </c>
      <c r="CV355" s="65">
        <v>56906.294351962468</v>
      </c>
      <c r="CW355" s="35">
        <v>-22754.48039505507</v>
      </c>
      <c r="CX355" s="39">
        <v>1194.9116212052629</v>
      </c>
      <c r="CY355" s="39">
        <v>23949.392016260321</v>
      </c>
      <c r="CZ355" s="52">
        <v>22754.480395055059</v>
      </c>
      <c r="DA355" s="150">
        <v>6.4169590365454496</v>
      </c>
      <c r="DB355" s="2">
        <v>3</v>
      </c>
      <c r="DC355" s="713">
        <v>88253.36</v>
      </c>
      <c r="DD355" s="714"/>
      <c r="DE355" s="715">
        <v>47825.516815888608</v>
      </c>
      <c r="DF355" s="716">
        <v>0</v>
      </c>
      <c r="DG355" s="717">
        <v>1168.3082463747305</v>
      </c>
      <c r="DH355" s="718">
        <v>408591.53489851393</v>
      </c>
      <c r="DI355" s="718">
        <v>970268.23641867354</v>
      </c>
      <c r="DJ355" s="693">
        <v>829849.06103863369</v>
      </c>
      <c r="DK355" s="724"/>
      <c r="DL355" s="5"/>
      <c r="DM355" s="306">
        <v>5.2080976301342128</v>
      </c>
      <c r="DN355" s="306">
        <v>6.5253518145646332</v>
      </c>
      <c r="DO355" s="306">
        <v>4.551304042874766</v>
      </c>
      <c r="DP355" s="719">
        <v>40427.843184111392</v>
      </c>
      <c r="DQ355" s="720">
        <v>0</v>
      </c>
      <c r="DR355" s="650">
        <v>40427.843184111392</v>
      </c>
      <c r="DS355" s="94">
        <v>40427.843184111407</v>
      </c>
      <c r="DT355" s="719">
        <v>40427.120000000003</v>
      </c>
      <c r="DU355" s="721"/>
      <c r="DV355" s="93">
        <v>40427.120000000003</v>
      </c>
      <c r="DW355" s="95">
        <v>40547.334346231924</v>
      </c>
      <c r="DX355" s="28">
        <v>-120.21434623192181</v>
      </c>
      <c r="EA355" s="5">
        <v>26844.196770556406</v>
      </c>
      <c r="EB355" s="5">
        <v>3845.5601440335918</v>
      </c>
      <c r="EE355" s="722">
        <v>234736.42845994903</v>
      </c>
      <c r="EF355" s="2"/>
      <c r="EG355" s="42" t="s">
        <v>410</v>
      </c>
    </row>
    <row r="356" spans="1:137" x14ac:dyDescent="0.3">
      <c r="A356" s="325">
        <v>150000910</v>
      </c>
      <c r="B356" s="41" t="s">
        <v>830</v>
      </c>
      <c r="C356" s="42" t="s">
        <v>411</v>
      </c>
      <c r="D356" s="27">
        <v>9</v>
      </c>
      <c r="E356" s="709">
        <v>6347.35</v>
      </c>
      <c r="F356" s="723">
        <v>6232.25</v>
      </c>
      <c r="G356" s="28">
        <v>576.05999999999995</v>
      </c>
      <c r="H356" s="651">
        <v>115.1</v>
      </c>
      <c r="I356" s="39">
        <v>4194.3142295178504</v>
      </c>
      <c r="J356" s="39">
        <v>3983.6871571507982</v>
      </c>
      <c r="K356" s="52">
        <v>-210.62707236705228</v>
      </c>
      <c r="L356" s="39">
        <v>688.69978930805587</v>
      </c>
      <c r="M356" s="39">
        <v>595.99815557058503</v>
      </c>
      <c r="N356" s="52">
        <v>-92.701633737470843</v>
      </c>
      <c r="O356" s="39">
        <v>1376.08</v>
      </c>
      <c r="P356" s="39">
        <v>1376.3</v>
      </c>
      <c r="Q356" s="52">
        <v>0.22000000000002728</v>
      </c>
      <c r="R356" s="39">
        <v>324.64</v>
      </c>
      <c r="S356" s="39">
        <v>324.76</v>
      </c>
      <c r="T356" s="52">
        <v>0.12000000000000455</v>
      </c>
      <c r="U356" s="39">
        <v>195.03873136964788</v>
      </c>
      <c r="V356" s="39">
        <v>115.58527483054735</v>
      </c>
      <c r="W356" s="52">
        <v>-79.453456539100529</v>
      </c>
      <c r="X356" s="39">
        <v>1631.253194348172</v>
      </c>
      <c r="Y356" s="39">
        <v>1338.1059054451489</v>
      </c>
      <c r="Z356" s="52">
        <v>-293.14728890302308</v>
      </c>
      <c r="AA356" s="39">
        <v>0</v>
      </c>
      <c r="AB356" s="39">
        <v>0</v>
      </c>
      <c r="AC356" s="52">
        <v>0</v>
      </c>
      <c r="AD356" s="39">
        <v>4523.3665470470942</v>
      </c>
      <c r="AE356" s="39">
        <v>3795.6308367041047</v>
      </c>
      <c r="AF356" s="35">
        <v>-727.73571034298948</v>
      </c>
      <c r="AG356" s="77">
        <v>12933.392491590821</v>
      </c>
      <c r="AH356" s="53">
        <v>11530.067329701185</v>
      </c>
      <c r="AI356" s="52">
        <v>-1403.3251618896356</v>
      </c>
      <c r="AJ356" s="39">
        <v>8621.7600347441276</v>
      </c>
      <c r="AK356" s="39">
        <v>8505.986037162611</v>
      </c>
      <c r="AL356" s="52">
        <v>-115.7739975815166</v>
      </c>
      <c r="AM356" s="39">
        <v>0</v>
      </c>
      <c r="AN356" s="39">
        <v>129.91419040372483</v>
      </c>
      <c r="AO356" s="52">
        <v>129.91419040372483</v>
      </c>
      <c r="AP356" s="39">
        <v>836.53225122272397</v>
      </c>
      <c r="AQ356" s="39">
        <v>0</v>
      </c>
      <c r="AR356" s="52">
        <v>-836.53225122272397</v>
      </c>
      <c r="AS356" s="39">
        <v>19630.247036745306</v>
      </c>
      <c r="AT356" s="39">
        <v>85785.717704137875</v>
      </c>
      <c r="AU356" s="54">
        <v>66155.470667392568</v>
      </c>
      <c r="AV356" s="39">
        <v>338.38118133211213</v>
      </c>
      <c r="AW356" s="39">
        <v>0</v>
      </c>
      <c r="AX356" s="55">
        <v>-338.38118133211213</v>
      </c>
      <c r="AY356" s="39">
        <v>455.31679837177501</v>
      </c>
      <c r="AZ356" s="39">
        <v>0</v>
      </c>
      <c r="BA356" s="35">
        <v>-455.31679837177501</v>
      </c>
      <c r="BB356" s="39">
        <v>1157.2474197511715</v>
      </c>
      <c r="BC356" s="39">
        <v>0</v>
      </c>
      <c r="BD356" s="55">
        <v>-1157.2474197511715</v>
      </c>
      <c r="BE356" s="39">
        <v>367.35679527182106</v>
      </c>
      <c r="BF356" s="39">
        <v>0</v>
      </c>
      <c r="BG356" s="38">
        <v>-367.35679527182106</v>
      </c>
      <c r="BH356" s="39">
        <v>98.941812127749259</v>
      </c>
      <c r="BI356" s="39">
        <v>0</v>
      </c>
      <c r="BJ356" s="55">
        <v>-98.941812127749259</v>
      </c>
      <c r="BK356" s="39">
        <v>392.23794522822857</v>
      </c>
      <c r="BL356" s="39">
        <v>510</v>
      </c>
      <c r="BM356" s="38">
        <v>117.76205477177143</v>
      </c>
      <c r="BN356" s="39">
        <v>0</v>
      </c>
      <c r="BO356" s="39">
        <v>0</v>
      </c>
      <c r="BP356" s="55">
        <v>0</v>
      </c>
      <c r="BQ356" s="77">
        <v>2809.4819520828578</v>
      </c>
      <c r="BR356" s="40">
        <v>510</v>
      </c>
      <c r="BS356" s="55">
        <v>-2299.4819520828578</v>
      </c>
      <c r="BT356" s="39">
        <v>6652.5032358327817</v>
      </c>
      <c r="BU356" s="39">
        <v>1854.1521770534137</v>
      </c>
      <c r="BV356" s="52">
        <v>-4798.351058779368</v>
      </c>
      <c r="BW356" s="39">
        <v>5900.6452329334033</v>
      </c>
      <c r="BX356" s="39">
        <v>6024.6601648187789</v>
      </c>
      <c r="BY356" s="52">
        <v>124.01493188537552</v>
      </c>
      <c r="BZ356" s="39">
        <v>1660.5607227870448</v>
      </c>
      <c r="CA356" s="39">
        <v>7246.5950130046876</v>
      </c>
      <c r="CB356" s="52">
        <v>5586.0342902176426</v>
      </c>
      <c r="CC356" s="39">
        <v>380.16630600961321</v>
      </c>
      <c r="CD356" s="39">
        <v>375.06138858960082</v>
      </c>
      <c r="CE356" s="52">
        <v>-5.1049174200123844</v>
      </c>
      <c r="CF356" s="39">
        <v>46.800776308001616</v>
      </c>
      <c r="CG356" s="39">
        <v>0</v>
      </c>
      <c r="CH356" s="52">
        <v>-46.800776308001616</v>
      </c>
      <c r="CI356" s="39">
        <v>3896.3648243854964</v>
      </c>
      <c r="CJ356" s="39">
        <v>5956.6371184464242</v>
      </c>
      <c r="CK356" s="52">
        <v>2060.2722940609278</v>
      </c>
      <c r="CL356" s="39">
        <v>1974.6989061937702</v>
      </c>
      <c r="CM356" s="39">
        <v>2724.1977817760512</v>
      </c>
      <c r="CN356" s="52">
        <v>749.49887558228102</v>
      </c>
      <c r="CO356" s="39">
        <v>5871.0637305792661</v>
      </c>
      <c r="CP356" s="40">
        <v>8680.834900222475</v>
      </c>
      <c r="CQ356" s="52">
        <v>2809.7711696432089</v>
      </c>
      <c r="CR356" s="72">
        <v>65343.153770835954</v>
      </c>
      <c r="CS356" s="5">
        <v>130642.98890509435</v>
      </c>
      <c r="CT356" s="52">
        <v>65299.835134258392</v>
      </c>
      <c r="CU356" s="77">
        <v>78411.784525003139</v>
      </c>
      <c r="CV356" s="65">
        <v>156771.58668611321</v>
      </c>
      <c r="CW356" s="35">
        <v>78359.80216111007</v>
      </c>
      <c r="CX356" s="39">
        <v>1176.1767678750471</v>
      </c>
      <c r="CY356" s="39">
        <v>-77183.625393235023</v>
      </c>
      <c r="CZ356" s="52">
        <v>-78359.80216111007</v>
      </c>
      <c r="DA356" s="150">
        <v>70417.012184677587</v>
      </c>
      <c r="DB356" s="2">
        <v>3</v>
      </c>
      <c r="DC356" s="713">
        <v>115998.56</v>
      </c>
      <c r="DD356" s="714">
        <v>539.41999999999996</v>
      </c>
      <c r="DE356" s="715">
        <v>76744.002547168289</v>
      </c>
      <c r="DF356" s="716">
        <v>-3.1936073911538188E-3</v>
      </c>
      <c r="DG356" s="717">
        <v>32743.408685609094</v>
      </c>
      <c r="DH356" s="718">
        <v>430893.28963863995</v>
      </c>
      <c r="DI356" s="718">
        <v>955055.53551453818</v>
      </c>
      <c r="DJ356" s="693">
        <v>824014.97404556349</v>
      </c>
      <c r="DK356" s="724"/>
      <c r="DL356" s="5"/>
      <c r="DM356" s="306">
        <v>5.2631576008344529</v>
      </c>
      <c r="DN356" s="306">
        <v>6.404074630678072</v>
      </c>
      <c r="DO356" s="306">
        <v>4.6865611955464042</v>
      </c>
      <c r="DP356" s="719">
        <v>39254.557452831701</v>
      </c>
      <c r="DQ356" s="720">
        <v>539.42319360739111</v>
      </c>
      <c r="DR356" s="650">
        <v>39793.980646439093</v>
      </c>
      <c r="DS356" s="94">
        <v>39793.980646439093</v>
      </c>
      <c r="DT356" s="719">
        <v>39254.800000000003</v>
      </c>
      <c r="DU356" s="725">
        <v>539.41999999999996</v>
      </c>
      <c r="DV356" s="93">
        <v>39794.22</v>
      </c>
      <c r="DW356" s="95">
        <v>39911.598323226593</v>
      </c>
      <c r="DX356" s="28">
        <v>-117.37832322659233</v>
      </c>
      <c r="EA356" s="5">
        <v>26927.674786593794</v>
      </c>
      <c r="EB356" s="5">
        <v>103554.86124496545</v>
      </c>
      <c r="EE356" s="722">
        <v>235562.96444094367</v>
      </c>
      <c r="EF356" s="274"/>
      <c r="EG356" s="42" t="s">
        <v>411</v>
      </c>
    </row>
    <row r="357" spans="1:137" x14ac:dyDescent="0.3">
      <c r="A357" s="325">
        <v>150000911</v>
      </c>
      <c r="B357" s="41" t="s">
        <v>831</v>
      </c>
      <c r="C357" s="42" t="s">
        <v>319</v>
      </c>
      <c r="D357" s="27">
        <v>5</v>
      </c>
      <c r="E357" s="709">
        <v>5864.08</v>
      </c>
      <c r="F357" s="723">
        <v>5864.08</v>
      </c>
      <c r="G357" s="28"/>
      <c r="H357" s="651">
        <v>0</v>
      </c>
      <c r="I357" s="39">
        <v>3376.1419518062753</v>
      </c>
      <c r="J357" s="39">
        <v>3205.7538730510805</v>
      </c>
      <c r="K357" s="52">
        <v>-170.38807875519478</v>
      </c>
      <c r="L357" s="39">
        <v>670.00760736089296</v>
      </c>
      <c r="M357" s="39">
        <v>579.82319667611659</v>
      </c>
      <c r="N357" s="52">
        <v>-90.184410684776367</v>
      </c>
      <c r="O357" s="39">
        <v>1458.8</v>
      </c>
      <c r="P357" s="39">
        <v>1459.18</v>
      </c>
      <c r="Q357" s="52">
        <v>0.38000000000010914</v>
      </c>
      <c r="R357" s="39">
        <v>0</v>
      </c>
      <c r="S357" s="39">
        <v>0</v>
      </c>
      <c r="T357" s="52">
        <v>0</v>
      </c>
      <c r="U357" s="39">
        <v>333.92254251606141</v>
      </c>
      <c r="V357" s="39">
        <v>197.89157391994368</v>
      </c>
      <c r="W357" s="52">
        <v>-136.03096859611773</v>
      </c>
      <c r="X357" s="39">
        <v>3206.0251200719549</v>
      </c>
      <c r="Y357" s="39">
        <v>2333.2943401029215</v>
      </c>
      <c r="Z357" s="52">
        <v>-872.73077996903339</v>
      </c>
      <c r="AA357" s="39">
        <v>0</v>
      </c>
      <c r="AB357" s="39">
        <v>0</v>
      </c>
      <c r="AC357" s="52">
        <v>0</v>
      </c>
      <c r="AD357" s="39">
        <v>4178.9696962051758</v>
      </c>
      <c r="AE357" s="39">
        <v>3506.6418075101897</v>
      </c>
      <c r="AF357" s="35">
        <v>-672.32788869498609</v>
      </c>
      <c r="AG357" s="77">
        <v>13223.86691796036</v>
      </c>
      <c r="AH357" s="53">
        <v>11282.584791260253</v>
      </c>
      <c r="AI357" s="52">
        <v>-1941.2821267001073</v>
      </c>
      <c r="AJ357" s="39">
        <v>0</v>
      </c>
      <c r="AK357" s="39">
        <v>0</v>
      </c>
      <c r="AL357" s="52">
        <v>0</v>
      </c>
      <c r="AM357" s="39">
        <v>0</v>
      </c>
      <c r="AN357" s="39">
        <v>0</v>
      </c>
      <c r="AO357" s="52">
        <v>0</v>
      </c>
      <c r="AP357" s="39">
        <v>1692.794036672399</v>
      </c>
      <c r="AQ357" s="39">
        <v>8066.0010873755737</v>
      </c>
      <c r="AR357" s="52">
        <v>6373.2070507031749</v>
      </c>
      <c r="AS357" s="39">
        <v>15745.21272555894</v>
      </c>
      <c r="AT357" s="39">
        <v>98.244495961955693</v>
      </c>
      <c r="AU357" s="54">
        <v>-15646.968229596985</v>
      </c>
      <c r="AV357" s="39">
        <v>552.21617909158942</v>
      </c>
      <c r="AW357" s="39">
        <v>0</v>
      </c>
      <c r="AX357" s="55">
        <v>-552.21617909158942</v>
      </c>
      <c r="AY357" s="39">
        <v>863.53737109845565</v>
      </c>
      <c r="AZ357" s="39">
        <v>2848</v>
      </c>
      <c r="BA357" s="35">
        <v>1984.4626289015443</v>
      </c>
      <c r="BB357" s="39">
        <v>549.74304237231922</v>
      </c>
      <c r="BC357" s="39">
        <v>0</v>
      </c>
      <c r="BD357" s="55">
        <v>-549.74304237231922</v>
      </c>
      <c r="BE357" s="39">
        <v>0</v>
      </c>
      <c r="BF357" s="39">
        <v>0</v>
      </c>
      <c r="BG357" s="38">
        <v>0</v>
      </c>
      <c r="BH357" s="39">
        <v>338.81178137477229</v>
      </c>
      <c r="BI357" s="39">
        <v>0</v>
      </c>
      <c r="BJ357" s="55">
        <v>-338.81178137477229</v>
      </c>
      <c r="BK357" s="39">
        <v>500.05250650715965</v>
      </c>
      <c r="BL357" s="39">
        <v>2935</v>
      </c>
      <c r="BM357" s="38">
        <v>2434.9474934928403</v>
      </c>
      <c r="BN357" s="39">
        <v>0</v>
      </c>
      <c r="BO357" s="39">
        <v>0</v>
      </c>
      <c r="BP357" s="55">
        <v>0</v>
      </c>
      <c r="BQ357" s="77">
        <v>2804.3608804442965</v>
      </c>
      <c r="BR357" s="40">
        <v>5783</v>
      </c>
      <c r="BS357" s="55">
        <v>2978.6391195557035</v>
      </c>
      <c r="BT357" s="39">
        <v>8695.4876657257628</v>
      </c>
      <c r="BU357" s="39">
        <v>2058.537067719526</v>
      </c>
      <c r="BV357" s="52">
        <v>-6636.9505980062368</v>
      </c>
      <c r="BW357" s="39">
        <v>5996.2322938981015</v>
      </c>
      <c r="BX357" s="39">
        <v>3716.1465795081463</v>
      </c>
      <c r="BY357" s="52">
        <v>-2280.0857143899552</v>
      </c>
      <c r="BZ357" s="39">
        <v>1285.390804881755</v>
      </c>
      <c r="CA357" s="39">
        <v>4865.2513287156198</v>
      </c>
      <c r="CB357" s="52">
        <v>3579.860523833865</v>
      </c>
      <c r="CC357" s="39">
        <v>436.14953250387214</v>
      </c>
      <c r="CD357" s="39">
        <v>430.29286580034545</v>
      </c>
      <c r="CE357" s="52">
        <v>-5.8566667035266846</v>
      </c>
      <c r="CF357" s="39">
        <v>53.692650781726684</v>
      </c>
      <c r="CG357" s="39">
        <v>0</v>
      </c>
      <c r="CH357" s="52">
        <v>-53.692650781726684</v>
      </c>
      <c r="CI357" s="39">
        <v>2155.6349829066276</v>
      </c>
      <c r="CJ357" s="39">
        <v>2448.6108409971184</v>
      </c>
      <c r="CK357" s="52">
        <v>292.97585809049087</v>
      </c>
      <c r="CL357" s="39">
        <v>0</v>
      </c>
      <c r="CM357" s="39">
        <v>0</v>
      </c>
      <c r="CN357" s="52">
        <v>0</v>
      </c>
      <c r="CO357" s="39">
        <v>2155.6349829066276</v>
      </c>
      <c r="CP357" s="40">
        <v>2448.6108409971184</v>
      </c>
      <c r="CQ357" s="52">
        <v>292.97585809049087</v>
      </c>
      <c r="CR357" s="72">
        <v>52088.822491333834</v>
      </c>
      <c r="CS357" s="5">
        <v>38748.669057338535</v>
      </c>
      <c r="CT357" s="52">
        <v>-13340.1534339953</v>
      </c>
      <c r="CU357" s="77">
        <v>62506.586989600597</v>
      </c>
      <c r="CV357" s="65">
        <v>46498.402868806239</v>
      </c>
      <c r="CW357" s="35">
        <v>-16008.184120794358</v>
      </c>
      <c r="CX357" s="39">
        <v>2937.809588511228</v>
      </c>
      <c r="CY357" s="39">
        <v>18945.993709305589</v>
      </c>
      <c r="CZ357" s="52">
        <v>16008.184120794362</v>
      </c>
      <c r="DA357" s="150">
        <v>-18861.687453000115</v>
      </c>
      <c r="DB357" s="2">
        <v>3</v>
      </c>
      <c r="DC357" s="713">
        <v>64671.27</v>
      </c>
      <c r="DD357" s="714"/>
      <c r="DE357" s="715">
        <v>31949.071710944092</v>
      </c>
      <c r="DF357" s="716">
        <v>0</v>
      </c>
      <c r="DG357" s="717">
        <v>-106488.28604405263</v>
      </c>
      <c r="DH357" s="718">
        <v>343461.62723843299</v>
      </c>
      <c r="DI357" s="718">
        <v>785332.75893734186</v>
      </c>
      <c r="DJ357" s="693">
        <v>674864.97601261467</v>
      </c>
      <c r="DK357" s="724"/>
      <c r="DL357" s="5"/>
      <c r="DM357" s="306">
        <v>5.580107755872346</v>
      </c>
      <c r="DN357" s="306"/>
      <c r="DO357" s="306">
        <v>4.9377507063391226</v>
      </c>
      <c r="DP357" s="719">
        <v>32722.198289055905</v>
      </c>
      <c r="DQ357" s="720">
        <v>0</v>
      </c>
      <c r="DR357" s="650">
        <v>32722.198289055905</v>
      </c>
      <c r="DS357" s="94">
        <v>32722.198289055919</v>
      </c>
      <c r="DT357" s="719">
        <v>32722.080000000002</v>
      </c>
      <c r="DU357" s="721"/>
      <c r="DV357" s="93">
        <v>32722.080000000002</v>
      </c>
      <c r="DW357" s="95">
        <v>33015.979247907038</v>
      </c>
      <c r="DX357" s="28">
        <v>-293.89924790703662</v>
      </c>
      <c r="EA357" s="5">
        <v>22259.488327203882</v>
      </c>
      <c r="EB357" s="5">
        <v>7057.4933951543471</v>
      </c>
      <c r="EE357" s="722">
        <v>188942.55270670727</v>
      </c>
      <c r="EF357" s="4"/>
      <c r="EG357" s="42" t="s">
        <v>319</v>
      </c>
    </row>
    <row r="358" spans="1:137" x14ac:dyDescent="0.3">
      <c r="A358" s="325">
        <v>150000912</v>
      </c>
      <c r="B358" s="41" t="s">
        <v>832</v>
      </c>
      <c r="C358" s="42" t="s">
        <v>320</v>
      </c>
      <c r="D358" s="27">
        <v>5</v>
      </c>
      <c r="E358" s="709">
        <v>4467.5200000000004</v>
      </c>
      <c r="F358" s="723">
        <v>4467.5200000000004</v>
      </c>
      <c r="G358" s="28"/>
      <c r="H358" s="651">
        <v>0</v>
      </c>
      <c r="I358" s="39">
        <v>2651.8796901393102</v>
      </c>
      <c r="J358" s="39">
        <v>2514.5400527737283</v>
      </c>
      <c r="K358" s="52">
        <v>-137.33963736558189</v>
      </c>
      <c r="L358" s="39">
        <v>503.07286950512366</v>
      </c>
      <c r="M358" s="39">
        <v>435.35819441285628</v>
      </c>
      <c r="N358" s="52">
        <v>-67.714675092267385</v>
      </c>
      <c r="O358" s="39">
        <v>1044.6600000000001</v>
      </c>
      <c r="P358" s="39">
        <v>1044.6400000000001</v>
      </c>
      <c r="Q358" s="52">
        <v>-1.999999999998181E-2</v>
      </c>
      <c r="R358" s="39">
        <v>0</v>
      </c>
      <c r="S358" s="39">
        <v>0</v>
      </c>
      <c r="T358" s="52">
        <v>0</v>
      </c>
      <c r="U358" s="39">
        <v>159.59026341702642</v>
      </c>
      <c r="V358" s="39">
        <v>94.577738783236043</v>
      </c>
      <c r="W358" s="52">
        <v>-65.012524633790377</v>
      </c>
      <c r="X358" s="39">
        <v>2068.1835702503245</v>
      </c>
      <c r="Y358" s="39">
        <v>1496.1805092280383</v>
      </c>
      <c r="Z358" s="52">
        <v>-572.00306102228615</v>
      </c>
      <c r="AA358" s="39">
        <v>0</v>
      </c>
      <c r="AB358" s="39">
        <v>0</v>
      </c>
      <c r="AC358" s="52">
        <v>0</v>
      </c>
      <c r="AD358" s="39">
        <v>3183.7271485366077</v>
      </c>
      <c r="AE358" s="39">
        <v>2671.5175113381683</v>
      </c>
      <c r="AF358" s="35">
        <v>-512.2096371984394</v>
      </c>
      <c r="AG358" s="77">
        <v>9611.1135418483918</v>
      </c>
      <c r="AH358" s="53">
        <v>8256.8140065360276</v>
      </c>
      <c r="AI358" s="52">
        <v>-1354.2995353123642</v>
      </c>
      <c r="AJ358" s="39">
        <v>0</v>
      </c>
      <c r="AK358" s="39">
        <v>0</v>
      </c>
      <c r="AL358" s="52">
        <v>0</v>
      </c>
      <c r="AM358" s="39">
        <v>0</v>
      </c>
      <c r="AN358" s="39">
        <v>0</v>
      </c>
      <c r="AO358" s="52">
        <v>0</v>
      </c>
      <c r="AP358" s="39">
        <v>1278.4738179064273</v>
      </c>
      <c r="AQ358" s="39">
        <v>6031.9660305591242</v>
      </c>
      <c r="AR358" s="52">
        <v>4753.4922126526972</v>
      </c>
      <c r="AS358" s="39">
        <v>12781.050783656552</v>
      </c>
      <c r="AT358" s="39">
        <v>354.33562119746483</v>
      </c>
      <c r="AU358" s="54">
        <v>-12426.715162459088</v>
      </c>
      <c r="AV358" s="39">
        <v>440.7848845409053</v>
      </c>
      <c r="AW358" s="39">
        <v>0</v>
      </c>
      <c r="AX358" s="55">
        <v>-440.7848845409053</v>
      </c>
      <c r="AY358" s="39">
        <v>648.37174232033783</v>
      </c>
      <c r="AZ358" s="39">
        <v>0</v>
      </c>
      <c r="BA358" s="35">
        <v>-648.37174232033783</v>
      </c>
      <c r="BB358" s="39">
        <v>435.73378950881943</v>
      </c>
      <c r="BC358" s="39">
        <v>0</v>
      </c>
      <c r="BD358" s="55">
        <v>-435.73378950881943</v>
      </c>
      <c r="BE358" s="39">
        <v>0</v>
      </c>
      <c r="BF358" s="39">
        <v>0</v>
      </c>
      <c r="BG358" s="38">
        <v>0</v>
      </c>
      <c r="BH358" s="39">
        <v>161.90917399980211</v>
      </c>
      <c r="BI358" s="39">
        <v>0</v>
      </c>
      <c r="BJ358" s="55">
        <v>-161.90917399980211</v>
      </c>
      <c r="BK358" s="39">
        <v>323.39564104606796</v>
      </c>
      <c r="BL358" s="39">
        <v>326</v>
      </c>
      <c r="BM358" s="38">
        <v>2.6043589539320351</v>
      </c>
      <c r="BN358" s="39">
        <v>0</v>
      </c>
      <c r="BO358" s="39">
        <v>0</v>
      </c>
      <c r="BP358" s="55">
        <v>0</v>
      </c>
      <c r="BQ358" s="77">
        <v>2010.1952314159328</v>
      </c>
      <c r="BR358" s="40">
        <v>326</v>
      </c>
      <c r="BS358" s="55">
        <v>-1684.1952314159328</v>
      </c>
      <c r="BT358" s="39">
        <v>7672.4547710050156</v>
      </c>
      <c r="BU358" s="39">
        <v>1820.5862746604967</v>
      </c>
      <c r="BV358" s="52">
        <v>-5851.8684963445194</v>
      </c>
      <c r="BW358" s="39">
        <v>4373.5279355795983</v>
      </c>
      <c r="BX358" s="39">
        <v>2713.6399721766875</v>
      </c>
      <c r="BY358" s="52">
        <v>-1659.8879634029108</v>
      </c>
      <c r="BZ358" s="39">
        <v>1205.3907721831185</v>
      </c>
      <c r="CA358" s="39">
        <v>4354.8576725691346</v>
      </c>
      <c r="CB358" s="52">
        <v>3149.4669003860163</v>
      </c>
      <c r="CC358" s="39">
        <v>410.51097956473251</v>
      </c>
      <c r="CD358" s="39">
        <v>404.99859033517947</v>
      </c>
      <c r="CE358" s="52">
        <v>-5.5123892295530368</v>
      </c>
      <c r="CF358" s="39">
        <v>50.536389529749272</v>
      </c>
      <c r="CG358" s="39">
        <v>0</v>
      </c>
      <c r="CH358" s="52">
        <v>-50.536389529749272</v>
      </c>
      <c r="CI358" s="39">
        <v>1497.4020141753706</v>
      </c>
      <c r="CJ358" s="39">
        <v>1910.0868981569595</v>
      </c>
      <c r="CK358" s="52">
        <v>412.68488398158888</v>
      </c>
      <c r="CL358" s="39">
        <v>0</v>
      </c>
      <c r="CM358" s="39">
        <v>0</v>
      </c>
      <c r="CN358" s="52">
        <v>0</v>
      </c>
      <c r="CO358" s="39">
        <v>1497.4020141753706</v>
      </c>
      <c r="CP358" s="40">
        <v>1910.0868981569595</v>
      </c>
      <c r="CQ358" s="52">
        <v>412.68488398158888</v>
      </c>
      <c r="CR358" s="72">
        <v>40890.656236864888</v>
      </c>
      <c r="CS358" s="5">
        <v>26173.285066191074</v>
      </c>
      <c r="CT358" s="52">
        <v>-14717.371170673814</v>
      </c>
      <c r="CU358" s="77">
        <v>49068.787484237866</v>
      </c>
      <c r="CV358" s="65">
        <v>31407.942079429289</v>
      </c>
      <c r="CW358" s="35">
        <v>-17660.845404808577</v>
      </c>
      <c r="CX358" s="39">
        <v>2453.4393742118932</v>
      </c>
      <c r="CY358" s="39">
        <v>20114.284779020476</v>
      </c>
      <c r="CZ358" s="52">
        <v>17660.845404808584</v>
      </c>
      <c r="DA358" s="150">
        <v>2136.2630779282808</v>
      </c>
      <c r="DB358" s="2">
        <v>3</v>
      </c>
      <c r="DC358" s="713">
        <v>51686.81</v>
      </c>
      <c r="DD358" s="714"/>
      <c r="DE358" s="715">
        <v>25925.696570775119</v>
      </c>
      <c r="DF358" s="716">
        <v>0</v>
      </c>
      <c r="DG358" s="717">
        <v>21644.404204050279</v>
      </c>
      <c r="DH358" s="718">
        <v>248547.19344073208</v>
      </c>
      <c r="DI358" s="718">
        <v>618266.72230139712</v>
      </c>
      <c r="DJ358" s="693">
        <v>525836.84008623089</v>
      </c>
      <c r="DK358" s="724"/>
      <c r="DL358" s="5"/>
      <c r="DM358" s="306">
        <v>5.7663118305513743</v>
      </c>
      <c r="DN358" s="306"/>
      <c r="DO358" s="306">
        <v>5.1495663880205864</v>
      </c>
      <c r="DP358" s="719">
        <v>25761.113429224879</v>
      </c>
      <c r="DQ358" s="720">
        <v>0</v>
      </c>
      <c r="DR358" s="650">
        <v>25761.113429224879</v>
      </c>
      <c r="DS358" s="94">
        <v>25761.113429224879</v>
      </c>
      <c r="DT358" s="719">
        <v>25758.16</v>
      </c>
      <c r="DU358" s="721"/>
      <c r="DV358" s="93">
        <v>25758.16</v>
      </c>
      <c r="DW358" s="95">
        <v>26006.457366646071</v>
      </c>
      <c r="DX358" s="28">
        <v>-248.29736664607117</v>
      </c>
      <c r="EA358" s="5">
        <v>17749.49521808698</v>
      </c>
      <c r="EB358" s="5">
        <v>816.40274543695784</v>
      </c>
      <c r="EE358" s="722">
        <v>153372.60940387863</v>
      </c>
      <c r="EG358" s="42" t="s">
        <v>320</v>
      </c>
    </row>
    <row r="359" spans="1:137" x14ac:dyDescent="0.3">
      <c r="A359" s="325">
        <v>150000913</v>
      </c>
      <c r="B359" s="41" t="s">
        <v>833</v>
      </c>
      <c r="C359" s="42" t="s">
        <v>321</v>
      </c>
      <c r="D359" s="27">
        <v>5</v>
      </c>
      <c r="E359" s="709">
        <v>2779.82</v>
      </c>
      <c r="F359" s="723">
        <v>2779.82</v>
      </c>
      <c r="G359" s="28"/>
      <c r="H359" s="651">
        <v>0</v>
      </c>
      <c r="I359" s="39">
        <v>1759.8926155363379</v>
      </c>
      <c r="J359" s="39">
        <v>1667.9566069245197</v>
      </c>
      <c r="K359" s="52">
        <v>-91.936008611818124</v>
      </c>
      <c r="L359" s="39">
        <v>332.43932844451967</v>
      </c>
      <c r="M359" s="39">
        <v>287.69234276414704</v>
      </c>
      <c r="N359" s="52">
        <v>-44.746985680372632</v>
      </c>
      <c r="O359" s="39">
        <v>689.06</v>
      </c>
      <c r="P359" s="39">
        <v>688.88</v>
      </c>
      <c r="Q359" s="52">
        <v>-0.17999999999994998</v>
      </c>
      <c r="R359" s="39">
        <v>0</v>
      </c>
      <c r="S359" s="39">
        <v>0</v>
      </c>
      <c r="T359" s="52">
        <v>0</v>
      </c>
      <c r="U359" s="39">
        <v>159.59026341702642</v>
      </c>
      <c r="V359" s="39">
        <v>94.577738783236043</v>
      </c>
      <c r="W359" s="52">
        <v>-65.012524633790377</v>
      </c>
      <c r="X359" s="39">
        <v>1185.3985421395907</v>
      </c>
      <c r="Y359" s="39">
        <v>825.98422417040069</v>
      </c>
      <c r="Z359" s="52">
        <v>-359.41431796919005</v>
      </c>
      <c r="AA359" s="39">
        <v>0</v>
      </c>
      <c r="AB359" s="39">
        <v>0</v>
      </c>
      <c r="AC359" s="52">
        <v>0</v>
      </c>
      <c r="AD359" s="39">
        <v>1981.007002105202</v>
      </c>
      <c r="AE359" s="39">
        <v>1662.295369325278</v>
      </c>
      <c r="AF359" s="35">
        <v>-318.711632779924</v>
      </c>
      <c r="AG359" s="77">
        <v>6107.3877516426764</v>
      </c>
      <c r="AH359" s="53">
        <v>5227.3862819675815</v>
      </c>
      <c r="AI359" s="52">
        <v>-880.001469675095</v>
      </c>
      <c r="AJ359" s="39">
        <v>0</v>
      </c>
      <c r="AK359" s="39">
        <v>0</v>
      </c>
      <c r="AL359" s="52">
        <v>0</v>
      </c>
      <c r="AM359" s="39">
        <v>0</v>
      </c>
      <c r="AN359" s="39">
        <v>0</v>
      </c>
      <c r="AO359" s="52">
        <v>0</v>
      </c>
      <c r="AP359" s="39">
        <v>852.31587860428476</v>
      </c>
      <c r="AQ359" s="39">
        <v>0</v>
      </c>
      <c r="AR359" s="52">
        <v>-852.31587860428476</v>
      </c>
      <c r="AS359" s="39">
        <v>8433.0743041202404</v>
      </c>
      <c r="AT359" s="39">
        <v>53.859703536986224</v>
      </c>
      <c r="AU359" s="54">
        <v>-8379.2146005832547</v>
      </c>
      <c r="AV359" s="39">
        <v>293.7456385988923</v>
      </c>
      <c r="AW359" s="39">
        <v>0</v>
      </c>
      <c r="AX359" s="55">
        <v>-293.7456385988923</v>
      </c>
      <c r="AY359" s="39">
        <v>428.45713760025609</v>
      </c>
      <c r="AZ359" s="39">
        <v>0</v>
      </c>
      <c r="BA359" s="35">
        <v>-428.45713760025609</v>
      </c>
      <c r="BB359" s="39">
        <v>249.50064667588106</v>
      </c>
      <c r="BC359" s="39">
        <v>0</v>
      </c>
      <c r="BD359" s="55">
        <v>-249.50064667588106</v>
      </c>
      <c r="BE359" s="39">
        <v>0</v>
      </c>
      <c r="BF359" s="39">
        <v>0</v>
      </c>
      <c r="BG359" s="38">
        <v>0</v>
      </c>
      <c r="BH359" s="39">
        <v>161.90917399980211</v>
      </c>
      <c r="BI359" s="39">
        <v>0</v>
      </c>
      <c r="BJ359" s="55">
        <v>-161.90917399980211</v>
      </c>
      <c r="BK359" s="39">
        <v>176.12067478462095</v>
      </c>
      <c r="BL359" s="39">
        <v>0</v>
      </c>
      <c r="BM359" s="38">
        <v>-176.12067478462095</v>
      </c>
      <c r="BN359" s="39">
        <v>0</v>
      </c>
      <c r="BO359" s="39">
        <v>0</v>
      </c>
      <c r="BP359" s="55">
        <v>0</v>
      </c>
      <c r="BQ359" s="77">
        <v>1309.7332716594524</v>
      </c>
      <c r="BR359" s="40">
        <v>0</v>
      </c>
      <c r="BS359" s="55">
        <v>-1309.7332716594524</v>
      </c>
      <c r="BT359" s="39">
        <v>4966.8427556882752</v>
      </c>
      <c r="BU359" s="39">
        <v>1459.5310070495557</v>
      </c>
      <c r="BV359" s="52">
        <v>-3507.3117486387196</v>
      </c>
      <c r="BW359" s="39">
        <v>2950.1250237578638</v>
      </c>
      <c r="BX359" s="39">
        <v>2771.8644909758286</v>
      </c>
      <c r="BY359" s="52">
        <v>-178.26053278203517</v>
      </c>
      <c r="BZ359" s="39">
        <v>1185.6532727203141</v>
      </c>
      <c r="CA359" s="39">
        <v>5687.8098957995189</v>
      </c>
      <c r="CB359" s="52">
        <v>4502.156623079205</v>
      </c>
      <c r="CC359" s="39">
        <v>288.78913071600658</v>
      </c>
      <c r="CD359" s="39">
        <v>284.91123664491795</v>
      </c>
      <c r="CE359" s="52">
        <v>-3.8778940710886332</v>
      </c>
      <c r="CF359" s="39">
        <v>35.551692228296268</v>
      </c>
      <c r="CG359" s="39">
        <v>0</v>
      </c>
      <c r="CH359" s="52">
        <v>-35.551692228296268</v>
      </c>
      <c r="CI359" s="39">
        <v>848.52780803271014</v>
      </c>
      <c r="CJ359" s="39">
        <v>497.51152785107962</v>
      </c>
      <c r="CK359" s="52">
        <v>-351.01628018163052</v>
      </c>
      <c r="CL359" s="39">
        <v>0</v>
      </c>
      <c r="CM359" s="39">
        <v>0</v>
      </c>
      <c r="CN359" s="52">
        <v>0</v>
      </c>
      <c r="CO359" s="39">
        <v>848.52780803271014</v>
      </c>
      <c r="CP359" s="40">
        <v>497.51152785107962</v>
      </c>
      <c r="CQ359" s="52">
        <v>-351.01628018163052</v>
      </c>
      <c r="CR359" s="72">
        <v>26978.000889170122</v>
      </c>
      <c r="CS359" s="5">
        <v>15982.874143825467</v>
      </c>
      <c r="CT359" s="52">
        <v>-10995.126745344654</v>
      </c>
      <c r="CU359" s="77">
        <v>32373.601067004143</v>
      </c>
      <c r="CV359" s="65">
        <v>19179.448972590559</v>
      </c>
      <c r="CW359" s="35">
        <v>-13194.152094413585</v>
      </c>
      <c r="CX359" s="39">
        <v>1521.5592501491951</v>
      </c>
      <c r="CY359" s="39">
        <v>14715.711344562777</v>
      </c>
      <c r="CZ359" s="52">
        <v>13194.152094413581</v>
      </c>
      <c r="DA359" s="150">
        <v>-19176.928752914155</v>
      </c>
      <c r="DB359" s="2">
        <v>3</v>
      </c>
      <c r="DC359" s="713">
        <v>26776.18</v>
      </c>
      <c r="DD359" s="714"/>
      <c r="DE359" s="715">
        <v>9828.5998414233291</v>
      </c>
      <c r="DF359" s="716">
        <v>0</v>
      </c>
      <c r="DG359" s="717">
        <v>-44408.093998915181</v>
      </c>
      <c r="DH359" s="718">
        <v>170824.44311273252</v>
      </c>
      <c r="DI359" s="718">
        <v>406741.92380584002</v>
      </c>
      <c r="DJ359" s="693">
        <v>347762.55363256315</v>
      </c>
      <c r="DK359" s="724"/>
      <c r="DL359" s="5"/>
      <c r="DM359" s="306">
        <v>6.0966466025054391</v>
      </c>
      <c r="DN359" s="306"/>
      <c r="DO359" s="306">
        <v>5.4299600760667888</v>
      </c>
      <c r="DP359" s="719">
        <v>16947.580158576671</v>
      </c>
      <c r="DQ359" s="720">
        <v>0</v>
      </c>
      <c r="DR359" s="650">
        <v>16947.580158576671</v>
      </c>
      <c r="DS359" s="94">
        <v>16947.580158576664</v>
      </c>
      <c r="DT359" s="719">
        <v>16941.37</v>
      </c>
      <c r="DU359" s="721"/>
      <c r="DV359" s="93">
        <v>16941.37</v>
      </c>
      <c r="DW359" s="95">
        <v>17099.73608359159</v>
      </c>
      <c r="DX359" s="28">
        <v>-158.36608359159072</v>
      </c>
      <c r="EA359" s="5">
        <v>11691.36909093563</v>
      </c>
      <c r="EB359" s="5">
        <v>64.631644244383466</v>
      </c>
      <c r="EE359" s="722">
        <v>101196.89164944288</v>
      </c>
      <c r="EG359" s="42" t="s">
        <v>321</v>
      </c>
    </row>
    <row r="360" spans="1:137" x14ac:dyDescent="0.3">
      <c r="A360" s="325">
        <v>150000914</v>
      </c>
      <c r="B360" s="41" t="s">
        <v>834</v>
      </c>
      <c r="C360" s="42" t="s">
        <v>322</v>
      </c>
      <c r="D360" s="27">
        <v>5</v>
      </c>
      <c r="E360" s="709">
        <v>2762.3</v>
      </c>
      <c r="F360" s="723">
        <v>2762.3</v>
      </c>
      <c r="G360" s="28"/>
      <c r="H360" s="651">
        <v>0</v>
      </c>
      <c r="I360" s="39">
        <v>1759.8926155363379</v>
      </c>
      <c r="J360" s="39">
        <v>1667.8705959726772</v>
      </c>
      <c r="K360" s="52">
        <v>-92.022019563660706</v>
      </c>
      <c r="L360" s="39">
        <v>332.43932844451967</v>
      </c>
      <c r="M360" s="39">
        <v>287.69234276414704</v>
      </c>
      <c r="N360" s="52">
        <v>-44.746985680372632</v>
      </c>
      <c r="O360" s="39">
        <v>689.06</v>
      </c>
      <c r="P360" s="39">
        <v>689.2</v>
      </c>
      <c r="Q360" s="52">
        <v>0.14000000000010004</v>
      </c>
      <c r="R360" s="39">
        <v>0</v>
      </c>
      <c r="S360" s="39">
        <v>0</v>
      </c>
      <c r="T360" s="52">
        <v>0</v>
      </c>
      <c r="U360" s="39">
        <v>159.59026341702642</v>
      </c>
      <c r="V360" s="39">
        <v>94.577738783236043</v>
      </c>
      <c r="W360" s="52">
        <v>-65.012524633790377</v>
      </c>
      <c r="X360" s="39">
        <v>1185.3985421395907</v>
      </c>
      <c r="Y360" s="39">
        <v>825.94077161829796</v>
      </c>
      <c r="Z360" s="52">
        <v>-359.45777052129279</v>
      </c>
      <c r="AA360" s="39">
        <v>0</v>
      </c>
      <c r="AB360" s="39">
        <v>0</v>
      </c>
      <c r="AC360" s="52">
        <v>0</v>
      </c>
      <c r="AD360" s="39">
        <v>1968.5215740282463</v>
      </c>
      <c r="AE360" s="39">
        <v>1651.8186424614598</v>
      </c>
      <c r="AF360" s="35">
        <v>-316.70293156678645</v>
      </c>
      <c r="AG360" s="77">
        <v>6094.9023235657214</v>
      </c>
      <c r="AH360" s="53">
        <v>5217.1000915998175</v>
      </c>
      <c r="AI360" s="52">
        <v>-877.80223196590396</v>
      </c>
      <c r="AJ360" s="39">
        <v>0</v>
      </c>
      <c r="AK360" s="39">
        <v>0</v>
      </c>
      <c r="AL360" s="52">
        <v>0</v>
      </c>
      <c r="AM360" s="39">
        <v>0</v>
      </c>
      <c r="AN360" s="39">
        <v>0</v>
      </c>
      <c r="AO360" s="52">
        <v>0</v>
      </c>
      <c r="AP360" s="39">
        <v>852.31587860428476</v>
      </c>
      <c r="AQ360" s="39">
        <v>0</v>
      </c>
      <c r="AR360" s="52">
        <v>-852.31587860428476</v>
      </c>
      <c r="AS360" s="39">
        <v>8469.3422748413013</v>
      </c>
      <c r="AT360" s="39">
        <v>95.5586477477584</v>
      </c>
      <c r="AU360" s="54">
        <v>-8373.7836270935422</v>
      </c>
      <c r="AV360" s="39">
        <v>293.7456385988923</v>
      </c>
      <c r="AW360" s="39">
        <v>0</v>
      </c>
      <c r="AX360" s="55">
        <v>-293.7456385988923</v>
      </c>
      <c r="AY360" s="39">
        <v>428.45713760025609</v>
      </c>
      <c r="AZ360" s="39">
        <v>0</v>
      </c>
      <c r="BA360" s="35">
        <v>-428.45713760025609</v>
      </c>
      <c r="BB360" s="39">
        <v>249.50064667588106</v>
      </c>
      <c r="BC360" s="39">
        <v>0</v>
      </c>
      <c r="BD360" s="55">
        <v>-249.50064667588106</v>
      </c>
      <c r="BE360" s="39">
        <v>0</v>
      </c>
      <c r="BF360" s="39">
        <v>0</v>
      </c>
      <c r="BG360" s="38">
        <v>0</v>
      </c>
      <c r="BH360" s="39">
        <v>161.90917399980211</v>
      </c>
      <c r="BI360" s="39">
        <v>0</v>
      </c>
      <c r="BJ360" s="55">
        <v>-161.90917399980211</v>
      </c>
      <c r="BK360" s="39">
        <v>176.12067478462095</v>
      </c>
      <c r="BL360" s="39">
        <v>0</v>
      </c>
      <c r="BM360" s="38">
        <v>-176.12067478462095</v>
      </c>
      <c r="BN360" s="39">
        <v>0</v>
      </c>
      <c r="BO360" s="39">
        <v>0</v>
      </c>
      <c r="BP360" s="55">
        <v>0</v>
      </c>
      <c r="BQ360" s="77">
        <v>1309.7332716594524</v>
      </c>
      <c r="BR360" s="40">
        <v>0</v>
      </c>
      <c r="BS360" s="55">
        <v>-1309.7332716594524</v>
      </c>
      <c r="BT360" s="39">
        <v>4698.6316660432103</v>
      </c>
      <c r="BU360" s="39">
        <v>1428.7477794090682</v>
      </c>
      <c r="BV360" s="52">
        <v>-3269.8838866341421</v>
      </c>
      <c r="BW360" s="39">
        <v>2951.5894533907522</v>
      </c>
      <c r="BX360" s="39">
        <v>3369.5480565841281</v>
      </c>
      <c r="BY360" s="52">
        <v>417.95860319337589</v>
      </c>
      <c r="BZ360" s="39">
        <v>1155.4922525445513</v>
      </c>
      <c r="CA360" s="39">
        <v>5646.0745437186615</v>
      </c>
      <c r="CB360" s="52">
        <v>4490.5822911741107</v>
      </c>
      <c r="CC360" s="39">
        <v>256.53259566064543</v>
      </c>
      <c r="CD360" s="39">
        <v>253.08784609792144</v>
      </c>
      <c r="CE360" s="52">
        <v>-3.4447495627239846</v>
      </c>
      <c r="CF360" s="39">
        <v>31.580717268829464</v>
      </c>
      <c r="CG360" s="39">
        <v>0</v>
      </c>
      <c r="CH360" s="52">
        <v>-31.580717268829464</v>
      </c>
      <c r="CI360" s="39">
        <v>985.78965933211919</v>
      </c>
      <c r="CJ360" s="39">
        <v>3822.4387047285859</v>
      </c>
      <c r="CK360" s="52">
        <v>2836.6490453964666</v>
      </c>
      <c r="CL360" s="39">
        <v>0</v>
      </c>
      <c r="CM360" s="39">
        <v>0</v>
      </c>
      <c r="CN360" s="52">
        <v>0</v>
      </c>
      <c r="CO360" s="39">
        <v>985.78965933211919</v>
      </c>
      <c r="CP360" s="40">
        <v>3822.4387047285859</v>
      </c>
      <c r="CQ360" s="52">
        <v>2836.6490453964666</v>
      </c>
      <c r="CR360" s="72">
        <v>26805.910092910868</v>
      </c>
      <c r="CS360" s="5">
        <v>19832.555669885944</v>
      </c>
      <c r="CT360" s="52">
        <v>-6973.3544230249245</v>
      </c>
      <c r="CU360" s="77">
        <v>32167.092111493039</v>
      </c>
      <c r="CV360" s="65">
        <v>23799.06680386313</v>
      </c>
      <c r="CW360" s="35">
        <v>-8368.0253076299086</v>
      </c>
      <c r="CX360" s="39">
        <v>1608.3546055746524</v>
      </c>
      <c r="CY360" s="39">
        <v>9976.379913204566</v>
      </c>
      <c r="CZ360" s="52">
        <v>8368.0253076299141</v>
      </c>
      <c r="DA360" s="150">
        <v>-32054.452457199419</v>
      </c>
      <c r="DB360" s="2">
        <v>3</v>
      </c>
      <c r="DC360" s="713">
        <v>27959.02</v>
      </c>
      <c r="DD360" s="714"/>
      <c r="DE360" s="715">
        <v>11071.29664146615</v>
      </c>
      <c r="DF360" s="716">
        <v>0</v>
      </c>
      <c r="DG360" s="717">
        <v>-28534.099539050432</v>
      </c>
      <c r="DH360" s="718">
        <v>171607.61987921136</v>
      </c>
      <c r="DI360" s="718">
        <v>405305.36060481233</v>
      </c>
      <c r="DJ360" s="693">
        <v>346880.92542341206</v>
      </c>
      <c r="DK360" s="724"/>
      <c r="DL360" s="5"/>
      <c r="DM360" s="306">
        <v>6.1136456425927124</v>
      </c>
      <c r="DN360" s="306"/>
      <c r="DO360" s="306">
        <v>5.4404742435281017</v>
      </c>
      <c r="DP360" s="719">
        <v>16887.723358533851</v>
      </c>
      <c r="DQ360" s="720">
        <v>0</v>
      </c>
      <c r="DR360" s="650">
        <v>16887.723358533851</v>
      </c>
      <c r="DS360" s="94">
        <v>16887.723358533844</v>
      </c>
      <c r="DT360" s="719">
        <v>16887.57</v>
      </c>
      <c r="DU360" s="721"/>
      <c r="DV360" s="93">
        <v>16887.57</v>
      </c>
      <c r="DW360" s="95">
        <v>17048.558819091315</v>
      </c>
      <c r="DX360" s="28">
        <v>-160.98881909131524</v>
      </c>
      <c r="EA360" s="5">
        <v>11734.890655800904</v>
      </c>
      <c r="EB360" s="5">
        <v>114.67037729731008</v>
      </c>
      <c r="EE360" s="722">
        <v>101632.10729809562</v>
      </c>
      <c r="EG360" s="42" t="s">
        <v>322</v>
      </c>
    </row>
    <row r="361" spans="1:137" x14ac:dyDescent="0.3">
      <c r="A361" s="325">
        <v>150000915</v>
      </c>
      <c r="B361" s="41" t="s">
        <v>835</v>
      </c>
      <c r="C361" s="42" t="s">
        <v>323</v>
      </c>
      <c r="D361" s="27">
        <v>5</v>
      </c>
      <c r="E361" s="709">
        <v>2743.4</v>
      </c>
      <c r="F361" s="723">
        <v>2743.4</v>
      </c>
      <c r="G361" s="28"/>
      <c r="H361" s="651">
        <v>0</v>
      </c>
      <c r="I361" s="39">
        <v>1759.688223476353</v>
      </c>
      <c r="J361" s="39">
        <v>1667.5889695251183</v>
      </c>
      <c r="K361" s="52">
        <v>-92.099253951234687</v>
      </c>
      <c r="L361" s="39">
        <v>332.43932844451967</v>
      </c>
      <c r="M361" s="39">
        <v>287.69234276414704</v>
      </c>
      <c r="N361" s="52">
        <v>-44.746985680372632</v>
      </c>
      <c r="O361" s="39">
        <v>689.06</v>
      </c>
      <c r="P361" s="39">
        <v>689.06</v>
      </c>
      <c r="Q361" s="52">
        <v>0</v>
      </c>
      <c r="R361" s="39">
        <v>0</v>
      </c>
      <c r="S361" s="39">
        <v>0</v>
      </c>
      <c r="T361" s="52">
        <v>0</v>
      </c>
      <c r="U361" s="39">
        <v>159.59026341702642</v>
      </c>
      <c r="V361" s="39">
        <v>94.577738783236043</v>
      </c>
      <c r="W361" s="52">
        <v>-65.012524633790377</v>
      </c>
      <c r="X361" s="39">
        <v>1185.2026995245419</v>
      </c>
      <c r="Y361" s="39">
        <v>825.74400284676199</v>
      </c>
      <c r="Z361" s="52">
        <v>-359.45869667777993</v>
      </c>
      <c r="AA361" s="39">
        <v>0</v>
      </c>
      <c r="AB361" s="39">
        <v>0</v>
      </c>
      <c r="AC361" s="52">
        <v>0</v>
      </c>
      <c r="AD361" s="39">
        <v>1955.0527046986535</v>
      </c>
      <c r="AE361" s="39">
        <v>1640.5166939611081</v>
      </c>
      <c r="AF361" s="35">
        <v>-314.53601073754544</v>
      </c>
      <c r="AG361" s="77">
        <v>6081.0332195610945</v>
      </c>
      <c r="AH361" s="53">
        <v>5205.179747880371</v>
      </c>
      <c r="AI361" s="52">
        <v>-875.85347168072349</v>
      </c>
      <c r="AJ361" s="39">
        <v>0</v>
      </c>
      <c r="AK361" s="39">
        <v>0</v>
      </c>
      <c r="AL361" s="52">
        <v>0</v>
      </c>
      <c r="AM361" s="39">
        <v>0</v>
      </c>
      <c r="AN361" s="39">
        <v>0</v>
      </c>
      <c r="AO361" s="52">
        <v>0</v>
      </c>
      <c r="AP361" s="39">
        <v>852.31587860428476</v>
      </c>
      <c r="AQ361" s="39">
        <v>3927.7918338524532</v>
      </c>
      <c r="AR361" s="52">
        <v>3075.4759552481682</v>
      </c>
      <c r="AS361" s="39">
        <v>8078.8359921612318</v>
      </c>
      <c r="AT361" s="39">
        <v>228.3356211974648</v>
      </c>
      <c r="AU361" s="54">
        <v>-7850.5003709637667</v>
      </c>
      <c r="AV361" s="39">
        <v>293.68706488461845</v>
      </c>
      <c r="AW361" s="39">
        <v>0</v>
      </c>
      <c r="AX361" s="55">
        <v>-293.68706488461845</v>
      </c>
      <c r="AY361" s="39">
        <v>428.45713760025609</v>
      </c>
      <c r="AZ361" s="39">
        <v>0</v>
      </c>
      <c r="BA361" s="35">
        <v>-428.45713760025609</v>
      </c>
      <c r="BB361" s="39">
        <v>249.50064667588106</v>
      </c>
      <c r="BC361" s="39">
        <v>974</v>
      </c>
      <c r="BD361" s="55">
        <v>724.49935332411894</v>
      </c>
      <c r="BE361" s="39">
        <v>0</v>
      </c>
      <c r="BF361" s="39">
        <v>0</v>
      </c>
      <c r="BG361" s="38">
        <v>0</v>
      </c>
      <c r="BH361" s="39">
        <v>161.90917399980211</v>
      </c>
      <c r="BI361" s="39">
        <v>0</v>
      </c>
      <c r="BJ361" s="55">
        <v>-161.90917399980211</v>
      </c>
      <c r="BK361" s="39">
        <v>176.11164732070878</v>
      </c>
      <c r="BL361" s="39">
        <v>0</v>
      </c>
      <c r="BM361" s="38">
        <v>-176.11164732070878</v>
      </c>
      <c r="BN361" s="39">
        <v>0</v>
      </c>
      <c r="BO361" s="39">
        <v>0</v>
      </c>
      <c r="BP361" s="55">
        <v>0</v>
      </c>
      <c r="BQ361" s="77">
        <v>1309.6656704812665</v>
      </c>
      <c r="BR361" s="40">
        <v>974</v>
      </c>
      <c r="BS361" s="55">
        <v>-335.66567048126649</v>
      </c>
      <c r="BT361" s="39">
        <v>6455.092233619318</v>
      </c>
      <c r="BU361" s="39">
        <v>1645.0510692187343</v>
      </c>
      <c r="BV361" s="52">
        <v>-4810.0411644005835</v>
      </c>
      <c r="BW361" s="39">
        <v>2904.8118323169128</v>
      </c>
      <c r="BX361" s="39">
        <v>3125.529928806418</v>
      </c>
      <c r="BY361" s="52">
        <v>220.71809648950511</v>
      </c>
      <c r="BZ361" s="39">
        <v>1162.0515833269212</v>
      </c>
      <c r="CA361" s="39">
        <v>5798.7976247188453</v>
      </c>
      <c r="CB361" s="52">
        <v>4636.7460413919243</v>
      </c>
      <c r="CC361" s="39">
        <v>256.48357357089571</v>
      </c>
      <c r="CD361" s="39">
        <v>253.03948228250056</v>
      </c>
      <c r="CE361" s="52">
        <v>-3.4440912883951569</v>
      </c>
      <c r="CF361" s="39">
        <v>31.574682352477687</v>
      </c>
      <c r="CG361" s="39">
        <v>0</v>
      </c>
      <c r="CH361" s="52">
        <v>-31.574682352477687</v>
      </c>
      <c r="CI361" s="39">
        <v>1038.8226473341635</v>
      </c>
      <c r="CJ361" s="39">
        <v>1914.269274547976</v>
      </c>
      <c r="CK361" s="52">
        <v>875.44662721381246</v>
      </c>
      <c r="CL361" s="39">
        <v>0</v>
      </c>
      <c r="CM361" s="39">
        <v>0</v>
      </c>
      <c r="CN361" s="52">
        <v>0</v>
      </c>
      <c r="CO361" s="39">
        <v>1038.8226473341635</v>
      </c>
      <c r="CP361" s="40">
        <v>1914.269274547976</v>
      </c>
      <c r="CQ361" s="52">
        <v>875.44662721381246</v>
      </c>
      <c r="CR361" s="72">
        <v>28170.687313328566</v>
      </c>
      <c r="CS361" s="5">
        <v>23071.994582504762</v>
      </c>
      <c r="CT361" s="52">
        <v>-5098.6927308238046</v>
      </c>
      <c r="CU361" s="77">
        <v>33804.824775994275</v>
      </c>
      <c r="CV361" s="65">
        <v>27686.393499005713</v>
      </c>
      <c r="CW361" s="35">
        <v>-6118.4312769885619</v>
      </c>
      <c r="CX361" s="39">
        <v>676.09649551988548</v>
      </c>
      <c r="CY361" s="39">
        <v>6794.5277725084452</v>
      </c>
      <c r="CZ361" s="52">
        <v>6118.4312769885601</v>
      </c>
      <c r="DA361" s="150">
        <v>4533.2545897847885</v>
      </c>
      <c r="DB361" s="2">
        <v>3</v>
      </c>
      <c r="DC361" s="713">
        <v>33512.120000000003</v>
      </c>
      <c r="DD361" s="714"/>
      <c r="DE361" s="715">
        <v>16271.659364242925</v>
      </c>
      <c r="DF361" s="716">
        <v>0</v>
      </c>
      <c r="DG361" s="717">
        <v>28714.196773694704</v>
      </c>
      <c r="DH361" s="718">
        <v>165925.56108527491</v>
      </c>
      <c r="DI361" s="718">
        <v>413771.05525816994</v>
      </c>
      <c r="DJ361" s="693">
        <v>351809.68171494617</v>
      </c>
      <c r="DK361" s="724"/>
      <c r="DL361" s="5"/>
      <c r="DM361" s="306">
        <v>6.2843408309969666</v>
      </c>
      <c r="DN361" s="306"/>
      <c r="DO361" s="306">
        <v>5.6363329424725261</v>
      </c>
      <c r="DP361" s="719">
        <v>17240.460635757077</v>
      </c>
      <c r="DQ361" s="720">
        <v>0</v>
      </c>
      <c r="DR361" s="650">
        <v>17240.460635757077</v>
      </c>
      <c r="DS361" s="94">
        <v>17240.460635757085</v>
      </c>
      <c r="DT361" s="719">
        <v>17240.37</v>
      </c>
      <c r="DU361" s="721"/>
      <c r="DV361" s="93">
        <v>17240.37</v>
      </c>
      <c r="DW361" s="95">
        <v>17308.07028530907</v>
      </c>
      <c r="DX361" s="28">
        <v>-67.70028530907075</v>
      </c>
      <c r="EA361" s="5">
        <v>11266.201995170997</v>
      </c>
      <c r="EB361" s="5">
        <v>1442.8027454369578</v>
      </c>
      <c r="EE361" s="722">
        <v>96946.031905934782</v>
      </c>
      <c r="EG361" s="42" t="s">
        <v>323</v>
      </c>
    </row>
    <row r="362" spans="1:137" x14ac:dyDescent="0.3">
      <c r="A362" s="325">
        <v>150000916</v>
      </c>
      <c r="B362" s="41" t="s">
        <v>836</v>
      </c>
      <c r="C362" s="42" t="s">
        <v>324</v>
      </c>
      <c r="D362" s="27">
        <v>5</v>
      </c>
      <c r="E362" s="709">
        <v>5790.5899999999992</v>
      </c>
      <c r="F362" s="723">
        <v>5601.9</v>
      </c>
      <c r="G362" s="28"/>
      <c r="H362" s="651">
        <v>188.69</v>
      </c>
      <c r="I362" s="39">
        <v>3470.3203669484656</v>
      </c>
      <c r="J362" s="39">
        <v>3290.6629371345934</v>
      </c>
      <c r="K362" s="52">
        <v>-179.65742981387211</v>
      </c>
      <c r="L362" s="39">
        <v>669.76147250216661</v>
      </c>
      <c r="M362" s="39">
        <v>579.60980671708671</v>
      </c>
      <c r="N362" s="52">
        <v>-90.151665785079899</v>
      </c>
      <c r="O362" s="39">
        <v>1444.46</v>
      </c>
      <c r="P362" s="39">
        <v>1444.64</v>
      </c>
      <c r="Q362" s="52">
        <v>0.18000000000006366</v>
      </c>
      <c r="R362" s="39">
        <v>0</v>
      </c>
      <c r="S362" s="39">
        <v>0</v>
      </c>
      <c r="T362" s="52">
        <v>0</v>
      </c>
      <c r="U362" s="39">
        <v>333.92254251606141</v>
      </c>
      <c r="V362" s="39">
        <v>197.89157391994368</v>
      </c>
      <c r="W362" s="52">
        <v>-136.03096859611773</v>
      </c>
      <c r="X362" s="39">
        <v>3248.7900990067287</v>
      </c>
      <c r="Y362" s="39">
        <v>2348.6864151560444</v>
      </c>
      <c r="Z362" s="52">
        <v>-900.10368385068432</v>
      </c>
      <c r="AA362" s="39">
        <v>0</v>
      </c>
      <c r="AB362" s="39">
        <v>0</v>
      </c>
      <c r="AC362" s="52">
        <v>0</v>
      </c>
      <c r="AD362" s="39">
        <v>4126.5978863093151</v>
      </c>
      <c r="AE362" s="39">
        <v>3462.6957654313082</v>
      </c>
      <c r="AF362" s="35">
        <v>-663.90212087800683</v>
      </c>
      <c r="AG362" s="77">
        <v>13293.852367282738</v>
      </c>
      <c r="AH362" s="53">
        <v>11324.186498358977</v>
      </c>
      <c r="AI362" s="52">
        <v>-1969.6658689237611</v>
      </c>
      <c r="AJ362" s="39">
        <v>0</v>
      </c>
      <c r="AK362" s="39">
        <v>0</v>
      </c>
      <c r="AL362" s="52">
        <v>0</v>
      </c>
      <c r="AM362" s="39">
        <v>0</v>
      </c>
      <c r="AN362" s="39">
        <v>0</v>
      </c>
      <c r="AO362" s="52">
        <v>0</v>
      </c>
      <c r="AP362" s="39">
        <v>1633.6054339915459</v>
      </c>
      <c r="AQ362" s="39">
        <v>7855.5836677049065</v>
      </c>
      <c r="AR362" s="52">
        <v>6221.9782337133602</v>
      </c>
      <c r="AS362" s="39">
        <v>16064.86936771587</v>
      </c>
      <c r="AT362" s="39">
        <v>904.08221594647785</v>
      </c>
      <c r="AU362" s="54">
        <v>-15160.787151769393</v>
      </c>
      <c r="AV362" s="39">
        <v>579.30180808381465</v>
      </c>
      <c r="AW362" s="39">
        <v>0</v>
      </c>
      <c r="AX362" s="55">
        <v>-579.30180808381465</v>
      </c>
      <c r="AY362" s="39">
        <v>863.2751948570193</v>
      </c>
      <c r="AZ362" s="39">
        <v>1947</v>
      </c>
      <c r="BA362" s="35">
        <v>1083.7248051429806</v>
      </c>
      <c r="BB362" s="39">
        <v>544.18402662422682</v>
      </c>
      <c r="BC362" s="39">
        <v>10141</v>
      </c>
      <c r="BD362" s="55">
        <v>9596.815973375773</v>
      </c>
      <c r="BE362" s="39">
        <v>0</v>
      </c>
      <c r="BF362" s="39">
        <v>0</v>
      </c>
      <c r="BG362" s="38">
        <v>0</v>
      </c>
      <c r="BH362" s="39">
        <v>338.81178137477229</v>
      </c>
      <c r="BI362" s="39">
        <v>0</v>
      </c>
      <c r="BJ362" s="55">
        <v>-338.81178137477229</v>
      </c>
      <c r="BK362" s="39">
        <v>499.63889281703172</v>
      </c>
      <c r="BL362" s="39">
        <v>0</v>
      </c>
      <c r="BM362" s="38">
        <v>-499.63889281703172</v>
      </c>
      <c r="BN362" s="39">
        <v>0</v>
      </c>
      <c r="BO362" s="39">
        <v>0</v>
      </c>
      <c r="BP362" s="55">
        <v>0</v>
      </c>
      <c r="BQ362" s="77">
        <v>2825.2117037568651</v>
      </c>
      <c r="BR362" s="40">
        <v>12088</v>
      </c>
      <c r="BS362" s="55">
        <v>9262.7882962431358</v>
      </c>
      <c r="BT362" s="39">
        <v>8927.1681324313504</v>
      </c>
      <c r="BU362" s="39">
        <v>2037.3662154122965</v>
      </c>
      <c r="BV362" s="52">
        <v>-6889.8019170190537</v>
      </c>
      <c r="BW362" s="39">
        <v>6057.5718917376098</v>
      </c>
      <c r="BX362" s="39">
        <v>5120.2994978997658</v>
      </c>
      <c r="BY362" s="52">
        <v>-937.27239383784399</v>
      </c>
      <c r="BZ362" s="39">
        <v>1246.0348201875349</v>
      </c>
      <c r="CA362" s="39">
        <v>4789.9888477390623</v>
      </c>
      <c r="CB362" s="52">
        <v>3543.9540275515274</v>
      </c>
      <c r="CC362" s="39">
        <v>388.00984036957936</v>
      </c>
      <c r="CD362" s="39">
        <v>382.79959905695557</v>
      </c>
      <c r="CE362" s="52">
        <v>-5.2102413126237934</v>
      </c>
      <c r="CF362" s="39">
        <v>47.766362924285339</v>
      </c>
      <c r="CG362" s="39">
        <v>0</v>
      </c>
      <c r="CH362" s="52">
        <v>-47.766362924285339</v>
      </c>
      <c r="CI362" s="39">
        <v>845.40822050317809</v>
      </c>
      <c r="CJ362" s="39">
        <v>1828.9036141179145</v>
      </c>
      <c r="CK362" s="52">
        <v>983.49539361473637</v>
      </c>
      <c r="CL362" s="39">
        <v>0</v>
      </c>
      <c r="CM362" s="39">
        <v>0</v>
      </c>
      <c r="CN362" s="52">
        <v>0</v>
      </c>
      <c r="CO362" s="39">
        <v>845.40822050317809</v>
      </c>
      <c r="CP362" s="40">
        <v>1828.9036141179145</v>
      </c>
      <c r="CQ362" s="52">
        <v>983.49539361473637</v>
      </c>
      <c r="CR362" s="72">
        <v>51329.498140900556</v>
      </c>
      <c r="CS362" s="5">
        <v>46331.21015623636</v>
      </c>
      <c r="CT362" s="52">
        <v>-4998.2879846641954</v>
      </c>
      <c r="CU362" s="77">
        <v>61595.397769080664</v>
      </c>
      <c r="CV362" s="65">
        <v>55597.452187483628</v>
      </c>
      <c r="CW362" s="35">
        <v>-5997.9455815970359</v>
      </c>
      <c r="CX362" s="39">
        <v>2894.9836951467914</v>
      </c>
      <c r="CY362" s="39">
        <v>8892.929276743831</v>
      </c>
      <c r="CZ362" s="52">
        <v>5997.9455815970396</v>
      </c>
      <c r="DA362" s="150">
        <v>-61648.585314686359</v>
      </c>
      <c r="DB362" s="2">
        <v>3</v>
      </c>
      <c r="DC362" s="713">
        <v>70692.89</v>
      </c>
      <c r="DD362" s="714">
        <v>447.29999999999995</v>
      </c>
      <c r="DE362" s="715">
        <v>39374.42873823666</v>
      </c>
      <c r="DF362" s="716">
        <v>-479.42947035038787</v>
      </c>
      <c r="DG362" s="717">
        <v>55172.539682145871</v>
      </c>
      <c r="DH362" s="718">
        <v>327780.46163949789</v>
      </c>
      <c r="DI362" s="718">
        <v>773884.57757072942</v>
      </c>
      <c r="DJ362" s="693">
        <v>662358.54858792154</v>
      </c>
      <c r="DK362" s="724"/>
      <c r="DL362" s="5"/>
      <c r="DM362" s="306">
        <v>5.5906855284391614</v>
      </c>
      <c r="DN362" s="306"/>
      <c r="DO362" s="306">
        <v>4.9113862438411564</v>
      </c>
      <c r="DP362" s="719">
        <v>31318.461261763336</v>
      </c>
      <c r="DQ362" s="720">
        <v>926.72947035038783</v>
      </c>
      <c r="DR362" s="650">
        <v>32245.190732113722</v>
      </c>
      <c r="DS362" s="94">
        <v>32245.19073211373</v>
      </c>
      <c r="DT362" s="719">
        <v>31318.55</v>
      </c>
      <c r="DU362" s="725">
        <v>926.29</v>
      </c>
      <c r="DV362" s="93">
        <v>32244.84</v>
      </c>
      <c r="DW362" s="95">
        <v>32534.689101628406</v>
      </c>
      <c r="DX362" s="28">
        <v>-289.84910162840606</v>
      </c>
      <c r="EA362" s="5">
        <v>22668.097285767279</v>
      </c>
      <c r="EB362" s="5">
        <v>15590.498659135772</v>
      </c>
      <c r="EE362" s="722">
        <v>192778.43241259042</v>
      </c>
      <c r="EG362" s="42" t="s">
        <v>324</v>
      </c>
    </row>
    <row r="363" spans="1:137" x14ac:dyDescent="0.3">
      <c r="A363" s="325">
        <v>150000917</v>
      </c>
      <c r="B363" s="41" t="s">
        <v>837</v>
      </c>
      <c r="C363" s="42" t="s">
        <v>325</v>
      </c>
      <c r="D363" s="27">
        <v>5</v>
      </c>
      <c r="E363" s="709">
        <v>4445.5</v>
      </c>
      <c r="F363" s="723">
        <v>4445.5</v>
      </c>
      <c r="G363" s="28"/>
      <c r="H363" s="651">
        <v>0</v>
      </c>
      <c r="I363" s="39">
        <v>2656.0751115994181</v>
      </c>
      <c r="J363" s="39">
        <v>2518.2814607012615</v>
      </c>
      <c r="K363" s="52">
        <v>-137.79365089815656</v>
      </c>
      <c r="L363" s="39">
        <v>503.71427423137993</v>
      </c>
      <c r="M363" s="39">
        <v>435.91300830633406</v>
      </c>
      <c r="N363" s="52">
        <v>-67.801265925045868</v>
      </c>
      <c r="O363" s="39">
        <v>1080.28</v>
      </c>
      <c r="P363" s="39">
        <v>1080.3</v>
      </c>
      <c r="Q363" s="52">
        <v>1.999999999998181E-2</v>
      </c>
      <c r="R363" s="39">
        <v>0</v>
      </c>
      <c r="S363" s="39">
        <v>0</v>
      </c>
      <c r="T363" s="52">
        <v>0</v>
      </c>
      <c r="U363" s="39">
        <v>215.74518364026076</v>
      </c>
      <c r="V363" s="39">
        <v>127.85671452438703</v>
      </c>
      <c r="W363" s="52">
        <v>-87.888469115873733</v>
      </c>
      <c r="X363" s="39">
        <v>2077.1344759252106</v>
      </c>
      <c r="Y363" s="39">
        <v>1502.9588857844074</v>
      </c>
      <c r="Z363" s="52">
        <v>-574.17559014080325</v>
      </c>
      <c r="AA363" s="39">
        <v>0</v>
      </c>
      <c r="AB363" s="39">
        <v>0</v>
      </c>
      <c r="AC363" s="52">
        <v>0</v>
      </c>
      <c r="AD363" s="39">
        <v>3168.0348468097486</v>
      </c>
      <c r="AE363" s="39">
        <v>2658.349844355218</v>
      </c>
      <c r="AF363" s="35">
        <v>-509.6850024545306</v>
      </c>
      <c r="AG363" s="77">
        <v>9700.9838922060171</v>
      </c>
      <c r="AH363" s="53">
        <v>8323.6599136716068</v>
      </c>
      <c r="AI363" s="52">
        <v>-1377.3239785344103</v>
      </c>
      <c r="AJ363" s="39">
        <v>0</v>
      </c>
      <c r="AK363" s="39">
        <v>0</v>
      </c>
      <c r="AL363" s="52">
        <v>0</v>
      </c>
      <c r="AM363" s="39">
        <v>0</v>
      </c>
      <c r="AN363" s="39">
        <v>0</v>
      </c>
      <c r="AO363" s="52">
        <v>0</v>
      </c>
      <c r="AP363" s="39">
        <v>1278.4738179064273</v>
      </c>
      <c r="AQ363" s="39">
        <v>6031.9660305591242</v>
      </c>
      <c r="AR363" s="52">
        <v>4753.4922126526972</v>
      </c>
      <c r="AS363" s="39">
        <v>11808.278902401395</v>
      </c>
      <c r="AT363" s="39">
        <v>946</v>
      </c>
      <c r="AU363" s="54">
        <v>-10862.278902401395</v>
      </c>
      <c r="AV363" s="39">
        <v>441.71427296130838</v>
      </c>
      <c r="AW363" s="39">
        <v>0</v>
      </c>
      <c r="AX363" s="55">
        <v>-441.71427296130838</v>
      </c>
      <c r="AY363" s="39">
        <v>649.25535258521438</v>
      </c>
      <c r="AZ363" s="39">
        <v>0</v>
      </c>
      <c r="BA363" s="35">
        <v>-649.25535258521438</v>
      </c>
      <c r="BB363" s="39">
        <v>427.07970210128394</v>
      </c>
      <c r="BC363" s="39">
        <v>0</v>
      </c>
      <c r="BD363" s="55">
        <v>-427.07970210128394</v>
      </c>
      <c r="BE363" s="39">
        <v>0</v>
      </c>
      <c r="BF363" s="39">
        <v>0</v>
      </c>
      <c r="BG363" s="38">
        <v>0</v>
      </c>
      <c r="BH363" s="39">
        <v>218.86472282667671</v>
      </c>
      <c r="BI363" s="39">
        <v>0</v>
      </c>
      <c r="BJ363" s="55">
        <v>-218.86472282667671</v>
      </c>
      <c r="BK363" s="39">
        <v>324.72985377725348</v>
      </c>
      <c r="BL363" s="39">
        <v>0</v>
      </c>
      <c r="BM363" s="38">
        <v>-324.72985377725348</v>
      </c>
      <c r="BN363" s="39">
        <v>0</v>
      </c>
      <c r="BO363" s="39">
        <v>0</v>
      </c>
      <c r="BP363" s="55">
        <v>0</v>
      </c>
      <c r="BQ363" s="77">
        <v>2061.6439042517372</v>
      </c>
      <c r="BR363" s="40">
        <v>0</v>
      </c>
      <c r="BS363" s="55">
        <v>-2061.6439042517372</v>
      </c>
      <c r="BT363" s="39">
        <v>9217.3597269508082</v>
      </c>
      <c r="BU363" s="39">
        <v>2095.3951634845293</v>
      </c>
      <c r="BV363" s="52">
        <v>-7121.9645634662793</v>
      </c>
      <c r="BW363" s="39">
        <v>4396.7506250323841</v>
      </c>
      <c r="BX363" s="39">
        <v>5065.8398325214957</v>
      </c>
      <c r="BY363" s="52">
        <v>669.08920748911169</v>
      </c>
      <c r="BZ363" s="39">
        <v>1133.2976406927414</v>
      </c>
      <c r="CA363" s="39">
        <v>8374.1518897793467</v>
      </c>
      <c r="CB363" s="52">
        <v>7240.8542490866057</v>
      </c>
      <c r="CC363" s="39">
        <v>460.41546693001766</v>
      </c>
      <c r="CD363" s="39">
        <v>454.23295443372422</v>
      </c>
      <c r="CE363" s="52">
        <v>-6.182512496293441</v>
      </c>
      <c r="CF363" s="39">
        <v>56.679934375854444</v>
      </c>
      <c r="CG363" s="39">
        <v>0</v>
      </c>
      <c r="CH363" s="52">
        <v>-56.679934375854444</v>
      </c>
      <c r="CI363" s="39">
        <v>995.14842192071524</v>
      </c>
      <c r="CJ363" s="39">
        <v>1542.0257756706883</v>
      </c>
      <c r="CK363" s="52">
        <v>546.87735374997305</v>
      </c>
      <c r="CL363" s="39">
        <v>0</v>
      </c>
      <c r="CM363" s="39">
        <v>0</v>
      </c>
      <c r="CN363" s="52">
        <v>0</v>
      </c>
      <c r="CO363" s="39">
        <v>995.14842192071524</v>
      </c>
      <c r="CP363" s="40">
        <v>1542.0257756706883</v>
      </c>
      <c r="CQ363" s="52">
        <v>546.87735374997305</v>
      </c>
      <c r="CR363" s="72">
        <v>41109.032332668095</v>
      </c>
      <c r="CS363" s="5">
        <v>32833.271560120513</v>
      </c>
      <c r="CT363" s="52">
        <v>-8275.7607725475827</v>
      </c>
      <c r="CU363" s="77">
        <v>49330.838799201716</v>
      </c>
      <c r="CV363" s="65">
        <v>39399.925872144617</v>
      </c>
      <c r="CW363" s="35">
        <v>-9930.9129270570993</v>
      </c>
      <c r="CX363" s="39">
        <v>2466.541939960086</v>
      </c>
      <c r="CY363" s="39">
        <v>12397.454867017179</v>
      </c>
      <c r="CZ363" s="52">
        <v>9930.912927057092</v>
      </c>
      <c r="DA363" s="150">
        <v>-63449.330066477298</v>
      </c>
      <c r="DB363" s="2">
        <v>3</v>
      </c>
      <c r="DC363" s="713">
        <v>105276.55</v>
      </c>
      <c r="DD363" s="714"/>
      <c r="DE363" s="715">
        <v>79377.859630419101</v>
      </c>
      <c r="DF363" s="716">
        <v>0</v>
      </c>
      <c r="DG363" s="717">
        <v>-19145.383589734403</v>
      </c>
      <c r="DH363" s="718">
        <v>249520.26302903859</v>
      </c>
      <c r="DI363" s="718">
        <v>621568.56886994164</v>
      </c>
      <c r="DJ363" s="693">
        <v>528556.49240971589</v>
      </c>
      <c r="DK363" s="724"/>
      <c r="DL363" s="5"/>
      <c r="DM363" s="306">
        <v>5.8258217005018338</v>
      </c>
      <c r="DN363" s="306"/>
      <c r="DO363" s="306">
        <v>5.2027302836150042</v>
      </c>
      <c r="DP363" s="719">
        <v>25898.690369580901</v>
      </c>
      <c r="DQ363" s="720">
        <v>0</v>
      </c>
      <c r="DR363" s="650">
        <v>25898.690369580901</v>
      </c>
      <c r="DS363" s="94">
        <v>25898.690369580901</v>
      </c>
      <c r="DT363" s="719">
        <v>25895.09</v>
      </c>
      <c r="DU363" s="721"/>
      <c r="DV363" s="93">
        <v>25895.09</v>
      </c>
      <c r="DW363" s="95">
        <v>26145.344563576909</v>
      </c>
      <c r="DX363" s="28">
        <v>-250.25456357690928</v>
      </c>
      <c r="EA363" s="5">
        <v>16643.907367983757</v>
      </c>
      <c r="EB363" s="5">
        <v>1135.2</v>
      </c>
      <c r="EE363" s="722">
        <v>141699.34682881675</v>
      </c>
      <c r="EG363" s="42" t="s">
        <v>325</v>
      </c>
    </row>
    <row r="364" spans="1:137" x14ac:dyDescent="0.3">
      <c r="A364" s="325">
        <v>150000918</v>
      </c>
      <c r="B364" s="41" t="s">
        <v>838</v>
      </c>
      <c r="C364" s="42" t="s">
        <v>326</v>
      </c>
      <c r="D364" s="27">
        <v>5</v>
      </c>
      <c r="E364" s="709">
        <v>4591.2</v>
      </c>
      <c r="F364" s="723">
        <v>4591.2</v>
      </c>
      <c r="G364" s="28"/>
      <c r="H364" s="651">
        <v>0</v>
      </c>
      <c r="I364" s="39">
        <v>2758.9381129065055</v>
      </c>
      <c r="J364" s="39">
        <v>2615.7391970156814</v>
      </c>
      <c r="K364" s="52">
        <v>-143.19891589082408</v>
      </c>
      <c r="L364" s="39">
        <v>566.74004116832782</v>
      </c>
      <c r="M364" s="39">
        <v>490.45548183438336</v>
      </c>
      <c r="N364" s="52">
        <v>-76.284559333944458</v>
      </c>
      <c r="O364" s="39">
        <v>1119.26</v>
      </c>
      <c r="P364" s="39">
        <v>1119.6199999999999</v>
      </c>
      <c r="Q364" s="52">
        <v>0.35999999999989996</v>
      </c>
      <c r="R364" s="39">
        <v>0</v>
      </c>
      <c r="S364" s="39">
        <v>0</v>
      </c>
      <c r="T364" s="52">
        <v>0</v>
      </c>
      <c r="U364" s="39">
        <v>215.74518364026076</v>
      </c>
      <c r="V364" s="39">
        <v>127.85671452438703</v>
      </c>
      <c r="W364" s="52">
        <v>-87.888469115873733</v>
      </c>
      <c r="X364" s="39">
        <v>2130.9804885181698</v>
      </c>
      <c r="Y364" s="39">
        <v>1544.4266158328792</v>
      </c>
      <c r="Z364" s="52">
        <v>-586.55387268529057</v>
      </c>
      <c r="AA364" s="39">
        <v>0</v>
      </c>
      <c r="AB364" s="39">
        <v>0</v>
      </c>
      <c r="AC364" s="52">
        <v>0</v>
      </c>
      <c r="AD364" s="39">
        <v>3271.8662892077195</v>
      </c>
      <c r="AE364" s="39">
        <v>2745.4765055457601</v>
      </c>
      <c r="AF364" s="35">
        <v>-526.38978366195943</v>
      </c>
      <c r="AG364" s="77">
        <v>10063.530115440983</v>
      </c>
      <c r="AH364" s="53">
        <v>8643.5745147530906</v>
      </c>
      <c r="AI364" s="52">
        <v>-1419.955600687892</v>
      </c>
      <c r="AJ364" s="39">
        <v>0</v>
      </c>
      <c r="AK364" s="39">
        <v>0</v>
      </c>
      <c r="AL364" s="52">
        <v>0</v>
      </c>
      <c r="AM364" s="39">
        <v>0</v>
      </c>
      <c r="AN364" s="39">
        <v>0</v>
      </c>
      <c r="AO364" s="52">
        <v>0</v>
      </c>
      <c r="AP364" s="39">
        <v>2320.193225089442</v>
      </c>
      <c r="AQ364" s="39">
        <v>6663.2182895711258</v>
      </c>
      <c r="AR364" s="52">
        <v>4343.0250644816842</v>
      </c>
      <c r="AS364" s="39">
        <v>10493.984625076306</v>
      </c>
      <c r="AT364" s="39">
        <v>2361.4326143434773</v>
      </c>
      <c r="AU364" s="54">
        <v>-8132.5520107328284</v>
      </c>
      <c r="AV364" s="39">
        <v>452.10488610420913</v>
      </c>
      <c r="AW364" s="39">
        <v>0</v>
      </c>
      <c r="AX364" s="55">
        <v>-452.10488610420913</v>
      </c>
      <c r="AY364" s="39">
        <v>730.47179917909421</v>
      </c>
      <c r="AZ364" s="39">
        <v>0</v>
      </c>
      <c r="BA364" s="35">
        <v>-730.47179917909421</v>
      </c>
      <c r="BB364" s="39">
        <v>444.77862501958737</v>
      </c>
      <c r="BC364" s="39">
        <v>0</v>
      </c>
      <c r="BD364" s="55">
        <v>-444.77862501958737</v>
      </c>
      <c r="BE364" s="39">
        <v>0</v>
      </c>
      <c r="BF364" s="39">
        <v>0</v>
      </c>
      <c r="BG364" s="38">
        <v>0</v>
      </c>
      <c r="BH364" s="39">
        <v>218.86472282667671</v>
      </c>
      <c r="BI364" s="39">
        <v>0</v>
      </c>
      <c r="BJ364" s="55">
        <v>-218.86472282667671</v>
      </c>
      <c r="BK364" s="39">
        <v>332.88209539186079</v>
      </c>
      <c r="BL364" s="39">
        <v>0</v>
      </c>
      <c r="BM364" s="38">
        <v>-332.88209539186079</v>
      </c>
      <c r="BN364" s="39">
        <v>0</v>
      </c>
      <c r="BO364" s="39">
        <v>0</v>
      </c>
      <c r="BP364" s="55">
        <v>0</v>
      </c>
      <c r="BQ364" s="77">
        <v>2179.1021285214283</v>
      </c>
      <c r="BR364" s="40">
        <v>0</v>
      </c>
      <c r="BS364" s="55">
        <v>-2179.1021285214283</v>
      </c>
      <c r="BT364" s="39">
        <v>7211.6336455395467</v>
      </c>
      <c r="BU364" s="39">
        <v>1844.2283275862628</v>
      </c>
      <c r="BV364" s="52">
        <v>-5367.4053179532839</v>
      </c>
      <c r="BW364" s="39">
        <v>4314.4312078981857</v>
      </c>
      <c r="BX364" s="39">
        <v>5062.2336742176931</v>
      </c>
      <c r="BY364" s="52">
        <v>747.8024663195074</v>
      </c>
      <c r="BZ364" s="39">
        <v>1200.1790118266381</v>
      </c>
      <c r="CA364" s="39">
        <v>7379.1942951863066</v>
      </c>
      <c r="CB364" s="52">
        <v>6179.0152833596685</v>
      </c>
      <c r="CC364" s="39">
        <v>267.95474257234633</v>
      </c>
      <c r="CD364" s="39">
        <v>264.35661509100686</v>
      </c>
      <c r="CE364" s="52">
        <v>-3.5981274813394748</v>
      </c>
      <c r="CF364" s="39">
        <v>32.986852778792631</v>
      </c>
      <c r="CG364" s="39">
        <v>0</v>
      </c>
      <c r="CH364" s="52">
        <v>-32.986852778792631</v>
      </c>
      <c r="CI364" s="39">
        <v>1129.2906856905922</v>
      </c>
      <c r="CJ364" s="39">
        <v>1447.193127110663</v>
      </c>
      <c r="CK364" s="52">
        <v>317.90244142007077</v>
      </c>
      <c r="CL364" s="39">
        <v>0</v>
      </c>
      <c r="CM364" s="39">
        <v>0</v>
      </c>
      <c r="CN364" s="52">
        <v>0</v>
      </c>
      <c r="CO364" s="39">
        <v>1129.2906856905922</v>
      </c>
      <c r="CP364" s="40">
        <v>1447.193127110663</v>
      </c>
      <c r="CQ364" s="52">
        <v>317.90244142007077</v>
      </c>
      <c r="CR364" s="72">
        <v>39213.286240434252</v>
      </c>
      <c r="CS364" s="5">
        <v>33665.431457859631</v>
      </c>
      <c r="CT364" s="52">
        <v>-5547.8547825746209</v>
      </c>
      <c r="CU364" s="77">
        <v>47055.943488521101</v>
      </c>
      <c r="CV364" s="65">
        <v>40398.517749431558</v>
      </c>
      <c r="CW364" s="35">
        <v>-6657.4257390895436</v>
      </c>
      <c r="CX364" s="39">
        <v>2211.629343960492</v>
      </c>
      <c r="CY364" s="39">
        <v>8869.0550830500415</v>
      </c>
      <c r="CZ364" s="52">
        <v>6657.4257390895491</v>
      </c>
      <c r="DA364" s="150">
        <v>-63952.606175431967</v>
      </c>
      <c r="DB364" s="2">
        <v>3</v>
      </c>
      <c r="DC364" s="713">
        <v>73278.62</v>
      </c>
      <c r="DD364" s="714"/>
      <c r="DE364" s="715">
        <v>48644.833583759202</v>
      </c>
      <c r="DF364" s="716">
        <v>0</v>
      </c>
      <c r="DG364" s="717">
        <v>-98411.674257270817</v>
      </c>
      <c r="DH364" s="718">
        <v>250815.6856634529</v>
      </c>
      <c r="DI364" s="718">
        <v>591210.87398977915</v>
      </c>
      <c r="DJ364" s="693">
        <v>506112.0769081976</v>
      </c>
      <c r="DK364" s="724"/>
      <c r="DL364" s="5"/>
      <c r="DM364" s="306">
        <v>5.365435271005575</v>
      </c>
      <c r="DN364" s="306"/>
      <c r="DO364" s="306">
        <v>4.7751047071439183</v>
      </c>
      <c r="DP364" s="719">
        <v>24633.786416240797</v>
      </c>
      <c r="DQ364" s="720">
        <v>0</v>
      </c>
      <c r="DR364" s="650">
        <v>24633.786416240797</v>
      </c>
      <c r="DS364" s="94">
        <v>24633.786416240797</v>
      </c>
      <c r="DT364" s="719">
        <v>24621.8</v>
      </c>
      <c r="DU364" s="721"/>
      <c r="DV364" s="93">
        <v>24621.8</v>
      </c>
      <c r="DW364" s="95">
        <v>24854.949350636845</v>
      </c>
      <c r="DX364" s="28">
        <v>-233.14935063684607</v>
      </c>
      <c r="EA364" s="5">
        <v>15207.704104317279</v>
      </c>
      <c r="EB364" s="5">
        <v>2833.7191372121729</v>
      </c>
      <c r="EE364" s="722">
        <v>125927.81550091566</v>
      </c>
      <c r="EG364" s="42" t="s">
        <v>326</v>
      </c>
    </row>
    <row r="365" spans="1:137" x14ac:dyDescent="0.3">
      <c r="A365" s="325">
        <v>150000919</v>
      </c>
      <c r="B365" s="41" t="s">
        <v>839</v>
      </c>
      <c r="C365" s="42" t="s">
        <v>327</v>
      </c>
      <c r="D365" s="27">
        <v>5</v>
      </c>
      <c r="E365" s="709">
        <v>4566.7</v>
      </c>
      <c r="F365" s="723">
        <v>4566.7</v>
      </c>
      <c r="G365" s="28"/>
      <c r="H365" s="651">
        <v>0</v>
      </c>
      <c r="I365" s="39">
        <v>2777.6280587360443</v>
      </c>
      <c r="J365" s="39">
        <v>2633.3756273611943</v>
      </c>
      <c r="K365" s="52">
        <v>-144.25243137484995</v>
      </c>
      <c r="L365" s="39">
        <v>566.64124412410786</v>
      </c>
      <c r="M365" s="39">
        <v>490.37012585077139</v>
      </c>
      <c r="N365" s="52">
        <v>-76.271118273336469</v>
      </c>
      <c r="O365" s="39">
        <v>1100.42</v>
      </c>
      <c r="P365" s="39">
        <v>1100.6199999999999</v>
      </c>
      <c r="Q365" s="52">
        <v>0.1999999999998181</v>
      </c>
      <c r="R365" s="39">
        <v>0</v>
      </c>
      <c r="S365" s="39">
        <v>0</v>
      </c>
      <c r="T365" s="52">
        <v>0</v>
      </c>
      <c r="U365" s="39">
        <v>215.74518364026076</v>
      </c>
      <c r="V365" s="39">
        <v>127.85671452438703</v>
      </c>
      <c r="W365" s="52">
        <v>-87.888469115873733</v>
      </c>
      <c r="X365" s="39">
        <v>2175.2619825671864</v>
      </c>
      <c r="Y365" s="39">
        <v>1560.950280337292</v>
      </c>
      <c r="Z365" s="52">
        <v>-614.31170222989431</v>
      </c>
      <c r="AA365" s="39">
        <v>0</v>
      </c>
      <c r="AB365" s="39">
        <v>0</v>
      </c>
      <c r="AC365" s="52">
        <v>0</v>
      </c>
      <c r="AD365" s="39">
        <v>3254.4066437804699</v>
      </c>
      <c r="AE365" s="39">
        <v>2730.8258315638232</v>
      </c>
      <c r="AF365" s="35">
        <v>-523.58081221664679</v>
      </c>
      <c r="AG365" s="77">
        <v>10090.103112848068</v>
      </c>
      <c r="AH365" s="53">
        <v>8643.9985796374676</v>
      </c>
      <c r="AI365" s="52">
        <v>-1446.1045332106005</v>
      </c>
      <c r="AJ365" s="39">
        <v>0</v>
      </c>
      <c r="AK365" s="39">
        <v>0</v>
      </c>
      <c r="AL365" s="52">
        <v>0</v>
      </c>
      <c r="AM365" s="39">
        <v>0</v>
      </c>
      <c r="AN365" s="39">
        <v>0</v>
      </c>
      <c r="AO365" s="52">
        <v>0</v>
      </c>
      <c r="AP365" s="39">
        <v>2367.5441072341246</v>
      </c>
      <c r="AQ365" s="39">
        <v>6650.5706714849075</v>
      </c>
      <c r="AR365" s="52">
        <v>4283.0265642507829</v>
      </c>
      <c r="AS365" s="39">
        <v>10456.835606816183</v>
      </c>
      <c r="AT365" s="39">
        <v>9.1231742725915446</v>
      </c>
      <c r="AU365" s="54">
        <v>-10447.712432543591</v>
      </c>
      <c r="AV365" s="39">
        <v>453.16429572632046</v>
      </c>
      <c r="AW365" s="39">
        <v>0</v>
      </c>
      <c r="AX365" s="55">
        <v>-453.16429572632046</v>
      </c>
      <c r="AY365" s="39">
        <v>730.31644067323475</v>
      </c>
      <c r="AZ365" s="39">
        <v>0</v>
      </c>
      <c r="BA365" s="35">
        <v>-730.31644067323475</v>
      </c>
      <c r="BB365" s="39">
        <v>445.12412098971794</v>
      </c>
      <c r="BC365" s="39">
        <v>0</v>
      </c>
      <c r="BD365" s="55">
        <v>-445.12412098971794</v>
      </c>
      <c r="BE365" s="39">
        <v>0</v>
      </c>
      <c r="BF365" s="39">
        <v>0</v>
      </c>
      <c r="BG365" s="38">
        <v>0</v>
      </c>
      <c r="BH365" s="39">
        <v>218.86472282667671</v>
      </c>
      <c r="BI365" s="39">
        <v>0</v>
      </c>
      <c r="BJ365" s="55">
        <v>-218.86472282667671</v>
      </c>
      <c r="BK365" s="39">
        <v>332.68755310226783</v>
      </c>
      <c r="BL365" s="39">
        <v>0</v>
      </c>
      <c r="BM365" s="38">
        <v>-332.68755310226783</v>
      </c>
      <c r="BN365" s="39">
        <v>0</v>
      </c>
      <c r="BO365" s="39">
        <v>0</v>
      </c>
      <c r="BP365" s="55">
        <v>0</v>
      </c>
      <c r="BQ365" s="77">
        <v>2180.1571333182178</v>
      </c>
      <c r="BR365" s="40">
        <v>0</v>
      </c>
      <c r="BS365" s="55">
        <v>-2180.1571333182178</v>
      </c>
      <c r="BT365" s="39">
        <v>7037.6439696430089</v>
      </c>
      <c r="BU365" s="39">
        <v>1716.4297028261767</v>
      </c>
      <c r="BV365" s="52">
        <v>-5321.2142668168326</v>
      </c>
      <c r="BW365" s="39">
        <v>4292.2229936732056</v>
      </c>
      <c r="BX365" s="39">
        <v>5143.0718518564299</v>
      </c>
      <c r="BY365" s="52">
        <v>850.84885818322437</v>
      </c>
      <c r="BZ365" s="39">
        <v>1000.7634546194498</v>
      </c>
      <c r="CA365" s="39">
        <v>6928.6502301434866</v>
      </c>
      <c r="CB365" s="52">
        <v>5927.8867755240371</v>
      </c>
      <c r="CC365" s="39">
        <v>533.36033647770364</v>
      </c>
      <c r="CD365" s="39">
        <v>526.19831178012339</v>
      </c>
      <c r="CE365" s="52">
        <v>-7.1620246975802502</v>
      </c>
      <c r="CF365" s="39">
        <v>65.659889907293049</v>
      </c>
      <c r="CG365" s="39">
        <v>0</v>
      </c>
      <c r="CH365" s="52">
        <v>-65.659889907293049</v>
      </c>
      <c r="CI365" s="39">
        <v>1363.2597504054938</v>
      </c>
      <c r="CJ365" s="39">
        <v>1506.6863446755065</v>
      </c>
      <c r="CK365" s="52">
        <v>143.42659427001263</v>
      </c>
      <c r="CL365" s="39">
        <v>0</v>
      </c>
      <c r="CM365" s="39">
        <v>0</v>
      </c>
      <c r="CN365" s="52">
        <v>0</v>
      </c>
      <c r="CO365" s="39">
        <v>1363.2597504054938</v>
      </c>
      <c r="CP365" s="40">
        <v>1506.6863446755065</v>
      </c>
      <c r="CQ365" s="52">
        <v>143.42659427001263</v>
      </c>
      <c r="CR365" s="72">
        <v>39387.550354942752</v>
      </c>
      <c r="CS365" s="5">
        <v>31124.728866676691</v>
      </c>
      <c r="CT365" s="52">
        <v>-8262.8214882660614</v>
      </c>
      <c r="CU365" s="77">
        <v>47265.060425931304</v>
      </c>
      <c r="CV365" s="65">
        <v>37349.674640012025</v>
      </c>
      <c r="CW365" s="35">
        <v>-9915.3857859192794</v>
      </c>
      <c r="CX365" s="39">
        <v>2363.2530212965653</v>
      </c>
      <c r="CY365" s="39">
        <v>12278.638807215841</v>
      </c>
      <c r="CZ365" s="52">
        <v>9915.3857859192758</v>
      </c>
      <c r="DA365" s="150">
        <v>-53656.706260386265</v>
      </c>
      <c r="DB365" s="2">
        <v>3</v>
      </c>
      <c r="DC365" s="713">
        <v>46023.09</v>
      </c>
      <c r="DD365" s="714"/>
      <c r="DE365" s="715">
        <v>21208.933276386058</v>
      </c>
      <c r="DF365" s="716">
        <v>0</v>
      </c>
      <c r="DG365" s="717">
        <v>-47218.359814074851</v>
      </c>
      <c r="DH365" s="718">
        <v>238209.28923350491</v>
      </c>
      <c r="DI365" s="718">
        <v>595539.7613667344</v>
      </c>
      <c r="DJ365" s="693">
        <v>506207.14333342703</v>
      </c>
      <c r="DK365" s="724"/>
      <c r="DL365" s="5"/>
      <c r="DM365" s="306">
        <v>5.4337172846068142</v>
      </c>
      <c r="DN365" s="306"/>
      <c r="DO365" s="306">
        <v>4.8415828141983965</v>
      </c>
      <c r="DP365" s="719">
        <v>24814.156723613938</v>
      </c>
      <c r="DQ365" s="720">
        <v>0</v>
      </c>
      <c r="DR365" s="650">
        <v>24814.156723613938</v>
      </c>
      <c r="DS365" s="94">
        <v>24814.156723613931</v>
      </c>
      <c r="DT365" s="719">
        <v>24812.41</v>
      </c>
      <c r="DU365" s="721"/>
      <c r="DV365" s="93">
        <v>24812.41</v>
      </c>
      <c r="DW365" s="95">
        <v>25050.482025743589</v>
      </c>
      <c r="DX365" s="28">
        <v>-238.07202574358962</v>
      </c>
      <c r="EA365" s="5">
        <v>15164.391288161281</v>
      </c>
      <c r="EB365" s="5">
        <v>10.947809127109853</v>
      </c>
      <c r="EE365" s="722">
        <v>125482.0272817942</v>
      </c>
      <c r="EG365" s="42" t="s">
        <v>327</v>
      </c>
    </row>
    <row r="366" spans="1:137" x14ac:dyDescent="0.3">
      <c r="A366" s="325">
        <v>150000920</v>
      </c>
      <c r="B366" s="41" t="s">
        <v>840</v>
      </c>
      <c r="C366" s="42" t="s">
        <v>328</v>
      </c>
      <c r="D366" s="27">
        <v>5</v>
      </c>
      <c r="E366" s="709">
        <v>4553.8</v>
      </c>
      <c r="F366" s="723">
        <v>4553.8</v>
      </c>
      <c r="G366" s="28"/>
      <c r="H366" s="651">
        <v>0</v>
      </c>
      <c r="I366" s="39">
        <v>2778.1929466304364</v>
      </c>
      <c r="J366" s="39">
        <v>2633.8274348728155</v>
      </c>
      <c r="K366" s="52">
        <v>-144.36551175762088</v>
      </c>
      <c r="L366" s="39">
        <v>566.74004116832782</v>
      </c>
      <c r="M366" s="39">
        <v>490.45548183438336</v>
      </c>
      <c r="N366" s="52">
        <v>-76.284559333944458</v>
      </c>
      <c r="O366" s="39">
        <v>1107.8</v>
      </c>
      <c r="P366" s="39">
        <v>1108.1199999999999</v>
      </c>
      <c r="Q366" s="52">
        <v>0.31999999999993634</v>
      </c>
      <c r="R366" s="39">
        <v>0</v>
      </c>
      <c r="S366" s="39">
        <v>0</v>
      </c>
      <c r="T366" s="52">
        <v>0</v>
      </c>
      <c r="U366" s="39">
        <v>215.74518364026076</v>
      </c>
      <c r="V366" s="39">
        <v>127.85671452438703</v>
      </c>
      <c r="W366" s="52">
        <v>-87.888469115873733</v>
      </c>
      <c r="X366" s="39">
        <v>2177.022237656608</v>
      </c>
      <c r="Y366" s="39">
        <v>1578.6965052023379</v>
      </c>
      <c r="Z366" s="52">
        <v>-598.32573245427011</v>
      </c>
      <c r="AA366" s="39">
        <v>0</v>
      </c>
      <c r="AB366" s="39">
        <v>0</v>
      </c>
      <c r="AC366" s="52">
        <v>0</v>
      </c>
      <c r="AD366" s="39">
        <v>3245.2136059840814</v>
      </c>
      <c r="AE366" s="39">
        <v>2723.111803222313</v>
      </c>
      <c r="AF366" s="35">
        <v>-522.10180276176834</v>
      </c>
      <c r="AG366" s="77">
        <v>10090.714015079713</v>
      </c>
      <c r="AH366" s="53">
        <v>8662.0679396562373</v>
      </c>
      <c r="AI366" s="52">
        <v>-1428.6460754234758</v>
      </c>
      <c r="AJ366" s="39">
        <v>0</v>
      </c>
      <c r="AK366" s="39">
        <v>0</v>
      </c>
      <c r="AL366" s="52">
        <v>0</v>
      </c>
      <c r="AM366" s="39">
        <v>0</v>
      </c>
      <c r="AN366" s="39">
        <v>0</v>
      </c>
      <c r="AO366" s="52">
        <v>0</v>
      </c>
      <c r="AP366" s="39">
        <v>2367.5441072341246</v>
      </c>
      <c r="AQ366" s="39">
        <v>6803.4965693515705</v>
      </c>
      <c r="AR366" s="52">
        <v>4435.952462117446</v>
      </c>
      <c r="AS366" s="39">
        <v>12621.42003831797</v>
      </c>
      <c r="AT366" s="39">
        <v>929.87228539275918</v>
      </c>
      <c r="AU366" s="54">
        <v>-11691.547752925211</v>
      </c>
      <c r="AV366" s="39">
        <v>453.28676417768395</v>
      </c>
      <c r="AW366" s="39">
        <v>0</v>
      </c>
      <c r="AX366" s="55">
        <v>-453.28676417768395</v>
      </c>
      <c r="AY366" s="39">
        <v>730.47179917909421</v>
      </c>
      <c r="AZ366" s="39">
        <v>0</v>
      </c>
      <c r="BA366" s="35">
        <v>-730.47179917909421</v>
      </c>
      <c r="BB366" s="39">
        <v>459.8961907599396</v>
      </c>
      <c r="BC366" s="39">
        <v>0</v>
      </c>
      <c r="BD366" s="55">
        <v>-459.8961907599396</v>
      </c>
      <c r="BE366" s="39">
        <v>0</v>
      </c>
      <c r="BF366" s="39">
        <v>0</v>
      </c>
      <c r="BG366" s="38">
        <v>0</v>
      </c>
      <c r="BH366" s="39">
        <v>218.86472282667671</v>
      </c>
      <c r="BI366" s="39">
        <v>0</v>
      </c>
      <c r="BJ366" s="55">
        <v>-218.86472282667671</v>
      </c>
      <c r="BK366" s="39">
        <v>332.96178169220053</v>
      </c>
      <c r="BL366" s="39">
        <v>621</v>
      </c>
      <c r="BM366" s="38">
        <v>288.03821830779947</v>
      </c>
      <c r="BN366" s="39">
        <v>0</v>
      </c>
      <c r="BO366" s="39">
        <v>0</v>
      </c>
      <c r="BP366" s="55">
        <v>0</v>
      </c>
      <c r="BQ366" s="77">
        <v>2195.4812586355952</v>
      </c>
      <c r="BR366" s="40">
        <v>621</v>
      </c>
      <c r="BS366" s="55">
        <v>-1574.4812586355952</v>
      </c>
      <c r="BT366" s="39">
        <v>6723.6643196308278</v>
      </c>
      <c r="BU366" s="39">
        <v>1625.5981191919491</v>
      </c>
      <c r="BV366" s="52">
        <v>-5098.0662004388787</v>
      </c>
      <c r="BW366" s="39">
        <v>4356.0237914334512</v>
      </c>
      <c r="BX366" s="39">
        <v>5648.8701121989243</v>
      </c>
      <c r="BY366" s="52">
        <v>1292.8463207654731</v>
      </c>
      <c r="BZ366" s="39">
        <v>1086.0347547902604</v>
      </c>
      <c r="CA366" s="39">
        <v>6467.6748506498334</v>
      </c>
      <c r="CB366" s="52">
        <v>5381.6400958595732</v>
      </c>
      <c r="CC366" s="39">
        <v>534.04664573420064</v>
      </c>
      <c r="CD366" s="39">
        <v>526.87540519601703</v>
      </c>
      <c r="CE366" s="52">
        <v>-7.1712405381836106</v>
      </c>
      <c r="CF366" s="39">
        <v>65.744378736217868</v>
      </c>
      <c r="CG366" s="39">
        <v>0</v>
      </c>
      <c r="CH366" s="52">
        <v>-65.744378736217868</v>
      </c>
      <c r="CI366" s="39">
        <v>1625.3051028861832</v>
      </c>
      <c r="CJ366" s="39">
        <v>2918.0137745771217</v>
      </c>
      <c r="CK366" s="52">
        <v>1292.7086716909384</v>
      </c>
      <c r="CL366" s="39">
        <v>0</v>
      </c>
      <c r="CM366" s="39">
        <v>0</v>
      </c>
      <c r="CN366" s="52">
        <v>0</v>
      </c>
      <c r="CO366" s="39">
        <v>1625.3051028861832</v>
      </c>
      <c r="CP366" s="40">
        <v>2918.0137745771217</v>
      </c>
      <c r="CQ366" s="52">
        <v>1292.7086716909384</v>
      </c>
      <c r="CR366" s="72">
        <v>41665.978412478544</v>
      </c>
      <c r="CS366" s="5">
        <v>34203.46905621441</v>
      </c>
      <c r="CT366" s="52">
        <v>-7462.5093562641341</v>
      </c>
      <c r="CU366" s="77">
        <v>49999.174094974253</v>
      </c>
      <c r="CV366" s="65">
        <v>41044.162867457293</v>
      </c>
      <c r="CW366" s="35">
        <v>-8955.0112275169595</v>
      </c>
      <c r="CX366" s="39">
        <v>999.98348189948513</v>
      </c>
      <c r="CY366" s="39">
        <v>9954.9947094164418</v>
      </c>
      <c r="CZ366" s="52">
        <v>8955.0112275169558</v>
      </c>
      <c r="DA366" s="150">
        <v>-4020.6129176371815</v>
      </c>
      <c r="DB366" s="2">
        <v>3</v>
      </c>
      <c r="DC366" s="713">
        <v>45290.42</v>
      </c>
      <c r="DD366" s="714"/>
      <c r="DE366" s="715">
        <v>19790.841211563125</v>
      </c>
      <c r="DF366" s="716">
        <v>0</v>
      </c>
      <c r="DG366" s="717">
        <v>-23621.97066906144</v>
      </c>
      <c r="DH366" s="718">
        <v>245836.43957393288</v>
      </c>
      <c r="DI366" s="718">
        <v>611989.89092248492</v>
      </c>
      <c r="DJ366" s="693">
        <v>520451.52808534692</v>
      </c>
      <c r="DK366" s="724"/>
      <c r="DL366" s="5"/>
      <c r="DM366" s="306">
        <v>5.5996264193501846</v>
      </c>
      <c r="DN366" s="306"/>
      <c r="DO366" s="306">
        <v>5.0142062075803944</v>
      </c>
      <c r="DP366" s="719">
        <v>25499.578788436873</v>
      </c>
      <c r="DQ366" s="720">
        <v>0</v>
      </c>
      <c r="DR366" s="650">
        <v>25499.578788436873</v>
      </c>
      <c r="DS366" s="94">
        <v>25499.578788436866</v>
      </c>
      <c r="DT366" s="719">
        <v>25496.58</v>
      </c>
      <c r="DU366" s="721"/>
      <c r="DV366" s="93">
        <v>25496.58</v>
      </c>
      <c r="DW366" s="95">
        <v>25599.577136626816</v>
      </c>
      <c r="DX366" s="28">
        <v>-102.99713662681461</v>
      </c>
      <c r="EA366" s="5">
        <v>17780.281556344278</v>
      </c>
      <c r="EB366" s="5">
        <v>1861.0467424713111</v>
      </c>
      <c r="EE366" s="722">
        <v>151457.04045981565</v>
      </c>
      <c r="EG366" s="42" t="s">
        <v>328</v>
      </c>
    </row>
    <row r="367" spans="1:137" x14ac:dyDescent="0.3">
      <c r="A367" s="325">
        <v>150000921</v>
      </c>
      <c r="B367" s="41" t="s">
        <v>841</v>
      </c>
      <c r="C367" s="42" t="s">
        <v>329</v>
      </c>
      <c r="D367" s="27">
        <v>5</v>
      </c>
      <c r="E367" s="709">
        <v>6174.2300000000005</v>
      </c>
      <c r="F367" s="723">
        <v>6129.13</v>
      </c>
      <c r="G367" s="28"/>
      <c r="H367" s="651">
        <v>45.1</v>
      </c>
      <c r="I367" s="39">
        <v>3649.6443592769765</v>
      </c>
      <c r="J367" s="39">
        <v>3460.6397235466247</v>
      </c>
      <c r="K367" s="52">
        <v>-189.00463573035177</v>
      </c>
      <c r="L367" s="39">
        <v>756.80367860837407</v>
      </c>
      <c r="M367" s="39">
        <v>654.93646225465068</v>
      </c>
      <c r="N367" s="52">
        <v>-101.86721635372339</v>
      </c>
      <c r="O367" s="39">
        <v>1526.52</v>
      </c>
      <c r="P367" s="39">
        <v>1527</v>
      </c>
      <c r="Q367" s="52">
        <v>0.48000000000001819</v>
      </c>
      <c r="R367" s="39">
        <v>0</v>
      </c>
      <c r="S367" s="39">
        <v>0</v>
      </c>
      <c r="T367" s="52">
        <v>0</v>
      </c>
      <c r="U367" s="39">
        <v>333.92254251606141</v>
      </c>
      <c r="V367" s="39">
        <v>197.89157391994368</v>
      </c>
      <c r="W367" s="52">
        <v>-136.03096859611773</v>
      </c>
      <c r="X367" s="39">
        <v>3479.0806454213562</v>
      </c>
      <c r="Y367" s="39">
        <v>2475.6947646732478</v>
      </c>
      <c r="Z367" s="52">
        <v>-1003.3858807481083</v>
      </c>
      <c r="AA367" s="39">
        <v>0</v>
      </c>
      <c r="AB367" s="39">
        <v>0</v>
      </c>
      <c r="AC367" s="52">
        <v>0</v>
      </c>
      <c r="AD367" s="39">
        <v>4399.9945545423816</v>
      </c>
      <c r="AE367" s="39">
        <v>3692.1073803876552</v>
      </c>
      <c r="AF367" s="35">
        <v>-707.88717415472638</v>
      </c>
      <c r="AG367" s="77">
        <v>14145.965780365148</v>
      </c>
      <c r="AH367" s="53">
        <v>12008.269904782122</v>
      </c>
      <c r="AI367" s="52">
        <v>-2137.6958755830256</v>
      </c>
      <c r="AJ367" s="39">
        <v>0</v>
      </c>
      <c r="AK367" s="39">
        <v>0</v>
      </c>
      <c r="AL367" s="52">
        <v>0</v>
      </c>
      <c r="AM367" s="39">
        <v>0</v>
      </c>
      <c r="AN367" s="39">
        <v>0</v>
      </c>
      <c r="AO367" s="52">
        <v>0</v>
      </c>
      <c r="AP367" s="39">
        <v>3030.4564572596792</v>
      </c>
      <c r="AQ367" s="39">
        <v>8907.6707660582415</v>
      </c>
      <c r="AR367" s="52">
        <v>5877.2143087985623</v>
      </c>
      <c r="AS367" s="39">
        <v>11340.274240181296</v>
      </c>
      <c r="AT367" s="39">
        <v>0</v>
      </c>
      <c r="AU367" s="54">
        <v>-11340.274240181296</v>
      </c>
      <c r="AV367" s="39">
        <v>598.88698825376764</v>
      </c>
      <c r="AW367" s="39">
        <v>0</v>
      </c>
      <c r="AX367" s="55">
        <v>-598.88698825376764</v>
      </c>
      <c r="AY367" s="39">
        <v>975.42236566356132</v>
      </c>
      <c r="AZ367" s="39">
        <v>0</v>
      </c>
      <c r="BA367" s="35">
        <v>-975.42236566356132</v>
      </c>
      <c r="BB367" s="39">
        <v>577.63982887433463</v>
      </c>
      <c r="BC367" s="39">
        <v>0</v>
      </c>
      <c r="BD367" s="55">
        <v>-577.63982887433463</v>
      </c>
      <c r="BE367" s="39">
        <v>0</v>
      </c>
      <c r="BF367" s="39">
        <v>0</v>
      </c>
      <c r="BG367" s="38">
        <v>0</v>
      </c>
      <c r="BH367" s="39">
        <v>338.81178137477229</v>
      </c>
      <c r="BI367" s="39">
        <v>0</v>
      </c>
      <c r="BJ367" s="55">
        <v>-338.81178137477229</v>
      </c>
      <c r="BK367" s="39">
        <v>542.52466217651158</v>
      </c>
      <c r="BL367" s="39">
        <v>0</v>
      </c>
      <c r="BM367" s="38">
        <v>-542.52466217651158</v>
      </c>
      <c r="BN367" s="39">
        <v>0</v>
      </c>
      <c r="BO367" s="39">
        <v>0</v>
      </c>
      <c r="BP367" s="55">
        <v>0</v>
      </c>
      <c r="BQ367" s="77">
        <v>3033.2856263429476</v>
      </c>
      <c r="BR367" s="40">
        <v>0</v>
      </c>
      <c r="BS367" s="55">
        <v>-3033.2856263429476</v>
      </c>
      <c r="BT367" s="39">
        <v>9701.4049703898236</v>
      </c>
      <c r="BU367" s="39">
        <v>2133.6957809869286</v>
      </c>
      <c r="BV367" s="52">
        <v>-7567.7091894028945</v>
      </c>
      <c r="BW367" s="39">
        <v>5843.3138407786018</v>
      </c>
      <c r="BX367" s="39">
        <v>6812.6229207721462</v>
      </c>
      <c r="BY367" s="52">
        <v>969.3090799935444</v>
      </c>
      <c r="BZ367" s="39">
        <v>1344.4247819230857</v>
      </c>
      <c r="CA367" s="39">
        <v>8572.2043616956362</v>
      </c>
      <c r="CB367" s="52">
        <v>7227.7795797725503</v>
      </c>
      <c r="CC367" s="39">
        <v>628.16905805379542</v>
      </c>
      <c r="CD367" s="39">
        <v>619.733930804274</v>
      </c>
      <c r="CE367" s="52">
        <v>-8.4351272495214289</v>
      </c>
      <c r="CF367" s="39">
        <v>77.331418131622542</v>
      </c>
      <c r="CG367" s="39">
        <v>0</v>
      </c>
      <c r="CH367" s="52">
        <v>-77.331418131622542</v>
      </c>
      <c r="CI367" s="39">
        <v>1709.5339661835483</v>
      </c>
      <c r="CJ367" s="39">
        <v>4188.7762835230706</v>
      </c>
      <c r="CK367" s="52">
        <v>2479.2423173395223</v>
      </c>
      <c r="CL367" s="39">
        <v>0</v>
      </c>
      <c r="CM367" s="39">
        <v>0</v>
      </c>
      <c r="CN367" s="52">
        <v>0</v>
      </c>
      <c r="CO367" s="39">
        <v>1709.5339661835483</v>
      </c>
      <c r="CP367" s="40">
        <v>4188.7762835230706</v>
      </c>
      <c r="CQ367" s="52">
        <v>2479.2423173395223</v>
      </c>
      <c r="CR367" s="72">
        <v>50854.160139609558</v>
      </c>
      <c r="CS367" s="5">
        <v>43242.973948622413</v>
      </c>
      <c r="CT367" s="52">
        <v>-7611.1861909871441</v>
      </c>
      <c r="CU367" s="77">
        <v>61024.992167531469</v>
      </c>
      <c r="CV367" s="65">
        <v>51891.568738346898</v>
      </c>
      <c r="CW367" s="35">
        <v>-9133.4234291845714</v>
      </c>
      <c r="CX367" s="39">
        <v>3051.2496083765736</v>
      </c>
      <c r="CY367" s="39">
        <v>12184.673037561144</v>
      </c>
      <c r="CZ367" s="52">
        <v>9133.4234291845714</v>
      </c>
      <c r="DA367" s="150">
        <v>-13235.279571025254</v>
      </c>
      <c r="DB367" s="2">
        <v>3</v>
      </c>
      <c r="DC367" s="713">
        <v>63338.49</v>
      </c>
      <c r="DD367" s="714">
        <v>414.28</v>
      </c>
      <c r="DE367" s="715">
        <v>31507.50314752711</v>
      </c>
      <c r="DF367" s="716">
        <v>207.14596451886567</v>
      </c>
      <c r="DG367" s="717">
        <v>40787.896529030288</v>
      </c>
      <c r="DH367" s="718">
        <v>307913.99921032792</v>
      </c>
      <c r="DI367" s="718">
        <v>768914.9013108965</v>
      </c>
      <c r="DJ367" s="693">
        <v>653664.67578575434</v>
      </c>
      <c r="DK367" s="724"/>
      <c r="DL367" s="5"/>
      <c r="DM367" s="306">
        <v>5.1933939812784011</v>
      </c>
      <c r="DN367" s="306"/>
      <c r="DO367" s="306">
        <v>4.5927724053466585</v>
      </c>
      <c r="DP367" s="719">
        <v>31830.986852472888</v>
      </c>
      <c r="DQ367" s="720">
        <v>207.1340354811343</v>
      </c>
      <c r="DR367" s="650">
        <v>32038.120887954021</v>
      </c>
      <c r="DS367" s="94">
        <v>32038.120887954021</v>
      </c>
      <c r="DT367" s="719">
        <v>31830.42</v>
      </c>
      <c r="DU367" s="725">
        <v>207.14</v>
      </c>
      <c r="DV367" s="93">
        <v>32037.559999999998</v>
      </c>
      <c r="DW367" s="95">
        <v>32343.245848791677</v>
      </c>
      <c r="DX367" s="28">
        <v>-305.68584879167975</v>
      </c>
      <c r="EA367" s="5">
        <v>17248.271839829093</v>
      </c>
      <c r="EB367" s="5">
        <v>0</v>
      </c>
      <c r="EE367" s="722">
        <v>136083.29088217556</v>
      </c>
      <c r="EG367" s="42" t="s">
        <v>329</v>
      </c>
    </row>
    <row r="368" spans="1:137" x14ac:dyDescent="0.3">
      <c r="A368" s="325">
        <v>150000878</v>
      </c>
      <c r="B368" s="41" t="s">
        <v>842</v>
      </c>
      <c r="C368" s="42" t="s">
        <v>237</v>
      </c>
      <c r="D368" s="27">
        <v>4</v>
      </c>
      <c r="E368" s="709">
        <v>2396.4899999999998</v>
      </c>
      <c r="F368" s="723">
        <v>1686.26</v>
      </c>
      <c r="G368" s="28"/>
      <c r="H368" s="651">
        <v>710.23</v>
      </c>
      <c r="I368" s="39">
        <v>1134.4087391639241</v>
      </c>
      <c r="J368" s="39">
        <v>1215.8400828578983</v>
      </c>
      <c r="K368" s="52">
        <v>81.431343693974213</v>
      </c>
      <c r="L368" s="39">
        <v>183.50494815442332</v>
      </c>
      <c r="M368" s="39">
        <v>199.38757371614804</v>
      </c>
      <c r="N368" s="52">
        <v>15.882625561724723</v>
      </c>
      <c r="O368" s="39">
        <v>571.86</v>
      </c>
      <c r="P368" s="39">
        <v>571.86</v>
      </c>
      <c r="Q368" s="52">
        <v>0</v>
      </c>
      <c r="R368" s="39">
        <v>0</v>
      </c>
      <c r="S368" s="39">
        <v>0</v>
      </c>
      <c r="T368" s="52">
        <v>0</v>
      </c>
      <c r="U368" s="39">
        <v>0</v>
      </c>
      <c r="V368" s="39">
        <v>0</v>
      </c>
      <c r="W368" s="52">
        <v>0</v>
      </c>
      <c r="X368" s="39">
        <v>831.78554509951391</v>
      </c>
      <c r="Y368" s="39">
        <v>504.8888342890275</v>
      </c>
      <c r="Z368" s="52">
        <v>-326.89671081048641</v>
      </c>
      <c r="AA368" s="39">
        <v>0</v>
      </c>
      <c r="AB368" s="39">
        <v>0</v>
      </c>
      <c r="AC368" s="52">
        <v>0</v>
      </c>
      <c r="AD368" s="39">
        <v>1707.8312518346854</v>
      </c>
      <c r="AE368" s="39">
        <v>1433.0691302438054</v>
      </c>
      <c r="AF368" s="35">
        <v>-274.76212159088004</v>
      </c>
      <c r="AG368" s="77">
        <v>4429.3904842525471</v>
      </c>
      <c r="AH368" s="53">
        <v>3925.0456211068795</v>
      </c>
      <c r="AI368" s="52">
        <v>-504.34486314566766</v>
      </c>
      <c r="AJ368" s="39">
        <v>0</v>
      </c>
      <c r="AK368" s="39">
        <v>0</v>
      </c>
      <c r="AL368" s="52">
        <v>0</v>
      </c>
      <c r="AM368" s="39">
        <v>0</v>
      </c>
      <c r="AN368" s="39">
        <v>0</v>
      </c>
      <c r="AO368" s="52">
        <v>0</v>
      </c>
      <c r="AP368" s="39">
        <v>662.91235002555482</v>
      </c>
      <c r="AQ368" s="39">
        <v>0</v>
      </c>
      <c r="AR368" s="52">
        <v>-662.91235002555482</v>
      </c>
      <c r="AS368" s="39">
        <v>3683.3147317466046</v>
      </c>
      <c r="AT368" s="39">
        <v>8176.8892253363429</v>
      </c>
      <c r="AU368" s="54">
        <v>4493.5744935897383</v>
      </c>
      <c r="AV368" s="39">
        <v>206.85511576985931</v>
      </c>
      <c r="AW368" s="39">
        <v>0</v>
      </c>
      <c r="AX368" s="55">
        <v>-206.85511576985931</v>
      </c>
      <c r="AY368" s="39">
        <v>236.50164632888067</v>
      </c>
      <c r="AZ368" s="39">
        <v>0</v>
      </c>
      <c r="BA368" s="35">
        <v>-236.50164632888067</v>
      </c>
      <c r="BB368" s="39">
        <v>321.47611055472277</v>
      </c>
      <c r="BC368" s="39">
        <v>0</v>
      </c>
      <c r="BD368" s="55">
        <v>-321.47611055472277</v>
      </c>
      <c r="BE368" s="39">
        <v>0</v>
      </c>
      <c r="BF368" s="39">
        <v>0</v>
      </c>
      <c r="BG368" s="38">
        <v>0</v>
      </c>
      <c r="BH368" s="39">
        <v>0</v>
      </c>
      <c r="BI368" s="39">
        <v>0</v>
      </c>
      <c r="BJ368" s="55">
        <v>0</v>
      </c>
      <c r="BK368" s="39">
        <v>107.5901330625987</v>
      </c>
      <c r="BL368" s="39">
        <v>0</v>
      </c>
      <c r="BM368" s="38">
        <v>-107.5901330625987</v>
      </c>
      <c r="BN368" s="39">
        <v>0</v>
      </c>
      <c r="BO368" s="39">
        <v>0</v>
      </c>
      <c r="BP368" s="55">
        <v>0</v>
      </c>
      <c r="BQ368" s="77">
        <v>872.42300571606154</v>
      </c>
      <c r="BR368" s="40">
        <v>0</v>
      </c>
      <c r="BS368" s="55">
        <v>-872.42300571606154</v>
      </c>
      <c r="BT368" s="39">
        <v>5522.1722812518246</v>
      </c>
      <c r="BU368" s="39">
        <v>1266.9834341442431</v>
      </c>
      <c r="BV368" s="52">
        <v>-4255.1888471075818</v>
      </c>
      <c r="BW368" s="39">
        <v>3838.1286899508691</v>
      </c>
      <c r="BX368" s="39">
        <v>3249.548604461901</v>
      </c>
      <c r="BY368" s="52">
        <v>-588.58008548896805</v>
      </c>
      <c r="BZ368" s="39">
        <v>1106.941303331874</v>
      </c>
      <c r="CA368" s="39">
        <v>5380.2140011621605</v>
      </c>
      <c r="CB368" s="52">
        <v>4273.2726978302862</v>
      </c>
      <c r="CC368" s="39">
        <v>90.200645139611623</v>
      </c>
      <c r="CD368" s="39">
        <v>88.989420374579709</v>
      </c>
      <c r="CE368" s="52">
        <v>-1.2112247650319148</v>
      </c>
      <c r="CF368" s="39">
        <v>11.104246087262796</v>
      </c>
      <c r="CG368" s="39">
        <v>0</v>
      </c>
      <c r="CH368" s="52">
        <v>-11.104246087262796</v>
      </c>
      <c r="CI368" s="39">
        <v>405.54637883916297</v>
      </c>
      <c r="CJ368" s="39">
        <v>501.83424189912694</v>
      </c>
      <c r="CK368" s="52">
        <v>96.287863059963968</v>
      </c>
      <c r="CL368" s="39">
        <v>0</v>
      </c>
      <c r="CM368" s="39">
        <v>0</v>
      </c>
      <c r="CN368" s="52">
        <v>0</v>
      </c>
      <c r="CO368" s="39">
        <v>405.54637883916297</v>
      </c>
      <c r="CP368" s="40">
        <v>501.83424189912694</v>
      </c>
      <c r="CQ368" s="52">
        <v>96.287863059963968</v>
      </c>
      <c r="CR368" s="72">
        <v>20622.134116341378</v>
      </c>
      <c r="CS368" s="5">
        <v>22589.504548485234</v>
      </c>
      <c r="CT368" s="52">
        <v>1967.3704321438563</v>
      </c>
      <c r="CU368" s="77">
        <v>24746.560939609652</v>
      </c>
      <c r="CV368" s="65">
        <v>27107.405458182282</v>
      </c>
      <c r="CW368" s="35">
        <v>2360.8445185726305</v>
      </c>
      <c r="CX368" s="39">
        <v>618.66402349024133</v>
      </c>
      <c r="CY368" s="39">
        <v>-1742.1804950823844</v>
      </c>
      <c r="CZ368" s="52">
        <v>-2360.8445185726259</v>
      </c>
      <c r="DA368" s="150">
        <v>-2482.6141802168058</v>
      </c>
      <c r="DB368" s="2">
        <v>2</v>
      </c>
      <c r="DC368" s="713">
        <v>32233.88</v>
      </c>
      <c r="DD368" s="714">
        <v>5030.9700000000012</v>
      </c>
      <c r="DE368" s="715">
        <v>22610.370651365683</v>
      </c>
      <c r="DF368" s="716">
        <v>1971.8668670843708</v>
      </c>
      <c r="DG368" s="717">
        <v>-1509.638307116983</v>
      </c>
      <c r="DH368" s="718">
        <v>125149.25699690438</v>
      </c>
      <c r="DI368" s="718">
        <v>304382.69955719868</v>
      </c>
      <c r="DJ368" s="693">
        <v>259574.3389171251</v>
      </c>
      <c r="DK368" s="724"/>
      <c r="DL368" s="5"/>
      <c r="DM368" s="306">
        <v>5.7070139531473894</v>
      </c>
      <c r="DN368" s="306"/>
      <c r="DO368" s="306">
        <v>4.3072006714946287</v>
      </c>
      <c r="DP368" s="719">
        <v>9623.5093486343176</v>
      </c>
      <c r="DQ368" s="727">
        <v>3059.1031329156303</v>
      </c>
      <c r="DR368" s="650">
        <v>12682.612481549948</v>
      </c>
      <c r="DS368" s="94">
        <v>12682.612481549944</v>
      </c>
      <c r="DT368" s="719">
        <v>9614.92</v>
      </c>
      <c r="DU368" s="728">
        <v>1853.09</v>
      </c>
      <c r="DV368" s="93">
        <v>11468.01</v>
      </c>
      <c r="DW368" s="95">
        <v>12744.478883898968</v>
      </c>
      <c r="DX368" s="28">
        <v>-1276.4688838989678</v>
      </c>
      <c r="DY368" s="94"/>
      <c r="EA368" s="5">
        <v>5466.8852849551986</v>
      </c>
      <c r="EB368" s="5">
        <v>9812.2670704036118</v>
      </c>
      <c r="EE368" s="722">
        <v>44199.776780959255</v>
      </c>
      <c r="EG368" s="42" t="s">
        <v>237</v>
      </c>
    </row>
    <row r="369" spans="1:137" x14ac:dyDescent="0.3">
      <c r="A369" s="325">
        <v>150000879</v>
      </c>
      <c r="B369" s="41" t="s">
        <v>843</v>
      </c>
      <c r="C369" s="42" t="s">
        <v>330</v>
      </c>
      <c r="D369" s="27">
        <v>5</v>
      </c>
      <c r="E369" s="709">
        <v>4494.13</v>
      </c>
      <c r="F369" s="723">
        <v>3611.53</v>
      </c>
      <c r="G369" s="28"/>
      <c r="H369" s="651">
        <v>882.6</v>
      </c>
      <c r="I369" s="39">
        <v>2167.9346126913233</v>
      </c>
      <c r="J369" s="39">
        <v>2342.4219579039482</v>
      </c>
      <c r="K369" s="52">
        <v>174.48734521262486</v>
      </c>
      <c r="L369" s="39">
        <v>401.2352871982776</v>
      </c>
      <c r="M369" s="39">
        <v>435.96272500794964</v>
      </c>
      <c r="N369" s="52">
        <v>34.72743780967204</v>
      </c>
      <c r="O369" s="39">
        <v>1093.96</v>
      </c>
      <c r="P369" s="39">
        <v>1093.96</v>
      </c>
      <c r="Q369" s="52">
        <v>0</v>
      </c>
      <c r="R369" s="39">
        <v>0</v>
      </c>
      <c r="S369" s="39">
        <v>0</v>
      </c>
      <c r="T369" s="52">
        <v>0</v>
      </c>
      <c r="U369" s="39">
        <v>0</v>
      </c>
      <c r="V369" s="39">
        <v>0</v>
      </c>
      <c r="W369" s="52">
        <v>0</v>
      </c>
      <c r="X369" s="39">
        <v>1740.4040463873091</v>
      </c>
      <c r="Y369" s="39">
        <v>1094.8083124891612</v>
      </c>
      <c r="Z369" s="52">
        <v>-645.59573389814796</v>
      </c>
      <c r="AA369" s="39">
        <v>0</v>
      </c>
      <c r="AB369" s="39">
        <v>0</v>
      </c>
      <c r="AC369" s="52">
        <v>0</v>
      </c>
      <c r="AD369" s="39">
        <v>3202.6904613863671</v>
      </c>
      <c r="AE369" s="39">
        <v>2687.4299372426312</v>
      </c>
      <c r="AF369" s="35">
        <v>-515.26052414373589</v>
      </c>
      <c r="AG369" s="77">
        <v>8606.2244076632778</v>
      </c>
      <c r="AH369" s="53">
        <v>7654.5829326436906</v>
      </c>
      <c r="AI369" s="52">
        <v>-951.64147501958723</v>
      </c>
      <c r="AJ369" s="39">
        <v>0</v>
      </c>
      <c r="AK369" s="39">
        <v>0</v>
      </c>
      <c r="AL369" s="52">
        <v>0</v>
      </c>
      <c r="AM369" s="39">
        <v>0</v>
      </c>
      <c r="AN369" s="39">
        <v>0</v>
      </c>
      <c r="AO369" s="52">
        <v>0</v>
      </c>
      <c r="AP369" s="39">
        <v>1965.0616090043234</v>
      </c>
      <c r="AQ369" s="39">
        <v>0</v>
      </c>
      <c r="AR369" s="52">
        <v>-1965.0616090043234</v>
      </c>
      <c r="AS369" s="39">
        <v>7213.2346298301954</v>
      </c>
      <c r="AT369" s="39">
        <v>651</v>
      </c>
      <c r="AU369" s="54">
        <v>-6562.2346298301954</v>
      </c>
      <c r="AV369" s="39">
        <v>352.68684170543713</v>
      </c>
      <c r="AW369" s="39">
        <v>641</v>
      </c>
      <c r="AX369" s="55">
        <v>288.31315829456287</v>
      </c>
      <c r="AY369" s="39">
        <v>517.13191296797083</v>
      </c>
      <c r="AZ369" s="39">
        <v>0</v>
      </c>
      <c r="BA369" s="35">
        <v>-517.13191296797083</v>
      </c>
      <c r="BB369" s="39">
        <v>452.13417831518331</v>
      </c>
      <c r="BC369" s="39">
        <v>0</v>
      </c>
      <c r="BD369" s="55">
        <v>-452.13417831518331</v>
      </c>
      <c r="BE369" s="39">
        <v>0</v>
      </c>
      <c r="BF369" s="39">
        <v>0</v>
      </c>
      <c r="BG369" s="38">
        <v>0</v>
      </c>
      <c r="BH369" s="39">
        <v>0</v>
      </c>
      <c r="BI369" s="39">
        <v>0</v>
      </c>
      <c r="BJ369" s="55">
        <v>0</v>
      </c>
      <c r="BK369" s="39">
        <v>242.89643245310197</v>
      </c>
      <c r="BL369" s="39">
        <v>0</v>
      </c>
      <c r="BM369" s="38">
        <v>-242.89643245310197</v>
      </c>
      <c r="BN369" s="39">
        <v>0</v>
      </c>
      <c r="BO369" s="39">
        <v>0</v>
      </c>
      <c r="BP369" s="55">
        <v>0</v>
      </c>
      <c r="BQ369" s="77">
        <v>1564.8493654416934</v>
      </c>
      <c r="BR369" s="40">
        <v>641</v>
      </c>
      <c r="BS369" s="55">
        <v>-923.84936544169341</v>
      </c>
      <c r="BT369" s="39">
        <v>5681.0087383889841</v>
      </c>
      <c r="BU369" s="39">
        <v>1502.6468207810312</v>
      </c>
      <c r="BV369" s="52">
        <v>-4178.3619176079528</v>
      </c>
      <c r="BW369" s="39">
        <v>3578.8987052293305</v>
      </c>
      <c r="BX369" s="39">
        <v>2502.5376829820452</v>
      </c>
      <c r="BY369" s="52">
        <v>-1076.3610222472853</v>
      </c>
      <c r="BZ369" s="39">
        <v>1821.5198302936435</v>
      </c>
      <c r="CA369" s="39">
        <v>5184.009037323076</v>
      </c>
      <c r="CB369" s="52">
        <v>3362.4892070294327</v>
      </c>
      <c r="CC369" s="39">
        <v>0</v>
      </c>
      <c r="CD369" s="39">
        <v>0</v>
      </c>
      <c r="CE369" s="52">
        <v>0</v>
      </c>
      <c r="CF369" s="39">
        <v>0</v>
      </c>
      <c r="CG369" s="39">
        <v>0</v>
      </c>
      <c r="CH369" s="52">
        <v>0</v>
      </c>
      <c r="CI369" s="39">
        <v>705.0267816742371</v>
      </c>
      <c r="CJ369" s="39">
        <v>829.47305703325151</v>
      </c>
      <c r="CK369" s="52">
        <v>124.44627535901441</v>
      </c>
      <c r="CL369" s="39">
        <v>0</v>
      </c>
      <c r="CM369" s="39">
        <v>0</v>
      </c>
      <c r="CN369" s="52">
        <v>0</v>
      </c>
      <c r="CO369" s="39">
        <v>705.0267816742371</v>
      </c>
      <c r="CP369" s="40">
        <v>829.47305703325151</v>
      </c>
      <c r="CQ369" s="52">
        <v>124.44627535901441</v>
      </c>
      <c r="CR369" s="72">
        <v>31135.824067525686</v>
      </c>
      <c r="CS369" s="5">
        <v>18965.249530763092</v>
      </c>
      <c r="CT369" s="52">
        <v>-12170.574536762593</v>
      </c>
      <c r="CU369" s="77">
        <v>37362.988881030818</v>
      </c>
      <c r="CV369" s="65">
        <v>22758.29943691571</v>
      </c>
      <c r="CW369" s="35">
        <v>-14604.689444115109</v>
      </c>
      <c r="CX369" s="39">
        <v>373.62988881030822</v>
      </c>
      <c r="CY369" s="39">
        <v>14978.319332925414</v>
      </c>
      <c r="CZ369" s="52">
        <v>14604.689444115105</v>
      </c>
      <c r="DA369" s="150">
        <v>-5574.4730355406427</v>
      </c>
      <c r="DB369" s="2">
        <v>2</v>
      </c>
      <c r="DC369" s="713">
        <v>33064.6</v>
      </c>
      <c r="DD369" s="714">
        <v>7657.52</v>
      </c>
      <c r="DE369" s="715">
        <v>17475.896645346969</v>
      </c>
      <c r="DF369" s="716">
        <v>4377.9139697324663</v>
      </c>
      <c r="DG369" s="717">
        <v>-798.86251403194728</v>
      </c>
      <c r="DH369" s="718">
        <v>185057.43042450934</v>
      </c>
      <c r="DI369" s="718">
        <v>452839.42523809348</v>
      </c>
      <c r="DJ369" s="693">
        <v>385893.92653469741</v>
      </c>
      <c r="DK369" s="724"/>
      <c r="DL369" s="5"/>
      <c r="DM369" s="306">
        <v>4.3163709991757031</v>
      </c>
      <c r="DN369" s="306"/>
      <c r="DO369" s="306">
        <v>3.7158463973119575</v>
      </c>
      <c r="DP369" s="719">
        <v>15588.703354653027</v>
      </c>
      <c r="DQ369" s="727">
        <v>3279.6060302675337</v>
      </c>
      <c r="DR369" s="650">
        <v>18868.309384920562</v>
      </c>
      <c r="DS369" s="94">
        <v>18868.309384920562</v>
      </c>
      <c r="DT369" s="719">
        <v>15588.81</v>
      </c>
      <c r="DU369" s="728">
        <v>3563.8500000000004</v>
      </c>
      <c r="DV369" s="93">
        <v>19152.66</v>
      </c>
      <c r="DW369" s="95">
        <v>18905.672373801597</v>
      </c>
      <c r="DX369" s="28">
        <v>246.98762619840272</v>
      </c>
      <c r="DY369" s="94"/>
      <c r="EA369" s="5">
        <v>10533.700794326267</v>
      </c>
      <c r="EB369" s="5">
        <v>1550.3999999999999</v>
      </c>
      <c r="EE369" s="722">
        <v>86558.815557962342</v>
      </c>
      <c r="EG369" s="42" t="s">
        <v>330</v>
      </c>
    </row>
    <row r="370" spans="1:137" x14ac:dyDescent="0.3">
      <c r="A370" s="325">
        <v>150000880</v>
      </c>
      <c r="B370" s="41" t="s">
        <v>844</v>
      </c>
      <c r="C370" s="42" t="s">
        <v>238</v>
      </c>
      <c r="D370" s="27">
        <v>4</v>
      </c>
      <c r="E370" s="709">
        <v>2726.35</v>
      </c>
      <c r="F370" s="723">
        <v>1891.75</v>
      </c>
      <c r="G370" s="28"/>
      <c r="H370" s="651">
        <v>834.6</v>
      </c>
      <c r="I370" s="39">
        <v>1497.8151295046302</v>
      </c>
      <c r="J370" s="39">
        <v>1601.5565886635789</v>
      </c>
      <c r="K370" s="52">
        <v>103.7414591589486</v>
      </c>
      <c r="L370" s="39">
        <v>284.01134361977034</v>
      </c>
      <c r="M370" s="39">
        <v>308.59259259104994</v>
      </c>
      <c r="N370" s="52">
        <v>24.581248971279592</v>
      </c>
      <c r="O370" s="39">
        <v>658.1</v>
      </c>
      <c r="P370" s="39">
        <v>658.1</v>
      </c>
      <c r="Q370" s="52">
        <v>0</v>
      </c>
      <c r="R370" s="39">
        <v>0</v>
      </c>
      <c r="S370" s="39">
        <v>0</v>
      </c>
      <c r="T370" s="52">
        <v>0</v>
      </c>
      <c r="U370" s="39">
        <v>0</v>
      </c>
      <c r="V370" s="39">
        <v>0</v>
      </c>
      <c r="W370" s="52">
        <v>0</v>
      </c>
      <c r="X370" s="39">
        <v>1248.5973688477427</v>
      </c>
      <c r="Y370" s="39">
        <v>773.21576422562907</v>
      </c>
      <c r="Z370" s="52">
        <v>-475.38160462211363</v>
      </c>
      <c r="AA370" s="39">
        <v>0</v>
      </c>
      <c r="AB370" s="39">
        <v>0</v>
      </c>
      <c r="AC370" s="52">
        <v>0</v>
      </c>
      <c r="AD370" s="39">
        <v>1942.9022167584653</v>
      </c>
      <c r="AE370" s="39">
        <v>1630.3210208430658</v>
      </c>
      <c r="AF370" s="35">
        <v>-312.58119591539958</v>
      </c>
      <c r="AG370" s="77">
        <v>5631.4260587306089</v>
      </c>
      <c r="AH370" s="53">
        <v>4971.785966323323</v>
      </c>
      <c r="AI370" s="52">
        <v>-659.64009240728592</v>
      </c>
      <c r="AJ370" s="39">
        <v>0</v>
      </c>
      <c r="AK370" s="39">
        <v>0</v>
      </c>
      <c r="AL370" s="52">
        <v>0</v>
      </c>
      <c r="AM370" s="39">
        <v>0</v>
      </c>
      <c r="AN370" s="39">
        <v>0</v>
      </c>
      <c r="AO370" s="52">
        <v>0</v>
      </c>
      <c r="AP370" s="39">
        <v>710.2632321702373</v>
      </c>
      <c r="AQ370" s="39">
        <v>1683.339357365337</v>
      </c>
      <c r="AR370" s="52">
        <v>973.07612519509973</v>
      </c>
      <c r="AS370" s="39">
        <v>5078.4463239358784</v>
      </c>
      <c r="AT370" s="39">
        <v>4356.4832953936748</v>
      </c>
      <c r="AU370" s="54">
        <v>-721.96302854220357</v>
      </c>
      <c r="AV370" s="39">
        <v>285.07723534860406</v>
      </c>
      <c r="AW370" s="39">
        <v>0</v>
      </c>
      <c r="AX370" s="55">
        <v>-285.07723534860406</v>
      </c>
      <c r="AY370" s="39">
        <v>366.07109162011398</v>
      </c>
      <c r="AZ370" s="39">
        <v>0</v>
      </c>
      <c r="BA370" s="35">
        <v>-366.07109162011398</v>
      </c>
      <c r="BB370" s="39">
        <v>294.87116698901576</v>
      </c>
      <c r="BC370" s="39">
        <v>0</v>
      </c>
      <c r="BD370" s="55">
        <v>-294.87116698901576</v>
      </c>
      <c r="BE370" s="39">
        <v>0</v>
      </c>
      <c r="BF370" s="39">
        <v>0</v>
      </c>
      <c r="BG370" s="38">
        <v>0</v>
      </c>
      <c r="BH370" s="39">
        <v>0</v>
      </c>
      <c r="BI370" s="39">
        <v>0</v>
      </c>
      <c r="BJ370" s="55">
        <v>0</v>
      </c>
      <c r="BK370" s="39">
        <v>169.92476655434263</v>
      </c>
      <c r="BL370" s="39">
        <v>0</v>
      </c>
      <c r="BM370" s="38">
        <v>-169.92476655434263</v>
      </c>
      <c r="BN370" s="39">
        <v>0</v>
      </c>
      <c r="BO370" s="39">
        <v>0</v>
      </c>
      <c r="BP370" s="55">
        <v>0</v>
      </c>
      <c r="BQ370" s="77">
        <v>1115.9442605120764</v>
      </c>
      <c r="BR370" s="40">
        <v>0</v>
      </c>
      <c r="BS370" s="55">
        <v>-1115.9442605120764</v>
      </c>
      <c r="BT370" s="39">
        <v>4012.6225971890826</v>
      </c>
      <c r="BU370" s="39">
        <v>1209.8896863160833</v>
      </c>
      <c r="BV370" s="52">
        <v>-2802.7329108729991</v>
      </c>
      <c r="BW370" s="39">
        <v>3113.1691619147637</v>
      </c>
      <c r="BX370" s="39">
        <v>2618.1662750802411</v>
      </c>
      <c r="BY370" s="52">
        <v>-495.00288683452254</v>
      </c>
      <c r="BZ370" s="39">
        <v>2250.3334435367028</v>
      </c>
      <c r="CA370" s="39">
        <v>5123.0372842680772</v>
      </c>
      <c r="CB370" s="52">
        <v>2872.7038407313744</v>
      </c>
      <c r="CC370" s="39">
        <v>159.32179168681401</v>
      </c>
      <c r="CD370" s="39">
        <v>157.18240011814345</v>
      </c>
      <c r="CE370" s="52">
        <v>-2.1393915686705611</v>
      </c>
      <c r="CF370" s="39">
        <v>19.613478143263091</v>
      </c>
      <c r="CG370" s="39">
        <v>0</v>
      </c>
      <c r="CH370" s="52">
        <v>-19.613478143263091</v>
      </c>
      <c r="CI370" s="39">
        <v>1123.0515106315281</v>
      </c>
      <c r="CJ370" s="39">
        <v>1903.9461219729592</v>
      </c>
      <c r="CK370" s="52">
        <v>780.89461134143107</v>
      </c>
      <c r="CL370" s="39">
        <v>0</v>
      </c>
      <c r="CM370" s="39">
        <v>0</v>
      </c>
      <c r="CN370" s="52">
        <v>0</v>
      </c>
      <c r="CO370" s="39">
        <v>1123.0515106315281</v>
      </c>
      <c r="CP370" s="40">
        <v>1903.9461219729592</v>
      </c>
      <c r="CQ370" s="52">
        <v>780.89461134143107</v>
      </c>
      <c r="CR370" s="72">
        <v>23214.191858450955</v>
      </c>
      <c r="CS370" s="5">
        <v>22023.830386837839</v>
      </c>
      <c r="CT370" s="52">
        <v>-1190.361471613116</v>
      </c>
      <c r="CU370" s="77">
        <v>27857.030230141147</v>
      </c>
      <c r="CV370" s="65">
        <v>26428.596464205406</v>
      </c>
      <c r="CW370" s="35">
        <v>-1428.4337659357407</v>
      </c>
      <c r="CX370" s="39">
        <v>417.85545345211716</v>
      </c>
      <c r="CY370" s="39">
        <v>1846.2892193878579</v>
      </c>
      <c r="CZ370" s="52">
        <v>1428.4337659357407</v>
      </c>
      <c r="DA370" s="150">
        <v>-1421.7841425925144</v>
      </c>
      <c r="DB370" s="2">
        <v>2</v>
      </c>
      <c r="DC370" s="713">
        <v>12110.4</v>
      </c>
      <c r="DD370" s="714">
        <v>12563.879999999997</v>
      </c>
      <c r="DE370" s="715">
        <v>1720.375848907137</v>
      </c>
      <c r="DF370" s="716">
        <v>8816.4613092962263</v>
      </c>
      <c r="DG370" s="717">
        <v>61590.972898895336</v>
      </c>
      <c r="DH370" s="718">
        <v>137366.79314912317</v>
      </c>
      <c r="DI370" s="718">
        <v>339298.62820311915</v>
      </c>
      <c r="DJ370" s="693">
        <v>288815.66943962016</v>
      </c>
      <c r="DK370" s="724"/>
      <c r="DL370" s="5"/>
      <c r="DM370" s="306">
        <v>5.4922818295720166</v>
      </c>
      <c r="DN370" s="306"/>
      <c r="DO370" s="306">
        <v>4.4900775110277635</v>
      </c>
      <c r="DP370" s="719">
        <v>10390.024151092863</v>
      </c>
      <c r="DQ370" s="727">
        <v>3747.4186907037715</v>
      </c>
      <c r="DR370" s="650">
        <v>14137.442841796634</v>
      </c>
      <c r="DS370" s="94">
        <v>14137.44284179663</v>
      </c>
      <c r="DT370" s="719">
        <v>10390.040000000001</v>
      </c>
      <c r="DU370" s="728">
        <v>2974.71</v>
      </c>
      <c r="DV370" s="93">
        <v>13364.75</v>
      </c>
      <c r="DW370" s="95">
        <v>14179.228387141842</v>
      </c>
      <c r="DX370" s="28">
        <v>-814.47838714184218</v>
      </c>
      <c r="DY370" s="94"/>
      <c r="EA370" s="5">
        <v>7433.2687013375453</v>
      </c>
      <c r="EB370" s="5">
        <v>5227.7799544724094</v>
      </c>
      <c r="EE370" s="722">
        <v>60941.355887230544</v>
      </c>
      <c r="EG370" s="42" t="s">
        <v>238</v>
      </c>
    </row>
    <row r="371" spans="1:137" x14ac:dyDescent="0.3">
      <c r="A371" s="325">
        <v>150000881</v>
      </c>
      <c r="B371" s="41" t="s">
        <v>845</v>
      </c>
      <c r="C371" s="42" t="s">
        <v>412</v>
      </c>
      <c r="D371" s="27">
        <v>9</v>
      </c>
      <c r="E371" s="709">
        <v>2405.4</v>
      </c>
      <c r="F371" s="723">
        <v>2076.5</v>
      </c>
      <c r="G371" s="28">
        <v>0</v>
      </c>
      <c r="H371" s="651">
        <v>328.9</v>
      </c>
      <c r="I371" s="39">
        <v>1141.4247850654117</v>
      </c>
      <c r="J371" s="39">
        <v>1233.0935098802079</v>
      </c>
      <c r="K371" s="52">
        <v>91.668724814796178</v>
      </c>
      <c r="L371" s="39">
        <v>165.94921813306564</v>
      </c>
      <c r="M371" s="39">
        <v>180.31152527676383</v>
      </c>
      <c r="N371" s="52">
        <v>14.362307143698189</v>
      </c>
      <c r="O371" s="39">
        <v>552.44000000000005</v>
      </c>
      <c r="P371" s="39">
        <v>552.46</v>
      </c>
      <c r="Q371" s="52">
        <v>1.999999999998181E-2</v>
      </c>
      <c r="R371" s="39">
        <v>128.08000000000001</v>
      </c>
      <c r="S371" s="39">
        <v>128.08000000000001</v>
      </c>
      <c r="T371" s="52">
        <v>0</v>
      </c>
      <c r="U371" s="39">
        <v>65.029090713311319</v>
      </c>
      <c r="V371" s="39">
        <v>177.62220963469184</v>
      </c>
      <c r="W371" s="52">
        <v>112.59311892138052</v>
      </c>
      <c r="X371" s="39">
        <v>673.98181878263131</v>
      </c>
      <c r="Y371" s="39">
        <v>371.38504618209674</v>
      </c>
      <c r="Z371" s="52">
        <v>-302.59677260053456</v>
      </c>
      <c r="AA371" s="39">
        <v>0</v>
      </c>
      <c r="AB371" s="39">
        <v>0</v>
      </c>
      <c r="AC371" s="52">
        <v>0</v>
      </c>
      <c r="AD371" s="39">
        <v>1714.1808616614935</v>
      </c>
      <c r="AE371" s="39">
        <v>1438.3971916796854</v>
      </c>
      <c r="AF371" s="35">
        <v>-275.78366998180809</v>
      </c>
      <c r="AG371" s="77">
        <v>4441.0857743559136</v>
      </c>
      <c r="AH371" s="53">
        <v>4081.3494826534456</v>
      </c>
      <c r="AI371" s="52">
        <v>-359.73629170246795</v>
      </c>
      <c r="AJ371" s="39">
        <v>3265.8293363628704</v>
      </c>
      <c r="AK371" s="39">
        <v>3221.9423931383062</v>
      </c>
      <c r="AL371" s="52">
        <v>-43.88694322456422</v>
      </c>
      <c r="AM371" s="39">
        <v>0</v>
      </c>
      <c r="AN371" s="39">
        <v>0</v>
      </c>
      <c r="AO371" s="52">
        <v>0</v>
      </c>
      <c r="AP371" s="39">
        <v>378.80705715745989</v>
      </c>
      <c r="AQ371" s="39">
        <v>2006.8388692901826</v>
      </c>
      <c r="AR371" s="52">
        <v>1628.0318121327227</v>
      </c>
      <c r="AS371" s="39">
        <v>5276.0978004397211</v>
      </c>
      <c r="AT371" s="39">
        <v>130</v>
      </c>
      <c r="AU371" s="54">
        <v>-5146.0978004397211</v>
      </c>
      <c r="AV371" s="39">
        <v>36.072648069418491</v>
      </c>
      <c r="AW371" s="39">
        <v>0</v>
      </c>
      <c r="AX371" s="55">
        <v>-36.072648069418491</v>
      </c>
      <c r="AY371" s="39">
        <v>44.309609545266404</v>
      </c>
      <c r="AZ371" s="39">
        <v>0</v>
      </c>
      <c r="BA371" s="35">
        <v>-44.309609545266404</v>
      </c>
      <c r="BB371" s="39">
        <v>56.364639436687078</v>
      </c>
      <c r="BC371" s="39">
        <v>0</v>
      </c>
      <c r="BD371" s="55">
        <v>-56.364639436687078</v>
      </c>
      <c r="BE371" s="39">
        <v>28.814221575132017</v>
      </c>
      <c r="BF371" s="39">
        <v>0</v>
      </c>
      <c r="BG371" s="38">
        <v>-28.814221575132017</v>
      </c>
      <c r="BH371" s="39">
        <v>13.192247063076561</v>
      </c>
      <c r="BI371" s="39">
        <v>0</v>
      </c>
      <c r="BJ371" s="55">
        <v>-13.192247063076561</v>
      </c>
      <c r="BK371" s="39">
        <v>26.036353088784878</v>
      </c>
      <c r="BL371" s="39">
        <v>0</v>
      </c>
      <c r="BM371" s="38">
        <v>-26.036353088784878</v>
      </c>
      <c r="BN371" s="39">
        <v>0</v>
      </c>
      <c r="BO371" s="39">
        <v>0</v>
      </c>
      <c r="BP371" s="55">
        <v>0</v>
      </c>
      <c r="BQ371" s="77">
        <v>204.78971877836545</v>
      </c>
      <c r="BR371" s="40">
        <v>0</v>
      </c>
      <c r="BS371" s="55">
        <v>-204.78971877836545</v>
      </c>
      <c r="BT371" s="39">
        <v>6439.0844981766213</v>
      </c>
      <c r="BU371" s="39">
        <v>1564.2540332089034</v>
      </c>
      <c r="BV371" s="52">
        <v>-4874.8304649677175</v>
      </c>
      <c r="BW371" s="39">
        <v>3947.4267491267537</v>
      </c>
      <c r="BX371" s="39">
        <v>3783.7094783441489</v>
      </c>
      <c r="BY371" s="52">
        <v>-163.71727078260483</v>
      </c>
      <c r="BZ371" s="39">
        <v>1622.9880652688855</v>
      </c>
      <c r="CA371" s="39">
        <v>6769.2521914818171</v>
      </c>
      <c r="CB371" s="52">
        <v>5146.2641262129318</v>
      </c>
      <c r="CC371" s="39">
        <v>0</v>
      </c>
      <c r="CD371" s="39">
        <v>0</v>
      </c>
      <c r="CE371" s="52">
        <v>0</v>
      </c>
      <c r="CF371" s="39">
        <v>0</v>
      </c>
      <c r="CG371" s="39">
        <v>0</v>
      </c>
      <c r="CH371" s="52">
        <v>0</v>
      </c>
      <c r="CI371" s="39">
        <v>661.35255626078879</v>
      </c>
      <c r="CJ371" s="39">
        <v>732.67323757667759</v>
      </c>
      <c r="CK371" s="52">
        <v>71.320681315888805</v>
      </c>
      <c r="CL371" s="39">
        <v>1250.954599342341</v>
      </c>
      <c r="CM371" s="39">
        <v>1599.1546789804688</v>
      </c>
      <c r="CN371" s="52">
        <v>348.20007963812782</v>
      </c>
      <c r="CO371" s="39">
        <v>1912.3071556031298</v>
      </c>
      <c r="CP371" s="40">
        <v>2331.8279165571466</v>
      </c>
      <c r="CQ371" s="52">
        <v>419.52076095401685</v>
      </c>
      <c r="CR371" s="72">
        <v>27488.416155269719</v>
      </c>
      <c r="CS371" s="5">
        <v>23889.174364673952</v>
      </c>
      <c r="CT371" s="52">
        <v>-3599.2417905957664</v>
      </c>
      <c r="CU371" s="77">
        <v>32986.099386323658</v>
      </c>
      <c r="CV371" s="65">
        <v>28667.009237608741</v>
      </c>
      <c r="CW371" s="35">
        <v>-4319.0901487149167</v>
      </c>
      <c r="CX371" s="39">
        <v>824.65248465809145</v>
      </c>
      <c r="CY371" s="39">
        <v>5143.7426333730127</v>
      </c>
      <c r="CZ371" s="52">
        <v>4319.0901487149213</v>
      </c>
      <c r="DA371" s="150">
        <v>101390.83250121922</v>
      </c>
      <c r="DB371" s="2">
        <v>2</v>
      </c>
      <c r="DC371" s="713">
        <v>23386.18</v>
      </c>
      <c r="DD371" s="714">
        <v>7488.56</v>
      </c>
      <c r="DE371" s="715">
        <v>8080.5765036978628</v>
      </c>
      <c r="DF371" s="716">
        <v>5888.7875608112627</v>
      </c>
      <c r="DG371" s="717">
        <v>141842.27286980243</v>
      </c>
      <c r="DH371" s="718">
        <v>162256.68788545433</v>
      </c>
      <c r="DI371" s="718">
        <v>405729.02245178103</v>
      </c>
      <c r="DJ371" s="693">
        <v>344860.93881019938</v>
      </c>
      <c r="DK371" s="724"/>
      <c r="DL371" s="5"/>
      <c r="DM371" s="306">
        <v>6.0331237061610556</v>
      </c>
      <c r="DN371" s="306">
        <v>7.3708661190956599</v>
      </c>
      <c r="DO371" s="306">
        <v>4.8640086323768257</v>
      </c>
      <c r="DP371" s="719">
        <v>15305.603496302138</v>
      </c>
      <c r="DQ371" s="720">
        <v>1599.772439188738</v>
      </c>
      <c r="DR371" s="650">
        <v>16905.375935490876</v>
      </c>
      <c r="DS371" s="94">
        <v>16905.375935490876</v>
      </c>
      <c r="DT371" s="719">
        <v>15305.7</v>
      </c>
      <c r="DU371" s="725">
        <v>1599.78</v>
      </c>
      <c r="DV371" s="93">
        <v>16905.48</v>
      </c>
      <c r="DW371" s="95">
        <v>16987.841183956687</v>
      </c>
      <c r="DX371" s="28">
        <v>-82.361183956687455</v>
      </c>
      <c r="EA371" s="5">
        <v>6577.0650230617039</v>
      </c>
      <c r="EB371" s="5">
        <v>156</v>
      </c>
      <c r="EE371" s="722">
        <v>63313.17360527665</v>
      </c>
      <c r="EG371" s="42" t="s">
        <v>412</v>
      </c>
    </row>
    <row r="372" spans="1:137" x14ac:dyDescent="0.3">
      <c r="A372" s="325">
        <v>150000882</v>
      </c>
      <c r="B372" s="41" t="s">
        <v>846</v>
      </c>
      <c r="C372" s="42" t="s">
        <v>331</v>
      </c>
      <c r="D372" s="27">
        <v>5</v>
      </c>
      <c r="E372" s="709">
        <v>3009.77</v>
      </c>
      <c r="F372" s="723">
        <v>2322.87</v>
      </c>
      <c r="G372" s="28"/>
      <c r="H372" s="651">
        <v>686.9</v>
      </c>
      <c r="I372" s="39">
        <v>1446.3854813702051</v>
      </c>
      <c r="J372" s="39">
        <v>1558.8858223848101</v>
      </c>
      <c r="K372" s="52">
        <v>112.50034101460506</v>
      </c>
      <c r="L372" s="39">
        <v>291.11264058742955</v>
      </c>
      <c r="M372" s="39">
        <v>316.3087470159694</v>
      </c>
      <c r="N372" s="52">
        <v>25.196106428539849</v>
      </c>
      <c r="O372" s="39">
        <v>721.72</v>
      </c>
      <c r="P372" s="39">
        <v>721.74</v>
      </c>
      <c r="Q372" s="52">
        <v>1.999999999998181E-2</v>
      </c>
      <c r="R372" s="39">
        <v>0</v>
      </c>
      <c r="S372" s="39">
        <v>0</v>
      </c>
      <c r="T372" s="52">
        <v>0</v>
      </c>
      <c r="U372" s="39">
        <v>0</v>
      </c>
      <c r="V372" s="39">
        <v>0</v>
      </c>
      <c r="W372" s="52">
        <v>0</v>
      </c>
      <c r="X372" s="39">
        <v>975.23023642926421</v>
      </c>
      <c r="Y372" s="39">
        <v>592.53529861982156</v>
      </c>
      <c r="Z372" s="52">
        <v>-382.69493780944265</v>
      </c>
      <c r="AA372" s="39">
        <v>0</v>
      </c>
      <c r="AB372" s="39">
        <v>0</v>
      </c>
      <c r="AC372" s="52">
        <v>0</v>
      </c>
      <c r="AD372" s="39">
        <v>2144.8782456152462</v>
      </c>
      <c r="AE372" s="39">
        <v>1799.8024094128905</v>
      </c>
      <c r="AF372" s="35">
        <v>-345.07583620235573</v>
      </c>
      <c r="AG372" s="77">
        <v>5579.3266040021444</v>
      </c>
      <c r="AH372" s="53">
        <v>4989.2722774334916</v>
      </c>
      <c r="AI372" s="52">
        <v>-590.05432656865287</v>
      </c>
      <c r="AJ372" s="39">
        <v>0</v>
      </c>
      <c r="AK372" s="39">
        <v>0</v>
      </c>
      <c r="AL372" s="52">
        <v>0</v>
      </c>
      <c r="AM372" s="39">
        <v>0</v>
      </c>
      <c r="AN372" s="39">
        <v>0</v>
      </c>
      <c r="AO372" s="52">
        <v>0</v>
      </c>
      <c r="AP372" s="39">
        <v>1160.096612544721</v>
      </c>
      <c r="AQ372" s="39">
        <v>0</v>
      </c>
      <c r="AR372" s="52">
        <v>-1160.096612544721</v>
      </c>
      <c r="AS372" s="39">
        <v>5455.7119872444182</v>
      </c>
      <c r="AT372" s="39">
        <v>6009.0191244207754</v>
      </c>
      <c r="AU372" s="54">
        <v>553.30713717635717</v>
      </c>
      <c r="AV372" s="39">
        <v>243.31189059781519</v>
      </c>
      <c r="AW372" s="39">
        <v>0</v>
      </c>
      <c r="AX372" s="55">
        <v>-243.31189059781519</v>
      </c>
      <c r="AY372" s="39">
        <v>375.19980445508031</v>
      </c>
      <c r="AZ372" s="39">
        <v>0</v>
      </c>
      <c r="BA372" s="35">
        <v>-375.19980445508031</v>
      </c>
      <c r="BB372" s="39">
        <v>356.99056120096998</v>
      </c>
      <c r="BC372" s="39">
        <v>0</v>
      </c>
      <c r="BD372" s="55">
        <v>-356.99056120096998</v>
      </c>
      <c r="BE372" s="39">
        <v>0</v>
      </c>
      <c r="BF372" s="39">
        <v>0</v>
      </c>
      <c r="BG372" s="38">
        <v>0</v>
      </c>
      <c r="BH372" s="39">
        <v>0</v>
      </c>
      <c r="BI372" s="39">
        <v>0</v>
      </c>
      <c r="BJ372" s="55">
        <v>0</v>
      </c>
      <c r="BK372" s="39">
        <v>121.28325832554735</v>
      </c>
      <c r="BL372" s="39">
        <v>0</v>
      </c>
      <c r="BM372" s="38">
        <v>-121.28325832554735</v>
      </c>
      <c r="BN372" s="39">
        <v>0</v>
      </c>
      <c r="BO372" s="39">
        <v>0</v>
      </c>
      <c r="BP372" s="55">
        <v>0</v>
      </c>
      <c r="BQ372" s="77">
        <v>1096.7855145794128</v>
      </c>
      <c r="BR372" s="40">
        <v>0</v>
      </c>
      <c r="BS372" s="55">
        <v>-1096.7855145794128</v>
      </c>
      <c r="BT372" s="39">
        <v>4384.1881519465514</v>
      </c>
      <c r="BU372" s="39">
        <v>1191.4612929045024</v>
      </c>
      <c r="BV372" s="52">
        <v>-3192.726859042049</v>
      </c>
      <c r="BW372" s="39">
        <v>2200.3260089606974</v>
      </c>
      <c r="BX372" s="39">
        <v>1555.9238884543806</v>
      </c>
      <c r="BY372" s="52">
        <v>-644.40212050631681</v>
      </c>
      <c r="BZ372" s="39">
        <v>1548.7230782858821</v>
      </c>
      <c r="CA372" s="39">
        <v>3905.9073386621799</v>
      </c>
      <c r="CB372" s="52">
        <v>2357.184260376298</v>
      </c>
      <c r="CC372" s="39">
        <v>87.749540652122192</v>
      </c>
      <c r="CD372" s="39">
        <v>86.571229603531336</v>
      </c>
      <c r="CE372" s="52">
        <v>-1.1783110485908566</v>
      </c>
      <c r="CF372" s="39">
        <v>10.802500269674134</v>
      </c>
      <c r="CG372" s="39">
        <v>0</v>
      </c>
      <c r="CH372" s="52">
        <v>-10.802500269674134</v>
      </c>
      <c r="CI372" s="39">
        <v>683.18966896751294</v>
      </c>
      <c r="CJ372" s="39">
        <v>527.93765715820859</v>
      </c>
      <c r="CK372" s="52">
        <v>-155.25201180930435</v>
      </c>
      <c r="CL372" s="39">
        <v>0</v>
      </c>
      <c r="CM372" s="39">
        <v>0</v>
      </c>
      <c r="CN372" s="52">
        <v>0</v>
      </c>
      <c r="CO372" s="39">
        <v>683.18966896751294</v>
      </c>
      <c r="CP372" s="40">
        <v>527.93765715820859</v>
      </c>
      <c r="CQ372" s="52">
        <v>-155.25201180930435</v>
      </c>
      <c r="CR372" s="72">
        <v>22206.899667453141</v>
      </c>
      <c r="CS372" s="5">
        <v>18266.092808637066</v>
      </c>
      <c r="CT372" s="52">
        <v>-3940.806858816075</v>
      </c>
      <c r="CU372" s="77">
        <v>26648.27960094377</v>
      </c>
      <c r="CV372" s="65">
        <v>21919.311370364478</v>
      </c>
      <c r="CW372" s="35">
        <v>-4728.9682305792921</v>
      </c>
      <c r="CX372" s="39">
        <v>1332.4139800471885</v>
      </c>
      <c r="CY372" s="39">
        <v>6061.3822106264779</v>
      </c>
      <c r="CZ372" s="52">
        <v>4728.9682305792894</v>
      </c>
      <c r="DA372" s="150">
        <v>-29677.660222297505</v>
      </c>
      <c r="DB372" s="2">
        <v>2</v>
      </c>
      <c r="DC372" s="713">
        <v>31333.84</v>
      </c>
      <c r="DD372" s="714">
        <v>7822.3</v>
      </c>
      <c r="DE372" s="715">
        <v>20220.053455301255</v>
      </c>
      <c r="DF372" s="716">
        <v>4945.7397542032686</v>
      </c>
      <c r="DG372" s="717">
        <v>-60441.367778229287</v>
      </c>
      <c r="DH372" s="718">
        <v>137623.46695239239</v>
      </c>
      <c r="DI372" s="718">
        <v>335768.3229718915</v>
      </c>
      <c r="DJ372" s="693">
        <v>286232.10896701674</v>
      </c>
      <c r="DK372" s="724"/>
      <c r="DL372" s="5"/>
      <c r="DM372" s="306">
        <v>4.7845064703142004</v>
      </c>
      <c r="DN372" s="306"/>
      <c r="DO372" s="306">
        <v>4.1877423872422943</v>
      </c>
      <c r="DP372" s="719">
        <v>11113.786544698745</v>
      </c>
      <c r="DQ372" s="720">
        <v>2876.560245796732</v>
      </c>
      <c r="DR372" s="650">
        <v>13990.346790495478</v>
      </c>
      <c r="DS372" s="94">
        <v>13990.346790495481</v>
      </c>
      <c r="DT372" s="719">
        <v>11114.13</v>
      </c>
      <c r="DU372" s="725">
        <v>2876.5</v>
      </c>
      <c r="DV372" s="93">
        <v>13990.63</v>
      </c>
      <c r="DW372" s="95">
        <v>14123.588188500198</v>
      </c>
      <c r="DX372" s="28">
        <v>-132.95818850019896</v>
      </c>
      <c r="EA372" s="5">
        <v>7862.9970021885965</v>
      </c>
      <c r="EB372" s="5">
        <v>7210.8229493049303</v>
      </c>
      <c r="EE372" s="722">
        <v>65468.543846933018</v>
      </c>
      <c r="EG372" s="42" t="s">
        <v>331</v>
      </c>
    </row>
    <row r="373" spans="1:137" x14ac:dyDescent="0.3">
      <c r="A373" s="325">
        <v>150000883</v>
      </c>
      <c r="B373" s="41" t="s">
        <v>847</v>
      </c>
      <c r="C373" s="42" t="s">
        <v>332</v>
      </c>
      <c r="D373" s="27">
        <v>5</v>
      </c>
      <c r="E373" s="709">
        <v>1851.94</v>
      </c>
      <c r="F373" s="723">
        <v>1851.94</v>
      </c>
      <c r="G373" s="28"/>
      <c r="H373" s="651">
        <v>0</v>
      </c>
      <c r="I373" s="39">
        <v>1037.0193128204085</v>
      </c>
      <c r="J373" s="39">
        <v>1116.4454474573693</v>
      </c>
      <c r="K373" s="52">
        <v>79.426134636960796</v>
      </c>
      <c r="L373" s="39">
        <v>173.14849523844586</v>
      </c>
      <c r="M373" s="39">
        <v>188.13484851314053</v>
      </c>
      <c r="N373" s="52">
        <v>14.986353274694665</v>
      </c>
      <c r="O373" s="39">
        <v>457.82</v>
      </c>
      <c r="P373" s="39">
        <v>457.84</v>
      </c>
      <c r="Q373" s="52">
        <v>1.999999999998181E-2</v>
      </c>
      <c r="R373" s="39">
        <v>0</v>
      </c>
      <c r="S373" s="39">
        <v>0</v>
      </c>
      <c r="T373" s="52">
        <v>0</v>
      </c>
      <c r="U373" s="39">
        <v>0</v>
      </c>
      <c r="V373" s="39">
        <v>0</v>
      </c>
      <c r="W373" s="52">
        <v>0</v>
      </c>
      <c r="X373" s="39">
        <v>543.11000195968768</v>
      </c>
      <c r="Y373" s="39">
        <v>317.32069247593245</v>
      </c>
      <c r="Z373" s="52">
        <v>-225.78930948375523</v>
      </c>
      <c r="AA373" s="39">
        <v>0</v>
      </c>
      <c r="AB373" s="39">
        <v>0</v>
      </c>
      <c r="AC373" s="52">
        <v>0</v>
      </c>
      <c r="AD373" s="39">
        <v>1319.7639082669768</v>
      </c>
      <c r="AE373" s="39">
        <v>1107.4354764942532</v>
      </c>
      <c r="AF373" s="35">
        <v>-212.32843177272366</v>
      </c>
      <c r="AG373" s="77">
        <v>3530.8617182855187</v>
      </c>
      <c r="AH373" s="53">
        <v>3187.1764649406955</v>
      </c>
      <c r="AI373" s="52">
        <v>-343.6852533448232</v>
      </c>
      <c r="AJ373" s="39">
        <v>0</v>
      </c>
      <c r="AK373" s="39">
        <v>0</v>
      </c>
      <c r="AL373" s="52">
        <v>0</v>
      </c>
      <c r="AM373" s="39">
        <v>0</v>
      </c>
      <c r="AN373" s="39">
        <v>0</v>
      </c>
      <c r="AO373" s="52">
        <v>0</v>
      </c>
      <c r="AP373" s="39">
        <v>947.01764289364974</v>
      </c>
      <c r="AQ373" s="39">
        <v>0</v>
      </c>
      <c r="AR373" s="52">
        <v>-947.01764289364974</v>
      </c>
      <c r="AS373" s="39">
        <v>3451.4727406228981</v>
      </c>
      <c r="AT373" s="39">
        <v>65208</v>
      </c>
      <c r="AU373" s="54">
        <v>61756.527259377101</v>
      </c>
      <c r="AV373" s="39">
        <v>168.57610194819171</v>
      </c>
      <c r="AW373" s="39">
        <v>0</v>
      </c>
      <c r="AX373" s="55">
        <v>-168.57610194819171</v>
      </c>
      <c r="AY373" s="39">
        <v>223.14847341612153</v>
      </c>
      <c r="AZ373" s="39">
        <v>0</v>
      </c>
      <c r="BA373" s="35">
        <v>-223.14847341612153</v>
      </c>
      <c r="BB373" s="39">
        <v>199.49280718540049</v>
      </c>
      <c r="BC373" s="39">
        <v>0</v>
      </c>
      <c r="BD373" s="55">
        <v>-199.49280718540049</v>
      </c>
      <c r="BE373" s="39">
        <v>0</v>
      </c>
      <c r="BF373" s="39">
        <v>0</v>
      </c>
      <c r="BG373" s="38">
        <v>0</v>
      </c>
      <c r="BH373" s="39">
        <v>0</v>
      </c>
      <c r="BI373" s="39">
        <v>0</v>
      </c>
      <c r="BJ373" s="55">
        <v>0</v>
      </c>
      <c r="BK373" s="39">
        <v>64.946753943193258</v>
      </c>
      <c r="BL373" s="39">
        <v>0</v>
      </c>
      <c r="BM373" s="38">
        <v>-64.946753943193258</v>
      </c>
      <c r="BN373" s="39">
        <v>0</v>
      </c>
      <c r="BO373" s="39">
        <v>0</v>
      </c>
      <c r="BP373" s="55">
        <v>0</v>
      </c>
      <c r="BQ373" s="77">
        <v>656.16413649290701</v>
      </c>
      <c r="BR373" s="40">
        <v>0</v>
      </c>
      <c r="BS373" s="55">
        <v>-656.16413649290701</v>
      </c>
      <c r="BT373" s="39">
        <v>4078.8596678404492</v>
      </c>
      <c r="BU373" s="39">
        <v>1014.5397657507961</v>
      </c>
      <c r="BV373" s="52">
        <v>-3064.3199020896532</v>
      </c>
      <c r="BW373" s="39">
        <v>1346.3838626508095</v>
      </c>
      <c r="BX373" s="39">
        <v>1202.791365733668</v>
      </c>
      <c r="BY373" s="52">
        <v>-143.59249691714149</v>
      </c>
      <c r="BZ373" s="39">
        <v>993.39558158154591</v>
      </c>
      <c r="CA373" s="39">
        <v>4195.1817714906956</v>
      </c>
      <c r="CB373" s="52">
        <v>3201.7861899091495</v>
      </c>
      <c r="CC373" s="39">
        <v>0</v>
      </c>
      <c r="CD373" s="39">
        <v>0</v>
      </c>
      <c r="CE373" s="52">
        <v>0</v>
      </c>
      <c r="CF373" s="39">
        <v>0</v>
      </c>
      <c r="CG373" s="39">
        <v>0</v>
      </c>
      <c r="CH373" s="52">
        <v>0</v>
      </c>
      <c r="CI373" s="39">
        <v>96.707213415492689</v>
      </c>
      <c r="CJ373" s="39">
        <v>66.233352492413914</v>
      </c>
      <c r="CK373" s="52">
        <v>-30.473860923078774</v>
      </c>
      <c r="CL373" s="39">
        <v>0</v>
      </c>
      <c r="CM373" s="39">
        <v>0</v>
      </c>
      <c r="CN373" s="52">
        <v>0</v>
      </c>
      <c r="CO373" s="39">
        <v>96.707213415492689</v>
      </c>
      <c r="CP373" s="40">
        <v>66.233352492413914</v>
      </c>
      <c r="CQ373" s="52">
        <v>-30.473860923078774</v>
      </c>
      <c r="CR373" s="72">
        <v>15100.86256378327</v>
      </c>
      <c r="CS373" s="5">
        <v>74873.922720408271</v>
      </c>
      <c r="CT373" s="52">
        <v>59773.060156624997</v>
      </c>
      <c r="CU373" s="77">
        <v>18121.035076539923</v>
      </c>
      <c r="CV373" s="65">
        <v>89848.707264489916</v>
      </c>
      <c r="CW373" s="35">
        <v>71727.672187949996</v>
      </c>
      <c r="CX373" s="39">
        <v>362.42070153079857</v>
      </c>
      <c r="CY373" s="39">
        <v>-71365.251486419191</v>
      </c>
      <c r="CZ373" s="52">
        <v>-71727.672187949996</v>
      </c>
      <c r="DA373" s="150">
        <v>53157.68152084657</v>
      </c>
      <c r="DB373" s="2">
        <v>2</v>
      </c>
      <c r="DC373" s="713">
        <v>10950.26</v>
      </c>
      <c r="DD373" s="714"/>
      <c r="DE373" s="715">
        <v>1708.5321109646375</v>
      </c>
      <c r="DF373" s="716">
        <v>0</v>
      </c>
      <c r="DG373" s="717">
        <v>-2908.0650749366323</v>
      </c>
      <c r="DH373" s="718">
        <v>89227.058158554457</v>
      </c>
      <c r="DI373" s="718">
        <v>221801.46933684865</v>
      </c>
      <c r="DJ373" s="693">
        <v>188657.86654227512</v>
      </c>
      <c r="DK373" s="724"/>
      <c r="DL373" s="5"/>
      <c r="DM373" s="306">
        <v>4.9902955220122482</v>
      </c>
      <c r="DN373" s="306"/>
      <c r="DO373" s="306">
        <v>4.5453637618351932</v>
      </c>
      <c r="DP373" s="719">
        <v>9241.7278890353628</v>
      </c>
      <c r="DQ373" s="720">
        <v>0</v>
      </c>
      <c r="DR373" s="650">
        <v>9241.7278890353628</v>
      </c>
      <c r="DS373" s="94">
        <v>9241.7278890353591</v>
      </c>
      <c r="DT373" s="719">
        <v>9241.59</v>
      </c>
      <c r="DU373" s="721"/>
      <c r="DV373" s="93">
        <v>9241.59</v>
      </c>
      <c r="DW373" s="95">
        <v>9277.96995918844</v>
      </c>
      <c r="DX373" s="28">
        <v>-36.379959188439898</v>
      </c>
      <c r="EA373" s="5">
        <v>4929.1642525389661</v>
      </c>
      <c r="EB373" s="5">
        <v>78249.599999999991</v>
      </c>
      <c r="EE373" s="722">
        <v>41417.672887474779</v>
      </c>
      <c r="EG373" s="42" t="s">
        <v>332</v>
      </c>
    </row>
    <row r="374" spans="1:137" x14ac:dyDescent="0.3">
      <c r="A374" s="325">
        <v>150000884</v>
      </c>
      <c r="B374" s="41" t="s">
        <v>848</v>
      </c>
      <c r="C374" s="42" t="s">
        <v>333</v>
      </c>
      <c r="D374" s="27">
        <v>5</v>
      </c>
      <c r="E374" s="709">
        <v>3400.35</v>
      </c>
      <c r="F374" s="723">
        <v>2555.1</v>
      </c>
      <c r="G374" s="28"/>
      <c r="H374" s="651">
        <v>845.25</v>
      </c>
      <c r="I374" s="39">
        <v>1860.9293534972662</v>
      </c>
      <c r="J374" s="39">
        <v>2003.9401944937306</v>
      </c>
      <c r="K374" s="52">
        <v>143.01084099646437</v>
      </c>
      <c r="L374" s="39">
        <v>381.40992095130531</v>
      </c>
      <c r="M374" s="39">
        <v>414.42179390504953</v>
      </c>
      <c r="N374" s="52">
        <v>33.011872953744216</v>
      </c>
      <c r="O374" s="39">
        <v>783.78</v>
      </c>
      <c r="P374" s="39">
        <v>783.8</v>
      </c>
      <c r="Q374" s="52">
        <v>1.999999999998181E-2</v>
      </c>
      <c r="R374" s="39">
        <v>0</v>
      </c>
      <c r="S374" s="39">
        <v>0</v>
      </c>
      <c r="T374" s="52">
        <v>0</v>
      </c>
      <c r="U374" s="39">
        <v>0</v>
      </c>
      <c r="V374" s="39">
        <v>0</v>
      </c>
      <c r="W374" s="52">
        <v>0</v>
      </c>
      <c r="X374" s="39">
        <v>1271.6358269656419</v>
      </c>
      <c r="Y374" s="39">
        <v>785.01370341484392</v>
      </c>
      <c r="Z374" s="52">
        <v>-486.62212355079794</v>
      </c>
      <c r="AA374" s="39">
        <v>0</v>
      </c>
      <c r="AB374" s="39">
        <v>0</v>
      </c>
      <c r="AC374" s="52">
        <v>0</v>
      </c>
      <c r="AD374" s="39">
        <v>2423.2206256550508</v>
      </c>
      <c r="AE374" s="39">
        <v>2033.3640520196304</v>
      </c>
      <c r="AF374" s="35">
        <v>-389.85657363542032</v>
      </c>
      <c r="AG374" s="77">
        <v>6720.9757270692644</v>
      </c>
      <c r="AH374" s="53">
        <v>6020.5397438332548</v>
      </c>
      <c r="AI374" s="52">
        <v>-700.43598323600963</v>
      </c>
      <c r="AJ374" s="39">
        <v>0</v>
      </c>
      <c r="AK374" s="39">
        <v>0</v>
      </c>
      <c r="AL374" s="52">
        <v>0</v>
      </c>
      <c r="AM374" s="39">
        <v>0</v>
      </c>
      <c r="AN374" s="39">
        <v>0</v>
      </c>
      <c r="AO374" s="52">
        <v>0</v>
      </c>
      <c r="AP374" s="39">
        <v>1515.2282286298396</v>
      </c>
      <c r="AQ374" s="39">
        <v>0</v>
      </c>
      <c r="AR374" s="52">
        <v>-1515.2282286298396</v>
      </c>
      <c r="AS374" s="39">
        <v>7242.3613606206154</v>
      </c>
      <c r="AT374" s="39">
        <v>5759</v>
      </c>
      <c r="AU374" s="54">
        <v>-1483.3613606206154</v>
      </c>
      <c r="AV374" s="39">
        <v>309.80614720746934</v>
      </c>
      <c r="AW374" s="39">
        <v>406</v>
      </c>
      <c r="AX374" s="55">
        <v>96.193852792530663</v>
      </c>
      <c r="AY374" s="39">
        <v>491.57143533941519</v>
      </c>
      <c r="AZ374" s="39">
        <v>0</v>
      </c>
      <c r="BA374" s="35">
        <v>-491.57143533941519</v>
      </c>
      <c r="BB374" s="39">
        <v>365.94411287080538</v>
      </c>
      <c r="BC374" s="39">
        <v>0</v>
      </c>
      <c r="BD374" s="55">
        <v>-365.94411287080538</v>
      </c>
      <c r="BE374" s="39">
        <v>0</v>
      </c>
      <c r="BF374" s="39">
        <v>0</v>
      </c>
      <c r="BG374" s="38">
        <v>0</v>
      </c>
      <c r="BH374" s="39">
        <v>0</v>
      </c>
      <c r="BI374" s="39">
        <v>0</v>
      </c>
      <c r="BJ374" s="55">
        <v>0</v>
      </c>
      <c r="BK374" s="39">
        <v>175.46952701896416</v>
      </c>
      <c r="BL374" s="39">
        <v>0</v>
      </c>
      <c r="BM374" s="38">
        <v>-175.46952701896416</v>
      </c>
      <c r="BN374" s="39">
        <v>0</v>
      </c>
      <c r="BO374" s="39">
        <v>0</v>
      </c>
      <c r="BP374" s="55">
        <v>0</v>
      </c>
      <c r="BQ374" s="77">
        <v>1342.7912224366539</v>
      </c>
      <c r="BR374" s="40">
        <v>406</v>
      </c>
      <c r="BS374" s="55">
        <v>-936.79122243665392</v>
      </c>
      <c r="BT374" s="39">
        <v>2960.1748904102883</v>
      </c>
      <c r="BU374" s="39">
        <v>982.61298041424686</v>
      </c>
      <c r="BV374" s="52">
        <v>-1977.5619099960413</v>
      </c>
      <c r="BW374" s="39">
        <v>3517.5694373738961</v>
      </c>
      <c r="BX374" s="39">
        <v>3061.931684202897</v>
      </c>
      <c r="BY374" s="52">
        <v>-455.63775317099908</v>
      </c>
      <c r="BZ374" s="39">
        <v>1716.9748089034902</v>
      </c>
      <c r="CA374" s="39">
        <v>4050.918538060876</v>
      </c>
      <c r="CB374" s="52">
        <v>2333.9437291573859</v>
      </c>
      <c r="CC374" s="39">
        <v>116.67257360449764</v>
      </c>
      <c r="CD374" s="39">
        <v>115.10588070190201</v>
      </c>
      <c r="CE374" s="52">
        <v>-1.5666929025956335</v>
      </c>
      <c r="CF374" s="39">
        <v>14.363100917220356</v>
      </c>
      <c r="CG374" s="39">
        <v>0</v>
      </c>
      <c r="CH374" s="52">
        <v>-14.363100917220356</v>
      </c>
      <c r="CI374" s="39">
        <v>851.64739556224197</v>
      </c>
      <c r="CJ374" s="39">
        <v>1426.7393062359736</v>
      </c>
      <c r="CK374" s="52">
        <v>575.0919106737316</v>
      </c>
      <c r="CL374" s="39">
        <v>0</v>
      </c>
      <c r="CM374" s="39">
        <v>0</v>
      </c>
      <c r="CN374" s="52">
        <v>0</v>
      </c>
      <c r="CO374" s="39">
        <v>851.64739556224197</v>
      </c>
      <c r="CP374" s="40">
        <v>1426.7393062359736</v>
      </c>
      <c r="CQ374" s="52">
        <v>575.0919106737316</v>
      </c>
      <c r="CR374" s="72">
        <v>25998.758745528012</v>
      </c>
      <c r="CS374" s="5">
        <v>21822.848133449152</v>
      </c>
      <c r="CT374" s="52">
        <v>-4175.9106120788601</v>
      </c>
      <c r="CU374" s="77">
        <v>31198.510494633614</v>
      </c>
      <c r="CV374" s="65">
        <v>26187.417760138982</v>
      </c>
      <c r="CW374" s="35">
        <v>-5011.0927344946322</v>
      </c>
      <c r="CX374" s="39">
        <v>0</v>
      </c>
      <c r="CY374" s="39">
        <v>5011.0927344946322</v>
      </c>
      <c r="CZ374" s="52">
        <v>5011.0927344946322</v>
      </c>
      <c r="DA374" s="150">
        <v>82061.187301151018</v>
      </c>
      <c r="DB374" s="2">
        <v>2</v>
      </c>
      <c r="DC374" s="713">
        <v>25279.56</v>
      </c>
      <c r="DD374" s="714">
        <v>19903.530000000002</v>
      </c>
      <c r="DE374" s="715">
        <v>13033.293461972051</v>
      </c>
      <c r="DF374" s="716">
        <v>16550.541290711146</v>
      </c>
      <c r="DG374" s="717">
        <v>19403.071290685206</v>
      </c>
      <c r="DH374" s="718">
        <v>150381.44017791766</v>
      </c>
      <c r="DI374" s="718">
        <v>374382.1259356034</v>
      </c>
      <c r="DJ374" s="693">
        <v>318381.95449618198</v>
      </c>
      <c r="DK374" s="724"/>
      <c r="DL374" s="5"/>
      <c r="DM374" s="306">
        <v>4.7928717224484174</v>
      </c>
      <c r="DN374" s="306"/>
      <c r="DO374" s="306">
        <v>3.9668603481678271</v>
      </c>
      <c r="DP374" s="719">
        <v>12246.26653802795</v>
      </c>
      <c r="DQ374" s="720">
        <v>3352.9887092888557</v>
      </c>
      <c r="DR374" s="650">
        <v>15599.255247316807</v>
      </c>
      <c r="DS374" s="94">
        <v>15599.255247316807</v>
      </c>
      <c r="DT374" s="719">
        <v>12246.35</v>
      </c>
      <c r="DU374" s="725">
        <v>3353.02</v>
      </c>
      <c r="DV374" s="93">
        <v>15599.37</v>
      </c>
      <c r="DW374" s="95">
        <v>15599.255247316807</v>
      </c>
      <c r="DX374" s="28">
        <v>0.11475268319372844</v>
      </c>
      <c r="EA374" s="5">
        <v>10302.183099668724</v>
      </c>
      <c r="EB374" s="5">
        <v>7398</v>
      </c>
      <c r="EE374" s="722">
        <v>86908.336327447381</v>
      </c>
      <c r="EG374" s="42" t="s">
        <v>333</v>
      </c>
    </row>
    <row r="375" spans="1:137" ht="15" thickBot="1" x14ac:dyDescent="0.35">
      <c r="A375" s="325">
        <v>150000885</v>
      </c>
      <c r="B375" s="44" t="s">
        <v>849</v>
      </c>
      <c r="C375" s="45" t="s">
        <v>239</v>
      </c>
      <c r="D375" s="46">
        <v>4</v>
      </c>
      <c r="E375" s="732">
        <v>1494.6000000000001</v>
      </c>
      <c r="F375" s="733">
        <v>1448.4</v>
      </c>
      <c r="G375" s="734"/>
      <c r="H375" s="651">
        <v>46.2</v>
      </c>
      <c r="I375" s="39">
        <v>895.71560893201013</v>
      </c>
      <c r="J375" s="39">
        <v>962.43146229651325</v>
      </c>
      <c r="K375" s="56">
        <v>66.715853364503118</v>
      </c>
      <c r="L375" s="39">
        <v>155.14830105407276</v>
      </c>
      <c r="M375" s="39">
        <v>168.57654042219883</v>
      </c>
      <c r="N375" s="56">
        <v>13.428239368126071</v>
      </c>
      <c r="O375" s="39">
        <v>363.24</v>
      </c>
      <c r="P375" s="39">
        <v>363.26</v>
      </c>
      <c r="Q375" s="56">
        <v>1.999999999998181E-2</v>
      </c>
      <c r="R375" s="39">
        <v>0</v>
      </c>
      <c r="S375" s="39">
        <v>0</v>
      </c>
      <c r="T375" s="56">
        <v>0</v>
      </c>
      <c r="U375" s="39">
        <v>0</v>
      </c>
      <c r="V375" s="39">
        <v>0</v>
      </c>
      <c r="W375" s="56">
        <v>0</v>
      </c>
      <c r="X375" s="39">
        <v>513.13167791653711</v>
      </c>
      <c r="Y375" s="39">
        <v>300.83477530533196</v>
      </c>
      <c r="Z375" s="56">
        <v>-212.29690261120516</v>
      </c>
      <c r="AA375" s="39">
        <v>0</v>
      </c>
      <c r="AB375" s="39">
        <v>0</v>
      </c>
      <c r="AC375" s="56">
        <v>0</v>
      </c>
      <c r="AD375" s="39">
        <v>1065.1096349211227</v>
      </c>
      <c r="AE375" s="39">
        <v>893.75091156749738</v>
      </c>
      <c r="AF375" s="36">
        <v>-171.35872335362535</v>
      </c>
      <c r="AG375" s="80">
        <v>2992.3452228237429</v>
      </c>
      <c r="AH375" s="57">
        <v>2688.8536895915413</v>
      </c>
      <c r="AI375" s="56">
        <v>-303.49153323220162</v>
      </c>
      <c r="AJ375" s="39">
        <v>0</v>
      </c>
      <c r="AK375" s="39">
        <v>0</v>
      </c>
      <c r="AL375" s="56">
        <v>0</v>
      </c>
      <c r="AM375" s="39">
        <v>0</v>
      </c>
      <c r="AN375" s="39">
        <v>0</v>
      </c>
      <c r="AO375" s="56">
        <v>0</v>
      </c>
      <c r="AP375" s="39">
        <v>757.61411431491979</v>
      </c>
      <c r="AQ375" s="39">
        <v>0</v>
      </c>
      <c r="AR375" s="56">
        <v>-757.61411431491979</v>
      </c>
      <c r="AS375" s="39">
        <v>3364.7835167501908</v>
      </c>
      <c r="AT375" s="39">
        <v>261</v>
      </c>
      <c r="AU375" s="59">
        <v>-3103.7835167501908</v>
      </c>
      <c r="AV375" s="39">
        <v>148.66895006333297</v>
      </c>
      <c r="AW375" s="39">
        <v>0</v>
      </c>
      <c r="AX375" s="70">
        <v>-148.66895006333297</v>
      </c>
      <c r="AY375" s="39">
        <v>199.98679498901538</v>
      </c>
      <c r="AZ375" s="39">
        <v>0</v>
      </c>
      <c r="BA375" s="36">
        <v>-199.98679498901538</v>
      </c>
      <c r="BB375" s="39">
        <v>151.15206599134754</v>
      </c>
      <c r="BC375" s="39">
        <v>0</v>
      </c>
      <c r="BD375" s="70">
        <v>-151.15206599134754</v>
      </c>
      <c r="BE375" s="39">
        <v>0</v>
      </c>
      <c r="BF375" s="39">
        <v>0</v>
      </c>
      <c r="BG375" s="68">
        <v>0</v>
      </c>
      <c r="BH375" s="39">
        <v>0</v>
      </c>
      <c r="BI375" s="39">
        <v>0</v>
      </c>
      <c r="BJ375" s="70">
        <v>0</v>
      </c>
      <c r="BK375" s="39">
        <v>60.056169810574971</v>
      </c>
      <c r="BL375" s="39">
        <v>0</v>
      </c>
      <c r="BM375" s="68">
        <v>-60.056169810574971</v>
      </c>
      <c r="BN375" s="39">
        <v>0</v>
      </c>
      <c r="BO375" s="39">
        <v>0</v>
      </c>
      <c r="BP375" s="70">
        <v>0</v>
      </c>
      <c r="BQ375" s="58">
        <v>559.86398085427084</v>
      </c>
      <c r="BR375" s="34">
        <v>0</v>
      </c>
      <c r="BS375" s="70">
        <v>-559.86398085427084</v>
      </c>
      <c r="BT375" s="39">
        <v>3350.2279893416048</v>
      </c>
      <c r="BU375" s="39">
        <v>835.4128844547015</v>
      </c>
      <c r="BV375" s="56">
        <v>-2514.8151048869031</v>
      </c>
      <c r="BW375" s="39">
        <v>1582.877048874811</v>
      </c>
      <c r="BX375" s="39">
        <v>1090.3092871887261</v>
      </c>
      <c r="BY375" s="56">
        <v>-492.56776168608485</v>
      </c>
      <c r="BZ375" s="39">
        <v>912.85652071255254</v>
      </c>
      <c r="CA375" s="39">
        <v>2706.9995244556035</v>
      </c>
      <c r="CB375" s="56">
        <v>1794.1430037430509</v>
      </c>
      <c r="CC375" s="39">
        <v>41.178555389822705</v>
      </c>
      <c r="CD375" s="39">
        <v>40.625604953612466</v>
      </c>
      <c r="CE375" s="56">
        <v>-0.55295043621023865</v>
      </c>
      <c r="CF375" s="39">
        <v>5.0693297354895366</v>
      </c>
      <c r="CG375" s="39">
        <v>0</v>
      </c>
      <c r="CH375" s="56">
        <v>-5.0693297354895366</v>
      </c>
      <c r="CI375" s="39">
        <v>280.76287765788203</v>
      </c>
      <c r="CJ375" s="39">
        <v>366.29568697170487</v>
      </c>
      <c r="CK375" s="56">
        <v>85.532809313822838</v>
      </c>
      <c r="CL375" s="39">
        <v>0</v>
      </c>
      <c r="CM375" s="39">
        <v>0</v>
      </c>
      <c r="CN375" s="56">
        <v>0</v>
      </c>
      <c r="CO375" s="71">
        <v>280.76287765788203</v>
      </c>
      <c r="CP375" s="40">
        <v>366.29568697170487</v>
      </c>
      <c r="CQ375" s="56">
        <v>85.532809313822838</v>
      </c>
      <c r="CR375" s="69">
        <v>13847.579156455287</v>
      </c>
      <c r="CS375" s="5">
        <v>7989.496677615889</v>
      </c>
      <c r="CT375" s="56">
        <v>-5858.0824788393984</v>
      </c>
      <c r="CU375" s="77">
        <v>16617.094987746343</v>
      </c>
      <c r="CV375" s="65">
        <v>9587.3960131390668</v>
      </c>
      <c r="CW375" s="36">
        <v>-7029.6989746072759</v>
      </c>
      <c r="CX375" s="39">
        <v>415.42737469365858</v>
      </c>
      <c r="CY375" s="39">
        <v>7445.1263493009337</v>
      </c>
      <c r="CZ375" s="56">
        <v>7029.698974607275</v>
      </c>
      <c r="DA375" s="150">
        <v>-26440.416459435557</v>
      </c>
      <c r="DB375" s="2">
        <v>2</v>
      </c>
      <c r="DC375" s="735">
        <v>12135.83</v>
      </c>
      <c r="DD375" s="736">
        <v>233.16</v>
      </c>
      <c r="DE375" s="737">
        <v>3852.7261725754524</v>
      </c>
      <c r="DF375" s="738">
        <v>2.6462045469770601E-3</v>
      </c>
      <c r="DG375" s="717">
        <v>9628.4814482895308</v>
      </c>
      <c r="DH375" s="718">
        <v>81721.903793210236</v>
      </c>
      <c r="DI375" s="718">
        <v>204390.26834928003</v>
      </c>
      <c r="DJ375" s="693">
        <v>173723.1772102626</v>
      </c>
      <c r="DK375" s="724"/>
      <c r="DL375" s="5"/>
      <c r="DM375" s="306">
        <v>5.7187957935822613</v>
      </c>
      <c r="DN375" s="306"/>
      <c r="DO375" s="306">
        <v>5.0466959695985496</v>
      </c>
      <c r="DP375" s="719">
        <v>8283.1038274245475</v>
      </c>
      <c r="DQ375" s="720">
        <v>233.15735379545302</v>
      </c>
      <c r="DR375" s="650">
        <v>8516.2611812200012</v>
      </c>
      <c r="DS375" s="94">
        <v>8516.2611812200012</v>
      </c>
      <c r="DT375" s="719">
        <v>8283.4599999999991</v>
      </c>
      <c r="DU375" s="725">
        <v>233.16</v>
      </c>
      <c r="DV375" s="93">
        <v>8516.619999999999</v>
      </c>
      <c r="DW375" s="95">
        <v>8557.8039186893657</v>
      </c>
      <c r="DX375" s="28">
        <v>-41.183918689366692</v>
      </c>
      <c r="EA375" s="5">
        <v>4709.576997125354</v>
      </c>
      <c r="EB375" s="5">
        <v>313.2</v>
      </c>
      <c r="EE375" s="722">
        <v>40377.402201002289</v>
      </c>
      <c r="EG375" s="45" t="s">
        <v>239</v>
      </c>
    </row>
    <row r="376" spans="1:137" thickBot="1" x14ac:dyDescent="0.35">
      <c r="A376" s="326"/>
      <c r="B376" s="47"/>
      <c r="C376" s="48" t="s">
        <v>853</v>
      </c>
      <c r="D376" s="48"/>
      <c r="E376" s="739">
        <v>1009849.8799999998</v>
      </c>
      <c r="F376" s="740">
        <v>959535.53999999992</v>
      </c>
      <c r="G376" s="741">
        <v>52630.140000000014</v>
      </c>
      <c r="H376" s="664">
        <v>50314.340000000011</v>
      </c>
      <c r="I376" s="64">
        <v>532037.18773087452</v>
      </c>
      <c r="J376" s="62">
        <v>496987.21983234549</v>
      </c>
      <c r="K376" s="63">
        <v>-35049.967898529023</v>
      </c>
      <c r="L376" s="61">
        <v>99801.571743621971</v>
      </c>
      <c r="M376" s="62">
        <v>84442.500570668621</v>
      </c>
      <c r="N376" s="60">
        <v>-15359.07117295335</v>
      </c>
      <c r="O376" s="64">
        <v>230463.19999999984</v>
      </c>
      <c r="P376" s="62">
        <v>230468.08</v>
      </c>
      <c r="Q376" s="63">
        <v>4.8800000001501758</v>
      </c>
      <c r="R376" s="61">
        <v>31495.259999999987</v>
      </c>
      <c r="S376" s="62">
        <v>31494.599999999991</v>
      </c>
      <c r="T376" s="60">
        <v>-0.6599999999962165</v>
      </c>
      <c r="U376" s="64">
        <v>26519.200066416146</v>
      </c>
      <c r="V376" s="62">
        <v>16341.155443123494</v>
      </c>
      <c r="W376" s="63">
        <v>-10178.044623292652</v>
      </c>
      <c r="X376" s="61">
        <v>351896.64192168845</v>
      </c>
      <c r="Y376" s="62">
        <v>241126.62906165037</v>
      </c>
      <c r="Z376" s="60">
        <v>-110770.01286003808</v>
      </c>
      <c r="AA376" s="61">
        <v>0</v>
      </c>
      <c r="AB376" s="62">
        <v>0</v>
      </c>
      <c r="AC376" s="60">
        <v>0</v>
      </c>
      <c r="AD376" s="64">
        <v>706912.43090999953</v>
      </c>
      <c r="AE376" s="62">
        <v>603666.00000000012</v>
      </c>
      <c r="AF376" s="63">
        <v>-103246.43090999941</v>
      </c>
      <c r="AG376" s="61">
        <v>1979125.4923726018</v>
      </c>
      <c r="AH376" s="62">
        <v>1704526.1849077886</v>
      </c>
      <c r="AI376" s="60">
        <v>-274599.30746481312</v>
      </c>
      <c r="AJ376" s="64">
        <v>867033.51321664732</v>
      </c>
      <c r="AK376" s="62">
        <v>850899.84753959661</v>
      </c>
      <c r="AL376" s="63">
        <v>-16133.665677050711</v>
      </c>
      <c r="AM376" s="61">
        <v>12642.841512006697</v>
      </c>
      <c r="AN376" s="62">
        <v>3262.6887584703577</v>
      </c>
      <c r="AO376" s="63">
        <v>-9380.1527535363384</v>
      </c>
      <c r="AP376" s="61">
        <v>253311.43584666974</v>
      </c>
      <c r="AQ376" s="62">
        <v>273373.38937754853</v>
      </c>
      <c r="AR376" s="63">
        <v>20061.953530878789</v>
      </c>
      <c r="AS376" s="61">
        <v>2525384.8693702058</v>
      </c>
      <c r="AT376" s="62">
        <v>2039749.8290022509</v>
      </c>
      <c r="AU376" s="60">
        <v>-485635.04036795488</v>
      </c>
      <c r="AV376" s="61">
        <v>64078.523660394538</v>
      </c>
      <c r="AW376" s="62">
        <v>52591</v>
      </c>
      <c r="AX376" s="60">
        <v>-11487.523660394538</v>
      </c>
      <c r="AY376" s="64">
        <v>92833.465966895106</v>
      </c>
      <c r="AZ376" s="62">
        <v>83942</v>
      </c>
      <c r="BA376" s="63">
        <v>-8891.4659668951062</v>
      </c>
      <c r="BB376" s="61">
        <v>80922.177901039831</v>
      </c>
      <c r="BC376" s="62">
        <v>26007</v>
      </c>
      <c r="BD376" s="60">
        <v>-54915.177901039831</v>
      </c>
      <c r="BE376" s="64">
        <v>16800.799290652958</v>
      </c>
      <c r="BF376" s="62">
        <v>9631</v>
      </c>
      <c r="BG376" s="63">
        <v>-7169.799290652958</v>
      </c>
      <c r="BH376" s="61">
        <v>14606.204222636366</v>
      </c>
      <c r="BI376" s="62">
        <v>8442</v>
      </c>
      <c r="BJ376" s="60">
        <v>-6164.2042226363665</v>
      </c>
      <c r="BK376" s="64">
        <v>42948.011739467744</v>
      </c>
      <c r="BL376" s="62">
        <v>75667</v>
      </c>
      <c r="BM376" s="63">
        <v>32718.988260532256</v>
      </c>
      <c r="BN376" s="61">
        <v>7735.508814190438</v>
      </c>
      <c r="BO376" s="62">
        <v>0</v>
      </c>
      <c r="BP376" s="60">
        <v>-7735.508814190438</v>
      </c>
      <c r="BQ376" s="61">
        <v>319924.69159527699</v>
      </c>
      <c r="BR376" s="62">
        <v>256280</v>
      </c>
      <c r="BS376" s="60">
        <v>-63644.691595276992</v>
      </c>
      <c r="BT376" s="61">
        <v>1896234.3097659927</v>
      </c>
      <c r="BU376" s="62">
        <v>438605.72563561006</v>
      </c>
      <c r="BV376" s="63">
        <v>-1457628.5841303826</v>
      </c>
      <c r="BW376" s="61">
        <v>1243779.557220167</v>
      </c>
      <c r="BX376" s="62">
        <v>1181806.5194883756</v>
      </c>
      <c r="BY376" s="63">
        <v>-61973.037731791381</v>
      </c>
      <c r="BZ376" s="61">
        <v>413012.73610381043</v>
      </c>
      <c r="CA376" s="62">
        <v>1824110.4431509837</v>
      </c>
      <c r="CB376" s="63">
        <v>1411097.7070471733</v>
      </c>
      <c r="CC376" s="61">
        <v>55026.903567420064</v>
      </c>
      <c r="CD376" s="62">
        <v>54287.99589951236</v>
      </c>
      <c r="CE376" s="63">
        <v>-738.90766790770431</v>
      </c>
      <c r="CF376" s="61">
        <v>6774.1453255346705</v>
      </c>
      <c r="CG376" s="62">
        <v>933.41342757682912</v>
      </c>
      <c r="CH376" s="60">
        <v>-5840.7318979578413</v>
      </c>
      <c r="CI376" s="61">
        <v>356814.67843479611</v>
      </c>
      <c r="CJ376" s="62">
        <v>505874.37597612123</v>
      </c>
      <c r="CK376" s="63">
        <v>149059.69754132512</v>
      </c>
      <c r="CL376" s="61">
        <v>194741.81132480133</v>
      </c>
      <c r="CM376" s="62">
        <v>282721.05954518658</v>
      </c>
      <c r="CN376" s="60">
        <v>87979.248220385256</v>
      </c>
      <c r="CO376" s="64">
        <v>551556.48975959723</v>
      </c>
      <c r="CP376" s="62">
        <v>788595.43552130717</v>
      </c>
      <c r="CQ376" s="63">
        <v>237038.94576170994</v>
      </c>
      <c r="CR376" s="61">
        <v>10123806.985655928</v>
      </c>
      <c r="CS376" s="62">
        <v>9416431.4727090187</v>
      </c>
      <c r="CT376" s="63">
        <v>-707375.51294690929</v>
      </c>
      <c r="CU376" s="61">
        <v>12148568.382787114</v>
      </c>
      <c r="CV376" s="62">
        <v>11299717.767250823</v>
      </c>
      <c r="CW376" s="63">
        <v>-848850.61553629115</v>
      </c>
      <c r="CX376" s="61">
        <v>282632.75209753797</v>
      </c>
      <c r="CY376" s="62">
        <v>1131483.3676338263</v>
      </c>
      <c r="CZ376" s="665">
        <v>848850.61553628836</v>
      </c>
      <c r="DA376" s="74">
        <v>3998986.305985895</v>
      </c>
      <c r="DC376" s="742">
        <v>13418990.680000003</v>
      </c>
      <c r="DD376" s="743">
        <v>1020453.8200000001</v>
      </c>
      <c r="DE376" s="743">
        <v>7433695.1191253178</v>
      </c>
      <c r="DF376" s="744">
        <v>795891.57413253421</v>
      </c>
      <c r="DG376" s="745">
        <v>2786653.1090629087</v>
      </c>
      <c r="DH376" s="692">
        <v>60432731.095849149</v>
      </c>
      <c r="DI376" s="692">
        <v>149174413.61861578</v>
      </c>
      <c r="DJ376" s="692">
        <v>126988992.98792407</v>
      </c>
      <c r="DK376" s="746"/>
      <c r="DL376" s="8"/>
      <c r="DM376" s="303"/>
      <c r="DN376" s="303"/>
      <c r="DO376" s="30"/>
      <c r="DP376" s="747">
        <v>5985295.5608746782</v>
      </c>
      <c r="DQ376" s="748">
        <v>224562.24586746556</v>
      </c>
      <c r="DR376" s="95">
        <v>6209857.8067421438</v>
      </c>
      <c r="DS376" s="94">
        <v>6221343.3281425079</v>
      </c>
      <c r="DT376" s="747">
        <v>5984393.4199999962</v>
      </c>
      <c r="DU376" s="749">
        <v>231188.86000000002</v>
      </c>
      <c r="DV376" s="301">
        <v>6215582.2799999965</v>
      </c>
      <c r="DW376" s="747">
        <v>6236272.5455761105</v>
      </c>
      <c r="DX376" s="28">
        <v>-20690.265576113947</v>
      </c>
      <c r="DY376" s="4"/>
      <c r="DZ376" s="4"/>
      <c r="EA376" s="8">
        <v>3414371.4731585798</v>
      </c>
      <c r="EB376" s="8">
        <v>2755235.794802702</v>
      </c>
      <c r="EC376" s="4"/>
      <c r="ED376" s="4"/>
      <c r="EE376" s="750">
        <v>30304618.432442438</v>
      </c>
      <c r="EG376" s="48" t="s">
        <v>853</v>
      </c>
    </row>
    <row r="377" spans="1:137" x14ac:dyDescent="0.3">
      <c r="E377" s="94">
        <v>1009849.8799999999</v>
      </c>
      <c r="CU377" s="149">
        <v>12148568.382787114</v>
      </c>
      <c r="CX377" s="396">
        <v>12431201.134884652</v>
      </c>
      <c r="DR377" s="32">
        <v>12431201.134884652</v>
      </c>
      <c r="DS377" s="1">
        <v>12148568.382787112</v>
      </c>
      <c r="DU377" s="751">
        <v>6215582.2799999965</v>
      </c>
      <c r="DW377" s="5"/>
      <c r="DX377" s="5"/>
    </row>
    <row r="378" spans="1:137" x14ac:dyDescent="0.3">
      <c r="CX378" s="158">
        <v>12431201.134884652</v>
      </c>
      <c r="DJ378" s="50">
        <v>126988992.98792413</v>
      </c>
      <c r="DW378" s="5"/>
      <c r="DX378" s="5"/>
    </row>
    <row r="379" spans="1:137" ht="13.8" x14ac:dyDescent="0.3">
      <c r="A379" s="276"/>
      <c r="B379" s="2"/>
      <c r="C379" s="26" t="s">
        <v>986</v>
      </c>
      <c r="D379" s="26"/>
      <c r="E379" s="5">
        <v>339371.01999999996</v>
      </c>
      <c r="F379" s="5">
        <v>333367.66999999993</v>
      </c>
      <c r="G379" s="5">
        <v>29643.24</v>
      </c>
      <c r="H379" s="5">
        <v>6003.35</v>
      </c>
      <c r="I379" s="5">
        <v>163082.19855799605</v>
      </c>
      <c r="J379" s="5">
        <v>122092.11770754115</v>
      </c>
      <c r="K379" s="5">
        <v>-40990.080850454848</v>
      </c>
      <c r="L379" s="5">
        <v>29693.502997850013</v>
      </c>
      <c r="M379" s="5">
        <v>15501.456661406552</v>
      </c>
      <c r="N379" s="5">
        <v>-14192.046336443454</v>
      </c>
      <c r="O379" s="5">
        <v>83835.099999999991</v>
      </c>
      <c r="P379" s="5">
        <v>83834.92</v>
      </c>
      <c r="Q379" s="5">
        <v>-0.18000000000007788</v>
      </c>
      <c r="R379" s="5">
        <v>16446.660000000003</v>
      </c>
      <c r="S379" s="5">
        <v>16447.660000000003</v>
      </c>
      <c r="T379" s="5">
        <v>1.0000000000000284</v>
      </c>
      <c r="U379" s="5">
        <v>14364.63278449145</v>
      </c>
      <c r="V379" s="5">
        <v>3011.2703412272017</v>
      </c>
      <c r="W379" s="5">
        <v>-11353.362443264246</v>
      </c>
      <c r="X379" s="5">
        <v>115585.50401383151</v>
      </c>
      <c r="Y379" s="5">
        <v>79721.775762339632</v>
      </c>
      <c r="Z379" s="5">
        <v>-35863.728251491841</v>
      </c>
      <c r="AA379" s="5">
        <v>0</v>
      </c>
      <c r="AB379" s="5">
        <v>0</v>
      </c>
      <c r="AC379" s="5">
        <v>0</v>
      </c>
      <c r="AD379" s="5">
        <v>238126.73781368538</v>
      </c>
      <c r="AE379" s="5">
        <v>202939.35399745175</v>
      </c>
      <c r="AF379" s="5">
        <v>-35187.383816233669</v>
      </c>
      <c r="AG379" s="5">
        <v>661134.33616785402</v>
      </c>
      <c r="AH379" s="5">
        <v>523548.5544699661</v>
      </c>
      <c r="AI379" s="5">
        <v>-137585.78169788801</v>
      </c>
      <c r="AJ379" s="5">
        <v>458259.25259514136</v>
      </c>
      <c r="AK379" s="5">
        <v>447859.09833627136</v>
      </c>
      <c r="AL379" s="5">
        <v>-10400.154258869872</v>
      </c>
      <c r="AM379" s="5">
        <v>9470.5329532255837</v>
      </c>
      <c r="AN379" s="5">
        <v>1818.6996456899499</v>
      </c>
      <c r="AO379" s="5">
        <v>-7651.833307535635</v>
      </c>
      <c r="AP379" s="5">
        <v>53885.303880648673</v>
      </c>
      <c r="AQ379" s="5">
        <v>56813.531914097337</v>
      </c>
      <c r="AR379" s="5">
        <v>2928.2280334486732</v>
      </c>
      <c r="AS379" s="5">
        <v>909392.68342757528</v>
      </c>
      <c r="AT379" s="5">
        <v>835863.63841003762</v>
      </c>
      <c r="AU379" s="5">
        <v>-73529.045017537341</v>
      </c>
      <c r="AV379" s="5">
        <v>14083.985456616429</v>
      </c>
      <c r="AW379" s="5">
        <v>17632</v>
      </c>
      <c r="AX379" s="5">
        <v>3548.0145433835723</v>
      </c>
      <c r="AY379" s="5">
        <v>19431.596625235175</v>
      </c>
      <c r="AZ379" s="5">
        <v>47684</v>
      </c>
      <c r="BA379" s="5">
        <v>28252.403374764839</v>
      </c>
      <c r="BB379" s="5">
        <v>17522.60792734893</v>
      </c>
      <c r="BC379" s="5">
        <v>703</v>
      </c>
      <c r="BD379" s="5">
        <v>-16819.607927348934</v>
      </c>
      <c r="BE379" s="5">
        <v>7328.4332325908508</v>
      </c>
      <c r="BF379" s="5">
        <v>820</v>
      </c>
      <c r="BG379" s="5">
        <v>-6508.4332325908508</v>
      </c>
      <c r="BH379" s="5">
        <v>6135.7129767815741</v>
      </c>
      <c r="BI379" s="5">
        <v>8442</v>
      </c>
      <c r="BJ379" s="5">
        <v>2306.2870232184259</v>
      </c>
      <c r="BK379" s="5">
        <v>11002.831550017294</v>
      </c>
      <c r="BL379" s="5">
        <v>28832</v>
      </c>
      <c r="BM379" s="5">
        <v>17829.168449982706</v>
      </c>
      <c r="BN379" s="5">
        <v>7390.2631005233388</v>
      </c>
      <c r="BO379" s="5">
        <v>0</v>
      </c>
      <c r="BP379" s="5">
        <v>-7390.2631005233388</v>
      </c>
      <c r="BQ379" s="5">
        <v>82895.430869113581</v>
      </c>
      <c r="BR379" s="5">
        <v>104113</v>
      </c>
      <c r="BS379" s="5">
        <v>21217.569130886415</v>
      </c>
      <c r="BT379" s="5">
        <v>738064.46747112379</v>
      </c>
      <c r="BU379" s="5">
        <v>166979.97534014413</v>
      </c>
      <c r="BV379" s="5">
        <v>-571084.49213097966</v>
      </c>
      <c r="BW379" s="5">
        <v>473098.12214686489</v>
      </c>
      <c r="BX379" s="5">
        <v>449215.70761972951</v>
      </c>
      <c r="BY379" s="5">
        <v>-23882.414527135195</v>
      </c>
      <c r="BZ379" s="5">
        <v>143161.33753283322</v>
      </c>
      <c r="CA379" s="5">
        <v>694819.5458886202</v>
      </c>
      <c r="CB379" s="5">
        <v>551658.20835578663</v>
      </c>
      <c r="CC379" s="5">
        <v>16184.642930892824</v>
      </c>
      <c r="CD379" s="5">
        <v>15967.313661232325</v>
      </c>
      <c r="CE379" s="5">
        <v>-217.32926966048583</v>
      </c>
      <c r="CF379" s="5">
        <v>1992.4276335379416</v>
      </c>
      <c r="CG379" s="5">
        <v>933.41342757682912</v>
      </c>
      <c r="CH379" s="5">
        <v>-1059.0142059611123</v>
      </c>
      <c r="CI379" s="5">
        <v>134527.84510048589</v>
      </c>
      <c r="CJ379" s="5">
        <v>196235.65721032664</v>
      </c>
      <c r="CK379" s="5">
        <v>61707.812109840728</v>
      </c>
      <c r="CL379" s="5">
        <v>103160.39217908269</v>
      </c>
      <c r="CM379" s="5">
        <v>150901.93508858042</v>
      </c>
      <c r="CN379" s="5">
        <v>47741.542909497752</v>
      </c>
      <c r="CO379" s="5">
        <v>237688.23727956857</v>
      </c>
      <c r="CP379" s="5">
        <v>347137.59229890705</v>
      </c>
      <c r="CQ379" s="5">
        <v>109449.35501933844</v>
      </c>
      <c r="CR379" s="5">
        <v>3785226.7748883795</v>
      </c>
      <c r="CS379" s="5">
        <v>3645070.0710122711</v>
      </c>
      <c r="CT379" s="5">
        <v>-140156.70387610674</v>
      </c>
      <c r="CU379" s="5">
        <v>4542272.1298660543</v>
      </c>
      <c r="CV379" s="5">
        <v>4374084.0852147276</v>
      </c>
      <c r="CW379" s="5">
        <v>-168188.04465132818</v>
      </c>
      <c r="CX379" s="5">
        <v>91052.788159927004</v>
      </c>
      <c r="CY379" s="5">
        <v>259240.83281125524</v>
      </c>
      <c r="CZ379" s="5">
        <v>168188.044651328</v>
      </c>
      <c r="DA379" s="5">
        <v>1029242.706513181</v>
      </c>
      <c r="DC379" s="5">
        <v>4841992.28</v>
      </c>
      <c r="DD379" s="5">
        <v>79352.640000000014</v>
      </c>
      <c r="DE379" s="5">
        <v>2553613.6508862185</v>
      </c>
      <c r="DF379" s="5">
        <v>51245.348794875092</v>
      </c>
      <c r="DG379" s="5">
        <v>-299972.07346579584</v>
      </c>
      <c r="DM379" s="298"/>
      <c r="DN379" s="298"/>
      <c r="DO379" s="2"/>
      <c r="DP379" s="686">
        <v>0</v>
      </c>
      <c r="DR379" s="7">
        <v>12426798.382787114</v>
      </c>
      <c r="DS379" s="2"/>
      <c r="DU379" s="751">
        <v>6215582.2799999965</v>
      </c>
      <c r="DW379" s="5"/>
      <c r="DX379" s="5"/>
      <c r="DY379" s="2"/>
      <c r="DZ379" s="2"/>
      <c r="EA379" s="7">
        <v>2845309.5609654826</v>
      </c>
      <c r="EB379" s="7">
        <v>2296029.8290022509</v>
      </c>
      <c r="EC379" s="2"/>
      <c r="ED379" s="2"/>
      <c r="EE379" s="93"/>
      <c r="EG379" s="26" t="s">
        <v>986</v>
      </c>
    </row>
    <row r="380" spans="1:137" ht="13.8" x14ac:dyDescent="0.3">
      <c r="A380" s="276"/>
      <c r="B380" s="2"/>
      <c r="C380" s="26" t="s">
        <v>987</v>
      </c>
      <c r="D380" s="26"/>
      <c r="E380" s="5">
        <v>356238.96000000008</v>
      </c>
      <c r="F380" s="5">
        <v>320883.37999999995</v>
      </c>
      <c r="G380" s="5">
        <v>7320.62</v>
      </c>
      <c r="H380" s="5">
        <v>35355.58</v>
      </c>
      <c r="I380" s="5">
        <v>193839.35931064177</v>
      </c>
      <c r="J380" s="5">
        <v>208643.85382408215</v>
      </c>
      <c r="K380" s="5">
        <v>14804.494513440362</v>
      </c>
      <c r="L380" s="5">
        <v>37393.55418668026</v>
      </c>
      <c r="M380" s="5">
        <v>40630.000552876438</v>
      </c>
      <c r="N380" s="5">
        <v>3236.4463661962136</v>
      </c>
      <c r="O380" s="5">
        <v>78899.860000000015</v>
      </c>
      <c r="P380" s="5">
        <v>78901.400000000009</v>
      </c>
      <c r="Q380" s="5">
        <v>1.5400000000004326</v>
      </c>
      <c r="R380" s="5">
        <v>5704.6799999999994</v>
      </c>
      <c r="S380" s="5">
        <v>5705.5999999999995</v>
      </c>
      <c r="T380" s="5">
        <v>0.91999999999998749</v>
      </c>
      <c r="U380" s="5">
        <v>2618.3289901252738</v>
      </c>
      <c r="V380" s="5">
        <v>7678.4488571797483</v>
      </c>
      <c r="W380" s="5">
        <v>5060.1198670544754</v>
      </c>
      <c r="X380" s="5">
        <v>126626.83566073113</v>
      </c>
      <c r="Y380" s="5">
        <v>83071.079576553268</v>
      </c>
      <c r="Z380" s="5">
        <v>-43555.756084177912</v>
      </c>
      <c r="AA380" s="5">
        <v>0</v>
      </c>
      <c r="AB380" s="5">
        <v>0</v>
      </c>
      <c r="AC380" s="5">
        <v>0</v>
      </c>
      <c r="AD380" s="5">
        <v>251595.95633618656</v>
      </c>
      <c r="AE380" s="5">
        <v>212961.39569927374</v>
      </c>
      <c r="AF380" s="5">
        <v>-38634.560636912967</v>
      </c>
      <c r="AG380" s="5">
        <v>696678.57448436471</v>
      </c>
      <c r="AH380" s="5">
        <v>637591.77850996517</v>
      </c>
      <c r="AI380" s="5">
        <v>-59086.795974399807</v>
      </c>
      <c r="AJ380" s="5">
        <v>132470.83333708983</v>
      </c>
      <c r="AK380" s="5">
        <v>130691.79068833345</v>
      </c>
      <c r="AL380" s="5">
        <v>-1779.0426487563986</v>
      </c>
      <c r="AM380" s="5">
        <v>2646.1678391574706</v>
      </c>
      <c r="AN380" s="5">
        <v>1184.1607319729583</v>
      </c>
      <c r="AO380" s="5">
        <v>-1462.0071071845123</v>
      </c>
      <c r="AP380" s="5">
        <v>122812.40465592479</v>
      </c>
      <c r="AQ380" s="5">
        <v>105968.23656286676</v>
      </c>
      <c r="AR380" s="5">
        <v>-16844.168093058015</v>
      </c>
      <c r="AS380" s="5">
        <v>765273.74314309726</v>
      </c>
      <c r="AT380" s="5">
        <v>686938.52066063089</v>
      </c>
      <c r="AU380" s="5">
        <v>-78335.222482466095</v>
      </c>
      <c r="AV380" s="5">
        <v>29040.464448740338</v>
      </c>
      <c r="AW380" s="5">
        <v>26435</v>
      </c>
      <c r="AX380" s="5">
        <v>-2605.4644487403366</v>
      </c>
      <c r="AY380" s="5">
        <v>42747.645533191186</v>
      </c>
      <c r="AZ380" s="5">
        <v>20518</v>
      </c>
      <c r="BA380" s="5">
        <v>-22229.645533191211</v>
      </c>
      <c r="BB380" s="5">
        <v>35600.348847363784</v>
      </c>
      <c r="BC380" s="5">
        <v>0</v>
      </c>
      <c r="BD380" s="5">
        <v>-35600.348847363784</v>
      </c>
      <c r="BE380" s="5">
        <v>3661.1454277960811</v>
      </c>
      <c r="BF380" s="5">
        <v>742</v>
      </c>
      <c r="BG380" s="5">
        <v>-2919.1454277960811</v>
      </c>
      <c r="BH380" s="5">
        <v>1571.65397333233</v>
      </c>
      <c r="BI380" s="5">
        <v>0</v>
      </c>
      <c r="BJ380" s="5">
        <v>-1571.65397333233</v>
      </c>
      <c r="BK380" s="5">
        <v>16610.201826388922</v>
      </c>
      <c r="BL380" s="5">
        <v>40980</v>
      </c>
      <c r="BM380" s="5">
        <v>24369.798173611074</v>
      </c>
      <c r="BN380" s="5">
        <v>327.12590045266842</v>
      </c>
      <c r="BO380" s="5">
        <v>0</v>
      </c>
      <c r="BP380" s="5">
        <v>-327.12590045266842</v>
      </c>
      <c r="BQ380" s="5">
        <v>129558.58595726534</v>
      </c>
      <c r="BR380" s="5">
        <v>88675</v>
      </c>
      <c r="BS380" s="5">
        <v>-40883.585957265357</v>
      </c>
      <c r="BT380" s="5">
        <v>627974.86147379549</v>
      </c>
      <c r="BU380" s="5">
        <v>153578.97466114521</v>
      </c>
      <c r="BV380" s="5">
        <v>-474395.88681265007</v>
      </c>
      <c r="BW380" s="5">
        <v>394544.8543148248</v>
      </c>
      <c r="BX380" s="5">
        <v>376690.49756241532</v>
      </c>
      <c r="BY380" s="5">
        <v>-17854.356752409425</v>
      </c>
      <c r="BZ380" s="5">
        <v>201807.03240990714</v>
      </c>
      <c r="CA380" s="5">
        <v>667108.71644872951</v>
      </c>
      <c r="CB380" s="5">
        <v>465301.6840388226</v>
      </c>
      <c r="CC380" s="5">
        <v>19319.051620777649</v>
      </c>
      <c r="CD380" s="5">
        <v>19059.633146288921</v>
      </c>
      <c r="CE380" s="5">
        <v>-259.41847448871829</v>
      </c>
      <c r="CF380" s="5">
        <v>2378.2923396790666</v>
      </c>
      <c r="CG380" s="5">
        <v>0</v>
      </c>
      <c r="CH380" s="5">
        <v>-2378.2923396790666</v>
      </c>
      <c r="CI380" s="5">
        <v>97218.20185283004</v>
      </c>
      <c r="CJ380" s="5">
        <v>146211.37708690009</v>
      </c>
      <c r="CK380" s="5">
        <v>48993.175234070011</v>
      </c>
      <c r="CL380" s="5">
        <v>30453.413463291607</v>
      </c>
      <c r="CM380" s="5">
        <v>48062.658786827924</v>
      </c>
      <c r="CN380" s="5">
        <v>17609.245323536314</v>
      </c>
      <c r="CO380" s="5">
        <v>127671.61531612166</v>
      </c>
      <c r="CP380" s="5">
        <v>194274.0358737279</v>
      </c>
      <c r="CQ380" s="5">
        <v>66602.420557606296</v>
      </c>
      <c r="CR380" s="5">
        <v>3223136.0168920043</v>
      </c>
      <c r="CS380" s="5">
        <v>3061761.3448460745</v>
      </c>
      <c r="CT380" s="5">
        <v>-161374.67204592869</v>
      </c>
      <c r="CU380" s="5">
        <v>3867763.2202704065</v>
      </c>
      <c r="CV380" s="5">
        <v>3674113.6138152918</v>
      </c>
      <c r="CW380" s="5">
        <v>-193649.60645511447</v>
      </c>
      <c r="CX380" s="5">
        <v>97030.842511299517</v>
      </c>
      <c r="CY380" s="5">
        <v>290680.44896641414</v>
      </c>
      <c r="CZ380" s="5">
        <v>193649.60645511435</v>
      </c>
      <c r="DA380" s="5">
        <v>3092044.5225420152</v>
      </c>
      <c r="DC380" s="5">
        <v>4507948.7599999988</v>
      </c>
      <c r="DD380" s="5">
        <v>624300.64000000013</v>
      </c>
      <c r="DE380" s="5">
        <v>2687799.7741027614</v>
      </c>
      <c r="DF380" s="5">
        <v>466724.72259517317</v>
      </c>
      <c r="DG380" s="5">
        <v>2039287.4830682061</v>
      </c>
      <c r="DM380" s="298"/>
      <c r="DN380" s="298"/>
      <c r="DO380" s="2"/>
      <c r="DR380" s="93">
        <v>6216940.5760449702</v>
      </c>
      <c r="DS380" s="2"/>
      <c r="DW380" s="5"/>
      <c r="DX380" s="5"/>
      <c r="DY380" s="2"/>
      <c r="DZ380" s="2"/>
      <c r="EA380" s="158">
        <v>3414371.4731585789</v>
      </c>
      <c r="EB380" s="158">
        <v>2755235.7948027011</v>
      </c>
      <c r="EC380" s="2"/>
      <c r="ED380" s="2"/>
      <c r="EE380" s="93"/>
      <c r="EG380" s="26" t="s">
        <v>987</v>
      </c>
    </row>
    <row r="381" spans="1:137" ht="13.8" x14ac:dyDescent="0.3">
      <c r="A381" s="276"/>
      <c r="B381" s="274"/>
      <c r="C381" s="275" t="s">
        <v>988</v>
      </c>
      <c r="D381" s="275"/>
      <c r="E381" s="5">
        <v>314239.90000000002</v>
      </c>
      <c r="F381" s="5">
        <v>305284.49</v>
      </c>
      <c r="G381" s="5">
        <v>15666.280000000002</v>
      </c>
      <c r="H381" s="5">
        <v>8955.4100000000017</v>
      </c>
      <c r="I381" s="5">
        <v>175115.62986223714</v>
      </c>
      <c r="J381" s="5">
        <v>166251.24830072216</v>
      </c>
      <c r="K381" s="5">
        <v>-8864.3815615150088</v>
      </c>
      <c r="L381" s="5">
        <v>32714.514559091662</v>
      </c>
      <c r="M381" s="5">
        <v>28311.043356385657</v>
      </c>
      <c r="N381" s="5">
        <v>-4403.4712027060032</v>
      </c>
      <c r="O381" s="5">
        <v>67728.239999999991</v>
      </c>
      <c r="P381" s="5">
        <v>67731.75999999998</v>
      </c>
      <c r="Q381" s="5">
        <v>3.5200000000002163</v>
      </c>
      <c r="R381" s="5">
        <v>9343.9199999999964</v>
      </c>
      <c r="S381" s="5">
        <v>9341.34</v>
      </c>
      <c r="T381" s="5">
        <v>-2.5799999999999628</v>
      </c>
      <c r="U381" s="5">
        <v>9536.2382917994219</v>
      </c>
      <c r="V381" s="5">
        <v>5651.4362447165349</v>
      </c>
      <c r="W381" s="5">
        <v>-3884.8020470828828</v>
      </c>
      <c r="X381" s="5">
        <v>109684.30224712582</v>
      </c>
      <c r="Y381" s="5">
        <v>78333.773722757527</v>
      </c>
      <c r="Z381" s="5">
        <v>-31350.528524368288</v>
      </c>
      <c r="AA381" s="5">
        <v>0</v>
      </c>
      <c r="AB381" s="5">
        <v>0</v>
      </c>
      <c r="AC381" s="5">
        <v>0</v>
      </c>
      <c r="AD381" s="5">
        <v>217189.73676012806</v>
      </c>
      <c r="AE381" s="5">
        <v>187765.25030327475</v>
      </c>
      <c r="AF381" s="5">
        <v>-29424.486456853294</v>
      </c>
      <c r="AG381" s="5">
        <v>621312.58172038186</v>
      </c>
      <c r="AH381" s="5">
        <v>543385.85192785645</v>
      </c>
      <c r="AI381" s="5">
        <v>-77926.729792525497</v>
      </c>
      <c r="AJ381" s="5">
        <v>276303.42728441599</v>
      </c>
      <c r="AK381" s="5">
        <v>272348.95851499209</v>
      </c>
      <c r="AL381" s="5">
        <v>-3954.4687694239133</v>
      </c>
      <c r="AM381" s="5">
        <v>526.14071962364369</v>
      </c>
      <c r="AN381" s="5">
        <v>259.82838080744966</v>
      </c>
      <c r="AO381" s="5">
        <v>-266.31233881619403</v>
      </c>
      <c r="AP381" s="5">
        <v>76613.727310096263</v>
      </c>
      <c r="AQ381" s="5">
        <v>110591.62090058441</v>
      </c>
      <c r="AR381" s="5">
        <v>33977.893590488151</v>
      </c>
      <c r="AS381" s="5">
        <v>850718.44279953279</v>
      </c>
      <c r="AT381" s="5">
        <v>516947.66993158252</v>
      </c>
      <c r="AU381" s="5">
        <v>-333770.7728679502</v>
      </c>
      <c r="AV381" s="5">
        <v>20954.073755037763</v>
      </c>
      <c r="AW381" s="5">
        <v>8524</v>
      </c>
      <c r="AX381" s="5">
        <v>-12430.073755037758</v>
      </c>
      <c r="AY381" s="5">
        <v>30654.223808468731</v>
      </c>
      <c r="AZ381" s="5">
        <v>15740</v>
      </c>
      <c r="BA381" s="5">
        <v>-14914.223808468727</v>
      </c>
      <c r="BB381" s="5">
        <v>27799.22112632712</v>
      </c>
      <c r="BC381" s="5">
        <v>25304</v>
      </c>
      <c r="BD381" s="5">
        <v>-2495.2211263271201</v>
      </c>
      <c r="BE381" s="5">
        <v>5811.2206302660306</v>
      </c>
      <c r="BF381" s="5">
        <v>8069</v>
      </c>
      <c r="BG381" s="5">
        <v>2257.7793697339703</v>
      </c>
      <c r="BH381" s="5">
        <v>6898.8372725224754</v>
      </c>
      <c r="BI381" s="5">
        <v>0</v>
      </c>
      <c r="BJ381" s="5">
        <v>-6898.8372725224754</v>
      </c>
      <c r="BK381" s="5">
        <v>15334.97836306152</v>
      </c>
      <c r="BL381" s="5">
        <v>5855</v>
      </c>
      <c r="BM381" s="5">
        <v>-9479.9783630615202</v>
      </c>
      <c r="BN381" s="5">
        <v>18.119813214430302</v>
      </c>
      <c r="BO381" s="5">
        <v>0</v>
      </c>
      <c r="BP381" s="5">
        <v>-18.119813214430302</v>
      </c>
      <c r="BQ381" s="5">
        <v>107470.67476889802</v>
      </c>
      <c r="BR381" s="5">
        <v>63492</v>
      </c>
      <c r="BS381" s="5">
        <v>-43978.674768898083</v>
      </c>
      <c r="BT381" s="5">
        <v>530194.98082107143</v>
      </c>
      <c r="BU381" s="5">
        <v>118046.7756343205</v>
      </c>
      <c r="BV381" s="5">
        <v>-412148.20518675115</v>
      </c>
      <c r="BW381" s="5">
        <v>376136.58075847739</v>
      </c>
      <c r="BX381" s="5">
        <v>355900.31430623028</v>
      </c>
      <c r="BY381" s="5">
        <v>-20236.266452246964</v>
      </c>
      <c r="BZ381" s="5">
        <v>68044.366161069658</v>
      </c>
      <c r="CA381" s="5">
        <v>462182.18081363291</v>
      </c>
      <c r="CB381" s="5">
        <v>394137.81465256342</v>
      </c>
      <c r="CC381" s="5">
        <v>19523.20901574962</v>
      </c>
      <c r="CD381" s="5">
        <v>19261.049091991081</v>
      </c>
      <c r="CE381" s="5">
        <v>-262.1599237585292</v>
      </c>
      <c r="CF381" s="5">
        <v>2403.4253523176603</v>
      </c>
      <c r="CG381" s="5">
        <v>0</v>
      </c>
      <c r="CH381" s="5">
        <v>-2403.4253523176603</v>
      </c>
      <c r="CI381" s="5">
        <v>125068.63148148013</v>
      </c>
      <c r="CJ381" s="5">
        <v>163427.34167889427</v>
      </c>
      <c r="CK381" s="5">
        <v>38358.710197414155</v>
      </c>
      <c r="CL381" s="5">
        <v>61128.005682427021</v>
      </c>
      <c r="CM381" s="5">
        <v>83756.465669778336</v>
      </c>
      <c r="CN381" s="5">
        <v>22628.459987351293</v>
      </c>
      <c r="CO381" s="5">
        <v>186196.63716390717</v>
      </c>
      <c r="CP381" s="5">
        <v>247183.8073486725</v>
      </c>
      <c r="CQ381" s="5">
        <v>60987.17018476544</v>
      </c>
      <c r="CR381" s="5">
        <v>3115444.1938755414</v>
      </c>
      <c r="CS381" s="5">
        <v>2709600.0568506694</v>
      </c>
      <c r="CT381" s="5">
        <v>-405844.13702487119</v>
      </c>
      <c r="CU381" s="5">
        <v>3738533.0326506495</v>
      </c>
      <c r="CV381" s="5">
        <v>3251520.0682208058</v>
      </c>
      <c r="CW381" s="5">
        <v>-487012.96442984568</v>
      </c>
      <c r="CX381" s="5">
        <v>94549.121426311322</v>
      </c>
      <c r="CY381" s="5">
        <v>581562.08585615689</v>
      </c>
      <c r="CZ381" s="5">
        <v>487012.96442984574</v>
      </c>
      <c r="DA381" s="5">
        <v>-122300.92306930113</v>
      </c>
      <c r="DB381" s="274"/>
      <c r="DC381" s="5">
        <v>4069049.6399999997</v>
      </c>
      <c r="DD381" s="5">
        <v>316800.53999999998</v>
      </c>
      <c r="DE381" s="5">
        <v>2192281.694136343</v>
      </c>
      <c r="DF381" s="5">
        <v>277921.50274248607</v>
      </c>
      <c r="DG381" s="5">
        <v>1047337.6994604967</v>
      </c>
      <c r="DJ381" s="752"/>
      <c r="DK381" s="151"/>
      <c r="DL381" s="151"/>
      <c r="DM381" s="299"/>
      <c r="DN381" s="299"/>
      <c r="DO381" s="274"/>
      <c r="DP381" s="753"/>
      <c r="DQ381" s="754"/>
      <c r="DR381" s="274"/>
      <c r="DS381" s="274"/>
      <c r="DT381" s="755"/>
      <c r="DV381" s="274"/>
      <c r="DW381" s="5"/>
      <c r="DX381" s="5"/>
      <c r="DY381" s="274"/>
      <c r="DZ381" s="274"/>
      <c r="EA381" s="151"/>
      <c r="EB381" s="151"/>
      <c r="EC381" s="274"/>
      <c r="ED381" s="274"/>
      <c r="EE381" s="295"/>
      <c r="EG381" s="275" t="s">
        <v>988</v>
      </c>
    </row>
    <row r="382" spans="1:137" ht="13.8" x14ac:dyDescent="0.3">
      <c r="A382" s="327"/>
      <c r="B382" s="4"/>
      <c r="C382" s="30" t="s">
        <v>975</v>
      </c>
      <c r="D382" s="30"/>
      <c r="E382" s="95">
        <v>1009849.88</v>
      </c>
      <c r="F382" s="95">
        <v>959535.5399999998</v>
      </c>
      <c r="G382" s="8">
        <v>52630.14</v>
      </c>
      <c r="H382" s="310">
        <v>50314.340000000004</v>
      </c>
      <c r="I382" s="8">
        <v>532037.18773087498</v>
      </c>
      <c r="J382" s="8">
        <v>496987.21983234544</v>
      </c>
      <c r="K382" s="8">
        <v>-35049.967898529547</v>
      </c>
      <c r="L382" s="8">
        <v>99801.571743621942</v>
      </c>
      <c r="M382" s="8">
        <v>84442.500570668635</v>
      </c>
      <c r="N382" s="8">
        <v>-15359.071172953307</v>
      </c>
      <c r="O382" s="8">
        <v>230463.2</v>
      </c>
      <c r="P382" s="8">
        <v>230468.08</v>
      </c>
      <c r="Q382" s="8">
        <v>4.8799999999755528</v>
      </c>
      <c r="R382" s="8">
        <v>31495.260000000002</v>
      </c>
      <c r="S382" s="8">
        <v>31494.600000000002</v>
      </c>
      <c r="T382" s="8">
        <v>-0.65999999999985448</v>
      </c>
      <c r="U382" s="8">
        <v>26519.200066416146</v>
      </c>
      <c r="V382" s="8">
        <v>16341.155443123485</v>
      </c>
      <c r="W382" s="8">
        <v>-10178.044623292661</v>
      </c>
      <c r="X382" s="8">
        <v>351896.64192168845</v>
      </c>
      <c r="Y382" s="8">
        <v>241126.62906165043</v>
      </c>
      <c r="Z382" s="8">
        <v>-110770.01286003803</v>
      </c>
      <c r="AA382" s="8">
        <v>0</v>
      </c>
      <c r="AB382" s="8">
        <v>0</v>
      </c>
      <c r="AC382" s="8">
        <v>0</v>
      </c>
      <c r="AD382" s="8">
        <v>706912.43091</v>
      </c>
      <c r="AE382" s="8">
        <v>603666.00000000023</v>
      </c>
      <c r="AF382" s="8">
        <v>-103246.43090999976</v>
      </c>
      <c r="AG382" s="8">
        <v>1979125.4923726008</v>
      </c>
      <c r="AH382" s="8">
        <v>1704526.1849077877</v>
      </c>
      <c r="AI382" s="8">
        <v>-274599.30746481312</v>
      </c>
      <c r="AJ382" s="8">
        <v>867033.51321664709</v>
      </c>
      <c r="AK382" s="8">
        <v>850899.84753959696</v>
      </c>
      <c r="AL382" s="8">
        <v>-16133.665677050129</v>
      </c>
      <c r="AM382" s="8">
        <v>12642.841512006697</v>
      </c>
      <c r="AN382" s="8">
        <v>3262.6887584703577</v>
      </c>
      <c r="AO382" s="8">
        <v>-9380.1527535363384</v>
      </c>
      <c r="AP382" s="8">
        <v>253311.43584666972</v>
      </c>
      <c r="AQ382" s="8">
        <v>273373.38937754848</v>
      </c>
      <c r="AR382" s="8">
        <v>20061.95353087876</v>
      </c>
      <c r="AS382" s="8">
        <v>2525384.8693702053</v>
      </c>
      <c r="AT382" s="8">
        <v>2039749.8290022509</v>
      </c>
      <c r="AU382" s="8">
        <v>-485635.04036795441</v>
      </c>
      <c r="AV382" s="8">
        <v>64078.523660394538</v>
      </c>
      <c r="AW382" s="8">
        <v>52591</v>
      </c>
      <c r="AX382" s="8">
        <v>-11487.523660394538</v>
      </c>
      <c r="AY382" s="8">
        <v>92833.465966895092</v>
      </c>
      <c r="AZ382" s="8">
        <v>83942</v>
      </c>
      <c r="BA382" s="8">
        <v>-8891.4659668950917</v>
      </c>
      <c r="BB382" s="8">
        <v>80922.177901039831</v>
      </c>
      <c r="BC382" s="8">
        <v>26007</v>
      </c>
      <c r="BD382" s="8">
        <v>-54915.177901039831</v>
      </c>
      <c r="BE382" s="8">
        <v>16800.799290652962</v>
      </c>
      <c r="BF382" s="8">
        <v>9631</v>
      </c>
      <c r="BG382" s="8">
        <v>-7169.7992906529616</v>
      </c>
      <c r="BH382" s="8">
        <v>14606.204222636379</v>
      </c>
      <c r="BI382" s="8">
        <v>8442</v>
      </c>
      <c r="BJ382" s="8">
        <v>-6164.2042226363792</v>
      </c>
      <c r="BK382" s="8">
        <v>42948.011739467736</v>
      </c>
      <c r="BL382" s="8">
        <v>75667</v>
      </c>
      <c r="BM382" s="8">
        <v>32718.988260532264</v>
      </c>
      <c r="BN382" s="8">
        <v>7735.5088141904371</v>
      </c>
      <c r="BO382" s="8">
        <v>0</v>
      </c>
      <c r="BP382" s="8">
        <v>-7735.5088141904371</v>
      </c>
      <c r="BQ382" s="8">
        <v>319924.69159527693</v>
      </c>
      <c r="BR382" s="8">
        <v>256280</v>
      </c>
      <c r="BS382" s="109">
        <v>-63644.691595276934</v>
      </c>
      <c r="BT382" s="8">
        <v>1896234.3097659906</v>
      </c>
      <c r="BU382" s="8">
        <v>438605.72563560988</v>
      </c>
      <c r="BV382" s="8">
        <v>-1457628.5841303808</v>
      </c>
      <c r="BW382" s="8">
        <v>1243779.557220167</v>
      </c>
      <c r="BX382" s="8">
        <v>1181806.5194883752</v>
      </c>
      <c r="BY382" s="8">
        <v>-61973.037731791846</v>
      </c>
      <c r="BZ382" s="8">
        <v>413012.73610381002</v>
      </c>
      <c r="CA382" s="8">
        <v>1824110.4431509827</v>
      </c>
      <c r="CB382" s="8">
        <v>1411097.7070471728</v>
      </c>
      <c r="CC382" s="8">
        <v>55026.903567420093</v>
      </c>
      <c r="CD382" s="8">
        <v>54287.995899512331</v>
      </c>
      <c r="CE382" s="8">
        <v>-738.90766790776252</v>
      </c>
      <c r="CF382" s="8">
        <v>6774.1453255346687</v>
      </c>
      <c r="CG382" s="8">
        <v>933.41342757682912</v>
      </c>
      <c r="CH382" s="8">
        <v>-5840.7318979578395</v>
      </c>
      <c r="CI382" s="8">
        <v>356814.67843479605</v>
      </c>
      <c r="CJ382" s="8">
        <v>505874.37597612094</v>
      </c>
      <c r="CK382" s="8">
        <v>149059.69754132489</v>
      </c>
      <c r="CL382" s="8">
        <v>194741.81132480133</v>
      </c>
      <c r="CM382" s="8">
        <v>282721.0595451867</v>
      </c>
      <c r="CN382" s="8">
        <v>87979.248220385372</v>
      </c>
      <c r="CO382" s="8">
        <v>551556.48975959746</v>
      </c>
      <c r="CP382" s="8">
        <v>788595.43552130752</v>
      </c>
      <c r="CQ382" s="54">
        <v>237038.94576171006</v>
      </c>
      <c r="CR382" s="8">
        <v>10123806.985655926</v>
      </c>
      <c r="CS382" s="8">
        <v>9416431.472709015</v>
      </c>
      <c r="CT382" s="54">
        <v>-707375.51294691116</v>
      </c>
      <c r="CU382" s="8">
        <v>12148568.38278711</v>
      </c>
      <c r="CV382" s="8">
        <v>11299717.767250825</v>
      </c>
      <c r="CW382" s="108">
        <v>-848850.61553628556</v>
      </c>
      <c r="CX382" s="8">
        <v>282632.75209753786</v>
      </c>
      <c r="CY382" s="8">
        <v>1131483.3676338263</v>
      </c>
      <c r="CZ382" s="8">
        <v>848850.61553628847</v>
      </c>
      <c r="DA382" s="8">
        <v>3998986.305985895</v>
      </c>
      <c r="DB382" s="96"/>
      <c r="DC382" s="95">
        <v>13418990.68</v>
      </c>
      <c r="DD382" s="8">
        <v>1020453.8200000001</v>
      </c>
      <c r="DE382" s="8">
        <v>7433695.1191253224</v>
      </c>
      <c r="DF382" s="8">
        <v>795891.57413253433</v>
      </c>
      <c r="DG382" s="8">
        <v>2786653.1090629068</v>
      </c>
      <c r="DH382" s="752"/>
      <c r="DI382" s="752"/>
      <c r="DK382" s="50"/>
      <c r="DL382" s="50"/>
      <c r="DM382" s="297"/>
      <c r="DN382" s="297"/>
      <c r="DO382" s="4"/>
      <c r="DP382" s="756"/>
      <c r="DQ382" s="757"/>
      <c r="DR382" s="4"/>
      <c r="DS382" s="4"/>
      <c r="DT382" s="758"/>
      <c r="DV382" s="96"/>
      <c r="DW382" s="8"/>
      <c r="DX382" s="8"/>
      <c r="DY382" s="4"/>
      <c r="DZ382" s="4"/>
      <c r="EA382" s="50"/>
      <c r="EB382" s="50"/>
      <c r="EC382" s="4"/>
      <c r="ED382" s="4"/>
      <c r="EE382" s="759"/>
      <c r="EG382" s="30" t="s">
        <v>975</v>
      </c>
    </row>
    <row r="383" spans="1:137" x14ac:dyDescent="0.3">
      <c r="CX383" s="93">
        <v>2.326469615119346</v>
      </c>
      <c r="DW383" s="5"/>
      <c r="DX383" s="5"/>
    </row>
    <row r="384" spans="1:137" x14ac:dyDescent="0.3">
      <c r="C384" s="4" t="s">
        <v>999</v>
      </c>
      <c r="DW384" s="5"/>
      <c r="DX384" s="5"/>
      <c r="EG384" s="4" t="s">
        <v>999</v>
      </c>
    </row>
    <row r="385" spans="1:137" x14ac:dyDescent="0.3">
      <c r="A385" s="276"/>
      <c r="C385" s="26" t="s">
        <v>986</v>
      </c>
      <c r="D385" s="3"/>
      <c r="E385" s="731"/>
      <c r="F385" s="28"/>
      <c r="G385" s="51"/>
      <c r="H385" s="309"/>
      <c r="I385" s="5"/>
      <c r="J385" s="335">
        <v>0.74865386159312897</v>
      </c>
      <c r="K385" s="335"/>
      <c r="L385" s="335"/>
      <c r="M385" s="335">
        <v>0.5220487681271202</v>
      </c>
      <c r="N385" s="335"/>
      <c r="O385" s="335"/>
      <c r="P385" s="335">
        <v>0.99999785292795029</v>
      </c>
      <c r="Q385" s="335"/>
      <c r="R385" s="335"/>
      <c r="S385" s="335">
        <v>1.0000608026188904</v>
      </c>
      <c r="T385" s="335"/>
      <c r="U385" s="335"/>
      <c r="V385" s="335">
        <v>0.20963086118555516</v>
      </c>
      <c r="W385" s="335"/>
      <c r="X385" s="335"/>
      <c r="Y385" s="335">
        <v>0.68972122795605706</v>
      </c>
      <c r="Z385" s="335"/>
      <c r="AA385" s="335"/>
      <c r="AB385" s="335" t="e">
        <v>#DIV/0!</v>
      </c>
      <c r="AC385" s="335"/>
      <c r="AD385" s="335"/>
      <c r="AE385" s="335">
        <v>0.85223253743237826</v>
      </c>
      <c r="AF385" s="335"/>
      <c r="AG385" s="336"/>
      <c r="AH385" s="335">
        <v>0.79189436371527899</v>
      </c>
      <c r="AI385" s="335"/>
      <c r="AJ385" s="335"/>
      <c r="AK385" s="335">
        <v>0.97730508614943723</v>
      </c>
      <c r="AL385" s="335"/>
      <c r="AM385" s="335"/>
      <c r="AN385" s="335">
        <v>0.19203772952086251</v>
      </c>
      <c r="AO385" s="335"/>
      <c r="AP385" s="335"/>
      <c r="AQ385" s="335">
        <v>1.0543418673101379</v>
      </c>
      <c r="AR385" s="335"/>
      <c r="AS385" s="335"/>
      <c r="AT385" s="335">
        <v>0.91914489047745507</v>
      </c>
      <c r="AU385" s="335"/>
      <c r="AV385" s="335"/>
      <c r="AW385" s="335">
        <v>1.2519183617671781</v>
      </c>
      <c r="AX385" s="335"/>
      <c r="AY385" s="335"/>
      <c r="AZ385" s="335">
        <v>2.4539414295001554</v>
      </c>
      <c r="BA385" s="335"/>
      <c r="BB385" s="335"/>
      <c r="BC385" s="335">
        <v>4.0119598801430227E-2</v>
      </c>
      <c r="BD385" s="335"/>
      <c r="BE385" s="335"/>
      <c r="BF385" s="335">
        <v>0.11189294818888622</v>
      </c>
      <c r="BG385" s="335"/>
      <c r="BH385" s="335"/>
      <c r="BI385" s="335">
        <v>1.3758792225036844</v>
      </c>
      <c r="BJ385" s="335"/>
      <c r="BK385" s="335"/>
      <c r="BL385" s="335">
        <v>2.6204163781780956</v>
      </c>
      <c r="BM385" s="335"/>
      <c r="BN385" s="335"/>
      <c r="BO385" s="335">
        <v>0</v>
      </c>
      <c r="BP385" s="335"/>
      <c r="BQ385" s="336"/>
      <c r="BR385" s="335">
        <v>1.2559558338551562</v>
      </c>
      <c r="BS385" s="335"/>
      <c r="BT385" s="335"/>
      <c r="BU385" s="335">
        <v>0.22624036611907089</v>
      </c>
      <c r="BV385" s="335"/>
      <c r="BW385" s="336"/>
      <c r="BX385" s="335">
        <v>0.94951910944232942</v>
      </c>
      <c r="BY385" s="335"/>
      <c r="BZ385" s="335"/>
      <c r="CA385" s="335">
        <v>4.8534021675319101</v>
      </c>
      <c r="CB385" s="335"/>
      <c r="CC385" s="335"/>
      <c r="CD385" s="335">
        <v>0.9865718835695988</v>
      </c>
      <c r="CE385" s="335"/>
      <c r="CF385" s="335"/>
      <c r="CG385" s="335">
        <v>0.46848046667540572</v>
      </c>
      <c r="CH385" s="335"/>
      <c r="CI385" s="335"/>
      <c r="CJ385" s="335">
        <v>1.4586991790714252</v>
      </c>
      <c r="CK385" s="335"/>
      <c r="CL385" s="335"/>
      <c r="CM385" s="335">
        <v>1.4627894669750785</v>
      </c>
      <c r="CN385" s="335"/>
      <c r="CO385" s="335"/>
      <c r="CP385" s="335">
        <v>1.4604744276453374</v>
      </c>
      <c r="CQ385" s="335"/>
      <c r="CR385" s="335"/>
      <c r="CS385" s="335">
        <v>0.96297270620457309</v>
      </c>
      <c r="CT385" s="335"/>
      <c r="CU385" s="335"/>
      <c r="CV385" s="335">
        <v>0.96297270620457376</v>
      </c>
      <c r="CW385" s="5"/>
      <c r="CX385" s="5"/>
      <c r="CY385" s="143"/>
      <c r="CZ385" s="5"/>
      <c r="DC385" s="760">
        <v>0</v>
      </c>
      <c r="DD385" s="639"/>
      <c r="DW385" s="5"/>
      <c r="DX385" s="5"/>
      <c r="EG385" s="26" t="s">
        <v>986</v>
      </c>
    </row>
    <row r="386" spans="1:137" x14ac:dyDescent="0.3">
      <c r="A386" s="276"/>
      <c r="C386" s="26" t="s">
        <v>987</v>
      </c>
      <c r="D386" s="3"/>
      <c r="E386" s="731"/>
      <c r="F386" s="28"/>
      <c r="G386" s="51"/>
      <c r="H386" s="309"/>
      <c r="I386" s="5"/>
      <c r="J386" s="335">
        <v>1.0763750693671821</v>
      </c>
      <c r="K386" s="335"/>
      <c r="L386" s="335"/>
      <c r="M386" s="335">
        <v>1.0865509159690687</v>
      </c>
      <c r="N386" s="335"/>
      <c r="O386" s="335"/>
      <c r="P386" s="335">
        <v>1.0000195184123266</v>
      </c>
      <c r="Q386" s="335"/>
      <c r="R386" s="335"/>
      <c r="S386" s="335">
        <v>1.0001612710967136</v>
      </c>
      <c r="T386" s="335"/>
      <c r="U386" s="335"/>
      <c r="V386" s="335">
        <v>2.9325760384344877</v>
      </c>
      <c r="W386" s="335"/>
      <c r="X386" s="335"/>
      <c r="Y386" s="335">
        <v>0.65603060475367192</v>
      </c>
      <c r="Z386" s="335"/>
      <c r="AA386" s="335"/>
      <c r="AB386" s="335" t="e">
        <v>#DIV/0!</v>
      </c>
      <c r="AC386" s="335"/>
      <c r="AD386" s="335"/>
      <c r="AE386" s="335">
        <v>0.84644204461979233</v>
      </c>
      <c r="AF386" s="335"/>
      <c r="AG386" s="336"/>
      <c r="AH386" s="335">
        <v>0.91518786691821019</v>
      </c>
      <c r="AI386" s="335"/>
      <c r="AJ386" s="335"/>
      <c r="AK386" s="335">
        <v>0.98657030680686242</v>
      </c>
      <c r="AL386" s="335"/>
      <c r="AM386" s="335"/>
      <c r="AN386" s="335">
        <v>0.44750023579380754</v>
      </c>
      <c r="AO386" s="335"/>
      <c r="AP386" s="335"/>
      <c r="AQ386" s="335">
        <v>0.86284636197581832</v>
      </c>
      <c r="AR386" s="335"/>
      <c r="AS386" s="335"/>
      <c r="AT386" s="335">
        <v>0.89763764511149757</v>
      </c>
      <c r="AU386" s="335"/>
      <c r="AV386" s="335"/>
      <c r="AW386" s="335">
        <v>0.91028158474051701</v>
      </c>
      <c r="AX386" s="335"/>
      <c r="AY386" s="335"/>
      <c r="AZ386" s="335">
        <v>0.4799796513721184</v>
      </c>
      <c r="BA386" s="335"/>
      <c r="BB386" s="335"/>
      <c r="BC386" s="335">
        <v>0</v>
      </c>
      <c r="BD386" s="335"/>
      <c r="BE386" s="335"/>
      <c r="BF386" s="335">
        <v>0.20266881352666333</v>
      </c>
      <c r="BG386" s="335"/>
      <c r="BH386" s="335"/>
      <c r="BI386" s="335">
        <v>0</v>
      </c>
      <c r="BJ386" s="335"/>
      <c r="BK386" s="335"/>
      <c r="BL386" s="335">
        <v>2.4671584625115361</v>
      </c>
      <c r="BM386" s="335"/>
      <c r="BN386" s="335"/>
      <c r="BO386" s="335">
        <v>0</v>
      </c>
      <c r="BP386" s="335"/>
      <c r="BQ386" s="336"/>
      <c r="BR386" s="335">
        <v>0.68443939353621286</v>
      </c>
      <c r="BS386" s="335"/>
      <c r="BT386" s="335"/>
      <c r="BU386" s="335">
        <v>0.24456229712875832</v>
      </c>
      <c r="BV386" s="335"/>
      <c r="BW386" s="336"/>
      <c r="BX386" s="335">
        <v>0.95474695321165515</v>
      </c>
      <c r="BY386" s="335"/>
      <c r="BZ386" s="335"/>
      <c r="CA386" s="335">
        <v>3.3056762615373541</v>
      </c>
      <c r="CB386" s="335"/>
      <c r="CC386" s="335"/>
      <c r="CD386" s="335">
        <v>0.98657188356959913</v>
      </c>
      <c r="CE386" s="335"/>
      <c r="CF386" s="335"/>
      <c r="CG386" s="335">
        <v>0</v>
      </c>
      <c r="CH386" s="335"/>
      <c r="CI386" s="335"/>
      <c r="CJ386" s="335">
        <v>1.5039506419614348</v>
      </c>
      <c r="CK386" s="335"/>
      <c r="CL386" s="335"/>
      <c r="CM386" s="335">
        <v>1.5782355184834178</v>
      </c>
      <c r="CN386" s="335"/>
      <c r="CO386" s="335"/>
      <c r="CP386" s="335">
        <v>1.521669757155458</v>
      </c>
      <c r="CQ386" s="335"/>
      <c r="CR386" s="335"/>
      <c r="CS386" s="335">
        <v>0.94993240396924372</v>
      </c>
      <c r="CT386" s="335"/>
      <c r="CU386" s="335"/>
      <c r="CV386" s="335">
        <v>0.94993240396924394</v>
      </c>
      <c r="CW386" s="5"/>
      <c r="CX386" s="5"/>
      <c r="CY386" s="143"/>
      <c r="CZ386" s="5"/>
      <c r="DD386" s="666"/>
      <c r="DW386" s="5"/>
      <c r="DX386" s="5"/>
      <c r="EG386" s="26" t="s">
        <v>987</v>
      </c>
    </row>
    <row r="387" spans="1:137" x14ac:dyDescent="0.3">
      <c r="A387" s="276"/>
      <c r="C387" s="26" t="s">
        <v>988</v>
      </c>
      <c r="D387" s="3"/>
      <c r="E387" s="731"/>
      <c r="F387" s="28"/>
      <c r="G387" s="51"/>
      <c r="H387" s="309"/>
      <c r="I387" s="5"/>
      <c r="J387" s="335">
        <v>0.94937983794771175</v>
      </c>
      <c r="K387" s="335"/>
      <c r="L387" s="335"/>
      <c r="M387" s="335">
        <v>0.8653970183555042</v>
      </c>
      <c r="N387" s="335"/>
      <c r="O387" s="335"/>
      <c r="P387" s="335">
        <v>1.0000519724120986</v>
      </c>
      <c r="Q387" s="335"/>
      <c r="R387" s="335"/>
      <c r="S387" s="335">
        <v>0.99972388462230022</v>
      </c>
      <c r="T387" s="335"/>
      <c r="U387" s="335"/>
      <c r="V387" s="335">
        <v>0.59262741468786728</v>
      </c>
      <c r="W387" s="335"/>
      <c r="X387" s="335"/>
      <c r="Y387" s="335">
        <v>0.71417488298614029</v>
      </c>
      <c r="Z387" s="335"/>
      <c r="AA387" s="335"/>
      <c r="AB387" s="335" t="e">
        <v>#DIV/0!</v>
      </c>
      <c r="AC387" s="335"/>
      <c r="AD387" s="335"/>
      <c r="AE387" s="335">
        <v>0.86452174538361937</v>
      </c>
      <c r="AF387" s="335"/>
      <c r="AG387" s="336"/>
      <c r="AH387" s="335">
        <v>0.87457725453305579</v>
      </c>
      <c r="AI387" s="335"/>
      <c r="AJ387" s="335"/>
      <c r="AK387" s="335">
        <v>0.98568794890353162</v>
      </c>
      <c r="AL387" s="335"/>
      <c r="AM387" s="335"/>
      <c r="AN387" s="335">
        <v>0.49383819027219328</v>
      </c>
      <c r="AO387" s="335"/>
      <c r="AP387" s="335"/>
      <c r="AQ387" s="335">
        <v>1.4434961564128272</v>
      </c>
      <c r="AR387" s="335"/>
      <c r="AS387" s="335"/>
      <c r="AT387" s="335">
        <v>0.6076601186996935</v>
      </c>
      <c r="AU387" s="335"/>
      <c r="AV387" s="335"/>
      <c r="AW387" s="335">
        <v>0.40679440664613803</v>
      </c>
      <c r="AX387" s="335"/>
      <c r="AY387" s="335"/>
      <c r="AZ387" s="335">
        <v>0.51346920732181667</v>
      </c>
      <c r="BA387" s="335"/>
      <c r="BB387" s="335"/>
      <c r="BC387" s="335">
        <v>0.91024132960458981</v>
      </c>
      <c r="BD387" s="335"/>
      <c r="BE387" s="335"/>
      <c r="BF387" s="335">
        <v>1.3885206763575608</v>
      </c>
      <c r="BG387" s="335"/>
      <c r="BH387" s="335"/>
      <c r="BI387" s="335">
        <v>0</v>
      </c>
      <c r="BJ387" s="335"/>
      <c r="BK387" s="335"/>
      <c r="BL387" s="335">
        <v>0.38180686411031167</v>
      </c>
      <c r="BM387" s="335"/>
      <c r="BN387" s="335"/>
      <c r="BO387" s="335">
        <v>0</v>
      </c>
      <c r="BP387" s="335"/>
      <c r="BQ387" s="336"/>
      <c r="BR387" s="335">
        <v>0.59078441757745959</v>
      </c>
      <c r="BS387" s="335"/>
      <c r="BT387" s="335"/>
      <c r="BU387" s="335">
        <v>0.22264785579733459</v>
      </c>
      <c r="BV387" s="335"/>
      <c r="BW387" s="336"/>
      <c r="BX387" s="335">
        <v>0.94619968520094277</v>
      </c>
      <c r="BY387" s="335"/>
      <c r="BZ387" s="335"/>
      <c r="CA387" s="335">
        <v>6.7923651418780064</v>
      </c>
      <c r="CB387" s="335"/>
      <c r="CC387" s="335"/>
      <c r="CD387" s="335">
        <v>0.98657188356959902</v>
      </c>
      <c r="CE387" s="335"/>
      <c r="CF387" s="335"/>
      <c r="CG387" s="335">
        <v>0</v>
      </c>
      <c r="CH387" s="335"/>
      <c r="CI387" s="335"/>
      <c r="CJ387" s="335">
        <v>1.306701286669905</v>
      </c>
      <c r="CK387" s="335"/>
      <c r="CL387" s="335"/>
      <c r="CM387" s="335">
        <v>1.3701815515610141</v>
      </c>
      <c r="CN387" s="335"/>
      <c r="CO387" s="335"/>
      <c r="CP387" s="335">
        <v>1.3275417382059316</v>
      </c>
      <c r="CQ387" s="335"/>
      <c r="CR387" s="335"/>
      <c r="CS387" s="335">
        <v>0.86973153368540645</v>
      </c>
      <c r="CT387" s="335"/>
      <c r="CU387" s="335"/>
      <c r="CV387" s="335">
        <v>0.86973153368540712</v>
      </c>
      <c r="CW387" s="5"/>
      <c r="CX387" s="5"/>
      <c r="CY387" s="143"/>
      <c r="CZ387" s="5"/>
      <c r="DD387" s="639"/>
      <c r="DW387" s="5"/>
      <c r="DX387" s="5"/>
      <c r="EG387" s="26" t="s">
        <v>988</v>
      </c>
    </row>
    <row r="388" spans="1:137" x14ac:dyDescent="0.3">
      <c r="A388" s="276"/>
      <c r="C388" s="30" t="s">
        <v>975</v>
      </c>
      <c r="D388" s="3"/>
      <c r="E388" s="731"/>
      <c r="F388" s="28"/>
      <c r="G388" s="51"/>
      <c r="H388" s="309"/>
      <c r="I388" s="5"/>
      <c r="J388" s="336">
        <v>0.93412120673741483</v>
      </c>
      <c r="K388" s="335"/>
      <c r="L388" s="335"/>
      <c r="M388" s="336">
        <v>0.84610391495227266</v>
      </c>
      <c r="N388" s="335"/>
      <c r="O388" s="335"/>
      <c r="P388" s="336">
        <v>1.0000211747472048</v>
      </c>
      <c r="Q388" s="335"/>
      <c r="R388" s="335"/>
      <c r="S388" s="336">
        <v>0.99997904446573871</v>
      </c>
      <c r="T388" s="335"/>
      <c r="U388" s="335"/>
      <c r="V388" s="336">
        <v>0.61620091866262161</v>
      </c>
      <c r="W388" s="335"/>
      <c r="X388" s="335"/>
      <c r="Y388" s="336">
        <v>0.68522003433983059</v>
      </c>
      <c r="Z388" s="335"/>
      <c r="AA388" s="335"/>
      <c r="AB388" s="336" t="e">
        <v>#DIV/0!</v>
      </c>
      <c r="AC388" s="335"/>
      <c r="AD388" s="335"/>
      <c r="AE388" s="336">
        <v>0.85394735416225198</v>
      </c>
      <c r="AF388" s="335"/>
      <c r="AG388" s="336"/>
      <c r="AH388" s="336">
        <v>0.86125220026567395</v>
      </c>
      <c r="AI388" s="335"/>
      <c r="AJ388" s="335"/>
      <c r="AK388" s="336">
        <v>0.98139210834285384</v>
      </c>
      <c r="AL388" s="335"/>
      <c r="AM388" s="335"/>
      <c r="AN388" s="336">
        <v>0.2580660965631687</v>
      </c>
      <c r="AO388" s="335"/>
      <c r="AP388" s="335"/>
      <c r="AQ388" s="336">
        <v>1.0791987675717187</v>
      </c>
      <c r="AR388" s="335"/>
      <c r="AS388" s="335"/>
      <c r="AT388" s="336">
        <v>0.80769860219798306</v>
      </c>
      <c r="AU388" s="335"/>
      <c r="AV388" s="335"/>
      <c r="AW388" s="336">
        <v>0.82072739813300799</v>
      </c>
      <c r="AX388" s="335"/>
      <c r="AY388" s="335"/>
      <c r="AZ388" s="336">
        <v>0.90422132929879151</v>
      </c>
      <c r="BA388" s="335"/>
      <c r="BB388" s="335"/>
      <c r="BC388" s="336">
        <v>0.3213828479975428</v>
      </c>
      <c r="BD388" s="335"/>
      <c r="BE388" s="335"/>
      <c r="BF388" s="336">
        <v>0.57324653627391153</v>
      </c>
      <c r="BG388" s="335"/>
      <c r="BH388" s="335"/>
      <c r="BI388" s="336">
        <v>0.57797357008857719</v>
      </c>
      <c r="BJ388" s="335"/>
      <c r="BK388" s="335"/>
      <c r="BL388" s="336">
        <v>1.7618277758470631</v>
      </c>
      <c r="BM388" s="335"/>
      <c r="BN388" s="335"/>
      <c r="BO388" s="336">
        <v>0</v>
      </c>
      <c r="BP388" s="335"/>
      <c r="BQ388" s="336"/>
      <c r="BR388" s="336">
        <v>0.80106352129959657</v>
      </c>
      <c r="BS388" s="335"/>
      <c r="BT388" s="335"/>
      <c r="BU388" s="336">
        <v>0.23130354902698552</v>
      </c>
      <c r="BV388" s="335"/>
      <c r="BW388" s="336"/>
      <c r="BX388" s="336">
        <v>0.95017361607847872</v>
      </c>
      <c r="BY388" s="335"/>
      <c r="BZ388" s="335"/>
      <c r="CA388" s="336">
        <v>4.4165961087759191</v>
      </c>
      <c r="CB388" s="335"/>
      <c r="CC388" s="335"/>
      <c r="CD388" s="336">
        <v>0.98657188356959902</v>
      </c>
      <c r="CE388" s="335"/>
      <c r="CF388" s="335"/>
      <c r="CG388" s="336">
        <v>0.13779058209135139</v>
      </c>
      <c r="CH388" s="335"/>
      <c r="CI388" s="335"/>
      <c r="CJ388" s="336">
        <v>1.4177510246921188</v>
      </c>
      <c r="CK388" s="335"/>
      <c r="CL388" s="335"/>
      <c r="CM388" s="336">
        <v>1.4517738005098897</v>
      </c>
      <c r="CN388" s="335"/>
      <c r="CO388" s="335"/>
      <c r="CP388" s="336">
        <v>1.4297636781774181</v>
      </c>
      <c r="CQ388" s="335"/>
      <c r="CR388" s="335"/>
      <c r="CS388" s="336">
        <v>0.93012751883267164</v>
      </c>
      <c r="CT388" s="335"/>
      <c r="CU388" s="335"/>
      <c r="CV388" s="336">
        <v>0.93012751883267231</v>
      </c>
      <c r="CW388" s="5"/>
      <c r="CX388" s="5"/>
      <c r="CY388" s="144"/>
      <c r="CZ388" s="5"/>
      <c r="DW388" s="5"/>
      <c r="DX388" s="5"/>
      <c r="EG388" s="30" t="s">
        <v>975</v>
      </c>
    </row>
    <row r="391" spans="1:137" x14ac:dyDescent="0.3">
      <c r="I391" s="7">
        <v>266018.59386543749</v>
      </c>
      <c r="L391" s="7">
        <v>49900.785871810935</v>
      </c>
      <c r="O391" s="7">
        <v>115231.59999999995</v>
      </c>
      <c r="R391" s="7">
        <v>15747.63</v>
      </c>
      <c r="U391" s="7">
        <v>13259.600033208082</v>
      </c>
      <c r="X391" s="7">
        <v>175948.32096084414</v>
      </c>
      <c r="AA391" s="7">
        <v>0</v>
      </c>
      <c r="AD391" s="7">
        <v>353456.21545499988</v>
      </c>
      <c r="AG391" s="50">
        <v>989562.74618630041</v>
      </c>
      <c r="AJ391" s="7">
        <v>433516.7566083236</v>
      </c>
      <c r="AM391" s="7">
        <v>6321.4207560033492</v>
      </c>
      <c r="AP391" s="7">
        <v>127646.14054152781</v>
      </c>
      <c r="AS391" s="7">
        <v>1259253.1654243264</v>
      </c>
      <c r="AV391" s="7">
        <v>32039.261830197276</v>
      </c>
      <c r="AY391" s="7">
        <v>46416.732983447531</v>
      </c>
      <c r="BB391" s="7">
        <v>40461.088950519908</v>
      </c>
      <c r="BE391" s="7">
        <v>8400.399645326479</v>
      </c>
      <c r="BH391" s="7">
        <v>7303.1021113181869</v>
      </c>
      <c r="BK391" s="7">
        <v>21474.005869733857</v>
      </c>
      <c r="BN391" s="7">
        <v>3867.7544070952185</v>
      </c>
      <c r="BQ391" s="50">
        <v>159962.34579763847</v>
      </c>
      <c r="BT391" s="7">
        <v>957440.05647872132</v>
      </c>
      <c r="BW391" s="50">
        <v>623336.2386100837</v>
      </c>
      <c r="BZ391" s="7">
        <v>205777.32805190506</v>
      </c>
      <c r="CC391" s="7">
        <v>27513.451783710028</v>
      </c>
      <c r="CF391" s="7">
        <v>3387.0726627673357</v>
      </c>
      <c r="CI391" s="7">
        <v>178424.49694881035</v>
      </c>
      <c r="CL391" s="7">
        <v>97370.905662400604</v>
      </c>
      <c r="CO391" s="7">
        <v>275795.40261121094</v>
      </c>
      <c r="CR391" s="7">
        <v>5069512.125512518</v>
      </c>
      <c r="CU391" s="7">
        <v>6083414.550615021</v>
      </c>
      <c r="CX391" s="7">
        <v>135161.79737580204</v>
      </c>
    </row>
    <row r="393" spans="1:137" x14ac:dyDescent="0.3">
      <c r="CR393" s="7">
        <v>36704</v>
      </c>
    </row>
    <row r="394" spans="1:137" x14ac:dyDescent="0.3">
      <c r="CR394" s="7">
        <v>36440</v>
      </c>
    </row>
    <row r="395" spans="1:137" x14ac:dyDescent="0.3">
      <c r="CR395" s="7">
        <v>22828</v>
      </c>
    </row>
    <row r="396" spans="1:137" x14ac:dyDescent="0.3">
      <c r="CR396" s="7">
        <v>27922</v>
      </c>
    </row>
    <row r="397" spans="1:137" x14ac:dyDescent="0.3">
      <c r="CR397" s="7">
        <v>12760</v>
      </c>
    </row>
    <row r="398" spans="1:137" x14ac:dyDescent="0.3">
      <c r="CR398" s="7">
        <v>24286</v>
      </c>
    </row>
  </sheetData>
  <mergeCells count="57">
    <mergeCell ref="CF6:CH7"/>
    <mergeCell ref="CI6:CQ6"/>
    <mergeCell ref="AP6:AR7"/>
    <mergeCell ref="BK7:BM7"/>
    <mergeCell ref="BN7:BP7"/>
    <mergeCell ref="BQ7:BS7"/>
    <mergeCell ref="CI7:CK7"/>
    <mergeCell ref="CL7:CN7"/>
    <mergeCell ref="EG6:EG8"/>
    <mergeCell ref="DC6:DD6"/>
    <mergeCell ref="DE6:DE8"/>
    <mergeCell ref="DF6:DF8"/>
    <mergeCell ref="DG6:DG8"/>
    <mergeCell ref="DH6:DH8"/>
    <mergeCell ref="DI6:DI8"/>
    <mergeCell ref="DC7:DD7"/>
    <mergeCell ref="DJ6:DJ8"/>
    <mergeCell ref="DM6:DM8"/>
    <mergeCell ref="DN6:DN8"/>
    <mergeCell ref="DO6:DO8"/>
    <mergeCell ref="EA6:EB6"/>
    <mergeCell ref="CR6:CT7"/>
    <mergeCell ref="CU6:CW7"/>
    <mergeCell ref="CX6:CZ7"/>
    <mergeCell ref="DA6:DA8"/>
    <mergeCell ref="AS6:AU7"/>
    <mergeCell ref="AV6:BS6"/>
    <mergeCell ref="BT6:BV7"/>
    <mergeCell ref="BW6:BY7"/>
    <mergeCell ref="BZ6:CB7"/>
    <mergeCell ref="CC6:CE7"/>
    <mergeCell ref="AY7:BA7"/>
    <mergeCell ref="BB7:BD7"/>
    <mergeCell ref="BE7:BG7"/>
    <mergeCell ref="BH7:BJ7"/>
    <mergeCell ref="CO7:CQ7"/>
    <mergeCell ref="AV7:AX7"/>
    <mergeCell ref="G6:G8"/>
    <mergeCell ref="H6:H8"/>
    <mergeCell ref="I6:AI6"/>
    <mergeCell ref="AJ6:AL7"/>
    <mergeCell ref="AM6:AO7"/>
    <mergeCell ref="I7:K7"/>
    <mergeCell ref="L7:N7"/>
    <mergeCell ref="O7:Q7"/>
    <mergeCell ref="R7:T7"/>
    <mergeCell ref="U7:W7"/>
    <mergeCell ref="X7:Z7"/>
    <mergeCell ref="AA7:AC7"/>
    <mergeCell ref="AD7:AF7"/>
    <mergeCell ref="AG7:AI7"/>
    <mergeCell ref="F6:F8"/>
    <mergeCell ref="A6:A8"/>
    <mergeCell ref="B6:B8"/>
    <mergeCell ref="C6:C8"/>
    <mergeCell ref="D6:D8"/>
    <mergeCell ref="E6:E8"/>
  </mergeCells>
  <conditionalFormatting sqref="A143">
    <cfRule type="duplicateValues" dxfId="9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1">
    <tabColor rgb="FFC00000"/>
  </sheetPr>
  <dimension ref="A1:BG416"/>
  <sheetViews>
    <sheetView topLeftCell="AL391" zoomScale="90" zoomScaleNormal="90" workbookViewId="0">
      <selection activeCell="BH408" sqref="BH408"/>
    </sheetView>
  </sheetViews>
  <sheetFormatPr defaultColWidth="8.6640625" defaultRowHeight="13.8" x14ac:dyDescent="0.3"/>
  <cols>
    <col min="1" max="1" width="23.109375" style="1" customWidth="1"/>
    <col min="2" max="2" width="33.88671875" style="272" customWidth="1"/>
    <col min="3" max="3" width="8.6640625" style="1" customWidth="1"/>
    <col min="4" max="4" width="12.5546875" style="99" customWidth="1"/>
    <col min="5" max="5" width="15.44140625" style="1" customWidth="1"/>
    <col min="6" max="8" width="13.33203125" style="7" customWidth="1"/>
    <col min="9" max="9" width="12.33203125" style="7" customWidth="1"/>
    <col min="10" max="10" width="10.88671875" style="7" customWidth="1"/>
    <col min="11" max="11" width="15.6640625" style="148" customWidth="1"/>
    <col min="12" max="12" width="7.109375" style="7" customWidth="1"/>
    <col min="13" max="13" width="10.33203125" style="7" customWidth="1"/>
    <col min="14" max="14" width="15.33203125" style="7" customWidth="1"/>
    <col min="15" max="15" width="6.33203125" style="7" customWidth="1"/>
    <col min="16" max="16" width="9.33203125" style="7" customWidth="1"/>
    <col min="17" max="17" width="14.6640625" style="332" customWidth="1"/>
    <col min="18" max="18" width="6.33203125" style="7" customWidth="1"/>
    <col min="19" max="19" width="8.6640625" style="7" customWidth="1"/>
    <col min="20" max="20" width="16" style="146" customWidth="1"/>
    <col min="21" max="21" width="8.6640625" style="7" customWidth="1"/>
    <col min="22" max="22" width="12.88671875" style="7" customWidth="1"/>
    <col min="23" max="23" width="6.33203125" style="7" customWidth="1"/>
    <col min="24" max="24" width="9.44140625" style="7" customWidth="1"/>
    <col min="25" max="25" width="9.109375" style="7" customWidth="1"/>
    <col min="26" max="26" width="11.33203125" style="7" customWidth="1"/>
    <col min="27" max="27" width="8.33203125" style="7" customWidth="1"/>
    <col min="28" max="28" width="11.33203125" style="7" customWidth="1"/>
    <col min="29" max="29" width="9.44140625" style="7" customWidth="1"/>
    <col min="30" max="32" width="8.6640625" style="7" customWidth="1"/>
    <col min="33" max="33" width="12.109375" style="7" customWidth="1"/>
    <col min="34" max="35" width="8.6640625" style="7" customWidth="1"/>
    <col min="36" max="36" width="16" style="7" customWidth="1"/>
    <col min="37" max="38" width="8.6640625" style="7" customWidth="1"/>
    <col min="39" max="39" width="14" style="7" customWidth="1"/>
    <col min="40" max="41" width="8.6640625" style="7" customWidth="1"/>
    <col min="42" max="42" width="9.88671875" style="7" customWidth="1"/>
    <col min="43" max="44" width="8.6640625" style="7" customWidth="1"/>
    <col min="45" max="45" width="11.33203125" style="7" customWidth="1"/>
    <col min="46" max="47" width="8.6640625" style="7" customWidth="1"/>
    <col min="48" max="48" width="11.5546875" style="7" customWidth="1"/>
    <col min="49" max="50" width="8.6640625" style="7" customWidth="1"/>
    <col min="51" max="51" width="12" style="7" customWidth="1"/>
    <col min="52" max="52" width="9.88671875" style="7" customWidth="1"/>
    <col min="53" max="53" width="10.6640625" style="7" customWidth="1"/>
    <col min="54" max="54" width="10.88671875" style="7" customWidth="1"/>
    <col min="55" max="55" width="8.6640625" style="1" customWidth="1"/>
    <col min="56" max="56" width="8.6640625" style="2" customWidth="1"/>
    <col min="57" max="57" width="8.6640625" style="1"/>
    <col min="58" max="58" width="11" style="1" customWidth="1"/>
    <col min="59" max="59" width="8.6640625" style="1"/>
    <col min="60" max="60" width="41.77734375" style="1" customWidth="1"/>
    <col min="61" max="16384" width="8.6640625" style="1"/>
  </cols>
  <sheetData>
    <row r="1" spans="1:58" x14ac:dyDescent="0.3">
      <c r="A1" s="1" t="s">
        <v>0</v>
      </c>
    </row>
    <row r="3" spans="1:58" ht="17.399999999999999" x14ac:dyDescent="0.3">
      <c r="A3" s="25" t="s">
        <v>1025</v>
      </c>
      <c r="J3" s="406" t="str">
        <f>місяць!A2</f>
        <v>2021 РІК</v>
      </c>
    </row>
    <row r="4" spans="1:58" x14ac:dyDescent="0.3">
      <c r="AF4" s="149"/>
      <c r="AI4" s="149"/>
      <c r="AR4" s="158"/>
      <c r="AU4" s="158"/>
    </row>
    <row r="6" spans="1:58" s="804" customFormat="1" ht="16.2" thickBot="1" x14ac:dyDescent="0.35">
      <c r="A6" s="804">
        <v>1</v>
      </c>
      <c r="B6" s="805">
        <f>A6+1</f>
        <v>2</v>
      </c>
      <c r="C6" s="805">
        <f t="shared" ref="C6:BB6" si="0">B6+1</f>
        <v>3</v>
      </c>
      <c r="D6" s="805">
        <f t="shared" si="0"/>
        <v>4</v>
      </c>
      <c r="E6" s="805">
        <f t="shared" si="0"/>
        <v>5</v>
      </c>
      <c r="F6" s="805">
        <f t="shared" si="0"/>
        <v>6</v>
      </c>
      <c r="G6" s="805">
        <f t="shared" si="0"/>
        <v>7</v>
      </c>
      <c r="H6" s="805">
        <f t="shared" si="0"/>
        <v>8</v>
      </c>
      <c r="I6" s="805">
        <f t="shared" si="0"/>
        <v>9</v>
      </c>
      <c r="J6" s="805">
        <f t="shared" si="0"/>
        <v>10</v>
      </c>
      <c r="K6" s="805">
        <f t="shared" si="0"/>
        <v>11</v>
      </c>
      <c r="L6" s="805">
        <f t="shared" si="0"/>
        <v>12</v>
      </c>
      <c r="M6" s="805">
        <f t="shared" si="0"/>
        <v>13</v>
      </c>
      <c r="N6" s="805">
        <f t="shared" si="0"/>
        <v>14</v>
      </c>
      <c r="O6" s="805">
        <f t="shared" si="0"/>
        <v>15</v>
      </c>
      <c r="P6" s="805">
        <f t="shared" si="0"/>
        <v>16</v>
      </c>
      <c r="Q6" s="805">
        <f t="shared" si="0"/>
        <v>17</v>
      </c>
      <c r="R6" s="805">
        <f t="shared" si="0"/>
        <v>18</v>
      </c>
      <c r="S6" s="805">
        <f t="shared" si="0"/>
        <v>19</v>
      </c>
      <c r="T6" s="805">
        <f t="shared" si="0"/>
        <v>20</v>
      </c>
      <c r="U6" s="805">
        <f t="shared" si="0"/>
        <v>21</v>
      </c>
      <c r="V6" s="805">
        <f t="shared" si="0"/>
        <v>22</v>
      </c>
      <c r="W6" s="805">
        <f t="shared" si="0"/>
        <v>23</v>
      </c>
      <c r="X6" s="805">
        <f t="shared" si="0"/>
        <v>24</v>
      </c>
      <c r="Y6" s="805">
        <f t="shared" si="0"/>
        <v>25</v>
      </c>
      <c r="Z6" s="805">
        <f t="shared" si="0"/>
        <v>26</v>
      </c>
      <c r="AA6" s="805">
        <f t="shared" si="0"/>
        <v>27</v>
      </c>
      <c r="AB6" s="805">
        <f t="shared" si="0"/>
        <v>28</v>
      </c>
      <c r="AC6" s="805">
        <f t="shared" si="0"/>
        <v>29</v>
      </c>
      <c r="AD6" s="805">
        <f t="shared" si="0"/>
        <v>30</v>
      </c>
      <c r="AE6" s="805">
        <f t="shared" si="0"/>
        <v>31</v>
      </c>
      <c r="AF6" s="805">
        <f t="shared" si="0"/>
        <v>32</v>
      </c>
      <c r="AG6" s="805">
        <f t="shared" si="0"/>
        <v>33</v>
      </c>
      <c r="AH6" s="805">
        <f t="shared" si="0"/>
        <v>34</v>
      </c>
      <c r="AI6" s="805">
        <f t="shared" si="0"/>
        <v>35</v>
      </c>
      <c r="AJ6" s="805">
        <f t="shared" si="0"/>
        <v>36</v>
      </c>
      <c r="AK6" s="805">
        <f t="shared" si="0"/>
        <v>37</v>
      </c>
      <c r="AL6" s="805">
        <f t="shared" si="0"/>
        <v>38</v>
      </c>
      <c r="AM6" s="805">
        <f t="shared" si="0"/>
        <v>39</v>
      </c>
      <c r="AN6" s="805">
        <f t="shared" si="0"/>
        <v>40</v>
      </c>
      <c r="AO6" s="805">
        <f t="shared" si="0"/>
        <v>41</v>
      </c>
      <c r="AP6" s="805">
        <f t="shared" si="0"/>
        <v>42</v>
      </c>
      <c r="AQ6" s="805">
        <f t="shared" si="0"/>
        <v>43</v>
      </c>
      <c r="AR6" s="805">
        <f t="shared" si="0"/>
        <v>44</v>
      </c>
      <c r="AS6" s="805">
        <f t="shared" si="0"/>
        <v>45</v>
      </c>
      <c r="AT6" s="805">
        <f t="shared" si="0"/>
        <v>46</v>
      </c>
      <c r="AU6" s="805">
        <f t="shared" si="0"/>
        <v>47</v>
      </c>
      <c r="AV6" s="805">
        <f t="shared" si="0"/>
        <v>48</v>
      </c>
      <c r="AW6" s="805">
        <f t="shared" si="0"/>
        <v>49</v>
      </c>
      <c r="AX6" s="805">
        <f t="shared" si="0"/>
        <v>50</v>
      </c>
      <c r="AY6" s="805">
        <f t="shared" si="0"/>
        <v>51</v>
      </c>
      <c r="AZ6" s="805">
        <f t="shared" si="0"/>
        <v>52</v>
      </c>
      <c r="BA6" s="805">
        <f t="shared" si="0"/>
        <v>53</v>
      </c>
      <c r="BB6" s="805">
        <f t="shared" si="0"/>
        <v>54</v>
      </c>
    </row>
    <row r="7" spans="1:58" ht="26.85" customHeight="1" thickBot="1" x14ac:dyDescent="0.35">
      <c r="A7" s="1042" t="s">
        <v>457</v>
      </c>
      <c r="B7" s="1134" t="s">
        <v>1</v>
      </c>
      <c r="C7" s="1045" t="s">
        <v>2</v>
      </c>
      <c r="D7" s="1131" t="s">
        <v>456</v>
      </c>
      <c r="E7" s="1139" t="s">
        <v>431</v>
      </c>
      <c r="F7" s="1143" t="s">
        <v>957</v>
      </c>
      <c r="G7" s="1144"/>
      <c r="H7" s="1144"/>
      <c r="I7" s="1144"/>
      <c r="J7" s="1144"/>
      <c r="K7" s="1144"/>
      <c r="L7" s="1144"/>
      <c r="M7" s="1144"/>
      <c r="N7" s="1144"/>
      <c r="O7" s="1144"/>
      <c r="P7" s="1144"/>
      <c r="Q7" s="1144"/>
      <c r="R7" s="1144"/>
      <c r="S7" s="1144"/>
      <c r="T7" s="1144"/>
      <c r="U7" s="1144"/>
      <c r="V7" s="1144"/>
      <c r="W7" s="1144"/>
      <c r="X7" s="1144"/>
      <c r="Y7" s="1144"/>
      <c r="Z7" s="1144"/>
      <c r="AA7" s="1144"/>
      <c r="AB7" s="1144"/>
      <c r="AC7" s="1144"/>
      <c r="AD7" s="1145"/>
      <c r="AE7" s="1123" t="s">
        <v>974</v>
      </c>
      <c r="AF7" s="1124"/>
      <c r="AG7" s="1124"/>
      <c r="AH7" s="1124"/>
      <c r="AI7" s="1124"/>
      <c r="AJ7" s="1124"/>
      <c r="AK7" s="1124"/>
      <c r="AL7" s="1124"/>
      <c r="AM7" s="1124"/>
      <c r="AN7" s="1124"/>
      <c r="AO7" s="1124"/>
      <c r="AP7" s="1124"/>
      <c r="AQ7" s="1124"/>
      <c r="AR7" s="1124"/>
      <c r="AS7" s="1124"/>
      <c r="AT7" s="1124"/>
      <c r="AU7" s="1124"/>
      <c r="AV7" s="1124"/>
      <c r="AW7" s="1124"/>
      <c r="AX7" s="1124"/>
      <c r="AY7" s="1124"/>
      <c r="AZ7" s="1124"/>
      <c r="BA7" s="1124"/>
      <c r="BB7" s="1125"/>
    </row>
    <row r="8" spans="1:58" ht="22.2" customHeight="1" thickBot="1" x14ac:dyDescent="0.35">
      <c r="A8" s="1043"/>
      <c r="B8" s="948"/>
      <c r="C8" s="1046"/>
      <c r="D8" s="1132"/>
      <c r="E8" s="1140"/>
      <c r="F8" s="1136" t="s">
        <v>972</v>
      </c>
      <c r="G8" s="1142" t="s">
        <v>973</v>
      </c>
      <c r="H8" s="1136" t="s">
        <v>976</v>
      </c>
      <c r="I8" s="1146" t="s">
        <v>977</v>
      </c>
      <c r="J8" s="1147"/>
      <c r="K8" s="1147"/>
      <c r="L8" s="1147"/>
      <c r="M8" s="1147"/>
      <c r="N8" s="1147"/>
      <c r="O8" s="1147"/>
      <c r="P8" s="1147"/>
      <c r="Q8" s="1147"/>
      <c r="R8" s="1147"/>
      <c r="S8" s="1147"/>
      <c r="T8" s="1147"/>
      <c r="U8" s="1147"/>
      <c r="V8" s="1147"/>
      <c r="W8" s="1147"/>
      <c r="X8" s="1147"/>
      <c r="Y8" s="1147"/>
      <c r="Z8" s="1147"/>
      <c r="AA8" s="1147"/>
      <c r="AB8" s="1147"/>
      <c r="AC8" s="1147"/>
      <c r="AD8" s="1148"/>
      <c r="AE8" s="1126" t="s">
        <v>989</v>
      </c>
      <c r="AF8" s="1076"/>
      <c r="AG8" s="1127"/>
      <c r="AH8" s="1084" t="s">
        <v>990</v>
      </c>
      <c r="AI8" s="1120"/>
      <c r="AJ8" s="1120"/>
      <c r="AK8" s="1084" t="s">
        <v>991</v>
      </c>
      <c r="AL8" s="1120"/>
      <c r="AM8" s="1120"/>
      <c r="AN8" s="1084" t="s">
        <v>992</v>
      </c>
      <c r="AO8" s="1120"/>
      <c r="AP8" s="1120"/>
      <c r="AQ8" s="1084" t="s">
        <v>993</v>
      </c>
      <c r="AR8" s="1120"/>
      <c r="AS8" s="1120"/>
      <c r="AT8" s="1084" t="s">
        <v>994</v>
      </c>
      <c r="AU8" s="1120"/>
      <c r="AV8" s="1120"/>
      <c r="AW8" s="1084" t="s">
        <v>30</v>
      </c>
      <c r="AX8" s="1120"/>
      <c r="AY8" s="1120"/>
      <c r="AZ8" s="1084" t="s">
        <v>975</v>
      </c>
      <c r="BA8" s="1120"/>
      <c r="BB8" s="1121"/>
      <c r="BD8" s="96" t="s">
        <v>1017</v>
      </c>
    </row>
    <row r="9" spans="1:58" ht="36.6" customHeight="1" x14ac:dyDescent="0.3">
      <c r="A9" s="1043"/>
      <c r="B9" s="948"/>
      <c r="C9" s="1046"/>
      <c r="D9" s="1132"/>
      <c r="E9" s="1140"/>
      <c r="F9" s="1137"/>
      <c r="G9" s="1137"/>
      <c r="H9" s="1137"/>
      <c r="I9" s="1083" t="s">
        <v>960</v>
      </c>
      <c r="J9" s="1149"/>
      <c r="K9" s="1119"/>
      <c r="L9" s="1150" t="s">
        <v>961</v>
      </c>
      <c r="M9" s="1149"/>
      <c r="N9" s="1151"/>
      <c r="O9" s="1083" t="s">
        <v>963</v>
      </c>
      <c r="P9" s="1149"/>
      <c r="Q9" s="1119"/>
      <c r="R9" s="1150" t="s">
        <v>969</v>
      </c>
      <c r="S9" s="1149"/>
      <c r="T9" s="1151"/>
      <c r="U9" s="1083" t="s">
        <v>970</v>
      </c>
      <c r="V9" s="1119"/>
      <c r="W9" s="1150" t="s">
        <v>965</v>
      </c>
      <c r="X9" s="1151"/>
      <c r="Y9" s="1083" t="s">
        <v>1052</v>
      </c>
      <c r="Z9" s="1119"/>
      <c r="AA9" s="425" t="s">
        <v>955</v>
      </c>
      <c r="AB9" s="426" t="s">
        <v>980</v>
      </c>
      <c r="AC9" s="427" t="s">
        <v>967</v>
      </c>
      <c r="AD9" s="428" t="s">
        <v>971</v>
      </c>
      <c r="AE9" s="1128"/>
      <c r="AF9" s="1129"/>
      <c r="AG9" s="1130"/>
      <c r="AH9" s="1070"/>
      <c r="AI9" s="1070"/>
      <c r="AJ9" s="1070"/>
      <c r="AK9" s="1070"/>
      <c r="AL9" s="1070"/>
      <c r="AM9" s="1070"/>
      <c r="AN9" s="1070"/>
      <c r="AO9" s="1070"/>
      <c r="AP9" s="1070"/>
      <c r="AQ9" s="1070"/>
      <c r="AR9" s="1070"/>
      <c r="AS9" s="1070"/>
      <c r="AT9" s="1070"/>
      <c r="AU9" s="1070"/>
      <c r="AV9" s="1070"/>
      <c r="AW9" s="1070"/>
      <c r="AX9" s="1070"/>
      <c r="AY9" s="1070"/>
      <c r="AZ9" s="1070"/>
      <c r="BA9" s="1070"/>
      <c r="BB9" s="1122"/>
      <c r="BD9" s="96" t="s">
        <v>1018</v>
      </c>
    </row>
    <row r="10" spans="1:58" ht="33.9" customHeight="1" thickBot="1" x14ac:dyDescent="0.35">
      <c r="A10" s="943"/>
      <c r="B10" s="1135"/>
      <c r="C10" s="945"/>
      <c r="D10" s="1133"/>
      <c r="E10" s="1141"/>
      <c r="F10" s="1138"/>
      <c r="G10" s="1138"/>
      <c r="H10" s="1138"/>
      <c r="I10" s="429" t="s">
        <v>958</v>
      </c>
      <c r="J10" s="430" t="s">
        <v>959</v>
      </c>
      <c r="K10" s="431" t="s">
        <v>968</v>
      </c>
      <c r="L10" s="432" t="s">
        <v>962</v>
      </c>
      <c r="M10" s="433" t="s">
        <v>959</v>
      </c>
      <c r="N10" s="90" t="s">
        <v>968</v>
      </c>
      <c r="O10" s="434" t="s">
        <v>964</v>
      </c>
      <c r="P10" s="433" t="s">
        <v>959</v>
      </c>
      <c r="Q10" s="83" t="s">
        <v>968</v>
      </c>
      <c r="R10" s="432" t="s">
        <v>962</v>
      </c>
      <c r="S10" s="433" t="s">
        <v>959</v>
      </c>
      <c r="T10" s="435" t="s">
        <v>968</v>
      </c>
      <c r="U10" s="434" t="s">
        <v>959</v>
      </c>
      <c r="V10" s="431" t="s">
        <v>968</v>
      </c>
      <c r="W10" s="432" t="s">
        <v>966</v>
      </c>
      <c r="X10" s="436" t="s">
        <v>959</v>
      </c>
      <c r="Y10" s="434" t="s">
        <v>959</v>
      </c>
      <c r="Z10" s="431" t="s">
        <v>968</v>
      </c>
      <c r="AA10" s="437" t="s">
        <v>959</v>
      </c>
      <c r="AB10" s="438" t="s">
        <v>959</v>
      </c>
      <c r="AC10" s="437" t="s">
        <v>959</v>
      </c>
      <c r="AD10" s="438" t="s">
        <v>959</v>
      </c>
      <c r="AE10" s="434" t="s">
        <v>440</v>
      </c>
      <c r="AF10" s="433" t="s">
        <v>441</v>
      </c>
      <c r="AG10" s="433" t="s">
        <v>968</v>
      </c>
      <c r="AH10" s="433" t="s">
        <v>440</v>
      </c>
      <c r="AI10" s="433" t="s">
        <v>441</v>
      </c>
      <c r="AJ10" s="433" t="s">
        <v>968</v>
      </c>
      <c r="AK10" s="433" t="s">
        <v>440</v>
      </c>
      <c r="AL10" s="433" t="s">
        <v>441</v>
      </c>
      <c r="AM10" s="433" t="s">
        <v>968</v>
      </c>
      <c r="AN10" s="433" t="s">
        <v>440</v>
      </c>
      <c r="AO10" s="433" t="s">
        <v>441</v>
      </c>
      <c r="AP10" s="433" t="s">
        <v>968</v>
      </c>
      <c r="AQ10" s="433" t="s">
        <v>440</v>
      </c>
      <c r="AR10" s="433" t="s">
        <v>441</v>
      </c>
      <c r="AS10" s="433" t="s">
        <v>968</v>
      </c>
      <c r="AT10" s="433" t="s">
        <v>440</v>
      </c>
      <c r="AU10" s="433" t="s">
        <v>441</v>
      </c>
      <c r="AV10" s="433" t="s">
        <v>968</v>
      </c>
      <c r="AW10" s="433" t="s">
        <v>440</v>
      </c>
      <c r="AX10" s="433" t="s">
        <v>441</v>
      </c>
      <c r="AY10" s="433" t="s">
        <v>968</v>
      </c>
      <c r="AZ10" s="433" t="s">
        <v>440</v>
      </c>
      <c r="BA10" s="433" t="s">
        <v>441</v>
      </c>
      <c r="BB10" s="439" t="s">
        <v>442</v>
      </c>
      <c r="BD10" s="96"/>
    </row>
    <row r="11" spans="1:58" ht="24.9" customHeight="1" x14ac:dyDescent="0.3">
      <c r="A11" s="325">
        <v>150001053</v>
      </c>
      <c r="B11" s="440" t="s">
        <v>147</v>
      </c>
      <c r="C11" s="37">
        <v>2</v>
      </c>
      <c r="D11" s="100" t="s">
        <v>455</v>
      </c>
      <c r="E11" s="279">
        <f>'побудинковий звіт'!E9</f>
        <v>372.8</v>
      </c>
      <c r="F11" s="441">
        <f>'побудинковий звіт'!AS9</f>
        <v>5498.4559129675199</v>
      </c>
      <c r="G11" s="441">
        <f>J11+M11+P11+S11+U11+X11+Y11+AA11+AB11+AC11+AD11</f>
        <v>27013.37</v>
      </c>
      <c r="H11" s="73">
        <f>G11-F11</f>
        <v>21514.914087032477</v>
      </c>
      <c r="I11" s="5">
        <f>VLOOKUP($A11,'ПР 01-02.21'!$A$11:$BB$406,9,FALSE)+VLOOKUP($A11,'ПР 21-22'!$A$11:$BB$406,9,FALSE)-VLOOKUP($A11,'ПР 01-02.22'!$A$11:$BB$378,9,FALSE)</f>
        <v>0</v>
      </c>
      <c r="J11" s="5">
        <f>VLOOKUP($A11,'ПР 01-02.21'!$A$11:$BB$406,10,FALSE)+VLOOKUP($A11,'ПР 21-22'!$A$11:$BB$406,10,FALSE)-VLOOKUP($A11,'ПР 01-02.22'!$A$11:$BB$378,10,FALSE)</f>
        <v>0</v>
      </c>
      <c r="K11" s="442"/>
      <c r="L11" s="5">
        <f>VLOOKUP($A11,'ПР 01-02.21'!$A$11:$BB$406,12,FALSE)+VLOOKUP($A11,'ПР 21-22'!$A$11:$BB$406,12,FALSE)-VLOOKUP($A11,'ПР 01-02.22'!$A$11:$BB$378,12,FALSE)</f>
        <v>1</v>
      </c>
      <c r="M11" s="5">
        <f>VLOOKUP($A11,'ПР 01-02.21'!$A$11:$BB$406,13,FALSE)+VLOOKUP($A11,'ПР 21-22'!$A$11:$BB$406,13,FALSE)-VLOOKUP($A11,'ПР 01-02.22'!$A$11:$BB$378,13,FALSE)</f>
        <v>26835</v>
      </c>
      <c r="N11" s="38"/>
      <c r="O11" s="5">
        <f>VLOOKUP($A11,'ПР 01-02.21'!$A$11:$BB$406,15,FALSE)+VLOOKUP($A11,'ПР 21-22'!$A$11:$BB$406,15,FALSE)-VLOOKUP($A11,'ПР 01-02.22'!$A$11:$BB$378,15,FALSE)</f>
        <v>0</v>
      </c>
      <c r="P11" s="5">
        <f>VLOOKUP($A11,'ПР 01-02.21'!$A$11:$BB$406,16,FALSE)+VLOOKUP($A11,'ПР 21-22'!$A$11:$BB$406,16,FALSE)-VLOOKUP($A11,'ПР 01-02.22'!$A$11:$BB$378,16,FALSE)</f>
        <v>0</v>
      </c>
      <c r="Q11" s="443"/>
      <c r="R11" s="5">
        <f>VLOOKUP($A11,'ПР 01-02.21'!$A$11:$BB$406,18,FALSE)+VLOOKUP($A11,'ПР 21-22'!$A$11:$BB$406,18,FALSE)-VLOOKUP($A11,'ПР 01-02.22'!$A$11:$BB$378,18,FALSE)</f>
        <v>0</v>
      </c>
      <c r="S11" s="5">
        <f>VLOOKUP($A11,'ПР 01-02.21'!$A$11:$BB$406,19,FALSE)+VLOOKUP($A11,'ПР 21-22'!$A$11:$BB$406,19,FALSE)-VLOOKUP($A11,'ПР 01-02.22'!$A$11:$BB$378,19,FALSE)</f>
        <v>0</v>
      </c>
      <c r="T11" s="444"/>
      <c r="U11" s="5">
        <f>VLOOKUP($A11,'ПР 01-02.21'!$A$11:$BB$406,21,FALSE)+VLOOKUP($A11,'ПР 21-22'!$A$11:$BB$406,21,FALSE)-VLOOKUP($A11,'ПР 01-02.22'!$A$11:$BB$378,21,FALSE)</f>
        <v>0</v>
      </c>
      <c r="V11" s="5"/>
      <c r="W11" s="5">
        <f>VLOOKUP($A11,'ПР 01-02.21'!$A$11:$BB$406,23,FALSE)+VLOOKUP($A11,'ПР 21-22'!$A$11:$BB$406,23,FALSE)-VLOOKUP($A11,'ПР 01-02.22'!$A$11:$BB$378,23,FALSE)</f>
        <v>0</v>
      </c>
      <c r="X11" s="5">
        <f>VLOOKUP($A11,'ПР 01-02.21'!$A$11:$BB$406,24,FALSE)+VLOOKUP($A11,'ПР 21-22'!$A$11:$BB$406,24,FALSE)-VLOOKUP($A11,'ПР 01-02.22'!$A$11:$BB$378,24,FALSE)</f>
        <v>0</v>
      </c>
      <c r="Y11" s="5">
        <f>VLOOKUP($A11,'ПР 01-02.21'!$A$11:$BB$406,25,FALSE)+VLOOKUP($A11,'ПР 21-22'!$A$11:$BB$406,25,FALSE)-VLOOKUP($A11,'ПР 01-02.22'!$A$11:$BB$378,25,FALSE)</f>
        <v>0</v>
      </c>
      <c r="Z11" s="5"/>
      <c r="AA11" s="5">
        <f>VLOOKUP($A11,'ПР 01-02.21'!$A$11:$BB$406,27,FALSE)+VLOOKUP($A11,'ПР 21-22'!$A$11:$BB$406,27,FALSE)-VLOOKUP($A11,'ПР 01-02.22'!$A$11:$BB$378,27,FALSE)</f>
        <v>0</v>
      </c>
      <c r="AB11" s="5">
        <f>VLOOKUP($A11,'ПР 01-02.21'!$A$11:$BB$406,28,FALSE)+VLOOKUP($A11,'ПР 21-22'!$A$11:$BB$406,28,FALSE)-VLOOKUP($A11,'ПР 01-02.22'!$A$11:$BB$378,28,FALSE)</f>
        <v>0</v>
      </c>
      <c r="AC11" s="5">
        <f>VLOOKUP($A11,'ПР 01-02.21'!$A$11:$BB$406,29,FALSE)+VLOOKUP($A11,'ПР 21-22'!$A$11:$BB$406,29,FALSE)-VLOOKUP($A11,'ПР 01-02.22'!$A$11:$BB$378,29,FALSE)</f>
        <v>0</v>
      </c>
      <c r="AD11" s="5">
        <f>VLOOKUP($A11,'ПР 01-02.21'!$A$11:$BB$406,30,FALSE)+VLOOKUP($A11,'ПР 21-22'!$A$11:$BB$406,30,FALSE)-VLOOKUP($A11,'ПР 01-02.22'!$A$11:$BB$378,30,FALSE)</f>
        <v>178.37</v>
      </c>
      <c r="AE11" s="5">
        <f>VLOOKUP($A11,'ПР 01-02.21'!$A$11:$BB$406,31,FALSE)+VLOOKUP($A11,'ПР 21-22'!$A$11:$BB$406,31,FALSE)-VLOOKUP($A11,'ПР 01-02.22'!$A$11:$BB$378,31,FALSE)</f>
        <v>599.19058559345035</v>
      </c>
      <c r="AF11" s="5">
        <f>VLOOKUP($A11,'ПР 01-02.21'!$A$11:$BB$406,32,FALSE)+VLOOKUP($A11,'ПР 21-22'!$A$11:$BB$406,32,FALSE)-VLOOKUP($A11,'ПР 01-02.22'!$A$11:$BB$378,32,FALSE)</f>
        <v>0</v>
      </c>
      <c r="AG11" s="40"/>
      <c r="AH11" s="5">
        <f>VLOOKUP($A11,'ПР 01-02.21'!$A$11:$BB$406,34,FALSE)+VLOOKUP($A11,'ПР 21-22'!$A$11:$BB$406,34,FALSE)-VLOOKUP($A11,'ПР 01-02.22'!$A$11:$BB$378,34,FALSE)</f>
        <v>626.43359530630767</v>
      </c>
      <c r="AI11" s="5">
        <f>VLOOKUP($A11,'ПР 01-02.21'!$A$11:$BB$406,35,FALSE)+VLOOKUP($A11,'ПР 21-22'!$A$11:$BB$406,35,FALSE)-VLOOKUP($A11,'ПР 01-02.22'!$A$11:$BB$378,35,FALSE)</f>
        <v>0</v>
      </c>
      <c r="AJ11" s="40"/>
      <c r="AK11" s="5">
        <f>VLOOKUP($A11,'ПР 01-02.21'!$A$11:$BB$406,37,FALSE)+VLOOKUP($A11,'ПР 21-22'!$A$11:$BB$406,37,FALSE)-VLOOKUP($A11,'ПР 01-02.22'!$A$11:$BB$378,37,FALSE)</f>
        <v>221.09021449055427</v>
      </c>
      <c r="AL11" s="5">
        <f>VLOOKUP($A11,'ПР 01-02.21'!$A$11:$BB$406,38,FALSE)+VLOOKUP($A11,'ПР 21-22'!$A$11:$BB$406,38,FALSE)-VLOOKUP($A11,'ПР 01-02.22'!$A$11:$BB$378,38,FALSE)</f>
        <v>633</v>
      </c>
      <c r="AM11" s="40"/>
      <c r="AN11" s="5">
        <f>VLOOKUP($A11,'ПР 01-02.21'!$A$11:$BB$406,40,FALSE)+VLOOKUP($A11,'ПР 21-22'!$A$11:$BB$406,40,FALSE)-VLOOKUP($A11,'ПР 01-02.22'!$A$11:$BB$378,40,FALSE)</f>
        <v>0</v>
      </c>
      <c r="AO11" s="5">
        <f>VLOOKUP($A11,'ПР 01-02.21'!$A$11:$BB$406,41,FALSE)+VLOOKUP($A11,'ПР 21-22'!$A$11:$BB$406,41,FALSE)-VLOOKUP($A11,'ПР 01-02.22'!$A$11:$BB$378,41,FALSE)</f>
        <v>0</v>
      </c>
      <c r="AP11" s="40"/>
      <c r="AQ11" s="5">
        <f>VLOOKUP($A11,'ПР 01-02.21'!$A$11:$BB$406,43,FALSE)+VLOOKUP($A11,'ПР 21-22'!$A$11:$BB$406,43,FALSE)-VLOOKUP($A11,'ПР 01-02.22'!$A$11:$BB$378,43,FALSE)</f>
        <v>0</v>
      </c>
      <c r="AR11" s="5">
        <f>VLOOKUP($A11,'ПР 01-02.21'!$A$11:$BB$406,44,FALSE)+VLOOKUP($A11,'ПР 21-22'!$A$11:$BB$406,44,FALSE)-VLOOKUP($A11,'ПР 01-02.22'!$A$11:$BB$378,44,FALSE)</f>
        <v>0</v>
      </c>
      <c r="AS11" s="40"/>
      <c r="AT11" s="5">
        <f>VLOOKUP($A11,'ПР 01-02.21'!$A$11:$BB$406,46,FALSE)+VLOOKUP($A11,'ПР 21-22'!$A$11:$BB$406,46,FALSE)-VLOOKUP($A11,'ПР 01-02.22'!$A$11:$BB$378,46,FALSE)</f>
        <v>138.76952106970924</v>
      </c>
      <c r="AU11" s="5">
        <f>VLOOKUP($A11,'ПР 01-02.21'!$A$11:$BB$406,47,FALSE)+VLOOKUP($A11,'ПР 21-22'!$A$11:$BB$406,47,FALSE)-VLOOKUP($A11,'ПР 01-02.22'!$A$11:$BB$378,47,FALSE)</f>
        <v>0</v>
      </c>
      <c r="AV11" s="40"/>
      <c r="AW11" s="5">
        <f>VLOOKUP($A11,'ПР 01-02.21'!$A$11:$BB$406,49,FALSE)+VLOOKUP($A11,'ПР 21-22'!$A$11:$BB$406,49,FALSE)-VLOOKUP($A11,'ПР 01-02.22'!$A$11:$BB$378,49,FALSE)</f>
        <v>18.911999999999999</v>
      </c>
      <c r="AX11" s="5">
        <f>VLOOKUP($A11,'ПР 01-02.21'!$A$11:$BB$406,50,FALSE)+VLOOKUP($A11,'ПР 21-22'!$A$11:$BB$406,50,FALSE)-VLOOKUP($A11,'ПР 01-02.22'!$A$11:$BB$378,50,FALSE)</f>
        <v>0</v>
      </c>
      <c r="AY11" s="40"/>
      <c r="AZ11" s="40">
        <f>AE11+AH11+AK11+AN11+AQ11+AT11+AW11</f>
        <v>1604.3959164600215</v>
      </c>
      <c r="BA11" s="40">
        <f>AF11+AI11+AL11+AO11+AR11+AU11+AX11</f>
        <v>633</v>
      </c>
      <c r="BB11" s="55">
        <f>BA11-AZ11</f>
        <v>-971.39591646002145</v>
      </c>
      <c r="BD11" s="2">
        <v>3</v>
      </c>
      <c r="BF11" s="325">
        <v>150001053</v>
      </c>
    </row>
    <row r="12" spans="1:58" ht="24.9" customHeight="1" x14ac:dyDescent="0.3">
      <c r="A12" s="325">
        <v>150000753</v>
      </c>
      <c r="B12" s="445" t="s">
        <v>240</v>
      </c>
      <c r="C12" s="27">
        <v>5</v>
      </c>
      <c r="D12" s="101" t="s">
        <v>455</v>
      </c>
      <c r="E12" s="279">
        <f>'побудинковий звіт'!E10</f>
        <v>1840.7</v>
      </c>
      <c r="F12" s="441">
        <f>'побудинковий звіт'!AS10</f>
        <v>21160.947844214938</v>
      </c>
      <c r="G12" s="441">
        <f t="shared" ref="G12:G74" si="1">J12+M12+P12+S12+U12+X12+Y12+AA12+AB12+AC12+AD12</f>
        <v>480</v>
      </c>
      <c r="H12" s="73">
        <f t="shared" ref="H12:H74" si="2">G12-F12</f>
        <v>-20680.947844214938</v>
      </c>
      <c r="I12" s="5">
        <f>VLOOKUP($A12,'ПР 01-02.21'!$A$11:$BB$406,9,FALSE)+VLOOKUP($A12,'ПР 21-22'!$A$11:$BB$406,9,FALSE)-VLOOKUP($A12,'ПР 01-02.22'!$A$11:$BB$378,9,FALSE)</f>
        <v>0</v>
      </c>
      <c r="J12" s="5">
        <f>VLOOKUP($A12,'ПР 01-02.21'!$A$11:$BB$406,10,FALSE)+VLOOKUP($A12,'ПР 21-22'!$A$11:$BB$406,10,FALSE)-VLOOKUP($A12,'ПР 01-02.22'!$A$11:$BB$378,10,FALSE)</f>
        <v>0</v>
      </c>
      <c r="K12" s="446"/>
      <c r="L12" s="5">
        <f>VLOOKUP($A12,'ПР 01-02.21'!$A$11:$BB$406,12,FALSE)+VLOOKUP($A12,'ПР 21-22'!$A$11:$BB$406,12,FALSE)-VLOOKUP($A12,'ПР 01-02.22'!$A$11:$BB$378,12,FALSE)</f>
        <v>0</v>
      </c>
      <c r="M12" s="5">
        <f>VLOOKUP($A12,'ПР 01-02.21'!$A$11:$BB$406,13,FALSE)+VLOOKUP($A12,'ПР 21-22'!$A$11:$BB$406,13,FALSE)-VLOOKUP($A12,'ПР 01-02.22'!$A$11:$BB$378,13,FALSE)</f>
        <v>0</v>
      </c>
      <c r="N12" s="38"/>
      <c r="O12" s="5">
        <f>VLOOKUP($A12,'ПР 01-02.21'!$A$11:$BB$406,15,FALSE)+VLOOKUP($A12,'ПР 21-22'!$A$11:$BB$406,15,FALSE)-VLOOKUP($A12,'ПР 01-02.22'!$A$11:$BB$378,15,FALSE)</f>
        <v>0</v>
      </c>
      <c r="P12" s="5">
        <f>VLOOKUP($A12,'ПР 01-02.21'!$A$11:$BB$406,16,FALSE)+VLOOKUP($A12,'ПР 21-22'!$A$11:$BB$406,16,FALSE)-VLOOKUP($A12,'ПР 01-02.22'!$A$11:$BB$378,16,FALSE)</f>
        <v>0</v>
      </c>
      <c r="Q12" s="443"/>
      <c r="R12" s="5">
        <f>VLOOKUP($A12,'ПР 01-02.21'!$A$11:$BB$406,18,FALSE)+VLOOKUP($A12,'ПР 21-22'!$A$11:$BB$406,18,FALSE)-VLOOKUP($A12,'ПР 01-02.22'!$A$11:$BB$378,18,FALSE)</f>
        <v>0</v>
      </c>
      <c r="S12" s="5">
        <f>VLOOKUP($A12,'ПР 01-02.21'!$A$11:$BB$406,19,FALSE)+VLOOKUP($A12,'ПР 21-22'!$A$11:$BB$406,19,FALSE)-VLOOKUP($A12,'ПР 01-02.22'!$A$11:$BB$378,19,FALSE)</f>
        <v>0</v>
      </c>
      <c r="T12" s="444"/>
      <c r="U12" s="5">
        <f>VLOOKUP($A12,'ПР 01-02.21'!$A$11:$BB$406,21,FALSE)+VLOOKUP($A12,'ПР 21-22'!$A$11:$BB$406,21,FALSE)-VLOOKUP($A12,'ПР 01-02.22'!$A$11:$BB$378,21,FALSE)</f>
        <v>0</v>
      </c>
      <c r="V12" s="5"/>
      <c r="W12" s="5">
        <f>VLOOKUP($A12,'ПР 01-02.21'!$A$11:$BB$406,23,FALSE)+VLOOKUP($A12,'ПР 21-22'!$A$11:$BB$406,23,FALSE)-VLOOKUP($A12,'ПР 01-02.22'!$A$11:$BB$378,23,FALSE)</f>
        <v>0</v>
      </c>
      <c r="X12" s="5">
        <f>VLOOKUP($A12,'ПР 01-02.21'!$A$11:$BB$406,24,FALSE)+VLOOKUP($A12,'ПР 21-22'!$A$11:$BB$406,24,FALSE)-VLOOKUP($A12,'ПР 01-02.22'!$A$11:$BB$378,24,FALSE)</f>
        <v>0</v>
      </c>
      <c r="Y12" s="5">
        <f>VLOOKUP($A12,'ПР 01-02.21'!$A$11:$BB$406,25,FALSE)+VLOOKUP($A12,'ПР 21-22'!$A$11:$BB$406,25,FALSE)-VLOOKUP($A12,'ПР 01-02.22'!$A$11:$BB$378,25,FALSE)</f>
        <v>167</v>
      </c>
      <c r="Z12" s="5"/>
      <c r="AA12" s="5">
        <f>VLOOKUP($A12,'ПР 01-02.21'!$A$11:$BB$406,27,FALSE)+VLOOKUP($A12,'ПР 21-22'!$A$11:$BB$406,27,FALSE)-VLOOKUP($A12,'ПР 01-02.22'!$A$11:$BB$378,27,FALSE)</f>
        <v>0</v>
      </c>
      <c r="AB12" s="5">
        <f>VLOOKUP($A12,'ПР 01-02.21'!$A$11:$BB$406,28,FALSE)+VLOOKUP($A12,'ПР 21-22'!$A$11:$BB$406,28,FALSE)-VLOOKUP($A12,'ПР 01-02.22'!$A$11:$BB$378,28,FALSE)</f>
        <v>0</v>
      </c>
      <c r="AC12" s="5">
        <f>VLOOKUP($A12,'ПР 01-02.21'!$A$11:$BB$406,29,FALSE)+VLOOKUP($A12,'ПР 21-22'!$A$11:$BB$406,29,FALSE)-VLOOKUP($A12,'ПР 01-02.22'!$A$11:$BB$378,29,FALSE)</f>
        <v>0</v>
      </c>
      <c r="AD12" s="5">
        <f>VLOOKUP($A12,'ПР 01-02.21'!$A$11:$BB$406,30,FALSE)+VLOOKUP($A12,'ПР 21-22'!$A$11:$BB$406,30,FALSE)-VLOOKUP($A12,'ПР 01-02.22'!$A$11:$BB$378,30,FALSE)</f>
        <v>313</v>
      </c>
      <c r="AE12" s="5">
        <f>VLOOKUP($A12,'ПР 01-02.21'!$A$11:$BB$406,31,FALSE)+VLOOKUP($A12,'ПР 21-22'!$A$11:$BB$406,31,FALSE)-VLOOKUP($A12,'ПР 01-02.22'!$A$11:$BB$378,31,FALSE)</f>
        <v>2003.1958480356009</v>
      </c>
      <c r="AF12" s="5">
        <f>VLOOKUP($A12,'ПР 01-02.21'!$A$11:$BB$406,32,FALSE)+VLOOKUP($A12,'ПР 21-22'!$A$11:$BB$406,32,FALSE)-VLOOKUP($A12,'ПР 01-02.22'!$A$11:$BB$378,32,FALSE)</f>
        <v>3553</v>
      </c>
      <c r="AG12" s="40"/>
      <c r="AH12" s="5">
        <f>VLOOKUP($A12,'ПР 01-02.21'!$A$11:$BB$406,34,FALSE)+VLOOKUP($A12,'ПР 21-22'!$A$11:$BB$406,34,FALSE)-VLOOKUP($A12,'ПР 01-02.22'!$A$11:$BB$378,34,FALSE)</f>
        <v>3037.627349260003</v>
      </c>
      <c r="AI12" s="5">
        <f>VLOOKUP($A12,'ПР 01-02.21'!$A$11:$BB$406,35,FALSE)+VLOOKUP($A12,'ПР 21-22'!$A$11:$BB$406,35,FALSE)-VLOOKUP($A12,'ПР 01-02.22'!$A$11:$BB$378,35,FALSE)</f>
        <v>33</v>
      </c>
      <c r="AJ12" s="40"/>
      <c r="AK12" s="5">
        <f>VLOOKUP($A12,'ПР 01-02.21'!$A$11:$BB$406,37,FALSE)+VLOOKUP($A12,'ПР 21-22'!$A$11:$BB$406,37,FALSE)-VLOOKUP($A12,'ПР 01-02.22'!$A$11:$BB$378,37,FALSE)</f>
        <v>1160.7110657877913</v>
      </c>
      <c r="AL12" s="5">
        <f>VLOOKUP($A12,'ПР 01-02.21'!$A$11:$BB$406,38,FALSE)+VLOOKUP($A12,'ПР 21-22'!$A$11:$BB$406,38,FALSE)-VLOOKUP($A12,'ПР 01-02.22'!$A$11:$BB$378,38,FALSE)</f>
        <v>0</v>
      </c>
      <c r="AM12" s="40"/>
      <c r="AN12" s="5">
        <f>VLOOKUP($A12,'ПР 01-02.21'!$A$11:$BB$406,40,FALSE)+VLOOKUP($A12,'ПР 21-22'!$A$11:$BB$406,40,FALSE)-VLOOKUP($A12,'ПР 01-02.22'!$A$11:$BB$378,40,FALSE)</f>
        <v>0</v>
      </c>
      <c r="AO12" s="5">
        <f>VLOOKUP($A12,'ПР 01-02.21'!$A$11:$BB$406,41,FALSE)+VLOOKUP($A12,'ПР 21-22'!$A$11:$BB$406,41,FALSE)-VLOOKUP($A12,'ПР 01-02.22'!$A$11:$BB$378,41,FALSE)</f>
        <v>0</v>
      </c>
      <c r="AP12" s="40"/>
      <c r="AQ12" s="5">
        <f>VLOOKUP($A12,'ПР 01-02.21'!$A$11:$BB$406,43,FALSE)+VLOOKUP($A12,'ПР 21-22'!$A$11:$BB$406,43,FALSE)-VLOOKUP($A12,'ПР 01-02.22'!$A$11:$BB$378,43,FALSE)</f>
        <v>0</v>
      </c>
      <c r="AR12" s="5">
        <f>VLOOKUP($A12,'ПР 01-02.21'!$A$11:$BB$406,44,FALSE)+VLOOKUP($A12,'ПР 21-22'!$A$11:$BB$406,44,FALSE)-VLOOKUP($A12,'ПР 01-02.22'!$A$11:$BB$378,44,FALSE)</f>
        <v>0</v>
      </c>
      <c r="AS12" s="40"/>
      <c r="AT12" s="5">
        <f>VLOOKUP($A12,'ПР 01-02.21'!$A$11:$BB$406,46,FALSE)+VLOOKUP($A12,'ПР 21-22'!$A$11:$BB$406,46,FALSE)-VLOOKUP($A12,'ПР 01-02.22'!$A$11:$BB$378,46,FALSE)</f>
        <v>1137.5564790014655</v>
      </c>
      <c r="AU12" s="5">
        <f>VLOOKUP($A12,'ПР 01-02.21'!$A$11:$BB$406,47,FALSE)+VLOOKUP($A12,'ПР 21-22'!$A$11:$BB$406,47,FALSE)-VLOOKUP($A12,'ПР 01-02.22'!$A$11:$BB$378,47,FALSE)</f>
        <v>0</v>
      </c>
      <c r="AV12" s="40"/>
      <c r="AW12" s="5">
        <f>VLOOKUP($A12,'ПР 01-02.21'!$A$11:$BB$406,49,FALSE)+VLOOKUP($A12,'ПР 21-22'!$A$11:$BB$406,49,FALSE)-VLOOKUP($A12,'ПР 01-02.22'!$A$11:$BB$378,49,FALSE)</f>
        <v>353.43242071621637</v>
      </c>
      <c r="AX12" s="5">
        <f>VLOOKUP($A12,'ПР 01-02.21'!$A$11:$BB$406,50,FALSE)+VLOOKUP($A12,'ПР 21-22'!$A$11:$BB$406,50,FALSE)-VLOOKUP($A12,'ПР 01-02.22'!$A$11:$BB$378,50,FALSE)</f>
        <v>0</v>
      </c>
      <c r="AY12" s="40"/>
      <c r="AZ12" s="40">
        <f t="shared" ref="AZ12:BA73" si="3">AE12+AH12+AK12+AN12+AQ12+AT12+AW12</f>
        <v>7692.5231628010761</v>
      </c>
      <c r="BA12" s="40">
        <f t="shared" si="3"/>
        <v>3586</v>
      </c>
      <c r="BB12" s="55">
        <f t="shared" ref="BB12:BB74" si="4">BA12-AZ12</f>
        <v>-4106.5231628010761</v>
      </c>
      <c r="BD12" s="2">
        <v>2</v>
      </c>
      <c r="BF12" s="325">
        <v>150000753</v>
      </c>
    </row>
    <row r="13" spans="1:58" ht="24.9" customHeight="1" x14ac:dyDescent="0.3">
      <c r="A13" s="325">
        <v>150000754</v>
      </c>
      <c r="B13" s="445" t="s">
        <v>241</v>
      </c>
      <c r="C13" s="27">
        <v>5</v>
      </c>
      <c r="D13" s="101" t="s">
        <v>455</v>
      </c>
      <c r="E13" s="279">
        <f>'побудинковий звіт'!E11</f>
        <v>2805.68</v>
      </c>
      <c r="F13" s="441">
        <f>'побудинковий звіт'!AS11</f>
        <v>43856.382433178151</v>
      </c>
      <c r="G13" s="441">
        <f t="shared" si="1"/>
        <v>31557.924494158164</v>
      </c>
      <c r="H13" s="73">
        <f t="shared" si="2"/>
        <v>-12298.457939019987</v>
      </c>
      <c r="I13" s="5">
        <f>VLOOKUP($A13,'ПР 01-02.21'!$A$11:$BB$406,9,FALSE)+VLOOKUP($A13,'ПР 21-22'!$A$11:$BB$406,9,FALSE)-VLOOKUP($A13,'ПР 01-02.22'!$A$11:$BB$378,9,FALSE)</f>
        <v>0</v>
      </c>
      <c r="J13" s="5">
        <f>VLOOKUP($A13,'ПР 01-02.21'!$A$11:$BB$406,10,FALSE)+VLOOKUP($A13,'ПР 21-22'!$A$11:$BB$406,10,FALSE)-VLOOKUP($A13,'ПР 01-02.22'!$A$11:$BB$378,10,FALSE)</f>
        <v>0</v>
      </c>
      <c r="K13" s="446"/>
      <c r="L13" s="5">
        <f>VLOOKUP($A13,'ПР 01-02.21'!$A$11:$BB$406,12,FALSE)+VLOOKUP($A13,'ПР 21-22'!$A$11:$BB$406,12,FALSE)-VLOOKUP($A13,'ПР 01-02.22'!$A$11:$BB$378,12,FALSE)</f>
        <v>0</v>
      </c>
      <c r="M13" s="5">
        <f>VLOOKUP($A13,'ПР 01-02.21'!$A$11:$BB$406,13,FALSE)+VLOOKUP($A13,'ПР 21-22'!$A$11:$BB$406,13,FALSE)-VLOOKUP($A13,'ПР 01-02.22'!$A$11:$BB$378,13,FALSE)</f>
        <v>0</v>
      </c>
      <c r="N13" s="38"/>
      <c r="O13" s="5">
        <f>VLOOKUP($A13,'ПР 01-02.21'!$A$11:$BB$406,15,FALSE)+VLOOKUP($A13,'ПР 21-22'!$A$11:$BB$406,15,FALSE)-VLOOKUP($A13,'ПР 01-02.22'!$A$11:$BB$378,15,FALSE)</f>
        <v>0</v>
      </c>
      <c r="P13" s="5">
        <f>VLOOKUP($A13,'ПР 01-02.21'!$A$11:$BB$406,16,FALSE)+VLOOKUP($A13,'ПР 21-22'!$A$11:$BB$406,16,FALSE)-VLOOKUP($A13,'ПР 01-02.22'!$A$11:$BB$378,16,FALSE)</f>
        <v>0</v>
      </c>
      <c r="Q13" s="443"/>
      <c r="R13" s="5">
        <f>VLOOKUP($A13,'ПР 01-02.21'!$A$11:$BB$406,18,FALSE)+VLOOKUP($A13,'ПР 21-22'!$A$11:$BB$406,18,FALSE)-VLOOKUP($A13,'ПР 01-02.22'!$A$11:$BB$378,18,FALSE)</f>
        <v>0</v>
      </c>
      <c r="S13" s="5">
        <f>VLOOKUP($A13,'ПР 01-02.21'!$A$11:$BB$406,19,FALSE)+VLOOKUP($A13,'ПР 21-22'!$A$11:$BB$406,19,FALSE)-VLOOKUP($A13,'ПР 01-02.22'!$A$11:$BB$378,19,FALSE)</f>
        <v>0</v>
      </c>
      <c r="T13" s="444"/>
      <c r="U13" s="5">
        <f>VLOOKUP($A13,'ПР 01-02.21'!$A$11:$BB$406,21,FALSE)+VLOOKUP($A13,'ПР 21-22'!$A$11:$BB$406,21,FALSE)-VLOOKUP($A13,'ПР 01-02.22'!$A$11:$BB$378,21,FALSE)</f>
        <v>0</v>
      </c>
      <c r="V13" s="5"/>
      <c r="W13" s="5">
        <f>VLOOKUP($A13,'ПР 01-02.21'!$A$11:$BB$406,23,FALSE)+VLOOKUP($A13,'ПР 21-22'!$A$11:$BB$406,23,FALSE)-VLOOKUP($A13,'ПР 01-02.22'!$A$11:$BB$378,23,FALSE)</f>
        <v>41</v>
      </c>
      <c r="X13" s="5">
        <f>VLOOKUP($A13,'ПР 01-02.21'!$A$11:$BB$406,24,FALSE)+VLOOKUP($A13,'ПР 21-22'!$A$11:$BB$406,24,FALSE)-VLOOKUP($A13,'ПР 01-02.22'!$A$11:$BB$378,24,FALSE)</f>
        <v>22538.924494158164</v>
      </c>
      <c r="Y13" s="5">
        <f>VLOOKUP($A13,'ПР 01-02.21'!$A$11:$BB$406,25,FALSE)+VLOOKUP($A13,'ПР 21-22'!$A$11:$BB$406,25,FALSE)-VLOOKUP($A13,'ПР 01-02.22'!$A$11:$BB$378,25,FALSE)</f>
        <v>7899</v>
      </c>
      <c r="Z13" s="5"/>
      <c r="AA13" s="5">
        <f>VLOOKUP($A13,'ПР 01-02.21'!$A$11:$BB$406,27,FALSE)+VLOOKUP($A13,'ПР 21-22'!$A$11:$BB$406,27,FALSE)-VLOOKUP($A13,'ПР 01-02.22'!$A$11:$BB$378,27,FALSE)</f>
        <v>0</v>
      </c>
      <c r="AB13" s="5">
        <f>VLOOKUP($A13,'ПР 01-02.21'!$A$11:$BB$406,28,FALSE)+VLOOKUP($A13,'ПР 21-22'!$A$11:$BB$406,28,FALSE)-VLOOKUP($A13,'ПР 01-02.22'!$A$11:$BB$378,28,FALSE)</f>
        <v>0</v>
      </c>
      <c r="AC13" s="5">
        <f>VLOOKUP($A13,'ПР 01-02.21'!$A$11:$BB$406,29,FALSE)+VLOOKUP($A13,'ПР 21-22'!$A$11:$BB$406,29,FALSE)-VLOOKUP($A13,'ПР 01-02.22'!$A$11:$BB$378,29,FALSE)</f>
        <v>0</v>
      </c>
      <c r="AD13" s="5">
        <f>VLOOKUP($A13,'ПР 01-02.21'!$A$11:$BB$406,30,FALSE)+VLOOKUP($A13,'ПР 21-22'!$A$11:$BB$406,30,FALSE)-VLOOKUP($A13,'ПР 01-02.22'!$A$11:$BB$378,30,FALSE)</f>
        <v>1120</v>
      </c>
      <c r="AE13" s="5">
        <f>VLOOKUP($A13,'ПР 01-02.21'!$A$11:$BB$406,31,FALSE)+VLOOKUP($A13,'ПР 21-22'!$A$11:$BB$406,31,FALSE)-VLOOKUP($A13,'ПР 01-02.22'!$A$11:$BB$378,31,FALSE)</f>
        <v>2722.6696371062894</v>
      </c>
      <c r="AF13" s="5">
        <f>VLOOKUP($A13,'ПР 01-02.21'!$A$11:$BB$406,32,FALSE)+VLOOKUP($A13,'ПР 21-22'!$A$11:$BB$406,32,FALSE)-VLOOKUP($A13,'ПР 01-02.22'!$A$11:$BB$378,32,FALSE)</f>
        <v>0</v>
      </c>
      <c r="AG13" s="40"/>
      <c r="AH13" s="5">
        <f>VLOOKUP($A13,'ПР 01-02.21'!$A$11:$BB$406,34,FALSE)+VLOOKUP($A13,'ПР 21-22'!$A$11:$BB$406,34,FALSE)-VLOOKUP($A13,'ПР 01-02.22'!$A$11:$BB$378,34,FALSE)</f>
        <v>3609.4727974909565</v>
      </c>
      <c r="AI13" s="5">
        <f>VLOOKUP($A13,'ПР 01-02.21'!$A$11:$BB$406,35,FALSE)+VLOOKUP($A13,'ПР 21-22'!$A$11:$BB$406,35,FALSE)-VLOOKUP($A13,'ПР 01-02.22'!$A$11:$BB$378,35,FALSE)</f>
        <v>0</v>
      </c>
      <c r="AJ13" s="40"/>
      <c r="AK13" s="5">
        <f>VLOOKUP($A13,'ПР 01-02.21'!$A$11:$BB$406,37,FALSE)+VLOOKUP($A13,'ПР 21-22'!$A$11:$BB$406,37,FALSE)-VLOOKUP($A13,'ПР 01-02.22'!$A$11:$BB$378,37,FALSE)</f>
        <v>1651.5966612699581</v>
      </c>
      <c r="AL13" s="5">
        <f>VLOOKUP($A13,'ПР 01-02.21'!$A$11:$BB$406,38,FALSE)+VLOOKUP($A13,'ПР 21-22'!$A$11:$BB$406,38,FALSE)-VLOOKUP($A13,'ПР 01-02.22'!$A$11:$BB$378,38,FALSE)</f>
        <v>0</v>
      </c>
      <c r="AM13" s="40"/>
      <c r="AN13" s="5">
        <f>VLOOKUP($A13,'ПР 01-02.21'!$A$11:$BB$406,40,FALSE)+VLOOKUP($A13,'ПР 21-22'!$A$11:$BB$406,40,FALSE)-VLOOKUP($A13,'ПР 01-02.22'!$A$11:$BB$378,40,FALSE)</f>
        <v>0</v>
      </c>
      <c r="AO13" s="5">
        <f>VLOOKUP($A13,'ПР 01-02.21'!$A$11:$BB$406,41,FALSE)+VLOOKUP($A13,'ПР 21-22'!$A$11:$BB$406,41,FALSE)-VLOOKUP($A13,'ПР 01-02.22'!$A$11:$BB$378,41,FALSE)</f>
        <v>0</v>
      </c>
      <c r="AP13" s="40"/>
      <c r="AQ13" s="5">
        <f>VLOOKUP($A13,'ПР 01-02.21'!$A$11:$BB$406,43,FALSE)+VLOOKUP($A13,'ПР 21-22'!$A$11:$BB$406,43,FALSE)-VLOOKUP($A13,'ПР 01-02.22'!$A$11:$BB$378,43,FALSE)</f>
        <v>1369.6639710151376</v>
      </c>
      <c r="AR13" s="5">
        <f>VLOOKUP($A13,'ПР 01-02.21'!$A$11:$BB$406,44,FALSE)+VLOOKUP($A13,'ПР 21-22'!$A$11:$BB$406,44,FALSE)-VLOOKUP($A13,'ПР 01-02.22'!$A$11:$BB$378,44,FALSE)</f>
        <v>0</v>
      </c>
      <c r="AS13" s="40"/>
      <c r="AT13" s="5">
        <f>VLOOKUP($A13,'ПР 01-02.21'!$A$11:$BB$406,46,FALSE)+VLOOKUP($A13,'ПР 21-22'!$A$11:$BB$406,46,FALSE)-VLOOKUP($A13,'ПР 01-02.22'!$A$11:$BB$378,46,FALSE)</f>
        <v>1762.2200013441402</v>
      </c>
      <c r="AU13" s="5">
        <f>VLOOKUP($A13,'ПР 01-02.21'!$A$11:$BB$406,47,FALSE)+VLOOKUP($A13,'ПР 21-22'!$A$11:$BB$406,47,FALSE)-VLOOKUP($A13,'ПР 01-02.22'!$A$11:$BB$378,47,FALSE)</f>
        <v>0</v>
      </c>
      <c r="AV13" s="40"/>
      <c r="AW13" s="5">
        <f>VLOOKUP($A13,'ПР 01-02.21'!$A$11:$BB$406,49,FALSE)+VLOOKUP($A13,'ПР 21-22'!$A$11:$BB$406,49,FALSE)-VLOOKUP($A13,'ПР 01-02.22'!$A$11:$BB$378,49,FALSE)</f>
        <v>140.35120000000001</v>
      </c>
      <c r="AX13" s="5">
        <f>VLOOKUP($A13,'ПР 01-02.21'!$A$11:$BB$406,50,FALSE)+VLOOKUP($A13,'ПР 21-22'!$A$11:$BB$406,50,FALSE)-VLOOKUP($A13,'ПР 01-02.22'!$A$11:$BB$378,50,FALSE)</f>
        <v>0</v>
      </c>
      <c r="AY13" s="40"/>
      <c r="AZ13" s="40">
        <f t="shared" si="3"/>
        <v>11255.97426822648</v>
      </c>
      <c r="BA13" s="40">
        <f>AF13+AI13+AL13+AO13+AR13+AU13+AX13</f>
        <v>0</v>
      </c>
      <c r="BB13" s="55">
        <f t="shared" si="4"/>
        <v>-11255.97426822648</v>
      </c>
      <c r="BD13" s="2">
        <v>2</v>
      </c>
      <c r="BF13" s="325">
        <v>150000754</v>
      </c>
    </row>
    <row r="14" spans="1:58" ht="24.9" customHeight="1" x14ac:dyDescent="0.3">
      <c r="A14" s="325">
        <v>150000702</v>
      </c>
      <c r="B14" s="445" t="s">
        <v>339</v>
      </c>
      <c r="C14" s="27">
        <v>9</v>
      </c>
      <c r="D14" s="101" t="s">
        <v>455</v>
      </c>
      <c r="E14" s="279">
        <f>'побудинковий звіт'!E12</f>
        <v>6095.61</v>
      </c>
      <c r="F14" s="441">
        <f>'побудинковий звіт'!AS12</f>
        <v>87302.024523099928</v>
      </c>
      <c r="G14" s="441">
        <f t="shared" si="1"/>
        <v>15815</v>
      </c>
      <c r="H14" s="73">
        <f t="shared" si="2"/>
        <v>-71487.024523099928</v>
      </c>
      <c r="I14" s="5">
        <f>VLOOKUP($A14,'ПР 01-02.21'!$A$11:$BB$406,9,FALSE)+VLOOKUP($A14,'ПР 21-22'!$A$11:$BB$406,9,FALSE)-VLOOKUP($A14,'ПР 01-02.22'!$A$11:$BB$378,9,FALSE)</f>
        <v>3</v>
      </c>
      <c r="J14" s="5">
        <f>VLOOKUP($A14,'ПР 01-02.21'!$A$11:$BB$406,10,FALSE)+VLOOKUP($A14,'ПР 21-22'!$A$11:$BB$406,10,FALSE)-VLOOKUP($A14,'ПР 01-02.22'!$A$11:$BB$378,10,FALSE)</f>
        <v>932</v>
      </c>
      <c r="K14" s="446"/>
      <c r="L14" s="5">
        <f>VLOOKUP($A14,'ПР 01-02.21'!$A$11:$BB$406,12,FALSE)+VLOOKUP($A14,'ПР 21-22'!$A$11:$BB$406,12,FALSE)-VLOOKUP($A14,'ПР 01-02.22'!$A$11:$BB$378,12,FALSE)</f>
        <v>0</v>
      </c>
      <c r="M14" s="5">
        <f>VLOOKUP($A14,'ПР 01-02.21'!$A$11:$BB$406,13,FALSE)+VLOOKUP($A14,'ПР 21-22'!$A$11:$BB$406,13,FALSE)-VLOOKUP($A14,'ПР 01-02.22'!$A$11:$BB$378,13,FALSE)</f>
        <v>5281</v>
      </c>
      <c r="N14" s="38"/>
      <c r="O14" s="5">
        <f>VLOOKUP($A14,'ПР 01-02.21'!$A$11:$BB$406,15,FALSE)+VLOOKUP($A14,'ПР 21-22'!$A$11:$BB$406,15,FALSE)-VLOOKUP($A14,'ПР 01-02.22'!$A$11:$BB$378,15,FALSE)</f>
        <v>0</v>
      </c>
      <c r="P14" s="5">
        <f>VLOOKUP($A14,'ПР 01-02.21'!$A$11:$BB$406,16,FALSE)+VLOOKUP($A14,'ПР 21-22'!$A$11:$BB$406,16,FALSE)-VLOOKUP($A14,'ПР 01-02.22'!$A$11:$BB$378,16,FALSE)</f>
        <v>0</v>
      </c>
      <c r="Q14" s="443"/>
      <c r="R14" s="5">
        <f>VLOOKUP($A14,'ПР 01-02.21'!$A$11:$BB$406,18,FALSE)+VLOOKUP($A14,'ПР 21-22'!$A$11:$BB$406,18,FALSE)-VLOOKUP($A14,'ПР 01-02.22'!$A$11:$BB$378,18,FALSE)</f>
        <v>0</v>
      </c>
      <c r="S14" s="5">
        <f>VLOOKUP($A14,'ПР 01-02.21'!$A$11:$BB$406,19,FALSE)+VLOOKUP($A14,'ПР 21-22'!$A$11:$BB$406,19,FALSE)-VLOOKUP($A14,'ПР 01-02.22'!$A$11:$BB$378,19,FALSE)</f>
        <v>779</v>
      </c>
      <c r="T14" s="444"/>
      <c r="U14" s="5">
        <f>VLOOKUP($A14,'ПР 01-02.21'!$A$11:$BB$406,21,FALSE)+VLOOKUP($A14,'ПР 21-22'!$A$11:$BB$406,21,FALSE)-VLOOKUP($A14,'ПР 01-02.22'!$A$11:$BB$378,21,FALSE)</f>
        <v>0</v>
      </c>
      <c r="V14" s="5"/>
      <c r="W14" s="5">
        <f>VLOOKUP($A14,'ПР 01-02.21'!$A$11:$BB$406,23,FALSE)+VLOOKUP($A14,'ПР 21-22'!$A$11:$BB$406,23,FALSE)-VLOOKUP($A14,'ПР 01-02.22'!$A$11:$BB$378,23,FALSE)</f>
        <v>22.5</v>
      </c>
      <c r="X14" s="5">
        <f>VLOOKUP($A14,'ПР 01-02.21'!$A$11:$BB$406,24,FALSE)+VLOOKUP($A14,'ПР 21-22'!$A$11:$BB$406,24,FALSE)-VLOOKUP($A14,'ПР 01-02.22'!$A$11:$BB$378,24,FALSE)</f>
        <v>1559</v>
      </c>
      <c r="Y14" s="5">
        <f>VLOOKUP($A14,'ПР 01-02.21'!$A$11:$BB$406,25,FALSE)+VLOOKUP($A14,'ПР 21-22'!$A$11:$BB$406,25,FALSE)-VLOOKUP($A14,'ПР 01-02.22'!$A$11:$BB$378,25,FALSE)</f>
        <v>339</v>
      </c>
      <c r="Z14" s="5"/>
      <c r="AA14" s="5">
        <f>VLOOKUP($A14,'ПР 01-02.21'!$A$11:$BB$406,27,FALSE)+VLOOKUP($A14,'ПР 21-22'!$A$11:$BB$406,27,FALSE)-VLOOKUP($A14,'ПР 01-02.22'!$A$11:$BB$378,27,FALSE)</f>
        <v>0</v>
      </c>
      <c r="AB14" s="5">
        <f>VLOOKUP($A14,'ПР 01-02.21'!$A$11:$BB$406,28,FALSE)+VLOOKUP($A14,'ПР 21-22'!$A$11:$BB$406,28,FALSE)-VLOOKUP($A14,'ПР 01-02.22'!$A$11:$BB$378,28,FALSE)</f>
        <v>227</v>
      </c>
      <c r="AC14" s="5">
        <f>VLOOKUP($A14,'ПР 01-02.21'!$A$11:$BB$406,29,FALSE)+VLOOKUP($A14,'ПР 21-22'!$A$11:$BB$406,29,FALSE)-VLOOKUP($A14,'ПР 01-02.22'!$A$11:$BB$378,29,FALSE)</f>
        <v>2069</v>
      </c>
      <c r="AD14" s="5">
        <f>VLOOKUP($A14,'ПР 01-02.21'!$A$11:$BB$406,30,FALSE)+VLOOKUP($A14,'ПР 21-22'!$A$11:$BB$406,30,FALSE)-VLOOKUP($A14,'ПР 01-02.22'!$A$11:$BB$378,30,FALSE)</f>
        <v>4629</v>
      </c>
      <c r="AE14" s="5">
        <f>VLOOKUP($A14,'ПР 01-02.21'!$A$11:$BB$406,31,FALSE)+VLOOKUP($A14,'ПР 21-22'!$A$11:$BB$406,31,FALSE)-VLOOKUP($A14,'ПР 01-02.22'!$A$11:$BB$378,31,FALSE)</f>
        <v>4588.0207951425191</v>
      </c>
      <c r="AF14" s="5">
        <f>VLOOKUP($A14,'ПР 01-02.21'!$A$11:$BB$406,32,FALSE)+VLOOKUP($A14,'ПР 21-22'!$A$11:$BB$406,32,FALSE)-VLOOKUP($A14,'ПР 01-02.22'!$A$11:$BB$378,32,FALSE)</f>
        <v>0</v>
      </c>
      <c r="AG14" s="40"/>
      <c r="AH14" s="5">
        <f>VLOOKUP($A14,'ПР 01-02.21'!$A$11:$BB$406,34,FALSE)+VLOOKUP($A14,'ПР 21-22'!$A$11:$BB$406,34,FALSE)-VLOOKUP($A14,'ПР 01-02.22'!$A$11:$BB$378,34,FALSE)</f>
        <v>5463.5495703042307</v>
      </c>
      <c r="AI14" s="5">
        <f>VLOOKUP($A14,'ПР 01-02.21'!$A$11:$BB$406,35,FALSE)+VLOOKUP($A14,'ПР 21-22'!$A$11:$BB$406,35,FALSE)-VLOOKUP($A14,'ПР 01-02.22'!$A$11:$BB$378,35,FALSE)</f>
        <v>0</v>
      </c>
      <c r="AJ14" s="40"/>
      <c r="AK14" s="5">
        <f>VLOOKUP($A14,'ПР 01-02.21'!$A$11:$BB$406,37,FALSE)+VLOOKUP($A14,'ПР 21-22'!$A$11:$BB$406,37,FALSE)-VLOOKUP($A14,'ПР 01-02.22'!$A$11:$BB$378,37,FALSE)</f>
        <v>2543.8483194323048</v>
      </c>
      <c r="AL14" s="5">
        <f>VLOOKUP($A14,'ПР 01-02.21'!$A$11:$BB$406,38,FALSE)+VLOOKUP($A14,'ПР 21-22'!$A$11:$BB$406,38,FALSE)-VLOOKUP($A14,'ПР 01-02.22'!$A$11:$BB$378,38,FALSE)</f>
        <v>0</v>
      </c>
      <c r="AM14" s="40"/>
      <c r="AN14" s="5">
        <f>VLOOKUP($A14,'ПР 01-02.21'!$A$11:$BB$406,40,FALSE)+VLOOKUP($A14,'ПР 21-22'!$A$11:$BB$406,40,FALSE)-VLOOKUP($A14,'ПР 01-02.22'!$A$11:$BB$378,40,FALSE)</f>
        <v>3718.556848472776</v>
      </c>
      <c r="AO14" s="5">
        <f>VLOOKUP($A14,'ПР 01-02.21'!$A$11:$BB$406,41,FALSE)+VLOOKUP($A14,'ПР 21-22'!$A$11:$BB$406,41,FALSE)-VLOOKUP($A14,'ПР 01-02.22'!$A$11:$BB$378,41,FALSE)</f>
        <v>0</v>
      </c>
      <c r="AP14" s="40"/>
      <c r="AQ14" s="5">
        <f>VLOOKUP($A14,'ПР 01-02.21'!$A$11:$BB$406,43,FALSE)+VLOOKUP($A14,'ПР 21-22'!$A$11:$BB$406,43,FALSE)-VLOOKUP($A14,'ПР 01-02.22'!$A$11:$BB$378,43,FALSE)</f>
        <v>1774.5964766701932</v>
      </c>
      <c r="AR14" s="5">
        <f>VLOOKUP($A14,'ПР 01-02.21'!$A$11:$BB$406,44,FALSE)+VLOOKUP($A14,'ПР 21-22'!$A$11:$BB$406,44,FALSE)-VLOOKUP($A14,'ПР 01-02.22'!$A$11:$BB$378,44,FALSE)</f>
        <v>16.5</v>
      </c>
      <c r="AS14" s="40"/>
      <c r="AT14" s="5">
        <f>VLOOKUP($A14,'ПР 01-02.21'!$A$11:$BB$406,46,FALSE)+VLOOKUP($A14,'ПР 21-22'!$A$11:$BB$406,46,FALSE)-VLOOKUP($A14,'ПР 01-02.22'!$A$11:$BB$378,46,FALSE)</f>
        <v>3463.9942047798504</v>
      </c>
      <c r="AU14" s="5">
        <f>VLOOKUP($A14,'ПР 01-02.21'!$A$11:$BB$406,47,FALSE)+VLOOKUP($A14,'ПР 21-22'!$A$11:$BB$406,47,FALSE)-VLOOKUP($A14,'ПР 01-02.22'!$A$11:$BB$378,47,FALSE)</f>
        <v>1183</v>
      </c>
      <c r="AV14" s="40"/>
      <c r="AW14" s="5">
        <f>VLOOKUP($A14,'ПР 01-02.21'!$A$11:$BB$406,49,FALSE)+VLOOKUP($A14,'ПР 21-22'!$A$11:$BB$406,49,FALSE)-VLOOKUP($A14,'ПР 01-02.22'!$A$11:$BB$378,49,FALSE)</f>
        <v>304.81960000000004</v>
      </c>
      <c r="AX14" s="5">
        <f>VLOOKUP($A14,'ПР 01-02.21'!$A$11:$BB$406,50,FALSE)+VLOOKUP($A14,'ПР 21-22'!$A$11:$BB$406,50,FALSE)-VLOOKUP($A14,'ПР 01-02.22'!$A$11:$BB$378,50,FALSE)</f>
        <v>0</v>
      </c>
      <c r="AY14" s="40"/>
      <c r="AZ14" s="40">
        <f t="shared" si="3"/>
        <v>21857.385814801873</v>
      </c>
      <c r="BA14" s="40">
        <f t="shared" si="3"/>
        <v>1199.5</v>
      </c>
      <c r="BB14" s="55">
        <f t="shared" si="4"/>
        <v>-20657.885814801873</v>
      </c>
      <c r="BD14" s="2">
        <v>3</v>
      </c>
      <c r="BF14" s="325">
        <v>150000702</v>
      </c>
    </row>
    <row r="15" spans="1:58" ht="24.9" customHeight="1" x14ac:dyDescent="0.3">
      <c r="A15" s="325">
        <v>150000703</v>
      </c>
      <c r="B15" s="445" t="s">
        <v>340</v>
      </c>
      <c r="C15" s="27">
        <v>9</v>
      </c>
      <c r="D15" s="101" t="s">
        <v>455</v>
      </c>
      <c r="E15" s="279">
        <f>'побудинковий звіт'!E13</f>
        <v>6316</v>
      </c>
      <c r="F15" s="441">
        <f>'побудинковий звіт'!AS13</f>
        <v>88411.508033288468</v>
      </c>
      <c r="G15" s="441">
        <f t="shared" si="1"/>
        <v>46160.486512691132</v>
      </c>
      <c r="H15" s="73">
        <f t="shared" si="2"/>
        <v>-42251.021520597336</v>
      </c>
      <c r="I15" s="5">
        <f>VLOOKUP($A15,'ПР 01-02.21'!$A$11:$BB$406,9,FALSE)+VLOOKUP($A15,'ПР 21-22'!$A$11:$BB$406,9,FALSE)-VLOOKUP($A15,'ПР 01-02.22'!$A$11:$BB$378,9,FALSE)</f>
        <v>0</v>
      </c>
      <c r="J15" s="5">
        <f>VLOOKUP($A15,'ПР 01-02.21'!$A$11:$BB$406,10,FALSE)+VLOOKUP($A15,'ПР 21-22'!$A$11:$BB$406,10,FALSE)-VLOOKUP($A15,'ПР 01-02.22'!$A$11:$BB$378,10,FALSE)</f>
        <v>0</v>
      </c>
      <c r="K15" s="450"/>
      <c r="L15" s="5">
        <f>VLOOKUP($A15,'ПР 01-02.21'!$A$11:$BB$406,12,FALSE)+VLOOKUP($A15,'ПР 21-22'!$A$11:$BB$406,12,FALSE)-VLOOKUP($A15,'ПР 01-02.22'!$A$11:$BB$378,12,FALSE)</f>
        <v>0</v>
      </c>
      <c r="M15" s="5">
        <f>VLOOKUP($A15,'ПР 01-02.21'!$A$11:$BB$406,13,FALSE)+VLOOKUP($A15,'ПР 21-22'!$A$11:$BB$406,13,FALSE)-VLOOKUP($A15,'ПР 01-02.22'!$A$11:$BB$378,13,FALSE)</f>
        <v>0</v>
      </c>
      <c r="N15" s="38"/>
      <c r="O15" s="5">
        <f>VLOOKUP($A15,'ПР 01-02.21'!$A$11:$BB$406,15,FALSE)+VLOOKUP($A15,'ПР 21-22'!$A$11:$BB$406,15,FALSE)-VLOOKUP($A15,'ПР 01-02.22'!$A$11:$BB$378,15,FALSE)</f>
        <v>0</v>
      </c>
      <c r="P15" s="5">
        <f>VLOOKUP($A15,'ПР 01-02.21'!$A$11:$BB$406,16,FALSE)+VLOOKUP($A15,'ПР 21-22'!$A$11:$BB$406,16,FALSE)-VLOOKUP($A15,'ПР 01-02.22'!$A$11:$BB$378,16,FALSE)</f>
        <v>0</v>
      </c>
      <c r="Q15" s="443"/>
      <c r="R15" s="5">
        <f>VLOOKUP($A15,'ПР 01-02.21'!$A$11:$BB$406,18,FALSE)+VLOOKUP($A15,'ПР 21-22'!$A$11:$BB$406,18,FALSE)-VLOOKUP($A15,'ПР 01-02.22'!$A$11:$BB$378,18,FALSE)</f>
        <v>3</v>
      </c>
      <c r="S15" s="5">
        <f>VLOOKUP($A15,'ПР 01-02.21'!$A$11:$BB$406,19,FALSE)+VLOOKUP($A15,'ПР 21-22'!$A$11:$BB$406,19,FALSE)-VLOOKUP($A15,'ПР 01-02.22'!$A$11:$BB$378,19,FALSE)</f>
        <v>29730</v>
      </c>
      <c r="T15" s="444"/>
      <c r="U15" s="5">
        <f>VLOOKUP($A15,'ПР 01-02.21'!$A$11:$BB$406,21,FALSE)+VLOOKUP($A15,'ПР 21-22'!$A$11:$BB$406,21,FALSE)-VLOOKUP($A15,'ПР 01-02.22'!$A$11:$BB$378,21,FALSE)</f>
        <v>0</v>
      </c>
      <c r="V15" s="5"/>
      <c r="W15" s="5">
        <f>VLOOKUP($A15,'ПР 01-02.21'!$A$11:$BB$406,23,FALSE)+VLOOKUP($A15,'ПР 21-22'!$A$11:$BB$406,23,FALSE)-VLOOKUP($A15,'ПР 01-02.22'!$A$11:$BB$378,23,FALSE)</f>
        <v>27</v>
      </c>
      <c r="X15" s="5">
        <f>VLOOKUP($A15,'ПР 01-02.21'!$A$11:$BB$406,24,FALSE)+VLOOKUP($A15,'ПР 21-22'!$A$11:$BB$406,24,FALSE)-VLOOKUP($A15,'ПР 01-02.22'!$A$11:$BB$378,24,FALSE)</f>
        <v>4355.1365126911323</v>
      </c>
      <c r="Y15" s="5">
        <f>VLOOKUP($A15,'ПР 01-02.21'!$A$11:$BB$406,25,FALSE)+VLOOKUP($A15,'ПР 21-22'!$A$11:$BB$406,25,FALSE)-VLOOKUP($A15,'ПР 01-02.22'!$A$11:$BB$378,25,FALSE)</f>
        <v>4262</v>
      </c>
      <c r="Z15" s="5"/>
      <c r="AA15" s="5">
        <f>VLOOKUP($A15,'ПР 01-02.21'!$A$11:$BB$406,27,FALSE)+VLOOKUP($A15,'ПР 21-22'!$A$11:$BB$406,27,FALSE)-VLOOKUP($A15,'ПР 01-02.22'!$A$11:$BB$378,27,FALSE)</f>
        <v>0</v>
      </c>
      <c r="AB15" s="5">
        <f>VLOOKUP($A15,'ПР 01-02.21'!$A$11:$BB$406,28,FALSE)+VLOOKUP($A15,'ПР 21-22'!$A$11:$BB$406,28,FALSE)-VLOOKUP($A15,'ПР 01-02.22'!$A$11:$BB$378,28,FALSE)</f>
        <v>3528</v>
      </c>
      <c r="AC15" s="5">
        <f>VLOOKUP($A15,'ПР 01-02.21'!$A$11:$BB$406,29,FALSE)+VLOOKUP($A15,'ПР 21-22'!$A$11:$BB$406,29,FALSE)-VLOOKUP($A15,'ПР 01-02.22'!$A$11:$BB$378,29,FALSE)</f>
        <v>3572.3500000000004</v>
      </c>
      <c r="AD15" s="5">
        <f>VLOOKUP($A15,'ПР 01-02.21'!$A$11:$BB$406,30,FALSE)+VLOOKUP($A15,'ПР 21-22'!$A$11:$BB$406,30,FALSE)-VLOOKUP($A15,'ПР 01-02.22'!$A$11:$BB$378,30,FALSE)</f>
        <v>713</v>
      </c>
      <c r="AE15" s="5">
        <f>VLOOKUP($A15,'ПР 01-02.21'!$A$11:$BB$406,31,FALSE)+VLOOKUP($A15,'ПР 21-22'!$A$11:$BB$406,31,FALSE)-VLOOKUP($A15,'ПР 01-02.22'!$A$11:$BB$378,31,FALSE)</f>
        <v>4502.2404632666303</v>
      </c>
      <c r="AF15" s="5">
        <f>VLOOKUP($A15,'ПР 01-02.21'!$A$11:$BB$406,32,FALSE)+VLOOKUP($A15,'ПР 21-22'!$A$11:$BB$406,32,FALSE)-VLOOKUP($A15,'ПР 01-02.22'!$A$11:$BB$378,32,FALSE)</f>
        <v>71</v>
      </c>
      <c r="AG15" s="40"/>
      <c r="AH15" s="5">
        <f>VLOOKUP($A15,'ПР 01-02.21'!$A$11:$BB$406,34,FALSE)+VLOOKUP($A15,'ПР 21-22'!$A$11:$BB$406,34,FALSE)-VLOOKUP($A15,'ПР 01-02.22'!$A$11:$BB$378,34,FALSE)</f>
        <v>5397.890986648571</v>
      </c>
      <c r="AI15" s="5">
        <f>VLOOKUP($A15,'ПР 01-02.21'!$A$11:$BB$406,35,FALSE)+VLOOKUP($A15,'ПР 21-22'!$A$11:$BB$406,35,FALSE)-VLOOKUP($A15,'ПР 01-02.22'!$A$11:$BB$378,35,FALSE)</f>
        <v>4959</v>
      </c>
      <c r="AJ15" s="40"/>
      <c r="AK15" s="5">
        <f>VLOOKUP($A15,'ПР 01-02.21'!$A$11:$BB$406,37,FALSE)+VLOOKUP($A15,'ПР 21-22'!$A$11:$BB$406,37,FALSE)-VLOOKUP($A15,'ПР 01-02.22'!$A$11:$BB$378,37,FALSE)</f>
        <v>2691.1793158315559</v>
      </c>
      <c r="AL15" s="5">
        <f>VLOOKUP($A15,'ПР 01-02.21'!$A$11:$BB$406,38,FALSE)+VLOOKUP($A15,'ПР 21-22'!$A$11:$BB$406,38,FALSE)-VLOOKUP($A15,'ПР 01-02.22'!$A$11:$BB$378,38,FALSE)</f>
        <v>0</v>
      </c>
      <c r="AM15" s="40"/>
      <c r="AN15" s="5">
        <f>VLOOKUP($A15,'ПР 01-02.21'!$A$11:$BB$406,40,FALSE)+VLOOKUP($A15,'ПР 21-22'!$A$11:$BB$406,40,FALSE)-VLOOKUP($A15,'ПР 01-02.22'!$A$11:$BB$378,40,FALSE)</f>
        <v>3764.8573887685247</v>
      </c>
      <c r="AO15" s="5">
        <f>VLOOKUP($A15,'ПР 01-02.21'!$A$11:$BB$406,41,FALSE)+VLOOKUP($A15,'ПР 21-22'!$A$11:$BB$406,41,FALSE)-VLOOKUP($A15,'ПР 01-02.22'!$A$11:$BB$378,41,FALSE)</f>
        <v>0</v>
      </c>
      <c r="AP15" s="40"/>
      <c r="AQ15" s="5">
        <f>VLOOKUP($A15,'ПР 01-02.21'!$A$11:$BB$406,43,FALSE)+VLOOKUP($A15,'ПР 21-22'!$A$11:$BB$406,43,FALSE)-VLOOKUP($A15,'ПР 01-02.22'!$A$11:$BB$378,43,FALSE)</f>
        <v>1774.5964766701932</v>
      </c>
      <c r="AR15" s="5">
        <f>VLOOKUP($A15,'ПР 01-02.21'!$A$11:$BB$406,44,FALSE)+VLOOKUP($A15,'ПР 21-22'!$A$11:$BB$406,44,FALSE)-VLOOKUP($A15,'ПР 01-02.22'!$A$11:$BB$378,44,FALSE)</f>
        <v>15</v>
      </c>
      <c r="AS15" s="40"/>
      <c r="AT15" s="5">
        <f>VLOOKUP($A15,'ПР 01-02.21'!$A$11:$BB$406,46,FALSE)+VLOOKUP($A15,'ПР 21-22'!$A$11:$BB$406,46,FALSE)-VLOOKUP($A15,'ПР 01-02.22'!$A$11:$BB$378,46,FALSE)</f>
        <v>3258.6132123946177</v>
      </c>
      <c r="AU15" s="5">
        <f>VLOOKUP($A15,'ПР 01-02.21'!$A$11:$BB$406,47,FALSE)+VLOOKUP($A15,'ПР 21-22'!$A$11:$BB$406,47,FALSE)-VLOOKUP($A15,'ПР 01-02.22'!$A$11:$BB$378,47,FALSE)</f>
        <v>2760</v>
      </c>
      <c r="AV15" s="40"/>
      <c r="AW15" s="5">
        <f>VLOOKUP($A15,'ПР 01-02.21'!$A$11:$BB$406,49,FALSE)+VLOOKUP($A15,'ПР 21-22'!$A$11:$BB$406,49,FALSE)-VLOOKUP($A15,'ПР 01-02.22'!$A$11:$BB$378,49,FALSE)</f>
        <v>315.66399999999999</v>
      </c>
      <c r="AX15" s="5">
        <f>VLOOKUP($A15,'ПР 01-02.21'!$A$11:$BB$406,50,FALSE)+VLOOKUP($A15,'ПР 21-22'!$A$11:$BB$406,50,FALSE)-VLOOKUP($A15,'ПР 01-02.22'!$A$11:$BB$378,50,FALSE)</f>
        <v>0</v>
      </c>
      <c r="AY15" s="40"/>
      <c r="AZ15" s="40">
        <f t="shared" si="3"/>
        <v>21705.041843580097</v>
      </c>
      <c r="BA15" s="40">
        <f t="shared" si="3"/>
        <v>7805</v>
      </c>
      <c r="BB15" s="55">
        <f t="shared" si="4"/>
        <v>-13900.041843580097</v>
      </c>
      <c r="BD15" s="2">
        <v>3</v>
      </c>
      <c r="BF15" s="325">
        <v>150000703</v>
      </c>
    </row>
    <row r="16" spans="1:58" ht="24.9" customHeight="1" x14ac:dyDescent="0.3">
      <c r="A16" s="325">
        <v>150000781</v>
      </c>
      <c r="B16" s="445" t="s">
        <v>34</v>
      </c>
      <c r="C16" s="27">
        <v>1</v>
      </c>
      <c r="D16" s="101" t="s">
        <v>455</v>
      </c>
      <c r="E16" s="279">
        <f>'побудинковий звіт'!E14</f>
        <v>263.3</v>
      </c>
      <c r="F16" s="441">
        <f>'побудинковий звіт'!AS14</f>
        <v>2974.7257955935365</v>
      </c>
      <c r="G16" s="441">
        <f t="shared" si="1"/>
        <v>0</v>
      </c>
      <c r="H16" s="73">
        <f t="shared" si="2"/>
        <v>-2974.7257955935365</v>
      </c>
      <c r="I16" s="5">
        <f>VLOOKUP($A16,'ПР 01-02.21'!$A$11:$BB$406,9,FALSE)+VLOOKUP($A16,'ПР 21-22'!$A$11:$BB$406,9,FALSE)-VLOOKUP($A16,'ПР 01-02.22'!$A$11:$BB$378,9,FALSE)</f>
        <v>0</v>
      </c>
      <c r="J16" s="5">
        <f>VLOOKUP($A16,'ПР 01-02.21'!$A$11:$BB$406,10,FALSE)+VLOOKUP($A16,'ПР 21-22'!$A$11:$BB$406,10,FALSE)-VLOOKUP($A16,'ПР 01-02.22'!$A$11:$BB$378,10,FALSE)</f>
        <v>0</v>
      </c>
      <c r="K16" s="446"/>
      <c r="L16" s="5">
        <f>VLOOKUP($A16,'ПР 01-02.21'!$A$11:$BB$406,12,FALSE)+VLOOKUP($A16,'ПР 21-22'!$A$11:$BB$406,12,FALSE)-VLOOKUP($A16,'ПР 01-02.22'!$A$11:$BB$378,12,FALSE)</f>
        <v>0</v>
      </c>
      <c r="M16" s="5">
        <f>VLOOKUP($A16,'ПР 01-02.21'!$A$11:$BB$406,13,FALSE)+VLOOKUP($A16,'ПР 21-22'!$A$11:$BB$406,13,FALSE)-VLOOKUP($A16,'ПР 01-02.22'!$A$11:$BB$378,13,FALSE)</f>
        <v>0</v>
      </c>
      <c r="N16" s="38"/>
      <c r="O16" s="5">
        <f>VLOOKUP($A16,'ПР 01-02.21'!$A$11:$BB$406,15,FALSE)+VLOOKUP($A16,'ПР 21-22'!$A$11:$BB$406,15,FALSE)-VLOOKUP($A16,'ПР 01-02.22'!$A$11:$BB$378,15,FALSE)</f>
        <v>0</v>
      </c>
      <c r="P16" s="5">
        <f>VLOOKUP($A16,'ПР 01-02.21'!$A$11:$BB$406,16,FALSE)+VLOOKUP($A16,'ПР 21-22'!$A$11:$BB$406,16,FALSE)-VLOOKUP($A16,'ПР 01-02.22'!$A$11:$BB$378,16,FALSE)</f>
        <v>0</v>
      </c>
      <c r="Q16" s="443"/>
      <c r="R16" s="5">
        <f>VLOOKUP($A16,'ПР 01-02.21'!$A$11:$BB$406,18,FALSE)+VLOOKUP($A16,'ПР 21-22'!$A$11:$BB$406,18,FALSE)-VLOOKUP($A16,'ПР 01-02.22'!$A$11:$BB$378,18,FALSE)</f>
        <v>0</v>
      </c>
      <c r="S16" s="5">
        <f>VLOOKUP($A16,'ПР 01-02.21'!$A$11:$BB$406,19,FALSE)+VLOOKUP($A16,'ПР 21-22'!$A$11:$BB$406,19,FALSE)-VLOOKUP($A16,'ПР 01-02.22'!$A$11:$BB$378,19,FALSE)</f>
        <v>0</v>
      </c>
      <c r="T16" s="444"/>
      <c r="U16" s="5">
        <f>VLOOKUP($A16,'ПР 01-02.21'!$A$11:$BB$406,21,FALSE)+VLOOKUP($A16,'ПР 21-22'!$A$11:$BB$406,21,FALSE)-VLOOKUP($A16,'ПР 01-02.22'!$A$11:$BB$378,21,FALSE)</f>
        <v>0</v>
      </c>
      <c r="V16" s="5"/>
      <c r="W16" s="5">
        <f>VLOOKUP($A16,'ПР 01-02.21'!$A$11:$BB$406,23,FALSE)+VLOOKUP($A16,'ПР 21-22'!$A$11:$BB$406,23,FALSE)-VLOOKUP($A16,'ПР 01-02.22'!$A$11:$BB$378,23,FALSE)</f>
        <v>0</v>
      </c>
      <c r="X16" s="5">
        <f>VLOOKUP($A16,'ПР 01-02.21'!$A$11:$BB$406,24,FALSE)+VLOOKUP($A16,'ПР 21-22'!$A$11:$BB$406,24,FALSE)-VLOOKUP($A16,'ПР 01-02.22'!$A$11:$BB$378,24,FALSE)</f>
        <v>0</v>
      </c>
      <c r="Y16" s="5">
        <f>VLOOKUP($A16,'ПР 01-02.21'!$A$11:$BB$406,25,FALSE)+VLOOKUP($A16,'ПР 21-22'!$A$11:$BB$406,25,FALSE)-VLOOKUP($A16,'ПР 01-02.22'!$A$11:$BB$378,25,FALSE)</f>
        <v>0</v>
      </c>
      <c r="Z16" s="5"/>
      <c r="AA16" s="5">
        <f>VLOOKUP($A16,'ПР 01-02.21'!$A$11:$BB$406,27,FALSE)+VLOOKUP($A16,'ПР 21-22'!$A$11:$BB$406,27,FALSE)-VLOOKUP($A16,'ПР 01-02.22'!$A$11:$BB$378,27,FALSE)</f>
        <v>0</v>
      </c>
      <c r="AB16" s="5">
        <f>VLOOKUP($A16,'ПР 01-02.21'!$A$11:$BB$406,28,FALSE)+VLOOKUP($A16,'ПР 21-22'!$A$11:$BB$406,28,FALSE)-VLOOKUP($A16,'ПР 01-02.22'!$A$11:$BB$378,28,FALSE)</f>
        <v>0</v>
      </c>
      <c r="AC16" s="5">
        <f>VLOOKUP($A16,'ПР 01-02.21'!$A$11:$BB$406,29,FALSE)+VLOOKUP($A16,'ПР 21-22'!$A$11:$BB$406,29,FALSE)-VLOOKUP($A16,'ПР 01-02.22'!$A$11:$BB$378,29,FALSE)</f>
        <v>0</v>
      </c>
      <c r="AD16" s="5">
        <f>VLOOKUP($A16,'ПР 01-02.21'!$A$11:$BB$406,30,FALSE)+VLOOKUP($A16,'ПР 21-22'!$A$11:$BB$406,30,FALSE)-VLOOKUP($A16,'ПР 01-02.22'!$A$11:$BB$378,30,FALSE)</f>
        <v>0</v>
      </c>
      <c r="AE16" s="5">
        <f>VLOOKUP($A16,'ПР 01-02.21'!$A$11:$BB$406,31,FALSE)+VLOOKUP($A16,'ПР 21-22'!$A$11:$BB$406,31,FALSE)-VLOOKUP($A16,'ПР 01-02.22'!$A$11:$BB$378,31,FALSE)</f>
        <v>0</v>
      </c>
      <c r="AF16" s="5">
        <f>VLOOKUP($A16,'ПР 01-02.21'!$A$11:$BB$406,32,FALSE)+VLOOKUP($A16,'ПР 21-22'!$A$11:$BB$406,32,FALSE)-VLOOKUP($A16,'ПР 01-02.22'!$A$11:$BB$378,32,FALSE)</f>
        <v>0</v>
      </c>
      <c r="AG16" s="40"/>
      <c r="AH16" s="5">
        <f>VLOOKUP($A16,'ПР 01-02.21'!$A$11:$BB$406,34,FALSE)+VLOOKUP($A16,'ПР 21-22'!$A$11:$BB$406,34,FALSE)-VLOOKUP($A16,'ПР 01-02.22'!$A$11:$BB$378,34,FALSE)</f>
        <v>0</v>
      </c>
      <c r="AI16" s="5">
        <f>VLOOKUP($A16,'ПР 01-02.21'!$A$11:$BB$406,35,FALSE)+VLOOKUP($A16,'ПР 21-22'!$A$11:$BB$406,35,FALSE)-VLOOKUP($A16,'ПР 01-02.22'!$A$11:$BB$378,35,FALSE)</f>
        <v>0</v>
      </c>
      <c r="AJ16" s="40"/>
      <c r="AK16" s="5">
        <f>VLOOKUP($A16,'ПР 01-02.21'!$A$11:$BB$406,37,FALSE)+VLOOKUP($A16,'ПР 21-22'!$A$11:$BB$406,37,FALSE)-VLOOKUP($A16,'ПР 01-02.22'!$A$11:$BB$378,37,FALSE)</f>
        <v>0</v>
      </c>
      <c r="AL16" s="5">
        <f>VLOOKUP($A16,'ПР 01-02.21'!$A$11:$BB$406,38,FALSE)+VLOOKUP($A16,'ПР 21-22'!$A$11:$BB$406,38,FALSE)-VLOOKUP($A16,'ПР 01-02.22'!$A$11:$BB$378,38,FALSE)</f>
        <v>0</v>
      </c>
      <c r="AM16" s="40"/>
      <c r="AN16" s="5">
        <f>VLOOKUP($A16,'ПР 01-02.21'!$A$11:$BB$406,40,FALSE)+VLOOKUP($A16,'ПР 21-22'!$A$11:$BB$406,40,FALSE)-VLOOKUP($A16,'ПР 01-02.22'!$A$11:$BB$378,40,FALSE)</f>
        <v>0</v>
      </c>
      <c r="AO16" s="5">
        <f>VLOOKUP($A16,'ПР 01-02.21'!$A$11:$BB$406,41,FALSE)+VLOOKUP($A16,'ПР 21-22'!$A$11:$BB$406,41,FALSE)-VLOOKUP($A16,'ПР 01-02.22'!$A$11:$BB$378,41,FALSE)</f>
        <v>0</v>
      </c>
      <c r="AP16" s="40"/>
      <c r="AQ16" s="5">
        <f>VLOOKUP($A16,'ПР 01-02.21'!$A$11:$BB$406,43,FALSE)+VLOOKUP($A16,'ПР 21-22'!$A$11:$BB$406,43,FALSE)-VLOOKUP($A16,'ПР 01-02.22'!$A$11:$BB$378,43,FALSE)</f>
        <v>0</v>
      </c>
      <c r="AR16" s="5">
        <f>VLOOKUP($A16,'ПР 01-02.21'!$A$11:$BB$406,44,FALSE)+VLOOKUP($A16,'ПР 21-22'!$A$11:$BB$406,44,FALSE)-VLOOKUP($A16,'ПР 01-02.22'!$A$11:$BB$378,44,FALSE)</f>
        <v>0</v>
      </c>
      <c r="AS16" s="40"/>
      <c r="AT16" s="5">
        <f>VLOOKUP($A16,'ПР 01-02.21'!$A$11:$BB$406,46,FALSE)+VLOOKUP($A16,'ПР 21-22'!$A$11:$BB$406,46,FALSE)-VLOOKUP($A16,'ПР 01-02.22'!$A$11:$BB$378,46,FALSE)</f>
        <v>0</v>
      </c>
      <c r="AU16" s="5">
        <f>VLOOKUP($A16,'ПР 01-02.21'!$A$11:$BB$406,47,FALSE)+VLOOKUP($A16,'ПР 21-22'!$A$11:$BB$406,47,FALSE)-VLOOKUP($A16,'ПР 01-02.22'!$A$11:$BB$378,47,FALSE)</f>
        <v>0</v>
      </c>
      <c r="AV16" s="40"/>
      <c r="AW16" s="5">
        <f>VLOOKUP($A16,'ПР 01-02.21'!$A$11:$BB$406,49,FALSE)+VLOOKUP($A16,'ПР 21-22'!$A$11:$BB$406,49,FALSE)-VLOOKUP($A16,'ПР 01-02.22'!$A$11:$BB$378,49,FALSE)</f>
        <v>13.532</v>
      </c>
      <c r="AX16" s="5">
        <f>VLOOKUP($A16,'ПР 01-02.21'!$A$11:$BB$406,50,FALSE)+VLOOKUP($A16,'ПР 21-22'!$A$11:$BB$406,50,FALSE)-VLOOKUP($A16,'ПР 01-02.22'!$A$11:$BB$378,50,FALSE)</f>
        <v>0</v>
      </c>
      <c r="AY16" s="40"/>
      <c r="AZ16" s="40">
        <f t="shared" si="3"/>
        <v>13.532</v>
      </c>
      <c r="BA16" s="40">
        <f t="shared" si="3"/>
        <v>0</v>
      </c>
      <c r="BB16" s="55">
        <f t="shared" si="4"/>
        <v>-13.532</v>
      </c>
      <c r="BD16" s="2">
        <v>3</v>
      </c>
      <c r="BF16" s="325">
        <v>150000781</v>
      </c>
    </row>
    <row r="17" spans="1:58" ht="24.9" customHeight="1" x14ac:dyDescent="0.3">
      <c r="A17" s="325">
        <v>150000488</v>
      </c>
      <c r="B17" s="445" t="s">
        <v>35</v>
      </c>
      <c r="C17" s="27">
        <v>1</v>
      </c>
      <c r="D17" s="101" t="s">
        <v>455</v>
      </c>
      <c r="E17" s="279">
        <f>'побудинковий звіт'!E15</f>
        <v>317.88</v>
      </c>
      <c r="F17" s="441">
        <f>'побудинковий звіт'!AS15</f>
        <v>0</v>
      </c>
      <c r="G17" s="441">
        <f t="shared" si="1"/>
        <v>0</v>
      </c>
      <c r="H17" s="73">
        <f t="shared" si="2"/>
        <v>0</v>
      </c>
      <c r="I17" s="5"/>
      <c r="J17" s="5"/>
      <c r="K17" s="446"/>
      <c r="L17" s="5"/>
      <c r="M17" s="5"/>
      <c r="N17" s="38"/>
      <c r="O17" s="5"/>
      <c r="P17" s="5"/>
      <c r="Q17" s="443"/>
      <c r="R17" s="5"/>
      <c r="S17" s="5"/>
      <c r="T17" s="444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40"/>
      <c r="AH17" s="5"/>
      <c r="AI17" s="5"/>
      <c r="AJ17" s="40"/>
      <c r="AK17" s="5"/>
      <c r="AL17" s="5"/>
      <c r="AM17" s="40"/>
      <c r="AN17" s="5"/>
      <c r="AO17" s="5"/>
      <c r="AP17" s="40"/>
      <c r="AQ17" s="5"/>
      <c r="AR17" s="5"/>
      <c r="AS17" s="40"/>
      <c r="AT17" s="5"/>
      <c r="AU17" s="5"/>
      <c r="AV17" s="40"/>
      <c r="AW17" s="5"/>
      <c r="AX17" s="5"/>
      <c r="AY17" s="40"/>
      <c r="AZ17" s="40">
        <f t="shared" si="3"/>
        <v>0</v>
      </c>
      <c r="BA17" s="40">
        <f t="shared" si="3"/>
        <v>0</v>
      </c>
      <c r="BB17" s="55">
        <f t="shared" si="4"/>
        <v>0</v>
      </c>
      <c r="BD17" s="2">
        <v>3</v>
      </c>
      <c r="BF17" s="325">
        <v>150000488</v>
      </c>
    </row>
    <row r="18" spans="1:58" ht="24.9" customHeight="1" x14ac:dyDescent="0.3">
      <c r="A18" s="325">
        <v>150000492</v>
      </c>
      <c r="B18" s="445" t="s">
        <v>36</v>
      </c>
      <c r="C18" s="27">
        <v>1</v>
      </c>
      <c r="D18" s="101" t="s">
        <v>455</v>
      </c>
      <c r="E18" s="279">
        <f>'побудинковий звіт'!E16</f>
        <v>95.5</v>
      </c>
      <c r="F18" s="441">
        <f>'побудинковий звіт'!AS16</f>
        <v>0</v>
      </c>
      <c r="G18" s="441">
        <f t="shared" si="1"/>
        <v>0</v>
      </c>
      <c r="H18" s="73">
        <f t="shared" si="2"/>
        <v>0</v>
      </c>
      <c r="I18" s="5"/>
      <c r="J18" s="5"/>
      <c r="K18" s="446"/>
      <c r="L18" s="5"/>
      <c r="M18" s="5"/>
      <c r="N18" s="38"/>
      <c r="O18" s="5"/>
      <c r="P18" s="5"/>
      <c r="Q18" s="443"/>
      <c r="R18" s="5"/>
      <c r="S18" s="5"/>
      <c r="T18" s="444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40"/>
      <c r="AH18" s="5"/>
      <c r="AI18" s="5"/>
      <c r="AJ18" s="40"/>
      <c r="AK18" s="5"/>
      <c r="AL18" s="5"/>
      <c r="AM18" s="40"/>
      <c r="AN18" s="5"/>
      <c r="AO18" s="5"/>
      <c r="AP18" s="40"/>
      <c r="AQ18" s="5"/>
      <c r="AR18" s="5"/>
      <c r="AS18" s="40"/>
      <c r="AT18" s="5"/>
      <c r="AU18" s="5"/>
      <c r="AV18" s="40"/>
      <c r="AW18" s="5"/>
      <c r="AX18" s="5"/>
      <c r="AY18" s="40"/>
      <c r="AZ18" s="40">
        <f t="shared" si="3"/>
        <v>0</v>
      </c>
      <c r="BA18" s="40">
        <f t="shared" si="3"/>
        <v>0</v>
      </c>
      <c r="BB18" s="55">
        <f t="shared" si="4"/>
        <v>0</v>
      </c>
      <c r="BD18" s="2">
        <v>3</v>
      </c>
      <c r="BF18" s="325">
        <v>150000492</v>
      </c>
    </row>
    <row r="19" spans="1:58" ht="24.9" customHeight="1" x14ac:dyDescent="0.3">
      <c r="A19" s="325">
        <v>150000490</v>
      </c>
      <c r="B19" s="445" t="s">
        <v>37</v>
      </c>
      <c r="C19" s="27">
        <v>1</v>
      </c>
      <c r="D19" s="101" t="s">
        <v>455</v>
      </c>
      <c r="E19" s="279">
        <f>'побудинковий звіт'!E17</f>
        <v>147.5</v>
      </c>
      <c r="F19" s="441">
        <f>'побудинковий звіт'!AS17</f>
        <v>0</v>
      </c>
      <c r="G19" s="441">
        <f t="shared" si="1"/>
        <v>0</v>
      </c>
      <c r="H19" s="73">
        <f t="shared" si="2"/>
        <v>0</v>
      </c>
      <c r="I19" s="5"/>
      <c r="J19" s="5"/>
      <c r="K19" s="446"/>
      <c r="L19" s="5"/>
      <c r="M19" s="5"/>
      <c r="N19" s="38"/>
      <c r="O19" s="5"/>
      <c r="P19" s="5"/>
      <c r="Q19" s="443"/>
      <c r="R19" s="5"/>
      <c r="S19" s="5"/>
      <c r="T19" s="444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40"/>
      <c r="AH19" s="5"/>
      <c r="AI19" s="5"/>
      <c r="AJ19" s="40"/>
      <c r="AK19" s="5"/>
      <c r="AL19" s="5"/>
      <c r="AM19" s="40"/>
      <c r="AN19" s="5"/>
      <c r="AO19" s="5"/>
      <c r="AP19" s="40"/>
      <c r="AQ19" s="5"/>
      <c r="AR19" s="5"/>
      <c r="AS19" s="40"/>
      <c r="AT19" s="5"/>
      <c r="AU19" s="5"/>
      <c r="AV19" s="40"/>
      <c r="AW19" s="5"/>
      <c r="AX19" s="5"/>
      <c r="AY19" s="40"/>
      <c r="AZ19" s="40">
        <f t="shared" si="3"/>
        <v>0</v>
      </c>
      <c r="BA19" s="40">
        <f t="shared" si="3"/>
        <v>0</v>
      </c>
      <c r="BB19" s="55">
        <f t="shared" si="4"/>
        <v>0</v>
      </c>
      <c r="BD19" s="2">
        <v>3</v>
      </c>
      <c r="BF19" s="325">
        <v>150000490</v>
      </c>
    </row>
    <row r="20" spans="1:58" ht="24.9" customHeight="1" x14ac:dyDescent="0.3">
      <c r="A20" s="325">
        <v>150000497</v>
      </c>
      <c r="B20" s="445" t="s">
        <v>341</v>
      </c>
      <c r="C20" s="27">
        <v>9</v>
      </c>
      <c r="D20" s="101" t="s">
        <v>455</v>
      </c>
      <c r="E20" s="279">
        <f>'побудинковий звіт'!E18</f>
        <v>4163.4000000000005</v>
      </c>
      <c r="F20" s="441">
        <f>'побудинковий звіт'!AS18</f>
        <v>48634.359818673045</v>
      </c>
      <c r="G20" s="441">
        <f t="shared" si="1"/>
        <v>20888.47</v>
      </c>
      <c r="H20" s="73">
        <f t="shared" si="2"/>
        <v>-27745.889818673044</v>
      </c>
      <c r="I20" s="5">
        <f>VLOOKUP($A20,'ПР 01-02.21'!$A$11:$BB$406,9,FALSE)+VLOOKUP($A20,'ПР 21-22'!$A$11:$BB$406,9,FALSE)-VLOOKUP($A20,'ПР 01-02.22'!$A$11:$BB$378,9,FALSE)</f>
        <v>0</v>
      </c>
      <c r="J20" s="5">
        <f>VLOOKUP($A20,'ПР 01-02.21'!$A$11:$BB$406,10,FALSE)+VLOOKUP($A20,'ПР 21-22'!$A$11:$BB$406,10,FALSE)-VLOOKUP($A20,'ПР 01-02.22'!$A$11:$BB$378,10,FALSE)</f>
        <v>0</v>
      </c>
      <c r="K20" s="453"/>
      <c r="L20" s="5">
        <f>VLOOKUP($A20,'ПР 01-02.21'!$A$11:$BB$406,12,FALSE)+VLOOKUP($A20,'ПР 21-22'!$A$11:$BB$406,12,FALSE)-VLOOKUP($A20,'ПР 01-02.22'!$A$11:$BB$378,12,FALSE)</f>
        <v>0</v>
      </c>
      <c r="M20" s="5">
        <f>VLOOKUP($A20,'ПР 01-02.21'!$A$11:$BB$406,13,FALSE)+VLOOKUP($A20,'ПР 21-22'!$A$11:$BB$406,13,FALSE)-VLOOKUP($A20,'ПР 01-02.22'!$A$11:$BB$378,13,FALSE)</f>
        <v>0</v>
      </c>
      <c r="N20" s="38"/>
      <c r="O20" s="5">
        <f>VLOOKUP($A20,'ПР 01-02.21'!$A$11:$BB$406,15,FALSE)+VLOOKUP($A20,'ПР 21-22'!$A$11:$BB$406,15,FALSE)-VLOOKUP($A20,'ПР 01-02.22'!$A$11:$BB$378,15,FALSE)</f>
        <v>0</v>
      </c>
      <c r="P20" s="5">
        <f>VLOOKUP($A20,'ПР 01-02.21'!$A$11:$BB$406,16,FALSE)+VLOOKUP($A20,'ПР 21-22'!$A$11:$BB$406,16,FALSE)-VLOOKUP($A20,'ПР 01-02.22'!$A$11:$BB$378,16,FALSE)</f>
        <v>0</v>
      </c>
      <c r="Q20" s="443"/>
      <c r="R20" s="5">
        <f>VLOOKUP($A20,'ПР 01-02.21'!$A$11:$BB$406,18,FALSE)+VLOOKUP($A20,'ПР 21-22'!$A$11:$BB$406,18,FALSE)-VLOOKUP($A20,'ПР 01-02.22'!$A$11:$BB$378,18,FALSE)</f>
        <v>3</v>
      </c>
      <c r="S20" s="5">
        <f>VLOOKUP($A20,'ПР 01-02.21'!$A$11:$BB$406,19,FALSE)+VLOOKUP($A20,'ПР 21-22'!$A$11:$BB$406,19,FALSE)-VLOOKUP($A20,'ПР 01-02.22'!$A$11:$BB$378,19,FALSE)</f>
        <v>14140</v>
      </c>
      <c r="T20" s="444"/>
      <c r="U20" s="5">
        <f>VLOOKUP($A20,'ПР 01-02.21'!$A$11:$BB$406,21,FALSE)+VLOOKUP($A20,'ПР 21-22'!$A$11:$BB$406,21,FALSE)-VLOOKUP($A20,'ПР 01-02.22'!$A$11:$BB$378,21,FALSE)</f>
        <v>0</v>
      </c>
      <c r="V20" s="5"/>
      <c r="W20" s="5">
        <f>VLOOKUP($A20,'ПР 01-02.21'!$A$11:$BB$406,23,FALSE)+VLOOKUP($A20,'ПР 21-22'!$A$11:$BB$406,23,FALSE)-VLOOKUP($A20,'ПР 01-02.22'!$A$11:$BB$378,23,FALSE)</f>
        <v>11</v>
      </c>
      <c r="X20" s="5">
        <f>VLOOKUP($A20,'ПР 01-02.21'!$A$11:$BB$406,24,FALSE)+VLOOKUP($A20,'ПР 21-22'!$A$11:$BB$406,24,FALSE)-VLOOKUP($A20,'ПР 01-02.22'!$A$11:$BB$378,24,FALSE)</f>
        <v>2548</v>
      </c>
      <c r="Y20" s="5">
        <f>VLOOKUP($A20,'ПР 01-02.21'!$A$11:$BB$406,25,FALSE)+VLOOKUP($A20,'ПР 21-22'!$A$11:$BB$406,25,FALSE)-VLOOKUP($A20,'ПР 01-02.22'!$A$11:$BB$378,25,FALSE)</f>
        <v>944</v>
      </c>
      <c r="Z20" s="5"/>
      <c r="AA20" s="5">
        <f>VLOOKUP($A20,'ПР 01-02.21'!$A$11:$BB$406,27,FALSE)+VLOOKUP($A20,'ПР 21-22'!$A$11:$BB$406,27,FALSE)-VLOOKUP($A20,'ПР 01-02.22'!$A$11:$BB$378,27,FALSE)</f>
        <v>0</v>
      </c>
      <c r="AB20" s="5">
        <f>VLOOKUP($A20,'ПР 01-02.21'!$A$11:$BB$406,28,FALSE)+VLOOKUP($A20,'ПР 21-22'!$A$11:$BB$406,28,FALSE)-VLOOKUP($A20,'ПР 01-02.22'!$A$11:$BB$378,28,FALSE)</f>
        <v>188</v>
      </c>
      <c r="AC20" s="5">
        <f>VLOOKUP($A20,'ПР 01-02.21'!$A$11:$BB$406,29,FALSE)+VLOOKUP($A20,'ПР 21-22'!$A$11:$BB$406,29,FALSE)-VLOOKUP($A20,'ПР 01-02.22'!$A$11:$BB$378,29,FALSE)</f>
        <v>105</v>
      </c>
      <c r="AD20" s="5">
        <f>VLOOKUP($A20,'ПР 01-02.21'!$A$11:$BB$406,30,FALSE)+VLOOKUP($A20,'ПР 21-22'!$A$11:$BB$406,30,FALSE)-VLOOKUP($A20,'ПР 01-02.22'!$A$11:$BB$378,30,FALSE)</f>
        <v>2963.4700000000003</v>
      </c>
      <c r="AE20" s="5">
        <f>VLOOKUP($A20,'ПР 01-02.21'!$A$11:$BB$406,31,FALSE)+VLOOKUP($A20,'ПР 21-22'!$A$11:$BB$406,31,FALSE)-VLOOKUP($A20,'ПР 01-02.22'!$A$11:$BB$378,31,FALSE)</f>
        <v>2893.1063498376852</v>
      </c>
      <c r="AF20" s="5">
        <f>VLOOKUP($A20,'ПР 01-02.21'!$A$11:$BB$406,32,FALSE)+VLOOKUP($A20,'ПР 21-22'!$A$11:$BB$406,32,FALSE)-VLOOKUP($A20,'ПР 01-02.22'!$A$11:$BB$378,32,FALSE)</f>
        <v>1041</v>
      </c>
      <c r="AG20" s="40"/>
      <c r="AH20" s="5">
        <f>VLOOKUP($A20,'ПР 01-02.21'!$A$11:$BB$406,34,FALSE)+VLOOKUP($A20,'ПР 21-22'!$A$11:$BB$406,34,FALSE)-VLOOKUP($A20,'ПР 01-02.22'!$A$11:$BB$378,34,FALSE)</f>
        <v>3136.3369089127646</v>
      </c>
      <c r="AI20" s="5">
        <f>VLOOKUP($A20,'ПР 01-02.21'!$A$11:$BB$406,35,FALSE)+VLOOKUP($A20,'ПР 21-22'!$A$11:$BB$406,35,FALSE)-VLOOKUP($A20,'ПР 01-02.22'!$A$11:$BB$378,35,FALSE)</f>
        <v>0</v>
      </c>
      <c r="AJ20" s="40"/>
      <c r="AK20" s="5">
        <f>VLOOKUP($A20,'ПР 01-02.21'!$A$11:$BB$406,37,FALSE)+VLOOKUP($A20,'ПР 21-22'!$A$11:$BB$406,37,FALSE)-VLOOKUP($A20,'ПР 01-02.22'!$A$11:$BB$378,37,FALSE)</f>
        <v>1489.9863881944939</v>
      </c>
      <c r="AL20" s="5">
        <f>VLOOKUP($A20,'ПР 01-02.21'!$A$11:$BB$406,38,FALSE)+VLOOKUP($A20,'ПР 21-22'!$A$11:$BB$406,38,FALSE)-VLOOKUP($A20,'ПР 01-02.22'!$A$11:$BB$378,38,FALSE)</f>
        <v>0</v>
      </c>
      <c r="AM20" s="40"/>
      <c r="AN20" s="5">
        <f>VLOOKUP($A20,'ПР 01-02.21'!$A$11:$BB$406,40,FALSE)+VLOOKUP($A20,'ПР 21-22'!$A$11:$BB$406,40,FALSE)-VLOOKUP($A20,'ПР 01-02.22'!$A$11:$BB$378,40,FALSE)</f>
        <v>2282.7589997329528</v>
      </c>
      <c r="AO20" s="5">
        <f>VLOOKUP($A20,'ПР 01-02.21'!$A$11:$BB$406,41,FALSE)+VLOOKUP($A20,'ПР 21-22'!$A$11:$BB$406,41,FALSE)-VLOOKUP($A20,'ПР 01-02.22'!$A$11:$BB$378,41,FALSE)</f>
        <v>730</v>
      </c>
      <c r="AP20" s="40"/>
      <c r="AQ20" s="5">
        <f>VLOOKUP($A20,'ПР 01-02.21'!$A$11:$BB$406,43,FALSE)+VLOOKUP($A20,'ПР 21-22'!$A$11:$BB$406,43,FALSE)-VLOOKUP($A20,'ПР 01-02.22'!$A$11:$BB$378,43,FALSE)</f>
        <v>1275.715225914171</v>
      </c>
      <c r="AR20" s="5">
        <f>VLOOKUP($A20,'ПР 01-02.21'!$A$11:$BB$406,44,FALSE)+VLOOKUP($A20,'ПР 21-22'!$A$11:$BB$406,44,FALSE)-VLOOKUP($A20,'ПР 01-02.22'!$A$11:$BB$378,44,FALSE)</f>
        <v>0</v>
      </c>
      <c r="AS20" s="40"/>
      <c r="AT20" s="5">
        <f>VLOOKUP($A20,'ПР 01-02.21'!$A$11:$BB$406,46,FALSE)+VLOOKUP($A20,'ПР 21-22'!$A$11:$BB$406,46,FALSE)-VLOOKUP($A20,'ПР 01-02.22'!$A$11:$BB$378,46,FALSE)</f>
        <v>1120.8018281394352</v>
      </c>
      <c r="AU20" s="5">
        <f>VLOOKUP($A20,'ПР 01-02.21'!$A$11:$BB$406,47,FALSE)+VLOOKUP($A20,'ПР 21-22'!$A$11:$BB$406,47,FALSE)-VLOOKUP($A20,'ПР 01-02.22'!$A$11:$BB$378,47,FALSE)</f>
        <v>0</v>
      </c>
      <c r="AV20" s="40"/>
      <c r="AW20" s="5">
        <f>VLOOKUP($A20,'ПР 01-02.21'!$A$11:$BB$406,49,FALSE)+VLOOKUP($A20,'ПР 21-22'!$A$11:$BB$406,49,FALSE)-VLOOKUP($A20,'ПР 01-02.22'!$A$11:$BB$378,49,FALSE)</f>
        <v>283.2151513236434</v>
      </c>
      <c r="AX20" s="5">
        <f>VLOOKUP($A20,'ПР 01-02.21'!$A$11:$BB$406,50,FALSE)+VLOOKUP($A20,'ПР 21-22'!$A$11:$BB$406,50,FALSE)-VLOOKUP($A20,'ПР 01-02.22'!$A$11:$BB$378,50,FALSE)</f>
        <v>0</v>
      </c>
      <c r="AY20" s="40"/>
      <c r="AZ20" s="40">
        <f t="shared" si="3"/>
        <v>12481.920852055146</v>
      </c>
      <c r="BA20" s="40">
        <f t="shared" si="3"/>
        <v>1771</v>
      </c>
      <c r="BB20" s="55">
        <f t="shared" si="4"/>
        <v>-10710.920852055146</v>
      </c>
      <c r="BD20" s="2">
        <v>1</v>
      </c>
      <c r="BF20" s="325">
        <v>150000497</v>
      </c>
    </row>
    <row r="21" spans="1:58" ht="24.9" customHeight="1" x14ac:dyDescent="0.3">
      <c r="A21" s="325">
        <v>150000495</v>
      </c>
      <c r="B21" s="445" t="s">
        <v>148</v>
      </c>
      <c r="C21" s="27">
        <v>2</v>
      </c>
      <c r="D21" s="101" t="s">
        <v>455</v>
      </c>
      <c r="E21" s="279">
        <f>'побудинковий звіт'!E19</f>
        <v>409.93</v>
      </c>
      <c r="F21" s="441">
        <f>'побудинковий звіт'!AS19</f>
        <v>4534.644856985954</v>
      </c>
      <c r="G21" s="441">
        <f t="shared" si="1"/>
        <v>2736.9227081464578</v>
      </c>
      <c r="H21" s="73">
        <f t="shared" si="2"/>
        <v>-1797.7221488394962</v>
      </c>
      <c r="I21" s="5">
        <f>VLOOKUP($A21,'ПР 01-02.21'!$A$11:$BB$406,9,FALSE)+VLOOKUP($A21,'ПР 21-22'!$A$11:$BB$406,9,FALSE)-VLOOKUP($A21,'ПР 01-02.22'!$A$11:$BB$378,9,FALSE)</f>
        <v>0</v>
      </c>
      <c r="J21" s="5">
        <f>VLOOKUP($A21,'ПР 01-02.21'!$A$11:$BB$406,10,FALSE)+VLOOKUP($A21,'ПР 21-22'!$A$11:$BB$406,10,FALSE)-VLOOKUP($A21,'ПР 01-02.22'!$A$11:$BB$378,10,FALSE)</f>
        <v>428</v>
      </c>
      <c r="K21" s="450"/>
      <c r="L21" s="5">
        <f>VLOOKUP($A21,'ПР 01-02.21'!$A$11:$BB$406,12,FALSE)+VLOOKUP($A21,'ПР 21-22'!$A$11:$BB$406,12,FALSE)-VLOOKUP($A21,'ПР 01-02.22'!$A$11:$BB$378,12,FALSE)</f>
        <v>0</v>
      </c>
      <c r="M21" s="5">
        <f>VLOOKUP($A21,'ПР 01-02.21'!$A$11:$BB$406,13,FALSE)+VLOOKUP($A21,'ПР 21-22'!$A$11:$BB$406,13,FALSE)-VLOOKUP($A21,'ПР 01-02.22'!$A$11:$BB$378,13,FALSE)</f>
        <v>348</v>
      </c>
      <c r="N21" s="38"/>
      <c r="O21" s="5">
        <f>VLOOKUP($A21,'ПР 01-02.21'!$A$11:$BB$406,15,FALSE)+VLOOKUP($A21,'ПР 21-22'!$A$11:$BB$406,15,FALSE)-VLOOKUP($A21,'ПР 01-02.22'!$A$11:$BB$378,15,FALSE)</f>
        <v>0</v>
      </c>
      <c r="P21" s="5">
        <f>VLOOKUP($A21,'ПР 01-02.21'!$A$11:$BB$406,16,FALSE)+VLOOKUP($A21,'ПР 21-22'!$A$11:$BB$406,16,FALSE)-VLOOKUP($A21,'ПР 01-02.22'!$A$11:$BB$378,16,FALSE)</f>
        <v>0</v>
      </c>
      <c r="Q21" s="443"/>
      <c r="R21" s="5">
        <f>VLOOKUP($A21,'ПР 01-02.21'!$A$11:$BB$406,18,FALSE)+VLOOKUP($A21,'ПР 21-22'!$A$11:$BB$406,18,FALSE)-VLOOKUP($A21,'ПР 01-02.22'!$A$11:$BB$378,18,FALSE)</f>
        <v>0</v>
      </c>
      <c r="S21" s="5">
        <f>VLOOKUP($A21,'ПР 01-02.21'!$A$11:$BB$406,19,FALSE)+VLOOKUP($A21,'ПР 21-22'!$A$11:$BB$406,19,FALSE)-VLOOKUP($A21,'ПР 01-02.22'!$A$11:$BB$378,19,FALSE)</f>
        <v>0</v>
      </c>
      <c r="T21" s="444"/>
      <c r="U21" s="5">
        <f>VLOOKUP($A21,'ПР 01-02.21'!$A$11:$BB$406,21,FALSE)+VLOOKUP($A21,'ПР 21-22'!$A$11:$BB$406,21,FALSE)-VLOOKUP($A21,'ПР 01-02.22'!$A$11:$BB$378,21,FALSE)</f>
        <v>0</v>
      </c>
      <c r="V21" s="5"/>
      <c r="W21" s="5">
        <f>VLOOKUP($A21,'ПР 01-02.21'!$A$11:$BB$406,23,FALSE)+VLOOKUP($A21,'ПР 21-22'!$A$11:$BB$406,23,FALSE)-VLOOKUP($A21,'ПР 01-02.22'!$A$11:$BB$378,23,FALSE)</f>
        <v>0.5</v>
      </c>
      <c r="X21" s="5">
        <f>VLOOKUP($A21,'ПР 01-02.21'!$A$11:$BB$406,24,FALSE)+VLOOKUP($A21,'ПР 21-22'!$A$11:$BB$406,24,FALSE)-VLOOKUP($A21,'ПР 01-02.22'!$A$11:$BB$378,24,FALSE)</f>
        <v>187.92270814645781</v>
      </c>
      <c r="Y21" s="5">
        <f>VLOOKUP($A21,'ПР 01-02.21'!$A$11:$BB$406,25,FALSE)+VLOOKUP($A21,'ПР 21-22'!$A$11:$BB$406,25,FALSE)-VLOOKUP($A21,'ПР 01-02.22'!$A$11:$BB$378,25,FALSE)</f>
        <v>0</v>
      </c>
      <c r="Z21" s="5"/>
      <c r="AA21" s="5">
        <f>VLOOKUP($A21,'ПР 01-02.21'!$A$11:$BB$406,27,FALSE)+VLOOKUP($A21,'ПР 21-22'!$A$11:$BB$406,27,FALSE)-VLOOKUP($A21,'ПР 01-02.22'!$A$11:$BB$378,27,FALSE)</f>
        <v>0</v>
      </c>
      <c r="AB21" s="5">
        <f>VLOOKUP($A21,'ПР 01-02.21'!$A$11:$BB$406,28,FALSE)+VLOOKUP($A21,'ПР 21-22'!$A$11:$BB$406,28,FALSE)-VLOOKUP($A21,'ПР 01-02.22'!$A$11:$BB$378,28,FALSE)</f>
        <v>0</v>
      </c>
      <c r="AC21" s="5">
        <f>VLOOKUP($A21,'ПР 01-02.21'!$A$11:$BB$406,29,FALSE)+VLOOKUP($A21,'ПР 21-22'!$A$11:$BB$406,29,FALSE)-VLOOKUP($A21,'ПР 01-02.22'!$A$11:$BB$378,29,FALSE)</f>
        <v>0</v>
      </c>
      <c r="AD21" s="5">
        <f>VLOOKUP($A21,'ПР 01-02.21'!$A$11:$BB$406,30,FALSE)+VLOOKUP($A21,'ПР 21-22'!$A$11:$BB$406,30,FALSE)-VLOOKUP($A21,'ПР 01-02.22'!$A$11:$BB$378,30,FALSE)</f>
        <v>1773</v>
      </c>
      <c r="AE21" s="5">
        <f>VLOOKUP($A21,'ПР 01-02.21'!$A$11:$BB$406,31,FALSE)+VLOOKUP($A21,'ПР 21-22'!$A$11:$BB$406,31,FALSE)-VLOOKUP($A21,'ПР 01-02.22'!$A$11:$BB$378,31,FALSE)</f>
        <v>621.87750721351858</v>
      </c>
      <c r="AF21" s="5">
        <f>VLOOKUP($A21,'ПР 01-02.21'!$A$11:$BB$406,32,FALSE)+VLOOKUP($A21,'ПР 21-22'!$A$11:$BB$406,32,FALSE)-VLOOKUP($A21,'ПР 01-02.22'!$A$11:$BB$378,32,FALSE)</f>
        <v>0</v>
      </c>
      <c r="AG21" s="40"/>
      <c r="AH21" s="5">
        <f>VLOOKUP($A21,'ПР 01-02.21'!$A$11:$BB$406,34,FALSE)+VLOOKUP($A21,'ПР 21-22'!$A$11:$BB$406,34,FALSE)-VLOOKUP($A21,'ПР 01-02.22'!$A$11:$BB$378,34,FALSE)</f>
        <v>776.146256015424</v>
      </c>
      <c r="AI21" s="5">
        <f>VLOOKUP($A21,'ПР 01-02.21'!$A$11:$BB$406,35,FALSE)+VLOOKUP($A21,'ПР 21-22'!$A$11:$BB$406,35,FALSE)-VLOOKUP($A21,'ПР 01-02.22'!$A$11:$BB$378,35,FALSE)</f>
        <v>0</v>
      </c>
      <c r="AJ21" s="40"/>
      <c r="AK21" s="5">
        <f>VLOOKUP($A21,'ПР 01-02.21'!$A$11:$BB$406,37,FALSE)+VLOOKUP($A21,'ПР 21-22'!$A$11:$BB$406,37,FALSE)-VLOOKUP($A21,'ПР 01-02.22'!$A$11:$BB$378,37,FALSE)</f>
        <v>158.78054717781686</v>
      </c>
      <c r="AL21" s="5">
        <f>VLOOKUP($A21,'ПР 01-02.21'!$A$11:$BB$406,38,FALSE)+VLOOKUP($A21,'ПР 21-22'!$A$11:$BB$406,38,FALSE)-VLOOKUP($A21,'ПР 01-02.22'!$A$11:$BB$378,38,FALSE)</f>
        <v>745</v>
      </c>
      <c r="AM21" s="40"/>
      <c r="AN21" s="5">
        <f>VLOOKUP($A21,'ПР 01-02.21'!$A$11:$BB$406,40,FALSE)+VLOOKUP($A21,'ПР 21-22'!$A$11:$BB$406,40,FALSE)-VLOOKUP($A21,'ПР 01-02.22'!$A$11:$BB$378,40,FALSE)</f>
        <v>0</v>
      </c>
      <c r="AO21" s="5">
        <f>VLOOKUP($A21,'ПР 01-02.21'!$A$11:$BB$406,41,FALSE)+VLOOKUP($A21,'ПР 21-22'!$A$11:$BB$406,41,FALSE)-VLOOKUP($A21,'ПР 01-02.22'!$A$11:$BB$378,41,FALSE)</f>
        <v>0</v>
      </c>
      <c r="AP21" s="40"/>
      <c r="AQ21" s="5">
        <f>VLOOKUP($A21,'ПР 01-02.21'!$A$11:$BB$406,43,FALSE)+VLOOKUP($A21,'ПР 21-22'!$A$11:$BB$406,43,FALSE)-VLOOKUP($A21,'ПР 01-02.22'!$A$11:$BB$378,43,FALSE)</f>
        <v>0</v>
      </c>
      <c r="AR21" s="5">
        <f>VLOOKUP($A21,'ПР 01-02.21'!$A$11:$BB$406,44,FALSE)+VLOOKUP($A21,'ПР 21-22'!$A$11:$BB$406,44,FALSE)-VLOOKUP($A21,'ПР 01-02.22'!$A$11:$BB$378,44,FALSE)</f>
        <v>0</v>
      </c>
      <c r="AS21" s="40"/>
      <c r="AT21" s="5">
        <f>VLOOKUP($A21,'ПР 01-02.21'!$A$11:$BB$406,46,FALSE)+VLOOKUP($A21,'ПР 21-22'!$A$11:$BB$406,46,FALSE)-VLOOKUP($A21,'ПР 01-02.22'!$A$11:$BB$378,46,FALSE)</f>
        <v>104.36954044621635</v>
      </c>
      <c r="AU21" s="5">
        <f>VLOOKUP($A21,'ПР 01-02.21'!$A$11:$BB$406,47,FALSE)+VLOOKUP($A21,'ПР 21-22'!$A$11:$BB$406,47,FALSE)-VLOOKUP($A21,'ПР 01-02.22'!$A$11:$BB$378,47,FALSE)</f>
        <v>0</v>
      </c>
      <c r="AV21" s="40"/>
      <c r="AW21" s="5">
        <f>VLOOKUP($A21,'ПР 01-02.21'!$A$11:$BB$406,49,FALSE)+VLOOKUP($A21,'ПР 21-22'!$A$11:$BB$406,49,FALSE)-VLOOKUP($A21,'ПР 01-02.22'!$A$11:$BB$378,49,FALSE)</f>
        <v>146.95637986154387</v>
      </c>
      <c r="AX21" s="5">
        <f>VLOOKUP($A21,'ПР 01-02.21'!$A$11:$BB$406,50,FALSE)+VLOOKUP($A21,'ПР 21-22'!$A$11:$BB$406,50,FALSE)-VLOOKUP($A21,'ПР 01-02.22'!$A$11:$BB$378,50,FALSE)</f>
        <v>0</v>
      </c>
      <c r="AY21" s="40"/>
      <c r="AZ21" s="40">
        <f t="shared" si="3"/>
        <v>1808.1302307145199</v>
      </c>
      <c r="BA21" s="40">
        <f t="shared" si="3"/>
        <v>745</v>
      </c>
      <c r="BB21" s="55">
        <f t="shared" si="4"/>
        <v>-1063.1302307145199</v>
      </c>
      <c r="BD21" s="2">
        <v>1</v>
      </c>
      <c r="BF21" s="325">
        <v>150000495</v>
      </c>
    </row>
    <row r="22" spans="1:58" ht="24.9" customHeight="1" x14ac:dyDescent="0.3">
      <c r="A22" s="325">
        <v>150000496</v>
      </c>
      <c r="B22" s="445" t="s">
        <v>149</v>
      </c>
      <c r="C22" s="27">
        <v>2</v>
      </c>
      <c r="D22" s="101" t="s">
        <v>455</v>
      </c>
      <c r="E22" s="279">
        <f>'побудинковий звіт'!E20</f>
        <v>403.93</v>
      </c>
      <c r="F22" s="441">
        <f>'побудинковий звіт'!AS20</f>
        <v>4337.1436224806193</v>
      </c>
      <c r="G22" s="441">
        <f t="shared" si="1"/>
        <v>2757.9227081464578</v>
      </c>
      <c r="H22" s="73">
        <f t="shared" si="2"/>
        <v>-1579.2209143341615</v>
      </c>
      <c r="I22" s="5">
        <f>VLOOKUP($A22,'ПР 01-02.21'!$A$11:$BB$406,9,FALSE)+VLOOKUP($A22,'ПР 21-22'!$A$11:$BB$406,9,FALSE)-VLOOKUP($A22,'ПР 01-02.22'!$A$11:$BB$378,9,FALSE)</f>
        <v>0</v>
      </c>
      <c r="J22" s="5">
        <f>VLOOKUP($A22,'ПР 01-02.21'!$A$11:$BB$406,10,FALSE)+VLOOKUP($A22,'ПР 21-22'!$A$11:$BB$406,10,FALSE)-VLOOKUP($A22,'ПР 01-02.22'!$A$11:$BB$378,10,FALSE)</f>
        <v>428</v>
      </c>
      <c r="K22" s="446"/>
      <c r="L22" s="5">
        <f>VLOOKUP($A22,'ПР 01-02.21'!$A$11:$BB$406,12,FALSE)+VLOOKUP($A22,'ПР 21-22'!$A$11:$BB$406,12,FALSE)-VLOOKUP($A22,'ПР 01-02.22'!$A$11:$BB$378,12,FALSE)</f>
        <v>0</v>
      </c>
      <c r="M22" s="5">
        <f>VLOOKUP($A22,'ПР 01-02.21'!$A$11:$BB$406,13,FALSE)+VLOOKUP($A22,'ПР 21-22'!$A$11:$BB$406,13,FALSE)-VLOOKUP($A22,'ПР 01-02.22'!$A$11:$BB$378,13,FALSE)</f>
        <v>0</v>
      </c>
      <c r="N22" s="38"/>
      <c r="O22" s="5">
        <f>VLOOKUP($A22,'ПР 01-02.21'!$A$11:$BB$406,15,FALSE)+VLOOKUP($A22,'ПР 21-22'!$A$11:$BB$406,15,FALSE)-VLOOKUP($A22,'ПР 01-02.22'!$A$11:$BB$378,15,FALSE)</f>
        <v>0</v>
      </c>
      <c r="P22" s="5">
        <f>VLOOKUP($A22,'ПР 01-02.21'!$A$11:$BB$406,16,FALSE)+VLOOKUP($A22,'ПР 21-22'!$A$11:$BB$406,16,FALSE)-VLOOKUP($A22,'ПР 01-02.22'!$A$11:$BB$378,16,FALSE)</f>
        <v>0</v>
      </c>
      <c r="Q22" s="443"/>
      <c r="R22" s="5">
        <f>VLOOKUP($A22,'ПР 01-02.21'!$A$11:$BB$406,18,FALSE)+VLOOKUP($A22,'ПР 21-22'!$A$11:$BB$406,18,FALSE)-VLOOKUP($A22,'ПР 01-02.22'!$A$11:$BB$378,18,FALSE)</f>
        <v>0</v>
      </c>
      <c r="S22" s="5">
        <f>VLOOKUP($A22,'ПР 01-02.21'!$A$11:$BB$406,19,FALSE)+VLOOKUP($A22,'ПР 21-22'!$A$11:$BB$406,19,FALSE)-VLOOKUP($A22,'ПР 01-02.22'!$A$11:$BB$378,19,FALSE)</f>
        <v>0</v>
      </c>
      <c r="T22" s="444"/>
      <c r="U22" s="5">
        <f>VLOOKUP($A22,'ПР 01-02.21'!$A$11:$BB$406,21,FALSE)+VLOOKUP($A22,'ПР 21-22'!$A$11:$BB$406,21,FALSE)-VLOOKUP($A22,'ПР 01-02.22'!$A$11:$BB$378,21,FALSE)</f>
        <v>0</v>
      </c>
      <c r="V22" s="5"/>
      <c r="W22" s="5">
        <f>VLOOKUP($A22,'ПР 01-02.21'!$A$11:$BB$406,23,FALSE)+VLOOKUP($A22,'ПР 21-22'!$A$11:$BB$406,23,FALSE)-VLOOKUP($A22,'ПР 01-02.22'!$A$11:$BB$378,23,FALSE)</f>
        <v>0</v>
      </c>
      <c r="X22" s="5">
        <f>VLOOKUP($A22,'ПР 01-02.21'!$A$11:$BB$406,24,FALSE)+VLOOKUP($A22,'ПР 21-22'!$A$11:$BB$406,24,FALSE)-VLOOKUP($A22,'ПР 01-02.22'!$A$11:$BB$378,24,FALSE)</f>
        <v>55.922708146457822</v>
      </c>
      <c r="Y22" s="5">
        <f>VLOOKUP($A22,'ПР 01-02.21'!$A$11:$BB$406,25,FALSE)+VLOOKUP($A22,'ПР 21-22'!$A$11:$BB$406,25,FALSE)-VLOOKUP($A22,'ПР 01-02.22'!$A$11:$BB$378,25,FALSE)</f>
        <v>0</v>
      </c>
      <c r="Z22" s="5"/>
      <c r="AA22" s="5">
        <f>VLOOKUP($A22,'ПР 01-02.21'!$A$11:$BB$406,27,FALSE)+VLOOKUP($A22,'ПР 21-22'!$A$11:$BB$406,27,FALSE)-VLOOKUP($A22,'ПР 01-02.22'!$A$11:$BB$378,27,FALSE)</f>
        <v>0</v>
      </c>
      <c r="AB22" s="5">
        <f>VLOOKUP($A22,'ПР 01-02.21'!$A$11:$BB$406,28,FALSE)+VLOOKUP($A22,'ПР 21-22'!$A$11:$BB$406,28,FALSE)-VLOOKUP($A22,'ПР 01-02.22'!$A$11:$BB$378,28,FALSE)</f>
        <v>0</v>
      </c>
      <c r="AC22" s="5">
        <f>VLOOKUP($A22,'ПР 01-02.21'!$A$11:$BB$406,29,FALSE)+VLOOKUP($A22,'ПР 21-22'!$A$11:$BB$406,29,FALSE)-VLOOKUP($A22,'ПР 01-02.22'!$A$11:$BB$378,29,FALSE)</f>
        <v>0</v>
      </c>
      <c r="AD22" s="5">
        <f>VLOOKUP($A22,'ПР 01-02.21'!$A$11:$BB$406,30,FALSE)+VLOOKUP($A22,'ПР 21-22'!$A$11:$BB$406,30,FALSE)-VLOOKUP($A22,'ПР 01-02.22'!$A$11:$BB$378,30,FALSE)</f>
        <v>2274</v>
      </c>
      <c r="AE22" s="5">
        <f>VLOOKUP($A22,'ПР 01-02.21'!$A$11:$BB$406,31,FALSE)+VLOOKUP($A22,'ПР 21-22'!$A$11:$BB$406,31,FALSE)-VLOOKUP($A22,'ПР 01-02.22'!$A$11:$BB$378,31,FALSE)</f>
        <v>621.87750721351858</v>
      </c>
      <c r="AF22" s="5">
        <f>VLOOKUP($A22,'ПР 01-02.21'!$A$11:$BB$406,32,FALSE)+VLOOKUP($A22,'ПР 21-22'!$A$11:$BB$406,32,FALSE)-VLOOKUP($A22,'ПР 01-02.22'!$A$11:$BB$378,32,FALSE)</f>
        <v>0</v>
      </c>
      <c r="AG22" s="40"/>
      <c r="AH22" s="5">
        <f>VLOOKUP($A22,'ПР 01-02.21'!$A$11:$BB$406,34,FALSE)+VLOOKUP($A22,'ПР 21-22'!$A$11:$BB$406,34,FALSE)-VLOOKUP($A22,'ПР 01-02.22'!$A$11:$BB$378,34,FALSE)</f>
        <v>776.146256015424</v>
      </c>
      <c r="AI22" s="5">
        <f>VLOOKUP($A22,'ПР 01-02.21'!$A$11:$BB$406,35,FALSE)+VLOOKUP($A22,'ПР 21-22'!$A$11:$BB$406,35,FALSE)-VLOOKUP($A22,'ПР 01-02.22'!$A$11:$BB$378,35,FALSE)</f>
        <v>0</v>
      </c>
      <c r="AJ22" s="40"/>
      <c r="AK22" s="5">
        <f>VLOOKUP($A22,'ПР 01-02.21'!$A$11:$BB$406,37,FALSE)+VLOOKUP($A22,'ПР 21-22'!$A$11:$BB$406,37,FALSE)-VLOOKUP($A22,'ПР 01-02.22'!$A$11:$BB$378,37,FALSE)</f>
        <v>153.46775583785134</v>
      </c>
      <c r="AL22" s="5">
        <f>VLOOKUP($A22,'ПР 01-02.21'!$A$11:$BB$406,38,FALSE)+VLOOKUP($A22,'ПР 21-22'!$A$11:$BB$406,38,FALSE)-VLOOKUP($A22,'ПР 01-02.22'!$A$11:$BB$378,38,FALSE)</f>
        <v>0</v>
      </c>
      <c r="AM22" s="40"/>
      <c r="AN22" s="5">
        <f>VLOOKUP($A22,'ПР 01-02.21'!$A$11:$BB$406,40,FALSE)+VLOOKUP($A22,'ПР 21-22'!$A$11:$BB$406,40,FALSE)-VLOOKUP($A22,'ПР 01-02.22'!$A$11:$BB$378,40,FALSE)</f>
        <v>0</v>
      </c>
      <c r="AO22" s="5">
        <f>VLOOKUP($A22,'ПР 01-02.21'!$A$11:$BB$406,41,FALSE)+VLOOKUP($A22,'ПР 21-22'!$A$11:$BB$406,41,FALSE)-VLOOKUP($A22,'ПР 01-02.22'!$A$11:$BB$378,41,FALSE)</f>
        <v>0</v>
      </c>
      <c r="AP22" s="40"/>
      <c r="AQ22" s="5">
        <f>VLOOKUP($A22,'ПР 01-02.21'!$A$11:$BB$406,43,FALSE)+VLOOKUP($A22,'ПР 21-22'!$A$11:$BB$406,43,FALSE)-VLOOKUP($A22,'ПР 01-02.22'!$A$11:$BB$378,43,FALSE)</f>
        <v>0</v>
      </c>
      <c r="AR22" s="5">
        <f>VLOOKUP($A22,'ПР 01-02.21'!$A$11:$BB$406,44,FALSE)+VLOOKUP($A22,'ПР 21-22'!$A$11:$BB$406,44,FALSE)-VLOOKUP($A22,'ПР 01-02.22'!$A$11:$BB$378,44,FALSE)</f>
        <v>0</v>
      </c>
      <c r="AS22" s="40"/>
      <c r="AT22" s="5">
        <f>VLOOKUP($A22,'ПР 01-02.21'!$A$11:$BB$406,46,FALSE)+VLOOKUP($A22,'ПР 21-22'!$A$11:$BB$406,46,FALSE)-VLOOKUP($A22,'ПР 01-02.22'!$A$11:$BB$378,46,FALSE)</f>
        <v>104.36954044621635</v>
      </c>
      <c r="AU22" s="5">
        <f>VLOOKUP($A22,'ПР 01-02.21'!$A$11:$BB$406,47,FALSE)+VLOOKUP($A22,'ПР 21-22'!$A$11:$BB$406,47,FALSE)-VLOOKUP($A22,'ПР 01-02.22'!$A$11:$BB$378,47,FALSE)</f>
        <v>0</v>
      </c>
      <c r="AV22" s="40"/>
      <c r="AW22" s="5">
        <f>VLOOKUP($A22,'ПР 01-02.21'!$A$11:$BB$406,49,FALSE)+VLOOKUP($A22,'ПР 21-22'!$A$11:$BB$406,49,FALSE)-VLOOKUP($A22,'ПР 01-02.22'!$A$11:$BB$378,49,FALSE)</f>
        <v>143.69551995977008</v>
      </c>
      <c r="AX22" s="5">
        <f>VLOOKUP($A22,'ПР 01-02.21'!$A$11:$BB$406,50,FALSE)+VLOOKUP($A22,'ПР 21-22'!$A$11:$BB$406,50,FALSE)-VLOOKUP($A22,'ПР 01-02.22'!$A$11:$BB$378,50,FALSE)</f>
        <v>0</v>
      </c>
      <c r="AY22" s="40"/>
      <c r="AZ22" s="40">
        <f t="shared" si="3"/>
        <v>1799.5565794727806</v>
      </c>
      <c r="BA22" s="40">
        <f t="shared" si="3"/>
        <v>0</v>
      </c>
      <c r="BB22" s="55">
        <f t="shared" si="4"/>
        <v>-1799.5565794727806</v>
      </c>
      <c r="BD22" s="2">
        <v>1</v>
      </c>
      <c r="BF22" s="325">
        <v>150000496</v>
      </c>
    </row>
    <row r="23" spans="1:58" ht="24.9" customHeight="1" x14ac:dyDescent="0.3">
      <c r="A23" s="325">
        <v>150000498</v>
      </c>
      <c r="B23" s="445" t="s">
        <v>242</v>
      </c>
      <c r="C23" s="27">
        <v>5</v>
      </c>
      <c r="D23" s="101" t="s">
        <v>455</v>
      </c>
      <c r="E23" s="279">
        <f>'побудинковий звіт'!E21</f>
        <v>4890.7</v>
      </c>
      <c r="F23" s="441">
        <f>'побудинковий звіт'!AS21</f>
        <v>36652.052407346935</v>
      </c>
      <c r="G23" s="441">
        <f t="shared" si="1"/>
        <v>138772.0861672801</v>
      </c>
      <c r="H23" s="73">
        <f t="shared" si="2"/>
        <v>102120.03375993317</v>
      </c>
      <c r="I23" s="5">
        <f>VLOOKUP($A23,'ПР 01-02.21'!$A$11:$BB$406,9,FALSE)+VLOOKUP($A23,'ПР 21-22'!$A$11:$BB$406,9,FALSE)-VLOOKUP($A23,'ПР 01-02.22'!$A$11:$BB$378,9,FALSE)</f>
        <v>34.700000000000003</v>
      </c>
      <c r="J23" s="5">
        <f>VLOOKUP($A23,'ПР 01-02.21'!$A$11:$BB$406,10,FALSE)+VLOOKUP($A23,'ПР 21-22'!$A$11:$BB$406,10,FALSE)-VLOOKUP($A23,'ПР 01-02.22'!$A$11:$BB$378,10,FALSE)</f>
        <v>6801</v>
      </c>
      <c r="K23" s="450"/>
      <c r="L23" s="5">
        <f>VLOOKUP($A23,'ПР 01-02.21'!$A$11:$BB$406,12,FALSE)+VLOOKUP($A23,'ПР 21-22'!$A$11:$BB$406,12,FALSE)-VLOOKUP($A23,'ПР 01-02.22'!$A$11:$BB$378,12,FALSE)</f>
        <v>0</v>
      </c>
      <c r="M23" s="5">
        <f>VLOOKUP($A23,'ПР 01-02.21'!$A$11:$BB$406,13,FALSE)+VLOOKUP($A23,'ПР 21-22'!$A$11:$BB$406,13,FALSE)-VLOOKUP($A23,'ПР 01-02.22'!$A$11:$BB$378,13,FALSE)</f>
        <v>0</v>
      </c>
      <c r="N23" s="38"/>
      <c r="O23" s="5">
        <f>VLOOKUP($A23,'ПР 01-02.21'!$A$11:$BB$406,15,FALSE)+VLOOKUP($A23,'ПР 21-22'!$A$11:$BB$406,15,FALSE)-VLOOKUP($A23,'ПР 01-02.22'!$A$11:$BB$378,15,FALSE)</f>
        <v>0</v>
      </c>
      <c r="P23" s="5">
        <f>VLOOKUP($A23,'ПР 01-02.21'!$A$11:$BB$406,16,FALSE)+VLOOKUP($A23,'ПР 21-22'!$A$11:$BB$406,16,FALSE)-VLOOKUP($A23,'ПР 01-02.22'!$A$11:$BB$378,16,FALSE)</f>
        <v>0</v>
      </c>
      <c r="Q23" s="443"/>
      <c r="R23" s="5">
        <f>VLOOKUP($A23,'ПР 01-02.21'!$A$11:$BB$406,18,FALSE)+VLOOKUP($A23,'ПР 21-22'!$A$11:$BB$406,18,FALSE)-VLOOKUP($A23,'ПР 01-02.22'!$A$11:$BB$378,18,FALSE)</f>
        <v>0</v>
      </c>
      <c r="S23" s="5">
        <f>VLOOKUP($A23,'ПР 01-02.21'!$A$11:$BB$406,19,FALSE)+VLOOKUP($A23,'ПР 21-22'!$A$11:$BB$406,19,FALSE)-VLOOKUP($A23,'ПР 01-02.22'!$A$11:$BB$378,19,FALSE)</f>
        <v>0</v>
      </c>
      <c r="T23" s="444"/>
      <c r="U23" s="5">
        <f>VLOOKUP($A23,'ПР 01-02.21'!$A$11:$BB$406,21,FALSE)+VLOOKUP($A23,'ПР 21-22'!$A$11:$BB$406,21,FALSE)-VLOOKUP($A23,'ПР 01-02.22'!$A$11:$BB$378,21,FALSE)</f>
        <v>0</v>
      </c>
      <c r="V23" s="5"/>
      <c r="W23" s="5">
        <f>VLOOKUP($A23,'ПР 01-02.21'!$A$11:$BB$406,23,FALSE)+VLOOKUP($A23,'ПР 21-22'!$A$11:$BB$406,23,FALSE)-VLOOKUP($A23,'ПР 01-02.22'!$A$11:$BB$378,23,FALSE)</f>
        <v>0</v>
      </c>
      <c r="X23" s="5">
        <f>VLOOKUP($A23,'ПР 01-02.21'!$A$11:$BB$406,24,FALSE)+VLOOKUP($A23,'ПР 21-22'!$A$11:$BB$406,24,FALSE)-VLOOKUP($A23,'ПР 01-02.22'!$A$11:$BB$378,24,FALSE)</f>
        <v>352.08616728008525</v>
      </c>
      <c r="Y23" s="5">
        <f>VLOOKUP($A23,'ПР 01-02.21'!$A$11:$BB$406,25,FALSE)+VLOOKUP($A23,'ПР 21-22'!$A$11:$BB$406,25,FALSE)-VLOOKUP($A23,'ПР 01-02.22'!$A$11:$BB$378,25,FALSE)</f>
        <v>1972</v>
      </c>
      <c r="Z23" s="5"/>
      <c r="AA23" s="5">
        <f>VLOOKUP($A23,'ПР 01-02.21'!$A$11:$BB$406,27,FALSE)+VLOOKUP($A23,'ПР 21-22'!$A$11:$BB$406,27,FALSE)-VLOOKUP($A23,'ПР 01-02.22'!$A$11:$BB$378,27,FALSE)</f>
        <v>126705</v>
      </c>
      <c r="AB23" s="5">
        <f>VLOOKUP($A23,'ПР 01-02.21'!$A$11:$BB$406,28,FALSE)+VLOOKUP($A23,'ПР 21-22'!$A$11:$BB$406,28,FALSE)-VLOOKUP($A23,'ПР 01-02.22'!$A$11:$BB$378,28,FALSE)</f>
        <v>0</v>
      </c>
      <c r="AC23" s="5">
        <f>VLOOKUP($A23,'ПР 01-02.21'!$A$11:$BB$406,29,FALSE)+VLOOKUP($A23,'ПР 21-22'!$A$11:$BB$406,29,FALSE)-VLOOKUP($A23,'ПР 01-02.22'!$A$11:$BB$378,29,FALSE)</f>
        <v>0</v>
      </c>
      <c r="AD23" s="5">
        <f>VLOOKUP($A23,'ПР 01-02.21'!$A$11:$BB$406,30,FALSE)+VLOOKUP($A23,'ПР 21-22'!$A$11:$BB$406,30,FALSE)-VLOOKUP($A23,'ПР 01-02.22'!$A$11:$BB$378,30,FALSE)</f>
        <v>2942</v>
      </c>
      <c r="AE23" s="5">
        <f>VLOOKUP($A23,'ПР 01-02.21'!$A$11:$BB$406,31,FALSE)+VLOOKUP($A23,'ПР 21-22'!$A$11:$BB$406,31,FALSE)-VLOOKUP($A23,'ПР 01-02.22'!$A$11:$BB$378,31,FALSE)</f>
        <v>4388.8936992992776</v>
      </c>
      <c r="AF23" s="5">
        <f>VLOOKUP($A23,'ПР 01-02.21'!$A$11:$BB$406,32,FALSE)+VLOOKUP($A23,'ПР 21-22'!$A$11:$BB$406,32,FALSE)-VLOOKUP($A23,'ПР 01-02.22'!$A$11:$BB$378,32,FALSE)</f>
        <v>2166</v>
      </c>
      <c r="AG23" s="40"/>
      <c r="AH23" s="5">
        <f>VLOOKUP($A23,'ПР 01-02.21'!$A$11:$BB$406,34,FALSE)+VLOOKUP($A23,'ПР 21-22'!$A$11:$BB$406,34,FALSE)-VLOOKUP($A23,'ПР 01-02.22'!$A$11:$BB$378,34,FALSE)</f>
        <v>6236.4986804403852</v>
      </c>
      <c r="AI23" s="5">
        <f>VLOOKUP($A23,'ПР 01-02.21'!$A$11:$BB$406,35,FALSE)+VLOOKUP($A23,'ПР 21-22'!$A$11:$BB$406,35,FALSE)-VLOOKUP($A23,'ПР 01-02.22'!$A$11:$BB$378,35,FALSE)</f>
        <v>1329</v>
      </c>
      <c r="AJ23" s="40"/>
      <c r="AK23" s="5">
        <f>VLOOKUP($A23,'ПР 01-02.21'!$A$11:$BB$406,37,FALSE)+VLOOKUP($A23,'ПР 21-22'!$A$11:$BB$406,37,FALSE)-VLOOKUP($A23,'ПР 01-02.22'!$A$11:$BB$378,37,FALSE)</f>
        <v>2228.616449906131</v>
      </c>
      <c r="AL23" s="5">
        <f>VLOOKUP($A23,'ПР 01-02.21'!$A$11:$BB$406,38,FALSE)+VLOOKUP($A23,'ПР 21-22'!$A$11:$BB$406,38,FALSE)-VLOOKUP($A23,'ПР 01-02.22'!$A$11:$BB$378,38,FALSE)</f>
        <v>4578.05</v>
      </c>
      <c r="AM23" s="40"/>
      <c r="AN23" s="5">
        <f>VLOOKUP($A23,'ПР 01-02.21'!$A$11:$BB$406,40,FALSE)+VLOOKUP($A23,'ПР 21-22'!$A$11:$BB$406,40,FALSE)-VLOOKUP($A23,'ПР 01-02.22'!$A$11:$BB$378,40,FALSE)</f>
        <v>0</v>
      </c>
      <c r="AO23" s="5">
        <f>VLOOKUP($A23,'ПР 01-02.21'!$A$11:$BB$406,41,FALSE)+VLOOKUP($A23,'ПР 21-22'!$A$11:$BB$406,41,FALSE)-VLOOKUP($A23,'ПР 01-02.22'!$A$11:$BB$378,41,FALSE)</f>
        <v>0</v>
      </c>
      <c r="AP23" s="40"/>
      <c r="AQ23" s="5">
        <f>VLOOKUP($A23,'ПР 01-02.21'!$A$11:$BB$406,43,FALSE)+VLOOKUP($A23,'ПР 21-22'!$A$11:$BB$406,43,FALSE)-VLOOKUP($A23,'ПР 01-02.22'!$A$11:$BB$378,43,FALSE)</f>
        <v>0</v>
      </c>
      <c r="AR23" s="5">
        <f>VLOOKUP($A23,'ПР 01-02.21'!$A$11:$BB$406,44,FALSE)+VLOOKUP($A23,'ПР 21-22'!$A$11:$BB$406,44,FALSE)-VLOOKUP($A23,'ПР 01-02.22'!$A$11:$BB$378,44,FALSE)</f>
        <v>0</v>
      </c>
      <c r="AS23" s="40"/>
      <c r="AT23" s="5">
        <f>VLOOKUP($A23,'ПР 01-02.21'!$A$11:$BB$406,46,FALSE)+VLOOKUP($A23,'ПР 21-22'!$A$11:$BB$406,46,FALSE)-VLOOKUP($A23,'ПР 01-02.22'!$A$11:$BB$378,46,FALSE)</f>
        <v>4048.8591031373926</v>
      </c>
      <c r="AU23" s="5">
        <f>VLOOKUP($A23,'ПР 01-02.21'!$A$11:$BB$406,47,FALSE)+VLOOKUP($A23,'ПР 21-22'!$A$11:$BB$406,47,FALSE)-VLOOKUP($A23,'ПР 01-02.22'!$A$11:$BB$378,47,FALSE)</f>
        <v>10612</v>
      </c>
      <c r="AV23" s="40"/>
      <c r="AW23" s="5">
        <f>VLOOKUP($A23,'ПР 01-02.21'!$A$11:$BB$406,49,FALSE)+VLOOKUP($A23,'ПР 21-22'!$A$11:$BB$406,49,FALSE)-VLOOKUP($A23,'ПР 01-02.22'!$A$11:$BB$378,49,FALSE)</f>
        <v>842.12361289453202</v>
      </c>
      <c r="AX23" s="5">
        <f>VLOOKUP($A23,'ПР 01-02.21'!$A$11:$BB$406,50,FALSE)+VLOOKUP($A23,'ПР 21-22'!$A$11:$BB$406,50,FALSE)-VLOOKUP($A23,'ПР 01-02.22'!$A$11:$BB$378,50,FALSE)</f>
        <v>0</v>
      </c>
      <c r="AY23" s="40"/>
      <c r="AZ23" s="40">
        <f t="shared" si="3"/>
        <v>17744.991545677716</v>
      </c>
      <c r="BA23" s="40">
        <f t="shared" si="3"/>
        <v>18685.05</v>
      </c>
      <c r="BB23" s="55">
        <f t="shared" si="4"/>
        <v>940.05845432228307</v>
      </c>
      <c r="BD23" s="2">
        <v>1</v>
      </c>
      <c r="BF23" s="325">
        <v>150000498</v>
      </c>
    </row>
    <row r="24" spans="1:58" ht="24.9" customHeight="1" x14ac:dyDescent="0.3">
      <c r="A24" s="325">
        <v>150000969</v>
      </c>
      <c r="B24" s="445" t="s">
        <v>193</v>
      </c>
      <c r="C24" s="27">
        <v>3</v>
      </c>
      <c r="D24" s="101" t="s">
        <v>455</v>
      </c>
      <c r="E24" s="279">
        <f>'побудинковий звіт'!E22</f>
        <v>753.3</v>
      </c>
      <c r="F24" s="441">
        <f>'побудинковий звіт'!AS22</f>
        <v>7872.1043866805621</v>
      </c>
      <c r="G24" s="441">
        <f t="shared" si="1"/>
        <v>6371.75</v>
      </c>
      <c r="H24" s="73">
        <f t="shared" si="2"/>
        <v>-1500.3543866805621</v>
      </c>
      <c r="I24" s="5">
        <f>VLOOKUP($A24,'ПР 01-02.21'!$A$11:$BB$406,9,FALSE)+VLOOKUP($A24,'ПР 21-22'!$A$11:$BB$406,9,FALSE)-VLOOKUP($A24,'ПР 01-02.22'!$A$11:$BB$378,9,FALSE)</f>
        <v>0</v>
      </c>
      <c r="J24" s="5">
        <f>VLOOKUP($A24,'ПР 01-02.21'!$A$11:$BB$406,10,FALSE)+VLOOKUP($A24,'ПР 21-22'!$A$11:$BB$406,10,FALSE)-VLOOKUP($A24,'ПР 01-02.22'!$A$11:$BB$378,10,FALSE)</f>
        <v>0</v>
      </c>
      <c r="K24" s="446"/>
      <c r="L24" s="5">
        <f>VLOOKUP($A24,'ПР 01-02.21'!$A$11:$BB$406,12,FALSE)+VLOOKUP($A24,'ПР 21-22'!$A$11:$BB$406,12,FALSE)-VLOOKUP($A24,'ПР 01-02.22'!$A$11:$BB$378,12,FALSE)</f>
        <v>0</v>
      </c>
      <c r="M24" s="5">
        <f>VLOOKUP($A24,'ПР 01-02.21'!$A$11:$BB$406,13,FALSE)+VLOOKUP($A24,'ПР 21-22'!$A$11:$BB$406,13,FALSE)-VLOOKUP($A24,'ПР 01-02.22'!$A$11:$BB$378,13,FALSE)</f>
        <v>0</v>
      </c>
      <c r="N24" s="38"/>
      <c r="O24" s="5">
        <f>VLOOKUP($A24,'ПР 01-02.21'!$A$11:$BB$406,15,FALSE)+VLOOKUP($A24,'ПР 21-22'!$A$11:$BB$406,15,FALSE)-VLOOKUP($A24,'ПР 01-02.22'!$A$11:$BB$378,15,FALSE)</f>
        <v>0</v>
      </c>
      <c r="P24" s="5">
        <f>VLOOKUP($A24,'ПР 01-02.21'!$A$11:$BB$406,16,FALSE)+VLOOKUP($A24,'ПР 21-22'!$A$11:$BB$406,16,FALSE)-VLOOKUP($A24,'ПР 01-02.22'!$A$11:$BB$378,16,FALSE)</f>
        <v>0</v>
      </c>
      <c r="Q24" s="443"/>
      <c r="R24" s="5">
        <f>VLOOKUP($A24,'ПР 01-02.21'!$A$11:$BB$406,18,FALSE)+VLOOKUP($A24,'ПР 21-22'!$A$11:$BB$406,18,FALSE)-VLOOKUP($A24,'ПР 01-02.22'!$A$11:$BB$378,18,FALSE)</f>
        <v>0</v>
      </c>
      <c r="S24" s="5">
        <f>VLOOKUP($A24,'ПР 01-02.21'!$A$11:$BB$406,19,FALSE)+VLOOKUP($A24,'ПР 21-22'!$A$11:$BB$406,19,FALSE)-VLOOKUP($A24,'ПР 01-02.22'!$A$11:$BB$378,19,FALSE)</f>
        <v>0</v>
      </c>
      <c r="T24" s="444"/>
      <c r="U24" s="5">
        <f>VLOOKUP($A24,'ПР 01-02.21'!$A$11:$BB$406,21,FALSE)+VLOOKUP($A24,'ПР 21-22'!$A$11:$BB$406,21,FALSE)-VLOOKUP($A24,'ПР 01-02.22'!$A$11:$BB$378,21,FALSE)</f>
        <v>0</v>
      </c>
      <c r="V24" s="5"/>
      <c r="W24" s="5">
        <f>VLOOKUP($A24,'ПР 01-02.21'!$A$11:$BB$406,23,FALSE)+VLOOKUP($A24,'ПР 21-22'!$A$11:$BB$406,23,FALSE)-VLOOKUP($A24,'ПР 01-02.22'!$A$11:$BB$378,23,FALSE)</f>
        <v>0</v>
      </c>
      <c r="X24" s="5">
        <f>VLOOKUP($A24,'ПР 01-02.21'!$A$11:$BB$406,24,FALSE)+VLOOKUP($A24,'ПР 21-22'!$A$11:$BB$406,24,FALSE)-VLOOKUP($A24,'ПР 01-02.22'!$A$11:$BB$378,24,FALSE)</f>
        <v>1199.75</v>
      </c>
      <c r="Y24" s="5">
        <f>VLOOKUP($A24,'ПР 01-02.21'!$A$11:$BB$406,25,FALSE)+VLOOKUP($A24,'ПР 21-22'!$A$11:$BB$406,25,FALSE)-VLOOKUP($A24,'ПР 01-02.22'!$A$11:$BB$378,25,FALSE)</f>
        <v>5172</v>
      </c>
      <c r="Z24" s="5"/>
      <c r="AA24" s="5">
        <f>VLOOKUP($A24,'ПР 01-02.21'!$A$11:$BB$406,27,FALSE)+VLOOKUP($A24,'ПР 21-22'!$A$11:$BB$406,27,FALSE)-VLOOKUP($A24,'ПР 01-02.22'!$A$11:$BB$378,27,FALSE)</f>
        <v>0</v>
      </c>
      <c r="AB24" s="5">
        <f>VLOOKUP($A24,'ПР 01-02.21'!$A$11:$BB$406,28,FALSE)+VLOOKUP($A24,'ПР 21-22'!$A$11:$BB$406,28,FALSE)-VLOOKUP($A24,'ПР 01-02.22'!$A$11:$BB$378,28,FALSE)</f>
        <v>0</v>
      </c>
      <c r="AC24" s="5">
        <f>VLOOKUP($A24,'ПР 01-02.21'!$A$11:$BB$406,29,FALSE)+VLOOKUP($A24,'ПР 21-22'!$A$11:$BB$406,29,FALSE)-VLOOKUP($A24,'ПР 01-02.22'!$A$11:$BB$378,29,FALSE)</f>
        <v>0</v>
      </c>
      <c r="AD24" s="5">
        <f>VLOOKUP($A24,'ПР 01-02.21'!$A$11:$BB$406,30,FALSE)+VLOOKUP($A24,'ПР 21-22'!$A$11:$BB$406,30,FALSE)-VLOOKUP($A24,'ПР 01-02.22'!$A$11:$BB$378,30,FALSE)</f>
        <v>0</v>
      </c>
      <c r="AE24" s="5">
        <f>VLOOKUP($A24,'ПР 01-02.21'!$A$11:$BB$406,31,FALSE)+VLOOKUP($A24,'ПР 21-22'!$A$11:$BB$406,31,FALSE)-VLOOKUP($A24,'ПР 01-02.22'!$A$11:$BB$378,31,FALSE)</f>
        <v>958.07362051340783</v>
      </c>
      <c r="AF24" s="5">
        <f>VLOOKUP($A24,'ПР 01-02.21'!$A$11:$BB$406,32,FALSE)+VLOOKUP($A24,'ПР 21-22'!$A$11:$BB$406,32,FALSE)-VLOOKUP($A24,'ПР 01-02.22'!$A$11:$BB$378,32,FALSE)</f>
        <v>0</v>
      </c>
      <c r="AG24" s="40"/>
      <c r="AH24" s="5">
        <f>VLOOKUP($A24,'ПР 01-02.21'!$A$11:$BB$406,34,FALSE)+VLOOKUP($A24,'ПР 21-22'!$A$11:$BB$406,34,FALSE)-VLOOKUP($A24,'ПР 01-02.22'!$A$11:$BB$378,34,FALSE)</f>
        <v>1385.7773249722454</v>
      </c>
      <c r="AI24" s="5">
        <f>VLOOKUP($A24,'ПР 01-02.21'!$A$11:$BB$406,35,FALSE)+VLOOKUP($A24,'ПР 21-22'!$A$11:$BB$406,35,FALSE)-VLOOKUP($A24,'ПР 01-02.22'!$A$11:$BB$378,35,FALSE)</f>
        <v>0</v>
      </c>
      <c r="AJ24" s="40"/>
      <c r="AK24" s="5">
        <f>VLOOKUP($A24,'ПР 01-02.21'!$A$11:$BB$406,37,FALSE)+VLOOKUP($A24,'ПР 21-22'!$A$11:$BB$406,37,FALSE)-VLOOKUP($A24,'ПР 01-02.22'!$A$11:$BB$378,37,FALSE)</f>
        <v>348.77423555883865</v>
      </c>
      <c r="AL24" s="5">
        <f>VLOOKUP($A24,'ПР 01-02.21'!$A$11:$BB$406,38,FALSE)+VLOOKUP($A24,'ПР 21-22'!$A$11:$BB$406,38,FALSE)-VLOOKUP($A24,'ПР 01-02.22'!$A$11:$BB$378,38,FALSE)</f>
        <v>0</v>
      </c>
      <c r="AM24" s="40"/>
      <c r="AN24" s="5">
        <f>VLOOKUP($A24,'ПР 01-02.21'!$A$11:$BB$406,40,FALSE)+VLOOKUP($A24,'ПР 21-22'!$A$11:$BB$406,40,FALSE)-VLOOKUP($A24,'ПР 01-02.22'!$A$11:$BB$378,40,FALSE)</f>
        <v>0</v>
      </c>
      <c r="AO24" s="5">
        <f>VLOOKUP($A24,'ПР 01-02.21'!$A$11:$BB$406,41,FALSE)+VLOOKUP($A24,'ПР 21-22'!$A$11:$BB$406,41,FALSE)-VLOOKUP($A24,'ПР 01-02.22'!$A$11:$BB$378,41,FALSE)</f>
        <v>0</v>
      </c>
      <c r="AP24" s="40"/>
      <c r="AQ24" s="5">
        <f>VLOOKUP($A24,'ПР 01-02.21'!$A$11:$BB$406,43,FALSE)+VLOOKUP($A24,'ПР 21-22'!$A$11:$BB$406,43,FALSE)-VLOOKUP($A24,'ПР 01-02.22'!$A$11:$BB$378,43,FALSE)</f>
        <v>0</v>
      </c>
      <c r="AR24" s="5">
        <f>VLOOKUP($A24,'ПР 01-02.21'!$A$11:$BB$406,44,FALSE)+VLOOKUP($A24,'ПР 21-22'!$A$11:$BB$406,44,FALSE)-VLOOKUP($A24,'ПР 01-02.22'!$A$11:$BB$378,44,FALSE)</f>
        <v>0</v>
      </c>
      <c r="AS24" s="40"/>
      <c r="AT24" s="5">
        <f>VLOOKUP($A24,'ПР 01-02.21'!$A$11:$BB$406,46,FALSE)+VLOOKUP($A24,'ПР 21-22'!$A$11:$BB$406,46,FALSE)-VLOOKUP($A24,'ПР 01-02.22'!$A$11:$BB$378,46,FALSE)</f>
        <v>360.10162339865252</v>
      </c>
      <c r="AU24" s="5">
        <f>VLOOKUP($A24,'ПР 01-02.21'!$A$11:$BB$406,47,FALSE)+VLOOKUP($A24,'ПР 21-22'!$A$11:$BB$406,47,FALSE)-VLOOKUP($A24,'ПР 01-02.22'!$A$11:$BB$378,47,FALSE)</f>
        <v>0</v>
      </c>
      <c r="AV24" s="40"/>
      <c r="AW24" s="5">
        <f>VLOOKUP($A24,'ПР 01-02.21'!$A$11:$BB$406,49,FALSE)+VLOOKUP($A24,'ПР 21-22'!$A$11:$BB$406,49,FALSE)-VLOOKUP($A24,'ПР 01-02.22'!$A$11:$BB$378,49,FALSE)</f>
        <v>38.08</v>
      </c>
      <c r="AX24" s="5">
        <f>VLOOKUP($A24,'ПР 01-02.21'!$A$11:$BB$406,50,FALSE)+VLOOKUP($A24,'ПР 21-22'!$A$11:$BB$406,50,FALSE)-VLOOKUP($A24,'ПР 01-02.22'!$A$11:$BB$378,50,FALSE)</f>
        <v>0</v>
      </c>
      <c r="AY24" s="40"/>
      <c r="AZ24" s="40">
        <f t="shared" si="3"/>
        <v>3090.8068044431443</v>
      </c>
      <c r="BA24" s="40">
        <f t="shared" si="3"/>
        <v>0</v>
      </c>
      <c r="BB24" s="55">
        <f t="shared" si="4"/>
        <v>-3090.8068044431443</v>
      </c>
      <c r="BD24" s="2">
        <v>2</v>
      </c>
      <c r="BF24" s="325">
        <v>150000969</v>
      </c>
    </row>
    <row r="25" spans="1:58" ht="24.9" customHeight="1" x14ac:dyDescent="0.3">
      <c r="A25" s="325">
        <v>150000989</v>
      </c>
      <c r="B25" s="445" t="s">
        <v>38</v>
      </c>
      <c r="C25" s="27">
        <v>1</v>
      </c>
      <c r="D25" s="101" t="s">
        <v>455</v>
      </c>
      <c r="E25" s="279">
        <f>'побудинковий звіт'!E23</f>
        <v>256.91000000000003</v>
      </c>
      <c r="F25" s="441">
        <f>'побудинковий звіт'!AS23</f>
        <v>2104.7729876945978</v>
      </c>
      <c r="G25" s="441">
        <f t="shared" si="1"/>
        <v>2126</v>
      </c>
      <c r="H25" s="73">
        <f t="shared" si="2"/>
        <v>21.227012305402241</v>
      </c>
      <c r="I25" s="5">
        <f>VLOOKUP($A25,'ПР 01-02.21'!$A$11:$BB$406,9,FALSE)+VLOOKUP($A25,'ПР 21-22'!$A$11:$BB$406,9,FALSE)-VLOOKUP($A25,'ПР 01-02.22'!$A$11:$BB$378,9,FALSE)</f>
        <v>10</v>
      </c>
      <c r="J25" s="5">
        <f>VLOOKUP($A25,'ПР 01-02.21'!$A$11:$BB$406,10,FALSE)+VLOOKUP($A25,'ПР 21-22'!$A$11:$BB$406,10,FALSE)-VLOOKUP($A25,'ПР 01-02.22'!$A$11:$BB$378,10,FALSE)</f>
        <v>2126</v>
      </c>
      <c r="K25" s="446"/>
      <c r="L25" s="5">
        <f>VLOOKUP($A25,'ПР 01-02.21'!$A$11:$BB$406,12,FALSE)+VLOOKUP($A25,'ПР 21-22'!$A$11:$BB$406,12,FALSE)-VLOOKUP($A25,'ПР 01-02.22'!$A$11:$BB$378,12,FALSE)</f>
        <v>0</v>
      </c>
      <c r="M25" s="5">
        <f>VLOOKUP($A25,'ПР 01-02.21'!$A$11:$BB$406,13,FALSE)+VLOOKUP($A25,'ПР 21-22'!$A$11:$BB$406,13,FALSE)-VLOOKUP($A25,'ПР 01-02.22'!$A$11:$BB$378,13,FALSE)</f>
        <v>0</v>
      </c>
      <c r="N25" s="38"/>
      <c r="O25" s="5">
        <f>VLOOKUP($A25,'ПР 01-02.21'!$A$11:$BB$406,15,FALSE)+VLOOKUP($A25,'ПР 21-22'!$A$11:$BB$406,15,FALSE)-VLOOKUP($A25,'ПР 01-02.22'!$A$11:$BB$378,15,FALSE)</f>
        <v>0</v>
      </c>
      <c r="P25" s="5">
        <f>VLOOKUP($A25,'ПР 01-02.21'!$A$11:$BB$406,16,FALSE)+VLOOKUP($A25,'ПР 21-22'!$A$11:$BB$406,16,FALSE)-VLOOKUP($A25,'ПР 01-02.22'!$A$11:$BB$378,16,FALSE)</f>
        <v>0</v>
      </c>
      <c r="Q25" s="443"/>
      <c r="R25" s="5">
        <f>VLOOKUP($A25,'ПР 01-02.21'!$A$11:$BB$406,18,FALSE)+VLOOKUP($A25,'ПР 21-22'!$A$11:$BB$406,18,FALSE)-VLOOKUP($A25,'ПР 01-02.22'!$A$11:$BB$378,18,FALSE)</f>
        <v>0</v>
      </c>
      <c r="S25" s="5">
        <f>VLOOKUP($A25,'ПР 01-02.21'!$A$11:$BB$406,19,FALSE)+VLOOKUP($A25,'ПР 21-22'!$A$11:$BB$406,19,FALSE)-VLOOKUP($A25,'ПР 01-02.22'!$A$11:$BB$378,19,FALSE)</f>
        <v>0</v>
      </c>
      <c r="T25" s="444"/>
      <c r="U25" s="5">
        <f>VLOOKUP($A25,'ПР 01-02.21'!$A$11:$BB$406,21,FALSE)+VLOOKUP($A25,'ПР 21-22'!$A$11:$BB$406,21,FALSE)-VLOOKUP($A25,'ПР 01-02.22'!$A$11:$BB$378,21,FALSE)</f>
        <v>0</v>
      </c>
      <c r="V25" s="5"/>
      <c r="W25" s="5">
        <f>VLOOKUP($A25,'ПР 01-02.21'!$A$11:$BB$406,23,FALSE)+VLOOKUP($A25,'ПР 21-22'!$A$11:$BB$406,23,FALSE)-VLOOKUP($A25,'ПР 01-02.22'!$A$11:$BB$378,23,FALSE)</f>
        <v>0</v>
      </c>
      <c r="X25" s="5">
        <f>VLOOKUP($A25,'ПР 01-02.21'!$A$11:$BB$406,24,FALSE)+VLOOKUP($A25,'ПР 21-22'!$A$11:$BB$406,24,FALSE)-VLOOKUP($A25,'ПР 01-02.22'!$A$11:$BB$378,24,FALSE)</f>
        <v>0</v>
      </c>
      <c r="Y25" s="5">
        <f>VLOOKUP($A25,'ПР 01-02.21'!$A$11:$BB$406,25,FALSE)+VLOOKUP($A25,'ПР 21-22'!$A$11:$BB$406,25,FALSE)-VLOOKUP($A25,'ПР 01-02.22'!$A$11:$BB$378,25,FALSE)</f>
        <v>0</v>
      </c>
      <c r="Z25" s="5"/>
      <c r="AA25" s="5">
        <f>VLOOKUP($A25,'ПР 01-02.21'!$A$11:$BB$406,27,FALSE)+VLOOKUP($A25,'ПР 21-22'!$A$11:$BB$406,27,FALSE)-VLOOKUP($A25,'ПР 01-02.22'!$A$11:$BB$378,27,FALSE)</f>
        <v>0</v>
      </c>
      <c r="AB25" s="5">
        <f>VLOOKUP($A25,'ПР 01-02.21'!$A$11:$BB$406,28,FALSE)+VLOOKUP($A25,'ПР 21-22'!$A$11:$BB$406,28,FALSE)-VLOOKUP($A25,'ПР 01-02.22'!$A$11:$BB$378,28,FALSE)</f>
        <v>0</v>
      </c>
      <c r="AC25" s="5">
        <f>VLOOKUP($A25,'ПР 01-02.21'!$A$11:$BB$406,29,FALSE)+VLOOKUP($A25,'ПР 21-22'!$A$11:$BB$406,29,FALSE)-VLOOKUP($A25,'ПР 01-02.22'!$A$11:$BB$378,29,FALSE)</f>
        <v>0</v>
      </c>
      <c r="AD25" s="5">
        <f>VLOOKUP($A25,'ПР 01-02.21'!$A$11:$BB$406,30,FALSE)+VLOOKUP($A25,'ПР 21-22'!$A$11:$BB$406,30,FALSE)-VLOOKUP($A25,'ПР 01-02.22'!$A$11:$BB$378,30,FALSE)</f>
        <v>0</v>
      </c>
      <c r="AE25" s="5">
        <f>VLOOKUP($A25,'ПР 01-02.21'!$A$11:$BB$406,31,FALSE)+VLOOKUP($A25,'ПР 21-22'!$A$11:$BB$406,31,FALSE)-VLOOKUP($A25,'ПР 01-02.22'!$A$11:$BB$378,31,FALSE)</f>
        <v>0</v>
      </c>
      <c r="AF25" s="5">
        <f>VLOOKUP($A25,'ПР 01-02.21'!$A$11:$BB$406,32,FALSE)+VLOOKUP($A25,'ПР 21-22'!$A$11:$BB$406,32,FALSE)-VLOOKUP($A25,'ПР 01-02.22'!$A$11:$BB$378,32,FALSE)</f>
        <v>0</v>
      </c>
      <c r="AG25" s="40"/>
      <c r="AH25" s="5">
        <f>VLOOKUP($A25,'ПР 01-02.21'!$A$11:$BB$406,34,FALSE)+VLOOKUP($A25,'ПР 21-22'!$A$11:$BB$406,34,FALSE)-VLOOKUP($A25,'ПР 01-02.22'!$A$11:$BB$378,34,FALSE)</f>
        <v>0</v>
      </c>
      <c r="AI25" s="5">
        <f>VLOOKUP($A25,'ПР 01-02.21'!$A$11:$BB$406,35,FALSE)+VLOOKUP($A25,'ПР 21-22'!$A$11:$BB$406,35,FALSE)-VLOOKUP($A25,'ПР 01-02.22'!$A$11:$BB$378,35,FALSE)</f>
        <v>0</v>
      </c>
      <c r="AJ25" s="40"/>
      <c r="AK25" s="5">
        <f>VLOOKUP($A25,'ПР 01-02.21'!$A$11:$BB$406,37,FALSE)+VLOOKUP($A25,'ПР 21-22'!$A$11:$BB$406,37,FALSE)-VLOOKUP($A25,'ПР 01-02.22'!$A$11:$BB$378,37,FALSE)</f>
        <v>0</v>
      </c>
      <c r="AL25" s="5">
        <f>VLOOKUP($A25,'ПР 01-02.21'!$A$11:$BB$406,38,FALSE)+VLOOKUP($A25,'ПР 21-22'!$A$11:$BB$406,38,FALSE)-VLOOKUP($A25,'ПР 01-02.22'!$A$11:$BB$378,38,FALSE)</f>
        <v>0</v>
      </c>
      <c r="AM25" s="40"/>
      <c r="AN25" s="5">
        <f>VLOOKUP($A25,'ПР 01-02.21'!$A$11:$BB$406,40,FALSE)+VLOOKUP($A25,'ПР 21-22'!$A$11:$BB$406,40,FALSE)-VLOOKUP($A25,'ПР 01-02.22'!$A$11:$BB$378,40,FALSE)</f>
        <v>0</v>
      </c>
      <c r="AO25" s="5">
        <f>VLOOKUP($A25,'ПР 01-02.21'!$A$11:$BB$406,41,FALSE)+VLOOKUP($A25,'ПР 21-22'!$A$11:$BB$406,41,FALSE)-VLOOKUP($A25,'ПР 01-02.22'!$A$11:$BB$378,41,FALSE)</f>
        <v>0</v>
      </c>
      <c r="AP25" s="40"/>
      <c r="AQ25" s="5">
        <f>VLOOKUP($A25,'ПР 01-02.21'!$A$11:$BB$406,43,FALSE)+VLOOKUP($A25,'ПР 21-22'!$A$11:$BB$406,43,FALSE)-VLOOKUP($A25,'ПР 01-02.22'!$A$11:$BB$378,43,FALSE)</f>
        <v>0</v>
      </c>
      <c r="AR25" s="5">
        <f>VLOOKUP($A25,'ПР 01-02.21'!$A$11:$BB$406,44,FALSE)+VLOOKUP($A25,'ПР 21-22'!$A$11:$BB$406,44,FALSE)-VLOOKUP($A25,'ПР 01-02.22'!$A$11:$BB$378,44,FALSE)</f>
        <v>0</v>
      </c>
      <c r="AS25" s="40"/>
      <c r="AT25" s="5">
        <f>VLOOKUP($A25,'ПР 01-02.21'!$A$11:$BB$406,46,FALSE)+VLOOKUP($A25,'ПР 21-22'!$A$11:$BB$406,46,FALSE)-VLOOKUP($A25,'ПР 01-02.22'!$A$11:$BB$378,46,FALSE)</f>
        <v>0</v>
      </c>
      <c r="AU25" s="5">
        <f>VLOOKUP($A25,'ПР 01-02.21'!$A$11:$BB$406,47,FALSE)+VLOOKUP($A25,'ПР 21-22'!$A$11:$BB$406,47,FALSE)-VLOOKUP($A25,'ПР 01-02.22'!$A$11:$BB$378,47,FALSE)</f>
        <v>0</v>
      </c>
      <c r="AV25" s="40"/>
      <c r="AW25" s="5">
        <f>VLOOKUP($A25,'ПР 01-02.21'!$A$11:$BB$406,49,FALSE)+VLOOKUP($A25,'ПР 21-22'!$A$11:$BB$406,49,FALSE)-VLOOKUP($A25,'ПР 01-02.22'!$A$11:$BB$378,49,FALSE)</f>
        <v>13.276400000000001</v>
      </c>
      <c r="AX25" s="5">
        <f>VLOOKUP($A25,'ПР 01-02.21'!$A$11:$BB$406,50,FALSE)+VLOOKUP($A25,'ПР 21-22'!$A$11:$BB$406,50,FALSE)-VLOOKUP($A25,'ПР 01-02.22'!$A$11:$BB$378,50,FALSE)</f>
        <v>0</v>
      </c>
      <c r="AY25" s="40"/>
      <c r="AZ25" s="40">
        <f t="shared" si="3"/>
        <v>13.276400000000001</v>
      </c>
      <c r="BA25" s="40">
        <f t="shared" si="3"/>
        <v>0</v>
      </c>
      <c r="BB25" s="55">
        <f t="shared" si="4"/>
        <v>-13.276400000000001</v>
      </c>
      <c r="BD25" s="2">
        <v>3</v>
      </c>
      <c r="BF25" s="325">
        <v>150000989</v>
      </c>
    </row>
    <row r="26" spans="1:58" ht="24.9" customHeight="1" x14ac:dyDescent="0.3">
      <c r="A26" s="325">
        <v>150000970</v>
      </c>
      <c r="B26" s="445" t="s">
        <v>243</v>
      </c>
      <c r="C26" s="27">
        <v>5</v>
      </c>
      <c r="D26" s="101" t="s">
        <v>455</v>
      </c>
      <c r="E26" s="279">
        <f>'побудинковий звіт'!E24</f>
        <v>2947.6</v>
      </c>
      <c r="F26" s="441">
        <f>'побудинковий звіт'!AS24</f>
        <v>24182.352940245444</v>
      </c>
      <c r="G26" s="441">
        <f t="shared" si="1"/>
        <v>2729</v>
      </c>
      <c r="H26" s="73">
        <f t="shared" si="2"/>
        <v>-21453.352940245444</v>
      </c>
      <c r="I26" s="5">
        <f>VLOOKUP($A26,'ПР 01-02.21'!$A$11:$BB$406,9,FALSE)+VLOOKUP($A26,'ПР 21-22'!$A$11:$BB$406,9,FALSE)-VLOOKUP($A26,'ПР 01-02.22'!$A$11:$BB$378,9,FALSE)</f>
        <v>0</v>
      </c>
      <c r="J26" s="5">
        <f>VLOOKUP($A26,'ПР 01-02.21'!$A$11:$BB$406,10,FALSE)+VLOOKUP($A26,'ПР 21-22'!$A$11:$BB$406,10,FALSE)-VLOOKUP($A26,'ПР 01-02.22'!$A$11:$BB$378,10,FALSE)</f>
        <v>0</v>
      </c>
      <c r="K26" s="446"/>
      <c r="L26" s="5">
        <f>VLOOKUP($A26,'ПР 01-02.21'!$A$11:$BB$406,12,FALSE)+VLOOKUP($A26,'ПР 21-22'!$A$11:$BB$406,12,FALSE)-VLOOKUP($A26,'ПР 01-02.22'!$A$11:$BB$378,12,FALSE)</f>
        <v>0</v>
      </c>
      <c r="M26" s="5">
        <f>VLOOKUP($A26,'ПР 01-02.21'!$A$11:$BB$406,13,FALSE)+VLOOKUP($A26,'ПР 21-22'!$A$11:$BB$406,13,FALSE)-VLOOKUP($A26,'ПР 01-02.22'!$A$11:$BB$378,13,FALSE)</f>
        <v>0</v>
      </c>
      <c r="N26" s="38"/>
      <c r="O26" s="5">
        <f>VLOOKUP($A26,'ПР 01-02.21'!$A$11:$BB$406,15,FALSE)+VLOOKUP($A26,'ПР 21-22'!$A$11:$BB$406,15,FALSE)-VLOOKUP($A26,'ПР 01-02.22'!$A$11:$BB$378,15,FALSE)</f>
        <v>0</v>
      </c>
      <c r="P26" s="5">
        <f>VLOOKUP($A26,'ПР 01-02.21'!$A$11:$BB$406,16,FALSE)+VLOOKUP($A26,'ПР 21-22'!$A$11:$BB$406,16,FALSE)-VLOOKUP($A26,'ПР 01-02.22'!$A$11:$BB$378,16,FALSE)</f>
        <v>0</v>
      </c>
      <c r="Q26" s="443"/>
      <c r="R26" s="5">
        <f>VLOOKUP($A26,'ПР 01-02.21'!$A$11:$BB$406,18,FALSE)+VLOOKUP($A26,'ПР 21-22'!$A$11:$BB$406,18,FALSE)-VLOOKUP($A26,'ПР 01-02.22'!$A$11:$BB$378,18,FALSE)</f>
        <v>0</v>
      </c>
      <c r="S26" s="5">
        <f>VLOOKUP($A26,'ПР 01-02.21'!$A$11:$BB$406,19,FALSE)+VLOOKUP($A26,'ПР 21-22'!$A$11:$BB$406,19,FALSE)-VLOOKUP($A26,'ПР 01-02.22'!$A$11:$BB$378,19,FALSE)</f>
        <v>0</v>
      </c>
      <c r="T26" s="444"/>
      <c r="U26" s="5">
        <f>VLOOKUP($A26,'ПР 01-02.21'!$A$11:$BB$406,21,FALSE)+VLOOKUP($A26,'ПР 21-22'!$A$11:$BB$406,21,FALSE)-VLOOKUP($A26,'ПР 01-02.22'!$A$11:$BB$378,21,FALSE)</f>
        <v>0</v>
      </c>
      <c r="V26" s="5"/>
      <c r="W26" s="5">
        <f>VLOOKUP($A26,'ПР 01-02.21'!$A$11:$BB$406,23,FALSE)+VLOOKUP($A26,'ПР 21-22'!$A$11:$BB$406,23,FALSE)-VLOOKUP($A26,'ПР 01-02.22'!$A$11:$BB$378,23,FALSE)</f>
        <v>0</v>
      </c>
      <c r="X26" s="5">
        <f>VLOOKUP($A26,'ПР 01-02.21'!$A$11:$BB$406,24,FALSE)+VLOOKUP($A26,'ПР 21-22'!$A$11:$BB$406,24,FALSE)-VLOOKUP($A26,'ПР 01-02.22'!$A$11:$BB$378,24,FALSE)</f>
        <v>0</v>
      </c>
      <c r="Y26" s="5">
        <f>VLOOKUP($A26,'ПР 01-02.21'!$A$11:$BB$406,25,FALSE)+VLOOKUP($A26,'ПР 21-22'!$A$11:$BB$406,25,FALSE)-VLOOKUP($A26,'ПР 01-02.22'!$A$11:$BB$378,25,FALSE)</f>
        <v>1538</v>
      </c>
      <c r="Z26" s="5"/>
      <c r="AA26" s="5">
        <f>VLOOKUP($A26,'ПР 01-02.21'!$A$11:$BB$406,27,FALSE)+VLOOKUP($A26,'ПР 21-22'!$A$11:$BB$406,27,FALSE)-VLOOKUP($A26,'ПР 01-02.22'!$A$11:$BB$378,27,FALSE)</f>
        <v>0</v>
      </c>
      <c r="AB26" s="5">
        <f>VLOOKUP($A26,'ПР 01-02.21'!$A$11:$BB$406,28,FALSE)+VLOOKUP($A26,'ПР 21-22'!$A$11:$BB$406,28,FALSE)-VLOOKUP($A26,'ПР 01-02.22'!$A$11:$BB$378,28,FALSE)</f>
        <v>922</v>
      </c>
      <c r="AC26" s="5">
        <f>VLOOKUP($A26,'ПР 01-02.21'!$A$11:$BB$406,29,FALSE)+VLOOKUP($A26,'ПР 21-22'!$A$11:$BB$406,29,FALSE)-VLOOKUP($A26,'ПР 01-02.22'!$A$11:$BB$378,29,FALSE)</f>
        <v>269</v>
      </c>
      <c r="AD26" s="5">
        <f>VLOOKUP($A26,'ПР 01-02.21'!$A$11:$BB$406,30,FALSE)+VLOOKUP($A26,'ПР 21-22'!$A$11:$BB$406,30,FALSE)-VLOOKUP($A26,'ПР 01-02.22'!$A$11:$BB$378,30,FALSE)</f>
        <v>0</v>
      </c>
      <c r="AE26" s="5">
        <f>VLOOKUP($A26,'ПР 01-02.21'!$A$11:$BB$406,31,FALSE)+VLOOKUP($A26,'ПР 21-22'!$A$11:$BB$406,31,FALSE)-VLOOKUP($A26,'ПР 01-02.22'!$A$11:$BB$378,31,FALSE)</f>
        <v>2202.2420491112489</v>
      </c>
      <c r="AF26" s="5">
        <f>VLOOKUP($A26,'ПР 01-02.21'!$A$11:$BB$406,32,FALSE)+VLOOKUP($A26,'ПР 21-22'!$A$11:$BB$406,32,FALSE)-VLOOKUP($A26,'ПР 01-02.22'!$A$11:$BB$378,32,FALSE)</f>
        <v>858</v>
      </c>
      <c r="AG26" s="40"/>
      <c r="AH26" s="5">
        <f>VLOOKUP($A26,'ПР 01-02.21'!$A$11:$BB$406,34,FALSE)+VLOOKUP($A26,'ПР 21-22'!$A$11:$BB$406,34,FALSE)-VLOOKUP($A26,'ПР 01-02.22'!$A$11:$BB$378,34,FALSE)</f>
        <v>3100.4017021821924</v>
      </c>
      <c r="AI26" s="5">
        <f>VLOOKUP($A26,'ПР 01-02.21'!$A$11:$BB$406,35,FALSE)+VLOOKUP($A26,'ПР 21-22'!$A$11:$BB$406,35,FALSE)-VLOOKUP($A26,'ПР 01-02.22'!$A$11:$BB$378,35,FALSE)</f>
        <v>1427</v>
      </c>
      <c r="AJ26" s="40"/>
      <c r="AK26" s="5">
        <f>VLOOKUP($A26,'ПР 01-02.21'!$A$11:$BB$406,37,FALSE)+VLOOKUP($A26,'ПР 21-22'!$A$11:$BB$406,37,FALSE)-VLOOKUP($A26,'ПР 01-02.22'!$A$11:$BB$378,37,FALSE)</f>
        <v>1685.6437404802678</v>
      </c>
      <c r="AL26" s="5">
        <f>VLOOKUP($A26,'ПР 01-02.21'!$A$11:$BB$406,38,FALSE)+VLOOKUP($A26,'ПР 21-22'!$A$11:$BB$406,38,FALSE)-VLOOKUP($A26,'ПР 01-02.22'!$A$11:$BB$378,38,FALSE)</f>
        <v>10519</v>
      </c>
      <c r="AM26" s="40"/>
      <c r="AN26" s="5">
        <f>VLOOKUP($A26,'ПР 01-02.21'!$A$11:$BB$406,40,FALSE)+VLOOKUP($A26,'ПР 21-22'!$A$11:$BB$406,40,FALSE)-VLOOKUP($A26,'ПР 01-02.22'!$A$11:$BB$378,40,FALSE)</f>
        <v>0</v>
      </c>
      <c r="AO26" s="5">
        <f>VLOOKUP($A26,'ПР 01-02.21'!$A$11:$BB$406,41,FALSE)+VLOOKUP($A26,'ПР 21-22'!$A$11:$BB$406,41,FALSE)-VLOOKUP($A26,'ПР 01-02.22'!$A$11:$BB$378,41,FALSE)</f>
        <v>0</v>
      </c>
      <c r="AP26" s="40"/>
      <c r="AQ26" s="5">
        <f>VLOOKUP($A26,'ПР 01-02.21'!$A$11:$BB$406,43,FALSE)+VLOOKUP($A26,'ПР 21-22'!$A$11:$BB$406,43,FALSE)-VLOOKUP($A26,'ПР 01-02.22'!$A$11:$BB$378,43,FALSE)</f>
        <v>0</v>
      </c>
      <c r="AR26" s="5">
        <f>VLOOKUP($A26,'ПР 01-02.21'!$A$11:$BB$406,44,FALSE)+VLOOKUP($A26,'ПР 21-22'!$A$11:$BB$406,44,FALSE)-VLOOKUP($A26,'ПР 01-02.22'!$A$11:$BB$378,44,FALSE)</f>
        <v>0</v>
      </c>
      <c r="AS26" s="40"/>
      <c r="AT26" s="5">
        <f>VLOOKUP($A26,'ПР 01-02.21'!$A$11:$BB$406,46,FALSE)+VLOOKUP($A26,'ПР 21-22'!$A$11:$BB$406,46,FALSE)-VLOOKUP($A26,'ПР 01-02.22'!$A$11:$BB$378,46,FALSE)</f>
        <v>1226.3996224256359</v>
      </c>
      <c r="AU26" s="5">
        <f>VLOOKUP($A26,'ПР 01-02.21'!$A$11:$BB$406,47,FALSE)+VLOOKUP($A26,'ПР 21-22'!$A$11:$BB$406,47,FALSE)-VLOOKUP($A26,'ПР 01-02.22'!$A$11:$BB$378,47,FALSE)</f>
        <v>9966</v>
      </c>
      <c r="AV26" s="40"/>
      <c r="AW26" s="5">
        <f>VLOOKUP($A26,'ПР 01-02.21'!$A$11:$BB$406,49,FALSE)+VLOOKUP($A26,'ПР 21-22'!$A$11:$BB$406,49,FALSE)-VLOOKUP($A26,'ПР 01-02.22'!$A$11:$BB$378,49,FALSE)</f>
        <v>146.88400000000001</v>
      </c>
      <c r="AX26" s="5">
        <f>VLOOKUP($A26,'ПР 01-02.21'!$A$11:$BB$406,50,FALSE)+VLOOKUP($A26,'ПР 21-22'!$A$11:$BB$406,50,FALSE)-VLOOKUP($A26,'ПР 01-02.22'!$A$11:$BB$378,50,FALSE)</f>
        <v>0</v>
      </c>
      <c r="AY26" s="40"/>
      <c r="AZ26" s="40">
        <f t="shared" si="3"/>
        <v>8361.5711141993434</v>
      </c>
      <c r="BA26" s="40">
        <f t="shared" si="3"/>
        <v>22770</v>
      </c>
      <c r="BB26" s="55">
        <f t="shared" si="4"/>
        <v>14408.428885800657</v>
      </c>
      <c r="BD26" s="2">
        <v>2</v>
      </c>
      <c r="BF26" s="325">
        <v>150000970</v>
      </c>
    </row>
    <row r="27" spans="1:58" ht="24.9" customHeight="1" x14ac:dyDescent="0.3">
      <c r="A27" s="325">
        <v>150000971</v>
      </c>
      <c r="B27" s="445" t="s">
        <v>194</v>
      </c>
      <c r="C27" s="27">
        <v>3</v>
      </c>
      <c r="D27" s="101" t="s">
        <v>455</v>
      </c>
      <c r="E27" s="279">
        <f>'побудинковий звіт'!E25</f>
        <v>1469.5300000000002</v>
      </c>
      <c r="F27" s="441">
        <f>'побудинковий звіт'!AS25</f>
        <v>17728.486647221394</v>
      </c>
      <c r="G27" s="441">
        <f t="shared" si="1"/>
        <v>18702.57</v>
      </c>
      <c r="H27" s="73">
        <f t="shared" si="2"/>
        <v>974.08335277860533</v>
      </c>
      <c r="I27" s="5">
        <f>VLOOKUP($A27,'ПР 01-02.21'!$A$11:$BB$406,9,FALSE)+VLOOKUP($A27,'ПР 21-22'!$A$11:$BB$406,9,FALSE)-VLOOKUP($A27,'ПР 01-02.22'!$A$11:$BB$378,9,FALSE)</f>
        <v>0</v>
      </c>
      <c r="J27" s="5">
        <f>VLOOKUP($A27,'ПР 01-02.21'!$A$11:$BB$406,10,FALSE)+VLOOKUP($A27,'ПР 21-22'!$A$11:$BB$406,10,FALSE)-VLOOKUP($A27,'ПР 01-02.22'!$A$11:$BB$378,10,FALSE)</f>
        <v>0</v>
      </c>
      <c r="K27" s="446"/>
      <c r="L27" s="5">
        <f>VLOOKUP($A27,'ПР 01-02.21'!$A$11:$BB$406,12,FALSE)+VLOOKUP($A27,'ПР 21-22'!$A$11:$BB$406,12,FALSE)-VLOOKUP($A27,'ПР 01-02.22'!$A$11:$BB$378,12,FALSE)</f>
        <v>0</v>
      </c>
      <c r="M27" s="5">
        <f>VLOOKUP($A27,'ПР 01-02.21'!$A$11:$BB$406,13,FALSE)+VLOOKUP($A27,'ПР 21-22'!$A$11:$BB$406,13,FALSE)-VLOOKUP($A27,'ПР 01-02.22'!$A$11:$BB$378,13,FALSE)</f>
        <v>0</v>
      </c>
      <c r="N27" s="38"/>
      <c r="O27" s="5">
        <f>VLOOKUP($A27,'ПР 01-02.21'!$A$11:$BB$406,15,FALSE)+VLOOKUP($A27,'ПР 21-22'!$A$11:$BB$406,15,FALSE)-VLOOKUP($A27,'ПР 01-02.22'!$A$11:$BB$378,15,FALSE)</f>
        <v>0</v>
      </c>
      <c r="P27" s="5">
        <f>VLOOKUP($A27,'ПР 01-02.21'!$A$11:$BB$406,16,FALSE)+VLOOKUP($A27,'ПР 21-22'!$A$11:$BB$406,16,FALSE)-VLOOKUP($A27,'ПР 01-02.22'!$A$11:$BB$378,16,FALSE)</f>
        <v>0</v>
      </c>
      <c r="Q27" s="443"/>
      <c r="R27" s="5">
        <f>VLOOKUP($A27,'ПР 01-02.21'!$A$11:$BB$406,18,FALSE)+VLOOKUP($A27,'ПР 21-22'!$A$11:$BB$406,18,FALSE)-VLOOKUP($A27,'ПР 01-02.22'!$A$11:$BB$378,18,FALSE)</f>
        <v>0</v>
      </c>
      <c r="S27" s="5">
        <f>VLOOKUP($A27,'ПР 01-02.21'!$A$11:$BB$406,19,FALSE)+VLOOKUP($A27,'ПР 21-22'!$A$11:$BB$406,19,FALSE)-VLOOKUP($A27,'ПР 01-02.22'!$A$11:$BB$378,19,FALSE)</f>
        <v>0</v>
      </c>
      <c r="T27" s="444"/>
      <c r="U27" s="5">
        <f>VLOOKUP($A27,'ПР 01-02.21'!$A$11:$BB$406,21,FALSE)+VLOOKUP($A27,'ПР 21-22'!$A$11:$BB$406,21,FALSE)-VLOOKUP($A27,'ПР 01-02.22'!$A$11:$BB$378,21,FALSE)</f>
        <v>0</v>
      </c>
      <c r="V27" s="5"/>
      <c r="W27" s="5">
        <f>VLOOKUP($A27,'ПР 01-02.21'!$A$11:$BB$406,23,FALSE)+VLOOKUP($A27,'ПР 21-22'!$A$11:$BB$406,23,FALSE)-VLOOKUP($A27,'ПР 01-02.22'!$A$11:$BB$378,23,FALSE)</f>
        <v>0</v>
      </c>
      <c r="X27" s="5">
        <f>VLOOKUP($A27,'ПР 01-02.21'!$A$11:$BB$406,24,FALSE)+VLOOKUP($A27,'ПР 21-22'!$A$11:$BB$406,24,FALSE)-VLOOKUP($A27,'ПР 01-02.22'!$A$11:$BB$378,24,FALSE)</f>
        <v>0</v>
      </c>
      <c r="Y27" s="5">
        <f>VLOOKUP($A27,'ПР 01-02.21'!$A$11:$BB$406,25,FALSE)+VLOOKUP($A27,'ПР 21-22'!$A$11:$BB$406,25,FALSE)-VLOOKUP($A27,'ПР 01-02.22'!$A$11:$BB$378,25,FALSE)</f>
        <v>16293</v>
      </c>
      <c r="Z27" s="5"/>
      <c r="AA27" s="5">
        <f>VLOOKUP($A27,'ПР 01-02.21'!$A$11:$BB$406,27,FALSE)+VLOOKUP($A27,'ПР 21-22'!$A$11:$BB$406,27,FALSE)-VLOOKUP($A27,'ПР 01-02.22'!$A$11:$BB$378,27,FALSE)</f>
        <v>0</v>
      </c>
      <c r="AB27" s="5">
        <f>VLOOKUP($A27,'ПР 01-02.21'!$A$11:$BB$406,28,FALSE)+VLOOKUP($A27,'ПР 21-22'!$A$11:$BB$406,28,FALSE)-VLOOKUP($A27,'ПР 01-02.22'!$A$11:$BB$378,28,FALSE)</f>
        <v>0</v>
      </c>
      <c r="AC27" s="5">
        <f>VLOOKUP($A27,'ПР 01-02.21'!$A$11:$BB$406,29,FALSE)+VLOOKUP($A27,'ПР 21-22'!$A$11:$BB$406,29,FALSE)-VLOOKUP($A27,'ПР 01-02.22'!$A$11:$BB$378,29,FALSE)</f>
        <v>0</v>
      </c>
      <c r="AD27" s="5">
        <f>VLOOKUP($A27,'ПР 01-02.21'!$A$11:$BB$406,30,FALSE)+VLOOKUP($A27,'ПР 21-22'!$A$11:$BB$406,30,FALSE)-VLOOKUP($A27,'ПР 01-02.22'!$A$11:$BB$378,30,FALSE)</f>
        <v>2409.5700000000002</v>
      </c>
      <c r="AE27" s="5">
        <f>VLOOKUP($A27,'ПР 01-02.21'!$A$11:$BB$406,31,FALSE)+VLOOKUP($A27,'ПР 21-22'!$A$11:$BB$406,31,FALSE)-VLOOKUP($A27,'ПР 01-02.22'!$A$11:$BB$378,31,FALSE)</f>
        <v>1534.1284746255567</v>
      </c>
      <c r="AF27" s="5">
        <f>VLOOKUP($A27,'ПР 01-02.21'!$A$11:$BB$406,32,FALSE)+VLOOKUP($A27,'ПР 21-22'!$A$11:$BB$406,32,FALSE)-VLOOKUP($A27,'ПР 01-02.22'!$A$11:$BB$378,32,FALSE)</f>
        <v>207</v>
      </c>
      <c r="AG27" s="40"/>
      <c r="AH27" s="5">
        <f>VLOOKUP($A27,'ПР 01-02.21'!$A$11:$BB$406,34,FALSE)+VLOOKUP($A27,'ПР 21-22'!$A$11:$BB$406,34,FALSE)-VLOOKUP($A27,'ПР 01-02.22'!$A$11:$BB$378,34,FALSE)</f>
        <v>2159.8335222550677</v>
      </c>
      <c r="AI27" s="5">
        <f>VLOOKUP($A27,'ПР 01-02.21'!$A$11:$BB$406,35,FALSE)+VLOOKUP($A27,'ПР 21-22'!$A$11:$BB$406,35,FALSE)-VLOOKUP($A27,'ПР 01-02.22'!$A$11:$BB$378,35,FALSE)</f>
        <v>3215</v>
      </c>
      <c r="AJ27" s="40"/>
      <c r="AK27" s="5">
        <f>VLOOKUP($A27,'ПР 01-02.21'!$A$11:$BB$406,37,FALSE)+VLOOKUP($A27,'ПР 21-22'!$A$11:$BB$406,37,FALSE)-VLOOKUP($A27,'ПР 01-02.22'!$A$11:$BB$378,37,FALSE)</f>
        <v>731.92330355035142</v>
      </c>
      <c r="AL27" s="5">
        <f>VLOOKUP($A27,'ПР 01-02.21'!$A$11:$BB$406,38,FALSE)+VLOOKUP($A27,'ПР 21-22'!$A$11:$BB$406,38,FALSE)-VLOOKUP($A27,'ПР 01-02.22'!$A$11:$BB$378,38,FALSE)</f>
        <v>0</v>
      </c>
      <c r="AM27" s="40"/>
      <c r="AN27" s="5">
        <f>VLOOKUP($A27,'ПР 01-02.21'!$A$11:$BB$406,40,FALSE)+VLOOKUP($A27,'ПР 21-22'!$A$11:$BB$406,40,FALSE)-VLOOKUP($A27,'ПР 01-02.22'!$A$11:$BB$378,40,FALSE)</f>
        <v>0</v>
      </c>
      <c r="AO27" s="5">
        <f>VLOOKUP($A27,'ПР 01-02.21'!$A$11:$BB$406,41,FALSE)+VLOOKUP($A27,'ПР 21-22'!$A$11:$BB$406,41,FALSE)-VLOOKUP($A27,'ПР 01-02.22'!$A$11:$BB$378,41,FALSE)</f>
        <v>0</v>
      </c>
      <c r="AP27" s="40"/>
      <c r="AQ27" s="5">
        <f>VLOOKUP($A27,'ПР 01-02.21'!$A$11:$BB$406,43,FALSE)+VLOOKUP($A27,'ПР 21-22'!$A$11:$BB$406,43,FALSE)-VLOOKUP($A27,'ПР 01-02.22'!$A$11:$BB$378,43,FALSE)</f>
        <v>0</v>
      </c>
      <c r="AR27" s="5">
        <f>VLOOKUP($A27,'ПР 01-02.21'!$A$11:$BB$406,44,FALSE)+VLOOKUP($A27,'ПР 21-22'!$A$11:$BB$406,44,FALSE)-VLOOKUP($A27,'ПР 01-02.22'!$A$11:$BB$378,44,FALSE)</f>
        <v>0</v>
      </c>
      <c r="AS27" s="40"/>
      <c r="AT27" s="5">
        <f>VLOOKUP($A27,'ПР 01-02.21'!$A$11:$BB$406,46,FALSE)+VLOOKUP($A27,'ПР 21-22'!$A$11:$BB$406,46,FALSE)-VLOOKUP($A27,'ПР 01-02.22'!$A$11:$BB$378,46,FALSE)</f>
        <v>1011.9065837945856</v>
      </c>
      <c r="AU27" s="5">
        <f>VLOOKUP($A27,'ПР 01-02.21'!$A$11:$BB$406,47,FALSE)+VLOOKUP($A27,'ПР 21-22'!$A$11:$BB$406,47,FALSE)-VLOOKUP($A27,'ПР 01-02.22'!$A$11:$BB$378,47,FALSE)</f>
        <v>1175</v>
      </c>
      <c r="AV27" s="40"/>
      <c r="AW27" s="5">
        <f>VLOOKUP($A27,'ПР 01-02.21'!$A$11:$BB$406,49,FALSE)+VLOOKUP($A27,'ПР 21-22'!$A$11:$BB$406,49,FALSE)-VLOOKUP($A27,'ПР 01-02.22'!$A$11:$BB$378,49,FALSE)</f>
        <v>70.525200000000012</v>
      </c>
      <c r="AX27" s="5">
        <f>VLOOKUP($A27,'ПР 01-02.21'!$A$11:$BB$406,50,FALSE)+VLOOKUP($A27,'ПР 21-22'!$A$11:$BB$406,50,FALSE)-VLOOKUP($A27,'ПР 01-02.22'!$A$11:$BB$378,50,FALSE)</f>
        <v>0</v>
      </c>
      <c r="AY27" s="40"/>
      <c r="AZ27" s="40">
        <f t="shared" si="3"/>
        <v>5508.3170842255613</v>
      </c>
      <c r="BA27" s="40">
        <f t="shared" si="3"/>
        <v>4597</v>
      </c>
      <c r="BB27" s="55">
        <f t="shared" si="4"/>
        <v>-911.3170842255613</v>
      </c>
      <c r="BD27" s="2">
        <v>2</v>
      </c>
      <c r="BF27" s="325">
        <v>150000971</v>
      </c>
    </row>
    <row r="28" spans="1:58" ht="24.9" customHeight="1" x14ac:dyDescent="0.3">
      <c r="A28" s="325">
        <v>150000991</v>
      </c>
      <c r="B28" s="445" t="s">
        <v>342</v>
      </c>
      <c r="C28" s="27">
        <v>9</v>
      </c>
      <c r="D28" s="101" t="s">
        <v>455</v>
      </c>
      <c r="E28" s="279">
        <f>'побудинковий звіт'!E26</f>
        <v>4082.7</v>
      </c>
      <c r="F28" s="441">
        <f>'побудинковий звіт'!AS26</f>
        <v>46823.435358640127</v>
      </c>
      <c r="G28" s="441">
        <f t="shared" si="1"/>
        <v>13813</v>
      </c>
      <c r="H28" s="73">
        <f t="shared" si="2"/>
        <v>-33010.435358640127</v>
      </c>
      <c r="I28" s="5">
        <f>VLOOKUP($A28,'ПР 01-02.21'!$A$11:$BB$406,9,FALSE)+VLOOKUP($A28,'ПР 21-22'!$A$11:$BB$406,9,FALSE)-VLOOKUP($A28,'ПР 01-02.22'!$A$11:$BB$378,9,FALSE)</f>
        <v>0</v>
      </c>
      <c r="J28" s="5">
        <f>VLOOKUP($A28,'ПР 01-02.21'!$A$11:$BB$406,10,FALSE)+VLOOKUP($A28,'ПР 21-22'!$A$11:$BB$406,10,FALSE)-VLOOKUP($A28,'ПР 01-02.22'!$A$11:$BB$378,10,FALSE)</f>
        <v>0</v>
      </c>
      <c r="K28" s="446"/>
      <c r="L28" s="5">
        <f>VLOOKUP($A28,'ПР 01-02.21'!$A$11:$BB$406,12,FALSE)+VLOOKUP($A28,'ПР 21-22'!$A$11:$BB$406,12,FALSE)-VLOOKUP($A28,'ПР 01-02.22'!$A$11:$BB$378,12,FALSE)</f>
        <v>0</v>
      </c>
      <c r="M28" s="5">
        <f>VLOOKUP($A28,'ПР 01-02.21'!$A$11:$BB$406,13,FALSE)+VLOOKUP($A28,'ПР 21-22'!$A$11:$BB$406,13,FALSE)-VLOOKUP($A28,'ПР 01-02.22'!$A$11:$BB$378,13,FALSE)</f>
        <v>247</v>
      </c>
      <c r="N28" s="38"/>
      <c r="O28" s="5">
        <f>VLOOKUP($A28,'ПР 01-02.21'!$A$11:$BB$406,15,FALSE)+VLOOKUP($A28,'ПР 21-22'!$A$11:$BB$406,15,FALSE)-VLOOKUP($A28,'ПР 01-02.22'!$A$11:$BB$378,15,FALSE)</f>
        <v>0</v>
      </c>
      <c r="P28" s="5">
        <f>VLOOKUP($A28,'ПР 01-02.21'!$A$11:$BB$406,16,FALSE)+VLOOKUP($A28,'ПР 21-22'!$A$11:$BB$406,16,FALSE)-VLOOKUP($A28,'ПР 01-02.22'!$A$11:$BB$378,16,FALSE)</f>
        <v>0</v>
      </c>
      <c r="Q28" s="443"/>
      <c r="R28" s="5">
        <f>VLOOKUP($A28,'ПР 01-02.21'!$A$11:$BB$406,18,FALSE)+VLOOKUP($A28,'ПР 21-22'!$A$11:$BB$406,18,FALSE)-VLOOKUP($A28,'ПР 01-02.22'!$A$11:$BB$378,18,FALSE)</f>
        <v>1</v>
      </c>
      <c r="S28" s="5">
        <f>VLOOKUP($A28,'ПР 01-02.21'!$A$11:$BB$406,19,FALSE)+VLOOKUP($A28,'ПР 21-22'!$A$11:$BB$406,19,FALSE)-VLOOKUP($A28,'ПР 01-02.22'!$A$11:$BB$378,19,FALSE)</f>
        <v>593</v>
      </c>
      <c r="T28" s="444"/>
      <c r="U28" s="5">
        <f>VLOOKUP($A28,'ПР 01-02.21'!$A$11:$BB$406,21,FALSE)+VLOOKUP($A28,'ПР 21-22'!$A$11:$BB$406,21,FALSE)-VLOOKUP($A28,'ПР 01-02.22'!$A$11:$BB$378,21,FALSE)</f>
        <v>0</v>
      </c>
      <c r="V28" s="5"/>
      <c r="W28" s="5">
        <f>VLOOKUP($A28,'ПР 01-02.21'!$A$11:$BB$406,23,FALSE)+VLOOKUP($A28,'ПР 21-22'!$A$11:$BB$406,23,FALSE)-VLOOKUP($A28,'ПР 01-02.22'!$A$11:$BB$378,23,FALSE)</f>
        <v>0</v>
      </c>
      <c r="X28" s="5">
        <f>VLOOKUP($A28,'ПР 01-02.21'!$A$11:$BB$406,24,FALSE)+VLOOKUP($A28,'ПР 21-22'!$A$11:$BB$406,24,FALSE)-VLOOKUP($A28,'ПР 01-02.22'!$A$11:$BB$378,24,FALSE)</f>
        <v>0</v>
      </c>
      <c r="Y28" s="5">
        <f>VLOOKUP($A28,'ПР 01-02.21'!$A$11:$BB$406,25,FALSE)+VLOOKUP($A28,'ПР 21-22'!$A$11:$BB$406,25,FALSE)-VLOOKUP($A28,'ПР 01-02.22'!$A$11:$BB$378,25,FALSE)</f>
        <v>8306</v>
      </c>
      <c r="Z28" s="5"/>
      <c r="AA28" s="5">
        <f>VLOOKUP($A28,'ПР 01-02.21'!$A$11:$BB$406,27,FALSE)+VLOOKUP($A28,'ПР 21-22'!$A$11:$BB$406,27,FALSE)-VLOOKUP($A28,'ПР 01-02.22'!$A$11:$BB$378,27,FALSE)</f>
        <v>0</v>
      </c>
      <c r="AB28" s="5">
        <f>VLOOKUP($A28,'ПР 01-02.21'!$A$11:$BB$406,28,FALSE)+VLOOKUP($A28,'ПР 21-22'!$A$11:$BB$406,28,FALSE)-VLOOKUP($A28,'ПР 01-02.22'!$A$11:$BB$378,28,FALSE)</f>
        <v>0</v>
      </c>
      <c r="AC28" s="5">
        <f>VLOOKUP($A28,'ПР 01-02.21'!$A$11:$BB$406,29,FALSE)+VLOOKUP($A28,'ПР 21-22'!$A$11:$BB$406,29,FALSE)-VLOOKUP($A28,'ПР 01-02.22'!$A$11:$BB$378,29,FALSE)</f>
        <v>1281</v>
      </c>
      <c r="AD28" s="5">
        <f>VLOOKUP($A28,'ПР 01-02.21'!$A$11:$BB$406,30,FALSE)+VLOOKUP($A28,'ПР 21-22'!$A$11:$BB$406,30,FALSE)-VLOOKUP($A28,'ПР 01-02.22'!$A$11:$BB$378,30,FALSE)</f>
        <v>3386</v>
      </c>
      <c r="AE28" s="5">
        <f>VLOOKUP($A28,'ПР 01-02.21'!$A$11:$BB$406,31,FALSE)+VLOOKUP($A28,'ПР 21-22'!$A$11:$BB$406,31,FALSE)-VLOOKUP($A28,'ПР 01-02.22'!$A$11:$BB$378,31,FALSE)</f>
        <v>1665.2415161328104</v>
      </c>
      <c r="AF28" s="5">
        <f>VLOOKUP($A28,'ПР 01-02.21'!$A$11:$BB$406,32,FALSE)+VLOOKUP($A28,'ПР 21-22'!$A$11:$BB$406,32,FALSE)-VLOOKUP($A28,'ПР 01-02.22'!$A$11:$BB$378,32,FALSE)</f>
        <v>71</v>
      </c>
      <c r="AG28" s="40"/>
      <c r="AH28" s="5">
        <f>VLOOKUP($A28,'ПР 01-02.21'!$A$11:$BB$406,34,FALSE)+VLOOKUP($A28,'ПР 21-22'!$A$11:$BB$406,34,FALSE)-VLOOKUP($A28,'ПР 01-02.22'!$A$11:$BB$378,34,FALSE)</f>
        <v>1704.9403029322234</v>
      </c>
      <c r="AI28" s="5">
        <f>VLOOKUP($A28,'ПР 01-02.21'!$A$11:$BB$406,35,FALSE)+VLOOKUP($A28,'ПР 21-22'!$A$11:$BB$406,35,FALSE)-VLOOKUP($A28,'ПР 01-02.22'!$A$11:$BB$378,35,FALSE)</f>
        <v>4001</v>
      </c>
      <c r="AJ28" s="40"/>
      <c r="AK28" s="5">
        <f>VLOOKUP($A28,'ПР 01-02.21'!$A$11:$BB$406,37,FALSE)+VLOOKUP($A28,'ПР 21-22'!$A$11:$BB$406,37,FALSE)-VLOOKUP($A28,'ПР 01-02.22'!$A$11:$BB$378,37,FALSE)</f>
        <v>806.12525204632834</v>
      </c>
      <c r="AL28" s="5">
        <f>VLOOKUP($A28,'ПР 01-02.21'!$A$11:$BB$406,38,FALSE)+VLOOKUP($A28,'ПР 21-22'!$A$11:$BB$406,38,FALSE)-VLOOKUP($A28,'ПР 01-02.22'!$A$11:$BB$378,38,FALSE)</f>
        <v>0</v>
      </c>
      <c r="AM28" s="40"/>
      <c r="AN28" s="5">
        <f>VLOOKUP($A28,'ПР 01-02.21'!$A$11:$BB$406,40,FALSE)+VLOOKUP($A28,'ПР 21-22'!$A$11:$BB$406,40,FALSE)-VLOOKUP($A28,'ПР 01-02.22'!$A$11:$BB$378,40,FALSE)</f>
        <v>1120.6396224133398</v>
      </c>
      <c r="AO28" s="5">
        <f>VLOOKUP($A28,'ПР 01-02.21'!$A$11:$BB$406,41,FALSE)+VLOOKUP($A28,'ПР 21-22'!$A$11:$BB$406,41,FALSE)-VLOOKUP($A28,'ПР 01-02.22'!$A$11:$BB$378,41,FALSE)</f>
        <v>4424</v>
      </c>
      <c r="AP28" s="40"/>
      <c r="AQ28" s="5">
        <f>VLOOKUP($A28,'ПР 01-02.21'!$A$11:$BB$406,43,FALSE)+VLOOKUP($A28,'ПР 21-22'!$A$11:$BB$406,43,FALSE)-VLOOKUP($A28,'ПР 01-02.22'!$A$11:$BB$378,43,FALSE)</f>
        <v>752.83209249543006</v>
      </c>
      <c r="AR28" s="5">
        <f>VLOOKUP($A28,'ПР 01-02.21'!$A$11:$BB$406,44,FALSE)+VLOOKUP($A28,'ПР 21-22'!$A$11:$BB$406,44,FALSE)-VLOOKUP($A28,'ПР 01-02.22'!$A$11:$BB$378,44,FALSE)</f>
        <v>31.5</v>
      </c>
      <c r="AS28" s="40"/>
      <c r="AT28" s="5">
        <f>VLOOKUP($A28,'ПР 01-02.21'!$A$11:$BB$406,46,FALSE)+VLOOKUP($A28,'ПР 21-22'!$A$11:$BB$406,46,FALSE)-VLOOKUP($A28,'ПР 01-02.22'!$A$11:$BB$378,46,FALSE)</f>
        <v>1418.2742262592508</v>
      </c>
      <c r="AU28" s="5">
        <f>VLOOKUP($A28,'ПР 01-02.21'!$A$11:$BB$406,47,FALSE)+VLOOKUP($A28,'ПР 21-22'!$A$11:$BB$406,47,FALSE)-VLOOKUP($A28,'ПР 01-02.22'!$A$11:$BB$378,47,FALSE)</f>
        <v>0</v>
      </c>
      <c r="AV28" s="40"/>
      <c r="AW28" s="5">
        <f>VLOOKUP($A28,'ПР 01-02.21'!$A$11:$BB$406,49,FALSE)+VLOOKUP($A28,'ПР 21-22'!$A$11:$BB$406,49,FALSE)-VLOOKUP($A28,'ПР 01-02.22'!$A$11:$BB$378,49,FALSE)</f>
        <v>101.58800000000001</v>
      </c>
      <c r="AX28" s="5">
        <f>VLOOKUP($A28,'ПР 01-02.21'!$A$11:$BB$406,50,FALSE)+VLOOKUP($A28,'ПР 21-22'!$A$11:$BB$406,50,FALSE)-VLOOKUP($A28,'ПР 01-02.22'!$A$11:$BB$378,50,FALSE)</f>
        <v>0</v>
      </c>
      <c r="AY28" s="40"/>
      <c r="AZ28" s="40">
        <f t="shared" si="3"/>
        <v>7569.6410122793823</v>
      </c>
      <c r="BA28" s="40">
        <f t="shared" si="3"/>
        <v>8527.5</v>
      </c>
      <c r="BB28" s="55">
        <f t="shared" si="4"/>
        <v>957.85898772061773</v>
      </c>
      <c r="BD28" s="2">
        <v>3</v>
      </c>
      <c r="BF28" s="325">
        <v>150000991</v>
      </c>
    </row>
    <row r="29" spans="1:58" ht="24.9" customHeight="1" x14ac:dyDescent="0.3">
      <c r="A29" s="325">
        <v>150000992</v>
      </c>
      <c r="B29" s="445" t="s">
        <v>40</v>
      </c>
      <c r="C29" s="27">
        <v>1</v>
      </c>
      <c r="D29" s="101" t="s">
        <v>455</v>
      </c>
      <c r="E29" s="279">
        <f>'побудинковий звіт'!E27</f>
        <v>263.39999999999998</v>
      </c>
      <c r="F29" s="441">
        <f>'побудинковий звіт'!AS27</f>
        <v>2406.4736090195165</v>
      </c>
      <c r="G29" s="441">
        <f t="shared" si="1"/>
        <v>2146.5700000000002</v>
      </c>
      <c r="H29" s="73">
        <f t="shared" si="2"/>
        <v>-259.90360901951635</v>
      </c>
      <c r="I29" s="5">
        <f>VLOOKUP($A29,'ПР 01-02.21'!$A$11:$BB$406,9,FALSE)+VLOOKUP($A29,'ПР 21-22'!$A$11:$BB$406,9,FALSE)-VLOOKUP($A29,'ПР 01-02.22'!$A$11:$BB$378,9,FALSE)</f>
        <v>8</v>
      </c>
      <c r="J29" s="5">
        <f>VLOOKUP($A29,'ПР 01-02.21'!$A$11:$BB$406,10,FALSE)+VLOOKUP($A29,'ПР 21-22'!$A$11:$BB$406,10,FALSE)-VLOOKUP($A29,'ПР 01-02.22'!$A$11:$BB$378,10,FALSE)</f>
        <v>1571.5700000000002</v>
      </c>
      <c r="K29" s="446"/>
      <c r="L29" s="5">
        <f>VLOOKUP($A29,'ПР 01-02.21'!$A$11:$BB$406,12,FALSE)+VLOOKUP($A29,'ПР 21-22'!$A$11:$BB$406,12,FALSE)-VLOOKUP($A29,'ПР 01-02.22'!$A$11:$BB$378,12,FALSE)</f>
        <v>0</v>
      </c>
      <c r="M29" s="5">
        <f>VLOOKUP($A29,'ПР 01-02.21'!$A$11:$BB$406,13,FALSE)+VLOOKUP($A29,'ПР 21-22'!$A$11:$BB$406,13,FALSE)-VLOOKUP($A29,'ПР 01-02.22'!$A$11:$BB$378,13,FALSE)</f>
        <v>0</v>
      </c>
      <c r="N29" s="38"/>
      <c r="O29" s="5">
        <f>VLOOKUP($A29,'ПР 01-02.21'!$A$11:$BB$406,15,FALSE)+VLOOKUP($A29,'ПР 21-22'!$A$11:$BB$406,15,FALSE)-VLOOKUP($A29,'ПР 01-02.22'!$A$11:$BB$378,15,FALSE)</f>
        <v>0</v>
      </c>
      <c r="P29" s="5">
        <f>VLOOKUP($A29,'ПР 01-02.21'!$A$11:$BB$406,16,FALSE)+VLOOKUP($A29,'ПР 21-22'!$A$11:$BB$406,16,FALSE)-VLOOKUP($A29,'ПР 01-02.22'!$A$11:$BB$378,16,FALSE)</f>
        <v>0</v>
      </c>
      <c r="Q29" s="443"/>
      <c r="R29" s="5">
        <f>VLOOKUP($A29,'ПР 01-02.21'!$A$11:$BB$406,18,FALSE)+VLOOKUP($A29,'ПР 21-22'!$A$11:$BB$406,18,FALSE)-VLOOKUP($A29,'ПР 01-02.22'!$A$11:$BB$378,18,FALSE)</f>
        <v>0</v>
      </c>
      <c r="S29" s="5">
        <f>VLOOKUP($A29,'ПР 01-02.21'!$A$11:$BB$406,19,FALSE)+VLOOKUP($A29,'ПР 21-22'!$A$11:$BB$406,19,FALSE)-VLOOKUP($A29,'ПР 01-02.22'!$A$11:$BB$378,19,FALSE)</f>
        <v>0</v>
      </c>
      <c r="T29" s="444"/>
      <c r="U29" s="5">
        <f>VLOOKUP($A29,'ПР 01-02.21'!$A$11:$BB$406,21,FALSE)+VLOOKUP($A29,'ПР 21-22'!$A$11:$BB$406,21,FALSE)-VLOOKUP($A29,'ПР 01-02.22'!$A$11:$BB$378,21,FALSE)</f>
        <v>0</v>
      </c>
      <c r="V29" s="5"/>
      <c r="W29" s="5">
        <f>VLOOKUP($A29,'ПР 01-02.21'!$A$11:$BB$406,23,FALSE)+VLOOKUP($A29,'ПР 21-22'!$A$11:$BB$406,23,FALSE)-VLOOKUP($A29,'ПР 01-02.22'!$A$11:$BB$378,23,FALSE)</f>
        <v>0</v>
      </c>
      <c r="X29" s="5">
        <f>VLOOKUP($A29,'ПР 01-02.21'!$A$11:$BB$406,24,FALSE)+VLOOKUP($A29,'ПР 21-22'!$A$11:$BB$406,24,FALSE)-VLOOKUP($A29,'ПР 01-02.22'!$A$11:$BB$378,24,FALSE)</f>
        <v>0</v>
      </c>
      <c r="Y29" s="5">
        <f>VLOOKUP($A29,'ПР 01-02.21'!$A$11:$BB$406,25,FALSE)+VLOOKUP($A29,'ПР 21-22'!$A$11:$BB$406,25,FALSE)-VLOOKUP($A29,'ПР 01-02.22'!$A$11:$BB$378,25,FALSE)</f>
        <v>0</v>
      </c>
      <c r="Z29" s="5"/>
      <c r="AA29" s="5">
        <f>VLOOKUP($A29,'ПР 01-02.21'!$A$11:$BB$406,27,FALSE)+VLOOKUP($A29,'ПР 21-22'!$A$11:$BB$406,27,FALSE)-VLOOKUP($A29,'ПР 01-02.22'!$A$11:$BB$378,27,FALSE)</f>
        <v>0</v>
      </c>
      <c r="AB29" s="5">
        <f>VLOOKUP($A29,'ПР 01-02.21'!$A$11:$BB$406,28,FALSE)+VLOOKUP($A29,'ПР 21-22'!$A$11:$BB$406,28,FALSE)-VLOOKUP($A29,'ПР 01-02.22'!$A$11:$BB$378,28,FALSE)</f>
        <v>0</v>
      </c>
      <c r="AC29" s="5">
        <f>VLOOKUP($A29,'ПР 01-02.21'!$A$11:$BB$406,29,FALSE)+VLOOKUP($A29,'ПР 21-22'!$A$11:$BB$406,29,FALSE)-VLOOKUP($A29,'ПР 01-02.22'!$A$11:$BB$378,29,FALSE)</f>
        <v>0</v>
      </c>
      <c r="AD29" s="5">
        <f>VLOOKUP($A29,'ПР 01-02.21'!$A$11:$BB$406,30,FALSE)+VLOOKUP($A29,'ПР 21-22'!$A$11:$BB$406,30,FALSE)-VLOOKUP($A29,'ПР 01-02.22'!$A$11:$BB$378,30,FALSE)</f>
        <v>575</v>
      </c>
      <c r="AE29" s="5">
        <f>VLOOKUP($A29,'ПР 01-02.21'!$A$11:$BB$406,31,FALSE)+VLOOKUP($A29,'ПР 21-22'!$A$11:$BB$406,31,FALSE)-VLOOKUP($A29,'ПР 01-02.22'!$A$11:$BB$378,31,FALSE)</f>
        <v>0</v>
      </c>
      <c r="AF29" s="5">
        <f>VLOOKUP($A29,'ПР 01-02.21'!$A$11:$BB$406,32,FALSE)+VLOOKUP($A29,'ПР 21-22'!$A$11:$BB$406,32,FALSE)-VLOOKUP($A29,'ПР 01-02.22'!$A$11:$BB$378,32,FALSE)</f>
        <v>0</v>
      </c>
      <c r="AG29" s="40"/>
      <c r="AH29" s="5">
        <f>VLOOKUP($A29,'ПР 01-02.21'!$A$11:$BB$406,34,FALSE)+VLOOKUP($A29,'ПР 21-22'!$A$11:$BB$406,34,FALSE)-VLOOKUP($A29,'ПР 01-02.22'!$A$11:$BB$378,34,FALSE)</f>
        <v>0</v>
      </c>
      <c r="AI29" s="5">
        <f>VLOOKUP($A29,'ПР 01-02.21'!$A$11:$BB$406,35,FALSE)+VLOOKUP($A29,'ПР 21-22'!$A$11:$BB$406,35,FALSE)-VLOOKUP($A29,'ПР 01-02.22'!$A$11:$BB$378,35,FALSE)</f>
        <v>0</v>
      </c>
      <c r="AJ29" s="40"/>
      <c r="AK29" s="5">
        <f>VLOOKUP($A29,'ПР 01-02.21'!$A$11:$BB$406,37,FALSE)+VLOOKUP($A29,'ПР 21-22'!$A$11:$BB$406,37,FALSE)-VLOOKUP($A29,'ПР 01-02.22'!$A$11:$BB$378,37,FALSE)</f>
        <v>0</v>
      </c>
      <c r="AL29" s="5">
        <f>VLOOKUP($A29,'ПР 01-02.21'!$A$11:$BB$406,38,FALSE)+VLOOKUP($A29,'ПР 21-22'!$A$11:$BB$406,38,FALSE)-VLOOKUP($A29,'ПР 01-02.22'!$A$11:$BB$378,38,FALSE)</f>
        <v>0</v>
      </c>
      <c r="AM29" s="40"/>
      <c r="AN29" s="5">
        <f>VLOOKUP($A29,'ПР 01-02.21'!$A$11:$BB$406,40,FALSE)+VLOOKUP($A29,'ПР 21-22'!$A$11:$BB$406,40,FALSE)-VLOOKUP($A29,'ПР 01-02.22'!$A$11:$BB$378,40,FALSE)</f>
        <v>0</v>
      </c>
      <c r="AO29" s="5">
        <f>VLOOKUP($A29,'ПР 01-02.21'!$A$11:$BB$406,41,FALSE)+VLOOKUP($A29,'ПР 21-22'!$A$11:$BB$406,41,FALSE)-VLOOKUP($A29,'ПР 01-02.22'!$A$11:$BB$378,41,FALSE)</f>
        <v>0</v>
      </c>
      <c r="AP29" s="40"/>
      <c r="AQ29" s="5">
        <f>VLOOKUP($A29,'ПР 01-02.21'!$A$11:$BB$406,43,FALSE)+VLOOKUP($A29,'ПР 21-22'!$A$11:$BB$406,43,FALSE)-VLOOKUP($A29,'ПР 01-02.22'!$A$11:$BB$378,43,FALSE)</f>
        <v>0</v>
      </c>
      <c r="AR29" s="5">
        <f>VLOOKUP($A29,'ПР 01-02.21'!$A$11:$BB$406,44,FALSE)+VLOOKUP($A29,'ПР 21-22'!$A$11:$BB$406,44,FALSE)-VLOOKUP($A29,'ПР 01-02.22'!$A$11:$BB$378,44,FALSE)</f>
        <v>0</v>
      </c>
      <c r="AS29" s="40"/>
      <c r="AT29" s="5">
        <f>VLOOKUP($A29,'ПР 01-02.21'!$A$11:$BB$406,46,FALSE)+VLOOKUP($A29,'ПР 21-22'!$A$11:$BB$406,46,FALSE)-VLOOKUP($A29,'ПР 01-02.22'!$A$11:$BB$378,46,FALSE)</f>
        <v>0</v>
      </c>
      <c r="AU29" s="5">
        <f>VLOOKUP($A29,'ПР 01-02.21'!$A$11:$BB$406,47,FALSE)+VLOOKUP($A29,'ПР 21-22'!$A$11:$BB$406,47,FALSE)-VLOOKUP($A29,'ПР 01-02.22'!$A$11:$BB$378,47,FALSE)</f>
        <v>0</v>
      </c>
      <c r="AV29" s="40"/>
      <c r="AW29" s="5">
        <f>VLOOKUP($A29,'ПР 01-02.21'!$A$11:$BB$406,49,FALSE)+VLOOKUP($A29,'ПР 21-22'!$A$11:$BB$406,49,FALSE)-VLOOKUP($A29,'ПР 01-02.22'!$A$11:$BB$378,49,FALSE)</f>
        <v>13.536</v>
      </c>
      <c r="AX29" s="5">
        <f>VLOOKUP($A29,'ПР 01-02.21'!$A$11:$BB$406,50,FALSE)+VLOOKUP($A29,'ПР 21-22'!$A$11:$BB$406,50,FALSE)-VLOOKUP($A29,'ПР 01-02.22'!$A$11:$BB$378,50,FALSE)</f>
        <v>0</v>
      </c>
      <c r="AY29" s="40"/>
      <c r="AZ29" s="40">
        <f t="shared" si="3"/>
        <v>13.536</v>
      </c>
      <c r="BA29" s="40">
        <f t="shared" si="3"/>
        <v>0</v>
      </c>
      <c r="BB29" s="55">
        <f t="shared" si="4"/>
        <v>-13.536</v>
      </c>
      <c r="BD29" s="2">
        <v>3</v>
      </c>
      <c r="BF29" s="325">
        <v>150000992</v>
      </c>
    </row>
    <row r="30" spans="1:58" ht="24.9" customHeight="1" x14ac:dyDescent="0.3">
      <c r="A30" s="325">
        <v>150000999</v>
      </c>
      <c r="B30" s="445" t="s">
        <v>41</v>
      </c>
      <c r="C30" s="27">
        <v>1</v>
      </c>
      <c r="D30" s="101" t="s">
        <v>455</v>
      </c>
      <c r="E30" s="279">
        <f>'побудинковий звіт'!E28</f>
        <v>298.60000000000002</v>
      </c>
      <c r="F30" s="441">
        <f>'побудинковий звіт'!AS28</f>
        <v>2662.5644494426697</v>
      </c>
      <c r="G30" s="441">
        <f t="shared" si="1"/>
        <v>1205</v>
      </c>
      <c r="H30" s="73">
        <f t="shared" si="2"/>
        <v>-1457.5644494426697</v>
      </c>
      <c r="I30" s="5">
        <f>VLOOKUP($A30,'ПР 01-02.21'!$A$11:$BB$406,9,FALSE)+VLOOKUP($A30,'ПР 21-22'!$A$11:$BB$406,9,FALSE)-VLOOKUP($A30,'ПР 01-02.22'!$A$11:$BB$378,9,FALSE)</f>
        <v>8</v>
      </c>
      <c r="J30" s="5">
        <f>VLOOKUP($A30,'ПР 01-02.21'!$A$11:$BB$406,10,FALSE)+VLOOKUP($A30,'ПР 21-22'!$A$11:$BB$406,10,FALSE)-VLOOKUP($A30,'ПР 01-02.22'!$A$11:$BB$378,10,FALSE)</f>
        <v>1205</v>
      </c>
      <c r="K30" s="446"/>
      <c r="L30" s="5">
        <f>VLOOKUP($A30,'ПР 01-02.21'!$A$11:$BB$406,12,FALSE)+VLOOKUP($A30,'ПР 21-22'!$A$11:$BB$406,12,FALSE)-VLOOKUP($A30,'ПР 01-02.22'!$A$11:$BB$378,12,FALSE)</f>
        <v>0</v>
      </c>
      <c r="M30" s="5">
        <f>VLOOKUP($A30,'ПР 01-02.21'!$A$11:$BB$406,13,FALSE)+VLOOKUP($A30,'ПР 21-22'!$A$11:$BB$406,13,FALSE)-VLOOKUP($A30,'ПР 01-02.22'!$A$11:$BB$378,13,FALSE)</f>
        <v>0</v>
      </c>
      <c r="N30" s="38"/>
      <c r="O30" s="5">
        <f>VLOOKUP($A30,'ПР 01-02.21'!$A$11:$BB$406,15,FALSE)+VLOOKUP($A30,'ПР 21-22'!$A$11:$BB$406,15,FALSE)-VLOOKUP($A30,'ПР 01-02.22'!$A$11:$BB$378,15,FALSE)</f>
        <v>0</v>
      </c>
      <c r="P30" s="5">
        <f>VLOOKUP($A30,'ПР 01-02.21'!$A$11:$BB$406,16,FALSE)+VLOOKUP($A30,'ПР 21-22'!$A$11:$BB$406,16,FALSE)-VLOOKUP($A30,'ПР 01-02.22'!$A$11:$BB$378,16,FALSE)</f>
        <v>0</v>
      </c>
      <c r="Q30" s="443"/>
      <c r="R30" s="5">
        <f>VLOOKUP($A30,'ПР 01-02.21'!$A$11:$BB$406,18,FALSE)+VLOOKUP($A30,'ПР 21-22'!$A$11:$BB$406,18,FALSE)-VLOOKUP($A30,'ПР 01-02.22'!$A$11:$BB$378,18,FALSE)</f>
        <v>0</v>
      </c>
      <c r="S30" s="5">
        <f>VLOOKUP($A30,'ПР 01-02.21'!$A$11:$BB$406,19,FALSE)+VLOOKUP($A30,'ПР 21-22'!$A$11:$BB$406,19,FALSE)-VLOOKUP($A30,'ПР 01-02.22'!$A$11:$BB$378,19,FALSE)</f>
        <v>0</v>
      </c>
      <c r="T30" s="444"/>
      <c r="U30" s="5">
        <f>VLOOKUP($A30,'ПР 01-02.21'!$A$11:$BB$406,21,FALSE)+VLOOKUP($A30,'ПР 21-22'!$A$11:$BB$406,21,FALSE)-VLOOKUP($A30,'ПР 01-02.22'!$A$11:$BB$378,21,FALSE)</f>
        <v>0</v>
      </c>
      <c r="V30" s="5"/>
      <c r="W30" s="5">
        <f>VLOOKUP($A30,'ПР 01-02.21'!$A$11:$BB$406,23,FALSE)+VLOOKUP($A30,'ПР 21-22'!$A$11:$BB$406,23,FALSE)-VLOOKUP($A30,'ПР 01-02.22'!$A$11:$BB$378,23,FALSE)</f>
        <v>0</v>
      </c>
      <c r="X30" s="5">
        <f>VLOOKUP($A30,'ПР 01-02.21'!$A$11:$BB$406,24,FALSE)+VLOOKUP($A30,'ПР 21-22'!$A$11:$BB$406,24,FALSE)-VLOOKUP($A30,'ПР 01-02.22'!$A$11:$BB$378,24,FALSE)</f>
        <v>0</v>
      </c>
      <c r="Y30" s="5">
        <f>VLOOKUP($A30,'ПР 01-02.21'!$A$11:$BB$406,25,FALSE)+VLOOKUP($A30,'ПР 21-22'!$A$11:$BB$406,25,FALSE)-VLOOKUP($A30,'ПР 01-02.22'!$A$11:$BB$378,25,FALSE)</f>
        <v>0</v>
      </c>
      <c r="Z30" s="5"/>
      <c r="AA30" s="5">
        <f>VLOOKUP($A30,'ПР 01-02.21'!$A$11:$BB$406,27,FALSE)+VLOOKUP($A30,'ПР 21-22'!$A$11:$BB$406,27,FALSE)-VLOOKUP($A30,'ПР 01-02.22'!$A$11:$BB$378,27,FALSE)</f>
        <v>0</v>
      </c>
      <c r="AB30" s="5">
        <f>VLOOKUP($A30,'ПР 01-02.21'!$A$11:$BB$406,28,FALSE)+VLOOKUP($A30,'ПР 21-22'!$A$11:$BB$406,28,FALSE)-VLOOKUP($A30,'ПР 01-02.22'!$A$11:$BB$378,28,FALSE)</f>
        <v>0</v>
      </c>
      <c r="AC30" s="5">
        <f>VLOOKUP($A30,'ПР 01-02.21'!$A$11:$BB$406,29,FALSE)+VLOOKUP($A30,'ПР 21-22'!$A$11:$BB$406,29,FALSE)-VLOOKUP($A30,'ПР 01-02.22'!$A$11:$BB$378,29,FALSE)</f>
        <v>0</v>
      </c>
      <c r="AD30" s="5">
        <f>VLOOKUP($A30,'ПР 01-02.21'!$A$11:$BB$406,30,FALSE)+VLOOKUP($A30,'ПР 21-22'!$A$11:$BB$406,30,FALSE)-VLOOKUP($A30,'ПР 01-02.22'!$A$11:$BB$378,30,FALSE)</f>
        <v>0</v>
      </c>
      <c r="AE30" s="5">
        <f>VLOOKUP($A30,'ПР 01-02.21'!$A$11:$BB$406,31,FALSE)+VLOOKUP($A30,'ПР 21-22'!$A$11:$BB$406,31,FALSE)-VLOOKUP($A30,'ПР 01-02.22'!$A$11:$BB$378,31,FALSE)</f>
        <v>0</v>
      </c>
      <c r="AF30" s="5">
        <f>VLOOKUP($A30,'ПР 01-02.21'!$A$11:$BB$406,32,FALSE)+VLOOKUP($A30,'ПР 21-22'!$A$11:$BB$406,32,FALSE)-VLOOKUP($A30,'ПР 01-02.22'!$A$11:$BB$378,32,FALSE)</f>
        <v>0</v>
      </c>
      <c r="AG30" s="40"/>
      <c r="AH30" s="5">
        <f>VLOOKUP($A30,'ПР 01-02.21'!$A$11:$BB$406,34,FALSE)+VLOOKUP($A30,'ПР 21-22'!$A$11:$BB$406,34,FALSE)-VLOOKUP($A30,'ПР 01-02.22'!$A$11:$BB$378,34,FALSE)</f>
        <v>0</v>
      </c>
      <c r="AI30" s="5">
        <f>VLOOKUP($A30,'ПР 01-02.21'!$A$11:$BB$406,35,FALSE)+VLOOKUP($A30,'ПР 21-22'!$A$11:$BB$406,35,FALSE)-VLOOKUP($A30,'ПР 01-02.22'!$A$11:$BB$378,35,FALSE)</f>
        <v>0</v>
      </c>
      <c r="AJ30" s="40"/>
      <c r="AK30" s="5">
        <f>VLOOKUP($A30,'ПР 01-02.21'!$A$11:$BB$406,37,FALSE)+VLOOKUP($A30,'ПР 21-22'!$A$11:$BB$406,37,FALSE)-VLOOKUP($A30,'ПР 01-02.22'!$A$11:$BB$378,37,FALSE)</f>
        <v>0</v>
      </c>
      <c r="AL30" s="5">
        <f>VLOOKUP($A30,'ПР 01-02.21'!$A$11:$BB$406,38,FALSE)+VLOOKUP($A30,'ПР 21-22'!$A$11:$BB$406,38,FALSE)-VLOOKUP($A30,'ПР 01-02.22'!$A$11:$BB$378,38,FALSE)</f>
        <v>0</v>
      </c>
      <c r="AM30" s="40"/>
      <c r="AN30" s="5">
        <f>VLOOKUP($A30,'ПР 01-02.21'!$A$11:$BB$406,40,FALSE)+VLOOKUP($A30,'ПР 21-22'!$A$11:$BB$406,40,FALSE)-VLOOKUP($A30,'ПР 01-02.22'!$A$11:$BB$378,40,FALSE)</f>
        <v>0</v>
      </c>
      <c r="AO30" s="5">
        <f>VLOOKUP($A30,'ПР 01-02.21'!$A$11:$BB$406,41,FALSE)+VLOOKUP($A30,'ПР 21-22'!$A$11:$BB$406,41,FALSE)-VLOOKUP($A30,'ПР 01-02.22'!$A$11:$BB$378,41,FALSE)</f>
        <v>0</v>
      </c>
      <c r="AP30" s="40"/>
      <c r="AQ30" s="5">
        <f>VLOOKUP($A30,'ПР 01-02.21'!$A$11:$BB$406,43,FALSE)+VLOOKUP($A30,'ПР 21-22'!$A$11:$BB$406,43,FALSE)-VLOOKUP($A30,'ПР 01-02.22'!$A$11:$BB$378,43,FALSE)</f>
        <v>0</v>
      </c>
      <c r="AR30" s="5">
        <f>VLOOKUP($A30,'ПР 01-02.21'!$A$11:$BB$406,44,FALSE)+VLOOKUP($A30,'ПР 21-22'!$A$11:$BB$406,44,FALSE)-VLOOKUP($A30,'ПР 01-02.22'!$A$11:$BB$378,44,FALSE)</f>
        <v>0</v>
      </c>
      <c r="AS30" s="40"/>
      <c r="AT30" s="5">
        <f>VLOOKUP($A30,'ПР 01-02.21'!$A$11:$BB$406,46,FALSE)+VLOOKUP($A30,'ПР 21-22'!$A$11:$BB$406,46,FALSE)-VLOOKUP($A30,'ПР 01-02.22'!$A$11:$BB$378,46,FALSE)</f>
        <v>0</v>
      </c>
      <c r="AU30" s="5">
        <f>VLOOKUP($A30,'ПР 01-02.21'!$A$11:$BB$406,47,FALSE)+VLOOKUP($A30,'ПР 21-22'!$A$11:$BB$406,47,FALSE)-VLOOKUP($A30,'ПР 01-02.22'!$A$11:$BB$378,47,FALSE)</f>
        <v>0</v>
      </c>
      <c r="AV30" s="40"/>
      <c r="AW30" s="5">
        <f>VLOOKUP($A30,'ПР 01-02.21'!$A$11:$BB$406,49,FALSE)+VLOOKUP($A30,'ПР 21-22'!$A$11:$BB$406,49,FALSE)-VLOOKUP($A30,'ПР 01-02.22'!$A$11:$BB$378,49,FALSE)</f>
        <v>14.944000000000001</v>
      </c>
      <c r="AX30" s="5">
        <f>VLOOKUP($A30,'ПР 01-02.21'!$A$11:$BB$406,50,FALSE)+VLOOKUP($A30,'ПР 21-22'!$A$11:$BB$406,50,FALSE)-VLOOKUP($A30,'ПР 01-02.22'!$A$11:$BB$378,50,FALSE)</f>
        <v>0</v>
      </c>
      <c r="AY30" s="40"/>
      <c r="AZ30" s="40">
        <f t="shared" si="3"/>
        <v>14.944000000000001</v>
      </c>
      <c r="BA30" s="40">
        <f t="shared" si="3"/>
        <v>0</v>
      </c>
      <c r="BB30" s="55">
        <f t="shared" si="4"/>
        <v>-14.944000000000001</v>
      </c>
      <c r="BD30" s="2">
        <v>3</v>
      </c>
      <c r="BF30" s="325">
        <v>150000999</v>
      </c>
    </row>
    <row r="31" spans="1:58" ht="24.9" customHeight="1" x14ac:dyDescent="0.3">
      <c r="A31" s="325">
        <v>150000993</v>
      </c>
      <c r="B31" s="445" t="s">
        <v>42</v>
      </c>
      <c r="C31" s="27">
        <v>1</v>
      </c>
      <c r="D31" s="101" t="s">
        <v>455</v>
      </c>
      <c r="E31" s="279">
        <f>'побудинковий звіт'!E29</f>
        <v>298.39999999999998</v>
      </c>
      <c r="F31" s="441">
        <f>'побудинковий звіт'!AS29</f>
        <v>2625.6283645897802</v>
      </c>
      <c r="G31" s="441">
        <f t="shared" si="1"/>
        <v>575</v>
      </c>
      <c r="H31" s="73">
        <f t="shared" si="2"/>
        <v>-2050.6283645897802</v>
      </c>
      <c r="I31" s="5">
        <f>VLOOKUP($A31,'ПР 01-02.21'!$A$11:$BB$406,9,FALSE)+VLOOKUP($A31,'ПР 21-22'!$A$11:$BB$406,9,FALSE)-VLOOKUP($A31,'ПР 01-02.22'!$A$11:$BB$378,9,FALSE)</f>
        <v>0</v>
      </c>
      <c r="J31" s="5">
        <f>VLOOKUP($A31,'ПР 01-02.21'!$A$11:$BB$406,10,FALSE)+VLOOKUP($A31,'ПР 21-22'!$A$11:$BB$406,10,FALSE)-VLOOKUP($A31,'ПР 01-02.22'!$A$11:$BB$378,10,FALSE)</f>
        <v>0</v>
      </c>
      <c r="K31" s="446"/>
      <c r="L31" s="5">
        <f>VLOOKUP($A31,'ПР 01-02.21'!$A$11:$BB$406,12,FALSE)+VLOOKUP($A31,'ПР 21-22'!$A$11:$BB$406,12,FALSE)-VLOOKUP($A31,'ПР 01-02.22'!$A$11:$BB$378,12,FALSE)</f>
        <v>0</v>
      </c>
      <c r="M31" s="5">
        <f>VLOOKUP($A31,'ПР 01-02.21'!$A$11:$BB$406,13,FALSE)+VLOOKUP($A31,'ПР 21-22'!$A$11:$BB$406,13,FALSE)-VLOOKUP($A31,'ПР 01-02.22'!$A$11:$BB$378,13,FALSE)</f>
        <v>0</v>
      </c>
      <c r="N31" s="38"/>
      <c r="O31" s="5">
        <f>VLOOKUP($A31,'ПР 01-02.21'!$A$11:$BB$406,15,FALSE)+VLOOKUP($A31,'ПР 21-22'!$A$11:$BB$406,15,FALSE)-VLOOKUP($A31,'ПР 01-02.22'!$A$11:$BB$378,15,FALSE)</f>
        <v>0</v>
      </c>
      <c r="P31" s="5">
        <f>VLOOKUP($A31,'ПР 01-02.21'!$A$11:$BB$406,16,FALSE)+VLOOKUP($A31,'ПР 21-22'!$A$11:$BB$406,16,FALSE)-VLOOKUP($A31,'ПР 01-02.22'!$A$11:$BB$378,16,FALSE)</f>
        <v>0</v>
      </c>
      <c r="Q31" s="443"/>
      <c r="R31" s="5">
        <f>VLOOKUP($A31,'ПР 01-02.21'!$A$11:$BB$406,18,FALSE)+VLOOKUP($A31,'ПР 21-22'!$A$11:$BB$406,18,FALSE)-VLOOKUP($A31,'ПР 01-02.22'!$A$11:$BB$378,18,FALSE)</f>
        <v>0</v>
      </c>
      <c r="S31" s="5">
        <f>VLOOKUP($A31,'ПР 01-02.21'!$A$11:$BB$406,19,FALSE)+VLOOKUP($A31,'ПР 21-22'!$A$11:$BB$406,19,FALSE)-VLOOKUP($A31,'ПР 01-02.22'!$A$11:$BB$378,19,FALSE)</f>
        <v>0</v>
      </c>
      <c r="T31" s="444"/>
      <c r="U31" s="5">
        <f>VLOOKUP($A31,'ПР 01-02.21'!$A$11:$BB$406,21,FALSE)+VLOOKUP($A31,'ПР 21-22'!$A$11:$BB$406,21,FALSE)-VLOOKUP($A31,'ПР 01-02.22'!$A$11:$BB$378,21,FALSE)</f>
        <v>0</v>
      </c>
      <c r="V31" s="5"/>
      <c r="W31" s="5">
        <f>VLOOKUP($A31,'ПР 01-02.21'!$A$11:$BB$406,23,FALSE)+VLOOKUP($A31,'ПР 21-22'!$A$11:$BB$406,23,FALSE)-VLOOKUP($A31,'ПР 01-02.22'!$A$11:$BB$378,23,FALSE)</f>
        <v>0</v>
      </c>
      <c r="X31" s="5">
        <f>VLOOKUP($A31,'ПР 01-02.21'!$A$11:$BB$406,24,FALSE)+VLOOKUP($A31,'ПР 21-22'!$A$11:$BB$406,24,FALSE)-VLOOKUP($A31,'ПР 01-02.22'!$A$11:$BB$378,24,FALSE)</f>
        <v>0</v>
      </c>
      <c r="Y31" s="5">
        <f>VLOOKUP($A31,'ПР 01-02.21'!$A$11:$BB$406,25,FALSE)+VLOOKUP($A31,'ПР 21-22'!$A$11:$BB$406,25,FALSE)-VLOOKUP($A31,'ПР 01-02.22'!$A$11:$BB$378,25,FALSE)</f>
        <v>0</v>
      </c>
      <c r="Z31" s="5"/>
      <c r="AA31" s="5">
        <f>VLOOKUP($A31,'ПР 01-02.21'!$A$11:$BB$406,27,FALSE)+VLOOKUP($A31,'ПР 21-22'!$A$11:$BB$406,27,FALSE)-VLOOKUP($A31,'ПР 01-02.22'!$A$11:$BB$378,27,FALSE)</f>
        <v>0</v>
      </c>
      <c r="AB31" s="5">
        <f>VLOOKUP($A31,'ПР 01-02.21'!$A$11:$BB$406,28,FALSE)+VLOOKUP($A31,'ПР 21-22'!$A$11:$BB$406,28,FALSE)-VLOOKUP($A31,'ПР 01-02.22'!$A$11:$BB$378,28,FALSE)</f>
        <v>0</v>
      </c>
      <c r="AC31" s="5">
        <f>VLOOKUP($A31,'ПР 01-02.21'!$A$11:$BB$406,29,FALSE)+VLOOKUP($A31,'ПР 21-22'!$A$11:$BB$406,29,FALSE)-VLOOKUP($A31,'ПР 01-02.22'!$A$11:$BB$378,29,FALSE)</f>
        <v>0</v>
      </c>
      <c r="AD31" s="5">
        <f>VLOOKUP($A31,'ПР 01-02.21'!$A$11:$BB$406,30,FALSE)+VLOOKUP($A31,'ПР 21-22'!$A$11:$BB$406,30,FALSE)-VLOOKUP($A31,'ПР 01-02.22'!$A$11:$BB$378,30,FALSE)</f>
        <v>575</v>
      </c>
      <c r="AE31" s="5">
        <f>VLOOKUP($A31,'ПР 01-02.21'!$A$11:$BB$406,31,FALSE)+VLOOKUP($A31,'ПР 21-22'!$A$11:$BB$406,31,FALSE)-VLOOKUP($A31,'ПР 01-02.22'!$A$11:$BB$378,31,FALSE)</f>
        <v>0</v>
      </c>
      <c r="AF31" s="5">
        <f>VLOOKUP($A31,'ПР 01-02.21'!$A$11:$BB$406,32,FALSE)+VLOOKUP($A31,'ПР 21-22'!$A$11:$BB$406,32,FALSE)-VLOOKUP($A31,'ПР 01-02.22'!$A$11:$BB$378,32,FALSE)</f>
        <v>0</v>
      </c>
      <c r="AG31" s="40"/>
      <c r="AH31" s="5">
        <f>VLOOKUP($A31,'ПР 01-02.21'!$A$11:$BB$406,34,FALSE)+VLOOKUP($A31,'ПР 21-22'!$A$11:$BB$406,34,FALSE)-VLOOKUP($A31,'ПР 01-02.22'!$A$11:$BB$378,34,FALSE)</f>
        <v>0</v>
      </c>
      <c r="AI31" s="5">
        <f>VLOOKUP($A31,'ПР 01-02.21'!$A$11:$BB$406,35,FALSE)+VLOOKUP($A31,'ПР 21-22'!$A$11:$BB$406,35,FALSE)-VLOOKUP($A31,'ПР 01-02.22'!$A$11:$BB$378,35,FALSE)</f>
        <v>0</v>
      </c>
      <c r="AJ31" s="40"/>
      <c r="AK31" s="5">
        <f>VLOOKUP($A31,'ПР 01-02.21'!$A$11:$BB$406,37,FALSE)+VLOOKUP($A31,'ПР 21-22'!$A$11:$BB$406,37,FALSE)-VLOOKUP($A31,'ПР 01-02.22'!$A$11:$BB$378,37,FALSE)</f>
        <v>0</v>
      </c>
      <c r="AL31" s="5">
        <f>VLOOKUP($A31,'ПР 01-02.21'!$A$11:$BB$406,38,FALSE)+VLOOKUP($A31,'ПР 21-22'!$A$11:$BB$406,38,FALSE)-VLOOKUP($A31,'ПР 01-02.22'!$A$11:$BB$378,38,FALSE)</f>
        <v>0</v>
      </c>
      <c r="AM31" s="40"/>
      <c r="AN31" s="5">
        <f>VLOOKUP($A31,'ПР 01-02.21'!$A$11:$BB$406,40,FALSE)+VLOOKUP($A31,'ПР 21-22'!$A$11:$BB$406,40,FALSE)-VLOOKUP($A31,'ПР 01-02.22'!$A$11:$BB$378,40,FALSE)</f>
        <v>0</v>
      </c>
      <c r="AO31" s="5">
        <f>VLOOKUP($A31,'ПР 01-02.21'!$A$11:$BB$406,41,FALSE)+VLOOKUP($A31,'ПР 21-22'!$A$11:$BB$406,41,FALSE)-VLOOKUP($A31,'ПР 01-02.22'!$A$11:$BB$378,41,FALSE)</f>
        <v>0</v>
      </c>
      <c r="AP31" s="40"/>
      <c r="AQ31" s="5">
        <f>VLOOKUP($A31,'ПР 01-02.21'!$A$11:$BB$406,43,FALSE)+VLOOKUP($A31,'ПР 21-22'!$A$11:$BB$406,43,FALSE)-VLOOKUP($A31,'ПР 01-02.22'!$A$11:$BB$378,43,FALSE)</f>
        <v>0</v>
      </c>
      <c r="AR31" s="5">
        <f>VLOOKUP($A31,'ПР 01-02.21'!$A$11:$BB$406,44,FALSE)+VLOOKUP($A31,'ПР 21-22'!$A$11:$BB$406,44,FALSE)-VLOOKUP($A31,'ПР 01-02.22'!$A$11:$BB$378,44,FALSE)</f>
        <v>0</v>
      </c>
      <c r="AS31" s="40"/>
      <c r="AT31" s="5">
        <f>VLOOKUP($A31,'ПР 01-02.21'!$A$11:$BB$406,46,FALSE)+VLOOKUP($A31,'ПР 21-22'!$A$11:$BB$406,46,FALSE)-VLOOKUP($A31,'ПР 01-02.22'!$A$11:$BB$378,46,FALSE)</f>
        <v>0</v>
      </c>
      <c r="AU31" s="5">
        <f>VLOOKUP($A31,'ПР 01-02.21'!$A$11:$BB$406,47,FALSE)+VLOOKUP($A31,'ПР 21-22'!$A$11:$BB$406,47,FALSE)-VLOOKUP($A31,'ПР 01-02.22'!$A$11:$BB$378,47,FALSE)</f>
        <v>0</v>
      </c>
      <c r="AV31" s="40"/>
      <c r="AW31" s="5">
        <f>VLOOKUP($A31,'ПР 01-02.21'!$A$11:$BB$406,49,FALSE)+VLOOKUP($A31,'ПР 21-22'!$A$11:$BB$406,49,FALSE)-VLOOKUP($A31,'ПР 01-02.22'!$A$11:$BB$378,49,FALSE)</f>
        <v>14.936</v>
      </c>
      <c r="AX31" s="5">
        <f>VLOOKUP($A31,'ПР 01-02.21'!$A$11:$BB$406,50,FALSE)+VLOOKUP($A31,'ПР 21-22'!$A$11:$BB$406,50,FALSE)-VLOOKUP($A31,'ПР 01-02.22'!$A$11:$BB$378,50,FALSE)</f>
        <v>0</v>
      </c>
      <c r="AY31" s="40"/>
      <c r="AZ31" s="40">
        <f t="shared" si="3"/>
        <v>14.936</v>
      </c>
      <c r="BA31" s="40">
        <f t="shared" si="3"/>
        <v>0</v>
      </c>
      <c r="BB31" s="55">
        <f t="shared" si="4"/>
        <v>-14.936</v>
      </c>
      <c r="BD31" s="2">
        <v>3</v>
      </c>
      <c r="BF31" s="325">
        <v>150000993</v>
      </c>
    </row>
    <row r="32" spans="1:58" ht="24.9" customHeight="1" x14ac:dyDescent="0.3">
      <c r="A32" s="325">
        <v>150001000</v>
      </c>
      <c r="B32" s="445" t="s">
        <v>43</v>
      </c>
      <c r="C32" s="27">
        <v>1</v>
      </c>
      <c r="D32" s="101" t="s">
        <v>455</v>
      </c>
      <c r="E32" s="279">
        <f>'побудинковий звіт'!E30</f>
        <v>236.7</v>
      </c>
      <c r="F32" s="441">
        <f>'побудинковий звіт'!AS30</f>
        <v>2512.215566848492</v>
      </c>
      <c r="G32" s="441">
        <f t="shared" si="1"/>
        <v>847</v>
      </c>
      <c r="H32" s="73">
        <f t="shared" si="2"/>
        <v>-1665.215566848492</v>
      </c>
      <c r="I32" s="5">
        <f>VLOOKUP($A32,'ПР 01-02.21'!$A$11:$BB$406,9,FALSE)+VLOOKUP($A32,'ПР 21-22'!$A$11:$BB$406,9,FALSE)-VLOOKUP($A32,'ПР 01-02.22'!$A$11:$BB$378,9,FALSE)</f>
        <v>1.2</v>
      </c>
      <c r="J32" s="5">
        <f>VLOOKUP($A32,'ПР 01-02.21'!$A$11:$BB$406,10,FALSE)+VLOOKUP($A32,'ПР 21-22'!$A$11:$BB$406,10,FALSE)-VLOOKUP($A32,'ПР 01-02.22'!$A$11:$BB$378,10,FALSE)</f>
        <v>847</v>
      </c>
      <c r="K32" s="446"/>
      <c r="L32" s="5">
        <f>VLOOKUP($A32,'ПР 01-02.21'!$A$11:$BB$406,12,FALSE)+VLOOKUP($A32,'ПР 21-22'!$A$11:$BB$406,12,FALSE)-VLOOKUP($A32,'ПР 01-02.22'!$A$11:$BB$378,12,FALSE)</f>
        <v>0</v>
      </c>
      <c r="M32" s="5">
        <f>VLOOKUP($A32,'ПР 01-02.21'!$A$11:$BB$406,13,FALSE)+VLOOKUP($A32,'ПР 21-22'!$A$11:$BB$406,13,FALSE)-VLOOKUP($A32,'ПР 01-02.22'!$A$11:$BB$378,13,FALSE)</f>
        <v>0</v>
      </c>
      <c r="N32" s="38"/>
      <c r="O32" s="5">
        <f>VLOOKUP($A32,'ПР 01-02.21'!$A$11:$BB$406,15,FALSE)+VLOOKUP($A32,'ПР 21-22'!$A$11:$BB$406,15,FALSE)-VLOOKUP($A32,'ПР 01-02.22'!$A$11:$BB$378,15,FALSE)</f>
        <v>0</v>
      </c>
      <c r="P32" s="5">
        <f>VLOOKUP($A32,'ПР 01-02.21'!$A$11:$BB$406,16,FALSE)+VLOOKUP($A32,'ПР 21-22'!$A$11:$BB$406,16,FALSE)-VLOOKUP($A32,'ПР 01-02.22'!$A$11:$BB$378,16,FALSE)</f>
        <v>0</v>
      </c>
      <c r="Q32" s="443"/>
      <c r="R32" s="5">
        <f>VLOOKUP($A32,'ПР 01-02.21'!$A$11:$BB$406,18,FALSE)+VLOOKUP($A32,'ПР 21-22'!$A$11:$BB$406,18,FALSE)-VLOOKUP($A32,'ПР 01-02.22'!$A$11:$BB$378,18,FALSE)</f>
        <v>0</v>
      </c>
      <c r="S32" s="5">
        <f>VLOOKUP($A32,'ПР 01-02.21'!$A$11:$BB$406,19,FALSE)+VLOOKUP($A32,'ПР 21-22'!$A$11:$BB$406,19,FALSE)-VLOOKUP($A32,'ПР 01-02.22'!$A$11:$BB$378,19,FALSE)</f>
        <v>0</v>
      </c>
      <c r="T32" s="444"/>
      <c r="U32" s="5">
        <f>VLOOKUP($A32,'ПР 01-02.21'!$A$11:$BB$406,21,FALSE)+VLOOKUP($A32,'ПР 21-22'!$A$11:$BB$406,21,FALSE)-VLOOKUP($A32,'ПР 01-02.22'!$A$11:$BB$378,21,FALSE)</f>
        <v>0</v>
      </c>
      <c r="V32" s="5"/>
      <c r="W32" s="5">
        <f>VLOOKUP($A32,'ПР 01-02.21'!$A$11:$BB$406,23,FALSE)+VLOOKUP($A32,'ПР 21-22'!$A$11:$BB$406,23,FALSE)-VLOOKUP($A32,'ПР 01-02.22'!$A$11:$BB$378,23,FALSE)</f>
        <v>0</v>
      </c>
      <c r="X32" s="5">
        <f>VLOOKUP($A32,'ПР 01-02.21'!$A$11:$BB$406,24,FALSE)+VLOOKUP($A32,'ПР 21-22'!$A$11:$BB$406,24,FALSE)-VLOOKUP($A32,'ПР 01-02.22'!$A$11:$BB$378,24,FALSE)</f>
        <v>0</v>
      </c>
      <c r="Y32" s="5">
        <f>VLOOKUP($A32,'ПР 01-02.21'!$A$11:$BB$406,25,FALSE)+VLOOKUP($A32,'ПР 21-22'!$A$11:$BB$406,25,FALSE)-VLOOKUP($A32,'ПР 01-02.22'!$A$11:$BB$378,25,FALSE)</f>
        <v>0</v>
      </c>
      <c r="Z32" s="5"/>
      <c r="AA32" s="5">
        <f>VLOOKUP($A32,'ПР 01-02.21'!$A$11:$BB$406,27,FALSE)+VLOOKUP($A32,'ПР 21-22'!$A$11:$BB$406,27,FALSE)-VLOOKUP($A32,'ПР 01-02.22'!$A$11:$BB$378,27,FALSE)</f>
        <v>0</v>
      </c>
      <c r="AB32" s="5">
        <f>VLOOKUP($A32,'ПР 01-02.21'!$A$11:$BB$406,28,FALSE)+VLOOKUP($A32,'ПР 21-22'!$A$11:$BB$406,28,FALSE)-VLOOKUP($A32,'ПР 01-02.22'!$A$11:$BB$378,28,FALSE)</f>
        <v>0</v>
      </c>
      <c r="AC32" s="5">
        <f>VLOOKUP($A32,'ПР 01-02.21'!$A$11:$BB$406,29,FALSE)+VLOOKUP($A32,'ПР 21-22'!$A$11:$BB$406,29,FALSE)-VLOOKUP($A32,'ПР 01-02.22'!$A$11:$BB$378,29,FALSE)</f>
        <v>0</v>
      </c>
      <c r="AD32" s="5">
        <f>VLOOKUP($A32,'ПР 01-02.21'!$A$11:$BB$406,30,FALSE)+VLOOKUP($A32,'ПР 21-22'!$A$11:$BB$406,30,FALSE)-VLOOKUP($A32,'ПР 01-02.22'!$A$11:$BB$378,30,FALSE)</f>
        <v>0</v>
      </c>
      <c r="AE32" s="5">
        <f>VLOOKUP($A32,'ПР 01-02.21'!$A$11:$BB$406,31,FALSE)+VLOOKUP($A32,'ПР 21-22'!$A$11:$BB$406,31,FALSE)-VLOOKUP($A32,'ПР 01-02.22'!$A$11:$BB$378,31,FALSE)</f>
        <v>0</v>
      </c>
      <c r="AF32" s="5">
        <f>VLOOKUP($A32,'ПР 01-02.21'!$A$11:$BB$406,32,FALSE)+VLOOKUP($A32,'ПР 21-22'!$A$11:$BB$406,32,FALSE)-VLOOKUP($A32,'ПР 01-02.22'!$A$11:$BB$378,32,FALSE)</f>
        <v>0</v>
      </c>
      <c r="AG32" s="40"/>
      <c r="AH32" s="5">
        <f>VLOOKUP($A32,'ПР 01-02.21'!$A$11:$BB$406,34,FALSE)+VLOOKUP($A32,'ПР 21-22'!$A$11:$BB$406,34,FALSE)-VLOOKUP($A32,'ПР 01-02.22'!$A$11:$BB$378,34,FALSE)</f>
        <v>0</v>
      </c>
      <c r="AI32" s="5">
        <f>VLOOKUP($A32,'ПР 01-02.21'!$A$11:$BB$406,35,FALSE)+VLOOKUP($A32,'ПР 21-22'!$A$11:$BB$406,35,FALSE)-VLOOKUP($A32,'ПР 01-02.22'!$A$11:$BB$378,35,FALSE)</f>
        <v>0</v>
      </c>
      <c r="AJ32" s="40"/>
      <c r="AK32" s="5">
        <f>VLOOKUP($A32,'ПР 01-02.21'!$A$11:$BB$406,37,FALSE)+VLOOKUP($A32,'ПР 21-22'!$A$11:$BB$406,37,FALSE)-VLOOKUP($A32,'ПР 01-02.22'!$A$11:$BB$378,37,FALSE)</f>
        <v>0</v>
      </c>
      <c r="AL32" s="5">
        <f>VLOOKUP($A32,'ПР 01-02.21'!$A$11:$BB$406,38,FALSE)+VLOOKUP($A32,'ПР 21-22'!$A$11:$BB$406,38,FALSE)-VLOOKUP($A32,'ПР 01-02.22'!$A$11:$BB$378,38,FALSE)</f>
        <v>0</v>
      </c>
      <c r="AM32" s="40"/>
      <c r="AN32" s="5">
        <f>VLOOKUP($A32,'ПР 01-02.21'!$A$11:$BB$406,40,FALSE)+VLOOKUP($A32,'ПР 21-22'!$A$11:$BB$406,40,FALSE)-VLOOKUP($A32,'ПР 01-02.22'!$A$11:$BB$378,40,FALSE)</f>
        <v>0</v>
      </c>
      <c r="AO32" s="5">
        <f>VLOOKUP($A32,'ПР 01-02.21'!$A$11:$BB$406,41,FALSE)+VLOOKUP($A32,'ПР 21-22'!$A$11:$BB$406,41,FALSE)-VLOOKUP($A32,'ПР 01-02.22'!$A$11:$BB$378,41,FALSE)</f>
        <v>0</v>
      </c>
      <c r="AP32" s="40"/>
      <c r="AQ32" s="5">
        <f>VLOOKUP($A32,'ПР 01-02.21'!$A$11:$BB$406,43,FALSE)+VLOOKUP($A32,'ПР 21-22'!$A$11:$BB$406,43,FALSE)-VLOOKUP($A32,'ПР 01-02.22'!$A$11:$BB$378,43,FALSE)</f>
        <v>0</v>
      </c>
      <c r="AR32" s="5">
        <f>VLOOKUP($A32,'ПР 01-02.21'!$A$11:$BB$406,44,FALSE)+VLOOKUP($A32,'ПР 21-22'!$A$11:$BB$406,44,FALSE)-VLOOKUP($A32,'ПР 01-02.22'!$A$11:$BB$378,44,FALSE)</f>
        <v>0</v>
      </c>
      <c r="AS32" s="40"/>
      <c r="AT32" s="5">
        <f>VLOOKUP($A32,'ПР 01-02.21'!$A$11:$BB$406,46,FALSE)+VLOOKUP($A32,'ПР 21-22'!$A$11:$BB$406,46,FALSE)-VLOOKUP($A32,'ПР 01-02.22'!$A$11:$BB$378,46,FALSE)</f>
        <v>0</v>
      </c>
      <c r="AU32" s="5">
        <f>VLOOKUP($A32,'ПР 01-02.21'!$A$11:$BB$406,47,FALSE)+VLOOKUP($A32,'ПР 21-22'!$A$11:$BB$406,47,FALSE)-VLOOKUP($A32,'ПР 01-02.22'!$A$11:$BB$378,47,FALSE)</f>
        <v>0</v>
      </c>
      <c r="AV32" s="40"/>
      <c r="AW32" s="5">
        <f>VLOOKUP($A32,'ПР 01-02.21'!$A$11:$BB$406,49,FALSE)+VLOOKUP($A32,'ПР 21-22'!$A$11:$BB$406,49,FALSE)-VLOOKUP($A32,'ПР 01-02.22'!$A$11:$BB$378,49,FALSE)</f>
        <v>11.468</v>
      </c>
      <c r="AX32" s="5">
        <f>VLOOKUP($A32,'ПР 01-02.21'!$A$11:$BB$406,50,FALSE)+VLOOKUP($A32,'ПР 21-22'!$A$11:$BB$406,50,FALSE)-VLOOKUP($A32,'ПР 01-02.22'!$A$11:$BB$378,50,FALSE)</f>
        <v>0</v>
      </c>
      <c r="AY32" s="40"/>
      <c r="AZ32" s="40">
        <f t="shared" si="3"/>
        <v>11.468</v>
      </c>
      <c r="BA32" s="40">
        <f t="shared" si="3"/>
        <v>0</v>
      </c>
      <c r="BB32" s="55">
        <f t="shared" si="4"/>
        <v>-11.468</v>
      </c>
      <c r="BD32" s="2">
        <v>3</v>
      </c>
      <c r="BF32" s="325">
        <v>150001000</v>
      </c>
    </row>
    <row r="33" spans="1:58" ht="24.9" customHeight="1" x14ac:dyDescent="0.3">
      <c r="A33" s="325">
        <v>150001004</v>
      </c>
      <c r="B33" s="445" t="s">
        <v>44</v>
      </c>
      <c r="C33" s="27">
        <v>1</v>
      </c>
      <c r="D33" s="101" t="s">
        <v>455</v>
      </c>
      <c r="E33" s="279">
        <f>'побудинковий звіт'!E31</f>
        <v>315.7</v>
      </c>
      <c r="F33" s="441">
        <f>'побудинковий звіт'!AS31</f>
        <v>2762.3775382535955</v>
      </c>
      <c r="G33" s="441">
        <f t="shared" si="1"/>
        <v>0</v>
      </c>
      <c r="H33" s="73">
        <f t="shared" si="2"/>
        <v>-2762.3775382535955</v>
      </c>
      <c r="I33" s="5">
        <f>VLOOKUP($A33,'ПР 01-02.21'!$A$11:$BB$406,9,FALSE)+VLOOKUP($A33,'ПР 21-22'!$A$11:$BB$406,9,FALSE)-VLOOKUP($A33,'ПР 01-02.22'!$A$11:$BB$378,9,FALSE)</f>
        <v>0</v>
      </c>
      <c r="J33" s="5">
        <f>VLOOKUP($A33,'ПР 01-02.21'!$A$11:$BB$406,10,FALSE)+VLOOKUP($A33,'ПР 21-22'!$A$11:$BB$406,10,FALSE)-VLOOKUP($A33,'ПР 01-02.22'!$A$11:$BB$378,10,FALSE)</f>
        <v>0</v>
      </c>
      <c r="K33" s="446"/>
      <c r="L33" s="5">
        <f>VLOOKUP($A33,'ПР 01-02.21'!$A$11:$BB$406,12,FALSE)+VLOOKUP($A33,'ПР 21-22'!$A$11:$BB$406,12,FALSE)-VLOOKUP($A33,'ПР 01-02.22'!$A$11:$BB$378,12,FALSE)</f>
        <v>0</v>
      </c>
      <c r="M33" s="5">
        <f>VLOOKUP($A33,'ПР 01-02.21'!$A$11:$BB$406,13,FALSE)+VLOOKUP($A33,'ПР 21-22'!$A$11:$BB$406,13,FALSE)-VLOOKUP($A33,'ПР 01-02.22'!$A$11:$BB$378,13,FALSE)</f>
        <v>0</v>
      </c>
      <c r="N33" s="38"/>
      <c r="O33" s="5">
        <f>VLOOKUP($A33,'ПР 01-02.21'!$A$11:$BB$406,15,FALSE)+VLOOKUP($A33,'ПР 21-22'!$A$11:$BB$406,15,FALSE)-VLOOKUP($A33,'ПР 01-02.22'!$A$11:$BB$378,15,FALSE)</f>
        <v>0</v>
      </c>
      <c r="P33" s="5">
        <f>VLOOKUP($A33,'ПР 01-02.21'!$A$11:$BB$406,16,FALSE)+VLOOKUP($A33,'ПР 21-22'!$A$11:$BB$406,16,FALSE)-VLOOKUP($A33,'ПР 01-02.22'!$A$11:$BB$378,16,FALSE)</f>
        <v>0</v>
      </c>
      <c r="Q33" s="443"/>
      <c r="R33" s="5">
        <f>VLOOKUP($A33,'ПР 01-02.21'!$A$11:$BB$406,18,FALSE)+VLOOKUP($A33,'ПР 21-22'!$A$11:$BB$406,18,FALSE)-VLOOKUP($A33,'ПР 01-02.22'!$A$11:$BB$378,18,FALSE)</f>
        <v>0</v>
      </c>
      <c r="S33" s="5">
        <f>VLOOKUP($A33,'ПР 01-02.21'!$A$11:$BB$406,19,FALSE)+VLOOKUP($A33,'ПР 21-22'!$A$11:$BB$406,19,FALSE)-VLOOKUP($A33,'ПР 01-02.22'!$A$11:$BB$378,19,FALSE)</f>
        <v>0</v>
      </c>
      <c r="T33" s="444"/>
      <c r="U33" s="5">
        <f>VLOOKUP($A33,'ПР 01-02.21'!$A$11:$BB$406,21,FALSE)+VLOOKUP($A33,'ПР 21-22'!$A$11:$BB$406,21,FALSE)-VLOOKUP($A33,'ПР 01-02.22'!$A$11:$BB$378,21,FALSE)</f>
        <v>0</v>
      </c>
      <c r="V33" s="5"/>
      <c r="W33" s="5">
        <f>VLOOKUP($A33,'ПР 01-02.21'!$A$11:$BB$406,23,FALSE)+VLOOKUP($A33,'ПР 21-22'!$A$11:$BB$406,23,FALSE)-VLOOKUP($A33,'ПР 01-02.22'!$A$11:$BB$378,23,FALSE)</f>
        <v>0</v>
      </c>
      <c r="X33" s="5">
        <f>VLOOKUP($A33,'ПР 01-02.21'!$A$11:$BB$406,24,FALSE)+VLOOKUP($A33,'ПР 21-22'!$A$11:$BB$406,24,FALSE)-VLOOKUP($A33,'ПР 01-02.22'!$A$11:$BB$378,24,FALSE)</f>
        <v>0</v>
      </c>
      <c r="Y33" s="5">
        <f>VLOOKUP($A33,'ПР 01-02.21'!$A$11:$BB$406,25,FALSE)+VLOOKUP($A33,'ПР 21-22'!$A$11:$BB$406,25,FALSE)-VLOOKUP($A33,'ПР 01-02.22'!$A$11:$BB$378,25,FALSE)</f>
        <v>0</v>
      </c>
      <c r="Z33" s="5"/>
      <c r="AA33" s="5">
        <f>VLOOKUP($A33,'ПР 01-02.21'!$A$11:$BB$406,27,FALSE)+VLOOKUP($A33,'ПР 21-22'!$A$11:$BB$406,27,FALSE)-VLOOKUP($A33,'ПР 01-02.22'!$A$11:$BB$378,27,FALSE)</f>
        <v>0</v>
      </c>
      <c r="AB33" s="5">
        <f>VLOOKUP($A33,'ПР 01-02.21'!$A$11:$BB$406,28,FALSE)+VLOOKUP($A33,'ПР 21-22'!$A$11:$BB$406,28,FALSE)-VLOOKUP($A33,'ПР 01-02.22'!$A$11:$BB$378,28,FALSE)</f>
        <v>0</v>
      </c>
      <c r="AC33" s="5">
        <f>VLOOKUP($A33,'ПР 01-02.21'!$A$11:$BB$406,29,FALSE)+VLOOKUP($A33,'ПР 21-22'!$A$11:$BB$406,29,FALSE)-VLOOKUP($A33,'ПР 01-02.22'!$A$11:$BB$378,29,FALSE)</f>
        <v>0</v>
      </c>
      <c r="AD33" s="5">
        <f>VLOOKUP($A33,'ПР 01-02.21'!$A$11:$BB$406,30,FALSE)+VLOOKUP($A33,'ПР 21-22'!$A$11:$BB$406,30,FALSE)-VLOOKUP($A33,'ПР 01-02.22'!$A$11:$BB$378,30,FALSE)</f>
        <v>0</v>
      </c>
      <c r="AE33" s="5">
        <f>VLOOKUP($A33,'ПР 01-02.21'!$A$11:$BB$406,31,FALSE)+VLOOKUP($A33,'ПР 21-22'!$A$11:$BB$406,31,FALSE)-VLOOKUP($A33,'ПР 01-02.22'!$A$11:$BB$378,31,FALSE)</f>
        <v>0</v>
      </c>
      <c r="AF33" s="5">
        <f>VLOOKUP($A33,'ПР 01-02.21'!$A$11:$BB$406,32,FALSE)+VLOOKUP($A33,'ПР 21-22'!$A$11:$BB$406,32,FALSE)-VLOOKUP($A33,'ПР 01-02.22'!$A$11:$BB$378,32,FALSE)</f>
        <v>0</v>
      </c>
      <c r="AG33" s="40"/>
      <c r="AH33" s="5">
        <f>VLOOKUP($A33,'ПР 01-02.21'!$A$11:$BB$406,34,FALSE)+VLOOKUP($A33,'ПР 21-22'!$A$11:$BB$406,34,FALSE)-VLOOKUP($A33,'ПР 01-02.22'!$A$11:$BB$378,34,FALSE)</f>
        <v>0</v>
      </c>
      <c r="AI33" s="5">
        <f>VLOOKUP($A33,'ПР 01-02.21'!$A$11:$BB$406,35,FALSE)+VLOOKUP($A33,'ПР 21-22'!$A$11:$BB$406,35,FALSE)-VLOOKUP($A33,'ПР 01-02.22'!$A$11:$BB$378,35,FALSE)</f>
        <v>0</v>
      </c>
      <c r="AJ33" s="40"/>
      <c r="AK33" s="5">
        <f>VLOOKUP($A33,'ПР 01-02.21'!$A$11:$BB$406,37,FALSE)+VLOOKUP($A33,'ПР 21-22'!$A$11:$BB$406,37,FALSE)-VLOOKUP($A33,'ПР 01-02.22'!$A$11:$BB$378,37,FALSE)</f>
        <v>0</v>
      </c>
      <c r="AL33" s="5">
        <f>VLOOKUP($A33,'ПР 01-02.21'!$A$11:$BB$406,38,FALSE)+VLOOKUP($A33,'ПР 21-22'!$A$11:$BB$406,38,FALSE)-VLOOKUP($A33,'ПР 01-02.22'!$A$11:$BB$378,38,FALSE)</f>
        <v>0</v>
      </c>
      <c r="AM33" s="40"/>
      <c r="AN33" s="5">
        <f>VLOOKUP($A33,'ПР 01-02.21'!$A$11:$BB$406,40,FALSE)+VLOOKUP($A33,'ПР 21-22'!$A$11:$BB$406,40,FALSE)-VLOOKUP($A33,'ПР 01-02.22'!$A$11:$BB$378,40,FALSE)</f>
        <v>0</v>
      </c>
      <c r="AO33" s="5">
        <f>VLOOKUP($A33,'ПР 01-02.21'!$A$11:$BB$406,41,FALSE)+VLOOKUP($A33,'ПР 21-22'!$A$11:$BB$406,41,FALSE)-VLOOKUP($A33,'ПР 01-02.22'!$A$11:$BB$378,41,FALSE)</f>
        <v>0</v>
      </c>
      <c r="AP33" s="40"/>
      <c r="AQ33" s="5">
        <f>VLOOKUP($A33,'ПР 01-02.21'!$A$11:$BB$406,43,FALSE)+VLOOKUP($A33,'ПР 21-22'!$A$11:$BB$406,43,FALSE)-VLOOKUP($A33,'ПР 01-02.22'!$A$11:$BB$378,43,FALSE)</f>
        <v>0</v>
      </c>
      <c r="AR33" s="5">
        <f>VLOOKUP($A33,'ПР 01-02.21'!$A$11:$BB$406,44,FALSE)+VLOOKUP($A33,'ПР 21-22'!$A$11:$BB$406,44,FALSE)-VLOOKUP($A33,'ПР 01-02.22'!$A$11:$BB$378,44,FALSE)</f>
        <v>0</v>
      </c>
      <c r="AS33" s="40"/>
      <c r="AT33" s="5">
        <f>VLOOKUP($A33,'ПР 01-02.21'!$A$11:$BB$406,46,FALSE)+VLOOKUP($A33,'ПР 21-22'!$A$11:$BB$406,46,FALSE)-VLOOKUP($A33,'ПР 01-02.22'!$A$11:$BB$378,46,FALSE)</f>
        <v>0</v>
      </c>
      <c r="AU33" s="5">
        <f>VLOOKUP($A33,'ПР 01-02.21'!$A$11:$BB$406,47,FALSE)+VLOOKUP($A33,'ПР 21-22'!$A$11:$BB$406,47,FALSE)-VLOOKUP($A33,'ПР 01-02.22'!$A$11:$BB$378,47,FALSE)</f>
        <v>0</v>
      </c>
      <c r="AV33" s="40"/>
      <c r="AW33" s="5">
        <f>VLOOKUP($A33,'ПР 01-02.21'!$A$11:$BB$406,49,FALSE)+VLOOKUP($A33,'ПР 21-22'!$A$11:$BB$406,49,FALSE)-VLOOKUP($A33,'ПР 01-02.22'!$A$11:$BB$378,49,FALSE)</f>
        <v>15.384</v>
      </c>
      <c r="AX33" s="5">
        <f>VLOOKUP($A33,'ПР 01-02.21'!$A$11:$BB$406,50,FALSE)+VLOOKUP($A33,'ПР 21-22'!$A$11:$BB$406,50,FALSE)-VLOOKUP($A33,'ПР 01-02.22'!$A$11:$BB$378,50,FALSE)</f>
        <v>0</v>
      </c>
      <c r="AY33" s="40"/>
      <c r="AZ33" s="40">
        <f t="shared" si="3"/>
        <v>15.384</v>
      </c>
      <c r="BA33" s="40">
        <f t="shared" si="3"/>
        <v>0</v>
      </c>
      <c r="BB33" s="55">
        <f t="shared" si="4"/>
        <v>-15.384</v>
      </c>
      <c r="BD33" s="2">
        <v>3</v>
      </c>
      <c r="BF33" s="325">
        <v>150001004</v>
      </c>
    </row>
    <row r="34" spans="1:58" ht="24.9" customHeight="1" x14ac:dyDescent="0.3">
      <c r="A34" s="325">
        <v>150000994</v>
      </c>
      <c r="B34" s="445" t="s">
        <v>45</v>
      </c>
      <c r="C34" s="27">
        <v>1</v>
      </c>
      <c r="D34" s="101" t="s">
        <v>455</v>
      </c>
      <c r="E34" s="279">
        <f>'побудинковий звіт'!E32</f>
        <v>239.9</v>
      </c>
      <c r="F34" s="441">
        <f>'побудинковий звіт'!AS32</f>
        <v>2409.0890001097428</v>
      </c>
      <c r="G34" s="441">
        <f t="shared" si="1"/>
        <v>1479</v>
      </c>
      <c r="H34" s="73">
        <f t="shared" si="2"/>
        <v>-930.08900010974276</v>
      </c>
      <c r="I34" s="5">
        <f>VLOOKUP($A34,'ПР 01-02.21'!$A$11:$BB$406,9,FALSE)+VLOOKUP($A34,'ПР 21-22'!$A$11:$BB$406,9,FALSE)-VLOOKUP($A34,'ПР 01-02.22'!$A$11:$BB$378,9,FALSE)</f>
        <v>6</v>
      </c>
      <c r="J34" s="5">
        <f>VLOOKUP($A34,'ПР 01-02.21'!$A$11:$BB$406,10,FALSE)+VLOOKUP($A34,'ПР 21-22'!$A$11:$BB$406,10,FALSE)-VLOOKUP($A34,'ПР 01-02.22'!$A$11:$BB$378,10,FALSE)</f>
        <v>904</v>
      </c>
      <c r="K34" s="446"/>
      <c r="L34" s="5">
        <f>VLOOKUP($A34,'ПР 01-02.21'!$A$11:$BB$406,12,FALSE)+VLOOKUP($A34,'ПР 21-22'!$A$11:$BB$406,12,FALSE)-VLOOKUP($A34,'ПР 01-02.22'!$A$11:$BB$378,12,FALSE)</f>
        <v>0</v>
      </c>
      <c r="M34" s="5">
        <f>VLOOKUP($A34,'ПР 01-02.21'!$A$11:$BB$406,13,FALSE)+VLOOKUP($A34,'ПР 21-22'!$A$11:$BB$406,13,FALSE)-VLOOKUP($A34,'ПР 01-02.22'!$A$11:$BB$378,13,FALSE)</f>
        <v>0</v>
      </c>
      <c r="N34" s="38"/>
      <c r="O34" s="5">
        <f>VLOOKUP($A34,'ПР 01-02.21'!$A$11:$BB$406,15,FALSE)+VLOOKUP($A34,'ПР 21-22'!$A$11:$BB$406,15,FALSE)-VLOOKUP($A34,'ПР 01-02.22'!$A$11:$BB$378,15,FALSE)</f>
        <v>0</v>
      </c>
      <c r="P34" s="5">
        <f>VLOOKUP($A34,'ПР 01-02.21'!$A$11:$BB$406,16,FALSE)+VLOOKUP($A34,'ПР 21-22'!$A$11:$BB$406,16,FALSE)-VLOOKUP($A34,'ПР 01-02.22'!$A$11:$BB$378,16,FALSE)</f>
        <v>0</v>
      </c>
      <c r="Q34" s="443"/>
      <c r="R34" s="5">
        <f>VLOOKUP($A34,'ПР 01-02.21'!$A$11:$BB$406,18,FALSE)+VLOOKUP($A34,'ПР 21-22'!$A$11:$BB$406,18,FALSE)-VLOOKUP($A34,'ПР 01-02.22'!$A$11:$BB$378,18,FALSE)</f>
        <v>0</v>
      </c>
      <c r="S34" s="5">
        <f>VLOOKUP($A34,'ПР 01-02.21'!$A$11:$BB$406,19,FALSE)+VLOOKUP($A34,'ПР 21-22'!$A$11:$BB$406,19,FALSE)-VLOOKUP($A34,'ПР 01-02.22'!$A$11:$BB$378,19,FALSE)</f>
        <v>0</v>
      </c>
      <c r="T34" s="444"/>
      <c r="U34" s="5">
        <f>VLOOKUP($A34,'ПР 01-02.21'!$A$11:$BB$406,21,FALSE)+VLOOKUP($A34,'ПР 21-22'!$A$11:$BB$406,21,FALSE)-VLOOKUP($A34,'ПР 01-02.22'!$A$11:$BB$378,21,FALSE)</f>
        <v>0</v>
      </c>
      <c r="V34" s="5"/>
      <c r="W34" s="5">
        <f>VLOOKUP($A34,'ПР 01-02.21'!$A$11:$BB$406,23,FALSE)+VLOOKUP($A34,'ПР 21-22'!$A$11:$BB$406,23,FALSE)-VLOOKUP($A34,'ПР 01-02.22'!$A$11:$BB$378,23,FALSE)</f>
        <v>0</v>
      </c>
      <c r="X34" s="5">
        <f>VLOOKUP($A34,'ПР 01-02.21'!$A$11:$BB$406,24,FALSE)+VLOOKUP($A34,'ПР 21-22'!$A$11:$BB$406,24,FALSE)-VLOOKUP($A34,'ПР 01-02.22'!$A$11:$BB$378,24,FALSE)</f>
        <v>0</v>
      </c>
      <c r="Y34" s="5">
        <f>VLOOKUP($A34,'ПР 01-02.21'!$A$11:$BB$406,25,FALSE)+VLOOKUP($A34,'ПР 21-22'!$A$11:$BB$406,25,FALSE)-VLOOKUP($A34,'ПР 01-02.22'!$A$11:$BB$378,25,FALSE)</f>
        <v>0</v>
      </c>
      <c r="Z34" s="5"/>
      <c r="AA34" s="5">
        <f>VLOOKUP($A34,'ПР 01-02.21'!$A$11:$BB$406,27,FALSE)+VLOOKUP($A34,'ПР 21-22'!$A$11:$BB$406,27,FALSE)-VLOOKUP($A34,'ПР 01-02.22'!$A$11:$BB$378,27,FALSE)</f>
        <v>0</v>
      </c>
      <c r="AB34" s="5">
        <f>VLOOKUP($A34,'ПР 01-02.21'!$A$11:$BB$406,28,FALSE)+VLOOKUP($A34,'ПР 21-22'!$A$11:$BB$406,28,FALSE)-VLOOKUP($A34,'ПР 01-02.22'!$A$11:$BB$378,28,FALSE)</f>
        <v>0</v>
      </c>
      <c r="AC34" s="5">
        <f>VLOOKUP($A34,'ПР 01-02.21'!$A$11:$BB$406,29,FALSE)+VLOOKUP($A34,'ПР 21-22'!$A$11:$BB$406,29,FALSE)-VLOOKUP($A34,'ПР 01-02.22'!$A$11:$BB$378,29,FALSE)</f>
        <v>0</v>
      </c>
      <c r="AD34" s="5">
        <f>VLOOKUP($A34,'ПР 01-02.21'!$A$11:$BB$406,30,FALSE)+VLOOKUP($A34,'ПР 21-22'!$A$11:$BB$406,30,FALSE)-VLOOKUP($A34,'ПР 01-02.22'!$A$11:$BB$378,30,FALSE)</f>
        <v>575</v>
      </c>
      <c r="AE34" s="5">
        <f>VLOOKUP($A34,'ПР 01-02.21'!$A$11:$BB$406,31,FALSE)+VLOOKUP($A34,'ПР 21-22'!$A$11:$BB$406,31,FALSE)-VLOOKUP($A34,'ПР 01-02.22'!$A$11:$BB$378,31,FALSE)</f>
        <v>0</v>
      </c>
      <c r="AF34" s="5">
        <f>VLOOKUP($A34,'ПР 01-02.21'!$A$11:$BB$406,32,FALSE)+VLOOKUP($A34,'ПР 21-22'!$A$11:$BB$406,32,FALSE)-VLOOKUP($A34,'ПР 01-02.22'!$A$11:$BB$378,32,FALSE)</f>
        <v>0</v>
      </c>
      <c r="AG34" s="40"/>
      <c r="AH34" s="5">
        <f>VLOOKUP($A34,'ПР 01-02.21'!$A$11:$BB$406,34,FALSE)+VLOOKUP($A34,'ПР 21-22'!$A$11:$BB$406,34,FALSE)-VLOOKUP($A34,'ПР 01-02.22'!$A$11:$BB$378,34,FALSE)</f>
        <v>0</v>
      </c>
      <c r="AI34" s="5">
        <f>VLOOKUP($A34,'ПР 01-02.21'!$A$11:$BB$406,35,FALSE)+VLOOKUP($A34,'ПР 21-22'!$A$11:$BB$406,35,FALSE)-VLOOKUP($A34,'ПР 01-02.22'!$A$11:$BB$378,35,FALSE)</f>
        <v>0</v>
      </c>
      <c r="AJ34" s="40"/>
      <c r="AK34" s="5">
        <f>VLOOKUP($A34,'ПР 01-02.21'!$A$11:$BB$406,37,FALSE)+VLOOKUP($A34,'ПР 21-22'!$A$11:$BB$406,37,FALSE)-VLOOKUP($A34,'ПР 01-02.22'!$A$11:$BB$378,37,FALSE)</f>
        <v>0</v>
      </c>
      <c r="AL34" s="5">
        <f>VLOOKUP($A34,'ПР 01-02.21'!$A$11:$BB$406,38,FALSE)+VLOOKUP($A34,'ПР 21-22'!$A$11:$BB$406,38,FALSE)-VLOOKUP($A34,'ПР 01-02.22'!$A$11:$BB$378,38,FALSE)</f>
        <v>0</v>
      </c>
      <c r="AM34" s="40"/>
      <c r="AN34" s="5">
        <f>VLOOKUP($A34,'ПР 01-02.21'!$A$11:$BB$406,40,FALSE)+VLOOKUP($A34,'ПР 21-22'!$A$11:$BB$406,40,FALSE)-VLOOKUP($A34,'ПР 01-02.22'!$A$11:$BB$378,40,FALSE)</f>
        <v>0</v>
      </c>
      <c r="AO34" s="5">
        <f>VLOOKUP($A34,'ПР 01-02.21'!$A$11:$BB$406,41,FALSE)+VLOOKUP($A34,'ПР 21-22'!$A$11:$BB$406,41,FALSE)-VLOOKUP($A34,'ПР 01-02.22'!$A$11:$BB$378,41,FALSE)</f>
        <v>0</v>
      </c>
      <c r="AP34" s="40"/>
      <c r="AQ34" s="5">
        <f>VLOOKUP($A34,'ПР 01-02.21'!$A$11:$BB$406,43,FALSE)+VLOOKUP($A34,'ПР 21-22'!$A$11:$BB$406,43,FALSE)-VLOOKUP($A34,'ПР 01-02.22'!$A$11:$BB$378,43,FALSE)</f>
        <v>0</v>
      </c>
      <c r="AR34" s="5">
        <f>VLOOKUP($A34,'ПР 01-02.21'!$A$11:$BB$406,44,FALSE)+VLOOKUP($A34,'ПР 21-22'!$A$11:$BB$406,44,FALSE)-VLOOKUP($A34,'ПР 01-02.22'!$A$11:$BB$378,44,FALSE)</f>
        <v>0</v>
      </c>
      <c r="AS34" s="40"/>
      <c r="AT34" s="5">
        <f>VLOOKUP($A34,'ПР 01-02.21'!$A$11:$BB$406,46,FALSE)+VLOOKUP($A34,'ПР 21-22'!$A$11:$BB$406,46,FALSE)-VLOOKUP($A34,'ПР 01-02.22'!$A$11:$BB$378,46,FALSE)</f>
        <v>0</v>
      </c>
      <c r="AU34" s="5">
        <f>VLOOKUP($A34,'ПР 01-02.21'!$A$11:$BB$406,47,FALSE)+VLOOKUP($A34,'ПР 21-22'!$A$11:$BB$406,47,FALSE)-VLOOKUP($A34,'ПР 01-02.22'!$A$11:$BB$378,47,FALSE)</f>
        <v>0</v>
      </c>
      <c r="AV34" s="40"/>
      <c r="AW34" s="5">
        <f>VLOOKUP($A34,'ПР 01-02.21'!$A$11:$BB$406,49,FALSE)+VLOOKUP($A34,'ПР 21-22'!$A$11:$BB$406,49,FALSE)-VLOOKUP($A34,'ПР 01-02.22'!$A$11:$BB$378,49,FALSE)</f>
        <v>11.596</v>
      </c>
      <c r="AX34" s="5">
        <f>VLOOKUP($A34,'ПР 01-02.21'!$A$11:$BB$406,50,FALSE)+VLOOKUP($A34,'ПР 21-22'!$A$11:$BB$406,50,FALSE)-VLOOKUP($A34,'ПР 01-02.22'!$A$11:$BB$378,50,FALSE)</f>
        <v>0</v>
      </c>
      <c r="AY34" s="40"/>
      <c r="AZ34" s="40">
        <f t="shared" si="3"/>
        <v>11.596</v>
      </c>
      <c r="BA34" s="40">
        <f t="shared" si="3"/>
        <v>0</v>
      </c>
      <c r="BB34" s="55">
        <f t="shared" si="4"/>
        <v>-11.596</v>
      </c>
      <c r="BD34" s="2">
        <v>3</v>
      </c>
      <c r="BF34" s="325">
        <v>150000994</v>
      </c>
    </row>
    <row r="35" spans="1:58" ht="24.9" customHeight="1" x14ac:dyDescent="0.3">
      <c r="A35" s="325">
        <v>150001001</v>
      </c>
      <c r="B35" s="445" t="s">
        <v>46</v>
      </c>
      <c r="C35" s="27">
        <v>1</v>
      </c>
      <c r="D35" s="101" t="s">
        <v>455</v>
      </c>
      <c r="E35" s="279">
        <f>'побудинковий звіт'!E33</f>
        <v>239.8</v>
      </c>
      <c r="F35" s="441">
        <f>'побудинковий звіт'!AS33</f>
        <v>0</v>
      </c>
      <c r="G35" s="441">
        <f t="shared" si="1"/>
        <v>0</v>
      </c>
      <c r="H35" s="73">
        <f t="shared" si="2"/>
        <v>0</v>
      </c>
      <c r="I35" s="5"/>
      <c r="J35" s="5"/>
      <c r="K35" s="446"/>
      <c r="L35" s="5"/>
      <c r="M35" s="5"/>
      <c r="N35" s="38"/>
      <c r="O35" s="5"/>
      <c r="P35" s="5"/>
      <c r="Q35" s="443"/>
      <c r="R35" s="5"/>
      <c r="S35" s="5"/>
      <c r="T35" s="444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40"/>
      <c r="AH35" s="5"/>
      <c r="AI35" s="5"/>
      <c r="AJ35" s="40"/>
      <c r="AK35" s="5"/>
      <c r="AL35" s="5"/>
      <c r="AM35" s="40"/>
      <c r="AN35" s="5"/>
      <c r="AO35" s="5"/>
      <c r="AP35" s="40"/>
      <c r="AQ35" s="5"/>
      <c r="AR35" s="5"/>
      <c r="AS35" s="40"/>
      <c r="AT35" s="5"/>
      <c r="AU35" s="5"/>
      <c r="AV35" s="40"/>
      <c r="AW35" s="5"/>
      <c r="AX35" s="5"/>
      <c r="AY35" s="40"/>
      <c r="AZ35" s="40">
        <f t="shared" si="3"/>
        <v>0</v>
      </c>
      <c r="BA35" s="40">
        <f t="shared" si="3"/>
        <v>0</v>
      </c>
      <c r="BB35" s="55">
        <f t="shared" si="4"/>
        <v>0</v>
      </c>
      <c r="BD35" s="2">
        <v>3</v>
      </c>
      <c r="BF35" s="325">
        <v>150001001</v>
      </c>
    </row>
    <row r="36" spans="1:58" ht="24.9" customHeight="1" x14ac:dyDescent="0.3">
      <c r="A36" s="325">
        <v>150001005</v>
      </c>
      <c r="B36" s="445" t="s">
        <v>47</v>
      </c>
      <c r="C36" s="27">
        <v>1</v>
      </c>
      <c r="D36" s="101" t="s">
        <v>455</v>
      </c>
      <c r="E36" s="279">
        <f>'побудинковий звіт'!E34</f>
        <v>242.2</v>
      </c>
      <c r="F36" s="441">
        <f>'побудинковий звіт'!AS34</f>
        <v>0</v>
      </c>
      <c r="G36" s="441">
        <f t="shared" si="1"/>
        <v>0</v>
      </c>
      <c r="H36" s="73">
        <f t="shared" si="2"/>
        <v>0</v>
      </c>
      <c r="I36" s="5"/>
      <c r="J36" s="5"/>
      <c r="K36" s="446"/>
      <c r="L36" s="5"/>
      <c r="M36" s="5"/>
      <c r="N36" s="38"/>
      <c r="O36" s="5"/>
      <c r="P36" s="5"/>
      <c r="Q36" s="443"/>
      <c r="R36" s="5"/>
      <c r="S36" s="5"/>
      <c r="T36" s="444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40"/>
      <c r="AH36" s="5"/>
      <c r="AI36" s="5"/>
      <c r="AJ36" s="40"/>
      <c r="AK36" s="5"/>
      <c r="AL36" s="5"/>
      <c r="AM36" s="40"/>
      <c r="AN36" s="5"/>
      <c r="AO36" s="5"/>
      <c r="AP36" s="40"/>
      <c r="AQ36" s="5"/>
      <c r="AR36" s="5"/>
      <c r="AS36" s="40"/>
      <c r="AT36" s="5"/>
      <c r="AU36" s="5"/>
      <c r="AV36" s="40"/>
      <c r="AW36" s="5"/>
      <c r="AX36" s="5"/>
      <c r="AY36" s="40"/>
      <c r="AZ36" s="40">
        <f t="shared" si="3"/>
        <v>0</v>
      </c>
      <c r="BA36" s="40">
        <f t="shared" si="3"/>
        <v>0</v>
      </c>
      <c r="BB36" s="55">
        <f t="shared" si="4"/>
        <v>0</v>
      </c>
      <c r="BD36" s="2">
        <v>3</v>
      </c>
      <c r="BF36" s="325">
        <v>150001005</v>
      </c>
    </row>
    <row r="37" spans="1:58" ht="24.9" customHeight="1" x14ac:dyDescent="0.3">
      <c r="A37" s="325">
        <v>150000995</v>
      </c>
      <c r="B37" s="445" t="s">
        <v>48</v>
      </c>
      <c r="C37" s="27">
        <v>1</v>
      </c>
      <c r="D37" s="101" t="s">
        <v>455</v>
      </c>
      <c r="E37" s="279">
        <f>'побудинковий звіт'!E35</f>
        <v>135.6</v>
      </c>
      <c r="F37" s="441">
        <f>'побудинковий звіт'!AS35</f>
        <v>1562.4875699541931</v>
      </c>
      <c r="G37" s="441">
        <f t="shared" si="1"/>
        <v>0</v>
      </c>
      <c r="H37" s="73">
        <f t="shared" si="2"/>
        <v>-1562.4875699541931</v>
      </c>
      <c r="I37" s="5">
        <f>VLOOKUP($A37,'ПР 01-02.21'!$A$11:$BB$406,9,FALSE)+VLOOKUP($A37,'ПР 21-22'!$A$11:$BB$406,9,FALSE)-VLOOKUP($A37,'ПР 01-02.22'!$A$11:$BB$378,9,FALSE)</f>
        <v>0</v>
      </c>
      <c r="J37" s="5">
        <f>VLOOKUP($A37,'ПР 01-02.21'!$A$11:$BB$406,10,FALSE)+VLOOKUP($A37,'ПР 21-22'!$A$11:$BB$406,10,FALSE)-VLOOKUP($A37,'ПР 01-02.22'!$A$11:$BB$378,10,FALSE)</f>
        <v>0</v>
      </c>
      <c r="K37" s="446"/>
      <c r="L37" s="5">
        <f>VLOOKUP($A37,'ПР 01-02.21'!$A$11:$BB$406,12,FALSE)+VLOOKUP($A37,'ПР 21-22'!$A$11:$BB$406,12,FALSE)-VLOOKUP($A37,'ПР 01-02.22'!$A$11:$BB$378,12,FALSE)</f>
        <v>0</v>
      </c>
      <c r="M37" s="5">
        <f>VLOOKUP($A37,'ПР 01-02.21'!$A$11:$BB$406,13,FALSE)+VLOOKUP($A37,'ПР 21-22'!$A$11:$BB$406,13,FALSE)-VLOOKUP($A37,'ПР 01-02.22'!$A$11:$BB$378,13,FALSE)</f>
        <v>0</v>
      </c>
      <c r="N37" s="38"/>
      <c r="O37" s="5">
        <f>VLOOKUP($A37,'ПР 01-02.21'!$A$11:$BB$406,15,FALSE)+VLOOKUP($A37,'ПР 21-22'!$A$11:$BB$406,15,FALSE)-VLOOKUP($A37,'ПР 01-02.22'!$A$11:$BB$378,15,FALSE)</f>
        <v>0</v>
      </c>
      <c r="P37" s="5">
        <f>VLOOKUP($A37,'ПР 01-02.21'!$A$11:$BB$406,16,FALSE)+VLOOKUP($A37,'ПР 21-22'!$A$11:$BB$406,16,FALSE)-VLOOKUP($A37,'ПР 01-02.22'!$A$11:$BB$378,16,FALSE)</f>
        <v>0</v>
      </c>
      <c r="Q37" s="443"/>
      <c r="R37" s="5">
        <f>VLOOKUP($A37,'ПР 01-02.21'!$A$11:$BB$406,18,FALSE)+VLOOKUP($A37,'ПР 21-22'!$A$11:$BB$406,18,FALSE)-VLOOKUP($A37,'ПР 01-02.22'!$A$11:$BB$378,18,FALSE)</f>
        <v>0</v>
      </c>
      <c r="S37" s="5">
        <f>VLOOKUP($A37,'ПР 01-02.21'!$A$11:$BB$406,19,FALSE)+VLOOKUP($A37,'ПР 21-22'!$A$11:$BB$406,19,FALSE)-VLOOKUP($A37,'ПР 01-02.22'!$A$11:$BB$378,19,FALSE)</f>
        <v>0</v>
      </c>
      <c r="T37" s="444"/>
      <c r="U37" s="5">
        <f>VLOOKUP($A37,'ПР 01-02.21'!$A$11:$BB$406,21,FALSE)+VLOOKUP($A37,'ПР 21-22'!$A$11:$BB$406,21,FALSE)-VLOOKUP($A37,'ПР 01-02.22'!$A$11:$BB$378,21,FALSE)</f>
        <v>0</v>
      </c>
      <c r="V37" s="5"/>
      <c r="W37" s="5">
        <f>VLOOKUP($A37,'ПР 01-02.21'!$A$11:$BB$406,23,FALSE)+VLOOKUP($A37,'ПР 21-22'!$A$11:$BB$406,23,FALSE)-VLOOKUP($A37,'ПР 01-02.22'!$A$11:$BB$378,23,FALSE)</f>
        <v>0</v>
      </c>
      <c r="X37" s="5">
        <f>VLOOKUP($A37,'ПР 01-02.21'!$A$11:$BB$406,24,FALSE)+VLOOKUP($A37,'ПР 21-22'!$A$11:$BB$406,24,FALSE)-VLOOKUP($A37,'ПР 01-02.22'!$A$11:$BB$378,24,FALSE)</f>
        <v>0</v>
      </c>
      <c r="Y37" s="5">
        <f>VLOOKUP($A37,'ПР 01-02.21'!$A$11:$BB$406,25,FALSE)+VLOOKUP($A37,'ПР 21-22'!$A$11:$BB$406,25,FALSE)-VLOOKUP($A37,'ПР 01-02.22'!$A$11:$BB$378,25,FALSE)</f>
        <v>0</v>
      </c>
      <c r="Z37" s="5"/>
      <c r="AA37" s="5">
        <f>VLOOKUP($A37,'ПР 01-02.21'!$A$11:$BB$406,27,FALSE)+VLOOKUP($A37,'ПР 21-22'!$A$11:$BB$406,27,FALSE)-VLOOKUP($A37,'ПР 01-02.22'!$A$11:$BB$378,27,FALSE)</f>
        <v>0</v>
      </c>
      <c r="AB37" s="5">
        <f>VLOOKUP($A37,'ПР 01-02.21'!$A$11:$BB$406,28,FALSE)+VLOOKUP($A37,'ПР 21-22'!$A$11:$BB$406,28,FALSE)-VLOOKUP($A37,'ПР 01-02.22'!$A$11:$BB$378,28,FALSE)</f>
        <v>0</v>
      </c>
      <c r="AC37" s="5">
        <f>VLOOKUP($A37,'ПР 01-02.21'!$A$11:$BB$406,29,FALSE)+VLOOKUP($A37,'ПР 21-22'!$A$11:$BB$406,29,FALSE)-VLOOKUP($A37,'ПР 01-02.22'!$A$11:$BB$378,29,FALSE)</f>
        <v>0</v>
      </c>
      <c r="AD37" s="5">
        <f>VLOOKUP($A37,'ПР 01-02.21'!$A$11:$BB$406,30,FALSE)+VLOOKUP($A37,'ПР 21-22'!$A$11:$BB$406,30,FALSE)-VLOOKUP($A37,'ПР 01-02.22'!$A$11:$BB$378,30,FALSE)</f>
        <v>0</v>
      </c>
      <c r="AE37" s="5">
        <f>VLOOKUP($A37,'ПР 01-02.21'!$A$11:$BB$406,31,FALSE)+VLOOKUP($A37,'ПР 21-22'!$A$11:$BB$406,31,FALSE)-VLOOKUP($A37,'ПР 01-02.22'!$A$11:$BB$378,31,FALSE)</f>
        <v>0</v>
      </c>
      <c r="AF37" s="5">
        <f>VLOOKUP($A37,'ПР 01-02.21'!$A$11:$BB$406,32,FALSE)+VLOOKUP($A37,'ПР 21-22'!$A$11:$BB$406,32,FALSE)-VLOOKUP($A37,'ПР 01-02.22'!$A$11:$BB$378,32,FALSE)</f>
        <v>0</v>
      </c>
      <c r="AG37" s="40"/>
      <c r="AH37" s="5">
        <f>VLOOKUP($A37,'ПР 01-02.21'!$A$11:$BB$406,34,FALSE)+VLOOKUP($A37,'ПР 21-22'!$A$11:$BB$406,34,FALSE)-VLOOKUP($A37,'ПР 01-02.22'!$A$11:$BB$378,34,FALSE)</f>
        <v>0</v>
      </c>
      <c r="AI37" s="5">
        <f>VLOOKUP($A37,'ПР 01-02.21'!$A$11:$BB$406,35,FALSE)+VLOOKUP($A37,'ПР 21-22'!$A$11:$BB$406,35,FALSE)-VLOOKUP($A37,'ПР 01-02.22'!$A$11:$BB$378,35,FALSE)</f>
        <v>0</v>
      </c>
      <c r="AJ37" s="40"/>
      <c r="AK37" s="5">
        <f>VLOOKUP($A37,'ПР 01-02.21'!$A$11:$BB$406,37,FALSE)+VLOOKUP($A37,'ПР 21-22'!$A$11:$BB$406,37,FALSE)-VLOOKUP($A37,'ПР 01-02.22'!$A$11:$BB$378,37,FALSE)</f>
        <v>0</v>
      </c>
      <c r="AL37" s="5">
        <f>VLOOKUP($A37,'ПР 01-02.21'!$A$11:$BB$406,38,FALSE)+VLOOKUP($A37,'ПР 21-22'!$A$11:$BB$406,38,FALSE)-VLOOKUP($A37,'ПР 01-02.22'!$A$11:$BB$378,38,FALSE)</f>
        <v>0</v>
      </c>
      <c r="AM37" s="40"/>
      <c r="AN37" s="5">
        <f>VLOOKUP($A37,'ПР 01-02.21'!$A$11:$BB$406,40,FALSE)+VLOOKUP($A37,'ПР 21-22'!$A$11:$BB$406,40,FALSE)-VLOOKUP($A37,'ПР 01-02.22'!$A$11:$BB$378,40,FALSE)</f>
        <v>0</v>
      </c>
      <c r="AO37" s="5">
        <f>VLOOKUP($A37,'ПР 01-02.21'!$A$11:$BB$406,41,FALSE)+VLOOKUP($A37,'ПР 21-22'!$A$11:$BB$406,41,FALSE)-VLOOKUP($A37,'ПР 01-02.22'!$A$11:$BB$378,41,FALSE)</f>
        <v>0</v>
      </c>
      <c r="AP37" s="40"/>
      <c r="AQ37" s="5">
        <f>VLOOKUP($A37,'ПР 01-02.21'!$A$11:$BB$406,43,FALSE)+VLOOKUP($A37,'ПР 21-22'!$A$11:$BB$406,43,FALSE)-VLOOKUP($A37,'ПР 01-02.22'!$A$11:$BB$378,43,FALSE)</f>
        <v>0</v>
      </c>
      <c r="AR37" s="5">
        <f>VLOOKUP($A37,'ПР 01-02.21'!$A$11:$BB$406,44,FALSE)+VLOOKUP($A37,'ПР 21-22'!$A$11:$BB$406,44,FALSE)-VLOOKUP($A37,'ПР 01-02.22'!$A$11:$BB$378,44,FALSE)</f>
        <v>0</v>
      </c>
      <c r="AS37" s="40"/>
      <c r="AT37" s="5">
        <f>VLOOKUP($A37,'ПР 01-02.21'!$A$11:$BB$406,46,FALSE)+VLOOKUP($A37,'ПР 21-22'!$A$11:$BB$406,46,FALSE)-VLOOKUP($A37,'ПР 01-02.22'!$A$11:$BB$378,46,FALSE)</f>
        <v>0</v>
      </c>
      <c r="AU37" s="5">
        <f>VLOOKUP($A37,'ПР 01-02.21'!$A$11:$BB$406,47,FALSE)+VLOOKUP($A37,'ПР 21-22'!$A$11:$BB$406,47,FALSE)-VLOOKUP($A37,'ПР 01-02.22'!$A$11:$BB$378,47,FALSE)</f>
        <v>0</v>
      </c>
      <c r="AV37" s="40"/>
      <c r="AW37" s="5">
        <f>VLOOKUP($A37,'ПР 01-02.21'!$A$11:$BB$406,49,FALSE)+VLOOKUP($A37,'ПР 21-22'!$A$11:$BB$406,49,FALSE)-VLOOKUP($A37,'ПР 01-02.22'!$A$11:$BB$378,49,FALSE)</f>
        <v>6.4239999999999995</v>
      </c>
      <c r="AX37" s="5">
        <f>VLOOKUP($A37,'ПР 01-02.21'!$A$11:$BB$406,50,FALSE)+VLOOKUP($A37,'ПР 21-22'!$A$11:$BB$406,50,FALSE)-VLOOKUP($A37,'ПР 01-02.22'!$A$11:$BB$378,50,FALSE)</f>
        <v>0</v>
      </c>
      <c r="AY37" s="40"/>
      <c r="AZ37" s="40">
        <f t="shared" si="3"/>
        <v>6.4239999999999995</v>
      </c>
      <c r="BA37" s="40">
        <f t="shared" si="3"/>
        <v>0</v>
      </c>
      <c r="BB37" s="55">
        <f t="shared" si="4"/>
        <v>-6.4239999999999995</v>
      </c>
      <c r="BD37" s="2">
        <v>3</v>
      </c>
      <c r="BF37" s="325">
        <v>150000995</v>
      </c>
    </row>
    <row r="38" spans="1:58" ht="24.9" customHeight="1" x14ac:dyDescent="0.3">
      <c r="A38" s="325">
        <v>150001002</v>
      </c>
      <c r="B38" s="445" t="s">
        <v>49</v>
      </c>
      <c r="C38" s="27">
        <v>1</v>
      </c>
      <c r="D38" s="101" t="s">
        <v>455</v>
      </c>
      <c r="E38" s="279">
        <f>'побудинковий звіт'!E36</f>
        <v>229.9</v>
      </c>
      <c r="F38" s="441">
        <f>'побудинковий звіт'!AS36</f>
        <v>2435.4284023454834</v>
      </c>
      <c r="G38" s="441">
        <f t="shared" si="1"/>
        <v>1970</v>
      </c>
      <c r="H38" s="73">
        <f t="shared" si="2"/>
        <v>-465.42840234548339</v>
      </c>
      <c r="I38" s="5">
        <f>VLOOKUP($A38,'ПР 01-02.21'!$A$11:$BB$406,9,FALSE)+VLOOKUP($A38,'ПР 21-22'!$A$11:$BB$406,9,FALSE)-VLOOKUP($A38,'ПР 01-02.22'!$A$11:$BB$378,9,FALSE)</f>
        <v>0</v>
      </c>
      <c r="J38" s="5">
        <f>VLOOKUP($A38,'ПР 01-02.21'!$A$11:$BB$406,10,FALSE)+VLOOKUP($A38,'ПР 21-22'!$A$11:$BB$406,10,FALSE)-VLOOKUP($A38,'ПР 01-02.22'!$A$11:$BB$378,10,FALSE)</f>
        <v>0</v>
      </c>
      <c r="K38" s="446"/>
      <c r="L38" s="5">
        <f>VLOOKUP($A38,'ПР 01-02.21'!$A$11:$BB$406,12,FALSE)+VLOOKUP($A38,'ПР 21-22'!$A$11:$BB$406,12,FALSE)-VLOOKUP($A38,'ПР 01-02.22'!$A$11:$BB$378,12,FALSE)</f>
        <v>0</v>
      </c>
      <c r="M38" s="5">
        <f>VLOOKUP($A38,'ПР 01-02.21'!$A$11:$BB$406,13,FALSE)+VLOOKUP($A38,'ПР 21-22'!$A$11:$BB$406,13,FALSE)-VLOOKUP($A38,'ПР 01-02.22'!$A$11:$BB$378,13,FALSE)</f>
        <v>0</v>
      </c>
      <c r="N38" s="38"/>
      <c r="O38" s="5">
        <f>VLOOKUP($A38,'ПР 01-02.21'!$A$11:$BB$406,15,FALSE)+VLOOKUP($A38,'ПР 21-22'!$A$11:$BB$406,15,FALSE)-VLOOKUP($A38,'ПР 01-02.22'!$A$11:$BB$378,15,FALSE)</f>
        <v>0</v>
      </c>
      <c r="P38" s="5">
        <f>VLOOKUP($A38,'ПР 01-02.21'!$A$11:$BB$406,16,FALSE)+VLOOKUP($A38,'ПР 21-22'!$A$11:$BB$406,16,FALSE)-VLOOKUP($A38,'ПР 01-02.22'!$A$11:$BB$378,16,FALSE)</f>
        <v>0</v>
      </c>
      <c r="Q38" s="443"/>
      <c r="R38" s="5">
        <f>VLOOKUP($A38,'ПР 01-02.21'!$A$11:$BB$406,18,FALSE)+VLOOKUP($A38,'ПР 21-22'!$A$11:$BB$406,18,FALSE)-VLOOKUP($A38,'ПР 01-02.22'!$A$11:$BB$378,18,FALSE)</f>
        <v>0</v>
      </c>
      <c r="S38" s="5">
        <f>VLOOKUP($A38,'ПР 01-02.21'!$A$11:$BB$406,19,FALSE)+VLOOKUP($A38,'ПР 21-22'!$A$11:$BB$406,19,FALSE)-VLOOKUP($A38,'ПР 01-02.22'!$A$11:$BB$378,19,FALSE)</f>
        <v>0</v>
      </c>
      <c r="T38" s="444"/>
      <c r="U38" s="5">
        <f>VLOOKUP($A38,'ПР 01-02.21'!$A$11:$BB$406,21,FALSE)+VLOOKUP($A38,'ПР 21-22'!$A$11:$BB$406,21,FALSE)-VLOOKUP($A38,'ПР 01-02.22'!$A$11:$BB$378,21,FALSE)</f>
        <v>0</v>
      </c>
      <c r="V38" s="5"/>
      <c r="W38" s="5">
        <f>VLOOKUP($A38,'ПР 01-02.21'!$A$11:$BB$406,23,FALSE)+VLOOKUP($A38,'ПР 21-22'!$A$11:$BB$406,23,FALSE)-VLOOKUP($A38,'ПР 01-02.22'!$A$11:$BB$378,23,FALSE)</f>
        <v>0</v>
      </c>
      <c r="X38" s="5">
        <f>VLOOKUP($A38,'ПР 01-02.21'!$A$11:$BB$406,24,FALSE)+VLOOKUP($A38,'ПР 21-22'!$A$11:$BB$406,24,FALSE)-VLOOKUP($A38,'ПР 01-02.22'!$A$11:$BB$378,24,FALSE)</f>
        <v>0</v>
      </c>
      <c r="Y38" s="5">
        <f>VLOOKUP($A38,'ПР 01-02.21'!$A$11:$BB$406,25,FALSE)+VLOOKUP($A38,'ПР 21-22'!$A$11:$BB$406,25,FALSE)-VLOOKUP($A38,'ПР 01-02.22'!$A$11:$BB$378,25,FALSE)</f>
        <v>1970</v>
      </c>
      <c r="Z38" s="5"/>
      <c r="AA38" s="5">
        <f>VLOOKUP($A38,'ПР 01-02.21'!$A$11:$BB$406,27,FALSE)+VLOOKUP($A38,'ПР 21-22'!$A$11:$BB$406,27,FALSE)-VLOOKUP($A38,'ПР 01-02.22'!$A$11:$BB$378,27,FALSE)</f>
        <v>0</v>
      </c>
      <c r="AB38" s="5">
        <f>VLOOKUP($A38,'ПР 01-02.21'!$A$11:$BB$406,28,FALSE)+VLOOKUP($A38,'ПР 21-22'!$A$11:$BB$406,28,FALSE)-VLOOKUP($A38,'ПР 01-02.22'!$A$11:$BB$378,28,FALSE)</f>
        <v>0</v>
      </c>
      <c r="AC38" s="5">
        <f>VLOOKUP($A38,'ПР 01-02.21'!$A$11:$BB$406,29,FALSE)+VLOOKUP($A38,'ПР 21-22'!$A$11:$BB$406,29,FALSE)-VLOOKUP($A38,'ПР 01-02.22'!$A$11:$BB$378,29,FALSE)</f>
        <v>0</v>
      </c>
      <c r="AD38" s="5">
        <f>VLOOKUP($A38,'ПР 01-02.21'!$A$11:$BB$406,30,FALSE)+VLOOKUP($A38,'ПР 21-22'!$A$11:$BB$406,30,FALSE)-VLOOKUP($A38,'ПР 01-02.22'!$A$11:$BB$378,30,FALSE)</f>
        <v>0</v>
      </c>
      <c r="AE38" s="5">
        <f>VLOOKUP($A38,'ПР 01-02.21'!$A$11:$BB$406,31,FALSE)+VLOOKUP($A38,'ПР 21-22'!$A$11:$BB$406,31,FALSE)-VLOOKUP($A38,'ПР 01-02.22'!$A$11:$BB$378,31,FALSE)</f>
        <v>0</v>
      </c>
      <c r="AF38" s="5">
        <f>VLOOKUP($A38,'ПР 01-02.21'!$A$11:$BB$406,32,FALSE)+VLOOKUP($A38,'ПР 21-22'!$A$11:$BB$406,32,FALSE)-VLOOKUP($A38,'ПР 01-02.22'!$A$11:$BB$378,32,FALSE)</f>
        <v>0</v>
      </c>
      <c r="AG38" s="40"/>
      <c r="AH38" s="5">
        <f>VLOOKUP($A38,'ПР 01-02.21'!$A$11:$BB$406,34,FALSE)+VLOOKUP($A38,'ПР 21-22'!$A$11:$BB$406,34,FALSE)-VLOOKUP($A38,'ПР 01-02.22'!$A$11:$BB$378,34,FALSE)</f>
        <v>0</v>
      </c>
      <c r="AI38" s="5">
        <f>VLOOKUP($A38,'ПР 01-02.21'!$A$11:$BB$406,35,FALSE)+VLOOKUP($A38,'ПР 21-22'!$A$11:$BB$406,35,FALSE)-VLOOKUP($A38,'ПР 01-02.22'!$A$11:$BB$378,35,FALSE)</f>
        <v>0</v>
      </c>
      <c r="AJ38" s="40"/>
      <c r="AK38" s="5">
        <f>VLOOKUP($A38,'ПР 01-02.21'!$A$11:$BB$406,37,FALSE)+VLOOKUP($A38,'ПР 21-22'!$A$11:$BB$406,37,FALSE)-VLOOKUP($A38,'ПР 01-02.22'!$A$11:$BB$378,37,FALSE)</f>
        <v>0</v>
      </c>
      <c r="AL38" s="5">
        <f>VLOOKUP($A38,'ПР 01-02.21'!$A$11:$BB$406,38,FALSE)+VLOOKUP($A38,'ПР 21-22'!$A$11:$BB$406,38,FALSE)-VLOOKUP($A38,'ПР 01-02.22'!$A$11:$BB$378,38,FALSE)</f>
        <v>0</v>
      </c>
      <c r="AM38" s="40"/>
      <c r="AN38" s="5">
        <f>VLOOKUP($A38,'ПР 01-02.21'!$A$11:$BB$406,40,FALSE)+VLOOKUP($A38,'ПР 21-22'!$A$11:$BB$406,40,FALSE)-VLOOKUP($A38,'ПР 01-02.22'!$A$11:$BB$378,40,FALSE)</f>
        <v>0</v>
      </c>
      <c r="AO38" s="5">
        <f>VLOOKUP($A38,'ПР 01-02.21'!$A$11:$BB$406,41,FALSE)+VLOOKUP($A38,'ПР 21-22'!$A$11:$BB$406,41,FALSE)-VLOOKUP($A38,'ПР 01-02.22'!$A$11:$BB$378,41,FALSE)</f>
        <v>0</v>
      </c>
      <c r="AP38" s="40"/>
      <c r="AQ38" s="5">
        <f>VLOOKUP($A38,'ПР 01-02.21'!$A$11:$BB$406,43,FALSE)+VLOOKUP($A38,'ПР 21-22'!$A$11:$BB$406,43,FALSE)-VLOOKUP($A38,'ПР 01-02.22'!$A$11:$BB$378,43,FALSE)</f>
        <v>0</v>
      </c>
      <c r="AR38" s="5">
        <f>VLOOKUP($A38,'ПР 01-02.21'!$A$11:$BB$406,44,FALSE)+VLOOKUP($A38,'ПР 21-22'!$A$11:$BB$406,44,FALSE)-VLOOKUP($A38,'ПР 01-02.22'!$A$11:$BB$378,44,FALSE)</f>
        <v>0</v>
      </c>
      <c r="AS38" s="40"/>
      <c r="AT38" s="5">
        <f>VLOOKUP($A38,'ПР 01-02.21'!$A$11:$BB$406,46,FALSE)+VLOOKUP($A38,'ПР 21-22'!$A$11:$BB$406,46,FALSE)-VLOOKUP($A38,'ПР 01-02.22'!$A$11:$BB$378,46,FALSE)</f>
        <v>0</v>
      </c>
      <c r="AU38" s="5">
        <f>VLOOKUP($A38,'ПР 01-02.21'!$A$11:$BB$406,47,FALSE)+VLOOKUP($A38,'ПР 21-22'!$A$11:$BB$406,47,FALSE)-VLOOKUP($A38,'ПР 01-02.22'!$A$11:$BB$378,47,FALSE)</f>
        <v>0</v>
      </c>
      <c r="AV38" s="40"/>
      <c r="AW38" s="5">
        <f>VLOOKUP($A38,'ПР 01-02.21'!$A$11:$BB$406,49,FALSE)+VLOOKUP($A38,'ПР 21-22'!$A$11:$BB$406,49,FALSE)-VLOOKUP($A38,'ПР 01-02.22'!$A$11:$BB$378,49,FALSE)</f>
        <v>11.196</v>
      </c>
      <c r="AX38" s="5">
        <f>VLOOKUP($A38,'ПР 01-02.21'!$A$11:$BB$406,50,FALSE)+VLOOKUP($A38,'ПР 21-22'!$A$11:$BB$406,50,FALSE)-VLOOKUP($A38,'ПР 01-02.22'!$A$11:$BB$378,50,FALSE)</f>
        <v>0</v>
      </c>
      <c r="AY38" s="40"/>
      <c r="AZ38" s="40">
        <f t="shared" si="3"/>
        <v>11.196</v>
      </c>
      <c r="BA38" s="40">
        <f t="shared" si="3"/>
        <v>0</v>
      </c>
      <c r="BB38" s="55">
        <f t="shared" si="4"/>
        <v>-11.196</v>
      </c>
      <c r="BD38" s="2">
        <v>3</v>
      </c>
      <c r="BF38" s="325">
        <v>150001002</v>
      </c>
    </row>
    <row r="39" spans="1:58" ht="24.9" customHeight="1" x14ac:dyDescent="0.3">
      <c r="A39" s="325">
        <v>150000972</v>
      </c>
      <c r="B39" s="445" t="s">
        <v>202</v>
      </c>
      <c r="C39" s="27">
        <v>4</v>
      </c>
      <c r="D39" s="101" t="s">
        <v>455</v>
      </c>
      <c r="E39" s="279">
        <f>'побудинковий звіт'!E37</f>
        <v>2167.6</v>
      </c>
      <c r="F39" s="441">
        <f>'побудинковий звіт'!AS37</f>
        <v>16922.624888569513</v>
      </c>
      <c r="G39" s="441">
        <f t="shared" si="1"/>
        <v>3839.4971777551573</v>
      </c>
      <c r="H39" s="73">
        <f t="shared" si="2"/>
        <v>-13083.127710814355</v>
      </c>
      <c r="I39" s="5">
        <f>VLOOKUP($A39,'ПР 01-02.21'!$A$11:$BB$406,9,FALSE)+VLOOKUP($A39,'ПР 21-22'!$A$11:$BB$406,9,FALSE)-VLOOKUP($A39,'ПР 01-02.22'!$A$11:$BB$378,9,FALSE)</f>
        <v>0</v>
      </c>
      <c r="J39" s="5">
        <f>VLOOKUP($A39,'ПР 01-02.21'!$A$11:$BB$406,10,FALSE)+VLOOKUP($A39,'ПР 21-22'!$A$11:$BB$406,10,FALSE)-VLOOKUP($A39,'ПР 01-02.22'!$A$11:$BB$378,10,FALSE)</f>
        <v>1628</v>
      </c>
      <c r="K39" s="446"/>
      <c r="L39" s="5">
        <f>VLOOKUP($A39,'ПР 01-02.21'!$A$11:$BB$406,12,FALSE)+VLOOKUP($A39,'ПР 21-22'!$A$11:$BB$406,12,FALSE)-VLOOKUP($A39,'ПР 01-02.22'!$A$11:$BB$378,12,FALSE)</f>
        <v>0</v>
      </c>
      <c r="M39" s="5">
        <f>VLOOKUP($A39,'ПР 01-02.21'!$A$11:$BB$406,13,FALSE)+VLOOKUP($A39,'ПР 21-22'!$A$11:$BB$406,13,FALSE)-VLOOKUP($A39,'ПР 01-02.22'!$A$11:$BB$378,13,FALSE)</f>
        <v>0</v>
      </c>
      <c r="N39" s="38"/>
      <c r="O39" s="5">
        <f>VLOOKUP($A39,'ПР 01-02.21'!$A$11:$BB$406,15,FALSE)+VLOOKUP($A39,'ПР 21-22'!$A$11:$BB$406,15,FALSE)-VLOOKUP($A39,'ПР 01-02.22'!$A$11:$BB$378,15,FALSE)</f>
        <v>0</v>
      </c>
      <c r="P39" s="5">
        <f>VLOOKUP($A39,'ПР 01-02.21'!$A$11:$BB$406,16,FALSE)+VLOOKUP($A39,'ПР 21-22'!$A$11:$BB$406,16,FALSE)-VLOOKUP($A39,'ПР 01-02.22'!$A$11:$BB$378,16,FALSE)</f>
        <v>0</v>
      </c>
      <c r="Q39" s="443"/>
      <c r="R39" s="5">
        <f>VLOOKUP($A39,'ПР 01-02.21'!$A$11:$BB$406,18,FALSE)+VLOOKUP($A39,'ПР 21-22'!$A$11:$BB$406,18,FALSE)-VLOOKUP($A39,'ПР 01-02.22'!$A$11:$BB$378,18,FALSE)</f>
        <v>0</v>
      </c>
      <c r="S39" s="5">
        <f>VLOOKUP($A39,'ПР 01-02.21'!$A$11:$BB$406,19,FALSE)+VLOOKUP($A39,'ПР 21-22'!$A$11:$BB$406,19,FALSE)-VLOOKUP($A39,'ПР 01-02.22'!$A$11:$BB$378,19,FALSE)</f>
        <v>0</v>
      </c>
      <c r="T39" s="444"/>
      <c r="U39" s="5">
        <f>VLOOKUP($A39,'ПР 01-02.21'!$A$11:$BB$406,21,FALSE)+VLOOKUP($A39,'ПР 21-22'!$A$11:$BB$406,21,FALSE)-VLOOKUP($A39,'ПР 01-02.22'!$A$11:$BB$378,21,FALSE)</f>
        <v>0</v>
      </c>
      <c r="V39" s="5"/>
      <c r="W39" s="5">
        <f>VLOOKUP($A39,'ПР 01-02.21'!$A$11:$BB$406,23,FALSE)+VLOOKUP($A39,'ПР 21-22'!$A$11:$BB$406,23,FALSE)-VLOOKUP($A39,'ПР 01-02.22'!$A$11:$BB$378,23,FALSE)</f>
        <v>0</v>
      </c>
      <c r="X39" s="5">
        <f>VLOOKUP($A39,'ПР 01-02.21'!$A$11:$BB$406,24,FALSE)+VLOOKUP($A39,'ПР 21-22'!$A$11:$BB$406,24,FALSE)-VLOOKUP($A39,'ПР 01-02.22'!$A$11:$BB$378,24,FALSE)</f>
        <v>163.49717775515711</v>
      </c>
      <c r="Y39" s="5">
        <f>VLOOKUP($A39,'ПР 01-02.21'!$A$11:$BB$406,25,FALSE)+VLOOKUP($A39,'ПР 21-22'!$A$11:$BB$406,25,FALSE)-VLOOKUP($A39,'ПР 01-02.22'!$A$11:$BB$378,25,FALSE)</f>
        <v>0</v>
      </c>
      <c r="Z39" s="5"/>
      <c r="AA39" s="5">
        <f>VLOOKUP($A39,'ПР 01-02.21'!$A$11:$BB$406,27,FALSE)+VLOOKUP($A39,'ПР 21-22'!$A$11:$BB$406,27,FALSE)-VLOOKUP($A39,'ПР 01-02.22'!$A$11:$BB$378,27,FALSE)</f>
        <v>0</v>
      </c>
      <c r="AB39" s="5">
        <f>VLOOKUP($A39,'ПР 01-02.21'!$A$11:$BB$406,28,FALSE)+VLOOKUP($A39,'ПР 21-22'!$A$11:$BB$406,28,FALSE)-VLOOKUP($A39,'ПР 01-02.22'!$A$11:$BB$378,28,FALSE)</f>
        <v>1740</v>
      </c>
      <c r="AC39" s="5">
        <f>VLOOKUP($A39,'ПР 01-02.21'!$A$11:$BB$406,29,FALSE)+VLOOKUP($A39,'ПР 21-22'!$A$11:$BB$406,29,FALSE)-VLOOKUP($A39,'ПР 01-02.22'!$A$11:$BB$378,29,FALSE)</f>
        <v>0</v>
      </c>
      <c r="AD39" s="5">
        <f>VLOOKUP($A39,'ПР 01-02.21'!$A$11:$BB$406,30,FALSE)+VLOOKUP($A39,'ПР 21-22'!$A$11:$BB$406,30,FALSE)-VLOOKUP($A39,'ПР 01-02.22'!$A$11:$BB$378,30,FALSE)</f>
        <v>308</v>
      </c>
      <c r="AE39" s="5">
        <f>VLOOKUP($A39,'ПР 01-02.21'!$A$11:$BB$406,31,FALSE)+VLOOKUP($A39,'ПР 21-22'!$A$11:$BB$406,31,FALSE)-VLOOKUP($A39,'ПР 01-02.22'!$A$11:$BB$378,31,FALSE)</f>
        <v>2180.8353160193292</v>
      </c>
      <c r="AF39" s="5">
        <f>VLOOKUP($A39,'ПР 01-02.21'!$A$11:$BB$406,32,FALSE)+VLOOKUP($A39,'ПР 21-22'!$A$11:$BB$406,32,FALSE)-VLOOKUP($A39,'ПР 01-02.22'!$A$11:$BB$378,32,FALSE)</f>
        <v>98</v>
      </c>
      <c r="AG39" s="40"/>
      <c r="AH39" s="5">
        <f>VLOOKUP($A39,'ПР 01-02.21'!$A$11:$BB$406,34,FALSE)+VLOOKUP($A39,'ПР 21-22'!$A$11:$BB$406,34,FALSE)-VLOOKUP($A39,'ПР 01-02.22'!$A$11:$BB$378,34,FALSE)</f>
        <v>2508.7453923891562</v>
      </c>
      <c r="AI39" s="5">
        <f>VLOOKUP($A39,'ПР 01-02.21'!$A$11:$BB$406,35,FALSE)+VLOOKUP($A39,'ПР 21-22'!$A$11:$BB$406,35,FALSE)-VLOOKUP($A39,'ПР 01-02.22'!$A$11:$BB$378,35,FALSE)</f>
        <v>0</v>
      </c>
      <c r="AJ39" s="40"/>
      <c r="AK39" s="5">
        <f>VLOOKUP($A39,'ПР 01-02.21'!$A$11:$BB$406,37,FALSE)+VLOOKUP($A39,'ПР 21-22'!$A$11:$BB$406,37,FALSE)-VLOOKUP($A39,'ПР 01-02.22'!$A$11:$BB$378,37,FALSE)</f>
        <v>1416.2415704218811</v>
      </c>
      <c r="AL39" s="5">
        <f>VLOOKUP($A39,'ПР 01-02.21'!$A$11:$BB$406,38,FALSE)+VLOOKUP($A39,'ПР 21-22'!$A$11:$BB$406,38,FALSE)-VLOOKUP($A39,'ПР 01-02.22'!$A$11:$BB$378,38,FALSE)</f>
        <v>0</v>
      </c>
      <c r="AM39" s="40"/>
      <c r="AN39" s="5">
        <f>VLOOKUP($A39,'ПР 01-02.21'!$A$11:$BB$406,40,FALSE)+VLOOKUP($A39,'ПР 21-22'!$A$11:$BB$406,40,FALSE)-VLOOKUP($A39,'ПР 01-02.22'!$A$11:$BB$378,40,FALSE)</f>
        <v>0</v>
      </c>
      <c r="AO39" s="5">
        <f>VLOOKUP($A39,'ПР 01-02.21'!$A$11:$BB$406,41,FALSE)+VLOOKUP($A39,'ПР 21-22'!$A$11:$BB$406,41,FALSE)-VLOOKUP($A39,'ПР 01-02.22'!$A$11:$BB$378,41,FALSE)</f>
        <v>0</v>
      </c>
      <c r="AP39" s="40"/>
      <c r="AQ39" s="5">
        <f>VLOOKUP($A39,'ПР 01-02.21'!$A$11:$BB$406,43,FALSE)+VLOOKUP($A39,'ПР 21-22'!$A$11:$BB$406,43,FALSE)-VLOOKUP($A39,'ПР 01-02.22'!$A$11:$BB$378,43,FALSE)</f>
        <v>0</v>
      </c>
      <c r="AR39" s="5">
        <f>VLOOKUP($A39,'ПР 01-02.21'!$A$11:$BB$406,44,FALSE)+VLOOKUP($A39,'ПР 21-22'!$A$11:$BB$406,44,FALSE)-VLOOKUP($A39,'ПР 01-02.22'!$A$11:$BB$378,44,FALSE)</f>
        <v>0</v>
      </c>
      <c r="AS39" s="40"/>
      <c r="AT39" s="5">
        <f>VLOOKUP($A39,'ПР 01-02.21'!$A$11:$BB$406,46,FALSE)+VLOOKUP($A39,'ПР 21-22'!$A$11:$BB$406,46,FALSE)-VLOOKUP($A39,'ПР 01-02.22'!$A$11:$BB$378,46,FALSE)</f>
        <v>1176.4604106654615</v>
      </c>
      <c r="AU39" s="5">
        <f>VLOOKUP($A39,'ПР 01-02.21'!$A$11:$BB$406,47,FALSE)+VLOOKUP($A39,'ПР 21-22'!$A$11:$BB$406,47,FALSE)-VLOOKUP($A39,'ПР 01-02.22'!$A$11:$BB$378,47,FALSE)</f>
        <v>727</v>
      </c>
      <c r="AV39" s="40"/>
      <c r="AW39" s="5">
        <f>VLOOKUP($A39,'ПР 01-02.21'!$A$11:$BB$406,49,FALSE)+VLOOKUP($A39,'ПР 21-22'!$A$11:$BB$406,49,FALSE)-VLOOKUP($A39,'ПР 01-02.22'!$A$11:$BB$378,49,FALSE)</f>
        <v>114.97200000000001</v>
      </c>
      <c r="AX39" s="5">
        <f>VLOOKUP($A39,'ПР 01-02.21'!$A$11:$BB$406,50,FALSE)+VLOOKUP($A39,'ПР 21-22'!$A$11:$BB$406,50,FALSE)-VLOOKUP($A39,'ПР 01-02.22'!$A$11:$BB$378,50,FALSE)</f>
        <v>473</v>
      </c>
      <c r="AY39" s="40"/>
      <c r="AZ39" s="40">
        <f t="shared" si="3"/>
        <v>7397.2546894958277</v>
      </c>
      <c r="BA39" s="40">
        <f t="shared" si="3"/>
        <v>1298</v>
      </c>
      <c r="BB39" s="55">
        <f t="shared" si="4"/>
        <v>-6099.2546894958277</v>
      </c>
      <c r="BD39" s="2">
        <v>2</v>
      </c>
      <c r="BF39" s="325">
        <v>150000972</v>
      </c>
    </row>
    <row r="40" spans="1:58" ht="24.9" customHeight="1" x14ac:dyDescent="0.3">
      <c r="A40" s="325">
        <v>150000973</v>
      </c>
      <c r="B40" s="445" t="s">
        <v>50</v>
      </c>
      <c r="C40" s="27">
        <v>1</v>
      </c>
      <c r="D40" s="101" t="s">
        <v>455</v>
      </c>
      <c r="E40" s="279">
        <f>'побудинковий звіт'!E38</f>
        <v>132.19999999999999</v>
      </c>
      <c r="F40" s="441">
        <f>'побудинковий звіт'!AS38</f>
        <v>0</v>
      </c>
      <c r="G40" s="441">
        <f t="shared" si="1"/>
        <v>0</v>
      </c>
      <c r="H40" s="73">
        <f t="shared" si="2"/>
        <v>0</v>
      </c>
      <c r="I40" s="5"/>
      <c r="J40" s="5"/>
      <c r="K40" s="446"/>
      <c r="L40" s="5"/>
      <c r="M40" s="5"/>
      <c r="N40" s="38"/>
      <c r="O40" s="5"/>
      <c r="P40" s="5"/>
      <c r="Q40" s="443"/>
      <c r="R40" s="5"/>
      <c r="S40" s="5"/>
      <c r="T40" s="444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40"/>
      <c r="AH40" s="5"/>
      <c r="AI40" s="5"/>
      <c r="AJ40" s="40"/>
      <c r="AK40" s="5"/>
      <c r="AL40" s="5"/>
      <c r="AM40" s="40"/>
      <c r="AN40" s="5"/>
      <c r="AO40" s="5"/>
      <c r="AP40" s="40"/>
      <c r="AQ40" s="5"/>
      <c r="AR40" s="5"/>
      <c r="AS40" s="40"/>
      <c r="AT40" s="5"/>
      <c r="AU40" s="5"/>
      <c r="AV40" s="40"/>
      <c r="AW40" s="5"/>
      <c r="AX40" s="5"/>
      <c r="AY40" s="40"/>
      <c r="AZ40" s="40">
        <f t="shared" si="3"/>
        <v>0</v>
      </c>
      <c r="BA40" s="40">
        <f t="shared" si="3"/>
        <v>0</v>
      </c>
      <c r="BB40" s="55">
        <f t="shared" si="4"/>
        <v>0</v>
      </c>
      <c r="BD40" s="2">
        <v>2</v>
      </c>
      <c r="BF40" s="325">
        <v>150000973</v>
      </c>
    </row>
    <row r="41" spans="1:58" ht="24.9" customHeight="1" x14ac:dyDescent="0.3">
      <c r="A41" s="325">
        <v>150000974</v>
      </c>
      <c r="B41" s="445" t="s">
        <v>203</v>
      </c>
      <c r="C41" s="27">
        <v>4</v>
      </c>
      <c r="D41" s="101" t="s">
        <v>455</v>
      </c>
      <c r="E41" s="279">
        <f>'побудинковий звіт'!E39</f>
        <v>2315.5700000000002</v>
      </c>
      <c r="F41" s="441">
        <f>'побудинковий звіт'!AS39</f>
        <v>21767.106376460892</v>
      </c>
      <c r="G41" s="441">
        <f t="shared" si="1"/>
        <v>9189.23</v>
      </c>
      <c r="H41" s="73">
        <f t="shared" si="2"/>
        <v>-12577.876376460892</v>
      </c>
      <c r="I41" s="5">
        <f>VLOOKUP($A41,'ПР 01-02.21'!$A$11:$BB$406,9,FALSE)+VLOOKUP($A41,'ПР 21-22'!$A$11:$BB$406,9,FALSE)-VLOOKUP($A41,'ПР 01-02.22'!$A$11:$BB$378,9,FALSE)</f>
        <v>12</v>
      </c>
      <c r="J41" s="5">
        <f>VLOOKUP($A41,'ПР 01-02.21'!$A$11:$BB$406,10,FALSE)+VLOOKUP($A41,'ПР 21-22'!$A$11:$BB$406,10,FALSE)-VLOOKUP($A41,'ПР 01-02.22'!$A$11:$BB$378,10,FALSE)</f>
        <v>9189.23</v>
      </c>
      <c r="K41" s="446"/>
      <c r="L41" s="5">
        <f>VLOOKUP($A41,'ПР 01-02.21'!$A$11:$BB$406,12,FALSE)+VLOOKUP($A41,'ПР 21-22'!$A$11:$BB$406,12,FALSE)-VLOOKUP($A41,'ПР 01-02.22'!$A$11:$BB$378,12,FALSE)</f>
        <v>0</v>
      </c>
      <c r="M41" s="5">
        <f>VLOOKUP($A41,'ПР 01-02.21'!$A$11:$BB$406,13,FALSE)+VLOOKUP($A41,'ПР 21-22'!$A$11:$BB$406,13,FALSE)-VLOOKUP($A41,'ПР 01-02.22'!$A$11:$BB$378,13,FALSE)</f>
        <v>0</v>
      </c>
      <c r="N41" s="38"/>
      <c r="O41" s="5">
        <f>VLOOKUP($A41,'ПР 01-02.21'!$A$11:$BB$406,15,FALSE)+VLOOKUP($A41,'ПР 21-22'!$A$11:$BB$406,15,FALSE)-VLOOKUP($A41,'ПР 01-02.22'!$A$11:$BB$378,15,FALSE)</f>
        <v>0</v>
      </c>
      <c r="P41" s="5">
        <f>VLOOKUP($A41,'ПР 01-02.21'!$A$11:$BB$406,16,FALSE)+VLOOKUP($A41,'ПР 21-22'!$A$11:$BB$406,16,FALSE)-VLOOKUP($A41,'ПР 01-02.22'!$A$11:$BB$378,16,FALSE)</f>
        <v>0</v>
      </c>
      <c r="Q41" s="443"/>
      <c r="R41" s="5">
        <f>VLOOKUP($A41,'ПР 01-02.21'!$A$11:$BB$406,18,FALSE)+VLOOKUP($A41,'ПР 21-22'!$A$11:$BB$406,18,FALSE)-VLOOKUP($A41,'ПР 01-02.22'!$A$11:$BB$378,18,FALSE)</f>
        <v>0</v>
      </c>
      <c r="S41" s="5">
        <f>VLOOKUP($A41,'ПР 01-02.21'!$A$11:$BB$406,19,FALSE)+VLOOKUP($A41,'ПР 21-22'!$A$11:$BB$406,19,FALSE)-VLOOKUP($A41,'ПР 01-02.22'!$A$11:$BB$378,19,FALSE)</f>
        <v>0</v>
      </c>
      <c r="T41" s="444"/>
      <c r="U41" s="5">
        <f>VLOOKUP($A41,'ПР 01-02.21'!$A$11:$BB$406,21,FALSE)+VLOOKUP($A41,'ПР 21-22'!$A$11:$BB$406,21,FALSE)-VLOOKUP($A41,'ПР 01-02.22'!$A$11:$BB$378,21,FALSE)</f>
        <v>0</v>
      </c>
      <c r="V41" s="5"/>
      <c r="W41" s="5">
        <f>VLOOKUP($A41,'ПР 01-02.21'!$A$11:$BB$406,23,FALSE)+VLOOKUP($A41,'ПР 21-22'!$A$11:$BB$406,23,FALSE)-VLOOKUP($A41,'ПР 01-02.22'!$A$11:$BB$378,23,FALSE)</f>
        <v>0</v>
      </c>
      <c r="X41" s="5">
        <f>VLOOKUP($A41,'ПР 01-02.21'!$A$11:$BB$406,24,FALSE)+VLOOKUP($A41,'ПР 21-22'!$A$11:$BB$406,24,FALSE)-VLOOKUP($A41,'ПР 01-02.22'!$A$11:$BB$378,24,FALSE)</f>
        <v>0</v>
      </c>
      <c r="Y41" s="5">
        <f>VLOOKUP($A41,'ПР 01-02.21'!$A$11:$BB$406,25,FALSE)+VLOOKUP($A41,'ПР 21-22'!$A$11:$BB$406,25,FALSE)-VLOOKUP($A41,'ПР 01-02.22'!$A$11:$BB$378,25,FALSE)</f>
        <v>0</v>
      </c>
      <c r="Z41" s="5"/>
      <c r="AA41" s="5">
        <f>VLOOKUP($A41,'ПР 01-02.21'!$A$11:$BB$406,27,FALSE)+VLOOKUP($A41,'ПР 21-22'!$A$11:$BB$406,27,FALSE)-VLOOKUP($A41,'ПР 01-02.22'!$A$11:$BB$378,27,FALSE)</f>
        <v>0</v>
      </c>
      <c r="AB41" s="5">
        <f>VLOOKUP($A41,'ПР 01-02.21'!$A$11:$BB$406,28,FALSE)+VLOOKUP($A41,'ПР 21-22'!$A$11:$BB$406,28,FALSE)-VLOOKUP($A41,'ПР 01-02.22'!$A$11:$BB$378,28,FALSE)</f>
        <v>0</v>
      </c>
      <c r="AC41" s="5">
        <f>VLOOKUP($A41,'ПР 01-02.21'!$A$11:$BB$406,29,FALSE)+VLOOKUP($A41,'ПР 21-22'!$A$11:$BB$406,29,FALSE)-VLOOKUP($A41,'ПР 01-02.22'!$A$11:$BB$378,29,FALSE)</f>
        <v>0</v>
      </c>
      <c r="AD41" s="5">
        <f>VLOOKUP($A41,'ПР 01-02.21'!$A$11:$BB$406,30,FALSE)+VLOOKUP($A41,'ПР 21-22'!$A$11:$BB$406,30,FALSE)-VLOOKUP($A41,'ПР 01-02.22'!$A$11:$BB$378,30,FALSE)</f>
        <v>0</v>
      </c>
      <c r="AE41" s="5">
        <f>VLOOKUP($A41,'ПР 01-02.21'!$A$11:$BB$406,31,FALSE)+VLOOKUP($A41,'ПР 21-22'!$A$11:$BB$406,31,FALSE)-VLOOKUP($A41,'ПР 01-02.22'!$A$11:$BB$378,31,FALSE)</f>
        <v>1748.1997564026985</v>
      </c>
      <c r="AF41" s="5">
        <f>VLOOKUP($A41,'ПР 01-02.21'!$A$11:$BB$406,32,FALSE)+VLOOKUP($A41,'ПР 21-22'!$A$11:$BB$406,32,FALSE)-VLOOKUP($A41,'ПР 01-02.22'!$A$11:$BB$378,32,FALSE)</f>
        <v>0</v>
      </c>
      <c r="AG41" s="40"/>
      <c r="AH41" s="5">
        <f>VLOOKUP($A41,'ПР 01-02.21'!$A$11:$BB$406,34,FALSE)+VLOOKUP($A41,'ПР 21-22'!$A$11:$BB$406,34,FALSE)-VLOOKUP($A41,'ПР 01-02.22'!$A$11:$BB$378,34,FALSE)</f>
        <v>1719.8077424610249</v>
      </c>
      <c r="AI41" s="5">
        <f>VLOOKUP($A41,'ПР 01-02.21'!$A$11:$BB$406,35,FALSE)+VLOOKUP($A41,'ПР 21-22'!$A$11:$BB$406,35,FALSE)-VLOOKUP($A41,'ПР 01-02.22'!$A$11:$BB$378,35,FALSE)</f>
        <v>0</v>
      </c>
      <c r="AJ41" s="40"/>
      <c r="AK41" s="5">
        <f>VLOOKUP($A41,'ПР 01-02.21'!$A$11:$BB$406,37,FALSE)+VLOOKUP($A41,'ПР 21-22'!$A$11:$BB$406,37,FALSE)-VLOOKUP($A41,'ПР 01-02.22'!$A$11:$BB$378,37,FALSE)</f>
        <v>1403.4862075603608</v>
      </c>
      <c r="AL41" s="5">
        <f>VLOOKUP($A41,'ПР 01-02.21'!$A$11:$BB$406,38,FALSE)+VLOOKUP($A41,'ПР 21-22'!$A$11:$BB$406,38,FALSE)-VLOOKUP($A41,'ПР 01-02.22'!$A$11:$BB$378,38,FALSE)</f>
        <v>0</v>
      </c>
      <c r="AM41" s="40"/>
      <c r="AN41" s="5">
        <f>VLOOKUP($A41,'ПР 01-02.21'!$A$11:$BB$406,40,FALSE)+VLOOKUP($A41,'ПР 21-22'!$A$11:$BB$406,40,FALSE)-VLOOKUP($A41,'ПР 01-02.22'!$A$11:$BB$378,40,FALSE)</f>
        <v>1972.0154540870233</v>
      </c>
      <c r="AO41" s="5">
        <f>VLOOKUP($A41,'ПР 01-02.21'!$A$11:$BB$406,41,FALSE)+VLOOKUP($A41,'ПР 21-22'!$A$11:$BB$406,41,FALSE)-VLOOKUP($A41,'ПР 01-02.22'!$A$11:$BB$378,41,FALSE)</f>
        <v>0</v>
      </c>
      <c r="AP41" s="40"/>
      <c r="AQ41" s="5">
        <f>VLOOKUP($A41,'ПР 01-02.21'!$A$11:$BB$406,43,FALSE)+VLOOKUP($A41,'ПР 21-22'!$A$11:$BB$406,43,FALSE)-VLOOKUP($A41,'ПР 01-02.22'!$A$11:$BB$378,43,FALSE)</f>
        <v>0</v>
      </c>
      <c r="AR41" s="5">
        <f>VLOOKUP($A41,'ПР 01-02.21'!$A$11:$BB$406,44,FALSE)+VLOOKUP($A41,'ПР 21-22'!$A$11:$BB$406,44,FALSE)-VLOOKUP($A41,'ПР 01-02.22'!$A$11:$BB$378,44,FALSE)</f>
        <v>0</v>
      </c>
      <c r="AS41" s="40"/>
      <c r="AT41" s="5">
        <f>VLOOKUP($A41,'ПР 01-02.21'!$A$11:$BB$406,46,FALSE)+VLOOKUP($A41,'ПР 21-22'!$A$11:$BB$406,46,FALSE)-VLOOKUP($A41,'ПР 01-02.22'!$A$11:$BB$378,46,FALSE)</f>
        <v>1104.3568848074008</v>
      </c>
      <c r="AU41" s="5">
        <f>VLOOKUP($A41,'ПР 01-02.21'!$A$11:$BB$406,47,FALSE)+VLOOKUP($A41,'ПР 21-22'!$A$11:$BB$406,47,FALSE)-VLOOKUP($A41,'ПР 01-02.22'!$A$11:$BB$378,47,FALSE)</f>
        <v>0</v>
      </c>
      <c r="AV41" s="40"/>
      <c r="AW41" s="5">
        <f>VLOOKUP($A41,'ПР 01-02.21'!$A$11:$BB$406,49,FALSE)+VLOOKUP($A41,'ПР 21-22'!$A$11:$BB$406,49,FALSE)-VLOOKUP($A41,'ПР 01-02.22'!$A$11:$BB$378,49,FALSE)</f>
        <v>115.62280000000001</v>
      </c>
      <c r="AX41" s="5">
        <f>VLOOKUP($A41,'ПР 01-02.21'!$A$11:$BB$406,50,FALSE)+VLOOKUP($A41,'ПР 21-22'!$A$11:$BB$406,50,FALSE)-VLOOKUP($A41,'ПР 01-02.22'!$A$11:$BB$378,50,FALSE)</f>
        <v>0</v>
      </c>
      <c r="AY41" s="40"/>
      <c r="AZ41" s="40">
        <f t="shared" si="3"/>
        <v>8063.4888453185085</v>
      </c>
      <c r="BA41" s="40">
        <f t="shared" si="3"/>
        <v>0</v>
      </c>
      <c r="BB41" s="55">
        <f t="shared" si="4"/>
        <v>-8063.4888453185085</v>
      </c>
      <c r="BD41" s="2">
        <v>2</v>
      </c>
      <c r="BF41" s="325">
        <v>150000974</v>
      </c>
    </row>
    <row r="42" spans="1:58" ht="24.9" customHeight="1" x14ac:dyDescent="0.3">
      <c r="A42" s="325">
        <v>150000975</v>
      </c>
      <c r="B42" s="445" t="s">
        <v>204</v>
      </c>
      <c r="C42" s="27">
        <v>4</v>
      </c>
      <c r="D42" s="101" t="s">
        <v>455</v>
      </c>
      <c r="E42" s="279">
        <f>'побудинковий звіт'!E40</f>
        <v>3253.33</v>
      </c>
      <c r="F42" s="441">
        <f>'побудинковий звіт'!AS40</f>
        <v>22274.363884144965</v>
      </c>
      <c r="G42" s="441">
        <f t="shared" si="1"/>
        <v>31275.4</v>
      </c>
      <c r="H42" s="73">
        <f t="shared" si="2"/>
        <v>9001.0361158550368</v>
      </c>
      <c r="I42" s="5">
        <f>VLOOKUP($A42,'ПР 01-02.21'!$A$11:$BB$406,9,FALSE)+VLOOKUP($A42,'ПР 21-22'!$A$11:$BB$406,9,FALSE)-VLOOKUP($A42,'ПР 01-02.22'!$A$11:$BB$378,9,FALSE)</f>
        <v>0</v>
      </c>
      <c r="J42" s="5">
        <f>VLOOKUP($A42,'ПР 01-02.21'!$A$11:$BB$406,10,FALSE)+VLOOKUP($A42,'ПР 21-22'!$A$11:$BB$406,10,FALSE)-VLOOKUP($A42,'ПР 01-02.22'!$A$11:$BB$378,10,FALSE)</f>
        <v>8432</v>
      </c>
      <c r="K42" s="446"/>
      <c r="L42" s="5">
        <f>VLOOKUP($A42,'ПР 01-02.21'!$A$11:$BB$406,12,FALSE)+VLOOKUP($A42,'ПР 21-22'!$A$11:$BB$406,12,FALSE)-VLOOKUP($A42,'ПР 01-02.22'!$A$11:$BB$378,12,FALSE)</f>
        <v>0</v>
      </c>
      <c r="M42" s="5">
        <f>VLOOKUP($A42,'ПР 01-02.21'!$A$11:$BB$406,13,FALSE)+VLOOKUP($A42,'ПР 21-22'!$A$11:$BB$406,13,FALSE)-VLOOKUP($A42,'ПР 01-02.22'!$A$11:$BB$378,13,FALSE)</f>
        <v>0</v>
      </c>
      <c r="N42" s="38"/>
      <c r="O42" s="5">
        <f>VLOOKUP($A42,'ПР 01-02.21'!$A$11:$BB$406,15,FALSE)+VLOOKUP($A42,'ПР 21-22'!$A$11:$BB$406,15,FALSE)-VLOOKUP($A42,'ПР 01-02.22'!$A$11:$BB$378,15,FALSE)</f>
        <v>0</v>
      </c>
      <c r="P42" s="5">
        <f>VLOOKUP($A42,'ПР 01-02.21'!$A$11:$BB$406,16,FALSE)+VLOOKUP($A42,'ПР 21-22'!$A$11:$BB$406,16,FALSE)-VLOOKUP($A42,'ПР 01-02.22'!$A$11:$BB$378,16,FALSE)</f>
        <v>0</v>
      </c>
      <c r="Q42" s="443"/>
      <c r="R42" s="5">
        <f>VLOOKUP($A42,'ПР 01-02.21'!$A$11:$BB$406,18,FALSE)+VLOOKUP($A42,'ПР 21-22'!$A$11:$BB$406,18,FALSE)-VLOOKUP($A42,'ПР 01-02.22'!$A$11:$BB$378,18,FALSE)</f>
        <v>0</v>
      </c>
      <c r="S42" s="5">
        <f>VLOOKUP($A42,'ПР 01-02.21'!$A$11:$BB$406,19,FALSE)+VLOOKUP($A42,'ПР 21-22'!$A$11:$BB$406,19,FALSE)-VLOOKUP($A42,'ПР 01-02.22'!$A$11:$BB$378,19,FALSE)</f>
        <v>0</v>
      </c>
      <c r="T42" s="444"/>
      <c r="U42" s="5">
        <f>VLOOKUP($A42,'ПР 01-02.21'!$A$11:$BB$406,21,FALSE)+VLOOKUP($A42,'ПР 21-22'!$A$11:$BB$406,21,FALSE)-VLOOKUP($A42,'ПР 01-02.22'!$A$11:$BB$378,21,FALSE)</f>
        <v>0</v>
      </c>
      <c r="V42" s="5"/>
      <c r="W42" s="5">
        <f>VLOOKUP($A42,'ПР 01-02.21'!$A$11:$BB$406,23,FALSE)+VLOOKUP($A42,'ПР 21-22'!$A$11:$BB$406,23,FALSE)-VLOOKUP($A42,'ПР 01-02.22'!$A$11:$BB$378,23,FALSE)</f>
        <v>0</v>
      </c>
      <c r="X42" s="5">
        <f>VLOOKUP($A42,'ПР 01-02.21'!$A$11:$BB$406,24,FALSE)+VLOOKUP($A42,'ПР 21-22'!$A$11:$BB$406,24,FALSE)-VLOOKUP($A42,'ПР 01-02.22'!$A$11:$BB$378,24,FALSE)</f>
        <v>0</v>
      </c>
      <c r="Y42" s="5">
        <f>VLOOKUP($A42,'ПР 01-02.21'!$A$11:$BB$406,25,FALSE)+VLOOKUP($A42,'ПР 21-22'!$A$11:$BB$406,25,FALSE)-VLOOKUP($A42,'ПР 01-02.22'!$A$11:$BB$378,25,FALSE)</f>
        <v>20093.400000000001</v>
      </c>
      <c r="Z42" s="5"/>
      <c r="AA42" s="5">
        <f>VLOOKUP($A42,'ПР 01-02.21'!$A$11:$BB$406,27,FALSE)+VLOOKUP($A42,'ПР 21-22'!$A$11:$BB$406,27,FALSE)-VLOOKUP($A42,'ПР 01-02.22'!$A$11:$BB$378,27,FALSE)</f>
        <v>0</v>
      </c>
      <c r="AB42" s="5">
        <f>VLOOKUP($A42,'ПР 01-02.21'!$A$11:$BB$406,28,FALSE)+VLOOKUP($A42,'ПР 21-22'!$A$11:$BB$406,28,FALSE)-VLOOKUP($A42,'ПР 01-02.22'!$A$11:$BB$378,28,FALSE)</f>
        <v>0</v>
      </c>
      <c r="AC42" s="5">
        <f>VLOOKUP($A42,'ПР 01-02.21'!$A$11:$BB$406,29,FALSE)+VLOOKUP($A42,'ПР 21-22'!$A$11:$BB$406,29,FALSE)-VLOOKUP($A42,'ПР 01-02.22'!$A$11:$BB$378,29,FALSE)</f>
        <v>151</v>
      </c>
      <c r="AD42" s="5">
        <f>VLOOKUP($A42,'ПР 01-02.21'!$A$11:$BB$406,30,FALSE)+VLOOKUP($A42,'ПР 21-22'!$A$11:$BB$406,30,FALSE)-VLOOKUP($A42,'ПР 01-02.22'!$A$11:$BB$378,30,FALSE)</f>
        <v>2599</v>
      </c>
      <c r="AE42" s="5">
        <f>VLOOKUP($A42,'ПР 01-02.21'!$A$11:$BB$406,31,FALSE)+VLOOKUP($A42,'ПР 21-22'!$A$11:$BB$406,31,FALSE)-VLOOKUP($A42,'ПР 01-02.22'!$A$11:$BB$378,31,FALSE)</f>
        <v>2612.0360907098802</v>
      </c>
      <c r="AF42" s="5">
        <f>VLOOKUP($A42,'ПР 01-02.21'!$A$11:$BB$406,32,FALSE)+VLOOKUP($A42,'ПР 21-22'!$A$11:$BB$406,32,FALSE)-VLOOKUP($A42,'ПР 01-02.22'!$A$11:$BB$378,32,FALSE)</f>
        <v>729.31</v>
      </c>
      <c r="AG42" s="40"/>
      <c r="AH42" s="5">
        <f>VLOOKUP($A42,'ПР 01-02.21'!$A$11:$BB$406,34,FALSE)+VLOOKUP($A42,'ПР 21-22'!$A$11:$BB$406,34,FALSE)-VLOOKUP($A42,'ПР 01-02.22'!$A$11:$BB$378,34,FALSE)</f>
        <v>3542.4327839631396</v>
      </c>
      <c r="AI42" s="5">
        <f>VLOOKUP($A42,'ПР 01-02.21'!$A$11:$BB$406,35,FALSE)+VLOOKUP($A42,'ПР 21-22'!$A$11:$BB$406,35,FALSE)-VLOOKUP($A42,'ПР 01-02.22'!$A$11:$BB$378,35,FALSE)</f>
        <v>0</v>
      </c>
      <c r="AJ42" s="40"/>
      <c r="AK42" s="5">
        <f>VLOOKUP($A42,'ПР 01-02.21'!$A$11:$BB$406,37,FALSE)+VLOOKUP($A42,'ПР 21-22'!$A$11:$BB$406,37,FALSE)-VLOOKUP($A42,'ПР 01-02.22'!$A$11:$BB$378,37,FALSE)</f>
        <v>2041.1984670013642</v>
      </c>
      <c r="AL42" s="5">
        <f>VLOOKUP($A42,'ПР 01-02.21'!$A$11:$BB$406,38,FALSE)+VLOOKUP($A42,'ПР 21-22'!$A$11:$BB$406,38,FALSE)-VLOOKUP($A42,'ПР 01-02.22'!$A$11:$BB$378,38,FALSE)</f>
        <v>0</v>
      </c>
      <c r="AM42" s="40"/>
      <c r="AN42" s="5">
        <f>VLOOKUP($A42,'ПР 01-02.21'!$A$11:$BB$406,40,FALSE)+VLOOKUP($A42,'ПР 21-22'!$A$11:$BB$406,40,FALSE)-VLOOKUP($A42,'ПР 01-02.22'!$A$11:$BB$378,40,FALSE)</f>
        <v>0</v>
      </c>
      <c r="AO42" s="5">
        <f>VLOOKUP($A42,'ПР 01-02.21'!$A$11:$BB$406,41,FALSE)+VLOOKUP($A42,'ПР 21-22'!$A$11:$BB$406,41,FALSE)-VLOOKUP($A42,'ПР 01-02.22'!$A$11:$BB$378,41,FALSE)</f>
        <v>0</v>
      </c>
      <c r="AP42" s="40"/>
      <c r="AQ42" s="5">
        <f>VLOOKUP($A42,'ПР 01-02.21'!$A$11:$BB$406,43,FALSE)+VLOOKUP($A42,'ПР 21-22'!$A$11:$BB$406,43,FALSE)-VLOOKUP($A42,'ПР 01-02.22'!$A$11:$BB$378,43,FALSE)</f>
        <v>0</v>
      </c>
      <c r="AR42" s="5">
        <f>VLOOKUP($A42,'ПР 01-02.21'!$A$11:$BB$406,44,FALSE)+VLOOKUP($A42,'ПР 21-22'!$A$11:$BB$406,44,FALSE)-VLOOKUP($A42,'ПР 01-02.22'!$A$11:$BB$378,44,FALSE)</f>
        <v>0</v>
      </c>
      <c r="AS42" s="40"/>
      <c r="AT42" s="5">
        <f>VLOOKUP($A42,'ПР 01-02.21'!$A$11:$BB$406,46,FALSE)+VLOOKUP($A42,'ПР 21-22'!$A$11:$BB$406,46,FALSE)-VLOOKUP($A42,'ПР 01-02.22'!$A$11:$BB$378,46,FALSE)</f>
        <v>2306.7849621197529</v>
      </c>
      <c r="AU42" s="5">
        <f>VLOOKUP($A42,'ПР 01-02.21'!$A$11:$BB$406,47,FALSE)+VLOOKUP($A42,'ПР 21-22'!$A$11:$BB$406,47,FALSE)-VLOOKUP($A42,'ПР 01-02.22'!$A$11:$BB$378,47,FALSE)</f>
        <v>0</v>
      </c>
      <c r="AV42" s="40"/>
      <c r="AW42" s="5">
        <f>VLOOKUP($A42,'ПР 01-02.21'!$A$11:$BB$406,49,FALSE)+VLOOKUP($A42,'ПР 21-22'!$A$11:$BB$406,49,FALSE)-VLOOKUP($A42,'ПР 01-02.22'!$A$11:$BB$378,49,FALSE)</f>
        <v>163.14520000000002</v>
      </c>
      <c r="AX42" s="5">
        <f>VLOOKUP($A42,'ПР 01-02.21'!$A$11:$BB$406,50,FALSE)+VLOOKUP($A42,'ПР 21-22'!$A$11:$BB$406,50,FALSE)-VLOOKUP($A42,'ПР 01-02.22'!$A$11:$BB$378,50,FALSE)</f>
        <v>0</v>
      </c>
      <c r="AY42" s="40"/>
      <c r="AZ42" s="40">
        <f t="shared" si="3"/>
        <v>10665.597503794137</v>
      </c>
      <c r="BA42" s="40">
        <f t="shared" si="3"/>
        <v>729.31</v>
      </c>
      <c r="BB42" s="55">
        <f t="shared" si="4"/>
        <v>-9936.2875037941376</v>
      </c>
      <c r="BD42" s="2">
        <v>2</v>
      </c>
      <c r="BF42" s="325">
        <v>150000975</v>
      </c>
    </row>
    <row r="43" spans="1:58" ht="24.9" customHeight="1" x14ac:dyDescent="0.3">
      <c r="A43" s="325">
        <v>150000976</v>
      </c>
      <c r="B43" s="445" t="s">
        <v>150</v>
      </c>
      <c r="C43" s="27">
        <v>2</v>
      </c>
      <c r="D43" s="101" t="s">
        <v>455</v>
      </c>
      <c r="E43" s="279">
        <f>'побудинковий звіт'!E41</f>
        <v>924.5</v>
      </c>
      <c r="F43" s="441">
        <f>'побудинковий звіт'!AS41</f>
        <v>9350.1147892698791</v>
      </c>
      <c r="G43" s="441">
        <f t="shared" si="1"/>
        <v>331</v>
      </c>
      <c r="H43" s="73">
        <f t="shared" si="2"/>
        <v>-9019.1147892698791</v>
      </c>
      <c r="I43" s="5">
        <f>VLOOKUP($A43,'ПР 01-02.21'!$A$11:$BB$406,9,FALSE)+VLOOKUP($A43,'ПР 21-22'!$A$11:$BB$406,9,FALSE)-VLOOKUP($A43,'ПР 01-02.22'!$A$11:$BB$378,9,FALSE)</f>
        <v>0</v>
      </c>
      <c r="J43" s="5">
        <f>VLOOKUP($A43,'ПР 01-02.21'!$A$11:$BB$406,10,FALSE)+VLOOKUP($A43,'ПР 21-22'!$A$11:$BB$406,10,FALSE)-VLOOKUP($A43,'ПР 01-02.22'!$A$11:$BB$378,10,FALSE)</f>
        <v>0</v>
      </c>
      <c r="K43" s="446"/>
      <c r="L43" s="5">
        <f>VLOOKUP($A43,'ПР 01-02.21'!$A$11:$BB$406,12,FALSE)+VLOOKUP($A43,'ПР 21-22'!$A$11:$BB$406,12,FALSE)-VLOOKUP($A43,'ПР 01-02.22'!$A$11:$BB$378,12,FALSE)</f>
        <v>0</v>
      </c>
      <c r="M43" s="5">
        <f>VLOOKUP($A43,'ПР 01-02.21'!$A$11:$BB$406,13,FALSE)+VLOOKUP($A43,'ПР 21-22'!$A$11:$BB$406,13,FALSE)-VLOOKUP($A43,'ПР 01-02.22'!$A$11:$BB$378,13,FALSE)</f>
        <v>0</v>
      </c>
      <c r="N43" s="38"/>
      <c r="O43" s="5">
        <f>VLOOKUP($A43,'ПР 01-02.21'!$A$11:$BB$406,15,FALSE)+VLOOKUP($A43,'ПР 21-22'!$A$11:$BB$406,15,FALSE)-VLOOKUP($A43,'ПР 01-02.22'!$A$11:$BB$378,15,FALSE)</f>
        <v>0</v>
      </c>
      <c r="P43" s="5">
        <f>VLOOKUP($A43,'ПР 01-02.21'!$A$11:$BB$406,16,FALSE)+VLOOKUP($A43,'ПР 21-22'!$A$11:$BB$406,16,FALSE)-VLOOKUP($A43,'ПР 01-02.22'!$A$11:$BB$378,16,FALSE)</f>
        <v>0</v>
      </c>
      <c r="Q43" s="443"/>
      <c r="R43" s="5">
        <f>VLOOKUP($A43,'ПР 01-02.21'!$A$11:$BB$406,18,FALSE)+VLOOKUP($A43,'ПР 21-22'!$A$11:$BB$406,18,FALSE)-VLOOKUP($A43,'ПР 01-02.22'!$A$11:$BB$378,18,FALSE)</f>
        <v>0</v>
      </c>
      <c r="S43" s="5">
        <f>VLOOKUP($A43,'ПР 01-02.21'!$A$11:$BB$406,19,FALSE)+VLOOKUP($A43,'ПР 21-22'!$A$11:$BB$406,19,FALSE)-VLOOKUP($A43,'ПР 01-02.22'!$A$11:$BB$378,19,FALSE)</f>
        <v>0</v>
      </c>
      <c r="T43" s="444"/>
      <c r="U43" s="5">
        <f>VLOOKUP($A43,'ПР 01-02.21'!$A$11:$BB$406,21,FALSE)+VLOOKUP($A43,'ПР 21-22'!$A$11:$BB$406,21,FALSE)-VLOOKUP($A43,'ПР 01-02.22'!$A$11:$BB$378,21,FALSE)</f>
        <v>0</v>
      </c>
      <c r="V43" s="5"/>
      <c r="W43" s="5">
        <f>VLOOKUP($A43,'ПР 01-02.21'!$A$11:$BB$406,23,FALSE)+VLOOKUP($A43,'ПР 21-22'!$A$11:$BB$406,23,FALSE)-VLOOKUP($A43,'ПР 01-02.22'!$A$11:$BB$378,23,FALSE)</f>
        <v>0</v>
      </c>
      <c r="X43" s="5">
        <f>VLOOKUP($A43,'ПР 01-02.21'!$A$11:$BB$406,24,FALSE)+VLOOKUP($A43,'ПР 21-22'!$A$11:$BB$406,24,FALSE)-VLOOKUP($A43,'ПР 01-02.22'!$A$11:$BB$378,24,FALSE)</f>
        <v>0</v>
      </c>
      <c r="Y43" s="5">
        <f>VLOOKUP($A43,'ПР 01-02.21'!$A$11:$BB$406,25,FALSE)+VLOOKUP($A43,'ПР 21-22'!$A$11:$BB$406,25,FALSE)-VLOOKUP($A43,'ПР 01-02.22'!$A$11:$BB$378,25,FALSE)</f>
        <v>0</v>
      </c>
      <c r="Z43" s="5"/>
      <c r="AA43" s="5">
        <f>VLOOKUP($A43,'ПР 01-02.21'!$A$11:$BB$406,27,FALSE)+VLOOKUP($A43,'ПР 21-22'!$A$11:$BB$406,27,FALSE)-VLOOKUP($A43,'ПР 01-02.22'!$A$11:$BB$378,27,FALSE)</f>
        <v>0</v>
      </c>
      <c r="AB43" s="5">
        <f>VLOOKUP($A43,'ПР 01-02.21'!$A$11:$BB$406,28,FALSE)+VLOOKUP($A43,'ПР 21-22'!$A$11:$BB$406,28,FALSE)-VLOOKUP($A43,'ПР 01-02.22'!$A$11:$BB$378,28,FALSE)</f>
        <v>0</v>
      </c>
      <c r="AC43" s="5">
        <f>VLOOKUP($A43,'ПР 01-02.21'!$A$11:$BB$406,29,FALSE)+VLOOKUP($A43,'ПР 21-22'!$A$11:$BB$406,29,FALSE)-VLOOKUP($A43,'ПР 01-02.22'!$A$11:$BB$378,29,FALSE)</f>
        <v>0</v>
      </c>
      <c r="AD43" s="5">
        <f>VLOOKUP($A43,'ПР 01-02.21'!$A$11:$BB$406,30,FALSE)+VLOOKUP($A43,'ПР 21-22'!$A$11:$BB$406,30,FALSE)-VLOOKUP($A43,'ПР 01-02.22'!$A$11:$BB$378,30,FALSE)</f>
        <v>331</v>
      </c>
      <c r="AE43" s="5">
        <f>VLOOKUP($A43,'ПР 01-02.21'!$A$11:$BB$406,31,FALSE)+VLOOKUP($A43,'ПР 21-22'!$A$11:$BB$406,31,FALSE)-VLOOKUP($A43,'ПР 01-02.22'!$A$11:$BB$378,31,FALSE)</f>
        <v>1274.8846804817151</v>
      </c>
      <c r="AF43" s="5">
        <f>VLOOKUP($A43,'ПР 01-02.21'!$A$11:$BB$406,32,FALSE)+VLOOKUP($A43,'ПР 21-22'!$A$11:$BB$406,32,FALSE)-VLOOKUP($A43,'ПР 01-02.22'!$A$11:$BB$378,32,FALSE)</f>
        <v>0</v>
      </c>
      <c r="AG43" s="40"/>
      <c r="AH43" s="5">
        <f>VLOOKUP($A43,'ПР 01-02.21'!$A$11:$BB$406,34,FALSE)+VLOOKUP($A43,'ПР 21-22'!$A$11:$BB$406,34,FALSE)-VLOOKUP($A43,'ПР 01-02.22'!$A$11:$BB$378,34,FALSE)</f>
        <v>1514.5918126950999</v>
      </c>
      <c r="AI43" s="5">
        <f>VLOOKUP($A43,'ПР 01-02.21'!$A$11:$BB$406,35,FALSE)+VLOOKUP($A43,'ПР 21-22'!$A$11:$BB$406,35,FALSE)-VLOOKUP($A43,'ПР 01-02.22'!$A$11:$BB$378,35,FALSE)</f>
        <v>0</v>
      </c>
      <c r="AJ43" s="40"/>
      <c r="AK43" s="5">
        <f>VLOOKUP($A43,'ПР 01-02.21'!$A$11:$BB$406,37,FALSE)+VLOOKUP($A43,'ПР 21-22'!$A$11:$BB$406,37,FALSE)-VLOOKUP($A43,'ПР 01-02.22'!$A$11:$BB$378,37,FALSE)</f>
        <v>452.15256117525735</v>
      </c>
      <c r="AL43" s="5">
        <f>VLOOKUP($A43,'ПР 01-02.21'!$A$11:$BB$406,38,FALSE)+VLOOKUP($A43,'ПР 21-22'!$A$11:$BB$406,38,FALSE)-VLOOKUP($A43,'ПР 01-02.22'!$A$11:$BB$378,38,FALSE)</f>
        <v>0</v>
      </c>
      <c r="AM43" s="40"/>
      <c r="AN43" s="5">
        <f>VLOOKUP($A43,'ПР 01-02.21'!$A$11:$BB$406,40,FALSE)+VLOOKUP($A43,'ПР 21-22'!$A$11:$BB$406,40,FALSE)-VLOOKUP($A43,'ПР 01-02.22'!$A$11:$BB$378,40,FALSE)</f>
        <v>732.85220554240709</v>
      </c>
      <c r="AO43" s="5">
        <f>VLOOKUP($A43,'ПР 01-02.21'!$A$11:$BB$406,41,FALSE)+VLOOKUP($A43,'ПР 21-22'!$A$11:$BB$406,41,FALSE)-VLOOKUP($A43,'ПР 01-02.22'!$A$11:$BB$378,41,FALSE)</f>
        <v>0</v>
      </c>
      <c r="AP43" s="40"/>
      <c r="AQ43" s="5">
        <f>VLOOKUP($A43,'ПР 01-02.21'!$A$11:$BB$406,43,FALSE)+VLOOKUP($A43,'ПР 21-22'!$A$11:$BB$406,43,FALSE)-VLOOKUP($A43,'ПР 01-02.22'!$A$11:$BB$378,43,FALSE)</f>
        <v>0</v>
      </c>
      <c r="AR43" s="5">
        <f>VLOOKUP($A43,'ПР 01-02.21'!$A$11:$BB$406,44,FALSE)+VLOOKUP($A43,'ПР 21-22'!$A$11:$BB$406,44,FALSE)-VLOOKUP($A43,'ПР 01-02.22'!$A$11:$BB$378,44,FALSE)</f>
        <v>0</v>
      </c>
      <c r="AS43" s="40"/>
      <c r="AT43" s="5">
        <f>VLOOKUP($A43,'ПР 01-02.21'!$A$11:$BB$406,46,FALSE)+VLOOKUP($A43,'ПР 21-22'!$A$11:$BB$406,46,FALSE)-VLOOKUP($A43,'ПР 01-02.22'!$A$11:$BB$378,46,FALSE)</f>
        <v>156.96953662910565</v>
      </c>
      <c r="AU43" s="5">
        <f>VLOOKUP($A43,'ПР 01-02.21'!$A$11:$BB$406,47,FALSE)+VLOOKUP($A43,'ПР 21-22'!$A$11:$BB$406,47,FALSE)-VLOOKUP($A43,'ПР 01-02.22'!$A$11:$BB$378,47,FALSE)</f>
        <v>0</v>
      </c>
      <c r="AV43" s="40"/>
      <c r="AW43" s="5">
        <f>VLOOKUP($A43,'ПР 01-02.21'!$A$11:$BB$406,49,FALSE)+VLOOKUP($A43,'ПР 21-22'!$A$11:$BB$406,49,FALSE)-VLOOKUP($A43,'ПР 01-02.22'!$A$11:$BB$378,49,FALSE)</f>
        <v>310.91645875777988</v>
      </c>
      <c r="AX43" s="5">
        <f>VLOOKUP($A43,'ПР 01-02.21'!$A$11:$BB$406,50,FALSE)+VLOOKUP($A43,'ПР 21-22'!$A$11:$BB$406,50,FALSE)-VLOOKUP($A43,'ПР 01-02.22'!$A$11:$BB$378,50,FALSE)</f>
        <v>0</v>
      </c>
      <c r="AY43" s="40"/>
      <c r="AZ43" s="40">
        <f t="shared" si="3"/>
        <v>4442.3672552813641</v>
      </c>
      <c r="BA43" s="40">
        <f t="shared" si="3"/>
        <v>0</v>
      </c>
      <c r="BB43" s="55">
        <f t="shared" si="4"/>
        <v>-4442.3672552813641</v>
      </c>
      <c r="BD43" s="2">
        <v>2</v>
      </c>
      <c r="BF43" s="325">
        <v>150000976</v>
      </c>
    </row>
    <row r="44" spans="1:58" ht="24.9" customHeight="1" x14ac:dyDescent="0.3">
      <c r="A44" s="325">
        <v>150000977</v>
      </c>
      <c r="B44" s="445" t="s">
        <v>151</v>
      </c>
      <c r="C44" s="27">
        <v>2</v>
      </c>
      <c r="D44" s="101" t="s">
        <v>455</v>
      </c>
      <c r="E44" s="279">
        <f>'побудинковий звіт'!E42</f>
        <v>909.2</v>
      </c>
      <c r="F44" s="441">
        <f>'побудинковий звіт'!AS42</f>
        <v>11264.4674189211</v>
      </c>
      <c r="G44" s="441">
        <f t="shared" si="1"/>
        <v>300.61</v>
      </c>
      <c r="H44" s="73">
        <f t="shared" si="2"/>
        <v>-10963.857418921099</v>
      </c>
      <c r="I44" s="5">
        <f>VLOOKUP($A44,'ПР 01-02.21'!$A$11:$BB$406,9,FALSE)+VLOOKUP($A44,'ПР 21-22'!$A$11:$BB$406,9,FALSE)-VLOOKUP($A44,'ПР 01-02.22'!$A$11:$BB$378,9,FALSE)</f>
        <v>0</v>
      </c>
      <c r="J44" s="5">
        <f>VLOOKUP($A44,'ПР 01-02.21'!$A$11:$BB$406,10,FALSE)+VLOOKUP($A44,'ПР 21-22'!$A$11:$BB$406,10,FALSE)-VLOOKUP($A44,'ПР 01-02.22'!$A$11:$BB$378,10,FALSE)</f>
        <v>0</v>
      </c>
      <c r="K44" s="446"/>
      <c r="L44" s="5">
        <f>VLOOKUP($A44,'ПР 01-02.21'!$A$11:$BB$406,12,FALSE)+VLOOKUP($A44,'ПР 21-22'!$A$11:$BB$406,12,FALSE)-VLOOKUP($A44,'ПР 01-02.22'!$A$11:$BB$378,12,FALSE)</f>
        <v>0</v>
      </c>
      <c r="M44" s="5">
        <f>VLOOKUP($A44,'ПР 01-02.21'!$A$11:$BB$406,13,FALSE)+VLOOKUP($A44,'ПР 21-22'!$A$11:$BB$406,13,FALSE)-VLOOKUP($A44,'ПР 01-02.22'!$A$11:$BB$378,13,FALSE)</f>
        <v>0</v>
      </c>
      <c r="N44" s="38"/>
      <c r="O44" s="5">
        <f>VLOOKUP($A44,'ПР 01-02.21'!$A$11:$BB$406,15,FALSE)+VLOOKUP($A44,'ПР 21-22'!$A$11:$BB$406,15,FALSE)-VLOOKUP($A44,'ПР 01-02.22'!$A$11:$BB$378,15,FALSE)</f>
        <v>0</v>
      </c>
      <c r="P44" s="5">
        <f>VLOOKUP($A44,'ПР 01-02.21'!$A$11:$BB$406,16,FALSE)+VLOOKUP($A44,'ПР 21-22'!$A$11:$BB$406,16,FALSE)-VLOOKUP($A44,'ПР 01-02.22'!$A$11:$BB$378,16,FALSE)</f>
        <v>0</v>
      </c>
      <c r="Q44" s="443"/>
      <c r="R44" s="5">
        <f>VLOOKUP($A44,'ПР 01-02.21'!$A$11:$BB$406,18,FALSE)+VLOOKUP($A44,'ПР 21-22'!$A$11:$BB$406,18,FALSE)-VLOOKUP($A44,'ПР 01-02.22'!$A$11:$BB$378,18,FALSE)</f>
        <v>0</v>
      </c>
      <c r="S44" s="5">
        <f>VLOOKUP($A44,'ПР 01-02.21'!$A$11:$BB$406,19,FALSE)+VLOOKUP($A44,'ПР 21-22'!$A$11:$BB$406,19,FALSE)-VLOOKUP($A44,'ПР 01-02.22'!$A$11:$BB$378,19,FALSE)</f>
        <v>0</v>
      </c>
      <c r="T44" s="444"/>
      <c r="U44" s="5">
        <f>VLOOKUP($A44,'ПР 01-02.21'!$A$11:$BB$406,21,FALSE)+VLOOKUP($A44,'ПР 21-22'!$A$11:$BB$406,21,FALSE)-VLOOKUP($A44,'ПР 01-02.22'!$A$11:$BB$378,21,FALSE)</f>
        <v>0</v>
      </c>
      <c r="V44" s="5"/>
      <c r="W44" s="5">
        <f>VLOOKUP($A44,'ПР 01-02.21'!$A$11:$BB$406,23,FALSE)+VLOOKUP($A44,'ПР 21-22'!$A$11:$BB$406,23,FALSE)-VLOOKUP($A44,'ПР 01-02.22'!$A$11:$BB$378,23,FALSE)</f>
        <v>0</v>
      </c>
      <c r="X44" s="5">
        <f>VLOOKUP($A44,'ПР 01-02.21'!$A$11:$BB$406,24,FALSE)+VLOOKUP($A44,'ПР 21-22'!$A$11:$BB$406,24,FALSE)-VLOOKUP($A44,'ПР 01-02.22'!$A$11:$BB$378,24,FALSE)</f>
        <v>0</v>
      </c>
      <c r="Y44" s="5">
        <f>VLOOKUP($A44,'ПР 01-02.21'!$A$11:$BB$406,25,FALSE)+VLOOKUP($A44,'ПР 21-22'!$A$11:$BB$406,25,FALSE)-VLOOKUP($A44,'ПР 01-02.22'!$A$11:$BB$378,25,FALSE)</f>
        <v>0</v>
      </c>
      <c r="Z44" s="5"/>
      <c r="AA44" s="5">
        <f>VLOOKUP($A44,'ПР 01-02.21'!$A$11:$BB$406,27,FALSE)+VLOOKUP($A44,'ПР 21-22'!$A$11:$BB$406,27,FALSE)-VLOOKUP($A44,'ПР 01-02.22'!$A$11:$BB$378,27,FALSE)</f>
        <v>0</v>
      </c>
      <c r="AB44" s="5">
        <f>VLOOKUP($A44,'ПР 01-02.21'!$A$11:$BB$406,28,FALSE)+VLOOKUP($A44,'ПР 21-22'!$A$11:$BB$406,28,FALSE)-VLOOKUP($A44,'ПР 01-02.22'!$A$11:$BB$378,28,FALSE)</f>
        <v>0</v>
      </c>
      <c r="AC44" s="5">
        <f>VLOOKUP($A44,'ПР 01-02.21'!$A$11:$BB$406,29,FALSE)+VLOOKUP($A44,'ПР 21-22'!$A$11:$BB$406,29,FALSE)-VLOOKUP($A44,'ПР 01-02.22'!$A$11:$BB$378,29,FALSE)</f>
        <v>0</v>
      </c>
      <c r="AD44" s="5">
        <f>VLOOKUP($A44,'ПР 01-02.21'!$A$11:$BB$406,30,FALSE)+VLOOKUP($A44,'ПР 21-22'!$A$11:$BB$406,30,FALSE)-VLOOKUP($A44,'ПР 01-02.22'!$A$11:$BB$378,30,FALSE)</f>
        <v>300.61</v>
      </c>
      <c r="AE44" s="5">
        <f>VLOOKUP($A44,'ПР 01-02.21'!$A$11:$BB$406,31,FALSE)+VLOOKUP($A44,'ПР 21-22'!$A$11:$BB$406,31,FALSE)-VLOOKUP($A44,'ПР 01-02.22'!$A$11:$BB$378,31,FALSE)</f>
        <v>1260.9010312964369</v>
      </c>
      <c r="AF44" s="5">
        <f>VLOOKUP($A44,'ПР 01-02.21'!$A$11:$BB$406,32,FALSE)+VLOOKUP($A44,'ПР 21-22'!$A$11:$BB$406,32,FALSE)-VLOOKUP($A44,'ПР 01-02.22'!$A$11:$BB$378,32,FALSE)</f>
        <v>1991</v>
      </c>
      <c r="AG44" s="40"/>
      <c r="AH44" s="5">
        <f>VLOOKUP($A44,'ПР 01-02.21'!$A$11:$BB$406,34,FALSE)+VLOOKUP($A44,'ПР 21-22'!$A$11:$BB$406,34,FALSE)-VLOOKUP($A44,'ПР 01-02.22'!$A$11:$BB$378,34,FALSE)</f>
        <v>1514.5918126950999</v>
      </c>
      <c r="AI44" s="5">
        <f>VLOOKUP($A44,'ПР 01-02.21'!$A$11:$BB$406,35,FALSE)+VLOOKUP($A44,'ПР 21-22'!$A$11:$BB$406,35,FALSE)-VLOOKUP($A44,'ПР 01-02.22'!$A$11:$BB$378,35,FALSE)</f>
        <v>0</v>
      </c>
      <c r="AJ44" s="40"/>
      <c r="AK44" s="5">
        <f>VLOOKUP($A44,'ПР 01-02.21'!$A$11:$BB$406,37,FALSE)+VLOOKUP($A44,'ПР 21-22'!$A$11:$BB$406,37,FALSE)-VLOOKUP($A44,'ПР 01-02.22'!$A$11:$BB$378,37,FALSE)</f>
        <v>511.19918706341986</v>
      </c>
      <c r="AL44" s="5">
        <f>VLOOKUP($A44,'ПР 01-02.21'!$A$11:$BB$406,38,FALSE)+VLOOKUP($A44,'ПР 21-22'!$A$11:$BB$406,38,FALSE)-VLOOKUP($A44,'ПР 01-02.22'!$A$11:$BB$378,38,FALSE)</f>
        <v>0</v>
      </c>
      <c r="AM44" s="40"/>
      <c r="AN44" s="5">
        <f>VLOOKUP($A44,'ПР 01-02.21'!$A$11:$BB$406,40,FALSE)+VLOOKUP($A44,'ПР 21-22'!$A$11:$BB$406,40,FALSE)-VLOOKUP($A44,'ПР 01-02.22'!$A$11:$BB$378,40,FALSE)</f>
        <v>0</v>
      </c>
      <c r="AO44" s="5">
        <f>VLOOKUP($A44,'ПР 01-02.21'!$A$11:$BB$406,41,FALSE)+VLOOKUP($A44,'ПР 21-22'!$A$11:$BB$406,41,FALSE)-VLOOKUP($A44,'ПР 01-02.22'!$A$11:$BB$378,41,FALSE)</f>
        <v>0</v>
      </c>
      <c r="AP44" s="40"/>
      <c r="AQ44" s="5">
        <f>VLOOKUP($A44,'ПР 01-02.21'!$A$11:$BB$406,43,FALSE)+VLOOKUP($A44,'ПР 21-22'!$A$11:$BB$406,43,FALSE)-VLOOKUP($A44,'ПР 01-02.22'!$A$11:$BB$378,43,FALSE)</f>
        <v>0</v>
      </c>
      <c r="AR44" s="5">
        <f>VLOOKUP($A44,'ПР 01-02.21'!$A$11:$BB$406,44,FALSE)+VLOOKUP($A44,'ПР 21-22'!$A$11:$BB$406,44,FALSE)-VLOOKUP($A44,'ПР 01-02.22'!$A$11:$BB$378,44,FALSE)</f>
        <v>0</v>
      </c>
      <c r="AS44" s="40"/>
      <c r="AT44" s="5">
        <f>VLOOKUP($A44,'ПР 01-02.21'!$A$11:$BB$406,46,FALSE)+VLOOKUP($A44,'ПР 21-22'!$A$11:$BB$406,46,FALSE)-VLOOKUP($A44,'ПР 01-02.22'!$A$11:$BB$378,46,FALSE)</f>
        <v>156.96953662910565</v>
      </c>
      <c r="AU44" s="5">
        <f>VLOOKUP($A44,'ПР 01-02.21'!$A$11:$BB$406,47,FALSE)+VLOOKUP($A44,'ПР 21-22'!$A$11:$BB$406,47,FALSE)-VLOOKUP($A44,'ПР 01-02.22'!$A$11:$BB$378,47,FALSE)</f>
        <v>0</v>
      </c>
      <c r="AV44" s="40"/>
      <c r="AW44" s="5">
        <f>VLOOKUP($A44,'ПР 01-02.21'!$A$11:$BB$406,49,FALSE)+VLOOKUP($A44,'ПР 21-22'!$A$11:$BB$406,49,FALSE)-VLOOKUP($A44,'ПР 01-02.22'!$A$11:$BB$378,49,FALSE)</f>
        <v>45.212000000000003</v>
      </c>
      <c r="AX44" s="5">
        <f>VLOOKUP($A44,'ПР 01-02.21'!$A$11:$BB$406,50,FALSE)+VLOOKUP($A44,'ПР 21-22'!$A$11:$BB$406,50,FALSE)-VLOOKUP($A44,'ПР 01-02.22'!$A$11:$BB$378,50,FALSE)</f>
        <v>0</v>
      </c>
      <c r="AY44" s="40"/>
      <c r="AZ44" s="40">
        <f t="shared" si="3"/>
        <v>3488.873567684062</v>
      </c>
      <c r="BA44" s="40">
        <f t="shared" si="3"/>
        <v>1991</v>
      </c>
      <c r="BB44" s="55">
        <f t="shared" si="4"/>
        <v>-1497.873567684062</v>
      </c>
      <c r="BD44" s="2">
        <v>2</v>
      </c>
      <c r="BF44" s="325">
        <v>150000977</v>
      </c>
    </row>
    <row r="45" spans="1:58" ht="24.9" customHeight="1" x14ac:dyDescent="0.3">
      <c r="A45" s="325">
        <v>150000978</v>
      </c>
      <c r="B45" s="445" t="s">
        <v>244</v>
      </c>
      <c r="C45" s="27">
        <v>5</v>
      </c>
      <c r="D45" s="101" t="s">
        <v>455</v>
      </c>
      <c r="E45" s="279">
        <f>'побудинковий звіт'!E43</f>
        <v>1867.1</v>
      </c>
      <c r="F45" s="441">
        <f>'побудинковий звіт'!AS43</f>
        <v>17418.363401490631</v>
      </c>
      <c r="G45" s="441">
        <f t="shared" si="1"/>
        <v>22178</v>
      </c>
      <c r="H45" s="73">
        <f t="shared" si="2"/>
        <v>4759.6365985093689</v>
      </c>
      <c r="I45" s="5">
        <f>VLOOKUP($A45,'ПР 01-02.21'!$A$11:$BB$406,9,FALSE)+VLOOKUP($A45,'ПР 21-22'!$A$11:$BB$406,9,FALSE)-VLOOKUP($A45,'ПР 01-02.22'!$A$11:$BB$378,9,FALSE)</f>
        <v>0</v>
      </c>
      <c r="J45" s="5">
        <f>VLOOKUP($A45,'ПР 01-02.21'!$A$11:$BB$406,10,FALSE)+VLOOKUP($A45,'ПР 21-22'!$A$11:$BB$406,10,FALSE)-VLOOKUP($A45,'ПР 01-02.22'!$A$11:$BB$378,10,FALSE)</f>
        <v>0</v>
      </c>
      <c r="K45" s="446"/>
      <c r="L45" s="5">
        <f>VLOOKUP($A45,'ПР 01-02.21'!$A$11:$BB$406,12,FALSE)+VLOOKUP($A45,'ПР 21-22'!$A$11:$BB$406,12,FALSE)-VLOOKUP($A45,'ПР 01-02.22'!$A$11:$BB$378,12,FALSE)</f>
        <v>1</v>
      </c>
      <c r="M45" s="5">
        <f>VLOOKUP($A45,'ПР 01-02.21'!$A$11:$BB$406,13,FALSE)+VLOOKUP($A45,'ПР 21-22'!$A$11:$BB$406,13,FALSE)-VLOOKUP($A45,'ПР 01-02.22'!$A$11:$BB$378,13,FALSE)</f>
        <v>8371</v>
      </c>
      <c r="N45" s="38"/>
      <c r="O45" s="5">
        <f>VLOOKUP($A45,'ПР 01-02.21'!$A$11:$BB$406,15,FALSE)+VLOOKUP($A45,'ПР 21-22'!$A$11:$BB$406,15,FALSE)-VLOOKUP($A45,'ПР 01-02.22'!$A$11:$BB$378,15,FALSE)</f>
        <v>0</v>
      </c>
      <c r="P45" s="5">
        <f>VLOOKUP($A45,'ПР 01-02.21'!$A$11:$BB$406,16,FALSE)+VLOOKUP($A45,'ПР 21-22'!$A$11:$BB$406,16,FALSE)-VLOOKUP($A45,'ПР 01-02.22'!$A$11:$BB$378,16,FALSE)</f>
        <v>0</v>
      </c>
      <c r="Q45" s="443"/>
      <c r="R45" s="5">
        <f>VLOOKUP($A45,'ПР 01-02.21'!$A$11:$BB$406,18,FALSE)+VLOOKUP($A45,'ПР 21-22'!$A$11:$BB$406,18,FALSE)-VLOOKUP($A45,'ПР 01-02.22'!$A$11:$BB$378,18,FALSE)</f>
        <v>0</v>
      </c>
      <c r="S45" s="5">
        <f>VLOOKUP($A45,'ПР 01-02.21'!$A$11:$BB$406,19,FALSE)+VLOOKUP($A45,'ПР 21-22'!$A$11:$BB$406,19,FALSE)-VLOOKUP($A45,'ПР 01-02.22'!$A$11:$BB$378,19,FALSE)</f>
        <v>0</v>
      </c>
      <c r="T45" s="444"/>
      <c r="U45" s="5">
        <f>VLOOKUP($A45,'ПР 01-02.21'!$A$11:$BB$406,21,FALSE)+VLOOKUP($A45,'ПР 21-22'!$A$11:$BB$406,21,FALSE)-VLOOKUP($A45,'ПР 01-02.22'!$A$11:$BB$378,21,FALSE)</f>
        <v>0</v>
      </c>
      <c r="V45" s="5"/>
      <c r="W45" s="5">
        <f>VLOOKUP($A45,'ПР 01-02.21'!$A$11:$BB$406,23,FALSE)+VLOOKUP($A45,'ПР 21-22'!$A$11:$BB$406,23,FALSE)-VLOOKUP($A45,'ПР 01-02.22'!$A$11:$BB$378,23,FALSE)</f>
        <v>0</v>
      </c>
      <c r="X45" s="5">
        <f>VLOOKUP($A45,'ПР 01-02.21'!$A$11:$BB$406,24,FALSE)+VLOOKUP($A45,'ПР 21-22'!$A$11:$BB$406,24,FALSE)-VLOOKUP($A45,'ПР 01-02.22'!$A$11:$BB$378,24,FALSE)</f>
        <v>10129</v>
      </c>
      <c r="Y45" s="5">
        <f>VLOOKUP($A45,'ПР 01-02.21'!$A$11:$BB$406,25,FALSE)+VLOOKUP($A45,'ПР 21-22'!$A$11:$BB$406,25,FALSE)-VLOOKUP($A45,'ПР 01-02.22'!$A$11:$BB$378,25,FALSE)</f>
        <v>3551</v>
      </c>
      <c r="Z45" s="5"/>
      <c r="AA45" s="5">
        <f>VLOOKUP($A45,'ПР 01-02.21'!$A$11:$BB$406,27,FALSE)+VLOOKUP($A45,'ПР 21-22'!$A$11:$BB$406,27,FALSE)-VLOOKUP($A45,'ПР 01-02.22'!$A$11:$BB$378,27,FALSE)</f>
        <v>0</v>
      </c>
      <c r="AB45" s="5">
        <f>VLOOKUP($A45,'ПР 01-02.21'!$A$11:$BB$406,28,FALSE)+VLOOKUP($A45,'ПР 21-22'!$A$11:$BB$406,28,FALSE)-VLOOKUP($A45,'ПР 01-02.22'!$A$11:$BB$378,28,FALSE)</f>
        <v>0</v>
      </c>
      <c r="AC45" s="5">
        <f>VLOOKUP($A45,'ПР 01-02.21'!$A$11:$BB$406,29,FALSE)+VLOOKUP($A45,'ПР 21-22'!$A$11:$BB$406,29,FALSE)-VLOOKUP($A45,'ПР 01-02.22'!$A$11:$BB$378,29,FALSE)</f>
        <v>127</v>
      </c>
      <c r="AD45" s="5">
        <f>VLOOKUP($A45,'ПР 01-02.21'!$A$11:$BB$406,30,FALSE)+VLOOKUP($A45,'ПР 21-22'!$A$11:$BB$406,30,FALSE)-VLOOKUP($A45,'ПР 01-02.22'!$A$11:$BB$378,30,FALSE)</f>
        <v>0</v>
      </c>
      <c r="AE45" s="5">
        <f>VLOOKUP($A45,'ПР 01-02.21'!$A$11:$BB$406,31,FALSE)+VLOOKUP($A45,'ПР 21-22'!$A$11:$BB$406,31,FALSE)-VLOOKUP($A45,'ПР 01-02.22'!$A$11:$BB$378,31,FALSE)</f>
        <v>1578.9296570907984</v>
      </c>
      <c r="AF45" s="5">
        <f>VLOOKUP($A45,'ПР 01-02.21'!$A$11:$BB$406,32,FALSE)+VLOOKUP($A45,'ПР 21-22'!$A$11:$BB$406,32,FALSE)-VLOOKUP($A45,'ПР 01-02.22'!$A$11:$BB$378,32,FALSE)</f>
        <v>471</v>
      </c>
      <c r="AG45" s="40"/>
      <c r="AH45" s="5">
        <f>VLOOKUP($A45,'ПР 01-02.21'!$A$11:$BB$406,34,FALSE)+VLOOKUP($A45,'ПР 21-22'!$A$11:$BB$406,34,FALSE)-VLOOKUP($A45,'ПР 01-02.22'!$A$11:$BB$378,34,FALSE)</f>
        <v>1914.8290098946716</v>
      </c>
      <c r="AI45" s="5">
        <f>VLOOKUP($A45,'ПР 01-02.21'!$A$11:$BB$406,35,FALSE)+VLOOKUP($A45,'ПР 21-22'!$A$11:$BB$406,35,FALSE)-VLOOKUP($A45,'ПР 01-02.22'!$A$11:$BB$378,35,FALSE)</f>
        <v>1487.64</v>
      </c>
      <c r="AJ45" s="40"/>
      <c r="AK45" s="5">
        <f>VLOOKUP($A45,'ПР 01-02.21'!$A$11:$BB$406,37,FALSE)+VLOOKUP($A45,'ПР 21-22'!$A$11:$BB$406,37,FALSE)-VLOOKUP($A45,'ПР 01-02.22'!$A$11:$BB$378,37,FALSE)</f>
        <v>1008.0548953956616</v>
      </c>
      <c r="AL45" s="5">
        <f>VLOOKUP($A45,'ПР 01-02.21'!$A$11:$BB$406,38,FALSE)+VLOOKUP($A45,'ПР 21-22'!$A$11:$BB$406,38,FALSE)-VLOOKUP($A45,'ПР 01-02.22'!$A$11:$BB$378,38,FALSE)</f>
        <v>0</v>
      </c>
      <c r="AM45" s="40"/>
      <c r="AN45" s="5">
        <f>VLOOKUP($A45,'ПР 01-02.21'!$A$11:$BB$406,40,FALSE)+VLOOKUP($A45,'ПР 21-22'!$A$11:$BB$406,40,FALSE)-VLOOKUP($A45,'ПР 01-02.22'!$A$11:$BB$378,40,FALSE)</f>
        <v>0</v>
      </c>
      <c r="AO45" s="5">
        <f>VLOOKUP($A45,'ПР 01-02.21'!$A$11:$BB$406,41,FALSE)+VLOOKUP($A45,'ПР 21-22'!$A$11:$BB$406,41,FALSE)-VLOOKUP($A45,'ПР 01-02.22'!$A$11:$BB$378,41,FALSE)</f>
        <v>0</v>
      </c>
      <c r="AP45" s="40"/>
      <c r="AQ45" s="5">
        <f>VLOOKUP($A45,'ПР 01-02.21'!$A$11:$BB$406,43,FALSE)+VLOOKUP($A45,'ПР 21-22'!$A$11:$BB$406,43,FALSE)-VLOOKUP($A45,'ПР 01-02.22'!$A$11:$BB$378,43,FALSE)</f>
        <v>0</v>
      </c>
      <c r="AR45" s="5">
        <f>VLOOKUP($A45,'ПР 01-02.21'!$A$11:$BB$406,44,FALSE)+VLOOKUP($A45,'ПР 21-22'!$A$11:$BB$406,44,FALSE)-VLOOKUP($A45,'ПР 01-02.22'!$A$11:$BB$378,44,FALSE)</f>
        <v>0</v>
      </c>
      <c r="AS45" s="40"/>
      <c r="AT45" s="5">
        <f>VLOOKUP($A45,'ПР 01-02.21'!$A$11:$BB$406,46,FALSE)+VLOOKUP($A45,'ПР 21-22'!$A$11:$BB$406,46,FALSE)-VLOOKUP($A45,'ПР 01-02.22'!$A$11:$BB$378,46,FALSE)</f>
        <v>649.51041003119781</v>
      </c>
      <c r="AU45" s="5">
        <f>VLOOKUP($A45,'ПР 01-02.21'!$A$11:$BB$406,47,FALSE)+VLOOKUP($A45,'ПР 21-22'!$A$11:$BB$406,47,FALSE)-VLOOKUP($A45,'ПР 01-02.22'!$A$11:$BB$378,47,FALSE)</f>
        <v>0</v>
      </c>
      <c r="AV45" s="40"/>
      <c r="AW45" s="5">
        <f>VLOOKUP($A45,'ПР 01-02.21'!$A$11:$BB$406,49,FALSE)+VLOOKUP($A45,'ПР 21-22'!$A$11:$BB$406,49,FALSE)-VLOOKUP($A45,'ПР 01-02.22'!$A$11:$BB$378,49,FALSE)</f>
        <v>93.683999999999997</v>
      </c>
      <c r="AX45" s="5">
        <f>VLOOKUP($A45,'ПР 01-02.21'!$A$11:$BB$406,50,FALSE)+VLOOKUP($A45,'ПР 21-22'!$A$11:$BB$406,50,FALSE)-VLOOKUP($A45,'ПР 01-02.22'!$A$11:$BB$378,50,FALSE)</f>
        <v>0</v>
      </c>
      <c r="AY45" s="40"/>
      <c r="AZ45" s="40">
        <f t="shared" si="3"/>
        <v>5245.0079724123289</v>
      </c>
      <c r="BA45" s="40">
        <f t="shared" si="3"/>
        <v>1958.64</v>
      </c>
      <c r="BB45" s="55">
        <f t="shared" si="4"/>
        <v>-3286.3679724123285</v>
      </c>
      <c r="BD45" s="2">
        <v>2</v>
      </c>
      <c r="BF45" s="325">
        <v>150000978</v>
      </c>
    </row>
    <row r="46" spans="1:58" ht="24.9" customHeight="1" x14ac:dyDescent="0.3">
      <c r="A46" s="325">
        <v>150000966</v>
      </c>
      <c r="B46" s="445" t="s">
        <v>205</v>
      </c>
      <c r="C46" s="27">
        <v>4</v>
      </c>
      <c r="D46" s="101" t="s">
        <v>455</v>
      </c>
      <c r="E46" s="279">
        <f>'побудинковий звіт'!E44</f>
        <v>1172.81</v>
      </c>
      <c r="F46" s="441">
        <f>'побудинковий звіт'!AS44</f>
        <v>10378.549062273858</v>
      </c>
      <c r="G46" s="441">
        <f t="shared" si="1"/>
        <v>0</v>
      </c>
      <c r="H46" s="73">
        <f t="shared" si="2"/>
        <v>-10378.549062273858</v>
      </c>
      <c r="I46" s="5">
        <f>VLOOKUP($A46,'ПР 01-02.21'!$A$11:$BB$406,9,FALSE)+VLOOKUP($A46,'ПР 21-22'!$A$11:$BB$406,9,FALSE)-VLOOKUP($A46,'ПР 01-02.22'!$A$11:$BB$378,9,FALSE)</f>
        <v>0</v>
      </c>
      <c r="J46" s="5">
        <f>VLOOKUP($A46,'ПР 01-02.21'!$A$11:$BB$406,10,FALSE)+VLOOKUP($A46,'ПР 21-22'!$A$11:$BB$406,10,FALSE)-VLOOKUP($A46,'ПР 01-02.22'!$A$11:$BB$378,10,FALSE)</f>
        <v>0</v>
      </c>
      <c r="K46" s="446"/>
      <c r="L46" s="5">
        <f>VLOOKUP($A46,'ПР 01-02.21'!$A$11:$BB$406,12,FALSE)+VLOOKUP($A46,'ПР 21-22'!$A$11:$BB$406,12,FALSE)-VLOOKUP($A46,'ПР 01-02.22'!$A$11:$BB$378,12,FALSE)</f>
        <v>0</v>
      </c>
      <c r="M46" s="5">
        <f>VLOOKUP($A46,'ПР 01-02.21'!$A$11:$BB$406,13,FALSE)+VLOOKUP($A46,'ПР 21-22'!$A$11:$BB$406,13,FALSE)-VLOOKUP($A46,'ПР 01-02.22'!$A$11:$BB$378,13,FALSE)</f>
        <v>0</v>
      </c>
      <c r="N46" s="38"/>
      <c r="O46" s="5">
        <f>VLOOKUP($A46,'ПР 01-02.21'!$A$11:$BB$406,15,FALSE)+VLOOKUP($A46,'ПР 21-22'!$A$11:$BB$406,15,FALSE)-VLOOKUP($A46,'ПР 01-02.22'!$A$11:$BB$378,15,FALSE)</f>
        <v>0</v>
      </c>
      <c r="P46" s="5">
        <f>VLOOKUP($A46,'ПР 01-02.21'!$A$11:$BB$406,16,FALSE)+VLOOKUP($A46,'ПР 21-22'!$A$11:$BB$406,16,FALSE)-VLOOKUP($A46,'ПР 01-02.22'!$A$11:$BB$378,16,FALSE)</f>
        <v>0</v>
      </c>
      <c r="Q46" s="443"/>
      <c r="R46" s="5">
        <f>VLOOKUP($A46,'ПР 01-02.21'!$A$11:$BB$406,18,FALSE)+VLOOKUP($A46,'ПР 21-22'!$A$11:$BB$406,18,FALSE)-VLOOKUP($A46,'ПР 01-02.22'!$A$11:$BB$378,18,FALSE)</f>
        <v>0</v>
      </c>
      <c r="S46" s="5">
        <f>VLOOKUP($A46,'ПР 01-02.21'!$A$11:$BB$406,19,FALSE)+VLOOKUP($A46,'ПР 21-22'!$A$11:$BB$406,19,FALSE)-VLOOKUP($A46,'ПР 01-02.22'!$A$11:$BB$378,19,FALSE)</f>
        <v>0</v>
      </c>
      <c r="T46" s="444"/>
      <c r="U46" s="5">
        <f>VLOOKUP($A46,'ПР 01-02.21'!$A$11:$BB$406,21,FALSE)+VLOOKUP($A46,'ПР 21-22'!$A$11:$BB$406,21,FALSE)-VLOOKUP($A46,'ПР 01-02.22'!$A$11:$BB$378,21,FALSE)</f>
        <v>0</v>
      </c>
      <c r="V46" s="5"/>
      <c r="W46" s="5">
        <f>VLOOKUP($A46,'ПР 01-02.21'!$A$11:$BB$406,23,FALSE)+VLOOKUP($A46,'ПР 21-22'!$A$11:$BB$406,23,FALSE)-VLOOKUP($A46,'ПР 01-02.22'!$A$11:$BB$378,23,FALSE)</f>
        <v>0</v>
      </c>
      <c r="X46" s="5">
        <f>VLOOKUP($A46,'ПР 01-02.21'!$A$11:$BB$406,24,FALSE)+VLOOKUP($A46,'ПР 21-22'!$A$11:$BB$406,24,FALSE)-VLOOKUP($A46,'ПР 01-02.22'!$A$11:$BB$378,24,FALSE)</f>
        <v>0</v>
      </c>
      <c r="Y46" s="5">
        <f>VLOOKUP($A46,'ПР 01-02.21'!$A$11:$BB$406,25,FALSE)+VLOOKUP($A46,'ПР 21-22'!$A$11:$BB$406,25,FALSE)-VLOOKUP($A46,'ПР 01-02.22'!$A$11:$BB$378,25,FALSE)</f>
        <v>0</v>
      </c>
      <c r="Z46" s="5"/>
      <c r="AA46" s="5">
        <f>VLOOKUP($A46,'ПР 01-02.21'!$A$11:$BB$406,27,FALSE)+VLOOKUP($A46,'ПР 21-22'!$A$11:$BB$406,27,FALSE)-VLOOKUP($A46,'ПР 01-02.22'!$A$11:$BB$378,27,FALSE)</f>
        <v>0</v>
      </c>
      <c r="AB46" s="5">
        <f>VLOOKUP($A46,'ПР 01-02.21'!$A$11:$BB$406,28,FALSE)+VLOOKUP($A46,'ПР 21-22'!$A$11:$BB$406,28,FALSE)-VLOOKUP($A46,'ПР 01-02.22'!$A$11:$BB$378,28,FALSE)</f>
        <v>0</v>
      </c>
      <c r="AC46" s="5">
        <f>VLOOKUP($A46,'ПР 01-02.21'!$A$11:$BB$406,29,FALSE)+VLOOKUP($A46,'ПР 21-22'!$A$11:$BB$406,29,FALSE)-VLOOKUP($A46,'ПР 01-02.22'!$A$11:$BB$378,29,FALSE)</f>
        <v>0</v>
      </c>
      <c r="AD46" s="5">
        <f>VLOOKUP($A46,'ПР 01-02.21'!$A$11:$BB$406,30,FALSE)+VLOOKUP($A46,'ПР 21-22'!$A$11:$BB$406,30,FALSE)-VLOOKUP($A46,'ПР 01-02.22'!$A$11:$BB$378,30,FALSE)</f>
        <v>0</v>
      </c>
      <c r="AE46" s="5">
        <f>VLOOKUP($A46,'ПР 01-02.21'!$A$11:$BB$406,31,FALSE)+VLOOKUP($A46,'ПР 21-22'!$A$11:$BB$406,31,FALSE)-VLOOKUP($A46,'ПР 01-02.22'!$A$11:$BB$378,31,FALSE)</f>
        <v>1253.2928957814636</v>
      </c>
      <c r="AF46" s="5">
        <f>VLOOKUP($A46,'ПР 01-02.21'!$A$11:$BB$406,32,FALSE)+VLOOKUP($A46,'ПР 21-22'!$A$11:$BB$406,32,FALSE)-VLOOKUP($A46,'ПР 01-02.22'!$A$11:$BB$378,32,FALSE)</f>
        <v>0</v>
      </c>
      <c r="AG46" s="40"/>
      <c r="AH46" s="5">
        <f>VLOOKUP($A46,'ПР 01-02.21'!$A$11:$BB$406,34,FALSE)+VLOOKUP($A46,'ПР 21-22'!$A$11:$BB$406,34,FALSE)-VLOOKUP($A46,'ПР 01-02.22'!$A$11:$BB$378,34,FALSE)</f>
        <v>1646.4966450678301</v>
      </c>
      <c r="AI46" s="5">
        <f>VLOOKUP($A46,'ПР 01-02.21'!$A$11:$BB$406,35,FALSE)+VLOOKUP($A46,'ПР 21-22'!$A$11:$BB$406,35,FALSE)-VLOOKUP($A46,'ПР 01-02.22'!$A$11:$BB$378,35,FALSE)</f>
        <v>0</v>
      </c>
      <c r="AJ46" s="40"/>
      <c r="AK46" s="5">
        <f>VLOOKUP($A46,'ПР 01-02.21'!$A$11:$BB$406,37,FALSE)+VLOOKUP($A46,'ПР 21-22'!$A$11:$BB$406,37,FALSE)-VLOOKUP($A46,'ПР 01-02.22'!$A$11:$BB$378,37,FALSE)</f>
        <v>668.64839450077409</v>
      </c>
      <c r="AL46" s="5">
        <f>VLOOKUP($A46,'ПР 01-02.21'!$A$11:$BB$406,38,FALSE)+VLOOKUP($A46,'ПР 21-22'!$A$11:$BB$406,38,FALSE)-VLOOKUP($A46,'ПР 01-02.22'!$A$11:$BB$378,38,FALSE)</f>
        <v>0</v>
      </c>
      <c r="AM46" s="40"/>
      <c r="AN46" s="5">
        <f>VLOOKUP($A46,'ПР 01-02.21'!$A$11:$BB$406,40,FALSE)+VLOOKUP($A46,'ПР 21-22'!$A$11:$BB$406,40,FALSE)-VLOOKUP($A46,'ПР 01-02.22'!$A$11:$BB$378,40,FALSE)</f>
        <v>0</v>
      </c>
      <c r="AO46" s="5">
        <f>VLOOKUP($A46,'ПР 01-02.21'!$A$11:$BB$406,41,FALSE)+VLOOKUP($A46,'ПР 21-22'!$A$11:$BB$406,41,FALSE)-VLOOKUP($A46,'ПР 01-02.22'!$A$11:$BB$378,41,FALSE)</f>
        <v>0</v>
      </c>
      <c r="AP46" s="40"/>
      <c r="AQ46" s="5">
        <f>VLOOKUP($A46,'ПР 01-02.21'!$A$11:$BB$406,43,FALSE)+VLOOKUP($A46,'ПР 21-22'!$A$11:$BB$406,43,FALSE)-VLOOKUP($A46,'ПР 01-02.22'!$A$11:$BB$378,43,FALSE)</f>
        <v>0</v>
      </c>
      <c r="AR46" s="5">
        <f>VLOOKUP($A46,'ПР 01-02.21'!$A$11:$BB$406,44,FALSE)+VLOOKUP($A46,'ПР 21-22'!$A$11:$BB$406,44,FALSE)-VLOOKUP($A46,'ПР 01-02.22'!$A$11:$BB$378,44,FALSE)</f>
        <v>0</v>
      </c>
      <c r="AS46" s="40"/>
      <c r="AT46" s="5">
        <f>VLOOKUP($A46,'ПР 01-02.21'!$A$11:$BB$406,46,FALSE)+VLOOKUP($A46,'ПР 21-22'!$A$11:$BB$406,46,FALSE)-VLOOKUP($A46,'ПР 01-02.22'!$A$11:$BB$378,46,FALSE)</f>
        <v>584.42519346622953</v>
      </c>
      <c r="AU46" s="5">
        <f>VLOOKUP($A46,'ПР 01-02.21'!$A$11:$BB$406,47,FALSE)+VLOOKUP($A46,'ПР 21-22'!$A$11:$BB$406,47,FALSE)-VLOOKUP($A46,'ПР 01-02.22'!$A$11:$BB$378,47,FALSE)</f>
        <v>0</v>
      </c>
      <c r="AV46" s="40"/>
      <c r="AW46" s="5">
        <f>VLOOKUP($A46,'ПР 01-02.21'!$A$11:$BB$406,49,FALSE)+VLOOKUP($A46,'ПР 21-22'!$A$11:$BB$406,49,FALSE)-VLOOKUP($A46,'ПР 01-02.22'!$A$11:$BB$378,49,FALSE)</f>
        <v>59.104399999999998</v>
      </c>
      <c r="AX46" s="5">
        <f>VLOOKUP($A46,'ПР 01-02.21'!$A$11:$BB$406,50,FALSE)+VLOOKUP($A46,'ПР 21-22'!$A$11:$BB$406,50,FALSE)-VLOOKUP($A46,'ПР 01-02.22'!$A$11:$BB$378,50,FALSE)</f>
        <v>0</v>
      </c>
      <c r="AY46" s="40"/>
      <c r="AZ46" s="40">
        <f t="shared" si="3"/>
        <v>4211.9675288162971</v>
      </c>
      <c r="BA46" s="40">
        <f t="shared" si="3"/>
        <v>0</v>
      </c>
      <c r="BB46" s="55">
        <f t="shared" si="4"/>
        <v>-4211.9675288162971</v>
      </c>
      <c r="BD46" s="2">
        <v>2</v>
      </c>
      <c r="BF46" s="325">
        <v>150000966</v>
      </c>
    </row>
    <row r="47" spans="1:58" ht="24.9" customHeight="1" x14ac:dyDescent="0.3">
      <c r="A47" s="325">
        <v>150000967</v>
      </c>
      <c r="B47" s="445" t="s">
        <v>206</v>
      </c>
      <c r="C47" s="27">
        <v>4</v>
      </c>
      <c r="D47" s="101" t="s">
        <v>455</v>
      </c>
      <c r="E47" s="279">
        <f>'побудинковий звіт'!E45</f>
        <v>1448.3</v>
      </c>
      <c r="F47" s="441">
        <f>'побудинковий звіт'!AS45</f>
        <v>11819.326239393464</v>
      </c>
      <c r="G47" s="441">
        <f t="shared" si="1"/>
        <v>355.46206823619485</v>
      </c>
      <c r="H47" s="73">
        <f t="shared" si="2"/>
        <v>-11463.864171157269</v>
      </c>
      <c r="I47" s="5">
        <f>VLOOKUP($A47,'ПР 01-02.21'!$A$11:$BB$406,9,FALSE)+VLOOKUP($A47,'ПР 21-22'!$A$11:$BB$406,9,FALSE)-VLOOKUP($A47,'ПР 01-02.22'!$A$11:$BB$378,9,FALSE)</f>
        <v>0</v>
      </c>
      <c r="J47" s="5">
        <f>VLOOKUP($A47,'ПР 01-02.21'!$A$11:$BB$406,10,FALSE)+VLOOKUP($A47,'ПР 21-22'!$A$11:$BB$406,10,FALSE)-VLOOKUP($A47,'ПР 01-02.22'!$A$11:$BB$378,10,FALSE)</f>
        <v>0</v>
      </c>
      <c r="K47" s="446"/>
      <c r="L47" s="5">
        <f>VLOOKUP($A47,'ПР 01-02.21'!$A$11:$BB$406,12,FALSE)+VLOOKUP($A47,'ПР 21-22'!$A$11:$BB$406,12,FALSE)-VLOOKUP($A47,'ПР 01-02.22'!$A$11:$BB$378,12,FALSE)</f>
        <v>0</v>
      </c>
      <c r="M47" s="5">
        <f>VLOOKUP($A47,'ПР 01-02.21'!$A$11:$BB$406,13,FALSE)+VLOOKUP($A47,'ПР 21-22'!$A$11:$BB$406,13,FALSE)-VLOOKUP($A47,'ПР 01-02.22'!$A$11:$BB$378,13,FALSE)</f>
        <v>0</v>
      </c>
      <c r="N47" s="38"/>
      <c r="O47" s="5">
        <f>VLOOKUP($A47,'ПР 01-02.21'!$A$11:$BB$406,15,FALSE)+VLOOKUP($A47,'ПР 21-22'!$A$11:$BB$406,15,FALSE)-VLOOKUP($A47,'ПР 01-02.22'!$A$11:$BB$378,15,FALSE)</f>
        <v>0</v>
      </c>
      <c r="P47" s="5">
        <f>VLOOKUP($A47,'ПР 01-02.21'!$A$11:$BB$406,16,FALSE)+VLOOKUP($A47,'ПР 21-22'!$A$11:$BB$406,16,FALSE)-VLOOKUP($A47,'ПР 01-02.22'!$A$11:$BB$378,16,FALSE)</f>
        <v>0</v>
      </c>
      <c r="Q47" s="443"/>
      <c r="R47" s="5">
        <f>VLOOKUP($A47,'ПР 01-02.21'!$A$11:$BB$406,18,FALSE)+VLOOKUP($A47,'ПР 21-22'!$A$11:$BB$406,18,FALSE)-VLOOKUP($A47,'ПР 01-02.22'!$A$11:$BB$378,18,FALSE)</f>
        <v>0</v>
      </c>
      <c r="S47" s="5">
        <f>VLOOKUP($A47,'ПР 01-02.21'!$A$11:$BB$406,19,FALSE)+VLOOKUP($A47,'ПР 21-22'!$A$11:$BB$406,19,FALSE)-VLOOKUP($A47,'ПР 01-02.22'!$A$11:$BB$378,19,FALSE)</f>
        <v>0</v>
      </c>
      <c r="T47" s="444"/>
      <c r="U47" s="5">
        <f>VLOOKUP($A47,'ПР 01-02.21'!$A$11:$BB$406,21,FALSE)+VLOOKUP($A47,'ПР 21-22'!$A$11:$BB$406,21,FALSE)-VLOOKUP($A47,'ПР 01-02.22'!$A$11:$BB$378,21,FALSE)</f>
        <v>0</v>
      </c>
      <c r="V47" s="5"/>
      <c r="W47" s="5">
        <f>VLOOKUP($A47,'ПР 01-02.21'!$A$11:$BB$406,23,FALSE)+VLOOKUP($A47,'ПР 21-22'!$A$11:$BB$406,23,FALSE)-VLOOKUP($A47,'ПР 01-02.22'!$A$11:$BB$378,23,FALSE)</f>
        <v>0</v>
      </c>
      <c r="X47" s="5">
        <f>VLOOKUP($A47,'ПР 01-02.21'!$A$11:$BB$406,24,FALSE)+VLOOKUP($A47,'ПР 21-22'!$A$11:$BB$406,24,FALSE)-VLOOKUP($A47,'ПР 01-02.22'!$A$11:$BB$378,24,FALSE)</f>
        <v>128.46206823619485</v>
      </c>
      <c r="Y47" s="5">
        <f>VLOOKUP($A47,'ПР 01-02.21'!$A$11:$BB$406,25,FALSE)+VLOOKUP($A47,'ПР 21-22'!$A$11:$BB$406,25,FALSE)-VLOOKUP($A47,'ПР 01-02.22'!$A$11:$BB$378,25,FALSE)</f>
        <v>0</v>
      </c>
      <c r="Z47" s="5"/>
      <c r="AA47" s="5">
        <f>VLOOKUP($A47,'ПР 01-02.21'!$A$11:$BB$406,27,FALSE)+VLOOKUP($A47,'ПР 21-22'!$A$11:$BB$406,27,FALSE)-VLOOKUP($A47,'ПР 01-02.22'!$A$11:$BB$378,27,FALSE)</f>
        <v>0</v>
      </c>
      <c r="AB47" s="5">
        <f>VLOOKUP($A47,'ПР 01-02.21'!$A$11:$BB$406,28,FALSE)+VLOOKUP($A47,'ПР 21-22'!$A$11:$BB$406,28,FALSE)-VLOOKUP($A47,'ПР 01-02.22'!$A$11:$BB$378,28,FALSE)</f>
        <v>0</v>
      </c>
      <c r="AC47" s="5">
        <f>VLOOKUP($A47,'ПР 01-02.21'!$A$11:$BB$406,29,FALSE)+VLOOKUP($A47,'ПР 21-22'!$A$11:$BB$406,29,FALSE)-VLOOKUP($A47,'ПР 01-02.22'!$A$11:$BB$378,29,FALSE)</f>
        <v>0</v>
      </c>
      <c r="AD47" s="5">
        <f>VLOOKUP($A47,'ПР 01-02.21'!$A$11:$BB$406,30,FALSE)+VLOOKUP($A47,'ПР 21-22'!$A$11:$BB$406,30,FALSE)-VLOOKUP($A47,'ПР 01-02.22'!$A$11:$BB$378,30,FALSE)</f>
        <v>227</v>
      </c>
      <c r="AE47" s="5">
        <f>VLOOKUP($A47,'ПР 01-02.21'!$A$11:$BB$406,31,FALSE)+VLOOKUP($A47,'ПР 21-22'!$A$11:$BB$406,31,FALSE)-VLOOKUP($A47,'ПР 01-02.22'!$A$11:$BB$378,31,FALSE)</f>
        <v>1369.0298910583756</v>
      </c>
      <c r="AF47" s="5">
        <f>VLOOKUP($A47,'ПР 01-02.21'!$A$11:$BB$406,32,FALSE)+VLOOKUP($A47,'ПР 21-22'!$A$11:$BB$406,32,FALSE)-VLOOKUP($A47,'ПР 01-02.22'!$A$11:$BB$378,32,FALSE)</f>
        <v>232</v>
      </c>
      <c r="AG47" s="40"/>
      <c r="AH47" s="5">
        <f>VLOOKUP($A47,'ПР 01-02.21'!$A$11:$BB$406,34,FALSE)+VLOOKUP($A47,'ПР 21-22'!$A$11:$BB$406,34,FALSE)-VLOOKUP($A47,'ПР 01-02.22'!$A$11:$BB$378,34,FALSE)</f>
        <v>1700.0819235619138</v>
      </c>
      <c r="AI47" s="5">
        <f>VLOOKUP($A47,'ПР 01-02.21'!$A$11:$BB$406,35,FALSE)+VLOOKUP($A47,'ПР 21-22'!$A$11:$BB$406,35,FALSE)-VLOOKUP($A47,'ПР 01-02.22'!$A$11:$BB$378,35,FALSE)</f>
        <v>0</v>
      </c>
      <c r="AJ47" s="40"/>
      <c r="AK47" s="5">
        <f>VLOOKUP($A47,'ПР 01-02.21'!$A$11:$BB$406,37,FALSE)+VLOOKUP($A47,'ПР 21-22'!$A$11:$BB$406,37,FALSE)-VLOOKUP($A47,'ПР 01-02.22'!$A$11:$BB$378,37,FALSE)</f>
        <v>939.53117020113098</v>
      </c>
      <c r="AL47" s="5">
        <f>VLOOKUP($A47,'ПР 01-02.21'!$A$11:$BB$406,38,FALSE)+VLOOKUP($A47,'ПР 21-22'!$A$11:$BB$406,38,FALSE)-VLOOKUP($A47,'ПР 01-02.22'!$A$11:$BB$378,38,FALSE)</f>
        <v>0</v>
      </c>
      <c r="AM47" s="40"/>
      <c r="AN47" s="5">
        <f>VLOOKUP($A47,'ПР 01-02.21'!$A$11:$BB$406,40,FALSE)+VLOOKUP($A47,'ПР 21-22'!$A$11:$BB$406,40,FALSE)-VLOOKUP($A47,'ПР 01-02.22'!$A$11:$BB$378,40,FALSE)</f>
        <v>0</v>
      </c>
      <c r="AO47" s="5">
        <f>VLOOKUP($A47,'ПР 01-02.21'!$A$11:$BB$406,41,FALSE)+VLOOKUP($A47,'ПР 21-22'!$A$11:$BB$406,41,FALSE)-VLOOKUP($A47,'ПР 01-02.22'!$A$11:$BB$378,41,FALSE)</f>
        <v>0</v>
      </c>
      <c r="AP47" s="40"/>
      <c r="AQ47" s="5">
        <f>VLOOKUP($A47,'ПР 01-02.21'!$A$11:$BB$406,43,FALSE)+VLOOKUP($A47,'ПР 21-22'!$A$11:$BB$406,43,FALSE)-VLOOKUP($A47,'ПР 01-02.22'!$A$11:$BB$378,43,FALSE)</f>
        <v>0</v>
      </c>
      <c r="AR47" s="5">
        <f>VLOOKUP($A47,'ПР 01-02.21'!$A$11:$BB$406,44,FALSE)+VLOOKUP($A47,'ПР 21-22'!$A$11:$BB$406,44,FALSE)-VLOOKUP($A47,'ПР 01-02.22'!$A$11:$BB$378,44,FALSE)</f>
        <v>0</v>
      </c>
      <c r="AS47" s="40"/>
      <c r="AT47" s="5">
        <f>VLOOKUP($A47,'ПР 01-02.21'!$A$11:$BB$406,46,FALSE)+VLOOKUP($A47,'ПР 21-22'!$A$11:$BB$406,46,FALSE)-VLOOKUP($A47,'ПР 01-02.22'!$A$11:$BB$378,46,FALSE)</f>
        <v>629.90040413580687</v>
      </c>
      <c r="AU47" s="5">
        <f>VLOOKUP($A47,'ПР 01-02.21'!$A$11:$BB$406,47,FALSE)+VLOOKUP($A47,'ПР 21-22'!$A$11:$BB$406,47,FALSE)-VLOOKUP($A47,'ПР 01-02.22'!$A$11:$BB$378,47,FALSE)</f>
        <v>0</v>
      </c>
      <c r="AV47" s="40"/>
      <c r="AW47" s="5">
        <f>VLOOKUP($A47,'ПР 01-02.21'!$A$11:$BB$406,49,FALSE)+VLOOKUP($A47,'ПР 21-22'!$A$11:$BB$406,49,FALSE)-VLOOKUP($A47,'ПР 01-02.22'!$A$11:$BB$378,49,FALSE)</f>
        <v>74.768000000000001</v>
      </c>
      <c r="AX47" s="5">
        <f>VLOOKUP($A47,'ПР 01-02.21'!$A$11:$BB$406,50,FALSE)+VLOOKUP($A47,'ПР 21-22'!$A$11:$BB$406,50,FALSE)-VLOOKUP($A47,'ПР 01-02.22'!$A$11:$BB$378,50,FALSE)</f>
        <v>0</v>
      </c>
      <c r="AY47" s="40"/>
      <c r="AZ47" s="40">
        <f t="shared" si="3"/>
        <v>4713.3113889572269</v>
      </c>
      <c r="BA47" s="40">
        <f t="shared" si="3"/>
        <v>232</v>
      </c>
      <c r="BB47" s="55">
        <f t="shared" si="4"/>
        <v>-4481.3113889572269</v>
      </c>
      <c r="BD47" s="2">
        <v>2</v>
      </c>
      <c r="BF47" s="325">
        <v>150000967</v>
      </c>
    </row>
    <row r="48" spans="1:58" ht="24.9" customHeight="1" x14ac:dyDescent="0.3">
      <c r="A48" s="325">
        <v>150000968</v>
      </c>
      <c r="B48" s="445" t="s">
        <v>245</v>
      </c>
      <c r="C48" s="27">
        <v>5</v>
      </c>
      <c r="D48" s="101" t="s">
        <v>455</v>
      </c>
      <c r="E48" s="279">
        <f>'побудинковий звіт'!E46</f>
        <v>2117.4</v>
      </c>
      <c r="F48" s="441">
        <f>'побудинковий звіт'!AS46</f>
        <v>12131.233688735896</v>
      </c>
      <c r="G48" s="441">
        <f t="shared" si="1"/>
        <v>2344.0455475948111</v>
      </c>
      <c r="H48" s="73">
        <f t="shared" si="2"/>
        <v>-9787.188141141085</v>
      </c>
      <c r="I48" s="5">
        <f>VLOOKUP($A48,'ПР 01-02.21'!$A$11:$BB$406,9,FALSE)+VLOOKUP($A48,'ПР 21-22'!$A$11:$BB$406,9,FALSE)-VLOOKUP($A48,'ПР 01-02.22'!$A$11:$BB$378,9,FALSE)</f>
        <v>0</v>
      </c>
      <c r="J48" s="5">
        <f>VLOOKUP($A48,'ПР 01-02.21'!$A$11:$BB$406,10,FALSE)+VLOOKUP($A48,'ПР 21-22'!$A$11:$BB$406,10,FALSE)-VLOOKUP($A48,'ПР 01-02.22'!$A$11:$BB$378,10,FALSE)</f>
        <v>0</v>
      </c>
      <c r="K48" s="446"/>
      <c r="L48" s="5">
        <f>VLOOKUP($A48,'ПР 01-02.21'!$A$11:$BB$406,12,FALSE)+VLOOKUP($A48,'ПР 21-22'!$A$11:$BB$406,12,FALSE)-VLOOKUP($A48,'ПР 01-02.22'!$A$11:$BB$378,12,FALSE)</f>
        <v>0</v>
      </c>
      <c r="M48" s="5">
        <f>VLOOKUP($A48,'ПР 01-02.21'!$A$11:$BB$406,13,FALSE)+VLOOKUP($A48,'ПР 21-22'!$A$11:$BB$406,13,FALSE)-VLOOKUP($A48,'ПР 01-02.22'!$A$11:$BB$378,13,FALSE)</f>
        <v>0</v>
      </c>
      <c r="N48" s="38"/>
      <c r="O48" s="5">
        <f>VLOOKUP($A48,'ПР 01-02.21'!$A$11:$BB$406,15,FALSE)+VLOOKUP($A48,'ПР 21-22'!$A$11:$BB$406,15,FALSE)-VLOOKUP($A48,'ПР 01-02.22'!$A$11:$BB$378,15,FALSE)</f>
        <v>0</v>
      </c>
      <c r="P48" s="5">
        <f>VLOOKUP($A48,'ПР 01-02.21'!$A$11:$BB$406,16,FALSE)+VLOOKUP($A48,'ПР 21-22'!$A$11:$BB$406,16,FALSE)-VLOOKUP($A48,'ПР 01-02.22'!$A$11:$BB$378,16,FALSE)</f>
        <v>0</v>
      </c>
      <c r="Q48" s="443"/>
      <c r="R48" s="5">
        <f>VLOOKUP($A48,'ПР 01-02.21'!$A$11:$BB$406,18,FALSE)+VLOOKUP($A48,'ПР 21-22'!$A$11:$BB$406,18,FALSE)-VLOOKUP($A48,'ПР 01-02.22'!$A$11:$BB$378,18,FALSE)</f>
        <v>0</v>
      </c>
      <c r="S48" s="5">
        <f>VLOOKUP($A48,'ПР 01-02.21'!$A$11:$BB$406,19,FALSE)+VLOOKUP($A48,'ПР 21-22'!$A$11:$BB$406,19,FALSE)-VLOOKUP($A48,'ПР 01-02.22'!$A$11:$BB$378,19,FALSE)</f>
        <v>0</v>
      </c>
      <c r="T48" s="444"/>
      <c r="U48" s="5">
        <f>VLOOKUP($A48,'ПР 01-02.21'!$A$11:$BB$406,21,FALSE)+VLOOKUP($A48,'ПР 21-22'!$A$11:$BB$406,21,FALSE)-VLOOKUP($A48,'ПР 01-02.22'!$A$11:$BB$378,21,FALSE)</f>
        <v>0</v>
      </c>
      <c r="V48" s="5"/>
      <c r="W48" s="5">
        <f>VLOOKUP($A48,'ПР 01-02.21'!$A$11:$BB$406,23,FALSE)+VLOOKUP($A48,'ПР 21-22'!$A$11:$BB$406,23,FALSE)-VLOOKUP($A48,'ПР 01-02.22'!$A$11:$BB$378,23,FALSE)</f>
        <v>2</v>
      </c>
      <c r="X48" s="5">
        <f>VLOOKUP($A48,'ПР 01-02.21'!$A$11:$BB$406,24,FALSE)+VLOOKUP($A48,'ПР 21-22'!$A$11:$BB$406,24,FALSE)-VLOOKUP($A48,'ПР 01-02.22'!$A$11:$BB$378,24,FALSE)</f>
        <v>1092.0455475948108</v>
      </c>
      <c r="Y48" s="5">
        <f>VLOOKUP($A48,'ПР 01-02.21'!$A$11:$BB$406,25,FALSE)+VLOOKUP($A48,'ПР 21-22'!$A$11:$BB$406,25,FALSE)-VLOOKUP($A48,'ПР 01-02.22'!$A$11:$BB$378,25,FALSE)</f>
        <v>0</v>
      </c>
      <c r="Z48" s="5"/>
      <c r="AA48" s="5">
        <f>VLOOKUP($A48,'ПР 01-02.21'!$A$11:$BB$406,27,FALSE)+VLOOKUP($A48,'ПР 21-22'!$A$11:$BB$406,27,FALSE)-VLOOKUP($A48,'ПР 01-02.22'!$A$11:$BB$378,27,FALSE)</f>
        <v>0</v>
      </c>
      <c r="AB48" s="5">
        <f>VLOOKUP($A48,'ПР 01-02.21'!$A$11:$BB$406,28,FALSE)+VLOOKUP($A48,'ПР 21-22'!$A$11:$BB$406,28,FALSE)-VLOOKUP($A48,'ПР 01-02.22'!$A$11:$BB$378,28,FALSE)</f>
        <v>0</v>
      </c>
      <c r="AC48" s="5">
        <f>VLOOKUP($A48,'ПР 01-02.21'!$A$11:$BB$406,29,FALSE)+VLOOKUP($A48,'ПР 21-22'!$A$11:$BB$406,29,FALSE)-VLOOKUP($A48,'ПР 01-02.22'!$A$11:$BB$378,29,FALSE)</f>
        <v>0</v>
      </c>
      <c r="AD48" s="5">
        <f>VLOOKUP($A48,'ПР 01-02.21'!$A$11:$BB$406,30,FALSE)+VLOOKUP($A48,'ПР 21-22'!$A$11:$BB$406,30,FALSE)-VLOOKUP($A48,'ПР 01-02.22'!$A$11:$BB$378,30,FALSE)</f>
        <v>1252</v>
      </c>
      <c r="AE48" s="5">
        <f>VLOOKUP($A48,'ПР 01-02.21'!$A$11:$BB$406,31,FALSE)+VLOOKUP($A48,'ПР 21-22'!$A$11:$BB$406,31,FALSE)-VLOOKUP($A48,'ПР 01-02.22'!$A$11:$BB$378,31,FALSE)</f>
        <v>1578.9296570907984</v>
      </c>
      <c r="AF48" s="5">
        <f>VLOOKUP($A48,'ПР 01-02.21'!$A$11:$BB$406,32,FALSE)+VLOOKUP($A48,'ПР 21-22'!$A$11:$BB$406,32,FALSE)-VLOOKUP($A48,'ПР 01-02.22'!$A$11:$BB$378,32,FALSE)</f>
        <v>1341</v>
      </c>
      <c r="AG48" s="40"/>
      <c r="AH48" s="5">
        <f>VLOOKUP($A48,'ПР 01-02.21'!$A$11:$BB$406,34,FALSE)+VLOOKUP($A48,'ПР 21-22'!$A$11:$BB$406,34,FALSE)-VLOOKUP($A48,'ПР 01-02.22'!$A$11:$BB$378,34,FALSE)</f>
        <v>1914.8290098946716</v>
      </c>
      <c r="AI48" s="5">
        <f>VLOOKUP($A48,'ПР 01-02.21'!$A$11:$BB$406,35,FALSE)+VLOOKUP($A48,'ПР 21-22'!$A$11:$BB$406,35,FALSE)-VLOOKUP($A48,'ПР 01-02.22'!$A$11:$BB$378,35,FALSE)</f>
        <v>1292</v>
      </c>
      <c r="AJ48" s="40"/>
      <c r="AK48" s="5">
        <f>VLOOKUP($A48,'ПР 01-02.21'!$A$11:$BB$406,37,FALSE)+VLOOKUP($A48,'ПР 21-22'!$A$11:$BB$406,37,FALSE)-VLOOKUP($A48,'ПР 01-02.22'!$A$11:$BB$378,37,FALSE)</f>
        <v>1308.244784338515</v>
      </c>
      <c r="AL48" s="5">
        <f>VLOOKUP($A48,'ПР 01-02.21'!$A$11:$BB$406,38,FALSE)+VLOOKUP($A48,'ПР 21-22'!$A$11:$BB$406,38,FALSE)-VLOOKUP($A48,'ПР 01-02.22'!$A$11:$BB$378,38,FALSE)</f>
        <v>0</v>
      </c>
      <c r="AM48" s="40"/>
      <c r="AN48" s="5">
        <f>VLOOKUP($A48,'ПР 01-02.21'!$A$11:$BB$406,40,FALSE)+VLOOKUP($A48,'ПР 21-22'!$A$11:$BB$406,40,FALSE)-VLOOKUP($A48,'ПР 01-02.22'!$A$11:$BB$378,40,FALSE)</f>
        <v>0</v>
      </c>
      <c r="AO48" s="5">
        <f>VLOOKUP($A48,'ПР 01-02.21'!$A$11:$BB$406,41,FALSE)+VLOOKUP($A48,'ПР 21-22'!$A$11:$BB$406,41,FALSE)-VLOOKUP($A48,'ПР 01-02.22'!$A$11:$BB$378,41,FALSE)</f>
        <v>0</v>
      </c>
      <c r="AP48" s="40"/>
      <c r="AQ48" s="5">
        <f>VLOOKUP($A48,'ПР 01-02.21'!$A$11:$BB$406,43,FALSE)+VLOOKUP($A48,'ПР 21-22'!$A$11:$BB$406,43,FALSE)-VLOOKUP($A48,'ПР 01-02.22'!$A$11:$BB$378,43,FALSE)</f>
        <v>0</v>
      </c>
      <c r="AR48" s="5">
        <f>VLOOKUP($A48,'ПР 01-02.21'!$A$11:$BB$406,44,FALSE)+VLOOKUP($A48,'ПР 21-22'!$A$11:$BB$406,44,FALSE)-VLOOKUP($A48,'ПР 01-02.22'!$A$11:$BB$378,44,FALSE)</f>
        <v>0</v>
      </c>
      <c r="AS48" s="40"/>
      <c r="AT48" s="5">
        <f>VLOOKUP($A48,'ПР 01-02.21'!$A$11:$BB$406,46,FALSE)+VLOOKUP($A48,'ПР 21-22'!$A$11:$BB$406,46,FALSE)-VLOOKUP($A48,'ПР 01-02.22'!$A$11:$BB$378,46,FALSE)</f>
        <v>721.18061444850275</v>
      </c>
      <c r="AU48" s="5">
        <f>VLOOKUP($A48,'ПР 01-02.21'!$A$11:$BB$406,47,FALSE)+VLOOKUP($A48,'ПР 21-22'!$A$11:$BB$406,47,FALSE)-VLOOKUP($A48,'ПР 01-02.22'!$A$11:$BB$378,47,FALSE)</f>
        <v>0</v>
      </c>
      <c r="AV48" s="40"/>
      <c r="AW48" s="5">
        <f>VLOOKUP($A48,'ПР 01-02.21'!$A$11:$BB$406,49,FALSE)+VLOOKUP($A48,'ПР 21-22'!$A$11:$BB$406,49,FALSE)-VLOOKUP($A48,'ПР 01-02.22'!$A$11:$BB$378,49,FALSE)</f>
        <v>114.91600000000001</v>
      </c>
      <c r="AX48" s="5">
        <f>VLOOKUP($A48,'ПР 01-02.21'!$A$11:$BB$406,50,FALSE)+VLOOKUP($A48,'ПР 21-22'!$A$11:$BB$406,50,FALSE)-VLOOKUP($A48,'ПР 01-02.22'!$A$11:$BB$378,50,FALSE)</f>
        <v>0</v>
      </c>
      <c r="AY48" s="40"/>
      <c r="AZ48" s="40">
        <f t="shared" si="3"/>
        <v>5638.1000657724881</v>
      </c>
      <c r="BA48" s="40">
        <f t="shared" si="3"/>
        <v>2633</v>
      </c>
      <c r="BB48" s="55">
        <f t="shared" si="4"/>
        <v>-3005.1000657724881</v>
      </c>
      <c r="BD48" s="2">
        <v>2</v>
      </c>
      <c r="BF48" s="325">
        <v>150000968</v>
      </c>
    </row>
    <row r="49" spans="1:58" ht="24.9" customHeight="1" x14ac:dyDescent="0.3">
      <c r="A49" s="325">
        <v>150000981</v>
      </c>
      <c r="B49" s="445" t="s">
        <v>343</v>
      </c>
      <c r="C49" s="27">
        <v>9</v>
      </c>
      <c r="D49" s="101" t="s">
        <v>455</v>
      </c>
      <c r="E49" s="279">
        <f>'побудинковий звіт'!E47</f>
        <v>2214.37</v>
      </c>
      <c r="F49" s="441">
        <f>'побудинковий звіт'!AS47</f>
        <v>27851.435838690777</v>
      </c>
      <c r="G49" s="441">
        <f t="shared" si="1"/>
        <v>18322.956562998657</v>
      </c>
      <c r="H49" s="73">
        <f t="shared" si="2"/>
        <v>-9528.4792756921197</v>
      </c>
      <c r="I49" s="5">
        <f>VLOOKUP($A49,'ПР 01-02.21'!$A$11:$BB$406,9,FALSE)+VLOOKUP($A49,'ПР 21-22'!$A$11:$BB$406,9,FALSE)-VLOOKUP($A49,'ПР 01-02.22'!$A$11:$BB$378,9,FALSE)</f>
        <v>0</v>
      </c>
      <c r="J49" s="5">
        <f>VLOOKUP($A49,'ПР 01-02.21'!$A$11:$BB$406,10,FALSE)+VLOOKUP($A49,'ПР 21-22'!$A$11:$BB$406,10,FALSE)-VLOOKUP($A49,'ПР 01-02.22'!$A$11:$BB$378,10,FALSE)</f>
        <v>910</v>
      </c>
      <c r="K49" s="446"/>
      <c r="L49" s="5">
        <f>VLOOKUP($A49,'ПР 01-02.21'!$A$11:$BB$406,12,FALSE)+VLOOKUP($A49,'ПР 21-22'!$A$11:$BB$406,12,FALSE)-VLOOKUP($A49,'ПР 01-02.22'!$A$11:$BB$378,12,FALSE)</f>
        <v>0</v>
      </c>
      <c r="M49" s="5">
        <f>VLOOKUP($A49,'ПР 01-02.21'!$A$11:$BB$406,13,FALSE)+VLOOKUP($A49,'ПР 21-22'!$A$11:$BB$406,13,FALSE)-VLOOKUP($A49,'ПР 01-02.22'!$A$11:$BB$378,13,FALSE)</f>
        <v>0</v>
      </c>
      <c r="N49" s="38"/>
      <c r="O49" s="5">
        <f>VLOOKUP($A49,'ПР 01-02.21'!$A$11:$BB$406,15,FALSE)+VLOOKUP($A49,'ПР 21-22'!$A$11:$BB$406,15,FALSE)-VLOOKUP($A49,'ПР 01-02.22'!$A$11:$BB$378,15,FALSE)</f>
        <v>0</v>
      </c>
      <c r="P49" s="5">
        <f>VLOOKUP($A49,'ПР 01-02.21'!$A$11:$BB$406,16,FALSE)+VLOOKUP($A49,'ПР 21-22'!$A$11:$BB$406,16,FALSE)-VLOOKUP($A49,'ПР 01-02.22'!$A$11:$BB$378,16,FALSE)</f>
        <v>0</v>
      </c>
      <c r="Q49" s="443"/>
      <c r="R49" s="5">
        <f>VLOOKUP($A49,'ПР 01-02.21'!$A$11:$BB$406,18,FALSE)+VLOOKUP($A49,'ПР 21-22'!$A$11:$BB$406,18,FALSE)-VLOOKUP($A49,'ПР 01-02.22'!$A$11:$BB$378,18,FALSE)</f>
        <v>1</v>
      </c>
      <c r="S49" s="5">
        <f>VLOOKUP($A49,'ПР 01-02.21'!$A$11:$BB$406,19,FALSE)+VLOOKUP($A49,'ПР 21-22'!$A$11:$BB$406,19,FALSE)-VLOOKUP($A49,'ПР 01-02.22'!$A$11:$BB$378,19,FALSE)</f>
        <v>259</v>
      </c>
      <c r="T49" s="444"/>
      <c r="U49" s="5">
        <f>VLOOKUP($A49,'ПР 01-02.21'!$A$11:$BB$406,21,FALSE)+VLOOKUP($A49,'ПР 21-22'!$A$11:$BB$406,21,FALSE)-VLOOKUP($A49,'ПР 01-02.22'!$A$11:$BB$378,21,FALSE)</f>
        <v>0</v>
      </c>
      <c r="V49" s="5"/>
      <c r="W49" s="5">
        <f>VLOOKUP($A49,'ПР 01-02.21'!$A$11:$BB$406,23,FALSE)+VLOOKUP($A49,'ПР 21-22'!$A$11:$BB$406,23,FALSE)-VLOOKUP($A49,'ПР 01-02.22'!$A$11:$BB$378,23,FALSE)</f>
        <v>0</v>
      </c>
      <c r="X49" s="5">
        <f>VLOOKUP($A49,'ПР 01-02.21'!$A$11:$BB$406,24,FALSE)+VLOOKUP($A49,'ПР 21-22'!$A$11:$BB$406,24,FALSE)-VLOOKUP($A49,'ПР 01-02.22'!$A$11:$BB$378,24,FALSE)</f>
        <v>222.75656299865898</v>
      </c>
      <c r="Y49" s="5">
        <f>VLOOKUP($A49,'ПР 01-02.21'!$A$11:$BB$406,25,FALSE)+VLOOKUP($A49,'ПР 21-22'!$A$11:$BB$406,25,FALSE)-VLOOKUP($A49,'ПР 01-02.22'!$A$11:$BB$378,25,FALSE)</f>
        <v>9552</v>
      </c>
      <c r="Z49" s="5"/>
      <c r="AA49" s="5">
        <f>VLOOKUP($A49,'ПР 01-02.21'!$A$11:$BB$406,27,FALSE)+VLOOKUP($A49,'ПР 21-22'!$A$11:$BB$406,27,FALSE)-VLOOKUP($A49,'ПР 01-02.22'!$A$11:$BB$378,27,FALSE)</f>
        <v>0</v>
      </c>
      <c r="AB49" s="5">
        <f>VLOOKUP($A49,'ПР 01-02.21'!$A$11:$BB$406,28,FALSE)+VLOOKUP($A49,'ПР 21-22'!$A$11:$BB$406,28,FALSE)-VLOOKUP($A49,'ПР 01-02.22'!$A$11:$BB$378,28,FALSE)</f>
        <v>0</v>
      </c>
      <c r="AC49" s="5">
        <f>VLOOKUP($A49,'ПР 01-02.21'!$A$11:$BB$406,29,FALSE)+VLOOKUP($A49,'ПР 21-22'!$A$11:$BB$406,29,FALSE)-VLOOKUP($A49,'ПР 01-02.22'!$A$11:$BB$378,29,FALSE)</f>
        <v>0</v>
      </c>
      <c r="AD49" s="5">
        <f>VLOOKUP($A49,'ПР 01-02.21'!$A$11:$BB$406,30,FALSE)+VLOOKUP($A49,'ПР 21-22'!$A$11:$BB$406,30,FALSE)-VLOOKUP($A49,'ПР 01-02.22'!$A$11:$BB$378,30,FALSE)</f>
        <v>7379.2</v>
      </c>
      <c r="AE49" s="5">
        <f>VLOOKUP($A49,'ПР 01-02.21'!$A$11:$BB$406,31,FALSE)+VLOOKUP($A49,'ПР 21-22'!$A$11:$BB$406,31,FALSE)-VLOOKUP($A49,'ПР 01-02.22'!$A$11:$BB$378,31,FALSE)</f>
        <v>1488.6983408778578</v>
      </c>
      <c r="AF49" s="5">
        <f>VLOOKUP($A49,'ПР 01-02.21'!$A$11:$BB$406,32,FALSE)+VLOOKUP($A49,'ПР 21-22'!$A$11:$BB$406,32,FALSE)-VLOOKUP($A49,'ПР 01-02.22'!$A$11:$BB$378,32,FALSE)</f>
        <v>0</v>
      </c>
      <c r="AG49" s="40"/>
      <c r="AH49" s="5">
        <f>VLOOKUP($A49,'ПР 01-02.21'!$A$11:$BB$406,34,FALSE)+VLOOKUP($A49,'ПР 21-22'!$A$11:$BB$406,34,FALSE)-VLOOKUP($A49,'ПР 01-02.22'!$A$11:$BB$378,34,FALSE)</f>
        <v>1711.7802418128904</v>
      </c>
      <c r="AI49" s="5">
        <f>VLOOKUP($A49,'ПР 01-02.21'!$A$11:$BB$406,35,FALSE)+VLOOKUP($A49,'ПР 21-22'!$A$11:$BB$406,35,FALSE)-VLOOKUP($A49,'ПР 01-02.22'!$A$11:$BB$378,35,FALSE)</f>
        <v>0</v>
      </c>
      <c r="AJ49" s="40"/>
      <c r="AK49" s="5">
        <f>VLOOKUP($A49,'ПР 01-02.21'!$A$11:$BB$406,37,FALSE)+VLOOKUP($A49,'ПР 21-22'!$A$11:$BB$406,37,FALSE)-VLOOKUP($A49,'ПР 01-02.22'!$A$11:$BB$378,37,FALSE)</f>
        <v>743.82792723748298</v>
      </c>
      <c r="AL49" s="5">
        <f>VLOOKUP($A49,'ПР 01-02.21'!$A$11:$BB$406,38,FALSE)+VLOOKUP($A49,'ПР 21-22'!$A$11:$BB$406,38,FALSE)-VLOOKUP($A49,'ПР 01-02.22'!$A$11:$BB$378,38,FALSE)</f>
        <v>0</v>
      </c>
      <c r="AM49" s="40"/>
      <c r="AN49" s="5">
        <f>VLOOKUP($A49,'ПР 01-02.21'!$A$11:$BB$406,40,FALSE)+VLOOKUP($A49,'ПР 21-22'!$A$11:$BB$406,40,FALSE)-VLOOKUP($A49,'ПР 01-02.22'!$A$11:$BB$378,40,FALSE)</f>
        <v>1391.4452447960605</v>
      </c>
      <c r="AO49" s="5">
        <f>VLOOKUP($A49,'ПР 01-02.21'!$A$11:$BB$406,41,FALSE)+VLOOKUP($A49,'ПР 21-22'!$A$11:$BB$406,41,FALSE)-VLOOKUP($A49,'ПР 01-02.22'!$A$11:$BB$378,41,FALSE)</f>
        <v>0</v>
      </c>
      <c r="AP49" s="40"/>
      <c r="AQ49" s="5">
        <f>VLOOKUP($A49,'ПР 01-02.21'!$A$11:$BB$406,43,FALSE)+VLOOKUP($A49,'ПР 21-22'!$A$11:$BB$406,43,FALSE)-VLOOKUP($A49,'ПР 01-02.22'!$A$11:$BB$378,43,FALSE)</f>
        <v>568.14063361235844</v>
      </c>
      <c r="AR49" s="5">
        <f>VLOOKUP($A49,'ПР 01-02.21'!$A$11:$BB$406,44,FALSE)+VLOOKUP($A49,'ПР 21-22'!$A$11:$BB$406,44,FALSE)-VLOOKUP($A49,'ПР 01-02.22'!$A$11:$BB$378,44,FALSE)</f>
        <v>0</v>
      </c>
      <c r="AS49" s="40"/>
      <c r="AT49" s="5">
        <f>VLOOKUP($A49,'ПР 01-02.21'!$A$11:$BB$406,46,FALSE)+VLOOKUP($A49,'ПР 21-22'!$A$11:$BB$406,46,FALSE)-VLOOKUP($A49,'ПР 01-02.22'!$A$11:$BB$378,46,FALSE)</f>
        <v>923.4129951616427</v>
      </c>
      <c r="AU49" s="5">
        <f>VLOOKUP($A49,'ПР 01-02.21'!$A$11:$BB$406,47,FALSE)+VLOOKUP($A49,'ПР 21-22'!$A$11:$BB$406,47,FALSE)-VLOOKUP($A49,'ПР 01-02.22'!$A$11:$BB$378,47,FALSE)</f>
        <v>0</v>
      </c>
      <c r="AV49" s="40"/>
      <c r="AW49" s="5">
        <f>VLOOKUP($A49,'ПР 01-02.21'!$A$11:$BB$406,49,FALSE)+VLOOKUP($A49,'ПР 21-22'!$A$11:$BB$406,49,FALSE)-VLOOKUP($A49,'ПР 01-02.22'!$A$11:$BB$378,49,FALSE)</f>
        <v>110.5748</v>
      </c>
      <c r="AX49" s="5">
        <f>VLOOKUP($A49,'ПР 01-02.21'!$A$11:$BB$406,50,FALSE)+VLOOKUP($A49,'ПР 21-22'!$A$11:$BB$406,50,FALSE)-VLOOKUP($A49,'ПР 01-02.22'!$A$11:$BB$378,50,FALSE)</f>
        <v>0</v>
      </c>
      <c r="AY49" s="40"/>
      <c r="AZ49" s="40">
        <f t="shared" si="3"/>
        <v>6937.8801834982924</v>
      </c>
      <c r="BA49" s="40">
        <f t="shared" si="3"/>
        <v>0</v>
      </c>
      <c r="BB49" s="55">
        <f t="shared" si="4"/>
        <v>-6937.8801834982924</v>
      </c>
      <c r="BD49" s="2">
        <v>3</v>
      </c>
      <c r="BF49" s="325">
        <v>150000981</v>
      </c>
    </row>
    <row r="50" spans="1:58" ht="24.9" customHeight="1" x14ac:dyDescent="0.3">
      <c r="A50" s="325">
        <v>150000982</v>
      </c>
      <c r="B50" s="445" t="s">
        <v>344</v>
      </c>
      <c r="C50" s="27">
        <v>9</v>
      </c>
      <c r="D50" s="101" t="s">
        <v>455</v>
      </c>
      <c r="E50" s="279">
        <f>'побудинковий звіт'!E48</f>
        <v>5953.29</v>
      </c>
      <c r="F50" s="441">
        <f>'побудинковий звіт'!AS48</f>
        <v>83283.191824336187</v>
      </c>
      <c r="G50" s="441">
        <f t="shared" si="1"/>
        <v>29745.968223241543</v>
      </c>
      <c r="H50" s="73">
        <f t="shared" si="2"/>
        <v>-53537.223601094644</v>
      </c>
      <c r="I50" s="5">
        <f>VLOOKUP($A50,'ПР 01-02.21'!$A$11:$BB$406,9,FALSE)+VLOOKUP($A50,'ПР 21-22'!$A$11:$BB$406,9,FALSE)-VLOOKUP($A50,'ПР 01-02.22'!$A$11:$BB$378,9,FALSE)</f>
        <v>10.43</v>
      </c>
      <c r="J50" s="5">
        <f>VLOOKUP($A50,'ПР 01-02.21'!$A$11:$BB$406,10,FALSE)+VLOOKUP($A50,'ПР 21-22'!$A$11:$BB$406,10,FALSE)-VLOOKUP($A50,'ПР 01-02.22'!$A$11:$BB$378,10,FALSE)</f>
        <v>6617</v>
      </c>
      <c r="K50" s="453"/>
      <c r="L50" s="5">
        <f>VLOOKUP($A50,'ПР 01-02.21'!$A$11:$BB$406,12,FALSE)+VLOOKUP($A50,'ПР 21-22'!$A$11:$BB$406,12,FALSE)-VLOOKUP($A50,'ПР 01-02.22'!$A$11:$BB$378,12,FALSE)</f>
        <v>0</v>
      </c>
      <c r="M50" s="5">
        <f>VLOOKUP($A50,'ПР 01-02.21'!$A$11:$BB$406,13,FALSE)+VLOOKUP($A50,'ПР 21-22'!$A$11:$BB$406,13,FALSE)-VLOOKUP($A50,'ПР 01-02.22'!$A$11:$BB$378,13,FALSE)</f>
        <v>0</v>
      </c>
      <c r="N50" s="38"/>
      <c r="O50" s="5">
        <f>VLOOKUP($A50,'ПР 01-02.21'!$A$11:$BB$406,15,FALSE)+VLOOKUP($A50,'ПР 21-22'!$A$11:$BB$406,15,FALSE)-VLOOKUP($A50,'ПР 01-02.22'!$A$11:$BB$378,15,FALSE)</f>
        <v>0</v>
      </c>
      <c r="P50" s="5">
        <f>VLOOKUP($A50,'ПР 01-02.21'!$A$11:$BB$406,16,FALSE)+VLOOKUP($A50,'ПР 21-22'!$A$11:$BB$406,16,FALSE)-VLOOKUP($A50,'ПР 01-02.22'!$A$11:$BB$378,16,FALSE)</f>
        <v>0</v>
      </c>
      <c r="Q50" s="443"/>
      <c r="R50" s="5">
        <f>VLOOKUP($A50,'ПР 01-02.21'!$A$11:$BB$406,18,FALSE)+VLOOKUP($A50,'ПР 21-22'!$A$11:$BB$406,18,FALSE)-VLOOKUP($A50,'ПР 01-02.22'!$A$11:$BB$378,18,FALSE)</f>
        <v>3</v>
      </c>
      <c r="S50" s="5">
        <f>VLOOKUP($A50,'ПР 01-02.21'!$A$11:$BB$406,19,FALSE)+VLOOKUP($A50,'ПР 21-22'!$A$11:$BB$406,19,FALSE)-VLOOKUP($A50,'ПР 01-02.22'!$A$11:$BB$378,19,FALSE)</f>
        <v>8857</v>
      </c>
      <c r="T50" s="444"/>
      <c r="U50" s="5">
        <f>VLOOKUP($A50,'ПР 01-02.21'!$A$11:$BB$406,21,FALSE)+VLOOKUP($A50,'ПР 21-22'!$A$11:$BB$406,21,FALSE)-VLOOKUP($A50,'ПР 01-02.22'!$A$11:$BB$378,21,FALSE)</f>
        <v>0</v>
      </c>
      <c r="V50" s="5"/>
      <c r="W50" s="5">
        <f>VLOOKUP($A50,'ПР 01-02.21'!$A$11:$BB$406,23,FALSE)+VLOOKUP($A50,'ПР 21-22'!$A$11:$BB$406,23,FALSE)-VLOOKUP($A50,'ПР 01-02.22'!$A$11:$BB$378,23,FALSE)</f>
        <v>24</v>
      </c>
      <c r="X50" s="5">
        <f>VLOOKUP($A50,'ПР 01-02.21'!$A$11:$BB$406,24,FALSE)+VLOOKUP($A50,'ПР 21-22'!$A$11:$BB$406,24,FALSE)-VLOOKUP($A50,'ПР 01-02.22'!$A$11:$BB$378,24,FALSE)</f>
        <v>2096.9682232415453</v>
      </c>
      <c r="Y50" s="5">
        <f>VLOOKUP($A50,'ПР 01-02.21'!$A$11:$BB$406,25,FALSE)+VLOOKUP($A50,'ПР 21-22'!$A$11:$BB$406,25,FALSE)-VLOOKUP($A50,'ПР 01-02.22'!$A$11:$BB$378,25,FALSE)</f>
        <v>3025</v>
      </c>
      <c r="Z50" s="5"/>
      <c r="AA50" s="5">
        <f>VLOOKUP($A50,'ПР 01-02.21'!$A$11:$BB$406,27,FALSE)+VLOOKUP($A50,'ПР 21-22'!$A$11:$BB$406,27,FALSE)-VLOOKUP($A50,'ПР 01-02.22'!$A$11:$BB$378,27,FALSE)</f>
        <v>0</v>
      </c>
      <c r="AB50" s="5">
        <f>VLOOKUP($A50,'ПР 01-02.21'!$A$11:$BB$406,28,FALSE)+VLOOKUP($A50,'ПР 21-22'!$A$11:$BB$406,28,FALSE)-VLOOKUP($A50,'ПР 01-02.22'!$A$11:$BB$378,28,FALSE)</f>
        <v>3075</v>
      </c>
      <c r="AC50" s="5">
        <f>VLOOKUP($A50,'ПР 01-02.21'!$A$11:$BB$406,29,FALSE)+VLOOKUP($A50,'ПР 21-22'!$A$11:$BB$406,29,FALSE)-VLOOKUP($A50,'ПР 01-02.22'!$A$11:$BB$378,29,FALSE)</f>
        <v>2013</v>
      </c>
      <c r="AD50" s="5">
        <f>VLOOKUP($A50,'ПР 01-02.21'!$A$11:$BB$406,30,FALSE)+VLOOKUP($A50,'ПР 21-22'!$A$11:$BB$406,30,FALSE)-VLOOKUP($A50,'ПР 01-02.22'!$A$11:$BB$378,30,FALSE)</f>
        <v>4062</v>
      </c>
      <c r="AE50" s="5">
        <f>VLOOKUP($A50,'ПР 01-02.21'!$A$11:$BB$406,31,FALSE)+VLOOKUP($A50,'ПР 21-22'!$A$11:$BB$406,31,FALSE)-VLOOKUP($A50,'ПР 01-02.22'!$A$11:$BB$378,31,FALSE)</f>
        <v>2674.0276649475181</v>
      </c>
      <c r="AF50" s="5">
        <f>VLOOKUP($A50,'ПР 01-02.21'!$A$11:$BB$406,32,FALSE)+VLOOKUP($A50,'ПР 21-22'!$A$11:$BB$406,32,FALSE)-VLOOKUP($A50,'ПР 01-02.22'!$A$11:$BB$378,32,FALSE)</f>
        <v>1015</v>
      </c>
      <c r="AG50" s="40"/>
      <c r="AH50" s="5">
        <f>VLOOKUP($A50,'ПР 01-02.21'!$A$11:$BB$406,34,FALSE)+VLOOKUP($A50,'ПР 21-22'!$A$11:$BB$406,34,FALSE)-VLOOKUP($A50,'ПР 01-02.22'!$A$11:$BB$378,34,FALSE)</f>
        <v>5111.7959814813394</v>
      </c>
      <c r="AI50" s="5">
        <f>VLOOKUP($A50,'ПР 01-02.21'!$A$11:$BB$406,35,FALSE)+VLOOKUP($A50,'ПР 21-22'!$A$11:$BB$406,35,FALSE)-VLOOKUP($A50,'ПР 01-02.22'!$A$11:$BB$378,35,FALSE)</f>
        <v>6280</v>
      </c>
      <c r="AJ50" s="40"/>
      <c r="AK50" s="5">
        <f>VLOOKUP($A50,'ПР 01-02.21'!$A$11:$BB$406,37,FALSE)+VLOOKUP($A50,'ПР 21-22'!$A$11:$BB$406,37,FALSE)-VLOOKUP($A50,'ПР 01-02.22'!$A$11:$BB$378,37,FALSE)</f>
        <v>2094.4753968685427</v>
      </c>
      <c r="AL50" s="5">
        <f>VLOOKUP($A50,'ПР 01-02.21'!$A$11:$BB$406,38,FALSE)+VLOOKUP($A50,'ПР 21-22'!$A$11:$BB$406,38,FALSE)-VLOOKUP($A50,'ПР 01-02.22'!$A$11:$BB$378,38,FALSE)</f>
        <v>1943</v>
      </c>
      <c r="AM50" s="40"/>
      <c r="AN50" s="5">
        <f>VLOOKUP($A50,'ПР 01-02.21'!$A$11:$BB$406,40,FALSE)+VLOOKUP($A50,'ПР 21-22'!$A$11:$BB$406,40,FALSE)-VLOOKUP($A50,'ПР 01-02.22'!$A$11:$BB$378,40,FALSE)</f>
        <v>3549.7813732436875</v>
      </c>
      <c r="AO50" s="5">
        <f>VLOOKUP($A50,'ПР 01-02.21'!$A$11:$BB$406,41,FALSE)+VLOOKUP($A50,'ПР 21-22'!$A$11:$BB$406,41,FALSE)-VLOOKUP($A50,'ПР 01-02.22'!$A$11:$BB$378,41,FALSE)</f>
        <v>1028</v>
      </c>
      <c r="AP50" s="40"/>
      <c r="AQ50" s="5">
        <f>VLOOKUP($A50,'ПР 01-02.21'!$A$11:$BB$406,43,FALSE)+VLOOKUP($A50,'ПР 21-22'!$A$11:$BB$406,43,FALSE)-VLOOKUP($A50,'ПР 01-02.22'!$A$11:$BB$378,43,FALSE)</f>
        <v>1705.3372081807695</v>
      </c>
      <c r="AR50" s="5">
        <f>VLOOKUP($A50,'ПР 01-02.21'!$A$11:$BB$406,44,FALSE)+VLOOKUP($A50,'ПР 21-22'!$A$11:$BB$406,44,FALSE)-VLOOKUP($A50,'ПР 01-02.22'!$A$11:$BB$378,44,FALSE)</f>
        <v>22</v>
      </c>
      <c r="AS50" s="40"/>
      <c r="AT50" s="5">
        <f>VLOOKUP($A50,'ПР 01-02.21'!$A$11:$BB$406,46,FALSE)+VLOOKUP($A50,'ПР 21-22'!$A$11:$BB$406,46,FALSE)-VLOOKUP($A50,'ПР 01-02.22'!$A$11:$BB$378,46,FALSE)</f>
        <v>2662.9076407507659</v>
      </c>
      <c r="AU50" s="5">
        <f>VLOOKUP($A50,'ПР 01-02.21'!$A$11:$BB$406,47,FALSE)+VLOOKUP($A50,'ПР 21-22'!$A$11:$BB$406,47,FALSE)-VLOOKUP($A50,'ПР 01-02.22'!$A$11:$BB$378,47,FALSE)</f>
        <v>0</v>
      </c>
      <c r="AV50" s="40"/>
      <c r="AW50" s="5">
        <f>VLOOKUP($A50,'ПР 01-02.21'!$A$11:$BB$406,49,FALSE)+VLOOKUP($A50,'ПР 21-22'!$A$11:$BB$406,49,FALSE)-VLOOKUP($A50,'ПР 01-02.22'!$A$11:$BB$378,49,FALSE)</f>
        <v>298.10519999999997</v>
      </c>
      <c r="AX50" s="5">
        <f>VLOOKUP($A50,'ПР 01-02.21'!$A$11:$BB$406,50,FALSE)+VLOOKUP($A50,'ПР 21-22'!$A$11:$BB$406,50,FALSE)-VLOOKUP($A50,'ПР 01-02.22'!$A$11:$BB$378,50,FALSE)</f>
        <v>0</v>
      </c>
      <c r="AY50" s="40"/>
      <c r="AZ50" s="40">
        <f t="shared" si="3"/>
        <v>18096.430465472622</v>
      </c>
      <c r="BA50" s="40">
        <f t="shared" si="3"/>
        <v>10288</v>
      </c>
      <c r="BB50" s="55">
        <f t="shared" si="4"/>
        <v>-7808.430465472622</v>
      </c>
      <c r="BD50" s="2">
        <v>3</v>
      </c>
      <c r="BF50" s="325">
        <v>150000982</v>
      </c>
    </row>
    <row r="51" spans="1:58" ht="24.9" customHeight="1" x14ac:dyDescent="0.3">
      <c r="A51" s="325">
        <v>150000983</v>
      </c>
      <c r="B51" s="445" t="s">
        <v>345</v>
      </c>
      <c r="C51" s="27">
        <v>9</v>
      </c>
      <c r="D51" s="101" t="s">
        <v>455</v>
      </c>
      <c r="E51" s="279">
        <f>'побудинковий звіт'!E49</f>
        <v>3858.65</v>
      </c>
      <c r="F51" s="441">
        <f>'побудинковий звіт'!AS49</f>
        <v>54827.252436916096</v>
      </c>
      <c r="G51" s="441">
        <f t="shared" si="1"/>
        <v>17793.489999999998</v>
      </c>
      <c r="H51" s="73">
        <f t="shared" si="2"/>
        <v>-37033.762436916099</v>
      </c>
      <c r="I51" s="5">
        <f>VLOOKUP($A51,'ПР 01-02.21'!$A$11:$BB$406,9,FALSE)+VLOOKUP($A51,'ПР 21-22'!$A$11:$BB$406,9,FALSE)-VLOOKUP($A51,'ПР 01-02.22'!$A$11:$BB$378,9,FALSE)</f>
        <v>0</v>
      </c>
      <c r="J51" s="5">
        <f>VLOOKUP($A51,'ПР 01-02.21'!$A$11:$BB$406,10,FALSE)+VLOOKUP($A51,'ПР 21-22'!$A$11:$BB$406,10,FALSE)-VLOOKUP($A51,'ПР 01-02.22'!$A$11:$BB$378,10,FALSE)</f>
        <v>0</v>
      </c>
      <c r="K51" s="446"/>
      <c r="L51" s="5">
        <f>VLOOKUP($A51,'ПР 01-02.21'!$A$11:$BB$406,12,FALSE)+VLOOKUP($A51,'ПР 21-22'!$A$11:$BB$406,12,FALSE)-VLOOKUP($A51,'ПР 01-02.22'!$A$11:$BB$378,12,FALSE)</f>
        <v>0</v>
      </c>
      <c r="M51" s="5">
        <f>VLOOKUP($A51,'ПР 01-02.21'!$A$11:$BB$406,13,FALSE)+VLOOKUP($A51,'ПР 21-22'!$A$11:$BB$406,13,FALSE)-VLOOKUP($A51,'ПР 01-02.22'!$A$11:$BB$378,13,FALSE)</f>
        <v>0</v>
      </c>
      <c r="N51" s="38"/>
      <c r="O51" s="5">
        <f>VLOOKUP($A51,'ПР 01-02.21'!$A$11:$BB$406,15,FALSE)+VLOOKUP($A51,'ПР 21-22'!$A$11:$BB$406,15,FALSE)-VLOOKUP($A51,'ПР 01-02.22'!$A$11:$BB$378,15,FALSE)</f>
        <v>1</v>
      </c>
      <c r="P51" s="5">
        <f>VLOOKUP($A51,'ПР 01-02.21'!$A$11:$BB$406,16,FALSE)+VLOOKUP($A51,'ПР 21-22'!$A$11:$BB$406,16,FALSE)-VLOOKUP($A51,'ПР 01-02.22'!$A$11:$BB$378,16,FALSE)</f>
        <v>955</v>
      </c>
      <c r="Q51" s="443"/>
      <c r="R51" s="5">
        <f>VLOOKUP($A51,'ПР 01-02.21'!$A$11:$BB$406,18,FALSE)+VLOOKUP($A51,'ПР 21-22'!$A$11:$BB$406,18,FALSE)-VLOOKUP($A51,'ПР 01-02.22'!$A$11:$BB$378,18,FALSE)</f>
        <v>2</v>
      </c>
      <c r="S51" s="5">
        <f>VLOOKUP($A51,'ПР 01-02.21'!$A$11:$BB$406,19,FALSE)+VLOOKUP($A51,'ПР 21-22'!$A$11:$BB$406,19,FALSE)-VLOOKUP($A51,'ПР 01-02.22'!$A$11:$BB$378,19,FALSE)</f>
        <v>2686</v>
      </c>
      <c r="T51" s="444"/>
      <c r="U51" s="5">
        <f>VLOOKUP($A51,'ПР 01-02.21'!$A$11:$BB$406,21,FALSE)+VLOOKUP($A51,'ПР 21-22'!$A$11:$BB$406,21,FALSE)-VLOOKUP($A51,'ПР 01-02.22'!$A$11:$BB$378,21,FALSE)</f>
        <v>0</v>
      </c>
      <c r="V51" s="5"/>
      <c r="W51" s="5">
        <f>VLOOKUP($A51,'ПР 01-02.21'!$A$11:$BB$406,23,FALSE)+VLOOKUP($A51,'ПР 21-22'!$A$11:$BB$406,23,FALSE)-VLOOKUP($A51,'ПР 01-02.22'!$A$11:$BB$378,23,FALSE)</f>
        <v>0</v>
      </c>
      <c r="X51" s="5">
        <f>VLOOKUP($A51,'ПР 01-02.21'!$A$11:$BB$406,24,FALSE)+VLOOKUP($A51,'ПР 21-22'!$A$11:$BB$406,24,FALSE)-VLOOKUP($A51,'ПР 01-02.22'!$A$11:$BB$378,24,FALSE)</f>
        <v>0</v>
      </c>
      <c r="Y51" s="5">
        <f>VLOOKUP($A51,'ПР 01-02.21'!$A$11:$BB$406,25,FALSE)+VLOOKUP($A51,'ПР 21-22'!$A$11:$BB$406,25,FALSE)-VLOOKUP($A51,'ПР 01-02.22'!$A$11:$BB$378,25,FALSE)</f>
        <v>7507</v>
      </c>
      <c r="Z51" s="5"/>
      <c r="AA51" s="5">
        <f>VLOOKUP($A51,'ПР 01-02.21'!$A$11:$BB$406,27,FALSE)+VLOOKUP($A51,'ПР 21-22'!$A$11:$BB$406,27,FALSE)-VLOOKUP($A51,'ПР 01-02.22'!$A$11:$BB$378,27,FALSE)</f>
        <v>0</v>
      </c>
      <c r="AB51" s="5">
        <f>VLOOKUP($A51,'ПР 01-02.21'!$A$11:$BB$406,28,FALSE)+VLOOKUP($A51,'ПР 21-22'!$A$11:$BB$406,28,FALSE)-VLOOKUP($A51,'ПР 01-02.22'!$A$11:$BB$378,28,FALSE)</f>
        <v>2697.49</v>
      </c>
      <c r="AC51" s="5">
        <f>VLOOKUP($A51,'ПР 01-02.21'!$A$11:$BB$406,29,FALSE)+VLOOKUP($A51,'ПР 21-22'!$A$11:$BB$406,29,FALSE)-VLOOKUP($A51,'ПР 01-02.22'!$A$11:$BB$378,29,FALSE)</f>
        <v>1182</v>
      </c>
      <c r="AD51" s="5">
        <f>VLOOKUP($A51,'ПР 01-02.21'!$A$11:$BB$406,30,FALSE)+VLOOKUP($A51,'ПР 21-22'!$A$11:$BB$406,30,FALSE)-VLOOKUP($A51,'ПР 01-02.22'!$A$11:$BB$378,30,FALSE)</f>
        <v>2766</v>
      </c>
      <c r="AE51" s="5">
        <f>VLOOKUP($A51,'ПР 01-02.21'!$A$11:$BB$406,31,FALSE)+VLOOKUP($A51,'ПР 21-22'!$A$11:$BB$406,31,FALSE)-VLOOKUP($A51,'ПР 01-02.22'!$A$11:$BB$378,31,FALSE)</f>
        <v>1748.6058359690874</v>
      </c>
      <c r="AF51" s="5">
        <f>VLOOKUP($A51,'ПР 01-02.21'!$A$11:$BB$406,32,FALSE)+VLOOKUP($A51,'ПР 21-22'!$A$11:$BB$406,32,FALSE)-VLOOKUP($A51,'ПР 01-02.22'!$A$11:$BB$378,32,FALSE)</f>
        <v>5875</v>
      </c>
      <c r="AG51" s="40"/>
      <c r="AH51" s="5">
        <f>VLOOKUP($A51,'ПР 01-02.21'!$A$11:$BB$406,34,FALSE)+VLOOKUP($A51,'ПР 21-22'!$A$11:$BB$406,34,FALSE)-VLOOKUP($A51,'ПР 01-02.22'!$A$11:$BB$378,34,FALSE)</f>
        <v>1925.8475309694331</v>
      </c>
      <c r="AI51" s="5">
        <f>VLOOKUP($A51,'ПР 01-02.21'!$A$11:$BB$406,35,FALSE)+VLOOKUP($A51,'ПР 21-22'!$A$11:$BB$406,35,FALSE)-VLOOKUP($A51,'ПР 01-02.22'!$A$11:$BB$378,35,FALSE)</f>
        <v>0</v>
      </c>
      <c r="AJ51" s="40"/>
      <c r="AK51" s="5">
        <f>VLOOKUP($A51,'ПР 01-02.21'!$A$11:$BB$406,37,FALSE)+VLOOKUP($A51,'ПР 21-22'!$A$11:$BB$406,37,FALSE)-VLOOKUP($A51,'ПР 01-02.22'!$A$11:$BB$378,37,FALSE)</f>
        <v>1341.5920805288354</v>
      </c>
      <c r="AL51" s="5">
        <f>VLOOKUP($A51,'ПР 01-02.21'!$A$11:$BB$406,38,FALSE)+VLOOKUP($A51,'ПР 21-22'!$A$11:$BB$406,38,FALSE)-VLOOKUP($A51,'ПР 01-02.22'!$A$11:$BB$378,38,FALSE)</f>
        <v>0</v>
      </c>
      <c r="AM51" s="40"/>
      <c r="AN51" s="5">
        <f>VLOOKUP($A51,'ПР 01-02.21'!$A$11:$BB$406,40,FALSE)+VLOOKUP($A51,'ПР 21-22'!$A$11:$BB$406,40,FALSE)-VLOOKUP($A51,'ПР 01-02.22'!$A$11:$BB$378,40,FALSE)</f>
        <v>2437.5633256048495</v>
      </c>
      <c r="AO51" s="5">
        <f>VLOOKUP($A51,'ПР 01-02.21'!$A$11:$BB$406,41,FALSE)+VLOOKUP($A51,'ПР 21-22'!$A$11:$BB$406,41,FALSE)-VLOOKUP($A51,'ПР 01-02.22'!$A$11:$BB$378,41,FALSE)</f>
        <v>586</v>
      </c>
      <c r="AP51" s="40"/>
      <c r="AQ51" s="5">
        <f>VLOOKUP($A51,'ПР 01-02.21'!$A$11:$BB$406,43,FALSE)+VLOOKUP($A51,'ПР 21-22'!$A$11:$BB$406,43,FALSE)-VLOOKUP($A51,'ПР 01-02.22'!$A$11:$BB$378,43,FALSE)</f>
        <v>1137.1966317518677</v>
      </c>
      <c r="AR51" s="5">
        <f>VLOOKUP($A51,'ПР 01-02.21'!$A$11:$BB$406,44,FALSE)+VLOOKUP($A51,'ПР 21-22'!$A$11:$BB$406,44,FALSE)-VLOOKUP($A51,'ПР 01-02.22'!$A$11:$BB$378,44,FALSE)</f>
        <v>39</v>
      </c>
      <c r="AS51" s="40"/>
      <c r="AT51" s="5">
        <f>VLOOKUP($A51,'ПР 01-02.21'!$A$11:$BB$406,46,FALSE)+VLOOKUP($A51,'ПР 21-22'!$A$11:$BB$406,46,FALSE)-VLOOKUP($A51,'ПР 01-02.22'!$A$11:$BB$378,46,FALSE)</f>
        <v>1633.1418976889499</v>
      </c>
      <c r="AU51" s="5">
        <f>VLOOKUP($A51,'ПР 01-02.21'!$A$11:$BB$406,47,FALSE)+VLOOKUP($A51,'ПР 21-22'!$A$11:$BB$406,47,FALSE)-VLOOKUP($A51,'ПР 01-02.22'!$A$11:$BB$378,47,FALSE)</f>
        <v>0</v>
      </c>
      <c r="AV51" s="40"/>
      <c r="AW51" s="5">
        <f>VLOOKUP($A51,'ПР 01-02.21'!$A$11:$BB$406,49,FALSE)+VLOOKUP($A51,'ПР 21-22'!$A$11:$BB$406,49,FALSE)-VLOOKUP($A51,'ПР 01-02.22'!$A$11:$BB$378,49,FALSE)</f>
        <v>193.33600000000001</v>
      </c>
      <c r="AX51" s="5">
        <f>VLOOKUP($A51,'ПР 01-02.21'!$A$11:$BB$406,50,FALSE)+VLOOKUP($A51,'ПР 21-22'!$A$11:$BB$406,50,FALSE)-VLOOKUP($A51,'ПР 01-02.22'!$A$11:$BB$378,50,FALSE)</f>
        <v>0</v>
      </c>
      <c r="AY51" s="40"/>
      <c r="AZ51" s="40">
        <f t="shared" si="3"/>
        <v>10417.283302513024</v>
      </c>
      <c r="BA51" s="40">
        <f t="shared" si="3"/>
        <v>6500</v>
      </c>
      <c r="BB51" s="55">
        <f t="shared" si="4"/>
        <v>-3917.283302513024</v>
      </c>
      <c r="BD51" s="2">
        <v>3</v>
      </c>
      <c r="BF51" s="325">
        <v>150000983</v>
      </c>
    </row>
    <row r="52" spans="1:58" ht="24.9" customHeight="1" x14ac:dyDescent="0.3">
      <c r="A52" s="325">
        <v>150000984</v>
      </c>
      <c r="B52" s="445" t="s">
        <v>346</v>
      </c>
      <c r="C52" s="27">
        <v>9</v>
      </c>
      <c r="D52" s="101" t="s">
        <v>455</v>
      </c>
      <c r="E52" s="279">
        <f>'побудинковий звіт'!E50</f>
        <v>9788.74</v>
      </c>
      <c r="F52" s="441">
        <f>'побудинковий звіт'!AS50</f>
        <v>128339.02638496179</v>
      </c>
      <c r="G52" s="441">
        <f t="shared" si="1"/>
        <v>138905.23000000001</v>
      </c>
      <c r="H52" s="73">
        <f t="shared" si="2"/>
        <v>10566.203615038219</v>
      </c>
      <c r="I52" s="5">
        <f>VLOOKUP($A52,'ПР 01-02.21'!$A$11:$BB$406,9,FALSE)+VLOOKUP($A52,'ПР 21-22'!$A$11:$BB$406,9,FALSE)-VLOOKUP($A52,'ПР 01-02.22'!$A$11:$BB$378,9,FALSE)</f>
        <v>360.2</v>
      </c>
      <c r="J52" s="5">
        <f>VLOOKUP($A52,'ПР 01-02.21'!$A$11:$BB$406,10,FALSE)+VLOOKUP($A52,'ПР 21-22'!$A$11:$BB$406,10,FALSE)-VLOOKUP($A52,'ПР 01-02.22'!$A$11:$BB$378,10,FALSE)</f>
        <v>91057</v>
      </c>
      <c r="K52" s="446"/>
      <c r="L52" s="5">
        <f>VLOOKUP($A52,'ПР 01-02.21'!$A$11:$BB$406,12,FALSE)+VLOOKUP($A52,'ПР 21-22'!$A$11:$BB$406,12,FALSE)-VLOOKUP($A52,'ПР 01-02.22'!$A$11:$BB$378,12,FALSE)</f>
        <v>0</v>
      </c>
      <c r="M52" s="5">
        <f>VLOOKUP($A52,'ПР 01-02.21'!$A$11:$BB$406,13,FALSE)+VLOOKUP($A52,'ПР 21-22'!$A$11:$BB$406,13,FALSE)-VLOOKUP($A52,'ПР 01-02.22'!$A$11:$BB$378,13,FALSE)</f>
        <v>38.450000000000003</v>
      </c>
      <c r="N52" s="38"/>
      <c r="O52" s="5">
        <f>VLOOKUP($A52,'ПР 01-02.21'!$A$11:$BB$406,15,FALSE)+VLOOKUP($A52,'ПР 21-22'!$A$11:$BB$406,15,FALSE)-VLOOKUP($A52,'ПР 01-02.22'!$A$11:$BB$378,15,FALSE)</f>
        <v>12</v>
      </c>
      <c r="P52" s="5">
        <f>VLOOKUP($A52,'ПР 01-02.21'!$A$11:$BB$406,16,FALSE)+VLOOKUP($A52,'ПР 21-22'!$A$11:$BB$406,16,FALSE)-VLOOKUP($A52,'ПР 01-02.22'!$A$11:$BB$378,16,FALSE)</f>
        <v>2033</v>
      </c>
      <c r="Q52" s="443"/>
      <c r="R52" s="5">
        <f>VLOOKUP($A52,'ПР 01-02.21'!$A$11:$BB$406,18,FALSE)+VLOOKUP($A52,'ПР 21-22'!$A$11:$BB$406,18,FALSE)-VLOOKUP($A52,'ПР 01-02.22'!$A$11:$BB$378,18,FALSE)</f>
        <v>8</v>
      </c>
      <c r="S52" s="5">
        <f>VLOOKUP($A52,'ПР 01-02.21'!$A$11:$BB$406,19,FALSE)+VLOOKUP($A52,'ПР 21-22'!$A$11:$BB$406,19,FALSE)-VLOOKUP($A52,'ПР 01-02.22'!$A$11:$BB$378,19,FALSE)</f>
        <v>29048.19</v>
      </c>
      <c r="T52" s="444"/>
      <c r="U52" s="5">
        <f>VLOOKUP($A52,'ПР 01-02.21'!$A$11:$BB$406,21,FALSE)+VLOOKUP($A52,'ПР 21-22'!$A$11:$BB$406,21,FALSE)-VLOOKUP($A52,'ПР 01-02.22'!$A$11:$BB$378,21,FALSE)</f>
        <v>0</v>
      </c>
      <c r="V52" s="5"/>
      <c r="W52" s="5">
        <f>VLOOKUP($A52,'ПР 01-02.21'!$A$11:$BB$406,23,FALSE)+VLOOKUP($A52,'ПР 21-22'!$A$11:$BB$406,23,FALSE)-VLOOKUP($A52,'ПР 01-02.22'!$A$11:$BB$378,23,FALSE)</f>
        <v>0</v>
      </c>
      <c r="X52" s="5">
        <f>VLOOKUP($A52,'ПР 01-02.21'!$A$11:$BB$406,24,FALSE)+VLOOKUP($A52,'ПР 21-22'!$A$11:$BB$406,24,FALSE)-VLOOKUP($A52,'ПР 01-02.22'!$A$11:$BB$378,24,FALSE)</f>
        <v>0</v>
      </c>
      <c r="Y52" s="5">
        <f>VLOOKUP($A52,'ПР 01-02.21'!$A$11:$BB$406,25,FALSE)+VLOOKUP($A52,'ПР 21-22'!$A$11:$BB$406,25,FALSE)-VLOOKUP($A52,'ПР 01-02.22'!$A$11:$BB$378,25,FALSE)</f>
        <v>0</v>
      </c>
      <c r="Z52" s="5"/>
      <c r="AA52" s="5">
        <f>VLOOKUP($A52,'ПР 01-02.21'!$A$11:$BB$406,27,FALSE)+VLOOKUP($A52,'ПР 21-22'!$A$11:$BB$406,27,FALSE)-VLOOKUP($A52,'ПР 01-02.22'!$A$11:$BB$378,27,FALSE)</f>
        <v>0</v>
      </c>
      <c r="AB52" s="5">
        <f>VLOOKUP($A52,'ПР 01-02.21'!$A$11:$BB$406,28,FALSE)+VLOOKUP($A52,'ПР 21-22'!$A$11:$BB$406,28,FALSE)-VLOOKUP($A52,'ПР 01-02.22'!$A$11:$BB$378,28,FALSE)</f>
        <v>979</v>
      </c>
      <c r="AC52" s="5">
        <f>VLOOKUP($A52,'ПР 01-02.21'!$A$11:$BB$406,29,FALSE)+VLOOKUP($A52,'ПР 21-22'!$A$11:$BB$406,29,FALSE)-VLOOKUP($A52,'ПР 01-02.22'!$A$11:$BB$378,29,FALSE)</f>
        <v>1208</v>
      </c>
      <c r="AD52" s="5">
        <f>VLOOKUP($A52,'ПР 01-02.21'!$A$11:$BB$406,30,FALSE)+VLOOKUP($A52,'ПР 21-22'!$A$11:$BB$406,30,FALSE)-VLOOKUP($A52,'ПР 01-02.22'!$A$11:$BB$378,30,FALSE)</f>
        <v>14541.59</v>
      </c>
      <c r="AE52" s="5">
        <f>VLOOKUP($A52,'ПР 01-02.21'!$A$11:$BB$406,31,FALSE)+VLOOKUP($A52,'ПР 21-22'!$A$11:$BB$406,31,FALSE)-VLOOKUP($A52,'ПР 01-02.22'!$A$11:$BB$378,31,FALSE)</f>
        <v>5478.0696755411755</v>
      </c>
      <c r="AF52" s="5">
        <f>VLOOKUP($A52,'ПР 01-02.21'!$A$11:$BB$406,32,FALSE)+VLOOKUP($A52,'ПР 21-22'!$A$11:$BB$406,32,FALSE)-VLOOKUP($A52,'ПР 01-02.22'!$A$11:$BB$378,32,FALSE)</f>
        <v>91</v>
      </c>
      <c r="AG52" s="40"/>
      <c r="AH52" s="5">
        <f>VLOOKUP($A52,'ПР 01-02.21'!$A$11:$BB$406,34,FALSE)+VLOOKUP($A52,'ПР 21-22'!$A$11:$BB$406,34,FALSE)-VLOOKUP($A52,'ПР 01-02.22'!$A$11:$BB$378,34,FALSE)</f>
        <v>6272.3689636910985</v>
      </c>
      <c r="AI52" s="5">
        <f>VLOOKUP($A52,'ПР 01-02.21'!$A$11:$BB$406,35,FALSE)+VLOOKUP($A52,'ПР 21-22'!$A$11:$BB$406,35,FALSE)-VLOOKUP($A52,'ПР 01-02.22'!$A$11:$BB$378,35,FALSE)</f>
        <v>0</v>
      </c>
      <c r="AJ52" s="40"/>
      <c r="AK52" s="5">
        <f>VLOOKUP($A52,'ПР 01-02.21'!$A$11:$BB$406,37,FALSE)+VLOOKUP($A52,'ПР 21-22'!$A$11:$BB$406,37,FALSE)-VLOOKUP($A52,'ПР 01-02.22'!$A$11:$BB$378,37,FALSE)</f>
        <v>5545.2502562901109</v>
      </c>
      <c r="AL52" s="5">
        <f>VLOOKUP($A52,'ПР 01-02.21'!$A$11:$BB$406,38,FALSE)+VLOOKUP($A52,'ПР 21-22'!$A$11:$BB$406,38,FALSE)-VLOOKUP($A52,'ПР 01-02.22'!$A$11:$BB$378,38,FALSE)</f>
        <v>2272</v>
      </c>
      <c r="AM52" s="40"/>
      <c r="AN52" s="5">
        <f>VLOOKUP($A52,'ПР 01-02.21'!$A$11:$BB$406,40,FALSE)+VLOOKUP($A52,'ПР 21-22'!$A$11:$BB$406,40,FALSE)-VLOOKUP($A52,'ПР 01-02.22'!$A$11:$BB$378,40,FALSE)</f>
        <v>6147.2834870417119</v>
      </c>
      <c r="AO52" s="5">
        <f>VLOOKUP($A52,'ПР 01-02.21'!$A$11:$BB$406,41,FALSE)+VLOOKUP($A52,'ПР 21-22'!$A$11:$BB$406,41,FALSE)-VLOOKUP($A52,'ПР 01-02.22'!$A$11:$BB$378,41,FALSE)</f>
        <v>2573</v>
      </c>
      <c r="AP52" s="40"/>
      <c r="AQ52" s="5">
        <f>VLOOKUP($A52,'ПР 01-02.21'!$A$11:$BB$406,43,FALSE)+VLOOKUP($A52,'ПР 21-22'!$A$11:$BB$406,43,FALSE)-VLOOKUP($A52,'ПР 01-02.22'!$A$11:$BB$378,43,FALSE)</f>
        <v>1913.1150136490437</v>
      </c>
      <c r="AR52" s="5">
        <f>VLOOKUP($A52,'ПР 01-02.21'!$A$11:$BB$406,44,FALSE)+VLOOKUP($A52,'ПР 21-22'!$A$11:$BB$406,44,FALSE)-VLOOKUP($A52,'ПР 01-02.22'!$A$11:$BB$378,44,FALSE)</f>
        <v>3639</v>
      </c>
      <c r="AS52" s="40"/>
      <c r="AT52" s="5">
        <f>VLOOKUP($A52,'ПР 01-02.21'!$A$11:$BB$406,46,FALSE)+VLOOKUP($A52,'ПР 21-22'!$A$11:$BB$406,46,FALSE)-VLOOKUP($A52,'ПР 01-02.22'!$A$11:$BB$378,46,FALSE)</f>
        <v>4488.633824033077</v>
      </c>
      <c r="AU52" s="5">
        <f>VLOOKUP($A52,'ПР 01-02.21'!$A$11:$BB$406,47,FALSE)+VLOOKUP($A52,'ПР 21-22'!$A$11:$BB$406,47,FALSE)-VLOOKUP($A52,'ПР 01-02.22'!$A$11:$BB$378,47,FALSE)</f>
        <v>134</v>
      </c>
      <c r="AV52" s="40"/>
      <c r="AW52" s="5">
        <f>VLOOKUP($A52,'ПР 01-02.21'!$A$11:$BB$406,49,FALSE)+VLOOKUP($A52,'ПР 21-22'!$A$11:$BB$406,49,FALSE)-VLOOKUP($A52,'ПР 01-02.22'!$A$11:$BB$378,49,FALSE)</f>
        <v>489.5496</v>
      </c>
      <c r="AX52" s="5">
        <f>VLOOKUP($A52,'ПР 01-02.21'!$A$11:$BB$406,50,FALSE)+VLOOKUP($A52,'ПР 21-22'!$A$11:$BB$406,50,FALSE)-VLOOKUP($A52,'ПР 01-02.22'!$A$11:$BB$378,50,FALSE)</f>
        <v>0</v>
      </c>
      <c r="AY52" s="40"/>
      <c r="AZ52" s="40">
        <f t="shared" si="3"/>
        <v>30334.270820246216</v>
      </c>
      <c r="BA52" s="40">
        <f t="shared" si="3"/>
        <v>8709</v>
      </c>
      <c r="BB52" s="55">
        <f t="shared" si="4"/>
        <v>-21625.270820246216</v>
      </c>
      <c r="BD52" s="2">
        <v>3</v>
      </c>
      <c r="BF52" s="325">
        <v>150000984</v>
      </c>
    </row>
    <row r="53" spans="1:58" ht="24.9" customHeight="1" x14ac:dyDescent="0.3">
      <c r="A53" s="325">
        <v>150000986</v>
      </c>
      <c r="B53" s="445" t="s">
        <v>347</v>
      </c>
      <c r="C53" s="27">
        <v>9</v>
      </c>
      <c r="D53" s="101" t="s">
        <v>455</v>
      </c>
      <c r="E53" s="279">
        <f>'побудинковий звіт'!E51</f>
        <v>6581.9</v>
      </c>
      <c r="F53" s="441">
        <f>'побудинковий звіт'!AS51</f>
        <v>108527.85109619919</v>
      </c>
      <c r="G53" s="441">
        <f t="shared" si="1"/>
        <v>54337.589222046176</v>
      </c>
      <c r="H53" s="73">
        <f t="shared" si="2"/>
        <v>-54190.26187415301</v>
      </c>
      <c r="I53" s="5">
        <f>VLOOKUP($A53,'ПР 01-02.21'!$A$11:$BB$406,9,FALSE)+VLOOKUP($A53,'ПР 21-22'!$A$11:$BB$406,9,FALSE)-VLOOKUP($A53,'ПР 01-02.22'!$A$11:$BB$378,9,FALSE)</f>
        <v>7</v>
      </c>
      <c r="J53" s="5">
        <f>VLOOKUP($A53,'ПР 01-02.21'!$A$11:$BB$406,10,FALSE)+VLOOKUP($A53,'ПР 21-22'!$A$11:$BB$406,10,FALSE)-VLOOKUP($A53,'ПР 01-02.22'!$A$11:$BB$378,10,FALSE)</f>
        <v>3396.06</v>
      </c>
      <c r="K53" s="453"/>
      <c r="L53" s="5">
        <f>VLOOKUP($A53,'ПР 01-02.21'!$A$11:$BB$406,12,FALSE)+VLOOKUP($A53,'ПР 21-22'!$A$11:$BB$406,12,FALSE)-VLOOKUP($A53,'ПР 01-02.22'!$A$11:$BB$378,12,FALSE)</f>
        <v>0</v>
      </c>
      <c r="M53" s="5">
        <f>VLOOKUP($A53,'ПР 01-02.21'!$A$11:$BB$406,13,FALSE)+VLOOKUP($A53,'ПР 21-22'!$A$11:$BB$406,13,FALSE)-VLOOKUP($A53,'ПР 01-02.22'!$A$11:$BB$378,13,FALSE)</f>
        <v>51.26</v>
      </c>
      <c r="N53" s="38"/>
      <c r="O53" s="5">
        <f>VLOOKUP($A53,'ПР 01-02.21'!$A$11:$BB$406,15,FALSE)+VLOOKUP($A53,'ПР 21-22'!$A$11:$BB$406,15,FALSE)-VLOOKUP($A53,'ПР 01-02.22'!$A$11:$BB$378,15,FALSE)</f>
        <v>24</v>
      </c>
      <c r="P53" s="5">
        <f>VLOOKUP($A53,'ПР 01-02.21'!$A$11:$BB$406,16,FALSE)+VLOOKUP($A53,'ПР 21-22'!$A$11:$BB$406,16,FALSE)-VLOOKUP($A53,'ПР 01-02.22'!$A$11:$BB$378,16,FALSE)</f>
        <v>4547.84</v>
      </c>
      <c r="Q53" s="443"/>
      <c r="R53" s="5">
        <f>VLOOKUP($A53,'ПР 01-02.21'!$A$11:$BB$406,18,FALSE)+VLOOKUP($A53,'ПР 21-22'!$A$11:$BB$406,18,FALSE)-VLOOKUP($A53,'ПР 01-02.22'!$A$11:$BB$378,18,FALSE)</f>
        <v>8</v>
      </c>
      <c r="S53" s="5">
        <f>VLOOKUP($A53,'ПР 01-02.21'!$A$11:$BB$406,19,FALSE)+VLOOKUP($A53,'ПР 21-22'!$A$11:$BB$406,19,FALSE)-VLOOKUP($A53,'ПР 01-02.22'!$A$11:$BB$378,19,FALSE)</f>
        <v>37081.07</v>
      </c>
      <c r="T53" s="444"/>
      <c r="U53" s="5">
        <f>VLOOKUP($A53,'ПР 01-02.21'!$A$11:$BB$406,21,FALSE)+VLOOKUP($A53,'ПР 21-22'!$A$11:$BB$406,21,FALSE)-VLOOKUP($A53,'ПР 01-02.22'!$A$11:$BB$378,21,FALSE)</f>
        <v>0</v>
      </c>
      <c r="V53" s="5"/>
      <c r="W53" s="5">
        <f>VLOOKUP($A53,'ПР 01-02.21'!$A$11:$BB$406,23,FALSE)+VLOOKUP($A53,'ПР 21-22'!$A$11:$BB$406,23,FALSE)-VLOOKUP($A53,'ПР 01-02.22'!$A$11:$BB$378,23,FALSE)</f>
        <v>6</v>
      </c>
      <c r="X53" s="5">
        <f>VLOOKUP($A53,'ПР 01-02.21'!$A$11:$BB$406,24,FALSE)+VLOOKUP($A53,'ПР 21-22'!$A$11:$BB$406,24,FALSE)-VLOOKUP($A53,'ПР 01-02.22'!$A$11:$BB$378,24,FALSE)</f>
        <v>1272.3592220461785</v>
      </c>
      <c r="Y53" s="5">
        <f>VLOOKUP($A53,'ПР 01-02.21'!$A$11:$BB$406,25,FALSE)+VLOOKUP($A53,'ПР 21-22'!$A$11:$BB$406,25,FALSE)-VLOOKUP($A53,'ПР 01-02.22'!$A$11:$BB$378,25,FALSE)</f>
        <v>404</v>
      </c>
      <c r="Z53" s="5"/>
      <c r="AA53" s="5">
        <f>VLOOKUP($A53,'ПР 01-02.21'!$A$11:$BB$406,27,FALSE)+VLOOKUP($A53,'ПР 21-22'!$A$11:$BB$406,27,FALSE)-VLOOKUP($A53,'ПР 01-02.22'!$A$11:$BB$378,27,FALSE)</f>
        <v>0</v>
      </c>
      <c r="AB53" s="5">
        <f>VLOOKUP($A53,'ПР 01-02.21'!$A$11:$BB$406,28,FALSE)+VLOOKUP($A53,'ПР 21-22'!$A$11:$BB$406,28,FALSE)-VLOOKUP($A53,'ПР 01-02.22'!$A$11:$BB$378,28,FALSE)</f>
        <v>2289</v>
      </c>
      <c r="AC53" s="5">
        <f>VLOOKUP($A53,'ПР 01-02.21'!$A$11:$BB$406,29,FALSE)+VLOOKUP($A53,'ПР 21-22'!$A$11:$BB$406,29,FALSE)-VLOOKUP($A53,'ПР 01-02.22'!$A$11:$BB$378,29,FALSE)</f>
        <v>3986</v>
      </c>
      <c r="AD53" s="5">
        <f>VLOOKUP($A53,'ПР 01-02.21'!$A$11:$BB$406,30,FALSE)+VLOOKUP($A53,'ПР 21-22'!$A$11:$BB$406,30,FALSE)-VLOOKUP($A53,'ПР 01-02.22'!$A$11:$BB$378,30,FALSE)</f>
        <v>1310</v>
      </c>
      <c r="AE53" s="5">
        <f>VLOOKUP($A53,'ПР 01-02.21'!$A$11:$BB$406,31,FALSE)+VLOOKUP($A53,'ПР 21-22'!$A$11:$BB$406,31,FALSE)-VLOOKUP($A53,'ПР 01-02.22'!$A$11:$BB$378,31,FALSE)</f>
        <v>3654.9582270023484</v>
      </c>
      <c r="AF53" s="5">
        <f>VLOOKUP($A53,'ПР 01-02.21'!$A$11:$BB$406,32,FALSE)+VLOOKUP($A53,'ПР 21-22'!$A$11:$BB$406,32,FALSE)-VLOOKUP($A53,'ПР 01-02.22'!$A$11:$BB$378,32,FALSE)</f>
        <v>301</v>
      </c>
      <c r="AG53" s="40"/>
      <c r="AH53" s="5">
        <f>VLOOKUP($A53,'ПР 01-02.21'!$A$11:$BB$406,34,FALSE)+VLOOKUP($A53,'ПР 21-22'!$A$11:$BB$406,34,FALSE)-VLOOKUP($A53,'ПР 01-02.22'!$A$11:$BB$378,34,FALSE)</f>
        <v>4190.5971220415558</v>
      </c>
      <c r="AI53" s="5">
        <f>VLOOKUP($A53,'ПР 01-02.21'!$A$11:$BB$406,35,FALSE)+VLOOKUP($A53,'ПР 21-22'!$A$11:$BB$406,35,FALSE)-VLOOKUP($A53,'ПР 01-02.22'!$A$11:$BB$378,35,FALSE)</f>
        <v>0</v>
      </c>
      <c r="AJ53" s="40"/>
      <c r="AK53" s="5">
        <f>VLOOKUP($A53,'ПР 01-02.21'!$A$11:$BB$406,37,FALSE)+VLOOKUP($A53,'ПР 21-22'!$A$11:$BB$406,37,FALSE)-VLOOKUP($A53,'ПР 01-02.22'!$A$11:$BB$378,37,FALSE)</f>
        <v>3669.3792408581266</v>
      </c>
      <c r="AL53" s="5">
        <f>VLOOKUP($A53,'ПР 01-02.21'!$A$11:$BB$406,38,FALSE)+VLOOKUP($A53,'ПР 21-22'!$A$11:$BB$406,38,FALSE)-VLOOKUP($A53,'ПР 01-02.22'!$A$11:$BB$378,38,FALSE)</f>
        <v>1972</v>
      </c>
      <c r="AM53" s="40"/>
      <c r="AN53" s="5">
        <f>VLOOKUP($A53,'ПР 01-02.21'!$A$11:$BB$406,40,FALSE)+VLOOKUP($A53,'ПР 21-22'!$A$11:$BB$406,40,FALSE)-VLOOKUP($A53,'ПР 01-02.22'!$A$11:$BB$378,40,FALSE)</f>
        <v>4170.1165565500642</v>
      </c>
      <c r="AO53" s="5">
        <f>VLOOKUP($A53,'ПР 01-02.21'!$A$11:$BB$406,41,FALSE)+VLOOKUP($A53,'ПР 21-22'!$A$11:$BB$406,41,FALSE)-VLOOKUP($A53,'ПР 01-02.22'!$A$11:$BB$378,41,FALSE)</f>
        <v>0</v>
      </c>
      <c r="AP53" s="40"/>
      <c r="AQ53" s="5">
        <f>VLOOKUP($A53,'ПР 01-02.21'!$A$11:$BB$406,43,FALSE)+VLOOKUP($A53,'ПР 21-22'!$A$11:$BB$406,43,FALSE)-VLOOKUP($A53,'ПР 01-02.22'!$A$11:$BB$378,43,FALSE)</f>
        <v>1275.715225914171</v>
      </c>
      <c r="AR53" s="5">
        <f>VLOOKUP($A53,'ПР 01-02.21'!$A$11:$BB$406,44,FALSE)+VLOOKUP($A53,'ПР 21-22'!$A$11:$BB$406,44,FALSE)-VLOOKUP($A53,'ПР 01-02.22'!$A$11:$BB$378,44,FALSE)</f>
        <v>17</v>
      </c>
      <c r="AS53" s="40"/>
      <c r="AT53" s="5">
        <f>VLOOKUP($A53,'ПР 01-02.21'!$A$11:$BB$406,46,FALSE)+VLOOKUP($A53,'ПР 21-22'!$A$11:$BB$406,46,FALSE)-VLOOKUP($A53,'ПР 01-02.22'!$A$11:$BB$378,46,FALSE)</f>
        <v>2953.8635170232546</v>
      </c>
      <c r="AU53" s="5">
        <f>VLOOKUP($A53,'ПР 01-02.21'!$A$11:$BB$406,47,FALSE)+VLOOKUP($A53,'ПР 21-22'!$A$11:$BB$406,47,FALSE)-VLOOKUP($A53,'ПР 01-02.22'!$A$11:$BB$378,47,FALSE)</f>
        <v>0</v>
      </c>
      <c r="AV53" s="40"/>
      <c r="AW53" s="5">
        <f>VLOOKUP($A53,'ПР 01-02.21'!$A$11:$BB$406,49,FALSE)+VLOOKUP($A53,'ПР 21-22'!$A$11:$BB$406,49,FALSE)-VLOOKUP($A53,'ПР 01-02.22'!$A$11:$BB$378,49,FALSE)</f>
        <v>329.38799999999998</v>
      </c>
      <c r="AX53" s="5">
        <f>VLOOKUP($A53,'ПР 01-02.21'!$A$11:$BB$406,50,FALSE)+VLOOKUP($A53,'ПР 21-22'!$A$11:$BB$406,50,FALSE)-VLOOKUP($A53,'ПР 01-02.22'!$A$11:$BB$378,50,FALSE)</f>
        <v>0</v>
      </c>
      <c r="AY53" s="40"/>
      <c r="AZ53" s="40">
        <f t="shared" si="3"/>
        <v>20244.017889389517</v>
      </c>
      <c r="BA53" s="40">
        <f t="shared" si="3"/>
        <v>2290</v>
      </c>
      <c r="BB53" s="55">
        <f t="shared" si="4"/>
        <v>-17954.017889389517</v>
      </c>
      <c r="BD53" s="2">
        <v>3</v>
      </c>
      <c r="BF53" s="325">
        <v>150000986</v>
      </c>
    </row>
    <row r="54" spans="1:58" ht="24.9" customHeight="1" x14ac:dyDescent="0.3">
      <c r="A54" s="325">
        <v>150000996</v>
      </c>
      <c r="B54" s="445" t="s">
        <v>246</v>
      </c>
      <c r="C54" s="27">
        <v>5</v>
      </c>
      <c r="D54" s="101" t="s">
        <v>455</v>
      </c>
      <c r="E54" s="279">
        <f>'побудинковий звіт'!E52</f>
        <v>3446.77</v>
      </c>
      <c r="F54" s="441">
        <f>'побудинковий звіт'!AS52</f>
        <v>36506.682448710664</v>
      </c>
      <c r="G54" s="441">
        <f t="shared" si="1"/>
        <v>17257.75</v>
      </c>
      <c r="H54" s="73">
        <f t="shared" si="2"/>
        <v>-19248.932448710664</v>
      </c>
      <c r="I54" s="5">
        <f>VLOOKUP($A54,'ПР 01-02.21'!$A$11:$BB$406,9,FALSE)+VLOOKUP($A54,'ПР 21-22'!$A$11:$BB$406,9,FALSE)-VLOOKUP($A54,'ПР 01-02.22'!$A$11:$BB$378,9,FALSE)</f>
        <v>0</v>
      </c>
      <c r="J54" s="5">
        <f>VLOOKUP($A54,'ПР 01-02.21'!$A$11:$BB$406,10,FALSE)+VLOOKUP($A54,'ПР 21-22'!$A$11:$BB$406,10,FALSE)-VLOOKUP($A54,'ПР 01-02.22'!$A$11:$BB$378,10,FALSE)</f>
        <v>0</v>
      </c>
      <c r="K54" s="457"/>
      <c r="L54" s="5">
        <f>VLOOKUP($A54,'ПР 01-02.21'!$A$11:$BB$406,12,FALSE)+VLOOKUP($A54,'ПР 21-22'!$A$11:$BB$406,12,FALSE)-VLOOKUP($A54,'ПР 01-02.22'!$A$11:$BB$378,12,FALSE)</f>
        <v>0</v>
      </c>
      <c r="M54" s="5">
        <f>VLOOKUP($A54,'ПР 01-02.21'!$A$11:$BB$406,13,FALSE)+VLOOKUP($A54,'ПР 21-22'!$A$11:$BB$406,13,FALSE)-VLOOKUP($A54,'ПР 01-02.22'!$A$11:$BB$378,13,FALSE)</f>
        <v>0</v>
      </c>
      <c r="N54" s="38"/>
      <c r="O54" s="5">
        <f>VLOOKUP($A54,'ПР 01-02.21'!$A$11:$BB$406,15,FALSE)+VLOOKUP($A54,'ПР 21-22'!$A$11:$BB$406,15,FALSE)-VLOOKUP($A54,'ПР 01-02.22'!$A$11:$BB$378,15,FALSE)</f>
        <v>0</v>
      </c>
      <c r="P54" s="5">
        <f>VLOOKUP($A54,'ПР 01-02.21'!$A$11:$BB$406,16,FALSE)+VLOOKUP($A54,'ПР 21-22'!$A$11:$BB$406,16,FALSE)-VLOOKUP($A54,'ПР 01-02.22'!$A$11:$BB$378,16,FALSE)</f>
        <v>0</v>
      </c>
      <c r="Q54" s="443"/>
      <c r="R54" s="5">
        <f>VLOOKUP($A54,'ПР 01-02.21'!$A$11:$BB$406,18,FALSE)+VLOOKUP($A54,'ПР 21-22'!$A$11:$BB$406,18,FALSE)-VLOOKUP($A54,'ПР 01-02.22'!$A$11:$BB$378,18,FALSE)</f>
        <v>0</v>
      </c>
      <c r="S54" s="5">
        <f>VLOOKUP($A54,'ПР 01-02.21'!$A$11:$BB$406,19,FALSE)+VLOOKUP($A54,'ПР 21-22'!$A$11:$BB$406,19,FALSE)-VLOOKUP($A54,'ПР 01-02.22'!$A$11:$BB$378,19,FALSE)</f>
        <v>0</v>
      </c>
      <c r="T54" s="444"/>
      <c r="U54" s="5">
        <f>VLOOKUP($A54,'ПР 01-02.21'!$A$11:$BB$406,21,FALSE)+VLOOKUP($A54,'ПР 21-22'!$A$11:$BB$406,21,FALSE)-VLOOKUP($A54,'ПР 01-02.22'!$A$11:$BB$378,21,FALSE)</f>
        <v>0</v>
      </c>
      <c r="V54" s="5"/>
      <c r="W54" s="5">
        <f>VLOOKUP($A54,'ПР 01-02.21'!$A$11:$BB$406,23,FALSE)+VLOOKUP($A54,'ПР 21-22'!$A$11:$BB$406,23,FALSE)-VLOOKUP($A54,'ПР 01-02.22'!$A$11:$BB$378,23,FALSE)</f>
        <v>21</v>
      </c>
      <c r="X54" s="5">
        <f>VLOOKUP($A54,'ПР 01-02.21'!$A$11:$BB$406,24,FALSE)+VLOOKUP($A54,'ПР 21-22'!$A$11:$BB$406,24,FALSE)-VLOOKUP($A54,'ПР 01-02.22'!$A$11:$BB$378,24,FALSE)</f>
        <v>8756.75</v>
      </c>
      <c r="Y54" s="5">
        <f>VLOOKUP($A54,'ПР 01-02.21'!$A$11:$BB$406,25,FALSE)+VLOOKUP($A54,'ПР 21-22'!$A$11:$BB$406,25,FALSE)-VLOOKUP($A54,'ПР 01-02.22'!$A$11:$BB$378,25,FALSE)</f>
        <v>8501</v>
      </c>
      <c r="Z54" s="5"/>
      <c r="AA54" s="5">
        <f>VLOOKUP($A54,'ПР 01-02.21'!$A$11:$BB$406,27,FALSE)+VLOOKUP($A54,'ПР 21-22'!$A$11:$BB$406,27,FALSE)-VLOOKUP($A54,'ПР 01-02.22'!$A$11:$BB$378,27,FALSE)</f>
        <v>0</v>
      </c>
      <c r="AB54" s="5">
        <f>VLOOKUP($A54,'ПР 01-02.21'!$A$11:$BB$406,28,FALSE)+VLOOKUP($A54,'ПР 21-22'!$A$11:$BB$406,28,FALSE)-VLOOKUP($A54,'ПР 01-02.22'!$A$11:$BB$378,28,FALSE)</f>
        <v>0</v>
      </c>
      <c r="AC54" s="5">
        <f>VLOOKUP($A54,'ПР 01-02.21'!$A$11:$BB$406,29,FALSE)+VLOOKUP($A54,'ПР 21-22'!$A$11:$BB$406,29,FALSE)-VLOOKUP($A54,'ПР 01-02.22'!$A$11:$BB$378,29,FALSE)</f>
        <v>0</v>
      </c>
      <c r="AD54" s="5">
        <f>VLOOKUP($A54,'ПР 01-02.21'!$A$11:$BB$406,30,FALSE)+VLOOKUP($A54,'ПР 21-22'!$A$11:$BB$406,30,FALSE)-VLOOKUP($A54,'ПР 01-02.22'!$A$11:$BB$378,30,FALSE)</f>
        <v>0</v>
      </c>
      <c r="AE54" s="5">
        <f>VLOOKUP($A54,'ПР 01-02.21'!$A$11:$BB$406,31,FALSE)+VLOOKUP($A54,'ПР 21-22'!$A$11:$BB$406,31,FALSE)-VLOOKUP($A54,'ПР 01-02.22'!$A$11:$BB$378,31,FALSE)</f>
        <v>2932.4955747075542</v>
      </c>
      <c r="AF54" s="5">
        <f>VLOOKUP($A54,'ПР 01-02.21'!$A$11:$BB$406,32,FALSE)+VLOOKUP($A54,'ПР 21-22'!$A$11:$BB$406,32,FALSE)-VLOOKUP($A54,'ПР 01-02.22'!$A$11:$BB$378,32,FALSE)</f>
        <v>0</v>
      </c>
      <c r="AG54" s="40"/>
      <c r="AH54" s="5">
        <f>VLOOKUP($A54,'ПР 01-02.21'!$A$11:$BB$406,34,FALSE)+VLOOKUP($A54,'ПР 21-22'!$A$11:$BB$406,34,FALSE)-VLOOKUP($A54,'ПР 01-02.22'!$A$11:$BB$378,34,FALSE)</f>
        <v>3731.1006721768549</v>
      </c>
      <c r="AI54" s="5">
        <f>VLOOKUP($A54,'ПР 01-02.21'!$A$11:$BB$406,35,FALSE)+VLOOKUP($A54,'ПР 21-22'!$A$11:$BB$406,35,FALSE)-VLOOKUP($A54,'ПР 01-02.22'!$A$11:$BB$378,35,FALSE)</f>
        <v>0</v>
      </c>
      <c r="AJ54" s="40"/>
      <c r="AK54" s="5">
        <f>VLOOKUP($A54,'ПР 01-02.21'!$A$11:$BB$406,37,FALSE)+VLOOKUP($A54,'ПР 21-22'!$A$11:$BB$406,37,FALSE)-VLOOKUP($A54,'ПР 01-02.22'!$A$11:$BB$378,37,FALSE)</f>
        <v>2030.1847275452485</v>
      </c>
      <c r="AL54" s="5">
        <f>VLOOKUP($A54,'ПР 01-02.21'!$A$11:$BB$406,38,FALSE)+VLOOKUP($A54,'ПР 21-22'!$A$11:$BB$406,38,FALSE)-VLOOKUP($A54,'ПР 01-02.22'!$A$11:$BB$378,38,FALSE)</f>
        <v>0</v>
      </c>
      <c r="AM54" s="40"/>
      <c r="AN54" s="5">
        <f>VLOOKUP($A54,'ПР 01-02.21'!$A$11:$BB$406,40,FALSE)+VLOOKUP($A54,'ПР 21-22'!$A$11:$BB$406,40,FALSE)-VLOOKUP($A54,'ПР 01-02.22'!$A$11:$BB$378,40,FALSE)</f>
        <v>0</v>
      </c>
      <c r="AO54" s="5">
        <f>VLOOKUP($A54,'ПР 01-02.21'!$A$11:$BB$406,41,FALSE)+VLOOKUP($A54,'ПР 21-22'!$A$11:$BB$406,41,FALSE)-VLOOKUP($A54,'ПР 01-02.22'!$A$11:$BB$378,41,FALSE)</f>
        <v>0</v>
      </c>
      <c r="AP54" s="40"/>
      <c r="AQ54" s="5">
        <f>VLOOKUP($A54,'ПР 01-02.21'!$A$11:$BB$406,43,FALSE)+VLOOKUP($A54,'ПР 21-22'!$A$11:$BB$406,43,FALSE)-VLOOKUP($A54,'ПР 01-02.22'!$A$11:$BB$378,43,FALSE)</f>
        <v>0</v>
      </c>
      <c r="AR54" s="5">
        <f>VLOOKUP($A54,'ПР 01-02.21'!$A$11:$BB$406,44,FALSE)+VLOOKUP($A54,'ПР 21-22'!$A$11:$BB$406,44,FALSE)-VLOOKUP($A54,'ПР 01-02.22'!$A$11:$BB$378,44,FALSE)</f>
        <v>0</v>
      </c>
      <c r="AS54" s="40"/>
      <c r="AT54" s="5">
        <f>VLOOKUP($A54,'ПР 01-02.21'!$A$11:$BB$406,46,FALSE)+VLOOKUP($A54,'ПР 21-22'!$A$11:$BB$406,46,FALSE)-VLOOKUP($A54,'ПР 01-02.22'!$A$11:$BB$378,46,FALSE)</f>
        <v>1883.3026496889206</v>
      </c>
      <c r="AU54" s="5">
        <f>VLOOKUP($A54,'ПР 01-02.21'!$A$11:$BB$406,47,FALSE)+VLOOKUP($A54,'ПР 21-22'!$A$11:$BB$406,47,FALSE)-VLOOKUP($A54,'ПР 01-02.22'!$A$11:$BB$378,47,FALSE)</f>
        <v>0</v>
      </c>
      <c r="AV54" s="40"/>
      <c r="AW54" s="5">
        <f>VLOOKUP($A54,'ПР 01-02.21'!$A$11:$BB$406,49,FALSE)+VLOOKUP($A54,'ПР 21-22'!$A$11:$BB$406,49,FALSE)-VLOOKUP($A54,'ПР 01-02.22'!$A$11:$BB$378,49,FALSE)</f>
        <v>171.86680000000001</v>
      </c>
      <c r="AX54" s="5">
        <f>VLOOKUP($A54,'ПР 01-02.21'!$A$11:$BB$406,50,FALSE)+VLOOKUP($A54,'ПР 21-22'!$A$11:$BB$406,50,FALSE)-VLOOKUP($A54,'ПР 01-02.22'!$A$11:$BB$378,50,FALSE)</f>
        <v>0</v>
      </c>
      <c r="AY54" s="40"/>
      <c r="AZ54" s="40">
        <f t="shared" si="3"/>
        <v>10748.950424118579</v>
      </c>
      <c r="BA54" s="40">
        <f t="shared" si="3"/>
        <v>0</v>
      </c>
      <c r="BB54" s="55">
        <f t="shared" si="4"/>
        <v>-10748.950424118579</v>
      </c>
      <c r="BD54" s="2">
        <v>2</v>
      </c>
      <c r="BF54" s="325">
        <v>150000996</v>
      </c>
    </row>
    <row r="55" spans="1:58" ht="24.9" customHeight="1" x14ac:dyDescent="0.3">
      <c r="A55" s="325">
        <v>150000987</v>
      </c>
      <c r="B55" s="445" t="s">
        <v>51</v>
      </c>
      <c r="C55" s="27">
        <v>1</v>
      </c>
      <c r="D55" s="101" t="s">
        <v>455</v>
      </c>
      <c r="E55" s="279">
        <f>'побудинковий звіт'!E53</f>
        <v>244.2</v>
      </c>
      <c r="F55" s="441">
        <f>'побудинковий звіт'!AS53</f>
        <v>69.748006086102407</v>
      </c>
      <c r="G55" s="441">
        <f t="shared" si="1"/>
        <v>0</v>
      </c>
      <c r="H55" s="73">
        <f t="shared" si="2"/>
        <v>-69.748006086102407</v>
      </c>
      <c r="I55" s="5">
        <f>VLOOKUP($A55,'ПР 01-02.21'!$A$11:$BB$406,9,FALSE)+VLOOKUP($A55,'ПР 21-22'!$A$11:$BB$406,9,FALSE)-VLOOKUP($A55,'ПР 01-02.22'!$A$11:$BB$378,9,FALSE)</f>
        <v>0</v>
      </c>
      <c r="J55" s="5">
        <f>VLOOKUP($A55,'ПР 01-02.21'!$A$11:$BB$406,10,FALSE)+VLOOKUP($A55,'ПР 21-22'!$A$11:$BB$406,10,FALSE)-VLOOKUP($A55,'ПР 01-02.22'!$A$11:$BB$378,10,FALSE)</f>
        <v>0</v>
      </c>
      <c r="K55" s="446"/>
      <c r="L55" s="5">
        <f>VLOOKUP($A55,'ПР 01-02.21'!$A$11:$BB$406,12,FALSE)+VLOOKUP($A55,'ПР 21-22'!$A$11:$BB$406,12,FALSE)-VLOOKUP($A55,'ПР 01-02.22'!$A$11:$BB$378,12,FALSE)</f>
        <v>0</v>
      </c>
      <c r="M55" s="5">
        <f>VLOOKUP($A55,'ПР 01-02.21'!$A$11:$BB$406,13,FALSE)+VLOOKUP($A55,'ПР 21-22'!$A$11:$BB$406,13,FALSE)-VLOOKUP($A55,'ПР 01-02.22'!$A$11:$BB$378,13,FALSE)</f>
        <v>0</v>
      </c>
      <c r="N55" s="38"/>
      <c r="O55" s="5">
        <f>VLOOKUP($A55,'ПР 01-02.21'!$A$11:$BB$406,15,FALSE)+VLOOKUP($A55,'ПР 21-22'!$A$11:$BB$406,15,FALSE)-VLOOKUP($A55,'ПР 01-02.22'!$A$11:$BB$378,15,FALSE)</f>
        <v>0</v>
      </c>
      <c r="P55" s="5">
        <f>VLOOKUP($A55,'ПР 01-02.21'!$A$11:$BB$406,16,FALSE)+VLOOKUP($A55,'ПР 21-22'!$A$11:$BB$406,16,FALSE)-VLOOKUP($A55,'ПР 01-02.22'!$A$11:$BB$378,16,FALSE)</f>
        <v>0</v>
      </c>
      <c r="Q55" s="443"/>
      <c r="R55" s="5">
        <f>VLOOKUP($A55,'ПР 01-02.21'!$A$11:$BB$406,18,FALSE)+VLOOKUP($A55,'ПР 21-22'!$A$11:$BB$406,18,FALSE)-VLOOKUP($A55,'ПР 01-02.22'!$A$11:$BB$378,18,FALSE)</f>
        <v>0</v>
      </c>
      <c r="S55" s="5">
        <f>VLOOKUP($A55,'ПР 01-02.21'!$A$11:$BB$406,19,FALSE)+VLOOKUP($A55,'ПР 21-22'!$A$11:$BB$406,19,FALSE)-VLOOKUP($A55,'ПР 01-02.22'!$A$11:$BB$378,19,FALSE)</f>
        <v>0</v>
      </c>
      <c r="T55" s="444"/>
      <c r="U55" s="5">
        <f>VLOOKUP($A55,'ПР 01-02.21'!$A$11:$BB$406,21,FALSE)+VLOOKUP($A55,'ПР 21-22'!$A$11:$BB$406,21,FALSE)-VLOOKUP($A55,'ПР 01-02.22'!$A$11:$BB$378,21,FALSE)</f>
        <v>0</v>
      </c>
      <c r="V55" s="5"/>
      <c r="W55" s="5">
        <f>VLOOKUP($A55,'ПР 01-02.21'!$A$11:$BB$406,23,FALSE)+VLOOKUP($A55,'ПР 21-22'!$A$11:$BB$406,23,FALSE)-VLOOKUP($A55,'ПР 01-02.22'!$A$11:$BB$378,23,FALSE)</f>
        <v>0</v>
      </c>
      <c r="X55" s="5">
        <f>VLOOKUP($A55,'ПР 01-02.21'!$A$11:$BB$406,24,FALSE)+VLOOKUP($A55,'ПР 21-22'!$A$11:$BB$406,24,FALSE)-VLOOKUP($A55,'ПР 01-02.22'!$A$11:$BB$378,24,FALSE)</f>
        <v>0</v>
      </c>
      <c r="Y55" s="5">
        <f>VLOOKUP($A55,'ПР 01-02.21'!$A$11:$BB$406,25,FALSE)+VLOOKUP($A55,'ПР 21-22'!$A$11:$BB$406,25,FALSE)-VLOOKUP($A55,'ПР 01-02.22'!$A$11:$BB$378,25,FALSE)</f>
        <v>0</v>
      </c>
      <c r="Z55" s="5"/>
      <c r="AA55" s="5">
        <f>VLOOKUP($A55,'ПР 01-02.21'!$A$11:$BB$406,27,FALSE)+VLOOKUP($A55,'ПР 21-22'!$A$11:$BB$406,27,FALSE)-VLOOKUP($A55,'ПР 01-02.22'!$A$11:$BB$378,27,FALSE)</f>
        <v>0</v>
      </c>
      <c r="AB55" s="5">
        <f>VLOOKUP($A55,'ПР 01-02.21'!$A$11:$BB$406,28,FALSE)+VLOOKUP($A55,'ПР 21-22'!$A$11:$BB$406,28,FALSE)-VLOOKUP($A55,'ПР 01-02.22'!$A$11:$BB$378,28,FALSE)</f>
        <v>0</v>
      </c>
      <c r="AC55" s="5">
        <f>VLOOKUP($A55,'ПР 01-02.21'!$A$11:$BB$406,29,FALSE)+VLOOKUP($A55,'ПР 21-22'!$A$11:$BB$406,29,FALSE)-VLOOKUP($A55,'ПР 01-02.22'!$A$11:$BB$378,29,FALSE)</f>
        <v>0</v>
      </c>
      <c r="AD55" s="5">
        <f>VLOOKUP($A55,'ПР 01-02.21'!$A$11:$BB$406,30,FALSE)+VLOOKUP($A55,'ПР 21-22'!$A$11:$BB$406,30,FALSE)-VLOOKUP($A55,'ПР 01-02.22'!$A$11:$BB$378,30,FALSE)</f>
        <v>0</v>
      </c>
      <c r="AE55" s="5">
        <f>VLOOKUP($A55,'ПР 01-02.21'!$A$11:$BB$406,31,FALSE)+VLOOKUP($A55,'ПР 21-22'!$A$11:$BB$406,31,FALSE)-VLOOKUP($A55,'ПР 01-02.22'!$A$11:$BB$378,31,FALSE)</f>
        <v>0</v>
      </c>
      <c r="AF55" s="5">
        <f>VLOOKUP($A55,'ПР 01-02.21'!$A$11:$BB$406,32,FALSE)+VLOOKUP($A55,'ПР 21-22'!$A$11:$BB$406,32,FALSE)-VLOOKUP($A55,'ПР 01-02.22'!$A$11:$BB$378,32,FALSE)</f>
        <v>0</v>
      </c>
      <c r="AG55" s="40"/>
      <c r="AH55" s="5">
        <f>VLOOKUP($A55,'ПР 01-02.21'!$A$11:$BB$406,34,FALSE)+VLOOKUP($A55,'ПР 21-22'!$A$11:$BB$406,34,FALSE)-VLOOKUP($A55,'ПР 01-02.22'!$A$11:$BB$378,34,FALSE)</f>
        <v>0</v>
      </c>
      <c r="AI55" s="5">
        <f>VLOOKUP($A55,'ПР 01-02.21'!$A$11:$BB$406,35,FALSE)+VLOOKUP($A55,'ПР 21-22'!$A$11:$BB$406,35,FALSE)-VLOOKUP($A55,'ПР 01-02.22'!$A$11:$BB$378,35,FALSE)</f>
        <v>0</v>
      </c>
      <c r="AJ55" s="40"/>
      <c r="AK55" s="5">
        <f>VLOOKUP($A55,'ПР 01-02.21'!$A$11:$BB$406,37,FALSE)+VLOOKUP($A55,'ПР 21-22'!$A$11:$BB$406,37,FALSE)-VLOOKUP($A55,'ПР 01-02.22'!$A$11:$BB$378,37,FALSE)</f>
        <v>0</v>
      </c>
      <c r="AL55" s="5">
        <f>VLOOKUP($A55,'ПР 01-02.21'!$A$11:$BB$406,38,FALSE)+VLOOKUP($A55,'ПР 21-22'!$A$11:$BB$406,38,FALSE)-VLOOKUP($A55,'ПР 01-02.22'!$A$11:$BB$378,38,FALSE)</f>
        <v>0</v>
      </c>
      <c r="AM55" s="40"/>
      <c r="AN55" s="5">
        <f>VLOOKUP($A55,'ПР 01-02.21'!$A$11:$BB$406,40,FALSE)+VLOOKUP($A55,'ПР 21-22'!$A$11:$BB$406,40,FALSE)-VLOOKUP($A55,'ПР 01-02.22'!$A$11:$BB$378,40,FALSE)</f>
        <v>0</v>
      </c>
      <c r="AO55" s="5">
        <f>VLOOKUP($A55,'ПР 01-02.21'!$A$11:$BB$406,41,FALSE)+VLOOKUP($A55,'ПР 21-22'!$A$11:$BB$406,41,FALSE)-VLOOKUP($A55,'ПР 01-02.22'!$A$11:$BB$378,41,FALSE)</f>
        <v>0</v>
      </c>
      <c r="AP55" s="40"/>
      <c r="AQ55" s="5">
        <f>VLOOKUP($A55,'ПР 01-02.21'!$A$11:$BB$406,43,FALSE)+VLOOKUP($A55,'ПР 21-22'!$A$11:$BB$406,43,FALSE)-VLOOKUP($A55,'ПР 01-02.22'!$A$11:$BB$378,43,FALSE)</f>
        <v>0</v>
      </c>
      <c r="AR55" s="5">
        <f>VLOOKUP($A55,'ПР 01-02.21'!$A$11:$BB$406,44,FALSE)+VLOOKUP($A55,'ПР 21-22'!$A$11:$BB$406,44,FALSE)-VLOOKUP($A55,'ПР 01-02.22'!$A$11:$BB$378,44,FALSE)</f>
        <v>0</v>
      </c>
      <c r="AS55" s="40"/>
      <c r="AT55" s="5">
        <f>VLOOKUP($A55,'ПР 01-02.21'!$A$11:$BB$406,46,FALSE)+VLOOKUP($A55,'ПР 21-22'!$A$11:$BB$406,46,FALSE)-VLOOKUP($A55,'ПР 01-02.22'!$A$11:$BB$378,46,FALSE)</f>
        <v>0</v>
      </c>
      <c r="AU55" s="5">
        <f>VLOOKUP($A55,'ПР 01-02.21'!$A$11:$BB$406,47,FALSE)+VLOOKUP($A55,'ПР 21-22'!$A$11:$BB$406,47,FALSE)-VLOOKUP($A55,'ПР 01-02.22'!$A$11:$BB$378,47,FALSE)</f>
        <v>0</v>
      </c>
      <c r="AV55" s="40"/>
      <c r="AW55" s="5">
        <f>VLOOKUP($A55,'ПР 01-02.21'!$A$11:$BB$406,49,FALSE)+VLOOKUP($A55,'ПР 21-22'!$A$11:$BB$406,49,FALSE)-VLOOKUP($A55,'ПР 01-02.22'!$A$11:$BB$378,49,FALSE)</f>
        <v>11.74</v>
      </c>
      <c r="AX55" s="5">
        <f>VLOOKUP($A55,'ПР 01-02.21'!$A$11:$BB$406,50,FALSE)+VLOOKUP($A55,'ПР 21-22'!$A$11:$BB$406,50,FALSE)-VLOOKUP($A55,'ПР 01-02.22'!$A$11:$BB$378,50,FALSE)</f>
        <v>0</v>
      </c>
      <c r="AY55" s="40"/>
      <c r="AZ55" s="40">
        <f t="shared" si="3"/>
        <v>11.74</v>
      </c>
      <c r="BA55" s="40">
        <f t="shared" si="3"/>
        <v>0</v>
      </c>
      <c r="BB55" s="55">
        <f t="shared" si="4"/>
        <v>-11.74</v>
      </c>
      <c r="BD55" s="2">
        <v>3</v>
      </c>
      <c r="BF55" s="325">
        <v>150000987</v>
      </c>
    </row>
    <row r="56" spans="1:58" ht="24.9" customHeight="1" x14ac:dyDescent="0.3">
      <c r="A56" s="325">
        <v>150000988</v>
      </c>
      <c r="B56" s="445" t="s">
        <v>52</v>
      </c>
      <c r="C56" s="27">
        <v>1</v>
      </c>
      <c r="D56" s="101" t="s">
        <v>455</v>
      </c>
      <c r="E56" s="279">
        <f>'побудинковий звіт'!E54</f>
        <v>323.7</v>
      </c>
      <c r="F56" s="441">
        <f>'побудинковий звіт'!AS54</f>
        <v>2773.0472313921118</v>
      </c>
      <c r="G56" s="441">
        <f t="shared" si="1"/>
        <v>0</v>
      </c>
      <c r="H56" s="73">
        <f t="shared" si="2"/>
        <v>-2773.0472313921118</v>
      </c>
      <c r="I56" s="5">
        <f>VLOOKUP($A56,'ПР 01-02.21'!$A$11:$BB$406,9,FALSE)+VLOOKUP($A56,'ПР 21-22'!$A$11:$BB$406,9,FALSE)-VLOOKUP($A56,'ПР 01-02.22'!$A$11:$BB$378,9,FALSE)</f>
        <v>0</v>
      </c>
      <c r="J56" s="5">
        <f>VLOOKUP($A56,'ПР 01-02.21'!$A$11:$BB$406,10,FALSE)+VLOOKUP($A56,'ПР 21-22'!$A$11:$BB$406,10,FALSE)-VLOOKUP($A56,'ПР 01-02.22'!$A$11:$BB$378,10,FALSE)</f>
        <v>0</v>
      </c>
      <c r="K56" s="446"/>
      <c r="L56" s="5">
        <f>VLOOKUP($A56,'ПР 01-02.21'!$A$11:$BB$406,12,FALSE)+VLOOKUP($A56,'ПР 21-22'!$A$11:$BB$406,12,FALSE)-VLOOKUP($A56,'ПР 01-02.22'!$A$11:$BB$378,12,FALSE)</f>
        <v>0</v>
      </c>
      <c r="M56" s="5">
        <f>VLOOKUP($A56,'ПР 01-02.21'!$A$11:$BB$406,13,FALSE)+VLOOKUP($A56,'ПР 21-22'!$A$11:$BB$406,13,FALSE)-VLOOKUP($A56,'ПР 01-02.22'!$A$11:$BB$378,13,FALSE)</f>
        <v>0</v>
      </c>
      <c r="N56" s="38"/>
      <c r="O56" s="5">
        <f>VLOOKUP($A56,'ПР 01-02.21'!$A$11:$BB$406,15,FALSE)+VLOOKUP($A56,'ПР 21-22'!$A$11:$BB$406,15,FALSE)-VLOOKUP($A56,'ПР 01-02.22'!$A$11:$BB$378,15,FALSE)</f>
        <v>0</v>
      </c>
      <c r="P56" s="5">
        <f>VLOOKUP($A56,'ПР 01-02.21'!$A$11:$BB$406,16,FALSE)+VLOOKUP($A56,'ПР 21-22'!$A$11:$BB$406,16,FALSE)-VLOOKUP($A56,'ПР 01-02.22'!$A$11:$BB$378,16,FALSE)</f>
        <v>0</v>
      </c>
      <c r="Q56" s="443"/>
      <c r="R56" s="5">
        <f>VLOOKUP($A56,'ПР 01-02.21'!$A$11:$BB$406,18,FALSE)+VLOOKUP($A56,'ПР 21-22'!$A$11:$BB$406,18,FALSE)-VLOOKUP($A56,'ПР 01-02.22'!$A$11:$BB$378,18,FALSE)</f>
        <v>0</v>
      </c>
      <c r="S56" s="5">
        <f>VLOOKUP($A56,'ПР 01-02.21'!$A$11:$BB$406,19,FALSE)+VLOOKUP($A56,'ПР 21-22'!$A$11:$BB$406,19,FALSE)-VLOOKUP($A56,'ПР 01-02.22'!$A$11:$BB$378,19,FALSE)</f>
        <v>0</v>
      </c>
      <c r="T56" s="444"/>
      <c r="U56" s="5">
        <f>VLOOKUP($A56,'ПР 01-02.21'!$A$11:$BB$406,21,FALSE)+VLOOKUP($A56,'ПР 21-22'!$A$11:$BB$406,21,FALSE)-VLOOKUP($A56,'ПР 01-02.22'!$A$11:$BB$378,21,FALSE)</f>
        <v>0</v>
      </c>
      <c r="V56" s="5"/>
      <c r="W56" s="5">
        <f>VLOOKUP($A56,'ПР 01-02.21'!$A$11:$BB$406,23,FALSE)+VLOOKUP($A56,'ПР 21-22'!$A$11:$BB$406,23,FALSE)-VLOOKUP($A56,'ПР 01-02.22'!$A$11:$BB$378,23,FALSE)</f>
        <v>0</v>
      </c>
      <c r="X56" s="5">
        <f>VLOOKUP($A56,'ПР 01-02.21'!$A$11:$BB$406,24,FALSE)+VLOOKUP($A56,'ПР 21-22'!$A$11:$BB$406,24,FALSE)-VLOOKUP($A56,'ПР 01-02.22'!$A$11:$BB$378,24,FALSE)</f>
        <v>0</v>
      </c>
      <c r="Y56" s="5">
        <f>VLOOKUP($A56,'ПР 01-02.21'!$A$11:$BB$406,25,FALSE)+VLOOKUP($A56,'ПР 21-22'!$A$11:$BB$406,25,FALSE)-VLOOKUP($A56,'ПР 01-02.22'!$A$11:$BB$378,25,FALSE)</f>
        <v>0</v>
      </c>
      <c r="Z56" s="5"/>
      <c r="AA56" s="5">
        <f>VLOOKUP($A56,'ПР 01-02.21'!$A$11:$BB$406,27,FALSE)+VLOOKUP($A56,'ПР 21-22'!$A$11:$BB$406,27,FALSE)-VLOOKUP($A56,'ПР 01-02.22'!$A$11:$BB$378,27,FALSE)</f>
        <v>0</v>
      </c>
      <c r="AB56" s="5">
        <f>VLOOKUP($A56,'ПР 01-02.21'!$A$11:$BB$406,28,FALSE)+VLOOKUP($A56,'ПР 21-22'!$A$11:$BB$406,28,FALSE)-VLOOKUP($A56,'ПР 01-02.22'!$A$11:$BB$378,28,FALSE)</f>
        <v>0</v>
      </c>
      <c r="AC56" s="5">
        <f>VLOOKUP($A56,'ПР 01-02.21'!$A$11:$BB$406,29,FALSE)+VLOOKUP($A56,'ПР 21-22'!$A$11:$BB$406,29,FALSE)-VLOOKUP($A56,'ПР 01-02.22'!$A$11:$BB$378,29,FALSE)</f>
        <v>0</v>
      </c>
      <c r="AD56" s="5">
        <f>VLOOKUP($A56,'ПР 01-02.21'!$A$11:$BB$406,30,FALSE)+VLOOKUP($A56,'ПР 21-22'!$A$11:$BB$406,30,FALSE)-VLOOKUP($A56,'ПР 01-02.22'!$A$11:$BB$378,30,FALSE)</f>
        <v>0</v>
      </c>
      <c r="AE56" s="5">
        <f>VLOOKUP($A56,'ПР 01-02.21'!$A$11:$BB$406,31,FALSE)+VLOOKUP($A56,'ПР 21-22'!$A$11:$BB$406,31,FALSE)-VLOOKUP($A56,'ПР 01-02.22'!$A$11:$BB$378,31,FALSE)</f>
        <v>0</v>
      </c>
      <c r="AF56" s="5">
        <f>VLOOKUP($A56,'ПР 01-02.21'!$A$11:$BB$406,32,FALSE)+VLOOKUP($A56,'ПР 21-22'!$A$11:$BB$406,32,FALSE)-VLOOKUP($A56,'ПР 01-02.22'!$A$11:$BB$378,32,FALSE)</f>
        <v>0</v>
      </c>
      <c r="AG56" s="40"/>
      <c r="AH56" s="5">
        <f>VLOOKUP($A56,'ПР 01-02.21'!$A$11:$BB$406,34,FALSE)+VLOOKUP($A56,'ПР 21-22'!$A$11:$BB$406,34,FALSE)-VLOOKUP($A56,'ПР 01-02.22'!$A$11:$BB$378,34,FALSE)</f>
        <v>0</v>
      </c>
      <c r="AI56" s="5">
        <f>VLOOKUP($A56,'ПР 01-02.21'!$A$11:$BB$406,35,FALSE)+VLOOKUP($A56,'ПР 21-22'!$A$11:$BB$406,35,FALSE)-VLOOKUP($A56,'ПР 01-02.22'!$A$11:$BB$378,35,FALSE)</f>
        <v>0</v>
      </c>
      <c r="AJ56" s="40"/>
      <c r="AK56" s="5">
        <f>VLOOKUP($A56,'ПР 01-02.21'!$A$11:$BB$406,37,FALSE)+VLOOKUP($A56,'ПР 21-22'!$A$11:$BB$406,37,FALSE)-VLOOKUP($A56,'ПР 01-02.22'!$A$11:$BB$378,37,FALSE)</f>
        <v>0</v>
      </c>
      <c r="AL56" s="5">
        <f>VLOOKUP($A56,'ПР 01-02.21'!$A$11:$BB$406,38,FALSE)+VLOOKUP($A56,'ПР 21-22'!$A$11:$BB$406,38,FALSE)-VLOOKUP($A56,'ПР 01-02.22'!$A$11:$BB$378,38,FALSE)</f>
        <v>0</v>
      </c>
      <c r="AM56" s="40"/>
      <c r="AN56" s="5">
        <f>VLOOKUP($A56,'ПР 01-02.21'!$A$11:$BB$406,40,FALSE)+VLOOKUP($A56,'ПР 21-22'!$A$11:$BB$406,40,FALSE)-VLOOKUP($A56,'ПР 01-02.22'!$A$11:$BB$378,40,FALSE)</f>
        <v>0</v>
      </c>
      <c r="AO56" s="5">
        <f>VLOOKUP($A56,'ПР 01-02.21'!$A$11:$BB$406,41,FALSE)+VLOOKUP($A56,'ПР 21-22'!$A$11:$BB$406,41,FALSE)-VLOOKUP($A56,'ПР 01-02.22'!$A$11:$BB$378,41,FALSE)</f>
        <v>0</v>
      </c>
      <c r="AP56" s="40"/>
      <c r="AQ56" s="5">
        <f>VLOOKUP($A56,'ПР 01-02.21'!$A$11:$BB$406,43,FALSE)+VLOOKUP($A56,'ПР 21-22'!$A$11:$BB$406,43,FALSE)-VLOOKUP($A56,'ПР 01-02.22'!$A$11:$BB$378,43,FALSE)</f>
        <v>0</v>
      </c>
      <c r="AR56" s="5">
        <f>VLOOKUP($A56,'ПР 01-02.21'!$A$11:$BB$406,44,FALSE)+VLOOKUP($A56,'ПР 21-22'!$A$11:$BB$406,44,FALSE)-VLOOKUP($A56,'ПР 01-02.22'!$A$11:$BB$378,44,FALSE)</f>
        <v>0</v>
      </c>
      <c r="AS56" s="40"/>
      <c r="AT56" s="5">
        <f>VLOOKUP($A56,'ПР 01-02.21'!$A$11:$BB$406,46,FALSE)+VLOOKUP($A56,'ПР 21-22'!$A$11:$BB$406,46,FALSE)-VLOOKUP($A56,'ПР 01-02.22'!$A$11:$BB$378,46,FALSE)</f>
        <v>0</v>
      </c>
      <c r="AU56" s="5">
        <f>VLOOKUP($A56,'ПР 01-02.21'!$A$11:$BB$406,47,FALSE)+VLOOKUP($A56,'ПР 21-22'!$A$11:$BB$406,47,FALSE)-VLOOKUP($A56,'ПР 01-02.22'!$A$11:$BB$378,47,FALSE)</f>
        <v>0</v>
      </c>
      <c r="AV56" s="40"/>
      <c r="AW56" s="5">
        <f>VLOOKUP($A56,'ПР 01-02.21'!$A$11:$BB$406,49,FALSE)+VLOOKUP($A56,'ПР 21-22'!$A$11:$BB$406,49,FALSE)-VLOOKUP($A56,'ПР 01-02.22'!$A$11:$BB$378,49,FALSE)</f>
        <v>15.512</v>
      </c>
      <c r="AX56" s="5">
        <f>VLOOKUP($A56,'ПР 01-02.21'!$A$11:$BB$406,50,FALSE)+VLOOKUP($A56,'ПР 21-22'!$A$11:$BB$406,50,FALSE)-VLOOKUP($A56,'ПР 01-02.22'!$A$11:$BB$378,50,FALSE)</f>
        <v>0</v>
      </c>
      <c r="AY56" s="40"/>
      <c r="AZ56" s="40">
        <f t="shared" si="3"/>
        <v>15.512</v>
      </c>
      <c r="BA56" s="40">
        <f t="shared" si="3"/>
        <v>0</v>
      </c>
      <c r="BB56" s="55">
        <f t="shared" si="4"/>
        <v>-15.512</v>
      </c>
      <c r="BD56" s="2">
        <v>3</v>
      </c>
      <c r="BF56" s="325">
        <v>150000988</v>
      </c>
    </row>
    <row r="57" spans="1:58" ht="24.9" customHeight="1" x14ac:dyDescent="0.3">
      <c r="A57" s="325">
        <v>150000548</v>
      </c>
      <c r="B57" s="445" t="s">
        <v>247</v>
      </c>
      <c r="C57" s="27">
        <v>5</v>
      </c>
      <c r="D57" s="101" t="s">
        <v>455</v>
      </c>
      <c r="E57" s="279">
        <f>'побудинковий звіт'!E55</f>
        <v>2189.9</v>
      </c>
      <c r="F57" s="441">
        <f>'побудинковий звіт'!AS55</f>
        <v>23822.759334939776</v>
      </c>
      <c r="G57" s="441">
        <f t="shared" si="1"/>
        <v>9640</v>
      </c>
      <c r="H57" s="73">
        <f t="shared" si="2"/>
        <v>-14182.759334939776</v>
      </c>
      <c r="I57" s="5">
        <f>VLOOKUP($A57,'ПР 01-02.21'!$A$11:$BB$406,9,FALSE)+VLOOKUP($A57,'ПР 21-22'!$A$11:$BB$406,9,FALSE)-VLOOKUP($A57,'ПР 01-02.22'!$A$11:$BB$378,9,FALSE)</f>
        <v>0</v>
      </c>
      <c r="J57" s="5">
        <f>VLOOKUP($A57,'ПР 01-02.21'!$A$11:$BB$406,10,FALSE)+VLOOKUP($A57,'ПР 21-22'!$A$11:$BB$406,10,FALSE)-VLOOKUP($A57,'ПР 01-02.22'!$A$11:$BB$378,10,FALSE)</f>
        <v>0</v>
      </c>
      <c r="K57" s="453"/>
      <c r="L57" s="5">
        <f>VLOOKUP($A57,'ПР 01-02.21'!$A$11:$BB$406,12,FALSE)+VLOOKUP($A57,'ПР 21-22'!$A$11:$BB$406,12,FALSE)-VLOOKUP($A57,'ПР 01-02.22'!$A$11:$BB$378,12,FALSE)</f>
        <v>0</v>
      </c>
      <c r="M57" s="5">
        <f>VLOOKUP($A57,'ПР 01-02.21'!$A$11:$BB$406,13,FALSE)+VLOOKUP($A57,'ПР 21-22'!$A$11:$BB$406,13,FALSE)-VLOOKUP($A57,'ПР 01-02.22'!$A$11:$BB$378,13,FALSE)</f>
        <v>0</v>
      </c>
      <c r="N57" s="38"/>
      <c r="O57" s="5">
        <f>VLOOKUP($A57,'ПР 01-02.21'!$A$11:$BB$406,15,FALSE)+VLOOKUP($A57,'ПР 21-22'!$A$11:$BB$406,15,FALSE)-VLOOKUP($A57,'ПР 01-02.22'!$A$11:$BB$378,15,FALSE)</f>
        <v>0</v>
      </c>
      <c r="P57" s="5">
        <f>VLOOKUP($A57,'ПР 01-02.21'!$A$11:$BB$406,16,FALSE)+VLOOKUP($A57,'ПР 21-22'!$A$11:$BB$406,16,FALSE)-VLOOKUP($A57,'ПР 01-02.22'!$A$11:$BB$378,16,FALSE)</f>
        <v>0</v>
      </c>
      <c r="Q57" s="443"/>
      <c r="R57" s="5">
        <f>VLOOKUP($A57,'ПР 01-02.21'!$A$11:$BB$406,18,FALSE)+VLOOKUP($A57,'ПР 21-22'!$A$11:$BB$406,18,FALSE)-VLOOKUP($A57,'ПР 01-02.22'!$A$11:$BB$378,18,FALSE)</f>
        <v>0</v>
      </c>
      <c r="S57" s="5">
        <f>VLOOKUP($A57,'ПР 01-02.21'!$A$11:$BB$406,19,FALSE)+VLOOKUP($A57,'ПР 21-22'!$A$11:$BB$406,19,FALSE)-VLOOKUP($A57,'ПР 01-02.22'!$A$11:$BB$378,19,FALSE)</f>
        <v>0</v>
      </c>
      <c r="T57" s="444"/>
      <c r="U57" s="5">
        <f>VLOOKUP($A57,'ПР 01-02.21'!$A$11:$BB$406,21,FALSE)+VLOOKUP($A57,'ПР 21-22'!$A$11:$BB$406,21,FALSE)-VLOOKUP($A57,'ПР 01-02.22'!$A$11:$BB$378,21,FALSE)</f>
        <v>0</v>
      </c>
      <c r="V57" s="5"/>
      <c r="W57" s="5">
        <f>VLOOKUP($A57,'ПР 01-02.21'!$A$11:$BB$406,23,FALSE)+VLOOKUP($A57,'ПР 21-22'!$A$11:$BB$406,23,FALSE)-VLOOKUP($A57,'ПР 01-02.22'!$A$11:$BB$378,23,FALSE)</f>
        <v>0</v>
      </c>
      <c r="X57" s="5">
        <f>VLOOKUP($A57,'ПР 01-02.21'!$A$11:$BB$406,24,FALSE)+VLOOKUP($A57,'ПР 21-22'!$A$11:$BB$406,24,FALSE)-VLOOKUP($A57,'ПР 01-02.22'!$A$11:$BB$378,24,FALSE)</f>
        <v>0</v>
      </c>
      <c r="Y57" s="5">
        <f>VLOOKUP($A57,'ПР 01-02.21'!$A$11:$BB$406,25,FALSE)+VLOOKUP($A57,'ПР 21-22'!$A$11:$BB$406,25,FALSE)-VLOOKUP($A57,'ПР 01-02.22'!$A$11:$BB$378,25,FALSE)</f>
        <v>0</v>
      </c>
      <c r="Z57" s="5"/>
      <c r="AA57" s="5">
        <f>VLOOKUP($A57,'ПР 01-02.21'!$A$11:$BB$406,27,FALSE)+VLOOKUP($A57,'ПР 21-22'!$A$11:$BB$406,27,FALSE)-VLOOKUP($A57,'ПР 01-02.22'!$A$11:$BB$378,27,FALSE)</f>
        <v>0</v>
      </c>
      <c r="AB57" s="5">
        <f>VLOOKUP($A57,'ПР 01-02.21'!$A$11:$BB$406,28,FALSE)+VLOOKUP($A57,'ПР 21-22'!$A$11:$BB$406,28,FALSE)-VLOOKUP($A57,'ПР 01-02.22'!$A$11:$BB$378,28,FALSE)</f>
        <v>0</v>
      </c>
      <c r="AC57" s="5">
        <f>VLOOKUP($A57,'ПР 01-02.21'!$A$11:$BB$406,29,FALSE)+VLOOKUP($A57,'ПР 21-22'!$A$11:$BB$406,29,FALSE)-VLOOKUP($A57,'ПР 01-02.22'!$A$11:$BB$378,29,FALSE)</f>
        <v>0</v>
      </c>
      <c r="AD57" s="5">
        <f>VLOOKUP($A57,'ПР 01-02.21'!$A$11:$BB$406,30,FALSE)+VLOOKUP($A57,'ПР 21-22'!$A$11:$BB$406,30,FALSE)-VLOOKUP($A57,'ПР 01-02.22'!$A$11:$BB$378,30,FALSE)</f>
        <v>9640</v>
      </c>
      <c r="AE57" s="5">
        <f>VLOOKUP($A57,'ПР 01-02.21'!$A$11:$BB$406,31,FALSE)+VLOOKUP($A57,'ПР 21-22'!$A$11:$BB$406,31,FALSE)-VLOOKUP($A57,'ПР 01-02.22'!$A$11:$BB$378,31,FALSE)</f>
        <v>2222.4205350937355</v>
      </c>
      <c r="AF57" s="5">
        <f>VLOOKUP($A57,'ПР 01-02.21'!$A$11:$BB$406,32,FALSE)+VLOOKUP($A57,'ПР 21-22'!$A$11:$BB$406,32,FALSE)-VLOOKUP($A57,'ПР 01-02.22'!$A$11:$BB$378,32,FALSE)</f>
        <v>0</v>
      </c>
      <c r="AG57" s="40"/>
      <c r="AH57" s="5">
        <f>VLOOKUP($A57,'ПР 01-02.21'!$A$11:$BB$406,34,FALSE)+VLOOKUP($A57,'ПР 21-22'!$A$11:$BB$406,34,FALSE)-VLOOKUP($A57,'ПР 01-02.22'!$A$11:$BB$378,34,FALSE)</f>
        <v>3045.6018085749556</v>
      </c>
      <c r="AI57" s="5">
        <f>VLOOKUP($A57,'ПР 01-02.21'!$A$11:$BB$406,35,FALSE)+VLOOKUP($A57,'ПР 21-22'!$A$11:$BB$406,35,FALSE)-VLOOKUP($A57,'ПР 01-02.22'!$A$11:$BB$378,35,FALSE)</f>
        <v>2799</v>
      </c>
      <c r="AJ57" s="40"/>
      <c r="AK57" s="5">
        <f>VLOOKUP($A57,'ПР 01-02.21'!$A$11:$BB$406,37,FALSE)+VLOOKUP($A57,'ПР 21-22'!$A$11:$BB$406,37,FALSE)-VLOOKUP($A57,'ПР 01-02.22'!$A$11:$BB$378,37,FALSE)</f>
        <v>995.67546147094924</v>
      </c>
      <c r="AL57" s="5">
        <f>VLOOKUP($A57,'ПР 01-02.21'!$A$11:$BB$406,38,FALSE)+VLOOKUP($A57,'ПР 21-22'!$A$11:$BB$406,38,FALSE)-VLOOKUP($A57,'ПР 01-02.22'!$A$11:$BB$378,38,FALSE)</f>
        <v>0</v>
      </c>
      <c r="AM57" s="40"/>
      <c r="AN57" s="5">
        <f>VLOOKUP($A57,'ПР 01-02.21'!$A$11:$BB$406,40,FALSE)+VLOOKUP($A57,'ПР 21-22'!$A$11:$BB$406,40,FALSE)-VLOOKUP($A57,'ПР 01-02.22'!$A$11:$BB$378,40,FALSE)</f>
        <v>1329.4804407212407</v>
      </c>
      <c r="AO57" s="5">
        <f>VLOOKUP($A57,'ПР 01-02.21'!$A$11:$BB$406,41,FALSE)+VLOOKUP($A57,'ПР 21-22'!$A$11:$BB$406,41,FALSE)-VLOOKUP($A57,'ПР 01-02.22'!$A$11:$BB$378,41,FALSE)</f>
        <v>0</v>
      </c>
      <c r="AP57" s="40"/>
      <c r="AQ57" s="5">
        <f>VLOOKUP($A57,'ПР 01-02.21'!$A$11:$BB$406,43,FALSE)+VLOOKUP($A57,'ПР 21-22'!$A$11:$BB$406,43,FALSE)-VLOOKUP($A57,'ПР 01-02.22'!$A$11:$BB$378,43,FALSE)</f>
        <v>1026.7479782613534</v>
      </c>
      <c r="AR57" s="5">
        <f>VLOOKUP($A57,'ПР 01-02.21'!$A$11:$BB$406,44,FALSE)+VLOOKUP($A57,'ПР 21-22'!$A$11:$BB$406,44,FALSE)-VLOOKUP($A57,'ПР 01-02.22'!$A$11:$BB$378,44,FALSE)</f>
        <v>0</v>
      </c>
      <c r="AS57" s="40"/>
      <c r="AT57" s="5">
        <f>VLOOKUP($A57,'ПР 01-02.21'!$A$11:$BB$406,46,FALSE)+VLOOKUP($A57,'ПР 21-22'!$A$11:$BB$406,46,FALSE)-VLOOKUP($A57,'ПР 01-02.22'!$A$11:$BB$378,46,FALSE)</f>
        <v>1392.1454447844942</v>
      </c>
      <c r="AU57" s="5">
        <f>VLOOKUP($A57,'ПР 01-02.21'!$A$11:$BB$406,47,FALSE)+VLOOKUP($A57,'ПР 21-22'!$A$11:$BB$406,47,FALSE)-VLOOKUP($A57,'ПР 01-02.22'!$A$11:$BB$378,47,FALSE)</f>
        <v>0</v>
      </c>
      <c r="AV57" s="40"/>
      <c r="AW57" s="5">
        <f>VLOOKUP($A57,'ПР 01-02.21'!$A$11:$BB$406,49,FALSE)+VLOOKUP($A57,'ПР 21-22'!$A$11:$BB$406,49,FALSE)-VLOOKUP($A57,'ПР 01-02.22'!$A$11:$BB$378,49,FALSE)</f>
        <v>622.51937568706444</v>
      </c>
      <c r="AX57" s="5">
        <f>VLOOKUP($A57,'ПР 01-02.21'!$A$11:$BB$406,50,FALSE)+VLOOKUP($A57,'ПР 21-22'!$A$11:$BB$406,50,FALSE)-VLOOKUP($A57,'ПР 01-02.22'!$A$11:$BB$378,50,FALSE)</f>
        <v>0</v>
      </c>
      <c r="AY57" s="40"/>
      <c r="AZ57" s="40">
        <f t="shared" si="3"/>
        <v>10634.591044593792</v>
      </c>
      <c r="BA57" s="40">
        <f t="shared" si="3"/>
        <v>2799</v>
      </c>
      <c r="BB57" s="55">
        <f t="shared" si="4"/>
        <v>-7835.5910445937916</v>
      </c>
      <c r="BD57" s="2">
        <v>1</v>
      </c>
      <c r="BF57" s="325">
        <v>150000548</v>
      </c>
    </row>
    <row r="58" spans="1:58" ht="24.9" customHeight="1" x14ac:dyDescent="0.3">
      <c r="A58" s="325">
        <v>150000549</v>
      </c>
      <c r="B58" s="445" t="s">
        <v>207</v>
      </c>
      <c r="C58" s="27">
        <v>4</v>
      </c>
      <c r="D58" s="101" t="s">
        <v>455</v>
      </c>
      <c r="E58" s="279">
        <f>'побудинковий звіт'!E56</f>
        <v>1173.1199999999999</v>
      </c>
      <c r="F58" s="441">
        <f>'побудинковий звіт'!AS56</f>
        <v>11220.075452821724</v>
      </c>
      <c r="G58" s="441">
        <f t="shared" si="1"/>
        <v>41394.800000000003</v>
      </c>
      <c r="H58" s="73">
        <f t="shared" si="2"/>
        <v>30174.724547178281</v>
      </c>
      <c r="I58" s="5">
        <f>VLOOKUP($A58,'ПР 01-02.21'!$A$11:$BB$406,9,FALSE)+VLOOKUP($A58,'ПР 21-22'!$A$11:$BB$406,9,FALSE)-VLOOKUP($A58,'ПР 01-02.22'!$A$11:$BB$378,9,FALSE)</f>
        <v>0</v>
      </c>
      <c r="J58" s="5">
        <f>VLOOKUP($A58,'ПР 01-02.21'!$A$11:$BB$406,10,FALSE)+VLOOKUP($A58,'ПР 21-22'!$A$11:$BB$406,10,FALSE)-VLOOKUP($A58,'ПР 01-02.22'!$A$11:$BB$378,10,FALSE)</f>
        <v>4141</v>
      </c>
      <c r="K58" s="446"/>
      <c r="L58" s="5">
        <f>VLOOKUP($A58,'ПР 01-02.21'!$A$11:$BB$406,12,FALSE)+VLOOKUP($A58,'ПР 21-22'!$A$11:$BB$406,12,FALSE)-VLOOKUP($A58,'ПР 01-02.22'!$A$11:$BB$378,12,FALSE)</f>
        <v>1</v>
      </c>
      <c r="M58" s="5">
        <f>VLOOKUP($A58,'ПР 01-02.21'!$A$11:$BB$406,13,FALSE)+VLOOKUP($A58,'ПР 21-22'!$A$11:$BB$406,13,FALSE)-VLOOKUP($A58,'ПР 01-02.22'!$A$11:$BB$378,13,FALSE)</f>
        <v>31373.58</v>
      </c>
      <c r="N58" s="38"/>
      <c r="O58" s="5">
        <f>VLOOKUP($A58,'ПР 01-02.21'!$A$11:$BB$406,15,FALSE)+VLOOKUP($A58,'ПР 21-22'!$A$11:$BB$406,15,FALSE)-VLOOKUP($A58,'ПР 01-02.22'!$A$11:$BB$378,15,FALSE)</f>
        <v>0</v>
      </c>
      <c r="P58" s="5">
        <f>VLOOKUP($A58,'ПР 01-02.21'!$A$11:$BB$406,16,FALSE)+VLOOKUP($A58,'ПР 21-22'!$A$11:$BB$406,16,FALSE)-VLOOKUP($A58,'ПР 01-02.22'!$A$11:$BB$378,16,FALSE)</f>
        <v>0</v>
      </c>
      <c r="Q58" s="443"/>
      <c r="R58" s="5">
        <f>VLOOKUP($A58,'ПР 01-02.21'!$A$11:$BB$406,18,FALSE)+VLOOKUP($A58,'ПР 21-22'!$A$11:$BB$406,18,FALSE)-VLOOKUP($A58,'ПР 01-02.22'!$A$11:$BB$378,18,FALSE)</f>
        <v>0</v>
      </c>
      <c r="S58" s="5">
        <f>VLOOKUP($A58,'ПР 01-02.21'!$A$11:$BB$406,19,FALSE)+VLOOKUP($A58,'ПР 21-22'!$A$11:$BB$406,19,FALSE)-VLOOKUP($A58,'ПР 01-02.22'!$A$11:$BB$378,19,FALSE)</f>
        <v>0</v>
      </c>
      <c r="T58" s="444"/>
      <c r="U58" s="5">
        <f>VLOOKUP($A58,'ПР 01-02.21'!$A$11:$BB$406,21,FALSE)+VLOOKUP($A58,'ПР 21-22'!$A$11:$BB$406,21,FALSE)-VLOOKUP($A58,'ПР 01-02.22'!$A$11:$BB$378,21,FALSE)</f>
        <v>0</v>
      </c>
      <c r="V58" s="5"/>
      <c r="W58" s="5">
        <f>VLOOKUP($A58,'ПР 01-02.21'!$A$11:$BB$406,23,FALSE)+VLOOKUP($A58,'ПР 21-22'!$A$11:$BB$406,23,FALSE)-VLOOKUP($A58,'ПР 01-02.22'!$A$11:$BB$378,23,FALSE)</f>
        <v>5</v>
      </c>
      <c r="X58" s="5">
        <f>VLOOKUP($A58,'ПР 01-02.21'!$A$11:$BB$406,24,FALSE)+VLOOKUP($A58,'ПР 21-22'!$A$11:$BB$406,24,FALSE)-VLOOKUP($A58,'ПР 01-02.22'!$A$11:$BB$378,24,FALSE)</f>
        <v>1558</v>
      </c>
      <c r="Y58" s="5">
        <f>VLOOKUP($A58,'ПР 01-02.21'!$A$11:$BB$406,25,FALSE)+VLOOKUP($A58,'ПР 21-22'!$A$11:$BB$406,25,FALSE)-VLOOKUP($A58,'ПР 01-02.22'!$A$11:$BB$378,25,FALSE)</f>
        <v>1955</v>
      </c>
      <c r="Z58" s="5"/>
      <c r="AA58" s="5">
        <f>VLOOKUP($A58,'ПР 01-02.21'!$A$11:$BB$406,27,FALSE)+VLOOKUP($A58,'ПР 21-22'!$A$11:$BB$406,27,FALSE)-VLOOKUP($A58,'ПР 01-02.22'!$A$11:$BB$378,27,FALSE)</f>
        <v>0</v>
      </c>
      <c r="AB58" s="5">
        <f>VLOOKUP($A58,'ПР 01-02.21'!$A$11:$BB$406,28,FALSE)+VLOOKUP($A58,'ПР 21-22'!$A$11:$BB$406,28,FALSE)-VLOOKUP($A58,'ПР 01-02.22'!$A$11:$BB$378,28,FALSE)</f>
        <v>0</v>
      </c>
      <c r="AC58" s="5">
        <f>VLOOKUP($A58,'ПР 01-02.21'!$A$11:$BB$406,29,FALSE)+VLOOKUP($A58,'ПР 21-22'!$A$11:$BB$406,29,FALSE)-VLOOKUP($A58,'ПР 01-02.22'!$A$11:$BB$378,29,FALSE)</f>
        <v>1386</v>
      </c>
      <c r="AD58" s="5">
        <f>VLOOKUP($A58,'ПР 01-02.21'!$A$11:$BB$406,30,FALSE)+VLOOKUP($A58,'ПР 21-22'!$A$11:$BB$406,30,FALSE)-VLOOKUP($A58,'ПР 01-02.22'!$A$11:$BB$378,30,FALSE)</f>
        <v>981.22</v>
      </c>
      <c r="AE58" s="5">
        <f>VLOOKUP($A58,'ПР 01-02.21'!$A$11:$BB$406,31,FALSE)+VLOOKUP($A58,'ПР 21-22'!$A$11:$BB$406,31,FALSE)-VLOOKUP($A58,'ПР 01-02.22'!$A$11:$BB$378,31,FALSE)</f>
        <v>1249.1303489778691</v>
      </c>
      <c r="AF58" s="5">
        <f>VLOOKUP($A58,'ПР 01-02.21'!$A$11:$BB$406,32,FALSE)+VLOOKUP($A58,'ПР 21-22'!$A$11:$BB$406,32,FALSE)-VLOOKUP($A58,'ПР 01-02.22'!$A$11:$BB$378,32,FALSE)</f>
        <v>0</v>
      </c>
      <c r="AG58" s="40"/>
      <c r="AH58" s="5">
        <f>VLOOKUP($A58,'ПР 01-02.21'!$A$11:$BB$406,34,FALSE)+VLOOKUP($A58,'ПР 21-22'!$A$11:$BB$406,34,FALSE)-VLOOKUP($A58,'ПР 01-02.22'!$A$11:$BB$378,34,FALSE)</f>
        <v>2306.0735025106851</v>
      </c>
      <c r="AI58" s="5">
        <f>VLOOKUP($A58,'ПР 01-02.21'!$A$11:$BB$406,35,FALSE)+VLOOKUP($A58,'ПР 21-22'!$A$11:$BB$406,35,FALSE)-VLOOKUP($A58,'ПР 01-02.22'!$A$11:$BB$378,35,FALSE)</f>
        <v>6.5</v>
      </c>
      <c r="AJ58" s="40"/>
      <c r="AK58" s="5">
        <f>VLOOKUP($A58,'ПР 01-02.21'!$A$11:$BB$406,37,FALSE)+VLOOKUP($A58,'ПР 21-22'!$A$11:$BB$406,37,FALSE)-VLOOKUP($A58,'ПР 01-02.22'!$A$11:$BB$378,37,FALSE)</f>
        <v>398.9815947747519</v>
      </c>
      <c r="AL58" s="5">
        <f>VLOOKUP($A58,'ПР 01-02.21'!$A$11:$BB$406,38,FALSE)+VLOOKUP($A58,'ПР 21-22'!$A$11:$BB$406,38,FALSE)-VLOOKUP($A58,'ПР 01-02.22'!$A$11:$BB$378,38,FALSE)</f>
        <v>0</v>
      </c>
      <c r="AM58" s="40"/>
      <c r="AN58" s="5">
        <f>VLOOKUP($A58,'ПР 01-02.21'!$A$11:$BB$406,40,FALSE)+VLOOKUP($A58,'ПР 21-22'!$A$11:$BB$406,40,FALSE)-VLOOKUP($A58,'ПР 01-02.22'!$A$11:$BB$378,40,FALSE)</f>
        <v>783.50252028809723</v>
      </c>
      <c r="AO58" s="5">
        <f>VLOOKUP($A58,'ПР 01-02.21'!$A$11:$BB$406,41,FALSE)+VLOOKUP($A58,'ПР 21-22'!$A$11:$BB$406,41,FALSE)-VLOOKUP($A58,'ПР 01-02.22'!$A$11:$BB$378,41,FALSE)</f>
        <v>0</v>
      </c>
      <c r="AP58" s="40"/>
      <c r="AQ58" s="5">
        <f>VLOOKUP($A58,'ПР 01-02.21'!$A$11:$BB$406,43,FALSE)+VLOOKUP($A58,'ПР 21-22'!$A$11:$BB$406,43,FALSE)-VLOOKUP($A58,'ПР 01-02.22'!$A$11:$BB$378,43,FALSE)</f>
        <v>0</v>
      </c>
      <c r="AR58" s="5">
        <f>VLOOKUP($A58,'ПР 01-02.21'!$A$11:$BB$406,44,FALSE)+VLOOKUP($A58,'ПР 21-22'!$A$11:$BB$406,44,FALSE)-VLOOKUP($A58,'ПР 01-02.22'!$A$11:$BB$378,44,FALSE)</f>
        <v>0</v>
      </c>
      <c r="AS58" s="40"/>
      <c r="AT58" s="5">
        <f>VLOOKUP($A58,'ПР 01-02.21'!$A$11:$BB$406,46,FALSE)+VLOOKUP($A58,'ПР 21-22'!$A$11:$BB$406,46,FALSE)-VLOOKUP($A58,'ПР 01-02.22'!$A$11:$BB$378,46,FALSE)</f>
        <v>618.82493971979989</v>
      </c>
      <c r="AU58" s="5">
        <f>VLOOKUP($A58,'ПР 01-02.21'!$A$11:$BB$406,47,FALSE)+VLOOKUP($A58,'ПР 21-22'!$A$11:$BB$406,47,FALSE)-VLOOKUP($A58,'ПР 01-02.22'!$A$11:$BB$378,47,FALSE)</f>
        <v>0</v>
      </c>
      <c r="AV58" s="40"/>
      <c r="AW58" s="5">
        <f>VLOOKUP($A58,'ПР 01-02.21'!$A$11:$BB$406,49,FALSE)+VLOOKUP($A58,'ПР 21-22'!$A$11:$BB$406,49,FALSE)-VLOOKUP($A58,'ПР 01-02.22'!$A$11:$BB$378,49,FALSE)</f>
        <v>286.47601122541715</v>
      </c>
      <c r="AX58" s="5">
        <f>VLOOKUP($A58,'ПР 01-02.21'!$A$11:$BB$406,50,FALSE)+VLOOKUP($A58,'ПР 21-22'!$A$11:$BB$406,50,FALSE)-VLOOKUP($A58,'ПР 01-02.22'!$A$11:$BB$378,50,FALSE)</f>
        <v>0</v>
      </c>
      <c r="AY58" s="40"/>
      <c r="AZ58" s="40">
        <f t="shared" si="3"/>
        <v>5642.9889174966202</v>
      </c>
      <c r="BA58" s="40">
        <f t="shared" si="3"/>
        <v>6.5</v>
      </c>
      <c r="BB58" s="55">
        <f t="shared" si="4"/>
        <v>-5636.4889174966202</v>
      </c>
      <c r="BD58" s="2">
        <v>1</v>
      </c>
      <c r="BF58" s="325">
        <v>150000549</v>
      </c>
    </row>
    <row r="59" spans="1:58" ht="24.9" customHeight="1" x14ac:dyDescent="0.3">
      <c r="A59" s="325">
        <v>150000547</v>
      </c>
      <c r="B59" s="445" t="s">
        <v>248</v>
      </c>
      <c r="C59" s="27">
        <v>5</v>
      </c>
      <c r="D59" s="101" t="s">
        <v>455</v>
      </c>
      <c r="E59" s="279">
        <f>'побудинковий звіт'!E57</f>
        <v>2743.1</v>
      </c>
      <c r="F59" s="441">
        <f>'побудинковий звіт'!AS57</f>
        <v>47405.799539400192</v>
      </c>
      <c r="G59" s="441">
        <f t="shared" si="1"/>
        <v>65104.35</v>
      </c>
      <c r="H59" s="73">
        <f t="shared" si="2"/>
        <v>17698.550460599807</v>
      </c>
      <c r="I59" s="5">
        <f>VLOOKUP($A59,'ПР 01-02.21'!$A$11:$BB$406,9,FALSE)+VLOOKUP($A59,'ПР 21-22'!$A$11:$BB$406,9,FALSE)-VLOOKUP($A59,'ПР 01-02.22'!$A$11:$BB$378,9,FALSE)</f>
        <v>0</v>
      </c>
      <c r="J59" s="5">
        <f>VLOOKUP($A59,'ПР 01-02.21'!$A$11:$BB$406,10,FALSE)+VLOOKUP($A59,'ПР 21-22'!$A$11:$BB$406,10,FALSE)-VLOOKUP($A59,'ПР 01-02.22'!$A$11:$BB$378,10,FALSE)</f>
        <v>0</v>
      </c>
      <c r="K59" s="446"/>
      <c r="L59" s="5">
        <f>VLOOKUP($A59,'ПР 01-02.21'!$A$11:$BB$406,12,FALSE)+VLOOKUP($A59,'ПР 21-22'!$A$11:$BB$406,12,FALSE)-VLOOKUP($A59,'ПР 01-02.22'!$A$11:$BB$378,12,FALSE)</f>
        <v>0</v>
      </c>
      <c r="M59" s="5">
        <f>VLOOKUP($A59,'ПР 01-02.21'!$A$11:$BB$406,13,FALSE)+VLOOKUP($A59,'ПР 21-22'!$A$11:$BB$406,13,FALSE)-VLOOKUP($A59,'ПР 01-02.22'!$A$11:$BB$378,13,FALSE)</f>
        <v>0</v>
      </c>
      <c r="N59" s="38"/>
      <c r="O59" s="5">
        <f>VLOOKUP($A59,'ПР 01-02.21'!$A$11:$BB$406,15,FALSE)+VLOOKUP($A59,'ПР 21-22'!$A$11:$BB$406,15,FALSE)-VLOOKUP($A59,'ПР 01-02.22'!$A$11:$BB$378,15,FALSE)</f>
        <v>12</v>
      </c>
      <c r="P59" s="5">
        <f>VLOOKUP($A59,'ПР 01-02.21'!$A$11:$BB$406,16,FALSE)+VLOOKUP($A59,'ПР 21-22'!$A$11:$BB$406,16,FALSE)-VLOOKUP($A59,'ПР 01-02.22'!$A$11:$BB$378,16,FALSE)</f>
        <v>2848.35</v>
      </c>
      <c r="Q59" s="443"/>
      <c r="R59" s="5">
        <f>VLOOKUP($A59,'ПР 01-02.21'!$A$11:$BB$406,18,FALSE)+VLOOKUP($A59,'ПР 21-22'!$A$11:$BB$406,18,FALSE)-VLOOKUP($A59,'ПР 01-02.22'!$A$11:$BB$378,18,FALSE)</f>
        <v>0</v>
      </c>
      <c r="S59" s="5">
        <f>VLOOKUP($A59,'ПР 01-02.21'!$A$11:$BB$406,19,FALSE)+VLOOKUP($A59,'ПР 21-22'!$A$11:$BB$406,19,FALSE)-VLOOKUP($A59,'ПР 01-02.22'!$A$11:$BB$378,19,FALSE)</f>
        <v>0</v>
      </c>
      <c r="T59" s="444"/>
      <c r="U59" s="5">
        <f>VLOOKUP($A59,'ПР 01-02.21'!$A$11:$BB$406,21,FALSE)+VLOOKUP($A59,'ПР 21-22'!$A$11:$BB$406,21,FALSE)-VLOOKUP($A59,'ПР 01-02.22'!$A$11:$BB$378,21,FALSE)</f>
        <v>0</v>
      </c>
      <c r="V59" s="5"/>
      <c r="W59" s="5">
        <f>VLOOKUP($A59,'ПР 01-02.21'!$A$11:$BB$406,23,FALSE)+VLOOKUP($A59,'ПР 21-22'!$A$11:$BB$406,23,FALSE)-VLOOKUP($A59,'ПР 01-02.22'!$A$11:$BB$378,23,FALSE)</f>
        <v>0</v>
      </c>
      <c r="X59" s="5">
        <f>VLOOKUP($A59,'ПР 01-02.21'!$A$11:$BB$406,24,FALSE)+VLOOKUP($A59,'ПР 21-22'!$A$11:$BB$406,24,FALSE)-VLOOKUP($A59,'ПР 01-02.22'!$A$11:$BB$378,24,FALSE)</f>
        <v>0</v>
      </c>
      <c r="Y59" s="5">
        <f>VLOOKUP($A59,'ПР 01-02.21'!$A$11:$BB$406,25,FALSE)+VLOOKUP($A59,'ПР 21-22'!$A$11:$BB$406,25,FALSE)-VLOOKUP($A59,'ПР 01-02.22'!$A$11:$BB$378,25,FALSE)</f>
        <v>899</v>
      </c>
      <c r="Z59" s="5"/>
      <c r="AA59" s="5">
        <f>VLOOKUP($A59,'ПР 01-02.21'!$A$11:$BB$406,27,FALSE)+VLOOKUP($A59,'ПР 21-22'!$A$11:$BB$406,27,FALSE)-VLOOKUP($A59,'ПР 01-02.22'!$A$11:$BB$378,27,FALSE)</f>
        <v>0</v>
      </c>
      <c r="AB59" s="5">
        <f>VLOOKUP($A59,'ПР 01-02.21'!$A$11:$BB$406,28,FALSE)+VLOOKUP($A59,'ПР 21-22'!$A$11:$BB$406,28,FALSE)-VLOOKUP($A59,'ПР 01-02.22'!$A$11:$BB$378,28,FALSE)</f>
        <v>0</v>
      </c>
      <c r="AC59" s="5">
        <f>VLOOKUP($A59,'ПР 01-02.21'!$A$11:$BB$406,29,FALSE)+VLOOKUP($A59,'ПР 21-22'!$A$11:$BB$406,29,FALSE)-VLOOKUP($A59,'ПР 01-02.22'!$A$11:$BB$378,29,FALSE)</f>
        <v>60150</v>
      </c>
      <c r="AD59" s="5">
        <f>VLOOKUP($A59,'ПР 01-02.21'!$A$11:$BB$406,30,FALSE)+VLOOKUP($A59,'ПР 21-22'!$A$11:$BB$406,30,FALSE)-VLOOKUP($A59,'ПР 01-02.22'!$A$11:$BB$378,30,FALSE)</f>
        <v>1207</v>
      </c>
      <c r="AE59" s="5">
        <f>VLOOKUP($A59,'ПР 01-02.21'!$A$11:$BB$406,31,FALSE)+VLOOKUP($A59,'ПР 21-22'!$A$11:$BB$406,31,FALSE)-VLOOKUP($A59,'ПР 01-02.22'!$A$11:$BB$378,31,FALSE)</f>
        <v>2795.2418631390019</v>
      </c>
      <c r="AF59" s="5">
        <f>VLOOKUP($A59,'ПР 01-02.21'!$A$11:$BB$406,32,FALSE)+VLOOKUP($A59,'ПР 21-22'!$A$11:$BB$406,32,FALSE)-VLOOKUP($A59,'ПР 01-02.22'!$A$11:$BB$378,32,FALSE)</f>
        <v>0</v>
      </c>
      <c r="AG59" s="40"/>
      <c r="AH59" s="5">
        <f>VLOOKUP($A59,'ПР 01-02.21'!$A$11:$BB$406,34,FALSE)+VLOOKUP($A59,'ПР 21-22'!$A$11:$BB$406,34,FALSE)-VLOOKUP($A59,'ПР 01-02.22'!$A$11:$BB$378,34,FALSE)</f>
        <v>3668.1539651675184</v>
      </c>
      <c r="AI59" s="5">
        <f>VLOOKUP($A59,'ПР 01-02.21'!$A$11:$BB$406,35,FALSE)+VLOOKUP($A59,'ПР 21-22'!$A$11:$BB$406,35,FALSE)-VLOOKUP($A59,'ПР 01-02.22'!$A$11:$BB$378,35,FALSE)</f>
        <v>6.5</v>
      </c>
      <c r="AJ59" s="40"/>
      <c r="AK59" s="5">
        <f>VLOOKUP($A59,'ПР 01-02.21'!$A$11:$BB$406,37,FALSE)+VLOOKUP($A59,'ПР 21-22'!$A$11:$BB$406,37,FALSE)-VLOOKUP($A59,'ПР 01-02.22'!$A$11:$BB$378,37,FALSE)</f>
        <v>1165.2846102570777</v>
      </c>
      <c r="AL59" s="5">
        <f>VLOOKUP($A59,'ПР 01-02.21'!$A$11:$BB$406,38,FALSE)+VLOOKUP($A59,'ПР 21-22'!$A$11:$BB$406,38,FALSE)-VLOOKUP($A59,'ПР 01-02.22'!$A$11:$BB$378,38,FALSE)</f>
        <v>0</v>
      </c>
      <c r="AM59" s="40"/>
      <c r="AN59" s="5">
        <f>VLOOKUP($A59,'ПР 01-02.21'!$A$11:$BB$406,40,FALSE)+VLOOKUP($A59,'ПР 21-22'!$A$11:$BB$406,40,FALSE)-VLOOKUP($A59,'ПР 01-02.22'!$A$11:$BB$378,40,FALSE)</f>
        <v>1754.8556002802136</v>
      </c>
      <c r="AO59" s="5">
        <f>VLOOKUP($A59,'ПР 01-02.21'!$A$11:$BB$406,41,FALSE)+VLOOKUP($A59,'ПР 21-22'!$A$11:$BB$406,41,FALSE)-VLOOKUP($A59,'ПР 01-02.22'!$A$11:$BB$378,41,FALSE)</f>
        <v>0</v>
      </c>
      <c r="AP59" s="40"/>
      <c r="AQ59" s="5">
        <f>VLOOKUP($A59,'ПР 01-02.21'!$A$11:$BB$406,43,FALSE)+VLOOKUP($A59,'ПР 21-22'!$A$11:$BB$406,43,FALSE)-VLOOKUP($A59,'ПР 01-02.22'!$A$11:$BB$378,43,FALSE)</f>
        <v>1369.6639710151376</v>
      </c>
      <c r="AR59" s="5">
        <f>VLOOKUP($A59,'ПР 01-02.21'!$A$11:$BB$406,44,FALSE)+VLOOKUP($A59,'ПР 21-22'!$A$11:$BB$406,44,FALSE)-VLOOKUP($A59,'ПР 01-02.22'!$A$11:$BB$378,44,FALSE)</f>
        <v>0</v>
      </c>
      <c r="AS59" s="40"/>
      <c r="AT59" s="5">
        <f>VLOOKUP($A59,'ПР 01-02.21'!$A$11:$BB$406,46,FALSE)+VLOOKUP($A59,'ПР 21-22'!$A$11:$BB$406,46,FALSE)-VLOOKUP($A59,'ПР 01-02.22'!$A$11:$BB$378,46,FALSE)</f>
        <v>1982.9274240343314</v>
      </c>
      <c r="AU59" s="5">
        <f>VLOOKUP($A59,'ПР 01-02.21'!$A$11:$BB$406,47,FALSE)+VLOOKUP($A59,'ПР 21-22'!$A$11:$BB$406,47,FALSE)-VLOOKUP($A59,'ПР 01-02.22'!$A$11:$BB$378,47,FALSE)</f>
        <v>0</v>
      </c>
      <c r="AV59" s="40"/>
      <c r="AW59" s="5">
        <f>VLOOKUP($A59,'ПР 01-02.21'!$A$11:$BB$406,49,FALSE)+VLOOKUP($A59,'ПР 21-22'!$A$11:$BB$406,49,FALSE)-VLOOKUP($A59,'ПР 01-02.22'!$A$11:$BB$378,49,FALSE)</f>
        <v>209.53637403879472</v>
      </c>
      <c r="AX59" s="5">
        <f>VLOOKUP($A59,'ПР 01-02.21'!$A$11:$BB$406,50,FALSE)+VLOOKUP($A59,'ПР 21-22'!$A$11:$BB$406,50,FALSE)-VLOOKUP($A59,'ПР 01-02.22'!$A$11:$BB$378,50,FALSE)</f>
        <v>0</v>
      </c>
      <c r="AY59" s="40"/>
      <c r="AZ59" s="40">
        <f t="shared" si="3"/>
        <v>12945.663807932075</v>
      </c>
      <c r="BA59" s="40">
        <f t="shared" si="3"/>
        <v>6.5</v>
      </c>
      <c r="BB59" s="55">
        <f t="shared" si="4"/>
        <v>-12939.163807932075</v>
      </c>
      <c r="BD59" s="2">
        <v>1</v>
      </c>
      <c r="BF59" s="325">
        <v>150000547</v>
      </c>
    </row>
    <row r="60" spans="1:58" ht="24.9" customHeight="1" x14ac:dyDescent="0.3">
      <c r="A60" s="325">
        <v>150000509</v>
      </c>
      <c r="B60" s="445" t="s">
        <v>53</v>
      </c>
      <c r="C60" s="27">
        <v>1</v>
      </c>
      <c r="D60" s="101" t="s">
        <v>455</v>
      </c>
      <c r="E60" s="279">
        <f>'побудинковий звіт'!E58</f>
        <v>249.8</v>
      </c>
      <c r="F60" s="441">
        <f>'побудинковий звіт'!AS58</f>
        <v>2483.4766693873071</v>
      </c>
      <c r="G60" s="441">
        <f t="shared" si="1"/>
        <v>0</v>
      </c>
      <c r="H60" s="73">
        <f t="shared" si="2"/>
        <v>-2483.4766693873071</v>
      </c>
      <c r="I60" s="5">
        <f>VLOOKUP($A60,'ПР 01-02.21'!$A$11:$BB$406,9,FALSE)+VLOOKUP($A60,'ПР 21-22'!$A$11:$BB$406,9,FALSE)-VLOOKUP($A60,'ПР 01-02.22'!$A$11:$BB$378,9,FALSE)</f>
        <v>0</v>
      </c>
      <c r="J60" s="5">
        <f>VLOOKUP($A60,'ПР 01-02.21'!$A$11:$BB$406,10,FALSE)+VLOOKUP($A60,'ПР 21-22'!$A$11:$BB$406,10,FALSE)-VLOOKUP($A60,'ПР 01-02.22'!$A$11:$BB$378,10,FALSE)</f>
        <v>0</v>
      </c>
      <c r="K60" s="446"/>
      <c r="L60" s="5">
        <f>VLOOKUP($A60,'ПР 01-02.21'!$A$11:$BB$406,12,FALSE)+VLOOKUP($A60,'ПР 21-22'!$A$11:$BB$406,12,FALSE)-VLOOKUP($A60,'ПР 01-02.22'!$A$11:$BB$378,12,FALSE)</f>
        <v>0</v>
      </c>
      <c r="M60" s="5">
        <f>VLOOKUP($A60,'ПР 01-02.21'!$A$11:$BB$406,13,FALSE)+VLOOKUP($A60,'ПР 21-22'!$A$11:$BB$406,13,FALSE)-VLOOKUP($A60,'ПР 01-02.22'!$A$11:$BB$378,13,FALSE)</f>
        <v>0</v>
      </c>
      <c r="N60" s="38"/>
      <c r="O60" s="5">
        <f>VLOOKUP($A60,'ПР 01-02.21'!$A$11:$BB$406,15,FALSE)+VLOOKUP($A60,'ПР 21-22'!$A$11:$BB$406,15,FALSE)-VLOOKUP($A60,'ПР 01-02.22'!$A$11:$BB$378,15,FALSE)</f>
        <v>0</v>
      </c>
      <c r="P60" s="5">
        <f>VLOOKUP($A60,'ПР 01-02.21'!$A$11:$BB$406,16,FALSE)+VLOOKUP($A60,'ПР 21-22'!$A$11:$BB$406,16,FALSE)-VLOOKUP($A60,'ПР 01-02.22'!$A$11:$BB$378,16,FALSE)</f>
        <v>0</v>
      </c>
      <c r="Q60" s="443"/>
      <c r="R60" s="5">
        <f>VLOOKUP($A60,'ПР 01-02.21'!$A$11:$BB$406,18,FALSE)+VLOOKUP($A60,'ПР 21-22'!$A$11:$BB$406,18,FALSE)-VLOOKUP($A60,'ПР 01-02.22'!$A$11:$BB$378,18,FALSE)</f>
        <v>0</v>
      </c>
      <c r="S60" s="5">
        <f>VLOOKUP($A60,'ПР 01-02.21'!$A$11:$BB$406,19,FALSE)+VLOOKUP($A60,'ПР 21-22'!$A$11:$BB$406,19,FALSE)-VLOOKUP($A60,'ПР 01-02.22'!$A$11:$BB$378,19,FALSE)</f>
        <v>0</v>
      </c>
      <c r="T60" s="444"/>
      <c r="U60" s="5">
        <f>VLOOKUP($A60,'ПР 01-02.21'!$A$11:$BB$406,21,FALSE)+VLOOKUP($A60,'ПР 21-22'!$A$11:$BB$406,21,FALSE)-VLOOKUP($A60,'ПР 01-02.22'!$A$11:$BB$378,21,FALSE)</f>
        <v>0</v>
      </c>
      <c r="V60" s="5"/>
      <c r="W60" s="5">
        <f>VLOOKUP($A60,'ПР 01-02.21'!$A$11:$BB$406,23,FALSE)+VLOOKUP($A60,'ПР 21-22'!$A$11:$BB$406,23,FALSE)-VLOOKUP($A60,'ПР 01-02.22'!$A$11:$BB$378,23,FALSE)</f>
        <v>0</v>
      </c>
      <c r="X60" s="5">
        <f>VLOOKUP($A60,'ПР 01-02.21'!$A$11:$BB$406,24,FALSE)+VLOOKUP($A60,'ПР 21-22'!$A$11:$BB$406,24,FALSE)-VLOOKUP($A60,'ПР 01-02.22'!$A$11:$BB$378,24,FALSE)</f>
        <v>0</v>
      </c>
      <c r="Y60" s="5">
        <f>VLOOKUP($A60,'ПР 01-02.21'!$A$11:$BB$406,25,FALSE)+VLOOKUP($A60,'ПР 21-22'!$A$11:$BB$406,25,FALSE)-VLOOKUP($A60,'ПР 01-02.22'!$A$11:$BB$378,25,FALSE)</f>
        <v>0</v>
      </c>
      <c r="Z60" s="5"/>
      <c r="AA60" s="5">
        <f>VLOOKUP($A60,'ПР 01-02.21'!$A$11:$BB$406,27,FALSE)+VLOOKUP($A60,'ПР 21-22'!$A$11:$BB$406,27,FALSE)-VLOOKUP($A60,'ПР 01-02.22'!$A$11:$BB$378,27,FALSE)</f>
        <v>0</v>
      </c>
      <c r="AB60" s="5">
        <f>VLOOKUP($A60,'ПР 01-02.21'!$A$11:$BB$406,28,FALSE)+VLOOKUP($A60,'ПР 21-22'!$A$11:$BB$406,28,FALSE)-VLOOKUP($A60,'ПР 01-02.22'!$A$11:$BB$378,28,FALSE)</f>
        <v>0</v>
      </c>
      <c r="AC60" s="5">
        <f>VLOOKUP($A60,'ПР 01-02.21'!$A$11:$BB$406,29,FALSE)+VLOOKUP($A60,'ПР 21-22'!$A$11:$BB$406,29,FALSE)-VLOOKUP($A60,'ПР 01-02.22'!$A$11:$BB$378,29,FALSE)</f>
        <v>0</v>
      </c>
      <c r="AD60" s="5">
        <f>VLOOKUP($A60,'ПР 01-02.21'!$A$11:$BB$406,30,FALSE)+VLOOKUP($A60,'ПР 21-22'!$A$11:$BB$406,30,FALSE)-VLOOKUP($A60,'ПР 01-02.22'!$A$11:$BB$378,30,FALSE)</f>
        <v>0</v>
      </c>
      <c r="AE60" s="5">
        <f>VLOOKUP($A60,'ПР 01-02.21'!$A$11:$BB$406,31,FALSE)+VLOOKUP($A60,'ПР 21-22'!$A$11:$BB$406,31,FALSE)-VLOOKUP($A60,'ПР 01-02.22'!$A$11:$BB$378,31,FALSE)</f>
        <v>0</v>
      </c>
      <c r="AF60" s="5">
        <f>VLOOKUP($A60,'ПР 01-02.21'!$A$11:$BB$406,32,FALSE)+VLOOKUP($A60,'ПР 21-22'!$A$11:$BB$406,32,FALSE)-VLOOKUP($A60,'ПР 01-02.22'!$A$11:$BB$378,32,FALSE)</f>
        <v>0</v>
      </c>
      <c r="AG60" s="40"/>
      <c r="AH60" s="5">
        <f>VLOOKUP($A60,'ПР 01-02.21'!$A$11:$BB$406,34,FALSE)+VLOOKUP($A60,'ПР 21-22'!$A$11:$BB$406,34,FALSE)-VLOOKUP($A60,'ПР 01-02.22'!$A$11:$BB$378,34,FALSE)</f>
        <v>0</v>
      </c>
      <c r="AI60" s="5">
        <f>VLOOKUP($A60,'ПР 01-02.21'!$A$11:$BB$406,35,FALSE)+VLOOKUP($A60,'ПР 21-22'!$A$11:$BB$406,35,FALSE)-VLOOKUP($A60,'ПР 01-02.22'!$A$11:$BB$378,35,FALSE)</f>
        <v>0</v>
      </c>
      <c r="AJ60" s="40"/>
      <c r="AK60" s="5">
        <f>VLOOKUP($A60,'ПР 01-02.21'!$A$11:$BB$406,37,FALSE)+VLOOKUP($A60,'ПР 21-22'!$A$11:$BB$406,37,FALSE)-VLOOKUP($A60,'ПР 01-02.22'!$A$11:$BB$378,37,FALSE)</f>
        <v>0</v>
      </c>
      <c r="AL60" s="5">
        <f>VLOOKUP($A60,'ПР 01-02.21'!$A$11:$BB$406,38,FALSE)+VLOOKUP($A60,'ПР 21-22'!$A$11:$BB$406,38,FALSE)-VLOOKUP($A60,'ПР 01-02.22'!$A$11:$BB$378,38,FALSE)</f>
        <v>0</v>
      </c>
      <c r="AM60" s="40"/>
      <c r="AN60" s="5">
        <f>VLOOKUP($A60,'ПР 01-02.21'!$A$11:$BB$406,40,FALSE)+VLOOKUP($A60,'ПР 21-22'!$A$11:$BB$406,40,FALSE)-VLOOKUP($A60,'ПР 01-02.22'!$A$11:$BB$378,40,FALSE)</f>
        <v>0</v>
      </c>
      <c r="AO60" s="5">
        <f>VLOOKUP($A60,'ПР 01-02.21'!$A$11:$BB$406,41,FALSE)+VLOOKUP($A60,'ПР 21-22'!$A$11:$BB$406,41,FALSE)-VLOOKUP($A60,'ПР 01-02.22'!$A$11:$BB$378,41,FALSE)</f>
        <v>0</v>
      </c>
      <c r="AP60" s="40"/>
      <c r="AQ60" s="5">
        <f>VLOOKUP($A60,'ПР 01-02.21'!$A$11:$BB$406,43,FALSE)+VLOOKUP($A60,'ПР 21-22'!$A$11:$BB$406,43,FALSE)-VLOOKUP($A60,'ПР 01-02.22'!$A$11:$BB$378,43,FALSE)</f>
        <v>0</v>
      </c>
      <c r="AR60" s="5">
        <f>VLOOKUP($A60,'ПР 01-02.21'!$A$11:$BB$406,44,FALSE)+VLOOKUP($A60,'ПР 21-22'!$A$11:$BB$406,44,FALSE)-VLOOKUP($A60,'ПР 01-02.22'!$A$11:$BB$378,44,FALSE)</f>
        <v>0</v>
      </c>
      <c r="AS60" s="40"/>
      <c r="AT60" s="5">
        <f>VLOOKUP($A60,'ПР 01-02.21'!$A$11:$BB$406,46,FALSE)+VLOOKUP($A60,'ПР 21-22'!$A$11:$BB$406,46,FALSE)-VLOOKUP($A60,'ПР 01-02.22'!$A$11:$BB$378,46,FALSE)</f>
        <v>0</v>
      </c>
      <c r="AU60" s="5">
        <f>VLOOKUP($A60,'ПР 01-02.21'!$A$11:$BB$406,47,FALSE)+VLOOKUP($A60,'ПР 21-22'!$A$11:$BB$406,47,FALSE)-VLOOKUP($A60,'ПР 01-02.22'!$A$11:$BB$378,47,FALSE)</f>
        <v>0</v>
      </c>
      <c r="AV60" s="40"/>
      <c r="AW60" s="5">
        <f>VLOOKUP($A60,'ПР 01-02.21'!$A$11:$BB$406,49,FALSE)+VLOOKUP($A60,'ПР 21-22'!$A$11:$BB$406,49,FALSE)-VLOOKUP($A60,'ПР 01-02.22'!$A$11:$BB$378,49,FALSE)</f>
        <v>11.992000000000001</v>
      </c>
      <c r="AX60" s="5">
        <f>VLOOKUP($A60,'ПР 01-02.21'!$A$11:$BB$406,50,FALSE)+VLOOKUP($A60,'ПР 21-22'!$A$11:$BB$406,50,FALSE)-VLOOKUP($A60,'ПР 01-02.22'!$A$11:$BB$378,50,FALSE)</f>
        <v>0</v>
      </c>
      <c r="AY60" s="40"/>
      <c r="AZ60" s="40">
        <f t="shared" si="3"/>
        <v>11.992000000000001</v>
      </c>
      <c r="BA60" s="40">
        <f t="shared" si="3"/>
        <v>0</v>
      </c>
      <c r="BB60" s="55">
        <f t="shared" si="4"/>
        <v>-11.992000000000001</v>
      </c>
      <c r="BD60" s="2">
        <v>2</v>
      </c>
      <c r="BF60" s="325">
        <v>150000509</v>
      </c>
    </row>
    <row r="61" spans="1:58" ht="24.9" customHeight="1" x14ac:dyDescent="0.3">
      <c r="A61" s="325">
        <v>150000510</v>
      </c>
      <c r="B61" s="445" t="s">
        <v>249</v>
      </c>
      <c r="C61" s="27">
        <v>5</v>
      </c>
      <c r="D61" s="101" t="s">
        <v>455</v>
      </c>
      <c r="E61" s="279">
        <f>'побудинковий звіт'!E59</f>
        <v>2889.06</v>
      </c>
      <c r="F61" s="441">
        <f>'побудинковий звіт'!AS59</f>
        <v>19612.72490927155</v>
      </c>
      <c r="G61" s="441">
        <f t="shared" si="1"/>
        <v>639.8539174344653</v>
      </c>
      <c r="H61" s="73">
        <f t="shared" si="2"/>
        <v>-18972.870991837084</v>
      </c>
      <c r="I61" s="5">
        <f>VLOOKUP($A61,'ПР 01-02.21'!$A$11:$BB$406,9,FALSE)+VLOOKUP($A61,'ПР 21-22'!$A$11:$BB$406,9,FALSE)-VLOOKUP($A61,'ПР 01-02.22'!$A$11:$BB$378,9,FALSE)</f>
        <v>0</v>
      </c>
      <c r="J61" s="5">
        <f>VLOOKUP($A61,'ПР 01-02.21'!$A$11:$BB$406,10,FALSE)+VLOOKUP($A61,'ПР 21-22'!$A$11:$BB$406,10,FALSE)-VLOOKUP($A61,'ПР 01-02.22'!$A$11:$BB$378,10,FALSE)</f>
        <v>0</v>
      </c>
      <c r="K61" s="446"/>
      <c r="L61" s="5">
        <f>VLOOKUP($A61,'ПР 01-02.21'!$A$11:$BB$406,12,FALSE)+VLOOKUP($A61,'ПР 21-22'!$A$11:$BB$406,12,FALSE)-VLOOKUP($A61,'ПР 01-02.22'!$A$11:$BB$378,12,FALSE)</f>
        <v>0</v>
      </c>
      <c r="M61" s="5">
        <f>VLOOKUP($A61,'ПР 01-02.21'!$A$11:$BB$406,13,FALSE)+VLOOKUP($A61,'ПР 21-22'!$A$11:$BB$406,13,FALSE)-VLOOKUP($A61,'ПР 01-02.22'!$A$11:$BB$378,13,FALSE)</f>
        <v>0</v>
      </c>
      <c r="N61" s="38"/>
      <c r="O61" s="5">
        <f>VLOOKUP($A61,'ПР 01-02.21'!$A$11:$BB$406,15,FALSE)+VLOOKUP($A61,'ПР 21-22'!$A$11:$BB$406,15,FALSE)-VLOOKUP($A61,'ПР 01-02.22'!$A$11:$BB$378,15,FALSE)</f>
        <v>0</v>
      </c>
      <c r="P61" s="5">
        <f>VLOOKUP($A61,'ПР 01-02.21'!$A$11:$BB$406,16,FALSE)+VLOOKUP($A61,'ПР 21-22'!$A$11:$BB$406,16,FALSE)-VLOOKUP($A61,'ПР 01-02.22'!$A$11:$BB$378,16,FALSE)</f>
        <v>0</v>
      </c>
      <c r="Q61" s="443"/>
      <c r="R61" s="5">
        <f>VLOOKUP($A61,'ПР 01-02.21'!$A$11:$BB$406,18,FALSE)+VLOOKUP($A61,'ПР 21-22'!$A$11:$BB$406,18,FALSE)-VLOOKUP($A61,'ПР 01-02.22'!$A$11:$BB$378,18,FALSE)</f>
        <v>0</v>
      </c>
      <c r="S61" s="5">
        <f>VLOOKUP($A61,'ПР 01-02.21'!$A$11:$BB$406,19,FALSE)+VLOOKUP($A61,'ПР 21-22'!$A$11:$BB$406,19,FALSE)-VLOOKUP($A61,'ПР 01-02.22'!$A$11:$BB$378,19,FALSE)</f>
        <v>0</v>
      </c>
      <c r="T61" s="444"/>
      <c r="U61" s="5">
        <f>VLOOKUP($A61,'ПР 01-02.21'!$A$11:$BB$406,21,FALSE)+VLOOKUP($A61,'ПР 21-22'!$A$11:$BB$406,21,FALSE)-VLOOKUP($A61,'ПР 01-02.22'!$A$11:$BB$378,21,FALSE)</f>
        <v>0</v>
      </c>
      <c r="V61" s="5"/>
      <c r="W61" s="5">
        <f>VLOOKUP($A61,'ПР 01-02.21'!$A$11:$BB$406,23,FALSE)+VLOOKUP($A61,'ПР 21-22'!$A$11:$BB$406,23,FALSE)-VLOOKUP($A61,'ПР 01-02.22'!$A$11:$BB$378,23,FALSE)</f>
        <v>0</v>
      </c>
      <c r="X61" s="5">
        <f>VLOOKUP($A61,'ПР 01-02.21'!$A$11:$BB$406,24,FALSE)+VLOOKUP($A61,'ПР 21-22'!$A$11:$BB$406,24,FALSE)-VLOOKUP($A61,'ПР 01-02.22'!$A$11:$BB$378,24,FALSE)</f>
        <v>186.85391743446525</v>
      </c>
      <c r="Y61" s="5">
        <f>VLOOKUP($A61,'ПР 01-02.21'!$A$11:$BB$406,25,FALSE)+VLOOKUP($A61,'ПР 21-22'!$A$11:$BB$406,25,FALSE)-VLOOKUP($A61,'ПР 01-02.22'!$A$11:$BB$378,25,FALSE)</f>
        <v>0</v>
      </c>
      <c r="Z61" s="5"/>
      <c r="AA61" s="5">
        <f>VLOOKUP($A61,'ПР 01-02.21'!$A$11:$BB$406,27,FALSE)+VLOOKUP($A61,'ПР 21-22'!$A$11:$BB$406,27,FALSE)-VLOOKUP($A61,'ПР 01-02.22'!$A$11:$BB$378,27,FALSE)</f>
        <v>0</v>
      </c>
      <c r="AB61" s="5">
        <f>VLOOKUP($A61,'ПР 01-02.21'!$A$11:$BB$406,28,FALSE)+VLOOKUP($A61,'ПР 21-22'!$A$11:$BB$406,28,FALSE)-VLOOKUP($A61,'ПР 01-02.22'!$A$11:$BB$378,28,FALSE)</f>
        <v>0</v>
      </c>
      <c r="AC61" s="5">
        <f>VLOOKUP($A61,'ПР 01-02.21'!$A$11:$BB$406,29,FALSE)+VLOOKUP($A61,'ПР 21-22'!$A$11:$BB$406,29,FALSE)-VLOOKUP($A61,'ПР 01-02.22'!$A$11:$BB$378,29,FALSE)</f>
        <v>0</v>
      </c>
      <c r="AD61" s="5">
        <f>VLOOKUP($A61,'ПР 01-02.21'!$A$11:$BB$406,30,FALSE)+VLOOKUP($A61,'ПР 21-22'!$A$11:$BB$406,30,FALSE)-VLOOKUP($A61,'ПР 01-02.22'!$A$11:$BB$378,30,FALSE)</f>
        <v>453</v>
      </c>
      <c r="AE61" s="5">
        <f>VLOOKUP($A61,'ПР 01-02.21'!$A$11:$BB$406,31,FALSE)+VLOOKUP($A61,'ПР 21-22'!$A$11:$BB$406,31,FALSE)-VLOOKUP($A61,'ПР 01-02.22'!$A$11:$BB$378,31,FALSE)</f>
        <v>1872.9077593957691</v>
      </c>
      <c r="AF61" s="5">
        <f>VLOOKUP($A61,'ПР 01-02.21'!$A$11:$BB$406,32,FALSE)+VLOOKUP($A61,'ПР 21-22'!$A$11:$BB$406,32,FALSE)-VLOOKUP($A61,'ПР 01-02.22'!$A$11:$BB$378,32,FALSE)</f>
        <v>1633</v>
      </c>
      <c r="AG61" s="40"/>
      <c r="AH61" s="5">
        <f>VLOOKUP($A61,'ПР 01-02.21'!$A$11:$BB$406,34,FALSE)+VLOOKUP($A61,'ПР 21-22'!$A$11:$BB$406,34,FALSE)-VLOOKUP($A61,'ПР 01-02.22'!$A$11:$BB$378,34,FALSE)</f>
        <v>2260.3932099858534</v>
      </c>
      <c r="AI61" s="5">
        <f>VLOOKUP($A61,'ПР 01-02.21'!$A$11:$BB$406,35,FALSE)+VLOOKUP($A61,'ПР 21-22'!$A$11:$BB$406,35,FALSE)-VLOOKUP($A61,'ПР 01-02.22'!$A$11:$BB$378,35,FALSE)</f>
        <v>1171</v>
      </c>
      <c r="AJ61" s="40"/>
      <c r="AK61" s="5">
        <f>VLOOKUP($A61,'ПР 01-02.21'!$A$11:$BB$406,37,FALSE)+VLOOKUP($A61,'ПР 21-22'!$A$11:$BB$406,37,FALSE)-VLOOKUP($A61,'ПР 01-02.22'!$A$11:$BB$378,37,FALSE)</f>
        <v>1726.9948582777474</v>
      </c>
      <c r="AL61" s="5">
        <f>VLOOKUP($A61,'ПР 01-02.21'!$A$11:$BB$406,38,FALSE)+VLOOKUP($A61,'ПР 21-22'!$A$11:$BB$406,38,FALSE)-VLOOKUP($A61,'ПР 01-02.22'!$A$11:$BB$378,38,FALSE)</f>
        <v>2194</v>
      </c>
      <c r="AM61" s="40"/>
      <c r="AN61" s="5">
        <f>VLOOKUP($A61,'ПР 01-02.21'!$A$11:$BB$406,40,FALSE)+VLOOKUP($A61,'ПР 21-22'!$A$11:$BB$406,40,FALSE)-VLOOKUP($A61,'ПР 01-02.22'!$A$11:$BB$378,40,FALSE)</f>
        <v>0</v>
      </c>
      <c r="AO61" s="5">
        <f>VLOOKUP($A61,'ПР 01-02.21'!$A$11:$BB$406,41,FALSE)+VLOOKUP($A61,'ПР 21-22'!$A$11:$BB$406,41,FALSE)-VLOOKUP($A61,'ПР 01-02.22'!$A$11:$BB$378,41,FALSE)</f>
        <v>0</v>
      </c>
      <c r="AP61" s="40"/>
      <c r="AQ61" s="5">
        <f>VLOOKUP($A61,'ПР 01-02.21'!$A$11:$BB$406,43,FALSE)+VLOOKUP($A61,'ПР 21-22'!$A$11:$BB$406,43,FALSE)-VLOOKUP($A61,'ПР 01-02.22'!$A$11:$BB$378,43,FALSE)</f>
        <v>0</v>
      </c>
      <c r="AR61" s="5">
        <f>VLOOKUP($A61,'ПР 01-02.21'!$A$11:$BB$406,44,FALSE)+VLOOKUP($A61,'ПР 21-22'!$A$11:$BB$406,44,FALSE)-VLOOKUP($A61,'ПР 01-02.22'!$A$11:$BB$378,44,FALSE)</f>
        <v>0</v>
      </c>
      <c r="AS61" s="40"/>
      <c r="AT61" s="5">
        <f>VLOOKUP($A61,'ПР 01-02.21'!$A$11:$BB$406,46,FALSE)+VLOOKUP($A61,'ПР 21-22'!$A$11:$BB$406,46,FALSE)-VLOOKUP($A61,'ПР 01-02.22'!$A$11:$BB$378,46,FALSE)</f>
        <v>1374.9410605741873</v>
      </c>
      <c r="AU61" s="5">
        <f>VLOOKUP($A61,'ПР 01-02.21'!$A$11:$BB$406,47,FALSE)+VLOOKUP($A61,'ПР 21-22'!$A$11:$BB$406,47,FALSE)-VLOOKUP($A61,'ПР 01-02.22'!$A$11:$BB$378,47,FALSE)</f>
        <v>87</v>
      </c>
      <c r="AV61" s="40"/>
      <c r="AW61" s="5">
        <f>VLOOKUP($A61,'ПР 01-02.21'!$A$11:$BB$406,49,FALSE)+VLOOKUP($A61,'ПР 21-22'!$A$11:$BB$406,49,FALSE)-VLOOKUP($A61,'ПР 01-02.22'!$A$11:$BB$378,49,FALSE)</f>
        <v>144.60399999999998</v>
      </c>
      <c r="AX61" s="5">
        <f>VLOOKUP($A61,'ПР 01-02.21'!$A$11:$BB$406,50,FALSE)+VLOOKUP($A61,'ПР 21-22'!$A$11:$BB$406,50,FALSE)-VLOOKUP($A61,'ПР 01-02.22'!$A$11:$BB$378,50,FALSE)</f>
        <v>0</v>
      </c>
      <c r="AY61" s="40"/>
      <c r="AZ61" s="40">
        <f t="shared" si="3"/>
        <v>7379.8408882335561</v>
      </c>
      <c r="BA61" s="40">
        <f t="shared" si="3"/>
        <v>5085</v>
      </c>
      <c r="BB61" s="55">
        <f t="shared" si="4"/>
        <v>-2294.8408882335561</v>
      </c>
      <c r="BD61" s="2">
        <v>2</v>
      </c>
      <c r="BF61" s="325">
        <v>150000510</v>
      </c>
    </row>
    <row r="62" spans="1:58" ht="24.9" customHeight="1" x14ac:dyDescent="0.3">
      <c r="A62" s="325">
        <v>150000511</v>
      </c>
      <c r="B62" s="445" t="s">
        <v>250</v>
      </c>
      <c r="C62" s="27">
        <v>5</v>
      </c>
      <c r="D62" s="101" t="s">
        <v>455</v>
      </c>
      <c r="E62" s="279">
        <f>'побудинковий звіт'!E60</f>
        <v>3219.5</v>
      </c>
      <c r="F62" s="441">
        <f>'побудинковий звіт'!AS60</f>
        <v>24801.886654336144</v>
      </c>
      <c r="G62" s="441">
        <f t="shared" si="1"/>
        <v>5634</v>
      </c>
      <c r="H62" s="73">
        <f t="shared" si="2"/>
        <v>-19167.886654336144</v>
      </c>
      <c r="I62" s="5">
        <f>VLOOKUP($A62,'ПР 01-02.21'!$A$11:$BB$406,9,FALSE)+VLOOKUP($A62,'ПР 21-22'!$A$11:$BB$406,9,FALSE)-VLOOKUP($A62,'ПР 01-02.22'!$A$11:$BB$378,9,FALSE)</f>
        <v>0</v>
      </c>
      <c r="J62" s="5">
        <f>VLOOKUP($A62,'ПР 01-02.21'!$A$11:$BB$406,10,FALSE)+VLOOKUP($A62,'ПР 21-22'!$A$11:$BB$406,10,FALSE)-VLOOKUP($A62,'ПР 01-02.22'!$A$11:$BB$378,10,FALSE)</f>
        <v>0</v>
      </c>
      <c r="K62" s="446"/>
      <c r="L62" s="5">
        <f>VLOOKUP($A62,'ПР 01-02.21'!$A$11:$BB$406,12,FALSE)+VLOOKUP($A62,'ПР 21-22'!$A$11:$BB$406,12,FALSE)-VLOOKUP($A62,'ПР 01-02.22'!$A$11:$BB$378,12,FALSE)</f>
        <v>0</v>
      </c>
      <c r="M62" s="5">
        <f>VLOOKUP($A62,'ПР 01-02.21'!$A$11:$BB$406,13,FALSE)+VLOOKUP($A62,'ПР 21-22'!$A$11:$BB$406,13,FALSE)-VLOOKUP($A62,'ПР 01-02.22'!$A$11:$BB$378,13,FALSE)</f>
        <v>0</v>
      </c>
      <c r="N62" s="38"/>
      <c r="O62" s="5">
        <f>VLOOKUP($A62,'ПР 01-02.21'!$A$11:$BB$406,15,FALSE)+VLOOKUP($A62,'ПР 21-22'!$A$11:$BB$406,15,FALSE)-VLOOKUP($A62,'ПР 01-02.22'!$A$11:$BB$378,15,FALSE)</f>
        <v>0</v>
      </c>
      <c r="P62" s="5">
        <f>VLOOKUP($A62,'ПР 01-02.21'!$A$11:$BB$406,16,FALSE)+VLOOKUP($A62,'ПР 21-22'!$A$11:$BB$406,16,FALSE)-VLOOKUP($A62,'ПР 01-02.22'!$A$11:$BB$378,16,FALSE)</f>
        <v>0</v>
      </c>
      <c r="Q62" s="443"/>
      <c r="R62" s="5">
        <f>VLOOKUP($A62,'ПР 01-02.21'!$A$11:$BB$406,18,FALSE)+VLOOKUP($A62,'ПР 21-22'!$A$11:$BB$406,18,FALSE)-VLOOKUP($A62,'ПР 01-02.22'!$A$11:$BB$378,18,FALSE)</f>
        <v>0</v>
      </c>
      <c r="S62" s="5">
        <f>VLOOKUP($A62,'ПР 01-02.21'!$A$11:$BB$406,19,FALSE)+VLOOKUP($A62,'ПР 21-22'!$A$11:$BB$406,19,FALSE)-VLOOKUP($A62,'ПР 01-02.22'!$A$11:$BB$378,19,FALSE)</f>
        <v>0</v>
      </c>
      <c r="T62" s="444"/>
      <c r="U62" s="5">
        <f>VLOOKUP($A62,'ПР 01-02.21'!$A$11:$BB$406,21,FALSE)+VLOOKUP($A62,'ПР 21-22'!$A$11:$BB$406,21,FALSE)-VLOOKUP($A62,'ПР 01-02.22'!$A$11:$BB$378,21,FALSE)</f>
        <v>0</v>
      </c>
      <c r="V62" s="5"/>
      <c r="W62" s="5">
        <f>VLOOKUP($A62,'ПР 01-02.21'!$A$11:$BB$406,23,FALSE)+VLOOKUP($A62,'ПР 21-22'!$A$11:$BB$406,23,FALSE)-VLOOKUP($A62,'ПР 01-02.22'!$A$11:$BB$378,23,FALSE)</f>
        <v>0</v>
      </c>
      <c r="X62" s="5">
        <f>VLOOKUP($A62,'ПР 01-02.21'!$A$11:$BB$406,24,FALSE)+VLOOKUP($A62,'ПР 21-22'!$A$11:$BB$406,24,FALSE)-VLOOKUP($A62,'ПР 01-02.22'!$A$11:$BB$378,24,FALSE)</f>
        <v>3986</v>
      </c>
      <c r="Y62" s="5">
        <f>VLOOKUP($A62,'ПР 01-02.21'!$A$11:$BB$406,25,FALSE)+VLOOKUP($A62,'ПР 21-22'!$A$11:$BB$406,25,FALSE)-VLOOKUP($A62,'ПР 01-02.22'!$A$11:$BB$378,25,FALSE)</f>
        <v>0</v>
      </c>
      <c r="Z62" s="5"/>
      <c r="AA62" s="5">
        <f>VLOOKUP($A62,'ПР 01-02.21'!$A$11:$BB$406,27,FALSE)+VLOOKUP($A62,'ПР 21-22'!$A$11:$BB$406,27,FALSE)-VLOOKUP($A62,'ПР 01-02.22'!$A$11:$BB$378,27,FALSE)</f>
        <v>0</v>
      </c>
      <c r="AB62" s="5">
        <f>VLOOKUP($A62,'ПР 01-02.21'!$A$11:$BB$406,28,FALSE)+VLOOKUP($A62,'ПР 21-22'!$A$11:$BB$406,28,FALSE)-VLOOKUP($A62,'ПР 01-02.22'!$A$11:$BB$378,28,FALSE)</f>
        <v>0</v>
      </c>
      <c r="AC62" s="5">
        <f>VLOOKUP($A62,'ПР 01-02.21'!$A$11:$BB$406,29,FALSE)+VLOOKUP($A62,'ПР 21-22'!$A$11:$BB$406,29,FALSE)-VLOOKUP($A62,'ПР 01-02.22'!$A$11:$BB$378,29,FALSE)</f>
        <v>0</v>
      </c>
      <c r="AD62" s="5">
        <f>VLOOKUP($A62,'ПР 01-02.21'!$A$11:$BB$406,30,FALSE)+VLOOKUP($A62,'ПР 21-22'!$A$11:$BB$406,30,FALSE)-VLOOKUP($A62,'ПР 01-02.22'!$A$11:$BB$378,30,FALSE)</f>
        <v>1648</v>
      </c>
      <c r="AE62" s="5">
        <f>VLOOKUP($A62,'ПР 01-02.21'!$A$11:$BB$406,31,FALSE)+VLOOKUP($A62,'ПР 21-22'!$A$11:$BB$406,31,FALSE)-VLOOKUP($A62,'ПР 01-02.22'!$A$11:$BB$378,31,FALSE)</f>
        <v>2984.5934734562898</v>
      </c>
      <c r="AF62" s="5">
        <f>VLOOKUP($A62,'ПР 01-02.21'!$A$11:$BB$406,32,FALSE)+VLOOKUP($A62,'ПР 21-22'!$A$11:$BB$406,32,FALSE)-VLOOKUP($A62,'ПР 01-02.22'!$A$11:$BB$378,32,FALSE)</f>
        <v>0</v>
      </c>
      <c r="AG62" s="40"/>
      <c r="AH62" s="5">
        <f>VLOOKUP($A62,'ПР 01-02.21'!$A$11:$BB$406,34,FALSE)+VLOOKUP($A62,'ПР 21-22'!$A$11:$BB$406,34,FALSE)-VLOOKUP($A62,'ПР 01-02.22'!$A$11:$BB$378,34,FALSE)</f>
        <v>4172.0444425336236</v>
      </c>
      <c r="AI62" s="5">
        <f>VLOOKUP($A62,'ПР 01-02.21'!$A$11:$BB$406,35,FALSE)+VLOOKUP($A62,'ПР 21-22'!$A$11:$BB$406,35,FALSE)-VLOOKUP($A62,'ПР 01-02.22'!$A$11:$BB$378,35,FALSE)</f>
        <v>0</v>
      </c>
      <c r="AJ62" s="40"/>
      <c r="AK62" s="5">
        <f>VLOOKUP($A62,'ПР 01-02.21'!$A$11:$BB$406,37,FALSE)+VLOOKUP($A62,'ПР 21-22'!$A$11:$BB$406,37,FALSE)-VLOOKUP($A62,'ПР 01-02.22'!$A$11:$BB$378,37,FALSE)</f>
        <v>1860.2585673984495</v>
      </c>
      <c r="AL62" s="5">
        <f>VLOOKUP($A62,'ПР 01-02.21'!$A$11:$BB$406,38,FALSE)+VLOOKUP($A62,'ПР 21-22'!$A$11:$BB$406,38,FALSE)-VLOOKUP($A62,'ПР 01-02.22'!$A$11:$BB$378,38,FALSE)</f>
        <v>1314</v>
      </c>
      <c r="AM62" s="40"/>
      <c r="AN62" s="5">
        <f>VLOOKUP($A62,'ПР 01-02.21'!$A$11:$BB$406,40,FALSE)+VLOOKUP($A62,'ПР 21-22'!$A$11:$BB$406,40,FALSE)-VLOOKUP($A62,'ПР 01-02.22'!$A$11:$BB$378,40,FALSE)</f>
        <v>0</v>
      </c>
      <c r="AO62" s="5">
        <f>VLOOKUP($A62,'ПР 01-02.21'!$A$11:$BB$406,41,FALSE)+VLOOKUP($A62,'ПР 21-22'!$A$11:$BB$406,41,FALSE)-VLOOKUP($A62,'ПР 01-02.22'!$A$11:$BB$378,41,FALSE)</f>
        <v>0</v>
      </c>
      <c r="AP62" s="40"/>
      <c r="AQ62" s="5">
        <f>VLOOKUP($A62,'ПР 01-02.21'!$A$11:$BB$406,43,FALSE)+VLOOKUP($A62,'ПР 21-22'!$A$11:$BB$406,43,FALSE)-VLOOKUP($A62,'ПР 01-02.22'!$A$11:$BB$378,43,FALSE)</f>
        <v>0</v>
      </c>
      <c r="AR62" s="5">
        <f>VLOOKUP($A62,'ПР 01-02.21'!$A$11:$BB$406,44,FALSE)+VLOOKUP($A62,'ПР 21-22'!$A$11:$BB$406,44,FALSE)-VLOOKUP($A62,'ПР 01-02.22'!$A$11:$BB$378,44,FALSE)</f>
        <v>0</v>
      </c>
      <c r="AS62" s="40"/>
      <c r="AT62" s="5">
        <f>VLOOKUP($A62,'ПР 01-02.21'!$A$11:$BB$406,46,FALSE)+VLOOKUP($A62,'ПР 21-22'!$A$11:$BB$406,46,FALSE)-VLOOKUP($A62,'ПР 01-02.22'!$A$11:$BB$378,46,FALSE)</f>
        <v>2024.6794584706233</v>
      </c>
      <c r="AU62" s="5">
        <f>VLOOKUP($A62,'ПР 01-02.21'!$A$11:$BB$406,47,FALSE)+VLOOKUP($A62,'ПР 21-22'!$A$11:$BB$406,47,FALSE)-VLOOKUP($A62,'ПР 01-02.22'!$A$11:$BB$378,47,FALSE)</f>
        <v>0</v>
      </c>
      <c r="AV62" s="40"/>
      <c r="AW62" s="5">
        <f>VLOOKUP($A62,'ПР 01-02.21'!$A$11:$BB$406,49,FALSE)+VLOOKUP($A62,'ПР 21-22'!$A$11:$BB$406,49,FALSE)-VLOOKUP($A62,'ПР 01-02.22'!$A$11:$BB$378,49,FALSE)</f>
        <v>160.78</v>
      </c>
      <c r="AX62" s="5">
        <f>VLOOKUP($A62,'ПР 01-02.21'!$A$11:$BB$406,50,FALSE)+VLOOKUP($A62,'ПР 21-22'!$A$11:$BB$406,50,FALSE)-VLOOKUP($A62,'ПР 01-02.22'!$A$11:$BB$378,50,FALSE)</f>
        <v>0</v>
      </c>
      <c r="AY62" s="40"/>
      <c r="AZ62" s="40">
        <f t="shared" si="3"/>
        <v>11202.355941858987</v>
      </c>
      <c r="BA62" s="40">
        <f t="shared" si="3"/>
        <v>1314</v>
      </c>
      <c r="BB62" s="55">
        <f t="shared" si="4"/>
        <v>-9888.3559418589866</v>
      </c>
      <c r="BD62" s="2">
        <v>2</v>
      </c>
      <c r="BF62" s="325">
        <v>150000511</v>
      </c>
    </row>
    <row r="63" spans="1:58" ht="24.9" customHeight="1" x14ac:dyDescent="0.3">
      <c r="A63" s="325">
        <v>150000512</v>
      </c>
      <c r="B63" s="445" t="s">
        <v>251</v>
      </c>
      <c r="C63" s="27">
        <v>5</v>
      </c>
      <c r="D63" s="101" t="s">
        <v>455</v>
      </c>
      <c r="E63" s="279">
        <f>'побудинковий звіт'!E61</f>
        <v>1871.6999999999998</v>
      </c>
      <c r="F63" s="441">
        <f>'побудинковий звіт'!AS61</f>
        <v>15182.70810348391</v>
      </c>
      <c r="G63" s="441">
        <f t="shared" si="1"/>
        <v>2802</v>
      </c>
      <c r="H63" s="73">
        <f t="shared" si="2"/>
        <v>-12380.70810348391</v>
      </c>
      <c r="I63" s="5">
        <f>VLOOKUP($A63,'ПР 01-02.21'!$A$11:$BB$406,9,FALSE)+VLOOKUP($A63,'ПР 21-22'!$A$11:$BB$406,9,FALSE)-VLOOKUP($A63,'ПР 01-02.22'!$A$11:$BB$378,9,FALSE)</f>
        <v>0</v>
      </c>
      <c r="J63" s="5">
        <f>VLOOKUP($A63,'ПР 01-02.21'!$A$11:$BB$406,10,FALSE)+VLOOKUP($A63,'ПР 21-22'!$A$11:$BB$406,10,FALSE)-VLOOKUP($A63,'ПР 01-02.22'!$A$11:$BB$378,10,FALSE)</f>
        <v>0</v>
      </c>
      <c r="K63" s="446"/>
      <c r="L63" s="5">
        <f>VLOOKUP($A63,'ПР 01-02.21'!$A$11:$BB$406,12,FALSE)+VLOOKUP($A63,'ПР 21-22'!$A$11:$BB$406,12,FALSE)-VLOOKUP($A63,'ПР 01-02.22'!$A$11:$BB$378,12,FALSE)</f>
        <v>0</v>
      </c>
      <c r="M63" s="5">
        <f>VLOOKUP($A63,'ПР 01-02.21'!$A$11:$BB$406,13,FALSE)+VLOOKUP($A63,'ПР 21-22'!$A$11:$BB$406,13,FALSE)-VLOOKUP($A63,'ПР 01-02.22'!$A$11:$BB$378,13,FALSE)</f>
        <v>0</v>
      </c>
      <c r="N63" s="38"/>
      <c r="O63" s="5">
        <f>VLOOKUP($A63,'ПР 01-02.21'!$A$11:$BB$406,15,FALSE)+VLOOKUP($A63,'ПР 21-22'!$A$11:$BB$406,15,FALSE)-VLOOKUP($A63,'ПР 01-02.22'!$A$11:$BB$378,15,FALSE)</f>
        <v>0</v>
      </c>
      <c r="P63" s="5">
        <f>VLOOKUP($A63,'ПР 01-02.21'!$A$11:$BB$406,16,FALSE)+VLOOKUP($A63,'ПР 21-22'!$A$11:$BB$406,16,FALSE)-VLOOKUP($A63,'ПР 01-02.22'!$A$11:$BB$378,16,FALSE)</f>
        <v>0</v>
      </c>
      <c r="Q63" s="443"/>
      <c r="R63" s="5">
        <f>VLOOKUP($A63,'ПР 01-02.21'!$A$11:$BB$406,18,FALSE)+VLOOKUP($A63,'ПР 21-22'!$A$11:$BB$406,18,FALSE)-VLOOKUP($A63,'ПР 01-02.22'!$A$11:$BB$378,18,FALSE)</f>
        <v>0</v>
      </c>
      <c r="S63" s="5">
        <f>VLOOKUP($A63,'ПР 01-02.21'!$A$11:$BB$406,19,FALSE)+VLOOKUP($A63,'ПР 21-22'!$A$11:$BB$406,19,FALSE)-VLOOKUP($A63,'ПР 01-02.22'!$A$11:$BB$378,19,FALSE)</f>
        <v>0</v>
      </c>
      <c r="T63" s="444"/>
      <c r="U63" s="5">
        <f>VLOOKUP($A63,'ПР 01-02.21'!$A$11:$BB$406,21,FALSE)+VLOOKUP($A63,'ПР 21-22'!$A$11:$BB$406,21,FALSE)-VLOOKUP($A63,'ПР 01-02.22'!$A$11:$BB$378,21,FALSE)</f>
        <v>0</v>
      </c>
      <c r="V63" s="5"/>
      <c r="W63" s="5">
        <f>VLOOKUP($A63,'ПР 01-02.21'!$A$11:$BB$406,23,FALSE)+VLOOKUP($A63,'ПР 21-22'!$A$11:$BB$406,23,FALSE)-VLOOKUP($A63,'ПР 01-02.22'!$A$11:$BB$378,23,FALSE)</f>
        <v>0</v>
      </c>
      <c r="X63" s="5">
        <f>VLOOKUP($A63,'ПР 01-02.21'!$A$11:$BB$406,24,FALSE)+VLOOKUP($A63,'ПР 21-22'!$A$11:$BB$406,24,FALSE)-VLOOKUP($A63,'ПР 01-02.22'!$A$11:$BB$378,24,FALSE)</f>
        <v>2500</v>
      </c>
      <c r="Y63" s="5">
        <f>VLOOKUP($A63,'ПР 01-02.21'!$A$11:$BB$406,25,FALSE)+VLOOKUP($A63,'ПР 21-22'!$A$11:$BB$406,25,FALSE)-VLOOKUP($A63,'ПР 01-02.22'!$A$11:$BB$378,25,FALSE)</f>
        <v>0</v>
      </c>
      <c r="Z63" s="5"/>
      <c r="AA63" s="5">
        <f>VLOOKUP($A63,'ПР 01-02.21'!$A$11:$BB$406,27,FALSE)+VLOOKUP($A63,'ПР 21-22'!$A$11:$BB$406,27,FALSE)-VLOOKUP($A63,'ПР 01-02.22'!$A$11:$BB$378,27,FALSE)</f>
        <v>0</v>
      </c>
      <c r="AB63" s="5">
        <f>VLOOKUP($A63,'ПР 01-02.21'!$A$11:$BB$406,28,FALSE)+VLOOKUP($A63,'ПР 21-22'!$A$11:$BB$406,28,FALSE)-VLOOKUP($A63,'ПР 01-02.22'!$A$11:$BB$378,28,FALSE)</f>
        <v>0</v>
      </c>
      <c r="AC63" s="5">
        <f>VLOOKUP($A63,'ПР 01-02.21'!$A$11:$BB$406,29,FALSE)+VLOOKUP($A63,'ПР 21-22'!$A$11:$BB$406,29,FALSE)-VLOOKUP($A63,'ПР 01-02.22'!$A$11:$BB$378,29,FALSE)</f>
        <v>0</v>
      </c>
      <c r="AD63" s="5">
        <f>VLOOKUP($A63,'ПР 01-02.21'!$A$11:$BB$406,30,FALSE)+VLOOKUP($A63,'ПР 21-22'!$A$11:$BB$406,30,FALSE)-VLOOKUP($A63,'ПР 01-02.22'!$A$11:$BB$378,30,FALSE)</f>
        <v>302</v>
      </c>
      <c r="AE63" s="5">
        <f>VLOOKUP($A63,'ПР 01-02.21'!$A$11:$BB$406,31,FALSE)+VLOOKUP($A63,'ПР 21-22'!$A$11:$BB$406,31,FALSE)-VLOOKUP($A63,'ПР 01-02.22'!$A$11:$BB$378,31,FALSE)</f>
        <v>1307.7426520403253</v>
      </c>
      <c r="AF63" s="5">
        <f>VLOOKUP($A63,'ПР 01-02.21'!$A$11:$BB$406,32,FALSE)+VLOOKUP($A63,'ПР 21-22'!$A$11:$BB$406,32,FALSE)-VLOOKUP($A63,'ПР 01-02.22'!$A$11:$BB$378,32,FALSE)</f>
        <v>0</v>
      </c>
      <c r="AG63" s="40"/>
      <c r="AH63" s="5">
        <f>VLOOKUP($A63,'ПР 01-02.21'!$A$11:$BB$406,34,FALSE)+VLOOKUP($A63,'ПР 21-22'!$A$11:$BB$406,34,FALSE)-VLOOKUP($A63,'ПР 01-02.22'!$A$11:$BB$378,34,FALSE)</f>
        <v>2135.7597473957799</v>
      </c>
      <c r="AI63" s="5">
        <f>VLOOKUP($A63,'ПР 01-02.21'!$A$11:$BB$406,35,FALSE)+VLOOKUP($A63,'ПР 21-22'!$A$11:$BB$406,35,FALSE)-VLOOKUP($A63,'ПР 01-02.22'!$A$11:$BB$378,35,FALSE)</f>
        <v>0</v>
      </c>
      <c r="AJ63" s="40"/>
      <c r="AK63" s="5">
        <f>VLOOKUP($A63,'ПР 01-02.21'!$A$11:$BB$406,37,FALSE)+VLOOKUP($A63,'ПР 21-22'!$A$11:$BB$406,37,FALSE)-VLOOKUP($A63,'ПР 01-02.22'!$A$11:$BB$378,37,FALSE)</f>
        <v>1132.7698368889414</v>
      </c>
      <c r="AL63" s="5">
        <f>VLOOKUP($A63,'ПР 01-02.21'!$A$11:$BB$406,38,FALSE)+VLOOKUP($A63,'ПР 21-22'!$A$11:$BB$406,38,FALSE)-VLOOKUP($A63,'ПР 01-02.22'!$A$11:$BB$378,38,FALSE)</f>
        <v>0</v>
      </c>
      <c r="AM63" s="40"/>
      <c r="AN63" s="5">
        <f>VLOOKUP($A63,'ПР 01-02.21'!$A$11:$BB$406,40,FALSE)+VLOOKUP($A63,'ПР 21-22'!$A$11:$BB$406,40,FALSE)-VLOOKUP($A63,'ПР 01-02.22'!$A$11:$BB$378,40,FALSE)</f>
        <v>0</v>
      </c>
      <c r="AO63" s="5">
        <f>VLOOKUP($A63,'ПР 01-02.21'!$A$11:$BB$406,41,FALSE)+VLOOKUP($A63,'ПР 21-22'!$A$11:$BB$406,41,FALSE)-VLOOKUP($A63,'ПР 01-02.22'!$A$11:$BB$378,41,FALSE)</f>
        <v>0</v>
      </c>
      <c r="AP63" s="40"/>
      <c r="AQ63" s="5">
        <f>VLOOKUP($A63,'ПР 01-02.21'!$A$11:$BB$406,43,FALSE)+VLOOKUP($A63,'ПР 21-22'!$A$11:$BB$406,43,FALSE)-VLOOKUP($A63,'ПР 01-02.22'!$A$11:$BB$378,43,FALSE)</f>
        <v>0</v>
      </c>
      <c r="AR63" s="5">
        <f>VLOOKUP($A63,'ПР 01-02.21'!$A$11:$BB$406,44,FALSE)+VLOOKUP($A63,'ПР 21-22'!$A$11:$BB$406,44,FALSE)-VLOOKUP($A63,'ПР 01-02.22'!$A$11:$BB$378,44,FALSE)</f>
        <v>0</v>
      </c>
      <c r="AS63" s="40"/>
      <c r="AT63" s="5">
        <f>VLOOKUP($A63,'ПР 01-02.21'!$A$11:$BB$406,46,FALSE)+VLOOKUP($A63,'ПР 21-22'!$A$11:$BB$406,46,FALSE)-VLOOKUP($A63,'ПР 01-02.22'!$A$11:$BB$378,46,FALSE)</f>
        <v>721.30116171345526</v>
      </c>
      <c r="AU63" s="5">
        <f>VLOOKUP($A63,'ПР 01-02.21'!$A$11:$BB$406,47,FALSE)+VLOOKUP($A63,'ПР 21-22'!$A$11:$BB$406,47,FALSE)-VLOOKUP($A63,'ПР 01-02.22'!$A$11:$BB$378,47,FALSE)</f>
        <v>1454</v>
      </c>
      <c r="AV63" s="40"/>
      <c r="AW63" s="5">
        <f>VLOOKUP($A63,'ПР 01-02.21'!$A$11:$BB$406,49,FALSE)+VLOOKUP($A63,'ПР 21-22'!$A$11:$BB$406,49,FALSE)-VLOOKUP($A63,'ПР 01-02.22'!$A$11:$BB$378,49,FALSE)</f>
        <v>91.132000000000005</v>
      </c>
      <c r="AX63" s="5">
        <f>VLOOKUP($A63,'ПР 01-02.21'!$A$11:$BB$406,50,FALSE)+VLOOKUP($A63,'ПР 21-22'!$A$11:$BB$406,50,FALSE)-VLOOKUP($A63,'ПР 01-02.22'!$A$11:$BB$378,50,FALSE)</f>
        <v>0</v>
      </c>
      <c r="AY63" s="40"/>
      <c r="AZ63" s="40">
        <f t="shared" si="3"/>
        <v>5388.7053980385017</v>
      </c>
      <c r="BA63" s="40">
        <f t="shared" si="3"/>
        <v>1454</v>
      </c>
      <c r="BB63" s="55">
        <f t="shared" si="4"/>
        <v>-3934.7053980385017</v>
      </c>
      <c r="BD63" s="2">
        <v>2</v>
      </c>
      <c r="BF63" s="325">
        <v>150000512</v>
      </c>
    </row>
    <row r="64" spans="1:58" ht="24.9" customHeight="1" x14ac:dyDescent="0.3">
      <c r="A64" s="325">
        <v>150000513</v>
      </c>
      <c r="B64" s="445" t="s">
        <v>334</v>
      </c>
      <c r="C64" s="27">
        <v>6</v>
      </c>
      <c r="D64" s="101" t="s">
        <v>455</v>
      </c>
      <c r="E64" s="279">
        <f>'побудинковий звіт'!E62</f>
        <v>3630</v>
      </c>
      <c r="F64" s="441">
        <f>'побудинковий звіт'!AS62</f>
        <v>37460.797060324294</v>
      </c>
      <c r="G64" s="441">
        <f t="shared" si="1"/>
        <v>302</v>
      </c>
      <c r="H64" s="73">
        <f t="shared" si="2"/>
        <v>-37158.797060324294</v>
      </c>
      <c r="I64" s="5">
        <f>VLOOKUP($A64,'ПР 01-02.21'!$A$11:$BB$406,9,FALSE)+VLOOKUP($A64,'ПР 21-22'!$A$11:$BB$406,9,FALSE)-VLOOKUP($A64,'ПР 01-02.22'!$A$11:$BB$378,9,FALSE)</f>
        <v>0</v>
      </c>
      <c r="J64" s="5">
        <f>VLOOKUP($A64,'ПР 01-02.21'!$A$11:$BB$406,10,FALSE)+VLOOKUP($A64,'ПР 21-22'!$A$11:$BB$406,10,FALSE)-VLOOKUP($A64,'ПР 01-02.22'!$A$11:$BB$378,10,FALSE)</f>
        <v>0</v>
      </c>
      <c r="K64" s="446"/>
      <c r="L64" s="5">
        <f>VLOOKUP($A64,'ПР 01-02.21'!$A$11:$BB$406,12,FALSE)+VLOOKUP($A64,'ПР 21-22'!$A$11:$BB$406,12,FALSE)-VLOOKUP($A64,'ПР 01-02.22'!$A$11:$BB$378,12,FALSE)</f>
        <v>0</v>
      </c>
      <c r="M64" s="5">
        <f>VLOOKUP($A64,'ПР 01-02.21'!$A$11:$BB$406,13,FALSE)+VLOOKUP($A64,'ПР 21-22'!$A$11:$BB$406,13,FALSE)-VLOOKUP($A64,'ПР 01-02.22'!$A$11:$BB$378,13,FALSE)</f>
        <v>0</v>
      </c>
      <c r="N64" s="38"/>
      <c r="O64" s="5">
        <f>VLOOKUP($A64,'ПР 01-02.21'!$A$11:$BB$406,15,FALSE)+VLOOKUP($A64,'ПР 21-22'!$A$11:$BB$406,15,FALSE)-VLOOKUP($A64,'ПР 01-02.22'!$A$11:$BB$378,15,FALSE)</f>
        <v>0</v>
      </c>
      <c r="P64" s="5">
        <f>VLOOKUP($A64,'ПР 01-02.21'!$A$11:$BB$406,16,FALSE)+VLOOKUP($A64,'ПР 21-22'!$A$11:$BB$406,16,FALSE)-VLOOKUP($A64,'ПР 01-02.22'!$A$11:$BB$378,16,FALSE)</f>
        <v>0</v>
      </c>
      <c r="Q64" s="443"/>
      <c r="R64" s="5">
        <f>VLOOKUP($A64,'ПР 01-02.21'!$A$11:$BB$406,18,FALSE)+VLOOKUP($A64,'ПР 21-22'!$A$11:$BB$406,18,FALSE)-VLOOKUP($A64,'ПР 01-02.22'!$A$11:$BB$378,18,FALSE)</f>
        <v>0</v>
      </c>
      <c r="S64" s="5">
        <f>VLOOKUP($A64,'ПР 01-02.21'!$A$11:$BB$406,19,FALSE)+VLOOKUP($A64,'ПР 21-22'!$A$11:$BB$406,19,FALSE)-VLOOKUP($A64,'ПР 01-02.22'!$A$11:$BB$378,19,FALSE)</f>
        <v>0</v>
      </c>
      <c r="T64" s="444"/>
      <c r="U64" s="5">
        <f>VLOOKUP($A64,'ПР 01-02.21'!$A$11:$BB$406,21,FALSE)+VLOOKUP($A64,'ПР 21-22'!$A$11:$BB$406,21,FALSE)-VLOOKUP($A64,'ПР 01-02.22'!$A$11:$BB$378,21,FALSE)</f>
        <v>0</v>
      </c>
      <c r="V64" s="5"/>
      <c r="W64" s="5">
        <f>VLOOKUP($A64,'ПР 01-02.21'!$A$11:$BB$406,23,FALSE)+VLOOKUP($A64,'ПР 21-22'!$A$11:$BB$406,23,FALSE)-VLOOKUP($A64,'ПР 01-02.22'!$A$11:$BB$378,23,FALSE)</f>
        <v>0</v>
      </c>
      <c r="X64" s="5">
        <f>VLOOKUP($A64,'ПР 01-02.21'!$A$11:$BB$406,24,FALSE)+VLOOKUP($A64,'ПР 21-22'!$A$11:$BB$406,24,FALSE)-VLOOKUP($A64,'ПР 01-02.22'!$A$11:$BB$378,24,FALSE)</f>
        <v>0</v>
      </c>
      <c r="Y64" s="5">
        <f>VLOOKUP($A64,'ПР 01-02.21'!$A$11:$BB$406,25,FALSE)+VLOOKUP($A64,'ПР 21-22'!$A$11:$BB$406,25,FALSE)-VLOOKUP($A64,'ПР 01-02.22'!$A$11:$BB$378,25,FALSE)</f>
        <v>0</v>
      </c>
      <c r="Z64" s="5"/>
      <c r="AA64" s="5">
        <f>VLOOKUP($A64,'ПР 01-02.21'!$A$11:$BB$406,27,FALSE)+VLOOKUP($A64,'ПР 21-22'!$A$11:$BB$406,27,FALSE)-VLOOKUP($A64,'ПР 01-02.22'!$A$11:$BB$378,27,FALSE)</f>
        <v>0</v>
      </c>
      <c r="AB64" s="5">
        <f>VLOOKUP($A64,'ПР 01-02.21'!$A$11:$BB$406,28,FALSE)+VLOOKUP($A64,'ПР 21-22'!$A$11:$BB$406,28,FALSE)-VLOOKUP($A64,'ПР 01-02.22'!$A$11:$BB$378,28,FALSE)</f>
        <v>0</v>
      </c>
      <c r="AC64" s="5">
        <f>VLOOKUP($A64,'ПР 01-02.21'!$A$11:$BB$406,29,FALSE)+VLOOKUP($A64,'ПР 21-22'!$A$11:$BB$406,29,FALSE)-VLOOKUP($A64,'ПР 01-02.22'!$A$11:$BB$378,29,FALSE)</f>
        <v>0</v>
      </c>
      <c r="AD64" s="5">
        <f>VLOOKUP($A64,'ПР 01-02.21'!$A$11:$BB$406,30,FALSE)+VLOOKUP($A64,'ПР 21-22'!$A$11:$BB$406,30,FALSE)-VLOOKUP($A64,'ПР 01-02.22'!$A$11:$BB$378,30,FALSE)</f>
        <v>302</v>
      </c>
      <c r="AE64" s="5">
        <f>VLOOKUP($A64,'ПР 01-02.21'!$A$11:$BB$406,31,FALSE)+VLOOKUP($A64,'ПР 21-22'!$A$11:$BB$406,31,FALSE)-VLOOKUP($A64,'ПР 01-02.22'!$A$11:$BB$378,31,FALSE)</f>
        <v>2405.9074726452463</v>
      </c>
      <c r="AF64" s="5">
        <f>VLOOKUP($A64,'ПР 01-02.21'!$A$11:$BB$406,32,FALSE)+VLOOKUP($A64,'ПР 21-22'!$A$11:$BB$406,32,FALSE)-VLOOKUP($A64,'ПР 01-02.22'!$A$11:$BB$378,32,FALSE)</f>
        <v>59</v>
      </c>
      <c r="AG64" s="40"/>
      <c r="AH64" s="5">
        <f>VLOOKUP($A64,'ПР 01-02.21'!$A$11:$BB$406,34,FALSE)+VLOOKUP($A64,'ПР 21-22'!$A$11:$BB$406,34,FALSE)-VLOOKUP($A64,'ПР 01-02.22'!$A$11:$BB$378,34,FALSE)</f>
        <v>2954.7849306555559</v>
      </c>
      <c r="AI64" s="5">
        <f>VLOOKUP($A64,'ПР 01-02.21'!$A$11:$BB$406,35,FALSE)+VLOOKUP($A64,'ПР 21-22'!$A$11:$BB$406,35,FALSE)-VLOOKUP($A64,'ПР 01-02.22'!$A$11:$BB$378,35,FALSE)</f>
        <v>33</v>
      </c>
      <c r="AJ64" s="40"/>
      <c r="AK64" s="5">
        <f>VLOOKUP($A64,'ПР 01-02.21'!$A$11:$BB$406,37,FALSE)+VLOOKUP($A64,'ПР 21-22'!$A$11:$BB$406,37,FALSE)-VLOOKUP($A64,'ПР 01-02.22'!$A$11:$BB$378,37,FALSE)</f>
        <v>2183.8061466524973</v>
      </c>
      <c r="AL64" s="5">
        <f>VLOOKUP($A64,'ПР 01-02.21'!$A$11:$BB$406,38,FALSE)+VLOOKUP($A64,'ПР 21-22'!$A$11:$BB$406,38,FALSE)-VLOOKUP($A64,'ПР 01-02.22'!$A$11:$BB$378,38,FALSE)</f>
        <v>0</v>
      </c>
      <c r="AM64" s="40"/>
      <c r="AN64" s="5">
        <f>VLOOKUP($A64,'ПР 01-02.21'!$A$11:$BB$406,40,FALSE)+VLOOKUP($A64,'ПР 21-22'!$A$11:$BB$406,40,FALSE)-VLOOKUP($A64,'ПР 01-02.22'!$A$11:$BB$378,40,FALSE)</f>
        <v>2289.9911007868241</v>
      </c>
      <c r="AO64" s="5">
        <f>VLOOKUP($A64,'ПР 01-02.21'!$A$11:$BB$406,41,FALSE)+VLOOKUP($A64,'ПР 21-22'!$A$11:$BB$406,41,FALSE)-VLOOKUP($A64,'ПР 01-02.22'!$A$11:$BB$378,41,FALSE)</f>
        <v>0</v>
      </c>
      <c r="AP64" s="40"/>
      <c r="AQ64" s="5">
        <f>VLOOKUP($A64,'ПР 01-02.21'!$A$11:$BB$406,43,FALSE)+VLOOKUP($A64,'ПР 21-22'!$A$11:$BB$406,43,FALSE)-VLOOKUP($A64,'ПР 01-02.22'!$A$11:$BB$378,43,FALSE)</f>
        <v>787.37454932008768</v>
      </c>
      <c r="AR64" s="5">
        <f>VLOOKUP($A64,'ПР 01-02.21'!$A$11:$BB$406,44,FALSE)+VLOOKUP($A64,'ПР 21-22'!$A$11:$BB$406,44,FALSE)-VLOOKUP($A64,'ПР 01-02.22'!$A$11:$BB$378,44,FALSE)</f>
        <v>0</v>
      </c>
      <c r="AS64" s="40"/>
      <c r="AT64" s="5">
        <f>VLOOKUP($A64,'ПР 01-02.21'!$A$11:$BB$406,46,FALSE)+VLOOKUP($A64,'ПР 21-22'!$A$11:$BB$406,46,FALSE)-VLOOKUP($A64,'ПР 01-02.22'!$A$11:$BB$378,46,FALSE)</f>
        <v>708.19050887743072</v>
      </c>
      <c r="AU64" s="5">
        <f>VLOOKUP($A64,'ПР 01-02.21'!$A$11:$BB$406,47,FALSE)+VLOOKUP($A64,'ПР 21-22'!$A$11:$BB$406,47,FALSE)-VLOOKUP($A64,'ПР 01-02.22'!$A$11:$BB$378,47,FALSE)</f>
        <v>142</v>
      </c>
      <c r="AV64" s="40"/>
      <c r="AW64" s="5">
        <f>VLOOKUP($A64,'ПР 01-02.21'!$A$11:$BB$406,49,FALSE)+VLOOKUP($A64,'ПР 21-22'!$A$11:$BB$406,49,FALSE)-VLOOKUP($A64,'ПР 01-02.22'!$A$11:$BB$378,49,FALSE)</f>
        <v>179.816</v>
      </c>
      <c r="AX64" s="5">
        <f>VLOOKUP($A64,'ПР 01-02.21'!$A$11:$BB$406,50,FALSE)+VLOOKUP($A64,'ПР 21-22'!$A$11:$BB$406,50,FALSE)-VLOOKUP($A64,'ПР 01-02.22'!$A$11:$BB$378,50,FALSE)</f>
        <v>0</v>
      </c>
      <c r="AY64" s="40"/>
      <c r="AZ64" s="40">
        <f t="shared" si="3"/>
        <v>11509.870708937644</v>
      </c>
      <c r="BA64" s="40">
        <f t="shared" si="3"/>
        <v>234</v>
      </c>
      <c r="BB64" s="55">
        <f t="shared" si="4"/>
        <v>-11275.870708937644</v>
      </c>
      <c r="BD64" s="2">
        <v>2</v>
      </c>
      <c r="BF64" s="325">
        <v>150000513</v>
      </c>
    </row>
    <row r="65" spans="1:58" ht="24.9" customHeight="1" x14ac:dyDescent="0.3">
      <c r="A65" s="325">
        <v>150000538</v>
      </c>
      <c r="B65" s="445" t="s">
        <v>208</v>
      </c>
      <c r="C65" s="27">
        <v>4</v>
      </c>
      <c r="D65" s="101" t="s">
        <v>455</v>
      </c>
      <c r="E65" s="279">
        <f>'побудинковий звіт'!E63</f>
        <v>1469.3</v>
      </c>
      <c r="F65" s="441">
        <f>'побудинковий звіт'!AS63</f>
        <v>12022.040517979985</v>
      </c>
      <c r="G65" s="441">
        <f t="shared" si="1"/>
        <v>89928</v>
      </c>
      <c r="H65" s="73">
        <f t="shared" si="2"/>
        <v>77905.959482020015</v>
      </c>
      <c r="I65" s="5">
        <f>VLOOKUP($A65,'ПР 01-02.21'!$A$11:$BB$406,9,FALSE)+VLOOKUP($A65,'ПР 21-22'!$A$11:$BB$406,9,FALSE)-VLOOKUP($A65,'ПР 01-02.22'!$A$11:$BB$378,9,FALSE)</f>
        <v>0</v>
      </c>
      <c r="J65" s="5">
        <f>VLOOKUP($A65,'ПР 01-02.21'!$A$11:$BB$406,10,FALSE)+VLOOKUP($A65,'ПР 21-22'!$A$11:$BB$406,10,FALSE)-VLOOKUP($A65,'ПР 01-02.22'!$A$11:$BB$378,10,FALSE)</f>
        <v>0</v>
      </c>
      <c r="K65" s="446"/>
      <c r="L65" s="5">
        <f>VLOOKUP($A65,'ПР 01-02.21'!$A$11:$BB$406,12,FALSE)+VLOOKUP($A65,'ПР 21-22'!$A$11:$BB$406,12,FALSE)-VLOOKUP($A65,'ПР 01-02.22'!$A$11:$BB$378,12,FALSE)</f>
        <v>2</v>
      </c>
      <c r="M65" s="5">
        <f>VLOOKUP($A65,'ПР 01-02.21'!$A$11:$BB$406,13,FALSE)+VLOOKUP($A65,'ПР 21-22'!$A$11:$BB$406,13,FALSE)-VLOOKUP($A65,'ПР 01-02.22'!$A$11:$BB$378,13,FALSE)</f>
        <v>87229</v>
      </c>
      <c r="N65" s="38"/>
      <c r="O65" s="5">
        <f>VLOOKUP($A65,'ПР 01-02.21'!$A$11:$BB$406,15,FALSE)+VLOOKUP($A65,'ПР 21-22'!$A$11:$BB$406,15,FALSE)-VLOOKUP($A65,'ПР 01-02.22'!$A$11:$BB$378,15,FALSE)</f>
        <v>0</v>
      </c>
      <c r="P65" s="5">
        <f>VLOOKUP($A65,'ПР 01-02.21'!$A$11:$BB$406,16,FALSE)+VLOOKUP($A65,'ПР 21-22'!$A$11:$BB$406,16,FALSE)-VLOOKUP($A65,'ПР 01-02.22'!$A$11:$BB$378,16,FALSE)</f>
        <v>0</v>
      </c>
      <c r="Q65" s="443"/>
      <c r="R65" s="5">
        <f>VLOOKUP($A65,'ПР 01-02.21'!$A$11:$BB$406,18,FALSE)+VLOOKUP($A65,'ПР 21-22'!$A$11:$BB$406,18,FALSE)-VLOOKUP($A65,'ПР 01-02.22'!$A$11:$BB$378,18,FALSE)</f>
        <v>0</v>
      </c>
      <c r="S65" s="5">
        <f>VLOOKUP($A65,'ПР 01-02.21'!$A$11:$BB$406,19,FALSE)+VLOOKUP($A65,'ПР 21-22'!$A$11:$BB$406,19,FALSE)-VLOOKUP($A65,'ПР 01-02.22'!$A$11:$BB$378,19,FALSE)</f>
        <v>0</v>
      </c>
      <c r="T65" s="444"/>
      <c r="U65" s="5">
        <f>VLOOKUP($A65,'ПР 01-02.21'!$A$11:$BB$406,21,FALSE)+VLOOKUP($A65,'ПР 21-22'!$A$11:$BB$406,21,FALSE)-VLOOKUP($A65,'ПР 01-02.22'!$A$11:$BB$378,21,FALSE)</f>
        <v>0</v>
      </c>
      <c r="V65" s="5"/>
      <c r="W65" s="5">
        <f>VLOOKUP($A65,'ПР 01-02.21'!$A$11:$BB$406,23,FALSE)+VLOOKUP($A65,'ПР 21-22'!$A$11:$BB$406,23,FALSE)-VLOOKUP($A65,'ПР 01-02.22'!$A$11:$BB$378,23,FALSE)</f>
        <v>0</v>
      </c>
      <c r="X65" s="5">
        <f>VLOOKUP($A65,'ПР 01-02.21'!$A$11:$BB$406,24,FALSE)+VLOOKUP($A65,'ПР 21-22'!$A$11:$BB$406,24,FALSE)-VLOOKUP($A65,'ПР 01-02.22'!$A$11:$BB$378,24,FALSE)</f>
        <v>0</v>
      </c>
      <c r="Y65" s="5">
        <f>VLOOKUP($A65,'ПР 01-02.21'!$A$11:$BB$406,25,FALSE)+VLOOKUP($A65,'ПР 21-22'!$A$11:$BB$406,25,FALSE)-VLOOKUP($A65,'ПР 01-02.22'!$A$11:$BB$378,25,FALSE)</f>
        <v>0</v>
      </c>
      <c r="Z65" s="5"/>
      <c r="AA65" s="5">
        <f>VLOOKUP($A65,'ПР 01-02.21'!$A$11:$BB$406,27,FALSE)+VLOOKUP($A65,'ПР 21-22'!$A$11:$BB$406,27,FALSE)-VLOOKUP($A65,'ПР 01-02.22'!$A$11:$BB$378,27,FALSE)</f>
        <v>0</v>
      </c>
      <c r="AB65" s="5">
        <f>VLOOKUP($A65,'ПР 01-02.21'!$A$11:$BB$406,28,FALSE)+VLOOKUP($A65,'ПР 21-22'!$A$11:$BB$406,28,FALSE)-VLOOKUP($A65,'ПР 01-02.22'!$A$11:$BB$378,28,FALSE)</f>
        <v>0</v>
      </c>
      <c r="AC65" s="5">
        <f>VLOOKUP($A65,'ПР 01-02.21'!$A$11:$BB$406,29,FALSE)+VLOOKUP($A65,'ПР 21-22'!$A$11:$BB$406,29,FALSE)-VLOOKUP($A65,'ПР 01-02.22'!$A$11:$BB$378,29,FALSE)</f>
        <v>2397</v>
      </c>
      <c r="AD65" s="5">
        <f>VLOOKUP($A65,'ПР 01-02.21'!$A$11:$BB$406,30,FALSE)+VLOOKUP($A65,'ПР 21-22'!$A$11:$BB$406,30,FALSE)-VLOOKUP($A65,'ПР 01-02.22'!$A$11:$BB$378,30,FALSE)</f>
        <v>302</v>
      </c>
      <c r="AE65" s="5">
        <f>VLOOKUP($A65,'ПР 01-02.21'!$A$11:$BB$406,31,FALSE)+VLOOKUP($A65,'ПР 21-22'!$A$11:$BB$406,31,FALSE)-VLOOKUP($A65,'ПР 01-02.22'!$A$11:$BB$378,31,FALSE)</f>
        <v>1151.1955284020953</v>
      </c>
      <c r="AF65" s="5">
        <f>VLOOKUP($A65,'ПР 01-02.21'!$A$11:$BB$406,32,FALSE)+VLOOKUP($A65,'ПР 21-22'!$A$11:$BB$406,32,FALSE)-VLOOKUP($A65,'ПР 01-02.22'!$A$11:$BB$378,32,FALSE)</f>
        <v>0</v>
      </c>
      <c r="AG65" s="40"/>
      <c r="AH65" s="5">
        <f>VLOOKUP($A65,'ПР 01-02.21'!$A$11:$BB$406,34,FALSE)+VLOOKUP($A65,'ПР 21-22'!$A$11:$BB$406,34,FALSE)-VLOOKUP($A65,'ПР 01-02.22'!$A$11:$BB$378,34,FALSE)</f>
        <v>1306.1978196649986</v>
      </c>
      <c r="AI65" s="5">
        <f>VLOOKUP($A65,'ПР 01-02.21'!$A$11:$BB$406,35,FALSE)+VLOOKUP($A65,'ПР 21-22'!$A$11:$BB$406,35,FALSE)-VLOOKUP($A65,'ПР 01-02.22'!$A$11:$BB$378,35,FALSE)</f>
        <v>0</v>
      </c>
      <c r="AJ65" s="40"/>
      <c r="AK65" s="5">
        <f>VLOOKUP($A65,'ПР 01-02.21'!$A$11:$BB$406,37,FALSE)+VLOOKUP($A65,'ПР 21-22'!$A$11:$BB$406,37,FALSE)-VLOOKUP($A65,'ПР 01-02.22'!$A$11:$BB$378,37,FALSE)</f>
        <v>919.82191451960773</v>
      </c>
      <c r="AL65" s="5">
        <f>VLOOKUP($A65,'ПР 01-02.21'!$A$11:$BB$406,38,FALSE)+VLOOKUP($A65,'ПР 21-22'!$A$11:$BB$406,38,FALSE)-VLOOKUP($A65,'ПР 01-02.22'!$A$11:$BB$378,38,FALSE)</f>
        <v>0</v>
      </c>
      <c r="AM65" s="40"/>
      <c r="AN65" s="5">
        <f>VLOOKUP($A65,'ПР 01-02.21'!$A$11:$BB$406,40,FALSE)+VLOOKUP($A65,'ПР 21-22'!$A$11:$BB$406,40,FALSE)-VLOOKUP($A65,'ПР 01-02.22'!$A$11:$BB$378,40,FALSE)</f>
        <v>0</v>
      </c>
      <c r="AO65" s="5">
        <f>VLOOKUP($A65,'ПР 01-02.21'!$A$11:$BB$406,41,FALSE)+VLOOKUP($A65,'ПР 21-22'!$A$11:$BB$406,41,FALSE)-VLOOKUP($A65,'ПР 01-02.22'!$A$11:$BB$378,41,FALSE)</f>
        <v>0</v>
      </c>
      <c r="AP65" s="40"/>
      <c r="AQ65" s="5">
        <f>VLOOKUP($A65,'ПР 01-02.21'!$A$11:$BB$406,43,FALSE)+VLOOKUP($A65,'ПР 21-22'!$A$11:$BB$406,43,FALSE)-VLOOKUP($A65,'ПР 01-02.22'!$A$11:$BB$378,43,FALSE)</f>
        <v>0</v>
      </c>
      <c r="AR65" s="5">
        <f>VLOOKUP($A65,'ПР 01-02.21'!$A$11:$BB$406,44,FALSE)+VLOOKUP($A65,'ПР 21-22'!$A$11:$BB$406,44,FALSE)-VLOOKUP($A65,'ПР 01-02.22'!$A$11:$BB$378,44,FALSE)</f>
        <v>0</v>
      </c>
      <c r="AS65" s="40"/>
      <c r="AT65" s="5">
        <f>VLOOKUP($A65,'ПР 01-02.21'!$A$11:$BB$406,46,FALSE)+VLOOKUP($A65,'ПР 21-22'!$A$11:$BB$406,46,FALSE)-VLOOKUP($A65,'ПР 01-02.22'!$A$11:$BB$378,46,FALSE)</f>
        <v>629.90040413580687</v>
      </c>
      <c r="AU65" s="5">
        <f>VLOOKUP($A65,'ПР 01-02.21'!$A$11:$BB$406,47,FALSE)+VLOOKUP($A65,'ПР 21-22'!$A$11:$BB$406,47,FALSE)-VLOOKUP($A65,'ПР 01-02.22'!$A$11:$BB$378,47,FALSE)</f>
        <v>0</v>
      </c>
      <c r="AV65" s="40"/>
      <c r="AW65" s="5">
        <f>VLOOKUP($A65,'ПР 01-02.21'!$A$11:$BB$406,49,FALSE)+VLOOKUP($A65,'ПР 21-22'!$A$11:$BB$406,49,FALSE)-VLOOKUP($A65,'ПР 01-02.22'!$A$11:$BB$378,49,FALSE)</f>
        <v>73.771999999999991</v>
      </c>
      <c r="AX65" s="5">
        <f>VLOOKUP($A65,'ПР 01-02.21'!$A$11:$BB$406,50,FALSE)+VLOOKUP($A65,'ПР 21-22'!$A$11:$BB$406,50,FALSE)-VLOOKUP($A65,'ПР 01-02.22'!$A$11:$BB$378,50,FALSE)</f>
        <v>0</v>
      </c>
      <c r="AY65" s="40"/>
      <c r="AZ65" s="40">
        <f t="shared" si="3"/>
        <v>4080.8876667225086</v>
      </c>
      <c r="BA65" s="40">
        <f t="shared" si="3"/>
        <v>0</v>
      </c>
      <c r="BB65" s="55">
        <f t="shared" si="4"/>
        <v>-4080.8876667225086</v>
      </c>
      <c r="BD65" s="2">
        <v>2</v>
      </c>
      <c r="BF65" s="325">
        <v>150000538</v>
      </c>
    </row>
    <row r="66" spans="1:58" ht="24.9" customHeight="1" x14ac:dyDescent="0.3">
      <c r="A66" s="325">
        <v>150000514</v>
      </c>
      <c r="B66" s="445" t="s">
        <v>152</v>
      </c>
      <c r="C66" s="27">
        <v>2</v>
      </c>
      <c r="D66" s="101" t="s">
        <v>455</v>
      </c>
      <c r="E66" s="279">
        <f>'побудинковий звіт'!E64</f>
        <v>253.5</v>
      </c>
      <c r="F66" s="441">
        <f>'побудинковий звіт'!AS64</f>
        <v>3869.2239759148815</v>
      </c>
      <c r="G66" s="441">
        <f t="shared" si="1"/>
        <v>151</v>
      </c>
      <c r="H66" s="73">
        <f t="shared" si="2"/>
        <v>-3718.2239759148815</v>
      </c>
      <c r="I66" s="5">
        <f>VLOOKUP($A66,'ПР 01-02.21'!$A$11:$BB$406,9,FALSE)+VLOOKUP($A66,'ПР 21-22'!$A$11:$BB$406,9,FALSE)-VLOOKUP($A66,'ПР 01-02.22'!$A$11:$BB$378,9,FALSE)</f>
        <v>0</v>
      </c>
      <c r="J66" s="5">
        <f>VLOOKUP($A66,'ПР 01-02.21'!$A$11:$BB$406,10,FALSE)+VLOOKUP($A66,'ПР 21-22'!$A$11:$BB$406,10,FALSE)-VLOOKUP($A66,'ПР 01-02.22'!$A$11:$BB$378,10,FALSE)</f>
        <v>0</v>
      </c>
      <c r="K66" s="446"/>
      <c r="L66" s="5">
        <f>VLOOKUP($A66,'ПР 01-02.21'!$A$11:$BB$406,12,FALSE)+VLOOKUP($A66,'ПР 21-22'!$A$11:$BB$406,12,FALSE)-VLOOKUP($A66,'ПР 01-02.22'!$A$11:$BB$378,12,FALSE)</f>
        <v>0</v>
      </c>
      <c r="M66" s="5">
        <f>VLOOKUP($A66,'ПР 01-02.21'!$A$11:$BB$406,13,FALSE)+VLOOKUP($A66,'ПР 21-22'!$A$11:$BB$406,13,FALSE)-VLOOKUP($A66,'ПР 01-02.22'!$A$11:$BB$378,13,FALSE)</f>
        <v>0</v>
      </c>
      <c r="N66" s="38"/>
      <c r="O66" s="5">
        <f>VLOOKUP($A66,'ПР 01-02.21'!$A$11:$BB$406,15,FALSE)+VLOOKUP($A66,'ПР 21-22'!$A$11:$BB$406,15,FALSE)-VLOOKUP($A66,'ПР 01-02.22'!$A$11:$BB$378,15,FALSE)</f>
        <v>0</v>
      </c>
      <c r="P66" s="5">
        <f>VLOOKUP($A66,'ПР 01-02.21'!$A$11:$BB$406,16,FALSE)+VLOOKUP($A66,'ПР 21-22'!$A$11:$BB$406,16,FALSE)-VLOOKUP($A66,'ПР 01-02.22'!$A$11:$BB$378,16,FALSE)</f>
        <v>0</v>
      </c>
      <c r="Q66" s="443"/>
      <c r="R66" s="5">
        <f>VLOOKUP($A66,'ПР 01-02.21'!$A$11:$BB$406,18,FALSE)+VLOOKUP($A66,'ПР 21-22'!$A$11:$BB$406,18,FALSE)-VLOOKUP($A66,'ПР 01-02.22'!$A$11:$BB$378,18,FALSE)</f>
        <v>0</v>
      </c>
      <c r="S66" s="5">
        <f>VLOOKUP($A66,'ПР 01-02.21'!$A$11:$BB$406,19,FALSE)+VLOOKUP($A66,'ПР 21-22'!$A$11:$BB$406,19,FALSE)-VLOOKUP($A66,'ПР 01-02.22'!$A$11:$BB$378,19,FALSE)</f>
        <v>0</v>
      </c>
      <c r="T66" s="444"/>
      <c r="U66" s="5">
        <f>VLOOKUP($A66,'ПР 01-02.21'!$A$11:$BB$406,21,FALSE)+VLOOKUP($A66,'ПР 21-22'!$A$11:$BB$406,21,FALSE)-VLOOKUP($A66,'ПР 01-02.22'!$A$11:$BB$378,21,FALSE)</f>
        <v>0</v>
      </c>
      <c r="V66" s="5"/>
      <c r="W66" s="5">
        <f>VLOOKUP($A66,'ПР 01-02.21'!$A$11:$BB$406,23,FALSE)+VLOOKUP($A66,'ПР 21-22'!$A$11:$BB$406,23,FALSE)-VLOOKUP($A66,'ПР 01-02.22'!$A$11:$BB$378,23,FALSE)</f>
        <v>0</v>
      </c>
      <c r="X66" s="5">
        <f>VLOOKUP($A66,'ПР 01-02.21'!$A$11:$BB$406,24,FALSE)+VLOOKUP($A66,'ПР 21-22'!$A$11:$BB$406,24,FALSE)-VLOOKUP($A66,'ПР 01-02.22'!$A$11:$BB$378,24,FALSE)</f>
        <v>0</v>
      </c>
      <c r="Y66" s="5">
        <f>VLOOKUP($A66,'ПР 01-02.21'!$A$11:$BB$406,25,FALSE)+VLOOKUP($A66,'ПР 21-22'!$A$11:$BB$406,25,FALSE)-VLOOKUP($A66,'ПР 01-02.22'!$A$11:$BB$378,25,FALSE)</f>
        <v>0</v>
      </c>
      <c r="Z66" s="5"/>
      <c r="AA66" s="5">
        <f>VLOOKUP($A66,'ПР 01-02.21'!$A$11:$BB$406,27,FALSE)+VLOOKUP($A66,'ПР 21-22'!$A$11:$BB$406,27,FALSE)-VLOOKUP($A66,'ПР 01-02.22'!$A$11:$BB$378,27,FALSE)</f>
        <v>0</v>
      </c>
      <c r="AB66" s="5">
        <f>VLOOKUP($A66,'ПР 01-02.21'!$A$11:$BB$406,28,FALSE)+VLOOKUP($A66,'ПР 21-22'!$A$11:$BB$406,28,FALSE)-VLOOKUP($A66,'ПР 01-02.22'!$A$11:$BB$378,28,FALSE)</f>
        <v>0</v>
      </c>
      <c r="AC66" s="5">
        <f>VLOOKUP($A66,'ПР 01-02.21'!$A$11:$BB$406,29,FALSE)+VLOOKUP($A66,'ПР 21-22'!$A$11:$BB$406,29,FALSE)-VLOOKUP($A66,'ПР 01-02.22'!$A$11:$BB$378,29,FALSE)</f>
        <v>0</v>
      </c>
      <c r="AD66" s="5">
        <f>VLOOKUP($A66,'ПР 01-02.21'!$A$11:$BB$406,30,FALSE)+VLOOKUP($A66,'ПР 21-22'!$A$11:$BB$406,30,FALSE)-VLOOKUP($A66,'ПР 01-02.22'!$A$11:$BB$378,30,FALSE)</f>
        <v>151</v>
      </c>
      <c r="AE66" s="5">
        <f>VLOOKUP($A66,'ПР 01-02.21'!$A$11:$BB$406,31,FALSE)+VLOOKUP($A66,'ПР 21-22'!$A$11:$BB$406,31,FALSE)-VLOOKUP($A66,'ПР 01-02.22'!$A$11:$BB$378,31,FALSE)</f>
        <v>470.63442915368421</v>
      </c>
      <c r="AF66" s="5">
        <f>VLOOKUP($A66,'ПР 01-02.21'!$A$11:$BB$406,32,FALSE)+VLOOKUP($A66,'ПР 21-22'!$A$11:$BB$406,32,FALSE)-VLOOKUP($A66,'ПР 01-02.22'!$A$11:$BB$378,32,FALSE)</f>
        <v>0</v>
      </c>
      <c r="AG66" s="40"/>
      <c r="AH66" s="5">
        <f>VLOOKUP($A66,'ПР 01-02.21'!$A$11:$BB$406,34,FALSE)+VLOOKUP($A66,'ПР 21-22'!$A$11:$BB$406,34,FALSE)-VLOOKUP($A66,'ПР 01-02.22'!$A$11:$BB$378,34,FALSE)</f>
        <v>523.69830570249519</v>
      </c>
      <c r="AI66" s="5">
        <f>VLOOKUP($A66,'ПР 01-02.21'!$A$11:$BB$406,35,FALSE)+VLOOKUP($A66,'ПР 21-22'!$A$11:$BB$406,35,FALSE)-VLOOKUP($A66,'ПР 01-02.22'!$A$11:$BB$378,35,FALSE)</f>
        <v>0</v>
      </c>
      <c r="AJ66" s="40"/>
      <c r="AK66" s="5">
        <f>VLOOKUP($A66,'ПР 01-02.21'!$A$11:$BB$406,37,FALSE)+VLOOKUP($A66,'ПР 21-22'!$A$11:$BB$406,37,FALSE)-VLOOKUP($A66,'ПР 01-02.22'!$A$11:$BB$378,37,FALSE)</f>
        <v>58.414102831190903</v>
      </c>
      <c r="AL66" s="5">
        <f>VLOOKUP($A66,'ПР 01-02.21'!$A$11:$BB$406,38,FALSE)+VLOOKUP($A66,'ПР 21-22'!$A$11:$BB$406,38,FALSE)-VLOOKUP($A66,'ПР 01-02.22'!$A$11:$BB$378,38,FALSE)</f>
        <v>0</v>
      </c>
      <c r="AM66" s="40"/>
      <c r="AN66" s="5">
        <f>VLOOKUP($A66,'ПР 01-02.21'!$A$11:$BB$406,40,FALSE)+VLOOKUP($A66,'ПР 21-22'!$A$11:$BB$406,40,FALSE)-VLOOKUP($A66,'ПР 01-02.22'!$A$11:$BB$378,40,FALSE)</f>
        <v>0</v>
      </c>
      <c r="AO66" s="5">
        <f>VLOOKUP($A66,'ПР 01-02.21'!$A$11:$BB$406,41,FALSE)+VLOOKUP($A66,'ПР 21-22'!$A$11:$BB$406,41,FALSE)-VLOOKUP($A66,'ПР 01-02.22'!$A$11:$BB$378,41,FALSE)</f>
        <v>0</v>
      </c>
      <c r="AP66" s="40"/>
      <c r="AQ66" s="5">
        <f>VLOOKUP($A66,'ПР 01-02.21'!$A$11:$BB$406,43,FALSE)+VLOOKUP($A66,'ПР 21-22'!$A$11:$BB$406,43,FALSE)-VLOOKUP($A66,'ПР 01-02.22'!$A$11:$BB$378,43,FALSE)</f>
        <v>0</v>
      </c>
      <c r="AR66" s="5">
        <f>VLOOKUP($A66,'ПР 01-02.21'!$A$11:$BB$406,44,FALSE)+VLOOKUP($A66,'ПР 21-22'!$A$11:$BB$406,44,FALSE)-VLOOKUP($A66,'ПР 01-02.22'!$A$11:$BB$378,44,FALSE)</f>
        <v>0</v>
      </c>
      <c r="AS66" s="40"/>
      <c r="AT66" s="5">
        <f>VLOOKUP($A66,'ПР 01-02.21'!$A$11:$BB$406,46,FALSE)+VLOOKUP($A66,'ПР 21-22'!$A$11:$BB$406,46,FALSE)-VLOOKUP($A66,'ПР 01-02.22'!$A$11:$BB$378,46,FALSE)</f>
        <v>106.65081620710528</v>
      </c>
      <c r="AU66" s="5">
        <f>VLOOKUP($A66,'ПР 01-02.21'!$A$11:$BB$406,47,FALSE)+VLOOKUP($A66,'ПР 21-22'!$A$11:$BB$406,47,FALSE)-VLOOKUP($A66,'ПР 01-02.22'!$A$11:$BB$378,47,FALSE)</f>
        <v>0</v>
      </c>
      <c r="AV66" s="40"/>
      <c r="AW66" s="5">
        <f>VLOOKUP($A66,'ПР 01-02.21'!$A$11:$BB$406,49,FALSE)+VLOOKUP($A66,'ПР 21-22'!$A$11:$BB$406,49,FALSE)-VLOOKUP($A66,'ПР 01-02.22'!$A$11:$BB$378,49,FALSE)</f>
        <v>13.14</v>
      </c>
      <c r="AX66" s="5">
        <f>VLOOKUP($A66,'ПР 01-02.21'!$A$11:$BB$406,50,FALSE)+VLOOKUP($A66,'ПР 21-22'!$A$11:$BB$406,50,FALSE)-VLOOKUP($A66,'ПР 01-02.22'!$A$11:$BB$378,50,FALSE)</f>
        <v>0</v>
      </c>
      <c r="AY66" s="40"/>
      <c r="AZ66" s="40">
        <f t="shared" si="3"/>
        <v>1172.5376538944756</v>
      </c>
      <c r="BA66" s="40">
        <f t="shared" si="3"/>
        <v>0</v>
      </c>
      <c r="BB66" s="55">
        <f t="shared" si="4"/>
        <v>-1172.5376538944756</v>
      </c>
      <c r="BD66" s="2">
        <v>2</v>
      </c>
      <c r="BF66" s="325">
        <v>150000514</v>
      </c>
    </row>
    <row r="67" spans="1:58" ht="24.9" customHeight="1" x14ac:dyDescent="0.3">
      <c r="A67" s="325">
        <v>150000515</v>
      </c>
      <c r="B67" s="445" t="s">
        <v>54</v>
      </c>
      <c r="C67" s="27">
        <v>1</v>
      </c>
      <c r="D67" s="101" t="s">
        <v>455</v>
      </c>
      <c r="E67" s="279">
        <f>'побудинковий звіт'!E65</f>
        <v>200.6</v>
      </c>
      <c r="F67" s="441">
        <f>'побудинковий звіт'!AS65</f>
        <v>2127.1831138764742</v>
      </c>
      <c r="G67" s="441">
        <f t="shared" si="1"/>
        <v>0</v>
      </c>
      <c r="H67" s="73">
        <f t="shared" si="2"/>
        <v>-2127.1831138764742</v>
      </c>
      <c r="I67" s="5">
        <f>VLOOKUP($A67,'ПР 01-02.21'!$A$11:$BB$406,9,FALSE)+VLOOKUP($A67,'ПР 21-22'!$A$11:$BB$406,9,FALSE)-VLOOKUP($A67,'ПР 01-02.22'!$A$11:$BB$378,9,FALSE)</f>
        <v>0</v>
      </c>
      <c r="J67" s="5">
        <f>VLOOKUP($A67,'ПР 01-02.21'!$A$11:$BB$406,10,FALSE)+VLOOKUP($A67,'ПР 21-22'!$A$11:$BB$406,10,FALSE)-VLOOKUP($A67,'ПР 01-02.22'!$A$11:$BB$378,10,FALSE)</f>
        <v>0</v>
      </c>
      <c r="K67" s="446"/>
      <c r="L67" s="5">
        <f>VLOOKUP($A67,'ПР 01-02.21'!$A$11:$BB$406,12,FALSE)+VLOOKUP($A67,'ПР 21-22'!$A$11:$BB$406,12,FALSE)-VLOOKUP($A67,'ПР 01-02.22'!$A$11:$BB$378,12,FALSE)</f>
        <v>0</v>
      </c>
      <c r="M67" s="5">
        <f>VLOOKUP($A67,'ПР 01-02.21'!$A$11:$BB$406,13,FALSE)+VLOOKUP($A67,'ПР 21-22'!$A$11:$BB$406,13,FALSE)-VLOOKUP($A67,'ПР 01-02.22'!$A$11:$BB$378,13,FALSE)</f>
        <v>0</v>
      </c>
      <c r="N67" s="38"/>
      <c r="O67" s="5">
        <f>VLOOKUP($A67,'ПР 01-02.21'!$A$11:$BB$406,15,FALSE)+VLOOKUP($A67,'ПР 21-22'!$A$11:$BB$406,15,FALSE)-VLOOKUP($A67,'ПР 01-02.22'!$A$11:$BB$378,15,FALSE)</f>
        <v>0</v>
      </c>
      <c r="P67" s="5">
        <f>VLOOKUP($A67,'ПР 01-02.21'!$A$11:$BB$406,16,FALSE)+VLOOKUP($A67,'ПР 21-22'!$A$11:$BB$406,16,FALSE)-VLOOKUP($A67,'ПР 01-02.22'!$A$11:$BB$378,16,FALSE)</f>
        <v>0</v>
      </c>
      <c r="Q67" s="443"/>
      <c r="R67" s="5">
        <f>VLOOKUP($A67,'ПР 01-02.21'!$A$11:$BB$406,18,FALSE)+VLOOKUP($A67,'ПР 21-22'!$A$11:$BB$406,18,FALSE)-VLOOKUP($A67,'ПР 01-02.22'!$A$11:$BB$378,18,FALSE)</f>
        <v>0</v>
      </c>
      <c r="S67" s="5">
        <f>VLOOKUP($A67,'ПР 01-02.21'!$A$11:$BB$406,19,FALSE)+VLOOKUP($A67,'ПР 21-22'!$A$11:$BB$406,19,FALSE)-VLOOKUP($A67,'ПР 01-02.22'!$A$11:$BB$378,19,FALSE)</f>
        <v>0</v>
      </c>
      <c r="T67" s="444"/>
      <c r="U67" s="5">
        <f>VLOOKUP($A67,'ПР 01-02.21'!$A$11:$BB$406,21,FALSE)+VLOOKUP($A67,'ПР 21-22'!$A$11:$BB$406,21,FALSE)-VLOOKUP($A67,'ПР 01-02.22'!$A$11:$BB$378,21,FALSE)</f>
        <v>0</v>
      </c>
      <c r="V67" s="5"/>
      <c r="W67" s="5">
        <f>VLOOKUP($A67,'ПР 01-02.21'!$A$11:$BB$406,23,FALSE)+VLOOKUP($A67,'ПР 21-22'!$A$11:$BB$406,23,FALSE)-VLOOKUP($A67,'ПР 01-02.22'!$A$11:$BB$378,23,FALSE)</f>
        <v>0</v>
      </c>
      <c r="X67" s="5">
        <f>VLOOKUP($A67,'ПР 01-02.21'!$A$11:$BB$406,24,FALSE)+VLOOKUP($A67,'ПР 21-22'!$A$11:$BB$406,24,FALSE)-VLOOKUP($A67,'ПР 01-02.22'!$A$11:$BB$378,24,FALSE)</f>
        <v>0</v>
      </c>
      <c r="Y67" s="5">
        <f>VLOOKUP($A67,'ПР 01-02.21'!$A$11:$BB$406,25,FALSE)+VLOOKUP($A67,'ПР 21-22'!$A$11:$BB$406,25,FALSE)-VLOOKUP($A67,'ПР 01-02.22'!$A$11:$BB$378,25,FALSE)</f>
        <v>0</v>
      </c>
      <c r="Z67" s="5"/>
      <c r="AA67" s="5">
        <f>VLOOKUP($A67,'ПР 01-02.21'!$A$11:$BB$406,27,FALSE)+VLOOKUP($A67,'ПР 21-22'!$A$11:$BB$406,27,FALSE)-VLOOKUP($A67,'ПР 01-02.22'!$A$11:$BB$378,27,FALSE)</f>
        <v>0</v>
      </c>
      <c r="AB67" s="5">
        <f>VLOOKUP($A67,'ПР 01-02.21'!$A$11:$BB$406,28,FALSE)+VLOOKUP($A67,'ПР 21-22'!$A$11:$BB$406,28,FALSE)-VLOOKUP($A67,'ПР 01-02.22'!$A$11:$BB$378,28,FALSE)</f>
        <v>0</v>
      </c>
      <c r="AC67" s="5">
        <f>VLOOKUP($A67,'ПР 01-02.21'!$A$11:$BB$406,29,FALSE)+VLOOKUP($A67,'ПР 21-22'!$A$11:$BB$406,29,FALSE)-VLOOKUP($A67,'ПР 01-02.22'!$A$11:$BB$378,29,FALSE)</f>
        <v>0</v>
      </c>
      <c r="AD67" s="5">
        <f>VLOOKUP($A67,'ПР 01-02.21'!$A$11:$BB$406,30,FALSE)+VLOOKUP($A67,'ПР 21-22'!$A$11:$BB$406,30,FALSE)-VLOOKUP($A67,'ПР 01-02.22'!$A$11:$BB$378,30,FALSE)</f>
        <v>0</v>
      </c>
      <c r="AE67" s="5">
        <f>VLOOKUP($A67,'ПР 01-02.21'!$A$11:$BB$406,31,FALSE)+VLOOKUP($A67,'ПР 21-22'!$A$11:$BB$406,31,FALSE)-VLOOKUP($A67,'ПР 01-02.22'!$A$11:$BB$378,31,FALSE)</f>
        <v>0</v>
      </c>
      <c r="AF67" s="5">
        <f>VLOOKUP($A67,'ПР 01-02.21'!$A$11:$BB$406,32,FALSE)+VLOOKUP($A67,'ПР 21-22'!$A$11:$BB$406,32,FALSE)-VLOOKUP($A67,'ПР 01-02.22'!$A$11:$BB$378,32,FALSE)</f>
        <v>0</v>
      </c>
      <c r="AG67" s="40"/>
      <c r="AH67" s="5">
        <f>VLOOKUP($A67,'ПР 01-02.21'!$A$11:$BB$406,34,FALSE)+VLOOKUP($A67,'ПР 21-22'!$A$11:$BB$406,34,FALSE)-VLOOKUP($A67,'ПР 01-02.22'!$A$11:$BB$378,34,FALSE)</f>
        <v>0</v>
      </c>
      <c r="AI67" s="5">
        <f>VLOOKUP($A67,'ПР 01-02.21'!$A$11:$BB$406,35,FALSE)+VLOOKUP($A67,'ПР 21-22'!$A$11:$BB$406,35,FALSE)-VLOOKUP($A67,'ПР 01-02.22'!$A$11:$BB$378,35,FALSE)</f>
        <v>0</v>
      </c>
      <c r="AJ67" s="40"/>
      <c r="AK67" s="5">
        <f>VLOOKUP($A67,'ПР 01-02.21'!$A$11:$BB$406,37,FALSE)+VLOOKUP($A67,'ПР 21-22'!$A$11:$BB$406,37,FALSE)-VLOOKUP($A67,'ПР 01-02.22'!$A$11:$BB$378,37,FALSE)</f>
        <v>0</v>
      </c>
      <c r="AL67" s="5">
        <f>VLOOKUP($A67,'ПР 01-02.21'!$A$11:$BB$406,38,FALSE)+VLOOKUP($A67,'ПР 21-22'!$A$11:$BB$406,38,FALSE)-VLOOKUP($A67,'ПР 01-02.22'!$A$11:$BB$378,38,FALSE)</f>
        <v>0</v>
      </c>
      <c r="AM67" s="40"/>
      <c r="AN67" s="5">
        <f>VLOOKUP($A67,'ПР 01-02.21'!$A$11:$BB$406,40,FALSE)+VLOOKUP($A67,'ПР 21-22'!$A$11:$BB$406,40,FALSE)-VLOOKUP($A67,'ПР 01-02.22'!$A$11:$BB$378,40,FALSE)</f>
        <v>0</v>
      </c>
      <c r="AO67" s="5">
        <f>VLOOKUP($A67,'ПР 01-02.21'!$A$11:$BB$406,41,FALSE)+VLOOKUP($A67,'ПР 21-22'!$A$11:$BB$406,41,FALSE)-VLOOKUP($A67,'ПР 01-02.22'!$A$11:$BB$378,41,FALSE)</f>
        <v>0</v>
      </c>
      <c r="AP67" s="40"/>
      <c r="AQ67" s="5">
        <f>VLOOKUP($A67,'ПР 01-02.21'!$A$11:$BB$406,43,FALSE)+VLOOKUP($A67,'ПР 21-22'!$A$11:$BB$406,43,FALSE)-VLOOKUP($A67,'ПР 01-02.22'!$A$11:$BB$378,43,FALSE)</f>
        <v>0</v>
      </c>
      <c r="AR67" s="5">
        <f>VLOOKUP($A67,'ПР 01-02.21'!$A$11:$BB$406,44,FALSE)+VLOOKUP($A67,'ПР 21-22'!$A$11:$BB$406,44,FALSE)-VLOOKUP($A67,'ПР 01-02.22'!$A$11:$BB$378,44,FALSE)</f>
        <v>0</v>
      </c>
      <c r="AS67" s="40"/>
      <c r="AT67" s="5">
        <f>VLOOKUP($A67,'ПР 01-02.21'!$A$11:$BB$406,46,FALSE)+VLOOKUP($A67,'ПР 21-22'!$A$11:$BB$406,46,FALSE)-VLOOKUP($A67,'ПР 01-02.22'!$A$11:$BB$378,46,FALSE)</f>
        <v>0</v>
      </c>
      <c r="AU67" s="5">
        <f>VLOOKUP($A67,'ПР 01-02.21'!$A$11:$BB$406,47,FALSE)+VLOOKUP($A67,'ПР 21-22'!$A$11:$BB$406,47,FALSE)-VLOOKUP($A67,'ПР 01-02.22'!$A$11:$BB$378,47,FALSE)</f>
        <v>0</v>
      </c>
      <c r="AV67" s="40"/>
      <c r="AW67" s="5">
        <f>VLOOKUP($A67,'ПР 01-02.21'!$A$11:$BB$406,49,FALSE)+VLOOKUP($A67,'ПР 21-22'!$A$11:$BB$406,49,FALSE)-VLOOKUP($A67,'ПР 01-02.22'!$A$11:$BB$378,49,FALSE)</f>
        <v>10.023999999999999</v>
      </c>
      <c r="AX67" s="5">
        <f>VLOOKUP($A67,'ПР 01-02.21'!$A$11:$BB$406,50,FALSE)+VLOOKUP($A67,'ПР 21-22'!$A$11:$BB$406,50,FALSE)-VLOOKUP($A67,'ПР 01-02.22'!$A$11:$BB$378,50,FALSE)</f>
        <v>0</v>
      </c>
      <c r="AY67" s="40"/>
      <c r="AZ67" s="40">
        <f t="shared" si="3"/>
        <v>10.023999999999999</v>
      </c>
      <c r="BA67" s="40">
        <f t="shared" si="3"/>
        <v>0</v>
      </c>
      <c r="BB67" s="55">
        <f t="shared" si="4"/>
        <v>-10.023999999999999</v>
      </c>
      <c r="BD67" s="2">
        <v>2</v>
      </c>
      <c r="BF67" s="325">
        <v>150000515</v>
      </c>
    </row>
    <row r="68" spans="1:58" ht="24.9" customHeight="1" x14ac:dyDescent="0.3">
      <c r="A68" s="325">
        <v>150000539</v>
      </c>
      <c r="B68" s="445" t="s">
        <v>55</v>
      </c>
      <c r="C68" s="27">
        <v>1</v>
      </c>
      <c r="D68" s="101" t="s">
        <v>455</v>
      </c>
      <c r="E68" s="279">
        <f>'побудинковий звіт'!E66</f>
        <v>83.8</v>
      </c>
      <c r="F68" s="441">
        <f>'побудинковий звіт'!AS66</f>
        <v>906.67415266037494</v>
      </c>
      <c r="G68" s="441">
        <f t="shared" si="1"/>
        <v>0</v>
      </c>
      <c r="H68" s="73">
        <f t="shared" si="2"/>
        <v>-906.67415266037494</v>
      </c>
      <c r="I68" s="5">
        <f>VLOOKUP($A68,'ПР 01-02.21'!$A$11:$BB$406,9,FALSE)+VLOOKUP($A68,'ПР 21-22'!$A$11:$BB$406,9,FALSE)-VLOOKUP($A68,'ПР 01-02.22'!$A$11:$BB$378,9,FALSE)</f>
        <v>0</v>
      </c>
      <c r="J68" s="5">
        <f>VLOOKUP($A68,'ПР 01-02.21'!$A$11:$BB$406,10,FALSE)+VLOOKUP($A68,'ПР 21-22'!$A$11:$BB$406,10,FALSE)-VLOOKUP($A68,'ПР 01-02.22'!$A$11:$BB$378,10,FALSE)</f>
        <v>0</v>
      </c>
      <c r="K68" s="446"/>
      <c r="L68" s="5">
        <f>VLOOKUP($A68,'ПР 01-02.21'!$A$11:$BB$406,12,FALSE)+VLOOKUP($A68,'ПР 21-22'!$A$11:$BB$406,12,FALSE)-VLOOKUP($A68,'ПР 01-02.22'!$A$11:$BB$378,12,FALSE)</f>
        <v>0</v>
      </c>
      <c r="M68" s="5">
        <f>VLOOKUP($A68,'ПР 01-02.21'!$A$11:$BB$406,13,FALSE)+VLOOKUP($A68,'ПР 21-22'!$A$11:$BB$406,13,FALSE)-VLOOKUP($A68,'ПР 01-02.22'!$A$11:$BB$378,13,FALSE)</f>
        <v>0</v>
      </c>
      <c r="N68" s="38"/>
      <c r="O68" s="5">
        <f>VLOOKUP($A68,'ПР 01-02.21'!$A$11:$BB$406,15,FALSE)+VLOOKUP($A68,'ПР 21-22'!$A$11:$BB$406,15,FALSE)-VLOOKUP($A68,'ПР 01-02.22'!$A$11:$BB$378,15,FALSE)</f>
        <v>0</v>
      </c>
      <c r="P68" s="5">
        <f>VLOOKUP($A68,'ПР 01-02.21'!$A$11:$BB$406,16,FALSE)+VLOOKUP($A68,'ПР 21-22'!$A$11:$BB$406,16,FALSE)-VLOOKUP($A68,'ПР 01-02.22'!$A$11:$BB$378,16,FALSE)</f>
        <v>0</v>
      </c>
      <c r="Q68" s="443"/>
      <c r="R68" s="5">
        <f>VLOOKUP($A68,'ПР 01-02.21'!$A$11:$BB$406,18,FALSE)+VLOOKUP($A68,'ПР 21-22'!$A$11:$BB$406,18,FALSE)-VLOOKUP($A68,'ПР 01-02.22'!$A$11:$BB$378,18,FALSE)</f>
        <v>0</v>
      </c>
      <c r="S68" s="5">
        <f>VLOOKUP($A68,'ПР 01-02.21'!$A$11:$BB$406,19,FALSE)+VLOOKUP($A68,'ПР 21-22'!$A$11:$BB$406,19,FALSE)-VLOOKUP($A68,'ПР 01-02.22'!$A$11:$BB$378,19,FALSE)</f>
        <v>0</v>
      </c>
      <c r="T68" s="444"/>
      <c r="U68" s="5">
        <f>VLOOKUP($A68,'ПР 01-02.21'!$A$11:$BB$406,21,FALSE)+VLOOKUP($A68,'ПР 21-22'!$A$11:$BB$406,21,FALSE)-VLOOKUP($A68,'ПР 01-02.22'!$A$11:$BB$378,21,FALSE)</f>
        <v>0</v>
      </c>
      <c r="V68" s="5"/>
      <c r="W68" s="5">
        <f>VLOOKUP($A68,'ПР 01-02.21'!$A$11:$BB$406,23,FALSE)+VLOOKUP($A68,'ПР 21-22'!$A$11:$BB$406,23,FALSE)-VLOOKUP($A68,'ПР 01-02.22'!$A$11:$BB$378,23,FALSE)</f>
        <v>0</v>
      </c>
      <c r="X68" s="5">
        <f>VLOOKUP($A68,'ПР 01-02.21'!$A$11:$BB$406,24,FALSE)+VLOOKUP($A68,'ПР 21-22'!$A$11:$BB$406,24,FALSE)-VLOOKUP($A68,'ПР 01-02.22'!$A$11:$BB$378,24,FALSE)</f>
        <v>0</v>
      </c>
      <c r="Y68" s="5">
        <f>VLOOKUP($A68,'ПР 01-02.21'!$A$11:$BB$406,25,FALSE)+VLOOKUP($A68,'ПР 21-22'!$A$11:$BB$406,25,FALSE)-VLOOKUP($A68,'ПР 01-02.22'!$A$11:$BB$378,25,FALSE)</f>
        <v>0</v>
      </c>
      <c r="Z68" s="5"/>
      <c r="AA68" s="5">
        <f>VLOOKUP($A68,'ПР 01-02.21'!$A$11:$BB$406,27,FALSE)+VLOOKUP($A68,'ПР 21-22'!$A$11:$BB$406,27,FALSE)-VLOOKUP($A68,'ПР 01-02.22'!$A$11:$BB$378,27,FALSE)</f>
        <v>0</v>
      </c>
      <c r="AB68" s="5">
        <f>VLOOKUP($A68,'ПР 01-02.21'!$A$11:$BB$406,28,FALSE)+VLOOKUP($A68,'ПР 21-22'!$A$11:$BB$406,28,FALSE)-VLOOKUP($A68,'ПР 01-02.22'!$A$11:$BB$378,28,FALSE)</f>
        <v>0</v>
      </c>
      <c r="AC68" s="5">
        <f>VLOOKUP($A68,'ПР 01-02.21'!$A$11:$BB$406,29,FALSE)+VLOOKUP($A68,'ПР 21-22'!$A$11:$BB$406,29,FALSE)-VLOOKUP($A68,'ПР 01-02.22'!$A$11:$BB$378,29,FALSE)</f>
        <v>0</v>
      </c>
      <c r="AD68" s="5">
        <f>VLOOKUP($A68,'ПР 01-02.21'!$A$11:$BB$406,30,FALSE)+VLOOKUP($A68,'ПР 21-22'!$A$11:$BB$406,30,FALSE)-VLOOKUP($A68,'ПР 01-02.22'!$A$11:$BB$378,30,FALSE)</f>
        <v>0</v>
      </c>
      <c r="AE68" s="5">
        <f>VLOOKUP($A68,'ПР 01-02.21'!$A$11:$BB$406,31,FALSE)+VLOOKUP($A68,'ПР 21-22'!$A$11:$BB$406,31,FALSE)-VLOOKUP($A68,'ПР 01-02.22'!$A$11:$BB$378,31,FALSE)</f>
        <v>0</v>
      </c>
      <c r="AF68" s="5">
        <f>VLOOKUP($A68,'ПР 01-02.21'!$A$11:$BB$406,32,FALSE)+VLOOKUP($A68,'ПР 21-22'!$A$11:$BB$406,32,FALSE)-VLOOKUP($A68,'ПР 01-02.22'!$A$11:$BB$378,32,FALSE)</f>
        <v>0</v>
      </c>
      <c r="AG68" s="40"/>
      <c r="AH68" s="5">
        <f>VLOOKUP($A68,'ПР 01-02.21'!$A$11:$BB$406,34,FALSE)+VLOOKUP($A68,'ПР 21-22'!$A$11:$BB$406,34,FALSE)-VLOOKUP($A68,'ПР 01-02.22'!$A$11:$BB$378,34,FALSE)</f>
        <v>0</v>
      </c>
      <c r="AI68" s="5">
        <f>VLOOKUP($A68,'ПР 01-02.21'!$A$11:$BB$406,35,FALSE)+VLOOKUP($A68,'ПР 21-22'!$A$11:$BB$406,35,FALSE)-VLOOKUP($A68,'ПР 01-02.22'!$A$11:$BB$378,35,FALSE)</f>
        <v>0</v>
      </c>
      <c r="AJ68" s="40"/>
      <c r="AK68" s="5">
        <f>VLOOKUP($A68,'ПР 01-02.21'!$A$11:$BB$406,37,FALSE)+VLOOKUP($A68,'ПР 21-22'!$A$11:$BB$406,37,FALSE)-VLOOKUP($A68,'ПР 01-02.22'!$A$11:$BB$378,37,FALSE)</f>
        <v>0</v>
      </c>
      <c r="AL68" s="5">
        <f>VLOOKUP($A68,'ПР 01-02.21'!$A$11:$BB$406,38,FALSE)+VLOOKUP($A68,'ПР 21-22'!$A$11:$BB$406,38,FALSE)-VLOOKUP($A68,'ПР 01-02.22'!$A$11:$BB$378,38,FALSE)</f>
        <v>0</v>
      </c>
      <c r="AM68" s="40"/>
      <c r="AN68" s="5">
        <f>VLOOKUP($A68,'ПР 01-02.21'!$A$11:$BB$406,40,FALSE)+VLOOKUP($A68,'ПР 21-22'!$A$11:$BB$406,40,FALSE)-VLOOKUP($A68,'ПР 01-02.22'!$A$11:$BB$378,40,FALSE)</f>
        <v>0</v>
      </c>
      <c r="AO68" s="5">
        <f>VLOOKUP($A68,'ПР 01-02.21'!$A$11:$BB$406,41,FALSE)+VLOOKUP($A68,'ПР 21-22'!$A$11:$BB$406,41,FALSE)-VLOOKUP($A68,'ПР 01-02.22'!$A$11:$BB$378,41,FALSE)</f>
        <v>0</v>
      </c>
      <c r="AP68" s="40"/>
      <c r="AQ68" s="5">
        <f>VLOOKUP($A68,'ПР 01-02.21'!$A$11:$BB$406,43,FALSE)+VLOOKUP($A68,'ПР 21-22'!$A$11:$BB$406,43,FALSE)-VLOOKUP($A68,'ПР 01-02.22'!$A$11:$BB$378,43,FALSE)</f>
        <v>0</v>
      </c>
      <c r="AR68" s="5">
        <f>VLOOKUP($A68,'ПР 01-02.21'!$A$11:$BB$406,44,FALSE)+VLOOKUP($A68,'ПР 21-22'!$A$11:$BB$406,44,FALSE)-VLOOKUP($A68,'ПР 01-02.22'!$A$11:$BB$378,44,FALSE)</f>
        <v>0</v>
      </c>
      <c r="AS68" s="40"/>
      <c r="AT68" s="5">
        <f>VLOOKUP($A68,'ПР 01-02.21'!$A$11:$BB$406,46,FALSE)+VLOOKUP($A68,'ПР 21-22'!$A$11:$BB$406,46,FALSE)-VLOOKUP($A68,'ПР 01-02.22'!$A$11:$BB$378,46,FALSE)</f>
        <v>0</v>
      </c>
      <c r="AU68" s="5">
        <f>VLOOKUP($A68,'ПР 01-02.21'!$A$11:$BB$406,47,FALSE)+VLOOKUP($A68,'ПР 21-22'!$A$11:$BB$406,47,FALSE)-VLOOKUP($A68,'ПР 01-02.22'!$A$11:$BB$378,47,FALSE)</f>
        <v>0</v>
      </c>
      <c r="AV68" s="40"/>
      <c r="AW68" s="5">
        <f>VLOOKUP($A68,'ПР 01-02.21'!$A$11:$BB$406,49,FALSE)+VLOOKUP($A68,'ПР 21-22'!$A$11:$BB$406,49,FALSE)-VLOOKUP($A68,'ПР 01-02.22'!$A$11:$BB$378,49,FALSE)</f>
        <v>4.3520000000000003</v>
      </c>
      <c r="AX68" s="5">
        <f>VLOOKUP($A68,'ПР 01-02.21'!$A$11:$BB$406,50,FALSE)+VLOOKUP($A68,'ПР 21-22'!$A$11:$BB$406,50,FALSE)-VLOOKUP($A68,'ПР 01-02.22'!$A$11:$BB$378,50,FALSE)</f>
        <v>0</v>
      </c>
      <c r="AY68" s="40"/>
      <c r="AZ68" s="40">
        <f t="shared" si="3"/>
        <v>4.3520000000000003</v>
      </c>
      <c r="BA68" s="40">
        <f t="shared" si="3"/>
        <v>0</v>
      </c>
      <c r="BB68" s="55">
        <f t="shared" si="4"/>
        <v>-4.3520000000000003</v>
      </c>
      <c r="BD68" s="2">
        <v>2</v>
      </c>
      <c r="BF68" s="325">
        <v>150000539</v>
      </c>
    </row>
    <row r="69" spans="1:58" ht="24.9" customHeight="1" x14ac:dyDescent="0.3">
      <c r="A69" s="325">
        <v>150000516</v>
      </c>
      <c r="B69" s="445" t="s">
        <v>56</v>
      </c>
      <c r="C69" s="27">
        <v>1</v>
      </c>
      <c r="D69" s="101" t="s">
        <v>455</v>
      </c>
      <c r="E69" s="279">
        <f>'побудинковий звіт'!E67</f>
        <v>323.10000000000002</v>
      </c>
      <c r="F69" s="441">
        <f>'побудинковий звіт'!AS67</f>
        <v>0</v>
      </c>
      <c r="G69" s="441">
        <f t="shared" si="1"/>
        <v>0</v>
      </c>
      <c r="H69" s="73">
        <f t="shared" si="2"/>
        <v>0</v>
      </c>
      <c r="I69" s="5"/>
      <c r="J69" s="5"/>
      <c r="K69" s="446"/>
      <c r="L69" s="5"/>
      <c r="M69" s="5"/>
      <c r="N69" s="38"/>
      <c r="O69" s="5"/>
      <c r="P69" s="5"/>
      <c r="Q69" s="443"/>
      <c r="R69" s="5"/>
      <c r="S69" s="5"/>
      <c r="T69" s="444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40"/>
      <c r="AH69" s="5"/>
      <c r="AI69" s="5"/>
      <c r="AJ69" s="40"/>
      <c r="AK69" s="5"/>
      <c r="AL69" s="5"/>
      <c r="AM69" s="40"/>
      <c r="AN69" s="5"/>
      <c r="AO69" s="5"/>
      <c r="AP69" s="40"/>
      <c r="AQ69" s="5"/>
      <c r="AR69" s="5"/>
      <c r="AS69" s="40"/>
      <c r="AT69" s="5"/>
      <c r="AU69" s="5"/>
      <c r="AV69" s="40"/>
      <c r="AW69" s="5"/>
      <c r="AX69" s="5"/>
      <c r="AY69" s="40"/>
      <c r="AZ69" s="40">
        <f t="shared" si="3"/>
        <v>0</v>
      </c>
      <c r="BA69" s="40">
        <f t="shared" si="3"/>
        <v>0</v>
      </c>
      <c r="BB69" s="55">
        <f t="shared" si="4"/>
        <v>0</v>
      </c>
      <c r="BD69" s="2">
        <v>2</v>
      </c>
      <c r="BF69" s="325">
        <v>150000516</v>
      </c>
    </row>
    <row r="70" spans="1:58" ht="24.9" customHeight="1" x14ac:dyDescent="0.3">
      <c r="A70" s="325">
        <v>150000517</v>
      </c>
      <c r="B70" s="445" t="s">
        <v>252</v>
      </c>
      <c r="C70" s="27">
        <v>5</v>
      </c>
      <c r="D70" s="101" t="s">
        <v>455</v>
      </c>
      <c r="E70" s="279">
        <f>'побудинковий звіт'!E68</f>
        <v>1894.8000000000002</v>
      </c>
      <c r="F70" s="441">
        <f>'побудинковий звіт'!AS68</f>
        <v>17399.907677901418</v>
      </c>
      <c r="G70" s="441">
        <f t="shared" si="1"/>
        <v>70282.108337944228</v>
      </c>
      <c r="H70" s="73">
        <f t="shared" si="2"/>
        <v>52882.200660042814</v>
      </c>
      <c r="I70" s="5">
        <f>VLOOKUP($A70,'ПР 01-02.21'!$A$11:$BB$406,9,FALSE)+VLOOKUP($A70,'ПР 21-22'!$A$11:$BB$406,9,FALSE)-VLOOKUP($A70,'ПР 01-02.22'!$A$11:$BB$378,9,FALSE)</f>
        <v>0</v>
      </c>
      <c r="J70" s="5">
        <f>VLOOKUP($A70,'ПР 01-02.21'!$A$11:$BB$406,10,FALSE)+VLOOKUP($A70,'ПР 21-22'!$A$11:$BB$406,10,FALSE)-VLOOKUP($A70,'ПР 01-02.22'!$A$11:$BB$378,10,FALSE)</f>
        <v>0</v>
      </c>
      <c r="K70" s="446"/>
      <c r="L70" s="5">
        <f>VLOOKUP($A70,'ПР 01-02.21'!$A$11:$BB$406,12,FALSE)+VLOOKUP($A70,'ПР 21-22'!$A$11:$BB$406,12,FALSE)-VLOOKUP($A70,'ПР 01-02.22'!$A$11:$BB$378,12,FALSE)</f>
        <v>1</v>
      </c>
      <c r="M70" s="5">
        <f>VLOOKUP($A70,'ПР 01-02.21'!$A$11:$BB$406,13,FALSE)+VLOOKUP($A70,'ПР 21-22'!$A$11:$BB$406,13,FALSE)-VLOOKUP($A70,'ПР 01-02.22'!$A$11:$BB$378,13,FALSE)</f>
        <v>67831</v>
      </c>
      <c r="N70" s="38"/>
      <c r="O70" s="5">
        <f>VLOOKUP($A70,'ПР 01-02.21'!$A$11:$BB$406,15,FALSE)+VLOOKUP($A70,'ПР 21-22'!$A$11:$BB$406,15,FALSE)-VLOOKUP($A70,'ПР 01-02.22'!$A$11:$BB$378,15,FALSE)</f>
        <v>0</v>
      </c>
      <c r="P70" s="5">
        <f>VLOOKUP($A70,'ПР 01-02.21'!$A$11:$BB$406,16,FALSE)+VLOOKUP($A70,'ПР 21-22'!$A$11:$BB$406,16,FALSE)-VLOOKUP($A70,'ПР 01-02.22'!$A$11:$BB$378,16,FALSE)</f>
        <v>0</v>
      </c>
      <c r="Q70" s="443"/>
      <c r="R70" s="5">
        <f>VLOOKUP($A70,'ПР 01-02.21'!$A$11:$BB$406,18,FALSE)+VLOOKUP($A70,'ПР 21-22'!$A$11:$BB$406,18,FALSE)-VLOOKUP($A70,'ПР 01-02.22'!$A$11:$BB$378,18,FALSE)</f>
        <v>0</v>
      </c>
      <c r="S70" s="5">
        <f>VLOOKUP($A70,'ПР 01-02.21'!$A$11:$BB$406,19,FALSE)+VLOOKUP($A70,'ПР 21-22'!$A$11:$BB$406,19,FALSE)-VLOOKUP($A70,'ПР 01-02.22'!$A$11:$BB$378,19,FALSE)</f>
        <v>0</v>
      </c>
      <c r="T70" s="444"/>
      <c r="U70" s="5">
        <f>VLOOKUP($A70,'ПР 01-02.21'!$A$11:$BB$406,21,FALSE)+VLOOKUP($A70,'ПР 21-22'!$A$11:$BB$406,21,FALSE)-VLOOKUP($A70,'ПР 01-02.22'!$A$11:$BB$378,21,FALSE)</f>
        <v>0</v>
      </c>
      <c r="V70" s="5"/>
      <c r="W70" s="5">
        <f>VLOOKUP($A70,'ПР 01-02.21'!$A$11:$BB$406,23,FALSE)+VLOOKUP($A70,'ПР 21-22'!$A$11:$BB$406,23,FALSE)-VLOOKUP($A70,'ПР 01-02.22'!$A$11:$BB$378,23,FALSE)</f>
        <v>0</v>
      </c>
      <c r="X70" s="5">
        <f>VLOOKUP($A70,'ПР 01-02.21'!$A$11:$BB$406,24,FALSE)+VLOOKUP($A70,'ПР 21-22'!$A$11:$BB$406,24,FALSE)-VLOOKUP($A70,'ПР 01-02.22'!$A$11:$BB$378,24,FALSE)</f>
        <v>108.10833794422632</v>
      </c>
      <c r="Y70" s="5">
        <f>VLOOKUP($A70,'ПР 01-02.21'!$A$11:$BB$406,25,FALSE)+VLOOKUP($A70,'ПР 21-22'!$A$11:$BB$406,25,FALSE)-VLOOKUP($A70,'ПР 01-02.22'!$A$11:$BB$378,25,FALSE)</f>
        <v>0</v>
      </c>
      <c r="Z70" s="5"/>
      <c r="AA70" s="5">
        <f>VLOOKUP($A70,'ПР 01-02.21'!$A$11:$BB$406,27,FALSE)+VLOOKUP($A70,'ПР 21-22'!$A$11:$BB$406,27,FALSE)-VLOOKUP($A70,'ПР 01-02.22'!$A$11:$BB$378,27,FALSE)</f>
        <v>0</v>
      </c>
      <c r="AB70" s="5">
        <f>VLOOKUP($A70,'ПР 01-02.21'!$A$11:$BB$406,28,FALSE)+VLOOKUP($A70,'ПР 21-22'!$A$11:$BB$406,28,FALSE)-VLOOKUP($A70,'ПР 01-02.22'!$A$11:$BB$378,28,FALSE)</f>
        <v>0</v>
      </c>
      <c r="AC70" s="5">
        <f>VLOOKUP($A70,'ПР 01-02.21'!$A$11:$BB$406,29,FALSE)+VLOOKUP($A70,'ПР 21-22'!$A$11:$BB$406,29,FALSE)-VLOOKUP($A70,'ПР 01-02.22'!$A$11:$BB$378,29,FALSE)</f>
        <v>789</v>
      </c>
      <c r="AD70" s="5">
        <f>VLOOKUP($A70,'ПР 01-02.21'!$A$11:$BB$406,30,FALSE)+VLOOKUP($A70,'ПР 21-22'!$A$11:$BB$406,30,FALSE)-VLOOKUP($A70,'ПР 01-02.22'!$A$11:$BB$378,30,FALSE)</f>
        <v>1554</v>
      </c>
      <c r="AE70" s="5">
        <f>VLOOKUP($A70,'ПР 01-02.21'!$A$11:$BB$406,31,FALSE)+VLOOKUP($A70,'ПР 21-22'!$A$11:$BB$406,31,FALSE)-VLOOKUP($A70,'ПР 01-02.22'!$A$11:$BB$378,31,FALSE)</f>
        <v>1614.9221199413196</v>
      </c>
      <c r="AF70" s="5">
        <f>VLOOKUP($A70,'ПР 01-02.21'!$A$11:$BB$406,32,FALSE)+VLOOKUP($A70,'ПР 21-22'!$A$11:$BB$406,32,FALSE)-VLOOKUP($A70,'ПР 01-02.22'!$A$11:$BB$378,32,FALSE)</f>
        <v>0</v>
      </c>
      <c r="AG70" s="40"/>
      <c r="AH70" s="5">
        <f>VLOOKUP($A70,'ПР 01-02.21'!$A$11:$BB$406,34,FALSE)+VLOOKUP($A70,'ПР 21-22'!$A$11:$BB$406,34,FALSE)-VLOOKUP($A70,'ПР 01-02.22'!$A$11:$BB$378,34,FALSE)</f>
        <v>2130.5762608718514</v>
      </c>
      <c r="AI70" s="5">
        <f>VLOOKUP($A70,'ПР 01-02.21'!$A$11:$BB$406,35,FALSE)+VLOOKUP($A70,'ПР 21-22'!$A$11:$BB$406,35,FALSE)-VLOOKUP($A70,'ПР 01-02.22'!$A$11:$BB$378,35,FALSE)</f>
        <v>0</v>
      </c>
      <c r="AJ70" s="40"/>
      <c r="AK70" s="5">
        <f>VLOOKUP($A70,'ПР 01-02.21'!$A$11:$BB$406,37,FALSE)+VLOOKUP($A70,'ПР 21-22'!$A$11:$BB$406,37,FALSE)-VLOOKUP($A70,'ПР 01-02.22'!$A$11:$BB$378,37,FALSE)</f>
        <v>1165.9311862601771</v>
      </c>
      <c r="AL70" s="5">
        <f>VLOOKUP($A70,'ПР 01-02.21'!$A$11:$BB$406,38,FALSE)+VLOOKUP($A70,'ПР 21-22'!$A$11:$BB$406,38,FALSE)-VLOOKUP($A70,'ПР 01-02.22'!$A$11:$BB$378,38,FALSE)</f>
        <v>546</v>
      </c>
      <c r="AM70" s="40"/>
      <c r="AN70" s="5">
        <f>VLOOKUP($A70,'ПР 01-02.21'!$A$11:$BB$406,40,FALSE)+VLOOKUP($A70,'ПР 21-22'!$A$11:$BB$406,40,FALSE)-VLOOKUP($A70,'ПР 01-02.22'!$A$11:$BB$378,40,FALSE)</f>
        <v>0</v>
      </c>
      <c r="AO70" s="5">
        <f>VLOOKUP($A70,'ПР 01-02.21'!$A$11:$BB$406,41,FALSE)+VLOOKUP($A70,'ПР 21-22'!$A$11:$BB$406,41,FALSE)-VLOOKUP($A70,'ПР 01-02.22'!$A$11:$BB$378,41,FALSE)</f>
        <v>0</v>
      </c>
      <c r="AP70" s="40"/>
      <c r="AQ70" s="5">
        <f>VLOOKUP($A70,'ПР 01-02.21'!$A$11:$BB$406,43,FALSE)+VLOOKUP($A70,'ПР 21-22'!$A$11:$BB$406,43,FALSE)-VLOOKUP($A70,'ПР 01-02.22'!$A$11:$BB$378,43,FALSE)</f>
        <v>0</v>
      </c>
      <c r="AR70" s="5">
        <f>VLOOKUP($A70,'ПР 01-02.21'!$A$11:$BB$406,44,FALSE)+VLOOKUP($A70,'ПР 21-22'!$A$11:$BB$406,44,FALSE)-VLOOKUP($A70,'ПР 01-02.22'!$A$11:$BB$378,44,FALSE)</f>
        <v>0</v>
      </c>
      <c r="AS70" s="40"/>
      <c r="AT70" s="5">
        <f>VLOOKUP($A70,'ПР 01-02.21'!$A$11:$BB$406,46,FALSE)+VLOOKUP($A70,'ПР 21-22'!$A$11:$BB$406,46,FALSE)-VLOOKUP($A70,'ПР 01-02.22'!$A$11:$BB$378,46,FALSE)</f>
        <v>649.51029722452336</v>
      </c>
      <c r="AU70" s="5">
        <f>VLOOKUP($A70,'ПР 01-02.21'!$A$11:$BB$406,47,FALSE)+VLOOKUP($A70,'ПР 21-22'!$A$11:$BB$406,47,FALSE)-VLOOKUP($A70,'ПР 01-02.22'!$A$11:$BB$378,47,FALSE)</f>
        <v>0</v>
      </c>
      <c r="AV70" s="40"/>
      <c r="AW70" s="5">
        <f>VLOOKUP($A70,'ПР 01-02.21'!$A$11:$BB$406,49,FALSE)+VLOOKUP($A70,'ПР 21-22'!$A$11:$BB$406,49,FALSE)-VLOOKUP($A70,'ПР 01-02.22'!$A$11:$BB$378,49,FALSE)</f>
        <v>95.864000000000004</v>
      </c>
      <c r="AX70" s="5">
        <f>VLOOKUP($A70,'ПР 01-02.21'!$A$11:$BB$406,50,FALSE)+VLOOKUP($A70,'ПР 21-22'!$A$11:$BB$406,50,FALSE)-VLOOKUP($A70,'ПР 01-02.22'!$A$11:$BB$378,50,FALSE)</f>
        <v>0</v>
      </c>
      <c r="AY70" s="40"/>
      <c r="AZ70" s="40">
        <f t="shared" si="3"/>
        <v>5656.8038642978709</v>
      </c>
      <c r="BA70" s="40">
        <f t="shared" si="3"/>
        <v>546</v>
      </c>
      <c r="BB70" s="55">
        <f t="shared" si="4"/>
        <v>-5110.8038642978709</v>
      </c>
      <c r="BD70" s="2">
        <v>2</v>
      </c>
      <c r="BF70" s="325">
        <v>150000517</v>
      </c>
    </row>
    <row r="71" spans="1:58" ht="24.9" customHeight="1" x14ac:dyDescent="0.3">
      <c r="A71" s="325">
        <v>150000518</v>
      </c>
      <c r="B71" s="445" t="s">
        <v>195</v>
      </c>
      <c r="C71" s="27">
        <v>3</v>
      </c>
      <c r="D71" s="101" t="s">
        <v>455</v>
      </c>
      <c r="E71" s="279">
        <f>'побудинковий звіт'!E69</f>
        <v>847.5</v>
      </c>
      <c r="F71" s="441">
        <f>'побудинковий звіт'!AS69</f>
        <v>8650.4415773271921</v>
      </c>
      <c r="G71" s="441">
        <f t="shared" si="1"/>
        <v>6391.146456850528</v>
      </c>
      <c r="H71" s="73">
        <f t="shared" si="2"/>
        <v>-2259.2951204766641</v>
      </c>
      <c r="I71" s="5">
        <f>VLOOKUP($A71,'ПР 01-02.21'!$A$11:$BB$406,9,FALSE)+VLOOKUP($A71,'ПР 21-22'!$A$11:$BB$406,9,FALSE)-VLOOKUP($A71,'ПР 01-02.22'!$A$11:$BB$378,9,FALSE)</f>
        <v>0</v>
      </c>
      <c r="J71" s="5">
        <f>VLOOKUP($A71,'ПР 01-02.21'!$A$11:$BB$406,10,FALSE)+VLOOKUP($A71,'ПР 21-22'!$A$11:$BB$406,10,FALSE)-VLOOKUP($A71,'ПР 01-02.22'!$A$11:$BB$378,10,FALSE)</f>
        <v>0</v>
      </c>
      <c r="K71" s="446"/>
      <c r="L71" s="5">
        <f>VLOOKUP($A71,'ПР 01-02.21'!$A$11:$BB$406,12,FALSE)+VLOOKUP($A71,'ПР 21-22'!$A$11:$BB$406,12,FALSE)-VLOOKUP($A71,'ПР 01-02.22'!$A$11:$BB$378,12,FALSE)</f>
        <v>0</v>
      </c>
      <c r="M71" s="5">
        <f>VLOOKUP($A71,'ПР 01-02.21'!$A$11:$BB$406,13,FALSE)+VLOOKUP($A71,'ПР 21-22'!$A$11:$BB$406,13,FALSE)-VLOOKUP($A71,'ПР 01-02.22'!$A$11:$BB$378,13,FALSE)</f>
        <v>3109</v>
      </c>
      <c r="N71" s="38"/>
      <c r="O71" s="5">
        <f>VLOOKUP($A71,'ПР 01-02.21'!$A$11:$BB$406,15,FALSE)+VLOOKUP($A71,'ПР 21-22'!$A$11:$BB$406,15,FALSE)-VLOOKUP($A71,'ПР 01-02.22'!$A$11:$BB$378,15,FALSE)</f>
        <v>0</v>
      </c>
      <c r="P71" s="5">
        <f>VLOOKUP($A71,'ПР 01-02.21'!$A$11:$BB$406,16,FALSE)+VLOOKUP($A71,'ПР 21-22'!$A$11:$BB$406,16,FALSE)-VLOOKUP($A71,'ПР 01-02.22'!$A$11:$BB$378,16,FALSE)</f>
        <v>0</v>
      </c>
      <c r="Q71" s="443"/>
      <c r="R71" s="5">
        <f>VLOOKUP($A71,'ПР 01-02.21'!$A$11:$BB$406,18,FALSE)+VLOOKUP($A71,'ПР 21-22'!$A$11:$BB$406,18,FALSE)-VLOOKUP($A71,'ПР 01-02.22'!$A$11:$BB$378,18,FALSE)</f>
        <v>0</v>
      </c>
      <c r="S71" s="5">
        <f>VLOOKUP($A71,'ПР 01-02.21'!$A$11:$BB$406,19,FALSE)+VLOOKUP($A71,'ПР 21-22'!$A$11:$BB$406,19,FALSE)-VLOOKUP($A71,'ПР 01-02.22'!$A$11:$BB$378,19,FALSE)</f>
        <v>0</v>
      </c>
      <c r="T71" s="444"/>
      <c r="U71" s="5">
        <f>VLOOKUP($A71,'ПР 01-02.21'!$A$11:$BB$406,21,FALSE)+VLOOKUP($A71,'ПР 21-22'!$A$11:$BB$406,21,FALSE)-VLOOKUP($A71,'ПР 01-02.22'!$A$11:$BB$378,21,FALSE)</f>
        <v>0</v>
      </c>
      <c r="V71" s="5"/>
      <c r="W71" s="5">
        <f>VLOOKUP($A71,'ПР 01-02.21'!$A$11:$BB$406,23,FALSE)+VLOOKUP($A71,'ПР 21-22'!$A$11:$BB$406,23,FALSE)-VLOOKUP($A71,'ПР 01-02.22'!$A$11:$BB$378,23,FALSE)</f>
        <v>0</v>
      </c>
      <c r="X71" s="5">
        <f>VLOOKUP($A71,'ПР 01-02.21'!$A$11:$BB$406,24,FALSE)+VLOOKUP($A71,'ПР 21-22'!$A$11:$BB$406,24,FALSE)-VLOOKUP($A71,'ПР 01-02.22'!$A$11:$BB$378,24,FALSE)</f>
        <v>146.14645685052818</v>
      </c>
      <c r="Y71" s="5">
        <f>VLOOKUP($A71,'ПР 01-02.21'!$A$11:$BB$406,25,FALSE)+VLOOKUP($A71,'ПР 21-22'!$A$11:$BB$406,25,FALSE)-VLOOKUP($A71,'ПР 01-02.22'!$A$11:$BB$378,25,FALSE)</f>
        <v>0</v>
      </c>
      <c r="Z71" s="5"/>
      <c r="AA71" s="5">
        <f>VLOOKUP($A71,'ПР 01-02.21'!$A$11:$BB$406,27,FALSE)+VLOOKUP($A71,'ПР 21-22'!$A$11:$BB$406,27,FALSE)-VLOOKUP($A71,'ПР 01-02.22'!$A$11:$BB$378,27,FALSE)</f>
        <v>0</v>
      </c>
      <c r="AB71" s="5">
        <f>VLOOKUP($A71,'ПР 01-02.21'!$A$11:$BB$406,28,FALSE)+VLOOKUP($A71,'ПР 21-22'!$A$11:$BB$406,28,FALSE)-VLOOKUP($A71,'ПР 01-02.22'!$A$11:$BB$378,28,FALSE)</f>
        <v>0</v>
      </c>
      <c r="AC71" s="5">
        <f>VLOOKUP($A71,'ПР 01-02.21'!$A$11:$BB$406,29,FALSE)+VLOOKUP($A71,'ПР 21-22'!$A$11:$BB$406,29,FALSE)-VLOOKUP($A71,'ПР 01-02.22'!$A$11:$BB$378,29,FALSE)</f>
        <v>0</v>
      </c>
      <c r="AD71" s="5">
        <f>VLOOKUP($A71,'ПР 01-02.21'!$A$11:$BB$406,30,FALSE)+VLOOKUP($A71,'ПР 21-22'!$A$11:$BB$406,30,FALSE)-VLOOKUP($A71,'ПР 01-02.22'!$A$11:$BB$378,30,FALSE)</f>
        <v>3136</v>
      </c>
      <c r="AE71" s="5">
        <f>VLOOKUP($A71,'ПР 01-02.21'!$A$11:$BB$406,31,FALSE)+VLOOKUP($A71,'ПР 21-22'!$A$11:$BB$406,31,FALSE)-VLOOKUP($A71,'ПР 01-02.22'!$A$11:$BB$378,31,FALSE)</f>
        <v>977.81905038881428</v>
      </c>
      <c r="AF71" s="5">
        <f>VLOOKUP($A71,'ПР 01-02.21'!$A$11:$BB$406,32,FALSE)+VLOOKUP($A71,'ПР 21-22'!$A$11:$BB$406,32,FALSE)-VLOOKUP($A71,'ПР 01-02.22'!$A$11:$BB$378,32,FALSE)</f>
        <v>0</v>
      </c>
      <c r="AG71" s="40"/>
      <c r="AH71" s="5">
        <f>VLOOKUP($A71,'ПР 01-02.21'!$A$11:$BB$406,34,FALSE)+VLOOKUP($A71,'ПР 21-22'!$A$11:$BB$406,34,FALSE)-VLOOKUP($A71,'ПР 01-02.22'!$A$11:$BB$378,34,FALSE)</f>
        <v>1457.0831203785406</v>
      </c>
      <c r="AI71" s="5">
        <f>VLOOKUP($A71,'ПР 01-02.21'!$A$11:$BB$406,35,FALSE)+VLOOKUP($A71,'ПР 21-22'!$A$11:$BB$406,35,FALSE)-VLOOKUP($A71,'ПР 01-02.22'!$A$11:$BB$378,35,FALSE)</f>
        <v>0</v>
      </c>
      <c r="AJ71" s="40"/>
      <c r="AK71" s="5">
        <f>VLOOKUP($A71,'ПР 01-02.21'!$A$11:$BB$406,37,FALSE)+VLOOKUP($A71,'ПР 21-22'!$A$11:$BB$406,37,FALSE)-VLOOKUP($A71,'ПР 01-02.22'!$A$11:$BB$378,37,FALSE)</f>
        <v>427.19522750546594</v>
      </c>
      <c r="AL71" s="5">
        <f>VLOOKUP($A71,'ПР 01-02.21'!$A$11:$BB$406,38,FALSE)+VLOOKUP($A71,'ПР 21-22'!$A$11:$BB$406,38,FALSE)-VLOOKUP($A71,'ПР 01-02.22'!$A$11:$BB$378,38,FALSE)</f>
        <v>0</v>
      </c>
      <c r="AM71" s="40"/>
      <c r="AN71" s="5">
        <f>VLOOKUP($A71,'ПР 01-02.21'!$A$11:$BB$406,40,FALSE)+VLOOKUP($A71,'ПР 21-22'!$A$11:$BB$406,40,FALSE)-VLOOKUP($A71,'ПР 01-02.22'!$A$11:$BB$378,40,FALSE)</f>
        <v>0</v>
      </c>
      <c r="AO71" s="5">
        <f>VLOOKUP($A71,'ПР 01-02.21'!$A$11:$BB$406,41,FALSE)+VLOOKUP($A71,'ПР 21-22'!$A$11:$BB$406,41,FALSE)-VLOOKUP($A71,'ПР 01-02.22'!$A$11:$BB$378,41,FALSE)</f>
        <v>0</v>
      </c>
      <c r="AP71" s="40"/>
      <c r="AQ71" s="5">
        <f>VLOOKUP($A71,'ПР 01-02.21'!$A$11:$BB$406,43,FALSE)+VLOOKUP($A71,'ПР 21-22'!$A$11:$BB$406,43,FALSE)-VLOOKUP($A71,'ПР 01-02.22'!$A$11:$BB$378,43,FALSE)</f>
        <v>0</v>
      </c>
      <c r="AR71" s="5">
        <f>VLOOKUP($A71,'ПР 01-02.21'!$A$11:$BB$406,44,FALSE)+VLOOKUP($A71,'ПР 21-22'!$A$11:$BB$406,44,FALSE)-VLOOKUP($A71,'ПР 01-02.22'!$A$11:$BB$378,44,FALSE)</f>
        <v>0</v>
      </c>
      <c r="AS71" s="40"/>
      <c r="AT71" s="5">
        <f>VLOOKUP($A71,'ПР 01-02.21'!$A$11:$BB$406,46,FALSE)+VLOOKUP($A71,'ПР 21-22'!$A$11:$BB$406,46,FALSE)-VLOOKUP($A71,'ПР 01-02.22'!$A$11:$BB$378,46,FALSE)</f>
        <v>399.43433021435305</v>
      </c>
      <c r="AU71" s="5">
        <f>VLOOKUP($A71,'ПР 01-02.21'!$A$11:$BB$406,47,FALSE)+VLOOKUP($A71,'ПР 21-22'!$A$11:$BB$406,47,FALSE)-VLOOKUP($A71,'ПР 01-02.22'!$A$11:$BB$378,47,FALSE)</f>
        <v>0</v>
      </c>
      <c r="AV71" s="40"/>
      <c r="AW71" s="5">
        <f>VLOOKUP($A71,'ПР 01-02.21'!$A$11:$BB$406,49,FALSE)+VLOOKUP($A71,'ПР 21-22'!$A$11:$BB$406,49,FALSE)-VLOOKUP($A71,'ПР 01-02.22'!$A$11:$BB$378,49,FALSE)</f>
        <v>41.9</v>
      </c>
      <c r="AX71" s="5">
        <f>VLOOKUP($A71,'ПР 01-02.21'!$A$11:$BB$406,50,FALSE)+VLOOKUP($A71,'ПР 21-22'!$A$11:$BB$406,50,FALSE)-VLOOKUP($A71,'ПР 01-02.22'!$A$11:$BB$378,50,FALSE)</f>
        <v>0</v>
      </c>
      <c r="AY71" s="40"/>
      <c r="AZ71" s="40">
        <f t="shared" si="3"/>
        <v>3303.4317284871736</v>
      </c>
      <c r="BA71" s="40">
        <f t="shared" si="3"/>
        <v>0</v>
      </c>
      <c r="BB71" s="55">
        <f t="shared" si="4"/>
        <v>-3303.4317284871736</v>
      </c>
      <c r="BD71" s="2">
        <v>2</v>
      </c>
      <c r="BF71" s="325">
        <v>150000518</v>
      </c>
    </row>
    <row r="72" spans="1:58" ht="24.9" customHeight="1" x14ac:dyDescent="0.3">
      <c r="A72" s="325">
        <v>150000519</v>
      </c>
      <c r="B72" s="445" t="s">
        <v>413</v>
      </c>
      <c r="C72" s="27">
        <v>10</v>
      </c>
      <c r="D72" s="101" t="s">
        <v>455</v>
      </c>
      <c r="E72" s="279">
        <f>'побудинковий звіт'!E70</f>
        <v>2696.4</v>
      </c>
      <c r="F72" s="441">
        <f>'побудинковий звіт'!AS70</f>
        <v>31245.152915643481</v>
      </c>
      <c r="G72" s="441">
        <f t="shared" si="1"/>
        <v>151</v>
      </c>
      <c r="H72" s="73">
        <f t="shared" si="2"/>
        <v>-31094.152915643481</v>
      </c>
      <c r="I72" s="5">
        <f>VLOOKUP($A72,'ПР 01-02.21'!$A$11:$BB$406,9,FALSE)+VLOOKUP($A72,'ПР 21-22'!$A$11:$BB$406,9,FALSE)-VLOOKUP($A72,'ПР 01-02.22'!$A$11:$BB$378,9,FALSE)</f>
        <v>0</v>
      </c>
      <c r="J72" s="5">
        <f>VLOOKUP($A72,'ПР 01-02.21'!$A$11:$BB$406,10,FALSE)+VLOOKUP($A72,'ПР 21-22'!$A$11:$BB$406,10,FALSE)-VLOOKUP($A72,'ПР 01-02.22'!$A$11:$BB$378,10,FALSE)</f>
        <v>0</v>
      </c>
      <c r="K72" s="446"/>
      <c r="L72" s="5">
        <f>VLOOKUP($A72,'ПР 01-02.21'!$A$11:$BB$406,12,FALSE)+VLOOKUP($A72,'ПР 21-22'!$A$11:$BB$406,12,FALSE)-VLOOKUP($A72,'ПР 01-02.22'!$A$11:$BB$378,12,FALSE)</f>
        <v>0</v>
      </c>
      <c r="M72" s="5">
        <f>VLOOKUP($A72,'ПР 01-02.21'!$A$11:$BB$406,13,FALSE)+VLOOKUP($A72,'ПР 21-22'!$A$11:$BB$406,13,FALSE)-VLOOKUP($A72,'ПР 01-02.22'!$A$11:$BB$378,13,FALSE)</f>
        <v>0</v>
      </c>
      <c r="N72" s="38"/>
      <c r="O72" s="5">
        <f>VLOOKUP($A72,'ПР 01-02.21'!$A$11:$BB$406,15,FALSE)+VLOOKUP($A72,'ПР 21-22'!$A$11:$BB$406,15,FALSE)-VLOOKUP($A72,'ПР 01-02.22'!$A$11:$BB$378,15,FALSE)</f>
        <v>0</v>
      </c>
      <c r="P72" s="5">
        <f>VLOOKUP($A72,'ПР 01-02.21'!$A$11:$BB$406,16,FALSE)+VLOOKUP($A72,'ПР 21-22'!$A$11:$BB$406,16,FALSE)-VLOOKUP($A72,'ПР 01-02.22'!$A$11:$BB$378,16,FALSE)</f>
        <v>0</v>
      </c>
      <c r="Q72" s="443"/>
      <c r="R72" s="5">
        <f>VLOOKUP($A72,'ПР 01-02.21'!$A$11:$BB$406,18,FALSE)+VLOOKUP($A72,'ПР 21-22'!$A$11:$BB$406,18,FALSE)-VLOOKUP($A72,'ПР 01-02.22'!$A$11:$BB$378,18,FALSE)</f>
        <v>0</v>
      </c>
      <c r="S72" s="5">
        <f>VLOOKUP($A72,'ПР 01-02.21'!$A$11:$BB$406,19,FALSE)+VLOOKUP($A72,'ПР 21-22'!$A$11:$BB$406,19,FALSE)-VLOOKUP($A72,'ПР 01-02.22'!$A$11:$BB$378,19,FALSE)</f>
        <v>0</v>
      </c>
      <c r="T72" s="444"/>
      <c r="U72" s="5">
        <f>VLOOKUP($A72,'ПР 01-02.21'!$A$11:$BB$406,21,FALSE)+VLOOKUP($A72,'ПР 21-22'!$A$11:$BB$406,21,FALSE)-VLOOKUP($A72,'ПР 01-02.22'!$A$11:$BB$378,21,FALSE)</f>
        <v>0</v>
      </c>
      <c r="V72" s="5"/>
      <c r="W72" s="5">
        <f>VLOOKUP($A72,'ПР 01-02.21'!$A$11:$BB$406,23,FALSE)+VLOOKUP($A72,'ПР 21-22'!$A$11:$BB$406,23,FALSE)-VLOOKUP($A72,'ПР 01-02.22'!$A$11:$BB$378,23,FALSE)</f>
        <v>0</v>
      </c>
      <c r="X72" s="5">
        <f>VLOOKUP($A72,'ПР 01-02.21'!$A$11:$BB$406,24,FALSE)+VLOOKUP($A72,'ПР 21-22'!$A$11:$BB$406,24,FALSE)-VLOOKUP($A72,'ПР 01-02.22'!$A$11:$BB$378,24,FALSE)</f>
        <v>0</v>
      </c>
      <c r="Y72" s="5">
        <f>VLOOKUP($A72,'ПР 01-02.21'!$A$11:$BB$406,25,FALSE)+VLOOKUP($A72,'ПР 21-22'!$A$11:$BB$406,25,FALSE)-VLOOKUP($A72,'ПР 01-02.22'!$A$11:$BB$378,25,FALSE)</f>
        <v>0</v>
      </c>
      <c r="Z72" s="5"/>
      <c r="AA72" s="5">
        <f>VLOOKUP($A72,'ПР 01-02.21'!$A$11:$BB$406,27,FALSE)+VLOOKUP($A72,'ПР 21-22'!$A$11:$BB$406,27,FALSE)-VLOOKUP($A72,'ПР 01-02.22'!$A$11:$BB$378,27,FALSE)</f>
        <v>0</v>
      </c>
      <c r="AB72" s="5">
        <f>VLOOKUP($A72,'ПР 01-02.21'!$A$11:$BB$406,28,FALSE)+VLOOKUP($A72,'ПР 21-22'!$A$11:$BB$406,28,FALSE)-VLOOKUP($A72,'ПР 01-02.22'!$A$11:$BB$378,28,FALSE)</f>
        <v>0</v>
      </c>
      <c r="AC72" s="5">
        <f>VLOOKUP($A72,'ПР 01-02.21'!$A$11:$BB$406,29,FALSE)+VLOOKUP($A72,'ПР 21-22'!$A$11:$BB$406,29,FALSE)-VLOOKUP($A72,'ПР 01-02.22'!$A$11:$BB$378,29,FALSE)</f>
        <v>0</v>
      </c>
      <c r="AD72" s="5">
        <f>VLOOKUP($A72,'ПР 01-02.21'!$A$11:$BB$406,30,FALSE)+VLOOKUP($A72,'ПР 21-22'!$A$11:$BB$406,30,FALSE)-VLOOKUP($A72,'ПР 01-02.22'!$A$11:$BB$378,30,FALSE)</f>
        <v>151</v>
      </c>
      <c r="AE72" s="5">
        <f>VLOOKUP($A72,'ПР 01-02.21'!$A$11:$BB$406,31,FALSE)+VLOOKUP($A72,'ПР 21-22'!$A$11:$BB$406,31,FALSE)-VLOOKUP($A72,'ПР 01-02.22'!$A$11:$BB$378,31,FALSE)</f>
        <v>1619.358214753046</v>
      </c>
      <c r="AF72" s="5">
        <f>VLOOKUP($A72,'ПР 01-02.21'!$A$11:$BB$406,32,FALSE)+VLOOKUP($A72,'ПР 21-22'!$A$11:$BB$406,32,FALSE)-VLOOKUP($A72,'ПР 01-02.22'!$A$11:$BB$378,32,FALSE)</f>
        <v>0</v>
      </c>
      <c r="AG72" s="40"/>
      <c r="AH72" s="5">
        <f>VLOOKUP($A72,'ПР 01-02.21'!$A$11:$BB$406,34,FALSE)+VLOOKUP($A72,'ПР 21-22'!$A$11:$BB$406,34,FALSE)-VLOOKUP($A72,'ПР 01-02.22'!$A$11:$BB$378,34,FALSE)</f>
        <v>1899.6586400179367</v>
      </c>
      <c r="AI72" s="5">
        <f>VLOOKUP($A72,'ПР 01-02.21'!$A$11:$BB$406,35,FALSE)+VLOOKUP($A72,'ПР 21-22'!$A$11:$BB$406,35,FALSE)-VLOOKUP($A72,'ПР 01-02.22'!$A$11:$BB$378,35,FALSE)</f>
        <v>0</v>
      </c>
      <c r="AJ72" s="40"/>
      <c r="AK72" s="5">
        <f>VLOOKUP($A72,'ПР 01-02.21'!$A$11:$BB$406,37,FALSE)+VLOOKUP($A72,'ПР 21-22'!$A$11:$BB$406,37,FALSE)-VLOOKUP($A72,'ПР 01-02.22'!$A$11:$BB$378,37,FALSE)</f>
        <v>1027.7043691169763</v>
      </c>
      <c r="AL72" s="5">
        <f>VLOOKUP($A72,'ПР 01-02.21'!$A$11:$BB$406,38,FALSE)+VLOOKUP($A72,'ПР 21-22'!$A$11:$BB$406,38,FALSE)-VLOOKUP($A72,'ПР 01-02.22'!$A$11:$BB$378,38,FALSE)</f>
        <v>0</v>
      </c>
      <c r="AM72" s="40"/>
      <c r="AN72" s="5">
        <f>VLOOKUP($A72,'ПР 01-02.21'!$A$11:$BB$406,40,FALSE)+VLOOKUP($A72,'ПР 21-22'!$A$11:$BB$406,40,FALSE)-VLOOKUP($A72,'ПР 01-02.22'!$A$11:$BB$378,40,FALSE)</f>
        <v>1882.8085347727715</v>
      </c>
      <c r="AO72" s="5">
        <f>VLOOKUP($A72,'ПР 01-02.21'!$A$11:$BB$406,41,FALSE)+VLOOKUP($A72,'ПР 21-22'!$A$11:$BB$406,41,FALSE)-VLOOKUP($A72,'ПР 01-02.22'!$A$11:$BB$378,41,FALSE)</f>
        <v>0</v>
      </c>
      <c r="AP72" s="40"/>
      <c r="AQ72" s="5">
        <f>VLOOKUP($A72,'ПР 01-02.21'!$A$11:$BB$406,43,FALSE)+VLOOKUP($A72,'ПР 21-22'!$A$11:$BB$406,43,FALSE)-VLOOKUP($A72,'ПР 01-02.22'!$A$11:$BB$378,43,FALSE)</f>
        <v>681.70652833411214</v>
      </c>
      <c r="AR72" s="5">
        <f>VLOOKUP($A72,'ПР 01-02.21'!$A$11:$BB$406,44,FALSE)+VLOOKUP($A72,'ПР 21-22'!$A$11:$BB$406,44,FALSE)-VLOOKUP($A72,'ПР 01-02.22'!$A$11:$BB$378,44,FALSE)</f>
        <v>0</v>
      </c>
      <c r="AS72" s="40"/>
      <c r="AT72" s="5">
        <f>VLOOKUP($A72,'ПР 01-02.21'!$A$11:$BB$406,46,FALSE)+VLOOKUP($A72,'ПР 21-22'!$A$11:$BB$406,46,FALSE)-VLOOKUP($A72,'ПР 01-02.22'!$A$11:$BB$378,46,FALSE)</f>
        <v>993.75281346964084</v>
      </c>
      <c r="AU72" s="5">
        <f>VLOOKUP($A72,'ПР 01-02.21'!$A$11:$BB$406,47,FALSE)+VLOOKUP($A72,'ПР 21-22'!$A$11:$BB$406,47,FALSE)-VLOOKUP($A72,'ПР 01-02.22'!$A$11:$BB$378,47,FALSE)</f>
        <v>0</v>
      </c>
      <c r="AV72" s="40"/>
      <c r="AW72" s="5">
        <f>VLOOKUP($A72,'ПР 01-02.21'!$A$11:$BB$406,49,FALSE)+VLOOKUP($A72,'ПР 21-22'!$A$11:$BB$406,49,FALSE)-VLOOKUP($A72,'ПР 01-02.22'!$A$11:$BB$378,49,FALSE)</f>
        <v>134.892</v>
      </c>
      <c r="AX72" s="5">
        <f>VLOOKUP($A72,'ПР 01-02.21'!$A$11:$BB$406,50,FALSE)+VLOOKUP($A72,'ПР 21-22'!$A$11:$BB$406,50,FALSE)-VLOOKUP($A72,'ПР 01-02.22'!$A$11:$BB$378,50,FALSE)</f>
        <v>0</v>
      </c>
      <c r="AY72" s="40"/>
      <c r="AZ72" s="40">
        <f t="shared" si="3"/>
        <v>8239.8811004644831</v>
      </c>
      <c r="BA72" s="40">
        <f t="shared" si="3"/>
        <v>0</v>
      </c>
      <c r="BB72" s="55">
        <f t="shared" si="4"/>
        <v>-8239.8811004644831</v>
      </c>
      <c r="BD72" s="2">
        <v>2</v>
      </c>
      <c r="BF72" s="325">
        <v>150000519</v>
      </c>
    </row>
    <row r="73" spans="1:58" ht="24.9" customHeight="1" x14ac:dyDescent="0.3">
      <c r="A73" s="325">
        <v>150000521</v>
      </c>
      <c r="B73" s="445" t="s">
        <v>253</v>
      </c>
      <c r="C73" s="27">
        <v>5</v>
      </c>
      <c r="D73" s="101" t="s">
        <v>455</v>
      </c>
      <c r="E73" s="279">
        <f>'побудинковий звіт'!E71</f>
        <v>1861.1999999999998</v>
      </c>
      <c r="F73" s="441">
        <f>'побудинковий звіт'!AS71</f>
        <v>17546.55096339052</v>
      </c>
      <c r="G73" s="441">
        <f t="shared" si="1"/>
        <v>2658</v>
      </c>
      <c r="H73" s="73">
        <f t="shared" si="2"/>
        <v>-14888.55096339052</v>
      </c>
      <c r="I73" s="5">
        <f>VLOOKUP($A73,'ПР 01-02.21'!$A$11:$BB$406,9,FALSE)+VLOOKUP($A73,'ПР 21-22'!$A$11:$BB$406,9,FALSE)-VLOOKUP($A73,'ПР 01-02.22'!$A$11:$BB$378,9,FALSE)</f>
        <v>0</v>
      </c>
      <c r="J73" s="5">
        <f>VLOOKUP($A73,'ПР 01-02.21'!$A$11:$BB$406,10,FALSE)+VLOOKUP($A73,'ПР 21-22'!$A$11:$BB$406,10,FALSE)-VLOOKUP($A73,'ПР 01-02.22'!$A$11:$BB$378,10,FALSE)</f>
        <v>1863</v>
      </c>
      <c r="K73" s="446"/>
      <c r="L73" s="5">
        <f>VLOOKUP($A73,'ПР 01-02.21'!$A$11:$BB$406,12,FALSE)+VLOOKUP($A73,'ПР 21-22'!$A$11:$BB$406,12,FALSE)-VLOOKUP($A73,'ПР 01-02.22'!$A$11:$BB$378,12,FALSE)</f>
        <v>0</v>
      </c>
      <c r="M73" s="5">
        <f>VLOOKUP($A73,'ПР 01-02.21'!$A$11:$BB$406,13,FALSE)+VLOOKUP($A73,'ПР 21-22'!$A$11:$BB$406,13,FALSE)-VLOOKUP($A73,'ПР 01-02.22'!$A$11:$BB$378,13,FALSE)</f>
        <v>0</v>
      </c>
      <c r="N73" s="38"/>
      <c r="O73" s="5">
        <f>VLOOKUP($A73,'ПР 01-02.21'!$A$11:$BB$406,15,FALSE)+VLOOKUP($A73,'ПР 21-22'!$A$11:$BB$406,15,FALSE)-VLOOKUP($A73,'ПР 01-02.22'!$A$11:$BB$378,15,FALSE)</f>
        <v>0</v>
      </c>
      <c r="P73" s="5">
        <f>VLOOKUP($A73,'ПР 01-02.21'!$A$11:$BB$406,16,FALSE)+VLOOKUP($A73,'ПР 21-22'!$A$11:$BB$406,16,FALSE)-VLOOKUP($A73,'ПР 01-02.22'!$A$11:$BB$378,16,FALSE)</f>
        <v>0</v>
      </c>
      <c r="Q73" s="443"/>
      <c r="R73" s="5">
        <f>VLOOKUP($A73,'ПР 01-02.21'!$A$11:$BB$406,18,FALSE)+VLOOKUP($A73,'ПР 21-22'!$A$11:$BB$406,18,FALSE)-VLOOKUP($A73,'ПР 01-02.22'!$A$11:$BB$378,18,FALSE)</f>
        <v>0</v>
      </c>
      <c r="S73" s="5">
        <f>VLOOKUP($A73,'ПР 01-02.21'!$A$11:$BB$406,19,FALSE)+VLOOKUP($A73,'ПР 21-22'!$A$11:$BB$406,19,FALSE)-VLOOKUP($A73,'ПР 01-02.22'!$A$11:$BB$378,19,FALSE)</f>
        <v>0</v>
      </c>
      <c r="T73" s="444"/>
      <c r="U73" s="5">
        <f>VLOOKUP($A73,'ПР 01-02.21'!$A$11:$BB$406,21,FALSE)+VLOOKUP($A73,'ПР 21-22'!$A$11:$BB$406,21,FALSE)-VLOOKUP($A73,'ПР 01-02.22'!$A$11:$BB$378,21,FALSE)</f>
        <v>0</v>
      </c>
      <c r="V73" s="5"/>
      <c r="W73" s="5">
        <f>VLOOKUP($A73,'ПР 01-02.21'!$A$11:$BB$406,23,FALSE)+VLOOKUP($A73,'ПР 21-22'!$A$11:$BB$406,23,FALSE)-VLOOKUP($A73,'ПР 01-02.22'!$A$11:$BB$378,23,FALSE)</f>
        <v>0</v>
      </c>
      <c r="X73" s="5">
        <f>VLOOKUP($A73,'ПР 01-02.21'!$A$11:$BB$406,24,FALSE)+VLOOKUP($A73,'ПР 21-22'!$A$11:$BB$406,24,FALSE)-VLOOKUP($A73,'ПР 01-02.22'!$A$11:$BB$378,24,FALSE)</f>
        <v>0</v>
      </c>
      <c r="Y73" s="5">
        <f>VLOOKUP($A73,'ПР 01-02.21'!$A$11:$BB$406,25,FALSE)+VLOOKUP($A73,'ПР 21-22'!$A$11:$BB$406,25,FALSE)-VLOOKUP($A73,'ПР 01-02.22'!$A$11:$BB$378,25,FALSE)</f>
        <v>0</v>
      </c>
      <c r="Z73" s="5"/>
      <c r="AA73" s="5">
        <f>VLOOKUP($A73,'ПР 01-02.21'!$A$11:$BB$406,27,FALSE)+VLOOKUP($A73,'ПР 21-22'!$A$11:$BB$406,27,FALSE)-VLOOKUP($A73,'ПР 01-02.22'!$A$11:$BB$378,27,FALSE)</f>
        <v>0</v>
      </c>
      <c r="AB73" s="5">
        <f>VLOOKUP($A73,'ПР 01-02.21'!$A$11:$BB$406,28,FALSE)+VLOOKUP($A73,'ПР 21-22'!$A$11:$BB$406,28,FALSE)-VLOOKUP($A73,'ПР 01-02.22'!$A$11:$BB$378,28,FALSE)</f>
        <v>0</v>
      </c>
      <c r="AC73" s="5">
        <f>VLOOKUP($A73,'ПР 01-02.21'!$A$11:$BB$406,29,FALSE)+VLOOKUP($A73,'ПР 21-22'!$A$11:$BB$406,29,FALSE)-VLOOKUP($A73,'ПР 01-02.22'!$A$11:$BB$378,29,FALSE)</f>
        <v>0</v>
      </c>
      <c r="AD73" s="5">
        <f>VLOOKUP($A73,'ПР 01-02.21'!$A$11:$BB$406,30,FALSE)+VLOOKUP($A73,'ПР 21-22'!$A$11:$BB$406,30,FALSE)-VLOOKUP($A73,'ПР 01-02.22'!$A$11:$BB$378,30,FALSE)</f>
        <v>795</v>
      </c>
      <c r="AE73" s="5">
        <f>VLOOKUP($A73,'ПР 01-02.21'!$A$11:$BB$406,31,FALSE)+VLOOKUP($A73,'ПР 21-22'!$A$11:$BB$406,31,FALSE)-VLOOKUP($A73,'ПР 01-02.22'!$A$11:$BB$378,31,FALSE)</f>
        <v>1396.0516031953161</v>
      </c>
      <c r="AF73" s="5">
        <f>VLOOKUP($A73,'ПР 01-02.21'!$A$11:$BB$406,32,FALSE)+VLOOKUP($A73,'ПР 21-22'!$A$11:$BB$406,32,FALSE)-VLOOKUP($A73,'ПР 01-02.22'!$A$11:$BB$378,32,FALSE)</f>
        <v>0</v>
      </c>
      <c r="AG73" s="40"/>
      <c r="AH73" s="5">
        <f>VLOOKUP($A73,'ПР 01-02.21'!$A$11:$BB$406,34,FALSE)+VLOOKUP($A73,'ПР 21-22'!$A$11:$BB$406,34,FALSE)-VLOOKUP($A73,'ПР 01-02.22'!$A$11:$BB$378,34,FALSE)</f>
        <v>2130.5762608718514</v>
      </c>
      <c r="AI73" s="5">
        <f>VLOOKUP($A73,'ПР 01-02.21'!$A$11:$BB$406,35,FALSE)+VLOOKUP($A73,'ПР 21-22'!$A$11:$BB$406,35,FALSE)-VLOOKUP($A73,'ПР 01-02.22'!$A$11:$BB$378,35,FALSE)</f>
        <v>0</v>
      </c>
      <c r="AJ73" s="40"/>
      <c r="AK73" s="5">
        <f>VLOOKUP($A73,'ПР 01-02.21'!$A$11:$BB$406,37,FALSE)+VLOOKUP($A73,'ПР 21-22'!$A$11:$BB$406,37,FALSE)-VLOOKUP($A73,'ПР 01-02.22'!$A$11:$BB$378,37,FALSE)</f>
        <v>965.34585580142459</v>
      </c>
      <c r="AL73" s="5">
        <f>VLOOKUP($A73,'ПР 01-02.21'!$A$11:$BB$406,38,FALSE)+VLOOKUP($A73,'ПР 21-22'!$A$11:$BB$406,38,FALSE)-VLOOKUP($A73,'ПР 01-02.22'!$A$11:$BB$378,38,FALSE)</f>
        <v>0</v>
      </c>
      <c r="AM73" s="40"/>
      <c r="AN73" s="5">
        <f>VLOOKUP($A73,'ПР 01-02.21'!$A$11:$BB$406,40,FALSE)+VLOOKUP($A73,'ПР 21-22'!$A$11:$BB$406,40,FALSE)-VLOOKUP($A73,'ПР 01-02.22'!$A$11:$BB$378,40,FALSE)</f>
        <v>0</v>
      </c>
      <c r="AO73" s="5">
        <f>VLOOKUP($A73,'ПР 01-02.21'!$A$11:$BB$406,41,FALSE)+VLOOKUP($A73,'ПР 21-22'!$A$11:$BB$406,41,FALSE)-VLOOKUP($A73,'ПР 01-02.22'!$A$11:$BB$378,41,FALSE)</f>
        <v>0</v>
      </c>
      <c r="AP73" s="40"/>
      <c r="AQ73" s="5">
        <f>VLOOKUP($A73,'ПР 01-02.21'!$A$11:$BB$406,43,FALSE)+VLOOKUP($A73,'ПР 21-22'!$A$11:$BB$406,43,FALSE)-VLOOKUP($A73,'ПР 01-02.22'!$A$11:$BB$378,43,FALSE)</f>
        <v>0</v>
      </c>
      <c r="AR73" s="5">
        <f>VLOOKUP($A73,'ПР 01-02.21'!$A$11:$BB$406,44,FALSE)+VLOOKUP($A73,'ПР 21-22'!$A$11:$BB$406,44,FALSE)-VLOOKUP($A73,'ПР 01-02.22'!$A$11:$BB$378,44,FALSE)</f>
        <v>0</v>
      </c>
      <c r="AS73" s="40"/>
      <c r="AT73" s="5">
        <f>VLOOKUP($A73,'ПР 01-02.21'!$A$11:$BB$406,46,FALSE)+VLOOKUP($A73,'ПР 21-22'!$A$11:$BB$406,46,FALSE)-VLOOKUP($A73,'ПР 01-02.22'!$A$11:$BB$378,46,FALSE)</f>
        <v>715.52047555330489</v>
      </c>
      <c r="AU73" s="5">
        <f>VLOOKUP($A73,'ПР 01-02.21'!$A$11:$BB$406,47,FALSE)+VLOOKUP($A73,'ПР 21-22'!$A$11:$BB$406,47,FALSE)-VLOOKUP($A73,'ПР 01-02.22'!$A$11:$BB$378,47,FALSE)</f>
        <v>949</v>
      </c>
      <c r="AV73" s="40"/>
      <c r="AW73" s="5">
        <f>VLOOKUP($A73,'ПР 01-02.21'!$A$11:$BB$406,49,FALSE)+VLOOKUP($A73,'ПР 21-22'!$A$11:$BB$406,49,FALSE)-VLOOKUP($A73,'ПР 01-02.22'!$A$11:$BB$378,49,FALSE)</f>
        <v>94.470399999999998</v>
      </c>
      <c r="AX73" s="5">
        <f>VLOOKUP($A73,'ПР 01-02.21'!$A$11:$BB$406,50,FALSE)+VLOOKUP($A73,'ПР 21-22'!$A$11:$BB$406,50,FALSE)-VLOOKUP($A73,'ПР 01-02.22'!$A$11:$BB$378,50,FALSE)</f>
        <v>0</v>
      </c>
      <c r="AY73" s="40"/>
      <c r="AZ73" s="40">
        <f t="shared" si="3"/>
        <v>5301.9645954218977</v>
      </c>
      <c r="BA73" s="40">
        <f t="shared" si="3"/>
        <v>949</v>
      </c>
      <c r="BB73" s="55">
        <f t="shared" si="4"/>
        <v>-4352.9645954218977</v>
      </c>
      <c r="BD73" s="2">
        <v>2</v>
      </c>
      <c r="BF73" s="325">
        <v>150000521</v>
      </c>
    </row>
    <row r="74" spans="1:58" ht="24.9" customHeight="1" x14ac:dyDescent="0.3">
      <c r="A74" s="325">
        <v>150000522</v>
      </c>
      <c r="B74" s="445" t="s">
        <v>57</v>
      </c>
      <c r="C74" s="27">
        <v>1</v>
      </c>
      <c r="D74" s="101" t="s">
        <v>455</v>
      </c>
      <c r="E74" s="279">
        <f>'побудинковий звіт'!E72</f>
        <v>269.89999999999998</v>
      </c>
      <c r="F74" s="441">
        <f>'побудинковий звіт'!AS72</f>
        <v>2931.9929993998753</v>
      </c>
      <c r="G74" s="441">
        <f t="shared" si="1"/>
        <v>0</v>
      </c>
      <c r="H74" s="73">
        <f t="shared" si="2"/>
        <v>-2931.9929993998753</v>
      </c>
      <c r="I74" s="5">
        <f>VLOOKUP($A74,'ПР 01-02.21'!$A$11:$BB$406,9,FALSE)+VLOOKUP($A74,'ПР 21-22'!$A$11:$BB$406,9,FALSE)-VLOOKUP($A74,'ПР 01-02.22'!$A$11:$BB$378,9,FALSE)</f>
        <v>0</v>
      </c>
      <c r="J74" s="5">
        <f>VLOOKUP($A74,'ПР 01-02.21'!$A$11:$BB$406,10,FALSE)+VLOOKUP($A74,'ПР 21-22'!$A$11:$BB$406,10,FALSE)-VLOOKUP($A74,'ПР 01-02.22'!$A$11:$BB$378,10,FALSE)</f>
        <v>0</v>
      </c>
      <c r="K74" s="446"/>
      <c r="L74" s="5">
        <f>VLOOKUP($A74,'ПР 01-02.21'!$A$11:$BB$406,12,FALSE)+VLOOKUP($A74,'ПР 21-22'!$A$11:$BB$406,12,FALSE)-VLOOKUP($A74,'ПР 01-02.22'!$A$11:$BB$378,12,FALSE)</f>
        <v>0</v>
      </c>
      <c r="M74" s="5">
        <f>VLOOKUP($A74,'ПР 01-02.21'!$A$11:$BB$406,13,FALSE)+VLOOKUP($A74,'ПР 21-22'!$A$11:$BB$406,13,FALSE)-VLOOKUP($A74,'ПР 01-02.22'!$A$11:$BB$378,13,FALSE)</f>
        <v>0</v>
      </c>
      <c r="N74" s="38"/>
      <c r="O74" s="5">
        <f>VLOOKUP($A74,'ПР 01-02.21'!$A$11:$BB$406,15,FALSE)+VLOOKUP($A74,'ПР 21-22'!$A$11:$BB$406,15,FALSE)-VLOOKUP($A74,'ПР 01-02.22'!$A$11:$BB$378,15,FALSE)</f>
        <v>0</v>
      </c>
      <c r="P74" s="5">
        <f>VLOOKUP($A74,'ПР 01-02.21'!$A$11:$BB$406,16,FALSE)+VLOOKUP($A74,'ПР 21-22'!$A$11:$BB$406,16,FALSE)-VLOOKUP($A74,'ПР 01-02.22'!$A$11:$BB$378,16,FALSE)</f>
        <v>0</v>
      </c>
      <c r="Q74" s="443"/>
      <c r="R74" s="5">
        <f>VLOOKUP($A74,'ПР 01-02.21'!$A$11:$BB$406,18,FALSE)+VLOOKUP($A74,'ПР 21-22'!$A$11:$BB$406,18,FALSE)-VLOOKUP($A74,'ПР 01-02.22'!$A$11:$BB$378,18,FALSE)</f>
        <v>0</v>
      </c>
      <c r="S74" s="5">
        <f>VLOOKUP($A74,'ПР 01-02.21'!$A$11:$BB$406,19,FALSE)+VLOOKUP($A74,'ПР 21-22'!$A$11:$BB$406,19,FALSE)-VLOOKUP($A74,'ПР 01-02.22'!$A$11:$BB$378,19,FALSE)</f>
        <v>0</v>
      </c>
      <c r="T74" s="444"/>
      <c r="U74" s="5">
        <f>VLOOKUP($A74,'ПР 01-02.21'!$A$11:$BB$406,21,FALSE)+VLOOKUP($A74,'ПР 21-22'!$A$11:$BB$406,21,FALSE)-VLOOKUP($A74,'ПР 01-02.22'!$A$11:$BB$378,21,FALSE)</f>
        <v>0</v>
      </c>
      <c r="V74" s="5"/>
      <c r="W74" s="5">
        <f>VLOOKUP($A74,'ПР 01-02.21'!$A$11:$BB$406,23,FALSE)+VLOOKUP($A74,'ПР 21-22'!$A$11:$BB$406,23,FALSE)-VLOOKUP($A74,'ПР 01-02.22'!$A$11:$BB$378,23,FALSE)</f>
        <v>0</v>
      </c>
      <c r="X74" s="5">
        <f>VLOOKUP($A74,'ПР 01-02.21'!$A$11:$BB$406,24,FALSE)+VLOOKUP($A74,'ПР 21-22'!$A$11:$BB$406,24,FALSE)-VLOOKUP($A74,'ПР 01-02.22'!$A$11:$BB$378,24,FALSE)</f>
        <v>0</v>
      </c>
      <c r="Y74" s="5">
        <f>VLOOKUP($A74,'ПР 01-02.21'!$A$11:$BB$406,25,FALSE)+VLOOKUP($A74,'ПР 21-22'!$A$11:$BB$406,25,FALSE)-VLOOKUP($A74,'ПР 01-02.22'!$A$11:$BB$378,25,FALSE)</f>
        <v>0</v>
      </c>
      <c r="Z74" s="5"/>
      <c r="AA74" s="5">
        <f>VLOOKUP($A74,'ПР 01-02.21'!$A$11:$BB$406,27,FALSE)+VLOOKUP($A74,'ПР 21-22'!$A$11:$BB$406,27,FALSE)-VLOOKUP($A74,'ПР 01-02.22'!$A$11:$BB$378,27,FALSE)</f>
        <v>0</v>
      </c>
      <c r="AB74" s="5">
        <f>VLOOKUP($A74,'ПР 01-02.21'!$A$11:$BB$406,28,FALSE)+VLOOKUP($A74,'ПР 21-22'!$A$11:$BB$406,28,FALSE)-VLOOKUP($A74,'ПР 01-02.22'!$A$11:$BB$378,28,FALSE)</f>
        <v>0</v>
      </c>
      <c r="AC74" s="5">
        <f>VLOOKUP($A74,'ПР 01-02.21'!$A$11:$BB$406,29,FALSE)+VLOOKUP($A74,'ПР 21-22'!$A$11:$BB$406,29,FALSE)-VLOOKUP($A74,'ПР 01-02.22'!$A$11:$BB$378,29,FALSE)</f>
        <v>0</v>
      </c>
      <c r="AD74" s="5">
        <f>VLOOKUP($A74,'ПР 01-02.21'!$A$11:$BB$406,30,FALSE)+VLOOKUP($A74,'ПР 21-22'!$A$11:$BB$406,30,FALSE)-VLOOKUP($A74,'ПР 01-02.22'!$A$11:$BB$378,30,FALSE)</f>
        <v>0</v>
      </c>
      <c r="AE74" s="5">
        <f>VLOOKUP($A74,'ПР 01-02.21'!$A$11:$BB$406,31,FALSE)+VLOOKUP($A74,'ПР 21-22'!$A$11:$BB$406,31,FALSE)-VLOOKUP($A74,'ПР 01-02.22'!$A$11:$BB$378,31,FALSE)</f>
        <v>0</v>
      </c>
      <c r="AF74" s="5">
        <f>VLOOKUP($A74,'ПР 01-02.21'!$A$11:$BB$406,32,FALSE)+VLOOKUP($A74,'ПР 21-22'!$A$11:$BB$406,32,FALSE)-VLOOKUP($A74,'ПР 01-02.22'!$A$11:$BB$378,32,FALSE)</f>
        <v>0</v>
      </c>
      <c r="AG74" s="40"/>
      <c r="AH74" s="5">
        <f>VLOOKUP($A74,'ПР 01-02.21'!$A$11:$BB$406,34,FALSE)+VLOOKUP($A74,'ПР 21-22'!$A$11:$BB$406,34,FALSE)-VLOOKUP($A74,'ПР 01-02.22'!$A$11:$BB$378,34,FALSE)</f>
        <v>0</v>
      </c>
      <c r="AI74" s="5">
        <f>VLOOKUP($A74,'ПР 01-02.21'!$A$11:$BB$406,35,FALSE)+VLOOKUP($A74,'ПР 21-22'!$A$11:$BB$406,35,FALSE)-VLOOKUP($A74,'ПР 01-02.22'!$A$11:$BB$378,35,FALSE)</f>
        <v>0</v>
      </c>
      <c r="AJ74" s="40"/>
      <c r="AK74" s="5">
        <f>VLOOKUP($A74,'ПР 01-02.21'!$A$11:$BB$406,37,FALSE)+VLOOKUP($A74,'ПР 21-22'!$A$11:$BB$406,37,FALSE)-VLOOKUP($A74,'ПР 01-02.22'!$A$11:$BB$378,37,FALSE)</f>
        <v>0</v>
      </c>
      <c r="AL74" s="5">
        <f>VLOOKUP($A74,'ПР 01-02.21'!$A$11:$BB$406,38,FALSE)+VLOOKUP($A74,'ПР 21-22'!$A$11:$BB$406,38,FALSE)-VLOOKUP($A74,'ПР 01-02.22'!$A$11:$BB$378,38,FALSE)</f>
        <v>0</v>
      </c>
      <c r="AM74" s="40"/>
      <c r="AN74" s="5">
        <f>VLOOKUP($A74,'ПР 01-02.21'!$A$11:$BB$406,40,FALSE)+VLOOKUP($A74,'ПР 21-22'!$A$11:$BB$406,40,FALSE)-VLOOKUP($A74,'ПР 01-02.22'!$A$11:$BB$378,40,FALSE)</f>
        <v>0</v>
      </c>
      <c r="AO74" s="5">
        <f>VLOOKUP($A74,'ПР 01-02.21'!$A$11:$BB$406,41,FALSE)+VLOOKUP($A74,'ПР 21-22'!$A$11:$BB$406,41,FALSE)-VLOOKUP($A74,'ПР 01-02.22'!$A$11:$BB$378,41,FALSE)</f>
        <v>0</v>
      </c>
      <c r="AP74" s="40"/>
      <c r="AQ74" s="5">
        <f>VLOOKUP($A74,'ПР 01-02.21'!$A$11:$BB$406,43,FALSE)+VLOOKUP($A74,'ПР 21-22'!$A$11:$BB$406,43,FALSE)-VLOOKUP($A74,'ПР 01-02.22'!$A$11:$BB$378,43,FALSE)</f>
        <v>0</v>
      </c>
      <c r="AR74" s="5">
        <f>VLOOKUP($A74,'ПР 01-02.21'!$A$11:$BB$406,44,FALSE)+VLOOKUP($A74,'ПР 21-22'!$A$11:$BB$406,44,FALSE)-VLOOKUP($A74,'ПР 01-02.22'!$A$11:$BB$378,44,FALSE)</f>
        <v>0</v>
      </c>
      <c r="AS74" s="40"/>
      <c r="AT74" s="5">
        <f>VLOOKUP($A74,'ПР 01-02.21'!$A$11:$BB$406,46,FALSE)+VLOOKUP($A74,'ПР 21-22'!$A$11:$BB$406,46,FALSE)-VLOOKUP($A74,'ПР 01-02.22'!$A$11:$BB$378,46,FALSE)</f>
        <v>0</v>
      </c>
      <c r="AU74" s="5">
        <f>VLOOKUP($A74,'ПР 01-02.21'!$A$11:$BB$406,47,FALSE)+VLOOKUP($A74,'ПР 21-22'!$A$11:$BB$406,47,FALSE)-VLOOKUP($A74,'ПР 01-02.22'!$A$11:$BB$378,47,FALSE)</f>
        <v>0</v>
      </c>
      <c r="AV74" s="40"/>
      <c r="AW74" s="5">
        <f>VLOOKUP($A74,'ПР 01-02.21'!$A$11:$BB$406,49,FALSE)+VLOOKUP($A74,'ПР 21-22'!$A$11:$BB$406,49,FALSE)-VLOOKUP($A74,'ПР 01-02.22'!$A$11:$BB$378,49,FALSE)</f>
        <v>16.470434234966916</v>
      </c>
      <c r="AX74" s="5">
        <f>VLOOKUP($A74,'ПР 01-02.21'!$A$11:$BB$406,50,FALSE)+VLOOKUP($A74,'ПР 21-22'!$A$11:$BB$406,50,FALSE)-VLOOKUP($A74,'ПР 01-02.22'!$A$11:$BB$378,50,FALSE)</f>
        <v>0</v>
      </c>
      <c r="AY74" s="40"/>
      <c r="AZ74" s="40">
        <f t="shared" ref="AZ74:BA131" si="5">AE74+AH74+AK74+AN74+AQ74+AT74+AW74</f>
        <v>16.470434234966916</v>
      </c>
      <c r="BA74" s="40">
        <f t="shared" si="5"/>
        <v>0</v>
      </c>
      <c r="BB74" s="55">
        <f t="shared" si="4"/>
        <v>-16.470434234966916</v>
      </c>
      <c r="BD74" s="2">
        <v>1</v>
      </c>
      <c r="BF74" s="325">
        <v>150000522</v>
      </c>
    </row>
    <row r="75" spans="1:58" ht="24.9" customHeight="1" x14ac:dyDescent="0.3">
      <c r="A75" s="325">
        <v>150000523</v>
      </c>
      <c r="B75" s="445" t="s">
        <v>58</v>
      </c>
      <c r="C75" s="27">
        <v>1</v>
      </c>
      <c r="D75" s="101" t="s">
        <v>455</v>
      </c>
      <c r="E75" s="279">
        <f>'побудинковий звіт'!E73</f>
        <v>300.7</v>
      </c>
      <c r="F75" s="441">
        <f>'побудинковий звіт'!AS73</f>
        <v>3109.6678600275709</v>
      </c>
      <c r="G75" s="441">
        <f t="shared" ref="G75:G137" si="6">J75+M75+P75+S75+U75+X75+Y75+AA75+AB75+AC75+AD75</f>
        <v>4349</v>
      </c>
      <c r="H75" s="73">
        <f t="shared" ref="H75:H137" si="7">G75-F75</f>
        <v>1239.3321399724291</v>
      </c>
      <c r="I75" s="5">
        <f>VLOOKUP($A75,'ПР 01-02.21'!$A$11:$BB$406,9,FALSE)+VLOOKUP($A75,'ПР 21-22'!$A$11:$BB$406,9,FALSE)-VLOOKUP($A75,'ПР 01-02.22'!$A$11:$BB$378,9,FALSE)</f>
        <v>0</v>
      </c>
      <c r="J75" s="5">
        <f>VLOOKUP($A75,'ПР 01-02.21'!$A$11:$BB$406,10,FALSE)+VLOOKUP($A75,'ПР 21-22'!$A$11:$BB$406,10,FALSE)-VLOOKUP($A75,'ПР 01-02.22'!$A$11:$BB$378,10,FALSE)</f>
        <v>2051</v>
      </c>
      <c r="K75" s="446"/>
      <c r="L75" s="5">
        <f>VLOOKUP($A75,'ПР 01-02.21'!$A$11:$BB$406,12,FALSE)+VLOOKUP($A75,'ПР 21-22'!$A$11:$BB$406,12,FALSE)-VLOOKUP($A75,'ПР 01-02.22'!$A$11:$BB$378,12,FALSE)</f>
        <v>0</v>
      </c>
      <c r="M75" s="5">
        <f>VLOOKUP($A75,'ПР 01-02.21'!$A$11:$BB$406,13,FALSE)+VLOOKUP($A75,'ПР 21-22'!$A$11:$BB$406,13,FALSE)-VLOOKUP($A75,'ПР 01-02.22'!$A$11:$BB$378,13,FALSE)</f>
        <v>0</v>
      </c>
      <c r="N75" s="38"/>
      <c r="O75" s="5">
        <f>VLOOKUP($A75,'ПР 01-02.21'!$A$11:$BB$406,15,FALSE)+VLOOKUP($A75,'ПР 21-22'!$A$11:$BB$406,15,FALSE)-VLOOKUP($A75,'ПР 01-02.22'!$A$11:$BB$378,15,FALSE)</f>
        <v>0</v>
      </c>
      <c r="P75" s="5">
        <f>VLOOKUP($A75,'ПР 01-02.21'!$A$11:$BB$406,16,FALSE)+VLOOKUP($A75,'ПР 21-22'!$A$11:$BB$406,16,FALSE)-VLOOKUP($A75,'ПР 01-02.22'!$A$11:$BB$378,16,FALSE)</f>
        <v>0</v>
      </c>
      <c r="Q75" s="443"/>
      <c r="R75" s="5">
        <f>VLOOKUP($A75,'ПР 01-02.21'!$A$11:$BB$406,18,FALSE)+VLOOKUP($A75,'ПР 21-22'!$A$11:$BB$406,18,FALSE)-VLOOKUP($A75,'ПР 01-02.22'!$A$11:$BB$378,18,FALSE)</f>
        <v>0</v>
      </c>
      <c r="S75" s="5">
        <f>VLOOKUP($A75,'ПР 01-02.21'!$A$11:$BB$406,19,FALSE)+VLOOKUP($A75,'ПР 21-22'!$A$11:$BB$406,19,FALSE)-VLOOKUP($A75,'ПР 01-02.22'!$A$11:$BB$378,19,FALSE)</f>
        <v>0</v>
      </c>
      <c r="T75" s="444"/>
      <c r="U75" s="5">
        <f>VLOOKUP($A75,'ПР 01-02.21'!$A$11:$BB$406,21,FALSE)+VLOOKUP($A75,'ПР 21-22'!$A$11:$BB$406,21,FALSE)-VLOOKUP($A75,'ПР 01-02.22'!$A$11:$BB$378,21,FALSE)</f>
        <v>0</v>
      </c>
      <c r="V75" s="5"/>
      <c r="W75" s="5">
        <f>VLOOKUP($A75,'ПР 01-02.21'!$A$11:$BB$406,23,FALSE)+VLOOKUP($A75,'ПР 21-22'!$A$11:$BB$406,23,FALSE)-VLOOKUP($A75,'ПР 01-02.22'!$A$11:$BB$378,23,FALSE)</f>
        <v>0</v>
      </c>
      <c r="X75" s="5">
        <f>VLOOKUP($A75,'ПР 01-02.21'!$A$11:$BB$406,24,FALSE)+VLOOKUP($A75,'ПР 21-22'!$A$11:$BB$406,24,FALSE)-VLOOKUP($A75,'ПР 01-02.22'!$A$11:$BB$378,24,FALSE)</f>
        <v>0</v>
      </c>
      <c r="Y75" s="5">
        <f>VLOOKUP($A75,'ПР 01-02.21'!$A$11:$BB$406,25,FALSE)+VLOOKUP($A75,'ПР 21-22'!$A$11:$BB$406,25,FALSE)-VLOOKUP($A75,'ПР 01-02.22'!$A$11:$BB$378,25,FALSE)</f>
        <v>0</v>
      </c>
      <c r="Z75" s="5"/>
      <c r="AA75" s="5">
        <f>VLOOKUP($A75,'ПР 01-02.21'!$A$11:$BB$406,27,FALSE)+VLOOKUP($A75,'ПР 21-22'!$A$11:$BB$406,27,FALSE)-VLOOKUP($A75,'ПР 01-02.22'!$A$11:$BB$378,27,FALSE)</f>
        <v>0</v>
      </c>
      <c r="AB75" s="5">
        <f>VLOOKUP($A75,'ПР 01-02.21'!$A$11:$BB$406,28,FALSE)+VLOOKUP($A75,'ПР 21-22'!$A$11:$BB$406,28,FALSE)-VLOOKUP($A75,'ПР 01-02.22'!$A$11:$BB$378,28,FALSE)</f>
        <v>0</v>
      </c>
      <c r="AC75" s="5">
        <f>VLOOKUP($A75,'ПР 01-02.21'!$A$11:$BB$406,29,FALSE)+VLOOKUP($A75,'ПР 21-22'!$A$11:$BB$406,29,FALSE)-VLOOKUP($A75,'ПР 01-02.22'!$A$11:$BB$378,29,FALSE)</f>
        <v>0</v>
      </c>
      <c r="AD75" s="5">
        <f>VLOOKUP($A75,'ПР 01-02.21'!$A$11:$BB$406,30,FALSE)+VLOOKUP($A75,'ПР 21-22'!$A$11:$BB$406,30,FALSE)-VLOOKUP($A75,'ПР 01-02.22'!$A$11:$BB$378,30,FALSE)</f>
        <v>2298</v>
      </c>
      <c r="AE75" s="5">
        <f>VLOOKUP($A75,'ПР 01-02.21'!$A$11:$BB$406,31,FALSE)+VLOOKUP($A75,'ПР 21-22'!$A$11:$BB$406,31,FALSE)-VLOOKUP($A75,'ПР 01-02.22'!$A$11:$BB$378,31,FALSE)</f>
        <v>0</v>
      </c>
      <c r="AF75" s="5">
        <f>VLOOKUP($A75,'ПР 01-02.21'!$A$11:$BB$406,32,FALSE)+VLOOKUP($A75,'ПР 21-22'!$A$11:$BB$406,32,FALSE)-VLOOKUP($A75,'ПР 01-02.22'!$A$11:$BB$378,32,FALSE)</f>
        <v>0</v>
      </c>
      <c r="AG75" s="40"/>
      <c r="AH75" s="5">
        <f>VLOOKUP($A75,'ПР 01-02.21'!$A$11:$BB$406,34,FALSE)+VLOOKUP($A75,'ПР 21-22'!$A$11:$BB$406,34,FALSE)-VLOOKUP($A75,'ПР 01-02.22'!$A$11:$BB$378,34,FALSE)</f>
        <v>0</v>
      </c>
      <c r="AI75" s="5">
        <f>VLOOKUP($A75,'ПР 01-02.21'!$A$11:$BB$406,35,FALSE)+VLOOKUP($A75,'ПР 21-22'!$A$11:$BB$406,35,FALSE)-VLOOKUP($A75,'ПР 01-02.22'!$A$11:$BB$378,35,FALSE)</f>
        <v>0</v>
      </c>
      <c r="AJ75" s="40"/>
      <c r="AK75" s="5">
        <f>VLOOKUP($A75,'ПР 01-02.21'!$A$11:$BB$406,37,FALSE)+VLOOKUP($A75,'ПР 21-22'!$A$11:$BB$406,37,FALSE)-VLOOKUP($A75,'ПР 01-02.22'!$A$11:$BB$378,37,FALSE)</f>
        <v>0</v>
      </c>
      <c r="AL75" s="5">
        <f>VLOOKUP($A75,'ПР 01-02.21'!$A$11:$BB$406,38,FALSE)+VLOOKUP($A75,'ПР 21-22'!$A$11:$BB$406,38,FALSE)-VLOOKUP($A75,'ПР 01-02.22'!$A$11:$BB$378,38,FALSE)</f>
        <v>0</v>
      </c>
      <c r="AM75" s="40"/>
      <c r="AN75" s="5">
        <f>VLOOKUP($A75,'ПР 01-02.21'!$A$11:$BB$406,40,FALSE)+VLOOKUP($A75,'ПР 21-22'!$A$11:$BB$406,40,FALSE)-VLOOKUP($A75,'ПР 01-02.22'!$A$11:$BB$378,40,FALSE)</f>
        <v>0</v>
      </c>
      <c r="AO75" s="5">
        <f>VLOOKUP($A75,'ПР 01-02.21'!$A$11:$BB$406,41,FALSE)+VLOOKUP($A75,'ПР 21-22'!$A$11:$BB$406,41,FALSE)-VLOOKUP($A75,'ПР 01-02.22'!$A$11:$BB$378,41,FALSE)</f>
        <v>0</v>
      </c>
      <c r="AP75" s="40"/>
      <c r="AQ75" s="5">
        <f>VLOOKUP($A75,'ПР 01-02.21'!$A$11:$BB$406,43,FALSE)+VLOOKUP($A75,'ПР 21-22'!$A$11:$BB$406,43,FALSE)-VLOOKUP($A75,'ПР 01-02.22'!$A$11:$BB$378,43,FALSE)</f>
        <v>0</v>
      </c>
      <c r="AR75" s="5">
        <f>VLOOKUP($A75,'ПР 01-02.21'!$A$11:$BB$406,44,FALSE)+VLOOKUP($A75,'ПР 21-22'!$A$11:$BB$406,44,FALSE)-VLOOKUP($A75,'ПР 01-02.22'!$A$11:$BB$378,44,FALSE)</f>
        <v>0</v>
      </c>
      <c r="AS75" s="40"/>
      <c r="AT75" s="5">
        <f>VLOOKUP($A75,'ПР 01-02.21'!$A$11:$BB$406,46,FALSE)+VLOOKUP($A75,'ПР 21-22'!$A$11:$BB$406,46,FALSE)-VLOOKUP($A75,'ПР 01-02.22'!$A$11:$BB$378,46,FALSE)</f>
        <v>0</v>
      </c>
      <c r="AU75" s="5">
        <f>VLOOKUP($A75,'ПР 01-02.21'!$A$11:$BB$406,47,FALSE)+VLOOKUP($A75,'ПР 21-22'!$A$11:$BB$406,47,FALSE)-VLOOKUP($A75,'ПР 01-02.22'!$A$11:$BB$378,47,FALSE)</f>
        <v>0</v>
      </c>
      <c r="AV75" s="40"/>
      <c r="AW75" s="5">
        <f>VLOOKUP($A75,'ПР 01-02.21'!$A$11:$BB$406,49,FALSE)+VLOOKUP($A75,'ПР 21-22'!$A$11:$BB$406,49,FALSE)-VLOOKUP($A75,'ПР 01-02.22'!$A$11:$BB$378,49,FALSE)</f>
        <v>21.272195417524664</v>
      </c>
      <c r="AX75" s="5">
        <f>VLOOKUP($A75,'ПР 01-02.21'!$A$11:$BB$406,50,FALSE)+VLOOKUP($A75,'ПР 21-22'!$A$11:$BB$406,50,FALSE)-VLOOKUP($A75,'ПР 01-02.22'!$A$11:$BB$378,50,FALSE)</f>
        <v>0</v>
      </c>
      <c r="AY75" s="40"/>
      <c r="AZ75" s="40">
        <f t="shared" si="5"/>
        <v>21.272195417524664</v>
      </c>
      <c r="BA75" s="40">
        <f t="shared" si="5"/>
        <v>0</v>
      </c>
      <c r="BB75" s="55">
        <f t="shared" ref="BB75:BB137" si="8">BA75-AZ75</f>
        <v>-21.272195417524664</v>
      </c>
      <c r="BD75" s="2">
        <v>1</v>
      </c>
      <c r="BF75" s="325">
        <v>150000523</v>
      </c>
    </row>
    <row r="76" spans="1:58" ht="24.9" customHeight="1" x14ac:dyDescent="0.3">
      <c r="A76" s="325">
        <v>150000524</v>
      </c>
      <c r="B76" s="445" t="s">
        <v>59</v>
      </c>
      <c r="C76" s="27">
        <v>1</v>
      </c>
      <c r="D76" s="101" t="s">
        <v>455</v>
      </c>
      <c r="E76" s="279">
        <f>'побудинковий звіт'!E74</f>
        <v>214.7</v>
      </c>
      <c r="F76" s="441">
        <f>'побудинковий звіт'!AS74</f>
        <v>0</v>
      </c>
      <c r="G76" s="441">
        <f t="shared" si="6"/>
        <v>0</v>
      </c>
      <c r="H76" s="73">
        <f t="shared" si="7"/>
        <v>0</v>
      </c>
      <c r="I76" s="5"/>
      <c r="J76" s="5"/>
      <c r="K76" s="446"/>
      <c r="L76" s="5"/>
      <c r="M76" s="5"/>
      <c r="N76" s="38"/>
      <c r="O76" s="5"/>
      <c r="P76" s="5"/>
      <c r="Q76" s="443"/>
      <c r="R76" s="5"/>
      <c r="S76" s="5"/>
      <c r="T76" s="444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40"/>
      <c r="AH76" s="5"/>
      <c r="AI76" s="5"/>
      <c r="AJ76" s="40"/>
      <c r="AK76" s="5"/>
      <c r="AL76" s="5"/>
      <c r="AM76" s="40"/>
      <c r="AN76" s="5"/>
      <c r="AO76" s="5"/>
      <c r="AP76" s="40"/>
      <c r="AQ76" s="5"/>
      <c r="AR76" s="5"/>
      <c r="AS76" s="40"/>
      <c r="AT76" s="5"/>
      <c r="AU76" s="5"/>
      <c r="AV76" s="40"/>
      <c r="AW76" s="5"/>
      <c r="AX76" s="5"/>
      <c r="AY76" s="40"/>
      <c r="AZ76" s="40">
        <f t="shared" si="5"/>
        <v>0</v>
      </c>
      <c r="BA76" s="40">
        <f t="shared" si="5"/>
        <v>0</v>
      </c>
      <c r="BB76" s="55">
        <f t="shared" si="8"/>
        <v>0</v>
      </c>
      <c r="BD76" s="2">
        <v>1</v>
      </c>
      <c r="BF76" s="325">
        <v>150000524</v>
      </c>
    </row>
    <row r="77" spans="1:58" ht="24.9" customHeight="1" x14ac:dyDescent="0.3">
      <c r="A77" s="325">
        <v>150000541</v>
      </c>
      <c r="B77" s="445" t="s">
        <v>60</v>
      </c>
      <c r="C77" s="27">
        <v>1</v>
      </c>
      <c r="D77" s="101" t="s">
        <v>455</v>
      </c>
      <c r="E77" s="279">
        <f>'побудинковий звіт'!E75</f>
        <v>150.19999999999999</v>
      </c>
      <c r="F77" s="441">
        <f>'побудинковий звіт'!AS75</f>
        <v>0</v>
      </c>
      <c r="G77" s="441">
        <f t="shared" si="6"/>
        <v>0</v>
      </c>
      <c r="H77" s="73">
        <f t="shared" si="7"/>
        <v>0</v>
      </c>
      <c r="I77" s="5"/>
      <c r="J77" s="5"/>
      <c r="K77" s="446"/>
      <c r="L77" s="5"/>
      <c r="M77" s="5"/>
      <c r="N77" s="38"/>
      <c r="O77" s="5"/>
      <c r="P77" s="5"/>
      <c r="Q77" s="443"/>
      <c r="R77" s="5"/>
      <c r="S77" s="5"/>
      <c r="T77" s="444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40"/>
      <c r="AH77" s="5"/>
      <c r="AI77" s="5"/>
      <c r="AJ77" s="40"/>
      <c r="AK77" s="5"/>
      <c r="AL77" s="5"/>
      <c r="AM77" s="40"/>
      <c r="AN77" s="5"/>
      <c r="AO77" s="5"/>
      <c r="AP77" s="40"/>
      <c r="AQ77" s="5"/>
      <c r="AR77" s="5"/>
      <c r="AS77" s="40"/>
      <c r="AT77" s="5"/>
      <c r="AU77" s="5"/>
      <c r="AV77" s="40"/>
      <c r="AW77" s="5"/>
      <c r="AX77" s="5"/>
      <c r="AY77" s="40"/>
      <c r="AZ77" s="40">
        <f t="shared" si="5"/>
        <v>0</v>
      </c>
      <c r="BA77" s="40">
        <f t="shared" si="5"/>
        <v>0</v>
      </c>
      <c r="BB77" s="55">
        <f t="shared" si="8"/>
        <v>0</v>
      </c>
      <c r="BD77" s="2">
        <v>1</v>
      </c>
      <c r="BF77" s="325">
        <v>150000541</v>
      </c>
    </row>
    <row r="78" spans="1:58" ht="24.9" customHeight="1" x14ac:dyDescent="0.3">
      <c r="A78" s="325">
        <v>150000527</v>
      </c>
      <c r="B78" s="445" t="s">
        <v>61</v>
      </c>
      <c r="C78" s="27">
        <v>1</v>
      </c>
      <c r="D78" s="101" t="s">
        <v>455</v>
      </c>
      <c r="E78" s="279">
        <f>'побудинковий звіт'!E76</f>
        <v>293.5</v>
      </c>
      <c r="F78" s="441">
        <f>'побудинковий звіт'!AS76</f>
        <v>3415.4955781973663</v>
      </c>
      <c r="G78" s="441">
        <f t="shared" si="6"/>
        <v>2298</v>
      </c>
      <c r="H78" s="73">
        <f t="shared" si="7"/>
        <v>-1117.4955781973663</v>
      </c>
      <c r="I78" s="5">
        <f>VLOOKUP($A78,'ПР 01-02.21'!$A$11:$BB$406,9,FALSE)+VLOOKUP($A78,'ПР 21-22'!$A$11:$BB$406,9,FALSE)-VLOOKUP($A78,'ПР 01-02.22'!$A$11:$BB$378,9,FALSE)</f>
        <v>0</v>
      </c>
      <c r="J78" s="5">
        <f>VLOOKUP($A78,'ПР 01-02.21'!$A$11:$BB$406,10,FALSE)+VLOOKUP($A78,'ПР 21-22'!$A$11:$BB$406,10,FALSE)-VLOOKUP($A78,'ПР 01-02.22'!$A$11:$BB$378,10,FALSE)</f>
        <v>0</v>
      </c>
      <c r="K78" s="446"/>
      <c r="L78" s="5">
        <f>VLOOKUP($A78,'ПР 01-02.21'!$A$11:$BB$406,12,FALSE)+VLOOKUP($A78,'ПР 21-22'!$A$11:$BB$406,12,FALSE)-VLOOKUP($A78,'ПР 01-02.22'!$A$11:$BB$378,12,FALSE)</f>
        <v>0</v>
      </c>
      <c r="M78" s="5">
        <f>VLOOKUP($A78,'ПР 01-02.21'!$A$11:$BB$406,13,FALSE)+VLOOKUP($A78,'ПР 21-22'!$A$11:$BB$406,13,FALSE)-VLOOKUP($A78,'ПР 01-02.22'!$A$11:$BB$378,13,FALSE)</f>
        <v>0</v>
      </c>
      <c r="N78" s="38"/>
      <c r="O78" s="5">
        <f>VLOOKUP($A78,'ПР 01-02.21'!$A$11:$BB$406,15,FALSE)+VLOOKUP($A78,'ПР 21-22'!$A$11:$BB$406,15,FALSE)-VLOOKUP($A78,'ПР 01-02.22'!$A$11:$BB$378,15,FALSE)</f>
        <v>0</v>
      </c>
      <c r="P78" s="5">
        <f>VLOOKUP($A78,'ПР 01-02.21'!$A$11:$BB$406,16,FALSE)+VLOOKUP($A78,'ПР 21-22'!$A$11:$BB$406,16,FALSE)-VLOOKUP($A78,'ПР 01-02.22'!$A$11:$BB$378,16,FALSE)</f>
        <v>0</v>
      </c>
      <c r="Q78" s="443"/>
      <c r="R78" s="5">
        <f>VLOOKUP($A78,'ПР 01-02.21'!$A$11:$BB$406,18,FALSE)+VLOOKUP($A78,'ПР 21-22'!$A$11:$BB$406,18,FALSE)-VLOOKUP($A78,'ПР 01-02.22'!$A$11:$BB$378,18,FALSE)</f>
        <v>0</v>
      </c>
      <c r="S78" s="5">
        <f>VLOOKUP($A78,'ПР 01-02.21'!$A$11:$BB$406,19,FALSE)+VLOOKUP($A78,'ПР 21-22'!$A$11:$BB$406,19,FALSE)-VLOOKUP($A78,'ПР 01-02.22'!$A$11:$BB$378,19,FALSE)</f>
        <v>0</v>
      </c>
      <c r="T78" s="444"/>
      <c r="U78" s="5">
        <f>VLOOKUP($A78,'ПР 01-02.21'!$A$11:$BB$406,21,FALSE)+VLOOKUP($A78,'ПР 21-22'!$A$11:$BB$406,21,FALSE)-VLOOKUP($A78,'ПР 01-02.22'!$A$11:$BB$378,21,FALSE)</f>
        <v>0</v>
      </c>
      <c r="V78" s="5"/>
      <c r="W78" s="5">
        <f>VLOOKUP($A78,'ПР 01-02.21'!$A$11:$BB$406,23,FALSE)+VLOOKUP($A78,'ПР 21-22'!$A$11:$BB$406,23,FALSE)-VLOOKUP($A78,'ПР 01-02.22'!$A$11:$BB$378,23,FALSE)</f>
        <v>0</v>
      </c>
      <c r="X78" s="5">
        <f>VLOOKUP($A78,'ПР 01-02.21'!$A$11:$BB$406,24,FALSE)+VLOOKUP($A78,'ПР 21-22'!$A$11:$BB$406,24,FALSE)-VLOOKUP($A78,'ПР 01-02.22'!$A$11:$BB$378,24,FALSE)</f>
        <v>0</v>
      </c>
      <c r="Y78" s="5">
        <f>VLOOKUP($A78,'ПР 01-02.21'!$A$11:$BB$406,25,FALSE)+VLOOKUP($A78,'ПР 21-22'!$A$11:$BB$406,25,FALSE)-VLOOKUP($A78,'ПР 01-02.22'!$A$11:$BB$378,25,FALSE)</f>
        <v>0</v>
      </c>
      <c r="Z78" s="5"/>
      <c r="AA78" s="5">
        <f>VLOOKUP($A78,'ПР 01-02.21'!$A$11:$BB$406,27,FALSE)+VLOOKUP($A78,'ПР 21-22'!$A$11:$BB$406,27,FALSE)-VLOOKUP($A78,'ПР 01-02.22'!$A$11:$BB$378,27,FALSE)</f>
        <v>0</v>
      </c>
      <c r="AB78" s="5">
        <f>VLOOKUP($A78,'ПР 01-02.21'!$A$11:$BB$406,28,FALSE)+VLOOKUP($A78,'ПР 21-22'!$A$11:$BB$406,28,FALSE)-VLOOKUP($A78,'ПР 01-02.22'!$A$11:$BB$378,28,FALSE)</f>
        <v>0</v>
      </c>
      <c r="AC78" s="5">
        <f>VLOOKUP($A78,'ПР 01-02.21'!$A$11:$BB$406,29,FALSE)+VLOOKUP($A78,'ПР 21-22'!$A$11:$BB$406,29,FALSE)-VLOOKUP($A78,'ПР 01-02.22'!$A$11:$BB$378,29,FALSE)</f>
        <v>0</v>
      </c>
      <c r="AD78" s="5">
        <f>VLOOKUP($A78,'ПР 01-02.21'!$A$11:$BB$406,30,FALSE)+VLOOKUP($A78,'ПР 21-22'!$A$11:$BB$406,30,FALSE)-VLOOKUP($A78,'ПР 01-02.22'!$A$11:$BB$378,30,FALSE)</f>
        <v>2298</v>
      </c>
      <c r="AE78" s="5">
        <f>VLOOKUP($A78,'ПР 01-02.21'!$A$11:$BB$406,31,FALSE)+VLOOKUP($A78,'ПР 21-22'!$A$11:$BB$406,31,FALSE)-VLOOKUP($A78,'ПР 01-02.22'!$A$11:$BB$378,31,FALSE)</f>
        <v>0</v>
      </c>
      <c r="AF78" s="5">
        <f>VLOOKUP($A78,'ПР 01-02.21'!$A$11:$BB$406,32,FALSE)+VLOOKUP($A78,'ПР 21-22'!$A$11:$BB$406,32,FALSE)-VLOOKUP($A78,'ПР 01-02.22'!$A$11:$BB$378,32,FALSE)</f>
        <v>0</v>
      </c>
      <c r="AG78" s="40"/>
      <c r="AH78" s="5">
        <f>VLOOKUP($A78,'ПР 01-02.21'!$A$11:$BB$406,34,FALSE)+VLOOKUP($A78,'ПР 21-22'!$A$11:$BB$406,34,FALSE)-VLOOKUP($A78,'ПР 01-02.22'!$A$11:$BB$378,34,FALSE)</f>
        <v>0</v>
      </c>
      <c r="AI78" s="5">
        <f>VLOOKUP($A78,'ПР 01-02.21'!$A$11:$BB$406,35,FALSE)+VLOOKUP($A78,'ПР 21-22'!$A$11:$BB$406,35,FALSE)-VLOOKUP($A78,'ПР 01-02.22'!$A$11:$BB$378,35,FALSE)</f>
        <v>0</v>
      </c>
      <c r="AJ78" s="40"/>
      <c r="AK78" s="5">
        <f>VLOOKUP($A78,'ПР 01-02.21'!$A$11:$BB$406,37,FALSE)+VLOOKUP($A78,'ПР 21-22'!$A$11:$BB$406,37,FALSE)-VLOOKUP($A78,'ПР 01-02.22'!$A$11:$BB$378,37,FALSE)</f>
        <v>0</v>
      </c>
      <c r="AL78" s="5">
        <f>VLOOKUP($A78,'ПР 01-02.21'!$A$11:$BB$406,38,FALSE)+VLOOKUP($A78,'ПР 21-22'!$A$11:$BB$406,38,FALSE)-VLOOKUP($A78,'ПР 01-02.22'!$A$11:$BB$378,38,FALSE)</f>
        <v>0</v>
      </c>
      <c r="AM78" s="40"/>
      <c r="AN78" s="5">
        <f>VLOOKUP($A78,'ПР 01-02.21'!$A$11:$BB$406,40,FALSE)+VLOOKUP($A78,'ПР 21-22'!$A$11:$BB$406,40,FALSE)-VLOOKUP($A78,'ПР 01-02.22'!$A$11:$BB$378,40,FALSE)</f>
        <v>0</v>
      </c>
      <c r="AO78" s="5">
        <f>VLOOKUP($A78,'ПР 01-02.21'!$A$11:$BB$406,41,FALSE)+VLOOKUP($A78,'ПР 21-22'!$A$11:$BB$406,41,FALSE)-VLOOKUP($A78,'ПР 01-02.22'!$A$11:$BB$378,41,FALSE)</f>
        <v>0</v>
      </c>
      <c r="AP78" s="40"/>
      <c r="AQ78" s="5">
        <f>VLOOKUP($A78,'ПР 01-02.21'!$A$11:$BB$406,43,FALSE)+VLOOKUP($A78,'ПР 21-22'!$A$11:$BB$406,43,FALSE)-VLOOKUP($A78,'ПР 01-02.22'!$A$11:$BB$378,43,FALSE)</f>
        <v>0</v>
      </c>
      <c r="AR78" s="5">
        <f>VLOOKUP($A78,'ПР 01-02.21'!$A$11:$BB$406,44,FALSE)+VLOOKUP($A78,'ПР 21-22'!$A$11:$BB$406,44,FALSE)-VLOOKUP($A78,'ПР 01-02.22'!$A$11:$BB$378,44,FALSE)</f>
        <v>0</v>
      </c>
      <c r="AS78" s="40"/>
      <c r="AT78" s="5">
        <f>VLOOKUP($A78,'ПР 01-02.21'!$A$11:$BB$406,46,FALSE)+VLOOKUP($A78,'ПР 21-22'!$A$11:$BB$406,46,FALSE)-VLOOKUP($A78,'ПР 01-02.22'!$A$11:$BB$378,46,FALSE)</f>
        <v>0</v>
      </c>
      <c r="AU78" s="5">
        <f>VLOOKUP($A78,'ПР 01-02.21'!$A$11:$BB$406,47,FALSE)+VLOOKUP($A78,'ПР 21-22'!$A$11:$BB$406,47,FALSE)-VLOOKUP($A78,'ПР 01-02.22'!$A$11:$BB$378,47,FALSE)</f>
        <v>0</v>
      </c>
      <c r="AV78" s="40"/>
      <c r="AW78" s="5">
        <f>VLOOKUP($A78,'ПР 01-02.21'!$A$11:$BB$406,49,FALSE)+VLOOKUP($A78,'ПР 21-22'!$A$11:$BB$406,49,FALSE)-VLOOKUP($A78,'ПР 01-02.22'!$A$11:$BB$378,49,FALSE)</f>
        <v>16.470434234966916</v>
      </c>
      <c r="AX78" s="5">
        <f>VLOOKUP($A78,'ПР 01-02.21'!$A$11:$BB$406,50,FALSE)+VLOOKUP($A78,'ПР 21-22'!$A$11:$BB$406,50,FALSE)-VLOOKUP($A78,'ПР 01-02.22'!$A$11:$BB$378,50,FALSE)</f>
        <v>0</v>
      </c>
      <c r="AY78" s="40"/>
      <c r="AZ78" s="40">
        <f t="shared" si="5"/>
        <v>16.470434234966916</v>
      </c>
      <c r="BA78" s="40">
        <f t="shared" si="5"/>
        <v>0</v>
      </c>
      <c r="BB78" s="55">
        <f t="shared" si="8"/>
        <v>-16.470434234966916</v>
      </c>
      <c r="BD78" s="2">
        <v>1</v>
      </c>
      <c r="BF78" s="325">
        <v>150000527</v>
      </c>
    </row>
    <row r="79" spans="1:58" ht="24.9" customHeight="1" x14ac:dyDescent="0.3">
      <c r="A79" s="325">
        <v>150000542</v>
      </c>
      <c r="B79" s="445" t="s">
        <v>62</v>
      </c>
      <c r="C79" s="27">
        <v>1</v>
      </c>
      <c r="D79" s="101" t="s">
        <v>455</v>
      </c>
      <c r="E79" s="279">
        <f>'побудинковий звіт'!E77</f>
        <v>164.7</v>
      </c>
      <c r="F79" s="441">
        <f>'побудинковий звіт'!AS77</f>
        <v>0</v>
      </c>
      <c r="G79" s="441">
        <f t="shared" si="6"/>
        <v>0</v>
      </c>
      <c r="H79" s="73">
        <f t="shared" si="7"/>
        <v>0</v>
      </c>
      <c r="I79" s="5"/>
      <c r="J79" s="5"/>
      <c r="K79" s="446"/>
      <c r="L79" s="5"/>
      <c r="M79" s="5"/>
      <c r="N79" s="38"/>
      <c r="O79" s="5"/>
      <c r="P79" s="5"/>
      <c r="Q79" s="443"/>
      <c r="R79" s="5"/>
      <c r="S79" s="5"/>
      <c r="T79" s="444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40"/>
      <c r="AH79" s="5"/>
      <c r="AI79" s="5"/>
      <c r="AJ79" s="40"/>
      <c r="AK79" s="5"/>
      <c r="AL79" s="5"/>
      <c r="AM79" s="40"/>
      <c r="AN79" s="5"/>
      <c r="AO79" s="5"/>
      <c r="AP79" s="40"/>
      <c r="AQ79" s="5"/>
      <c r="AR79" s="5"/>
      <c r="AS79" s="40"/>
      <c r="AT79" s="5"/>
      <c r="AU79" s="5"/>
      <c r="AV79" s="40"/>
      <c r="AW79" s="5"/>
      <c r="AX79" s="5"/>
      <c r="AY79" s="40"/>
      <c r="AZ79" s="40">
        <f t="shared" si="5"/>
        <v>0</v>
      </c>
      <c r="BA79" s="40">
        <f t="shared" si="5"/>
        <v>0</v>
      </c>
      <c r="BB79" s="55">
        <f t="shared" si="8"/>
        <v>0</v>
      </c>
      <c r="BD79" s="2">
        <v>1</v>
      </c>
      <c r="BF79" s="325">
        <v>150000542</v>
      </c>
    </row>
    <row r="80" spans="1:58" ht="24.9" customHeight="1" x14ac:dyDescent="0.3">
      <c r="A80" s="325">
        <v>150000529</v>
      </c>
      <c r="B80" s="445" t="s">
        <v>348</v>
      </c>
      <c r="C80" s="27">
        <v>9</v>
      </c>
      <c r="D80" s="101" t="s">
        <v>455</v>
      </c>
      <c r="E80" s="279">
        <f>'побудинковий звіт'!E78</f>
        <v>8443.0499999999993</v>
      </c>
      <c r="F80" s="441">
        <f>'побудинковий звіт'!AS78</f>
        <v>127297.12520977363</v>
      </c>
      <c r="G80" s="441">
        <f t="shared" si="6"/>
        <v>343756.30114610144</v>
      </c>
      <c r="H80" s="73">
        <f t="shared" si="7"/>
        <v>216459.17593632781</v>
      </c>
      <c r="I80" s="5">
        <f>VLOOKUP($A80,'ПР 01-02.21'!$A$11:$BB$406,9,FALSE)+VLOOKUP($A80,'ПР 21-22'!$A$11:$BB$406,9,FALSE)-VLOOKUP($A80,'ПР 01-02.22'!$A$11:$BB$378,9,FALSE)</f>
        <v>0</v>
      </c>
      <c r="J80" s="5">
        <f>VLOOKUP($A80,'ПР 01-02.21'!$A$11:$BB$406,10,FALSE)+VLOOKUP($A80,'ПР 21-22'!$A$11:$BB$406,10,FALSE)-VLOOKUP($A80,'ПР 01-02.22'!$A$11:$BB$378,10,FALSE)</f>
        <v>0</v>
      </c>
      <c r="K80" s="446"/>
      <c r="L80" s="5">
        <f>VLOOKUP($A80,'ПР 01-02.21'!$A$11:$BB$406,12,FALSE)+VLOOKUP($A80,'ПР 21-22'!$A$11:$BB$406,12,FALSE)-VLOOKUP($A80,'ПР 01-02.22'!$A$11:$BB$378,12,FALSE)</f>
        <v>2</v>
      </c>
      <c r="M80" s="5">
        <f>VLOOKUP($A80,'ПР 01-02.21'!$A$11:$BB$406,13,FALSE)+VLOOKUP($A80,'ПР 21-22'!$A$11:$BB$406,13,FALSE)-VLOOKUP($A80,'ПР 01-02.22'!$A$11:$BB$378,13,FALSE)</f>
        <v>135302</v>
      </c>
      <c r="N80" s="38"/>
      <c r="O80" s="5">
        <f>VLOOKUP($A80,'ПР 01-02.21'!$A$11:$BB$406,15,FALSE)+VLOOKUP($A80,'ПР 21-22'!$A$11:$BB$406,15,FALSE)-VLOOKUP($A80,'ПР 01-02.22'!$A$11:$BB$378,15,FALSE)</f>
        <v>631.1</v>
      </c>
      <c r="P80" s="5">
        <f>VLOOKUP($A80,'ПР 01-02.21'!$A$11:$BB$406,16,FALSE)+VLOOKUP($A80,'ПР 21-22'!$A$11:$BB$406,16,FALSE)-VLOOKUP($A80,'ПР 01-02.22'!$A$11:$BB$378,16,FALSE)</f>
        <v>139175</v>
      </c>
      <c r="Q80" s="443"/>
      <c r="R80" s="5">
        <f>VLOOKUP($A80,'ПР 01-02.21'!$A$11:$BB$406,18,FALSE)+VLOOKUP($A80,'ПР 21-22'!$A$11:$BB$406,18,FALSE)-VLOOKUP($A80,'ПР 01-02.22'!$A$11:$BB$378,18,FALSE)</f>
        <v>7</v>
      </c>
      <c r="S80" s="5">
        <f>VLOOKUP($A80,'ПР 01-02.21'!$A$11:$BB$406,19,FALSE)+VLOOKUP($A80,'ПР 21-22'!$A$11:$BB$406,19,FALSE)-VLOOKUP($A80,'ПР 01-02.22'!$A$11:$BB$378,19,FALSE)</f>
        <v>36704</v>
      </c>
      <c r="T80" s="444"/>
      <c r="U80" s="5">
        <f>VLOOKUP($A80,'ПР 01-02.21'!$A$11:$BB$406,21,FALSE)+VLOOKUP($A80,'ПР 21-22'!$A$11:$BB$406,21,FALSE)-VLOOKUP($A80,'ПР 01-02.22'!$A$11:$BB$378,21,FALSE)</f>
        <v>0</v>
      </c>
      <c r="V80" s="5"/>
      <c r="W80" s="5">
        <f>VLOOKUP($A80,'ПР 01-02.21'!$A$11:$BB$406,23,FALSE)+VLOOKUP($A80,'ПР 21-22'!$A$11:$BB$406,23,FALSE)-VLOOKUP($A80,'ПР 01-02.22'!$A$11:$BB$378,23,FALSE)</f>
        <v>2</v>
      </c>
      <c r="X80" s="5">
        <f>VLOOKUP($A80,'ПР 01-02.21'!$A$11:$BB$406,24,FALSE)+VLOOKUP($A80,'ПР 21-22'!$A$11:$BB$406,24,FALSE)-VLOOKUP($A80,'ПР 01-02.22'!$A$11:$BB$378,24,FALSE)</f>
        <v>1972.5311461014478</v>
      </c>
      <c r="Y80" s="5">
        <f>VLOOKUP($A80,'ПР 01-02.21'!$A$11:$BB$406,25,FALSE)+VLOOKUP($A80,'ПР 21-22'!$A$11:$BB$406,25,FALSE)-VLOOKUP($A80,'ПР 01-02.22'!$A$11:$BB$378,25,FALSE)</f>
        <v>9817.77</v>
      </c>
      <c r="Z80" s="5"/>
      <c r="AA80" s="5">
        <f>VLOOKUP($A80,'ПР 01-02.21'!$A$11:$BB$406,27,FALSE)+VLOOKUP($A80,'ПР 21-22'!$A$11:$BB$406,27,FALSE)-VLOOKUP($A80,'ПР 01-02.22'!$A$11:$BB$378,27,FALSE)</f>
        <v>0</v>
      </c>
      <c r="AB80" s="5">
        <f>VLOOKUP($A80,'ПР 01-02.21'!$A$11:$BB$406,28,FALSE)+VLOOKUP($A80,'ПР 21-22'!$A$11:$BB$406,28,FALSE)-VLOOKUP($A80,'ПР 01-02.22'!$A$11:$BB$378,28,FALSE)</f>
        <v>689</v>
      </c>
      <c r="AC80" s="5">
        <f>VLOOKUP($A80,'ПР 01-02.21'!$A$11:$BB$406,29,FALSE)+VLOOKUP($A80,'ПР 21-22'!$A$11:$BB$406,29,FALSE)-VLOOKUP($A80,'ПР 01-02.22'!$A$11:$BB$378,29,FALSE)</f>
        <v>10347</v>
      </c>
      <c r="AD80" s="5">
        <f>VLOOKUP($A80,'ПР 01-02.21'!$A$11:$BB$406,30,FALSE)+VLOOKUP($A80,'ПР 21-22'!$A$11:$BB$406,30,FALSE)-VLOOKUP($A80,'ПР 01-02.22'!$A$11:$BB$378,30,FALSE)</f>
        <v>9749</v>
      </c>
      <c r="AE80" s="5">
        <f>VLOOKUP($A80,'ПР 01-02.21'!$A$11:$BB$406,31,FALSE)+VLOOKUP($A80,'ПР 21-22'!$A$11:$BB$406,31,FALSE)-VLOOKUP($A80,'ПР 01-02.22'!$A$11:$BB$378,31,FALSE)</f>
        <v>2647.5171782538137</v>
      </c>
      <c r="AF80" s="5">
        <f>VLOOKUP($A80,'ПР 01-02.21'!$A$11:$BB$406,32,FALSE)+VLOOKUP($A80,'ПР 21-22'!$A$11:$BB$406,32,FALSE)-VLOOKUP($A80,'ПР 01-02.22'!$A$11:$BB$378,32,FALSE)</f>
        <v>2275.34</v>
      </c>
      <c r="AG80" s="40"/>
      <c r="AH80" s="5">
        <f>VLOOKUP($A80,'ПР 01-02.21'!$A$11:$BB$406,34,FALSE)+VLOOKUP($A80,'ПР 21-22'!$A$11:$BB$406,34,FALSE)-VLOOKUP($A80,'ПР 01-02.22'!$A$11:$BB$378,34,FALSE)</f>
        <v>2966.2874486696692</v>
      </c>
      <c r="AI80" s="5">
        <f>VLOOKUP($A80,'ПР 01-02.21'!$A$11:$BB$406,35,FALSE)+VLOOKUP($A80,'ПР 21-22'!$A$11:$BB$406,35,FALSE)-VLOOKUP($A80,'ПР 01-02.22'!$A$11:$BB$378,35,FALSE)</f>
        <v>14000</v>
      </c>
      <c r="AJ80" s="40"/>
      <c r="AK80" s="5">
        <f>VLOOKUP($A80,'ПР 01-02.21'!$A$11:$BB$406,37,FALSE)+VLOOKUP($A80,'ПР 21-22'!$A$11:$BB$406,37,FALSE)-VLOOKUP($A80,'ПР 01-02.22'!$A$11:$BB$378,37,FALSE)</f>
        <v>2446.6613805453935</v>
      </c>
      <c r="AL80" s="5">
        <f>VLOOKUP($A80,'ПР 01-02.21'!$A$11:$BB$406,38,FALSE)+VLOOKUP($A80,'ПР 21-22'!$A$11:$BB$406,38,FALSE)-VLOOKUP($A80,'ПР 01-02.22'!$A$11:$BB$378,38,FALSE)</f>
        <v>0</v>
      </c>
      <c r="AM80" s="40"/>
      <c r="AN80" s="5">
        <f>VLOOKUP($A80,'ПР 01-02.21'!$A$11:$BB$406,40,FALSE)+VLOOKUP($A80,'ПР 21-22'!$A$11:$BB$406,40,FALSE)-VLOOKUP($A80,'ПР 01-02.22'!$A$11:$BB$378,40,FALSE)</f>
        <v>4792.2154013585132</v>
      </c>
      <c r="AO80" s="5">
        <f>VLOOKUP($A80,'ПР 01-02.21'!$A$11:$BB$406,41,FALSE)+VLOOKUP($A80,'ПР 21-22'!$A$11:$BB$406,41,FALSE)-VLOOKUP($A80,'ПР 01-02.22'!$A$11:$BB$378,41,FALSE)</f>
        <v>0</v>
      </c>
      <c r="AP80" s="40"/>
      <c r="AQ80" s="5">
        <f>VLOOKUP($A80,'ПР 01-02.21'!$A$11:$BB$406,43,FALSE)+VLOOKUP($A80,'ПР 21-22'!$A$11:$BB$406,43,FALSE)-VLOOKUP($A80,'ПР 01-02.22'!$A$11:$BB$378,43,FALSE)</f>
        <v>3359.4399503788118</v>
      </c>
      <c r="AR80" s="5">
        <f>VLOOKUP($A80,'ПР 01-02.21'!$A$11:$BB$406,44,FALSE)+VLOOKUP($A80,'ПР 21-22'!$A$11:$BB$406,44,FALSE)-VLOOKUP($A80,'ПР 01-02.22'!$A$11:$BB$378,44,FALSE)</f>
        <v>0</v>
      </c>
      <c r="AS80" s="40"/>
      <c r="AT80" s="5">
        <f>VLOOKUP($A80,'ПР 01-02.21'!$A$11:$BB$406,46,FALSE)+VLOOKUP($A80,'ПР 21-22'!$A$11:$BB$406,46,FALSE)-VLOOKUP($A80,'ПР 01-02.22'!$A$11:$BB$378,46,FALSE)</f>
        <v>4269.63271517881</v>
      </c>
      <c r="AU80" s="5">
        <f>VLOOKUP($A80,'ПР 01-02.21'!$A$11:$BB$406,47,FALSE)+VLOOKUP($A80,'ПР 21-22'!$A$11:$BB$406,47,FALSE)-VLOOKUP($A80,'ПР 01-02.22'!$A$11:$BB$378,47,FALSE)</f>
        <v>575</v>
      </c>
      <c r="AV80" s="40"/>
      <c r="AW80" s="5">
        <f>VLOOKUP($A80,'ПР 01-02.21'!$A$11:$BB$406,49,FALSE)+VLOOKUP($A80,'ПР 21-22'!$A$11:$BB$406,49,FALSE)-VLOOKUP($A80,'ПР 01-02.22'!$A$11:$BB$378,49,FALSE)</f>
        <v>1223.7584248651392</v>
      </c>
      <c r="AX80" s="5">
        <f>VLOOKUP($A80,'ПР 01-02.21'!$A$11:$BB$406,50,FALSE)+VLOOKUP($A80,'ПР 21-22'!$A$11:$BB$406,50,FALSE)-VLOOKUP($A80,'ПР 01-02.22'!$A$11:$BB$378,50,FALSE)</f>
        <v>0</v>
      </c>
      <c r="AY80" s="40"/>
      <c r="AZ80" s="40">
        <f t="shared" si="5"/>
        <v>21705.512499250151</v>
      </c>
      <c r="BA80" s="40">
        <f t="shared" si="5"/>
        <v>16850.34</v>
      </c>
      <c r="BB80" s="55">
        <f t="shared" si="8"/>
        <v>-4855.1724992501513</v>
      </c>
      <c r="BD80" s="2">
        <v>1</v>
      </c>
      <c r="BF80" s="325">
        <v>150000529</v>
      </c>
    </row>
    <row r="81" spans="1:58" ht="24.9" customHeight="1" x14ac:dyDescent="0.3">
      <c r="A81" s="325">
        <v>150000530</v>
      </c>
      <c r="B81" s="445" t="s">
        <v>63</v>
      </c>
      <c r="C81" s="27">
        <v>1</v>
      </c>
      <c r="D81" s="101" t="s">
        <v>455</v>
      </c>
      <c r="E81" s="279">
        <f>'побудинковий звіт'!E79</f>
        <v>174.9</v>
      </c>
      <c r="F81" s="441">
        <f>'побудинковий звіт'!AS79</f>
        <v>2645.4096760797725</v>
      </c>
      <c r="G81" s="441">
        <f t="shared" si="6"/>
        <v>2298</v>
      </c>
      <c r="H81" s="73">
        <f t="shared" si="7"/>
        <v>-347.40967607977245</v>
      </c>
      <c r="I81" s="5">
        <f>VLOOKUP($A81,'ПР 01-02.21'!$A$11:$BB$406,9,FALSE)+VLOOKUP($A81,'ПР 21-22'!$A$11:$BB$406,9,FALSE)-VLOOKUP($A81,'ПР 01-02.22'!$A$11:$BB$378,9,FALSE)</f>
        <v>0</v>
      </c>
      <c r="J81" s="5">
        <f>VLOOKUP($A81,'ПР 01-02.21'!$A$11:$BB$406,10,FALSE)+VLOOKUP($A81,'ПР 21-22'!$A$11:$BB$406,10,FALSE)-VLOOKUP($A81,'ПР 01-02.22'!$A$11:$BB$378,10,FALSE)</f>
        <v>0</v>
      </c>
      <c r="K81" s="446"/>
      <c r="L81" s="5">
        <f>VLOOKUP($A81,'ПР 01-02.21'!$A$11:$BB$406,12,FALSE)+VLOOKUP($A81,'ПР 21-22'!$A$11:$BB$406,12,FALSE)-VLOOKUP($A81,'ПР 01-02.22'!$A$11:$BB$378,12,FALSE)</f>
        <v>0</v>
      </c>
      <c r="M81" s="5">
        <f>VLOOKUP($A81,'ПР 01-02.21'!$A$11:$BB$406,13,FALSE)+VLOOKUP($A81,'ПР 21-22'!$A$11:$BB$406,13,FALSE)-VLOOKUP($A81,'ПР 01-02.22'!$A$11:$BB$378,13,FALSE)</f>
        <v>0</v>
      </c>
      <c r="N81" s="38"/>
      <c r="O81" s="5">
        <f>VLOOKUP($A81,'ПР 01-02.21'!$A$11:$BB$406,15,FALSE)+VLOOKUP($A81,'ПР 21-22'!$A$11:$BB$406,15,FALSE)-VLOOKUP($A81,'ПР 01-02.22'!$A$11:$BB$378,15,FALSE)</f>
        <v>0</v>
      </c>
      <c r="P81" s="5">
        <f>VLOOKUP($A81,'ПР 01-02.21'!$A$11:$BB$406,16,FALSE)+VLOOKUP($A81,'ПР 21-22'!$A$11:$BB$406,16,FALSE)-VLOOKUP($A81,'ПР 01-02.22'!$A$11:$BB$378,16,FALSE)</f>
        <v>0</v>
      </c>
      <c r="Q81" s="443"/>
      <c r="R81" s="5">
        <f>VLOOKUP($A81,'ПР 01-02.21'!$A$11:$BB$406,18,FALSE)+VLOOKUP($A81,'ПР 21-22'!$A$11:$BB$406,18,FALSE)-VLOOKUP($A81,'ПР 01-02.22'!$A$11:$BB$378,18,FALSE)</f>
        <v>0</v>
      </c>
      <c r="S81" s="5">
        <f>VLOOKUP($A81,'ПР 01-02.21'!$A$11:$BB$406,19,FALSE)+VLOOKUP($A81,'ПР 21-22'!$A$11:$BB$406,19,FALSE)-VLOOKUP($A81,'ПР 01-02.22'!$A$11:$BB$378,19,FALSE)</f>
        <v>0</v>
      </c>
      <c r="T81" s="444"/>
      <c r="U81" s="5">
        <f>VLOOKUP($A81,'ПР 01-02.21'!$A$11:$BB$406,21,FALSE)+VLOOKUP($A81,'ПР 21-22'!$A$11:$BB$406,21,FALSE)-VLOOKUP($A81,'ПР 01-02.22'!$A$11:$BB$378,21,FALSE)</f>
        <v>0</v>
      </c>
      <c r="V81" s="5"/>
      <c r="W81" s="5">
        <f>VLOOKUP($A81,'ПР 01-02.21'!$A$11:$BB$406,23,FALSE)+VLOOKUP($A81,'ПР 21-22'!$A$11:$BB$406,23,FALSE)-VLOOKUP($A81,'ПР 01-02.22'!$A$11:$BB$378,23,FALSE)</f>
        <v>0</v>
      </c>
      <c r="X81" s="5">
        <f>VLOOKUP($A81,'ПР 01-02.21'!$A$11:$BB$406,24,FALSE)+VLOOKUP($A81,'ПР 21-22'!$A$11:$BB$406,24,FALSE)-VLOOKUP($A81,'ПР 01-02.22'!$A$11:$BB$378,24,FALSE)</f>
        <v>0</v>
      </c>
      <c r="Y81" s="5">
        <f>VLOOKUP($A81,'ПР 01-02.21'!$A$11:$BB$406,25,FALSE)+VLOOKUP($A81,'ПР 21-22'!$A$11:$BB$406,25,FALSE)-VLOOKUP($A81,'ПР 01-02.22'!$A$11:$BB$378,25,FALSE)</f>
        <v>0</v>
      </c>
      <c r="Z81" s="5"/>
      <c r="AA81" s="5">
        <f>VLOOKUP($A81,'ПР 01-02.21'!$A$11:$BB$406,27,FALSE)+VLOOKUP($A81,'ПР 21-22'!$A$11:$BB$406,27,FALSE)-VLOOKUP($A81,'ПР 01-02.22'!$A$11:$BB$378,27,FALSE)</f>
        <v>0</v>
      </c>
      <c r="AB81" s="5">
        <f>VLOOKUP($A81,'ПР 01-02.21'!$A$11:$BB$406,28,FALSE)+VLOOKUP($A81,'ПР 21-22'!$A$11:$BB$406,28,FALSE)-VLOOKUP($A81,'ПР 01-02.22'!$A$11:$BB$378,28,FALSE)</f>
        <v>0</v>
      </c>
      <c r="AC81" s="5">
        <f>VLOOKUP($A81,'ПР 01-02.21'!$A$11:$BB$406,29,FALSE)+VLOOKUP($A81,'ПР 21-22'!$A$11:$BB$406,29,FALSE)-VLOOKUP($A81,'ПР 01-02.22'!$A$11:$BB$378,29,FALSE)</f>
        <v>0</v>
      </c>
      <c r="AD81" s="5">
        <f>VLOOKUP($A81,'ПР 01-02.21'!$A$11:$BB$406,30,FALSE)+VLOOKUP($A81,'ПР 21-22'!$A$11:$BB$406,30,FALSE)-VLOOKUP($A81,'ПР 01-02.22'!$A$11:$BB$378,30,FALSE)</f>
        <v>2298</v>
      </c>
      <c r="AE81" s="5">
        <f>VLOOKUP($A81,'ПР 01-02.21'!$A$11:$BB$406,31,FALSE)+VLOOKUP($A81,'ПР 21-22'!$A$11:$BB$406,31,FALSE)-VLOOKUP($A81,'ПР 01-02.22'!$A$11:$BB$378,31,FALSE)</f>
        <v>0</v>
      </c>
      <c r="AF81" s="5">
        <f>VLOOKUP($A81,'ПР 01-02.21'!$A$11:$BB$406,32,FALSE)+VLOOKUP($A81,'ПР 21-22'!$A$11:$BB$406,32,FALSE)-VLOOKUP($A81,'ПР 01-02.22'!$A$11:$BB$378,32,FALSE)</f>
        <v>0</v>
      </c>
      <c r="AG81" s="40"/>
      <c r="AH81" s="5">
        <f>VLOOKUP($A81,'ПР 01-02.21'!$A$11:$BB$406,34,FALSE)+VLOOKUP($A81,'ПР 21-22'!$A$11:$BB$406,34,FALSE)-VLOOKUP($A81,'ПР 01-02.22'!$A$11:$BB$378,34,FALSE)</f>
        <v>0</v>
      </c>
      <c r="AI81" s="5">
        <f>VLOOKUP($A81,'ПР 01-02.21'!$A$11:$BB$406,35,FALSE)+VLOOKUP($A81,'ПР 21-22'!$A$11:$BB$406,35,FALSE)-VLOOKUP($A81,'ПР 01-02.22'!$A$11:$BB$378,35,FALSE)</f>
        <v>0</v>
      </c>
      <c r="AJ81" s="40"/>
      <c r="AK81" s="5">
        <f>VLOOKUP($A81,'ПР 01-02.21'!$A$11:$BB$406,37,FALSE)+VLOOKUP($A81,'ПР 21-22'!$A$11:$BB$406,37,FALSE)-VLOOKUP($A81,'ПР 01-02.22'!$A$11:$BB$378,37,FALSE)</f>
        <v>0</v>
      </c>
      <c r="AL81" s="5">
        <f>VLOOKUP($A81,'ПР 01-02.21'!$A$11:$BB$406,38,FALSE)+VLOOKUP($A81,'ПР 21-22'!$A$11:$BB$406,38,FALSE)-VLOOKUP($A81,'ПР 01-02.22'!$A$11:$BB$378,38,FALSE)</f>
        <v>0</v>
      </c>
      <c r="AM81" s="40"/>
      <c r="AN81" s="5">
        <f>VLOOKUP($A81,'ПР 01-02.21'!$A$11:$BB$406,40,FALSE)+VLOOKUP($A81,'ПР 21-22'!$A$11:$BB$406,40,FALSE)-VLOOKUP($A81,'ПР 01-02.22'!$A$11:$BB$378,40,FALSE)</f>
        <v>0</v>
      </c>
      <c r="AO81" s="5">
        <f>VLOOKUP($A81,'ПР 01-02.21'!$A$11:$BB$406,41,FALSE)+VLOOKUP($A81,'ПР 21-22'!$A$11:$BB$406,41,FALSE)-VLOOKUP($A81,'ПР 01-02.22'!$A$11:$BB$378,41,FALSE)</f>
        <v>0</v>
      </c>
      <c r="AP81" s="40"/>
      <c r="AQ81" s="5">
        <f>VLOOKUP($A81,'ПР 01-02.21'!$A$11:$BB$406,43,FALSE)+VLOOKUP($A81,'ПР 21-22'!$A$11:$BB$406,43,FALSE)-VLOOKUP($A81,'ПР 01-02.22'!$A$11:$BB$378,43,FALSE)</f>
        <v>0</v>
      </c>
      <c r="AR81" s="5">
        <f>VLOOKUP($A81,'ПР 01-02.21'!$A$11:$BB$406,44,FALSE)+VLOOKUP($A81,'ПР 21-22'!$A$11:$BB$406,44,FALSE)-VLOOKUP($A81,'ПР 01-02.22'!$A$11:$BB$378,44,FALSE)</f>
        <v>0</v>
      </c>
      <c r="AS81" s="40"/>
      <c r="AT81" s="5">
        <f>VLOOKUP($A81,'ПР 01-02.21'!$A$11:$BB$406,46,FALSE)+VLOOKUP($A81,'ПР 21-22'!$A$11:$BB$406,46,FALSE)-VLOOKUP($A81,'ПР 01-02.22'!$A$11:$BB$378,46,FALSE)</f>
        <v>0</v>
      </c>
      <c r="AU81" s="5">
        <f>VLOOKUP($A81,'ПР 01-02.21'!$A$11:$BB$406,47,FALSE)+VLOOKUP($A81,'ПР 21-22'!$A$11:$BB$406,47,FALSE)-VLOOKUP($A81,'ПР 01-02.22'!$A$11:$BB$378,47,FALSE)</f>
        <v>0</v>
      </c>
      <c r="AV81" s="40"/>
      <c r="AW81" s="5">
        <f>VLOOKUP($A81,'ПР 01-02.21'!$A$11:$BB$406,49,FALSE)+VLOOKUP($A81,'ПР 21-22'!$A$11:$BB$406,49,FALSE)-VLOOKUP($A81,'ПР 01-02.22'!$A$11:$BB$378,49,FALSE)</f>
        <v>18.296421746174158</v>
      </c>
      <c r="AX81" s="5">
        <f>VLOOKUP($A81,'ПР 01-02.21'!$A$11:$BB$406,50,FALSE)+VLOOKUP($A81,'ПР 21-22'!$A$11:$BB$406,50,FALSE)-VLOOKUP($A81,'ПР 01-02.22'!$A$11:$BB$378,50,FALSE)</f>
        <v>0</v>
      </c>
      <c r="AY81" s="40"/>
      <c r="AZ81" s="40">
        <f t="shared" si="5"/>
        <v>18.296421746174158</v>
      </c>
      <c r="BA81" s="40">
        <f t="shared" si="5"/>
        <v>0</v>
      </c>
      <c r="BB81" s="55">
        <f t="shared" si="8"/>
        <v>-18.296421746174158</v>
      </c>
      <c r="BD81" s="2">
        <v>1</v>
      </c>
      <c r="BF81" s="325">
        <v>150000530</v>
      </c>
    </row>
    <row r="82" spans="1:58" ht="24.9" customHeight="1" x14ac:dyDescent="0.3">
      <c r="A82" s="325">
        <v>150000543</v>
      </c>
      <c r="B82" s="445" t="s">
        <v>64</v>
      </c>
      <c r="C82" s="27">
        <v>1</v>
      </c>
      <c r="D82" s="101" t="s">
        <v>455</v>
      </c>
      <c r="E82" s="279">
        <f>'побудинковий звіт'!E80</f>
        <v>121.2</v>
      </c>
      <c r="F82" s="441">
        <f>'побудинковий звіт'!AS80</f>
        <v>0</v>
      </c>
      <c r="G82" s="441">
        <f t="shared" si="6"/>
        <v>0</v>
      </c>
      <c r="H82" s="73">
        <f t="shared" si="7"/>
        <v>0</v>
      </c>
      <c r="I82" s="5"/>
      <c r="J82" s="5"/>
      <c r="K82" s="446"/>
      <c r="L82" s="5"/>
      <c r="M82" s="5"/>
      <c r="N82" s="38"/>
      <c r="O82" s="5"/>
      <c r="P82" s="5"/>
      <c r="Q82" s="443"/>
      <c r="R82" s="5"/>
      <c r="S82" s="5"/>
      <c r="T82" s="444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40"/>
      <c r="AH82" s="5"/>
      <c r="AI82" s="5"/>
      <c r="AJ82" s="40"/>
      <c r="AK82" s="5"/>
      <c r="AL82" s="5"/>
      <c r="AM82" s="40"/>
      <c r="AN82" s="5"/>
      <c r="AO82" s="5"/>
      <c r="AP82" s="40"/>
      <c r="AQ82" s="5"/>
      <c r="AR82" s="5"/>
      <c r="AS82" s="40"/>
      <c r="AT82" s="5"/>
      <c r="AU82" s="5"/>
      <c r="AV82" s="40"/>
      <c r="AW82" s="5"/>
      <c r="AX82" s="5"/>
      <c r="AY82" s="40"/>
      <c r="AZ82" s="40">
        <f t="shared" si="5"/>
        <v>0</v>
      </c>
      <c r="BA82" s="40">
        <f t="shared" si="5"/>
        <v>0</v>
      </c>
      <c r="BB82" s="55">
        <f t="shared" si="8"/>
        <v>0</v>
      </c>
      <c r="BD82" s="2">
        <v>1</v>
      </c>
      <c r="BF82" s="325">
        <v>150000543</v>
      </c>
    </row>
    <row r="83" spans="1:58" ht="24.9" customHeight="1" x14ac:dyDescent="0.3">
      <c r="A83" s="325">
        <v>150000544</v>
      </c>
      <c r="B83" s="445" t="s">
        <v>65</v>
      </c>
      <c r="C83" s="27">
        <v>1</v>
      </c>
      <c r="D83" s="101" t="s">
        <v>455</v>
      </c>
      <c r="E83" s="279">
        <f>'побудинковий звіт'!E81</f>
        <v>136.9</v>
      </c>
      <c r="F83" s="441">
        <f>'побудинковий звіт'!AS81</f>
        <v>1591.0640343017667</v>
      </c>
      <c r="G83" s="441">
        <f t="shared" si="6"/>
        <v>0</v>
      </c>
      <c r="H83" s="73">
        <f t="shared" si="7"/>
        <v>-1591.0640343017667</v>
      </c>
      <c r="I83" s="5">
        <f>VLOOKUP($A83,'ПР 01-02.21'!$A$11:$BB$406,9,FALSE)+VLOOKUP($A83,'ПР 21-22'!$A$11:$BB$406,9,FALSE)-VLOOKUP($A83,'ПР 01-02.22'!$A$11:$BB$378,9,FALSE)</f>
        <v>0</v>
      </c>
      <c r="J83" s="5">
        <f>VLOOKUP($A83,'ПР 01-02.21'!$A$11:$BB$406,10,FALSE)+VLOOKUP($A83,'ПР 21-22'!$A$11:$BB$406,10,FALSE)-VLOOKUP($A83,'ПР 01-02.22'!$A$11:$BB$378,10,FALSE)</f>
        <v>0</v>
      </c>
      <c r="K83" s="446"/>
      <c r="L83" s="5">
        <f>VLOOKUP($A83,'ПР 01-02.21'!$A$11:$BB$406,12,FALSE)+VLOOKUP($A83,'ПР 21-22'!$A$11:$BB$406,12,FALSE)-VLOOKUP($A83,'ПР 01-02.22'!$A$11:$BB$378,12,FALSE)</f>
        <v>0</v>
      </c>
      <c r="M83" s="5">
        <f>VLOOKUP($A83,'ПР 01-02.21'!$A$11:$BB$406,13,FALSE)+VLOOKUP($A83,'ПР 21-22'!$A$11:$BB$406,13,FALSE)-VLOOKUP($A83,'ПР 01-02.22'!$A$11:$BB$378,13,FALSE)</f>
        <v>0</v>
      </c>
      <c r="N83" s="38"/>
      <c r="O83" s="5">
        <f>VLOOKUP($A83,'ПР 01-02.21'!$A$11:$BB$406,15,FALSE)+VLOOKUP($A83,'ПР 21-22'!$A$11:$BB$406,15,FALSE)-VLOOKUP($A83,'ПР 01-02.22'!$A$11:$BB$378,15,FALSE)</f>
        <v>0</v>
      </c>
      <c r="P83" s="5">
        <f>VLOOKUP($A83,'ПР 01-02.21'!$A$11:$BB$406,16,FALSE)+VLOOKUP($A83,'ПР 21-22'!$A$11:$BB$406,16,FALSE)-VLOOKUP($A83,'ПР 01-02.22'!$A$11:$BB$378,16,FALSE)</f>
        <v>0</v>
      </c>
      <c r="Q83" s="443"/>
      <c r="R83" s="5">
        <f>VLOOKUP($A83,'ПР 01-02.21'!$A$11:$BB$406,18,FALSE)+VLOOKUP($A83,'ПР 21-22'!$A$11:$BB$406,18,FALSE)-VLOOKUP($A83,'ПР 01-02.22'!$A$11:$BB$378,18,FALSE)</f>
        <v>0</v>
      </c>
      <c r="S83" s="5">
        <f>VLOOKUP($A83,'ПР 01-02.21'!$A$11:$BB$406,19,FALSE)+VLOOKUP($A83,'ПР 21-22'!$A$11:$BB$406,19,FALSE)-VLOOKUP($A83,'ПР 01-02.22'!$A$11:$BB$378,19,FALSE)</f>
        <v>0</v>
      </c>
      <c r="T83" s="444"/>
      <c r="U83" s="5">
        <f>VLOOKUP($A83,'ПР 01-02.21'!$A$11:$BB$406,21,FALSE)+VLOOKUP($A83,'ПР 21-22'!$A$11:$BB$406,21,FALSE)-VLOOKUP($A83,'ПР 01-02.22'!$A$11:$BB$378,21,FALSE)</f>
        <v>0</v>
      </c>
      <c r="V83" s="5"/>
      <c r="W83" s="5">
        <f>VLOOKUP($A83,'ПР 01-02.21'!$A$11:$BB$406,23,FALSE)+VLOOKUP($A83,'ПР 21-22'!$A$11:$BB$406,23,FALSE)-VLOOKUP($A83,'ПР 01-02.22'!$A$11:$BB$378,23,FALSE)</f>
        <v>0</v>
      </c>
      <c r="X83" s="5">
        <f>VLOOKUP($A83,'ПР 01-02.21'!$A$11:$BB$406,24,FALSE)+VLOOKUP($A83,'ПР 21-22'!$A$11:$BB$406,24,FALSE)-VLOOKUP($A83,'ПР 01-02.22'!$A$11:$BB$378,24,FALSE)</f>
        <v>0</v>
      </c>
      <c r="Y83" s="5">
        <f>VLOOKUP($A83,'ПР 01-02.21'!$A$11:$BB$406,25,FALSE)+VLOOKUP($A83,'ПР 21-22'!$A$11:$BB$406,25,FALSE)-VLOOKUP($A83,'ПР 01-02.22'!$A$11:$BB$378,25,FALSE)</f>
        <v>0</v>
      </c>
      <c r="Z83" s="5"/>
      <c r="AA83" s="5">
        <f>VLOOKUP($A83,'ПР 01-02.21'!$A$11:$BB$406,27,FALSE)+VLOOKUP($A83,'ПР 21-22'!$A$11:$BB$406,27,FALSE)-VLOOKUP($A83,'ПР 01-02.22'!$A$11:$BB$378,27,FALSE)</f>
        <v>0</v>
      </c>
      <c r="AB83" s="5">
        <f>VLOOKUP($A83,'ПР 01-02.21'!$A$11:$BB$406,28,FALSE)+VLOOKUP($A83,'ПР 21-22'!$A$11:$BB$406,28,FALSE)-VLOOKUP($A83,'ПР 01-02.22'!$A$11:$BB$378,28,FALSE)</f>
        <v>0</v>
      </c>
      <c r="AC83" s="5">
        <f>VLOOKUP($A83,'ПР 01-02.21'!$A$11:$BB$406,29,FALSE)+VLOOKUP($A83,'ПР 21-22'!$A$11:$BB$406,29,FALSE)-VLOOKUP($A83,'ПР 01-02.22'!$A$11:$BB$378,29,FALSE)</f>
        <v>0</v>
      </c>
      <c r="AD83" s="5">
        <f>VLOOKUP($A83,'ПР 01-02.21'!$A$11:$BB$406,30,FALSE)+VLOOKUP($A83,'ПР 21-22'!$A$11:$BB$406,30,FALSE)-VLOOKUP($A83,'ПР 01-02.22'!$A$11:$BB$378,30,FALSE)</f>
        <v>0</v>
      </c>
      <c r="AE83" s="5">
        <f>VLOOKUP($A83,'ПР 01-02.21'!$A$11:$BB$406,31,FALSE)+VLOOKUP($A83,'ПР 21-22'!$A$11:$BB$406,31,FALSE)-VLOOKUP($A83,'ПР 01-02.22'!$A$11:$BB$378,31,FALSE)</f>
        <v>0</v>
      </c>
      <c r="AF83" s="5">
        <f>VLOOKUP($A83,'ПР 01-02.21'!$A$11:$BB$406,32,FALSE)+VLOOKUP($A83,'ПР 21-22'!$A$11:$BB$406,32,FALSE)-VLOOKUP($A83,'ПР 01-02.22'!$A$11:$BB$378,32,FALSE)</f>
        <v>0</v>
      </c>
      <c r="AG83" s="40"/>
      <c r="AH83" s="5">
        <f>VLOOKUP($A83,'ПР 01-02.21'!$A$11:$BB$406,34,FALSE)+VLOOKUP($A83,'ПР 21-22'!$A$11:$BB$406,34,FALSE)-VLOOKUP($A83,'ПР 01-02.22'!$A$11:$BB$378,34,FALSE)</f>
        <v>0</v>
      </c>
      <c r="AI83" s="5">
        <f>VLOOKUP($A83,'ПР 01-02.21'!$A$11:$BB$406,35,FALSE)+VLOOKUP($A83,'ПР 21-22'!$A$11:$BB$406,35,FALSE)-VLOOKUP($A83,'ПР 01-02.22'!$A$11:$BB$378,35,FALSE)</f>
        <v>0</v>
      </c>
      <c r="AJ83" s="40"/>
      <c r="AK83" s="5">
        <f>VLOOKUP($A83,'ПР 01-02.21'!$A$11:$BB$406,37,FALSE)+VLOOKUP($A83,'ПР 21-22'!$A$11:$BB$406,37,FALSE)-VLOOKUP($A83,'ПР 01-02.22'!$A$11:$BB$378,37,FALSE)</f>
        <v>0</v>
      </c>
      <c r="AL83" s="5">
        <f>VLOOKUP($A83,'ПР 01-02.21'!$A$11:$BB$406,38,FALSE)+VLOOKUP($A83,'ПР 21-22'!$A$11:$BB$406,38,FALSE)-VLOOKUP($A83,'ПР 01-02.22'!$A$11:$BB$378,38,FALSE)</f>
        <v>0</v>
      </c>
      <c r="AM83" s="40"/>
      <c r="AN83" s="5">
        <f>VLOOKUP($A83,'ПР 01-02.21'!$A$11:$BB$406,40,FALSE)+VLOOKUP($A83,'ПР 21-22'!$A$11:$BB$406,40,FALSE)-VLOOKUP($A83,'ПР 01-02.22'!$A$11:$BB$378,40,FALSE)</f>
        <v>0</v>
      </c>
      <c r="AO83" s="5">
        <f>VLOOKUP($A83,'ПР 01-02.21'!$A$11:$BB$406,41,FALSE)+VLOOKUP($A83,'ПР 21-22'!$A$11:$BB$406,41,FALSE)-VLOOKUP($A83,'ПР 01-02.22'!$A$11:$BB$378,41,FALSE)</f>
        <v>0</v>
      </c>
      <c r="AP83" s="40"/>
      <c r="AQ83" s="5">
        <f>VLOOKUP($A83,'ПР 01-02.21'!$A$11:$BB$406,43,FALSE)+VLOOKUP($A83,'ПР 21-22'!$A$11:$BB$406,43,FALSE)-VLOOKUP($A83,'ПР 01-02.22'!$A$11:$BB$378,43,FALSE)</f>
        <v>0</v>
      </c>
      <c r="AR83" s="5">
        <f>VLOOKUP($A83,'ПР 01-02.21'!$A$11:$BB$406,44,FALSE)+VLOOKUP($A83,'ПР 21-22'!$A$11:$BB$406,44,FALSE)-VLOOKUP($A83,'ПР 01-02.22'!$A$11:$BB$378,44,FALSE)</f>
        <v>0</v>
      </c>
      <c r="AS83" s="40"/>
      <c r="AT83" s="5">
        <f>VLOOKUP($A83,'ПР 01-02.21'!$A$11:$BB$406,46,FALSE)+VLOOKUP($A83,'ПР 21-22'!$A$11:$BB$406,46,FALSE)-VLOOKUP($A83,'ПР 01-02.22'!$A$11:$BB$378,46,FALSE)</f>
        <v>0</v>
      </c>
      <c r="AU83" s="5">
        <f>VLOOKUP($A83,'ПР 01-02.21'!$A$11:$BB$406,47,FALSE)+VLOOKUP($A83,'ПР 21-22'!$A$11:$BB$406,47,FALSE)-VLOOKUP($A83,'ПР 01-02.22'!$A$11:$BB$378,47,FALSE)</f>
        <v>0</v>
      </c>
      <c r="AV83" s="40"/>
      <c r="AW83" s="5">
        <f>VLOOKUP($A83,'ПР 01-02.21'!$A$11:$BB$406,49,FALSE)+VLOOKUP($A83,'ПР 21-22'!$A$11:$BB$406,49,FALSE)-VLOOKUP($A83,'ПР 01-02.22'!$A$11:$BB$378,49,FALSE)</f>
        <v>10.84256426835154</v>
      </c>
      <c r="AX83" s="5">
        <f>VLOOKUP($A83,'ПР 01-02.21'!$A$11:$BB$406,50,FALSE)+VLOOKUP($A83,'ПР 21-22'!$A$11:$BB$406,50,FALSE)-VLOOKUP($A83,'ПР 01-02.22'!$A$11:$BB$378,50,FALSE)</f>
        <v>0</v>
      </c>
      <c r="AY83" s="40"/>
      <c r="AZ83" s="40">
        <f t="shared" si="5"/>
        <v>10.84256426835154</v>
      </c>
      <c r="BA83" s="40">
        <f t="shared" si="5"/>
        <v>0</v>
      </c>
      <c r="BB83" s="55">
        <f t="shared" si="8"/>
        <v>-10.84256426835154</v>
      </c>
      <c r="BD83" s="2">
        <v>1</v>
      </c>
      <c r="BF83" s="325">
        <v>150000544</v>
      </c>
    </row>
    <row r="84" spans="1:58" ht="24.9" customHeight="1" x14ac:dyDescent="0.3">
      <c r="A84" s="325">
        <v>150000531</v>
      </c>
      <c r="B84" s="445" t="s">
        <v>349</v>
      </c>
      <c r="C84" s="27">
        <v>9</v>
      </c>
      <c r="D84" s="101" t="s">
        <v>455</v>
      </c>
      <c r="E84" s="279">
        <f>'побудинковий звіт'!E82</f>
        <v>7614.5</v>
      </c>
      <c r="F84" s="441">
        <f>'побудинковий звіт'!AS82</f>
        <v>96751.134355690068</v>
      </c>
      <c r="G84" s="441">
        <f t="shared" si="6"/>
        <v>187897.26369839656</v>
      </c>
      <c r="H84" s="73">
        <f t="shared" si="7"/>
        <v>91146.129342706496</v>
      </c>
      <c r="I84" s="5">
        <f>VLOOKUP($A84,'ПР 01-02.21'!$A$11:$BB$406,9,FALSE)+VLOOKUP($A84,'ПР 21-22'!$A$11:$BB$406,9,FALSE)-VLOOKUP($A84,'ПР 01-02.22'!$A$11:$BB$378,9,FALSE)</f>
        <v>8.5</v>
      </c>
      <c r="J84" s="5">
        <f>VLOOKUP($A84,'ПР 01-02.21'!$A$11:$BB$406,10,FALSE)+VLOOKUP($A84,'ПР 21-22'!$A$11:$BB$406,10,FALSE)-VLOOKUP($A84,'ПР 01-02.22'!$A$11:$BB$378,10,FALSE)</f>
        <v>1579</v>
      </c>
      <c r="K84" s="453"/>
      <c r="L84" s="5">
        <f>VLOOKUP($A84,'ПР 01-02.21'!$A$11:$BB$406,12,FALSE)+VLOOKUP($A84,'ПР 21-22'!$A$11:$BB$406,12,FALSE)-VLOOKUP($A84,'ПР 01-02.22'!$A$11:$BB$378,12,FALSE)</f>
        <v>1</v>
      </c>
      <c r="M84" s="5">
        <f>VLOOKUP($A84,'ПР 01-02.21'!$A$11:$BB$406,13,FALSE)+VLOOKUP($A84,'ПР 21-22'!$A$11:$BB$406,13,FALSE)-VLOOKUP($A84,'ПР 01-02.22'!$A$11:$BB$378,13,FALSE)</f>
        <v>127340</v>
      </c>
      <c r="N84" s="38"/>
      <c r="O84" s="5">
        <f>VLOOKUP($A84,'ПР 01-02.21'!$A$11:$BB$406,15,FALSE)+VLOOKUP($A84,'ПР 21-22'!$A$11:$BB$406,15,FALSE)-VLOOKUP($A84,'ПР 01-02.22'!$A$11:$BB$378,15,FALSE)</f>
        <v>0</v>
      </c>
      <c r="P84" s="5">
        <f>VLOOKUP($A84,'ПР 01-02.21'!$A$11:$BB$406,16,FALSE)+VLOOKUP($A84,'ПР 21-22'!$A$11:$BB$406,16,FALSE)-VLOOKUP($A84,'ПР 01-02.22'!$A$11:$BB$378,16,FALSE)</f>
        <v>0</v>
      </c>
      <c r="Q84" s="443"/>
      <c r="R84" s="5">
        <f>VLOOKUP($A84,'ПР 01-02.21'!$A$11:$BB$406,18,FALSE)+VLOOKUP($A84,'ПР 21-22'!$A$11:$BB$406,18,FALSE)-VLOOKUP($A84,'ПР 01-02.22'!$A$11:$BB$378,18,FALSE)</f>
        <v>4</v>
      </c>
      <c r="S84" s="5">
        <f>VLOOKUP($A84,'ПР 01-02.21'!$A$11:$BB$406,19,FALSE)+VLOOKUP($A84,'ПР 21-22'!$A$11:$BB$406,19,FALSE)-VLOOKUP($A84,'ПР 01-02.22'!$A$11:$BB$378,19,FALSE)</f>
        <v>27464</v>
      </c>
      <c r="T84" s="444"/>
      <c r="U84" s="5">
        <f>VLOOKUP($A84,'ПР 01-02.21'!$A$11:$BB$406,21,FALSE)+VLOOKUP($A84,'ПР 21-22'!$A$11:$BB$406,21,FALSE)-VLOOKUP($A84,'ПР 01-02.22'!$A$11:$BB$378,21,FALSE)</f>
        <v>0</v>
      </c>
      <c r="V84" s="5"/>
      <c r="W84" s="5">
        <f>VLOOKUP($A84,'ПР 01-02.21'!$A$11:$BB$406,23,FALSE)+VLOOKUP($A84,'ПР 21-22'!$A$11:$BB$406,23,FALSE)-VLOOKUP($A84,'ПР 01-02.22'!$A$11:$BB$378,23,FALSE)</f>
        <v>4</v>
      </c>
      <c r="X84" s="5">
        <f>VLOOKUP($A84,'ПР 01-02.21'!$A$11:$BB$406,24,FALSE)+VLOOKUP($A84,'ПР 21-22'!$A$11:$BB$406,24,FALSE)-VLOOKUP($A84,'ПР 01-02.22'!$A$11:$BB$378,24,FALSE)</f>
        <v>2818.7836983965403</v>
      </c>
      <c r="Y84" s="5">
        <f>VLOOKUP($A84,'ПР 01-02.21'!$A$11:$BB$406,25,FALSE)+VLOOKUP($A84,'ПР 21-22'!$A$11:$BB$406,25,FALSE)-VLOOKUP($A84,'ПР 01-02.22'!$A$11:$BB$378,25,FALSE)</f>
        <v>21795</v>
      </c>
      <c r="Z84" s="5"/>
      <c r="AA84" s="5">
        <f>VLOOKUP($A84,'ПР 01-02.21'!$A$11:$BB$406,27,FALSE)+VLOOKUP($A84,'ПР 21-22'!$A$11:$BB$406,27,FALSE)-VLOOKUP($A84,'ПР 01-02.22'!$A$11:$BB$378,27,FALSE)</f>
        <v>0</v>
      </c>
      <c r="AB84" s="5">
        <f>VLOOKUP($A84,'ПР 01-02.21'!$A$11:$BB$406,28,FALSE)+VLOOKUP($A84,'ПР 21-22'!$A$11:$BB$406,28,FALSE)-VLOOKUP($A84,'ПР 01-02.22'!$A$11:$BB$378,28,FALSE)</f>
        <v>0</v>
      </c>
      <c r="AC84" s="5">
        <f>VLOOKUP($A84,'ПР 01-02.21'!$A$11:$BB$406,29,FALSE)+VLOOKUP($A84,'ПР 21-22'!$A$11:$BB$406,29,FALSE)-VLOOKUP($A84,'ПР 01-02.22'!$A$11:$BB$378,29,FALSE)</f>
        <v>2685</v>
      </c>
      <c r="AD84" s="5">
        <f>VLOOKUP($A84,'ПР 01-02.21'!$A$11:$BB$406,30,FALSE)+VLOOKUP($A84,'ПР 21-22'!$A$11:$BB$406,30,FALSE)-VLOOKUP($A84,'ПР 01-02.22'!$A$11:$BB$378,30,FALSE)</f>
        <v>4215.4799999999996</v>
      </c>
      <c r="AE84" s="5">
        <f>VLOOKUP($A84,'ПР 01-02.21'!$A$11:$BB$406,31,FALSE)+VLOOKUP($A84,'ПР 21-22'!$A$11:$BB$406,31,FALSE)-VLOOKUP($A84,'ПР 01-02.22'!$A$11:$BB$378,31,FALSE)</f>
        <v>4023.8902580096583</v>
      </c>
      <c r="AF84" s="5">
        <f>VLOOKUP($A84,'ПР 01-02.21'!$A$11:$BB$406,32,FALSE)+VLOOKUP($A84,'ПР 21-22'!$A$11:$BB$406,32,FALSE)-VLOOKUP($A84,'ПР 01-02.22'!$A$11:$BB$378,32,FALSE)</f>
        <v>1965</v>
      </c>
      <c r="AG84" s="40"/>
      <c r="AH84" s="5">
        <f>VLOOKUP($A84,'ПР 01-02.21'!$A$11:$BB$406,34,FALSE)+VLOOKUP($A84,'ПР 21-22'!$A$11:$BB$406,34,FALSE)-VLOOKUP($A84,'ПР 01-02.22'!$A$11:$BB$378,34,FALSE)</f>
        <v>4675.0387184401798</v>
      </c>
      <c r="AI84" s="5">
        <f>VLOOKUP($A84,'ПР 01-02.21'!$A$11:$BB$406,35,FALSE)+VLOOKUP($A84,'ПР 21-22'!$A$11:$BB$406,35,FALSE)-VLOOKUP($A84,'ПР 01-02.22'!$A$11:$BB$378,35,FALSE)</f>
        <v>7712</v>
      </c>
      <c r="AJ84" s="40"/>
      <c r="AK84" s="5">
        <f>VLOOKUP($A84,'ПР 01-02.21'!$A$11:$BB$406,37,FALSE)+VLOOKUP($A84,'ПР 21-22'!$A$11:$BB$406,37,FALSE)-VLOOKUP($A84,'ПР 01-02.22'!$A$11:$BB$378,37,FALSE)</f>
        <v>3196.121611664249</v>
      </c>
      <c r="AL84" s="5">
        <f>VLOOKUP($A84,'ПР 01-02.21'!$A$11:$BB$406,38,FALSE)+VLOOKUP($A84,'ПР 21-22'!$A$11:$BB$406,38,FALSE)-VLOOKUP($A84,'ПР 01-02.22'!$A$11:$BB$378,38,FALSE)</f>
        <v>6058</v>
      </c>
      <c r="AM84" s="40"/>
      <c r="AN84" s="5">
        <f>VLOOKUP($A84,'ПР 01-02.21'!$A$11:$BB$406,40,FALSE)+VLOOKUP($A84,'ПР 21-22'!$A$11:$BB$406,40,FALSE)-VLOOKUP($A84,'ПР 01-02.22'!$A$11:$BB$378,40,FALSE)</f>
        <v>4575.3897013615187</v>
      </c>
      <c r="AO84" s="5">
        <f>VLOOKUP($A84,'ПР 01-02.21'!$A$11:$BB$406,41,FALSE)+VLOOKUP($A84,'ПР 21-22'!$A$11:$BB$406,41,FALSE)-VLOOKUP($A84,'ПР 01-02.22'!$A$11:$BB$378,41,FALSE)</f>
        <v>0</v>
      </c>
      <c r="AP84" s="40"/>
      <c r="AQ84" s="5">
        <f>VLOOKUP($A84,'ПР 01-02.21'!$A$11:$BB$406,43,FALSE)+VLOOKUP($A84,'ПР 21-22'!$A$11:$BB$406,43,FALSE)-VLOOKUP($A84,'ПР 01-02.22'!$A$11:$BB$378,43,FALSE)</f>
        <v>5653.5628139938399</v>
      </c>
      <c r="AR84" s="5">
        <f>VLOOKUP($A84,'ПР 01-02.21'!$A$11:$BB$406,44,FALSE)+VLOOKUP($A84,'ПР 21-22'!$A$11:$BB$406,44,FALSE)-VLOOKUP($A84,'ПР 01-02.22'!$A$11:$BB$378,44,FALSE)</f>
        <v>1799</v>
      </c>
      <c r="AS84" s="40"/>
      <c r="AT84" s="5">
        <f>VLOOKUP($A84,'ПР 01-02.21'!$A$11:$BB$406,46,FALSE)+VLOOKUP($A84,'ПР 21-22'!$A$11:$BB$406,46,FALSE)-VLOOKUP($A84,'ПР 01-02.22'!$A$11:$BB$378,46,FALSE)</f>
        <v>3800.1763061431598</v>
      </c>
      <c r="AU84" s="5">
        <f>VLOOKUP($A84,'ПР 01-02.21'!$A$11:$BB$406,47,FALSE)+VLOOKUP($A84,'ПР 21-22'!$A$11:$BB$406,47,FALSE)-VLOOKUP($A84,'ПР 01-02.22'!$A$11:$BB$378,47,FALSE)</f>
        <v>1385</v>
      </c>
      <c r="AV84" s="40"/>
      <c r="AW84" s="5">
        <f>VLOOKUP($A84,'ПР 01-02.21'!$A$11:$BB$406,49,FALSE)+VLOOKUP($A84,'ПР 21-22'!$A$11:$BB$406,49,FALSE)-VLOOKUP($A84,'ПР 01-02.22'!$A$11:$BB$378,49,FALSE)</f>
        <v>746.70783042270796</v>
      </c>
      <c r="AX84" s="5">
        <f>VLOOKUP($A84,'ПР 01-02.21'!$A$11:$BB$406,50,FALSE)+VLOOKUP($A84,'ПР 21-22'!$A$11:$BB$406,50,FALSE)-VLOOKUP($A84,'ПР 01-02.22'!$A$11:$BB$378,50,FALSE)</f>
        <v>0</v>
      </c>
      <c r="AY84" s="40"/>
      <c r="AZ84" s="40">
        <f t="shared" si="5"/>
        <v>26670.887240035314</v>
      </c>
      <c r="BA84" s="40">
        <f t="shared" si="5"/>
        <v>18919</v>
      </c>
      <c r="BB84" s="55">
        <f t="shared" si="8"/>
        <v>-7751.8872400353139</v>
      </c>
      <c r="BD84" s="2">
        <v>1</v>
      </c>
      <c r="BF84" s="325">
        <v>150000531</v>
      </c>
    </row>
    <row r="85" spans="1:58" ht="24.9" customHeight="1" x14ac:dyDescent="0.3">
      <c r="A85" s="325">
        <v>150000532</v>
      </c>
      <c r="B85" s="445" t="s">
        <v>254</v>
      </c>
      <c r="C85" s="27">
        <v>5</v>
      </c>
      <c r="D85" s="101" t="s">
        <v>455</v>
      </c>
      <c r="E85" s="279">
        <f>'побудинковий звіт'!E83</f>
        <v>2489.87</v>
      </c>
      <c r="F85" s="441">
        <f>'побудинковий звіт'!AS83</f>
        <v>21728.518456575286</v>
      </c>
      <c r="G85" s="441">
        <f t="shared" si="6"/>
        <v>79848.51999999999</v>
      </c>
      <c r="H85" s="73">
        <f t="shared" si="7"/>
        <v>58120.001543424703</v>
      </c>
      <c r="I85" s="5">
        <f>VLOOKUP($A85,'ПР 01-02.21'!$A$11:$BB$406,9,FALSE)+VLOOKUP($A85,'ПР 21-22'!$A$11:$BB$406,9,FALSE)-VLOOKUP($A85,'ПР 01-02.22'!$A$11:$BB$378,9,FALSE)</f>
        <v>61.599999999999994</v>
      </c>
      <c r="J85" s="5">
        <f>VLOOKUP($A85,'ПР 01-02.21'!$A$11:$BB$406,10,FALSE)+VLOOKUP($A85,'ПР 21-22'!$A$11:$BB$406,10,FALSE)-VLOOKUP($A85,'ПР 01-02.22'!$A$11:$BB$378,10,FALSE)</f>
        <v>10509.74</v>
      </c>
      <c r="K85" s="446"/>
      <c r="L85" s="5">
        <f>VLOOKUP($A85,'ПР 01-02.21'!$A$11:$BB$406,12,FALSE)+VLOOKUP($A85,'ПР 21-22'!$A$11:$BB$406,12,FALSE)-VLOOKUP($A85,'ПР 01-02.22'!$A$11:$BB$378,12,FALSE)</f>
        <v>1</v>
      </c>
      <c r="M85" s="5">
        <f>VLOOKUP($A85,'ПР 01-02.21'!$A$11:$BB$406,13,FALSE)+VLOOKUP($A85,'ПР 21-22'!$A$11:$BB$406,13,FALSE)-VLOOKUP($A85,'ПР 01-02.22'!$A$11:$BB$378,13,FALSE)</f>
        <v>42525</v>
      </c>
      <c r="N85" s="38"/>
      <c r="O85" s="5">
        <f>VLOOKUP($A85,'ПР 01-02.21'!$A$11:$BB$406,15,FALSE)+VLOOKUP($A85,'ПР 21-22'!$A$11:$BB$406,15,FALSE)-VLOOKUP($A85,'ПР 01-02.22'!$A$11:$BB$378,15,FALSE)</f>
        <v>0</v>
      </c>
      <c r="P85" s="5">
        <f>VLOOKUP($A85,'ПР 01-02.21'!$A$11:$BB$406,16,FALSE)+VLOOKUP($A85,'ПР 21-22'!$A$11:$BB$406,16,FALSE)-VLOOKUP($A85,'ПР 01-02.22'!$A$11:$BB$378,16,FALSE)</f>
        <v>0</v>
      </c>
      <c r="Q85" s="443"/>
      <c r="R85" s="5">
        <f>VLOOKUP($A85,'ПР 01-02.21'!$A$11:$BB$406,18,FALSE)+VLOOKUP($A85,'ПР 21-22'!$A$11:$BB$406,18,FALSE)-VLOOKUP($A85,'ПР 01-02.22'!$A$11:$BB$378,18,FALSE)</f>
        <v>0</v>
      </c>
      <c r="S85" s="5">
        <f>VLOOKUP($A85,'ПР 01-02.21'!$A$11:$BB$406,19,FALSE)+VLOOKUP($A85,'ПР 21-22'!$A$11:$BB$406,19,FALSE)-VLOOKUP($A85,'ПР 01-02.22'!$A$11:$BB$378,19,FALSE)</f>
        <v>0</v>
      </c>
      <c r="T85" s="444"/>
      <c r="U85" s="5">
        <f>VLOOKUP($A85,'ПР 01-02.21'!$A$11:$BB$406,21,FALSE)+VLOOKUP($A85,'ПР 21-22'!$A$11:$BB$406,21,FALSE)-VLOOKUP($A85,'ПР 01-02.22'!$A$11:$BB$378,21,FALSE)</f>
        <v>0</v>
      </c>
      <c r="V85" s="5"/>
      <c r="W85" s="5">
        <f>VLOOKUP($A85,'ПР 01-02.21'!$A$11:$BB$406,23,FALSE)+VLOOKUP($A85,'ПР 21-22'!$A$11:$BB$406,23,FALSE)-VLOOKUP($A85,'ПР 01-02.22'!$A$11:$BB$378,23,FALSE)</f>
        <v>0</v>
      </c>
      <c r="X85" s="5">
        <f>VLOOKUP($A85,'ПР 01-02.21'!$A$11:$BB$406,24,FALSE)+VLOOKUP($A85,'ПР 21-22'!$A$11:$BB$406,24,FALSE)-VLOOKUP($A85,'ПР 01-02.22'!$A$11:$BB$378,24,FALSE)</f>
        <v>0</v>
      </c>
      <c r="Y85" s="5">
        <f>VLOOKUP($A85,'ПР 01-02.21'!$A$11:$BB$406,25,FALSE)+VLOOKUP($A85,'ПР 21-22'!$A$11:$BB$406,25,FALSE)-VLOOKUP($A85,'ПР 01-02.22'!$A$11:$BB$378,25,FALSE)</f>
        <v>14238.779999999999</v>
      </c>
      <c r="Z85" s="5"/>
      <c r="AA85" s="5">
        <f>VLOOKUP($A85,'ПР 01-02.21'!$A$11:$BB$406,27,FALSE)+VLOOKUP($A85,'ПР 21-22'!$A$11:$BB$406,27,FALSE)-VLOOKUP($A85,'ПР 01-02.22'!$A$11:$BB$378,27,FALSE)</f>
        <v>0</v>
      </c>
      <c r="AB85" s="5">
        <f>VLOOKUP($A85,'ПР 01-02.21'!$A$11:$BB$406,28,FALSE)+VLOOKUP($A85,'ПР 21-22'!$A$11:$BB$406,28,FALSE)-VLOOKUP($A85,'ПР 01-02.22'!$A$11:$BB$378,28,FALSE)</f>
        <v>0</v>
      </c>
      <c r="AC85" s="5">
        <f>VLOOKUP($A85,'ПР 01-02.21'!$A$11:$BB$406,29,FALSE)+VLOOKUP($A85,'ПР 21-22'!$A$11:$BB$406,29,FALSE)-VLOOKUP($A85,'ПР 01-02.22'!$A$11:$BB$378,29,FALSE)</f>
        <v>238</v>
      </c>
      <c r="AD85" s="5">
        <f>VLOOKUP($A85,'ПР 01-02.21'!$A$11:$BB$406,30,FALSE)+VLOOKUP($A85,'ПР 21-22'!$A$11:$BB$406,30,FALSE)-VLOOKUP($A85,'ПР 01-02.22'!$A$11:$BB$378,30,FALSE)</f>
        <v>12337</v>
      </c>
      <c r="AE85" s="5">
        <f>VLOOKUP($A85,'ПР 01-02.21'!$A$11:$BB$406,31,FALSE)+VLOOKUP($A85,'ПР 21-22'!$A$11:$BB$406,31,FALSE)-VLOOKUP($A85,'ПР 01-02.22'!$A$11:$BB$378,31,FALSE)</f>
        <v>2199.1996445438949</v>
      </c>
      <c r="AF85" s="5">
        <f>VLOOKUP($A85,'ПР 01-02.21'!$A$11:$BB$406,32,FALSE)+VLOOKUP($A85,'ПР 21-22'!$A$11:$BB$406,32,FALSE)-VLOOKUP($A85,'ПР 01-02.22'!$A$11:$BB$378,32,FALSE)</f>
        <v>60</v>
      </c>
      <c r="AG85" s="40"/>
      <c r="AH85" s="5">
        <f>VLOOKUP($A85,'ПР 01-02.21'!$A$11:$BB$406,34,FALSE)+VLOOKUP($A85,'ПР 21-22'!$A$11:$BB$406,34,FALSE)-VLOOKUP($A85,'ПР 01-02.22'!$A$11:$BB$378,34,FALSE)</f>
        <v>2956.5358343305893</v>
      </c>
      <c r="AI85" s="5">
        <f>VLOOKUP($A85,'ПР 01-02.21'!$A$11:$BB$406,35,FALSE)+VLOOKUP($A85,'ПР 21-22'!$A$11:$BB$406,35,FALSE)-VLOOKUP($A85,'ПР 01-02.22'!$A$11:$BB$378,35,FALSE)</f>
        <v>13455</v>
      </c>
      <c r="AJ85" s="40"/>
      <c r="AK85" s="5">
        <f>VLOOKUP($A85,'ПР 01-02.21'!$A$11:$BB$406,37,FALSE)+VLOOKUP($A85,'ПР 21-22'!$A$11:$BB$406,37,FALSE)-VLOOKUP($A85,'ПР 01-02.22'!$A$11:$BB$378,37,FALSE)</f>
        <v>484.72318829928889</v>
      </c>
      <c r="AL85" s="5">
        <f>VLOOKUP($A85,'ПР 01-02.21'!$A$11:$BB$406,38,FALSE)+VLOOKUP($A85,'ПР 21-22'!$A$11:$BB$406,38,FALSE)-VLOOKUP($A85,'ПР 01-02.22'!$A$11:$BB$378,38,FALSE)</f>
        <v>0</v>
      </c>
      <c r="AM85" s="40"/>
      <c r="AN85" s="5">
        <f>VLOOKUP($A85,'ПР 01-02.21'!$A$11:$BB$406,40,FALSE)+VLOOKUP($A85,'ПР 21-22'!$A$11:$BB$406,40,FALSE)-VLOOKUP($A85,'ПР 01-02.22'!$A$11:$BB$378,40,FALSE)</f>
        <v>1557.2376757600753</v>
      </c>
      <c r="AO85" s="5">
        <f>VLOOKUP($A85,'ПР 01-02.21'!$A$11:$BB$406,41,FALSE)+VLOOKUP($A85,'ПР 21-22'!$A$11:$BB$406,41,FALSE)-VLOOKUP($A85,'ПР 01-02.22'!$A$11:$BB$378,41,FALSE)</f>
        <v>0</v>
      </c>
      <c r="AP85" s="40"/>
      <c r="AQ85" s="5">
        <f>VLOOKUP($A85,'ПР 01-02.21'!$A$11:$BB$406,43,FALSE)+VLOOKUP($A85,'ПР 21-22'!$A$11:$BB$406,43,FALSE)-VLOOKUP($A85,'ПР 01-02.22'!$A$11:$BB$378,43,FALSE)</f>
        <v>1026.7479782613534</v>
      </c>
      <c r="AR85" s="5">
        <f>VLOOKUP($A85,'ПР 01-02.21'!$A$11:$BB$406,44,FALSE)+VLOOKUP($A85,'ПР 21-22'!$A$11:$BB$406,44,FALSE)-VLOOKUP($A85,'ПР 01-02.22'!$A$11:$BB$378,44,FALSE)</f>
        <v>0</v>
      </c>
      <c r="AS85" s="40"/>
      <c r="AT85" s="5">
        <f>VLOOKUP($A85,'ПР 01-02.21'!$A$11:$BB$406,46,FALSE)+VLOOKUP($A85,'ПР 21-22'!$A$11:$BB$406,46,FALSE)-VLOOKUP($A85,'ПР 01-02.22'!$A$11:$BB$378,46,FALSE)</f>
        <v>1263.4874186792774</v>
      </c>
      <c r="AU85" s="5">
        <f>VLOOKUP($A85,'ПР 01-02.21'!$A$11:$BB$406,47,FALSE)+VLOOKUP($A85,'ПР 21-22'!$A$11:$BB$406,47,FALSE)-VLOOKUP($A85,'ПР 01-02.22'!$A$11:$BB$378,47,FALSE)</f>
        <v>0</v>
      </c>
      <c r="AV85" s="40"/>
      <c r="AW85" s="5">
        <f>VLOOKUP($A85,'ПР 01-02.21'!$A$11:$BB$406,49,FALSE)+VLOOKUP($A85,'ПР 21-22'!$A$11:$BB$406,49,FALSE)-VLOOKUP($A85,'ПР 01-02.22'!$A$11:$BB$378,49,FALSE)</f>
        <v>642.88400838005566</v>
      </c>
      <c r="AX85" s="5">
        <f>VLOOKUP($A85,'ПР 01-02.21'!$A$11:$BB$406,50,FALSE)+VLOOKUP($A85,'ПР 21-22'!$A$11:$BB$406,50,FALSE)-VLOOKUP($A85,'ПР 01-02.22'!$A$11:$BB$378,50,FALSE)</f>
        <v>0</v>
      </c>
      <c r="AY85" s="40"/>
      <c r="AZ85" s="40">
        <f t="shared" si="5"/>
        <v>10130.815748254534</v>
      </c>
      <c r="BA85" s="40">
        <f t="shared" si="5"/>
        <v>13515</v>
      </c>
      <c r="BB85" s="55">
        <f t="shared" si="8"/>
        <v>3384.1842517454661</v>
      </c>
      <c r="BD85" s="2">
        <v>1</v>
      </c>
      <c r="BF85" s="325">
        <v>150000532</v>
      </c>
    </row>
    <row r="86" spans="1:58" ht="24.9" customHeight="1" x14ac:dyDescent="0.3">
      <c r="A86" s="325">
        <v>150000533</v>
      </c>
      <c r="B86" s="445" t="s">
        <v>350</v>
      </c>
      <c r="C86" s="27">
        <v>9</v>
      </c>
      <c r="D86" s="101" t="s">
        <v>455</v>
      </c>
      <c r="E86" s="279">
        <f>'побудинковий звіт'!E84</f>
        <v>11377.55</v>
      </c>
      <c r="F86" s="441">
        <f>'побудинковий звіт'!AS84</f>
        <v>147085.14627448728</v>
      </c>
      <c r="G86" s="441">
        <f t="shared" si="6"/>
        <v>376422.32415669732</v>
      </c>
      <c r="H86" s="73">
        <f t="shared" si="7"/>
        <v>229337.17788221003</v>
      </c>
      <c r="I86" s="5">
        <f>VLOOKUP($A86,'ПР 01-02.21'!$A$11:$BB$406,9,FALSE)+VLOOKUP($A86,'ПР 21-22'!$A$11:$BB$406,9,FALSE)-VLOOKUP($A86,'ПР 01-02.22'!$A$11:$BB$378,9,FALSE)</f>
        <v>78.7</v>
      </c>
      <c r="J86" s="5">
        <f>VLOOKUP($A86,'ПР 01-02.21'!$A$11:$BB$406,10,FALSE)+VLOOKUP($A86,'ПР 21-22'!$A$11:$BB$406,10,FALSE)-VLOOKUP($A86,'ПР 01-02.22'!$A$11:$BB$378,10,FALSE)</f>
        <v>15468</v>
      </c>
      <c r="K86" s="446"/>
      <c r="L86" s="5">
        <f>VLOOKUP($A86,'ПР 01-02.21'!$A$11:$BB$406,12,FALSE)+VLOOKUP($A86,'ПР 21-22'!$A$11:$BB$406,12,FALSE)-VLOOKUP($A86,'ПР 01-02.22'!$A$11:$BB$378,12,FALSE)</f>
        <v>2</v>
      </c>
      <c r="M86" s="5">
        <f>VLOOKUP($A86,'ПР 01-02.21'!$A$11:$BB$406,13,FALSE)+VLOOKUP($A86,'ПР 21-22'!$A$11:$BB$406,13,FALSE)-VLOOKUP($A86,'ПР 01-02.22'!$A$11:$BB$378,13,FALSE)</f>
        <v>255080</v>
      </c>
      <c r="N86" s="38"/>
      <c r="O86" s="5">
        <f>VLOOKUP($A86,'ПР 01-02.21'!$A$11:$BB$406,15,FALSE)+VLOOKUP($A86,'ПР 21-22'!$A$11:$BB$406,15,FALSE)-VLOOKUP($A86,'ПР 01-02.22'!$A$11:$BB$378,15,FALSE)</f>
        <v>206</v>
      </c>
      <c r="P86" s="5">
        <f>VLOOKUP($A86,'ПР 01-02.21'!$A$11:$BB$406,16,FALSE)+VLOOKUP($A86,'ПР 21-22'!$A$11:$BB$406,16,FALSE)-VLOOKUP($A86,'ПР 01-02.22'!$A$11:$BB$378,16,FALSE)</f>
        <v>45717.1</v>
      </c>
      <c r="Q86" s="443"/>
      <c r="R86" s="5">
        <f>VLOOKUP($A86,'ПР 01-02.21'!$A$11:$BB$406,18,FALSE)+VLOOKUP($A86,'ПР 21-22'!$A$11:$BB$406,18,FALSE)-VLOOKUP($A86,'ПР 01-02.22'!$A$11:$BB$378,18,FALSE)</f>
        <v>4</v>
      </c>
      <c r="S86" s="5">
        <f>VLOOKUP($A86,'ПР 01-02.21'!$A$11:$BB$406,19,FALSE)+VLOOKUP($A86,'ПР 21-22'!$A$11:$BB$406,19,FALSE)-VLOOKUP($A86,'ПР 01-02.22'!$A$11:$BB$378,19,FALSE)</f>
        <v>14557</v>
      </c>
      <c r="T86" s="444"/>
      <c r="U86" s="5">
        <f>VLOOKUP($A86,'ПР 01-02.21'!$A$11:$BB$406,21,FALSE)+VLOOKUP($A86,'ПР 21-22'!$A$11:$BB$406,21,FALSE)-VLOOKUP($A86,'ПР 01-02.22'!$A$11:$BB$378,21,FALSE)</f>
        <v>0</v>
      </c>
      <c r="V86" s="5"/>
      <c r="W86" s="5">
        <f>VLOOKUP($A86,'ПР 01-02.21'!$A$11:$BB$406,23,FALSE)+VLOOKUP($A86,'ПР 21-22'!$A$11:$BB$406,23,FALSE)-VLOOKUP($A86,'ПР 01-02.22'!$A$11:$BB$378,23,FALSE)</f>
        <v>7.5</v>
      </c>
      <c r="X86" s="5">
        <f>VLOOKUP($A86,'ПР 01-02.21'!$A$11:$BB$406,24,FALSE)+VLOOKUP($A86,'ПР 21-22'!$A$11:$BB$406,24,FALSE)-VLOOKUP($A86,'ПР 01-02.22'!$A$11:$BB$378,24,FALSE)</f>
        <v>3451.8641566973783</v>
      </c>
      <c r="Y86" s="5">
        <f>VLOOKUP($A86,'ПР 01-02.21'!$A$11:$BB$406,25,FALSE)+VLOOKUP($A86,'ПР 21-22'!$A$11:$BB$406,25,FALSE)-VLOOKUP($A86,'ПР 01-02.22'!$A$11:$BB$378,25,FALSE)</f>
        <v>406</v>
      </c>
      <c r="Z86" s="5"/>
      <c r="AA86" s="5">
        <f>VLOOKUP($A86,'ПР 01-02.21'!$A$11:$BB$406,27,FALSE)+VLOOKUP($A86,'ПР 21-22'!$A$11:$BB$406,27,FALSE)-VLOOKUP($A86,'ПР 01-02.22'!$A$11:$BB$378,27,FALSE)</f>
        <v>0</v>
      </c>
      <c r="AB86" s="5">
        <f>VLOOKUP($A86,'ПР 01-02.21'!$A$11:$BB$406,28,FALSE)+VLOOKUP($A86,'ПР 21-22'!$A$11:$BB$406,28,FALSE)-VLOOKUP($A86,'ПР 01-02.22'!$A$11:$BB$378,28,FALSE)</f>
        <v>4984.6099999999997</v>
      </c>
      <c r="AC86" s="5">
        <f>VLOOKUP($A86,'ПР 01-02.21'!$A$11:$BB$406,29,FALSE)+VLOOKUP($A86,'ПР 21-22'!$A$11:$BB$406,29,FALSE)-VLOOKUP($A86,'ПР 01-02.22'!$A$11:$BB$378,29,FALSE)</f>
        <v>28249</v>
      </c>
      <c r="AD86" s="5">
        <f>VLOOKUP($A86,'ПР 01-02.21'!$A$11:$BB$406,30,FALSE)+VLOOKUP($A86,'ПР 21-22'!$A$11:$BB$406,30,FALSE)-VLOOKUP($A86,'ПР 01-02.22'!$A$11:$BB$378,30,FALSE)</f>
        <v>8508.75</v>
      </c>
      <c r="AE86" s="5">
        <f>VLOOKUP($A86,'ПР 01-02.21'!$A$11:$BB$406,31,FALSE)+VLOOKUP($A86,'ПР 21-22'!$A$11:$BB$406,31,FALSE)-VLOOKUP($A86,'ПР 01-02.22'!$A$11:$BB$378,31,FALSE)</f>
        <v>5760.2072465023111</v>
      </c>
      <c r="AF86" s="5">
        <f>VLOOKUP($A86,'ПР 01-02.21'!$A$11:$BB$406,32,FALSE)+VLOOKUP($A86,'ПР 21-22'!$A$11:$BB$406,32,FALSE)-VLOOKUP($A86,'ПР 01-02.22'!$A$11:$BB$378,32,FALSE)</f>
        <v>226</v>
      </c>
      <c r="AG86" s="40"/>
      <c r="AH86" s="5">
        <f>VLOOKUP($A86,'ПР 01-02.21'!$A$11:$BB$406,34,FALSE)+VLOOKUP($A86,'ПР 21-22'!$A$11:$BB$406,34,FALSE)-VLOOKUP($A86,'ПР 01-02.22'!$A$11:$BB$378,34,FALSE)</f>
        <v>6634.358782810109</v>
      </c>
      <c r="AI86" s="5">
        <f>VLOOKUP($A86,'ПР 01-02.21'!$A$11:$BB$406,35,FALSE)+VLOOKUP($A86,'ПР 21-22'!$A$11:$BB$406,35,FALSE)-VLOOKUP($A86,'ПР 01-02.22'!$A$11:$BB$378,35,FALSE)</f>
        <v>0</v>
      </c>
      <c r="AJ86" s="40"/>
      <c r="AK86" s="5">
        <f>VLOOKUP($A86,'ПР 01-02.21'!$A$11:$BB$406,37,FALSE)+VLOOKUP($A86,'ПР 21-22'!$A$11:$BB$406,37,FALSE)-VLOOKUP($A86,'ПР 01-02.22'!$A$11:$BB$378,37,FALSE)</f>
        <v>2018.2483654900727</v>
      </c>
      <c r="AL86" s="5">
        <f>VLOOKUP($A86,'ПР 01-02.21'!$A$11:$BB$406,38,FALSE)+VLOOKUP($A86,'ПР 21-22'!$A$11:$BB$406,38,FALSE)-VLOOKUP($A86,'ПР 01-02.22'!$A$11:$BB$378,38,FALSE)</f>
        <v>0</v>
      </c>
      <c r="AM86" s="40"/>
      <c r="AN86" s="5">
        <f>VLOOKUP($A86,'ПР 01-02.21'!$A$11:$BB$406,40,FALSE)+VLOOKUP($A86,'ПР 21-22'!$A$11:$BB$406,40,FALSE)-VLOOKUP($A86,'ПР 01-02.22'!$A$11:$BB$378,40,FALSE)</f>
        <v>6394.9997435509231</v>
      </c>
      <c r="AO86" s="5">
        <f>VLOOKUP($A86,'ПР 01-02.21'!$A$11:$BB$406,41,FALSE)+VLOOKUP($A86,'ПР 21-22'!$A$11:$BB$406,41,FALSE)-VLOOKUP($A86,'ПР 01-02.22'!$A$11:$BB$378,41,FALSE)</f>
        <v>0</v>
      </c>
      <c r="AP86" s="40"/>
      <c r="AQ86" s="5">
        <f>VLOOKUP($A86,'ПР 01-02.21'!$A$11:$BB$406,43,FALSE)+VLOOKUP($A86,'ПР 21-22'!$A$11:$BB$406,43,FALSE)-VLOOKUP($A86,'ПР 01-02.22'!$A$11:$BB$378,43,FALSE)</f>
        <v>8400.0911331935331</v>
      </c>
      <c r="AR86" s="5">
        <f>VLOOKUP($A86,'ПР 01-02.21'!$A$11:$BB$406,44,FALSE)+VLOOKUP($A86,'ПР 21-22'!$A$11:$BB$406,44,FALSE)-VLOOKUP($A86,'ПР 01-02.22'!$A$11:$BB$378,44,FALSE)</f>
        <v>0</v>
      </c>
      <c r="AS86" s="40"/>
      <c r="AT86" s="5">
        <f>VLOOKUP($A86,'ПР 01-02.21'!$A$11:$BB$406,46,FALSE)+VLOOKUP($A86,'ПР 21-22'!$A$11:$BB$406,46,FALSE)-VLOOKUP($A86,'ПР 01-02.22'!$A$11:$BB$378,46,FALSE)</f>
        <v>7568.7609109682562</v>
      </c>
      <c r="AU86" s="5">
        <f>VLOOKUP($A86,'ПР 01-02.21'!$A$11:$BB$406,47,FALSE)+VLOOKUP($A86,'ПР 21-22'!$A$11:$BB$406,47,FALSE)-VLOOKUP($A86,'ПР 01-02.22'!$A$11:$BB$378,47,FALSE)</f>
        <v>0</v>
      </c>
      <c r="AV86" s="40"/>
      <c r="AW86" s="5">
        <f>VLOOKUP($A86,'ПР 01-02.21'!$A$11:$BB$406,49,FALSE)+VLOOKUP($A86,'ПР 21-22'!$A$11:$BB$406,49,FALSE)-VLOOKUP($A86,'ПР 01-02.22'!$A$11:$BB$378,49,FALSE)</f>
        <v>1202.5635202237252</v>
      </c>
      <c r="AX86" s="5">
        <f>VLOOKUP($A86,'ПР 01-02.21'!$A$11:$BB$406,50,FALSE)+VLOOKUP($A86,'ПР 21-22'!$A$11:$BB$406,50,FALSE)-VLOOKUP($A86,'ПР 01-02.22'!$A$11:$BB$378,50,FALSE)</f>
        <v>0</v>
      </c>
      <c r="AY86" s="40"/>
      <c r="AZ86" s="40">
        <f t="shared" si="5"/>
        <v>37979.229702738936</v>
      </c>
      <c r="BA86" s="40">
        <f t="shared" si="5"/>
        <v>226</v>
      </c>
      <c r="BB86" s="55">
        <f t="shared" si="8"/>
        <v>-37753.229702738936</v>
      </c>
      <c r="BD86" s="2">
        <v>1</v>
      </c>
      <c r="BF86" s="325">
        <v>150000533</v>
      </c>
    </row>
    <row r="87" spans="1:58" ht="24.9" customHeight="1" x14ac:dyDescent="0.3">
      <c r="A87" s="325">
        <v>150000534</v>
      </c>
      <c r="B87" s="445" t="s">
        <v>255</v>
      </c>
      <c r="C87" s="27">
        <v>5</v>
      </c>
      <c r="D87" s="101" t="s">
        <v>455</v>
      </c>
      <c r="E87" s="279">
        <f>'побудинковий звіт'!E85</f>
        <v>2481.4</v>
      </c>
      <c r="F87" s="441">
        <f>'побудинковий звіт'!AS85</f>
        <v>33380.8885755175</v>
      </c>
      <c r="G87" s="441">
        <f t="shared" si="6"/>
        <v>4023.74</v>
      </c>
      <c r="H87" s="73">
        <f t="shared" si="7"/>
        <v>-29357.148575517502</v>
      </c>
      <c r="I87" s="5">
        <f>VLOOKUP($A87,'ПР 01-02.21'!$A$11:$BB$406,9,FALSE)+VLOOKUP($A87,'ПР 21-22'!$A$11:$BB$406,9,FALSE)-VLOOKUP($A87,'ПР 01-02.22'!$A$11:$BB$378,9,FALSE)</f>
        <v>0</v>
      </c>
      <c r="J87" s="5">
        <f>VLOOKUP($A87,'ПР 01-02.21'!$A$11:$BB$406,10,FALSE)+VLOOKUP($A87,'ПР 21-22'!$A$11:$BB$406,10,FALSE)-VLOOKUP($A87,'ПР 01-02.22'!$A$11:$BB$378,10,FALSE)</f>
        <v>0</v>
      </c>
      <c r="K87" s="446"/>
      <c r="L87" s="5">
        <f>VLOOKUP($A87,'ПР 01-02.21'!$A$11:$BB$406,12,FALSE)+VLOOKUP($A87,'ПР 21-22'!$A$11:$BB$406,12,FALSE)-VLOOKUP($A87,'ПР 01-02.22'!$A$11:$BB$378,12,FALSE)</f>
        <v>0</v>
      </c>
      <c r="M87" s="5">
        <f>VLOOKUP($A87,'ПР 01-02.21'!$A$11:$BB$406,13,FALSE)+VLOOKUP($A87,'ПР 21-22'!$A$11:$BB$406,13,FALSE)-VLOOKUP($A87,'ПР 01-02.22'!$A$11:$BB$378,13,FALSE)</f>
        <v>0</v>
      </c>
      <c r="N87" s="38"/>
      <c r="O87" s="5">
        <f>VLOOKUP($A87,'ПР 01-02.21'!$A$11:$BB$406,15,FALSE)+VLOOKUP($A87,'ПР 21-22'!$A$11:$BB$406,15,FALSE)-VLOOKUP($A87,'ПР 01-02.22'!$A$11:$BB$378,15,FALSE)</f>
        <v>0</v>
      </c>
      <c r="P87" s="5">
        <f>VLOOKUP($A87,'ПР 01-02.21'!$A$11:$BB$406,16,FALSE)+VLOOKUP($A87,'ПР 21-22'!$A$11:$BB$406,16,FALSE)-VLOOKUP($A87,'ПР 01-02.22'!$A$11:$BB$378,16,FALSE)</f>
        <v>0</v>
      </c>
      <c r="Q87" s="443"/>
      <c r="R87" s="5">
        <f>VLOOKUP($A87,'ПР 01-02.21'!$A$11:$BB$406,18,FALSE)+VLOOKUP($A87,'ПР 21-22'!$A$11:$BB$406,18,FALSE)-VLOOKUP($A87,'ПР 01-02.22'!$A$11:$BB$378,18,FALSE)</f>
        <v>0</v>
      </c>
      <c r="S87" s="5">
        <f>VLOOKUP($A87,'ПР 01-02.21'!$A$11:$BB$406,19,FALSE)+VLOOKUP($A87,'ПР 21-22'!$A$11:$BB$406,19,FALSE)-VLOOKUP($A87,'ПР 01-02.22'!$A$11:$BB$378,19,FALSE)</f>
        <v>0</v>
      </c>
      <c r="T87" s="444"/>
      <c r="U87" s="5">
        <f>VLOOKUP($A87,'ПР 01-02.21'!$A$11:$BB$406,21,FALSE)+VLOOKUP($A87,'ПР 21-22'!$A$11:$BB$406,21,FALSE)-VLOOKUP($A87,'ПР 01-02.22'!$A$11:$BB$378,21,FALSE)</f>
        <v>0</v>
      </c>
      <c r="V87" s="5"/>
      <c r="W87" s="5">
        <f>VLOOKUP($A87,'ПР 01-02.21'!$A$11:$BB$406,23,FALSE)+VLOOKUP($A87,'ПР 21-22'!$A$11:$BB$406,23,FALSE)-VLOOKUP($A87,'ПР 01-02.22'!$A$11:$BB$378,23,FALSE)</f>
        <v>0</v>
      </c>
      <c r="X87" s="5">
        <f>VLOOKUP($A87,'ПР 01-02.21'!$A$11:$BB$406,24,FALSE)+VLOOKUP($A87,'ПР 21-22'!$A$11:$BB$406,24,FALSE)-VLOOKUP($A87,'ПР 01-02.22'!$A$11:$BB$378,24,FALSE)</f>
        <v>0</v>
      </c>
      <c r="Y87" s="5">
        <f>VLOOKUP($A87,'ПР 01-02.21'!$A$11:$BB$406,25,FALSE)+VLOOKUP($A87,'ПР 21-22'!$A$11:$BB$406,25,FALSE)-VLOOKUP($A87,'ПР 01-02.22'!$A$11:$BB$378,25,FALSE)</f>
        <v>0</v>
      </c>
      <c r="Z87" s="5"/>
      <c r="AA87" s="5">
        <f>VLOOKUP($A87,'ПР 01-02.21'!$A$11:$BB$406,27,FALSE)+VLOOKUP($A87,'ПР 21-22'!$A$11:$BB$406,27,FALSE)-VLOOKUP($A87,'ПР 01-02.22'!$A$11:$BB$378,27,FALSE)</f>
        <v>0</v>
      </c>
      <c r="AB87" s="5">
        <f>VLOOKUP($A87,'ПР 01-02.21'!$A$11:$BB$406,28,FALSE)+VLOOKUP($A87,'ПР 21-22'!$A$11:$BB$406,28,FALSE)-VLOOKUP($A87,'ПР 01-02.22'!$A$11:$BB$378,28,FALSE)</f>
        <v>2473.7399999999998</v>
      </c>
      <c r="AC87" s="5">
        <f>VLOOKUP($A87,'ПР 01-02.21'!$A$11:$BB$406,29,FALSE)+VLOOKUP($A87,'ПР 21-22'!$A$11:$BB$406,29,FALSE)-VLOOKUP($A87,'ПР 01-02.22'!$A$11:$BB$378,29,FALSE)</f>
        <v>906</v>
      </c>
      <c r="AD87" s="5">
        <f>VLOOKUP($A87,'ПР 01-02.21'!$A$11:$BB$406,30,FALSE)+VLOOKUP($A87,'ПР 21-22'!$A$11:$BB$406,30,FALSE)-VLOOKUP($A87,'ПР 01-02.22'!$A$11:$BB$378,30,FALSE)</f>
        <v>644</v>
      </c>
      <c r="AE87" s="5">
        <f>VLOOKUP($A87,'ПР 01-02.21'!$A$11:$BB$406,31,FALSE)+VLOOKUP($A87,'ПР 21-22'!$A$11:$BB$406,31,FALSE)-VLOOKUP($A87,'ПР 01-02.22'!$A$11:$BB$378,31,FALSE)</f>
        <v>2268.733092959646</v>
      </c>
      <c r="AF87" s="5">
        <f>VLOOKUP($A87,'ПР 01-02.21'!$A$11:$BB$406,32,FALSE)+VLOOKUP($A87,'ПР 21-22'!$A$11:$BB$406,32,FALSE)-VLOOKUP($A87,'ПР 01-02.22'!$A$11:$BB$378,32,FALSE)</f>
        <v>827</v>
      </c>
      <c r="AG87" s="40"/>
      <c r="AH87" s="5">
        <f>VLOOKUP($A87,'ПР 01-02.21'!$A$11:$BB$406,34,FALSE)+VLOOKUP($A87,'ПР 21-22'!$A$11:$BB$406,34,FALSE)-VLOOKUP($A87,'ПР 01-02.22'!$A$11:$BB$378,34,FALSE)</f>
        <v>2956.5358343305893</v>
      </c>
      <c r="AI87" s="5">
        <f>VLOOKUP($A87,'ПР 01-02.21'!$A$11:$BB$406,35,FALSE)+VLOOKUP($A87,'ПР 21-22'!$A$11:$BB$406,35,FALSE)-VLOOKUP($A87,'ПР 01-02.22'!$A$11:$BB$378,35,FALSE)</f>
        <v>1300</v>
      </c>
      <c r="AJ87" s="40"/>
      <c r="AK87" s="5">
        <f>VLOOKUP($A87,'ПР 01-02.21'!$A$11:$BB$406,37,FALSE)+VLOOKUP($A87,'ПР 21-22'!$A$11:$BB$406,37,FALSE)-VLOOKUP($A87,'ПР 01-02.22'!$A$11:$BB$378,37,FALSE)</f>
        <v>1197.7656828041979</v>
      </c>
      <c r="AL87" s="5">
        <f>VLOOKUP($A87,'ПР 01-02.21'!$A$11:$BB$406,38,FALSE)+VLOOKUP($A87,'ПР 21-22'!$A$11:$BB$406,38,FALSE)-VLOOKUP($A87,'ПР 01-02.22'!$A$11:$BB$378,38,FALSE)</f>
        <v>0</v>
      </c>
      <c r="AM87" s="40"/>
      <c r="AN87" s="5">
        <f>VLOOKUP($A87,'ПР 01-02.21'!$A$11:$BB$406,40,FALSE)+VLOOKUP($A87,'ПР 21-22'!$A$11:$BB$406,40,FALSE)-VLOOKUP($A87,'ПР 01-02.22'!$A$11:$BB$378,40,FALSE)</f>
        <v>1595.906197075918</v>
      </c>
      <c r="AO87" s="5">
        <f>VLOOKUP($A87,'ПР 01-02.21'!$A$11:$BB$406,41,FALSE)+VLOOKUP($A87,'ПР 21-22'!$A$11:$BB$406,41,FALSE)-VLOOKUP($A87,'ПР 01-02.22'!$A$11:$BB$378,41,FALSE)</f>
        <v>0</v>
      </c>
      <c r="AP87" s="40"/>
      <c r="AQ87" s="5">
        <f>VLOOKUP($A87,'ПР 01-02.21'!$A$11:$BB$406,43,FALSE)+VLOOKUP($A87,'ПР 21-22'!$A$11:$BB$406,43,FALSE)-VLOOKUP($A87,'ПР 01-02.22'!$A$11:$BB$378,43,FALSE)</f>
        <v>1026.7479782613534</v>
      </c>
      <c r="AR87" s="5">
        <f>VLOOKUP($A87,'ПР 01-02.21'!$A$11:$BB$406,44,FALSE)+VLOOKUP($A87,'ПР 21-22'!$A$11:$BB$406,44,FALSE)-VLOOKUP($A87,'ПР 01-02.22'!$A$11:$BB$378,44,FALSE)</f>
        <v>0</v>
      </c>
      <c r="AS87" s="40"/>
      <c r="AT87" s="5">
        <f>VLOOKUP($A87,'ПР 01-02.21'!$A$11:$BB$406,46,FALSE)+VLOOKUP($A87,'ПР 21-22'!$A$11:$BB$406,46,FALSE)-VLOOKUP($A87,'ПР 01-02.22'!$A$11:$BB$378,46,FALSE)</f>
        <v>1263.4874186792774</v>
      </c>
      <c r="AU87" s="5">
        <f>VLOOKUP($A87,'ПР 01-02.21'!$A$11:$BB$406,47,FALSE)+VLOOKUP($A87,'ПР 21-22'!$A$11:$BB$406,47,FALSE)-VLOOKUP($A87,'ПР 01-02.22'!$A$11:$BB$378,47,FALSE)</f>
        <v>0</v>
      </c>
      <c r="AV87" s="40"/>
      <c r="AW87" s="5">
        <f>VLOOKUP($A87,'ПР 01-02.21'!$A$11:$BB$406,49,FALSE)+VLOOKUP($A87,'ПР 21-22'!$A$11:$BB$406,49,FALSE)-VLOOKUP($A87,'ПР 01-02.22'!$A$11:$BB$378,49,FALSE)</f>
        <v>642.88400838005566</v>
      </c>
      <c r="AX87" s="5">
        <f>VLOOKUP($A87,'ПР 01-02.21'!$A$11:$BB$406,50,FALSE)+VLOOKUP($A87,'ПР 21-22'!$A$11:$BB$406,50,FALSE)-VLOOKUP($A87,'ПР 01-02.22'!$A$11:$BB$378,50,FALSE)</f>
        <v>0</v>
      </c>
      <c r="AY87" s="40"/>
      <c r="AZ87" s="40">
        <f t="shared" si="5"/>
        <v>10952.060212491037</v>
      </c>
      <c r="BA87" s="40">
        <f t="shared" si="5"/>
        <v>2127</v>
      </c>
      <c r="BB87" s="55">
        <f t="shared" si="8"/>
        <v>-8825.0602124910365</v>
      </c>
      <c r="BD87" s="2">
        <v>1</v>
      </c>
      <c r="BF87" s="325">
        <v>150000534</v>
      </c>
    </row>
    <row r="88" spans="1:58" ht="24.9" customHeight="1" x14ac:dyDescent="0.3">
      <c r="A88" s="325">
        <v>150000535</v>
      </c>
      <c r="B88" s="445" t="s">
        <v>351</v>
      </c>
      <c r="C88" s="27">
        <v>9</v>
      </c>
      <c r="D88" s="101" t="s">
        <v>455</v>
      </c>
      <c r="E88" s="279">
        <f>'побудинковий звіт'!E86</f>
        <v>11456.45</v>
      </c>
      <c r="F88" s="441">
        <f>'побудинковий звіт'!AS86</f>
        <v>139486.85101645676</v>
      </c>
      <c r="G88" s="441">
        <f t="shared" si="6"/>
        <v>126145.34999999999</v>
      </c>
      <c r="H88" s="73">
        <f t="shared" si="7"/>
        <v>-13341.501016456765</v>
      </c>
      <c r="I88" s="5">
        <f>VLOOKUP($A88,'ПР 01-02.21'!$A$11:$BB$406,9,FALSE)+VLOOKUP($A88,'ПР 21-22'!$A$11:$BB$406,9,FALSE)-VLOOKUP($A88,'ПР 01-02.22'!$A$11:$BB$378,9,FALSE)</f>
        <v>0</v>
      </c>
      <c r="J88" s="5">
        <f>VLOOKUP($A88,'ПР 01-02.21'!$A$11:$BB$406,10,FALSE)+VLOOKUP($A88,'ПР 21-22'!$A$11:$BB$406,10,FALSE)-VLOOKUP($A88,'ПР 01-02.22'!$A$11:$BB$378,10,FALSE)</f>
        <v>0</v>
      </c>
      <c r="K88" s="453"/>
      <c r="L88" s="5">
        <f>VLOOKUP($A88,'ПР 01-02.21'!$A$11:$BB$406,12,FALSE)+VLOOKUP($A88,'ПР 21-22'!$A$11:$BB$406,12,FALSE)-VLOOKUP($A88,'ПР 01-02.22'!$A$11:$BB$378,12,FALSE)</f>
        <v>0</v>
      </c>
      <c r="M88" s="5">
        <f>VLOOKUP($A88,'ПР 01-02.21'!$A$11:$BB$406,13,FALSE)+VLOOKUP($A88,'ПР 21-22'!$A$11:$BB$406,13,FALSE)-VLOOKUP($A88,'ПР 01-02.22'!$A$11:$BB$378,13,FALSE)</f>
        <v>1070.29</v>
      </c>
      <c r="N88" s="38"/>
      <c r="O88" s="5">
        <f>VLOOKUP($A88,'ПР 01-02.21'!$A$11:$BB$406,15,FALSE)+VLOOKUP($A88,'ПР 21-22'!$A$11:$BB$406,15,FALSE)-VLOOKUP($A88,'ПР 01-02.22'!$A$11:$BB$378,15,FALSE)</f>
        <v>165</v>
      </c>
      <c r="P88" s="5">
        <f>VLOOKUP($A88,'ПР 01-02.21'!$A$11:$BB$406,16,FALSE)+VLOOKUP($A88,'ПР 21-22'!$A$11:$BB$406,16,FALSE)-VLOOKUP($A88,'ПР 01-02.22'!$A$11:$BB$378,16,FALSE)</f>
        <v>40909.61</v>
      </c>
      <c r="Q88" s="443"/>
      <c r="R88" s="5">
        <f>VLOOKUP($A88,'ПР 01-02.21'!$A$11:$BB$406,18,FALSE)+VLOOKUP($A88,'ПР 21-22'!$A$11:$BB$406,18,FALSE)-VLOOKUP($A88,'ПР 01-02.22'!$A$11:$BB$378,18,FALSE)</f>
        <v>4</v>
      </c>
      <c r="S88" s="5">
        <f>VLOOKUP($A88,'ПР 01-02.21'!$A$11:$BB$406,19,FALSE)+VLOOKUP($A88,'ПР 21-22'!$A$11:$BB$406,19,FALSE)-VLOOKUP($A88,'ПР 01-02.22'!$A$11:$BB$378,19,FALSE)</f>
        <v>18996</v>
      </c>
      <c r="T88" s="444"/>
      <c r="U88" s="5">
        <f>VLOOKUP($A88,'ПР 01-02.21'!$A$11:$BB$406,21,FALSE)+VLOOKUP($A88,'ПР 21-22'!$A$11:$BB$406,21,FALSE)-VLOOKUP($A88,'ПР 01-02.22'!$A$11:$BB$378,21,FALSE)</f>
        <v>0</v>
      </c>
      <c r="V88" s="5"/>
      <c r="W88" s="5">
        <f>VLOOKUP($A88,'ПР 01-02.21'!$A$11:$BB$406,23,FALSE)+VLOOKUP($A88,'ПР 21-22'!$A$11:$BB$406,23,FALSE)-VLOOKUP($A88,'ПР 01-02.22'!$A$11:$BB$378,23,FALSE)</f>
        <v>3</v>
      </c>
      <c r="X88" s="5">
        <f>VLOOKUP($A88,'ПР 01-02.21'!$A$11:$BB$406,24,FALSE)+VLOOKUP($A88,'ПР 21-22'!$A$11:$BB$406,24,FALSE)-VLOOKUP($A88,'ПР 01-02.22'!$A$11:$BB$378,24,FALSE)</f>
        <v>1445</v>
      </c>
      <c r="Y88" s="5">
        <f>VLOOKUP($A88,'ПР 01-02.21'!$A$11:$BB$406,25,FALSE)+VLOOKUP($A88,'ПР 21-22'!$A$11:$BB$406,25,FALSE)-VLOOKUP($A88,'ПР 01-02.22'!$A$11:$BB$378,25,FALSE)</f>
        <v>20337</v>
      </c>
      <c r="Z88" s="5"/>
      <c r="AA88" s="5">
        <f>VLOOKUP($A88,'ПР 01-02.21'!$A$11:$BB$406,27,FALSE)+VLOOKUP($A88,'ПР 21-22'!$A$11:$BB$406,27,FALSE)-VLOOKUP($A88,'ПР 01-02.22'!$A$11:$BB$378,27,FALSE)</f>
        <v>0</v>
      </c>
      <c r="AB88" s="5">
        <f>VLOOKUP($A88,'ПР 01-02.21'!$A$11:$BB$406,28,FALSE)+VLOOKUP($A88,'ПР 21-22'!$A$11:$BB$406,28,FALSE)-VLOOKUP($A88,'ПР 01-02.22'!$A$11:$BB$378,28,FALSE)</f>
        <v>1089.28</v>
      </c>
      <c r="AC88" s="5">
        <f>VLOOKUP($A88,'ПР 01-02.21'!$A$11:$BB$406,29,FALSE)+VLOOKUP($A88,'ПР 21-22'!$A$11:$BB$406,29,FALSE)-VLOOKUP($A88,'ПР 01-02.22'!$A$11:$BB$378,29,FALSE)</f>
        <v>17356.61</v>
      </c>
      <c r="AD88" s="5">
        <f>VLOOKUP($A88,'ПР 01-02.21'!$A$11:$BB$406,30,FALSE)+VLOOKUP($A88,'ПР 21-22'!$A$11:$BB$406,30,FALSE)-VLOOKUP($A88,'ПР 01-02.22'!$A$11:$BB$378,30,FALSE)</f>
        <v>24941.559999999998</v>
      </c>
      <c r="AE88" s="5">
        <f>VLOOKUP($A88,'ПР 01-02.21'!$A$11:$BB$406,31,FALSE)+VLOOKUP($A88,'ПР 21-22'!$A$11:$BB$406,31,FALSE)-VLOOKUP($A88,'ПР 01-02.22'!$A$11:$BB$378,31,FALSE)</f>
        <v>6674.3148508889408</v>
      </c>
      <c r="AF88" s="5">
        <f>VLOOKUP($A88,'ПР 01-02.21'!$A$11:$BB$406,32,FALSE)+VLOOKUP($A88,'ПР 21-22'!$A$11:$BB$406,32,FALSE)-VLOOKUP($A88,'ПР 01-02.22'!$A$11:$BB$378,32,FALSE)</f>
        <v>2004</v>
      </c>
      <c r="AG88" s="40"/>
      <c r="AH88" s="5">
        <f>VLOOKUP($A88,'ПР 01-02.21'!$A$11:$BB$406,34,FALSE)+VLOOKUP($A88,'ПР 21-22'!$A$11:$BB$406,34,FALSE)-VLOOKUP($A88,'ПР 01-02.22'!$A$11:$BB$378,34,FALSE)</f>
        <v>7877.2768463837419</v>
      </c>
      <c r="AI88" s="5">
        <f>VLOOKUP($A88,'ПР 01-02.21'!$A$11:$BB$406,35,FALSE)+VLOOKUP($A88,'ПР 21-22'!$A$11:$BB$406,35,FALSE)-VLOOKUP($A88,'ПР 01-02.22'!$A$11:$BB$378,35,FALSE)</f>
        <v>4890.3099999999995</v>
      </c>
      <c r="AJ88" s="40"/>
      <c r="AK88" s="5">
        <f>VLOOKUP($A88,'ПР 01-02.21'!$A$11:$BB$406,37,FALSE)+VLOOKUP($A88,'ПР 21-22'!$A$11:$BB$406,37,FALSE)-VLOOKUP($A88,'ПР 01-02.22'!$A$11:$BB$378,37,FALSE)</f>
        <v>4511.2929069255151</v>
      </c>
      <c r="AL88" s="5">
        <f>VLOOKUP($A88,'ПР 01-02.21'!$A$11:$BB$406,38,FALSE)+VLOOKUP($A88,'ПР 21-22'!$A$11:$BB$406,38,FALSE)-VLOOKUP($A88,'ПР 01-02.22'!$A$11:$BB$378,38,FALSE)</f>
        <v>0</v>
      </c>
      <c r="AM88" s="40"/>
      <c r="AN88" s="5">
        <f>VLOOKUP($A88,'ПР 01-02.21'!$A$11:$BB$406,40,FALSE)+VLOOKUP($A88,'ПР 21-22'!$A$11:$BB$406,40,FALSE)-VLOOKUP($A88,'ПР 01-02.22'!$A$11:$BB$378,40,FALSE)</f>
        <v>7029.5114463150885</v>
      </c>
      <c r="AO88" s="5">
        <f>VLOOKUP($A88,'ПР 01-02.21'!$A$11:$BB$406,41,FALSE)+VLOOKUP($A88,'ПР 21-22'!$A$11:$BB$406,41,FALSE)-VLOOKUP($A88,'ПР 01-02.22'!$A$11:$BB$378,41,FALSE)</f>
        <v>0</v>
      </c>
      <c r="AP88" s="40"/>
      <c r="AQ88" s="5">
        <f>VLOOKUP($A88,'ПР 01-02.21'!$A$11:$BB$406,43,FALSE)+VLOOKUP($A88,'ПР 21-22'!$A$11:$BB$406,43,FALSE)-VLOOKUP($A88,'ПР 01-02.22'!$A$11:$BB$378,43,FALSE)</f>
        <v>9423.1863450077271</v>
      </c>
      <c r="AR88" s="5">
        <f>VLOOKUP($A88,'ПР 01-02.21'!$A$11:$BB$406,44,FALSE)+VLOOKUP($A88,'ПР 21-22'!$A$11:$BB$406,44,FALSE)-VLOOKUP($A88,'ПР 01-02.22'!$A$11:$BB$378,44,FALSE)</f>
        <v>0</v>
      </c>
      <c r="AS88" s="40"/>
      <c r="AT88" s="5">
        <f>VLOOKUP($A88,'ПР 01-02.21'!$A$11:$BB$406,46,FALSE)+VLOOKUP($A88,'ПР 21-22'!$A$11:$BB$406,46,FALSE)-VLOOKUP($A88,'ПР 01-02.22'!$A$11:$BB$378,46,FALSE)</f>
        <v>8804.5707395921054</v>
      </c>
      <c r="AU88" s="5">
        <f>VLOOKUP($A88,'ПР 01-02.21'!$A$11:$BB$406,47,FALSE)+VLOOKUP($A88,'ПР 21-22'!$A$11:$BB$406,47,FALSE)-VLOOKUP($A88,'ПР 01-02.22'!$A$11:$BB$378,47,FALSE)</f>
        <v>142</v>
      </c>
      <c r="AV88" s="40"/>
      <c r="AW88" s="5">
        <f>VLOOKUP($A88,'ПР 01-02.21'!$A$11:$BB$406,49,FALSE)+VLOOKUP($A88,'ПР 21-22'!$A$11:$BB$406,49,FALSE)-VLOOKUP($A88,'ПР 01-02.22'!$A$11:$BB$378,49,FALSE)</f>
        <v>1223.7584248651392</v>
      </c>
      <c r="AX88" s="5">
        <f>VLOOKUP($A88,'ПР 01-02.21'!$A$11:$BB$406,50,FALSE)+VLOOKUP($A88,'ПР 21-22'!$A$11:$BB$406,50,FALSE)-VLOOKUP($A88,'ПР 01-02.22'!$A$11:$BB$378,50,FALSE)</f>
        <v>0</v>
      </c>
      <c r="AY88" s="40"/>
      <c r="AZ88" s="40">
        <f t="shared" si="5"/>
        <v>45543.91155997826</v>
      </c>
      <c r="BA88" s="40">
        <f t="shared" si="5"/>
        <v>7036.3099999999995</v>
      </c>
      <c r="BB88" s="55">
        <f t="shared" si="8"/>
        <v>-38507.601559978262</v>
      </c>
      <c r="BD88" s="2">
        <v>1</v>
      </c>
      <c r="BF88" s="325">
        <v>150000535</v>
      </c>
    </row>
    <row r="89" spans="1:58" ht="24.9" customHeight="1" x14ac:dyDescent="0.3">
      <c r="A89" s="325">
        <v>150000645</v>
      </c>
      <c r="B89" s="445" t="s">
        <v>66</v>
      </c>
      <c r="C89" s="27">
        <v>1</v>
      </c>
      <c r="D89" s="101" t="s">
        <v>455</v>
      </c>
      <c r="E89" s="279">
        <f>'побудинковий звіт'!E87</f>
        <v>216</v>
      </c>
      <c r="F89" s="441">
        <f>'побудинковий звіт'!AS87</f>
        <v>2697.634051139079</v>
      </c>
      <c r="G89" s="441">
        <f t="shared" si="6"/>
        <v>0</v>
      </c>
      <c r="H89" s="73">
        <f t="shared" si="7"/>
        <v>-2697.634051139079</v>
      </c>
      <c r="I89" s="5">
        <f>VLOOKUP($A89,'ПР 01-02.21'!$A$11:$BB$406,9,FALSE)+VLOOKUP($A89,'ПР 21-22'!$A$11:$BB$406,9,FALSE)-VLOOKUP($A89,'ПР 01-02.22'!$A$11:$BB$378,9,FALSE)</f>
        <v>0</v>
      </c>
      <c r="J89" s="5">
        <f>VLOOKUP($A89,'ПР 01-02.21'!$A$11:$BB$406,10,FALSE)+VLOOKUP($A89,'ПР 21-22'!$A$11:$BB$406,10,FALSE)-VLOOKUP($A89,'ПР 01-02.22'!$A$11:$BB$378,10,FALSE)</f>
        <v>0</v>
      </c>
      <c r="K89" s="446"/>
      <c r="L89" s="5">
        <f>VLOOKUP($A89,'ПР 01-02.21'!$A$11:$BB$406,12,FALSE)+VLOOKUP($A89,'ПР 21-22'!$A$11:$BB$406,12,FALSE)-VLOOKUP($A89,'ПР 01-02.22'!$A$11:$BB$378,12,FALSE)</f>
        <v>0</v>
      </c>
      <c r="M89" s="5">
        <f>VLOOKUP($A89,'ПР 01-02.21'!$A$11:$BB$406,13,FALSE)+VLOOKUP($A89,'ПР 21-22'!$A$11:$BB$406,13,FALSE)-VLOOKUP($A89,'ПР 01-02.22'!$A$11:$BB$378,13,FALSE)</f>
        <v>0</v>
      </c>
      <c r="N89" s="38"/>
      <c r="O89" s="5">
        <f>VLOOKUP($A89,'ПР 01-02.21'!$A$11:$BB$406,15,FALSE)+VLOOKUP($A89,'ПР 21-22'!$A$11:$BB$406,15,FALSE)-VLOOKUP($A89,'ПР 01-02.22'!$A$11:$BB$378,15,FALSE)</f>
        <v>0</v>
      </c>
      <c r="P89" s="5">
        <f>VLOOKUP($A89,'ПР 01-02.21'!$A$11:$BB$406,16,FALSE)+VLOOKUP($A89,'ПР 21-22'!$A$11:$BB$406,16,FALSE)-VLOOKUP($A89,'ПР 01-02.22'!$A$11:$BB$378,16,FALSE)</f>
        <v>0</v>
      </c>
      <c r="Q89" s="443"/>
      <c r="R89" s="5">
        <f>VLOOKUP($A89,'ПР 01-02.21'!$A$11:$BB$406,18,FALSE)+VLOOKUP($A89,'ПР 21-22'!$A$11:$BB$406,18,FALSE)-VLOOKUP($A89,'ПР 01-02.22'!$A$11:$BB$378,18,FALSE)</f>
        <v>0</v>
      </c>
      <c r="S89" s="5">
        <f>VLOOKUP($A89,'ПР 01-02.21'!$A$11:$BB$406,19,FALSE)+VLOOKUP($A89,'ПР 21-22'!$A$11:$BB$406,19,FALSE)-VLOOKUP($A89,'ПР 01-02.22'!$A$11:$BB$378,19,FALSE)</f>
        <v>0</v>
      </c>
      <c r="T89" s="444"/>
      <c r="U89" s="5">
        <f>VLOOKUP($A89,'ПР 01-02.21'!$A$11:$BB$406,21,FALSE)+VLOOKUP($A89,'ПР 21-22'!$A$11:$BB$406,21,FALSE)-VLOOKUP($A89,'ПР 01-02.22'!$A$11:$BB$378,21,FALSE)</f>
        <v>0</v>
      </c>
      <c r="V89" s="5"/>
      <c r="W89" s="5">
        <f>VLOOKUP($A89,'ПР 01-02.21'!$A$11:$BB$406,23,FALSE)+VLOOKUP($A89,'ПР 21-22'!$A$11:$BB$406,23,FALSE)-VLOOKUP($A89,'ПР 01-02.22'!$A$11:$BB$378,23,FALSE)</f>
        <v>0</v>
      </c>
      <c r="X89" s="5">
        <f>VLOOKUP($A89,'ПР 01-02.21'!$A$11:$BB$406,24,FALSE)+VLOOKUP($A89,'ПР 21-22'!$A$11:$BB$406,24,FALSE)-VLOOKUP($A89,'ПР 01-02.22'!$A$11:$BB$378,24,FALSE)</f>
        <v>0</v>
      </c>
      <c r="Y89" s="5">
        <f>VLOOKUP($A89,'ПР 01-02.21'!$A$11:$BB$406,25,FALSE)+VLOOKUP($A89,'ПР 21-22'!$A$11:$BB$406,25,FALSE)-VLOOKUP($A89,'ПР 01-02.22'!$A$11:$BB$378,25,FALSE)</f>
        <v>0</v>
      </c>
      <c r="Z89" s="5"/>
      <c r="AA89" s="5">
        <f>VLOOKUP($A89,'ПР 01-02.21'!$A$11:$BB$406,27,FALSE)+VLOOKUP($A89,'ПР 21-22'!$A$11:$BB$406,27,FALSE)-VLOOKUP($A89,'ПР 01-02.22'!$A$11:$BB$378,27,FALSE)</f>
        <v>0</v>
      </c>
      <c r="AB89" s="5">
        <f>VLOOKUP($A89,'ПР 01-02.21'!$A$11:$BB$406,28,FALSE)+VLOOKUP($A89,'ПР 21-22'!$A$11:$BB$406,28,FALSE)-VLOOKUP($A89,'ПР 01-02.22'!$A$11:$BB$378,28,FALSE)</f>
        <v>0</v>
      </c>
      <c r="AC89" s="5">
        <f>VLOOKUP($A89,'ПР 01-02.21'!$A$11:$BB$406,29,FALSE)+VLOOKUP($A89,'ПР 21-22'!$A$11:$BB$406,29,FALSE)-VLOOKUP($A89,'ПР 01-02.22'!$A$11:$BB$378,29,FALSE)</f>
        <v>0</v>
      </c>
      <c r="AD89" s="5">
        <f>VLOOKUP($A89,'ПР 01-02.21'!$A$11:$BB$406,30,FALSE)+VLOOKUP($A89,'ПР 21-22'!$A$11:$BB$406,30,FALSE)-VLOOKUP($A89,'ПР 01-02.22'!$A$11:$BB$378,30,FALSE)</f>
        <v>0</v>
      </c>
      <c r="AE89" s="5">
        <f>VLOOKUP($A89,'ПР 01-02.21'!$A$11:$BB$406,31,FALSE)+VLOOKUP($A89,'ПР 21-22'!$A$11:$BB$406,31,FALSE)-VLOOKUP($A89,'ПР 01-02.22'!$A$11:$BB$378,31,FALSE)</f>
        <v>0</v>
      </c>
      <c r="AF89" s="5">
        <f>VLOOKUP($A89,'ПР 01-02.21'!$A$11:$BB$406,32,FALSE)+VLOOKUP($A89,'ПР 21-22'!$A$11:$BB$406,32,FALSE)-VLOOKUP($A89,'ПР 01-02.22'!$A$11:$BB$378,32,FALSE)</f>
        <v>0</v>
      </c>
      <c r="AG89" s="40"/>
      <c r="AH89" s="5">
        <f>VLOOKUP($A89,'ПР 01-02.21'!$A$11:$BB$406,34,FALSE)+VLOOKUP($A89,'ПР 21-22'!$A$11:$BB$406,34,FALSE)-VLOOKUP($A89,'ПР 01-02.22'!$A$11:$BB$378,34,FALSE)</f>
        <v>0</v>
      </c>
      <c r="AI89" s="5">
        <f>VLOOKUP($A89,'ПР 01-02.21'!$A$11:$BB$406,35,FALSE)+VLOOKUP($A89,'ПР 21-22'!$A$11:$BB$406,35,FALSE)-VLOOKUP($A89,'ПР 01-02.22'!$A$11:$BB$378,35,FALSE)</f>
        <v>0</v>
      </c>
      <c r="AJ89" s="40"/>
      <c r="AK89" s="5">
        <f>VLOOKUP($A89,'ПР 01-02.21'!$A$11:$BB$406,37,FALSE)+VLOOKUP($A89,'ПР 21-22'!$A$11:$BB$406,37,FALSE)-VLOOKUP($A89,'ПР 01-02.22'!$A$11:$BB$378,37,FALSE)</f>
        <v>0</v>
      </c>
      <c r="AL89" s="5">
        <f>VLOOKUP($A89,'ПР 01-02.21'!$A$11:$BB$406,38,FALSE)+VLOOKUP($A89,'ПР 21-22'!$A$11:$BB$406,38,FALSE)-VLOOKUP($A89,'ПР 01-02.22'!$A$11:$BB$378,38,FALSE)</f>
        <v>0</v>
      </c>
      <c r="AM89" s="40"/>
      <c r="AN89" s="5">
        <f>VLOOKUP($A89,'ПР 01-02.21'!$A$11:$BB$406,40,FALSE)+VLOOKUP($A89,'ПР 21-22'!$A$11:$BB$406,40,FALSE)-VLOOKUP($A89,'ПР 01-02.22'!$A$11:$BB$378,40,FALSE)</f>
        <v>0</v>
      </c>
      <c r="AO89" s="5">
        <f>VLOOKUP($A89,'ПР 01-02.21'!$A$11:$BB$406,41,FALSE)+VLOOKUP($A89,'ПР 21-22'!$A$11:$BB$406,41,FALSE)-VLOOKUP($A89,'ПР 01-02.22'!$A$11:$BB$378,41,FALSE)</f>
        <v>0</v>
      </c>
      <c r="AP89" s="40"/>
      <c r="AQ89" s="5">
        <f>VLOOKUP($A89,'ПР 01-02.21'!$A$11:$BB$406,43,FALSE)+VLOOKUP($A89,'ПР 21-22'!$A$11:$BB$406,43,FALSE)-VLOOKUP($A89,'ПР 01-02.22'!$A$11:$BB$378,43,FALSE)</f>
        <v>0</v>
      </c>
      <c r="AR89" s="5">
        <f>VLOOKUP($A89,'ПР 01-02.21'!$A$11:$BB$406,44,FALSE)+VLOOKUP($A89,'ПР 21-22'!$A$11:$BB$406,44,FALSE)-VLOOKUP($A89,'ПР 01-02.22'!$A$11:$BB$378,44,FALSE)</f>
        <v>0</v>
      </c>
      <c r="AS89" s="40"/>
      <c r="AT89" s="5">
        <f>VLOOKUP($A89,'ПР 01-02.21'!$A$11:$BB$406,46,FALSE)+VLOOKUP($A89,'ПР 21-22'!$A$11:$BB$406,46,FALSE)-VLOOKUP($A89,'ПР 01-02.22'!$A$11:$BB$378,46,FALSE)</f>
        <v>0</v>
      </c>
      <c r="AU89" s="5">
        <f>VLOOKUP($A89,'ПР 01-02.21'!$A$11:$BB$406,47,FALSE)+VLOOKUP($A89,'ПР 21-22'!$A$11:$BB$406,47,FALSE)-VLOOKUP($A89,'ПР 01-02.22'!$A$11:$BB$378,47,FALSE)</f>
        <v>0</v>
      </c>
      <c r="AV89" s="40"/>
      <c r="AW89" s="5">
        <f>VLOOKUP($A89,'ПР 01-02.21'!$A$11:$BB$406,49,FALSE)+VLOOKUP($A89,'ПР 21-22'!$A$11:$BB$406,49,FALSE)-VLOOKUP($A89,'ПР 01-02.22'!$A$11:$BB$378,49,FALSE)</f>
        <v>10.576000000000001</v>
      </c>
      <c r="AX89" s="5">
        <f>VLOOKUP($A89,'ПР 01-02.21'!$A$11:$BB$406,50,FALSE)+VLOOKUP($A89,'ПР 21-22'!$A$11:$BB$406,50,FALSE)-VLOOKUP($A89,'ПР 01-02.22'!$A$11:$BB$378,50,FALSE)</f>
        <v>0</v>
      </c>
      <c r="AY89" s="40"/>
      <c r="AZ89" s="40">
        <f t="shared" si="5"/>
        <v>10.576000000000001</v>
      </c>
      <c r="BA89" s="40">
        <f t="shared" si="5"/>
        <v>0</v>
      </c>
      <c r="BB89" s="55">
        <f t="shared" si="8"/>
        <v>-10.576000000000001</v>
      </c>
      <c r="BD89" s="2">
        <v>3</v>
      </c>
      <c r="BF89" s="325">
        <v>150000645</v>
      </c>
    </row>
    <row r="90" spans="1:58" ht="24.9" customHeight="1" x14ac:dyDescent="0.3">
      <c r="A90" s="325">
        <v>150000643</v>
      </c>
      <c r="B90" s="445" t="s">
        <v>67</v>
      </c>
      <c r="C90" s="27">
        <v>1</v>
      </c>
      <c r="D90" s="101" t="s">
        <v>455</v>
      </c>
      <c r="E90" s="279">
        <f>'побудинковий звіт'!E88</f>
        <v>216.8</v>
      </c>
      <c r="F90" s="441">
        <f>'побудинковий звіт'!AS88</f>
        <v>2270.3260351144413</v>
      </c>
      <c r="G90" s="441">
        <f t="shared" si="6"/>
        <v>0</v>
      </c>
      <c r="H90" s="73">
        <f t="shared" si="7"/>
        <v>-2270.3260351144413</v>
      </c>
      <c r="I90" s="5">
        <f>VLOOKUP($A90,'ПР 01-02.21'!$A$11:$BB$406,9,FALSE)+VLOOKUP($A90,'ПР 21-22'!$A$11:$BB$406,9,FALSE)-VLOOKUP($A90,'ПР 01-02.22'!$A$11:$BB$378,9,FALSE)</f>
        <v>0</v>
      </c>
      <c r="J90" s="5">
        <f>VLOOKUP($A90,'ПР 01-02.21'!$A$11:$BB$406,10,FALSE)+VLOOKUP($A90,'ПР 21-22'!$A$11:$BB$406,10,FALSE)-VLOOKUP($A90,'ПР 01-02.22'!$A$11:$BB$378,10,FALSE)</f>
        <v>0</v>
      </c>
      <c r="K90" s="446"/>
      <c r="L90" s="5">
        <f>VLOOKUP($A90,'ПР 01-02.21'!$A$11:$BB$406,12,FALSE)+VLOOKUP($A90,'ПР 21-22'!$A$11:$BB$406,12,FALSE)-VLOOKUP($A90,'ПР 01-02.22'!$A$11:$BB$378,12,FALSE)</f>
        <v>0</v>
      </c>
      <c r="M90" s="5">
        <f>VLOOKUP($A90,'ПР 01-02.21'!$A$11:$BB$406,13,FALSE)+VLOOKUP($A90,'ПР 21-22'!$A$11:$BB$406,13,FALSE)-VLOOKUP($A90,'ПР 01-02.22'!$A$11:$BB$378,13,FALSE)</f>
        <v>0</v>
      </c>
      <c r="N90" s="38"/>
      <c r="O90" s="5">
        <f>VLOOKUP($A90,'ПР 01-02.21'!$A$11:$BB$406,15,FALSE)+VLOOKUP($A90,'ПР 21-22'!$A$11:$BB$406,15,FALSE)-VLOOKUP($A90,'ПР 01-02.22'!$A$11:$BB$378,15,FALSE)</f>
        <v>0</v>
      </c>
      <c r="P90" s="5">
        <f>VLOOKUP($A90,'ПР 01-02.21'!$A$11:$BB$406,16,FALSE)+VLOOKUP($A90,'ПР 21-22'!$A$11:$BB$406,16,FALSE)-VLOOKUP($A90,'ПР 01-02.22'!$A$11:$BB$378,16,FALSE)</f>
        <v>0</v>
      </c>
      <c r="Q90" s="443"/>
      <c r="R90" s="5">
        <f>VLOOKUP($A90,'ПР 01-02.21'!$A$11:$BB$406,18,FALSE)+VLOOKUP($A90,'ПР 21-22'!$A$11:$BB$406,18,FALSE)-VLOOKUP($A90,'ПР 01-02.22'!$A$11:$BB$378,18,FALSE)</f>
        <v>0</v>
      </c>
      <c r="S90" s="5">
        <f>VLOOKUP($A90,'ПР 01-02.21'!$A$11:$BB$406,19,FALSE)+VLOOKUP($A90,'ПР 21-22'!$A$11:$BB$406,19,FALSE)-VLOOKUP($A90,'ПР 01-02.22'!$A$11:$BB$378,19,FALSE)</f>
        <v>0</v>
      </c>
      <c r="T90" s="444"/>
      <c r="U90" s="5">
        <f>VLOOKUP($A90,'ПР 01-02.21'!$A$11:$BB$406,21,FALSE)+VLOOKUP($A90,'ПР 21-22'!$A$11:$BB$406,21,FALSE)-VLOOKUP($A90,'ПР 01-02.22'!$A$11:$BB$378,21,FALSE)</f>
        <v>0</v>
      </c>
      <c r="V90" s="5"/>
      <c r="W90" s="5">
        <f>VLOOKUP($A90,'ПР 01-02.21'!$A$11:$BB$406,23,FALSE)+VLOOKUP($A90,'ПР 21-22'!$A$11:$BB$406,23,FALSE)-VLOOKUP($A90,'ПР 01-02.22'!$A$11:$BB$378,23,FALSE)</f>
        <v>0</v>
      </c>
      <c r="X90" s="5">
        <f>VLOOKUP($A90,'ПР 01-02.21'!$A$11:$BB$406,24,FALSE)+VLOOKUP($A90,'ПР 21-22'!$A$11:$BB$406,24,FALSE)-VLOOKUP($A90,'ПР 01-02.22'!$A$11:$BB$378,24,FALSE)</f>
        <v>0</v>
      </c>
      <c r="Y90" s="5">
        <f>VLOOKUP($A90,'ПР 01-02.21'!$A$11:$BB$406,25,FALSE)+VLOOKUP($A90,'ПР 21-22'!$A$11:$BB$406,25,FALSE)-VLOOKUP($A90,'ПР 01-02.22'!$A$11:$BB$378,25,FALSE)</f>
        <v>0</v>
      </c>
      <c r="Z90" s="5"/>
      <c r="AA90" s="5">
        <f>VLOOKUP($A90,'ПР 01-02.21'!$A$11:$BB$406,27,FALSE)+VLOOKUP($A90,'ПР 21-22'!$A$11:$BB$406,27,FALSE)-VLOOKUP($A90,'ПР 01-02.22'!$A$11:$BB$378,27,FALSE)</f>
        <v>0</v>
      </c>
      <c r="AB90" s="5">
        <f>VLOOKUP($A90,'ПР 01-02.21'!$A$11:$BB$406,28,FALSE)+VLOOKUP($A90,'ПР 21-22'!$A$11:$BB$406,28,FALSE)-VLOOKUP($A90,'ПР 01-02.22'!$A$11:$BB$378,28,FALSE)</f>
        <v>0</v>
      </c>
      <c r="AC90" s="5">
        <f>VLOOKUP($A90,'ПР 01-02.21'!$A$11:$BB$406,29,FALSE)+VLOOKUP($A90,'ПР 21-22'!$A$11:$BB$406,29,FALSE)-VLOOKUP($A90,'ПР 01-02.22'!$A$11:$BB$378,29,FALSE)</f>
        <v>0</v>
      </c>
      <c r="AD90" s="5">
        <f>VLOOKUP($A90,'ПР 01-02.21'!$A$11:$BB$406,30,FALSE)+VLOOKUP($A90,'ПР 21-22'!$A$11:$BB$406,30,FALSE)-VLOOKUP($A90,'ПР 01-02.22'!$A$11:$BB$378,30,FALSE)</f>
        <v>0</v>
      </c>
      <c r="AE90" s="5">
        <f>VLOOKUP($A90,'ПР 01-02.21'!$A$11:$BB$406,31,FALSE)+VLOOKUP($A90,'ПР 21-22'!$A$11:$BB$406,31,FALSE)-VLOOKUP($A90,'ПР 01-02.22'!$A$11:$BB$378,31,FALSE)</f>
        <v>0</v>
      </c>
      <c r="AF90" s="5">
        <f>VLOOKUP($A90,'ПР 01-02.21'!$A$11:$BB$406,32,FALSE)+VLOOKUP($A90,'ПР 21-22'!$A$11:$BB$406,32,FALSE)-VLOOKUP($A90,'ПР 01-02.22'!$A$11:$BB$378,32,FALSE)</f>
        <v>0</v>
      </c>
      <c r="AG90" s="40"/>
      <c r="AH90" s="5">
        <f>VLOOKUP($A90,'ПР 01-02.21'!$A$11:$BB$406,34,FALSE)+VLOOKUP($A90,'ПР 21-22'!$A$11:$BB$406,34,FALSE)-VLOOKUP($A90,'ПР 01-02.22'!$A$11:$BB$378,34,FALSE)</f>
        <v>0</v>
      </c>
      <c r="AI90" s="5">
        <f>VLOOKUP($A90,'ПР 01-02.21'!$A$11:$BB$406,35,FALSE)+VLOOKUP($A90,'ПР 21-22'!$A$11:$BB$406,35,FALSE)-VLOOKUP($A90,'ПР 01-02.22'!$A$11:$BB$378,35,FALSE)</f>
        <v>0</v>
      </c>
      <c r="AJ90" s="40"/>
      <c r="AK90" s="5">
        <f>VLOOKUP($A90,'ПР 01-02.21'!$A$11:$BB$406,37,FALSE)+VLOOKUP($A90,'ПР 21-22'!$A$11:$BB$406,37,FALSE)-VLOOKUP($A90,'ПР 01-02.22'!$A$11:$BB$378,37,FALSE)</f>
        <v>0</v>
      </c>
      <c r="AL90" s="5">
        <f>VLOOKUP($A90,'ПР 01-02.21'!$A$11:$BB$406,38,FALSE)+VLOOKUP($A90,'ПР 21-22'!$A$11:$BB$406,38,FALSE)-VLOOKUP($A90,'ПР 01-02.22'!$A$11:$BB$378,38,FALSE)</f>
        <v>0</v>
      </c>
      <c r="AM90" s="40"/>
      <c r="AN90" s="5">
        <f>VLOOKUP($A90,'ПР 01-02.21'!$A$11:$BB$406,40,FALSE)+VLOOKUP($A90,'ПР 21-22'!$A$11:$BB$406,40,FALSE)-VLOOKUP($A90,'ПР 01-02.22'!$A$11:$BB$378,40,FALSE)</f>
        <v>0</v>
      </c>
      <c r="AO90" s="5">
        <f>VLOOKUP($A90,'ПР 01-02.21'!$A$11:$BB$406,41,FALSE)+VLOOKUP($A90,'ПР 21-22'!$A$11:$BB$406,41,FALSE)-VLOOKUP($A90,'ПР 01-02.22'!$A$11:$BB$378,41,FALSE)</f>
        <v>0</v>
      </c>
      <c r="AP90" s="40"/>
      <c r="AQ90" s="5">
        <f>VLOOKUP($A90,'ПР 01-02.21'!$A$11:$BB$406,43,FALSE)+VLOOKUP($A90,'ПР 21-22'!$A$11:$BB$406,43,FALSE)-VLOOKUP($A90,'ПР 01-02.22'!$A$11:$BB$378,43,FALSE)</f>
        <v>0</v>
      </c>
      <c r="AR90" s="5">
        <f>VLOOKUP($A90,'ПР 01-02.21'!$A$11:$BB$406,44,FALSE)+VLOOKUP($A90,'ПР 21-22'!$A$11:$BB$406,44,FALSE)-VLOOKUP($A90,'ПР 01-02.22'!$A$11:$BB$378,44,FALSE)</f>
        <v>0</v>
      </c>
      <c r="AS90" s="40"/>
      <c r="AT90" s="5">
        <f>VLOOKUP($A90,'ПР 01-02.21'!$A$11:$BB$406,46,FALSE)+VLOOKUP($A90,'ПР 21-22'!$A$11:$BB$406,46,FALSE)-VLOOKUP($A90,'ПР 01-02.22'!$A$11:$BB$378,46,FALSE)</f>
        <v>0</v>
      </c>
      <c r="AU90" s="5">
        <f>VLOOKUP($A90,'ПР 01-02.21'!$A$11:$BB$406,47,FALSE)+VLOOKUP($A90,'ПР 21-22'!$A$11:$BB$406,47,FALSE)-VLOOKUP($A90,'ПР 01-02.22'!$A$11:$BB$378,47,FALSE)</f>
        <v>0</v>
      </c>
      <c r="AV90" s="40"/>
      <c r="AW90" s="5">
        <f>VLOOKUP($A90,'ПР 01-02.21'!$A$11:$BB$406,49,FALSE)+VLOOKUP($A90,'ПР 21-22'!$A$11:$BB$406,49,FALSE)-VLOOKUP($A90,'ПР 01-02.22'!$A$11:$BB$378,49,FALSE)</f>
        <v>10.672000000000001</v>
      </c>
      <c r="AX90" s="5">
        <f>VLOOKUP($A90,'ПР 01-02.21'!$A$11:$BB$406,50,FALSE)+VLOOKUP($A90,'ПР 21-22'!$A$11:$BB$406,50,FALSE)-VLOOKUP($A90,'ПР 01-02.22'!$A$11:$BB$378,50,FALSE)</f>
        <v>0</v>
      </c>
      <c r="AY90" s="40"/>
      <c r="AZ90" s="40">
        <f t="shared" si="5"/>
        <v>10.672000000000001</v>
      </c>
      <c r="BA90" s="40">
        <f t="shared" si="5"/>
        <v>0</v>
      </c>
      <c r="BB90" s="55">
        <f t="shared" si="8"/>
        <v>-10.672000000000001</v>
      </c>
      <c r="BD90" s="2">
        <v>3</v>
      </c>
      <c r="BF90" s="325">
        <v>150000643</v>
      </c>
    </row>
    <row r="91" spans="1:58" ht="24.9" customHeight="1" x14ac:dyDescent="0.3">
      <c r="A91" s="325">
        <v>150000644</v>
      </c>
      <c r="B91" s="445" t="s">
        <v>68</v>
      </c>
      <c r="C91" s="27">
        <v>1</v>
      </c>
      <c r="D91" s="101" t="s">
        <v>455</v>
      </c>
      <c r="E91" s="279">
        <f>'побудинковий звіт'!E89</f>
        <v>214.7</v>
      </c>
      <c r="F91" s="441">
        <f>'побудинковий звіт'!AS89</f>
        <v>2257.3512213416025</v>
      </c>
      <c r="G91" s="441">
        <f t="shared" si="6"/>
        <v>992</v>
      </c>
      <c r="H91" s="73">
        <f t="shared" si="7"/>
        <v>-1265.3512213416025</v>
      </c>
      <c r="I91" s="5">
        <f>VLOOKUP($A91,'ПР 01-02.21'!$A$11:$BB$406,9,FALSE)+VLOOKUP($A91,'ПР 21-22'!$A$11:$BB$406,9,FALSE)-VLOOKUP($A91,'ПР 01-02.22'!$A$11:$BB$378,9,FALSE)</f>
        <v>0</v>
      </c>
      <c r="J91" s="5">
        <f>VLOOKUP($A91,'ПР 01-02.21'!$A$11:$BB$406,10,FALSE)+VLOOKUP($A91,'ПР 21-22'!$A$11:$BB$406,10,FALSE)-VLOOKUP($A91,'ПР 01-02.22'!$A$11:$BB$378,10,FALSE)</f>
        <v>0</v>
      </c>
      <c r="K91" s="446"/>
      <c r="L91" s="5">
        <f>VLOOKUP($A91,'ПР 01-02.21'!$A$11:$BB$406,12,FALSE)+VLOOKUP($A91,'ПР 21-22'!$A$11:$BB$406,12,FALSE)-VLOOKUP($A91,'ПР 01-02.22'!$A$11:$BB$378,12,FALSE)</f>
        <v>0</v>
      </c>
      <c r="M91" s="5">
        <f>VLOOKUP($A91,'ПР 01-02.21'!$A$11:$BB$406,13,FALSE)+VLOOKUP($A91,'ПР 21-22'!$A$11:$BB$406,13,FALSE)-VLOOKUP($A91,'ПР 01-02.22'!$A$11:$BB$378,13,FALSE)</f>
        <v>0</v>
      </c>
      <c r="N91" s="38"/>
      <c r="O91" s="5">
        <f>VLOOKUP($A91,'ПР 01-02.21'!$A$11:$BB$406,15,FALSE)+VLOOKUP($A91,'ПР 21-22'!$A$11:$BB$406,15,FALSE)-VLOOKUP($A91,'ПР 01-02.22'!$A$11:$BB$378,15,FALSE)</f>
        <v>0</v>
      </c>
      <c r="P91" s="5">
        <f>VLOOKUP($A91,'ПР 01-02.21'!$A$11:$BB$406,16,FALSE)+VLOOKUP($A91,'ПР 21-22'!$A$11:$BB$406,16,FALSE)-VLOOKUP($A91,'ПР 01-02.22'!$A$11:$BB$378,16,FALSE)</f>
        <v>0</v>
      </c>
      <c r="Q91" s="443"/>
      <c r="R91" s="5">
        <f>VLOOKUP($A91,'ПР 01-02.21'!$A$11:$BB$406,18,FALSE)+VLOOKUP($A91,'ПР 21-22'!$A$11:$BB$406,18,FALSE)-VLOOKUP($A91,'ПР 01-02.22'!$A$11:$BB$378,18,FALSE)</f>
        <v>0</v>
      </c>
      <c r="S91" s="5">
        <f>VLOOKUP($A91,'ПР 01-02.21'!$A$11:$BB$406,19,FALSE)+VLOOKUP($A91,'ПР 21-22'!$A$11:$BB$406,19,FALSE)-VLOOKUP($A91,'ПР 01-02.22'!$A$11:$BB$378,19,FALSE)</f>
        <v>0</v>
      </c>
      <c r="T91" s="444"/>
      <c r="U91" s="5">
        <f>VLOOKUP($A91,'ПР 01-02.21'!$A$11:$BB$406,21,FALSE)+VLOOKUP($A91,'ПР 21-22'!$A$11:$BB$406,21,FALSE)-VLOOKUP($A91,'ПР 01-02.22'!$A$11:$BB$378,21,FALSE)</f>
        <v>0</v>
      </c>
      <c r="V91" s="5"/>
      <c r="W91" s="5">
        <f>VLOOKUP($A91,'ПР 01-02.21'!$A$11:$BB$406,23,FALSE)+VLOOKUP($A91,'ПР 21-22'!$A$11:$BB$406,23,FALSE)-VLOOKUP($A91,'ПР 01-02.22'!$A$11:$BB$378,23,FALSE)</f>
        <v>0</v>
      </c>
      <c r="X91" s="5">
        <f>VLOOKUP($A91,'ПР 01-02.21'!$A$11:$BB$406,24,FALSE)+VLOOKUP($A91,'ПР 21-22'!$A$11:$BB$406,24,FALSE)-VLOOKUP($A91,'ПР 01-02.22'!$A$11:$BB$378,24,FALSE)</f>
        <v>0</v>
      </c>
      <c r="Y91" s="5">
        <f>VLOOKUP($A91,'ПР 01-02.21'!$A$11:$BB$406,25,FALSE)+VLOOKUP($A91,'ПР 21-22'!$A$11:$BB$406,25,FALSE)-VLOOKUP($A91,'ПР 01-02.22'!$A$11:$BB$378,25,FALSE)</f>
        <v>992</v>
      </c>
      <c r="Z91" s="5"/>
      <c r="AA91" s="5">
        <f>VLOOKUP($A91,'ПР 01-02.21'!$A$11:$BB$406,27,FALSE)+VLOOKUP($A91,'ПР 21-22'!$A$11:$BB$406,27,FALSE)-VLOOKUP($A91,'ПР 01-02.22'!$A$11:$BB$378,27,FALSE)</f>
        <v>0</v>
      </c>
      <c r="AB91" s="5">
        <f>VLOOKUP($A91,'ПР 01-02.21'!$A$11:$BB$406,28,FALSE)+VLOOKUP($A91,'ПР 21-22'!$A$11:$BB$406,28,FALSE)-VLOOKUP($A91,'ПР 01-02.22'!$A$11:$BB$378,28,FALSE)</f>
        <v>0</v>
      </c>
      <c r="AC91" s="5">
        <f>VLOOKUP($A91,'ПР 01-02.21'!$A$11:$BB$406,29,FALSE)+VLOOKUP($A91,'ПР 21-22'!$A$11:$BB$406,29,FALSE)-VLOOKUP($A91,'ПР 01-02.22'!$A$11:$BB$378,29,FALSE)</f>
        <v>0</v>
      </c>
      <c r="AD91" s="5">
        <f>VLOOKUP($A91,'ПР 01-02.21'!$A$11:$BB$406,30,FALSE)+VLOOKUP($A91,'ПР 21-22'!$A$11:$BB$406,30,FALSE)-VLOOKUP($A91,'ПР 01-02.22'!$A$11:$BB$378,30,FALSE)</f>
        <v>0</v>
      </c>
      <c r="AE91" s="5">
        <f>VLOOKUP($A91,'ПР 01-02.21'!$A$11:$BB$406,31,FALSE)+VLOOKUP($A91,'ПР 21-22'!$A$11:$BB$406,31,FALSE)-VLOOKUP($A91,'ПР 01-02.22'!$A$11:$BB$378,31,FALSE)</f>
        <v>0</v>
      </c>
      <c r="AF91" s="5">
        <f>VLOOKUP($A91,'ПР 01-02.21'!$A$11:$BB$406,32,FALSE)+VLOOKUP($A91,'ПР 21-22'!$A$11:$BB$406,32,FALSE)-VLOOKUP($A91,'ПР 01-02.22'!$A$11:$BB$378,32,FALSE)</f>
        <v>0</v>
      </c>
      <c r="AG91" s="40"/>
      <c r="AH91" s="5">
        <f>VLOOKUP($A91,'ПР 01-02.21'!$A$11:$BB$406,34,FALSE)+VLOOKUP($A91,'ПР 21-22'!$A$11:$BB$406,34,FALSE)-VLOOKUP($A91,'ПР 01-02.22'!$A$11:$BB$378,34,FALSE)</f>
        <v>0</v>
      </c>
      <c r="AI91" s="5">
        <f>VLOOKUP($A91,'ПР 01-02.21'!$A$11:$BB$406,35,FALSE)+VLOOKUP($A91,'ПР 21-22'!$A$11:$BB$406,35,FALSE)-VLOOKUP($A91,'ПР 01-02.22'!$A$11:$BB$378,35,FALSE)</f>
        <v>0</v>
      </c>
      <c r="AJ91" s="40"/>
      <c r="AK91" s="5">
        <f>VLOOKUP($A91,'ПР 01-02.21'!$A$11:$BB$406,37,FALSE)+VLOOKUP($A91,'ПР 21-22'!$A$11:$BB$406,37,FALSE)-VLOOKUP($A91,'ПР 01-02.22'!$A$11:$BB$378,37,FALSE)</f>
        <v>84.028805490291859</v>
      </c>
      <c r="AL91" s="5">
        <f>VLOOKUP($A91,'ПР 01-02.21'!$A$11:$BB$406,38,FALSE)+VLOOKUP($A91,'ПР 21-22'!$A$11:$BB$406,38,FALSE)-VLOOKUP($A91,'ПР 01-02.22'!$A$11:$BB$378,38,FALSE)</f>
        <v>0</v>
      </c>
      <c r="AM91" s="40"/>
      <c r="AN91" s="5">
        <f>VLOOKUP($A91,'ПР 01-02.21'!$A$11:$BB$406,40,FALSE)+VLOOKUP($A91,'ПР 21-22'!$A$11:$BB$406,40,FALSE)-VLOOKUP($A91,'ПР 01-02.22'!$A$11:$BB$378,40,FALSE)</f>
        <v>0</v>
      </c>
      <c r="AO91" s="5">
        <f>VLOOKUP($A91,'ПР 01-02.21'!$A$11:$BB$406,41,FALSE)+VLOOKUP($A91,'ПР 21-22'!$A$11:$BB$406,41,FALSE)-VLOOKUP($A91,'ПР 01-02.22'!$A$11:$BB$378,41,FALSE)</f>
        <v>0</v>
      </c>
      <c r="AP91" s="40"/>
      <c r="AQ91" s="5">
        <f>VLOOKUP($A91,'ПР 01-02.21'!$A$11:$BB$406,43,FALSE)+VLOOKUP($A91,'ПР 21-22'!$A$11:$BB$406,43,FALSE)-VLOOKUP($A91,'ПР 01-02.22'!$A$11:$BB$378,43,FALSE)</f>
        <v>0</v>
      </c>
      <c r="AR91" s="5">
        <f>VLOOKUP($A91,'ПР 01-02.21'!$A$11:$BB$406,44,FALSE)+VLOOKUP($A91,'ПР 21-22'!$A$11:$BB$406,44,FALSE)-VLOOKUP($A91,'ПР 01-02.22'!$A$11:$BB$378,44,FALSE)</f>
        <v>0</v>
      </c>
      <c r="AS91" s="40"/>
      <c r="AT91" s="5">
        <f>VLOOKUP($A91,'ПР 01-02.21'!$A$11:$BB$406,46,FALSE)+VLOOKUP($A91,'ПР 21-22'!$A$11:$BB$406,46,FALSE)-VLOOKUP($A91,'ПР 01-02.22'!$A$11:$BB$378,46,FALSE)</f>
        <v>0</v>
      </c>
      <c r="AU91" s="5">
        <f>VLOOKUP($A91,'ПР 01-02.21'!$A$11:$BB$406,47,FALSE)+VLOOKUP($A91,'ПР 21-22'!$A$11:$BB$406,47,FALSE)-VLOOKUP($A91,'ПР 01-02.22'!$A$11:$BB$378,47,FALSE)</f>
        <v>0</v>
      </c>
      <c r="AV91" s="40"/>
      <c r="AW91" s="5">
        <f>VLOOKUP($A91,'ПР 01-02.21'!$A$11:$BB$406,49,FALSE)+VLOOKUP($A91,'ПР 21-22'!$A$11:$BB$406,49,FALSE)-VLOOKUP($A91,'ПР 01-02.22'!$A$11:$BB$378,49,FALSE)</f>
        <v>10.587999999999999</v>
      </c>
      <c r="AX91" s="5">
        <f>VLOOKUP($A91,'ПР 01-02.21'!$A$11:$BB$406,50,FALSE)+VLOOKUP($A91,'ПР 21-22'!$A$11:$BB$406,50,FALSE)-VLOOKUP($A91,'ПР 01-02.22'!$A$11:$BB$378,50,FALSE)</f>
        <v>0</v>
      </c>
      <c r="AY91" s="40"/>
      <c r="AZ91" s="40">
        <f t="shared" si="5"/>
        <v>94.616805490291853</v>
      </c>
      <c r="BA91" s="40">
        <f t="shared" si="5"/>
        <v>0</v>
      </c>
      <c r="BB91" s="55">
        <f t="shared" si="8"/>
        <v>-94.616805490291853</v>
      </c>
      <c r="BD91" s="2">
        <v>3</v>
      </c>
      <c r="BF91" s="325">
        <v>150000644</v>
      </c>
    </row>
    <row r="92" spans="1:58" ht="24.9" customHeight="1" x14ac:dyDescent="0.3">
      <c r="A92" s="325">
        <v>150000566</v>
      </c>
      <c r="B92" s="445" t="s">
        <v>69</v>
      </c>
      <c r="C92" s="27">
        <v>1</v>
      </c>
      <c r="D92" s="101" t="s">
        <v>455</v>
      </c>
      <c r="E92" s="279">
        <f>'побудинковий звіт'!E90</f>
        <v>397.8</v>
      </c>
      <c r="F92" s="441">
        <f>'побудинковий звіт'!AS90</f>
        <v>4930.9374615274919</v>
      </c>
      <c r="G92" s="441">
        <f t="shared" si="6"/>
        <v>0</v>
      </c>
      <c r="H92" s="73">
        <f t="shared" si="7"/>
        <v>-4930.9374615274919</v>
      </c>
      <c r="I92" s="5">
        <f>VLOOKUP($A92,'ПР 01-02.21'!$A$11:$BB$406,9,FALSE)+VLOOKUP($A92,'ПР 21-22'!$A$11:$BB$406,9,FALSE)-VLOOKUP($A92,'ПР 01-02.22'!$A$11:$BB$378,9,FALSE)</f>
        <v>0</v>
      </c>
      <c r="J92" s="5">
        <f>VLOOKUP($A92,'ПР 01-02.21'!$A$11:$BB$406,10,FALSE)+VLOOKUP($A92,'ПР 21-22'!$A$11:$BB$406,10,FALSE)-VLOOKUP($A92,'ПР 01-02.22'!$A$11:$BB$378,10,FALSE)</f>
        <v>0</v>
      </c>
      <c r="K92" s="446"/>
      <c r="L92" s="5">
        <f>VLOOKUP($A92,'ПР 01-02.21'!$A$11:$BB$406,12,FALSE)+VLOOKUP($A92,'ПР 21-22'!$A$11:$BB$406,12,FALSE)-VLOOKUP($A92,'ПР 01-02.22'!$A$11:$BB$378,12,FALSE)</f>
        <v>0</v>
      </c>
      <c r="M92" s="5">
        <f>VLOOKUP($A92,'ПР 01-02.21'!$A$11:$BB$406,13,FALSE)+VLOOKUP($A92,'ПР 21-22'!$A$11:$BB$406,13,FALSE)-VLOOKUP($A92,'ПР 01-02.22'!$A$11:$BB$378,13,FALSE)</f>
        <v>0</v>
      </c>
      <c r="N92" s="38"/>
      <c r="O92" s="5">
        <f>VLOOKUP($A92,'ПР 01-02.21'!$A$11:$BB$406,15,FALSE)+VLOOKUP($A92,'ПР 21-22'!$A$11:$BB$406,15,FALSE)-VLOOKUP($A92,'ПР 01-02.22'!$A$11:$BB$378,15,FALSE)</f>
        <v>0</v>
      </c>
      <c r="P92" s="5">
        <f>VLOOKUP($A92,'ПР 01-02.21'!$A$11:$BB$406,16,FALSE)+VLOOKUP($A92,'ПР 21-22'!$A$11:$BB$406,16,FALSE)-VLOOKUP($A92,'ПР 01-02.22'!$A$11:$BB$378,16,FALSE)</f>
        <v>0</v>
      </c>
      <c r="Q92" s="443"/>
      <c r="R92" s="5">
        <f>VLOOKUP($A92,'ПР 01-02.21'!$A$11:$BB$406,18,FALSE)+VLOOKUP($A92,'ПР 21-22'!$A$11:$BB$406,18,FALSE)-VLOOKUP($A92,'ПР 01-02.22'!$A$11:$BB$378,18,FALSE)</f>
        <v>0</v>
      </c>
      <c r="S92" s="5">
        <f>VLOOKUP($A92,'ПР 01-02.21'!$A$11:$BB$406,19,FALSE)+VLOOKUP($A92,'ПР 21-22'!$A$11:$BB$406,19,FALSE)-VLOOKUP($A92,'ПР 01-02.22'!$A$11:$BB$378,19,FALSE)</f>
        <v>0</v>
      </c>
      <c r="T92" s="444"/>
      <c r="U92" s="5">
        <f>VLOOKUP($A92,'ПР 01-02.21'!$A$11:$BB$406,21,FALSE)+VLOOKUP($A92,'ПР 21-22'!$A$11:$BB$406,21,FALSE)-VLOOKUP($A92,'ПР 01-02.22'!$A$11:$BB$378,21,FALSE)</f>
        <v>0</v>
      </c>
      <c r="V92" s="5"/>
      <c r="W92" s="5">
        <f>VLOOKUP($A92,'ПР 01-02.21'!$A$11:$BB$406,23,FALSE)+VLOOKUP($A92,'ПР 21-22'!$A$11:$BB$406,23,FALSE)-VLOOKUP($A92,'ПР 01-02.22'!$A$11:$BB$378,23,FALSE)</f>
        <v>0</v>
      </c>
      <c r="X92" s="5">
        <f>VLOOKUP($A92,'ПР 01-02.21'!$A$11:$BB$406,24,FALSE)+VLOOKUP($A92,'ПР 21-22'!$A$11:$BB$406,24,FALSE)-VLOOKUP($A92,'ПР 01-02.22'!$A$11:$BB$378,24,FALSE)</f>
        <v>0</v>
      </c>
      <c r="Y92" s="5">
        <f>VLOOKUP($A92,'ПР 01-02.21'!$A$11:$BB$406,25,FALSE)+VLOOKUP($A92,'ПР 21-22'!$A$11:$BB$406,25,FALSE)-VLOOKUP($A92,'ПР 01-02.22'!$A$11:$BB$378,25,FALSE)</f>
        <v>0</v>
      </c>
      <c r="Z92" s="5"/>
      <c r="AA92" s="5">
        <f>VLOOKUP($A92,'ПР 01-02.21'!$A$11:$BB$406,27,FALSE)+VLOOKUP($A92,'ПР 21-22'!$A$11:$BB$406,27,FALSE)-VLOOKUP($A92,'ПР 01-02.22'!$A$11:$BB$378,27,FALSE)</f>
        <v>0</v>
      </c>
      <c r="AB92" s="5">
        <f>VLOOKUP($A92,'ПР 01-02.21'!$A$11:$BB$406,28,FALSE)+VLOOKUP($A92,'ПР 21-22'!$A$11:$BB$406,28,FALSE)-VLOOKUP($A92,'ПР 01-02.22'!$A$11:$BB$378,28,FALSE)</f>
        <v>0</v>
      </c>
      <c r="AC92" s="5">
        <f>VLOOKUP($A92,'ПР 01-02.21'!$A$11:$BB$406,29,FALSE)+VLOOKUP($A92,'ПР 21-22'!$A$11:$BB$406,29,FALSE)-VLOOKUP($A92,'ПР 01-02.22'!$A$11:$BB$378,29,FALSE)</f>
        <v>0</v>
      </c>
      <c r="AD92" s="5">
        <f>VLOOKUP($A92,'ПР 01-02.21'!$A$11:$BB$406,30,FALSE)+VLOOKUP($A92,'ПР 21-22'!$A$11:$BB$406,30,FALSE)-VLOOKUP($A92,'ПР 01-02.22'!$A$11:$BB$378,30,FALSE)</f>
        <v>0</v>
      </c>
      <c r="AE92" s="5">
        <f>VLOOKUP($A92,'ПР 01-02.21'!$A$11:$BB$406,31,FALSE)+VLOOKUP($A92,'ПР 21-22'!$A$11:$BB$406,31,FALSE)-VLOOKUP($A92,'ПР 01-02.22'!$A$11:$BB$378,31,FALSE)</f>
        <v>0</v>
      </c>
      <c r="AF92" s="5">
        <f>VLOOKUP($A92,'ПР 01-02.21'!$A$11:$BB$406,32,FALSE)+VLOOKUP($A92,'ПР 21-22'!$A$11:$BB$406,32,FALSE)-VLOOKUP($A92,'ПР 01-02.22'!$A$11:$BB$378,32,FALSE)</f>
        <v>0</v>
      </c>
      <c r="AG92" s="40"/>
      <c r="AH92" s="5">
        <f>VLOOKUP($A92,'ПР 01-02.21'!$A$11:$BB$406,34,FALSE)+VLOOKUP($A92,'ПР 21-22'!$A$11:$BB$406,34,FALSE)-VLOOKUP($A92,'ПР 01-02.22'!$A$11:$BB$378,34,FALSE)</f>
        <v>0</v>
      </c>
      <c r="AI92" s="5">
        <f>VLOOKUP($A92,'ПР 01-02.21'!$A$11:$BB$406,35,FALSE)+VLOOKUP($A92,'ПР 21-22'!$A$11:$BB$406,35,FALSE)-VLOOKUP($A92,'ПР 01-02.22'!$A$11:$BB$378,35,FALSE)</f>
        <v>0</v>
      </c>
      <c r="AJ92" s="40"/>
      <c r="AK92" s="5">
        <f>VLOOKUP($A92,'ПР 01-02.21'!$A$11:$BB$406,37,FALSE)+VLOOKUP($A92,'ПР 21-22'!$A$11:$BB$406,37,FALSE)-VLOOKUP($A92,'ПР 01-02.22'!$A$11:$BB$378,37,FALSE)</f>
        <v>0</v>
      </c>
      <c r="AL92" s="5">
        <f>VLOOKUP($A92,'ПР 01-02.21'!$A$11:$BB$406,38,FALSE)+VLOOKUP($A92,'ПР 21-22'!$A$11:$BB$406,38,FALSE)-VLOOKUP($A92,'ПР 01-02.22'!$A$11:$BB$378,38,FALSE)</f>
        <v>0</v>
      </c>
      <c r="AM92" s="40"/>
      <c r="AN92" s="5">
        <f>VLOOKUP($A92,'ПР 01-02.21'!$A$11:$BB$406,40,FALSE)+VLOOKUP($A92,'ПР 21-22'!$A$11:$BB$406,40,FALSE)-VLOOKUP($A92,'ПР 01-02.22'!$A$11:$BB$378,40,FALSE)</f>
        <v>0</v>
      </c>
      <c r="AO92" s="5">
        <f>VLOOKUP($A92,'ПР 01-02.21'!$A$11:$BB$406,41,FALSE)+VLOOKUP($A92,'ПР 21-22'!$A$11:$BB$406,41,FALSE)-VLOOKUP($A92,'ПР 01-02.22'!$A$11:$BB$378,41,FALSE)</f>
        <v>0</v>
      </c>
      <c r="AP92" s="40"/>
      <c r="AQ92" s="5">
        <f>VLOOKUP($A92,'ПР 01-02.21'!$A$11:$BB$406,43,FALSE)+VLOOKUP($A92,'ПР 21-22'!$A$11:$BB$406,43,FALSE)-VLOOKUP($A92,'ПР 01-02.22'!$A$11:$BB$378,43,FALSE)</f>
        <v>0</v>
      </c>
      <c r="AR92" s="5">
        <f>VLOOKUP($A92,'ПР 01-02.21'!$A$11:$BB$406,44,FALSE)+VLOOKUP($A92,'ПР 21-22'!$A$11:$BB$406,44,FALSE)-VLOOKUP($A92,'ПР 01-02.22'!$A$11:$BB$378,44,FALSE)</f>
        <v>0</v>
      </c>
      <c r="AS92" s="40"/>
      <c r="AT92" s="5">
        <f>VLOOKUP($A92,'ПР 01-02.21'!$A$11:$BB$406,46,FALSE)+VLOOKUP($A92,'ПР 21-22'!$A$11:$BB$406,46,FALSE)-VLOOKUP($A92,'ПР 01-02.22'!$A$11:$BB$378,46,FALSE)</f>
        <v>0</v>
      </c>
      <c r="AU92" s="5">
        <f>VLOOKUP($A92,'ПР 01-02.21'!$A$11:$BB$406,47,FALSE)+VLOOKUP($A92,'ПР 21-22'!$A$11:$BB$406,47,FALSE)-VLOOKUP($A92,'ПР 01-02.22'!$A$11:$BB$378,47,FALSE)</f>
        <v>0</v>
      </c>
      <c r="AV92" s="40"/>
      <c r="AW92" s="5">
        <f>VLOOKUP($A92,'ПР 01-02.21'!$A$11:$BB$406,49,FALSE)+VLOOKUP($A92,'ПР 21-22'!$A$11:$BB$406,49,FALSE)-VLOOKUP($A92,'ПР 01-02.22'!$A$11:$BB$378,49,FALSE)</f>
        <v>16.883488626995732</v>
      </c>
      <c r="AX92" s="5">
        <f>VLOOKUP($A92,'ПР 01-02.21'!$A$11:$BB$406,50,FALSE)+VLOOKUP($A92,'ПР 21-22'!$A$11:$BB$406,50,FALSE)-VLOOKUP($A92,'ПР 01-02.22'!$A$11:$BB$378,50,FALSE)</f>
        <v>0</v>
      </c>
      <c r="AY92" s="40"/>
      <c r="AZ92" s="40">
        <f t="shared" si="5"/>
        <v>16.883488626995732</v>
      </c>
      <c r="BA92" s="40">
        <f t="shared" si="5"/>
        <v>0</v>
      </c>
      <c r="BB92" s="55">
        <f t="shared" si="8"/>
        <v>-16.883488626995732</v>
      </c>
      <c r="BD92" s="2">
        <v>1</v>
      </c>
      <c r="BF92" s="325">
        <v>150000566</v>
      </c>
    </row>
    <row r="93" spans="1:58" ht="24.9" customHeight="1" x14ac:dyDescent="0.3">
      <c r="A93" s="325">
        <v>150000571</v>
      </c>
      <c r="B93" s="445" t="s">
        <v>70</v>
      </c>
      <c r="C93" s="27">
        <v>1</v>
      </c>
      <c r="D93" s="101" t="s">
        <v>455</v>
      </c>
      <c r="E93" s="279">
        <f>'побудинковий звіт'!E91</f>
        <v>238.6</v>
      </c>
      <c r="F93" s="441">
        <f>'побудинковий звіт'!AS91</f>
        <v>0</v>
      </c>
      <c r="G93" s="441">
        <f t="shared" si="6"/>
        <v>0</v>
      </c>
      <c r="H93" s="73">
        <f t="shared" si="7"/>
        <v>0</v>
      </c>
      <c r="I93" s="5"/>
      <c r="J93" s="5"/>
      <c r="K93" s="446"/>
      <c r="L93" s="5"/>
      <c r="M93" s="5"/>
      <c r="N93" s="38"/>
      <c r="O93" s="5"/>
      <c r="P93" s="5"/>
      <c r="Q93" s="443"/>
      <c r="R93" s="5"/>
      <c r="S93" s="5"/>
      <c r="T93" s="444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40"/>
      <c r="AH93" s="5"/>
      <c r="AI93" s="5"/>
      <c r="AJ93" s="40"/>
      <c r="AK93" s="5"/>
      <c r="AL93" s="5"/>
      <c r="AM93" s="40"/>
      <c r="AN93" s="5"/>
      <c r="AO93" s="5"/>
      <c r="AP93" s="40"/>
      <c r="AQ93" s="5"/>
      <c r="AR93" s="5"/>
      <c r="AS93" s="40"/>
      <c r="AT93" s="5"/>
      <c r="AU93" s="5"/>
      <c r="AV93" s="40"/>
      <c r="AW93" s="5"/>
      <c r="AX93" s="5"/>
      <c r="AY93" s="40"/>
      <c r="AZ93" s="40">
        <f t="shared" si="5"/>
        <v>0</v>
      </c>
      <c r="BA93" s="40">
        <f t="shared" si="5"/>
        <v>0</v>
      </c>
      <c r="BB93" s="55">
        <f t="shared" si="8"/>
        <v>0</v>
      </c>
      <c r="BD93" s="2">
        <v>1</v>
      </c>
      <c r="BF93" s="325">
        <v>150000571</v>
      </c>
    </row>
    <row r="94" spans="1:58" ht="24.9" customHeight="1" x14ac:dyDescent="0.3">
      <c r="A94" s="325">
        <v>150000567</v>
      </c>
      <c r="B94" s="445" t="s">
        <v>71</v>
      </c>
      <c r="C94" s="27">
        <v>1</v>
      </c>
      <c r="D94" s="101" t="s">
        <v>455</v>
      </c>
      <c r="E94" s="279">
        <f>'побудинковий звіт'!E92</f>
        <v>134</v>
      </c>
      <c r="F94" s="441">
        <f>'побудинковий звіт'!AS92</f>
        <v>0</v>
      </c>
      <c r="G94" s="441">
        <f t="shared" si="6"/>
        <v>0</v>
      </c>
      <c r="H94" s="73">
        <f t="shared" si="7"/>
        <v>0</v>
      </c>
      <c r="I94" s="5"/>
      <c r="J94" s="5"/>
      <c r="K94" s="446"/>
      <c r="L94" s="5"/>
      <c r="M94" s="5"/>
      <c r="N94" s="38"/>
      <c r="O94" s="5"/>
      <c r="P94" s="5"/>
      <c r="Q94" s="443"/>
      <c r="R94" s="5"/>
      <c r="S94" s="5"/>
      <c r="T94" s="444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40"/>
      <c r="AH94" s="5"/>
      <c r="AI94" s="5"/>
      <c r="AJ94" s="40"/>
      <c r="AK94" s="5"/>
      <c r="AL94" s="5"/>
      <c r="AM94" s="40"/>
      <c r="AN94" s="5"/>
      <c r="AO94" s="5"/>
      <c r="AP94" s="40"/>
      <c r="AQ94" s="5"/>
      <c r="AR94" s="5"/>
      <c r="AS94" s="40"/>
      <c r="AT94" s="5"/>
      <c r="AU94" s="5"/>
      <c r="AV94" s="40"/>
      <c r="AW94" s="5"/>
      <c r="AX94" s="5"/>
      <c r="AY94" s="40"/>
      <c r="AZ94" s="40">
        <f t="shared" si="5"/>
        <v>0</v>
      </c>
      <c r="BA94" s="40">
        <f t="shared" si="5"/>
        <v>0</v>
      </c>
      <c r="BB94" s="55">
        <f t="shared" si="8"/>
        <v>0</v>
      </c>
      <c r="BD94" s="2">
        <v>1</v>
      </c>
      <c r="BF94" s="325">
        <v>150000567</v>
      </c>
    </row>
    <row r="95" spans="1:58" ht="24.9" customHeight="1" x14ac:dyDescent="0.3">
      <c r="A95" s="325">
        <v>150000561</v>
      </c>
      <c r="B95" s="445" t="s">
        <v>72</v>
      </c>
      <c r="C95" s="27">
        <v>1</v>
      </c>
      <c r="D95" s="101" t="s">
        <v>455</v>
      </c>
      <c r="E95" s="279">
        <f>'побудинковий звіт'!E93</f>
        <v>128.1</v>
      </c>
      <c r="F95" s="441">
        <f>'побудинковий звіт'!AS93</f>
        <v>1120.0092705375964</v>
      </c>
      <c r="G95" s="441">
        <f t="shared" si="6"/>
        <v>0</v>
      </c>
      <c r="H95" s="73">
        <f t="shared" si="7"/>
        <v>-1120.0092705375964</v>
      </c>
      <c r="I95" s="5">
        <f>VLOOKUP($A95,'ПР 01-02.21'!$A$11:$BB$406,9,FALSE)+VLOOKUP($A95,'ПР 21-22'!$A$11:$BB$406,9,FALSE)-VLOOKUP($A95,'ПР 01-02.22'!$A$11:$BB$378,9,FALSE)</f>
        <v>0</v>
      </c>
      <c r="J95" s="5">
        <f>VLOOKUP($A95,'ПР 01-02.21'!$A$11:$BB$406,10,FALSE)+VLOOKUP($A95,'ПР 21-22'!$A$11:$BB$406,10,FALSE)-VLOOKUP($A95,'ПР 01-02.22'!$A$11:$BB$378,10,FALSE)</f>
        <v>0</v>
      </c>
      <c r="K95" s="446"/>
      <c r="L95" s="5">
        <f>VLOOKUP($A95,'ПР 01-02.21'!$A$11:$BB$406,12,FALSE)+VLOOKUP($A95,'ПР 21-22'!$A$11:$BB$406,12,FALSE)-VLOOKUP($A95,'ПР 01-02.22'!$A$11:$BB$378,12,FALSE)</f>
        <v>0</v>
      </c>
      <c r="M95" s="5">
        <f>VLOOKUP($A95,'ПР 01-02.21'!$A$11:$BB$406,13,FALSE)+VLOOKUP($A95,'ПР 21-22'!$A$11:$BB$406,13,FALSE)-VLOOKUP($A95,'ПР 01-02.22'!$A$11:$BB$378,13,FALSE)</f>
        <v>0</v>
      </c>
      <c r="N95" s="38"/>
      <c r="O95" s="5">
        <f>VLOOKUP($A95,'ПР 01-02.21'!$A$11:$BB$406,15,FALSE)+VLOOKUP($A95,'ПР 21-22'!$A$11:$BB$406,15,FALSE)-VLOOKUP($A95,'ПР 01-02.22'!$A$11:$BB$378,15,FALSE)</f>
        <v>0</v>
      </c>
      <c r="P95" s="5">
        <f>VLOOKUP($A95,'ПР 01-02.21'!$A$11:$BB$406,16,FALSE)+VLOOKUP($A95,'ПР 21-22'!$A$11:$BB$406,16,FALSE)-VLOOKUP($A95,'ПР 01-02.22'!$A$11:$BB$378,16,FALSE)</f>
        <v>0</v>
      </c>
      <c r="Q95" s="443"/>
      <c r="R95" s="5">
        <f>VLOOKUP($A95,'ПР 01-02.21'!$A$11:$BB$406,18,FALSE)+VLOOKUP($A95,'ПР 21-22'!$A$11:$BB$406,18,FALSE)-VLOOKUP($A95,'ПР 01-02.22'!$A$11:$BB$378,18,FALSE)</f>
        <v>0</v>
      </c>
      <c r="S95" s="5">
        <f>VLOOKUP($A95,'ПР 01-02.21'!$A$11:$BB$406,19,FALSE)+VLOOKUP($A95,'ПР 21-22'!$A$11:$BB$406,19,FALSE)-VLOOKUP($A95,'ПР 01-02.22'!$A$11:$BB$378,19,FALSE)</f>
        <v>0</v>
      </c>
      <c r="T95" s="444"/>
      <c r="U95" s="5">
        <f>VLOOKUP($A95,'ПР 01-02.21'!$A$11:$BB$406,21,FALSE)+VLOOKUP($A95,'ПР 21-22'!$A$11:$BB$406,21,FALSE)-VLOOKUP($A95,'ПР 01-02.22'!$A$11:$BB$378,21,FALSE)</f>
        <v>0</v>
      </c>
      <c r="V95" s="5"/>
      <c r="W95" s="5">
        <f>VLOOKUP($A95,'ПР 01-02.21'!$A$11:$BB$406,23,FALSE)+VLOOKUP($A95,'ПР 21-22'!$A$11:$BB$406,23,FALSE)-VLOOKUP($A95,'ПР 01-02.22'!$A$11:$BB$378,23,FALSE)</f>
        <v>0</v>
      </c>
      <c r="X95" s="5">
        <f>VLOOKUP($A95,'ПР 01-02.21'!$A$11:$BB$406,24,FALSE)+VLOOKUP($A95,'ПР 21-22'!$A$11:$BB$406,24,FALSE)-VLOOKUP($A95,'ПР 01-02.22'!$A$11:$BB$378,24,FALSE)</f>
        <v>0</v>
      </c>
      <c r="Y95" s="5">
        <f>VLOOKUP($A95,'ПР 01-02.21'!$A$11:$BB$406,25,FALSE)+VLOOKUP($A95,'ПР 21-22'!$A$11:$BB$406,25,FALSE)-VLOOKUP($A95,'ПР 01-02.22'!$A$11:$BB$378,25,FALSE)</f>
        <v>0</v>
      </c>
      <c r="Z95" s="5"/>
      <c r="AA95" s="5">
        <f>VLOOKUP($A95,'ПР 01-02.21'!$A$11:$BB$406,27,FALSE)+VLOOKUP($A95,'ПР 21-22'!$A$11:$BB$406,27,FALSE)-VLOOKUP($A95,'ПР 01-02.22'!$A$11:$BB$378,27,FALSE)</f>
        <v>0</v>
      </c>
      <c r="AB95" s="5">
        <f>VLOOKUP($A95,'ПР 01-02.21'!$A$11:$BB$406,28,FALSE)+VLOOKUP($A95,'ПР 21-22'!$A$11:$BB$406,28,FALSE)-VLOOKUP($A95,'ПР 01-02.22'!$A$11:$BB$378,28,FALSE)</f>
        <v>0</v>
      </c>
      <c r="AC95" s="5">
        <f>VLOOKUP($A95,'ПР 01-02.21'!$A$11:$BB$406,29,FALSE)+VLOOKUP($A95,'ПР 21-22'!$A$11:$BB$406,29,FALSE)-VLOOKUP($A95,'ПР 01-02.22'!$A$11:$BB$378,29,FALSE)</f>
        <v>0</v>
      </c>
      <c r="AD95" s="5">
        <f>VLOOKUP($A95,'ПР 01-02.21'!$A$11:$BB$406,30,FALSE)+VLOOKUP($A95,'ПР 21-22'!$A$11:$BB$406,30,FALSE)-VLOOKUP($A95,'ПР 01-02.22'!$A$11:$BB$378,30,FALSE)</f>
        <v>0</v>
      </c>
      <c r="AE95" s="5">
        <f>VLOOKUP($A95,'ПР 01-02.21'!$A$11:$BB$406,31,FALSE)+VLOOKUP($A95,'ПР 21-22'!$A$11:$BB$406,31,FALSE)-VLOOKUP($A95,'ПР 01-02.22'!$A$11:$BB$378,31,FALSE)</f>
        <v>0</v>
      </c>
      <c r="AF95" s="5">
        <f>VLOOKUP($A95,'ПР 01-02.21'!$A$11:$BB$406,32,FALSE)+VLOOKUP($A95,'ПР 21-22'!$A$11:$BB$406,32,FALSE)-VLOOKUP($A95,'ПР 01-02.22'!$A$11:$BB$378,32,FALSE)</f>
        <v>0</v>
      </c>
      <c r="AG95" s="40"/>
      <c r="AH95" s="5">
        <f>VLOOKUP($A95,'ПР 01-02.21'!$A$11:$BB$406,34,FALSE)+VLOOKUP($A95,'ПР 21-22'!$A$11:$BB$406,34,FALSE)-VLOOKUP($A95,'ПР 01-02.22'!$A$11:$BB$378,34,FALSE)</f>
        <v>0</v>
      </c>
      <c r="AI95" s="5">
        <f>VLOOKUP($A95,'ПР 01-02.21'!$A$11:$BB$406,35,FALSE)+VLOOKUP($A95,'ПР 21-22'!$A$11:$BB$406,35,FALSE)-VLOOKUP($A95,'ПР 01-02.22'!$A$11:$BB$378,35,FALSE)</f>
        <v>0</v>
      </c>
      <c r="AJ95" s="40"/>
      <c r="AK95" s="5">
        <f>VLOOKUP($A95,'ПР 01-02.21'!$A$11:$BB$406,37,FALSE)+VLOOKUP($A95,'ПР 21-22'!$A$11:$BB$406,37,FALSE)-VLOOKUP($A95,'ПР 01-02.22'!$A$11:$BB$378,37,FALSE)</f>
        <v>0</v>
      </c>
      <c r="AL95" s="5">
        <f>VLOOKUP($A95,'ПР 01-02.21'!$A$11:$BB$406,38,FALSE)+VLOOKUP($A95,'ПР 21-22'!$A$11:$BB$406,38,FALSE)-VLOOKUP($A95,'ПР 01-02.22'!$A$11:$BB$378,38,FALSE)</f>
        <v>0</v>
      </c>
      <c r="AM95" s="40"/>
      <c r="AN95" s="5">
        <f>VLOOKUP($A95,'ПР 01-02.21'!$A$11:$BB$406,40,FALSE)+VLOOKUP($A95,'ПР 21-22'!$A$11:$BB$406,40,FALSE)-VLOOKUP($A95,'ПР 01-02.22'!$A$11:$BB$378,40,FALSE)</f>
        <v>0</v>
      </c>
      <c r="AO95" s="5">
        <f>VLOOKUP($A95,'ПР 01-02.21'!$A$11:$BB$406,41,FALSE)+VLOOKUP($A95,'ПР 21-22'!$A$11:$BB$406,41,FALSE)-VLOOKUP($A95,'ПР 01-02.22'!$A$11:$BB$378,41,FALSE)</f>
        <v>0</v>
      </c>
      <c r="AP95" s="40"/>
      <c r="AQ95" s="5">
        <f>VLOOKUP($A95,'ПР 01-02.21'!$A$11:$BB$406,43,FALSE)+VLOOKUP($A95,'ПР 21-22'!$A$11:$BB$406,43,FALSE)-VLOOKUP($A95,'ПР 01-02.22'!$A$11:$BB$378,43,FALSE)</f>
        <v>0</v>
      </c>
      <c r="AR95" s="5">
        <f>VLOOKUP($A95,'ПР 01-02.21'!$A$11:$BB$406,44,FALSE)+VLOOKUP($A95,'ПР 21-22'!$A$11:$BB$406,44,FALSE)-VLOOKUP($A95,'ПР 01-02.22'!$A$11:$BB$378,44,FALSE)</f>
        <v>0</v>
      </c>
      <c r="AS95" s="40"/>
      <c r="AT95" s="5">
        <f>VLOOKUP($A95,'ПР 01-02.21'!$A$11:$BB$406,46,FALSE)+VLOOKUP($A95,'ПР 21-22'!$A$11:$BB$406,46,FALSE)-VLOOKUP($A95,'ПР 01-02.22'!$A$11:$BB$378,46,FALSE)</f>
        <v>0</v>
      </c>
      <c r="AU95" s="5">
        <f>VLOOKUP($A95,'ПР 01-02.21'!$A$11:$BB$406,47,FALSE)+VLOOKUP($A95,'ПР 21-22'!$A$11:$BB$406,47,FALSE)-VLOOKUP($A95,'ПР 01-02.22'!$A$11:$BB$378,47,FALSE)</f>
        <v>0</v>
      </c>
      <c r="AV95" s="40"/>
      <c r="AW95" s="5">
        <f>VLOOKUP($A95,'ПР 01-02.21'!$A$11:$BB$406,49,FALSE)+VLOOKUP($A95,'ПР 21-22'!$A$11:$BB$406,49,FALSE)-VLOOKUP($A95,'ПР 01-02.22'!$A$11:$BB$378,49,FALSE)</f>
        <v>8.6927781082082607</v>
      </c>
      <c r="AX95" s="5">
        <f>VLOOKUP($A95,'ПР 01-02.21'!$A$11:$BB$406,50,FALSE)+VLOOKUP($A95,'ПР 21-22'!$A$11:$BB$406,50,FALSE)-VLOOKUP($A95,'ПР 01-02.22'!$A$11:$BB$378,50,FALSE)</f>
        <v>0</v>
      </c>
      <c r="AY95" s="40"/>
      <c r="AZ95" s="40">
        <f t="shared" si="5"/>
        <v>8.6927781082082607</v>
      </c>
      <c r="BA95" s="40">
        <f t="shared" si="5"/>
        <v>0</v>
      </c>
      <c r="BB95" s="55">
        <f t="shared" si="8"/>
        <v>-8.6927781082082607</v>
      </c>
      <c r="BD95" s="2">
        <v>1</v>
      </c>
      <c r="BF95" s="325">
        <v>150000561</v>
      </c>
    </row>
    <row r="96" spans="1:58" ht="24.9" customHeight="1" x14ac:dyDescent="0.3">
      <c r="A96" s="325">
        <v>150000569</v>
      </c>
      <c r="B96" s="445" t="s">
        <v>73</v>
      </c>
      <c r="C96" s="27">
        <v>1</v>
      </c>
      <c r="D96" s="101" t="s">
        <v>455</v>
      </c>
      <c r="E96" s="279">
        <f>'побудинковий звіт'!E94</f>
        <v>245.6</v>
      </c>
      <c r="F96" s="441">
        <f>'побудинковий звіт'!AS94</f>
        <v>3001.0097061859369</v>
      </c>
      <c r="G96" s="441">
        <f t="shared" si="6"/>
        <v>13968.28</v>
      </c>
      <c r="H96" s="73">
        <f t="shared" si="7"/>
        <v>10967.270293814065</v>
      </c>
      <c r="I96" s="5">
        <f>VLOOKUP($A96,'ПР 01-02.21'!$A$11:$BB$406,9,FALSE)+VLOOKUP($A96,'ПР 21-22'!$A$11:$BB$406,9,FALSE)-VLOOKUP($A96,'ПР 01-02.22'!$A$11:$BB$378,9,FALSE)</f>
        <v>0</v>
      </c>
      <c r="J96" s="5">
        <f>VLOOKUP($A96,'ПР 01-02.21'!$A$11:$BB$406,10,FALSE)+VLOOKUP($A96,'ПР 21-22'!$A$11:$BB$406,10,FALSE)-VLOOKUP($A96,'ПР 01-02.22'!$A$11:$BB$378,10,FALSE)</f>
        <v>0</v>
      </c>
      <c r="K96" s="446"/>
      <c r="L96" s="5">
        <f>VLOOKUP($A96,'ПР 01-02.21'!$A$11:$BB$406,12,FALSE)+VLOOKUP($A96,'ПР 21-22'!$A$11:$BB$406,12,FALSE)-VLOOKUP($A96,'ПР 01-02.22'!$A$11:$BB$378,12,FALSE)</f>
        <v>0</v>
      </c>
      <c r="M96" s="5">
        <f>VLOOKUP($A96,'ПР 01-02.21'!$A$11:$BB$406,13,FALSE)+VLOOKUP($A96,'ПР 21-22'!$A$11:$BB$406,13,FALSE)-VLOOKUP($A96,'ПР 01-02.22'!$A$11:$BB$378,13,FALSE)</f>
        <v>0</v>
      </c>
      <c r="N96" s="38"/>
      <c r="O96" s="5">
        <f>VLOOKUP($A96,'ПР 01-02.21'!$A$11:$BB$406,15,FALSE)+VLOOKUP($A96,'ПР 21-22'!$A$11:$BB$406,15,FALSE)-VLOOKUP($A96,'ПР 01-02.22'!$A$11:$BB$378,15,FALSE)</f>
        <v>0</v>
      </c>
      <c r="P96" s="5">
        <f>VLOOKUP($A96,'ПР 01-02.21'!$A$11:$BB$406,16,FALSE)+VLOOKUP($A96,'ПР 21-22'!$A$11:$BB$406,16,FALSE)-VLOOKUP($A96,'ПР 01-02.22'!$A$11:$BB$378,16,FALSE)</f>
        <v>0</v>
      </c>
      <c r="Q96" s="443"/>
      <c r="R96" s="5">
        <f>VLOOKUP($A96,'ПР 01-02.21'!$A$11:$BB$406,18,FALSE)+VLOOKUP($A96,'ПР 21-22'!$A$11:$BB$406,18,FALSE)-VLOOKUP($A96,'ПР 01-02.22'!$A$11:$BB$378,18,FALSE)</f>
        <v>0</v>
      </c>
      <c r="S96" s="5">
        <f>VLOOKUP($A96,'ПР 01-02.21'!$A$11:$BB$406,19,FALSE)+VLOOKUP($A96,'ПР 21-22'!$A$11:$BB$406,19,FALSE)-VLOOKUP($A96,'ПР 01-02.22'!$A$11:$BB$378,19,FALSE)</f>
        <v>0</v>
      </c>
      <c r="T96" s="444"/>
      <c r="U96" s="5">
        <f>VLOOKUP($A96,'ПР 01-02.21'!$A$11:$BB$406,21,FALSE)+VLOOKUP($A96,'ПР 21-22'!$A$11:$BB$406,21,FALSE)-VLOOKUP($A96,'ПР 01-02.22'!$A$11:$BB$378,21,FALSE)</f>
        <v>0</v>
      </c>
      <c r="V96" s="5"/>
      <c r="W96" s="5">
        <f>VLOOKUP($A96,'ПР 01-02.21'!$A$11:$BB$406,23,FALSE)+VLOOKUP($A96,'ПР 21-22'!$A$11:$BB$406,23,FALSE)-VLOOKUP($A96,'ПР 01-02.22'!$A$11:$BB$378,23,FALSE)</f>
        <v>34</v>
      </c>
      <c r="X96" s="5">
        <f>VLOOKUP($A96,'ПР 01-02.21'!$A$11:$BB$406,24,FALSE)+VLOOKUP($A96,'ПР 21-22'!$A$11:$BB$406,24,FALSE)-VLOOKUP($A96,'ПР 01-02.22'!$A$11:$BB$378,24,FALSE)</f>
        <v>13968.28</v>
      </c>
      <c r="Y96" s="5">
        <f>VLOOKUP($A96,'ПР 01-02.21'!$A$11:$BB$406,25,FALSE)+VLOOKUP($A96,'ПР 21-22'!$A$11:$BB$406,25,FALSE)-VLOOKUP($A96,'ПР 01-02.22'!$A$11:$BB$378,25,FALSE)</f>
        <v>0</v>
      </c>
      <c r="Z96" s="5"/>
      <c r="AA96" s="5">
        <f>VLOOKUP($A96,'ПР 01-02.21'!$A$11:$BB$406,27,FALSE)+VLOOKUP($A96,'ПР 21-22'!$A$11:$BB$406,27,FALSE)-VLOOKUP($A96,'ПР 01-02.22'!$A$11:$BB$378,27,FALSE)</f>
        <v>0</v>
      </c>
      <c r="AB96" s="5">
        <f>VLOOKUP($A96,'ПР 01-02.21'!$A$11:$BB$406,28,FALSE)+VLOOKUP($A96,'ПР 21-22'!$A$11:$BB$406,28,FALSE)-VLOOKUP($A96,'ПР 01-02.22'!$A$11:$BB$378,28,FALSE)</f>
        <v>0</v>
      </c>
      <c r="AC96" s="5">
        <f>VLOOKUP($A96,'ПР 01-02.21'!$A$11:$BB$406,29,FALSE)+VLOOKUP($A96,'ПР 21-22'!$A$11:$BB$406,29,FALSE)-VLOOKUP($A96,'ПР 01-02.22'!$A$11:$BB$378,29,FALSE)</f>
        <v>0</v>
      </c>
      <c r="AD96" s="5">
        <f>VLOOKUP($A96,'ПР 01-02.21'!$A$11:$BB$406,30,FALSE)+VLOOKUP($A96,'ПР 21-22'!$A$11:$BB$406,30,FALSE)-VLOOKUP($A96,'ПР 01-02.22'!$A$11:$BB$378,30,FALSE)</f>
        <v>0</v>
      </c>
      <c r="AE96" s="5">
        <f>VLOOKUP($A96,'ПР 01-02.21'!$A$11:$BB$406,31,FALSE)+VLOOKUP($A96,'ПР 21-22'!$A$11:$BB$406,31,FALSE)-VLOOKUP($A96,'ПР 01-02.22'!$A$11:$BB$378,31,FALSE)</f>
        <v>0</v>
      </c>
      <c r="AF96" s="5">
        <f>VLOOKUP($A96,'ПР 01-02.21'!$A$11:$BB$406,32,FALSE)+VLOOKUP($A96,'ПР 21-22'!$A$11:$BB$406,32,FALSE)-VLOOKUP($A96,'ПР 01-02.22'!$A$11:$BB$378,32,FALSE)</f>
        <v>0</v>
      </c>
      <c r="AG96" s="40"/>
      <c r="AH96" s="5">
        <f>VLOOKUP($A96,'ПР 01-02.21'!$A$11:$BB$406,34,FALSE)+VLOOKUP($A96,'ПР 21-22'!$A$11:$BB$406,34,FALSE)-VLOOKUP($A96,'ПР 01-02.22'!$A$11:$BB$378,34,FALSE)</f>
        <v>0</v>
      </c>
      <c r="AI96" s="5">
        <f>VLOOKUP($A96,'ПР 01-02.21'!$A$11:$BB$406,35,FALSE)+VLOOKUP($A96,'ПР 21-22'!$A$11:$BB$406,35,FALSE)-VLOOKUP($A96,'ПР 01-02.22'!$A$11:$BB$378,35,FALSE)</f>
        <v>0</v>
      </c>
      <c r="AJ96" s="40"/>
      <c r="AK96" s="5">
        <f>VLOOKUP($A96,'ПР 01-02.21'!$A$11:$BB$406,37,FALSE)+VLOOKUP($A96,'ПР 21-22'!$A$11:$BB$406,37,FALSE)-VLOOKUP($A96,'ПР 01-02.22'!$A$11:$BB$378,37,FALSE)</f>
        <v>0</v>
      </c>
      <c r="AL96" s="5">
        <f>VLOOKUP($A96,'ПР 01-02.21'!$A$11:$BB$406,38,FALSE)+VLOOKUP($A96,'ПР 21-22'!$A$11:$BB$406,38,FALSE)-VLOOKUP($A96,'ПР 01-02.22'!$A$11:$BB$378,38,FALSE)</f>
        <v>0</v>
      </c>
      <c r="AM96" s="40"/>
      <c r="AN96" s="5">
        <f>VLOOKUP($A96,'ПР 01-02.21'!$A$11:$BB$406,40,FALSE)+VLOOKUP($A96,'ПР 21-22'!$A$11:$BB$406,40,FALSE)-VLOOKUP($A96,'ПР 01-02.22'!$A$11:$BB$378,40,FALSE)</f>
        <v>0</v>
      </c>
      <c r="AO96" s="5">
        <f>VLOOKUP($A96,'ПР 01-02.21'!$A$11:$BB$406,41,FALSE)+VLOOKUP($A96,'ПР 21-22'!$A$11:$BB$406,41,FALSE)-VLOOKUP($A96,'ПР 01-02.22'!$A$11:$BB$378,41,FALSE)</f>
        <v>0</v>
      </c>
      <c r="AP96" s="40"/>
      <c r="AQ96" s="5">
        <f>VLOOKUP($A96,'ПР 01-02.21'!$A$11:$BB$406,43,FALSE)+VLOOKUP($A96,'ПР 21-22'!$A$11:$BB$406,43,FALSE)-VLOOKUP($A96,'ПР 01-02.22'!$A$11:$BB$378,43,FALSE)</f>
        <v>0</v>
      </c>
      <c r="AR96" s="5">
        <f>VLOOKUP($A96,'ПР 01-02.21'!$A$11:$BB$406,44,FALSE)+VLOOKUP($A96,'ПР 21-22'!$A$11:$BB$406,44,FALSE)-VLOOKUP($A96,'ПР 01-02.22'!$A$11:$BB$378,44,FALSE)</f>
        <v>0</v>
      </c>
      <c r="AS96" s="40"/>
      <c r="AT96" s="5">
        <f>VLOOKUP($A96,'ПР 01-02.21'!$A$11:$BB$406,46,FALSE)+VLOOKUP($A96,'ПР 21-22'!$A$11:$BB$406,46,FALSE)-VLOOKUP($A96,'ПР 01-02.22'!$A$11:$BB$378,46,FALSE)</f>
        <v>0</v>
      </c>
      <c r="AU96" s="5">
        <f>VLOOKUP($A96,'ПР 01-02.21'!$A$11:$BB$406,47,FALSE)+VLOOKUP($A96,'ПР 21-22'!$A$11:$BB$406,47,FALSE)-VLOOKUP($A96,'ПР 01-02.22'!$A$11:$BB$378,47,FALSE)</f>
        <v>0</v>
      </c>
      <c r="AV96" s="40"/>
      <c r="AW96" s="5">
        <f>VLOOKUP($A96,'ПР 01-02.21'!$A$11:$BB$406,49,FALSE)+VLOOKUP($A96,'ПР 21-22'!$A$11:$BB$406,49,FALSE)-VLOOKUP($A96,'ПР 01-02.22'!$A$11:$BB$378,49,FALSE)</f>
        <v>14.320648074823632</v>
      </c>
      <c r="AX96" s="5">
        <f>VLOOKUP($A96,'ПР 01-02.21'!$A$11:$BB$406,50,FALSE)+VLOOKUP($A96,'ПР 21-22'!$A$11:$BB$406,50,FALSE)-VLOOKUP($A96,'ПР 01-02.22'!$A$11:$BB$378,50,FALSE)</f>
        <v>0</v>
      </c>
      <c r="AY96" s="40"/>
      <c r="AZ96" s="40">
        <f t="shared" si="5"/>
        <v>14.320648074823632</v>
      </c>
      <c r="BA96" s="40">
        <f t="shared" si="5"/>
        <v>0</v>
      </c>
      <c r="BB96" s="55">
        <f t="shared" si="8"/>
        <v>-14.320648074823632</v>
      </c>
      <c r="BD96" s="2">
        <v>1</v>
      </c>
      <c r="BF96" s="325">
        <v>150000569</v>
      </c>
    </row>
    <row r="97" spans="1:58" ht="24.9" customHeight="1" x14ac:dyDescent="0.3">
      <c r="A97" s="325">
        <v>150000562</v>
      </c>
      <c r="B97" s="445" t="s">
        <v>74</v>
      </c>
      <c r="C97" s="27">
        <v>1</v>
      </c>
      <c r="D97" s="101" t="s">
        <v>455</v>
      </c>
      <c r="E97" s="279">
        <f>'побудинковий звіт'!E95</f>
        <v>325.08</v>
      </c>
      <c r="F97" s="441">
        <f>'побудинковий звіт'!AS95</f>
        <v>0</v>
      </c>
      <c r="G97" s="441">
        <f t="shared" si="6"/>
        <v>0</v>
      </c>
      <c r="H97" s="73">
        <f t="shared" si="7"/>
        <v>0</v>
      </c>
      <c r="I97" s="5"/>
      <c r="J97" s="5"/>
      <c r="K97" s="446"/>
      <c r="L97" s="5"/>
      <c r="M97" s="5"/>
      <c r="N97" s="38"/>
      <c r="O97" s="5"/>
      <c r="P97" s="5"/>
      <c r="Q97" s="443"/>
      <c r="R97" s="5"/>
      <c r="S97" s="5"/>
      <c r="T97" s="444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40"/>
      <c r="AH97" s="5"/>
      <c r="AI97" s="5"/>
      <c r="AJ97" s="40"/>
      <c r="AK97" s="5"/>
      <c r="AL97" s="5"/>
      <c r="AM97" s="40"/>
      <c r="AN97" s="5"/>
      <c r="AO97" s="5"/>
      <c r="AP97" s="40"/>
      <c r="AQ97" s="5"/>
      <c r="AR97" s="5"/>
      <c r="AS97" s="40"/>
      <c r="AT97" s="5"/>
      <c r="AU97" s="5"/>
      <c r="AV97" s="40"/>
      <c r="AW97" s="5"/>
      <c r="AX97" s="5"/>
      <c r="AY97" s="40"/>
      <c r="AZ97" s="40">
        <f t="shared" si="5"/>
        <v>0</v>
      </c>
      <c r="BA97" s="40">
        <f t="shared" si="5"/>
        <v>0</v>
      </c>
      <c r="BB97" s="55">
        <f t="shared" si="8"/>
        <v>0</v>
      </c>
      <c r="BD97" s="2">
        <v>1</v>
      </c>
      <c r="BF97" s="325">
        <v>150000562</v>
      </c>
    </row>
    <row r="98" spans="1:58" ht="24.9" customHeight="1" x14ac:dyDescent="0.3">
      <c r="A98" s="325">
        <v>150000570</v>
      </c>
      <c r="B98" s="445" t="s">
        <v>75</v>
      </c>
      <c r="C98" s="27">
        <v>1</v>
      </c>
      <c r="D98" s="101" t="s">
        <v>455</v>
      </c>
      <c r="E98" s="279">
        <f>'побудинковий звіт'!E96</f>
        <v>282.8</v>
      </c>
      <c r="F98" s="441">
        <f>'побудинковий звіт'!AS96</f>
        <v>2339.4307695534371</v>
      </c>
      <c r="G98" s="441">
        <f t="shared" si="6"/>
        <v>0</v>
      </c>
      <c r="H98" s="73">
        <f t="shared" si="7"/>
        <v>-2339.4307695534371</v>
      </c>
      <c r="I98" s="5">
        <f>VLOOKUP($A98,'ПР 01-02.21'!$A$11:$BB$406,9,FALSE)+VLOOKUP($A98,'ПР 21-22'!$A$11:$BB$406,9,FALSE)-VLOOKUP($A98,'ПР 01-02.22'!$A$11:$BB$378,9,FALSE)</f>
        <v>0</v>
      </c>
      <c r="J98" s="5">
        <f>VLOOKUP($A98,'ПР 01-02.21'!$A$11:$BB$406,10,FALSE)+VLOOKUP($A98,'ПР 21-22'!$A$11:$BB$406,10,FALSE)-VLOOKUP($A98,'ПР 01-02.22'!$A$11:$BB$378,10,FALSE)</f>
        <v>0</v>
      </c>
      <c r="K98" s="446"/>
      <c r="L98" s="5">
        <f>VLOOKUP($A98,'ПР 01-02.21'!$A$11:$BB$406,12,FALSE)+VLOOKUP($A98,'ПР 21-22'!$A$11:$BB$406,12,FALSE)-VLOOKUP($A98,'ПР 01-02.22'!$A$11:$BB$378,12,FALSE)</f>
        <v>0</v>
      </c>
      <c r="M98" s="5">
        <f>VLOOKUP($A98,'ПР 01-02.21'!$A$11:$BB$406,13,FALSE)+VLOOKUP($A98,'ПР 21-22'!$A$11:$BB$406,13,FALSE)-VLOOKUP($A98,'ПР 01-02.22'!$A$11:$BB$378,13,FALSE)</f>
        <v>0</v>
      </c>
      <c r="N98" s="38"/>
      <c r="O98" s="5">
        <f>VLOOKUP($A98,'ПР 01-02.21'!$A$11:$BB$406,15,FALSE)+VLOOKUP($A98,'ПР 21-22'!$A$11:$BB$406,15,FALSE)-VLOOKUP($A98,'ПР 01-02.22'!$A$11:$BB$378,15,FALSE)</f>
        <v>0</v>
      </c>
      <c r="P98" s="5">
        <f>VLOOKUP($A98,'ПР 01-02.21'!$A$11:$BB$406,16,FALSE)+VLOOKUP($A98,'ПР 21-22'!$A$11:$BB$406,16,FALSE)-VLOOKUP($A98,'ПР 01-02.22'!$A$11:$BB$378,16,FALSE)</f>
        <v>0</v>
      </c>
      <c r="Q98" s="443"/>
      <c r="R98" s="5">
        <f>VLOOKUP($A98,'ПР 01-02.21'!$A$11:$BB$406,18,FALSE)+VLOOKUP($A98,'ПР 21-22'!$A$11:$BB$406,18,FALSE)-VLOOKUP($A98,'ПР 01-02.22'!$A$11:$BB$378,18,FALSE)</f>
        <v>0</v>
      </c>
      <c r="S98" s="5">
        <f>VLOOKUP($A98,'ПР 01-02.21'!$A$11:$BB$406,19,FALSE)+VLOOKUP($A98,'ПР 21-22'!$A$11:$BB$406,19,FALSE)-VLOOKUP($A98,'ПР 01-02.22'!$A$11:$BB$378,19,FALSE)</f>
        <v>0</v>
      </c>
      <c r="T98" s="444"/>
      <c r="U98" s="5">
        <f>VLOOKUP($A98,'ПР 01-02.21'!$A$11:$BB$406,21,FALSE)+VLOOKUP($A98,'ПР 21-22'!$A$11:$BB$406,21,FALSE)-VLOOKUP($A98,'ПР 01-02.22'!$A$11:$BB$378,21,FALSE)</f>
        <v>0</v>
      </c>
      <c r="V98" s="5"/>
      <c r="W98" s="5">
        <f>VLOOKUP($A98,'ПР 01-02.21'!$A$11:$BB$406,23,FALSE)+VLOOKUP($A98,'ПР 21-22'!$A$11:$BB$406,23,FALSE)-VLOOKUP($A98,'ПР 01-02.22'!$A$11:$BB$378,23,FALSE)</f>
        <v>0</v>
      </c>
      <c r="X98" s="5">
        <f>VLOOKUP($A98,'ПР 01-02.21'!$A$11:$BB$406,24,FALSE)+VLOOKUP($A98,'ПР 21-22'!$A$11:$BB$406,24,FALSE)-VLOOKUP($A98,'ПР 01-02.22'!$A$11:$BB$378,24,FALSE)</f>
        <v>0</v>
      </c>
      <c r="Y98" s="5">
        <f>VLOOKUP($A98,'ПР 01-02.21'!$A$11:$BB$406,25,FALSE)+VLOOKUP($A98,'ПР 21-22'!$A$11:$BB$406,25,FALSE)-VLOOKUP($A98,'ПР 01-02.22'!$A$11:$BB$378,25,FALSE)</f>
        <v>0</v>
      </c>
      <c r="Z98" s="5"/>
      <c r="AA98" s="5">
        <f>VLOOKUP($A98,'ПР 01-02.21'!$A$11:$BB$406,27,FALSE)+VLOOKUP($A98,'ПР 21-22'!$A$11:$BB$406,27,FALSE)-VLOOKUP($A98,'ПР 01-02.22'!$A$11:$BB$378,27,FALSE)</f>
        <v>0</v>
      </c>
      <c r="AB98" s="5">
        <f>VLOOKUP($A98,'ПР 01-02.21'!$A$11:$BB$406,28,FALSE)+VLOOKUP($A98,'ПР 21-22'!$A$11:$BB$406,28,FALSE)-VLOOKUP($A98,'ПР 01-02.22'!$A$11:$BB$378,28,FALSE)</f>
        <v>0</v>
      </c>
      <c r="AC98" s="5">
        <f>VLOOKUP($A98,'ПР 01-02.21'!$A$11:$BB$406,29,FALSE)+VLOOKUP($A98,'ПР 21-22'!$A$11:$BB$406,29,FALSE)-VLOOKUP($A98,'ПР 01-02.22'!$A$11:$BB$378,29,FALSE)</f>
        <v>0</v>
      </c>
      <c r="AD98" s="5">
        <f>VLOOKUP($A98,'ПР 01-02.21'!$A$11:$BB$406,30,FALSE)+VLOOKUP($A98,'ПР 21-22'!$A$11:$BB$406,30,FALSE)-VLOOKUP($A98,'ПР 01-02.22'!$A$11:$BB$378,30,FALSE)</f>
        <v>0</v>
      </c>
      <c r="AE98" s="5">
        <f>VLOOKUP($A98,'ПР 01-02.21'!$A$11:$BB$406,31,FALSE)+VLOOKUP($A98,'ПР 21-22'!$A$11:$BB$406,31,FALSE)-VLOOKUP($A98,'ПР 01-02.22'!$A$11:$BB$378,31,FALSE)</f>
        <v>0</v>
      </c>
      <c r="AF98" s="5">
        <f>VLOOKUP($A98,'ПР 01-02.21'!$A$11:$BB$406,32,FALSE)+VLOOKUP($A98,'ПР 21-22'!$A$11:$BB$406,32,FALSE)-VLOOKUP($A98,'ПР 01-02.22'!$A$11:$BB$378,32,FALSE)</f>
        <v>0</v>
      </c>
      <c r="AG98" s="40"/>
      <c r="AH98" s="5">
        <f>VLOOKUP($A98,'ПР 01-02.21'!$A$11:$BB$406,34,FALSE)+VLOOKUP($A98,'ПР 21-22'!$A$11:$BB$406,34,FALSE)-VLOOKUP($A98,'ПР 01-02.22'!$A$11:$BB$378,34,FALSE)</f>
        <v>0</v>
      </c>
      <c r="AI98" s="5">
        <f>VLOOKUP($A98,'ПР 01-02.21'!$A$11:$BB$406,35,FALSE)+VLOOKUP($A98,'ПР 21-22'!$A$11:$BB$406,35,FALSE)-VLOOKUP($A98,'ПР 01-02.22'!$A$11:$BB$378,35,FALSE)</f>
        <v>0</v>
      </c>
      <c r="AJ98" s="40"/>
      <c r="AK98" s="5">
        <f>VLOOKUP($A98,'ПР 01-02.21'!$A$11:$BB$406,37,FALSE)+VLOOKUP($A98,'ПР 21-22'!$A$11:$BB$406,37,FALSE)-VLOOKUP($A98,'ПР 01-02.22'!$A$11:$BB$378,37,FALSE)</f>
        <v>0</v>
      </c>
      <c r="AL98" s="5">
        <f>VLOOKUP($A98,'ПР 01-02.21'!$A$11:$BB$406,38,FALSE)+VLOOKUP($A98,'ПР 21-22'!$A$11:$BB$406,38,FALSE)-VLOOKUP($A98,'ПР 01-02.22'!$A$11:$BB$378,38,FALSE)</f>
        <v>0</v>
      </c>
      <c r="AM98" s="40"/>
      <c r="AN98" s="5">
        <f>VLOOKUP($A98,'ПР 01-02.21'!$A$11:$BB$406,40,FALSE)+VLOOKUP($A98,'ПР 21-22'!$A$11:$BB$406,40,FALSE)-VLOOKUP($A98,'ПР 01-02.22'!$A$11:$BB$378,40,FALSE)</f>
        <v>0</v>
      </c>
      <c r="AO98" s="5">
        <f>VLOOKUP($A98,'ПР 01-02.21'!$A$11:$BB$406,41,FALSE)+VLOOKUP($A98,'ПР 21-22'!$A$11:$BB$406,41,FALSE)-VLOOKUP($A98,'ПР 01-02.22'!$A$11:$BB$378,41,FALSE)</f>
        <v>0</v>
      </c>
      <c r="AP98" s="40"/>
      <c r="AQ98" s="5">
        <f>VLOOKUP($A98,'ПР 01-02.21'!$A$11:$BB$406,43,FALSE)+VLOOKUP($A98,'ПР 21-22'!$A$11:$BB$406,43,FALSE)-VLOOKUP($A98,'ПР 01-02.22'!$A$11:$BB$378,43,FALSE)</f>
        <v>0</v>
      </c>
      <c r="AR98" s="5">
        <f>VLOOKUP($A98,'ПР 01-02.21'!$A$11:$BB$406,44,FALSE)+VLOOKUP($A98,'ПР 21-22'!$A$11:$BB$406,44,FALSE)-VLOOKUP($A98,'ПР 01-02.22'!$A$11:$BB$378,44,FALSE)</f>
        <v>0</v>
      </c>
      <c r="AS98" s="40"/>
      <c r="AT98" s="5">
        <f>VLOOKUP($A98,'ПР 01-02.21'!$A$11:$BB$406,46,FALSE)+VLOOKUP($A98,'ПР 21-22'!$A$11:$BB$406,46,FALSE)-VLOOKUP($A98,'ПР 01-02.22'!$A$11:$BB$378,46,FALSE)</f>
        <v>0</v>
      </c>
      <c r="AU98" s="5">
        <f>VLOOKUP($A98,'ПР 01-02.21'!$A$11:$BB$406,47,FALSE)+VLOOKUP($A98,'ПР 21-22'!$A$11:$BB$406,47,FALSE)-VLOOKUP($A98,'ПР 01-02.22'!$A$11:$BB$378,47,FALSE)</f>
        <v>0</v>
      </c>
      <c r="AV98" s="40"/>
      <c r="AW98" s="5">
        <f>VLOOKUP($A98,'ПР 01-02.21'!$A$11:$BB$406,49,FALSE)+VLOOKUP($A98,'ПР 21-22'!$A$11:$BB$406,49,FALSE)-VLOOKUP($A98,'ПР 01-02.22'!$A$11:$BB$378,49,FALSE)</f>
        <v>16.470434234966916</v>
      </c>
      <c r="AX98" s="5">
        <f>VLOOKUP($A98,'ПР 01-02.21'!$A$11:$BB$406,50,FALSE)+VLOOKUP($A98,'ПР 21-22'!$A$11:$BB$406,50,FALSE)-VLOOKUP($A98,'ПР 01-02.22'!$A$11:$BB$378,50,FALSE)</f>
        <v>0</v>
      </c>
      <c r="AY98" s="40"/>
      <c r="AZ98" s="40">
        <f t="shared" si="5"/>
        <v>16.470434234966916</v>
      </c>
      <c r="BA98" s="40">
        <f t="shared" si="5"/>
        <v>0</v>
      </c>
      <c r="BB98" s="55">
        <f t="shared" si="8"/>
        <v>-16.470434234966916</v>
      </c>
      <c r="BD98" s="2">
        <v>1</v>
      </c>
      <c r="BF98" s="325">
        <v>150000570</v>
      </c>
    </row>
    <row r="99" spans="1:58" ht="24.9" customHeight="1" x14ac:dyDescent="0.3">
      <c r="A99" s="325">
        <v>150000572</v>
      </c>
      <c r="B99" s="445" t="s">
        <v>153</v>
      </c>
      <c r="C99" s="27">
        <v>2</v>
      </c>
      <c r="D99" s="101" t="s">
        <v>455</v>
      </c>
      <c r="E99" s="279">
        <f>'побудинковий звіт'!E97</f>
        <v>171.6</v>
      </c>
      <c r="F99" s="441">
        <f>'побудинковий звіт'!AS97</f>
        <v>2571.9430500166245</v>
      </c>
      <c r="G99" s="441">
        <f t="shared" si="6"/>
        <v>0</v>
      </c>
      <c r="H99" s="73">
        <f t="shared" si="7"/>
        <v>-2571.9430500166245</v>
      </c>
      <c r="I99" s="5">
        <f>VLOOKUP($A99,'ПР 01-02.21'!$A$11:$BB$406,9,FALSE)+VLOOKUP($A99,'ПР 21-22'!$A$11:$BB$406,9,FALSE)-VLOOKUP($A99,'ПР 01-02.22'!$A$11:$BB$378,9,FALSE)</f>
        <v>0</v>
      </c>
      <c r="J99" s="5">
        <f>VLOOKUP($A99,'ПР 01-02.21'!$A$11:$BB$406,10,FALSE)+VLOOKUP($A99,'ПР 21-22'!$A$11:$BB$406,10,FALSE)-VLOOKUP($A99,'ПР 01-02.22'!$A$11:$BB$378,10,FALSE)</f>
        <v>0</v>
      </c>
      <c r="K99" s="446"/>
      <c r="L99" s="5">
        <f>VLOOKUP($A99,'ПР 01-02.21'!$A$11:$BB$406,12,FALSE)+VLOOKUP($A99,'ПР 21-22'!$A$11:$BB$406,12,FALSE)-VLOOKUP($A99,'ПР 01-02.22'!$A$11:$BB$378,12,FALSE)</f>
        <v>0</v>
      </c>
      <c r="M99" s="5">
        <f>VLOOKUP($A99,'ПР 01-02.21'!$A$11:$BB$406,13,FALSE)+VLOOKUP($A99,'ПР 21-22'!$A$11:$BB$406,13,FALSE)-VLOOKUP($A99,'ПР 01-02.22'!$A$11:$BB$378,13,FALSE)</f>
        <v>0</v>
      </c>
      <c r="N99" s="38"/>
      <c r="O99" s="5">
        <f>VLOOKUP($A99,'ПР 01-02.21'!$A$11:$BB$406,15,FALSE)+VLOOKUP($A99,'ПР 21-22'!$A$11:$BB$406,15,FALSE)-VLOOKUP($A99,'ПР 01-02.22'!$A$11:$BB$378,15,FALSE)</f>
        <v>0</v>
      </c>
      <c r="P99" s="5">
        <f>VLOOKUP($A99,'ПР 01-02.21'!$A$11:$BB$406,16,FALSE)+VLOOKUP($A99,'ПР 21-22'!$A$11:$BB$406,16,FALSE)-VLOOKUP($A99,'ПР 01-02.22'!$A$11:$BB$378,16,FALSE)</f>
        <v>0</v>
      </c>
      <c r="Q99" s="443"/>
      <c r="R99" s="5">
        <f>VLOOKUP($A99,'ПР 01-02.21'!$A$11:$BB$406,18,FALSE)+VLOOKUP($A99,'ПР 21-22'!$A$11:$BB$406,18,FALSE)-VLOOKUP($A99,'ПР 01-02.22'!$A$11:$BB$378,18,FALSE)</f>
        <v>0</v>
      </c>
      <c r="S99" s="5">
        <f>VLOOKUP($A99,'ПР 01-02.21'!$A$11:$BB$406,19,FALSE)+VLOOKUP($A99,'ПР 21-22'!$A$11:$BB$406,19,FALSE)-VLOOKUP($A99,'ПР 01-02.22'!$A$11:$BB$378,19,FALSE)</f>
        <v>0</v>
      </c>
      <c r="T99" s="444"/>
      <c r="U99" s="5">
        <f>VLOOKUP($A99,'ПР 01-02.21'!$A$11:$BB$406,21,FALSE)+VLOOKUP($A99,'ПР 21-22'!$A$11:$BB$406,21,FALSE)-VLOOKUP($A99,'ПР 01-02.22'!$A$11:$BB$378,21,FALSE)</f>
        <v>0</v>
      </c>
      <c r="V99" s="5"/>
      <c r="W99" s="5">
        <f>VLOOKUP($A99,'ПР 01-02.21'!$A$11:$BB$406,23,FALSE)+VLOOKUP($A99,'ПР 21-22'!$A$11:$BB$406,23,FALSE)-VLOOKUP($A99,'ПР 01-02.22'!$A$11:$BB$378,23,FALSE)</f>
        <v>0</v>
      </c>
      <c r="X99" s="5">
        <f>VLOOKUP($A99,'ПР 01-02.21'!$A$11:$BB$406,24,FALSE)+VLOOKUP($A99,'ПР 21-22'!$A$11:$BB$406,24,FALSE)-VLOOKUP($A99,'ПР 01-02.22'!$A$11:$BB$378,24,FALSE)</f>
        <v>0</v>
      </c>
      <c r="Y99" s="5">
        <f>VLOOKUP($A99,'ПР 01-02.21'!$A$11:$BB$406,25,FALSE)+VLOOKUP($A99,'ПР 21-22'!$A$11:$BB$406,25,FALSE)-VLOOKUP($A99,'ПР 01-02.22'!$A$11:$BB$378,25,FALSE)</f>
        <v>0</v>
      </c>
      <c r="Z99" s="5"/>
      <c r="AA99" s="5">
        <f>VLOOKUP($A99,'ПР 01-02.21'!$A$11:$BB$406,27,FALSE)+VLOOKUP($A99,'ПР 21-22'!$A$11:$BB$406,27,FALSE)-VLOOKUP($A99,'ПР 01-02.22'!$A$11:$BB$378,27,FALSE)</f>
        <v>0</v>
      </c>
      <c r="AB99" s="5">
        <f>VLOOKUP($A99,'ПР 01-02.21'!$A$11:$BB$406,28,FALSE)+VLOOKUP($A99,'ПР 21-22'!$A$11:$BB$406,28,FALSE)-VLOOKUP($A99,'ПР 01-02.22'!$A$11:$BB$378,28,FALSE)</f>
        <v>0</v>
      </c>
      <c r="AC99" s="5">
        <f>VLOOKUP($A99,'ПР 01-02.21'!$A$11:$BB$406,29,FALSE)+VLOOKUP($A99,'ПР 21-22'!$A$11:$BB$406,29,FALSE)-VLOOKUP($A99,'ПР 01-02.22'!$A$11:$BB$378,29,FALSE)</f>
        <v>0</v>
      </c>
      <c r="AD99" s="5">
        <f>VLOOKUP($A99,'ПР 01-02.21'!$A$11:$BB$406,30,FALSE)+VLOOKUP($A99,'ПР 21-22'!$A$11:$BB$406,30,FALSE)-VLOOKUP($A99,'ПР 01-02.22'!$A$11:$BB$378,30,FALSE)</f>
        <v>0</v>
      </c>
      <c r="AE99" s="5">
        <f>VLOOKUP($A99,'ПР 01-02.21'!$A$11:$BB$406,31,FALSE)+VLOOKUP($A99,'ПР 21-22'!$A$11:$BB$406,31,FALSE)-VLOOKUP($A99,'ПР 01-02.22'!$A$11:$BB$378,31,FALSE)</f>
        <v>322.08908892692324</v>
      </c>
      <c r="AF99" s="5">
        <f>VLOOKUP($A99,'ПР 01-02.21'!$A$11:$BB$406,32,FALSE)+VLOOKUP($A99,'ПР 21-22'!$A$11:$BB$406,32,FALSE)-VLOOKUP($A99,'ПР 01-02.22'!$A$11:$BB$378,32,FALSE)</f>
        <v>0</v>
      </c>
      <c r="AG99" s="40"/>
      <c r="AH99" s="5">
        <f>VLOOKUP($A99,'ПР 01-02.21'!$A$11:$BB$406,34,FALSE)+VLOOKUP($A99,'ПР 21-22'!$A$11:$BB$406,34,FALSE)-VLOOKUP($A99,'ПР 01-02.22'!$A$11:$BB$378,34,FALSE)</f>
        <v>370.72557229192574</v>
      </c>
      <c r="AI99" s="5">
        <f>VLOOKUP($A99,'ПР 01-02.21'!$A$11:$BB$406,35,FALSE)+VLOOKUP($A99,'ПР 21-22'!$A$11:$BB$406,35,FALSE)-VLOOKUP($A99,'ПР 01-02.22'!$A$11:$BB$378,35,FALSE)</f>
        <v>0</v>
      </c>
      <c r="AJ99" s="40"/>
      <c r="AK99" s="5">
        <f>VLOOKUP($A99,'ПР 01-02.21'!$A$11:$BB$406,37,FALSE)+VLOOKUP($A99,'ПР 21-22'!$A$11:$BB$406,37,FALSE)-VLOOKUP($A99,'ПР 01-02.22'!$A$11:$BB$378,37,FALSE)</f>
        <v>0</v>
      </c>
      <c r="AL99" s="5">
        <f>VLOOKUP($A99,'ПР 01-02.21'!$A$11:$BB$406,38,FALSE)+VLOOKUP($A99,'ПР 21-22'!$A$11:$BB$406,38,FALSE)-VLOOKUP($A99,'ПР 01-02.22'!$A$11:$BB$378,38,FALSE)</f>
        <v>0</v>
      </c>
      <c r="AM99" s="40"/>
      <c r="AN99" s="5">
        <f>VLOOKUP($A99,'ПР 01-02.21'!$A$11:$BB$406,40,FALSE)+VLOOKUP($A99,'ПР 21-22'!$A$11:$BB$406,40,FALSE)-VLOOKUP($A99,'ПР 01-02.22'!$A$11:$BB$378,40,FALSE)</f>
        <v>0</v>
      </c>
      <c r="AO99" s="5">
        <f>VLOOKUP($A99,'ПР 01-02.21'!$A$11:$BB$406,41,FALSE)+VLOOKUP($A99,'ПР 21-22'!$A$11:$BB$406,41,FALSE)-VLOOKUP($A99,'ПР 01-02.22'!$A$11:$BB$378,41,FALSE)</f>
        <v>0</v>
      </c>
      <c r="AP99" s="40"/>
      <c r="AQ99" s="5">
        <f>VLOOKUP($A99,'ПР 01-02.21'!$A$11:$BB$406,43,FALSE)+VLOOKUP($A99,'ПР 21-22'!$A$11:$BB$406,43,FALSE)-VLOOKUP($A99,'ПР 01-02.22'!$A$11:$BB$378,43,FALSE)</f>
        <v>0</v>
      </c>
      <c r="AR99" s="5">
        <f>VLOOKUP($A99,'ПР 01-02.21'!$A$11:$BB$406,44,FALSE)+VLOOKUP($A99,'ПР 21-22'!$A$11:$BB$406,44,FALSE)-VLOOKUP($A99,'ПР 01-02.22'!$A$11:$BB$378,44,FALSE)</f>
        <v>0</v>
      </c>
      <c r="AS99" s="40"/>
      <c r="AT99" s="5">
        <f>VLOOKUP($A99,'ПР 01-02.21'!$A$11:$BB$406,46,FALSE)+VLOOKUP($A99,'ПР 21-22'!$A$11:$BB$406,46,FALSE)-VLOOKUP($A99,'ПР 01-02.22'!$A$11:$BB$378,46,FALSE)</f>
        <v>0</v>
      </c>
      <c r="AU99" s="5">
        <f>VLOOKUP($A99,'ПР 01-02.21'!$A$11:$BB$406,47,FALSE)+VLOOKUP($A99,'ПР 21-22'!$A$11:$BB$406,47,FALSE)-VLOOKUP($A99,'ПР 01-02.22'!$A$11:$BB$378,47,FALSE)</f>
        <v>0</v>
      </c>
      <c r="AV99" s="40"/>
      <c r="AW99" s="5">
        <f>VLOOKUP($A99,'ПР 01-02.21'!$A$11:$BB$406,49,FALSE)+VLOOKUP($A99,'ПР 21-22'!$A$11:$BB$406,49,FALSE)-VLOOKUP($A99,'ПР 01-02.22'!$A$11:$BB$378,49,FALSE)</f>
        <v>51.504637147589776</v>
      </c>
      <c r="AX99" s="5">
        <f>VLOOKUP($A99,'ПР 01-02.21'!$A$11:$BB$406,50,FALSE)+VLOOKUP($A99,'ПР 21-22'!$A$11:$BB$406,50,FALSE)-VLOOKUP($A99,'ПР 01-02.22'!$A$11:$BB$378,50,FALSE)</f>
        <v>0</v>
      </c>
      <c r="AY99" s="40"/>
      <c r="AZ99" s="40">
        <f t="shared" si="5"/>
        <v>744.31929836643872</v>
      </c>
      <c r="BA99" s="40">
        <f t="shared" si="5"/>
        <v>0</v>
      </c>
      <c r="BB99" s="55">
        <f t="shared" si="8"/>
        <v>-744.31929836643872</v>
      </c>
      <c r="BD99" s="2">
        <v>1</v>
      </c>
      <c r="BF99" s="325">
        <v>150000572</v>
      </c>
    </row>
    <row r="100" spans="1:58" ht="24.9" customHeight="1" x14ac:dyDescent="0.3">
      <c r="A100" s="325">
        <v>150000573</v>
      </c>
      <c r="B100" s="445" t="s">
        <v>76</v>
      </c>
      <c r="C100" s="27">
        <v>1</v>
      </c>
      <c r="D100" s="101" t="s">
        <v>455</v>
      </c>
      <c r="E100" s="279">
        <f>'побудинковий звіт'!E98</f>
        <v>151.6</v>
      </c>
      <c r="F100" s="441">
        <f>'побудинковий звіт'!AS98</f>
        <v>1308.8980984932748</v>
      </c>
      <c r="G100" s="441">
        <f t="shared" si="6"/>
        <v>0</v>
      </c>
      <c r="H100" s="73">
        <f t="shared" si="7"/>
        <v>-1308.8980984932748</v>
      </c>
      <c r="I100" s="5">
        <f>VLOOKUP($A100,'ПР 01-02.21'!$A$11:$BB$406,9,FALSE)+VLOOKUP($A100,'ПР 21-22'!$A$11:$BB$406,9,FALSE)-VLOOKUP($A100,'ПР 01-02.22'!$A$11:$BB$378,9,FALSE)</f>
        <v>0</v>
      </c>
      <c r="J100" s="5">
        <f>VLOOKUP($A100,'ПР 01-02.21'!$A$11:$BB$406,10,FALSE)+VLOOKUP($A100,'ПР 21-22'!$A$11:$BB$406,10,FALSE)-VLOOKUP($A100,'ПР 01-02.22'!$A$11:$BB$378,10,FALSE)</f>
        <v>0</v>
      </c>
      <c r="K100" s="446"/>
      <c r="L100" s="5">
        <f>VLOOKUP($A100,'ПР 01-02.21'!$A$11:$BB$406,12,FALSE)+VLOOKUP($A100,'ПР 21-22'!$A$11:$BB$406,12,FALSE)-VLOOKUP($A100,'ПР 01-02.22'!$A$11:$BB$378,12,FALSE)</f>
        <v>0</v>
      </c>
      <c r="M100" s="5">
        <f>VLOOKUP($A100,'ПР 01-02.21'!$A$11:$BB$406,13,FALSE)+VLOOKUP($A100,'ПР 21-22'!$A$11:$BB$406,13,FALSE)-VLOOKUP($A100,'ПР 01-02.22'!$A$11:$BB$378,13,FALSE)</f>
        <v>0</v>
      </c>
      <c r="N100" s="38"/>
      <c r="O100" s="5">
        <f>VLOOKUP($A100,'ПР 01-02.21'!$A$11:$BB$406,15,FALSE)+VLOOKUP($A100,'ПР 21-22'!$A$11:$BB$406,15,FALSE)-VLOOKUP($A100,'ПР 01-02.22'!$A$11:$BB$378,15,FALSE)</f>
        <v>0</v>
      </c>
      <c r="P100" s="5">
        <f>VLOOKUP($A100,'ПР 01-02.21'!$A$11:$BB$406,16,FALSE)+VLOOKUP($A100,'ПР 21-22'!$A$11:$BB$406,16,FALSE)-VLOOKUP($A100,'ПР 01-02.22'!$A$11:$BB$378,16,FALSE)</f>
        <v>0</v>
      </c>
      <c r="Q100" s="443"/>
      <c r="R100" s="5">
        <f>VLOOKUP($A100,'ПР 01-02.21'!$A$11:$BB$406,18,FALSE)+VLOOKUP($A100,'ПР 21-22'!$A$11:$BB$406,18,FALSE)-VLOOKUP($A100,'ПР 01-02.22'!$A$11:$BB$378,18,FALSE)</f>
        <v>0</v>
      </c>
      <c r="S100" s="5">
        <f>VLOOKUP($A100,'ПР 01-02.21'!$A$11:$BB$406,19,FALSE)+VLOOKUP($A100,'ПР 21-22'!$A$11:$BB$406,19,FALSE)-VLOOKUP($A100,'ПР 01-02.22'!$A$11:$BB$378,19,FALSE)</f>
        <v>0</v>
      </c>
      <c r="T100" s="444"/>
      <c r="U100" s="5">
        <f>VLOOKUP($A100,'ПР 01-02.21'!$A$11:$BB$406,21,FALSE)+VLOOKUP($A100,'ПР 21-22'!$A$11:$BB$406,21,FALSE)-VLOOKUP($A100,'ПР 01-02.22'!$A$11:$BB$378,21,FALSE)</f>
        <v>0</v>
      </c>
      <c r="V100" s="5"/>
      <c r="W100" s="5">
        <f>VLOOKUP($A100,'ПР 01-02.21'!$A$11:$BB$406,23,FALSE)+VLOOKUP($A100,'ПР 21-22'!$A$11:$BB$406,23,FALSE)-VLOOKUP($A100,'ПР 01-02.22'!$A$11:$BB$378,23,FALSE)</f>
        <v>0</v>
      </c>
      <c r="X100" s="5">
        <f>VLOOKUP($A100,'ПР 01-02.21'!$A$11:$BB$406,24,FALSE)+VLOOKUP($A100,'ПР 21-22'!$A$11:$BB$406,24,FALSE)-VLOOKUP($A100,'ПР 01-02.22'!$A$11:$BB$378,24,FALSE)</f>
        <v>0</v>
      </c>
      <c r="Y100" s="5">
        <f>VLOOKUP($A100,'ПР 01-02.21'!$A$11:$BB$406,25,FALSE)+VLOOKUP($A100,'ПР 21-22'!$A$11:$BB$406,25,FALSE)-VLOOKUP($A100,'ПР 01-02.22'!$A$11:$BB$378,25,FALSE)</f>
        <v>0</v>
      </c>
      <c r="Z100" s="5"/>
      <c r="AA100" s="5">
        <f>VLOOKUP($A100,'ПР 01-02.21'!$A$11:$BB$406,27,FALSE)+VLOOKUP($A100,'ПР 21-22'!$A$11:$BB$406,27,FALSE)-VLOOKUP($A100,'ПР 01-02.22'!$A$11:$BB$378,27,FALSE)</f>
        <v>0</v>
      </c>
      <c r="AB100" s="5">
        <f>VLOOKUP($A100,'ПР 01-02.21'!$A$11:$BB$406,28,FALSE)+VLOOKUP($A100,'ПР 21-22'!$A$11:$BB$406,28,FALSE)-VLOOKUP($A100,'ПР 01-02.22'!$A$11:$BB$378,28,FALSE)</f>
        <v>0</v>
      </c>
      <c r="AC100" s="5">
        <f>VLOOKUP($A100,'ПР 01-02.21'!$A$11:$BB$406,29,FALSE)+VLOOKUP($A100,'ПР 21-22'!$A$11:$BB$406,29,FALSE)-VLOOKUP($A100,'ПР 01-02.22'!$A$11:$BB$378,29,FALSE)</f>
        <v>0</v>
      </c>
      <c r="AD100" s="5">
        <f>VLOOKUP($A100,'ПР 01-02.21'!$A$11:$BB$406,30,FALSE)+VLOOKUP($A100,'ПР 21-22'!$A$11:$BB$406,30,FALSE)-VLOOKUP($A100,'ПР 01-02.22'!$A$11:$BB$378,30,FALSE)</f>
        <v>0</v>
      </c>
      <c r="AE100" s="5">
        <f>VLOOKUP($A100,'ПР 01-02.21'!$A$11:$BB$406,31,FALSE)+VLOOKUP($A100,'ПР 21-22'!$A$11:$BB$406,31,FALSE)-VLOOKUP($A100,'ПР 01-02.22'!$A$11:$BB$378,31,FALSE)</f>
        <v>0</v>
      </c>
      <c r="AF100" s="5">
        <f>VLOOKUP($A100,'ПР 01-02.21'!$A$11:$BB$406,32,FALSE)+VLOOKUP($A100,'ПР 21-22'!$A$11:$BB$406,32,FALSE)-VLOOKUP($A100,'ПР 01-02.22'!$A$11:$BB$378,32,FALSE)</f>
        <v>0</v>
      </c>
      <c r="AG100" s="40"/>
      <c r="AH100" s="5">
        <f>VLOOKUP($A100,'ПР 01-02.21'!$A$11:$BB$406,34,FALSE)+VLOOKUP($A100,'ПР 21-22'!$A$11:$BB$406,34,FALSE)-VLOOKUP($A100,'ПР 01-02.22'!$A$11:$BB$378,34,FALSE)</f>
        <v>0</v>
      </c>
      <c r="AI100" s="5">
        <f>VLOOKUP($A100,'ПР 01-02.21'!$A$11:$BB$406,35,FALSE)+VLOOKUP($A100,'ПР 21-22'!$A$11:$BB$406,35,FALSE)-VLOOKUP($A100,'ПР 01-02.22'!$A$11:$BB$378,35,FALSE)</f>
        <v>0</v>
      </c>
      <c r="AJ100" s="40"/>
      <c r="AK100" s="5">
        <f>VLOOKUP($A100,'ПР 01-02.21'!$A$11:$BB$406,37,FALSE)+VLOOKUP($A100,'ПР 21-22'!$A$11:$BB$406,37,FALSE)-VLOOKUP($A100,'ПР 01-02.22'!$A$11:$BB$378,37,FALSE)</f>
        <v>0</v>
      </c>
      <c r="AL100" s="5">
        <f>VLOOKUP($A100,'ПР 01-02.21'!$A$11:$BB$406,38,FALSE)+VLOOKUP($A100,'ПР 21-22'!$A$11:$BB$406,38,FALSE)-VLOOKUP($A100,'ПР 01-02.22'!$A$11:$BB$378,38,FALSE)</f>
        <v>0</v>
      </c>
      <c r="AM100" s="40"/>
      <c r="AN100" s="5">
        <f>VLOOKUP($A100,'ПР 01-02.21'!$A$11:$BB$406,40,FALSE)+VLOOKUP($A100,'ПР 21-22'!$A$11:$BB$406,40,FALSE)-VLOOKUP($A100,'ПР 01-02.22'!$A$11:$BB$378,40,FALSE)</f>
        <v>0</v>
      </c>
      <c r="AO100" s="5">
        <f>VLOOKUP($A100,'ПР 01-02.21'!$A$11:$BB$406,41,FALSE)+VLOOKUP($A100,'ПР 21-22'!$A$11:$BB$406,41,FALSE)-VLOOKUP($A100,'ПР 01-02.22'!$A$11:$BB$378,41,FALSE)</f>
        <v>0</v>
      </c>
      <c r="AP100" s="40"/>
      <c r="AQ100" s="5">
        <f>VLOOKUP($A100,'ПР 01-02.21'!$A$11:$BB$406,43,FALSE)+VLOOKUP($A100,'ПР 21-22'!$A$11:$BB$406,43,FALSE)-VLOOKUP($A100,'ПР 01-02.22'!$A$11:$BB$378,43,FALSE)</f>
        <v>0</v>
      </c>
      <c r="AR100" s="5">
        <f>VLOOKUP($A100,'ПР 01-02.21'!$A$11:$BB$406,44,FALSE)+VLOOKUP($A100,'ПР 21-22'!$A$11:$BB$406,44,FALSE)-VLOOKUP($A100,'ПР 01-02.22'!$A$11:$BB$378,44,FALSE)</f>
        <v>0</v>
      </c>
      <c r="AS100" s="40"/>
      <c r="AT100" s="5">
        <f>VLOOKUP($A100,'ПР 01-02.21'!$A$11:$BB$406,46,FALSE)+VLOOKUP($A100,'ПР 21-22'!$A$11:$BB$406,46,FALSE)-VLOOKUP($A100,'ПР 01-02.22'!$A$11:$BB$378,46,FALSE)</f>
        <v>0</v>
      </c>
      <c r="AU100" s="5">
        <f>VLOOKUP($A100,'ПР 01-02.21'!$A$11:$BB$406,47,FALSE)+VLOOKUP($A100,'ПР 21-22'!$A$11:$BB$406,47,FALSE)-VLOOKUP($A100,'ПР 01-02.22'!$A$11:$BB$378,47,FALSE)</f>
        <v>0</v>
      </c>
      <c r="AV100" s="40"/>
      <c r="AW100" s="5">
        <f>VLOOKUP($A100,'ПР 01-02.21'!$A$11:$BB$406,49,FALSE)+VLOOKUP($A100,'ПР 21-22'!$A$11:$BB$406,49,FALSE)-VLOOKUP($A100,'ПР 01-02.22'!$A$11:$BB$378,49,FALSE)</f>
        <v>10.016576757144312</v>
      </c>
      <c r="AX100" s="5">
        <f>VLOOKUP($A100,'ПР 01-02.21'!$A$11:$BB$406,50,FALSE)+VLOOKUP($A100,'ПР 21-22'!$A$11:$BB$406,50,FALSE)-VLOOKUP($A100,'ПР 01-02.22'!$A$11:$BB$378,50,FALSE)</f>
        <v>0</v>
      </c>
      <c r="AY100" s="40"/>
      <c r="AZ100" s="40">
        <f t="shared" si="5"/>
        <v>10.016576757144312</v>
      </c>
      <c r="BA100" s="40">
        <f t="shared" si="5"/>
        <v>0</v>
      </c>
      <c r="BB100" s="55">
        <f t="shared" si="8"/>
        <v>-10.016576757144312</v>
      </c>
      <c r="BD100" s="2">
        <v>1</v>
      </c>
      <c r="BF100" s="325">
        <v>150000573</v>
      </c>
    </row>
    <row r="101" spans="1:58" ht="24.9" customHeight="1" x14ac:dyDescent="0.3">
      <c r="A101" s="325">
        <v>150000658</v>
      </c>
      <c r="B101" s="445" t="s">
        <v>352</v>
      </c>
      <c r="C101" s="27">
        <v>9</v>
      </c>
      <c r="D101" s="101" t="s">
        <v>455</v>
      </c>
      <c r="E101" s="279">
        <f>'побудинковий звіт'!E99</f>
        <v>5047.8</v>
      </c>
      <c r="F101" s="441">
        <f>'побудинковий звіт'!AS99</f>
        <v>70716.03881826927</v>
      </c>
      <c r="G101" s="441">
        <f t="shared" si="6"/>
        <v>20741.797266095484</v>
      </c>
      <c r="H101" s="73">
        <f t="shared" si="7"/>
        <v>-49974.241552173786</v>
      </c>
      <c r="I101" s="5">
        <f>VLOOKUP($A101,'ПР 01-02.21'!$A$11:$BB$406,9,FALSE)+VLOOKUP($A101,'ПР 21-22'!$A$11:$BB$406,9,FALSE)-VLOOKUP($A101,'ПР 01-02.22'!$A$11:$BB$378,9,FALSE)</f>
        <v>0</v>
      </c>
      <c r="J101" s="5">
        <f>VLOOKUP($A101,'ПР 01-02.21'!$A$11:$BB$406,10,FALSE)+VLOOKUP($A101,'ПР 21-22'!$A$11:$BB$406,10,FALSE)-VLOOKUP($A101,'ПР 01-02.22'!$A$11:$BB$378,10,FALSE)</f>
        <v>0</v>
      </c>
      <c r="K101" s="453"/>
      <c r="L101" s="5">
        <f>VLOOKUP($A101,'ПР 01-02.21'!$A$11:$BB$406,12,FALSE)+VLOOKUP($A101,'ПР 21-22'!$A$11:$BB$406,12,FALSE)-VLOOKUP($A101,'ПР 01-02.22'!$A$11:$BB$378,12,FALSE)</f>
        <v>0</v>
      </c>
      <c r="M101" s="5">
        <f>VLOOKUP($A101,'ПР 01-02.21'!$A$11:$BB$406,13,FALSE)+VLOOKUP($A101,'ПР 21-22'!$A$11:$BB$406,13,FALSE)-VLOOKUP($A101,'ПР 01-02.22'!$A$11:$BB$378,13,FALSE)</f>
        <v>0</v>
      </c>
      <c r="N101" s="38"/>
      <c r="O101" s="5">
        <f>VLOOKUP($A101,'ПР 01-02.21'!$A$11:$BB$406,15,FALSE)+VLOOKUP($A101,'ПР 21-22'!$A$11:$BB$406,15,FALSE)-VLOOKUP($A101,'ПР 01-02.22'!$A$11:$BB$378,15,FALSE)</f>
        <v>0</v>
      </c>
      <c r="P101" s="5">
        <f>VLOOKUP($A101,'ПР 01-02.21'!$A$11:$BB$406,16,FALSE)+VLOOKUP($A101,'ПР 21-22'!$A$11:$BB$406,16,FALSE)-VLOOKUP($A101,'ПР 01-02.22'!$A$11:$BB$378,16,FALSE)</f>
        <v>0</v>
      </c>
      <c r="Q101" s="443"/>
      <c r="R101" s="5">
        <f>VLOOKUP($A101,'ПР 01-02.21'!$A$11:$BB$406,18,FALSE)+VLOOKUP($A101,'ПР 21-22'!$A$11:$BB$406,18,FALSE)-VLOOKUP($A101,'ПР 01-02.22'!$A$11:$BB$378,18,FALSE)</f>
        <v>2</v>
      </c>
      <c r="S101" s="5">
        <f>VLOOKUP($A101,'ПР 01-02.21'!$A$11:$BB$406,19,FALSE)+VLOOKUP($A101,'ПР 21-22'!$A$11:$BB$406,19,FALSE)-VLOOKUP($A101,'ПР 01-02.22'!$A$11:$BB$378,19,FALSE)</f>
        <v>10678</v>
      </c>
      <c r="T101" s="444"/>
      <c r="U101" s="5">
        <f>VLOOKUP($A101,'ПР 01-02.21'!$A$11:$BB$406,21,FALSE)+VLOOKUP($A101,'ПР 21-22'!$A$11:$BB$406,21,FALSE)-VLOOKUP($A101,'ПР 01-02.22'!$A$11:$BB$378,21,FALSE)</f>
        <v>0</v>
      </c>
      <c r="V101" s="5"/>
      <c r="W101" s="5">
        <f>VLOOKUP($A101,'ПР 01-02.21'!$A$11:$BB$406,23,FALSE)+VLOOKUP($A101,'ПР 21-22'!$A$11:$BB$406,23,FALSE)-VLOOKUP($A101,'ПР 01-02.22'!$A$11:$BB$378,23,FALSE)</f>
        <v>0</v>
      </c>
      <c r="X101" s="5">
        <f>VLOOKUP($A101,'ПР 01-02.21'!$A$11:$BB$406,24,FALSE)+VLOOKUP($A101,'ПР 21-22'!$A$11:$BB$406,24,FALSE)-VLOOKUP($A101,'ПР 01-02.22'!$A$11:$BB$378,24,FALSE)</f>
        <v>63.797266095481703</v>
      </c>
      <c r="Y101" s="5">
        <f>VLOOKUP($A101,'ПР 01-02.21'!$A$11:$BB$406,25,FALSE)+VLOOKUP($A101,'ПР 21-22'!$A$11:$BB$406,25,FALSE)-VLOOKUP($A101,'ПР 01-02.22'!$A$11:$BB$378,25,FALSE)</f>
        <v>0</v>
      </c>
      <c r="Z101" s="5"/>
      <c r="AA101" s="5">
        <f>VLOOKUP($A101,'ПР 01-02.21'!$A$11:$BB$406,27,FALSE)+VLOOKUP($A101,'ПР 21-22'!$A$11:$BB$406,27,FALSE)-VLOOKUP($A101,'ПР 01-02.22'!$A$11:$BB$378,27,FALSE)</f>
        <v>0</v>
      </c>
      <c r="AB101" s="5">
        <f>VLOOKUP($A101,'ПР 01-02.21'!$A$11:$BB$406,28,FALSE)+VLOOKUP($A101,'ПР 21-22'!$A$11:$BB$406,28,FALSE)-VLOOKUP($A101,'ПР 01-02.22'!$A$11:$BB$378,28,FALSE)</f>
        <v>0</v>
      </c>
      <c r="AC101" s="5">
        <f>VLOOKUP($A101,'ПР 01-02.21'!$A$11:$BB$406,29,FALSE)+VLOOKUP($A101,'ПР 21-22'!$A$11:$BB$406,29,FALSE)-VLOOKUP($A101,'ПР 01-02.22'!$A$11:$BB$378,29,FALSE)</f>
        <v>1509</v>
      </c>
      <c r="AD101" s="5">
        <f>VLOOKUP($A101,'ПР 01-02.21'!$A$11:$BB$406,30,FALSE)+VLOOKUP($A101,'ПР 21-22'!$A$11:$BB$406,30,FALSE)-VLOOKUP($A101,'ПР 01-02.22'!$A$11:$BB$378,30,FALSE)</f>
        <v>8491</v>
      </c>
      <c r="AE101" s="5">
        <f>VLOOKUP($A101,'ПР 01-02.21'!$A$11:$BB$406,31,FALSE)+VLOOKUP($A101,'ПР 21-22'!$A$11:$BB$406,31,FALSE)-VLOOKUP($A101,'ПР 01-02.22'!$A$11:$BB$378,31,FALSE)</f>
        <v>3351.5871735208502</v>
      </c>
      <c r="AF101" s="5">
        <f>VLOOKUP($A101,'ПР 01-02.21'!$A$11:$BB$406,32,FALSE)+VLOOKUP($A101,'ПР 21-22'!$A$11:$BB$406,32,FALSE)-VLOOKUP($A101,'ПР 01-02.22'!$A$11:$BB$378,32,FALSE)</f>
        <v>322</v>
      </c>
      <c r="AG101" s="40"/>
      <c r="AH101" s="5">
        <f>VLOOKUP($A101,'ПР 01-02.21'!$A$11:$BB$406,34,FALSE)+VLOOKUP($A101,'ПР 21-22'!$A$11:$BB$406,34,FALSE)-VLOOKUP($A101,'ПР 01-02.22'!$A$11:$BB$378,34,FALSE)</f>
        <v>3915.5392298067072</v>
      </c>
      <c r="AI101" s="5">
        <f>VLOOKUP($A101,'ПР 01-02.21'!$A$11:$BB$406,35,FALSE)+VLOOKUP($A101,'ПР 21-22'!$A$11:$BB$406,35,FALSE)-VLOOKUP($A101,'ПР 01-02.22'!$A$11:$BB$378,35,FALSE)</f>
        <v>4693</v>
      </c>
      <c r="AJ101" s="40"/>
      <c r="AK101" s="5">
        <f>VLOOKUP($A101,'ПР 01-02.21'!$A$11:$BB$406,37,FALSE)+VLOOKUP($A101,'ПР 21-22'!$A$11:$BB$406,37,FALSE)-VLOOKUP($A101,'ПР 01-02.22'!$A$11:$BB$378,37,FALSE)</f>
        <v>1815.7509366263266</v>
      </c>
      <c r="AL101" s="5">
        <f>VLOOKUP($A101,'ПР 01-02.21'!$A$11:$BB$406,38,FALSE)+VLOOKUP($A101,'ПР 21-22'!$A$11:$BB$406,38,FALSE)-VLOOKUP($A101,'ПР 01-02.22'!$A$11:$BB$378,38,FALSE)</f>
        <v>2853</v>
      </c>
      <c r="AM101" s="40"/>
      <c r="AN101" s="5">
        <f>VLOOKUP($A101,'ПР 01-02.21'!$A$11:$BB$406,40,FALSE)+VLOOKUP($A101,'ПР 21-22'!$A$11:$BB$406,40,FALSE)-VLOOKUP($A101,'ПР 01-02.22'!$A$11:$BB$378,40,FALSE)</f>
        <v>3136.0045590682275</v>
      </c>
      <c r="AO101" s="5">
        <f>VLOOKUP($A101,'ПР 01-02.21'!$A$11:$BB$406,41,FALSE)+VLOOKUP($A101,'ПР 21-22'!$A$11:$BB$406,41,FALSE)-VLOOKUP($A101,'ПР 01-02.22'!$A$11:$BB$378,41,FALSE)</f>
        <v>0</v>
      </c>
      <c r="AP101" s="40"/>
      <c r="AQ101" s="5">
        <f>VLOOKUP($A101,'ПР 01-02.21'!$A$11:$BB$406,43,FALSE)+VLOOKUP($A101,'ПР 21-22'!$A$11:$BB$406,43,FALSE)-VLOOKUP($A101,'ПР 01-02.22'!$A$11:$BB$378,43,FALSE)</f>
        <v>1229.5423611934032</v>
      </c>
      <c r="AR101" s="5">
        <f>VLOOKUP($A101,'ПР 01-02.21'!$A$11:$BB$406,44,FALSE)+VLOOKUP($A101,'ПР 21-22'!$A$11:$BB$406,44,FALSE)-VLOOKUP($A101,'ПР 01-02.22'!$A$11:$BB$378,44,FALSE)</f>
        <v>16</v>
      </c>
      <c r="AS101" s="40"/>
      <c r="AT101" s="5">
        <f>VLOOKUP($A101,'ПР 01-02.21'!$A$11:$BB$406,46,FALSE)+VLOOKUP($A101,'ПР 21-22'!$A$11:$BB$406,46,FALSE)-VLOOKUP($A101,'ПР 01-02.22'!$A$11:$BB$378,46,FALSE)</f>
        <v>2308.1581558871944</v>
      </c>
      <c r="AU101" s="5">
        <f>VLOOKUP($A101,'ПР 01-02.21'!$A$11:$BB$406,47,FALSE)+VLOOKUP($A101,'ПР 21-22'!$A$11:$BB$406,47,FALSE)-VLOOKUP($A101,'ПР 01-02.22'!$A$11:$BB$378,47,FALSE)</f>
        <v>310</v>
      </c>
      <c r="AV101" s="40"/>
      <c r="AW101" s="5">
        <f>VLOOKUP($A101,'ПР 01-02.21'!$A$11:$BB$406,49,FALSE)+VLOOKUP($A101,'ПР 21-22'!$A$11:$BB$406,49,FALSE)-VLOOKUP($A101,'ПР 01-02.22'!$A$11:$BB$378,49,FALSE)</f>
        <v>251.91200000000001</v>
      </c>
      <c r="AX101" s="5">
        <f>VLOOKUP($A101,'ПР 01-02.21'!$A$11:$BB$406,50,FALSE)+VLOOKUP($A101,'ПР 21-22'!$A$11:$BB$406,50,FALSE)-VLOOKUP($A101,'ПР 01-02.22'!$A$11:$BB$378,50,FALSE)</f>
        <v>0</v>
      </c>
      <c r="AY101" s="40"/>
      <c r="AZ101" s="40">
        <f t="shared" si="5"/>
        <v>16008.494416102711</v>
      </c>
      <c r="BA101" s="40">
        <f t="shared" si="5"/>
        <v>8194</v>
      </c>
      <c r="BB101" s="55">
        <f t="shared" si="8"/>
        <v>-7814.4944161027106</v>
      </c>
      <c r="BD101" s="2">
        <v>3</v>
      </c>
      <c r="BF101" s="325">
        <v>150000658</v>
      </c>
    </row>
    <row r="102" spans="1:58" ht="24.9" customHeight="1" x14ac:dyDescent="0.3">
      <c r="A102" s="325">
        <v>150000659</v>
      </c>
      <c r="B102" s="445" t="s">
        <v>414</v>
      </c>
      <c r="C102" s="27">
        <v>10</v>
      </c>
      <c r="D102" s="101" t="s">
        <v>455</v>
      </c>
      <c r="E102" s="279">
        <f>'побудинковий звіт'!E100</f>
        <v>2605.5</v>
      </c>
      <c r="F102" s="441">
        <f>'побудинковий звіт'!AS100</f>
        <v>29479.56456765101</v>
      </c>
      <c r="G102" s="441">
        <f t="shared" si="6"/>
        <v>4692</v>
      </c>
      <c r="H102" s="73">
        <f t="shared" si="7"/>
        <v>-24787.56456765101</v>
      </c>
      <c r="I102" s="5">
        <f>VLOOKUP($A102,'ПР 01-02.21'!$A$11:$BB$406,9,FALSE)+VLOOKUP($A102,'ПР 21-22'!$A$11:$BB$406,9,FALSE)-VLOOKUP($A102,'ПР 01-02.22'!$A$11:$BB$378,9,FALSE)</f>
        <v>0</v>
      </c>
      <c r="J102" s="5">
        <f>VLOOKUP($A102,'ПР 01-02.21'!$A$11:$BB$406,10,FALSE)+VLOOKUP($A102,'ПР 21-22'!$A$11:$BB$406,10,FALSE)-VLOOKUP($A102,'ПР 01-02.22'!$A$11:$BB$378,10,FALSE)</f>
        <v>334</v>
      </c>
      <c r="K102" s="446"/>
      <c r="L102" s="5">
        <f>VLOOKUP($A102,'ПР 01-02.21'!$A$11:$BB$406,12,FALSE)+VLOOKUP($A102,'ПР 21-22'!$A$11:$BB$406,12,FALSE)-VLOOKUP($A102,'ПР 01-02.22'!$A$11:$BB$378,12,FALSE)</f>
        <v>0</v>
      </c>
      <c r="M102" s="5">
        <f>VLOOKUP($A102,'ПР 01-02.21'!$A$11:$BB$406,13,FALSE)+VLOOKUP($A102,'ПР 21-22'!$A$11:$BB$406,13,FALSE)-VLOOKUP($A102,'ПР 01-02.22'!$A$11:$BB$378,13,FALSE)</f>
        <v>0</v>
      </c>
      <c r="N102" s="38"/>
      <c r="O102" s="5">
        <f>VLOOKUP($A102,'ПР 01-02.21'!$A$11:$BB$406,15,FALSE)+VLOOKUP($A102,'ПР 21-22'!$A$11:$BB$406,15,FALSE)-VLOOKUP($A102,'ПР 01-02.22'!$A$11:$BB$378,15,FALSE)</f>
        <v>0</v>
      </c>
      <c r="P102" s="5">
        <f>VLOOKUP($A102,'ПР 01-02.21'!$A$11:$BB$406,16,FALSE)+VLOOKUP($A102,'ПР 21-22'!$A$11:$BB$406,16,FALSE)-VLOOKUP($A102,'ПР 01-02.22'!$A$11:$BB$378,16,FALSE)</f>
        <v>0</v>
      </c>
      <c r="Q102" s="443"/>
      <c r="R102" s="5">
        <f>VLOOKUP($A102,'ПР 01-02.21'!$A$11:$BB$406,18,FALSE)+VLOOKUP($A102,'ПР 21-22'!$A$11:$BB$406,18,FALSE)-VLOOKUP($A102,'ПР 01-02.22'!$A$11:$BB$378,18,FALSE)</f>
        <v>2</v>
      </c>
      <c r="S102" s="5">
        <f>VLOOKUP($A102,'ПР 01-02.21'!$A$11:$BB$406,19,FALSE)+VLOOKUP($A102,'ПР 21-22'!$A$11:$BB$406,19,FALSE)-VLOOKUP($A102,'ПР 01-02.22'!$A$11:$BB$378,19,FALSE)</f>
        <v>2685</v>
      </c>
      <c r="T102" s="444"/>
      <c r="U102" s="5">
        <f>VLOOKUP($A102,'ПР 01-02.21'!$A$11:$BB$406,21,FALSE)+VLOOKUP($A102,'ПР 21-22'!$A$11:$BB$406,21,FALSE)-VLOOKUP($A102,'ПР 01-02.22'!$A$11:$BB$378,21,FALSE)</f>
        <v>0</v>
      </c>
      <c r="V102" s="5"/>
      <c r="W102" s="5">
        <f>VLOOKUP($A102,'ПР 01-02.21'!$A$11:$BB$406,23,FALSE)+VLOOKUP($A102,'ПР 21-22'!$A$11:$BB$406,23,FALSE)-VLOOKUP($A102,'ПР 01-02.22'!$A$11:$BB$378,23,FALSE)</f>
        <v>0</v>
      </c>
      <c r="X102" s="5">
        <f>VLOOKUP($A102,'ПР 01-02.21'!$A$11:$BB$406,24,FALSE)+VLOOKUP($A102,'ПР 21-22'!$A$11:$BB$406,24,FALSE)-VLOOKUP($A102,'ПР 01-02.22'!$A$11:$BB$378,24,FALSE)</f>
        <v>0</v>
      </c>
      <c r="Y102" s="5">
        <f>VLOOKUP($A102,'ПР 01-02.21'!$A$11:$BB$406,25,FALSE)+VLOOKUP($A102,'ПР 21-22'!$A$11:$BB$406,25,FALSE)-VLOOKUP($A102,'ПР 01-02.22'!$A$11:$BB$378,25,FALSE)</f>
        <v>1002</v>
      </c>
      <c r="Z102" s="5"/>
      <c r="AA102" s="5">
        <f>VLOOKUP($A102,'ПР 01-02.21'!$A$11:$BB$406,27,FALSE)+VLOOKUP($A102,'ПР 21-22'!$A$11:$BB$406,27,FALSE)-VLOOKUP($A102,'ПР 01-02.22'!$A$11:$BB$378,27,FALSE)</f>
        <v>0</v>
      </c>
      <c r="AB102" s="5">
        <f>VLOOKUP($A102,'ПР 01-02.21'!$A$11:$BB$406,28,FALSE)+VLOOKUP($A102,'ПР 21-22'!$A$11:$BB$406,28,FALSE)-VLOOKUP($A102,'ПР 01-02.22'!$A$11:$BB$378,28,FALSE)</f>
        <v>0</v>
      </c>
      <c r="AC102" s="5">
        <f>VLOOKUP($A102,'ПР 01-02.21'!$A$11:$BB$406,29,FALSE)+VLOOKUP($A102,'ПР 21-22'!$A$11:$BB$406,29,FALSE)-VLOOKUP($A102,'ПР 01-02.22'!$A$11:$BB$378,29,FALSE)</f>
        <v>107</v>
      </c>
      <c r="AD102" s="5">
        <f>VLOOKUP($A102,'ПР 01-02.21'!$A$11:$BB$406,30,FALSE)+VLOOKUP($A102,'ПР 21-22'!$A$11:$BB$406,30,FALSE)-VLOOKUP($A102,'ПР 01-02.22'!$A$11:$BB$378,30,FALSE)</f>
        <v>564</v>
      </c>
      <c r="AE102" s="5">
        <f>VLOOKUP($A102,'ПР 01-02.21'!$A$11:$BB$406,31,FALSE)+VLOOKUP($A102,'ПР 21-22'!$A$11:$BB$406,31,FALSE)-VLOOKUP($A102,'ПР 01-02.22'!$A$11:$BB$378,31,FALSE)</f>
        <v>1849.8085802692808</v>
      </c>
      <c r="AF102" s="5">
        <f>VLOOKUP($A102,'ПР 01-02.21'!$A$11:$BB$406,32,FALSE)+VLOOKUP($A102,'ПР 21-22'!$A$11:$BB$406,32,FALSE)-VLOOKUP($A102,'ПР 01-02.22'!$A$11:$BB$378,32,FALSE)</f>
        <v>0</v>
      </c>
      <c r="AG102" s="40"/>
      <c r="AH102" s="5">
        <f>VLOOKUP($A102,'ПР 01-02.21'!$A$11:$BB$406,34,FALSE)+VLOOKUP($A102,'ПР 21-22'!$A$11:$BB$406,34,FALSE)-VLOOKUP($A102,'ПР 01-02.22'!$A$11:$BB$378,34,FALSE)</f>
        <v>2234.1682208724192</v>
      </c>
      <c r="AI102" s="5">
        <f>VLOOKUP($A102,'ПР 01-02.21'!$A$11:$BB$406,35,FALSE)+VLOOKUP($A102,'ПР 21-22'!$A$11:$BB$406,35,FALSE)-VLOOKUP($A102,'ПР 01-02.22'!$A$11:$BB$378,35,FALSE)</f>
        <v>2863</v>
      </c>
      <c r="AJ102" s="40"/>
      <c r="AK102" s="5">
        <f>VLOOKUP($A102,'ПР 01-02.21'!$A$11:$BB$406,37,FALSE)+VLOOKUP($A102,'ПР 21-22'!$A$11:$BB$406,37,FALSE)-VLOOKUP($A102,'ПР 01-02.22'!$A$11:$BB$378,37,FALSE)</f>
        <v>1368.2729888495414</v>
      </c>
      <c r="AL102" s="5">
        <f>VLOOKUP($A102,'ПР 01-02.21'!$A$11:$BB$406,38,FALSE)+VLOOKUP($A102,'ПР 21-22'!$A$11:$BB$406,38,FALSE)-VLOOKUP($A102,'ПР 01-02.22'!$A$11:$BB$378,38,FALSE)</f>
        <v>5032</v>
      </c>
      <c r="AM102" s="40"/>
      <c r="AN102" s="5">
        <f>VLOOKUP($A102,'ПР 01-02.21'!$A$11:$BB$406,40,FALSE)+VLOOKUP($A102,'ПР 21-22'!$A$11:$BB$406,40,FALSE)-VLOOKUP($A102,'ПР 01-02.22'!$A$11:$BB$378,40,FALSE)</f>
        <v>1710.753496742979</v>
      </c>
      <c r="AO102" s="5">
        <f>VLOOKUP($A102,'ПР 01-02.21'!$A$11:$BB$406,41,FALSE)+VLOOKUP($A102,'ПР 21-22'!$A$11:$BB$406,41,FALSE)-VLOOKUP($A102,'ПР 01-02.22'!$A$11:$BB$378,41,FALSE)</f>
        <v>0</v>
      </c>
      <c r="AP102" s="40"/>
      <c r="AQ102" s="5">
        <f>VLOOKUP($A102,'ПР 01-02.21'!$A$11:$BB$406,43,FALSE)+VLOOKUP($A102,'ПР 21-22'!$A$11:$BB$406,43,FALSE)-VLOOKUP($A102,'ПР 01-02.22'!$A$11:$BB$378,43,FALSE)</f>
        <v>434.65866750610655</v>
      </c>
      <c r="AR102" s="5">
        <f>VLOOKUP($A102,'ПР 01-02.21'!$A$11:$BB$406,44,FALSE)+VLOOKUP($A102,'ПР 21-22'!$A$11:$BB$406,44,FALSE)-VLOOKUP($A102,'ПР 01-02.22'!$A$11:$BB$378,44,FALSE)</f>
        <v>0</v>
      </c>
      <c r="AS102" s="40"/>
      <c r="AT102" s="5">
        <f>VLOOKUP($A102,'ПР 01-02.21'!$A$11:$BB$406,46,FALSE)+VLOOKUP($A102,'ПР 21-22'!$A$11:$BB$406,46,FALSE)-VLOOKUP($A102,'ПР 01-02.22'!$A$11:$BB$378,46,FALSE)</f>
        <v>612.1926965607953</v>
      </c>
      <c r="AU102" s="5">
        <f>VLOOKUP($A102,'ПР 01-02.21'!$A$11:$BB$406,47,FALSE)+VLOOKUP($A102,'ПР 21-22'!$A$11:$BB$406,47,FALSE)-VLOOKUP($A102,'ПР 01-02.22'!$A$11:$BB$378,47,FALSE)</f>
        <v>1226</v>
      </c>
      <c r="AV102" s="40"/>
      <c r="AW102" s="5">
        <f>VLOOKUP($A102,'ПР 01-02.21'!$A$11:$BB$406,49,FALSE)+VLOOKUP($A102,'ПР 21-22'!$A$11:$BB$406,49,FALSE)-VLOOKUP($A102,'ПР 01-02.22'!$A$11:$BB$378,49,FALSE)</f>
        <v>130.244</v>
      </c>
      <c r="AX102" s="5">
        <f>VLOOKUP($A102,'ПР 01-02.21'!$A$11:$BB$406,50,FALSE)+VLOOKUP($A102,'ПР 21-22'!$A$11:$BB$406,50,FALSE)-VLOOKUP($A102,'ПР 01-02.22'!$A$11:$BB$378,50,FALSE)</f>
        <v>0</v>
      </c>
      <c r="AY102" s="40"/>
      <c r="AZ102" s="40">
        <f t="shared" si="5"/>
        <v>8340.0986508011229</v>
      </c>
      <c r="BA102" s="40">
        <f t="shared" si="5"/>
        <v>9121</v>
      </c>
      <c r="BB102" s="55">
        <f t="shared" si="8"/>
        <v>780.90134919887714</v>
      </c>
      <c r="BD102" s="2">
        <v>3</v>
      </c>
      <c r="BF102" s="325">
        <v>150000659</v>
      </c>
    </row>
    <row r="103" spans="1:58" ht="24.9" customHeight="1" x14ac:dyDescent="0.3">
      <c r="A103" s="325">
        <v>150000660</v>
      </c>
      <c r="B103" s="445" t="s">
        <v>415</v>
      </c>
      <c r="C103" s="27">
        <v>10</v>
      </c>
      <c r="D103" s="101" t="s">
        <v>455</v>
      </c>
      <c r="E103" s="279">
        <f>'побудинковий звіт'!E101</f>
        <v>4661.7</v>
      </c>
      <c r="F103" s="441">
        <f>'побудинковий звіт'!AS101</f>
        <v>54016.063817517366</v>
      </c>
      <c r="G103" s="441">
        <f t="shared" si="6"/>
        <v>23708</v>
      </c>
      <c r="H103" s="73">
        <f t="shared" si="7"/>
        <v>-30308.063817517366</v>
      </c>
      <c r="I103" s="5">
        <f>VLOOKUP($A103,'ПР 01-02.21'!$A$11:$BB$406,9,FALSE)+VLOOKUP($A103,'ПР 21-22'!$A$11:$BB$406,9,FALSE)-VLOOKUP($A103,'ПР 01-02.22'!$A$11:$BB$378,9,FALSE)</f>
        <v>51.4</v>
      </c>
      <c r="J103" s="5">
        <f>VLOOKUP($A103,'ПР 01-02.21'!$A$11:$BB$406,10,FALSE)+VLOOKUP($A103,'ПР 21-22'!$A$11:$BB$406,10,FALSE)-VLOOKUP($A103,'ПР 01-02.22'!$A$11:$BB$378,10,FALSE)</f>
        <v>9318</v>
      </c>
      <c r="K103" s="446"/>
      <c r="L103" s="5">
        <f>VLOOKUP($A103,'ПР 01-02.21'!$A$11:$BB$406,12,FALSE)+VLOOKUP($A103,'ПР 21-22'!$A$11:$BB$406,12,FALSE)-VLOOKUP($A103,'ПР 01-02.22'!$A$11:$BB$378,12,FALSE)</f>
        <v>0</v>
      </c>
      <c r="M103" s="5">
        <f>VLOOKUP($A103,'ПР 01-02.21'!$A$11:$BB$406,13,FALSE)+VLOOKUP($A103,'ПР 21-22'!$A$11:$BB$406,13,FALSE)-VLOOKUP($A103,'ПР 01-02.22'!$A$11:$BB$378,13,FALSE)</f>
        <v>0</v>
      </c>
      <c r="N103" s="38"/>
      <c r="O103" s="5">
        <f>VLOOKUP($A103,'ПР 01-02.21'!$A$11:$BB$406,15,FALSE)+VLOOKUP($A103,'ПР 21-22'!$A$11:$BB$406,15,FALSE)-VLOOKUP($A103,'ПР 01-02.22'!$A$11:$BB$378,15,FALSE)</f>
        <v>0</v>
      </c>
      <c r="P103" s="5">
        <f>VLOOKUP($A103,'ПР 01-02.21'!$A$11:$BB$406,16,FALSE)+VLOOKUP($A103,'ПР 21-22'!$A$11:$BB$406,16,FALSE)-VLOOKUP($A103,'ПР 01-02.22'!$A$11:$BB$378,16,FALSE)</f>
        <v>0</v>
      </c>
      <c r="Q103" s="443"/>
      <c r="R103" s="5">
        <f>VLOOKUP($A103,'ПР 01-02.21'!$A$11:$BB$406,18,FALSE)+VLOOKUP($A103,'ПР 21-22'!$A$11:$BB$406,18,FALSE)-VLOOKUP($A103,'ПР 01-02.22'!$A$11:$BB$378,18,FALSE)</f>
        <v>2</v>
      </c>
      <c r="S103" s="5">
        <f>VLOOKUP($A103,'ПР 01-02.21'!$A$11:$BB$406,19,FALSE)+VLOOKUP($A103,'ПР 21-22'!$A$11:$BB$406,19,FALSE)-VLOOKUP($A103,'ПР 01-02.22'!$A$11:$BB$378,19,FALSE)</f>
        <v>12800</v>
      </c>
      <c r="T103" s="444"/>
      <c r="U103" s="5">
        <f>VLOOKUP($A103,'ПР 01-02.21'!$A$11:$BB$406,21,FALSE)+VLOOKUP($A103,'ПР 21-22'!$A$11:$BB$406,21,FALSE)-VLOOKUP($A103,'ПР 01-02.22'!$A$11:$BB$378,21,FALSE)</f>
        <v>0</v>
      </c>
      <c r="V103" s="5"/>
      <c r="W103" s="5">
        <f>VLOOKUP($A103,'ПР 01-02.21'!$A$11:$BB$406,23,FALSE)+VLOOKUP($A103,'ПР 21-22'!$A$11:$BB$406,23,FALSE)-VLOOKUP($A103,'ПР 01-02.22'!$A$11:$BB$378,23,FALSE)</f>
        <v>0</v>
      </c>
      <c r="X103" s="5">
        <f>VLOOKUP($A103,'ПР 01-02.21'!$A$11:$BB$406,24,FALSE)+VLOOKUP($A103,'ПР 21-22'!$A$11:$BB$406,24,FALSE)-VLOOKUP($A103,'ПР 01-02.22'!$A$11:$BB$378,24,FALSE)</f>
        <v>0</v>
      </c>
      <c r="Y103" s="5">
        <f>VLOOKUP($A103,'ПР 01-02.21'!$A$11:$BB$406,25,FALSE)+VLOOKUP($A103,'ПР 21-22'!$A$11:$BB$406,25,FALSE)-VLOOKUP($A103,'ПР 01-02.22'!$A$11:$BB$378,25,FALSE)</f>
        <v>0</v>
      </c>
      <c r="Z103" s="5"/>
      <c r="AA103" s="5">
        <f>VLOOKUP($A103,'ПР 01-02.21'!$A$11:$BB$406,27,FALSE)+VLOOKUP($A103,'ПР 21-22'!$A$11:$BB$406,27,FALSE)-VLOOKUP($A103,'ПР 01-02.22'!$A$11:$BB$378,27,FALSE)</f>
        <v>0</v>
      </c>
      <c r="AB103" s="5">
        <f>VLOOKUP($A103,'ПР 01-02.21'!$A$11:$BB$406,28,FALSE)+VLOOKUP($A103,'ПР 21-22'!$A$11:$BB$406,28,FALSE)-VLOOKUP($A103,'ПР 01-02.22'!$A$11:$BB$378,28,FALSE)</f>
        <v>0</v>
      </c>
      <c r="AC103" s="5">
        <f>VLOOKUP($A103,'ПР 01-02.21'!$A$11:$BB$406,29,FALSE)+VLOOKUP($A103,'ПР 21-22'!$A$11:$BB$406,29,FALSE)-VLOOKUP($A103,'ПР 01-02.22'!$A$11:$BB$378,29,FALSE)</f>
        <v>879</v>
      </c>
      <c r="AD103" s="5">
        <f>VLOOKUP($A103,'ПР 01-02.21'!$A$11:$BB$406,30,FALSE)+VLOOKUP($A103,'ПР 21-22'!$A$11:$BB$406,30,FALSE)-VLOOKUP($A103,'ПР 01-02.22'!$A$11:$BB$378,30,FALSE)</f>
        <v>711</v>
      </c>
      <c r="AE103" s="5">
        <f>VLOOKUP($A103,'ПР 01-02.21'!$A$11:$BB$406,31,FALSE)+VLOOKUP($A103,'ПР 21-22'!$A$11:$BB$406,31,FALSE)-VLOOKUP($A103,'ПР 01-02.22'!$A$11:$BB$378,31,FALSE)</f>
        <v>3160.0991135531358</v>
      </c>
      <c r="AF103" s="5">
        <f>VLOOKUP($A103,'ПР 01-02.21'!$A$11:$BB$406,32,FALSE)+VLOOKUP($A103,'ПР 21-22'!$A$11:$BB$406,32,FALSE)-VLOOKUP($A103,'ПР 01-02.22'!$A$11:$BB$378,32,FALSE)</f>
        <v>1110</v>
      </c>
      <c r="AG103" s="40"/>
      <c r="AH103" s="5">
        <f>VLOOKUP($A103,'ПР 01-02.21'!$A$11:$BB$406,34,FALSE)+VLOOKUP($A103,'ПР 21-22'!$A$11:$BB$406,34,FALSE)-VLOOKUP($A103,'ПР 01-02.22'!$A$11:$BB$378,34,FALSE)</f>
        <v>4378.3357558792004</v>
      </c>
      <c r="AI103" s="5">
        <f>VLOOKUP($A103,'ПР 01-02.21'!$A$11:$BB$406,35,FALSE)+VLOOKUP($A103,'ПР 21-22'!$A$11:$BB$406,35,FALSE)-VLOOKUP($A103,'ПР 01-02.22'!$A$11:$BB$378,35,FALSE)</f>
        <v>1079</v>
      </c>
      <c r="AJ103" s="40"/>
      <c r="AK103" s="5">
        <f>VLOOKUP($A103,'ПР 01-02.21'!$A$11:$BB$406,37,FALSE)+VLOOKUP($A103,'ПР 21-22'!$A$11:$BB$406,37,FALSE)-VLOOKUP($A103,'ПР 01-02.22'!$A$11:$BB$378,37,FALSE)</f>
        <v>2553.737862111615</v>
      </c>
      <c r="AL103" s="5">
        <f>VLOOKUP($A103,'ПР 01-02.21'!$A$11:$BB$406,38,FALSE)+VLOOKUP($A103,'ПР 21-22'!$A$11:$BB$406,38,FALSE)-VLOOKUP($A103,'ПР 01-02.22'!$A$11:$BB$378,38,FALSE)</f>
        <v>1595</v>
      </c>
      <c r="AM103" s="40"/>
      <c r="AN103" s="5">
        <f>VLOOKUP($A103,'ПР 01-02.21'!$A$11:$BB$406,40,FALSE)+VLOOKUP($A103,'ПР 21-22'!$A$11:$BB$406,40,FALSE)-VLOOKUP($A103,'ПР 01-02.22'!$A$11:$BB$378,40,FALSE)</f>
        <v>3127.5159194386429</v>
      </c>
      <c r="AO103" s="5">
        <f>VLOOKUP($A103,'ПР 01-02.21'!$A$11:$BB$406,41,FALSE)+VLOOKUP($A103,'ПР 21-22'!$A$11:$BB$406,41,FALSE)-VLOOKUP($A103,'ПР 01-02.22'!$A$11:$BB$378,41,FALSE)</f>
        <v>1126</v>
      </c>
      <c r="AP103" s="40"/>
      <c r="AQ103" s="5">
        <f>VLOOKUP($A103,'ПР 01-02.21'!$A$11:$BB$406,43,FALSE)+VLOOKUP($A103,'ПР 21-22'!$A$11:$BB$406,43,FALSE)-VLOOKUP($A103,'ПР 01-02.22'!$A$11:$BB$378,43,FALSE)</f>
        <v>1362.49771709895</v>
      </c>
      <c r="AR103" s="5">
        <f>VLOOKUP($A103,'ПР 01-02.21'!$A$11:$BB$406,44,FALSE)+VLOOKUP($A103,'ПР 21-22'!$A$11:$BB$406,44,FALSE)-VLOOKUP($A103,'ПР 01-02.22'!$A$11:$BB$378,44,FALSE)</f>
        <v>0</v>
      </c>
      <c r="AS103" s="40"/>
      <c r="AT103" s="5">
        <f>VLOOKUP($A103,'ПР 01-02.21'!$A$11:$BB$406,46,FALSE)+VLOOKUP($A103,'ПР 21-22'!$A$11:$BB$406,46,FALSE)-VLOOKUP($A103,'ПР 01-02.22'!$A$11:$BB$378,46,FALSE)</f>
        <v>1644.4998145064212</v>
      </c>
      <c r="AU103" s="5">
        <f>VLOOKUP($A103,'ПР 01-02.21'!$A$11:$BB$406,47,FALSE)+VLOOKUP($A103,'ПР 21-22'!$A$11:$BB$406,47,FALSE)-VLOOKUP($A103,'ПР 01-02.22'!$A$11:$BB$378,47,FALSE)</f>
        <v>0</v>
      </c>
      <c r="AV103" s="40"/>
      <c r="AW103" s="5">
        <f>VLOOKUP($A103,'ПР 01-02.21'!$A$11:$BB$406,49,FALSE)+VLOOKUP($A103,'ПР 21-22'!$A$11:$BB$406,49,FALSE)-VLOOKUP($A103,'ПР 01-02.22'!$A$11:$BB$378,49,FALSE)</f>
        <v>233.46799999999999</v>
      </c>
      <c r="AX103" s="5">
        <f>VLOOKUP($A103,'ПР 01-02.21'!$A$11:$BB$406,50,FALSE)+VLOOKUP($A103,'ПР 21-22'!$A$11:$BB$406,50,FALSE)-VLOOKUP($A103,'ПР 01-02.22'!$A$11:$BB$378,50,FALSE)</f>
        <v>0</v>
      </c>
      <c r="AY103" s="40"/>
      <c r="AZ103" s="40">
        <f t="shared" si="5"/>
        <v>16460.154182587965</v>
      </c>
      <c r="BA103" s="40">
        <f t="shared" si="5"/>
        <v>4910</v>
      </c>
      <c r="BB103" s="55">
        <f t="shared" si="8"/>
        <v>-11550.154182587965</v>
      </c>
      <c r="BD103" s="2">
        <v>3</v>
      </c>
      <c r="BF103" s="325">
        <v>150000660</v>
      </c>
    </row>
    <row r="104" spans="1:58" ht="24.9" customHeight="1" x14ac:dyDescent="0.3">
      <c r="A104" s="325">
        <v>150000597</v>
      </c>
      <c r="B104" s="445" t="s">
        <v>353</v>
      </c>
      <c r="C104" s="27">
        <v>9</v>
      </c>
      <c r="D104" s="101" t="s">
        <v>455</v>
      </c>
      <c r="E104" s="279">
        <f>'побудинковий звіт'!E102</f>
        <v>4715.25</v>
      </c>
      <c r="F104" s="441">
        <f>'побудинковий звіт'!AS102</f>
        <v>73858.391407184346</v>
      </c>
      <c r="G104" s="441">
        <f t="shared" si="6"/>
        <v>17892.02</v>
      </c>
      <c r="H104" s="73">
        <f t="shared" si="7"/>
        <v>-55966.371407184342</v>
      </c>
      <c r="I104" s="5">
        <f>VLOOKUP($A104,'ПР 01-02.21'!$A$11:$BB$406,9,FALSE)+VLOOKUP($A104,'ПР 21-22'!$A$11:$BB$406,9,FALSE)-VLOOKUP($A104,'ПР 01-02.22'!$A$11:$BB$378,9,FALSE)</f>
        <v>0</v>
      </c>
      <c r="J104" s="5">
        <f>VLOOKUP($A104,'ПР 01-02.21'!$A$11:$BB$406,10,FALSE)+VLOOKUP($A104,'ПР 21-22'!$A$11:$BB$406,10,FALSE)-VLOOKUP($A104,'ПР 01-02.22'!$A$11:$BB$378,10,FALSE)</f>
        <v>0</v>
      </c>
      <c r="K104" s="446"/>
      <c r="L104" s="5">
        <f>VLOOKUP($A104,'ПР 01-02.21'!$A$11:$BB$406,12,FALSE)+VLOOKUP($A104,'ПР 21-22'!$A$11:$BB$406,12,FALSE)-VLOOKUP($A104,'ПР 01-02.22'!$A$11:$BB$378,12,FALSE)</f>
        <v>0</v>
      </c>
      <c r="M104" s="5">
        <f>VLOOKUP($A104,'ПР 01-02.21'!$A$11:$BB$406,13,FALSE)+VLOOKUP($A104,'ПР 21-22'!$A$11:$BB$406,13,FALSE)-VLOOKUP($A104,'ПР 01-02.22'!$A$11:$BB$378,13,FALSE)</f>
        <v>0</v>
      </c>
      <c r="N104" s="38"/>
      <c r="O104" s="5">
        <f>VLOOKUP($A104,'ПР 01-02.21'!$A$11:$BB$406,15,FALSE)+VLOOKUP($A104,'ПР 21-22'!$A$11:$BB$406,15,FALSE)-VLOOKUP($A104,'ПР 01-02.22'!$A$11:$BB$378,15,FALSE)</f>
        <v>0</v>
      </c>
      <c r="P104" s="5">
        <f>VLOOKUP($A104,'ПР 01-02.21'!$A$11:$BB$406,16,FALSE)+VLOOKUP($A104,'ПР 21-22'!$A$11:$BB$406,16,FALSE)-VLOOKUP($A104,'ПР 01-02.22'!$A$11:$BB$378,16,FALSE)</f>
        <v>0</v>
      </c>
      <c r="Q104" s="443"/>
      <c r="R104" s="5">
        <f>VLOOKUP($A104,'ПР 01-02.21'!$A$11:$BB$406,18,FALSE)+VLOOKUP($A104,'ПР 21-22'!$A$11:$BB$406,18,FALSE)-VLOOKUP($A104,'ПР 01-02.22'!$A$11:$BB$378,18,FALSE)</f>
        <v>4</v>
      </c>
      <c r="S104" s="5">
        <f>VLOOKUP($A104,'ПР 01-02.21'!$A$11:$BB$406,19,FALSE)+VLOOKUP($A104,'ПР 21-22'!$A$11:$BB$406,19,FALSE)-VLOOKUP($A104,'ПР 01-02.22'!$A$11:$BB$378,19,FALSE)</f>
        <v>15233.02</v>
      </c>
      <c r="T104" s="444"/>
      <c r="U104" s="5">
        <f>VLOOKUP($A104,'ПР 01-02.21'!$A$11:$BB$406,21,FALSE)+VLOOKUP($A104,'ПР 21-22'!$A$11:$BB$406,21,FALSE)-VLOOKUP($A104,'ПР 01-02.22'!$A$11:$BB$378,21,FALSE)</f>
        <v>0</v>
      </c>
      <c r="V104" s="5"/>
      <c r="W104" s="5">
        <f>VLOOKUP($A104,'ПР 01-02.21'!$A$11:$BB$406,23,FALSE)+VLOOKUP($A104,'ПР 21-22'!$A$11:$BB$406,23,FALSE)-VLOOKUP($A104,'ПР 01-02.22'!$A$11:$BB$378,23,FALSE)</f>
        <v>0</v>
      </c>
      <c r="X104" s="5">
        <f>VLOOKUP($A104,'ПР 01-02.21'!$A$11:$BB$406,24,FALSE)+VLOOKUP($A104,'ПР 21-22'!$A$11:$BB$406,24,FALSE)-VLOOKUP($A104,'ПР 01-02.22'!$A$11:$BB$378,24,FALSE)</f>
        <v>0</v>
      </c>
      <c r="Y104" s="5">
        <f>VLOOKUP($A104,'ПР 01-02.21'!$A$11:$BB$406,25,FALSE)+VLOOKUP($A104,'ПР 21-22'!$A$11:$BB$406,25,FALSE)-VLOOKUP($A104,'ПР 01-02.22'!$A$11:$BB$378,25,FALSE)</f>
        <v>209</v>
      </c>
      <c r="Z104" s="5"/>
      <c r="AA104" s="5">
        <f>VLOOKUP($A104,'ПР 01-02.21'!$A$11:$BB$406,27,FALSE)+VLOOKUP($A104,'ПР 21-22'!$A$11:$BB$406,27,FALSE)-VLOOKUP($A104,'ПР 01-02.22'!$A$11:$BB$378,27,FALSE)</f>
        <v>0</v>
      </c>
      <c r="AB104" s="5">
        <f>VLOOKUP($A104,'ПР 01-02.21'!$A$11:$BB$406,28,FALSE)+VLOOKUP($A104,'ПР 21-22'!$A$11:$BB$406,28,FALSE)-VLOOKUP($A104,'ПР 01-02.22'!$A$11:$BB$378,28,FALSE)</f>
        <v>0</v>
      </c>
      <c r="AC104" s="5">
        <f>VLOOKUP($A104,'ПР 01-02.21'!$A$11:$BB$406,29,FALSE)+VLOOKUP($A104,'ПР 21-22'!$A$11:$BB$406,29,FALSE)-VLOOKUP($A104,'ПР 01-02.22'!$A$11:$BB$378,29,FALSE)</f>
        <v>0</v>
      </c>
      <c r="AD104" s="5">
        <f>VLOOKUP($A104,'ПР 01-02.21'!$A$11:$BB$406,30,FALSE)+VLOOKUP($A104,'ПР 21-22'!$A$11:$BB$406,30,FALSE)-VLOOKUP($A104,'ПР 01-02.22'!$A$11:$BB$378,30,FALSE)</f>
        <v>2450</v>
      </c>
      <c r="AE104" s="5">
        <f>VLOOKUP($A104,'ПР 01-02.21'!$A$11:$BB$406,31,FALSE)+VLOOKUP($A104,'ПР 21-22'!$A$11:$BB$406,31,FALSE)-VLOOKUP($A104,'ПР 01-02.22'!$A$11:$BB$378,31,FALSE)</f>
        <v>2397.4842936391674</v>
      </c>
      <c r="AF104" s="5">
        <f>VLOOKUP($A104,'ПР 01-02.21'!$A$11:$BB$406,32,FALSE)+VLOOKUP($A104,'ПР 21-22'!$A$11:$BB$406,32,FALSE)-VLOOKUP($A104,'ПР 01-02.22'!$A$11:$BB$378,32,FALSE)</f>
        <v>1280</v>
      </c>
      <c r="AG104" s="40"/>
      <c r="AH104" s="5">
        <f>VLOOKUP($A104,'ПР 01-02.21'!$A$11:$BB$406,34,FALSE)+VLOOKUP($A104,'ПР 21-22'!$A$11:$BB$406,34,FALSE)-VLOOKUP($A104,'ПР 01-02.22'!$A$11:$BB$378,34,FALSE)</f>
        <v>2715.2291358102029</v>
      </c>
      <c r="AI104" s="5">
        <f>VLOOKUP($A104,'ПР 01-02.21'!$A$11:$BB$406,35,FALSE)+VLOOKUP($A104,'ПР 21-22'!$A$11:$BB$406,35,FALSE)-VLOOKUP($A104,'ПР 01-02.22'!$A$11:$BB$378,35,FALSE)</f>
        <v>6.5</v>
      </c>
      <c r="AJ104" s="40"/>
      <c r="AK104" s="5">
        <f>VLOOKUP($A104,'ПР 01-02.21'!$A$11:$BB$406,37,FALSE)+VLOOKUP($A104,'ПР 21-22'!$A$11:$BB$406,37,FALSE)-VLOOKUP($A104,'ПР 01-02.22'!$A$11:$BB$378,37,FALSE)</f>
        <v>851.56709768565611</v>
      </c>
      <c r="AL104" s="5">
        <f>VLOOKUP($A104,'ПР 01-02.21'!$A$11:$BB$406,38,FALSE)+VLOOKUP($A104,'ПР 21-22'!$A$11:$BB$406,38,FALSE)-VLOOKUP($A104,'ПР 01-02.22'!$A$11:$BB$378,38,FALSE)</f>
        <v>1044</v>
      </c>
      <c r="AM104" s="40"/>
      <c r="AN104" s="5">
        <f>VLOOKUP($A104,'ПР 01-02.21'!$A$11:$BB$406,40,FALSE)+VLOOKUP($A104,'ПР 21-22'!$A$11:$BB$406,40,FALSE)-VLOOKUP($A104,'ПР 01-02.22'!$A$11:$BB$378,40,FALSE)</f>
        <v>2771.2829209779784</v>
      </c>
      <c r="AO104" s="5">
        <f>VLOOKUP($A104,'ПР 01-02.21'!$A$11:$BB$406,41,FALSE)+VLOOKUP($A104,'ПР 21-22'!$A$11:$BB$406,41,FALSE)-VLOOKUP($A104,'ПР 01-02.22'!$A$11:$BB$378,41,FALSE)</f>
        <v>0</v>
      </c>
      <c r="AP104" s="40"/>
      <c r="AQ104" s="5">
        <f>VLOOKUP($A104,'ПР 01-02.21'!$A$11:$BB$406,43,FALSE)+VLOOKUP($A104,'ПР 21-22'!$A$11:$BB$406,43,FALSE)-VLOOKUP($A104,'ПР 01-02.22'!$A$11:$BB$378,43,FALSE)</f>
        <v>1137.1966317518677</v>
      </c>
      <c r="AR104" s="5">
        <f>VLOOKUP($A104,'ПР 01-02.21'!$A$11:$BB$406,44,FALSE)+VLOOKUP($A104,'ПР 21-22'!$A$11:$BB$406,44,FALSE)-VLOOKUP($A104,'ПР 01-02.22'!$A$11:$BB$378,44,FALSE)</f>
        <v>0</v>
      </c>
      <c r="AS104" s="40"/>
      <c r="AT104" s="5">
        <f>VLOOKUP($A104,'ПР 01-02.21'!$A$11:$BB$406,46,FALSE)+VLOOKUP($A104,'ПР 21-22'!$A$11:$BB$406,46,FALSE)-VLOOKUP($A104,'ПР 01-02.22'!$A$11:$BB$378,46,FALSE)</f>
        <v>2249.8999866293148</v>
      </c>
      <c r="AU104" s="5">
        <f>VLOOKUP($A104,'ПР 01-02.21'!$A$11:$BB$406,47,FALSE)+VLOOKUP($A104,'ПР 21-22'!$A$11:$BB$406,47,FALSE)-VLOOKUP($A104,'ПР 01-02.22'!$A$11:$BB$378,47,FALSE)</f>
        <v>0</v>
      </c>
      <c r="AV104" s="40"/>
      <c r="AW104" s="5">
        <f>VLOOKUP($A104,'ПР 01-02.21'!$A$11:$BB$406,49,FALSE)+VLOOKUP($A104,'ПР 21-22'!$A$11:$BB$406,49,FALSE)-VLOOKUP($A104,'ПР 01-02.22'!$A$11:$BB$378,49,FALSE)</f>
        <v>494.92558215085381</v>
      </c>
      <c r="AX104" s="5">
        <f>VLOOKUP($A104,'ПР 01-02.21'!$A$11:$BB$406,50,FALSE)+VLOOKUP($A104,'ПР 21-22'!$A$11:$BB$406,50,FALSE)-VLOOKUP($A104,'ПР 01-02.22'!$A$11:$BB$378,50,FALSE)</f>
        <v>0</v>
      </c>
      <c r="AY104" s="40"/>
      <c r="AZ104" s="40">
        <f t="shared" si="5"/>
        <v>12617.585648645039</v>
      </c>
      <c r="BA104" s="40">
        <f t="shared" si="5"/>
        <v>2330.5</v>
      </c>
      <c r="BB104" s="55">
        <f t="shared" si="8"/>
        <v>-10287.085648645039</v>
      </c>
      <c r="BD104" s="2">
        <v>1</v>
      </c>
      <c r="BF104" s="325">
        <v>150000597</v>
      </c>
    </row>
    <row r="105" spans="1:58" ht="24.9" customHeight="1" x14ac:dyDescent="0.3">
      <c r="A105" s="325">
        <v>150000598</v>
      </c>
      <c r="B105" s="445" t="s">
        <v>77</v>
      </c>
      <c r="C105" s="27">
        <v>1</v>
      </c>
      <c r="D105" s="101" t="s">
        <v>455</v>
      </c>
      <c r="E105" s="279">
        <f>'побудинковий звіт'!E103</f>
        <v>258.5</v>
      </c>
      <c r="F105" s="441">
        <f>'побудинковий звіт'!AS103</f>
        <v>2281.3487054735069</v>
      </c>
      <c r="G105" s="441">
        <f t="shared" si="6"/>
        <v>4137</v>
      </c>
      <c r="H105" s="73">
        <f t="shared" si="7"/>
        <v>1855.6512945264931</v>
      </c>
      <c r="I105" s="5">
        <f>VLOOKUP($A105,'ПР 01-02.21'!$A$11:$BB$406,9,FALSE)+VLOOKUP($A105,'ПР 21-22'!$A$11:$BB$406,9,FALSE)-VLOOKUP($A105,'ПР 01-02.22'!$A$11:$BB$378,9,FALSE)</f>
        <v>0</v>
      </c>
      <c r="J105" s="5">
        <f>VLOOKUP($A105,'ПР 01-02.21'!$A$11:$BB$406,10,FALSE)+VLOOKUP($A105,'ПР 21-22'!$A$11:$BB$406,10,FALSE)-VLOOKUP($A105,'ПР 01-02.22'!$A$11:$BB$378,10,FALSE)</f>
        <v>0</v>
      </c>
      <c r="K105" s="446"/>
      <c r="L105" s="5">
        <f>VLOOKUP($A105,'ПР 01-02.21'!$A$11:$BB$406,12,FALSE)+VLOOKUP($A105,'ПР 21-22'!$A$11:$BB$406,12,FALSE)-VLOOKUP($A105,'ПР 01-02.22'!$A$11:$BB$378,12,FALSE)</f>
        <v>0</v>
      </c>
      <c r="M105" s="5">
        <f>VLOOKUP($A105,'ПР 01-02.21'!$A$11:$BB$406,13,FALSE)+VLOOKUP($A105,'ПР 21-22'!$A$11:$BB$406,13,FALSE)-VLOOKUP($A105,'ПР 01-02.22'!$A$11:$BB$378,13,FALSE)</f>
        <v>0</v>
      </c>
      <c r="N105" s="38"/>
      <c r="O105" s="5">
        <f>VLOOKUP($A105,'ПР 01-02.21'!$A$11:$BB$406,15,FALSE)+VLOOKUP($A105,'ПР 21-22'!$A$11:$BB$406,15,FALSE)-VLOOKUP($A105,'ПР 01-02.22'!$A$11:$BB$378,15,FALSE)</f>
        <v>0</v>
      </c>
      <c r="P105" s="5">
        <f>VLOOKUP($A105,'ПР 01-02.21'!$A$11:$BB$406,16,FALSE)+VLOOKUP($A105,'ПР 21-22'!$A$11:$BB$406,16,FALSE)-VLOOKUP($A105,'ПР 01-02.22'!$A$11:$BB$378,16,FALSE)</f>
        <v>0</v>
      </c>
      <c r="Q105" s="443"/>
      <c r="R105" s="5">
        <f>VLOOKUP($A105,'ПР 01-02.21'!$A$11:$BB$406,18,FALSE)+VLOOKUP($A105,'ПР 21-22'!$A$11:$BB$406,18,FALSE)-VLOOKUP($A105,'ПР 01-02.22'!$A$11:$BB$378,18,FALSE)</f>
        <v>0</v>
      </c>
      <c r="S105" s="5">
        <f>VLOOKUP($A105,'ПР 01-02.21'!$A$11:$BB$406,19,FALSE)+VLOOKUP($A105,'ПР 21-22'!$A$11:$BB$406,19,FALSE)-VLOOKUP($A105,'ПР 01-02.22'!$A$11:$BB$378,19,FALSE)</f>
        <v>0</v>
      </c>
      <c r="T105" s="444"/>
      <c r="U105" s="5">
        <f>VLOOKUP($A105,'ПР 01-02.21'!$A$11:$BB$406,21,FALSE)+VLOOKUP($A105,'ПР 21-22'!$A$11:$BB$406,21,FALSE)-VLOOKUP($A105,'ПР 01-02.22'!$A$11:$BB$378,21,FALSE)</f>
        <v>0</v>
      </c>
      <c r="V105" s="5"/>
      <c r="W105" s="5">
        <f>VLOOKUP($A105,'ПР 01-02.21'!$A$11:$BB$406,23,FALSE)+VLOOKUP($A105,'ПР 21-22'!$A$11:$BB$406,23,FALSE)-VLOOKUP($A105,'ПР 01-02.22'!$A$11:$BB$378,23,FALSE)</f>
        <v>0</v>
      </c>
      <c r="X105" s="5">
        <f>VLOOKUP($A105,'ПР 01-02.21'!$A$11:$BB$406,24,FALSE)+VLOOKUP($A105,'ПР 21-22'!$A$11:$BB$406,24,FALSE)-VLOOKUP($A105,'ПР 01-02.22'!$A$11:$BB$378,24,FALSE)</f>
        <v>0</v>
      </c>
      <c r="Y105" s="5">
        <f>VLOOKUP($A105,'ПР 01-02.21'!$A$11:$BB$406,25,FALSE)+VLOOKUP($A105,'ПР 21-22'!$A$11:$BB$406,25,FALSE)-VLOOKUP($A105,'ПР 01-02.22'!$A$11:$BB$378,25,FALSE)</f>
        <v>0</v>
      </c>
      <c r="Z105" s="5"/>
      <c r="AA105" s="5">
        <f>VLOOKUP($A105,'ПР 01-02.21'!$A$11:$BB$406,27,FALSE)+VLOOKUP($A105,'ПР 21-22'!$A$11:$BB$406,27,FALSE)-VLOOKUP($A105,'ПР 01-02.22'!$A$11:$BB$378,27,FALSE)</f>
        <v>0</v>
      </c>
      <c r="AB105" s="5">
        <f>VLOOKUP($A105,'ПР 01-02.21'!$A$11:$BB$406,28,FALSE)+VLOOKUP($A105,'ПР 21-22'!$A$11:$BB$406,28,FALSE)-VLOOKUP($A105,'ПР 01-02.22'!$A$11:$BB$378,28,FALSE)</f>
        <v>0</v>
      </c>
      <c r="AC105" s="5">
        <f>VLOOKUP($A105,'ПР 01-02.21'!$A$11:$BB$406,29,FALSE)+VLOOKUP($A105,'ПР 21-22'!$A$11:$BB$406,29,FALSE)-VLOOKUP($A105,'ПР 01-02.22'!$A$11:$BB$378,29,FALSE)</f>
        <v>0</v>
      </c>
      <c r="AD105" s="5">
        <f>VLOOKUP($A105,'ПР 01-02.21'!$A$11:$BB$406,30,FALSE)+VLOOKUP($A105,'ПР 21-22'!$A$11:$BB$406,30,FALSE)-VLOOKUP($A105,'ПР 01-02.22'!$A$11:$BB$378,30,FALSE)</f>
        <v>4137</v>
      </c>
      <c r="AE105" s="5">
        <f>VLOOKUP($A105,'ПР 01-02.21'!$A$11:$BB$406,31,FALSE)+VLOOKUP($A105,'ПР 21-22'!$A$11:$BB$406,31,FALSE)-VLOOKUP($A105,'ПР 01-02.22'!$A$11:$BB$378,31,FALSE)</f>
        <v>14.643333204538944</v>
      </c>
      <c r="AF105" s="5">
        <f>VLOOKUP($A105,'ПР 01-02.21'!$A$11:$BB$406,32,FALSE)+VLOOKUP($A105,'ПР 21-22'!$A$11:$BB$406,32,FALSE)-VLOOKUP($A105,'ПР 01-02.22'!$A$11:$BB$378,32,FALSE)</f>
        <v>0</v>
      </c>
      <c r="AG105" s="40"/>
      <c r="AH105" s="5">
        <f>VLOOKUP($A105,'ПР 01-02.21'!$A$11:$BB$406,34,FALSE)+VLOOKUP($A105,'ПР 21-22'!$A$11:$BB$406,34,FALSE)-VLOOKUP($A105,'ПР 01-02.22'!$A$11:$BB$378,34,FALSE)</f>
        <v>0</v>
      </c>
      <c r="AI105" s="5">
        <f>VLOOKUP($A105,'ПР 01-02.21'!$A$11:$BB$406,35,FALSE)+VLOOKUP($A105,'ПР 21-22'!$A$11:$BB$406,35,FALSE)-VLOOKUP($A105,'ПР 01-02.22'!$A$11:$BB$378,35,FALSE)</f>
        <v>0</v>
      </c>
      <c r="AJ105" s="40"/>
      <c r="AK105" s="5">
        <f>VLOOKUP($A105,'ПР 01-02.21'!$A$11:$BB$406,37,FALSE)+VLOOKUP($A105,'ПР 21-22'!$A$11:$BB$406,37,FALSE)-VLOOKUP($A105,'ПР 01-02.22'!$A$11:$BB$378,37,FALSE)</f>
        <v>0</v>
      </c>
      <c r="AL105" s="5">
        <f>VLOOKUP($A105,'ПР 01-02.21'!$A$11:$BB$406,38,FALSE)+VLOOKUP($A105,'ПР 21-22'!$A$11:$BB$406,38,FALSE)-VLOOKUP($A105,'ПР 01-02.22'!$A$11:$BB$378,38,FALSE)</f>
        <v>0</v>
      </c>
      <c r="AM105" s="40"/>
      <c r="AN105" s="5">
        <f>VLOOKUP($A105,'ПР 01-02.21'!$A$11:$BB$406,40,FALSE)+VLOOKUP($A105,'ПР 21-22'!$A$11:$BB$406,40,FALSE)-VLOOKUP($A105,'ПР 01-02.22'!$A$11:$BB$378,40,FALSE)</f>
        <v>0</v>
      </c>
      <c r="AO105" s="5">
        <f>VLOOKUP($A105,'ПР 01-02.21'!$A$11:$BB$406,41,FALSE)+VLOOKUP($A105,'ПР 21-22'!$A$11:$BB$406,41,FALSE)-VLOOKUP($A105,'ПР 01-02.22'!$A$11:$BB$378,41,FALSE)</f>
        <v>0</v>
      </c>
      <c r="AP105" s="40"/>
      <c r="AQ105" s="5">
        <f>VLOOKUP($A105,'ПР 01-02.21'!$A$11:$BB$406,43,FALSE)+VLOOKUP($A105,'ПР 21-22'!$A$11:$BB$406,43,FALSE)-VLOOKUP($A105,'ПР 01-02.22'!$A$11:$BB$378,43,FALSE)</f>
        <v>0</v>
      </c>
      <c r="AR105" s="5">
        <f>VLOOKUP($A105,'ПР 01-02.21'!$A$11:$BB$406,44,FALSE)+VLOOKUP($A105,'ПР 21-22'!$A$11:$BB$406,44,FALSE)-VLOOKUP($A105,'ПР 01-02.22'!$A$11:$BB$378,44,FALSE)</f>
        <v>0</v>
      </c>
      <c r="AS105" s="40"/>
      <c r="AT105" s="5">
        <f>VLOOKUP($A105,'ПР 01-02.21'!$A$11:$BB$406,46,FALSE)+VLOOKUP($A105,'ПР 21-22'!$A$11:$BB$406,46,FALSE)-VLOOKUP($A105,'ПР 01-02.22'!$A$11:$BB$378,46,FALSE)</f>
        <v>0</v>
      </c>
      <c r="AU105" s="5">
        <f>VLOOKUP($A105,'ПР 01-02.21'!$A$11:$BB$406,47,FALSE)+VLOOKUP($A105,'ПР 21-22'!$A$11:$BB$406,47,FALSE)-VLOOKUP($A105,'ПР 01-02.22'!$A$11:$BB$378,47,FALSE)</f>
        <v>0</v>
      </c>
      <c r="AV105" s="40"/>
      <c r="AW105" s="5">
        <f>VLOOKUP($A105,'ПР 01-02.21'!$A$11:$BB$406,49,FALSE)+VLOOKUP($A105,'ПР 21-22'!$A$11:$BB$406,49,FALSE)-VLOOKUP($A105,'ПР 01-02.22'!$A$11:$BB$378,49,FALSE)</f>
        <v>19.948518041439009</v>
      </c>
      <c r="AX105" s="5">
        <f>VLOOKUP($A105,'ПР 01-02.21'!$A$11:$BB$406,50,FALSE)+VLOOKUP($A105,'ПР 21-22'!$A$11:$BB$406,50,FALSE)-VLOOKUP($A105,'ПР 01-02.22'!$A$11:$BB$378,50,FALSE)</f>
        <v>0</v>
      </c>
      <c r="AY105" s="40"/>
      <c r="AZ105" s="40">
        <f t="shared" si="5"/>
        <v>34.591851245977949</v>
      </c>
      <c r="BA105" s="40">
        <f t="shared" si="5"/>
        <v>0</v>
      </c>
      <c r="BB105" s="55">
        <f t="shared" si="8"/>
        <v>-34.591851245977949</v>
      </c>
      <c r="BD105" s="2">
        <v>1</v>
      </c>
      <c r="BF105" s="325">
        <v>150000598</v>
      </c>
    </row>
    <row r="106" spans="1:58" ht="24.9" customHeight="1" x14ac:dyDescent="0.3">
      <c r="A106" s="325">
        <v>150000592</v>
      </c>
      <c r="B106" s="445" t="s">
        <v>354</v>
      </c>
      <c r="C106" s="27">
        <v>9</v>
      </c>
      <c r="D106" s="101" t="s">
        <v>455</v>
      </c>
      <c r="E106" s="279">
        <f>'побудинковий звіт'!E104</f>
        <v>9737.7999999999993</v>
      </c>
      <c r="F106" s="441">
        <f>'побудинковий звіт'!AS104</f>
        <v>135296.45721346594</v>
      </c>
      <c r="G106" s="441">
        <f t="shared" si="6"/>
        <v>142957.61638692231</v>
      </c>
      <c r="H106" s="73">
        <f t="shared" si="7"/>
        <v>7661.1591734563699</v>
      </c>
      <c r="I106" s="5">
        <f>VLOOKUP($A106,'ПР 01-02.21'!$A$11:$BB$406,9,FALSE)+VLOOKUP($A106,'ПР 21-22'!$A$11:$BB$406,9,FALSE)-VLOOKUP($A106,'ПР 01-02.22'!$A$11:$BB$378,9,FALSE)</f>
        <v>86.7</v>
      </c>
      <c r="J106" s="5">
        <f>VLOOKUP($A106,'ПР 01-02.21'!$A$11:$BB$406,10,FALSE)+VLOOKUP($A106,'ПР 21-22'!$A$11:$BB$406,10,FALSE)-VLOOKUP($A106,'ПР 01-02.22'!$A$11:$BB$378,10,FALSE)</f>
        <v>17378</v>
      </c>
      <c r="K106" s="453"/>
      <c r="L106" s="5">
        <f>VLOOKUP($A106,'ПР 01-02.21'!$A$11:$BB$406,12,FALSE)+VLOOKUP($A106,'ПР 21-22'!$A$11:$BB$406,12,FALSE)-VLOOKUP($A106,'ПР 01-02.22'!$A$11:$BB$378,12,FALSE)</f>
        <v>0</v>
      </c>
      <c r="M106" s="5">
        <f>VLOOKUP($A106,'ПР 01-02.21'!$A$11:$BB$406,13,FALSE)+VLOOKUP($A106,'ПР 21-22'!$A$11:$BB$406,13,FALSE)-VLOOKUP($A106,'ПР 01-02.22'!$A$11:$BB$378,13,FALSE)</f>
        <v>0</v>
      </c>
      <c r="N106" s="38"/>
      <c r="O106" s="5">
        <f>VLOOKUP($A106,'ПР 01-02.21'!$A$11:$BB$406,15,FALSE)+VLOOKUP($A106,'ПР 21-22'!$A$11:$BB$406,15,FALSE)-VLOOKUP($A106,'ПР 01-02.22'!$A$11:$BB$378,15,FALSE)</f>
        <v>132</v>
      </c>
      <c r="P106" s="5">
        <f>VLOOKUP($A106,'ПР 01-02.21'!$A$11:$BB$406,16,FALSE)+VLOOKUP($A106,'ПР 21-22'!$A$11:$BB$406,16,FALSE)-VLOOKUP($A106,'ПР 01-02.22'!$A$11:$BB$378,16,FALSE)</f>
        <v>29045</v>
      </c>
      <c r="Q106" s="443"/>
      <c r="R106" s="5">
        <f>VLOOKUP($A106,'ПР 01-02.21'!$A$11:$BB$406,18,FALSE)+VLOOKUP($A106,'ПР 21-22'!$A$11:$BB$406,18,FALSE)-VLOOKUP($A106,'ПР 01-02.22'!$A$11:$BB$378,18,FALSE)</f>
        <v>5</v>
      </c>
      <c r="S106" s="5">
        <f>VLOOKUP($A106,'ПР 01-02.21'!$A$11:$BB$406,19,FALSE)+VLOOKUP($A106,'ПР 21-22'!$A$11:$BB$406,19,FALSE)-VLOOKUP($A106,'ПР 01-02.22'!$A$11:$BB$378,19,FALSE)</f>
        <v>74551</v>
      </c>
      <c r="T106" s="444"/>
      <c r="U106" s="5">
        <f>VLOOKUP($A106,'ПР 01-02.21'!$A$11:$BB$406,21,FALSE)+VLOOKUP($A106,'ПР 21-22'!$A$11:$BB$406,21,FALSE)-VLOOKUP($A106,'ПР 01-02.22'!$A$11:$BB$378,21,FALSE)</f>
        <v>0</v>
      </c>
      <c r="V106" s="5"/>
      <c r="W106" s="5">
        <f>VLOOKUP($A106,'ПР 01-02.21'!$A$11:$BB$406,23,FALSE)+VLOOKUP($A106,'ПР 21-22'!$A$11:$BB$406,23,FALSE)-VLOOKUP($A106,'ПР 01-02.22'!$A$11:$BB$378,23,FALSE)</f>
        <v>13</v>
      </c>
      <c r="X106" s="5">
        <f>VLOOKUP($A106,'ПР 01-02.21'!$A$11:$BB$406,24,FALSE)+VLOOKUP($A106,'ПР 21-22'!$A$11:$BB$406,24,FALSE)-VLOOKUP($A106,'ПР 01-02.22'!$A$11:$BB$378,24,FALSE)</f>
        <v>3081.986386922305</v>
      </c>
      <c r="Y106" s="5">
        <f>VLOOKUP($A106,'ПР 01-02.21'!$A$11:$BB$406,25,FALSE)+VLOOKUP($A106,'ПР 21-22'!$A$11:$BB$406,25,FALSE)-VLOOKUP($A106,'ПР 01-02.22'!$A$11:$BB$378,25,FALSE)</f>
        <v>3040</v>
      </c>
      <c r="Z106" s="5"/>
      <c r="AA106" s="5">
        <f>VLOOKUP($A106,'ПР 01-02.21'!$A$11:$BB$406,27,FALSE)+VLOOKUP($A106,'ПР 21-22'!$A$11:$BB$406,27,FALSE)-VLOOKUP($A106,'ПР 01-02.22'!$A$11:$BB$378,27,FALSE)</f>
        <v>0</v>
      </c>
      <c r="AB106" s="5">
        <f>VLOOKUP($A106,'ПР 01-02.21'!$A$11:$BB$406,28,FALSE)+VLOOKUP($A106,'ПР 21-22'!$A$11:$BB$406,28,FALSE)-VLOOKUP($A106,'ПР 01-02.22'!$A$11:$BB$378,28,FALSE)</f>
        <v>2740</v>
      </c>
      <c r="AC106" s="5">
        <f>VLOOKUP($A106,'ПР 01-02.21'!$A$11:$BB$406,29,FALSE)+VLOOKUP($A106,'ПР 21-22'!$A$11:$BB$406,29,FALSE)-VLOOKUP($A106,'ПР 01-02.22'!$A$11:$BB$378,29,FALSE)</f>
        <v>937</v>
      </c>
      <c r="AD106" s="5">
        <f>VLOOKUP($A106,'ПР 01-02.21'!$A$11:$BB$406,30,FALSE)+VLOOKUP($A106,'ПР 21-22'!$A$11:$BB$406,30,FALSE)-VLOOKUP($A106,'ПР 01-02.22'!$A$11:$BB$378,30,FALSE)</f>
        <v>12184.630000000001</v>
      </c>
      <c r="AE106" s="5">
        <f>VLOOKUP($A106,'ПР 01-02.21'!$A$11:$BB$406,31,FALSE)+VLOOKUP($A106,'ПР 21-22'!$A$11:$BB$406,31,FALSE)-VLOOKUP($A106,'ПР 01-02.22'!$A$11:$BB$378,31,FALSE)</f>
        <v>4718.1566366600737</v>
      </c>
      <c r="AF106" s="5">
        <f>VLOOKUP($A106,'ПР 01-02.21'!$A$11:$BB$406,32,FALSE)+VLOOKUP($A106,'ПР 21-22'!$A$11:$BB$406,32,FALSE)-VLOOKUP($A106,'ПР 01-02.22'!$A$11:$BB$378,32,FALSE)</f>
        <v>1368.58</v>
      </c>
      <c r="AG106" s="40"/>
      <c r="AH106" s="5">
        <f>VLOOKUP($A106,'ПР 01-02.21'!$A$11:$BB$406,34,FALSE)+VLOOKUP($A106,'ПР 21-22'!$A$11:$BB$406,34,FALSE)-VLOOKUP($A106,'ПР 01-02.22'!$A$11:$BB$378,34,FALSE)</f>
        <v>5450.5394710047431</v>
      </c>
      <c r="AI106" s="5">
        <f>VLOOKUP($A106,'ПР 01-02.21'!$A$11:$BB$406,35,FALSE)+VLOOKUP($A106,'ПР 21-22'!$A$11:$BB$406,35,FALSE)-VLOOKUP($A106,'ПР 01-02.22'!$A$11:$BB$378,35,FALSE)</f>
        <v>12284</v>
      </c>
      <c r="AJ106" s="40"/>
      <c r="AK106" s="5">
        <f>VLOOKUP($A106,'ПР 01-02.21'!$A$11:$BB$406,37,FALSE)+VLOOKUP($A106,'ПР 21-22'!$A$11:$BB$406,37,FALSE)-VLOOKUP($A106,'ПР 01-02.22'!$A$11:$BB$378,37,FALSE)</f>
        <v>2980.8402936257344</v>
      </c>
      <c r="AL106" s="5">
        <f>VLOOKUP($A106,'ПР 01-02.21'!$A$11:$BB$406,38,FALSE)+VLOOKUP($A106,'ПР 21-22'!$A$11:$BB$406,38,FALSE)-VLOOKUP($A106,'ПР 01-02.22'!$A$11:$BB$378,38,FALSE)</f>
        <v>323</v>
      </c>
      <c r="AM106" s="40"/>
      <c r="AN106" s="5">
        <f>VLOOKUP($A106,'ПР 01-02.21'!$A$11:$BB$406,40,FALSE)+VLOOKUP($A106,'ПР 21-22'!$A$11:$BB$406,40,FALSE)-VLOOKUP($A106,'ПР 01-02.22'!$A$11:$BB$378,40,FALSE)</f>
        <v>5495.5433378555099</v>
      </c>
      <c r="AO106" s="5">
        <f>VLOOKUP($A106,'ПР 01-02.21'!$A$11:$BB$406,41,FALSE)+VLOOKUP($A106,'ПР 21-22'!$A$11:$BB$406,41,FALSE)-VLOOKUP($A106,'ПР 01-02.22'!$A$11:$BB$378,41,FALSE)</f>
        <v>0</v>
      </c>
      <c r="AP106" s="40"/>
      <c r="AQ106" s="5">
        <f>VLOOKUP($A106,'ПР 01-02.21'!$A$11:$BB$406,43,FALSE)+VLOOKUP($A106,'ПР 21-22'!$A$11:$BB$406,43,FALSE)-VLOOKUP($A106,'ПР 01-02.22'!$A$11:$BB$378,43,FALSE)</f>
        <v>6992.6745771799269</v>
      </c>
      <c r="AR106" s="5">
        <f>VLOOKUP($A106,'ПР 01-02.21'!$A$11:$BB$406,44,FALSE)+VLOOKUP($A106,'ПР 21-22'!$A$11:$BB$406,44,FALSE)-VLOOKUP($A106,'ПР 01-02.22'!$A$11:$BB$378,44,FALSE)</f>
        <v>2803</v>
      </c>
      <c r="AS106" s="40"/>
      <c r="AT106" s="5">
        <f>VLOOKUP($A106,'ПР 01-02.21'!$A$11:$BB$406,46,FALSE)+VLOOKUP($A106,'ПР 21-22'!$A$11:$BB$406,46,FALSE)-VLOOKUP($A106,'ПР 01-02.22'!$A$11:$BB$378,46,FALSE)</f>
        <v>5682.8320669585419</v>
      </c>
      <c r="AU106" s="5">
        <f>VLOOKUP($A106,'ПР 01-02.21'!$A$11:$BB$406,47,FALSE)+VLOOKUP($A106,'ПР 21-22'!$A$11:$BB$406,47,FALSE)-VLOOKUP($A106,'ПР 01-02.22'!$A$11:$BB$378,47,FALSE)</f>
        <v>853</v>
      </c>
      <c r="AV106" s="40"/>
      <c r="AW106" s="5">
        <f>VLOOKUP($A106,'ПР 01-02.21'!$A$11:$BB$406,49,FALSE)+VLOOKUP($A106,'ПР 21-22'!$A$11:$BB$406,49,FALSE)-VLOOKUP($A106,'ПР 01-02.22'!$A$11:$BB$378,49,FALSE)</f>
        <v>985.23312764392358</v>
      </c>
      <c r="AX106" s="5">
        <f>VLOOKUP($A106,'ПР 01-02.21'!$A$11:$BB$406,50,FALSE)+VLOOKUP($A106,'ПР 21-22'!$A$11:$BB$406,50,FALSE)-VLOOKUP($A106,'ПР 01-02.22'!$A$11:$BB$378,50,FALSE)</f>
        <v>0</v>
      </c>
      <c r="AY106" s="40"/>
      <c r="AZ106" s="40">
        <f t="shared" si="5"/>
        <v>32305.819510928457</v>
      </c>
      <c r="BA106" s="40">
        <f t="shared" si="5"/>
        <v>17631.580000000002</v>
      </c>
      <c r="BB106" s="55">
        <f t="shared" si="8"/>
        <v>-14674.239510928455</v>
      </c>
      <c r="BD106" s="2">
        <v>1</v>
      </c>
      <c r="BF106" s="325">
        <v>150000592</v>
      </c>
    </row>
    <row r="107" spans="1:58" ht="24.9" customHeight="1" x14ac:dyDescent="0.3">
      <c r="A107" s="325">
        <v>150000599</v>
      </c>
      <c r="B107" s="445" t="s">
        <v>78</v>
      </c>
      <c r="C107" s="27">
        <v>1</v>
      </c>
      <c r="D107" s="101" t="s">
        <v>455</v>
      </c>
      <c r="E107" s="279">
        <f>'побудинковий звіт'!E105</f>
        <v>250.4</v>
      </c>
      <c r="F107" s="441">
        <f>'побудинковий звіт'!AS105</f>
        <v>2712.2539501898377</v>
      </c>
      <c r="G107" s="441">
        <f t="shared" si="6"/>
        <v>2297</v>
      </c>
      <c r="H107" s="73">
        <f t="shared" si="7"/>
        <v>-415.25395018983772</v>
      </c>
      <c r="I107" s="5">
        <f>VLOOKUP($A107,'ПР 01-02.21'!$A$11:$BB$406,9,FALSE)+VLOOKUP($A107,'ПР 21-22'!$A$11:$BB$406,9,FALSE)-VLOOKUP($A107,'ПР 01-02.22'!$A$11:$BB$378,9,FALSE)</f>
        <v>0</v>
      </c>
      <c r="J107" s="5">
        <f>VLOOKUP($A107,'ПР 01-02.21'!$A$11:$BB$406,10,FALSE)+VLOOKUP($A107,'ПР 21-22'!$A$11:$BB$406,10,FALSE)-VLOOKUP($A107,'ПР 01-02.22'!$A$11:$BB$378,10,FALSE)</f>
        <v>0</v>
      </c>
      <c r="K107" s="446"/>
      <c r="L107" s="5">
        <f>VLOOKUP($A107,'ПР 01-02.21'!$A$11:$BB$406,12,FALSE)+VLOOKUP($A107,'ПР 21-22'!$A$11:$BB$406,12,FALSE)-VLOOKUP($A107,'ПР 01-02.22'!$A$11:$BB$378,12,FALSE)</f>
        <v>0</v>
      </c>
      <c r="M107" s="5">
        <f>VLOOKUP($A107,'ПР 01-02.21'!$A$11:$BB$406,13,FALSE)+VLOOKUP($A107,'ПР 21-22'!$A$11:$BB$406,13,FALSE)-VLOOKUP($A107,'ПР 01-02.22'!$A$11:$BB$378,13,FALSE)</f>
        <v>0</v>
      </c>
      <c r="N107" s="38"/>
      <c r="O107" s="5">
        <f>VLOOKUP($A107,'ПР 01-02.21'!$A$11:$BB$406,15,FALSE)+VLOOKUP($A107,'ПР 21-22'!$A$11:$BB$406,15,FALSE)-VLOOKUP($A107,'ПР 01-02.22'!$A$11:$BB$378,15,FALSE)</f>
        <v>0</v>
      </c>
      <c r="P107" s="5">
        <f>VLOOKUP($A107,'ПР 01-02.21'!$A$11:$BB$406,16,FALSE)+VLOOKUP($A107,'ПР 21-22'!$A$11:$BB$406,16,FALSE)-VLOOKUP($A107,'ПР 01-02.22'!$A$11:$BB$378,16,FALSE)</f>
        <v>0</v>
      </c>
      <c r="Q107" s="443"/>
      <c r="R107" s="5">
        <f>VLOOKUP($A107,'ПР 01-02.21'!$A$11:$BB$406,18,FALSE)+VLOOKUP($A107,'ПР 21-22'!$A$11:$BB$406,18,FALSE)-VLOOKUP($A107,'ПР 01-02.22'!$A$11:$BB$378,18,FALSE)</f>
        <v>0</v>
      </c>
      <c r="S107" s="5">
        <f>VLOOKUP($A107,'ПР 01-02.21'!$A$11:$BB$406,19,FALSE)+VLOOKUP($A107,'ПР 21-22'!$A$11:$BB$406,19,FALSE)-VLOOKUP($A107,'ПР 01-02.22'!$A$11:$BB$378,19,FALSE)</f>
        <v>0</v>
      </c>
      <c r="T107" s="444"/>
      <c r="U107" s="5">
        <f>VLOOKUP($A107,'ПР 01-02.21'!$A$11:$BB$406,21,FALSE)+VLOOKUP($A107,'ПР 21-22'!$A$11:$BB$406,21,FALSE)-VLOOKUP($A107,'ПР 01-02.22'!$A$11:$BB$378,21,FALSE)</f>
        <v>0</v>
      </c>
      <c r="V107" s="5"/>
      <c r="W107" s="5">
        <f>VLOOKUP($A107,'ПР 01-02.21'!$A$11:$BB$406,23,FALSE)+VLOOKUP($A107,'ПР 21-22'!$A$11:$BB$406,23,FALSE)-VLOOKUP($A107,'ПР 01-02.22'!$A$11:$BB$378,23,FALSE)</f>
        <v>0</v>
      </c>
      <c r="X107" s="5">
        <f>VLOOKUP($A107,'ПР 01-02.21'!$A$11:$BB$406,24,FALSE)+VLOOKUP($A107,'ПР 21-22'!$A$11:$BB$406,24,FALSE)-VLOOKUP($A107,'ПР 01-02.22'!$A$11:$BB$378,24,FALSE)</f>
        <v>0</v>
      </c>
      <c r="Y107" s="5">
        <f>VLOOKUP($A107,'ПР 01-02.21'!$A$11:$BB$406,25,FALSE)+VLOOKUP($A107,'ПР 21-22'!$A$11:$BB$406,25,FALSE)-VLOOKUP($A107,'ПР 01-02.22'!$A$11:$BB$378,25,FALSE)</f>
        <v>0</v>
      </c>
      <c r="Z107" s="5"/>
      <c r="AA107" s="5">
        <f>VLOOKUP($A107,'ПР 01-02.21'!$A$11:$BB$406,27,FALSE)+VLOOKUP($A107,'ПР 21-22'!$A$11:$BB$406,27,FALSE)-VLOOKUP($A107,'ПР 01-02.22'!$A$11:$BB$378,27,FALSE)</f>
        <v>0</v>
      </c>
      <c r="AB107" s="5">
        <f>VLOOKUP($A107,'ПР 01-02.21'!$A$11:$BB$406,28,FALSE)+VLOOKUP($A107,'ПР 21-22'!$A$11:$BB$406,28,FALSE)-VLOOKUP($A107,'ПР 01-02.22'!$A$11:$BB$378,28,FALSE)</f>
        <v>0</v>
      </c>
      <c r="AC107" s="5">
        <f>VLOOKUP($A107,'ПР 01-02.21'!$A$11:$BB$406,29,FALSE)+VLOOKUP($A107,'ПР 21-22'!$A$11:$BB$406,29,FALSE)-VLOOKUP($A107,'ПР 01-02.22'!$A$11:$BB$378,29,FALSE)</f>
        <v>0</v>
      </c>
      <c r="AD107" s="5">
        <f>VLOOKUP($A107,'ПР 01-02.21'!$A$11:$BB$406,30,FALSE)+VLOOKUP($A107,'ПР 21-22'!$A$11:$BB$406,30,FALSE)-VLOOKUP($A107,'ПР 01-02.22'!$A$11:$BB$378,30,FALSE)</f>
        <v>2297</v>
      </c>
      <c r="AE107" s="5">
        <f>VLOOKUP($A107,'ПР 01-02.21'!$A$11:$BB$406,31,FALSE)+VLOOKUP($A107,'ПР 21-22'!$A$11:$BB$406,31,FALSE)-VLOOKUP($A107,'ПР 01-02.22'!$A$11:$BB$378,31,FALSE)</f>
        <v>0</v>
      </c>
      <c r="AF107" s="5">
        <f>VLOOKUP($A107,'ПР 01-02.21'!$A$11:$BB$406,32,FALSE)+VLOOKUP($A107,'ПР 21-22'!$A$11:$BB$406,32,FALSE)-VLOOKUP($A107,'ПР 01-02.22'!$A$11:$BB$378,32,FALSE)</f>
        <v>0</v>
      </c>
      <c r="AG107" s="40"/>
      <c r="AH107" s="5">
        <f>VLOOKUP($A107,'ПР 01-02.21'!$A$11:$BB$406,34,FALSE)+VLOOKUP($A107,'ПР 21-22'!$A$11:$BB$406,34,FALSE)-VLOOKUP($A107,'ПР 01-02.22'!$A$11:$BB$378,34,FALSE)</f>
        <v>0</v>
      </c>
      <c r="AI107" s="5">
        <f>VLOOKUP($A107,'ПР 01-02.21'!$A$11:$BB$406,35,FALSE)+VLOOKUP($A107,'ПР 21-22'!$A$11:$BB$406,35,FALSE)-VLOOKUP($A107,'ПР 01-02.22'!$A$11:$BB$378,35,FALSE)</f>
        <v>0</v>
      </c>
      <c r="AJ107" s="40"/>
      <c r="AK107" s="5">
        <f>VLOOKUP($A107,'ПР 01-02.21'!$A$11:$BB$406,37,FALSE)+VLOOKUP($A107,'ПР 21-22'!$A$11:$BB$406,37,FALSE)-VLOOKUP($A107,'ПР 01-02.22'!$A$11:$BB$378,37,FALSE)</f>
        <v>0</v>
      </c>
      <c r="AL107" s="5">
        <f>VLOOKUP($A107,'ПР 01-02.21'!$A$11:$BB$406,38,FALSE)+VLOOKUP($A107,'ПР 21-22'!$A$11:$BB$406,38,FALSE)-VLOOKUP($A107,'ПР 01-02.22'!$A$11:$BB$378,38,FALSE)</f>
        <v>0</v>
      </c>
      <c r="AM107" s="40"/>
      <c r="AN107" s="5">
        <f>VLOOKUP($A107,'ПР 01-02.21'!$A$11:$BB$406,40,FALSE)+VLOOKUP($A107,'ПР 21-22'!$A$11:$BB$406,40,FALSE)-VLOOKUP($A107,'ПР 01-02.22'!$A$11:$BB$378,40,FALSE)</f>
        <v>0</v>
      </c>
      <c r="AO107" s="5">
        <f>VLOOKUP($A107,'ПР 01-02.21'!$A$11:$BB$406,41,FALSE)+VLOOKUP($A107,'ПР 21-22'!$A$11:$BB$406,41,FALSE)-VLOOKUP($A107,'ПР 01-02.22'!$A$11:$BB$378,41,FALSE)</f>
        <v>0</v>
      </c>
      <c r="AP107" s="40"/>
      <c r="AQ107" s="5">
        <f>VLOOKUP($A107,'ПР 01-02.21'!$A$11:$BB$406,43,FALSE)+VLOOKUP($A107,'ПР 21-22'!$A$11:$BB$406,43,FALSE)-VLOOKUP($A107,'ПР 01-02.22'!$A$11:$BB$378,43,FALSE)</f>
        <v>0</v>
      </c>
      <c r="AR107" s="5">
        <f>VLOOKUP($A107,'ПР 01-02.21'!$A$11:$BB$406,44,FALSE)+VLOOKUP($A107,'ПР 21-22'!$A$11:$BB$406,44,FALSE)-VLOOKUP($A107,'ПР 01-02.22'!$A$11:$BB$378,44,FALSE)</f>
        <v>0</v>
      </c>
      <c r="AS107" s="40"/>
      <c r="AT107" s="5">
        <f>VLOOKUP($A107,'ПР 01-02.21'!$A$11:$BB$406,46,FALSE)+VLOOKUP($A107,'ПР 21-22'!$A$11:$BB$406,46,FALSE)-VLOOKUP($A107,'ПР 01-02.22'!$A$11:$BB$378,46,FALSE)</f>
        <v>0</v>
      </c>
      <c r="AU107" s="5">
        <f>VLOOKUP($A107,'ПР 01-02.21'!$A$11:$BB$406,47,FALSE)+VLOOKUP($A107,'ПР 21-22'!$A$11:$BB$406,47,FALSE)-VLOOKUP($A107,'ПР 01-02.22'!$A$11:$BB$378,47,FALSE)</f>
        <v>0</v>
      </c>
      <c r="AV107" s="40"/>
      <c r="AW107" s="5">
        <f>VLOOKUP($A107,'ПР 01-02.21'!$A$11:$BB$406,49,FALSE)+VLOOKUP($A107,'ПР 21-22'!$A$11:$BB$406,49,FALSE)-VLOOKUP($A107,'ПР 01-02.22'!$A$11:$BB$378,49,FALSE)</f>
        <v>20.361451160617424</v>
      </c>
      <c r="AX107" s="5">
        <f>VLOOKUP($A107,'ПР 01-02.21'!$A$11:$BB$406,50,FALSE)+VLOOKUP($A107,'ПР 21-22'!$A$11:$BB$406,50,FALSE)-VLOOKUP($A107,'ПР 01-02.22'!$A$11:$BB$378,50,FALSE)</f>
        <v>0</v>
      </c>
      <c r="AY107" s="40"/>
      <c r="AZ107" s="40">
        <f t="shared" si="5"/>
        <v>20.361451160617424</v>
      </c>
      <c r="BA107" s="40">
        <f t="shared" si="5"/>
        <v>0</v>
      </c>
      <c r="BB107" s="55">
        <f t="shared" si="8"/>
        <v>-20.361451160617424</v>
      </c>
      <c r="BD107" s="2">
        <v>1</v>
      </c>
      <c r="BF107" s="325">
        <v>150000599</v>
      </c>
    </row>
    <row r="108" spans="1:58" ht="24.9" customHeight="1" x14ac:dyDescent="0.3">
      <c r="A108" s="325">
        <v>150000601</v>
      </c>
      <c r="B108" s="445" t="s">
        <v>79</v>
      </c>
      <c r="C108" s="27">
        <v>1</v>
      </c>
      <c r="D108" s="101" t="s">
        <v>455</v>
      </c>
      <c r="E108" s="279">
        <f>'побудинковий звіт'!E106</f>
        <v>232.7</v>
      </c>
      <c r="F108" s="441">
        <f>'побудинковий звіт'!AS106</f>
        <v>0</v>
      </c>
      <c r="G108" s="441">
        <f t="shared" si="6"/>
        <v>0</v>
      </c>
      <c r="H108" s="73">
        <f t="shared" si="7"/>
        <v>0</v>
      </c>
      <c r="I108" s="5"/>
      <c r="J108" s="5"/>
      <c r="K108" s="446"/>
      <c r="L108" s="5"/>
      <c r="M108" s="5"/>
      <c r="N108" s="38"/>
      <c r="O108" s="5"/>
      <c r="P108" s="5"/>
      <c r="Q108" s="443"/>
      <c r="R108" s="5"/>
      <c r="S108" s="5"/>
      <c r="T108" s="444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40"/>
      <c r="AH108" s="5"/>
      <c r="AI108" s="5"/>
      <c r="AJ108" s="40"/>
      <c r="AK108" s="5"/>
      <c r="AL108" s="5"/>
      <c r="AM108" s="40"/>
      <c r="AN108" s="5"/>
      <c r="AO108" s="5"/>
      <c r="AP108" s="40"/>
      <c r="AQ108" s="5"/>
      <c r="AR108" s="5"/>
      <c r="AS108" s="40"/>
      <c r="AT108" s="5"/>
      <c r="AU108" s="5"/>
      <c r="AV108" s="40"/>
      <c r="AW108" s="5"/>
      <c r="AX108" s="5"/>
      <c r="AY108" s="40"/>
      <c r="AZ108" s="40">
        <f t="shared" si="5"/>
        <v>0</v>
      </c>
      <c r="BA108" s="40">
        <f t="shared" si="5"/>
        <v>0</v>
      </c>
      <c r="BB108" s="55">
        <f t="shared" si="8"/>
        <v>0</v>
      </c>
      <c r="BD108" s="2">
        <v>1</v>
      </c>
      <c r="BF108" s="325">
        <v>150000601</v>
      </c>
    </row>
    <row r="109" spans="1:58" ht="24.9" customHeight="1" x14ac:dyDescent="0.3">
      <c r="A109" s="325">
        <v>150000593</v>
      </c>
      <c r="B109" s="445" t="s">
        <v>256</v>
      </c>
      <c r="C109" s="27">
        <v>5</v>
      </c>
      <c r="D109" s="101" t="s">
        <v>455</v>
      </c>
      <c r="E109" s="279">
        <f>'побудинковий звіт'!E107</f>
        <v>1899.07</v>
      </c>
      <c r="F109" s="441">
        <f>'побудинковий звіт'!AS107</f>
        <v>13558.373358750696</v>
      </c>
      <c r="G109" s="441">
        <f t="shared" si="6"/>
        <v>88619.391322177806</v>
      </c>
      <c r="H109" s="73">
        <f t="shared" si="7"/>
        <v>75061.017963427104</v>
      </c>
      <c r="I109" s="5">
        <f>VLOOKUP($A109,'ПР 01-02.21'!$A$11:$BB$406,9,FALSE)+VLOOKUP($A109,'ПР 21-22'!$A$11:$BB$406,9,FALSE)-VLOOKUP($A109,'ПР 01-02.22'!$A$11:$BB$378,9,FALSE)</f>
        <v>11.4</v>
      </c>
      <c r="J109" s="5">
        <f>VLOOKUP($A109,'ПР 01-02.21'!$A$11:$BB$406,10,FALSE)+VLOOKUP($A109,'ПР 21-22'!$A$11:$BB$406,10,FALSE)-VLOOKUP($A109,'ПР 01-02.22'!$A$11:$BB$378,10,FALSE)</f>
        <v>9871</v>
      </c>
      <c r="K109" s="446"/>
      <c r="L109" s="5">
        <f>VLOOKUP($A109,'ПР 01-02.21'!$A$11:$BB$406,12,FALSE)+VLOOKUP($A109,'ПР 21-22'!$A$11:$BB$406,12,FALSE)-VLOOKUP($A109,'ПР 01-02.22'!$A$11:$BB$378,12,FALSE)</f>
        <v>0</v>
      </c>
      <c r="M109" s="5">
        <f>VLOOKUP($A109,'ПР 01-02.21'!$A$11:$BB$406,13,FALSE)+VLOOKUP($A109,'ПР 21-22'!$A$11:$BB$406,13,FALSE)-VLOOKUP($A109,'ПР 01-02.22'!$A$11:$BB$378,13,FALSE)</f>
        <v>27765</v>
      </c>
      <c r="N109" s="38"/>
      <c r="O109" s="5">
        <f>VLOOKUP($A109,'ПР 01-02.21'!$A$11:$BB$406,15,FALSE)+VLOOKUP($A109,'ПР 21-22'!$A$11:$BB$406,15,FALSE)-VLOOKUP($A109,'ПР 01-02.22'!$A$11:$BB$378,15,FALSE)</f>
        <v>0</v>
      </c>
      <c r="P109" s="5">
        <f>VLOOKUP($A109,'ПР 01-02.21'!$A$11:$BB$406,16,FALSE)+VLOOKUP($A109,'ПР 21-22'!$A$11:$BB$406,16,FALSE)-VLOOKUP($A109,'ПР 01-02.22'!$A$11:$BB$378,16,FALSE)</f>
        <v>0</v>
      </c>
      <c r="Q109" s="443"/>
      <c r="R109" s="5">
        <f>VLOOKUP($A109,'ПР 01-02.21'!$A$11:$BB$406,18,FALSE)+VLOOKUP($A109,'ПР 21-22'!$A$11:$BB$406,18,FALSE)-VLOOKUP($A109,'ПР 01-02.22'!$A$11:$BB$378,18,FALSE)</f>
        <v>0</v>
      </c>
      <c r="S109" s="5">
        <f>VLOOKUP($A109,'ПР 01-02.21'!$A$11:$BB$406,19,FALSE)+VLOOKUP($A109,'ПР 21-22'!$A$11:$BB$406,19,FALSE)-VLOOKUP($A109,'ПР 01-02.22'!$A$11:$BB$378,19,FALSE)</f>
        <v>0</v>
      </c>
      <c r="T109" s="444"/>
      <c r="U109" s="5">
        <f>VLOOKUP($A109,'ПР 01-02.21'!$A$11:$BB$406,21,FALSE)+VLOOKUP($A109,'ПР 21-22'!$A$11:$BB$406,21,FALSE)-VLOOKUP($A109,'ПР 01-02.22'!$A$11:$BB$378,21,FALSE)</f>
        <v>0</v>
      </c>
      <c r="V109" s="5"/>
      <c r="W109" s="5">
        <f>VLOOKUP($A109,'ПР 01-02.21'!$A$11:$BB$406,23,FALSE)+VLOOKUP($A109,'ПР 21-22'!$A$11:$BB$406,23,FALSE)-VLOOKUP($A109,'ПР 01-02.22'!$A$11:$BB$378,23,FALSE)</f>
        <v>0</v>
      </c>
      <c r="X109" s="5">
        <f>VLOOKUP($A109,'ПР 01-02.21'!$A$11:$BB$406,24,FALSE)+VLOOKUP($A109,'ПР 21-22'!$A$11:$BB$406,24,FALSE)-VLOOKUP($A109,'ПР 01-02.22'!$A$11:$BB$378,24,FALSE)</f>
        <v>124.39132217780116</v>
      </c>
      <c r="Y109" s="5">
        <f>VLOOKUP($A109,'ПР 01-02.21'!$A$11:$BB$406,25,FALSE)+VLOOKUP($A109,'ПР 21-22'!$A$11:$BB$406,25,FALSE)-VLOOKUP($A109,'ПР 01-02.22'!$A$11:$BB$378,25,FALSE)</f>
        <v>0</v>
      </c>
      <c r="Z109" s="5"/>
      <c r="AA109" s="5">
        <f>VLOOKUP($A109,'ПР 01-02.21'!$A$11:$BB$406,27,FALSE)+VLOOKUP($A109,'ПР 21-22'!$A$11:$BB$406,27,FALSE)-VLOOKUP($A109,'ПР 01-02.22'!$A$11:$BB$378,27,FALSE)</f>
        <v>0</v>
      </c>
      <c r="AB109" s="5">
        <f>VLOOKUP($A109,'ПР 01-02.21'!$A$11:$BB$406,28,FALSE)+VLOOKUP($A109,'ПР 21-22'!$A$11:$BB$406,28,FALSE)-VLOOKUP($A109,'ПР 01-02.22'!$A$11:$BB$378,28,FALSE)</f>
        <v>0</v>
      </c>
      <c r="AC109" s="5">
        <f>VLOOKUP($A109,'ПР 01-02.21'!$A$11:$BB$406,29,FALSE)+VLOOKUP($A109,'ПР 21-22'!$A$11:$BB$406,29,FALSE)-VLOOKUP($A109,'ПР 01-02.22'!$A$11:$BB$378,29,FALSE)</f>
        <v>47511</v>
      </c>
      <c r="AD109" s="5">
        <f>VLOOKUP($A109,'ПР 01-02.21'!$A$11:$BB$406,30,FALSE)+VLOOKUP($A109,'ПР 21-22'!$A$11:$BB$406,30,FALSE)-VLOOKUP($A109,'ПР 01-02.22'!$A$11:$BB$378,30,FALSE)</f>
        <v>3348</v>
      </c>
      <c r="AE109" s="5">
        <f>VLOOKUP($A109,'ПР 01-02.21'!$A$11:$BB$406,31,FALSE)+VLOOKUP($A109,'ПР 21-22'!$A$11:$BB$406,31,FALSE)-VLOOKUP($A109,'ПР 01-02.22'!$A$11:$BB$378,31,FALSE)</f>
        <v>1664.4256275205437</v>
      </c>
      <c r="AF109" s="5">
        <f>VLOOKUP($A109,'ПР 01-02.21'!$A$11:$BB$406,32,FALSE)+VLOOKUP($A109,'ПР 21-22'!$A$11:$BB$406,32,FALSE)-VLOOKUP($A109,'ПР 01-02.22'!$A$11:$BB$378,32,FALSE)</f>
        <v>2540</v>
      </c>
      <c r="AG109" s="40"/>
      <c r="AH109" s="5">
        <f>VLOOKUP($A109,'ПР 01-02.21'!$A$11:$BB$406,34,FALSE)+VLOOKUP($A109,'ПР 21-22'!$A$11:$BB$406,34,FALSE)-VLOOKUP($A109,'ПР 01-02.22'!$A$11:$BB$378,34,FALSE)</f>
        <v>2138.7653352999537</v>
      </c>
      <c r="AI109" s="5">
        <f>VLOOKUP($A109,'ПР 01-02.21'!$A$11:$BB$406,35,FALSE)+VLOOKUP($A109,'ПР 21-22'!$A$11:$BB$406,35,FALSE)-VLOOKUP($A109,'ПР 01-02.22'!$A$11:$BB$378,35,FALSE)</f>
        <v>0</v>
      </c>
      <c r="AJ109" s="40"/>
      <c r="AK109" s="5">
        <f>VLOOKUP($A109,'ПР 01-02.21'!$A$11:$BB$406,37,FALSE)+VLOOKUP($A109,'ПР 21-22'!$A$11:$BB$406,37,FALSE)-VLOOKUP($A109,'ПР 01-02.22'!$A$11:$BB$378,37,FALSE)</f>
        <v>379.97974422151418</v>
      </c>
      <c r="AL109" s="5">
        <f>VLOOKUP($A109,'ПР 01-02.21'!$A$11:$BB$406,38,FALSE)+VLOOKUP($A109,'ПР 21-22'!$A$11:$BB$406,38,FALSE)-VLOOKUP($A109,'ПР 01-02.22'!$A$11:$BB$378,38,FALSE)</f>
        <v>0</v>
      </c>
      <c r="AM109" s="40"/>
      <c r="AN109" s="5">
        <f>VLOOKUP($A109,'ПР 01-02.21'!$A$11:$BB$406,40,FALSE)+VLOOKUP($A109,'ПР 21-22'!$A$11:$BB$406,40,FALSE)-VLOOKUP($A109,'ПР 01-02.22'!$A$11:$BB$378,40,FALSE)</f>
        <v>0</v>
      </c>
      <c r="AO109" s="5">
        <f>VLOOKUP($A109,'ПР 01-02.21'!$A$11:$BB$406,41,FALSE)+VLOOKUP($A109,'ПР 21-22'!$A$11:$BB$406,41,FALSE)-VLOOKUP($A109,'ПР 01-02.22'!$A$11:$BB$378,41,FALSE)</f>
        <v>0</v>
      </c>
      <c r="AP109" s="40"/>
      <c r="AQ109" s="5">
        <f>VLOOKUP($A109,'ПР 01-02.21'!$A$11:$BB$406,43,FALSE)+VLOOKUP($A109,'ПР 21-22'!$A$11:$BB$406,43,FALSE)-VLOOKUP($A109,'ПР 01-02.22'!$A$11:$BB$378,43,FALSE)</f>
        <v>0</v>
      </c>
      <c r="AR109" s="5">
        <f>VLOOKUP($A109,'ПР 01-02.21'!$A$11:$BB$406,44,FALSE)+VLOOKUP($A109,'ПР 21-22'!$A$11:$BB$406,44,FALSE)-VLOOKUP($A109,'ПР 01-02.22'!$A$11:$BB$378,44,FALSE)</f>
        <v>0</v>
      </c>
      <c r="AS109" s="40"/>
      <c r="AT109" s="5">
        <f>VLOOKUP($A109,'ПР 01-02.21'!$A$11:$BB$406,46,FALSE)+VLOOKUP($A109,'ПР 21-22'!$A$11:$BB$406,46,FALSE)-VLOOKUP($A109,'ПР 01-02.22'!$A$11:$BB$378,46,FALSE)</f>
        <v>724.25206532764321</v>
      </c>
      <c r="AU109" s="5">
        <f>VLOOKUP($A109,'ПР 01-02.21'!$A$11:$BB$406,47,FALSE)+VLOOKUP($A109,'ПР 21-22'!$A$11:$BB$406,47,FALSE)-VLOOKUP($A109,'ПР 01-02.22'!$A$11:$BB$378,47,FALSE)</f>
        <v>0</v>
      </c>
      <c r="AV109" s="40"/>
      <c r="AW109" s="5">
        <f>VLOOKUP($A109,'ПР 01-02.21'!$A$11:$BB$406,49,FALSE)+VLOOKUP($A109,'ПР 21-22'!$A$11:$BB$406,49,FALSE)-VLOOKUP($A109,'ПР 01-02.22'!$A$11:$BB$378,49,FALSE)</f>
        <v>414.95624580175905</v>
      </c>
      <c r="AX109" s="5">
        <f>VLOOKUP($A109,'ПР 01-02.21'!$A$11:$BB$406,50,FALSE)+VLOOKUP($A109,'ПР 21-22'!$A$11:$BB$406,50,FALSE)-VLOOKUP($A109,'ПР 01-02.22'!$A$11:$BB$378,50,FALSE)</f>
        <v>0</v>
      </c>
      <c r="AY109" s="40"/>
      <c r="AZ109" s="40">
        <f t="shared" si="5"/>
        <v>5322.3790181714139</v>
      </c>
      <c r="BA109" s="40">
        <f t="shared" si="5"/>
        <v>2540</v>
      </c>
      <c r="BB109" s="55">
        <f t="shared" si="8"/>
        <v>-2782.3790181714139</v>
      </c>
      <c r="BD109" s="2">
        <v>1</v>
      </c>
      <c r="BF109" s="325">
        <v>150000593</v>
      </c>
    </row>
    <row r="110" spans="1:58" ht="24.9" customHeight="1" x14ac:dyDescent="0.3">
      <c r="A110" s="325">
        <v>150000594</v>
      </c>
      <c r="B110" s="445" t="s">
        <v>355</v>
      </c>
      <c r="C110" s="27">
        <v>9</v>
      </c>
      <c r="D110" s="101" t="s">
        <v>455</v>
      </c>
      <c r="E110" s="279">
        <f>'побудинковий звіт'!E108</f>
        <v>9277.65</v>
      </c>
      <c r="F110" s="441">
        <f>'побудинковий звіт'!AS108</f>
        <v>126072.16922094041</v>
      </c>
      <c r="G110" s="441">
        <f t="shared" si="6"/>
        <v>79323.41</v>
      </c>
      <c r="H110" s="73">
        <f t="shared" si="7"/>
        <v>-46748.75922094041</v>
      </c>
      <c r="I110" s="5">
        <f>VLOOKUP($A110,'ПР 01-02.21'!$A$11:$BB$406,9,FALSE)+VLOOKUP($A110,'ПР 21-22'!$A$11:$BB$406,9,FALSE)-VLOOKUP($A110,'ПР 01-02.22'!$A$11:$BB$378,9,FALSE)</f>
        <v>33</v>
      </c>
      <c r="J110" s="5">
        <f>VLOOKUP($A110,'ПР 01-02.21'!$A$11:$BB$406,10,FALSE)+VLOOKUP($A110,'ПР 21-22'!$A$11:$BB$406,10,FALSE)-VLOOKUP($A110,'ПР 01-02.22'!$A$11:$BB$378,10,FALSE)</f>
        <v>5776</v>
      </c>
      <c r="K110" s="446"/>
      <c r="L110" s="5">
        <f>VLOOKUP($A110,'ПР 01-02.21'!$A$11:$BB$406,12,FALSE)+VLOOKUP($A110,'ПР 21-22'!$A$11:$BB$406,12,FALSE)-VLOOKUP($A110,'ПР 01-02.22'!$A$11:$BB$378,12,FALSE)</f>
        <v>0</v>
      </c>
      <c r="M110" s="5">
        <f>VLOOKUP($A110,'ПР 01-02.21'!$A$11:$BB$406,13,FALSE)+VLOOKUP($A110,'ПР 21-22'!$A$11:$BB$406,13,FALSE)-VLOOKUP($A110,'ПР 01-02.22'!$A$11:$BB$378,13,FALSE)</f>
        <v>453.84000000000003</v>
      </c>
      <c r="N110" s="38"/>
      <c r="O110" s="5">
        <f>VLOOKUP($A110,'ПР 01-02.21'!$A$11:$BB$406,15,FALSE)+VLOOKUP($A110,'ПР 21-22'!$A$11:$BB$406,15,FALSE)-VLOOKUP($A110,'ПР 01-02.22'!$A$11:$BB$378,15,FALSE)</f>
        <v>44</v>
      </c>
      <c r="P110" s="5">
        <f>VLOOKUP($A110,'ПР 01-02.21'!$A$11:$BB$406,16,FALSE)+VLOOKUP($A110,'ПР 21-22'!$A$11:$BB$406,16,FALSE)-VLOOKUP($A110,'ПР 01-02.22'!$A$11:$BB$378,16,FALSE)</f>
        <v>10276</v>
      </c>
      <c r="Q110" s="443"/>
      <c r="R110" s="5">
        <f>VLOOKUP($A110,'ПР 01-02.21'!$A$11:$BB$406,18,FALSE)+VLOOKUP($A110,'ПР 21-22'!$A$11:$BB$406,18,FALSE)-VLOOKUP($A110,'ПР 01-02.22'!$A$11:$BB$378,18,FALSE)</f>
        <v>5</v>
      </c>
      <c r="S110" s="5">
        <f>VLOOKUP($A110,'ПР 01-02.21'!$A$11:$BB$406,19,FALSE)+VLOOKUP($A110,'ПР 21-22'!$A$11:$BB$406,19,FALSE)-VLOOKUP($A110,'ПР 01-02.22'!$A$11:$BB$378,19,FALSE)</f>
        <v>52549</v>
      </c>
      <c r="T110" s="444"/>
      <c r="U110" s="5">
        <f>VLOOKUP($A110,'ПР 01-02.21'!$A$11:$BB$406,21,FALSE)+VLOOKUP($A110,'ПР 21-22'!$A$11:$BB$406,21,FALSE)-VLOOKUP($A110,'ПР 01-02.22'!$A$11:$BB$378,21,FALSE)</f>
        <v>0</v>
      </c>
      <c r="V110" s="5"/>
      <c r="W110" s="5">
        <f>VLOOKUP($A110,'ПР 01-02.21'!$A$11:$BB$406,23,FALSE)+VLOOKUP($A110,'ПР 21-22'!$A$11:$BB$406,23,FALSE)-VLOOKUP($A110,'ПР 01-02.22'!$A$11:$BB$378,23,FALSE)</f>
        <v>0</v>
      </c>
      <c r="X110" s="5">
        <f>VLOOKUP($A110,'ПР 01-02.21'!$A$11:$BB$406,24,FALSE)+VLOOKUP($A110,'ПР 21-22'!$A$11:$BB$406,24,FALSE)-VLOOKUP($A110,'ПР 01-02.22'!$A$11:$BB$378,24,FALSE)</f>
        <v>601</v>
      </c>
      <c r="Y110" s="5">
        <f>VLOOKUP($A110,'ПР 01-02.21'!$A$11:$BB$406,25,FALSE)+VLOOKUP($A110,'ПР 21-22'!$A$11:$BB$406,25,FALSE)-VLOOKUP($A110,'ПР 01-02.22'!$A$11:$BB$378,25,FALSE)</f>
        <v>1625</v>
      </c>
      <c r="Z110" s="5"/>
      <c r="AA110" s="5">
        <f>VLOOKUP($A110,'ПР 01-02.21'!$A$11:$BB$406,27,FALSE)+VLOOKUP($A110,'ПР 21-22'!$A$11:$BB$406,27,FALSE)-VLOOKUP($A110,'ПР 01-02.22'!$A$11:$BB$378,27,FALSE)</f>
        <v>0</v>
      </c>
      <c r="AB110" s="5">
        <f>VLOOKUP($A110,'ПР 01-02.21'!$A$11:$BB$406,28,FALSE)+VLOOKUP($A110,'ПР 21-22'!$A$11:$BB$406,28,FALSE)-VLOOKUP($A110,'ПР 01-02.22'!$A$11:$BB$378,28,FALSE)</f>
        <v>821.08</v>
      </c>
      <c r="AC110" s="5">
        <f>VLOOKUP($A110,'ПР 01-02.21'!$A$11:$BB$406,29,FALSE)+VLOOKUP($A110,'ПР 21-22'!$A$11:$BB$406,29,FALSE)-VLOOKUP($A110,'ПР 01-02.22'!$A$11:$BB$378,29,FALSE)</f>
        <v>0</v>
      </c>
      <c r="AD110" s="5">
        <f>VLOOKUP($A110,'ПР 01-02.21'!$A$11:$BB$406,30,FALSE)+VLOOKUP($A110,'ПР 21-22'!$A$11:$BB$406,30,FALSE)-VLOOKUP($A110,'ПР 01-02.22'!$A$11:$BB$378,30,FALSE)</f>
        <v>7221.49</v>
      </c>
      <c r="AE110" s="5">
        <f>VLOOKUP($A110,'ПР 01-02.21'!$A$11:$BB$406,31,FALSE)+VLOOKUP($A110,'ПР 21-22'!$A$11:$BB$406,31,FALSE)-VLOOKUP($A110,'ПР 01-02.22'!$A$11:$BB$378,31,FALSE)</f>
        <v>4465.9803992097222</v>
      </c>
      <c r="AF110" s="5">
        <f>VLOOKUP($A110,'ПР 01-02.21'!$A$11:$BB$406,32,FALSE)+VLOOKUP($A110,'ПР 21-22'!$A$11:$BB$406,32,FALSE)-VLOOKUP($A110,'ПР 01-02.22'!$A$11:$BB$378,32,FALSE)</f>
        <v>1669</v>
      </c>
      <c r="AG110" s="40"/>
      <c r="AH110" s="5">
        <f>VLOOKUP($A110,'ПР 01-02.21'!$A$11:$BB$406,34,FALSE)+VLOOKUP($A110,'ПР 21-22'!$A$11:$BB$406,34,FALSE)-VLOOKUP($A110,'ПР 01-02.22'!$A$11:$BB$378,34,FALSE)</f>
        <v>5130.0223913641958</v>
      </c>
      <c r="AI110" s="5">
        <f>VLOOKUP($A110,'ПР 01-02.21'!$A$11:$BB$406,35,FALSE)+VLOOKUP($A110,'ПР 21-22'!$A$11:$BB$406,35,FALSE)-VLOOKUP($A110,'ПР 01-02.22'!$A$11:$BB$378,35,FALSE)</f>
        <v>3523</v>
      </c>
      <c r="AJ110" s="40"/>
      <c r="AK110" s="5">
        <f>VLOOKUP($A110,'ПР 01-02.21'!$A$11:$BB$406,37,FALSE)+VLOOKUP($A110,'ПР 21-22'!$A$11:$BB$406,37,FALSE)-VLOOKUP($A110,'ПР 01-02.22'!$A$11:$BB$378,37,FALSE)</f>
        <v>2419.4806646034795</v>
      </c>
      <c r="AL110" s="5">
        <f>VLOOKUP($A110,'ПР 01-02.21'!$A$11:$BB$406,38,FALSE)+VLOOKUP($A110,'ПР 21-22'!$A$11:$BB$406,38,FALSE)-VLOOKUP($A110,'ПР 01-02.22'!$A$11:$BB$378,38,FALSE)</f>
        <v>0</v>
      </c>
      <c r="AM110" s="40"/>
      <c r="AN110" s="5">
        <f>VLOOKUP($A110,'ПР 01-02.21'!$A$11:$BB$406,40,FALSE)+VLOOKUP($A110,'ПР 21-22'!$A$11:$BB$406,40,FALSE)-VLOOKUP($A110,'ПР 01-02.22'!$A$11:$BB$378,40,FALSE)</f>
        <v>5088.3858638122356</v>
      </c>
      <c r="AO110" s="5">
        <f>VLOOKUP($A110,'ПР 01-02.21'!$A$11:$BB$406,41,FALSE)+VLOOKUP($A110,'ПР 21-22'!$A$11:$BB$406,41,FALSE)-VLOOKUP($A110,'ПР 01-02.22'!$A$11:$BB$378,41,FALSE)</f>
        <v>0</v>
      </c>
      <c r="AP110" s="40"/>
      <c r="AQ110" s="5">
        <f>VLOOKUP($A110,'ПР 01-02.21'!$A$11:$BB$406,43,FALSE)+VLOOKUP($A110,'ПР 21-22'!$A$11:$BB$406,43,FALSE)-VLOOKUP($A110,'ПР 01-02.22'!$A$11:$BB$378,43,FALSE)</f>
        <v>6719.8458009455799</v>
      </c>
      <c r="AR110" s="5">
        <f>VLOOKUP($A110,'ПР 01-02.21'!$A$11:$BB$406,44,FALSE)+VLOOKUP($A110,'ПР 21-22'!$A$11:$BB$406,44,FALSE)-VLOOKUP($A110,'ПР 01-02.22'!$A$11:$BB$378,44,FALSE)</f>
        <v>0</v>
      </c>
      <c r="AS110" s="40"/>
      <c r="AT110" s="5">
        <f>VLOOKUP($A110,'ПР 01-02.21'!$A$11:$BB$406,46,FALSE)+VLOOKUP($A110,'ПР 21-22'!$A$11:$BB$406,46,FALSE)-VLOOKUP($A110,'ПР 01-02.22'!$A$11:$BB$378,46,FALSE)</f>
        <v>5370.3796201891137</v>
      </c>
      <c r="AU110" s="5">
        <f>VLOOKUP($A110,'ПР 01-02.21'!$A$11:$BB$406,47,FALSE)+VLOOKUP($A110,'ПР 21-22'!$A$11:$BB$406,47,FALSE)-VLOOKUP($A110,'ПР 01-02.22'!$A$11:$BB$378,47,FALSE)</f>
        <v>698</v>
      </c>
      <c r="AV110" s="40"/>
      <c r="AW110" s="5">
        <f>VLOOKUP($A110,'ПР 01-02.21'!$A$11:$BB$406,49,FALSE)+VLOOKUP($A110,'ПР 21-22'!$A$11:$BB$406,49,FALSE)-VLOOKUP($A110,'ПР 01-02.22'!$A$11:$BB$378,49,FALSE)</f>
        <v>985.23312764392358</v>
      </c>
      <c r="AX110" s="5">
        <f>VLOOKUP($A110,'ПР 01-02.21'!$A$11:$BB$406,50,FALSE)+VLOOKUP($A110,'ПР 21-22'!$A$11:$BB$406,50,FALSE)-VLOOKUP($A110,'ПР 01-02.22'!$A$11:$BB$378,50,FALSE)</f>
        <v>0</v>
      </c>
      <c r="AY110" s="40"/>
      <c r="AZ110" s="40">
        <f t="shared" si="5"/>
        <v>30179.327867768247</v>
      </c>
      <c r="BA110" s="40">
        <f t="shared" si="5"/>
        <v>5890</v>
      </c>
      <c r="BB110" s="55">
        <f t="shared" si="8"/>
        <v>-24289.327867768247</v>
      </c>
      <c r="BD110" s="2">
        <v>1</v>
      </c>
      <c r="BF110" s="325">
        <v>150000594</v>
      </c>
    </row>
    <row r="111" spans="1:58" ht="24.9" customHeight="1" x14ac:dyDescent="0.3">
      <c r="A111" s="325">
        <v>150000834</v>
      </c>
      <c r="B111" s="445" t="s">
        <v>80</v>
      </c>
      <c r="C111" s="27">
        <v>1</v>
      </c>
      <c r="D111" s="101" t="s">
        <v>455</v>
      </c>
      <c r="E111" s="279">
        <f>'побудинковий звіт'!E109</f>
        <v>198.8</v>
      </c>
      <c r="F111" s="441">
        <f>'побудинковий звіт'!AS109</f>
        <v>0</v>
      </c>
      <c r="G111" s="441">
        <f t="shared" si="6"/>
        <v>0</v>
      </c>
      <c r="H111" s="73">
        <f t="shared" si="7"/>
        <v>0</v>
      </c>
      <c r="I111" s="5"/>
      <c r="J111" s="5"/>
      <c r="K111" s="446"/>
      <c r="L111" s="5"/>
      <c r="M111" s="5"/>
      <c r="N111" s="38"/>
      <c r="O111" s="5"/>
      <c r="P111" s="5"/>
      <c r="Q111" s="443"/>
      <c r="R111" s="5"/>
      <c r="S111" s="5"/>
      <c r="T111" s="444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40"/>
      <c r="AH111" s="5"/>
      <c r="AI111" s="5"/>
      <c r="AJ111" s="40"/>
      <c r="AK111" s="5"/>
      <c r="AL111" s="5"/>
      <c r="AM111" s="40"/>
      <c r="AN111" s="5"/>
      <c r="AO111" s="5"/>
      <c r="AP111" s="40"/>
      <c r="AQ111" s="5"/>
      <c r="AR111" s="5"/>
      <c r="AS111" s="40"/>
      <c r="AT111" s="5"/>
      <c r="AU111" s="5"/>
      <c r="AV111" s="40"/>
      <c r="AW111" s="5"/>
      <c r="AX111" s="5"/>
      <c r="AY111" s="40"/>
      <c r="AZ111" s="40">
        <f t="shared" si="5"/>
        <v>0</v>
      </c>
      <c r="BA111" s="40">
        <f t="shared" si="5"/>
        <v>0</v>
      </c>
      <c r="BB111" s="55">
        <f t="shared" si="8"/>
        <v>0</v>
      </c>
      <c r="BD111" s="2">
        <v>1</v>
      </c>
      <c r="BF111" s="325">
        <v>150000834</v>
      </c>
    </row>
    <row r="112" spans="1:58" ht="24.9" customHeight="1" x14ac:dyDescent="0.3">
      <c r="A112" s="325">
        <v>150000627</v>
      </c>
      <c r="B112" s="445" t="s">
        <v>356</v>
      </c>
      <c r="C112" s="27">
        <v>9</v>
      </c>
      <c r="D112" s="101" t="s">
        <v>455</v>
      </c>
      <c r="E112" s="279">
        <f>'побудинковий звіт'!E110</f>
        <v>3777.3500000000004</v>
      </c>
      <c r="F112" s="441">
        <f>'побудинковий звіт'!AS110</f>
        <v>48011.743711336283</v>
      </c>
      <c r="G112" s="441">
        <f t="shared" si="6"/>
        <v>78374</v>
      </c>
      <c r="H112" s="73">
        <f t="shared" si="7"/>
        <v>30362.256288663717</v>
      </c>
      <c r="I112" s="5">
        <f>VLOOKUP($A112,'ПР 01-02.21'!$A$11:$BB$406,9,FALSE)+VLOOKUP($A112,'ПР 21-22'!$A$11:$BB$406,9,FALSE)-VLOOKUP($A112,'ПР 01-02.22'!$A$11:$BB$378,9,FALSE)</f>
        <v>0</v>
      </c>
      <c r="J112" s="5">
        <f>VLOOKUP($A112,'ПР 01-02.21'!$A$11:$BB$406,10,FALSE)+VLOOKUP($A112,'ПР 21-22'!$A$11:$BB$406,10,FALSE)-VLOOKUP($A112,'ПР 01-02.22'!$A$11:$BB$378,10,FALSE)</f>
        <v>0</v>
      </c>
      <c r="K112" s="446"/>
      <c r="L112" s="5">
        <f>VLOOKUP($A112,'ПР 01-02.21'!$A$11:$BB$406,12,FALSE)+VLOOKUP($A112,'ПР 21-22'!$A$11:$BB$406,12,FALSE)-VLOOKUP($A112,'ПР 01-02.22'!$A$11:$BB$378,12,FALSE)</f>
        <v>1</v>
      </c>
      <c r="M112" s="5">
        <f>VLOOKUP($A112,'ПР 01-02.21'!$A$11:$BB$406,13,FALSE)+VLOOKUP($A112,'ПР 21-22'!$A$11:$BB$406,13,FALSE)-VLOOKUP($A112,'ПР 01-02.22'!$A$11:$BB$378,13,FALSE)</f>
        <v>74918</v>
      </c>
      <c r="N112" s="38"/>
      <c r="O112" s="5">
        <f>VLOOKUP($A112,'ПР 01-02.21'!$A$11:$BB$406,15,FALSE)+VLOOKUP($A112,'ПР 21-22'!$A$11:$BB$406,15,FALSE)-VLOOKUP($A112,'ПР 01-02.22'!$A$11:$BB$378,15,FALSE)</f>
        <v>0</v>
      </c>
      <c r="P112" s="5">
        <f>VLOOKUP($A112,'ПР 01-02.21'!$A$11:$BB$406,16,FALSE)+VLOOKUP($A112,'ПР 21-22'!$A$11:$BB$406,16,FALSE)-VLOOKUP($A112,'ПР 01-02.22'!$A$11:$BB$378,16,FALSE)</f>
        <v>0</v>
      </c>
      <c r="Q112" s="443"/>
      <c r="R112" s="5">
        <f>VLOOKUP($A112,'ПР 01-02.21'!$A$11:$BB$406,18,FALSE)+VLOOKUP($A112,'ПР 21-22'!$A$11:$BB$406,18,FALSE)-VLOOKUP($A112,'ПР 01-02.22'!$A$11:$BB$378,18,FALSE)</f>
        <v>0</v>
      </c>
      <c r="S112" s="5">
        <f>VLOOKUP($A112,'ПР 01-02.21'!$A$11:$BB$406,19,FALSE)+VLOOKUP($A112,'ПР 21-22'!$A$11:$BB$406,19,FALSE)-VLOOKUP($A112,'ПР 01-02.22'!$A$11:$BB$378,19,FALSE)</f>
        <v>0</v>
      </c>
      <c r="T112" s="444"/>
      <c r="U112" s="5">
        <f>VLOOKUP($A112,'ПР 01-02.21'!$A$11:$BB$406,21,FALSE)+VLOOKUP($A112,'ПР 21-22'!$A$11:$BB$406,21,FALSE)-VLOOKUP($A112,'ПР 01-02.22'!$A$11:$BB$378,21,FALSE)</f>
        <v>0</v>
      </c>
      <c r="V112" s="5"/>
      <c r="W112" s="5">
        <f>VLOOKUP($A112,'ПР 01-02.21'!$A$11:$BB$406,23,FALSE)+VLOOKUP($A112,'ПР 21-22'!$A$11:$BB$406,23,FALSE)-VLOOKUP($A112,'ПР 01-02.22'!$A$11:$BB$378,23,FALSE)</f>
        <v>0</v>
      </c>
      <c r="X112" s="5">
        <f>VLOOKUP($A112,'ПР 01-02.21'!$A$11:$BB$406,24,FALSE)+VLOOKUP($A112,'ПР 21-22'!$A$11:$BB$406,24,FALSE)-VLOOKUP($A112,'ПР 01-02.22'!$A$11:$BB$378,24,FALSE)</f>
        <v>0</v>
      </c>
      <c r="Y112" s="5">
        <f>VLOOKUP($A112,'ПР 01-02.21'!$A$11:$BB$406,25,FALSE)+VLOOKUP($A112,'ПР 21-22'!$A$11:$BB$406,25,FALSE)-VLOOKUP($A112,'ПР 01-02.22'!$A$11:$BB$378,25,FALSE)</f>
        <v>821</v>
      </c>
      <c r="Z112" s="5"/>
      <c r="AA112" s="5">
        <f>VLOOKUP($A112,'ПР 01-02.21'!$A$11:$BB$406,27,FALSE)+VLOOKUP($A112,'ПР 21-22'!$A$11:$BB$406,27,FALSE)-VLOOKUP($A112,'ПР 01-02.22'!$A$11:$BB$378,27,FALSE)</f>
        <v>0</v>
      </c>
      <c r="AB112" s="5">
        <f>VLOOKUP($A112,'ПР 01-02.21'!$A$11:$BB$406,28,FALSE)+VLOOKUP($A112,'ПР 21-22'!$A$11:$BB$406,28,FALSE)-VLOOKUP($A112,'ПР 01-02.22'!$A$11:$BB$378,28,FALSE)</f>
        <v>0</v>
      </c>
      <c r="AC112" s="5">
        <f>VLOOKUP($A112,'ПР 01-02.21'!$A$11:$BB$406,29,FALSE)+VLOOKUP($A112,'ПР 21-22'!$A$11:$BB$406,29,FALSE)-VLOOKUP($A112,'ПР 01-02.22'!$A$11:$BB$378,29,FALSE)</f>
        <v>226</v>
      </c>
      <c r="AD112" s="5">
        <f>VLOOKUP($A112,'ПР 01-02.21'!$A$11:$BB$406,30,FALSE)+VLOOKUP($A112,'ПР 21-22'!$A$11:$BB$406,30,FALSE)-VLOOKUP($A112,'ПР 01-02.22'!$A$11:$BB$378,30,FALSE)</f>
        <v>2409</v>
      </c>
      <c r="AE112" s="5">
        <f>VLOOKUP($A112,'ПР 01-02.21'!$A$11:$BB$406,31,FALSE)+VLOOKUP($A112,'ПР 21-22'!$A$11:$BB$406,31,FALSE)-VLOOKUP($A112,'ПР 01-02.22'!$A$11:$BB$378,31,FALSE)</f>
        <v>2111.0647413305137</v>
      </c>
      <c r="AF112" s="5">
        <f>VLOOKUP($A112,'ПР 01-02.21'!$A$11:$BB$406,32,FALSE)+VLOOKUP($A112,'ПР 21-22'!$A$11:$BB$406,32,FALSE)-VLOOKUP($A112,'ПР 01-02.22'!$A$11:$BB$378,32,FALSE)</f>
        <v>873</v>
      </c>
      <c r="AG112" s="40"/>
      <c r="AH112" s="5">
        <f>VLOOKUP($A112,'ПР 01-02.21'!$A$11:$BB$406,34,FALSE)+VLOOKUP($A112,'ПР 21-22'!$A$11:$BB$406,34,FALSE)-VLOOKUP($A112,'ПР 01-02.22'!$A$11:$BB$378,34,FALSE)</f>
        <v>2702.6506785368374</v>
      </c>
      <c r="AI112" s="5">
        <f>VLOOKUP($A112,'ПР 01-02.21'!$A$11:$BB$406,35,FALSE)+VLOOKUP($A112,'ПР 21-22'!$A$11:$BB$406,35,FALSE)-VLOOKUP($A112,'ПР 01-02.22'!$A$11:$BB$378,35,FALSE)</f>
        <v>11511.5</v>
      </c>
      <c r="AJ112" s="40"/>
      <c r="AK112" s="5">
        <f>VLOOKUP($A112,'ПР 01-02.21'!$A$11:$BB$406,37,FALSE)+VLOOKUP($A112,'ПР 21-22'!$A$11:$BB$406,37,FALSE)-VLOOKUP($A112,'ПР 01-02.22'!$A$11:$BB$378,37,FALSE)</f>
        <v>1406.3575087446634</v>
      </c>
      <c r="AL112" s="5">
        <f>VLOOKUP($A112,'ПР 01-02.21'!$A$11:$BB$406,38,FALSE)+VLOOKUP($A112,'ПР 21-22'!$A$11:$BB$406,38,FALSE)-VLOOKUP($A112,'ПР 01-02.22'!$A$11:$BB$378,38,FALSE)</f>
        <v>0</v>
      </c>
      <c r="AM112" s="40"/>
      <c r="AN112" s="5">
        <f>VLOOKUP($A112,'ПР 01-02.21'!$A$11:$BB$406,40,FALSE)+VLOOKUP($A112,'ПР 21-22'!$A$11:$BB$406,40,FALSE)-VLOOKUP($A112,'ПР 01-02.22'!$A$11:$BB$378,40,FALSE)</f>
        <v>2170.5583110174325</v>
      </c>
      <c r="AO112" s="5">
        <f>VLOOKUP($A112,'ПР 01-02.21'!$A$11:$BB$406,41,FALSE)+VLOOKUP($A112,'ПР 21-22'!$A$11:$BB$406,41,FALSE)-VLOOKUP($A112,'ПР 01-02.22'!$A$11:$BB$378,41,FALSE)</f>
        <v>0</v>
      </c>
      <c r="AP112" s="40"/>
      <c r="AQ112" s="5">
        <f>VLOOKUP($A112,'ПР 01-02.21'!$A$11:$BB$406,43,FALSE)+VLOOKUP($A112,'ПР 21-22'!$A$11:$BB$406,43,FALSE)-VLOOKUP($A112,'ПР 01-02.22'!$A$11:$BB$378,43,FALSE)</f>
        <v>1275.715225914171</v>
      </c>
      <c r="AR112" s="5">
        <f>VLOOKUP($A112,'ПР 01-02.21'!$A$11:$BB$406,44,FALSE)+VLOOKUP($A112,'ПР 21-22'!$A$11:$BB$406,44,FALSE)-VLOOKUP($A112,'ПР 01-02.22'!$A$11:$BB$378,44,FALSE)</f>
        <v>0</v>
      </c>
      <c r="AS112" s="40"/>
      <c r="AT112" s="5">
        <f>VLOOKUP($A112,'ПР 01-02.21'!$A$11:$BB$406,46,FALSE)+VLOOKUP($A112,'ПР 21-22'!$A$11:$BB$406,46,FALSE)-VLOOKUP($A112,'ПР 01-02.22'!$A$11:$BB$378,46,FALSE)</f>
        <v>2118.2273363903946</v>
      </c>
      <c r="AU112" s="5">
        <f>VLOOKUP($A112,'ПР 01-02.21'!$A$11:$BB$406,47,FALSE)+VLOOKUP($A112,'ПР 21-22'!$A$11:$BB$406,47,FALSE)-VLOOKUP($A112,'ПР 01-02.22'!$A$11:$BB$378,47,FALSE)</f>
        <v>0</v>
      </c>
      <c r="AV112" s="40"/>
      <c r="AW112" s="5">
        <f>VLOOKUP($A112,'ПР 01-02.21'!$A$11:$BB$406,49,FALSE)+VLOOKUP($A112,'ПР 21-22'!$A$11:$BB$406,49,FALSE)-VLOOKUP($A112,'ПР 01-02.22'!$A$11:$BB$378,49,FALSE)</f>
        <v>342.64984101089522</v>
      </c>
      <c r="AX112" s="5">
        <f>VLOOKUP($A112,'ПР 01-02.21'!$A$11:$BB$406,50,FALSE)+VLOOKUP($A112,'ПР 21-22'!$A$11:$BB$406,50,FALSE)-VLOOKUP($A112,'ПР 01-02.22'!$A$11:$BB$378,50,FALSE)</f>
        <v>0</v>
      </c>
      <c r="AY112" s="40"/>
      <c r="AZ112" s="40">
        <f t="shared" si="5"/>
        <v>12127.223642944908</v>
      </c>
      <c r="BA112" s="40">
        <f t="shared" si="5"/>
        <v>12384.5</v>
      </c>
      <c r="BB112" s="55">
        <f t="shared" si="8"/>
        <v>257.27635705509238</v>
      </c>
      <c r="BD112" s="2">
        <v>1</v>
      </c>
      <c r="BF112" s="325">
        <v>150000627</v>
      </c>
    </row>
    <row r="113" spans="1:58" ht="24.9" customHeight="1" x14ac:dyDescent="0.3">
      <c r="A113" s="325">
        <v>150000628</v>
      </c>
      <c r="B113" s="445" t="s">
        <v>357</v>
      </c>
      <c r="C113" s="27">
        <v>9</v>
      </c>
      <c r="D113" s="101" t="s">
        <v>455</v>
      </c>
      <c r="E113" s="279">
        <f>'побудинковий звіт'!E111</f>
        <v>4652.96</v>
      </c>
      <c r="F113" s="441">
        <f>'побудинковий звіт'!AS111</f>
        <v>54664.818560491898</v>
      </c>
      <c r="G113" s="441">
        <f t="shared" si="6"/>
        <v>22764.255109518963</v>
      </c>
      <c r="H113" s="73">
        <f t="shared" si="7"/>
        <v>-31900.563450972935</v>
      </c>
      <c r="I113" s="5">
        <f>VLOOKUP($A113,'ПР 01-02.21'!$A$11:$BB$406,9,FALSE)+VLOOKUP($A113,'ПР 21-22'!$A$11:$BB$406,9,FALSE)-VLOOKUP($A113,'ПР 01-02.22'!$A$11:$BB$378,9,FALSE)</f>
        <v>0</v>
      </c>
      <c r="J113" s="5">
        <f>VLOOKUP($A113,'ПР 01-02.21'!$A$11:$BB$406,10,FALSE)+VLOOKUP($A113,'ПР 21-22'!$A$11:$BB$406,10,FALSE)-VLOOKUP($A113,'ПР 01-02.22'!$A$11:$BB$378,10,FALSE)</f>
        <v>0</v>
      </c>
      <c r="K113" s="446"/>
      <c r="L113" s="5">
        <f>VLOOKUP($A113,'ПР 01-02.21'!$A$11:$BB$406,12,FALSE)+VLOOKUP($A113,'ПР 21-22'!$A$11:$BB$406,12,FALSE)-VLOOKUP($A113,'ПР 01-02.22'!$A$11:$BB$378,12,FALSE)</f>
        <v>0</v>
      </c>
      <c r="M113" s="5">
        <f>VLOOKUP($A113,'ПР 01-02.21'!$A$11:$BB$406,13,FALSE)+VLOOKUP($A113,'ПР 21-22'!$A$11:$BB$406,13,FALSE)-VLOOKUP($A113,'ПР 01-02.22'!$A$11:$BB$378,13,FALSE)</f>
        <v>0</v>
      </c>
      <c r="N113" s="38"/>
      <c r="O113" s="5">
        <f>VLOOKUP($A113,'ПР 01-02.21'!$A$11:$BB$406,15,FALSE)+VLOOKUP($A113,'ПР 21-22'!$A$11:$BB$406,15,FALSE)-VLOOKUP($A113,'ПР 01-02.22'!$A$11:$BB$378,15,FALSE)</f>
        <v>0</v>
      </c>
      <c r="P113" s="5">
        <f>VLOOKUP($A113,'ПР 01-02.21'!$A$11:$BB$406,16,FALSE)+VLOOKUP($A113,'ПР 21-22'!$A$11:$BB$406,16,FALSE)-VLOOKUP($A113,'ПР 01-02.22'!$A$11:$BB$378,16,FALSE)</f>
        <v>0</v>
      </c>
      <c r="Q113" s="443"/>
      <c r="R113" s="5">
        <f>VLOOKUP($A113,'ПР 01-02.21'!$A$11:$BB$406,18,FALSE)+VLOOKUP($A113,'ПР 21-22'!$A$11:$BB$406,18,FALSE)-VLOOKUP($A113,'ПР 01-02.22'!$A$11:$BB$378,18,FALSE)</f>
        <v>4</v>
      </c>
      <c r="S113" s="5">
        <f>VLOOKUP($A113,'ПР 01-02.21'!$A$11:$BB$406,19,FALSE)+VLOOKUP($A113,'ПР 21-22'!$A$11:$BB$406,19,FALSE)-VLOOKUP($A113,'ПР 01-02.22'!$A$11:$BB$378,19,FALSE)</f>
        <v>13226</v>
      </c>
      <c r="T113" s="444"/>
      <c r="U113" s="5">
        <f>VLOOKUP($A113,'ПР 01-02.21'!$A$11:$BB$406,21,FALSE)+VLOOKUP($A113,'ПР 21-22'!$A$11:$BB$406,21,FALSE)-VLOOKUP($A113,'ПР 01-02.22'!$A$11:$BB$378,21,FALSE)</f>
        <v>0</v>
      </c>
      <c r="V113" s="5"/>
      <c r="W113" s="5">
        <f>VLOOKUP($A113,'ПР 01-02.21'!$A$11:$BB$406,23,FALSE)+VLOOKUP($A113,'ПР 21-22'!$A$11:$BB$406,23,FALSE)-VLOOKUP($A113,'ПР 01-02.22'!$A$11:$BB$378,23,FALSE)</f>
        <v>0</v>
      </c>
      <c r="X113" s="5">
        <f>VLOOKUP($A113,'ПР 01-02.21'!$A$11:$BB$406,24,FALSE)+VLOOKUP($A113,'ПР 21-22'!$A$11:$BB$406,24,FALSE)-VLOOKUP($A113,'ПР 01-02.22'!$A$11:$BB$378,24,FALSE)</f>
        <v>35.035109518962223</v>
      </c>
      <c r="Y113" s="5">
        <f>VLOOKUP($A113,'ПР 01-02.21'!$A$11:$BB$406,25,FALSE)+VLOOKUP($A113,'ПР 21-22'!$A$11:$BB$406,25,FALSE)-VLOOKUP($A113,'ПР 01-02.22'!$A$11:$BB$378,25,FALSE)</f>
        <v>170</v>
      </c>
      <c r="Z113" s="5"/>
      <c r="AA113" s="5">
        <f>VLOOKUP($A113,'ПР 01-02.21'!$A$11:$BB$406,27,FALSE)+VLOOKUP($A113,'ПР 21-22'!$A$11:$BB$406,27,FALSE)-VLOOKUP($A113,'ПР 01-02.22'!$A$11:$BB$378,27,FALSE)</f>
        <v>0</v>
      </c>
      <c r="AB113" s="5">
        <f>VLOOKUP($A113,'ПР 01-02.21'!$A$11:$BB$406,28,FALSE)+VLOOKUP($A113,'ПР 21-22'!$A$11:$BB$406,28,FALSE)-VLOOKUP($A113,'ПР 01-02.22'!$A$11:$BB$378,28,FALSE)</f>
        <v>0</v>
      </c>
      <c r="AC113" s="5">
        <f>VLOOKUP($A113,'ПР 01-02.21'!$A$11:$BB$406,29,FALSE)+VLOOKUP($A113,'ПР 21-22'!$A$11:$BB$406,29,FALSE)-VLOOKUP($A113,'ПР 01-02.22'!$A$11:$BB$378,29,FALSE)</f>
        <v>6256</v>
      </c>
      <c r="AD113" s="5">
        <f>VLOOKUP($A113,'ПР 01-02.21'!$A$11:$BB$406,30,FALSE)+VLOOKUP($A113,'ПР 21-22'!$A$11:$BB$406,30,FALSE)-VLOOKUP($A113,'ПР 01-02.22'!$A$11:$BB$378,30,FALSE)</f>
        <v>3077.2200000000003</v>
      </c>
      <c r="AE113" s="5">
        <f>VLOOKUP($A113,'ПР 01-02.21'!$A$11:$BB$406,31,FALSE)+VLOOKUP($A113,'ПР 21-22'!$A$11:$BB$406,31,FALSE)-VLOOKUP($A113,'ПР 01-02.22'!$A$11:$BB$378,31,FALSE)</f>
        <v>3127.3299948317517</v>
      </c>
      <c r="AF113" s="5">
        <f>VLOOKUP($A113,'ПР 01-02.21'!$A$11:$BB$406,32,FALSE)+VLOOKUP($A113,'ПР 21-22'!$A$11:$BB$406,32,FALSE)-VLOOKUP($A113,'ПР 01-02.22'!$A$11:$BB$378,32,FALSE)</f>
        <v>975.55</v>
      </c>
      <c r="AG113" s="40"/>
      <c r="AH113" s="5">
        <f>VLOOKUP($A113,'ПР 01-02.21'!$A$11:$BB$406,34,FALSE)+VLOOKUP($A113,'ПР 21-22'!$A$11:$BB$406,34,FALSE)-VLOOKUP($A113,'ПР 01-02.22'!$A$11:$BB$378,34,FALSE)</f>
        <v>3372.6550217056051</v>
      </c>
      <c r="AI113" s="5">
        <f>VLOOKUP($A113,'ПР 01-02.21'!$A$11:$BB$406,35,FALSE)+VLOOKUP($A113,'ПР 21-22'!$A$11:$BB$406,35,FALSE)-VLOOKUP($A113,'ПР 01-02.22'!$A$11:$BB$378,35,FALSE)</f>
        <v>2980</v>
      </c>
      <c r="AJ113" s="40"/>
      <c r="AK113" s="5">
        <f>VLOOKUP($A113,'ПР 01-02.21'!$A$11:$BB$406,37,FALSE)+VLOOKUP($A113,'ПР 21-22'!$A$11:$BB$406,37,FALSE)-VLOOKUP($A113,'ПР 01-02.22'!$A$11:$BB$378,37,FALSE)</f>
        <v>1602.3290171816559</v>
      </c>
      <c r="AL113" s="5">
        <f>VLOOKUP($A113,'ПР 01-02.21'!$A$11:$BB$406,38,FALSE)+VLOOKUP($A113,'ПР 21-22'!$A$11:$BB$406,38,FALSE)-VLOOKUP($A113,'ПР 01-02.22'!$A$11:$BB$378,38,FALSE)</f>
        <v>0</v>
      </c>
      <c r="AM113" s="40"/>
      <c r="AN113" s="5">
        <f>VLOOKUP($A113,'ПР 01-02.21'!$A$11:$BB$406,40,FALSE)+VLOOKUP($A113,'ПР 21-22'!$A$11:$BB$406,40,FALSE)-VLOOKUP($A113,'ПР 01-02.22'!$A$11:$BB$378,40,FALSE)</f>
        <v>2654.0236475660381</v>
      </c>
      <c r="AO113" s="5">
        <f>VLOOKUP($A113,'ПР 01-02.21'!$A$11:$BB$406,41,FALSE)+VLOOKUP($A113,'ПР 21-22'!$A$11:$BB$406,41,FALSE)-VLOOKUP($A113,'ПР 01-02.22'!$A$11:$BB$378,41,FALSE)</f>
        <v>0</v>
      </c>
      <c r="AP113" s="40"/>
      <c r="AQ113" s="5">
        <f>VLOOKUP($A113,'ПР 01-02.21'!$A$11:$BB$406,43,FALSE)+VLOOKUP($A113,'ПР 21-22'!$A$11:$BB$406,43,FALSE)-VLOOKUP($A113,'ПР 01-02.22'!$A$11:$BB$378,43,FALSE)</f>
        <v>1275.715225914171</v>
      </c>
      <c r="AR113" s="5">
        <f>VLOOKUP($A113,'ПР 01-02.21'!$A$11:$BB$406,44,FALSE)+VLOOKUP($A113,'ПР 21-22'!$A$11:$BB$406,44,FALSE)-VLOOKUP($A113,'ПР 01-02.22'!$A$11:$BB$378,44,FALSE)</f>
        <v>3374</v>
      </c>
      <c r="AS113" s="40"/>
      <c r="AT113" s="5">
        <f>VLOOKUP($A113,'ПР 01-02.21'!$A$11:$BB$406,46,FALSE)+VLOOKUP($A113,'ПР 21-22'!$A$11:$BB$406,46,FALSE)-VLOOKUP($A113,'ПР 01-02.22'!$A$11:$BB$378,46,FALSE)</f>
        <v>1584.8200308353692</v>
      </c>
      <c r="AU113" s="5">
        <f>VLOOKUP($A113,'ПР 01-02.21'!$A$11:$BB$406,47,FALSE)+VLOOKUP($A113,'ПР 21-22'!$A$11:$BB$406,47,FALSE)-VLOOKUP($A113,'ПР 01-02.22'!$A$11:$BB$378,47,FALSE)</f>
        <v>411</v>
      </c>
      <c r="AV113" s="40"/>
      <c r="AW113" s="5">
        <f>VLOOKUP($A113,'ПР 01-02.21'!$A$11:$BB$406,49,FALSE)+VLOOKUP($A113,'ПР 21-22'!$A$11:$BB$406,49,FALSE)-VLOOKUP($A113,'ПР 01-02.22'!$A$11:$BB$378,49,FALSE)</f>
        <v>345.91070091266886</v>
      </c>
      <c r="AX113" s="5">
        <f>VLOOKUP($A113,'ПР 01-02.21'!$A$11:$BB$406,50,FALSE)+VLOOKUP($A113,'ПР 21-22'!$A$11:$BB$406,50,FALSE)-VLOOKUP($A113,'ПР 01-02.22'!$A$11:$BB$378,50,FALSE)</f>
        <v>0</v>
      </c>
      <c r="AY113" s="40"/>
      <c r="AZ113" s="40">
        <f t="shared" si="5"/>
        <v>13962.783638947261</v>
      </c>
      <c r="BA113" s="40">
        <f t="shared" si="5"/>
        <v>7740.55</v>
      </c>
      <c r="BB113" s="55">
        <f t="shared" si="8"/>
        <v>-6222.2336389472612</v>
      </c>
      <c r="BD113" s="2">
        <v>1</v>
      </c>
      <c r="BF113" s="325">
        <v>150000628</v>
      </c>
    </row>
    <row r="114" spans="1:58" ht="24.9" customHeight="1" x14ac:dyDescent="0.3">
      <c r="A114" s="325">
        <v>150000625</v>
      </c>
      <c r="B114" s="445" t="s">
        <v>416</v>
      </c>
      <c r="C114" s="27">
        <v>10</v>
      </c>
      <c r="D114" s="101" t="s">
        <v>455</v>
      </c>
      <c r="E114" s="279">
        <f>'побудинковий звіт'!E112</f>
        <v>4850.6500000000005</v>
      </c>
      <c r="F114" s="441">
        <f>'побудинковий звіт'!AS112</f>
        <v>56366.823000639881</v>
      </c>
      <c r="G114" s="441">
        <f t="shared" si="6"/>
        <v>57119.221046694976</v>
      </c>
      <c r="H114" s="73">
        <f t="shared" si="7"/>
        <v>752.39804605509562</v>
      </c>
      <c r="I114" s="5">
        <f>VLOOKUP($A114,'ПР 01-02.21'!$A$11:$BB$406,9,FALSE)+VLOOKUP($A114,'ПР 21-22'!$A$11:$BB$406,9,FALSE)-VLOOKUP($A114,'ПР 01-02.22'!$A$11:$BB$378,9,FALSE)</f>
        <v>0</v>
      </c>
      <c r="J114" s="5">
        <f>VLOOKUP($A114,'ПР 01-02.21'!$A$11:$BB$406,10,FALSE)+VLOOKUP($A114,'ПР 21-22'!$A$11:$BB$406,10,FALSE)-VLOOKUP($A114,'ПР 01-02.22'!$A$11:$BB$378,10,FALSE)</f>
        <v>0</v>
      </c>
      <c r="K114" s="446"/>
      <c r="L114" s="5">
        <f>VLOOKUP($A114,'ПР 01-02.21'!$A$11:$BB$406,12,FALSE)+VLOOKUP($A114,'ПР 21-22'!$A$11:$BB$406,12,FALSE)-VLOOKUP($A114,'ПР 01-02.22'!$A$11:$BB$378,12,FALSE)</f>
        <v>0</v>
      </c>
      <c r="M114" s="5">
        <f>VLOOKUP($A114,'ПР 01-02.21'!$A$11:$BB$406,13,FALSE)+VLOOKUP($A114,'ПР 21-22'!$A$11:$BB$406,13,FALSE)-VLOOKUP($A114,'ПР 01-02.22'!$A$11:$BB$378,13,FALSE)</f>
        <v>4174</v>
      </c>
      <c r="N114" s="38"/>
      <c r="O114" s="5">
        <f>VLOOKUP($A114,'ПР 01-02.21'!$A$11:$BB$406,15,FALSE)+VLOOKUP($A114,'ПР 21-22'!$A$11:$BB$406,15,FALSE)-VLOOKUP($A114,'ПР 01-02.22'!$A$11:$BB$378,15,FALSE)</f>
        <v>0</v>
      </c>
      <c r="P114" s="5">
        <f>VLOOKUP($A114,'ПР 01-02.21'!$A$11:$BB$406,16,FALSE)+VLOOKUP($A114,'ПР 21-22'!$A$11:$BB$406,16,FALSE)-VLOOKUP($A114,'ПР 01-02.22'!$A$11:$BB$378,16,FALSE)</f>
        <v>0</v>
      </c>
      <c r="Q114" s="443"/>
      <c r="R114" s="5">
        <f>VLOOKUP($A114,'ПР 01-02.21'!$A$11:$BB$406,18,FALSE)+VLOOKUP($A114,'ПР 21-22'!$A$11:$BB$406,18,FALSE)-VLOOKUP($A114,'ПР 01-02.22'!$A$11:$BB$378,18,FALSE)</f>
        <v>4</v>
      </c>
      <c r="S114" s="5">
        <f>VLOOKUP($A114,'ПР 01-02.21'!$A$11:$BB$406,19,FALSE)+VLOOKUP($A114,'ПР 21-22'!$A$11:$BB$406,19,FALSE)-VLOOKUP($A114,'ПР 01-02.22'!$A$11:$BB$378,19,FALSE)</f>
        <v>36342</v>
      </c>
      <c r="T114" s="444"/>
      <c r="U114" s="5">
        <f>VLOOKUP($A114,'ПР 01-02.21'!$A$11:$BB$406,21,FALSE)+VLOOKUP($A114,'ПР 21-22'!$A$11:$BB$406,21,FALSE)-VLOOKUP($A114,'ПР 01-02.22'!$A$11:$BB$378,21,FALSE)</f>
        <v>5604</v>
      </c>
      <c r="V114" s="5"/>
      <c r="W114" s="5">
        <f>VLOOKUP($A114,'ПР 01-02.21'!$A$11:$BB$406,23,FALSE)+VLOOKUP($A114,'ПР 21-22'!$A$11:$BB$406,23,FALSE)-VLOOKUP($A114,'ПР 01-02.22'!$A$11:$BB$378,23,FALSE)</f>
        <v>23</v>
      </c>
      <c r="X114" s="5">
        <f>VLOOKUP($A114,'ПР 01-02.21'!$A$11:$BB$406,24,FALSE)+VLOOKUP($A114,'ПР 21-22'!$A$11:$BB$406,24,FALSE)-VLOOKUP($A114,'ПР 01-02.22'!$A$11:$BB$378,24,FALSE)</f>
        <v>2926.9210466949799</v>
      </c>
      <c r="Y114" s="5">
        <f>VLOOKUP($A114,'ПР 01-02.21'!$A$11:$BB$406,25,FALSE)+VLOOKUP($A114,'ПР 21-22'!$A$11:$BB$406,25,FALSE)-VLOOKUP($A114,'ПР 01-02.22'!$A$11:$BB$378,25,FALSE)</f>
        <v>1528</v>
      </c>
      <c r="Z114" s="5"/>
      <c r="AA114" s="5">
        <f>VLOOKUP($A114,'ПР 01-02.21'!$A$11:$BB$406,27,FALSE)+VLOOKUP($A114,'ПР 21-22'!$A$11:$BB$406,27,FALSE)-VLOOKUP($A114,'ПР 01-02.22'!$A$11:$BB$378,27,FALSE)</f>
        <v>0</v>
      </c>
      <c r="AB114" s="5">
        <f>VLOOKUP($A114,'ПР 01-02.21'!$A$11:$BB$406,28,FALSE)+VLOOKUP($A114,'ПР 21-22'!$A$11:$BB$406,28,FALSE)-VLOOKUP($A114,'ПР 01-02.22'!$A$11:$BB$378,28,FALSE)</f>
        <v>1111.22</v>
      </c>
      <c r="AC114" s="5">
        <f>VLOOKUP($A114,'ПР 01-02.21'!$A$11:$BB$406,29,FALSE)+VLOOKUP($A114,'ПР 21-22'!$A$11:$BB$406,29,FALSE)-VLOOKUP($A114,'ПР 01-02.22'!$A$11:$BB$378,29,FALSE)</f>
        <v>4345.74</v>
      </c>
      <c r="AD114" s="5">
        <f>VLOOKUP($A114,'ПР 01-02.21'!$A$11:$BB$406,30,FALSE)+VLOOKUP($A114,'ПР 21-22'!$A$11:$BB$406,30,FALSE)-VLOOKUP($A114,'ПР 01-02.22'!$A$11:$BB$378,30,FALSE)</f>
        <v>1087.3400000000001</v>
      </c>
      <c r="AE114" s="5">
        <f>VLOOKUP($A114,'ПР 01-02.21'!$A$11:$BB$406,31,FALSE)+VLOOKUP($A114,'ПР 21-22'!$A$11:$BB$406,31,FALSE)-VLOOKUP($A114,'ПР 01-02.22'!$A$11:$BB$378,31,FALSE)</f>
        <v>3442.1659103709148</v>
      </c>
      <c r="AF114" s="5">
        <f>VLOOKUP($A114,'ПР 01-02.21'!$A$11:$BB$406,32,FALSE)+VLOOKUP($A114,'ПР 21-22'!$A$11:$BB$406,32,FALSE)-VLOOKUP($A114,'ПР 01-02.22'!$A$11:$BB$378,32,FALSE)</f>
        <v>0</v>
      </c>
      <c r="AG114" s="40"/>
      <c r="AH114" s="5">
        <f>VLOOKUP($A114,'ПР 01-02.21'!$A$11:$BB$406,34,FALSE)+VLOOKUP($A114,'ПР 21-22'!$A$11:$BB$406,34,FALSE)-VLOOKUP($A114,'ПР 01-02.22'!$A$11:$BB$378,34,FALSE)</f>
        <v>3661.5326101843798</v>
      </c>
      <c r="AI114" s="5">
        <f>VLOOKUP($A114,'ПР 01-02.21'!$A$11:$BB$406,35,FALSE)+VLOOKUP($A114,'ПР 21-22'!$A$11:$BB$406,35,FALSE)-VLOOKUP($A114,'ПР 01-02.22'!$A$11:$BB$378,35,FALSE)</f>
        <v>5027</v>
      </c>
      <c r="AJ114" s="40"/>
      <c r="AK114" s="5">
        <f>VLOOKUP($A114,'ПР 01-02.21'!$A$11:$BB$406,37,FALSE)+VLOOKUP($A114,'ПР 21-22'!$A$11:$BB$406,37,FALSE)-VLOOKUP($A114,'ПР 01-02.22'!$A$11:$BB$378,37,FALSE)</f>
        <v>1679.1771840311987</v>
      </c>
      <c r="AL114" s="5">
        <f>VLOOKUP($A114,'ПР 01-02.21'!$A$11:$BB$406,38,FALSE)+VLOOKUP($A114,'ПР 21-22'!$A$11:$BB$406,38,FALSE)-VLOOKUP($A114,'ПР 01-02.22'!$A$11:$BB$378,38,FALSE)</f>
        <v>0</v>
      </c>
      <c r="AM114" s="40"/>
      <c r="AN114" s="5">
        <f>VLOOKUP($A114,'ПР 01-02.21'!$A$11:$BB$406,40,FALSE)+VLOOKUP($A114,'ПР 21-22'!$A$11:$BB$406,40,FALSE)-VLOOKUP($A114,'ПР 01-02.22'!$A$11:$BB$378,40,FALSE)</f>
        <v>2817.7458616385325</v>
      </c>
      <c r="AO114" s="5">
        <f>VLOOKUP($A114,'ПР 01-02.21'!$A$11:$BB$406,41,FALSE)+VLOOKUP($A114,'ПР 21-22'!$A$11:$BB$406,41,FALSE)-VLOOKUP($A114,'ПР 01-02.22'!$A$11:$BB$378,41,FALSE)</f>
        <v>9502</v>
      </c>
      <c r="AP114" s="40"/>
      <c r="AQ114" s="5">
        <f>VLOOKUP($A114,'ПР 01-02.21'!$A$11:$BB$406,43,FALSE)+VLOOKUP($A114,'ПР 21-22'!$A$11:$BB$406,43,FALSE)-VLOOKUP($A114,'ПР 01-02.22'!$A$11:$BB$378,43,FALSE)</f>
        <v>1362.49771709895</v>
      </c>
      <c r="AR114" s="5">
        <f>VLOOKUP($A114,'ПР 01-02.21'!$A$11:$BB$406,44,FALSE)+VLOOKUP($A114,'ПР 21-22'!$A$11:$BB$406,44,FALSE)-VLOOKUP($A114,'ПР 01-02.22'!$A$11:$BB$378,44,FALSE)</f>
        <v>0</v>
      </c>
      <c r="AS114" s="40"/>
      <c r="AT114" s="5">
        <f>VLOOKUP($A114,'ПР 01-02.21'!$A$11:$BB$406,46,FALSE)+VLOOKUP($A114,'ПР 21-22'!$A$11:$BB$406,46,FALSE)-VLOOKUP($A114,'ПР 01-02.22'!$A$11:$BB$378,46,FALSE)</f>
        <v>1692.2489002027924</v>
      </c>
      <c r="AU114" s="5">
        <f>VLOOKUP($A114,'ПР 01-02.21'!$A$11:$BB$406,47,FALSE)+VLOOKUP($A114,'ПР 21-22'!$A$11:$BB$406,47,FALSE)-VLOOKUP($A114,'ПР 01-02.22'!$A$11:$BB$378,47,FALSE)</f>
        <v>316</v>
      </c>
      <c r="AV114" s="40"/>
      <c r="AW114" s="5">
        <f>VLOOKUP($A114,'ПР 01-02.21'!$A$11:$BB$406,49,FALSE)+VLOOKUP($A114,'ПР 21-22'!$A$11:$BB$406,49,FALSE)-VLOOKUP($A114,'ПР 01-02.22'!$A$11:$BB$378,49,FALSE)</f>
        <v>283.2151513236434</v>
      </c>
      <c r="AX114" s="5">
        <f>VLOOKUP($A114,'ПР 01-02.21'!$A$11:$BB$406,50,FALSE)+VLOOKUP($A114,'ПР 21-22'!$A$11:$BB$406,50,FALSE)-VLOOKUP($A114,'ПР 01-02.22'!$A$11:$BB$378,50,FALSE)</f>
        <v>0</v>
      </c>
      <c r="AY114" s="40"/>
      <c r="AZ114" s="40">
        <f t="shared" si="5"/>
        <v>14938.583334850411</v>
      </c>
      <c r="BA114" s="40">
        <f t="shared" si="5"/>
        <v>14845</v>
      </c>
      <c r="BB114" s="55">
        <f t="shared" si="8"/>
        <v>-93.58333485041112</v>
      </c>
      <c r="BD114" s="2">
        <v>1</v>
      </c>
      <c r="BF114" s="325">
        <v>150000625</v>
      </c>
    </row>
    <row r="115" spans="1:58" ht="24.9" customHeight="1" x14ac:dyDescent="0.3">
      <c r="A115" s="325">
        <v>150000629</v>
      </c>
      <c r="B115" s="445" t="s">
        <v>358</v>
      </c>
      <c r="C115" s="27">
        <v>9</v>
      </c>
      <c r="D115" s="101" t="s">
        <v>455</v>
      </c>
      <c r="E115" s="279">
        <f>'побудинковий звіт'!E113</f>
        <v>9553.74</v>
      </c>
      <c r="F115" s="441">
        <f>'побудинковий звіт'!AS113</f>
        <v>134993.03622710236</v>
      </c>
      <c r="G115" s="441">
        <f t="shared" si="6"/>
        <v>96813.561046694973</v>
      </c>
      <c r="H115" s="73">
        <f t="shared" si="7"/>
        <v>-38179.475180407389</v>
      </c>
      <c r="I115" s="5">
        <f>VLOOKUP($A115,'ПР 01-02.21'!$A$11:$BB$406,9,FALSE)+VLOOKUP($A115,'ПР 21-22'!$A$11:$BB$406,9,FALSE)-VLOOKUP($A115,'ПР 01-02.22'!$A$11:$BB$378,9,FALSE)</f>
        <v>77.599999999999994</v>
      </c>
      <c r="J115" s="5">
        <f>VLOOKUP($A115,'ПР 01-02.21'!$A$11:$BB$406,10,FALSE)+VLOOKUP($A115,'ПР 21-22'!$A$11:$BB$406,10,FALSE)-VLOOKUP($A115,'ПР 01-02.22'!$A$11:$BB$378,10,FALSE)</f>
        <v>14036</v>
      </c>
      <c r="K115" s="450"/>
      <c r="L115" s="5">
        <f>VLOOKUP($A115,'ПР 01-02.21'!$A$11:$BB$406,12,FALSE)+VLOOKUP($A115,'ПР 21-22'!$A$11:$BB$406,12,FALSE)-VLOOKUP($A115,'ПР 01-02.22'!$A$11:$BB$378,12,FALSE)</f>
        <v>0</v>
      </c>
      <c r="M115" s="5">
        <f>VLOOKUP($A115,'ПР 01-02.21'!$A$11:$BB$406,13,FALSE)+VLOOKUP($A115,'ПР 21-22'!$A$11:$BB$406,13,FALSE)-VLOOKUP($A115,'ПР 01-02.22'!$A$11:$BB$378,13,FALSE)</f>
        <v>199.24</v>
      </c>
      <c r="N115" s="38"/>
      <c r="O115" s="5">
        <f>VLOOKUP($A115,'ПР 01-02.21'!$A$11:$BB$406,15,FALSE)+VLOOKUP($A115,'ПР 21-22'!$A$11:$BB$406,15,FALSE)-VLOOKUP($A115,'ПР 01-02.22'!$A$11:$BB$378,15,FALSE)</f>
        <v>190</v>
      </c>
      <c r="P115" s="5">
        <f>VLOOKUP($A115,'ПР 01-02.21'!$A$11:$BB$406,16,FALSE)+VLOOKUP($A115,'ПР 21-22'!$A$11:$BB$406,16,FALSE)-VLOOKUP($A115,'ПР 01-02.22'!$A$11:$BB$378,16,FALSE)</f>
        <v>44354</v>
      </c>
      <c r="Q115" s="443"/>
      <c r="R115" s="5">
        <f>VLOOKUP($A115,'ПР 01-02.21'!$A$11:$BB$406,18,FALSE)+VLOOKUP($A115,'ПР 21-22'!$A$11:$BB$406,18,FALSE)-VLOOKUP($A115,'ПР 01-02.22'!$A$11:$BB$378,18,FALSE)</f>
        <v>1</v>
      </c>
      <c r="S115" s="5">
        <f>VLOOKUP($A115,'ПР 01-02.21'!$A$11:$BB$406,19,FALSE)+VLOOKUP($A115,'ПР 21-22'!$A$11:$BB$406,19,FALSE)-VLOOKUP($A115,'ПР 01-02.22'!$A$11:$BB$378,19,FALSE)</f>
        <v>3064</v>
      </c>
      <c r="T115" s="444"/>
      <c r="U115" s="5">
        <f>VLOOKUP($A115,'ПР 01-02.21'!$A$11:$BB$406,21,FALSE)+VLOOKUP($A115,'ПР 21-22'!$A$11:$BB$406,21,FALSE)-VLOOKUP($A115,'ПР 01-02.22'!$A$11:$BB$378,21,FALSE)</f>
        <v>0</v>
      </c>
      <c r="V115" s="5"/>
      <c r="W115" s="5">
        <f>VLOOKUP($A115,'ПР 01-02.21'!$A$11:$BB$406,23,FALSE)+VLOOKUP($A115,'ПР 21-22'!$A$11:$BB$406,23,FALSE)-VLOOKUP($A115,'ПР 01-02.22'!$A$11:$BB$378,23,FALSE)</f>
        <v>0</v>
      </c>
      <c r="X115" s="5">
        <f>VLOOKUP($A115,'ПР 01-02.21'!$A$11:$BB$406,24,FALSE)+VLOOKUP($A115,'ПР 21-22'!$A$11:$BB$406,24,FALSE)-VLOOKUP($A115,'ПР 01-02.22'!$A$11:$BB$378,24,FALSE)</f>
        <v>57.591046694979831</v>
      </c>
      <c r="Y115" s="5">
        <f>VLOOKUP($A115,'ПР 01-02.21'!$A$11:$BB$406,25,FALSE)+VLOOKUP($A115,'ПР 21-22'!$A$11:$BB$406,25,FALSE)-VLOOKUP($A115,'ПР 01-02.22'!$A$11:$BB$378,25,FALSE)</f>
        <v>13525.59</v>
      </c>
      <c r="Z115" s="5"/>
      <c r="AA115" s="5">
        <f>VLOOKUP($A115,'ПР 01-02.21'!$A$11:$BB$406,27,FALSE)+VLOOKUP($A115,'ПР 21-22'!$A$11:$BB$406,27,FALSE)-VLOOKUP($A115,'ПР 01-02.22'!$A$11:$BB$378,27,FALSE)</f>
        <v>0</v>
      </c>
      <c r="AB115" s="5">
        <f>VLOOKUP($A115,'ПР 01-02.21'!$A$11:$BB$406,28,FALSE)+VLOOKUP($A115,'ПР 21-22'!$A$11:$BB$406,28,FALSE)-VLOOKUP($A115,'ПР 01-02.22'!$A$11:$BB$378,28,FALSE)</f>
        <v>303.83</v>
      </c>
      <c r="AC115" s="5">
        <f>VLOOKUP($A115,'ПР 01-02.21'!$A$11:$BB$406,29,FALSE)+VLOOKUP($A115,'ПР 21-22'!$A$11:$BB$406,29,FALSE)-VLOOKUP($A115,'ПР 01-02.22'!$A$11:$BB$378,29,FALSE)</f>
        <v>15579</v>
      </c>
      <c r="AD115" s="5">
        <f>VLOOKUP($A115,'ПР 01-02.21'!$A$11:$BB$406,30,FALSE)+VLOOKUP($A115,'ПР 21-22'!$A$11:$BB$406,30,FALSE)-VLOOKUP($A115,'ПР 01-02.22'!$A$11:$BB$378,30,FALSE)</f>
        <v>5694.3099999999995</v>
      </c>
      <c r="AE115" s="5">
        <f>VLOOKUP($A115,'ПР 01-02.21'!$A$11:$BB$406,31,FALSE)+VLOOKUP($A115,'ПР 21-22'!$A$11:$BB$406,31,FALSE)-VLOOKUP($A115,'ПР 01-02.22'!$A$11:$BB$378,31,FALSE)</f>
        <v>4977.1842937367428</v>
      </c>
      <c r="AF115" s="5">
        <f>VLOOKUP($A115,'ПР 01-02.21'!$A$11:$BB$406,32,FALSE)+VLOOKUP($A115,'ПР 21-22'!$A$11:$BB$406,32,FALSE)-VLOOKUP($A115,'ПР 01-02.22'!$A$11:$BB$378,32,FALSE)</f>
        <v>732.14</v>
      </c>
      <c r="AG115" s="40"/>
      <c r="AH115" s="5">
        <f>VLOOKUP($A115,'ПР 01-02.21'!$A$11:$BB$406,34,FALSE)+VLOOKUP($A115,'ПР 21-22'!$A$11:$BB$406,34,FALSE)-VLOOKUP($A115,'ПР 01-02.22'!$A$11:$BB$378,34,FALSE)</f>
        <v>5920.0982854632666</v>
      </c>
      <c r="AI115" s="5">
        <f>VLOOKUP($A115,'ПР 01-02.21'!$A$11:$BB$406,35,FALSE)+VLOOKUP($A115,'ПР 21-22'!$A$11:$BB$406,35,FALSE)-VLOOKUP($A115,'ПР 01-02.22'!$A$11:$BB$378,35,FALSE)</f>
        <v>8339</v>
      </c>
      <c r="AJ115" s="40"/>
      <c r="AK115" s="5">
        <f>VLOOKUP($A115,'ПР 01-02.21'!$A$11:$BB$406,37,FALSE)+VLOOKUP($A115,'ПР 21-22'!$A$11:$BB$406,37,FALSE)-VLOOKUP($A115,'ПР 01-02.22'!$A$11:$BB$378,37,FALSE)</f>
        <v>4476.1554894038454</v>
      </c>
      <c r="AL115" s="5">
        <f>VLOOKUP($A115,'ПР 01-02.21'!$A$11:$BB$406,38,FALSE)+VLOOKUP($A115,'ПР 21-22'!$A$11:$BB$406,38,FALSE)-VLOOKUP($A115,'ПР 01-02.22'!$A$11:$BB$378,38,FALSE)</f>
        <v>1959</v>
      </c>
      <c r="AM115" s="40"/>
      <c r="AN115" s="5">
        <f>VLOOKUP($A115,'ПР 01-02.21'!$A$11:$BB$406,40,FALSE)+VLOOKUP($A115,'ПР 21-22'!$A$11:$BB$406,40,FALSE)-VLOOKUP($A115,'ПР 01-02.22'!$A$11:$BB$378,40,FALSE)</f>
        <v>6070.2932627989876</v>
      </c>
      <c r="AO115" s="5">
        <f>VLOOKUP($A115,'ПР 01-02.21'!$A$11:$BB$406,41,FALSE)+VLOOKUP($A115,'ПР 21-22'!$A$11:$BB$406,41,FALSE)-VLOOKUP($A115,'ПР 01-02.22'!$A$11:$BB$378,41,FALSE)</f>
        <v>0</v>
      </c>
      <c r="AP115" s="40"/>
      <c r="AQ115" s="5">
        <f>VLOOKUP($A115,'ПР 01-02.21'!$A$11:$BB$406,43,FALSE)+VLOOKUP($A115,'ПР 21-22'!$A$11:$BB$406,43,FALSE)-VLOOKUP($A115,'ПР 01-02.22'!$A$11:$BB$378,43,FALSE)</f>
        <v>7538.3321296486165</v>
      </c>
      <c r="AR115" s="5">
        <f>VLOOKUP($A115,'ПР 01-02.21'!$A$11:$BB$406,44,FALSE)+VLOOKUP($A115,'ПР 21-22'!$A$11:$BB$406,44,FALSE)-VLOOKUP($A115,'ПР 01-02.22'!$A$11:$BB$378,44,FALSE)</f>
        <v>0</v>
      </c>
      <c r="AS115" s="40"/>
      <c r="AT115" s="5">
        <f>VLOOKUP($A115,'ПР 01-02.21'!$A$11:$BB$406,46,FALSE)+VLOOKUP($A115,'ПР 21-22'!$A$11:$BB$406,46,FALSE)-VLOOKUP($A115,'ПР 01-02.22'!$A$11:$BB$378,46,FALSE)</f>
        <v>4809.9316270472245</v>
      </c>
      <c r="AU115" s="5">
        <f>VLOOKUP($A115,'ПР 01-02.21'!$A$11:$BB$406,47,FALSE)+VLOOKUP($A115,'ПР 21-22'!$A$11:$BB$406,47,FALSE)-VLOOKUP($A115,'ПР 01-02.22'!$A$11:$BB$378,47,FALSE)</f>
        <v>0</v>
      </c>
      <c r="AV115" s="40"/>
      <c r="AW115" s="5">
        <f>VLOOKUP($A115,'ПР 01-02.21'!$A$11:$BB$406,49,FALSE)+VLOOKUP($A115,'ПР 21-22'!$A$11:$BB$406,49,FALSE)-VLOOKUP($A115,'ПР 01-02.22'!$A$11:$BB$378,49,FALSE)</f>
        <v>980.56148144825215</v>
      </c>
      <c r="AX115" s="5">
        <f>VLOOKUP($A115,'ПР 01-02.21'!$A$11:$BB$406,50,FALSE)+VLOOKUP($A115,'ПР 21-22'!$A$11:$BB$406,50,FALSE)-VLOOKUP($A115,'ПР 01-02.22'!$A$11:$BB$378,50,FALSE)</f>
        <v>0</v>
      </c>
      <c r="AY115" s="40"/>
      <c r="AZ115" s="40">
        <f t="shared" si="5"/>
        <v>34772.556569546941</v>
      </c>
      <c r="BA115" s="40">
        <f t="shared" si="5"/>
        <v>11030.14</v>
      </c>
      <c r="BB115" s="55">
        <f t="shared" si="8"/>
        <v>-23742.416569546942</v>
      </c>
      <c r="BD115" s="2">
        <v>1</v>
      </c>
      <c r="BF115" s="325">
        <v>150000629</v>
      </c>
    </row>
    <row r="116" spans="1:58" ht="24.9" customHeight="1" x14ac:dyDescent="0.3">
      <c r="A116" s="325">
        <v>150000626</v>
      </c>
      <c r="B116" s="445" t="s">
        <v>359</v>
      </c>
      <c r="C116" s="27">
        <v>9</v>
      </c>
      <c r="D116" s="101" t="s">
        <v>455</v>
      </c>
      <c r="E116" s="279">
        <f>'побудинковий звіт'!E114</f>
        <v>7507.43</v>
      </c>
      <c r="F116" s="441">
        <f>'побудинковий звіт'!AS114</f>
        <v>94980.364476847652</v>
      </c>
      <c r="G116" s="441">
        <f t="shared" si="6"/>
        <v>113104.40385424791</v>
      </c>
      <c r="H116" s="73">
        <f t="shared" si="7"/>
        <v>18124.039377400259</v>
      </c>
      <c r="I116" s="5">
        <f>VLOOKUP($A116,'ПР 01-02.21'!$A$11:$BB$406,9,FALSE)+VLOOKUP($A116,'ПР 21-22'!$A$11:$BB$406,9,FALSE)-VLOOKUP($A116,'ПР 01-02.22'!$A$11:$BB$378,9,FALSE)</f>
        <v>210.5</v>
      </c>
      <c r="J116" s="5">
        <f>VLOOKUP($A116,'ПР 01-02.21'!$A$11:$BB$406,10,FALSE)+VLOOKUP($A116,'ПР 21-22'!$A$11:$BB$406,10,FALSE)-VLOOKUP($A116,'ПР 01-02.22'!$A$11:$BB$378,10,FALSE)</f>
        <v>36656.839999999997</v>
      </c>
      <c r="K116" s="446"/>
      <c r="L116" s="5">
        <f>VLOOKUP($A116,'ПР 01-02.21'!$A$11:$BB$406,12,FALSE)+VLOOKUP($A116,'ПР 21-22'!$A$11:$BB$406,12,FALSE)-VLOOKUP($A116,'ПР 01-02.22'!$A$11:$BB$378,12,FALSE)</f>
        <v>0</v>
      </c>
      <c r="M116" s="5">
        <f>VLOOKUP($A116,'ПР 01-02.21'!$A$11:$BB$406,13,FALSE)+VLOOKUP($A116,'ПР 21-22'!$A$11:$BB$406,13,FALSE)-VLOOKUP($A116,'ПР 01-02.22'!$A$11:$BB$378,13,FALSE)</f>
        <v>288.42</v>
      </c>
      <c r="N116" s="38"/>
      <c r="O116" s="5">
        <f>VLOOKUP($A116,'ПР 01-02.21'!$A$11:$BB$406,15,FALSE)+VLOOKUP($A116,'ПР 21-22'!$A$11:$BB$406,15,FALSE)-VLOOKUP($A116,'ПР 01-02.22'!$A$11:$BB$378,15,FALSE)</f>
        <v>0</v>
      </c>
      <c r="P116" s="5">
        <f>VLOOKUP($A116,'ПР 01-02.21'!$A$11:$BB$406,16,FALSE)+VLOOKUP($A116,'ПР 21-22'!$A$11:$BB$406,16,FALSE)-VLOOKUP($A116,'ПР 01-02.22'!$A$11:$BB$378,16,FALSE)</f>
        <v>0</v>
      </c>
      <c r="Q116" s="443"/>
      <c r="R116" s="5">
        <f>VLOOKUP($A116,'ПР 01-02.21'!$A$11:$BB$406,18,FALSE)+VLOOKUP($A116,'ПР 21-22'!$A$11:$BB$406,18,FALSE)-VLOOKUP($A116,'ПР 01-02.22'!$A$11:$BB$378,18,FALSE)</f>
        <v>4</v>
      </c>
      <c r="S116" s="5">
        <f>VLOOKUP($A116,'ПР 01-02.21'!$A$11:$BB$406,19,FALSE)+VLOOKUP($A116,'ПР 21-22'!$A$11:$BB$406,19,FALSE)-VLOOKUP($A116,'ПР 01-02.22'!$A$11:$BB$378,19,FALSE)</f>
        <v>53835</v>
      </c>
      <c r="T116" s="444"/>
      <c r="U116" s="5">
        <f>VLOOKUP($A116,'ПР 01-02.21'!$A$11:$BB$406,21,FALSE)+VLOOKUP($A116,'ПР 21-22'!$A$11:$BB$406,21,FALSE)-VLOOKUP($A116,'ПР 01-02.22'!$A$11:$BB$378,21,FALSE)</f>
        <v>0</v>
      </c>
      <c r="V116" s="5"/>
      <c r="W116" s="5">
        <f>VLOOKUP($A116,'ПР 01-02.21'!$A$11:$BB$406,23,FALSE)+VLOOKUP($A116,'ПР 21-22'!$A$11:$BB$406,23,FALSE)-VLOOKUP($A116,'ПР 01-02.22'!$A$11:$BB$378,23,FALSE)</f>
        <v>0</v>
      </c>
      <c r="X116" s="5">
        <f>VLOOKUP($A116,'ПР 01-02.21'!$A$11:$BB$406,24,FALSE)+VLOOKUP($A116,'ПР 21-22'!$A$11:$BB$406,24,FALSE)-VLOOKUP($A116,'ПР 01-02.22'!$A$11:$BB$378,24,FALSE)</f>
        <v>865.85385424790547</v>
      </c>
      <c r="Y116" s="5">
        <f>VLOOKUP($A116,'ПР 01-02.21'!$A$11:$BB$406,25,FALSE)+VLOOKUP($A116,'ПР 21-22'!$A$11:$BB$406,25,FALSE)-VLOOKUP($A116,'ПР 01-02.22'!$A$11:$BB$378,25,FALSE)</f>
        <v>9406</v>
      </c>
      <c r="Z116" s="5"/>
      <c r="AA116" s="5">
        <f>VLOOKUP($A116,'ПР 01-02.21'!$A$11:$BB$406,27,FALSE)+VLOOKUP($A116,'ПР 21-22'!$A$11:$BB$406,27,FALSE)-VLOOKUP($A116,'ПР 01-02.22'!$A$11:$BB$378,27,FALSE)</f>
        <v>0</v>
      </c>
      <c r="AB116" s="5">
        <f>VLOOKUP($A116,'ПР 01-02.21'!$A$11:$BB$406,28,FALSE)+VLOOKUP($A116,'ПР 21-22'!$A$11:$BB$406,28,FALSE)-VLOOKUP($A116,'ПР 01-02.22'!$A$11:$BB$378,28,FALSE)</f>
        <v>3575.28</v>
      </c>
      <c r="AC116" s="5">
        <f>VLOOKUP($A116,'ПР 01-02.21'!$A$11:$BB$406,29,FALSE)+VLOOKUP($A116,'ПР 21-22'!$A$11:$BB$406,29,FALSE)-VLOOKUP($A116,'ПР 01-02.22'!$A$11:$BB$378,29,FALSE)</f>
        <v>1276.77</v>
      </c>
      <c r="AD116" s="5">
        <f>VLOOKUP($A116,'ПР 01-02.21'!$A$11:$BB$406,30,FALSE)+VLOOKUP($A116,'ПР 21-22'!$A$11:$BB$406,30,FALSE)-VLOOKUP($A116,'ПР 01-02.22'!$A$11:$BB$378,30,FALSE)</f>
        <v>7200.24</v>
      </c>
      <c r="AE116" s="5">
        <f>VLOOKUP($A116,'ПР 01-02.21'!$A$11:$BB$406,31,FALSE)+VLOOKUP($A116,'ПР 21-22'!$A$11:$BB$406,31,FALSE)-VLOOKUP($A116,'ПР 01-02.22'!$A$11:$BB$378,31,FALSE)</f>
        <v>4152.8642804814808</v>
      </c>
      <c r="AF116" s="5">
        <f>VLOOKUP($A116,'ПР 01-02.21'!$A$11:$BB$406,32,FALSE)+VLOOKUP($A116,'ПР 21-22'!$A$11:$BB$406,32,FALSE)-VLOOKUP($A116,'ПР 01-02.22'!$A$11:$BB$378,32,FALSE)</f>
        <v>3650</v>
      </c>
      <c r="AG116" s="40"/>
      <c r="AH116" s="5">
        <f>VLOOKUP($A116,'ПР 01-02.21'!$A$11:$BB$406,34,FALSE)+VLOOKUP($A116,'ПР 21-22'!$A$11:$BB$406,34,FALSE)-VLOOKUP($A116,'ПР 01-02.22'!$A$11:$BB$378,34,FALSE)</f>
        <v>5564.4575384613563</v>
      </c>
      <c r="AI116" s="5">
        <f>VLOOKUP($A116,'ПР 01-02.21'!$A$11:$BB$406,35,FALSE)+VLOOKUP($A116,'ПР 21-22'!$A$11:$BB$406,35,FALSE)-VLOOKUP($A116,'ПР 01-02.22'!$A$11:$BB$378,35,FALSE)</f>
        <v>20847</v>
      </c>
      <c r="AJ116" s="40"/>
      <c r="AK116" s="5">
        <f>VLOOKUP($A116,'ПР 01-02.21'!$A$11:$BB$406,37,FALSE)+VLOOKUP($A116,'ПР 21-22'!$A$11:$BB$406,37,FALSE)-VLOOKUP($A116,'ПР 01-02.22'!$A$11:$BB$378,37,FALSE)</f>
        <v>3034.7458239407674</v>
      </c>
      <c r="AL116" s="5">
        <f>VLOOKUP($A116,'ПР 01-02.21'!$A$11:$BB$406,38,FALSE)+VLOOKUP($A116,'ПР 21-22'!$A$11:$BB$406,38,FALSE)-VLOOKUP($A116,'ПР 01-02.22'!$A$11:$BB$378,38,FALSE)</f>
        <v>0</v>
      </c>
      <c r="AM116" s="40"/>
      <c r="AN116" s="5">
        <f>VLOOKUP($A116,'ПР 01-02.21'!$A$11:$BB$406,40,FALSE)+VLOOKUP($A116,'ПР 21-22'!$A$11:$BB$406,40,FALSE)-VLOOKUP($A116,'ПР 01-02.22'!$A$11:$BB$378,40,FALSE)</f>
        <v>4357.9847436760519</v>
      </c>
      <c r="AO116" s="5">
        <f>VLOOKUP($A116,'ПР 01-02.21'!$A$11:$BB$406,41,FALSE)+VLOOKUP($A116,'ПР 21-22'!$A$11:$BB$406,41,FALSE)-VLOOKUP($A116,'ПР 01-02.22'!$A$11:$BB$378,41,FALSE)</f>
        <v>2555</v>
      </c>
      <c r="AP116" s="40"/>
      <c r="AQ116" s="5">
        <f>VLOOKUP($A116,'ПР 01-02.21'!$A$11:$BB$406,43,FALSE)+VLOOKUP($A116,'ПР 21-22'!$A$11:$BB$406,43,FALSE)-VLOOKUP($A116,'ПР 01-02.22'!$A$11:$BB$378,43,FALSE)</f>
        <v>3768.7085986347311</v>
      </c>
      <c r="AR116" s="5">
        <f>VLOOKUP($A116,'ПР 01-02.21'!$A$11:$BB$406,44,FALSE)+VLOOKUP($A116,'ПР 21-22'!$A$11:$BB$406,44,FALSE)-VLOOKUP($A116,'ПР 01-02.22'!$A$11:$BB$378,44,FALSE)</f>
        <v>54</v>
      </c>
      <c r="AS116" s="40"/>
      <c r="AT116" s="5">
        <f>VLOOKUP($A116,'ПР 01-02.21'!$A$11:$BB$406,46,FALSE)+VLOOKUP($A116,'ПР 21-22'!$A$11:$BB$406,46,FALSE)-VLOOKUP($A116,'ПР 01-02.22'!$A$11:$BB$378,46,FALSE)</f>
        <v>5250.7624308735785</v>
      </c>
      <c r="AU116" s="5">
        <f>VLOOKUP($A116,'ПР 01-02.21'!$A$11:$BB$406,47,FALSE)+VLOOKUP($A116,'ПР 21-22'!$A$11:$BB$406,47,FALSE)-VLOOKUP($A116,'ПР 01-02.22'!$A$11:$BB$378,47,FALSE)</f>
        <v>0</v>
      </c>
      <c r="AV116" s="40"/>
      <c r="AW116" s="5">
        <f>VLOOKUP($A116,'ПР 01-02.21'!$A$11:$BB$406,49,FALSE)+VLOOKUP($A116,'ПР 21-22'!$A$11:$BB$406,49,FALSE)-VLOOKUP($A116,'ПР 01-02.22'!$A$11:$BB$378,49,FALSE)</f>
        <v>668.08006790152342</v>
      </c>
      <c r="AX116" s="5">
        <f>VLOOKUP($A116,'ПР 01-02.21'!$A$11:$BB$406,50,FALSE)+VLOOKUP($A116,'ПР 21-22'!$A$11:$BB$406,50,FALSE)-VLOOKUP($A116,'ПР 01-02.22'!$A$11:$BB$378,50,FALSE)</f>
        <v>0</v>
      </c>
      <c r="AY116" s="40"/>
      <c r="AZ116" s="40">
        <f t="shared" si="5"/>
        <v>26797.603483969488</v>
      </c>
      <c r="BA116" s="40">
        <f t="shared" si="5"/>
        <v>27106</v>
      </c>
      <c r="BB116" s="55">
        <f t="shared" si="8"/>
        <v>308.39651603051243</v>
      </c>
      <c r="BD116" s="2">
        <v>1</v>
      </c>
      <c r="BF116" s="325">
        <v>150000626</v>
      </c>
    </row>
    <row r="117" spans="1:58" ht="24.9" customHeight="1" x14ac:dyDescent="0.3">
      <c r="A117" s="325">
        <v>150000603</v>
      </c>
      <c r="B117" s="445" t="s">
        <v>154</v>
      </c>
      <c r="C117" s="27">
        <v>2</v>
      </c>
      <c r="D117" s="101" t="s">
        <v>455</v>
      </c>
      <c r="E117" s="279">
        <f>'побудинковий звіт'!E115</f>
        <v>506.90000000000003</v>
      </c>
      <c r="F117" s="441">
        <f>'побудинковий звіт'!AS115</f>
        <v>6111.7617319661995</v>
      </c>
      <c r="G117" s="441">
        <f t="shared" si="6"/>
        <v>251</v>
      </c>
      <c r="H117" s="73">
        <f t="shared" si="7"/>
        <v>-5860.7617319661995</v>
      </c>
      <c r="I117" s="5">
        <f>VLOOKUP($A117,'ПР 01-02.21'!$A$11:$BB$406,9,FALSE)+VLOOKUP($A117,'ПР 21-22'!$A$11:$BB$406,9,FALSE)-VLOOKUP($A117,'ПР 01-02.22'!$A$11:$BB$378,9,FALSE)</f>
        <v>0</v>
      </c>
      <c r="J117" s="5">
        <f>VLOOKUP($A117,'ПР 01-02.21'!$A$11:$BB$406,10,FALSE)+VLOOKUP($A117,'ПР 21-22'!$A$11:$BB$406,10,FALSE)-VLOOKUP($A117,'ПР 01-02.22'!$A$11:$BB$378,10,FALSE)</f>
        <v>0</v>
      </c>
      <c r="K117" s="446"/>
      <c r="L117" s="5">
        <f>VLOOKUP($A117,'ПР 01-02.21'!$A$11:$BB$406,12,FALSE)+VLOOKUP($A117,'ПР 21-22'!$A$11:$BB$406,12,FALSE)-VLOOKUP($A117,'ПР 01-02.22'!$A$11:$BB$378,12,FALSE)</f>
        <v>0</v>
      </c>
      <c r="M117" s="5">
        <f>VLOOKUP($A117,'ПР 01-02.21'!$A$11:$BB$406,13,FALSE)+VLOOKUP($A117,'ПР 21-22'!$A$11:$BB$406,13,FALSE)-VLOOKUP($A117,'ПР 01-02.22'!$A$11:$BB$378,13,FALSE)</f>
        <v>0</v>
      </c>
      <c r="N117" s="38"/>
      <c r="O117" s="5">
        <f>VLOOKUP($A117,'ПР 01-02.21'!$A$11:$BB$406,15,FALSE)+VLOOKUP($A117,'ПР 21-22'!$A$11:$BB$406,15,FALSE)-VLOOKUP($A117,'ПР 01-02.22'!$A$11:$BB$378,15,FALSE)</f>
        <v>0</v>
      </c>
      <c r="P117" s="5">
        <f>VLOOKUP($A117,'ПР 01-02.21'!$A$11:$BB$406,16,FALSE)+VLOOKUP($A117,'ПР 21-22'!$A$11:$BB$406,16,FALSE)-VLOOKUP($A117,'ПР 01-02.22'!$A$11:$BB$378,16,FALSE)</f>
        <v>0</v>
      </c>
      <c r="Q117" s="443"/>
      <c r="R117" s="5">
        <f>VLOOKUP($A117,'ПР 01-02.21'!$A$11:$BB$406,18,FALSE)+VLOOKUP($A117,'ПР 21-22'!$A$11:$BB$406,18,FALSE)-VLOOKUP($A117,'ПР 01-02.22'!$A$11:$BB$378,18,FALSE)</f>
        <v>0</v>
      </c>
      <c r="S117" s="5">
        <f>VLOOKUP($A117,'ПР 01-02.21'!$A$11:$BB$406,19,FALSE)+VLOOKUP($A117,'ПР 21-22'!$A$11:$BB$406,19,FALSE)-VLOOKUP($A117,'ПР 01-02.22'!$A$11:$BB$378,19,FALSE)</f>
        <v>0</v>
      </c>
      <c r="T117" s="444"/>
      <c r="U117" s="5">
        <f>VLOOKUP($A117,'ПР 01-02.21'!$A$11:$BB$406,21,FALSE)+VLOOKUP($A117,'ПР 21-22'!$A$11:$BB$406,21,FALSE)-VLOOKUP($A117,'ПР 01-02.22'!$A$11:$BB$378,21,FALSE)</f>
        <v>0</v>
      </c>
      <c r="V117" s="5"/>
      <c r="W117" s="5">
        <f>VLOOKUP($A117,'ПР 01-02.21'!$A$11:$BB$406,23,FALSE)+VLOOKUP($A117,'ПР 21-22'!$A$11:$BB$406,23,FALSE)-VLOOKUP($A117,'ПР 01-02.22'!$A$11:$BB$378,23,FALSE)</f>
        <v>0</v>
      </c>
      <c r="X117" s="5">
        <f>VLOOKUP($A117,'ПР 01-02.21'!$A$11:$BB$406,24,FALSE)+VLOOKUP($A117,'ПР 21-22'!$A$11:$BB$406,24,FALSE)-VLOOKUP($A117,'ПР 01-02.22'!$A$11:$BB$378,24,FALSE)</f>
        <v>0</v>
      </c>
      <c r="Y117" s="5">
        <f>VLOOKUP($A117,'ПР 01-02.21'!$A$11:$BB$406,25,FALSE)+VLOOKUP($A117,'ПР 21-22'!$A$11:$BB$406,25,FALSE)-VLOOKUP($A117,'ПР 01-02.22'!$A$11:$BB$378,25,FALSE)</f>
        <v>0</v>
      </c>
      <c r="Z117" s="5"/>
      <c r="AA117" s="5">
        <f>VLOOKUP($A117,'ПР 01-02.21'!$A$11:$BB$406,27,FALSE)+VLOOKUP($A117,'ПР 21-22'!$A$11:$BB$406,27,FALSE)-VLOOKUP($A117,'ПР 01-02.22'!$A$11:$BB$378,27,FALSE)</f>
        <v>0</v>
      </c>
      <c r="AB117" s="5">
        <f>VLOOKUP($A117,'ПР 01-02.21'!$A$11:$BB$406,28,FALSE)+VLOOKUP($A117,'ПР 21-22'!$A$11:$BB$406,28,FALSE)-VLOOKUP($A117,'ПР 01-02.22'!$A$11:$BB$378,28,FALSE)</f>
        <v>0</v>
      </c>
      <c r="AC117" s="5">
        <f>VLOOKUP($A117,'ПР 01-02.21'!$A$11:$BB$406,29,FALSE)+VLOOKUP($A117,'ПР 21-22'!$A$11:$BB$406,29,FALSE)-VLOOKUP($A117,'ПР 01-02.22'!$A$11:$BB$378,29,FALSE)</f>
        <v>0</v>
      </c>
      <c r="AD117" s="5">
        <f>VLOOKUP($A117,'ПР 01-02.21'!$A$11:$BB$406,30,FALSE)+VLOOKUP($A117,'ПР 21-22'!$A$11:$BB$406,30,FALSE)-VLOOKUP($A117,'ПР 01-02.22'!$A$11:$BB$378,30,FALSE)</f>
        <v>251</v>
      </c>
      <c r="AE117" s="5">
        <f>VLOOKUP($A117,'ПР 01-02.21'!$A$11:$BB$406,31,FALSE)+VLOOKUP($A117,'ПР 21-22'!$A$11:$BB$406,31,FALSE)-VLOOKUP($A117,'ПР 01-02.22'!$A$11:$BB$378,31,FALSE)</f>
        <v>600.29422049419293</v>
      </c>
      <c r="AF117" s="5">
        <f>VLOOKUP($A117,'ПР 01-02.21'!$A$11:$BB$406,32,FALSE)+VLOOKUP($A117,'ПР 21-22'!$A$11:$BB$406,32,FALSE)-VLOOKUP($A117,'ПР 01-02.22'!$A$11:$BB$378,32,FALSE)</f>
        <v>0</v>
      </c>
      <c r="AG117" s="40"/>
      <c r="AH117" s="5">
        <f>VLOOKUP($A117,'ПР 01-02.21'!$A$11:$BB$406,34,FALSE)+VLOOKUP($A117,'ПР 21-22'!$A$11:$BB$406,34,FALSE)-VLOOKUP($A117,'ПР 01-02.22'!$A$11:$BB$378,34,FALSE)</f>
        <v>638.8883303400396</v>
      </c>
      <c r="AI117" s="5">
        <f>VLOOKUP($A117,'ПР 01-02.21'!$A$11:$BB$406,35,FALSE)+VLOOKUP($A117,'ПР 21-22'!$A$11:$BB$406,35,FALSE)-VLOOKUP($A117,'ПР 01-02.22'!$A$11:$BB$378,35,FALSE)</f>
        <v>0</v>
      </c>
      <c r="AJ117" s="40"/>
      <c r="AK117" s="5">
        <f>VLOOKUP($A117,'ПР 01-02.21'!$A$11:$BB$406,37,FALSE)+VLOOKUP($A117,'ПР 21-22'!$A$11:$BB$406,37,FALSE)-VLOOKUP($A117,'ПР 01-02.22'!$A$11:$BB$378,37,FALSE)</f>
        <v>225.57486607663287</v>
      </c>
      <c r="AL117" s="5">
        <f>VLOOKUP($A117,'ПР 01-02.21'!$A$11:$BB$406,38,FALSE)+VLOOKUP($A117,'ПР 21-22'!$A$11:$BB$406,38,FALSE)-VLOOKUP($A117,'ПР 01-02.22'!$A$11:$BB$378,38,FALSE)</f>
        <v>0</v>
      </c>
      <c r="AM117" s="40"/>
      <c r="AN117" s="5">
        <f>VLOOKUP($A117,'ПР 01-02.21'!$A$11:$BB$406,40,FALSE)+VLOOKUP($A117,'ПР 21-22'!$A$11:$BB$406,40,FALSE)-VLOOKUP($A117,'ПР 01-02.22'!$A$11:$BB$378,40,FALSE)</f>
        <v>0</v>
      </c>
      <c r="AO117" s="5">
        <f>VLOOKUP($A117,'ПР 01-02.21'!$A$11:$BB$406,41,FALSE)+VLOOKUP($A117,'ПР 21-22'!$A$11:$BB$406,41,FALSE)-VLOOKUP($A117,'ПР 01-02.22'!$A$11:$BB$378,41,FALSE)</f>
        <v>0</v>
      </c>
      <c r="AP117" s="40"/>
      <c r="AQ117" s="5">
        <f>VLOOKUP($A117,'ПР 01-02.21'!$A$11:$BB$406,43,FALSE)+VLOOKUP($A117,'ПР 21-22'!$A$11:$BB$406,43,FALSE)-VLOOKUP($A117,'ПР 01-02.22'!$A$11:$BB$378,43,FALSE)</f>
        <v>0</v>
      </c>
      <c r="AR117" s="5">
        <f>VLOOKUP($A117,'ПР 01-02.21'!$A$11:$BB$406,44,FALSE)+VLOOKUP($A117,'ПР 21-22'!$A$11:$BB$406,44,FALSE)-VLOOKUP($A117,'ПР 01-02.22'!$A$11:$BB$378,44,FALSE)</f>
        <v>0</v>
      </c>
      <c r="AS117" s="40"/>
      <c r="AT117" s="5">
        <f>VLOOKUP($A117,'ПР 01-02.21'!$A$11:$BB$406,46,FALSE)+VLOOKUP($A117,'ПР 21-22'!$A$11:$BB$406,46,FALSE)-VLOOKUP($A117,'ПР 01-02.22'!$A$11:$BB$378,46,FALSE)</f>
        <v>109.48116279239635</v>
      </c>
      <c r="AU117" s="5">
        <f>VLOOKUP($A117,'ПР 01-02.21'!$A$11:$BB$406,47,FALSE)+VLOOKUP($A117,'ПР 21-22'!$A$11:$BB$406,47,FALSE)-VLOOKUP($A117,'ПР 01-02.22'!$A$11:$BB$378,47,FALSE)</f>
        <v>0</v>
      </c>
      <c r="AV117" s="40"/>
      <c r="AW117" s="5">
        <f>VLOOKUP($A117,'ПР 01-02.21'!$A$11:$BB$406,49,FALSE)+VLOOKUP($A117,'ПР 21-22'!$A$11:$BB$406,49,FALSE)-VLOOKUP($A117,'ПР 01-02.22'!$A$11:$BB$378,49,FALSE)</f>
        <v>25.276000000000003</v>
      </c>
      <c r="AX117" s="5">
        <f>VLOOKUP($A117,'ПР 01-02.21'!$A$11:$BB$406,50,FALSE)+VLOOKUP($A117,'ПР 21-22'!$A$11:$BB$406,50,FALSE)-VLOOKUP($A117,'ПР 01-02.22'!$A$11:$BB$378,50,FALSE)</f>
        <v>0</v>
      </c>
      <c r="AY117" s="40"/>
      <c r="AZ117" s="40">
        <f t="shared" si="5"/>
        <v>1599.5145797032619</v>
      </c>
      <c r="BA117" s="40">
        <f t="shared" si="5"/>
        <v>0</v>
      </c>
      <c r="BB117" s="55">
        <f t="shared" si="8"/>
        <v>-1599.5145797032619</v>
      </c>
      <c r="BD117" s="2">
        <v>2</v>
      </c>
      <c r="BF117" s="325">
        <v>150000603</v>
      </c>
    </row>
    <row r="118" spans="1:58" ht="24.9" customHeight="1" x14ac:dyDescent="0.3">
      <c r="A118" s="325">
        <v>150001562</v>
      </c>
      <c r="B118" s="445" t="s">
        <v>209</v>
      </c>
      <c r="C118" s="27">
        <v>4</v>
      </c>
      <c r="D118" s="101" t="s">
        <v>455</v>
      </c>
      <c r="E118" s="279">
        <f>'побудинковий звіт'!E116</f>
        <v>2425.9</v>
      </c>
      <c r="F118" s="441">
        <f>'побудинковий звіт'!AS116</f>
        <v>40459.083324033389</v>
      </c>
      <c r="G118" s="441">
        <f t="shared" si="6"/>
        <v>9605</v>
      </c>
      <c r="H118" s="73">
        <f t="shared" si="7"/>
        <v>-30854.083324033389</v>
      </c>
      <c r="I118" s="5">
        <f>VLOOKUP($A118,'ПР 01-02.21'!$A$11:$BB$406,9,FALSE)+VLOOKUP($A118,'ПР 21-22'!$A$11:$BB$406,9,FALSE)-VLOOKUP($A118,'ПР 01-02.22'!$A$11:$BB$378,9,FALSE)</f>
        <v>0</v>
      </c>
      <c r="J118" s="5">
        <f>VLOOKUP($A118,'ПР 01-02.21'!$A$11:$BB$406,10,FALSE)+VLOOKUP($A118,'ПР 21-22'!$A$11:$BB$406,10,FALSE)-VLOOKUP($A118,'ПР 01-02.22'!$A$11:$BB$378,10,FALSE)</f>
        <v>0</v>
      </c>
      <c r="K118" s="446"/>
      <c r="L118" s="5">
        <f>VLOOKUP($A118,'ПР 01-02.21'!$A$11:$BB$406,12,FALSE)+VLOOKUP($A118,'ПР 21-22'!$A$11:$BB$406,12,FALSE)-VLOOKUP($A118,'ПР 01-02.22'!$A$11:$BB$378,12,FALSE)</f>
        <v>0</v>
      </c>
      <c r="M118" s="5">
        <f>VLOOKUP($A118,'ПР 01-02.21'!$A$11:$BB$406,13,FALSE)+VLOOKUP($A118,'ПР 21-22'!$A$11:$BB$406,13,FALSE)-VLOOKUP($A118,'ПР 01-02.22'!$A$11:$BB$378,13,FALSE)</f>
        <v>0</v>
      </c>
      <c r="N118" s="38"/>
      <c r="O118" s="5">
        <f>VLOOKUP($A118,'ПР 01-02.21'!$A$11:$BB$406,15,FALSE)+VLOOKUP($A118,'ПР 21-22'!$A$11:$BB$406,15,FALSE)-VLOOKUP($A118,'ПР 01-02.22'!$A$11:$BB$378,15,FALSE)</f>
        <v>0</v>
      </c>
      <c r="P118" s="5">
        <f>VLOOKUP($A118,'ПР 01-02.21'!$A$11:$BB$406,16,FALSE)+VLOOKUP($A118,'ПР 21-22'!$A$11:$BB$406,16,FALSE)-VLOOKUP($A118,'ПР 01-02.22'!$A$11:$BB$378,16,FALSE)</f>
        <v>0</v>
      </c>
      <c r="Q118" s="443"/>
      <c r="R118" s="5">
        <f>VLOOKUP($A118,'ПР 01-02.21'!$A$11:$BB$406,18,FALSE)+VLOOKUP($A118,'ПР 21-22'!$A$11:$BB$406,18,FALSE)-VLOOKUP($A118,'ПР 01-02.22'!$A$11:$BB$378,18,FALSE)</f>
        <v>0</v>
      </c>
      <c r="S118" s="5">
        <f>VLOOKUP($A118,'ПР 01-02.21'!$A$11:$BB$406,19,FALSE)+VLOOKUP($A118,'ПР 21-22'!$A$11:$BB$406,19,FALSE)-VLOOKUP($A118,'ПР 01-02.22'!$A$11:$BB$378,19,FALSE)</f>
        <v>0</v>
      </c>
      <c r="T118" s="444"/>
      <c r="U118" s="5">
        <f>VLOOKUP($A118,'ПР 01-02.21'!$A$11:$BB$406,21,FALSE)+VLOOKUP($A118,'ПР 21-22'!$A$11:$BB$406,21,FALSE)-VLOOKUP($A118,'ПР 01-02.22'!$A$11:$BB$378,21,FALSE)</f>
        <v>0</v>
      </c>
      <c r="V118" s="5"/>
      <c r="W118" s="5">
        <f>VLOOKUP($A118,'ПР 01-02.21'!$A$11:$BB$406,23,FALSE)+VLOOKUP($A118,'ПР 21-22'!$A$11:$BB$406,23,FALSE)-VLOOKUP($A118,'ПР 01-02.22'!$A$11:$BB$378,23,FALSE)</f>
        <v>0</v>
      </c>
      <c r="X118" s="5">
        <f>VLOOKUP($A118,'ПР 01-02.21'!$A$11:$BB$406,24,FALSE)+VLOOKUP($A118,'ПР 21-22'!$A$11:$BB$406,24,FALSE)-VLOOKUP($A118,'ПР 01-02.22'!$A$11:$BB$378,24,FALSE)</f>
        <v>0</v>
      </c>
      <c r="Y118" s="5">
        <f>VLOOKUP($A118,'ПР 01-02.21'!$A$11:$BB$406,25,FALSE)+VLOOKUP($A118,'ПР 21-22'!$A$11:$BB$406,25,FALSE)-VLOOKUP($A118,'ПР 01-02.22'!$A$11:$BB$378,25,FALSE)</f>
        <v>9354</v>
      </c>
      <c r="Z118" s="5"/>
      <c r="AA118" s="5">
        <f>VLOOKUP($A118,'ПР 01-02.21'!$A$11:$BB$406,27,FALSE)+VLOOKUP($A118,'ПР 21-22'!$A$11:$BB$406,27,FALSE)-VLOOKUP($A118,'ПР 01-02.22'!$A$11:$BB$378,27,FALSE)</f>
        <v>0</v>
      </c>
      <c r="AB118" s="5">
        <f>VLOOKUP($A118,'ПР 01-02.21'!$A$11:$BB$406,28,FALSE)+VLOOKUP($A118,'ПР 21-22'!$A$11:$BB$406,28,FALSE)-VLOOKUP($A118,'ПР 01-02.22'!$A$11:$BB$378,28,FALSE)</f>
        <v>0</v>
      </c>
      <c r="AC118" s="5">
        <f>VLOOKUP($A118,'ПР 01-02.21'!$A$11:$BB$406,29,FALSE)+VLOOKUP($A118,'ПР 21-22'!$A$11:$BB$406,29,FALSE)-VLOOKUP($A118,'ПР 01-02.22'!$A$11:$BB$378,29,FALSE)</f>
        <v>0</v>
      </c>
      <c r="AD118" s="5">
        <f>VLOOKUP($A118,'ПР 01-02.21'!$A$11:$BB$406,30,FALSE)+VLOOKUP($A118,'ПР 21-22'!$A$11:$BB$406,30,FALSE)-VLOOKUP($A118,'ПР 01-02.22'!$A$11:$BB$378,30,FALSE)</f>
        <v>251</v>
      </c>
      <c r="AE118" s="5">
        <f>VLOOKUP($A118,'ПР 01-02.21'!$A$11:$BB$406,31,FALSE)+VLOOKUP($A118,'ПР 21-22'!$A$11:$BB$406,31,FALSE)-VLOOKUP($A118,'ПР 01-02.22'!$A$11:$BB$378,31,FALSE)</f>
        <v>2624.6588801295193</v>
      </c>
      <c r="AF118" s="5">
        <f>VLOOKUP($A118,'ПР 01-02.21'!$A$11:$BB$406,32,FALSE)+VLOOKUP($A118,'ПР 21-22'!$A$11:$BB$406,32,FALSE)-VLOOKUP($A118,'ПР 01-02.22'!$A$11:$BB$378,32,FALSE)</f>
        <v>0</v>
      </c>
      <c r="AG118" s="40"/>
      <c r="AH118" s="5">
        <f>VLOOKUP($A118,'ПР 01-02.21'!$A$11:$BB$406,34,FALSE)+VLOOKUP($A118,'ПР 21-22'!$A$11:$BB$406,34,FALSE)-VLOOKUP($A118,'ПР 01-02.22'!$A$11:$BB$378,34,FALSE)</f>
        <v>1719.8077424610249</v>
      </c>
      <c r="AI118" s="5">
        <f>VLOOKUP($A118,'ПР 01-02.21'!$A$11:$BB$406,35,FALSE)+VLOOKUP($A118,'ПР 21-22'!$A$11:$BB$406,35,FALSE)-VLOOKUP($A118,'ПР 01-02.22'!$A$11:$BB$378,35,FALSE)</f>
        <v>0</v>
      </c>
      <c r="AJ118" s="40"/>
      <c r="AK118" s="5">
        <f>VLOOKUP($A118,'ПР 01-02.21'!$A$11:$BB$406,37,FALSE)+VLOOKUP($A118,'ПР 21-22'!$A$11:$BB$406,37,FALSE)-VLOOKUP($A118,'ПР 01-02.22'!$A$11:$BB$378,37,FALSE)</f>
        <v>0</v>
      </c>
      <c r="AL118" s="5">
        <f>VLOOKUP($A118,'ПР 01-02.21'!$A$11:$BB$406,38,FALSE)+VLOOKUP($A118,'ПР 21-22'!$A$11:$BB$406,38,FALSE)-VLOOKUP($A118,'ПР 01-02.22'!$A$11:$BB$378,38,FALSE)</f>
        <v>0</v>
      </c>
      <c r="AM118" s="40"/>
      <c r="AN118" s="5">
        <f>VLOOKUP($A118,'ПР 01-02.21'!$A$11:$BB$406,40,FALSE)+VLOOKUP($A118,'ПР 21-22'!$A$11:$BB$406,40,FALSE)-VLOOKUP($A118,'ПР 01-02.22'!$A$11:$BB$378,40,FALSE)</f>
        <v>0</v>
      </c>
      <c r="AO118" s="5">
        <f>VLOOKUP($A118,'ПР 01-02.21'!$A$11:$BB$406,41,FALSE)+VLOOKUP($A118,'ПР 21-22'!$A$11:$BB$406,41,FALSE)-VLOOKUP($A118,'ПР 01-02.22'!$A$11:$BB$378,41,FALSE)</f>
        <v>0</v>
      </c>
      <c r="AP118" s="40"/>
      <c r="AQ118" s="5">
        <f>VLOOKUP($A118,'ПР 01-02.21'!$A$11:$BB$406,43,FALSE)+VLOOKUP($A118,'ПР 21-22'!$A$11:$BB$406,43,FALSE)-VLOOKUP($A118,'ПР 01-02.22'!$A$11:$BB$378,43,FALSE)</f>
        <v>0</v>
      </c>
      <c r="AR118" s="5">
        <f>VLOOKUP($A118,'ПР 01-02.21'!$A$11:$BB$406,44,FALSE)+VLOOKUP($A118,'ПР 21-22'!$A$11:$BB$406,44,FALSE)-VLOOKUP($A118,'ПР 01-02.22'!$A$11:$BB$378,44,FALSE)</f>
        <v>0</v>
      </c>
      <c r="AS118" s="40"/>
      <c r="AT118" s="5">
        <f>VLOOKUP($A118,'ПР 01-02.21'!$A$11:$BB$406,46,FALSE)+VLOOKUP($A118,'ПР 21-22'!$A$11:$BB$406,46,FALSE)-VLOOKUP($A118,'ПР 01-02.22'!$A$11:$BB$378,46,FALSE)</f>
        <v>822.43939980666232</v>
      </c>
      <c r="AU118" s="5">
        <f>VLOOKUP($A118,'ПР 01-02.21'!$A$11:$BB$406,47,FALSE)+VLOOKUP($A118,'ПР 21-22'!$A$11:$BB$406,47,FALSE)-VLOOKUP($A118,'ПР 01-02.22'!$A$11:$BB$378,47,FALSE)</f>
        <v>0</v>
      </c>
      <c r="AV118" s="40"/>
      <c r="AW118" s="5">
        <f>VLOOKUP($A118,'ПР 01-02.21'!$A$11:$BB$406,49,FALSE)+VLOOKUP($A118,'ПР 21-22'!$A$11:$BB$406,49,FALSE)-VLOOKUP($A118,'ПР 01-02.22'!$A$11:$BB$378,49,FALSE)</f>
        <v>121.4</v>
      </c>
      <c r="AX118" s="5">
        <f>VLOOKUP($A118,'ПР 01-02.21'!$A$11:$BB$406,50,FALSE)+VLOOKUP($A118,'ПР 21-22'!$A$11:$BB$406,50,FALSE)-VLOOKUP($A118,'ПР 01-02.22'!$A$11:$BB$378,50,FALSE)</f>
        <v>0</v>
      </c>
      <c r="AY118" s="40"/>
      <c r="AZ118" s="40">
        <f t="shared" si="5"/>
        <v>5288.3060223972061</v>
      </c>
      <c r="BA118" s="40">
        <f t="shared" si="5"/>
        <v>0</v>
      </c>
      <c r="BB118" s="55">
        <f t="shared" si="8"/>
        <v>-5288.3060223972061</v>
      </c>
      <c r="BD118" s="2">
        <v>2</v>
      </c>
      <c r="BF118" s="325">
        <v>150001562</v>
      </c>
    </row>
    <row r="119" spans="1:58" ht="24.9" customHeight="1" x14ac:dyDescent="0.3">
      <c r="A119" s="325">
        <v>150000604</v>
      </c>
      <c r="B119" s="445" t="s">
        <v>155</v>
      </c>
      <c r="C119" s="27">
        <v>2</v>
      </c>
      <c r="D119" s="101" t="s">
        <v>455</v>
      </c>
      <c r="E119" s="279">
        <f>'побудинковий звіт'!E117</f>
        <v>452.1</v>
      </c>
      <c r="F119" s="441">
        <f>'побудинковий звіт'!AS117</f>
        <v>4457.8241600732099</v>
      </c>
      <c r="G119" s="441">
        <f t="shared" si="6"/>
        <v>125</v>
      </c>
      <c r="H119" s="73">
        <f t="shared" si="7"/>
        <v>-4332.8241600732099</v>
      </c>
      <c r="I119" s="5">
        <f>VLOOKUP($A119,'ПР 01-02.21'!$A$11:$BB$406,9,FALSE)+VLOOKUP($A119,'ПР 21-22'!$A$11:$BB$406,9,FALSE)-VLOOKUP($A119,'ПР 01-02.22'!$A$11:$BB$378,9,FALSE)</f>
        <v>0</v>
      </c>
      <c r="J119" s="5">
        <f>VLOOKUP($A119,'ПР 01-02.21'!$A$11:$BB$406,10,FALSE)+VLOOKUP($A119,'ПР 21-22'!$A$11:$BB$406,10,FALSE)-VLOOKUP($A119,'ПР 01-02.22'!$A$11:$BB$378,10,FALSE)</f>
        <v>0</v>
      </c>
      <c r="K119" s="446"/>
      <c r="L119" s="5">
        <f>VLOOKUP($A119,'ПР 01-02.21'!$A$11:$BB$406,12,FALSE)+VLOOKUP($A119,'ПР 21-22'!$A$11:$BB$406,12,FALSE)-VLOOKUP($A119,'ПР 01-02.22'!$A$11:$BB$378,12,FALSE)</f>
        <v>0</v>
      </c>
      <c r="M119" s="5">
        <f>VLOOKUP($A119,'ПР 01-02.21'!$A$11:$BB$406,13,FALSE)+VLOOKUP($A119,'ПР 21-22'!$A$11:$BB$406,13,FALSE)-VLOOKUP($A119,'ПР 01-02.22'!$A$11:$BB$378,13,FALSE)</f>
        <v>0</v>
      </c>
      <c r="N119" s="38"/>
      <c r="O119" s="5">
        <f>VLOOKUP($A119,'ПР 01-02.21'!$A$11:$BB$406,15,FALSE)+VLOOKUP($A119,'ПР 21-22'!$A$11:$BB$406,15,FALSE)-VLOOKUP($A119,'ПР 01-02.22'!$A$11:$BB$378,15,FALSE)</f>
        <v>0</v>
      </c>
      <c r="P119" s="5">
        <f>VLOOKUP($A119,'ПР 01-02.21'!$A$11:$BB$406,16,FALSE)+VLOOKUP($A119,'ПР 21-22'!$A$11:$BB$406,16,FALSE)-VLOOKUP($A119,'ПР 01-02.22'!$A$11:$BB$378,16,FALSE)</f>
        <v>0</v>
      </c>
      <c r="Q119" s="443"/>
      <c r="R119" s="5">
        <f>VLOOKUP($A119,'ПР 01-02.21'!$A$11:$BB$406,18,FALSE)+VLOOKUP($A119,'ПР 21-22'!$A$11:$BB$406,18,FALSE)-VLOOKUP($A119,'ПР 01-02.22'!$A$11:$BB$378,18,FALSE)</f>
        <v>0</v>
      </c>
      <c r="S119" s="5">
        <f>VLOOKUP($A119,'ПР 01-02.21'!$A$11:$BB$406,19,FALSE)+VLOOKUP($A119,'ПР 21-22'!$A$11:$BB$406,19,FALSE)-VLOOKUP($A119,'ПР 01-02.22'!$A$11:$BB$378,19,FALSE)</f>
        <v>0</v>
      </c>
      <c r="T119" s="444"/>
      <c r="U119" s="5">
        <f>VLOOKUP($A119,'ПР 01-02.21'!$A$11:$BB$406,21,FALSE)+VLOOKUP($A119,'ПР 21-22'!$A$11:$BB$406,21,FALSE)-VLOOKUP($A119,'ПР 01-02.22'!$A$11:$BB$378,21,FALSE)</f>
        <v>0</v>
      </c>
      <c r="V119" s="5"/>
      <c r="W119" s="5">
        <f>VLOOKUP($A119,'ПР 01-02.21'!$A$11:$BB$406,23,FALSE)+VLOOKUP($A119,'ПР 21-22'!$A$11:$BB$406,23,FALSE)-VLOOKUP($A119,'ПР 01-02.22'!$A$11:$BB$378,23,FALSE)</f>
        <v>0</v>
      </c>
      <c r="X119" s="5">
        <f>VLOOKUP($A119,'ПР 01-02.21'!$A$11:$BB$406,24,FALSE)+VLOOKUP($A119,'ПР 21-22'!$A$11:$BB$406,24,FALSE)-VLOOKUP($A119,'ПР 01-02.22'!$A$11:$BB$378,24,FALSE)</f>
        <v>0</v>
      </c>
      <c r="Y119" s="5">
        <f>VLOOKUP($A119,'ПР 01-02.21'!$A$11:$BB$406,25,FALSE)+VLOOKUP($A119,'ПР 21-22'!$A$11:$BB$406,25,FALSE)-VLOOKUP($A119,'ПР 01-02.22'!$A$11:$BB$378,25,FALSE)</f>
        <v>0</v>
      </c>
      <c r="Z119" s="5"/>
      <c r="AA119" s="5">
        <f>VLOOKUP($A119,'ПР 01-02.21'!$A$11:$BB$406,27,FALSE)+VLOOKUP($A119,'ПР 21-22'!$A$11:$BB$406,27,FALSE)-VLOOKUP($A119,'ПР 01-02.22'!$A$11:$BB$378,27,FALSE)</f>
        <v>0</v>
      </c>
      <c r="AB119" s="5">
        <f>VLOOKUP($A119,'ПР 01-02.21'!$A$11:$BB$406,28,FALSE)+VLOOKUP($A119,'ПР 21-22'!$A$11:$BB$406,28,FALSE)-VLOOKUP($A119,'ПР 01-02.22'!$A$11:$BB$378,28,FALSE)</f>
        <v>0</v>
      </c>
      <c r="AC119" s="5">
        <f>VLOOKUP($A119,'ПР 01-02.21'!$A$11:$BB$406,29,FALSE)+VLOOKUP($A119,'ПР 21-22'!$A$11:$BB$406,29,FALSE)-VLOOKUP($A119,'ПР 01-02.22'!$A$11:$BB$378,29,FALSE)</f>
        <v>0</v>
      </c>
      <c r="AD119" s="5">
        <f>VLOOKUP($A119,'ПР 01-02.21'!$A$11:$BB$406,30,FALSE)+VLOOKUP($A119,'ПР 21-22'!$A$11:$BB$406,30,FALSE)-VLOOKUP($A119,'ПР 01-02.22'!$A$11:$BB$378,30,FALSE)</f>
        <v>125</v>
      </c>
      <c r="AE119" s="5">
        <f>VLOOKUP($A119,'ПР 01-02.21'!$A$11:$BB$406,31,FALSE)+VLOOKUP($A119,'ПР 21-22'!$A$11:$BB$406,31,FALSE)-VLOOKUP($A119,'ПР 01-02.22'!$A$11:$BB$378,31,FALSE)</f>
        <v>560.92281563186918</v>
      </c>
      <c r="AF119" s="5">
        <f>VLOOKUP($A119,'ПР 01-02.21'!$A$11:$BB$406,32,FALSE)+VLOOKUP($A119,'ПР 21-22'!$A$11:$BB$406,32,FALSE)-VLOOKUP($A119,'ПР 01-02.22'!$A$11:$BB$378,32,FALSE)</f>
        <v>0</v>
      </c>
      <c r="AG119" s="40"/>
      <c r="AH119" s="5">
        <f>VLOOKUP($A119,'ПР 01-02.21'!$A$11:$BB$406,34,FALSE)+VLOOKUP($A119,'ПР 21-22'!$A$11:$BB$406,34,FALSE)-VLOOKUP($A119,'ПР 01-02.22'!$A$11:$BB$378,34,FALSE)</f>
        <v>630.69925591193578</v>
      </c>
      <c r="AI119" s="5">
        <f>VLOOKUP($A119,'ПР 01-02.21'!$A$11:$BB$406,35,FALSE)+VLOOKUP($A119,'ПР 21-22'!$A$11:$BB$406,35,FALSE)-VLOOKUP($A119,'ПР 01-02.22'!$A$11:$BB$378,35,FALSE)</f>
        <v>0</v>
      </c>
      <c r="AJ119" s="40"/>
      <c r="AK119" s="5">
        <f>VLOOKUP($A119,'ПР 01-02.21'!$A$11:$BB$406,37,FALSE)+VLOOKUP($A119,'ПР 21-22'!$A$11:$BB$406,37,FALSE)-VLOOKUP($A119,'ПР 01-02.22'!$A$11:$BB$378,37,FALSE)</f>
        <v>184.50001642306046</v>
      </c>
      <c r="AL119" s="5">
        <f>VLOOKUP($A119,'ПР 01-02.21'!$A$11:$BB$406,38,FALSE)+VLOOKUP($A119,'ПР 21-22'!$A$11:$BB$406,38,FALSE)-VLOOKUP($A119,'ПР 01-02.22'!$A$11:$BB$378,38,FALSE)</f>
        <v>0</v>
      </c>
      <c r="AM119" s="40"/>
      <c r="AN119" s="5">
        <f>VLOOKUP($A119,'ПР 01-02.21'!$A$11:$BB$406,40,FALSE)+VLOOKUP($A119,'ПР 21-22'!$A$11:$BB$406,40,FALSE)-VLOOKUP($A119,'ПР 01-02.22'!$A$11:$BB$378,40,FALSE)</f>
        <v>0</v>
      </c>
      <c r="AO119" s="5">
        <f>VLOOKUP($A119,'ПР 01-02.21'!$A$11:$BB$406,41,FALSE)+VLOOKUP($A119,'ПР 21-22'!$A$11:$BB$406,41,FALSE)-VLOOKUP($A119,'ПР 01-02.22'!$A$11:$BB$378,41,FALSE)</f>
        <v>0</v>
      </c>
      <c r="AP119" s="40"/>
      <c r="AQ119" s="5">
        <f>VLOOKUP($A119,'ПР 01-02.21'!$A$11:$BB$406,43,FALSE)+VLOOKUP($A119,'ПР 21-22'!$A$11:$BB$406,43,FALSE)-VLOOKUP($A119,'ПР 01-02.22'!$A$11:$BB$378,43,FALSE)</f>
        <v>0</v>
      </c>
      <c r="AR119" s="5">
        <f>VLOOKUP($A119,'ПР 01-02.21'!$A$11:$BB$406,44,FALSE)+VLOOKUP($A119,'ПР 21-22'!$A$11:$BB$406,44,FALSE)-VLOOKUP($A119,'ПР 01-02.22'!$A$11:$BB$378,44,FALSE)</f>
        <v>0</v>
      </c>
      <c r="AS119" s="40"/>
      <c r="AT119" s="5">
        <f>VLOOKUP($A119,'ПР 01-02.21'!$A$11:$BB$406,46,FALSE)+VLOOKUP($A119,'ПР 21-22'!$A$11:$BB$406,46,FALSE)-VLOOKUP($A119,'ПР 01-02.22'!$A$11:$BB$378,46,FALSE)</f>
        <v>107.84259282150536</v>
      </c>
      <c r="AU119" s="5">
        <f>VLOOKUP($A119,'ПР 01-02.21'!$A$11:$BB$406,47,FALSE)+VLOOKUP($A119,'ПР 21-22'!$A$11:$BB$406,47,FALSE)-VLOOKUP($A119,'ПР 01-02.22'!$A$11:$BB$378,47,FALSE)</f>
        <v>709</v>
      </c>
      <c r="AV119" s="40"/>
      <c r="AW119" s="5">
        <f>VLOOKUP($A119,'ПР 01-02.21'!$A$11:$BB$406,49,FALSE)+VLOOKUP($A119,'ПР 21-22'!$A$11:$BB$406,49,FALSE)-VLOOKUP($A119,'ПР 01-02.22'!$A$11:$BB$378,49,FALSE)</f>
        <v>23.084</v>
      </c>
      <c r="AX119" s="5">
        <f>VLOOKUP($A119,'ПР 01-02.21'!$A$11:$BB$406,50,FALSE)+VLOOKUP($A119,'ПР 21-22'!$A$11:$BB$406,50,FALSE)-VLOOKUP($A119,'ПР 01-02.22'!$A$11:$BB$378,50,FALSE)</f>
        <v>0</v>
      </c>
      <c r="AY119" s="40"/>
      <c r="AZ119" s="40">
        <f t="shared" si="5"/>
        <v>1507.0486807883708</v>
      </c>
      <c r="BA119" s="40">
        <f t="shared" si="5"/>
        <v>709</v>
      </c>
      <c r="BB119" s="55">
        <f t="shared" si="8"/>
        <v>-798.0486807883708</v>
      </c>
      <c r="BD119" s="2">
        <v>2</v>
      </c>
      <c r="BF119" s="325">
        <v>150000604</v>
      </c>
    </row>
    <row r="120" spans="1:58" ht="24.9" customHeight="1" x14ac:dyDescent="0.3">
      <c r="A120" s="325">
        <v>150000605</v>
      </c>
      <c r="B120" s="445" t="s">
        <v>156</v>
      </c>
      <c r="C120" s="27">
        <v>2</v>
      </c>
      <c r="D120" s="101" t="s">
        <v>455</v>
      </c>
      <c r="E120" s="279">
        <f>'побудинковий звіт'!E118</f>
        <v>379</v>
      </c>
      <c r="F120" s="441">
        <f>'побудинковий звіт'!AS118</f>
        <v>4849.6149196401338</v>
      </c>
      <c r="G120" s="441">
        <f t="shared" si="6"/>
        <v>125</v>
      </c>
      <c r="H120" s="73">
        <f t="shared" si="7"/>
        <v>-4724.6149196401338</v>
      </c>
      <c r="I120" s="5">
        <f>VLOOKUP($A120,'ПР 01-02.21'!$A$11:$BB$406,9,FALSE)+VLOOKUP($A120,'ПР 21-22'!$A$11:$BB$406,9,FALSE)-VLOOKUP($A120,'ПР 01-02.22'!$A$11:$BB$378,9,FALSE)</f>
        <v>0</v>
      </c>
      <c r="J120" s="5">
        <f>VLOOKUP($A120,'ПР 01-02.21'!$A$11:$BB$406,10,FALSE)+VLOOKUP($A120,'ПР 21-22'!$A$11:$BB$406,10,FALSE)-VLOOKUP($A120,'ПР 01-02.22'!$A$11:$BB$378,10,FALSE)</f>
        <v>0</v>
      </c>
      <c r="K120" s="446"/>
      <c r="L120" s="5">
        <f>VLOOKUP($A120,'ПР 01-02.21'!$A$11:$BB$406,12,FALSE)+VLOOKUP($A120,'ПР 21-22'!$A$11:$BB$406,12,FALSE)-VLOOKUP($A120,'ПР 01-02.22'!$A$11:$BB$378,12,FALSE)</f>
        <v>0</v>
      </c>
      <c r="M120" s="5">
        <f>VLOOKUP($A120,'ПР 01-02.21'!$A$11:$BB$406,13,FALSE)+VLOOKUP($A120,'ПР 21-22'!$A$11:$BB$406,13,FALSE)-VLOOKUP($A120,'ПР 01-02.22'!$A$11:$BB$378,13,FALSE)</f>
        <v>0</v>
      </c>
      <c r="N120" s="38"/>
      <c r="O120" s="5">
        <f>VLOOKUP($A120,'ПР 01-02.21'!$A$11:$BB$406,15,FALSE)+VLOOKUP($A120,'ПР 21-22'!$A$11:$BB$406,15,FALSE)-VLOOKUP($A120,'ПР 01-02.22'!$A$11:$BB$378,15,FALSE)</f>
        <v>0</v>
      </c>
      <c r="P120" s="5">
        <f>VLOOKUP($A120,'ПР 01-02.21'!$A$11:$BB$406,16,FALSE)+VLOOKUP($A120,'ПР 21-22'!$A$11:$BB$406,16,FALSE)-VLOOKUP($A120,'ПР 01-02.22'!$A$11:$BB$378,16,FALSE)</f>
        <v>0</v>
      </c>
      <c r="Q120" s="443"/>
      <c r="R120" s="5">
        <f>VLOOKUP($A120,'ПР 01-02.21'!$A$11:$BB$406,18,FALSE)+VLOOKUP($A120,'ПР 21-22'!$A$11:$BB$406,18,FALSE)-VLOOKUP($A120,'ПР 01-02.22'!$A$11:$BB$378,18,FALSE)</f>
        <v>0</v>
      </c>
      <c r="S120" s="5">
        <f>VLOOKUP($A120,'ПР 01-02.21'!$A$11:$BB$406,19,FALSE)+VLOOKUP($A120,'ПР 21-22'!$A$11:$BB$406,19,FALSE)-VLOOKUP($A120,'ПР 01-02.22'!$A$11:$BB$378,19,FALSE)</f>
        <v>0</v>
      </c>
      <c r="T120" s="444"/>
      <c r="U120" s="5">
        <f>VLOOKUP($A120,'ПР 01-02.21'!$A$11:$BB$406,21,FALSE)+VLOOKUP($A120,'ПР 21-22'!$A$11:$BB$406,21,FALSE)-VLOOKUP($A120,'ПР 01-02.22'!$A$11:$BB$378,21,FALSE)</f>
        <v>0</v>
      </c>
      <c r="V120" s="5"/>
      <c r="W120" s="5">
        <f>VLOOKUP($A120,'ПР 01-02.21'!$A$11:$BB$406,23,FALSE)+VLOOKUP($A120,'ПР 21-22'!$A$11:$BB$406,23,FALSE)-VLOOKUP($A120,'ПР 01-02.22'!$A$11:$BB$378,23,FALSE)</f>
        <v>0</v>
      </c>
      <c r="X120" s="5">
        <f>VLOOKUP($A120,'ПР 01-02.21'!$A$11:$BB$406,24,FALSE)+VLOOKUP($A120,'ПР 21-22'!$A$11:$BB$406,24,FALSE)-VLOOKUP($A120,'ПР 01-02.22'!$A$11:$BB$378,24,FALSE)</f>
        <v>0</v>
      </c>
      <c r="Y120" s="5">
        <f>VLOOKUP($A120,'ПР 01-02.21'!$A$11:$BB$406,25,FALSE)+VLOOKUP($A120,'ПР 21-22'!$A$11:$BB$406,25,FALSE)-VLOOKUP($A120,'ПР 01-02.22'!$A$11:$BB$378,25,FALSE)</f>
        <v>0</v>
      </c>
      <c r="Z120" s="5"/>
      <c r="AA120" s="5">
        <f>VLOOKUP($A120,'ПР 01-02.21'!$A$11:$BB$406,27,FALSE)+VLOOKUP($A120,'ПР 21-22'!$A$11:$BB$406,27,FALSE)-VLOOKUP($A120,'ПР 01-02.22'!$A$11:$BB$378,27,FALSE)</f>
        <v>0</v>
      </c>
      <c r="AB120" s="5">
        <f>VLOOKUP($A120,'ПР 01-02.21'!$A$11:$BB$406,28,FALSE)+VLOOKUP($A120,'ПР 21-22'!$A$11:$BB$406,28,FALSE)-VLOOKUP($A120,'ПР 01-02.22'!$A$11:$BB$378,28,FALSE)</f>
        <v>0</v>
      </c>
      <c r="AC120" s="5">
        <f>VLOOKUP($A120,'ПР 01-02.21'!$A$11:$BB$406,29,FALSE)+VLOOKUP($A120,'ПР 21-22'!$A$11:$BB$406,29,FALSE)-VLOOKUP($A120,'ПР 01-02.22'!$A$11:$BB$378,29,FALSE)</f>
        <v>0</v>
      </c>
      <c r="AD120" s="5">
        <f>VLOOKUP($A120,'ПР 01-02.21'!$A$11:$BB$406,30,FALSE)+VLOOKUP($A120,'ПР 21-22'!$A$11:$BB$406,30,FALSE)-VLOOKUP($A120,'ПР 01-02.22'!$A$11:$BB$378,30,FALSE)</f>
        <v>125</v>
      </c>
      <c r="AE120" s="5">
        <f>VLOOKUP($A120,'ПР 01-02.21'!$A$11:$BB$406,31,FALSE)+VLOOKUP($A120,'ПР 21-22'!$A$11:$BB$406,31,FALSE)-VLOOKUP($A120,'ПР 01-02.22'!$A$11:$BB$378,31,FALSE)</f>
        <v>570.03282839178701</v>
      </c>
      <c r="AF120" s="5">
        <f>VLOOKUP($A120,'ПР 01-02.21'!$A$11:$BB$406,32,FALSE)+VLOOKUP($A120,'ПР 21-22'!$A$11:$BB$406,32,FALSE)-VLOOKUP($A120,'ПР 01-02.22'!$A$11:$BB$378,32,FALSE)</f>
        <v>0</v>
      </c>
      <c r="AG120" s="40"/>
      <c r="AH120" s="5">
        <f>VLOOKUP($A120,'ПР 01-02.21'!$A$11:$BB$406,34,FALSE)+VLOOKUP($A120,'ПР 21-22'!$A$11:$BB$406,34,FALSE)-VLOOKUP($A120,'ПР 01-02.22'!$A$11:$BB$378,34,FALSE)</f>
        <v>746.8889946322065</v>
      </c>
      <c r="AI120" s="5">
        <f>VLOOKUP($A120,'ПР 01-02.21'!$A$11:$BB$406,35,FALSE)+VLOOKUP($A120,'ПР 21-22'!$A$11:$BB$406,35,FALSE)-VLOOKUP($A120,'ПР 01-02.22'!$A$11:$BB$378,35,FALSE)</f>
        <v>0</v>
      </c>
      <c r="AJ120" s="40"/>
      <c r="AK120" s="5">
        <f>VLOOKUP($A120,'ПР 01-02.21'!$A$11:$BB$406,37,FALSE)+VLOOKUP($A120,'ПР 21-22'!$A$11:$BB$406,37,FALSE)-VLOOKUP($A120,'ПР 01-02.22'!$A$11:$BB$378,37,FALSE)</f>
        <v>129.20732613164094</v>
      </c>
      <c r="AL120" s="5">
        <f>VLOOKUP($A120,'ПР 01-02.21'!$A$11:$BB$406,38,FALSE)+VLOOKUP($A120,'ПР 21-22'!$A$11:$BB$406,38,FALSE)-VLOOKUP($A120,'ПР 01-02.22'!$A$11:$BB$378,38,FALSE)</f>
        <v>0</v>
      </c>
      <c r="AM120" s="40"/>
      <c r="AN120" s="5">
        <f>VLOOKUP($A120,'ПР 01-02.21'!$A$11:$BB$406,40,FALSE)+VLOOKUP($A120,'ПР 21-22'!$A$11:$BB$406,40,FALSE)-VLOOKUP($A120,'ПР 01-02.22'!$A$11:$BB$378,40,FALSE)</f>
        <v>0</v>
      </c>
      <c r="AO120" s="5">
        <f>VLOOKUP($A120,'ПР 01-02.21'!$A$11:$BB$406,41,FALSE)+VLOOKUP($A120,'ПР 21-22'!$A$11:$BB$406,41,FALSE)-VLOOKUP($A120,'ПР 01-02.22'!$A$11:$BB$378,41,FALSE)</f>
        <v>0</v>
      </c>
      <c r="AP120" s="40"/>
      <c r="AQ120" s="5">
        <f>VLOOKUP($A120,'ПР 01-02.21'!$A$11:$BB$406,43,FALSE)+VLOOKUP($A120,'ПР 21-22'!$A$11:$BB$406,43,FALSE)-VLOOKUP($A120,'ПР 01-02.22'!$A$11:$BB$378,43,FALSE)</f>
        <v>0</v>
      </c>
      <c r="AR120" s="5">
        <f>VLOOKUP($A120,'ПР 01-02.21'!$A$11:$BB$406,44,FALSE)+VLOOKUP($A120,'ПР 21-22'!$A$11:$BB$406,44,FALSE)-VLOOKUP($A120,'ПР 01-02.22'!$A$11:$BB$378,44,FALSE)</f>
        <v>0</v>
      </c>
      <c r="AS120" s="40"/>
      <c r="AT120" s="5">
        <f>VLOOKUP($A120,'ПР 01-02.21'!$A$11:$BB$406,46,FALSE)+VLOOKUP($A120,'ПР 21-22'!$A$11:$BB$406,46,FALSE)-VLOOKUP($A120,'ПР 01-02.22'!$A$11:$BB$378,46,FALSE)</f>
        <v>52.600040000392667</v>
      </c>
      <c r="AU120" s="5">
        <f>VLOOKUP($A120,'ПР 01-02.21'!$A$11:$BB$406,47,FALSE)+VLOOKUP($A120,'ПР 21-22'!$A$11:$BB$406,47,FALSE)-VLOOKUP($A120,'ПР 01-02.22'!$A$11:$BB$378,47,FALSE)</f>
        <v>709</v>
      </c>
      <c r="AV120" s="40"/>
      <c r="AW120" s="5">
        <f>VLOOKUP($A120,'ПР 01-02.21'!$A$11:$BB$406,49,FALSE)+VLOOKUP($A120,'ПР 21-22'!$A$11:$BB$406,49,FALSE)-VLOOKUP($A120,'ПР 01-02.22'!$A$11:$BB$378,49,FALSE)</f>
        <v>19.16</v>
      </c>
      <c r="AX120" s="5">
        <f>VLOOKUP($A120,'ПР 01-02.21'!$A$11:$BB$406,50,FALSE)+VLOOKUP($A120,'ПР 21-22'!$A$11:$BB$406,50,FALSE)-VLOOKUP($A120,'ПР 01-02.22'!$A$11:$BB$378,50,FALSE)</f>
        <v>0</v>
      </c>
      <c r="AY120" s="40"/>
      <c r="AZ120" s="40">
        <f t="shared" si="5"/>
        <v>1517.8891891560272</v>
      </c>
      <c r="BA120" s="40">
        <f t="shared" si="5"/>
        <v>709</v>
      </c>
      <c r="BB120" s="55">
        <f t="shared" si="8"/>
        <v>-808.88918915602721</v>
      </c>
      <c r="BD120" s="2">
        <v>2</v>
      </c>
      <c r="BF120" s="325">
        <v>150000605</v>
      </c>
    </row>
    <row r="121" spans="1:58" ht="24.9" customHeight="1" x14ac:dyDescent="0.3">
      <c r="A121" s="325">
        <v>150000606</v>
      </c>
      <c r="B121" s="445" t="s">
        <v>157</v>
      </c>
      <c r="C121" s="27">
        <v>2</v>
      </c>
      <c r="D121" s="101" t="s">
        <v>455</v>
      </c>
      <c r="E121" s="279">
        <f>'побудинковий звіт'!E119</f>
        <v>766.3</v>
      </c>
      <c r="F121" s="441">
        <f>'побудинковий звіт'!AS119</f>
        <v>10423.233637254807</v>
      </c>
      <c r="G121" s="441">
        <f t="shared" si="6"/>
        <v>3372</v>
      </c>
      <c r="H121" s="73">
        <f t="shared" si="7"/>
        <v>-7051.233637254807</v>
      </c>
      <c r="I121" s="5">
        <f>VLOOKUP($A121,'ПР 01-02.21'!$A$11:$BB$406,9,FALSE)+VLOOKUP($A121,'ПР 21-22'!$A$11:$BB$406,9,FALSE)-VLOOKUP($A121,'ПР 01-02.22'!$A$11:$BB$378,9,FALSE)</f>
        <v>0</v>
      </c>
      <c r="J121" s="5">
        <f>VLOOKUP($A121,'ПР 01-02.21'!$A$11:$BB$406,10,FALSE)+VLOOKUP($A121,'ПР 21-22'!$A$11:$BB$406,10,FALSE)-VLOOKUP($A121,'ПР 01-02.22'!$A$11:$BB$378,10,FALSE)</f>
        <v>2996</v>
      </c>
      <c r="K121" s="446"/>
      <c r="L121" s="5">
        <f>VLOOKUP($A121,'ПР 01-02.21'!$A$11:$BB$406,12,FALSE)+VLOOKUP($A121,'ПР 21-22'!$A$11:$BB$406,12,FALSE)-VLOOKUP($A121,'ПР 01-02.22'!$A$11:$BB$378,12,FALSE)</f>
        <v>0</v>
      </c>
      <c r="M121" s="5">
        <f>VLOOKUP($A121,'ПР 01-02.21'!$A$11:$BB$406,13,FALSE)+VLOOKUP($A121,'ПР 21-22'!$A$11:$BB$406,13,FALSE)-VLOOKUP($A121,'ПР 01-02.22'!$A$11:$BB$378,13,FALSE)</f>
        <v>0</v>
      </c>
      <c r="N121" s="38"/>
      <c r="O121" s="5">
        <f>VLOOKUP($A121,'ПР 01-02.21'!$A$11:$BB$406,15,FALSE)+VLOOKUP($A121,'ПР 21-22'!$A$11:$BB$406,15,FALSE)-VLOOKUP($A121,'ПР 01-02.22'!$A$11:$BB$378,15,FALSE)</f>
        <v>0</v>
      </c>
      <c r="P121" s="5">
        <f>VLOOKUP($A121,'ПР 01-02.21'!$A$11:$BB$406,16,FALSE)+VLOOKUP($A121,'ПР 21-22'!$A$11:$BB$406,16,FALSE)-VLOOKUP($A121,'ПР 01-02.22'!$A$11:$BB$378,16,FALSE)</f>
        <v>0</v>
      </c>
      <c r="Q121" s="443"/>
      <c r="R121" s="5">
        <f>VLOOKUP($A121,'ПР 01-02.21'!$A$11:$BB$406,18,FALSE)+VLOOKUP($A121,'ПР 21-22'!$A$11:$BB$406,18,FALSE)-VLOOKUP($A121,'ПР 01-02.22'!$A$11:$BB$378,18,FALSE)</f>
        <v>0</v>
      </c>
      <c r="S121" s="5">
        <f>VLOOKUP($A121,'ПР 01-02.21'!$A$11:$BB$406,19,FALSE)+VLOOKUP($A121,'ПР 21-22'!$A$11:$BB$406,19,FALSE)-VLOOKUP($A121,'ПР 01-02.22'!$A$11:$BB$378,19,FALSE)</f>
        <v>0</v>
      </c>
      <c r="T121" s="444"/>
      <c r="U121" s="5">
        <f>VLOOKUP($A121,'ПР 01-02.21'!$A$11:$BB$406,21,FALSE)+VLOOKUP($A121,'ПР 21-22'!$A$11:$BB$406,21,FALSE)-VLOOKUP($A121,'ПР 01-02.22'!$A$11:$BB$378,21,FALSE)</f>
        <v>0</v>
      </c>
      <c r="V121" s="5"/>
      <c r="W121" s="5">
        <f>VLOOKUP($A121,'ПР 01-02.21'!$A$11:$BB$406,23,FALSE)+VLOOKUP($A121,'ПР 21-22'!$A$11:$BB$406,23,FALSE)-VLOOKUP($A121,'ПР 01-02.22'!$A$11:$BB$378,23,FALSE)</f>
        <v>0</v>
      </c>
      <c r="X121" s="5">
        <f>VLOOKUP($A121,'ПР 01-02.21'!$A$11:$BB$406,24,FALSE)+VLOOKUP($A121,'ПР 21-22'!$A$11:$BB$406,24,FALSE)-VLOOKUP($A121,'ПР 01-02.22'!$A$11:$BB$378,24,FALSE)</f>
        <v>0</v>
      </c>
      <c r="Y121" s="5">
        <f>VLOOKUP($A121,'ПР 01-02.21'!$A$11:$BB$406,25,FALSE)+VLOOKUP($A121,'ПР 21-22'!$A$11:$BB$406,25,FALSE)-VLOOKUP($A121,'ПР 01-02.22'!$A$11:$BB$378,25,FALSE)</f>
        <v>0</v>
      </c>
      <c r="Z121" s="5"/>
      <c r="AA121" s="5">
        <f>VLOOKUP($A121,'ПР 01-02.21'!$A$11:$BB$406,27,FALSE)+VLOOKUP($A121,'ПР 21-22'!$A$11:$BB$406,27,FALSE)-VLOOKUP($A121,'ПР 01-02.22'!$A$11:$BB$378,27,FALSE)</f>
        <v>0</v>
      </c>
      <c r="AB121" s="5">
        <f>VLOOKUP($A121,'ПР 01-02.21'!$A$11:$BB$406,28,FALSE)+VLOOKUP($A121,'ПР 21-22'!$A$11:$BB$406,28,FALSE)-VLOOKUP($A121,'ПР 01-02.22'!$A$11:$BB$378,28,FALSE)</f>
        <v>0</v>
      </c>
      <c r="AC121" s="5">
        <f>VLOOKUP($A121,'ПР 01-02.21'!$A$11:$BB$406,29,FALSE)+VLOOKUP($A121,'ПР 21-22'!$A$11:$BB$406,29,FALSE)-VLOOKUP($A121,'ПР 01-02.22'!$A$11:$BB$378,29,FALSE)</f>
        <v>0</v>
      </c>
      <c r="AD121" s="5">
        <f>VLOOKUP($A121,'ПР 01-02.21'!$A$11:$BB$406,30,FALSE)+VLOOKUP($A121,'ПР 21-22'!$A$11:$BB$406,30,FALSE)-VLOOKUP($A121,'ПР 01-02.22'!$A$11:$BB$378,30,FALSE)</f>
        <v>376</v>
      </c>
      <c r="AE121" s="5">
        <f>VLOOKUP($A121,'ПР 01-02.21'!$A$11:$BB$406,31,FALSE)+VLOOKUP($A121,'ПР 21-22'!$A$11:$BB$406,31,FALSE)-VLOOKUP($A121,'ПР 01-02.22'!$A$11:$BB$378,31,FALSE)</f>
        <v>1211.1686767381937</v>
      </c>
      <c r="AF121" s="5">
        <f>VLOOKUP($A121,'ПР 01-02.21'!$A$11:$BB$406,32,FALSE)+VLOOKUP($A121,'ПР 21-22'!$A$11:$BB$406,32,FALSE)-VLOOKUP($A121,'ПР 01-02.22'!$A$11:$BB$378,32,FALSE)</f>
        <v>0</v>
      </c>
      <c r="AG121" s="40"/>
      <c r="AH121" s="5">
        <f>VLOOKUP($A121,'ПР 01-02.21'!$A$11:$BB$406,34,FALSE)+VLOOKUP($A121,'ПР 21-22'!$A$11:$BB$406,34,FALSE)-VLOOKUP($A121,'ПР 01-02.22'!$A$11:$BB$378,34,FALSE)</f>
        <v>1343.8986836451706</v>
      </c>
      <c r="AI121" s="5">
        <f>VLOOKUP($A121,'ПР 01-02.21'!$A$11:$BB$406,35,FALSE)+VLOOKUP($A121,'ПР 21-22'!$A$11:$BB$406,35,FALSE)-VLOOKUP($A121,'ПР 01-02.22'!$A$11:$BB$378,35,FALSE)</f>
        <v>0</v>
      </c>
      <c r="AJ121" s="40"/>
      <c r="AK121" s="5">
        <f>VLOOKUP($A121,'ПР 01-02.21'!$A$11:$BB$406,37,FALSE)+VLOOKUP($A121,'ПР 21-22'!$A$11:$BB$406,37,FALSE)-VLOOKUP($A121,'ПР 01-02.22'!$A$11:$BB$378,37,FALSE)</f>
        <v>315.2212986674719</v>
      </c>
      <c r="AL121" s="5">
        <f>VLOOKUP($A121,'ПР 01-02.21'!$A$11:$BB$406,38,FALSE)+VLOOKUP($A121,'ПР 21-22'!$A$11:$BB$406,38,FALSE)-VLOOKUP($A121,'ПР 01-02.22'!$A$11:$BB$378,38,FALSE)</f>
        <v>0</v>
      </c>
      <c r="AM121" s="40"/>
      <c r="AN121" s="5">
        <f>VLOOKUP($A121,'ПР 01-02.21'!$A$11:$BB$406,40,FALSE)+VLOOKUP($A121,'ПР 21-22'!$A$11:$BB$406,40,FALSE)-VLOOKUP($A121,'ПР 01-02.22'!$A$11:$BB$378,40,FALSE)</f>
        <v>0</v>
      </c>
      <c r="AO121" s="5">
        <f>VLOOKUP($A121,'ПР 01-02.21'!$A$11:$BB$406,41,FALSE)+VLOOKUP($A121,'ПР 21-22'!$A$11:$BB$406,41,FALSE)-VLOOKUP($A121,'ПР 01-02.22'!$A$11:$BB$378,41,FALSE)</f>
        <v>0</v>
      </c>
      <c r="AP121" s="40"/>
      <c r="AQ121" s="5">
        <f>VLOOKUP($A121,'ПР 01-02.21'!$A$11:$BB$406,43,FALSE)+VLOOKUP($A121,'ПР 21-22'!$A$11:$BB$406,43,FALSE)-VLOOKUP($A121,'ПР 01-02.22'!$A$11:$BB$378,43,FALSE)</f>
        <v>0</v>
      </c>
      <c r="AR121" s="5">
        <f>VLOOKUP($A121,'ПР 01-02.21'!$A$11:$BB$406,44,FALSE)+VLOOKUP($A121,'ПР 21-22'!$A$11:$BB$406,44,FALSE)-VLOOKUP($A121,'ПР 01-02.22'!$A$11:$BB$378,44,FALSE)</f>
        <v>0</v>
      </c>
      <c r="AS121" s="40"/>
      <c r="AT121" s="5">
        <f>VLOOKUP($A121,'ПР 01-02.21'!$A$11:$BB$406,46,FALSE)+VLOOKUP($A121,'ПР 21-22'!$A$11:$BB$406,46,FALSE)-VLOOKUP($A121,'ПР 01-02.22'!$A$11:$BB$378,46,FALSE)</f>
        <v>156.96956735427548</v>
      </c>
      <c r="AU121" s="5">
        <f>VLOOKUP($A121,'ПР 01-02.21'!$A$11:$BB$406,47,FALSE)+VLOOKUP($A121,'ПР 21-22'!$A$11:$BB$406,47,FALSE)-VLOOKUP($A121,'ПР 01-02.22'!$A$11:$BB$378,47,FALSE)</f>
        <v>0</v>
      </c>
      <c r="AV121" s="40"/>
      <c r="AW121" s="5">
        <f>VLOOKUP($A121,'ПР 01-02.21'!$A$11:$BB$406,49,FALSE)+VLOOKUP($A121,'ПР 21-22'!$A$11:$BB$406,49,FALSE)-VLOOKUP($A121,'ПР 01-02.22'!$A$11:$BB$378,49,FALSE)</f>
        <v>38.631999999999998</v>
      </c>
      <c r="AX121" s="5">
        <f>VLOOKUP($A121,'ПР 01-02.21'!$A$11:$BB$406,50,FALSE)+VLOOKUP($A121,'ПР 21-22'!$A$11:$BB$406,50,FALSE)-VLOOKUP($A121,'ПР 01-02.22'!$A$11:$BB$378,50,FALSE)</f>
        <v>0</v>
      </c>
      <c r="AY121" s="40"/>
      <c r="AZ121" s="40">
        <f t="shared" si="5"/>
        <v>3065.8902264051117</v>
      </c>
      <c r="BA121" s="40">
        <f t="shared" si="5"/>
        <v>0</v>
      </c>
      <c r="BB121" s="55">
        <f t="shared" si="8"/>
        <v>-3065.8902264051117</v>
      </c>
      <c r="BD121" s="2">
        <v>2</v>
      </c>
      <c r="BF121" s="325">
        <v>150000606</v>
      </c>
    </row>
    <row r="122" spans="1:58" ht="24.9" customHeight="1" x14ac:dyDescent="0.3">
      <c r="A122" s="325">
        <v>150000607</v>
      </c>
      <c r="B122" s="445" t="s">
        <v>158</v>
      </c>
      <c r="C122" s="27">
        <v>2</v>
      </c>
      <c r="D122" s="101" t="s">
        <v>455</v>
      </c>
      <c r="E122" s="279">
        <f>'побудинковий звіт'!E120</f>
        <v>994.8</v>
      </c>
      <c r="F122" s="441">
        <f>'побудинковий звіт'!AS120</f>
        <v>10409.683610906421</v>
      </c>
      <c r="G122" s="441">
        <f t="shared" si="6"/>
        <v>2834</v>
      </c>
      <c r="H122" s="73">
        <f t="shared" si="7"/>
        <v>-7575.6836109064207</v>
      </c>
      <c r="I122" s="5">
        <f>VLOOKUP($A122,'ПР 01-02.21'!$A$11:$BB$406,9,FALSE)+VLOOKUP($A122,'ПР 21-22'!$A$11:$BB$406,9,FALSE)-VLOOKUP($A122,'ПР 01-02.22'!$A$11:$BB$378,9,FALSE)</f>
        <v>0</v>
      </c>
      <c r="J122" s="5">
        <f>VLOOKUP($A122,'ПР 01-02.21'!$A$11:$BB$406,10,FALSE)+VLOOKUP($A122,'ПР 21-22'!$A$11:$BB$406,10,FALSE)-VLOOKUP($A122,'ПР 01-02.22'!$A$11:$BB$378,10,FALSE)</f>
        <v>0</v>
      </c>
      <c r="K122" s="446"/>
      <c r="L122" s="5">
        <f>VLOOKUP($A122,'ПР 01-02.21'!$A$11:$BB$406,12,FALSE)+VLOOKUP($A122,'ПР 21-22'!$A$11:$BB$406,12,FALSE)-VLOOKUP($A122,'ПР 01-02.22'!$A$11:$BB$378,12,FALSE)</f>
        <v>0</v>
      </c>
      <c r="M122" s="5">
        <f>VLOOKUP($A122,'ПР 01-02.21'!$A$11:$BB$406,13,FALSE)+VLOOKUP($A122,'ПР 21-22'!$A$11:$BB$406,13,FALSE)-VLOOKUP($A122,'ПР 01-02.22'!$A$11:$BB$378,13,FALSE)</f>
        <v>0</v>
      </c>
      <c r="N122" s="38"/>
      <c r="O122" s="5">
        <f>VLOOKUP($A122,'ПР 01-02.21'!$A$11:$BB$406,15,FALSE)+VLOOKUP($A122,'ПР 21-22'!$A$11:$BB$406,15,FALSE)-VLOOKUP($A122,'ПР 01-02.22'!$A$11:$BB$378,15,FALSE)</f>
        <v>0</v>
      </c>
      <c r="P122" s="5">
        <f>VLOOKUP($A122,'ПР 01-02.21'!$A$11:$BB$406,16,FALSE)+VLOOKUP($A122,'ПР 21-22'!$A$11:$BB$406,16,FALSE)-VLOOKUP($A122,'ПР 01-02.22'!$A$11:$BB$378,16,FALSE)</f>
        <v>0</v>
      </c>
      <c r="Q122" s="443"/>
      <c r="R122" s="5">
        <f>VLOOKUP($A122,'ПР 01-02.21'!$A$11:$BB$406,18,FALSE)+VLOOKUP($A122,'ПР 21-22'!$A$11:$BB$406,18,FALSE)-VLOOKUP($A122,'ПР 01-02.22'!$A$11:$BB$378,18,FALSE)</f>
        <v>0</v>
      </c>
      <c r="S122" s="5">
        <f>VLOOKUP($A122,'ПР 01-02.21'!$A$11:$BB$406,19,FALSE)+VLOOKUP($A122,'ПР 21-22'!$A$11:$BB$406,19,FALSE)-VLOOKUP($A122,'ПР 01-02.22'!$A$11:$BB$378,19,FALSE)</f>
        <v>0</v>
      </c>
      <c r="T122" s="444"/>
      <c r="U122" s="5">
        <f>VLOOKUP($A122,'ПР 01-02.21'!$A$11:$BB$406,21,FALSE)+VLOOKUP($A122,'ПР 21-22'!$A$11:$BB$406,21,FALSE)-VLOOKUP($A122,'ПР 01-02.22'!$A$11:$BB$378,21,FALSE)</f>
        <v>0</v>
      </c>
      <c r="V122" s="5"/>
      <c r="W122" s="5">
        <f>VLOOKUP($A122,'ПР 01-02.21'!$A$11:$BB$406,23,FALSE)+VLOOKUP($A122,'ПР 21-22'!$A$11:$BB$406,23,FALSE)-VLOOKUP($A122,'ПР 01-02.22'!$A$11:$BB$378,23,FALSE)</f>
        <v>0</v>
      </c>
      <c r="X122" s="5">
        <f>VLOOKUP($A122,'ПР 01-02.21'!$A$11:$BB$406,24,FALSE)+VLOOKUP($A122,'ПР 21-22'!$A$11:$BB$406,24,FALSE)-VLOOKUP($A122,'ПР 01-02.22'!$A$11:$BB$378,24,FALSE)</f>
        <v>0</v>
      </c>
      <c r="Y122" s="5">
        <f>VLOOKUP($A122,'ПР 01-02.21'!$A$11:$BB$406,25,FALSE)+VLOOKUP($A122,'ПР 21-22'!$A$11:$BB$406,25,FALSE)-VLOOKUP($A122,'ПР 01-02.22'!$A$11:$BB$378,25,FALSE)</f>
        <v>0</v>
      </c>
      <c r="Z122" s="5"/>
      <c r="AA122" s="5">
        <f>VLOOKUP($A122,'ПР 01-02.21'!$A$11:$BB$406,27,FALSE)+VLOOKUP($A122,'ПР 21-22'!$A$11:$BB$406,27,FALSE)-VLOOKUP($A122,'ПР 01-02.22'!$A$11:$BB$378,27,FALSE)</f>
        <v>0</v>
      </c>
      <c r="AB122" s="5">
        <f>VLOOKUP($A122,'ПР 01-02.21'!$A$11:$BB$406,28,FALSE)+VLOOKUP($A122,'ПР 21-22'!$A$11:$BB$406,28,FALSE)-VLOOKUP($A122,'ПР 01-02.22'!$A$11:$BB$378,28,FALSE)</f>
        <v>0</v>
      </c>
      <c r="AC122" s="5">
        <f>VLOOKUP($A122,'ПР 01-02.21'!$A$11:$BB$406,29,FALSE)+VLOOKUP($A122,'ПР 21-22'!$A$11:$BB$406,29,FALSE)-VLOOKUP($A122,'ПР 01-02.22'!$A$11:$BB$378,29,FALSE)</f>
        <v>0</v>
      </c>
      <c r="AD122" s="5">
        <f>VLOOKUP($A122,'ПР 01-02.21'!$A$11:$BB$406,30,FALSE)+VLOOKUP($A122,'ПР 21-22'!$A$11:$BB$406,30,FALSE)-VLOOKUP($A122,'ПР 01-02.22'!$A$11:$BB$378,30,FALSE)</f>
        <v>2834</v>
      </c>
      <c r="AE122" s="5">
        <f>VLOOKUP($A122,'ПР 01-02.21'!$A$11:$BB$406,31,FALSE)+VLOOKUP($A122,'ПР 21-22'!$A$11:$BB$406,31,FALSE)-VLOOKUP($A122,'ПР 01-02.22'!$A$11:$BB$378,31,FALSE)</f>
        <v>1279.0792711993317</v>
      </c>
      <c r="AF122" s="5">
        <f>VLOOKUP($A122,'ПР 01-02.21'!$A$11:$BB$406,32,FALSE)+VLOOKUP($A122,'ПР 21-22'!$A$11:$BB$406,32,FALSE)-VLOOKUP($A122,'ПР 01-02.22'!$A$11:$BB$378,32,FALSE)</f>
        <v>0</v>
      </c>
      <c r="AG122" s="40"/>
      <c r="AH122" s="5">
        <f>VLOOKUP($A122,'ПР 01-02.21'!$A$11:$BB$406,34,FALSE)+VLOOKUP($A122,'ПР 21-22'!$A$11:$BB$406,34,FALSE)-VLOOKUP($A122,'ПР 01-02.22'!$A$11:$BB$378,34,FALSE)</f>
        <v>1613.0614416932849</v>
      </c>
      <c r="AI122" s="5">
        <f>VLOOKUP($A122,'ПР 01-02.21'!$A$11:$BB$406,35,FALSE)+VLOOKUP($A122,'ПР 21-22'!$A$11:$BB$406,35,FALSE)-VLOOKUP($A122,'ПР 01-02.22'!$A$11:$BB$378,35,FALSE)</f>
        <v>0</v>
      </c>
      <c r="AJ122" s="40"/>
      <c r="AK122" s="5">
        <f>VLOOKUP($A122,'ПР 01-02.21'!$A$11:$BB$406,37,FALSE)+VLOOKUP($A122,'ПР 21-22'!$A$11:$BB$406,37,FALSE)-VLOOKUP($A122,'ПР 01-02.22'!$A$11:$BB$378,37,FALSE)</f>
        <v>509.90600277384715</v>
      </c>
      <c r="AL122" s="5">
        <f>VLOOKUP($A122,'ПР 01-02.21'!$A$11:$BB$406,38,FALSE)+VLOOKUP($A122,'ПР 21-22'!$A$11:$BB$406,38,FALSE)-VLOOKUP($A122,'ПР 01-02.22'!$A$11:$BB$378,38,FALSE)</f>
        <v>0</v>
      </c>
      <c r="AM122" s="40"/>
      <c r="AN122" s="5">
        <f>VLOOKUP($A122,'ПР 01-02.21'!$A$11:$BB$406,40,FALSE)+VLOOKUP($A122,'ПР 21-22'!$A$11:$BB$406,40,FALSE)-VLOOKUP($A122,'ПР 01-02.22'!$A$11:$BB$378,40,FALSE)</f>
        <v>0</v>
      </c>
      <c r="AO122" s="5">
        <f>VLOOKUP($A122,'ПР 01-02.21'!$A$11:$BB$406,41,FALSE)+VLOOKUP($A122,'ПР 21-22'!$A$11:$BB$406,41,FALSE)-VLOOKUP($A122,'ПР 01-02.22'!$A$11:$BB$378,41,FALSE)</f>
        <v>0</v>
      </c>
      <c r="AP122" s="40"/>
      <c r="AQ122" s="5">
        <f>VLOOKUP($A122,'ПР 01-02.21'!$A$11:$BB$406,43,FALSE)+VLOOKUP($A122,'ПР 21-22'!$A$11:$BB$406,43,FALSE)-VLOOKUP($A122,'ПР 01-02.22'!$A$11:$BB$378,43,FALSE)</f>
        <v>0</v>
      </c>
      <c r="AR122" s="5">
        <f>VLOOKUP($A122,'ПР 01-02.21'!$A$11:$BB$406,44,FALSE)+VLOOKUP($A122,'ПР 21-22'!$A$11:$BB$406,44,FALSE)-VLOOKUP($A122,'ПР 01-02.22'!$A$11:$BB$378,44,FALSE)</f>
        <v>0</v>
      </c>
      <c r="AS122" s="40"/>
      <c r="AT122" s="5">
        <f>VLOOKUP($A122,'ПР 01-02.21'!$A$11:$BB$406,46,FALSE)+VLOOKUP($A122,'ПР 21-22'!$A$11:$BB$406,46,FALSE)-VLOOKUP($A122,'ПР 01-02.22'!$A$11:$BB$378,46,FALSE)</f>
        <v>156.96956735427548</v>
      </c>
      <c r="AU122" s="5">
        <f>VLOOKUP($A122,'ПР 01-02.21'!$A$11:$BB$406,47,FALSE)+VLOOKUP($A122,'ПР 21-22'!$A$11:$BB$406,47,FALSE)-VLOOKUP($A122,'ПР 01-02.22'!$A$11:$BB$378,47,FALSE)</f>
        <v>0</v>
      </c>
      <c r="AV122" s="40"/>
      <c r="AW122" s="5">
        <f>VLOOKUP($A122,'ПР 01-02.21'!$A$11:$BB$406,49,FALSE)+VLOOKUP($A122,'ПР 21-22'!$A$11:$BB$406,49,FALSE)-VLOOKUP($A122,'ПР 01-02.22'!$A$11:$BB$378,49,FALSE)</f>
        <v>49.792000000000002</v>
      </c>
      <c r="AX122" s="5">
        <f>VLOOKUP($A122,'ПР 01-02.21'!$A$11:$BB$406,50,FALSE)+VLOOKUP($A122,'ПР 21-22'!$A$11:$BB$406,50,FALSE)-VLOOKUP($A122,'ПР 01-02.22'!$A$11:$BB$378,50,FALSE)</f>
        <v>0</v>
      </c>
      <c r="AY122" s="40"/>
      <c r="AZ122" s="40">
        <f t="shared" si="5"/>
        <v>3608.8082830207391</v>
      </c>
      <c r="BA122" s="40">
        <f t="shared" si="5"/>
        <v>0</v>
      </c>
      <c r="BB122" s="55">
        <f t="shared" si="8"/>
        <v>-3608.8082830207391</v>
      </c>
      <c r="BD122" s="2">
        <v>2</v>
      </c>
      <c r="BF122" s="325">
        <v>150000607</v>
      </c>
    </row>
    <row r="123" spans="1:58" ht="24.9" customHeight="1" x14ac:dyDescent="0.3">
      <c r="A123" s="325">
        <v>150000608</v>
      </c>
      <c r="B123" s="445" t="s">
        <v>159</v>
      </c>
      <c r="C123" s="27">
        <v>2</v>
      </c>
      <c r="D123" s="101" t="s">
        <v>455</v>
      </c>
      <c r="E123" s="279">
        <f>'побудинковий звіт'!E121</f>
        <v>598.30999999999995</v>
      </c>
      <c r="F123" s="441">
        <f>'побудинковий звіт'!AS121</f>
        <v>7656.0857321569765</v>
      </c>
      <c r="G123" s="441">
        <f t="shared" si="6"/>
        <v>919</v>
      </c>
      <c r="H123" s="73">
        <f t="shared" si="7"/>
        <v>-6737.0857321569765</v>
      </c>
      <c r="I123" s="5">
        <f>VLOOKUP($A123,'ПР 01-02.21'!$A$11:$BB$406,9,FALSE)+VLOOKUP($A123,'ПР 21-22'!$A$11:$BB$406,9,FALSE)-VLOOKUP($A123,'ПР 01-02.22'!$A$11:$BB$378,9,FALSE)</f>
        <v>0</v>
      </c>
      <c r="J123" s="5">
        <f>VLOOKUP($A123,'ПР 01-02.21'!$A$11:$BB$406,10,FALSE)+VLOOKUP($A123,'ПР 21-22'!$A$11:$BB$406,10,FALSE)-VLOOKUP($A123,'ПР 01-02.22'!$A$11:$BB$378,10,FALSE)</f>
        <v>0</v>
      </c>
      <c r="K123" s="446"/>
      <c r="L123" s="5">
        <f>VLOOKUP($A123,'ПР 01-02.21'!$A$11:$BB$406,12,FALSE)+VLOOKUP($A123,'ПР 21-22'!$A$11:$BB$406,12,FALSE)-VLOOKUP($A123,'ПР 01-02.22'!$A$11:$BB$378,12,FALSE)</f>
        <v>0</v>
      </c>
      <c r="M123" s="5">
        <f>VLOOKUP($A123,'ПР 01-02.21'!$A$11:$BB$406,13,FALSE)+VLOOKUP($A123,'ПР 21-22'!$A$11:$BB$406,13,FALSE)-VLOOKUP($A123,'ПР 01-02.22'!$A$11:$BB$378,13,FALSE)</f>
        <v>0</v>
      </c>
      <c r="N123" s="38"/>
      <c r="O123" s="5">
        <f>VLOOKUP($A123,'ПР 01-02.21'!$A$11:$BB$406,15,FALSE)+VLOOKUP($A123,'ПР 21-22'!$A$11:$BB$406,15,FALSE)-VLOOKUP($A123,'ПР 01-02.22'!$A$11:$BB$378,15,FALSE)</f>
        <v>0</v>
      </c>
      <c r="P123" s="5">
        <f>VLOOKUP($A123,'ПР 01-02.21'!$A$11:$BB$406,16,FALSE)+VLOOKUP($A123,'ПР 21-22'!$A$11:$BB$406,16,FALSE)-VLOOKUP($A123,'ПР 01-02.22'!$A$11:$BB$378,16,FALSE)</f>
        <v>0</v>
      </c>
      <c r="Q123" s="443"/>
      <c r="R123" s="5">
        <f>VLOOKUP($A123,'ПР 01-02.21'!$A$11:$BB$406,18,FALSE)+VLOOKUP($A123,'ПР 21-22'!$A$11:$BB$406,18,FALSE)-VLOOKUP($A123,'ПР 01-02.22'!$A$11:$BB$378,18,FALSE)</f>
        <v>0</v>
      </c>
      <c r="S123" s="5">
        <f>VLOOKUP($A123,'ПР 01-02.21'!$A$11:$BB$406,19,FALSE)+VLOOKUP($A123,'ПР 21-22'!$A$11:$BB$406,19,FALSE)-VLOOKUP($A123,'ПР 01-02.22'!$A$11:$BB$378,19,FALSE)</f>
        <v>0</v>
      </c>
      <c r="T123" s="444"/>
      <c r="U123" s="5">
        <f>VLOOKUP($A123,'ПР 01-02.21'!$A$11:$BB$406,21,FALSE)+VLOOKUP($A123,'ПР 21-22'!$A$11:$BB$406,21,FALSE)-VLOOKUP($A123,'ПР 01-02.22'!$A$11:$BB$378,21,FALSE)</f>
        <v>0</v>
      </c>
      <c r="V123" s="5"/>
      <c r="W123" s="5">
        <f>VLOOKUP($A123,'ПР 01-02.21'!$A$11:$BB$406,23,FALSE)+VLOOKUP($A123,'ПР 21-22'!$A$11:$BB$406,23,FALSE)-VLOOKUP($A123,'ПР 01-02.22'!$A$11:$BB$378,23,FALSE)</f>
        <v>0</v>
      </c>
      <c r="X123" s="5">
        <f>VLOOKUP($A123,'ПР 01-02.21'!$A$11:$BB$406,24,FALSE)+VLOOKUP($A123,'ПР 21-22'!$A$11:$BB$406,24,FALSE)-VLOOKUP($A123,'ПР 01-02.22'!$A$11:$BB$378,24,FALSE)</f>
        <v>0</v>
      </c>
      <c r="Y123" s="5">
        <f>VLOOKUP($A123,'ПР 01-02.21'!$A$11:$BB$406,25,FALSE)+VLOOKUP($A123,'ПР 21-22'!$A$11:$BB$406,25,FALSE)-VLOOKUP($A123,'ПР 01-02.22'!$A$11:$BB$378,25,FALSE)</f>
        <v>0</v>
      </c>
      <c r="Z123" s="5"/>
      <c r="AA123" s="5">
        <f>VLOOKUP($A123,'ПР 01-02.21'!$A$11:$BB$406,27,FALSE)+VLOOKUP($A123,'ПР 21-22'!$A$11:$BB$406,27,FALSE)-VLOOKUP($A123,'ПР 01-02.22'!$A$11:$BB$378,27,FALSE)</f>
        <v>0</v>
      </c>
      <c r="AB123" s="5">
        <f>VLOOKUP($A123,'ПР 01-02.21'!$A$11:$BB$406,28,FALSE)+VLOOKUP($A123,'ПР 21-22'!$A$11:$BB$406,28,FALSE)-VLOOKUP($A123,'ПР 01-02.22'!$A$11:$BB$378,28,FALSE)</f>
        <v>0</v>
      </c>
      <c r="AC123" s="5">
        <f>VLOOKUP($A123,'ПР 01-02.21'!$A$11:$BB$406,29,FALSE)+VLOOKUP($A123,'ПР 21-22'!$A$11:$BB$406,29,FALSE)-VLOOKUP($A123,'ПР 01-02.22'!$A$11:$BB$378,29,FALSE)</f>
        <v>0</v>
      </c>
      <c r="AD123" s="5">
        <f>VLOOKUP($A123,'ПР 01-02.21'!$A$11:$BB$406,30,FALSE)+VLOOKUP($A123,'ПР 21-22'!$A$11:$BB$406,30,FALSE)-VLOOKUP($A123,'ПР 01-02.22'!$A$11:$BB$378,30,FALSE)</f>
        <v>919</v>
      </c>
      <c r="AE123" s="5">
        <f>VLOOKUP($A123,'ПР 01-02.21'!$A$11:$BB$406,31,FALSE)+VLOOKUP($A123,'ПР 21-22'!$A$11:$BB$406,31,FALSE)-VLOOKUP($A123,'ПР 01-02.22'!$A$11:$BB$378,31,FALSE)</f>
        <v>972.77445963981847</v>
      </c>
      <c r="AF123" s="5">
        <f>VLOOKUP($A123,'ПР 01-02.21'!$A$11:$BB$406,32,FALSE)+VLOOKUP($A123,'ПР 21-22'!$A$11:$BB$406,32,FALSE)-VLOOKUP($A123,'ПР 01-02.22'!$A$11:$BB$378,32,FALSE)</f>
        <v>0</v>
      </c>
      <c r="AG123" s="40"/>
      <c r="AH123" s="5">
        <f>VLOOKUP($A123,'ПР 01-02.21'!$A$11:$BB$406,34,FALSE)+VLOOKUP($A123,'ПР 21-22'!$A$11:$BB$406,34,FALSE)-VLOOKUP($A123,'ПР 01-02.22'!$A$11:$BB$378,34,FALSE)</f>
        <v>1350.0821701690991</v>
      </c>
      <c r="AI123" s="5">
        <f>VLOOKUP($A123,'ПР 01-02.21'!$A$11:$BB$406,35,FALSE)+VLOOKUP($A123,'ПР 21-22'!$A$11:$BB$406,35,FALSE)-VLOOKUP($A123,'ПР 01-02.22'!$A$11:$BB$378,35,FALSE)</f>
        <v>0</v>
      </c>
      <c r="AJ123" s="40"/>
      <c r="AK123" s="5">
        <f>VLOOKUP($A123,'ПР 01-02.21'!$A$11:$BB$406,37,FALSE)+VLOOKUP($A123,'ПР 21-22'!$A$11:$BB$406,37,FALSE)-VLOOKUP($A123,'ПР 01-02.22'!$A$11:$BB$378,37,FALSE)</f>
        <v>191.03844669593224</v>
      </c>
      <c r="AL123" s="5">
        <f>VLOOKUP($A123,'ПР 01-02.21'!$A$11:$BB$406,38,FALSE)+VLOOKUP($A123,'ПР 21-22'!$A$11:$BB$406,38,FALSE)-VLOOKUP($A123,'ПР 01-02.22'!$A$11:$BB$378,38,FALSE)</f>
        <v>0</v>
      </c>
      <c r="AM123" s="40"/>
      <c r="AN123" s="5">
        <f>VLOOKUP($A123,'ПР 01-02.21'!$A$11:$BB$406,40,FALSE)+VLOOKUP($A123,'ПР 21-22'!$A$11:$BB$406,40,FALSE)-VLOOKUP($A123,'ПР 01-02.22'!$A$11:$BB$378,40,FALSE)</f>
        <v>0</v>
      </c>
      <c r="AO123" s="5">
        <f>VLOOKUP($A123,'ПР 01-02.21'!$A$11:$BB$406,41,FALSE)+VLOOKUP($A123,'ПР 21-22'!$A$11:$BB$406,41,FALSE)-VLOOKUP($A123,'ПР 01-02.22'!$A$11:$BB$378,41,FALSE)</f>
        <v>0</v>
      </c>
      <c r="AP123" s="40"/>
      <c r="AQ123" s="5">
        <f>VLOOKUP($A123,'ПР 01-02.21'!$A$11:$BB$406,43,FALSE)+VLOOKUP($A123,'ПР 21-22'!$A$11:$BB$406,43,FALSE)-VLOOKUP($A123,'ПР 01-02.22'!$A$11:$BB$378,43,FALSE)</f>
        <v>0</v>
      </c>
      <c r="AR123" s="5">
        <f>VLOOKUP($A123,'ПР 01-02.21'!$A$11:$BB$406,44,FALSE)+VLOOKUP($A123,'ПР 21-22'!$A$11:$BB$406,44,FALSE)-VLOOKUP($A123,'ПР 01-02.22'!$A$11:$BB$378,44,FALSE)</f>
        <v>0</v>
      </c>
      <c r="AS123" s="40"/>
      <c r="AT123" s="5">
        <f>VLOOKUP($A123,'ПР 01-02.21'!$A$11:$BB$406,46,FALSE)+VLOOKUP($A123,'ПР 21-22'!$A$11:$BB$406,46,FALSE)-VLOOKUP($A123,'ПР 01-02.22'!$A$11:$BB$378,46,FALSE)</f>
        <v>104.36956266841206</v>
      </c>
      <c r="AU123" s="5">
        <f>VLOOKUP($A123,'ПР 01-02.21'!$A$11:$BB$406,47,FALSE)+VLOOKUP($A123,'ПР 21-22'!$A$11:$BB$406,47,FALSE)-VLOOKUP($A123,'ПР 01-02.22'!$A$11:$BB$378,47,FALSE)</f>
        <v>0</v>
      </c>
      <c r="AV123" s="40"/>
      <c r="AW123" s="5">
        <f>VLOOKUP($A123,'ПР 01-02.21'!$A$11:$BB$406,49,FALSE)+VLOOKUP($A123,'ПР 21-22'!$A$11:$BB$406,49,FALSE)-VLOOKUP($A123,'ПР 01-02.22'!$A$11:$BB$378,49,FALSE)</f>
        <v>29.508400000000002</v>
      </c>
      <c r="AX123" s="5">
        <f>VLOOKUP($A123,'ПР 01-02.21'!$A$11:$BB$406,50,FALSE)+VLOOKUP($A123,'ПР 21-22'!$A$11:$BB$406,50,FALSE)-VLOOKUP($A123,'ПР 01-02.22'!$A$11:$BB$378,50,FALSE)</f>
        <v>0</v>
      </c>
      <c r="AY123" s="40"/>
      <c r="AZ123" s="40">
        <f t="shared" si="5"/>
        <v>2647.7730391732621</v>
      </c>
      <c r="BA123" s="40">
        <f t="shared" si="5"/>
        <v>0</v>
      </c>
      <c r="BB123" s="55">
        <f t="shared" si="8"/>
        <v>-2647.7730391732621</v>
      </c>
      <c r="BD123" s="2">
        <v>2</v>
      </c>
      <c r="BF123" s="325">
        <v>150000608</v>
      </c>
    </row>
    <row r="124" spans="1:58" ht="24.9" customHeight="1" x14ac:dyDescent="0.3">
      <c r="A124" s="325">
        <v>150000609</v>
      </c>
      <c r="B124" s="445" t="s">
        <v>160</v>
      </c>
      <c r="C124" s="27">
        <v>2</v>
      </c>
      <c r="D124" s="101" t="s">
        <v>455</v>
      </c>
      <c r="E124" s="279">
        <f>'побудинковий звіт'!E122</f>
        <v>465.59999999999997</v>
      </c>
      <c r="F124" s="441">
        <f>'побудинковий звіт'!AS122</f>
        <v>6589.7894061246716</v>
      </c>
      <c r="G124" s="441">
        <f t="shared" si="6"/>
        <v>251</v>
      </c>
      <c r="H124" s="73">
        <f t="shared" si="7"/>
        <v>-6338.7894061246716</v>
      </c>
      <c r="I124" s="5">
        <f>VLOOKUP($A124,'ПР 01-02.21'!$A$11:$BB$406,9,FALSE)+VLOOKUP($A124,'ПР 21-22'!$A$11:$BB$406,9,FALSE)-VLOOKUP($A124,'ПР 01-02.22'!$A$11:$BB$378,9,FALSE)</f>
        <v>0</v>
      </c>
      <c r="J124" s="5">
        <f>VLOOKUP($A124,'ПР 01-02.21'!$A$11:$BB$406,10,FALSE)+VLOOKUP($A124,'ПР 21-22'!$A$11:$BB$406,10,FALSE)-VLOOKUP($A124,'ПР 01-02.22'!$A$11:$BB$378,10,FALSE)</f>
        <v>0</v>
      </c>
      <c r="K124" s="446"/>
      <c r="L124" s="5">
        <f>VLOOKUP($A124,'ПР 01-02.21'!$A$11:$BB$406,12,FALSE)+VLOOKUP($A124,'ПР 21-22'!$A$11:$BB$406,12,FALSE)-VLOOKUP($A124,'ПР 01-02.22'!$A$11:$BB$378,12,FALSE)</f>
        <v>0</v>
      </c>
      <c r="M124" s="5">
        <f>VLOOKUP($A124,'ПР 01-02.21'!$A$11:$BB$406,13,FALSE)+VLOOKUP($A124,'ПР 21-22'!$A$11:$BB$406,13,FALSE)-VLOOKUP($A124,'ПР 01-02.22'!$A$11:$BB$378,13,FALSE)</f>
        <v>0</v>
      </c>
      <c r="N124" s="38"/>
      <c r="O124" s="5">
        <f>VLOOKUP($A124,'ПР 01-02.21'!$A$11:$BB$406,15,FALSE)+VLOOKUP($A124,'ПР 21-22'!$A$11:$BB$406,15,FALSE)-VLOOKUP($A124,'ПР 01-02.22'!$A$11:$BB$378,15,FALSE)</f>
        <v>0</v>
      </c>
      <c r="P124" s="5">
        <f>VLOOKUP($A124,'ПР 01-02.21'!$A$11:$BB$406,16,FALSE)+VLOOKUP($A124,'ПР 21-22'!$A$11:$BB$406,16,FALSE)-VLOOKUP($A124,'ПР 01-02.22'!$A$11:$BB$378,16,FALSE)</f>
        <v>0</v>
      </c>
      <c r="Q124" s="443"/>
      <c r="R124" s="5">
        <f>VLOOKUP($A124,'ПР 01-02.21'!$A$11:$BB$406,18,FALSE)+VLOOKUP($A124,'ПР 21-22'!$A$11:$BB$406,18,FALSE)-VLOOKUP($A124,'ПР 01-02.22'!$A$11:$BB$378,18,FALSE)</f>
        <v>0</v>
      </c>
      <c r="S124" s="5">
        <f>VLOOKUP($A124,'ПР 01-02.21'!$A$11:$BB$406,19,FALSE)+VLOOKUP($A124,'ПР 21-22'!$A$11:$BB$406,19,FALSE)-VLOOKUP($A124,'ПР 01-02.22'!$A$11:$BB$378,19,FALSE)</f>
        <v>0</v>
      </c>
      <c r="T124" s="444"/>
      <c r="U124" s="5">
        <f>VLOOKUP($A124,'ПР 01-02.21'!$A$11:$BB$406,21,FALSE)+VLOOKUP($A124,'ПР 21-22'!$A$11:$BB$406,21,FALSE)-VLOOKUP($A124,'ПР 01-02.22'!$A$11:$BB$378,21,FALSE)</f>
        <v>0</v>
      </c>
      <c r="V124" s="5"/>
      <c r="W124" s="5">
        <f>VLOOKUP($A124,'ПР 01-02.21'!$A$11:$BB$406,23,FALSE)+VLOOKUP($A124,'ПР 21-22'!$A$11:$BB$406,23,FALSE)-VLOOKUP($A124,'ПР 01-02.22'!$A$11:$BB$378,23,FALSE)</f>
        <v>0</v>
      </c>
      <c r="X124" s="5">
        <f>VLOOKUP($A124,'ПР 01-02.21'!$A$11:$BB$406,24,FALSE)+VLOOKUP($A124,'ПР 21-22'!$A$11:$BB$406,24,FALSE)-VLOOKUP($A124,'ПР 01-02.22'!$A$11:$BB$378,24,FALSE)</f>
        <v>0</v>
      </c>
      <c r="Y124" s="5">
        <f>VLOOKUP($A124,'ПР 01-02.21'!$A$11:$BB$406,25,FALSE)+VLOOKUP($A124,'ПР 21-22'!$A$11:$BB$406,25,FALSE)-VLOOKUP($A124,'ПР 01-02.22'!$A$11:$BB$378,25,FALSE)</f>
        <v>0</v>
      </c>
      <c r="Z124" s="5"/>
      <c r="AA124" s="5">
        <f>VLOOKUP($A124,'ПР 01-02.21'!$A$11:$BB$406,27,FALSE)+VLOOKUP($A124,'ПР 21-22'!$A$11:$BB$406,27,FALSE)-VLOOKUP($A124,'ПР 01-02.22'!$A$11:$BB$378,27,FALSE)</f>
        <v>0</v>
      </c>
      <c r="AB124" s="5">
        <f>VLOOKUP($A124,'ПР 01-02.21'!$A$11:$BB$406,28,FALSE)+VLOOKUP($A124,'ПР 21-22'!$A$11:$BB$406,28,FALSE)-VLOOKUP($A124,'ПР 01-02.22'!$A$11:$BB$378,28,FALSE)</f>
        <v>0</v>
      </c>
      <c r="AC124" s="5">
        <f>VLOOKUP($A124,'ПР 01-02.21'!$A$11:$BB$406,29,FALSE)+VLOOKUP($A124,'ПР 21-22'!$A$11:$BB$406,29,FALSE)-VLOOKUP($A124,'ПР 01-02.22'!$A$11:$BB$378,29,FALSE)</f>
        <v>0</v>
      </c>
      <c r="AD124" s="5">
        <f>VLOOKUP($A124,'ПР 01-02.21'!$A$11:$BB$406,30,FALSE)+VLOOKUP($A124,'ПР 21-22'!$A$11:$BB$406,30,FALSE)-VLOOKUP($A124,'ПР 01-02.22'!$A$11:$BB$378,30,FALSE)</f>
        <v>251</v>
      </c>
      <c r="AE124" s="5">
        <f>VLOOKUP($A124,'ПР 01-02.21'!$A$11:$BB$406,31,FALSE)+VLOOKUP($A124,'ПР 21-22'!$A$11:$BB$406,31,FALSE)-VLOOKUP($A124,'ПР 01-02.22'!$A$11:$BB$378,31,FALSE)</f>
        <v>686.78500011354345</v>
      </c>
      <c r="AF124" s="5">
        <f>VLOOKUP($A124,'ПР 01-02.21'!$A$11:$BB$406,32,FALSE)+VLOOKUP($A124,'ПР 21-22'!$A$11:$BB$406,32,FALSE)-VLOOKUP($A124,'ПР 01-02.22'!$A$11:$BB$378,32,FALSE)</f>
        <v>0</v>
      </c>
      <c r="AG124" s="40"/>
      <c r="AH124" s="5">
        <f>VLOOKUP($A124,'ПР 01-02.21'!$A$11:$BB$406,34,FALSE)+VLOOKUP($A124,'ПР 21-22'!$A$11:$BB$406,34,FALSE)-VLOOKUP($A124,'ПР 01-02.22'!$A$11:$BB$378,34,FALSE)</f>
        <v>1296.6667843710163</v>
      </c>
      <c r="AI124" s="5">
        <f>VLOOKUP($A124,'ПР 01-02.21'!$A$11:$BB$406,35,FALSE)+VLOOKUP($A124,'ПР 21-22'!$A$11:$BB$406,35,FALSE)-VLOOKUP($A124,'ПР 01-02.22'!$A$11:$BB$378,35,FALSE)</f>
        <v>0</v>
      </c>
      <c r="AJ124" s="40"/>
      <c r="AK124" s="5">
        <f>VLOOKUP($A124,'ПР 01-02.21'!$A$11:$BB$406,37,FALSE)+VLOOKUP($A124,'ПР 21-22'!$A$11:$BB$406,37,FALSE)-VLOOKUP($A124,'ПР 01-02.22'!$A$11:$BB$378,37,FALSE)</f>
        <v>181.877341754101</v>
      </c>
      <c r="AL124" s="5">
        <f>VLOOKUP($A124,'ПР 01-02.21'!$A$11:$BB$406,38,FALSE)+VLOOKUP($A124,'ПР 21-22'!$A$11:$BB$406,38,FALSE)-VLOOKUP($A124,'ПР 01-02.22'!$A$11:$BB$378,38,FALSE)</f>
        <v>0</v>
      </c>
      <c r="AM124" s="40"/>
      <c r="AN124" s="5">
        <f>VLOOKUP($A124,'ПР 01-02.21'!$A$11:$BB$406,40,FALSE)+VLOOKUP($A124,'ПР 21-22'!$A$11:$BB$406,40,FALSE)-VLOOKUP($A124,'ПР 01-02.22'!$A$11:$BB$378,40,FALSE)</f>
        <v>0</v>
      </c>
      <c r="AO124" s="5">
        <f>VLOOKUP($A124,'ПР 01-02.21'!$A$11:$BB$406,41,FALSE)+VLOOKUP($A124,'ПР 21-22'!$A$11:$BB$406,41,FALSE)-VLOOKUP($A124,'ПР 01-02.22'!$A$11:$BB$378,41,FALSE)</f>
        <v>0</v>
      </c>
      <c r="AP124" s="40"/>
      <c r="AQ124" s="5">
        <f>VLOOKUP($A124,'ПР 01-02.21'!$A$11:$BB$406,43,FALSE)+VLOOKUP($A124,'ПР 21-22'!$A$11:$BB$406,43,FALSE)-VLOOKUP($A124,'ПР 01-02.22'!$A$11:$BB$378,43,FALSE)</f>
        <v>0</v>
      </c>
      <c r="AR124" s="5">
        <f>VLOOKUP($A124,'ПР 01-02.21'!$A$11:$BB$406,44,FALSE)+VLOOKUP($A124,'ПР 21-22'!$A$11:$BB$406,44,FALSE)-VLOOKUP($A124,'ПР 01-02.22'!$A$11:$BB$378,44,FALSE)</f>
        <v>0</v>
      </c>
      <c r="AS124" s="40"/>
      <c r="AT124" s="5">
        <f>VLOOKUP($A124,'ПР 01-02.21'!$A$11:$BB$406,46,FALSE)+VLOOKUP($A124,'ПР 21-22'!$A$11:$BB$406,46,FALSE)-VLOOKUP($A124,'ПР 01-02.22'!$A$11:$BB$378,46,FALSE)</f>
        <v>104.36956266841206</v>
      </c>
      <c r="AU124" s="5">
        <f>VLOOKUP($A124,'ПР 01-02.21'!$A$11:$BB$406,47,FALSE)+VLOOKUP($A124,'ПР 21-22'!$A$11:$BB$406,47,FALSE)-VLOOKUP($A124,'ПР 01-02.22'!$A$11:$BB$378,47,FALSE)</f>
        <v>0</v>
      </c>
      <c r="AV124" s="40"/>
      <c r="AW124" s="5">
        <f>VLOOKUP($A124,'ПР 01-02.21'!$A$11:$BB$406,49,FALSE)+VLOOKUP($A124,'ПР 21-22'!$A$11:$BB$406,49,FALSE)-VLOOKUP($A124,'ПР 01-02.22'!$A$11:$BB$378,49,FALSE)</f>
        <v>23.585999999999999</v>
      </c>
      <c r="AX124" s="5">
        <f>VLOOKUP($A124,'ПР 01-02.21'!$A$11:$BB$406,50,FALSE)+VLOOKUP($A124,'ПР 21-22'!$A$11:$BB$406,50,FALSE)-VLOOKUP($A124,'ПР 01-02.22'!$A$11:$BB$378,50,FALSE)</f>
        <v>2329</v>
      </c>
      <c r="AY124" s="40"/>
      <c r="AZ124" s="40">
        <f t="shared" si="5"/>
        <v>2293.2846889070725</v>
      </c>
      <c r="BA124" s="40">
        <f t="shared" si="5"/>
        <v>2329</v>
      </c>
      <c r="BB124" s="55">
        <f t="shared" si="8"/>
        <v>35.71531109292755</v>
      </c>
      <c r="BD124" s="2">
        <v>2</v>
      </c>
      <c r="BF124" s="325">
        <v>150000609</v>
      </c>
    </row>
    <row r="125" spans="1:58" ht="24.9" customHeight="1" x14ac:dyDescent="0.3">
      <c r="A125" s="325">
        <v>150000610</v>
      </c>
      <c r="B125" s="445" t="s">
        <v>161</v>
      </c>
      <c r="C125" s="27">
        <v>2</v>
      </c>
      <c r="D125" s="101" t="s">
        <v>455</v>
      </c>
      <c r="E125" s="279">
        <f>'побудинковий звіт'!E123</f>
        <v>475.2</v>
      </c>
      <c r="F125" s="441">
        <f>'побудинковий звіт'!AS123</f>
        <v>5994.8427325858111</v>
      </c>
      <c r="G125" s="441">
        <f t="shared" si="6"/>
        <v>251</v>
      </c>
      <c r="H125" s="73">
        <f t="shared" si="7"/>
        <v>-5743.8427325858111</v>
      </c>
      <c r="I125" s="5">
        <f>VLOOKUP($A125,'ПР 01-02.21'!$A$11:$BB$406,9,FALSE)+VLOOKUP($A125,'ПР 21-22'!$A$11:$BB$406,9,FALSE)-VLOOKUP($A125,'ПР 01-02.22'!$A$11:$BB$378,9,FALSE)</f>
        <v>0</v>
      </c>
      <c r="J125" s="5">
        <f>VLOOKUP($A125,'ПР 01-02.21'!$A$11:$BB$406,10,FALSE)+VLOOKUP($A125,'ПР 21-22'!$A$11:$BB$406,10,FALSE)-VLOOKUP($A125,'ПР 01-02.22'!$A$11:$BB$378,10,FALSE)</f>
        <v>0</v>
      </c>
      <c r="K125" s="450"/>
      <c r="L125" s="5">
        <f>VLOOKUP($A125,'ПР 01-02.21'!$A$11:$BB$406,12,FALSE)+VLOOKUP($A125,'ПР 21-22'!$A$11:$BB$406,12,FALSE)-VLOOKUP($A125,'ПР 01-02.22'!$A$11:$BB$378,12,FALSE)</f>
        <v>0</v>
      </c>
      <c r="M125" s="5">
        <f>VLOOKUP($A125,'ПР 01-02.21'!$A$11:$BB$406,13,FALSE)+VLOOKUP($A125,'ПР 21-22'!$A$11:$BB$406,13,FALSE)-VLOOKUP($A125,'ПР 01-02.22'!$A$11:$BB$378,13,FALSE)</f>
        <v>0</v>
      </c>
      <c r="N125" s="38"/>
      <c r="O125" s="5">
        <f>VLOOKUP($A125,'ПР 01-02.21'!$A$11:$BB$406,15,FALSE)+VLOOKUP($A125,'ПР 21-22'!$A$11:$BB$406,15,FALSE)-VLOOKUP($A125,'ПР 01-02.22'!$A$11:$BB$378,15,FALSE)</f>
        <v>0</v>
      </c>
      <c r="P125" s="5">
        <f>VLOOKUP($A125,'ПР 01-02.21'!$A$11:$BB$406,16,FALSE)+VLOOKUP($A125,'ПР 21-22'!$A$11:$BB$406,16,FALSE)-VLOOKUP($A125,'ПР 01-02.22'!$A$11:$BB$378,16,FALSE)</f>
        <v>0</v>
      </c>
      <c r="Q125" s="443"/>
      <c r="R125" s="5">
        <f>VLOOKUP($A125,'ПР 01-02.21'!$A$11:$BB$406,18,FALSE)+VLOOKUP($A125,'ПР 21-22'!$A$11:$BB$406,18,FALSE)-VLOOKUP($A125,'ПР 01-02.22'!$A$11:$BB$378,18,FALSE)</f>
        <v>0</v>
      </c>
      <c r="S125" s="5">
        <f>VLOOKUP($A125,'ПР 01-02.21'!$A$11:$BB$406,19,FALSE)+VLOOKUP($A125,'ПР 21-22'!$A$11:$BB$406,19,FALSE)-VLOOKUP($A125,'ПР 01-02.22'!$A$11:$BB$378,19,FALSE)</f>
        <v>0</v>
      </c>
      <c r="T125" s="444"/>
      <c r="U125" s="5">
        <f>VLOOKUP($A125,'ПР 01-02.21'!$A$11:$BB$406,21,FALSE)+VLOOKUP($A125,'ПР 21-22'!$A$11:$BB$406,21,FALSE)-VLOOKUP($A125,'ПР 01-02.22'!$A$11:$BB$378,21,FALSE)</f>
        <v>0</v>
      </c>
      <c r="V125" s="5"/>
      <c r="W125" s="5">
        <f>VLOOKUP($A125,'ПР 01-02.21'!$A$11:$BB$406,23,FALSE)+VLOOKUP($A125,'ПР 21-22'!$A$11:$BB$406,23,FALSE)-VLOOKUP($A125,'ПР 01-02.22'!$A$11:$BB$378,23,FALSE)</f>
        <v>0</v>
      </c>
      <c r="X125" s="5">
        <f>VLOOKUP($A125,'ПР 01-02.21'!$A$11:$BB$406,24,FALSE)+VLOOKUP($A125,'ПР 21-22'!$A$11:$BB$406,24,FALSE)-VLOOKUP($A125,'ПР 01-02.22'!$A$11:$BB$378,24,FALSE)</f>
        <v>0</v>
      </c>
      <c r="Y125" s="5">
        <f>VLOOKUP($A125,'ПР 01-02.21'!$A$11:$BB$406,25,FALSE)+VLOOKUP($A125,'ПР 21-22'!$A$11:$BB$406,25,FALSE)-VLOOKUP($A125,'ПР 01-02.22'!$A$11:$BB$378,25,FALSE)</f>
        <v>0</v>
      </c>
      <c r="Z125" s="5"/>
      <c r="AA125" s="5">
        <f>VLOOKUP($A125,'ПР 01-02.21'!$A$11:$BB$406,27,FALSE)+VLOOKUP($A125,'ПР 21-22'!$A$11:$BB$406,27,FALSE)-VLOOKUP($A125,'ПР 01-02.22'!$A$11:$BB$378,27,FALSE)</f>
        <v>0</v>
      </c>
      <c r="AB125" s="5">
        <f>VLOOKUP($A125,'ПР 01-02.21'!$A$11:$BB$406,28,FALSE)+VLOOKUP($A125,'ПР 21-22'!$A$11:$BB$406,28,FALSE)-VLOOKUP($A125,'ПР 01-02.22'!$A$11:$BB$378,28,FALSE)</f>
        <v>0</v>
      </c>
      <c r="AC125" s="5">
        <f>VLOOKUP($A125,'ПР 01-02.21'!$A$11:$BB$406,29,FALSE)+VLOOKUP($A125,'ПР 21-22'!$A$11:$BB$406,29,FALSE)-VLOOKUP($A125,'ПР 01-02.22'!$A$11:$BB$378,29,FALSE)</f>
        <v>0</v>
      </c>
      <c r="AD125" s="5">
        <f>VLOOKUP($A125,'ПР 01-02.21'!$A$11:$BB$406,30,FALSE)+VLOOKUP($A125,'ПР 21-22'!$A$11:$BB$406,30,FALSE)-VLOOKUP($A125,'ПР 01-02.22'!$A$11:$BB$378,30,FALSE)</f>
        <v>251</v>
      </c>
      <c r="AE125" s="5">
        <f>VLOOKUP($A125,'ПР 01-02.21'!$A$11:$BB$406,31,FALSE)+VLOOKUP($A125,'ПР 21-22'!$A$11:$BB$406,31,FALSE)-VLOOKUP($A125,'ПР 01-02.22'!$A$11:$BB$378,31,FALSE)</f>
        <v>957.39888383459811</v>
      </c>
      <c r="AF125" s="5">
        <f>VLOOKUP($A125,'ПР 01-02.21'!$A$11:$BB$406,32,FALSE)+VLOOKUP($A125,'ПР 21-22'!$A$11:$BB$406,32,FALSE)-VLOOKUP($A125,'ПР 01-02.22'!$A$11:$BB$378,32,FALSE)</f>
        <v>0</v>
      </c>
      <c r="AG125" s="40"/>
      <c r="AH125" s="5">
        <f>VLOOKUP($A125,'ПР 01-02.21'!$A$11:$BB$406,34,FALSE)+VLOOKUP($A125,'ПР 21-22'!$A$11:$BB$406,34,FALSE)-VLOOKUP($A125,'ПР 01-02.22'!$A$11:$BB$378,34,FALSE)</f>
        <v>1080.9194121209853</v>
      </c>
      <c r="AI125" s="5">
        <f>VLOOKUP($A125,'ПР 01-02.21'!$A$11:$BB$406,35,FALSE)+VLOOKUP($A125,'ПР 21-22'!$A$11:$BB$406,35,FALSE)-VLOOKUP($A125,'ПР 01-02.22'!$A$11:$BB$378,35,FALSE)</f>
        <v>0</v>
      </c>
      <c r="AJ125" s="40"/>
      <c r="AK125" s="5">
        <f>VLOOKUP($A125,'ПР 01-02.21'!$A$11:$BB$406,37,FALSE)+VLOOKUP($A125,'ПР 21-22'!$A$11:$BB$406,37,FALSE)-VLOOKUP($A125,'ПР 01-02.22'!$A$11:$BB$378,37,FALSE)</f>
        <v>180.6365090805692</v>
      </c>
      <c r="AL125" s="5">
        <f>VLOOKUP($A125,'ПР 01-02.21'!$A$11:$BB$406,38,FALSE)+VLOOKUP($A125,'ПР 21-22'!$A$11:$BB$406,38,FALSE)-VLOOKUP($A125,'ПР 01-02.22'!$A$11:$BB$378,38,FALSE)</f>
        <v>0</v>
      </c>
      <c r="AM125" s="40"/>
      <c r="AN125" s="5">
        <f>VLOOKUP($A125,'ПР 01-02.21'!$A$11:$BB$406,40,FALSE)+VLOOKUP($A125,'ПР 21-22'!$A$11:$BB$406,40,FALSE)-VLOOKUP($A125,'ПР 01-02.22'!$A$11:$BB$378,40,FALSE)</f>
        <v>0</v>
      </c>
      <c r="AO125" s="5">
        <f>VLOOKUP($A125,'ПР 01-02.21'!$A$11:$BB$406,41,FALSE)+VLOOKUP($A125,'ПР 21-22'!$A$11:$BB$406,41,FALSE)-VLOOKUP($A125,'ПР 01-02.22'!$A$11:$BB$378,41,FALSE)</f>
        <v>0</v>
      </c>
      <c r="AP125" s="40"/>
      <c r="AQ125" s="5">
        <f>VLOOKUP($A125,'ПР 01-02.21'!$A$11:$BB$406,43,FALSE)+VLOOKUP($A125,'ПР 21-22'!$A$11:$BB$406,43,FALSE)-VLOOKUP($A125,'ПР 01-02.22'!$A$11:$BB$378,43,FALSE)</f>
        <v>0</v>
      </c>
      <c r="AR125" s="5">
        <f>VLOOKUP($A125,'ПР 01-02.21'!$A$11:$BB$406,44,FALSE)+VLOOKUP($A125,'ПР 21-22'!$A$11:$BB$406,44,FALSE)-VLOOKUP($A125,'ПР 01-02.22'!$A$11:$BB$378,44,FALSE)</f>
        <v>0</v>
      </c>
      <c r="AS125" s="40"/>
      <c r="AT125" s="5">
        <f>VLOOKUP($A125,'ПР 01-02.21'!$A$11:$BB$406,46,FALSE)+VLOOKUP($A125,'ПР 21-22'!$A$11:$BB$406,46,FALSE)-VLOOKUP($A125,'ПР 01-02.22'!$A$11:$BB$378,46,FALSE)</f>
        <v>104.36954044621635</v>
      </c>
      <c r="AU125" s="5">
        <f>VLOOKUP($A125,'ПР 01-02.21'!$A$11:$BB$406,47,FALSE)+VLOOKUP($A125,'ПР 21-22'!$A$11:$BB$406,47,FALSE)-VLOOKUP($A125,'ПР 01-02.22'!$A$11:$BB$378,47,FALSE)</f>
        <v>0</v>
      </c>
      <c r="AV125" s="40"/>
      <c r="AW125" s="5">
        <f>VLOOKUP($A125,'ПР 01-02.21'!$A$11:$BB$406,49,FALSE)+VLOOKUP($A125,'ПР 21-22'!$A$11:$BB$406,49,FALSE)-VLOOKUP($A125,'ПР 01-02.22'!$A$11:$BB$378,49,FALSE)</f>
        <v>24.007999999999999</v>
      </c>
      <c r="AX125" s="5">
        <f>VLOOKUP($A125,'ПР 01-02.21'!$A$11:$BB$406,50,FALSE)+VLOOKUP($A125,'ПР 21-22'!$A$11:$BB$406,50,FALSE)-VLOOKUP($A125,'ПР 01-02.22'!$A$11:$BB$378,50,FALSE)</f>
        <v>0</v>
      </c>
      <c r="AY125" s="40"/>
      <c r="AZ125" s="40">
        <f t="shared" si="5"/>
        <v>2347.332345482369</v>
      </c>
      <c r="BA125" s="40">
        <f t="shared" si="5"/>
        <v>0</v>
      </c>
      <c r="BB125" s="55">
        <f t="shared" si="8"/>
        <v>-2347.332345482369</v>
      </c>
      <c r="BD125" s="2">
        <v>2</v>
      </c>
      <c r="BF125" s="325">
        <v>150000610</v>
      </c>
    </row>
    <row r="126" spans="1:58" ht="24.9" customHeight="1" x14ac:dyDescent="0.3">
      <c r="A126" s="325">
        <v>150000611</v>
      </c>
      <c r="B126" s="445" t="s">
        <v>196</v>
      </c>
      <c r="C126" s="27">
        <v>3</v>
      </c>
      <c r="D126" s="101" t="s">
        <v>455</v>
      </c>
      <c r="E126" s="279">
        <f>'побудинковий звіт'!E124</f>
        <v>1108</v>
      </c>
      <c r="F126" s="441">
        <f>'побудинковий звіт'!AS124</f>
        <v>9752.2804482452411</v>
      </c>
      <c r="G126" s="441">
        <f t="shared" si="6"/>
        <v>37249.39</v>
      </c>
      <c r="H126" s="73">
        <f t="shared" si="7"/>
        <v>27497.109551754758</v>
      </c>
      <c r="I126" s="5">
        <f>VLOOKUP($A126,'ПР 01-02.21'!$A$11:$BB$406,9,FALSE)+VLOOKUP($A126,'ПР 21-22'!$A$11:$BB$406,9,FALSE)-VLOOKUP($A126,'ПР 01-02.22'!$A$11:$BB$378,9,FALSE)</f>
        <v>0</v>
      </c>
      <c r="J126" s="5">
        <f>VLOOKUP($A126,'ПР 01-02.21'!$A$11:$BB$406,10,FALSE)+VLOOKUP($A126,'ПР 21-22'!$A$11:$BB$406,10,FALSE)-VLOOKUP($A126,'ПР 01-02.22'!$A$11:$BB$378,10,FALSE)</f>
        <v>0</v>
      </c>
      <c r="K126" s="446"/>
      <c r="L126" s="5">
        <f>VLOOKUP($A126,'ПР 01-02.21'!$A$11:$BB$406,12,FALSE)+VLOOKUP($A126,'ПР 21-22'!$A$11:$BB$406,12,FALSE)-VLOOKUP($A126,'ПР 01-02.22'!$A$11:$BB$378,12,FALSE)</f>
        <v>1</v>
      </c>
      <c r="M126" s="5">
        <f>VLOOKUP($A126,'ПР 01-02.21'!$A$11:$BB$406,13,FALSE)+VLOOKUP($A126,'ПР 21-22'!$A$11:$BB$406,13,FALSE)-VLOOKUP($A126,'ПР 01-02.22'!$A$11:$BB$378,13,FALSE)</f>
        <v>34669</v>
      </c>
      <c r="N126" s="38"/>
      <c r="O126" s="5">
        <f>VLOOKUP($A126,'ПР 01-02.21'!$A$11:$BB$406,15,FALSE)+VLOOKUP($A126,'ПР 21-22'!$A$11:$BB$406,15,FALSE)-VLOOKUP($A126,'ПР 01-02.22'!$A$11:$BB$378,15,FALSE)</f>
        <v>0</v>
      </c>
      <c r="P126" s="5">
        <f>VLOOKUP($A126,'ПР 01-02.21'!$A$11:$BB$406,16,FALSE)+VLOOKUP($A126,'ПР 21-22'!$A$11:$BB$406,16,FALSE)-VLOOKUP($A126,'ПР 01-02.22'!$A$11:$BB$378,16,FALSE)</f>
        <v>0</v>
      </c>
      <c r="Q126" s="443"/>
      <c r="R126" s="5">
        <f>VLOOKUP($A126,'ПР 01-02.21'!$A$11:$BB$406,18,FALSE)+VLOOKUP($A126,'ПР 21-22'!$A$11:$BB$406,18,FALSE)-VLOOKUP($A126,'ПР 01-02.22'!$A$11:$BB$378,18,FALSE)</f>
        <v>0</v>
      </c>
      <c r="S126" s="5">
        <f>VLOOKUP($A126,'ПР 01-02.21'!$A$11:$BB$406,19,FALSE)+VLOOKUP($A126,'ПР 21-22'!$A$11:$BB$406,19,FALSE)-VLOOKUP($A126,'ПР 01-02.22'!$A$11:$BB$378,19,FALSE)</f>
        <v>0</v>
      </c>
      <c r="T126" s="444"/>
      <c r="U126" s="5">
        <f>VLOOKUP($A126,'ПР 01-02.21'!$A$11:$BB$406,21,FALSE)+VLOOKUP($A126,'ПР 21-22'!$A$11:$BB$406,21,FALSE)-VLOOKUP($A126,'ПР 01-02.22'!$A$11:$BB$378,21,FALSE)</f>
        <v>0</v>
      </c>
      <c r="V126" s="5"/>
      <c r="W126" s="5">
        <f>VLOOKUP($A126,'ПР 01-02.21'!$A$11:$BB$406,23,FALSE)+VLOOKUP($A126,'ПР 21-22'!$A$11:$BB$406,23,FALSE)-VLOOKUP($A126,'ПР 01-02.22'!$A$11:$BB$378,23,FALSE)</f>
        <v>0</v>
      </c>
      <c r="X126" s="5">
        <f>VLOOKUP($A126,'ПР 01-02.21'!$A$11:$BB$406,24,FALSE)+VLOOKUP($A126,'ПР 21-22'!$A$11:$BB$406,24,FALSE)-VLOOKUP($A126,'ПР 01-02.22'!$A$11:$BB$378,24,FALSE)</f>
        <v>0</v>
      </c>
      <c r="Y126" s="5">
        <f>VLOOKUP($A126,'ПР 01-02.21'!$A$11:$BB$406,25,FALSE)+VLOOKUP($A126,'ПР 21-22'!$A$11:$BB$406,25,FALSE)-VLOOKUP($A126,'ПР 01-02.22'!$A$11:$BB$378,25,FALSE)</f>
        <v>0</v>
      </c>
      <c r="Z126" s="5"/>
      <c r="AA126" s="5">
        <f>VLOOKUP($A126,'ПР 01-02.21'!$A$11:$BB$406,27,FALSE)+VLOOKUP($A126,'ПР 21-22'!$A$11:$BB$406,27,FALSE)-VLOOKUP($A126,'ПР 01-02.22'!$A$11:$BB$378,27,FALSE)</f>
        <v>0</v>
      </c>
      <c r="AB126" s="5">
        <f>VLOOKUP($A126,'ПР 01-02.21'!$A$11:$BB$406,28,FALSE)+VLOOKUP($A126,'ПР 21-22'!$A$11:$BB$406,28,FALSE)-VLOOKUP($A126,'ПР 01-02.22'!$A$11:$BB$378,28,FALSE)</f>
        <v>0</v>
      </c>
      <c r="AC126" s="5">
        <f>VLOOKUP($A126,'ПР 01-02.21'!$A$11:$BB$406,29,FALSE)+VLOOKUP($A126,'ПР 21-22'!$A$11:$BB$406,29,FALSE)-VLOOKUP($A126,'ПР 01-02.22'!$A$11:$BB$378,29,FALSE)</f>
        <v>440</v>
      </c>
      <c r="AD126" s="5">
        <f>VLOOKUP($A126,'ПР 01-02.21'!$A$11:$BB$406,30,FALSE)+VLOOKUP($A126,'ПР 21-22'!$A$11:$BB$406,30,FALSE)-VLOOKUP($A126,'ПР 01-02.22'!$A$11:$BB$378,30,FALSE)</f>
        <v>2140.3900000000003</v>
      </c>
      <c r="AE126" s="5">
        <f>VLOOKUP($A126,'ПР 01-02.21'!$A$11:$BB$406,31,FALSE)+VLOOKUP($A126,'ПР 21-22'!$A$11:$BB$406,31,FALSE)-VLOOKUP($A126,'ПР 01-02.22'!$A$11:$BB$378,31,FALSE)</f>
        <v>1189.5927689369644</v>
      </c>
      <c r="AF126" s="5">
        <f>VLOOKUP($A126,'ПР 01-02.21'!$A$11:$BB$406,32,FALSE)+VLOOKUP($A126,'ПР 21-22'!$A$11:$BB$406,32,FALSE)-VLOOKUP($A126,'ПР 01-02.22'!$A$11:$BB$378,32,FALSE)</f>
        <v>0</v>
      </c>
      <c r="AG126" s="40"/>
      <c r="AH126" s="5">
        <f>VLOOKUP($A126,'ПР 01-02.21'!$A$11:$BB$406,34,FALSE)+VLOOKUP($A126,'ПР 21-22'!$A$11:$BB$406,34,FALSE)-VLOOKUP($A126,'ПР 01-02.22'!$A$11:$BB$378,34,FALSE)</f>
        <v>1783.7545707432137</v>
      </c>
      <c r="AI126" s="5">
        <f>VLOOKUP($A126,'ПР 01-02.21'!$A$11:$BB$406,35,FALSE)+VLOOKUP($A126,'ПР 21-22'!$A$11:$BB$406,35,FALSE)-VLOOKUP($A126,'ПР 01-02.22'!$A$11:$BB$378,35,FALSE)</f>
        <v>0</v>
      </c>
      <c r="AJ126" s="40"/>
      <c r="AK126" s="5">
        <f>VLOOKUP($A126,'ПР 01-02.21'!$A$11:$BB$406,37,FALSE)+VLOOKUP($A126,'ПР 21-22'!$A$11:$BB$406,37,FALSE)-VLOOKUP($A126,'ПР 01-02.22'!$A$11:$BB$378,37,FALSE)</f>
        <v>597.81398303442438</v>
      </c>
      <c r="AL126" s="5">
        <f>VLOOKUP($A126,'ПР 01-02.21'!$A$11:$BB$406,38,FALSE)+VLOOKUP($A126,'ПР 21-22'!$A$11:$BB$406,38,FALSE)-VLOOKUP($A126,'ПР 01-02.22'!$A$11:$BB$378,38,FALSE)</f>
        <v>963</v>
      </c>
      <c r="AM126" s="40"/>
      <c r="AN126" s="5">
        <f>VLOOKUP($A126,'ПР 01-02.21'!$A$11:$BB$406,40,FALSE)+VLOOKUP($A126,'ПР 21-22'!$A$11:$BB$406,40,FALSE)-VLOOKUP($A126,'ПР 01-02.22'!$A$11:$BB$378,40,FALSE)</f>
        <v>0</v>
      </c>
      <c r="AO126" s="5">
        <f>VLOOKUP($A126,'ПР 01-02.21'!$A$11:$BB$406,41,FALSE)+VLOOKUP($A126,'ПР 21-22'!$A$11:$BB$406,41,FALSE)-VLOOKUP($A126,'ПР 01-02.22'!$A$11:$BB$378,41,FALSE)</f>
        <v>0</v>
      </c>
      <c r="AP126" s="40"/>
      <c r="AQ126" s="5">
        <f>VLOOKUP($A126,'ПР 01-02.21'!$A$11:$BB$406,43,FALSE)+VLOOKUP($A126,'ПР 21-22'!$A$11:$BB$406,43,FALSE)-VLOOKUP($A126,'ПР 01-02.22'!$A$11:$BB$378,43,FALSE)</f>
        <v>0</v>
      </c>
      <c r="AR126" s="5">
        <f>VLOOKUP($A126,'ПР 01-02.21'!$A$11:$BB$406,44,FALSE)+VLOOKUP($A126,'ПР 21-22'!$A$11:$BB$406,44,FALSE)-VLOOKUP($A126,'ПР 01-02.22'!$A$11:$BB$378,44,FALSE)</f>
        <v>0</v>
      </c>
      <c r="AS126" s="40"/>
      <c r="AT126" s="5">
        <f>VLOOKUP($A126,'ПР 01-02.21'!$A$11:$BB$406,46,FALSE)+VLOOKUP($A126,'ПР 21-22'!$A$11:$BB$406,46,FALSE)-VLOOKUP($A126,'ПР 01-02.22'!$A$11:$BB$378,46,FALSE)</f>
        <v>300.42623303795278</v>
      </c>
      <c r="AU126" s="5">
        <f>VLOOKUP($A126,'ПР 01-02.21'!$A$11:$BB$406,47,FALSE)+VLOOKUP($A126,'ПР 21-22'!$A$11:$BB$406,47,FALSE)-VLOOKUP($A126,'ПР 01-02.22'!$A$11:$BB$378,47,FALSE)</f>
        <v>142</v>
      </c>
      <c r="AV126" s="40"/>
      <c r="AW126" s="5">
        <f>VLOOKUP($A126,'ПР 01-02.21'!$A$11:$BB$406,49,FALSE)+VLOOKUP($A126,'ПР 21-22'!$A$11:$BB$406,49,FALSE)-VLOOKUP($A126,'ПР 01-02.22'!$A$11:$BB$378,49,FALSE)</f>
        <v>55.32</v>
      </c>
      <c r="AX126" s="5">
        <f>VLOOKUP($A126,'ПР 01-02.21'!$A$11:$BB$406,50,FALSE)+VLOOKUP($A126,'ПР 21-22'!$A$11:$BB$406,50,FALSE)-VLOOKUP($A126,'ПР 01-02.22'!$A$11:$BB$378,50,FALSE)</f>
        <v>0</v>
      </c>
      <c r="AY126" s="40"/>
      <c r="AZ126" s="40">
        <f t="shared" si="5"/>
        <v>3926.9075557525557</v>
      </c>
      <c r="BA126" s="40">
        <f t="shared" si="5"/>
        <v>1105</v>
      </c>
      <c r="BB126" s="55">
        <f t="shared" si="8"/>
        <v>-2821.9075557525557</v>
      </c>
      <c r="BD126" s="2">
        <v>2</v>
      </c>
      <c r="BF126" s="325">
        <v>150000611</v>
      </c>
    </row>
    <row r="127" spans="1:58" ht="24.9" customHeight="1" x14ac:dyDescent="0.3">
      <c r="A127" s="325">
        <v>150000623</v>
      </c>
      <c r="B127" s="445" t="s">
        <v>210</v>
      </c>
      <c r="C127" s="27">
        <v>4</v>
      </c>
      <c r="D127" s="101" t="s">
        <v>455</v>
      </c>
      <c r="E127" s="279">
        <f>'побудинковий звіт'!E125</f>
        <v>1472.6</v>
      </c>
      <c r="F127" s="441">
        <f>'побудинковий звіт'!AS125</f>
        <v>14487.030393140099</v>
      </c>
      <c r="G127" s="441">
        <f t="shared" si="6"/>
        <v>2141.3599999999997</v>
      </c>
      <c r="H127" s="73">
        <f t="shared" si="7"/>
        <v>-12345.670393140099</v>
      </c>
      <c r="I127" s="5">
        <f>VLOOKUP($A127,'ПР 01-02.21'!$A$11:$BB$406,9,FALSE)+VLOOKUP($A127,'ПР 21-22'!$A$11:$BB$406,9,FALSE)-VLOOKUP($A127,'ПР 01-02.22'!$A$11:$BB$378,9,FALSE)</f>
        <v>0</v>
      </c>
      <c r="J127" s="5">
        <f>VLOOKUP($A127,'ПР 01-02.21'!$A$11:$BB$406,10,FALSE)+VLOOKUP($A127,'ПР 21-22'!$A$11:$BB$406,10,FALSE)-VLOOKUP($A127,'ПР 01-02.22'!$A$11:$BB$378,10,FALSE)</f>
        <v>0</v>
      </c>
      <c r="K127" s="446"/>
      <c r="L127" s="5">
        <f>VLOOKUP($A127,'ПР 01-02.21'!$A$11:$BB$406,12,FALSE)+VLOOKUP($A127,'ПР 21-22'!$A$11:$BB$406,12,FALSE)-VLOOKUP($A127,'ПР 01-02.22'!$A$11:$BB$378,12,FALSE)</f>
        <v>0</v>
      </c>
      <c r="M127" s="5">
        <f>VLOOKUP($A127,'ПР 01-02.21'!$A$11:$BB$406,13,FALSE)+VLOOKUP($A127,'ПР 21-22'!$A$11:$BB$406,13,FALSE)-VLOOKUP($A127,'ПР 01-02.22'!$A$11:$BB$378,13,FALSE)</f>
        <v>0</v>
      </c>
      <c r="N127" s="38"/>
      <c r="O127" s="5">
        <f>VLOOKUP($A127,'ПР 01-02.21'!$A$11:$BB$406,15,FALSE)+VLOOKUP($A127,'ПР 21-22'!$A$11:$BB$406,15,FALSE)-VLOOKUP($A127,'ПР 01-02.22'!$A$11:$BB$378,15,FALSE)</f>
        <v>0</v>
      </c>
      <c r="P127" s="5">
        <f>VLOOKUP($A127,'ПР 01-02.21'!$A$11:$BB$406,16,FALSE)+VLOOKUP($A127,'ПР 21-22'!$A$11:$BB$406,16,FALSE)-VLOOKUP($A127,'ПР 01-02.22'!$A$11:$BB$378,16,FALSE)</f>
        <v>0</v>
      </c>
      <c r="Q127" s="443"/>
      <c r="R127" s="5">
        <f>VLOOKUP($A127,'ПР 01-02.21'!$A$11:$BB$406,18,FALSE)+VLOOKUP($A127,'ПР 21-22'!$A$11:$BB$406,18,FALSE)-VLOOKUP($A127,'ПР 01-02.22'!$A$11:$BB$378,18,FALSE)</f>
        <v>0</v>
      </c>
      <c r="S127" s="5">
        <f>VLOOKUP($A127,'ПР 01-02.21'!$A$11:$BB$406,19,FALSE)+VLOOKUP($A127,'ПР 21-22'!$A$11:$BB$406,19,FALSE)-VLOOKUP($A127,'ПР 01-02.22'!$A$11:$BB$378,19,FALSE)</f>
        <v>0</v>
      </c>
      <c r="T127" s="444"/>
      <c r="U127" s="5">
        <f>VLOOKUP($A127,'ПР 01-02.21'!$A$11:$BB$406,21,FALSE)+VLOOKUP($A127,'ПР 21-22'!$A$11:$BB$406,21,FALSE)-VLOOKUP($A127,'ПР 01-02.22'!$A$11:$BB$378,21,FALSE)</f>
        <v>0</v>
      </c>
      <c r="V127" s="5"/>
      <c r="W127" s="5">
        <f>VLOOKUP($A127,'ПР 01-02.21'!$A$11:$BB$406,23,FALSE)+VLOOKUP($A127,'ПР 21-22'!$A$11:$BB$406,23,FALSE)-VLOOKUP($A127,'ПР 01-02.22'!$A$11:$BB$378,23,FALSE)</f>
        <v>0</v>
      </c>
      <c r="X127" s="5">
        <f>VLOOKUP($A127,'ПР 01-02.21'!$A$11:$BB$406,24,FALSE)+VLOOKUP($A127,'ПР 21-22'!$A$11:$BB$406,24,FALSE)-VLOOKUP($A127,'ПР 01-02.22'!$A$11:$BB$378,24,FALSE)</f>
        <v>0</v>
      </c>
      <c r="Y127" s="5">
        <f>VLOOKUP($A127,'ПР 01-02.21'!$A$11:$BB$406,25,FALSE)+VLOOKUP($A127,'ПР 21-22'!$A$11:$BB$406,25,FALSE)-VLOOKUP($A127,'ПР 01-02.22'!$A$11:$BB$378,25,FALSE)</f>
        <v>0</v>
      </c>
      <c r="Z127" s="5"/>
      <c r="AA127" s="5">
        <f>VLOOKUP($A127,'ПР 01-02.21'!$A$11:$BB$406,27,FALSE)+VLOOKUP($A127,'ПР 21-22'!$A$11:$BB$406,27,FALSE)-VLOOKUP($A127,'ПР 01-02.22'!$A$11:$BB$378,27,FALSE)</f>
        <v>0</v>
      </c>
      <c r="AB127" s="5">
        <f>VLOOKUP($A127,'ПР 01-02.21'!$A$11:$BB$406,28,FALSE)+VLOOKUP($A127,'ПР 21-22'!$A$11:$BB$406,28,FALSE)-VLOOKUP($A127,'ПР 01-02.22'!$A$11:$BB$378,28,FALSE)</f>
        <v>0</v>
      </c>
      <c r="AC127" s="5">
        <f>VLOOKUP($A127,'ПР 01-02.21'!$A$11:$BB$406,29,FALSE)+VLOOKUP($A127,'ПР 21-22'!$A$11:$BB$406,29,FALSE)-VLOOKUP($A127,'ПР 01-02.22'!$A$11:$BB$378,29,FALSE)</f>
        <v>0</v>
      </c>
      <c r="AD127" s="5">
        <f>VLOOKUP($A127,'ПР 01-02.21'!$A$11:$BB$406,30,FALSE)+VLOOKUP($A127,'ПР 21-22'!$A$11:$BB$406,30,FALSE)-VLOOKUP($A127,'ПР 01-02.22'!$A$11:$BB$378,30,FALSE)</f>
        <v>2141.3599999999997</v>
      </c>
      <c r="AE127" s="5">
        <f>VLOOKUP($A127,'ПР 01-02.21'!$A$11:$BB$406,31,FALSE)+VLOOKUP($A127,'ПР 21-22'!$A$11:$BB$406,31,FALSE)-VLOOKUP($A127,'ПР 01-02.22'!$A$11:$BB$378,31,FALSE)</f>
        <v>1390.5462001598887</v>
      </c>
      <c r="AF127" s="5">
        <f>VLOOKUP($A127,'ПР 01-02.21'!$A$11:$BB$406,32,FALSE)+VLOOKUP($A127,'ПР 21-22'!$A$11:$BB$406,32,FALSE)-VLOOKUP($A127,'ПР 01-02.22'!$A$11:$BB$378,32,FALSE)</f>
        <v>1467</v>
      </c>
      <c r="AG127" s="40"/>
      <c r="AH127" s="5">
        <f>VLOOKUP($A127,'ПР 01-02.21'!$A$11:$BB$406,34,FALSE)+VLOOKUP($A127,'ПР 21-22'!$A$11:$BB$406,34,FALSE)-VLOOKUP($A127,'ПР 01-02.22'!$A$11:$BB$378,34,FALSE)</f>
        <v>1708.4406047687442</v>
      </c>
      <c r="AI127" s="5">
        <f>VLOOKUP($A127,'ПР 01-02.21'!$A$11:$BB$406,35,FALSE)+VLOOKUP($A127,'ПР 21-22'!$A$11:$BB$406,35,FALSE)-VLOOKUP($A127,'ПР 01-02.22'!$A$11:$BB$378,35,FALSE)</f>
        <v>0</v>
      </c>
      <c r="AJ127" s="40"/>
      <c r="AK127" s="5">
        <f>VLOOKUP($A127,'ПР 01-02.21'!$A$11:$BB$406,37,FALSE)+VLOOKUP($A127,'ПР 21-22'!$A$11:$BB$406,37,FALSE)-VLOOKUP($A127,'ПР 01-02.22'!$A$11:$BB$378,37,FALSE)</f>
        <v>833.62436721695485</v>
      </c>
      <c r="AL127" s="5">
        <f>VLOOKUP($A127,'ПР 01-02.21'!$A$11:$BB$406,38,FALSE)+VLOOKUP($A127,'ПР 21-22'!$A$11:$BB$406,38,FALSE)-VLOOKUP($A127,'ПР 01-02.22'!$A$11:$BB$378,38,FALSE)</f>
        <v>0</v>
      </c>
      <c r="AM127" s="40"/>
      <c r="AN127" s="5">
        <f>VLOOKUP($A127,'ПР 01-02.21'!$A$11:$BB$406,40,FALSE)+VLOOKUP($A127,'ПР 21-22'!$A$11:$BB$406,40,FALSE)-VLOOKUP($A127,'ПР 01-02.22'!$A$11:$BB$378,40,FALSE)</f>
        <v>0</v>
      </c>
      <c r="AO127" s="5">
        <f>VLOOKUP($A127,'ПР 01-02.21'!$A$11:$BB$406,41,FALSE)+VLOOKUP($A127,'ПР 21-22'!$A$11:$BB$406,41,FALSE)-VLOOKUP($A127,'ПР 01-02.22'!$A$11:$BB$378,41,FALSE)</f>
        <v>0</v>
      </c>
      <c r="AP127" s="40"/>
      <c r="AQ127" s="5">
        <f>VLOOKUP($A127,'ПР 01-02.21'!$A$11:$BB$406,43,FALSE)+VLOOKUP($A127,'ПР 21-22'!$A$11:$BB$406,43,FALSE)-VLOOKUP($A127,'ПР 01-02.22'!$A$11:$BB$378,43,FALSE)</f>
        <v>0</v>
      </c>
      <c r="AR127" s="5">
        <f>VLOOKUP($A127,'ПР 01-02.21'!$A$11:$BB$406,44,FALSE)+VLOOKUP($A127,'ПР 21-22'!$A$11:$BB$406,44,FALSE)-VLOOKUP($A127,'ПР 01-02.22'!$A$11:$BB$378,44,FALSE)</f>
        <v>0</v>
      </c>
      <c r="AS127" s="40"/>
      <c r="AT127" s="5">
        <f>VLOOKUP($A127,'ПР 01-02.21'!$A$11:$BB$406,46,FALSE)+VLOOKUP($A127,'ПР 21-22'!$A$11:$BB$406,46,FALSE)-VLOOKUP($A127,'ПР 01-02.22'!$A$11:$BB$378,46,FALSE)</f>
        <v>637.27016928805642</v>
      </c>
      <c r="AU127" s="5">
        <f>VLOOKUP($A127,'ПР 01-02.21'!$A$11:$BB$406,47,FALSE)+VLOOKUP($A127,'ПР 21-22'!$A$11:$BB$406,47,FALSE)-VLOOKUP($A127,'ПР 01-02.22'!$A$11:$BB$378,47,FALSE)</f>
        <v>622</v>
      </c>
      <c r="AV127" s="40"/>
      <c r="AW127" s="5">
        <f>VLOOKUP($A127,'ПР 01-02.21'!$A$11:$BB$406,49,FALSE)+VLOOKUP($A127,'ПР 21-22'!$A$11:$BB$406,49,FALSE)-VLOOKUP($A127,'ПР 01-02.22'!$A$11:$BB$378,49,FALSE)</f>
        <v>73.848000000000013</v>
      </c>
      <c r="AX127" s="5">
        <f>VLOOKUP($A127,'ПР 01-02.21'!$A$11:$BB$406,50,FALSE)+VLOOKUP($A127,'ПР 21-22'!$A$11:$BB$406,50,FALSE)-VLOOKUP($A127,'ПР 01-02.22'!$A$11:$BB$378,50,FALSE)</f>
        <v>0</v>
      </c>
      <c r="AY127" s="40"/>
      <c r="AZ127" s="40">
        <f t="shared" si="5"/>
        <v>4643.7293414336436</v>
      </c>
      <c r="BA127" s="40">
        <f t="shared" si="5"/>
        <v>2089</v>
      </c>
      <c r="BB127" s="55">
        <f t="shared" si="8"/>
        <v>-2554.7293414336436</v>
      </c>
      <c r="BD127" s="2">
        <v>2</v>
      </c>
      <c r="BF127" s="325">
        <v>150000623</v>
      </c>
    </row>
    <row r="128" spans="1:58" ht="24.9" customHeight="1" x14ac:dyDescent="0.3">
      <c r="A128" s="325">
        <v>150000612</v>
      </c>
      <c r="B128" s="445" t="s">
        <v>162</v>
      </c>
      <c r="C128" s="27">
        <v>2</v>
      </c>
      <c r="D128" s="101" t="s">
        <v>455</v>
      </c>
      <c r="E128" s="279">
        <f>'побудинковий звіт'!E126</f>
        <v>498.78</v>
      </c>
      <c r="F128" s="441">
        <f>'побудинковий звіт'!AS126</f>
        <v>8054.907127514889</v>
      </c>
      <c r="G128" s="441">
        <f t="shared" si="6"/>
        <v>251</v>
      </c>
      <c r="H128" s="73">
        <f t="shared" si="7"/>
        <v>-7803.907127514889</v>
      </c>
      <c r="I128" s="5">
        <f>VLOOKUP($A128,'ПР 01-02.21'!$A$11:$BB$406,9,FALSE)+VLOOKUP($A128,'ПР 21-22'!$A$11:$BB$406,9,FALSE)-VLOOKUP($A128,'ПР 01-02.22'!$A$11:$BB$378,9,FALSE)</f>
        <v>0</v>
      </c>
      <c r="J128" s="5">
        <f>VLOOKUP($A128,'ПР 01-02.21'!$A$11:$BB$406,10,FALSE)+VLOOKUP($A128,'ПР 21-22'!$A$11:$BB$406,10,FALSE)-VLOOKUP($A128,'ПР 01-02.22'!$A$11:$BB$378,10,FALSE)</f>
        <v>0</v>
      </c>
      <c r="K128" s="446"/>
      <c r="L128" s="5">
        <f>VLOOKUP($A128,'ПР 01-02.21'!$A$11:$BB$406,12,FALSE)+VLOOKUP($A128,'ПР 21-22'!$A$11:$BB$406,12,FALSE)-VLOOKUP($A128,'ПР 01-02.22'!$A$11:$BB$378,12,FALSE)</f>
        <v>0</v>
      </c>
      <c r="M128" s="5">
        <f>VLOOKUP($A128,'ПР 01-02.21'!$A$11:$BB$406,13,FALSE)+VLOOKUP($A128,'ПР 21-22'!$A$11:$BB$406,13,FALSE)-VLOOKUP($A128,'ПР 01-02.22'!$A$11:$BB$378,13,FALSE)</f>
        <v>0</v>
      </c>
      <c r="N128" s="38"/>
      <c r="O128" s="5">
        <f>VLOOKUP($A128,'ПР 01-02.21'!$A$11:$BB$406,15,FALSE)+VLOOKUP($A128,'ПР 21-22'!$A$11:$BB$406,15,FALSE)-VLOOKUP($A128,'ПР 01-02.22'!$A$11:$BB$378,15,FALSE)</f>
        <v>0</v>
      </c>
      <c r="P128" s="5">
        <f>VLOOKUP($A128,'ПР 01-02.21'!$A$11:$BB$406,16,FALSE)+VLOOKUP($A128,'ПР 21-22'!$A$11:$BB$406,16,FALSE)-VLOOKUP($A128,'ПР 01-02.22'!$A$11:$BB$378,16,FALSE)</f>
        <v>0</v>
      </c>
      <c r="Q128" s="443"/>
      <c r="R128" s="5">
        <f>VLOOKUP($A128,'ПР 01-02.21'!$A$11:$BB$406,18,FALSE)+VLOOKUP($A128,'ПР 21-22'!$A$11:$BB$406,18,FALSE)-VLOOKUP($A128,'ПР 01-02.22'!$A$11:$BB$378,18,FALSE)</f>
        <v>0</v>
      </c>
      <c r="S128" s="5">
        <f>VLOOKUP($A128,'ПР 01-02.21'!$A$11:$BB$406,19,FALSE)+VLOOKUP($A128,'ПР 21-22'!$A$11:$BB$406,19,FALSE)-VLOOKUP($A128,'ПР 01-02.22'!$A$11:$BB$378,19,FALSE)</f>
        <v>0</v>
      </c>
      <c r="T128" s="444"/>
      <c r="U128" s="5">
        <f>VLOOKUP($A128,'ПР 01-02.21'!$A$11:$BB$406,21,FALSE)+VLOOKUP($A128,'ПР 21-22'!$A$11:$BB$406,21,FALSE)-VLOOKUP($A128,'ПР 01-02.22'!$A$11:$BB$378,21,FALSE)</f>
        <v>0</v>
      </c>
      <c r="V128" s="5"/>
      <c r="W128" s="5">
        <f>VLOOKUP($A128,'ПР 01-02.21'!$A$11:$BB$406,23,FALSE)+VLOOKUP($A128,'ПР 21-22'!$A$11:$BB$406,23,FALSE)-VLOOKUP($A128,'ПР 01-02.22'!$A$11:$BB$378,23,FALSE)</f>
        <v>0</v>
      </c>
      <c r="X128" s="5">
        <f>VLOOKUP($A128,'ПР 01-02.21'!$A$11:$BB$406,24,FALSE)+VLOOKUP($A128,'ПР 21-22'!$A$11:$BB$406,24,FALSE)-VLOOKUP($A128,'ПР 01-02.22'!$A$11:$BB$378,24,FALSE)</f>
        <v>0</v>
      </c>
      <c r="Y128" s="5">
        <f>VLOOKUP($A128,'ПР 01-02.21'!$A$11:$BB$406,25,FALSE)+VLOOKUP($A128,'ПР 21-22'!$A$11:$BB$406,25,FALSE)-VLOOKUP($A128,'ПР 01-02.22'!$A$11:$BB$378,25,FALSE)</f>
        <v>0</v>
      </c>
      <c r="Z128" s="5"/>
      <c r="AA128" s="5">
        <f>VLOOKUP($A128,'ПР 01-02.21'!$A$11:$BB$406,27,FALSE)+VLOOKUP($A128,'ПР 21-22'!$A$11:$BB$406,27,FALSE)-VLOOKUP($A128,'ПР 01-02.22'!$A$11:$BB$378,27,FALSE)</f>
        <v>0</v>
      </c>
      <c r="AB128" s="5">
        <f>VLOOKUP($A128,'ПР 01-02.21'!$A$11:$BB$406,28,FALSE)+VLOOKUP($A128,'ПР 21-22'!$A$11:$BB$406,28,FALSE)-VLOOKUP($A128,'ПР 01-02.22'!$A$11:$BB$378,28,FALSE)</f>
        <v>0</v>
      </c>
      <c r="AC128" s="5">
        <f>VLOOKUP($A128,'ПР 01-02.21'!$A$11:$BB$406,29,FALSE)+VLOOKUP($A128,'ПР 21-22'!$A$11:$BB$406,29,FALSE)-VLOOKUP($A128,'ПР 01-02.22'!$A$11:$BB$378,29,FALSE)</f>
        <v>0</v>
      </c>
      <c r="AD128" s="5">
        <f>VLOOKUP($A128,'ПР 01-02.21'!$A$11:$BB$406,30,FALSE)+VLOOKUP($A128,'ПР 21-22'!$A$11:$BB$406,30,FALSE)-VLOOKUP($A128,'ПР 01-02.22'!$A$11:$BB$378,30,FALSE)</f>
        <v>251</v>
      </c>
      <c r="AE128" s="5">
        <f>VLOOKUP($A128,'ПР 01-02.21'!$A$11:$BB$406,31,FALSE)+VLOOKUP($A128,'ПР 21-22'!$A$11:$BB$406,31,FALSE)-VLOOKUP($A128,'ПР 01-02.22'!$A$11:$BB$378,31,FALSE)</f>
        <v>615.24337943908006</v>
      </c>
      <c r="AF128" s="5">
        <f>VLOOKUP($A128,'ПР 01-02.21'!$A$11:$BB$406,32,FALSE)+VLOOKUP($A128,'ПР 21-22'!$A$11:$BB$406,32,FALSE)-VLOOKUP($A128,'ПР 01-02.22'!$A$11:$BB$378,32,FALSE)</f>
        <v>0</v>
      </c>
      <c r="AG128" s="40"/>
      <c r="AH128" s="5">
        <f>VLOOKUP($A128,'ПР 01-02.21'!$A$11:$BB$406,34,FALSE)+VLOOKUP($A128,'ПР 21-22'!$A$11:$BB$406,34,FALSE)-VLOOKUP($A128,'ПР 01-02.22'!$A$11:$BB$378,34,FALSE)</f>
        <v>1260.0562650407196</v>
      </c>
      <c r="AI128" s="5">
        <f>VLOOKUP($A128,'ПР 01-02.21'!$A$11:$BB$406,35,FALSE)+VLOOKUP($A128,'ПР 21-22'!$A$11:$BB$406,35,FALSE)-VLOOKUP($A128,'ПР 01-02.22'!$A$11:$BB$378,35,FALSE)</f>
        <v>0</v>
      </c>
      <c r="AJ128" s="40"/>
      <c r="AK128" s="5">
        <f>VLOOKUP($A128,'ПР 01-02.21'!$A$11:$BB$406,37,FALSE)+VLOOKUP($A128,'ПР 21-22'!$A$11:$BB$406,37,FALSE)-VLOOKUP($A128,'ПР 01-02.22'!$A$11:$BB$378,37,FALSE)</f>
        <v>126.99549652288454</v>
      </c>
      <c r="AL128" s="5">
        <f>VLOOKUP($A128,'ПР 01-02.21'!$A$11:$BB$406,38,FALSE)+VLOOKUP($A128,'ПР 21-22'!$A$11:$BB$406,38,FALSE)-VLOOKUP($A128,'ПР 01-02.22'!$A$11:$BB$378,38,FALSE)</f>
        <v>0</v>
      </c>
      <c r="AM128" s="40"/>
      <c r="AN128" s="5">
        <f>VLOOKUP($A128,'ПР 01-02.21'!$A$11:$BB$406,40,FALSE)+VLOOKUP($A128,'ПР 21-22'!$A$11:$BB$406,40,FALSE)-VLOOKUP($A128,'ПР 01-02.22'!$A$11:$BB$378,40,FALSE)</f>
        <v>0</v>
      </c>
      <c r="AO128" s="5">
        <f>VLOOKUP($A128,'ПР 01-02.21'!$A$11:$BB$406,41,FALSE)+VLOOKUP($A128,'ПР 21-22'!$A$11:$BB$406,41,FALSE)-VLOOKUP($A128,'ПР 01-02.22'!$A$11:$BB$378,41,FALSE)</f>
        <v>0</v>
      </c>
      <c r="AP128" s="40"/>
      <c r="AQ128" s="5">
        <f>VLOOKUP($A128,'ПР 01-02.21'!$A$11:$BB$406,43,FALSE)+VLOOKUP($A128,'ПР 21-22'!$A$11:$BB$406,43,FALSE)-VLOOKUP($A128,'ПР 01-02.22'!$A$11:$BB$378,43,FALSE)</f>
        <v>0</v>
      </c>
      <c r="AR128" s="5">
        <f>VLOOKUP($A128,'ПР 01-02.21'!$A$11:$BB$406,44,FALSE)+VLOOKUP($A128,'ПР 21-22'!$A$11:$BB$406,44,FALSE)-VLOOKUP($A128,'ПР 01-02.22'!$A$11:$BB$378,44,FALSE)</f>
        <v>0</v>
      </c>
      <c r="AS128" s="40"/>
      <c r="AT128" s="5">
        <f>VLOOKUP($A128,'ПР 01-02.21'!$A$11:$BB$406,46,FALSE)+VLOOKUP($A128,'ПР 21-22'!$A$11:$BB$406,46,FALSE)-VLOOKUP($A128,'ПР 01-02.22'!$A$11:$BB$378,46,FALSE)</f>
        <v>104.36956266841206</v>
      </c>
      <c r="AU128" s="5">
        <f>VLOOKUP($A128,'ПР 01-02.21'!$A$11:$BB$406,47,FALSE)+VLOOKUP($A128,'ПР 21-22'!$A$11:$BB$406,47,FALSE)-VLOOKUP($A128,'ПР 01-02.22'!$A$11:$BB$378,47,FALSE)</f>
        <v>0</v>
      </c>
      <c r="AV128" s="40"/>
      <c r="AW128" s="5">
        <f>VLOOKUP($A128,'ПР 01-02.21'!$A$11:$BB$406,49,FALSE)+VLOOKUP($A128,'ПР 21-22'!$A$11:$BB$406,49,FALSE)-VLOOKUP($A128,'ПР 01-02.22'!$A$11:$BB$378,49,FALSE)</f>
        <v>24.9512</v>
      </c>
      <c r="AX128" s="5">
        <f>VLOOKUP($A128,'ПР 01-02.21'!$A$11:$BB$406,50,FALSE)+VLOOKUP($A128,'ПР 21-22'!$A$11:$BB$406,50,FALSE)-VLOOKUP($A128,'ПР 01-02.22'!$A$11:$BB$378,50,FALSE)</f>
        <v>0</v>
      </c>
      <c r="AY128" s="40"/>
      <c r="AZ128" s="40">
        <f t="shared" si="5"/>
        <v>2131.615903671096</v>
      </c>
      <c r="BA128" s="40">
        <f t="shared" si="5"/>
        <v>0</v>
      </c>
      <c r="BB128" s="55">
        <f t="shared" si="8"/>
        <v>-2131.615903671096</v>
      </c>
      <c r="BD128" s="2">
        <v>2</v>
      </c>
      <c r="BF128" s="325">
        <v>150000612</v>
      </c>
    </row>
    <row r="129" spans="1:58" ht="24.9" customHeight="1" x14ac:dyDescent="0.3">
      <c r="A129" s="325">
        <v>150000613</v>
      </c>
      <c r="B129" s="445" t="s">
        <v>211</v>
      </c>
      <c r="C129" s="27">
        <v>4</v>
      </c>
      <c r="D129" s="101" t="s">
        <v>455</v>
      </c>
      <c r="E129" s="279">
        <f>'побудинковий звіт'!E127</f>
        <v>1482.22</v>
      </c>
      <c r="F129" s="441">
        <f>'побудинковий звіт'!AS127</f>
        <v>12592.717408478833</v>
      </c>
      <c r="G129" s="441">
        <f t="shared" si="6"/>
        <v>44408.77</v>
      </c>
      <c r="H129" s="73">
        <f t="shared" si="7"/>
        <v>31816.052591521162</v>
      </c>
      <c r="I129" s="5">
        <f>VLOOKUP($A129,'ПР 01-02.21'!$A$11:$BB$406,9,FALSE)+VLOOKUP($A129,'ПР 21-22'!$A$11:$BB$406,9,FALSE)-VLOOKUP($A129,'ПР 01-02.22'!$A$11:$BB$378,9,FALSE)</f>
        <v>0</v>
      </c>
      <c r="J129" s="5">
        <f>VLOOKUP($A129,'ПР 01-02.21'!$A$11:$BB$406,10,FALSE)+VLOOKUP($A129,'ПР 21-22'!$A$11:$BB$406,10,FALSE)-VLOOKUP($A129,'ПР 01-02.22'!$A$11:$BB$378,10,FALSE)</f>
        <v>0</v>
      </c>
      <c r="K129" s="446"/>
      <c r="L129" s="5">
        <f>VLOOKUP($A129,'ПР 01-02.21'!$A$11:$BB$406,12,FALSE)+VLOOKUP($A129,'ПР 21-22'!$A$11:$BB$406,12,FALSE)-VLOOKUP($A129,'ПР 01-02.22'!$A$11:$BB$378,12,FALSE)</f>
        <v>1</v>
      </c>
      <c r="M129" s="5">
        <f>VLOOKUP($A129,'ПР 01-02.21'!$A$11:$BB$406,13,FALSE)+VLOOKUP($A129,'ПР 21-22'!$A$11:$BB$406,13,FALSE)-VLOOKUP($A129,'ПР 01-02.22'!$A$11:$BB$378,13,FALSE)</f>
        <v>42211</v>
      </c>
      <c r="N129" s="38"/>
      <c r="O129" s="5">
        <f>VLOOKUP($A129,'ПР 01-02.21'!$A$11:$BB$406,15,FALSE)+VLOOKUP($A129,'ПР 21-22'!$A$11:$BB$406,15,FALSE)-VLOOKUP($A129,'ПР 01-02.22'!$A$11:$BB$378,15,FALSE)</f>
        <v>0</v>
      </c>
      <c r="P129" s="5">
        <f>VLOOKUP($A129,'ПР 01-02.21'!$A$11:$BB$406,16,FALSE)+VLOOKUP($A129,'ПР 21-22'!$A$11:$BB$406,16,FALSE)-VLOOKUP($A129,'ПР 01-02.22'!$A$11:$BB$378,16,FALSE)</f>
        <v>0</v>
      </c>
      <c r="Q129" s="443"/>
      <c r="R129" s="5">
        <f>VLOOKUP($A129,'ПР 01-02.21'!$A$11:$BB$406,18,FALSE)+VLOOKUP($A129,'ПР 21-22'!$A$11:$BB$406,18,FALSE)-VLOOKUP($A129,'ПР 01-02.22'!$A$11:$BB$378,18,FALSE)</f>
        <v>0</v>
      </c>
      <c r="S129" s="5">
        <f>VLOOKUP($A129,'ПР 01-02.21'!$A$11:$BB$406,19,FALSE)+VLOOKUP($A129,'ПР 21-22'!$A$11:$BB$406,19,FALSE)-VLOOKUP($A129,'ПР 01-02.22'!$A$11:$BB$378,19,FALSE)</f>
        <v>0</v>
      </c>
      <c r="T129" s="444"/>
      <c r="U129" s="5">
        <f>VLOOKUP($A129,'ПР 01-02.21'!$A$11:$BB$406,21,FALSE)+VLOOKUP($A129,'ПР 21-22'!$A$11:$BB$406,21,FALSE)-VLOOKUP($A129,'ПР 01-02.22'!$A$11:$BB$378,21,FALSE)</f>
        <v>0</v>
      </c>
      <c r="V129" s="5"/>
      <c r="W129" s="5">
        <f>VLOOKUP($A129,'ПР 01-02.21'!$A$11:$BB$406,23,FALSE)+VLOOKUP($A129,'ПР 21-22'!$A$11:$BB$406,23,FALSE)-VLOOKUP($A129,'ПР 01-02.22'!$A$11:$BB$378,23,FALSE)</f>
        <v>0</v>
      </c>
      <c r="X129" s="5">
        <f>VLOOKUP($A129,'ПР 01-02.21'!$A$11:$BB$406,24,FALSE)+VLOOKUP($A129,'ПР 21-22'!$A$11:$BB$406,24,FALSE)-VLOOKUP($A129,'ПР 01-02.22'!$A$11:$BB$378,24,FALSE)</f>
        <v>0</v>
      </c>
      <c r="Y129" s="5">
        <f>VLOOKUP($A129,'ПР 01-02.21'!$A$11:$BB$406,25,FALSE)+VLOOKUP($A129,'ПР 21-22'!$A$11:$BB$406,25,FALSE)-VLOOKUP($A129,'ПР 01-02.22'!$A$11:$BB$378,25,FALSE)</f>
        <v>1069.77</v>
      </c>
      <c r="Z129" s="5"/>
      <c r="AA129" s="5">
        <f>VLOOKUP($A129,'ПР 01-02.21'!$A$11:$BB$406,27,FALSE)+VLOOKUP($A129,'ПР 21-22'!$A$11:$BB$406,27,FALSE)-VLOOKUP($A129,'ПР 01-02.22'!$A$11:$BB$378,27,FALSE)</f>
        <v>0</v>
      </c>
      <c r="AB129" s="5">
        <f>VLOOKUP($A129,'ПР 01-02.21'!$A$11:$BB$406,28,FALSE)+VLOOKUP($A129,'ПР 21-22'!$A$11:$BB$406,28,FALSE)-VLOOKUP($A129,'ПР 01-02.22'!$A$11:$BB$378,28,FALSE)</f>
        <v>0</v>
      </c>
      <c r="AC129" s="5">
        <f>VLOOKUP($A129,'ПР 01-02.21'!$A$11:$BB$406,29,FALSE)+VLOOKUP($A129,'ПР 21-22'!$A$11:$BB$406,29,FALSE)-VLOOKUP($A129,'ПР 01-02.22'!$A$11:$BB$378,29,FALSE)</f>
        <v>877</v>
      </c>
      <c r="AD129" s="5">
        <f>VLOOKUP($A129,'ПР 01-02.21'!$A$11:$BB$406,30,FALSE)+VLOOKUP($A129,'ПР 21-22'!$A$11:$BB$406,30,FALSE)-VLOOKUP($A129,'ПР 01-02.22'!$A$11:$BB$378,30,FALSE)</f>
        <v>251</v>
      </c>
      <c r="AE129" s="5">
        <f>VLOOKUP($A129,'ПР 01-02.21'!$A$11:$BB$406,31,FALSE)+VLOOKUP($A129,'ПР 21-22'!$A$11:$BB$406,31,FALSE)-VLOOKUP($A129,'ПР 01-02.22'!$A$11:$BB$378,31,FALSE)</f>
        <v>1363.7302249495822</v>
      </c>
      <c r="AF129" s="5">
        <f>VLOOKUP($A129,'ПР 01-02.21'!$A$11:$BB$406,32,FALSE)+VLOOKUP($A129,'ПР 21-22'!$A$11:$BB$406,32,FALSE)-VLOOKUP($A129,'ПР 01-02.22'!$A$11:$BB$378,32,FALSE)</f>
        <v>0</v>
      </c>
      <c r="AG129" s="40"/>
      <c r="AH129" s="5">
        <f>VLOOKUP($A129,'ПР 01-02.21'!$A$11:$BB$406,34,FALSE)+VLOOKUP($A129,'ПР 21-22'!$A$11:$BB$406,34,FALSE)-VLOOKUP($A129,'ПР 01-02.22'!$A$11:$BB$378,34,FALSE)</f>
        <v>1700.0819235619138</v>
      </c>
      <c r="AI129" s="5">
        <f>VLOOKUP($A129,'ПР 01-02.21'!$A$11:$BB$406,35,FALSE)+VLOOKUP($A129,'ПР 21-22'!$A$11:$BB$406,35,FALSE)-VLOOKUP($A129,'ПР 01-02.22'!$A$11:$BB$378,35,FALSE)</f>
        <v>1132</v>
      </c>
      <c r="AJ129" s="40"/>
      <c r="AK129" s="5">
        <f>VLOOKUP($A129,'ПР 01-02.21'!$A$11:$BB$406,37,FALSE)+VLOOKUP($A129,'ПР 21-22'!$A$11:$BB$406,37,FALSE)-VLOOKUP($A129,'ПР 01-02.22'!$A$11:$BB$378,37,FALSE)</f>
        <v>836.17762590467862</v>
      </c>
      <c r="AL129" s="5">
        <f>VLOOKUP($A129,'ПР 01-02.21'!$A$11:$BB$406,38,FALSE)+VLOOKUP($A129,'ПР 21-22'!$A$11:$BB$406,38,FALSE)-VLOOKUP($A129,'ПР 01-02.22'!$A$11:$BB$378,38,FALSE)</f>
        <v>1579</v>
      </c>
      <c r="AM129" s="40"/>
      <c r="AN129" s="5">
        <f>VLOOKUP($A129,'ПР 01-02.21'!$A$11:$BB$406,40,FALSE)+VLOOKUP($A129,'ПР 21-22'!$A$11:$BB$406,40,FALSE)-VLOOKUP($A129,'ПР 01-02.22'!$A$11:$BB$378,40,FALSE)</f>
        <v>0</v>
      </c>
      <c r="AO129" s="5">
        <f>VLOOKUP($A129,'ПР 01-02.21'!$A$11:$BB$406,41,FALSE)+VLOOKUP($A129,'ПР 21-22'!$A$11:$BB$406,41,FALSE)-VLOOKUP($A129,'ПР 01-02.22'!$A$11:$BB$378,41,FALSE)</f>
        <v>0</v>
      </c>
      <c r="AP129" s="40"/>
      <c r="AQ129" s="5">
        <f>VLOOKUP($A129,'ПР 01-02.21'!$A$11:$BB$406,43,FALSE)+VLOOKUP($A129,'ПР 21-22'!$A$11:$BB$406,43,FALSE)-VLOOKUP($A129,'ПР 01-02.22'!$A$11:$BB$378,43,FALSE)</f>
        <v>0</v>
      </c>
      <c r="AR129" s="5">
        <f>VLOOKUP($A129,'ПР 01-02.21'!$A$11:$BB$406,44,FALSE)+VLOOKUP($A129,'ПР 21-22'!$A$11:$BB$406,44,FALSE)-VLOOKUP($A129,'ПР 01-02.22'!$A$11:$BB$378,44,FALSE)</f>
        <v>0</v>
      </c>
      <c r="AS129" s="40"/>
      <c r="AT129" s="5">
        <f>VLOOKUP($A129,'ПР 01-02.21'!$A$11:$BB$406,46,FALSE)+VLOOKUP($A129,'ПР 21-22'!$A$11:$BB$406,46,FALSE)-VLOOKUP($A129,'ПР 01-02.22'!$A$11:$BB$378,46,FALSE)</f>
        <v>629.9004692556656</v>
      </c>
      <c r="AU129" s="5">
        <f>VLOOKUP($A129,'ПР 01-02.21'!$A$11:$BB$406,47,FALSE)+VLOOKUP($A129,'ПР 21-22'!$A$11:$BB$406,47,FALSE)-VLOOKUP($A129,'ПР 01-02.22'!$A$11:$BB$378,47,FALSE)</f>
        <v>0</v>
      </c>
      <c r="AV129" s="40"/>
      <c r="AW129" s="5">
        <f>VLOOKUP($A129,'ПР 01-02.21'!$A$11:$BB$406,49,FALSE)+VLOOKUP($A129,'ПР 21-22'!$A$11:$BB$406,49,FALSE)-VLOOKUP($A129,'ПР 01-02.22'!$A$11:$BB$378,49,FALSE)</f>
        <v>74.287200000000013</v>
      </c>
      <c r="AX129" s="5">
        <f>VLOOKUP($A129,'ПР 01-02.21'!$A$11:$BB$406,50,FALSE)+VLOOKUP($A129,'ПР 21-22'!$A$11:$BB$406,50,FALSE)-VLOOKUP($A129,'ПР 01-02.22'!$A$11:$BB$378,50,FALSE)</f>
        <v>0</v>
      </c>
      <c r="AY129" s="40"/>
      <c r="AZ129" s="40">
        <f t="shared" si="5"/>
        <v>4604.1774436718406</v>
      </c>
      <c r="BA129" s="40">
        <f t="shared" si="5"/>
        <v>2711</v>
      </c>
      <c r="BB129" s="55">
        <f t="shared" si="8"/>
        <v>-1893.1774436718406</v>
      </c>
      <c r="BD129" s="2">
        <v>2</v>
      </c>
      <c r="BF129" s="325">
        <v>150000613</v>
      </c>
    </row>
    <row r="130" spans="1:58" ht="24.9" customHeight="1" x14ac:dyDescent="0.3">
      <c r="A130" s="325">
        <v>150000614</v>
      </c>
      <c r="B130" s="445" t="s">
        <v>163</v>
      </c>
      <c r="C130" s="27">
        <v>2</v>
      </c>
      <c r="D130" s="101" t="s">
        <v>455</v>
      </c>
      <c r="E130" s="279">
        <f>'побудинковий звіт'!E128</f>
        <v>626.29999999999995</v>
      </c>
      <c r="F130" s="441">
        <f>'побудинковий звіт'!AS128</f>
        <v>7993.0959956891156</v>
      </c>
      <c r="G130" s="441">
        <f t="shared" si="6"/>
        <v>8470.99</v>
      </c>
      <c r="H130" s="73">
        <f t="shared" si="7"/>
        <v>477.89400431088416</v>
      </c>
      <c r="I130" s="5">
        <f>VLOOKUP($A130,'ПР 01-02.21'!$A$11:$BB$406,9,FALSE)+VLOOKUP($A130,'ПР 21-22'!$A$11:$BB$406,9,FALSE)-VLOOKUP($A130,'ПР 01-02.22'!$A$11:$BB$378,9,FALSE)</f>
        <v>0</v>
      </c>
      <c r="J130" s="5">
        <f>VLOOKUP($A130,'ПР 01-02.21'!$A$11:$BB$406,10,FALSE)+VLOOKUP($A130,'ПР 21-22'!$A$11:$BB$406,10,FALSE)-VLOOKUP($A130,'ПР 01-02.22'!$A$11:$BB$378,10,FALSE)</f>
        <v>4268</v>
      </c>
      <c r="K130" s="446"/>
      <c r="L130" s="5">
        <f>VLOOKUP($A130,'ПР 01-02.21'!$A$11:$BB$406,12,FALSE)+VLOOKUP($A130,'ПР 21-22'!$A$11:$BB$406,12,FALSE)-VLOOKUP($A130,'ПР 01-02.22'!$A$11:$BB$378,12,FALSE)</f>
        <v>0</v>
      </c>
      <c r="M130" s="5">
        <f>VLOOKUP($A130,'ПР 01-02.21'!$A$11:$BB$406,13,FALSE)+VLOOKUP($A130,'ПР 21-22'!$A$11:$BB$406,13,FALSE)-VLOOKUP($A130,'ПР 01-02.22'!$A$11:$BB$378,13,FALSE)</f>
        <v>0</v>
      </c>
      <c r="N130" s="38"/>
      <c r="O130" s="5">
        <f>VLOOKUP($A130,'ПР 01-02.21'!$A$11:$BB$406,15,FALSE)+VLOOKUP($A130,'ПР 21-22'!$A$11:$BB$406,15,FALSE)-VLOOKUP($A130,'ПР 01-02.22'!$A$11:$BB$378,15,FALSE)</f>
        <v>0</v>
      </c>
      <c r="P130" s="5">
        <f>VLOOKUP($A130,'ПР 01-02.21'!$A$11:$BB$406,16,FALSE)+VLOOKUP($A130,'ПР 21-22'!$A$11:$BB$406,16,FALSE)-VLOOKUP($A130,'ПР 01-02.22'!$A$11:$BB$378,16,FALSE)</f>
        <v>0</v>
      </c>
      <c r="Q130" s="443"/>
      <c r="R130" s="5">
        <f>VLOOKUP($A130,'ПР 01-02.21'!$A$11:$BB$406,18,FALSE)+VLOOKUP($A130,'ПР 21-22'!$A$11:$BB$406,18,FALSE)-VLOOKUP($A130,'ПР 01-02.22'!$A$11:$BB$378,18,FALSE)</f>
        <v>0</v>
      </c>
      <c r="S130" s="5">
        <f>VLOOKUP($A130,'ПР 01-02.21'!$A$11:$BB$406,19,FALSE)+VLOOKUP($A130,'ПР 21-22'!$A$11:$BB$406,19,FALSE)-VLOOKUP($A130,'ПР 01-02.22'!$A$11:$BB$378,19,FALSE)</f>
        <v>0</v>
      </c>
      <c r="T130" s="444"/>
      <c r="U130" s="5">
        <f>VLOOKUP($A130,'ПР 01-02.21'!$A$11:$BB$406,21,FALSE)+VLOOKUP($A130,'ПР 21-22'!$A$11:$BB$406,21,FALSE)-VLOOKUP($A130,'ПР 01-02.22'!$A$11:$BB$378,21,FALSE)</f>
        <v>0</v>
      </c>
      <c r="V130" s="5"/>
      <c r="W130" s="5">
        <f>VLOOKUP($A130,'ПР 01-02.21'!$A$11:$BB$406,23,FALSE)+VLOOKUP($A130,'ПР 21-22'!$A$11:$BB$406,23,FALSE)-VLOOKUP($A130,'ПР 01-02.22'!$A$11:$BB$378,23,FALSE)</f>
        <v>8</v>
      </c>
      <c r="X130" s="5">
        <f>VLOOKUP($A130,'ПР 01-02.21'!$A$11:$BB$406,24,FALSE)+VLOOKUP($A130,'ПР 21-22'!$A$11:$BB$406,24,FALSE)-VLOOKUP($A130,'ПР 01-02.22'!$A$11:$BB$378,24,FALSE)</f>
        <v>3951.99</v>
      </c>
      <c r="Y130" s="5">
        <f>VLOOKUP($A130,'ПР 01-02.21'!$A$11:$BB$406,25,FALSE)+VLOOKUP($A130,'ПР 21-22'!$A$11:$BB$406,25,FALSE)-VLOOKUP($A130,'ПР 01-02.22'!$A$11:$BB$378,25,FALSE)</f>
        <v>0</v>
      </c>
      <c r="Z130" s="5"/>
      <c r="AA130" s="5">
        <f>VLOOKUP($A130,'ПР 01-02.21'!$A$11:$BB$406,27,FALSE)+VLOOKUP($A130,'ПР 21-22'!$A$11:$BB$406,27,FALSE)-VLOOKUP($A130,'ПР 01-02.22'!$A$11:$BB$378,27,FALSE)</f>
        <v>0</v>
      </c>
      <c r="AB130" s="5">
        <f>VLOOKUP($A130,'ПР 01-02.21'!$A$11:$BB$406,28,FALSE)+VLOOKUP($A130,'ПР 21-22'!$A$11:$BB$406,28,FALSE)-VLOOKUP($A130,'ПР 01-02.22'!$A$11:$BB$378,28,FALSE)</f>
        <v>0</v>
      </c>
      <c r="AC130" s="5">
        <f>VLOOKUP($A130,'ПР 01-02.21'!$A$11:$BB$406,29,FALSE)+VLOOKUP($A130,'ПР 21-22'!$A$11:$BB$406,29,FALSE)-VLOOKUP($A130,'ПР 01-02.22'!$A$11:$BB$378,29,FALSE)</f>
        <v>0</v>
      </c>
      <c r="AD130" s="5">
        <f>VLOOKUP($A130,'ПР 01-02.21'!$A$11:$BB$406,30,FALSE)+VLOOKUP($A130,'ПР 21-22'!$A$11:$BB$406,30,FALSE)-VLOOKUP($A130,'ПР 01-02.22'!$A$11:$BB$378,30,FALSE)</f>
        <v>251</v>
      </c>
      <c r="AE130" s="5">
        <f>VLOOKUP($A130,'ПР 01-02.21'!$A$11:$BB$406,31,FALSE)+VLOOKUP($A130,'ПР 21-22'!$A$11:$BB$406,31,FALSE)-VLOOKUP($A130,'ПР 01-02.22'!$A$11:$BB$378,31,FALSE)</f>
        <v>876.44378280947592</v>
      </c>
      <c r="AF130" s="5">
        <f>VLOOKUP($A130,'ПР 01-02.21'!$A$11:$BB$406,32,FALSE)+VLOOKUP($A130,'ПР 21-22'!$A$11:$BB$406,32,FALSE)-VLOOKUP($A130,'ПР 01-02.22'!$A$11:$BB$378,32,FALSE)</f>
        <v>99</v>
      </c>
      <c r="AG130" s="40"/>
      <c r="AH130" s="5">
        <f>VLOOKUP($A130,'ПР 01-02.21'!$A$11:$BB$406,34,FALSE)+VLOOKUP($A130,'ПР 21-22'!$A$11:$BB$406,34,FALSE)-VLOOKUP($A130,'ПР 01-02.22'!$A$11:$BB$378,34,FALSE)</f>
        <v>1001.4246635594378</v>
      </c>
      <c r="AI130" s="5">
        <f>VLOOKUP($A130,'ПР 01-02.21'!$A$11:$BB$406,35,FALSE)+VLOOKUP($A130,'ПР 21-22'!$A$11:$BB$406,35,FALSE)-VLOOKUP($A130,'ПР 01-02.22'!$A$11:$BB$378,35,FALSE)</f>
        <v>0</v>
      </c>
      <c r="AJ130" s="40"/>
      <c r="AK130" s="5">
        <f>VLOOKUP($A130,'ПР 01-02.21'!$A$11:$BB$406,37,FALSE)+VLOOKUP($A130,'ПР 21-22'!$A$11:$BB$406,37,FALSE)-VLOOKUP($A130,'ПР 01-02.22'!$A$11:$BB$378,37,FALSE)</f>
        <v>230.12656739877625</v>
      </c>
      <c r="AL130" s="5">
        <f>VLOOKUP($A130,'ПР 01-02.21'!$A$11:$BB$406,38,FALSE)+VLOOKUP($A130,'ПР 21-22'!$A$11:$BB$406,38,FALSE)-VLOOKUP($A130,'ПР 01-02.22'!$A$11:$BB$378,38,FALSE)</f>
        <v>0</v>
      </c>
      <c r="AM130" s="40"/>
      <c r="AN130" s="5">
        <f>VLOOKUP($A130,'ПР 01-02.21'!$A$11:$BB$406,40,FALSE)+VLOOKUP($A130,'ПР 21-22'!$A$11:$BB$406,40,FALSE)-VLOOKUP($A130,'ПР 01-02.22'!$A$11:$BB$378,40,FALSE)</f>
        <v>0</v>
      </c>
      <c r="AO130" s="5">
        <f>VLOOKUP($A130,'ПР 01-02.21'!$A$11:$BB$406,41,FALSE)+VLOOKUP($A130,'ПР 21-22'!$A$11:$BB$406,41,FALSE)-VLOOKUP($A130,'ПР 01-02.22'!$A$11:$BB$378,41,FALSE)</f>
        <v>0</v>
      </c>
      <c r="AP130" s="40"/>
      <c r="AQ130" s="5">
        <f>VLOOKUP($A130,'ПР 01-02.21'!$A$11:$BB$406,43,FALSE)+VLOOKUP($A130,'ПР 21-22'!$A$11:$BB$406,43,FALSE)-VLOOKUP($A130,'ПР 01-02.22'!$A$11:$BB$378,43,FALSE)</f>
        <v>0</v>
      </c>
      <c r="AR130" s="5">
        <f>VLOOKUP($A130,'ПР 01-02.21'!$A$11:$BB$406,44,FALSE)+VLOOKUP($A130,'ПР 21-22'!$A$11:$BB$406,44,FALSE)-VLOOKUP($A130,'ПР 01-02.22'!$A$11:$BB$378,44,FALSE)</f>
        <v>0</v>
      </c>
      <c r="AS130" s="40"/>
      <c r="AT130" s="5">
        <f>VLOOKUP($A130,'ПР 01-02.21'!$A$11:$BB$406,46,FALSE)+VLOOKUP($A130,'ПР 21-22'!$A$11:$BB$406,46,FALSE)-VLOOKUP($A130,'ПР 01-02.22'!$A$11:$BB$378,46,FALSE)</f>
        <v>357.38790454046813</v>
      </c>
      <c r="AU130" s="5">
        <f>VLOOKUP($A130,'ПР 01-02.21'!$A$11:$BB$406,47,FALSE)+VLOOKUP($A130,'ПР 21-22'!$A$11:$BB$406,47,FALSE)-VLOOKUP($A130,'ПР 01-02.22'!$A$11:$BB$378,47,FALSE)</f>
        <v>0</v>
      </c>
      <c r="AV130" s="40"/>
      <c r="AW130" s="5">
        <f>VLOOKUP($A130,'ПР 01-02.21'!$A$11:$BB$406,49,FALSE)+VLOOKUP($A130,'ПР 21-22'!$A$11:$BB$406,49,FALSE)-VLOOKUP($A130,'ПР 01-02.22'!$A$11:$BB$378,49,FALSE)</f>
        <v>31.052</v>
      </c>
      <c r="AX130" s="5">
        <f>VLOOKUP($A130,'ПР 01-02.21'!$A$11:$BB$406,50,FALSE)+VLOOKUP($A130,'ПР 21-22'!$A$11:$BB$406,50,FALSE)-VLOOKUP($A130,'ПР 01-02.22'!$A$11:$BB$378,50,FALSE)</f>
        <v>0</v>
      </c>
      <c r="AY130" s="40"/>
      <c r="AZ130" s="40">
        <f t="shared" si="5"/>
        <v>2496.4349183081586</v>
      </c>
      <c r="BA130" s="40">
        <f t="shared" si="5"/>
        <v>99</v>
      </c>
      <c r="BB130" s="55">
        <f t="shared" si="8"/>
        <v>-2397.4349183081586</v>
      </c>
      <c r="BD130" s="2">
        <v>2</v>
      </c>
      <c r="BF130" s="325">
        <v>150000614</v>
      </c>
    </row>
    <row r="131" spans="1:58" ht="24.9" customHeight="1" x14ac:dyDescent="0.3">
      <c r="A131" s="325">
        <v>150000615</v>
      </c>
      <c r="B131" s="445" t="s">
        <v>257</v>
      </c>
      <c r="C131" s="27">
        <v>5</v>
      </c>
      <c r="D131" s="101" t="s">
        <v>455</v>
      </c>
      <c r="E131" s="279">
        <f>'побудинковий звіт'!E129</f>
        <v>2636.9100000000003</v>
      </c>
      <c r="F131" s="441">
        <f>'побудинковий звіт'!AS129</f>
        <v>17849.052645984902</v>
      </c>
      <c r="G131" s="441">
        <f t="shared" si="6"/>
        <v>10984.49</v>
      </c>
      <c r="H131" s="73">
        <f t="shared" si="7"/>
        <v>-6864.5626459849027</v>
      </c>
      <c r="I131" s="5">
        <f>VLOOKUP($A131,'ПР 01-02.21'!$A$11:$BB$406,9,FALSE)+VLOOKUP($A131,'ПР 21-22'!$A$11:$BB$406,9,FALSE)-VLOOKUP($A131,'ПР 01-02.22'!$A$11:$BB$378,9,FALSE)</f>
        <v>3</v>
      </c>
      <c r="J131" s="5">
        <f>VLOOKUP($A131,'ПР 01-02.21'!$A$11:$BB$406,10,FALSE)+VLOOKUP($A131,'ПР 21-22'!$A$11:$BB$406,10,FALSE)-VLOOKUP($A131,'ПР 01-02.22'!$A$11:$BB$378,10,FALSE)</f>
        <v>845</v>
      </c>
      <c r="K131" s="446"/>
      <c r="L131" s="5">
        <f>VLOOKUP($A131,'ПР 01-02.21'!$A$11:$BB$406,12,FALSE)+VLOOKUP($A131,'ПР 21-22'!$A$11:$BB$406,12,FALSE)-VLOOKUP($A131,'ПР 01-02.22'!$A$11:$BB$378,12,FALSE)</f>
        <v>0</v>
      </c>
      <c r="M131" s="5">
        <f>VLOOKUP($A131,'ПР 01-02.21'!$A$11:$BB$406,13,FALSE)+VLOOKUP($A131,'ПР 21-22'!$A$11:$BB$406,13,FALSE)-VLOOKUP($A131,'ПР 01-02.22'!$A$11:$BB$378,13,FALSE)</f>
        <v>0</v>
      </c>
      <c r="N131" s="38"/>
      <c r="O131" s="5">
        <f>VLOOKUP($A131,'ПР 01-02.21'!$A$11:$BB$406,15,FALSE)+VLOOKUP($A131,'ПР 21-22'!$A$11:$BB$406,15,FALSE)-VLOOKUP($A131,'ПР 01-02.22'!$A$11:$BB$378,15,FALSE)</f>
        <v>0</v>
      </c>
      <c r="P131" s="5">
        <f>VLOOKUP($A131,'ПР 01-02.21'!$A$11:$BB$406,16,FALSE)+VLOOKUP($A131,'ПР 21-22'!$A$11:$BB$406,16,FALSE)-VLOOKUP($A131,'ПР 01-02.22'!$A$11:$BB$378,16,FALSE)</f>
        <v>0</v>
      </c>
      <c r="Q131" s="443"/>
      <c r="R131" s="5">
        <f>VLOOKUP($A131,'ПР 01-02.21'!$A$11:$BB$406,18,FALSE)+VLOOKUP($A131,'ПР 21-22'!$A$11:$BB$406,18,FALSE)-VLOOKUP($A131,'ПР 01-02.22'!$A$11:$BB$378,18,FALSE)</f>
        <v>0</v>
      </c>
      <c r="S131" s="5">
        <f>VLOOKUP($A131,'ПР 01-02.21'!$A$11:$BB$406,19,FALSE)+VLOOKUP($A131,'ПР 21-22'!$A$11:$BB$406,19,FALSE)-VLOOKUP($A131,'ПР 01-02.22'!$A$11:$BB$378,19,FALSE)</f>
        <v>0</v>
      </c>
      <c r="T131" s="444"/>
      <c r="U131" s="5">
        <f>VLOOKUP($A131,'ПР 01-02.21'!$A$11:$BB$406,21,FALSE)+VLOOKUP($A131,'ПР 21-22'!$A$11:$BB$406,21,FALSE)-VLOOKUP($A131,'ПР 01-02.22'!$A$11:$BB$378,21,FALSE)</f>
        <v>0</v>
      </c>
      <c r="V131" s="5"/>
      <c r="W131" s="5">
        <f>VLOOKUP($A131,'ПР 01-02.21'!$A$11:$BB$406,23,FALSE)+VLOOKUP($A131,'ПР 21-22'!$A$11:$BB$406,23,FALSE)-VLOOKUP($A131,'ПР 01-02.22'!$A$11:$BB$378,23,FALSE)</f>
        <v>0</v>
      </c>
      <c r="X131" s="5">
        <f>VLOOKUP($A131,'ПР 01-02.21'!$A$11:$BB$406,24,FALSE)+VLOOKUP($A131,'ПР 21-22'!$A$11:$BB$406,24,FALSE)-VLOOKUP($A131,'ПР 01-02.22'!$A$11:$BB$378,24,FALSE)</f>
        <v>0</v>
      </c>
      <c r="Y131" s="5">
        <f>VLOOKUP($A131,'ПР 01-02.21'!$A$11:$BB$406,25,FALSE)+VLOOKUP($A131,'ПР 21-22'!$A$11:$BB$406,25,FALSE)-VLOOKUP($A131,'ПР 01-02.22'!$A$11:$BB$378,25,FALSE)</f>
        <v>4658</v>
      </c>
      <c r="Z131" s="5"/>
      <c r="AA131" s="5">
        <f>VLOOKUP($A131,'ПР 01-02.21'!$A$11:$BB$406,27,FALSE)+VLOOKUP($A131,'ПР 21-22'!$A$11:$BB$406,27,FALSE)-VLOOKUP($A131,'ПР 01-02.22'!$A$11:$BB$378,27,FALSE)</f>
        <v>0</v>
      </c>
      <c r="AB131" s="5">
        <f>VLOOKUP($A131,'ПР 01-02.21'!$A$11:$BB$406,28,FALSE)+VLOOKUP($A131,'ПР 21-22'!$A$11:$BB$406,28,FALSE)-VLOOKUP($A131,'ПР 01-02.22'!$A$11:$BB$378,28,FALSE)</f>
        <v>0</v>
      </c>
      <c r="AC131" s="5">
        <f>VLOOKUP($A131,'ПР 01-02.21'!$A$11:$BB$406,29,FALSE)+VLOOKUP($A131,'ПР 21-22'!$A$11:$BB$406,29,FALSE)-VLOOKUP($A131,'ПР 01-02.22'!$A$11:$BB$378,29,FALSE)</f>
        <v>0</v>
      </c>
      <c r="AD131" s="5">
        <f>VLOOKUP($A131,'ПР 01-02.21'!$A$11:$BB$406,30,FALSE)+VLOOKUP($A131,'ПР 21-22'!$A$11:$BB$406,30,FALSE)-VLOOKUP($A131,'ПР 01-02.22'!$A$11:$BB$378,30,FALSE)</f>
        <v>5481.49</v>
      </c>
      <c r="AE131" s="5">
        <f>VLOOKUP($A131,'ПР 01-02.21'!$A$11:$BB$406,31,FALSE)+VLOOKUP($A131,'ПР 21-22'!$A$11:$BB$406,31,FALSE)-VLOOKUP($A131,'ПР 01-02.22'!$A$11:$BB$378,31,FALSE)</f>
        <v>2289.3506736577824</v>
      </c>
      <c r="AF131" s="5">
        <f>VLOOKUP($A131,'ПР 01-02.21'!$A$11:$BB$406,32,FALSE)+VLOOKUP($A131,'ПР 21-22'!$A$11:$BB$406,32,FALSE)-VLOOKUP($A131,'ПР 01-02.22'!$A$11:$BB$378,32,FALSE)</f>
        <v>0</v>
      </c>
      <c r="AG131" s="40"/>
      <c r="AH131" s="5">
        <f>VLOOKUP($A131,'ПР 01-02.21'!$A$11:$BB$406,34,FALSE)+VLOOKUP($A131,'ПР 21-22'!$A$11:$BB$406,34,FALSE)-VLOOKUP($A131,'ПР 01-02.22'!$A$11:$BB$378,34,FALSE)</f>
        <v>3153.817373897552</v>
      </c>
      <c r="AI131" s="5">
        <f>VLOOKUP($A131,'ПР 01-02.21'!$A$11:$BB$406,35,FALSE)+VLOOKUP($A131,'ПР 21-22'!$A$11:$BB$406,35,FALSE)-VLOOKUP($A131,'ПР 01-02.22'!$A$11:$BB$378,35,FALSE)</f>
        <v>1730</v>
      </c>
      <c r="AJ131" s="40"/>
      <c r="AK131" s="5">
        <f>VLOOKUP($A131,'ПР 01-02.21'!$A$11:$BB$406,37,FALSE)+VLOOKUP($A131,'ПР 21-22'!$A$11:$BB$406,37,FALSE)-VLOOKUP($A131,'ПР 01-02.22'!$A$11:$BB$378,37,FALSE)</f>
        <v>1513.6797201742638</v>
      </c>
      <c r="AL131" s="5">
        <f>VLOOKUP($A131,'ПР 01-02.21'!$A$11:$BB$406,38,FALSE)+VLOOKUP($A131,'ПР 21-22'!$A$11:$BB$406,38,FALSE)-VLOOKUP($A131,'ПР 01-02.22'!$A$11:$BB$378,38,FALSE)</f>
        <v>1892</v>
      </c>
      <c r="AM131" s="40"/>
      <c r="AN131" s="5">
        <f>VLOOKUP($A131,'ПР 01-02.21'!$A$11:$BB$406,40,FALSE)+VLOOKUP($A131,'ПР 21-22'!$A$11:$BB$406,40,FALSE)-VLOOKUP($A131,'ПР 01-02.22'!$A$11:$BB$378,40,FALSE)</f>
        <v>0</v>
      </c>
      <c r="AO131" s="5">
        <f>VLOOKUP($A131,'ПР 01-02.21'!$A$11:$BB$406,41,FALSE)+VLOOKUP($A131,'ПР 21-22'!$A$11:$BB$406,41,FALSE)-VLOOKUP($A131,'ПР 01-02.22'!$A$11:$BB$378,41,FALSE)</f>
        <v>0</v>
      </c>
      <c r="AP131" s="40"/>
      <c r="AQ131" s="5">
        <f>VLOOKUP($A131,'ПР 01-02.21'!$A$11:$BB$406,43,FALSE)+VLOOKUP($A131,'ПР 21-22'!$A$11:$BB$406,43,FALSE)-VLOOKUP($A131,'ПР 01-02.22'!$A$11:$BB$378,43,FALSE)</f>
        <v>0</v>
      </c>
      <c r="AR131" s="5">
        <f>VLOOKUP($A131,'ПР 01-02.21'!$A$11:$BB$406,44,FALSE)+VLOOKUP($A131,'ПР 21-22'!$A$11:$BB$406,44,FALSE)-VLOOKUP($A131,'ПР 01-02.22'!$A$11:$BB$378,44,FALSE)</f>
        <v>0</v>
      </c>
      <c r="AS131" s="40"/>
      <c r="AT131" s="5">
        <f>VLOOKUP($A131,'ПР 01-02.21'!$A$11:$BB$406,46,FALSE)+VLOOKUP($A131,'ПР 21-22'!$A$11:$BB$406,46,FALSE)-VLOOKUP($A131,'ПР 01-02.22'!$A$11:$BB$378,46,FALSE)</f>
        <v>1250.7915347409655</v>
      </c>
      <c r="AU131" s="5">
        <f>VLOOKUP($A131,'ПР 01-02.21'!$A$11:$BB$406,47,FALSE)+VLOOKUP($A131,'ПР 21-22'!$A$11:$BB$406,47,FALSE)-VLOOKUP($A131,'ПР 01-02.22'!$A$11:$BB$378,47,FALSE)</f>
        <v>0</v>
      </c>
      <c r="AV131" s="40"/>
      <c r="AW131" s="5">
        <f>VLOOKUP($A131,'ПР 01-02.21'!$A$11:$BB$406,49,FALSE)+VLOOKUP($A131,'ПР 21-22'!$A$11:$BB$406,49,FALSE)-VLOOKUP($A131,'ПР 01-02.22'!$A$11:$BB$378,49,FALSE)</f>
        <v>131.48439999999999</v>
      </c>
      <c r="AX131" s="5">
        <f>VLOOKUP($A131,'ПР 01-02.21'!$A$11:$BB$406,50,FALSE)+VLOOKUP($A131,'ПР 21-22'!$A$11:$BB$406,50,FALSE)-VLOOKUP($A131,'ПР 01-02.22'!$A$11:$BB$378,50,FALSE)</f>
        <v>0</v>
      </c>
      <c r="AY131" s="40"/>
      <c r="AZ131" s="40">
        <f t="shared" si="5"/>
        <v>8339.1237024705642</v>
      </c>
      <c r="BA131" s="40">
        <f t="shared" si="5"/>
        <v>3622</v>
      </c>
      <c r="BB131" s="55">
        <f t="shared" si="8"/>
        <v>-4717.1237024705642</v>
      </c>
      <c r="BD131" s="2">
        <v>2</v>
      </c>
      <c r="BF131" s="325">
        <v>150000615</v>
      </c>
    </row>
    <row r="132" spans="1:58" ht="24.9" customHeight="1" x14ac:dyDescent="0.3">
      <c r="A132" s="325">
        <v>150000616</v>
      </c>
      <c r="B132" s="445" t="s">
        <v>258</v>
      </c>
      <c r="C132" s="27">
        <v>5</v>
      </c>
      <c r="D132" s="101" t="s">
        <v>455</v>
      </c>
      <c r="E132" s="279">
        <f>'побудинковий звіт'!E130</f>
        <v>1804.3</v>
      </c>
      <c r="F132" s="441">
        <f>'побудинковий звіт'!AS130</f>
        <v>15659.798976326916</v>
      </c>
      <c r="G132" s="441">
        <f t="shared" si="6"/>
        <v>14408.070219037925</v>
      </c>
      <c r="H132" s="73">
        <f t="shared" si="7"/>
        <v>-1251.7287572889909</v>
      </c>
      <c r="I132" s="5">
        <f>VLOOKUP($A132,'ПР 01-02.21'!$A$11:$BB$406,9,FALSE)+VLOOKUP($A132,'ПР 21-22'!$A$11:$BB$406,9,FALSE)-VLOOKUP($A132,'ПР 01-02.22'!$A$11:$BB$378,9,FALSE)</f>
        <v>0</v>
      </c>
      <c r="J132" s="5">
        <f>VLOOKUP($A132,'ПР 01-02.21'!$A$11:$BB$406,10,FALSE)+VLOOKUP($A132,'ПР 21-22'!$A$11:$BB$406,10,FALSE)-VLOOKUP($A132,'ПР 01-02.22'!$A$11:$BB$378,10,FALSE)</f>
        <v>0</v>
      </c>
      <c r="K132" s="446"/>
      <c r="L132" s="5">
        <f>VLOOKUP($A132,'ПР 01-02.21'!$A$11:$BB$406,12,FALSE)+VLOOKUP($A132,'ПР 21-22'!$A$11:$BB$406,12,FALSE)-VLOOKUP($A132,'ПР 01-02.22'!$A$11:$BB$378,12,FALSE)</f>
        <v>0</v>
      </c>
      <c r="M132" s="5">
        <f>VLOOKUP($A132,'ПР 01-02.21'!$A$11:$BB$406,13,FALSE)+VLOOKUP($A132,'ПР 21-22'!$A$11:$BB$406,13,FALSE)-VLOOKUP($A132,'ПР 01-02.22'!$A$11:$BB$378,13,FALSE)</f>
        <v>900</v>
      </c>
      <c r="N132" s="38"/>
      <c r="O132" s="5">
        <f>VLOOKUP($A132,'ПР 01-02.21'!$A$11:$BB$406,15,FALSE)+VLOOKUP($A132,'ПР 21-22'!$A$11:$BB$406,15,FALSE)-VLOOKUP($A132,'ПР 01-02.22'!$A$11:$BB$378,15,FALSE)</f>
        <v>0</v>
      </c>
      <c r="P132" s="5">
        <f>VLOOKUP($A132,'ПР 01-02.21'!$A$11:$BB$406,16,FALSE)+VLOOKUP($A132,'ПР 21-22'!$A$11:$BB$406,16,FALSE)-VLOOKUP($A132,'ПР 01-02.22'!$A$11:$BB$378,16,FALSE)</f>
        <v>0</v>
      </c>
      <c r="Q132" s="443"/>
      <c r="R132" s="5">
        <f>VLOOKUP($A132,'ПР 01-02.21'!$A$11:$BB$406,18,FALSE)+VLOOKUP($A132,'ПР 21-22'!$A$11:$BB$406,18,FALSE)-VLOOKUP($A132,'ПР 01-02.22'!$A$11:$BB$378,18,FALSE)</f>
        <v>0</v>
      </c>
      <c r="S132" s="5">
        <f>VLOOKUP($A132,'ПР 01-02.21'!$A$11:$BB$406,19,FALSE)+VLOOKUP($A132,'ПР 21-22'!$A$11:$BB$406,19,FALSE)-VLOOKUP($A132,'ПР 01-02.22'!$A$11:$BB$378,19,FALSE)</f>
        <v>0</v>
      </c>
      <c r="T132" s="444"/>
      <c r="U132" s="5">
        <f>VLOOKUP($A132,'ПР 01-02.21'!$A$11:$BB$406,21,FALSE)+VLOOKUP($A132,'ПР 21-22'!$A$11:$BB$406,21,FALSE)-VLOOKUP($A132,'ПР 01-02.22'!$A$11:$BB$378,21,FALSE)</f>
        <v>0</v>
      </c>
      <c r="V132" s="5"/>
      <c r="W132" s="5">
        <f>VLOOKUP($A132,'ПР 01-02.21'!$A$11:$BB$406,23,FALSE)+VLOOKUP($A132,'ПР 21-22'!$A$11:$BB$406,23,FALSE)-VLOOKUP($A132,'ПР 01-02.22'!$A$11:$BB$378,23,FALSE)</f>
        <v>0</v>
      </c>
      <c r="X132" s="5">
        <f>VLOOKUP($A132,'ПР 01-02.21'!$A$11:$BB$406,24,FALSE)+VLOOKUP($A132,'ПР 21-22'!$A$11:$BB$406,24,FALSE)-VLOOKUP($A132,'ПР 01-02.22'!$A$11:$BB$378,24,FALSE)</f>
        <v>70.070219037924446</v>
      </c>
      <c r="Y132" s="5">
        <f>VLOOKUP($A132,'ПР 01-02.21'!$A$11:$BB$406,25,FALSE)+VLOOKUP($A132,'ПР 21-22'!$A$11:$BB$406,25,FALSE)-VLOOKUP($A132,'ПР 01-02.22'!$A$11:$BB$378,25,FALSE)</f>
        <v>0</v>
      </c>
      <c r="Z132" s="5"/>
      <c r="AA132" s="5">
        <f>VLOOKUP($A132,'ПР 01-02.21'!$A$11:$BB$406,27,FALSE)+VLOOKUP($A132,'ПР 21-22'!$A$11:$BB$406,27,FALSE)-VLOOKUP($A132,'ПР 01-02.22'!$A$11:$BB$378,27,FALSE)</f>
        <v>0</v>
      </c>
      <c r="AB132" s="5">
        <f>VLOOKUP($A132,'ПР 01-02.21'!$A$11:$BB$406,28,FALSE)+VLOOKUP($A132,'ПР 21-22'!$A$11:$BB$406,28,FALSE)-VLOOKUP($A132,'ПР 01-02.22'!$A$11:$BB$378,28,FALSE)</f>
        <v>0</v>
      </c>
      <c r="AC132" s="5">
        <f>VLOOKUP($A132,'ПР 01-02.21'!$A$11:$BB$406,29,FALSE)+VLOOKUP($A132,'ПР 21-22'!$A$11:$BB$406,29,FALSE)-VLOOKUP($A132,'ПР 01-02.22'!$A$11:$BB$378,29,FALSE)</f>
        <v>9001</v>
      </c>
      <c r="AD132" s="5">
        <f>VLOOKUP($A132,'ПР 01-02.21'!$A$11:$BB$406,30,FALSE)+VLOOKUP($A132,'ПР 21-22'!$A$11:$BB$406,30,FALSE)-VLOOKUP($A132,'ПР 01-02.22'!$A$11:$BB$378,30,FALSE)</f>
        <v>4437</v>
      </c>
      <c r="AE132" s="5">
        <f>VLOOKUP($A132,'ПР 01-02.21'!$A$11:$BB$406,31,FALSE)+VLOOKUP($A132,'ПР 21-22'!$A$11:$BB$406,31,FALSE)-VLOOKUP($A132,'ПР 01-02.22'!$A$11:$BB$378,31,FALSE)</f>
        <v>1584.1443239081902</v>
      </c>
      <c r="AF132" s="5">
        <f>VLOOKUP($A132,'ПР 01-02.21'!$A$11:$BB$406,32,FALSE)+VLOOKUP($A132,'ПР 21-22'!$A$11:$BB$406,32,FALSE)-VLOOKUP($A132,'ПР 01-02.22'!$A$11:$BB$378,32,FALSE)</f>
        <v>4960</v>
      </c>
      <c r="AG132" s="40"/>
      <c r="AH132" s="5">
        <f>VLOOKUP($A132,'ПР 01-02.21'!$A$11:$BB$406,34,FALSE)+VLOOKUP($A132,'ПР 21-22'!$A$11:$BB$406,34,FALSE)-VLOOKUP($A132,'ПР 01-02.22'!$A$11:$BB$378,34,FALSE)</f>
        <v>2130.5762608718514</v>
      </c>
      <c r="AI132" s="5">
        <f>VLOOKUP($A132,'ПР 01-02.21'!$A$11:$BB$406,35,FALSE)+VLOOKUP($A132,'ПР 21-22'!$A$11:$BB$406,35,FALSE)-VLOOKUP($A132,'ПР 01-02.22'!$A$11:$BB$378,35,FALSE)</f>
        <v>0</v>
      </c>
      <c r="AJ132" s="40"/>
      <c r="AK132" s="5">
        <f>VLOOKUP($A132,'ПР 01-02.21'!$A$11:$BB$406,37,FALSE)+VLOOKUP($A132,'ПР 21-22'!$A$11:$BB$406,37,FALSE)-VLOOKUP($A132,'ПР 01-02.22'!$A$11:$BB$378,37,FALSE)</f>
        <v>1123.5715990957071</v>
      </c>
      <c r="AL132" s="5">
        <f>VLOOKUP($A132,'ПР 01-02.21'!$A$11:$BB$406,38,FALSE)+VLOOKUP($A132,'ПР 21-22'!$A$11:$BB$406,38,FALSE)-VLOOKUP($A132,'ПР 01-02.22'!$A$11:$BB$378,38,FALSE)</f>
        <v>0</v>
      </c>
      <c r="AM132" s="40"/>
      <c r="AN132" s="5">
        <f>VLOOKUP($A132,'ПР 01-02.21'!$A$11:$BB$406,40,FALSE)+VLOOKUP($A132,'ПР 21-22'!$A$11:$BB$406,40,FALSE)-VLOOKUP($A132,'ПР 01-02.22'!$A$11:$BB$378,40,FALSE)</f>
        <v>0</v>
      </c>
      <c r="AO132" s="5">
        <f>VLOOKUP($A132,'ПР 01-02.21'!$A$11:$BB$406,41,FALSE)+VLOOKUP($A132,'ПР 21-22'!$A$11:$BB$406,41,FALSE)-VLOOKUP($A132,'ПР 01-02.22'!$A$11:$BB$378,41,FALSE)</f>
        <v>0</v>
      </c>
      <c r="AP132" s="40"/>
      <c r="AQ132" s="5">
        <f>VLOOKUP($A132,'ПР 01-02.21'!$A$11:$BB$406,43,FALSE)+VLOOKUP($A132,'ПР 21-22'!$A$11:$BB$406,43,FALSE)-VLOOKUP($A132,'ПР 01-02.22'!$A$11:$BB$378,43,FALSE)</f>
        <v>0</v>
      </c>
      <c r="AR132" s="5">
        <f>VLOOKUP($A132,'ПР 01-02.21'!$A$11:$BB$406,44,FALSE)+VLOOKUP($A132,'ПР 21-22'!$A$11:$BB$406,44,FALSE)-VLOOKUP($A132,'ПР 01-02.22'!$A$11:$BB$378,44,FALSE)</f>
        <v>0</v>
      </c>
      <c r="AS132" s="40"/>
      <c r="AT132" s="5">
        <f>VLOOKUP($A132,'ПР 01-02.21'!$A$11:$BB$406,46,FALSE)+VLOOKUP($A132,'ПР 21-22'!$A$11:$BB$406,46,FALSE)-VLOOKUP($A132,'ПР 01-02.22'!$A$11:$BB$378,46,FALSE)</f>
        <v>715.52041180106585</v>
      </c>
      <c r="AU132" s="5">
        <f>VLOOKUP($A132,'ПР 01-02.21'!$A$11:$BB$406,47,FALSE)+VLOOKUP($A132,'ПР 21-22'!$A$11:$BB$406,47,FALSE)-VLOOKUP($A132,'ПР 01-02.22'!$A$11:$BB$378,47,FALSE)</f>
        <v>704</v>
      </c>
      <c r="AV132" s="40"/>
      <c r="AW132" s="5">
        <f>VLOOKUP($A132,'ПР 01-02.21'!$A$11:$BB$406,49,FALSE)+VLOOKUP($A132,'ПР 21-22'!$A$11:$BB$406,49,FALSE)-VLOOKUP($A132,'ПР 01-02.22'!$A$11:$BB$378,49,FALSE)</f>
        <v>94.712000000000003</v>
      </c>
      <c r="AX132" s="5">
        <f>VLOOKUP($A132,'ПР 01-02.21'!$A$11:$BB$406,50,FALSE)+VLOOKUP($A132,'ПР 21-22'!$A$11:$BB$406,50,FALSE)-VLOOKUP($A132,'ПР 01-02.22'!$A$11:$BB$378,50,FALSE)</f>
        <v>0</v>
      </c>
      <c r="AY132" s="40"/>
      <c r="AZ132" s="40">
        <f t="shared" ref="AZ132:BA187" si="9">AE132+AH132+AK132+AN132+AQ132+AT132+AW132</f>
        <v>5648.5245956768149</v>
      </c>
      <c r="BA132" s="40">
        <f t="shared" si="9"/>
        <v>5664</v>
      </c>
      <c r="BB132" s="55">
        <f t="shared" si="8"/>
        <v>15.475404323185103</v>
      </c>
      <c r="BD132" s="2">
        <v>2</v>
      </c>
      <c r="BF132" s="325">
        <v>150000616</v>
      </c>
    </row>
    <row r="133" spans="1:58" ht="24.9" customHeight="1" x14ac:dyDescent="0.3">
      <c r="A133" s="325">
        <v>150000618</v>
      </c>
      <c r="B133" s="445" t="s">
        <v>417</v>
      </c>
      <c r="C133" s="27">
        <v>10</v>
      </c>
      <c r="D133" s="101" t="s">
        <v>455</v>
      </c>
      <c r="E133" s="279">
        <f>'побудинковий звіт'!E131</f>
        <v>2744.2</v>
      </c>
      <c r="F133" s="441">
        <f>'побудинковий звіт'!AS131</f>
        <v>31157.364373540611</v>
      </c>
      <c r="G133" s="441">
        <f t="shared" si="6"/>
        <v>7602</v>
      </c>
      <c r="H133" s="73">
        <f t="shared" si="7"/>
        <v>-23555.364373540611</v>
      </c>
      <c r="I133" s="5">
        <f>VLOOKUP($A133,'ПР 01-02.21'!$A$11:$BB$406,9,FALSE)+VLOOKUP($A133,'ПР 21-22'!$A$11:$BB$406,9,FALSE)-VLOOKUP($A133,'ПР 01-02.22'!$A$11:$BB$378,9,FALSE)</f>
        <v>0</v>
      </c>
      <c r="J133" s="5">
        <f>VLOOKUP($A133,'ПР 01-02.21'!$A$11:$BB$406,10,FALSE)+VLOOKUP($A133,'ПР 21-22'!$A$11:$BB$406,10,FALSE)-VLOOKUP($A133,'ПР 01-02.22'!$A$11:$BB$378,10,FALSE)</f>
        <v>0</v>
      </c>
      <c r="K133" s="446"/>
      <c r="L133" s="5">
        <f>VLOOKUP($A133,'ПР 01-02.21'!$A$11:$BB$406,12,FALSE)+VLOOKUP($A133,'ПР 21-22'!$A$11:$BB$406,12,FALSE)-VLOOKUP($A133,'ПР 01-02.22'!$A$11:$BB$378,12,FALSE)</f>
        <v>0</v>
      </c>
      <c r="M133" s="5">
        <f>VLOOKUP($A133,'ПР 01-02.21'!$A$11:$BB$406,13,FALSE)+VLOOKUP($A133,'ПР 21-22'!$A$11:$BB$406,13,FALSE)-VLOOKUP($A133,'ПР 01-02.22'!$A$11:$BB$378,13,FALSE)</f>
        <v>0</v>
      </c>
      <c r="N133" s="38"/>
      <c r="O133" s="5">
        <f>VLOOKUP($A133,'ПР 01-02.21'!$A$11:$BB$406,15,FALSE)+VLOOKUP($A133,'ПР 21-22'!$A$11:$BB$406,15,FALSE)-VLOOKUP($A133,'ПР 01-02.22'!$A$11:$BB$378,15,FALSE)</f>
        <v>0</v>
      </c>
      <c r="P133" s="5">
        <f>VLOOKUP($A133,'ПР 01-02.21'!$A$11:$BB$406,16,FALSE)+VLOOKUP($A133,'ПР 21-22'!$A$11:$BB$406,16,FALSE)-VLOOKUP($A133,'ПР 01-02.22'!$A$11:$BB$378,16,FALSE)</f>
        <v>0</v>
      </c>
      <c r="Q133" s="443"/>
      <c r="R133" s="5">
        <f>VLOOKUP($A133,'ПР 01-02.21'!$A$11:$BB$406,18,FALSE)+VLOOKUP($A133,'ПР 21-22'!$A$11:$BB$406,18,FALSE)-VLOOKUP($A133,'ПР 01-02.22'!$A$11:$BB$378,18,FALSE)</f>
        <v>1</v>
      </c>
      <c r="S133" s="5">
        <f>VLOOKUP($A133,'ПР 01-02.21'!$A$11:$BB$406,19,FALSE)+VLOOKUP($A133,'ПР 21-22'!$A$11:$BB$406,19,FALSE)-VLOOKUP($A133,'ПР 01-02.22'!$A$11:$BB$378,19,FALSE)</f>
        <v>5891</v>
      </c>
      <c r="T133" s="444"/>
      <c r="U133" s="5">
        <f>VLOOKUP($A133,'ПР 01-02.21'!$A$11:$BB$406,21,FALSE)+VLOOKUP($A133,'ПР 21-22'!$A$11:$BB$406,21,FALSE)-VLOOKUP($A133,'ПР 01-02.22'!$A$11:$BB$378,21,FALSE)</f>
        <v>0</v>
      </c>
      <c r="V133" s="5"/>
      <c r="W133" s="5">
        <f>VLOOKUP($A133,'ПР 01-02.21'!$A$11:$BB$406,23,FALSE)+VLOOKUP($A133,'ПР 21-22'!$A$11:$BB$406,23,FALSE)-VLOOKUP($A133,'ПР 01-02.22'!$A$11:$BB$378,23,FALSE)</f>
        <v>0</v>
      </c>
      <c r="X133" s="5">
        <f>VLOOKUP($A133,'ПР 01-02.21'!$A$11:$BB$406,24,FALSE)+VLOOKUP($A133,'ПР 21-22'!$A$11:$BB$406,24,FALSE)-VLOOKUP($A133,'ПР 01-02.22'!$A$11:$BB$378,24,FALSE)</f>
        <v>0</v>
      </c>
      <c r="Y133" s="5">
        <f>VLOOKUP($A133,'ПР 01-02.21'!$A$11:$BB$406,25,FALSE)+VLOOKUP($A133,'ПР 21-22'!$A$11:$BB$406,25,FALSE)-VLOOKUP($A133,'ПР 01-02.22'!$A$11:$BB$378,25,FALSE)</f>
        <v>213</v>
      </c>
      <c r="Z133" s="5"/>
      <c r="AA133" s="5">
        <f>VLOOKUP($A133,'ПР 01-02.21'!$A$11:$BB$406,27,FALSE)+VLOOKUP($A133,'ПР 21-22'!$A$11:$BB$406,27,FALSE)-VLOOKUP($A133,'ПР 01-02.22'!$A$11:$BB$378,27,FALSE)</f>
        <v>0</v>
      </c>
      <c r="AB133" s="5">
        <f>VLOOKUP($A133,'ПР 01-02.21'!$A$11:$BB$406,28,FALSE)+VLOOKUP($A133,'ПР 21-22'!$A$11:$BB$406,28,FALSE)-VLOOKUP($A133,'ПР 01-02.22'!$A$11:$BB$378,28,FALSE)</f>
        <v>0</v>
      </c>
      <c r="AC133" s="5">
        <f>VLOOKUP($A133,'ПР 01-02.21'!$A$11:$BB$406,29,FALSE)+VLOOKUP($A133,'ПР 21-22'!$A$11:$BB$406,29,FALSE)-VLOOKUP($A133,'ПР 01-02.22'!$A$11:$BB$378,29,FALSE)</f>
        <v>144</v>
      </c>
      <c r="AD133" s="5">
        <f>VLOOKUP($A133,'ПР 01-02.21'!$A$11:$BB$406,30,FALSE)+VLOOKUP($A133,'ПР 21-22'!$A$11:$BB$406,30,FALSE)-VLOOKUP($A133,'ПР 01-02.22'!$A$11:$BB$378,30,FALSE)</f>
        <v>1354</v>
      </c>
      <c r="AE133" s="5">
        <f>VLOOKUP($A133,'ПР 01-02.21'!$A$11:$BB$406,31,FALSE)+VLOOKUP($A133,'ПР 21-22'!$A$11:$BB$406,31,FALSE)-VLOOKUP($A133,'ПР 01-02.22'!$A$11:$BB$378,31,FALSE)</f>
        <v>1595.4159280745839</v>
      </c>
      <c r="AF133" s="5">
        <f>VLOOKUP($A133,'ПР 01-02.21'!$A$11:$BB$406,32,FALSE)+VLOOKUP($A133,'ПР 21-22'!$A$11:$BB$406,32,FALSE)-VLOOKUP($A133,'ПР 01-02.22'!$A$11:$BB$378,32,FALSE)</f>
        <v>644</v>
      </c>
      <c r="AG133" s="40"/>
      <c r="AH133" s="5">
        <f>VLOOKUP($A133,'ПР 01-02.21'!$A$11:$BB$406,34,FALSE)+VLOOKUP($A133,'ПР 21-22'!$A$11:$BB$406,34,FALSE)-VLOOKUP($A133,'ПР 01-02.22'!$A$11:$BB$378,34,FALSE)</f>
        <v>1878.7972745966513</v>
      </c>
      <c r="AI133" s="5">
        <f>VLOOKUP($A133,'ПР 01-02.21'!$A$11:$BB$406,35,FALSE)+VLOOKUP($A133,'ПР 21-22'!$A$11:$BB$406,35,FALSE)-VLOOKUP($A133,'ПР 01-02.22'!$A$11:$BB$378,35,FALSE)</f>
        <v>0</v>
      </c>
      <c r="AJ133" s="40"/>
      <c r="AK133" s="5">
        <f>VLOOKUP($A133,'ПР 01-02.21'!$A$11:$BB$406,37,FALSE)+VLOOKUP($A133,'ПР 21-22'!$A$11:$BB$406,37,FALSE)-VLOOKUP($A133,'ПР 01-02.22'!$A$11:$BB$378,37,FALSE)</f>
        <v>1182.0753951943277</v>
      </c>
      <c r="AL133" s="5">
        <f>VLOOKUP($A133,'ПР 01-02.21'!$A$11:$BB$406,38,FALSE)+VLOOKUP($A133,'ПР 21-22'!$A$11:$BB$406,38,FALSE)-VLOOKUP($A133,'ПР 01-02.22'!$A$11:$BB$378,38,FALSE)</f>
        <v>0</v>
      </c>
      <c r="AM133" s="40"/>
      <c r="AN133" s="5">
        <f>VLOOKUP($A133,'ПР 01-02.21'!$A$11:$BB$406,40,FALSE)+VLOOKUP($A133,'ПР 21-22'!$A$11:$BB$406,40,FALSE)-VLOOKUP($A133,'ПР 01-02.22'!$A$11:$BB$378,40,FALSE)</f>
        <v>1461.1246295573351</v>
      </c>
      <c r="AO133" s="5">
        <f>VLOOKUP($A133,'ПР 01-02.21'!$A$11:$BB$406,41,FALSE)+VLOOKUP($A133,'ПР 21-22'!$A$11:$BB$406,41,FALSE)-VLOOKUP($A133,'ПР 01-02.22'!$A$11:$BB$378,41,FALSE)</f>
        <v>0</v>
      </c>
      <c r="AP133" s="40"/>
      <c r="AQ133" s="5">
        <f>VLOOKUP($A133,'ПР 01-02.21'!$A$11:$BB$406,43,FALSE)+VLOOKUP($A133,'ПР 21-22'!$A$11:$BB$406,43,FALSE)-VLOOKUP($A133,'ПР 01-02.22'!$A$11:$BB$378,43,FALSE)</f>
        <v>681.70652833411214</v>
      </c>
      <c r="AR133" s="5">
        <f>VLOOKUP($A133,'ПР 01-02.21'!$A$11:$BB$406,44,FALSE)+VLOOKUP($A133,'ПР 21-22'!$A$11:$BB$406,44,FALSE)-VLOOKUP($A133,'ПР 01-02.22'!$A$11:$BB$378,44,FALSE)</f>
        <v>0</v>
      </c>
      <c r="AS133" s="40"/>
      <c r="AT133" s="5">
        <f>VLOOKUP($A133,'ПР 01-02.21'!$A$11:$BB$406,46,FALSE)+VLOOKUP($A133,'ПР 21-22'!$A$11:$BB$406,46,FALSE)-VLOOKUP($A133,'ПР 01-02.22'!$A$11:$BB$378,46,FALSE)</f>
        <v>864.42177592245628</v>
      </c>
      <c r="AU133" s="5">
        <f>VLOOKUP($A133,'ПР 01-02.21'!$A$11:$BB$406,47,FALSE)+VLOOKUP($A133,'ПР 21-22'!$A$11:$BB$406,47,FALSE)-VLOOKUP($A133,'ПР 01-02.22'!$A$11:$BB$378,47,FALSE)</f>
        <v>142</v>
      </c>
      <c r="AV133" s="40"/>
      <c r="AW133" s="5">
        <f>VLOOKUP($A133,'ПР 01-02.21'!$A$11:$BB$406,49,FALSE)+VLOOKUP($A133,'ПР 21-22'!$A$11:$BB$406,49,FALSE)-VLOOKUP($A133,'ПР 01-02.22'!$A$11:$BB$378,49,FALSE)</f>
        <v>136.768</v>
      </c>
      <c r="AX133" s="5">
        <f>VLOOKUP($A133,'ПР 01-02.21'!$A$11:$BB$406,50,FALSE)+VLOOKUP($A133,'ПР 21-22'!$A$11:$BB$406,50,FALSE)-VLOOKUP($A133,'ПР 01-02.22'!$A$11:$BB$378,50,FALSE)</f>
        <v>0</v>
      </c>
      <c r="AY133" s="40"/>
      <c r="AZ133" s="40">
        <f t="shared" si="9"/>
        <v>7800.309531679467</v>
      </c>
      <c r="BA133" s="40">
        <f t="shared" si="9"/>
        <v>786</v>
      </c>
      <c r="BB133" s="55">
        <f t="shared" si="8"/>
        <v>-7014.309531679467</v>
      </c>
      <c r="BD133" s="2">
        <v>2</v>
      </c>
      <c r="BF133" s="325">
        <v>150000618</v>
      </c>
    </row>
    <row r="134" spans="1:58" ht="24.9" customHeight="1" x14ac:dyDescent="0.3">
      <c r="A134" s="325">
        <v>150000619</v>
      </c>
      <c r="B134" s="445" t="s">
        <v>360</v>
      </c>
      <c r="C134" s="27">
        <v>9</v>
      </c>
      <c r="D134" s="101" t="s">
        <v>455</v>
      </c>
      <c r="E134" s="279">
        <f>'побудинковий звіт'!E132</f>
        <v>4254.1000000000004</v>
      </c>
      <c r="F134" s="441">
        <f>'побудинковий звіт'!AS132</f>
        <v>50649.110949139489</v>
      </c>
      <c r="G134" s="441">
        <f t="shared" si="6"/>
        <v>22487.02</v>
      </c>
      <c r="H134" s="73">
        <f t="shared" si="7"/>
        <v>-28162.090949139489</v>
      </c>
      <c r="I134" s="5">
        <f>VLOOKUP($A134,'ПР 01-02.21'!$A$11:$BB$406,9,FALSE)+VLOOKUP($A134,'ПР 21-22'!$A$11:$BB$406,9,FALSE)-VLOOKUP($A134,'ПР 01-02.22'!$A$11:$BB$378,9,FALSE)</f>
        <v>0</v>
      </c>
      <c r="J134" s="5">
        <f>VLOOKUP($A134,'ПР 01-02.21'!$A$11:$BB$406,10,FALSE)+VLOOKUP($A134,'ПР 21-22'!$A$11:$BB$406,10,FALSE)-VLOOKUP($A134,'ПР 01-02.22'!$A$11:$BB$378,10,FALSE)</f>
        <v>0</v>
      </c>
      <c r="K134" s="446"/>
      <c r="L134" s="5">
        <f>VLOOKUP($A134,'ПР 01-02.21'!$A$11:$BB$406,12,FALSE)+VLOOKUP($A134,'ПР 21-22'!$A$11:$BB$406,12,FALSE)-VLOOKUP($A134,'ПР 01-02.22'!$A$11:$BB$378,12,FALSE)</f>
        <v>0</v>
      </c>
      <c r="M134" s="5">
        <f>VLOOKUP($A134,'ПР 01-02.21'!$A$11:$BB$406,13,FALSE)+VLOOKUP($A134,'ПР 21-22'!$A$11:$BB$406,13,FALSE)-VLOOKUP($A134,'ПР 01-02.22'!$A$11:$BB$378,13,FALSE)</f>
        <v>0</v>
      </c>
      <c r="N134" s="38"/>
      <c r="O134" s="5">
        <f>VLOOKUP($A134,'ПР 01-02.21'!$A$11:$BB$406,15,FALSE)+VLOOKUP($A134,'ПР 21-22'!$A$11:$BB$406,15,FALSE)-VLOOKUP($A134,'ПР 01-02.22'!$A$11:$BB$378,15,FALSE)</f>
        <v>0</v>
      </c>
      <c r="P134" s="5">
        <f>VLOOKUP($A134,'ПР 01-02.21'!$A$11:$BB$406,16,FALSE)+VLOOKUP($A134,'ПР 21-22'!$A$11:$BB$406,16,FALSE)-VLOOKUP($A134,'ПР 01-02.22'!$A$11:$BB$378,16,FALSE)</f>
        <v>0</v>
      </c>
      <c r="Q134" s="443"/>
      <c r="R134" s="5">
        <f>VLOOKUP($A134,'ПР 01-02.21'!$A$11:$BB$406,18,FALSE)+VLOOKUP($A134,'ПР 21-22'!$A$11:$BB$406,18,FALSE)-VLOOKUP($A134,'ПР 01-02.22'!$A$11:$BB$378,18,FALSE)</f>
        <v>4</v>
      </c>
      <c r="S134" s="5">
        <f>VLOOKUP($A134,'ПР 01-02.21'!$A$11:$BB$406,19,FALSE)+VLOOKUP($A134,'ПР 21-22'!$A$11:$BB$406,19,FALSE)-VLOOKUP($A134,'ПР 01-02.22'!$A$11:$BB$378,19,FALSE)</f>
        <v>19977.02</v>
      </c>
      <c r="T134" s="444"/>
      <c r="U134" s="5">
        <f>VLOOKUP($A134,'ПР 01-02.21'!$A$11:$BB$406,21,FALSE)+VLOOKUP($A134,'ПР 21-22'!$A$11:$BB$406,21,FALSE)-VLOOKUP($A134,'ПР 01-02.22'!$A$11:$BB$378,21,FALSE)</f>
        <v>0</v>
      </c>
      <c r="V134" s="5"/>
      <c r="W134" s="5">
        <f>VLOOKUP($A134,'ПР 01-02.21'!$A$11:$BB$406,23,FALSE)+VLOOKUP($A134,'ПР 21-22'!$A$11:$BB$406,23,FALSE)-VLOOKUP($A134,'ПР 01-02.22'!$A$11:$BB$378,23,FALSE)</f>
        <v>0</v>
      </c>
      <c r="X134" s="5">
        <f>VLOOKUP($A134,'ПР 01-02.21'!$A$11:$BB$406,24,FALSE)+VLOOKUP($A134,'ПР 21-22'!$A$11:$BB$406,24,FALSE)-VLOOKUP($A134,'ПР 01-02.22'!$A$11:$BB$378,24,FALSE)</f>
        <v>0</v>
      </c>
      <c r="Y134" s="5">
        <f>VLOOKUP($A134,'ПР 01-02.21'!$A$11:$BB$406,25,FALSE)+VLOOKUP($A134,'ПР 21-22'!$A$11:$BB$406,25,FALSE)-VLOOKUP($A134,'ПР 01-02.22'!$A$11:$BB$378,25,FALSE)</f>
        <v>0</v>
      </c>
      <c r="Z134" s="5"/>
      <c r="AA134" s="5">
        <f>VLOOKUP($A134,'ПР 01-02.21'!$A$11:$BB$406,27,FALSE)+VLOOKUP($A134,'ПР 21-22'!$A$11:$BB$406,27,FALSE)-VLOOKUP($A134,'ПР 01-02.22'!$A$11:$BB$378,27,FALSE)</f>
        <v>0</v>
      </c>
      <c r="AB134" s="5">
        <f>VLOOKUP($A134,'ПР 01-02.21'!$A$11:$BB$406,28,FALSE)+VLOOKUP($A134,'ПР 21-22'!$A$11:$BB$406,28,FALSE)-VLOOKUP($A134,'ПР 01-02.22'!$A$11:$BB$378,28,FALSE)</f>
        <v>0</v>
      </c>
      <c r="AC134" s="5">
        <f>VLOOKUP($A134,'ПР 01-02.21'!$A$11:$BB$406,29,FALSE)+VLOOKUP($A134,'ПР 21-22'!$A$11:$BB$406,29,FALSE)-VLOOKUP($A134,'ПР 01-02.22'!$A$11:$BB$378,29,FALSE)</f>
        <v>0</v>
      </c>
      <c r="AD134" s="5">
        <f>VLOOKUP($A134,'ПР 01-02.21'!$A$11:$BB$406,30,FALSE)+VLOOKUP($A134,'ПР 21-22'!$A$11:$BB$406,30,FALSE)-VLOOKUP($A134,'ПР 01-02.22'!$A$11:$BB$378,30,FALSE)</f>
        <v>2510</v>
      </c>
      <c r="AE134" s="5">
        <f>VLOOKUP($A134,'ПР 01-02.21'!$A$11:$BB$406,31,FALSE)+VLOOKUP($A134,'ПР 21-22'!$A$11:$BB$406,31,FALSE)-VLOOKUP($A134,'ПР 01-02.22'!$A$11:$BB$378,31,FALSE)</f>
        <v>3170.7575755854737</v>
      </c>
      <c r="AF134" s="5">
        <f>VLOOKUP($A134,'ПР 01-02.21'!$A$11:$BB$406,32,FALSE)+VLOOKUP($A134,'ПР 21-22'!$A$11:$BB$406,32,FALSE)-VLOOKUP($A134,'ПР 01-02.22'!$A$11:$BB$378,32,FALSE)</f>
        <v>1490.8600000000001</v>
      </c>
      <c r="AG134" s="40"/>
      <c r="AH134" s="5">
        <f>VLOOKUP($A134,'ПР 01-02.21'!$A$11:$BB$406,34,FALSE)+VLOOKUP($A134,'ПР 21-22'!$A$11:$BB$406,34,FALSE)-VLOOKUP($A134,'ПР 01-02.22'!$A$11:$BB$378,34,FALSE)</f>
        <v>3537.3938469333871</v>
      </c>
      <c r="AI134" s="5">
        <f>VLOOKUP($A134,'ПР 01-02.21'!$A$11:$BB$406,35,FALSE)+VLOOKUP($A134,'ПР 21-22'!$A$11:$BB$406,35,FALSE)-VLOOKUP($A134,'ПР 01-02.22'!$A$11:$BB$378,35,FALSE)</f>
        <v>0</v>
      </c>
      <c r="AJ134" s="40"/>
      <c r="AK134" s="5">
        <f>VLOOKUP($A134,'ПР 01-02.21'!$A$11:$BB$406,37,FALSE)+VLOOKUP($A134,'ПР 21-22'!$A$11:$BB$406,37,FALSE)-VLOOKUP($A134,'ПР 01-02.22'!$A$11:$BB$378,37,FALSE)</f>
        <v>1864.5139180260387</v>
      </c>
      <c r="AL134" s="5">
        <f>VLOOKUP($A134,'ПР 01-02.21'!$A$11:$BB$406,38,FALSE)+VLOOKUP($A134,'ПР 21-22'!$A$11:$BB$406,38,FALSE)-VLOOKUP($A134,'ПР 01-02.22'!$A$11:$BB$378,38,FALSE)</f>
        <v>0</v>
      </c>
      <c r="AM134" s="40"/>
      <c r="AN134" s="5">
        <f>VLOOKUP($A134,'ПР 01-02.21'!$A$11:$BB$406,40,FALSE)+VLOOKUP($A134,'ПР 21-22'!$A$11:$BB$406,40,FALSE)-VLOOKUP($A134,'ПР 01-02.22'!$A$11:$BB$378,40,FALSE)</f>
        <v>2613.3590963931338</v>
      </c>
      <c r="AO134" s="5">
        <f>VLOOKUP($A134,'ПР 01-02.21'!$A$11:$BB$406,41,FALSE)+VLOOKUP($A134,'ПР 21-22'!$A$11:$BB$406,41,FALSE)-VLOOKUP($A134,'ПР 01-02.22'!$A$11:$BB$378,41,FALSE)</f>
        <v>245</v>
      </c>
      <c r="AP134" s="40"/>
      <c r="AQ134" s="5">
        <f>VLOOKUP($A134,'ПР 01-02.21'!$A$11:$BB$406,43,FALSE)+VLOOKUP($A134,'ПР 21-22'!$A$11:$BB$406,43,FALSE)-VLOOKUP($A134,'ПР 01-02.22'!$A$11:$BB$378,43,FALSE)</f>
        <v>1275.715225914171</v>
      </c>
      <c r="AR134" s="5">
        <f>VLOOKUP($A134,'ПР 01-02.21'!$A$11:$BB$406,44,FALSE)+VLOOKUP($A134,'ПР 21-22'!$A$11:$BB$406,44,FALSE)-VLOOKUP($A134,'ПР 01-02.22'!$A$11:$BB$378,44,FALSE)</f>
        <v>0</v>
      </c>
      <c r="AS134" s="40"/>
      <c r="AT134" s="5">
        <f>VLOOKUP($A134,'ПР 01-02.21'!$A$11:$BB$406,46,FALSE)+VLOOKUP($A134,'ПР 21-22'!$A$11:$BB$406,46,FALSE)-VLOOKUP($A134,'ПР 01-02.22'!$A$11:$BB$378,46,FALSE)</f>
        <v>1949.0282983668949</v>
      </c>
      <c r="AU134" s="5">
        <f>VLOOKUP($A134,'ПР 01-02.21'!$A$11:$BB$406,47,FALSE)+VLOOKUP($A134,'ПР 21-22'!$A$11:$BB$406,47,FALSE)-VLOOKUP($A134,'ПР 01-02.22'!$A$11:$BB$378,47,FALSE)</f>
        <v>0</v>
      </c>
      <c r="AV134" s="40"/>
      <c r="AW134" s="5">
        <f>VLOOKUP($A134,'ПР 01-02.21'!$A$11:$BB$406,49,FALSE)+VLOOKUP($A134,'ПР 21-22'!$A$11:$BB$406,49,FALSE)-VLOOKUP($A134,'ПР 01-02.22'!$A$11:$BB$378,49,FALSE)</f>
        <v>213.16800000000001</v>
      </c>
      <c r="AX134" s="5">
        <f>VLOOKUP($A134,'ПР 01-02.21'!$A$11:$BB$406,50,FALSE)+VLOOKUP($A134,'ПР 21-22'!$A$11:$BB$406,50,FALSE)-VLOOKUP($A134,'ПР 01-02.22'!$A$11:$BB$378,50,FALSE)</f>
        <v>0</v>
      </c>
      <c r="AY134" s="40"/>
      <c r="AZ134" s="40">
        <f t="shared" si="9"/>
        <v>14623.9359612191</v>
      </c>
      <c r="BA134" s="40">
        <f t="shared" si="9"/>
        <v>1735.8600000000001</v>
      </c>
      <c r="BB134" s="55">
        <f t="shared" si="8"/>
        <v>-12888.0759612191</v>
      </c>
      <c r="BD134" s="2">
        <v>2</v>
      </c>
      <c r="BF134" s="325">
        <v>150000619</v>
      </c>
    </row>
    <row r="135" spans="1:58" ht="24.9" customHeight="1" x14ac:dyDescent="0.3">
      <c r="A135" s="325">
        <v>150000621</v>
      </c>
      <c r="B135" s="445" t="s">
        <v>81</v>
      </c>
      <c r="C135" s="27">
        <v>1</v>
      </c>
      <c r="D135" s="101" t="s">
        <v>455</v>
      </c>
      <c r="E135" s="279">
        <f>'побудинковий звіт'!E133</f>
        <v>130.1</v>
      </c>
      <c r="F135" s="441">
        <f>'побудинковий звіт'!AS133</f>
        <v>1420.8214102078491</v>
      </c>
      <c r="G135" s="441">
        <f t="shared" si="6"/>
        <v>0</v>
      </c>
      <c r="H135" s="73">
        <f t="shared" si="7"/>
        <v>-1420.8214102078491</v>
      </c>
      <c r="I135" s="5">
        <f>VLOOKUP($A135,'ПР 01-02.21'!$A$11:$BB$406,9,FALSE)+VLOOKUP($A135,'ПР 21-22'!$A$11:$BB$406,9,FALSE)-VLOOKUP($A135,'ПР 01-02.22'!$A$11:$BB$378,9,FALSE)</f>
        <v>0</v>
      </c>
      <c r="J135" s="5">
        <f>VLOOKUP($A135,'ПР 01-02.21'!$A$11:$BB$406,10,FALSE)+VLOOKUP($A135,'ПР 21-22'!$A$11:$BB$406,10,FALSE)-VLOOKUP($A135,'ПР 01-02.22'!$A$11:$BB$378,10,FALSE)</f>
        <v>0</v>
      </c>
      <c r="K135" s="446"/>
      <c r="L135" s="5">
        <f>VLOOKUP($A135,'ПР 01-02.21'!$A$11:$BB$406,12,FALSE)+VLOOKUP($A135,'ПР 21-22'!$A$11:$BB$406,12,FALSE)-VLOOKUP($A135,'ПР 01-02.22'!$A$11:$BB$378,12,FALSE)</f>
        <v>0</v>
      </c>
      <c r="M135" s="5">
        <f>VLOOKUP($A135,'ПР 01-02.21'!$A$11:$BB$406,13,FALSE)+VLOOKUP($A135,'ПР 21-22'!$A$11:$BB$406,13,FALSE)-VLOOKUP($A135,'ПР 01-02.22'!$A$11:$BB$378,13,FALSE)</f>
        <v>0</v>
      </c>
      <c r="N135" s="38"/>
      <c r="O135" s="5">
        <f>VLOOKUP($A135,'ПР 01-02.21'!$A$11:$BB$406,15,FALSE)+VLOOKUP($A135,'ПР 21-22'!$A$11:$BB$406,15,FALSE)-VLOOKUP($A135,'ПР 01-02.22'!$A$11:$BB$378,15,FALSE)</f>
        <v>0</v>
      </c>
      <c r="P135" s="5">
        <f>VLOOKUP($A135,'ПР 01-02.21'!$A$11:$BB$406,16,FALSE)+VLOOKUP($A135,'ПР 21-22'!$A$11:$BB$406,16,FALSE)-VLOOKUP($A135,'ПР 01-02.22'!$A$11:$BB$378,16,FALSE)</f>
        <v>0</v>
      </c>
      <c r="Q135" s="443"/>
      <c r="R135" s="5">
        <f>VLOOKUP($A135,'ПР 01-02.21'!$A$11:$BB$406,18,FALSE)+VLOOKUP($A135,'ПР 21-22'!$A$11:$BB$406,18,FALSE)-VLOOKUP($A135,'ПР 01-02.22'!$A$11:$BB$378,18,FALSE)</f>
        <v>0</v>
      </c>
      <c r="S135" s="5">
        <f>VLOOKUP($A135,'ПР 01-02.21'!$A$11:$BB$406,19,FALSE)+VLOOKUP($A135,'ПР 21-22'!$A$11:$BB$406,19,FALSE)-VLOOKUP($A135,'ПР 01-02.22'!$A$11:$BB$378,19,FALSE)</f>
        <v>0</v>
      </c>
      <c r="T135" s="444"/>
      <c r="U135" s="5">
        <f>VLOOKUP($A135,'ПР 01-02.21'!$A$11:$BB$406,21,FALSE)+VLOOKUP($A135,'ПР 21-22'!$A$11:$BB$406,21,FALSE)-VLOOKUP($A135,'ПР 01-02.22'!$A$11:$BB$378,21,FALSE)</f>
        <v>0</v>
      </c>
      <c r="V135" s="5"/>
      <c r="W135" s="5">
        <f>VLOOKUP($A135,'ПР 01-02.21'!$A$11:$BB$406,23,FALSE)+VLOOKUP($A135,'ПР 21-22'!$A$11:$BB$406,23,FALSE)-VLOOKUP($A135,'ПР 01-02.22'!$A$11:$BB$378,23,FALSE)</f>
        <v>0</v>
      </c>
      <c r="X135" s="5">
        <f>VLOOKUP($A135,'ПР 01-02.21'!$A$11:$BB$406,24,FALSE)+VLOOKUP($A135,'ПР 21-22'!$A$11:$BB$406,24,FALSE)-VLOOKUP($A135,'ПР 01-02.22'!$A$11:$BB$378,24,FALSE)</f>
        <v>0</v>
      </c>
      <c r="Y135" s="5">
        <f>VLOOKUP($A135,'ПР 01-02.21'!$A$11:$BB$406,25,FALSE)+VLOOKUP($A135,'ПР 21-22'!$A$11:$BB$406,25,FALSE)-VLOOKUP($A135,'ПР 01-02.22'!$A$11:$BB$378,25,FALSE)</f>
        <v>0</v>
      </c>
      <c r="Z135" s="5"/>
      <c r="AA135" s="5">
        <f>VLOOKUP($A135,'ПР 01-02.21'!$A$11:$BB$406,27,FALSE)+VLOOKUP($A135,'ПР 21-22'!$A$11:$BB$406,27,FALSE)-VLOOKUP($A135,'ПР 01-02.22'!$A$11:$BB$378,27,FALSE)</f>
        <v>0</v>
      </c>
      <c r="AB135" s="5">
        <f>VLOOKUP($A135,'ПР 01-02.21'!$A$11:$BB$406,28,FALSE)+VLOOKUP($A135,'ПР 21-22'!$A$11:$BB$406,28,FALSE)-VLOOKUP($A135,'ПР 01-02.22'!$A$11:$BB$378,28,FALSE)</f>
        <v>0</v>
      </c>
      <c r="AC135" s="5">
        <f>VLOOKUP($A135,'ПР 01-02.21'!$A$11:$BB$406,29,FALSE)+VLOOKUP($A135,'ПР 21-22'!$A$11:$BB$406,29,FALSE)-VLOOKUP($A135,'ПР 01-02.22'!$A$11:$BB$378,29,FALSE)</f>
        <v>0</v>
      </c>
      <c r="AD135" s="5">
        <f>VLOOKUP($A135,'ПР 01-02.21'!$A$11:$BB$406,30,FALSE)+VLOOKUP($A135,'ПР 21-22'!$A$11:$BB$406,30,FALSE)-VLOOKUP($A135,'ПР 01-02.22'!$A$11:$BB$378,30,FALSE)</f>
        <v>0</v>
      </c>
      <c r="AE135" s="5">
        <f>VLOOKUP($A135,'ПР 01-02.21'!$A$11:$BB$406,31,FALSE)+VLOOKUP($A135,'ПР 21-22'!$A$11:$BB$406,31,FALSE)-VLOOKUP($A135,'ПР 01-02.22'!$A$11:$BB$378,31,FALSE)</f>
        <v>0</v>
      </c>
      <c r="AF135" s="5">
        <f>VLOOKUP($A135,'ПР 01-02.21'!$A$11:$BB$406,32,FALSE)+VLOOKUP($A135,'ПР 21-22'!$A$11:$BB$406,32,FALSE)-VLOOKUP($A135,'ПР 01-02.22'!$A$11:$BB$378,32,FALSE)</f>
        <v>0</v>
      </c>
      <c r="AG135" s="40"/>
      <c r="AH135" s="5">
        <f>VLOOKUP($A135,'ПР 01-02.21'!$A$11:$BB$406,34,FALSE)+VLOOKUP($A135,'ПР 21-22'!$A$11:$BB$406,34,FALSE)-VLOOKUP($A135,'ПР 01-02.22'!$A$11:$BB$378,34,FALSE)</f>
        <v>0</v>
      </c>
      <c r="AI135" s="5">
        <f>VLOOKUP($A135,'ПР 01-02.21'!$A$11:$BB$406,35,FALSE)+VLOOKUP($A135,'ПР 21-22'!$A$11:$BB$406,35,FALSE)-VLOOKUP($A135,'ПР 01-02.22'!$A$11:$BB$378,35,FALSE)</f>
        <v>0</v>
      </c>
      <c r="AJ135" s="40"/>
      <c r="AK135" s="5">
        <f>VLOOKUP($A135,'ПР 01-02.21'!$A$11:$BB$406,37,FALSE)+VLOOKUP($A135,'ПР 21-22'!$A$11:$BB$406,37,FALSE)-VLOOKUP($A135,'ПР 01-02.22'!$A$11:$BB$378,37,FALSE)</f>
        <v>0</v>
      </c>
      <c r="AL135" s="5">
        <f>VLOOKUP($A135,'ПР 01-02.21'!$A$11:$BB$406,38,FALSE)+VLOOKUP($A135,'ПР 21-22'!$A$11:$BB$406,38,FALSE)-VLOOKUP($A135,'ПР 01-02.22'!$A$11:$BB$378,38,FALSE)</f>
        <v>0</v>
      </c>
      <c r="AM135" s="40"/>
      <c r="AN135" s="5">
        <f>VLOOKUP($A135,'ПР 01-02.21'!$A$11:$BB$406,40,FALSE)+VLOOKUP($A135,'ПР 21-22'!$A$11:$BB$406,40,FALSE)-VLOOKUP($A135,'ПР 01-02.22'!$A$11:$BB$378,40,FALSE)</f>
        <v>0</v>
      </c>
      <c r="AO135" s="5">
        <f>VLOOKUP($A135,'ПР 01-02.21'!$A$11:$BB$406,41,FALSE)+VLOOKUP($A135,'ПР 21-22'!$A$11:$BB$406,41,FALSE)-VLOOKUP($A135,'ПР 01-02.22'!$A$11:$BB$378,41,FALSE)</f>
        <v>0</v>
      </c>
      <c r="AP135" s="40"/>
      <c r="AQ135" s="5">
        <f>VLOOKUP($A135,'ПР 01-02.21'!$A$11:$BB$406,43,FALSE)+VLOOKUP($A135,'ПР 21-22'!$A$11:$BB$406,43,FALSE)-VLOOKUP($A135,'ПР 01-02.22'!$A$11:$BB$378,43,FALSE)</f>
        <v>0</v>
      </c>
      <c r="AR135" s="5">
        <f>VLOOKUP($A135,'ПР 01-02.21'!$A$11:$BB$406,44,FALSE)+VLOOKUP($A135,'ПР 21-22'!$A$11:$BB$406,44,FALSE)-VLOOKUP($A135,'ПР 01-02.22'!$A$11:$BB$378,44,FALSE)</f>
        <v>0</v>
      </c>
      <c r="AS135" s="40"/>
      <c r="AT135" s="5">
        <f>VLOOKUP($A135,'ПР 01-02.21'!$A$11:$BB$406,46,FALSE)+VLOOKUP($A135,'ПР 21-22'!$A$11:$BB$406,46,FALSE)-VLOOKUP($A135,'ПР 01-02.22'!$A$11:$BB$378,46,FALSE)</f>
        <v>0</v>
      </c>
      <c r="AU135" s="5">
        <f>VLOOKUP($A135,'ПР 01-02.21'!$A$11:$BB$406,47,FALSE)+VLOOKUP($A135,'ПР 21-22'!$A$11:$BB$406,47,FALSE)-VLOOKUP($A135,'ПР 01-02.22'!$A$11:$BB$378,47,FALSE)</f>
        <v>0</v>
      </c>
      <c r="AV135" s="40"/>
      <c r="AW135" s="5">
        <f>VLOOKUP($A135,'ПР 01-02.21'!$A$11:$BB$406,49,FALSE)+VLOOKUP($A135,'ПР 21-22'!$A$11:$BB$406,49,FALSE)-VLOOKUP($A135,'ПР 01-02.22'!$A$11:$BB$378,49,FALSE)</f>
        <v>6.2039999999999997</v>
      </c>
      <c r="AX135" s="5">
        <f>VLOOKUP($A135,'ПР 01-02.21'!$A$11:$BB$406,50,FALSE)+VLOOKUP($A135,'ПР 21-22'!$A$11:$BB$406,50,FALSE)-VLOOKUP($A135,'ПР 01-02.22'!$A$11:$BB$378,50,FALSE)</f>
        <v>0</v>
      </c>
      <c r="AY135" s="40"/>
      <c r="AZ135" s="40">
        <f t="shared" si="9"/>
        <v>6.2039999999999997</v>
      </c>
      <c r="BA135" s="40">
        <f t="shared" si="9"/>
        <v>0</v>
      </c>
      <c r="BB135" s="55">
        <f t="shared" si="8"/>
        <v>-6.2039999999999997</v>
      </c>
      <c r="BD135" s="2">
        <v>2</v>
      </c>
      <c r="BF135" s="325">
        <v>150000621</v>
      </c>
    </row>
    <row r="136" spans="1:58" ht="24.9" customHeight="1" x14ac:dyDescent="0.3">
      <c r="A136" s="325">
        <v>150000622</v>
      </c>
      <c r="B136" s="445" t="s">
        <v>82</v>
      </c>
      <c r="C136" s="27">
        <v>1</v>
      </c>
      <c r="D136" s="101" t="s">
        <v>455</v>
      </c>
      <c r="E136" s="279">
        <f>'побудинковий звіт'!E134</f>
        <v>132.69999999999999</v>
      </c>
      <c r="F136" s="441">
        <f>'побудинковий звіт'!AS134</f>
        <v>0</v>
      </c>
      <c r="G136" s="441">
        <f t="shared" si="6"/>
        <v>0</v>
      </c>
      <c r="H136" s="73">
        <f t="shared" si="7"/>
        <v>0</v>
      </c>
      <c r="I136" s="5"/>
      <c r="J136" s="5"/>
      <c r="K136" s="446"/>
      <c r="L136" s="5"/>
      <c r="M136" s="5"/>
      <c r="N136" s="38"/>
      <c r="O136" s="5"/>
      <c r="P136" s="5"/>
      <c r="Q136" s="443"/>
      <c r="R136" s="5"/>
      <c r="S136" s="5"/>
      <c r="T136" s="444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40"/>
      <c r="AH136" s="5"/>
      <c r="AI136" s="5"/>
      <c r="AJ136" s="40"/>
      <c r="AK136" s="5"/>
      <c r="AL136" s="5"/>
      <c r="AM136" s="40"/>
      <c r="AN136" s="5"/>
      <c r="AO136" s="5"/>
      <c r="AP136" s="40"/>
      <c r="AQ136" s="5"/>
      <c r="AR136" s="5"/>
      <c r="AS136" s="40"/>
      <c r="AT136" s="5"/>
      <c r="AU136" s="5"/>
      <c r="AV136" s="40"/>
      <c r="AW136" s="5"/>
      <c r="AX136" s="5"/>
      <c r="AY136" s="40"/>
      <c r="AZ136" s="40">
        <f t="shared" si="9"/>
        <v>0</v>
      </c>
      <c r="BA136" s="40">
        <f t="shared" si="9"/>
        <v>0</v>
      </c>
      <c r="BB136" s="55">
        <f t="shared" si="8"/>
        <v>0</v>
      </c>
      <c r="BD136" s="2">
        <v>2</v>
      </c>
      <c r="BF136" s="325">
        <v>150000622</v>
      </c>
    </row>
    <row r="137" spans="1:58" ht="24.9" customHeight="1" x14ac:dyDescent="0.3">
      <c r="A137" s="325">
        <v>150000587</v>
      </c>
      <c r="B137" s="445" t="s">
        <v>83</v>
      </c>
      <c r="C137" s="27">
        <v>1</v>
      </c>
      <c r="D137" s="101" t="s">
        <v>455</v>
      </c>
      <c r="E137" s="279">
        <f>'побудинковий звіт'!E135</f>
        <v>121</v>
      </c>
      <c r="F137" s="441">
        <f>'побудинковий звіт'!AS135</f>
        <v>0</v>
      </c>
      <c r="G137" s="441">
        <f t="shared" si="6"/>
        <v>0</v>
      </c>
      <c r="H137" s="73">
        <f t="shared" si="7"/>
        <v>0</v>
      </c>
      <c r="I137" s="5"/>
      <c r="J137" s="5"/>
      <c r="K137" s="446"/>
      <c r="L137" s="5"/>
      <c r="M137" s="5"/>
      <c r="N137" s="38"/>
      <c r="O137" s="5"/>
      <c r="P137" s="5"/>
      <c r="Q137" s="443"/>
      <c r="R137" s="5"/>
      <c r="S137" s="5"/>
      <c r="T137" s="444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40"/>
      <c r="AH137" s="5"/>
      <c r="AI137" s="5"/>
      <c r="AJ137" s="40"/>
      <c r="AK137" s="5"/>
      <c r="AL137" s="5"/>
      <c r="AM137" s="40"/>
      <c r="AN137" s="5"/>
      <c r="AO137" s="5"/>
      <c r="AP137" s="40"/>
      <c r="AQ137" s="5"/>
      <c r="AR137" s="5"/>
      <c r="AS137" s="40"/>
      <c r="AT137" s="5"/>
      <c r="AU137" s="5"/>
      <c r="AV137" s="40"/>
      <c r="AW137" s="5"/>
      <c r="AX137" s="5"/>
      <c r="AY137" s="40"/>
      <c r="AZ137" s="40">
        <f t="shared" si="9"/>
        <v>0</v>
      </c>
      <c r="BA137" s="40">
        <f t="shared" si="9"/>
        <v>0</v>
      </c>
      <c r="BB137" s="55">
        <f t="shared" si="8"/>
        <v>0</v>
      </c>
      <c r="BD137" s="2">
        <v>3</v>
      </c>
      <c r="BF137" s="325">
        <v>150000587</v>
      </c>
    </row>
    <row r="138" spans="1:58" ht="24.9" customHeight="1" x14ac:dyDescent="0.3">
      <c r="A138" s="325">
        <v>150000590</v>
      </c>
      <c r="B138" s="445" t="s">
        <v>164</v>
      </c>
      <c r="C138" s="27">
        <v>2</v>
      </c>
      <c r="D138" s="101" t="s">
        <v>455</v>
      </c>
      <c r="E138" s="279">
        <f>'побудинковий звіт'!E136</f>
        <v>373.5</v>
      </c>
      <c r="F138" s="441">
        <f>'побудинковий звіт'!AS136</f>
        <v>3718.7432891410053</v>
      </c>
      <c r="G138" s="441">
        <f t="shared" ref="G138:G201" si="10">J138+M138+P138+S138+U138+X138+Y138+AA138+AB138+AC138+AD138</f>
        <v>1687</v>
      </c>
      <c r="H138" s="73">
        <f t="shared" ref="H138:H201" si="11">G138-F138</f>
        <v>-2031.7432891410053</v>
      </c>
      <c r="I138" s="5">
        <f>VLOOKUP($A138,'ПР 01-02.21'!$A$11:$BB$406,9,FALSE)+VLOOKUP($A138,'ПР 21-22'!$A$11:$BB$406,9,FALSE)-VLOOKUP($A138,'ПР 01-02.22'!$A$11:$BB$378,9,FALSE)</f>
        <v>8</v>
      </c>
      <c r="J138" s="5">
        <f>VLOOKUP($A138,'ПР 01-02.21'!$A$11:$BB$406,10,FALSE)+VLOOKUP($A138,'ПР 21-22'!$A$11:$BB$406,10,FALSE)-VLOOKUP($A138,'ПР 01-02.22'!$A$11:$BB$378,10,FALSE)</f>
        <v>1509</v>
      </c>
      <c r="K138" s="446"/>
      <c r="L138" s="5">
        <f>VLOOKUP($A138,'ПР 01-02.21'!$A$11:$BB$406,12,FALSE)+VLOOKUP($A138,'ПР 21-22'!$A$11:$BB$406,12,FALSE)-VLOOKUP($A138,'ПР 01-02.22'!$A$11:$BB$378,12,FALSE)</f>
        <v>0</v>
      </c>
      <c r="M138" s="5">
        <f>VLOOKUP($A138,'ПР 01-02.21'!$A$11:$BB$406,13,FALSE)+VLOOKUP($A138,'ПР 21-22'!$A$11:$BB$406,13,FALSE)-VLOOKUP($A138,'ПР 01-02.22'!$A$11:$BB$378,13,FALSE)</f>
        <v>0</v>
      </c>
      <c r="N138" s="38"/>
      <c r="O138" s="5">
        <f>VLOOKUP($A138,'ПР 01-02.21'!$A$11:$BB$406,15,FALSE)+VLOOKUP($A138,'ПР 21-22'!$A$11:$BB$406,15,FALSE)-VLOOKUP($A138,'ПР 01-02.22'!$A$11:$BB$378,15,FALSE)</f>
        <v>0</v>
      </c>
      <c r="P138" s="5">
        <f>VLOOKUP($A138,'ПР 01-02.21'!$A$11:$BB$406,16,FALSE)+VLOOKUP($A138,'ПР 21-22'!$A$11:$BB$406,16,FALSE)-VLOOKUP($A138,'ПР 01-02.22'!$A$11:$BB$378,16,FALSE)</f>
        <v>0</v>
      </c>
      <c r="Q138" s="443"/>
      <c r="R138" s="5">
        <f>VLOOKUP($A138,'ПР 01-02.21'!$A$11:$BB$406,18,FALSE)+VLOOKUP($A138,'ПР 21-22'!$A$11:$BB$406,18,FALSE)-VLOOKUP($A138,'ПР 01-02.22'!$A$11:$BB$378,18,FALSE)</f>
        <v>0</v>
      </c>
      <c r="S138" s="5">
        <f>VLOOKUP($A138,'ПР 01-02.21'!$A$11:$BB$406,19,FALSE)+VLOOKUP($A138,'ПР 21-22'!$A$11:$BB$406,19,FALSE)-VLOOKUP($A138,'ПР 01-02.22'!$A$11:$BB$378,19,FALSE)</f>
        <v>0</v>
      </c>
      <c r="T138" s="444"/>
      <c r="U138" s="5">
        <f>VLOOKUP($A138,'ПР 01-02.21'!$A$11:$BB$406,21,FALSE)+VLOOKUP($A138,'ПР 21-22'!$A$11:$BB$406,21,FALSE)-VLOOKUP($A138,'ПР 01-02.22'!$A$11:$BB$378,21,FALSE)</f>
        <v>0</v>
      </c>
      <c r="V138" s="5"/>
      <c r="W138" s="5">
        <f>VLOOKUP($A138,'ПР 01-02.21'!$A$11:$BB$406,23,FALSE)+VLOOKUP($A138,'ПР 21-22'!$A$11:$BB$406,23,FALSE)-VLOOKUP($A138,'ПР 01-02.22'!$A$11:$BB$378,23,FALSE)</f>
        <v>0</v>
      </c>
      <c r="X138" s="5">
        <f>VLOOKUP($A138,'ПР 01-02.21'!$A$11:$BB$406,24,FALSE)+VLOOKUP($A138,'ПР 21-22'!$A$11:$BB$406,24,FALSE)-VLOOKUP($A138,'ПР 01-02.22'!$A$11:$BB$378,24,FALSE)</f>
        <v>0</v>
      </c>
      <c r="Y138" s="5">
        <f>VLOOKUP($A138,'ПР 01-02.21'!$A$11:$BB$406,25,FALSE)+VLOOKUP($A138,'ПР 21-22'!$A$11:$BB$406,25,FALSE)-VLOOKUP($A138,'ПР 01-02.22'!$A$11:$BB$378,25,FALSE)</f>
        <v>0</v>
      </c>
      <c r="Z138" s="5"/>
      <c r="AA138" s="5">
        <f>VLOOKUP($A138,'ПР 01-02.21'!$A$11:$BB$406,27,FALSE)+VLOOKUP($A138,'ПР 21-22'!$A$11:$BB$406,27,FALSE)-VLOOKUP($A138,'ПР 01-02.22'!$A$11:$BB$378,27,FALSE)</f>
        <v>0</v>
      </c>
      <c r="AB138" s="5">
        <f>VLOOKUP($A138,'ПР 01-02.21'!$A$11:$BB$406,28,FALSE)+VLOOKUP($A138,'ПР 21-22'!$A$11:$BB$406,28,FALSE)-VLOOKUP($A138,'ПР 01-02.22'!$A$11:$BB$378,28,FALSE)</f>
        <v>0</v>
      </c>
      <c r="AC138" s="5">
        <f>VLOOKUP($A138,'ПР 01-02.21'!$A$11:$BB$406,29,FALSE)+VLOOKUP($A138,'ПР 21-22'!$A$11:$BB$406,29,FALSE)-VLOOKUP($A138,'ПР 01-02.22'!$A$11:$BB$378,29,FALSE)</f>
        <v>0</v>
      </c>
      <c r="AD138" s="5">
        <f>VLOOKUP($A138,'ПР 01-02.21'!$A$11:$BB$406,30,FALSE)+VLOOKUP($A138,'ПР 21-22'!$A$11:$BB$406,30,FALSE)-VLOOKUP($A138,'ПР 01-02.22'!$A$11:$BB$378,30,FALSE)</f>
        <v>178</v>
      </c>
      <c r="AE138" s="5">
        <f>VLOOKUP($A138,'ПР 01-02.21'!$A$11:$BB$406,31,FALSE)+VLOOKUP($A138,'ПР 21-22'!$A$11:$BB$406,31,FALSE)-VLOOKUP($A138,'ПР 01-02.22'!$A$11:$BB$378,31,FALSE)</f>
        <v>595.24965825390086</v>
      </c>
      <c r="AF138" s="5">
        <f>VLOOKUP($A138,'ПР 01-02.21'!$A$11:$BB$406,32,FALSE)+VLOOKUP($A138,'ПР 21-22'!$A$11:$BB$406,32,FALSE)-VLOOKUP($A138,'ПР 01-02.22'!$A$11:$BB$378,32,FALSE)</f>
        <v>0</v>
      </c>
      <c r="AG138" s="40"/>
      <c r="AH138" s="5">
        <f>VLOOKUP($A138,'ПР 01-02.21'!$A$11:$BB$406,34,FALSE)+VLOOKUP($A138,'ПР 21-22'!$A$11:$BB$406,34,FALSE)-VLOOKUP($A138,'ПР 01-02.22'!$A$11:$BB$378,34,FALSE)</f>
        <v>766.78470622731857</v>
      </c>
      <c r="AI138" s="5">
        <f>VLOOKUP($A138,'ПР 01-02.21'!$A$11:$BB$406,35,FALSE)+VLOOKUP($A138,'ПР 21-22'!$A$11:$BB$406,35,FALSE)-VLOOKUP($A138,'ПР 01-02.22'!$A$11:$BB$378,35,FALSE)</f>
        <v>0</v>
      </c>
      <c r="AJ138" s="40"/>
      <c r="AK138" s="5">
        <f>VLOOKUP($A138,'ПР 01-02.21'!$A$11:$BB$406,37,FALSE)+VLOOKUP($A138,'ПР 21-22'!$A$11:$BB$406,37,FALSE)-VLOOKUP($A138,'ПР 01-02.22'!$A$11:$BB$378,37,FALSE)</f>
        <v>0</v>
      </c>
      <c r="AL138" s="5">
        <f>VLOOKUP($A138,'ПР 01-02.21'!$A$11:$BB$406,38,FALSE)+VLOOKUP($A138,'ПР 21-22'!$A$11:$BB$406,38,FALSE)-VLOOKUP($A138,'ПР 01-02.22'!$A$11:$BB$378,38,FALSE)</f>
        <v>0</v>
      </c>
      <c r="AM138" s="40"/>
      <c r="AN138" s="5">
        <f>VLOOKUP($A138,'ПР 01-02.21'!$A$11:$BB$406,40,FALSE)+VLOOKUP($A138,'ПР 21-22'!$A$11:$BB$406,40,FALSE)-VLOOKUP($A138,'ПР 01-02.22'!$A$11:$BB$378,40,FALSE)</f>
        <v>0</v>
      </c>
      <c r="AO138" s="5">
        <f>VLOOKUP($A138,'ПР 01-02.21'!$A$11:$BB$406,41,FALSE)+VLOOKUP($A138,'ПР 21-22'!$A$11:$BB$406,41,FALSE)-VLOOKUP($A138,'ПР 01-02.22'!$A$11:$BB$378,41,FALSE)</f>
        <v>0</v>
      </c>
      <c r="AP138" s="40"/>
      <c r="AQ138" s="5">
        <f>VLOOKUP($A138,'ПР 01-02.21'!$A$11:$BB$406,43,FALSE)+VLOOKUP($A138,'ПР 21-22'!$A$11:$BB$406,43,FALSE)-VLOOKUP($A138,'ПР 01-02.22'!$A$11:$BB$378,43,FALSE)</f>
        <v>0</v>
      </c>
      <c r="AR138" s="5">
        <f>VLOOKUP($A138,'ПР 01-02.21'!$A$11:$BB$406,44,FALSE)+VLOOKUP($A138,'ПР 21-22'!$A$11:$BB$406,44,FALSE)-VLOOKUP($A138,'ПР 01-02.22'!$A$11:$BB$378,44,FALSE)</f>
        <v>0</v>
      </c>
      <c r="AS138" s="40"/>
      <c r="AT138" s="5">
        <f>VLOOKUP($A138,'ПР 01-02.21'!$A$11:$BB$406,46,FALSE)+VLOOKUP($A138,'ПР 21-22'!$A$11:$BB$406,46,FALSE)-VLOOKUP($A138,'ПР 01-02.22'!$A$11:$BB$378,46,FALSE)</f>
        <v>142.16659986543297</v>
      </c>
      <c r="AU138" s="5">
        <f>VLOOKUP($A138,'ПР 01-02.21'!$A$11:$BB$406,47,FALSE)+VLOOKUP($A138,'ПР 21-22'!$A$11:$BB$406,47,FALSE)-VLOOKUP($A138,'ПР 01-02.22'!$A$11:$BB$378,47,FALSE)</f>
        <v>0</v>
      </c>
      <c r="AV138" s="40"/>
      <c r="AW138" s="5">
        <f>VLOOKUP($A138,'ПР 01-02.21'!$A$11:$BB$406,49,FALSE)+VLOOKUP($A138,'ПР 21-22'!$A$11:$BB$406,49,FALSE)-VLOOKUP($A138,'ПР 01-02.22'!$A$11:$BB$378,49,FALSE)</f>
        <v>18.948</v>
      </c>
      <c r="AX138" s="5">
        <f>VLOOKUP($A138,'ПР 01-02.21'!$A$11:$BB$406,50,FALSE)+VLOOKUP($A138,'ПР 21-22'!$A$11:$BB$406,50,FALSE)-VLOOKUP($A138,'ПР 01-02.22'!$A$11:$BB$378,50,FALSE)</f>
        <v>0</v>
      </c>
      <c r="AY138" s="40"/>
      <c r="AZ138" s="40">
        <f t="shared" si="9"/>
        <v>1523.1489643466525</v>
      </c>
      <c r="BA138" s="40">
        <f t="shared" si="9"/>
        <v>0</v>
      </c>
      <c r="BB138" s="55">
        <f t="shared" ref="BB138:BB201" si="12">BA138-AZ138</f>
        <v>-1523.1489643466525</v>
      </c>
      <c r="BD138" s="2">
        <v>3</v>
      </c>
      <c r="BF138" s="325">
        <v>150000590</v>
      </c>
    </row>
    <row r="139" spans="1:58" ht="24.9" customHeight="1" x14ac:dyDescent="0.3">
      <c r="A139" s="325">
        <v>150000578</v>
      </c>
      <c r="B139" s="445" t="s">
        <v>84</v>
      </c>
      <c r="C139" s="27">
        <v>1</v>
      </c>
      <c r="D139" s="101" t="s">
        <v>455</v>
      </c>
      <c r="E139" s="279">
        <f>'побудинковий звіт'!E137</f>
        <v>173.75</v>
      </c>
      <c r="F139" s="441">
        <f>'побудинковий звіт'!AS137</f>
        <v>1978.5684366378759</v>
      </c>
      <c r="G139" s="441">
        <f t="shared" si="10"/>
        <v>0</v>
      </c>
      <c r="H139" s="73">
        <f t="shared" si="11"/>
        <v>-1978.5684366378759</v>
      </c>
      <c r="I139" s="5">
        <f>VLOOKUP($A139,'ПР 01-02.21'!$A$11:$BB$406,9,FALSE)+VLOOKUP($A139,'ПР 21-22'!$A$11:$BB$406,9,FALSE)-VLOOKUP($A139,'ПР 01-02.22'!$A$11:$BB$378,9,FALSE)</f>
        <v>0</v>
      </c>
      <c r="J139" s="5">
        <f>VLOOKUP($A139,'ПР 01-02.21'!$A$11:$BB$406,10,FALSE)+VLOOKUP($A139,'ПР 21-22'!$A$11:$BB$406,10,FALSE)-VLOOKUP($A139,'ПР 01-02.22'!$A$11:$BB$378,10,FALSE)</f>
        <v>0</v>
      </c>
      <c r="K139" s="446"/>
      <c r="L139" s="5">
        <f>VLOOKUP($A139,'ПР 01-02.21'!$A$11:$BB$406,12,FALSE)+VLOOKUP($A139,'ПР 21-22'!$A$11:$BB$406,12,FALSE)-VLOOKUP($A139,'ПР 01-02.22'!$A$11:$BB$378,12,FALSE)</f>
        <v>0</v>
      </c>
      <c r="M139" s="5">
        <f>VLOOKUP($A139,'ПР 01-02.21'!$A$11:$BB$406,13,FALSE)+VLOOKUP($A139,'ПР 21-22'!$A$11:$BB$406,13,FALSE)-VLOOKUP($A139,'ПР 01-02.22'!$A$11:$BB$378,13,FALSE)</f>
        <v>0</v>
      </c>
      <c r="N139" s="38"/>
      <c r="O139" s="5">
        <f>VLOOKUP($A139,'ПР 01-02.21'!$A$11:$BB$406,15,FALSE)+VLOOKUP($A139,'ПР 21-22'!$A$11:$BB$406,15,FALSE)-VLOOKUP($A139,'ПР 01-02.22'!$A$11:$BB$378,15,FALSE)</f>
        <v>0</v>
      </c>
      <c r="P139" s="5">
        <f>VLOOKUP($A139,'ПР 01-02.21'!$A$11:$BB$406,16,FALSE)+VLOOKUP($A139,'ПР 21-22'!$A$11:$BB$406,16,FALSE)-VLOOKUP($A139,'ПР 01-02.22'!$A$11:$BB$378,16,FALSE)</f>
        <v>0</v>
      </c>
      <c r="Q139" s="443"/>
      <c r="R139" s="5">
        <f>VLOOKUP($A139,'ПР 01-02.21'!$A$11:$BB$406,18,FALSE)+VLOOKUP($A139,'ПР 21-22'!$A$11:$BB$406,18,FALSE)-VLOOKUP($A139,'ПР 01-02.22'!$A$11:$BB$378,18,FALSE)</f>
        <v>0</v>
      </c>
      <c r="S139" s="5">
        <f>VLOOKUP($A139,'ПР 01-02.21'!$A$11:$BB$406,19,FALSE)+VLOOKUP($A139,'ПР 21-22'!$A$11:$BB$406,19,FALSE)-VLOOKUP($A139,'ПР 01-02.22'!$A$11:$BB$378,19,FALSE)</f>
        <v>0</v>
      </c>
      <c r="T139" s="444"/>
      <c r="U139" s="5">
        <f>VLOOKUP($A139,'ПР 01-02.21'!$A$11:$BB$406,21,FALSE)+VLOOKUP($A139,'ПР 21-22'!$A$11:$BB$406,21,FALSE)-VLOOKUP($A139,'ПР 01-02.22'!$A$11:$BB$378,21,FALSE)</f>
        <v>0</v>
      </c>
      <c r="V139" s="5"/>
      <c r="W139" s="5">
        <f>VLOOKUP($A139,'ПР 01-02.21'!$A$11:$BB$406,23,FALSE)+VLOOKUP($A139,'ПР 21-22'!$A$11:$BB$406,23,FALSE)-VLOOKUP($A139,'ПР 01-02.22'!$A$11:$BB$378,23,FALSE)</f>
        <v>0</v>
      </c>
      <c r="X139" s="5">
        <f>VLOOKUP($A139,'ПР 01-02.21'!$A$11:$BB$406,24,FALSE)+VLOOKUP($A139,'ПР 21-22'!$A$11:$BB$406,24,FALSE)-VLOOKUP($A139,'ПР 01-02.22'!$A$11:$BB$378,24,FALSE)</f>
        <v>0</v>
      </c>
      <c r="Y139" s="5">
        <f>VLOOKUP($A139,'ПР 01-02.21'!$A$11:$BB$406,25,FALSE)+VLOOKUP($A139,'ПР 21-22'!$A$11:$BB$406,25,FALSE)-VLOOKUP($A139,'ПР 01-02.22'!$A$11:$BB$378,25,FALSE)</f>
        <v>0</v>
      </c>
      <c r="Z139" s="5"/>
      <c r="AA139" s="5">
        <f>VLOOKUP($A139,'ПР 01-02.21'!$A$11:$BB$406,27,FALSE)+VLOOKUP($A139,'ПР 21-22'!$A$11:$BB$406,27,FALSE)-VLOOKUP($A139,'ПР 01-02.22'!$A$11:$BB$378,27,FALSE)</f>
        <v>0</v>
      </c>
      <c r="AB139" s="5">
        <f>VLOOKUP($A139,'ПР 01-02.21'!$A$11:$BB$406,28,FALSE)+VLOOKUP($A139,'ПР 21-22'!$A$11:$BB$406,28,FALSE)-VLOOKUP($A139,'ПР 01-02.22'!$A$11:$BB$378,28,FALSE)</f>
        <v>0</v>
      </c>
      <c r="AC139" s="5">
        <f>VLOOKUP($A139,'ПР 01-02.21'!$A$11:$BB$406,29,FALSE)+VLOOKUP($A139,'ПР 21-22'!$A$11:$BB$406,29,FALSE)-VLOOKUP($A139,'ПР 01-02.22'!$A$11:$BB$378,29,FALSE)</f>
        <v>0</v>
      </c>
      <c r="AD139" s="5">
        <f>VLOOKUP($A139,'ПР 01-02.21'!$A$11:$BB$406,30,FALSE)+VLOOKUP($A139,'ПР 21-22'!$A$11:$BB$406,30,FALSE)-VLOOKUP($A139,'ПР 01-02.22'!$A$11:$BB$378,30,FALSE)</f>
        <v>0</v>
      </c>
      <c r="AE139" s="5">
        <f>VLOOKUP($A139,'ПР 01-02.21'!$A$11:$BB$406,31,FALSE)+VLOOKUP($A139,'ПР 21-22'!$A$11:$BB$406,31,FALSE)-VLOOKUP($A139,'ПР 01-02.22'!$A$11:$BB$378,31,FALSE)</f>
        <v>0</v>
      </c>
      <c r="AF139" s="5">
        <f>VLOOKUP($A139,'ПР 01-02.21'!$A$11:$BB$406,32,FALSE)+VLOOKUP($A139,'ПР 21-22'!$A$11:$BB$406,32,FALSE)-VLOOKUP($A139,'ПР 01-02.22'!$A$11:$BB$378,32,FALSE)</f>
        <v>0</v>
      </c>
      <c r="AG139" s="40"/>
      <c r="AH139" s="5">
        <f>VLOOKUP($A139,'ПР 01-02.21'!$A$11:$BB$406,34,FALSE)+VLOOKUP($A139,'ПР 21-22'!$A$11:$BB$406,34,FALSE)-VLOOKUP($A139,'ПР 01-02.22'!$A$11:$BB$378,34,FALSE)</f>
        <v>0</v>
      </c>
      <c r="AI139" s="5">
        <f>VLOOKUP($A139,'ПР 01-02.21'!$A$11:$BB$406,35,FALSE)+VLOOKUP($A139,'ПР 21-22'!$A$11:$BB$406,35,FALSE)-VLOOKUP($A139,'ПР 01-02.22'!$A$11:$BB$378,35,FALSE)</f>
        <v>0</v>
      </c>
      <c r="AJ139" s="40"/>
      <c r="AK139" s="5">
        <f>VLOOKUP($A139,'ПР 01-02.21'!$A$11:$BB$406,37,FALSE)+VLOOKUP($A139,'ПР 21-22'!$A$11:$BB$406,37,FALSE)-VLOOKUP($A139,'ПР 01-02.22'!$A$11:$BB$378,37,FALSE)</f>
        <v>0</v>
      </c>
      <c r="AL139" s="5">
        <f>VLOOKUP($A139,'ПР 01-02.21'!$A$11:$BB$406,38,FALSE)+VLOOKUP($A139,'ПР 21-22'!$A$11:$BB$406,38,FALSE)-VLOOKUP($A139,'ПР 01-02.22'!$A$11:$BB$378,38,FALSE)</f>
        <v>0</v>
      </c>
      <c r="AM139" s="40"/>
      <c r="AN139" s="5">
        <f>VLOOKUP($A139,'ПР 01-02.21'!$A$11:$BB$406,40,FALSE)+VLOOKUP($A139,'ПР 21-22'!$A$11:$BB$406,40,FALSE)-VLOOKUP($A139,'ПР 01-02.22'!$A$11:$BB$378,40,FALSE)</f>
        <v>0</v>
      </c>
      <c r="AO139" s="5">
        <f>VLOOKUP($A139,'ПР 01-02.21'!$A$11:$BB$406,41,FALSE)+VLOOKUP($A139,'ПР 21-22'!$A$11:$BB$406,41,FALSE)-VLOOKUP($A139,'ПР 01-02.22'!$A$11:$BB$378,41,FALSE)</f>
        <v>0</v>
      </c>
      <c r="AP139" s="40"/>
      <c r="AQ139" s="5">
        <f>VLOOKUP($A139,'ПР 01-02.21'!$A$11:$BB$406,43,FALSE)+VLOOKUP($A139,'ПР 21-22'!$A$11:$BB$406,43,FALSE)-VLOOKUP($A139,'ПР 01-02.22'!$A$11:$BB$378,43,FALSE)</f>
        <v>0</v>
      </c>
      <c r="AR139" s="5">
        <f>VLOOKUP($A139,'ПР 01-02.21'!$A$11:$BB$406,44,FALSE)+VLOOKUP($A139,'ПР 21-22'!$A$11:$BB$406,44,FALSE)-VLOOKUP($A139,'ПР 01-02.22'!$A$11:$BB$378,44,FALSE)</f>
        <v>0</v>
      </c>
      <c r="AS139" s="40"/>
      <c r="AT139" s="5">
        <f>VLOOKUP($A139,'ПР 01-02.21'!$A$11:$BB$406,46,FALSE)+VLOOKUP($A139,'ПР 21-22'!$A$11:$BB$406,46,FALSE)-VLOOKUP($A139,'ПР 01-02.22'!$A$11:$BB$378,46,FALSE)</f>
        <v>0</v>
      </c>
      <c r="AU139" s="5">
        <f>VLOOKUP($A139,'ПР 01-02.21'!$A$11:$BB$406,47,FALSE)+VLOOKUP($A139,'ПР 21-22'!$A$11:$BB$406,47,FALSE)-VLOOKUP($A139,'ПР 01-02.22'!$A$11:$BB$378,47,FALSE)</f>
        <v>0</v>
      </c>
      <c r="AV139" s="40"/>
      <c r="AW139" s="5">
        <f>VLOOKUP($A139,'ПР 01-02.21'!$A$11:$BB$406,49,FALSE)+VLOOKUP($A139,'ПР 21-22'!$A$11:$BB$406,49,FALSE)-VLOOKUP($A139,'ПР 01-02.22'!$A$11:$BB$378,49,FALSE)</f>
        <v>8.9499999999999993</v>
      </c>
      <c r="AX139" s="5">
        <f>VLOOKUP($A139,'ПР 01-02.21'!$A$11:$BB$406,50,FALSE)+VLOOKUP($A139,'ПР 21-22'!$A$11:$BB$406,50,FALSE)-VLOOKUP($A139,'ПР 01-02.22'!$A$11:$BB$378,50,FALSE)</f>
        <v>0</v>
      </c>
      <c r="AY139" s="40"/>
      <c r="AZ139" s="40">
        <f t="shared" si="9"/>
        <v>8.9499999999999993</v>
      </c>
      <c r="BA139" s="40">
        <f t="shared" si="9"/>
        <v>0</v>
      </c>
      <c r="BB139" s="55">
        <f t="shared" si="12"/>
        <v>-8.9499999999999993</v>
      </c>
      <c r="BD139" s="2">
        <v>3</v>
      </c>
      <c r="BF139" s="325">
        <v>150000578</v>
      </c>
    </row>
    <row r="140" spans="1:58" ht="24.9" customHeight="1" x14ac:dyDescent="0.3">
      <c r="A140" s="325">
        <v>150000580</v>
      </c>
      <c r="B140" s="445" t="s">
        <v>85</v>
      </c>
      <c r="C140" s="27">
        <v>1</v>
      </c>
      <c r="D140" s="101" t="s">
        <v>455</v>
      </c>
      <c r="E140" s="279">
        <f>'побудинковий звіт'!E138</f>
        <v>188.4</v>
      </c>
      <c r="F140" s="441">
        <f>'побудинковий звіт'!AS138</f>
        <v>1636.8483150999605</v>
      </c>
      <c r="G140" s="441">
        <f t="shared" si="10"/>
        <v>0</v>
      </c>
      <c r="H140" s="73">
        <f t="shared" si="11"/>
        <v>-1636.8483150999605</v>
      </c>
      <c r="I140" s="5">
        <f>VLOOKUP($A140,'ПР 01-02.21'!$A$11:$BB$406,9,FALSE)+VLOOKUP($A140,'ПР 21-22'!$A$11:$BB$406,9,FALSE)-VLOOKUP($A140,'ПР 01-02.22'!$A$11:$BB$378,9,FALSE)</f>
        <v>0</v>
      </c>
      <c r="J140" s="5">
        <f>VLOOKUP($A140,'ПР 01-02.21'!$A$11:$BB$406,10,FALSE)+VLOOKUP($A140,'ПР 21-22'!$A$11:$BB$406,10,FALSE)-VLOOKUP($A140,'ПР 01-02.22'!$A$11:$BB$378,10,FALSE)</f>
        <v>0</v>
      </c>
      <c r="K140" s="446"/>
      <c r="L140" s="5">
        <f>VLOOKUP($A140,'ПР 01-02.21'!$A$11:$BB$406,12,FALSE)+VLOOKUP($A140,'ПР 21-22'!$A$11:$BB$406,12,FALSE)-VLOOKUP($A140,'ПР 01-02.22'!$A$11:$BB$378,12,FALSE)</f>
        <v>0</v>
      </c>
      <c r="M140" s="5">
        <f>VLOOKUP($A140,'ПР 01-02.21'!$A$11:$BB$406,13,FALSE)+VLOOKUP($A140,'ПР 21-22'!$A$11:$BB$406,13,FALSE)-VLOOKUP($A140,'ПР 01-02.22'!$A$11:$BB$378,13,FALSE)</f>
        <v>0</v>
      </c>
      <c r="N140" s="38"/>
      <c r="O140" s="5">
        <f>VLOOKUP($A140,'ПР 01-02.21'!$A$11:$BB$406,15,FALSE)+VLOOKUP($A140,'ПР 21-22'!$A$11:$BB$406,15,FALSE)-VLOOKUP($A140,'ПР 01-02.22'!$A$11:$BB$378,15,FALSE)</f>
        <v>0</v>
      </c>
      <c r="P140" s="5">
        <f>VLOOKUP($A140,'ПР 01-02.21'!$A$11:$BB$406,16,FALSE)+VLOOKUP($A140,'ПР 21-22'!$A$11:$BB$406,16,FALSE)-VLOOKUP($A140,'ПР 01-02.22'!$A$11:$BB$378,16,FALSE)</f>
        <v>0</v>
      </c>
      <c r="Q140" s="443"/>
      <c r="R140" s="5">
        <f>VLOOKUP($A140,'ПР 01-02.21'!$A$11:$BB$406,18,FALSE)+VLOOKUP($A140,'ПР 21-22'!$A$11:$BB$406,18,FALSE)-VLOOKUP($A140,'ПР 01-02.22'!$A$11:$BB$378,18,FALSE)</f>
        <v>0</v>
      </c>
      <c r="S140" s="5">
        <f>VLOOKUP($A140,'ПР 01-02.21'!$A$11:$BB$406,19,FALSE)+VLOOKUP($A140,'ПР 21-22'!$A$11:$BB$406,19,FALSE)-VLOOKUP($A140,'ПР 01-02.22'!$A$11:$BB$378,19,FALSE)</f>
        <v>0</v>
      </c>
      <c r="T140" s="444"/>
      <c r="U140" s="5">
        <f>VLOOKUP($A140,'ПР 01-02.21'!$A$11:$BB$406,21,FALSE)+VLOOKUP($A140,'ПР 21-22'!$A$11:$BB$406,21,FALSE)-VLOOKUP($A140,'ПР 01-02.22'!$A$11:$BB$378,21,FALSE)</f>
        <v>0</v>
      </c>
      <c r="V140" s="5"/>
      <c r="W140" s="5">
        <f>VLOOKUP($A140,'ПР 01-02.21'!$A$11:$BB$406,23,FALSE)+VLOOKUP($A140,'ПР 21-22'!$A$11:$BB$406,23,FALSE)-VLOOKUP($A140,'ПР 01-02.22'!$A$11:$BB$378,23,FALSE)</f>
        <v>0</v>
      </c>
      <c r="X140" s="5">
        <f>VLOOKUP($A140,'ПР 01-02.21'!$A$11:$BB$406,24,FALSE)+VLOOKUP($A140,'ПР 21-22'!$A$11:$BB$406,24,FALSE)-VLOOKUP($A140,'ПР 01-02.22'!$A$11:$BB$378,24,FALSE)</f>
        <v>0</v>
      </c>
      <c r="Y140" s="5">
        <f>VLOOKUP($A140,'ПР 01-02.21'!$A$11:$BB$406,25,FALSE)+VLOOKUP($A140,'ПР 21-22'!$A$11:$BB$406,25,FALSE)-VLOOKUP($A140,'ПР 01-02.22'!$A$11:$BB$378,25,FALSE)</f>
        <v>0</v>
      </c>
      <c r="Z140" s="5"/>
      <c r="AA140" s="5">
        <f>VLOOKUP($A140,'ПР 01-02.21'!$A$11:$BB$406,27,FALSE)+VLOOKUP($A140,'ПР 21-22'!$A$11:$BB$406,27,FALSE)-VLOOKUP($A140,'ПР 01-02.22'!$A$11:$BB$378,27,FALSE)</f>
        <v>0</v>
      </c>
      <c r="AB140" s="5">
        <f>VLOOKUP($A140,'ПР 01-02.21'!$A$11:$BB$406,28,FALSE)+VLOOKUP($A140,'ПР 21-22'!$A$11:$BB$406,28,FALSE)-VLOOKUP($A140,'ПР 01-02.22'!$A$11:$BB$378,28,FALSE)</f>
        <v>0</v>
      </c>
      <c r="AC140" s="5">
        <f>VLOOKUP($A140,'ПР 01-02.21'!$A$11:$BB$406,29,FALSE)+VLOOKUP($A140,'ПР 21-22'!$A$11:$BB$406,29,FALSE)-VLOOKUP($A140,'ПР 01-02.22'!$A$11:$BB$378,29,FALSE)</f>
        <v>0</v>
      </c>
      <c r="AD140" s="5">
        <f>VLOOKUP($A140,'ПР 01-02.21'!$A$11:$BB$406,30,FALSE)+VLOOKUP($A140,'ПР 21-22'!$A$11:$BB$406,30,FALSE)-VLOOKUP($A140,'ПР 01-02.22'!$A$11:$BB$378,30,FALSE)</f>
        <v>0</v>
      </c>
      <c r="AE140" s="5">
        <f>VLOOKUP($A140,'ПР 01-02.21'!$A$11:$BB$406,31,FALSE)+VLOOKUP($A140,'ПР 21-22'!$A$11:$BB$406,31,FALSE)-VLOOKUP($A140,'ПР 01-02.22'!$A$11:$BB$378,31,FALSE)</f>
        <v>0</v>
      </c>
      <c r="AF140" s="5">
        <f>VLOOKUP($A140,'ПР 01-02.21'!$A$11:$BB$406,32,FALSE)+VLOOKUP($A140,'ПР 21-22'!$A$11:$BB$406,32,FALSE)-VLOOKUP($A140,'ПР 01-02.22'!$A$11:$BB$378,32,FALSE)</f>
        <v>0</v>
      </c>
      <c r="AG140" s="40"/>
      <c r="AH140" s="5">
        <f>VLOOKUP($A140,'ПР 01-02.21'!$A$11:$BB$406,34,FALSE)+VLOOKUP($A140,'ПР 21-22'!$A$11:$BB$406,34,FALSE)-VLOOKUP($A140,'ПР 01-02.22'!$A$11:$BB$378,34,FALSE)</f>
        <v>0</v>
      </c>
      <c r="AI140" s="5">
        <f>VLOOKUP($A140,'ПР 01-02.21'!$A$11:$BB$406,35,FALSE)+VLOOKUP($A140,'ПР 21-22'!$A$11:$BB$406,35,FALSE)-VLOOKUP($A140,'ПР 01-02.22'!$A$11:$BB$378,35,FALSE)</f>
        <v>0</v>
      </c>
      <c r="AJ140" s="40"/>
      <c r="AK140" s="5">
        <f>VLOOKUP($A140,'ПР 01-02.21'!$A$11:$BB$406,37,FALSE)+VLOOKUP($A140,'ПР 21-22'!$A$11:$BB$406,37,FALSE)-VLOOKUP($A140,'ПР 01-02.22'!$A$11:$BB$378,37,FALSE)</f>
        <v>0</v>
      </c>
      <c r="AL140" s="5">
        <f>VLOOKUP($A140,'ПР 01-02.21'!$A$11:$BB$406,38,FALSE)+VLOOKUP($A140,'ПР 21-22'!$A$11:$BB$406,38,FALSE)-VLOOKUP($A140,'ПР 01-02.22'!$A$11:$BB$378,38,FALSE)</f>
        <v>0</v>
      </c>
      <c r="AM140" s="40"/>
      <c r="AN140" s="5">
        <f>VLOOKUP($A140,'ПР 01-02.21'!$A$11:$BB$406,40,FALSE)+VLOOKUP($A140,'ПР 21-22'!$A$11:$BB$406,40,FALSE)-VLOOKUP($A140,'ПР 01-02.22'!$A$11:$BB$378,40,FALSE)</f>
        <v>0</v>
      </c>
      <c r="AO140" s="5">
        <f>VLOOKUP($A140,'ПР 01-02.21'!$A$11:$BB$406,41,FALSE)+VLOOKUP($A140,'ПР 21-22'!$A$11:$BB$406,41,FALSE)-VLOOKUP($A140,'ПР 01-02.22'!$A$11:$BB$378,41,FALSE)</f>
        <v>0</v>
      </c>
      <c r="AP140" s="40"/>
      <c r="AQ140" s="5">
        <f>VLOOKUP($A140,'ПР 01-02.21'!$A$11:$BB$406,43,FALSE)+VLOOKUP($A140,'ПР 21-22'!$A$11:$BB$406,43,FALSE)-VLOOKUP($A140,'ПР 01-02.22'!$A$11:$BB$378,43,FALSE)</f>
        <v>0</v>
      </c>
      <c r="AR140" s="5">
        <f>VLOOKUP($A140,'ПР 01-02.21'!$A$11:$BB$406,44,FALSE)+VLOOKUP($A140,'ПР 21-22'!$A$11:$BB$406,44,FALSE)-VLOOKUP($A140,'ПР 01-02.22'!$A$11:$BB$378,44,FALSE)</f>
        <v>0</v>
      </c>
      <c r="AS140" s="40"/>
      <c r="AT140" s="5">
        <f>VLOOKUP($A140,'ПР 01-02.21'!$A$11:$BB$406,46,FALSE)+VLOOKUP($A140,'ПР 21-22'!$A$11:$BB$406,46,FALSE)-VLOOKUP($A140,'ПР 01-02.22'!$A$11:$BB$378,46,FALSE)</f>
        <v>0</v>
      </c>
      <c r="AU140" s="5">
        <f>VLOOKUP($A140,'ПР 01-02.21'!$A$11:$BB$406,47,FALSE)+VLOOKUP($A140,'ПР 21-22'!$A$11:$BB$406,47,FALSE)-VLOOKUP($A140,'ПР 01-02.22'!$A$11:$BB$378,47,FALSE)</f>
        <v>0</v>
      </c>
      <c r="AV140" s="40"/>
      <c r="AW140" s="5">
        <f>VLOOKUP($A140,'ПР 01-02.21'!$A$11:$BB$406,49,FALSE)+VLOOKUP($A140,'ПР 21-22'!$A$11:$BB$406,49,FALSE)-VLOOKUP($A140,'ПР 01-02.22'!$A$11:$BB$378,49,FALSE)</f>
        <v>9.5360000000000014</v>
      </c>
      <c r="AX140" s="5">
        <f>VLOOKUP($A140,'ПР 01-02.21'!$A$11:$BB$406,50,FALSE)+VLOOKUP($A140,'ПР 21-22'!$A$11:$BB$406,50,FALSE)-VLOOKUP($A140,'ПР 01-02.22'!$A$11:$BB$378,50,FALSE)</f>
        <v>0</v>
      </c>
      <c r="AY140" s="40"/>
      <c r="AZ140" s="40">
        <f t="shared" si="9"/>
        <v>9.5360000000000014</v>
      </c>
      <c r="BA140" s="40">
        <f t="shared" si="9"/>
        <v>0</v>
      </c>
      <c r="BB140" s="55">
        <f t="shared" si="12"/>
        <v>-9.5360000000000014</v>
      </c>
      <c r="BD140" s="2">
        <v>3</v>
      </c>
      <c r="BF140" s="325">
        <v>150000580</v>
      </c>
    </row>
    <row r="141" spans="1:58" ht="24.9" customHeight="1" x14ac:dyDescent="0.3">
      <c r="A141" s="325">
        <v>150001054</v>
      </c>
      <c r="B141" s="445" t="s">
        <v>86</v>
      </c>
      <c r="C141" s="27">
        <v>1</v>
      </c>
      <c r="D141" s="101" t="s">
        <v>455</v>
      </c>
      <c r="E141" s="279">
        <f>'побудинковий звіт'!E139</f>
        <v>195.6</v>
      </c>
      <c r="F141" s="441">
        <f>'побудинковий звіт'!AS139</f>
        <v>1788.1952085636353</v>
      </c>
      <c r="G141" s="441">
        <f t="shared" si="10"/>
        <v>0</v>
      </c>
      <c r="H141" s="73">
        <f t="shared" si="11"/>
        <v>-1788.1952085636353</v>
      </c>
      <c r="I141" s="5">
        <f>VLOOKUP($A141,'ПР 01-02.21'!$A$11:$BB$406,9,FALSE)+VLOOKUP($A141,'ПР 21-22'!$A$11:$BB$406,9,FALSE)-VLOOKUP($A141,'ПР 01-02.22'!$A$11:$BB$378,9,FALSE)</f>
        <v>0</v>
      </c>
      <c r="J141" s="5">
        <f>VLOOKUP($A141,'ПР 01-02.21'!$A$11:$BB$406,10,FALSE)+VLOOKUP($A141,'ПР 21-22'!$A$11:$BB$406,10,FALSE)-VLOOKUP($A141,'ПР 01-02.22'!$A$11:$BB$378,10,FALSE)</f>
        <v>0</v>
      </c>
      <c r="K141" s="446"/>
      <c r="L141" s="5">
        <f>VLOOKUP($A141,'ПР 01-02.21'!$A$11:$BB$406,12,FALSE)+VLOOKUP($A141,'ПР 21-22'!$A$11:$BB$406,12,FALSE)-VLOOKUP($A141,'ПР 01-02.22'!$A$11:$BB$378,12,FALSE)</f>
        <v>0</v>
      </c>
      <c r="M141" s="5">
        <f>VLOOKUP($A141,'ПР 01-02.21'!$A$11:$BB$406,13,FALSE)+VLOOKUP($A141,'ПР 21-22'!$A$11:$BB$406,13,FALSE)-VLOOKUP($A141,'ПР 01-02.22'!$A$11:$BB$378,13,FALSE)</f>
        <v>0</v>
      </c>
      <c r="N141" s="38"/>
      <c r="O141" s="5">
        <f>VLOOKUP($A141,'ПР 01-02.21'!$A$11:$BB$406,15,FALSE)+VLOOKUP($A141,'ПР 21-22'!$A$11:$BB$406,15,FALSE)-VLOOKUP($A141,'ПР 01-02.22'!$A$11:$BB$378,15,FALSE)</f>
        <v>0</v>
      </c>
      <c r="P141" s="5">
        <f>VLOOKUP($A141,'ПР 01-02.21'!$A$11:$BB$406,16,FALSE)+VLOOKUP($A141,'ПР 21-22'!$A$11:$BB$406,16,FALSE)-VLOOKUP($A141,'ПР 01-02.22'!$A$11:$BB$378,16,FALSE)</f>
        <v>0</v>
      </c>
      <c r="Q141" s="443"/>
      <c r="R141" s="5">
        <f>VLOOKUP($A141,'ПР 01-02.21'!$A$11:$BB$406,18,FALSE)+VLOOKUP($A141,'ПР 21-22'!$A$11:$BB$406,18,FALSE)-VLOOKUP($A141,'ПР 01-02.22'!$A$11:$BB$378,18,FALSE)</f>
        <v>0</v>
      </c>
      <c r="S141" s="5">
        <f>VLOOKUP($A141,'ПР 01-02.21'!$A$11:$BB$406,19,FALSE)+VLOOKUP($A141,'ПР 21-22'!$A$11:$BB$406,19,FALSE)-VLOOKUP($A141,'ПР 01-02.22'!$A$11:$BB$378,19,FALSE)</f>
        <v>0</v>
      </c>
      <c r="T141" s="444"/>
      <c r="U141" s="5">
        <f>VLOOKUP($A141,'ПР 01-02.21'!$A$11:$BB$406,21,FALSE)+VLOOKUP($A141,'ПР 21-22'!$A$11:$BB$406,21,FALSE)-VLOOKUP($A141,'ПР 01-02.22'!$A$11:$BB$378,21,FALSE)</f>
        <v>0</v>
      </c>
      <c r="V141" s="5"/>
      <c r="W141" s="5">
        <f>VLOOKUP($A141,'ПР 01-02.21'!$A$11:$BB$406,23,FALSE)+VLOOKUP($A141,'ПР 21-22'!$A$11:$BB$406,23,FALSE)-VLOOKUP($A141,'ПР 01-02.22'!$A$11:$BB$378,23,FALSE)</f>
        <v>0</v>
      </c>
      <c r="X141" s="5">
        <f>VLOOKUP($A141,'ПР 01-02.21'!$A$11:$BB$406,24,FALSE)+VLOOKUP($A141,'ПР 21-22'!$A$11:$BB$406,24,FALSE)-VLOOKUP($A141,'ПР 01-02.22'!$A$11:$BB$378,24,FALSE)</f>
        <v>0</v>
      </c>
      <c r="Y141" s="5">
        <f>VLOOKUP($A141,'ПР 01-02.21'!$A$11:$BB$406,25,FALSE)+VLOOKUP($A141,'ПР 21-22'!$A$11:$BB$406,25,FALSE)-VLOOKUP($A141,'ПР 01-02.22'!$A$11:$BB$378,25,FALSE)</f>
        <v>0</v>
      </c>
      <c r="Z141" s="5"/>
      <c r="AA141" s="5">
        <f>VLOOKUP($A141,'ПР 01-02.21'!$A$11:$BB$406,27,FALSE)+VLOOKUP($A141,'ПР 21-22'!$A$11:$BB$406,27,FALSE)-VLOOKUP($A141,'ПР 01-02.22'!$A$11:$BB$378,27,FALSE)</f>
        <v>0</v>
      </c>
      <c r="AB141" s="5">
        <f>VLOOKUP($A141,'ПР 01-02.21'!$A$11:$BB$406,28,FALSE)+VLOOKUP($A141,'ПР 21-22'!$A$11:$BB$406,28,FALSE)-VLOOKUP($A141,'ПР 01-02.22'!$A$11:$BB$378,28,FALSE)</f>
        <v>0</v>
      </c>
      <c r="AC141" s="5">
        <f>VLOOKUP($A141,'ПР 01-02.21'!$A$11:$BB$406,29,FALSE)+VLOOKUP($A141,'ПР 21-22'!$A$11:$BB$406,29,FALSE)-VLOOKUP($A141,'ПР 01-02.22'!$A$11:$BB$378,29,FALSE)</f>
        <v>0</v>
      </c>
      <c r="AD141" s="5">
        <f>VLOOKUP($A141,'ПР 01-02.21'!$A$11:$BB$406,30,FALSE)+VLOOKUP($A141,'ПР 21-22'!$A$11:$BB$406,30,FALSE)-VLOOKUP($A141,'ПР 01-02.22'!$A$11:$BB$378,30,FALSE)</f>
        <v>0</v>
      </c>
      <c r="AE141" s="5">
        <f>VLOOKUP($A141,'ПР 01-02.21'!$A$11:$BB$406,31,FALSE)+VLOOKUP($A141,'ПР 21-22'!$A$11:$BB$406,31,FALSE)-VLOOKUP($A141,'ПР 01-02.22'!$A$11:$BB$378,31,FALSE)</f>
        <v>0</v>
      </c>
      <c r="AF141" s="5">
        <f>VLOOKUP($A141,'ПР 01-02.21'!$A$11:$BB$406,32,FALSE)+VLOOKUP($A141,'ПР 21-22'!$A$11:$BB$406,32,FALSE)-VLOOKUP($A141,'ПР 01-02.22'!$A$11:$BB$378,32,FALSE)</f>
        <v>0</v>
      </c>
      <c r="AG141" s="40"/>
      <c r="AH141" s="5">
        <f>VLOOKUP($A141,'ПР 01-02.21'!$A$11:$BB$406,34,FALSE)+VLOOKUP($A141,'ПР 21-22'!$A$11:$BB$406,34,FALSE)-VLOOKUP($A141,'ПР 01-02.22'!$A$11:$BB$378,34,FALSE)</f>
        <v>0</v>
      </c>
      <c r="AI141" s="5">
        <f>VLOOKUP($A141,'ПР 01-02.21'!$A$11:$BB$406,35,FALSE)+VLOOKUP($A141,'ПР 21-22'!$A$11:$BB$406,35,FALSE)-VLOOKUP($A141,'ПР 01-02.22'!$A$11:$BB$378,35,FALSE)</f>
        <v>0</v>
      </c>
      <c r="AJ141" s="40"/>
      <c r="AK141" s="5">
        <f>VLOOKUP($A141,'ПР 01-02.21'!$A$11:$BB$406,37,FALSE)+VLOOKUP($A141,'ПР 21-22'!$A$11:$BB$406,37,FALSE)-VLOOKUP($A141,'ПР 01-02.22'!$A$11:$BB$378,37,FALSE)</f>
        <v>0</v>
      </c>
      <c r="AL141" s="5">
        <f>VLOOKUP($A141,'ПР 01-02.21'!$A$11:$BB$406,38,FALSE)+VLOOKUP($A141,'ПР 21-22'!$A$11:$BB$406,38,FALSE)-VLOOKUP($A141,'ПР 01-02.22'!$A$11:$BB$378,38,FALSE)</f>
        <v>0</v>
      </c>
      <c r="AM141" s="40"/>
      <c r="AN141" s="5">
        <f>VLOOKUP($A141,'ПР 01-02.21'!$A$11:$BB$406,40,FALSE)+VLOOKUP($A141,'ПР 21-22'!$A$11:$BB$406,40,FALSE)-VLOOKUP($A141,'ПР 01-02.22'!$A$11:$BB$378,40,FALSE)</f>
        <v>0</v>
      </c>
      <c r="AO141" s="5">
        <f>VLOOKUP($A141,'ПР 01-02.21'!$A$11:$BB$406,41,FALSE)+VLOOKUP($A141,'ПР 21-22'!$A$11:$BB$406,41,FALSE)-VLOOKUP($A141,'ПР 01-02.22'!$A$11:$BB$378,41,FALSE)</f>
        <v>0</v>
      </c>
      <c r="AP141" s="40"/>
      <c r="AQ141" s="5">
        <f>VLOOKUP($A141,'ПР 01-02.21'!$A$11:$BB$406,43,FALSE)+VLOOKUP($A141,'ПР 21-22'!$A$11:$BB$406,43,FALSE)-VLOOKUP($A141,'ПР 01-02.22'!$A$11:$BB$378,43,FALSE)</f>
        <v>0</v>
      </c>
      <c r="AR141" s="5">
        <f>VLOOKUP($A141,'ПР 01-02.21'!$A$11:$BB$406,44,FALSE)+VLOOKUP($A141,'ПР 21-22'!$A$11:$BB$406,44,FALSE)-VLOOKUP($A141,'ПР 01-02.22'!$A$11:$BB$378,44,FALSE)</f>
        <v>0</v>
      </c>
      <c r="AS141" s="40"/>
      <c r="AT141" s="5">
        <f>VLOOKUP($A141,'ПР 01-02.21'!$A$11:$BB$406,46,FALSE)+VLOOKUP($A141,'ПР 21-22'!$A$11:$BB$406,46,FALSE)-VLOOKUP($A141,'ПР 01-02.22'!$A$11:$BB$378,46,FALSE)</f>
        <v>0</v>
      </c>
      <c r="AU141" s="5">
        <f>VLOOKUP($A141,'ПР 01-02.21'!$A$11:$BB$406,47,FALSE)+VLOOKUP($A141,'ПР 21-22'!$A$11:$BB$406,47,FALSE)-VLOOKUP($A141,'ПР 01-02.22'!$A$11:$BB$378,47,FALSE)</f>
        <v>0</v>
      </c>
      <c r="AV141" s="40"/>
      <c r="AW141" s="5">
        <f>VLOOKUP($A141,'ПР 01-02.21'!$A$11:$BB$406,49,FALSE)+VLOOKUP($A141,'ПР 21-22'!$A$11:$BB$406,49,FALSE)-VLOOKUP($A141,'ПР 01-02.22'!$A$11:$BB$378,49,FALSE)</f>
        <v>9.8239999999999998</v>
      </c>
      <c r="AX141" s="5">
        <f>VLOOKUP($A141,'ПР 01-02.21'!$A$11:$BB$406,50,FALSE)+VLOOKUP($A141,'ПР 21-22'!$A$11:$BB$406,50,FALSE)-VLOOKUP($A141,'ПР 01-02.22'!$A$11:$BB$378,50,FALSE)</f>
        <v>0</v>
      </c>
      <c r="AY141" s="40"/>
      <c r="AZ141" s="40">
        <f t="shared" si="9"/>
        <v>9.8239999999999998</v>
      </c>
      <c r="BA141" s="40">
        <f t="shared" si="9"/>
        <v>0</v>
      </c>
      <c r="BB141" s="55">
        <f t="shared" si="12"/>
        <v>-9.8239999999999998</v>
      </c>
      <c r="BD141" s="2">
        <v>3</v>
      </c>
      <c r="BF141" s="325">
        <v>150001054</v>
      </c>
    </row>
    <row r="142" spans="1:58" ht="24.9" customHeight="1" x14ac:dyDescent="0.3">
      <c r="A142" s="325">
        <v>150000634</v>
      </c>
      <c r="B142" s="445" t="s">
        <v>87</v>
      </c>
      <c r="C142" s="27">
        <v>1</v>
      </c>
      <c r="D142" s="101" t="s">
        <v>455</v>
      </c>
      <c r="E142" s="279">
        <f>'побудинковий звіт'!E140</f>
        <v>196.35</v>
      </c>
      <c r="F142" s="441">
        <f>'побудинковий звіт'!AS140</f>
        <v>2244.7670473131934</v>
      </c>
      <c r="G142" s="441">
        <f t="shared" si="10"/>
        <v>707</v>
      </c>
      <c r="H142" s="73">
        <f t="shared" si="11"/>
        <v>-1537.7670473131934</v>
      </c>
      <c r="I142" s="5">
        <f>VLOOKUP($A142,'ПР 01-02.21'!$A$11:$BB$406,9,FALSE)+VLOOKUP($A142,'ПР 21-22'!$A$11:$BB$406,9,FALSE)-VLOOKUP($A142,'ПР 01-02.22'!$A$11:$BB$378,9,FALSE)</f>
        <v>4</v>
      </c>
      <c r="J142" s="5">
        <f>VLOOKUP($A142,'ПР 01-02.21'!$A$11:$BB$406,10,FALSE)+VLOOKUP($A142,'ПР 21-22'!$A$11:$BB$406,10,FALSE)-VLOOKUP($A142,'ПР 01-02.22'!$A$11:$BB$378,10,FALSE)</f>
        <v>707</v>
      </c>
      <c r="K142" s="446"/>
      <c r="L142" s="5">
        <f>VLOOKUP($A142,'ПР 01-02.21'!$A$11:$BB$406,12,FALSE)+VLOOKUP($A142,'ПР 21-22'!$A$11:$BB$406,12,FALSE)-VLOOKUP($A142,'ПР 01-02.22'!$A$11:$BB$378,12,FALSE)</f>
        <v>0</v>
      </c>
      <c r="M142" s="5">
        <f>VLOOKUP($A142,'ПР 01-02.21'!$A$11:$BB$406,13,FALSE)+VLOOKUP($A142,'ПР 21-22'!$A$11:$BB$406,13,FALSE)-VLOOKUP($A142,'ПР 01-02.22'!$A$11:$BB$378,13,FALSE)</f>
        <v>0</v>
      </c>
      <c r="N142" s="38"/>
      <c r="O142" s="5">
        <f>VLOOKUP($A142,'ПР 01-02.21'!$A$11:$BB$406,15,FALSE)+VLOOKUP($A142,'ПР 21-22'!$A$11:$BB$406,15,FALSE)-VLOOKUP($A142,'ПР 01-02.22'!$A$11:$BB$378,15,FALSE)</f>
        <v>0</v>
      </c>
      <c r="P142" s="5">
        <f>VLOOKUP($A142,'ПР 01-02.21'!$A$11:$BB$406,16,FALSE)+VLOOKUP($A142,'ПР 21-22'!$A$11:$BB$406,16,FALSE)-VLOOKUP($A142,'ПР 01-02.22'!$A$11:$BB$378,16,FALSE)</f>
        <v>0</v>
      </c>
      <c r="Q142" s="443"/>
      <c r="R142" s="5">
        <f>VLOOKUP($A142,'ПР 01-02.21'!$A$11:$BB$406,18,FALSE)+VLOOKUP($A142,'ПР 21-22'!$A$11:$BB$406,18,FALSE)-VLOOKUP($A142,'ПР 01-02.22'!$A$11:$BB$378,18,FALSE)</f>
        <v>0</v>
      </c>
      <c r="S142" s="5">
        <f>VLOOKUP($A142,'ПР 01-02.21'!$A$11:$BB$406,19,FALSE)+VLOOKUP($A142,'ПР 21-22'!$A$11:$BB$406,19,FALSE)-VLOOKUP($A142,'ПР 01-02.22'!$A$11:$BB$378,19,FALSE)</f>
        <v>0</v>
      </c>
      <c r="T142" s="444"/>
      <c r="U142" s="5">
        <f>VLOOKUP($A142,'ПР 01-02.21'!$A$11:$BB$406,21,FALSE)+VLOOKUP($A142,'ПР 21-22'!$A$11:$BB$406,21,FALSE)-VLOOKUP($A142,'ПР 01-02.22'!$A$11:$BB$378,21,FALSE)</f>
        <v>0</v>
      </c>
      <c r="V142" s="5"/>
      <c r="W142" s="5">
        <f>VLOOKUP($A142,'ПР 01-02.21'!$A$11:$BB$406,23,FALSE)+VLOOKUP($A142,'ПР 21-22'!$A$11:$BB$406,23,FALSE)-VLOOKUP($A142,'ПР 01-02.22'!$A$11:$BB$378,23,FALSE)</f>
        <v>0</v>
      </c>
      <c r="X142" s="5">
        <f>VLOOKUP($A142,'ПР 01-02.21'!$A$11:$BB$406,24,FALSE)+VLOOKUP($A142,'ПР 21-22'!$A$11:$BB$406,24,FALSE)-VLOOKUP($A142,'ПР 01-02.22'!$A$11:$BB$378,24,FALSE)</f>
        <v>0</v>
      </c>
      <c r="Y142" s="5">
        <f>VLOOKUP($A142,'ПР 01-02.21'!$A$11:$BB$406,25,FALSE)+VLOOKUP($A142,'ПР 21-22'!$A$11:$BB$406,25,FALSE)-VLOOKUP($A142,'ПР 01-02.22'!$A$11:$BB$378,25,FALSE)</f>
        <v>0</v>
      </c>
      <c r="Z142" s="5"/>
      <c r="AA142" s="5">
        <f>VLOOKUP($A142,'ПР 01-02.21'!$A$11:$BB$406,27,FALSE)+VLOOKUP($A142,'ПР 21-22'!$A$11:$BB$406,27,FALSE)-VLOOKUP($A142,'ПР 01-02.22'!$A$11:$BB$378,27,FALSE)</f>
        <v>0</v>
      </c>
      <c r="AB142" s="5">
        <f>VLOOKUP($A142,'ПР 01-02.21'!$A$11:$BB$406,28,FALSE)+VLOOKUP($A142,'ПР 21-22'!$A$11:$BB$406,28,FALSE)-VLOOKUP($A142,'ПР 01-02.22'!$A$11:$BB$378,28,FALSE)</f>
        <v>0</v>
      </c>
      <c r="AC142" s="5">
        <f>VLOOKUP($A142,'ПР 01-02.21'!$A$11:$BB$406,29,FALSE)+VLOOKUP($A142,'ПР 21-22'!$A$11:$BB$406,29,FALSE)-VLOOKUP($A142,'ПР 01-02.22'!$A$11:$BB$378,29,FALSE)</f>
        <v>0</v>
      </c>
      <c r="AD142" s="5">
        <f>VLOOKUP($A142,'ПР 01-02.21'!$A$11:$BB$406,30,FALSE)+VLOOKUP($A142,'ПР 21-22'!$A$11:$BB$406,30,FALSE)-VLOOKUP($A142,'ПР 01-02.22'!$A$11:$BB$378,30,FALSE)</f>
        <v>0</v>
      </c>
      <c r="AE142" s="5">
        <f>VLOOKUP($A142,'ПР 01-02.21'!$A$11:$BB$406,31,FALSE)+VLOOKUP($A142,'ПР 21-22'!$A$11:$BB$406,31,FALSE)-VLOOKUP($A142,'ПР 01-02.22'!$A$11:$BB$378,31,FALSE)</f>
        <v>0</v>
      </c>
      <c r="AF142" s="5">
        <f>VLOOKUP($A142,'ПР 01-02.21'!$A$11:$BB$406,32,FALSE)+VLOOKUP($A142,'ПР 21-22'!$A$11:$BB$406,32,FALSE)-VLOOKUP($A142,'ПР 01-02.22'!$A$11:$BB$378,32,FALSE)</f>
        <v>0</v>
      </c>
      <c r="AG142" s="40"/>
      <c r="AH142" s="5">
        <f>VLOOKUP($A142,'ПР 01-02.21'!$A$11:$BB$406,34,FALSE)+VLOOKUP($A142,'ПР 21-22'!$A$11:$BB$406,34,FALSE)-VLOOKUP($A142,'ПР 01-02.22'!$A$11:$BB$378,34,FALSE)</f>
        <v>0</v>
      </c>
      <c r="AI142" s="5">
        <f>VLOOKUP($A142,'ПР 01-02.21'!$A$11:$BB$406,35,FALSE)+VLOOKUP($A142,'ПР 21-22'!$A$11:$BB$406,35,FALSE)-VLOOKUP($A142,'ПР 01-02.22'!$A$11:$BB$378,35,FALSE)</f>
        <v>0</v>
      </c>
      <c r="AJ142" s="40"/>
      <c r="AK142" s="5">
        <f>VLOOKUP($A142,'ПР 01-02.21'!$A$11:$BB$406,37,FALSE)+VLOOKUP($A142,'ПР 21-22'!$A$11:$BB$406,37,FALSE)-VLOOKUP($A142,'ПР 01-02.22'!$A$11:$BB$378,37,FALSE)</f>
        <v>0</v>
      </c>
      <c r="AL142" s="5">
        <f>VLOOKUP($A142,'ПР 01-02.21'!$A$11:$BB$406,38,FALSE)+VLOOKUP($A142,'ПР 21-22'!$A$11:$BB$406,38,FALSE)-VLOOKUP($A142,'ПР 01-02.22'!$A$11:$BB$378,38,FALSE)</f>
        <v>0</v>
      </c>
      <c r="AM142" s="40"/>
      <c r="AN142" s="5">
        <f>VLOOKUP($A142,'ПР 01-02.21'!$A$11:$BB$406,40,FALSE)+VLOOKUP($A142,'ПР 21-22'!$A$11:$BB$406,40,FALSE)-VLOOKUP($A142,'ПР 01-02.22'!$A$11:$BB$378,40,FALSE)</f>
        <v>0</v>
      </c>
      <c r="AO142" s="5">
        <f>VLOOKUP($A142,'ПР 01-02.21'!$A$11:$BB$406,41,FALSE)+VLOOKUP($A142,'ПР 21-22'!$A$11:$BB$406,41,FALSE)-VLOOKUP($A142,'ПР 01-02.22'!$A$11:$BB$378,41,FALSE)</f>
        <v>0</v>
      </c>
      <c r="AP142" s="40"/>
      <c r="AQ142" s="5">
        <f>VLOOKUP($A142,'ПР 01-02.21'!$A$11:$BB$406,43,FALSE)+VLOOKUP($A142,'ПР 21-22'!$A$11:$BB$406,43,FALSE)-VLOOKUP($A142,'ПР 01-02.22'!$A$11:$BB$378,43,FALSE)</f>
        <v>0</v>
      </c>
      <c r="AR142" s="5">
        <f>VLOOKUP($A142,'ПР 01-02.21'!$A$11:$BB$406,44,FALSE)+VLOOKUP($A142,'ПР 21-22'!$A$11:$BB$406,44,FALSE)-VLOOKUP($A142,'ПР 01-02.22'!$A$11:$BB$378,44,FALSE)</f>
        <v>0</v>
      </c>
      <c r="AS142" s="40"/>
      <c r="AT142" s="5">
        <f>VLOOKUP($A142,'ПР 01-02.21'!$A$11:$BB$406,46,FALSE)+VLOOKUP($A142,'ПР 21-22'!$A$11:$BB$406,46,FALSE)-VLOOKUP($A142,'ПР 01-02.22'!$A$11:$BB$378,46,FALSE)</f>
        <v>0</v>
      </c>
      <c r="AU142" s="5">
        <f>VLOOKUP($A142,'ПР 01-02.21'!$A$11:$BB$406,47,FALSE)+VLOOKUP($A142,'ПР 21-22'!$A$11:$BB$406,47,FALSE)-VLOOKUP($A142,'ПР 01-02.22'!$A$11:$BB$378,47,FALSE)</f>
        <v>0</v>
      </c>
      <c r="AV142" s="40"/>
      <c r="AW142" s="5">
        <f>VLOOKUP($A142,'ПР 01-02.21'!$A$11:$BB$406,49,FALSE)+VLOOKUP($A142,'ПР 21-22'!$A$11:$BB$406,49,FALSE)-VLOOKUP($A142,'ПР 01-02.22'!$A$11:$BB$378,49,FALSE)</f>
        <v>9.8539999999999992</v>
      </c>
      <c r="AX142" s="5">
        <f>VLOOKUP($A142,'ПР 01-02.21'!$A$11:$BB$406,50,FALSE)+VLOOKUP($A142,'ПР 21-22'!$A$11:$BB$406,50,FALSE)-VLOOKUP($A142,'ПР 01-02.22'!$A$11:$BB$378,50,FALSE)</f>
        <v>0</v>
      </c>
      <c r="AY142" s="40"/>
      <c r="AZ142" s="40">
        <f t="shared" si="9"/>
        <v>9.8539999999999992</v>
      </c>
      <c r="BA142" s="40">
        <f t="shared" si="9"/>
        <v>0</v>
      </c>
      <c r="BB142" s="55">
        <f t="shared" si="12"/>
        <v>-9.8539999999999992</v>
      </c>
      <c r="BD142" s="2">
        <v>3</v>
      </c>
      <c r="BF142" s="325">
        <v>150000634</v>
      </c>
    </row>
    <row r="143" spans="1:58" ht="24.9" customHeight="1" x14ac:dyDescent="0.3">
      <c r="A143" s="325">
        <v>150000636</v>
      </c>
      <c r="B143" s="445" t="s">
        <v>259</v>
      </c>
      <c r="C143" s="27">
        <v>5</v>
      </c>
      <c r="D143" s="101" t="s">
        <v>455</v>
      </c>
      <c r="E143" s="279">
        <f>'побудинковий звіт'!E141</f>
        <v>3175.8</v>
      </c>
      <c r="F143" s="441">
        <f>'побудинковий звіт'!AS141</f>
        <v>33239.804850299435</v>
      </c>
      <c r="G143" s="441">
        <f t="shared" si="10"/>
        <v>6268</v>
      </c>
      <c r="H143" s="73">
        <f t="shared" si="11"/>
        <v>-26971.804850299435</v>
      </c>
      <c r="I143" s="5">
        <f>VLOOKUP($A143,'ПР 01-02.21'!$A$11:$BB$406,9,FALSE)+VLOOKUP($A143,'ПР 21-22'!$A$11:$BB$406,9,FALSE)-VLOOKUP($A143,'ПР 01-02.22'!$A$11:$BB$378,9,FALSE)</f>
        <v>0</v>
      </c>
      <c r="J143" s="5">
        <f>VLOOKUP($A143,'ПР 01-02.21'!$A$11:$BB$406,10,FALSE)+VLOOKUP($A143,'ПР 21-22'!$A$11:$BB$406,10,FALSE)-VLOOKUP($A143,'ПР 01-02.22'!$A$11:$BB$378,10,FALSE)</f>
        <v>0</v>
      </c>
      <c r="K143" s="446"/>
      <c r="L143" s="5">
        <f>VLOOKUP($A143,'ПР 01-02.21'!$A$11:$BB$406,12,FALSE)+VLOOKUP($A143,'ПР 21-22'!$A$11:$BB$406,12,FALSE)-VLOOKUP($A143,'ПР 01-02.22'!$A$11:$BB$378,12,FALSE)</f>
        <v>0</v>
      </c>
      <c r="M143" s="5">
        <f>VLOOKUP($A143,'ПР 01-02.21'!$A$11:$BB$406,13,FALSE)+VLOOKUP($A143,'ПР 21-22'!$A$11:$BB$406,13,FALSE)-VLOOKUP($A143,'ПР 01-02.22'!$A$11:$BB$378,13,FALSE)</f>
        <v>0</v>
      </c>
      <c r="N143" s="38"/>
      <c r="O143" s="5">
        <f>VLOOKUP($A143,'ПР 01-02.21'!$A$11:$BB$406,15,FALSE)+VLOOKUP($A143,'ПР 21-22'!$A$11:$BB$406,15,FALSE)-VLOOKUP($A143,'ПР 01-02.22'!$A$11:$BB$378,15,FALSE)</f>
        <v>0</v>
      </c>
      <c r="P143" s="5">
        <f>VLOOKUP($A143,'ПР 01-02.21'!$A$11:$BB$406,16,FALSE)+VLOOKUP($A143,'ПР 21-22'!$A$11:$BB$406,16,FALSE)-VLOOKUP($A143,'ПР 01-02.22'!$A$11:$BB$378,16,FALSE)</f>
        <v>0</v>
      </c>
      <c r="Q143" s="443"/>
      <c r="R143" s="5">
        <f>VLOOKUP($A143,'ПР 01-02.21'!$A$11:$BB$406,18,FALSE)+VLOOKUP($A143,'ПР 21-22'!$A$11:$BB$406,18,FALSE)-VLOOKUP($A143,'ПР 01-02.22'!$A$11:$BB$378,18,FALSE)</f>
        <v>0</v>
      </c>
      <c r="S143" s="5">
        <f>VLOOKUP($A143,'ПР 01-02.21'!$A$11:$BB$406,19,FALSE)+VLOOKUP($A143,'ПР 21-22'!$A$11:$BB$406,19,FALSE)-VLOOKUP($A143,'ПР 01-02.22'!$A$11:$BB$378,19,FALSE)</f>
        <v>0</v>
      </c>
      <c r="T143" s="444"/>
      <c r="U143" s="5">
        <f>VLOOKUP($A143,'ПР 01-02.21'!$A$11:$BB$406,21,FALSE)+VLOOKUP($A143,'ПР 21-22'!$A$11:$BB$406,21,FALSE)-VLOOKUP($A143,'ПР 01-02.22'!$A$11:$BB$378,21,FALSE)</f>
        <v>0</v>
      </c>
      <c r="V143" s="5"/>
      <c r="W143" s="5">
        <f>VLOOKUP($A143,'ПР 01-02.21'!$A$11:$BB$406,23,FALSE)+VLOOKUP($A143,'ПР 21-22'!$A$11:$BB$406,23,FALSE)-VLOOKUP($A143,'ПР 01-02.22'!$A$11:$BB$378,23,FALSE)</f>
        <v>0</v>
      </c>
      <c r="X143" s="5">
        <f>VLOOKUP($A143,'ПР 01-02.21'!$A$11:$BB$406,24,FALSE)+VLOOKUP($A143,'ПР 21-22'!$A$11:$BB$406,24,FALSE)-VLOOKUP($A143,'ПР 01-02.22'!$A$11:$BB$378,24,FALSE)</f>
        <v>0</v>
      </c>
      <c r="Y143" s="5">
        <f>VLOOKUP($A143,'ПР 01-02.21'!$A$11:$BB$406,25,FALSE)+VLOOKUP($A143,'ПР 21-22'!$A$11:$BB$406,25,FALSE)-VLOOKUP($A143,'ПР 01-02.22'!$A$11:$BB$378,25,FALSE)</f>
        <v>5555</v>
      </c>
      <c r="Z143" s="5"/>
      <c r="AA143" s="5">
        <f>VLOOKUP($A143,'ПР 01-02.21'!$A$11:$BB$406,27,FALSE)+VLOOKUP($A143,'ПР 21-22'!$A$11:$BB$406,27,FALSE)-VLOOKUP($A143,'ПР 01-02.22'!$A$11:$BB$378,27,FALSE)</f>
        <v>0</v>
      </c>
      <c r="AB143" s="5">
        <f>VLOOKUP($A143,'ПР 01-02.21'!$A$11:$BB$406,28,FALSE)+VLOOKUP($A143,'ПР 21-22'!$A$11:$BB$406,28,FALSE)-VLOOKUP($A143,'ПР 01-02.22'!$A$11:$BB$378,28,FALSE)</f>
        <v>0</v>
      </c>
      <c r="AC143" s="5">
        <f>VLOOKUP($A143,'ПР 01-02.21'!$A$11:$BB$406,29,FALSE)+VLOOKUP($A143,'ПР 21-22'!$A$11:$BB$406,29,FALSE)-VLOOKUP($A143,'ПР 01-02.22'!$A$11:$BB$378,29,FALSE)</f>
        <v>0</v>
      </c>
      <c r="AD143" s="5">
        <f>VLOOKUP($A143,'ПР 01-02.21'!$A$11:$BB$406,30,FALSE)+VLOOKUP($A143,'ПР 21-22'!$A$11:$BB$406,30,FALSE)-VLOOKUP($A143,'ПР 01-02.22'!$A$11:$BB$378,30,FALSE)</f>
        <v>713</v>
      </c>
      <c r="AE143" s="5">
        <f>VLOOKUP($A143,'ПР 01-02.21'!$A$11:$BB$406,31,FALSE)+VLOOKUP($A143,'ПР 21-22'!$A$11:$BB$406,31,FALSE)-VLOOKUP($A143,'ПР 01-02.22'!$A$11:$BB$378,31,FALSE)</f>
        <v>2753.4491987376377</v>
      </c>
      <c r="AF143" s="5">
        <f>VLOOKUP($A143,'ПР 01-02.21'!$A$11:$BB$406,32,FALSE)+VLOOKUP($A143,'ПР 21-22'!$A$11:$BB$406,32,FALSE)-VLOOKUP($A143,'ПР 01-02.22'!$A$11:$BB$378,32,FALSE)</f>
        <v>1241</v>
      </c>
      <c r="AG143" s="40"/>
      <c r="AH143" s="5">
        <f>VLOOKUP($A143,'ПР 01-02.21'!$A$11:$BB$406,34,FALSE)+VLOOKUP($A143,'ПР 21-22'!$A$11:$BB$406,34,FALSE)-VLOOKUP($A143,'ПР 01-02.22'!$A$11:$BB$378,34,FALSE)</f>
        <v>4078.8404741410659</v>
      </c>
      <c r="AI143" s="5">
        <f>VLOOKUP($A143,'ПР 01-02.21'!$A$11:$BB$406,35,FALSE)+VLOOKUP($A143,'ПР 21-22'!$A$11:$BB$406,35,FALSE)-VLOOKUP($A143,'ПР 01-02.22'!$A$11:$BB$378,35,FALSE)</f>
        <v>4065</v>
      </c>
      <c r="AJ143" s="40"/>
      <c r="AK143" s="5">
        <f>VLOOKUP($A143,'ПР 01-02.21'!$A$11:$BB$406,37,FALSE)+VLOOKUP($A143,'ПР 21-22'!$A$11:$BB$406,37,FALSE)-VLOOKUP($A143,'ПР 01-02.22'!$A$11:$BB$378,37,FALSE)</f>
        <v>1545.0097115560843</v>
      </c>
      <c r="AL143" s="5">
        <f>VLOOKUP($A143,'ПР 01-02.21'!$A$11:$BB$406,38,FALSE)+VLOOKUP($A143,'ПР 21-22'!$A$11:$BB$406,38,FALSE)-VLOOKUP($A143,'ПР 01-02.22'!$A$11:$BB$378,38,FALSE)</f>
        <v>624</v>
      </c>
      <c r="AM143" s="40"/>
      <c r="AN143" s="5">
        <f>VLOOKUP($A143,'ПР 01-02.21'!$A$11:$BB$406,40,FALSE)+VLOOKUP($A143,'ПР 21-22'!$A$11:$BB$406,40,FALSE)-VLOOKUP($A143,'ПР 01-02.22'!$A$11:$BB$378,40,FALSE)</f>
        <v>0</v>
      </c>
      <c r="AO143" s="5">
        <f>VLOOKUP($A143,'ПР 01-02.21'!$A$11:$BB$406,41,FALSE)+VLOOKUP($A143,'ПР 21-22'!$A$11:$BB$406,41,FALSE)-VLOOKUP($A143,'ПР 01-02.22'!$A$11:$BB$378,41,FALSE)</f>
        <v>0</v>
      </c>
      <c r="AP143" s="40"/>
      <c r="AQ143" s="5">
        <f>VLOOKUP($A143,'ПР 01-02.21'!$A$11:$BB$406,43,FALSE)+VLOOKUP($A143,'ПР 21-22'!$A$11:$BB$406,43,FALSE)-VLOOKUP($A143,'ПР 01-02.22'!$A$11:$BB$378,43,FALSE)</f>
        <v>1369.6639710151376</v>
      </c>
      <c r="AR143" s="5">
        <f>VLOOKUP($A143,'ПР 01-02.21'!$A$11:$BB$406,44,FALSE)+VLOOKUP($A143,'ПР 21-22'!$A$11:$BB$406,44,FALSE)-VLOOKUP($A143,'ПР 01-02.22'!$A$11:$BB$378,44,FALSE)</f>
        <v>0</v>
      </c>
      <c r="AS143" s="40"/>
      <c r="AT143" s="5">
        <f>VLOOKUP($A143,'ПР 01-02.21'!$A$11:$BB$406,46,FALSE)+VLOOKUP($A143,'ПР 21-22'!$A$11:$BB$406,46,FALSE)-VLOOKUP($A143,'ПР 01-02.22'!$A$11:$BB$378,46,FALSE)</f>
        <v>2118.5455308985997</v>
      </c>
      <c r="AU143" s="5">
        <f>VLOOKUP($A143,'ПР 01-02.21'!$A$11:$BB$406,47,FALSE)+VLOOKUP($A143,'ПР 21-22'!$A$11:$BB$406,47,FALSE)-VLOOKUP($A143,'ПР 01-02.22'!$A$11:$BB$378,47,FALSE)</f>
        <v>0</v>
      </c>
      <c r="AV143" s="40"/>
      <c r="AW143" s="5">
        <f>VLOOKUP($A143,'ПР 01-02.21'!$A$11:$BB$406,49,FALSE)+VLOOKUP($A143,'ПР 21-22'!$A$11:$BB$406,49,FALSE)-VLOOKUP($A143,'ПР 01-02.22'!$A$11:$BB$378,49,FALSE)</f>
        <v>159.0308</v>
      </c>
      <c r="AX143" s="5">
        <f>VLOOKUP($A143,'ПР 01-02.21'!$A$11:$BB$406,50,FALSE)+VLOOKUP($A143,'ПР 21-22'!$A$11:$BB$406,50,FALSE)-VLOOKUP($A143,'ПР 01-02.22'!$A$11:$BB$378,50,FALSE)</f>
        <v>0</v>
      </c>
      <c r="AY143" s="40"/>
      <c r="AZ143" s="40">
        <f t="shared" si="9"/>
        <v>12024.539686348526</v>
      </c>
      <c r="BA143" s="40">
        <f t="shared" si="9"/>
        <v>5930</v>
      </c>
      <c r="BB143" s="55">
        <f t="shared" si="12"/>
        <v>-6094.5396863485257</v>
      </c>
      <c r="BD143" s="2">
        <v>3</v>
      </c>
      <c r="BF143" s="325">
        <v>150000636</v>
      </c>
    </row>
    <row r="144" spans="1:58" ht="24.9" customHeight="1" x14ac:dyDescent="0.3">
      <c r="A144" s="325">
        <v>150000637</v>
      </c>
      <c r="B144" s="445" t="s">
        <v>88</v>
      </c>
      <c r="C144" s="27">
        <v>1</v>
      </c>
      <c r="D144" s="101" t="s">
        <v>455</v>
      </c>
      <c r="E144" s="279">
        <f>'побудинковий звіт'!E142</f>
        <v>164.45</v>
      </c>
      <c r="F144" s="441">
        <f>'побудинковий звіт'!AS142</f>
        <v>0</v>
      </c>
      <c r="G144" s="441">
        <f t="shared" si="10"/>
        <v>0</v>
      </c>
      <c r="H144" s="73">
        <f t="shared" si="11"/>
        <v>0</v>
      </c>
      <c r="I144" s="5"/>
      <c r="J144" s="5"/>
      <c r="K144" s="446"/>
      <c r="L144" s="5"/>
      <c r="M144" s="5"/>
      <c r="N144" s="38"/>
      <c r="O144" s="5"/>
      <c r="P144" s="5"/>
      <c r="Q144" s="443"/>
      <c r="R144" s="5"/>
      <c r="S144" s="5"/>
      <c r="T144" s="444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40"/>
      <c r="AH144" s="5"/>
      <c r="AI144" s="5"/>
      <c r="AJ144" s="40"/>
      <c r="AK144" s="5"/>
      <c r="AL144" s="5"/>
      <c r="AM144" s="40"/>
      <c r="AN144" s="5"/>
      <c r="AO144" s="5"/>
      <c r="AP144" s="40"/>
      <c r="AQ144" s="5"/>
      <c r="AR144" s="5"/>
      <c r="AS144" s="40"/>
      <c r="AT144" s="5"/>
      <c r="AU144" s="5"/>
      <c r="AV144" s="40"/>
      <c r="AW144" s="5"/>
      <c r="AX144" s="5"/>
      <c r="AY144" s="40"/>
      <c r="AZ144" s="40">
        <f t="shared" si="9"/>
        <v>0</v>
      </c>
      <c r="BA144" s="40">
        <f t="shared" si="9"/>
        <v>0</v>
      </c>
      <c r="BB144" s="55">
        <f t="shared" si="12"/>
        <v>0</v>
      </c>
      <c r="BD144" s="2">
        <v>3</v>
      </c>
      <c r="BF144" s="325">
        <v>150000637</v>
      </c>
    </row>
    <row r="145" spans="1:58" ht="24.9" customHeight="1" x14ac:dyDescent="0.3">
      <c r="A145" s="325">
        <v>150000555</v>
      </c>
      <c r="B145" s="445" t="s">
        <v>89</v>
      </c>
      <c r="C145" s="27">
        <v>1</v>
      </c>
      <c r="D145" s="101" t="s">
        <v>455</v>
      </c>
      <c r="E145" s="279">
        <f>'побудинковий звіт'!E143</f>
        <v>175.5</v>
      </c>
      <c r="F145" s="441">
        <f>'побудинковий звіт'!AS143</f>
        <v>2171.4339853778656</v>
      </c>
      <c r="G145" s="441">
        <f t="shared" si="10"/>
        <v>0</v>
      </c>
      <c r="H145" s="73">
        <f t="shared" si="11"/>
        <v>-2171.4339853778656</v>
      </c>
      <c r="I145" s="5">
        <f>VLOOKUP($A145,'ПР 01-02.21'!$A$11:$BB$406,9,FALSE)+VLOOKUP($A145,'ПР 21-22'!$A$11:$BB$406,9,FALSE)-VLOOKUP($A145,'ПР 01-02.22'!$A$11:$BB$378,9,FALSE)</f>
        <v>0</v>
      </c>
      <c r="J145" s="5">
        <f>VLOOKUP($A145,'ПР 01-02.21'!$A$11:$BB$406,10,FALSE)+VLOOKUP($A145,'ПР 21-22'!$A$11:$BB$406,10,FALSE)-VLOOKUP($A145,'ПР 01-02.22'!$A$11:$BB$378,10,FALSE)</f>
        <v>0</v>
      </c>
      <c r="K145" s="446"/>
      <c r="L145" s="5">
        <f>VLOOKUP($A145,'ПР 01-02.21'!$A$11:$BB$406,12,FALSE)+VLOOKUP($A145,'ПР 21-22'!$A$11:$BB$406,12,FALSE)-VLOOKUP($A145,'ПР 01-02.22'!$A$11:$BB$378,12,FALSE)</f>
        <v>0</v>
      </c>
      <c r="M145" s="5">
        <f>VLOOKUP($A145,'ПР 01-02.21'!$A$11:$BB$406,13,FALSE)+VLOOKUP($A145,'ПР 21-22'!$A$11:$BB$406,13,FALSE)-VLOOKUP($A145,'ПР 01-02.22'!$A$11:$BB$378,13,FALSE)</f>
        <v>0</v>
      </c>
      <c r="N145" s="38"/>
      <c r="O145" s="5">
        <f>VLOOKUP($A145,'ПР 01-02.21'!$A$11:$BB$406,15,FALSE)+VLOOKUP($A145,'ПР 21-22'!$A$11:$BB$406,15,FALSE)-VLOOKUP($A145,'ПР 01-02.22'!$A$11:$BB$378,15,FALSE)</f>
        <v>0</v>
      </c>
      <c r="P145" s="5">
        <f>VLOOKUP($A145,'ПР 01-02.21'!$A$11:$BB$406,16,FALSE)+VLOOKUP($A145,'ПР 21-22'!$A$11:$BB$406,16,FALSE)-VLOOKUP($A145,'ПР 01-02.22'!$A$11:$BB$378,16,FALSE)</f>
        <v>0</v>
      </c>
      <c r="Q145" s="443"/>
      <c r="R145" s="5">
        <f>VLOOKUP($A145,'ПР 01-02.21'!$A$11:$BB$406,18,FALSE)+VLOOKUP($A145,'ПР 21-22'!$A$11:$BB$406,18,FALSE)-VLOOKUP($A145,'ПР 01-02.22'!$A$11:$BB$378,18,FALSE)</f>
        <v>0</v>
      </c>
      <c r="S145" s="5">
        <f>VLOOKUP($A145,'ПР 01-02.21'!$A$11:$BB$406,19,FALSE)+VLOOKUP($A145,'ПР 21-22'!$A$11:$BB$406,19,FALSE)-VLOOKUP($A145,'ПР 01-02.22'!$A$11:$BB$378,19,FALSE)</f>
        <v>0</v>
      </c>
      <c r="T145" s="444"/>
      <c r="U145" s="5">
        <f>VLOOKUP($A145,'ПР 01-02.21'!$A$11:$BB$406,21,FALSE)+VLOOKUP($A145,'ПР 21-22'!$A$11:$BB$406,21,FALSE)-VLOOKUP($A145,'ПР 01-02.22'!$A$11:$BB$378,21,FALSE)</f>
        <v>0</v>
      </c>
      <c r="V145" s="5"/>
      <c r="W145" s="5">
        <f>VLOOKUP($A145,'ПР 01-02.21'!$A$11:$BB$406,23,FALSE)+VLOOKUP($A145,'ПР 21-22'!$A$11:$BB$406,23,FALSE)-VLOOKUP($A145,'ПР 01-02.22'!$A$11:$BB$378,23,FALSE)</f>
        <v>0</v>
      </c>
      <c r="X145" s="5">
        <f>VLOOKUP($A145,'ПР 01-02.21'!$A$11:$BB$406,24,FALSE)+VLOOKUP($A145,'ПР 21-22'!$A$11:$BB$406,24,FALSE)-VLOOKUP($A145,'ПР 01-02.22'!$A$11:$BB$378,24,FALSE)</f>
        <v>0</v>
      </c>
      <c r="Y145" s="5">
        <f>VLOOKUP($A145,'ПР 01-02.21'!$A$11:$BB$406,25,FALSE)+VLOOKUP($A145,'ПР 21-22'!$A$11:$BB$406,25,FALSE)-VLOOKUP($A145,'ПР 01-02.22'!$A$11:$BB$378,25,FALSE)</f>
        <v>0</v>
      </c>
      <c r="Z145" s="5"/>
      <c r="AA145" s="5">
        <f>VLOOKUP($A145,'ПР 01-02.21'!$A$11:$BB$406,27,FALSE)+VLOOKUP($A145,'ПР 21-22'!$A$11:$BB$406,27,FALSE)-VLOOKUP($A145,'ПР 01-02.22'!$A$11:$BB$378,27,FALSE)</f>
        <v>0</v>
      </c>
      <c r="AB145" s="5">
        <f>VLOOKUP($A145,'ПР 01-02.21'!$A$11:$BB$406,28,FALSE)+VLOOKUP($A145,'ПР 21-22'!$A$11:$BB$406,28,FALSE)-VLOOKUP($A145,'ПР 01-02.22'!$A$11:$BB$378,28,FALSE)</f>
        <v>0</v>
      </c>
      <c r="AC145" s="5">
        <f>VLOOKUP($A145,'ПР 01-02.21'!$A$11:$BB$406,29,FALSE)+VLOOKUP($A145,'ПР 21-22'!$A$11:$BB$406,29,FALSE)-VLOOKUP($A145,'ПР 01-02.22'!$A$11:$BB$378,29,FALSE)</f>
        <v>0</v>
      </c>
      <c r="AD145" s="5">
        <f>VLOOKUP($A145,'ПР 01-02.21'!$A$11:$BB$406,30,FALSE)+VLOOKUP($A145,'ПР 21-22'!$A$11:$BB$406,30,FALSE)-VLOOKUP($A145,'ПР 01-02.22'!$A$11:$BB$378,30,FALSE)</f>
        <v>0</v>
      </c>
      <c r="AE145" s="5">
        <f>VLOOKUP($A145,'ПР 01-02.21'!$A$11:$BB$406,31,FALSE)+VLOOKUP($A145,'ПР 21-22'!$A$11:$BB$406,31,FALSE)-VLOOKUP($A145,'ПР 01-02.22'!$A$11:$BB$378,31,FALSE)</f>
        <v>0</v>
      </c>
      <c r="AF145" s="5">
        <f>VLOOKUP($A145,'ПР 01-02.21'!$A$11:$BB$406,32,FALSE)+VLOOKUP($A145,'ПР 21-22'!$A$11:$BB$406,32,FALSE)-VLOOKUP($A145,'ПР 01-02.22'!$A$11:$BB$378,32,FALSE)</f>
        <v>0</v>
      </c>
      <c r="AG145" s="40"/>
      <c r="AH145" s="5">
        <f>VLOOKUP($A145,'ПР 01-02.21'!$A$11:$BB$406,34,FALSE)+VLOOKUP($A145,'ПР 21-22'!$A$11:$BB$406,34,FALSE)-VLOOKUP($A145,'ПР 01-02.22'!$A$11:$BB$378,34,FALSE)</f>
        <v>0</v>
      </c>
      <c r="AI145" s="5">
        <f>VLOOKUP($A145,'ПР 01-02.21'!$A$11:$BB$406,35,FALSE)+VLOOKUP($A145,'ПР 21-22'!$A$11:$BB$406,35,FALSE)-VLOOKUP($A145,'ПР 01-02.22'!$A$11:$BB$378,35,FALSE)</f>
        <v>0</v>
      </c>
      <c r="AJ145" s="40"/>
      <c r="AK145" s="5">
        <f>VLOOKUP($A145,'ПР 01-02.21'!$A$11:$BB$406,37,FALSE)+VLOOKUP($A145,'ПР 21-22'!$A$11:$BB$406,37,FALSE)-VLOOKUP($A145,'ПР 01-02.22'!$A$11:$BB$378,37,FALSE)</f>
        <v>0</v>
      </c>
      <c r="AL145" s="5">
        <f>VLOOKUP($A145,'ПР 01-02.21'!$A$11:$BB$406,38,FALSE)+VLOOKUP($A145,'ПР 21-22'!$A$11:$BB$406,38,FALSE)-VLOOKUP($A145,'ПР 01-02.22'!$A$11:$BB$378,38,FALSE)</f>
        <v>0</v>
      </c>
      <c r="AM145" s="40"/>
      <c r="AN145" s="5">
        <f>VLOOKUP($A145,'ПР 01-02.21'!$A$11:$BB$406,40,FALSE)+VLOOKUP($A145,'ПР 21-22'!$A$11:$BB$406,40,FALSE)-VLOOKUP($A145,'ПР 01-02.22'!$A$11:$BB$378,40,FALSE)</f>
        <v>0</v>
      </c>
      <c r="AO145" s="5">
        <f>VLOOKUP($A145,'ПР 01-02.21'!$A$11:$BB$406,41,FALSE)+VLOOKUP($A145,'ПР 21-22'!$A$11:$BB$406,41,FALSE)-VLOOKUP($A145,'ПР 01-02.22'!$A$11:$BB$378,41,FALSE)</f>
        <v>0</v>
      </c>
      <c r="AP145" s="40"/>
      <c r="AQ145" s="5">
        <f>VLOOKUP($A145,'ПР 01-02.21'!$A$11:$BB$406,43,FALSE)+VLOOKUP($A145,'ПР 21-22'!$A$11:$BB$406,43,FALSE)-VLOOKUP($A145,'ПР 01-02.22'!$A$11:$BB$378,43,FALSE)</f>
        <v>0</v>
      </c>
      <c r="AR145" s="5">
        <f>VLOOKUP($A145,'ПР 01-02.21'!$A$11:$BB$406,44,FALSE)+VLOOKUP($A145,'ПР 21-22'!$A$11:$BB$406,44,FALSE)-VLOOKUP($A145,'ПР 01-02.22'!$A$11:$BB$378,44,FALSE)</f>
        <v>0</v>
      </c>
      <c r="AS145" s="40"/>
      <c r="AT145" s="5">
        <f>VLOOKUP($A145,'ПР 01-02.21'!$A$11:$BB$406,46,FALSE)+VLOOKUP($A145,'ПР 21-22'!$A$11:$BB$406,46,FALSE)-VLOOKUP($A145,'ПР 01-02.22'!$A$11:$BB$378,46,FALSE)</f>
        <v>0</v>
      </c>
      <c r="AU145" s="5">
        <f>VLOOKUP($A145,'ПР 01-02.21'!$A$11:$BB$406,47,FALSE)+VLOOKUP($A145,'ПР 21-22'!$A$11:$BB$406,47,FALSE)-VLOOKUP($A145,'ПР 01-02.22'!$A$11:$BB$378,47,FALSE)</f>
        <v>0</v>
      </c>
      <c r="AV145" s="40"/>
      <c r="AW145" s="5">
        <f>VLOOKUP($A145,'ПР 01-02.21'!$A$11:$BB$406,49,FALSE)+VLOOKUP($A145,'ПР 21-22'!$A$11:$BB$406,49,FALSE)-VLOOKUP($A145,'ПР 01-02.22'!$A$11:$BB$378,49,FALSE)</f>
        <v>9.02</v>
      </c>
      <c r="AX145" s="5">
        <f>VLOOKUP($A145,'ПР 01-02.21'!$A$11:$BB$406,50,FALSE)+VLOOKUP($A145,'ПР 21-22'!$A$11:$BB$406,50,FALSE)-VLOOKUP($A145,'ПР 01-02.22'!$A$11:$BB$378,50,FALSE)</f>
        <v>0</v>
      </c>
      <c r="AY145" s="40"/>
      <c r="AZ145" s="40">
        <f t="shared" si="9"/>
        <v>9.02</v>
      </c>
      <c r="BA145" s="40">
        <f t="shared" si="9"/>
        <v>0</v>
      </c>
      <c r="BB145" s="55">
        <f t="shared" si="12"/>
        <v>-9.02</v>
      </c>
      <c r="BD145" s="2">
        <v>3</v>
      </c>
      <c r="BF145" s="325">
        <v>150000555</v>
      </c>
    </row>
    <row r="146" spans="1:58" ht="24.9" customHeight="1" x14ac:dyDescent="0.3">
      <c r="A146" s="325">
        <v>150000556</v>
      </c>
      <c r="B146" s="445" t="s">
        <v>90</v>
      </c>
      <c r="C146" s="27">
        <v>1</v>
      </c>
      <c r="D146" s="101" t="s">
        <v>455</v>
      </c>
      <c r="E146" s="279">
        <f>'побудинковий звіт'!E144</f>
        <v>181.9</v>
      </c>
      <c r="F146" s="441">
        <f>'побудинковий звіт'!AS144</f>
        <v>2028.5021121795471</v>
      </c>
      <c r="G146" s="441">
        <f t="shared" si="10"/>
        <v>0</v>
      </c>
      <c r="H146" s="73">
        <f t="shared" si="11"/>
        <v>-2028.5021121795471</v>
      </c>
      <c r="I146" s="5">
        <f>VLOOKUP($A146,'ПР 01-02.21'!$A$11:$BB$406,9,FALSE)+VLOOKUP($A146,'ПР 21-22'!$A$11:$BB$406,9,FALSE)-VLOOKUP($A146,'ПР 01-02.22'!$A$11:$BB$378,9,FALSE)</f>
        <v>0</v>
      </c>
      <c r="J146" s="5">
        <f>VLOOKUP($A146,'ПР 01-02.21'!$A$11:$BB$406,10,FALSE)+VLOOKUP($A146,'ПР 21-22'!$A$11:$BB$406,10,FALSE)-VLOOKUP($A146,'ПР 01-02.22'!$A$11:$BB$378,10,FALSE)</f>
        <v>0</v>
      </c>
      <c r="K146" s="446"/>
      <c r="L146" s="5">
        <f>VLOOKUP($A146,'ПР 01-02.21'!$A$11:$BB$406,12,FALSE)+VLOOKUP($A146,'ПР 21-22'!$A$11:$BB$406,12,FALSE)-VLOOKUP($A146,'ПР 01-02.22'!$A$11:$BB$378,12,FALSE)</f>
        <v>0</v>
      </c>
      <c r="M146" s="5">
        <f>VLOOKUP($A146,'ПР 01-02.21'!$A$11:$BB$406,13,FALSE)+VLOOKUP($A146,'ПР 21-22'!$A$11:$BB$406,13,FALSE)-VLOOKUP($A146,'ПР 01-02.22'!$A$11:$BB$378,13,FALSE)</f>
        <v>0</v>
      </c>
      <c r="N146" s="38"/>
      <c r="O146" s="5">
        <f>VLOOKUP($A146,'ПР 01-02.21'!$A$11:$BB$406,15,FALSE)+VLOOKUP($A146,'ПР 21-22'!$A$11:$BB$406,15,FALSE)-VLOOKUP($A146,'ПР 01-02.22'!$A$11:$BB$378,15,FALSE)</f>
        <v>0</v>
      </c>
      <c r="P146" s="5">
        <f>VLOOKUP($A146,'ПР 01-02.21'!$A$11:$BB$406,16,FALSE)+VLOOKUP($A146,'ПР 21-22'!$A$11:$BB$406,16,FALSE)-VLOOKUP($A146,'ПР 01-02.22'!$A$11:$BB$378,16,FALSE)</f>
        <v>0</v>
      </c>
      <c r="Q146" s="443"/>
      <c r="R146" s="5">
        <f>VLOOKUP($A146,'ПР 01-02.21'!$A$11:$BB$406,18,FALSE)+VLOOKUP($A146,'ПР 21-22'!$A$11:$BB$406,18,FALSE)-VLOOKUP($A146,'ПР 01-02.22'!$A$11:$BB$378,18,FALSE)</f>
        <v>0</v>
      </c>
      <c r="S146" s="5">
        <f>VLOOKUP($A146,'ПР 01-02.21'!$A$11:$BB$406,19,FALSE)+VLOOKUP($A146,'ПР 21-22'!$A$11:$BB$406,19,FALSE)-VLOOKUP($A146,'ПР 01-02.22'!$A$11:$BB$378,19,FALSE)</f>
        <v>0</v>
      </c>
      <c r="T146" s="444"/>
      <c r="U146" s="5">
        <f>VLOOKUP($A146,'ПР 01-02.21'!$A$11:$BB$406,21,FALSE)+VLOOKUP($A146,'ПР 21-22'!$A$11:$BB$406,21,FALSE)-VLOOKUP($A146,'ПР 01-02.22'!$A$11:$BB$378,21,FALSE)</f>
        <v>0</v>
      </c>
      <c r="V146" s="5"/>
      <c r="W146" s="5">
        <f>VLOOKUP($A146,'ПР 01-02.21'!$A$11:$BB$406,23,FALSE)+VLOOKUP($A146,'ПР 21-22'!$A$11:$BB$406,23,FALSE)-VLOOKUP($A146,'ПР 01-02.22'!$A$11:$BB$378,23,FALSE)</f>
        <v>0</v>
      </c>
      <c r="X146" s="5">
        <f>VLOOKUP($A146,'ПР 01-02.21'!$A$11:$BB$406,24,FALSE)+VLOOKUP($A146,'ПР 21-22'!$A$11:$BB$406,24,FALSE)-VLOOKUP($A146,'ПР 01-02.22'!$A$11:$BB$378,24,FALSE)</f>
        <v>0</v>
      </c>
      <c r="Y146" s="5">
        <f>VLOOKUP($A146,'ПР 01-02.21'!$A$11:$BB$406,25,FALSE)+VLOOKUP($A146,'ПР 21-22'!$A$11:$BB$406,25,FALSE)-VLOOKUP($A146,'ПР 01-02.22'!$A$11:$BB$378,25,FALSE)</f>
        <v>0</v>
      </c>
      <c r="Z146" s="5"/>
      <c r="AA146" s="5">
        <f>VLOOKUP($A146,'ПР 01-02.21'!$A$11:$BB$406,27,FALSE)+VLOOKUP($A146,'ПР 21-22'!$A$11:$BB$406,27,FALSE)-VLOOKUP($A146,'ПР 01-02.22'!$A$11:$BB$378,27,FALSE)</f>
        <v>0</v>
      </c>
      <c r="AB146" s="5">
        <f>VLOOKUP($A146,'ПР 01-02.21'!$A$11:$BB$406,28,FALSE)+VLOOKUP($A146,'ПР 21-22'!$A$11:$BB$406,28,FALSE)-VLOOKUP($A146,'ПР 01-02.22'!$A$11:$BB$378,28,FALSE)</f>
        <v>0</v>
      </c>
      <c r="AC146" s="5">
        <f>VLOOKUP($A146,'ПР 01-02.21'!$A$11:$BB$406,29,FALSE)+VLOOKUP($A146,'ПР 21-22'!$A$11:$BB$406,29,FALSE)-VLOOKUP($A146,'ПР 01-02.22'!$A$11:$BB$378,29,FALSE)</f>
        <v>0</v>
      </c>
      <c r="AD146" s="5">
        <f>VLOOKUP($A146,'ПР 01-02.21'!$A$11:$BB$406,30,FALSE)+VLOOKUP($A146,'ПР 21-22'!$A$11:$BB$406,30,FALSE)-VLOOKUP($A146,'ПР 01-02.22'!$A$11:$BB$378,30,FALSE)</f>
        <v>0</v>
      </c>
      <c r="AE146" s="5">
        <f>VLOOKUP($A146,'ПР 01-02.21'!$A$11:$BB$406,31,FALSE)+VLOOKUP($A146,'ПР 21-22'!$A$11:$BB$406,31,FALSE)-VLOOKUP($A146,'ПР 01-02.22'!$A$11:$BB$378,31,FALSE)</f>
        <v>0</v>
      </c>
      <c r="AF146" s="5">
        <f>VLOOKUP($A146,'ПР 01-02.21'!$A$11:$BB$406,32,FALSE)+VLOOKUP($A146,'ПР 21-22'!$A$11:$BB$406,32,FALSE)-VLOOKUP($A146,'ПР 01-02.22'!$A$11:$BB$378,32,FALSE)</f>
        <v>0</v>
      </c>
      <c r="AG146" s="40"/>
      <c r="AH146" s="5">
        <f>VLOOKUP($A146,'ПР 01-02.21'!$A$11:$BB$406,34,FALSE)+VLOOKUP($A146,'ПР 21-22'!$A$11:$BB$406,34,FALSE)-VLOOKUP($A146,'ПР 01-02.22'!$A$11:$BB$378,34,FALSE)</f>
        <v>0</v>
      </c>
      <c r="AI146" s="5">
        <f>VLOOKUP($A146,'ПР 01-02.21'!$A$11:$BB$406,35,FALSE)+VLOOKUP($A146,'ПР 21-22'!$A$11:$BB$406,35,FALSE)-VLOOKUP($A146,'ПР 01-02.22'!$A$11:$BB$378,35,FALSE)</f>
        <v>0</v>
      </c>
      <c r="AJ146" s="40"/>
      <c r="AK146" s="5">
        <f>VLOOKUP($A146,'ПР 01-02.21'!$A$11:$BB$406,37,FALSE)+VLOOKUP($A146,'ПР 21-22'!$A$11:$BB$406,37,FALSE)-VLOOKUP($A146,'ПР 01-02.22'!$A$11:$BB$378,37,FALSE)</f>
        <v>0</v>
      </c>
      <c r="AL146" s="5">
        <f>VLOOKUP($A146,'ПР 01-02.21'!$A$11:$BB$406,38,FALSE)+VLOOKUP($A146,'ПР 21-22'!$A$11:$BB$406,38,FALSE)-VLOOKUP($A146,'ПР 01-02.22'!$A$11:$BB$378,38,FALSE)</f>
        <v>0</v>
      </c>
      <c r="AM146" s="40"/>
      <c r="AN146" s="5">
        <f>VLOOKUP($A146,'ПР 01-02.21'!$A$11:$BB$406,40,FALSE)+VLOOKUP($A146,'ПР 21-22'!$A$11:$BB$406,40,FALSE)-VLOOKUP($A146,'ПР 01-02.22'!$A$11:$BB$378,40,FALSE)</f>
        <v>0</v>
      </c>
      <c r="AO146" s="5">
        <f>VLOOKUP($A146,'ПР 01-02.21'!$A$11:$BB$406,41,FALSE)+VLOOKUP($A146,'ПР 21-22'!$A$11:$BB$406,41,FALSE)-VLOOKUP($A146,'ПР 01-02.22'!$A$11:$BB$378,41,FALSE)</f>
        <v>0</v>
      </c>
      <c r="AP146" s="40"/>
      <c r="AQ146" s="5">
        <f>VLOOKUP($A146,'ПР 01-02.21'!$A$11:$BB$406,43,FALSE)+VLOOKUP($A146,'ПР 21-22'!$A$11:$BB$406,43,FALSE)-VLOOKUP($A146,'ПР 01-02.22'!$A$11:$BB$378,43,FALSE)</f>
        <v>0</v>
      </c>
      <c r="AR146" s="5">
        <f>VLOOKUP($A146,'ПР 01-02.21'!$A$11:$BB$406,44,FALSE)+VLOOKUP($A146,'ПР 21-22'!$A$11:$BB$406,44,FALSE)-VLOOKUP($A146,'ПР 01-02.22'!$A$11:$BB$378,44,FALSE)</f>
        <v>0</v>
      </c>
      <c r="AS146" s="40"/>
      <c r="AT146" s="5">
        <f>VLOOKUP($A146,'ПР 01-02.21'!$A$11:$BB$406,46,FALSE)+VLOOKUP($A146,'ПР 21-22'!$A$11:$BB$406,46,FALSE)-VLOOKUP($A146,'ПР 01-02.22'!$A$11:$BB$378,46,FALSE)</f>
        <v>0</v>
      </c>
      <c r="AU146" s="5">
        <f>VLOOKUP($A146,'ПР 01-02.21'!$A$11:$BB$406,47,FALSE)+VLOOKUP($A146,'ПР 21-22'!$A$11:$BB$406,47,FALSE)-VLOOKUP($A146,'ПР 01-02.22'!$A$11:$BB$378,47,FALSE)</f>
        <v>0</v>
      </c>
      <c r="AV146" s="40"/>
      <c r="AW146" s="5">
        <f>VLOOKUP($A146,'ПР 01-02.21'!$A$11:$BB$406,49,FALSE)+VLOOKUP($A146,'ПР 21-22'!$A$11:$BB$406,49,FALSE)-VLOOKUP($A146,'ПР 01-02.22'!$A$11:$BB$378,49,FALSE)</f>
        <v>9.2759999999999998</v>
      </c>
      <c r="AX146" s="5">
        <f>VLOOKUP($A146,'ПР 01-02.21'!$A$11:$BB$406,50,FALSE)+VLOOKUP($A146,'ПР 21-22'!$A$11:$BB$406,50,FALSE)-VLOOKUP($A146,'ПР 01-02.22'!$A$11:$BB$378,50,FALSE)</f>
        <v>0</v>
      </c>
      <c r="AY146" s="40"/>
      <c r="AZ146" s="40">
        <f t="shared" si="9"/>
        <v>9.2759999999999998</v>
      </c>
      <c r="BA146" s="40">
        <f t="shared" si="9"/>
        <v>0</v>
      </c>
      <c r="BB146" s="55">
        <f t="shared" si="12"/>
        <v>-9.2759999999999998</v>
      </c>
      <c r="BD146" s="2">
        <v>3</v>
      </c>
      <c r="BF146" s="325">
        <v>150000556</v>
      </c>
    </row>
    <row r="147" spans="1:58" ht="24.9" customHeight="1" x14ac:dyDescent="0.3">
      <c r="A147" s="325">
        <v>150000557</v>
      </c>
      <c r="B147" s="445" t="s">
        <v>91</v>
      </c>
      <c r="C147" s="27">
        <v>1</v>
      </c>
      <c r="D147" s="101" t="s">
        <v>455</v>
      </c>
      <c r="E147" s="279">
        <f>'побудинковий звіт'!E145</f>
        <v>110.2</v>
      </c>
      <c r="F147" s="441">
        <f>'побудинковий звіт'!AS145</f>
        <v>1327.2302048699271</v>
      </c>
      <c r="G147" s="441">
        <f t="shared" si="10"/>
        <v>0</v>
      </c>
      <c r="H147" s="73">
        <f t="shared" si="11"/>
        <v>-1327.2302048699271</v>
      </c>
      <c r="I147" s="5">
        <f>VLOOKUP($A147,'ПР 01-02.21'!$A$11:$BB$406,9,FALSE)+VLOOKUP($A147,'ПР 21-22'!$A$11:$BB$406,9,FALSE)-VLOOKUP($A147,'ПР 01-02.22'!$A$11:$BB$378,9,FALSE)</f>
        <v>0</v>
      </c>
      <c r="J147" s="5">
        <f>VLOOKUP($A147,'ПР 01-02.21'!$A$11:$BB$406,10,FALSE)+VLOOKUP($A147,'ПР 21-22'!$A$11:$BB$406,10,FALSE)-VLOOKUP($A147,'ПР 01-02.22'!$A$11:$BB$378,10,FALSE)</f>
        <v>0</v>
      </c>
      <c r="K147" s="446"/>
      <c r="L147" s="5">
        <f>VLOOKUP($A147,'ПР 01-02.21'!$A$11:$BB$406,12,FALSE)+VLOOKUP($A147,'ПР 21-22'!$A$11:$BB$406,12,FALSE)-VLOOKUP($A147,'ПР 01-02.22'!$A$11:$BB$378,12,FALSE)</f>
        <v>0</v>
      </c>
      <c r="M147" s="5">
        <f>VLOOKUP($A147,'ПР 01-02.21'!$A$11:$BB$406,13,FALSE)+VLOOKUP($A147,'ПР 21-22'!$A$11:$BB$406,13,FALSE)-VLOOKUP($A147,'ПР 01-02.22'!$A$11:$BB$378,13,FALSE)</f>
        <v>0</v>
      </c>
      <c r="N147" s="38"/>
      <c r="O147" s="5">
        <f>VLOOKUP($A147,'ПР 01-02.21'!$A$11:$BB$406,15,FALSE)+VLOOKUP($A147,'ПР 21-22'!$A$11:$BB$406,15,FALSE)-VLOOKUP($A147,'ПР 01-02.22'!$A$11:$BB$378,15,FALSE)</f>
        <v>0</v>
      </c>
      <c r="P147" s="5">
        <f>VLOOKUP($A147,'ПР 01-02.21'!$A$11:$BB$406,16,FALSE)+VLOOKUP($A147,'ПР 21-22'!$A$11:$BB$406,16,FALSE)-VLOOKUP($A147,'ПР 01-02.22'!$A$11:$BB$378,16,FALSE)</f>
        <v>0</v>
      </c>
      <c r="Q147" s="443"/>
      <c r="R147" s="5">
        <f>VLOOKUP($A147,'ПР 01-02.21'!$A$11:$BB$406,18,FALSE)+VLOOKUP($A147,'ПР 21-22'!$A$11:$BB$406,18,FALSE)-VLOOKUP($A147,'ПР 01-02.22'!$A$11:$BB$378,18,FALSE)</f>
        <v>0</v>
      </c>
      <c r="S147" s="5">
        <f>VLOOKUP($A147,'ПР 01-02.21'!$A$11:$BB$406,19,FALSE)+VLOOKUP($A147,'ПР 21-22'!$A$11:$BB$406,19,FALSE)-VLOOKUP($A147,'ПР 01-02.22'!$A$11:$BB$378,19,FALSE)</f>
        <v>0</v>
      </c>
      <c r="T147" s="444"/>
      <c r="U147" s="5">
        <f>VLOOKUP($A147,'ПР 01-02.21'!$A$11:$BB$406,21,FALSE)+VLOOKUP($A147,'ПР 21-22'!$A$11:$BB$406,21,FALSE)-VLOOKUP($A147,'ПР 01-02.22'!$A$11:$BB$378,21,FALSE)</f>
        <v>0</v>
      </c>
      <c r="V147" s="5"/>
      <c r="W147" s="5">
        <f>VLOOKUP($A147,'ПР 01-02.21'!$A$11:$BB$406,23,FALSE)+VLOOKUP($A147,'ПР 21-22'!$A$11:$BB$406,23,FALSE)-VLOOKUP($A147,'ПР 01-02.22'!$A$11:$BB$378,23,FALSE)</f>
        <v>0</v>
      </c>
      <c r="X147" s="5">
        <f>VLOOKUP($A147,'ПР 01-02.21'!$A$11:$BB$406,24,FALSE)+VLOOKUP($A147,'ПР 21-22'!$A$11:$BB$406,24,FALSE)-VLOOKUP($A147,'ПР 01-02.22'!$A$11:$BB$378,24,FALSE)</f>
        <v>0</v>
      </c>
      <c r="Y147" s="5">
        <f>VLOOKUP($A147,'ПР 01-02.21'!$A$11:$BB$406,25,FALSE)+VLOOKUP($A147,'ПР 21-22'!$A$11:$BB$406,25,FALSE)-VLOOKUP($A147,'ПР 01-02.22'!$A$11:$BB$378,25,FALSE)</f>
        <v>0</v>
      </c>
      <c r="Z147" s="5"/>
      <c r="AA147" s="5">
        <f>VLOOKUP($A147,'ПР 01-02.21'!$A$11:$BB$406,27,FALSE)+VLOOKUP($A147,'ПР 21-22'!$A$11:$BB$406,27,FALSE)-VLOOKUP($A147,'ПР 01-02.22'!$A$11:$BB$378,27,FALSE)</f>
        <v>0</v>
      </c>
      <c r="AB147" s="5">
        <f>VLOOKUP($A147,'ПР 01-02.21'!$A$11:$BB$406,28,FALSE)+VLOOKUP($A147,'ПР 21-22'!$A$11:$BB$406,28,FALSE)-VLOOKUP($A147,'ПР 01-02.22'!$A$11:$BB$378,28,FALSE)</f>
        <v>0</v>
      </c>
      <c r="AC147" s="5">
        <f>VLOOKUP($A147,'ПР 01-02.21'!$A$11:$BB$406,29,FALSE)+VLOOKUP($A147,'ПР 21-22'!$A$11:$BB$406,29,FALSE)-VLOOKUP($A147,'ПР 01-02.22'!$A$11:$BB$378,29,FALSE)</f>
        <v>0</v>
      </c>
      <c r="AD147" s="5">
        <f>VLOOKUP($A147,'ПР 01-02.21'!$A$11:$BB$406,30,FALSE)+VLOOKUP($A147,'ПР 21-22'!$A$11:$BB$406,30,FALSE)-VLOOKUP($A147,'ПР 01-02.22'!$A$11:$BB$378,30,FALSE)</f>
        <v>0</v>
      </c>
      <c r="AE147" s="5">
        <f>VLOOKUP($A147,'ПР 01-02.21'!$A$11:$BB$406,31,FALSE)+VLOOKUP($A147,'ПР 21-22'!$A$11:$BB$406,31,FALSE)-VLOOKUP($A147,'ПР 01-02.22'!$A$11:$BB$378,31,FALSE)</f>
        <v>0</v>
      </c>
      <c r="AF147" s="5">
        <f>VLOOKUP($A147,'ПР 01-02.21'!$A$11:$BB$406,32,FALSE)+VLOOKUP($A147,'ПР 21-22'!$A$11:$BB$406,32,FALSE)-VLOOKUP($A147,'ПР 01-02.22'!$A$11:$BB$378,32,FALSE)</f>
        <v>0</v>
      </c>
      <c r="AG147" s="40"/>
      <c r="AH147" s="5">
        <f>VLOOKUP($A147,'ПР 01-02.21'!$A$11:$BB$406,34,FALSE)+VLOOKUP($A147,'ПР 21-22'!$A$11:$BB$406,34,FALSE)-VLOOKUP($A147,'ПР 01-02.22'!$A$11:$BB$378,34,FALSE)</f>
        <v>0</v>
      </c>
      <c r="AI147" s="5">
        <f>VLOOKUP($A147,'ПР 01-02.21'!$A$11:$BB$406,35,FALSE)+VLOOKUP($A147,'ПР 21-22'!$A$11:$BB$406,35,FALSE)-VLOOKUP($A147,'ПР 01-02.22'!$A$11:$BB$378,35,FALSE)</f>
        <v>0</v>
      </c>
      <c r="AJ147" s="40"/>
      <c r="AK147" s="5">
        <f>VLOOKUP($A147,'ПР 01-02.21'!$A$11:$BB$406,37,FALSE)+VLOOKUP($A147,'ПР 21-22'!$A$11:$BB$406,37,FALSE)-VLOOKUP($A147,'ПР 01-02.22'!$A$11:$BB$378,37,FALSE)</f>
        <v>0</v>
      </c>
      <c r="AL147" s="5">
        <f>VLOOKUP($A147,'ПР 01-02.21'!$A$11:$BB$406,38,FALSE)+VLOOKUP($A147,'ПР 21-22'!$A$11:$BB$406,38,FALSE)-VLOOKUP($A147,'ПР 01-02.22'!$A$11:$BB$378,38,FALSE)</f>
        <v>0</v>
      </c>
      <c r="AM147" s="40"/>
      <c r="AN147" s="5">
        <f>VLOOKUP($A147,'ПР 01-02.21'!$A$11:$BB$406,40,FALSE)+VLOOKUP($A147,'ПР 21-22'!$A$11:$BB$406,40,FALSE)-VLOOKUP($A147,'ПР 01-02.22'!$A$11:$BB$378,40,FALSE)</f>
        <v>0</v>
      </c>
      <c r="AO147" s="5">
        <f>VLOOKUP($A147,'ПР 01-02.21'!$A$11:$BB$406,41,FALSE)+VLOOKUP($A147,'ПР 21-22'!$A$11:$BB$406,41,FALSE)-VLOOKUP($A147,'ПР 01-02.22'!$A$11:$BB$378,41,FALSE)</f>
        <v>0</v>
      </c>
      <c r="AP147" s="40"/>
      <c r="AQ147" s="5">
        <f>VLOOKUP($A147,'ПР 01-02.21'!$A$11:$BB$406,43,FALSE)+VLOOKUP($A147,'ПР 21-22'!$A$11:$BB$406,43,FALSE)-VLOOKUP($A147,'ПР 01-02.22'!$A$11:$BB$378,43,FALSE)</f>
        <v>0</v>
      </c>
      <c r="AR147" s="5">
        <f>VLOOKUP($A147,'ПР 01-02.21'!$A$11:$BB$406,44,FALSE)+VLOOKUP($A147,'ПР 21-22'!$A$11:$BB$406,44,FALSE)-VLOOKUP($A147,'ПР 01-02.22'!$A$11:$BB$378,44,FALSE)</f>
        <v>0</v>
      </c>
      <c r="AS147" s="40"/>
      <c r="AT147" s="5">
        <f>VLOOKUP($A147,'ПР 01-02.21'!$A$11:$BB$406,46,FALSE)+VLOOKUP($A147,'ПР 21-22'!$A$11:$BB$406,46,FALSE)-VLOOKUP($A147,'ПР 01-02.22'!$A$11:$BB$378,46,FALSE)</f>
        <v>0</v>
      </c>
      <c r="AU147" s="5">
        <f>VLOOKUP($A147,'ПР 01-02.21'!$A$11:$BB$406,47,FALSE)+VLOOKUP($A147,'ПР 21-22'!$A$11:$BB$406,47,FALSE)-VLOOKUP($A147,'ПР 01-02.22'!$A$11:$BB$378,47,FALSE)</f>
        <v>0</v>
      </c>
      <c r="AV147" s="40"/>
      <c r="AW147" s="5">
        <f>VLOOKUP($A147,'ПР 01-02.21'!$A$11:$BB$406,49,FALSE)+VLOOKUP($A147,'ПР 21-22'!$A$11:$BB$406,49,FALSE)-VLOOKUP($A147,'ПР 01-02.22'!$A$11:$BB$378,49,FALSE)</f>
        <v>5.4080000000000004</v>
      </c>
      <c r="AX147" s="5">
        <f>VLOOKUP($A147,'ПР 01-02.21'!$A$11:$BB$406,50,FALSE)+VLOOKUP($A147,'ПР 21-22'!$A$11:$BB$406,50,FALSE)-VLOOKUP($A147,'ПР 01-02.22'!$A$11:$BB$378,50,FALSE)</f>
        <v>0</v>
      </c>
      <c r="AY147" s="40"/>
      <c r="AZ147" s="40">
        <f t="shared" si="9"/>
        <v>5.4080000000000004</v>
      </c>
      <c r="BA147" s="40">
        <f t="shared" si="9"/>
        <v>0</v>
      </c>
      <c r="BB147" s="55">
        <f t="shared" si="12"/>
        <v>-5.4080000000000004</v>
      </c>
      <c r="BD147" s="2">
        <v>3</v>
      </c>
      <c r="BF147" s="325">
        <v>150000557</v>
      </c>
    </row>
    <row r="148" spans="1:58" ht="24.9" customHeight="1" x14ac:dyDescent="0.3">
      <c r="A148" s="325">
        <v>150000552</v>
      </c>
      <c r="B148" s="445" t="s">
        <v>92</v>
      </c>
      <c r="C148" s="27">
        <v>1</v>
      </c>
      <c r="D148" s="101" t="s">
        <v>455</v>
      </c>
      <c r="E148" s="279">
        <f>'побудинковий звіт'!E146</f>
        <v>100.2</v>
      </c>
      <c r="F148" s="441">
        <f>'побудинковий звіт'!AS146</f>
        <v>1255.3562770763738</v>
      </c>
      <c r="G148" s="441">
        <f t="shared" si="10"/>
        <v>0</v>
      </c>
      <c r="H148" s="73">
        <f t="shared" si="11"/>
        <v>-1255.3562770763738</v>
      </c>
      <c r="I148" s="5">
        <f>VLOOKUP($A148,'ПР 01-02.21'!$A$11:$BB$406,9,FALSE)+VLOOKUP($A148,'ПР 21-22'!$A$11:$BB$406,9,FALSE)-VLOOKUP($A148,'ПР 01-02.22'!$A$11:$BB$378,9,FALSE)</f>
        <v>0</v>
      </c>
      <c r="J148" s="5">
        <f>VLOOKUP($A148,'ПР 01-02.21'!$A$11:$BB$406,10,FALSE)+VLOOKUP($A148,'ПР 21-22'!$A$11:$BB$406,10,FALSE)-VLOOKUP($A148,'ПР 01-02.22'!$A$11:$BB$378,10,FALSE)</f>
        <v>0</v>
      </c>
      <c r="K148" s="446"/>
      <c r="L148" s="5">
        <f>VLOOKUP($A148,'ПР 01-02.21'!$A$11:$BB$406,12,FALSE)+VLOOKUP($A148,'ПР 21-22'!$A$11:$BB$406,12,FALSE)-VLOOKUP($A148,'ПР 01-02.22'!$A$11:$BB$378,12,FALSE)</f>
        <v>0</v>
      </c>
      <c r="M148" s="5">
        <f>VLOOKUP($A148,'ПР 01-02.21'!$A$11:$BB$406,13,FALSE)+VLOOKUP($A148,'ПР 21-22'!$A$11:$BB$406,13,FALSE)-VLOOKUP($A148,'ПР 01-02.22'!$A$11:$BB$378,13,FALSE)</f>
        <v>0</v>
      </c>
      <c r="N148" s="38"/>
      <c r="O148" s="5">
        <f>VLOOKUP($A148,'ПР 01-02.21'!$A$11:$BB$406,15,FALSE)+VLOOKUP($A148,'ПР 21-22'!$A$11:$BB$406,15,FALSE)-VLOOKUP($A148,'ПР 01-02.22'!$A$11:$BB$378,15,FALSE)</f>
        <v>0</v>
      </c>
      <c r="P148" s="5">
        <f>VLOOKUP($A148,'ПР 01-02.21'!$A$11:$BB$406,16,FALSE)+VLOOKUP($A148,'ПР 21-22'!$A$11:$BB$406,16,FALSE)-VLOOKUP($A148,'ПР 01-02.22'!$A$11:$BB$378,16,FALSE)</f>
        <v>0</v>
      </c>
      <c r="Q148" s="443"/>
      <c r="R148" s="5">
        <f>VLOOKUP($A148,'ПР 01-02.21'!$A$11:$BB$406,18,FALSE)+VLOOKUP($A148,'ПР 21-22'!$A$11:$BB$406,18,FALSE)-VLOOKUP($A148,'ПР 01-02.22'!$A$11:$BB$378,18,FALSE)</f>
        <v>0</v>
      </c>
      <c r="S148" s="5">
        <f>VLOOKUP($A148,'ПР 01-02.21'!$A$11:$BB$406,19,FALSE)+VLOOKUP($A148,'ПР 21-22'!$A$11:$BB$406,19,FALSE)-VLOOKUP($A148,'ПР 01-02.22'!$A$11:$BB$378,19,FALSE)</f>
        <v>0</v>
      </c>
      <c r="T148" s="444"/>
      <c r="U148" s="5">
        <f>VLOOKUP($A148,'ПР 01-02.21'!$A$11:$BB$406,21,FALSE)+VLOOKUP($A148,'ПР 21-22'!$A$11:$BB$406,21,FALSE)-VLOOKUP($A148,'ПР 01-02.22'!$A$11:$BB$378,21,FALSE)</f>
        <v>0</v>
      </c>
      <c r="V148" s="5"/>
      <c r="W148" s="5">
        <f>VLOOKUP($A148,'ПР 01-02.21'!$A$11:$BB$406,23,FALSE)+VLOOKUP($A148,'ПР 21-22'!$A$11:$BB$406,23,FALSE)-VLOOKUP($A148,'ПР 01-02.22'!$A$11:$BB$378,23,FALSE)</f>
        <v>0</v>
      </c>
      <c r="X148" s="5">
        <f>VLOOKUP($A148,'ПР 01-02.21'!$A$11:$BB$406,24,FALSE)+VLOOKUP($A148,'ПР 21-22'!$A$11:$BB$406,24,FALSE)-VLOOKUP($A148,'ПР 01-02.22'!$A$11:$BB$378,24,FALSE)</f>
        <v>0</v>
      </c>
      <c r="Y148" s="5">
        <f>VLOOKUP($A148,'ПР 01-02.21'!$A$11:$BB$406,25,FALSE)+VLOOKUP($A148,'ПР 21-22'!$A$11:$BB$406,25,FALSE)-VLOOKUP($A148,'ПР 01-02.22'!$A$11:$BB$378,25,FALSE)</f>
        <v>0</v>
      </c>
      <c r="Z148" s="5"/>
      <c r="AA148" s="5">
        <f>VLOOKUP($A148,'ПР 01-02.21'!$A$11:$BB$406,27,FALSE)+VLOOKUP($A148,'ПР 21-22'!$A$11:$BB$406,27,FALSE)-VLOOKUP($A148,'ПР 01-02.22'!$A$11:$BB$378,27,FALSE)</f>
        <v>0</v>
      </c>
      <c r="AB148" s="5">
        <f>VLOOKUP($A148,'ПР 01-02.21'!$A$11:$BB$406,28,FALSE)+VLOOKUP($A148,'ПР 21-22'!$A$11:$BB$406,28,FALSE)-VLOOKUP($A148,'ПР 01-02.22'!$A$11:$BB$378,28,FALSE)</f>
        <v>0</v>
      </c>
      <c r="AC148" s="5">
        <f>VLOOKUP($A148,'ПР 01-02.21'!$A$11:$BB$406,29,FALSE)+VLOOKUP($A148,'ПР 21-22'!$A$11:$BB$406,29,FALSE)-VLOOKUP($A148,'ПР 01-02.22'!$A$11:$BB$378,29,FALSE)</f>
        <v>0</v>
      </c>
      <c r="AD148" s="5">
        <f>VLOOKUP($A148,'ПР 01-02.21'!$A$11:$BB$406,30,FALSE)+VLOOKUP($A148,'ПР 21-22'!$A$11:$BB$406,30,FALSE)-VLOOKUP($A148,'ПР 01-02.22'!$A$11:$BB$378,30,FALSE)</f>
        <v>0</v>
      </c>
      <c r="AE148" s="5">
        <f>VLOOKUP($A148,'ПР 01-02.21'!$A$11:$BB$406,31,FALSE)+VLOOKUP($A148,'ПР 21-22'!$A$11:$BB$406,31,FALSE)-VLOOKUP($A148,'ПР 01-02.22'!$A$11:$BB$378,31,FALSE)</f>
        <v>0</v>
      </c>
      <c r="AF148" s="5">
        <f>VLOOKUP($A148,'ПР 01-02.21'!$A$11:$BB$406,32,FALSE)+VLOOKUP($A148,'ПР 21-22'!$A$11:$BB$406,32,FALSE)-VLOOKUP($A148,'ПР 01-02.22'!$A$11:$BB$378,32,FALSE)</f>
        <v>0</v>
      </c>
      <c r="AG148" s="40"/>
      <c r="AH148" s="5">
        <f>VLOOKUP($A148,'ПР 01-02.21'!$A$11:$BB$406,34,FALSE)+VLOOKUP($A148,'ПР 21-22'!$A$11:$BB$406,34,FALSE)-VLOOKUP($A148,'ПР 01-02.22'!$A$11:$BB$378,34,FALSE)</f>
        <v>0</v>
      </c>
      <c r="AI148" s="5">
        <f>VLOOKUP($A148,'ПР 01-02.21'!$A$11:$BB$406,35,FALSE)+VLOOKUP($A148,'ПР 21-22'!$A$11:$BB$406,35,FALSE)-VLOOKUP($A148,'ПР 01-02.22'!$A$11:$BB$378,35,FALSE)</f>
        <v>0</v>
      </c>
      <c r="AJ148" s="40"/>
      <c r="AK148" s="5">
        <f>VLOOKUP($A148,'ПР 01-02.21'!$A$11:$BB$406,37,FALSE)+VLOOKUP($A148,'ПР 21-22'!$A$11:$BB$406,37,FALSE)-VLOOKUP($A148,'ПР 01-02.22'!$A$11:$BB$378,37,FALSE)</f>
        <v>0</v>
      </c>
      <c r="AL148" s="5">
        <f>VLOOKUP($A148,'ПР 01-02.21'!$A$11:$BB$406,38,FALSE)+VLOOKUP($A148,'ПР 21-22'!$A$11:$BB$406,38,FALSE)-VLOOKUP($A148,'ПР 01-02.22'!$A$11:$BB$378,38,FALSE)</f>
        <v>0</v>
      </c>
      <c r="AM148" s="40"/>
      <c r="AN148" s="5">
        <f>VLOOKUP($A148,'ПР 01-02.21'!$A$11:$BB$406,40,FALSE)+VLOOKUP($A148,'ПР 21-22'!$A$11:$BB$406,40,FALSE)-VLOOKUP($A148,'ПР 01-02.22'!$A$11:$BB$378,40,FALSE)</f>
        <v>0</v>
      </c>
      <c r="AO148" s="5">
        <f>VLOOKUP($A148,'ПР 01-02.21'!$A$11:$BB$406,41,FALSE)+VLOOKUP($A148,'ПР 21-22'!$A$11:$BB$406,41,FALSE)-VLOOKUP($A148,'ПР 01-02.22'!$A$11:$BB$378,41,FALSE)</f>
        <v>0</v>
      </c>
      <c r="AP148" s="40"/>
      <c r="AQ148" s="5">
        <f>VLOOKUP($A148,'ПР 01-02.21'!$A$11:$BB$406,43,FALSE)+VLOOKUP($A148,'ПР 21-22'!$A$11:$BB$406,43,FALSE)-VLOOKUP($A148,'ПР 01-02.22'!$A$11:$BB$378,43,FALSE)</f>
        <v>0</v>
      </c>
      <c r="AR148" s="5">
        <f>VLOOKUP($A148,'ПР 01-02.21'!$A$11:$BB$406,44,FALSE)+VLOOKUP($A148,'ПР 21-22'!$A$11:$BB$406,44,FALSE)-VLOOKUP($A148,'ПР 01-02.22'!$A$11:$BB$378,44,FALSE)</f>
        <v>0</v>
      </c>
      <c r="AS148" s="40"/>
      <c r="AT148" s="5">
        <f>VLOOKUP($A148,'ПР 01-02.21'!$A$11:$BB$406,46,FALSE)+VLOOKUP($A148,'ПР 21-22'!$A$11:$BB$406,46,FALSE)-VLOOKUP($A148,'ПР 01-02.22'!$A$11:$BB$378,46,FALSE)</f>
        <v>0</v>
      </c>
      <c r="AU148" s="5">
        <f>VLOOKUP($A148,'ПР 01-02.21'!$A$11:$BB$406,47,FALSE)+VLOOKUP($A148,'ПР 21-22'!$A$11:$BB$406,47,FALSE)-VLOOKUP($A148,'ПР 01-02.22'!$A$11:$BB$378,47,FALSE)</f>
        <v>0</v>
      </c>
      <c r="AV148" s="40"/>
      <c r="AW148" s="5">
        <f>VLOOKUP($A148,'ПР 01-02.21'!$A$11:$BB$406,49,FALSE)+VLOOKUP($A148,'ПР 21-22'!$A$11:$BB$406,49,FALSE)-VLOOKUP($A148,'ПР 01-02.22'!$A$11:$BB$378,49,FALSE)</f>
        <v>5.008</v>
      </c>
      <c r="AX148" s="5">
        <f>VLOOKUP($A148,'ПР 01-02.21'!$A$11:$BB$406,50,FALSE)+VLOOKUP($A148,'ПР 21-22'!$A$11:$BB$406,50,FALSE)-VLOOKUP($A148,'ПР 01-02.22'!$A$11:$BB$378,50,FALSE)</f>
        <v>0</v>
      </c>
      <c r="AY148" s="40"/>
      <c r="AZ148" s="40">
        <f t="shared" si="9"/>
        <v>5.008</v>
      </c>
      <c r="BA148" s="40">
        <f t="shared" si="9"/>
        <v>0</v>
      </c>
      <c r="BB148" s="55">
        <f t="shared" si="12"/>
        <v>-5.008</v>
      </c>
      <c r="BD148" s="2">
        <v>3</v>
      </c>
      <c r="BF148" s="325">
        <v>150000552</v>
      </c>
    </row>
    <row r="149" spans="1:58" ht="24.9" customHeight="1" x14ac:dyDescent="0.3">
      <c r="A149" s="325">
        <v>150000553</v>
      </c>
      <c r="B149" s="445" t="s">
        <v>260</v>
      </c>
      <c r="C149" s="27">
        <v>5</v>
      </c>
      <c r="D149" s="101" t="s">
        <v>455</v>
      </c>
      <c r="E149" s="279">
        <f>'побудинковий звіт'!E147</f>
        <v>3380.05</v>
      </c>
      <c r="F149" s="441">
        <f>'побудинковий звіт'!AS147</f>
        <v>34082.090993700978</v>
      </c>
      <c r="G149" s="441">
        <f t="shared" si="10"/>
        <v>33192.873698396535</v>
      </c>
      <c r="H149" s="73">
        <f t="shared" si="11"/>
        <v>-889.21729530444281</v>
      </c>
      <c r="I149" s="5">
        <f>VLOOKUP($A149,'ПР 01-02.21'!$A$11:$BB$406,9,FALSE)+VLOOKUP($A149,'ПР 21-22'!$A$11:$BB$406,9,FALSE)-VLOOKUP($A149,'ПР 01-02.22'!$A$11:$BB$378,9,FALSE)</f>
        <v>130.85</v>
      </c>
      <c r="J149" s="5">
        <f>VLOOKUP($A149,'ПР 01-02.21'!$A$11:$BB$406,10,FALSE)+VLOOKUP($A149,'ПР 21-22'!$A$11:$BB$406,10,FALSE)-VLOOKUP($A149,'ПР 01-02.22'!$A$11:$BB$378,10,FALSE)</f>
        <v>21538.09</v>
      </c>
      <c r="K149" s="446"/>
      <c r="L149" s="5">
        <f>VLOOKUP($A149,'ПР 01-02.21'!$A$11:$BB$406,12,FALSE)+VLOOKUP($A149,'ПР 21-22'!$A$11:$BB$406,12,FALSE)-VLOOKUP($A149,'ПР 01-02.22'!$A$11:$BB$378,12,FALSE)</f>
        <v>0</v>
      </c>
      <c r="M149" s="5">
        <f>VLOOKUP($A149,'ПР 01-02.21'!$A$11:$BB$406,13,FALSE)+VLOOKUP($A149,'ПР 21-22'!$A$11:$BB$406,13,FALSE)-VLOOKUP($A149,'ПР 01-02.22'!$A$11:$BB$378,13,FALSE)</f>
        <v>0</v>
      </c>
      <c r="N149" s="38"/>
      <c r="O149" s="5">
        <f>VLOOKUP($A149,'ПР 01-02.21'!$A$11:$BB$406,15,FALSE)+VLOOKUP($A149,'ПР 21-22'!$A$11:$BB$406,15,FALSE)-VLOOKUP($A149,'ПР 01-02.22'!$A$11:$BB$378,15,FALSE)</f>
        <v>0</v>
      </c>
      <c r="P149" s="5">
        <f>VLOOKUP($A149,'ПР 01-02.21'!$A$11:$BB$406,16,FALSE)+VLOOKUP($A149,'ПР 21-22'!$A$11:$BB$406,16,FALSE)-VLOOKUP($A149,'ПР 01-02.22'!$A$11:$BB$378,16,FALSE)</f>
        <v>0</v>
      </c>
      <c r="Q149" s="443"/>
      <c r="R149" s="5">
        <f>VLOOKUP($A149,'ПР 01-02.21'!$A$11:$BB$406,18,FALSE)+VLOOKUP($A149,'ПР 21-22'!$A$11:$BB$406,18,FALSE)-VLOOKUP($A149,'ПР 01-02.22'!$A$11:$BB$378,18,FALSE)</f>
        <v>0</v>
      </c>
      <c r="S149" s="5">
        <f>VLOOKUP($A149,'ПР 01-02.21'!$A$11:$BB$406,19,FALSE)+VLOOKUP($A149,'ПР 21-22'!$A$11:$BB$406,19,FALSE)-VLOOKUP($A149,'ПР 01-02.22'!$A$11:$BB$378,19,FALSE)</f>
        <v>0</v>
      </c>
      <c r="T149" s="444"/>
      <c r="U149" s="5">
        <f>VLOOKUP($A149,'ПР 01-02.21'!$A$11:$BB$406,21,FALSE)+VLOOKUP($A149,'ПР 21-22'!$A$11:$BB$406,21,FALSE)-VLOOKUP($A149,'ПР 01-02.22'!$A$11:$BB$378,21,FALSE)</f>
        <v>0</v>
      </c>
      <c r="V149" s="5"/>
      <c r="W149" s="5">
        <f>VLOOKUP($A149,'ПР 01-02.21'!$A$11:$BB$406,23,FALSE)+VLOOKUP($A149,'ПР 21-22'!$A$11:$BB$406,23,FALSE)-VLOOKUP($A149,'ПР 01-02.22'!$A$11:$BB$378,23,FALSE)</f>
        <v>20.7</v>
      </c>
      <c r="X149" s="5">
        <f>VLOOKUP($A149,'ПР 01-02.21'!$A$11:$BB$406,24,FALSE)+VLOOKUP($A149,'ПР 21-22'!$A$11:$BB$406,24,FALSE)-VLOOKUP($A149,'ПР 01-02.22'!$A$11:$BB$378,24,FALSE)</f>
        <v>5527.7836983965399</v>
      </c>
      <c r="Y149" s="5">
        <f>VLOOKUP($A149,'ПР 01-02.21'!$A$11:$BB$406,25,FALSE)+VLOOKUP($A149,'ПР 21-22'!$A$11:$BB$406,25,FALSE)-VLOOKUP($A149,'ПР 01-02.22'!$A$11:$BB$378,25,FALSE)</f>
        <v>231</v>
      </c>
      <c r="Z149" s="5"/>
      <c r="AA149" s="5">
        <f>VLOOKUP($A149,'ПР 01-02.21'!$A$11:$BB$406,27,FALSE)+VLOOKUP($A149,'ПР 21-22'!$A$11:$BB$406,27,FALSE)-VLOOKUP($A149,'ПР 01-02.22'!$A$11:$BB$378,27,FALSE)</f>
        <v>0</v>
      </c>
      <c r="AB149" s="5">
        <f>VLOOKUP($A149,'ПР 01-02.21'!$A$11:$BB$406,28,FALSE)+VLOOKUP($A149,'ПР 21-22'!$A$11:$BB$406,28,FALSE)-VLOOKUP($A149,'ПР 01-02.22'!$A$11:$BB$378,28,FALSE)</f>
        <v>5087</v>
      </c>
      <c r="AC149" s="5">
        <f>VLOOKUP($A149,'ПР 01-02.21'!$A$11:$BB$406,29,FALSE)+VLOOKUP($A149,'ПР 21-22'!$A$11:$BB$406,29,FALSE)-VLOOKUP($A149,'ПР 01-02.22'!$A$11:$BB$378,29,FALSE)</f>
        <v>96</v>
      </c>
      <c r="AD149" s="5">
        <f>VLOOKUP($A149,'ПР 01-02.21'!$A$11:$BB$406,30,FALSE)+VLOOKUP($A149,'ПР 21-22'!$A$11:$BB$406,30,FALSE)-VLOOKUP($A149,'ПР 01-02.22'!$A$11:$BB$378,30,FALSE)</f>
        <v>713</v>
      </c>
      <c r="AE149" s="5">
        <f>VLOOKUP($A149,'ПР 01-02.21'!$A$11:$BB$406,31,FALSE)+VLOOKUP($A149,'ПР 21-22'!$A$11:$BB$406,31,FALSE)-VLOOKUP($A149,'ПР 01-02.22'!$A$11:$BB$378,31,FALSE)</f>
        <v>2921.8230773578825</v>
      </c>
      <c r="AF149" s="5">
        <f>VLOOKUP($A149,'ПР 01-02.21'!$A$11:$BB$406,32,FALSE)+VLOOKUP($A149,'ПР 21-22'!$A$11:$BB$406,32,FALSE)-VLOOKUP($A149,'ПР 01-02.22'!$A$11:$BB$378,32,FALSE)</f>
        <v>0</v>
      </c>
      <c r="AG149" s="40"/>
      <c r="AH149" s="5">
        <f>VLOOKUP($A149,'ПР 01-02.21'!$A$11:$BB$406,34,FALSE)+VLOOKUP($A149,'ПР 21-22'!$A$11:$BB$406,34,FALSE)-VLOOKUP($A149,'ПР 01-02.22'!$A$11:$BB$378,34,FALSE)</f>
        <v>4167.8663792694451</v>
      </c>
      <c r="AI149" s="5">
        <f>VLOOKUP($A149,'ПР 01-02.21'!$A$11:$BB$406,35,FALSE)+VLOOKUP($A149,'ПР 21-22'!$A$11:$BB$406,35,FALSE)-VLOOKUP($A149,'ПР 01-02.22'!$A$11:$BB$378,35,FALSE)</f>
        <v>0</v>
      </c>
      <c r="AJ149" s="40"/>
      <c r="AK149" s="5">
        <f>VLOOKUP($A149,'ПР 01-02.21'!$A$11:$BB$406,37,FALSE)+VLOOKUP($A149,'ПР 21-22'!$A$11:$BB$406,37,FALSE)-VLOOKUP($A149,'ПР 01-02.22'!$A$11:$BB$378,37,FALSE)</f>
        <v>1522.4689241768026</v>
      </c>
      <c r="AL149" s="5">
        <f>VLOOKUP($A149,'ПР 01-02.21'!$A$11:$BB$406,38,FALSE)+VLOOKUP($A149,'ПР 21-22'!$A$11:$BB$406,38,FALSE)-VLOOKUP($A149,'ПР 01-02.22'!$A$11:$BB$378,38,FALSE)</f>
        <v>5118</v>
      </c>
      <c r="AM149" s="40"/>
      <c r="AN149" s="5">
        <f>VLOOKUP($A149,'ПР 01-02.21'!$A$11:$BB$406,40,FALSE)+VLOOKUP($A149,'ПР 21-22'!$A$11:$BB$406,40,FALSE)-VLOOKUP($A149,'ПР 01-02.22'!$A$11:$BB$378,40,FALSE)</f>
        <v>0</v>
      </c>
      <c r="AO149" s="5">
        <f>VLOOKUP($A149,'ПР 01-02.21'!$A$11:$BB$406,41,FALSE)+VLOOKUP($A149,'ПР 21-22'!$A$11:$BB$406,41,FALSE)-VLOOKUP($A149,'ПР 01-02.22'!$A$11:$BB$378,41,FALSE)</f>
        <v>0</v>
      </c>
      <c r="AP149" s="40"/>
      <c r="AQ149" s="5">
        <f>VLOOKUP($A149,'ПР 01-02.21'!$A$11:$BB$406,43,FALSE)+VLOOKUP($A149,'ПР 21-22'!$A$11:$BB$406,43,FALSE)-VLOOKUP($A149,'ПР 01-02.22'!$A$11:$BB$378,43,FALSE)</f>
        <v>0</v>
      </c>
      <c r="AR149" s="5">
        <f>VLOOKUP($A149,'ПР 01-02.21'!$A$11:$BB$406,44,FALSE)+VLOOKUP($A149,'ПР 21-22'!$A$11:$BB$406,44,FALSE)-VLOOKUP($A149,'ПР 01-02.22'!$A$11:$BB$378,44,FALSE)</f>
        <v>0</v>
      </c>
      <c r="AS149" s="40"/>
      <c r="AT149" s="5">
        <f>VLOOKUP($A149,'ПР 01-02.21'!$A$11:$BB$406,46,FALSE)+VLOOKUP($A149,'ПР 21-22'!$A$11:$BB$406,46,FALSE)-VLOOKUP($A149,'ПР 01-02.22'!$A$11:$BB$378,46,FALSE)</f>
        <v>2469.3306863059229</v>
      </c>
      <c r="AU149" s="5">
        <f>VLOOKUP($A149,'ПР 01-02.21'!$A$11:$BB$406,47,FALSE)+VLOOKUP($A149,'ПР 21-22'!$A$11:$BB$406,47,FALSE)-VLOOKUP($A149,'ПР 01-02.22'!$A$11:$BB$378,47,FALSE)</f>
        <v>727</v>
      </c>
      <c r="AV149" s="40"/>
      <c r="AW149" s="5">
        <f>VLOOKUP($A149,'ПР 01-02.21'!$A$11:$BB$406,49,FALSE)+VLOOKUP($A149,'ПР 21-22'!$A$11:$BB$406,49,FALSE)-VLOOKUP($A149,'ПР 01-02.22'!$A$11:$BB$378,49,FALSE)</f>
        <v>174.09199999999998</v>
      </c>
      <c r="AX149" s="5">
        <f>VLOOKUP($A149,'ПР 01-02.21'!$A$11:$BB$406,50,FALSE)+VLOOKUP($A149,'ПР 21-22'!$A$11:$BB$406,50,FALSE)-VLOOKUP($A149,'ПР 01-02.22'!$A$11:$BB$378,50,FALSE)</f>
        <v>0</v>
      </c>
      <c r="AY149" s="40"/>
      <c r="AZ149" s="40">
        <f t="shared" si="9"/>
        <v>11255.581067110053</v>
      </c>
      <c r="BA149" s="40">
        <f t="shared" si="9"/>
        <v>5845</v>
      </c>
      <c r="BB149" s="55">
        <f t="shared" si="12"/>
        <v>-5410.5810671100535</v>
      </c>
      <c r="BD149" s="2">
        <v>3</v>
      </c>
      <c r="BF149" s="325">
        <v>150000553</v>
      </c>
    </row>
    <row r="150" spans="1:58" ht="24.9" customHeight="1" x14ac:dyDescent="0.3">
      <c r="A150" s="325">
        <v>150000493</v>
      </c>
      <c r="B150" s="445" t="s">
        <v>418</v>
      </c>
      <c r="C150" s="27">
        <v>10</v>
      </c>
      <c r="D150" s="101" t="s">
        <v>455</v>
      </c>
      <c r="E150" s="279">
        <f>'побудинковий звіт'!E148</f>
        <v>7111.44</v>
      </c>
      <c r="F150" s="441">
        <f>'побудинковий звіт'!AS148</f>
        <v>82569.949646849418</v>
      </c>
      <c r="G150" s="441">
        <f t="shared" si="10"/>
        <v>215682.15999999997</v>
      </c>
      <c r="H150" s="73">
        <f t="shared" si="11"/>
        <v>133112.21035315056</v>
      </c>
      <c r="I150" s="5">
        <f>VLOOKUP($A150,'ПР 01-02.21'!$A$11:$BB$406,9,FALSE)+VLOOKUP($A150,'ПР 21-22'!$A$11:$BB$406,9,FALSE)-VLOOKUP($A150,'ПР 01-02.22'!$A$11:$BB$378,9,FALSE)</f>
        <v>0</v>
      </c>
      <c r="J150" s="5">
        <f>VLOOKUP($A150,'ПР 01-02.21'!$A$11:$BB$406,10,FALSE)+VLOOKUP($A150,'ПР 21-22'!$A$11:$BB$406,10,FALSE)-VLOOKUP($A150,'ПР 01-02.22'!$A$11:$BB$378,10,FALSE)</f>
        <v>0</v>
      </c>
      <c r="K150" s="446"/>
      <c r="L150" s="5">
        <f>VLOOKUP($A150,'ПР 01-02.21'!$A$11:$BB$406,12,FALSE)+VLOOKUP($A150,'ПР 21-22'!$A$11:$BB$406,12,FALSE)-VLOOKUP($A150,'ПР 01-02.22'!$A$11:$BB$378,12,FALSE)</f>
        <v>0</v>
      </c>
      <c r="M150" s="5">
        <f>VLOOKUP($A150,'ПР 01-02.21'!$A$11:$BB$406,13,FALSE)+VLOOKUP($A150,'ПР 21-22'!$A$11:$BB$406,13,FALSE)-VLOOKUP($A150,'ПР 01-02.22'!$A$11:$BB$378,13,FALSE)</f>
        <v>667</v>
      </c>
      <c r="N150" s="38"/>
      <c r="O150" s="5">
        <f>VLOOKUP($A150,'ПР 01-02.21'!$A$11:$BB$406,15,FALSE)+VLOOKUP($A150,'ПР 21-22'!$A$11:$BB$406,15,FALSE)-VLOOKUP($A150,'ПР 01-02.22'!$A$11:$BB$378,15,FALSE)</f>
        <v>0</v>
      </c>
      <c r="P150" s="5">
        <f>VLOOKUP($A150,'ПР 01-02.21'!$A$11:$BB$406,16,FALSE)+VLOOKUP($A150,'ПР 21-22'!$A$11:$BB$406,16,FALSE)-VLOOKUP($A150,'ПР 01-02.22'!$A$11:$BB$378,16,FALSE)</f>
        <v>0</v>
      </c>
      <c r="Q150" s="443"/>
      <c r="R150" s="5">
        <f>VLOOKUP($A150,'ПР 01-02.21'!$A$11:$BB$406,18,FALSE)+VLOOKUP($A150,'ПР 21-22'!$A$11:$BB$406,18,FALSE)-VLOOKUP($A150,'ПР 01-02.22'!$A$11:$BB$378,18,FALSE)</f>
        <v>6</v>
      </c>
      <c r="S150" s="5">
        <f>VLOOKUP($A150,'ПР 01-02.21'!$A$11:$BB$406,19,FALSE)+VLOOKUP($A150,'ПР 21-22'!$A$11:$BB$406,19,FALSE)-VLOOKUP($A150,'ПР 01-02.22'!$A$11:$BB$378,19,FALSE)</f>
        <v>185471</v>
      </c>
      <c r="T150" s="444"/>
      <c r="U150" s="5">
        <f>VLOOKUP($A150,'ПР 01-02.21'!$A$11:$BB$406,21,FALSE)+VLOOKUP($A150,'ПР 21-22'!$A$11:$BB$406,21,FALSE)-VLOOKUP($A150,'ПР 01-02.22'!$A$11:$BB$378,21,FALSE)</f>
        <v>12354</v>
      </c>
      <c r="V150" s="5"/>
      <c r="W150" s="5">
        <f>VLOOKUP($A150,'ПР 01-02.21'!$A$11:$BB$406,23,FALSE)+VLOOKUP($A150,'ПР 21-22'!$A$11:$BB$406,23,FALSE)-VLOOKUP($A150,'ПР 01-02.22'!$A$11:$BB$378,23,FALSE)</f>
        <v>0</v>
      </c>
      <c r="X150" s="5">
        <f>VLOOKUP($A150,'ПР 01-02.21'!$A$11:$BB$406,24,FALSE)+VLOOKUP($A150,'ПР 21-22'!$A$11:$BB$406,24,FALSE)-VLOOKUP($A150,'ПР 01-02.22'!$A$11:$BB$378,24,FALSE)</f>
        <v>0</v>
      </c>
      <c r="Y150" s="5">
        <f>VLOOKUP($A150,'ПР 01-02.21'!$A$11:$BB$406,25,FALSE)+VLOOKUP($A150,'ПР 21-22'!$A$11:$BB$406,25,FALSE)-VLOOKUP($A150,'ПР 01-02.22'!$A$11:$BB$378,25,FALSE)</f>
        <v>951.9</v>
      </c>
      <c r="Z150" s="5"/>
      <c r="AA150" s="5">
        <f>VLOOKUP($A150,'ПР 01-02.21'!$A$11:$BB$406,27,FALSE)+VLOOKUP($A150,'ПР 21-22'!$A$11:$BB$406,27,FALSE)-VLOOKUP($A150,'ПР 01-02.22'!$A$11:$BB$378,27,FALSE)</f>
        <v>0</v>
      </c>
      <c r="AB150" s="5">
        <f>VLOOKUP($A150,'ПР 01-02.21'!$A$11:$BB$406,28,FALSE)+VLOOKUP($A150,'ПР 21-22'!$A$11:$BB$406,28,FALSE)-VLOOKUP($A150,'ПР 01-02.22'!$A$11:$BB$378,28,FALSE)</f>
        <v>12511.99</v>
      </c>
      <c r="AC150" s="5">
        <f>VLOOKUP($A150,'ПР 01-02.21'!$A$11:$BB$406,29,FALSE)+VLOOKUP($A150,'ПР 21-22'!$A$11:$BB$406,29,FALSE)-VLOOKUP($A150,'ПР 01-02.22'!$A$11:$BB$378,29,FALSE)</f>
        <v>0</v>
      </c>
      <c r="AD150" s="5">
        <f>VLOOKUP($A150,'ПР 01-02.21'!$A$11:$BB$406,30,FALSE)+VLOOKUP($A150,'ПР 21-22'!$A$11:$BB$406,30,FALSE)-VLOOKUP($A150,'ПР 01-02.22'!$A$11:$BB$378,30,FALSE)</f>
        <v>3726.2700000000004</v>
      </c>
      <c r="AE150" s="5">
        <f>VLOOKUP($A150,'ПР 01-02.21'!$A$11:$BB$406,31,FALSE)+VLOOKUP($A150,'ПР 21-22'!$A$11:$BB$406,31,FALSE)-VLOOKUP($A150,'ПР 01-02.22'!$A$11:$BB$378,31,FALSE)</f>
        <v>5041.4401110885392</v>
      </c>
      <c r="AF150" s="5">
        <f>VLOOKUP($A150,'ПР 01-02.21'!$A$11:$BB$406,32,FALSE)+VLOOKUP($A150,'ПР 21-22'!$A$11:$BB$406,32,FALSE)-VLOOKUP($A150,'ПР 01-02.22'!$A$11:$BB$378,32,FALSE)</f>
        <v>1484</v>
      </c>
      <c r="AG150" s="40"/>
      <c r="AH150" s="5">
        <f>VLOOKUP($A150,'ПР 01-02.21'!$A$11:$BB$406,34,FALSE)+VLOOKUP($A150,'ПР 21-22'!$A$11:$BB$406,34,FALSE)-VLOOKUP($A150,'ПР 01-02.22'!$A$11:$BB$378,34,FALSE)</f>
        <v>5388.7561530709982</v>
      </c>
      <c r="AI150" s="5">
        <f>VLOOKUP($A150,'ПР 01-02.21'!$A$11:$BB$406,35,FALSE)+VLOOKUP($A150,'ПР 21-22'!$A$11:$BB$406,35,FALSE)-VLOOKUP($A150,'ПР 01-02.22'!$A$11:$BB$378,35,FALSE)</f>
        <v>3159.2</v>
      </c>
      <c r="AJ150" s="40"/>
      <c r="AK150" s="5">
        <f>VLOOKUP($A150,'ПР 01-02.21'!$A$11:$BB$406,37,FALSE)+VLOOKUP($A150,'ПР 21-22'!$A$11:$BB$406,37,FALSE)-VLOOKUP($A150,'ПР 01-02.22'!$A$11:$BB$378,37,FALSE)</f>
        <v>2493.1667615065271</v>
      </c>
      <c r="AL150" s="5">
        <f>VLOOKUP($A150,'ПР 01-02.21'!$A$11:$BB$406,38,FALSE)+VLOOKUP($A150,'ПР 21-22'!$A$11:$BB$406,38,FALSE)-VLOOKUP($A150,'ПР 01-02.22'!$A$11:$BB$378,38,FALSE)</f>
        <v>0</v>
      </c>
      <c r="AM150" s="40"/>
      <c r="AN150" s="5">
        <f>VLOOKUP($A150,'ПР 01-02.21'!$A$11:$BB$406,40,FALSE)+VLOOKUP($A150,'ПР 21-22'!$A$11:$BB$406,40,FALSE)-VLOOKUP($A150,'ПР 01-02.22'!$A$11:$BB$378,40,FALSE)</f>
        <v>4326.8848320553579</v>
      </c>
      <c r="AO150" s="5">
        <f>VLOOKUP($A150,'ПР 01-02.21'!$A$11:$BB$406,41,FALSE)+VLOOKUP($A150,'ПР 21-22'!$A$11:$BB$406,41,FALSE)-VLOOKUP($A150,'ПР 01-02.22'!$A$11:$BB$378,41,FALSE)</f>
        <v>0</v>
      </c>
      <c r="AP150" s="40"/>
      <c r="AQ150" s="5">
        <f>VLOOKUP($A150,'ПР 01-02.21'!$A$11:$BB$406,43,FALSE)+VLOOKUP($A150,'ПР 21-22'!$A$11:$BB$406,43,FALSE)-VLOOKUP($A150,'ПР 01-02.22'!$A$11:$BB$378,43,FALSE)</f>
        <v>2044.2042454330617</v>
      </c>
      <c r="AR150" s="5">
        <f>VLOOKUP($A150,'ПР 01-02.21'!$A$11:$BB$406,44,FALSE)+VLOOKUP($A150,'ПР 21-22'!$A$11:$BB$406,44,FALSE)-VLOOKUP($A150,'ПР 01-02.22'!$A$11:$BB$378,44,FALSE)</f>
        <v>0</v>
      </c>
      <c r="AS150" s="40"/>
      <c r="AT150" s="5">
        <f>VLOOKUP($A150,'ПР 01-02.21'!$A$11:$BB$406,46,FALSE)+VLOOKUP($A150,'ПР 21-22'!$A$11:$BB$406,46,FALSE)-VLOOKUP($A150,'ПР 01-02.22'!$A$11:$BB$378,46,FALSE)</f>
        <v>2984.5568644155132</v>
      </c>
      <c r="AU150" s="5">
        <f>VLOOKUP($A150,'ПР 01-02.21'!$A$11:$BB$406,47,FALSE)+VLOOKUP($A150,'ПР 21-22'!$A$11:$BB$406,47,FALSE)-VLOOKUP($A150,'ПР 01-02.22'!$A$11:$BB$378,47,FALSE)</f>
        <v>805</v>
      </c>
      <c r="AV150" s="40"/>
      <c r="AW150" s="5">
        <f>VLOOKUP($A150,'ПР 01-02.21'!$A$11:$BB$406,49,FALSE)+VLOOKUP($A150,'ПР 21-22'!$A$11:$BB$406,49,FALSE)-VLOOKUP($A150,'ПР 01-02.22'!$A$11:$BB$378,49,FALSE)</f>
        <v>419.30419473416595</v>
      </c>
      <c r="AX150" s="5">
        <f>VLOOKUP($A150,'ПР 01-02.21'!$A$11:$BB$406,50,FALSE)+VLOOKUP($A150,'ПР 21-22'!$A$11:$BB$406,50,FALSE)-VLOOKUP($A150,'ПР 01-02.22'!$A$11:$BB$378,50,FALSE)</f>
        <v>0</v>
      </c>
      <c r="AY150" s="40"/>
      <c r="AZ150" s="40">
        <f t="shared" si="9"/>
        <v>22698.313162304166</v>
      </c>
      <c r="BA150" s="40">
        <f t="shared" si="9"/>
        <v>5448.2</v>
      </c>
      <c r="BB150" s="55">
        <f t="shared" si="12"/>
        <v>-17250.113162304166</v>
      </c>
      <c r="BD150" s="2">
        <v>1</v>
      </c>
      <c r="BF150" s="325">
        <v>150000493</v>
      </c>
    </row>
    <row r="151" spans="1:58" ht="24.9" customHeight="1" x14ac:dyDescent="0.3">
      <c r="A151" s="325">
        <v>150000494</v>
      </c>
      <c r="B151" s="445" t="s">
        <v>419</v>
      </c>
      <c r="C151" s="27">
        <v>10</v>
      </c>
      <c r="D151" s="101" t="s">
        <v>455</v>
      </c>
      <c r="E151" s="279">
        <f>'побудинковий звіт'!E149</f>
        <v>9469.1</v>
      </c>
      <c r="F151" s="441">
        <f>'побудинковий звіт'!AS149</f>
        <v>103110.92201556619</v>
      </c>
      <c r="G151" s="441">
        <f t="shared" si="10"/>
        <v>33268.450000000004</v>
      </c>
      <c r="H151" s="73">
        <f t="shared" si="11"/>
        <v>-69842.472015566193</v>
      </c>
      <c r="I151" s="5">
        <f>VLOOKUP($A151,'ПР 01-02.21'!$A$11:$BB$406,9,FALSE)+VLOOKUP($A151,'ПР 21-22'!$A$11:$BB$406,9,FALSE)-VLOOKUP($A151,'ПР 01-02.22'!$A$11:$BB$378,9,FALSE)</f>
        <v>49.900000000000006</v>
      </c>
      <c r="J151" s="5">
        <f>VLOOKUP($A151,'ПР 01-02.21'!$A$11:$BB$406,10,FALSE)+VLOOKUP($A151,'ПР 21-22'!$A$11:$BB$406,10,FALSE)-VLOOKUP($A151,'ПР 01-02.22'!$A$11:$BB$378,10,FALSE)</f>
        <v>10163.86</v>
      </c>
      <c r="K151" s="446"/>
      <c r="L151" s="5">
        <f>VLOOKUP($A151,'ПР 01-02.21'!$A$11:$BB$406,12,FALSE)+VLOOKUP($A151,'ПР 21-22'!$A$11:$BB$406,12,FALSE)-VLOOKUP($A151,'ПР 01-02.22'!$A$11:$BB$378,12,FALSE)</f>
        <v>0</v>
      </c>
      <c r="M151" s="5">
        <f>VLOOKUP($A151,'ПР 01-02.21'!$A$11:$BB$406,13,FALSE)+VLOOKUP($A151,'ПР 21-22'!$A$11:$BB$406,13,FALSE)-VLOOKUP($A151,'ПР 01-02.22'!$A$11:$BB$378,13,FALSE)</f>
        <v>0</v>
      </c>
      <c r="N151" s="38"/>
      <c r="O151" s="5">
        <f>VLOOKUP($A151,'ПР 01-02.21'!$A$11:$BB$406,15,FALSE)+VLOOKUP($A151,'ПР 21-22'!$A$11:$BB$406,15,FALSE)-VLOOKUP($A151,'ПР 01-02.22'!$A$11:$BB$378,15,FALSE)</f>
        <v>0</v>
      </c>
      <c r="P151" s="5">
        <f>VLOOKUP($A151,'ПР 01-02.21'!$A$11:$BB$406,16,FALSE)+VLOOKUP($A151,'ПР 21-22'!$A$11:$BB$406,16,FALSE)-VLOOKUP($A151,'ПР 01-02.22'!$A$11:$BB$378,16,FALSE)</f>
        <v>0</v>
      </c>
      <c r="Q151" s="443"/>
      <c r="R151" s="5">
        <f>VLOOKUP($A151,'ПР 01-02.21'!$A$11:$BB$406,18,FALSE)+VLOOKUP($A151,'ПР 21-22'!$A$11:$BB$406,18,FALSE)-VLOOKUP($A151,'ПР 01-02.22'!$A$11:$BB$378,18,FALSE)</f>
        <v>3</v>
      </c>
      <c r="S151" s="5">
        <f>VLOOKUP($A151,'ПР 01-02.21'!$A$11:$BB$406,19,FALSE)+VLOOKUP($A151,'ПР 21-22'!$A$11:$BB$406,19,FALSE)-VLOOKUP($A151,'ПР 01-02.22'!$A$11:$BB$378,19,FALSE)</f>
        <v>4602</v>
      </c>
      <c r="T151" s="444"/>
      <c r="U151" s="5">
        <f>VLOOKUP($A151,'ПР 01-02.21'!$A$11:$BB$406,21,FALSE)+VLOOKUP($A151,'ПР 21-22'!$A$11:$BB$406,21,FALSE)-VLOOKUP($A151,'ПР 01-02.22'!$A$11:$BB$378,21,FALSE)</f>
        <v>0</v>
      </c>
      <c r="V151" s="5"/>
      <c r="W151" s="5">
        <f>VLOOKUP($A151,'ПР 01-02.21'!$A$11:$BB$406,23,FALSE)+VLOOKUP($A151,'ПР 21-22'!$A$11:$BB$406,23,FALSE)-VLOOKUP($A151,'ПР 01-02.22'!$A$11:$BB$378,23,FALSE)</f>
        <v>8</v>
      </c>
      <c r="X151" s="5">
        <f>VLOOKUP($A151,'ПР 01-02.21'!$A$11:$BB$406,24,FALSE)+VLOOKUP($A151,'ПР 21-22'!$A$11:$BB$406,24,FALSE)-VLOOKUP($A151,'ПР 01-02.22'!$A$11:$BB$378,24,FALSE)</f>
        <v>3482.91</v>
      </c>
      <c r="Y151" s="5">
        <f>VLOOKUP($A151,'ПР 01-02.21'!$A$11:$BB$406,25,FALSE)+VLOOKUP($A151,'ПР 21-22'!$A$11:$BB$406,25,FALSE)-VLOOKUP($A151,'ПР 01-02.22'!$A$11:$BB$378,25,FALSE)</f>
        <v>1380.86</v>
      </c>
      <c r="Z151" s="5"/>
      <c r="AA151" s="5">
        <f>VLOOKUP($A151,'ПР 01-02.21'!$A$11:$BB$406,27,FALSE)+VLOOKUP($A151,'ПР 21-22'!$A$11:$BB$406,27,FALSE)-VLOOKUP($A151,'ПР 01-02.22'!$A$11:$BB$378,27,FALSE)</f>
        <v>0</v>
      </c>
      <c r="AB151" s="5">
        <f>VLOOKUP($A151,'ПР 01-02.21'!$A$11:$BB$406,28,FALSE)+VLOOKUP($A151,'ПР 21-22'!$A$11:$BB$406,28,FALSE)-VLOOKUP($A151,'ПР 01-02.22'!$A$11:$BB$378,28,FALSE)</f>
        <v>1931.61</v>
      </c>
      <c r="AC151" s="5">
        <f>VLOOKUP($A151,'ПР 01-02.21'!$A$11:$BB$406,29,FALSE)+VLOOKUP($A151,'ПР 21-22'!$A$11:$BB$406,29,FALSE)-VLOOKUP($A151,'ПР 01-02.22'!$A$11:$BB$378,29,FALSE)</f>
        <v>4906</v>
      </c>
      <c r="AD151" s="5">
        <f>VLOOKUP($A151,'ПР 01-02.21'!$A$11:$BB$406,30,FALSE)+VLOOKUP($A151,'ПР 21-22'!$A$11:$BB$406,30,FALSE)-VLOOKUP($A151,'ПР 01-02.22'!$A$11:$BB$378,30,FALSE)</f>
        <v>6801.21</v>
      </c>
      <c r="AE151" s="5">
        <f>VLOOKUP($A151,'ПР 01-02.21'!$A$11:$BB$406,31,FALSE)+VLOOKUP($A151,'ПР 21-22'!$A$11:$BB$406,31,FALSE)-VLOOKUP($A151,'ПР 01-02.22'!$A$11:$BB$378,31,FALSE)</f>
        <v>5673.5329526598907</v>
      </c>
      <c r="AF151" s="5">
        <f>VLOOKUP($A151,'ПР 01-02.21'!$A$11:$BB$406,32,FALSE)+VLOOKUP($A151,'ПР 21-22'!$A$11:$BB$406,32,FALSE)-VLOOKUP($A151,'ПР 01-02.22'!$A$11:$BB$378,32,FALSE)</f>
        <v>726</v>
      </c>
      <c r="AG151" s="40"/>
      <c r="AH151" s="5">
        <f>VLOOKUP($A151,'ПР 01-02.21'!$A$11:$BB$406,34,FALSE)+VLOOKUP($A151,'ПР 21-22'!$A$11:$BB$406,34,FALSE)-VLOOKUP($A151,'ПР 01-02.22'!$A$11:$BB$378,34,FALSE)</f>
        <v>6347.9492716532568</v>
      </c>
      <c r="AI151" s="5">
        <f>VLOOKUP($A151,'ПР 01-02.21'!$A$11:$BB$406,35,FALSE)+VLOOKUP($A151,'ПР 21-22'!$A$11:$BB$406,35,FALSE)-VLOOKUP($A151,'ПР 01-02.22'!$A$11:$BB$378,35,FALSE)</f>
        <v>1958.5</v>
      </c>
      <c r="AJ151" s="40"/>
      <c r="AK151" s="5">
        <f>VLOOKUP($A151,'ПР 01-02.21'!$A$11:$BB$406,37,FALSE)+VLOOKUP($A151,'ПР 21-22'!$A$11:$BB$406,37,FALSE)-VLOOKUP($A151,'ПР 01-02.22'!$A$11:$BB$378,37,FALSE)</f>
        <v>4286.0167327360696</v>
      </c>
      <c r="AL151" s="5">
        <f>VLOOKUP($A151,'ПР 01-02.21'!$A$11:$BB$406,38,FALSE)+VLOOKUP($A151,'ПР 21-22'!$A$11:$BB$406,38,FALSE)-VLOOKUP($A151,'ПР 01-02.22'!$A$11:$BB$378,38,FALSE)</f>
        <v>0</v>
      </c>
      <c r="AM151" s="40"/>
      <c r="AN151" s="5">
        <f>VLOOKUP($A151,'ПР 01-02.21'!$A$11:$BB$406,40,FALSE)+VLOOKUP($A151,'ПР 21-22'!$A$11:$BB$406,40,FALSE)-VLOOKUP($A151,'ПР 01-02.22'!$A$11:$BB$378,40,FALSE)</f>
        <v>5603.0092986406307</v>
      </c>
      <c r="AO151" s="5">
        <f>VLOOKUP($A151,'ПР 01-02.21'!$A$11:$BB$406,41,FALSE)+VLOOKUP($A151,'ПР 21-22'!$A$11:$BB$406,41,FALSE)-VLOOKUP($A151,'ПР 01-02.22'!$A$11:$BB$378,41,FALSE)</f>
        <v>354</v>
      </c>
      <c r="AP151" s="40"/>
      <c r="AQ151" s="5">
        <f>VLOOKUP($A151,'ПР 01-02.21'!$A$11:$BB$406,43,FALSE)+VLOOKUP($A151,'ПР 21-22'!$A$11:$BB$406,43,FALSE)-VLOOKUP($A151,'ПР 01-02.22'!$A$11:$BB$378,43,FALSE)</f>
        <v>2044.2042454330617</v>
      </c>
      <c r="AR151" s="5">
        <f>VLOOKUP($A151,'ПР 01-02.21'!$A$11:$BB$406,44,FALSE)+VLOOKUP($A151,'ПР 21-22'!$A$11:$BB$406,44,FALSE)-VLOOKUP($A151,'ПР 01-02.22'!$A$11:$BB$378,44,FALSE)</f>
        <v>0</v>
      </c>
      <c r="AS151" s="40"/>
      <c r="AT151" s="5">
        <f>VLOOKUP($A151,'ПР 01-02.21'!$A$11:$BB$406,46,FALSE)+VLOOKUP($A151,'ПР 21-22'!$A$11:$BB$406,46,FALSE)-VLOOKUP($A151,'ПР 01-02.22'!$A$11:$BB$378,46,FALSE)</f>
        <v>3092.3986444872744</v>
      </c>
      <c r="AU151" s="5">
        <f>VLOOKUP($A151,'ПР 01-02.21'!$A$11:$BB$406,47,FALSE)+VLOOKUP($A151,'ПР 21-22'!$A$11:$BB$406,47,FALSE)-VLOOKUP($A151,'ПР 01-02.22'!$A$11:$BB$378,47,FALSE)</f>
        <v>1193</v>
      </c>
      <c r="AV151" s="40"/>
      <c r="AW151" s="5">
        <f>VLOOKUP($A151,'ПР 01-02.21'!$A$11:$BB$406,49,FALSE)+VLOOKUP($A151,'ПР 21-22'!$A$11:$BB$406,49,FALSE)-VLOOKUP($A151,'ПР 01-02.22'!$A$11:$BB$378,49,FALSE)</f>
        <v>430.17153118518723</v>
      </c>
      <c r="AX151" s="5">
        <f>VLOOKUP($A151,'ПР 01-02.21'!$A$11:$BB$406,50,FALSE)+VLOOKUP($A151,'ПР 21-22'!$A$11:$BB$406,50,FALSE)-VLOOKUP($A151,'ПР 01-02.22'!$A$11:$BB$378,50,FALSE)</f>
        <v>0</v>
      </c>
      <c r="AY151" s="40"/>
      <c r="AZ151" s="40">
        <f t="shared" si="9"/>
        <v>27477.282676795374</v>
      </c>
      <c r="BA151" s="40">
        <f t="shared" si="9"/>
        <v>4231.5</v>
      </c>
      <c r="BB151" s="55">
        <f t="shared" si="12"/>
        <v>-23245.782676795374</v>
      </c>
      <c r="BD151" s="2">
        <v>1</v>
      </c>
      <c r="BF151" s="325">
        <v>150000494</v>
      </c>
    </row>
    <row r="152" spans="1:58" ht="24.9" customHeight="1" x14ac:dyDescent="0.3">
      <c r="A152" s="325">
        <v>150000688</v>
      </c>
      <c r="B152" s="445" t="s">
        <v>93</v>
      </c>
      <c r="C152" s="27">
        <v>1</v>
      </c>
      <c r="D152" s="101" t="s">
        <v>455</v>
      </c>
      <c r="E152" s="279">
        <f>'побудинковий звіт'!E150</f>
        <v>241.1</v>
      </c>
      <c r="F152" s="441">
        <f>'побудинковий звіт'!AS150</f>
        <v>2726.3094621504888</v>
      </c>
      <c r="G152" s="441">
        <f t="shared" si="10"/>
        <v>0</v>
      </c>
      <c r="H152" s="73">
        <f t="shared" si="11"/>
        <v>-2726.3094621504888</v>
      </c>
      <c r="I152" s="5">
        <f>VLOOKUP($A152,'ПР 01-02.21'!$A$11:$BB$406,9,FALSE)+VLOOKUP($A152,'ПР 21-22'!$A$11:$BB$406,9,FALSE)-VLOOKUP($A152,'ПР 01-02.22'!$A$11:$BB$378,9,FALSE)</f>
        <v>0</v>
      </c>
      <c r="J152" s="5">
        <f>VLOOKUP($A152,'ПР 01-02.21'!$A$11:$BB$406,10,FALSE)+VLOOKUP($A152,'ПР 21-22'!$A$11:$BB$406,10,FALSE)-VLOOKUP($A152,'ПР 01-02.22'!$A$11:$BB$378,10,FALSE)</f>
        <v>0</v>
      </c>
      <c r="K152" s="446"/>
      <c r="L152" s="5">
        <f>VLOOKUP($A152,'ПР 01-02.21'!$A$11:$BB$406,12,FALSE)+VLOOKUP($A152,'ПР 21-22'!$A$11:$BB$406,12,FALSE)-VLOOKUP($A152,'ПР 01-02.22'!$A$11:$BB$378,12,FALSE)</f>
        <v>0</v>
      </c>
      <c r="M152" s="5">
        <f>VLOOKUP($A152,'ПР 01-02.21'!$A$11:$BB$406,13,FALSE)+VLOOKUP($A152,'ПР 21-22'!$A$11:$BB$406,13,FALSE)-VLOOKUP($A152,'ПР 01-02.22'!$A$11:$BB$378,13,FALSE)</f>
        <v>0</v>
      </c>
      <c r="N152" s="38"/>
      <c r="O152" s="5">
        <f>VLOOKUP($A152,'ПР 01-02.21'!$A$11:$BB$406,15,FALSE)+VLOOKUP($A152,'ПР 21-22'!$A$11:$BB$406,15,FALSE)-VLOOKUP($A152,'ПР 01-02.22'!$A$11:$BB$378,15,FALSE)</f>
        <v>0</v>
      </c>
      <c r="P152" s="5">
        <f>VLOOKUP($A152,'ПР 01-02.21'!$A$11:$BB$406,16,FALSE)+VLOOKUP($A152,'ПР 21-22'!$A$11:$BB$406,16,FALSE)-VLOOKUP($A152,'ПР 01-02.22'!$A$11:$BB$378,16,FALSE)</f>
        <v>0</v>
      </c>
      <c r="Q152" s="443"/>
      <c r="R152" s="5">
        <f>VLOOKUP($A152,'ПР 01-02.21'!$A$11:$BB$406,18,FALSE)+VLOOKUP($A152,'ПР 21-22'!$A$11:$BB$406,18,FALSE)-VLOOKUP($A152,'ПР 01-02.22'!$A$11:$BB$378,18,FALSE)</f>
        <v>0</v>
      </c>
      <c r="S152" s="5">
        <f>VLOOKUP($A152,'ПР 01-02.21'!$A$11:$BB$406,19,FALSE)+VLOOKUP($A152,'ПР 21-22'!$A$11:$BB$406,19,FALSE)-VLOOKUP($A152,'ПР 01-02.22'!$A$11:$BB$378,19,FALSE)</f>
        <v>0</v>
      </c>
      <c r="T152" s="444"/>
      <c r="U152" s="5">
        <f>VLOOKUP($A152,'ПР 01-02.21'!$A$11:$BB$406,21,FALSE)+VLOOKUP($A152,'ПР 21-22'!$A$11:$BB$406,21,FALSE)-VLOOKUP($A152,'ПР 01-02.22'!$A$11:$BB$378,21,FALSE)</f>
        <v>0</v>
      </c>
      <c r="V152" s="5"/>
      <c r="W152" s="5">
        <f>VLOOKUP($A152,'ПР 01-02.21'!$A$11:$BB$406,23,FALSE)+VLOOKUP($A152,'ПР 21-22'!$A$11:$BB$406,23,FALSE)-VLOOKUP($A152,'ПР 01-02.22'!$A$11:$BB$378,23,FALSE)</f>
        <v>0</v>
      </c>
      <c r="X152" s="5">
        <f>VLOOKUP($A152,'ПР 01-02.21'!$A$11:$BB$406,24,FALSE)+VLOOKUP($A152,'ПР 21-22'!$A$11:$BB$406,24,FALSE)-VLOOKUP($A152,'ПР 01-02.22'!$A$11:$BB$378,24,FALSE)</f>
        <v>0</v>
      </c>
      <c r="Y152" s="5">
        <f>VLOOKUP($A152,'ПР 01-02.21'!$A$11:$BB$406,25,FALSE)+VLOOKUP($A152,'ПР 21-22'!$A$11:$BB$406,25,FALSE)-VLOOKUP($A152,'ПР 01-02.22'!$A$11:$BB$378,25,FALSE)</f>
        <v>0</v>
      </c>
      <c r="Z152" s="5"/>
      <c r="AA152" s="5">
        <f>VLOOKUP($A152,'ПР 01-02.21'!$A$11:$BB$406,27,FALSE)+VLOOKUP($A152,'ПР 21-22'!$A$11:$BB$406,27,FALSE)-VLOOKUP($A152,'ПР 01-02.22'!$A$11:$BB$378,27,FALSE)</f>
        <v>0</v>
      </c>
      <c r="AB152" s="5">
        <f>VLOOKUP($A152,'ПР 01-02.21'!$A$11:$BB$406,28,FALSE)+VLOOKUP($A152,'ПР 21-22'!$A$11:$BB$406,28,FALSE)-VLOOKUP($A152,'ПР 01-02.22'!$A$11:$BB$378,28,FALSE)</f>
        <v>0</v>
      </c>
      <c r="AC152" s="5">
        <f>VLOOKUP($A152,'ПР 01-02.21'!$A$11:$BB$406,29,FALSE)+VLOOKUP($A152,'ПР 21-22'!$A$11:$BB$406,29,FALSE)-VLOOKUP($A152,'ПР 01-02.22'!$A$11:$BB$378,29,FALSE)</f>
        <v>0</v>
      </c>
      <c r="AD152" s="5">
        <f>VLOOKUP($A152,'ПР 01-02.21'!$A$11:$BB$406,30,FALSE)+VLOOKUP($A152,'ПР 21-22'!$A$11:$BB$406,30,FALSE)-VLOOKUP($A152,'ПР 01-02.22'!$A$11:$BB$378,30,FALSE)</f>
        <v>0</v>
      </c>
      <c r="AE152" s="5">
        <f>VLOOKUP($A152,'ПР 01-02.21'!$A$11:$BB$406,31,FALSE)+VLOOKUP($A152,'ПР 21-22'!$A$11:$BB$406,31,FALSE)-VLOOKUP($A152,'ПР 01-02.22'!$A$11:$BB$378,31,FALSE)</f>
        <v>0</v>
      </c>
      <c r="AF152" s="5">
        <f>VLOOKUP($A152,'ПР 01-02.21'!$A$11:$BB$406,32,FALSE)+VLOOKUP($A152,'ПР 21-22'!$A$11:$BB$406,32,FALSE)-VLOOKUP($A152,'ПР 01-02.22'!$A$11:$BB$378,32,FALSE)</f>
        <v>0</v>
      </c>
      <c r="AG152" s="40"/>
      <c r="AH152" s="5">
        <f>VLOOKUP($A152,'ПР 01-02.21'!$A$11:$BB$406,34,FALSE)+VLOOKUP($A152,'ПР 21-22'!$A$11:$BB$406,34,FALSE)-VLOOKUP($A152,'ПР 01-02.22'!$A$11:$BB$378,34,FALSE)</f>
        <v>0</v>
      </c>
      <c r="AI152" s="5">
        <f>VLOOKUP($A152,'ПР 01-02.21'!$A$11:$BB$406,35,FALSE)+VLOOKUP($A152,'ПР 21-22'!$A$11:$BB$406,35,FALSE)-VLOOKUP($A152,'ПР 01-02.22'!$A$11:$BB$378,35,FALSE)</f>
        <v>0</v>
      </c>
      <c r="AJ152" s="40"/>
      <c r="AK152" s="5">
        <f>VLOOKUP($A152,'ПР 01-02.21'!$A$11:$BB$406,37,FALSE)+VLOOKUP($A152,'ПР 21-22'!$A$11:$BB$406,37,FALSE)-VLOOKUP($A152,'ПР 01-02.22'!$A$11:$BB$378,37,FALSE)</f>
        <v>0</v>
      </c>
      <c r="AL152" s="5">
        <f>VLOOKUP($A152,'ПР 01-02.21'!$A$11:$BB$406,38,FALSE)+VLOOKUP($A152,'ПР 21-22'!$A$11:$BB$406,38,FALSE)-VLOOKUP($A152,'ПР 01-02.22'!$A$11:$BB$378,38,FALSE)</f>
        <v>0</v>
      </c>
      <c r="AM152" s="40"/>
      <c r="AN152" s="5">
        <f>VLOOKUP($A152,'ПР 01-02.21'!$A$11:$BB$406,40,FALSE)+VLOOKUP($A152,'ПР 21-22'!$A$11:$BB$406,40,FALSE)-VLOOKUP($A152,'ПР 01-02.22'!$A$11:$BB$378,40,FALSE)</f>
        <v>0</v>
      </c>
      <c r="AO152" s="5">
        <f>VLOOKUP($A152,'ПР 01-02.21'!$A$11:$BB$406,41,FALSE)+VLOOKUP($A152,'ПР 21-22'!$A$11:$BB$406,41,FALSE)-VLOOKUP($A152,'ПР 01-02.22'!$A$11:$BB$378,41,FALSE)</f>
        <v>0</v>
      </c>
      <c r="AP152" s="40"/>
      <c r="AQ152" s="5">
        <f>VLOOKUP($A152,'ПР 01-02.21'!$A$11:$BB$406,43,FALSE)+VLOOKUP($A152,'ПР 21-22'!$A$11:$BB$406,43,FALSE)-VLOOKUP($A152,'ПР 01-02.22'!$A$11:$BB$378,43,FALSE)</f>
        <v>0</v>
      </c>
      <c r="AR152" s="5">
        <f>VLOOKUP($A152,'ПР 01-02.21'!$A$11:$BB$406,44,FALSE)+VLOOKUP($A152,'ПР 21-22'!$A$11:$BB$406,44,FALSE)-VLOOKUP($A152,'ПР 01-02.22'!$A$11:$BB$378,44,FALSE)</f>
        <v>0</v>
      </c>
      <c r="AS152" s="40"/>
      <c r="AT152" s="5">
        <f>VLOOKUP($A152,'ПР 01-02.21'!$A$11:$BB$406,46,FALSE)+VLOOKUP($A152,'ПР 21-22'!$A$11:$BB$406,46,FALSE)-VLOOKUP($A152,'ПР 01-02.22'!$A$11:$BB$378,46,FALSE)</f>
        <v>0</v>
      </c>
      <c r="AU152" s="5">
        <f>VLOOKUP($A152,'ПР 01-02.21'!$A$11:$BB$406,47,FALSE)+VLOOKUP($A152,'ПР 21-22'!$A$11:$BB$406,47,FALSE)-VLOOKUP($A152,'ПР 01-02.22'!$A$11:$BB$378,47,FALSE)</f>
        <v>0</v>
      </c>
      <c r="AV152" s="40"/>
      <c r="AW152" s="5">
        <f>VLOOKUP($A152,'ПР 01-02.21'!$A$11:$BB$406,49,FALSE)+VLOOKUP($A152,'ПР 21-22'!$A$11:$BB$406,49,FALSE)-VLOOKUP($A152,'ПР 01-02.22'!$A$11:$BB$378,49,FALSE)</f>
        <v>11.644</v>
      </c>
      <c r="AX152" s="5">
        <f>VLOOKUP($A152,'ПР 01-02.21'!$A$11:$BB$406,50,FALSE)+VLOOKUP($A152,'ПР 21-22'!$A$11:$BB$406,50,FALSE)-VLOOKUP($A152,'ПР 01-02.22'!$A$11:$BB$378,50,FALSE)</f>
        <v>0</v>
      </c>
      <c r="AY152" s="40"/>
      <c r="AZ152" s="40">
        <f t="shared" si="9"/>
        <v>11.644</v>
      </c>
      <c r="BA152" s="40">
        <f t="shared" si="9"/>
        <v>0</v>
      </c>
      <c r="BB152" s="55">
        <f t="shared" si="12"/>
        <v>-11.644</v>
      </c>
      <c r="BD152" s="2">
        <v>3</v>
      </c>
      <c r="BF152" s="325">
        <v>150000688</v>
      </c>
    </row>
    <row r="153" spans="1:58" ht="24.9" customHeight="1" x14ac:dyDescent="0.3">
      <c r="A153" s="325">
        <v>150000689</v>
      </c>
      <c r="B153" s="445" t="s">
        <v>94</v>
      </c>
      <c r="C153" s="27">
        <v>1</v>
      </c>
      <c r="D153" s="101" t="s">
        <v>455</v>
      </c>
      <c r="E153" s="279">
        <f>'побудинковий звіт'!E151</f>
        <v>188.9</v>
      </c>
      <c r="F153" s="441">
        <f>'побудинковий звіт'!AS151</f>
        <v>1765.3244624061356</v>
      </c>
      <c r="G153" s="441">
        <f t="shared" si="10"/>
        <v>0</v>
      </c>
      <c r="H153" s="73">
        <f t="shared" si="11"/>
        <v>-1765.3244624061356</v>
      </c>
      <c r="I153" s="5">
        <f>VLOOKUP($A153,'ПР 01-02.21'!$A$11:$BB$406,9,FALSE)+VLOOKUP($A153,'ПР 21-22'!$A$11:$BB$406,9,FALSE)-VLOOKUP($A153,'ПР 01-02.22'!$A$11:$BB$378,9,FALSE)</f>
        <v>0</v>
      </c>
      <c r="J153" s="5">
        <f>VLOOKUP($A153,'ПР 01-02.21'!$A$11:$BB$406,10,FALSE)+VLOOKUP($A153,'ПР 21-22'!$A$11:$BB$406,10,FALSE)-VLOOKUP($A153,'ПР 01-02.22'!$A$11:$BB$378,10,FALSE)</f>
        <v>0</v>
      </c>
      <c r="K153" s="446"/>
      <c r="L153" s="5">
        <f>VLOOKUP($A153,'ПР 01-02.21'!$A$11:$BB$406,12,FALSE)+VLOOKUP($A153,'ПР 21-22'!$A$11:$BB$406,12,FALSE)-VLOOKUP($A153,'ПР 01-02.22'!$A$11:$BB$378,12,FALSE)</f>
        <v>0</v>
      </c>
      <c r="M153" s="5">
        <f>VLOOKUP($A153,'ПР 01-02.21'!$A$11:$BB$406,13,FALSE)+VLOOKUP($A153,'ПР 21-22'!$A$11:$BB$406,13,FALSE)-VLOOKUP($A153,'ПР 01-02.22'!$A$11:$BB$378,13,FALSE)</f>
        <v>0</v>
      </c>
      <c r="N153" s="38"/>
      <c r="O153" s="5">
        <f>VLOOKUP($A153,'ПР 01-02.21'!$A$11:$BB$406,15,FALSE)+VLOOKUP($A153,'ПР 21-22'!$A$11:$BB$406,15,FALSE)-VLOOKUP($A153,'ПР 01-02.22'!$A$11:$BB$378,15,FALSE)</f>
        <v>0</v>
      </c>
      <c r="P153" s="5">
        <f>VLOOKUP($A153,'ПР 01-02.21'!$A$11:$BB$406,16,FALSE)+VLOOKUP($A153,'ПР 21-22'!$A$11:$BB$406,16,FALSE)-VLOOKUP($A153,'ПР 01-02.22'!$A$11:$BB$378,16,FALSE)</f>
        <v>0</v>
      </c>
      <c r="Q153" s="443"/>
      <c r="R153" s="5">
        <f>VLOOKUP($A153,'ПР 01-02.21'!$A$11:$BB$406,18,FALSE)+VLOOKUP($A153,'ПР 21-22'!$A$11:$BB$406,18,FALSE)-VLOOKUP($A153,'ПР 01-02.22'!$A$11:$BB$378,18,FALSE)</f>
        <v>0</v>
      </c>
      <c r="S153" s="5">
        <f>VLOOKUP($A153,'ПР 01-02.21'!$A$11:$BB$406,19,FALSE)+VLOOKUP($A153,'ПР 21-22'!$A$11:$BB$406,19,FALSE)-VLOOKUP($A153,'ПР 01-02.22'!$A$11:$BB$378,19,FALSE)</f>
        <v>0</v>
      </c>
      <c r="T153" s="444"/>
      <c r="U153" s="5">
        <f>VLOOKUP($A153,'ПР 01-02.21'!$A$11:$BB$406,21,FALSE)+VLOOKUP($A153,'ПР 21-22'!$A$11:$BB$406,21,FALSE)-VLOOKUP($A153,'ПР 01-02.22'!$A$11:$BB$378,21,FALSE)</f>
        <v>0</v>
      </c>
      <c r="V153" s="5"/>
      <c r="W153" s="5">
        <f>VLOOKUP($A153,'ПР 01-02.21'!$A$11:$BB$406,23,FALSE)+VLOOKUP($A153,'ПР 21-22'!$A$11:$BB$406,23,FALSE)-VLOOKUP($A153,'ПР 01-02.22'!$A$11:$BB$378,23,FALSE)</f>
        <v>0</v>
      </c>
      <c r="X153" s="5">
        <f>VLOOKUP($A153,'ПР 01-02.21'!$A$11:$BB$406,24,FALSE)+VLOOKUP($A153,'ПР 21-22'!$A$11:$BB$406,24,FALSE)-VLOOKUP($A153,'ПР 01-02.22'!$A$11:$BB$378,24,FALSE)</f>
        <v>0</v>
      </c>
      <c r="Y153" s="5">
        <f>VLOOKUP($A153,'ПР 01-02.21'!$A$11:$BB$406,25,FALSE)+VLOOKUP($A153,'ПР 21-22'!$A$11:$BB$406,25,FALSE)-VLOOKUP($A153,'ПР 01-02.22'!$A$11:$BB$378,25,FALSE)</f>
        <v>0</v>
      </c>
      <c r="Z153" s="5"/>
      <c r="AA153" s="5">
        <f>VLOOKUP($A153,'ПР 01-02.21'!$A$11:$BB$406,27,FALSE)+VLOOKUP($A153,'ПР 21-22'!$A$11:$BB$406,27,FALSE)-VLOOKUP($A153,'ПР 01-02.22'!$A$11:$BB$378,27,FALSE)</f>
        <v>0</v>
      </c>
      <c r="AB153" s="5">
        <f>VLOOKUP($A153,'ПР 01-02.21'!$A$11:$BB$406,28,FALSE)+VLOOKUP($A153,'ПР 21-22'!$A$11:$BB$406,28,FALSE)-VLOOKUP($A153,'ПР 01-02.22'!$A$11:$BB$378,28,FALSE)</f>
        <v>0</v>
      </c>
      <c r="AC153" s="5">
        <f>VLOOKUP($A153,'ПР 01-02.21'!$A$11:$BB$406,29,FALSE)+VLOOKUP($A153,'ПР 21-22'!$A$11:$BB$406,29,FALSE)-VLOOKUP($A153,'ПР 01-02.22'!$A$11:$BB$378,29,FALSE)</f>
        <v>0</v>
      </c>
      <c r="AD153" s="5">
        <f>VLOOKUP($A153,'ПР 01-02.21'!$A$11:$BB$406,30,FALSE)+VLOOKUP($A153,'ПР 21-22'!$A$11:$BB$406,30,FALSE)-VLOOKUP($A153,'ПР 01-02.22'!$A$11:$BB$378,30,FALSE)</f>
        <v>0</v>
      </c>
      <c r="AE153" s="5">
        <f>VLOOKUP($A153,'ПР 01-02.21'!$A$11:$BB$406,31,FALSE)+VLOOKUP($A153,'ПР 21-22'!$A$11:$BB$406,31,FALSE)-VLOOKUP($A153,'ПР 01-02.22'!$A$11:$BB$378,31,FALSE)</f>
        <v>0</v>
      </c>
      <c r="AF153" s="5">
        <f>VLOOKUP($A153,'ПР 01-02.21'!$A$11:$BB$406,32,FALSE)+VLOOKUP($A153,'ПР 21-22'!$A$11:$BB$406,32,FALSE)-VLOOKUP($A153,'ПР 01-02.22'!$A$11:$BB$378,32,FALSE)</f>
        <v>0</v>
      </c>
      <c r="AG153" s="40"/>
      <c r="AH153" s="5">
        <f>VLOOKUP($A153,'ПР 01-02.21'!$A$11:$BB$406,34,FALSE)+VLOOKUP($A153,'ПР 21-22'!$A$11:$BB$406,34,FALSE)-VLOOKUP($A153,'ПР 01-02.22'!$A$11:$BB$378,34,FALSE)</f>
        <v>0</v>
      </c>
      <c r="AI153" s="5">
        <f>VLOOKUP($A153,'ПР 01-02.21'!$A$11:$BB$406,35,FALSE)+VLOOKUP($A153,'ПР 21-22'!$A$11:$BB$406,35,FALSE)-VLOOKUP($A153,'ПР 01-02.22'!$A$11:$BB$378,35,FALSE)</f>
        <v>0</v>
      </c>
      <c r="AJ153" s="40"/>
      <c r="AK153" s="5">
        <f>VLOOKUP($A153,'ПР 01-02.21'!$A$11:$BB$406,37,FALSE)+VLOOKUP($A153,'ПР 21-22'!$A$11:$BB$406,37,FALSE)-VLOOKUP($A153,'ПР 01-02.22'!$A$11:$BB$378,37,FALSE)</f>
        <v>0</v>
      </c>
      <c r="AL153" s="5">
        <f>VLOOKUP($A153,'ПР 01-02.21'!$A$11:$BB$406,38,FALSE)+VLOOKUP($A153,'ПР 21-22'!$A$11:$BB$406,38,FALSE)-VLOOKUP($A153,'ПР 01-02.22'!$A$11:$BB$378,38,FALSE)</f>
        <v>0</v>
      </c>
      <c r="AM153" s="40"/>
      <c r="AN153" s="5">
        <f>VLOOKUP($A153,'ПР 01-02.21'!$A$11:$BB$406,40,FALSE)+VLOOKUP($A153,'ПР 21-22'!$A$11:$BB$406,40,FALSE)-VLOOKUP($A153,'ПР 01-02.22'!$A$11:$BB$378,40,FALSE)</f>
        <v>0</v>
      </c>
      <c r="AO153" s="5">
        <f>VLOOKUP($A153,'ПР 01-02.21'!$A$11:$BB$406,41,FALSE)+VLOOKUP($A153,'ПР 21-22'!$A$11:$BB$406,41,FALSE)-VLOOKUP($A153,'ПР 01-02.22'!$A$11:$BB$378,41,FALSE)</f>
        <v>0</v>
      </c>
      <c r="AP153" s="40"/>
      <c r="AQ153" s="5">
        <f>VLOOKUP($A153,'ПР 01-02.21'!$A$11:$BB$406,43,FALSE)+VLOOKUP($A153,'ПР 21-22'!$A$11:$BB$406,43,FALSE)-VLOOKUP($A153,'ПР 01-02.22'!$A$11:$BB$378,43,FALSE)</f>
        <v>0</v>
      </c>
      <c r="AR153" s="5">
        <f>VLOOKUP($A153,'ПР 01-02.21'!$A$11:$BB$406,44,FALSE)+VLOOKUP($A153,'ПР 21-22'!$A$11:$BB$406,44,FALSE)-VLOOKUP($A153,'ПР 01-02.22'!$A$11:$BB$378,44,FALSE)</f>
        <v>0</v>
      </c>
      <c r="AS153" s="40"/>
      <c r="AT153" s="5">
        <f>VLOOKUP($A153,'ПР 01-02.21'!$A$11:$BB$406,46,FALSE)+VLOOKUP($A153,'ПР 21-22'!$A$11:$BB$406,46,FALSE)-VLOOKUP($A153,'ПР 01-02.22'!$A$11:$BB$378,46,FALSE)</f>
        <v>0</v>
      </c>
      <c r="AU153" s="5">
        <f>VLOOKUP($A153,'ПР 01-02.21'!$A$11:$BB$406,47,FALSE)+VLOOKUP($A153,'ПР 21-22'!$A$11:$BB$406,47,FALSE)-VLOOKUP($A153,'ПР 01-02.22'!$A$11:$BB$378,47,FALSE)</f>
        <v>0</v>
      </c>
      <c r="AV153" s="40"/>
      <c r="AW153" s="5">
        <f>VLOOKUP($A153,'ПР 01-02.21'!$A$11:$BB$406,49,FALSE)+VLOOKUP($A153,'ПР 21-22'!$A$11:$BB$406,49,FALSE)-VLOOKUP($A153,'ПР 01-02.22'!$A$11:$BB$378,49,FALSE)</f>
        <v>9.4280000000000008</v>
      </c>
      <c r="AX153" s="5">
        <f>VLOOKUP($A153,'ПР 01-02.21'!$A$11:$BB$406,50,FALSE)+VLOOKUP($A153,'ПР 21-22'!$A$11:$BB$406,50,FALSE)-VLOOKUP($A153,'ПР 01-02.22'!$A$11:$BB$378,50,FALSE)</f>
        <v>0</v>
      </c>
      <c r="AY153" s="40"/>
      <c r="AZ153" s="40">
        <f t="shared" si="9"/>
        <v>9.4280000000000008</v>
      </c>
      <c r="BA153" s="40">
        <f t="shared" si="9"/>
        <v>0</v>
      </c>
      <c r="BB153" s="55">
        <f t="shared" si="12"/>
        <v>-9.4280000000000008</v>
      </c>
      <c r="BD153" s="2">
        <v>3</v>
      </c>
      <c r="BF153" s="325">
        <v>150000689</v>
      </c>
    </row>
    <row r="154" spans="1:58" ht="24.9" customHeight="1" x14ac:dyDescent="0.3">
      <c r="A154" s="325">
        <v>150000693</v>
      </c>
      <c r="B154" s="445" t="s">
        <v>95</v>
      </c>
      <c r="C154" s="27">
        <v>1</v>
      </c>
      <c r="D154" s="101" t="s">
        <v>455</v>
      </c>
      <c r="E154" s="279">
        <f>'побудинковий звіт'!E152</f>
        <v>165.8</v>
      </c>
      <c r="F154" s="441">
        <f>'побудинковий звіт'!AS152</f>
        <v>0</v>
      </c>
      <c r="G154" s="441">
        <f t="shared" si="10"/>
        <v>0</v>
      </c>
      <c r="H154" s="73">
        <f t="shared" si="11"/>
        <v>0</v>
      </c>
      <c r="I154" s="5"/>
      <c r="J154" s="5"/>
      <c r="K154" s="446"/>
      <c r="L154" s="5"/>
      <c r="M154" s="5"/>
      <c r="N154" s="38"/>
      <c r="O154" s="5"/>
      <c r="P154" s="5"/>
      <c r="Q154" s="443"/>
      <c r="R154" s="5"/>
      <c r="S154" s="5"/>
      <c r="T154" s="444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40"/>
      <c r="AH154" s="5"/>
      <c r="AI154" s="5"/>
      <c r="AJ154" s="40"/>
      <c r="AK154" s="5"/>
      <c r="AL154" s="5"/>
      <c r="AM154" s="40"/>
      <c r="AN154" s="5"/>
      <c r="AO154" s="5"/>
      <c r="AP154" s="40"/>
      <c r="AQ154" s="5"/>
      <c r="AR154" s="5"/>
      <c r="AS154" s="40"/>
      <c r="AT154" s="5"/>
      <c r="AU154" s="5"/>
      <c r="AV154" s="40"/>
      <c r="AW154" s="5"/>
      <c r="AX154" s="5"/>
      <c r="AY154" s="40"/>
      <c r="AZ154" s="40">
        <f t="shared" si="9"/>
        <v>0</v>
      </c>
      <c r="BA154" s="40">
        <f t="shared" si="9"/>
        <v>0</v>
      </c>
      <c r="BB154" s="55">
        <f t="shared" si="12"/>
        <v>0</v>
      </c>
      <c r="BD154" s="2">
        <v>3</v>
      </c>
      <c r="BF154" s="325">
        <v>150000693</v>
      </c>
    </row>
    <row r="155" spans="1:58" ht="24.9" customHeight="1" x14ac:dyDescent="0.3">
      <c r="A155" s="325">
        <v>150000690</v>
      </c>
      <c r="B155" s="445" t="s">
        <v>96</v>
      </c>
      <c r="C155" s="27">
        <v>1</v>
      </c>
      <c r="D155" s="101" t="s">
        <v>455</v>
      </c>
      <c r="E155" s="279">
        <f>'побудинковий звіт'!E153</f>
        <v>142.1</v>
      </c>
      <c r="F155" s="441">
        <f>'побудинковий звіт'!AS153</f>
        <v>1414.0429063845984</v>
      </c>
      <c r="G155" s="441">
        <f t="shared" si="10"/>
        <v>355</v>
      </c>
      <c r="H155" s="73">
        <f t="shared" si="11"/>
        <v>-1059.0429063845984</v>
      </c>
      <c r="I155" s="5">
        <f>VLOOKUP($A155,'ПР 01-02.21'!$A$11:$BB$406,9,FALSE)+VLOOKUP($A155,'ПР 21-22'!$A$11:$BB$406,9,FALSE)-VLOOKUP($A155,'ПР 01-02.22'!$A$11:$BB$378,9,FALSE)</f>
        <v>2</v>
      </c>
      <c r="J155" s="5">
        <f>VLOOKUP($A155,'ПР 01-02.21'!$A$11:$BB$406,10,FALSE)+VLOOKUP($A155,'ПР 21-22'!$A$11:$BB$406,10,FALSE)-VLOOKUP($A155,'ПР 01-02.22'!$A$11:$BB$378,10,FALSE)</f>
        <v>355</v>
      </c>
      <c r="K155" s="446"/>
      <c r="L155" s="5">
        <f>VLOOKUP($A155,'ПР 01-02.21'!$A$11:$BB$406,12,FALSE)+VLOOKUP($A155,'ПР 21-22'!$A$11:$BB$406,12,FALSE)-VLOOKUP($A155,'ПР 01-02.22'!$A$11:$BB$378,12,FALSE)</f>
        <v>0</v>
      </c>
      <c r="M155" s="5">
        <f>VLOOKUP($A155,'ПР 01-02.21'!$A$11:$BB$406,13,FALSE)+VLOOKUP($A155,'ПР 21-22'!$A$11:$BB$406,13,FALSE)-VLOOKUP($A155,'ПР 01-02.22'!$A$11:$BB$378,13,FALSE)</f>
        <v>0</v>
      </c>
      <c r="N155" s="38"/>
      <c r="O155" s="5">
        <f>VLOOKUP($A155,'ПР 01-02.21'!$A$11:$BB$406,15,FALSE)+VLOOKUP($A155,'ПР 21-22'!$A$11:$BB$406,15,FALSE)-VLOOKUP($A155,'ПР 01-02.22'!$A$11:$BB$378,15,FALSE)</f>
        <v>0</v>
      </c>
      <c r="P155" s="5">
        <f>VLOOKUP($A155,'ПР 01-02.21'!$A$11:$BB$406,16,FALSE)+VLOOKUP($A155,'ПР 21-22'!$A$11:$BB$406,16,FALSE)-VLOOKUP($A155,'ПР 01-02.22'!$A$11:$BB$378,16,FALSE)</f>
        <v>0</v>
      </c>
      <c r="Q155" s="443"/>
      <c r="R155" s="5">
        <f>VLOOKUP($A155,'ПР 01-02.21'!$A$11:$BB$406,18,FALSE)+VLOOKUP($A155,'ПР 21-22'!$A$11:$BB$406,18,FALSE)-VLOOKUP($A155,'ПР 01-02.22'!$A$11:$BB$378,18,FALSE)</f>
        <v>0</v>
      </c>
      <c r="S155" s="5">
        <f>VLOOKUP($A155,'ПР 01-02.21'!$A$11:$BB$406,19,FALSE)+VLOOKUP($A155,'ПР 21-22'!$A$11:$BB$406,19,FALSE)-VLOOKUP($A155,'ПР 01-02.22'!$A$11:$BB$378,19,FALSE)</f>
        <v>0</v>
      </c>
      <c r="T155" s="444"/>
      <c r="U155" s="5">
        <f>VLOOKUP($A155,'ПР 01-02.21'!$A$11:$BB$406,21,FALSE)+VLOOKUP($A155,'ПР 21-22'!$A$11:$BB$406,21,FALSE)-VLOOKUP($A155,'ПР 01-02.22'!$A$11:$BB$378,21,FALSE)</f>
        <v>0</v>
      </c>
      <c r="V155" s="5"/>
      <c r="W155" s="5">
        <f>VLOOKUP($A155,'ПР 01-02.21'!$A$11:$BB$406,23,FALSE)+VLOOKUP($A155,'ПР 21-22'!$A$11:$BB$406,23,FALSE)-VLOOKUP($A155,'ПР 01-02.22'!$A$11:$BB$378,23,FALSE)</f>
        <v>0</v>
      </c>
      <c r="X155" s="5">
        <f>VLOOKUP($A155,'ПР 01-02.21'!$A$11:$BB$406,24,FALSE)+VLOOKUP($A155,'ПР 21-22'!$A$11:$BB$406,24,FALSE)-VLOOKUP($A155,'ПР 01-02.22'!$A$11:$BB$378,24,FALSE)</f>
        <v>0</v>
      </c>
      <c r="Y155" s="5">
        <f>VLOOKUP($A155,'ПР 01-02.21'!$A$11:$BB$406,25,FALSE)+VLOOKUP($A155,'ПР 21-22'!$A$11:$BB$406,25,FALSE)-VLOOKUP($A155,'ПР 01-02.22'!$A$11:$BB$378,25,FALSE)</f>
        <v>0</v>
      </c>
      <c r="Z155" s="5"/>
      <c r="AA155" s="5">
        <f>VLOOKUP($A155,'ПР 01-02.21'!$A$11:$BB$406,27,FALSE)+VLOOKUP($A155,'ПР 21-22'!$A$11:$BB$406,27,FALSE)-VLOOKUP($A155,'ПР 01-02.22'!$A$11:$BB$378,27,FALSE)</f>
        <v>0</v>
      </c>
      <c r="AB155" s="5">
        <f>VLOOKUP($A155,'ПР 01-02.21'!$A$11:$BB$406,28,FALSE)+VLOOKUP($A155,'ПР 21-22'!$A$11:$BB$406,28,FALSE)-VLOOKUP($A155,'ПР 01-02.22'!$A$11:$BB$378,28,FALSE)</f>
        <v>0</v>
      </c>
      <c r="AC155" s="5">
        <f>VLOOKUP($A155,'ПР 01-02.21'!$A$11:$BB$406,29,FALSE)+VLOOKUP($A155,'ПР 21-22'!$A$11:$BB$406,29,FALSE)-VLOOKUP($A155,'ПР 01-02.22'!$A$11:$BB$378,29,FALSE)</f>
        <v>0</v>
      </c>
      <c r="AD155" s="5">
        <f>VLOOKUP($A155,'ПР 01-02.21'!$A$11:$BB$406,30,FALSE)+VLOOKUP($A155,'ПР 21-22'!$A$11:$BB$406,30,FALSE)-VLOOKUP($A155,'ПР 01-02.22'!$A$11:$BB$378,30,FALSE)</f>
        <v>0</v>
      </c>
      <c r="AE155" s="5">
        <f>VLOOKUP($A155,'ПР 01-02.21'!$A$11:$BB$406,31,FALSE)+VLOOKUP($A155,'ПР 21-22'!$A$11:$BB$406,31,FALSE)-VLOOKUP($A155,'ПР 01-02.22'!$A$11:$BB$378,31,FALSE)</f>
        <v>0</v>
      </c>
      <c r="AF155" s="5">
        <f>VLOOKUP($A155,'ПР 01-02.21'!$A$11:$BB$406,32,FALSE)+VLOOKUP($A155,'ПР 21-22'!$A$11:$BB$406,32,FALSE)-VLOOKUP($A155,'ПР 01-02.22'!$A$11:$BB$378,32,FALSE)</f>
        <v>0</v>
      </c>
      <c r="AG155" s="40"/>
      <c r="AH155" s="5">
        <f>VLOOKUP($A155,'ПР 01-02.21'!$A$11:$BB$406,34,FALSE)+VLOOKUP($A155,'ПР 21-22'!$A$11:$BB$406,34,FALSE)-VLOOKUP($A155,'ПР 01-02.22'!$A$11:$BB$378,34,FALSE)</f>
        <v>0</v>
      </c>
      <c r="AI155" s="5">
        <f>VLOOKUP($A155,'ПР 01-02.21'!$A$11:$BB$406,35,FALSE)+VLOOKUP($A155,'ПР 21-22'!$A$11:$BB$406,35,FALSE)-VLOOKUP($A155,'ПР 01-02.22'!$A$11:$BB$378,35,FALSE)</f>
        <v>0</v>
      </c>
      <c r="AJ155" s="40"/>
      <c r="AK155" s="5">
        <f>VLOOKUP($A155,'ПР 01-02.21'!$A$11:$BB$406,37,FALSE)+VLOOKUP($A155,'ПР 21-22'!$A$11:$BB$406,37,FALSE)-VLOOKUP($A155,'ПР 01-02.22'!$A$11:$BB$378,37,FALSE)</f>
        <v>0</v>
      </c>
      <c r="AL155" s="5">
        <f>VLOOKUP($A155,'ПР 01-02.21'!$A$11:$BB$406,38,FALSE)+VLOOKUP($A155,'ПР 21-22'!$A$11:$BB$406,38,FALSE)-VLOOKUP($A155,'ПР 01-02.22'!$A$11:$BB$378,38,FALSE)</f>
        <v>0</v>
      </c>
      <c r="AM155" s="40"/>
      <c r="AN155" s="5">
        <f>VLOOKUP($A155,'ПР 01-02.21'!$A$11:$BB$406,40,FALSE)+VLOOKUP($A155,'ПР 21-22'!$A$11:$BB$406,40,FALSE)-VLOOKUP($A155,'ПР 01-02.22'!$A$11:$BB$378,40,FALSE)</f>
        <v>0</v>
      </c>
      <c r="AO155" s="5">
        <f>VLOOKUP($A155,'ПР 01-02.21'!$A$11:$BB$406,41,FALSE)+VLOOKUP($A155,'ПР 21-22'!$A$11:$BB$406,41,FALSE)-VLOOKUP($A155,'ПР 01-02.22'!$A$11:$BB$378,41,FALSE)</f>
        <v>0</v>
      </c>
      <c r="AP155" s="40"/>
      <c r="AQ155" s="5">
        <f>VLOOKUP($A155,'ПР 01-02.21'!$A$11:$BB$406,43,FALSE)+VLOOKUP($A155,'ПР 21-22'!$A$11:$BB$406,43,FALSE)-VLOOKUP($A155,'ПР 01-02.22'!$A$11:$BB$378,43,FALSE)</f>
        <v>0</v>
      </c>
      <c r="AR155" s="5">
        <f>VLOOKUP($A155,'ПР 01-02.21'!$A$11:$BB$406,44,FALSE)+VLOOKUP($A155,'ПР 21-22'!$A$11:$BB$406,44,FALSE)-VLOOKUP($A155,'ПР 01-02.22'!$A$11:$BB$378,44,FALSE)</f>
        <v>0</v>
      </c>
      <c r="AS155" s="40"/>
      <c r="AT155" s="5">
        <f>VLOOKUP($A155,'ПР 01-02.21'!$A$11:$BB$406,46,FALSE)+VLOOKUP($A155,'ПР 21-22'!$A$11:$BB$406,46,FALSE)-VLOOKUP($A155,'ПР 01-02.22'!$A$11:$BB$378,46,FALSE)</f>
        <v>0</v>
      </c>
      <c r="AU155" s="5">
        <f>VLOOKUP($A155,'ПР 01-02.21'!$A$11:$BB$406,47,FALSE)+VLOOKUP($A155,'ПР 21-22'!$A$11:$BB$406,47,FALSE)-VLOOKUP($A155,'ПР 01-02.22'!$A$11:$BB$378,47,FALSE)</f>
        <v>0</v>
      </c>
      <c r="AV155" s="40"/>
      <c r="AW155" s="5">
        <f>VLOOKUP($A155,'ПР 01-02.21'!$A$11:$BB$406,49,FALSE)+VLOOKUP($A155,'ПР 21-22'!$A$11:$BB$406,49,FALSE)-VLOOKUP($A155,'ПР 01-02.22'!$A$11:$BB$378,49,FALSE)</f>
        <v>6.6840000000000002</v>
      </c>
      <c r="AX155" s="5">
        <f>VLOOKUP($A155,'ПР 01-02.21'!$A$11:$BB$406,50,FALSE)+VLOOKUP($A155,'ПР 21-22'!$A$11:$BB$406,50,FALSE)-VLOOKUP($A155,'ПР 01-02.22'!$A$11:$BB$378,50,FALSE)</f>
        <v>0</v>
      </c>
      <c r="AY155" s="40"/>
      <c r="AZ155" s="40">
        <f t="shared" si="9"/>
        <v>6.6840000000000002</v>
      </c>
      <c r="BA155" s="40">
        <f t="shared" si="9"/>
        <v>0</v>
      </c>
      <c r="BB155" s="55">
        <f t="shared" si="12"/>
        <v>-6.6840000000000002</v>
      </c>
      <c r="BD155" s="2">
        <v>3</v>
      </c>
      <c r="BF155" s="325">
        <v>150000690</v>
      </c>
    </row>
    <row r="156" spans="1:58" ht="24.9" customHeight="1" x14ac:dyDescent="0.3">
      <c r="A156" s="325">
        <v>150000648</v>
      </c>
      <c r="B156" s="445" t="s">
        <v>362</v>
      </c>
      <c r="C156" s="27">
        <v>9</v>
      </c>
      <c r="D156" s="101" t="s">
        <v>455</v>
      </c>
      <c r="E156" s="279">
        <f>'побудинковий звіт'!E154</f>
        <v>3815</v>
      </c>
      <c r="F156" s="441">
        <f>'побудинковий звіт'!AS154</f>
        <v>37031.137767537308</v>
      </c>
      <c r="G156" s="441">
        <f t="shared" si="10"/>
        <v>26840</v>
      </c>
      <c r="H156" s="73">
        <f t="shared" si="11"/>
        <v>-10191.137767537308</v>
      </c>
      <c r="I156" s="5">
        <f>VLOOKUP($A156,'ПР 01-02.21'!$A$11:$BB$406,9,FALSE)+VLOOKUP($A156,'ПР 21-22'!$A$11:$BB$406,9,FALSE)-VLOOKUP($A156,'ПР 01-02.22'!$A$11:$BB$378,9,FALSE)</f>
        <v>0</v>
      </c>
      <c r="J156" s="5">
        <f>VLOOKUP($A156,'ПР 01-02.21'!$A$11:$BB$406,10,FALSE)+VLOOKUP($A156,'ПР 21-22'!$A$11:$BB$406,10,FALSE)-VLOOKUP($A156,'ПР 01-02.22'!$A$11:$BB$378,10,FALSE)</f>
        <v>0</v>
      </c>
      <c r="K156" s="446"/>
      <c r="L156" s="5">
        <f>VLOOKUP($A156,'ПР 01-02.21'!$A$11:$BB$406,12,FALSE)+VLOOKUP($A156,'ПР 21-22'!$A$11:$BB$406,12,FALSE)-VLOOKUP($A156,'ПР 01-02.22'!$A$11:$BB$378,12,FALSE)</f>
        <v>0</v>
      </c>
      <c r="M156" s="5">
        <f>VLOOKUP($A156,'ПР 01-02.21'!$A$11:$BB$406,13,FALSE)+VLOOKUP($A156,'ПР 21-22'!$A$11:$BB$406,13,FALSE)-VLOOKUP($A156,'ПР 01-02.22'!$A$11:$BB$378,13,FALSE)</f>
        <v>0</v>
      </c>
      <c r="N156" s="38"/>
      <c r="O156" s="5">
        <f>VLOOKUP($A156,'ПР 01-02.21'!$A$11:$BB$406,15,FALSE)+VLOOKUP($A156,'ПР 21-22'!$A$11:$BB$406,15,FALSE)-VLOOKUP($A156,'ПР 01-02.22'!$A$11:$BB$378,15,FALSE)</f>
        <v>0</v>
      </c>
      <c r="P156" s="5">
        <f>VLOOKUP($A156,'ПР 01-02.21'!$A$11:$BB$406,16,FALSE)+VLOOKUP($A156,'ПР 21-22'!$A$11:$BB$406,16,FALSE)-VLOOKUP($A156,'ПР 01-02.22'!$A$11:$BB$378,16,FALSE)</f>
        <v>0</v>
      </c>
      <c r="Q156" s="443"/>
      <c r="R156" s="5">
        <f>VLOOKUP($A156,'ПР 01-02.21'!$A$11:$BB$406,18,FALSE)+VLOOKUP($A156,'ПР 21-22'!$A$11:$BB$406,18,FALSE)-VLOOKUP($A156,'ПР 01-02.22'!$A$11:$BB$378,18,FALSE)</f>
        <v>1</v>
      </c>
      <c r="S156" s="5">
        <f>VLOOKUP($A156,'ПР 01-02.21'!$A$11:$BB$406,19,FALSE)+VLOOKUP($A156,'ПР 21-22'!$A$11:$BB$406,19,FALSE)-VLOOKUP($A156,'ПР 01-02.22'!$A$11:$BB$378,19,FALSE)</f>
        <v>841</v>
      </c>
      <c r="T156" s="444"/>
      <c r="U156" s="5">
        <f>VLOOKUP($A156,'ПР 01-02.21'!$A$11:$BB$406,21,FALSE)+VLOOKUP($A156,'ПР 21-22'!$A$11:$BB$406,21,FALSE)-VLOOKUP($A156,'ПР 01-02.22'!$A$11:$BB$378,21,FALSE)</f>
        <v>0</v>
      </c>
      <c r="V156" s="5"/>
      <c r="W156" s="5">
        <f>VLOOKUP($A156,'ПР 01-02.21'!$A$11:$BB$406,23,FALSE)+VLOOKUP($A156,'ПР 21-22'!$A$11:$BB$406,23,FALSE)-VLOOKUP($A156,'ПР 01-02.22'!$A$11:$BB$378,23,FALSE)</f>
        <v>0</v>
      </c>
      <c r="X156" s="5">
        <f>VLOOKUP($A156,'ПР 01-02.21'!$A$11:$BB$406,24,FALSE)+VLOOKUP($A156,'ПР 21-22'!$A$11:$BB$406,24,FALSE)-VLOOKUP($A156,'ПР 01-02.22'!$A$11:$BB$378,24,FALSE)</f>
        <v>0</v>
      </c>
      <c r="Y156" s="5">
        <f>VLOOKUP($A156,'ПР 01-02.21'!$A$11:$BB$406,25,FALSE)+VLOOKUP($A156,'ПР 21-22'!$A$11:$BB$406,25,FALSE)-VLOOKUP($A156,'ПР 01-02.22'!$A$11:$BB$378,25,FALSE)</f>
        <v>25821</v>
      </c>
      <c r="Z156" s="5"/>
      <c r="AA156" s="5">
        <f>VLOOKUP($A156,'ПР 01-02.21'!$A$11:$BB$406,27,FALSE)+VLOOKUP($A156,'ПР 21-22'!$A$11:$BB$406,27,FALSE)-VLOOKUP($A156,'ПР 01-02.22'!$A$11:$BB$378,27,FALSE)</f>
        <v>0</v>
      </c>
      <c r="AB156" s="5">
        <f>VLOOKUP($A156,'ПР 01-02.21'!$A$11:$BB$406,28,FALSE)+VLOOKUP($A156,'ПР 21-22'!$A$11:$BB$406,28,FALSE)-VLOOKUP($A156,'ПР 01-02.22'!$A$11:$BB$378,28,FALSE)</f>
        <v>0</v>
      </c>
      <c r="AC156" s="5">
        <f>VLOOKUP($A156,'ПР 01-02.21'!$A$11:$BB$406,29,FALSE)+VLOOKUP($A156,'ПР 21-22'!$A$11:$BB$406,29,FALSE)-VLOOKUP($A156,'ПР 01-02.22'!$A$11:$BB$378,29,FALSE)</f>
        <v>0</v>
      </c>
      <c r="AD156" s="5">
        <f>VLOOKUP($A156,'ПР 01-02.21'!$A$11:$BB$406,30,FALSE)+VLOOKUP($A156,'ПР 21-22'!$A$11:$BB$406,30,FALSE)-VLOOKUP($A156,'ПР 01-02.22'!$A$11:$BB$378,30,FALSE)</f>
        <v>178</v>
      </c>
      <c r="AE156" s="5">
        <f>VLOOKUP($A156,'ПР 01-02.21'!$A$11:$BB$406,31,FALSE)+VLOOKUP($A156,'ПР 21-22'!$A$11:$BB$406,31,FALSE)-VLOOKUP($A156,'ПР 01-02.22'!$A$11:$BB$378,31,FALSE)</f>
        <v>1918.9939906990567</v>
      </c>
      <c r="AF156" s="5">
        <f>VLOOKUP($A156,'ПР 01-02.21'!$A$11:$BB$406,32,FALSE)+VLOOKUP($A156,'ПР 21-22'!$A$11:$BB$406,32,FALSE)-VLOOKUP($A156,'ПР 01-02.22'!$A$11:$BB$378,32,FALSE)</f>
        <v>0</v>
      </c>
      <c r="AG156" s="40"/>
      <c r="AH156" s="5">
        <f>VLOOKUP($A156,'ПР 01-02.21'!$A$11:$BB$406,34,FALSE)+VLOOKUP($A156,'ПР 21-22'!$A$11:$BB$406,34,FALSE)-VLOOKUP($A156,'ПР 01-02.22'!$A$11:$BB$378,34,FALSE)</f>
        <v>2043.7321335611823</v>
      </c>
      <c r="AI156" s="5">
        <f>VLOOKUP($A156,'ПР 01-02.21'!$A$11:$BB$406,35,FALSE)+VLOOKUP($A156,'ПР 21-22'!$A$11:$BB$406,35,FALSE)-VLOOKUP($A156,'ПР 01-02.22'!$A$11:$BB$378,35,FALSE)</f>
        <v>0</v>
      </c>
      <c r="AJ156" s="40"/>
      <c r="AK156" s="5">
        <f>VLOOKUP($A156,'ПР 01-02.21'!$A$11:$BB$406,37,FALSE)+VLOOKUP($A156,'ПР 21-22'!$A$11:$BB$406,37,FALSE)-VLOOKUP($A156,'ПР 01-02.22'!$A$11:$BB$378,37,FALSE)</f>
        <v>2018.7825526603751</v>
      </c>
      <c r="AL156" s="5">
        <f>VLOOKUP($A156,'ПР 01-02.21'!$A$11:$BB$406,38,FALSE)+VLOOKUP($A156,'ПР 21-22'!$A$11:$BB$406,38,FALSE)-VLOOKUP($A156,'ПР 01-02.22'!$A$11:$BB$378,38,FALSE)</f>
        <v>0</v>
      </c>
      <c r="AM156" s="40"/>
      <c r="AN156" s="5">
        <f>VLOOKUP($A156,'ПР 01-02.21'!$A$11:$BB$406,40,FALSE)+VLOOKUP($A156,'ПР 21-22'!$A$11:$BB$406,40,FALSE)-VLOOKUP($A156,'ПР 01-02.22'!$A$11:$BB$378,40,FALSE)</f>
        <v>2459.2813368943348</v>
      </c>
      <c r="AO156" s="5">
        <f>VLOOKUP($A156,'ПР 01-02.21'!$A$11:$BB$406,41,FALSE)+VLOOKUP($A156,'ПР 21-22'!$A$11:$BB$406,41,FALSE)-VLOOKUP($A156,'ПР 01-02.22'!$A$11:$BB$378,41,FALSE)</f>
        <v>0</v>
      </c>
      <c r="AP156" s="40"/>
      <c r="AQ156" s="5">
        <f>VLOOKUP($A156,'ПР 01-02.21'!$A$11:$BB$406,43,FALSE)+VLOOKUP($A156,'ПР 21-22'!$A$11:$BB$406,43,FALSE)-VLOOKUP($A156,'ПР 01-02.22'!$A$11:$BB$378,43,FALSE)</f>
        <v>637.39993069351021</v>
      </c>
      <c r="AR156" s="5">
        <f>VLOOKUP($A156,'ПР 01-02.21'!$A$11:$BB$406,44,FALSE)+VLOOKUP($A156,'ПР 21-22'!$A$11:$BB$406,44,FALSE)-VLOOKUP($A156,'ПР 01-02.22'!$A$11:$BB$378,44,FALSE)</f>
        <v>0</v>
      </c>
      <c r="AS156" s="40"/>
      <c r="AT156" s="5">
        <f>VLOOKUP($A156,'ПР 01-02.21'!$A$11:$BB$406,46,FALSE)+VLOOKUP($A156,'ПР 21-22'!$A$11:$BB$406,46,FALSE)-VLOOKUP($A156,'ПР 01-02.22'!$A$11:$BB$378,46,FALSE)</f>
        <v>547.17124474430557</v>
      </c>
      <c r="AU156" s="5">
        <f>VLOOKUP($A156,'ПР 01-02.21'!$A$11:$BB$406,47,FALSE)+VLOOKUP($A156,'ПР 21-22'!$A$11:$BB$406,47,FALSE)-VLOOKUP($A156,'ПР 01-02.22'!$A$11:$BB$378,47,FALSE)</f>
        <v>0</v>
      </c>
      <c r="AV156" s="40"/>
      <c r="AW156" s="5">
        <f>VLOOKUP($A156,'ПР 01-02.21'!$A$11:$BB$406,49,FALSE)+VLOOKUP($A156,'ПР 21-22'!$A$11:$BB$406,49,FALSE)-VLOOKUP($A156,'ПР 01-02.22'!$A$11:$BB$378,49,FALSE)</f>
        <v>190.6</v>
      </c>
      <c r="AX156" s="5">
        <f>VLOOKUP($A156,'ПР 01-02.21'!$A$11:$BB$406,50,FALSE)+VLOOKUP($A156,'ПР 21-22'!$A$11:$BB$406,50,FALSE)-VLOOKUP($A156,'ПР 01-02.22'!$A$11:$BB$378,50,FALSE)</f>
        <v>0</v>
      </c>
      <c r="AY156" s="40"/>
      <c r="AZ156" s="40">
        <f t="shared" si="9"/>
        <v>9815.9611892527664</v>
      </c>
      <c r="BA156" s="40">
        <f t="shared" si="9"/>
        <v>0</v>
      </c>
      <c r="BB156" s="55">
        <f t="shared" si="12"/>
        <v>-9815.9611892527664</v>
      </c>
      <c r="BD156" s="2">
        <v>3</v>
      </c>
      <c r="BF156" s="325">
        <v>150000648</v>
      </c>
    </row>
    <row r="157" spans="1:58" ht="24.9" customHeight="1" x14ac:dyDescent="0.3">
      <c r="A157" s="325">
        <v>150000647</v>
      </c>
      <c r="B157" s="445" t="s">
        <v>97</v>
      </c>
      <c r="C157" s="27">
        <v>1</v>
      </c>
      <c r="D157" s="101" t="s">
        <v>455</v>
      </c>
      <c r="E157" s="279">
        <f>'побудинковий звіт'!E155</f>
        <v>278.14999999999998</v>
      </c>
      <c r="F157" s="441">
        <f>'побудинковий звіт'!AS155</f>
        <v>3067.6854605717654</v>
      </c>
      <c r="G157" s="441">
        <f t="shared" si="10"/>
        <v>1550</v>
      </c>
      <c r="H157" s="73">
        <f t="shared" si="11"/>
        <v>-1517.6854605717654</v>
      </c>
      <c r="I157" s="5">
        <f>VLOOKUP($A157,'ПР 01-02.21'!$A$11:$BB$406,9,FALSE)+VLOOKUP($A157,'ПР 21-22'!$A$11:$BB$406,9,FALSE)-VLOOKUP($A157,'ПР 01-02.22'!$A$11:$BB$378,9,FALSE)</f>
        <v>0</v>
      </c>
      <c r="J157" s="5">
        <f>VLOOKUP($A157,'ПР 01-02.21'!$A$11:$BB$406,10,FALSE)+VLOOKUP($A157,'ПР 21-22'!$A$11:$BB$406,10,FALSE)-VLOOKUP($A157,'ПР 01-02.22'!$A$11:$BB$378,10,FALSE)</f>
        <v>0</v>
      </c>
      <c r="K157" s="446"/>
      <c r="L157" s="5">
        <f>VLOOKUP($A157,'ПР 01-02.21'!$A$11:$BB$406,12,FALSE)+VLOOKUP($A157,'ПР 21-22'!$A$11:$BB$406,12,FALSE)-VLOOKUP($A157,'ПР 01-02.22'!$A$11:$BB$378,12,FALSE)</f>
        <v>0</v>
      </c>
      <c r="M157" s="5">
        <f>VLOOKUP($A157,'ПР 01-02.21'!$A$11:$BB$406,13,FALSE)+VLOOKUP($A157,'ПР 21-22'!$A$11:$BB$406,13,FALSE)-VLOOKUP($A157,'ПР 01-02.22'!$A$11:$BB$378,13,FALSE)</f>
        <v>0</v>
      </c>
      <c r="N157" s="38"/>
      <c r="O157" s="5">
        <f>VLOOKUP($A157,'ПР 01-02.21'!$A$11:$BB$406,15,FALSE)+VLOOKUP($A157,'ПР 21-22'!$A$11:$BB$406,15,FALSE)-VLOOKUP($A157,'ПР 01-02.22'!$A$11:$BB$378,15,FALSE)</f>
        <v>0</v>
      </c>
      <c r="P157" s="5">
        <f>VLOOKUP($A157,'ПР 01-02.21'!$A$11:$BB$406,16,FALSE)+VLOOKUP($A157,'ПР 21-22'!$A$11:$BB$406,16,FALSE)-VLOOKUP($A157,'ПР 01-02.22'!$A$11:$BB$378,16,FALSE)</f>
        <v>0</v>
      </c>
      <c r="Q157" s="443"/>
      <c r="R157" s="5">
        <f>VLOOKUP($A157,'ПР 01-02.21'!$A$11:$BB$406,18,FALSE)+VLOOKUP($A157,'ПР 21-22'!$A$11:$BB$406,18,FALSE)-VLOOKUP($A157,'ПР 01-02.22'!$A$11:$BB$378,18,FALSE)</f>
        <v>0</v>
      </c>
      <c r="S157" s="5">
        <f>VLOOKUP($A157,'ПР 01-02.21'!$A$11:$BB$406,19,FALSE)+VLOOKUP($A157,'ПР 21-22'!$A$11:$BB$406,19,FALSE)-VLOOKUP($A157,'ПР 01-02.22'!$A$11:$BB$378,19,FALSE)</f>
        <v>0</v>
      </c>
      <c r="T157" s="444"/>
      <c r="U157" s="5">
        <f>VLOOKUP($A157,'ПР 01-02.21'!$A$11:$BB$406,21,FALSE)+VLOOKUP($A157,'ПР 21-22'!$A$11:$BB$406,21,FALSE)-VLOOKUP($A157,'ПР 01-02.22'!$A$11:$BB$378,21,FALSE)</f>
        <v>0</v>
      </c>
      <c r="V157" s="5"/>
      <c r="W157" s="5">
        <f>VLOOKUP($A157,'ПР 01-02.21'!$A$11:$BB$406,23,FALSE)+VLOOKUP($A157,'ПР 21-22'!$A$11:$BB$406,23,FALSE)-VLOOKUP($A157,'ПР 01-02.22'!$A$11:$BB$378,23,FALSE)</f>
        <v>0</v>
      </c>
      <c r="X157" s="5">
        <f>VLOOKUP($A157,'ПР 01-02.21'!$A$11:$BB$406,24,FALSE)+VLOOKUP($A157,'ПР 21-22'!$A$11:$BB$406,24,FALSE)-VLOOKUP($A157,'ПР 01-02.22'!$A$11:$BB$378,24,FALSE)</f>
        <v>0</v>
      </c>
      <c r="Y157" s="5">
        <f>VLOOKUP($A157,'ПР 01-02.21'!$A$11:$BB$406,25,FALSE)+VLOOKUP($A157,'ПР 21-22'!$A$11:$BB$406,25,FALSE)-VLOOKUP($A157,'ПР 01-02.22'!$A$11:$BB$378,25,FALSE)</f>
        <v>1550</v>
      </c>
      <c r="Z157" s="5"/>
      <c r="AA157" s="5">
        <f>VLOOKUP($A157,'ПР 01-02.21'!$A$11:$BB$406,27,FALSE)+VLOOKUP($A157,'ПР 21-22'!$A$11:$BB$406,27,FALSE)-VLOOKUP($A157,'ПР 01-02.22'!$A$11:$BB$378,27,FALSE)</f>
        <v>0</v>
      </c>
      <c r="AB157" s="5">
        <f>VLOOKUP($A157,'ПР 01-02.21'!$A$11:$BB$406,28,FALSE)+VLOOKUP($A157,'ПР 21-22'!$A$11:$BB$406,28,FALSE)-VLOOKUP($A157,'ПР 01-02.22'!$A$11:$BB$378,28,FALSE)</f>
        <v>0</v>
      </c>
      <c r="AC157" s="5">
        <f>VLOOKUP($A157,'ПР 01-02.21'!$A$11:$BB$406,29,FALSE)+VLOOKUP($A157,'ПР 21-22'!$A$11:$BB$406,29,FALSE)-VLOOKUP($A157,'ПР 01-02.22'!$A$11:$BB$378,29,FALSE)</f>
        <v>0</v>
      </c>
      <c r="AD157" s="5">
        <f>VLOOKUP($A157,'ПР 01-02.21'!$A$11:$BB$406,30,FALSE)+VLOOKUP($A157,'ПР 21-22'!$A$11:$BB$406,30,FALSE)-VLOOKUP($A157,'ПР 01-02.22'!$A$11:$BB$378,30,FALSE)</f>
        <v>0</v>
      </c>
      <c r="AE157" s="5">
        <f>VLOOKUP($A157,'ПР 01-02.21'!$A$11:$BB$406,31,FALSE)+VLOOKUP($A157,'ПР 21-22'!$A$11:$BB$406,31,FALSE)-VLOOKUP($A157,'ПР 01-02.22'!$A$11:$BB$378,31,FALSE)</f>
        <v>0</v>
      </c>
      <c r="AF157" s="5">
        <f>VLOOKUP($A157,'ПР 01-02.21'!$A$11:$BB$406,32,FALSE)+VLOOKUP($A157,'ПР 21-22'!$A$11:$BB$406,32,FALSE)-VLOOKUP($A157,'ПР 01-02.22'!$A$11:$BB$378,32,FALSE)</f>
        <v>0</v>
      </c>
      <c r="AG157" s="40"/>
      <c r="AH157" s="5">
        <f>VLOOKUP($A157,'ПР 01-02.21'!$A$11:$BB$406,34,FALSE)+VLOOKUP($A157,'ПР 21-22'!$A$11:$BB$406,34,FALSE)-VLOOKUP($A157,'ПР 01-02.22'!$A$11:$BB$378,34,FALSE)</f>
        <v>0</v>
      </c>
      <c r="AI157" s="5">
        <f>VLOOKUP($A157,'ПР 01-02.21'!$A$11:$BB$406,35,FALSE)+VLOOKUP($A157,'ПР 21-22'!$A$11:$BB$406,35,FALSE)-VLOOKUP($A157,'ПР 01-02.22'!$A$11:$BB$378,35,FALSE)</f>
        <v>0</v>
      </c>
      <c r="AJ157" s="40"/>
      <c r="AK157" s="5">
        <f>VLOOKUP($A157,'ПР 01-02.21'!$A$11:$BB$406,37,FALSE)+VLOOKUP($A157,'ПР 21-22'!$A$11:$BB$406,37,FALSE)-VLOOKUP($A157,'ПР 01-02.22'!$A$11:$BB$378,37,FALSE)</f>
        <v>0</v>
      </c>
      <c r="AL157" s="5">
        <f>VLOOKUP($A157,'ПР 01-02.21'!$A$11:$BB$406,38,FALSE)+VLOOKUP($A157,'ПР 21-22'!$A$11:$BB$406,38,FALSE)-VLOOKUP($A157,'ПР 01-02.22'!$A$11:$BB$378,38,FALSE)</f>
        <v>0</v>
      </c>
      <c r="AM157" s="40"/>
      <c r="AN157" s="5">
        <f>VLOOKUP($A157,'ПР 01-02.21'!$A$11:$BB$406,40,FALSE)+VLOOKUP($A157,'ПР 21-22'!$A$11:$BB$406,40,FALSE)-VLOOKUP($A157,'ПР 01-02.22'!$A$11:$BB$378,40,FALSE)</f>
        <v>0</v>
      </c>
      <c r="AO157" s="5">
        <f>VLOOKUP($A157,'ПР 01-02.21'!$A$11:$BB$406,41,FALSE)+VLOOKUP($A157,'ПР 21-22'!$A$11:$BB$406,41,FALSE)-VLOOKUP($A157,'ПР 01-02.22'!$A$11:$BB$378,41,FALSE)</f>
        <v>0</v>
      </c>
      <c r="AP157" s="40"/>
      <c r="AQ157" s="5">
        <f>VLOOKUP($A157,'ПР 01-02.21'!$A$11:$BB$406,43,FALSE)+VLOOKUP($A157,'ПР 21-22'!$A$11:$BB$406,43,FALSE)-VLOOKUP($A157,'ПР 01-02.22'!$A$11:$BB$378,43,FALSE)</f>
        <v>0</v>
      </c>
      <c r="AR157" s="5">
        <f>VLOOKUP($A157,'ПР 01-02.21'!$A$11:$BB$406,44,FALSE)+VLOOKUP($A157,'ПР 21-22'!$A$11:$BB$406,44,FALSE)-VLOOKUP($A157,'ПР 01-02.22'!$A$11:$BB$378,44,FALSE)</f>
        <v>0</v>
      </c>
      <c r="AS157" s="40"/>
      <c r="AT157" s="5">
        <f>VLOOKUP($A157,'ПР 01-02.21'!$A$11:$BB$406,46,FALSE)+VLOOKUP($A157,'ПР 21-22'!$A$11:$BB$406,46,FALSE)-VLOOKUP($A157,'ПР 01-02.22'!$A$11:$BB$378,46,FALSE)</f>
        <v>0</v>
      </c>
      <c r="AU157" s="5">
        <f>VLOOKUP($A157,'ПР 01-02.21'!$A$11:$BB$406,47,FALSE)+VLOOKUP($A157,'ПР 21-22'!$A$11:$BB$406,47,FALSE)-VLOOKUP($A157,'ПР 01-02.22'!$A$11:$BB$378,47,FALSE)</f>
        <v>0</v>
      </c>
      <c r="AV157" s="40"/>
      <c r="AW157" s="5">
        <f>VLOOKUP($A157,'ПР 01-02.21'!$A$11:$BB$406,49,FALSE)+VLOOKUP($A157,'ПР 21-22'!$A$11:$BB$406,49,FALSE)-VLOOKUP($A157,'ПР 01-02.22'!$A$11:$BB$378,49,FALSE)</f>
        <v>14.125999999999999</v>
      </c>
      <c r="AX157" s="5">
        <f>VLOOKUP($A157,'ПР 01-02.21'!$A$11:$BB$406,50,FALSE)+VLOOKUP($A157,'ПР 21-22'!$A$11:$BB$406,50,FALSE)-VLOOKUP($A157,'ПР 01-02.22'!$A$11:$BB$378,50,FALSE)</f>
        <v>0</v>
      </c>
      <c r="AY157" s="40"/>
      <c r="AZ157" s="40">
        <f t="shared" si="9"/>
        <v>14.125999999999999</v>
      </c>
      <c r="BA157" s="40">
        <f t="shared" si="9"/>
        <v>0</v>
      </c>
      <c r="BB157" s="55">
        <f t="shared" si="12"/>
        <v>-14.125999999999999</v>
      </c>
      <c r="BD157" s="2">
        <v>3</v>
      </c>
      <c r="BF157" s="325">
        <v>150000647</v>
      </c>
    </row>
    <row r="158" spans="1:58" ht="24.9" customHeight="1" x14ac:dyDescent="0.3">
      <c r="A158" s="325">
        <v>150000686</v>
      </c>
      <c r="B158" s="445" t="s">
        <v>98</v>
      </c>
      <c r="C158" s="27">
        <v>1</v>
      </c>
      <c r="D158" s="101" t="s">
        <v>455</v>
      </c>
      <c r="E158" s="279">
        <f>'побудинковий звіт'!E156</f>
        <v>214.9</v>
      </c>
      <c r="F158" s="441">
        <f>'побудинковий звіт'!AS156</f>
        <v>1750.8882550578642</v>
      </c>
      <c r="G158" s="441">
        <f t="shared" si="10"/>
        <v>0</v>
      </c>
      <c r="H158" s="73">
        <f t="shared" si="11"/>
        <v>-1750.8882550578642</v>
      </c>
      <c r="I158" s="5">
        <f>VLOOKUP($A158,'ПР 01-02.21'!$A$11:$BB$406,9,FALSE)+VLOOKUP($A158,'ПР 21-22'!$A$11:$BB$406,9,FALSE)-VLOOKUP($A158,'ПР 01-02.22'!$A$11:$BB$378,9,FALSE)</f>
        <v>0</v>
      </c>
      <c r="J158" s="5">
        <f>VLOOKUP($A158,'ПР 01-02.21'!$A$11:$BB$406,10,FALSE)+VLOOKUP($A158,'ПР 21-22'!$A$11:$BB$406,10,FALSE)-VLOOKUP($A158,'ПР 01-02.22'!$A$11:$BB$378,10,FALSE)</f>
        <v>0</v>
      </c>
      <c r="K158" s="446"/>
      <c r="L158" s="5">
        <f>VLOOKUP($A158,'ПР 01-02.21'!$A$11:$BB$406,12,FALSE)+VLOOKUP($A158,'ПР 21-22'!$A$11:$BB$406,12,FALSE)-VLOOKUP($A158,'ПР 01-02.22'!$A$11:$BB$378,12,FALSE)</f>
        <v>0</v>
      </c>
      <c r="M158" s="5">
        <f>VLOOKUP($A158,'ПР 01-02.21'!$A$11:$BB$406,13,FALSE)+VLOOKUP($A158,'ПР 21-22'!$A$11:$BB$406,13,FALSE)-VLOOKUP($A158,'ПР 01-02.22'!$A$11:$BB$378,13,FALSE)</f>
        <v>0</v>
      </c>
      <c r="N158" s="38"/>
      <c r="O158" s="5">
        <f>VLOOKUP($A158,'ПР 01-02.21'!$A$11:$BB$406,15,FALSE)+VLOOKUP($A158,'ПР 21-22'!$A$11:$BB$406,15,FALSE)-VLOOKUP($A158,'ПР 01-02.22'!$A$11:$BB$378,15,FALSE)</f>
        <v>0</v>
      </c>
      <c r="P158" s="5">
        <f>VLOOKUP($A158,'ПР 01-02.21'!$A$11:$BB$406,16,FALSE)+VLOOKUP($A158,'ПР 21-22'!$A$11:$BB$406,16,FALSE)-VLOOKUP($A158,'ПР 01-02.22'!$A$11:$BB$378,16,FALSE)</f>
        <v>0</v>
      </c>
      <c r="Q158" s="443"/>
      <c r="R158" s="5">
        <f>VLOOKUP($A158,'ПР 01-02.21'!$A$11:$BB$406,18,FALSE)+VLOOKUP($A158,'ПР 21-22'!$A$11:$BB$406,18,FALSE)-VLOOKUP($A158,'ПР 01-02.22'!$A$11:$BB$378,18,FALSE)</f>
        <v>0</v>
      </c>
      <c r="S158" s="5">
        <f>VLOOKUP($A158,'ПР 01-02.21'!$A$11:$BB$406,19,FALSE)+VLOOKUP($A158,'ПР 21-22'!$A$11:$BB$406,19,FALSE)-VLOOKUP($A158,'ПР 01-02.22'!$A$11:$BB$378,19,FALSE)</f>
        <v>0</v>
      </c>
      <c r="T158" s="444"/>
      <c r="U158" s="5">
        <f>VLOOKUP($A158,'ПР 01-02.21'!$A$11:$BB$406,21,FALSE)+VLOOKUP($A158,'ПР 21-22'!$A$11:$BB$406,21,FALSE)-VLOOKUP($A158,'ПР 01-02.22'!$A$11:$BB$378,21,FALSE)</f>
        <v>0</v>
      </c>
      <c r="V158" s="5"/>
      <c r="W158" s="5">
        <f>VLOOKUP($A158,'ПР 01-02.21'!$A$11:$BB$406,23,FALSE)+VLOOKUP($A158,'ПР 21-22'!$A$11:$BB$406,23,FALSE)-VLOOKUP($A158,'ПР 01-02.22'!$A$11:$BB$378,23,FALSE)</f>
        <v>0</v>
      </c>
      <c r="X158" s="5">
        <f>VLOOKUP($A158,'ПР 01-02.21'!$A$11:$BB$406,24,FALSE)+VLOOKUP($A158,'ПР 21-22'!$A$11:$BB$406,24,FALSE)-VLOOKUP($A158,'ПР 01-02.22'!$A$11:$BB$378,24,FALSE)</f>
        <v>0</v>
      </c>
      <c r="Y158" s="5">
        <f>VLOOKUP($A158,'ПР 01-02.21'!$A$11:$BB$406,25,FALSE)+VLOOKUP($A158,'ПР 21-22'!$A$11:$BB$406,25,FALSE)-VLOOKUP($A158,'ПР 01-02.22'!$A$11:$BB$378,25,FALSE)</f>
        <v>0</v>
      </c>
      <c r="Z158" s="5"/>
      <c r="AA158" s="5">
        <f>VLOOKUP($A158,'ПР 01-02.21'!$A$11:$BB$406,27,FALSE)+VLOOKUP($A158,'ПР 21-22'!$A$11:$BB$406,27,FALSE)-VLOOKUP($A158,'ПР 01-02.22'!$A$11:$BB$378,27,FALSE)</f>
        <v>0</v>
      </c>
      <c r="AB158" s="5">
        <f>VLOOKUP($A158,'ПР 01-02.21'!$A$11:$BB$406,28,FALSE)+VLOOKUP($A158,'ПР 21-22'!$A$11:$BB$406,28,FALSE)-VLOOKUP($A158,'ПР 01-02.22'!$A$11:$BB$378,28,FALSE)</f>
        <v>0</v>
      </c>
      <c r="AC158" s="5">
        <f>VLOOKUP($A158,'ПР 01-02.21'!$A$11:$BB$406,29,FALSE)+VLOOKUP($A158,'ПР 21-22'!$A$11:$BB$406,29,FALSE)-VLOOKUP($A158,'ПР 01-02.22'!$A$11:$BB$378,29,FALSE)</f>
        <v>0</v>
      </c>
      <c r="AD158" s="5">
        <f>VLOOKUP($A158,'ПР 01-02.21'!$A$11:$BB$406,30,FALSE)+VLOOKUP($A158,'ПР 21-22'!$A$11:$BB$406,30,FALSE)-VLOOKUP($A158,'ПР 01-02.22'!$A$11:$BB$378,30,FALSE)</f>
        <v>0</v>
      </c>
      <c r="AE158" s="5">
        <f>VLOOKUP($A158,'ПР 01-02.21'!$A$11:$BB$406,31,FALSE)+VLOOKUP($A158,'ПР 21-22'!$A$11:$BB$406,31,FALSE)-VLOOKUP($A158,'ПР 01-02.22'!$A$11:$BB$378,31,FALSE)</f>
        <v>0</v>
      </c>
      <c r="AF158" s="5">
        <f>VLOOKUP($A158,'ПР 01-02.21'!$A$11:$BB$406,32,FALSE)+VLOOKUP($A158,'ПР 21-22'!$A$11:$BB$406,32,FALSE)-VLOOKUP($A158,'ПР 01-02.22'!$A$11:$BB$378,32,FALSE)</f>
        <v>0</v>
      </c>
      <c r="AG158" s="40"/>
      <c r="AH158" s="5">
        <f>VLOOKUP($A158,'ПР 01-02.21'!$A$11:$BB$406,34,FALSE)+VLOOKUP($A158,'ПР 21-22'!$A$11:$BB$406,34,FALSE)-VLOOKUP($A158,'ПР 01-02.22'!$A$11:$BB$378,34,FALSE)</f>
        <v>0</v>
      </c>
      <c r="AI158" s="5">
        <f>VLOOKUP($A158,'ПР 01-02.21'!$A$11:$BB$406,35,FALSE)+VLOOKUP($A158,'ПР 21-22'!$A$11:$BB$406,35,FALSE)-VLOOKUP($A158,'ПР 01-02.22'!$A$11:$BB$378,35,FALSE)</f>
        <v>0</v>
      </c>
      <c r="AJ158" s="40"/>
      <c r="AK158" s="5">
        <f>VLOOKUP($A158,'ПР 01-02.21'!$A$11:$BB$406,37,FALSE)+VLOOKUP($A158,'ПР 21-22'!$A$11:$BB$406,37,FALSE)-VLOOKUP($A158,'ПР 01-02.22'!$A$11:$BB$378,37,FALSE)</f>
        <v>0</v>
      </c>
      <c r="AL158" s="5">
        <f>VLOOKUP($A158,'ПР 01-02.21'!$A$11:$BB$406,38,FALSE)+VLOOKUP($A158,'ПР 21-22'!$A$11:$BB$406,38,FALSE)-VLOOKUP($A158,'ПР 01-02.22'!$A$11:$BB$378,38,FALSE)</f>
        <v>0</v>
      </c>
      <c r="AM158" s="40"/>
      <c r="AN158" s="5">
        <f>VLOOKUP($A158,'ПР 01-02.21'!$A$11:$BB$406,40,FALSE)+VLOOKUP($A158,'ПР 21-22'!$A$11:$BB$406,40,FALSE)-VLOOKUP($A158,'ПР 01-02.22'!$A$11:$BB$378,40,FALSE)</f>
        <v>0</v>
      </c>
      <c r="AO158" s="5">
        <f>VLOOKUP($A158,'ПР 01-02.21'!$A$11:$BB$406,41,FALSE)+VLOOKUP($A158,'ПР 21-22'!$A$11:$BB$406,41,FALSE)-VLOOKUP($A158,'ПР 01-02.22'!$A$11:$BB$378,41,FALSE)</f>
        <v>0</v>
      </c>
      <c r="AP158" s="40"/>
      <c r="AQ158" s="5">
        <f>VLOOKUP($A158,'ПР 01-02.21'!$A$11:$BB$406,43,FALSE)+VLOOKUP($A158,'ПР 21-22'!$A$11:$BB$406,43,FALSE)-VLOOKUP($A158,'ПР 01-02.22'!$A$11:$BB$378,43,FALSE)</f>
        <v>0</v>
      </c>
      <c r="AR158" s="5">
        <f>VLOOKUP($A158,'ПР 01-02.21'!$A$11:$BB$406,44,FALSE)+VLOOKUP($A158,'ПР 21-22'!$A$11:$BB$406,44,FALSE)-VLOOKUP($A158,'ПР 01-02.22'!$A$11:$BB$378,44,FALSE)</f>
        <v>0</v>
      </c>
      <c r="AS158" s="40"/>
      <c r="AT158" s="5">
        <f>VLOOKUP($A158,'ПР 01-02.21'!$A$11:$BB$406,46,FALSE)+VLOOKUP($A158,'ПР 21-22'!$A$11:$BB$406,46,FALSE)-VLOOKUP($A158,'ПР 01-02.22'!$A$11:$BB$378,46,FALSE)</f>
        <v>0</v>
      </c>
      <c r="AU158" s="5">
        <f>VLOOKUP($A158,'ПР 01-02.21'!$A$11:$BB$406,47,FALSE)+VLOOKUP($A158,'ПР 21-22'!$A$11:$BB$406,47,FALSE)-VLOOKUP($A158,'ПР 01-02.22'!$A$11:$BB$378,47,FALSE)</f>
        <v>0</v>
      </c>
      <c r="AV158" s="40"/>
      <c r="AW158" s="5">
        <f>VLOOKUP($A158,'ПР 01-02.21'!$A$11:$BB$406,49,FALSE)+VLOOKUP($A158,'ПР 21-22'!$A$11:$BB$406,49,FALSE)-VLOOKUP($A158,'ПР 01-02.22'!$A$11:$BB$378,49,FALSE)</f>
        <v>10.596</v>
      </c>
      <c r="AX158" s="5">
        <f>VLOOKUP($A158,'ПР 01-02.21'!$A$11:$BB$406,50,FALSE)+VLOOKUP($A158,'ПР 21-22'!$A$11:$BB$406,50,FALSE)-VLOOKUP($A158,'ПР 01-02.22'!$A$11:$BB$378,50,FALSE)</f>
        <v>0</v>
      </c>
      <c r="AY158" s="40"/>
      <c r="AZ158" s="40">
        <f t="shared" si="9"/>
        <v>10.596</v>
      </c>
      <c r="BA158" s="40">
        <f t="shared" si="9"/>
        <v>0</v>
      </c>
      <c r="BB158" s="55">
        <f t="shared" si="12"/>
        <v>-10.596</v>
      </c>
      <c r="BD158" s="2">
        <v>3</v>
      </c>
      <c r="BF158" s="325">
        <v>150000686</v>
      </c>
    </row>
    <row r="159" spans="1:58" ht="24.9" customHeight="1" x14ac:dyDescent="0.3">
      <c r="A159" s="325">
        <v>150000796</v>
      </c>
      <c r="B159" s="445" t="s">
        <v>99</v>
      </c>
      <c r="C159" s="27">
        <v>1</v>
      </c>
      <c r="D159" s="101" t="s">
        <v>455</v>
      </c>
      <c r="E159" s="279">
        <f>'побудинковий звіт'!E157</f>
        <v>181.38</v>
      </c>
      <c r="F159" s="441">
        <f>'побудинковий звіт'!AS157</f>
        <v>1706.732197937677</v>
      </c>
      <c r="G159" s="441">
        <f t="shared" si="10"/>
        <v>880</v>
      </c>
      <c r="H159" s="73">
        <f t="shared" si="11"/>
        <v>-826.73219793767703</v>
      </c>
      <c r="I159" s="5">
        <f>VLOOKUP($A159,'ПР 01-02.21'!$A$11:$BB$406,9,FALSE)+VLOOKUP($A159,'ПР 21-22'!$A$11:$BB$406,9,FALSE)-VLOOKUP($A159,'ПР 01-02.22'!$A$11:$BB$378,9,FALSE)</f>
        <v>6</v>
      </c>
      <c r="J159" s="5">
        <f>VLOOKUP($A159,'ПР 01-02.21'!$A$11:$BB$406,10,FALSE)+VLOOKUP($A159,'ПР 21-22'!$A$11:$BB$406,10,FALSE)-VLOOKUP($A159,'ПР 01-02.22'!$A$11:$BB$378,10,FALSE)</f>
        <v>493</v>
      </c>
      <c r="K159" s="446"/>
      <c r="L159" s="5">
        <f>VLOOKUP($A159,'ПР 01-02.21'!$A$11:$BB$406,12,FALSE)+VLOOKUP($A159,'ПР 21-22'!$A$11:$BB$406,12,FALSE)-VLOOKUP($A159,'ПР 01-02.22'!$A$11:$BB$378,12,FALSE)</f>
        <v>0</v>
      </c>
      <c r="M159" s="5">
        <f>VLOOKUP($A159,'ПР 01-02.21'!$A$11:$BB$406,13,FALSE)+VLOOKUP($A159,'ПР 21-22'!$A$11:$BB$406,13,FALSE)-VLOOKUP($A159,'ПР 01-02.22'!$A$11:$BB$378,13,FALSE)</f>
        <v>0</v>
      </c>
      <c r="N159" s="38"/>
      <c r="O159" s="5">
        <f>VLOOKUP($A159,'ПР 01-02.21'!$A$11:$BB$406,15,FALSE)+VLOOKUP($A159,'ПР 21-22'!$A$11:$BB$406,15,FALSE)-VLOOKUP($A159,'ПР 01-02.22'!$A$11:$BB$378,15,FALSE)</f>
        <v>0</v>
      </c>
      <c r="P159" s="5">
        <f>VLOOKUP($A159,'ПР 01-02.21'!$A$11:$BB$406,16,FALSE)+VLOOKUP($A159,'ПР 21-22'!$A$11:$BB$406,16,FALSE)-VLOOKUP($A159,'ПР 01-02.22'!$A$11:$BB$378,16,FALSE)</f>
        <v>0</v>
      </c>
      <c r="Q159" s="443"/>
      <c r="R159" s="5">
        <f>VLOOKUP($A159,'ПР 01-02.21'!$A$11:$BB$406,18,FALSE)+VLOOKUP($A159,'ПР 21-22'!$A$11:$BB$406,18,FALSE)-VLOOKUP($A159,'ПР 01-02.22'!$A$11:$BB$378,18,FALSE)</f>
        <v>0</v>
      </c>
      <c r="S159" s="5">
        <f>VLOOKUP($A159,'ПР 01-02.21'!$A$11:$BB$406,19,FALSE)+VLOOKUP($A159,'ПР 21-22'!$A$11:$BB$406,19,FALSE)-VLOOKUP($A159,'ПР 01-02.22'!$A$11:$BB$378,19,FALSE)</f>
        <v>0</v>
      </c>
      <c r="T159" s="444"/>
      <c r="U159" s="5">
        <f>VLOOKUP($A159,'ПР 01-02.21'!$A$11:$BB$406,21,FALSE)+VLOOKUP($A159,'ПР 21-22'!$A$11:$BB$406,21,FALSE)-VLOOKUP($A159,'ПР 01-02.22'!$A$11:$BB$378,21,FALSE)</f>
        <v>0</v>
      </c>
      <c r="V159" s="5"/>
      <c r="W159" s="5">
        <f>VLOOKUP($A159,'ПР 01-02.21'!$A$11:$BB$406,23,FALSE)+VLOOKUP($A159,'ПР 21-22'!$A$11:$BB$406,23,FALSE)-VLOOKUP($A159,'ПР 01-02.22'!$A$11:$BB$378,23,FALSE)</f>
        <v>0</v>
      </c>
      <c r="X159" s="5">
        <f>VLOOKUP($A159,'ПР 01-02.21'!$A$11:$BB$406,24,FALSE)+VLOOKUP($A159,'ПР 21-22'!$A$11:$BB$406,24,FALSE)-VLOOKUP($A159,'ПР 01-02.22'!$A$11:$BB$378,24,FALSE)</f>
        <v>0</v>
      </c>
      <c r="Y159" s="5">
        <f>VLOOKUP($A159,'ПР 01-02.21'!$A$11:$BB$406,25,FALSE)+VLOOKUP($A159,'ПР 21-22'!$A$11:$BB$406,25,FALSE)-VLOOKUP($A159,'ПР 01-02.22'!$A$11:$BB$378,25,FALSE)</f>
        <v>387</v>
      </c>
      <c r="Z159" s="5"/>
      <c r="AA159" s="5">
        <f>VLOOKUP($A159,'ПР 01-02.21'!$A$11:$BB$406,27,FALSE)+VLOOKUP($A159,'ПР 21-22'!$A$11:$BB$406,27,FALSE)-VLOOKUP($A159,'ПР 01-02.22'!$A$11:$BB$378,27,FALSE)</f>
        <v>0</v>
      </c>
      <c r="AB159" s="5">
        <f>VLOOKUP($A159,'ПР 01-02.21'!$A$11:$BB$406,28,FALSE)+VLOOKUP($A159,'ПР 21-22'!$A$11:$BB$406,28,FALSE)-VLOOKUP($A159,'ПР 01-02.22'!$A$11:$BB$378,28,FALSE)</f>
        <v>0</v>
      </c>
      <c r="AC159" s="5">
        <f>VLOOKUP($A159,'ПР 01-02.21'!$A$11:$BB$406,29,FALSE)+VLOOKUP($A159,'ПР 21-22'!$A$11:$BB$406,29,FALSE)-VLOOKUP($A159,'ПР 01-02.22'!$A$11:$BB$378,29,FALSE)</f>
        <v>0</v>
      </c>
      <c r="AD159" s="5">
        <f>VLOOKUP($A159,'ПР 01-02.21'!$A$11:$BB$406,30,FALSE)+VLOOKUP($A159,'ПР 21-22'!$A$11:$BB$406,30,FALSE)-VLOOKUP($A159,'ПР 01-02.22'!$A$11:$BB$378,30,FALSE)</f>
        <v>0</v>
      </c>
      <c r="AE159" s="5">
        <f>VLOOKUP($A159,'ПР 01-02.21'!$A$11:$BB$406,31,FALSE)+VLOOKUP($A159,'ПР 21-22'!$A$11:$BB$406,31,FALSE)-VLOOKUP($A159,'ПР 01-02.22'!$A$11:$BB$378,31,FALSE)</f>
        <v>0</v>
      </c>
      <c r="AF159" s="5">
        <f>VLOOKUP($A159,'ПР 01-02.21'!$A$11:$BB$406,32,FALSE)+VLOOKUP($A159,'ПР 21-22'!$A$11:$BB$406,32,FALSE)-VLOOKUP($A159,'ПР 01-02.22'!$A$11:$BB$378,32,FALSE)</f>
        <v>0</v>
      </c>
      <c r="AG159" s="40"/>
      <c r="AH159" s="5">
        <f>VLOOKUP($A159,'ПР 01-02.21'!$A$11:$BB$406,34,FALSE)+VLOOKUP($A159,'ПР 21-22'!$A$11:$BB$406,34,FALSE)-VLOOKUP($A159,'ПР 01-02.22'!$A$11:$BB$378,34,FALSE)</f>
        <v>0</v>
      </c>
      <c r="AI159" s="5">
        <f>VLOOKUP($A159,'ПР 01-02.21'!$A$11:$BB$406,35,FALSE)+VLOOKUP($A159,'ПР 21-22'!$A$11:$BB$406,35,FALSE)-VLOOKUP($A159,'ПР 01-02.22'!$A$11:$BB$378,35,FALSE)</f>
        <v>0</v>
      </c>
      <c r="AJ159" s="40"/>
      <c r="AK159" s="5">
        <f>VLOOKUP($A159,'ПР 01-02.21'!$A$11:$BB$406,37,FALSE)+VLOOKUP($A159,'ПР 21-22'!$A$11:$BB$406,37,FALSE)-VLOOKUP($A159,'ПР 01-02.22'!$A$11:$BB$378,37,FALSE)</f>
        <v>53.008642168788882</v>
      </c>
      <c r="AL159" s="5">
        <f>VLOOKUP($A159,'ПР 01-02.21'!$A$11:$BB$406,38,FALSE)+VLOOKUP($A159,'ПР 21-22'!$A$11:$BB$406,38,FALSE)-VLOOKUP($A159,'ПР 01-02.22'!$A$11:$BB$378,38,FALSE)</f>
        <v>0</v>
      </c>
      <c r="AM159" s="40"/>
      <c r="AN159" s="5">
        <f>VLOOKUP($A159,'ПР 01-02.21'!$A$11:$BB$406,40,FALSE)+VLOOKUP($A159,'ПР 21-22'!$A$11:$BB$406,40,FALSE)-VLOOKUP($A159,'ПР 01-02.22'!$A$11:$BB$378,40,FALSE)</f>
        <v>0</v>
      </c>
      <c r="AO159" s="5">
        <f>VLOOKUP($A159,'ПР 01-02.21'!$A$11:$BB$406,41,FALSE)+VLOOKUP($A159,'ПР 21-22'!$A$11:$BB$406,41,FALSE)-VLOOKUP($A159,'ПР 01-02.22'!$A$11:$BB$378,41,FALSE)</f>
        <v>0</v>
      </c>
      <c r="AP159" s="40"/>
      <c r="AQ159" s="5">
        <f>VLOOKUP($A159,'ПР 01-02.21'!$A$11:$BB$406,43,FALSE)+VLOOKUP($A159,'ПР 21-22'!$A$11:$BB$406,43,FALSE)-VLOOKUP($A159,'ПР 01-02.22'!$A$11:$BB$378,43,FALSE)</f>
        <v>0</v>
      </c>
      <c r="AR159" s="5">
        <f>VLOOKUP($A159,'ПР 01-02.21'!$A$11:$BB$406,44,FALSE)+VLOOKUP($A159,'ПР 21-22'!$A$11:$BB$406,44,FALSE)-VLOOKUP($A159,'ПР 01-02.22'!$A$11:$BB$378,44,FALSE)</f>
        <v>0</v>
      </c>
      <c r="AS159" s="40"/>
      <c r="AT159" s="5">
        <f>VLOOKUP($A159,'ПР 01-02.21'!$A$11:$BB$406,46,FALSE)+VLOOKUP($A159,'ПР 21-22'!$A$11:$BB$406,46,FALSE)-VLOOKUP($A159,'ПР 01-02.22'!$A$11:$BB$378,46,FALSE)</f>
        <v>0</v>
      </c>
      <c r="AU159" s="5">
        <f>VLOOKUP($A159,'ПР 01-02.21'!$A$11:$BB$406,47,FALSE)+VLOOKUP($A159,'ПР 21-22'!$A$11:$BB$406,47,FALSE)-VLOOKUP($A159,'ПР 01-02.22'!$A$11:$BB$378,47,FALSE)</f>
        <v>0</v>
      </c>
      <c r="AV159" s="40"/>
      <c r="AW159" s="5">
        <f>VLOOKUP($A159,'ПР 01-02.21'!$A$11:$BB$406,49,FALSE)+VLOOKUP($A159,'ПР 21-22'!$A$11:$BB$406,49,FALSE)-VLOOKUP($A159,'ПР 01-02.22'!$A$11:$BB$378,49,FALSE)</f>
        <v>9.2392000000000003</v>
      </c>
      <c r="AX159" s="5">
        <f>VLOOKUP($A159,'ПР 01-02.21'!$A$11:$BB$406,50,FALSE)+VLOOKUP($A159,'ПР 21-22'!$A$11:$BB$406,50,FALSE)-VLOOKUP($A159,'ПР 01-02.22'!$A$11:$BB$378,50,FALSE)</f>
        <v>0</v>
      </c>
      <c r="AY159" s="40"/>
      <c r="AZ159" s="40">
        <f t="shared" si="9"/>
        <v>62.247842168788878</v>
      </c>
      <c r="BA159" s="40">
        <f t="shared" si="9"/>
        <v>0</v>
      </c>
      <c r="BB159" s="55">
        <f t="shared" si="12"/>
        <v>-62.247842168788878</v>
      </c>
      <c r="BD159" s="2">
        <v>3</v>
      </c>
      <c r="BF159" s="325">
        <v>150000796</v>
      </c>
    </row>
    <row r="160" spans="1:58" ht="24.9" customHeight="1" x14ac:dyDescent="0.3">
      <c r="A160" s="325">
        <v>150001008</v>
      </c>
      <c r="B160" s="445" t="s">
        <v>212</v>
      </c>
      <c r="C160" s="27">
        <v>4</v>
      </c>
      <c r="D160" s="101" t="s">
        <v>455</v>
      </c>
      <c r="E160" s="279">
        <f>'побудинковий звіт'!E158</f>
        <v>1485.6</v>
      </c>
      <c r="F160" s="441">
        <f>'побудинковий звіт'!AS158</f>
        <v>11993.921498551681</v>
      </c>
      <c r="G160" s="441">
        <f t="shared" si="10"/>
        <v>4319.4659644259009</v>
      </c>
      <c r="H160" s="73">
        <f t="shared" si="11"/>
        <v>-7674.4555341257801</v>
      </c>
      <c r="I160" s="5">
        <f>VLOOKUP($A160,'ПР 01-02.21'!$A$11:$BB$406,9,FALSE)+VLOOKUP($A160,'ПР 21-22'!$A$11:$BB$406,9,FALSE)-VLOOKUP($A160,'ПР 01-02.22'!$A$11:$BB$378,9,FALSE)</f>
        <v>0</v>
      </c>
      <c r="J160" s="5">
        <f>VLOOKUP($A160,'ПР 01-02.21'!$A$11:$BB$406,10,FALSE)+VLOOKUP($A160,'ПР 21-22'!$A$11:$BB$406,10,FALSE)-VLOOKUP($A160,'ПР 01-02.22'!$A$11:$BB$378,10,FALSE)</f>
        <v>0</v>
      </c>
      <c r="K160" s="446"/>
      <c r="L160" s="5">
        <f>VLOOKUP($A160,'ПР 01-02.21'!$A$11:$BB$406,12,FALSE)+VLOOKUP($A160,'ПР 21-22'!$A$11:$BB$406,12,FALSE)-VLOOKUP($A160,'ПР 01-02.22'!$A$11:$BB$378,12,FALSE)</f>
        <v>0</v>
      </c>
      <c r="M160" s="5">
        <f>VLOOKUP($A160,'ПР 01-02.21'!$A$11:$BB$406,13,FALSE)+VLOOKUP($A160,'ПР 21-22'!$A$11:$BB$406,13,FALSE)-VLOOKUP($A160,'ПР 01-02.22'!$A$11:$BB$378,13,FALSE)</f>
        <v>0</v>
      </c>
      <c r="N160" s="38"/>
      <c r="O160" s="5">
        <f>VLOOKUP($A160,'ПР 01-02.21'!$A$11:$BB$406,15,FALSE)+VLOOKUP($A160,'ПР 21-22'!$A$11:$BB$406,15,FALSE)-VLOOKUP($A160,'ПР 01-02.22'!$A$11:$BB$378,15,FALSE)</f>
        <v>0</v>
      </c>
      <c r="P160" s="5">
        <f>VLOOKUP($A160,'ПР 01-02.21'!$A$11:$BB$406,16,FALSE)+VLOOKUP($A160,'ПР 21-22'!$A$11:$BB$406,16,FALSE)-VLOOKUP($A160,'ПР 01-02.22'!$A$11:$BB$378,16,FALSE)</f>
        <v>0</v>
      </c>
      <c r="Q160" s="443"/>
      <c r="R160" s="5">
        <f>VLOOKUP($A160,'ПР 01-02.21'!$A$11:$BB$406,18,FALSE)+VLOOKUP($A160,'ПР 21-22'!$A$11:$BB$406,18,FALSE)-VLOOKUP($A160,'ПР 01-02.22'!$A$11:$BB$378,18,FALSE)</f>
        <v>0</v>
      </c>
      <c r="S160" s="5">
        <f>VLOOKUP($A160,'ПР 01-02.21'!$A$11:$BB$406,19,FALSE)+VLOOKUP($A160,'ПР 21-22'!$A$11:$BB$406,19,FALSE)-VLOOKUP($A160,'ПР 01-02.22'!$A$11:$BB$378,19,FALSE)</f>
        <v>0</v>
      </c>
      <c r="T160" s="444"/>
      <c r="U160" s="5">
        <f>VLOOKUP($A160,'ПР 01-02.21'!$A$11:$BB$406,21,FALSE)+VLOOKUP($A160,'ПР 21-22'!$A$11:$BB$406,21,FALSE)-VLOOKUP($A160,'ПР 01-02.22'!$A$11:$BB$378,21,FALSE)</f>
        <v>0</v>
      </c>
      <c r="V160" s="5"/>
      <c r="W160" s="5">
        <f>VLOOKUP($A160,'ПР 01-02.21'!$A$11:$BB$406,23,FALSE)+VLOOKUP($A160,'ПР 21-22'!$A$11:$BB$406,23,FALSE)-VLOOKUP($A160,'ПР 01-02.22'!$A$11:$BB$378,23,FALSE)</f>
        <v>0</v>
      </c>
      <c r="X160" s="5">
        <f>VLOOKUP($A160,'ПР 01-02.21'!$A$11:$BB$406,24,FALSE)+VLOOKUP($A160,'ПР 21-22'!$A$11:$BB$406,24,FALSE)-VLOOKUP($A160,'ПР 01-02.22'!$A$11:$BB$378,24,FALSE)</f>
        <v>3896.4659644259004</v>
      </c>
      <c r="Y160" s="5">
        <f>VLOOKUP($A160,'ПР 01-02.21'!$A$11:$BB$406,25,FALSE)+VLOOKUP($A160,'ПР 21-22'!$A$11:$BB$406,25,FALSE)-VLOOKUP($A160,'ПР 01-02.22'!$A$11:$BB$378,25,FALSE)</f>
        <v>0</v>
      </c>
      <c r="Z160" s="5"/>
      <c r="AA160" s="5">
        <f>VLOOKUP($A160,'ПР 01-02.21'!$A$11:$BB$406,27,FALSE)+VLOOKUP($A160,'ПР 21-22'!$A$11:$BB$406,27,FALSE)-VLOOKUP($A160,'ПР 01-02.22'!$A$11:$BB$378,27,FALSE)</f>
        <v>0</v>
      </c>
      <c r="AB160" s="5">
        <f>VLOOKUP($A160,'ПР 01-02.21'!$A$11:$BB$406,28,FALSE)+VLOOKUP($A160,'ПР 21-22'!$A$11:$BB$406,28,FALSE)-VLOOKUP($A160,'ПР 01-02.22'!$A$11:$BB$378,28,FALSE)</f>
        <v>0</v>
      </c>
      <c r="AC160" s="5">
        <f>VLOOKUP($A160,'ПР 01-02.21'!$A$11:$BB$406,29,FALSE)+VLOOKUP($A160,'ПР 21-22'!$A$11:$BB$406,29,FALSE)-VLOOKUP($A160,'ПР 01-02.22'!$A$11:$BB$378,29,FALSE)</f>
        <v>0</v>
      </c>
      <c r="AD160" s="5">
        <f>VLOOKUP($A160,'ПР 01-02.21'!$A$11:$BB$406,30,FALSE)+VLOOKUP($A160,'ПР 21-22'!$A$11:$BB$406,30,FALSE)-VLOOKUP($A160,'ПР 01-02.22'!$A$11:$BB$378,30,FALSE)</f>
        <v>423</v>
      </c>
      <c r="AE160" s="5">
        <f>VLOOKUP($A160,'ПР 01-02.21'!$A$11:$BB$406,31,FALSE)+VLOOKUP($A160,'ПР 21-22'!$A$11:$BB$406,31,FALSE)-VLOOKUP($A160,'ПР 01-02.22'!$A$11:$BB$378,31,FALSE)</f>
        <v>1333.4683822854777</v>
      </c>
      <c r="AF160" s="5">
        <f>VLOOKUP($A160,'ПР 01-02.21'!$A$11:$BB$406,32,FALSE)+VLOOKUP($A160,'ПР 21-22'!$A$11:$BB$406,32,FALSE)-VLOOKUP($A160,'ПР 01-02.22'!$A$11:$BB$378,32,FALSE)</f>
        <v>1817</v>
      </c>
      <c r="AG160" s="40"/>
      <c r="AH160" s="5">
        <f>VLOOKUP($A160,'ПР 01-02.21'!$A$11:$BB$406,34,FALSE)+VLOOKUP($A160,'ПР 21-22'!$A$11:$BB$406,34,FALSE)-VLOOKUP($A160,'ПР 01-02.22'!$A$11:$BB$378,34,FALSE)</f>
        <v>1664.3866474859169</v>
      </c>
      <c r="AI160" s="5">
        <f>VLOOKUP($A160,'ПР 01-02.21'!$A$11:$BB$406,35,FALSE)+VLOOKUP($A160,'ПР 21-22'!$A$11:$BB$406,35,FALSE)-VLOOKUP($A160,'ПР 01-02.22'!$A$11:$BB$378,35,FALSE)</f>
        <v>0</v>
      </c>
      <c r="AJ160" s="40"/>
      <c r="AK160" s="5">
        <f>VLOOKUP($A160,'ПР 01-02.21'!$A$11:$BB$406,37,FALSE)+VLOOKUP($A160,'ПР 21-22'!$A$11:$BB$406,37,FALSE)-VLOOKUP($A160,'ПР 01-02.22'!$A$11:$BB$378,37,FALSE)</f>
        <v>963.74876972454467</v>
      </c>
      <c r="AL160" s="5">
        <f>VLOOKUP($A160,'ПР 01-02.21'!$A$11:$BB$406,38,FALSE)+VLOOKUP($A160,'ПР 21-22'!$A$11:$BB$406,38,FALSE)-VLOOKUP($A160,'ПР 01-02.22'!$A$11:$BB$378,38,FALSE)</f>
        <v>0</v>
      </c>
      <c r="AM160" s="40"/>
      <c r="AN160" s="5">
        <f>VLOOKUP($A160,'ПР 01-02.21'!$A$11:$BB$406,40,FALSE)+VLOOKUP($A160,'ПР 21-22'!$A$11:$BB$406,40,FALSE)-VLOOKUP($A160,'ПР 01-02.22'!$A$11:$BB$378,40,FALSE)</f>
        <v>0</v>
      </c>
      <c r="AO160" s="5">
        <f>VLOOKUP($A160,'ПР 01-02.21'!$A$11:$BB$406,41,FALSE)+VLOOKUP($A160,'ПР 21-22'!$A$11:$BB$406,41,FALSE)-VLOOKUP($A160,'ПР 01-02.22'!$A$11:$BB$378,41,FALSE)</f>
        <v>0</v>
      </c>
      <c r="AP160" s="40"/>
      <c r="AQ160" s="5">
        <f>VLOOKUP($A160,'ПР 01-02.21'!$A$11:$BB$406,43,FALSE)+VLOOKUP($A160,'ПР 21-22'!$A$11:$BB$406,43,FALSE)-VLOOKUP($A160,'ПР 01-02.22'!$A$11:$BB$378,43,FALSE)</f>
        <v>0</v>
      </c>
      <c r="AR160" s="5">
        <f>VLOOKUP($A160,'ПР 01-02.21'!$A$11:$BB$406,44,FALSE)+VLOOKUP($A160,'ПР 21-22'!$A$11:$BB$406,44,FALSE)-VLOOKUP($A160,'ПР 01-02.22'!$A$11:$BB$378,44,FALSE)</f>
        <v>0</v>
      </c>
      <c r="AS160" s="40"/>
      <c r="AT160" s="5">
        <f>VLOOKUP($A160,'ПР 01-02.21'!$A$11:$BB$406,46,FALSE)+VLOOKUP($A160,'ПР 21-22'!$A$11:$BB$406,46,FALSE)-VLOOKUP($A160,'ПР 01-02.22'!$A$11:$BB$378,46,FALSE)</f>
        <v>599.25028583330231</v>
      </c>
      <c r="AU160" s="5">
        <f>VLOOKUP($A160,'ПР 01-02.21'!$A$11:$BB$406,47,FALSE)+VLOOKUP($A160,'ПР 21-22'!$A$11:$BB$406,47,FALSE)-VLOOKUP($A160,'ПР 01-02.22'!$A$11:$BB$378,47,FALSE)</f>
        <v>174</v>
      </c>
      <c r="AV160" s="40"/>
      <c r="AW160" s="5">
        <f>VLOOKUP($A160,'ПР 01-02.21'!$A$11:$BB$406,49,FALSE)+VLOOKUP($A160,'ПР 21-22'!$A$11:$BB$406,49,FALSE)-VLOOKUP($A160,'ПР 01-02.22'!$A$11:$BB$378,49,FALSE)</f>
        <v>74.424000000000007</v>
      </c>
      <c r="AX160" s="5">
        <f>VLOOKUP($A160,'ПР 01-02.21'!$A$11:$BB$406,50,FALSE)+VLOOKUP($A160,'ПР 21-22'!$A$11:$BB$406,50,FALSE)-VLOOKUP($A160,'ПР 01-02.22'!$A$11:$BB$378,50,FALSE)</f>
        <v>0</v>
      </c>
      <c r="AY160" s="40"/>
      <c r="AZ160" s="40">
        <f t="shared" si="9"/>
        <v>4635.2780853292415</v>
      </c>
      <c r="BA160" s="40">
        <f t="shared" si="9"/>
        <v>1991</v>
      </c>
      <c r="BB160" s="55">
        <f t="shared" si="12"/>
        <v>-2644.2780853292415</v>
      </c>
      <c r="BD160" s="2">
        <v>2</v>
      </c>
      <c r="BF160" s="325">
        <v>150001008</v>
      </c>
    </row>
    <row r="161" spans="1:58" ht="24.9" customHeight="1" x14ac:dyDescent="0.3">
      <c r="A161" s="325">
        <v>150001033</v>
      </c>
      <c r="B161" s="445" t="s">
        <v>363</v>
      </c>
      <c r="C161" s="27">
        <v>9</v>
      </c>
      <c r="D161" s="101" t="s">
        <v>455</v>
      </c>
      <c r="E161" s="279">
        <f>'побудинковий звіт'!E159</f>
        <v>4024.2</v>
      </c>
      <c r="F161" s="441">
        <f>'побудинковий звіт'!AS159</f>
        <v>54709.2152795359</v>
      </c>
      <c r="G161" s="441">
        <f t="shared" si="10"/>
        <v>41618.875171496933</v>
      </c>
      <c r="H161" s="73">
        <f t="shared" si="11"/>
        <v>-13090.340108038967</v>
      </c>
      <c r="I161" s="5">
        <f>VLOOKUP($A161,'ПР 01-02.21'!$A$11:$BB$406,9,FALSE)+VLOOKUP($A161,'ПР 21-22'!$A$11:$BB$406,9,FALSE)-VLOOKUP($A161,'ПР 01-02.22'!$A$11:$BB$378,9,FALSE)</f>
        <v>0</v>
      </c>
      <c r="J161" s="5">
        <f>VLOOKUP($A161,'ПР 01-02.21'!$A$11:$BB$406,10,FALSE)+VLOOKUP($A161,'ПР 21-22'!$A$11:$BB$406,10,FALSE)-VLOOKUP($A161,'ПР 01-02.22'!$A$11:$BB$378,10,FALSE)</f>
        <v>0</v>
      </c>
      <c r="K161" s="446"/>
      <c r="L161" s="5">
        <f>VLOOKUP($A161,'ПР 01-02.21'!$A$11:$BB$406,12,FALSE)+VLOOKUP($A161,'ПР 21-22'!$A$11:$BB$406,12,FALSE)-VLOOKUP($A161,'ПР 01-02.22'!$A$11:$BB$378,12,FALSE)</f>
        <v>0</v>
      </c>
      <c r="M161" s="5">
        <f>VLOOKUP($A161,'ПР 01-02.21'!$A$11:$BB$406,13,FALSE)+VLOOKUP($A161,'ПР 21-22'!$A$11:$BB$406,13,FALSE)-VLOOKUP($A161,'ПР 01-02.22'!$A$11:$BB$378,13,FALSE)</f>
        <v>0</v>
      </c>
      <c r="N161" s="38"/>
      <c r="O161" s="5">
        <f>VLOOKUP($A161,'ПР 01-02.21'!$A$11:$BB$406,15,FALSE)+VLOOKUP($A161,'ПР 21-22'!$A$11:$BB$406,15,FALSE)-VLOOKUP($A161,'ПР 01-02.22'!$A$11:$BB$378,15,FALSE)</f>
        <v>94</v>
      </c>
      <c r="P161" s="5">
        <f>VLOOKUP($A161,'ПР 01-02.21'!$A$11:$BB$406,16,FALSE)+VLOOKUP($A161,'ПР 21-22'!$A$11:$BB$406,16,FALSE)-VLOOKUP($A161,'ПР 01-02.22'!$A$11:$BB$378,16,FALSE)</f>
        <v>22050</v>
      </c>
      <c r="Q161" s="443"/>
      <c r="R161" s="5">
        <f>VLOOKUP($A161,'ПР 01-02.21'!$A$11:$BB$406,18,FALSE)+VLOOKUP($A161,'ПР 21-22'!$A$11:$BB$406,18,FALSE)-VLOOKUP($A161,'ПР 01-02.22'!$A$11:$BB$378,18,FALSE)</f>
        <v>2</v>
      </c>
      <c r="S161" s="5">
        <f>VLOOKUP($A161,'ПР 01-02.21'!$A$11:$BB$406,19,FALSE)+VLOOKUP($A161,'ПР 21-22'!$A$11:$BB$406,19,FALSE)-VLOOKUP($A161,'ПР 01-02.22'!$A$11:$BB$378,19,FALSE)</f>
        <v>1460</v>
      </c>
      <c r="T161" s="444"/>
      <c r="U161" s="5">
        <f>VLOOKUP($A161,'ПР 01-02.21'!$A$11:$BB$406,21,FALSE)+VLOOKUP($A161,'ПР 21-22'!$A$11:$BB$406,21,FALSE)-VLOOKUP($A161,'ПР 01-02.22'!$A$11:$BB$378,21,FALSE)</f>
        <v>0</v>
      </c>
      <c r="V161" s="5"/>
      <c r="W161" s="5">
        <f>VLOOKUP($A161,'ПР 01-02.21'!$A$11:$BB$406,23,FALSE)+VLOOKUP($A161,'ПР 21-22'!$A$11:$BB$406,23,FALSE)-VLOOKUP($A161,'ПР 01-02.22'!$A$11:$BB$378,23,FALSE)</f>
        <v>3</v>
      </c>
      <c r="X161" s="5">
        <f>VLOOKUP($A161,'ПР 01-02.21'!$A$11:$BB$406,24,FALSE)+VLOOKUP($A161,'ПР 21-22'!$A$11:$BB$406,24,FALSE)-VLOOKUP($A161,'ПР 01-02.22'!$A$11:$BB$378,24,FALSE)</f>
        <v>1905.4951714969309</v>
      </c>
      <c r="Y161" s="5">
        <f>VLOOKUP($A161,'ПР 01-02.21'!$A$11:$BB$406,25,FALSE)+VLOOKUP($A161,'ПР 21-22'!$A$11:$BB$406,25,FALSE)-VLOOKUP($A161,'ПР 01-02.22'!$A$11:$BB$378,25,FALSE)</f>
        <v>14556.03</v>
      </c>
      <c r="Z161" s="5"/>
      <c r="AA161" s="5">
        <f>VLOOKUP($A161,'ПР 01-02.21'!$A$11:$BB$406,27,FALSE)+VLOOKUP($A161,'ПР 21-22'!$A$11:$BB$406,27,FALSE)-VLOOKUP($A161,'ПР 01-02.22'!$A$11:$BB$378,27,FALSE)</f>
        <v>0</v>
      </c>
      <c r="AB161" s="5">
        <f>VLOOKUP($A161,'ПР 01-02.21'!$A$11:$BB$406,28,FALSE)+VLOOKUP($A161,'ПР 21-22'!$A$11:$BB$406,28,FALSE)-VLOOKUP($A161,'ПР 01-02.22'!$A$11:$BB$378,28,FALSE)</f>
        <v>263</v>
      </c>
      <c r="AC161" s="5">
        <f>VLOOKUP($A161,'ПР 01-02.21'!$A$11:$BB$406,29,FALSE)+VLOOKUP($A161,'ПР 21-22'!$A$11:$BB$406,29,FALSE)-VLOOKUP($A161,'ПР 01-02.22'!$A$11:$BB$378,29,FALSE)</f>
        <v>0</v>
      </c>
      <c r="AD161" s="5">
        <f>VLOOKUP($A161,'ПР 01-02.21'!$A$11:$BB$406,30,FALSE)+VLOOKUP($A161,'ПР 21-22'!$A$11:$BB$406,30,FALSE)-VLOOKUP($A161,'ПР 01-02.22'!$A$11:$BB$378,30,FALSE)</f>
        <v>1384.35</v>
      </c>
      <c r="AE161" s="5">
        <f>VLOOKUP($A161,'ПР 01-02.21'!$A$11:$BB$406,31,FALSE)+VLOOKUP($A161,'ПР 21-22'!$A$11:$BB$406,31,FALSE)-VLOOKUP($A161,'ПР 01-02.22'!$A$11:$BB$378,31,FALSE)</f>
        <v>2475.5648755338516</v>
      </c>
      <c r="AF161" s="5">
        <f>VLOOKUP($A161,'ПР 01-02.21'!$A$11:$BB$406,32,FALSE)+VLOOKUP($A161,'ПР 21-22'!$A$11:$BB$406,32,FALSE)-VLOOKUP($A161,'ПР 01-02.22'!$A$11:$BB$378,32,FALSE)</f>
        <v>505.58000000000004</v>
      </c>
      <c r="AG161" s="40"/>
      <c r="AH161" s="5">
        <f>VLOOKUP($A161,'ПР 01-02.21'!$A$11:$BB$406,34,FALSE)+VLOOKUP($A161,'ПР 21-22'!$A$11:$BB$406,34,FALSE)-VLOOKUP($A161,'ПР 01-02.22'!$A$11:$BB$378,34,FALSE)</f>
        <v>2882.7948952113898</v>
      </c>
      <c r="AI161" s="5">
        <f>VLOOKUP($A161,'ПР 01-02.21'!$A$11:$BB$406,35,FALSE)+VLOOKUP($A161,'ПР 21-22'!$A$11:$BB$406,35,FALSE)-VLOOKUP($A161,'ПР 01-02.22'!$A$11:$BB$378,35,FALSE)</f>
        <v>0</v>
      </c>
      <c r="AJ161" s="40"/>
      <c r="AK161" s="5">
        <f>VLOOKUP($A161,'ПР 01-02.21'!$A$11:$BB$406,37,FALSE)+VLOOKUP($A161,'ПР 21-22'!$A$11:$BB$406,37,FALSE)-VLOOKUP($A161,'ПР 01-02.22'!$A$11:$BB$378,37,FALSE)</f>
        <v>1584.6563981988636</v>
      </c>
      <c r="AL161" s="5">
        <f>VLOOKUP($A161,'ПР 01-02.21'!$A$11:$BB$406,38,FALSE)+VLOOKUP($A161,'ПР 21-22'!$A$11:$BB$406,38,FALSE)-VLOOKUP($A161,'ПР 01-02.22'!$A$11:$BB$378,38,FALSE)</f>
        <v>916.05</v>
      </c>
      <c r="AM161" s="40"/>
      <c r="AN161" s="5">
        <f>VLOOKUP($A161,'ПР 01-02.21'!$A$11:$BB$406,40,FALSE)+VLOOKUP($A161,'ПР 21-22'!$A$11:$BB$406,40,FALSE)-VLOOKUP($A161,'ПР 01-02.22'!$A$11:$BB$378,40,FALSE)</f>
        <v>2238.7830467962549</v>
      </c>
      <c r="AO161" s="5">
        <f>VLOOKUP($A161,'ПР 01-02.21'!$A$11:$BB$406,41,FALSE)+VLOOKUP($A161,'ПР 21-22'!$A$11:$BB$406,41,FALSE)-VLOOKUP($A161,'ПР 01-02.22'!$A$11:$BB$378,41,FALSE)</f>
        <v>0</v>
      </c>
      <c r="AP161" s="40"/>
      <c r="AQ161" s="5">
        <f>VLOOKUP($A161,'ПР 01-02.21'!$A$11:$BB$406,43,FALSE)+VLOOKUP($A161,'ПР 21-22'!$A$11:$BB$406,43,FALSE)-VLOOKUP($A161,'ПР 01-02.22'!$A$11:$BB$378,43,FALSE)</f>
        <v>1275.715225914171</v>
      </c>
      <c r="AR161" s="5">
        <f>VLOOKUP($A161,'ПР 01-02.21'!$A$11:$BB$406,44,FALSE)+VLOOKUP($A161,'ПР 21-22'!$A$11:$BB$406,44,FALSE)-VLOOKUP($A161,'ПР 01-02.22'!$A$11:$BB$378,44,FALSE)</f>
        <v>0</v>
      </c>
      <c r="AS161" s="40"/>
      <c r="AT161" s="5">
        <f>VLOOKUP($A161,'ПР 01-02.21'!$A$11:$BB$406,46,FALSE)+VLOOKUP($A161,'ПР 21-22'!$A$11:$BB$406,46,FALSE)-VLOOKUP($A161,'ПР 01-02.22'!$A$11:$BB$378,46,FALSE)</f>
        <v>2134.8185498836692</v>
      </c>
      <c r="AU161" s="5">
        <f>VLOOKUP($A161,'ПР 01-02.21'!$A$11:$BB$406,47,FALSE)+VLOOKUP($A161,'ПР 21-22'!$A$11:$BB$406,47,FALSE)-VLOOKUP($A161,'ПР 01-02.22'!$A$11:$BB$378,47,FALSE)</f>
        <v>0</v>
      </c>
      <c r="AV161" s="40"/>
      <c r="AW161" s="5">
        <f>VLOOKUP($A161,'ПР 01-02.21'!$A$11:$BB$406,49,FALSE)+VLOOKUP($A161,'ПР 21-22'!$A$11:$BB$406,49,FALSE)-VLOOKUP($A161,'ПР 01-02.22'!$A$11:$BB$378,49,FALSE)</f>
        <v>345.91070091266886</v>
      </c>
      <c r="AX161" s="5">
        <f>VLOOKUP($A161,'ПР 01-02.21'!$A$11:$BB$406,50,FALSE)+VLOOKUP($A161,'ПР 21-22'!$A$11:$BB$406,50,FALSE)-VLOOKUP($A161,'ПР 01-02.22'!$A$11:$BB$378,50,FALSE)</f>
        <v>4002.46</v>
      </c>
      <c r="AY161" s="40"/>
      <c r="AZ161" s="40">
        <f t="shared" si="9"/>
        <v>12938.243692450871</v>
      </c>
      <c r="BA161" s="40">
        <f t="shared" si="9"/>
        <v>5424.09</v>
      </c>
      <c r="BB161" s="55">
        <f t="shared" si="12"/>
        <v>-7514.1536924508709</v>
      </c>
      <c r="BD161" s="2">
        <v>1</v>
      </c>
      <c r="BF161" s="325">
        <v>150001033</v>
      </c>
    </row>
    <row r="162" spans="1:58" ht="24.9" customHeight="1" x14ac:dyDescent="0.3">
      <c r="A162" s="325">
        <v>150001009</v>
      </c>
      <c r="B162" s="445" t="s">
        <v>213</v>
      </c>
      <c r="C162" s="27">
        <v>4</v>
      </c>
      <c r="D162" s="101" t="s">
        <v>455</v>
      </c>
      <c r="E162" s="279">
        <f>'побудинковий звіт'!E160</f>
        <v>1485</v>
      </c>
      <c r="F162" s="441">
        <f>'побудинковий звіт'!AS160</f>
        <v>14465.691924158822</v>
      </c>
      <c r="G162" s="441">
        <f t="shared" si="10"/>
        <v>4290.1900000000005</v>
      </c>
      <c r="H162" s="73">
        <f t="shared" si="11"/>
        <v>-10175.501924158822</v>
      </c>
      <c r="I162" s="5">
        <f>VLOOKUP($A162,'ПР 01-02.21'!$A$11:$BB$406,9,FALSE)+VLOOKUP($A162,'ПР 21-22'!$A$11:$BB$406,9,FALSE)-VLOOKUP($A162,'ПР 01-02.22'!$A$11:$BB$378,9,FALSE)</f>
        <v>0</v>
      </c>
      <c r="J162" s="5">
        <f>VLOOKUP($A162,'ПР 01-02.21'!$A$11:$BB$406,10,FALSE)+VLOOKUP($A162,'ПР 21-22'!$A$11:$BB$406,10,FALSE)-VLOOKUP($A162,'ПР 01-02.22'!$A$11:$BB$378,10,FALSE)</f>
        <v>3867.19</v>
      </c>
      <c r="K162" s="450"/>
      <c r="L162" s="5">
        <f>VLOOKUP($A162,'ПР 01-02.21'!$A$11:$BB$406,12,FALSE)+VLOOKUP($A162,'ПР 21-22'!$A$11:$BB$406,12,FALSE)-VLOOKUP($A162,'ПР 01-02.22'!$A$11:$BB$378,12,FALSE)</f>
        <v>0</v>
      </c>
      <c r="M162" s="5">
        <f>VLOOKUP($A162,'ПР 01-02.21'!$A$11:$BB$406,13,FALSE)+VLOOKUP($A162,'ПР 21-22'!$A$11:$BB$406,13,FALSE)-VLOOKUP($A162,'ПР 01-02.22'!$A$11:$BB$378,13,FALSE)</f>
        <v>0</v>
      </c>
      <c r="N162" s="38"/>
      <c r="O162" s="5">
        <f>VLOOKUP($A162,'ПР 01-02.21'!$A$11:$BB$406,15,FALSE)+VLOOKUP($A162,'ПР 21-22'!$A$11:$BB$406,15,FALSE)-VLOOKUP($A162,'ПР 01-02.22'!$A$11:$BB$378,15,FALSE)</f>
        <v>0</v>
      </c>
      <c r="P162" s="5">
        <f>VLOOKUP($A162,'ПР 01-02.21'!$A$11:$BB$406,16,FALSE)+VLOOKUP($A162,'ПР 21-22'!$A$11:$BB$406,16,FALSE)-VLOOKUP($A162,'ПР 01-02.22'!$A$11:$BB$378,16,FALSE)</f>
        <v>0</v>
      </c>
      <c r="Q162" s="443"/>
      <c r="R162" s="5">
        <f>VLOOKUP($A162,'ПР 01-02.21'!$A$11:$BB$406,18,FALSE)+VLOOKUP($A162,'ПР 21-22'!$A$11:$BB$406,18,FALSE)-VLOOKUP($A162,'ПР 01-02.22'!$A$11:$BB$378,18,FALSE)</f>
        <v>0</v>
      </c>
      <c r="S162" s="5">
        <f>VLOOKUP($A162,'ПР 01-02.21'!$A$11:$BB$406,19,FALSE)+VLOOKUP($A162,'ПР 21-22'!$A$11:$BB$406,19,FALSE)-VLOOKUP($A162,'ПР 01-02.22'!$A$11:$BB$378,19,FALSE)</f>
        <v>0</v>
      </c>
      <c r="T162" s="444"/>
      <c r="U162" s="5">
        <f>VLOOKUP($A162,'ПР 01-02.21'!$A$11:$BB$406,21,FALSE)+VLOOKUP($A162,'ПР 21-22'!$A$11:$BB$406,21,FALSE)-VLOOKUP($A162,'ПР 01-02.22'!$A$11:$BB$378,21,FALSE)</f>
        <v>0</v>
      </c>
      <c r="V162" s="5"/>
      <c r="W162" s="5">
        <f>VLOOKUP($A162,'ПР 01-02.21'!$A$11:$BB$406,23,FALSE)+VLOOKUP($A162,'ПР 21-22'!$A$11:$BB$406,23,FALSE)-VLOOKUP($A162,'ПР 01-02.22'!$A$11:$BB$378,23,FALSE)</f>
        <v>0</v>
      </c>
      <c r="X162" s="5">
        <f>VLOOKUP($A162,'ПР 01-02.21'!$A$11:$BB$406,24,FALSE)+VLOOKUP($A162,'ПР 21-22'!$A$11:$BB$406,24,FALSE)-VLOOKUP($A162,'ПР 01-02.22'!$A$11:$BB$378,24,FALSE)</f>
        <v>0</v>
      </c>
      <c r="Y162" s="5">
        <f>VLOOKUP($A162,'ПР 01-02.21'!$A$11:$BB$406,25,FALSE)+VLOOKUP($A162,'ПР 21-22'!$A$11:$BB$406,25,FALSE)-VLOOKUP($A162,'ПР 01-02.22'!$A$11:$BB$378,25,FALSE)</f>
        <v>0</v>
      </c>
      <c r="Z162" s="5"/>
      <c r="AA162" s="5">
        <f>VLOOKUP($A162,'ПР 01-02.21'!$A$11:$BB$406,27,FALSE)+VLOOKUP($A162,'ПР 21-22'!$A$11:$BB$406,27,FALSE)-VLOOKUP($A162,'ПР 01-02.22'!$A$11:$BB$378,27,FALSE)</f>
        <v>0</v>
      </c>
      <c r="AB162" s="5">
        <f>VLOOKUP($A162,'ПР 01-02.21'!$A$11:$BB$406,28,FALSE)+VLOOKUP($A162,'ПР 21-22'!$A$11:$BB$406,28,FALSE)-VLOOKUP($A162,'ПР 01-02.22'!$A$11:$BB$378,28,FALSE)</f>
        <v>0</v>
      </c>
      <c r="AC162" s="5">
        <f>VLOOKUP($A162,'ПР 01-02.21'!$A$11:$BB$406,29,FALSE)+VLOOKUP($A162,'ПР 21-22'!$A$11:$BB$406,29,FALSE)-VLOOKUP($A162,'ПР 01-02.22'!$A$11:$BB$378,29,FALSE)</f>
        <v>0</v>
      </c>
      <c r="AD162" s="5">
        <f>VLOOKUP($A162,'ПР 01-02.21'!$A$11:$BB$406,30,FALSE)+VLOOKUP($A162,'ПР 21-22'!$A$11:$BB$406,30,FALSE)-VLOOKUP($A162,'ПР 01-02.22'!$A$11:$BB$378,30,FALSE)</f>
        <v>423</v>
      </c>
      <c r="AE162" s="5">
        <f>VLOOKUP($A162,'ПР 01-02.21'!$A$11:$BB$406,31,FALSE)+VLOOKUP($A162,'ПР 21-22'!$A$11:$BB$406,31,FALSE)-VLOOKUP($A162,'ПР 01-02.22'!$A$11:$BB$378,31,FALSE)</f>
        <v>1329.168837449535</v>
      </c>
      <c r="AF162" s="5">
        <f>VLOOKUP($A162,'ПР 01-02.21'!$A$11:$BB$406,32,FALSE)+VLOOKUP($A162,'ПР 21-22'!$A$11:$BB$406,32,FALSE)-VLOOKUP($A162,'ПР 01-02.22'!$A$11:$BB$378,32,FALSE)</f>
        <v>0</v>
      </c>
      <c r="AG162" s="40"/>
      <c r="AH162" s="5">
        <f>VLOOKUP($A162,'ПР 01-02.21'!$A$11:$BB$406,34,FALSE)+VLOOKUP($A162,'ПР 21-22'!$A$11:$BB$406,34,FALSE)-VLOOKUP($A162,'ПР 01-02.22'!$A$11:$BB$378,34,FALSE)</f>
        <v>1664.3866474859169</v>
      </c>
      <c r="AI162" s="5">
        <f>VLOOKUP($A162,'ПР 01-02.21'!$A$11:$BB$406,35,FALSE)+VLOOKUP($A162,'ПР 21-22'!$A$11:$BB$406,35,FALSE)-VLOOKUP($A162,'ПР 01-02.22'!$A$11:$BB$378,35,FALSE)</f>
        <v>2510</v>
      </c>
      <c r="AJ162" s="40"/>
      <c r="AK162" s="5">
        <f>VLOOKUP($A162,'ПР 01-02.21'!$A$11:$BB$406,37,FALSE)+VLOOKUP($A162,'ПР 21-22'!$A$11:$BB$406,37,FALSE)-VLOOKUP($A162,'ПР 01-02.22'!$A$11:$BB$378,37,FALSE)</f>
        <v>919.78431983798805</v>
      </c>
      <c r="AL162" s="5">
        <f>VLOOKUP($A162,'ПР 01-02.21'!$A$11:$BB$406,38,FALSE)+VLOOKUP($A162,'ПР 21-22'!$A$11:$BB$406,38,FALSE)-VLOOKUP($A162,'ПР 01-02.22'!$A$11:$BB$378,38,FALSE)</f>
        <v>0</v>
      </c>
      <c r="AM162" s="40"/>
      <c r="AN162" s="5">
        <f>VLOOKUP($A162,'ПР 01-02.21'!$A$11:$BB$406,40,FALSE)+VLOOKUP($A162,'ПР 21-22'!$A$11:$BB$406,40,FALSE)-VLOOKUP($A162,'ПР 01-02.22'!$A$11:$BB$378,40,FALSE)</f>
        <v>0</v>
      </c>
      <c r="AO162" s="5">
        <f>VLOOKUP($A162,'ПР 01-02.21'!$A$11:$BB$406,41,FALSE)+VLOOKUP($A162,'ПР 21-22'!$A$11:$BB$406,41,FALSE)-VLOOKUP($A162,'ПР 01-02.22'!$A$11:$BB$378,41,FALSE)</f>
        <v>0</v>
      </c>
      <c r="AP162" s="40"/>
      <c r="AQ162" s="5">
        <f>VLOOKUP($A162,'ПР 01-02.21'!$A$11:$BB$406,43,FALSE)+VLOOKUP($A162,'ПР 21-22'!$A$11:$BB$406,43,FALSE)-VLOOKUP($A162,'ПР 01-02.22'!$A$11:$BB$378,43,FALSE)</f>
        <v>0</v>
      </c>
      <c r="AR162" s="5">
        <f>VLOOKUP($A162,'ПР 01-02.21'!$A$11:$BB$406,44,FALSE)+VLOOKUP($A162,'ПР 21-22'!$A$11:$BB$406,44,FALSE)-VLOOKUP($A162,'ПР 01-02.22'!$A$11:$BB$378,44,FALSE)</f>
        <v>0</v>
      </c>
      <c r="AS162" s="40"/>
      <c r="AT162" s="5">
        <f>VLOOKUP($A162,'ПР 01-02.21'!$A$11:$BB$406,46,FALSE)+VLOOKUP($A162,'ПР 21-22'!$A$11:$BB$406,46,FALSE)-VLOOKUP($A162,'ПР 01-02.22'!$A$11:$BB$378,46,FALSE)</f>
        <v>599.25028583330231</v>
      </c>
      <c r="AU162" s="5">
        <f>VLOOKUP($A162,'ПР 01-02.21'!$A$11:$BB$406,47,FALSE)+VLOOKUP($A162,'ПР 21-22'!$A$11:$BB$406,47,FALSE)-VLOOKUP($A162,'ПР 01-02.22'!$A$11:$BB$378,47,FALSE)</f>
        <v>0</v>
      </c>
      <c r="AV162" s="40"/>
      <c r="AW162" s="5">
        <f>VLOOKUP($A162,'ПР 01-02.21'!$A$11:$BB$406,49,FALSE)+VLOOKUP($A162,'ПР 21-22'!$A$11:$BB$406,49,FALSE)-VLOOKUP($A162,'ПР 01-02.22'!$A$11:$BB$378,49,FALSE)</f>
        <v>74.387999999999991</v>
      </c>
      <c r="AX162" s="5">
        <f>VLOOKUP($A162,'ПР 01-02.21'!$A$11:$BB$406,50,FALSE)+VLOOKUP($A162,'ПР 21-22'!$A$11:$BB$406,50,FALSE)-VLOOKUP($A162,'ПР 01-02.22'!$A$11:$BB$378,50,FALSE)</f>
        <v>0</v>
      </c>
      <c r="AY162" s="40"/>
      <c r="AZ162" s="40">
        <f t="shared" si="9"/>
        <v>4586.9780906067417</v>
      </c>
      <c r="BA162" s="40">
        <f t="shared" si="9"/>
        <v>2510</v>
      </c>
      <c r="BB162" s="55">
        <f t="shared" si="12"/>
        <v>-2076.9780906067417</v>
      </c>
      <c r="BD162" s="2">
        <v>2</v>
      </c>
      <c r="BF162" s="325">
        <v>150001009</v>
      </c>
    </row>
    <row r="163" spans="1:58" ht="24.9" customHeight="1" x14ac:dyDescent="0.3">
      <c r="A163" s="325">
        <v>150001010</v>
      </c>
      <c r="B163" s="445" t="s">
        <v>165</v>
      </c>
      <c r="C163" s="27">
        <v>2</v>
      </c>
      <c r="D163" s="101" t="s">
        <v>455</v>
      </c>
      <c r="E163" s="279">
        <f>'побудинковий звіт'!E161</f>
        <v>744.59999999999991</v>
      </c>
      <c r="F163" s="441">
        <f>'побудинковий звіт'!AS161</f>
        <v>7787.0570257061745</v>
      </c>
      <c r="G163" s="441">
        <f t="shared" si="10"/>
        <v>213</v>
      </c>
      <c r="H163" s="73">
        <f t="shared" si="11"/>
        <v>-7574.0570257061745</v>
      </c>
      <c r="I163" s="5">
        <f>VLOOKUP($A163,'ПР 01-02.21'!$A$11:$BB$406,9,FALSE)+VLOOKUP($A163,'ПР 21-22'!$A$11:$BB$406,9,FALSE)-VLOOKUP($A163,'ПР 01-02.22'!$A$11:$BB$378,9,FALSE)</f>
        <v>0</v>
      </c>
      <c r="J163" s="5">
        <f>VLOOKUP($A163,'ПР 01-02.21'!$A$11:$BB$406,10,FALSE)+VLOOKUP($A163,'ПР 21-22'!$A$11:$BB$406,10,FALSE)-VLOOKUP($A163,'ПР 01-02.22'!$A$11:$BB$378,10,FALSE)</f>
        <v>0</v>
      </c>
      <c r="K163" s="446"/>
      <c r="L163" s="5">
        <f>VLOOKUP($A163,'ПР 01-02.21'!$A$11:$BB$406,12,FALSE)+VLOOKUP($A163,'ПР 21-22'!$A$11:$BB$406,12,FALSE)-VLOOKUP($A163,'ПР 01-02.22'!$A$11:$BB$378,12,FALSE)</f>
        <v>0</v>
      </c>
      <c r="M163" s="5">
        <f>VLOOKUP($A163,'ПР 01-02.21'!$A$11:$BB$406,13,FALSE)+VLOOKUP($A163,'ПР 21-22'!$A$11:$BB$406,13,FALSE)-VLOOKUP($A163,'ПР 01-02.22'!$A$11:$BB$378,13,FALSE)</f>
        <v>0</v>
      </c>
      <c r="N163" s="38"/>
      <c r="O163" s="5">
        <f>VLOOKUP($A163,'ПР 01-02.21'!$A$11:$BB$406,15,FALSE)+VLOOKUP($A163,'ПР 21-22'!$A$11:$BB$406,15,FALSE)-VLOOKUP($A163,'ПР 01-02.22'!$A$11:$BB$378,15,FALSE)</f>
        <v>0</v>
      </c>
      <c r="P163" s="5">
        <f>VLOOKUP($A163,'ПР 01-02.21'!$A$11:$BB$406,16,FALSE)+VLOOKUP($A163,'ПР 21-22'!$A$11:$BB$406,16,FALSE)-VLOOKUP($A163,'ПР 01-02.22'!$A$11:$BB$378,16,FALSE)</f>
        <v>0</v>
      </c>
      <c r="Q163" s="443"/>
      <c r="R163" s="5">
        <f>VLOOKUP($A163,'ПР 01-02.21'!$A$11:$BB$406,18,FALSE)+VLOOKUP($A163,'ПР 21-22'!$A$11:$BB$406,18,FALSE)-VLOOKUP($A163,'ПР 01-02.22'!$A$11:$BB$378,18,FALSE)</f>
        <v>0</v>
      </c>
      <c r="S163" s="5">
        <f>VLOOKUP($A163,'ПР 01-02.21'!$A$11:$BB$406,19,FALSE)+VLOOKUP($A163,'ПР 21-22'!$A$11:$BB$406,19,FALSE)-VLOOKUP($A163,'ПР 01-02.22'!$A$11:$BB$378,19,FALSE)</f>
        <v>0</v>
      </c>
      <c r="T163" s="444"/>
      <c r="U163" s="5">
        <f>VLOOKUP($A163,'ПР 01-02.21'!$A$11:$BB$406,21,FALSE)+VLOOKUP($A163,'ПР 21-22'!$A$11:$BB$406,21,FALSE)-VLOOKUP($A163,'ПР 01-02.22'!$A$11:$BB$378,21,FALSE)</f>
        <v>0</v>
      </c>
      <c r="V163" s="5"/>
      <c r="W163" s="5">
        <f>VLOOKUP($A163,'ПР 01-02.21'!$A$11:$BB$406,23,FALSE)+VLOOKUP($A163,'ПР 21-22'!$A$11:$BB$406,23,FALSE)-VLOOKUP($A163,'ПР 01-02.22'!$A$11:$BB$378,23,FALSE)</f>
        <v>0</v>
      </c>
      <c r="X163" s="5">
        <f>VLOOKUP($A163,'ПР 01-02.21'!$A$11:$BB$406,24,FALSE)+VLOOKUP($A163,'ПР 21-22'!$A$11:$BB$406,24,FALSE)-VLOOKUP($A163,'ПР 01-02.22'!$A$11:$BB$378,24,FALSE)</f>
        <v>0</v>
      </c>
      <c r="Y163" s="5">
        <f>VLOOKUP($A163,'ПР 01-02.21'!$A$11:$BB$406,25,FALSE)+VLOOKUP($A163,'ПР 21-22'!$A$11:$BB$406,25,FALSE)-VLOOKUP($A163,'ПР 01-02.22'!$A$11:$BB$378,25,FALSE)</f>
        <v>0</v>
      </c>
      <c r="Z163" s="5"/>
      <c r="AA163" s="5">
        <f>VLOOKUP($A163,'ПР 01-02.21'!$A$11:$BB$406,27,FALSE)+VLOOKUP($A163,'ПР 21-22'!$A$11:$BB$406,27,FALSE)-VLOOKUP($A163,'ПР 01-02.22'!$A$11:$BB$378,27,FALSE)</f>
        <v>0</v>
      </c>
      <c r="AB163" s="5">
        <f>VLOOKUP($A163,'ПР 01-02.21'!$A$11:$BB$406,28,FALSE)+VLOOKUP($A163,'ПР 21-22'!$A$11:$BB$406,28,FALSE)-VLOOKUP($A163,'ПР 01-02.22'!$A$11:$BB$378,28,FALSE)</f>
        <v>0</v>
      </c>
      <c r="AC163" s="5">
        <f>VLOOKUP($A163,'ПР 01-02.21'!$A$11:$BB$406,29,FALSE)+VLOOKUP($A163,'ПР 21-22'!$A$11:$BB$406,29,FALSE)-VLOOKUP($A163,'ПР 01-02.22'!$A$11:$BB$378,29,FALSE)</f>
        <v>0</v>
      </c>
      <c r="AD163" s="5">
        <f>VLOOKUP($A163,'ПР 01-02.21'!$A$11:$BB$406,30,FALSE)+VLOOKUP($A163,'ПР 21-22'!$A$11:$BB$406,30,FALSE)-VLOOKUP($A163,'ПР 01-02.22'!$A$11:$BB$378,30,FALSE)</f>
        <v>213</v>
      </c>
      <c r="AE163" s="5">
        <f>VLOOKUP($A163,'ПР 01-02.21'!$A$11:$BB$406,31,FALSE)+VLOOKUP($A163,'ПР 21-22'!$A$11:$BB$406,31,FALSE)-VLOOKUP($A163,'ПР 01-02.22'!$A$11:$BB$378,31,FALSE)</f>
        <v>912.57985425866832</v>
      </c>
      <c r="AF163" s="5">
        <f>VLOOKUP($A163,'ПР 01-02.21'!$A$11:$BB$406,32,FALSE)+VLOOKUP($A163,'ПР 21-22'!$A$11:$BB$406,32,FALSE)-VLOOKUP($A163,'ПР 01-02.22'!$A$11:$BB$378,32,FALSE)</f>
        <v>0</v>
      </c>
      <c r="AG163" s="40"/>
      <c r="AH163" s="5">
        <f>VLOOKUP($A163,'ПР 01-02.21'!$A$11:$BB$406,34,FALSE)+VLOOKUP($A163,'ПР 21-22'!$A$11:$BB$406,34,FALSE)-VLOOKUP($A163,'ПР 01-02.22'!$A$11:$BB$378,34,FALSE)</f>
        <v>1269.587300334701</v>
      </c>
      <c r="AI163" s="5">
        <f>VLOOKUP($A163,'ПР 01-02.21'!$A$11:$BB$406,35,FALSE)+VLOOKUP($A163,'ПР 21-22'!$A$11:$BB$406,35,FALSE)-VLOOKUP($A163,'ПР 01-02.22'!$A$11:$BB$378,35,FALSE)</f>
        <v>0</v>
      </c>
      <c r="AJ163" s="40"/>
      <c r="AK163" s="5">
        <f>VLOOKUP($A163,'ПР 01-02.21'!$A$11:$BB$406,37,FALSE)+VLOOKUP($A163,'ПР 21-22'!$A$11:$BB$406,37,FALSE)-VLOOKUP($A163,'ПР 01-02.22'!$A$11:$BB$378,37,FALSE)</f>
        <v>376.42188388392111</v>
      </c>
      <c r="AL163" s="5">
        <f>VLOOKUP($A163,'ПР 01-02.21'!$A$11:$BB$406,38,FALSE)+VLOOKUP($A163,'ПР 21-22'!$A$11:$BB$406,38,FALSE)-VLOOKUP($A163,'ПР 01-02.22'!$A$11:$BB$378,38,FALSE)</f>
        <v>0</v>
      </c>
      <c r="AM163" s="40"/>
      <c r="AN163" s="5">
        <f>VLOOKUP($A163,'ПР 01-02.21'!$A$11:$BB$406,40,FALSE)+VLOOKUP($A163,'ПР 21-22'!$A$11:$BB$406,40,FALSE)-VLOOKUP($A163,'ПР 01-02.22'!$A$11:$BB$378,40,FALSE)</f>
        <v>0</v>
      </c>
      <c r="AO163" s="5">
        <f>VLOOKUP($A163,'ПР 01-02.21'!$A$11:$BB$406,41,FALSE)+VLOOKUP($A163,'ПР 21-22'!$A$11:$BB$406,41,FALSE)-VLOOKUP($A163,'ПР 01-02.22'!$A$11:$BB$378,41,FALSE)</f>
        <v>0</v>
      </c>
      <c r="AP163" s="40"/>
      <c r="AQ163" s="5">
        <f>VLOOKUP($A163,'ПР 01-02.21'!$A$11:$BB$406,43,FALSE)+VLOOKUP($A163,'ПР 21-22'!$A$11:$BB$406,43,FALSE)-VLOOKUP($A163,'ПР 01-02.22'!$A$11:$BB$378,43,FALSE)</f>
        <v>0</v>
      </c>
      <c r="AR163" s="5">
        <f>VLOOKUP($A163,'ПР 01-02.21'!$A$11:$BB$406,44,FALSE)+VLOOKUP($A163,'ПР 21-22'!$A$11:$BB$406,44,FALSE)-VLOOKUP($A163,'ПР 01-02.22'!$A$11:$BB$378,44,FALSE)</f>
        <v>0</v>
      </c>
      <c r="AS163" s="40"/>
      <c r="AT163" s="5">
        <f>VLOOKUP($A163,'ПР 01-02.21'!$A$11:$BB$406,46,FALSE)+VLOOKUP($A163,'ПР 21-22'!$A$11:$BB$406,46,FALSE)-VLOOKUP($A163,'ПР 01-02.22'!$A$11:$BB$378,46,FALSE)</f>
        <v>457.74398541982873</v>
      </c>
      <c r="AU163" s="5">
        <f>VLOOKUP($A163,'ПР 01-02.21'!$A$11:$BB$406,47,FALSE)+VLOOKUP($A163,'ПР 21-22'!$A$11:$BB$406,47,FALSE)-VLOOKUP($A163,'ПР 01-02.22'!$A$11:$BB$378,47,FALSE)</f>
        <v>0</v>
      </c>
      <c r="AV163" s="40"/>
      <c r="AW163" s="5">
        <f>VLOOKUP($A163,'ПР 01-02.21'!$A$11:$BB$406,49,FALSE)+VLOOKUP($A163,'ПР 21-22'!$A$11:$BB$406,49,FALSE)-VLOOKUP($A163,'ПР 01-02.22'!$A$11:$BB$378,49,FALSE)</f>
        <v>38.671999999999997</v>
      </c>
      <c r="AX163" s="5">
        <f>VLOOKUP($A163,'ПР 01-02.21'!$A$11:$BB$406,50,FALSE)+VLOOKUP($A163,'ПР 21-22'!$A$11:$BB$406,50,FALSE)-VLOOKUP($A163,'ПР 01-02.22'!$A$11:$BB$378,50,FALSE)</f>
        <v>0</v>
      </c>
      <c r="AY163" s="40"/>
      <c r="AZ163" s="40">
        <f t="shared" si="9"/>
        <v>3055.0050238971194</v>
      </c>
      <c r="BA163" s="40">
        <f t="shared" si="9"/>
        <v>0</v>
      </c>
      <c r="BB163" s="55">
        <f t="shared" si="12"/>
        <v>-3055.0050238971194</v>
      </c>
      <c r="BD163" s="2">
        <v>2</v>
      </c>
      <c r="BF163" s="325">
        <v>150001010</v>
      </c>
    </row>
    <row r="164" spans="1:58" ht="24.9" customHeight="1" x14ac:dyDescent="0.3">
      <c r="A164" s="325">
        <v>150001011</v>
      </c>
      <c r="B164" s="445" t="s">
        <v>166</v>
      </c>
      <c r="C164" s="27">
        <v>2</v>
      </c>
      <c r="D164" s="101" t="s">
        <v>455</v>
      </c>
      <c r="E164" s="279">
        <f>'побудинковий звіт'!E162</f>
        <v>422.9</v>
      </c>
      <c r="F164" s="441">
        <f>'побудинковий звіт'!AS162</f>
        <v>5046.2623460629202</v>
      </c>
      <c r="G164" s="441">
        <f t="shared" si="10"/>
        <v>6052</v>
      </c>
      <c r="H164" s="73">
        <f t="shared" si="11"/>
        <v>1005.7376539370798</v>
      </c>
      <c r="I164" s="5">
        <f>VLOOKUP($A164,'ПР 01-02.21'!$A$11:$BB$406,9,FALSE)+VLOOKUP($A164,'ПР 21-22'!$A$11:$BB$406,9,FALSE)-VLOOKUP($A164,'ПР 01-02.22'!$A$11:$BB$378,9,FALSE)</f>
        <v>0</v>
      </c>
      <c r="J164" s="5">
        <f>VLOOKUP($A164,'ПР 01-02.21'!$A$11:$BB$406,10,FALSE)+VLOOKUP($A164,'ПР 21-22'!$A$11:$BB$406,10,FALSE)-VLOOKUP($A164,'ПР 01-02.22'!$A$11:$BB$378,10,FALSE)</f>
        <v>5109</v>
      </c>
      <c r="K164" s="446"/>
      <c r="L164" s="5">
        <f>VLOOKUP($A164,'ПР 01-02.21'!$A$11:$BB$406,12,FALSE)+VLOOKUP($A164,'ПР 21-22'!$A$11:$BB$406,12,FALSE)-VLOOKUP($A164,'ПР 01-02.22'!$A$11:$BB$378,12,FALSE)</f>
        <v>0</v>
      </c>
      <c r="M164" s="5">
        <f>VLOOKUP($A164,'ПР 01-02.21'!$A$11:$BB$406,13,FALSE)+VLOOKUP($A164,'ПР 21-22'!$A$11:$BB$406,13,FALSE)-VLOOKUP($A164,'ПР 01-02.22'!$A$11:$BB$378,13,FALSE)</f>
        <v>0</v>
      </c>
      <c r="N164" s="38"/>
      <c r="O164" s="5">
        <f>VLOOKUP($A164,'ПР 01-02.21'!$A$11:$BB$406,15,FALSE)+VLOOKUP($A164,'ПР 21-22'!$A$11:$BB$406,15,FALSE)-VLOOKUP($A164,'ПР 01-02.22'!$A$11:$BB$378,15,FALSE)</f>
        <v>0</v>
      </c>
      <c r="P164" s="5">
        <f>VLOOKUP($A164,'ПР 01-02.21'!$A$11:$BB$406,16,FALSE)+VLOOKUP($A164,'ПР 21-22'!$A$11:$BB$406,16,FALSE)-VLOOKUP($A164,'ПР 01-02.22'!$A$11:$BB$378,16,FALSE)</f>
        <v>0</v>
      </c>
      <c r="Q164" s="443"/>
      <c r="R164" s="5">
        <f>VLOOKUP($A164,'ПР 01-02.21'!$A$11:$BB$406,18,FALSE)+VLOOKUP($A164,'ПР 21-22'!$A$11:$BB$406,18,FALSE)-VLOOKUP($A164,'ПР 01-02.22'!$A$11:$BB$378,18,FALSE)</f>
        <v>0</v>
      </c>
      <c r="S164" s="5">
        <f>VLOOKUP($A164,'ПР 01-02.21'!$A$11:$BB$406,19,FALSE)+VLOOKUP($A164,'ПР 21-22'!$A$11:$BB$406,19,FALSE)-VLOOKUP($A164,'ПР 01-02.22'!$A$11:$BB$378,19,FALSE)</f>
        <v>0</v>
      </c>
      <c r="T164" s="444"/>
      <c r="U164" s="5">
        <f>VLOOKUP($A164,'ПР 01-02.21'!$A$11:$BB$406,21,FALSE)+VLOOKUP($A164,'ПР 21-22'!$A$11:$BB$406,21,FALSE)-VLOOKUP($A164,'ПР 01-02.22'!$A$11:$BB$378,21,FALSE)</f>
        <v>0</v>
      </c>
      <c r="V164" s="5"/>
      <c r="W164" s="5">
        <f>VLOOKUP($A164,'ПР 01-02.21'!$A$11:$BB$406,23,FALSE)+VLOOKUP($A164,'ПР 21-22'!$A$11:$BB$406,23,FALSE)-VLOOKUP($A164,'ПР 01-02.22'!$A$11:$BB$378,23,FALSE)</f>
        <v>0</v>
      </c>
      <c r="X164" s="5">
        <f>VLOOKUP($A164,'ПР 01-02.21'!$A$11:$BB$406,24,FALSE)+VLOOKUP($A164,'ПР 21-22'!$A$11:$BB$406,24,FALSE)-VLOOKUP($A164,'ПР 01-02.22'!$A$11:$BB$378,24,FALSE)</f>
        <v>0</v>
      </c>
      <c r="Y164" s="5">
        <f>VLOOKUP($A164,'ПР 01-02.21'!$A$11:$BB$406,25,FALSE)+VLOOKUP($A164,'ПР 21-22'!$A$11:$BB$406,25,FALSE)-VLOOKUP($A164,'ПР 01-02.22'!$A$11:$BB$378,25,FALSE)</f>
        <v>0</v>
      </c>
      <c r="Z164" s="5"/>
      <c r="AA164" s="5">
        <f>VLOOKUP($A164,'ПР 01-02.21'!$A$11:$BB$406,27,FALSE)+VLOOKUP($A164,'ПР 21-22'!$A$11:$BB$406,27,FALSE)-VLOOKUP($A164,'ПР 01-02.22'!$A$11:$BB$378,27,FALSE)</f>
        <v>0</v>
      </c>
      <c r="AB164" s="5">
        <f>VLOOKUP($A164,'ПР 01-02.21'!$A$11:$BB$406,28,FALSE)+VLOOKUP($A164,'ПР 21-22'!$A$11:$BB$406,28,FALSE)-VLOOKUP($A164,'ПР 01-02.22'!$A$11:$BB$378,28,FALSE)</f>
        <v>0</v>
      </c>
      <c r="AC164" s="5">
        <f>VLOOKUP($A164,'ПР 01-02.21'!$A$11:$BB$406,29,FALSE)+VLOOKUP($A164,'ПР 21-22'!$A$11:$BB$406,29,FALSE)-VLOOKUP($A164,'ПР 01-02.22'!$A$11:$BB$378,29,FALSE)</f>
        <v>0</v>
      </c>
      <c r="AD164" s="5">
        <f>VLOOKUP($A164,'ПР 01-02.21'!$A$11:$BB$406,30,FALSE)+VLOOKUP($A164,'ПР 21-22'!$A$11:$BB$406,30,FALSE)-VLOOKUP($A164,'ПР 01-02.22'!$A$11:$BB$378,30,FALSE)</f>
        <v>943</v>
      </c>
      <c r="AE164" s="5">
        <f>VLOOKUP($A164,'ПР 01-02.21'!$A$11:$BB$406,31,FALSE)+VLOOKUP($A164,'ПР 21-22'!$A$11:$BB$406,31,FALSE)-VLOOKUP($A164,'ПР 01-02.22'!$A$11:$BB$378,31,FALSE)</f>
        <v>560.94450717735697</v>
      </c>
      <c r="AF164" s="5">
        <f>VLOOKUP($A164,'ПР 01-02.21'!$A$11:$BB$406,32,FALSE)+VLOOKUP($A164,'ПР 21-22'!$A$11:$BB$406,32,FALSE)-VLOOKUP($A164,'ПР 01-02.22'!$A$11:$BB$378,32,FALSE)</f>
        <v>0</v>
      </c>
      <c r="AG164" s="40"/>
      <c r="AH164" s="5">
        <f>VLOOKUP($A164,'ПР 01-02.21'!$A$11:$BB$406,34,FALSE)+VLOOKUP($A164,'ПР 21-22'!$A$11:$BB$406,34,FALSE)-VLOOKUP($A164,'ПР 01-02.22'!$A$11:$BB$378,34,FALSE)</f>
        <v>612.72449674814925</v>
      </c>
      <c r="AI164" s="5">
        <f>VLOOKUP($A164,'ПР 01-02.21'!$A$11:$BB$406,35,FALSE)+VLOOKUP($A164,'ПР 21-22'!$A$11:$BB$406,35,FALSE)-VLOOKUP($A164,'ПР 01-02.22'!$A$11:$BB$378,35,FALSE)</f>
        <v>0</v>
      </c>
      <c r="AJ164" s="40"/>
      <c r="AK164" s="5">
        <f>VLOOKUP($A164,'ПР 01-02.21'!$A$11:$BB$406,37,FALSE)+VLOOKUP($A164,'ПР 21-22'!$A$11:$BB$406,37,FALSE)-VLOOKUP($A164,'ПР 01-02.22'!$A$11:$BB$378,37,FALSE)</f>
        <v>214.47178065695437</v>
      </c>
      <c r="AL164" s="5">
        <f>VLOOKUP($A164,'ПР 01-02.21'!$A$11:$BB$406,38,FALSE)+VLOOKUP($A164,'ПР 21-22'!$A$11:$BB$406,38,FALSE)-VLOOKUP($A164,'ПР 01-02.22'!$A$11:$BB$378,38,FALSE)</f>
        <v>0</v>
      </c>
      <c r="AM164" s="40"/>
      <c r="AN164" s="5">
        <f>VLOOKUP($A164,'ПР 01-02.21'!$A$11:$BB$406,40,FALSE)+VLOOKUP($A164,'ПР 21-22'!$A$11:$BB$406,40,FALSE)-VLOOKUP($A164,'ПР 01-02.22'!$A$11:$BB$378,40,FALSE)</f>
        <v>0</v>
      </c>
      <c r="AO164" s="5">
        <f>VLOOKUP($A164,'ПР 01-02.21'!$A$11:$BB$406,41,FALSE)+VLOOKUP($A164,'ПР 21-22'!$A$11:$BB$406,41,FALSE)-VLOOKUP($A164,'ПР 01-02.22'!$A$11:$BB$378,41,FALSE)</f>
        <v>0</v>
      </c>
      <c r="AP164" s="40"/>
      <c r="AQ164" s="5">
        <f>VLOOKUP($A164,'ПР 01-02.21'!$A$11:$BB$406,43,FALSE)+VLOOKUP($A164,'ПР 21-22'!$A$11:$BB$406,43,FALSE)-VLOOKUP($A164,'ПР 01-02.22'!$A$11:$BB$378,43,FALSE)</f>
        <v>0</v>
      </c>
      <c r="AR164" s="5">
        <f>VLOOKUP($A164,'ПР 01-02.21'!$A$11:$BB$406,44,FALSE)+VLOOKUP($A164,'ПР 21-22'!$A$11:$BB$406,44,FALSE)-VLOOKUP($A164,'ПР 01-02.22'!$A$11:$BB$378,44,FALSE)</f>
        <v>0</v>
      </c>
      <c r="AS164" s="40"/>
      <c r="AT164" s="5">
        <f>VLOOKUP($A164,'ПР 01-02.21'!$A$11:$BB$406,46,FALSE)+VLOOKUP($A164,'ПР 21-22'!$A$11:$BB$406,46,FALSE)-VLOOKUP($A164,'ПР 01-02.22'!$A$11:$BB$378,46,FALSE)</f>
        <v>106.65081620710528</v>
      </c>
      <c r="AU164" s="5">
        <f>VLOOKUP($A164,'ПР 01-02.21'!$A$11:$BB$406,47,FALSE)+VLOOKUP($A164,'ПР 21-22'!$A$11:$BB$406,47,FALSE)-VLOOKUP($A164,'ПР 01-02.22'!$A$11:$BB$378,47,FALSE)</f>
        <v>0</v>
      </c>
      <c r="AV164" s="40"/>
      <c r="AW164" s="5">
        <f>VLOOKUP($A164,'ПР 01-02.21'!$A$11:$BB$406,49,FALSE)+VLOOKUP($A164,'ПР 21-22'!$A$11:$BB$406,49,FALSE)-VLOOKUP($A164,'ПР 01-02.22'!$A$11:$BB$378,49,FALSE)</f>
        <v>20.916</v>
      </c>
      <c r="AX164" s="5">
        <f>VLOOKUP($A164,'ПР 01-02.21'!$A$11:$BB$406,50,FALSE)+VLOOKUP($A164,'ПР 21-22'!$A$11:$BB$406,50,FALSE)-VLOOKUP($A164,'ПР 01-02.22'!$A$11:$BB$378,50,FALSE)</f>
        <v>0</v>
      </c>
      <c r="AY164" s="40"/>
      <c r="AZ164" s="40">
        <f t="shared" si="9"/>
        <v>1515.7076007895657</v>
      </c>
      <c r="BA164" s="40">
        <f t="shared" si="9"/>
        <v>0</v>
      </c>
      <c r="BB164" s="55">
        <f t="shared" si="12"/>
        <v>-1515.7076007895657</v>
      </c>
      <c r="BD164" s="2">
        <v>2</v>
      </c>
      <c r="BF164" s="325">
        <v>150001011</v>
      </c>
    </row>
    <row r="165" spans="1:58" ht="24.9" customHeight="1" x14ac:dyDescent="0.3">
      <c r="A165" s="391">
        <v>150001013</v>
      </c>
      <c r="B165" s="445" t="s">
        <v>261</v>
      </c>
      <c r="C165" s="27">
        <v>5</v>
      </c>
      <c r="D165" s="101" t="s">
        <v>455</v>
      </c>
      <c r="E165" s="279">
        <f>'побудинковий звіт'!E163</f>
        <v>3476.23</v>
      </c>
      <c r="F165" s="441">
        <f>'побудинковий звіт'!AS163</f>
        <v>26533.913224716212</v>
      </c>
      <c r="G165" s="441">
        <f t="shared" si="10"/>
        <v>13959</v>
      </c>
      <c r="H165" s="73">
        <f t="shared" si="11"/>
        <v>-12574.913224716212</v>
      </c>
      <c r="I165" s="5">
        <f>VLOOKUP($A165,'ПР 01-02.21'!$A$11:$BB$406,9,FALSE)+VLOOKUP($A165,'ПР 21-22'!$A$11:$BB$406,9,FALSE)-VLOOKUP($A165,'ПР 01-02.22'!$A$11:$BB$378,9,FALSE)</f>
        <v>0</v>
      </c>
      <c r="J165" s="5">
        <f>VLOOKUP($A165,'ПР 01-02.21'!$A$11:$BB$406,10,FALSE)+VLOOKUP($A165,'ПР 21-22'!$A$11:$BB$406,10,FALSE)-VLOOKUP($A165,'ПР 01-02.22'!$A$11:$BB$378,10,FALSE)</f>
        <v>0</v>
      </c>
      <c r="K165" s="5">
        <f>'[6]поточний ремонт'!K165+'[2]поточний ремонт'!K165-'[7]поточний ремонт'!K145</f>
        <v>0</v>
      </c>
      <c r="L165" s="5">
        <f>VLOOKUP($A165,'ПР 01-02.21'!$A$11:$BB$406,12,FALSE)+VLOOKUP($A165,'ПР 21-22'!$A$11:$BB$406,12,FALSE)-VLOOKUP($A165,'ПР 01-02.22'!$A$11:$BB$378,12,FALSE)</f>
        <v>0</v>
      </c>
      <c r="M165" s="5">
        <f>VLOOKUP($A165,'ПР 01-02.21'!$A$11:$BB$406,13,FALSE)+VLOOKUP($A165,'ПР 21-22'!$A$11:$BB$406,13,FALSE)-VLOOKUP($A165,'ПР 01-02.22'!$A$11:$BB$378,13,FALSE)</f>
        <v>0</v>
      </c>
      <c r="N165" s="38"/>
      <c r="O165" s="5">
        <f>VLOOKUP($A165,'ПР 01-02.21'!$A$11:$BB$406,15,FALSE)+VLOOKUP($A165,'ПР 21-22'!$A$11:$BB$406,15,FALSE)-VLOOKUP($A165,'ПР 01-02.22'!$A$11:$BB$378,15,FALSE)</f>
        <v>0</v>
      </c>
      <c r="P165" s="5">
        <f>VLOOKUP($A165,'ПР 01-02.21'!$A$11:$BB$406,16,FALSE)+VLOOKUP($A165,'ПР 21-22'!$A$11:$BB$406,16,FALSE)-VLOOKUP($A165,'ПР 01-02.22'!$A$11:$BB$378,16,FALSE)</f>
        <v>0</v>
      </c>
      <c r="Q165" s="443"/>
      <c r="R165" s="5">
        <f>VLOOKUP($A165,'ПР 01-02.21'!$A$11:$BB$406,18,FALSE)+VLOOKUP($A165,'ПР 21-22'!$A$11:$BB$406,18,FALSE)-VLOOKUP($A165,'ПР 01-02.22'!$A$11:$BB$378,18,FALSE)</f>
        <v>0</v>
      </c>
      <c r="S165" s="5">
        <f>VLOOKUP($A165,'ПР 01-02.21'!$A$11:$BB$406,19,FALSE)+VLOOKUP($A165,'ПР 21-22'!$A$11:$BB$406,19,FALSE)-VLOOKUP($A165,'ПР 01-02.22'!$A$11:$BB$378,19,FALSE)</f>
        <v>0</v>
      </c>
      <c r="T165" s="444"/>
      <c r="U165" s="5">
        <f>VLOOKUP($A165,'ПР 01-02.21'!$A$11:$BB$406,21,FALSE)+VLOOKUP($A165,'ПР 21-22'!$A$11:$BB$406,21,FALSE)-VLOOKUP($A165,'ПР 01-02.22'!$A$11:$BB$378,21,FALSE)</f>
        <v>0</v>
      </c>
      <c r="V165" s="5"/>
      <c r="W165" s="5">
        <f>VLOOKUP($A165,'ПР 01-02.21'!$A$11:$BB$406,23,FALSE)+VLOOKUP($A165,'ПР 21-22'!$A$11:$BB$406,23,FALSE)-VLOOKUP($A165,'ПР 01-02.22'!$A$11:$BB$378,23,FALSE)</f>
        <v>14</v>
      </c>
      <c r="X165" s="5">
        <f>VLOOKUP($A165,'ПР 01-02.21'!$A$11:$BB$406,24,FALSE)+VLOOKUP($A165,'ПР 21-22'!$A$11:$BB$406,24,FALSE)-VLOOKUP($A165,'ПР 01-02.22'!$A$11:$BB$378,24,FALSE)</f>
        <v>9581</v>
      </c>
      <c r="Y165" s="5">
        <f>VLOOKUP($A165,'ПР 01-02.21'!$A$11:$BB$406,25,FALSE)+VLOOKUP($A165,'ПР 21-22'!$A$11:$BB$406,25,FALSE)-VLOOKUP($A165,'ПР 01-02.22'!$A$11:$BB$378,25,FALSE)</f>
        <v>2544</v>
      </c>
      <c r="Z165" s="5"/>
      <c r="AA165" s="5">
        <f>VLOOKUP($A165,'ПР 01-02.21'!$A$11:$BB$406,27,FALSE)+VLOOKUP($A165,'ПР 21-22'!$A$11:$BB$406,27,FALSE)-VLOOKUP($A165,'ПР 01-02.22'!$A$11:$BB$378,27,FALSE)</f>
        <v>0</v>
      </c>
      <c r="AB165" s="5">
        <f>VLOOKUP($A165,'ПР 01-02.21'!$A$11:$BB$406,28,FALSE)+VLOOKUP($A165,'ПР 21-22'!$A$11:$BB$406,28,FALSE)-VLOOKUP($A165,'ПР 01-02.22'!$A$11:$BB$378,28,FALSE)</f>
        <v>0</v>
      </c>
      <c r="AC165" s="5">
        <f>VLOOKUP($A165,'ПР 01-02.21'!$A$11:$BB$406,29,FALSE)+VLOOKUP($A165,'ПР 21-22'!$A$11:$BB$406,29,FALSE)-VLOOKUP($A165,'ПР 01-02.22'!$A$11:$BB$378,29,FALSE)</f>
        <v>0</v>
      </c>
      <c r="AD165" s="5">
        <f>VLOOKUP($A165,'ПР 01-02.21'!$A$11:$BB$406,30,FALSE)+VLOOKUP($A165,'ПР 21-22'!$A$11:$BB$406,30,FALSE)-VLOOKUP($A165,'ПР 01-02.22'!$A$11:$BB$378,30,FALSE)</f>
        <v>1834</v>
      </c>
      <c r="AE165" s="5">
        <f>VLOOKUP($A165,'ПР 01-02.21'!$A$11:$BB$406,31,FALSE)+VLOOKUP($A165,'ПР 21-22'!$A$11:$BB$406,31,FALSE)-VLOOKUP($A165,'ПР 01-02.22'!$A$11:$BB$378,31,FALSE)</f>
        <v>2909.2305430319548</v>
      </c>
      <c r="AF165" s="5">
        <f>VLOOKUP($A165,'ПР 01-02.21'!$A$11:$BB$406,32,FALSE)+VLOOKUP($A165,'ПР 21-22'!$A$11:$BB$406,32,FALSE)-VLOOKUP($A165,'ПР 01-02.22'!$A$11:$BB$378,32,FALSE)</f>
        <v>2253.1800000000003</v>
      </c>
      <c r="AG165" s="40"/>
      <c r="AH165" s="5">
        <f>VLOOKUP($A165,'ПР 01-02.21'!$A$11:$BB$406,34,FALSE)+VLOOKUP($A165,'ПР 21-22'!$A$11:$BB$406,34,FALSE)-VLOOKUP($A165,'ПР 01-02.22'!$A$11:$BB$378,34,FALSE)</f>
        <v>4169.7843698321703</v>
      </c>
      <c r="AI165" s="5">
        <f>VLOOKUP($A165,'ПР 01-02.21'!$A$11:$BB$406,35,FALSE)+VLOOKUP($A165,'ПР 21-22'!$A$11:$BB$406,35,FALSE)-VLOOKUP($A165,'ПР 01-02.22'!$A$11:$BB$378,35,FALSE)</f>
        <v>33</v>
      </c>
      <c r="AJ165" s="40"/>
      <c r="AK165" s="5">
        <f>VLOOKUP($A165,'ПР 01-02.21'!$A$11:$BB$406,37,FALSE)+VLOOKUP($A165,'ПР 21-22'!$A$11:$BB$406,37,FALSE)-VLOOKUP($A165,'ПР 01-02.22'!$A$11:$BB$378,37,FALSE)</f>
        <v>2172.120856604959</v>
      </c>
      <c r="AL165" s="5">
        <f>VLOOKUP($A165,'ПР 01-02.21'!$A$11:$BB$406,38,FALSE)+VLOOKUP($A165,'ПР 21-22'!$A$11:$BB$406,38,FALSE)-VLOOKUP($A165,'ПР 01-02.22'!$A$11:$BB$378,38,FALSE)</f>
        <v>2086</v>
      </c>
      <c r="AM165" s="40"/>
      <c r="AN165" s="5">
        <f>VLOOKUP($A165,'ПР 01-02.21'!$A$11:$BB$406,40,FALSE)+VLOOKUP($A165,'ПР 21-22'!$A$11:$BB$406,40,FALSE)-VLOOKUP($A165,'ПР 01-02.22'!$A$11:$BB$378,40,FALSE)</f>
        <v>0</v>
      </c>
      <c r="AO165" s="5">
        <f>VLOOKUP($A165,'ПР 01-02.21'!$A$11:$BB$406,41,FALSE)+VLOOKUP($A165,'ПР 21-22'!$A$11:$BB$406,41,FALSE)-VLOOKUP($A165,'ПР 01-02.22'!$A$11:$BB$378,41,FALSE)</f>
        <v>0</v>
      </c>
      <c r="AP165" s="40"/>
      <c r="AQ165" s="5">
        <f>VLOOKUP($A165,'ПР 01-02.21'!$A$11:$BB$406,43,FALSE)+VLOOKUP($A165,'ПР 21-22'!$A$11:$BB$406,43,FALSE)-VLOOKUP($A165,'ПР 01-02.22'!$A$11:$BB$378,43,FALSE)</f>
        <v>0</v>
      </c>
      <c r="AR165" s="5">
        <f>VLOOKUP($A165,'ПР 01-02.21'!$A$11:$BB$406,44,FALSE)+VLOOKUP($A165,'ПР 21-22'!$A$11:$BB$406,44,FALSE)-VLOOKUP($A165,'ПР 01-02.22'!$A$11:$BB$378,44,FALSE)</f>
        <v>0</v>
      </c>
      <c r="AS165" s="40"/>
      <c r="AT165" s="5">
        <f>VLOOKUP($A165,'ПР 01-02.21'!$A$11:$BB$406,46,FALSE)+VLOOKUP($A165,'ПР 21-22'!$A$11:$BB$406,46,FALSE)-VLOOKUP($A165,'ПР 01-02.22'!$A$11:$BB$378,46,FALSE)</f>
        <v>2020.6930370425262</v>
      </c>
      <c r="AU165" s="5">
        <f>VLOOKUP($A165,'ПР 01-02.21'!$A$11:$BB$406,47,FALSE)+VLOOKUP($A165,'ПР 21-22'!$A$11:$BB$406,47,FALSE)-VLOOKUP($A165,'ПР 01-02.22'!$A$11:$BB$378,47,FALSE)</f>
        <v>403</v>
      </c>
      <c r="AV165" s="40"/>
      <c r="AW165" s="5">
        <f>VLOOKUP($A165,'ПР 01-02.21'!$A$11:$BB$406,49,FALSE)+VLOOKUP($A165,'ПР 21-22'!$A$11:$BB$406,49,FALSE)-VLOOKUP($A165,'ПР 01-02.22'!$A$11:$BB$378,49,FALSE)</f>
        <v>173.62039999999999</v>
      </c>
      <c r="AX165" s="5">
        <f>VLOOKUP($A165,'ПР 01-02.21'!$A$11:$BB$406,50,FALSE)+VLOOKUP($A165,'ПР 21-22'!$A$11:$BB$406,50,FALSE)-VLOOKUP($A165,'ПР 01-02.22'!$A$11:$BB$378,50,FALSE)</f>
        <v>0</v>
      </c>
      <c r="AY165" s="40"/>
      <c r="AZ165" s="40">
        <f t="shared" si="9"/>
        <v>11445.44920651161</v>
      </c>
      <c r="BA165" s="40">
        <f t="shared" si="9"/>
        <v>4775.18</v>
      </c>
      <c r="BB165" s="55">
        <f t="shared" si="12"/>
        <v>-6670.2692065116098</v>
      </c>
      <c r="BD165" s="2">
        <v>2</v>
      </c>
      <c r="BF165" s="391">
        <v>150001013</v>
      </c>
    </row>
    <row r="166" spans="1:58" ht="24.9" customHeight="1" x14ac:dyDescent="0.3">
      <c r="A166" s="325">
        <v>150001014</v>
      </c>
      <c r="B166" s="445" t="s">
        <v>167</v>
      </c>
      <c r="C166" s="27">
        <v>2</v>
      </c>
      <c r="D166" s="101" t="s">
        <v>455</v>
      </c>
      <c r="E166" s="279">
        <f>'побудинковий звіт'!E164</f>
        <v>339.3</v>
      </c>
      <c r="F166" s="441">
        <f>'побудинковий звіт'!AS164</f>
        <v>4287.5664390121856</v>
      </c>
      <c r="G166" s="441">
        <f t="shared" si="10"/>
        <v>125</v>
      </c>
      <c r="H166" s="73">
        <f t="shared" si="11"/>
        <v>-4162.5664390121856</v>
      </c>
      <c r="I166" s="5">
        <f>VLOOKUP($A166,'ПР 01-02.21'!$A$11:$BB$406,9,FALSE)+VLOOKUP($A166,'ПР 21-22'!$A$11:$BB$406,9,FALSE)-VLOOKUP($A166,'ПР 01-02.22'!$A$11:$BB$378,9,FALSE)</f>
        <v>0</v>
      </c>
      <c r="J166" s="5">
        <f>VLOOKUP($A166,'ПР 01-02.21'!$A$11:$BB$406,10,FALSE)+VLOOKUP($A166,'ПР 21-22'!$A$11:$BB$406,10,FALSE)-VLOOKUP($A166,'ПР 01-02.22'!$A$11:$BB$378,10,FALSE)</f>
        <v>0</v>
      </c>
      <c r="K166" s="446"/>
      <c r="L166" s="5">
        <f>VLOOKUP($A166,'ПР 01-02.21'!$A$11:$BB$406,12,FALSE)+VLOOKUP($A166,'ПР 21-22'!$A$11:$BB$406,12,FALSE)-VLOOKUP($A166,'ПР 01-02.22'!$A$11:$BB$378,12,FALSE)</f>
        <v>0</v>
      </c>
      <c r="M166" s="5">
        <f>VLOOKUP($A166,'ПР 01-02.21'!$A$11:$BB$406,13,FALSE)+VLOOKUP($A166,'ПР 21-22'!$A$11:$BB$406,13,FALSE)-VLOOKUP($A166,'ПР 01-02.22'!$A$11:$BB$378,13,FALSE)</f>
        <v>0</v>
      </c>
      <c r="N166" s="38"/>
      <c r="O166" s="5">
        <f>VLOOKUP($A166,'ПР 01-02.21'!$A$11:$BB$406,15,FALSE)+VLOOKUP($A166,'ПР 21-22'!$A$11:$BB$406,15,FALSE)-VLOOKUP($A166,'ПР 01-02.22'!$A$11:$BB$378,15,FALSE)</f>
        <v>0</v>
      </c>
      <c r="P166" s="5">
        <f>VLOOKUP($A166,'ПР 01-02.21'!$A$11:$BB$406,16,FALSE)+VLOOKUP($A166,'ПР 21-22'!$A$11:$BB$406,16,FALSE)-VLOOKUP($A166,'ПР 01-02.22'!$A$11:$BB$378,16,FALSE)</f>
        <v>0</v>
      </c>
      <c r="Q166" s="443"/>
      <c r="R166" s="5">
        <f>VLOOKUP($A166,'ПР 01-02.21'!$A$11:$BB$406,18,FALSE)+VLOOKUP($A166,'ПР 21-22'!$A$11:$BB$406,18,FALSE)-VLOOKUP($A166,'ПР 01-02.22'!$A$11:$BB$378,18,FALSE)</f>
        <v>0</v>
      </c>
      <c r="S166" s="5">
        <f>VLOOKUP($A166,'ПР 01-02.21'!$A$11:$BB$406,19,FALSE)+VLOOKUP($A166,'ПР 21-22'!$A$11:$BB$406,19,FALSE)-VLOOKUP($A166,'ПР 01-02.22'!$A$11:$BB$378,19,FALSE)</f>
        <v>0</v>
      </c>
      <c r="T166" s="444"/>
      <c r="U166" s="5">
        <f>VLOOKUP($A166,'ПР 01-02.21'!$A$11:$BB$406,21,FALSE)+VLOOKUP($A166,'ПР 21-22'!$A$11:$BB$406,21,FALSE)-VLOOKUP($A166,'ПР 01-02.22'!$A$11:$BB$378,21,FALSE)</f>
        <v>0</v>
      </c>
      <c r="V166" s="5"/>
      <c r="W166" s="5">
        <f>VLOOKUP($A166,'ПР 01-02.21'!$A$11:$BB$406,23,FALSE)+VLOOKUP($A166,'ПР 21-22'!$A$11:$BB$406,23,FALSE)-VLOOKUP($A166,'ПР 01-02.22'!$A$11:$BB$378,23,FALSE)</f>
        <v>0</v>
      </c>
      <c r="X166" s="5">
        <f>VLOOKUP($A166,'ПР 01-02.21'!$A$11:$BB$406,24,FALSE)+VLOOKUP($A166,'ПР 21-22'!$A$11:$BB$406,24,FALSE)-VLOOKUP($A166,'ПР 01-02.22'!$A$11:$BB$378,24,FALSE)</f>
        <v>0</v>
      </c>
      <c r="Y166" s="5">
        <f>VLOOKUP($A166,'ПР 01-02.21'!$A$11:$BB$406,25,FALSE)+VLOOKUP($A166,'ПР 21-22'!$A$11:$BB$406,25,FALSE)-VLOOKUP($A166,'ПР 01-02.22'!$A$11:$BB$378,25,FALSE)</f>
        <v>0</v>
      </c>
      <c r="Z166" s="5"/>
      <c r="AA166" s="5">
        <f>VLOOKUP($A166,'ПР 01-02.21'!$A$11:$BB$406,27,FALSE)+VLOOKUP($A166,'ПР 21-22'!$A$11:$BB$406,27,FALSE)-VLOOKUP($A166,'ПР 01-02.22'!$A$11:$BB$378,27,FALSE)</f>
        <v>0</v>
      </c>
      <c r="AB166" s="5">
        <f>VLOOKUP($A166,'ПР 01-02.21'!$A$11:$BB$406,28,FALSE)+VLOOKUP($A166,'ПР 21-22'!$A$11:$BB$406,28,FALSE)-VLOOKUP($A166,'ПР 01-02.22'!$A$11:$BB$378,28,FALSE)</f>
        <v>0</v>
      </c>
      <c r="AC166" s="5">
        <f>VLOOKUP($A166,'ПР 01-02.21'!$A$11:$BB$406,29,FALSE)+VLOOKUP($A166,'ПР 21-22'!$A$11:$BB$406,29,FALSE)-VLOOKUP($A166,'ПР 01-02.22'!$A$11:$BB$378,29,FALSE)</f>
        <v>0</v>
      </c>
      <c r="AD166" s="5">
        <f>VLOOKUP($A166,'ПР 01-02.21'!$A$11:$BB$406,30,FALSE)+VLOOKUP($A166,'ПР 21-22'!$A$11:$BB$406,30,FALSE)-VLOOKUP($A166,'ПР 01-02.22'!$A$11:$BB$378,30,FALSE)</f>
        <v>125</v>
      </c>
      <c r="AE166" s="5">
        <f>VLOOKUP($A166,'ПР 01-02.21'!$A$11:$BB$406,31,FALSE)+VLOOKUP($A166,'ПР 21-22'!$A$11:$BB$406,31,FALSE)-VLOOKUP($A166,'ПР 01-02.22'!$A$11:$BB$378,31,FALSE)</f>
        <v>446.02912586151456</v>
      </c>
      <c r="AF166" s="5">
        <f>VLOOKUP($A166,'ПР 01-02.21'!$A$11:$BB$406,32,FALSE)+VLOOKUP($A166,'ПР 21-22'!$A$11:$BB$406,32,FALSE)-VLOOKUP($A166,'ПР 01-02.22'!$A$11:$BB$378,32,FALSE)</f>
        <v>0</v>
      </c>
      <c r="AG166" s="40"/>
      <c r="AH166" s="5">
        <f>VLOOKUP($A166,'ПР 01-02.21'!$A$11:$BB$406,34,FALSE)+VLOOKUP($A166,'ПР 21-22'!$A$11:$BB$406,34,FALSE)-VLOOKUP($A166,'ПР 01-02.22'!$A$11:$BB$378,34,FALSE)</f>
        <v>513.16714913566307</v>
      </c>
      <c r="AI166" s="5">
        <f>VLOOKUP($A166,'ПР 01-02.21'!$A$11:$BB$406,35,FALSE)+VLOOKUP($A166,'ПР 21-22'!$A$11:$BB$406,35,FALSE)-VLOOKUP($A166,'ПР 01-02.22'!$A$11:$BB$378,35,FALSE)</f>
        <v>0</v>
      </c>
      <c r="AJ166" s="40"/>
      <c r="AK166" s="5">
        <f>VLOOKUP($A166,'ПР 01-02.21'!$A$11:$BB$406,37,FALSE)+VLOOKUP($A166,'ПР 21-22'!$A$11:$BB$406,37,FALSE)-VLOOKUP($A166,'ПР 01-02.22'!$A$11:$BB$378,37,FALSE)</f>
        <v>143.39733033416027</v>
      </c>
      <c r="AL166" s="5">
        <f>VLOOKUP($A166,'ПР 01-02.21'!$A$11:$BB$406,38,FALSE)+VLOOKUP($A166,'ПР 21-22'!$A$11:$BB$406,38,FALSE)-VLOOKUP($A166,'ПР 01-02.22'!$A$11:$BB$378,38,FALSE)</f>
        <v>0</v>
      </c>
      <c r="AM166" s="40"/>
      <c r="AN166" s="5">
        <f>VLOOKUP($A166,'ПР 01-02.21'!$A$11:$BB$406,40,FALSE)+VLOOKUP($A166,'ПР 21-22'!$A$11:$BB$406,40,FALSE)-VLOOKUP($A166,'ПР 01-02.22'!$A$11:$BB$378,40,FALSE)</f>
        <v>0</v>
      </c>
      <c r="AO166" s="5">
        <f>VLOOKUP($A166,'ПР 01-02.21'!$A$11:$BB$406,41,FALSE)+VLOOKUP($A166,'ПР 21-22'!$A$11:$BB$406,41,FALSE)-VLOOKUP($A166,'ПР 01-02.22'!$A$11:$BB$378,41,FALSE)</f>
        <v>0</v>
      </c>
      <c r="AP166" s="40"/>
      <c r="AQ166" s="5">
        <f>VLOOKUP($A166,'ПР 01-02.21'!$A$11:$BB$406,43,FALSE)+VLOOKUP($A166,'ПР 21-22'!$A$11:$BB$406,43,FALSE)-VLOOKUP($A166,'ПР 01-02.22'!$A$11:$BB$378,43,FALSE)</f>
        <v>0</v>
      </c>
      <c r="AR166" s="5">
        <f>VLOOKUP($A166,'ПР 01-02.21'!$A$11:$BB$406,44,FALSE)+VLOOKUP($A166,'ПР 21-22'!$A$11:$BB$406,44,FALSE)-VLOOKUP($A166,'ПР 01-02.22'!$A$11:$BB$378,44,FALSE)</f>
        <v>0</v>
      </c>
      <c r="AS166" s="40"/>
      <c r="AT166" s="5">
        <f>VLOOKUP($A166,'ПР 01-02.21'!$A$11:$BB$406,46,FALSE)+VLOOKUP($A166,'ПР 21-22'!$A$11:$BB$406,46,FALSE)-VLOOKUP($A166,'ПР 01-02.22'!$A$11:$BB$378,46,FALSE)</f>
        <v>88.72745402859897</v>
      </c>
      <c r="AU166" s="5">
        <f>VLOOKUP($A166,'ПР 01-02.21'!$A$11:$BB$406,47,FALSE)+VLOOKUP($A166,'ПР 21-22'!$A$11:$BB$406,47,FALSE)-VLOOKUP($A166,'ПР 01-02.22'!$A$11:$BB$378,47,FALSE)</f>
        <v>0</v>
      </c>
      <c r="AV166" s="40"/>
      <c r="AW166" s="5">
        <f>VLOOKUP($A166,'ПР 01-02.21'!$A$11:$BB$406,49,FALSE)+VLOOKUP($A166,'ПР 21-22'!$A$11:$BB$406,49,FALSE)-VLOOKUP($A166,'ПР 01-02.22'!$A$11:$BB$378,49,FALSE)</f>
        <v>16.572000000000003</v>
      </c>
      <c r="AX166" s="5">
        <f>VLOOKUP($A166,'ПР 01-02.21'!$A$11:$BB$406,50,FALSE)+VLOOKUP($A166,'ПР 21-22'!$A$11:$BB$406,50,FALSE)-VLOOKUP($A166,'ПР 01-02.22'!$A$11:$BB$378,50,FALSE)</f>
        <v>0</v>
      </c>
      <c r="AY166" s="40"/>
      <c r="AZ166" s="40">
        <f t="shared" si="9"/>
        <v>1207.8930593599366</v>
      </c>
      <c r="BA166" s="40">
        <f t="shared" si="9"/>
        <v>0</v>
      </c>
      <c r="BB166" s="55">
        <f t="shared" si="12"/>
        <v>-1207.8930593599366</v>
      </c>
      <c r="BD166" s="2">
        <v>2</v>
      </c>
      <c r="BF166" s="325">
        <v>150001014</v>
      </c>
    </row>
    <row r="167" spans="1:58" ht="24.9" customHeight="1" x14ac:dyDescent="0.3">
      <c r="A167" s="325">
        <v>150001015</v>
      </c>
      <c r="B167" s="445" t="s">
        <v>100</v>
      </c>
      <c r="C167" s="27">
        <v>1</v>
      </c>
      <c r="D167" s="101" t="s">
        <v>455</v>
      </c>
      <c r="E167" s="279">
        <f>'побудинковий звіт'!E165</f>
        <v>346.4</v>
      </c>
      <c r="F167" s="441">
        <f>'побудинковий звіт'!AS165</f>
        <v>2353.7523289447608</v>
      </c>
      <c r="G167" s="441">
        <f t="shared" si="10"/>
        <v>687</v>
      </c>
      <c r="H167" s="73">
        <f t="shared" si="11"/>
        <v>-1666.7523289447608</v>
      </c>
      <c r="I167" s="5">
        <f>VLOOKUP($A167,'ПР 01-02.21'!$A$11:$BB$406,9,FALSE)+VLOOKUP($A167,'ПР 21-22'!$A$11:$BB$406,9,FALSE)-VLOOKUP($A167,'ПР 01-02.22'!$A$11:$BB$378,9,FALSE)</f>
        <v>1.75</v>
      </c>
      <c r="J167" s="5">
        <f>VLOOKUP($A167,'ПР 01-02.21'!$A$11:$BB$406,10,FALSE)+VLOOKUP($A167,'ПР 21-22'!$A$11:$BB$406,10,FALSE)-VLOOKUP($A167,'ПР 01-02.22'!$A$11:$BB$378,10,FALSE)</f>
        <v>346</v>
      </c>
      <c r="K167" s="446"/>
      <c r="L167" s="5">
        <f>VLOOKUP($A167,'ПР 01-02.21'!$A$11:$BB$406,12,FALSE)+VLOOKUP($A167,'ПР 21-22'!$A$11:$BB$406,12,FALSE)-VLOOKUP($A167,'ПР 01-02.22'!$A$11:$BB$378,12,FALSE)</f>
        <v>0</v>
      </c>
      <c r="M167" s="5">
        <f>VLOOKUP($A167,'ПР 01-02.21'!$A$11:$BB$406,13,FALSE)+VLOOKUP($A167,'ПР 21-22'!$A$11:$BB$406,13,FALSE)-VLOOKUP($A167,'ПР 01-02.22'!$A$11:$BB$378,13,FALSE)</f>
        <v>0</v>
      </c>
      <c r="N167" s="38"/>
      <c r="O167" s="5">
        <f>VLOOKUP($A167,'ПР 01-02.21'!$A$11:$BB$406,15,FALSE)+VLOOKUP($A167,'ПР 21-22'!$A$11:$BB$406,15,FALSE)-VLOOKUP($A167,'ПР 01-02.22'!$A$11:$BB$378,15,FALSE)</f>
        <v>0</v>
      </c>
      <c r="P167" s="5">
        <f>VLOOKUP($A167,'ПР 01-02.21'!$A$11:$BB$406,16,FALSE)+VLOOKUP($A167,'ПР 21-22'!$A$11:$BB$406,16,FALSE)-VLOOKUP($A167,'ПР 01-02.22'!$A$11:$BB$378,16,FALSE)</f>
        <v>0</v>
      </c>
      <c r="Q167" s="443"/>
      <c r="R167" s="5">
        <f>VLOOKUP($A167,'ПР 01-02.21'!$A$11:$BB$406,18,FALSE)+VLOOKUP($A167,'ПР 21-22'!$A$11:$BB$406,18,FALSE)-VLOOKUP($A167,'ПР 01-02.22'!$A$11:$BB$378,18,FALSE)</f>
        <v>0</v>
      </c>
      <c r="S167" s="5">
        <f>VLOOKUP($A167,'ПР 01-02.21'!$A$11:$BB$406,19,FALSE)+VLOOKUP($A167,'ПР 21-22'!$A$11:$BB$406,19,FALSE)-VLOOKUP($A167,'ПР 01-02.22'!$A$11:$BB$378,19,FALSE)</f>
        <v>0</v>
      </c>
      <c r="T167" s="444"/>
      <c r="U167" s="5">
        <f>VLOOKUP($A167,'ПР 01-02.21'!$A$11:$BB$406,21,FALSE)+VLOOKUP($A167,'ПР 21-22'!$A$11:$BB$406,21,FALSE)-VLOOKUP($A167,'ПР 01-02.22'!$A$11:$BB$378,21,FALSE)</f>
        <v>0</v>
      </c>
      <c r="V167" s="5"/>
      <c r="W167" s="5">
        <f>VLOOKUP($A167,'ПР 01-02.21'!$A$11:$BB$406,23,FALSE)+VLOOKUP($A167,'ПР 21-22'!$A$11:$BB$406,23,FALSE)-VLOOKUP($A167,'ПР 01-02.22'!$A$11:$BB$378,23,FALSE)</f>
        <v>0</v>
      </c>
      <c r="X167" s="5">
        <f>VLOOKUP($A167,'ПР 01-02.21'!$A$11:$BB$406,24,FALSE)+VLOOKUP($A167,'ПР 21-22'!$A$11:$BB$406,24,FALSE)-VLOOKUP($A167,'ПР 01-02.22'!$A$11:$BB$378,24,FALSE)</f>
        <v>0</v>
      </c>
      <c r="Y167" s="5">
        <f>VLOOKUP($A167,'ПР 01-02.21'!$A$11:$BB$406,25,FALSE)+VLOOKUP($A167,'ПР 21-22'!$A$11:$BB$406,25,FALSE)-VLOOKUP($A167,'ПР 01-02.22'!$A$11:$BB$378,25,FALSE)</f>
        <v>0</v>
      </c>
      <c r="Z167" s="5"/>
      <c r="AA167" s="5">
        <f>VLOOKUP($A167,'ПР 01-02.21'!$A$11:$BB$406,27,FALSE)+VLOOKUP($A167,'ПР 21-22'!$A$11:$BB$406,27,FALSE)-VLOOKUP($A167,'ПР 01-02.22'!$A$11:$BB$378,27,FALSE)</f>
        <v>0</v>
      </c>
      <c r="AB167" s="5">
        <f>VLOOKUP($A167,'ПР 01-02.21'!$A$11:$BB$406,28,FALSE)+VLOOKUP($A167,'ПР 21-22'!$A$11:$BB$406,28,FALSE)-VLOOKUP($A167,'ПР 01-02.22'!$A$11:$BB$378,28,FALSE)</f>
        <v>0</v>
      </c>
      <c r="AC167" s="5">
        <f>VLOOKUP($A167,'ПР 01-02.21'!$A$11:$BB$406,29,FALSE)+VLOOKUP($A167,'ПР 21-22'!$A$11:$BB$406,29,FALSE)-VLOOKUP($A167,'ПР 01-02.22'!$A$11:$BB$378,29,FALSE)</f>
        <v>0</v>
      </c>
      <c r="AD167" s="5">
        <f>VLOOKUP($A167,'ПР 01-02.21'!$A$11:$BB$406,30,FALSE)+VLOOKUP($A167,'ПР 21-22'!$A$11:$BB$406,30,FALSE)-VLOOKUP($A167,'ПР 01-02.22'!$A$11:$BB$378,30,FALSE)</f>
        <v>341</v>
      </c>
      <c r="AE167" s="5">
        <f>VLOOKUP($A167,'ПР 01-02.21'!$A$11:$BB$406,31,FALSE)+VLOOKUP($A167,'ПР 21-22'!$A$11:$BB$406,31,FALSE)-VLOOKUP($A167,'ПР 01-02.22'!$A$11:$BB$378,31,FALSE)</f>
        <v>0</v>
      </c>
      <c r="AF167" s="5">
        <f>VLOOKUP($A167,'ПР 01-02.21'!$A$11:$BB$406,32,FALSE)+VLOOKUP($A167,'ПР 21-22'!$A$11:$BB$406,32,FALSE)-VLOOKUP($A167,'ПР 01-02.22'!$A$11:$BB$378,32,FALSE)</f>
        <v>0</v>
      </c>
      <c r="AG167" s="40"/>
      <c r="AH167" s="5">
        <f>VLOOKUP($A167,'ПР 01-02.21'!$A$11:$BB$406,34,FALSE)+VLOOKUP($A167,'ПР 21-22'!$A$11:$BB$406,34,FALSE)-VLOOKUP($A167,'ПР 01-02.22'!$A$11:$BB$378,34,FALSE)</f>
        <v>0</v>
      </c>
      <c r="AI167" s="5">
        <f>VLOOKUP($A167,'ПР 01-02.21'!$A$11:$BB$406,35,FALSE)+VLOOKUP($A167,'ПР 21-22'!$A$11:$BB$406,35,FALSE)-VLOOKUP($A167,'ПР 01-02.22'!$A$11:$BB$378,35,FALSE)</f>
        <v>0</v>
      </c>
      <c r="AJ167" s="40"/>
      <c r="AK167" s="5">
        <f>VLOOKUP($A167,'ПР 01-02.21'!$A$11:$BB$406,37,FALSE)+VLOOKUP($A167,'ПР 21-22'!$A$11:$BB$406,37,FALSE)-VLOOKUP($A167,'ПР 01-02.22'!$A$11:$BB$378,37,FALSE)</f>
        <v>183.11719554650725</v>
      </c>
      <c r="AL167" s="5">
        <f>VLOOKUP($A167,'ПР 01-02.21'!$A$11:$BB$406,38,FALSE)+VLOOKUP($A167,'ПР 21-22'!$A$11:$BB$406,38,FALSE)-VLOOKUP($A167,'ПР 01-02.22'!$A$11:$BB$378,38,FALSE)</f>
        <v>0</v>
      </c>
      <c r="AM167" s="40"/>
      <c r="AN167" s="5">
        <f>VLOOKUP($A167,'ПР 01-02.21'!$A$11:$BB$406,40,FALSE)+VLOOKUP($A167,'ПР 21-22'!$A$11:$BB$406,40,FALSE)-VLOOKUP($A167,'ПР 01-02.22'!$A$11:$BB$378,40,FALSE)</f>
        <v>0</v>
      </c>
      <c r="AO167" s="5">
        <f>VLOOKUP($A167,'ПР 01-02.21'!$A$11:$BB$406,41,FALSE)+VLOOKUP($A167,'ПР 21-22'!$A$11:$BB$406,41,FALSE)-VLOOKUP($A167,'ПР 01-02.22'!$A$11:$BB$378,41,FALSE)</f>
        <v>0</v>
      </c>
      <c r="AP167" s="40"/>
      <c r="AQ167" s="5">
        <f>VLOOKUP($A167,'ПР 01-02.21'!$A$11:$BB$406,43,FALSE)+VLOOKUP($A167,'ПР 21-22'!$A$11:$BB$406,43,FALSE)-VLOOKUP($A167,'ПР 01-02.22'!$A$11:$BB$378,43,FALSE)</f>
        <v>0</v>
      </c>
      <c r="AR167" s="5">
        <f>VLOOKUP($A167,'ПР 01-02.21'!$A$11:$BB$406,44,FALSE)+VLOOKUP($A167,'ПР 21-22'!$A$11:$BB$406,44,FALSE)-VLOOKUP($A167,'ПР 01-02.22'!$A$11:$BB$378,44,FALSE)</f>
        <v>0</v>
      </c>
      <c r="AS167" s="40"/>
      <c r="AT167" s="5">
        <f>VLOOKUP($A167,'ПР 01-02.21'!$A$11:$BB$406,46,FALSE)+VLOOKUP($A167,'ПР 21-22'!$A$11:$BB$406,46,FALSE)-VLOOKUP($A167,'ПР 01-02.22'!$A$11:$BB$378,46,FALSE)</f>
        <v>0</v>
      </c>
      <c r="AU167" s="5">
        <f>VLOOKUP($A167,'ПР 01-02.21'!$A$11:$BB$406,47,FALSE)+VLOOKUP($A167,'ПР 21-22'!$A$11:$BB$406,47,FALSE)-VLOOKUP($A167,'ПР 01-02.22'!$A$11:$BB$378,47,FALSE)</f>
        <v>0</v>
      </c>
      <c r="AV167" s="40"/>
      <c r="AW167" s="5">
        <f>VLOOKUP($A167,'ПР 01-02.21'!$A$11:$BB$406,49,FALSE)+VLOOKUP($A167,'ПР 21-22'!$A$11:$BB$406,49,FALSE)-VLOOKUP($A167,'ПР 01-02.22'!$A$11:$BB$378,49,FALSE)</f>
        <v>19.920000000000002</v>
      </c>
      <c r="AX167" s="5">
        <f>VLOOKUP($A167,'ПР 01-02.21'!$A$11:$BB$406,50,FALSE)+VLOOKUP($A167,'ПР 21-22'!$A$11:$BB$406,50,FALSE)-VLOOKUP($A167,'ПР 01-02.22'!$A$11:$BB$378,50,FALSE)</f>
        <v>0</v>
      </c>
      <c r="AY167" s="40"/>
      <c r="AZ167" s="40">
        <f t="shared" si="9"/>
        <v>203.03719554650723</v>
      </c>
      <c r="BA167" s="40">
        <f t="shared" si="9"/>
        <v>0</v>
      </c>
      <c r="BB167" s="55">
        <f t="shared" si="12"/>
        <v>-203.03719554650723</v>
      </c>
      <c r="BD167" s="2">
        <v>2</v>
      </c>
      <c r="BF167" s="325">
        <v>150001015</v>
      </c>
    </row>
    <row r="168" spans="1:58" ht="24.9" customHeight="1" x14ac:dyDescent="0.3">
      <c r="A168" s="325">
        <v>150001016</v>
      </c>
      <c r="B168" s="445" t="s">
        <v>262</v>
      </c>
      <c r="C168" s="27">
        <v>5</v>
      </c>
      <c r="D168" s="101" t="s">
        <v>455</v>
      </c>
      <c r="E168" s="279">
        <f>'побудинковий звіт'!E166</f>
        <v>3298.2799999999997</v>
      </c>
      <c r="F168" s="441">
        <f>'побудинковий звіт'!AS166</f>
        <v>34024.336103528069</v>
      </c>
      <c r="G168" s="441">
        <f t="shared" si="10"/>
        <v>76422.06</v>
      </c>
      <c r="H168" s="73">
        <f t="shared" si="11"/>
        <v>42397.723896471929</v>
      </c>
      <c r="I168" s="5">
        <f>VLOOKUP($A168,'ПР 01-02.21'!$A$11:$BB$406,9,FALSE)+VLOOKUP($A168,'ПР 21-22'!$A$11:$BB$406,9,FALSE)-VLOOKUP($A168,'ПР 01-02.22'!$A$11:$BB$378,9,FALSE)</f>
        <v>20</v>
      </c>
      <c r="J168" s="5">
        <f>VLOOKUP($A168,'ПР 01-02.21'!$A$11:$BB$406,10,FALSE)+VLOOKUP($A168,'ПР 21-22'!$A$11:$BB$406,10,FALSE)-VLOOKUP($A168,'ПР 01-02.22'!$A$11:$BB$378,10,FALSE)</f>
        <v>3817</v>
      </c>
      <c r="K168" s="446"/>
      <c r="L168" s="5">
        <f>VLOOKUP($A168,'ПР 01-02.21'!$A$11:$BB$406,12,FALSE)+VLOOKUP($A168,'ПР 21-22'!$A$11:$BB$406,12,FALSE)-VLOOKUP($A168,'ПР 01-02.22'!$A$11:$BB$378,12,FALSE)</f>
        <v>0</v>
      </c>
      <c r="M168" s="5">
        <f>VLOOKUP($A168,'ПР 01-02.21'!$A$11:$BB$406,13,FALSE)+VLOOKUP($A168,'ПР 21-22'!$A$11:$BB$406,13,FALSE)-VLOOKUP($A168,'ПР 01-02.22'!$A$11:$BB$378,13,FALSE)</f>
        <v>0</v>
      </c>
      <c r="N168" s="38"/>
      <c r="O168" s="5">
        <f>VLOOKUP($A168,'ПР 01-02.21'!$A$11:$BB$406,15,FALSE)+VLOOKUP($A168,'ПР 21-22'!$A$11:$BB$406,15,FALSE)-VLOOKUP($A168,'ПР 01-02.22'!$A$11:$BB$378,15,FALSE)</f>
        <v>0</v>
      </c>
      <c r="P168" s="5">
        <f>VLOOKUP($A168,'ПР 01-02.21'!$A$11:$BB$406,16,FALSE)+VLOOKUP($A168,'ПР 21-22'!$A$11:$BB$406,16,FALSE)-VLOOKUP($A168,'ПР 01-02.22'!$A$11:$BB$378,16,FALSE)</f>
        <v>0</v>
      </c>
      <c r="Q168" s="443"/>
      <c r="R168" s="5">
        <f>VLOOKUP($A168,'ПР 01-02.21'!$A$11:$BB$406,18,FALSE)+VLOOKUP($A168,'ПР 21-22'!$A$11:$BB$406,18,FALSE)-VLOOKUP($A168,'ПР 01-02.22'!$A$11:$BB$378,18,FALSE)</f>
        <v>0</v>
      </c>
      <c r="S168" s="5">
        <f>VLOOKUP($A168,'ПР 01-02.21'!$A$11:$BB$406,19,FALSE)+VLOOKUP($A168,'ПР 21-22'!$A$11:$BB$406,19,FALSE)-VLOOKUP($A168,'ПР 01-02.22'!$A$11:$BB$378,19,FALSE)</f>
        <v>0</v>
      </c>
      <c r="T168" s="444"/>
      <c r="U168" s="5">
        <f>VLOOKUP($A168,'ПР 01-02.21'!$A$11:$BB$406,21,FALSE)+VLOOKUP($A168,'ПР 21-22'!$A$11:$BB$406,21,FALSE)-VLOOKUP($A168,'ПР 01-02.22'!$A$11:$BB$378,21,FALSE)</f>
        <v>0</v>
      </c>
      <c r="V168" s="5"/>
      <c r="W168" s="5">
        <f>VLOOKUP($A168,'ПР 01-02.21'!$A$11:$BB$406,23,FALSE)+VLOOKUP($A168,'ПР 21-22'!$A$11:$BB$406,23,FALSE)-VLOOKUP($A168,'ПР 01-02.22'!$A$11:$BB$378,23,FALSE)</f>
        <v>0</v>
      </c>
      <c r="X168" s="5">
        <f>VLOOKUP($A168,'ПР 01-02.21'!$A$11:$BB$406,24,FALSE)+VLOOKUP($A168,'ПР 21-22'!$A$11:$BB$406,24,FALSE)-VLOOKUP($A168,'ПР 01-02.22'!$A$11:$BB$378,24,FALSE)</f>
        <v>1659.06</v>
      </c>
      <c r="Y168" s="5">
        <f>VLOOKUP($A168,'ПР 01-02.21'!$A$11:$BB$406,25,FALSE)+VLOOKUP($A168,'ПР 21-22'!$A$11:$BB$406,25,FALSE)-VLOOKUP($A168,'ПР 01-02.22'!$A$11:$BB$378,25,FALSE)</f>
        <v>68638</v>
      </c>
      <c r="Z168" s="5"/>
      <c r="AA168" s="5">
        <f>VLOOKUP($A168,'ПР 01-02.21'!$A$11:$BB$406,27,FALSE)+VLOOKUP($A168,'ПР 21-22'!$A$11:$BB$406,27,FALSE)-VLOOKUP($A168,'ПР 01-02.22'!$A$11:$BB$378,27,FALSE)</f>
        <v>0</v>
      </c>
      <c r="AB168" s="5">
        <f>VLOOKUP($A168,'ПР 01-02.21'!$A$11:$BB$406,28,FALSE)+VLOOKUP($A168,'ПР 21-22'!$A$11:$BB$406,28,FALSE)-VLOOKUP($A168,'ПР 01-02.22'!$A$11:$BB$378,28,FALSE)</f>
        <v>0</v>
      </c>
      <c r="AC168" s="5">
        <f>VLOOKUP($A168,'ПР 01-02.21'!$A$11:$BB$406,29,FALSE)+VLOOKUP($A168,'ПР 21-22'!$A$11:$BB$406,29,FALSE)-VLOOKUP($A168,'ПР 01-02.22'!$A$11:$BB$378,29,FALSE)</f>
        <v>0</v>
      </c>
      <c r="AD168" s="5">
        <f>VLOOKUP($A168,'ПР 01-02.21'!$A$11:$BB$406,30,FALSE)+VLOOKUP($A168,'ПР 21-22'!$A$11:$BB$406,30,FALSE)-VLOOKUP($A168,'ПР 01-02.22'!$A$11:$BB$378,30,FALSE)</f>
        <v>2308</v>
      </c>
      <c r="AE168" s="5">
        <f>VLOOKUP($A168,'ПР 01-02.21'!$A$11:$BB$406,31,FALSE)+VLOOKUP($A168,'ПР 21-22'!$A$11:$BB$406,31,FALSE)-VLOOKUP($A168,'ПР 01-02.22'!$A$11:$BB$378,31,FALSE)</f>
        <v>1762.5873255073891</v>
      </c>
      <c r="AF168" s="5">
        <f>VLOOKUP($A168,'ПР 01-02.21'!$A$11:$BB$406,32,FALSE)+VLOOKUP($A168,'ПР 21-22'!$A$11:$BB$406,32,FALSE)-VLOOKUP($A168,'ПР 01-02.22'!$A$11:$BB$378,32,FALSE)</f>
        <v>856</v>
      </c>
      <c r="AG168" s="40"/>
      <c r="AH168" s="5">
        <f>VLOOKUP($A168,'ПР 01-02.21'!$A$11:$BB$406,34,FALSE)+VLOOKUP($A168,'ПР 21-22'!$A$11:$BB$406,34,FALSE)-VLOOKUP($A168,'ПР 01-02.22'!$A$11:$BB$378,34,FALSE)</f>
        <v>2195.5286770582161</v>
      </c>
      <c r="AI168" s="5">
        <f>VLOOKUP($A168,'ПР 01-02.21'!$A$11:$BB$406,35,FALSE)+VLOOKUP($A168,'ПР 21-22'!$A$11:$BB$406,35,FALSE)-VLOOKUP($A168,'ПР 01-02.22'!$A$11:$BB$378,35,FALSE)</f>
        <v>0</v>
      </c>
      <c r="AJ168" s="40"/>
      <c r="AK168" s="5">
        <f>VLOOKUP($A168,'ПР 01-02.21'!$A$11:$BB$406,37,FALSE)+VLOOKUP($A168,'ПР 21-22'!$A$11:$BB$406,37,FALSE)-VLOOKUP($A168,'ПР 01-02.22'!$A$11:$BB$378,37,FALSE)</f>
        <v>1950.2877838929712</v>
      </c>
      <c r="AL168" s="5">
        <f>VLOOKUP($A168,'ПР 01-02.21'!$A$11:$BB$406,38,FALSE)+VLOOKUP($A168,'ПР 21-22'!$A$11:$BB$406,38,FALSE)-VLOOKUP($A168,'ПР 01-02.22'!$A$11:$BB$378,38,FALSE)</f>
        <v>525</v>
      </c>
      <c r="AM168" s="40"/>
      <c r="AN168" s="5">
        <f>VLOOKUP($A168,'ПР 01-02.21'!$A$11:$BB$406,40,FALSE)+VLOOKUP($A168,'ПР 21-22'!$A$11:$BB$406,40,FALSE)-VLOOKUP($A168,'ПР 01-02.22'!$A$11:$BB$378,40,FALSE)</f>
        <v>2957.3328364021158</v>
      </c>
      <c r="AO168" s="5">
        <f>VLOOKUP($A168,'ПР 01-02.21'!$A$11:$BB$406,41,FALSE)+VLOOKUP($A168,'ПР 21-22'!$A$11:$BB$406,41,FALSE)-VLOOKUP($A168,'ПР 01-02.22'!$A$11:$BB$378,41,FALSE)</f>
        <v>0</v>
      </c>
      <c r="AP168" s="40"/>
      <c r="AQ168" s="5">
        <f>VLOOKUP($A168,'ПР 01-02.21'!$A$11:$BB$406,43,FALSE)+VLOOKUP($A168,'ПР 21-22'!$A$11:$BB$406,43,FALSE)-VLOOKUP($A168,'ПР 01-02.22'!$A$11:$BB$378,43,FALSE)</f>
        <v>0</v>
      </c>
      <c r="AR168" s="5">
        <f>VLOOKUP($A168,'ПР 01-02.21'!$A$11:$BB$406,44,FALSE)+VLOOKUP($A168,'ПР 21-22'!$A$11:$BB$406,44,FALSE)-VLOOKUP($A168,'ПР 01-02.22'!$A$11:$BB$378,44,FALSE)</f>
        <v>0</v>
      </c>
      <c r="AS168" s="40"/>
      <c r="AT168" s="5">
        <f>VLOOKUP($A168,'ПР 01-02.21'!$A$11:$BB$406,46,FALSE)+VLOOKUP($A168,'ПР 21-22'!$A$11:$BB$406,46,FALSE)-VLOOKUP($A168,'ПР 01-02.22'!$A$11:$BB$378,46,FALSE)</f>
        <v>1346.6391478300779</v>
      </c>
      <c r="AU168" s="5">
        <f>VLOOKUP($A168,'ПР 01-02.21'!$A$11:$BB$406,47,FALSE)+VLOOKUP($A168,'ПР 21-22'!$A$11:$BB$406,47,FALSE)-VLOOKUP($A168,'ПР 01-02.22'!$A$11:$BB$378,47,FALSE)</f>
        <v>0</v>
      </c>
      <c r="AV168" s="40"/>
      <c r="AW168" s="5">
        <f>VLOOKUP($A168,'ПР 01-02.21'!$A$11:$BB$406,49,FALSE)+VLOOKUP($A168,'ПР 21-22'!$A$11:$BB$406,49,FALSE)-VLOOKUP($A168,'ПР 01-02.22'!$A$11:$BB$378,49,FALSE)</f>
        <v>160.71719999999999</v>
      </c>
      <c r="AX168" s="5">
        <f>VLOOKUP($A168,'ПР 01-02.21'!$A$11:$BB$406,50,FALSE)+VLOOKUP($A168,'ПР 21-22'!$A$11:$BB$406,50,FALSE)-VLOOKUP($A168,'ПР 01-02.22'!$A$11:$BB$378,50,FALSE)</f>
        <v>0</v>
      </c>
      <c r="AY168" s="40"/>
      <c r="AZ168" s="40">
        <f t="shared" si="9"/>
        <v>10373.09297069077</v>
      </c>
      <c r="BA168" s="40">
        <f t="shared" si="9"/>
        <v>1381</v>
      </c>
      <c r="BB168" s="55">
        <f t="shared" si="12"/>
        <v>-8992.09297069077</v>
      </c>
      <c r="BD168" s="2">
        <v>2</v>
      </c>
      <c r="BF168" s="325">
        <v>150001016</v>
      </c>
    </row>
    <row r="169" spans="1:58" ht="24.9" customHeight="1" x14ac:dyDescent="0.3">
      <c r="A169" s="325">
        <v>150001007</v>
      </c>
      <c r="B169" s="445" t="s">
        <v>214</v>
      </c>
      <c r="C169" s="27">
        <v>4</v>
      </c>
      <c r="D169" s="101" t="s">
        <v>455</v>
      </c>
      <c r="E169" s="279">
        <f>'побудинковий звіт'!E167</f>
        <v>2046.1999999999998</v>
      </c>
      <c r="F169" s="441">
        <f>'побудинковий звіт'!AS167</f>
        <v>20224.766816017189</v>
      </c>
      <c r="G169" s="441">
        <f t="shared" si="10"/>
        <v>9944</v>
      </c>
      <c r="H169" s="73">
        <f t="shared" si="11"/>
        <v>-10280.766816017189</v>
      </c>
      <c r="I169" s="5">
        <f>VLOOKUP($A169,'ПР 01-02.21'!$A$11:$BB$406,9,FALSE)+VLOOKUP($A169,'ПР 21-22'!$A$11:$BB$406,9,FALSE)-VLOOKUP($A169,'ПР 01-02.22'!$A$11:$BB$378,9,FALSE)</f>
        <v>0</v>
      </c>
      <c r="J169" s="5">
        <f>VLOOKUP($A169,'ПР 01-02.21'!$A$11:$BB$406,10,FALSE)+VLOOKUP($A169,'ПР 21-22'!$A$11:$BB$406,10,FALSE)-VLOOKUP($A169,'ПР 01-02.22'!$A$11:$BB$378,10,FALSE)</f>
        <v>4572</v>
      </c>
      <c r="K169" s="446"/>
      <c r="L169" s="5">
        <f>VLOOKUP($A169,'ПР 01-02.21'!$A$11:$BB$406,12,FALSE)+VLOOKUP($A169,'ПР 21-22'!$A$11:$BB$406,12,FALSE)-VLOOKUP($A169,'ПР 01-02.22'!$A$11:$BB$378,12,FALSE)</f>
        <v>0</v>
      </c>
      <c r="M169" s="5">
        <f>VLOOKUP($A169,'ПР 01-02.21'!$A$11:$BB$406,13,FALSE)+VLOOKUP($A169,'ПР 21-22'!$A$11:$BB$406,13,FALSE)-VLOOKUP($A169,'ПР 01-02.22'!$A$11:$BB$378,13,FALSE)</f>
        <v>0</v>
      </c>
      <c r="N169" s="38"/>
      <c r="O169" s="5">
        <f>VLOOKUP($A169,'ПР 01-02.21'!$A$11:$BB$406,15,FALSE)+VLOOKUP($A169,'ПР 21-22'!$A$11:$BB$406,15,FALSE)-VLOOKUP($A169,'ПР 01-02.22'!$A$11:$BB$378,15,FALSE)</f>
        <v>0</v>
      </c>
      <c r="P169" s="5">
        <f>VLOOKUP($A169,'ПР 01-02.21'!$A$11:$BB$406,16,FALSE)+VLOOKUP($A169,'ПР 21-22'!$A$11:$BB$406,16,FALSE)-VLOOKUP($A169,'ПР 01-02.22'!$A$11:$BB$378,16,FALSE)</f>
        <v>0</v>
      </c>
      <c r="Q169" s="443"/>
      <c r="R169" s="5">
        <f>VLOOKUP($A169,'ПР 01-02.21'!$A$11:$BB$406,18,FALSE)+VLOOKUP($A169,'ПР 21-22'!$A$11:$BB$406,18,FALSE)-VLOOKUP($A169,'ПР 01-02.22'!$A$11:$BB$378,18,FALSE)</f>
        <v>0</v>
      </c>
      <c r="S169" s="5">
        <f>VLOOKUP($A169,'ПР 01-02.21'!$A$11:$BB$406,19,FALSE)+VLOOKUP($A169,'ПР 21-22'!$A$11:$BB$406,19,FALSE)-VLOOKUP($A169,'ПР 01-02.22'!$A$11:$BB$378,19,FALSE)</f>
        <v>0</v>
      </c>
      <c r="T169" s="444"/>
      <c r="U169" s="5">
        <f>VLOOKUP($A169,'ПР 01-02.21'!$A$11:$BB$406,21,FALSE)+VLOOKUP($A169,'ПР 21-22'!$A$11:$BB$406,21,FALSE)-VLOOKUP($A169,'ПР 01-02.22'!$A$11:$BB$378,21,FALSE)</f>
        <v>0</v>
      </c>
      <c r="V169" s="5"/>
      <c r="W169" s="5">
        <f>VLOOKUP($A169,'ПР 01-02.21'!$A$11:$BB$406,23,FALSE)+VLOOKUP($A169,'ПР 21-22'!$A$11:$BB$406,23,FALSE)-VLOOKUP($A169,'ПР 01-02.22'!$A$11:$BB$378,23,FALSE)</f>
        <v>0</v>
      </c>
      <c r="X169" s="5">
        <f>VLOOKUP($A169,'ПР 01-02.21'!$A$11:$BB$406,24,FALSE)+VLOOKUP($A169,'ПР 21-22'!$A$11:$BB$406,24,FALSE)-VLOOKUP($A169,'ПР 01-02.22'!$A$11:$BB$378,24,FALSE)</f>
        <v>0</v>
      </c>
      <c r="Y169" s="5">
        <f>VLOOKUP($A169,'ПР 01-02.21'!$A$11:$BB$406,25,FALSE)+VLOOKUP($A169,'ПР 21-22'!$A$11:$BB$406,25,FALSE)-VLOOKUP($A169,'ПР 01-02.22'!$A$11:$BB$378,25,FALSE)</f>
        <v>3064</v>
      </c>
      <c r="Z169" s="5"/>
      <c r="AA169" s="5">
        <f>VLOOKUP($A169,'ПР 01-02.21'!$A$11:$BB$406,27,FALSE)+VLOOKUP($A169,'ПР 21-22'!$A$11:$BB$406,27,FALSE)-VLOOKUP($A169,'ПР 01-02.22'!$A$11:$BB$378,27,FALSE)</f>
        <v>0</v>
      </c>
      <c r="AB169" s="5">
        <f>VLOOKUP($A169,'ПР 01-02.21'!$A$11:$BB$406,28,FALSE)+VLOOKUP($A169,'ПР 21-22'!$A$11:$BB$406,28,FALSE)-VLOOKUP($A169,'ПР 01-02.22'!$A$11:$BB$378,28,FALSE)</f>
        <v>0</v>
      </c>
      <c r="AC169" s="5">
        <f>VLOOKUP($A169,'ПР 01-02.21'!$A$11:$BB$406,29,FALSE)+VLOOKUP($A169,'ПР 21-22'!$A$11:$BB$406,29,FALSE)-VLOOKUP($A169,'ПР 01-02.22'!$A$11:$BB$378,29,FALSE)</f>
        <v>0</v>
      </c>
      <c r="AD169" s="5">
        <f>VLOOKUP($A169,'ПР 01-02.21'!$A$11:$BB$406,30,FALSE)+VLOOKUP($A169,'ПР 21-22'!$A$11:$BB$406,30,FALSE)-VLOOKUP($A169,'ПР 01-02.22'!$A$11:$BB$378,30,FALSE)</f>
        <v>2308</v>
      </c>
      <c r="AE169" s="5">
        <f>VLOOKUP($A169,'ПР 01-02.21'!$A$11:$BB$406,31,FALSE)+VLOOKUP($A169,'ПР 21-22'!$A$11:$BB$406,31,FALSE)-VLOOKUP($A169,'ПР 01-02.22'!$A$11:$BB$378,31,FALSE)</f>
        <v>1958.6834147436728</v>
      </c>
      <c r="AF169" s="5">
        <f>VLOOKUP($A169,'ПР 01-02.21'!$A$11:$BB$406,32,FALSE)+VLOOKUP($A169,'ПР 21-22'!$A$11:$BB$406,32,FALSE)-VLOOKUP($A169,'ПР 01-02.22'!$A$11:$BB$378,32,FALSE)</f>
        <v>0</v>
      </c>
      <c r="AG169" s="40"/>
      <c r="AH169" s="5">
        <f>VLOOKUP($A169,'ПР 01-02.21'!$A$11:$BB$406,34,FALSE)+VLOOKUP($A169,'ПР 21-22'!$A$11:$BB$406,34,FALSE)-VLOOKUP($A169,'ПР 01-02.22'!$A$11:$BB$378,34,FALSE)</f>
        <v>2652.1869692328955</v>
      </c>
      <c r="AI169" s="5">
        <f>VLOOKUP($A169,'ПР 01-02.21'!$A$11:$BB$406,35,FALSE)+VLOOKUP($A169,'ПР 21-22'!$A$11:$BB$406,35,FALSE)-VLOOKUP($A169,'ПР 01-02.22'!$A$11:$BB$378,35,FALSE)</f>
        <v>0</v>
      </c>
      <c r="AJ169" s="40"/>
      <c r="AK169" s="5">
        <f>VLOOKUP($A169,'ПР 01-02.21'!$A$11:$BB$406,37,FALSE)+VLOOKUP($A169,'ПР 21-22'!$A$11:$BB$406,37,FALSE)-VLOOKUP($A169,'ПР 01-02.22'!$A$11:$BB$378,37,FALSE)</f>
        <v>1133.8359522361498</v>
      </c>
      <c r="AL169" s="5">
        <f>VLOOKUP($A169,'ПР 01-02.21'!$A$11:$BB$406,38,FALSE)+VLOOKUP($A169,'ПР 21-22'!$A$11:$BB$406,38,FALSE)-VLOOKUP($A169,'ПР 01-02.22'!$A$11:$BB$378,38,FALSE)</f>
        <v>0</v>
      </c>
      <c r="AM169" s="40"/>
      <c r="AN169" s="5">
        <f>VLOOKUP($A169,'ПР 01-02.21'!$A$11:$BB$406,40,FALSE)+VLOOKUP($A169,'ПР 21-22'!$A$11:$BB$406,40,FALSE)-VLOOKUP($A169,'ПР 01-02.22'!$A$11:$BB$378,40,FALSE)</f>
        <v>0</v>
      </c>
      <c r="AO169" s="5">
        <f>VLOOKUP($A169,'ПР 01-02.21'!$A$11:$BB$406,41,FALSE)+VLOOKUP($A169,'ПР 21-22'!$A$11:$BB$406,41,FALSE)-VLOOKUP($A169,'ПР 01-02.22'!$A$11:$BB$378,41,FALSE)</f>
        <v>0</v>
      </c>
      <c r="AP169" s="40"/>
      <c r="AQ169" s="5">
        <f>VLOOKUP($A169,'ПР 01-02.21'!$A$11:$BB$406,43,FALSE)+VLOOKUP($A169,'ПР 21-22'!$A$11:$BB$406,43,FALSE)-VLOOKUP($A169,'ПР 01-02.22'!$A$11:$BB$378,43,FALSE)</f>
        <v>0</v>
      </c>
      <c r="AR169" s="5">
        <f>VLOOKUP($A169,'ПР 01-02.21'!$A$11:$BB$406,44,FALSE)+VLOOKUP($A169,'ПР 21-22'!$A$11:$BB$406,44,FALSE)-VLOOKUP($A169,'ПР 01-02.22'!$A$11:$BB$378,44,FALSE)</f>
        <v>0</v>
      </c>
      <c r="AS169" s="40"/>
      <c r="AT169" s="5">
        <f>VLOOKUP($A169,'ПР 01-02.21'!$A$11:$BB$406,46,FALSE)+VLOOKUP($A169,'ПР 21-22'!$A$11:$BB$406,46,FALSE)-VLOOKUP($A169,'ПР 01-02.22'!$A$11:$BB$378,46,FALSE)</f>
        <v>884.50744280939216</v>
      </c>
      <c r="AU169" s="5">
        <f>VLOOKUP($A169,'ПР 01-02.21'!$A$11:$BB$406,47,FALSE)+VLOOKUP($A169,'ПР 21-22'!$A$11:$BB$406,47,FALSE)-VLOOKUP($A169,'ПР 01-02.22'!$A$11:$BB$378,47,FALSE)</f>
        <v>1454</v>
      </c>
      <c r="AV169" s="40"/>
      <c r="AW169" s="5">
        <f>VLOOKUP($A169,'ПР 01-02.21'!$A$11:$BB$406,49,FALSE)+VLOOKUP($A169,'ПР 21-22'!$A$11:$BB$406,49,FALSE)-VLOOKUP($A169,'ПР 01-02.22'!$A$11:$BB$378,49,FALSE)</f>
        <v>101.848</v>
      </c>
      <c r="AX169" s="5">
        <f>VLOOKUP($A169,'ПР 01-02.21'!$A$11:$BB$406,50,FALSE)+VLOOKUP($A169,'ПР 21-22'!$A$11:$BB$406,50,FALSE)-VLOOKUP($A169,'ПР 01-02.22'!$A$11:$BB$378,50,FALSE)</f>
        <v>0</v>
      </c>
      <c r="AY169" s="40"/>
      <c r="AZ169" s="40">
        <f t="shared" si="9"/>
        <v>6731.0617790221104</v>
      </c>
      <c r="BA169" s="40">
        <f t="shared" si="9"/>
        <v>1454</v>
      </c>
      <c r="BB169" s="55">
        <f t="shared" si="12"/>
        <v>-5277.0617790221104</v>
      </c>
      <c r="BD169" s="2">
        <v>2</v>
      </c>
      <c r="BF169" s="325">
        <v>150001007</v>
      </c>
    </row>
    <row r="170" spans="1:58" ht="24.9" customHeight="1" x14ac:dyDescent="0.3">
      <c r="A170" s="325">
        <v>150001018</v>
      </c>
      <c r="B170" s="462" t="s">
        <v>430</v>
      </c>
      <c r="C170" s="29">
        <v>5</v>
      </c>
      <c r="D170" s="102" t="s">
        <v>851</v>
      </c>
      <c r="E170" s="279">
        <f>'побудинковий звіт'!E168</f>
        <v>2816.07</v>
      </c>
      <c r="F170" s="441">
        <f>'побудинковий звіт'!AS168</f>
        <v>27595.288596656141</v>
      </c>
      <c r="G170" s="441">
        <f t="shared" si="10"/>
        <v>475.29951040803013</v>
      </c>
      <c r="H170" s="73">
        <f t="shared" si="11"/>
        <v>-27119.989086248112</v>
      </c>
      <c r="I170" s="5">
        <f>VLOOKUP($A170,'ПР 01-02.21'!$A$11:$BB$406,9,FALSE)+VLOOKUP($A170,'ПР 21-22'!$A$11:$BB$406,9,FALSE)-VLOOKUP($A170,'ПР 01-02.22'!$A$11:$BB$378,9,FALSE)</f>
        <v>0</v>
      </c>
      <c r="J170" s="5">
        <f>VLOOKUP($A170,'ПР 01-02.21'!$A$11:$BB$406,10,FALSE)+VLOOKUP($A170,'ПР 21-22'!$A$11:$BB$406,10,FALSE)-VLOOKUP($A170,'ПР 01-02.22'!$A$11:$BB$378,10,FALSE)</f>
        <v>0</v>
      </c>
      <c r="K170" s="446"/>
      <c r="L170" s="5">
        <f>VLOOKUP($A170,'ПР 01-02.21'!$A$11:$BB$406,12,FALSE)+VLOOKUP($A170,'ПР 21-22'!$A$11:$BB$406,12,FALSE)-VLOOKUP($A170,'ПР 01-02.22'!$A$11:$BB$378,12,FALSE)</f>
        <v>0</v>
      </c>
      <c r="M170" s="5">
        <f>VLOOKUP($A170,'ПР 01-02.21'!$A$11:$BB$406,13,FALSE)+VLOOKUP($A170,'ПР 21-22'!$A$11:$BB$406,13,FALSE)-VLOOKUP($A170,'ПР 01-02.22'!$A$11:$BB$378,13,FALSE)</f>
        <v>0</v>
      </c>
      <c r="N170" s="38"/>
      <c r="O170" s="5">
        <f>VLOOKUP($A170,'ПР 01-02.21'!$A$11:$BB$406,15,FALSE)+VLOOKUP($A170,'ПР 21-22'!$A$11:$BB$406,15,FALSE)-VLOOKUP($A170,'ПР 01-02.22'!$A$11:$BB$378,15,FALSE)</f>
        <v>0</v>
      </c>
      <c r="P170" s="5">
        <f>VLOOKUP($A170,'ПР 01-02.21'!$A$11:$BB$406,16,FALSE)+VLOOKUP($A170,'ПР 21-22'!$A$11:$BB$406,16,FALSE)-VLOOKUP($A170,'ПР 01-02.22'!$A$11:$BB$378,16,FALSE)</f>
        <v>0</v>
      </c>
      <c r="Q170" s="443"/>
      <c r="R170" s="5">
        <f>VLOOKUP($A170,'ПР 01-02.21'!$A$11:$BB$406,18,FALSE)+VLOOKUP($A170,'ПР 21-22'!$A$11:$BB$406,18,FALSE)-VLOOKUP($A170,'ПР 01-02.22'!$A$11:$BB$378,18,FALSE)</f>
        <v>0</v>
      </c>
      <c r="S170" s="5">
        <f>VLOOKUP($A170,'ПР 01-02.21'!$A$11:$BB$406,19,FALSE)+VLOOKUP($A170,'ПР 21-22'!$A$11:$BB$406,19,FALSE)-VLOOKUP($A170,'ПР 01-02.22'!$A$11:$BB$378,19,FALSE)</f>
        <v>0</v>
      </c>
      <c r="T170" s="444"/>
      <c r="U170" s="5">
        <f>VLOOKUP($A170,'ПР 01-02.21'!$A$11:$BB$406,21,FALSE)+VLOOKUP($A170,'ПР 21-22'!$A$11:$BB$406,21,FALSE)-VLOOKUP($A170,'ПР 01-02.22'!$A$11:$BB$378,21,FALSE)</f>
        <v>0</v>
      </c>
      <c r="V170" s="5"/>
      <c r="W170" s="5">
        <f>VLOOKUP($A170,'ПР 01-02.21'!$A$11:$BB$406,23,FALSE)+VLOOKUP($A170,'ПР 21-22'!$A$11:$BB$406,23,FALSE)-VLOOKUP($A170,'ПР 01-02.22'!$A$11:$BB$378,23,FALSE)</f>
        <v>0</v>
      </c>
      <c r="X170" s="5">
        <f>VLOOKUP($A170,'ПР 01-02.21'!$A$11:$BB$406,24,FALSE)+VLOOKUP($A170,'ПР 21-22'!$A$11:$BB$406,24,FALSE)-VLOOKUP($A170,'ПР 01-02.22'!$A$11:$BB$378,24,FALSE)</f>
        <v>99.29951040803013</v>
      </c>
      <c r="Y170" s="5">
        <f>VLOOKUP($A170,'ПР 01-02.21'!$A$11:$BB$406,25,FALSE)+VLOOKUP($A170,'ПР 21-22'!$A$11:$BB$406,25,FALSE)-VLOOKUP($A170,'ПР 01-02.22'!$A$11:$BB$378,25,FALSE)</f>
        <v>0</v>
      </c>
      <c r="Z170" s="5"/>
      <c r="AA170" s="5">
        <f>VLOOKUP($A170,'ПР 01-02.21'!$A$11:$BB$406,27,FALSE)+VLOOKUP($A170,'ПР 21-22'!$A$11:$BB$406,27,FALSE)-VLOOKUP($A170,'ПР 01-02.22'!$A$11:$BB$378,27,FALSE)</f>
        <v>0</v>
      </c>
      <c r="AB170" s="5">
        <f>VLOOKUP($A170,'ПР 01-02.21'!$A$11:$BB$406,28,FALSE)+VLOOKUP($A170,'ПР 21-22'!$A$11:$BB$406,28,FALSE)-VLOOKUP($A170,'ПР 01-02.22'!$A$11:$BB$378,28,FALSE)</f>
        <v>0</v>
      </c>
      <c r="AC170" s="5">
        <f>VLOOKUP($A170,'ПР 01-02.21'!$A$11:$BB$406,29,FALSE)+VLOOKUP($A170,'ПР 21-22'!$A$11:$BB$406,29,FALSE)-VLOOKUP($A170,'ПР 01-02.22'!$A$11:$BB$378,29,FALSE)</f>
        <v>0</v>
      </c>
      <c r="AD170" s="5">
        <f>VLOOKUP($A170,'ПР 01-02.21'!$A$11:$BB$406,30,FALSE)+VLOOKUP($A170,'ПР 21-22'!$A$11:$BB$406,30,FALSE)-VLOOKUP($A170,'ПР 01-02.22'!$A$11:$BB$378,30,FALSE)</f>
        <v>376</v>
      </c>
      <c r="AE170" s="5">
        <f>VLOOKUP($A170,'ПР 01-02.21'!$A$11:$BB$406,31,FALSE)+VLOOKUP($A170,'ПР 21-22'!$A$11:$BB$406,31,FALSE)-VLOOKUP($A170,'ПР 01-02.22'!$A$11:$BB$378,31,FALSE)</f>
        <v>1733.0215515514171</v>
      </c>
      <c r="AF170" s="5">
        <f>VLOOKUP($A170,'ПР 01-02.21'!$A$11:$BB$406,32,FALSE)+VLOOKUP($A170,'ПР 21-22'!$A$11:$BB$406,32,FALSE)-VLOOKUP($A170,'ПР 01-02.22'!$A$11:$BB$378,32,FALSE)</f>
        <v>2403</v>
      </c>
      <c r="AG170" s="40"/>
      <c r="AH170" s="5">
        <f>VLOOKUP($A170,'ПР 01-02.21'!$A$11:$BB$406,34,FALSE)+VLOOKUP($A170,'ПР 21-22'!$A$11:$BB$406,34,FALSE)-VLOOKUP($A170,'ПР 01-02.22'!$A$11:$BB$378,34,FALSE)</f>
        <v>2347.3424202022425</v>
      </c>
      <c r="AI170" s="5">
        <f>VLOOKUP($A170,'ПР 01-02.21'!$A$11:$BB$406,35,FALSE)+VLOOKUP($A170,'ПР 21-22'!$A$11:$BB$406,35,FALSE)-VLOOKUP($A170,'ПР 01-02.22'!$A$11:$BB$378,35,FALSE)</f>
        <v>1643</v>
      </c>
      <c r="AJ170" s="40"/>
      <c r="AK170" s="5">
        <f>VLOOKUP($A170,'ПР 01-02.21'!$A$11:$BB$406,37,FALSE)+VLOOKUP($A170,'ПР 21-22'!$A$11:$BB$406,37,FALSE)-VLOOKUP($A170,'ПР 01-02.22'!$A$11:$BB$378,37,FALSE)</f>
        <v>1732.9801951027628</v>
      </c>
      <c r="AL170" s="5">
        <f>VLOOKUP($A170,'ПР 01-02.21'!$A$11:$BB$406,38,FALSE)+VLOOKUP($A170,'ПР 21-22'!$A$11:$BB$406,38,FALSE)-VLOOKUP($A170,'ПР 01-02.22'!$A$11:$BB$378,38,FALSE)</f>
        <v>245</v>
      </c>
      <c r="AM170" s="40"/>
      <c r="AN170" s="5">
        <f>VLOOKUP($A170,'ПР 01-02.21'!$A$11:$BB$406,40,FALSE)+VLOOKUP($A170,'ПР 21-22'!$A$11:$BB$406,40,FALSE)-VLOOKUP($A170,'ПР 01-02.22'!$A$11:$BB$378,40,FALSE)</f>
        <v>2645.8612957875489</v>
      </c>
      <c r="AO170" s="5">
        <f>VLOOKUP($A170,'ПР 01-02.21'!$A$11:$BB$406,41,FALSE)+VLOOKUP($A170,'ПР 21-22'!$A$11:$BB$406,41,FALSE)-VLOOKUP($A170,'ПР 01-02.22'!$A$11:$BB$378,41,FALSE)</f>
        <v>0</v>
      </c>
      <c r="AP170" s="40"/>
      <c r="AQ170" s="5">
        <f>VLOOKUP($A170,'ПР 01-02.21'!$A$11:$BB$406,43,FALSE)+VLOOKUP($A170,'ПР 21-22'!$A$11:$BB$406,43,FALSE)-VLOOKUP($A170,'ПР 01-02.22'!$A$11:$BB$378,43,FALSE)</f>
        <v>0</v>
      </c>
      <c r="AR170" s="5">
        <f>VLOOKUP($A170,'ПР 01-02.21'!$A$11:$BB$406,44,FALSE)+VLOOKUP($A170,'ПР 21-22'!$A$11:$BB$406,44,FALSE)-VLOOKUP($A170,'ПР 01-02.22'!$A$11:$BB$378,44,FALSE)</f>
        <v>0</v>
      </c>
      <c r="AS170" s="40"/>
      <c r="AT170" s="5">
        <f>VLOOKUP($A170,'ПР 01-02.21'!$A$11:$BB$406,46,FALSE)+VLOOKUP($A170,'ПР 21-22'!$A$11:$BB$406,46,FALSE)-VLOOKUP($A170,'ПР 01-02.22'!$A$11:$BB$378,46,FALSE)</f>
        <v>1303.5439775617785</v>
      </c>
      <c r="AU170" s="5">
        <f>VLOOKUP($A170,'ПР 01-02.21'!$A$11:$BB$406,47,FALSE)+VLOOKUP($A170,'ПР 21-22'!$A$11:$BB$406,47,FALSE)-VLOOKUP($A170,'ПР 01-02.22'!$A$11:$BB$378,47,FALSE)</f>
        <v>0</v>
      </c>
      <c r="AV170" s="40"/>
      <c r="AW170" s="5">
        <f>VLOOKUP($A170,'ПР 01-02.21'!$A$11:$BB$406,49,FALSE)+VLOOKUP($A170,'ПР 21-22'!$A$11:$BB$406,49,FALSE)-VLOOKUP($A170,'ПР 01-02.22'!$A$11:$BB$378,49,FALSE)</f>
        <v>138</v>
      </c>
      <c r="AX170" s="5">
        <f>VLOOKUP($A170,'ПР 01-02.21'!$A$11:$BB$406,50,FALSE)+VLOOKUP($A170,'ПР 21-22'!$A$11:$BB$406,50,FALSE)-VLOOKUP($A170,'ПР 01-02.22'!$A$11:$BB$378,50,FALSE)</f>
        <v>0</v>
      </c>
      <c r="AY170" s="40"/>
      <c r="AZ170" s="40">
        <f t="shared" si="9"/>
        <v>9900.7494402057491</v>
      </c>
      <c r="BA170" s="40">
        <f t="shared" si="9"/>
        <v>4291</v>
      </c>
      <c r="BB170" s="55">
        <f t="shared" si="12"/>
        <v>-5609.7494402057491</v>
      </c>
      <c r="BD170" s="2">
        <v>2</v>
      </c>
      <c r="BF170" s="325">
        <v>150001018</v>
      </c>
    </row>
    <row r="171" spans="1:58" ht="24.9" customHeight="1" x14ac:dyDescent="0.3">
      <c r="A171" s="325">
        <v>150001019</v>
      </c>
      <c r="B171" s="445" t="s">
        <v>420</v>
      </c>
      <c r="C171" s="27">
        <v>10</v>
      </c>
      <c r="D171" s="101" t="s">
        <v>455</v>
      </c>
      <c r="E171" s="279">
        <f>'побудинковий звіт'!E169</f>
        <v>6921.8</v>
      </c>
      <c r="F171" s="441">
        <f>'побудинковий звіт'!AS169</f>
        <v>81256.97170148947</v>
      </c>
      <c r="G171" s="441">
        <f t="shared" si="10"/>
        <v>199171.02</v>
      </c>
      <c r="H171" s="73">
        <f t="shared" si="11"/>
        <v>117914.04829851052</v>
      </c>
      <c r="I171" s="5">
        <f>VLOOKUP($A171,'ПР 01-02.21'!$A$11:$BB$406,9,FALSE)+VLOOKUP($A171,'ПР 21-22'!$A$11:$BB$406,9,FALSE)-VLOOKUP($A171,'ПР 01-02.22'!$A$11:$BB$378,9,FALSE)</f>
        <v>0</v>
      </c>
      <c r="J171" s="5">
        <f>VLOOKUP($A171,'ПР 01-02.21'!$A$11:$BB$406,10,FALSE)+VLOOKUP($A171,'ПР 21-22'!$A$11:$BB$406,10,FALSE)-VLOOKUP($A171,'ПР 01-02.22'!$A$11:$BB$378,10,FALSE)</f>
        <v>0</v>
      </c>
      <c r="K171" s="450"/>
      <c r="L171" s="5">
        <f>VLOOKUP($A171,'ПР 01-02.21'!$A$11:$BB$406,12,FALSE)+VLOOKUP($A171,'ПР 21-22'!$A$11:$BB$406,12,FALSE)-VLOOKUP($A171,'ПР 01-02.22'!$A$11:$BB$378,12,FALSE)</f>
        <v>0</v>
      </c>
      <c r="M171" s="5">
        <f>VLOOKUP($A171,'ПР 01-02.21'!$A$11:$BB$406,13,FALSE)+VLOOKUP($A171,'ПР 21-22'!$A$11:$BB$406,13,FALSE)-VLOOKUP($A171,'ПР 01-02.22'!$A$11:$BB$378,13,FALSE)</f>
        <v>0</v>
      </c>
      <c r="N171" s="38"/>
      <c r="O171" s="5">
        <f>VLOOKUP($A171,'ПР 01-02.21'!$A$11:$BB$406,15,FALSE)+VLOOKUP($A171,'ПР 21-22'!$A$11:$BB$406,15,FALSE)-VLOOKUP($A171,'ПР 01-02.22'!$A$11:$BB$378,15,FALSE)</f>
        <v>0</v>
      </c>
      <c r="P171" s="5">
        <f>VLOOKUP($A171,'ПР 01-02.21'!$A$11:$BB$406,16,FALSE)+VLOOKUP($A171,'ПР 21-22'!$A$11:$BB$406,16,FALSE)-VLOOKUP($A171,'ПР 01-02.22'!$A$11:$BB$378,16,FALSE)</f>
        <v>0</v>
      </c>
      <c r="Q171" s="443"/>
      <c r="R171" s="5">
        <f>VLOOKUP($A171,'ПР 01-02.21'!$A$11:$BB$406,18,FALSE)+VLOOKUP($A171,'ПР 21-22'!$A$11:$BB$406,18,FALSE)-VLOOKUP($A171,'ПР 01-02.22'!$A$11:$BB$378,18,FALSE)</f>
        <v>4</v>
      </c>
      <c r="S171" s="5">
        <f>VLOOKUP($A171,'ПР 01-02.21'!$A$11:$BB$406,19,FALSE)+VLOOKUP($A171,'ПР 21-22'!$A$11:$BB$406,19,FALSE)-VLOOKUP($A171,'ПР 01-02.22'!$A$11:$BB$378,19,FALSE)</f>
        <v>31472</v>
      </c>
      <c r="T171" s="444"/>
      <c r="U171" s="5">
        <f>VLOOKUP($A171,'ПР 01-02.21'!$A$11:$BB$406,21,FALSE)+VLOOKUP($A171,'ПР 21-22'!$A$11:$BB$406,21,FALSE)-VLOOKUP($A171,'ПР 01-02.22'!$A$11:$BB$378,21,FALSE)</f>
        <v>0</v>
      </c>
      <c r="V171" s="5"/>
      <c r="W171" s="5">
        <f>VLOOKUP($A171,'ПР 01-02.21'!$A$11:$BB$406,23,FALSE)+VLOOKUP($A171,'ПР 21-22'!$A$11:$BB$406,23,FALSE)-VLOOKUP($A171,'ПР 01-02.22'!$A$11:$BB$378,23,FALSE)</f>
        <v>6</v>
      </c>
      <c r="X171" s="5">
        <f>VLOOKUP($A171,'ПР 01-02.21'!$A$11:$BB$406,24,FALSE)+VLOOKUP($A171,'ПР 21-22'!$A$11:$BB$406,24,FALSE)-VLOOKUP($A171,'ПР 01-02.22'!$A$11:$BB$378,24,FALSE)</f>
        <v>1627.44</v>
      </c>
      <c r="Y171" s="5">
        <f>VLOOKUP($A171,'ПР 01-02.21'!$A$11:$BB$406,25,FALSE)+VLOOKUP($A171,'ПР 21-22'!$A$11:$BB$406,25,FALSE)-VLOOKUP($A171,'ПР 01-02.22'!$A$11:$BB$378,25,FALSE)</f>
        <v>1131</v>
      </c>
      <c r="Z171" s="5"/>
      <c r="AA171" s="5">
        <f>VLOOKUP($A171,'ПР 01-02.21'!$A$11:$BB$406,27,FALSE)+VLOOKUP($A171,'ПР 21-22'!$A$11:$BB$406,27,FALSE)-VLOOKUP($A171,'ПР 01-02.22'!$A$11:$BB$378,27,FALSE)</f>
        <v>0</v>
      </c>
      <c r="AB171" s="5">
        <f>VLOOKUP($A171,'ПР 01-02.21'!$A$11:$BB$406,28,FALSE)+VLOOKUP($A171,'ПР 21-22'!$A$11:$BB$406,28,FALSE)-VLOOKUP($A171,'ПР 01-02.22'!$A$11:$BB$378,28,FALSE)</f>
        <v>133.25</v>
      </c>
      <c r="AC171" s="5">
        <f>VLOOKUP($A171,'ПР 01-02.21'!$A$11:$BB$406,29,FALSE)+VLOOKUP($A171,'ПР 21-22'!$A$11:$BB$406,29,FALSE)-VLOOKUP($A171,'ПР 01-02.22'!$A$11:$BB$378,29,FALSE)</f>
        <v>160432</v>
      </c>
      <c r="AD171" s="5">
        <f>VLOOKUP($A171,'ПР 01-02.21'!$A$11:$BB$406,30,FALSE)+VLOOKUP($A171,'ПР 21-22'!$A$11:$BB$406,30,FALSE)-VLOOKUP($A171,'ПР 01-02.22'!$A$11:$BB$378,30,FALSE)</f>
        <v>4375.33</v>
      </c>
      <c r="AE171" s="5">
        <f>VLOOKUP($A171,'ПР 01-02.21'!$A$11:$BB$406,31,FALSE)+VLOOKUP($A171,'ПР 21-22'!$A$11:$BB$406,31,FALSE)-VLOOKUP($A171,'ПР 01-02.22'!$A$11:$BB$378,31,FALSE)</f>
        <v>5033.9093826744211</v>
      </c>
      <c r="AF171" s="5">
        <f>VLOOKUP($A171,'ПР 01-02.21'!$A$11:$BB$406,32,FALSE)+VLOOKUP($A171,'ПР 21-22'!$A$11:$BB$406,32,FALSE)-VLOOKUP($A171,'ПР 01-02.22'!$A$11:$BB$378,32,FALSE)</f>
        <v>2045</v>
      </c>
      <c r="AG171" s="40"/>
      <c r="AH171" s="5">
        <f>VLOOKUP($A171,'ПР 01-02.21'!$A$11:$BB$406,34,FALSE)+VLOOKUP($A171,'ПР 21-22'!$A$11:$BB$406,34,FALSE)-VLOOKUP($A171,'ПР 01-02.22'!$A$11:$BB$378,34,FALSE)</f>
        <v>5370.0640751076298</v>
      </c>
      <c r="AI171" s="5">
        <f>VLOOKUP($A171,'ПР 01-02.21'!$A$11:$BB$406,35,FALSE)+VLOOKUP($A171,'ПР 21-22'!$A$11:$BB$406,35,FALSE)-VLOOKUP($A171,'ПР 01-02.22'!$A$11:$BB$378,35,FALSE)</f>
        <v>0</v>
      </c>
      <c r="AJ171" s="40"/>
      <c r="AK171" s="5">
        <f>VLOOKUP($A171,'ПР 01-02.21'!$A$11:$BB$406,37,FALSE)+VLOOKUP($A171,'ПР 21-22'!$A$11:$BB$406,37,FALSE)-VLOOKUP($A171,'ПР 01-02.22'!$A$11:$BB$378,37,FALSE)</f>
        <v>2742.2698117940836</v>
      </c>
      <c r="AL171" s="5">
        <f>VLOOKUP($A171,'ПР 01-02.21'!$A$11:$BB$406,38,FALSE)+VLOOKUP($A171,'ПР 21-22'!$A$11:$BB$406,38,FALSE)-VLOOKUP($A171,'ПР 01-02.22'!$A$11:$BB$378,38,FALSE)</f>
        <v>0</v>
      </c>
      <c r="AM171" s="40"/>
      <c r="AN171" s="5">
        <f>VLOOKUP($A171,'ПР 01-02.21'!$A$11:$BB$406,40,FALSE)+VLOOKUP($A171,'ПР 21-22'!$A$11:$BB$406,40,FALSE)-VLOOKUP($A171,'ПР 01-02.22'!$A$11:$BB$378,40,FALSE)</f>
        <v>4125.4683666384135</v>
      </c>
      <c r="AO171" s="5">
        <f>VLOOKUP($A171,'ПР 01-02.21'!$A$11:$BB$406,41,FALSE)+VLOOKUP($A171,'ПР 21-22'!$A$11:$BB$406,41,FALSE)-VLOOKUP($A171,'ПР 01-02.22'!$A$11:$BB$378,41,FALSE)</f>
        <v>0</v>
      </c>
      <c r="AP171" s="40"/>
      <c r="AQ171" s="5">
        <f>VLOOKUP($A171,'ПР 01-02.21'!$A$11:$BB$406,43,FALSE)+VLOOKUP($A171,'ПР 21-22'!$A$11:$BB$406,43,FALSE)-VLOOKUP($A171,'ПР 01-02.22'!$A$11:$BB$378,43,FALSE)</f>
        <v>2044.2042454330617</v>
      </c>
      <c r="AR171" s="5">
        <f>VLOOKUP($A171,'ПР 01-02.21'!$A$11:$BB$406,44,FALSE)+VLOOKUP($A171,'ПР 21-22'!$A$11:$BB$406,44,FALSE)-VLOOKUP($A171,'ПР 01-02.22'!$A$11:$BB$378,44,FALSE)</f>
        <v>0</v>
      </c>
      <c r="AS171" s="40"/>
      <c r="AT171" s="5">
        <f>VLOOKUP($A171,'ПР 01-02.21'!$A$11:$BB$406,46,FALSE)+VLOOKUP($A171,'ПР 21-22'!$A$11:$BB$406,46,FALSE)-VLOOKUP($A171,'ПР 01-02.22'!$A$11:$BB$378,46,FALSE)</f>
        <v>2984.5567361789117</v>
      </c>
      <c r="AU171" s="5">
        <f>VLOOKUP($A171,'ПР 01-02.21'!$A$11:$BB$406,47,FALSE)+VLOOKUP($A171,'ПР 21-22'!$A$11:$BB$406,47,FALSE)-VLOOKUP($A171,'ПР 01-02.22'!$A$11:$BB$378,47,FALSE)</f>
        <v>0</v>
      </c>
      <c r="AV171" s="40"/>
      <c r="AW171" s="5">
        <f>VLOOKUP($A171,'ПР 01-02.21'!$A$11:$BB$406,49,FALSE)+VLOOKUP($A171,'ПР 21-22'!$A$11:$BB$406,49,FALSE)-VLOOKUP($A171,'ПР 01-02.22'!$A$11:$BB$378,49,FALSE)</f>
        <v>622.51937568706444</v>
      </c>
      <c r="AX171" s="5">
        <f>VLOOKUP($A171,'ПР 01-02.21'!$A$11:$BB$406,50,FALSE)+VLOOKUP($A171,'ПР 21-22'!$A$11:$BB$406,50,FALSE)-VLOOKUP($A171,'ПР 01-02.22'!$A$11:$BB$378,50,FALSE)</f>
        <v>0</v>
      </c>
      <c r="AY171" s="40"/>
      <c r="AZ171" s="40">
        <f t="shared" si="9"/>
        <v>22922.991993513584</v>
      </c>
      <c r="BA171" s="40">
        <f t="shared" si="9"/>
        <v>2045</v>
      </c>
      <c r="BB171" s="55">
        <f t="shared" si="12"/>
        <v>-20877.991993513584</v>
      </c>
      <c r="BD171" s="2">
        <v>1</v>
      </c>
      <c r="BF171" s="325">
        <v>150001019</v>
      </c>
    </row>
    <row r="172" spans="1:58" ht="24.9" customHeight="1" x14ac:dyDescent="0.3">
      <c r="A172" s="325">
        <v>150001020</v>
      </c>
      <c r="B172" s="445" t="s">
        <v>101</v>
      </c>
      <c r="C172" s="27">
        <v>1</v>
      </c>
      <c r="D172" s="101" t="s">
        <v>455</v>
      </c>
      <c r="E172" s="279">
        <f>'побудинковий звіт'!E170</f>
        <v>320.5</v>
      </c>
      <c r="F172" s="441">
        <f>'побудинковий звіт'!AS170</f>
        <v>2931.9222907482927</v>
      </c>
      <c r="G172" s="441">
        <f t="shared" si="10"/>
        <v>0</v>
      </c>
      <c r="H172" s="73">
        <f t="shared" si="11"/>
        <v>-2931.9222907482927</v>
      </c>
      <c r="I172" s="5">
        <f>VLOOKUP($A172,'ПР 01-02.21'!$A$11:$BB$406,9,FALSE)+VLOOKUP($A172,'ПР 21-22'!$A$11:$BB$406,9,FALSE)-VLOOKUP($A172,'ПР 01-02.22'!$A$11:$BB$378,9,FALSE)</f>
        <v>0</v>
      </c>
      <c r="J172" s="5">
        <f>VLOOKUP($A172,'ПР 01-02.21'!$A$11:$BB$406,10,FALSE)+VLOOKUP($A172,'ПР 21-22'!$A$11:$BB$406,10,FALSE)-VLOOKUP($A172,'ПР 01-02.22'!$A$11:$BB$378,10,FALSE)</f>
        <v>0</v>
      </c>
      <c r="K172" s="446"/>
      <c r="L172" s="5">
        <f>VLOOKUP($A172,'ПР 01-02.21'!$A$11:$BB$406,12,FALSE)+VLOOKUP($A172,'ПР 21-22'!$A$11:$BB$406,12,FALSE)-VLOOKUP($A172,'ПР 01-02.22'!$A$11:$BB$378,12,FALSE)</f>
        <v>0</v>
      </c>
      <c r="M172" s="5">
        <f>VLOOKUP($A172,'ПР 01-02.21'!$A$11:$BB$406,13,FALSE)+VLOOKUP($A172,'ПР 21-22'!$A$11:$BB$406,13,FALSE)-VLOOKUP($A172,'ПР 01-02.22'!$A$11:$BB$378,13,FALSE)</f>
        <v>0</v>
      </c>
      <c r="N172" s="38"/>
      <c r="O172" s="5">
        <f>VLOOKUP($A172,'ПР 01-02.21'!$A$11:$BB$406,15,FALSE)+VLOOKUP($A172,'ПР 21-22'!$A$11:$BB$406,15,FALSE)-VLOOKUP($A172,'ПР 01-02.22'!$A$11:$BB$378,15,FALSE)</f>
        <v>0</v>
      </c>
      <c r="P172" s="5">
        <f>VLOOKUP($A172,'ПР 01-02.21'!$A$11:$BB$406,16,FALSE)+VLOOKUP($A172,'ПР 21-22'!$A$11:$BB$406,16,FALSE)-VLOOKUP($A172,'ПР 01-02.22'!$A$11:$BB$378,16,FALSE)</f>
        <v>0</v>
      </c>
      <c r="Q172" s="443"/>
      <c r="R172" s="5">
        <f>VLOOKUP($A172,'ПР 01-02.21'!$A$11:$BB$406,18,FALSE)+VLOOKUP($A172,'ПР 21-22'!$A$11:$BB$406,18,FALSE)-VLOOKUP($A172,'ПР 01-02.22'!$A$11:$BB$378,18,FALSE)</f>
        <v>0</v>
      </c>
      <c r="S172" s="5">
        <f>VLOOKUP($A172,'ПР 01-02.21'!$A$11:$BB$406,19,FALSE)+VLOOKUP($A172,'ПР 21-22'!$A$11:$BB$406,19,FALSE)-VLOOKUP($A172,'ПР 01-02.22'!$A$11:$BB$378,19,FALSE)</f>
        <v>0</v>
      </c>
      <c r="T172" s="444"/>
      <c r="U172" s="5">
        <f>VLOOKUP($A172,'ПР 01-02.21'!$A$11:$BB$406,21,FALSE)+VLOOKUP($A172,'ПР 21-22'!$A$11:$BB$406,21,FALSE)-VLOOKUP($A172,'ПР 01-02.22'!$A$11:$BB$378,21,FALSE)</f>
        <v>0</v>
      </c>
      <c r="V172" s="5"/>
      <c r="W172" s="5">
        <f>VLOOKUP($A172,'ПР 01-02.21'!$A$11:$BB$406,23,FALSE)+VLOOKUP($A172,'ПР 21-22'!$A$11:$BB$406,23,FALSE)-VLOOKUP($A172,'ПР 01-02.22'!$A$11:$BB$378,23,FALSE)</f>
        <v>0</v>
      </c>
      <c r="X172" s="5">
        <f>VLOOKUP($A172,'ПР 01-02.21'!$A$11:$BB$406,24,FALSE)+VLOOKUP($A172,'ПР 21-22'!$A$11:$BB$406,24,FALSE)-VLOOKUP($A172,'ПР 01-02.22'!$A$11:$BB$378,24,FALSE)</f>
        <v>0</v>
      </c>
      <c r="Y172" s="5">
        <f>VLOOKUP($A172,'ПР 01-02.21'!$A$11:$BB$406,25,FALSE)+VLOOKUP($A172,'ПР 21-22'!$A$11:$BB$406,25,FALSE)-VLOOKUP($A172,'ПР 01-02.22'!$A$11:$BB$378,25,FALSE)</f>
        <v>0</v>
      </c>
      <c r="Z172" s="5"/>
      <c r="AA172" s="5">
        <f>VLOOKUP($A172,'ПР 01-02.21'!$A$11:$BB$406,27,FALSE)+VLOOKUP($A172,'ПР 21-22'!$A$11:$BB$406,27,FALSE)-VLOOKUP($A172,'ПР 01-02.22'!$A$11:$BB$378,27,FALSE)</f>
        <v>0</v>
      </c>
      <c r="AB172" s="5">
        <f>VLOOKUP($A172,'ПР 01-02.21'!$A$11:$BB$406,28,FALSE)+VLOOKUP($A172,'ПР 21-22'!$A$11:$BB$406,28,FALSE)-VLOOKUP($A172,'ПР 01-02.22'!$A$11:$BB$378,28,FALSE)</f>
        <v>0</v>
      </c>
      <c r="AC172" s="5">
        <f>VLOOKUP($A172,'ПР 01-02.21'!$A$11:$BB$406,29,FALSE)+VLOOKUP($A172,'ПР 21-22'!$A$11:$BB$406,29,FALSE)-VLOOKUP($A172,'ПР 01-02.22'!$A$11:$BB$378,29,FALSE)</f>
        <v>0</v>
      </c>
      <c r="AD172" s="5">
        <f>VLOOKUP($A172,'ПР 01-02.21'!$A$11:$BB$406,30,FALSE)+VLOOKUP($A172,'ПР 21-22'!$A$11:$BB$406,30,FALSE)-VLOOKUP($A172,'ПР 01-02.22'!$A$11:$BB$378,30,FALSE)</f>
        <v>0</v>
      </c>
      <c r="AE172" s="5">
        <f>VLOOKUP($A172,'ПР 01-02.21'!$A$11:$BB$406,31,FALSE)+VLOOKUP($A172,'ПР 21-22'!$A$11:$BB$406,31,FALSE)-VLOOKUP($A172,'ПР 01-02.22'!$A$11:$BB$378,31,FALSE)</f>
        <v>0</v>
      </c>
      <c r="AF172" s="5">
        <f>VLOOKUP($A172,'ПР 01-02.21'!$A$11:$BB$406,32,FALSE)+VLOOKUP($A172,'ПР 21-22'!$A$11:$BB$406,32,FALSE)-VLOOKUP($A172,'ПР 01-02.22'!$A$11:$BB$378,32,FALSE)</f>
        <v>0</v>
      </c>
      <c r="AG172" s="40"/>
      <c r="AH172" s="5">
        <f>VLOOKUP($A172,'ПР 01-02.21'!$A$11:$BB$406,34,FALSE)+VLOOKUP($A172,'ПР 21-22'!$A$11:$BB$406,34,FALSE)-VLOOKUP($A172,'ПР 01-02.22'!$A$11:$BB$378,34,FALSE)</f>
        <v>0</v>
      </c>
      <c r="AI172" s="5">
        <f>VLOOKUP($A172,'ПР 01-02.21'!$A$11:$BB$406,35,FALSE)+VLOOKUP($A172,'ПР 21-22'!$A$11:$BB$406,35,FALSE)-VLOOKUP($A172,'ПР 01-02.22'!$A$11:$BB$378,35,FALSE)</f>
        <v>0</v>
      </c>
      <c r="AJ172" s="40"/>
      <c r="AK172" s="5">
        <f>VLOOKUP($A172,'ПР 01-02.21'!$A$11:$BB$406,37,FALSE)+VLOOKUP($A172,'ПР 21-22'!$A$11:$BB$406,37,FALSE)-VLOOKUP($A172,'ПР 01-02.22'!$A$11:$BB$378,37,FALSE)</f>
        <v>0</v>
      </c>
      <c r="AL172" s="5">
        <f>VLOOKUP($A172,'ПР 01-02.21'!$A$11:$BB$406,38,FALSE)+VLOOKUP($A172,'ПР 21-22'!$A$11:$BB$406,38,FALSE)-VLOOKUP($A172,'ПР 01-02.22'!$A$11:$BB$378,38,FALSE)</f>
        <v>0</v>
      </c>
      <c r="AM172" s="40"/>
      <c r="AN172" s="5">
        <f>VLOOKUP($A172,'ПР 01-02.21'!$A$11:$BB$406,40,FALSE)+VLOOKUP($A172,'ПР 21-22'!$A$11:$BB$406,40,FALSE)-VLOOKUP($A172,'ПР 01-02.22'!$A$11:$BB$378,40,FALSE)</f>
        <v>0</v>
      </c>
      <c r="AO172" s="5">
        <f>VLOOKUP($A172,'ПР 01-02.21'!$A$11:$BB$406,41,FALSE)+VLOOKUP($A172,'ПР 21-22'!$A$11:$BB$406,41,FALSE)-VLOOKUP($A172,'ПР 01-02.22'!$A$11:$BB$378,41,FALSE)</f>
        <v>0</v>
      </c>
      <c r="AP172" s="40"/>
      <c r="AQ172" s="5">
        <f>VLOOKUP($A172,'ПР 01-02.21'!$A$11:$BB$406,43,FALSE)+VLOOKUP($A172,'ПР 21-22'!$A$11:$BB$406,43,FALSE)-VLOOKUP($A172,'ПР 01-02.22'!$A$11:$BB$378,43,FALSE)</f>
        <v>0</v>
      </c>
      <c r="AR172" s="5">
        <f>VLOOKUP($A172,'ПР 01-02.21'!$A$11:$BB$406,44,FALSE)+VLOOKUP($A172,'ПР 21-22'!$A$11:$BB$406,44,FALSE)-VLOOKUP($A172,'ПР 01-02.22'!$A$11:$BB$378,44,FALSE)</f>
        <v>0</v>
      </c>
      <c r="AS172" s="40"/>
      <c r="AT172" s="5">
        <f>VLOOKUP($A172,'ПР 01-02.21'!$A$11:$BB$406,46,FALSE)+VLOOKUP($A172,'ПР 21-22'!$A$11:$BB$406,46,FALSE)-VLOOKUP($A172,'ПР 01-02.22'!$A$11:$BB$378,46,FALSE)</f>
        <v>0</v>
      </c>
      <c r="AU172" s="5">
        <f>VLOOKUP($A172,'ПР 01-02.21'!$A$11:$BB$406,47,FALSE)+VLOOKUP($A172,'ПР 21-22'!$A$11:$BB$406,47,FALSE)-VLOOKUP($A172,'ПР 01-02.22'!$A$11:$BB$378,47,FALSE)</f>
        <v>0</v>
      </c>
      <c r="AV172" s="40"/>
      <c r="AW172" s="5">
        <f>VLOOKUP($A172,'ПР 01-02.21'!$A$11:$BB$406,49,FALSE)+VLOOKUP($A172,'ПР 21-22'!$A$11:$BB$406,49,FALSE)-VLOOKUP($A172,'ПР 01-02.22'!$A$11:$BB$378,49,FALSE)</f>
        <v>15.82</v>
      </c>
      <c r="AX172" s="5">
        <f>VLOOKUP($A172,'ПР 01-02.21'!$A$11:$BB$406,50,FALSE)+VLOOKUP($A172,'ПР 21-22'!$A$11:$BB$406,50,FALSE)-VLOOKUP($A172,'ПР 01-02.22'!$A$11:$BB$378,50,FALSE)</f>
        <v>0</v>
      </c>
      <c r="AY172" s="40"/>
      <c r="AZ172" s="40">
        <f t="shared" si="9"/>
        <v>15.82</v>
      </c>
      <c r="BA172" s="40">
        <f t="shared" si="9"/>
        <v>0</v>
      </c>
      <c r="BB172" s="55">
        <f t="shared" si="12"/>
        <v>-15.82</v>
      </c>
      <c r="BD172" s="2">
        <v>2</v>
      </c>
      <c r="BF172" s="325">
        <v>150001020</v>
      </c>
    </row>
    <row r="173" spans="1:58" ht="24.9" customHeight="1" x14ac:dyDescent="0.3">
      <c r="A173" s="325">
        <v>150001021</v>
      </c>
      <c r="B173" s="445" t="s">
        <v>364</v>
      </c>
      <c r="C173" s="27">
        <v>9</v>
      </c>
      <c r="D173" s="101" t="s">
        <v>455</v>
      </c>
      <c r="E173" s="279">
        <f>'побудинковий звіт'!E171</f>
        <v>11582.12</v>
      </c>
      <c r="F173" s="441">
        <f>'побудинковий звіт'!AS171</f>
        <v>157956.28790374618</v>
      </c>
      <c r="G173" s="441">
        <f t="shared" si="10"/>
        <v>233750.84000000003</v>
      </c>
      <c r="H173" s="73">
        <f t="shared" si="11"/>
        <v>75794.552096253843</v>
      </c>
      <c r="I173" s="5">
        <f>VLOOKUP($A173,'ПР 01-02.21'!$A$11:$BB$406,9,FALSE)+VLOOKUP($A173,'ПР 21-22'!$A$11:$BB$406,9,FALSE)-VLOOKUP($A173,'ПР 01-02.22'!$A$11:$BB$378,9,FALSE)</f>
        <v>70.8</v>
      </c>
      <c r="J173" s="5">
        <f>VLOOKUP($A173,'ПР 01-02.21'!$A$11:$BB$406,10,FALSE)+VLOOKUP($A173,'ПР 21-22'!$A$11:$BB$406,10,FALSE)-VLOOKUP($A173,'ПР 01-02.22'!$A$11:$BB$378,10,FALSE)</f>
        <v>12287.619999999999</v>
      </c>
      <c r="K173" s="453"/>
      <c r="L173" s="5">
        <f>VLOOKUP($A173,'ПР 01-02.21'!$A$11:$BB$406,12,FALSE)+VLOOKUP($A173,'ПР 21-22'!$A$11:$BB$406,12,FALSE)-VLOOKUP($A173,'ПР 01-02.22'!$A$11:$BB$378,12,FALSE)</f>
        <v>0</v>
      </c>
      <c r="M173" s="5">
        <f>VLOOKUP($A173,'ПР 01-02.21'!$A$11:$BB$406,13,FALSE)+VLOOKUP($A173,'ПР 21-22'!$A$11:$BB$406,13,FALSE)-VLOOKUP($A173,'ПР 01-02.22'!$A$11:$BB$378,13,FALSE)</f>
        <v>0</v>
      </c>
      <c r="N173" s="38"/>
      <c r="O173" s="5">
        <f>VLOOKUP($A173,'ПР 01-02.21'!$A$11:$BB$406,15,FALSE)+VLOOKUP($A173,'ПР 21-22'!$A$11:$BB$406,15,FALSE)-VLOOKUP($A173,'ПР 01-02.22'!$A$11:$BB$378,15,FALSE)</f>
        <v>0</v>
      </c>
      <c r="P173" s="5">
        <f>VLOOKUP($A173,'ПР 01-02.21'!$A$11:$BB$406,16,FALSE)+VLOOKUP($A173,'ПР 21-22'!$A$11:$BB$406,16,FALSE)-VLOOKUP($A173,'ПР 01-02.22'!$A$11:$BB$378,16,FALSE)</f>
        <v>0</v>
      </c>
      <c r="Q173" s="443"/>
      <c r="R173" s="5">
        <f>VLOOKUP($A173,'ПР 01-02.21'!$A$11:$BB$406,18,FALSE)+VLOOKUP($A173,'ПР 21-22'!$A$11:$BB$406,18,FALSE)-VLOOKUP($A173,'ПР 01-02.22'!$A$11:$BB$378,18,FALSE)</f>
        <v>9</v>
      </c>
      <c r="S173" s="5">
        <f>VLOOKUP($A173,'ПР 01-02.21'!$A$11:$BB$406,19,FALSE)+VLOOKUP($A173,'ПР 21-22'!$A$11:$BB$406,19,FALSE)-VLOOKUP($A173,'ПР 01-02.22'!$A$11:$BB$378,19,FALSE)</f>
        <v>112776</v>
      </c>
      <c r="T173" s="444"/>
      <c r="U173" s="5">
        <f>VLOOKUP($A173,'ПР 01-02.21'!$A$11:$BB$406,21,FALSE)+VLOOKUP($A173,'ПР 21-22'!$A$11:$BB$406,21,FALSE)-VLOOKUP($A173,'ПР 01-02.22'!$A$11:$BB$378,21,FALSE)</f>
        <v>6984</v>
      </c>
      <c r="V173" s="5"/>
      <c r="W173" s="5">
        <f>VLOOKUP($A173,'ПР 01-02.21'!$A$11:$BB$406,23,FALSE)+VLOOKUP($A173,'ПР 21-22'!$A$11:$BB$406,23,FALSE)-VLOOKUP($A173,'ПР 01-02.22'!$A$11:$BB$378,23,FALSE)</f>
        <v>8</v>
      </c>
      <c r="X173" s="5">
        <f>VLOOKUP($A173,'ПР 01-02.21'!$A$11:$BB$406,24,FALSE)+VLOOKUP($A173,'ПР 21-22'!$A$11:$BB$406,24,FALSE)-VLOOKUP($A173,'ПР 01-02.22'!$A$11:$BB$378,24,FALSE)</f>
        <v>4274.7299999999996</v>
      </c>
      <c r="Y173" s="5">
        <f>VLOOKUP($A173,'ПР 01-02.21'!$A$11:$BB$406,25,FALSE)+VLOOKUP($A173,'ПР 21-22'!$A$11:$BB$406,25,FALSE)-VLOOKUP($A173,'ПР 01-02.22'!$A$11:$BB$378,25,FALSE)</f>
        <v>1039.3899999999999</v>
      </c>
      <c r="Z173" s="5"/>
      <c r="AA173" s="5">
        <f>VLOOKUP($A173,'ПР 01-02.21'!$A$11:$BB$406,27,FALSE)+VLOOKUP($A173,'ПР 21-22'!$A$11:$BB$406,27,FALSE)-VLOOKUP($A173,'ПР 01-02.22'!$A$11:$BB$378,27,FALSE)</f>
        <v>0</v>
      </c>
      <c r="AB173" s="5">
        <f>VLOOKUP($A173,'ПР 01-02.21'!$A$11:$BB$406,28,FALSE)+VLOOKUP($A173,'ПР 21-22'!$A$11:$BB$406,28,FALSE)-VLOOKUP($A173,'ПР 01-02.22'!$A$11:$BB$378,28,FALSE)</f>
        <v>7014</v>
      </c>
      <c r="AC173" s="5">
        <f>VLOOKUP($A173,'ПР 01-02.21'!$A$11:$BB$406,29,FALSE)+VLOOKUP($A173,'ПР 21-22'!$A$11:$BB$406,29,FALSE)-VLOOKUP($A173,'ПР 01-02.22'!$A$11:$BB$378,29,FALSE)</f>
        <v>82882</v>
      </c>
      <c r="AD173" s="5">
        <f>VLOOKUP($A173,'ПР 01-02.21'!$A$11:$BB$406,30,FALSE)+VLOOKUP($A173,'ПР 21-22'!$A$11:$BB$406,30,FALSE)-VLOOKUP($A173,'ПР 01-02.22'!$A$11:$BB$378,30,FALSE)</f>
        <v>6493.1</v>
      </c>
      <c r="AE173" s="5">
        <f>VLOOKUP($A173,'ПР 01-02.21'!$A$11:$BB$406,31,FALSE)+VLOOKUP($A173,'ПР 21-22'!$A$11:$BB$406,31,FALSE)-VLOOKUP($A173,'ПР 01-02.22'!$A$11:$BB$378,31,FALSE)</f>
        <v>5446.789155550352</v>
      </c>
      <c r="AF173" s="5">
        <f>VLOOKUP($A173,'ПР 01-02.21'!$A$11:$BB$406,32,FALSE)+VLOOKUP($A173,'ПР 21-22'!$A$11:$BB$406,32,FALSE)-VLOOKUP($A173,'ПР 01-02.22'!$A$11:$BB$378,32,FALSE)</f>
        <v>4245</v>
      </c>
      <c r="AG173" s="40"/>
      <c r="AH173" s="5">
        <f>VLOOKUP($A173,'ПР 01-02.21'!$A$11:$BB$406,34,FALSE)+VLOOKUP($A173,'ПР 21-22'!$A$11:$BB$406,34,FALSE)-VLOOKUP($A173,'ПР 01-02.22'!$A$11:$BB$378,34,FALSE)</f>
        <v>9788.5947115201361</v>
      </c>
      <c r="AI173" s="5">
        <f>VLOOKUP($A173,'ПР 01-02.21'!$A$11:$BB$406,35,FALSE)+VLOOKUP($A173,'ПР 21-22'!$A$11:$BB$406,35,FALSE)-VLOOKUP($A173,'ПР 01-02.22'!$A$11:$BB$378,35,FALSE)</f>
        <v>36228.050000000003</v>
      </c>
      <c r="AJ173" s="40"/>
      <c r="AK173" s="5">
        <f>VLOOKUP($A173,'ПР 01-02.21'!$A$11:$BB$406,37,FALSE)+VLOOKUP($A173,'ПР 21-22'!$A$11:$BB$406,37,FALSE)-VLOOKUP($A173,'ПР 01-02.22'!$A$11:$BB$378,37,FALSE)</f>
        <v>2711.7679914183091</v>
      </c>
      <c r="AL173" s="5">
        <f>VLOOKUP($A173,'ПР 01-02.21'!$A$11:$BB$406,38,FALSE)+VLOOKUP($A173,'ПР 21-22'!$A$11:$BB$406,38,FALSE)-VLOOKUP($A173,'ПР 01-02.22'!$A$11:$BB$378,38,FALSE)</f>
        <v>5486.41</v>
      </c>
      <c r="AM173" s="40"/>
      <c r="AN173" s="5">
        <f>VLOOKUP($A173,'ПР 01-02.21'!$A$11:$BB$406,40,FALSE)+VLOOKUP($A173,'ПР 21-22'!$A$11:$BB$406,40,FALSE)-VLOOKUP($A173,'ПР 01-02.22'!$A$11:$BB$378,40,FALSE)</f>
        <v>5815.4935606251747</v>
      </c>
      <c r="AO173" s="5">
        <f>VLOOKUP($A173,'ПР 01-02.21'!$A$11:$BB$406,41,FALSE)+VLOOKUP($A173,'ПР 21-22'!$A$11:$BB$406,41,FALSE)-VLOOKUP($A173,'ПР 01-02.22'!$A$11:$BB$378,41,FALSE)</f>
        <v>5506.04</v>
      </c>
      <c r="AP173" s="40"/>
      <c r="AQ173" s="5">
        <f>VLOOKUP($A173,'ПР 01-02.21'!$A$11:$BB$406,43,FALSE)+VLOOKUP($A173,'ПР 21-22'!$A$11:$BB$406,43,FALSE)-VLOOKUP($A173,'ПР 01-02.22'!$A$11:$BB$378,43,FALSE)</f>
        <v>5039.6852826267695</v>
      </c>
      <c r="AR173" s="5">
        <f>VLOOKUP($A173,'ПР 01-02.21'!$A$11:$BB$406,44,FALSE)+VLOOKUP($A173,'ПР 21-22'!$A$11:$BB$406,44,FALSE)-VLOOKUP($A173,'ПР 01-02.22'!$A$11:$BB$378,44,FALSE)</f>
        <v>2215</v>
      </c>
      <c r="AS173" s="40"/>
      <c r="AT173" s="5">
        <f>VLOOKUP($A173,'ПР 01-02.21'!$A$11:$BB$406,46,FALSE)+VLOOKUP($A173,'ПР 21-22'!$A$11:$BB$406,46,FALSE)-VLOOKUP($A173,'ПР 01-02.22'!$A$11:$BB$378,46,FALSE)</f>
        <v>5066.840082312614</v>
      </c>
      <c r="AU173" s="5">
        <f>VLOOKUP($A173,'ПР 01-02.21'!$A$11:$BB$406,47,FALSE)+VLOOKUP($A173,'ПР 21-22'!$A$11:$BB$406,47,FALSE)-VLOOKUP($A173,'ПР 01-02.22'!$A$11:$BB$378,47,FALSE)</f>
        <v>1000</v>
      </c>
      <c r="AV173" s="40"/>
      <c r="AW173" s="5">
        <f>VLOOKUP($A173,'ПР 01-02.21'!$A$11:$BB$406,49,FALSE)+VLOOKUP($A173,'ПР 21-22'!$A$11:$BB$406,49,FALSE)-VLOOKUP($A173,'ПР 01-02.22'!$A$11:$BB$378,49,FALSE)</f>
        <v>985.81913285430278</v>
      </c>
      <c r="AX173" s="5">
        <f>VLOOKUP($A173,'ПР 01-02.21'!$A$11:$BB$406,50,FALSE)+VLOOKUP($A173,'ПР 21-22'!$A$11:$BB$406,50,FALSE)-VLOOKUP($A173,'ПР 01-02.22'!$A$11:$BB$378,50,FALSE)</f>
        <v>0</v>
      </c>
      <c r="AY173" s="40"/>
      <c r="AZ173" s="40">
        <f t="shared" si="9"/>
        <v>34854.98991690766</v>
      </c>
      <c r="BA173" s="40">
        <f t="shared" si="9"/>
        <v>54680.500000000007</v>
      </c>
      <c r="BB173" s="55">
        <f t="shared" si="12"/>
        <v>19825.510083092347</v>
      </c>
      <c r="BD173" s="2">
        <v>1</v>
      </c>
      <c r="BF173" s="325">
        <v>150001021</v>
      </c>
    </row>
    <row r="174" spans="1:58" ht="24.9" customHeight="1" x14ac:dyDescent="0.3">
      <c r="A174" s="325">
        <v>150001035</v>
      </c>
      <c r="B174" s="445" t="s">
        <v>263</v>
      </c>
      <c r="C174" s="27">
        <v>5</v>
      </c>
      <c r="D174" s="101" t="s">
        <v>455</v>
      </c>
      <c r="E174" s="279">
        <f>'побудинковий звіт'!E172</f>
        <v>2850.7000000000003</v>
      </c>
      <c r="F174" s="441">
        <f>'побудинковий звіт'!AS172</f>
        <v>36307.956015843272</v>
      </c>
      <c r="G174" s="441">
        <f t="shared" si="10"/>
        <v>4398</v>
      </c>
      <c r="H174" s="73">
        <f t="shared" si="11"/>
        <v>-31909.956015843272</v>
      </c>
      <c r="I174" s="5">
        <f>VLOOKUP($A174,'ПР 01-02.21'!$A$11:$BB$406,9,FALSE)+VLOOKUP($A174,'ПР 21-22'!$A$11:$BB$406,9,FALSE)-VLOOKUP($A174,'ПР 01-02.22'!$A$11:$BB$378,9,FALSE)</f>
        <v>0</v>
      </c>
      <c r="J174" s="5">
        <f>VLOOKUP($A174,'ПР 01-02.21'!$A$11:$BB$406,10,FALSE)+VLOOKUP($A174,'ПР 21-22'!$A$11:$BB$406,10,FALSE)-VLOOKUP($A174,'ПР 01-02.22'!$A$11:$BB$378,10,FALSE)</f>
        <v>0</v>
      </c>
      <c r="K174" s="450"/>
      <c r="L174" s="5">
        <f>VLOOKUP($A174,'ПР 01-02.21'!$A$11:$BB$406,12,FALSE)+VLOOKUP($A174,'ПР 21-22'!$A$11:$BB$406,12,FALSE)-VLOOKUP($A174,'ПР 01-02.22'!$A$11:$BB$378,12,FALSE)</f>
        <v>0</v>
      </c>
      <c r="M174" s="5">
        <f>VLOOKUP($A174,'ПР 01-02.21'!$A$11:$BB$406,13,FALSE)+VLOOKUP($A174,'ПР 21-22'!$A$11:$BB$406,13,FALSE)-VLOOKUP($A174,'ПР 01-02.22'!$A$11:$BB$378,13,FALSE)</f>
        <v>513</v>
      </c>
      <c r="N174" s="38"/>
      <c r="O174" s="5">
        <f>VLOOKUP($A174,'ПР 01-02.21'!$A$11:$BB$406,15,FALSE)+VLOOKUP($A174,'ПР 21-22'!$A$11:$BB$406,15,FALSE)-VLOOKUP($A174,'ПР 01-02.22'!$A$11:$BB$378,15,FALSE)</f>
        <v>12</v>
      </c>
      <c r="P174" s="5">
        <f>VLOOKUP($A174,'ПР 01-02.21'!$A$11:$BB$406,16,FALSE)+VLOOKUP($A174,'ПР 21-22'!$A$11:$BB$406,16,FALSE)-VLOOKUP($A174,'ПР 01-02.22'!$A$11:$BB$378,16,FALSE)</f>
        <v>2127</v>
      </c>
      <c r="Q174" s="443"/>
      <c r="R174" s="5">
        <f>VLOOKUP($A174,'ПР 01-02.21'!$A$11:$BB$406,18,FALSE)+VLOOKUP($A174,'ПР 21-22'!$A$11:$BB$406,18,FALSE)-VLOOKUP($A174,'ПР 01-02.22'!$A$11:$BB$378,18,FALSE)</f>
        <v>0</v>
      </c>
      <c r="S174" s="5">
        <f>VLOOKUP($A174,'ПР 01-02.21'!$A$11:$BB$406,19,FALSE)+VLOOKUP($A174,'ПР 21-22'!$A$11:$BB$406,19,FALSE)-VLOOKUP($A174,'ПР 01-02.22'!$A$11:$BB$378,19,FALSE)</f>
        <v>0</v>
      </c>
      <c r="T174" s="444"/>
      <c r="U174" s="5">
        <f>VLOOKUP($A174,'ПР 01-02.21'!$A$11:$BB$406,21,FALSE)+VLOOKUP($A174,'ПР 21-22'!$A$11:$BB$406,21,FALSE)-VLOOKUP($A174,'ПР 01-02.22'!$A$11:$BB$378,21,FALSE)</f>
        <v>0</v>
      </c>
      <c r="V174" s="5"/>
      <c r="W174" s="5">
        <f>VLOOKUP($A174,'ПР 01-02.21'!$A$11:$BB$406,23,FALSE)+VLOOKUP($A174,'ПР 21-22'!$A$11:$BB$406,23,FALSE)-VLOOKUP($A174,'ПР 01-02.22'!$A$11:$BB$378,23,FALSE)</f>
        <v>0</v>
      </c>
      <c r="X174" s="5">
        <f>VLOOKUP($A174,'ПР 01-02.21'!$A$11:$BB$406,24,FALSE)+VLOOKUP($A174,'ПР 21-22'!$A$11:$BB$406,24,FALSE)-VLOOKUP($A174,'ПР 01-02.22'!$A$11:$BB$378,24,FALSE)</f>
        <v>0</v>
      </c>
      <c r="Y174" s="5">
        <f>VLOOKUP($A174,'ПР 01-02.21'!$A$11:$BB$406,25,FALSE)+VLOOKUP($A174,'ПР 21-22'!$A$11:$BB$406,25,FALSE)-VLOOKUP($A174,'ПР 01-02.22'!$A$11:$BB$378,25,FALSE)</f>
        <v>0</v>
      </c>
      <c r="Z174" s="5"/>
      <c r="AA174" s="5">
        <f>VLOOKUP($A174,'ПР 01-02.21'!$A$11:$BB$406,27,FALSE)+VLOOKUP($A174,'ПР 21-22'!$A$11:$BB$406,27,FALSE)-VLOOKUP($A174,'ПР 01-02.22'!$A$11:$BB$378,27,FALSE)</f>
        <v>0</v>
      </c>
      <c r="AB174" s="5">
        <f>VLOOKUP($A174,'ПР 01-02.21'!$A$11:$BB$406,28,FALSE)+VLOOKUP($A174,'ПР 21-22'!$A$11:$BB$406,28,FALSE)-VLOOKUP($A174,'ПР 01-02.22'!$A$11:$BB$378,28,FALSE)</f>
        <v>0</v>
      </c>
      <c r="AC174" s="5">
        <f>VLOOKUP($A174,'ПР 01-02.21'!$A$11:$BB$406,29,FALSE)+VLOOKUP($A174,'ПР 21-22'!$A$11:$BB$406,29,FALSE)-VLOOKUP($A174,'ПР 01-02.22'!$A$11:$BB$378,29,FALSE)</f>
        <v>903</v>
      </c>
      <c r="AD174" s="5">
        <f>VLOOKUP($A174,'ПР 01-02.21'!$A$11:$BB$406,30,FALSE)+VLOOKUP($A174,'ПР 21-22'!$A$11:$BB$406,30,FALSE)-VLOOKUP($A174,'ПР 01-02.22'!$A$11:$BB$378,30,FALSE)</f>
        <v>855</v>
      </c>
      <c r="AE174" s="5">
        <f>VLOOKUP($A174,'ПР 01-02.21'!$A$11:$BB$406,31,FALSE)+VLOOKUP($A174,'ПР 21-22'!$A$11:$BB$406,31,FALSE)-VLOOKUP($A174,'ПР 01-02.22'!$A$11:$BB$378,31,FALSE)</f>
        <v>2790.942439575912</v>
      </c>
      <c r="AF174" s="5">
        <f>VLOOKUP($A174,'ПР 01-02.21'!$A$11:$BB$406,32,FALSE)+VLOOKUP($A174,'ПР 21-22'!$A$11:$BB$406,32,FALSE)-VLOOKUP($A174,'ПР 01-02.22'!$A$11:$BB$378,32,FALSE)</f>
        <v>0</v>
      </c>
      <c r="AG174" s="40"/>
      <c r="AH174" s="5">
        <f>VLOOKUP($A174,'ПР 01-02.21'!$A$11:$BB$406,34,FALSE)+VLOOKUP($A174,'ПР 21-22'!$A$11:$BB$406,34,FALSE)-VLOOKUP($A174,'ПР 01-02.22'!$A$11:$BB$378,34,FALSE)</f>
        <v>3668.1539651675184</v>
      </c>
      <c r="AI174" s="5">
        <f>VLOOKUP($A174,'ПР 01-02.21'!$A$11:$BB$406,35,FALSE)+VLOOKUP($A174,'ПР 21-22'!$A$11:$BB$406,35,FALSE)-VLOOKUP($A174,'ПР 01-02.22'!$A$11:$BB$378,35,FALSE)</f>
        <v>6.5</v>
      </c>
      <c r="AJ174" s="40"/>
      <c r="AK174" s="5">
        <f>VLOOKUP($A174,'ПР 01-02.21'!$A$11:$BB$406,37,FALSE)+VLOOKUP($A174,'ПР 21-22'!$A$11:$BB$406,37,FALSE)-VLOOKUP($A174,'ПР 01-02.22'!$A$11:$BB$378,37,FALSE)</f>
        <v>1513.5797886747469</v>
      </c>
      <c r="AL174" s="5">
        <f>VLOOKUP($A174,'ПР 01-02.21'!$A$11:$BB$406,38,FALSE)+VLOOKUP($A174,'ПР 21-22'!$A$11:$BB$406,38,FALSE)-VLOOKUP($A174,'ПР 01-02.22'!$A$11:$BB$378,38,FALSE)</f>
        <v>836</v>
      </c>
      <c r="AM174" s="40"/>
      <c r="AN174" s="5">
        <f>VLOOKUP($A174,'ПР 01-02.21'!$A$11:$BB$406,40,FALSE)+VLOOKUP($A174,'ПР 21-22'!$A$11:$BB$406,40,FALSE)-VLOOKUP($A174,'ПР 01-02.22'!$A$11:$BB$378,40,FALSE)</f>
        <v>1883.8885533537946</v>
      </c>
      <c r="AO174" s="5">
        <f>VLOOKUP($A174,'ПР 01-02.21'!$A$11:$BB$406,41,FALSE)+VLOOKUP($A174,'ПР 21-22'!$A$11:$BB$406,41,FALSE)-VLOOKUP($A174,'ПР 01-02.22'!$A$11:$BB$378,41,FALSE)</f>
        <v>0</v>
      </c>
      <c r="AP174" s="40"/>
      <c r="AQ174" s="5">
        <f>VLOOKUP($A174,'ПР 01-02.21'!$A$11:$BB$406,43,FALSE)+VLOOKUP($A174,'ПР 21-22'!$A$11:$BB$406,43,FALSE)-VLOOKUP($A174,'ПР 01-02.22'!$A$11:$BB$378,43,FALSE)</f>
        <v>1369.6639710151376</v>
      </c>
      <c r="AR174" s="5">
        <f>VLOOKUP($A174,'ПР 01-02.21'!$A$11:$BB$406,44,FALSE)+VLOOKUP($A174,'ПР 21-22'!$A$11:$BB$406,44,FALSE)-VLOOKUP($A174,'ПР 01-02.22'!$A$11:$BB$378,44,FALSE)</f>
        <v>0</v>
      </c>
      <c r="AS174" s="40"/>
      <c r="AT174" s="5">
        <f>VLOOKUP($A174,'ПР 01-02.21'!$A$11:$BB$406,46,FALSE)+VLOOKUP($A174,'ПР 21-22'!$A$11:$BB$406,46,FALSE)-VLOOKUP($A174,'ПР 01-02.22'!$A$11:$BB$378,46,FALSE)</f>
        <v>1877.5575746695336</v>
      </c>
      <c r="AU174" s="5">
        <f>VLOOKUP($A174,'ПР 01-02.21'!$A$11:$BB$406,47,FALSE)+VLOOKUP($A174,'ПР 21-22'!$A$11:$BB$406,47,FALSE)-VLOOKUP($A174,'ПР 01-02.22'!$A$11:$BB$378,47,FALSE)</f>
        <v>0</v>
      </c>
      <c r="AV174" s="40"/>
      <c r="AW174" s="5">
        <f>VLOOKUP($A174,'ПР 01-02.21'!$A$11:$BB$406,49,FALSE)+VLOOKUP($A174,'ПР 21-22'!$A$11:$BB$406,49,FALSE)-VLOOKUP($A174,'ПР 01-02.22'!$A$11:$BB$378,49,FALSE)</f>
        <v>1223.7584248651392</v>
      </c>
      <c r="AX174" s="5">
        <f>VLOOKUP($A174,'ПР 01-02.21'!$A$11:$BB$406,50,FALSE)+VLOOKUP($A174,'ПР 21-22'!$A$11:$BB$406,50,FALSE)-VLOOKUP($A174,'ПР 01-02.22'!$A$11:$BB$378,50,FALSE)</f>
        <v>0</v>
      </c>
      <c r="AY174" s="40"/>
      <c r="AZ174" s="40">
        <f t="shared" si="9"/>
        <v>14327.544717321784</v>
      </c>
      <c r="BA174" s="40">
        <f t="shared" si="9"/>
        <v>842.5</v>
      </c>
      <c r="BB174" s="55">
        <f t="shared" si="12"/>
        <v>-13485.044717321784</v>
      </c>
      <c r="BD174" s="2">
        <v>1</v>
      </c>
      <c r="BF174" s="325">
        <v>150001035</v>
      </c>
    </row>
    <row r="175" spans="1:58" ht="24.9" customHeight="1" x14ac:dyDescent="0.3">
      <c r="A175" s="325">
        <v>150001022</v>
      </c>
      <c r="B175" s="445" t="s">
        <v>365</v>
      </c>
      <c r="C175" s="27">
        <v>9</v>
      </c>
      <c r="D175" s="101" t="s">
        <v>455</v>
      </c>
      <c r="E175" s="279">
        <f>'побудинковий звіт'!E173</f>
        <v>3771.47</v>
      </c>
      <c r="F175" s="441">
        <f>'побудинковий звіт'!AS173</f>
        <v>50850.96240659766</v>
      </c>
      <c r="G175" s="441">
        <f t="shared" si="10"/>
        <v>17102.95</v>
      </c>
      <c r="H175" s="73">
        <f t="shared" si="11"/>
        <v>-33748.012406597656</v>
      </c>
      <c r="I175" s="5">
        <f>VLOOKUP($A175,'ПР 01-02.21'!$A$11:$BB$406,9,FALSE)+VLOOKUP($A175,'ПР 21-22'!$A$11:$BB$406,9,FALSE)-VLOOKUP($A175,'ПР 01-02.22'!$A$11:$BB$378,9,FALSE)</f>
        <v>0</v>
      </c>
      <c r="J175" s="5">
        <f>VLOOKUP($A175,'ПР 01-02.21'!$A$11:$BB$406,10,FALSE)+VLOOKUP($A175,'ПР 21-22'!$A$11:$BB$406,10,FALSE)-VLOOKUP($A175,'ПР 01-02.22'!$A$11:$BB$378,10,FALSE)</f>
        <v>0</v>
      </c>
      <c r="K175" s="446"/>
      <c r="L175" s="5">
        <f>VLOOKUP($A175,'ПР 01-02.21'!$A$11:$BB$406,12,FALSE)+VLOOKUP($A175,'ПР 21-22'!$A$11:$BB$406,12,FALSE)-VLOOKUP($A175,'ПР 01-02.22'!$A$11:$BB$378,12,FALSE)</f>
        <v>0</v>
      </c>
      <c r="M175" s="5">
        <f>VLOOKUP($A175,'ПР 01-02.21'!$A$11:$BB$406,13,FALSE)+VLOOKUP($A175,'ПР 21-22'!$A$11:$BB$406,13,FALSE)-VLOOKUP($A175,'ПР 01-02.22'!$A$11:$BB$378,13,FALSE)</f>
        <v>645.84</v>
      </c>
      <c r="N175" s="38"/>
      <c r="O175" s="5">
        <f>VLOOKUP($A175,'ПР 01-02.21'!$A$11:$BB$406,15,FALSE)+VLOOKUP($A175,'ПР 21-22'!$A$11:$BB$406,15,FALSE)-VLOOKUP($A175,'ПР 01-02.22'!$A$11:$BB$378,15,FALSE)</f>
        <v>0</v>
      </c>
      <c r="P175" s="5">
        <f>VLOOKUP($A175,'ПР 01-02.21'!$A$11:$BB$406,16,FALSE)+VLOOKUP($A175,'ПР 21-22'!$A$11:$BB$406,16,FALSE)-VLOOKUP($A175,'ПР 01-02.22'!$A$11:$BB$378,16,FALSE)</f>
        <v>0</v>
      </c>
      <c r="Q175" s="443"/>
      <c r="R175" s="5">
        <f>VLOOKUP($A175,'ПР 01-02.21'!$A$11:$BB$406,18,FALSE)+VLOOKUP($A175,'ПР 21-22'!$A$11:$BB$406,18,FALSE)-VLOOKUP($A175,'ПР 01-02.22'!$A$11:$BB$378,18,FALSE)</f>
        <v>4</v>
      </c>
      <c r="S175" s="5">
        <f>VLOOKUP($A175,'ПР 01-02.21'!$A$11:$BB$406,19,FALSE)+VLOOKUP($A175,'ПР 21-22'!$A$11:$BB$406,19,FALSE)-VLOOKUP($A175,'ПР 01-02.22'!$A$11:$BB$378,19,FALSE)</f>
        <v>13952.11</v>
      </c>
      <c r="T175" s="444"/>
      <c r="U175" s="5">
        <f>VLOOKUP($A175,'ПР 01-02.21'!$A$11:$BB$406,21,FALSE)+VLOOKUP($A175,'ПР 21-22'!$A$11:$BB$406,21,FALSE)-VLOOKUP($A175,'ПР 01-02.22'!$A$11:$BB$378,21,FALSE)</f>
        <v>0</v>
      </c>
      <c r="V175" s="5"/>
      <c r="W175" s="5">
        <f>VLOOKUP($A175,'ПР 01-02.21'!$A$11:$BB$406,23,FALSE)+VLOOKUP($A175,'ПР 21-22'!$A$11:$BB$406,23,FALSE)-VLOOKUP($A175,'ПР 01-02.22'!$A$11:$BB$378,23,FALSE)</f>
        <v>0</v>
      </c>
      <c r="X175" s="5">
        <f>VLOOKUP($A175,'ПР 01-02.21'!$A$11:$BB$406,24,FALSE)+VLOOKUP($A175,'ПР 21-22'!$A$11:$BB$406,24,FALSE)-VLOOKUP($A175,'ПР 01-02.22'!$A$11:$BB$378,24,FALSE)</f>
        <v>0</v>
      </c>
      <c r="Y175" s="5">
        <f>VLOOKUP($A175,'ПР 01-02.21'!$A$11:$BB$406,25,FALSE)+VLOOKUP($A175,'ПР 21-22'!$A$11:$BB$406,25,FALSE)-VLOOKUP($A175,'ПР 01-02.22'!$A$11:$BB$378,25,FALSE)</f>
        <v>47</v>
      </c>
      <c r="Z175" s="5"/>
      <c r="AA175" s="5">
        <f>VLOOKUP($A175,'ПР 01-02.21'!$A$11:$BB$406,27,FALSE)+VLOOKUP($A175,'ПР 21-22'!$A$11:$BB$406,27,FALSE)-VLOOKUP($A175,'ПР 01-02.22'!$A$11:$BB$378,27,FALSE)</f>
        <v>0</v>
      </c>
      <c r="AB175" s="5">
        <f>VLOOKUP($A175,'ПР 01-02.21'!$A$11:$BB$406,28,FALSE)+VLOOKUP($A175,'ПР 21-22'!$A$11:$BB$406,28,FALSE)-VLOOKUP($A175,'ПР 01-02.22'!$A$11:$BB$378,28,FALSE)</f>
        <v>0</v>
      </c>
      <c r="AC175" s="5">
        <f>VLOOKUP($A175,'ПР 01-02.21'!$A$11:$BB$406,29,FALSE)+VLOOKUP($A175,'ПР 21-22'!$A$11:$BB$406,29,FALSE)-VLOOKUP($A175,'ПР 01-02.22'!$A$11:$BB$378,29,FALSE)</f>
        <v>2030</v>
      </c>
      <c r="AD175" s="5">
        <f>VLOOKUP($A175,'ПР 01-02.21'!$A$11:$BB$406,30,FALSE)+VLOOKUP($A175,'ПР 21-22'!$A$11:$BB$406,30,FALSE)-VLOOKUP($A175,'ПР 01-02.22'!$A$11:$BB$378,30,FALSE)</f>
        <v>428</v>
      </c>
      <c r="AE175" s="5">
        <f>VLOOKUP($A175,'ПР 01-02.21'!$A$11:$BB$406,31,FALSE)+VLOOKUP($A175,'ПР 21-22'!$A$11:$BB$406,31,FALSE)-VLOOKUP($A175,'ПР 01-02.22'!$A$11:$BB$378,31,FALSE)</f>
        <v>2113.1145900135557</v>
      </c>
      <c r="AF175" s="5">
        <f>VLOOKUP($A175,'ПР 01-02.21'!$A$11:$BB$406,32,FALSE)+VLOOKUP($A175,'ПР 21-22'!$A$11:$BB$406,32,FALSE)-VLOOKUP($A175,'ПР 01-02.22'!$A$11:$BB$378,32,FALSE)</f>
        <v>889</v>
      </c>
      <c r="AG175" s="40"/>
      <c r="AH175" s="5">
        <f>VLOOKUP($A175,'ПР 01-02.21'!$A$11:$BB$406,34,FALSE)+VLOOKUP($A175,'ПР 21-22'!$A$11:$BB$406,34,FALSE)-VLOOKUP($A175,'ПР 01-02.22'!$A$11:$BB$378,34,FALSE)</f>
        <v>3051.0434321116381</v>
      </c>
      <c r="AI175" s="5">
        <f>VLOOKUP($A175,'ПР 01-02.21'!$A$11:$BB$406,35,FALSE)+VLOOKUP($A175,'ПР 21-22'!$A$11:$BB$406,35,FALSE)-VLOOKUP($A175,'ПР 01-02.22'!$A$11:$BB$378,35,FALSE)</f>
        <v>6350</v>
      </c>
      <c r="AJ175" s="40"/>
      <c r="AK175" s="5">
        <f>VLOOKUP($A175,'ПР 01-02.21'!$A$11:$BB$406,37,FALSE)+VLOOKUP($A175,'ПР 21-22'!$A$11:$BB$406,37,FALSE)-VLOOKUP($A175,'ПР 01-02.22'!$A$11:$BB$378,37,FALSE)</f>
        <v>1125.6873518594073</v>
      </c>
      <c r="AL175" s="5">
        <f>VLOOKUP($A175,'ПР 01-02.21'!$A$11:$BB$406,38,FALSE)+VLOOKUP($A175,'ПР 21-22'!$A$11:$BB$406,38,FALSE)-VLOOKUP($A175,'ПР 01-02.22'!$A$11:$BB$378,38,FALSE)</f>
        <v>5607</v>
      </c>
      <c r="AM175" s="40"/>
      <c r="AN175" s="5">
        <f>VLOOKUP($A175,'ПР 01-02.21'!$A$11:$BB$406,40,FALSE)+VLOOKUP($A175,'ПР 21-22'!$A$11:$BB$406,40,FALSE)-VLOOKUP($A175,'ПР 01-02.22'!$A$11:$BB$378,40,FALSE)</f>
        <v>2146.0210355572035</v>
      </c>
      <c r="AO175" s="5">
        <f>VLOOKUP($A175,'ПР 01-02.21'!$A$11:$BB$406,41,FALSE)+VLOOKUP($A175,'ПР 21-22'!$A$11:$BB$406,41,FALSE)-VLOOKUP($A175,'ПР 01-02.22'!$A$11:$BB$378,41,FALSE)</f>
        <v>0</v>
      </c>
      <c r="AP175" s="40"/>
      <c r="AQ175" s="5">
        <f>VLOOKUP($A175,'ПР 01-02.21'!$A$11:$BB$406,43,FALSE)+VLOOKUP($A175,'ПР 21-22'!$A$11:$BB$406,43,FALSE)-VLOOKUP($A175,'ПР 01-02.22'!$A$11:$BB$378,43,FALSE)</f>
        <v>1189.0173485164548</v>
      </c>
      <c r="AR175" s="5">
        <f>VLOOKUP($A175,'ПР 01-02.21'!$A$11:$BB$406,44,FALSE)+VLOOKUP($A175,'ПР 21-22'!$A$11:$BB$406,44,FALSE)-VLOOKUP($A175,'ПР 01-02.22'!$A$11:$BB$378,44,FALSE)</f>
        <v>0</v>
      </c>
      <c r="AS175" s="40"/>
      <c r="AT175" s="5">
        <f>VLOOKUP($A175,'ПР 01-02.21'!$A$11:$BB$406,46,FALSE)+VLOOKUP($A175,'ПР 21-22'!$A$11:$BB$406,46,FALSE)-VLOOKUP($A175,'ПР 01-02.22'!$A$11:$BB$378,46,FALSE)</f>
        <v>1677.3962096830287</v>
      </c>
      <c r="AU175" s="5">
        <f>VLOOKUP($A175,'ПР 01-02.21'!$A$11:$BB$406,47,FALSE)+VLOOKUP($A175,'ПР 21-22'!$A$11:$BB$406,47,FALSE)-VLOOKUP($A175,'ПР 01-02.22'!$A$11:$BB$378,47,FALSE)</f>
        <v>166</v>
      </c>
      <c r="AV175" s="40"/>
      <c r="AW175" s="5">
        <f>VLOOKUP($A175,'ПР 01-02.21'!$A$11:$BB$406,49,FALSE)+VLOOKUP($A175,'ПР 21-22'!$A$11:$BB$406,49,FALSE)-VLOOKUP($A175,'ПР 01-02.22'!$A$11:$BB$378,49,FALSE)</f>
        <v>342.64984101089522</v>
      </c>
      <c r="AX175" s="5">
        <f>VLOOKUP($A175,'ПР 01-02.21'!$A$11:$BB$406,50,FALSE)+VLOOKUP($A175,'ПР 21-22'!$A$11:$BB$406,50,FALSE)-VLOOKUP($A175,'ПР 01-02.22'!$A$11:$BB$378,50,FALSE)</f>
        <v>0</v>
      </c>
      <c r="AY175" s="40"/>
      <c r="AZ175" s="40">
        <f t="shared" si="9"/>
        <v>11644.929808752182</v>
      </c>
      <c r="BA175" s="40">
        <f t="shared" si="9"/>
        <v>13012</v>
      </c>
      <c r="BB175" s="55">
        <f t="shared" si="12"/>
        <v>1367.070191247818</v>
      </c>
      <c r="BD175" s="2">
        <v>1</v>
      </c>
      <c r="BF175" s="325">
        <v>150001022</v>
      </c>
    </row>
    <row r="176" spans="1:58" ht="24.9" customHeight="1" x14ac:dyDescent="0.3">
      <c r="A176" s="325">
        <v>150001023</v>
      </c>
      <c r="B176" s="445" t="s">
        <v>366</v>
      </c>
      <c r="C176" s="27">
        <v>9</v>
      </c>
      <c r="D176" s="101" t="s">
        <v>455</v>
      </c>
      <c r="E176" s="279">
        <f>'побудинковий звіт'!E174</f>
        <v>3767.85</v>
      </c>
      <c r="F176" s="441">
        <f>'побудинковий звіт'!AS174</f>
        <v>48017.580241305703</v>
      </c>
      <c r="G176" s="441">
        <f t="shared" si="10"/>
        <v>139266.94493344263</v>
      </c>
      <c r="H176" s="73">
        <f t="shared" si="11"/>
        <v>91249.364692136936</v>
      </c>
      <c r="I176" s="5">
        <f>VLOOKUP($A176,'ПР 01-02.21'!$A$11:$BB$406,9,FALSE)+VLOOKUP($A176,'ПР 21-22'!$A$11:$BB$406,9,FALSE)-VLOOKUP($A176,'ПР 01-02.22'!$A$11:$BB$378,9,FALSE)</f>
        <v>126.5</v>
      </c>
      <c r="J176" s="5">
        <f>VLOOKUP($A176,'ПР 01-02.21'!$A$11:$BB$406,10,FALSE)+VLOOKUP($A176,'ПР 21-22'!$A$11:$BB$406,10,FALSE)-VLOOKUP($A176,'ПР 01-02.22'!$A$11:$BB$378,10,FALSE)</f>
        <v>21863</v>
      </c>
      <c r="K176" s="446"/>
      <c r="L176" s="5">
        <f>VLOOKUP($A176,'ПР 01-02.21'!$A$11:$BB$406,12,FALSE)+VLOOKUP($A176,'ПР 21-22'!$A$11:$BB$406,12,FALSE)-VLOOKUP($A176,'ПР 01-02.22'!$A$11:$BB$378,12,FALSE)</f>
        <v>2</v>
      </c>
      <c r="M176" s="5">
        <f>VLOOKUP($A176,'ПР 01-02.21'!$A$11:$BB$406,13,FALSE)+VLOOKUP($A176,'ПР 21-22'!$A$11:$BB$406,13,FALSE)-VLOOKUP($A176,'ПР 01-02.22'!$A$11:$BB$378,13,FALSE)</f>
        <v>94920.8</v>
      </c>
      <c r="N176" s="38"/>
      <c r="O176" s="5">
        <f>VLOOKUP($A176,'ПР 01-02.21'!$A$11:$BB$406,15,FALSE)+VLOOKUP($A176,'ПР 21-22'!$A$11:$BB$406,15,FALSE)-VLOOKUP($A176,'ПР 01-02.22'!$A$11:$BB$378,15,FALSE)</f>
        <v>0</v>
      </c>
      <c r="P176" s="5">
        <f>VLOOKUP($A176,'ПР 01-02.21'!$A$11:$BB$406,16,FALSE)+VLOOKUP($A176,'ПР 21-22'!$A$11:$BB$406,16,FALSE)-VLOOKUP($A176,'ПР 01-02.22'!$A$11:$BB$378,16,FALSE)</f>
        <v>0</v>
      </c>
      <c r="Q176" s="443"/>
      <c r="R176" s="5">
        <f>VLOOKUP($A176,'ПР 01-02.21'!$A$11:$BB$406,18,FALSE)+VLOOKUP($A176,'ПР 21-22'!$A$11:$BB$406,18,FALSE)-VLOOKUP($A176,'ПР 01-02.22'!$A$11:$BB$378,18,FALSE)</f>
        <v>1</v>
      </c>
      <c r="S176" s="5">
        <f>VLOOKUP($A176,'ПР 01-02.21'!$A$11:$BB$406,19,FALSE)+VLOOKUP($A176,'ПР 21-22'!$A$11:$BB$406,19,FALSE)-VLOOKUP($A176,'ПР 01-02.22'!$A$11:$BB$378,19,FALSE)</f>
        <v>1995</v>
      </c>
      <c r="T176" s="444"/>
      <c r="U176" s="5">
        <f>VLOOKUP($A176,'ПР 01-02.21'!$A$11:$BB$406,21,FALSE)+VLOOKUP($A176,'ПР 21-22'!$A$11:$BB$406,21,FALSE)-VLOOKUP($A176,'ПР 01-02.22'!$A$11:$BB$378,21,FALSE)</f>
        <v>0</v>
      </c>
      <c r="V176" s="5"/>
      <c r="W176" s="5">
        <f>VLOOKUP($A176,'ПР 01-02.21'!$A$11:$BB$406,23,FALSE)+VLOOKUP($A176,'ПР 21-22'!$A$11:$BB$406,23,FALSE)-VLOOKUP($A176,'ПР 01-02.22'!$A$11:$BB$378,23,FALSE)</f>
        <v>1</v>
      </c>
      <c r="X176" s="5">
        <f>VLOOKUP($A176,'ПР 01-02.21'!$A$11:$BB$406,24,FALSE)+VLOOKUP($A176,'ПР 21-22'!$A$11:$BB$406,24,FALSE)-VLOOKUP($A176,'ПР 01-02.22'!$A$11:$BB$378,24,FALSE)</f>
        <v>544.14493344260859</v>
      </c>
      <c r="Y176" s="5">
        <f>VLOOKUP($A176,'ПР 01-02.21'!$A$11:$BB$406,25,FALSE)+VLOOKUP($A176,'ПР 21-22'!$A$11:$BB$406,25,FALSE)-VLOOKUP($A176,'ПР 01-02.22'!$A$11:$BB$378,25,FALSE)</f>
        <v>570</v>
      </c>
      <c r="Z176" s="5"/>
      <c r="AA176" s="5">
        <f>VLOOKUP($A176,'ПР 01-02.21'!$A$11:$BB$406,27,FALSE)+VLOOKUP($A176,'ПР 21-22'!$A$11:$BB$406,27,FALSE)-VLOOKUP($A176,'ПР 01-02.22'!$A$11:$BB$378,27,FALSE)</f>
        <v>0</v>
      </c>
      <c r="AB176" s="5">
        <f>VLOOKUP($A176,'ПР 01-02.21'!$A$11:$BB$406,28,FALSE)+VLOOKUP($A176,'ПР 21-22'!$A$11:$BB$406,28,FALSE)-VLOOKUP($A176,'ПР 01-02.22'!$A$11:$BB$378,28,FALSE)</f>
        <v>0</v>
      </c>
      <c r="AC176" s="5">
        <f>VLOOKUP($A176,'ПР 01-02.21'!$A$11:$BB$406,29,FALSE)+VLOOKUP($A176,'ПР 21-22'!$A$11:$BB$406,29,FALSE)-VLOOKUP($A176,'ПР 01-02.22'!$A$11:$BB$378,29,FALSE)</f>
        <v>12812</v>
      </c>
      <c r="AD176" s="5">
        <f>VLOOKUP($A176,'ПР 01-02.21'!$A$11:$BB$406,30,FALSE)+VLOOKUP($A176,'ПР 21-22'!$A$11:$BB$406,30,FALSE)-VLOOKUP($A176,'ПР 01-02.22'!$A$11:$BB$378,30,FALSE)</f>
        <v>6562</v>
      </c>
      <c r="AE176" s="5">
        <f>VLOOKUP($A176,'ПР 01-02.21'!$A$11:$BB$406,31,FALSE)+VLOOKUP($A176,'ПР 21-22'!$A$11:$BB$406,31,FALSE)-VLOOKUP($A176,'ПР 01-02.22'!$A$11:$BB$378,31,FALSE)</f>
        <v>2113.1145900135557</v>
      </c>
      <c r="AF176" s="5">
        <f>VLOOKUP($A176,'ПР 01-02.21'!$A$11:$BB$406,32,FALSE)+VLOOKUP($A176,'ПР 21-22'!$A$11:$BB$406,32,FALSE)-VLOOKUP($A176,'ПР 01-02.22'!$A$11:$BB$378,32,FALSE)</f>
        <v>259</v>
      </c>
      <c r="AG176" s="40"/>
      <c r="AH176" s="5">
        <f>VLOOKUP($A176,'ПР 01-02.21'!$A$11:$BB$406,34,FALSE)+VLOOKUP($A176,'ПР 21-22'!$A$11:$BB$406,34,FALSE)-VLOOKUP($A176,'ПР 01-02.22'!$A$11:$BB$378,34,FALSE)</f>
        <v>3051.0434321116381</v>
      </c>
      <c r="AI176" s="5">
        <f>VLOOKUP($A176,'ПР 01-02.21'!$A$11:$BB$406,35,FALSE)+VLOOKUP($A176,'ПР 21-22'!$A$11:$BB$406,35,FALSE)-VLOOKUP($A176,'ПР 01-02.22'!$A$11:$BB$378,35,FALSE)</f>
        <v>4061</v>
      </c>
      <c r="AJ176" s="40"/>
      <c r="AK176" s="5">
        <f>VLOOKUP($A176,'ПР 01-02.21'!$A$11:$BB$406,37,FALSE)+VLOOKUP($A176,'ПР 21-22'!$A$11:$BB$406,37,FALSE)-VLOOKUP($A176,'ПР 01-02.22'!$A$11:$BB$378,37,FALSE)</f>
        <v>1886.5089225674278</v>
      </c>
      <c r="AL176" s="5">
        <f>VLOOKUP($A176,'ПР 01-02.21'!$A$11:$BB$406,38,FALSE)+VLOOKUP($A176,'ПР 21-22'!$A$11:$BB$406,38,FALSE)-VLOOKUP($A176,'ПР 01-02.22'!$A$11:$BB$378,38,FALSE)</f>
        <v>0</v>
      </c>
      <c r="AM176" s="40"/>
      <c r="AN176" s="5">
        <f>VLOOKUP($A176,'ПР 01-02.21'!$A$11:$BB$406,40,FALSE)+VLOOKUP($A176,'ПР 21-22'!$A$11:$BB$406,40,FALSE)-VLOOKUP($A176,'ПР 01-02.22'!$A$11:$BB$378,40,FALSE)</f>
        <v>2448.9766131074393</v>
      </c>
      <c r="AO176" s="5">
        <f>VLOOKUP($A176,'ПР 01-02.21'!$A$11:$BB$406,41,FALSE)+VLOOKUP($A176,'ПР 21-22'!$A$11:$BB$406,41,FALSE)-VLOOKUP($A176,'ПР 01-02.22'!$A$11:$BB$378,41,FALSE)</f>
        <v>1048</v>
      </c>
      <c r="AP176" s="40"/>
      <c r="AQ176" s="5">
        <f>VLOOKUP($A176,'ПР 01-02.21'!$A$11:$BB$406,43,FALSE)+VLOOKUP($A176,'ПР 21-22'!$A$11:$BB$406,43,FALSE)-VLOOKUP($A176,'ПР 01-02.22'!$A$11:$BB$378,43,FALSE)</f>
        <v>1189.0173485164548</v>
      </c>
      <c r="AR176" s="5">
        <f>VLOOKUP($A176,'ПР 01-02.21'!$A$11:$BB$406,44,FALSE)+VLOOKUP($A176,'ПР 21-22'!$A$11:$BB$406,44,FALSE)-VLOOKUP($A176,'ПР 01-02.22'!$A$11:$BB$378,44,FALSE)</f>
        <v>0</v>
      </c>
      <c r="AS176" s="40"/>
      <c r="AT176" s="5">
        <f>VLOOKUP($A176,'ПР 01-02.21'!$A$11:$BB$406,46,FALSE)+VLOOKUP($A176,'ПР 21-22'!$A$11:$BB$406,46,FALSE)-VLOOKUP($A176,'ПР 01-02.22'!$A$11:$BB$378,46,FALSE)</f>
        <v>1830.4502633061261</v>
      </c>
      <c r="AU176" s="5">
        <f>VLOOKUP($A176,'ПР 01-02.21'!$A$11:$BB$406,47,FALSE)+VLOOKUP($A176,'ПР 21-22'!$A$11:$BB$406,47,FALSE)-VLOOKUP($A176,'ПР 01-02.22'!$A$11:$BB$378,47,FALSE)</f>
        <v>0</v>
      </c>
      <c r="AV176" s="40"/>
      <c r="AW176" s="5">
        <f>VLOOKUP($A176,'ПР 01-02.21'!$A$11:$BB$406,49,FALSE)+VLOOKUP($A176,'ПР 21-22'!$A$11:$BB$406,49,FALSE)-VLOOKUP($A176,'ПР 01-02.22'!$A$11:$BB$378,49,FALSE)</f>
        <v>331.78250455987359</v>
      </c>
      <c r="AX176" s="5">
        <f>VLOOKUP($A176,'ПР 01-02.21'!$A$11:$BB$406,50,FALSE)+VLOOKUP($A176,'ПР 21-22'!$A$11:$BB$406,50,FALSE)-VLOOKUP($A176,'ПР 01-02.22'!$A$11:$BB$378,50,FALSE)</f>
        <v>0</v>
      </c>
      <c r="AY176" s="40"/>
      <c r="AZ176" s="40">
        <f t="shared" si="9"/>
        <v>12850.893674182513</v>
      </c>
      <c r="BA176" s="40">
        <f t="shared" si="9"/>
        <v>5368</v>
      </c>
      <c r="BB176" s="55">
        <f t="shared" si="12"/>
        <v>-7482.8936741825128</v>
      </c>
      <c r="BD176" s="2">
        <v>1</v>
      </c>
      <c r="BF176" s="325">
        <v>150001023</v>
      </c>
    </row>
    <row r="177" spans="1:58" ht="24.9" customHeight="1" x14ac:dyDescent="0.3">
      <c r="A177" s="325">
        <v>150001024</v>
      </c>
      <c r="B177" s="445" t="s">
        <v>367</v>
      </c>
      <c r="C177" s="27">
        <v>9</v>
      </c>
      <c r="D177" s="101" t="s">
        <v>455</v>
      </c>
      <c r="E177" s="279">
        <f>'побудинковий звіт'!E175</f>
        <v>4293.3200000000006</v>
      </c>
      <c r="F177" s="441">
        <f>'побудинковий звіт'!AS175</f>
        <v>52628.183978724512</v>
      </c>
      <c r="G177" s="441">
        <f t="shared" si="10"/>
        <v>53903.13</v>
      </c>
      <c r="H177" s="73">
        <f t="shared" si="11"/>
        <v>1274.9460212754857</v>
      </c>
      <c r="I177" s="5">
        <f>VLOOKUP($A177,'ПР 01-02.21'!$A$11:$BB$406,9,FALSE)+VLOOKUP($A177,'ПР 21-22'!$A$11:$BB$406,9,FALSE)-VLOOKUP($A177,'ПР 01-02.22'!$A$11:$BB$378,9,FALSE)</f>
        <v>300</v>
      </c>
      <c r="J177" s="5">
        <f>VLOOKUP($A177,'ПР 01-02.21'!$A$11:$BB$406,10,FALSE)+VLOOKUP($A177,'ПР 21-22'!$A$11:$BB$406,10,FALSE)-VLOOKUP($A177,'ПР 01-02.22'!$A$11:$BB$378,10,FALSE)</f>
        <v>41764</v>
      </c>
      <c r="K177" s="446"/>
      <c r="L177" s="5">
        <f>VLOOKUP($A177,'ПР 01-02.21'!$A$11:$BB$406,12,FALSE)+VLOOKUP($A177,'ПР 21-22'!$A$11:$BB$406,12,FALSE)-VLOOKUP($A177,'ПР 01-02.22'!$A$11:$BB$378,12,FALSE)</f>
        <v>0</v>
      </c>
      <c r="M177" s="5">
        <f>VLOOKUP($A177,'ПР 01-02.21'!$A$11:$BB$406,13,FALSE)+VLOOKUP($A177,'ПР 21-22'!$A$11:$BB$406,13,FALSE)-VLOOKUP($A177,'ПР 01-02.22'!$A$11:$BB$378,13,FALSE)</f>
        <v>0</v>
      </c>
      <c r="N177" s="38"/>
      <c r="O177" s="5">
        <f>VLOOKUP($A177,'ПР 01-02.21'!$A$11:$BB$406,15,FALSE)+VLOOKUP($A177,'ПР 21-22'!$A$11:$BB$406,15,FALSE)-VLOOKUP($A177,'ПР 01-02.22'!$A$11:$BB$378,15,FALSE)</f>
        <v>0</v>
      </c>
      <c r="P177" s="5">
        <f>VLOOKUP($A177,'ПР 01-02.21'!$A$11:$BB$406,16,FALSE)+VLOOKUP($A177,'ПР 21-22'!$A$11:$BB$406,16,FALSE)-VLOOKUP($A177,'ПР 01-02.22'!$A$11:$BB$378,16,FALSE)</f>
        <v>0</v>
      </c>
      <c r="Q177" s="443"/>
      <c r="R177" s="5">
        <f>VLOOKUP($A177,'ПР 01-02.21'!$A$11:$BB$406,18,FALSE)+VLOOKUP($A177,'ПР 21-22'!$A$11:$BB$406,18,FALSE)-VLOOKUP($A177,'ПР 01-02.22'!$A$11:$BB$378,18,FALSE)</f>
        <v>4</v>
      </c>
      <c r="S177" s="5">
        <f>VLOOKUP($A177,'ПР 01-02.21'!$A$11:$BB$406,19,FALSE)+VLOOKUP($A177,'ПР 21-22'!$A$11:$BB$406,19,FALSE)-VLOOKUP($A177,'ПР 01-02.22'!$A$11:$BB$378,19,FALSE)</f>
        <v>5602</v>
      </c>
      <c r="T177" s="444"/>
      <c r="U177" s="5">
        <f>VLOOKUP($A177,'ПР 01-02.21'!$A$11:$BB$406,21,FALSE)+VLOOKUP($A177,'ПР 21-22'!$A$11:$BB$406,21,FALSE)-VLOOKUP($A177,'ПР 01-02.22'!$A$11:$BB$378,21,FALSE)</f>
        <v>0</v>
      </c>
      <c r="V177" s="5"/>
      <c r="W177" s="5">
        <f>VLOOKUP($A177,'ПР 01-02.21'!$A$11:$BB$406,23,FALSE)+VLOOKUP($A177,'ПР 21-22'!$A$11:$BB$406,23,FALSE)-VLOOKUP($A177,'ПР 01-02.22'!$A$11:$BB$378,23,FALSE)</f>
        <v>0</v>
      </c>
      <c r="X177" s="5">
        <f>VLOOKUP($A177,'ПР 01-02.21'!$A$11:$BB$406,24,FALSE)+VLOOKUP($A177,'ПР 21-22'!$A$11:$BB$406,24,FALSE)-VLOOKUP($A177,'ПР 01-02.22'!$A$11:$BB$378,24,FALSE)</f>
        <v>0</v>
      </c>
      <c r="Y177" s="5">
        <f>VLOOKUP($A177,'ПР 01-02.21'!$A$11:$BB$406,25,FALSE)+VLOOKUP($A177,'ПР 21-22'!$A$11:$BB$406,25,FALSE)-VLOOKUP($A177,'ПР 01-02.22'!$A$11:$BB$378,25,FALSE)</f>
        <v>2731</v>
      </c>
      <c r="Z177" s="5"/>
      <c r="AA177" s="5">
        <f>VLOOKUP($A177,'ПР 01-02.21'!$A$11:$BB$406,27,FALSE)+VLOOKUP($A177,'ПР 21-22'!$A$11:$BB$406,27,FALSE)-VLOOKUP($A177,'ПР 01-02.22'!$A$11:$BB$378,27,FALSE)</f>
        <v>0</v>
      </c>
      <c r="AB177" s="5">
        <f>VLOOKUP($A177,'ПР 01-02.21'!$A$11:$BB$406,28,FALSE)+VLOOKUP($A177,'ПР 21-22'!$A$11:$BB$406,28,FALSE)-VLOOKUP($A177,'ПР 01-02.22'!$A$11:$BB$378,28,FALSE)</f>
        <v>0</v>
      </c>
      <c r="AC177" s="5">
        <f>VLOOKUP($A177,'ПР 01-02.21'!$A$11:$BB$406,29,FALSE)+VLOOKUP($A177,'ПР 21-22'!$A$11:$BB$406,29,FALSE)-VLOOKUP($A177,'ПР 01-02.22'!$A$11:$BB$378,29,FALSE)</f>
        <v>0</v>
      </c>
      <c r="AD177" s="5">
        <f>VLOOKUP($A177,'ПР 01-02.21'!$A$11:$BB$406,30,FALSE)+VLOOKUP($A177,'ПР 21-22'!$A$11:$BB$406,30,FALSE)-VLOOKUP($A177,'ПР 01-02.22'!$A$11:$BB$378,30,FALSE)</f>
        <v>3806.13</v>
      </c>
      <c r="AE177" s="5">
        <f>VLOOKUP($A177,'ПР 01-02.21'!$A$11:$BB$406,31,FALSE)+VLOOKUP($A177,'ПР 21-22'!$A$11:$BB$406,31,FALSE)-VLOOKUP($A177,'ПР 01-02.22'!$A$11:$BB$378,31,FALSE)</f>
        <v>3167.8498863329041</v>
      </c>
      <c r="AF177" s="5">
        <f>VLOOKUP($A177,'ПР 01-02.21'!$A$11:$BB$406,32,FALSE)+VLOOKUP($A177,'ПР 21-22'!$A$11:$BB$406,32,FALSE)-VLOOKUP($A177,'ПР 01-02.22'!$A$11:$BB$378,32,FALSE)</f>
        <v>9547</v>
      </c>
      <c r="AG177" s="40"/>
      <c r="AH177" s="5">
        <f>VLOOKUP($A177,'ПР 01-02.21'!$A$11:$BB$406,34,FALSE)+VLOOKUP($A177,'ПР 21-22'!$A$11:$BB$406,34,FALSE)-VLOOKUP($A177,'ПР 01-02.22'!$A$11:$BB$378,34,FALSE)</f>
        <v>3408.9502330392697</v>
      </c>
      <c r="AI177" s="5">
        <f>VLOOKUP($A177,'ПР 01-02.21'!$A$11:$BB$406,35,FALSE)+VLOOKUP($A177,'ПР 21-22'!$A$11:$BB$406,35,FALSE)-VLOOKUP($A177,'ПР 01-02.22'!$A$11:$BB$378,35,FALSE)</f>
        <v>5303</v>
      </c>
      <c r="AJ177" s="40"/>
      <c r="AK177" s="5">
        <f>VLOOKUP($A177,'ПР 01-02.21'!$A$11:$BB$406,37,FALSE)+VLOOKUP($A177,'ПР 21-22'!$A$11:$BB$406,37,FALSE)-VLOOKUP($A177,'ПР 01-02.22'!$A$11:$BB$378,37,FALSE)</f>
        <v>1625.1515365462808</v>
      </c>
      <c r="AL177" s="5">
        <f>VLOOKUP($A177,'ПР 01-02.21'!$A$11:$BB$406,38,FALSE)+VLOOKUP($A177,'ПР 21-22'!$A$11:$BB$406,38,FALSE)-VLOOKUP($A177,'ПР 01-02.22'!$A$11:$BB$378,38,FALSE)</f>
        <v>2242</v>
      </c>
      <c r="AM177" s="40"/>
      <c r="AN177" s="5">
        <f>VLOOKUP($A177,'ПР 01-02.21'!$A$11:$BB$406,40,FALSE)+VLOOKUP($A177,'ПР 21-22'!$A$11:$BB$406,40,FALSE)-VLOOKUP($A177,'ПР 01-02.22'!$A$11:$BB$378,40,FALSE)</f>
        <v>2968.3671251511309</v>
      </c>
      <c r="AO177" s="5">
        <f>VLOOKUP($A177,'ПР 01-02.21'!$A$11:$BB$406,41,FALSE)+VLOOKUP($A177,'ПР 21-22'!$A$11:$BB$406,41,FALSE)-VLOOKUP($A177,'ПР 01-02.22'!$A$11:$BB$378,41,FALSE)</f>
        <v>0</v>
      </c>
      <c r="AP177" s="40"/>
      <c r="AQ177" s="5">
        <f>VLOOKUP($A177,'ПР 01-02.21'!$A$11:$BB$406,43,FALSE)+VLOOKUP($A177,'ПР 21-22'!$A$11:$BB$406,43,FALSE)-VLOOKUP($A177,'ПР 01-02.22'!$A$11:$BB$378,43,FALSE)</f>
        <v>1275.715225914171</v>
      </c>
      <c r="AR177" s="5">
        <f>VLOOKUP($A177,'ПР 01-02.21'!$A$11:$BB$406,44,FALSE)+VLOOKUP($A177,'ПР 21-22'!$A$11:$BB$406,44,FALSE)-VLOOKUP($A177,'ПР 01-02.22'!$A$11:$BB$378,44,FALSE)</f>
        <v>2859</v>
      </c>
      <c r="AS177" s="40"/>
      <c r="AT177" s="5">
        <f>VLOOKUP($A177,'ПР 01-02.21'!$A$11:$BB$406,46,FALSE)+VLOOKUP($A177,'ПР 21-22'!$A$11:$BB$406,46,FALSE)-VLOOKUP($A177,'ПР 01-02.22'!$A$11:$BB$378,46,FALSE)</f>
        <v>1632.1843008183575</v>
      </c>
      <c r="AU177" s="5">
        <f>VLOOKUP($A177,'ПР 01-02.21'!$A$11:$BB$406,47,FALSE)+VLOOKUP($A177,'ПР 21-22'!$A$11:$BB$406,47,FALSE)-VLOOKUP($A177,'ПР 01-02.22'!$A$11:$BB$378,47,FALSE)</f>
        <v>639</v>
      </c>
      <c r="AV177" s="40"/>
      <c r="AW177" s="5">
        <f>VLOOKUP($A177,'ПР 01-02.21'!$A$11:$BB$406,49,FALSE)+VLOOKUP($A177,'ПР 21-22'!$A$11:$BB$406,49,FALSE)-VLOOKUP($A177,'ПР 01-02.22'!$A$11:$BB$378,49,FALSE)</f>
        <v>335.04336446164757</v>
      </c>
      <c r="AX177" s="5">
        <f>VLOOKUP($A177,'ПР 01-02.21'!$A$11:$BB$406,50,FALSE)+VLOOKUP($A177,'ПР 21-22'!$A$11:$BB$406,50,FALSE)-VLOOKUP($A177,'ПР 01-02.22'!$A$11:$BB$378,50,FALSE)</f>
        <v>0</v>
      </c>
      <c r="AY177" s="40"/>
      <c r="AZ177" s="40">
        <f t="shared" si="9"/>
        <v>14413.261672263761</v>
      </c>
      <c r="BA177" s="40">
        <f t="shared" si="9"/>
        <v>20590</v>
      </c>
      <c r="BB177" s="55">
        <f t="shared" si="12"/>
        <v>6176.7383277362387</v>
      </c>
      <c r="BD177" s="2">
        <v>1</v>
      </c>
      <c r="BF177" s="325">
        <v>150001024</v>
      </c>
    </row>
    <row r="178" spans="1:58" ht="24.9" customHeight="1" x14ac:dyDescent="0.3">
      <c r="A178" s="325">
        <v>150001025</v>
      </c>
      <c r="B178" s="445" t="s">
        <v>421</v>
      </c>
      <c r="C178" s="27">
        <v>10</v>
      </c>
      <c r="D178" s="101" t="s">
        <v>455</v>
      </c>
      <c r="E178" s="279">
        <f>'побудинковий звіт'!E176</f>
        <v>5265.4</v>
      </c>
      <c r="F178" s="441">
        <f>'побудинковий звіт'!AS176</f>
        <v>61786.807620691594</v>
      </c>
      <c r="G178" s="441">
        <f t="shared" si="10"/>
        <v>29469.129999999997</v>
      </c>
      <c r="H178" s="73">
        <f t="shared" si="11"/>
        <v>-32317.677620691597</v>
      </c>
      <c r="I178" s="5">
        <f>VLOOKUP($A178,'ПР 01-02.21'!$A$11:$BB$406,9,FALSE)+VLOOKUP($A178,'ПР 21-22'!$A$11:$BB$406,9,FALSE)-VLOOKUP($A178,'ПР 01-02.22'!$A$11:$BB$378,9,FALSE)</f>
        <v>0</v>
      </c>
      <c r="J178" s="5">
        <f>VLOOKUP($A178,'ПР 01-02.21'!$A$11:$BB$406,10,FALSE)+VLOOKUP($A178,'ПР 21-22'!$A$11:$BB$406,10,FALSE)-VLOOKUP($A178,'ПР 01-02.22'!$A$11:$BB$378,10,FALSE)</f>
        <v>0</v>
      </c>
      <c r="K178" s="446"/>
      <c r="L178" s="5">
        <f>VLOOKUP($A178,'ПР 01-02.21'!$A$11:$BB$406,12,FALSE)+VLOOKUP($A178,'ПР 21-22'!$A$11:$BB$406,12,FALSE)-VLOOKUP($A178,'ПР 01-02.22'!$A$11:$BB$378,12,FALSE)</f>
        <v>0</v>
      </c>
      <c r="M178" s="5">
        <f>VLOOKUP($A178,'ПР 01-02.21'!$A$11:$BB$406,13,FALSE)+VLOOKUP($A178,'ПР 21-22'!$A$11:$BB$406,13,FALSE)-VLOOKUP($A178,'ПР 01-02.22'!$A$11:$BB$378,13,FALSE)</f>
        <v>2018</v>
      </c>
      <c r="N178" s="38"/>
      <c r="O178" s="5">
        <f>VLOOKUP($A178,'ПР 01-02.21'!$A$11:$BB$406,15,FALSE)+VLOOKUP($A178,'ПР 21-22'!$A$11:$BB$406,15,FALSE)-VLOOKUP($A178,'ПР 01-02.22'!$A$11:$BB$378,15,FALSE)</f>
        <v>0</v>
      </c>
      <c r="P178" s="5">
        <f>VLOOKUP($A178,'ПР 01-02.21'!$A$11:$BB$406,16,FALSE)+VLOOKUP($A178,'ПР 21-22'!$A$11:$BB$406,16,FALSE)-VLOOKUP($A178,'ПР 01-02.22'!$A$11:$BB$378,16,FALSE)</f>
        <v>0</v>
      </c>
      <c r="Q178" s="443"/>
      <c r="R178" s="5">
        <f>VLOOKUP($A178,'ПР 01-02.21'!$A$11:$BB$406,18,FALSE)+VLOOKUP($A178,'ПР 21-22'!$A$11:$BB$406,18,FALSE)-VLOOKUP($A178,'ПР 01-02.22'!$A$11:$BB$378,18,FALSE)</f>
        <v>3</v>
      </c>
      <c r="S178" s="5">
        <f>VLOOKUP($A178,'ПР 01-02.21'!$A$11:$BB$406,19,FALSE)+VLOOKUP($A178,'ПР 21-22'!$A$11:$BB$406,19,FALSE)-VLOOKUP($A178,'ПР 01-02.22'!$A$11:$BB$378,19,FALSE)</f>
        <v>17102</v>
      </c>
      <c r="T178" s="444"/>
      <c r="U178" s="5">
        <f>VLOOKUP($A178,'ПР 01-02.21'!$A$11:$BB$406,21,FALSE)+VLOOKUP($A178,'ПР 21-22'!$A$11:$BB$406,21,FALSE)-VLOOKUP($A178,'ПР 01-02.22'!$A$11:$BB$378,21,FALSE)</f>
        <v>0</v>
      </c>
      <c r="V178" s="5"/>
      <c r="W178" s="5">
        <f>VLOOKUP($A178,'ПР 01-02.21'!$A$11:$BB$406,23,FALSE)+VLOOKUP($A178,'ПР 21-22'!$A$11:$BB$406,23,FALSE)-VLOOKUP($A178,'ПР 01-02.22'!$A$11:$BB$378,23,FALSE)</f>
        <v>0</v>
      </c>
      <c r="X178" s="5">
        <f>VLOOKUP($A178,'ПР 01-02.21'!$A$11:$BB$406,24,FALSE)+VLOOKUP($A178,'ПР 21-22'!$A$11:$BB$406,24,FALSE)-VLOOKUP($A178,'ПР 01-02.22'!$A$11:$BB$378,24,FALSE)</f>
        <v>0</v>
      </c>
      <c r="Y178" s="5">
        <f>VLOOKUP($A178,'ПР 01-02.21'!$A$11:$BB$406,25,FALSE)+VLOOKUP($A178,'ПР 21-22'!$A$11:$BB$406,25,FALSE)-VLOOKUP($A178,'ПР 01-02.22'!$A$11:$BB$378,25,FALSE)</f>
        <v>2573.14</v>
      </c>
      <c r="Z178" s="5"/>
      <c r="AA178" s="5">
        <f>VLOOKUP($A178,'ПР 01-02.21'!$A$11:$BB$406,27,FALSE)+VLOOKUP($A178,'ПР 21-22'!$A$11:$BB$406,27,FALSE)-VLOOKUP($A178,'ПР 01-02.22'!$A$11:$BB$378,27,FALSE)</f>
        <v>0</v>
      </c>
      <c r="AB178" s="5">
        <f>VLOOKUP($A178,'ПР 01-02.21'!$A$11:$BB$406,28,FALSE)+VLOOKUP($A178,'ПР 21-22'!$A$11:$BB$406,28,FALSE)-VLOOKUP($A178,'ПР 01-02.22'!$A$11:$BB$378,28,FALSE)</f>
        <v>3018</v>
      </c>
      <c r="AC178" s="5">
        <f>VLOOKUP($A178,'ПР 01-02.21'!$A$11:$BB$406,29,FALSE)+VLOOKUP($A178,'ПР 21-22'!$A$11:$BB$406,29,FALSE)-VLOOKUP($A178,'ПР 01-02.22'!$A$11:$BB$378,29,FALSE)</f>
        <v>0</v>
      </c>
      <c r="AD178" s="5">
        <f>VLOOKUP($A178,'ПР 01-02.21'!$A$11:$BB$406,30,FALSE)+VLOOKUP($A178,'ПР 21-22'!$A$11:$BB$406,30,FALSE)-VLOOKUP($A178,'ПР 01-02.22'!$A$11:$BB$378,30,FALSE)</f>
        <v>4757.99</v>
      </c>
      <c r="AE178" s="5">
        <f>VLOOKUP($A178,'ПР 01-02.21'!$A$11:$BB$406,31,FALSE)+VLOOKUP($A178,'ПР 21-22'!$A$11:$BB$406,31,FALSE)-VLOOKUP($A178,'ПР 01-02.22'!$A$11:$BB$378,31,FALSE)</f>
        <v>3905.1782189303881</v>
      </c>
      <c r="AF178" s="5">
        <f>VLOOKUP($A178,'ПР 01-02.21'!$A$11:$BB$406,32,FALSE)+VLOOKUP($A178,'ПР 21-22'!$A$11:$BB$406,32,FALSE)-VLOOKUP($A178,'ПР 01-02.22'!$A$11:$BB$378,32,FALSE)</f>
        <v>1836.25</v>
      </c>
      <c r="AG178" s="40"/>
      <c r="AH178" s="5">
        <f>VLOOKUP($A178,'ПР 01-02.21'!$A$11:$BB$406,34,FALSE)+VLOOKUP($A178,'ПР 21-22'!$A$11:$BB$406,34,FALSE)-VLOOKUP($A178,'ПР 01-02.22'!$A$11:$BB$378,34,FALSE)</f>
        <v>4164.3315477210381</v>
      </c>
      <c r="AI178" s="5">
        <f>VLOOKUP($A178,'ПР 01-02.21'!$A$11:$BB$406,35,FALSE)+VLOOKUP($A178,'ПР 21-22'!$A$11:$BB$406,35,FALSE)-VLOOKUP($A178,'ПР 01-02.22'!$A$11:$BB$378,35,FALSE)</f>
        <v>2520</v>
      </c>
      <c r="AJ178" s="40"/>
      <c r="AK178" s="5">
        <f>VLOOKUP($A178,'ПР 01-02.21'!$A$11:$BB$406,37,FALSE)+VLOOKUP($A178,'ПР 21-22'!$A$11:$BB$406,37,FALSE)-VLOOKUP($A178,'ПР 01-02.22'!$A$11:$BB$378,37,FALSE)</f>
        <v>2004.5727880287029</v>
      </c>
      <c r="AL178" s="5">
        <f>VLOOKUP($A178,'ПР 01-02.21'!$A$11:$BB$406,38,FALSE)+VLOOKUP($A178,'ПР 21-22'!$A$11:$BB$406,38,FALSE)-VLOOKUP($A178,'ПР 01-02.22'!$A$11:$BB$378,38,FALSE)</f>
        <v>0</v>
      </c>
      <c r="AM178" s="40"/>
      <c r="AN178" s="5">
        <f>VLOOKUP($A178,'ПР 01-02.21'!$A$11:$BB$406,40,FALSE)+VLOOKUP($A178,'ПР 21-22'!$A$11:$BB$406,40,FALSE)-VLOOKUP($A178,'ПР 01-02.22'!$A$11:$BB$378,40,FALSE)</f>
        <v>3282.2733317275388</v>
      </c>
      <c r="AO178" s="5">
        <f>VLOOKUP($A178,'ПР 01-02.21'!$A$11:$BB$406,41,FALSE)+VLOOKUP($A178,'ПР 21-22'!$A$11:$BB$406,41,FALSE)-VLOOKUP($A178,'ПР 01-02.22'!$A$11:$BB$378,41,FALSE)</f>
        <v>440</v>
      </c>
      <c r="AP178" s="40"/>
      <c r="AQ178" s="5">
        <f>VLOOKUP($A178,'ПР 01-02.21'!$A$11:$BB$406,43,FALSE)+VLOOKUP($A178,'ПР 21-22'!$A$11:$BB$406,43,FALSE)-VLOOKUP($A178,'ПР 01-02.22'!$A$11:$BB$378,43,FALSE)</f>
        <v>1362.49771709895</v>
      </c>
      <c r="AR178" s="5">
        <f>VLOOKUP($A178,'ПР 01-02.21'!$A$11:$BB$406,44,FALSE)+VLOOKUP($A178,'ПР 21-22'!$A$11:$BB$406,44,FALSE)-VLOOKUP($A178,'ПР 01-02.22'!$A$11:$BB$378,44,FALSE)</f>
        <v>0</v>
      </c>
      <c r="AS178" s="40"/>
      <c r="AT178" s="5">
        <f>VLOOKUP($A178,'ПР 01-02.21'!$A$11:$BB$406,46,FALSE)+VLOOKUP($A178,'ПР 21-22'!$A$11:$BB$406,46,FALSE)-VLOOKUP($A178,'ПР 01-02.22'!$A$11:$BB$378,46,FALSE)</f>
        <v>1761.8487754307221</v>
      </c>
      <c r="AU178" s="5">
        <f>VLOOKUP($A178,'ПР 01-02.21'!$A$11:$BB$406,47,FALSE)+VLOOKUP($A178,'ПР 21-22'!$A$11:$BB$406,47,FALSE)-VLOOKUP($A178,'ПР 01-02.22'!$A$11:$BB$378,47,FALSE)</f>
        <v>0</v>
      </c>
      <c r="AV178" s="40"/>
      <c r="AW178" s="5">
        <f>VLOOKUP($A178,'ПР 01-02.21'!$A$11:$BB$406,49,FALSE)+VLOOKUP($A178,'ПР 21-22'!$A$11:$BB$406,49,FALSE)-VLOOKUP($A178,'ПР 01-02.22'!$A$11:$BB$378,49,FALSE)</f>
        <v>424.72350849625525</v>
      </c>
      <c r="AX178" s="5">
        <f>VLOOKUP($A178,'ПР 01-02.21'!$A$11:$BB$406,50,FALSE)+VLOOKUP($A178,'ПР 21-22'!$A$11:$BB$406,50,FALSE)-VLOOKUP($A178,'ПР 01-02.22'!$A$11:$BB$378,50,FALSE)</f>
        <v>0</v>
      </c>
      <c r="AY178" s="40"/>
      <c r="AZ178" s="40">
        <f t="shared" si="9"/>
        <v>16905.425887433597</v>
      </c>
      <c r="BA178" s="40">
        <f t="shared" si="9"/>
        <v>4796.25</v>
      </c>
      <c r="BB178" s="55">
        <f t="shared" si="12"/>
        <v>-12109.175887433597</v>
      </c>
      <c r="BD178" s="2">
        <v>1</v>
      </c>
      <c r="BF178" s="325">
        <v>150001025</v>
      </c>
    </row>
    <row r="179" spans="1:58" ht="24.9" customHeight="1" x14ac:dyDescent="0.3">
      <c r="A179" s="325">
        <v>150001026</v>
      </c>
      <c r="B179" s="445" t="s">
        <v>335</v>
      </c>
      <c r="C179" s="27">
        <v>8</v>
      </c>
      <c r="D179" s="101" t="s">
        <v>455</v>
      </c>
      <c r="E179" s="279">
        <f>'побудинковий звіт'!E177</f>
        <v>7052.84</v>
      </c>
      <c r="F179" s="441">
        <f>'побудинковий звіт'!AS177</f>
        <v>103005.75471414241</v>
      </c>
      <c r="G179" s="441">
        <f t="shared" si="10"/>
        <v>44607</v>
      </c>
      <c r="H179" s="73">
        <f t="shared" si="11"/>
        <v>-58398.754714142415</v>
      </c>
      <c r="I179" s="5">
        <f>VLOOKUP($A179,'ПР 01-02.21'!$A$11:$BB$406,9,FALSE)+VLOOKUP($A179,'ПР 21-22'!$A$11:$BB$406,9,FALSE)-VLOOKUP($A179,'ПР 01-02.22'!$A$11:$BB$378,9,FALSE)</f>
        <v>0</v>
      </c>
      <c r="J179" s="5">
        <f>VLOOKUP($A179,'ПР 01-02.21'!$A$11:$BB$406,10,FALSE)+VLOOKUP($A179,'ПР 21-22'!$A$11:$BB$406,10,FALSE)-VLOOKUP($A179,'ПР 01-02.22'!$A$11:$BB$378,10,FALSE)</f>
        <v>0</v>
      </c>
      <c r="K179" s="446"/>
      <c r="L179" s="5">
        <f>VLOOKUP($A179,'ПР 01-02.21'!$A$11:$BB$406,12,FALSE)+VLOOKUP($A179,'ПР 21-22'!$A$11:$BB$406,12,FALSE)-VLOOKUP($A179,'ПР 01-02.22'!$A$11:$BB$378,12,FALSE)</f>
        <v>0</v>
      </c>
      <c r="M179" s="5">
        <f>VLOOKUP($A179,'ПР 01-02.21'!$A$11:$BB$406,13,FALSE)+VLOOKUP($A179,'ПР 21-22'!$A$11:$BB$406,13,FALSE)-VLOOKUP($A179,'ПР 01-02.22'!$A$11:$BB$378,13,FALSE)</f>
        <v>0</v>
      </c>
      <c r="N179" s="38"/>
      <c r="O179" s="5">
        <f>VLOOKUP($A179,'ПР 01-02.21'!$A$11:$BB$406,15,FALSE)+VLOOKUP($A179,'ПР 21-22'!$A$11:$BB$406,15,FALSE)-VLOOKUP($A179,'ПР 01-02.22'!$A$11:$BB$378,15,FALSE)</f>
        <v>0</v>
      </c>
      <c r="P179" s="5">
        <f>VLOOKUP($A179,'ПР 01-02.21'!$A$11:$BB$406,16,FALSE)+VLOOKUP($A179,'ПР 21-22'!$A$11:$BB$406,16,FALSE)-VLOOKUP($A179,'ПР 01-02.22'!$A$11:$BB$378,16,FALSE)</f>
        <v>0</v>
      </c>
      <c r="Q179" s="443"/>
      <c r="R179" s="5">
        <f>VLOOKUP($A179,'ПР 01-02.21'!$A$11:$BB$406,18,FALSE)+VLOOKUP($A179,'ПР 21-22'!$A$11:$BB$406,18,FALSE)-VLOOKUP($A179,'ПР 01-02.22'!$A$11:$BB$378,18,FALSE)</f>
        <v>2</v>
      </c>
      <c r="S179" s="5">
        <f>VLOOKUP($A179,'ПР 01-02.21'!$A$11:$BB$406,19,FALSE)+VLOOKUP($A179,'ПР 21-22'!$A$11:$BB$406,19,FALSE)-VLOOKUP($A179,'ПР 01-02.22'!$A$11:$BB$378,19,FALSE)</f>
        <v>25110</v>
      </c>
      <c r="T179" s="444"/>
      <c r="U179" s="5">
        <f>VLOOKUP($A179,'ПР 01-02.21'!$A$11:$BB$406,21,FALSE)+VLOOKUP($A179,'ПР 21-22'!$A$11:$BB$406,21,FALSE)-VLOOKUP($A179,'ПР 01-02.22'!$A$11:$BB$378,21,FALSE)</f>
        <v>0</v>
      </c>
      <c r="V179" s="5"/>
      <c r="W179" s="5">
        <f>VLOOKUP($A179,'ПР 01-02.21'!$A$11:$BB$406,23,FALSE)+VLOOKUP($A179,'ПР 21-22'!$A$11:$BB$406,23,FALSE)-VLOOKUP($A179,'ПР 01-02.22'!$A$11:$BB$378,23,FALSE)</f>
        <v>0</v>
      </c>
      <c r="X179" s="5">
        <f>VLOOKUP($A179,'ПР 01-02.21'!$A$11:$BB$406,24,FALSE)+VLOOKUP($A179,'ПР 21-22'!$A$11:$BB$406,24,FALSE)-VLOOKUP($A179,'ПР 01-02.22'!$A$11:$BB$378,24,FALSE)</f>
        <v>0</v>
      </c>
      <c r="Y179" s="5">
        <f>VLOOKUP($A179,'ПР 01-02.21'!$A$11:$BB$406,25,FALSE)+VLOOKUP($A179,'ПР 21-22'!$A$11:$BB$406,25,FALSE)-VLOOKUP($A179,'ПР 01-02.22'!$A$11:$BB$378,25,FALSE)</f>
        <v>5805</v>
      </c>
      <c r="Z179" s="5"/>
      <c r="AA179" s="5">
        <f>VLOOKUP($A179,'ПР 01-02.21'!$A$11:$BB$406,27,FALSE)+VLOOKUP($A179,'ПР 21-22'!$A$11:$BB$406,27,FALSE)-VLOOKUP($A179,'ПР 01-02.22'!$A$11:$BB$378,27,FALSE)</f>
        <v>0</v>
      </c>
      <c r="AB179" s="5">
        <f>VLOOKUP($A179,'ПР 01-02.21'!$A$11:$BB$406,28,FALSE)+VLOOKUP($A179,'ПР 21-22'!$A$11:$BB$406,28,FALSE)-VLOOKUP($A179,'ПР 01-02.22'!$A$11:$BB$378,28,FALSE)</f>
        <v>0</v>
      </c>
      <c r="AC179" s="5">
        <f>VLOOKUP($A179,'ПР 01-02.21'!$A$11:$BB$406,29,FALSE)+VLOOKUP($A179,'ПР 21-22'!$A$11:$BB$406,29,FALSE)-VLOOKUP($A179,'ПР 01-02.22'!$A$11:$BB$378,29,FALSE)</f>
        <v>0</v>
      </c>
      <c r="AD179" s="5">
        <f>VLOOKUP($A179,'ПР 01-02.21'!$A$11:$BB$406,30,FALSE)+VLOOKUP($A179,'ПР 21-22'!$A$11:$BB$406,30,FALSE)-VLOOKUP($A179,'ПР 01-02.22'!$A$11:$BB$378,30,FALSE)</f>
        <v>13692</v>
      </c>
      <c r="AE179" s="5">
        <f>VLOOKUP($A179,'ПР 01-02.21'!$A$11:$BB$406,31,FALSE)+VLOOKUP($A179,'ПР 21-22'!$A$11:$BB$406,31,FALSE)-VLOOKUP($A179,'ПР 01-02.22'!$A$11:$BB$378,31,FALSE)</f>
        <v>2191.1067251843638</v>
      </c>
      <c r="AF179" s="5">
        <f>VLOOKUP($A179,'ПР 01-02.21'!$A$11:$BB$406,32,FALSE)+VLOOKUP($A179,'ПР 21-22'!$A$11:$BB$406,32,FALSE)-VLOOKUP($A179,'ПР 01-02.22'!$A$11:$BB$378,32,FALSE)</f>
        <v>409</v>
      </c>
      <c r="AG179" s="40"/>
      <c r="AH179" s="5">
        <f>VLOOKUP($A179,'ПР 01-02.21'!$A$11:$BB$406,34,FALSE)+VLOOKUP($A179,'ПР 21-22'!$A$11:$BB$406,34,FALSE)-VLOOKUP($A179,'ПР 01-02.22'!$A$11:$BB$378,34,FALSE)</f>
        <v>4707.43215010944</v>
      </c>
      <c r="AI179" s="5">
        <f>VLOOKUP($A179,'ПР 01-02.21'!$A$11:$BB$406,35,FALSE)+VLOOKUP($A179,'ПР 21-22'!$A$11:$BB$406,35,FALSE)-VLOOKUP($A179,'ПР 01-02.22'!$A$11:$BB$378,35,FALSE)</f>
        <v>1131</v>
      </c>
      <c r="AJ179" s="40"/>
      <c r="AK179" s="5">
        <f>VLOOKUP($A179,'ПР 01-02.21'!$A$11:$BB$406,37,FALSE)+VLOOKUP($A179,'ПР 21-22'!$A$11:$BB$406,37,FALSE)-VLOOKUP($A179,'ПР 01-02.22'!$A$11:$BB$378,37,FALSE)</f>
        <v>1565.478111814994</v>
      </c>
      <c r="AL179" s="5">
        <f>VLOOKUP($A179,'ПР 01-02.21'!$A$11:$BB$406,38,FALSE)+VLOOKUP($A179,'ПР 21-22'!$A$11:$BB$406,38,FALSE)-VLOOKUP($A179,'ПР 01-02.22'!$A$11:$BB$378,38,FALSE)</f>
        <v>0</v>
      </c>
      <c r="AM179" s="40"/>
      <c r="AN179" s="5">
        <f>VLOOKUP($A179,'ПР 01-02.21'!$A$11:$BB$406,40,FALSE)+VLOOKUP($A179,'ПР 21-22'!$A$11:$BB$406,40,FALSE)-VLOOKUP($A179,'ПР 01-02.22'!$A$11:$BB$378,40,FALSE)</f>
        <v>3998.2256846684763</v>
      </c>
      <c r="AO179" s="5">
        <f>VLOOKUP($A179,'ПР 01-02.21'!$A$11:$BB$406,41,FALSE)+VLOOKUP($A179,'ПР 21-22'!$A$11:$BB$406,41,FALSE)-VLOOKUP($A179,'ПР 01-02.22'!$A$11:$BB$378,41,FALSE)</f>
        <v>0</v>
      </c>
      <c r="AP179" s="40"/>
      <c r="AQ179" s="5">
        <f>VLOOKUP($A179,'ПР 01-02.21'!$A$11:$BB$406,43,FALSE)+VLOOKUP($A179,'ПР 21-22'!$A$11:$BB$406,43,FALSE)-VLOOKUP($A179,'ПР 01-02.22'!$A$11:$BB$378,43,FALSE)</f>
        <v>3415.3841154399311</v>
      </c>
      <c r="AR179" s="5">
        <f>VLOOKUP($A179,'ПР 01-02.21'!$A$11:$BB$406,44,FALSE)+VLOOKUP($A179,'ПР 21-22'!$A$11:$BB$406,44,FALSE)-VLOOKUP($A179,'ПР 01-02.22'!$A$11:$BB$378,44,FALSE)</f>
        <v>0</v>
      </c>
      <c r="AS179" s="40"/>
      <c r="AT179" s="5">
        <f>VLOOKUP($A179,'ПР 01-02.21'!$A$11:$BB$406,46,FALSE)+VLOOKUP($A179,'ПР 21-22'!$A$11:$BB$406,46,FALSE)-VLOOKUP($A179,'ПР 01-02.22'!$A$11:$BB$378,46,FALSE)</f>
        <v>3849.2677073457867</v>
      </c>
      <c r="AU179" s="5">
        <f>VLOOKUP($A179,'ПР 01-02.21'!$A$11:$BB$406,47,FALSE)+VLOOKUP($A179,'ПР 21-22'!$A$11:$BB$406,47,FALSE)-VLOOKUP($A179,'ПР 01-02.22'!$A$11:$BB$378,47,FALSE)</f>
        <v>0</v>
      </c>
      <c r="AV179" s="40"/>
      <c r="AW179" s="5">
        <f>VLOOKUP($A179,'ПР 01-02.21'!$A$11:$BB$406,49,FALSE)+VLOOKUP($A179,'ПР 21-22'!$A$11:$BB$406,49,FALSE)-VLOOKUP($A179,'ПР 01-02.22'!$A$11:$BB$378,49,FALSE)</f>
        <v>980.56148144825215</v>
      </c>
      <c r="AX179" s="5">
        <f>VLOOKUP($A179,'ПР 01-02.21'!$A$11:$BB$406,50,FALSE)+VLOOKUP($A179,'ПР 21-22'!$A$11:$BB$406,50,FALSE)-VLOOKUP($A179,'ПР 01-02.22'!$A$11:$BB$378,50,FALSE)</f>
        <v>0</v>
      </c>
      <c r="AY179" s="40"/>
      <c r="AZ179" s="40">
        <f t="shared" si="9"/>
        <v>20707.455976011239</v>
      </c>
      <c r="BA179" s="40">
        <f t="shared" si="9"/>
        <v>1540</v>
      </c>
      <c r="BB179" s="55">
        <f t="shared" si="12"/>
        <v>-19167.455976011239</v>
      </c>
      <c r="BD179" s="2">
        <v>1</v>
      </c>
      <c r="BF179" s="325">
        <v>150001026</v>
      </c>
    </row>
    <row r="180" spans="1:58" ht="24.9" customHeight="1" x14ac:dyDescent="0.3">
      <c r="A180" s="325">
        <v>150001027</v>
      </c>
      <c r="B180" s="445" t="s">
        <v>368</v>
      </c>
      <c r="C180" s="27">
        <v>9</v>
      </c>
      <c r="D180" s="101" t="s">
        <v>455</v>
      </c>
      <c r="E180" s="279">
        <f>'побудинковий звіт'!E178</f>
        <v>10381.549999999999</v>
      </c>
      <c r="F180" s="441">
        <f>'побудинковий звіт'!AS178</f>
        <v>143093.22533648901</v>
      </c>
      <c r="G180" s="441">
        <f t="shared" si="10"/>
        <v>193116.91</v>
      </c>
      <c r="H180" s="73">
        <f t="shared" si="11"/>
        <v>50023.684663510998</v>
      </c>
      <c r="I180" s="5">
        <f>VLOOKUP($A180,'ПР 01-02.21'!$A$11:$BB$406,9,FALSE)+VLOOKUP($A180,'ПР 21-22'!$A$11:$BB$406,9,FALSE)-VLOOKUP($A180,'ПР 01-02.22'!$A$11:$BB$378,9,FALSE)</f>
        <v>216.6</v>
      </c>
      <c r="J180" s="5">
        <f>VLOOKUP($A180,'ПР 01-02.21'!$A$11:$BB$406,10,FALSE)+VLOOKUP($A180,'ПР 21-22'!$A$11:$BB$406,10,FALSE)-VLOOKUP($A180,'ПР 01-02.22'!$A$11:$BB$378,10,FALSE)</f>
        <v>34053</v>
      </c>
      <c r="K180" s="446"/>
      <c r="L180" s="5">
        <f>VLOOKUP($A180,'ПР 01-02.21'!$A$11:$BB$406,12,FALSE)+VLOOKUP($A180,'ПР 21-22'!$A$11:$BB$406,12,FALSE)-VLOOKUP($A180,'ПР 01-02.22'!$A$11:$BB$378,12,FALSE)</f>
        <v>1</v>
      </c>
      <c r="M180" s="5">
        <f>VLOOKUP($A180,'ПР 01-02.21'!$A$11:$BB$406,13,FALSE)+VLOOKUP($A180,'ПР 21-22'!$A$11:$BB$406,13,FALSE)-VLOOKUP($A180,'ПР 01-02.22'!$A$11:$BB$378,13,FALSE)</f>
        <v>116932</v>
      </c>
      <c r="N180" s="38"/>
      <c r="O180" s="5">
        <f>VLOOKUP($A180,'ПР 01-02.21'!$A$11:$BB$406,15,FALSE)+VLOOKUP($A180,'ПР 21-22'!$A$11:$BB$406,15,FALSE)-VLOOKUP($A180,'ПР 01-02.22'!$A$11:$BB$378,15,FALSE)</f>
        <v>0</v>
      </c>
      <c r="P180" s="5">
        <f>VLOOKUP($A180,'ПР 01-02.21'!$A$11:$BB$406,16,FALSE)+VLOOKUP($A180,'ПР 21-22'!$A$11:$BB$406,16,FALSE)-VLOOKUP($A180,'ПР 01-02.22'!$A$11:$BB$378,16,FALSE)</f>
        <v>0</v>
      </c>
      <c r="Q180" s="443"/>
      <c r="R180" s="5">
        <f>VLOOKUP($A180,'ПР 01-02.21'!$A$11:$BB$406,18,FALSE)+VLOOKUP($A180,'ПР 21-22'!$A$11:$BB$406,18,FALSE)-VLOOKUP($A180,'ПР 01-02.22'!$A$11:$BB$378,18,FALSE)</f>
        <v>4</v>
      </c>
      <c r="S180" s="5">
        <f>VLOOKUP($A180,'ПР 01-02.21'!$A$11:$BB$406,19,FALSE)+VLOOKUP($A180,'ПР 21-22'!$A$11:$BB$406,19,FALSE)-VLOOKUP($A180,'ПР 01-02.22'!$A$11:$BB$378,19,FALSE)</f>
        <v>2507</v>
      </c>
      <c r="T180" s="444"/>
      <c r="U180" s="5">
        <f>VLOOKUP($A180,'ПР 01-02.21'!$A$11:$BB$406,21,FALSE)+VLOOKUP($A180,'ПР 21-22'!$A$11:$BB$406,21,FALSE)-VLOOKUP($A180,'ПР 01-02.22'!$A$11:$BB$378,21,FALSE)</f>
        <v>0</v>
      </c>
      <c r="V180" s="5"/>
      <c r="W180" s="5">
        <f>VLOOKUP($A180,'ПР 01-02.21'!$A$11:$BB$406,23,FALSE)+VLOOKUP($A180,'ПР 21-22'!$A$11:$BB$406,23,FALSE)-VLOOKUP($A180,'ПР 01-02.22'!$A$11:$BB$378,23,FALSE)</f>
        <v>5</v>
      </c>
      <c r="X180" s="5">
        <f>VLOOKUP($A180,'ПР 01-02.21'!$A$11:$BB$406,24,FALSE)+VLOOKUP($A180,'ПР 21-22'!$A$11:$BB$406,24,FALSE)-VLOOKUP($A180,'ПР 01-02.22'!$A$11:$BB$378,24,FALSE)</f>
        <v>416.18</v>
      </c>
      <c r="Y180" s="5">
        <f>VLOOKUP($A180,'ПР 01-02.21'!$A$11:$BB$406,25,FALSE)+VLOOKUP($A180,'ПР 21-22'!$A$11:$BB$406,25,FALSE)-VLOOKUP($A180,'ПР 01-02.22'!$A$11:$BB$378,25,FALSE)</f>
        <v>8812</v>
      </c>
      <c r="Z180" s="5"/>
      <c r="AA180" s="5">
        <f>VLOOKUP($A180,'ПР 01-02.21'!$A$11:$BB$406,27,FALSE)+VLOOKUP($A180,'ПР 21-22'!$A$11:$BB$406,27,FALSE)-VLOOKUP($A180,'ПР 01-02.22'!$A$11:$BB$378,27,FALSE)</f>
        <v>0</v>
      </c>
      <c r="AB180" s="5">
        <f>VLOOKUP($A180,'ПР 01-02.21'!$A$11:$BB$406,28,FALSE)+VLOOKUP($A180,'ПР 21-22'!$A$11:$BB$406,28,FALSE)-VLOOKUP($A180,'ПР 01-02.22'!$A$11:$BB$378,28,FALSE)</f>
        <v>0</v>
      </c>
      <c r="AC180" s="5">
        <f>VLOOKUP($A180,'ПР 01-02.21'!$A$11:$BB$406,29,FALSE)+VLOOKUP($A180,'ПР 21-22'!$A$11:$BB$406,29,FALSE)-VLOOKUP($A180,'ПР 01-02.22'!$A$11:$BB$378,29,FALSE)</f>
        <v>10379</v>
      </c>
      <c r="AD180" s="5">
        <f>VLOOKUP($A180,'ПР 01-02.21'!$A$11:$BB$406,30,FALSE)+VLOOKUP($A180,'ПР 21-22'!$A$11:$BB$406,30,FALSE)-VLOOKUP($A180,'ПР 01-02.22'!$A$11:$BB$378,30,FALSE)</f>
        <v>20017.73</v>
      </c>
      <c r="AE180" s="5">
        <f>VLOOKUP($A180,'ПР 01-02.21'!$A$11:$BB$406,31,FALSE)+VLOOKUP($A180,'ПР 21-22'!$A$11:$BB$406,31,FALSE)-VLOOKUP($A180,'ПР 01-02.22'!$A$11:$BB$378,31,FALSE)</f>
        <v>5112.4141597955877</v>
      </c>
      <c r="AF180" s="5">
        <f>VLOOKUP($A180,'ПР 01-02.21'!$A$11:$BB$406,32,FALSE)+VLOOKUP($A180,'ПР 21-22'!$A$11:$BB$406,32,FALSE)-VLOOKUP($A180,'ПР 01-02.22'!$A$11:$BB$378,32,FALSE)</f>
        <v>3454</v>
      </c>
      <c r="AG180" s="40"/>
      <c r="AH180" s="5">
        <f>VLOOKUP($A180,'ПР 01-02.21'!$A$11:$BB$406,34,FALSE)+VLOOKUP($A180,'ПР 21-22'!$A$11:$BB$406,34,FALSE)-VLOOKUP($A180,'ПР 01-02.22'!$A$11:$BB$378,34,FALSE)</f>
        <v>5833.0239005817321</v>
      </c>
      <c r="AI180" s="5">
        <f>VLOOKUP($A180,'ПР 01-02.21'!$A$11:$BB$406,35,FALSE)+VLOOKUP($A180,'ПР 21-22'!$A$11:$BB$406,35,FALSE)-VLOOKUP($A180,'ПР 01-02.22'!$A$11:$BB$378,35,FALSE)</f>
        <v>21692.14</v>
      </c>
      <c r="AJ180" s="40"/>
      <c r="AK180" s="5">
        <f>VLOOKUP($A180,'ПР 01-02.21'!$A$11:$BB$406,37,FALSE)+VLOOKUP($A180,'ПР 21-22'!$A$11:$BB$406,37,FALSE)-VLOOKUP($A180,'ПР 01-02.22'!$A$11:$BB$378,37,FALSE)</f>
        <v>3146.2141214795529</v>
      </c>
      <c r="AL180" s="5">
        <f>VLOOKUP($A180,'ПР 01-02.21'!$A$11:$BB$406,38,FALSE)+VLOOKUP($A180,'ПР 21-22'!$A$11:$BB$406,38,FALSE)-VLOOKUP($A180,'ПР 01-02.22'!$A$11:$BB$378,38,FALSE)</f>
        <v>3644.52</v>
      </c>
      <c r="AM180" s="40"/>
      <c r="AN180" s="5">
        <f>VLOOKUP($A180,'ПР 01-02.21'!$A$11:$BB$406,40,FALSE)+VLOOKUP($A180,'ПР 21-22'!$A$11:$BB$406,40,FALSE)-VLOOKUP($A180,'ПР 01-02.22'!$A$11:$BB$378,40,FALSE)</f>
        <v>6972.5721476160588</v>
      </c>
      <c r="AO180" s="5">
        <f>VLOOKUP($A180,'ПР 01-02.21'!$A$11:$BB$406,41,FALSE)+VLOOKUP($A180,'ПР 21-22'!$A$11:$BB$406,41,FALSE)-VLOOKUP($A180,'ПР 01-02.22'!$A$11:$BB$378,41,FALSE)</f>
        <v>0</v>
      </c>
      <c r="AP180" s="40"/>
      <c r="AQ180" s="5">
        <f>VLOOKUP($A180,'ПР 01-02.21'!$A$11:$BB$406,43,FALSE)+VLOOKUP($A180,'ПР 21-22'!$A$11:$BB$406,43,FALSE)-VLOOKUP($A180,'ПР 01-02.22'!$A$11:$BB$378,43,FALSE)</f>
        <v>6992.6745771799269</v>
      </c>
      <c r="AR180" s="5">
        <f>VLOOKUP($A180,'ПР 01-02.21'!$A$11:$BB$406,44,FALSE)+VLOOKUP($A180,'ПР 21-22'!$A$11:$BB$406,44,FALSE)-VLOOKUP($A180,'ПР 01-02.22'!$A$11:$BB$378,44,FALSE)</f>
        <v>459</v>
      </c>
      <c r="AS180" s="40"/>
      <c r="AT180" s="5">
        <f>VLOOKUP($A180,'ПР 01-02.21'!$A$11:$BB$406,46,FALSE)+VLOOKUP($A180,'ПР 21-22'!$A$11:$BB$406,46,FALSE)-VLOOKUP($A180,'ПР 01-02.22'!$A$11:$BB$378,46,FALSE)</f>
        <v>6205.0616319811488</v>
      </c>
      <c r="AU180" s="5">
        <f>VLOOKUP($A180,'ПР 01-02.21'!$A$11:$BB$406,47,FALSE)+VLOOKUP($A180,'ПР 21-22'!$A$11:$BB$406,47,FALSE)-VLOOKUP($A180,'ПР 01-02.22'!$A$11:$BB$378,47,FALSE)</f>
        <v>1024</v>
      </c>
      <c r="AV180" s="40"/>
      <c r="AW180" s="5">
        <f>VLOOKUP($A180,'ПР 01-02.21'!$A$11:$BB$406,49,FALSE)+VLOOKUP($A180,'ПР 21-22'!$A$11:$BB$406,49,FALSE)-VLOOKUP($A180,'ПР 01-02.22'!$A$11:$BB$378,49,FALSE)</f>
        <v>668.08006790152342</v>
      </c>
      <c r="AX180" s="5">
        <f>VLOOKUP($A180,'ПР 01-02.21'!$A$11:$BB$406,50,FALSE)+VLOOKUP($A180,'ПР 21-22'!$A$11:$BB$406,50,FALSE)-VLOOKUP($A180,'ПР 01-02.22'!$A$11:$BB$378,50,FALSE)</f>
        <v>0</v>
      </c>
      <c r="AY180" s="40"/>
      <c r="AZ180" s="40">
        <f t="shared" si="9"/>
        <v>34930.040606535535</v>
      </c>
      <c r="BA180" s="40">
        <f t="shared" si="9"/>
        <v>30273.66</v>
      </c>
      <c r="BB180" s="55">
        <f t="shared" si="12"/>
        <v>-4656.3806065355348</v>
      </c>
      <c r="BD180" s="2">
        <v>1</v>
      </c>
      <c r="BF180" s="325">
        <v>150001027</v>
      </c>
    </row>
    <row r="181" spans="1:58" ht="24.9" customHeight="1" x14ac:dyDescent="0.3">
      <c r="A181" s="325">
        <v>150001028</v>
      </c>
      <c r="B181" s="445" t="s">
        <v>102</v>
      </c>
      <c r="C181" s="27">
        <v>1</v>
      </c>
      <c r="D181" s="101" t="s">
        <v>455</v>
      </c>
      <c r="E181" s="279">
        <f>'побудинковий звіт'!E179</f>
        <v>110.7</v>
      </c>
      <c r="F181" s="441">
        <f>'побудинковий звіт'!AS179</f>
        <v>1760.4573381745629</v>
      </c>
      <c r="G181" s="441">
        <f t="shared" si="10"/>
        <v>2298</v>
      </c>
      <c r="H181" s="73">
        <f t="shared" si="11"/>
        <v>537.54266182543711</v>
      </c>
      <c r="I181" s="5">
        <f>VLOOKUP($A181,'ПР 01-02.21'!$A$11:$BB$406,9,FALSE)+VLOOKUP($A181,'ПР 21-22'!$A$11:$BB$406,9,FALSE)-VLOOKUP($A181,'ПР 01-02.22'!$A$11:$BB$378,9,FALSE)</f>
        <v>0</v>
      </c>
      <c r="J181" s="5">
        <f>VLOOKUP($A181,'ПР 01-02.21'!$A$11:$BB$406,10,FALSE)+VLOOKUP($A181,'ПР 21-22'!$A$11:$BB$406,10,FALSE)-VLOOKUP($A181,'ПР 01-02.22'!$A$11:$BB$378,10,FALSE)</f>
        <v>0</v>
      </c>
      <c r="K181" s="446"/>
      <c r="L181" s="5">
        <f>VLOOKUP($A181,'ПР 01-02.21'!$A$11:$BB$406,12,FALSE)+VLOOKUP($A181,'ПР 21-22'!$A$11:$BB$406,12,FALSE)-VLOOKUP($A181,'ПР 01-02.22'!$A$11:$BB$378,12,FALSE)</f>
        <v>0</v>
      </c>
      <c r="M181" s="5">
        <f>VLOOKUP($A181,'ПР 01-02.21'!$A$11:$BB$406,13,FALSE)+VLOOKUP($A181,'ПР 21-22'!$A$11:$BB$406,13,FALSE)-VLOOKUP($A181,'ПР 01-02.22'!$A$11:$BB$378,13,FALSE)</f>
        <v>0</v>
      </c>
      <c r="N181" s="38"/>
      <c r="O181" s="5">
        <f>VLOOKUP($A181,'ПР 01-02.21'!$A$11:$BB$406,15,FALSE)+VLOOKUP($A181,'ПР 21-22'!$A$11:$BB$406,15,FALSE)-VLOOKUP($A181,'ПР 01-02.22'!$A$11:$BB$378,15,FALSE)</f>
        <v>0</v>
      </c>
      <c r="P181" s="5">
        <f>VLOOKUP($A181,'ПР 01-02.21'!$A$11:$BB$406,16,FALSE)+VLOOKUP($A181,'ПР 21-22'!$A$11:$BB$406,16,FALSE)-VLOOKUP($A181,'ПР 01-02.22'!$A$11:$BB$378,16,FALSE)</f>
        <v>0</v>
      </c>
      <c r="Q181" s="443"/>
      <c r="R181" s="5">
        <f>VLOOKUP($A181,'ПР 01-02.21'!$A$11:$BB$406,18,FALSE)+VLOOKUP($A181,'ПР 21-22'!$A$11:$BB$406,18,FALSE)-VLOOKUP($A181,'ПР 01-02.22'!$A$11:$BB$378,18,FALSE)</f>
        <v>0</v>
      </c>
      <c r="S181" s="5">
        <f>VLOOKUP($A181,'ПР 01-02.21'!$A$11:$BB$406,19,FALSE)+VLOOKUP($A181,'ПР 21-22'!$A$11:$BB$406,19,FALSE)-VLOOKUP($A181,'ПР 01-02.22'!$A$11:$BB$378,19,FALSE)</f>
        <v>0</v>
      </c>
      <c r="T181" s="444"/>
      <c r="U181" s="5">
        <f>VLOOKUP($A181,'ПР 01-02.21'!$A$11:$BB$406,21,FALSE)+VLOOKUP($A181,'ПР 21-22'!$A$11:$BB$406,21,FALSE)-VLOOKUP($A181,'ПР 01-02.22'!$A$11:$BB$378,21,FALSE)</f>
        <v>0</v>
      </c>
      <c r="V181" s="5"/>
      <c r="W181" s="5">
        <f>VLOOKUP($A181,'ПР 01-02.21'!$A$11:$BB$406,23,FALSE)+VLOOKUP($A181,'ПР 21-22'!$A$11:$BB$406,23,FALSE)-VLOOKUP($A181,'ПР 01-02.22'!$A$11:$BB$378,23,FALSE)</f>
        <v>0</v>
      </c>
      <c r="X181" s="5">
        <f>VLOOKUP($A181,'ПР 01-02.21'!$A$11:$BB$406,24,FALSE)+VLOOKUP($A181,'ПР 21-22'!$A$11:$BB$406,24,FALSE)-VLOOKUP($A181,'ПР 01-02.22'!$A$11:$BB$378,24,FALSE)</f>
        <v>0</v>
      </c>
      <c r="Y181" s="5">
        <f>VLOOKUP($A181,'ПР 01-02.21'!$A$11:$BB$406,25,FALSE)+VLOOKUP($A181,'ПР 21-22'!$A$11:$BB$406,25,FALSE)-VLOOKUP($A181,'ПР 01-02.22'!$A$11:$BB$378,25,FALSE)</f>
        <v>0</v>
      </c>
      <c r="Z181" s="5"/>
      <c r="AA181" s="5">
        <f>VLOOKUP($A181,'ПР 01-02.21'!$A$11:$BB$406,27,FALSE)+VLOOKUP($A181,'ПР 21-22'!$A$11:$BB$406,27,FALSE)-VLOOKUP($A181,'ПР 01-02.22'!$A$11:$BB$378,27,FALSE)</f>
        <v>0</v>
      </c>
      <c r="AB181" s="5">
        <f>VLOOKUP($A181,'ПР 01-02.21'!$A$11:$BB$406,28,FALSE)+VLOOKUP($A181,'ПР 21-22'!$A$11:$BB$406,28,FALSE)-VLOOKUP($A181,'ПР 01-02.22'!$A$11:$BB$378,28,FALSE)</f>
        <v>0</v>
      </c>
      <c r="AC181" s="5">
        <f>VLOOKUP($A181,'ПР 01-02.21'!$A$11:$BB$406,29,FALSE)+VLOOKUP($A181,'ПР 21-22'!$A$11:$BB$406,29,FALSE)-VLOOKUP($A181,'ПР 01-02.22'!$A$11:$BB$378,29,FALSE)</f>
        <v>0</v>
      </c>
      <c r="AD181" s="5">
        <f>VLOOKUP($A181,'ПР 01-02.21'!$A$11:$BB$406,30,FALSE)+VLOOKUP($A181,'ПР 21-22'!$A$11:$BB$406,30,FALSE)-VLOOKUP($A181,'ПР 01-02.22'!$A$11:$BB$378,30,FALSE)</f>
        <v>2298</v>
      </c>
      <c r="AE181" s="5">
        <f>VLOOKUP($A181,'ПР 01-02.21'!$A$11:$BB$406,31,FALSE)+VLOOKUP($A181,'ПР 21-22'!$A$11:$BB$406,31,FALSE)-VLOOKUP($A181,'ПР 01-02.22'!$A$11:$BB$378,31,FALSE)</f>
        <v>0</v>
      </c>
      <c r="AF181" s="5">
        <f>VLOOKUP($A181,'ПР 01-02.21'!$A$11:$BB$406,32,FALSE)+VLOOKUP($A181,'ПР 21-22'!$A$11:$BB$406,32,FALSE)-VLOOKUP($A181,'ПР 01-02.22'!$A$11:$BB$378,32,FALSE)</f>
        <v>0</v>
      </c>
      <c r="AG181" s="40"/>
      <c r="AH181" s="5">
        <f>VLOOKUP($A181,'ПР 01-02.21'!$A$11:$BB$406,34,FALSE)+VLOOKUP($A181,'ПР 21-22'!$A$11:$BB$406,34,FALSE)-VLOOKUP($A181,'ПР 01-02.22'!$A$11:$BB$378,34,FALSE)</f>
        <v>0</v>
      </c>
      <c r="AI181" s="5">
        <f>VLOOKUP($A181,'ПР 01-02.21'!$A$11:$BB$406,35,FALSE)+VLOOKUP($A181,'ПР 21-22'!$A$11:$BB$406,35,FALSE)-VLOOKUP($A181,'ПР 01-02.22'!$A$11:$BB$378,35,FALSE)</f>
        <v>0</v>
      </c>
      <c r="AJ181" s="40"/>
      <c r="AK181" s="5">
        <f>VLOOKUP($A181,'ПР 01-02.21'!$A$11:$BB$406,37,FALSE)+VLOOKUP($A181,'ПР 21-22'!$A$11:$BB$406,37,FALSE)-VLOOKUP($A181,'ПР 01-02.22'!$A$11:$BB$378,37,FALSE)</f>
        <v>0</v>
      </c>
      <c r="AL181" s="5">
        <f>VLOOKUP($A181,'ПР 01-02.21'!$A$11:$BB$406,38,FALSE)+VLOOKUP($A181,'ПР 21-22'!$A$11:$BB$406,38,FALSE)-VLOOKUP($A181,'ПР 01-02.22'!$A$11:$BB$378,38,FALSE)</f>
        <v>0</v>
      </c>
      <c r="AM181" s="40"/>
      <c r="AN181" s="5">
        <f>VLOOKUP($A181,'ПР 01-02.21'!$A$11:$BB$406,40,FALSE)+VLOOKUP($A181,'ПР 21-22'!$A$11:$BB$406,40,FALSE)-VLOOKUP($A181,'ПР 01-02.22'!$A$11:$BB$378,40,FALSE)</f>
        <v>0</v>
      </c>
      <c r="AO181" s="5">
        <f>VLOOKUP($A181,'ПР 01-02.21'!$A$11:$BB$406,41,FALSE)+VLOOKUP($A181,'ПР 21-22'!$A$11:$BB$406,41,FALSE)-VLOOKUP($A181,'ПР 01-02.22'!$A$11:$BB$378,41,FALSE)</f>
        <v>0</v>
      </c>
      <c r="AP181" s="40"/>
      <c r="AQ181" s="5">
        <f>VLOOKUP($A181,'ПР 01-02.21'!$A$11:$BB$406,43,FALSE)+VLOOKUP($A181,'ПР 21-22'!$A$11:$BB$406,43,FALSE)-VLOOKUP($A181,'ПР 01-02.22'!$A$11:$BB$378,43,FALSE)</f>
        <v>0</v>
      </c>
      <c r="AR181" s="5">
        <f>VLOOKUP($A181,'ПР 01-02.21'!$A$11:$BB$406,44,FALSE)+VLOOKUP($A181,'ПР 21-22'!$A$11:$BB$406,44,FALSE)-VLOOKUP($A181,'ПР 01-02.22'!$A$11:$BB$378,44,FALSE)</f>
        <v>0</v>
      </c>
      <c r="AS181" s="40"/>
      <c r="AT181" s="5">
        <f>VLOOKUP($A181,'ПР 01-02.21'!$A$11:$BB$406,46,FALSE)+VLOOKUP($A181,'ПР 21-22'!$A$11:$BB$406,46,FALSE)-VLOOKUP($A181,'ПР 01-02.22'!$A$11:$BB$378,46,FALSE)</f>
        <v>0</v>
      </c>
      <c r="AU181" s="5">
        <f>VLOOKUP($A181,'ПР 01-02.21'!$A$11:$BB$406,47,FALSE)+VLOOKUP($A181,'ПР 21-22'!$A$11:$BB$406,47,FALSE)-VLOOKUP($A181,'ПР 01-02.22'!$A$11:$BB$378,47,FALSE)</f>
        <v>0</v>
      </c>
      <c r="AV181" s="40"/>
      <c r="AW181" s="5">
        <f>VLOOKUP($A181,'ПР 01-02.21'!$A$11:$BB$406,49,FALSE)+VLOOKUP($A181,'ПР 21-22'!$A$11:$BB$406,49,FALSE)-VLOOKUP($A181,'ПР 01-02.22'!$A$11:$BB$378,49,FALSE)</f>
        <v>11.668673052409163</v>
      </c>
      <c r="AX181" s="5">
        <f>VLOOKUP($A181,'ПР 01-02.21'!$A$11:$BB$406,50,FALSE)+VLOOKUP($A181,'ПР 21-22'!$A$11:$BB$406,50,FALSE)-VLOOKUP($A181,'ПР 01-02.22'!$A$11:$BB$378,50,FALSE)</f>
        <v>0</v>
      </c>
      <c r="AY181" s="40"/>
      <c r="AZ181" s="40">
        <f t="shared" si="9"/>
        <v>11.668673052409163</v>
      </c>
      <c r="BA181" s="40">
        <f t="shared" si="9"/>
        <v>0</v>
      </c>
      <c r="BB181" s="55">
        <f t="shared" si="12"/>
        <v>-11.668673052409163</v>
      </c>
      <c r="BD181" s="2">
        <v>1</v>
      </c>
      <c r="BF181" s="325">
        <v>150001028</v>
      </c>
    </row>
    <row r="182" spans="1:58" ht="24.9" customHeight="1" x14ac:dyDescent="0.3">
      <c r="A182" s="325">
        <v>150001036</v>
      </c>
      <c r="B182" s="445" t="s">
        <v>103</v>
      </c>
      <c r="C182" s="27">
        <v>1</v>
      </c>
      <c r="D182" s="101" t="s">
        <v>455</v>
      </c>
      <c r="E182" s="279">
        <f>'побудинковий звіт'!E180</f>
        <v>211.4</v>
      </c>
      <c r="F182" s="441">
        <f>'побудинковий звіт'!AS180</f>
        <v>2336.7023472109331</v>
      </c>
      <c r="G182" s="441">
        <f t="shared" si="10"/>
        <v>0</v>
      </c>
      <c r="H182" s="73">
        <f t="shared" si="11"/>
        <v>-2336.7023472109331</v>
      </c>
      <c r="I182" s="5">
        <f>VLOOKUP($A182,'ПР 01-02.21'!$A$11:$BB$406,9,FALSE)+VLOOKUP($A182,'ПР 21-22'!$A$11:$BB$406,9,FALSE)-VLOOKUP($A182,'ПР 01-02.22'!$A$11:$BB$378,9,FALSE)</f>
        <v>0</v>
      </c>
      <c r="J182" s="5">
        <f>VLOOKUP($A182,'ПР 01-02.21'!$A$11:$BB$406,10,FALSE)+VLOOKUP($A182,'ПР 21-22'!$A$11:$BB$406,10,FALSE)-VLOOKUP($A182,'ПР 01-02.22'!$A$11:$BB$378,10,FALSE)</f>
        <v>0</v>
      </c>
      <c r="K182" s="446"/>
      <c r="L182" s="5">
        <f>VLOOKUP($A182,'ПР 01-02.21'!$A$11:$BB$406,12,FALSE)+VLOOKUP($A182,'ПР 21-22'!$A$11:$BB$406,12,FALSE)-VLOOKUP($A182,'ПР 01-02.22'!$A$11:$BB$378,12,FALSE)</f>
        <v>0</v>
      </c>
      <c r="M182" s="5">
        <f>VLOOKUP($A182,'ПР 01-02.21'!$A$11:$BB$406,13,FALSE)+VLOOKUP($A182,'ПР 21-22'!$A$11:$BB$406,13,FALSE)-VLOOKUP($A182,'ПР 01-02.22'!$A$11:$BB$378,13,FALSE)</f>
        <v>0</v>
      </c>
      <c r="N182" s="38"/>
      <c r="O182" s="5">
        <f>VLOOKUP($A182,'ПР 01-02.21'!$A$11:$BB$406,15,FALSE)+VLOOKUP($A182,'ПР 21-22'!$A$11:$BB$406,15,FALSE)-VLOOKUP($A182,'ПР 01-02.22'!$A$11:$BB$378,15,FALSE)</f>
        <v>0</v>
      </c>
      <c r="P182" s="5">
        <f>VLOOKUP($A182,'ПР 01-02.21'!$A$11:$BB$406,16,FALSE)+VLOOKUP($A182,'ПР 21-22'!$A$11:$BB$406,16,FALSE)-VLOOKUP($A182,'ПР 01-02.22'!$A$11:$BB$378,16,FALSE)</f>
        <v>0</v>
      </c>
      <c r="Q182" s="443"/>
      <c r="R182" s="5">
        <f>VLOOKUP($A182,'ПР 01-02.21'!$A$11:$BB$406,18,FALSE)+VLOOKUP($A182,'ПР 21-22'!$A$11:$BB$406,18,FALSE)-VLOOKUP($A182,'ПР 01-02.22'!$A$11:$BB$378,18,FALSE)</f>
        <v>0</v>
      </c>
      <c r="S182" s="5">
        <f>VLOOKUP($A182,'ПР 01-02.21'!$A$11:$BB$406,19,FALSE)+VLOOKUP($A182,'ПР 21-22'!$A$11:$BB$406,19,FALSE)-VLOOKUP($A182,'ПР 01-02.22'!$A$11:$BB$378,19,FALSE)</f>
        <v>0</v>
      </c>
      <c r="T182" s="444"/>
      <c r="U182" s="5">
        <f>VLOOKUP($A182,'ПР 01-02.21'!$A$11:$BB$406,21,FALSE)+VLOOKUP($A182,'ПР 21-22'!$A$11:$BB$406,21,FALSE)-VLOOKUP($A182,'ПР 01-02.22'!$A$11:$BB$378,21,FALSE)</f>
        <v>0</v>
      </c>
      <c r="V182" s="5"/>
      <c r="W182" s="5">
        <f>VLOOKUP($A182,'ПР 01-02.21'!$A$11:$BB$406,23,FALSE)+VLOOKUP($A182,'ПР 21-22'!$A$11:$BB$406,23,FALSE)-VLOOKUP($A182,'ПР 01-02.22'!$A$11:$BB$378,23,FALSE)</f>
        <v>0</v>
      </c>
      <c r="X182" s="5">
        <f>VLOOKUP($A182,'ПР 01-02.21'!$A$11:$BB$406,24,FALSE)+VLOOKUP($A182,'ПР 21-22'!$A$11:$BB$406,24,FALSE)-VLOOKUP($A182,'ПР 01-02.22'!$A$11:$BB$378,24,FALSE)</f>
        <v>0</v>
      </c>
      <c r="Y182" s="5">
        <f>VLOOKUP($A182,'ПР 01-02.21'!$A$11:$BB$406,25,FALSE)+VLOOKUP($A182,'ПР 21-22'!$A$11:$BB$406,25,FALSE)-VLOOKUP($A182,'ПР 01-02.22'!$A$11:$BB$378,25,FALSE)</f>
        <v>0</v>
      </c>
      <c r="Z182" s="5"/>
      <c r="AA182" s="5">
        <f>VLOOKUP($A182,'ПР 01-02.21'!$A$11:$BB$406,27,FALSE)+VLOOKUP($A182,'ПР 21-22'!$A$11:$BB$406,27,FALSE)-VLOOKUP($A182,'ПР 01-02.22'!$A$11:$BB$378,27,FALSE)</f>
        <v>0</v>
      </c>
      <c r="AB182" s="5">
        <f>VLOOKUP($A182,'ПР 01-02.21'!$A$11:$BB$406,28,FALSE)+VLOOKUP($A182,'ПР 21-22'!$A$11:$BB$406,28,FALSE)-VLOOKUP($A182,'ПР 01-02.22'!$A$11:$BB$378,28,FALSE)</f>
        <v>0</v>
      </c>
      <c r="AC182" s="5">
        <f>VLOOKUP($A182,'ПР 01-02.21'!$A$11:$BB$406,29,FALSE)+VLOOKUP($A182,'ПР 21-22'!$A$11:$BB$406,29,FALSE)-VLOOKUP($A182,'ПР 01-02.22'!$A$11:$BB$378,29,FALSE)</f>
        <v>0</v>
      </c>
      <c r="AD182" s="5">
        <f>VLOOKUP($A182,'ПР 01-02.21'!$A$11:$BB$406,30,FALSE)+VLOOKUP($A182,'ПР 21-22'!$A$11:$BB$406,30,FALSE)-VLOOKUP($A182,'ПР 01-02.22'!$A$11:$BB$378,30,FALSE)</f>
        <v>0</v>
      </c>
      <c r="AE182" s="5">
        <f>VLOOKUP($A182,'ПР 01-02.21'!$A$11:$BB$406,31,FALSE)+VLOOKUP($A182,'ПР 21-22'!$A$11:$BB$406,31,FALSE)-VLOOKUP($A182,'ПР 01-02.22'!$A$11:$BB$378,31,FALSE)</f>
        <v>0</v>
      </c>
      <c r="AF182" s="5">
        <f>VLOOKUP($A182,'ПР 01-02.21'!$A$11:$BB$406,32,FALSE)+VLOOKUP($A182,'ПР 21-22'!$A$11:$BB$406,32,FALSE)-VLOOKUP($A182,'ПР 01-02.22'!$A$11:$BB$378,32,FALSE)</f>
        <v>0</v>
      </c>
      <c r="AG182" s="40"/>
      <c r="AH182" s="5">
        <f>VLOOKUP($A182,'ПР 01-02.21'!$A$11:$BB$406,34,FALSE)+VLOOKUP($A182,'ПР 21-22'!$A$11:$BB$406,34,FALSE)-VLOOKUP($A182,'ПР 01-02.22'!$A$11:$BB$378,34,FALSE)</f>
        <v>0</v>
      </c>
      <c r="AI182" s="5">
        <f>VLOOKUP($A182,'ПР 01-02.21'!$A$11:$BB$406,35,FALSE)+VLOOKUP($A182,'ПР 21-22'!$A$11:$BB$406,35,FALSE)-VLOOKUP($A182,'ПР 01-02.22'!$A$11:$BB$378,35,FALSE)</f>
        <v>0</v>
      </c>
      <c r="AJ182" s="40"/>
      <c r="AK182" s="5">
        <f>VLOOKUP($A182,'ПР 01-02.21'!$A$11:$BB$406,37,FALSE)+VLOOKUP($A182,'ПР 21-22'!$A$11:$BB$406,37,FALSE)-VLOOKUP($A182,'ПР 01-02.22'!$A$11:$BB$378,37,FALSE)</f>
        <v>0</v>
      </c>
      <c r="AL182" s="5">
        <f>VLOOKUP($A182,'ПР 01-02.21'!$A$11:$BB$406,38,FALSE)+VLOOKUP($A182,'ПР 21-22'!$A$11:$BB$406,38,FALSE)-VLOOKUP($A182,'ПР 01-02.22'!$A$11:$BB$378,38,FALSE)</f>
        <v>0</v>
      </c>
      <c r="AM182" s="40"/>
      <c r="AN182" s="5">
        <f>VLOOKUP($A182,'ПР 01-02.21'!$A$11:$BB$406,40,FALSE)+VLOOKUP($A182,'ПР 21-22'!$A$11:$BB$406,40,FALSE)-VLOOKUP($A182,'ПР 01-02.22'!$A$11:$BB$378,40,FALSE)</f>
        <v>0</v>
      </c>
      <c r="AO182" s="5">
        <f>VLOOKUP($A182,'ПР 01-02.21'!$A$11:$BB$406,41,FALSE)+VLOOKUP($A182,'ПР 21-22'!$A$11:$BB$406,41,FALSE)-VLOOKUP($A182,'ПР 01-02.22'!$A$11:$BB$378,41,FALSE)</f>
        <v>0</v>
      </c>
      <c r="AP182" s="40"/>
      <c r="AQ182" s="5">
        <f>VLOOKUP($A182,'ПР 01-02.21'!$A$11:$BB$406,43,FALSE)+VLOOKUP($A182,'ПР 21-22'!$A$11:$BB$406,43,FALSE)-VLOOKUP($A182,'ПР 01-02.22'!$A$11:$BB$378,43,FALSE)</f>
        <v>0</v>
      </c>
      <c r="AR182" s="5">
        <f>VLOOKUP($A182,'ПР 01-02.21'!$A$11:$BB$406,44,FALSE)+VLOOKUP($A182,'ПР 21-22'!$A$11:$BB$406,44,FALSE)-VLOOKUP($A182,'ПР 01-02.22'!$A$11:$BB$378,44,FALSE)</f>
        <v>0</v>
      </c>
      <c r="AS182" s="40"/>
      <c r="AT182" s="5">
        <f>VLOOKUP($A182,'ПР 01-02.21'!$A$11:$BB$406,46,FALSE)+VLOOKUP($A182,'ПР 21-22'!$A$11:$BB$406,46,FALSE)-VLOOKUP($A182,'ПР 01-02.22'!$A$11:$BB$378,46,FALSE)</f>
        <v>0</v>
      </c>
      <c r="AU182" s="5">
        <f>VLOOKUP($A182,'ПР 01-02.21'!$A$11:$BB$406,47,FALSE)+VLOOKUP($A182,'ПР 21-22'!$A$11:$BB$406,47,FALSE)-VLOOKUP($A182,'ПР 01-02.22'!$A$11:$BB$378,47,FALSE)</f>
        <v>0</v>
      </c>
      <c r="AV182" s="40"/>
      <c r="AW182" s="5">
        <f>VLOOKUP($A182,'ПР 01-02.21'!$A$11:$BB$406,49,FALSE)+VLOOKUP($A182,'ПР 21-22'!$A$11:$BB$406,49,FALSE)-VLOOKUP($A182,'ПР 01-02.22'!$A$11:$BB$378,49,FALSE)</f>
        <v>13.081606171587595</v>
      </c>
      <c r="AX182" s="5">
        <f>VLOOKUP($A182,'ПР 01-02.21'!$A$11:$BB$406,50,FALSE)+VLOOKUP($A182,'ПР 21-22'!$A$11:$BB$406,50,FALSE)-VLOOKUP($A182,'ПР 01-02.22'!$A$11:$BB$378,50,FALSE)</f>
        <v>0</v>
      </c>
      <c r="AY182" s="40"/>
      <c r="AZ182" s="40">
        <f t="shared" si="9"/>
        <v>13.081606171587595</v>
      </c>
      <c r="BA182" s="40">
        <f t="shared" si="9"/>
        <v>0</v>
      </c>
      <c r="BB182" s="55">
        <f t="shared" si="12"/>
        <v>-13.081606171587595</v>
      </c>
      <c r="BD182" s="2">
        <v>1</v>
      </c>
      <c r="BF182" s="325">
        <v>150001036</v>
      </c>
    </row>
    <row r="183" spans="1:58" ht="24.9" customHeight="1" x14ac:dyDescent="0.3">
      <c r="A183" s="325">
        <v>150001029</v>
      </c>
      <c r="B183" s="445" t="s">
        <v>369</v>
      </c>
      <c r="C183" s="27">
        <v>9</v>
      </c>
      <c r="D183" s="101" t="s">
        <v>455</v>
      </c>
      <c r="E183" s="279">
        <f>'побудинковий звіт'!E181</f>
        <v>7425.1</v>
      </c>
      <c r="F183" s="441">
        <f>'побудинковий звіт'!AS181</f>
        <v>98662.01556123278</v>
      </c>
      <c r="G183" s="441">
        <f t="shared" si="10"/>
        <v>102619.54</v>
      </c>
      <c r="H183" s="73">
        <f t="shared" si="11"/>
        <v>3957.5244387672137</v>
      </c>
      <c r="I183" s="5">
        <f>VLOOKUP($A183,'ПР 01-02.21'!$A$11:$BB$406,9,FALSE)+VLOOKUP($A183,'ПР 21-22'!$A$11:$BB$406,9,FALSE)-VLOOKUP($A183,'ПР 01-02.22'!$A$11:$BB$378,9,FALSE)</f>
        <v>44.8</v>
      </c>
      <c r="J183" s="5">
        <f>VLOOKUP($A183,'ПР 01-02.21'!$A$11:$BB$406,10,FALSE)+VLOOKUP($A183,'ПР 21-22'!$A$11:$BB$406,10,FALSE)-VLOOKUP($A183,'ПР 01-02.22'!$A$11:$BB$378,10,FALSE)</f>
        <v>8162</v>
      </c>
      <c r="K183" s="446"/>
      <c r="L183" s="5">
        <f>VLOOKUP($A183,'ПР 01-02.21'!$A$11:$BB$406,12,FALSE)+VLOOKUP($A183,'ПР 21-22'!$A$11:$BB$406,12,FALSE)-VLOOKUP($A183,'ПР 01-02.22'!$A$11:$BB$378,12,FALSE)</f>
        <v>0</v>
      </c>
      <c r="M183" s="5">
        <f>VLOOKUP($A183,'ПР 01-02.21'!$A$11:$BB$406,13,FALSE)+VLOOKUP($A183,'ПР 21-22'!$A$11:$BB$406,13,FALSE)-VLOOKUP($A183,'ПР 01-02.22'!$A$11:$BB$378,13,FALSE)</f>
        <v>253</v>
      </c>
      <c r="N183" s="38"/>
      <c r="O183" s="5">
        <f>VLOOKUP($A183,'ПР 01-02.21'!$A$11:$BB$406,15,FALSE)+VLOOKUP($A183,'ПР 21-22'!$A$11:$BB$406,15,FALSE)-VLOOKUP($A183,'ПР 01-02.22'!$A$11:$BB$378,15,FALSE)</f>
        <v>100</v>
      </c>
      <c r="P183" s="5">
        <f>VLOOKUP($A183,'ПР 01-02.21'!$A$11:$BB$406,16,FALSE)+VLOOKUP($A183,'ПР 21-22'!$A$11:$BB$406,16,FALSE)-VLOOKUP($A183,'ПР 01-02.22'!$A$11:$BB$378,16,FALSE)</f>
        <v>24302</v>
      </c>
      <c r="Q183" s="443"/>
      <c r="R183" s="5">
        <f>VLOOKUP($A183,'ПР 01-02.21'!$A$11:$BB$406,18,FALSE)+VLOOKUP($A183,'ПР 21-22'!$A$11:$BB$406,18,FALSE)-VLOOKUP($A183,'ПР 01-02.22'!$A$11:$BB$378,18,FALSE)</f>
        <v>2</v>
      </c>
      <c r="S183" s="5">
        <f>VLOOKUP($A183,'ПР 01-02.21'!$A$11:$BB$406,19,FALSE)+VLOOKUP($A183,'ПР 21-22'!$A$11:$BB$406,19,FALSE)-VLOOKUP($A183,'ПР 01-02.22'!$A$11:$BB$378,19,FALSE)</f>
        <v>25261</v>
      </c>
      <c r="T183" s="444"/>
      <c r="U183" s="5">
        <f>VLOOKUP($A183,'ПР 01-02.21'!$A$11:$BB$406,21,FALSE)+VLOOKUP($A183,'ПР 21-22'!$A$11:$BB$406,21,FALSE)-VLOOKUP($A183,'ПР 01-02.22'!$A$11:$BB$378,21,FALSE)</f>
        <v>0</v>
      </c>
      <c r="V183" s="5"/>
      <c r="W183" s="5">
        <f>VLOOKUP($A183,'ПР 01-02.21'!$A$11:$BB$406,23,FALSE)+VLOOKUP($A183,'ПР 21-22'!$A$11:$BB$406,23,FALSE)-VLOOKUP($A183,'ПР 01-02.22'!$A$11:$BB$378,23,FALSE)</f>
        <v>0</v>
      </c>
      <c r="X183" s="5">
        <f>VLOOKUP($A183,'ПР 01-02.21'!$A$11:$BB$406,24,FALSE)+VLOOKUP($A183,'ПР 21-22'!$A$11:$BB$406,24,FALSE)-VLOOKUP($A183,'ПР 01-02.22'!$A$11:$BB$378,24,FALSE)</f>
        <v>0</v>
      </c>
      <c r="Y183" s="5">
        <f>VLOOKUP($A183,'ПР 01-02.21'!$A$11:$BB$406,25,FALSE)+VLOOKUP($A183,'ПР 21-22'!$A$11:$BB$406,25,FALSE)-VLOOKUP($A183,'ПР 01-02.22'!$A$11:$BB$378,25,FALSE)</f>
        <v>3022.21</v>
      </c>
      <c r="Z183" s="5"/>
      <c r="AA183" s="5">
        <f>VLOOKUP($A183,'ПР 01-02.21'!$A$11:$BB$406,27,FALSE)+VLOOKUP($A183,'ПР 21-22'!$A$11:$BB$406,27,FALSE)-VLOOKUP($A183,'ПР 01-02.22'!$A$11:$BB$378,27,FALSE)</f>
        <v>0</v>
      </c>
      <c r="AB183" s="5">
        <f>VLOOKUP($A183,'ПР 01-02.21'!$A$11:$BB$406,28,FALSE)+VLOOKUP($A183,'ПР 21-22'!$A$11:$BB$406,28,FALSE)-VLOOKUP($A183,'ПР 01-02.22'!$A$11:$BB$378,28,FALSE)</f>
        <v>3886.95</v>
      </c>
      <c r="AC183" s="5">
        <f>VLOOKUP($A183,'ПР 01-02.21'!$A$11:$BB$406,29,FALSE)+VLOOKUP($A183,'ПР 21-22'!$A$11:$BB$406,29,FALSE)-VLOOKUP($A183,'ПР 01-02.22'!$A$11:$BB$378,29,FALSE)</f>
        <v>28667.230000000003</v>
      </c>
      <c r="AD183" s="5">
        <f>VLOOKUP($A183,'ПР 01-02.21'!$A$11:$BB$406,30,FALSE)+VLOOKUP($A183,'ПР 21-22'!$A$11:$BB$406,30,FALSE)-VLOOKUP($A183,'ПР 01-02.22'!$A$11:$BB$378,30,FALSE)</f>
        <v>9065.15</v>
      </c>
      <c r="AE183" s="5">
        <f>VLOOKUP($A183,'ПР 01-02.21'!$A$11:$BB$406,31,FALSE)+VLOOKUP($A183,'ПР 21-22'!$A$11:$BB$406,31,FALSE)-VLOOKUP($A183,'ПР 01-02.22'!$A$11:$BB$378,31,FALSE)</f>
        <v>4404.3884266122031</v>
      </c>
      <c r="AF183" s="5">
        <f>VLOOKUP($A183,'ПР 01-02.21'!$A$11:$BB$406,32,FALSE)+VLOOKUP($A183,'ПР 21-22'!$A$11:$BB$406,32,FALSE)-VLOOKUP($A183,'ПР 01-02.22'!$A$11:$BB$378,32,FALSE)</f>
        <v>2040.2</v>
      </c>
      <c r="AG183" s="40"/>
      <c r="AH183" s="5">
        <f>VLOOKUP($A183,'ПР 01-02.21'!$A$11:$BB$406,34,FALSE)+VLOOKUP($A183,'ПР 21-22'!$A$11:$BB$406,34,FALSE)-VLOOKUP($A183,'ПР 01-02.22'!$A$11:$BB$378,34,FALSE)</f>
        <v>5201.7008724533525</v>
      </c>
      <c r="AI183" s="5">
        <f>VLOOKUP($A183,'ПР 01-02.21'!$A$11:$BB$406,35,FALSE)+VLOOKUP($A183,'ПР 21-22'!$A$11:$BB$406,35,FALSE)-VLOOKUP($A183,'ПР 01-02.22'!$A$11:$BB$378,35,FALSE)</f>
        <v>9914.36</v>
      </c>
      <c r="AJ183" s="40"/>
      <c r="AK183" s="5">
        <f>VLOOKUP($A183,'ПР 01-02.21'!$A$11:$BB$406,37,FALSE)+VLOOKUP($A183,'ПР 21-22'!$A$11:$BB$406,37,FALSE)-VLOOKUP($A183,'ПР 01-02.22'!$A$11:$BB$378,37,FALSE)</f>
        <v>2983.2085391925107</v>
      </c>
      <c r="AL183" s="5">
        <f>VLOOKUP($A183,'ПР 01-02.21'!$A$11:$BB$406,38,FALSE)+VLOOKUP($A183,'ПР 21-22'!$A$11:$BB$406,38,FALSE)-VLOOKUP($A183,'ПР 01-02.22'!$A$11:$BB$378,38,FALSE)</f>
        <v>0</v>
      </c>
      <c r="AM183" s="40"/>
      <c r="AN183" s="5">
        <f>VLOOKUP($A183,'ПР 01-02.21'!$A$11:$BB$406,40,FALSE)+VLOOKUP($A183,'ПР 21-22'!$A$11:$BB$406,40,FALSE)-VLOOKUP($A183,'ПР 01-02.22'!$A$11:$BB$378,40,FALSE)</f>
        <v>4436.1800735016486</v>
      </c>
      <c r="AO183" s="5">
        <f>VLOOKUP($A183,'ПР 01-02.21'!$A$11:$BB$406,41,FALSE)+VLOOKUP($A183,'ПР 21-22'!$A$11:$BB$406,41,FALSE)-VLOOKUP($A183,'ПР 01-02.22'!$A$11:$BB$378,41,FALSE)</f>
        <v>0</v>
      </c>
      <c r="AP183" s="40"/>
      <c r="AQ183" s="5">
        <f>VLOOKUP($A183,'ПР 01-02.21'!$A$11:$BB$406,43,FALSE)+VLOOKUP($A183,'ПР 21-22'!$A$11:$BB$406,43,FALSE)-VLOOKUP($A183,'ПР 01-02.22'!$A$11:$BB$378,43,FALSE)</f>
        <v>5653.5628139938399</v>
      </c>
      <c r="AR183" s="5">
        <f>VLOOKUP($A183,'ПР 01-02.21'!$A$11:$BB$406,44,FALSE)+VLOOKUP($A183,'ПР 21-22'!$A$11:$BB$406,44,FALSE)-VLOOKUP($A183,'ПР 01-02.22'!$A$11:$BB$378,44,FALSE)</f>
        <v>0</v>
      </c>
      <c r="AS183" s="40"/>
      <c r="AT183" s="5">
        <f>VLOOKUP($A183,'ПР 01-02.21'!$A$11:$BB$406,46,FALSE)+VLOOKUP($A183,'ПР 21-22'!$A$11:$BB$406,46,FALSE)-VLOOKUP($A183,'ПР 01-02.22'!$A$11:$BB$378,46,FALSE)</f>
        <v>3668.3610727619762</v>
      </c>
      <c r="AU183" s="5">
        <f>VLOOKUP($A183,'ПР 01-02.21'!$A$11:$BB$406,47,FALSE)+VLOOKUP($A183,'ПР 21-22'!$A$11:$BB$406,47,FALSE)-VLOOKUP($A183,'ПР 01-02.22'!$A$11:$BB$378,47,FALSE)</f>
        <v>0</v>
      </c>
      <c r="AV183" s="40"/>
      <c r="AW183" s="5">
        <f>VLOOKUP($A183,'ПР 01-02.21'!$A$11:$BB$406,49,FALSE)+VLOOKUP($A183,'ПР 21-22'!$A$11:$BB$406,49,FALSE)-VLOOKUP($A183,'ПР 01-02.22'!$A$11:$BB$378,49,FALSE)</f>
        <v>751.54908339710607</v>
      </c>
      <c r="AX183" s="5">
        <f>VLOOKUP($A183,'ПР 01-02.21'!$A$11:$BB$406,50,FALSE)+VLOOKUP($A183,'ПР 21-22'!$A$11:$BB$406,50,FALSE)-VLOOKUP($A183,'ПР 01-02.22'!$A$11:$BB$378,50,FALSE)</f>
        <v>0</v>
      </c>
      <c r="AY183" s="40"/>
      <c r="AZ183" s="40">
        <f t="shared" si="9"/>
        <v>27098.950881912635</v>
      </c>
      <c r="BA183" s="40">
        <f t="shared" si="9"/>
        <v>11954.560000000001</v>
      </c>
      <c r="BB183" s="55">
        <f t="shared" si="12"/>
        <v>-15144.390881912634</v>
      </c>
      <c r="BD183" s="2">
        <v>1</v>
      </c>
      <c r="BF183" s="325">
        <v>150001029</v>
      </c>
    </row>
    <row r="184" spans="1:58" ht="24.9" customHeight="1" x14ac:dyDescent="0.3">
      <c r="A184" s="325">
        <v>150001030</v>
      </c>
      <c r="B184" s="445" t="s">
        <v>336</v>
      </c>
      <c r="C184" s="27">
        <v>8</v>
      </c>
      <c r="D184" s="101" t="s">
        <v>455</v>
      </c>
      <c r="E184" s="279">
        <f>'побудинковий звіт'!E182</f>
        <v>6125.75</v>
      </c>
      <c r="F184" s="441">
        <f>'побудинковий звіт'!AS182</f>
        <v>87393.863077896181</v>
      </c>
      <c r="G184" s="441">
        <f t="shared" si="10"/>
        <v>68453.51621940051</v>
      </c>
      <c r="H184" s="73">
        <f t="shared" si="11"/>
        <v>-18940.346858495672</v>
      </c>
      <c r="I184" s="5">
        <f>VLOOKUP($A184,'ПР 01-02.21'!$A$11:$BB$406,9,FALSE)+VLOOKUP($A184,'ПР 21-22'!$A$11:$BB$406,9,FALSE)-VLOOKUP($A184,'ПР 01-02.22'!$A$11:$BB$378,9,FALSE)</f>
        <v>22.4</v>
      </c>
      <c r="J184" s="5">
        <f>VLOOKUP($A184,'ПР 01-02.21'!$A$11:$BB$406,10,FALSE)+VLOOKUP($A184,'ПР 21-22'!$A$11:$BB$406,10,FALSE)-VLOOKUP($A184,'ПР 01-02.22'!$A$11:$BB$378,10,FALSE)</f>
        <v>3627</v>
      </c>
      <c r="K184" s="446"/>
      <c r="L184" s="5">
        <f>VLOOKUP($A184,'ПР 01-02.21'!$A$11:$BB$406,12,FALSE)+VLOOKUP($A184,'ПР 21-22'!$A$11:$BB$406,12,FALSE)-VLOOKUP($A184,'ПР 01-02.22'!$A$11:$BB$378,12,FALSE)</f>
        <v>0</v>
      </c>
      <c r="M184" s="5">
        <f>VLOOKUP($A184,'ПР 01-02.21'!$A$11:$BB$406,13,FALSE)+VLOOKUP($A184,'ПР 21-22'!$A$11:$BB$406,13,FALSE)-VLOOKUP($A184,'ПР 01-02.22'!$A$11:$BB$378,13,FALSE)</f>
        <v>0</v>
      </c>
      <c r="N184" s="38"/>
      <c r="O184" s="5">
        <f>VLOOKUP($A184,'ПР 01-02.21'!$A$11:$BB$406,15,FALSE)+VLOOKUP($A184,'ПР 21-22'!$A$11:$BB$406,15,FALSE)-VLOOKUP($A184,'ПР 01-02.22'!$A$11:$BB$378,15,FALSE)</f>
        <v>80</v>
      </c>
      <c r="P184" s="5">
        <f>VLOOKUP($A184,'ПР 01-02.21'!$A$11:$BB$406,16,FALSE)+VLOOKUP($A184,'ПР 21-22'!$A$11:$BB$406,16,FALSE)-VLOOKUP($A184,'ПР 01-02.22'!$A$11:$BB$378,16,FALSE)</f>
        <v>18453</v>
      </c>
      <c r="Q184" s="443"/>
      <c r="R184" s="5">
        <f>VLOOKUP($A184,'ПР 01-02.21'!$A$11:$BB$406,18,FALSE)+VLOOKUP($A184,'ПР 21-22'!$A$11:$BB$406,18,FALSE)-VLOOKUP($A184,'ПР 01-02.22'!$A$11:$BB$378,18,FALSE)</f>
        <v>3</v>
      </c>
      <c r="S184" s="5">
        <f>VLOOKUP($A184,'ПР 01-02.21'!$A$11:$BB$406,19,FALSE)+VLOOKUP($A184,'ПР 21-22'!$A$11:$BB$406,19,FALSE)-VLOOKUP($A184,'ПР 01-02.22'!$A$11:$BB$378,19,FALSE)</f>
        <v>25201</v>
      </c>
      <c r="T184" s="444"/>
      <c r="U184" s="5">
        <f>VLOOKUP($A184,'ПР 01-02.21'!$A$11:$BB$406,21,FALSE)+VLOOKUP($A184,'ПР 21-22'!$A$11:$BB$406,21,FALSE)-VLOOKUP($A184,'ПР 01-02.22'!$A$11:$BB$378,21,FALSE)</f>
        <v>0</v>
      </c>
      <c r="V184" s="5"/>
      <c r="W184" s="5">
        <f>VLOOKUP($A184,'ПР 01-02.21'!$A$11:$BB$406,23,FALSE)+VLOOKUP($A184,'ПР 21-22'!$A$11:$BB$406,23,FALSE)-VLOOKUP($A184,'ПР 01-02.22'!$A$11:$BB$378,23,FALSE)</f>
        <v>1</v>
      </c>
      <c r="X184" s="5">
        <f>VLOOKUP($A184,'ПР 01-02.21'!$A$11:$BB$406,24,FALSE)+VLOOKUP($A184,'ПР 21-22'!$A$11:$BB$406,24,FALSE)-VLOOKUP($A184,'ПР 01-02.22'!$A$11:$BB$378,24,FALSE)</f>
        <v>1140.2062194005018</v>
      </c>
      <c r="Y184" s="5">
        <f>VLOOKUP($A184,'ПР 01-02.21'!$A$11:$BB$406,25,FALSE)+VLOOKUP($A184,'ПР 21-22'!$A$11:$BB$406,25,FALSE)-VLOOKUP($A184,'ПР 01-02.22'!$A$11:$BB$378,25,FALSE)</f>
        <v>9979</v>
      </c>
      <c r="Z184" s="5"/>
      <c r="AA184" s="5">
        <f>VLOOKUP($A184,'ПР 01-02.21'!$A$11:$BB$406,27,FALSE)+VLOOKUP($A184,'ПР 21-22'!$A$11:$BB$406,27,FALSE)-VLOOKUP($A184,'ПР 01-02.22'!$A$11:$BB$378,27,FALSE)</f>
        <v>0</v>
      </c>
      <c r="AB184" s="5">
        <f>VLOOKUP($A184,'ПР 01-02.21'!$A$11:$BB$406,28,FALSE)+VLOOKUP($A184,'ПР 21-22'!$A$11:$BB$406,28,FALSE)-VLOOKUP($A184,'ПР 01-02.22'!$A$11:$BB$378,28,FALSE)</f>
        <v>3079</v>
      </c>
      <c r="AC184" s="5">
        <f>VLOOKUP($A184,'ПР 01-02.21'!$A$11:$BB$406,29,FALSE)+VLOOKUP($A184,'ПР 21-22'!$A$11:$BB$406,29,FALSE)-VLOOKUP($A184,'ПР 01-02.22'!$A$11:$BB$378,29,FALSE)</f>
        <v>1145</v>
      </c>
      <c r="AD184" s="5">
        <f>VLOOKUP($A184,'ПР 01-02.21'!$A$11:$BB$406,30,FALSE)+VLOOKUP($A184,'ПР 21-22'!$A$11:$BB$406,30,FALSE)-VLOOKUP($A184,'ПР 01-02.22'!$A$11:$BB$378,30,FALSE)</f>
        <v>5829.3099999999995</v>
      </c>
      <c r="AE184" s="5">
        <f>VLOOKUP($A184,'ПР 01-02.21'!$A$11:$BB$406,31,FALSE)+VLOOKUP($A184,'ПР 21-22'!$A$11:$BB$406,31,FALSE)-VLOOKUP($A184,'ПР 01-02.22'!$A$11:$BB$378,31,FALSE)</f>
        <v>2007.8742121642786</v>
      </c>
      <c r="AF184" s="5">
        <f>VLOOKUP($A184,'ПР 01-02.21'!$A$11:$BB$406,32,FALSE)+VLOOKUP($A184,'ПР 21-22'!$A$11:$BB$406,32,FALSE)-VLOOKUP($A184,'ПР 01-02.22'!$A$11:$BB$378,32,FALSE)</f>
        <v>1646.02</v>
      </c>
      <c r="AG184" s="40"/>
      <c r="AH184" s="5">
        <f>VLOOKUP($A184,'ПР 01-02.21'!$A$11:$BB$406,34,FALSE)+VLOOKUP($A184,'ПР 21-22'!$A$11:$BB$406,34,FALSE)-VLOOKUP($A184,'ПР 01-02.22'!$A$11:$BB$378,34,FALSE)</f>
        <v>3434.8190921063488</v>
      </c>
      <c r="AI184" s="5">
        <f>VLOOKUP($A184,'ПР 01-02.21'!$A$11:$BB$406,35,FALSE)+VLOOKUP($A184,'ПР 21-22'!$A$11:$BB$406,35,FALSE)-VLOOKUP($A184,'ПР 01-02.22'!$A$11:$BB$378,35,FALSE)</f>
        <v>1515.33</v>
      </c>
      <c r="AJ184" s="40"/>
      <c r="AK184" s="5">
        <f>VLOOKUP($A184,'ПР 01-02.21'!$A$11:$BB$406,37,FALSE)+VLOOKUP($A184,'ПР 21-22'!$A$11:$BB$406,37,FALSE)-VLOOKUP($A184,'ПР 01-02.22'!$A$11:$BB$378,37,FALSE)</f>
        <v>1414.1828146578239</v>
      </c>
      <c r="AL184" s="5">
        <f>VLOOKUP($A184,'ПР 01-02.21'!$A$11:$BB$406,38,FALSE)+VLOOKUP($A184,'ПР 21-22'!$A$11:$BB$406,38,FALSE)-VLOOKUP($A184,'ПР 01-02.22'!$A$11:$BB$378,38,FALSE)</f>
        <v>0</v>
      </c>
      <c r="AM184" s="40"/>
      <c r="AN184" s="5">
        <f>VLOOKUP($A184,'ПР 01-02.21'!$A$11:$BB$406,40,FALSE)+VLOOKUP($A184,'ПР 21-22'!$A$11:$BB$406,40,FALSE)-VLOOKUP($A184,'ПР 01-02.22'!$A$11:$BB$378,40,FALSE)</f>
        <v>3342.1145213691962</v>
      </c>
      <c r="AO184" s="5">
        <f>VLOOKUP($A184,'ПР 01-02.21'!$A$11:$BB$406,41,FALSE)+VLOOKUP($A184,'ПР 21-22'!$A$11:$BB$406,41,FALSE)-VLOOKUP($A184,'ПР 01-02.22'!$A$11:$BB$378,41,FALSE)</f>
        <v>0</v>
      </c>
      <c r="AP184" s="40"/>
      <c r="AQ184" s="5">
        <f>VLOOKUP($A184,'ПР 01-02.21'!$A$11:$BB$406,43,FALSE)+VLOOKUP($A184,'ПР 21-22'!$A$11:$BB$406,43,FALSE)-VLOOKUP($A184,'ПР 01-02.22'!$A$11:$BB$378,43,FALSE)</f>
        <v>1653.9464265716047</v>
      </c>
      <c r="AR184" s="5">
        <f>VLOOKUP($A184,'ПР 01-02.21'!$A$11:$BB$406,44,FALSE)+VLOOKUP($A184,'ПР 21-22'!$A$11:$BB$406,44,FALSE)-VLOOKUP($A184,'ПР 01-02.22'!$A$11:$BB$378,44,FALSE)</f>
        <v>0</v>
      </c>
      <c r="AS184" s="40"/>
      <c r="AT184" s="5">
        <f>VLOOKUP($A184,'ПР 01-02.21'!$A$11:$BB$406,46,FALSE)+VLOOKUP($A184,'ПР 21-22'!$A$11:$BB$406,46,FALSE)-VLOOKUP($A184,'ПР 01-02.22'!$A$11:$BB$378,46,FALSE)</f>
        <v>2206.1941515147296</v>
      </c>
      <c r="AU184" s="5">
        <f>VLOOKUP($A184,'ПР 01-02.21'!$A$11:$BB$406,47,FALSE)+VLOOKUP($A184,'ПР 21-22'!$A$11:$BB$406,47,FALSE)-VLOOKUP($A184,'ПР 01-02.22'!$A$11:$BB$378,47,FALSE)</f>
        <v>1006</v>
      </c>
      <c r="AV184" s="40"/>
      <c r="AW184" s="5">
        <f>VLOOKUP($A184,'ПР 01-02.21'!$A$11:$BB$406,49,FALSE)+VLOOKUP($A184,'ПР 21-22'!$A$11:$BB$406,49,FALSE)-VLOOKUP($A184,'ПР 01-02.22'!$A$11:$BB$378,49,FALSE)</f>
        <v>969.80228444929367</v>
      </c>
      <c r="AX184" s="5">
        <f>VLOOKUP($A184,'ПР 01-02.21'!$A$11:$BB$406,50,FALSE)+VLOOKUP($A184,'ПР 21-22'!$A$11:$BB$406,50,FALSE)-VLOOKUP($A184,'ПР 01-02.22'!$A$11:$BB$378,50,FALSE)</f>
        <v>0</v>
      </c>
      <c r="AY184" s="40"/>
      <c r="AZ184" s="40">
        <f t="shared" si="9"/>
        <v>15028.933502833277</v>
      </c>
      <c r="BA184" s="40">
        <f t="shared" si="9"/>
        <v>4167.3500000000004</v>
      </c>
      <c r="BB184" s="55">
        <f t="shared" si="12"/>
        <v>-10861.583502833277</v>
      </c>
      <c r="BD184" s="2">
        <v>1</v>
      </c>
      <c r="BF184" s="325">
        <v>150001030</v>
      </c>
    </row>
    <row r="185" spans="1:58" ht="24.9" customHeight="1" x14ac:dyDescent="0.3">
      <c r="A185" s="325">
        <v>150001031</v>
      </c>
      <c r="B185" s="445" t="s">
        <v>104</v>
      </c>
      <c r="C185" s="27">
        <v>1</v>
      </c>
      <c r="D185" s="101" t="s">
        <v>455</v>
      </c>
      <c r="E185" s="279">
        <f>'побудинковий звіт'!E183</f>
        <v>159.9</v>
      </c>
      <c r="F185" s="441">
        <f>'побудинковий звіт'!AS183</f>
        <v>1926.0120670098227</v>
      </c>
      <c r="G185" s="441">
        <f t="shared" si="10"/>
        <v>2069</v>
      </c>
      <c r="H185" s="73">
        <f t="shared" si="11"/>
        <v>142.98793299017734</v>
      </c>
      <c r="I185" s="5">
        <f>VLOOKUP($A185,'ПР 01-02.21'!$A$11:$BB$406,9,FALSE)+VLOOKUP($A185,'ПР 21-22'!$A$11:$BB$406,9,FALSE)-VLOOKUP($A185,'ПР 01-02.22'!$A$11:$BB$378,9,FALSE)</f>
        <v>0</v>
      </c>
      <c r="J185" s="5">
        <f>VLOOKUP($A185,'ПР 01-02.21'!$A$11:$BB$406,10,FALSE)+VLOOKUP($A185,'ПР 21-22'!$A$11:$BB$406,10,FALSE)-VLOOKUP($A185,'ПР 01-02.22'!$A$11:$BB$378,10,FALSE)</f>
        <v>0</v>
      </c>
      <c r="K185" s="446"/>
      <c r="L185" s="5">
        <f>VLOOKUP($A185,'ПР 01-02.21'!$A$11:$BB$406,12,FALSE)+VLOOKUP($A185,'ПР 21-22'!$A$11:$BB$406,12,FALSE)-VLOOKUP($A185,'ПР 01-02.22'!$A$11:$BB$378,12,FALSE)</f>
        <v>0</v>
      </c>
      <c r="M185" s="5">
        <f>VLOOKUP($A185,'ПР 01-02.21'!$A$11:$BB$406,13,FALSE)+VLOOKUP($A185,'ПР 21-22'!$A$11:$BB$406,13,FALSE)-VLOOKUP($A185,'ПР 01-02.22'!$A$11:$BB$378,13,FALSE)</f>
        <v>0</v>
      </c>
      <c r="N185" s="38"/>
      <c r="O185" s="5">
        <f>VLOOKUP($A185,'ПР 01-02.21'!$A$11:$BB$406,15,FALSE)+VLOOKUP($A185,'ПР 21-22'!$A$11:$BB$406,15,FALSE)-VLOOKUP($A185,'ПР 01-02.22'!$A$11:$BB$378,15,FALSE)</f>
        <v>0</v>
      </c>
      <c r="P185" s="5">
        <f>VLOOKUP($A185,'ПР 01-02.21'!$A$11:$BB$406,16,FALSE)+VLOOKUP($A185,'ПР 21-22'!$A$11:$BB$406,16,FALSE)-VLOOKUP($A185,'ПР 01-02.22'!$A$11:$BB$378,16,FALSE)</f>
        <v>0</v>
      </c>
      <c r="Q185" s="443"/>
      <c r="R185" s="5">
        <f>VLOOKUP($A185,'ПР 01-02.21'!$A$11:$BB$406,18,FALSE)+VLOOKUP($A185,'ПР 21-22'!$A$11:$BB$406,18,FALSE)-VLOOKUP($A185,'ПР 01-02.22'!$A$11:$BB$378,18,FALSE)</f>
        <v>0</v>
      </c>
      <c r="S185" s="5">
        <f>VLOOKUP($A185,'ПР 01-02.21'!$A$11:$BB$406,19,FALSE)+VLOOKUP($A185,'ПР 21-22'!$A$11:$BB$406,19,FALSE)-VLOOKUP($A185,'ПР 01-02.22'!$A$11:$BB$378,19,FALSE)</f>
        <v>0</v>
      </c>
      <c r="T185" s="444"/>
      <c r="U185" s="5">
        <f>VLOOKUP($A185,'ПР 01-02.21'!$A$11:$BB$406,21,FALSE)+VLOOKUP($A185,'ПР 21-22'!$A$11:$BB$406,21,FALSE)-VLOOKUP($A185,'ПР 01-02.22'!$A$11:$BB$378,21,FALSE)</f>
        <v>0</v>
      </c>
      <c r="V185" s="5"/>
      <c r="W185" s="5">
        <f>VLOOKUP($A185,'ПР 01-02.21'!$A$11:$BB$406,23,FALSE)+VLOOKUP($A185,'ПР 21-22'!$A$11:$BB$406,23,FALSE)-VLOOKUP($A185,'ПР 01-02.22'!$A$11:$BB$378,23,FALSE)</f>
        <v>0</v>
      </c>
      <c r="X185" s="5">
        <f>VLOOKUP($A185,'ПР 01-02.21'!$A$11:$BB$406,24,FALSE)+VLOOKUP($A185,'ПР 21-22'!$A$11:$BB$406,24,FALSE)-VLOOKUP($A185,'ПР 01-02.22'!$A$11:$BB$378,24,FALSE)</f>
        <v>0</v>
      </c>
      <c r="Y185" s="5">
        <f>VLOOKUP($A185,'ПР 01-02.21'!$A$11:$BB$406,25,FALSE)+VLOOKUP($A185,'ПР 21-22'!$A$11:$BB$406,25,FALSE)-VLOOKUP($A185,'ПР 01-02.22'!$A$11:$BB$378,25,FALSE)</f>
        <v>0</v>
      </c>
      <c r="Z185" s="5"/>
      <c r="AA185" s="5">
        <f>VLOOKUP($A185,'ПР 01-02.21'!$A$11:$BB$406,27,FALSE)+VLOOKUP($A185,'ПР 21-22'!$A$11:$BB$406,27,FALSE)-VLOOKUP($A185,'ПР 01-02.22'!$A$11:$BB$378,27,FALSE)</f>
        <v>0</v>
      </c>
      <c r="AB185" s="5">
        <f>VLOOKUP($A185,'ПР 01-02.21'!$A$11:$BB$406,28,FALSE)+VLOOKUP($A185,'ПР 21-22'!$A$11:$BB$406,28,FALSE)-VLOOKUP($A185,'ПР 01-02.22'!$A$11:$BB$378,28,FALSE)</f>
        <v>0</v>
      </c>
      <c r="AC185" s="5">
        <f>VLOOKUP($A185,'ПР 01-02.21'!$A$11:$BB$406,29,FALSE)+VLOOKUP($A185,'ПР 21-22'!$A$11:$BB$406,29,FALSE)-VLOOKUP($A185,'ПР 01-02.22'!$A$11:$BB$378,29,FALSE)</f>
        <v>0</v>
      </c>
      <c r="AD185" s="5">
        <f>VLOOKUP($A185,'ПР 01-02.21'!$A$11:$BB$406,30,FALSE)+VLOOKUP($A185,'ПР 21-22'!$A$11:$BB$406,30,FALSE)-VLOOKUP($A185,'ПР 01-02.22'!$A$11:$BB$378,30,FALSE)</f>
        <v>2069</v>
      </c>
      <c r="AE185" s="5">
        <f>VLOOKUP($A185,'ПР 01-02.21'!$A$11:$BB$406,31,FALSE)+VLOOKUP($A185,'ПР 21-22'!$A$11:$BB$406,31,FALSE)-VLOOKUP($A185,'ПР 01-02.22'!$A$11:$BB$378,31,FALSE)</f>
        <v>0</v>
      </c>
      <c r="AF185" s="5">
        <f>VLOOKUP($A185,'ПР 01-02.21'!$A$11:$BB$406,32,FALSE)+VLOOKUP($A185,'ПР 21-22'!$A$11:$BB$406,32,FALSE)-VLOOKUP($A185,'ПР 01-02.22'!$A$11:$BB$378,32,FALSE)</f>
        <v>0</v>
      </c>
      <c r="AG185" s="40"/>
      <c r="AH185" s="5">
        <f>VLOOKUP($A185,'ПР 01-02.21'!$A$11:$BB$406,34,FALSE)+VLOOKUP($A185,'ПР 21-22'!$A$11:$BB$406,34,FALSE)-VLOOKUP($A185,'ПР 01-02.22'!$A$11:$BB$378,34,FALSE)</f>
        <v>0</v>
      </c>
      <c r="AI185" s="5">
        <f>VLOOKUP($A185,'ПР 01-02.21'!$A$11:$BB$406,35,FALSE)+VLOOKUP($A185,'ПР 21-22'!$A$11:$BB$406,35,FALSE)-VLOOKUP($A185,'ПР 01-02.22'!$A$11:$BB$378,35,FALSE)</f>
        <v>0</v>
      </c>
      <c r="AJ185" s="40"/>
      <c r="AK185" s="5">
        <f>VLOOKUP($A185,'ПР 01-02.21'!$A$11:$BB$406,37,FALSE)+VLOOKUP($A185,'ПР 21-22'!$A$11:$BB$406,37,FALSE)-VLOOKUP($A185,'ПР 01-02.22'!$A$11:$BB$378,37,FALSE)</f>
        <v>0</v>
      </c>
      <c r="AL185" s="5">
        <f>VLOOKUP($A185,'ПР 01-02.21'!$A$11:$BB$406,38,FALSE)+VLOOKUP($A185,'ПР 21-22'!$A$11:$BB$406,38,FALSE)-VLOOKUP($A185,'ПР 01-02.22'!$A$11:$BB$378,38,FALSE)</f>
        <v>0</v>
      </c>
      <c r="AM185" s="40"/>
      <c r="AN185" s="5">
        <f>VLOOKUP($A185,'ПР 01-02.21'!$A$11:$BB$406,40,FALSE)+VLOOKUP($A185,'ПР 21-22'!$A$11:$BB$406,40,FALSE)-VLOOKUP($A185,'ПР 01-02.22'!$A$11:$BB$378,40,FALSE)</f>
        <v>0</v>
      </c>
      <c r="AO185" s="5">
        <f>VLOOKUP($A185,'ПР 01-02.21'!$A$11:$BB$406,41,FALSE)+VLOOKUP($A185,'ПР 21-22'!$A$11:$BB$406,41,FALSE)-VLOOKUP($A185,'ПР 01-02.22'!$A$11:$BB$378,41,FALSE)</f>
        <v>0</v>
      </c>
      <c r="AP185" s="40"/>
      <c r="AQ185" s="5">
        <f>VLOOKUP($A185,'ПР 01-02.21'!$A$11:$BB$406,43,FALSE)+VLOOKUP($A185,'ПР 21-22'!$A$11:$BB$406,43,FALSE)-VLOOKUP($A185,'ПР 01-02.22'!$A$11:$BB$378,43,FALSE)</f>
        <v>0</v>
      </c>
      <c r="AR185" s="5">
        <f>VLOOKUP($A185,'ПР 01-02.21'!$A$11:$BB$406,44,FALSE)+VLOOKUP($A185,'ПР 21-22'!$A$11:$BB$406,44,FALSE)-VLOOKUP($A185,'ПР 01-02.22'!$A$11:$BB$378,44,FALSE)</f>
        <v>0</v>
      </c>
      <c r="AS185" s="40"/>
      <c r="AT185" s="5">
        <f>VLOOKUP($A185,'ПР 01-02.21'!$A$11:$BB$406,46,FALSE)+VLOOKUP($A185,'ПР 21-22'!$A$11:$BB$406,46,FALSE)-VLOOKUP($A185,'ПР 01-02.22'!$A$11:$BB$378,46,FALSE)</f>
        <v>0</v>
      </c>
      <c r="AU185" s="5">
        <f>VLOOKUP($A185,'ПР 01-02.21'!$A$11:$BB$406,47,FALSE)+VLOOKUP($A185,'ПР 21-22'!$A$11:$BB$406,47,FALSE)-VLOOKUP($A185,'ПР 01-02.22'!$A$11:$BB$378,47,FALSE)</f>
        <v>0</v>
      </c>
      <c r="AV185" s="40"/>
      <c r="AW185" s="5">
        <f>VLOOKUP($A185,'ПР 01-02.21'!$A$11:$BB$406,49,FALSE)+VLOOKUP($A185,'ПР 21-22'!$A$11:$BB$406,49,FALSE)-VLOOKUP($A185,'ПР 01-02.22'!$A$11:$BB$378,49,FALSE)</f>
        <v>13.081606171587595</v>
      </c>
      <c r="AX185" s="5">
        <f>VLOOKUP($A185,'ПР 01-02.21'!$A$11:$BB$406,50,FALSE)+VLOOKUP($A185,'ПР 21-22'!$A$11:$BB$406,50,FALSE)-VLOOKUP($A185,'ПР 01-02.22'!$A$11:$BB$378,50,FALSE)</f>
        <v>0</v>
      </c>
      <c r="AY185" s="40"/>
      <c r="AZ185" s="40">
        <f t="shared" si="9"/>
        <v>13.081606171587595</v>
      </c>
      <c r="BA185" s="40">
        <f t="shared" si="9"/>
        <v>0</v>
      </c>
      <c r="BB185" s="55">
        <f t="shared" si="12"/>
        <v>-13.081606171587595</v>
      </c>
      <c r="BD185" s="2">
        <v>1</v>
      </c>
      <c r="BF185" s="325">
        <v>150001031</v>
      </c>
    </row>
    <row r="186" spans="1:58" ht="24.9" customHeight="1" x14ac:dyDescent="0.3">
      <c r="A186" s="325">
        <v>150001037</v>
      </c>
      <c r="B186" s="445" t="s">
        <v>105</v>
      </c>
      <c r="C186" s="27">
        <v>1</v>
      </c>
      <c r="D186" s="101" t="s">
        <v>455</v>
      </c>
      <c r="E186" s="279">
        <f>'побудинковий звіт'!E184</f>
        <v>161.4</v>
      </c>
      <c r="F186" s="441">
        <f>'побудинковий звіт'!AS184</f>
        <v>1779.5214303938901</v>
      </c>
      <c r="G186" s="441">
        <f t="shared" si="10"/>
        <v>0</v>
      </c>
      <c r="H186" s="73">
        <f t="shared" si="11"/>
        <v>-1779.5214303938901</v>
      </c>
      <c r="I186" s="5">
        <f>VLOOKUP($A186,'ПР 01-02.21'!$A$11:$BB$406,9,FALSE)+VLOOKUP($A186,'ПР 21-22'!$A$11:$BB$406,9,FALSE)-VLOOKUP($A186,'ПР 01-02.22'!$A$11:$BB$378,9,FALSE)</f>
        <v>0</v>
      </c>
      <c r="J186" s="5">
        <f>VLOOKUP($A186,'ПР 01-02.21'!$A$11:$BB$406,10,FALSE)+VLOOKUP($A186,'ПР 21-22'!$A$11:$BB$406,10,FALSE)-VLOOKUP($A186,'ПР 01-02.22'!$A$11:$BB$378,10,FALSE)</f>
        <v>0</v>
      </c>
      <c r="K186" s="446"/>
      <c r="L186" s="5">
        <f>VLOOKUP($A186,'ПР 01-02.21'!$A$11:$BB$406,12,FALSE)+VLOOKUP($A186,'ПР 21-22'!$A$11:$BB$406,12,FALSE)-VLOOKUP($A186,'ПР 01-02.22'!$A$11:$BB$378,12,FALSE)</f>
        <v>0</v>
      </c>
      <c r="M186" s="5">
        <f>VLOOKUP($A186,'ПР 01-02.21'!$A$11:$BB$406,13,FALSE)+VLOOKUP($A186,'ПР 21-22'!$A$11:$BB$406,13,FALSE)-VLOOKUP($A186,'ПР 01-02.22'!$A$11:$BB$378,13,FALSE)</f>
        <v>0</v>
      </c>
      <c r="N186" s="38"/>
      <c r="O186" s="5">
        <f>VLOOKUP($A186,'ПР 01-02.21'!$A$11:$BB$406,15,FALSE)+VLOOKUP($A186,'ПР 21-22'!$A$11:$BB$406,15,FALSE)-VLOOKUP($A186,'ПР 01-02.22'!$A$11:$BB$378,15,FALSE)</f>
        <v>0</v>
      </c>
      <c r="P186" s="5">
        <f>VLOOKUP($A186,'ПР 01-02.21'!$A$11:$BB$406,16,FALSE)+VLOOKUP($A186,'ПР 21-22'!$A$11:$BB$406,16,FALSE)-VLOOKUP($A186,'ПР 01-02.22'!$A$11:$BB$378,16,FALSE)</f>
        <v>0</v>
      </c>
      <c r="Q186" s="443"/>
      <c r="R186" s="5">
        <f>VLOOKUP($A186,'ПР 01-02.21'!$A$11:$BB$406,18,FALSE)+VLOOKUP($A186,'ПР 21-22'!$A$11:$BB$406,18,FALSE)-VLOOKUP($A186,'ПР 01-02.22'!$A$11:$BB$378,18,FALSE)</f>
        <v>0</v>
      </c>
      <c r="S186" s="5">
        <f>VLOOKUP($A186,'ПР 01-02.21'!$A$11:$BB$406,19,FALSE)+VLOOKUP($A186,'ПР 21-22'!$A$11:$BB$406,19,FALSE)-VLOOKUP($A186,'ПР 01-02.22'!$A$11:$BB$378,19,FALSE)</f>
        <v>0</v>
      </c>
      <c r="T186" s="444"/>
      <c r="U186" s="5">
        <f>VLOOKUP($A186,'ПР 01-02.21'!$A$11:$BB$406,21,FALSE)+VLOOKUP($A186,'ПР 21-22'!$A$11:$BB$406,21,FALSE)-VLOOKUP($A186,'ПР 01-02.22'!$A$11:$BB$378,21,FALSE)</f>
        <v>0</v>
      </c>
      <c r="V186" s="5"/>
      <c r="W186" s="5">
        <f>VLOOKUP($A186,'ПР 01-02.21'!$A$11:$BB$406,23,FALSE)+VLOOKUP($A186,'ПР 21-22'!$A$11:$BB$406,23,FALSE)-VLOOKUP($A186,'ПР 01-02.22'!$A$11:$BB$378,23,FALSE)</f>
        <v>0</v>
      </c>
      <c r="X186" s="5">
        <f>VLOOKUP($A186,'ПР 01-02.21'!$A$11:$BB$406,24,FALSE)+VLOOKUP($A186,'ПР 21-22'!$A$11:$BB$406,24,FALSE)-VLOOKUP($A186,'ПР 01-02.22'!$A$11:$BB$378,24,FALSE)</f>
        <v>0</v>
      </c>
      <c r="Y186" s="5">
        <f>VLOOKUP($A186,'ПР 01-02.21'!$A$11:$BB$406,25,FALSE)+VLOOKUP($A186,'ПР 21-22'!$A$11:$BB$406,25,FALSE)-VLOOKUP($A186,'ПР 01-02.22'!$A$11:$BB$378,25,FALSE)</f>
        <v>0</v>
      </c>
      <c r="Z186" s="5"/>
      <c r="AA186" s="5">
        <f>VLOOKUP($A186,'ПР 01-02.21'!$A$11:$BB$406,27,FALSE)+VLOOKUP($A186,'ПР 21-22'!$A$11:$BB$406,27,FALSE)-VLOOKUP($A186,'ПР 01-02.22'!$A$11:$BB$378,27,FALSE)</f>
        <v>0</v>
      </c>
      <c r="AB186" s="5">
        <f>VLOOKUP($A186,'ПР 01-02.21'!$A$11:$BB$406,28,FALSE)+VLOOKUP($A186,'ПР 21-22'!$A$11:$BB$406,28,FALSE)-VLOOKUP($A186,'ПР 01-02.22'!$A$11:$BB$378,28,FALSE)</f>
        <v>0</v>
      </c>
      <c r="AC186" s="5">
        <f>VLOOKUP($A186,'ПР 01-02.21'!$A$11:$BB$406,29,FALSE)+VLOOKUP($A186,'ПР 21-22'!$A$11:$BB$406,29,FALSE)-VLOOKUP($A186,'ПР 01-02.22'!$A$11:$BB$378,29,FALSE)</f>
        <v>0</v>
      </c>
      <c r="AD186" s="5">
        <f>VLOOKUP($A186,'ПР 01-02.21'!$A$11:$BB$406,30,FALSE)+VLOOKUP($A186,'ПР 21-22'!$A$11:$BB$406,30,FALSE)-VLOOKUP($A186,'ПР 01-02.22'!$A$11:$BB$378,30,FALSE)</f>
        <v>0</v>
      </c>
      <c r="AE186" s="5">
        <f>VLOOKUP($A186,'ПР 01-02.21'!$A$11:$BB$406,31,FALSE)+VLOOKUP($A186,'ПР 21-22'!$A$11:$BB$406,31,FALSE)-VLOOKUP($A186,'ПР 01-02.22'!$A$11:$BB$378,31,FALSE)</f>
        <v>0</v>
      </c>
      <c r="AF186" s="5">
        <f>VLOOKUP($A186,'ПР 01-02.21'!$A$11:$BB$406,32,FALSE)+VLOOKUP($A186,'ПР 21-22'!$A$11:$BB$406,32,FALSE)-VLOOKUP($A186,'ПР 01-02.22'!$A$11:$BB$378,32,FALSE)</f>
        <v>0</v>
      </c>
      <c r="AG186" s="40"/>
      <c r="AH186" s="5">
        <f>VLOOKUP($A186,'ПР 01-02.21'!$A$11:$BB$406,34,FALSE)+VLOOKUP($A186,'ПР 21-22'!$A$11:$BB$406,34,FALSE)-VLOOKUP($A186,'ПР 01-02.22'!$A$11:$BB$378,34,FALSE)</f>
        <v>0</v>
      </c>
      <c r="AI186" s="5">
        <f>VLOOKUP($A186,'ПР 01-02.21'!$A$11:$BB$406,35,FALSE)+VLOOKUP($A186,'ПР 21-22'!$A$11:$BB$406,35,FALSE)-VLOOKUP($A186,'ПР 01-02.22'!$A$11:$BB$378,35,FALSE)</f>
        <v>0</v>
      </c>
      <c r="AJ186" s="40"/>
      <c r="AK186" s="5">
        <f>VLOOKUP($A186,'ПР 01-02.21'!$A$11:$BB$406,37,FALSE)+VLOOKUP($A186,'ПР 21-22'!$A$11:$BB$406,37,FALSE)-VLOOKUP($A186,'ПР 01-02.22'!$A$11:$BB$378,37,FALSE)</f>
        <v>0</v>
      </c>
      <c r="AL186" s="5">
        <f>VLOOKUP($A186,'ПР 01-02.21'!$A$11:$BB$406,38,FALSE)+VLOOKUP($A186,'ПР 21-22'!$A$11:$BB$406,38,FALSE)-VLOOKUP($A186,'ПР 01-02.22'!$A$11:$BB$378,38,FALSE)</f>
        <v>0</v>
      </c>
      <c r="AM186" s="40"/>
      <c r="AN186" s="5">
        <f>VLOOKUP($A186,'ПР 01-02.21'!$A$11:$BB$406,40,FALSE)+VLOOKUP($A186,'ПР 21-22'!$A$11:$BB$406,40,FALSE)-VLOOKUP($A186,'ПР 01-02.22'!$A$11:$BB$378,40,FALSE)</f>
        <v>0</v>
      </c>
      <c r="AO186" s="5">
        <f>VLOOKUP($A186,'ПР 01-02.21'!$A$11:$BB$406,41,FALSE)+VLOOKUP($A186,'ПР 21-22'!$A$11:$BB$406,41,FALSE)-VLOOKUP($A186,'ПР 01-02.22'!$A$11:$BB$378,41,FALSE)</f>
        <v>0</v>
      </c>
      <c r="AP186" s="40"/>
      <c r="AQ186" s="5">
        <f>VLOOKUP($A186,'ПР 01-02.21'!$A$11:$BB$406,43,FALSE)+VLOOKUP($A186,'ПР 21-22'!$A$11:$BB$406,43,FALSE)-VLOOKUP($A186,'ПР 01-02.22'!$A$11:$BB$378,43,FALSE)</f>
        <v>0</v>
      </c>
      <c r="AR186" s="5">
        <f>VLOOKUP($A186,'ПР 01-02.21'!$A$11:$BB$406,44,FALSE)+VLOOKUP($A186,'ПР 21-22'!$A$11:$BB$406,44,FALSE)-VLOOKUP($A186,'ПР 01-02.22'!$A$11:$BB$378,44,FALSE)</f>
        <v>0</v>
      </c>
      <c r="AS186" s="40"/>
      <c r="AT186" s="5">
        <f>VLOOKUP($A186,'ПР 01-02.21'!$A$11:$BB$406,46,FALSE)+VLOOKUP($A186,'ПР 21-22'!$A$11:$BB$406,46,FALSE)-VLOOKUP($A186,'ПР 01-02.22'!$A$11:$BB$378,46,FALSE)</f>
        <v>0</v>
      </c>
      <c r="AU186" s="5">
        <f>VLOOKUP($A186,'ПР 01-02.21'!$A$11:$BB$406,47,FALSE)+VLOOKUP($A186,'ПР 21-22'!$A$11:$BB$406,47,FALSE)-VLOOKUP($A186,'ПР 01-02.22'!$A$11:$BB$378,47,FALSE)</f>
        <v>0</v>
      </c>
      <c r="AV186" s="40"/>
      <c r="AW186" s="5">
        <f>VLOOKUP($A186,'ПР 01-02.21'!$A$11:$BB$406,49,FALSE)+VLOOKUP($A186,'ПР 21-22'!$A$11:$BB$406,49,FALSE)-VLOOKUP($A186,'ПР 01-02.22'!$A$11:$BB$378,49,FALSE)</f>
        <v>14.320648074823632</v>
      </c>
      <c r="AX186" s="5">
        <f>VLOOKUP($A186,'ПР 01-02.21'!$A$11:$BB$406,50,FALSE)+VLOOKUP($A186,'ПР 21-22'!$A$11:$BB$406,50,FALSE)-VLOOKUP($A186,'ПР 01-02.22'!$A$11:$BB$378,50,FALSE)</f>
        <v>0</v>
      </c>
      <c r="AY186" s="40"/>
      <c r="AZ186" s="40">
        <f t="shared" si="9"/>
        <v>14.320648074823632</v>
      </c>
      <c r="BA186" s="40">
        <f t="shared" si="9"/>
        <v>0</v>
      </c>
      <c r="BB186" s="55">
        <f t="shared" si="12"/>
        <v>-14.320648074823632</v>
      </c>
      <c r="BD186" s="2">
        <v>1</v>
      </c>
      <c r="BF186" s="325">
        <v>150001037</v>
      </c>
    </row>
    <row r="187" spans="1:58" ht="24.9" customHeight="1" x14ac:dyDescent="0.3">
      <c r="A187" s="325">
        <v>150001032</v>
      </c>
      <c r="B187" s="445" t="s">
        <v>370</v>
      </c>
      <c r="C187" s="27">
        <v>9</v>
      </c>
      <c r="D187" s="101" t="s">
        <v>455</v>
      </c>
      <c r="E187" s="279">
        <f>'побудинковий звіт'!E185</f>
        <v>6020</v>
      </c>
      <c r="F187" s="441">
        <f>'побудинковий звіт'!AS185</f>
        <v>81597.665309218806</v>
      </c>
      <c r="G187" s="441">
        <f t="shared" si="10"/>
        <v>95655.079999999987</v>
      </c>
      <c r="H187" s="73">
        <f t="shared" si="11"/>
        <v>14057.414690781181</v>
      </c>
      <c r="I187" s="5">
        <f>VLOOKUP($A187,'ПР 01-02.21'!$A$11:$BB$406,9,FALSE)+VLOOKUP($A187,'ПР 21-22'!$A$11:$BB$406,9,FALSE)-VLOOKUP($A187,'ПР 01-02.22'!$A$11:$BB$378,9,FALSE)</f>
        <v>34.4</v>
      </c>
      <c r="J187" s="5">
        <f>VLOOKUP($A187,'ПР 01-02.21'!$A$11:$BB$406,10,FALSE)+VLOOKUP($A187,'ПР 21-22'!$A$11:$BB$406,10,FALSE)-VLOOKUP($A187,'ПР 01-02.22'!$A$11:$BB$378,10,FALSE)</f>
        <v>6684</v>
      </c>
      <c r="K187" s="446"/>
      <c r="L187" s="5">
        <f>VLOOKUP($A187,'ПР 01-02.21'!$A$11:$BB$406,12,FALSE)+VLOOKUP($A187,'ПР 21-22'!$A$11:$BB$406,12,FALSE)-VLOOKUP($A187,'ПР 01-02.22'!$A$11:$BB$378,12,FALSE)</f>
        <v>0</v>
      </c>
      <c r="M187" s="5">
        <f>VLOOKUP($A187,'ПР 01-02.21'!$A$11:$BB$406,13,FALSE)+VLOOKUP($A187,'ПР 21-22'!$A$11:$BB$406,13,FALSE)-VLOOKUP($A187,'ПР 01-02.22'!$A$11:$BB$378,13,FALSE)</f>
        <v>0</v>
      </c>
      <c r="N187" s="38"/>
      <c r="O187" s="5">
        <f>VLOOKUP($A187,'ПР 01-02.21'!$A$11:$BB$406,15,FALSE)+VLOOKUP($A187,'ПР 21-22'!$A$11:$BB$406,15,FALSE)-VLOOKUP($A187,'ПР 01-02.22'!$A$11:$BB$378,15,FALSE)</f>
        <v>9</v>
      </c>
      <c r="P187" s="5">
        <f>VLOOKUP($A187,'ПР 01-02.21'!$A$11:$BB$406,16,FALSE)+VLOOKUP($A187,'ПР 21-22'!$A$11:$BB$406,16,FALSE)-VLOOKUP($A187,'ПР 01-02.22'!$A$11:$BB$378,16,FALSE)</f>
        <v>2298</v>
      </c>
      <c r="Q187" s="443"/>
      <c r="R187" s="5">
        <f>VLOOKUP($A187,'ПР 01-02.21'!$A$11:$BB$406,18,FALSE)+VLOOKUP($A187,'ПР 21-22'!$A$11:$BB$406,18,FALSE)-VLOOKUP($A187,'ПР 01-02.22'!$A$11:$BB$378,18,FALSE)</f>
        <v>0</v>
      </c>
      <c r="S187" s="5">
        <f>VLOOKUP($A187,'ПР 01-02.21'!$A$11:$BB$406,19,FALSE)+VLOOKUP($A187,'ПР 21-22'!$A$11:$BB$406,19,FALSE)-VLOOKUP($A187,'ПР 01-02.22'!$A$11:$BB$378,19,FALSE)</f>
        <v>0</v>
      </c>
      <c r="T187" s="444"/>
      <c r="U187" s="5">
        <f>VLOOKUP($A187,'ПР 01-02.21'!$A$11:$BB$406,21,FALSE)+VLOOKUP($A187,'ПР 21-22'!$A$11:$BB$406,21,FALSE)-VLOOKUP($A187,'ПР 01-02.22'!$A$11:$BB$378,21,FALSE)</f>
        <v>0</v>
      </c>
      <c r="V187" s="5"/>
      <c r="W187" s="5">
        <f>VLOOKUP($A187,'ПР 01-02.21'!$A$11:$BB$406,23,FALSE)+VLOOKUP($A187,'ПР 21-22'!$A$11:$BB$406,23,FALSE)-VLOOKUP($A187,'ПР 01-02.22'!$A$11:$BB$378,23,FALSE)</f>
        <v>0</v>
      </c>
      <c r="X187" s="5">
        <f>VLOOKUP($A187,'ПР 01-02.21'!$A$11:$BB$406,24,FALSE)+VLOOKUP($A187,'ПР 21-22'!$A$11:$BB$406,24,FALSE)-VLOOKUP($A187,'ПР 01-02.22'!$A$11:$BB$378,24,FALSE)</f>
        <v>56</v>
      </c>
      <c r="Y187" s="5">
        <f>VLOOKUP($A187,'ПР 01-02.21'!$A$11:$BB$406,25,FALSE)+VLOOKUP($A187,'ПР 21-22'!$A$11:$BB$406,25,FALSE)-VLOOKUP($A187,'ПР 01-02.22'!$A$11:$BB$378,25,FALSE)</f>
        <v>75011.62</v>
      </c>
      <c r="Z187" s="5"/>
      <c r="AA187" s="5">
        <f>VLOOKUP($A187,'ПР 01-02.21'!$A$11:$BB$406,27,FALSE)+VLOOKUP($A187,'ПР 21-22'!$A$11:$BB$406,27,FALSE)-VLOOKUP($A187,'ПР 01-02.22'!$A$11:$BB$378,27,FALSE)</f>
        <v>0</v>
      </c>
      <c r="AB187" s="5">
        <f>VLOOKUP($A187,'ПР 01-02.21'!$A$11:$BB$406,28,FALSE)+VLOOKUP($A187,'ПР 21-22'!$A$11:$BB$406,28,FALSE)-VLOOKUP($A187,'ПР 01-02.22'!$A$11:$BB$378,28,FALSE)</f>
        <v>1931</v>
      </c>
      <c r="AC187" s="5">
        <f>VLOOKUP($A187,'ПР 01-02.21'!$A$11:$BB$406,29,FALSE)+VLOOKUP($A187,'ПР 21-22'!$A$11:$BB$406,29,FALSE)-VLOOKUP($A187,'ПР 01-02.22'!$A$11:$BB$378,29,FALSE)</f>
        <v>146</v>
      </c>
      <c r="AD187" s="5">
        <f>VLOOKUP($A187,'ПР 01-02.21'!$A$11:$BB$406,30,FALSE)+VLOOKUP($A187,'ПР 21-22'!$A$11:$BB$406,30,FALSE)-VLOOKUP($A187,'ПР 01-02.22'!$A$11:$BB$378,30,FALSE)</f>
        <v>9528.4599999999991</v>
      </c>
      <c r="AE187" s="5">
        <f>VLOOKUP($A187,'ПР 01-02.21'!$A$11:$BB$406,31,FALSE)+VLOOKUP($A187,'ПР 21-22'!$A$11:$BB$406,31,FALSE)-VLOOKUP($A187,'ПР 01-02.22'!$A$11:$BB$378,31,FALSE)</f>
        <v>2574.2957231438395</v>
      </c>
      <c r="AF187" s="5">
        <f>VLOOKUP($A187,'ПР 01-02.21'!$A$11:$BB$406,32,FALSE)+VLOOKUP($A187,'ПР 21-22'!$A$11:$BB$406,32,FALSE)-VLOOKUP($A187,'ПР 01-02.22'!$A$11:$BB$378,32,FALSE)</f>
        <v>2595</v>
      </c>
      <c r="AG187" s="40"/>
      <c r="AH187" s="5">
        <f>VLOOKUP($A187,'ПР 01-02.21'!$A$11:$BB$406,34,FALSE)+VLOOKUP($A187,'ПР 21-22'!$A$11:$BB$406,34,FALSE)-VLOOKUP($A187,'ПР 01-02.22'!$A$11:$BB$378,34,FALSE)</f>
        <v>2790.1844314005866</v>
      </c>
      <c r="AI187" s="5">
        <f>VLOOKUP($A187,'ПР 01-02.21'!$A$11:$BB$406,35,FALSE)+VLOOKUP($A187,'ПР 21-22'!$A$11:$BB$406,35,FALSE)-VLOOKUP($A187,'ПР 01-02.22'!$A$11:$BB$378,35,FALSE)</f>
        <v>4887</v>
      </c>
      <c r="AJ187" s="40"/>
      <c r="AK187" s="5">
        <f>VLOOKUP($A187,'ПР 01-02.21'!$A$11:$BB$406,37,FALSE)+VLOOKUP($A187,'ПР 21-22'!$A$11:$BB$406,37,FALSE)-VLOOKUP($A187,'ПР 01-02.22'!$A$11:$BB$378,37,FALSE)</f>
        <v>2289.0296553273724</v>
      </c>
      <c r="AL187" s="5">
        <f>VLOOKUP($A187,'ПР 01-02.21'!$A$11:$BB$406,38,FALSE)+VLOOKUP($A187,'ПР 21-22'!$A$11:$BB$406,38,FALSE)-VLOOKUP($A187,'ПР 01-02.22'!$A$11:$BB$378,38,FALSE)</f>
        <v>996</v>
      </c>
      <c r="AM187" s="40"/>
      <c r="AN187" s="5">
        <f>VLOOKUP($A187,'ПР 01-02.21'!$A$11:$BB$406,40,FALSE)+VLOOKUP($A187,'ПР 21-22'!$A$11:$BB$406,40,FALSE)-VLOOKUP($A187,'ПР 01-02.22'!$A$11:$BB$378,40,FALSE)</f>
        <v>3470.9006700442401</v>
      </c>
      <c r="AO187" s="5">
        <f>VLOOKUP($A187,'ПР 01-02.21'!$A$11:$BB$406,41,FALSE)+VLOOKUP($A187,'ПР 21-22'!$A$11:$BB$406,41,FALSE)-VLOOKUP($A187,'ПР 01-02.22'!$A$11:$BB$378,41,FALSE)</f>
        <v>996</v>
      </c>
      <c r="AP187" s="40"/>
      <c r="AQ187" s="5">
        <f>VLOOKUP($A187,'ПР 01-02.21'!$A$11:$BB$406,43,FALSE)+VLOOKUP($A187,'ПР 21-22'!$A$11:$BB$406,43,FALSE)-VLOOKUP($A187,'ПР 01-02.22'!$A$11:$BB$378,43,FALSE)</f>
        <v>2826.7389679876455</v>
      </c>
      <c r="AR187" s="5">
        <f>VLOOKUP($A187,'ПР 01-02.21'!$A$11:$BB$406,44,FALSE)+VLOOKUP($A187,'ПР 21-22'!$A$11:$BB$406,44,FALSE)-VLOOKUP($A187,'ПР 01-02.22'!$A$11:$BB$378,44,FALSE)</f>
        <v>0</v>
      </c>
      <c r="AS187" s="40"/>
      <c r="AT187" s="5">
        <f>VLOOKUP($A187,'ПР 01-02.21'!$A$11:$BB$406,46,FALSE)+VLOOKUP($A187,'ПР 21-22'!$A$11:$BB$406,46,FALSE)-VLOOKUP($A187,'ПР 01-02.22'!$A$11:$BB$378,46,FALSE)</f>
        <v>3689.5110610383695</v>
      </c>
      <c r="AU187" s="5">
        <f>VLOOKUP($A187,'ПР 01-02.21'!$A$11:$BB$406,47,FALSE)+VLOOKUP($A187,'ПР 21-22'!$A$11:$BB$406,47,FALSE)-VLOOKUP($A187,'ПР 01-02.22'!$A$11:$BB$378,47,FALSE)</f>
        <v>657</v>
      </c>
      <c r="AV187" s="40"/>
      <c r="AW187" s="5">
        <f>VLOOKUP($A187,'ПР 01-02.21'!$A$11:$BB$406,49,FALSE)+VLOOKUP($A187,'ПР 21-22'!$A$11:$BB$406,49,FALSE)-VLOOKUP($A187,'ПР 01-02.22'!$A$11:$BB$378,49,FALSE)</f>
        <v>969.80228444929367</v>
      </c>
      <c r="AX187" s="5">
        <f>VLOOKUP($A187,'ПР 01-02.21'!$A$11:$BB$406,50,FALSE)+VLOOKUP($A187,'ПР 21-22'!$A$11:$BB$406,50,FALSE)-VLOOKUP($A187,'ПР 01-02.22'!$A$11:$BB$378,50,FALSE)</f>
        <v>5601.82</v>
      </c>
      <c r="AY187" s="40"/>
      <c r="AZ187" s="40">
        <f t="shared" si="9"/>
        <v>18610.462793391351</v>
      </c>
      <c r="BA187" s="40">
        <f t="shared" si="9"/>
        <v>15732.82</v>
      </c>
      <c r="BB187" s="55">
        <f t="shared" si="12"/>
        <v>-2877.642793391351</v>
      </c>
      <c r="BD187" s="2">
        <v>1</v>
      </c>
      <c r="BF187" s="325">
        <v>150001032</v>
      </c>
    </row>
    <row r="188" spans="1:58" ht="24.9" customHeight="1" x14ac:dyDescent="0.3">
      <c r="A188" s="325">
        <v>150000537</v>
      </c>
      <c r="B188" s="445" t="s">
        <v>106</v>
      </c>
      <c r="C188" s="27">
        <v>1</v>
      </c>
      <c r="D188" s="101" t="s">
        <v>455</v>
      </c>
      <c r="E188" s="279">
        <f>'побудинковий звіт'!E186</f>
        <v>108.3</v>
      </c>
      <c r="F188" s="441">
        <f>'побудинковий звіт'!AS186</f>
        <v>113.52267446971163</v>
      </c>
      <c r="G188" s="441">
        <f t="shared" si="10"/>
        <v>0</v>
      </c>
      <c r="H188" s="73">
        <f t="shared" si="11"/>
        <v>-113.52267446971163</v>
      </c>
      <c r="I188" s="5">
        <f>VLOOKUP($A188,'ПР 01-02.21'!$A$11:$BB$406,9,FALSE)+VLOOKUP($A188,'ПР 21-22'!$A$11:$BB$406,9,FALSE)-VLOOKUP($A188,'ПР 01-02.22'!$A$11:$BB$378,9,FALSE)</f>
        <v>0</v>
      </c>
      <c r="J188" s="5">
        <f>VLOOKUP($A188,'ПР 01-02.21'!$A$11:$BB$406,10,FALSE)+VLOOKUP($A188,'ПР 21-22'!$A$11:$BB$406,10,FALSE)-VLOOKUP($A188,'ПР 01-02.22'!$A$11:$BB$378,10,FALSE)</f>
        <v>0</v>
      </c>
      <c r="K188" s="446"/>
      <c r="L188" s="5">
        <f>VLOOKUP($A188,'ПР 01-02.21'!$A$11:$BB$406,12,FALSE)+VLOOKUP($A188,'ПР 21-22'!$A$11:$BB$406,12,FALSE)-VLOOKUP($A188,'ПР 01-02.22'!$A$11:$BB$378,12,FALSE)</f>
        <v>0</v>
      </c>
      <c r="M188" s="5">
        <f>VLOOKUP($A188,'ПР 01-02.21'!$A$11:$BB$406,13,FALSE)+VLOOKUP($A188,'ПР 21-22'!$A$11:$BB$406,13,FALSE)-VLOOKUP($A188,'ПР 01-02.22'!$A$11:$BB$378,13,FALSE)</f>
        <v>0</v>
      </c>
      <c r="N188" s="38"/>
      <c r="O188" s="5">
        <f>VLOOKUP($A188,'ПР 01-02.21'!$A$11:$BB$406,15,FALSE)+VLOOKUP($A188,'ПР 21-22'!$A$11:$BB$406,15,FALSE)-VLOOKUP($A188,'ПР 01-02.22'!$A$11:$BB$378,15,FALSE)</f>
        <v>0</v>
      </c>
      <c r="P188" s="5">
        <f>VLOOKUP($A188,'ПР 01-02.21'!$A$11:$BB$406,16,FALSE)+VLOOKUP($A188,'ПР 21-22'!$A$11:$BB$406,16,FALSE)-VLOOKUP($A188,'ПР 01-02.22'!$A$11:$BB$378,16,FALSE)</f>
        <v>0</v>
      </c>
      <c r="Q188" s="443"/>
      <c r="R188" s="5">
        <f>VLOOKUP($A188,'ПР 01-02.21'!$A$11:$BB$406,18,FALSE)+VLOOKUP($A188,'ПР 21-22'!$A$11:$BB$406,18,FALSE)-VLOOKUP($A188,'ПР 01-02.22'!$A$11:$BB$378,18,FALSE)</f>
        <v>0</v>
      </c>
      <c r="S188" s="5">
        <f>VLOOKUP($A188,'ПР 01-02.21'!$A$11:$BB$406,19,FALSE)+VLOOKUP($A188,'ПР 21-22'!$A$11:$BB$406,19,FALSE)-VLOOKUP($A188,'ПР 01-02.22'!$A$11:$BB$378,19,FALSE)</f>
        <v>0</v>
      </c>
      <c r="T188" s="444"/>
      <c r="U188" s="5">
        <f>VLOOKUP($A188,'ПР 01-02.21'!$A$11:$BB$406,21,FALSE)+VLOOKUP($A188,'ПР 21-22'!$A$11:$BB$406,21,FALSE)-VLOOKUP($A188,'ПР 01-02.22'!$A$11:$BB$378,21,FALSE)</f>
        <v>0</v>
      </c>
      <c r="V188" s="5"/>
      <c r="W188" s="5">
        <f>VLOOKUP($A188,'ПР 01-02.21'!$A$11:$BB$406,23,FALSE)+VLOOKUP($A188,'ПР 21-22'!$A$11:$BB$406,23,FALSE)-VLOOKUP($A188,'ПР 01-02.22'!$A$11:$BB$378,23,FALSE)</f>
        <v>0</v>
      </c>
      <c r="X188" s="5">
        <f>VLOOKUP($A188,'ПР 01-02.21'!$A$11:$BB$406,24,FALSE)+VLOOKUP($A188,'ПР 21-22'!$A$11:$BB$406,24,FALSE)-VLOOKUP($A188,'ПР 01-02.22'!$A$11:$BB$378,24,FALSE)</f>
        <v>0</v>
      </c>
      <c r="Y188" s="5">
        <f>VLOOKUP($A188,'ПР 01-02.21'!$A$11:$BB$406,25,FALSE)+VLOOKUP($A188,'ПР 21-22'!$A$11:$BB$406,25,FALSE)-VLOOKUP($A188,'ПР 01-02.22'!$A$11:$BB$378,25,FALSE)</f>
        <v>0</v>
      </c>
      <c r="Z188" s="5"/>
      <c r="AA188" s="5">
        <f>VLOOKUP($A188,'ПР 01-02.21'!$A$11:$BB$406,27,FALSE)+VLOOKUP($A188,'ПР 21-22'!$A$11:$BB$406,27,FALSE)-VLOOKUP($A188,'ПР 01-02.22'!$A$11:$BB$378,27,FALSE)</f>
        <v>0</v>
      </c>
      <c r="AB188" s="5">
        <f>VLOOKUP($A188,'ПР 01-02.21'!$A$11:$BB$406,28,FALSE)+VLOOKUP($A188,'ПР 21-22'!$A$11:$BB$406,28,FALSE)-VLOOKUP($A188,'ПР 01-02.22'!$A$11:$BB$378,28,FALSE)</f>
        <v>0</v>
      </c>
      <c r="AC188" s="5">
        <f>VLOOKUP($A188,'ПР 01-02.21'!$A$11:$BB$406,29,FALSE)+VLOOKUP($A188,'ПР 21-22'!$A$11:$BB$406,29,FALSE)-VLOOKUP($A188,'ПР 01-02.22'!$A$11:$BB$378,29,FALSE)</f>
        <v>0</v>
      </c>
      <c r="AD188" s="5">
        <f>VLOOKUP($A188,'ПР 01-02.21'!$A$11:$BB$406,30,FALSE)+VLOOKUP($A188,'ПР 21-22'!$A$11:$BB$406,30,FALSE)-VLOOKUP($A188,'ПР 01-02.22'!$A$11:$BB$378,30,FALSE)</f>
        <v>0</v>
      </c>
      <c r="AE188" s="5">
        <f>VLOOKUP($A188,'ПР 01-02.21'!$A$11:$BB$406,31,FALSE)+VLOOKUP($A188,'ПР 21-22'!$A$11:$BB$406,31,FALSE)-VLOOKUP($A188,'ПР 01-02.22'!$A$11:$BB$378,31,FALSE)</f>
        <v>0</v>
      </c>
      <c r="AF188" s="5">
        <f>VLOOKUP($A188,'ПР 01-02.21'!$A$11:$BB$406,32,FALSE)+VLOOKUP($A188,'ПР 21-22'!$A$11:$BB$406,32,FALSE)-VLOOKUP($A188,'ПР 01-02.22'!$A$11:$BB$378,32,FALSE)</f>
        <v>0</v>
      </c>
      <c r="AG188" s="40"/>
      <c r="AH188" s="5">
        <f>VLOOKUP($A188,'ПР 01-02.21'!$A$11:$BB$406,34,FALSE)+VLOOKUP($A188,'ПР 21-22'!$A$11:$BB$406,34,FALSE)-VLOOKUP($A188,'ПР 01-02.22'!$A$11:$BB$378,34,FALSE)</f>
        <v>0</v>
      </c>
      <c r="AI188" s="5">
        <f>VLOOKUP($A188,'ПР 01-02.21'!$A$11:$BB$406,35,FALSE)+VLOOKUP($A188,'ПР 21-22'!$A$11:$BB$406,35,FALSE)-VLOOKUP($A188,'ПР 01-02.22'!$A$11:$BB$378,35,FALSE)</f>
        <v>0</v>
      </c>
      <c r="AJ188" s="40"/>
      <c r="AK188" s="5">
        <f>VLOOKUP($A188,'ПР 01-02.21'!$A$11:$BB$406,37,FALSE)+VLOOKUP($A188,'ПР 21-22'!$A$11:$BB$406,37,FALSE)-VLOOKUP($A188,'ПР 01-02.22'!$A$11:$BB$378,37,FALSE)</f>
        <v>0</v>
      </c>
      <c r="AL188" s="5">
        <f>VLOOKUP($A188,'ПР 01-02.21'!$A$11:$BB$406,38,FALSE)+VLOOKUP($A188,'ПР 21-22'!$A$11:$BB$406,38,FALSE)-VLOOKUP($A188,'ПР 01-02.22'!$A$11:$BB$378,38,FALSE)</f>
        <v>0</v>
      </c>
      <c r="AM188" s="40"/>
      <c r="AN188" s="5">
        <f>VLOOKUP($A188,'ПР 01-02.21'!$A$11:$BB$406,40,FALSE)+VLOOKUP($A188,'ПР 21-22'!$A$11:$BB$406,40,FALSE)-VLOOKUP($A188,'ПР 01-02.22'!$A$11:$BB$378,40,FALSE)</f>
        <v>0</v>
      </c>
      <c r="AO188" s="5">
        <f>VLOOKUP($A188,'ПР 01-02.21'!$A$11:$BB$406,41,FALSE)+VLOOKUP($A188,'ПР 21-22'!$A$11:$BB$406,41,FALSE)-VLOOKUP($A188,'ПР 01-02.22'!$A$11:$BB$378,41,FALSE)</f>
        <v>0</v>
      </c>
      <c r="AP188" s="40"/>
      <c r="AQ188" s="5">
        <f>VLOOKUP($A188,'ПР 01-02.21'!$A$11:$BB$406,43,FALSE)+VLOOKUP($A188,'ПР 21-22'!$A$11:$BB$406,43,FALSE)-VLOOKUP($A188,'ПР 01-02.22'!$A$11:$BB$378,43,FALSE)</f>
        <v>0</v>
      </c>
      <c r="AR188" s="5">
        <f>VLOOKUP($A188,'ПР 01-02.21'!$A$11:$BB$406,44,FALSE)+VLOOKUP($A188,'ПР 21-22'!$A$11:$BB$406,44,FALSE)-VLOOKUP($A188,'ПР 01-02.22'!$A$11:$BB$378,44,FALSE)</f>
        <v>0</v>
      </c>
      <c r="AS188" s="40"/>
      <c r="AT188" s="5">
        <f>VLOOKUP($A188,'ПР 01-02.21'!$A$11:$BB$406,46,FALSE)+VLOOKUP($A188,'ПР 21-22'!$A$11:$BB$406,46,FALSE)-VLOOKUP($A188,'ПР 01-02.22'!$A$11:$BB$378,46,FALSE)</f>
        <v>0</v>
      </c>
      <c r="AU188" s="5">
        <f>VLOOKUP($A188,'ПР 01-02.21'!$A$11:$BB$406,47,FALSE)+VLOOKUP($A188,'ПР 21-22'!$A$11:$BB$406,47,FALSE)-VLOOKUP($A188,'ПР 01-02.22'!$A$11:$BB$378,47,FALSE)</f>
        <v>0</v>
      </c>
      <c r="AV188" s="40"/>
      <c r="AW188" s="5">
        <f>VLOOKUP($A188,'ПР 01-02.21'!$A$11:$BB$406,49,FALSE)+VLOOKUP($A188,'ПР 21-22'!$A$11:$BB$406,49,FALSE)-VLOOKUP($A188,'ПР 01-02.22'!$A$11:$BB$378,49,FALSE)</f>
        <v>5.3319999999999999</v>
      </c>
      <c r="AX188" s="5">
        <f>VLOOKUP($A188,'ПР 01-02.21'!$A$11:$BB$406,50,FALSE)+VLOOKUP($A188,'ПР 21-22'!$A$11:$BB$406,50,FALSE)-VLOOKUP($A188,'ПР 01-02.22'!$A$11:$BB$378,50,FALSE)</f>
        <v>0</v>
      </c>
      <c r="AY188" s="40"/>
      <c r="AZ188" s="40">
        <f t="shared" ref="AZ188:BA246" si="13">AE188+AH188+AK188+AN188+AQ188+AT188+AW188</f>
        <v>5.3319999999999999</v>
      </c>
      <c r="BA188" s="40">
        <f t="shared" si="13"/>
        <v>0</v>
      </c>
      <c r="BB188" s="55">
        <f t="shared" si="12"/>
        <v>-5.3319999999999999</v>
      </c>
      <c r="BD188" s="2">
        <v>2</v>
      </c>
      <c r="BF188" s="325">
        <v>150000537</v>
      </c>
    </row>
    <row r="189" spans="1:58" ht="24.9" customHeight="1" x14ac:dyDescent="0.3">
      <c r="A189" s="325">
        <v>150000545</v>
      </c>
      <c r="B189" s="445" t="s">
        <v>107</v>
      </c>
      <c r="C189" s="27">
        <v>1</v>
      </c>
      <c r="D189" s="101" t="s">
        <v>455</v>
      </c>
      <c r="E189" s="279">
        <f>'побудинковий звіт'!E187</f>
        <v>95</v>
      </c>
      <c r="F189" s="441">
        <f>'побудинковий звіт'!AS187</f>
        <v>938.25804168556681</v>
      </c>
      <c r="G189" s="441">
        <f t="shared" si="10"/>
        <v>0</v>
      </c>
      <c r="H189" s="73">
        <f t="shared" si="11"/>
        <v>-938.25804168556681</v>
      </c>
      <c r="I189" s="5">
        <f>VLOOKUP($A189,'ПР 01-02.21'!$A$11:$BB$406,9,FALSE)+VLOOKUP($A189,'ПР 21-22'!$A$11:$BB$406,9,FALSE)-VLOOKUP($A189,'ПР 01-02.22'!$A$11:$BB$378,9,FALSE)</f>
        <v>0</v>
      </c>
      <c r="J189" s="5">
        <f>VLOOKUP($A189,'ПР 01-02.21'!$A$11:$BB$406,10,FALSE)+VLOOKUP($A189,'ПР 21-22'!$A$11:$BB$406,10,FALSE)-VLOOKUP($A189,'ПР 01-02.22'!$A$11:$BB$378,10,FALSE)</f>
        <v>0</v>
      </c>
      <c r="K189" s="446"/>
      <c r="L189" s="5">
        <f>VLOOKUP($A189,'ПР 01-02.21'!$A$11:$BB$406,12,FALSE)+VLOOKUP($A189,'ПР 21-22'!$A$11:$BB$406,12,FALSE)-VLOOKUP($A189,'ПР 01-02.22'!$A$11:$BB$378,12,FALSE)</f>
        <v>0</v>
      </c>
      <c r="M189" s="5">
        <f>VLOOKUP($A189,'ПР 01-02.21'!$A$11:$BB$406,13,FALSE)+VLOOKUP($A189,'ПР 21-22'!$A$11:$BB$406,13,FALSE)-VLOOKUP($A189,'ПР 01-02.22'!$A$11:$BB$378,13,FALSE)</f>
        <v>0</v>
      </c>
      <c r="N189" s="38"/>
      <c r="O189" s="5">
        <f>VLOOKUP($A189,'ПР 01-02.21'!$A$11:$BB$406,15,FALSE)+VLOOKUP($A189,'ПР 21-22'!$A$11:$BB$406,15,FALSE)-VLOOKUP($A189,'ПР 01-02.22'!$A$11:$BB$378,15,FALSE)</f>
        <v>0</v>
      </c>
      <c r="P189" s="5">
        <f>VLOOKUP($A189,'ПР 01-02.21'!$A$11:$BB$406,16,FALSE)+VLOOKUP($A189,'ПР 21-22'!$A$11:$BB$406,16,FALSE)-VLOOKUP($A189,'ПР 01-02.22'!$A$11:$BB$378,16,FALSE)</f>
        <v>0</v>
      </c>
      <c r="Q189" s="443"/>
      <c r="R189" s="5">
        <f>VLOOKUP($A189,'ПР 01-02.21'!$A$11:$BB$406,18,FALSE)+VLOOKUP($A189,'ПР 21-22'!$A$11:$BB$406,18,FALSE)-VLOOKUP($A189,'ПР 01-02.22'!$A$11:$BB$378,18,FALSE)</f>
        <v>0</v>
      </c>
      <c r="S189" s="5">
        <f>VLOOKUP($A189,'ПР 01-02.21'!$A$11:$BB$406,19,FALSE)+VLOOKUP($A189,'ПР 21-22'!$A$11:$BB$406,19,FALSE)-VLOOKUP($A189,'ПР 01-02.22'!$A$11:$BB$378,19,FALSE)</f>
        <v>0</v>
      </c>
      <c r="T189" s="444"/>
      <c r="U189" s="5">
        <f>VLOOKUP($A189,'ПР 01-02.21'!$A$11:$BB$406,21,FALSE)+VLOOKUP($A189,'ПР 21-22'!$A$11:$BB$406,21,FALSE)-VLOOKUP($A189,'ПР 01-02.22'!$A$11:$BB$378,21,FALSE)</f>
        <v>0</v>
      </c>
      <c r="V189" s="5"/>
      <c r="W189" s="5">
        <f>VLOOKUP($A189,'ПР 01-02.21'!$A$11:$BB$406,23,FALSE)+VLOOKUP($A189,'ПР 21-22'!$A$11:$BB$406,23,FALSE)-VLOOKUP($A189,'ПР 01-02.22'!$A$11:$BB$378,23,FALSE)</f>
        <v>0</v>
      </c>
      <c r="X189" s="5">
        <f>VLOOKUP($A189,'ПР 01-02.21'!$A$11:$BB$406,24,FALSE)+VLOOKUP($A189,'ПР 21-22'!$A$11:$BB$406,24,FALSE)-VLOOKUP($A189,'ПР 01-02.22'!$A$11:$BB$378,24,FALSE)</f>
        <v>0</v>
      </c>
      <c r="Y189" s="5">
        <f>VLOOKUP($A189,'ПР 01-02.21'!$A$11:$BB$406,25,FALSE)+VLOOKUP($A189,'ПР 21-22'!$A$11:$BB$406,25,FALSE)-VLOOKUP($A189,'ПР 01-02.22'!$A$11:$BB$378,25,FALSE)</f>
        <v>0</v>
      </c>
      <c r="Z189" s="5"/>
      <c r="AA189" s="5">
        <f>VLOOKUP($A189,'ПР 01-02.21'!$A$11:$BB$406,27,FALSE)+VLOOKUP($A189,'ПР 21-22'!$A$11:$BB$406,27,FALSE)-VLOOKUP($A189,'ПР 01-02.22'!$A$11:$BB$378,27,FALSE)</f>
        <v>0</v>
      </c>
      <c r="AB189" s="5">
        <f>VLOOKUP($A189,'ПР 01-02.21'!$A$11:$BB$406,28,FALSE)+VLOOKUP($A189,'ПР 21-22'!$A$11:$BB$406,28,FALSE)-VLOOKUP($A189,'ПР 01-02.22'!$A$11:$BB$378,28,FALSE)</f>
        <v>0</v>
      </c>
      <c r="AC189" s="5">
        <f>VLOOKUP($A189,'ПР 01-02.21'!$A$11:$BB$406,29,FALSE)+VLOOKUP($A189,'ПР 21-22'!$A$11:$BB$406,29,FALSE)-VLOOKUP($A189,'ПР 01-02.22'!$A$11:$BB$378,29,FALSE)</f>
        <v>0</v>
      </c>
      <c r="AD189" s="5">
        <f>VLOOKUP($A189,'ПР 01-02.21'!$A$11:$BB$406,30,FALSE)+VLOOKUP($A189,'ПР 21-22'!$A$11:$BB$406,30,FALSE)-VLOOKUP($A189,'ПР 01-02.22'!$A$11:$BB$378,30,FALSE)</f>
        <v>0</v>
      </c>
      <c r="AE189" s="5">
        <f>VLOOKUP($A189,'ПР 01-02.21'!$A$11:$BB$406,31,FALSE)+VLOOKUP($A189,'ПР 21-22'!$A$11:$BB$406,31,FALSE)-VLOOKUP($A189,'ПР 01-02.22'!$A$11:$BB$378,31,FALSE)</f>
        <v>0</v>
      </c>
      <c r="AF189" s="5">
        <f>VLOOKUP($A189,'ПР 01-02.21'!$A$11:$BB$406,32,FALSE)+VLOOKUP($A189,'ПР 21-22'!$A$11:$BB$406,32,FALSE)-VLOOKUP($A189,'ПР 01-02.22'!$A$11:$BB$378,32,FALSE)</f>
        <v>0</v>
      </c>
      <c r="AG189" s="40"/>
      <c r="AH189" s="5">
        <f>VLOOKUP($A189,'ПР 01-02.21'!$A$11:$BB$406,34,FALSE)+VLOOKUP($A189,'ПР 21-22'!$A$11:$BB$406,34,FALSE)-VLOOKUP($A189,'ПР 01-02.22'!$A$11:$BB$378,34,FALSE)</f>
        <v>0</v>
      </c>
      <c r="AI189" s="5">
        <f>VLOOKUP($A189,'ПР 01-02.21'!$A$11:$BB$406,35,FALSE)+VLOOKUP($A189,'ПР 21-22'!$A$11:$BB$406,35,FALSE)-VLOOKUP($A189,'ПР 01-02.22'!$A$11:$BB$378,35,FALSE)</f>
        <v>0</v>
      </c>
      <c r="AJ189" s="40"/>
      <c r="AK189" s="5">
        <f>VLOOKUP($A189,'ПР 01-02.21'!$A$11:$BB$406,37,FALSE)+VLOOKUP($A189,'ПР 21-22'!$A$11:$BB$406,37,FALSE)-VLOOKUP($A189,'ПР 01-02.22'!$A$11:$BB$378,37,FALSE)</f>
        <v>0</v>
      </c>
      <c r="AL189" s="5">
        <f>VLOOKUP($A189,'ПР 01-02.21'!$A$11:$BB$406,38,FALSE)+VLOOKUP($A189,'ПР 21-22'!$A$11:$BB$406,38,FALSE)-VLOOKUP($A189,'ПР 01-02.22'!$A$11:$BB$378,38,FALSE)</f>
        <v>0</v>
      </c>
      <c r="AM189" s="40"/>
      <c r="AN189" s="5">
        <f>VLOOKUP($A189,'ПР 01-02.21'!$A$11:$BB$406,40,FALSE)+VLOOKUP($A189,'ПР 21-22'!$A$11:$BB$406,40,FALSE)-VLOOKUP($A189,'ПР 01-02.22'!$A$11:$BB$378,40,FALSE)</f>
        <v>0</v>
      </c>
      <c r="AO189" s="5">
        <f>VLOOKUP($A189,'ПР 01-02.21'!$A$11:$BB$406,41,FALSE)+VLOOKUP($A189,'ПР 21-22'!$A$11:$BB$406,41,FALSE)-VLOOKUP($A189,'ПР 01-02.22'!$A$11:$BB$378,41,FALSE)</f>
        <v>0</v>
      </c>
      <c r="AP189" s="40"/>
      <c r="AQ189" s="5">
        <f>VLOOKUP($A189,'ПР 01-02.21'!$A$11:$BB$406,43,FALSE)+VLOOKUP($A189,'ПР 21-22'!$A$11:$BB$406,43,FALSE)-VLOOKUP($A189,'ПР 01-02.22'!$A$11:$BB$378,43,FALSE)</f>
        <v>0</v>
      </c>
      <c r="AR189" s="5">
        <f>VLOOKUP($A189,'ПР 01-02.21'!$A$11:$BB$406,44,FALSE)+VLOOKUP($A189,'ПР 21-22'!$A$11:$BB$406,44,FALSE)-VLOOKUP($A189,'ПР 01-02.22'!$A$11:$BB$378,44,FALSE)</f>
        <v>0</v>
      </c>
      <c r="AS189" s="40"/>
      <c r="AT189" s="5">
        <f>VLOOKUP($A189,'ПР 01-02.21'!$A$11:$BB$406,46,FALSE)+VLOOKUP($A189,'ПР 21-22'!$A$11:$BB$406,46,FALSE)-VLOOKUP($A189,'ПР 01-02.22'!$A$11:$BB$378,46,FALSE)</f>
        <v>0</v>
      </c>
      <c r="AU189" s="5">
        <f>VLOOKUP($A189,'ПР 01-02.21'!$A$11:$BB$406,47,FALSE)+VLOOKUP($A189,'ПР 21-22'!$A$11:$BB$406,47,FALSE)-VLOOKUP($A189,'ПР 01-02.22'!$A$11:$BB$378,47,FALSE)</f>
        <v>0</v>
      </c>
      <c r="AV189" s="40"/>
      <c r="AW189" s="5">
        <f>VLOOKUP($A189,'ПР 01-02.21'!$A$11:$BB$406,49,FALSE)+VLOOKUP($A189,'ПР 21-22'!$A$11:$BB$406,49,FALSE)-VLOOKUP($A189,'ПР 01-02.22'!$A$11:$BB$378,49,FALSE)</f>
        <v>4.8000000000000007</v>
      </c>
      <c r="AX189" s="5">
        <f>VLOOKUP($A189,'ПР 01-02.21'!$A$11:$BB$406,50,FALSE)+VLOOKUP($A189,'ПР 21-22'!$A$11:$BB$406,50,FALSE)-VLOOKUP($A189,'ПР 01-02.22'!$A$11:$BB$378,50,FALSE)</f>
        <v>0</v>
      </c>
      <c r="AY189" s="40"/>
      <c r="AZ189" s="40">
        <f t="shared" si="13"/>
        <v>4.8000000000000007</v>
      </c>
      <c r="BA189" s="40">
        <f t="shared" si="13"/>
        <v>0</v>
      </c>
      <c r="BB189" s="55">
        <f t="shared" si="12"/>
        <v>-4.8000000000000007</v>
      </c>
      <c r="BD189" s="2">
        <v>2</v>
      </c>
      <c r="BF189" s="325">
        <v>150000545</v>
      </c>
    </row>
    <row r="190" spans="1:58" ht="24.9" customHeight="1" x14ac:dyDescent="0.3">
      <c r="A190" s="325">
        <v>150000546</v>
      </c>
      <c r="B190" s="445" t="s">
        <v>108</v>
      </c>
      <c r="C190" s="27">
        <v>1</v>
      </c>
      <c r="D190" s="101" t="s">
        <v>455</v>
      </c>
      <c r="E190" s="279">
        <f>'побудинковий звіт'!E188</f>
        <v>131.30000000000001</v>
      </c>
      <c r="F190" s="441">
        <f>'побудинковий звіт'!AS188</f>
        <v>1280.0536383689835</v>
      </c>
      <c r="G190" s="441">
        <f t="shared" si="10"/>
        <v>0</v>
      </c>
      <c r="H190" s="73">
        <f t="shared" si="11"/>
        <v>-1280.0536383689835</v>
      </c>
      <c r="I190" s="5">
        <f>VLOOKUP($A190,'ПР 01-02.21'!$A$11:$BB$406,9,FALSE)+VLOOKUP($A190,'ПР 21-22'!$A$11:$BB$406,9,FALSE)-VLOOKUP($A190,'ПР 01-02.22'!$A$11:$BB$378,9,FALSE)</f>
        <v>0</v>
      </c>
      <c r="J190" s="5">
        <f>VLOOKUP($A190,'ПР 01-02.21'!$A$11:$BB$406,10,FALSE)+VLOOKUP($A190,'ПР 21-22'!$A$11:$BB$406,10,FALSE)-VLOOKUP($A190,'ПР 01-02.22'!$A$11:$BB$378,10,FALSE)</f>
        <v>0</v>
      </c>
      <c r="K190" s="446"/>
      <c r="L190" s="5">
        <f>VLOOKUP($A190,'ПР 01-02.21'!$A$11:$BB$406,12,FALSE)+VLOOKUP($A190,'ПР 21-22'!$A$11:$BB$406,12,FALSE)-VLOOKUP($A190,'ПР 01-02.22'!$A$11:$BB$378,12,FALSE)</f>
        <v>0</v>
      </c>
      <c r="M190" s="5">
        <f>VLOOKUP($A190,'ПР 01-02.21'!$A$11:$BB$406,13,FALSE)+VLOOKUP($A190,'ПР 21-22'!$A$11:$BB$406,13,FALSE)-VLOOKUP($A190,'ПР 01-02.22'!$A$11:$BB$378,13,FALSE)</f>
        <v>0</v>
      </c>
      <c r="N190" s="38"/>
      <c r="O190" s="5">
        <f>VLOOKUP($A190,'ПР 01-02.21'!$A$11:$BB$406,15,FALSE)+VLOOKUP($A190,'ПР 21-22'!$A$11:$BB$406,15,FALSE)-VLOOKUP($A190,'ПР 01-02.22'!$A$11:$BB$378,15,FALSE)</f>
        <v>0</v>
      </c>
      <c r="P190" s="5">
        <f>VLOOKUP($A190,'ПР 01-02.21'!$A$11:$BB$406,16,FALSE)+VLOOKUP($A190,'ПР 21-22'!$A$11:$BB$406,16,FALSE)-VLOOKUP($A190,'ПР 01-02.22'!$A$11:$BB$378,16,FALSE)</f>
        <v>0</v>
      </c>
      <c r="Q190" s="443"/>
      <c r="R190" s="5">
        <f>VLOOKUP($A190,'ПР 01-02.21'!$A$11:$BB$406,18,FALSE)+VLOOKUP($A190,'ПР 21-22'!$A$11:$BB$406,18,FALSE)-VLOOKUP($A190,'ПР 01-02.22'!$A$11:$BB$378,18,FALSE)</f>
        <v>0</v>
      </c>
      <c r="S190" s="5">
        <f>VLOOKUP($A190,'ПР 01-02.21'!$A$11:$BB$406,19,FALSE)+VLOOKUP($A190,'ПР 21-22'!$A$11:$BB$406,19,FALSE)-VLOOKUP($A190,'ПР 01-02.22'!$A$11:$BB$378,19,FALSE)</f>
        <v>0</v>
      </c>
      <c r="T190" s="444"/>
      <c r="U190" s="5">
        <f>VLOOKUP($A190,'ПР 01-02.21'!$A$11:$BB$406,21,FALSE)+VLOOKUP($A190,'ПР 21-22'!$A$11:$BB$406,21,FALSE)-VLOOKUP($A190,'ПР 01-02.22'!$A$11:$BB$378,21,FALSE)</f>
        <v>0</v>
      </c>
      <c r="V190" s="5"/>
      <c r="W190" s="5">
        <f>VLOOKUP($A190,'ПР 01-02.21'!$A$11:$BB$406,23,FALSE)+VLOOKUP($A190,'ПР 21-22'!$A$11:$BB$406,23,FALSE)-VLOOKUP($A190,'ПР 01-02.22'!$A$11:$BB$378,23,FALSE)</f>
        <v>0</v>
      </c>
      <c r="X190" s="5">
        <f>VLOOKUP($A190,'ПР 01-02.21'!$A$11:$BB$406,24,FALSE)+VLOOKUP($A190,'ПР 21-22'!$A$11:$BB$406,24,FALSE)-VLOOKUP($A190,'ПР 01-02.22'!$A$11:$BB$378,24,FALSE)</f>
        <v>0</v>
      </c>
      <c r="Y190" s="5">
        <f>VLOOKUP($A190,'ПР 01-02.21'!$A$11:$BB$406,25,FALSE)+VLOOKUP($A190,'ПР 21-22'!$A$11:$BB$406,25,FALSE)-VLOOKUP($A190,'ПР 01-02.22'!$A$11:$BB$378,25,FALSE)</f>
        <v>0</v>
      </c>
      <c r="Z190" s="5"/>
      <c r="AA190" s="5">
        <f>VLOOKUP($A190,'ПР 01-02.21'!$A$11:$BB$406,27,FALSE)+VLOOKUP($A190,'ПР 21-22'!$A$11:$BB$406,27,FALSE)-VLOOKUP($A190,'ПР 01-02.22'!$A$11:$BB$378,27,FALSE)</f>
        <v>0</v>
      </c>
      <c r="AB190" s="5">
        <f>VLOOKUP($A190,'ПР 01-02.21'!$A$11:$BB$406,28,FALSE)+VLOOKUP($A190,'ПР 21-22'!$A$11:$BB$406,28,FALSE)-VLOOKUP($A190,'ПР 01-02.22'!$A$11:$BB$378,28,FALSE)</f>
        <v>0</v>
      </c>
      <c r="AC190" s="5">
        <f>VLOOKUP($A190,'ПР 01-02.21'!$A$11:$BB$406,29,FALSE)+VLOOKUP($A190,'ПР 21-22'!$A$11:$BB$406,29,FALSE)-VLOOKUP($A190,'ПР 01-02.22'!$A$11:$BB$378,29,FALSE)</f>
        <v>0</v>
      </c>
      <c r="AD190" s="5">
        <f>VLOOKUP($A190,'ПР 01-02.21'!$A$11:$BB$406,30,FALSE)+VLOOKUP($A190,'ПР 21-22'!$A$11:$BB$406,30,FALSE)-VLOOKUP($A190,'ПР 01-02.22'!$A$11:$BB$378,30,FALSE)</f>
        <v>0</v>
      </c>
      <c r="AE190" s="5">
        <f>VLOOKUP($A190,'ПР 01-02.21'!$A$11:$BB$406,31,FALSE)+VLOOKUP($A190,'ПР 21-22'!$A$11:$BB$406,31,FALSE)-VLOOKUP($A190,'ПР 01-02.22'!$A$11:$BB$378,31,FALSE)</f>
        <v>0</v>
      </c>
      <c r="AF190" s="5">
        <f>VLOOKUP($A190,'ПР 01-02.21'!$A$11:$BB$406,32,FALSE)+VLOOKUP($A190,'ПР 21-22'!$A$11:$BB$406,32,FALSE)-VLOOKUP($A190,'ПР 01-02.22'!$A$11:$BB$378,32,FALSE)</f>
        <v>0</v>
      </c>
      <c r="AG190" s="40"/>
      <c r="AH190" s="5">
        <f>VLOOKUP($A190,'ПР 01-02.21'!$A$11:$BB$406,34,FALSE)+VLOOKUP($A190,'ПР 21-22'!$A$11:$BB$406,34,FALSE)-VLOOKUP($A190,'ПР 01-02.22'!$A$11:$BB$378,34,FALSE)</f>
        <v>0</v>
      </c>
      <c r="AI190" s="5">
        <f>VLOOKUP($A190,'ПР 01-02.21'!$A$11:$BB$406,35,FALSE)+VLOOKUP($A190,'ПР 21-22'!$A$11:$BB$406,35,FALSE)-VLOOKUP($A190,'ПР 01-02.22'!$A$11:$BB$378,35,FALSE)</f>
        <v>0</v>
      </c>
      <c r="AJ190" s="40"/>
      <c r="AK190" s="5">
        <f>VLOOKUP($A190,'ПР 01-02.21'!$A$11:$BB$406,37,FALSE)+VLOOKUP($A190,'ПР 21-22'!$A$11:$BB$406,37,FALSE)-VLOOKUP($A190,'ПР 01-02.22'!$A$11:$BB$378,37,FALSE)</f>
        <v>0</v>
      </c>
      <c r="AL190" s="5">
        <f>VLOOKUP($A190,'ПР 01-02.21'!$A$11:$BB$406,38,FALSE)+VLOOKUP($A190,'ПР 21-22'!$A$11:$BB$406,38,FALSE)-VLOOKUP($A190,'ПР 01-02.22'!$A$11:$BB$378,38,FALSE)</f>
        <v>0</v>
      </c>
      <c r="AM190" s="40"/>
      <c r="AN190" s="5">
        <f>VLOOKUP($A190,'ПР 01-02.21'!$A$11:$BB$406,40,FALSE)+VLOOKUP($A190,'ПР 21-22'!$A$11:$BB$406,40,FALSE)-VLOOKUP($A190,'ПР 01-02.22'!$A$11:$BB$378,40,FALSE)</f>
        <v>0</v>
      </c>
      <c r="AO190" s="5">
        <f>VLOOKUP($A190,'ПР 01-02.21'!$A$11:$BB$406,41,FALSE)+VLOOKUP($A190,'ПР 21-22'!$A$11:$BB$406,41,FALSE)-VLOOKUP($A190,'ПР 01-02.22'!$A$11:$BB$378,41,FALSE)</f>
        <v>0</v>
      </c>
      <c r="AP190" s="40"/>
      <c r="AQ190" s="5">
        <f>VLOOKUP($A190,'ПР 01-02.21'!$A$11:$BB$406,43,FALSE)+VLOOKUP($A190,'ПР 21-22'!$A$11:$BB$406,43,FALSE)-VLOOKUP($A190,'ПР 01-02.22'!$A$11:$BB$378,43,FALSE)</f>
        <v>0</v>
      </c>
      <c r="AR190" s="5">
        <f>VLOOKUP($A190,'ПР 01-02.21'!$A$11:$BB$406,44,FALSE)+VLOOKUP($A190,'ПР 21-22'!$A$11:$BB$406,44,FALSE)-VLOOKUP($A190,'ПР 01-02.22'!$A$11:$BB$378,44,FALSE)</f>
        <v>0</v>
      </c>
      <c r="AS190" s="40"/>
      <c r="AT190" s="5">
        <f>VLOOKUP($A190,'ПР 01-02.21'!$A$11:$BB$406,46,FALSE)+VLOOKUP($A190,'ПР 21-22'!$A$11:$BB$406,46,FALSE)-VLOOKUP($A190,'ПР 01-02.22'!$A$11:$BB$378,46,FALSE)</f>
        <v>0</v>
      </c>
      <c r="AU190" s="5">
        <f>VLOOKUP($A190,'ПР 01-02.21'!$A$11:$BB$406,47,FALSE)+VLOOKUP($A190,'ПР 21-22'!$A$11:$BB$406,47,FALSE)-VLOOKUP($A190,'ПР 01-02.22'!$A$11:$BB$378,47,FALSE)</f>
        <v>0</v>
      </c>
      <c r="AV190" s="40"/>
      <c r="AW190" s="5">
        <f>VLOOKUP($A190,'ПР 01-02.21'!$A$11:$BB$406,49,FALSE)+VLOOKUP($A190,'ПР 21-22'!$A$11:$BB$406,49,FALSE)-VLOOKUP($A190,'ПР 01-02.22'!$A$11:$BB$378,49,FALSE)</f>
        <v>6.2460000000000004</v>
      </c>
      <c r="AX190" s="5">
        <f>VLOOKUP($A190,'ПР 01-02.21'!$A$11:$BB$406,50,FALSE)+VLOOKUP($A190,'ПР 21-22'!$A$11:$BB$406,50,FALSE)-VLOOKUP($A190,'ПР 01-02.22'!$A$11:$BB$378,50,FALSE)</f>
        <v>0</v>
      </c>
      <c r="AY190" s="40"/>
      <c r="AZ190" s="40">
        <f t="shared" si="13"/>
        <v>6.2460000000000004</v>
      </c>
      <c r="BA190" s="40">
        <f t="shared" si="13"/>
        <v>0</v>
      </c>
      <c r="BB190" s="55">
        <f t="shared" si="12"/>
        <v>-6.2460000000000004</v>
      </c>
      <c r="BD190" s="2">
        <v>2</v>
      </c>
      <c r="BF190" s="325">
        <v>150000546</v>
      </c>
    </row>
    <row r="191" spans="1:58" ht="24.9" customHeight="1" x14ac:dyDescent="0.3">
      <c r="A191" s="325">
        <v>150000502</v>
      </c>
      <c r="B191" s="445" t="s">
        <v>109</v>
      </c>
      <c r="C191" s="27">
        <v>1</v>
      </c>
      <c r="D191" s="101" t="s">
        <v>455</v>
      </c>
      <c r="E191" s="279">
        <f>'побудинковий звіт'!E189</f>
        <v>137.30000000000001</v>
      </c>
      <c r="F191" s="441">
        <f>'побудинковий звіт'!AS189</f>
        <v>1559.8374663030675</v>
      </c>
      <c r="G191" s="441">
        <f t="shared" si="10"/>
        <v>0</v>
      </c>
      <c r="H191" s="73">
        <f t="shared" si="11"/>
        <v>-1559.8374663030675</v>
      </c>
      <c r="I191" s="5">
        <f>VLOOKUP($A191,'ПР 01-02.21'!$A$11:$BB$406,9,FALSE)+VLOOKUP($A191,'ПР 21-22'!$A$11:$BB$406,9,FALSE)-VLOOKUP($A191,'ПР 01-02.22'!$A$11:$BB$378,9,FALSE)</f>
        <v>0</v>
      </c>
      <c r="J191" s="5">
        <f>VLOOKUP($A191,'ПР 01-02.21'!$A$11:$BB$406,10,FALSE)+VLOOKUP($A191,'ПР 21-22'!$A$11:$BB$406,10,FALSE)-VLOOKUP($A191,'ПР 01-02.22'!$A$11:$BB$378,10,FALSE)</f>
        <v>0</v>
      </c>
      <c r="K191" s="446"/>
      <c r="L191" s="5">
        <f>VLOOKUP($A191,'ПР 01-02.21'!$A$11:$BB$406,12,FALSE)+VLOOKUP($A191,'ПР 21-22'!$A$11:$BB$406,12,FALSE)-VLOOKUP($A191,'ПР 01-02.22'!$A$11:$BB$378,12,FALSE)</f>
        <v>0</v>
      </c>
      <c r="M191" s="5">
        <f>VLOOKUP($A191,'ПР 01-02.21'!$A$11:$BB$406,13,FALSE)+VLOOKUP($A191,'ПР 21-22'!$A$11:$BB$406,13,FALSE)-VLOOKUP($A191,'ПР 01-02.22'!$A$11:$BB$378,13,FALSE)</f>
        <v>0</v>
      </c>
      <c r="N191" s="38"/>
      <c r="O191" s="5">
        <f>VLOOKUP($A191,'ПР 01-02.21'!$A$11:$BB$406,15,FALSE)+VLOOKUP($A191,'ПР 21-22'!$A$11:$BB$406,15,FALSE)-VLOOKUP($A191,'ПР 01-02.22'!$A$11:$BB$378,15,FALSE)</f>
        <v>0</v>
      </c>
      <c r="P191" s="5">
        <f>VLOOKUP($A191,'ПР 01-02.21'!$A$11:$BB$406,16,FALSE)+VLOOKUP($A191,'ПР 21-22'!$A$11:$BB$406,16,FALSE)-VLOOKUP($A191,'ПР 01-02.22'!$A$11:$BB$378,16,FALSE)</f>
        <v>0</v>
      </c>
      <c r="Q191" s="443"/>
      <c r="R191" s="5">
        <f>VLOOKUP($A191,'ПР 01-02.21'!$A$11:$BB$406,18,FALSE)+VLOOKUP($A191,'ПР 21-22'!$A$11:$BB$406,18,FALSE)-VLOOKUP($A191,'ПР 01-02.22'!$A$11:$BB$378,18,FALSE)</f>
        <v>0</v>
      </c>
      <c r="S191" s="5">
        <f>VLOOKUP($A191,'ПР 01-02.21'!$A$11:$BB$406,19,FALSE)+VLOOKUP($A191,'ПР 21-22'!$A$11:$BB$406,19,FALSE)-VLOOKUP($A191,'ПР 01-02.22'!$A$11:$BB$378,19,FALSE)</f>
        <v>0</v>
      </c>
      <c r="T191" s="444"/>
      <c r="U191" s="5">
        <f>VLOOKUP($A191,'ПР 01-02.21'!$A$11:$BB$406,21,FALSE)+VLOOKUP($A191,'ПР 21-22'!$A$11:$BB$406,21,FALSE)-VLOOKUP($A191,'ПР 01-02.22'!$A$11:$BB$378,21,FALSE)</f>
        <v>0</v>
      </c>
      <c r="V191" s="5"/>
      <c r="W191" s="5">
        <f>VLOOKUP($A191,'ПР 01-02.21'!$A$11:$BB$406,23,FALSE)+VLOOKUP($A191,'ПР 21-22'!$A$11:$BB$406,23,FALSE)-VLOOKUP($A191,'ПР 01-02.22'!$A$11:$BB$378,23,FALSE)</f>
        <v>0</v>
      </c>
      <c r="X191" s="5">
        <f>VLOOKUP($A191,'ПР 01-02.21'!$A$11:$BB$406,24,FALSE)+VLOOKUP($A191,'ПР 21-22'!$A$11:$BB$406,24,FALSE)-VLOOKUP($A191,'ПР 01-02.22'!$A$11:$BB$378,24,FALSE)</f>
        <v>0</v>
      </c>
      <c r="Y191" s="5">
        <f>VLOOKUP($A191,'ПР 01-02.21'!$A$11:$BB$406,25,FALSE)+VLOOKUP($A191,'ПР 21-22'!$A$11:$BB$406,25,FALSE)-VLOOKUP($A191,'ПР 01-02.22'!$A$11:$BB$378,25,FALSE)</f>
        <v>0</v>
      </c>
      <c r="Z191" s="5"/>
      <c r="AA191" s="5">
        <f>VLOOKUP($A191,'ПР 01-02.21'!$A$11:$BB$406,27,FALSE)+VLOOKUP($A191,'ПР 21-22'!$A$11:$BB$406,27,FALSE)-VLOOKUP($A191,'ПР 01-02.22'!$A$11:$BB$378,27,FALSE)</f>
        <v>0</v>
      </c>
      <c r="AB191" s="5">
        <f>VLOOKUP($A191,'ПР 01-02.21'!$A$11:$BB$406,28,FALSE)+VLOOKUP($A191,'ПР 21-22'!$A$11:$BB$406,28,FALSE)-VLOOKUP($A191,'ПР 01-02.22'!$A$11:$BB$378,28,FALSE)</f>
        <v>0</v>
      </c>
      <c r="AC191" s="5">
        <f>VLOOKUP($A191,'ПР 01-02.21'!$A$11:$BB$406,29,FALSE)+VLOOKUP($A191,'ПР 21-22'!$A$11:$BB$406,29,FALSE)-VLOOKUP($A191,'ПР 01-02.22'!$A$11:$BB$378,29,FALSE)</f>
        <v>0</v>
      </c>
      <c r="AD191" s="5">
        <f>VLOOKUP($A191,'ПР 01-02.21'!$A$11:$BB$406,30,FALSE)+VLOOKUP($A191,'ПР 21-22'!$A$11:$BB$406,30,FALSE)-VLOOKUP($A191,'ПР 01-02.22'!$A$11:$BB$378,30,FALSE)</f>
        <v>0</v>
      </c>
      <c r="AE191" s="5">
        <f>VLOOKUP($A191,'ПР 01-02.21'!$A$11:$BB$406,31,FALSE)+VLOOKUP($A191,'ПР 21-22'!$A$11:$BB$406,31,FALSE)-VLOOKUP($A191,'ПР 01-02.22'!$A$11:$BB$378,31,FALSE)</f>
        <v>0</v>
      </c>
      <c r="AF191" s="5">
        <f>VLOOKUP($A191,'ПР 01-02.21'!$A$11:$BB$406,32,FALSE)+VLOOKUP($A191,'ПР 21-22'!$A$11:$BB$406,32,FALSE)-VLOOKUP($A191,'ПР 01-02.22'!$A$11:$BB$378,32,FALSE)</f>
        <v>0</v>
      </c>
      <c r="AG191" s="40"/>
      <c r="AH191" s="5">
        <f>VLOOKUP($A191,'ПР 01-02.21'!$A$11:$BB$406,34,FALSE)+VLOOKUP($A191,'ПР 21-22'!$A$11:$BB$406,34,FALSE)-VLOOKUP($A191,'ПР 01-02.22'!$A$11:$BB$378,34,FALSE)</f>
        <v>0</v>
      </c>
      <c r="AI191" s="5">
        <f>VLOOKUP($A191,'ПР 01-02.21'!$A$11:$BB$406,35,FALSE)+VLOOKUP($A191,'ПР 21-22'!$A$11:$BB$406,35,FALSE)-VLOOKUP($A191,'ПР 01-02.22'!$A$11:$BB$378,35,FALSE)</f>
        <v>0</v>
      </c>
      <c r="AJ191" s="40"/>
      <c r="AK191" s="5">
        <f>VLOOKUP($A191,'ПР 01-02.21'!$A$11:$BB$406,37,FALSE)+VLOOKUP($A191,'ПР 21-22'!$A$11:$BB$406,37,FALSE)-VLOOKUP($A191,'ПР 01-02.22'!$A$11:$BB$378,37,FALSE)</f>
        <v>0</v>
      </c>
      <c r="AL191" s="5">
        <f>VLOOKUP($A191,'ПР 01-02.21'!$A$11:$BB$406,38,FALSE)+VLOOKUP($A191,'ПР 21-22'!$A$11:$BB$406,38,FALSE)-VLOOKUP($A191,'ПР 01-02.22'!$A$11:$BB$378,38,FALSE)</f>
        <v>0</v>
      </c>
      <c r="AM191" s="40"/>
      <c r="AN191" s="5">
        <f>VLOOKUP($A191,'ПР 01-02.21'!$A$11:$BB$406,40,FALSE)+VLOOKUP($A191,'ПР 21-22'!$A$11:$BB$406,40,FALSE)-VLOOKUP($A191,'ПР 01-02.22'!$A$11:$BB$378,40,FALSE)</f>
        <v>0</v>
      </c>
      <c r="AO191" s="5">
        <f>VLOOKUP($A191,'ПР 01-02.21'!$A$11:$BB$406,41,FALSE)+VLOOKUP($A191,'ПР 21-22'!$A$11:$BB$406,41,FALSE)-VLOOKUP($A191,'ПР 01-02.22'!$A$11:$BB$378,41,FALSE)</f>
        <v>0</v>
      </c>
      <c r="AP191" s="40"/>
      <c r="AQ191" s="5">
        <f>VLOOKUP($A191,'ПР 01-02.21'!$A$11:$BB$406,43,FALSE)+VLOOKUP($A191,'ПР 21-22'!$A$11:$BB$406,43,FALSE)-VLOOKUP($A191,'ПР 01-02.22'!$A$11:$BB$378,43,FALSE)</f>
        <v>0</v>
      </c>
      <c r="AR191" s="5">
        <f>VLOOKUP($A191,'ПР 01-02.21'!$A$11:$BB$406,44,FALSE)+VLOOKUP($A191,'ПР 21-22'!$A$11:$BB$406,44,FALSE)-VLOOKUP($A191,'ПР 01-02.22'!$A$11:$BB$378,44,FALSE)</f>
        <v>0</v>
      </c>
      <c r="AS191" s="40"/>
      <c r="AT191" s="5">
        <f>VLOOKUP($A191,'ПР 01-02.21'!$A$11:$BB$406,46,FALSE)+VLOOKUP($A191,'ПР 21-22'!$A$11:$BB$406,46,FALSE)-VLOOKUP($A191,'ПР 01-02.22'!$A$11:$BB$378,46,FALSE)</f>
        <v>0</v>
      </c>
      <c r="AU191" s="5">
        <f>VLOOKUP($A191,'ПР 01-02.21'!$A$11:$BB$406,47,FALSE)+VLOOKUP($A191,'ПР 21-22'!$A$11:$BB$406,47,FALSE)-VLOOKUP($A191,'ПР 01-02.22'!$A$11:$BB$378,47,FALSE)</f>
        <v>0</v>
      </c>
      <c r="AV191" s="40"/>
      <c r="AW191" s="5">
        <f>VLOOKUP($A191,'ПР 01-02.21'!$A$11:$BB$406,49,FALSE)+VLOOKUP($A191,'ПР 21-22'!$A$11:$BB$406,49,FALSE)-VLOOKUP($A191,'ПР 01-02.22'!$A$11:$BB$378,49,FALSE)</f>
        <v>6.4920000000000009</v>
      </c>
      <c r="AX191" s="5">
        <f>VLOOKUP($A191,'ПР 01-02.21'!$A$11:$BB$406,50,FALSE)+VLOOKUP($A191,'ПР 21-22'!$A$11:$BB$406,50,FALSE)-VLOOKUP($A191,'ПР 01-02.22'!$A$11:$BB$378,50,FALSE)</f>
        <v>0</v>
      </c>
      <c r="AY191" s="40"/>
      <c r="AZ191" s="40">
        <f t="shared" si="13"/>
        <v>6.4920000000000009</v>
      </c>
      <c r="BA191" s="40">
        <f t="shared" si="13"/>
        <v>0</v>
      </c>
      <c r="BB191" s="55">
        <f t="shared" si="12"/>
        <v>-6.4920000000000009</v>
      </c>
      <c r="BD191" s="2">
        <v>3</v>
      </c>
      <c r="BF191" s="325">
        <v>150000502</v>
      </c>
    </row>
    <row r="192" spans="1:58" ht="24.9" customHeight="1" x14ac:dyDescent="0.3">
      <c r="A192" s="325">
        <v>150000503</v>
      </c>
      <c r="B192" s="445" t="s">
        <v>110</v>
      </c>
      <c r="C192" s="27">
        <v>1</v>
      </c>
      <c r="D192" s="101" t="s">
        <v>455</v>
      </c>
      <c r="E192" s="279">
        <f>'побудинковий звіт'!E190</f>
        <v>211.6</v>
      </c>
      <c r="F192" s="441">
        <f>'побудинковий звіт'!AS190</f>
        <v>2257.4004694662581</v>
      </c>
      <c r="G192" s="441">
        <f t="shared" si="10"/>
        <v>3102</v>
      </c>
      <c r="H192" s="73">
        <f t="shared" si="11"/>
        <v>844.59953053374193</v>
      </c>
      <c r="I192" s="5">
        <f>VLOOKUP($A192,'ПР 01-02.21'!$A$11:$BB$406,9,FALSE)+VLOOKUP($A192,'ПР 21-22'!$A$11:$BB$406,9,FALSE)-VLOOKUP($A192,'ПР 01-02.22'!$A$11:$BB$378,9,FALSE)</f>
        <v>0</v>
      </c>
      <c r="J192" s="5">
        <f>VLOOKUP($A192,'ПР 01-02.21'!$A$11:$BB$406,10,FALSE)+VLOOKUP($A192,'ПР 21-22'!$A$11:$BB$406,10,FALSE)-VLOOKUP($A192,'ПР 01-02.22'!$A$11:$BB$378,10,FALSE)</f>
        <v>0</v>
      </c>
      <c r="K192" s="446"/>
      <c r="L192" s="5">
        <f>VLOOKUP($A192,'ПР 01-02.21'!$A$11:$BB$406,12,FALSE)+VLOOKUP($A192,'ПР 21-22'!$A$11:$BB$406,12,FALSE)-VLOOKUP($A192,'ПР 01-02.22'!$A$11:$BB$378,12,FALSE)</f>
        <v>0</v>
      </c>
      <c r="M192" s="5">
        <f>VLOOKUP($A192,'ПР 01-02.21'!$A$11:$BB$406,13,FALSE)+VLOOKUP($A192,'ПР 21-22'!$A$11:$BB$406,13,FALSE)-VLOOKUP($A192,'ПР 01-02.22'!$A$11:$BB$378,13,FALSE)</f>
        <v>0</v>
      </c>
      <c r="N192" s="38"/>
      <c r="O192" s="5">
        <f>VLOOKUP($A192,'ПР 01-02.21'!$A$11:$BB$406,15,FALSE)+VLOOKUP($A192,'ПР 21-22'!$A$11:$BB$406,15,FALSE)-VLOOKUP($A192,'ПР 01-02.22'!$A$11:$BB$378,15,FALSE)</f>
        <v>0</v>
      </c>
      <c r="P192" s="5">
        <f>VLOOKUP($A192,'ПР 01-02.21'!$A$11:$BB$406,16,FALSE)+VLOOKUP($A192,'ПР 21-22'!$A$11:$BB$406,16,FALSE)-VLOOKUP($A192,'ПР 01-02.22'!$A$11:$BB$378,16,FALSE)</f>
        <v>0</v>
      </c>
      <c r="Q192" s="443"/>
      <c r="R192" s="5">
        <f>VLOOKUP($A192,'ПР 01-02.21'!$A$11:$BB$406,18,FALSE)+VLOOKUP($A192,'ПР 21-22'!$A$11:$BB$406,18,FALSE)-VLOOKUP($A192,'ПР 01-02.22'!$A$11:$BB$378,18,FALSE)</f>
        <v>0</v>
      </c>
      <c r="S192" s="5">
        <f>VLOOKUP($A192,'ПР 01-02.21'!$A$11:$BB$406,19,FALSE)+VLOOKUP($A192,'ПР 21-22'!$A$11:$BB$406,19,FALSE)-VLOOKUP($A192,'ПР 01-02.22'!$A$11:$BB$378,19,FALSE)</f>
        <v>0</v>
      </c>
      <c r="T192" s="444"/>
      <c r="U192" s="5">
        <f>VLOOKUP($A192,'ПР 01-02.21'!$A$11:$BB$406,21,FALSE)+VLOOKUP($A192,'ПР 21-22'!$A$11:$BB$406,21,FALSE)-VLOOKUP($A192,'ПР 01-02.22'!$A$11:$BB$378,21,FALSE)</f>
        <v>0</v>
      </c>
      <c r="V192" s="5"/>
      <c r="W192" s="5">
        <f>VLOOKUP($A192,'ПР 01-02.21'!$A$11:$BB$406,23,FALSE)+VLOOKUP($A192,'ПР 21-22'!$A$11:$BB$406,23,FALSE)-VLOOKUP($A192,'ПР 01-02.22'!$A$11:$BB$378,23,FALSE)</f>
        <v>0</v>
      </c>
      <c r="X192" s="5">
        <f>VLOOKUP($A192,'ПР 01-02.21'!$A$11:$BB$406,24,FALSE)+VLOOKUP($A192,'ПР 21-22'!$A$11:$BB$406,24,FALSE)-VLOOKUP($A192,'ПР 01-02.22'!$A$11:$BB$378,24,FALSE)</f>
        <v>0</v>
      </c>
      <c r="Y192" s="5">
        <f>VLOOKUP($A192,'ПР 01-02.21'!$A$11:$BB$406,25,FALSE)+VLOOKUP($A192,'ПР 21-22'!$A$11:$BB$406,25,FALSE)-VLOOKUP($A192,'ПР 01-02.22'!$A$11:$BB$378,25,FALSE)</f>
        <v>3102</v>
      </c>
      <c r="Z192" s="5"/>
      <c r="AA192" s="5">
        <f>VLOOKUP($A192,'ПР 01-02.21'!$A$11:$BB$406,27,FALSE)+VLOOKUP($A192,'ПР 21-22'!$A$11:$BB$406,27,FALSE)-VLOOKUP($A192,'ПР 01-02.22'!$A$11:$BB$378,27,FALSE)</f>
        <v>0</v>
      </c>
      <c r="AB192" s="5">
        <f>VLOOKUP($A192,'ПР 01-02.21'!$A$11:$BB$406,28,FALSE)+VLOOKUP($A192,'ПР 21-22'!$A$11:$BB$406,28,FALSE)-VLOOKUP($A192,'ПР 01-02.22'!$A$11:$BB$378,28,FALSE)</f>
        <v>0</v>
      </c>
      <c r="AC192" s="5">
        <f>VLOOKUP($A192,'ПР 01-02.21'!$A$11:$BB$406,29,FALSE)+VLOOKUP($A192,'ПР 21-22'!$A$11:$BB$406,29,FALSE)-VLOOKUP($A192,'ПР 01-02.22'!$A$11:$BB$378,29,FALSE)</f>
        <v>0</v>
      </c>
      <c r="AD192" s="5">
        <f>VLOOKUP($A192,'ПР 01-02.21'!$A$11:$BB$406,30,FALSE)+VLOOKUP($A192,'ПР 21-22'!$A$11:$BB$406,30,FALSE)-VLOOKUP($A192,'ПР 01-02.22'!$A$11:$BB$378,30,FALSE)</f>
        <v>0</v>
      </c>
      <c r="AE192" s="5">
        <f>VLOOKUP($A192,'ПР 01-02.21'!$A$11:$BB$406,31,FALSE)+VLOOKUP($A192,'ПР 21-22'!$A$11:$BB$406,31,FALSE)-VLOOKUP($A192,'ПР 01-02.22'!$A$11:$BB$378,31,FALSE)</f>
        <v>2.4633281670615025E-2</v>
      </c>
      <c r="AF192" s="5">
        <f>VLOOKUP($A192,'ПР 01-02.21'!$A$11:$BB$406,32,FALSE)+VLOOKUP($A192,'ПР 21-22'!$A$11:$BB$406,32,FALSE)-VLOOKUP($A192,'ПР 01-02.22'!$A$11:$BB$378,32,FALSE)</f>
        <v>0</v>
      </c>
      <c r="AG192" s="40"/>
      <c r="AH192" s="5">
        <f>VLOOKUP($A192,'ПР 01-02.21'!$A$11:$BB$406,34,FALSE)+VLOOKUP($A192,'ПР 21-22'!$A$11:$BB$406,34,FALSE)-VLOOKUP($A192,'ПР 01-02.22'!$A$11:$BB$378,34,FALSE)</f>
        <v>0</v>
      </c>
      <c r="AI192" s="5">
        <f>VLOOKUP($A192,'ПР 01-02.21'!$A$11:$BB$406,35,FALSE)+VLOOKUP($A192,'ПР 21-22'!$A$11:$BB$406,35,FALSE)-VLOOKUP($A192,'ПР 01-02.22'!$A$11:$BB$378,35,FALSE)</f>
        <v>0</v>
      </c>
      <c r="AJ192" s="40"/>
      <c r="AK192" s="5">
        <f>VLOOKUP($A192,'ПР 01-02.21'!$A$11:$BB$406,37,FALSE)+VLOOKUP($A192,'ПР 21-22'!$A$11:$BB$406,37,FALSE)-VLOOKUP($A192,'ПР 01-02.22'!$A$11:$BB$378,37,FALSE)</f>
        <v>0</v>
      </c>
      <c r="AL192" s="5">
        <f>VLOOKUP($A192,'ПР 01-02.21'!$A$11:$BB$406,38,FALSE)+VLOOKUP($A192,'ПР 21-22'!$A$11:$BB$406,38,FALSE)-VLOOKUP($A192,'ПР 01-02.22'!$A$11:$BB$378,38,FALSE)</f>
        <v>0</v>
      </c>
      <c r="AM192" s="40"/>
      <c r="AN192" s="5">
        <f>VLOOKUP($A192,'ПР 01-02.21'!$A$11:$BB$406,40,FALSE)+VLOOKUP($A192,'ПР 21-22'!$A$11:$BB$406,40,FALSE)-VLOOKUP($A192,'ПР 01-02.22'!$A$11:$BB$378,40,FALSE)</f>
        <v>0</v>
      </c>
      <c r="AO192" s="5">
        <f>VLOOKUP($A192,'ПР 01-02.21'!$A$11:$BB$406,41,FALSE)+VLOOKUP($A192,'ПР 21-22'!$A$11:$BB$406,41,FALSE)-VLOOKUP($A192,'ПР 01-02.22'!$A$11:$BB$378,41,FALSE)</f>
        <v>0</v>
      </c>
      <c r="AP192" s="40"/>
      <c r="AQ192" s="5">
        <f>VLOOKUP($A192,'ПР 01-02.21'!$A$11:$BB$406,43,FALSE)+VLOOKUP($A192,'ПР 21-22'!$A$11:$BB$406,43,FALSE)-VLOOKUP($A192,'ПР 01-02.22'!$A$11:$BB$378,43,FALSE)</f>
        <v>0</v>
      </c>
      <c r="AR192" s="5">
        <f>VLOOKUP($A192,'ПР 01-02.21'!$A$11:$BB$406,44,FALSE)+VLOOKUP($A192,'ПР 21-22'!$A$11:$BB$406,44,FALSE)-VLOOKUP($A192,'ПР 01-02.22'!$A$11:$BB$378,44,FALSE)</f>
        <v>0</v>
      </c>
      <c r="AS192" s="40"/>
      <c r="AT192" s="5">
        <f>VLOOKUP($A192,'ПР 01-02.21'!$A$11:$BB$406,46,FALSE)+VLOOKUP($A192,'ПР 21-22'!$A$11:$BB$406,46,FALSE)-VLOOKUP($A192,'ПР 01-02.22'!$A$11:$BB$378,46,FALSE)</f>
        <v>35.583811757939117</v>
      </c>
      <c r="AU192" s="5">
        <f>VLOOKUP($A192,'ПР 01-02.21'!$A$11:$BB$406,47,FALSE)+VLOOKUP($A192,'ПР 21-22'!$A$11:$BB$406,47,FALSE)-VLOOKUP($A192,'ПР 01-02.22'!$A$11:$BB$378,47,FALSE)</f>
        <v>0</v>
      </c>
      <c r="AV192" s="40"/>
      <c r="AW192" s="5">
        <f>VLOOKUP($A192,'ПР 01-02.21'!$A$11:$BB$406,49,FALSE)+VLOOKUP($A192,'ПР 21-22'!$A$11:$BB$406,49,FALSE)-VLOOKUP($A192,'ПР 01-02.22'!$A$11:$BB$378,49,FALSE)</f>
        <v>10.608000000000001</v>
      </c>
      <c r="AX192" s="5">
        <f>VLOOKUP($A192,'ПР 01-02.21'!$A$11:$BB$406,50,FALSE)+VLOOKUP($A192,'ПР 21-22'!$A$11:$BB$406,50,FALSE)-VLOOKUP($A192,'ПР 01-02.22'!$A$11:$BB$378,50,FALSE)</f>
        <v>0</v>
      </c>
      <c r="AY192" s="40"/>
      <c r="AZ192" s="40">
        <f t="shared" si="13"/>
        <v>46.216445039609738</v>
      </c>
      <c r="BA192" s="40">
        <f t="shared" si="13"/>
        <v>0</v>
      </c>
      <c r="BB192" s="55">
        <f t="shared" si="12"/>
        <v>-46.216445039609738</v>
      </c>
      <c r="BD192" s="2">
        <v>3</v>
      </c>
      <c r="BF192" s="325">
        <v>150000503</v>
      </c>
    </row>
    <row r="193" spans="1:58" ht="24.9" customHeight="1" x14ac:dyDescent="0.3">
      <c r="A193" s="325">
        <v>150000504</v>
      </c>
      <c r="B193" s="445" t="s">
        <v>111</v>
      </c>
      <c r="C193" s="27">
        <v>1</v>
      </c>
      <c r="D193" s="101" t="s">
        <v>455</v>
      </c>
      <c r="E193" s="279">
        <f>'побудинковий звіт'!E191</f>
        <v>180.6</v>
      </c>
      <c r="F193" s="441">
        <f>'побудинковий звіт'!AS191</f>
        <v>2103.4623831916178</v>
      </c>
      <c r="G193" s="441">
        <f t="shared" si="10"/>
        <v>0</v>
      </c>
      <c r="H193" s="73">
        <f t="shared" si="11"/>
        <v>-2103.4623831916178</v>
      </c>
      <c r="I193" s="5">
        <f>VLOOKUP($A193,'ПР 01-02.21'!$A$11:$BB$406,9,FALSE)+VLOOKUP($A193,'ПР 21-22'!$A$11:$BB$406,9,FALSE)-VLOOKUP($A193,'ПР 01-02.22'!$A$11:$BB$378,9,FALSE)</f>
        <v>0</v>
      </c>
      <c r="J193" s="5">
        <f>VLOOKUP($A193,'ПР 01-02.21'!$A$11:$BB$406,10,FALSE)+VLOOKUP($A193,'ПР 21-22'!$A$11:$BB$406,10,FALSE)-VLOOKUP($A193,'ПР 01-02.22'!$A$11:$BB$378,10,FALSE)</f>
        <v>0</v>
      </c>
      <c r="K193" s="446"/>
      <c r="L193" s="5">
        <f>VLOOKUP($A193,'ПР 01-02.21'!$A$11:$BB$406,12,FALSE)+VLOOKUP($A193,'ПР 21-22'!$A$11:$BB$406,12,FALSE)-VLOOKUP($A193,'ПР 01-02.22'!$A$11:$BB$378,12,FALSE)</f>
        <v>0</v>
      </c>
      <c r="M193" s="5">
        <f>VLOOKUP($A193,'ПР 01-02.21'!$A$11:$BB$406,13,FALSE)+VLOOKUP($A193,'ПР 21-22'!$A$11:$BB$406,13,FALSE)-VLOOKUP($A193,'ПР 01-02.22'!$A$11:$BB$378,13,FALSE)</f>
        <v>0</v>
      </c>
      <c r="N193" s="38"/>
      <c r="O193" s="5">
        <f>VLOOKUP($A193,'ПР 01-02.21'!$A$11:$BB$406,15,FALSE)+VLOOKUP($A193,'ПР 21-22'!$A$11:$BB$406,15,FALSE)-VLOOKUP($A193,'ПР 01-02.22'!$A$11:$BB$378,15,FALSE)</f>
        <v>0</v>
      </c>
      <c r="P193" s="5">
        <f>VLOOKUP($A193,'ПР 01-02.21'!$A$11:$BB$406,16,FALSE)+VLOOKUP($A193,'ПР 21-22'!$A$11:$BB$406,16,FALSE)-VLOOKUP($A193,'ПР 01-02.22'!$A$11:$BB$378,16,FALSE)</f>
        <v>0</v>
      </c>
      <c r="Q193" s="443"/>
      <c r="R193" s="5">
        <f>VLOOKUP($A193,'ПР 01-02.21'!$A$11:$BB$406,18,FALSE)+VLOOKUP($A193,'ПР 21-22'!$A$11:$BB$406,18,FALSE)-VLOOKUP($A193,'ПР 01-02.22'!$A$11:$BB$378,18,FALSE)</f>
        <v>0</v>
      </c>
      <c r="S193" s="5">
        <f>VLOOKUP($A193,'ПР 01-02.21'!$A$11:$BB$406,19,FALSE)+VLOOKUP($A193,'ПР 21-22'!$A$11:$BB$406,19,FALSE)-VLOOKUP($A193,'ПР 01-02.22'!$A$11:$BB$378,19,FALSE)</f>
        <v>0</v>
      </c>
      <c r="T193" s="444"/>
      <c r="U193" s="5">
        <f>VLOOKUP($A193,'ПР 01-02.21'!$A$11:$BB$406,21,FALSE)+VLOOKUP($A193,'ПР 21-22'!$A$11:$BB$406,21,FALSE)-VLOOKUP($A193,'ПР 01-02.22'!$A$11:$BB$378,21,FALSE)</f>
        <v>0</v>
      </c>
      <c r="V193" s="5"/>
      <c r="W193" s="5">
        <f>VLOOKUP($A193,'ПР 01-02.21'!$A$11:$BB$406,23,FALSE)+VLOOKUP($A193,'ПР 21-22'!$A$11:$BB$406,23,FALSE)-VLOOKUP($A193,'ПР 01-02.22'!$A$11:$BB$378,23,FALSE)</f>
        <v>0</v>
      </c>
      <c r="X193" s="5">
        <f>VLOOKUP($A193,'ПР 01-02.21'!$A$11:$BB$406,24,FALSE)+VLOOKUP($A193,'ПР 21-22'!$A$11:$BB$406,24,FALSE)-VLOOKUP($A193,'ПР 01-02.22'!$A$11:$BB$378,24,FALSE)</f>
        <v>0</v>
      </c>
      <c r="Y193" s="5">
        <f>VLOOKUP($A193,'ПР 01-02.21'!$A$11:$BB$406,25,FALSE)+VLOOKUP($A193,'ПР 21-22'!$A$11:$BB$406,25,FALSE)-VLOOKUP($A193,'ПР 01-02.22'!$A$11:$BB$378,25,FALSE)</f>
        <v>0</v>
      </c>
      <c r="Z193" s="5"/>
      <c r="AA193" s="5">
        <f>VLOOKUP($A193,'ПР 01-02.21'!$A$11:$BB$406,27,FALSE)+VLOOKUP($A193,'ПР 21-22'!$A$11:$BB$406,27,FALSE)-VLOOKUP($A193,'ПР 01-02.22'!$A$11:$BB$378,27,FALSE)</f>
        <v>0</v>
      </c>
      <c r="AB193" s="5">
        <f>VLOOKUP($A193,'ПР 01-02.21'!$A$11:$BB$406,28,FALSE)+VLOOKUP($A193,'ПР 21-22'!$A$11:$BB$406,28,FALSE)-VLOOKUP($A193,'ПР 01-02.22'!$A$11:$BB$378,28,FALSE)</f>
        <v>0</v>
      </c>
      <c r="AC193" s="5">
        <f>VLOOKUP($A193,'ПР 01-02.21'!$A$11:$BB$406,29,FALSE)+VLOOKUP($A193,'ПР 21-22'!$A$11:$BB$406,29,FALSE)-VLOOKUP($A193,'ПР 01-02.22'!$A$11:$BB$378,29,FALSE)</f>
        <v>0</v>
      </c>
      <c r="AD193" s="5">
        <f>VLOOKUP($A193,'ПР 01-02.21'!$A$11:$BB$406,30,FALSE)+VLOOKUP($A193,'ПР 21-22'!$A$11:$BB$406,30,FALSE)-VLOOKUP($A193,'ПР 01-02.22'!$A$11:$BB$378,30,FALSE)</f>
        <v>0</v>
      </c>
      <c r="AE193" s="5">
        <f>VLOOKUP($A193,'ПР 01-02.21'!$A$11:$BB$406,31,FALSE)+VLOOKUP($A193,'ПР 21-22'!$A$11:$BB$406,31,FALSE)-VLOOKUP($A193,'ПР 01-02.22'!$A$11:$BB$378,31,FALSE)</f>
        <v>0</v>
      </c>
      <c r="AF193" s="5">
        <f>VLOOKUP($A193,'ПР 01-02.21'!$A$11:$BB$406,32,FALSE)+VLOOKUP($A193,'ПР 21-22'!$A$11:$BB$406,32,FALSE)-VLOOKUP($A193,'ПР 01-02.22'!$A$11:$BB$378,32,FALSE)</f>
        <v>0</v>
      </c>
      <c r="AG193" s="40"/>
      <c r="AH193" s="5">
        <f>VLOOKUP($A193,'ПР 01-02.21'!$A$11:$BB$406,34,FALSE)+VLOOKUP($A193,'ПР 21-22'!$A$11:$BB$406,34,FALSE)-VLOOKUP($A193,'ПР 01-02.22'!$A$11:$BB$378,34,FALSE)</f>
        <v>0</v>
      </c>
      <c r="AI193" s="5">
        <f>VLOOKUP($A193,'ПР 01-02.21'!$A$11:$BB$406,35,FALSE)+VLOOKUP($A193,'ПР 21-22'!$A$11:$BB$406,35,FALSE)-VLOOKUP($A193,'ПР 01-02.22'!$A$11:$BB$378,35,FALSE)</f>
        <v>0</v>
      </c>
      <c r="AJ193" s="40"/>
      <c r="AK193" s="5">
        <f>VLOOKUP($A193,'ПР 01-02.21'!$A$11:$BB$406,37,FALSE)+VLOOKUP($A193,'ПР 21-22'!$A$11:$BB$406,37,FALSE)-VLOOKUP($A193,'ПР 01-02.22'!$A$11:$BB$378,37,FALSE)</f>
        <v>0</v>
      </c>
      <c r="AL193" s="5">
        <f>VLOOKUP($A193,'ПР 01-02.21'!$A$11:$BB$406,38,FALSE)+VLOOKUP($A193,'ПР 21-22'!$A$11:$BB$406,38,FALSE)-VLOOKUP($A193,'ПР 01-02.22'!$A$11:$BB$378,38,FALSE)</f>
        <v>0</v>
      </c>
      <c r="AM193" s="40"/>
      <c r="AN193" s="5">
        <f>VLOOKUP($A193,'ПР 01-02.21'!$A$11:$BB$406,40,FALSE)+VLOOKUP($A193,'ПР 21-22'!$A$11:$BB$406,40,FALSE)-VLOOKUP($A193,'ПР 01-02.22'!$A$11:$BB$378,40,FALSE)</f>
        <v>0</v>
      </c>
      <c r="AO193" s="5">
        <f>VLOOKUP($A193,'ПР 01-02.21'!$A$11:$BB$406,41,FALSE)+VLOOKUP($A193,'ПР 21-22'!$A$11:$BB$406,41,FALSE)-VLOOKUP($A193,'ПР 01-02.22'!$A$11:$BB$378,41,FALSE)</f>
        <v>0</v>
      </c>
      <c r="AP193" s="40"/>
      <c r="AQ193" s="5">
        <f>VLOOKUP($A193,'ПР 01-02.21'!$A$11:$BB$406,43,FALSE)+VLOOKUP($A193,'ПР 21-22'!$A$11:$BB$406,43,FALSE)-VLOOKUP($A193,'ПР 01-02.22'!$A$11:$BB$378,43,FALSE)</f>
        <v>0</v>
      </c>
      <c r="AR193" s="5">
        <f>VLOOKUP($A193,'ПР 01-02.21'!$A$11:$BB$406,44,FALSE)+VLOOKUP($A193,'ПР 21-22'!$A$11:$BB$406,44,FALSE)-VLOOKUP($A193,'ПР 01-02.22'!$A$11:$BB$378,44,FALSE)</f>
        <v>0</v>
      </c>
      <c r="AS193" s="40"/>
      <c r="AT193" s="5">
        <f>VLOOKUP($A193,'ПР 01-02.21'!$A$11:$BB$406,46,FALSE)+VLOOKUP($A193,'ПР 21-22'!$A$11:$BB$406,46,FALSE)-VLOOKUP($A193,'ПР 01-02.22'!$A$11:$BB$378,46,FALSE)</f>
        <v>0</v>
      </c>
      <c r="AU193" s="5">
        <f>VLOOKUP($A193,'ПР 01-02.21'!$A$11:$BB$406,47,FALSE)+VLOOKUP($A193,'ПР 21-22'!$A$11:$BB$406,47,FALSE)-VLOOKUP($A193,'ПР 01-02.22'!$A$11:$BB$378,47,FALSE)</f>
        <v>0</v>
      </c>
      <c r="AV193" s="40"/>
      <c r="AW193" s="5">
        <f>VLOOKUP($A193,'ПР 01-02.21'!$A$11:$BB$406,49,FALSE)+VLOOKUP($A193,'ПР 21-22'!$A$11:$BB$406,49,FALSE)-VLOOKUP($A193,'ПР 01-02.22'!$A$11:$BB$378,49,FALSE)</f>
        <v>9.2240000000000002</v>
      </c>
      <c r="AX193" s="5">
        <f>VLOOKUP($A193,'ПР 01-02.21'!$A$11:$BB$406,50,FALSE)+VLOOKUP($A193,'ПР 21-22'!$A$11:$BB$406,50,FALSE)-VLOOKUP($A193,'ПР 01-02.22'!$A$11:$BB$378,50,FALSE)</f>
        <v>0</v>
      </c>
      <c r="AY193" s="40"/>
      <c r="AZ193" s="40">
        <f t="shared" si="13"/>
        <v>9.2240000000000002</v>
      </c>
      <c r="BA193" s="40">
        <f t="shared" si="13"/>
        <v>0</v>
      </c>
      <c r="BB193" s="55">
        <f t="shared" si="12"/>
        <v>-9.2240000000000002</v>
      </c>
      <c r="BD193" s="2">
        <v>3</v>
      </c>
      <c r="BF193" s="325">
        <v>150000504</v>
      </c>
    </row>
    <row r="194" spans="1:58" ht="24.9" customHeight="1" x14ac:dyDescent="0.3">
      <c r="A194" s="325">
        <v>150000506</v>
      </c>
      <c r="B194" s="445" t="s">
        <v>112</v>
      </c>
      <c r="C194" s="27">
        <v>1</v>
      </c>
      <c r="D194" s="101" t="s">
        <v>455</v>
      </c>
      <c r="E194" s="279">
        <f>'побудинковий звіт'!E192</f>
        <v>102.4</v>
      </c>
      <c r="F194" s="441">
        <f>'побудинковий звіт'!AS192</f>
        <v>1386.9475011732591</v>
      </c>
      <c r="G194" s="441">
        <f t="shared" si="10"/>
        <v>0</v>
      </c>
      <c r="H194" s="73">
        <f t="shared" si="11"/>
        <v>-1386.9475011732591</v>
      </c>
      <c r="I194" s="5">
        <f>VLOOKUP($A194,'ПР 01-02.21'!$A$11:$BB$406,9,FALSE)+VLOOKUP($A194,'ПР 21-22'!$A$11:$BB$406,9,FALSE)-VLOOKUP($A194,'ПР 01-02.22'!$A$11:$BB$378,9,FALSE)</f>
        <v>0</v>
      </c>
      <c r="J194" s="5">
        <f>VLOOKUP($A194,'ПР 01-02.21'!$A$11:$BB$406,10,FALSE)+VLOOKUP($A194,'ПР 21-22'!$A$11:$BB$406,10,FALSE)-VLOOKUP($A194,'ПР 01-02.22'!$A$11:$BB$378,10,FALSE)</f>
        <v>0</v>
      </c>
      <c r="K194" s="446"/>
      <c r="L194" s="5">
        <f>VLOOKUP($A194,'ПР 01-02.21'!$A$11:$BB$406,12,FALSE)+VLOOKUP($A194,'ПР 21-22'!$A$11:$BB$406,12,FALSE)-VLOOKUP($A194,'ПР 01-02.22'!$A$11:$BB$378,12,FALSE)</f>
        <v>0</v>
      </c>
      <c r="M194" s="5">
        <f>VLOOKUP($A194,'ПР 01-02.21'!$A$11:$BB$406,13,FALSE)+VLOOKUP($A194,'ПР 21-22'!$A$11:$BB$406,13,FALSE)-VLOOKUP($A194,'ПР 01-02.22'!$A$11:$BB$378,13,FALSE)</f>
        <v>0</v>
      </c>
      <c r="N194" s="38"/>
      <c r="O194" s="5">
        <f>VLOOKUP($A194,'ПР 01-02.21'!$A$11:$BB$406,15,FALSE)+VLOOKUP($A194,'ПР 21-22'!$A$11:$BB$406,15,FALSE)-VLOOKUP($A194,'ПР 01-02.22'!$A$11:$BB$378,15,FALSE)</f>
        <v>0</v>
      </c>
      <c r="P194" s="5">
        <f>VLOOKUP($A194,'ПР 01-02.21'!$A$11:$BB$406,16,FALSE)+VLOOKUP($A194,'ПР 21-22'!$A$11:$BB$406,16,FALSE)-VLOOKUP($A194,'ПР 01-02.22'!$A$11:$BB$378,16,FALSE)</f>
        <v>0</v>
      </c>
      <c r="Q194" s="443"/>
      <c r="R194" s="5">
        <f>VLOOKUP($A194,'ПР 01-02.21'!$A$11:$BB$406,18,FALSE)+VLOOKUP($A194,'ПР 21-22'!$A$11:$BB$406,18,FALSE)-VLOOKUP($A194,'ПР 01-02.22'!$A$11:$BB$378,18,FALSE)</f>
        <v>0</v>
      </c>
      <c r="S194" s="5">
        <f>VLOOKUP($A194,'ПР 01-02.21'!$A$11:$BB$406,19,FALSE)+VLOOKUP($A194,'ПР 21-22'!$A$11:$BB$406,19,FALSE)-VLOOKUP($A194,'ПР 01-02.22'!$A$11:$BB$378,19,FALSE)</f>
        <v>0</v>
      </c>
      <c r="T194" s="444"/>
      <c r="U194" s="5">
        <f>VLOOKUP($A194,'ПР 01-02.21'!$A$11:$BB$406,21,FALSE)+VLOOKUP($A194,'ПР 21-22'!$A$11:$BB$406,21,FALSE)-VLOOKUP($A194,'ПР 01-02.22'!$A$11:$BB$378,21,FALSE)</f>
        <v>0</v>
      </c>
      <c r="V194" s="5"/>
      <c r="W194" s="5">
        <f>VLOOKUP($A194,'ПР 01-02.21'!$A$11:$BB$406,23,FALSE)+VLOOKUP($A194,'ПР 21-22'!$A$11:$BB$406,23,FALSE)-VLOOKUP($A194,'ПР 01-02.22'!$A$11:$BB$378,23,FALSE)</f>
        <v>0</v>
      </c>
      <c r="X194" s="5">
        <f>VLOOKUP($A194,'ПР 01-02.21'!$A$11:$BB$406,24,FALSE)+VLOOKUP($A194,'ПР 21-22'!$A$11:$BB$406,24,FALSE)-VLOOKUP($A194,'ПР 01-02.22'!$A$11:$BB$378,24,FALSE)</f>
        <v>0</v>
      </c>
      <c r="Y194" s="5">
        <f>VLOOKUP($A194,'ПР 01-02.21'!$A$11:$BB$406,25,FALSE)+VLOOKUP($A194,'ПР 21-22'!$A$11:$BB$406,25,FALSE)-VLOOKUP($A194,'ПР 01-02.22'!$A$11:$BB$378,25,FALSE)</f>
        <v>0</v>
      </c>
      <c r="Z194" s="5"/>
      <c r="AA194" s="5">
        <f>VLOOKUP($A194,'ПР 01-02.21'!$A$11:$BB$406,27,FALSE)+VLOOKUP($A194,'ПР 21-22'!$A$11:$BB$406,27,FALSE)-VLOOKUP($A194,'ПР 01-02.22'!$A$11:$BB$378,27,FALSE)</f>
        <v>0</v>
      </c>
      <c r="AB194" s="5">
        <f>VLOOKUP($A194,'ПР 01-02.21'!$A$11:$BB$406,28,FALSE)+VLOOKUP($A194,'ПР 21-22'!$A$11:$BB$406,28,FALSE)-VLOOKUP($A194,'ПР 01-02.22'!$A$11:$BB$378,28,FALSE)</f>
        <v>0</v>
      </c>
      <c r="AC194" s="5">
        <f>VLOOKUP($A194,'ПР 01-02.21'!$A$11:$BB$406,29,FALSE)+VLOOKUP($A194,'ПР 21-22'!$A$11:$BB$406,29,FALSE)-VLOOKUP($A194,'ПР 01-02.22'!$A$11:$BB$378,29,FALSE)</f>
        <v>0</v>
      </c>
      <c r="AD194" s="5">
        <f>VLOOKUP($A194,'ПР 01-02.21'!$A$11:$BB$406,30,FALSE)+VLOOKUP($A194,'ПР 21-22'!$A$11:$BB$406,30,FALSE)-VLOOKUP($A194,'ПР 01-02.22'!$A$11:$BB$378,30,FALSE)</f>
        <v>0</v>
      </c>
      <c r="AE194" s="5">
        <f>VLOOKUP($A194,'ПР 01-02.21'!$A$11:$BB$406,31,FALSE)+VLOOKUP($A194,'ПР 21-22'!$A$11:$BB$406,31,FALSE)-VLOOKUP($A194,'ПР 01-02.22'!$A$11:$BB$378,31,FALSE)</f>
        <v>0</v>
      </c>
      <c r="AF194" s="5">
        <f>VLOOKUP($A194,'ПР 01-02.21'!$A$11:$BB$406,32,FALSE)+VLOOKUP($A194,'ПР 21-22'!$A$11:$BB$406,32,FALSE)-VLOOKUP($A194,'ПР 01-02.22'!$A$11:$BB$378,32,FALSE)</f>
        <v>0</v>
      </c>
      <c r="AG194" s="40"/>
      <c r="AH194" s="5">
        <f>VLOOKUP($A194,'ПР 01-02.21'!$A$11:$BB$406,34,FALSE)+VLOOKUP($A194,'ПР 21-22'!$A$11:$BB$406,34,FALSE)-VLOOKUP($A194,'ПР 01-02.22'!$A$11:$BB$378,34,FALSE)</f>
        <v>0</v>
      </c>
      <c r="AI194" s="5">
        <f>VLOOKUP($A194,'ПР 01-02.21'!$A$11:$BB$406,35,FALSE)+VLOOKUP($A194,'ПР 21-22'!$A$11:$BB$406,35,FALSE)-VLOOKUP($A194,'ПР 01-02.22'!$A$11:$BB$378,35,FALSE)</f>
        <v>0</v>
      </c>
      <c r="AJ194" s="40"/>
      <c r="AK194" s="5">
        <f>VLOOKUP($A194,'ПР 01-02.21'!$A$11:$BB$406,37,FALSE)+VLOOKUP($A194,'ПР 21-22'!$A$11:$BB$406,37,FALSE)-VLOOKUP($A194,'ПР 01-02.22'!$A$11:$BB$378,37,FALSE)</f>
        <v>0</v>
      </c>
      <c r="AL194" s="5">
        <f>VLOOKUP($A194,'ПР 01-02.21'!$A$11:$BB$406,38,FALSE)+VLOOKUP($A194,'ПР 21-22'!$A$11:$BB$406,38,FALSE)-VLOOKUP($A194,'ПР 01-02.22'!$A$11:$BB$378,38,FALSE)</f>
        <v>0</v>
      </c>
      <c r="AM194" s="40"/>
      <c r="AN194" s="5">
        <f>VLOOKUP($A194,'ПР 01-02.21'!$A$11:$BB$406,40,FALSE)+VLOOKUP($A194,'ПР 21-22'!$A$11:$BB$406,40,FALSE)-VLOOKUP($A194,'ПР 01-02.22'!$A$11:$BB$378,40,FALSE)</f>
        <v>0</v>
      </c>
      <c r="AO194" s="5">
        <f>VLOOKUP($A194,'ПР 01-02.21'!$A$11:$BB$406,41,FALSE)+VLOOKUP($A194,'ПР 21-22'!$A$11:$BB$406,41,FALSE)-VLOOKUP($A194,'ПР 01-02.22'!$A$11:$BB$378,41,FALSE)</f>
        <v>0</v>
      </c>
      <c r="AP194" s="40"/>
      <c r="AQ194" s="5">
        <f>VLOOKUP($A194,'ПР 01-02.21'!$A$11:$BB$406,43,FALSE)+VLOOKUP($A194,'ПР 21-22'!$A$11:$BB$406,43,FALSE)-VLOOKUP($A194,'ПР 01-02.22'!$A$11:$BB$378,43,FALSE)</f>
        <v>0</v>
      </c>
      <c r="AR194" s="5">
        <f>VLOOKUP($A194,'ПР 01-02.21'!$A$11:$BB$406,44,FALSE)+VLOOKUP($A194,'ПР 21-22'!$A$11:$BB$406,44,FALSE)-VLOOKUP($A194,'ПР 01-02.22'!$A$11:$BB$378,44,FALSE)</f>
        <v>0</v>
      </c>
      <c r="AS194" s="40"/>
      <c r="AT194" s="5">
        <f>VLOOKUP($A194,'ПР 01-02.21'!$A$11:$BB$406,46,FALSE)+VLOOKUP($A194,'ПР 21-22'!$A$11:$BB$406,46,FALSE)-VLOOKUP($A194,'ПР 01-02.22'!$A$11:$BB$378,46,FALSE)</f>
        <v>0</v>
      </c>
      <c r="AU194" s="5">
        <f>VLOOKUP($A194,'ПР 01-02.21'!$A$11:$BB$406,47,FALSE)+VLOOKUP($A194,'ПР 21-22'!$A$11:$BB$406,47,FALSE)-VLOOKUP($A194,'ПР 01-02.22'!$A$11:$BB$378,47,FALSE)</f>
        <v>0</v>
      </c>
      <c r="AV194" s="40"/>
      <c r="AW194" s="5">
        <f>VLOOKUP($A194,'ПР 01-02.21'!$A$11:$BB$406,49,FALSE)+VLOOKUP($A194,'ПР 21-22'!$A$11:$BB$406,49,FALSE)-VLOOKUP($A194,'ПР 01-02.22'!$A$11:$BB$378,49,FALSE)</f>
        <v>5.0960000000000001</v>
      </c>
      <c r="AX194" s="5">
        <f>VLOOKUP($A194,'ПР 01-02.21'!$A$11:$BB$406,50,FALSE)+VLOOKUP($A194,'ПР 21-22'!$A$11:$BB$406,50,FALSE)-VLOOKUP($A194,'ПР 01-02.22'!$A$11:$BB$378,50,FALSE)</f>
        <v>0</v>
      </c>
      <c r="AY194" s="40"/>
      <c r="AZ194" s="40">
        <f t="shared" si="13"/>
        <v>5.0960000000000001</v>
      </c>
      <c r="BA194" s="40">
        <f t="shared" si="13"/>
        <v>0</v>
      </c>
      <c r="BB194" s="55">
        <f t="shared" si="12"/>
        <v>-5.0960000000000001</v>
      </c>
      <c r="BD194" s="2">
        <v>3</v>
      </c>
      <c r="BF194" s="325">
        <v>150000506</v>
      </c>
    </row>
    <row r="195" spans="1:58" ht="24.9" customHeight="1" x14ac:dyDescent="0.3">
      <c r="A195" s="325">
        <v>150000505</v>
      </c>
      <c r="B195" s="445" t="s">
        <v>113</v>
      </c>
      <c r="C195" s="27">
        <v>1</v>
      </c>
      <c r="D195" s="101" t="s">
        <v>455</v>
      </c>
      <c r="E195" s="279">
        <f>'побудинковий звіт'!E193</f>
        <v>180.22</v>
      </c>
      <c r="F195" s="441">
        <f>'побудинковий звіт'!AS193</f>
        <v>2143.6692106407827</v>
      </c>
      <c r="G195" s="441">
        <f t="shared" si="10"/>
        <v>0</v>
      </c>
      <c r="H195" s="73">
        <f t="shared" si="11"/>
        <v>-2143.6692106407827</v>
      </c>
      <c r="I195" s="5">
        <f>VLOOKUP($A195,'ПР 01-02.21'!$A$11:$BB$406,9,FALSE)+VLOOKUP($A195,'ПР 21-22'!$A$11:$BB$406,9,FALSE)-VLOOKUP($A195,'ПР 01-02.22'!$A$11:$BB$378,9,FALSE)</f>
        <v>0</v>
      </c>
      <c r="J195" s="5">
        <f>VLOOKUP($A195,'ПР 01-02.21'!$A$11:$BB$406,10,FALSE)+VLOOKUP($A195,'ПР 21-22'!$A$11:$BB$406,10,FALSE)-VLOOKUP($A195,'ПР 01-02.22'!$A$11:$BB$378,10,FALSE)</f>
        <v>0</v>
      </c>
      <c r="K195" s="446"/>
      <c r="L195" s="5">
        <f>VLOOKUP($A195,'ПР 01-02.21'!$A$11:$BB$406,12,FALSE)+VLOOKUP($A195,'ПР 21-22'!$A$11:$BB$406,12,FALSE)-VLOOKUP($A195,'ПР 01-02.22'!$A$11:$BB$378,12,FALSE)</f>
        <v>0</v>
      </c>
      <c r="M195" s="5">
        <f>VLOOKUP($A195,'ПР 01-02.21'!$A$11:$BB$406,13,FALSE)+VLOOKUP($A195,'ПР 21-22'!$A$11:$BB$406,13,FALSE)-VLOOKUP($A195,'ПР 01-02.22'!$A$11:$BB$378,13,FALSE)</f>
        <v>0</v>
      </c>
      <c r="N195" s="38"/>
      <c r="O195" s="5">
        <f>VLOOKUP($A195,'ПР 01-02.21'!$A$11:$BB$406,15,FALSE)+VLOOKUP($A195,'ПР 21-22'!$A$11:$BB$406,15,FALSE)-VLOOKUP($A195,'ПР 01-02.22'!$A$11:$BB$378,15,FALSE)</f>
        <v>0</v>
      </c>
      <c r="P195" s="5">
        <f>VLOOKUP($A195,'ПР 01-02.21'!$A$11:$BB$406,16,FALSE)+VLOOKUP($A195,'ПР 21-22'!$A$11:$BB$406,16,FALSE)-VLOOKUP($A195,'ПР 01-02.22'!$A$11:$BB$378,16,FALSE)</f>
        <v>0</v>
      </c>
      <c r="Q195" s="443"/>
      <c r="R195" s="5">
        <f>VLOOKUP($A195,'ПР 01-02.21'!$A$11:$BB$406,18,FALSE)+VLOOKUP($A195,'ПР 21-22'!$A$11:$BB$406,18,FALSE)-VLOOKUP($A195,'ПР 01-02.22'!$A$11:$BB$378,18,FALSE)</f>
        <v>0</v>
      </c>
      <c r="S195" s="5">
        <f>VLOOKUP($A195,'ПР 01-02.21'!$A$11:$BB$406,19,FALSE)+VLOOKUP($A195,'ПР 21-22'!$A$11:$BB$406,19,FALSE)-VLOOKUP($A195,'ПР 01-02.22'!$A$11:$BB$378,19,FALSE)</f>
        <v>0</v>
      </c>
      <c r="T195" s="444"/>
      <c r="U195" s="5">
        <f>VLOOKUP($A195,'ПР 01-02.21'!$A$11:$BB$406,21,FALSE)+VLOOKUP($A195,'ПР 21-22'!$A$11:$BB$406,21,FALSE)-VLOOKUP($A195,'ПР 01-02.22'!$A$11:$BB$378,21,FALSE)</f>
        <v>0</v>
      </c>
      <c r="V195" s="5"/>
      <c r="W195" s="5">
        <f>VLOOKUP($A195,'ПР 01-02.21'!$A$11:$BB$406,23,FALSE)+VLOOKUP($A195,'ПР 21-22'!$A$11:$BB$406,23,FALSE)-VLOOKUP($A195,'ПР 01-02.22'!$A$11:$BB$378,23,FALSE)</f>
        <v>0</v>
      </c>
      <c r="X195" s="5">
        <f>VLOOKUP($A195,'ПР 01-02.21'!$A$11:$BB$406,24,FALSE)+VLOOKUP($A195,'ПР 21-22'!$A$11:$BB$406,24,FALSE)-VLOOKUP($A195,'ПР 01-02.22'!$A$11:$BB$378,24,FALSE)</f>
        <v>0</v>
      </c>
      <c r="Y195" s="5">
        <f>VLOOKUP($A195,'ПР 01-02.21'!$A$11:$BB$406,25,FALSE)+VLOOKUP($A195,'ПР 21-22'!$A$11:$BB$406,25,FALSE)-VLOOKUP($A195,'ПР 01-02.22'!$A$11:$BB$378,25,FALSE)</f>
        <v>0</v>
      </c>
      <c r="Z195" s="5"/>
      <c r="AA195" s="5">
        <f>VLOOKUP($A195,'ПР 01-02.21'!$A$11:$BB$406,27,FALSE)+VLOOKUP($A195,'ПР 21-22'!$A$11:$BB$406,27,FALSE)-VLOOKUP($A195,'ПР 01-02.22'!$A$11:$BB$378,27,FALSE)</f>
        <v>0</v>
      </c>
      <c r="AB195" s="5">
        <f>VLOOKUP($A195,'ПР 01-02.21'!$A$11:$BB$406,28,FALSE)+VLOOKUP($A195,'ПР 21-22'!$A$11:$BB$406,28,FALSE)-VLOOKUP($A195,'ПР 01-02.22'!$A$11:$BB$378,28,FALSE)</f>
        <v>0</v>
      </c>
      <c r="AC195" s="5">
        <f>VLOOKUP($A195,'ПР 01-02.21'!$A$11:$BB$406,29,FALSE)+VLOOKUP($A195,'ПР 21-22'!$A$11:$BB$406,29,FALSE)-VLOOKUP($A195,'ПР 01-02.22'!$A$11:$BB$378,29,FALSE)</f>
        <v>0</v>
      </c>
      <c r="AD195" s="5">
        <f>VLOOKUP($A195,'ПР 01-02.21'!$A$11:$BB$406,30,FALSE)+VLOOKUP($A195,'ПР 21-22'!$A$11:$BB$406,30,FALSE)-VLOOKUP($A195,'ПР 01-02.22'!$A$11:$BB$378,30,FALSE)</f>
        <v>0</v>
      </c>
      <c r="AE195" s="5">
        <f>VLOOKUP($A195,'ПР 01-02.21'!$A$11:$BB$406,31,FALSE)+VLOOKUP($A195,'ПР 21-22'!$A$11:$BB$406,31,FALSE)-VLOOKUP($A195,'ПР 01-02.22'!$A$11:$BB$378,31,FALSE)</f>
        <v>0</v>
      </c>
      <c r="AF195" s="5">
        <f>VLOOKUP($A195,'ПР 01-02.21'!$A$11:$BB$406,32,FALSE)+VLOOKUP($A195,'ПР 21-22'!$A$11:$BB$406,32,FALSE)-VLOOKUP($A195,'ПР 01-02.22'!$A$11:$BB$378,32,FALSE)</f>
        <v>0</v>
      </c>
      <c r="AG195" s="40"/>
      <c r="AH195" s="5">
        <f>VLOOKUP($A195,'ПР 01-02.21'!$A$11:$BB$406,34,FALSE)+VLOOKUP($A195,'ПР 21-22'!$A$11:$BB$406,34,FALSE)-VLOOKUP($A195,'ПР 01-02.22'!$A$11:$BB$378,34,FALSE)</f>
        <v>0</v>
      </c>
      <c r="AI195" s="5">
        <f>VLOOKUP($A195,'ПР 01-02.21'!$A$11:$BB$406,35,FALSE)+VLOOKUP($A195,'ПР 21-22'!$A$11:$BB$406,35,FALSE)-VLOOKUP($A195,'ПР 01-02.22'!$A$11:$BB$378,35,FALSE)</f>
        <v>0</v>
      </c>
      <c r="AJ195" s="40"/>
      <c r="AK195" s="5">
        <f>VLOOKUP($A195,'ПР 01-02.21'!$A$11:$BB$406,37,FALSE)+VLOOKUP($A195,'ПР 21-22'!$A$11:$BB$406,37,FALSE)-VLOOKUP($A195,'ПР 01-02.22'!$A$11:$BB$378,37,FALSE)</f>
        <v>0</v>
      </c>
      <c r="AL195" s="5">
        <f>VLOOKUP($A195,'ПР 01-02.21'!$A$11:$BB$406,38,FALSE)+VLOOKUP($A195,'ПР 21-22'!$A$11:$BB$406,38,FALSE)-VLOOKUP($A195,'ПР 01-02.22'!$A$11:$BB$378,38,FALSE)</f>
        <v>0</v>
      </c>
      <c r="AM195" s="40"/>
      <c r="AN195" s="5">
        <f>VLOOKUP($A195,'ПР 01-02.21'!$A$11:$BB$406,40,FALSE)+VLOOKUP($A195,'ПР 21-22'!$A$11:$BB$406,40,FALSE)-VLOOKUP($A195,'ПР 01-02.22'!$A$11:$BB$378,40,FALSE)</f>
        <v>0</v>
      </c>
      <c r="AO195" s="5">
        <f>VLOOKUP($A195,'ПР 01-02.21'!$A$11:$BB$406,41,FALSE)+VLOOKUP($A195,'ПР 21-22'!$A$11:$BB$406,41,FALSE)-VLOOKUP($A195,'ПР 01-02.22'!$A$11:$BB$378,41,FALSE)</f>
        <v>0</v>
      </c>
      <c r="AP195" s="40"/>
      <c r="AQ195" s="5">
        <f>VLOOKUP($A195,'ПР 01-02.21'!$A$11:$BB$406,43,FALSE)+VLOOKUP($A195,'ПР 21-22'!$A$11:$BB$406,43,FALSE)-VLOOKUP($A195,'ПР 01-02.22'!$A$11:$BB$378,43,FALSE)</f>
        <v>0</v>
      </c>
      <c r="AR195" s="5">
        <f>VLOOKUP($A195,'ПР 01-02.21'!$A$11:$BB$406,44,FALSE)+VLOOKUP($A195,'ПР 21-22'!$A$11:$BB$406,44,FALSE)-VLOOKUP($A195,'ПР 01-02.22'!$A$11:$BB$378,44,FALSE)</f>
        <v>0</v>
      </c>
      <c r="AS195" s="40"/>
      <c r="AT195" s="5">
        <f>VLOOKUP($A195,'ПР 01-02.21'!$A$11:$BB$406,46,FALSE)+VLOOKUP($A195,'ПР 21-22'!$A$11:$BB$406,46,FALSE)-VLOOKUP($A195,'ПР 01-02.22'!$A$11:$BB$378,46,FALSE)</f>
        <v>0</v>
      </c>
      <c r="AU195" s="5">
        <f>VLOOKUP($A195,'ПР 01-02.21'!$A$11:$BB$406,47,FALSE)+VLOOKUP($A195,'ПР 21-22'!$A$11:$BB$406,47,FALSE)-VLOOKUP($A195,'ПР 01-02.22'!$A$11:$BB$378,47,FALSE)</f>
        <v>0</v>
      </c>
      <c r="AV195" s="40"/>
      <c r="AW195" s="5">
        <f>VLOOKUP($A195,'ПР 01-02.21'!$A$11:$BB$406,49,FALSE)+VLOOKUP($A195,'ПР 21-22'!$A$11:$BB$406,49,FALSE)-VLOOKUP($A195,'ПР 01-02.22'!$A$11:$BB$378,49,FALSE)</f>
        <v>9.2088000000000001</v>
      </c>
      <c r="AX195" s="5">
        <f>VLOOKUP($A195,'ПР 01-02.21'!$A$11:$BB$406,50,FALSE)+VLOOKUP($A195,'ПР 21-22'!$A$11:$BB$406,50,FALSE)-VLOOKUP($A195,'ПР 01-02.22'!$A$11:$BB$378,50,FALSE)</f>
        <v>0</v>
      </c>
      <c r="AY195" s="40"/>
      <c r="AZ195" s="40">
        <f t="shared" si="13"/>
        <v>9.2088000000000001</v>
      </c>
      <c r="BA195" s="40">
        <f t="shared" si="13"/>
        <v>0</v>
      </c>
      <c r="BB195" s="55">
        <f t="shared" si="12"/>
        <v>-9.2088000000000001</v>
      </c>
      <c r="BD195" s="2">
        <v>3</v>
      </c>
      <c r="BF195" s="325">
        <v>150000505</v>
      </c>
    </row>
    <row r="196" spans="1:58" ht="24.9" customHeight="1" x14ac:dyDescent="0.3">
      <c r="A196" s="325">
        <v>150000507</v>
      </c>
      <c r="B196" s="445" t="s">
        <v>114</v>
      </c>
      <c r="C196" s="27">
        <v>1</v>
      </c>
      <c r="D196" s="101" t="s">
        <v>455</v>
      </c>
      <c r="E196" s="279">
        <f>'побудинковий звіт'!E194</f>
        <v>329.7</v>
      </c>
      <c r="F196" s="441">
        <f>'побудинковий звіт'!AS194</f>
        <v>3203.7388007933664</v>
      </c>
      <c r="G196" s="441">
        <f t="shared" si="10"/>
        <v>0</v>
      </c>
      <c r="H196" s="73">
        <f t="shared" si="11"/>
        <v>-3203.7388007933664</v>
      </c>
      <c r="I196" s="5">
        <f>VLOOKUP($A196,'ПР 01-02.21'!$A$11:$BB$406,9,FALSE)+VLOOKUP($A196,'ПР 21-22'!$A$11:$BB$406,9,FALSE)-VLOOKUP($A196,'ПР 01-02.22'!$A$11:$BB$378,9,FALSE)</f>
        <v>0</v>
      </c>
      <c r="J196" s="5">
        <f>VLOOKUP($A196,'ПР 01-02.21'!$A$11:$BB$406,10,FALSE)+VLOOKUP($A196,'ПР 21-22'!$A$11:$BB$406,10,FALSE)-VLOOKUP($A196,'ПР 01-02.22'!$A$11:$BB$378,10,FALSE)</f>
        <v>0</v>
      </c>
      <c r="K196" s="446"/>
      <c r="L196" s="5">
        <f>VLOOKUP($A196,'ПР 01-02.21'!$A$11:$BB$406,12,FALSE)+VLOOKUP($A196,'ПР 21-22'!$A$11:$BB$406,12,FALSE)-VLOOKUP($A196,'ПР 01-02.22'!$A$11:$BB$378,12,FALSE)</f>
        <v>0</v>
      </c>
      <c r="M196" s="5">
        <f>VLOOKUP($A196,'ПР 01-02.21'!$A$11:$BB$406,13,FALSE)+VLOOKUP($A196,'ПР 21-22'!$A$11:$BB$406,13,FALSE)-VLOOKUP($A196,'ПР 01-02.22'!$A$11:$BB$378,13,FALSE)</f>
        <v>0</v>
      </c>
      <c r="N196" s="38"/>
      <c r="O196" s="5">
        <f>VLOOKUP($A196,'ПР 01-02.21'!$A$11:$BB$406,15,FALSE)+VLOOKUP($A196,'ПР 21-22'!$A$11:$BB$406,15,FALSE)-VLOOKUP($A196,'ПР 01-02.22'!$A$11:$BB$378,15,FALSE)</f>
        <v>0</v>
      </c>
      <c r="P196" s="5">
        <f>VLOOKUP($A196,'ПР 01-02.21'!$A$11:$BB$406,16,FALSE)+VLOOKUP($A196,'ПР 21-22'!$A$11:$BB$406,16,FALSE)-VLOOKUP($A196,'ПР 01-02.22'!$A$11:$BB$378,16,FALSE)</f>
        <v>0</v>
      </c>
      <c r="Q196" s="443"/>
      <c r="R196" s="5">
        <f>VLOOKUP($A196,'ПР 01-02.21'!$A$11:$BB$406,18,FALSE)+VLOOKUP($A196,'ПР 21-22'!$A$11:$BB$406,18,FALSE)-VLOOKUP($A196,'ПР 01-02.22'!$A$11:$BB$378,18,FALSE)</f>
        <v>0</v>
      </c>
      <c r="S196" s="5">
        <f>VLOOKUP($A196,'ПР 01-02.21'!$A$11:$BB$406,19,FALSE)+VLOOKUP($A196,'ПР 21-22'!$A$11:$BB$406,19,FALSE)-VLOOKUP($A196,'ПР 01-02.22'!$A$11:$BB$378,19,FALSE)</f>
        <v>0</v>
      </c>
      <c r="T196" s="444"/>
      <c r="U196" s="5">
        <f>VLOOKUP($A196,'ПР 01-02.21'!$A$11:$BB$406,21,FALSE)+VLOOKUP($A196,'ПР 21-22'!$A$11:$BB$406,21,FALSE)-VLOOKUP($A196,'ПР 01-02.22'!$A$11:$BB$378,21,FALSE)</f>
        <v>0</v>
      </c>
      <c r="V196" s="5"/>
      <c r="W196" s="5">
        <f>VLOOKUP($A196,'ПР 01-02.21'!$A$11:$BB$406,23,FALSE)+VLOOKUP($A196,'ПР 21-22'!$A$11:$BB$406,23,FALSE)-VLOOKUP($A196,'ПР 01-02.22'!$A$11:$BB$378,23,FALSE)</f>
        <v>0</v>
      </c>
      <c r="X196" s="5">
        <f>VLOOKUP($A196,'ПР 01-02.21'!$A$11:$BB$406,24,FALSE)+VLOOKUP($A196,'ПР 21-22'!$A$11:$BB$406,24,FALSE)-VLOOKUP($A196,'ПР 01-02.22'!$A$11:$BB$378,24,FALSE)</f>
        <v>0</v>
      </c>
      <c r="Y196" s="5">
        <f>VLOOKUP($A196,'ПР 01-02.21'!$A$11:$BB$406,25,FALSE)+VLOOKUP($A196,'ПР 21-22'!$A$11:$BB$406,25,FALSE)-VLOOKUP($A196,'ПР 01-02.22'!$A$11:$BB$378,25,FALSE)</f>
        <v>0</v>
      </c>
      <c r="Z196" s="5"/>
      <c r="AA196" s="5">
        <f>VLOOKUP($A196,'ПР 01-02.21'!$A$11:$BB$406,27,FALSE)+VLOOKUP($A196,'ПР 21-22'!$A$11:$BB$406,27,FALSE)-VLOOKUP($A196,'ПР 01-02.22'!$A$11:$BB$378,27,FALSE)</f>
        <v>0</v>
      </c>
      <c r="AB196" s="5">
        <f>VLOOKUP($A196,'ПР 01-02.21'!$A$11:$BB$406,28,FALSE)+VLOOKUP($A196,'ПР 21-22'!$A$11:$BB$406,28,FALSE)-VLOOKUP($A196,'ПР 01-02.22'!$A$11:$BB$378,28,FALSE)</f>
        <v>0</v>
      </c>
      <c r="AC196" s="5">
        <f>VLOOKUP($A196,'ПР 01-02.21'!$A$11:$BB$406,29,FALSE)+VLOOKUP($A196,'ПР 21-22'!$A$11:$BB$406,29,FALSE)-VLOOKUP($A196,'ПР 01-02.22'!$A$11:$BB$378,29,FALSE)</f>
        <v>0</v>
      </c>
      <c r="AD196" s="5">
        <f>VLOOKUP($A196,'ПР 01-02.21'!$A$11:$BB$406,30,FALSE)+VLOOKUP($A196,'ПР 21-22'!$A$11:$BB$406,30,FALSE)-VLOOKUP($A196,'ПР 01-02.22'!$A$11:$BB$378,30,FALSE)</f>
        <v>0</v>
      </c>
      <c r="AE196" s="5">
        <f>VLOOKUP($A196,'ПР 01-02.21'!$A$11:$BB$406,31,FALSE)+VLOOKUP($A196,'ПР 21-22'!$A$11:$BB$406,31,FALSE)-VLOOKUP($A196,'ПР 01-02.22'!$A$11:$BB$378,31,FALSE)</f>
        <v>0</v>
      </c>
      <c r="AF196" s="5">
        <f>VLOOKUP($A196,'ПР 01-02.21'!$A$11:$BB$406,32,FALSE)+VLOOKUP($A196,'ПР 21-22'!$A$11:$BB$406,32,FALSE)-VLOOKUP($A196,'ПР 01-02.22'!$A$11:$BB$378,32,FALSE)</f>
        <v>0</v>
      </c>
      <c r="AG196" s="40"/>
      <c r="AH196" s="5">
        <f>VLOOKUP($A196,'ПР 01-02.21'!$A$11:$BB$406,34,FALSE)+VLOOKUP($A196,'ПР 21-22'!$A$11:$BB$406,34,FALSE)-VLOOKUP($A196,'ПР 01-02.22'!$A$11:$BB$378,34,FALSE)</f>
        <v>0</v>
      </c>
      <c r="AI196" s="5">
        <f>VLOOKUP($A196,'ПР 01-02.21'!$A$11:$BB$406,35,FALSE)+VLOOKUP($A196,'ПР 21-22'!$A$11:$BB$406,35,FALSE)-VLOOKUP($A196,'ПР 01-02.22'!$A$11:$BB$378,35,FALSE)</f>
        <v>0</v>
      </c>
      <c r="AJ196" s="40"/>
      <c r="AK196" s="5">
        <f>VLOOKUP($A196,'ПР 01-02.21'!$A$11:$BB$406,37,FALSE)+VLOOKUP($A196,'ПР 21-22'!$A$11:$BB$406,37,FALSE)-VLOOKUP($A196,'ПР 01-02.22'!$A$11:$BB$378,37,FALSE)</f>
        <v>0</v>
      </c>
      <c r="AL196" s="5">
        <f>VLOOKUP($A196,'ПР 01-02.21'!$A$11:$BB$406,38,FALSE)+VLOOKUP($A196,'ПР 21-22'!$A$11:$BB$406,38,FALSE)-VLOOKUP($A196,'ПР 01-02.22'!$A$11:$BB$378,38,FALSE)</f>
        <v>0</v>
      </c>
      <c r="AM196" s="40"/>
      <c r="AN196" s="5">
        <f>VLOOKUP($A196,'ПР 01-02.21'!$A$11:$BB$406,40,FALSE)+VLOOKUP($A196,'ПР 21-22'!$A$11:$BB$406,40,FALSE)-VLOOKUP($A196,'ПР 01-02.22'!$A$11:$BB$378,40,FALSE)</f>
        <v>0</v>
      </c>
      <c r="AO196" s="5">
        <f>VLOOKUP($A196,'ПР 01-02.21'!$A$11:$BB$406,41,FALSE)+VLOOKUP($A196,'ПР 21-22'!$A$11:$BB$406,41,FALSE)-VLOOKUP($A196,'ПР 01-02.22'!$A$11:$BB$378,41,FALSE)</f>
        <v>0</v>
      </c>
      <c r="AP196" s="40"/>
      <c r="AQ196" s="5">
        <f>VLOOKUP($A196,'ПР 01-02.21'!$A$11:$BB$406,43,FALSE)+VLOOKUP($A196,'ПР 21-22'!$A$11:$BB$406,43,FALSE)-VLOOKUP($A196,'ПР 01-02.22'!$A$11:$BB$378,43,FALSE)</f>
        <v>0</v>
      </c>
      <c r="AR196" s="5">
        <f>VLOOKUP($A196,'ПР 01-02.21'!$A$11:$BB$406,44,FALSE)+VLOOKUP($A196,'ПР 21-22'!$A$11:$BB$406,44,FALSE)-VLOOKUP($A196,'ПР 01-02.22'!$A$11:$BB$378,44,FALSE)</f>
        <v>0</v>
      </c>
      <c r="AS196" s="40"/>
      <c r="AT196" s="5">
        <f>VLOOKUP($A196,'ПР 01-02.21'!$A$11:$BB$406,46,FALSE)+VLOOKUP($A196,'ПР 21-22'!$A$11:$BB$406,46,FALSE)-VLOOKUP($A196,'ПР 01-02.22'!$A$11:$BB$378,46,FALSE)</f>
        <v>0</v>
      </c>
      <c r="AU196" s="5">
        <f>VLOOKUP($A196,'ПР 01-02.21'!$A$11:$BB$406,47,FALSE)+VLOOKUP($A196,'ПР 21-22'!$A$11:$BB$406,47,FALSE)-VLOOKUP($A196,'ПР 01-02.22'!$A$11:$BB$378,47,FALSE)</f>
        <v>0</v>
      </c>
      <c r="AV196" s="40"/>
      <c r="AW196" s="5">
        <f>VLOOKUP($A196,'ПР 01-02.21'!$A$11:$BB$406,49,FALSE)+VLOOKUP($A196,'ПР 21-22'!$A$11:$BB$406,49,FALSE)-VLOOKUP($A196,'ПР 01-02.22'!$A$11:$BB$378,49,FALSE)</f>
        <v>15.823999999999998</v>
      </c>
      <c r="AX196" s="5">
        <f>VLOOKUP($A196,'ПР 01-02.21'!$A$11:$BB$406,50,FALSE)+VLOOKUP($A196,'ПР 21-22'!$A$11:$BB$406,50,FALSE)-VLOOKUP($A196,'ПР 01-02.22'!$A$11:$BB$378,50,FALSE)</f>
        <v>0</v>
      </c>
      <c r="AY196" s="40"/>
      <c r="AZ196" s="40">
        <f t="shared" si="13"/>
        <v>15.823999999999998</v>
      </c>
      <c r="BA196" s="40">
        <f t="shared" si="13"/>
        <v>0</v>
      </c>
      <c r="BB196" s="55">
        <f t="shared" si="12"/>
        <v>-15.823999999999998</v>
      </c>
      <c r="BD196" s="2">
        <v>3</v>
      </c>
      <c r="BF196" s="325">
        <v>150000507</v>
      </c>
    </row>
    <row r="197" spans="1:58" ht="24.9" customHeight="1" x14ac:dyDescent="0.3">
      <c r="A197" s="325">
        <v>150000508</v>
      </c>
      <c r="B197" s="445" t="s">
        <v>115</v>
      </c>
      <c r="C197" s="27">
        <v>1</v>
      </c>
      <c r="D197" s="101" t="s">
        <v>455</v>
      </c>
      <c r="E197" s="279">
        <f>'побудинковий звіт'!E195</f>
        <v>151.80000000000001</v>
      </c>
      <c r="F197" s="441">
        <f>'побудинковий звіт'!AS195</f>
        <v>1331.2721331884586</v>
      </c>
      <c r="G197" s="441">
        <f t="shared" si="10"/>
        <v>0</v>
      </c>
      <c r="H197" s="73">
        <f t="shared" si="11"/>
        <v>-1331.2721331884586</v>
      </c>
      <c r="I197" s="5">
        <f>VLOOKUP($A197,'ПР 01-02.21'!$A$11:$BB$406,9,FALSE)+VLOOKUP($A197,'ПР 21-22'!$A$11:$BB$406,9,FALSE)-VLOOKUP($A197,'ПР 01-02.22'!$A$11:$BB$378,9,FALSE)</f>
        <v>0</v>
      </c>
      <c r="J197" s="5">
        <f>VLOOKUP($A197,'ПР 01-02.21'!$A$11:$BB$406,10,FALSE)+VLOOKUP($A197,'ПР 21-22'!$A$11:$BB$406,10,FALSE)-VLOOKUP($A197,'ПР 01-02.22'!$A$11:$BB$378,10,FALSE)</f>
        <v>0</v>
      </c>
      <c r="K197" s="446"/>
      <c r="L197" s="5">
        <f>VLOOKUP($A197,'ПР 01-02.21'!$A$11:$BB$406,12,FALSE)+VLOOKUP($A197,'ПР 21-22'!$A$11:$BB$406,12,FALSE)-VLOOKUP($A197,'ПР 01-02.22'!$A$11:$BB$378,12,FALSE)</f>
        <v>0</v>
      </c>
      <c r="M197" s="5">
        <f>VLOOKUP($A197,'ПР 01-02.21'!$A$11:$BB$406,13,FALSE)+VLOOKUP($A197,'ПР 21-22'!$A$11:$BB$406,13,FALSE)-VLOOKUP($A197,'ПР 01-02.22'!$A$11:$BB$378,13,FALSE)</f>
        <v>0</v>
      </c>
      <c r="N197" s="38"/>
      <c r="O197" s="5">
        <f>VLOOKUP($A197,'ПР 01-02.21'!$A$11:$BB$406,15,FALSE)+VLOOKUP($A197,'ПР 21-22'!$A$11:$BB$406,15,FALSE)-VLOOKUP($A197,'ПР 01-02.22'!$A$11:$BB$378,15,FALSE)</f>
        <v>0</v>
      </c>
      <c r="P197" s="5">
        <f>VLOOKUP($A197,'ПР 01-02.21'!$A$11:$BB$406,16,FALSE)+VLOOKUP($A197,'ПР 21-22'!$A$11:$BB$406,16,FALSE)-VLOOKUP($A197,'ПР 01-02.22'!$A$11:$BB$378,16,FALSE)</f>
        <v>0</v>
      </c>
      <c r="Q197" s="443"/>
      <c r="R197" s="5">
        <f>VLOOKUP($A197,'ПР 01-02.21'!$A$11:$BB$406,18,FALSE)+VLOOKUP($A197,'ПР 21-22'!$A$11:$BB$406,18,FALSE)-VLOOKUP($A197,'ПР 01-02.22'!$A$11:$BB$378,18,FALSE)</f>
        <v>0</v>
      </c>
      <c r="S197" s="5">
        <f>VLOOKUP($A197,'ПР 01-02.21'!$A$11:$BB$406,19,FALSE)+VLOOKUP($A197,'ПР 21-22'!$A$11:$BB$406,19,FALSE)-VLOOKUP($A197,'ПР 01-02.22'!$A$11:$BB$378,19,FALSE)</f>
        <v>0</v>
      </c>
      <c r="T197" s="444"/>
      <c r="U197" s="5">
        <f>VLOOKUP($A197,'ПР 01-02.21'!$A$11:$BB$406,21,FALSE)+VLOOKUP($A197,'ПР 21-22'!$A$11:$BB$406,21,FALSE)-VLOOKUP($A197,'ПР 01-02.22'!$A$11:$BB$378,21,FALSE)</f>
        <v>0</v>
      </c>
      <c r="V197" s="5"/>
      <c r="W197" s="5">
        <f>VLOOKUP($A197,'ПР 01-02.21'!$A$11:$BB$406,23,FALSE)+VLOOKUP($A197,'ПР 21-22'!$A$11:$BB$406,23,FALSE)-VLOOKUP($A197,'ПР 01-02.22'!$A$11:$BB$378,23,FALSE)</f>
        <v>0</v>
      </c>
      <c r="X197" s="5">
        <f>VLOOKUP($A197,'ПР 01-02.21'!$A$11:$BB$406,24,FALSE)+VLOOKUP($A197,'ПР 21-22'!$A$11:$BB$406,24,FALSE)-VLOOKUP($A197,'ПР 01-02.22'!$A$11:$BB$378,24,FALSE)</f>
        <v>0</v>
      </c>
      <c r="Y197" s="5">
        <f>VLOOKUP($A197,'ПР 01-02.21'!$A$11:$BB$406,25,FALSE)+VLOOKUP($A197,'ПР 21-22'!$A$11:$BB$406,25,FALSE)-VLOOKUP($A197,'ПР 01-02.22'!$A$11:$BB$378,25,FALSE)</f>
        <v>0</v>
      </c>
      <c r="Z197" s="5"/>
      <c r="AA197" s="5">
        <f>VLOOKUP($A197,'ПР 01-02.21'!$A$11:$BB$406,27,FALSE)+VLOOKUP($A197,'ПР 21-22'!$A$11:$BB$406,27,FALSE)-VLOOKUP($A197,'ПР 01-02.22'!$A$11:$BB$378,27,FALSE)</f>
        <v>0</v>
      </c>
      <c r="AB197" s="5">
        <f>VLOOKUP($A197,'ПР 01-02.21'!$A$11:$BB$406,28,FALSE)+VLOOKUP($A197,'ПР 21-22'!$A$11:$BB$406,28,FALSE)-VLOOKUP($A197,'ПР 01-02.22'!$A$11:$BB$378,28,FALSE)</f>
        <v>0</v>
      </c>
      <c r="AC197" s="5">
        <f>VLOOKUP($A197,'ПР 01-02.21'!$A$11:$BB$406,29,FALSE)+VLOOKUP($A197,'ПР 21-22'!$A$11:$BB$406,29,FALSE)-VLOOKUP($A197,'ПР 01-02.22'!$A$11:$BB$378,29,FALSE)</f>
        <v>0</v>
      </c>
      <c r="AD197" s="5">
        <f>VLOOKUP($A197,'ПР 01-02.21'!$A$11:$BB$406,30,FALSE)+VLOOKUP($A197,'ПР 21-22'!$A$11:$BB$406,30,FALSE)-VLOOKUP($A197,'ПР 01-02.22'!$A$11:$BB$378,30,FALSE)</f>
        <v>0</v>
      </c>
      <c r="AE197" s="5">
        <f>VLOOKUP($A197,'ПР 01-02.21'!$A$11:$BB$406,31,FALSE)+VLOOKUP($A197,'ПР 21-22'!$A$11:$BB$406,31,FALSE)-VLOOKUP($A197,'ПР 01-02.22'!$A$11:$BB$378,31,FALSE)</f>
        <v>0</v>
      </c>
      <c r="AF197" s="5">
        <f>VLOOKUP($A197,'ПР 01-02.21'!$A$11:$BB$406,32,FALSE)+VLOOKUP($A197,'ПР 21-22'!$A$11:$BB$406,32,FALSE)-VLOOKUP($A197,'ПР 01-02.22'!$A$11:$BB$378,32,FALSE)</f>
        <v>0</v>
      </c>
      <c r="AG197" s="40"/>
      <c r="AH197" s="5">
        <f>VLOOKUP($A197,'ПР 01-02.21'!$A$11:$BB$406,34,FALSE)+VLOOKUP($A197,'ПР 21-22'!$A$11:$BB$406,34,FALSE)-VLOOKUP($A197,'ПР 01-02.22'!$A$11:$BB$378,34,FALSE)</f>
        <v>0</v>
      </c>
      <c r="AI197" s="5">
        <f>VLOOKUP($A197,'ПР 01-02.21'!$A$11:$BB$406,35,FALSE)+VLOOKUP($A197,'ПР 21-22'!$A$11:$BB$406,35,FALSE)-VLOOKUP($A197,'ПР 01-02.22'!$A$11:$BB$378,35,FALSE)</f>
        <v>0</v>
      </c>
      <c r="AJ197" s="40"/>
      <c r="AK197" s="5">
        <f>VLOOKUP($A197,'ПР 01-02.21'!$A$11:$BB$406,37,FALSE)+VLOOKUP($A197,'ПР 21-22'!$A$11:$BB$406,37,FALSE)-VLOOKUP($A197,'ПР 01-02.22'!$A$11:$BB$378,37,FALSE)</f>
        <v>0</v>
      </c>
      <c r="AL197" s="5">
        <f>VLOOKUP($A197,'ПР 01-02.21'!$A$11:$BB$406,38,FALSE)+VLOOKUP($A197,'ПР 21-22'!$A$11:$BB$406,38,FALSE)-VLOOKUP($A197,'ПР 01-02.22'!$A$11:$BB$378,38,FALSE)</f>
        <v>0</v>
      </c>
      <c r="AM197" s="40"/>
      <c r="AN197" s="5">
        <f>VLOOKUP($A197,'ПР 01-02.21'!$A$11:$BB$406,40,FALSE)+VLOOKUP($A197,'ПР 21-22'!$A$11:$BB$406,40,FALSE)-VLOOKUP($A197,'ПР 01-02.22'!$A$11:$BB$378,40,FALSE)</f>
        <v>0</v>
      </c>
      <c r="AO197" s="5">
        <f>VLOOKUP($A197,'ПР 01-02.21'!$A$11:$BB$406,41,FALSE)+VLOOKUP($A197,'ПР 21-22'!$A$11:$BB$406,41,FALSE)-VLOOKUP($A197,'ПР 01-02.22'!$A$11:$BB$378,41,FALSE)</f>
        <v>0</v>
      </c>
      <c r="AP197" s="40"/>
      <c r="AQ197" s="5">
        <f>VLOOKUP($A197,'ПР 01-02.21'!$A$11:$BB$406,43,FALSE)+VLOOKUP($A197,'ПР 21-22'!$A$11:$BB$406,43,FALSE)-VLOOKUP($A197,'ПР 01-02.22'!$A$11:$BB$378,43,FALSE)</f>
        <v>0</v>
      </c>
      <c r="AR197" s="5">
        <f>VLOOKUP($A197,'ПР 01-02.21'!$A$11:$BB$406,44,FALSE)+VLOOKUP($A197,'ПР 21-22'!$A$11:$BB$406,44,FALSE)-VLOOKUP($A197,'ПР 01-02.22'!$A$11:$BB$378,44,FALSE)</f>
        <v>0</v>
      </c>
      <c r="AS197" s="40"/>
      <c r="AT197" s="5">
        <f>VLOOKUP($A197,'ПР 01-02.21'!$A$11:$BB$406,46,FALSE)+VLOOKUP($A197,'ПР 21-22'!$A$11:$BB$406,46,FALSE)-VLOOKUP($A197,'ПР 01-02.22'!$A$11:$BB$378,46,FALSE)</f>
        <v>0</v>
      </c>
      <c r="AU197" s="5">
        <f>VLOOKUP($A197,'ПР 01-02.21'!$A$11:$BB$406,47,FALSE)+VLOOKUP($A197,'ПР 21-22'!$A$11:$BB$406,47,FALSE)-VLOOKUP($A197,'ПР 01-02.22'!$A$11:$BB$378,47,FALSE)</f>
        <v>0</v>
      </c>
      <c r="AV197" s="40"/>
      <c r="AW197" s="5">
        <f>VLOOKUP($A197,'ПР 01-02.21'!$A$11:$BB$406,49,FALSE)+VLOOKUP($A197,'ПР 21-22'!$A$11:$BB$406,49,FALSE)-VLOOKUP($A197,'ПР 01-02.22'!$A$11:$BB$378,49,FALSE)</f>
        <v>8.072000000000001</v>
      </c>
      <c r="AX197" s="5">
        <f>VLOOKUP($A197,'ПР 01-02.21'!$A$11:$BB$406,50,FALSE)+VLOOKUP($A197,'ПР 21-22'!$A$11:$BB$406,50,FALSE)-VLOOKUP($A197,'ПР 01-02.22'!$A$11:$BB$378,50,FALSE)</f>
        <v>0</v>
      </c>
      <c r="AY197" s="40"/>
      <c r="AZ197" s="40">
        <f t="shared" si="13"/>
        <v>8.072000000000001</v>
      </c>
      <c r="BA197" s="40">
        <f t="shared" si="13"/>
        <v>0</v>
      </c>
      <c r="BB197" s="55">
        <f t="shared" si="12"/>
        <v>-8.072000000000001</v>
      </c>
      <c r="BD197" s="2">
        <v>3</v>
      </c>
      <c r="BF197" s="325">
        <v>150000508</v>
      </c>
    </row>
    <row r="198" spans="1:58" ht="24.9" customHeight="1" x14ac:dyDescent="0.3">
      <c r="A198" s="325">
        <v>150000501</v>
      </c>
      <c r="B198" s="464" t="s">
        <v>264</v>
      </c>
      <c r="C198" s="27">
        <v>5</v>
      </c>
      <c r="D198" s="101" t="s">
        <v>455</v>
      </c>
      <c r="E198" s="279">
        <f>'побудинковий звіт'!E196</f>
        <v>4529.63</v>
      </c>
      <c r="F198" s="441">
        <f>'побудинковий звіт'!AS196</f>
        <v>47539.264853855915</v>
      </c>
      <c r="G198" s="441">
        <f t="shared" si="10"/>
        <v>142020.59</v>
      </c>
      <c r="H198" s="73">
        <f t="shared" si="11"/>
        <v>94481.325146144081</v>
      </c>
      <c r="I198" s="5">
        <f>VLOOKUP($A198,'ПР 01-02.21'!$A$11:$BB$406,9,FALSE)+VLOOKUP($A198,'ПР 21-22'!$A$11:$BB$406,9,FALSE)-VLOOKUP($A198,'ПР 01-02.22'!$A$11:$BB$378,9,FALSE)</f>
        <v>19</v>
      </c>
      <c r="J198" s="5">
        <f>VLOOKUP($A198,'ПР 01-02.21'!$A$11:$BB$406,10,FALSE)+VLOOKUP($A198,'ПР 21-22'!$A$11:$BB$406,10,FALSE)-VLOOKUP($A198,'ПР 01-02.22'!$A$11:$BB$378,10,FALSE)</f>
        <v>4193.59</v>
      </c>
      <c r="K198" s="450"/>
      <c r="L198" s="5">
        <f>VLOOKUP($A198,'ПР 01-02.21'!$A$11:$BB$406,12,FALSE)+VLOOKUP($A198,'ПР 21-22'!$A$11:$BB$406,12,FALSE)-VLOOKUP($A198,'ПР 01-02.22'!$A$11:$BB$378,12,FALSE)</f>
        <v>1</v>
      </c>
      <c r="M198" s="5">
        <f>VLOOKUP($A198,'ПР 01-02.21'!$A$11:$BB$406,13,FALSE)+VLOOKUP($A198,'ПР 21-22'!$A$11:$BB$406,13,FALSE)-VLOOKUP($A198,'ПР 01-02.22'!$A$11:$BB$378,13,FALSE)</f>
        <v>54216</v>
      </c>
      <c r="N198" s="38"/>
      <c r="O198" s="5">
        <f>VLOOKUP($A198,'ПР 01-02.21'!$A$11:$BB$406,15,FALSE)+VLOOKUP($A198,'ПР 21-22'!$A$11:$BB$406,15,FALSE)-VLOOKUP($A198,'ПР 01-02.22'!$A$11:$BB$378,15,FALSE)</f>
        <v>0</v>
      </c>
      <c r="P198" s="5">
        <f>VLOOKUP($A198,'ПР 01-02.21'!$A$11:$BB$406,16,FALSE)+VLOOKUP($A198,'ПР 21-22'!$A$11:$BB$406,16,FALSE)-VLOOKUP($A198,'ПР 01-02.22'!$A$11:$BB$378,16,FALSE)</f>
        <v>0</v>
      </c>
      <c r="Q198" s="443"/>
      <c r="R198" s="5">
        <f>VLOOKUP($A198,'ПР 01-02.21'!$A$11:$BB$406,18,FALSE)+VLOOKUP($A198,'ПР 21-22'!$A$11:$BB$406,18,FALSE)-VLOOKUP($A198,'ПР 01-02.22'!$A$11:$BB$378,18,FALSE)</f>
        <v>0</v>
      </c>
      <c r="S198" s="5">
        <f>VLOOKUP($A198,'ПР 01-02.21'!$A$11:$BB$406,19,FALSE)+VLOOKUP($A198,'ПР 21-22'!$A$11:$BB$406,19,FALSE)-VLOOKUP($A198,'ПР 01-02.22'!$A$11:$BB$378,19,FALSE)</f>
        <v>0</v>
      </c>
      <c r="T198" s="444"/>
      <c r="U198" s="5">
        <f>VLOOKUP($A198,'ПР 01-02.21'!$A$11:$BB$406,21,FALSE)+VLOOKUP($A198,'ПР 21-22'!$A$11:$BB$406,21,FALSE)-VLOOKUP($A198,'ПР 01-02.22'!$A$11:$BB$378,21,FALSE)</f>
        <v>0</v>
      </c>
      <c r="V198" s="5"/>
      <c r="W198" s="5">
        <f>VLOOKUP($A198,'ПР 01-02.21'!$A$11:$BB$406,23,FALSE)+VLOOKUP($A198,'ПР 21-22'!$A$11:$BB$406,23,FALSE)-VLOOKUP($A198,'ПР 01-02.22'!$A$11:$BB$378,23,FALSE)</f>
        <v>0</v>
      </c>
      <c r="X198" s="5">
        <f>VLOOKUP($A198,'ПР 01-02.21'!$A$11:$BB$406,24,FALSE)+VLOOKUP($A198,'ПР 21-22'!$A$11:$BB$406,24,FALSE)-VLOOKUP($A198,'ПР 01-02.22'!$A$11:$BB$378,24,FALSE)</f>
        <v>0</v>
      </c>
      <c r="Y198" s="5">
        <f>VLOOKUP($A198,'ПР 01-02.21'!$A$11:$BB$406,25,FALSE)+VLOOKUP($A198,'ПР 21-22'!$A$11:$BB$406,25,FALSE)-VLOOKUP($A198,'ПР 01-02.22'!$A$11:$BB$378,25,FALSE)</f>
        <v>82204</v>
      </c>
      <c r="Z198" s="5"/>
      <c r="AA198" s="5">
        <f>VLOOKUP($A198,'ПР 01-02.21'!$A$11:$BB$406,27,FALSE)+VLOOKUP($A198,'ПР 21-22'!$A$11:$BB$406,27,FALSE)-VLOOKUP($A198,'ПР 01-02.22'!$A$11:$BB$378,27,FALSE)</f>
        <v>0</v>
      </c>
      <c r="AB198" s="5">
        <f>VLOOKUP($A198,'ПР 01-02.21'!$A$11:$BB$406,28,FALSE)+VLOOKUP($A198,'ПР 21-22'!$A$11:$BB$406,28,FALSE)-VLOOKUP($A198,'ПР 01-02.22'!$A$11:$BB$378,28,FALSE)</f>
        <v>0</v>
      </c>
      <c r="AC198" s="5">
        <f>VLOOKUP($A198,'ПР 01-02.21'!$A$11:$BB$406,29,FALSE)+VLOOKUP($A198,'ПР 21-22'!$A$11:$BB$406,29,FALSE)-VLOOKUP($A198,'ПР 01-02.22'!$A$11:$BB$378,29,FALSE)</f>
        <v>655</v>
      </c>
      <c r="AD198" s="5">
        <f>VLOOKUP($A198,'ПР 01-02.21'!$A$11:$BB$406,30,FALSE)+VLOOKUP($A198,'ПР 21-22'!$A$11:$BB$406,30,FALSE)-VLOOKUP($A198,'ПР 01-02.22'!$A$11:$BB$378,30,FALSE)</f>
        <v>752</v>
      </c>
      <c r="AE198" s="5">
        <f>VLOOKUP($A198,'ПР 01-02.21'!$A$11:$BB$406,31,FALSE)+VLOOKUP($A198,'ПР 21-22'!$A$11:$BB$406,31,FALSE)-VLOOKUP($A198,'ПР 01-02.22'!$A$11:$BB$378,31,FALSE)</f>
        <v>4288.0898754414957</v>
      </c>
      <c r="AF198" s="5">
        <f>VLOOKUP($A198,'ПР 01-02.21'!$A$11:$BB$406,32,FALSE)+VLOOKUP($A198,'ПР 21-22'!$A$11:$BB$406,32,FALSE)-VLOOKUP($A198,'ПР 01-02.22'!$A$11:$BB$378,32,FALSE)</f>
        <v>0</v>
      </c>
      <c r="AG198" s="40"/>
      <c r="AH198" s="5">
        <f>VLOOKUP($A198,'ПР 01-02.21'!$A$11:$BB$406,34,FALSE)+VLOOKUP($A198,'ПР 21-22'!$A$11:$BB$406,34,FALSE)-VLOOKUP($A198,'ПР 01-02.22'!$A$11:$BB$378,34,FALSE)</f>
        <v>6305.5441172279543</v>
      </c>
      <c r="AI198" s="5">
        <f>VLOOKUP($A198,'ПР 01-02.21'!$A$11:$BB$406,35,FALSE)+VLOOKUP($A198,'ПР 21-22'!$A$11:$BB$406,35,FALSE)-VLOOKUP($A198,'ПР 01-02.22'!$A$11:$BB$378,35,FALSE)</f>
        <v>1024</v>
      </c>
      <c r="AJ198" s="40"/>
      <c r="AK198" s="5">
        <f>VLOOKUP($A198,'ПР 01-02.21'!$A$11:$BB$406,37,FALSE)+VLOOKUP($A198,'ПР 21-22'!$A$11:$BB$406,37,FALSE)-VLOOKUP($A198,'ПР 01-02.22'!$A$11:$BB$378,37,FALSE)</f>
        <v>2928.6006508238356</v>
      </c>
      <c r="AL198" s="5">
        <f>VLOOKUP($A198,'ПР 01-02.21'!$A$11:$BB$406,38,FALSE)+VLOOKUP($A198,'ПР 21-22'!$A$11:$BB$406,38,FALSE)-VLOOKUP($A198,'ПР 01-02.22'!$A$11:$BB$378,38,FALSE)</f>
        <v>434</v>
      </c>
      <c r="AM198" s="40"/>
      <c r="AN198" s="5">
        <f>VLOOKUP($A198,'ПР 01-02.21'!$A$11:$BB$406,40,FALSE)+VLOOKUP($A198,'ПР 21-22'!$A$11:$BB$406,40,FALSE)-VLOOKUP($A198,'ПР 01-02.22'!$A$11:$BB$378,40,FALSE)</f>
        <v>0</v>
      </c>
      <c r="AO198" s="5">
        <f>VLOOKUP($A198,'ПР 01-02.21'!$A$11:$BB$406,41,FALSE)+VLOOKUP($A198,'ПР 21-22'!$A$11:$BB$406,41,FALSE)-VLOOKUP($A198,'ПР 01-02.22'!$A$11:$BB$378,41,FALSE)</f>
        <v>0</v>
      </c>
      <c r="AP198" s="40"/>
      <c r="AQ198" s="5">
        <f>VLOOKUP($A198,'ПР 01-02.21'!$A$11:$BB$406,43,FALSE)+VLOOKUP($A198,'ПР 21-22'!$A$11:$BB$406,43,FALSE)-VLOOKUP($A198,'ПР 01-02.22'!$A$11:$BB$378,43,FALSE)</f>
        <v>0</v>
      </c>
      <c r="AR198" s="5">
        <f>VLOOKUP($A198,'ПР 01-02.21'!$A$11:$BB$406,44,FALSE)+VLOOKUP($A198,'ПР 21-22'!$A$11:$BB$406,44,FALSE)-VLOOKUP($A198,'ПР 01-02.22'!$A$11:$BB$378,44,FALSE)</f>
        <v>0</v>
      </c>
      <c r="AS198" s="40"/>
      <c r="AT198" s="5">
        <f>VLOOKUP($A198,'ПР 01-02.21'!$A$11:$BB$406,46,FALSE)+VLOOKUP($A198,'ПР 21-22'!$A$11:$BB$406,46,FALSE)-VLOOKUP($A198,'ПР 01-02.22'!$A$11:$BB$378,46,FALSE)</f>
        <v>4007.276269843785</v>
      </c>
      <c r="AU198" s="5">
        <f>VLOOKUP($A198,'ПР 01-02.21'!$A$11:$BB$406,47,FALSE)+VLOOKUP($A198,'ПР 21-22'!$A$11:$BB$406,47,FALSE)-VLOOKUP($A198,'ПР 01-02.22'!$A$11:$BB$378,47,FALSE)</f>
        <v>0</v>
      </c>
      <c r="AV198" s="40"/>
      <c r="AW198" s="5">
        <f>VLOOKUP($A198,'ПР 01-02.21'!$A$11:$BB$406,49,FALSE)+VLOOKUP($A198,'ПР 21-22'!$A$11:$BB$406,49,FALSE)-VLOOKUP($A198,'ПР 01-02.22'!$A$11:$BB$378,49,FALSE)</f>
        <v>226.69479999999999</v>
      </c>
      <c r="AX198" s="5">
        <f>VLOOKUP($A198,'ПР 01-02.21'!$A$11:$BB$406,50,FALSE)+VLOOKUP($A198,'ПР 21-22'!$A$11:$BB$406,50,FALSE)-VLOOKUP($A198,'ПР 01-02.22'!$A$11:$BB$378,50,FALSE)</f>
        <v>0</v>
      </c>
      <c r="AY198" s="40"/>
      <c r="AZ198" s="40">
        <f t="shared" si="13"/>
        <v>17756.205713337069</v>
      </c>
      <c r="BA198" s="40">
        <f t="shared" si="13"/>
        <v>1458</v>
      </c>
      <c r="BB198" s="55">
        <f t="shared" si="12"/>
        <v>-16298.205713337069</v>
      </c>
      <c r="BD198" s="2">
        <v>2</v>
      </c>
      <c r="BF198" s="325">
        <v>150000501</v>
      </c>
    </row>
    <row r="199" spans="1:58" ht="24.9" customHeight="1" x14ac:dyDescent="0.3">
      <c r="A199" s="325">
        <v>150000778</v>
      </c>
      <c r="B199" s="464" t="s">
        <v>215</v>
      </c>
      <c r="C199" s="27">
        <v>4</v>
      </c>
      <c r="D199" s="101" t="s">
        <v>455</v>
      </c>
      <c r="E199" s="279">
        <f>'побудинковий звіт'!E197</f>
        <v>2055.6</v>
      </c>
      <c r="F199" s="441">
        <f>'побудинковий звіт'!AS197</f>
        <v>19824.299001411207</v>
      </c>
      <c r="G199" s="441">
        <f t="shared" si="10"/>
        <v>16873.98</v>
      </c>
      <c r="H199" s="73">
        <f t="shared" si="11"/>
        <v>-2950.3190014112079</v>
      </c>
      <c r="I199" s="5">
        <f>VLOOKUP($A199,'ПР 01-02.21'!$A$11:$BB$406,9,FALSE)+VLOOKUP($A199,'ПР 21-22'!$A$11:$BB$406,9,FALSE)-VLOOKUP($A199,'ПР 01-02.22'!$A$11:$BB$378,9,FALSE)</f>
        <v>20</v>
      </c>
      <c r="J199" s="5">
        <f>VLOOKUP($A199,'ПР 01-02.21'!$A$11:$BB$406,10,FALSE)+VLOOKUP($A199,'ПР 21-22'!$A$11:$BB$406,10,FALSE)-VLOOKUP($A199,'ПР 01-02.22'!$A$11:$BB$378,10,FALSE)</f>
        <v>7627.66</v>
      </c>
      <c r="K199" s="446"/>
      <c r="L199" s="5">
        <f>VLOOKUP($A199,'ПР 01-02.21'!$A$11:$BB$406,12,FALSE)+VLOOKUP($A199,'ПР 21-22'!$A$11:$BB$406,12,FALSE)-VLOOKUP($A199,'ПР 01-02.22'!$A$11:$BB$378,12,FALSE)</f>
        <v>0</v>
      </c>
      <c r="M199" s="5">
        <f>VLOOKUP($A199,'ПР 01-02.21'!$A$11:$BB$406,13,FALSE)+VLOOKUP($A199,'ПР 21-22'!$A$11:$BB$406,13,FALSE)-VLOOKUP($A199,'ПР 01-02.22'!$A$11:$BB$378,13,FALSE)</f>
        <v>1035</v>
      </c>
      <c r="N199" s="38"/>
      <c r="O199" s="5">
        <f>VLOOKUP($A199,'ПР 01-02.21'!$A$11:$BB$406,15,FALSE)+VLOOKUP($A199,'ПР 21-22'!$A$11:$BB$406,15,FALSE)-VLOOKUP($A199,'ПР 01-02.22'!$A$11:$BB$378,15,FALSE)</f>
        <v>0</v>
      </c>
      <c r="P199" s="5">
        <f>VLOOKUP($A199,'ПР 01-02.21'!$A$11:$BB$406,16,FALSE)+VLOOKUP($A199,'ПР 21-22'!$A$11:$BB$406,16,FALSE)-VLOOKUP($A199,'ПР 01-02.22'!$A$11:$BB$378,16,FALSE)</f>
        <v>0</v>
      </c>
      <c r="Q199" s="443"/>
      <c r="R199" s="5">
        <f>VLOOKUP($A199,'ПР 01-02.21'!$A$11:$BB$406,18,FALSE)+VLOOKUP($A199,'ПР 21-22'!$A$11:$BB$406,18,FALSE)-VLOOKUP($A199,'ПР 01-02.22'!$A$11:$BB$378,18,FALSE)</f>
        <v>0</v>
      </c>
      <c r="S199" s="5">
        <f>VLOOKUP($A199,'ПР 01-02.21'!$A$11:$BB$406,19,FALSE)+VLOOKUP($A199,'ПР 21-22'!$A$11:$BB$406,19,FALSE)-VLOOKUP($A199,'ПР 01-02.22'!$A$11:$BB$378,19,FALSE)</f>
        <v>0</v>
      </c>
      <c r="T199" s="444"/>
      <c r="U199" s="5">
        <f>VLOOKUP($A199,'ПР 01-02.21'!$A$11:$BB$406,21,FALSE)+VLOOKUP($A199,'ПР 21-22'!$A$11:$BB$406,21,FALSE)-VLOOKUP($A199,'ПР 01-02.22'!$A$11:$BB$378,21,FALSE)</f>
        <v>0</v>
      </c>
      <c r="V199" s="5"/>
      <c r="W199" s="5">
        <f>VLOOKUP($A199,'ПР 01-02.21'!$A$11:$BB$406,23,FALSE)+VLOOKUP($A199,'ПР 21-22'!$A$11:$BB$406,23,FALSE)-VLOOKUP($A199,'ПР 01-02.22'!$A$11:$BB$378,23,FALSE)</f>
        <v>0</v>
      </c>
      <c r="X199" s="5">
        <f>VLOOKUP($A199,'ПР 01-02.21'!$A$11:$BB$406,24,FALSE)+VLOOKUP($A199,'ПР 21-22'!$A$11:$BB$406,24,FALSE)-VLOOKUP($A199,'ПР 01-02.22'!$A$11:$BB$378,24,FALSE)</f>
        <v>0</v>
      </c>
      <c r="Y199" s="5">
        <f>VLOOKUP($A199,'ПР 01-02.21'!$A$11:$BB$406,25,FALSE)+VLOOKUP($A199,'ПР 21-22'!$A$11:$BB$406,25,FALSE)-VLOOKUP($A199,'ПР 01-02.22'!$A$11:$BB$378,25,FALSE)</f>
        <v>2262</v>
      </c>
      <c r="Z199" s="5"/>
      <c r="AA199" s="5">
        <f>VLOOKUP($A199,'ПР 01-02.21'!$A$11:$BB$406,27,FALSE)+VLOOKUP($A199,'ПР 21-22'!$A$11:$BB$406,27,FALSE)-VLOOKUP($A199,'ПР 01-02.22'!$A$11:$BB$378,27,FALSE)</f>
        <v>0</v>
      </c>
      <c r="AB199" s="5">
        <f>VLOOKUP($A199,'ПР 01-02.21'!$A$11:$BB$406,28,FALSE)+VLOOKUP($A199,'ПР 21-22'!$A$11:$BB$406,28,FALSE)-VLOOKUP($A199,'ПР 01-02.22'!$A$11:$BB$378,28,FALSE)</f>
        <v>0</v>
      </c>
      <c r="AC199" s="5">
        <f>VLOOKUP($A199,'ПР 01-02.21'!$A$11:$BB$406,29,FALSE)+VLOOKUP($A199,'ПР 21-22'!$A$11:$BB$406,29,FALSE)-VLOOKUP($A199,'ПР 01-02.22'!$A$11:$BB$378,29,FALSE)</f>
        <v>629.31999999999994</v>
      </c>
      <c r="AD199" s="5">
        <f>VLOOKUP($A199,'ПР 01-02.21'!$A$11:$BB$406,30,FALSE)+VLOOKUP($A199,'ПР 21-22'!$A$11:$BB$406,30,FALSE)-VLOOKUP($A199,'ПР 01-02.22'!$A$11:$BB$378,30,FALSE)</f>
        <v>5320</v>
      </c>
      <c r="AE199" s="5">
        <f>VLOOKUP($A199,'ПР 01-02.21'!$A$11:$BB$406,31,FALSE)+VLOOKUP($A199,'ПР 21-22'!$A$11:$BB$406,31,FALSE)-VLOOKUP($A199,'ПР 01-02.22'!$A$11:$BB$378,31,FALSE)</f>
        <v>1777.7796983616379</v>
      </c>
      <c r="AF199" s="5">
        <f>VLOOKUP($A199,'ПР 01-02.21'!$A$11:$BB$406,32,FALSE)+VLOOKUP($A199,'ПР 21-22'!$A$11:$BB$406,32,FALSE)-VLOOKUP($A199,'ПР 01-02.22'!$A$11:$BB$378,32,FALSE)</f>
        <v>0</v>
      </c>
      <c r="AG199" s="40"/>
      <c r="AH199" s="5">
        <f>VLOOKUP($A199,'ПР 01-02.21'!$A$11:$BB$406,34,FALSE)+VLOOKUP($A199,'ПР 21-22'!$A$11:$BB$406,34,FALSE)-VLOOKUP($A199,'ПР 01-02.22'!$A$11:$BB$378,34,FALSE)</f>
        <v>2471.9625189717071</v>
      </c>
      <c r="AI199" s="5">
        <f>VLOOKUP($A199,'ПР 01-02.21'!$A$11:$BB$406,35,FALSE)+VLOOKUP($A199,'ПР 21-22'!$A$11:$BB$406,35,FALSE)-VLOOKUP($A199,'ПР 01-02.22'!$A$11:$BB$378,35,FALSE)</f>
        <v>1408</v>
      </c>
      <c r="AJ199" s="40"/>
      <c r="AK199" s="5">
        <f>VLOOKUP($A199,'ПР 01-02.21'!$A$11:$BB$406,37,FALSE)+VLOOKUP($A199,'ПР 21-22'!$A$11:$BB$406,37,FALSE)-VLOOKUP($A199,'ПР 01-02.22'!$A$11:$BB$378,37,FALSE)</f>
        <v>1035.1926373289623</v>
      </c>
      <c r="AL199" s="5">
        <f>VLOOKUP($A199,'ПР 01-02.21'!$A$11:$BB$406,38,FALSE)+VLOOKUP($A199,'ПР 21-22'!$A$11:$BB$406,38,FALSE)-VLOOKUP($A199,'ПР 01-02.22'!$A$11:$BB$378,38,FALSE)</f>
        <v>0</v>
      </c>
      <c r="AM199" s="40"/>
      <c r="AN199" s="5">
        <f>VLOOKUP($A199,'ПР 01-02.21'!$A$11:$BB$406,40,FALSE)+VLOOKUP($A199,'ПР 21-22'!$A$11:$BB$406,40,FALSE)-VLOOKUP($A199,'ПР 01-02.22'!$A$11:$BB$378,40,FALSE)</f>
        <v>1403.048785994803</v>
      </c>
      <c r="AO199" s="5">
        <f>VLOOKUP($A199,'ПР 01-02.21'!$A$11:$BB$406,41,FALSE)+VLOOKUP($A199,'ПР 21-22'!$A$11:$BB$406,41,FALSE)-VLOOKUP($A199,'ПР 01-02.22'!$A$11:$BB$378,41,FALSE)</f>
        <v>0</v>
      </c>
      <c r="AP199" s="40"/>
      <c r="AQ199" s="5">
        <f>VLOOKUP($A199,'ПР 01-02.21'!$A$11:$BB$406,43,FALSE)+VLOOKUP($A199,'ПР 21-22'!$A$11:$BB$406,43,FALSE)-VLOOKUP($A199,'ПР 01-02.22'!$A$11:$BB$378,43,FALSE)</f>
        <v>0</v>
      </c>
      <c r="AR199" s="5">
        <f>VLOOKUP($A199,'ПР 01-02.21'!$A$11:$BB$406,44,FALSE)+VLOOKUP($A199,'ПР 21-22'!$A$11:$BB$406,44,FALSE)-VLOOKUP($A199,'ПР 01-02.22'!$A$11:$BB$378,44,FALSE)</f>
        <v>0</v>
      </c>
      <c r="AS199" s="40"/>
      <c r="AT199" s="5">
        <f>VLOOKUP($A199,'ПР 01-02.21'!$A$11:$BB$406,46,FALSE)+VLOOKUP($A199,'ПР 21-22'!$A$11:$BB$406,46,FALSE)-VLOOKUP($A199,'ПР 01-02.22'!$A$11:$BB$378,46,FALSE)</f>
        <v>1610.0898845037077</v>
      </c>
      <c r="AU199" s="5">
        <f>VLOOKUP($A199,'ПР 01-02.21'!$A$11:$BB$406,47,FALSE)+VLOOKUP($A199,'ПР 21-22'!$A$11:$BB$406,47,FALSE)-VLOOKUP($A199,'ПР 01-02.22'!$A$11:$BB$378,47,FALSE)</f>
        <v>94</v>
      </c>
      <c r="AV199" s="40"/>
      <c r="AW199" s="5">
        <f>VLOOKUP($A199,'ПР 01-02.21'!$A$11:$BB$406,49,FALSE)+VLOOKUP($A199,'ПР 21-22'!$A$11:$BB$406,49,FALSE)-VLOOKUP($A199,'ПР 01-02.22'!$A$11:$BB$378,49,FALSE)</f>
        <v>104.46000000000001</v>
      </c>
      <c r="AX199" s="5">
        <f>VLOOKUP($A199,'ПР 01-02.21'!$A$11:$BB$406,50,FALSE)+VLOOKUP($A199,'ПР 21-22'!$A$11:$BB$406,50,FALSE)-VLOOKUP($A199,'ПР 01-02.22'!$A$11:$BB$378,50,FALSE)</f>
        <v>0</v>
      </c>
      <c r="AY199" s="40"/>
      <c r="AZ199" s="40">
        <f t="shared" si="13"/>
        <v>8402.5335251608176</v>
      </c>
      <c r="BA199" s="40">
        <f t="shared" si="13"/>
        <v>1502</v>
      </c>
      <c r="BB199" s="55">
        <f t="shared" si="12"/>
        <v>-6900.5335251608176</v>
      </c>
      <c r="BD199" s="2">
        <v>3</v>
      </c>
      <c r="BF199" s="325">
        <v>150000778</v>
      </c>
    </row>
    <row r="200" spans="1:58" ht="24.9" customHeight="1" x14ac:dyDescent="0.3">
      <c r="A200" s="325">
        <v>150001071</v>
      </c>
      <c r="B200" s="464" t="s">
        <v>168</v>
      </c>
      <c r="C200" s="27">
        <v>2</v>
      </c>
      <c r="D200" s="101" t="s">
        <v>455</v>
      </c>
      <c r="E200" s="279">
        <f>'побудинковий звіт'!E198</f>
        <v>373.83</v>
      </c>
      <c r="F200" s="441">
        <f>'побудинковий звіт'!AS198</f>
        <v>3948.8072731699158</v>
      </c>
      <c r="G200" s="441">
        <f t="shared" si="10"/>
        <v>2642.23</v>
      </c>
      <c r="H200" s="73">
        <f t="shared" si="11"/>
        <v>-1306.5772731699158</v>
      </c>
      <c r="I200" s="5">
        <f>VLOOKUP($A200,'ПР 01-02.21'!$A$11:$BB$406,9,FALSE)+VLOOKUP($A200,'ПР 21-22'!$A$11:$BB$406,9,FALSE)-VLOOKUP($A200,'ПР 01-02.22'!$A$11:$BB$378,9,FALSE)</f>
        <v>0</v>
      </c>
      <c r="J200" s="5">
        <f>VLOOKUP($A200,'ПР 01-02.21'!$A$11:$BB$406,10,FALSE)+VLOOKUP($A200,'ПР 21-22'!$A$11:$BB$406,10,FALSE)-VLOOKUP($A200,'ПР 01-02.22'!$A$11:$BB$378,10,FALSE)</f>
        <v>0</v>
      </c>
      <c r="K200" s="450"/>
      <c r="L200" s="5">
        <f>VLOOKUP($A200,'ПР 01-02.21'!$A$11:$BB$406,12,FALSE)+VLOOKUP($A200,'ПР 21-22'!$A$11:$BB$406,12,FALSE)-VLOOKUP($A200,'ПР 01-02.22'!$A$11:$BB$378,12,FALSE)</f>
        <v>0</v>
      </c>
      <c r="M200" s="5">
        <f>VLOOKUP($A200,'ПР 01-02.21'!$A$11:$BB$406,13,FALSE)+VLOOKUP($A200,'ПР 21-22'!$A$11:$BB$406,13,FALSE)-VLOOKUP($A200,'ПР 01-02.22'!$A$11:$BB$378,13,FALSE)</f>
        <v>0</v>
      </c>
      <c r="N200" s="38"/>
      <c r="O200" s="5">
        <f>VLOOKUP($A200,'ПР 01-02.21'!$A$11:$BB$406,15,FALSE)+VLOOKUP($A200,'ПР 21-22'!$A$11:$BB$406,15,FALSE)-VLOOKUP($A200,'ПР 01-02.22'!$A$11:$BB$378,15,FALSE)</f>
        <v>0</v>
      </c>
      <c r="P200" s="5">
        <f>VLOOKUP($A200,'ПР 01-02.21'!$A$11:$BB$406,16,FALSE)+VLOOKUP($A200,'ПР 21-22'!$A$11:$BB$406,16,FALSE)-VLOOKUP($A200,'ПР 01-02.22'!$A$11:$BB$378,16,FALSE)</f>
        <v>0</v>
      </c>
      <c r="Q200" s="443"/>
      <c r="R200" s="5">
        <f>VLOOKUP($A200,'ПР 01-02.21'!$A$11:$BB$406,18,FALSE)+VLOOKUP($A200,'ПР 21-22'!$A$11:$BB$406,18,FALSE)-VLOOKUP($A200,'ПР 01-02.22'!$A$11:$BB$378,18,FALSE)</f>
        <v>0</v>
      </c>
      <c r="S200" s="5">
        <f>VLOOKUP($A200,'ПР 01-02.21'!$A$11:$BB$406,19,FALSE)+VLOOKUP($A200,'ПР 21-22'!$A$11:$BB$406,19,FALSE)-VLOOKUP($A200,'ПР 01-02.22'!$A$11:$BB$378,19,FALSE)</f>
        <v>0</v>
      </c>
      <c r="T200" s="444"/>
      <c r="U200" s="5">
        <f>VLOOKUP($A200,'ПР 01-02.21'!$A$11:$BB$406,21,FALSE)+VLOOKUP($A200,'ПР 21-22'!$A$11:$BB$406,21,FALSE)-VLOOKUP($A200,'ПР 01-02.22'!$A$11:$BB$378,21,FALSE)</f>
        <v>0</v>
      </c>
      <c r="V200" s="5"/>
      <c r="W200" s="5">
        <f>VLOOKUP($A200,'ПР 01-02.21'!$A$11:$BB$406,23,FALSE)+VLOOKUP($A200,'ПР 21-22'!$A$11:$BB$406,23,FALSE)-VLOOKUP($A200,'ПР 01-02.22'!$A$11:$BB$378,23,FALSE)</f>
        <v>7.9</v>
      </c>
      <c r="X200" s="5">
        <f>VLOOKUP($A200,'ПР 01-02.21'!$A$11:$BB$406,24,FALSE)+VLOOKUP($A200,'ПР 21-22'!$A$11:$BB$406,24,FALSE)-VLOOKUP($A200,'ПР 01-02.22'!$A$11:$BB$378,24,FALSE)</f>
        <v>2464.23</v>
      </c>
      <c r="Y200" s="5">
        <f>VLOOKUP($A200,'ПР 01-02.21'!$A$11:$BB$406,25,FALSE)+VLOOKUP($A200,'ПР 21-22'!$A$11:$BB$406,25,FALSE)-VLOOKUP($A200,'ПР 01-02.22'!$A$11:$BB$378,25,FALSE)</f>
        <v>0</v>
      </c>
      <c r="Z200" s="5"/>
      <c r="AA200" s="5">
        <f>VLOOKUP($A200,'ПР 01-02.21'!$A$11:$BB$406,27,FALSE)+VLOOKUP($A200,'ПР 21-22'!$A$11:$BB$406,27,FALSE)-VLOOKUP($A200,'ПР 01-02.22'!$A$11:$BB$378,27,FALSE)</f>
        <v>0</v>
      </c>
      <c r="AB200" s="5">
        <f>VLOOKUP($A200,'ПР 01-02.21'!$A$11:$BB$406,28,FALSE)+VLOOKUP($A200,'ПР 21-22'!$A$11:$BB$406,28,FALSE)-VLOOKUP($A200,'ПР 01-02.22'!$A$11:$BB$378,28,FALSE)</f>
        <v>0</v>
      </c>
      <c r="AC200" s="5">
        <f>VLOOKUP($A200,'ПР 01-02.21'!$A$11:$BB$406,29,FALSE)+VLOOKUP($A200,'ПР 21-22'!$A$11:$BB$406,29,FALSE)-VLOOKUP($A200,'ПР 01-02.22'!$A$11:$BB$378,29,FALSE)</f>
        <v>0</v>
      </c>
      <c r="AD200" s="5">
        <f>VLOOKUP($A200,'ПР 01-02.21'!$A$11:$BB$406,30,FALSE)+VLOOKUP($A200,'ПР 21-22'!$A$11:$BB$406,30,FALSE)-VLOOKUP($A200,'ПР 01-02.22'!$A$11:$BB$378,30,FALSE)</f>
        <v>178</v>
      </c>
      <c r="AE200" s="5">
        <f>VLOOKUP($A200,'ПР 01-02.21'!$A$11:$BB$406,31,FALSE)+VLOOKUP($A200,'ПР 21-22'!$A$11:$BB$406,31,FALSE)-VLOOKUP($A200,'ПР 01-02.22'!$A$11:$BB$378,31,FALSE)</f>
        <v>460.46005352962322</v>
      </c>
      <c r="AF200" s="5">
        <f>VLOOKUP($A200,'ПР 01-02.21'!$A$11:$BB$406,32,FALSE)+VLOOKUP($A200,'ПР 21-22'!$A$11:$BB$406,32,FALSE)-VLOOKUP($A200,'ПР 01-02.22'!$A$11:$BB$378,32,FALSE)</f>
        <v>0</v>
      </c>
      <c r="AG200" s="40"/>
      <c r="AH200" s="5">
        <f>VLOOKUP($A200,'ПР 01-02.21'!$A$11:$BB$406,34,FALSE)+VLOOKUP($A200,'ПР 21-22'!$A$11:$BB$406,34,FALSE)-VLOOKUP($A200,'ПР 01-02.22'!$A$11:$BB$378,34,FALSE)</f>
        <v>526.87636896667163</v>
      </c>
      <c r="AI200" s="5">
        <f>VLOOKUP($A200,'ПР 01-02.21'!$A$11:$BB$406,35,FALSE)+VLOOKUP($A200,'ПР 21-22'!$A$11:$BB$406,35,FALSE)-VLOOKUP($A200,'ПР 01-02.22'!$A$11:$BB$378,35,FALSE)</f>
        <v>0</v>
      </c>
      <c r="AJ200" s="40"/>
      <c r="AK200" s="5">
        <f>VLOOKUP($A200,'ПР 01-02.21'!$A$11:$BB$406,37,FALSE)+VLOOKUP($A200,'ПР 21-22'!$A$11:$BB$406,37,FALSE)-VLOOKUP($A200,'ПР 01-02.22'!$A$11:$BB$378,37,FALSE)</f>
        <v>178.9579039783174</v>
      </c>
      <c r="AL200" s="5">
        <f>VLOOKUP($A200,'ПР 01-02.21'!$A$11:$BB$406,38,FALSE)+VLOOKUP($A200,'ПР 21-22'!$A$11:$BB$406,38,FALSE)-VLOOKUP($A200,'ПР 01-02.22'!$A$11:$BB$378,38,FALSE)</f>
        <v>0</v>
      </c>
      <c r="AM200" s="40"/>
      <c r="AN200" s="5">
        <f>VLOOKUP($A200,'ПР 01-02.21'!$A$11:$BB$406,40,FALSE)+VLOOKUP($A200,'ПР 21-22'!$A$11:$BB$406,40,FALSE)-VLOOKUP($A200,'ПР 01-02.22'!$A$11:$BB$378,40,FALSE)</f>
        <v>0</v>
      </c>
      <c r="AO200" s="5">
        <f>VLOOKUP($A200,'ПР 01-02.21'!$A$11:$BB$406,41,FALSE)+VLOOKUP($A200,'ПР 21-22'!$A$11:$BB$406,41,FALSE)-VLOOKUP($A200,'ПР 01-02.22'!$A$11:$BB$378,41,FALSE)</f>
        <v>0</v>
      </c>
      <c r="AP200" s="40"/>
      <c r="AQ200" s="5">
        <f>VLOOKUP($A200,'ПР 01-02.21'!$A$11:$BB$406,43,FALSE)+VLOOKUP($A200,'ПР 21-22'!$A$11:$BB$406,43,FALSE)-VLOOKUP($A200,'ПР 01-02.22'!$A$11:$BB$378,43,FALSE)</f>
        <v>0</v>
      </c>
      <c r="AR200" s="5">
        <f>VLOOKUP($A200,'ПР 01-02.21'!$A$11:$BB$406,44,FALSE)+VLOOKUP($A200,'ПР 21-22'!$A$11:$BB$406,44,FALSE)-VLOOKUP($A200,'ПР 01-02.22'!$A$11:$BB$378,44,FALSE)</f>
        <v>0</v>
      </c>
      <c r="AS200" s="40"/>
      <c r="AT200" s="5">
        <f>VLOOKUP($A200,'ПР 01-02.21'!$A$11:$BB$406,46,FALSE)+VLOOKUP($A200,'ПР 21-22'!$A$11:$BB$406,46,FALSE)-VLOOKUP($A200,'ПР 01-02.22'!$A$11:$BB$378,46,FALSE)</f>
        <v>265.72288243991795</v>
      </c>
      <c r="AU200" s="5">
        <f>VLOOKUP($A200,'ПР 01-02.21'!$A$11:$BB$406,47,FALSE)+VLOOKUP($A200,'ПР 21-22'!$A$11:$BB$406,47,FALSE)-VLOOKUP($A200,'ПР 01-02.22'!$A$11:$BB$378,47,FALSE)</f>
        <v>709</v>
      </c>
      <c r="AV200" s="40"/>
      <c r="AW200" s="5">
        <f>VLOOKUP($A200,'ПР 01-02.21'!$A$11:$BB$406,49,FALSE)+VLOOKUP($A200,'ПР 21-22'!$A$11:$BB$406,49,FALSE)-VLOOKUP($A200,'ПР 01-02.22'!$A$11:$BB$378,49,FALSE)</f>
        <v>94.916873161968937</v>
      </c>
      <c r="AX200" s="5">
        <f>VLOOKUP($A200,'ПР 01-02.21'!$A$11:$BB$406,50,FALSE)+VLOOKUP($A200,'ПР 21-22'!$A$11:$BB$406,50,FALSE)-VLOOKUP($A200,'ПР 01-02.22'!$A$11:$BB$378,50,FALSE)</f>
        <v>0</v>
      </c>
      <c r="AY200" s="40"/>
      <c r="AZ200" s="40">
        <f t="shared" si="13"/>
        <v>1526.9340820764992</v>
      </c>
      <c r="BA200" s="40">
        <f t="shared" si="13"/>
        <v>709</v>
      </c>
      <c r="BB200" s="55">
        <f t="shared" si="12"/>
        <v>-817.93408207649918</v>
      </c>
      <c r="BD200" s="2">
        <v>3</v>
      </c>
      <c r="BF200" s="325">
        <v>150001071</v>
      </c>
    </row>
    <row r="201" spans="1:58" ht="24.9" customHeight="1" x14ac:dyDescent="0.3">
      <c r="A201" s="325">
        <v>150000768</v>
      </c>
      <c r="B201" s="464" t="s">
        <v>117</v>
      </c>
      <c r="C201" s="27">
        <v>1</v>
      </c>
      <c r="D201" s="101" t="s">
        <v>455</v>
      </c>
      <c r="E201" s="279">
        <f>'побудинковий звіт'!E199</f>
        <v>119.3</v>
      </c>
      <c r="F201" s="441">
        <f>'побудинковий звіт'!AS199</f>
        <v>1680.0292647920121</v>
      </c>
      <c r="G201" s="441">
        <f t="shared" si="10"/>
        <v>6432</v>
      </c>
      <c r="H201" s="73">
        <f t="shared" si="11"/>
        <v>4751.9707352079877</v>
      </c>
      <c r="I201" s="5">
        <f>VLOOKUP($A201,'ПР 01-02.21'!$A$11:$BB$406,9,FALSE)+VLOOKUP($A201,'ПР 21-22'!$A$11:$BB$406,9,FALSE)-VLOOKUP($A201,'ПР 01-02.22'!$A$11:$BB$378,9,FALSE)</f>
        <v>0</v>
      </c>
      <c r="J201" s="5">
        <f>VLOOKUP($A201,'ПР 01-02.21'!$A$11:$BB$406,10,FALSE)+VLOOKUP($A201,'ПР 21-22'!$A$11:$BB$406,10,FALSE)-VLOOKUP($A201,'ПР 01-02.22'!$A$11:$BB$378,10,FALSE)</f>
        <v>0</v>
      </c>
      <c r="K201" s="446"/>
      <c r="L201" s="5">
        <f>VLOOKUP($A201,'ПР 01-02.21'!$A$11:$BB$406,12,FALSE)+VLOOKUP($A201,'ПР 21-22'!$A$11:$BB$406,12,FALSE)-VLOOKUP($A201,'ПР 01-02.22'!$A$11:$BB$378,12,FALSE)</f>
        <v>0</v>
      </c>
      <c r="M201" s="5">
        <f>VLOOKUP($A201,'ПР 01-02.21'!$A$11:$BB$406,13,FALSE)+VLOOKUP($A201,'ПР 21-22'!$A$11:$BB$406,13,FALSE)-VLOOKUP($A201,'ПР 01-02.22'!$A$11:$BB$378,13,FALSE)</f>
        <v>0</v>
      </c>
      <c r="N201" s="38"/>
      <c r="O201" s="5">
        <f>VLOOKUP($A201,'ПР 01-02.21'!$A$11:$BB$406,15,FALSE)+VLOOKUP($A201,'ПР 21-22'!$A$11:$BB$406,15,FALSE)-VLOOKUP($A201,'ПР 01-02.22'!$A$11:$BB$378,15,FALSE)</f>
        <v>0</v>
      </c>
      <c r="P201" s="5">
        <f>VLOOKUP($A201,'ПР 01-02.21'!$A$11:$BB$406,16,FALSE)+VLOOKUP($A201,'ПР 21-22'!$A$11:$BB$406,16,FALSE)-VLOOKUP($A201,'ПР 01-02.22'!$A$11:$BB$378,16,FALSE)</f>
        <v>0</v>
      </c>
      <c r="Q201" s="443"/>
      <c r="R201" s="5">
        <f>VLOOKUP($A201,'ПР 01-02.21'!$A$11:$BB$406,18,FALSE)+VLOOKUP($A201,'ПР 21-22'!$A$11:$BB$406,18,FALSE)-VLOOKUP($A201,'ПР 01-02.22'!$A$11:$BB$378,18,FALSE)</f>
        <v>0</v>
      </c>
      <c r="S201" s="5">
        <f>VLOOKUP($A201,'ПР 01-02.21'!$A$11:$BB$406,19,FALSE)+VLOOKUP($A201,'ПР 21-22'!$A$11:$BB$406,19,FALSE)-VLOOKUP($A201,'ПР 01-02.22'!$A$11:$BB$378,19,FALSE)</f>
        <v>0</v>
      </c>
      <c r="T201" s="444"/>
      <c r="U201" s="5">
        <f>VLOOKUP($A201,'ПР 01-02.21'!$A$11:$BB$406,21,FALSE)+VLOOKUP($A201,'ПР 21-22'!$A$11:$BB$406,21,FALSE)-VLOOKUP($A201,'ПР 01-02.22'!$A$11:$BB$378,21,FALSE)</f>
        <v>0</v>
      </c>
      <c r="V201" s="5"/>
      <c r="W201" s="5">
        <f>VLOOKUP($A201,'ПР 01-02.21'!$A$11:$BB$406,23,FALSE)+VLOOKUP($A201,'ПР 21-22'!$A$11:$BB$406,23,FALSE)-VLOOKUP($A201,'ПР 01-02.22'!$A$11:$BB$378,23,FALSE)</f>
        <v>0</v>
      </c>
      <c r="X201" s="5">
        <f>VLOOKUP($A201,'ПР 01-02.21'!$A$11:$BB$406,24,FALSE)+VLOOKUP($A201,'ПР 21-22'!$A$11:$BB$406,24,FALSE)-VLOOKUP($A201,'ПР 01-02.22'!$A$11:$BB$378,24,FALSE)</f>
        <v>0</v>
      </c>
      <c r="Y201" s="5">
        <f>VLOOKUP($A201,'ПР 01-02.21'!$A$11:$BB$406,25,FALSE)+VLOOKUP($A201,'ПР 21-22'!$A$11:$BB$406,25,FALSE)-VLOOKUP($A201,'ПР 01-02.22'!$A$11:$BB$378,25,FALSE)</f>
        <v>6432</v>
      </c>
      <c r="Z201" s="5"/>
      <c r="AA201" s="5">
        <f>VLOOKUP($A201,'ПР 01-02.21'!$A$11:$BB$406,27,FALSE)+VLOOKUP($A201,'ПР 21-22'!$A$11:$BB$406,27,FALSE)-VLOOKUP($A201,'ПР 01-02.22'!$A$11:$BB$378,27,FALSE)</f>
        <v>0</v>
      </c>
      <c r="AB201" s="5">
        <f>VLOOKUP($A201,'ПР 01-02.21'!$A$11:$BB$406,28,FALSE)+VLOOKUP($A201,'ПР 21-22'!$A$11:$BB$406,28,FALSE)-VLOOKUP($A201,'ПР 01-02.22'!$A$11:$BB$378,28,FALSE)</f>
        <v>0</v>
      </c>
      <c r="AC201" s="5">
        <f>VLOOKUP($A201,'ПР 01-02.21'!$A$11:$BB$406,29,FALSE)+VLOOKUP($A201,'ПР 21-22'!$A$11:$BB$406,29,FALSE)-VLOOKUP($A201,'ПР 01-02.22'!$A$11:$BB$378,29,FALSE)</f>
        <v>0</v>
      </c>
      <c r="AD201" s="5">
        <f>VLOOKUP($A201,'ПР 01-02.21'!$A$11:$BB$406,30,FALSE)+VLOOKUP($A201,'ПР 21-22'!$A$11:$BB$406,30,FALSE)-VLOOKUP($A201,'ПР 01-02.22'!$A$11:$BB$378,30,FALSE)</f>
        <v>0</v>
      </c>
      <c r="AE201" s="5">
        <f>VLOOKUP($A201,'ПР 01-02.21'!$A$11:$BB$406,31,FALSE)+VLOOKUP($A201,'ПР 21-22'!$A$11:$BB$406,31,FALSE)-VLOOKUP($A201,'ПР 01-02.22'!$A$11:$BB$378,31,FALSE)</f>
        <v>0</v>
      </c>
      <c r="AF201" s="5">
        <f>VLOOKUP($A201,'ПР 01-02.21'!$A$11:$BB$406,32,FALSE)+VLOOKUP($A201,'ПР 21-22'!$A$11:$BB$406,32,FALSE)-VLOOKUP($A201,'ПР 01-02.22'!$A$11:$BB$378,32,FALSE)</f>
        <v>0</v>
      </c>
      <c r="AG201" s="40"/>
      <c r="AH201" s="5">
        <f>VLOOKUP($A201,'ПР 01-02.21'!$A$11:$BB$406,34,FALSE)+VLOOKUP($A201,'ПР 21-22'!$A$11:$BB$406,34,FALSE)-VLOOKUP($A201,'ПР 01-02.22'!$A$11:$BB$378,34,FALSE)</f>
        <v>0</v>
      </c>
      <c r="AI201" s="5">
        <f>VLOOKUP($A201,'ПР 01-02.21'!$A$11:$BB$406,35,FALSE)+VLOOKUP($A201,'ПР 21-22'!$A$11:$BB$406,35,FALSE)-VLOOKUP($A201,'ПР 01-02.22'!$A$11:$BB$378,35,FALSE)</f>
        <v>0</v>
      </c>
      <c r="AJ201" s="40"/>
      <c r="AK201" s="5">
        <f>VLOOKUP($A201,'ПР 01-02.21'!$A$11:$BB$406,37,FALSE)+VLOOKUP($A201,'ПР 21-22'!$A$11:$BB$406,37,FALSE)-VLOOKUP($A201,'ПР 01-02.22'!$A$11:$BB$378,37,FALSE)</f>
        <v>0</v>
      </c>
      <c r="AL201" s="5">
        <f>VLOOKUP($A201,'ПР 01-02.21'!$A$11:$BB$406,38,FALSE)+VLOOKUP($A201,'ПР 21-22'!$A$11:$BB$406,38,FALSE)-VLOOKUP($A201,'ПР 01-02.22'!$A$11:$BB$378,38,FALSE)</f>
        <v>0</v>
      </c>
      <c r="AM201" s="40"/>
      <c r="AN201" s="5">
        <f>VLOOKUP($A201,'ПР 01-02.21'!$A$11:$BB$406,40,FALSE)+VLOOKUP($A201,'ПР 21-22'!$A$11:$BB$406,40,FALSE)-VLOOKUP($A201,'ПР 01-02.22'!$A$11:$BB$378,40,FALSE)</f>
        <v>0</v>
      </c>
      <c r="AO201" s="5">
        <f>VLOOKUP($A201,'ПР 01-02.21'!$A$11:$BB$406,41,FALSE)+VLOOKUP($A201,'ПР 21-22'!$A$11:$BB$406,41,FALSE)-VLOOKUP($A201,'ПР 01-02.22'!$A$11:$BB$378,41,FALSE)</f>
        <v>0</v>
      </c>
      <c r="AP201" s="40"/>
      <c r="AQ201" s="5">
        <f>VLOOKUP($A201,'ПР 01-02.21'!$A$11:$BB$406,43,FALSE)+VLOOKUP($A201,'ПР 21-22'!$A$11:$BB$406,43,FALSE)-VLOOKUP($A201,'ПР 01-02.22'!$A$11:$BB$378,43,FALSE)</f>
        <v>0</v>
      </c>
      <c r="AR201" s="5">
        <f>VLOOKUP($A201,'ПР 01-02.21'!$A$11:$BB$406,44,FALSE)+VLOOKUP($A201,'ПР 21-22'!$A$11:$BB$406,44,FALSE)-VLOOKUP($A201,'ПР 01-02.22'!$A$11:$BB$378,44,FALSE)</f>
        <v>0</v>
      </c>
      <c r="AS201" s="40"/>
      <c r="AT201" s="5">
        <f>VLOOKUP($A201,'ПР 01-02.21'!$A$11:$BB$406,46,FALSE)+VLOOKUP($A201,'ПР 21-22'!$A$11:$BB$406,46,FALSE)-VLOOKUP($A201,'ПР 01-02.22'!$A$11:$BB$378,46,FALSE)</f>
        <v>0</v>
      </c>
      <c r="AU201" s="5">
        <f>VLOOKUP($A201,'ПР 01-02.21'!$A$11:$BB$406,47,FALSE)+VLOOKUP($A201,'ПР 21-22'!$A$11:$BB$406,47,FALSE)-VLOOKUP($A201,'ПР 01-02.22'!$A$11:$BB$378,47,FALSE)</f>
        <v>0</v>
      </c>
      <c r="AV201" s="40"/>
      <c r="AW201" s="5">
        <f>VLOOKUP($A201,'ПР 01-02.21'!$A$11:$BB$406,49,FALSE)+VLOOKUP($A201,'ПР 21-22'!$A$11:$BB$406,49,FALSE)-VLOOKUP($A201,'ПР 01-02.22'!$A$11:$BB$378,49,FALSE)</f>
        <v>5.7195999999999998</v>
      </c>
      <c r="AX201" s="5">
        <f>VLOOKUP($A201,'ПР 01-02.21'!$A$11:$BB$406,50,FALSE)+VLOOKUP($A201,'ПР 21-22'!$A$11:$BB$406,50,FALSE)-VLOOKUP($A201,'ПР 01-02.22'!$A$11:$BB$378,50,FALSE)</f>
        <v>0</v>
      </c>
      <c r="AY201" s="40"/>
      <c r="AZ201" s="40">
        <f t="shared" si="13"/>
        <v>5.7195999999999998</v>
      </c>
      <c r="BA201" s="40">
        <f t="shared" si="13"/>
        <v>0</v>
      </c>
      <c r="BB201" s="55">
        <f t="shared" si="12"/>
        <v>-5.7195999999999998</v>
      </c>
      <c r="BD201" s="2">
        <v>3</v>
      </c>
      <c r="BF201" s="325">
        <v>150000768</v>
      </c>
    </row>
    <row r="202" spans="1:58" ht="24.9" customHeight="1" x14ac:dyDescent="0.3">
      <c r="A202" s="325">
        <v>150000763</v>
      </c>
      <c r="B202" s="464" t="s">
        <v>118</v>
      </c>
      <c r="C202" s="27">
        <v>1</v>
      </c>
      <c r="D202" s="101" t="s">
        <v>455</v>
      </c>
      <c r="E202" s="279">
        <f>'побудинковий звіт'!E200</f>
        <v>182.8</v>
      </c>
      <c r="F202" s="441">
        <f>'побудинковий звіт'!AS200</f>
        <v>1939.180598998209</v>
      </c>
      <c r="G202" s="441">
        <f t="shared" ref="G202:G265" si="14">J202+M202+P202+S202+U202+X202+Y202+AA202+AB202+AC202+AD202</f>
        <v>0</v>
      </c>
      <c r="H202" s="73">
        <f t="shared" ref="H202:H265" si="15">G202-F202</f>
        <v>-1939.180598998209</v>
      </c>
      <c r="I202" s="5">
        <f>VLOOKUP($A202,'ПР 01-02.21'!$A$11:$BB$406,9,FALSE)+VLOOKUP($A202,'ПР 21-22'!$A$11:$BB$406,9,FALSE)-VLOOKUP($A202,'ПР 01-02.22'!$A$11:$BB$378,9,FALSE)</f>
        <v>0</v>
      </c>
      <c r="J202" s="5">
        <f>VLOOKUP($A202,'ПР 01-02.21'!$A$11:$BB$406,10,FALSE)+VLOOKUP($A202,'ПР 21-22'!$A$11:$BB$406,10,FALSE)-VLOOKUP($A202,'ПР 01-02.22'!$A$11:$BB$378,10,FALSE)</f>
        <v>0</v>
      </c>
      <c r="K202" s="446"/>
      <c r="L202" s="5">
        <f>VLOOKUP($A202,'ПР 01-02.21'!$A$11:$BB$406,12,FALSE)+VLOOKUP($A202,'ПР 21-22'!$A$11:$BB$406,12,FALSE)-VLOOKUP($A202,'ПР 01-02.22'!$A$11:$BB$378,12,FALSE)</f>
        <v>0</v>
      </c>
      <c r="M202" s="5">
        <f>VLOOKUP($A202,'ПР 01-02.21'!$A$11:$BB$406,13,FALSE)+VLOOKUP($A202,'ПР 21-22'!$A$11:$BB$406,13,FALSE)-VLOOKUP($A202,'ПР 01-02.22'!$A$11:$BB$378,13,FALSE)</f>
        <v>0</v>
      </c>
      <c r="N202" s="38"/>
      <c r="O202" s="5">
        <f>VLOOKUP($A202,'ПР 01-02.21'!$A$11:$BB$406,15,FALSE)+VLOOKUP($A202,'ПР 21-22'!$A$11:$BB$406,15,FALSE)-VLOOKUP($A202,'ПР 01-02.22'!$A$11:$BB$378,15,FALSE)</f>
        <v>0</v>
      </c>
      <c r="P202" s="5">
        <f>VLOOKUP($A202,'ПР 01-02.21'!$A$11:$BB$406,16,FALSE)+VLOOKUP($A202,'ПР 21-22'!$A$11:$BB$406,16,FALSE)-VLOOKUP($A202,'ПР 01-02.22'!$A$11:$BB$378,16,FALSE)</f>
        <v>0</v>
      </c>
      <c r="Q202" s="443"/>
      <c r="R202" s="5">
        <f>VLOOKUP($A202,'ПР 01-02.21'!$A$11:$BB$406,18,FALSE)+VLOOKUP($A202,'ПР 21-22'!$A$11:$BB$406,18,FALSE)-VLOOKUP($A202,'ПР 01-02.22'!$A$11:$BB$378,18,FALSE)</f>
        <v>0</v>
      </c>
      <c r="S202" s="5">
        <f>VLOOKUP($A202,'ПР 01-02.21'!$A$11:$BB$406,19,FALSE)+VLOOKUP($A202,'ПР 21-22'!$A$11:$BB$406,19,FALSE)-VLOOKUP($A202,'ПР 01-02.22'!$A$11:$BB$378,19,FALSE)</f>
        <v>0</v>
      </c>
      <c r="T202" s="444"/>
      <c r="U202" s="5">
        <f>VLOOKUP($A202,'ПР 01-02.21'!$A$11:$BB$406,21,FALSE)+VLOOKUP($A202,'ПР 21-22'!$A$11:$BB$406,21,FALSE)-VLOOKUP($A202,'ПР 01-02.22'!$A$11:$BB$378,21,FALSE)</f>
        <v>0</v>
      </c>
      <c r="V202" s="5"/>
      <c r="W202" s="5">
        <f>VLOOKUP($A202,'ПР 01-02.21'!$A$11:$BB$406,23,FALSE)+VLOOKUP($A202,'ПР 21-22'!$A$11:$BB$406,23,FALSE)-VLOOKUP($A202,'ПР 01-02.22'!$A$11:$BB$378,23,FALSE)</f>
        <v>0</v>
      </c>
      <c r="X202" s="5">
        <f>VLOOKUP($A202,'ПР 01-02.21'!$A$11:$BB$406,24,FALSE)+VLOOKUP($A202,'ПР 21-22'!$A$11:$BB$406,24,FALSE)-VLOOKUP($A202,'ПР 01-02.22'!$A$11:$BB$378,24,FALSE)</f>
        <v>0</v>
      </c>
      <c r="Y202" s="5">
        <f>VLOOKUP($A202,'ПР 01-02.21'!$A$11:$BB$406,25,FALSE)+VLOOKUP($A202,'ПР 21-22'!$A$11:$BB$406,25,FALSE)-VLOOKUP($A202,'ПР 01-02.22'!$A$11:$BB$378,25,FALSE)</f>
        <v>0</v>
      </c>
      <c r="Z202" s="5"/>
      <c r="AA202" s="5">
        <f>VLOOKUP($A202,'ПР 01-02.21'!$A$11:$BB$406,27,FALSE)+VLOOKUP($A202,'ПР 21-22'!$A$11:$BB$406,27,FALSE)-VLOOKUP($A202,'ПР 01-02.22'!$A$11:$BB$378,27,FALSE)</f>
        <v>0</v>
      </c>
      <c r="AB202" s="5">
        <f>VLOOKUP($A202,'ПР 01-02.21'!$A$11:$BB$406,28,FALSE)+VLOOKUP($A202,'ПР 21-22'!$A$11:$BB$406,28,FALSE)-VLOOKUP($A202,'ПР 01-02.22'!$A$11:$BB$378,28,FALSE)</f>
        <v>0</v>
      </c>
      <c r="AC202" s="5">
        <f>VLOOKUP($A202,'ПР 01-02.21'!$A$11:$BB$406,29,FALSE)+VLOOKUP($A202,'ПР 21-22'!$A$11:$BB$406,29,FALSE)-VLOOKUP($A202,'ПР 01-02.22'!$A$11:$BB$378,29,FALSE)</f>
        <v>0</v>
      </c>
      <c r="AD202" s="5">
        <f>VLOOKUP($A202,'ПР 01-02.21'!$A$11:$BB$406,30,FALSE)+VLOOKUP($A202,'ПР 21-22'!$A$11:$BB$406,30,FALSE)-VLOOKUP($A202,'ПР 01-02.22'!$A$11:$BB$378,30,FALSE)</f>
        <v>0</v>
      </c>
      <c r="AE202" s="5">
        <f>VLOOKUP($A202,'ПР 01-02.21'!$A$11:$BB$406,31,FALSE)+VLOOKUP($A202,'ПР 21-22'!$A$11:$BB$406,31,FALSE)-VLOOKUP($A202,'ПР 01-02.22'!$A$11:$BB$378,31,FALSE)</f>
        <v>0</v>
      </c>
      <c r="AF202" s="5">
        <f>VLOOKUP($A202,'ПР 01-02.21'!$A$11:$BB$406,32,FALSE)+VLOOKUP($A202,'ПР 21-22'!$A$11:$BB$406,32,FALSE)-VLOOKUP($A202,'ПР 01-02.22'!$A$11:$BB$378,32,FALSE)</f>
        <v>0</v>
      </c>
      <c r="AG202" s="40"/>
      <c r="AH202" s="5">
        <f>VLOOKUP($A202,'ПР 01-02.21'!$A$11:$BB$406,34,FALSE)+VLOOKUP($A202,'ПР 21-22'!$A$11:$BB$406,34,FALSE)-VLOOKUP($A202,'ПР 01-02.22'!$A$11:$BB$378,34,FALSE)</f>
        <v>0</v>
      </c>
      <c r="AI202" s="5">
        <f>VLOOKUP($A202,'ПР 01-02.21'!$A$11:$BB$406,35,FALSE)+VLOOKUP($A202,'ПР 21-22'!$A$11:$BB$406,35,FALSE)-VLOOKUP($A202,'ПР 01-02.22'!$A$11:$BB$378,35,FALSE)</f>
        <v>0</v>
      </c>
      <c r="AJ202" s="40"/>
      <c r="AK202" s="5">
        <f>VLOOKUP($A202,'ПР 01-02.21'!$A$11:$BB$406,37,FALSE)+VLOOKUP($A202,'ПР 21-22'!$A$11:$BB$406,37,FALSE)-VLOOKUP($A202,'ПР 01-02.22'!$A$11:$BB$378,37,FALSE)</f>
        <v>0</v>
      </c>
      <c r="AL202" s="5">
        <f>VLOOKUP($A202,'ПР 01-02.21'!$A$11:$BB$406,38,FALSE)+VLOOKUP($A202,'ПР 21-22'!$A$11:$BB$406,38,FALSE)-VLOOKUP($A202,'ПР 01-02.22'!$A$11:$BB$378,38,FALSE)</f>
        <v>0</v>
      </c>
      <c r="AM202" s="40"/>
      <c r="AN202" s="5">
        <f>VLOOKUP($A202,'ПР 01-02.21'!$A$11:$BB$406,40,FALSE)+VLOOKUP($A202,'ПР 21-22'!$A$11:$BB$406,40,FALSE)-VLOOKUP($A202,'ПР 01-02.22'!$A$11:$BB$378,40,FALSE)</f>
        <v>0</v>
      </c>
      <c r="AO202" s="5">
        <f>VLOOKUP($A202,'ПР 01-02.21'!$A$11:$BB$406,41,FALSE)+VLOOKUP($A202,'ПР 21-22'!$A$11:$BB$406,41,FALSE)-VLOOKUP($A202,'ПР 01-02.22'!$A$11:$BB$378,41,FALSE)</f>
        <v>0</v>
      </c>
      <c r="AP202" s="40"/>
      <c r="AQ202" s="5">
        <f>VLOOKUP($A202,'ПР 01-02.21'!$A$11:$BB$406,43,FALSE)+VLOOKUP($A202,'ПР 21-22'!$A$11:$BB$406,43,FALSE)-VLOOKUP($A202,'ПР 01-02.22'!$A$11:$BB$378,43,FALSE)</f>
        <v>0</v>
      </c>
      <c r="AR202" s="5">
        <f>VLOOKUP($A202,'ПР 01-02.21'!$A$11:$BB$406,44,FALSE)+VLOOKUP($A202,'ПР 21-22'!$A$11:$BB$406,44,FALSE)-VLOOKUP($A202,'ПР 01-02.22'!$A$11:$BB$378,44,FALSE)</f>
        <v>0</v>
      </c>
      <c r="AS202" s="40"/>
      <c r="AT202" s="5">
        <f>VLOOKUP($A202,'ПР 01-02.21'!$A$11:$BB$406,46,FALSE)+VLOOKUP($A202,'ПР 21-22'!$A$11:$BB$406,46,FALSE)-VLOOKUP($A202,'ПР 01-02.22'!$A$11:$BB$378,46,FALSE)</f>
        <v>0</v>
      </c>
      <c r="AU202" s="5">
        <f>VLOOKUP($A202,'ПР 01-02.21'!$A$11:$BB$406,47,FALSE)+VLOOKUP($A202,'ПР 21-22'!$A$11:$BB$406,47,FALSE)-VLOOKUP($A202,'ПР 01-02.22'!$A$11:$BB$378,47,FALSE)</f>
        <v>0</v>
      </c>
      <c r="AV202" s="40"/>
      <c r="AW202" s="5">
        <f>VLOOKUP($A202,'ПР 01-02.21'!$A$11:$BB$406,49,FALSE)+VLOOKUP($A202,'ПР 21-22'!$A$11:$BB$406,49,FALSE)-VLOOKUP($A202,'ПР 01-02.22'!$A$11:$BB$378,49,FALSE)</f>
        <v>9.3120000000000012</v>
      </c>
      <c r="AX202" s="5">
        <f>VLOOKUP($A202,'ПР 01-02.21'!$A$11:$BB$406,50,FALSE)+VLOOKUP($A202,'ПР 21-22'!$A$11:$BB$406,50,FALSE)-VLOOKUP($A202,'ПР 01-02.22'!$A$11:$BB$378,50,FALSE)</f>
        <v>0</v>
      </c>
      <c r="AY202" s="40"/>
      <c r="AZ202" s="40">
        <f t="shared" si="13"/>
        <v>9.3120000000000012</v>
      </c>
      <c r="BA202" s="40">
        <f t="shared" si="13"/>
        <v>0</v>
      </c>
      <c r="BB202" s="55">
        <f t="shared" ref="BB202:BB265" si="16">BA202-AZ202</f>
        <v>-9.3120000000000012</v>
      </c>
      <c r="BD202" s="2">
        <v>3</v>
      </c>
      <c r="BF202" s="325">
        <v>150000763</v>
      </c>
    </row>
    <row r="203" spans="1:58" ht="24.9" customHeight="1" x14ac:dyDescent="0.3">
      <c r="A203" s="325">
        <v>150000764</v>
      </c>
      <c r="B203" s="464" t="s">
        <v>119</v>
      </c>
      <c r="C203" s="27">
        <v>1</v>
      </c>
      <c r="D203" s="101" t="s">
        <v>455</v>
      </c>
      <c r="E203" s="279">
        <f>'побудинковий звіт'!E201</f>
        <v>229</v>
      </c>
      <c r="F203" s="441">
        <f>'побудинковий звіт'!AS201</f>
        <v>2470.1804860064904</v>
      </c>
      <c r="G203" s="441">
        <f t="shared" si="14"/>
        <v>0</v>
      </c>
      <c r="H203" s="73">
        <f t="shared" si="15"/>
        <v>-2470.1804860064904</v>
      </c>
      <c r="I203" s="5">
        <f>VLOOKUP($A203,'ПР 01-02.21'!$A$11:$BB$406,9,FALSE)+VLOOKUP($A203,'ПР 21-22'!$A$11:$BB$406,9,FALSE)-VLOOKUP($A203,'ПР 01-02.22'!$A$11:$BB$378,9,FALSE)</f>
        <v>0</v>
      </c>
      <c r="J203" s="5">
        <f>VLOOKUP($A203,'ПР 01-02.21'!$A$11:$BB$406,10,FALSE)+VLOOKUP($A203,'ПР 21-22'!$A$11:$BB$406,10,FALSE)-VLOOKUP($A203,'ПР 01-02.22'!$A$11:$BB$378,10,FALSE)</f>
        <v>0</v>
      </c>
      <c r="K203" s="446"/>
      <c r="L203" s="5">
        <f>VLOOKUP($A203,'ПР 01-02.21'!$A$11:$BB$406,12,FALSE)+VLOOKUP($A203,'ПР 21-22'!$A$11:$BB$406,12,FALSE)-VLOOKUP($A203,'ПР 01-02.22'!$A$11:$BB$378,12,FALSE)</f>
        <v>0</v>
      </c>
      <c r="M203" s="5">
        <f>VLOOKUP($A203,'ПР 01-02.21'!$A$11:$BB$406,13,FALSE)+VLOOKUP($A203,'ПР 21-22'!$A$11:$BB$406,13,FALSE)-VLOOKUP($A203,'ПР 01-02.22'!$A$11:$BB$378,13,FALSE)</f>
        <v>0</v>
      </c>
      <c r="N203" s="38"/>
      <c r="O203" s="5">
        <f>VLOOKUP($A203,'ПР 01-02.21'!$A$11:$BB$406,15,FALSE)+VLOOKUP($A203,'ПР 21-22'!$A$11:$BB$406,15,FALSE)-VLOOKUP($A203,'ПР 01-02.22'!$A$11:$BB$378,15,FALSE)</f>
        <v>0</v>
      </c>
      <c r="P203" s="5">
        <f>VLOOKUP($A203,'ПР 01-02.21'!$A$11:$BB$406,16,FALSE)+VLOOKUP($A203,'ПР 21-22'!$A$11:$BB$406,16,FALSE)-VLOOKUP($A203,'ПР 01-02.22'!$A$11:$BB$378,16,FALSE)</f>
        <v>0</v>
      </c>
      <c r="Q203" s="443"/>
      <c r="R203" s="5">
        <f>VLOOKUP($A203,'ПР 01-02.21'!$A$11:$BB$406,18,FALSE)+VLOOKUP($A203,'ПР 21-22'!$A$11:$BB$406,18,FALSE)-VLOOKUP($A203,'ПР 01-02.22'!$A$11:$BB$378,18,FALSE)</f>
        <v>0</v>
      </c>
      <c r="S203" s="5">
        <f>VLOOKUP($A203,'ПР 01-02.21'!$A$11:$BB$406,19,FALSE)+VLOOKUP($A203,'ПР 21-22'!$A$11:$BB$406,19,FALSE)-VLOOKUP($A203,'ПР 01-02.22'!$A$11:$BB$378,19,FALSE)</f>
        <v>0</v>
      </c>
      <c r="T203" s="444"/>
      <c r="U203" s="5">
        <f>VLOOKUP($A203,'ПР 01-02.21'!$A$11:$BB$406,21,FALSE)+VLOOKUP($A203,'ПР 21-22'!$A$11:$BB$406,21,FALSE)-VLOOKUP($A203,'ПР 01-02.22'!$A$11:$BB$378,21,FALSE)</f>
        <v>0</v>
      </c>
      <c r="V203" s="5"/>
      <c r="W203" s="5">
        <f>VLOOKUP($A203,'ПР 01-02.21'!$A$11:$BB$406,23,FALSE)+VLOOKUP($A203,'ПР 21-22'!$A$11:$BB$406,23,FALSE)-VLOOKUP($A203,'ПР 01-02.22'!$A$11:$BB$378,23,FALSE)</f>
        <v>0</v>
      </c>
      <c r="X203" s="5">
        <f>VLOOKUP($A203,'ПР 01-02.21'!$A$11:$BB$406,24,FALSE)+VLOOKUP($A203,'ПР 21-22'!$A$11:$BB$406,24,FALSE)-VLOOKUP($A203,'ПР 01-02.22'!$A$11:$BB$378,24,FALSE)</f>
        <v>0</v>
      </c>
      <c r="Y203" s="5">
        <f>VLOOKUP($A203,'ПР 01-02.21'!$A$11:$BB$406,25,FALSE)+VLOOKUP($A203,'ПР 21-22'!$A$11:$BB$406,25,FALSE)-VLOOKUP($A203,'ПР 01-02.22'!$A$11:$BB$378,25,FALSE)</f>
        <v>0</v>
      </c>
      <c r="Z203" s="5"/>
      <c r="AA203" s="5">
        <f>VLOOKUP($A203,'ПР 01-02.21'!$A$11:$BB$406,27,FALSE)+VLOOKUP($A203,'ПР 21-22'!$A$11:$BB$406,27,FALSE)-VLOOKUP($A203,'ПР 01-02.22'!$A$11:$BB$378,27,FALSE)</f>
        <v>0</v>
      </c>
      <c r="AB203" s="5">
        <f>VLOOKUP($A203,'ПР 01-02.21'!$A$11:$BB$406,28,FALSE)+VLOOKUP($A203,'ПР 21-22'!$A$11:$BB$406,28,FALSE)-VLOOKUP($A203,'ПР 01-02.22'!$A$11:$BB$378,28,FALSE)</f>
        <v>0</v>
      </c>
      <c r="AC203" s="5">
        <f>VLOOKUP($A203,'ПР 01-02.21'!$A$11:$BB$406,29,FALSE)+VLOOKUP($A203,'ПР 21-22'!$A$11:$BB$406,29,FALSE)-VLOOKUP($A203,'ПР 01-02.22'!$A$11:$BB$378,29,FALSE)</f>
        <v>0</v>
      </c>
      <c r="AD203" s="5">
        <f>VLOOKUP($A203,'ПР 01-02.21'!$A$11:$BB$406,30,FALSE)+VLOOKUP($A203,'ПР 21-22'!$A$11:$BB$406,30,FALSE)-VLOOKUP($A203,'ПР 01-02.22'!$A$11:$BB$378,30,FALSE)</f>
        <v>0</v>
      </c>
      <c r="AE203" s="5">
        <f>VLOOKUP($A203,'ПР 01-02.21'!$A$11:$BB$406,31,FALSE)+VLOOKUP($A203,'ПР 21-22'!$A$11:$BB$406,31,FALSE)-VLOOKUP($A203,'ПР 01-02.22'!$A$11:$BB$378,31,FALSE)</f>
        <v>0</v>
      </c>
      <c r="AF203" s="5">
        <f>VLOOKUP($A203,'ПР 01-02.21'!$A$11:$BB$406,32,FALSE)+VLOOKUP($A203,'ПР 21-22'!$A$11:$BB$406,32,FALSE)-VLOOKUP($A203,'ПР 01-02.22'!$A$11:$BB$378,32,FALSE)</f>
        <v>0</v>
      </c>
      <c r="AG203" s="40"/>
      <c r="AH203" s="5">
        <f>VLOOKUP($A203,'ПР 01-02.21'!$A$11:$BB$406,34,FALSE)+VLOOKUP($A203,'ПР 21-22'!$A$11:$BB$406,34,FALSE)-VLOOKUP($A203,'ПР 01-02.22'!$A$11:$BB$378,34,FALSE)</f>
        <v>0</v>
      </c>
      <c r="AI203" s="5">
        <f>VLOOKUP($A203,'ПР 01-02.21'!$A$11:$BB$406,35,FALSE)+VLOOKUP($A203,'ПР 21-22'!$A$11:$BB$406,35,FALSE)-VLOOKUP($A203,'ПР 01-02.22'!$A$11:$BB$378,35,FALSE)</f>
        <v>0</v>
      </c>
      <c r="AJ203" s="40"/>
      <c r="AK203" s="5">
        <f>VLOOKUP($A203,'ПР 01-02.21'!$A$11:$BB$406,37,FALSE)+VLOOKUP($A203,'ПР 21-22'!$A$11:$BB$406,37,FALSE)-VLOOKUP($A203,'ПР 01-02.22'!$A$11:$BB$378,37,FALSE)</f>
        <v>0</v>
      </c>
      <c r="AL203" s="5">
        <f>VLOOKUP($A203,'ПР 01-02.21'!$A$11:$BB$406,38,FALSE)+VLOOKUP($A203,'ПР 21-22'!$A$11:$BB$406,38,FALSE)-VLOOKUP($A203,'ПР 01-02.22'!$A$11:$BB$378,38,FALSE)</f>
        <v>0</v>
      </c>
      <c r="AM203" s="40"/>
      <c r="AN203" s="5">
        <f>VLOOKUP($A203,'ПР 01-02.21'!$A$11:$BB$406,40,FALSE)+VLOOKUP($A203,'ПР 21-22'!$A$11:$BB$406,40,FALSE)-VLOOKUP($A203,'ПР 01-02.22'!$A$11:$BB$378,40,FALSE)</f>
        <v>0</v>
      </c>
      <c r="AO203" s="5">
        <f>VLOOKUP($A203,'ПР 01-02.21'!$A$11:$BB$406,41,FALSE)+VLOOKUP($A203,'ПР 21-22'!$A$11:$BB$406,41,FALSE)-VLOOKUP($A203,'ПР 01-02.22'!$A$11:$BB$378,41,FALSE)</f>
        <v>0</v>
      </c>
      <c r="AP203" s="40"/>
      <c r="AQ203" s="5">
        <f>VLOOKUP($A203,'ПР 01-02.21'!$A$11:$BB$406,43,FALSE)+VLOOKUP($A203,'ПР 21-22'!$A$11:$BB$406,43,FALSE)-VLOOKUP($A203,'ПР 01-02.22'!$A$11:$BB$378,43,FALSE)</f>
        <v>0</v>
      </c>
      <c r="AR203" s="5">
        <f>VLOOKUP($A203,'ПР 01-02.21'!$A$11:$BB$406,44,FALSE)+VLOOKUP($A203,'ПР 21-22'!$A$11:$BB$406,44,FALSE)-VLOOKUP($A203,'ПР 01-02.22'!$A$11:$BB$378,44,FALSE)</f>
        <v>0</v>
      </c>
      <c r="AS203" s="40"/>
      <c r="AT203" s="5">
        <f>VLOOKUP($A203,'ПР 01-02.21'!$A$11:$BB$406,46,FALSE)+VLOOKUP($A203,'ПР 21-22'!$A$11:$BB$406,46,FALSE)-VLOOKUP($A203,'ПР 01-02.22'!$A$11:$BB$378,46,FALSE)</f>
        <v>0</v>
      </c>
      <c r="AU203" s="5">
        <f>VLOOKUP($A203,'ПР 01-02.21'!$A$11:$BB$406,47,FALSE)+VLOOKUP($A203,'ПР 21-22'!$A$11:$BB$406,47,FALSE)-VLOOKUP($A203,'ПР 01-02.22'!$A$11:$BB$378,47,FALSE)</f>
        <v>0</v>
      </c>
      <c r="AV203" s="40"/>
      <c r="AW203" s="5">
        <f>VLOOKUP($A203,'ПР 01-02.21'!$A$11:$BB$406,49,FALSE)+VLOOKUP($A203,'ПР 21-22'!$A$11:$BB$406,49,FALSE)-VLOOKUP($A203,'ПР 01-02.22'!$A$11:$BB$378,49,FALSE)</f>
        <v>11.16</v>
      </c>
      <c r="AX203" s="5">
        <f>VLOOKUP($A203,'ПР 01-02.21'!$A$11:$BB$406,50,FALSE)+VLOOKUP($A203,'ПР 21-22'!$A$11:$BB$406,50,FALSE)-VLOOKUP($A203,'ПР 01-02.22'!$A$11:$BB$378,50,FALSE)</f>
        <v>0</v>
      </c>
      <c r="AY203" s="40"/>
      <c r="AZ203" s="40">
        <f t="shared" si="13"/>
        <v>11.16</v>
      </c>
      <c r="BA203" s="40">
        <f t="shared" si="13"/>
        <v>0</v>
      </c>
      <c r="BB203" s="55">
        <f t="shared" si="16"/>
        <v>-11.16</v>
      </c>
      <c r="BD203" s="2">
        <v>3</v>
      </c>
      <c r="BF203" s="325">
        <v>150000764</v>
      </c>
    </row>
    <row r="204" spans="1:58" ht="24.9" customHeight="1" x14ac:dyDescent="0.3">
      <c r="A204" s="325">
        <v>150000770</v>
      </c>
      <c r="B204" s="464" t="s">
        <v>120</v>
      </c>
      <c r="C204" s="27">
        <v>1</v>
      </c>
      <c r="D204" s="101" t="s">
        <v>455</v>
      </c>
      <c r="E204" s="279">
        <f>'побудинковий звіт'!E202</f>
        <v>144.5</v>
      </c>
      <c r="F204" s="441">
        <f>'побудинковий звіт'!AS202</f>
        <v>1870.5659144605706</v>
      </c>
      <c r="G204" s="441">
        <f t="shared" si="14"/>
        <v>0</v>
      </c>
      <c r="H204" s="73">
        <f t="shared" si="15"/>
        <v>-1870.5659144605706</v>
      </c>
      <c r="I204" s="5">
        <f>VLOOKUP($A204,'ПР 01-02.21'!$A$11:$BB$406,9,FALSE)+VLOOKUP($A204,'ПР 21-22'!$A$11:$BB$406,9,FALSE)-VLOOKUP($A204,'ПР 01-02.22'!$A$11:$BB$378,9,FALSE)</f>
        <v>0</v>
      </c>
      <c r="J204" s="5">
        <f>VLOOKUP($A204,'ПР 01-02.21'!$A$11:$BB$406,10,FALSE)+VLOOKUP($A204,'ПР 21-22'!$A$11:$BB$406,10,FALSE)-VLOOKUP($A204,'ПР 01-02.22'!$A$11:$BB$378,10,FALSE)</f>
        <v>0</v>
      </c>
      <c r="K204" s="446"/>
      <c r="L204" s="5">
        <f>VLOOKUP($A204,'ПР 01-02.21'!$A$11:$BB$406,12,FALSE)+VLOOKUP($A204,'ПР 21-22'!$A$11:$BB$406,12,FALSE)-VLOOKUP($A204,'ПР 01-02.22'!$A$11:$BB$378,12,FALSE)</f>
        <v>0</v>
      </c>
      <c r="M204" s="5">
        <f>VLOOKUP($A204,'ПР 01-02.21'!$A$11:$BB$406,13,FALSE)+VLOOKUP($A204,'ПР 21-22'!$A$11:$BB$406,13,FALSE)-VLOOKUP($A204,'ПР 01-02.22'!$A$11:$BB$378,13,FALSE)</f>
        <v>0</v>
      </c>
      <c r="N204" s="38"/>
      <c r="O204" s="5">
        <f>VLOOKUP($A204,'ПР 01-02.21'!$A$11:$BB$406,15,FALSE)+VLOOKUP($A204,'ПР 21-22'!$A$11:$BB$406,15,FALSE)-VLOOKUP($A204,'ПР 01-02.22'!$A$11:$BB$378,15,FALSE)</f>
        <v>0</v>
      </c>
      <c r="P204" s="5">
        <f>VLOOKUP($A204,'ПР 01-02.21'!$A$11:$BB$406,16,FALSE)+VLOOKUP($A204,'ПР 21-22'!$A$11:$BB$406,16,FALSE)-VLOOKUP($A204,'ПР 01-02.22'!$A$11:$BB$378,16,FALSE)</f>
        <v>0</v>
      </c>
      <c r="Q204" s="443"/>
      <c r="R204" s="5">
        <f>VLOOKUP($A204,'ПР 01-02.21'!$A$11:$BB$406,18,FALSE)+VLOOKUP($A204,'ПР 21-22'!$A$11:$BB$406,18,FALSE)-VLOOKUP($A204,'ПР 01-02.22'!$A$11:$BB$378,18,FALSE)</f>
        <v>0</v>
      </c>
      <c r="S204" s="5">
        <f>VLOOKUP($A204,'ПР 01-02.21'!$A$11:$BB$406,19,FALSE)+VLOOKUP($A204,'ПР 21-22'!$A$11:$BB$406,19,FALSE)-VLOOKUP($A204,'ПР 01-02.22'!$A$11:$BB$378,19,FALSE)</f>
        <v>0</v>
      </c>
      <c r="T204" s="444"/>
      <c r="U204" s="5">
        <f>VLOOKUP($A204,'ПР 01-02.21'!$A$11:$BB$406,21,FALSE)+VLOOKUP($A204,'ПР 21-22'!$A$11:$BB$406,21,FALSE)-VLOOKUP($A204,'ПР 01-02.22'!$A$11:$BB$378,21,FALSE)</f>
        <v>0</v>
      </c>
      <c r="V204" s="5"/>
      <c r="W204" s="5">
        <f>VLOOKUP($A204,'ПР 01-02.21'!$A$11:$BB$406,23,FALSE)+VLOOKUP($A204,'ПР 21-22'!$A$11:$BB$406,23,FALSE)-VLOOKUP($A204,'ПР 01-02.22'!$A$11:$BB$378,23,FALSE)</f>
        <v>0</v>
      </c>
      <c r="X204" s="5">
        <f>VLOOKUP($A204,'ПР 01-02.21'!$A$11:$BB$406,24,FALSE)+VLOOKUP($A204,'ПР 21-22'!$A$11:$BB$406,24,FALSE)-VLOOKUP($A204,'ПР 01-02.22'!$A$11:$BB$378,24,FALSE)</f>
        <v>0</v>
      </c>
      <c r="Y204" s="5">
        <f>VLOOKUP($A204,'ПР 01-02.21'!$A$11:$BB$406,25,FALSE)+VLOOKUP($A204,'ПР 21-22'!$A$11:$BB$406,25,FALSE)-VLOOKUP($A204,'ПР 01-02.22'!$A$11:$BB$378,25,FALSE)</f>
        <v>0</v>
      </c>
      <c r="Z204" s="5"/>
      <c r="AA204" s="5">
        <f>VLOOKUP($A204,'ПР 01-02.21'!$A$11:$BB$406,27,FALSE)+VLOOKUP($A204,'ПР 21-22'!$A$11:$BB$406,27,FALSE)-VLOOKUP($A204,'ПР 01-02.22'!$A$11:$BB$378,27,FALSE)</f>
        <v>0</v>
      </c>
      <c r="AB204" s="5">
        <f>VLOOKUP($A204,'ПР 01-02.21'!$A$11:$BB$406,28,FALSE)+VLOOKUP($A204,'ПР 21-22'!$A$11:$BB$406,28,FALSE)-VLOOKUP($A204,'ПР 01-02.22'!$A$11:$BB$378,28,FALSE)</f>
        <v>0</v>
      </c>
      <c r="AC204" s="5">
        <f>VLOOKUP($A204,'ПР 01-02.21'!$A$11:$BB$406,29,FALSE)+VLOOKUP($A204,'ПР 21-22'!$A$11:$BB$406,29,FALSE)-VLOOKUP($A204,'ПР 01-02.22'!$A$11:$BB$378,29,FALSE)</f>
        <v>0</v>
      </c>
      <c r="AD204" s="5">
        <f>VLOOKUP($A204,'ПР 01-02.21'!$A$11:$BB$406,30,FALSE)+VLOOKUP($A204,'ПР 21-22'!$A$11:$BB$406,30,FALSE)-VLOOKUP($A204,'ПР 01-02.22'!$A$11:$BB$378,30,FALSE)</f>
        <v>0</v>
      </c>
      <c r="AE204" s="5">
        <f>VLOOKUP($A204,'ПР 01-02.21'!$A$11:$BB$406,31,FALSE)+VLOOKUP($A204,'ПР 21-22'!$A$11:$BB$406,31,FALSE)-VLOOKUP($A204,'ПР 01-02.22'!$A$11:$BB$378,31,FALSE)</f>
        <v>0</v>
      </c>
      <c r="AF204" s="5">
        <f>VLOOKUP($A204,'ПР 01-02.21'!$A$11:$BB$406,32,FALSE)+VLOOKUP($A204,'ПР 21-22'!$A$11:$BB$406,32,FALSE)-VLOOKUP($A204,'ПР 01-02.22'!$A$11:$BB$378,32,FALSE)</f>
        <v>0</v>
      </c>
      <c r="AG204" s="40"/>
      <c r="AH204" s="5">
        <f>VLOOKUP($A204,'ПР 01-02.21'!$A$11:$BB$406,34,FALSE)+VLOOKUP($A204,'ПР 21-22'!$A$11:$BB$406,34,FALSE)-VLOOKUP($A204,'ПР 01-02.22'!$A$11:$BB$378,34,FALSE)</f>
        <v>0</v>
      </c>
      <c r="AI204" s="5">
        <f>VLOOKUP($A204,'ПР 01-02.21'!$A$11:$BB$406,35,FALSE)+VLOOKUP($A204,'ПР 21-22'!$A$11:$BB$406,35,FALSE)-VLOOKUP($A204,'ПР 01-02.22'!$A$11:$BB$378,35,FALSE)</f>
        <v>0</v>
      </c>
      <c r="AJ204" s="40"/>
      <c r="AK204" s="5">
        <f>VLOOKUP($A204,'ПР 01-02.21'!$A$11:$BB$406,37,FALSE)+VLOOKUP($A204,'ПР 21-22'!$A$11:$BB$406,37,FALSE)-VLOOKUP($A204,'ПР 01-02.22'!$A$11:$BB$378,37,FALSE)</f>
        <v>0</v>
      </c>
      <c r="AL204" s="5">
        <f>VLOOKUP($A204,'ПР 01-02.21'!$A$11:$BB$406,38,FALSE)+VLOOKUP($A204,'ПР 21-22'!$A$11:$BB$406,38,FALSE)-VLOOKUP($A204,'ПР 01-02.22'!$A$11:$BB$378,38,FALSE)</f>
        <v>0</v>
      </c>
      <c r="AM204" s="40"/>
      <c r="AN204" s="5">
        <f>VLOOKUP($A204,'ПР 01-02.21'!$A$11:$BB$406,40,FALSE)+VLOOKUP($A204,'ПР 21-22'!$A$11:$BB$406,40,FALSE)-VLOOKUP($A204,'ПР 01-02.22'!$A$11:$BB$378,40,FALSE)</f>
        <v>0</v>
      </c>
      <c r="AO204" s="5">
        <f>VLOOKUP($A204,'ПР 01-02.21'!$A$11:$BB$406,41,FALSE)+VLOOKUP($A204,'ПР 21-22'!$A$11:$BB$406,41,FALSE)-VLOOKUP($A204,'ПР 01-02.22'!$A$11:$BB$378,41,FALSE)</f>
        <v>0</v>
      </c>
      <c r="AP204" s="40"/>
      <c r="AQ204" s="5">
        <f>VLOOKUP($A204,'ПР 01-02.21'!$A$11:$BB$406,43,FALSE)+VLOOKUP($A204,'ПР 21-22'!$A$11:$BB$406,43,FALSE)-VLOOKUP($A204,'ПР 01-02.22'!$A$11:$BB$378,43,FALSE)</f>
        <v>0</v>
      </c>
      <c r="AR204" s="5">
        <f>VLOOKUP($A204,'ПР 01-02.21'!$A$11:$BB$406,44,FALSE)+VLOOKUP($A204,'ПР 21-22'!$A$11:$BB$406,44,FALSE)-VLOOKUP($A204,'ПР 01-02.22'!$A$11:$BB$378,44,FALSE)</f>
        <v>0</v>
      </c>
      <c r="AS204" s="40"/>
      <c r="AT204" s="5">
        <f>VLOOKUP($A204,'ПР 01-02.21'!$A$11:$BB$406,46,FALSE)+VLOOKUP($A204,'ПР 21-22'!$A$11:$BB$406,46,FALSE)-VLOOKUP($A204,'ПР 01-02.22'!$A$11:$BB$378,46,FALSE)</f>
        <v>0</v>
      </c>
      <c r="AU204" s="5">
        <f>VLOOKUP($A204,'ПР 01-02.21'!$A$11:$BB$406,47,FALSE)+VLOOKUP($A204,'ПР 21-22'!$A$11:$BB$406,47,FALSE)-VLOOKUP($A204,'ПР 01-02.22'!$A$11:$BB$378,47,FALSE)</f>
        <v>0</v>
      </c>
      <c r="AV204" s="40"/>
      <c r="AW204" s="5">
        <f>VLOOKUP($A204,'ПР 01-02.21'!$A$11:$BB$406,49,FALSE)+VLOOKUP($A204,'ПР 21-22'!$A$11:$BB$406,49,FALSE)-VLOOKUP($A204,'ПР 01-02.22'!$A$11:$BB$378,49,FALSE)</f>
        <v>6.78</v>
      </c>
      <c r="AX204" s="5">
        <f>VLOOKUP($A204,'ПР 01-02.21'!$A$11:$BB$406,50,FALSE)+VLOOKUP($A204,'ПР 21-22'!$A$11:$BB$406,50,FALSE)-VLOOKUP($A204,'ПР 01-02.22'!$A$11:$BB$378,50,FALSE)</f>
        <v>0</v>
      </c>
      <c r="AY204" s="40"/>
      <c r="AZ204" s="40">
        <f t="shared" si="13"/>
        <v>6.78</v>
      </c>
      <c r="BA204" s="40">
        <f t="shared" si="13"/>
        <v>0</v>
      </c>
      <c r="BB204" s="55">
        <f t="shared" si="16"/>
        <v>-6.78</v>
      </c>
      <c r="BD204" s="2">
        <v>3</v>
      </c>
      <c r="BF204" s="325">
        <v>150000770</v>
      </c>
    </row>
    <row r="205" spans="1:58" ht="24.9" customHeight="1" x14ac:dyDescent="0.3">
      <c r="A205" s="325">
        <v>150000777</v>
      </c>
      <c r="B205" s="464" t="s">
        <v>169</v>
      </c>
      <c r="C205" s="27">
        <v>2</v>
      </c>
      <c r="D205" s="101" t="s">
        <v>455</v>
      </c>
      <c r="E205" s="279">
        <f>'побудинковий звіт'!E203</f>
        <v>393</v>
      </c>
      <c r="F205" s="441">
        <f>'побудинковий звіт'!AS203</f>
        <v>3792.8443842243528</v>
      </c>
      <c r="G205" s="441">
        <f t="shared" si="14"/>
        <v>1096</v>
      </c>
      <c r="H205" s="73">
        <f t="shared" si="15"/>
        <v>-2696.8443842243528</v>
      </c>
      <c r="I205" s="5">
        <f>VLOOKUP($A205,'ПР 01-02.21'!$A$11:$BB$406,9,FALSE)+VLOOKUP($A205,'ПР 21-22'!$A$11:$BB$406,9,FALSE)-VLOOKUP($A205,'ПР 01-02.22'!$A$11:$BB$378,9,FALSE)</f>
        <v>3</v>
      </c>
      <c r="J205" s="5">
        <f>VLOOKUP($A205,'ПР 01-02.21'!$A$11:$BB$406,10,FALSE)+VLOOKUP($A205,'ПР 21-22'!$A$11:$BB$406,10,FALSE)-VLOOKUP($A205,'ПР 01-02.22'!$A$11:$BB$378,10,FALSE)</f>
        <v>791</v>
      </c>
      <c r="K205" s="446"/>
      <c r="L205" s="5">
        <f>VLOOKUP($A205,'ПР 01-02.21'!$A$11:$BB$406,12,FALSE)+VLOOKUP($A205,'ПР 21-22'!$A$11:$BB$406,12,FALSE)-VLOOKUP($A205,'ПР 01-02.22'!$A$11:$BB$378,12,FALSE)</f>
        <v>0</v>
      </c>
      <c r="M205" s="5">
        <f>VLOOKUP($A205,'ПР 01-02.21'!$A$11:$BB$406,13,FALSE)+VLOOKUP($A205,'ПР 21-22'!$A$11:$BB$406,13,FALSE)-VLOOKUP($A205,'ПР 01-02.22'!$A$11:$BB$378,13,FALSE)</f>
        <v>0</v>
      </c>
      <c r="N205" s="38"/>
      <c r="O205" s="5">
        <f>VLOOKUP($A205,'ПР 01-02.21'!$A$11:$BB$406,15,FALSE)+VLOOKUP($A205,'ПР 21-22'!$A$11:$BB$406,15,FALSE)-VLOOKUP($A205,'ПР 01-02.22'!$A$11:$BB$378,15,FALSE)</f>
        <v>0</v>
      </c>
      <c r="P205" s="5">
        <f>VLOOKUP($A205,'ПР 01-02.21'!$A$11:$BB$406,16,FALSE)+VLOOKUP($A205,'ПР 21-22'!$A$11:$BB$406,16,FALSE)-VLOOKUP($A205,'ПР 01-02.22'!$A$11:$BB$378,16,FALSE)</f>
        <v>0</v>
      </c>
      <c r="Q205" s="443"/>
      <c r="R205" s="5">
        <f>VLOOKUP($A205,'ПР 01-02.21'!$A$11:$BB$406,18,FALSE)+VLOOKUP($A205,'ПР 21-22'!$A$11:$BB$406,18,FALSE)-VLOOKUP($A205,'ПР 01-02.22'!$A$11:$BB$378,18,FALSE)</f>
        <v>0</v>
      </c>
      <c r="S205" s="5">
        <f>VLOOKUP($A205,'ПР 01-02.21'!$A$11:$BB$406,19,FALSE)+VLOOKUP($A205,'ПР 21-22'!$A$11:$BB$406,19,FALSE)-VLOOKUP($A205,'ПР 01-02.22'!$A$11:$BB$378,19,FALSE)</f>
        <v>0</v>
      </c>
      <c r="T205" s="444"/>
      <c r="U205" s="5">
        <f>VLOOKUP($A205,'ПР 01-02.21'!$A$11:$BB$406,21,FALSE)+VLOOKUP($A205,'ПР 21-22'!$A$11:$BB$406,21,FALSE)-VLOOKUP($A205,'ПР 01-02.22'!$A$11:$BB$378,21,FALSE)</f>
        <v>0</v>
      </c>
      <c r="V205" s="5"/>
      <c r="W205" s="5">
        <f>VLOOKUP($A205,'ПР 01-02.21'!$A$11:$BB$406,23,FALSE)+VLOOKUP($A205,'ПР 21-22'!$A$11:$BB$406,23,FALSE)-VLOOKUP($A205,'ПР 01-02.22'!$A$11:$BB$378,23,FALSE)</f>
        <v>0</v>
      </c>
      <c r="X205" s="5">
        <f>VLOOKUP($A205,'ПР 01-02.21'!$A$11:$BB$406,24,FALSE)+VLOOKUP($A205,'ПР 21-22'!$A$11:$BB$406,24,FALSE)-VLOOKUP($A205,'ПР 01-02.22'!$A$11:$BB$378,24,FALSE)</f>
        <v>0</v>
      </c>
      <c r="Y205" s="5">
        <f>VLOOKUP($A205,'ПР 01-02.21'!$A$11:$BB$406,25,FALSE)+VLOOKUP($A205,'ПР 21-22'!$A$11:$BB$406,25,FALSE)-VLOOKUP($A205,'ПР 01-02.22'!$A$11:$BB$378,25,FALSE)</f>
        <v>0</v>
      </c>
      <c r="Z205" s="5"/>
      <c r="AA205" s="5">
        <f>VLOOKUP($A205,'ПР 01-02.21'!$A$11:$BB$406,27,FALSE)+VLOOKUP($A205,'ПР 21-22'!$A$11:$BB$406,27,FALSE)-VLOOKUP($A205,'ПР 01-02.22'!$A$11:$BB$378,27,FALSE)</f>
        <v>0</v>
      </c>
      <c r="AB205" s="5">
        <f>VLOOKUP($A205,'ПР 01-02.21'!$A$11:$BB$406,28,FALSE)+VLOOKUP($A205,'ПР 21-22'!$A$11:$BB$406,28,FALSE)-VLOOKUP($A205,'ПР 01-02.22'!$A$11:$BB$378,28,FALSE)</f>
        <v>0</v>
      </c>
      <c r="AC205" s="5">
        <f>VLOOKUP($A205,'ПР 01-02.21'!$A$11:$BB$406,29,FALSE)+VLOOKUP($A205,'ПР 21-22'!$A$11:$BB$406,29,FALSE)-VLOOKUP($A205,'ПР 01-02.22'!$A$11:$BB$378,29,FALSE)</f>
        <v>127</v>
      </c>
      <c r="AD205" s="5">
        <f>VLOOKUP($A205,'ПР 01-02.21'!$A$11:$BB$406,30,FALSE)+VLOOKUP($A205,'ПР 21-22'!$A$11:$BB$406,30,FALSE)-VLOOKUP($A205,'ПР 01-02.22'!$A$11:$BB$378,30,FALSE)</f>
        <v>178</v>
      </c>
      <c r="AE205" s="5">
        <f>VLOOKUP($A205,'ПР 01-02.21'!$A$11:$BB$406,31,FALSE)+VLOOKUP($A205,'ПР 21-22'!$A$11:$BB$406,31,FALSE)-VLOOKUP($A205,'ПР 01-02.22'!$A$11:$BB$378,31,FALSE)</f>
        <v>412.46807743283932</v>
      </c>
      <c r="AF205" s="5">
        <f>VLOOKUP($A205,'ПР 01-02.21'!$A$11:$BB$406,32,FALSE)+VLOOKUP($A205,'ПР 21-22'!$A$11:$BB$406,32,FALSE)-VLOOKUP($A205,'ПР 01-02.22'!$A$11:$BB$378,32,FALSE)</f>
        <v>0</v>
      </c>
      <c r="AG205" s="40"/>
      <c r="AH205" s="5">
        <f>VLOOKUP($A205,'ПР 01-02.21'!$A$11:$BB$406,34,FALSE)+VLOOKUP($A205,'ПР 21-22'!$A$11:$BB$406,34,FALSE)-VLOOKUP($A205,'ПР 01-02.22'!$A$11:$BB$378,34,FALSE)</f>
        <v>415.95200493475488</v>
      </c>
      <c r="AI205" s="5">
        <f>VLOOKUP($A205,'ПР 01-02.21'!$A$11:$BB$406,35,FALSE)+VLOOKUP($A205,'ПР 21-22'!$A$11:$BB$406,35,FALSE)-VLOOKUP($A205,'ПР 01-02.22'!$A$11:$BB$378,35,FALSE)</f>
        <v>0</v>
      </c>
      <c r="AJ205" s="40"/>
      <c r="AK205" s="5">
        <f>VLOOKUP($A205,'ПР 01-02.21'!$A$11:$BB$406,37,FALSE)+VLOOKUP($A205,'ПР 21-22'!$A$11:$BB$406,37,FALSE)-VLOOKUP($A205,'ПР 01-02.22'!$A$11:$BB$378,37,FALSE)</f>
        <v>107.44235167335222</v>
      </c>
      <c r="AL205" s="5">
        <f>VLOOKUP($A205,'ПР 01-02.21'!$A$11:$BB$406,38,FALSE)+VLOOKUP($A205,'ПР 21-22'!$A$11:$BB$406,38,FALSE)-VLOOKUP($A205,'ПР 01-02.22'!$A$11:$BB$378,38,FALSE)</f>
        <v>0</v>
      </c>
      <c r="AM205" s="40"/>
      <c r="AN205" s="5">
        <f>VLOOKUP($A205,'ПР 01-02.21'!$A$11:$BB$406,40,FALSE)+VLOOKUP($A205,'ПР 21-22'!$A$11:$BB$406,40,FALSE)-VLOOKUP($A205,'ПР 01-02.22'!$A$11:$BB$378,40,FALSE)</f>
        <v>281.10862344555551</v>
      </c>
      <c r="AO205" s="5">
        <f>VLOOKUP($A205,'ПР 01-02.21'!$A$11:$BB$406,41,FALSE)+VLOOKUP($A205,'ПР 21-22'!$A$11:$BB$406,41,FALSE)-VLOOKUP($A205,'ПР 01-02.22'!$A$11:$BB$378,41,FALSE)</f>
        <v>0</v>
      </c>
      <c r="AP205" s="40"/>
      <c r="AQ205" s="5">
        <f>VLOOKUP($A205,'ПР 01-02.21'!$A$11:$BB$406,43,FALSE)+VLOOKUP($A205,'ПР 21-22'!$A$11:$BB$406,43,FALSE)-VLOOKUP($A205,'ПР 01-02.22'!$A$11:$BB$378,43,FALSE)</f>
        <v>0</v>
      </c>
      <c r="AR205" s="5">
        <f>VLOOKUP($A205,'ПР 01-02.21'!$A$11:$BB$406,44,FALSE)+VLOOKUP($A205,'ПР 21-22'!$A$11:$BB$406,44,FALSE)-VLOOKUP($A205,'ПР 01-02.22'!$A$11:$BB$378,44,FALSE)</f>
        <v>0</v>
      </c>
      <c r="AS205" s="40"/>
      <c r="AT205" s="5">
        <f>VLOOKUP($A205,'ПР 01-02.21'!$A$11:$BB$406,46,FALSE)+VLOOKUP($A205,'ПР 21-22'!$A$11:$BB$406,46,FALSE)-VLOOKUP($A205,'ПР 01-02.22'!$A$11:$BB$378,46,FALSE)</f>
        <v>105.49457580956293</v>
      </c>
      <c r="AU205" s="5">
        <f>VLOOKUP($A205,'ПР 01-02.21'!$A$11:$BB$406,47,FALSE)+VLOOKUP($A205,'ПР 21-22'!$A$11:$BB$406,47,FALSE)-VLOOKUP($A205,'ПР 01-02.22'!$A$11:$BB$378,47,FALSE)</f>
        <v>0</v>
      </c>
      <c r="AV205" s="40"/>
      <c r="AW205" s="5">
        <f>VLOOKUP($A205,'ПР 01-02.21'!$A$11:$BB$406,49,FALSE)+VLOOKUP($A205,'ПР 21-22'!$A$11:$BB$406,49,FALSE)-VLOOKUP($A205,'ПР 01-02.22'!$A$11:$BB$378,49,FALSE)</f>
        <v>19.72</v>
      </c>
      <c r="AX205" s="5">
        <f>VLOOKUP($A205,'ПР 01-02.21'!$A$11:$BB$406,50,FALSE)+VLOOKUP($A205,'ПР 21-22'!$A$11:$BB$406,50,FALSE)-VLOOKUP($A205,'ПР 01-02.22'!$A$11:$BB$378,50,FALSE)</f>
        <v>0</v>
      </c>
      <c r="AY205" s="40"/>
      <c r="AZ205" s="40">
        <f t="shared" si="13"/>
        <v>1342.1856332960651</v>
      </c>
      <c r="BA205" s="40">
        <f t="shared" si="13"/>
        <v>0</v>
      </c>
      <c r="BB205" s="55">
        <f t="shared" si="16"/>
        <v>-1342.1856332960651</v>
      </c>
      <c r="BD205" s="2">
        <v>3</v>
      </c>
      <c r="BF205" s="325">
        <v>150000777</v>
      </c>
    </row>
    <row r="206" spans="1:58" ht="24.9" customHeight="1" x14ac:dyDescent="0.3">
      <c r="A206" s="325">
        <v>150000765</v>
      </c>
      <c r="B206" s="464" t="s">
        <v>265</v>
      </c>
      <c r="C206" s="27">
        <v>5</v>
      </c>
      <c r="D206" s="101" t="s">
        <v>455</v>
      </c>
      <c r="E206" s="279">
        <f>'побудинковий звіт'!E204</f>
        <v>4524.01</v>
      </c>
      <c r="F206" s="441">
        <f>'побудинковий звіт'!AS204</f>
        <v>45825.370227189385</v>
      </c>
      <c r="G206" s="441">
        <f t="shared" si="14"/>
        <v>21479.078053906858</v>
      </c>
      <c r="H206" s="73">
        <f t="shared" si="15"/>
        <v>-24346.292173282527</v>
      </c>
      <c r="I206" s="5">
        <f>VLOOKUP($A206,'ПР 01-02.21'!$A$11:$BB$406,9,FALSE)+VLOOKUP($A206,'ПР 21-22'!$A$11:$BB$406,9,FALSE)-VLOOKUP($A206,'ПР 01-02.22'!$A$11:$BB$378,9,FALSE)</f>
        <v>0</v>
      </c>
      <c r="J206" s="5">
        <f>VLOOKUP($A206,'ПР 01-02.21'!$A$11:$BB$406,10,FALSE)+VLOOKUP($A206,'ПР 21-22'!$A$11:$BB$406,10,FALSE)-VLOOKUP($A206,'ПР 01-02.22'!$A$11:$BB$378,10,FALSE)</f>
        <v>0</v>
      </c>
      <c r="K206" s="450"/>
      <c r="L206" s="5">
        <f>VLOOKUP($A206,'ПР 01-02.21'!$A$11:$BB$406,12,FALSE)+VLOOKUP($A206,'ПР 21-22'!$A$11:$BB$406,12,FALSE)-VLOOKUP($A206,'ПР 01-02.22'!$A$11:$BB$378,12,FALSE)</f>
        <v>0</v>
      </c>
      <c r="M206" s="5">
        <f>VLOOKUP($A206,'ПР 01-02.21'!$A$11:$BB$406,13,FALSE)+VLOOKUP($A206,'ПР 21-22'!$A$11:$BB$406,13,FALSE)-VLOOKUP($A206,'ПР 01-02.22'!$A$11:$BB$378,13,FALSE)</f>
        <v>0</v>
      </c>
      <c r="N206" s="38"/>
      <c r="O206" s="5">
        <f>VLOOKUP($A206,'ПР 01-02.21'!$A$11:$BB$406,15,FALSE)+VLOOKUP($A206,'ПР 21-22'!$A$11:$BB$406,15,FALSE)-VLOOKUP($A206,'ПР 01-02.22'!$A$11:$BB$378,15,FALSE)</f>
        <v>0</v>
      </c>
      <c r="P206" s="5">
        <f>VLOOKUP($A206,'ПР 01-02.21'!$A$11:$BB$406,16,FALSE)+VLOOKUP($A206,'ПР 21-22'!$A$11:$BB$406,16,FALSE)-VLOOKUP($A206,'ПР 01-02.22'!$A$11:$BB$378,16,FALSE)</f>
        <v>0</v>
      </c>
      <c r="Q206" s="443"/>
      <c r="R206" s="5">
        <f>VLOOKUP($A206,'ПР 01-02.21'!$A$11:$BB$406,18,FALSE)+VLOOKUP($A206,'ПР 21-22'!$A$11:$BB$406,18,FALSE)-VLOOKUP($A206,'ПР 01-02.22'!$A$11:$BB$378,18,FALSE)</f>
        <v>0</v>
      </c>
      <c r="S206" s="5">
        <f>VLOOKUP($A206,'ПР 01-02.21'!$A$11:$BB$406,19,FALSE)+VLOOKUP($A206,'ПР 21-22'!$A$11:$BB$406,19,FALSE)-VLOOKUP($A206,'ПР 01-02.22'!$A$11:$BB$378,19,FALSE)</f>
        <v>0</v>
      </c>
      <c r="T206" s="444"/>
      <c r="U206" s="5">
        <f>VLOOKUP($A206,'ПР 01-02.21'!$A$11:$BB$406,21,FALSE)+VLOOKUP($A206,'ПР 21-22'!$A$11:$BB$406,21,FALSE)-VLOOKUP($A206,'ПР 01-02.22'!$A$11:$BB$378,21,FALSE)</f>
        <v>0</v>
      </c>
      <c r="V206" s="5"/>
      <c r="W206" s="5">
        <f>VLOOKUP($A206,'ПР 01-02.21'!$A$11:$BB$406,23,FALSE)+VLOOKUP($A206,'ПР 21-22'!$A$11:$BB$406,23,FALSE)-VLOOKUP($A206,'ПР 01-02.22'!$A$11:$BB$378,23,FALSE)</f>
        <v>20.5</v>
      </c>
      <c r="X206" s="5">
        <f>VLOOKUP($A206,'ПР 01-02.21'!$A$11:$BB$406,24,FALSE)+VLOOKUP($A206,'ПР 21-22'!$A$11:$BB$406,24,FALSE)-VLOOKUP($A206,'ПР 01-02.22'!$A$11:$BB$378,24,FALSE)</f>
        <v>8648.4580539068575</v>
      </c>
      <c r="Y206" s="5">
        <f>VLOOKUP($A206,'ПР 01-02.21'!$A$11:$BB$406,25,FALSE)+VLOOKUP($A206,'ПР 21-22'!$A$11:$BB$406,25,FALSE)-VLOOKUP($A206,'ПР 01-02.22'!$A$11:$BB$378,25,FALSE)</f>
        <v>334</v>
      </c>
      <c r="Z206" s="5"/>
      <c r="AA206" s="5">
        <f>VLOOKUP($A206,'ПР 01-02.21'!$A$11:$BB$406,27,FALSE)+VLOOKUP($A206,'ПР 21-22'!$A$11:$BB$406,27,FALSE)-VLOOKUP($A206,'ПР 01-02.22'!$A$11:$BB$378,27,FALSE)</f>
        <v>0</v>
      </c>
      <c r="AB206" s="5">
        <f>VLOOKUP($A206,'ПР 01-02.21'!$A$11:$BB$406,28,FALSE)+VLOOKUP($A206,'ПР 21-22'!$A$11:$BB$406,28,FALSE)-VLOOKUP($A206,'ПР 01-02.22'!$A$11:$BB$378,28,FALSE)</f>
        <v>1477.62</v>
      </c>
      <c r="AC206" s="5">
        <f>VLOOKUP($A206,'ПР 01-02.21'!$A$11:$BB$406,29,FALSE)+VLOOKUP($A206,'ПР 21-22'!$A$11:$BB$406,29,FALSE)-VLOOKUP($A206,'ПР 01-02.22'!$A$11:$BB$378,29,FALSE)</f>
        <v>0</v>
      </c>
      <c r="AD206" s="5">
        <f>VLOOKUP($A206,'ПР 01-02.21'!$A$11:$BB$406,30,FALSE)+VLOOKUP($A206,'ПР 21-22'!$A$11:$BB$406,30,FALSE)-VLOOKUP($A206,'ПР 01-02.22'!$A$11:$BB$378,30,FALSE)</f>
        <v>11019</v>
      </c>
      <c r="AE206" s="5">
        <f>VLOOKUP($A206,'ПР 01-02.21'!$A$11:$BB$406,31,FALSE)+VLOOKUP($A206,'ПР 21-22'!$A$11:$BB$406,31,FALSE)-VLOOKUP($A206,'ПР 01-02.22'!$A$11:$BB$378,31,FALSE)</f>
        <v>4025.8275575458747</v>
      </c>
      <c r="AF206" s="5">
        <f>VLOOKUP($A206,'ПР 01-02.21'!$A$11:$BB$406,32,FALSE)+VLOOKUP($A206,'ПР 21-22'!$A$11:$BB$406,32,FALSE)-VLOOKUP($A206,'ПР 01-02.22'!$A$11:$BB$378,32,FALSE)</f>
        <v>3731.3</v>
      </c>
      <c r="AG206" s="40"/>
      <c r="AH206" s="5">
        <f>VLOOKUP($A206,'ПР 01-02.21'!$A$11:$BB$406,34,FALSE)+VLOOKUP($A206,'ПР 21-22'!$A$11:$BB$406,34,FALSE)-VLOOKUP($A206,'ПР 01-02.22'!$A$11:$BB$378,34,FALSE)</f>
        <v>5992.3275231698553</v>
      </c>
      <c r="AI206" s="5">
        <f>VLOOKUP($A206,'ПР 01-02.21'!$A$11:$BB$406,35,FALSE)+VLOOKUP($A206,'ПР 21-22'!$A$11:$BB$406,35,FALSE)-VLOOKUP($A206,'ПР 01-02.22'!$A$11:$BB$378,35,FALSE)</f>
        <v>0</v>
      </c>
      <c r="AJ206" s="40"/>
      <c r="AK206" s="5">
        <f>VLOOKUP($A206,'ПР 01-02.21'!$A$11:$BB$406,37,FALSE)+VLOOKUP($A206,'ПР 21-22'!$A$11:$BB$406,37,FALSE)-VLOOKUP($A206,'ПР 01-02.22'!$A$11:$BB$378,37,FALSE)</f>
        <v>2934.0742573465081</v>
      </c>
      <c r="AL206" s="5">
        <f>VLOOKUP($A206,'ПР 01-02.21'!$A$11:$BB$406,38,FALSE)+VLOOKUP($A206,'ПР 21-22'!$A$11:$BB$406,38,FALSE)-VLOOKUP($A206,'ПР 01-02.22'!$A$11:$BB$378,38,FALSE)</f>
        <v>0</v>
      </c>
      <c r="AM206" s="40"/>
      <c r="AN206" s="5">
        <f>VLOOKUP($A206,'ПР 01-02.21'!$A$11:$BB$406,40,FALSE)+VLOOKUP($A206,'ПР 21-22'!$A$11:$BB$406,40,FALSE)-VLOOKUP($A206,'ПР 01-02.22'!$A$11:$BB$378,40,FALSE)</f>
        <v>0</v>
      </c>
      <c r="AO206" s="5">
        <f>VLOOKUP($A206,'ПР 01-02.21'!$A$11:$BB$406,41,FALSE)+VLOOKUP($A206,'ПР 21-22'!$A$11:$BB$406,41,FALSE)-VLOOKUP($A206,'ПР 01-02.22'!$A$11:$BB$378,41,FALSE)</f>
        <v>0</v>
      </c>
      <c r="AP206" s="40"/>
      <c r="AQ206" s="5">
        <f>VLOOKUP($A206,'ПР 01-02.21'!$A$11:$BB$406,43,FALSE)+VLOOKUP($A206,'ПР 21-22'!$A$11:$BB$406,43,FALSE)-VLOOKUP($A206,'ПР 01-02.22'!$A$11:$BB$378,43,FALSE)</f>
        <v>2499.7849063102835</v>
      </c>
      <c r="AR206" s="5">
        <f>VLOOKUP($A206,'ПР 01-02.21'!$A$11:$BB$406,44,FALSE)+VLOOKUP($A206,'ПР 21-22'!$A$11:$BB$406,44,FALSE)-VLOOKUP($A206,'ПР 01-02.22'!$A$11:$BB$378,44,FALSE)</f>
        <v>0</v>
      </c>
      <c r="AS206" s="40"/>
      <c r="AT206" s="5">
        <f>VLOOKUP($A206,'ПР 01-02.21'!$A$11:$BB$406,46,FALSE)+VLOOKUP($A206,'ПР 21-22'!$A$11:$BB$406,46,FALSE)-VLOOKUP($A206,'ПР 01-02.22'!$A$11:$BB$378,46,FALSE)</f>
        <v>3454.0906625048756</v>
      </c>
      <c r="AU206" s="5">
        <f>VLOOKUP($A206,'ПР 01-02.21'!$A$11:$BB$406,47,FALSE)+VLOOKUP($A206,'ПР 21-22'!$A$11:$BB$406,47,FALSE)-VLOOKUP($A206,'ПР 01-02.22'!$A$11:$BB$378,47,FALSE)</f>
        <v>0</v>
      </c>
      <c r="AV206" s="40"/>
      <c r="AW206" s="5">
        <f>VLOOKUP($A206,'ПР 01-02.21'!$A$11:$BB$406,49,FALSE)+VLOOKUP($A206,'ПР 21-22'!$A$11:$BB$406,49,FALSE)-VLOOKUP($A206,'ПР 01-02.22'!$A$11:$BB$378,49,FALSE)</f>
        <v>225.94479999999999</v>
      </c>
      <c r="AX206" s="5">
        <f>VLOOKUP($A206,'ПР 01-02.21'!$A$11:$BB$406,50,FALSE)+VLOOKUP($A206,'ПР 21-22'!$A$11:$BB$406,50,FALSE)-VLOOKUP($A206,'ПР 01-02.22'!$A$11:$BB$378,50,FALSE)</f>
        <v>0</v>
      </c>
      <c r="AY206" s="40"/>
      <c r="AZ206" s="40">
        <f t="shared" si="13"/>
        <v>19132.049706877398</v>
      </c>
      <c r="BA206" s="40">
        <f t="shared" si="13"/>
        <v>3731.3</v>
      </c>
      <c r="BB206" s="55">
        <f t="shared" si="16"/>
        <v>-15400.749706877399</v>
      </c>
      <c r="BD206" s="2">
        <v>2</v>
      </c>
      <c r="BF206" s="325">
        <v>150000765</v>
      </c>
    </row>
    <row r="207" spans="1:58" ht="24.9" customHeight="1" x14ac:dyDescent="0.3">
      <c r="A207" s="325">
        <v>150000683</v>
      </c>
      <c r="B207" s="445" t="s">
        <v>116</v>
      </c>
      <c r="C207" s="27">
        <v>1</v>
      </c>
      <c r="D207" s="101" t="s">
        <v>455</v>
      </c>
      <c r="E207" s="279">
        <f>'побудинковий звіт'!E205</f>
        <v>256.60000000000002</v>
      </c>
      <c r="F207" s="441">
        <f>'побудинковий звіт'!AS205</f>
        <v>0</v>
      </c>
      <c r="G207" s="441">
        <f t="shared" si="14"/>
        <v>0</v>
      </c>
      <c r="H207" s="73">
        <f t="shared" si="15"/>
        <v>0</v>
      </c>
      <c r="I207" s="5"/>
      <c r="J207" s="5"/>
      <c r="K207" s="450"/>
      <c r="L207" s="5"/>
      <c r="M207" s="5"/>
      <c r="N207" s="38"/>
      <c r="O207" s="5"/>
      <c r="P207" s="5"/>
      <c r="Q207" s="443"/>
      <c r="R207" s="5"/>
      <c r="S207" s="5"/>
      <c r="T207" s="444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40"/>
      <c r="AH207" s="5"/>
      <c r="AI207" s="5"/>
      <c r="AJ207" s="40"/>
      <c r="AK207" s="5"/>
      <c r="AL207" s="5"/>
      <c r="AM207" s="40"/>
      <c r="AN207" s="5"/>
      <c r="AO207" s="5"/>
      <c r="AP207" s="40"/>
      <c r="AQ207" s="5"/>
      <c r="AR207" s="5"/>
      <c r="AS207" s="40"/>
      <c r="AT207" s="5"/>
      <c r="AU207" s="5"/>
      <c r="AV207" s="40"/>
      <c r="AW207" s="5"/>
      <c r="AX207" s="5"/>
      <c r="AY207" s="40"/>
      <c r="AZ207" s="40">
        <f t="shared" si="13"/>
        <v>0</v>
      </c>
      <c r="BA207" s="40">
        <f t="shared" si="13"/>
        <v>0</v>
      </c>
      <c r="BB207" s="55">
        <f t="shared" si="16"/>
        <v>0</v>
      </c>
      <c r="BD207" s="2">
        <v>3</v>
      </c>
      <c r="BF207" s="325">
        <v>150000683</v>
      </c>
    </row>
    <row r="208" spans="1:58" ht="24.9" customHeight="1" x14ac:dyDescent="0.3">
      <c r="A208" s="325">
        <v>150000696</v>
      </c>
      <c r="B208" s="445" t="s">
        <v>371</v>
      </c>
      <c r="C208" s="27">
        <v>9</v>
      </c>
      <c r="D208" s="101" t="s">
        <v>455</v>
      </c>
      <c r="E208" s="279">
        <f>'побудинковий звіт'!E206</f>
        <v>6306.37</v>
      </c>
      <c r="F208" s="441">
        <f>'побудинковий звіт'!AS206</f>
        <v>83892.85619067165</v>
      </c>
      <c r="G208" s="441">
        <f t="shared" si="14"/>
        <v>125721.25440088908</v>
      </c>
      <c r="H208" s="73">
        <f t="shared" si="15"/>
        <v>41828.398210217434</v>
      </c>
      <c r="I208" s="5">
        <f>VLOOKUP($A208,'ПР 01-02.21'!$A$11:$BB$406,9,FALSE)+VLOOKUP($A208,'ПР 21-22'!$A$11:$BB$406,9,FALSE)-VLOOKUP($A208,'ПР 01-02.22'!$A$11:$BB$378,9,FALSE)</f>
        <v>369.65</v>
      </c>
      <c r="J208" s="5">
        <f>VLOOKUP($A208,'ПР 01-02.21'!$A$11:$BB$406,10,FALSE)+VLOOKUP($A208,'ПР 21-22'!$A$11:$BB$406,10,FALSE)-VLOOKUP($A208,'ПР 01-02.22'!$A$11:$BB$378,10,FALSE)</f>
        <v>103219.13</v>
      </c>
      <c r="K208" s="446"/>
      <c r="L208" s="5">
        <f>VLOOKUP($A208,'ПР 01-02.21'!$A$11:$BB$406,12,FALSE)+VLOOKUP($A208,'ПР 21-22'!$A$11:$BB$406,12,FALSE)-VLOOKUP($A208,'ПР 01-02.22'!$A$11:$BB$378,12,FALSE)</f>
        <v>0</v>
      </c>
      <c r="M208" s="5">
        <f>VLOOKUP($A208,'ПР 01-02.21'!$A$11:$BB$406,13,FALSE)+VLOOKUP($A208,'ПР 21-22'!$A$11:$BB$406,13,FALSE)-VLOOKUP($A208,'ПР 01-02.22'!$A$11:$BB$378,13,FALSE)</f>
        <v>196</v>
      </c>
      <c r="N208" s="38"/>
      <c r="O208" s="5">
        <f>VLOOKUP($A208,'ПР 01-02.21'!$A$11:$BB$406,15,FALSE)+VLOOKUP($A208,'ПР 21-22'!$A$11:$BB$406,15,FALSE)-VLOOKUP($A208,'ПР 01-02.22'!$A$11:$BB$378,15,FALSE)</f>
        <v>5.4</v>
      </c>
      <c r="P208" s="5">
        <f>VLOOKUP($A208,'ПР 01-02.21'!$A$11:$BB$406,16,FALSE)+VLOOKUP($A208,'ПР 21-22'!$A$11:$BB$406,16,FALSE)-VLOOKUP($A208,'ПР 01-02.22'!$A$11:$BB$378,16,FALSE)</f>
        <v>1485</v>
      </c>
      <c r="Q208" s="443"/>
      <c r="R208" s="5">
        <f>VLOOKUP($A208,'ПР 01-02.21'!$A$11:$BB$406,18,FALSE)+VLOOKUP($A208,'ПР 21-22'!$A$11:$BB$406,18,FALSE)-VLOOKUP($A208,'ПР 01-02.22'!$A$11:$BB$378,18,FALSE)</f>
        <v>2</v>
      </c>
      <c r="S208" s="5">
        <f>VLOOKUP($A208,'ПР 01-02.21'!$A$11:$BB$406,19,FALSE)+VLOOKUP($A208,'ПР 21-22'!$A$11:$BB$406,19,FALSE)-VLOOKUP($A208,'ПР 01-02.22'!$A$11:$BB$378,19,FALSE)</f>
        <v>8731.02</v>
      </c>
      <c r="T208" s="444"/>
      <c r="U208" s="5">
        <f>VLOOKUP($A208,'ПР 01-02.21'!$A$11:$BB$406,21,FALSE)+VLOOKUP($A208,'ПР 21-22'!$A$11:$BB$406,21,FALSE)-VLOOKUP($A208,'ПР 01-02.22'!$A$11:$BB$378,21,FALSE)</f>
        <v>0</v>
      </c>
      <c r="V208" s="5"/>
      <c r="W208" s="5">
        <f>VLOOKUP($A208,'ПР 01-02.21'!$A$11:$BB$406,23,FALSE)+VLOOKUP($A208,'ПР 21-22'!$A$11:$BB$406,23,FALSE)-VLOOKUP($A208,'ПР 01-02.22'!$A$11:$BB$378,23,FALSE)</f>
        <v>0</v>
      </c>
      <c r="X208" s="5">
        <f>VLOOKUP($A208,'ПР 01-02.21'!$A$11:$BB$406,24,FALSE)+VLOOKUP($A208,'ПР 21-22'!$A$11:$BB$406,24,FALSE)-VLOOKUP($A208,'ПР 01-02.22'!$A$11:$BB$378,24,FALSE)</f>
        <v>64.264400889067872</v>
      </c>
      <c r="Y208" s="5">
        <f>VLOOKUP($A208,'ПР 01-02.21'!$A$11:$BB$406,25,FALSE)+VLOOKUP($A208,'ПР 21-22'!$A$11:$BB$406,25,FALSE)-VLOOKUP($A208,'ПР 01-02.22'!$A$11:$BB$378,25,FALSE)</f>
        <v>8792.5400000000009</v>
      </c>
      <c r="Z208" s="5"/>
      <c r="AA208" s="5">
        <f>VLOOKUP($A208,'ПР 01-02.21'!$A$11:$BB$406,27,FALSE)+VLOOKUP($A208,'ПР 21-22'!$A$11:$BB$406,27,FALSE)-VLOOKUP($A208,'ПР 01-02.22'!$A$11:$BB$378,27,FALSE)</f>
        <v>0</v>
      </c>
      <c r="AB208" s="5">
        <f>VLOOKUP($A208,'ПР 01-02.21'!$A$11:$BB$406,28,FALSE)+VLOOKUP($A208,'ПР 21-22'!$A$11:$BB$406,28,FALSE)-VLOOKUP($A208,'ПР 01-02.22'!$A$11:$BB$378,28,FALSE)</f>
        <v>0</v>
      </c>
      <c r="AC208" s="5">
        <f>VLOOKUP($A208,'ПР 01-02.21'!$A$11:$BB$406,29,FALSE)+VLOOKUP($A208,'ПР 21-22'!$A$11:$BB$406,29,FALSE)-VLOOKUP($A208,'ПР 01-02.22'!$A$11:$BB$378,29,FALSE)</f>
        <v>1954</v>
      </c>
      <c r="AD208" s="5">
        <f>VLOOKUP($A208,'ПР 01-02.21'!$A$11:$BB$406,30,FALSE)+VLOOKUP($A208,'ПР 21-22'!$A$11:$BB$406,30,FALSE)-VLOOKUP($A208,'ПР 01-02.22'!$A$11:$BB$378,30,FALSE)</f>
        <v>1279.3000000000002</v>
      </c>
      <c r="AE208" s="5">
        <f>VLOOKUP($A208,'ПР 01-02.21'!$A$11:$BB$406,31,FALSE)+VLOOKUP($A208,'ПР 21-22'!$A$11:$BB$406,31,FALSE)-VLOOKUP($A208,'ПР 01-02.22'!$A$11:$BB$378,31,FALSE)</f>
        <v>5017.5697347549949</v>
      </c>
      <c r="AF208" s="5">
        <f>VLOOKUP($A208,'ПР 01-02.21'!$A$11:$BB$406,32,FALSE)+VLOOKUP($A208,'ПР 21-22'!$A$11:$BB$406,32,FALSE)-VLOOKUP($A208,'ПР 01-02.22'!$A$11:$BB$378,32,FALSE)</f>
        <v>0</v>
      </c>
      <c r="AG208" s="40"/>
      <c r="AH208" s="5">
        <f>VLOOKUP($A208,'ПР 01-02.21'!$A$11:$BB$406,34,FALSE)+VLOOKUP($A208,'ПР 21-22'!$A$11:$BB$406,34,FALSE)-VLOOKUP($A208,'ПР 01-02.22'!$A$11:$BB$378,34,FALSE)</f>
        <v>6073.4069891577201</v>
      </c>
      <c r="AI208" s="5">
        <f>VLOOKUP($A208,'ПР 01-02.21'!$A$11:$BB$406,35,FALSE)+VLOOKUP($A208,'ПР 21-22'!$A$11:$BB$406,35,FALSE)-VLOOKUP($A208,'ПР 01-02.22'!$A$11:$BB$378,35,FALSE)</f>
        <v>2020</v>
      </c>
      <c r="AJ208" s="40"/>
      <c r="AK208" s="5">
        <f>VLOOKUP($A208,'ПР 01-02.21'!$A$11:$BB$406,37,FALSE)+VLOOKUP($A208,'ПР 21-22'!$A$11:$BB$406,37,FALSE)-VLOOKUP($A208,'ПР 01-02.22'!$A$11:$BB$378,37,FALSE)</f>
        <v>3285.5350582933197</v>
      </c>
      <c r="AL208" s="5">
        <f>VLOOKUP($A208,'ПР 01-02.21'!$A$11:$BB$406,38,FALSE)+VLOOKUP($A208,'ПР 21-22'!$A$11:$BB$406,38,FALSE)-VLOOKUP($A208,'ПР 01-02.22'!$A$11:$BB$378,38,FALSE)</f>
        <v>3254</v>
      </c>
      <c r="AM208" s="40"/>
      <c r="AN208" s="5">
        <f>VLOOKUP($A208,'ПР 01-02.21'!$A$11:$BB$406,40,FALSE)+VLOOKUP($A208,'ПР 21-22'!$A$11:$BB$406,40,FALSE)-VLOOKUP($A208,'ПР 01-02.22'!$A$11:$BB$378,40,FALSE)</f>
        <v>4163.579178029725</v>
      </c>
      <c r="AO208" s="5">
        <f>VLOOKUP($A208,'ПР 01-02.21'!$A$11:$BB$406,41,FALSE)+VLOOKUP($A208,'ПР 21-22'!$A$11:$BB$406,41,FALSE)-VLOOKUP($A208,'ПР 01-02.22'!$A$11:$BB$378,41,FALSE)</f>
        <v>0</v>
      </c>
      <c r="AP208" s="40"/>
      <c r="AQ208" s="5">
        <f>VLOOKUP($A208,'ПР 01-02.21'!$A$11:$BB$406,43,FALSE)+VLOOKUP($A208,'ПР 21-22'!$A$11:$BB$406,43,FALSE)-VLOOKUP($A208,'ПР 01-02.22'!$A$11:$BB$378,43,FALSE)</f>
        <v>1913.1150136490437</v>
      </c>
      <c r="AR208" s="5">
        <f>VLOOKUP($A208,'ПР 01-02.21'!$A$11:$BB$406,44,FALSE)+VLOOKUP($A208,'ПР 21-22'!$A$11:$BB$406,44,FALSE)-VLOOKUP($A208,'ПР 01-02.22'!$A$11:$BB$378,44,FALSE)</f>
        <v>0</v>
      </c>
      <c r="AS208" s="40"/>
      <c r="AT208" s="5">
        <f>VLOOKUP($A208,'ПР 01-02.21'!$A$11:$BB$406,46,FALSE)+VLOOKUP($A208,'ПР 21-22'!$A$11:$BB$406,46,FALSE)-VLOOKUP($A208,'ПР 01-02.22'!$A$11:$BB$378,46,FALSE)</f>
        <v>3735.522968665226</v>
      </c>
      <c r="AU208" s="5">
        <f>VLOOKUP($A208,'ПР 01-02.21'!$A$11:$BB$406,47,FALSE)+VLOOKUP($A208,'ПР 21-22'!$A$11:$BB$406,47,FALSE)-VLOOKUP($A208,'ПР 01-02.22'!$A$11:$BB$378,47,FALSE)</f>
        <v>0</v>
      </c>
      <c r="AV208" s="40"/>
      <c r="AW208" s="5">
        <f>VLOOKUP($A208,'ПР 01-02.21'!$A$11:$BB$406,49,FALSE)+VLOOKUP($A208,'ПР 21-22'!$A$11:$BB$406,49,FALSE)-VLOOKUP($A208,'ПР 01-02.22'!$A$11:$BB$378,49,FALSE)</f>
        <v>315.15800000000002</v>
      </c>
      <c r="AX208" s="5">
        <f>VLOOKUP($A208,'ПР 01-02.21'!$A$11:$BB$406,50,FALSE)+VLOOKUP($A208,'ПР 21-22'!$A$11:$BB$406,50,FALSE)-VLOOKUP($A208,'ПР 01-02.22'!$A$11:$BB$378,50,FALSE)</f>
        <v>0</v>
      </c>
      <c r="AY208" s="40"/>
      <c r="AZ208" s="40">
        <f t="shared" si="13"/>
        <v>24503.886942550031</v>
      </c>
      <c r="BA208" s="40">
        <f t="shared" si="13"/>
        <v>5274</v>
      </c>
      <c r="BB208" s="55">
        <f t="shared" si="16"/>
        <v>-19229.886942550031</v>
      </c>
      <c r="BD208" s="2">
        <v>3</v>
      </c>
      <c r="BF208" s="325">
        <v>150000696</v>
      </c>
    </row>
    <row r="209" spans="1:58" ht="24.9" customHeight="1" x14ac:dyDescent="0.3">
      <c r="A209" s="325">
        <v>150000697</v>
      </c>
      <c r="B209" s="445" t="s">
        <v>266</v>
      </c>
      <c r="C209" s="27">
        <v>5</v>
      </c>
      <c r="D209" s="101" t="s">
        <v>455</v>
      </c>
      <c r="E209" s="279">
        <f>'побудинковий звіт'!E207</f>
        <v>2744.3</v>
      </c>
      <c r="F209" s="441">
        <f>'побудинковий звіт'!AS207</f>
        <v>41602.076336544844</v>
      </c>
      <c r="G209" s="441">
        <f t="shared" si="14"/>
        <v>9070</v>
      </c>
      <c r="H209" s="73">
        <f t="shared" si="15"/>
        <v>-32532.076336544844</v>
      </c>
      <c r="I209" s="5">
        <f>VLOOKUP($A209,'ПР 01-02.21'!$A$11:$BB$406,9,FALSE)+VLOOKUP($A209,'ПР 21-22'!$A$11:$BB$406,9,FALSE)-VLOOKUP($A209,'ПР 01-02.22'!$A$11:$BB$378,9,FALSE)</f>
        <v>26</v>
      </c>
      <c r="J209" s="5">
        <f>VLOOKUP($A209,'ПР 01-02.21'!$A$11:$BB$406,10,FALSE)+VLOOKUP($A209,'ПР 21-22'!$A$11:$BB$406,10,FALSE)-VLOOKUP($A209,'ПР 01-02.22'!$A$11:$BB$378,10,FALSE)</f>
        <v>4776</v>
      </c>
      <c r="K209" s="446"/>
      <c r="L209" s="5">
        <f>VLOOKUP($A209,'ПР 01-02.21'!$A$11:$BB$406,12,FALSE)+VLOOKUP($A209,'ПР 21-22'!$A$11:$BB$406,12,FALSE)-VLOOKUP($A209,'ПР 01-02.22'!$A$11:$BB$378,12,FALSE)</f>
        <v>0</v>
      </c>
      <c r="M209" s="5">
        <f>VLOOKUP($A209,'ПР 01-02.21'!$A$11:$BB$406,13,FALSE)+VLOOKUP($A209,'ПР 21-22'!$A$11:$BB$406,13,FALSE)-VLOOKUP($A209,'ПР 01-02.22'!$A$11:$BB$378,13,FALSE)</f>
        <v>0</v>
      </c>
      <c r="N209" s="38"/>
      <c r="O209" s="5">
        <f>VLOOKUP($A209,'ПР 01-02.21'!$A$11:$BB$406,15,FALSE)+VLOOKUP($A209,'ПР 21-22'!$A$11:$BB$406,15,FALSE)-VLOOKUP($A209,'ПР 01-02.22'!$A$11:$BB$378,15,FALSE)</f>
        <v>0</v>
      </c>
      <c r="P209" s="5">
        <f>VLOOKUP($A209,'ПР 01-02.21'!$A$11:$BB$406,16,FALSE)+VLOOKUP($A209,'ПР 21-22'!$A$11:$BB$406,16,FALSE)-VLOOKUP($A209,'ПР 01-02.22'!$A$11:$BB$378,16,FALSE)</f>
        <v>0</v>
      </c>
      <c r="Q209" s="443"/>
      <c r="R209" s="5">
        <f>VLOOKUP($A209,'ПР 01-02.21'!$A$11:$BB$406,18,FALSE)+VLOOKUP($A209,'ПР 21-22'!$A$11:$BB$406,18,FALSE)-VLOOKUP($A209,'ПР 01-02.22'!$A$11:$BB$378,18,FALSE)</f>
        <v>0</v>
      </c>
      <c r="S209" s="5">
        <f>VLOOKUP($A209,'ПР 01-02.21'!$A$11:$BB$406,19,FALSE)+VLOOKUP($A209,'ПР 21-22'!$A$11:$BB$406,19,FALSE)-VLOOKUP($A209,'ПР 01-02.22'!$A$11:$BB$378,19,FALSE)</f>
        <v>0</v>
      </c>
      <c r="T209" s="444"/>
      <c r="U209" s="5">
        <f>VLOOKUP($A209,'ПР 01-02.21'!$A$11:$BB$406,21,FALSE)+VLOOKUP($A209,'ПР 21-22'!$A$11:$BB$406,21,FALSE)-VLOOKUP($A209,'ПР 01-02.22'!$A$11:$BB$378,21,FALSE)</f>
        <v>0</v>
      </c>
      <c r="V209" s="5"/>
      <c r="W209" s="5">
        <f>VLOOKUP($A209,'ПР 01-02.21'!$A$11:$BB$406,23,FALSE)+VLOOKUP($A209,'ПР 21-22'!$A$11:$BB$406,23,FALSE)-VLOOKUP($A209,'ПР 01-02.22'!$A$11:$BB$378,23,FALSE)</f>
        <v>3</v>
      </c>
      <c r="X209" s="5">
        <f>VLOOKUP($A209,'ПР 01-02.21'!$A$11:$BB$406,24,FALSE)+VLOOKUP($A209,'ПР 21-22'!$A$11:$BB$406,24,FALSE)-VLOOKUP($A209,'ПР 01-02.22'!$A$11:$BB$378,24,FALSE)</f>
        <v>733</v>
      </c>
      <c r="Y209" s="5">
        <f>VLOOKUP($A209,'ПР 01-02.21'!$A$11:$BB$406,25,FALSE)+VLOOKUP($A209,'ПР 21-22'!$A$11:$BB$406,25,FALSE)-VLOOKUP($A209,'ПР 01-02.22'!$A$11:$BB$378,25,FALSE)</f>
        <v>0</v>
      </c>
      <c r="Z209" s="5"/>
      <c r="AA209" s="5">
        <f>VLOOKUP($A209,'ПР 01-02.21'!$A$11:$BB$406,27,FALSE)+VLOOKUP($A209,'ПР 21-22'!$A$11:$BB$406,27,FALSE)-VLOOKUP($A209,'ПР 01-02.22'!$A$11:$BB$378,27,FALSE)</f>
        <v>0</v>
      </c>
      <c r="AB209" s="5">
        <f>VLOOKUP($A209,'ПР 01-02.21'!$A$11:$BB$406,28,FALSE)+VLOOKUP($A209,'ПР 21-22'!$A$11:$BB$406,28,FALSE)-VLOOKUP($A209,'ПР 01-02.22'!$A$11:$BB$378,28,FALSE)</f>
        <v>0</v>
      </c>
      <c r="AC209" s="5">
        <f>VLOOKUP($A209,'ПР 01-02.21'!$A$11:$BB$406,29,FALSE)+VLOOKUP($A209,'ПР 21-22'!$A$11:$BB$406,29,FALSE)-VLOOKUP($A209,'ПР 01-02.22'!$A$11:$BB$378,29,FALSE)</f>
        <v>206</v>
      </c>
      <c r="AD209" s="5">
        <f>VLOOKUP($A209,'ПР 01-02.21'!$A$11:$BB$406,30,FALSE)+VLOOKUP($A209,'ПР 21-22'!$A$11:$BB$406,30,FALSE)-VLOOKUP($A209,'ПР 01-02.22'!$A$11:$BB$378,30,FALSE)</f>
        <v>3355</v>
      </c>
      <c r="AE209" s="5">
        <f>VLOOKUP($A209,'ПР 01-02.21'!$A$11:$BB$406,31,FALSE)+VLOOKUP($A209,'ПР 21-22'!$A$11:$BB$406,31,FALSE)-VLOOKUP($A209,'ПР 01-02.22'!$A$11:$BB$378,31,FALSE)</f>
        <v>2802.88679351478</v>
      </c>
      <c r="AF209" s="5">
        <f>VLOOKUP($A209,'ПР 01-02.21'!$A$11:$BB$406,32,FALSE)+VLOOKUP($A209,'ПР 21-22'!$A$11:$BB$406,32,FALSE)-VLOOKUP($A209,'ПР 01-02.22'!$A$11:$BB$378,32,FALSE)</f>
        <v>0</v>
      </c>
      <c r="AG209" s="40"/>
      <c r="AH209" s="5">
        <f>VLOOKUP($A209,'ПР 01-02.21'!$A$11:$BB$406,34,FALSE)+VLOOKUP($A209,'ПР 21-22'!$A$11:$BB$406,34,FALSE)-VLOOKUP($A209,'ПР 01-02.22'!$A$11:$BB$378,34,FALSE)</f>
        <v>4874.7947231373</v>
      </c>
      <c r="AI209" s="5">
        <f>VLOOKUP($A209,'ПР 01-02.21'!$A$11:$BB$406,35,FALSE)+VLOOKUP($A209,'ПР 21-22'!$A$11:$BB$406,35,FALSE)-VLOOKUP($A209,'ПР 01-02.22'!$A$11:$BB$378,35,FALSE)</f>
        <v>0</v>
      </c>
      <c r="AJ209" s="40"/>
      <c r="AK209" s="5">
        <f>VLOOKUP($A209,'ПР 01-02.21'!$A$11:$BB$406,37,FALSE)+VLOOKUP($A209,'ПР 21-22'!$A$11:$BB$406,37,FALSE)-VLOOKUP($A209,'ПР 01-02.22'!$A$11:$BB$378,37,FALSE)</f>
        <v>1276.5183661684914</v>
      </c>
      <c r="AL209" s="5">
        <f>VLOOKUP($A209,'ПР 01-02.21'!$A$11:$BB$406,38,FALSE)+VLOOKUP($A209,'ПР 21-22'!$A$11:$BB$406,38,FALSE)-VLOOKUP($A209,'ПР 01-02.22'!$A$11:$BB$378,38,FALSE)</f>
        <v>0</v>
      </c>
      <c r="AM209" s="40"/>
      <c r="AN209" s="5">
        <f>VLOOKUP($A209,'ПР 01-02.21'!$A$11:$BB$406,40,FALSE)+VLOOKUP($A209,'ПР 21-22'!$A$11:$BB$406,40,FALSE)-VLOOKUP($A209,'ПР 01-02.22'!$A$11:$BB$378,40,FALSE)</f>
        <v>2050.5533238463959</v>
      </c>
      <c r="AO209" s="5">
        <f>VLOOKUP($A209,'ПР 01-02.21'!$A$11:$BB$406,41,FALSE)+VLOOKUP($A209,'ПР 21-22'!$A$11:$BB$406,41,FALSE)-VLOOKUP($A209,'ПР 01-02.22'!$A$11:$BB$378,41,FALSE)</f>
        <v>0</v>
      </c>
      <c r="AP209" s="40"/>
      <c r="AQ209" s="5">
        <f>VLOOKUP($A209,'ПР 01-02.21'!$A$11:$BB$406,43,FALSE)+VLOOKUP($A209,'ПР 21-22'!$A$11:$BB$406,43,FALSE)-VLOOKUP($A209,'ПР 01-02.22'!$A$11:$BB$378,43,FALSE)</f>
        <v>1369.6639710151376</v>
      </c>
      <c r="AR209" s="5">
        <f>VLOOKUP($A209,'ПР 01-02.21'!$A$11:$BB$406,44,FALSE)+VLOOKUP($A209,'ПР 21-22'!$A$11:$BB$406,44,FALSE)-VLOOKUP($A209,'ПР 01-02.22'!$A$11:$BB$378,44,FALSE)</f>
        <v>0</v>
      </c>
      <c r="AS209" s="40"/>
      <c r="AT209" s="5">
        <f>VLOOKUP($A209,'ПР 01-02.21'!$A$11:$BB$406,46,FALSE)+VLOOKUP($A209,'ПР 21-22'!$A$11:$BB$406,46,FALSE)-VLOOKUP($A209,'ПР 01-02.22'!$A$11:$BB$378,46,FALSE)</f>
        <v>1959.6787770895583</v>
      </c>
      <c r="AU209" s="5">
        <f>VLOOKUP($A209,'ПР 01-02.21'!$A$11:$BB$406,47,FALSE)+VLOOKUP($A209,'ПР 21-22'!$A$11:$BB$406,47,FALSE)-VLOOKUP($A209,'ПР 01-02.22'!$A$11:$BB$378,47,FALSE)</f>
        <v>0</v>
      </c>
      <c r="AV209" s="40"/>
      <c r="AW209" s="5">
        <f>VLOOKUP($A209,'ПР 01-02.21'!$A$11:$BB$406,49,FALSE)+VLOOKUP($A209,'ПР 21-22'!$A$11:$BB$406,49,FALSE)-VLOOKUP($A209,'ПР 01-02.22'!$A$11:$BB$378,49,FALSE)</f>
        <v>136.77600000000001</v>
      </c>
      <c r="AX209" s="5">
        <f>VLOOKUP($A209,'ПР 01-02.21'!$A$11:$BB$406,50,FALSE)+VLOOKUP($A209,'ПР 21-22'!$A$11:$BB$406,50,FALSE)-VLOOKUP($A209,'ПР 01-02.22'!$A$11:$BB$378,50,FALSE)</f>
        <v>0</v>
      </c>
      <c r="AY209" s="40"/>
      <c r="AZ209" s="40">
        <f t="shared" si="13"/>
        <v>14470.871954771665</v>
      </c>
      <c r="BA209" s="40">
        <f t="shared" si="13"/>
        <v>0</v>
      </c>
      <c r="BB209" s="55">
        <f t="shared" si="16"/>
        <v>-14470.871954771665</v>
      </c>
      <c r="BD209" s="2">
        <v>3</v>
      </c>
      <c r="BF209" s="325">
        <v>150000697</v>
      </c>
    </row>
    <row r="210" spans="1:58" ht="24.9" customHeight="1" x14ac:dyDescent="0.3">
      <c r="A210" s="325">
        <v>150000694</v>
      </c>
      <c r="B210" s="445" t="s">
        <v>372</v>
      </c>
      <c r="C210" s="27">
        <v>9</v>
      </c>
      <c r="D210" s="101" t="s">
        <v>455</v>
      </c>
      <c r="E210" s="279">
        <f>'побудинковий звіт'!E208</f>
        <v>6138.38</v>
      </c>
      <c r="F210" s="441">
        <f>'побудинковий звіт'!AS208</f>
        <v>78729.5969158425</v>
      </c>
      <c r="G210" s="441">
        <f t="shared" si="14"/>
        <v>268735.56739679305</v>
      </c>
      <c r="H210" s="73">
        <f t="shared" si="15"/>
        <v>190005.97048095055</v>
      </c>
      <c r="I210" s="5">
        <f>VLOOKUP($A210,'ПР 01-02.21'!$A$11:$BB$406,9,FALSE)+VLOOKUP($A210,'ПР 21-22'!$A$11:$BB$406,9,FALSE)-VLOOKUP($A210,'ПР 01-02.22'!$A$11:$BB$378,9,FALSE)</f>
        <v>366.6</v>
      </c>
      <c r="J210" s="5">
        <f>VLOOKUP($A210,'ПР 01-02.21'!$A$11:$BB$406,10,FALSE)+VLOOKUP($A210,'ПР 21-22'!$A$11:$BB$406,10,FALSE)-VLOOKUP($A210,'ПР 01-02.22'!$A$11:$BB$378,10,FALSE)</f>
        <v>95758</v>
      </c>
      <c r="K210" s="446"/>
      <c r="L210" s="5">
        <f>VLOOKUP($A210,'ПР 01-02.21'!$A$11:$BB$406,12,FALSE)+VLOOKUP($A210,'ПР 21-22'!$A$11:$BB$406,12,FALSE)-VLOOKUP($A210,'ПР 01-02.22'!$A$11:$BB$378,12,FALSE)</f>
        <v>1</v>
      </c>
      <c r="M210" s="5">
        <f>VLOOKUP($A210,'ПР 01-02.21'!$A$11:$BB$406,13,FALSE)+VLOOKUP($A210,'ПР 21-22'!$A$11:$BB$406,13,FALSE)-VLOOKUP($A210,'ПР 01-02.22'!$A$11:$BB$378,13,FALSE)</f>
        <v>10024</v>
      </c>
      <c r="N210" s="38"/>
      <c r="O210" s="5">
        <f>VLOOKUP($A210,'ПР 01-02.21'!$A$11:$BB$406,15,FALSE)+VLOOKUP($A210,'ПР 21-22'!$A$11:$BB$406,15,FALSE)-VLOOKUP($A210,'ПР 01-02.22'!$A$11:$BB$378,15,FALSE)</f>
        <v>0</v>
      </c>
      <c r="P210" s="5">
        <f>VLOOKUP($A210,'ПР 01-02.21'!$A$11:$BB$406,16,FALSE)+VLOOKUP($A210,'ПР 21-22'!$A$11:$BB$406,16,FALSE)-VLOOKUP($A210,'ПР 01-02.22'!$A$11:$BB$378,16,FALSE)</f>
        <v>0</v>
      </c>
      <c r="Q210" s="443"/>
      <c r="R210" s="5">
        <f>VLOOKUP($A210,'ПР 01-02.21'!$A$11:$BB$406,18,FALSE)+VLOOKUP($A210,'ПР 21-22'!$A$11:$BB$406,18,FALSE)-VLOOKUP($A210,'ПР 01-02.22'!$A$11:$BB$378,18,FALSE)</f>
        <v>5</v>
      </c>
      <c r="S210" s="5">
        <f>VLOOKUP($A210,'ПР 01-02.21'!$A$11:$BB$406,19,FALSE)+VLOOKUP($A210,'ПР 21-22'!$A$11:$BB$406,19,FALSE)-VLOOKUP($A210,'ПР 01-02.22'!$A$11:$BB$378,19,FALSE)</f>
        <v>24734</v>
      </c>
      <c r="T210" s="444"/>
      <c r="U210" s="5">
        <f>VLOOKUP($A210,'ПР 01-02.21'!$A$11:$BB$406,21,FALSE)+VLOOKUP($A210,'ПР 21-22'!$A$11:$BB$406,21,FALSE)-VLOOKUP($A210,'ПР 01-02.22'!$A$11:$BB$378,21,FALSE)</f>
        <v>0</v>
      </c>
      <c r="V210" s="5"/>
      <c r="W210" s="5">
        <f>VLOOKUP($A210,'ПР 01-02.21'!$A$11:$BB$406,23,FALSE)+VLOOKUP($A210,'ПР 21-22'!$A$11:$BB$406,23,FALSE)-VLOOKUP($A210,'ПР 01-02.22'!$A$11:$BB$378,23,FALSE)</f>
        <v>1.5</v>
      </c>
      <c r="X210" s="5">
        <f>VLOOKUP($A210,'ПР 01-02.21'!$A$11:$BB$406,24,FALSE)+VLOOKUP($A210,'ПР 21-22'!$A$11:$BB$406,24,FALSE)-VLOOKUP($A210,'ПР 01-02.22'!$A$11:$BB$378,24,FALSE)</f>
        <v>1283.5673967930818</v>
      </c>
      <c r="Y210" s="5">
        <f>VLOOKUP($A210,'ПР 01-02.21'!$A$11:$BB$406,25,FALSE)+VLOOKUP($A210,'ПР 21-22'!$A$11:$BB$406,25,FALSE)-VLOOKUP($A210,'ПР 01-02.22'!$A$11:$BB$378,25,FALSE)</f>
        <v>130978</v>
      </c>
      <c r="Z210" s="5"/>
      <c r="AA210" s="5">
        <f>VLOOKUP($A210,'ПР 01-02.21'!$A$11:$BB$406,27,FALSE)+VLOOKUP($A210,'ПР 21-22'!$A$11:$BB$406,27,FALSE)-VLOOKUP($A210,'ПР 01-02.22'!$A$11:$BB$378,27,FALSE)</f>
        <v>0</v>
      </c>
      <c r="AB210" s="5">
        <f>VLOOKUP($A210,'ПР 01-02.21'!$A$11:$BB$406,28,FALSE)+VLOOKUP($A210,'ПР 21-22'!$A$11:$BB$406,28,FALSE)-VLOOKUP($A210,'ПР 01-02.22'!$A$11:$BB$378,28,FALSE)</f>
        <v>3473</v>
      </c>
      <c r="AC210" s="5">
        <f>VLOOKUP($A210,'ПР 01-02.21'!$A$11:$BB$406,29,FALSE)+VLOOKUP($A210,'ПР 21-22'!$A$11:$BB$406,29,FALSE)-VLOOKUP($A210,'ПР 01-02.22'!$A$11:$BB$378,29,FALSE)</f>
        <v>1438</v>
      </c>
      <c r="AD210" s="5">
        <f>VLOOKUP($A210,'ПР 01-02.21'!$A$11:$BB$406,30,FALSE)+VLOOKUP($A210,'ПР 21-22'!$A$11:$BB$406,30,FALSE)-VLOOKUP($A210,'ПР 01-02.22'!$A$11:$BB$378,30,FALSE)</f>
        <v>1047</v>
      </c>
      <c r="AE210" s="5">
        <f>VLOOKUP($A210,'ПР 01-02.21'!$A$11:$BB$406,31,FALSE)+VLOOKUP($A210,'ПР 21-22'!$A$11:$BB$406,31,FALSE)-VLOOKUP($A210,'ПР 01-02.22'!$A$11:$BB$378,31,FALSE)</f>
        <v>5013.9913966398344</v>
      </c>
      <c r="AF210" s="5">
        <f>VLOOKUP($A210,'ПР 01-02.21'!$A$11:$BB$406,32,FALSE)+VLOOKUP($A210,'ПР 21-22'!$A$11:$BB$406,32,FALSE)-VLOOKUP($A210,'ПР 01-02.22'!$A$11:$BB$378,32,FALSE)</f>
        <v>0</v>
      </c>
      <c r="AG210" s="40"/>
      <c r="AH210" s="5">
        <f>VLOOKUP($A210,'ПР 01-02.21'!$A$11:$BB$406,34,FALSE)+VLOOKUP($A210,'ПР 21-22'!$A$11:$BB$406,34,FALSE)-VLOOKUP($A210,'ПР 01-02.22'!$A$11:$BB$378,34,FALSE)</f>
        <v>6070.9597080162866</v>
      </c>
      <c r="AI210" s="5">
        <f>VLOOKUP($A210,'ПР 01-02.21'!$A$11:$BB$406,35,FALSE)+VLOOKUP($A210,'ПР 21-22'!$A$11:$BB$406,35,FALSE)-VLOOKUP($A210,'ПР 01-02.22'!$A$11:$BB$378,35,FALSE)</f>
        <v>6844.52</v>
      </c>
      <c r="AJ210" s="40"/>
      <c r="AK210" s="5">
        <f>VLOOKUP($A210,'ПР 01-02.21'!$A$11:$BB$406,37,FALSE)+VLOOKUP($A210,'ПР 21-22'!$A$11:$BB$406,37,FALSE)-VLOOKUP($A210,'ПР 01-02.22'!$A$11:$BB$378,37,FALSE)</f>
        <v>3186.6288955898854</v>
      </c>
      <c r="AL210" s="5">
        <f>VLOOKUP($A210,'ПР 01-02.21'!$A$11:$BB$406,38,FALSE)+VLOOKUP($A210,'ПР 21-22'!$A$11:$BB$406,38,FALSE)-VLOOKUP($A210,'ПР 01-02.22'!$A$11:$BB$378,38,FALSE)</f>
        <v>10518</v>
      </c>
      <c r="AM210" s="40"/>
      <c r="AN210" s="5">
        <f>VLOOKUP($A210,'ПР 01-02.21'!$A$11:$BB$406,40,FALSE)+VLOOKUP($A210,'ПР 21-22'!$A$11:$BB$406,40,FALSE)-VLOOKUP($A210,'ПР 01-02.22'!$A$11:$BB$378,40,FALSE)</f>
        <v>3997.4403748005307</v>
      </c>
      <c r="AO210" s="5">
        <f>VLOOKUP($A210,'ПР 01-02.21'!$A$11:$BB$406,41,FALSE)+VLOOKUP($A210,'ПР 21-22'!$A$11:$BB$406,41,FALSE)-VLOOKUP($A210,'ПР 01-02.22'!$A$11:$BB$378,41,FALSE)</f>
        <v>484</v>
      </c>
      <c r="AP210" s="40"/>
      <c r="AQ210" s="5">
        <f>VLOOKUP($A210,'ПР 01-02.21'!$A$11:$BB$406,43,FALSE)+VLOOKUP($A210,'ПР 21-22'!$A$11:$BB$406,43,FALSE)-VLOOKUP($A210,'ПР 01-02.22'!$A$11:$BB$378,43,FALSE)</f>
        <v>1913.1150136490437</v>
      </c>
      <c r="AR210" s="5">
        <f>VLOOKUP($A210,'ПР 01-02.21'!$A$11:$BB$406,44,FALSE)+VLOOKUP($A210,'ПР 21-22'!$A$11:$BB$406,44,FALSE)-VLOOKUP($A210,'ПР 01-02.22'!$A$11:$BB$378,44,FALSE)</f>
        <v>0</v>
      </c>
      <c r="AS210" s="40"/>
      <c r="AT210" s="5">
        <f>VLOOKUP($A210,'ПР 01-02.21'!$A$11:$BB$406,46,FALSE)+VLOOKUP($A210,'ПР 21-22'!$A$11:$BB$406,46,FALSE)-VLOOKUP($A210,'ПР 01-02.22'!$A$11:$BB$378,46,FALSE)</f>
        <v>3693.0308723730932</v>
      </c>
      <c r="AU210" s="5">
        <f>VLOOKUP($A210,'ПР 01-02.21'!$A$11:$BB$406,47,FALSE)+VLOOKUP($A210,'ПР 21-22'!$A$11:$BB$406,47,FALSE)-VLOOKUP($A210,'ПР 01-02.22'!$A$11:$BB$378,47,FALSE)</f>
        <v>4700</v>
      </c>
      <c r="AV210" s="40"/>
      <c r="AW210" s="5">
        <f>VLOOKUP($A210,'ПР 01-02.21'!$A$11:$BB$406,49,FALSE)+VLOOKUP($A210,'ПР 21-22'!$A$11:$BB$406,49,FALSE)-VLOOKUP($A210,'ПР 01-02.22'!$A$11:$BB$378,49,FALSE)</f>
        <v>306.53520000000003</v>
      </c>
      <c r="AX210" s="5">
        <f>VLOOKUP($A210,'ПР 01-02.21'!$A$11:$BB$406,50,FALSE)+VLOOKUP($A210,'ПР 21-22'!$A$11:$BB$406,50,FALSE)-VLOOKUP($A210,'ПР 01-02.22'!$A$11:$BB$378,50,FALSE)</f>
        <v>595</v>
      </c>
      <c r="AY210" s="40"/>
      <c r="AZ210" s="40">
        <f t="shared" si="13"/>
        <v>24181.701461068671</v>
      </c>
      <c r="BA210" s="40">
        <f t="shared" si="13"/>
        <v>23141.52</v>
      </c>
      <c r="BB210" s="55">
        <f t="shared" si="16"/>
        <v>-1040.1814610686706</v>
      </c>
      <c r="BD210" s="2">
        <v>3</v>
      </c>
      <c r="BF210" s="325">
        <v>150000694</v>
      </c>
    </row>
    <row r="211" spans="1:58" ht="24.9" customHeight="1" x14ac:dyDescent="0.3">
      <c r="A211" s="325">
        <v>150000695</v>
      </c>
      <c r="B211" s="445" t="s">
        <v>373</v>
      </c>
      <c r="C211" s="27">
        <v>9</v>
      </c>
      <c r="D211" s="101" t="s">
        <v>455</v>
      </c>
      <c r="E211" s="279">
        <f>'побудинковий звіт'!E209</f>
        <v>6304.12</v>
      </c>
      <c r="F211" s="441">
        <f>'побудинковий звіт'!AS209</f>
        <v>80350.568863980938</v>
      </c>
      <c r="G211" s="441">
        <f t="shared" si="14"/>
        <v>56044.372870739491</v>
      </c>
      <c r="H211" s="73">
        <f t="shared" si="15"/>
        <v>-24306.195993241447</v>
      </c>
      <c r="I211" s="5">
        <f>VLOOKUP($A211,'ПР 01-02.21'!$A$11:$BB$406,9,FALSE)+VLOOKUP($A211,'ПР 21-22'!$A$11:$BB$406,9,FALSE)-VLOOKUP($A211,'ПР 01-02.22'!$A$11:$BB$378,9,FALSE)</f>
        <v>128</v>
      </c>
      <c r="J211" s="5">
        <f>VLOOKUP($A211,'ПР 01-02.21'!$A$11:$BB$406,10,FALSE)+VLOOKUP($A211,'ПР 21-22'!$A$11:$BB$406,10,FALSE)-VLOOKUP($A211,'ПР 01-02.22'!$A$11:$BB$378,10,FALSE)</f>
        <v>27249</v>
      </c>
      <c r="K211" s="446"/>
      <c r="L211" s="5">
        <f>VLOOKUP($A211,'ПР 01-02.21'!$A$11:$BB$406,12,FALSE)+VLOOKUP($A211,'ПР 21-22'!$A$11:$BB$406,12,FALSE)-VLOOKUP($A211,'ПР 01-02.22'!$A$11:$BB$378,12,FALSE)</f>
        <v>0</v>
      </c>
      <c r="M211" s="5">
        <f>VLOOKUP($A211,'ПР 01-02.21'!$A$11:$BB$406,13,FALSE)+VLOOKUP($A211,'ПР 21-22'!$A$11:$BB$406,13,FALSE)-VLOOKUP($A211,'ПР 01-02.22'!$A$11:$BB$378,13,FALSE)</f>
        <v>146</v>
      </c>
      <c r="N211" s="38"/>
      <c r="O211" s="5">
        <f>VLOOKUP($A211,'ПР 01-02.21'!$A$11:$BB$406,15,FALSE)+VLOOKUP($A211,'ПР 21-22'!$A$11:$BB$406,15,FALSE)-VLOOKUP($A211,'ПР 01-02.22'!$A$11:$BB$378,15,FALSE)</f>
        <v>0</v>
      </c>
      <c r="P211" s="5">
        <f>VLOOKUP($A211,'ПР 01-02.21'!$A$11:$BB$406,16,FALSE)+VLOOKUP($A211,'ПР 21-22'!$A$11:$BB$406,16,FALSE)-VLOOKUP($A211,'ПР 01-02.22'!$A$11:$BB$378,16,FALSE)</f>
        <v>0</v>
      </c>
      <c r="Q211" s="443"/>
      <c r="R211" s="5">
        <f>VLOOKUP($A211,'ПР 01-02.21'!$A$11:$BB$406,18,FALSE)+VLOOKUP($A211,'ПР 21-22'!$A$11:$BB$406,18,FALSE)-VLOOKUP($A211,'ПР 01-02.22'!$A$11:$BB$378,18,FALSE)</f>
        <v>3</v>
      </c>
      <c r="S211" s="5">
        <f>VLOOKUP($A211,'ПР 01-02.21'!$A$11:$BB$406,19,FALSE)+VLOOKUP($A211,'ПР 21-22'!$A$11:$BB$406,19,FALSE)-VLOOKUP($A211,'ПР 01-02.22'!$A$11:$BB$378,19,FALSE)</f>
        <v>8110.02</v>
      </c>
      <c r="T211" s="444"/>
      <c r="U211" s="5">
        <f>VLOOKUP($A211,'ПР 01-02.21'!$A$11:$BB$406,21,FALSE)+VLOOKUP($A211,'ПР 21-22'!$A$11:$BB$406,21,FALSE)-VLOOKUP($A211,'ПР 01-02.22'!$A$11:$BB$378,21,FALSE)</f>
        <v>0</v>
      </c>
      <c r="V211" s="5"/>
      <c r="W211" s="5">
        <f>VLOOKUP($A211,'ПР 01-02.21'!$A$11:$BB$406,23,FALSE)+VLOOKUP($A211,'ПР 21-22'!$A$11:$BB$406,23,FALSE)-VLOOKUP($A211,'ПР 01-02.22'!$A$11:$BB$378,23,FALSE)</f>
        <v>10</v>
      </c>
      <c r="X211" s="5">
        <f>VLOOKUP($A211,'ПР 01-02.21'!$A$11:$BB$406,24,FALSE)+VLOOKUP($A211,'ПР 21-22'!$A$11:$BB$406,24,FALSE)-VLOOKUP($A211,'ПР 01-02.22'!$A$11:$BB$378,24,FALSE)</f>
        <v>2818.5228707394849</v>
      </c>
      <c r="Y211" s="5">
        <f>VLOOKUP($A211,'ПР 01-02.21'!$A$11:$BB$406,25,FALSE)+VLOOKUP($A211,'ПР 21-22'!$A$11:$BB$406,25,FALSE)-VLOOKUP($A211,'ПР 01-02.22'!$A$11:$BB$378,25,FALSE)</f>
        <v>2810</v>
      </c>
      <c r="Z211" s="5"/>
      <c r="AA211" s="5">
        <f>VLOOKUP($A211,'ПР 01-02.21'!$A$11:$BB$406,27,FALSE)+VLOOKUP($A211,'ПР 21-22'!$A$11:$BB$406,27,FALSE)-VLOOKUP($A211,'ПР 01-02.22'!$A$11:$BB$378,27,FALSE)</f>
        <v>0</v>
      </c>
      <c r="AB211" s="5">
        <f>VLOOKUP($A211,'ПР 01-02.21'!$A$11:$BB$406,28,FALSE)+VLOOKUP($A211,'ПР 21-22'!$A$11:$BB$406,28,FALSE)-VLOOKUP($A211,'ПР 01-02.22'!$A$11:$BB$378,28,FALSE)</f>
        <v>9503.83</v>
      </c>
      <c r="AC211" s="5">
        <f>VLOOKUP($A211,'ПР 01-02.21'!$A$11:$BB$406,29,FALSE)+VLOOKUP($A211,'ПР 21-22'!$A$11:$BB$406,29,FALSE)-VLOOKUP($A211,'ПР 01-02.22'!$A$11:$BB$378,29,FALSE)</f>
        <v>2235</v>
      </c>
      <c r="AD211" s="5">
        <f>VLOOKUP($A211,'ПР 01-02.21'!$A$11:$BB$406,30,FALSE)+VLOOKUP($A211,'ПР 21-22'!$A$11:$BB$406,30,FALSE)-VLOOKUP($A211,'ПР 01-02.22'!$A$11:$BB$378,30,FALSE)</f>
        <v>3172</v>
      </c>
      <c r="AE211" s="5">
        <f>VLOOKUP($A211,'ПР 01-02.21'!$A$11:$BB$406,31,FALSE)+VLOOKUP($A211,'ПР 21-22'!$A$11:$BB$406,31,FALSE)-VLOOKUP($A211,'ПР 01-02.22'!$A$11:$BB$378,31,FALSE)</f>
        <v>4796.4233997240144</v>
      </c>
      <c r="AF211" s="5">
        <f>VLOOKUP($A211,'ПР 01-02.21'!$A$11:$BB$406,32,FALSE)+VLOOKUP($A211,'ПР 21-22'!$A$11:$BB$406,32,FALSE)-VLOOKUP($A211,'ПР 01-02.22'!$A$11:$BB$378,32,FALSE)</f>
        <v>3016</v>
      </c>
      <c r="AG211" s="40"/>
      <c r="AH211" s="5">
        <f>VLOOKUP($A211,'ПР 01-02.21'!$A$11:$BB$406,34,FALSE)+VLOOKUP($A211,'ПР 21-22'!$A$11:$BB$406,34,FALSE)-VLOOKUP($A211,'ПР 01-02.22'!$A$11:$BB$378,34,FALSE)</f>
        <v>5480.5732192024334</v>
      </c>
      <c r="AI211" s="5">
        <f>VLOOKUP($A211,'ПР 01-02.21'!$A$11:$BB$406,35,FALSE)+VLOOKUP($A211,'ПР 21-22'!$A$11:$BB$406,35,FALSE)-VLOOKUP($A211,'ПР 01-02.22'!$A$11:$BB$378,35,FALSE)</f>
        <v>9799</v>
      </c>
      <c r="AJ211" s="40"/>
      <c r="AK211" s="5">
        <f>VLOOKUP($A211,'ПР 01-02.21'!$A$11:$BB$406,37,FALSE)+VLOOKUP($A211,'ПР 21-22'!$A$11:$BB$406,37,FALSE)-VLOOKUP($A211,'ПР 01-02.22'!$A$11:$BB$378,37,FALSE)</f>
        <v>2902.284135104871</v>
      </c>
      <c r="AL211" s="5">
        <f>VLOOKUP($A211,'ПР 01-02.21'!$A$11:$BB$406,38,FALSE)+VLOOKUP($A211,'ПР 21-22'!$A$11:$BB$406,38,FALSE)-VLOOKUP($A211,'ПР 01-02.22'!$A$11:$BB$378,38,FALSE)</f>
        <v>0</v>
      </c>
      <c r="AM211" s="40"/>
      <c r="AN211" s="5">
        <f>VLOOKUP($A211,'ПР 01-02.21'!$A$11:$BB$406,40,FALSE)+VLOOKUP($A211,'ПР 21-22'!$A$11:$BB$406,40,FALSE)-VLOOKUP($A211,'ПР 01-02.22'!$A$11:$BB$378,40,FALSE)</f>
        <v>4033.2156250905878</v>
      </c>
      <c r="AO211" s="5">
        <f>VLOOKUP($A211,'ПР 01-02.21'!$A$11:$BB$406,41,FALSE)+VLOOKUP($A211,'ПР 21-22'!$A$11:$BB$406,41,FALSE)-VLOOKUP($A211,'ПР 01-02.22'!$A$11:$BB$378,41,FALSE)</f>
        <v>542</v>
      </c>
      <c r="AP211" s="40"/>
      <c r="AQ211" s="5">
        <f>VLOOKUP($A211,'ПР 01-02.21'!$A$11:$BB$406,43,FALSE)+VLOOKUP($A211,'ПР 21-22'!$A$11:$BB$406,43,FALSE)-VLOOKUP($A211,'ПР 01-02.22'!$A$11:$BB$378,43,FALSE)</f>
        <v>1843.8557451596184</v>
      </c>
      <c r="AR211" s="5">
        <f>VLOOKUP($A211,'ПР 01-02.21'!$A$11:$BB$406,44,FALSE)+VLOOKUP($A211,'ПР 21-22'!$A$11:$BB$406,44,FALSE)-VLOOKUP($A211,'ПР 01-02.22'!$A$11:$BB$378,44,FALSE)</f>
        <v>15</v>
      </c>
      <c r="AS211" s="40"/>
      <c r="AT211" s="5">
        <f>VLOOKUP($A211,'ПР 01-02.21'!$A$11:$BB$406,46,FALSE)+VLOOKUP($A211,'ПР 21-22'!$A$11:$BB$406,46,FALSE)-VLOOKUP($A211,'ПР 01-02.22'!$A$11:$BB$378,46,FALSE)</f>
        <v>3573.3409248825669</v>
      </c>
      <c r="AU211" s="5">
        <f>VLOOKUP($A211,'ПР 01-02.21'!$A$11:$BB$406,47,FALSE)+VLOOKUP($A211,'ПР 21-22'!$A$11:$BB$406,47,FALSE)-VLOOKUP($A211,'ПР 01-02.22'!$A$11:$BB$378,47,FALSE)</f>
        <v>0</v>
      </c>
      <c r="AV211" s="40"/>
      <c r="AW211" s="5">
        <f>VLOOKUP($A211,'ПР 01-02.21'!$A$11:$BB$406,49,FALSE)+VLOOKUP($A211,'ПР 21-22'!$A$11:$BB$406,49,FALSE)-VLOOKUP($A211,'ПР 01-02.22'!$A$11:$BB$378,49,FALSE)</f>
        <v>315.1728</v>
      </c>
      <c r="AX211" s="5">
        <f>VLOOKUP($A211,'ПР 01-02.21'!$A$11:$BB$406,50,FALSE)+VLOOKUP($A211,'ПР 21-22'!$A$11:$BB$406,50,FALSE)-VLOOKUP($A211,'ПР 01-02.22'!$A$11:$BB$378,50,FALSE)</f>
        <v>0</v>
      </c>
      <c r="AY211" s="40"/>
      <c r="AZ211" s="40">
        <f t="shared" si="13"/>
        <v>22944.865849164089</v>
      </c>
      <c r="BA211" s="40">
        <f t="shared" si="13"/>
        <v>13372</v>
      </c>
      <c r="BB211" s="55">
        <f t="shared" si="16"/>
        <v>-9572.865849164089</v>
      </c>
      <c r="BD211" s="2">
        <v>3</v>
      </c>
      <c r="BF211" s="325">
        <v>150000695</v>
      </c>
    </row>
    <row r="212" spans="1:58" ht="24.9" customHeight="1" x14ac:dyDescent="0.3">
      <c r="A212" s="325">
        <v>150000698</v>
      </c>
      <c r="B212" s="445" t="s">
        <v>121</v>
      </c>
      <c r="C212" s="27">
        <v>1</v>
      </c>
      <c r="D212" s="101" t="s">
        <v>455</v>
      </c>
      <c r="E212" s="279">
        <f>'побудинковий звіт'!E210</f>
        <v>180</v>
      </c>
      <c r="F212" s="441">
        <f>'побудинковий звіт'!AS210</f>
        <v>0</v>
      </c>
      <c r="G212" s="441">
        <f t="shared" si="14"/>
        <v>0</v>
      </c>
      <c r="H212" s="73">
        <f t="shared" si="15"/>
        <v>0</v>
      </c>
      <c r="I212" s="5"/>
      <c r="J212" s="5"/>
      <c r="K212" s="446"/>
      <c r="L212" s="5"/>
      <c r="M212" s="5"/>
      <c r="N212" s="38"/>
      <c r="O212" s="5"/>
      <c r="P212" s="5"/>
      <c r="Q212" s="443"/>
      <c r="R212" s="5"/>
      <c r="S212" s="5"/>
      <c r="T212" s="444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40"/>
      <c r="AH212" s="5"/>
      <c r="AI212" s="5"/>
      <c r="AJ212" s="40"/>
      <c r="AK212" s="5"/>
      <c r="AL212" s="5"/>
      <c r="AM212" s="40"/>
      <c r="AN212" s="5"/>
      <c r="AO212" s="5"/>
      <c r="AP212" s="40"/>
      <c r="AQ212" s="5"/>
      <c r="AR212" s="5"/>
      <c r="AS212" s="40"/>
      <c r="AT212" s="5"/>
      <c r="AU212" s="5"/>
      <c r="AV212" s="40"/>
      <c r="AW212" s="5"/>
      <c r="AX212" s="5"/>
      <c r="AY212" s="40"/>
      <c r="AZ212" s="40">
        <f t="shared" si="13"/>
        <v>0</v>
      </c>
      <c r="BA212" s="40">
        <f t="shared" si="13"/>
        <v>0</v>
      </c>
      <c r="BB212" s="55">
        <f t="shared" si="16"/>
        <v>0</v>
      </c>
      <c r="BD212" s="2">
        <v>3</v>
      </c>
      <c r="BF212" s="325">
        <v>150000698</v>
      </c>
    </row>
    <row r="213" spans="1:58" ht="24.9" customHeight="1" x14ac:dyDescent="0.3">
      <c r="A213" s="325">
        <v>150000699</v>
      </c>
      <c r="B213" s="445" t="s">
        <v>374</v>
      </c>
      <c r="C213" s="27">
        <v>9</v>
      </c>
      <c r="D213" s="101" t="s">
        <v>455</v>
      </c>
      <c r="E213" s="279">
        <f>'побудинковий звіт'!E211</f>
        <v>4191.3999999999996</v>
      </c>
      <c r="F213" s="441">
        <f>'побудинковий звіт'!AS211</f>
        <v>45779.946545448562</v>
      </c>
      <c r="G213" s="441">
        <f t="shared" si="14"/>
        <v>16998.827177755156</v>
      </c>
      <c r="H213" s="73">
        <f t="shared" si="15"/>
        <v>-28781.119367693405</v>
      </c>
      <c r="I213" s="5">
        <f>VLOOKUP($A213,'ПР 01-02.21'!$A$11:$BB$406,9,FALSE)+VLOOKUP($A213,'ПР 21-22'!$A$11:$BB$406,9,FALSE)-VLOOKUP($A213,'ПР 01-02.22'!$A$11:$BB$378,9,FALSE)</f>
        <v>0</v>
      </c>
      <c r="J213" s="5">
        <f>VLOOKUP($A213,'ПР 01-02.21'!$A$11:$BB$406,10,FALSE)+VLOOKUP($A213,'ПР 21-22'!$A$11:$BB$406,10,FALSE)-VLOOKUP($A213,'ПР 01-02.22'!$A$11:$BB$378,10,FALSE)</f>
        <v>0</v>
      </c>
      <c r="K213" s="446"/>
      <c r="L213" s="5">
        <f>VLOOKUP($A213,'ПР 01-02.21'!$A$11:$BB$406,12,FALSE)+VLOOKUP($A213,'ПР 21-22'!$A$11:$BB$406,12,FALSE)-VLOOKUP($A213,'ПР 01-02.22'!$A$11:$BB$378,12,FALSE)</f>
        <v>0</v>
      </c>
      <c r="M213" s="5">
        <f>VLOOKUP($A213,'ПР 01-02.21'!$A$11:$BB$406,13,FALSE)+VLOOKUP($A213,'ПР 21-22'!$A$11:$BB$406,13,FALSE)-VLOOKUP($A213,'ПР 01-02.22'!$A$11:$BB$378,13,FALSE)</f>
        <v>358</v>
      </c>
      <c r="N213" s="38"/>
      <c r="O213" s="5">
        <f>VLOOKUP($A213,'ПР 01-02.21'!$A$11:$BB$406,15,FALSE)+VLOOKUP($A213,'ПР 21-22'!$A$11:$BB$406,15,FALSE)-VLOOKUP($A213,'ПР 01-02.22'!$A$11:$BB$378,15,FALSE)</f>
        <v>0</v>
      </c>
      <c r="P213" s="5">
        <f>VLOOKUP($A213,'ПР 01-02.21'!$A$11:$BB$406,16,FALSE)+VLOOKUP($A213,'ПР 21-22'!$A$11:$BB$406,16,FALSE)-VLOOKUP($A213,'ПР 01-02.22'!$A$11:$BB$378,16,FALSE)</f>
        <v>0</v>
      </c>
      <c r="Q213" s="443"/>
      <c r="R213" s="5">
        <f>VLOOKUP($A213,'ПР 01-02.21'!$A$11:$BB$406,18,FALSE)+VLOOKUP($A213,'ПР 21-22'!$A$11:$BB$406,18,FALSE)-VLOOKUP($A213,'ПР 01-02.22'!$A$11:$BB$378,18,FALSE)</f>
        <v>6</v>
      </c>
      <c r="S213" s="5">
        <f>VLOOKUP($A213,'ПР 01-02.21'!$A$11:$BB$406,19,FALSE)+VLOOKUP($A213,'ПР 21-22'!$A$11:$BB$406,19,FALSE)-VLOOKUP($A213,'ПР 01-02.22'!$A$11:$BB$378,19,FALSE)</f>
        <v>7859.33</v>
      </c>
      <c r="T213" s="444"/>
      <c r="U213" s="5">
        <f>VLOOKUP($A213,'ПР 01-02.21'!$A$11:$BB$406,21,FALSE)+VLOOKUP($A213,'ПР 21-22'!$A$11:$BB$406,21,FALSE)-VLOOKUP($A213,'ПР 01-02.22'!$A$11:$BB$378,21,FALSE)</f>
        <v>0</v>
      </c>
      <c r="V213" s="5"/>
      <c r="W213" s="5">
        <f>VLOOKUP($A213,'ПР 01-02.21'!$A$11:$BB$406,23,FALSE)+VLOOKUP($A213,'ПР 21-22'!$A$11:$BB$406,23,FALSE)-VLOOKUP($A213,'ПР 01-02.22'!$A$11:$BB$378,23,FALSE)</f>
        <v>2</v>
      </c>
      <c r="X213" s="5">
        <f>VLOOKUP($A213,'ПР 01-02.21'!$A$11:$BB$406,24,FALSE)+VLOOKUP($A213,'ПР 21-22'!$A$11:$BB$406,24,FALSE)-VLOOKUP($A213,'ПР 01-02.22'!$A$11:$BB$378,24,FALSE)</f>
        <v>503.49717775515717</v>
      </c>
      <c r="Y213" s="5">
        <f>VLOOKUP($A213,'ПР 01-02.21'!$A$11:$BB$406,25,FALSE)+VLOOKUP($A213,'ПР 21-22'!$A$11:$BB$406,25,FALSE)-VLOOKUP($A213,'ПР 01-02.22'!$A$11:$BB$378,25,FALSE)</f>
        <v>2312</v>
      </c>
      <c r="Z213" s="5"/>
      <c r="AA213" s="5">
        <f>VLOOKUP($A213,'ПР 01-02.21'!$A$11:$BB$406,27,FALSE)+VLOOKUP($A213,'ПР 21-22'!$A$11:$BB$406,27,FALSE)-VLOOKUP($A213,'ПР 01-02.22'!$A$11:$BB$378,27,FALSE)</f>
        <v>0</v>
      </c>
      <c r="AB213" s="5">
        <f>VLOOKUP($A213,'ПР 01-02.21'!$A$11:$BB$406,28,FALSE)+VLOOKUP($A213,'ПР 21-22'!$A$11:$BB$406,28,FALSE)-VLOOKUP($A213,'ПР 01-02.22'!$A$11:$BB$378,28,FALSE)</f>
        <v>0</v>
      </c>
      <c r="AC213" s="5">
        <f>VLOOKUP($A213,'ПР 01-02.21'!$A$11:$BB$406,29,FALSE)+VLOOKUP($A213,'ПР 21-22'!$A$11:$BB$406,29,FALSE)-VLOOKUP($A213,'ПР 01-02.22'!$A$11:$BB$378,29,FALSE)</f>
        <v>2620</v>
      </c>
      <c r="AD213" s="5">
        <f>VLOOKUP($A213,'ПР 01-02.21'!$A$11:$BB$406,30,FALSE)+VLOOKUP($A213,'ПР 21-22'!$A$11:$BB$406,30,FALSE)-VLOOKUP($A213,'ПР 01-02.22'!$A$11:$BB$378,30,FALSE)</f>
        <v>3346</v>
      </c>
      <c r="AE213" s="5">
        <f>VLOOKUP($A213,'ПР 01-02.21'!$A$11:$BB$406,31,FALSE)+VLOOKUP($A213,'ПР 21-22'!$A$11:$BB$406,31,FALSE)-VLOOKUP($A213,'ПР 01-02.22'!$A$11:$BB$378,31,FALSE)</f>
        <v>2645.0740133266277</v>
      </c>
      <c r="AF213" s="5">
        <f>VLOOKUP($A213,'ПР 01-02.21'!$A$11:$BB$406,32,FALSE)+VLOOKUP($A213,'ПР 21-22'!$A$11:$BB$406,32,FALSE)-VLOOKUP($A213,'ПР 01-02.22'!$A$11:$BB$378,32,FALSE)</f>
        <v>3370</v>
      </c>
      <c r="AG213" s="40"/>
      <c r="AH213" s="5">
        <f>VLOOKUP($A213,'ПР 01-02.21'!$A$11:$BB$406,34,FALSE)+VLOOKUP($A213,'ПР 21-22'!$A$11:$BB$406,34,FALSE)-VLOOKUP($A213,'ПР 01-02.22'!$A$11:$BB$378,34,FALSE)</f>
        <v>2551.0795369903067</v>
      </c>
      <c r="AI213" s="5">
        <f>VLOOKUP($A213,'ПР 01-02.21'!$A$11:$BB$406,35,FALSE)+VLOOKUP($A213,'ПР 21-22'!$A$11:$BB$406,35,FALSE)-VLOOKUP($A213,'ПР 01-02.22'!$A$11:$BB$378,35,FALSE)</f>
        <v>10534</v>
      </c>
      <c r="AJ213" s="40"/>
      <c r="AK213" s="5">
        <f>VLOOKUP($A213,'ПР 01-02.21'!$A$11:$BB$406,37,FALSE)+VLOOKUP($A213,'ПР 21-22'!$A$11:$BB$406,37,FALSE)-VLOOKUP($A213,'ПР 01-02.22'!$A$11:$BB$378,37,FALSE)</f>
        <v>2089.9676953255835</v>
      </c>
      <c r="AL213" s="5">
        <f>VLOOKUP($A213,'ПР 01-02.21'!$A$11:$BB$406,38,FALSE)+VLOOKUP($A213,'ПР 21-22'!$A$11:$BB$406,38,FALSE)-VLOOKUP($A213,'ПР 01-02.22'!$A$11:$BB$378,38,FALSE)</f>
        <v>7772</v>
      </c>
      <c r="AM213" s="40"/>
      <c r="AN213" s="5">
        <f>VLOOKUP($A213,'ПР 01-02.21'!$A$11:$BB$406,40,FALSE)+VLOOKUP($A213,'ПР 21-22'!$A$11:$BB$406,40,FALSE)-VLOOKUP($A213,'ПР 01-02.22'!$A$11:$BB$378,40,FALSE)</f>
        <v>2745.6682843689491</v>
      </c>
      <c r="AO213" s="5">
        <f>VLOOKUP($A213,'ПР 01-02.21'!$A$11:$BB$406,41,FALSE)+VLOOKUP($A213,'ПР 21-22'!$A$11:$BB$406,41,FALSE)-VLOOKUP($A213,'ПР 01-02.22'!$A$11:$BB$378,41,FALSE)</f>
        <v>4846</v>
      </c>
      <c r="AP213" s="40"/>
      <c r="AQ213" s="5">
        <f>VLOOKUP($A213,'ПР 01-02.21'!$A$11:$BB$406,43,FALSE)+VLOOKUP($A213,'ПР 21-22'!$A$11:$BB$406,43,FALSE)-VLOOKUP($A213,'ПР 01-02.22'!$A$11:$BB$378,43,FALSE)</f>
        <v>1275.715225914171</v>
      </c>
      <c r="AR213" s="5">
        <f>VLOOKUP($A213,'ПР 01-02.21'!$A$11:$BB$406,44,FALSE)+VLOOKUP($A213,'ПР 21-22'!$A$11:$BB$406,44,FALSE)-VLOOKUP($A213,'ПР 01-02.22'!$A$11:$BB$378,44,FALSE)</f>
        <v>0</v>
      </c>
      <c r="AS213" s="40"/>
      <c r="AT213" s="5">
        <f>VLOOKUP($A213,'ПР 01-02.21'!$A$11:$BB$406,46,FALSE)+VLOOKUP($A213,'ПР 21-22'!$A$11:$BB$406,46,FALSE)-VLOOKUP($A213,'ПР 01-02.22'!$A$11:$BB$378,46,FALSE)</f>
        <v>1488.8864547771775</v>
      </c>
      <c r="AU213" s="5">
        <f>VLOOKUP($A213,'ПР 01-02.21'!$A$11:$BB$406,47,FALSE)+VLOOKUP($A213,'ПР 21-22'!$A$11:$BB$406,47,FALSE)-VLOOKUP($A213,'ПР 01-02.22'!$A$11:$BB$378,47,FALSE)</f>
        <v>5719</v>
      </c>
      <c r="AV213" s="40"/>
      <c r="AW213" s="5">
        <f>VLOOKUP($A213,'ПР 01-02.21'!$A$11:$BB$406,49,FALSE)+VLOOKUP($A213,'ПР 21-22'!$A$11:$BB$406,49,FALSE)-VLOOKUP($A213,'ПР 01-02.22'!$A$11:$BB$378,49,FALSE)</f>
        <v>209.62400000000002</v>
      </c>
      <c r="AX213" s="5">
        <f>VLOOKUP($A213,'ПР 01-02.21'!$A$11:$BB$406,50,FALSE)+VLOOKUP($A213,'ПР 21-22'!$A$11:$BB$406,50,FALSE)-VLOOKUP($A213,'ПР 01-02.22'!$A$11:$BB$378,50,FALSE)</f>
        <v>0</v>
      </c>
      <c r="AY213" s="40"/>
      <c r="AZ213" s="40">
        <f t="shared" si="13"/>
        <v>13006.015210702815</v>
      </c>
      <c r="BA213" s="40">
        <f t="shared" si="13"/>
        <v>32241</v>
      </c>
      <c r="BB213" s="55">
        <f t="shared" si="16"/>
        <v>19234.984789297185</v>
      </c>
      <c r="BD213" s="2">
        <v>3</v>
      </c>
      <c r="BF213" s="325">
        <v>150000699</v>
      </c>
    </row>
    <row r="214" spans="1:58" ht="24.9" customHeight="1" x14ac:dyDescent="0.3">
      <c r="A214" s="325">
        <v>150000928</v>
      </c>
      <c r="B214" s="445" t="s">
        <v>170</v>
      </c>
      <c r="C214" s="27">
        <v>2</v>
      </c>
      <c r="D214" s="101" t="s">
        <v>455</v>
      </c>
      <c r="E214" s="279">
        <f>'побудинковий звіт'!E212</f>
        <v>479.2</v>
      </c>
      <c r="F214" s="441">
        <f>'побудинковий звіт'!AS212</f>
        <v>5481.6227253655852</v>
      </c>
      <c r="G214" s="441">
        <f t="shared" si="14"/>
        <v>2266</v>
      </c>
      <c r="H214" s="73">
        <f t="shared" si="15"/>
        <v>-3215.6227253655852</v>
      </c>
      <c r="I214" s="5">
        <f>VLOOKUP($A214,'ПР 01-02.21'!$A$11:$BB$406,9,FALSE)+VLOOKUP($A214,'ПР 21-22'!$A$11:$BB$406,9,FALSE)-VLOOKUP($A214,'ПР 01-02.22'!$A$11:$BB$378,9,FALSE)</f>
        <v>0</v>
      </c>
      <c r="J214" s="5">
        <f>VLOOKUP($A214,'ПР 01-02.21'!$A$11:$BB$406,10,FALSE)+VLOOKUP($A214,'ПР 21-22'!$A$11:$BB$406,10,FALSE)-VLOOKUP($A214,'ПР 01-02.22'!$A$11:$BB$378,10,FALSE)</f>
        <v>0</v>
      </c>
      <c r="K214" s="446"/>
      <c r="L214" s="5">
        <f>VLOOKUP($A214,'ПР 01-02.21'!$A$11:$BB$406,12,FALSE)+VLOOKUP($A214,'ПР 21-22'!$A$11:$BB$406,12,FALSE)-VLOOKUP($A214,'ПР 01-02.22'!$A$11:$BB$378,12,FALSE)</f>
        <v>0</v>
      </c>
      <c r="M214" s="5">
        <f>VLOOKUP($A214,'ПР 01-02.21'!$A$11:$BB$406,13,FALSE)+VLOOKUP($A214,'ПР 21-22'!$A$11:$BB$406,13,FALSE)-VLOOKUP($A214,'ПР 01-02.22'!$A$11:$BB$378,13,FALSE)</f>
        <v>0</v>
      </c>
      <c r="N214" s="38"/>
      <c r="O214" s="5">
        <f>VLOOKUP($A214,'ПР 01-02.21'!$A$11:$BB$406,15,FALSE)+VLOOKUP($A214,'ПР 21-22'!$A$11:$BB$406,15,FALSE)-VLOOKUP($A214,'ПР 01-02.22'!$A$11:$BB$378,15,FALSE)</f>
        <v>0</v>
      </c>
      <c r="P214" s="5">
        <f>VLOOKUP($A214,'ПР 01-02.21'!$A$11:$BB$406,16,FALSE)+VLOOKUP($A214,'ПР 21-22'!$A$11:$BB$406,16,FALSE)-VLOOKUP($A214,'ПР 01-02.22'!$A$11:$BB$378,16,FALSE)</f>
        <v>0</v>
      </c>
      <c r="Q214" s="443"/>
      <c r="R214" s="5">
        <f>VLOOKUP($A214,'ПР 01-02.21'!$A$11:$BB$406,18,FALSE)+VLOOKUP($A214,'ПР 21-22'!$A$11:$BB$406,18,FALSE)-VLOOKUP($A214,'ПР 01-02.22'!$A$11:$BB$378,18,FALSE)</f>
        <v>0</v>
      </c>
      <c r="S214" s="5">
        <f>VLOOKUP($A214,'ПР 01-02.21'!$A$11:$BB$406,19,FALSE)+VLOOKUP($A214,'ПР 21-22'!$A$11:$BB$406,19,FALSE)-VLOOKUP($A214,'ПР 01-02.22'!$A$11:$BB$378,19,FALSE)</f>
        <v>0</v>
      </c>
      <c r="T214" s="444"/>
      <c r="U214" s="5">
        <f>VLOOKUP($A214,'ПР 01-02.21'!$A$11:$BB$406,21,FALSE)+VLOOKUP($A214,'ПР 21-22'!$A$11:$BB$406,21,FALSE)-VLOOKUP($A214,'ПР 01-02.22'!$A$11:$BB$378,21,FALSE)</f>
        <v>0</v>
      </c>
      <c r="V214" s="5"/>
      <c r="W214" s="5">
        <f>VLOOKUP($A214,'ПР 01-02.21'!$A$11:$BB$406,23,FALSE)+VLOOKUP($A214,'ПР 21-22'!$A$11:$BB$406,23,FALSE)-VLOOKUP($A214,'ПР 01-02.22'!$A$11:$BB$378,23,FALSE)</f>
        <v>0</v>
      </c>
      <c r="X214" s="5">
        <f>VLOOKUP($A214,'ПР 01-02.21'!$A$11:$BB$406,24,FALSE)+VLOOKUP($A214,'ПР 21-22'!$A$11:$BB$406,24,FALSE)-VLOOKUP($A214,'ПР 01-02.22'!$A$11:$BB$378,24,FALSE)</f>
        <v>0</v>
      </c>
      <c r="Y214" s="5">
        <f>VLOOKUP($A214,'ПР 01-02.21'!$A$11:$BB$406,25,FALSE)+VLOOKUP($A214,'ПР 21-22'!$A$11:$BB$406,25,FALSE)-VLOOKUP($A214,'ПР 01-02.22'!$A$11:$BB$378,25,FALSE)</f>
        <v>0</v>
      </c>
      <c r="Z214" s="5"/>
      <c r="AA214" s="5">
        <f>VLOOKUP($A214,'ПР 01-02.21'!$A$11:$BB$406,27,FALSE)+VLOOKUP($A214,'ПР 21-22'!$A$11:$BB$406,27,FALSE)-VLOOKUP($A214,'ПР 01-02.22'!$A$11:$BB$378,27,FALSE)</f>
        <v>0</v>
      </c>
      <c r="AB214" s="5">
        <f>VLOOKUP($A214,'ПР 01-02.21'!$A$11:$BB$406,28,FALSE)+VLOOKUP($A214,'ПР 21-22'!$A$11:$BB$406,28,FALSE)-VLOOKUP($A214,'ПР 01-02.22'!$A$11:$BB$378,28,FALSE)</f>
        <v>0</v>
      </c>
      <c r="AC214" s="5">
        <f>VLOOKUP($A214,'ПР 01-02.21'!$A$11:$BB$406,29,FALSE)+VLOOKUP($A214,'ПР 21-22'!$A$11:$BB$406,29,FALSE)-VLOOKUP($A214,'ПР 01-02.22'!$A$11:$BB$378,29,FALSE)</f>
        <v>0</v>
      </c>
      <c r="AD214" s="5">
        <f>VLOOKUP($A214,'ПР 01-02.21'!$A$11:$BB$406,30,FALSE)+VLOOKUP($A214,'ПР 21-22'!$A$11:$BB$406,30,FALSE)-VLOOKUP($A214,'ПР 01-02.22'!$A$11:$BB$378,30,FALSE)</f>
        <v>2266</v>
      </c>
      <c r="AE214" s="5">
        <f>VLOOKUP($A214,'ПР 01-02.21'!$A$11:$BB$406,31,FALSE)+VLOOKUP($A214,'ПР 21-22'!$A$11:$BB$406,31,FALSE)-VLOOKUP($A214,'ПР 01-02.22'!$A$11:$BB$378,31,FALSE)</f>
        <v>766.39023594508001</v>
      </c>
      <c r="AF214" s="5">
        <f>VLOOKUP($A214,'ПР 01-02.21'!$A$11:$BB$406,32,FALSE)+VLOOKUP($A214,'ПР 21-22'!$A$11:$BB$406,32,FALSE)-VLOOKUP($A214,'ПР 01-02.22'!$A$11:$BB$378,32,FALSE)</f>
        <v>0</v>
      </c>
      <c r="AG214" s="40"/>
      <c r="AH214" s="5">
        <f>VLOOKUP($A214,'ПР 01-02.21'!$A$11:$BB$406,34,FALSE)+VLOOKUP($A214,'ПР 21-22'!$A$11:$BB$406,34,FALSE)-VLOOKUP($A214,'ПР 01-02.22'!$A$11:$BB$378,34,FALSE)</f>
        <v>1027.5887830686029</v>
      </c>
      <c r="AI214" s="5">
        <f>VLOOKUP($A214,'ПР 01-02.21'!$A$11:$BB$406,35,FALSE)+VLOOKUP($A214,'ПР 21-22'!$A$11:$BB$406,35,FALSE)-VLOOKUP($A214,'ПР 01-02.22'!$A$11:$BB$378,35,FALSE)</f>
        <v>0</v>
      </c>
      <c r="AJ214" s="40"/>
      <c r="AK214" s="5">
        <f>VLOOKUP($A214,'ПР 01-02.21'!$A$11:$BB$406,37,FALSE)+VLOOKUP($A214,'ПР 21-22'!$A$11:$BB$406,37,FALSE)-VLOOKUP($A214,'ПР 01-02.22'!$A$11:$BB$378,37,FALSE)</f>
        <v>245.92644981966379</v>
      </c>
      <c r="AL214" s="5">
        <f>VLOOKUP($A214,'ПР 01-02.21'!$A$11:$BB$406,38,FALSE)+VLOOKUP($A214,'ПР 21-22'!$A$11:$BB$406,38,FALSE)-VLOOKUP($A214,'ПР 01-02.22'!$A$11:$BB$378,38,FALSE)</f>
        <v>0</v>
      </c>
      <c r="AM214" s="40"/>
      <c r="AN214" s="5">
        <f>VLOOKUP($A214,'ПР 01-02.21'!$A$11:$BB$406,40,FALSE)+VLOOKUP($A214,'ПР 21-22'!$A$11:$BB$406,40,FALSE)-VLOOKUP($A214,'ПР 01-02.22'!$A$11:$BB$378,40,FALSE)</f>
        <v>0</v>
      </c>
      <c r="AO214" s="5">
        <f>VLOOKUP($A214,'ПР 01-02.21'!$A$11:$BB$406,41,FALSE)+VLOOKUP($A214,'ПР 21-22'!$A$11:$BB$406,41,FALSE)-VLOOKUP($A214,'ПР 01-02.22'!$A$11:$BB$378,41,FALSE)</f>
        <v>0</v>
      </c>
      <c r="AP214" s="40"/>
      <c r="AQ214" s="5">
        <f>VLOOKUP($A214,'ПР 01-02.21'!$A$11:$BB$406,43,FALSE)+VLOOKUP($A214,'ПР 21-22'!$A$11:$BB$406,43,FALSE)-VLOOKUP($A214,'ПР 01-02.22'!$A$11:$BB$378,43,FALSE)</f>
        <v>0</v>
      </c>
      <c r="AR214" s="5">
        <f>VLOOKUP($A214,'ПР 01-02.21'!$A$11:$BB$406,44,FALSE)+VLOOKUP($A214,'ПР 21-22'!$A$11:$BB$406,44,FALSE)-VLOOKUP($A214,'ПР 01-02.22'!$A$11:$BB$378,44,FALSE)</f>
        <v>0</v>
      </c>
      <c r="AS214" s="40"/>
      <c r="AT214" s="5">
        <f>VLOOKUP($A214,'ПР 01-02.21'!$A$11:$BB$406,46,FALSE)+VLOOKUP($A214,'ПР 21-22'!$A$11:$BB$406,46,FALSE)-VLOOKUP($A214,'ПР 01-02.22'!$A$11:$BB$378,46,FALSE)</f>
        <v>104.36954044621635</v>
      </c>
      <c r="AU214" s="5">
        <f>VLOOKUP($A214,'ПР 01-02.21'!$A$11:$BB$406,47,FALSE)+VLOOKUP($A214,'ПР 21-22'!$A$11:$BB$406,47,FALSE)-VLOOKUP($A214,'ПР 01-02.22'!$A$11:$BB$378,47,FALSE)</f>
        <v>704</v>
      </c>
      <c r="AV214" s="40"/>
      <c r="AW214" s="5">
        <f>VLOOKUP($A214,'ПР 01-02.21'!$A$11:$BB$406,49,FALSE)+VLOOKUP($A214,'ПР 21-22'!$A$11:$BB$406,49,FALSE)-VLOOKUP($A214,'ПР 01-02.22'!$A$11:$BB$378,49,FALSE)</f>
        <v>24.224</v>
      </c>
      <c r="AX214" s="5">
        <f>VLOOKUP($A214,'ПР 01-02.21'!$A$11:$BB$406,50,FALSE)+VLOOKUP($A214,'ПР 21-22'!$A$11:$BB$406,50,FALSE)-VLOOKUP($A214,'ПР 01-02.22'!$A$11:$BB$378,50,FALSE)</f>
        <v>0</v>
      </c>
      <c r="AY214" s="40"/>
      <c r="AZ214" s="40">
        <f t="shared" si="13"/>
        <v>2168.4990092795629</v>
      </c>
      <c r="BA214" s="40">
        <f t="shared" si="13"/>
        <v>704</v>
      </c>
      <c r="BB214" s="55">
        <f t="shared" si="16"/>
        <v>-1464.4990092795629</v>
      </c>
      <c r="BD214" s="2">
        <v>2</v>
      </c>
      <c r="BF214" s="325">
        <v>150000928</v>
      </c>
    </row>
    <row r="215" spans="1:58" ht="24.9" customHeight="1" x14ac:dyDescent="0.3">
      <c r="A215" s="325">
        <v>150000951</v>
      </c>
      <c r="B215" s="445" t="s">
        <v>171</v>
      </c>
      <c r="C215" s="27">
        <v>2</v>
      </c>
      <c r="D215" s="101" t="s">
        <v>455</v>
      </c>
      <c r="E215" s="279">
        <f>'побудинковий звіт'!E213</f>
        <v>553.20000000000005</v>
      </c>
      <c r="F215" s="441">
        <f>'побудинковий звіт'!AS213</f>
        <v>4370.6924950110106</v>
      </c>
      <c r="G215" s="441">
        <f t="shared" si="14"/>
        <v>1681</v>
      </c>
      <c r="H215" s="73">
        <f t="shared" si="15"/>
        <v>-2689.6924950110106</v>
      </c>
      <c r="I215" s="5">
        <f>VLOOKUP($A215,'ПР 01-02.21'!$A$11:$BB$406,9,FALSE)+VLOOKUP($A215,'ПР 21-22'!$A$11:$BB$406,9,FALSE)-VLOOKUP($A215,'ПР 01-02.22'!$A$11:$BB$378,9,FALSE)</f>
        <v>4</v>
      </c>
      <c r="J215" s="5">
        <f>VLOOKUP($A215,'ПР 01-02.21'!$A$11:$BB$406,10,FALSE)+VLOOKUP($A215,'ПР 21-22'!$A$11:$BB$406,10,FALSE)-VLOOKUP($A215,'ПР 01-02.22'!$A$11:$BB$378,10,FALSE)</f>
        <v>1681</v>
      </c>
      <c r="K215" s="446"/>
      <c r="L215" s="5">
        <f>VLOOKUP($A215,'ПР 01-02.21'!$A$11:$BB$406,12,FALSE)+VLOOKUP($A215,'ПР 21-22'!$A$11:$BB$406,12,FALSE)-VLOOKUP($A215,'ПР 01-02.22'!$A$11:$BB$378,12,FALSE)</f>
        <v>0</v>
      </c>
      <c r="M215" s="5">
        <f>VLOOKUP($A215,'ПР 01-02.21'!$A$11:$BB$406,13,FALSE)+VLOOKUP($A215,'ПР 21-22'!$A$11:$BB$406,13,FALSE)-VLOOKUP($A215,'ПР 01-02.22'!$A$11:$BB$378,13,FALSE)</f>
        <v>0</v>
      </c>
      <c r="N215" s="38"/>
      <c r="O215" s="5">
        <f>VLOOKUP($A215,'ПР 01-02.21'!$A$11:$BB$406,15,FALSE)+VLOOKUP($A215,'ПР 21-22'!$A$11:$BB$406,15,FALSE)-VLOOKUP($A215,'ПР 01-02.22'!$A$11:$BB$378,15,FALSE)</f>
        <v>0</v>
      </c>
      <c r="P215" s="5">
        <f>VLOOKUP($A215,'ПР 01-02.21'!$A$11:$BB$406,16,FALSE)+VLOOKUP($A215,'ПР 21-22'!$A$11:$BB$406,16,FALSE)-VLOOKUP($A215,'ПР 01-02.22'!$A$11:$BB$378,16,FALSE)</f>
        <v>0</v>
      </c>
      <c r="Q215" s="443"/>
      <c r="R215" s="5">
        <f>VLOOKUP($A215,'ПР 01-02.21'!$A$11:$BB$406,18,FALSE)+VLOOKUP($A215,'ПР 21-22'!$A$11:$BB$406,18,FALSE)-VLOOKUP($A215,'ПР 01-02.22'!$A$11:$BB$378,18,FALSE)</f>
        <v>0</v>
      </c>
      <c r="S215" s="5">
        <f>VLOOKUP($A215,'ПР 01-02.21'!$A$11:$BB$406,19,FALSE)+VLOOKUP($A215,'ПР 21-22'!$A$11:$BB$406,19,FALSE)-VLOOKUP($A215,'ПР 01-02.22'!$A$11:$BB$378,19,FALSE)</f>
        <v>0</v>
      </c>
      <c r="T215" s="444"/>
      <c r="U215" s="5">
        <f>VLOOKUP($A215,'ПР 01-02.21'!$A$11:$BB$406,21,FALSE)+VLOOKUP($A215,'ПР 21-22'!$A$11:$BB$406,21,FALSE)-VLOOKUP($A215,'ПР 01-02.22'!$A$11:$BB$378,21,FALSE)</f>
        <v>0</v>
      </c>
      <c r="V215" s="5"/>
      <c r="W215" s="5">
        <f>VLOOKUP($A215,'ПР 01-02.21'!$A$11:$BB$406,23,FALSE)+VLOOKUP($A215,'ПР 21-22'!$A$11:$BB$406,23,FALSE)-VLOOKUP($A215,'ПР 01-02.22'!$A$11:$BB$378,23,FALSE)</f>
        <v>0</v>
      </c>
      <c r="X215" s="5">
        <f>VLOOKUP($A215,'ПР 01-02.21'!$A$11:$BB$406,24,FALSE)+VLOOKUP($A215,'ПР 21-22'!$A$11:$BB$406,24,FALSE)-VLOOKUP($A215,'ПР 01-02.22'!$A$11:$BB$378,24,FALSE)</f>
        <v>0</v>
      </c>
      <c r="Y215" s="5">
        <f>VLOOKUP($A215,'ПР 01-02.21'!$A$11:$BB$406,25,FALSE)+VLOOKUP($A215,'ПР 21-22'!$A$11:$BB$406,25,FALSE)-VLOOKUP($A215,'ПР 01-02.22'!$A$11:$BB$378,25,FALSE)</f>
        <v>0</v>
      </c>
      <c r="Z215" s="5"/>
      <c r="AA215" s="5">
        <f>VLOOKUP($A215,'ПР 01-02.21'!$A$11:$BB$406,27,FALSE)+VLOOKUP($A215,'ПР 21-22'!$A$11:$BB$406,27,FALSE)-VLOOKUP($A215,'ПР 01-02.22'!$A$11:$BB$378,27,FALSE)</f>
        <v>0</v>
      </c>
      <c r="AB215" s="5">
        <f>VLOOKUP($A215,'ПР 01-02.21'!$A$11:$BB$406,28,FALSE)+VLOOKUP($A215,'ПР 21-22'!$A$11:$BB$406,28,FALSE)-VLOOKUP($A215,'ПР 01-02.22'!$A$11:$BB$378,28,FALSE)</f>
        <v>0</v>
      </c>
      <c r="AC215" s="5">
        <f>VLOOKUP($A215,'ПР 01-02.21'!$A$11:$BB$406,29,FALSE)+VLOOKUP($A215,'ПР 21-22'!$A$11:$BB$406,29,FALSE)-VLOOKUP($A215,'ПР 01-02.22'!$A$11:$BB$378,29,FALSE)</f>
        <v>0</v>
      </c>
      <c r="AD215" s="5">
        <f>VLOOKUP($A215,'ПР 01-02.21'!$A$11:$BB$406,30,FALSE)+VLOOKUP($A215,'ПР 21-22'!$A$11:$BB$406,30,FALSE)-VLOOKUP($A215,'ПР 01-02.22'!$A$11:$BB$378,30,FALSE)</f>
        <v>0</v>
      </c>
      <c r="AE215" s="5">
        <f>VLOOKUP($A215,'ПР 01-02.21'!$A$11:$BB$406,31,FALSE)+VLOOKUP($A215,'ПР 21-22'!$A$11:$BB$406,31,FALSE)-VLOOKUP($A215,'ПР 01-02.22'!$A$11:$BB$378,31,FALSE)</f>
        <v>0</v>
      </c>
      <c r="AF215" s="5">
        <f>VLOOKUP($A215,'ПР 01-02.21'!$A$11:$BB$406,32,FALSE)+VLOOKUP($A215,'ПР 21-22'!$A$11:$BB$406,32,FALSE)-VLOOKUP($A215,'ПР 01-02.22'!$A$11:$BB$378,32,FALSE)</f>
        <v>0</v>
      </c>
      <c r="AG215" s="40"/>
      <c r="AH215" s="5">
        <f>VLOOKUP($A215,'ПР 01-02.21'!$A$11:$BB$406,34,FALSE)+VLOOKUP($A215,'ПР 21-22'!$A$11:$BB$406,34,FALSE)-VLOOKUP($A215,'ПР 01-02.22'!$A$11:$BB$378,34,FALSE)</f>
        <v>0</v>
      </c>
      <c r="AI215" s="5">
        <f>VLOOKUP($A215,'ПР 01-02.21'!$A$11:$BB$406,35,FALSE)+VLOOKUP($A215,'ПР 21-22'!$A$11:$BB$406,35,FALSE)-VLOOKUP($A215,'ПР 01-02.22'!$A$11:$BB$378,35,FALSE)</f>
        <v>0</v>
      </c>
      <c r="AJ215" s="40"/>
      <c r="AK215" s="5">
        <f>VLOOKUP($A215,'ПР 01-02.21'!$A$11:$BB$406,37,FALSE)+VLOOKUP($A215,'ПР 21-22'!$A$11:$BB$406,37,FALSE)-VLOOKUP($A215,'ПР 01-02.22'!$A$11:$BB$378,37,FALSE)</f>
        <v>0</v>
      </c>
      <c r="AL215" s="5">
        <f>VLOOKUP($A215,'ПР 01-02.21'!$A$11:$BB$406,38,FALSE)+VLOOKUP($A215,'ПР 21-22'!$A$11:$BB$406,38,FALSE)-VLOOKUP($A215,'ПР 01-02.22'!$A$11:$BB$378,38,FALSE)</f>
        <v>0</v>
      </c>
      <c r="AM215" s="40"/>
      <c r="AN215" s="5">
        <f>VLOOKUP($A215,'ПР 01-02.21'!$A$11:$BB$406,40,FALSE)+VLOOKUP($A215,'ПР 21-22'!$A$11:$BB$406,40,FALSE)-VLOOKUP($A215,'ПР 01-02.22'!$A$11:$BB$378,40,FALSE)</f>
        <v>0</v>
      </c>
      <c r="AO215" s="5">
        <f>VLOOKUP($A215,'ПР 01-02.21'!$A$11:$BB$406,41,FALSE)+VLOOKUP($A215,'ПР 21-22'!$A$11:$BB$406,41,FALSE)-VLOOKUP($A215,'ПР 01-02.22'!$A$11:$BB$378,41,FALSE)</f>
        <v>0</v>
      </c>
      <c r="AP215" s="40"/>
      <c r="AQ215" s="5">
        <f>VLOOKUP($A215,'ПР 01-02.21'!$A$11:$BB$406,43,FALSE)+VLOOKUP($A215,'ПР 21-22'!$A$11:$BB$406,43,FALSE)-VLOOKUP($A215,'ПР 01-02.22'!$A$11:$BB$378,43,FALSE)</f>
        <v>0</v>
      </c>
      <c r="AR215" s="5">
        <f>VLOOKUP($A215,'ПР 01-02.21'!$A$11:$BB$406,44,FALSE)+VLOOKUP($A215,'ПР 21-22'!$A$11:$BB$406,44,FALSE)-VLOOKUP($A215,'ПР 01-02.22'!$A$11:$BB$378,44,FALSE)</f>
        <v>0</v>
      </c>
      <c r="AS215" s="40"/>
      <c r="AT215" s="5">
        <f>VLOOKUP($A215,'ПР 01-02.21'!$A$11:$BB$406,46,FALSE)+VLOOKUP($A215,'ПР 21-22'!$A$11:$BB$406,46,FALSE)-VLOOKUP($A215,'ПР 01-02.22'!$A$11:$BB$378,46,FALSE)</f>
        <v>84.611711587822455</v>
      </c>
      <c r="AU215" s="5">
        <f>VLOOKUP($A215,'ПР 01-02.21'!$A$11:$BB$406,47,FALSE)+VLOOKUP($A215,'ПР 21-22'!$A$11:$BB$406,47,FALSE)-VLOOKUP($A215,'ПР 01-02.22'!$A$11:$BB$378,47,FALSE)</f>
        <v>0</v>
      </c>
      <c r="AV215" s="40"/>
      <c r="AW215" s="5">
        <f>VLOOKUP($A215,'ПР 01-02.21'!$A$11:$BB$406,49,FALSE)+VLOOKUP($A215,'ПР 21-22'!$A$11:$BB$406,49,FALSE)-VLOOKUP($A215,'ПР 01-02.22'!$A$11:$BB$378,49,FALSE)</f>
        <v>99.483652888508573</v>
      </c>
      <c r="AX215" s="5">
        <f>VLOOKUP($A215,'ПР 01-02.21'!$A$11:$BB$406,50,FALSE)+VLOOKUP($A215,'ПР 21-22'!$A$11:$BB$406,50,FALSE)-VLOOKUP($A215,'ПР 01-02.22'!$A$11:$BB$378,50,FALSE)</f>
        <v>0</v>
      </c>
      <c r="AY215" s="40"/>
      <c r="AZ215" s="40">
        <f t="shared" si="13"/>
        <v>184.09536447633104</v>
      </c>
      <c r="BA215" s="40">
        <f t="shared" si="13"/>
        <v>0</v>
      </c>
      <c r="BB215" s="55">
        <f t="shared" si="16"/>
        <v>-184.09536447633104</v>
      </c>
      <c r="BD215" s="2">
        <v>1</v>
      </c>
      <c r="BF215" s="325">
        <v>150000951</v>
      </c>
    </row>
    <row r="216" spans="1:58" ht="24.9" customHeight="1" x14ac:dyDescent="0.3">
      <c r="A216" s="325">
        <v>150000954</v>
      </c>
      <c r="B216" s="445" t="s">
        <v>172</v>
      </c>
      <c r="C216" s="27">
        <v>2</v>
      </c>
      <c r="D216" s="101" t="s">
        <v>455</v>
      </c>
      <c r="E216" s="279">
        <f>'побудинковий звіт'!E214</f>
        <v>358.84</v>
      </c>
      <c r="F216" s="441">
        <f>'побудинковий звіт'!AS214</f>
        <v>5233.8084224904269</v>
      </c>
      <c r="G216" s="441">
        <f t="shared" si="14"/>
        <v>657</v>
      </c>
      <c r="H216" s="73">
        <f t="shared" si="15"/>
        <v>-4576.8084224904269</v>
      </c>
      <c r="I216" s="5">
        <f>VLOOKUP($A216,'ПР 01-02.21'!$A$11:$BB$406,9,FALSE)+VLOOKUP($A216,'ПР 21-22'!$A$11:$BB$406,9,FALSE)-VLOOKUP($A216,'ПР 01-02.22'!$A$11:$BB$378,9,FALSE)</f>
        <v>0</v>
      </c>
      <c r="J216" s="5">
        <f>VLOOKUP($A216,'ПР 01-02.21'!$A$11:$BB$406,10,FALSE)+VLOOKUP($A216,'ПР 21-22'!$A$11:$BB$406,10,FALSE)-VLOOKUP($A216,'ПР 01-02.22'!$A$11:$BB$378,10,FALSE)</f>
        <v>0</v>
      </c>
      <c r="K216" s="446"/>
      <c r="L216" s="5">
        <f>VLOOKUP($A216,'ПР 01-02.21'!$A$11:$BB$406,12,FALSE)+VLOOKUP($A216,'ПР 21-22'!$A$11:$BB$406,12,FALSE)-VLOOKUP($A216,'ПР 01-02.22'!$A$11:$BB$378,12,FALSE)</f>
        <v>0</v>
      </c>
      <c r="M216" s="5">
        <f>VLOOKUP($A216,'ПР 01-02.21'!$A$11:$BB$406,13,FALSE)+VLOOKUP($A216,'ПР 21-22'!$A$11:$BB$406,13,FALSE)-VLOOKUP($A216,'ПР 01-02.22'!$A$11:$BB$378,13,FALSE)</f>
        <v>0</v>
      </c>
      <c r="N216" s="38"/>
      <c r="O216" s="5">
        <f>VLOOKUP($A216,'ПР 01-02.21'!$A$11:$BB$406,15,FALSE)+VLOOKUP($A216,'ПР 21-22'!$A$11:$BB$406,15,FALSE)-VLOOKUP($A216,'ПР 01-02.22'!$A$11:$BB$378,15,FALSE)</f>
        <v>0</v>
      </c>
      <c r="P216" s="5">
        <f>VLOOKUP($A216,'ПР 01-02.21'!$A$11:$BB$406,16,FALSE)+VLOOKUP($A216,'ПР 21-22'!$A$11:$BB$406,16,FALSE)-VLOOKUP($A216,'ПР 01-02.22'!$A$11:$BB$378,16,FALSE)</f>
        <v>0</v>
      </c>
      <c r="Q216" s="443"/>
      <c r="R216" s="5">
        <f>VLOOKUP($A216,'ПР 01-02.21'!$A$11:$BB$406,18,FALSE)+VLOOKUP($A216,'ПР 21-22'!$A$11:$BB$406,18,FALSE)-VLOOKUP($A216,'ПР 01-02.22'!$A$11:$BB$378,18,FALSE)</f>
        <v>0</v>
      </c>
      <c r="S216" s="5">
        <f>VLOOKUP($A216,'ПР 01-02.21'!$A$11:$BB$406,19,FALSE)+VLOOKUP($A216,'ПР 21-22'!$A$11:$BB$406,19,FALSE)-VLOOKUP($A216,'ПР 01-02.22'!$A$11:$BB$378,19,FALSE)</f>
        <v>0</v>
      </c>
      <c r="T216" s="444"/>
      <c r="U216" s="5">
        <f>VLOOKUP($A216,'ПР 01-02.21'!$A$11:$BB$406,21,FALSE)+VLOOKUP($A216,'ПР 21-22'!$A$11:$BB$406,21,FALSE)-VLOOKUP($A216,'ПР 01-02.22'!$A$11:$BB$378,21,FALSE)</f>
        <v>0</v>
      </c>
      <c r="V216" s="5"/>
      <c r="W216" s="5">
        <f>VLOOKUP($A216,'ПР 01-02.21'!$A$11:$BB$406,23,FALSE)+VLOOKUP($A216,'ПР 21-22'!$A$11:$BB$406,23,FALSE)-VLOOKUP($A216,'ПР 01-02.22'!$A$11:$BB$378,23,FALSE)</f>
        <v>0</v>
      </c>
      <c r="X216" s="5">
        <f>VLOOKUP($A216,'ПР 01-02.21'!$A$11:$BB$406,24,FALSE)+VLOOKUP($A216,'ПР 21-22'!$A$11:$BB$406,24,FALSE)-VLOOKUP($A216,'ПР 01-02.22'!$A$11:$BB$378,24,FALSE)</f>
        <v>0</v>
      </c>
      <c r="Y216" s="5">
        <f>VLOOKUP($A216,'ПР 01-02.21'!$A$11:$BB$406,25,FALSE)+VLOOKUP($A216,'ПР 21-22'!$A$11:$BB$406,25,FALSE)-VLOOKUP($A216,'ПР 01-02.22'!$A$11:$BB$378,25,FALSE)</f>
        <v>657</v>
      </c>
      <c r="Z216" s="5"/>
      <c r="AA216" s="5">
        <f>VLOOKUP($A216,'ПР 01-02.21'!$A$11:$BB$406,27,FALSE)+VLOOKUP($A216,'ПР 21-22'!$A$11:$BB$406,27,FALSE)-VLOOKUP($A216,'ПР 01-02.22'!$A$11:$BB$378,27,FALSE)</f>
        <v>0</v>
      </c>
      <c r="AB216" s="5">
        <f>VLOOKUP($A216,'ПР 01-02.21'!$A$11:$BB$406,28,FALSE)+VLOOKUP($A216,'ПР 21-22'!$A$11:$BB$406,28,FALSE)-VLOOKUP($A216,'ПР 01-02.22'!$A$11:$BB$378,28,FALSE)</f>
        <v>0</v>
      </c>
      <c r="AC216" s="5">
        <f>VLOOKUP($A216,'ПР 01-02.21'!$A$11:$BB$406,29,FALSE)+VLOOKUP($A216,'ПР 21-22'!$A$11:$BB$406,29,FALSE)-VLOOKUP($A216,'ПР 01-02.22'!$A$11:$BB$378,29,FALSE)</f>
        <v>0</v>
      </c>
      <c r="AD216" s="5">
        <f>VLOOKUP($A216,'ПР 01-02.21'!$A$11:$BB$406,30,FALSE)+VLOOKUP($A216,'ПР 21-22'!$A$11:$BB$406,30,FALSE)-VLOOKUP($A216,'ПР 01-02.22'!$A$11:$BB$378,30,FALSE)</f>
        <v>0</v>
      </c>
      <c r="AE216" s="5">
        <f>VLOOKUP($A216,'ПР 01-02.21'!$A$11:$BB$406,31,FALSE)+VLOOKUP($A216,'ПР 21-22'!$A$11:$BB$406,31,FALSE)-VLOOKUP($A216,'ПР 01-02.22'!$A$11:$BB$378,31,FALSE)</f>
        <v>383.34426533767044</v>
      </c>
      <c r="AF216" s="5">
        <f>VLOOKUP($A216,'ПР 01-02.21'!$A$11:$BB$406,32,FALSE)+VLOOKUP($A216,'ПР 21-22'!$A$11:$BB$406,32,FALSE)-VLOOKUP($A216,'ПР 01-02.22'!$A$11:$BB$378,32,FALSE)</f>
        <v>0</v>
      </c>
      <c r="AG216" s="40"/>
      <c r="AH216" s="5">
        <f>VLOOKUP($A216,'ПР 01-02.21'!$A$11:$BB$406,34,FALSE)+VLOOKUP($A216,'ПР 21-22'!$A$11:$BB$406,34,FALSE)-VLOOKUP($A216,'ПР 01-02.22'!$A$11:$BB$378,34,FALSE)</f>
        <v>442.03108178094561</v>
      </c>
      <c r="AI216" s="5">
        <f>VLOOKUP($A216,'ПР 01-02.21'!$A$11:$BB$406,35,FALSE)+VLOOKUP($A216,'ПР 21-22'!$A$11:$BB$406,35,FALSE)-VLOOKUP($A216,'ПР 01-02.22'!$A$11:$BB$378,35,FALSE)</f>
        <v>6.5</v>
      </c>
      <c r="AJ216" s="40"/>
      <c r="AK216" s="5">
        <f>VLOOKUP($A216,'ПР 01-02.21'!$A$11:$BB$406,37,FALSE)+VLOOKUP($A216,'ПР 21-22'!$A$11:$BB$406,37,FALSE)-VLOOKUP($A216,'ПР 01-02.22'!$A$11:$BB$378,37,FALSE)</f>
        <v>206.24998901938147</v>
      </c>
      <c r="AL216" s="5">
        <f>VLOOKUP($A216,'ПР 01-02.21'!$A$11:$BB$406,38,FALSE)+VLOOKUP($A216,'ПР 21-22'!$A$11:$BB$406,38,FALSE)-VLOOKUP($A216,'ПР 01-02.22'!$A$11:$BB$378,38,FALSE)</f>
        <v>0</v>
      </c>
      <c r="AM216" s="40"/>
      <c r="AN216" s="5">
        <f>VLOOKUP($A216,'ПР 01-02.21'!$A$11:$BB$406,40,FALSE)+VLOOKUP($A216,'ПР 21-22'!$A$11:$BB$406,40,FALSE)-VLOOKUP($A216,'ПР 01-02.22'!$A$11:$BB$378,40,FALSE)</f>
        <v>0</v>
      </c>
      <c r="AO216" s="5">
        <f>VLOOKUP($A216,'ПР 01-02.21'!$A$11:$BB$406,41,FALSE)+VLOOKUP($A216,'ПР 21-22'!$A$11:$BB$406,41,FALSE)-VLOOKUP($A216,'ПР 01-02.22'!$A$11:$BB$378,41,FALSE)</f>
        <v>0</v>
      </c>
      <c r="AP216" s="40"/>
      <c r="AQ216" s="5">
        <f>VLOOKUP($A216,'ПР 01-02.21'!$A$11:$BB$406,43,FALSE)+VLOOKUP($A216,'ПР 21-22'!$A$11:$BB$406,43,FALSE)-VLOOKUP($A216,'ПР 01-02.22'!$A$11:$BB$378,43,FALSE)</f>
        <v>0</v>
      </c>
      <c r="AR216" s="5">
        <f>VLOOKUP($A216,'ПР 01-02.21'!$A$11:$BB$406,44,FALSE)+VLOOKUP($A216,'ПР 21-22'!$A$11:$BB$406,44,FALSE)-VLOOKUP($A216,'ПР 01-02.22'!$A$11:$BB$378,44,FALSE)</f>
        <v>0</v>
      </c>
      <c r="AS216" s="40"/>
      <c r="AT216" s="5">
        <f>VLOOKUP($A216,'ПР 01-02.21'!$A$11:$BB$406,46,FALSE)+VLOOKUP($A216,'ПР 21-22'!$A$11:$BB$406,46,FALSE)-VLOOKUP($A216,'ПР 01-02.22'!$A$11:$BB$378,46,FALSE)</f>
        <v>236.98796788994855</v>
      </c>
      <c r="AU216" s="5">
        <f>VLOOKUP($A216,'ПР 01-02.21'!$A$11:$BB$406,47,FALSE)+VLOOKUP($A216,'ПР 21-22'!$A$11:$BB$406,47,FALSE)-VLOOKUP($A216,'ПР 01-02.22'!$A$11:$BB$378,47,FALSE)</f>
        <v>0</v>
      </c>
      <c r="AV216" s="40"/>
      <c r="AW216" s="5">
        <f>VLOOKUP($A216,'ПР 01-02.21'!$A$11:$BB$406,49,FALSE)+VLOOKUP($A216,'ПР 21-22'!$A$11:$BB$406,49,FALSE)-VLOOKUP($A216,'ПР 01-02.22'!$A$11:$BB$378,49,FALSE)</f>
        <v>146.95637986154387</v>
      </c>
      <c r="AX216" s="5">
        <f>VLOOKUP($A216,'ПР 01-02.21'!$A$11:$BB$406,50,FALSE)+VLOOKUP($A216,'ПР 21-22'!$A$11:$BB$406,50,FALSE)-VLOOKUP($A216,'ПР 01-02.22'!$A$11:$BB$378,50,FALSE)</f>
        <v>0</v>
      </c>
      <c r="AY216" s="40"/>
      <c r="AZ216" s="40">
        <f t="shared" si="13"/>
        <v>1415.5696838894899</v>
      </c>
      <c r="BA216" s="40">
        <f t="shared" si="13"/>
        <v>6.5</v>
      </c>
      <c r="BB216" s="55">
        <f t="shared" si="16"/>
        <v>-1409.0696838894899</v>
      </c>
      <c r="BD216" s="2">
        <v>1</v>
      </c>
      <c r="BF216" s="325">
        <v>150000954</v>
      </c>
    </row>
    <row r="217" spans="1:58" ht="24.9" customHeight="1" x14ac:dyDescent="0.3">
      <c r="A217" s="325">
        <v>150000929</v>
      </c>
      <c r="B217" s="445" t="s">
        <v>1034</v>
      </c>
      <c r="C217" s="27">
        <v>2</v>
      </c>
      <c r="D217" s="101" t="s">
        <v>455</v>
      </c>
      <c r="E217" s="279">
        <f>'побудинковий звіт'!E215</f>
        <v>488.8</v>
      </c>
      <c r="F217" s="441">
        <f>'побудинковий звіт'!AS215</f>
        <v>7065.015591543437</v>
      </c>
      <c r="G217" s="441">
        <f t="shared" si="14"/>
        <v>2090.5734664795859</v>
      </c>
      <c r="H217" s="73">
        <f t="shared" si="15"/>
        <v>-4974.4421250638516</v>
      </c>
      <c r="I217" s="5">
        <f>VLOOKUP($A217,'ПР 01-02.21'!$A$11:$BB$406,9,FALSE)+VLOOKUP($A217,'ПР 21-22'!$A$11:$BB$406,9,FALSE)-VLOOKUP($A217,'ПР 01-02.22'!$A$11:$BB$378,9,FALSE)</f>
        <v>0</v>
      </c>
      <c r="J217" s="5">
        <f>VLOOKUP($A217,'ПР 01-02.21'!$A$11:$BB$406,10,FALSE)+VLOOKUP($A217,'ПР 21-22'!$A$11:$BB$406,10,FALSE)-VLOOKUP($A217,'ПР 01-02.22'!$A$11:$BB$378,10,FALSE)</f>
        <v>0</v>
      </c>
      <c r="K217" s="446"/>
      <c r="L217" s="5">
        <f>VLOOKUP($A217,'ПР 01-02.21'!$A$11:$BB$406,12,FALSE)+VLOOKUP($A217,'ПР 21-22'!$A$11:$BB$406,12,FALSE)-VLOOKUP($A217,'ПР 01-02.22'!$A$11:$BB$378,12,FALSE)</f>
        <v>0</v>
      </c>
      <c r="M217" s="5">
        <f>VLOOKUP($A217,'ПР 01-02.21'!$A$11:$BB$406,13,FALSE)+VLOOKUP($A217,'ПР 21-22'!$A$11:$BB$406,13,FALSE)-VLOOKUP($A217,'ПР 01-02.22'!$A$11:$BB$378,13,FALSE)</f>
        <v>0</v>
      </c>
      <c r="N217" s="38"/>
      <c r="O217" s="5">
        <f>VLOOKUP($A217,'ПР 01-02.21'!$A$11:$BB$406,15,FALSE)+VLOOKUP($A217,'ПР 21-22'!$A$11:$BB$406,15,FALSE)-VLOOKUP($A217,'ПР 01-02.22'!$A$11:$BB$378,15,FALSE)</f>
        <v>0</v>
      </c>
      <c r="P217" s="5">
        <f>VLOOKUP($A217,'ПР 01-02.21'!$A$11:$BB$406,16,FALSE)+VLOOKUP($A217,'ПР 21-22'!$A$11:$BB$406,16,FALSE)-VLOOKUP($A217,'ПР 01-02.22'!$A$11:$BB$378,16,FALSE)</f>
        <v>0</v>
      </c>
      <c r="Q217" s="443"/>
      <c r="R217" s="5">
        <f>VLOOKUP($A217,'ПР 01-02.21'!$A$11:$BB$406,18,FALSE)+VLOOKUP($A217,'ПР 21-22'!$A$11:$BB$406,18,FALSE)-VLOOKUP($A217,'ПР 01-02.22'!$A$11:$BB$378,18,FALSE)</f>
        <v>0</v>
      </c>
      <c r="S217" s="5">
        <f>VLOOKUP($A217,'ПР 01-02.21'!$A$11:$BB$406,19,FALSE)+VLOOKUP($A217,'ПР 21-22'!$A$11:$BB$406,19,FALSE)-VLOOKUP($A217,'ПР 01-02.22'!$A$11:$BB$378,19,FALSE)</f>
        <v>0</v>
      </c>
      <c r="T217" s="444"/>
      <c r="U217" s="5">
        <f>VLOOKUP($A217,'ПР 01-02.21'!$A$11:$BB$406,21,FALSE)+VLOOKUP($A217,'ПР 21-22'!$A$11:$BB$406,21,FALSE)-VLOOKUP($A217,'ПР 01-02.22'!$A$11:$BB$378,21,FALSE)</f>
        <v>0</v>
      </c>
      <c r="V217" s="5"/>
      <c r="W217" s="5">
        <f>VLOOKUP($A217,'ПР 01-02.21'!$A$11:$BB$406,23,FALSE)+VLOOKUP($A217,'ПР 21-22'!$A$11:$BB$406,23,FALSE)-VLOOKUP($A217,'ПР 01-02.22'!$A$11:$BB$378,23,FALSE)</f>
        <v>0</v>
      </c>
      <c r="X217" s="5">
        <f>VLOOKUP($A217,'ПР 01-02.21'!$A$11:$BB$406,24,FALSE)+VLOOKUP($A217,'ПР 21-22'!$A$11:$BB$406,24,FALSE)-VLOOKUP($A217,'ПР 01-02.22'!$A$11:$BB$378,24,FALSE)</f>
        <v>106.57346647958609</v>
      </c>
      <c r="Y217" s="5">
        <f>VLOOKUP($A217,'ПР 01-02.21'!$A$11:$BB$406,25,FALSE)+VLOOKUP($A217,'ПР 21-22'!$A$11:$BB$406,25,FALSE)-VLOOKUP($A217,'ПР 01-02.22'!$A$11:$BB$378,25,FALSE)</f>
        <v>0</v>
      </c>
      <c r="Z217" s="5"/>
      <c r="AA217" s="5">
        <f>VLOOKUP($A217,'ПР 01-02.21'!$A$11:$BB$406,27,FALSE)+VLOOKUP($A217,'ПР 21-22'!$A$11:$BB$406,27,FALSE)-VLOOKUP($A217,'ПР 01-02.22'!$A$11:$BB$378,27,FALSE)</f>
        <v>0</v>
      </c>
      <c r="AB217" s="5">
        <f>VLOOKUP($A217,'ПР 01-02.21'!$A$11:$BB$406,28,FALSE)+VLOOKUP($A217,'ПР 21-22'!$A$11:$BB$406,28,FALSE)-VLOOKUP($A217,'ПР 01-02.22'!$A$11:$BB$378,28,FALSE)</f>
        <v>0</v>
      </c>
      <c r="AC217" s="5">
        <f>VLOOKUP($A217,'ПР 01-02.21'!$A$11:$BB$406,29,FALSE)+VLOOKUP($A217,'ПР 21-22'!$A$11:$BB$406,29,FALSE)-VLOOKUP($A217,'ПР 01-02.22'!$A$11:$BB$378,29,FALSE)</f>
        <v>0</v>
      </c>
      <c r="AD217" s="5">
        <f>VLOOKUP($A217,'ПР 01-02.21'!$A$11:$BB$406,30,FALSE)+VLOOKUP($A217,'ПР 21-22'!$A$11:$BB$406,30,FALSE)-VLOOKUP($A217,'ПР 01-02.22'!$A$11:$BB$378,30,FALSE)</f>
        <v>1984</v>
      </c>
      <c r="AE217" s="5">
        <f>VLOOKUP($A217,'ПР 01-02.21'!$A$11:$BB$406,31,FALSE)+VLOOKUP($A217,'ПР 21-22'!$A$11:$BB$406,31,FALSE)-VLOOKUP($A217,'ПР 01-02.22'!$A$11:$BB$378,31,FALSE)</f>
        <v>866.17503965059484</v>
      </c>
      <c r="AF217" s="5">
        <f>VLOOKUP($A217,'ПР 01-02.21'!$A$11:$BB$406,32,FALSE)+VLOOKUP($A217,'ПР 21-22'!$A$11:$BB$406,32,FALSE)-VLOOKUP($A217,'ПР 01-02.22'!$A$11:$BB$378,32,FALSE)</f>
        <v>0</v>
      </c>
      <c r="AG217" s="40"/>
      <c r="AH217" s="5">
        <f>VLOOKUP($A217,'ПР 01-02.21'!$A$11:$BB$406,34,FALSE)+VLOOKUP($A217,'ПР 21-22'!$A$11:$BB$406,34,FALSE)-VLOOKUP($A217,'ПР 01-02.22'!$A$11:$BB$378,34,FALSE)</f>
        <v>1027.6042211297445</v>
      </c>
      <c r="AI217" s="5">
        <f>VLOOKUP($A217,'ПР 01-02.21'!$A$11:$BB$406,35,FALSE)+VLOOKUP($A217,'ПР 21-22'!$A$11:$BB$406,35,FALSE)-VLOOKUP($A217,'ПР 01-02.22'!$A$11:$BB$378,35,FALSE)</f>
        <v>0</v>
      </c>
      <c r="AJ217" s="40"/>
      <c r="AK217" s="5">
        <f>VLOOKUP($A217,'ПР 01-02.21'!$A$11:$BB$406,37,FALSE)+VLOOKUP($A217,'ПР 21-22'!$A$11:$BB$406,37,FALSE)-VLOOKUP($A217,'ПР 01-02.22'!$A$11:$BB$378,37,FALSE)</f>
        <v>0</v>
      </c>
      <c r="AL217" s="5">
        <f>VLOOKUP($A217,'ПР 01-02.21'!$A$11:$BB$406,38,FALSE)+VLOOKUP($A217,'ПР 21-22'!$A$11:$BB$406,38,FALSE)-VLOOKUP($A217,'ПР 01-02.22'!$A$11:$BB$378,38,FALSE)</f>
        <v>0</v>
      </c>
      <c r="AM217" s="40"/>
      <c r="AN217" s="5">
        <f>VLOOKUP($A217,'ПР 01-02.21'!$A$11:$BB$406,40,FALSE)+VLOOKUP($A217,'ПР 21-22'!$A$11:$BB$406,40,FALSE)-VLOOKUP($A217,'ПР 01-02.22'!$A$11:$BB$378,40,FALSE)</f>
        <v>0</v>
      </c>
      <c r="AO217" s="5">
        <f>VLOOKUP($A217,'ПР 01-02.21'!$A$11:$BB$406,41,FALSE)+VLOOKUP($A217,'ПР 21-22'!$A$11:$BB$406,41,FALSE)-VLOOKUP($A217,'ПР 01-02.22'!$A$11:$BB$378,41,FALSE)</f>
        <v>0</v>
      </c>
      <c r="AP217" s="40"/>
      <c r="AQ217" s="5">
        <f>VLOOKUP($A217,'ПР 01-02.21'!$A$11:$BB$406,43,FALSE)+VLOOKUP($A217,'ПР 21-22'!$A$11:$BB$406,43,FALSE)-VLOOKUP($A217,'ПР 01-02.22'!$A$11:$BB$378,43,FALSE)</f>
        <v>0</v>
      </c>
      <c r="AR217" s="5">
        <f>VLOOKUP($A217,'ПР 01-02.21'!$A$11:$BB$406,44,FALSE)+VLOOKUP($A217,'ПР 21-22'!$A$11:$BB$406,44,FALSE)-VLOOKUP($A217,'ПР 01-02.22'!$A$11:$BB$378,44,FALSE)</f>
        <v>0</v>
      </c>
      <c r="AS217" s="40"/>
      <c r="AT217" s="5">
        <f>VLOOKUP($A217,'ПР 01-02.21'!$A$11:$BB$406,46,FALSE)+VLOOKUP($A217,'ПР 21-22'!$A$11:$BB$406,46,FALSE)-VLOOKUP($A217,'ПР 01-02.22'!$A$11:$BB$378,46,FALSE)</f>
        <v>104.35946978690464</v>
      </c>
      <c r="AU217" s="5">
        <f>VLOOKUP($A217,'ПР 01-02.21'!$A$11:$BB$406,47,FALSE)+VLOOKUP($A217,'ПР 21-22'!$A$11:$BB$406,47,FALSE)-VLOOKUP($A217,'ПР 01-02.22'!$A$11:$BB$378,47,FALSE)</f>
        <v>703</v>
      </c>
      <c r="AV217" s="40"/>
      <c r="AW217" s="5">
        <f>VLOOKUP($A217,'ПР 01-02.21'!$A$11:$BB$406,49,FALSE)+VLOOKUP($A217,'ПР 21-22'!$A$11:$BB$406,49,FALSE)-VLOOKUP($A217,'ПР 01-02.22'!$A$11:$BB$378,49,FALSE)</f>
        <v>24.56</v>
      </c>
      <c r="AX217" s="5">
        <f>VLOOKUP($A217,'ПР 01-02.21'!$A$11:$BB$406,50,FALSE)+VLOOKUP($A217,'ПР 21-22'!$A$11:$BB$406,50,FALSE)-VLOOKUP($A217,'ПР 01-02.22'!$A$11:$BB$378,50,FALSE)</f>
        <v>0</v>
      </c>
      <c r="AY217" s="40"/>
      <c r="AZ217" s="40">
        <f t="shared" si="13"/>
        <v>2022.698730567244</v>
      </c>
      <c r="BA217" s="40">
        <f t="shared" si="13"/>
        <v>703</v>
      </c>
      <c r="BB217" s="55">
        <f t="shared" si="16"/>
        <v>-1319.698730567244</v>
      </c>
      <c r="BD217" s="2">
        <v>2</v>
      </c>
      <c r="BF217" s="325">
        <v>150000929</v>
      </c>
    </row>
    <row r="218" spans="1:58" ht="24.9" customHeight="1" x14ac:dyDescent="0.3">
      <c r="A218" s="325">
        <v>150000930</v>
      </c>
      <c r="B218" s="445" t="s">
        <v>173</v>
      </c>
      <c r="C218" s="27">
        <v>2</v>
      </c>
      <c r="D218" s="101" t="s">
        <v>455</v>
      </c>
      <c r="E218" s="279">
        <f>'побудинковий звіт'!E216</f>
        <v>327.9</v>
      </c>
      <c r="F218" s="441">
        <f>'побудинковий звіт'!AS216</f>
        <v>3624.1540457867291</v>
      </c>
      <c r="G218" s="441">
        <f t="shared" si="14"/>
        <v>0</v>
      </c>
      <c r="H218" s="73">
        <f t="shared" si="15"/>
        <v>-3624.1540457867291</v>
      </c>
      <c r="I218" s="5">
        <f>VLOOKUP($A218,'ПР 01-02.21'!$A$11:$BB$406,9,FALSE)+VLOOKUP($A218,'ПР 21-22'!$A$11:$BB$406,9,FALSE)-VLOOKUP($A218,'ПР 01-02.22'!$A$11:$BB$378,9,FALSE)</f>
        <v>0</v>
      </c>
      <c r="J218" s="5">
        <f>VLOOKUP($A218,'ПР 01-02.21'!$A$11:$BB$406,10,FALSE)+VLOOKUP($A218,'ПР 21-22'!$A$11:$BB$406,10,FALSE)-VLOOKUP($A218,'ПР 01-02.22'!$A$11:$BB$378,10,FALSE)</f>
        <v>0</v>
      </c>
      <c r="K218" s="446"/>
      <c r="L218" s="5">
        <f>VLOOKUP($A218,'ПР 01-02.21'!$A$11:$BB$406,12,FALSE)+VLOOKUP($A218,'ПР 21-22'!$A$11:$BB$406,12,FALSE)-VLOOKUP($A218,'ПР 01-02.22'!$A$11:$BB$378,12,FALSE)</f>
        <v>0</v>
      </c>
      <c r="M218" s="5">
        <f>VLOOKUP($A218,'ПР 01-02.21'!$A$11:$BB$406,13,FALSE)+VLOOKUP($A218,'ПР 21-22'!$A$11:$BB$406,13,FALSE)-VLOOKUP($A218,'ПР 01-02.22'!$A$11:$BB$378,13,FALSE)</f>
        <v>0</v>
      </c>
      <c r="N218" s="38"/>
      <c r="O218" s="5">
        <f>VLOOKUP($A218,'ПР 01-02.21'!$A$11:$BB$406,15,FALSE)+VLOOKUP($A218,'ПР 21-22'!$A$11:$BB$406,15,FALSE)-VLOOKUP($A218,'ПР 01-02.22'!$A$11:$BB$378,15,FALSE)</f>
        <v>0</v>
      </c>
      <c r="P218" s="5">
        <f>VLOOKUP($A218,'ПР 01-02.21'!$A$11:$BB$406,16,FALSE)+VLOOKUP($A218,'ПР 21-22'!$A$11:$BB$406,16,FALSE)-VLOOKUP($A218,'ПР 01-02.22'!$A$11:$BB$378,16,FALSE)</f>
        <v>0</v>
      </c>
      <c r="Q218" s="443"/>
      <c r="R218" s="5">
        <f>VLOOKUP($A218,'ПР 01-02.21'!$A$11:$BB$406,18,FALSE)+VLOOKUP($A218,'ПР 21-22'!$A$11:$BB$406,18,FALSE)-VLOOKUP($A218,'ПР 01-02.22'!$A$11:$BB$378,18,FALSE)</f>
        <v>0</v>
      </c>
      <c r="S218" s="5">
        <f>VLOOKUP($A218,'ПР 01-02.21'!$A$11:$BB$406,19,FALSE)+VLOOKUP($A218,'ПР 21-22'!$A$11:$BB$406,19,FALSE)-VLOOKUP($A218,'ПР 01-02.22'!$A$11:$BB$378,19,FALSE)</f>
        <v>0</v>
      </c>
      <c r="T218" s="444"/>
      <c r="U218" s="5">
        <f>VLOOKUP($A218,'ПР 01-02.21'!$A$11:$BB$406,21,FALSE)+VLOOKUP($A218,'ПР 21-22'!$A$11:$BB$406,21,FALSE)-VLOOKUP($A218,'ПР 01-02.22'!$A$11:$BB$378,21,FALSE)</f>
        <v>0</v>
      </c>
      <c r="V218" s="5"/>
      <c r="W218" s="5">
        <f>VLOOKUP($A218,'ПР 01-02.21'!$A$11:$BB$406,23,FALSE)+VLOOKUP($A218,'ПР 21-22'!$A$11:$BB$406,23,FALSE)-VLOOKUP($A218,'ПР 01-02.22'!$A$11:$BB$378,23,FALSE)</f>
        <v>0</v>
      </c>
      <c r="X218" s="5">
        <f>VLOOKUP($A218,'ПР 01-02.21'!$A$11:$BB$406,24,FALSE)+VLOOKUP($A218,'ПР 21-22'!$A$11:$BB$406,24,FALSE)-VLOOKUP($A218,'ПР 01-02.22'!$A$11:$BB$378,24,FALSE)</f>
        <v>0</v>
      </c>
      <c r="Y218" s="5">
        <f>VLOOKUP($A218,'ПР 01-02.21'!$A$11:$BB$406,25,FALSE)+VLOOKUP($A218,'ПР 21-22'!$A$11:$BB$406,25,FALSE)-VLOOKUP($A218,'ПР 01-02.22'!$A$11:$BB$378,25,FALSE)</f>
        <v>0</v>
      </c>
      <c r="Z218" s="5"/>
      <c r="AA218" s="5">
        <f>VLOOKUP($A218,'ПР 01-02.21'!$A$11:$BB$406,27,FALSE)+VLOOKUP($A218,'ПР 21-22'!$A$11:$BB$406,27,FALSE)-VLOOKUP($A218,'ПР 01-02.22'!$A$11:$BB$378,27,FALSE)</f>
        <v>0</v>
      </c>
      <c r="AB218" s="5">
        <f>VLOOKUP($A218,'ПР 01-02.21'!$A$11:$BB$406,28,FALSE)+VLOOKUP($A218,'ПР 21-22'!$A$11:$BB$406,28,FALSE)-VLOOKUP($A218,'ПР 01-02.22'!$A$11:$BB$378,28,FALSE)</f>
        <v>0</v>
      </c>
      <c r="AC218" s="5">
        <f>VLOOKUP($A218,'ПР 01-02.21'!$A$11:$BB$406,29,FALSE)+VLOOKUP($A218,'ПР 21-22'!$A$11:$BB$406,29,FALSE)-VLOOKUP($A218,'ПР 01-02.22'!$A$11:$BB$378,29,FALSE)</f>
        <v>0</v>
      </c>
      <c r="AD218" s="5">
        <f>VLOOKUP($A218,'ПР 01-02.21'!$A$11:$BB$406,30,FALSE)+VLOOKUP($A218,'ПР 21-22'!$A$11:$BB$406,30,FALSE)-VLOOKUP($A218,'ПР 01-02.22'!$A$11:$BB$378,30,FALSE)</f>
        <v>0</v>
      </c>
      <c r="AE218" s="5">
        <f>VLOOKUP($A218,'ПР 01-02.21'!$A$11:$BB$406,31,FALSE)+VLOOKUP($A218,'ПР 21-22'!$A$11:$BB$406,31,FALSE)-VLOOKUP($A218,'ПР 01-02.22'!$A$11:$BB$378,31,FALSE)</f>
        <v>501.81663200085848</v>
      </c>
      <c r="AF218" s="5">
        <f>VLOOKUP($A218,'ПР 01-02.21'!$A$11:$BB$406,32,FALSE)+VLOOKUP($A218,'ПР 21-22'!$A$11:$BB$406,32,FALSE)-VLOOKUP($A218,'ПР 01-02.22'!$A$11:$BB$378,32,FALSE)</f>
        <v>0</v>
      </c>
      <c r="AG218" s="40"/>
      <c r="AH218" s="5">
        <f>VLOOKUP($A218,'ПР 01-02.21'!$A$11:$BB$406,34,FALSE)+VLOOKUP($A218,'ПР 21-22'!$A$11:$BB$406,34,FALSE)-VLOOKUP($A218,'ПР 01-02.22'!$A$11:$BB$378,34,FALSE)</f>
        <v>621.16793470068001</v>
      </c>
      <c r="AI218" s="5">
        <f>VLOOKUP($A218,'ПР 01-02.21'!$A$11:$BB$406,35,FALSE)+VLOOKUP($A218,'ПР 21-22'!$A$11:$BB$406,35,FALSE)-VLOOKUP($A218,'ПР 01-02.22'!$A$11:$BB$378,35,FALSE)</f>
        <v>0</v>
      </c>
      <c r="AJ218" s="40"/>
      <c r="AK218" s="5">
        <f>VLOOKUP($A218,'ПР 01-02.21'!$A$11:$BB$406,37,FALSE)+VLOOKUP($A218,'ПР 21-22'!$A$11:$BB$406,37,FALSE)-VLOOKUP($A218,'ПР 01-02.22'!$A$11:$BB$378,37,FALSE)</f>
        <v>190.7866149710589</v>
      </c>
      <c r="AL218" s="5">
        <f>VLOOKUP($A218,'ПР 01-02.21'!$A$11:$BB$406,38,FALSE)+VLOOKUP($A218,'ПР 21-22'!$A$11:$BB$406,38,FALSE)-VLOOKUP($A218,'ПР 01-02.22'!$A$11:$BB$378,38,FALSE)</f>
        <v>0</v>
      </c>
      <c r="AM218" s="40"/>
      <c r="AN218" s="5">
        <f>VLOOKUP($A218,'ПР 01-02.21'!$A$11:$BB$406,40,FALSE)+VLOOKUP($A218,'ПР 21-22'!$A$11:$BB$406,40,FALSE)-VLOOKUP($A218,'ПР 01-02.22'!$A$11:$BB$378,40,FALSE)</f>
        <v>0</v>
      </c>
      <c r="AO218" s="5">
        <f>VLOOKUP($A218,'ПР 01-02.21'!$A$11:$BB$406,41,FALSE)+VLOOKUP($A218,'ПР 21-22'!$A$11:$BB$406,41,FALSE)-VLOOKUP($A218,'ПР 01-02.22'!$A$11:$BB$378,41,FALSE)</f>
        <v>0</v>
      </c>
      <c r="AP218" s="40"/>
      <c r="AQ218" s="5">
        <f>VLOOKUP($A218,'ПР 01-02.21'!$A$11:$BB$406,43,FALSE)+VLOOKUP($A218,'ПР 21-22'!$A$11:$BB$406,43,FALSE)-VLOOKUP($A218,'ПР 01-02.22'!$A$11:$BB$378,43,FALSE)</f>
        <v>0</v>
      </c>
      <c r="AR218" s="5">
        <f>VLOOKUP($A218,'ПР 01-02.21'!$A$11:$BB$406,44,FALSE)+VLOOKUP($A218,'ПР 21-22'!$A$11:$BB$406,44,FALSE)-VLOOKUP($A218,'ПР 01-02.22'!$A$11:$BB$378,44,FALSE)</f>
        <v>0</v>
      </c>
      <c r="AS218" s="40"/>
      <c r="AT218" s="5">
        <f>VLOOKUP($A218,'ПР 01-02.21'!$A$11:$BB$406,46,FALSE)+VLOOKUP($A218,'ПР 21-22'!$A$11:$BB$406,46,FALSE)-VLOOKUP($A218,'ПР 01-02.22'!$A$11:$BB$378,46,FALSE)</f>
        <v>52.600040000392667</v>
      </c>
      <c r="AU218" s="5">
        <f>VLOOKUP($A218,'ПР 01-02.21'!$A$11:$BB$406,47,FALSE)+VLOOKUP($A218,'ПР 21-22'!$A$11:$BB$406,47,FALSE)-VLOOKUP($A218,'ПР 01-02.22'!$A$11:$BB$378,47,FALSE)</f>
        <v>0</v>
      </c>
      <c r="AV218" s="40"/>
      <c r="AW218" s="5">
        <f>VLOOKUP($A218,'ПР 01-02.21'!$A$11:$BB$406,49,FALSE)+VLOOKUP($A218,'ПР 21-22'!$A$11:$BB$406,49,FALSE)-VLOOKUP($A218,'ПР 01-02.22'!$A$11:$BB$378,49,FALSE)</f>
        <v>15.956</v>
      </c>
      <c r="AX218" s="5">
        <f>VLOOKUP($A218,'ПР 01-02.21'!$A$11:$BB$406,50,FALSE)+VLOOKUP($A218,'ПР 21-22'!$A$11:$BB$406,50,FALSE)-VLOOKUP($A218,'ПР 01-02.22'!$A$11:$BB$378,50,FALSE)</f>
        <v>0</v>
      </c>
      <c r="AY218" s="40"/>
      <c r="AZ218" s="40">
        <f t="shared" si="13"/>
        <v>1382.3272216729899</v>
      </c>
      <c r="BA218" s="40">
        <f t="shared" si="13"/>
        <v>0</v>
      </c>
      <c r="BB218" s="55">
        <f t="shared" si="16"/>
        <v>-1382.3272216729899</v>
      </c>
      <c r="BD218" s="2">
        <v>2</v>
      </c>
      <c r="BF218" s="325">
        <v>150000930</v>
      </c>
    </row>
    <row r="219" spans="1:58" ht="24.9" customHeight="1" x14ac:dyDescent="0.3">
      <c r="A219" s="325">
        <v>150000931</v>
      </c>
      <c r="B219" s="445" t="s">
        <v>267</v>
      </c>
      <c r="C219" s="27">
        <v>5</v>
      </c>
      <c r="D219" s="101" t="s">
        <v>455</v>
      </c>
      <c r="E219" s="279">
        <f>'побудинковий звіт'!E217</f>
        <v>2292.33</v>
      </c>
      <c r="F219" s="441">
        <f>'побудинковий звіт'!AS217</f>
        <v>20228.339725946655</v>
      </c>
      <c r="G219" s="441">
        <f t="shared" si="14"/>
        <v>16676.739999999998</v>
      </c>
      <c r="H219" s="73">
        <f t="shared" si="15"/>
        <v>-3551.5997259466567</v>
      </c>
      <c r="I219" s="5">
        <f>VLOOKUP($A219,'ПР 01-02.21'!$A$11:$BB$406,9,FALSE)+VLOOKUP($A219,'ПР 21-22'!$A$11:$BB$406,9,FALSE)-VLOOKUP($A219,'ПР 01-02.22'!$A$11:$BB$378,9,FALSE)</f>
        <v>0</v>
      </c>
      <c r="J219" s="5">
        <f>VLOOKUP($A219,'ПР 01-02.21'!$A$11:$BB$406,10,FALSE)+VLOOKUP($A219,'ПР 21-22'!$A$11:$BB$406,10,FALSE)-VLOOKUP($A219,'ПР 01-02.22'!$A$11:$BB$378,10,FALSE)</f>
        <v>0</v>
      </c>
      <c r="K219" s="446"/>
      <c r="L219" s="5">
        <f>VLOOKUP($A219,'ПР 01-02.21'!$A$11:$BB$406,12,FALSE)+VLOOKUP($A219,'ПР 21-22'!$A$11:$BB$406,12,FALSE)-VLOOKUP($A219,'ПР 01-02.22'!$A$11:$BB$378,12,FALSE)</f>
        <v>0</v>
      </c>
      <c r="M219" s="5">
        <f>VLOOKUP($A219,'ПР 01-02.21'!$A$11:$BB$406,13,FALSE)+VLOOKUP($A219,'ПР 21-22'!$A$11:$BB$406,13,FALSE)-VLOOKUP($A219,'ПР 01-02.22'!$A$11:$BB$378,13,FALSE)</f>
        <v>0</v>
      </c>
      <c r="N219" s="38"/>
      <c r="O219" s="5">
        <f>VLOOKUP($A219,'ПР 01-02.21'!$A$11:$BB$406,15,FALSE)+VLOOKUP($A219,'ПР 21-22'!$A$11:$BB$406,15,FALSE)-VLOOKUP($A219,'ПР 01-02.22'!$A$11:$BB$378,15,FALSE)</f>
        <v>0</v>
      </c>
      <c r="P219" s="5">
        <f>VLOOKUP($A219,'ПР 01-02.21'!$A$11:$BB$406,16,FALSE)+VLOOKUP($A219,'ПР 21-22'!$A$11:$BB$406,16,FALSE)-VLOOKUP($A219,'ПР 01-02.22'!$A$11:$BB$378,16,FALSE)</f>
        <v>0</v>
      </c>
      <c r="Q219" s="443"/>
      <c r="R219" s="5">
        <f>VLOOKUP($A219,'ПР 01-02.21'!$A$11:$BB$406,18,FALSE)+VLOOKUP($A219,'ПР 21-22'!$A$11:$BB$406,18,FALSE)-VLOOKUP($A219,'ПР 01-02.22'!$A$11:$BB$378,18,FALSE)</f>
        <v>0</v>
      </c>
      <c r="S219" s="5">
        <f>VLOOKUP($A219,'ПР 01-02.21'!$A$11:$BB$406,19,FALSE)+VLOOKUP($A219,'ПР 21-22'!$A$11:$BB$406,19,FALSE)-VLOOKUP($A219,'ПР 01-02.22'!$A$11:$BB$378,19,FALSE)</f>
        <v>0</v>
      </c>
      <c r="T219" s="444"/>
      <c r="U219" s="5">
        <f>VLOOKUP($A219,'ПР 01-02.21'!$A$11:$BB$406,21,FALSE)+VLOOKUP($A219,'ПР 21-22'!$A$11:$BB$406,21,FALSE)-VLOOKUP($A219,'ПР 01-02.22'!$A$11:$BB$378,21,FALSE)</f>
        <v>0</v>
      </c>
      <c r="V219" s="5"/>
      <c r="W219" s="5">
        <f>VLOOKUP($A219,'ПР 01-02.21'!$A$11:$BB$406,23,FALSE)+VLOOKUP($A219,'ПР 21-22'!$A$11:$BB$406,23,FALSE)-VLOOKUP($A219,'ПР 01-02.22'!$A$11:$BB$378,23,FALSE)</f>
        <v>4</v>
      </c>
      <c r="X219" s="5">
        <f>VLOOKUP($A219,'ПР 01-02.21'!$A$11:$BB$406,24,FALSE)+VLOOKUP($A219,'ПР 21-22'!$A$11:$BB$406,24,FALSE)-VLOOKUP($A219,'ПР 01-02.22'!$A$11:$BB$378,24,FALSE)</f>
        <v>1833.74</v>
      </c>
      <c r="Y219" s="5">
        <f>VLOOKUP($A219,'ПР 01-02.21'!$A$11:$BB$406,25,FALSE)+VLOOKUP($A219,'ПР 21-22'!$A$11:$BB$406,25,FALSE)-VLOOKUP($A219,'ПР 01-02.22'!$A$11:$BB$378,25,FALSE)</f>
        <v>14018</v>
      </c>
      <c r="Z219" s="5"/>
      <c r="AA219" s="5">
        <f>VLOOKUP($A219,'ПР 01-02.21'!$A$11:$BB$406,27,FALSE)+VLOOKUP($A219,'ПР 21-22'!$A$11:$BB$406,27,FALSE)-VLOOKUP($A219,'ПР 01-02.22'!$A$11:$BB$378,27,FALSE)</f>
        <v>0</v>
      </c>
      <c r="AB219" s="5">
        <f>VLOOKUP($A219,'ПР 01-02.21'!$A$11:$BB$406,28,FALSE)+VLOOKUP($A219,'ПР 21-22'!$A$11:$BB$406,28,FALSE)-VLOOKUP($A219,'ПР 01-02.22'!$A$11:$BB$378,28,FALSE)</f>
        <v>0</v>
      </c>
      <c r="AC219" s="5">
        <f>VLOOKUP($A219,'ПР 01-02.21'!$A$11:$BB$406,29,FALSE)+VLOOKUP($A219,'ПР 21-22'!$A$11:$BB$406,29,FALSE)-VLOOKUP($A219,'ПР 01-02.22'!$A$11:$BB$378,29,FALSE)</f>
        <v>825</v>
      </c>
      <c r="AD219" s="5">
        <f>VLOOKUP($A219,'ПР 01-02.21'!$A$11:$BB$406,30,FALSE)+VLOOKUP($A219,'ПР 21-22'!$A$11:$BB$406,30,FALSE)-VLOOKUP($A219,'ПР 01-02.22'!$A$11:$BB$378,30,FALSE)</f>
        <v>0</v>
      </c>
      <c r="AE219" s="5">
        <f>VLOOKUP($A219,'ПР 01-02.21'!$A$11:$BB$406,31,FALSE)+VLOOKUP($A219,'ПР 21-22'!$A$11:$BB$406,31,FALSE)-VLOOKUP($A219,'ПР 01-02.22'!$A$11:$BB$378,31,FALSE)</f>
        <v>2210.754501060494</v>
      </c>
      <c r="AF219" s="5">
        <f>VLOOKUP($A219,'ПР 01-02.21'!$A$11:$BB$406,32,FALSE)+VLOOKUP($A219,'ПР 21-22'!$A$11:$BB$406,32,FALSE)-VLOOKUP($A219,'ПР 01-02.22'!$A$11:$BB$378,32,FALSE)</f>
        <v>3274</v>
      </c>
      <c r="AG219" s="40"/>
      <c r="AH219" s="5">
        <f>VLOOKUP($A219,'ПР 01-02.21'!$A$11:$BB$406,34,FALSE)+VLOOKUP($A219,'ПР 21-22'!$A$11:$BB$406,34,FALSE)-VLOOKUP($A219,'ПР 01-02.22'!$A$11:$BB$378,34,FALSE)</f>
        <v>3019.9069536206425</v>
      </c>
      <c r="AI219" s="5">
        <f>VLOOKUP($A219,'ПР 01-02.21'!$A$11:$BB$406,35,FALSE)+VLOOKUP($A219,'ПР 21-22'!$A$11:$BB$406,35,FALSE)-VLOOKUP($A219,'ПР 01-02.22'!$A$11:$BB$378,35,FALSE)</f>
        <v>7393</v>
      </c>
      <c r="AJ219" s="40"/>
      <c r="AK219" s="5">
        <f>VLOOKUP($A219,'ПР 01-02.21'!$A$11:$BB$406,37,FALSE)+VLOOKUP($A219,'ПР 21-22'!$A$11:$BB$406,37,FALSE)-VLOOKUP($A219,'ПР 01-02.22'!$A$11:$BB$378,37,FALSE)</f>
        <v>1383.5945762591284</v>
      </c>
      <c r="AL219" s="5">
        <f>VLOOKUP($A219,'ПР 01-02.21'!$A$11:$BB$406,38,FALSE)+VLOOKUP($A219,'ПР 21-22'!$A$11:$BB$406,38,FALSE)-VLOOKUP($A219,'ПР 01-02.22'!$A$11:$BB$378,38,FALSE)</f>
        <v>0</v>
      </c>
      <c r="AM219" s="40"/>
      <c r="AN219" s="5">
        <f>VLOOKUP($A219,'ПР 01-02.21'!$A$11:$BB$406,40,FALSE)+VLOOKUP($A219,'ПР 21-22'!$A$11:$BB$406,40,FALSE)-VLOOKUP($A219,'ПР 01-02.22'!$A$11:$BB$378,40,FALSE)</f>
        <v>1829.3723031653049</v>
      </c>
      <c r="AO219" s="5">
        <f>VLOOKUP($A219,'ПР 01-02.21'!$A$11:$BB$406,41,FALSE)+VLOOKUP($A219,'ПР 21-22'!$A$11:$BB$406,41,FALSE)-VLOOKUP($A219,'ПР 01-02.22'!$A$11:$BB$378,41,FALSE)</f>
        <v>0</v>
      </c>
      <c r="AP219" s="40"/>
      <c r="AQ219" s="5">
        <f>VLOOKUP($A219,'ПР 01-02.21'!$A$11:$BB$406,43,FALSE)+VLOOKUP($A219,'ПР 21-22'!$A$11:$BB$406,43,FALSE)-VLOOKUP($A219,'ПР 01-02.22'!$A$11:$BB$378,43,FALSE)</f>
        <v>1026.7479782613534</v>
      </c>
      <c r="AR219" s="5">
        <f>VLOOKUP($A219,'ПР 01-02.21'!$A$11:$BB$406,44,FALSE)+VLOOKUP($A219,'ПР 21-22'!$A$11:$BB$406,44,FALSE)-VLOOKUP($A219,'ПР 01-02.22'!$A$11:$BB$378,44,FALSE)</f>
        <v>0</v>
      </c>
      <c r="AS219" s="40"/>
      <c r="AT219" s="5">
        <f>VLOOKUP($A219,'ПР 01-02.21'!$A$11:$BB$406,46,FALSE)+VLOOKUP($A219,'ПР 21-22'!$A$11:$BB$406,46,FALSE)-VLOOKUP($A219,'ПР 01-02.22'!$A$11:$BB$378,46,FALSE)</f>
        <v>1497.5063203619388</v>
      </c>
      <c r="AU219" s="5">
        <f>VLOOKUP($A219,'ПР 01-02.21'!$A$11:$BB$406,47,FALSE)+VLOOKUP($A219,'ПР 21-22'!$A$11:$BB$406,47,FALSE)-VLOOKUP($A219,'ПР 01-02.22'!$A$11:$BB$378,47,FALSE)</f>
        <v>0</v>
      </c>
      <c r="AV219" s="40"/>
      <c r="AW219" s="5">
        <f>VLOOKUP($A219,'ПР 01-02.21'!$A$11:$BB$406,49,FALSE)+VLOOKUP($A219,'ПР 21-22'!$A$11:$BB$406,49,FALSE)-VLOOKUP($A219,'ПР 01-02.22'!$A$11:$BB$378,49,FALSE)</f>
        <v>114.6932</v>
      </c>
      <c r="AX219" s="5">
        <f>VLOOKUP($A219,'ПР 01-02.21'!$A$11:$BB$406,50,FALSE)+VLOOKUP($A219,'ПР 21-22'!$A$11:$BB$406,50,FALSE)-VLOOKUP($A219,'ПР 01-02.22'!$A$11:$BB$378,50,FALSE)</f>
        <v>0</v>
      </c>
      <c r="AY219" s="40"/>
      <c r="AZ219" s="40">
        <f t="shared" si="13"/>
        <v>11082.575832728862</v>
      </c>
      <c r="BA219" s="40">
        <f t="shared" si="13"/>
        <v>10667</v>
      </c>
      <c r="BB219" s="55">
        <f t="shared" si="16"/>
        <v>-415.57583272886222</v>
      </c>
      <c r="BD219" s="2">
        <v>2</v>
      </c>
      <c r="BF219" s="325">
        <v>150000931</v>
      </c>
    </row>
    <row r="220" spans="1:58" ht="24.9" customHeight="1" x14ac:dyDescent="0.3">
      <c r="A220" s="325">
        <v>150000932</v>
      </c>
      <c r="B220" s="445" t="s">
        <v>174</v>
      </c>
      <c r="C220" s="27">
        <v>2</v>
      </c>
      <c r="D220" s="101" t="s">
        <v>455</v>
      </c>
      <c r="E220" s="279">
        <f>'побудинковий звіт'!E218</f>
        <v>354.3</v>
      </c>
      <c r="F220" s="441">
        <f>'побудинковий звіт'!AS218</f>
        <v>1889.6707700523584</v>
      </c>
      <c r="G220" s="441">
        <f t="shared" si="14"/>
        <v>5256.27</v>
      </c>
      <c r="H220" s="73">
        <f t="shared" si="15"/>
        <v>3366.599229947642</v>
      </c>
      <c r="I220" s="5">
        <f>VLOOKUP($A220,'ПР 01-02.21'!$A$11:$BB$406,9,FALSE)+VLOOKUP($A220,'ПР 21-22'!$A$11:$BB$406,9,FALSE)-VLOOKUP($A220,'ПР 01-02.22'!$A$11:$BB$378,9,FALSE)</f>
        <v>0</v>
      </c>
      <c r="J220" s="5">
        <f>VLOOKUP($A220,'ПР 01-02.21'!$A$11:$BB$406,10,FALSE)+VLOOKUP($A220,'ПР 21-22'!$A$11:$BB$406,10,FALSE)-VLOOKUP($A220,'ПР 01-02.22'!$A$11:$BB$378,10,FALSE)</f>
        <v>0</v>
      </c>
      <c r="K220" s="446"/>
      <c r="L220" s="5">
        <f>VLOOKUP($A220,'ПР 01-02.21'!$A$11:$BB$406,12,FALSE)+VLOOKUP($A220,'ПР 21-22'!$A$11:$BB$406,12,FALSE)-VLOOKUP($A220,'ПР 01-02.22'!$A$11:$BB$378,12,FALSE)</f>
        <v>0</v>
      </c>
      <c r="M220" s="5">
        <f>VLOOKUP($A220,'ПР 01-02.21'!$A$11:$BB$406,13,FALSE)+VLOOKUP($A220,'ПР 21-22'!$A$11:$BB$406,13,FALSE)-VLOOKUP($A220,'ПР 01-02.22'!$A$11:$BB$378,13,FALSE)</f>
        <v>0</v>
      </c>
      <c r="N220" s="38"/>
      <c r="O220" s="5">
        <f>VLOOKUP($A220,'ПР 01-02.21'!$A$11:$BB$406,15,FALSE)+VLOOKUP($A220,'ПР 21-22'!$A$11:$BB$406,15,FALSE)-VLOOKUP($A220,'ПР 01-02.22'!$A$11:$BB$378,15,FALSE)</f>
        <v>0</v>
      </c>
      <c r="P220" s="5">
        <f>VLOOKUP($A220,'ПР 01-02.21'!$A$11:$BB$406,16,FALSE)+VLOOKUP($A220,'ПР 21-22'!$A$11:$BB$406,16,FALSE)-VLOOKUP($A220,'ПР 01-02.22'!$A$11:$BB$378,16,FALSE)</f>
        <v>0</v>
      </c>
      <c r="Q220" s="443"/>
      <c r="R220" s="5">
        <f>VLOOKUP($A220,'ПР 01-02.21'!$A$11:$BB$406,18,FALSE)+VLOOKUP($A220,'ПР 21-22'!$A$11:$BB$406,18,FALSE)-VLOOKUP($A220,'ПР 01-02.22'!$A$11:$BB$378,18,FALSE)</f>
        <v>0</v>
      </c>
      <c r="S220" s="5">
        <f>VLOOKUP($A220,'ПР 01-02.21'!$A$11:$BB$406,19,FALSE)+VLOOKUP($A220,'ПР 21-22'!$A$11:$BB$406,19,FALSE)-VLOOKUP($A220,'ПР 01-02.22'!$A$11:$BB$378,19,FALSE)</f>
        <v>0</v>
      </c>
      <c r="T220" s="444"/>
      <c r="U220" s="5">
        <f>VLOOKUP($A220,'ПР 01-02.21'!$A$11:$BB$406,21,FALSE)+VLOOKUP($A220,'ПР 21-22'!$A$11:$BB$406,21,FALSE)-VLOOKUP($A220,'ПР 01-02.22'!$A$11:$BB$378,21,FALSE)</f>
        <v>0</v>
      </c>
      <c r="V220" s="5"/>
      <c r="W220" s="5">
        <f>VLOOKUP($A220,'ПР 01-02.21'!$A$11:$BB$406,23,FALSE)+VLOOKUP($A220,'ПР 21-22'!$A$11:$BB$406,23,FALSE)-VLOOKUP($A220,'ПР 01-02.22'!$A$11:$BB$378,23,FALSE)</f>
        <v>0</v>
      </c>
      <c r="X220" s="5">
        <f>VLOOKUP($A220,'ПР 01-02.21'!$A$11:$BB$406,24,FALSE)+VLOOKUP($A220,'ПР 21-22'!$A$11:$BB$406,24,FALSE)-VLOOKUP($A220,'ПР 01-02.22'!$A$11:$BB$378,24,FALSE)</f>
        <v>0</v>
      </c>
      <c r="Y220" s="5">
        <f>VLOOKUP($A220,'ПР 01-02.21'!$A$11:$BB$406,25,FALSE)+VLOOKUP($A220,'ПР 21-22'!$A$11:$BB$406,25,FALSE)-VLOOKUP($A220,'ПР 01-02.22'!$A$11:$BB$378,25,FALSE)</f>
        <v>1449</v>
      </c>
      <c r="Z220" s="5"/>
      <c r="AA220" s="5">
        <f>VLOOKUP($A220,'ПР 01-02.21'!$A$11:$BB$406,27,FALSE)+VLOOKUP($A220,'ПР 21-22'!$A$11:$BB$406,27,FALSE)-VLOOKUP($A220,'ПР 01-02.22'!$A$11:$BB$378,27,FALSE)</f>
        <v>0</v>
      </c>
      <c r="AB220" s="5">
        <f>VLOOKUP($A220,'ПР 01-02.21'!$A$11:$BB$406,28,FALSE)+VLOOKUP($A220,'ПР 21-22'!$A$11:$BB$406,28,FALSE)-VLOOKUP($A220,'ПР 01-02.22'!$A$11:$BB$378,28,FALSE)</f>
        <v>0</v>
      </c>
      <c r="AC220" s="5">
        <f>VLOOKUP($A220,'ПР 01-02.21'!$A$11:$BB$406,29,FALSE)+VLOOKUP($A220,'ПР 21-22'!$A$11:$BB$406,29,FALSE)-VLOOKUP($A220,'ПР 01-02.22'!$A$11:$BB$378,29,FALSE)</f>
        <v>0</v>
      </c>
      <c r="AD220" s="5">
        <f>VLOOKUP($A220,'ПР 01-02.21'!$A$11:$BB$406,30,FALSE)+VLOOKUP($A220,'ПР 21-22'!$A$11:$BB$406,30,FALSE)-VLOOKUP($A220,'ПР 01-02.22'!$A$11:$BB$378,30,FALSE)</f>
        <v>3807.27</v>
      </c>
      <c r="AE220" s="5">
        <f>VLOOKUP($A220,'ПР 01-02.21'!$A$11:$BB$406,31,FALSE)+VLOOKUP($A220,'ПР 21-22'!$A$11:$BB$406,31,FALSE)-VLOOKUP($A220,'ПР 01-02.22'!$A$11:$BB$378,31,FALSE)</f>
        <v>455.35017369453436</v>
      </c>
      <c r="AF220" s="5">
        <f>VLOOKUP($A220,'ПР 01-02.21'!$A$11:$BB$406,32,FALSE)+VLOOKUP($A220,'ПР 21-22'!$A$11:$BB$406,32,FALSE)-VLOOKUP($A220,'ПР 01-02.22'!$A$11:$BB$378,32,FALSE)</f>
        <v>0</v>
      </c>
      <c r="AG220" s="40"/>
      <c r="AH220" s="5">
        <f>VLOOKUP($A220,'ПР 01-02.21'!$A$11:$BB$406,34,FALSE)+VLOOKUP($A220,'ПР 21-22'!$A$11:$BB$406,34,FALSE)-VLOOKUP($A220,'ПР 01-02.22'!$A$11:$BB$378,34,FALSE)</f>
        <v>442.03108178094561</v>
      </c>
      <c r="AI220" s="5">
        <f>VLOOKUP($A220,'ПР 01-02.21'!$A$11:$BB$406,35,FALSE)+VLOOKUP($A220,'ПР 21-22'!$A$11:$BB$406,35,FALSE)-VLOOKUP($A220,'ПР 01-02.22'!$A$11:$BB$378,35,FALSE)</f>
        <v>0</v>
      </c>
      <c r="AJ220" s="40"/>
      <c r="AK220" s="5">
        <f>VLOOKUP($A220,'ПР 01-02.21'!$A$11:$BB$406,37,FALSE)+VLOOKUP($A220,'ПР 21-22'!$A$11:$BB$406,37,FALSE)-VLOOKUP($A220,'ПР 01-02.22'!$A$11:$BB$378,37,FALSE)</f>
        <v>202.92913885240372</v>
      </c>
      <c r="AL220" s="5">
        <f>VLOOKUP($A220,'ПР 01-02.21'!$A$11:$BB$406,38,FALSE)+VLOOKUP($A220,'ПР 21-22'!$A$11:$BB$406,38,FALSE)-VLOOKUP($A220,'ПР 01-02.22'!$A$11:$BB$378,38,FALSE)</f>
        <v>0</v>
      </c>
      <c r="AM220" s="40"/>
      <c r="AN220" s="5">
        <f>VLOOKUP($A220,'ПР 01-02.21'!$A$11:$BB$406,40,FALSE)+VLOOKUP($A220,'ПР 21-22'!$A$11:$BB$406,40,FALSE)-VLOOKUP($A220,'ПР 01-02.22'!$A$11:$BB$378,40,FALSE)</f>
        <v>0</v>
      </c>
      <c r="AO220" s="5">
        <f>VLOOKUP($A220,'ПР 01-02.21'!$A$11:$BB$406,41,FALSE)+VLOOKUP($A220,'ПР 21-22'!$A$11:$BB$406,41,FALSE)-VLOOKUP($A220,'ПР 01-02.22'!$A$11:$BB$378,41,FALSE)</f>
        <v>0</v>
      </c>
      <c r="AP220" s="40"/>
      <c r="AQ220" s="5">
        <f>VLOOKUP($A220,'ПР 01-02.21'!$A$11:$BB$406,43,FALSE)+VLOOKUP($A220,'ПР 21-22'!$A$11:$BB$406,43,FALSE)-VLOOKUP($A220,'ПР 01-02.22'!$A$11:$BB$378,43,FALSE)</f>
        <v>0</v>
      </c>
      <c r="AR220" s="5">
        <f>VLOOKUP($A220,'ПР 01-02.21'!$A$11:$BB$406,44,FALSE)+VLOOKUP($A220,'ПР 21-22'!$A$11:$BB$406,44,FALSE)-VLOOKUP($A220,'ПР 01-02.22'!$A$11:$BB$378,44,FALSE)</f>
        <v>0</v>
      </c>
      <c r="AS220" s="40"/>
      <c r="AT220" s="5">
        <f>VLOOKUP($A220,'ПР 01-02.21'!$A$11:$BB$406,46,FALSE)+VLOOKUP($A220,'ПР 21-22'!$A$11:$BB$406,46,FALSE)-VLOOKUP($A220,'ПР 01-02.22'!$A$11:$BB$378,46,FALSE)</f>
        <v>5.1425027284252458</v>
      </c>
      <c r="AU220" s="5">
        <f>VLOOKUP($A220,'ПР 01-02.21'!$A$11:$BB$406,47,FALSE)+VLOOKUP($A220,'ПР 21-22'!$A$11:$BB$406,47,FALSE)-VLOOKUP($A220,'ПР 01-02.22'!$A$11:$BB$378,47,FALSE)</f>
        <v>0</v>
      </c>
      <c r="AV220" s="40"/>
      <c r="AW220" s="5">
        <f>VLOOKUP($A220,'ПР 01-02.21'!$A$11:$BB$406,49,FALSE)+VLOOKUP($A220,'ПР 21-22'!$A$11:$BB$406,49,FALSE)-VLOOKUP($A220,'ПР 01-02.22'!$A$11:$BB$378,49,FALSE)</f>
        <v>18.172000000000001</v>
      </c>
      <c r="AX220" s="5">
        <f>VLOOKUP($A220,'ПР 01-02.21'!$A$11:$BB$406,50,FALSE)+VLOOKUP($A220,'ПР 21-22'!$A$11:$BB$406,50,FALSE)-VLOOKUP($A220,'ПР 01-02.22'!$A$11:$BB$378,50,FALSE)</f>
        <v>0</v>
      </c>
      <c r="AY220" s="40"/>
      <c r="AZ220" s="40">
        <f t="shared" si="13"/>
        <v>1123.6248970563088</v>
      </c>
      <c r="BA220" s="40">
        <f t="shared" si="13"/>
        <v>0</v>
      </c>
      <c r="BB220" s="55">
        <f t="shared" si="16"/>
        <v>-1123.6248970563088</v>
      </c>
      <c r="BD220" s="2">
        <v>2</v>
      </c>
      <c r="BF220" s="325">
        <v>150000932</v>
      </c>
    </row>
    <row r="221" spans="1:58" ht="24.9" customHeight="1" x14ac:dyDescent="0.3">
      <c r="A221" s="325">
        <v>150000924</v>
      </c>
      <c r="B221" s="445" t="s">
        <v>175</v>
      </c>
      <c r="C221" s="27">
        <v>2</v>
      </c>
      <c r="D221" s="101" t="s">
        <v>455</v>
      </c>
      <c r="E221" s="279">
        <f>'побудинковий звіт'!E219</f>
        <v>474.29999999999995</v>
      </c>
      <c r="F221" s="441">
        <f>'побудинковий звіт'!AS219</f>
        <v>5082.3070391613792</v>
      </c>
      <c r="G221" s="441">
        <f t="shared" si="14"/>
        <v>39331.19</v>
      </c>
      <c r="H221" s="73">
        <f t="shared" si="15"/>
        <v>34248.882960838622</v>
      </c>
      <c r="I221" s="5">
        <f>VLOOKUP($A221,'ПР 01-02.21'!$A$11:$BB$406,9,FALSE)+VLOOKUP($A221,'ПР 21-22'!$A$11:$BB$406,9,FALSE)-VLOOKUP($A221,'ПР 01-02.22'!$A$11:$BB$378,9,FALSE)</f>
        <v>0</v>
      </c>
      <c r="J221" s="5">
        <f>VLOOKUP($A221,'ПР 01-02.21'!$A$11:$BB$406,10,FALSE)+VLOOKUP($A221,'ПР 21-22'!$A$11:$BB$406,10,FALSE)-VLOOKUP($A221,'ПР 01-02.22'!$A$11:$BB$378,10,FALSE)</f>
        <v>0</v>
      </c>
      <c r="K221" s="446"/>
      <c r="L221" s="5">
        <f>VLOOKUP($A221,'ПР 01-02.21'!$A$11:$BB$406,12,FALSE)+VLOOKUP($A221,'ПР 21-22'!$A$11:$BB$406,12,FALSE)-VLOOKUP($A221,'ПР 01-02.22'!$A$11:$BB$378,12,FALSE)</f>
        <v>1</v>
      </c>
      <c r="M221" s="5">
        <f>VLOOKUP($A221,'ПР 01-02.21'!$A$11:$BB$406,13,FALSE)+VLOOKUP($A221,'ПР 21-22'!$A$11:$BB$406,13,FALSE)-VLOOKUP($A221,'ПР 01-02.22'!$A$11:$BB$378,13,FALSE)</f>
        <v>24995.4</v>
      </c>
      <c r="N221" s="38"/>
      <c r="O221" s="5">
        <f>VLOOKUP($A221,'ПР 01-02.21'!$A$11:$BB$406,15,FALSE)+VLOOKUP($A221,'ПР 21-22'!$A$11:$BB$406,15,FALSE)-VLOOKUP($A221,'ПР 01-02.22'!$A$11:$BB$378,15,FALSE)</f>
        <v>0</v>
      </c>
      <c r="P221" s="5">
        <f>VLOOKUP($A221,'ПР 01-02.21'!$A$11:$BB$406,16,FALSE)+VLOOKUP($A221,'ПР 21-22'!$A$11:$BB$406,16,FALSE)-VLOOKUP($A221,'ПР 01-02.22'!$A$11:$BB$378,16,FALSE)</f>
        <v>0</v>
      </c>
      <c r="Q221" s="443"/>
      <c r="R221" s="5">
        <f>VLOOKUP($A221,'ПР 01-02.21'!$A$11:$BB$406,18,FALSE)+VLOOKUP($A221,'ПР 21-22'!$A$11:$BB$406,18,FALSE)-VLOOKUP($A221,'ПР 01-02.22'!$A$11:$BB$378,18,FALSE)</f>
        <v>0</v>
      </c>
      <c r="S221" s="5">
        <f>VLOOKUP($A221,'ПР 01-02.21'!$A$11:$BB$406,19,FALSE)+VLOOKUP($A221,'ПР 21-22'!$A$11:$BB$406,19,FALSE)-VLOOKUP($A221,'ПР 01-02.22'!$A$11:$BB$378,19,FALSE)</f>
        <v>0</v>
      </c>
      <c r="T221" s="444"/>
      <c r="U221" s="5">
        <f>VLOOKUP($A221,'ПР 01-02.21'!$A$11:$BB$406,21,FALSE)+VLOOKUP($A221,'ПР 21-22'!$A$11:$BB$406,21,FALSE)-VLOOKUP($A221,'ПР 01-02.22'!$A$11:$BB$378,21,FALSE)</f>
        <v>0</v>
      </c>
      <c r="V221" s="5"/>
      <c r="W221" s="5">
        <f>VLOOKUP($A221,'ПР 01-02.21'!$A$11:$BB$406,23,FALSE)+VLOOKUP($A221,'ПР 21-22'!$A$11:$BB$406,23,FALSE)-VLOOKUP($A221,'ПР 01-02.22'!$A$11:$BB$378,23,FALSE)</f>
        <v>0</v>
      </c>
      <c r="X221" s="5">
        <f>VLOOKUP($A221,'ПР 01-02.21'!$A$11:$BB$406,24,FALSE)+VLOOKUP($A221,'ПР 21-22'!$A$11:$BB$406,24,FALSE)-VLOOKUP($A221,'ПР 01-02.22'!$A$11:$BB$378,24,FALSE)</f>
        <v>0</v>
      </c>
      <c r="Y221" s="5">
        <f>VLOOKUP($A221,'ПР 01-02.21'!$A$11:$BB$406,25,FALSE)+VLOOKUP($A221,'ПР 21-22'!$A$11:$BB$406,25,FALSE)-VLOOKUP($A221,'ПР 01-02.22'!$A$11:$BB$378,25,FALSE)</f>
        <v>1370</v>
      </c>
      <c r="Z221" s="5"/>
      <c r="AA221" s="5">
        <f>VLOOKUP($A221,'ПР 01-02.21'!$A$11:$BB$406,27,FALSE)+VLOOKUP($A221,'ПР 21-22'!$A$11:$BB$406,27,FALSE)-VLOOKUP($A221,'ПР 01-02.22'!$A$11:$BB$378,27,FALSE)</f>
        <v>0</v>
      </c>
      <c r="AB221" s="5">
        <f>VLOOKUP($A221,'ПР 01-02.21'!$A$11:$BB$406,28,FALSE)+VLOOKUP($A221,'ПР 21-22'!$A$11:$BB$406,28,FALSE)-VLOOKUP($A221,'ПР 01-02.22'!$A$11:$BB$378,28,FALSE)</f>
        <v>0</v>
      </c>
      <c r="AC221" s="5">
        <f>VLOOKUP($A221,'ПР 01-02.21'!$A$11:$BB$406,29,FALSE)+VLOOKUP($A221,'ПР 21-22'!$A$11:$BB$406,29,FALSE)-VLOOKUP($A221,'ПР 01-02.22'!$A$11:$BB$378,29,FALSE)</f>
        <v>0</v>
      </c>
      <c r="AD221" s="5">
        <f>VLOOKUP($A221,'ПР 01-02.21'!$A$11:$BB$406,30,FALSE)+VLOOKUP($A221,'ПР 21-22'!$A$11:$BB$406,30,FALSE)-VLOOKUP($A221,'ПР 01-02.22'!$A$11:$BB$378,30,FALSE)</f>
        <v>12965.79</v>
      </c>
      <c r="AE221" s="5">
        <f>VLOOKUP($A221,'ПР 01-02.21'!$A$11:$BB$406,31,FALSE)+VLOOKUP($A221,'ПР 21-22'!$A$11:$BB$406,31,FALSE)-VLOOKUP($A221,'ПР 01-02.22'!$A$11:$BB$378,31,FALSE)</f>
        <v>652.19692875802616</v>
      </c>
      <c r="AF221" s="5">
        <f>VLOOKUP($A221,'ПР 01-02.21'!$A$11:$BB$406,32,FALSE)+VLOOKUP($A221,'ПР 21-22'!$A$11:$BB$406,32,FALSE)-VLOOKUP($A221,'ПР 01-02.22'!$A$11:$BB$378,32,FALSE)</f>
        <v>0</v>
      </c>
      <c r="AG221" s="40"/>
      <c r="AH221" s="5">
        <f>VLOOKUP($A221,'ПР 01-02.21'!$A$11:$BB$406,34,FALSE)+VLOOKUP($A221,'ПР 21-22'!$A$11:$BB$406,34,FALSE)-VLOOKUP($A221,'ПР 01-02.22'!$A$11:$BB$378,34,FALSE)</f>
        <v>1198.2819121185319</v>
      </c>
      <c r="AI221" s="5">
        <f>VLOOKUP($A221,'ПР 01-02.21'!$A$11:$BB$406,35,FALSE)+VLOOKUP($A221,'ПР 21-22'!$A$11:$BB$406,35,FALSE)-VLOOKUP($A221,'ПР 01-02.22'!$A$11:$BB$378,35,FALSE)</f>
        <v>0</v>
      </c>
      <c r="AJ221" s="40"/>
      <c r="AK221" s="5">
        <f>VLOOKUP($A221,'ПР 01-02.21'!$A$11:$BB$406,37,FALSE)+VLOOKUP($A221,'ПР 21-22'!$A$11:$BB$406,37,FALSE)-VLOOKUP($A221,'ПР 01-02.22'!$A$11:$BB$378,37,FALSE)</f>
        <v>245.18318329680204</v>
      </c>
      <c r="AL221" s="5">
        <f>VLOOKUP($A221,'ПР 01-02.21'!$A$11:$BB$406,38,FALSE)+VLOOKUP($A221,'ПР 21-22'!$A$11:$BB$406,38,FALSE)-VLOOKUP($A221,'ПР 01-02.22'!$A$11:$BB$378,38,FALSE)</f>
        <v>0</v>
      </c>
      <c r="AM221" s="40"/>
      <c r="AN221" s="5">
        <f>VLOOKUP($A221,'ПР 01-02.21'!$A$11:$BB$406,40,FALSE)+VLOOKUP($A221,'ПР 21-22'!$A$11:$BB$406,40,FALSE)-VLOOKUP($A221,'ПР 01-02.22'!$A$11:$BB$378,40,FALSE)</f>
        <v>0</v>
      </c>
      <c r="AO221" s="5">
        <f>VLOOKUP($A221,'ПР 01-02.21'!$A$11:$BB$406,41,FALSE)+VLOOKUP($A221,'ПР 21-22'!$A$11:$BB$406,41,FALSE)-VLOOKUP($A221,'ПР 01-02.22'!$A$11:$BB$378,41,FALSE)</f>
        <v>0</v>
      </c>
      <c r="AP221" s="40"/>
      <c r="AQ221" s="5">
        <f>VLOOKUP($A221,'ПР 01-02.21'!$A$11:$BB$406,43,FALSE)+VLOOKUP($A221,'ПР 21-22'!$A$11:$BB$406,43,FALSE)-VLOOKUP($A221,'ПР 01-02.22'!$A$11:$BB$378,43,FALSE)</f>
        <v>0</v>
      </c>
      <c r="AR221" s="5">
        <f>VLOOKUP($A221,'ПР 01-02.21'!$A$11:$BB$406,44,FALSE)+VLOOKUP($A221,'ПР 21-22'!$A$11:$BB$406,44,FALSE)-VLOOKUP($A221,'ПР 01-02.22'!$A$11:$BB$378,44,FALSE)</f>
        <v>0</v>
      </c>
      <c r="AS221" s="40"/>
      <c r="AT221" s="5">
        <f>VLOOKUP($A221,'ПР 01-02.21'!$A$11:$BB$406,46,FALSE)+VLOOKUP($A221,'ПР 21-22'!$A$11:$BB$406,46,FALSE)-VLOOKUP($A221,'ПР 01-02.22'!$A$11:$BB$378,46,FALSE)</f>
        <v>104.36956266841206</v>
      </c>
      <c r="AU221" s="5">
        <f>VLOOKUP($A221,'ПР 01-02.21'!$A$11:$BB$406,47,FALSE)+VLOOKUP($A221,'ПР 21-22'!$A$11:$BB$406,47,FALSE)-VLOOKUP($A221,'ПР 01-02.22'!$A$11:$BB$378,47,FALSE)</f>
        <v>2718</v>
      </c>
      <c r="AV221" s="40"/>
      <c r="AW221" s="5">
        <f>VLOOKUP($A221,'ПР 01-02.21'!$A$11:$BB$406,49,FALSE)+VLOOKUP($A221,'ПР 21-22'!$A$11:$BB$406,49,FALSE)-VLOOKUP($A221,'ПР 01-02.22'!$A$11:$BB$378,49,FALSE)</f>
        <v>23.971999999999998</v>
      </c>
      <c r="AX221" s="5">
        <f>VLOOKUP($A221,'ПР 01-02.21'!$A$11:$BB$406,50,FALSE)+VLOOKUP($A221,'ПР 21-22'!$A$11:$BB$406,50,FALSE)-VLOOKUP($A221,'ПР 01-02.22'!$A$11:$BB$378,50,FALSE)</f>
        <v>0</v>
      </c>
      <c r="AY221" s="40"/>
      <c r="AZ221" s="40">
        <f t="shared" si="13"/>
        <v>2224.0035868417722</v>
      </c>
      <c r="BA221" s="40">
        <f t="shared" si="13"/>
        <v>2718</v>
      </c>
      <c r="BB221" s="55">
        <f t="shared" si="16"/>
        <v>493.99641315822782</v>
      </c>
      <c r="BD221" s="2">
        <v>2</v>
      </c>
      <c r="BF221" s="325">
        <v>150000924</v>
      </c>
    </row>
    <row r="222" spans="1:58" ht="24.9" customHeight="1" x14ac:dyDescent="0.3">
      <c r="A222" s="325">
        <v>150000933</v>
      </c>
      <c r="B222" s="445" t="s">
        <v>268</v>
      </c>
      <c r="C222" s="27">
        <v>5</v>
      </c>
      <c r="D222" s="101" t="s">
        <v>455</v>
      </c>
      <c r="E222" s="279">
        <f>'побудинковий звіт'!E220</f>
        <v>4735.0700000000006</v>
      </c>
      <c r="F222" s="441">
        <f>'побудинковий звіт'!AS220</f>
        <v>40934.631353782723</v>
      </c>
      <c r="G222" s="441">
        <f t="shared" si="14"/>
        <v>1897</v>
      </c>
      <c r="H222" s="73">
        <f t="shared" si="15"/>
        <v>-39037.631353782723</v>
      </c>
      <c r="I222" s="5">
        <f>VLOOKUP($A222,'ПР 01-02.21'!$A$11:$BB$406,9,FALSE)+VLOOKUP($A222,'ПР 21-22'!$A$11:$BB$406,9,FALSE)-VLOOKUP($A222,'ПР 01-02.22'!$A$11:$BB$378,9,FALSE)</f>
        <v>0</v>
      </c>
      <c r="J222" s="5">
        <f>VLOOKUP($A222,'ПР 01-02.21'!$A$11:$BB$406,10,FALSE)+VLOOKUP($A222,'ПР 21-22'!$A$11:$BB$406,10,FALSE)-VLOOKUP($A222,'ПР 01-02.22'!$A$11:$BB$378,10,FALSE)</f>
        <v>1897</v>
      </c>
      <c r="K222" s="446"/>
      <c r="L222" s="5">
        <f>VLOOKUP($A222,'ПР 01-02.21'!$A$11:$BB$406,12,FALSE)+VLOOKUP($A222,'ПР 21-22'!$A$11:$BB$406,12,FALSE)-VLOOKUP($A222,'ПР 01-02.22'!$A$11:$BB$378,12,FALSE)</f>
        <v>0</v>
      </c>
      <c r="M222" s="5">
        <f>VLOOKUP($A222,'ПР 01-02.21'!$A$11:$BB$406,13,FALSE)+VLOOKUP($A222,'ПР 21-22'!$A$11:$BB$406,13,FALSE)-VLOOKUP($A222,'ПР 01-02.22'!$A$11:$BB$378,13,FALSE)</f>
        <v>0</v>
      </c>
      <c r="N222" s="38"/>
      <c r="O222" s="5">
        <f>VLOOKUP($A222,'ПР 01-02.21'!$A$11:$BB$406,15,FALSE)+VLOOKUP($A222,'ПР 21-22'!$A$11:$BB$406,15,FALSE)-VLOOKUP($A222,'ПР 01-02.22'!$A$11:$BB$378,15,FALSE)</f>
        <v>0</v>
      </c>
      <c r="P222" s="5">
        <f>VLOOKUP($A222,'ПР 01-02.21'!$A$11:$BB$406,16,FALSE)+VLOOKUP($A222,'ПР 21-22'!$A$11:$BB$406,16,FALSE)-VLOOKUP($A222,'ПР 01-02.22'!$A$11:$BB$378,16,FALSE)</f>
        <v>0</v>
      </c>
      <c r="Q222" s="443"/>
      <c r="R222" s="5">
        <f>VLOOKUP($A222,'ПР 01-02.21'!$A$11:$BB$406,18,FALSE)+VLOOKUP($A222,'ПР 21-22'!$A$11:$BB$406,18,FALSE)-VLOOKUP($A222,'ПР 01-02.22'!$A$11:$BB$378,18,FALSE)</f>
        <v>0</v>
      </c>
      <c r="S222" s="5">
        <f>VLOOKUP($A222,'ПР 01-02.21'!$A$11:$BB$406,19,FALSE)+VLOOKUP($A222,'ПР 21-22'!$A$11:$BB$406,19,FALSE)-VLOOKUP($A222,'ПР 01-02.22'!$A$11:$BB$378,19,FALSE)</f>
        <v>0</v>
      </c>
      <c r="T222" s="444"/>
      <c r="U222" s="5">
        <f>VLOOKUP($A222,'ПР 01-02.21'!$A$11:$BB$406,21,FALSE)+VLOOKUP($A222,'ПР 21-22'!$A$11:$BB$406,21,FALSE)-VLOOKUP($A222,'ПР 01-02.22'!$A$11:$BB$378,21,FALSE)</f>
        <v>0</v>
      </c>
      <c r="V222" s="5"/>
      <c r="W222" s="5">
        <f>VLOOKUP($A222,'ПР 01-02.21'!$A$11:$BB$406,23,FALSE)+VLOOKUP($A222,'ПР 21-22'!$A$11:$BB$406,23,FALSE)-VLOOKUP($A222,'ПР 01-02.22'!$A$11:$BB$378,23,FALSE)</f>
        <v>0</v>
      </c>
      <c r="X222" s="5">
        <f>VLOOKUP($A222,'ПР 01-02.21'!$A$11:$BB$406,24,FALSE)+VLOOKUP($A222,'ПР 21-22'!$A$11:$BB$406,24,FALSE)-VLOOKUP($A222,'ПР 01-02.22'!$A$11:$BB$378,24,FALSE)</f>
        <v>0</v>
      </c>
      <c r="Y222" s="5">
        <f>VLOOKUP($A222,'ПР 01-02.21'!$A$11:$BB$406,25,FALSE)+VLOOKUP($A222,'ПР 21-22'!$A$11:$BB$406,25,FALSE)-VLOOKUP($A222,'ПР 01-02.22'!$A$11:$BB$378,25,FALSE)</f>
        <v>0</v>
      </c>
      <c r="Z222" s="5"/>
      <c r="AA222" s="5">
        <f>VLOOKUP($A222,'ПР 01-02.21'!$A$11:$BB$406,27,FALSE)+VLOOKUP($A222,'ПР 21-22'!$A$11:$BB$406,27,FALSE)-VLOOKUP($A222,'ПР 01-02.22'!$A$11:$BB$378,27,FALSE)</f>
        <v>0</v>
      </c>
      <c r="AB222" s="5">
        <f>VLOOKUP($A222,'ПР 01-02.21'!$A$11:$BB$406,28,FALSE)+VLOOKUP($A222,'ПР 21-22'!$A$11:$BB$406,28,FALSE)-VLOOKUP($A222,'ПР 01-02.22'!$A$11:$BB$378,28,FALSE)</f>
        <v>0</v>
      </c>
      <c r="AC222" s="5">
        <f>VLOOKUP($A222,'ПР 01-02.21'!$A$11:$BB$406,29,FALSE)+VLOOKUP($A222,'ПР 21-22'!$A$11:$BB$406,29,FALSE)-VLOOKUP($A222,'ПР 01-02.22'!$A$11:$BB$378,29,FALSE)</f>
        <v>0</v>
      </c>
      <c r="AD222" s="5">
        <f>VLOOKUP($A222,'ПР 01-02.21'!$A$11:$BB$406,30,FALSE)+VLOOKUP($A222,'ПР 21-22'!$A$11:$BB$406,30,FALSE)-VLOOKUP($A222,'ПР 01-02.22'!$A$11:$BB$378,30,FALSE)</f>
        <v>0</v>
      </c>
      <c r="AE222" s="5">
        <f>VLOOKUP($A222,'ПР 01-02.21'!$A$11:$BB$406,31,FALSE)+VLOOKUP($A222,'ПР 21-22'!$A$11:$BB$406,31,FALSE)-VLOOKUP($A222,'ПР 01-02.22'!$A$11:$BB$378,31,FALSE)</f>
        <v>3681.4933872843721</v>
      </c>
      <c r="AF222" s="5">
        <f>VLOOKUP($A222,'ПР 01-02.21'!$A$11:$BB$406,32,FALSE)+VLOOKUP($A222,'ПР 21-22'!$A$11:$BB$406,32,FALSE)-VLOOKUP($A222,'ПР 01-02.22'!$A$11:$BB$378,32,FALSE)</f>
        <v>188</v>
      </c>
      <c r="AG222" s="40"/>
      <c r="AH222" s="5">
        <f>VLOOKUP($A222,'ПР 01-02.21'!$A$11:$BB$406,34,FALSE)+VLOOKUP($A222,'ПР 21-22'!$A$11:$BB$406,34,FALSE)-VLOOKUP($A222,'ПР 01-02.22'!$A$11:$BB$378,34,FALSE)</f>
        <v>5274.8623135581456</v>
      </c>
      <c r="AI222" s="5">
        <f>VLOOKUP($A222,'ПР 01-02.21'!$A$11:$BB$406,35,FALSE)+VLOOKUP($A222,'ПР 21-22'!$A$11:$BB$406,35,FALSE)-VLOOKUP($A222,'ПР 01-02.22'!$A$11:$BB$378,35,FALSE)</f>
        <v>1215</v>
      </c>
      <c r="AJ222" s="40"/>
      <c r="AK222" s="5">
        <f>VLOOKUP($A222,'ПР 01-02.21'!$A$11:$BB$406,37,FALSE)+VLOOKUP($A222,'ПР 21-22'!$A$11:$BB$406,37,FALSE)-VLOOKUP($A222,'ПР 01-02.22'!$A$11:$BB$378,37,FALSE)</f>
        <v>2905.6305110424373</v>
      </c>
      <c r="AL222" s="5">
        <f>VLOOKUP($A222,'ПР 01-02.21'!$A$11:$BB$406,38,FALSE)+VLOOKUP($A222,'ПР 21-22'!$A$11:$BB$406,38,FALSE)-VLOOKUP($A222,'ПР 01-02.22'!$A$11:$BB$378,38,FALSE)</f>
        <v>516</v>
      </c>
      <c r="AM222" s="40"/>
      <c r="AN222" s="5">
        <f>VLOOKUP($A222,'ПР 01-02.21'!$A$11:$BB$406,40,FALSE)+VLOOKUP($A222,'ПР 21-22'!$A$11:$BB$406,40,FALSE)-VLOOKUP($A222,'ПР 01-02.22'!$A$11:$BB$378,40,FALSE)</f>
        <v>3502.8121399626298</v>
      </c>
      <c r="AO222" s="5">
        <f>VLOOKUP($A222,'ПР 01-02.21'!$A$11:$BB$406,41,FALSE)+VLOOKUP($A222,'ПР 21-22'!$A$11:$BB$406,41,FALSE)-VLOOKUP($A222,'ПР 01-02.22'!$A$11:$BB$378,41,FALSE)</f>
        <v>0</v>
      </c>
      <c r="AP222" s="40"/>
      <c r="AQ222" s="5">
        <f>VLOOKUP($A222,'ПР 01-02.21'!$A$11:$BB$406,43,FALSE)+VLOOKUP($A222,'ПР 21-22'!$A$11:$BB$406,43,FALSE)-VLOOKUP($A222,'ПР 01-02.22'!$A$11:$BB$378,43,FALSE)</f>
        <v>1711.4101923457731</v>
      </c>
      <c r="AR222" s="5">
        <f>VLOOKUP($A222,'ПР 01-02.21'!$A$11:$BB$406,44,FALSE)+VLOOKUP($A222,'ПР 21-22'!$A$11:$BB$406,44,FALSE)-VLOOKUP($A222,'ПР 01-02.22'!$A$11:$BB$378,44,FALSE)</f>
        <v>0</v>
      </c>
      <c r="AS222" s="40"/>
      <c r="AT222" s="5">
        <f>VLOOKUP($A222,'ПР 01-02.21'!$A$11:$BB$406,46,FALSE)+VLOOKUP($A222,'ПР 21-22'!$A$11:$BB$406,46,FALSE)-VLOOKUP($A222,'ПР 01-02.22'!$A$11:$BB$378,46,FALSE)</f>
        <v>3103.3278784370891</v>
      </c>
      <c r="AU222" s="5">
        <f>VLOOKUP($A222,'ПР 01-02.21'!$A$11:$BB$406,47,FALSE)+VLOOKUP($A222,'ПР 21-22'!$A$11:$BB$406,47,FALSE)-VLOOKUP($A222,'ПР 01-02.22'!$A$11:$BB$378,47,FALSE)</f>
        <v>82</v>
      </c>
      <c r="AV222" s="40"/>
      <c r="AW222" s="5">
        <f>VLOOKUP($A222,'ПР 01-02.21'!$A$11:$BB$406,49,FALSE)+VLOOKUP($A222,'ПР 21-22'!$A$11:$BB$406,49,FALSE)-VLOOKUP($A222,'ПР 01-02.22'!$A$11:$BB$378,49,FALSE)</f>
        <v>235.6388</v>
      </c>
      <c r="AX222" s="5">
        <f>VLOOKUP($A222,'ПР 01-02.21'!$A$11:$BB$406,50,FALSE)+VLOOKUP($A222,'ПР 21-22'!$A$11:$BB$406,50,FALSE)-VLOOKUP($A222,'ПР 01-02.22'!$A$11:$BB$378,50,FALSE)</f>
        <v>0</v>
      </c>
      <c r="AY222" s="40"/>
      <c r="AZ222" s="40">
        <f t="shared" si="13"/>
        <v>20415.175222630449</v>
      </c>
      <c r="BA222" s="40">
        <f t="shared" si="13"/>
        <v>2001</v>
      </c>
      <c r="BB222" s="55">
        <f t="shared" si="16"/>
        <v>-18414.175222630449</v>
      </c>
      <c r="BD222" s="2">
        <v>2</v>
      </c>
      <c r="BF222" s="325">
        <v>150000933</v>
      </c>
    </row>
    <row r="223" spans="1:58" ht="24.9" customHeight="1" x14ac:dyDescent="0.3">
      <c r="A223" s="325">
        <v>150000934</v>
      </c>
      <c r="B223" s="445" t="s">
        <v>216</v>
      </c>
      <c r="C223" s="27">
        <v>4</v>
      </c>
      <c r="D223" s="101" t="s">
        <v>455</v>
      </c>
      <c r="E223" s="279">
        <f>'побудинковий звіт'!E221</f>
        <v>1981.17</v>
      </c>
      <c r="F223" s="441">
        <f>'побудинковий звіт'!AS221</f>
        <v>15479.051154228373</v>
      </c>
      <c r="G223" s="441">
        <f t="shared" si="14"/>
        <v>8974.380000000001</v>
      </c>
      <c r="H223" s="73">
        <f t="shared" si="15"/>
        <v>-6504.671154228372</v>
      </c>
      <c r="I223" s="5">
        <f>VLOOKUP($A223,'ПР 01-02.21'!$A$11:$BB$406,9,FALSE)+VLOOKUP($A223,'ПР 21-22'!$A$11:$BB$406,9,FALSE)-VLOOKUP($A223,'ПР 01-02.22'!$A$11:$BB$378,9,FALSE)</f>
        <v>15</v>
      </c>
      <c r="J223" s="5">
        <f>VLOOKUP($A223,'ПР 01-02.21'!$A$11:$BB$406,10,FALSE)+VLOOKUP($A223,'ПР 21-22'!$A$11:$BB$406,10,FALSE)-VLOOKUP($A223,'ПР 01-02.22'!$A$11:$BB$378,10,FALSE)</f>
        <v>8049.38</v>
      </c>
      <c r="K223" s="446"/>
      <c r="L223" s="5">
        <f>VLOOKUP($A223,'ПР 01-02.21'!$A$11:$BB$406,12,FALSE)+VLOOKUP($A223,'ПР 21-22'!$A$11:$BB$406,12,FALSE)-VLOOKUP($A223,'ПР 01-02.22'!$A$11:$BB$378,12,FALSE)</f>
        <v>0</v>
      </c>
      <c r="M223" s="5">
        <f>VLOOKUP($A223,'ПР 01-02.21'!$A$11:$BB$406,13,FALSE)+VLOOKUP($A223,'ПР 21-22'!$A$11:$BB$406,13,FALSE)-VLOOKUP($A223,'ПР 01-02.22'!$A$11:$BB$378,13,FALSE)</f>
        <v>0</v>
      </c>
      <c r="N223" s="38"/>
      <c r="O223" s="5">
        <f>VLOOKUP($A223,'ПР 01-02.21'!$A$11:$BB$406,15,FALSE)+VLOOKUP($A223,'ПР 21-22'!$A$11:$BB$406,15,FALSE)-VLOOKUP($A223,'ПР 01-02.22'!$A$11:$BB$378,15,FALSE)</f>
        <v>0</v>
      </c>
      <c r="P223" s="5">
        <f>VLOOKUP($A223,'ПР 01-02.21'!$A$11:$BB$406,16,FALSE)+VLOOKUP($A223,'ПР 21-22'!$A$11:$BB$406,16,FALSE)-VLOOKUP($A223,'ПР 01-02.22'!$A$11:$BB$378,16,FALSE)</f>
        <v>0</v>
      </c>
      <c r="Q223" s="443"/>
      <c r="R223" s="5">
        <f>VLOOKUP($A223,'ПР 01-02.21'!$A$11:$BB$406,18,FALSE)+VLOOKUP($A223,'ПР 21-22'!$A$11:$BB$406,18,FALSE)-VLOOKUP($A223,'ПР 01-02.22'!$A$11:$BB$378,18,FALSE)</f>
        <v>0</v>
      </c>
      <c r="S223" s="5">
        <f>VLOOKUP($A223,'ПР 01-02.21'!$A$11:$BB$406,19,FALSE)+VLOOKUP($A223,'ПР 21-22'!$A$11:$BB$406,19,FALSE)-VLOOKUP($A223,'ПР 01-02.22'!$A$11:$BB$378,19,FALSE)</f>
        <v>0</v>
      </c>
      <c r="T223" s="444"/>
      <c r="U223" s="5">
        <f>VLOOKUP($A223,'ПР 01-02.21'!$A$11:$BB$406,21,FALSE)+VLOOKUP($A223,'ПР 21-22'!$A$11:$BB$406,21,FALSE)-VLOOKUP($A223,'ПР 01-02.22'!$A$11:$BB$378,21,FALSE)</f>
        <v>0</v>
      </c>
      <c r="V223" s="5"/>
      <c r="W223" s="5">
        <f>VLOOKUP($A223,'ПР 01-02.21'!$A$11:$BB$406,23,FALSE)+VLOOKUP($A223,'ПР 21-22'!$A$11:$BB$406,23,FALSE)-VLOOKUP($A223,'ПР 01-02.22'!$A$11:$BB$378,23,FALSE)</f>
        <v>0</v>
      </c>
      <c r="X223" s="5">
        <f>VLOOKUP($A223,'ПР 01-02.21'!$A$11:$BB$406,24,FALSE)+VLOOKUP($A223,'ПР 21-22'!$A$11:$BB$406,24,FALSE)-VLOOKUP($A223,'ПР 01-02.22'!$A$11:$BB$378,24,FALSE)</f>
        <v>0</v>
      </c>
      <c r="Y223" s="5">
        <f>VLOOKUP($A223,'ПР 01-02.21'!$A$11:$BB$406,25,FALSE)+VLOOKUP($A223,'ПР 21-22'!$A$11:$BB$406,25,FALSE)-VLOOKUP($A223,'ПР 01-02.22'!$A$11:$BB$378,25,FALSE)</f>
        <v>0</v>
      </c>
      <c r="Z223" s="5"/>
      <c r="AA223" s="5">
        <f>VLOOKUP($A223,'ПР 01-02.21'!$A$11:$BB$406,27,FALSE)+VLOOKUP($A223,'ПР 21-22'!$A$11:$BB$406,27,FALSE)-VLOOKUP($A223,'ПР 01-02.22'!$A$11:$BB$378,27,FALSE)</f>
        <v>0</v>
      </c>
      <c r="AB223" s="5">
        <f>VLOOKUP($A223,'ПР 01-02.21'!$A$11:$BB$406,28,FALSE)+VLOOKUP($A223,'ПР 21-22'!$A$11:$BB$406,28,FALSE)-VLOOKUP($A223,'ПР 01-02.22'!$A$11:$BB$378,28,FALSE)</f>
        <v>0</v>
      </c>
      <c r="AC223" s="5">
        <f>VLOOKUP($A223,'ПР 01-02.21'!$A$11:$BB$406,29,FALSE)+VLOOKUP($A223,'ПР 21-22'!$A$11:$BB$406,29,FALSE)-VLOOKUP($A223,'ПР 01-02.22'!$A$11:$BB$378,29,FALSE)</f>
        <v>0</v>
      </c>
      <c r="AD223" s="5">
        <f>VLOOKUP($A223,'ПР 01-02.21'!$A$11:$BB$406,30,FALSE)+VLOOKUP($A223,'ПР 21-22'!$A$11:$BB$406,30,FALSE)-VLOOKUP($A223,'ПР 01-02.22'!$A$11:$BB$378,30,FALSE)</f>
        <v>925</v>
      </c>
      <c r="AE223" s="5">
        <f>VLOOKUP($A223,'ПР 01-02.21'!$A$11:$BB$406,31,FALSE)+VLOOKUP($A223,'ПР 21-22'!$A$11:$BB$406,31,FALSE)-VLOOKUP($A223,'ПР 01-02.22'!$A$11:$BB$378,31,FALSE)</f>
        <v>1758.3359215518669</v>
      </c>
      <c r="AF223" s="5">
        <f>VLOOKUP($A223,'ПР 01-02.21'!$A$11:$BB$406,32,FALSE)+VLOOKUP($A223,'ПР 21-22'!$A$11:$BB$406,32,FALSE)-VLOOKUP($A223,'ПР 01-02.22'!$A$11:$BB$378,32,FALSE)</f>
        <v>366</v>
      </c>
      <c r="AG223" s="40"/>
      <c r="AH223" s="5">
        <f>VLOOKUP($A223,'ПР 01-02.21'!$A$11:$BB$406,34,FALSE)+VLOOKUP($A223,'ПР 21-22'!$A$11:$BB$406,34,FALSE)-VLOOKUP($A223,'ПР 01-02.22'!$A$11:$BB$378,34,FALSE)</f>
        <v>1711.6186680329211</v>
      </c>
      <c r="AI223" s="5">
        <f>VLOOKUP($A223,'ПР 01-02.21'!$A$11:$BB$406,35,FALSE)+VLOOKUP($A223,'ПР 21-22'!$A$11:$BB$406,35,FALSE)-VLOOKUP($A223,'ПР 01-02.22'!$A$11:$BB$378,35,FALSE)</f>
        <v>0</v>
      </c>
      <c r="AJ223" s="40"/>
      <c r="AK223" s="5">
        <f>VLOOKUP($A223,'ПР 01-02.21'!$A$11:$BB$406,37,FALSE)+VLOOKUP($A223,'ПР 21-22'!$A$11:$BB$406,37,FALSE)-VLOOKUP($A223,'ПР 01-02.22'!$A$11:$BB$378,37,FALSE)</f>
        <v>1248.5653403683514</v>
      </c>
      <c r="AL223" s="5">
        <f>VLOOKUP($A223,'ПР 01-02.21'!$A$11:$BB$406,38,FALSE)+VLOOKUP($A223,'ПР 21-22'!$A$11:$BB$406,38,FALSE)-VLOOKUP($A223,'ПР 01-02.22'!$A$11:$BB$378,38,FALSE)</f>
        <v>0</v>
      </c>
      <c r="AM223" s="40"/>
      <c r="AN223" s="5">
        <f>VLOOKUP($A223,'ПР 01-02.21'!$A$11:$BB$406,40,FALSE)+VLOOKUP($A223,'ПР 21-22'!$A$11:$BB$406,40,FALSE)-VLOOKUP($A223,'ПР 01-02.22'!$A$11:$BB$378,40,FALSE)</f>
        <v>0</v>
      </c>
      <c r="AO223" s="5">
        <f>VLOOKUP($A223,'ПР 01-02.21'!$A$11:$BB$406,41,FALSE)+VLOOKUP($A223,'ПР 21-22'!$A$11:$BB$406,41,FALSE)-VLOOKUP($A223,'ПР 01-02.22'!$A$11:$BB$378,41,FALSE)</f>
        <v>0</v>
      </c>
      <c r="AP223" s="40"/>
      <c r="AQ223" s="5">
        <f>VLOOKUP($A223,'ПР 01-02.21'!$A$11:$BB$406,43,FALSE)+VLOOKUP($A223,'ПР 21-22'!$A$11:$BB$406,43,FALSE)-VLOOKUP($A223,'ПР 01-02.22'!$A$11:$BB$378,43,FALSE)</f>
        <v>0</v>
      </c>
      <c r="AR223" s="5">
        <f>VLOOKUP($A223,'ПР 01-02.21'!$A$11:$BB$406,44,FALSE)+VLOOKUP($A223,'ПР 21-22'!$A$11:$BB$406,44,FALSE)-VLOOKUP($A223,'ПР 01-02.22'!$A$11:$BB$378,44,FALSE)</f>
        <v>0</v>
      </c>
      <c r="AS223" s="40"/>
      <c r="AT223" s="5">
        <f>VLOOKUP($A223,'ПР 01-02.21'!$A$11:$BB$406,46,FALSE)+VLOOKUP($A223,'ПР 21-22'!$A$11:$BB$406,46,FALSE)-VLOOKUP($A223,'ПР 01-02.22'!$A$11:$BB$378,46,FALSE)</f>
        <v>1092.964920057053</v>
      </c>
      <c r="AU223" s="5">
        <f>VLOOKUP($A223,'ПР 01-02.21'!$A$11:$BB$406,47,FALSE)+VLOOKUP($A223,'ПР 21-22'!$A$11:$BB$406,47,FALSE)-VLOOKUP($A223,'ПР 01-02.22'!$A$11:$BB$378,47,FALSE)</f>
        <v>896</v>
      </c>
      <c r="AV223" s="40"/>
      <c r="AW223" s="5">
        <f>VLOOKUP($A223,'ПР 01-02.21'!$A$11:$BB$406,49,FALSE)+VLOOKUP($A223,'ПР 21-22'!$A$11:$BB$406,49,FALSE)-VLOOKUP($A223,'ПР 01-02.22'!$A$11:$BB$378,49,FALSE)</f>
        <v>99.246800000000007</v>
      </c>
      <c r="AX223" s="5">
        <f>VLOOKUP($A223,'ПР 01-02.21'!$A$11:$BB$406,50,FALSE)+VLOOKUP($A223,'ПР 21-22'!$A$11:$BB$406,50,FALSE)-VLOOKUP($A223,'ПР 01-02.22'!$A$11:$BB$378,50,FALSE)</f>
        <v>0</v>
      </c>
      <c r="AY223" s="40"/>
      <c r="AZ223" s="40">
        <f t="shared" si="13"/>
        <v>5910.7316500101924</v>
      </c>
      <c r="BA223" s="40">
        <f t="shared" si="13"/>
        <v>1262</v>
      </c>
      <c r="BB223" s="55">
        <f t="shared" si="16"/>
        <v>-4648.7316500101924</v>
      </c>
      <c r="BD223" s="2">
        <v>2</v>
      </c>
      <c r="BF223" s="325">
        <v>150000934</v>
      </c>
    </row>
    <row r="224" spans="1:58" ht="24.9" customHeight="1" x14ac:dyDescent="0.3">
      <c r="A224" s="325">
        <v>150000935</v>
      </c>
      <c r="B224" s="445" t="s">
        <v>176</v>
      </c>
      <c r="C224" s="27">
        <v>2</v>
      </c>
      <c r="D224" s="101" t="s">
        <v>455</v>
      </c>
      <c r="E224" s="279">
        <f>'побудинковий звіт'!E222</f>
        <v>286.2</v>
      </c>
      <c r="F224" s="441">
        <f>'побудинковий звіт'!AS222</f>
        <v>3584.254516518803</v>
      </c>
      <c r="G224" s="441">
        <f t="shared" si="14"/>
        <v>1983</v>
      </c>
      <c r="H224" s="73">
        <f t="shared" si="15"/>
        <v>-1601.254516518803</v>
      </c>
      <c r="I224" s="5">
        <f>VLOOKUP($A224,'ПР 01-02.21'!$A$11:$BB$406,9,FALSE)+VLOOKUP($A224,'ПР 21-22'!$A$11:$BB$406,9,FALSE)-VLOOKUP($A224,'ПР 01-02.22'!$A$11:$BB$378,9,FALSE)</f>
        <v>0</v>
      </c>
      <c r="J224" s="5">
        <f>VLOOKUP($A224,'ПР 01-02.21'!$A$11:$BB$406,10,FALSE)+VLOOKUP($A224,'ПР 21-22'!$A$11:$BB$406,10,FALSE)-VLOOKUP($A224,'ПР 01-02.22'!$A$11:$BB$378,10,FALSE)</f>
        <v>0</v>
      </c>
      <c r="K224" s="446"/>
      <c r="L224" s="5">
        <f>VLOOKUP($A224,'ПР 01-02.21'!$A$11:$BB$406,12,FALSE)+VLOOKUP($A224,'ПР 21-22'!$A$11:$BB$406,12,FALSE)-VLOOKUP($A224,'ПР 01-02.22'!$A$11:$BB$378,12,FALSE)</f>
        <v>0</v>
      </c>
      <c r="M224" s="5">
        <f>VLOOKUP($A224,'ПР 01-02.21'!$A$11:$BB$406,13,FALSE)+VLOOKUP($A224,'ПР 21-22'!$A$11:$BB$406,13,FALSE)-VLOOKUP($A224,'ПР 01-02.22'!$A$11:$BB$378,13,FALSE)</f>
        <v>0</v>
      </c>
      <c r="N224" s="38"/>
      <c r="O224" s="5">
        <f>VLOOKUP($A224,'ПР 01-02.21'!$A$11:$BB$406,15,FALSE)+VLOOKUP($A224,'ПР 21-22'!$A$11:$BB$406,15,FALSE)-VLOOKUP($A224,'ПР 01-02.22'!$A$11:$BB$378,15,FALSE)</f>
        <v>0</v>
      </c>
      <c r="P224" s="5">
        <f>VLOOKUP($A224,'ПР 01-02.21'!$A$11:$BB$406,16,FALSE)+VLOOKUP($A224,'ПР 21-22'!$A$11:$BB$406,16,FALSE)-VLOOKUP($A224,'ПР 01-02.22'!$A$11:$BB$378,16,FALSE)</f>
        <v>0</v>
      </c>
      <c r="Q224" s="443"/>
      <c r="R224" s="5">
        <f>VLOOKUP($A224,'ПР 01-02.21'!$A$11:$BB$406,18,FALSE)+VLOOKUP($A224,'ПР 21-22'!$A$11:$BB$406,18,FALSE)-VLOOKUP($A224,'ПР 01-02.22'!$A$11:$BB$378,18,FALSE)</f>
        <v>0</v>
      </c>
      <c r="S224" s="5">
        <f>VLOOKUP($A224,'ПР 01-02.21'!$A$11:$BB$406,19,FALSE)+VLOOKUP($A224,'ПР 21-22'!$A$11:$BB$406,19,FALSE)-VLOOKUP($A224,'ПР 01-02.22'!$A$11:$BB$378,19,FALSE)</f>
        <v>0</v>
      </c>
      <c r="T224" s="444"/>
      <c r="U224" s="5">
        <f>VLOOKUP($A224,'ПР 01-02.21'!$A$11:$BB$406,21,FALSE)+VLOOKUP($A224,'ПР 21-22'!$A$11:$BB$406,21,FALSE)-VLOOKUP($A224,'ПР 01-02.22'!$A$11:$BB$378,21,FALSE)</f>
        <v>0</v>
      </c>
      <c r="V224" s="5"/>
      <c r="W224" s="5">
        <f>VLOOKUP($A224,'ПР 01-02.21'!$A$11:$BB$406,23,FALSE)+VLOOKUP($A224,'ПР 21-22'!$A$11:$BB$406,23,FALSE)-VLOOKUP($A224,'ПР 01-02.22'!$A$11:$BB$378,23,FALSE)</f>
        <v>0</v>
      </c>
      <c r="X224" s="5">
        <f>VLOOKUP($A224,'ПР 01-02.21'!$A$11:$BB$406,24,FALSE)+VLOOKUP($A224,'ПР 21-22'!$A$11:$BB$406,24,FALSE)-VLOOKUP($A224,'ПР 01-02.22'!$A$11:$BB$378,24,FALSE)</f>
        <v>0</v>
      </c>
      <c r="Y224" s="5">
        <f>VLOOKUP($A224,'ПР 01-02.21'!$A$11:$BB$406,25,FALSE)+VLOOKUP($A224,'ПР 21-22'!$A$11:$BB$406,25,FALSE)-VLOOKUP($A224,'ПР 01-02.22'!$A$11:$BB$378,25,FALSE)</f>
        <v>0</v>
      </c>
      <c r="Z224" s="5"/>
      <c r="AA224" s="5">
        <f>VLOOKUP($A224,'ПР 01-02.21'!$A$11:$BB$406,27,FALSE)+VLOOKUP($A224,'ПР 21-22'!$A$11:$BB$406,27,FALSE)-VLOOKUP($A224,'ПР 01-02.22'!$A$11:$BB$378,27,FALSE)</f>
        <v>0</v>
      </c>
      <c r="AB224" s="5">
        <f>VLOOKUP($A224,'ПР 01-02.21'!$A$11:$BB$406,28,FALSE)+VLOOKUP($A224,'ПР 21-22'!$A$11:$BB$406,28,FALSE)-VLOOKUP($A224,'ПР 01-02.22'!$A$11:$BB$378,28,FALSE)</f>
        <v>0</v>
      </c>
      <c r="AC224" s="5">
        <f>VLOOKUP($A224,'ПР 01-02.21'!$A$11:$BB$406,29,FALSE)+VLOOKUP($A224,'ПР 21-22'!$A$11:$BB$406,29,FALSE)-VLOOKUP($A224,'ПР 01-02.22'!$A$11:$BB$378,29,FALSE)</f>
        <v>0</v>
      </c>
      <c r="AD224" s="5">
        <f>VLOOKUP($A224,'ПР 01-02.21'!$A$11:$BB$406,30,FALSE)+VLOOKUP($A224,'ПР 21-22'!$A$11:$BB$406,30,FALSE)-VLOOKUP($A224,'ПР 01-02.22'!$A$11:$BB$378,30,FALSE)</f>
        <v>1983</v>
      </c>
      <c r="AE224" s="5">
        <f>VLOOKUP($A224,'ПР 01-02.21'!$A$11:$BB$406,31,FALSE)+VLOOKUP($A224,'ПР 21-22'!$A$11:$BB$406,31,FALSE)-VLOOKUP($A224,'ПР 01-02.22'!$A$11:$BB$378,31,FALSE)</f>
        <v>557.17347999370031</v>
      </c>
      <c r="AF224" s="5">
        <f>VLOOKUP($A224,'ПР 01-02.21'!$A$11:$BB$406,32,FALSE)+VLOOKUP($A224,'ПР 21-22'!$A$11:$BB$406,32,FALSE)-VLOOKUP($A224,'ПР 01-02.22'!$A$11:$BB$378,32,FALSE)</f>
        <v>0</v>
      </c>
      <c r="AG224" s="40"/>
      <c r="AH224" s="5">
        <f>VLOOKUP($A224,'ПР 01-02.21'!$A$11:$BB$406,34,FALSE)+VLOOKUP($A224,'ПР 21-22'!$A$11:$BB$406,34,FALSE)-VLOOKUP($A224,'ПР 01-02.22'!$A$11:$BB$378,34,FALSE)</f>
        <v>511.16156123148721</v>
      </c>
      <c r="AI224" s="5">
        <f>VLOOKUP($A224,'ПР 01-02.21'!$A$11:$BB$406,35,FALSE)+VLOOKUP($A224,'ПР 21-22'!$A$11:$BB$406,35,FALSE)-VLOOKUP($A224,'ПР 01-02.22'!$A$11:$BB$378,35,FALSE)</f>
        <v>0</v>
      </c>
      <c r="AJ224" s="40"/>
      <c r="AK224" s="5">
        <f>VLOOKUP($A224,'ПР 01-02.21'!$A$11:$BB$406,37,FALSE)+VLOOKUP($A224,'ПР 21-22'!$A$11:$BB$406,37,FALSE)-VLOOKUP($A224,'ПР 01-02.22'!$A$11:$BB$378,37,FALSE)</f>
        <v>123.58696666572234</v>
      </c>
      <c r="AL224" s="5">
        <f>VLOOKUP($A224,'ПР 01-02.21'!$A$11:$BB$406,38,FALSE)+VLOOKUP($A224,'ПР 21-22'!$A$11:$BB$406,38,FALSE)-VLOOKUP($A224,'ПР 01-02.22'!$A$11:$BB$378,38,FALSE)</f>
        <v>0</v>
      </c>
      <c r="AM224" s="40"/>
      <c r="AN224" s="5">
        <f>VLOOKUP($A224,'ПР 01-02.21'!$A$11:$BB$406,40,FALSE)+VLOOKUP($A224,'ПР 21-22'!$A$11:$BB$406,40,FALSE)-VLOOKUP($A224,'ПР 01-02.22'!$A$11:$BB$378,40,FALSE)</f>
        <v>0</v>
      </c>
      <c r="AO224" s="5">
        <f>VLOOKUP($A224,'ПР 01-02.21'!$A$11:$BB$406,41,FALSE)+VLOOKUP($A224,'ПР 21-22'!$A$11:$BB$406,41,FALSE)-VLOOKUP($A224,'ПР 01-02.22'!$A$11:$BB$378,41,FALSE)</f>
        <v>0</v>
      </c>
      <c r="AP224" s="40"/>
      <c r="AQ224" s="5">
        <f>VLOOKUP($A224,'ПР 01-02.21'!$A$11:$BB$406,43,FALSE)+VLOOKUP($A224,'ПР 21-22'!$A$11:$BB$406,43,FALSE)-VLOOKUP($A224,'ПР 01-02.22'!$A$11:$BB$378,43,FALSE)</f>
        <v>0</v>
      </c>
      <c r="AR224" s="5">
        <f>VLOOKUP($A224,'ПР 01-02.21'!$A$11:$BB$406,44,FALSE)+VLOOKUP($A224,'ПР 21-22'!$A$11:$BB$406,44,FALSE)-VLOOKUP($A224,'ПР 01-02.22'!$A$11:$BB$378,44,FALSE)</f>
        <v>0</v>
      </c>
      <c r="AS224" s="40"/>
      <c r="AT224" s="5">
        <f>VLOOKUP($A224,'ПР 01-02.21'!$A$11:$BB$406,46,FALSE)+VLOOKUP($A224,'ПР 21-22'!$A$11:$BB$406,46,FALSE)-VLOOKUP($A224,'ПР 01-02.22'!$A$11:$BB$378,46,FALSE)</f>
        <v>52.599997186608519</v>
      </c>
      <c r="AU224" s="5">
        <f>VLOOKUP($A224,'ПР 01-02.21'!$A$11:$BB$406,47,FALSE)+VLOOKUP($A224,'ПР 21-22'!$A$11:$BB$406,47,FALSE)-VLOOKUP($A224,'ПР 01-02.22'!$A$11:$BB$378,47,FALSE)</f>
        <v>0</v>
      </c>
      <c r="AV224" s="40"/>
      <c r="AW224" s="5">
        <f>VLOOKUP($A224,'ПР 01-02.21'!$A$11:$BB$406,49,FALSE)+VLOOKUP($A224,'ПР 21-22'!$A$11:$BB$406,49,FALSE)-VLOOKUP($A224,'ПР 01-02.22'!$A$11:$BB$378,49,FALSE)</f>
        <v>14.448</v>
      </c>
      <c r="AX224" s="5">
        <f>VLOOKUP($A224,'ПР 01-02.21'!$A$11:$BB$406,50,FALSE)+VLOOKUP($A224,'ПР 21-22'!$A$11:$BB$406,50,FALSE)-VLOOKUP($A224,'ПР 01-02.22'!$A$11:$BB$378,50,FALSE)</f>
        <v>0</v>
      </c>
      <c r="AY224" s="40"/>
      <c r="AZ224" s="40">
        <f t="shared" si="13"/>
        <v>1258.9700050775184</v>
      </c>
      <c r="BA224" s="40">
        <f t="shared" si="13"/>
        <v>0</v>
      </c>
      <c r="BB224" s="55">
        <f t="shared" si="16"/>
        <v>-1258.9700050775184</v>
      </c>
      <c r="BD224" s="2">
        <v>2</v>
      </c>
      <c r="BF224" s="325">
        <v>150000935</v>
      </c>
    </row>
    <row r="225" spans="1:58" ht="24.9" customHeight="1" x14ac:dyDescent="0.3">
      <c r="A225" s="325">
        <v>150000936</v>
      </c>
      <c r="B225" s="445" t="s">
        <v>122</v>
      </c>
      <c r="C225" s="27">
        <v>1</v>
      </c>
      <c r="D225" s="101" t="s">
        <v>455</v>
      </c>
      <c r="E225" s="279">
        <f>'побудинковий звіт'!E223</f>
        <v>341.75</v>
      </c>
      <c r="F225" s="441">
        <f>'побудинковий звіт'!AS223</f>
        <v>2778.7506049877447</v>
      </c>
      <c r="G225" s="441">
        <f t="shared" si="14"/>
        <v>2069</v>
      </c>
      <c r="H225" s="73">
        <f t="shared" si="15"/>
        <v>-709.75060498774474</v>
      </c>
      <c r="I225" s="5">
        <f>VLOOKUP($A225,'ПР 01-02.21'!$A$11:$BB$406,9,FALSE)+VLOOKUP($A225,'ПР 21-22'!$A$11:$BB$406,9,FALSE)-VLOOKUP($A225,'ПР 01-02.22'!$A$11:$BB$378,9,FALSE)</f>
        <v>0</v>
      </c>
      <c r="J225" s="5">
        <f>VLOOKUP($A225,'ПР 01-02.21'!$A$11:$BB$406,10,FALSE)+VLOOKUP($A225,'ПР 21-22'!$A$11:$BB$406,10,FALSE)-VLOOKUP($A225,'ПР 01-02.22'!$A$11:$BB$378,10,FALSE)</f>
        <v>0</v>
      </c>
      <c r="K225" s="446"/>
      <c r="L225" s="5">
        <f>VLOOKUP($A225,'ПР 01-02.21'!$A$11:$BB$406,12,FALSE)+VLOOKUP($A225,'ПР 21-22'!$A$11:$BB$406,12,FALSE)-VLOOKUP($A225,'ПР 01-02.22'!$A$11:$BB$378,12,FALSE)</f>
        <v>0</v>
      </c>
      <c r="M225" s="5">
        <f>VLOOKUP($A225,'ПР 01-02.21'!$A$11:$BB$406,13,FALSE)+VLOOKUP($A225,'ПР 21-22'!$A$11:$BB$406,13,FALSE)-VLOOKUP($A225,'ПР 01-02.22'!$A$11:$BB$378,13,FALSE)</f>
        <v>0</v>
      </c>
      <c r="N225" s="38"/>
      <c r="O225" s="5">
        <f>VLOOKUP($A225,'ПР 01-02.21'!$A$11:$BB$406,15,FALSE)+VLOOKUP($A225,'ПР 21-22'!$A$11:$BB$406,15,FALSE)-VLOOKUP($A225,'ПР 01-02.22'!$A$11:$BB$378,15,FALSE)</f>
        <v>0</v>
      </c>
      <c r="P225" s="5">
        <f>VLOOKUP($A225,'ПР 01-02.21'!$A$11:$BB$406,16,FALSE)+VLOOKUP($A225,'ПР 21-22'!$A$11:$BB$406,16,FALSE)-VLOOKUP($A225,'ПР 01-02.22'!$A$11:$BB$378,16,FALSE)</f>
        <v>0</v>
      </c>
      <c r="Q225" s="443"/>
      <c r="R225" s="5">
        <f>VLOOKUP($A225,'ПР 01-02.21'!$A$11:$BB$406,18,FALSE)+VLOOKUP($A225,'ПР 21-22'!$A$11:$BB$406,18,FALSE)-VLOOKUP($A225,'ПР 01-02.22'!$A$11:$BB$378,18,FALSE)</f>
        <v>0</v>
      </c>
      <c r="S225" s="5">
        <f>VLOOKUP($A225,'ПР 01-02.21'!$A$11:$BB$406,19,FALSE)+VLOOKUP($A225,'ПР 21-22'!$A$11:$BB$406,19,FALSE)-VLOOKUP($A225,'ПР 01-02.22'!$A$11:$BB$378,19,FALSE)</f>
        <v>0</v>
      </c>
      <c r="T225" s="444"/>
      <c r="U225" s="5">
        <f>VLOOKUP($A225,'ПР 01-02.21'!$A$11:$BB$406,21,FALSE)+VLOOKUP($A225,'ПР 21-22'!$A$11:$BB$406,21,FALSE)-VLOOKUP($A225,'ПР 01-02.22'!$A$11:$BB$378,21,FALSE)</f>
        <v>0</v>
      </c>
      <c r="V225" s="5"/>
      <c r="W225" s="5">
        <f>VLOOKUP($A225,'ПР 01-02.21'!$A$11:$BB$406,23,FALSE)+VLOOKUP($A225,'ПР 21-22'!$A$11:$BB$406,23,FALSE)-VLOOKUP($A225,'ПР 01-02.22'!$A$11:$BB$378,23,FALSE)</f>
        <v>0</v>
      </c>
      <c r="X225" s="5">
        <f>VLOOKUP($A225,'ПР 01-02.21'!$A$11:$BB$406,24,FALSE)+VLOOKUP($A225,'ПР 21-22'!$A$11:$BB$406,24,FALSE)-VLOOKUP($A225,'ПР 01-02.22'!$A$11:$BB$378,24,FALSE)</f>
        <v>0</v>
      </c>
      <c r="Y225" s="5">
        <f>VLOOKUP($A225,'ПР 01-02.21'!$A$11:$BB$406,25,FALSE)+VLOOKUP($A225,'ПР 21-22'!$A$11:$BB$406,25,FALSE)-VLOOKUP($A225,'ПР 01-02.22'!$A$11:$BB$378,25,FALSE)</f>
        <v>0</v>
      </c>
      <c r="Z225" s="5"/>
      <c r="AA225" s="5">
        <f>VLOOKUP($A225,'ПР 01-02.21'!$A$11:$BB$406,27,FALSE)+VLOOKUP($A225,'ПР 21-22'!$A$11:$BB$406,27,FALSE)-VLOOKUP($A225,'ПР 01-02.22'!$A$11:$BB$378,27,FALSE)</f>
        <v>0</v>
      </c>
      <c r="AB225" s="5">
        <f>VLOOKUP($A225,'ПР 01-02.21'!$A$11:$BB$406,28,FALSE)+VLOOKUP($A225,'ПР 21-22'!$A$11:$BB$406,28,FALSE)-VLOOKUP($A225,'ПР 01-02.22'!$A$11:$BB$378,28,FALSE)</f>
        <v>0</v>
      </c>
      <c r="AC225" s="5">
        <f>VLOOKUP($A225,'ПР 01-02.21'!$A$11:$BB$406,29,FALSE)+VLOOKUP($A225,'ПР 21-22'!$A$11:$BB$406,29,FALSE)-VLOOKUP($A225,'ПР 01-02.22'!$A$11:$BB$378,29,FALSE)</f>
        <v>0</v>
      </c>
      <c r="AD225" s="5">
        <f>VLOOKUP($A225,'ПР 01-02.21'!$A$11:$BB$406,30,FALSE)+VLOOKUP($A225,'ПР 21-22'!$A$11:$BB$406,30,FALSE)-VLOOKUP($A225,'ПР 01-02.22'!$A$11:$BB$378,30,FALSE)</f>
        <v>2069</v>
      </c>
      <c r="AE225" s="5">
        <f>VLOOKUP($A225,'ПР 01-02.21'!$A$11:$BB$406,31,FALSE)+VLOOKUP($A225,'ПР 21-22'!$A$11:$BB$406,31,FALSE)-VLOOKUP($A225,'ПР 01-02.22'!$A$11:$BB$378,31,FALSE)</f>
        <v>0</v>
      </c>
      <c r="AF225" s="5">
        <f>VLOOKUP($A225,'ПР 01-02.21'!$A$11:$BB$406,32,FALSE)+VLOOKUP($A225,'ПР 21-22'!$A$11:$BB$406,32,FALSE)-VLOOKUP($A225,'ПР 01-02.22'!$A$11:$BB$378,32,FALSE)</f>
        <v>0</v>
      </c>
      <c r="AG225" s="40"/>
      <c r="AH225" s="5">
        <f>VLOOKUP($A225,'ПР 01-02.21'!$A$11:$BB$406,34,FALSE)+VLOOKUP($A225,'ПР 21-22'!$A$11:$BB$406,34,FALSE)-VLOOKUP($A225,'ПР 01-02.22'!$A$11:$BB$378,34,FALSE)</f>
        <v>0</v>
      </c>
      <c r="AI225" s="5">
        <f>VLOOKUP($A225,'ПР 01-02.21'!$A$11:$BB$406,35,FALSE)+VLOOKUP($A225,'ПР 21-22'!$A$11:$BB$406,35,FALSE)-VLOOKUP($A225,'ПР 01-02.22'!$A$11:$BB$378,35,FALSE)</f>
        <v>0</v>
      </c>
      <c r="AJ225" s="40"/>
      <c r="AK225" s="5">
        <f>VLOOKUP($A225,'ПР 01-02.21'!$A$11:$BB$406,37,FALSE)+VLOOKUP($A225,'ПР 21-22'!$A$11:$BB$406,37,FALSE)-VLOOKUP($A225,'ПР 01-02.22'!$A$11:$BB$378,37,FALSE)</f>
        <v>0</v>
      </c>
      <c r="AL225" s="5">
        <f>VLOOKUP($A225,'ПР 01-02.21'!$A$11:$BB$406,38,FALSE)+VLOOKUP($A225,'ПР 21-22'!$A$11:$BB$406,38,FALSE)-VLOOKUP($A225,'ПР 01-02.22'!$A$11:$BB$378,38,FALSE)</f>
        <v>0</v>
      </c>
      <c r="AM225" s="40"/>
      <c r="AN225" s="5">
        <f>VLOOKUP($A225,'ПР 01-02.21'!$A$11:$BB$406,40,FALSE)+VLOOKUP($A225,'ПР 21-22'!$A$11:$BB$406,40,FALSE)-VLOOKUP($A225,'ПР 01-02.22'!$A$11:$BB$378,40,FALSE)</f>
        <v>0</v>
      </c>
      <c r="AO225" s="5">
        <f>VLOOKUP($A225,'ПР 01-02.21'!$A$11:$BB$406,41,FALSE)+VLOOKUP($A225,'ПР 21-22'!$A$11:$BB$406,41,FALSE)-VLOOKUP($A225,'ПР 01-02.22'!$A$11:$BB$378,41,FALSE)</f>
        <v>0</v>
      </c>
      <c r="AP225" s="40"/>
      <c r="AQ225" s="5">
        <f>VLOOKUP($A225,'ПР 01-02.21'!$A$11:$BB$406,43,FALSE)+VLOOKUP($A225,'ПР 21-22'!$A$11:$BB$406,43,FALSE)-VLOOKUP($A225,'ПР 01-02.22'!$A$11:$BB$378,43,FALSE)</f>
        <v>0</v>
      </c>
      <c r="AR225" s="5">
        <f>VLOOKUP($A225,'ПР 01-02.21'!$A$11:$BB$406,44,FALSE)+VLOOKUP($A225,'ПР 21-22'!$A$11:$BB$406,44,FALSE)-VLOOKUP($A225,'ПР 01-02.22'!$A$11:$BB$378,44,FALSE)</f>
        <v>0</v>
      </c>
      <c r="AS225" s="40"/>
      <c r="AT225" s="5">
        <f>VLOOKUP($A225,'ПР 01-02.21'!$A$11:$BB$406,46,FALSE)+VLOOKUP($A225,'ПР 21-22'!$A$11:$BB$406,46,FALSE)-VLOOKUP($A225,'ПР 01-02.22'!$A$11:$BB$378,46,FALSE)</f>
        <v>0</v>
      </c>
      <c r="AU225" s="5">
        <f>VLOOKUP($A225,'ПР 01-02.21'!$A$11:$BB$406,47,FALSE)+VLOOKUP($A225,'ПР 21-22'!$A$11:$BB$406,47,FALSE)-VLOOKUP($A225,'ПР 01-02.22'!$A$11:$BB$378,47,FALSE)</f>
        <v>0</v>
      </c>
      <c r="AV225" s="40"/>
      <c r="AW225" s="5">
        <f>VLOOKUP($A225,'ПР 01-02.21'!$A$11:$BB$406,49,FALSE)+VLOOKUP($A225,'ПР 21-22'!$A$11:$BB$406,49,FALSE)-VLOOKUP($A225,'ПР 01-02.22'!$A$11:$BB$378,49,FALSE)</f>
        <v>19.948518041439009</v>
      </c>
      <c r="AX225" s="5">
        <f>VLOOKUP($A225,'ПР 01-02.21'!$A$11:$BB$406,50,FALSE)+VLOOKUP($A225,'ПР 21-22'!$A$11:$BB$406,50,FALSE)-VLOOKUP($A225,'ПР 01-02.22'!$A$11:$BB$378,50,FALSE)</f>
        <v>0</v>
      </c>
      <c r="AY225" s="40"/>
      <c r="AZ225" s="40">
        <f t="shared" si="13"/>
        <v>19.948518041439009</v>
      </c>
      <c r="BA225" s="40">
        <f t="shared" si="13"/>
        <v>0</v>
      </c>
      <c r="BB225" s="55">
        <f t="shared" si="16"/>
        <v>-19.948518041439009</v>
      </c>
      <c r="BD225" s="2">
        <v>1</v>
      </c>
      <c r="BF225" s="325">
        <v>150000936</v>
      </c>
    </row>
    <row r="226" spans="1:58" ht="24.9" customHeight="1" x14ac:dyDescent="0.3">
      <c r="A226" s="325">
        <v>150000937</v>
      </c>
      <c r="B226" s="445" t="s">
        <v>375</v>
      </c>
      <c r="C226" s="27">
        <v>9</v>
      </c>
      <c r="D226" s="101" t="s">
        <v>455</v>
      </c>
      <c r="E226" s="279">
        <f>'побудинковий звіт'!E224</f>
        <v>3813.3</v>
      </c>
      <c r="F226" s="441">
        <f>'побудинковий звіт'!AS224</f>
        <v>46680.454296110445</v>
      </c>
      <c r="G226" s="441">
        <f t="shared" si="14"/>
        <v>46719.079999999994</v>
      </c>
      <c r="H226" s="73">
        <f t="shared" si="15"/>
        <v>38.625703889549186</v>
      </c>
      <c r="I226" s="5">
        <f>VLOOKUP($A226,'ПР 01-02.21'!$A$11:$BB$406,9,FALSE)+VLOOKUP($A226,'ПР 21-22'!$A$11:$BB$406,9,FALSE)-VLOOKUP($A226,'ПР 01-02.22'!$A$11:$BB$378,9,FALSE)</f>
        <v>43.9</v>
      </c>
      <c r="J226" s="5">
        <f>VLOOKUP($A226,'ПР 01-02.21'!$A$11:$BB$406,10,FALSE)+VLOOKUP($A226,'ПР 21-22'!$A$11:$BB$406,10,FALSE)-VLOOKUP($A226,'ПР 01-02.22'!$A$11:$BB$378,10,FALSE)</f>
        <v>7173.54</v>
      </c>
      <c r="K226" s="446"/>
      <c r="L226" s="5">
        <f>VLOOKUP($A226,'ПР 01-02.21'!$A$11:$BB$406,12,FALSE)+VLOOKUP($A226,'ПР 21-22'!$A$11:$BB$406,12,FALSE)-VLOOKUP($A226,'ПР 01-02.22'!$A$11:$BB$378,12,FALSE)</f>
        <v>0</v>
      </c>
      <c r="M226" s="5">
        <f>VLOOKUP($A226,'ПР 01-02.21'!$A$11:$BB$406,13,FALSE)+VLOOKUP($A226,'ПР 21-22'!$A$11:$BB$406,13,FALSE)-VLOOKUP($A226,'ПР 01-02.22'!$A$11:$BB$378,13,FALSE)</f>
        <v>0</v>
      </c>
      <c r="N226" s="38"/>
      <c r="O226" s="5">
        <f>VLOOKUP($A226,'ПР 01-02.21'!$A$11:$BB$406,15,FALSE)+VLOOKUP($A226,'ПР 21-22'!$A$11:$BB$406,15,FALSE)-VLOOKUP($A226,'ПР 01-02.22'!$A$11:$BB$378,15,FALSE)</f>
        <v>0</v>
      </c>
      <c r="P226" s="5">
        <f>VLOOKUP($A226,'ПР 01-02.21'!$A$11:$BB$406,16,FALSE)+VLOOKUP($A226,'ПР 21-22'!$A$11:$BB$406,16,FALSE)-VLOOKUP($A226,'ПР 01-02.22'!$A$11:$BB$378,16,FALSE)</f>
        <v>0</v>
      </c>
      <c r="Q226" s="443"/>
      <c r="R226" s="5">
        <f>VLOOKUP($A226,'ПР 01-02.21'!$A$11:$BB$406,18,FALSE)+VLOOKUP($A226,'ПР 21-22'!$A$11:$BB$406,18,FALSE)-VLOOKUP($A226,'ПР 01-02.22'!$A$11:$BB$378,18,FALSE)</f>
        <v>2</v>
      </c>
      <c r="S226" s="5">
        <f>VLOOKUP($A226,'ПР 01-02.21'!$A$11:$BB$406,19,FALSE)+VLOOKUP($A226,'ПР 21-22'!$A$11:$BB$406,19,FALSE)-VLOOKUP($A226,'ПР 01-02.22'!$A$11:$BB$378,19,FALSE)</f>
        <v>32405.02</v>
      </c>
      <c r="T226" s="444"/>
      <c r="U226" s="5">
        <f>VLOOKUP($A226,'ПР 01-02.21'!$A$11:$BB$406,21,FALSE)+VLOOKUP($A226,'ПР 21-22'!$A$11:$BB$406,21,FALSE)-VLOOKUP($A226,'ПР 01-02.22'!$A$11:$BB$378,21,FALSE)</f>
        <v>0</v>
      </c>
      <c r="V226" s="5"/>
      <c r="W226" s="5">
        <f>VLOOKUP($A226,'ПР 01-02.21'!$A$11:$BB$406,23,FALSE)+VLOOKUP($A226,'ПР 21-22'!$A$11:$BB$406,23,FALSE)-VLOOKUP($A226,'ПР 01-02.22'!$A$11:$BB$378,23,FALSE)</f>
        <v>0</v>
      </c>
      <c r="X226" s="5">
        <f>VLOOKUP($A226,'ПР 01-02.21'!$A$11:$BB$406,24,FALSE)+VLOOKUP($A226,'ПР 21-22'!$A$11:$BB$406,24,FALSE)-VLOOKUP($A226,'ПР 01-02.22'!$A$11:$BB$378,24,FALSE)</f>
        <v>0</v>
      </c>
      <c r="Y226" s="5">
        <f>VLOOKUP($A226,'ПР 01-02.21'!$A$11:$BB$406,25,FALSE)+VLOOKUP($A226,'ПР 21-22'!$A$11:$BB$406,25,FALSE)-VLOOKUP($A226,'ПР 01-02.22'!$A$11:$BB$378,25,FALSE)</f>
        <v>170</v>
      </c>
      <c r="Z226" s="5"/>
      <c r="AA226" s="5">
        <f>VLOOKUP($A226,'ПР 01-02.21'!$A$11:$BB$406,27,FALSE)+VLOOKUP($A226,'ПР 21-22'!$A$11:$BB$406,27,FALSE)-VLOOKUP($A226,'ПР 01-02.22'!$A$11:$BB$378,27,FALSE)</f>
        <v>0</v>
      </c>
      <c r="AB226" s="5">
        <f>VLOOKUP($A226,'ПР 01-02.21'!$A$11:$BB$406,28,FALSE)+VLOOKUP($A226,'ПР 21-22'!$A$11:$BB$406,28,FALSE)-VLOOKUP($A226,'ПР 01-02.22'!$A$11:$BB$378,28,FALSE)</f>
        <v>0</v>
      </c>
      <c r="AC226" s="5">
        <f>VLOOKUP($A226,'ПР 01-02.21'!$A$11:$BB$406,29,FALSE)+VLOOKUP($A226,'ПР 21-22'!$A$11:$BB$406,29,FALSE)-VLOOKUP($A226,'ПР 01-02.22'!$A$11:$BB$378,29,FALSE)</f>
        <v>4432</v>
      </c>
      <c r="AD226" s="5">
        <f>VLOOKUP($A226,'ПР 01-02.21'!$A$11:$BB$406,30,FALSE)+VLOOKUP($A226,'ПР 21-22'!$A$11:$BB$406,30,FALSE)-VLOOKUP($A226,'ПР 01-02.22'!$A$11:$BB$378,30,FALSE)</f>
        <v>2538.52</v>
      </c>
      <c r="AE226" s="5">
        <f>VLOOKUP($A226,'ПР 01-02.21'!$A$11:$BB$406,31,FALSE)+VLOOKUP($A226,'ПР 21-22'!$A$11:$BB$406,31,FALSE)-VLOOKUP($A226,'ПР 01-02.22'!$A$11:$BB$378,31,FALSE)</f>
        <v>1579.4574469571537</v>
      </c>
      <c r="AF226" s="5">
        <f>VLOOKUP($A226,'ПР 01-02.21'!$A$11:$BB$406,32,FALSE)+VLOOKUP($A226,'ПР 21-22'!$A$11:$BB$406,32,FALSE)-VLOOKUP($A226,'ПР 01-02.22'!$A$11:$BB$378,32,FALSE)</f>
        <v>1344</v>
      </c>
      <c r="AG226" s="40"/>
      <c r="AH226" s="5">
        <f>VLOOKUP($A226,'ПР 01-02.21'!$A$11:$BB$406,34,FALSE)+VLOOKUP($A226,'ПР 21-22'!$A$11:$BB$406,34,FALSE)-VLOOKUP($A226,'ПР 01-02.22'!$A$11:$BB$378,34,FALSE)</f>
        <v>3044.3332431598956</v>
      </c>
      <c r="AI226" s="5">
        <f>VLOOKUP($A226,'ПР 01-02.21'!$A$11:$BB$406,35,FALSE)+VLOOKUP($A226,'ПР 21-22'!$A$11:$BB$406,35,FALSE)-VLOOKUP($A226,'ПР 01-02.22'!$A$11:$BB$378,35,FALSE)</f>
        <v>2063</v>
      </c>
      <c r="AJ226" s="40"/>
      <c r="AK226" s="5">
        <f>VLOOKUP($A226,'ПР 01-02.21'!$A$11:$BB$406,37,FALSE)+VLOOKUP($A226,'ПР 21-22'!$A$11:$BB$406,37,FALSE)-VLOOKUP($A226,'ПР 01-02.22'!$A$11:$BB$378,37,FALSE)</f>
        <v>1380.6671945719622</v>
      </c>
      <c r="AL226" s="5">
        <f>VLOOKUP($A226,'ПР 01-02.21'!$A$11:$BB$406,38,FALSE)+VLOOKUP($A226,'ПР 21-22'!$A$11:$BB$406,38,FALSE)-VLOOKUP($A226,'ПР 01-02.22'!$A$11:$BB$378,38,FALSE)</f>
        <v>0</v>
      </c>
      <c r="AM226" s="40"/>
      <c r="AN226" s="5">
        <f>VLOOKUP($A226,'ПР 01-02.21'!$A$11:$BB$406,40,FALSE)+VLOOKUP($A226,'ПР 21-22'!$A$11:$BB$406,40,FALSE)-VLOOKUP($A226,'ПР 01-02.22'!$A$11:$BB$378,40,FALSE)</f>
        <v>2583.6806166483884</v>
      </c>
      <c r="AO226" s="5">
        <f>VLOOKUP($A226,'ПР 01-02.21'!$A$11:$BB$406,41,FALSE)+VLOOKUP($A226,'ПР 21-22'!$A$11:$BB$406,41,FALSE)-VLOOKUP($A226,'ПР 01-02.22'!$A$11:$BB$378,41,FALSE)</f>
        <v>7481</v>
      </c>
      <c r="AP226" s="40"/>
      <c r="AQ226" s="5">
        <f>VLOOKUP($A226,'ПР 01-02.21'!$A$11:$BB$406,43,FALSE)+VLOOKUP($A226,'ПР 21-22'!$A$11:$BB$406,43,FALSE)-VLOOKUP($A226,'ПР 01-02.22'!$A$11:$BB$378,43,FALSE)</f>
        <v>1884.854215359109</v>
      </c>
      <c r="AR226" s="5">
        <f>VLOOKUP($A226,'ПР 01-02.21'!$A$11:$BB$406,44,FALSE)+VLOOKUP($A226,'ПР 21-22'!$A$11:$BB$406,44,FALSE)-VLOOKUP($A226,'ПР 01-02.22'!$A$11:$BB$378,44,FALSE)</f>
        <v>0</v>
      </c>
      <c r="AS226" s="40"/>
      <c r="AT226" s="5">
        <f>VLOOKUP($A226,'ПР 01-02.21'!$A$11:$BB$406,46,FALSE)+VLOOKUP($A226,'ПР 21-22'!$A$11:$BB$406,46,FALSE)-VLOOKUP($A226,'ПР 01-02.22'!$A$11:$BB$378,46,FALSE)</f>
        <v>2101.5513805563551</v>
      </c>
      <c r="AU226" s="5">
        <f>VLOOKUP($A226,'ПР 01-02.21'!$A$11:$BB$406,47,FALSE)+VLOOKUP($A226,'ПР 21-22'!$A$11:$BB$406,47,FALSE)-VLOOKUP($A226,'ПР 01-02.22'!$A$11:$BB$378,47,FALSE)</f>
        <v>332</v>
      </c>
      <c r="AV226" s="40"/>
      <c r="AW226" s="5">
        <f>VLOOKUP($A226,'ПР 01-02.21'!$A$11:$BB$406,49,FALSE)+VLOOKUP($A226,'ПР 21-22'!$A$11:$BB$406,49,FALSE)-VLOOKUP($A226,'ПР 01-02.22'!$A$11:$BB$378,49,FALSE)</f>
        <v>508.18265447434294</v>
      </c>
      <c r="AX226" s="5">
        <f>VLOOKUP($A226,'ПР 01-02.21'!$A$11:$BB$406,50,FALSE)+VLOOKUP($A226,'ПР 21-22'!$A$11:$BB$406,50,FALSE)-VLOOKUP($A226,'ПР 01-02.22'!$A$11:$BB$378,50,FALSE)</f>
        <v>0</v>
      </c>
      <c r="AY226" s="40"/>
      <c r="AZ226" s="40">
        <f t="shared" si="13"/>
        <v>13082.726751727207</v>
      </c>
      <c r="BA226" s="40">
        <f t="shared" si="13"/>
        <v>11220</v>
      </c>
      <c r="BB226" s="55">
        <f t="shared" si="16"/>
        <v>-1862.7267517272066</v>
      </c>
      <c r="BD226" s="2">
        <v>1</v>
      </c>
      <c r="BF226" s="325">
        <v>150000937</v>
      </c>
    </row>
    <row r="227" spans="1:58" ht="24.9" customHeight="1" x14ac:dyDescent="0.3">
      <c r="A227" s="325">
        <v>150000938</v>
      </c>
      <c r="B227" s="445" t="s">
        <v>376</v>
      </c>
      <c r="C227" s="27">
        <v>9</v>
      </c>
      <c r="D227" s="101" t="s">
        <v>455</v>
      </c>
      <c r="E227" s="279">
        <f>'побудинковий звіт'!E225</f>
        <v>15432.37</v>
      </c>
      <c r="F227" s="441">
        <f>'побудинковий звіт'!AS225</f>
        <v>178015.15256462825</v>
      </c>
      <c r="G227" s="441">
        <f t="shared" si="14"/>
        <v>292077.12367203418</v>
      </c>
      <c r="H227" s="73">
        <f t="shared" si="15"/>
        <v>114061.97110740593</v>
      </c>
      <c r="I227" s="5">
        <f>VLOOKUP($A227,'ПР 01-02.21'!$A$11:$BB$406,9,FALSE)+VLOOKUP($A227,'ПР 21-22'!$A$11:$BB$406,9,FALSE)-VLOOKUP($A227,'ПР 01-02.22'!$A$11:$BB$378,9,FALSE)</f>
        <v>29.3</v>
      </c>
      <c r="J227" s="5">
        <f>VLOOKUP($A227,'ПР 01-02.21'!$A$11:$BB$406,10,FALSE)+VLOOKUP($A227,'ПР 21-22'!$A$11:$BB$406,10,FALSE)-VLOOKUP($A227,'ПР 01-02.22'!$A$11:$BB$378,10,FALSE)</f>
        <v>5338.27</v>
      </c>
      <c r="K227" s="446"/>
      <c r="L227" s="5">
        <f>VLOOKUP($A227,'ПР 01-02.21'!$A$11:$BB$406,12,FALSE)+VLOOKUP($A227,'ПР 21-22'!$A$11:$BB$406,12,FALSE)-VLOOKUP($A227,'ПР 01-02.22'!$A$11:$BB$378,12,FALSE)</f>
        <v>0</v>
      </c>
      <c r="M227" s="5">
        <f>VLOOKUP($A227,'ПР 01-02.21'!$A$11:$BB$406,13,FALSE)+VLOOKUP($A227,'ПР 21-22'!$A$11:$BB$406,13,FALSE)-VLOOKUP($A227,'ПР 01-02.22'!$A$11:$BB$378,13,FALSE)</f>
        <v>1355.72</v>
      </c>
      <c r="N227" s="38"/>
      <c r="O227" s="5">
        <f>VLOOKUP($A227,'ПР 01-02.21'!$A$11:$BB$406,15,FALSE)+VLOOKUP($A227,'ПР 21-22'!$A$11:$BB$406,15,FALSE)-VLOOKUP($A227,'ПР 01-02.22'!$A$11:$BB$378,15,FALSE)</f>
        <v>0</v>
      </c>
      <c r="P227" s="5">
        <f>VLOOKUP($A227,'ПР 01-02.21'!$A$11:$BB$406,16,FALSE)+VLOOKUP($A227,'ПР 21-22'!$A$11:$BB$406,16,FALSE)-VLOOKUP($A227,'ПР 01-02.22'!$A$11:$BB$378,16,FALSE)</f>
        <v>0</v>
      </c>
      <c r="Q227" s="443"/>
      <c r="R227" s="5">
        <f>VLOOKUP($A227,'ПР 01-02.21'!$A$11:$BB$406,18,FALSE)+VLOOKUP($A227,'ПР 21-22'!$A$11:$BB$406,18,FALSE)-VLOOKUP($A227,'ПР 01-02.22'!$A$11:$BB$378,18,FALSE)</f>
        <v>10</v>
      </c>
      <c r="S227" s="5">
        <f>VLOOKUP($A227,'ПР 01-02.21'!$A$11:$BB$406,19,FALSE)+VLOOKUP($A227,'ПР 21-22'!$A$11:$BB$406,19,FALSE)-VLOOKUP($A227,'ПР 01-02.22'!$A$11:$BB$378,19,FALSE)</f>
        <v>115624.27000000002</v>
      </c>
      <c r="T227" s="444"/>
      <c r="U227" s="5">
        <f>VLOOKUP($A227,'ПР 01-02.21'!$A$11:$BB$406,21,FALSE)+VLOOKUP($A227,'ПР 21-22'!$A$11:$BB$406,21,FALSE)-VLOOKUP($A227,'ПР 01-02.22'!$A$11:$BB$378,21,FALSE)</f>
        <v>6544</v>
      </c>
      <c r="V227" s="5"/>
      <c r="W227" s="5">
        <f>VLOOKUP($A227,'ПР 01-02.21'!$A$11:$BB$406,23,FALSE)+VLOOKUP($A227,'ПР 21-22'!$A$11:$BB$406,23,FALSE)-VLOOKUP($A227,'ПР 01-02.22'!$A$11:$BB$378,23,FALSE)</f>
        <v>3</v>
      </c>
      <c r="X227" s="5">
        <f>VLOOKUP($A227,'ПР 01-02.21'!$A$11:$BB$406,24,FALSE)+VLOOKUP($A227,'ПР 21-22'!$A$11:$BB$406,24,FALSE)-VLOOKUP($A227,'ПР 01-02.22'!$A$11:$BB$378,24,FALSE)</f>
        <v>8807.5736720341847</v>
      </c>
      <c r="Y227" s="5">
        <f>VLOOKUP($A227,'ПР 01-02.21'!$A$11:$BB$406,25,FALSE)+VLOOKUP($A227,'ПР 21-22'!$A$11:$BB$406,25,FALSE)-VLOOKUP($A227,'ПР 01-02.22'!$A$11:$BB$378,25,FALSE)</f>
        <v>115695</v>
      </c>
      <c r="Z227" s="5"/>
      <c r="AA227" s="5">
        <f>VLOOKUP($A227,'ПР 01-02.21'!$A$11:$BB$406,27,FALSE)+VLOOKUP($A227,'ПР 21-22'!$A$11:$BB$406,27,FALSE)-VLOOKUP($A227,'ПР 01-02.22'!$A$11:$BB$378,27,FALSE)</f>
        <v>0</v>
      </c>
      <c r="AB227" s="5">
        <f>VLOOKUP($A227,'ПР 01-02.21'!$A$11:$BB$406,28,FALSE)+VLOOKUP($A227,'ПР 21-22'!$A$11:$BB$406,28,FALSE)-VLOOKUP($A227,'ПР 01-02.22'!$A$11:$BB$378,28,FALSE)</f>
        <v>14436.48</v>
      </c>
      <c r="AC227" s="5">
        <f>VLOOKUP($A227,'ПР 01-02.21'!$A$11:$BB$406,29,FALSE)+VLOOKUP($A227,'ПР 21-22'!$A$11:$BB$406,29,FALSE)-VLOOKUP($A227,'ПР 01-02.22'!$A$11:$BB$378,29,FALSE)</f>
        <v>7722.11</v>
      </c>
      <c r="AD227" s="5">
        <f>VLOOKUP($A227,'ПР 01-02.21'!$A$11:$BB$406,30,FALSE)+VLOOKUP($A227,'ПР 21-22'!$A$11:$BB$406,30,FALSE)-VLOOKUP($A227,'ПР 01-02.22'!$A$11:$BB$378,30,FALSE)</f>
        <v>16553.7</v>
      </c>
      <c r="AE227" s="5">
        <f>VLOOKUP($A227,'ПР 01-02.21'!$A$11:$BB$406,31,FALSE)+VLOOKUP($A227,'ПР 21-22'!$A$11:$BB$406,31,FALSE)-VLOOKUP($A227,'ПР 01-02.22'!$A$11:$BB$378,31,FALSE)</f>
        <v>10579.888494819388</v>
      </c>
      <c r="AF227" s="5">
        <f>VLOOKUP($A227,'ПР 01-02.21'!$A$11:$BB$406,32,FALSE)+VLOOKUP($A227,'ПР 21-22'!$A$11:$BB$406,32,FALSE)-VLOOKUP($A227,'ПР 01-02.22'!$A$11:$BB$378,32,FALSE)</f>
        <v>6971.85</v>
      </c>
      <c r="AG227" s="40"/>
      <c r="AH227" s="5">
        <f>VLOOKUP($A227,'ПР 01-02.21'!$A$11:$BB$406,34,FALSE)+VLOOKUP($A227,'ПР 21-22'!$A$11:$BB$406,34,FALSE)-VLOOKUP($A227,'ПР 01-02.22'!$A$11:$BB$378,34,FALSE)</f>
        <v>11619.11982892836</v>
      </c>
      <c r="AI227" s="5">
        <f>VLOOKUP($A227,'ПР 01-02.21'!$A$11:$BB$406,35,FALSE)+VLOOKUP($A227,'ПР 21-22'!$A$11:$BB$406,35,FALSE)-VLOOKUP($A227,'ПР 01-02.22'!$A$11:$BB$378,35,FALSE)</f>
        <v>9275.76</v>
      </c>
      <c r="AJ227" s="40"/>
      <c r="AK227" s="5">
        <f>VLOOKUP($A227,'ПР 01-02.21'!$A$11:$BB$406,37,FALSE)+VLOOKUP($A227,'ПР 21-22'!$A$11:$BB$406,37,FALSE)-VLOOKUP($A227,'ПР 01-02.22'!$A$11:$BB$378,37,FALSE)</f>
        <v>5412.017991362216</v>
      </c>
      <c r="AL227" s="5">
        <f>VLOOKUP($A227,'ПР 01-02.21'!$A$11:$BB$406,38,FALSE)+VLOOKUP($A227,'ПР 21-22'!$A$11:$BB$406,38,FALSE)-VLOOKUP($A227,'ПР 01-02.22'!$A$11:$BB$378,38,FALSE)</f>
        <v>27765</v>
      </c>
      <c r="AM227" s="40"/>
      <c r="AN227" s="5">
        <f>VLOOKUP($A227,'ПР 01-02.21'!$A$11:$BB$406,40,FALSE)+VLOOKUP($A227,'ПР 21-22'!$A$11:$BB$406,40,FALSE)-VLOOKUP($A227,'ПР 01-02.22'!$A$11:$BB$378,40,FALSE)</f>
        <v>10154.448261931275</v>
      </c>
      <c r="AO227" s="5">
        <f>VLOOKUP($A227,'ПР 01-02.21'!$A$11:$BB$406,41,FALSE)+VLOOKUP($A227,'ПР 21-22'!$A$11:$BB$406,41,FALSE)-VLOOKUP($A227,'ПР 01-02.22'!$A$11:$BB$378,41,FALSE)</f>
        <v>1907.79</v>
      </c>
      <c r="AP227" s="40"/>
      <c r="AQ227" s="5">
        <f>VLOOKUP($A227,'ПР 01-02.21'!$A$11:$BB$406,43,FALSE)+VLOOKUP($A227,'ПР 21-22'!$A$11:$BB$406,43,FALSE)-VLOOKUP($A227,'ПР 01-02.22'!$A$11:$BB$378,43,FALSE)</f>
        <v>4464.5453225187503</v>
      </c>
      <c r="AR227" s="5">
        <f>VLOOKUP($A227,'ПР 01-02.21'!$A$11:$BB$406,44,FALSE)+VLOOKUP($A227,'ПР 21-22'!$A$11:$BB$406,44,FALSE)-VLOOKUP($A227,'ПР 01-02.22'!$A$11:$BB$378,44,FALSE)</f>
        <v>7255</v>
      </c>
      <c r="AS227" s="40"/>
      <c r="AT227" s="5">
        <f>VLOOKUP($A227,'ПР 01-02.21'!$A$11:$BB$406,46,FALSE)+VLOOKUP($A227,'ПР 21-22'!$A$11:$BB$406,46,FALSE)-VLOOKUP($A227,'ПР 01-02.22'!$A$11:$BB$378,46,FALSE)</f>
        <v>11859.446726830636</v>
      </c>
      <c r="AU227" s="5">
        <f>VLOOKUP($A227,'ПР 01-02.21'!$A$11:$BB$406,47,FALSE)+VLOOKUP($A227,'ПР 21-22'!$A$11:$BB$406,47,FALSE)-VLOOKUP($A227,'ПР 01-02.22'!$A$11:$BB$378,47,FALSE)</f>
        <v>3405</v>
      </c>
      <c r="AV227" s="40"/>
      <c r="AW227" s="5">
        <f>VLOOKUP($A227,'ПР 01-02.21'!$A$11:$BB$406,49,FALSE)+VLOOKUP($A227,'ПР 21-22'!$A$11:$BB$406,49,FALSE)-VLOOKUP($A227,'ПР 01-02.22'!$A$11:$BB$378,49,FALSE)</f>
        <v>1239.4515760068837</v>
      </c>
      <c r="AX227" s="5">
        <f>VLOOKUP($A227,'ПР 01-02.21'!$A$11:$BB$406,50,FALSE)+VLOOKUP($A227,'ПР 21-22'!$A$11:$BB$406,50,FALSE)-VLOOKUP($A227,'ПР 01-02.22'!$A$11:$BB$378,50,FALSE)</f>
        <v>0</v>
      </c>
      <c r="AY227" s="40"/>
      <c r="AZ227" s="40">
        <f t="shared" si="13"/>
        <v>55328.918202397508</v>
      </c>
      <c r="BA227" s="40">
        <f t="shared" si="13"/>
        <v>56580.4</v>
      </c>
      <c r="BB227" s="55">
        <f t="shared" si="16"/>
        <v>1251.4817976024933</v>
      </c>
      <c r="BD227" s="2">
        <v>1</v>
      </c>
      <c r="BF227" s="325">
        <v>150000938</v>
      </c>
    </row>
    <row r="228" spans="1:58" ht="24.9" customHeight="1" x14ac:dyDescent="0.3">
      <c r="A228" s="325">
        <v>150000925</v>
      </c>
      <c r="B228" s="445" t="s">
        <v>177</v>
      </c>
      <c r="C228" s="27">
        <v>2</v>
      </c>
      <c r="D228" s="101" t="s">
        <v>455</v>
      </c>
      <c r="E228" s="279">
        <f>'побудинковий звіт'!E226</f>
        <v>479.4</v>
      </c>
      <c r="F228" s="441">
        <f>'побудинковий звіт'!AS226</f>
        <v>6584.8308561224976</v>
      </c>
      <c r="G228" s="441">
        <f t="shared" si="14"/>
        <v>8340</v>
      </c>
      <c r="H228" s="73">
        <f t="shared" si="15"/>
        <v>1755.1691438775024</v>
      </c>
      <c r="I228" s="5">
        <f>VLOOKUP($A228,'ПР 01-02.21'!$A$11:$BB$406,9,FALSE)+VLOOKUP($A228,'ПР 21-22'!$A$11:$BB$406,9,FALSE)-VLOOKUP($A228,'ПР 01-02.22'!$A$11:$BB$378,9,FALSE)</f>
        <v>0</v>
      </c>
      <c r="J228" s="5">
        <f>VLOOKUP($A228,'ПР 01-02.21'!$A$11:$BB$406,10,FALSE)+VLOOKUP($A228,'ПР 21-22'!$A$11:$BB$406,10,FALSE)-VLOOKUP($A228,'ПР 01-02.22'!$A$11:$BB$378,10,FALSE)</f>
        <v>8340</v>
      </c>
      <c r="K228" s="446"/>
      <c r="L228" s="5">
        <f>VLOOKUP($A228,'ПР 01-02.21'!$A$11:$BB$406,12,FALSE)+VLOOKUP($A228,'ПР 21-22'!$A$11:$BB$406,12,FALSE)-VLOOKUP($A228,'ПР 01-02.22'!$A$11:$BB$378,12,FALSE)</f>
        <v>0</v>
      </c>
      <c r="M228" s="5">
        <f>VLOOKUP($A228,'ПР 01-02.21'!$A$11:$BB$406,13,FALSE)+VLOOKUP($A228,'ПР 21-22'!$A$11:$BB$406,13,FALSE)-VLOOKUP($A228,'ПР 01-02.22'!$A$11:$BB$378,13,FALSE)</f>
        <v>0</v>
      </c>
      <c r="N228" s="38"/>
      <c r="O228" s="5">
        <f>VLOOKUP($A228,'ПР 01-02.21'!$A$11:$BB$406,15,FALSE)+VLOOKUP($A228,'ПР 21-22'!$A$11:$BB$406,15,FALSE)-VLOOKUP($A228,'ПР 01-02.22'!$A$11:$BB$378,15,FALSE)</f>
        <v>0</v>
      </c>
      <c r="P228" s="5">
        <f>VLOOKUP($A228,'ПР 01-02.21'!$A$11:$BB$406,16,FALSE)+VLOOKUP($A228,'ПР 21-22'!$A$11:$BB$406,16,FALSE)-VLOOKUP($A228,'ПР 01-02.22'!$A$11:$BB$378,16,FALSE)</f>
        <v>0</v>
      </c>
      <c r="Q228" s="443"/>
      <c r="R228" s="5">
        <f>VLOOKUP($A228,'ПР 01-02.21'!$A$11:$BB$406,18,FALSE)+VLOOKUP($A228,'ПР 21-22'!$A$11:$BB$406,18,FALSE)-VLOOKUP($A228,'ПР 01-02.22'!$A$11:$BB$378,18,FALSE)</f>
        <v>0</v>
      </c>
      <c r="S228" s="5">
        <f>VLOOKUP($A228,'ПР 01-02.21'!$A$11:$BB$406,19,FALSE)+VLOOKUP($A228,'ПР 21-22'!$A$11:$BB$406,19,FALSE)-VLOOKUP($A228,'ПР 01-02.22'!$A$11:$BB$378,19,FALSE)</f>
        <v>0</v>
      </c>
      <c r="T228" s="444"/>
      <c r="U228" s="5">
        <f>VLOOKUP($A228,'ПР 01-02.21'!$A$11:$BB$406,21,FALSE)+VLOOKUP($A228,'ПР 21-22'!$A$11:$BB$406,21,FALSE)-VLOOKUP($A228,'ПР 01-02.22'!$A$11:$BB$378,21,FALSE)</f>
        <v>0</v>
      </c>
      <c r="V228" s="5"/>
      <c r="W228" s="5">
        <f>VLOOKUP($A228,'ПР 01-02.21'!$A$11:$BB$406,23,FALSE)+VLOOKUP($A228,'ПР 21-22'!$A$11:$BB$406,23,FALSE)-VLOOKUP($A228,'ПР 01-02.22'!$A$11:$BB$378,23,FALSE)</f>
        <v>0</v>
      </c>
      <c r="X228" s="5">
        <f>VLOOKUP($A228,'ПР 01-02.21'!$A$11:$BB$406,24,FALSE)+VLOOKUP($A228,'ПР 21-22'!$A$11:$BB$406,24,FALSE)-VLOOKUP($A228,'ПР 01-02.22'!$A$11:$BB$378,24,FALSE)</f>
        <v>0</v>
      </c>
      <c r="Y228" s="5">
        <f>VLOOKUP($A228,'ПР 01-02.21'!$A$11:$BB$406,25,FALSE)+VLOOKUP($A228,'ПР 21-22'!$A$11:$BB$406,25,FALSE)-VLOOKUP($A228,'ПР 01-02.22'!$A$11:$BB$378,25,FALSE)</f>
        <v>0</v>
      </c>
      <c r="Z228" s="5"/>
      <c r="AA228" s="5">
        <f>VLOOKUP($A228,'ПР 01-02.21'!$A$11:$BB$406,27,FALSE)+VLOOKUP($A228,'ПР 21-22'!$A$11:$BB$406,27,FALSE)-VLOOKUP($A228,'ПР 01-02.22'!$A$11:$BB$378,27,FALSE)</f>
        <v>0</v>
      </c>
      <c r="AB228" s="5">
        <f>VLOOKUP($A228,'ПР 01-02.21'!$A$11:$BB$406,28,FALSE)+VLOOKUP($A228,'ПР 21-22'!$A$11:$BB$406,28,FALSE)-VLOOKUP($A228,'ПР 01-02.22'!$A$11:$BB$378,28,FALSE)</f>
        <v>0</v>
      </c>
      <c r="AC228" s="5">
        <f>VLOOKUP($A228,'ПР 01-02.21'!$A$11:$BB$406,29,FALSE)+VLOOKUP($A228,'ПР 21-22'!$A$11:$BB$406,29,FALSE)-VLOOKUP($A228,'ПР 01-02.22'!$A$11:$BB$378,29,FALSE)</f>
        <v>0</v>
      </c>
      <c r="AD228" s="5">
        <f>VLOOKUP($A228,'ПР 01-02.21'!$A$11:$BB$406,30,FALSE)+VLOOKUP($A228,'ПР 21-22'!$A$11:$BB$406,30,FALSE)-VLOOKUP($A228,'ПР 01-02.22'!$A$11:$BB$378,30,FALSE)</f>
        <v>0</v>
      </c>
      <c r="AE228" s="5">
        <f>VLOOKUP($A228,'ПР 01-02.21'!$A$11:$BB$406,31,FALSE)+VLOOKUP($A228,'ПР 21-22'!$A$11:$BB$406,31,FALSE)-VLOOKUP($A228,'ПР 01-02.22'!$A$11:$BB$378,31,FALSE)</f>
        <v>710.48202484939577</v>
      </c>
      <c r="AF228" s="5">
        <f>VLOOKUP($A228,'ПР 01-02.21'!$A$11:$BB$406,32,FALSE)+VLOOKUP($A228,'ПР 21-22'!$A$11:$BB$406,32,FALSE)-VLOOKUP($A228,'ПР 01-02.22'!$A$11:$BB$378,32,FALSE)</f>
        <v>0</v>
      </c>
      <c r="AG228" s="40"/>
      <c r="AH228" s="5">
        <f>VLOOKUP($A228,'ПР 01-02.21'!$A$11:$BB$406,34,FALSE)+VLOOKUP($A228,'ПР 21-22'!$A$11:$BB$406,34,FALSE)-VLOOKUP($A228,'ПР 01-02.22'!$A$11:$BB$378,34,FALSE)</f>
        <v>983.53453986850047</v>
      </c>
      <c r="AI228" s="5">
        <f>VLOOKUP($A228,'ПР 01-02.21'!$A$11:$BB$406,35,FALSE)+VLOOKUP($A228,'ПР 21-22'!$A$11:$BB$406,35,FALSE)-VLOOKUP($A228,'ПР 01-02.22'!$A$11:$BB$378,35,FALSE)</f>
        <v>0</v>
      </c>
      <c r="AJ228" s="40"/>
      <c r="AK228" s="5">
        <f>VLOOKUP($A228,'ПР 01-02.21'!$A$11:$BB$406,37,FALSE)+VLOOKUP($A228,'ПР 21-22'!$A$11:$BB$406,37,FALSE)-VLOOKUP($A228,'ПР 01-02.22'!$A$11:$BB$378,37,FALSE)</f>
        <v>262.39650186331994</v>
      </c>
      <c r="AL228" s="5">
        <f>VLOOKUP($A228,'ПР 01-02.21'!$A$11:$BB$406,38,FALSE)+VLOOKUP($A228,'ПР 21-22'!$A$11:$BB$406,38,FALSE)-VLOOKUP($A228,'ПР 01-02.22'!$A$11:$BB$378,38,FALSE)</f>
        <v>0</v>
      </c>
      <c r="AM228" s="40"/>
      <c r="AN228" s="5">
        <f>VLOOKUP($A228,'ПР 01-02.21'!$A$11:$BB$406,40,FALSE)+VLOOKUP($A228,'ПР 21-22'!$A$11:$BB$406,40,FALSE)-VLOOKUP($A228,'ПР 01-02.22'!$A$11:$BB$378,40,FALSE)</f>
        <v>0</v>
      </c>
      <c r="AO228" s="5">
        <f>VLOOKUP($A228,'ПР 01-02.21'!$A$11:$BB$406,41,FALSE)+VLOOKUP($A228,'ПР 21-22'!$A$11:$BB$406,41,FALSE)-VLOOKUP($A228,'ПР 01-02.22'!$A$11:$BB$378,41,FALSE)</f>
        <v>0</v>
      </c>
      <c r="AP228" s="40"/>
      <c r="AQ228" s="5">
        <f>VLOOKUP($A228,'ПР 01-02.21'!$A$11:$BB$406,43,FALSE)+VLOOKUP($A228,'ПР 21-22'!$A$11:$BB$406,43,FALSE)-VLOOKUP($A228,'ПР 01-02.22'!$A$11:$BB$378,43,FALSE)</f>
        <v>0</v>
      </c>
      <c r="AR228" s="5">
        <f>VLOOKUP($A228,'ПР 01-02.21'!$A$11:$BB$406,44,FALSE)+VLOOKUP($A228,'ПР 21-22'!$A$11:$BB$406,44,FALSE)-VLOOKUP($A228,'ПР 01-02.22'!$A$11:$BB$378,44,FALSE)</f>
        <v>0</v>
      </c>
      <c r="AS228" s="40"/>
      <c r="AT228" s="5">
        <f>VLOOKUP($A228,'ПР 01-02.21'!$A$11:$BB$406,46,FALSE)+VLOOKUP($A228,'ПР 21-22'!$A$11:$BB$406,46,FALSE)-VLOOKUP($A228,'ПР 01-02.22'!$A$11:$BB$378,46,FALSE)</f>
        <v>104.36954044621635</v>
      </c>
      <c r="AU228" s="5">
        <f>VLOOKUP($A228,'ПР 01-02.21'!$A$11:$BB$406,47,FALSE)+VLOOKUP($A228,'ПР 21-22'!$A$11:$BB$406,47,FALSE)-VLOOKUP($A228,'ПР 01-02.22'!$A$11:$BB$378,47,FALSE)</f>
        <v>704</v>
      </c>
      <c r="AV228" s="40"/>
      <c r="AW228" s="5">
        <f>VLOOKUP($A228,'ПР 01-02.21'!$A$11:$BB$406,49,FALSE)+VLOOKUP($A228,'ПР 21-22'!$A$11:$BB$406,49,FALSE)-VLOOKUP($A228,'ПР 01-02.22'!$A$11:$BB$378,49,FALSE)</f>
        <v>20.992000000000001</v>
      </c>
      <c r="AX228" s="5">
        <f>VLOOKUP($A228,'ПР 01-02.21'!$A$11:$BB$406,50,FALSE)+VLOOKUP($A228,'ПР 21-22'!$A$11:$BB$406,50,FALSE)-VLOOKUP($A228,'ПР 01-02.22'!$A$11:$BB$378,50,FALSE)</f>
        <v>0</v>
      </c>
      <c r="AY228" s="40"/>
      <c r="AZ228" s="40">
        <f t="shared" si="13"/>
        <v>2081.7746070274329</v>
      </c>
      <c r="BA228" s="40">
        <f t="shared" si="13"/>
        <v>704</v>
      </c>
      <c r="BB228" s="55">
        <f t="shared" si="16"/>
        <v>-1377.7746070274329</v>
      </c>
      <c r="BD228" s="2">
        <v>2</v>
      </c>
      <c r="BF228" s="325">
        <v>150000925</v>
      </c>
    </row>
    <row r="229" spans="1:58" ht="24.9" customHeight="1" x14ac:dyDescent="0.3">
      <c r="A229" s="325">
        <v>150000939</v>
      </c>
      <c r="B229" s="445" t="s">
        <v>337</v>
      </c>
      <c r="C229" s="27">
        <v>8</v>
      </c>
      <c r="D229" s="101" t="s">
        <v>455</v>
      </c>
      <c r="E229" s="279">
        <f>'побудинковий звіт'!E227</f>
        <v>5138.55</v>
      </c>
      <c r="F229" s="441">
        <f>'побудинковий звіт'!AS227</f>
        <v>65936.038063729982</v>
      </c>
      <c r="G229" s="441">
        <f t="shared" si="14"/>
        <v>138654.54999999999</v>
      </c>
      <c r="H229" s="73">
        <f t="shared" si="15"/>
        <v>72718.511936270006</v>
      </c>
      <c r="I229" s="5">
        <f>VLOOKUP($A229,'ПР 01-02.21'!$A$11:$BB$406,9,FALSE)+VLOOKUP($A229,'ПР 21-22'!$A$11:$BB$406,9,FALSE)-VLOOKUP($A229,'ПР 01-02.22'!$A$11:$BB$378,9,FALSE)</f>
        <v>26</v>
      </c>
      <c r="J229" s="5">
        <f>VLOOKUP($A229,'ПР 01-02.21'!$A$11:$BB$406,10,FALSE)+VLOOKUP($A229,'ПР 21-22'!$A$11:$BB$406,10,FALSE)-VLOOKUP($A229,'ПР 01-02.22'!$A$11:$BB$378,10,FALSE)</f>
        <v>4178.58</v>
      </c>
      <c r="K229" s="446"/>
      <c r="L229" s="5">
        <f>VLOOKUP($A229,'ПР 01-02.21'!$A$11:$BB$406,12,FALSE)+VLOOKUP($A229,'ПР 21-22'!$A$11:$BB$406,12,FALSE)-VLOOKUP($A229,'ПР 01-02.22'!$A$11:$BB$378,12,FALSE)</f>
        <v>0</v>
      </c>
      <c r="M229" s="5">
        <f>VLOOKUP($A229,'ПР 01-02.21'!$A$11:$BB$406,13,FALSE)+VLOOKUP($A229,'ПР 21-22'!$A$11:$BB$406,13,FALSE)-VLOOKUP($A229,'ПР 01-02.22'!$A$11:$BB$378,13,FALSE)</f>
        <v>0</v>
      </c>
      <c r="N229" s="38"/>
      <c r="O229" s="5">
        <f>VLOOKUP($A229,'ПР 01-02.21'!$A$11:$BB$406,15,FALSE)+VLOOKUP($A229,'ПР 21-22'!$A$11:$BB$406,15,FALSE)-VLOOKUP($A229,'ПР 01-02.22'!$A$11:$BB$378,15,FALSE)</f>
        <v>0</v>
      </c>
      <c r="P229" s="5">
        <f>VLOOKUP($A229,'ПР 01-02.21'!$A$11:$BB$406,16,FALSE)+VLOOKUP($A229,'ПР 21-22'!$A$11:$BB$406,16,FALSE)-VLOOKUP($A229,'ПР 01-02.22'!$A$11:$BB$378,16,FALSE)</f>
        <v>0</v>
      </c>
      <c r="Q229" s="443"/>
      <c r="R229" s="5">
        <f>VLOOKUP($A229,'ПР 01-02.21'!$A$11:$BB$406,18,FALSE)+VLOOKUP($A229,'ПР 21-22'!$A$11:$BB$406,18,FALSE)-VLOOKUP($A229,'ПР 01-02.22'!$A$11:$BB$378,18,FALSE)</f>
        <v>4</v>
      </c>
      <c r="S229" s="5">
        <f>VLOOKUP($A229,'ПР 01-02.21'!$A$11:$BB$406,19,FALSE)+VLOOKUP($A229,'ПР 21-22'!$A$11:$BB$406,19,FALSE)-VLOOKUP($A229,'ПР 01-02.22'!$A$11:$BB$378,19,FALSE)</f>
        <v>33372</v>
      </c>
      <c r="T229" s="444"/>
      <c r="U229" s="5">
        <f>VLOOKUP($A229,'ПР 01-02.21'!$A$11:$BB$406,21,FALSE)+VLOOKUP($A229,'ПР 21-22'!$A$11:$BB$406,21,FALSE)-VLOOKUP($A229,'ПР 01-02.22'!$A$11:$BB$378,21,FALSE)</f>
        <v>1486</v>
      </c>
      <c r="V229" s="5"/>
      <c r="W229" s="5">
        <f>VLOOKUP($A229,'ПР 01-02.21'!$A$11:$BB$406,23,FALSE)+VLOOKUP($A229,'ПР 21-22'!$A$11:$BB$406,23,FALSE)-VLOOKUP($A229,'ПР 01-02.22'!$A$11:$BB$378,23,FALSE)</f>
        <v>0</v>
      </c>
      <c r="X229" s="5">
        <f>VLOOKUP($A229,'ПР 01-02.21'!$A$11:$BB$406,24,FALSE)+VLOOKUP($A229,'ПР 21-22'!$A$11:$BB$406,24,FALSE)-VLOOKUP($A229,'ПР 01-02.22'!$A$11:$BB$378,24,FALSE)</f>
        <v>0</v>
      </c>
      <c r="Y229" s="5">
        <f>VLOOKUP($A229,'ПР 01-02.21'!$A$11:$BB$406,25,FALSE)+VLOOKUP($A229,'ПР 21-22'!$A$11:$BB$406,25,FALSE)-VLOOKUP($A229,'ПР 01-02.22'!$A$11:$BB$378,25,FALSE)</f>
        <v>1160.74</v>
      </c>
      <c r="Z229" s="5"/>
      <c r="AA229" s="5">
        <f>VLOOKUP($A229,'ПР 01-02.21'!$A$11:$BB$406,27,FALSE)+VLOOKUP($A229,'ПР 21-22'!$A$11:$BB$406,27,FALSE)-VLOOKUP($A229,'ПР 01-02.22'!$A$11:$BB$378,27,FALSE)</f>
        <v>0</v>
      </c>
      <c r="AB229" s="5">
        <f>VLOOKUP($A229,'ПР 01-02.21'!$A$11:$BB$406,28,FALSE)+VLOOKUP($A229,'ПР 21-22'!$A$11:$BB$406,28,FALSE)-VLOOKUP($A229,'ПР 01-02.22'!$A$11:$BB$378,28,FALSE)</f>
        <v>0</v>
      </c>
      <c r="AC229" s="5">
        <f>VLOOKUP($A229,'ПР 01-02.21'!$A$11:$BB$406,29,FALSE)+VLOOKUP($A229,'ПР 21-22'!$A$11:$BB$406,29,FALSE)-VLOOKUP($A229,'ПР 01-02.22'!$A$11:$BB$378,29,FALSE)</f>
        <v>90931.17</v>
      </c>
      <c r="AD229" s="5">
        <f>VLOOKUP($A229,'ПР 01-02.21'!$A$11:$BB$406,30,FALSE)+VLOOKUP($A229,'ПР 21-22'!$A$11:$BB$406,30,FALSE)-VLOOKUP($A229,'ПР 01-02.22'!$A$11:$BB$378,30,FALSE)</f>
        <v>7526.0599999999995</v>
      </c>
      <c r="AE229" s="5">
        <f>VLOOKUP($A229,'ПР 01-02.21'!$A$11:$BB$406,31,FALSE)+VLOOKUP($A229,'ПР 21-22'!$A$11:$BB$406,31,FALSE)-VLOOKUP($A229,'ПР 01-02.22'!$A$11:$BB$378,31,FALSE)</f>
        <v>2566.3348216501226</v>
      </c>
      <c r="AF229" s="5">
        <f>VLOOKUP($A229,'ПР 01-02.21'!$A$11:$BB$406,32,FALSE)+VLOOKUP($A229,'ПР 21-22'!$A$11:$BB$406,32,FALSE)-VLOOKUP($A229,'ПР 01-02.22'!$A$11:$BB$378,32,FALSE)</f>
        <v>604.39</v>
      </c>
      <c r="AG229" s="40"/>
      <c r="AH229" s="5">
        <f>VLOOKUP($A229,'ПР 01-02.21'!$A$11:$BB$406,34,FALSE)+VLOOKUP($A229,'ПР 21-22'!$A$11:$BB$406,34,FALSE)-VLOOKUP($A229,'ПР 01-02.22'!$A$11:$BB$378,34,FALSE)</f>
        <v>2982.4190249471249</v>
      </c>
      <c r="AI229" s="5">
        <f>VLOOKUP($A229,'ПР 01-02.21'!$A$11:$BB$406,35,FALSE)+VLOOKUP($A229,'ПР 21-22'!$A$11:$BB$406,35,FALSE)-VLOOKUP($A229,'ПР 01-02.22'!$A$11:$BB$378,35,FALSE)</f>
        <v>4953</v>
      </c>
      <c r="AJ229" s="40"/>
      <c r="AK229" s="5">
        <f>VLOOKUP($A229,'ПР 01-02.21'!$A$11:$BB$406,37,FALSE)+VLOOKUP($A229,'ПР 21-22'!$A$11:$BB$406,37,FALSE)-VLOOKUP($A229,'ПР 01-02.22'!$A$11:$BB$378,37,FALSE)</f>
        <v>1789.5417573045656</v>
      </c>
      <c r="AL229" s="5">
        <f>VLOOKUP($A229,'ПР 01-02.21'!$A$11:$BB$406,38,FALSE)+VLOOKUP($A229,'ПР 21-22'!$A$11:$BB$406,38,FALSE)-VLOOKUP($A229,'ПР 01-02.22'!$A$11:$BB$378,38,FALSE)</f>
        <v>0</v>
      </c>
      <c r="AM229" s="40"/>
      <c r="AN229" s="5">
        <f>VLOOKUP($A229,'ПР 01-02.21'!$A$11:$BB$406,40,FALSE)+VLOOKUP($A229,'ПР 21-22'!$A$11:$BB$406,40,FALSE)-VLOOKUP($A229,'ПР 01-02.22'!$A$11:$BB$378,40,FALSE)</f>
        <v>2871.4315857341544</v>
      </c>
      <c r="AO229" s="5">
        <f>VLOOKUP($A229,'ПР 01-02.21'!$A$11:$BB$406,41,FALSE)+VLOOKUP($A229,'ПР 21-22'!$A$11:$BB$406,41,FALSE)-VLOOKUP($A229,'ПР 01-02.22'!$A$11:$BB$378,41,FALSE)</f>
        <v>440</v>
      </c>
      <c r="AP229" s="40"/>
      <c r="AQ229" s="5">
        <f>VLOOKUP($A229,'ПР 01-02.21'!$A$11:$BB$406,43,FALSE)+VLOOKUP($A229,'ПР 21-22'!$A$11:$BB$406,43,FALSE)-VLOOKUP($A229,'ПР 01-02.22'!$A$11:$BB$378,43,FALSE)</f>
        <v>3415.3841154399311</v>
      </c>
      <c r="AR229" s="5">
        <f>VLOOKUP($A229,'ПР 01-02.21'!$A$11:$BB$406,44,FALSE)+VLOOKUP($A229,'ПР 21-22'!$A$11:$BB$406,44,FALSE)-VLOOKUP($A229,'ПР 01-02.22'!$A$11:$BB$378,44,FALSE)</f>
        <v>0</v>
      </c>
      <c r="AS229" s="40"/>
      <c r="AT229" s="5">
        <f>VLOOKUP($A229,'ПР 01-02.21'!$A$11:$BB$406,46,FALSE)+VLOOKUP($A229,'ПР 21-22'!$A$11:$BB$406,46,FALSE)-VLOOKUP($A229,'ПР 01-02.22'!$A$11:$BB$378,46,FALSE)</f>
        <v>1397.8278875153901</v>
      </c>
      <c r="AU229" s="5">
        <f>VLOOKUP($A229,'ПР 01-02.21'!$A$11:$BB$406,47,FALSE)+VLOOKUP($A229,'ПР 21-22'!$A$11:$BB$406,47,FALSE)-VLOOKUP($A229,'ПР 01-02.22'!$A$11:$BB$378,47,FALSE)</f>
        <v>0</v>
      </c>
      <c r="AV229" s="40"/>
      <c r="AW229" s="5">
        <f>VLOOKUP($A229,'ПР 01-02.21'!$A$11:$BB$406,49,FALSE)+VLOOKUP($A229,'ПР 21-22'!$A$11:$BB$406,49,FALSE)-VLOOKUP($A229,'ПР 01-02.22'!$A$11:$BB$378,49,FALSE)</f>
        <v>518.78018911726201</v>
      </c>
      <c r="AX229" s="5">
        <f>VLOOKUP($A229,'ПР 01-02.21'!$A$11:$BB$406,50,FALSE)+VLOOKUP($A229,'ПР 21-22'!$A$11:$BB$406,50,FALSE)-VLOOKUP($A229,'ПР 01-02.22'!$A$11:$BB$378,50,FALSE)</f>
        <v>0</v>
      </c>
      <c r="AY229" s="40"/>
      <c r="AZ229" s="40">
        <f t="shared" si="13"/>
        <v>15541.71938170855</v>
      </c>
      <c r="BA229" s="40">
        <f t="shared" si="13"/>
        <v>5997.39</v>
      </c>
      <c r="BB229" s="55">
        <f t="shared" si="16"/>
        <v>-9544.3293817085505</v>
      </c>
      <c r="BD229" s="2">
        <v>1</v>
      </c>
      <c r="BF229" s="325">
        <v>150000939</v>
      </c>
    </row>
    <row r="230" spans="1:58" ht="24.9" customHeight="1" x14ac:dyDescent="0.3">
      <c r="A230" s="325">
        <v>150000926</v>
      </c>
      <c r="B230" s="445" t="s">
        <v>178</v>
      </c>
      <c r="C230" s="27">
        <v>2</v>
      </c>
      <c r="D230" s="101" t="s">
        <v>455</v>
      </c>
      <c r="E230" s="279">
        <f>'побудинковий звіт'!E228</f>
        <v>404.5</v>
      </c>
      <c r="F230" s="441">
        <f>'побудинковий звіт'!AS228</f>
        <v>5973.4170762629583</v>
      </c>
      <c r="G230" s="441">
        <f t="shared" si="14"/>
        <v>0</v>
      </c>
      <c r="H230" s="73">
        <f t="shared" si="15"/>
        <v>-5973.4170762629583</v>
      </c>
      <c r="I230" s="5">
        <f>VLOOKUP($A230,'ПР 01-02.21'!$A$11:$BB$406,9,FALSE)+VLOOKUP($A230,'ПР 21-22'!$A$11:$BB$406,9,FALSE)-VLOOKUP($A230,'ПР 01-02.22'!$A$11:$BB$378,9,FALSE)</f>
        <v>0</v>
      </c>
      <c r="J230" s="5">
        <f>VLOOKUP($A230,'ПР 01-02.21'!$A$11:$BB$406,10,FALSE)+VLOOKUP($A230,'ПР 21-22'!$A$11:$BB$406,10,FALSE)-VLOOKUP($A230,'ПР 01-02.22'!$A$11:$BB$378,10,FALSE)</f>
        <v>0</v>
      </c>
      <c r="K230" s="446"/>
      <c r="L230" s="5">
        <f>VLOOKUP($A230,'ПР 01-02.21'!$A$11:$BB$406,12,FALSE)+VLOOKUP($A230,'ПР 21-22'!$A$11:$BB$406,12,FALSE)-VLOOKUP($A230,'ПР 01-02.22'!$A$11:$BB$378,12,FALSE)</f>
        <v>0</v>
      </c>
      <c r="M230" s="5">
        <f>VLOOKUP($A230,'ПР 01-02.21'!$A$11:$BB$406,13,FALSE)+VLOOKUP($A230,'ПР 21-22'!$A$11:$BB$406,13,FALSE)-VLOOKUP($A230,'ПР 01-02.22'!$A$11:$BB$378,13,FALSE)</f>
        <v>0</v>
      </c>
      <c r="N230" s="38"/>
      <c r="O230" s="5">
        <f>VLOOKUP($A230,'ПР 01-02.21'!$A$11:$BB$406,15,FALSE)+VLOOKUP($A230,'ПР 21-22'!$A$11:$BB$406,15,FALSE)-VLOOKUP($A230,'ПР 01-02.22'!$A$11:$BB$378,15,FALSE)</f>
        <v>0</v>
      </c>
      <c r="P230" s="5">
        <f>VLOOKUP($A230,'ПР 01-02.21'!$A$11:$BB$406,16,FALSE)+VLOOKUP($A230,'ПР 21-22'!$A$11:$BB$406,16,FALSE)-VLOOKUP($A230,'ПР 01-02.22'!$A$11:$BB$378,16,FALSE)</f>
        <v>0</v>
      </c>
      <c r="Q230" s="443"/>
      <c r="R230" s="5">
        <f>VLOOKUP($A230,'ПР 01-02.21'!$A$11:$BB$406,18,FALSE)+VLOOKUP($A230,'ПР 21-22'!$A$11:$BB$406,18,FALSE)-VLOOKUP($A230,'ПР 01-02.22'!$A$11:$BB$378,18,FALSE)</f>
        <v>0</v>
      </c>
      <c r="S230" s="5">
        <f>VLOOKUP($A230,'ПР 01-02.21'!$A$11:$BB$406,19,FALSE)+VLOOKUP($A230,'ПР 21-22'!$A$11:$BB$406,19,FALSE)-VLOOKUP($A230,'ПР 01-02.22'!$A$11:$BB$378,19,FALSE)</f>
        <v>0</v>
      </c>
      <c r="T230" s="444"/>
      <c r="U230" s="5">
        <f>VLOOKUP($A230,'ПР 01-02.21'!$A$11:$BB$406,21,FALSE)+VLOOKUP($A230,'ПР 21-22'!$A$11:$BB$406,21,FALSE)-VLOOKUP($A230,'ПР 01-02.22'!$A$11:$BB$378,21,FALSE)</f>
        <v>0</v>
      </c>
      <c r="V230" s="5"/>
      <c r="W230" s="5">
        <f>VLOOKUP($A230,'ПР 01-02.21'!$A$11:$BB$406,23,FALSE)+VLOOKUP($A230,'ПР 21-22'!$A$11:$BB$406,23,FALSE)-VLOOKUP($A230,'ПР 01-02.22'!$A$11:$BB$378,23,FALSE)</f>
        <v>0</v>
      </c>
      <c r="X230" s="5">
        <f>VLOOKUP($A230,'ПР 01-02.21'!$A$11:$BB$406,24,FALSE)+VLOOKUP($A230,'ПР 21-22'!$A$11:$BB$406,24,FALSE)-VLOOKUP($A230,'ПР 01-02.22'!$A$11:$BB$378,24,FALSE)</f>
        <v>0</v>
      </c>
      <c r="Y230" s="5">
        <f>VLOOKUP($A230,'ПР 01-02.21'!$A$11:$BB$406,25,FALSE)+VLOOKUP($A230,'ПР 21-22'!$A$11:$BB$406,25,FALSE)-VLOOKUP($A230,'ПР 01-02.22'!$A$11:$BB$378,25,FALSE)</f>
        <v>0</v>
      </c>
      <c r="Z230" s="5"/>
      <c r="AA230" s="5">
        <f>VLOOKUP($A230,'ПР 01-02.21'!$A$11:$BB$406,27,FALSE)+VLOOKUP($A230,'ПР 21-22'!$A$11:$BB$406,27,FALSE)-VLOOKUP($A230,'ПР 01-02.22'!$A$11:$BB$378,27,FALSE)</f>
        <v>0</v>
      </c>
      <c r="AB230" s="5">
        <f>VLOOKUP($A230,'ПР 01-02.21'!$A$11:$BB$406,28,FALSE)+VLOOKUP($A230,'ПР 21-22'!$A$11:$BB$406,28,FALSE)-VLOOKUP($A230,'ПР 01-02.22'!$A$11:$BB$378,28,FALSE)</f>
        <v>0</v>
      </c>
      <c r="AC230" s="5">
        <f>VLOOKUP($A230,'ПР 01-02.21'!$A$11:$BB$406,29,FALSE)+VLOOKUP($A230,'ПР 21-22'!$A$11:$BB$406,29,FALSE)-VLOOKUP($A230,'ПР 01-02.22'!$A$11:$BB$378,29,FALSE)</f>
        <v>0</v>
      </c>
      <c r="AD230" s="5">
        <f>VLOOKUP($A230,'ПР 01-02.21'!$A$11:$BB$406,30,FALSE)+VLOOKUP($A230,'ПР 21-22'!$A$11:$BB$406,30,FALSE)-VLOOKUP($A230,'ПР 01-02.22'!$A$11:$BB$378,30,FALSE)</f>
        <v>0</v>
      </c>
      <c r="AE230" s="5">
        <f>VLOOKUP($A230,'ПР 01-02.21'!$A$11:$BB$406,31,FALSE)+VLOOKUP($A230,'ПР 21-22'!$A$11:$BB$406,31,FALSE)-VLOOKUP($A230,'ПР 01-02.22'!$A$11:$BB$378,31,FALSE)</f>
        <v>485.39999224701728</v>
      </c>
      <c r="AF230" s="5">
        <f>VLOOKUP($A230,'ПР 01-02.21'!$A$11:$BB$406,32,FALSE)+VLOOKUP($A230,'ПР 21-22'!$A$11:$BB$406,32,FALSE)-VLOOKUP($A230,'ПР 01-02.22'!$A$11:$BB$378,32,FALSE)</f>
        <v>0</v>
      </c>
      <c r="AG230" s="40"/>
      <c r="AH230" s="5">
        <f>VLOOKUP($A230,'ПР 01-02.21'!$A$11:$BB$406,34,FALSE)+VLOOKUP($A230,'ПР 21-22'!$A$11:$BB$406,34,FALSE)-VLOOKUP($A230,'ПР 01-02.22'!$A$11:$BB$378,34,FALSE)</f>
        <v>983.53453986850047</v>
      </c>
      <c r="AI230" s="5">
        <f>VLOOKUP($A230,'ПР 01-02.21'!$A$11:$BB$406,35,FALSE)+VLOOKUP($A230,'ПР 21-22'!$A$11:$BB$406,35,FALSE)-VLOOKUP($A230,'ПР 01-02.22'!$A$11:$BB$378,35,FALSE)</f>
        <v>0</v>
      </c>
      <c r="AJ230" s="40"/>
      <c r="AK230" s="5">
        <f>VLOOKUP($A230,'ПР 01-02.21'!$A$11:$BB$406,37,FALSE)+VLOOKUP($A230,'ПР 21-22'!$A$11:$BB$406,37,FALSE)-VLOOKUP($A230,'ПР 01-02.22'!$A$11:$BB$378,37,FALSE)</f>
        <v>0</v>
      </c>
      <c r="AL230" s="5">
        <f>VLOOKUP($A230,'ПР 01-02.21'!$A$11:$BB$406,38,FALSE)+VLOOKUP($A230,'ПР 21-22'!$A$11:$BB$406,38,FALSE)-VLOOKUP($A230,'ПР 01-02.22'!$A$11:$BB$378,38,FALSE)</f>
        <v>0</v>
      </c>
      <c r="AM230" s="40"/>
      <c r="AN230" s="5">
        <f>VLOOKUP($A230,'ПР 01-02.21'!$A$11:$BB$406,40,FALSE)+VLOOKUP($A230,'ПР 21-22'!$A$11:$BB$406,40,FALSE)-VLOOKUP($A230,'ПР 01-02.22'!$A$11:$BB$378,40,FALSE)</f>
        <v>0</v>
      </c>
      <c r="AO230" s="5">
        <f>VLOOKUP($A230,'ПР 01-02.21'!$A$11:$BB$406,41,FALSE)+VLOOKUP($A230,'ПР 21-22'!$A$11:$BB$406,41,FALSE)-VLOOKUP($A230,'ПР 01-02.22'!$A$11:$BB$378,41,FALSE)</f>
        <v>0</v>
      </c>
      <c r="AP230" s="40"/>
      <c r="AQ230" s="5">
        <f>VLOOKUP($A230,'ПР 01-02.21'!$A$11:$BB$406,43,FALSE)+VLOOKUP($A230,'ПР 21-22'!$A$11:$BB$406,43,FALSE)-VLOOKUP($A230,'ПР 01-02.22'!$A$11:$BB$378,43,FALSE)</f>
        <v>0</v>
      </c>
      <c r="AR230" s="5">
        <f>VLOOKUP($A230,'ПР 01-02.21'!$A$11:$BB$406,44,FALSE)+VLOOKUP($A230,'ПР 21-22'!$A$11:$BB$406,44,FALSE)-VLOOKUP($A230,'ПР 01-02.22'!$A$11:$BB$378,44,FALSE)</f>
        <v>0</v>
      </c>
      <c r="AS230" s="40"/>
      <c r="AT230" s="5">
        <f>VLOOKUP($A230,'ПР 01-02.21'!$A$11:$BB$406,46,FALSE)+VLOOKUP($A230,'ПР 21-22'!$A$11:$BB$406,46,FALSE)-VLOOKUP($A230,'ПР 01-02.22'!$A$11:$BB$378,46,FALSE)</f>
        <v>104.36954044621635</v>
      </c>
      <c r="AU230" s="5">
        <f>VLOOKUP($A230,'ПР 01-02.21'!$A$11:$BB$406,47,FALSE)+VLOOKUP($A230,'ПР 21-22'!$A$11:$BB$406,47,FALSE)-VLOOKUP($A230,'ПР 01-02.22'!$A$11:$BB$378,47,FALSE)</f>
        <v>0</v>
      </c>
      <c r="AV230" s="40"/>
      <c r="AW230" s="5">
        <f>VLOOKUP($A230,'ПР 01-02.21'!$A$11:$BB$406,49,FALSE)+VLOOKUP($A230,'ПР 21-22'!$A$11:$BB$406,49,FALSE)-VLOOKUP($A230,'ПР 01-02.22'!$A$11:$BB$378,49,FALSE)</f>
        <v>20.196000000000002</v>
      </c>
      <c r="AX230" s="5">
        <f>VLOOKUP($A230,'ПР 01-02.21'!$A$11:$BB$406,50,FALSE)+VLOOKUP($A230,'ПР 21-22'!$A$11:$BB$406,50,FALSE)-VLOOKUP($A230,'ПР 01-02.22'!$A$11:$BB$378,50,FALSE)</f>
        <v>0</v>
      </c>
      <c r="AY230" s="40"/>
      <c r="AZ230" s="40">
        <f t="shared" si="13"/>
        <v>1593.5000725617342</v>
      </c>
      <c r="BA230" s="40">
        <f t="shared" si="13"/>
        <v>0</v>
      </c>
      <c r="BB230" s="55">
        <f t="shared" si="16"/>
        <v>-1593.5000725617342</v>
      </c>
      <c r="BD230" s="2">
        <v>2</v>
      </c>
      <c r="BF230" s="325">
        <v>150000926</v>
      </c>
    </row>
    <row r="231" spans="1:58" ht="24.9" customHeight="1" x14ac:dyDescent="0.3">
      <c r="A231" s="325">
        <v>150000940</v>
      </c>
      <c r="B231" s="445" t="s">
        <v>377</v>
      </c>
      <c r="C231" s="27">
        <v>9</v>
      </c>
      <c r="D231" s="101" t="s">
        <v>455</v>
      </c>
      <c r="E231" s="279">
        <f>'побудинковий звіт'!E229</f>
        <v>7450.81</v>
      </c>
      <c r="F231" s="441">
        <f>'побудинковий звіт'!AS229</f>
        <v>92727.623502778195</v>
      </c>
      <c r="G231" s="441">
        <f t="shared" si="14"/>
        <v>22659.260000000002</v>
      </c>
      <c r="H231" s="73">
        <f t="shared" si="15"/>
        <v>-70068.3635027782</v>
      </c>
      <c r="I231" s="5">
        <f>VLOOKUP($A231,'ПР 01-02.21'!$A$11:$BB$406,9,FALSE)+VLOOKUP($A231,'ПР 21-22'!$A$11:$BB$406,9,FALSE)-VLOOKUP($A231,'ПР 01-02.22'!$A$11:$BB$378,9,FALSE)</f>
        <v>0</v>
      </c>
      <c r="J231" s="5">
        <f>VLOOKUP($A231,'ПР 01-02.21'!$A$11:$BB$406,10,FALSE)+VLOOKUP($A231,'ПР 21-22'!$A$11:$BB$406,10,FALSE)-VLOOKUP($A231,'ПР 01-02.22'!$A$11:$BB$378,10,FALSE)</f>
        <v>0</v>
      </c>
      <c r="K231" s="446"/>
      <c r="L231" s="5">
        <f>VLOOKUP($A231,'ПР 01-02.21'!$A$11:$BB$406,12,FALSE)+VLOOKUP($A231,'ПР 21-22'!$A$11:$BB$406,12,FALSE)-VLOOKUP($A231,'ПР 01-02.22'!$A$11:$BB$378,12,FALSE)</f>
        <v>0</v>
      </c>
      <c r="M231" s="5">
        <f>VLOOKUP($A231,'ПР 01-02.21'!$A$11:$BB$406,13,FALSE)+VLOOKUP($A231,'ПР 21-22'!$A$11:$BB$406,13,FALSE)-VLOOKUP($A231,'ПР 01-02.22'!$A$11:$BB$378,13,FALSE)</f>
        <v>184</v>
      </c>
      <c r="N231" s="38"/>
      <c r="O231" s="5">
        <f>VLOOKUP($A231,'ПР 01-02.21'!$A$11:$BB$406,15,FALSE)+VLOOKUP($A231,'ПР 21-22'!$A$11:$BB$406,15,FALSE)-VLOOKUP($A231,'ПР 01-02.22'!$A$11:$BB$378,15,FALSE)</f>
        <v>30</v>
      </c>
      <c r="P231" s="5">
        <f>VLOOKUP($A231,'ПР 01-02.21'!$A$11:$BB$406,16,FALSE)+VLOOKUP($A231,'ПР 21-22'!$A$11:$BB$406,16,FALSE)-VLOOKUP($A231,'ПР 01-02.22'!$A$11:$BB$378,16,FALSE)</f>
        <v>4960</v>
      </c>
      <c r="Q231" s="443"/>
      <c r="R231" s="5">
        <f>VLOOKUP($A231,'ПР 01-02.21'!$A$11:$BB$406,18,FALSE)+VLOOKUP($A231,'ПР 21-22'!$A$11:$BB$406,18,FALSE)-VLOOKUP($A231,'ПР 01-02.22'!$A$11:$BB$378,18,FALSE)</f>
        <v>0</v>
      </c>
      <c r="S231" s="5">
        <f>VLOOKUP($A231,'ПР 01-02.21'!$A$11:$BB$406,19,FALSE)+VLOOKUP($A231,'ПР 21-22'!$A$11:$BB$406,19,FALSE)-VLOOKUP($A231,'ПР 01-02.22'!$A$11:$BB$378,19,FALSE)</f>
        <v>0</v>
      </c>
      <c r="T231" s="444"/>
      <c r="U231" s="5">
        <f>VLOOKUP($A231,'ПР 01-02.21'!$A$11:$BB$406,21,FALSE)+VLOOKUP($A231,'ПР 21-22'!$A$11:$BB$406,21,FALSE)-VLOOKUP($A231,'ПР 01-02.22'!$A$11:$BB$378,21,FALSE)</f>
        <v>0</v>
      </c>
      <c r="V231" s="5"/>
      <c r="W231" s="5">
        <f>VLOOKUP($A231,'ПР 01-02.21'!$A$11:$BB$406,23,FALSE)+VLOOKUP($A231,'ПР 21-22'!$A$11:$BB$406,23,FALSE)-VLOOKUP($A231,'ПР 01-02.22'!$A$11:$BB$378,23,FALSE)</f>
        <v>0</v>
      </c>
      <c r="X231" s="5">
        <f>VLOOKUP($A231,'ПР 01-02.21'!$A$11:$BB$406,24,FALSE)+VLOOKUP($A231,'ПР 21-22'!$A$11:$BB$406,24,FALSE)-VLOOKUP($A231,'ПР 01-02.22'!$A$11:$BB$378,24,FALSE)</f>
        <v>0</v>
      </c>
      <c r="Y231" s="5">
        <f>VLOOKUP($A231,'ПР 01-02.21'!$A$11:$BB$406,25,FALSE)+VLOOKUP($A231,'ПР 21-22'!$A$11:$BB$406,25,FALSE)-VLOOKUP($A231,'ПР 01-02.22'!$A$11:$BB$378,25,FALSE)</f>
        <v>9094</v>
      </c>
      <c r="Z231" s="5"/>
      <c r="AA231" s="5">
        <f>VLOOKUP($A231,'ПР 01-02.21'!$A$11:$BB$406,27,FALSE)+VLOOKUP($A231,'ПР 21-22'!$A$11:$BB$406,27,FALSE)-VLOOKUP($A231,'ПР 01-02.22'!$A$11:$BB$378,27,FALSE)</f>
        <v>0</v>
      </c>
      <c r="AB231" s="5">
        <f>VLOOKUP($A231,'ПР 01-02.21'!$A$11:$BB$406,28,FALSE)+VLOOKUP($A231,'ПР 21-22'!$A$11:$BB$406,28,FALSE)-VLOOKUP($A231,'ПР 01-02.22'!$A$11:$BB$378,28,FALSE)</f>
        <v>1113</v>
      </c>
      <c r="AC231" s="5">
        <f>VLOOKUP($A231,'ПР 01-02.21'!$A$11:$BB$406,29,FALSE)+VLOOKUP($A231,'ПР 21-22'!$A$11:$BB$406,29,FALSE)-VLOOKUP($A231,'ПР 01-02.22'!$A$11:$BB$378,29,FALSE)</f>
        <v>2750</v>
      </c>
      <c r="AD231" s="5">
        <f>VLOOKUP($A231,'ПР 01-02.21'!$A$11:$BB$406,30,FALSE)+VLOOKUP($A231,'ПР 21-22'!$A$11:$BB$406,30,FALSE)-VLOOKUP($A231,'ПР 01-02.22'!$A$11:$BB$378,30,FALSE)</f>
        <v>4558.26</v>
      </c>
      <c r="AE231" s="5">
        <f>VLOOKUP($A231,'ПР 01-02.21'!$A$11:$BB$406,31,FALSE)+VLOOKUP($A231,'ПР 21-22'!$A$11:$BB$406,31,FALSE)-VLOOKUP($A231,'ПР 01-02.22'!$A$11:$BB$378,31,FALSE)</f>
        <v>4400.0804804372328</v>
      </c>
      <c r="AF231" s="5">
        <f>VLOOKUP($A231,'ПР 01-02.21'!$A$11:$BB$406,32,FALSE)+VLOOKUP($A231,'ПР 21-22'!$A$11:$BB$406,32,FALSE)-VLOOKUP($A231,'ПР 01-02.22'!$A$11:$BB$378,32,FALSE)</f>
        <v>4264.3</v>
      </c>
      <c r="AG231" s="40"/>
      <c r="AH231" s="5">
        <f>VLOOKUP($A231,'ПР 01-02.21'!$A$11:$BB$406,34,FALSE)+VLOOKUP($A231,'ПР 21-22'!$A$11:$BB$406,34,FALSE)-VLOOKUP($A231,'ПР 01-02.22'!$A$11:$BB$378,34,FALSE)</f>
        <v>5201.7008724533525</v>
      </c>
      <c r="AI231" s="5">
        <f>VLOOKUP($A231,'ПР 01-02.21'!$A$11:$BB$406,35,FALSE)+VLOOKUP($A231,'ПР 21-22'!$A$11:$BB$406,35,FALSE)-VLOOKUP($A231,'ПР 01-02.22'!$A$11:$BB$378,35,FALSE)</f>
        <v>5170.0200000000004</v>
      </c>
      <c r="AJ231" s="40"/>
      <c r="AK231" s="5">
        <f>VLOOKUP($A231,'ПР 01-02.21'!$A$11:$BB$406,37,FALSE)+VLOOKUP($A231,'ПР 21-22'!$A$11:$BB$406,37,FALSE)-VLOOKUP($A231,'ПР 01-02.22'!$A$11:$BB$378,37,FALSE)</f>
        <v>3141.7404552978323</v>
      </c>
      <c r="AL231" s="5">
        <f>VLOOKUP($A231,'ПР 01-02.21'!$A$11:$BB$406,38,FALSE)+VLOOKUP($A231,'ПР 21-22'!$A$11:$BB$406,38,FALSE)-VLOOKUP($A231,'ПР 01-02.22'!$A$11:$BB$378,38,FALSE)</f>
        <v>961</v>
      </c>
      <c r="AM231" s="40"/>
      <c r="AN231" s="5">
        <f>VLOOKUP($A231,'ПР 01-02.21'!$A$11:$BB$406,40,FALSE)+VLOOKUP($A231,'ПР 21-22'!$A$11:$BB$406,40,FALSE)-VLOOKUP($A231,'ПР 01-02.22'!$A$11:$BB$378,40,FALSE)</f>
        <v>4476.1185937019973</v>
      </c>
      <c r="AO231" s="5">
        <f>VLOOKUP($A231,'ПР 01-02.21'!$A$11:$BB$406,41,FALSE)+VLOOKUP($A231,'ПР 21-22'!$A$11:$BB$406,41,FALSE)-VLOOKUP($A231,'ПР 01-02.22'!$A$11:$BB$378,41,FALSE)</f>
        <v>6896</v>
      </c>
      <c r="AP231" s="40"/>
      <c r="AQ231" s="5">
        <f>VLOOKUP($A231,'ПР 01-02.21'!$A$11:$BB$406,43,FALSE)+VLOOKUP($A231,'ПР 21-22'!$A$11:$BB$406,43,FALSE)-VLOOKUP($A231,'ПР 01-02.22'!$A$11:$BB$378,43,FALSE)</f>
        <v>1913.1150136490437</v>
      </c>
      <c r="AR231" s="5">
        <f>VLOOKUP($A231,'ПР 01-02.21'!$A$11:$BB$406,44,FALSE)+VLOOKUP($A231,'ПР 21-22'!$A$11:$BB$406,44,FALSE)-VLOOKUP($A231,'ПР 01-02.22'!$A$11:$BB$378,44,FALSE)</f>
        <v>3874</v>
      </c>
      <c r="AS231" s="40"/>
      <c r="AT231" s="5">
        <f>VLOOKUP($A231,'ПР 01-02.21'!$A$11:$BB$406,46,FALSE)+VLOOKUP($A231,'ПР 21-22'!$A$11:$BB$406,46,FALSE)-VLOOKUP($A231,'ПР 01-02.22'!$A$11:$BB$378,46,FALSE)</f>
        <v>4295.8654979228704</v>
      </c>
      <c r="AU231" s="5">
        <f>VLOOKUP($A231,'ПР 01-02.21'!$A$11:$BB$406,47,FALSE)+VLOOKUP($A231,'ПР 21-22'!$A$11:$BB$406,47,FALSE)-VLOOKUP($A231,'ПР 01-02.22'!$A$11:$BB$378,47,FALSE)</f>
        <v>0</v>
      </c>
      <c r="AV231" s="40"/>
      <c r="AW231" s="5">
        <f>VLOOKUP($A231,'ПР 01-02.21'!$A$11:$BB$406,49,FALSE)+VLOOKUP($A231,'ПР 21-22'!$A$11:$BB$406,49,FALSE)-VLOOKUP($A231,'ПР 01-02.22'!$A$11:$BB$378,49,FALSE)</f>
        <v>751.54908339710607</v>
      </c>
      <c r="AX231" s="5">
        <f>VLOOKUP($A231,'ПР 01-02.21'!$A$11:$BB$406,50,FALSE)+VLOOKUP($A231,'ПР 21-22'!$A$11:$BB$406,50,FALSE)-VLOOKUP($A231,'ПР 01-02.22'!$A$11:$BB$378,50,FALSE)</f>
        <v>0</v>
      </c>
      <c r="AY231" s="40"/>
      <c r="AZ231" s="40">
        <f t="shared" si="13"/>
        <v>24180.169996859437</v>
      </c>
      <c r="BA231" s="40">
        <f t="shared" si="13"/>
        <v>21165.32</v>
      </c>
      <c r="BB231" s="55">
        <f t="shared" si="16"/>
        <v>-3014.8499968594369</v>
      </c>
      <c r="BD231" s="2">
        <v>1</v>
      </c>
      <c r="BF231" s="325">
        <v>150000940</v>
      </c>
    </row>
    <row r="232" spans="1:58" ht="24.9" customHeight="1" x14ac:dyDescent="0.3">
      <c r="A232" s="325">
        <v>150000941</v>
      </c>
      <c r="B232" s="445" t="s">
        <v>338</v>
      </c>
      <c r="C232" s="27">
        <v>8</v>
      </c>
      <c r="D232" s="101" t="s">
        <v>455</v>
      </c>
      <c r="E232" s="279">
        <f>'побудинковий звіт'!E230</f>
        <v>6120.05</v>
      </c>
      <c r="F232" s="441">
        <f>'побудинковий звіт'!AS230</f>
        <v>94815.411793098508</v>
      </c>
      <c r="G232" s="441">
        <f t="shared" si="14"/>
        <v>33002.31</v>
      </c>
      <c r="H232" s="73">
        <f t="shared" si="15"/>
        <v>-61813.101793098511</v>
      </c>
      <c r="I232" s="5">
        <f>VLOOKUP($A232,'ПР 01-02.21'!$A$11:$BB$406,9,FALSE)+VLOOKUP($A232,'ПР 21-22'!$A$11:$BB$406,9,FALSE)-VLOOKUP($A232,'ПР 01-02.22'!$A$11:$BB$378,9,FALSE)</f>
        <v>0</v>
      </c>
      <c r="J232" s="5">
        <f>VLOOKUP($A232,'ПР 01-02.21'!$A$11:$BB$406,10,FALSE)+VLOOKUP($A232,'ПР 21-22'!$A$11:$BB$406,10,FALSE)-VLOOKUP($A232,'ПР 01-02.22'!$A$11:$BB$378,10,FALSE)</f>
        <v>0</v>
      </c>
      <c r="K232" s="446"/>
      <c r="L232" s="5">
        <f>VLOOKUP($A232,'ПР 01-02.21'!$A$11:$BB$406,12,FALSE)+VLOOKUP($A232,'ПР 21-22'!$A$11:$BB$406,12,FALSE)-VLOOKUP($A232,'ПР 01-02.22'!$A$11:$BB$378,12,FALSE)</f>
        <v>0</v>
      </c>
      <c r="M232" s="5">
        <f>VLOOKUP($A232,'ПР 01-02.21'!$A$11:$BB$406,13,FALSE)+VLOOKUP($A232,'ПР 21-22'!$A$11:$BB$406,13,FALSE)-VLOOKUP($A232,'ПР 01-02.22'!$A$11:$BB$378,13,FALSE)</f>
        <v>0</v>
      </c>
      <c r="N232" s="38"/>
      <c r="O232" s="5">
        <f>VLOOKUP($A232,'ПР 01-02.21'!$A$11:$BB$406,15,FALSE)+VLOOKUP($A232,'ПР 21-22'!$A$11:$BB$406,15,FALSE)-VLOOKUP($A232,'ПР 01-02.22'!$A$11:$BB$378,15,FALSE)</f>
        <v>0</v>
      </c>
      <c r="P232" s="5">
        <f>VLOOKUP($A232,'ПР 01-02.21'!$A$11:$BB$406,16,FALSE)+VLOOKUP($A232,'ПР 21-22'!$A$11:$BB$406,16,FALSE)-VLOOKUP($A232,'ПР 01-02.22'!$A$11:$BB$378,16,FALSE)</f>
        <v>0</v>
      </c>
      <c r="Q232" s="443"/>
      <c r="R232" s="5">
        <f>VLOOKUP($A232,'ПР 01-02.21'!$A$11:$BB$406,18,FALSE)+VLOOKUP($A232,'ПР 21-22'!$A$11:$BB$406,18,FALSE)-VLOOKUP($A232,'ПР 01-02.22'!$A$11:$BB$378,18,FALSE)</f>
        <v>2</v>
      </c>
      <c r="S232" s="5">
        <f>VLOOKUP($A232,'ПР 01-02.21'!$A$11:$BB$406,19,FALSE)+VLOOKUP($A232,'ПР 21-22'!$A$11:$BB$406,19,FALSE)-VLOOKUP($A232,'ПР 01-02.22'!$A$11:$BB$378,19,FALSE)</f>
        <v>21553</v>
      </c>
      <c r="T232" s="444"/>
      <c r="U232" s="5">
        <f>VLOOKUP($A232,'ПР 01-02.21'!$A$11:$BB$406,21,FALSE)+VLOOKUP($A232,'ПР 21-22'!$A$11:$BB$406,21,FALSE)-VLOOKUP($A232,'ПР 01-02.22'!$A$11:$BB$378,21,FALSE)</f>
        <v>0</v>
      </c>
      <c r="V232" s="5"/>
      <c r="W232" s="5">
        <f>VLOOKUP($A232,'ПР 01-02.21'!$A$11:$BB$406,23,FALSE)+VLOOKUP($A232,'ПР 21-22'!$A$11:$BB$406,23,FALSE)-VLOOKUP($A232,'ПР 01-02.22'!$A$11:$BB$378,23,FALSE)</f>
        <v>0</v>
      </c>
      <c r="X232" s="5">
        <f>VLOOKUP($A232,'ПР 01-02.21'!$A$11:$BB$406,24,FALSE)+VLOOKUP($A232,'ПР 21-22'!$A$11:$BB$406,24,FALSE)-VLOOKUP($A232,'ПР 01-02.22'!$A$11:$BB$378,24,FALSE)</f>
        <v>0</v>
      </c>
      <c r="Y232" s="5">
        <f>VLOOKUP($A232,'ПР 01-02.21'!$A$11:$BB$406,25,FALSE)+VLOOKUP($A232,'ПР 21-22'!$A$11:$BB$406,25,FALSE)-VLOOKUP($A232,'ПР 01-02.22'!$A$11:$BB$378,25,FALSE)</f>
        <v>3890.5</v>
      </c>
      <c r="Z232" s="5"/>
      <c r="AA232" s="5">
        <f>VLOOKUP($A232,'ПР 01-02.21'!$A$11:$BB$406,27,FALSE)+VLOOKUP($A232,'ПР 21-22'!$A$11:$BB$406,27,FALSE)-VLOOKUP($A232,'ПР 01-02.22'!$A$11:$BB$378,27,FALSE)</f>
        <v>0</v>
      </c>
      <c r="AB232" s="5">
        <f>VLOOKUP($A232,'ПР 01-02.21'!$A$11:$BB$406,28,FALSE)+VLOOKUP($A232,'ПР 21-22'!$A$11:$BB$406,28,FALSE)-VLOOKUP($A232,'ПР 01-02.22'!$A$11:$BB$378,28,FALSE)</f>
        <v>830.04</v>
      </c>
      <c r="AC232" s="5">
        <f>VLOOKUP($A232,'ПР 01-02.21'!$A$11:$BB$406,29,FALSE)+VLOOKUP($A232,'ПР 21-22'!$A$11:$BB$406,29,FALSE)-VLOOKUP($A232,'ПР 01-02.22'!$A$11:$BB$378,29,FALSE)</f>
        <v>1101</v>
      </c>
      <c r="AD232" s="5">
        <f>VLOOKUP($A232,'ПР 01-02.21'!$A$11:$BB$406,30,FALSE)+VLOOKUP($A232,'ПР 21-22'!$A$11:$BB$406,30,FALSE)-VLOOKUP($A232,'ПР 01-02.22'!$A$11:$BB$378,30,FALSE)</f>
        <v>5627.77</v>
      </c>
      <c r="AE232" s="5">
        <f>VLOOKUP($A232,'ПР 01-02.21'!$A$11:$BB$406,31,FALSE)+VLOOKUP($A232,'ПР 21-22'!$A$11:$BB$406,31,FALSE)-VLOOKUP($A232,'ПР 01-02.22'!$A$11:$BB$378,31,FALSE)</f>
        <v>2007.8742121642786</v>
      </c>
      <c r="AF232" s="5">
        <f>VLOOKUP($A232,'ПР 01-02.21'!$A$11:$BB$406,32,FALSE)+VLOOKUP($A232,'ПР 21-22'!$A$11:$BB$406,32,FALSE)-VLOOKUP($A232,'ПР 01-02.22'!$A$11:$BB$378,32,FALSE)</f>
        <v>823</v>
      </c>
      <c r="AG232" s="40"/>
      <c r="AH232" s="5">
        <f>VLOOKUP($A232,'ПР 01-02.21'!$A$11:$BB$406,34,FALSE)+VLOOKUP($A232,'ПР 21-22'!$A$11:$BB$406,34,FALSE)-VLOOKUP($A232,'ПР 01-02.22'!$A$11:$BB$378,34,FALSE)</f>
        <v>3434.8190921063488</v>
      </c>
      <c r="AI232" s="5">
        <f>VLOOKUP($A232,'ПР 01-02.21'!$A$11:$BB$406,35,FALSE)+VLOOKUP($A232,'ПР 21-22'!$A$11:$BB$406,35,FALSE)-VLOOKUP($A232,'ПР 01-02.22'!$A$11:$BB$378,35,FALSE)</f>
        <v>6066</v>
      </c>
      <c r="AJ232" s="40"/>
      <c r="AK232" s="5">
        <f>VLOOKUP($A232,'ПР 01-02.21'!$A$11:$BB$406,37,FALSE)+VLOOKUP($A232,'ПР 21-22'!$A$11:$BB$406,37,FALSE)-VLOOKUP($A232,'ПР 01-02.22'!$A$11:$BB$378,37,FALSE)</f>
        <v>1412.7639767726978</v>
      </c>
      <c r="AL232" s="5">
        <f>VLOOKUP($A232,'ПР 01-02.21'!$A$11:$BB$406,38,FALSE)+VLOOKUP($A232,'ПР 21-22'!$A$11:$BB$406,38,FALSE)-VLOOKUP($A232,'ПР 01-02.22'!$A$11:$BB$378,38,FALSE)</f>
        <v>0</v>
      </c>
      <c r="AM232" s="40"/>
      <c r="AN232" s="5">
        <f>VLOOKUP($A232,'ПР 01-02.21'!$A$11:$BB$406,40,FALSE)+VLOOKUP($A232,'ПР 21-22'!$A$11:$BB$406,40,FALSE)-VLOOKUP($A232,'ПР 01-02.22'!$A$11:$BB$378,40,FALSE)</f>
        <v>3446.1326187101108</v>
      </c>
      <c r="AO232" s="5">
        <f>VLOOKUP($A232,'ПР 01-02.21'!$A$11:$BB$406,41,FALSE)+VLOOKUP($A232,'ПР 21-22'!$A$11:$BB$406,41,FALSE)-VLOOKUP($A232,'ПР 01-02.22'!$A$11:$BB$378,41,FALSE)</f>
        <v>0</v>
      </c>
      <c r="AP232" s="40"/>
      <c r="AQ232" s="5">
        <f>VLOOKUP($A232,'ПР 01-02.21'!$A$11:$BB$406,43,FALSE)+VLOOKUP($A232,'ПР 21-22'!$A$11:$BB$406,43,FALSE)-VLOOKUP($A232,'ПР 01-02.22'!$A$11:$BB$378,43,FALSE)</f>
        <v>1653.9464265716047</v>
      </c>
      <c r="AR232" s="5">
        <f>VLOOKUP($A232,'ПР 01-02.21'!$A$11:$BB$406,44,FALSE)+VLOOKUP($A232,'ПР 21-22'!$A$11:$BB$406,44,FALSE)-VLOOKUP($A232,'ПР 01-02.22'!$A$11:$BB$378,44,FALSE)</f>
        <v>0</v>
      </c>
      <c r="AS232" s="40"/>
      <c r="AT232" s="5">
        <f>VLOOKUP($A232,'ПР 01-02.21'!$A$11:$BB$406,46,FALSE)+VLOOKUP($A232,'ПР 21-22'!$A$11:$BB$406,46,FALSE)-VLOOKUP($A232,'ПР 01-02.22'!$A$11:$BB$378,46,FALSE)</f>
        <v>2647.9785790113115</v>
      </c>
      <c r="AU232" s="5">
        <f>VLOOKUP($A232,'ПР 01-02.21'!$A$11:$BB$406,47,FALSE)+VLOOKUP($A232,'ПР 21-22'!$A$11:$BB$406,47,FALSE)-VLOOKUP($A232,'ПР 01-02.22'!$A$11:$BB$378,47,FALSE)</f>
        <v>0</v>
      </c>
      <c r="AV232" s="40"/>
      <c r="AW232" s="5">
        <f>VLOOKUP($A232,'ПР 01-02.21'!$A$11:$BB$406,49,FALSE)+VLOOKUP($A232,'ПР 21-22'!$A$11:$BB$406,49,FALSE)-VLOOKUP($A232,'ПР 01-02.22'!$A$11:$BB$378,49,FALSE)</f>
        <v>949.22373312263437</v>
      </c>
      <c r="AX232" s="5">
        <f>VLOOKUP($A232,'ПР 01-02.21'!$A$11:$BB$406,50,FALSE)+VLOOKUP($A232,'ПР 21-22'!$A$11:$BB$406,50,FALSE)-VLOOKUP($A232,'ПР 01-02.22'!$A$11:$BB$378,50,FALSE)</f>
        <v>0</v>
      </c>
      <c r="AY232" s="40"/>
      <c r="AZ232" s="40">
        <f t="shared" si="13"/>
        <v>15552.738638458988</v>
      </c>
      <c r="BA232" s="40">
        <f t="shared" si="13"/>
        <v>6889</v>
      </c>
      <c r="BB232" s="55">
        <f t="shared" si="16"/>
        <v>-8663.7386384589881</v>
      </c>
      <c r="BD232" s="2">
        <v>1</v>
      </c>
      <c r="BF232" s="325">
        <v>150000941</v>
      </c>
    </row>
    <row r="233" spans="1:58" ht="24.9" customHeight="1" x14ac:dyDescent="0.3">
      <c r="A233" s="325">
        <v>150000957</v>
      </c>
      <c r="B233" s="445" t="s">
        <v>378</v>
      </c>
      <c r="C233" s="27">
        <v>9</v>
      </c>
      <c r="D233" s="101" t="s">
        <v>455</v>
      </c>
      <c r="E233" s="279">
        <f>'побудинковий звіт'!E231</f>
        <v>2163.8200000000002</v>
      </c>
      <c r="F233" s="441">
        <f>'побудинковий звіт'!AS231</f>
        <v>25788.137937389612</v>
      </c>
      <c r="G233" s="441">
        <f t="shared" si="14"/>
        <v>14098.410737503844</v>
      </c>
      <c r="H233" s="73">
        <f t="shared" si="15"/>
        <v>-11689.727199885769</v>
      </c>
      <c r="I233" s="5">
        <f>VLOOKUP($A233,'ПР 01-02.21'!$A$11:$BB$406,9,FALSE)+VLOOKUP($A233,'ПР 21-22'!$A$11:$BB$406,9,FALSE)-VLOOKUP($A233,'ПР 01-02.22'!$A$11:$BB$378,9,FALSE)</f>
        <v>0</v>
      </c>
      <c r="J233" s="5">
        <f>VLOOKUP($A233,'ПР 01-02.21'!$A$11:$BB$406,10,FALSE)+VLOOKUP($A233,'ПР 21-22'!$A$11:$BB$406,10,FALSE)-VLOOKUP($A233,'ПР 01-02.22'!$A$11:$BB$378,10,FALSE)</f>
        <v>0</v>
      </c>
      <c r="K233" s="446"/>
      <c r="L233" s="5">
        <f>VLOOKUP($A233,'ПР 01-02.21'!$A$11:$BB$406,12,FALSE)+VLOOKUP($A233,'ПР 21-22'!$A$11:$BB$406,12,FALSE)-VLOOKUP($A233,'ПР 01-02.22'!$A$11:$BB$378,12,FALSE)</f>
        <v>0</v>
      </c>
      <c r="M233" s="5">
        <f>VLOOKUP($A233,'ПР 01-02.21'!$A$11:$BB$406,13,FALSE)+VLOOKUP($A233,'ПР 21-22'!$A$11:$BB$406,13,FALSE)-VLOOKUP($A233,'ПР 01-02.22'!$A$11:$BB$378,13,FALSE)</f>
        <v>0</v>
      </c>
      <c r="N233" s="38"/>
      <c r="O233" s="5">
        <f>VLOOKUP($A233,'ПР 01-02.21'!$A$11:$BB$406,15,FALSE)+VLOOKUP($A233,'ПР 21-22'!$A$11:$BB$406,15,FALSE)-VLOOKUP($A233,'ПР 01-02.22'!$A$11:$BB$378,15,FALSE)</f>
        <v>0</v>
      </c>
      <c r="P233" s="5">
        <f>VLOOKUP($A233,'ПР 01-02.21'!$A$11:$BB$406,16,FALSE)+VLOOKUP($A233,'ПР 21-22'!$A$11:$BB$406,16,FALSE)-VLOOKUP($A233,'ПР 01-02.22'!$A$11:$BB$378,16,FALSE)</f>
        <v>0</v>
      </c>
      <c r="Q233" s="443"/>
      <c r="R233" s="5">
        <f>VLOOKUP($A233,'ПР 01-02.21'!$A$11:$BB$406,18,FALSE)+VLOOKUP($A233,'ПР 21-22'!$A$11:$BB$406,18,FALSE)-VLOOKUP($A233,'ПР 01-02.22'!$A$11:$BB$378,18,FALSE)</f>
        <v>0</v>
      </c>
      <c r="S233" s="5">
        <f>VLOOKUP($A233,'ПР 01-02.21'!$A$11:$BB$406,19,FALSE)+VLOOKUP($A233,'ПР 21-22'!$A$11:$BB$406,19,FALSE)-VLOOKUP($A233,'ПР 01-02.22'!$A$11:$BB$378,19,FALSE)</f>
        <v>0</v>
      </c>
      <c r="T233" s="444"/>
      <c r="U233" s="5">
        <f>VLOOKUP($A233,'ПР 01-02.21'!$A$11:$BB$406,21,FALSE)+VLOOKUP($A233,'ПР 21-22'!$A$11:$BB$406,21,FALSE)-VLOOKUP($A233,'ПР 01-02.22'!$A$11:$BB$378,21,FALSE)</f>
        <v>0</v>
      </c>
      <c r="V233" s="5"/>
      <c r="W233" s="5">
        <f>VLOOKUP($A233,'ПР 01-02.21'!$A$11:$BB$406,23,FALSE)+VLOOKUP($A233,'ПР 21-22'!$A$11:$BB$406,23,FALSE)-VLOOKUP($A233,'ПР 01-02.22'!$A$11:$BB$378,23,FALSE)</f>
        <v>0</v>
      </c>
      <c r="X233" s="5">
        <f>VLOOKUP($A233,'ПР 01-02.21'!$A$11:$BB$406,24,FALSE)+VLOOKUP($A233,'ПР 21-22'!$A$11:$BB$406,24,FALSE)-VLOOKUP($A233,'ПР 01-02.22'!$A$11:$BB$378,24,FALSE)</f>
        <v>406.54073750384367</v>
      </c>
      <c r="Y233" s="5">
        <f>VLOOKUP($A233,'ПР 01-02.21'!$A$11:$BB$406,25,FALSE)+VLOOKUP($A233,'ПР 21-22'!$A$11:$BB$406,25,FALSE)-VLOOKUP($A233,'ПР 01-02.22'!$A$11:$BB$378,25,FALSE)</f>
        <v>332</v>
      </c>
      <c r="Z233" s="5"/>
      <c r="AA233" s="5">
        <f>VLOOKUP($A233,'ПР 01-02.21'!$A$11:$BB$406,27,FALSE)+VLOOKUP($A233,'ПР 21-22'!$A$11:$BB$406,27,FALSE)-VLOOKUP($A233,'ПР 01-02.22'!$A$11:$BB$378,27,FALSE)</f>
        <v>0</v>
      </c>
      <c r="AB233" s="5">
        <f>VLOOKUP($A233,'ПР 01-02.21'!$A$11:$BB$406,28,FALSE)+VLOOKUP($A233,'ПР 21-22'!$A$11:$BB$406,28,FALSE)-VLOOKUP($A233,'ПР 01-02.22'!$A$11:$BB$378,28,FALSE)</f>
        <v>1892.26</v>
      </c>
      <c r="AC233" s="5">
        <f>VLOOKUP($A233,'ПР 01-02.21'!$A$11:$BB$406,29,FALSE)+VLOOKUP($A233,'ПР 21-22'!$A$11:$BB$406,29,FALSE)-VLOOKUP($A233,'ПР 01-02.22'!$A$11:$BB$378,29,FALSE)</f>
        <v>1147</v>
      </c>
      <c r="AD233" s="5">
        <f>VLOOKUP($A233,'ПР 01-02.21'!$A$11:$BB$406,30,FALSE)+VLOOKUP($A233,'ПР 21-22'!$A$11:$BB$406,30,FALSE)-VLOOKUP($A233,'ПР 01-02.22'!$A$11:$BB$378,30,FALSE)</f>
        <v>10320.61</v>
      </c>
      <c r="AE233" s="5">
        <f>VLOOKUP($A233,'ПР 01-02.21'!$A$11:$BB$406,31,FALSE)+VLOOKUP($A233,'ПР 21-22'!$A$11:$BB$406,31,FALSE)-VLOOKUP($A233,'ПР 01-02.22'!$A$11:$BB$378,31,FALSE)</f>
        <v>1618.3756854404164</v>
      </c>
      <c r="AF233" s="5">
        <f>VLOOKUP($A233,'ПР 01-02.21'!$A$11:$BB$406,32,FALSE)+VLOOKUP($A233,'ПР 21-22'!$A$11:$BB$406,32,FALSE)-VLOOKUP($A233,'ПР 01-02.22'!$A$11:$BB$378,32,FALSE)</f>
        <v>1393.63</v>
      </c>
      <c r="AG233" s="40"/>
      <c r="AH233" s="5">
        <f>VLOOKUP($A233,'ПР 01-02.21'!$A$11:$BB$406,34,FALSE)+VLOOKUP($A233,'ПР 21-22'!$A$11:$BB$406,34,FALSE)-VLOOKUP($A233,'ПР 01-02.22'!$A$11:$BB$378,34,FALSE)</f>
        <v>1771.5520179425628</v>
      </c>
      <c r="AI233" s="5">
        <f>VLOOKUP($A233,'ПР 01-02.21'!$A$11:$BB$406,35,FALSE)+VLOOKUP($A233,'ПР 21-22'!$A$11:$BB$406,35,FALSE)-VLOOKUP($A233,'ПР 01-02.22'!$A$11:$BB$378,35,FALSE)</f>
        <v>0</v>
      </c>
      <c r="AJ233" s="40"/>
      <c r="AK233" s="5">
        <f>VLOOKUP($A233,'ПР 01-02.21'!$A$11:$BB$406,37,FALSE)+VLOOKUP($A233,'ПР 21-22'!$A$11:$BB$406,37,FALSE)-VLOOKUP($A233,'ПР 01-02.22'!$A$11:$BB$378,37,FALSE)</f>
        <v>618.79711736144952</v>
      </c>
      <c r="AL233" s="5">
        <f>VLOOKUP($A233,'ПР 01-02.21'!$A$11:$BB$406,38,FALSE)+VLOOKUP($A233,'ПР 21-22'!$A$11:$BB$406,38,FALSE)-VLOOKUP($A233,'ПР 01-02.22'!$A$11:$BB$378,38,FALSE)</f>
        <v>1440</v>
      </c>
      <c r="AM233" s="40"/>
      <c r="AN233" s="5">
        <f>VLOOKUP($A233,'ПР 01-02.21'!$A$11:$BB$406,40,FALSE)+VLOOKUP($A233,'ПР 21-22'!$A$11:$BB$406,40,FALSE)-VLOOKUP($A233,'ПР 01-02.22'!$A$11:$BB$378,40,FALSE)</f>
        <v>1497.7114408761054</v>
      </c>
      <c r="AO233" s="5">
        <f>VLOOKUP($A233,'ПР 01-02.21'!$A$11:$BB$406,41,FALSE)+VLOOKUP($A233,'ПР 21-22'!$A$11:$BB$406,41,FALSE)-VLOOKUP($A233,'ПР 01-02.22'!$A$11:$BB$378,41,FALSE)</f>
        <v>3349</v>
      </c>
      <c r="AP233" s="40"/>
      <c r="AQ233" s="5">
        <f>VLOOKUP($A233,'ПР 01-02.21'!$A$11:$BB$406,43,FALSE)+VLOOKUP($A233,'ПР 21-22'!$A$11:$BB$406,43,FALSE)-VLOOKUP($A233,'ПР 01-02.22'!$A$11:$BB$378,43,FALSE)</f>
        <v>637.39993069351021</v>
      </c>
      <c r="AR233" s="5">
        <f>VLOOKUP($A233,'ПР 01-02.21'!$A$11:$BB$406,44,FALSE)+VLOOKUP($A233,'ПР 21-22'!$A$11:$BB$406,44,FALSE)-VLOOKUP($A233,'ПР 01-02.22'!$A$11:$BB$378,44,FALSE)</f>
        <v>54</v>
      </c>
      <c r="AS233" s="40"/>
      <c r="AT233" s="5">
        <f>VLOOKUP($A233,'ПР 01-02.21'!$A$11:$BB$406,46,FALSE)+VLOOKUP($A233,'ПР 21-22'!$A$11:$BB$406,46,FALSE)-VLOOKUP($A233,'ПР 01-02.22'!$A$11:$BB$378,46,FALSE)</f>
        <v>554.31978601243941</v>
      </c>
      <c r="AU233" s="5">
        <f>VLOOKUP($A233,'ПР 01-02.21'!$A$11:$BB$406,47,FALSE)+VLOOKUP($A233,'ПР 21-22'!$A$11:$BB$406,47,FALSE)-VLOOKUP($A233,'ПР 01-02.22'!$A$11:$BB$378,47,FALSE)</f>
        <v>0</v>
      </c>
      <c r="AV233" s="40"/>
      <c r="AW233" s="5">
        <f>VLOOKUP($A233,'ПР 01-02.21'!$A$11:$BB$406,49,FALSE)+VLOOKUP($A233,'ПР 21-22'!$A$11:$BB$406,49,FALSE)-VLOOKUP($A233,'ПР 01-02.22'!$A$11:$BB$378,49,FALSE)</f>
        <v>202.7218769109075</v>
      </c>
      <c r="AX233" s="5">
        <f>VLOOKUP($A233,'ПР 01-02.21'!$A$11:$BB$406,50,FALSE)+VLOOKUP($A233,'ПР 21-22'!$A$11:$BB$406,50,FALSE)-VLOOKUP($A233,'ПР 01-02.22'!$A$11:$BB$378,50,FALSE)</f>
        <v>0</v>
      </c>
      <c r="AY233" s="40"/>
      <c r="AZ233" s="40">
        <f t="shared" si="13"/>
        <v>6900.8778552373915</v>
      </c>
      <c r="BA233" s="40">
        <f t="shared" si="13"/>
        <v>6236.63</v>
      </c>
      <c r="BB233" s="55">
        <f t="shared" si="16"/>
        <v>-664.24785523739138</v>
      </c>
      <c r="BD233" s="2">
        <v>1</v>
      </c>
      <c r="BF233" s="325">
        <v>150000957</v>
      </c>
    </row>
    <row r="234" spans="1:58" ht="24.9" customHeight="1" x14ac:dyDescent="0.3">
      <c r="A234" s="325">
        <v>150000960</v>
      </c>
      <c r="B234" s="445" t="s">
        <v>379</v>
      </c>
      <c r="C234" s="27">
        <v>9</v>
      </c>
      <c r="D234" s="101" t="s">
        <v>455</v>
      </c>
      <c r="E234" s="279">
        <f>'побудинковий звіт'!E232</f>
        <v>4314</v>
      </c>
      <c r="F234" s="441">
        <f>'побудинковий звіт'!AS232</f>
        <v>48470.507468946518</v>
      </c>
      <c r="G234" s="441">
        <f t="shared" si="14"/>
        <v>9734.1079673794193</v>
      </c>
      <c r="H234" s="73">
        <f t="shared" si="15"/>
        <v>-38736.399501567095</v>
      </c>
      <c r="I234" s="5">
        <f>VLOOKUP($A234,'ПР 01-02.21'!$A$11:$BB$406,9,FALSE)+VLOOKUP($A234,'ПР 21-22'!$A$11:$BB$406,9,FALSE)-VLOOKUP($A234,'ПР 01-02.22'!$A$11:$BB$378,9,FALSE)</f>
        <v>0</v>
      </c>
      <c r="J234" s="5">
        <f>VLOOKUP($A234,'ПР 01-02.21'!$A$11:$BB$406,10,FALSE)+VLOOKUP($A234,'ПР 21-22'!$A$11:$BB$406,10,FALSE)-VLOOKUP($A234,'ПР 01-02.22'!$A$11:$BB$378,10,FALSE)</f>
        <v>0</v>
      </c>
      <c r="K234" s="446"/>
      <c r="L234" s="5">
        <f>VLOOKUP($A234,'ПР 01-02.21'!$A$11:$BB$406,12,FALSE)+VLOOKUP($A234,'ПР 21-22'!$A$11:$BB$406,12,FALSE)-VLOOKUP($A234,'ПР 01-02.22'!$A$11:$BB$378,12,FALSE)</f>
        <v>0</v>
      </c>
      <c r="M234" s="5">
        <f>VLOOKUP($A234,'ПР 01-02.21'!$A$11:$BB$406,13,FALSE)+VLOOKUP($A234,'ПР 21-22'!$A$11:$BB$406,13,FALSE)-VLOOKUP($A234,'ПР 01-02.22'!$A$11:$BB$378,13,FALSE)</f>
        <v>0</v>
      </c>
      <c r="N234" s="38"/>
      <c r="O234" s="5">
        <f>VLOOKUP($A234,'ПР 01-02.21'!$A$11:$BB$406,15,FALSE)+VLOOKUP($A234,'ПР 21-22'!$A$11:$BB$406,15,FALSE)-VLOOKUP($A234,'ПР 01-02.22'!$A$11:$BB$378,15,FALSE)</f>
        <v>0</v>
      </c>
      <c r="P234" s="5">
        <f>VLOOKUP($A234,'ПР 01-02.21'!$A$11:$BB$406,16,FALSE)+VLOOKUP($A234,'ПР 21-22'!$A$11:$BB$406,16,FALSE)-VLOOKUP($A234,'ПР 01-02.22'!$A$11:$BB$378,16,FALSE)</f>
        <v>0</v>
      </c>
      <c r="Q234" s="443"/>
      <c r="R234" s="5">
        <f>VLOOKUP($A234,'ПР 01-02.21'!$A$11:$BB$406,18,FALSE)+VLOOKUP($A234,'ПР 21-22'!$A$11:$BB$406,18,FALSE)-VLOOKUP($A234,'ПР 01-02.22'!$A$11:$BB$378,18,FALSE)</f>
        <v>2</v>
      </c>
      <c r="S234" s="5">
        <f>VLOOKUP($A234,'ПР 01-02.21'!$A$11:$BB$406,19,FALSE)+VLOOKUP($A234,'ПР 21-22'!$A$11:$BB$406,19,FALSE)-VLOOKUP($A234,'ПР 01-02.22'!$A$11:$BB$378,19,FALSE)</f>
        <v>1937</v>
      </c>
      <c r="T234" s="444"/>
      <c r="U234" s="5">
        <f>VLOOKUP($A234,'ПР 01-02.21'!$A$11:$BB$406,21,FALSE)+VLOOKUP($A234,'ПР 21-22'!$A$11:$BB$406,21,FALSE)-VLOOKUP($A234,'ПР 01-02.22'!$A$11:$BB$378,21,FALSE)</f>
        <v>0</v>
      </c>
      <c r="V234" s="5"/>
      <c r="W234" s="5">
        <f>VLOOKUP($A234,'ПР 01-02.21'!$A$11:$BB$406,23,FALSE)+VLOOKUP($A234,'ПР 21-22'!$A$11:$BB$406,23,FALSE)-VLOOKUP($A234,'ПР 01-02.22'!$A$11:$BB$378,23,FALSE)</f>
        <v>6</v>
      </c>
      <c r="X234" s="5">
        <f>VLOOKUP($A234,'ПР 01-02.21'!$A$11:$BB$406,24,FALSE)+VLOOKUP($A234,'ПР 21-22'!$A$11:$BB$406,24,FALSE)-VLOOKUP($A234,'ПР 01-02.22'!$A$11:$BB$378,24,FALSE)</f>
        <v>1459.8679673794172</v>
      </c>
      <c r="Y234" s="5">
        <f>VLOOKUP($A234,'ПР 01-02.21'!$A$11:$BB$406,25,FALSE)+VLOOKUP($A234,'ПР 21-22'!$A$11:$BB$406,25,FALSE)-VLOOKUP($A234,'ПР 01-02.22'!$A$11:$BB$378,25,FALSE)</f>
        <v>1815.8400000000001</v>
      </c>
      <c r="Z234" s="5"/>
      <c r="AA234" s="5">
        <f>VLOOKUP($A234,'ПР 01-02.21'!$A$11:$BB$406,27,FALSE)+VLOOKUP($A234,'ПР 21-22'!$A$11:$BB$406,27,FALSE)-VLOOKUP($A234,'ПР 01-02.22'!$A$11:$BB$378,27,FALSE)</f>
        <v>0</v>
      </c>
      <c r="AB234" s="5">
        <f>VLOOKUP($A234,'ПР 01-02.21'!$A$11:$BB$406,28,FALSE)+VLOOKUP($A234,'ПР 21-22'!$A$11:$BB$406,28,FALSE)-VLOOKUP($A234,'ПР 01-02.22'!$A$11:$BB$378,28,FALSE)</f>
        <v>1648.35</v>
      </c>
      <c r="AC234" s="5">
        <f>VLOOKUP($A234,'ПР 01-02.21'!$A$11:$BB$406,29,FALSE)+VLOOKUP($A234,'ПР 21-22'!$A$11:$BB$406,29,FALSE)-VLOOKUP($A234,'ПР 01-02.22'!$A$11:$BB$378,29,FALSE)</f>
        <v>0</v>
      </c>
      <c r="AD234" s="5">
        <f>VLOOKUP($A234,'ПР 01-02.21'!$A$11:$BB$406,30,FALSE)+VLOOKUP($A234,'ПР 21-22'!$A$11:$BB$406,30,FALSE)-VLOOKUP($A234,'ПР 01-02.22'!$A$11:$BB$378,30,FALSE)</f>
        <v>2873.05</v>
      </c>
      <c r="AE234" s="5">
        <f>VLOOKUP($A234,'ПР 01-02.21'!$A$11:$BB$406,31,FALSE)+VLOOKUP($A234,'ПР 21-22'!$A$11:$BB$406,31,FALSE)-VLOOKUP($A234,'ПР 01-02.22'!$A$11:$BB$378,31,FALSE)</f>
        <v>3020.7860224230913</v>
      </c>
      <c r="AF234" s="5">
        <f>VLOOKUP($A234,'ПР 01-02.21'!$A$11:$BB$406,32,FALSE)+VLOOKUP($A234,'ПР 21-22'!$A$11:$BB$406,32,FALSE)-VLOOKUP($A234,'ПР 01-02.22'!$A$11:$BB$378,32,FALSE)</f>
        <v>416</v>
      </c>
      <c r="AG234" s="40"/>
      <c r="AH234" s="5">
        <f>VLOOKUP($A234,'ПР 01-02.21'!$A$11:$BB$406,34,FALSE)+VLOOKUP($A234,'ПР 21-22'!$A$11:$BB$406,34,FALSE)-VLOOKUP($A234,'ПР 01-02.22'!$A$11:$BB$378,34,FALSE)</f>
        <v>3358.0216744888985</v>
      </c>
      <c r="AI234" s="5">
        <f>VLOOKUP($A234,'ПР 01-02.21'!$A$11:$BB$406,35,FALSE)+VLOOKUP($A234,'ПР 21-22'!$A$11:$BB$406,35,FALSE)-VLOOKUP($A234,'ПР 01-02.22'!$A$11:$BB$378,35,FALSE)</f>
        <v>6891.9</v>
      </c>
      <c r="AJ234" s="40"/>
      <c r="AK234" s="5">
        <f>VLOOKUP($A234,'ПР 01-02.21'!$A$11:$BB$406,37,FALSE)+VLOOKUP($A234,'ПР 21-22'!$A$11:$BB$406,37,FALSE)-VLOOKUP($A234,'ПР 01-02.22'!$A$11:$BB$378,37,FALSE)</f>
        <v>1163.9885921267883</v>
      </c>
      <c r="AL234" s="5">
        <f>VLOOKUP($A234,'ПР 01-02.21'!$A$11:$BB$406,38,FALSE)+VLOOKUP($A234,'ПР 21-22'!$A$11:$BB$406,38,FALSE)-VLOOKUP($A234,'ПР 01-02.22'!$A$11:$BB$378,38,FALSE)</f>
        <v>1584</v>
      </c>
      <c r="AM234" s="40"/>
      <c r="AN234" s="5">
        <f>VLOOKUP($A234,'ПР 01-02.21'!$A$11:$BB$406,40,FALSE)+VLOOKUP($A234,'ПР 21-22'!$A$11:$BB$406,40,FALSE)-VLOOKUP($A234,'ПР 01-02.22'!$A$11:$BB$378,40,FALSE)</f>
        <v>2635.1426289334945</v>
      </c>
      <c r="AO234" s="5">
        <f>VLOOKUP($A234,'ПР 01-02.21'!$A$11:$BB$406,41,FALSE)+VLOOKUP($A234,'ПР 21-22'!$A$11:$BB$406,41,FALSE)-VLOOKUP($A234,'ПР 01-02.22'!$A$11:$BB$378,41,FALSE)</f>
        <v>0</v>
      </c>
      <c r="AP234" s="40"/>
      <c r="AQ234" s="5">
        <f>VLOOKUP($A234,'ПР 01-02.21'!$A$11:$BB$406,43,FALSE)+VLOOKUP($A234,'ПР 21-22'!$A$11:$BB$406,43,FALSE)-VLOOKUP($A234,'ПР 01-02.22'!$A$11:$BB$378,43,FALSE)</f>
        <v>1229.5423611934032</v>
      </c>
      <c r="AR234" s="5">
        <f>VLOOKUP($A234,'ПР 01-02.21'!$A$11:$BB$406,44,FALSE)+VLOOKUP($A234,'ПР 21-22'!$A$11:$BB$406,44,FALSE)-VLOOKUP($A234,'ПР 01-02.22'!$A$11:$BB$378,44,FALSE)</f>
        <v>0</v>
      </c>
      <c r="AS234" s="40"/>
      <c r="AT234" s="5">
        <f>VLOOKUP($A234,'ПР 01-02.21'!$A$11:$BB$406,46,FALSE)+VLOOKUP($A234,'ПР 21-22'!$A$11:$BB$406,46,FALSE)-VLOOKUP($A234,'ПР 01-02.22'!$A$11:$BB$378,46,FALSE)</f>
        <v>1352.0239039097885</v>
      </c>
      <c r="AU234" s="5">
        <f>VLOOKUP($A234,'ПР 01-02.21'!$A$11:$BB$406,47,FALSE)+VLOOKUP($A234,'ПР 21-22'!$A$11:$BB$406,47,FALSE)-VLOOKUP($A234,'ПР 01-02.22'!$A$11:$BB$378,47,FALSE)</f>
        <v>0</v>
      </c>
      <c r="AV234" s="40"/>
      <c r="AW234" s="5">
        <f>VLOOKUP($A234,'ПР 01-02.21'!$A$11:$BB$406,49,FALSE)+VLOOKUP($A234,'ПР 21-22'!$A$11:$BB$406,49,FALSE)-VLOOKUP($A234,'ПР 01-02.22'!$A$11:$BB$378,49,FALSE)</f>
        <v>419.88225552185753</v>
      </c>
      <c r="AX234" s="5">
        <f>VLOOKUP($A234,'ПР 01-02.21'!$A$11:$BB$406,50,FALSE)+VLOOKUP($A234,'ПР 21-22'!$A$11:$BB$406,50,FALSE)-VLOOKUP($A234,'ПР 01-02.22'!$A$11:$BB$378,50,FALSE)</f>
        <v>0</v>
      </c>
      <c r="AY234" s="40"/>
      <c r="AZ234" s="40">
        <f t="shared" si="13"/>
        <v>13179.387438597323</v>
      </c>
      <c r="BA234" s="40">
        <f t="shared" si="13"/>
        <v>8891.9</v>
      </c>
      <c r="BB234" s="55">
        <f t="shared" si="16"/>
        <v>-4287.4874385973235</v>
      </c>
      <c r="BD234" s="2">
        <v>1</v>
      </c>
      <c r="BF234" s="325">
        <v>150000960</v>
      </c>
    </row>
    <row r="235" spans="1:58" ht="24.9" customHeight="1" x14ac:dyDescent="0.3">
      <c r="A235" s="325">
        <v>150000963</v>
      </c>
      <c r="B235" s="445" t="s">
        <v>380</v>
      </c>
      <c r="C235" s="27">
        <v>9</v>
      </c>
      <c r="D235" s="101" t="s">
        <v>455</v>
      </c>
      <c r="E235" s="279">
        <f>'побудинковий звіт'!E233</f>
        <v>2140.7399999999998</v>
      </c>
      <c r="F235" s="441">
        <f>'побудинковий звіт'!AS233</f>
        <v>27109.883990740465</v>
      </c>
      <c r="G235" s="441">
        <f t="shared" si="14"/>
        <v>20762.885547594811</v>
      </c>
      <c r="H235" s="73">
        <f t="shared" si="15"/>
        <v>-6346.9984431456542</v>
      </c>
      <c r="I235" s="5">
        <f>VLOOKUP($A235,'ПР 01-02.21'!$A$11:$BB$406,9,FALSE)+VLOOKUP($A235,'ПР 21-22'!$A$11:$BB$406,9,FALSE)-VLOOKUP($A235,'ПР 01-02.22'!$A$11:$BB$378,9,FALSE)</f>
        <v>0</v>
      </c>
      <c r="J235" s="5">
        <f>VLOOKUP($A235,'ПР 01-02.21'!$A$11:$BB$406,10,FALSE)+VLOOKUP($A235,'ПР 21-22'!$A$11:$BB$406,10,FALSE)-VLOOKUP($A235,'ПР 01-02.22'!$A$11:$BB$378,10,FALSE)</f>
        <v>0</v>
      </c>
      <c r="K235" s="450"/>
      <c r="L235" s="5">
        <f>VLOOKUP($A235,'ПР 01-02.21'!$A$11:$BB$406,12,FALSE)+VLOOKUP($A235,'ПР 21-22'!$A$11:$BB$406,12,FALSE)-VLOOKUP($A235,'ПР 01-02.22'!$A$11:$BB$378,12,FALSE)</f>
        <v>0</v>
      </c>
      <c r="M235" s="5">
        <f>VLOOKUP($A235,'ПР 01-02.21'!$A$11:$BB$406,13,FALSE)+VLOOKUP($A235,'ПР 21-22'!$A$11:$BB$406,13,FALSE)-VLOOKUP($A235,'ПР 01-02.22'!$A$11:$BB$378,13,FALSE)</f>
        <v>13408</v>
      </c>
      <c r="N235" s="38"/>
      <c r="O235" s="5">
        <f>VLOOKUP($A235,'ПР 01-02.21'!$A$11:$BB$406,15,FALSE)+VLOOKUP($A235,'ПР 21-22'!$A$11:$BB$406,15,FALSE)-VLOOKUP($A235,'ПР 01-02.22'!$A$11:$BB$378,15,FALSE)</f>
        <v>0</v>
      </c>
      <c r="P235" s="5">
        <f>VLOOKUP($A235,'ПР 01-02.21'!$A$11:$BB$406,16,FALSE)+VLOOKUP($A235,'ПР 21-22'!$A$11:$BB$406,16,FALSE)-VLOOKUP($A235,'ПР 01-02.22'!$A$11:$BB$378,16,FALSE)</f>
        <v>0</v>
      </c>
      <c r="Q235" s="443"/>
      <c r="R235" s="5">
        <f>VLOOKUP($A235,'ПР 01-02.21'!$A$11:$BB$406,18,FALSE)+VLOOKUP($A235,'ПР 21-22'!$A$11:$BB$406,18,FALSE)-VLOOKUP($A235,'ПР 01-02.22'!$A$11:$BB$378,18,FALSE)</f>
        <v>0</v>
      </c>
      <c r="S235" s="5">
        <f>VLOOKUP($A235,'ПР 01-02.21'!$A$11:$BB$406,19,FALSE)+VLOOKUP($A235,'ПР 21-22'!$A$11:$BB$406,19,FALSE)-VLOOKUP($A235,'ПР 01-02.22'!$A$11:$BB$378,19,FALSE)</f>
        <v>0</v>
      </c>
      <c r="T235" s="444"/>
      <c r="U235" s="5">
        <f>VLOOKUP($A235,'ПР 01-02.21'!$A$11:$BB$406,21,FALSE)+VLOOKUP($A235,'ПР 21-22'!$A$11:$BB$406,21,FALSE)-VLOOKUP($A235,'ПР 01-02.22'!$A$11:$BB$378,21,FALSE)</f>
        <v>0</v>
      </c>
      <c r="V235" s="5"/>
      <c r="W235" s="5">
        <f>VLOOKUP($A235,'ПР 01-02.21'!$A$11:$BB$406,23,FALSE)+VLOOKUP($A235,'ПР 21-22'!$A$11:$BB$406,23,FALSE)-VLOOKUP($A235,'ПР 01-02.22'!$A$11:$BB$378,23,FALSE)</f>
        <v>5</v>
      </c>
      <c r="X235" s="5">
        <f>VLOOKUP($A235,'ПР 01-02.21'!$A$11:$BB$406,24,FALSE)+VLOOKUP($A235,'ПР 21-22'!$A$11:$BB$406,24,FALSE)-VLOOKUP($A235,'ПР 01-02.22'!$A$11:$BB$378,24,FALSE)</f>
        <v>1110.0455475948108</v>
      </c>
      <c r="Y235" s="5">
        <f>VLOOKUP($A235,'ПР 01-02.21'!$A$11:$BB$406,25,FALSE)+VLOOKUP($A235,'ПР 21-22'!$A$11:$BB$406,25,FALSE)-VLOOKUP($A235,'ПР 01-02.22'!$A$11:$BB$378,25,FALSE)</f>
        <v>2203</v>
      </c>
      <c r="Z235" s="5"/>
      <c r="AA235" s="5">
        <f>VLOOKUP($A235,'ПР 01-02.21'!$A$11:$BB$406,27,FALSE)+VLOOKUP($A235,'ПР 21-22'!$A$11:$BB$406,27,FALSE)-VLOOKUP($A235,'ПР 01-02.22'!$A$11:$BB$378,27,FALSE)</f>
        <v>0</v>
      </c>
      <c r="AB235" s="5">
        <f>VLOOKUP($A235,'ПР 01-02.21'!$A$11:$BB$406,28,FALSE)+VLOOKUP($A235,'ПР 21-22'!$A$11:$BB$406,28,FALSE)-VLOOKUP($A235,'ПР 01-02.22'!$A$11:$BB$378,28,FALSE)</f>
        <v>1692.11</v>
      </c>
      <c r="AC235" s="5">
        <f>VLOOKUP($A235,'ПР 01-02.21'!$A$11:$BB$406,29,FALSE)+VLOOKUP($A235,'ПР 21-22'!$A$11:$BB$406,29,FALSE)-VLOOKUP($A235,'ПР 01-02.22'!$A$11:$BB$378,29,FALSE)</f>
        <v>0</v>
      </c>
      <c r="AD235" s="5">
        <f>VLOOKUP($A235,'ПР 01-02.21'!$A$11:$BB$406,30,FALSE)+VLOOKUP($A235,'ПР 21-22'!$A$11:$BB$406,30,FALSE)-VLOOKUP($A235,'ПР 01-02.22'!$A$11:$BB$378,30,FALSE)</f>
        <v>2349.73</v>
      </c>
      <c r="AE235" s="5">
        <f>VLOOKUP($A235,'ПР 01-02.21'!$A$11:$BB$406,31,FALSE)+VLOOKUP($A235,'ПР 21-22'!$A$11:$BB$406,31,FALSE)-VLOOKUP($A235,'ПР 01-02.22'!$A$11:$BB$378,31,FALSE)</f>
        <v>1618.3756854404164</v>
      </c>
      <c r="AF235" s="5">
        <f>VLOOKUP($A235,'ПР 01-02.21'!$A$11:$BB$406,32,FALSE)+VLOOKUP($A235,'ПР 21-22'!$A$11:$BB$406,32,FALSE)-VLOOKUP($A235,'ПР 01-02.22'!$A$11:$BB$378,32,FALSE)</f>
        <v>279</v>
      </c>
      <c r="AG235" s="40"/>
      <c r="AH235" s="5">
        <f>VLOOKUP($A235,'ПР 01-02.21'!$A$11:$BB$406,34,FALSE)+VLOOKUP($A235,'ПР 21-22'!$A$11:$BB$406,34,FALSE)-VLOOKUP($A235,'ПР 01-02.22'!$A$11:$BB$378,34,FALSE)</f>
        <v>1771.5520179425628</v>
      </c>
      <c r="AI235" s="5">
        <f>VLOOKUP($A235,'ПР 01-02.21'!$A$11:$BB$406,35,FALSE)+VLOOKUP($A235,'ПР 21-22'!$A$11:$BB$406,35,FALSE)-VLOOKUP($A235,'ПР 01-02.22'!$A$11:$BB$378,35,FALSE)</f>
        <v>0</v>
      </c>
      <c r="AJ235" s="40"/>
      <c r="AK235" s="5">
        <f>VLOOKUP($A235,'ПР 01-02.21'!$A$11:$BB$406,37,FALSE)+VLOOKUP($A235,'ПР 21-22'!$A$11:$BB$406,37,FALSE)-VLOOKUP($A235,'ПР 01-02.22'!$A$11:$BB$378,37,FALSE)</f>
        <v>602.71796373931954</v>
      </c>
      <c r="AL235" s="5">
        <f>VLOOKUP($A235,'ПР 01-02.21'!$A$11:$BB$406,38,FALSE)+VLOOKUP($A235,'ПР 21-22'!$A$11:$BB$406,38,FALSE)-VLOOKUP($A235,'ПР 01-02.22'!$A$11:$BB$378,38,FALSE)</f>
        <v>0</v>
      </c>
      <c r="AM235" s="40"/>
      <c r="AN235" s="5">
        <f>VLOOKUP($A235,'ПР 01-02.21'!$A$11:$BB$406,40,FALSE)+VLOOKUP($A235,'ПР 21-22'!$A$11:$BB$406,40,FALSE)-VLOOKUP($A235,'ПР 01-02.22'!$A$11:$BB$378,40,FALSE)</f>
        <v>1414.713101960021</v>
      </c>
      <c r="AO235" s="5">
        <f>VLOOKUP($A235,'ПР 01-02.21'!$A$11:$BB$406,41,FALSE)+VLOOKUP($A235,'ПР 21-22'!$A$11:$BB$406,41,FALSE)-VLOOKUP($A235,'ПР 01-02.22'!$A$11:$BB$378,41,FALSE)</f>
        <v>0</v>
      </c>
      <c r="AP235" s="40"/>
      <c r="AQ235" s="5">
        <f>VLOOKUP($A235,'ПР 01-02.21'!$A$11:$BB$406,43,FALSE)+VLOOKUP($A235,'ПР 21-22'!$A$11:$BB$406,43,FALSE)-VLOOKUP($A235,'ПР 01-02.22'!$A$11:$BB$378,43,FALSE)</f>
        <v>637.39993069351021</v>
      </c>
      <c r="AR235" s="5">
        <f>VLOOKUP($A235,'ПР 01-02.21'!$A$11:$BB$406,44,FALSE)+VLOOKUP($A235,'ПР 21-22'!$A$11:$BB$406,44,FALSE)-VLOOKUP($A235,'ПР 01-02.22'!$A$11:$BB$378,44,FALSE)</f>
        <v>0</v>
      </c>
      <c r="AS235" s="40"/>
      <c r="AT235" s="5">
        <f>VLOOKUP($A235,'ПР 01-02.21'!$A$11:$BB$406,46,FALSE)+VLOOKUP($A235,'ПР 21-22'!$A$11:$BB$406,46,FALSE)-VLOOKUP($A235,'ПР 01-02.22'!$A$11:$BB$378,46,FALSE)</f>
        <v>554.31978601243941</v>
      </c>
      <c r="AU235" s="5">
        <f>VLOOKUP($A235,'ПР 01-02.21'!$A$11:$BB$406,47,FALSE)+VLOOKUP($A235,'ПР 21-22'!$A$11:$BB$406,47,FALSE)-VLOOKUP($A235,'ПР 01-02.22'!$A$11:$BB$378,47,FALSE)</f>
        <v>0</v>
      </c>
      <c r="AV235" s="40"/>
      <c r="AW235" s="5">
        <f>VLOOKUP($A235,'ПР 01-02.21'!$A$11:$BB$406,49,FALSE)+VLOOKUP($A235,'ПР 21-22'!$A$11:$BB$406,49,FALSE)-VLOOKUP($A235,'ПР 01-02.22'!$A$11:$BB$378,49,FALSE)</f>
        <v>146.95637986154387</v>
      </c>
      <c r="AX235" s="5">
        <f>VLOOKUP($A235,'ПР 01-02.21'!$A$11:$BB$406,50,FALSE)+VLOOKUP($A235,'ПР 21-22'!$A$11:$BB$406,50,FALSE)-VLOOKUP($A235,'ПР 01-02.22'!$A$11:$BB$378,50,FALSE)</f>
        <v>0</v>
      </c>
      <c r="AY235" s="40"/>
      <c r="AZ235" s="40">
        <f t="shared" si="13"/>
        <v>6746.0348656498136</v>
      </c>
      <c r="BA235" s="40">
        <f t="shared" si="13"/>
        <v>279</v>
      </c>
      <c r="BB235" s="55">
        <f t="shared" si="16"/>
        <v>-6467.0348656498136</v>
      </c>
      <c r="BD235" s="2">
        <v>1</v>
      </c>
      <c r="BF235" s="325">
        <v>150000963</v>
      </c>
    </row>
    <row r="236" spans="1:58" ht="24.9" customHeight="1" x14ac:dyDescent="0.3">
      <c r="A236" s="325">
        <v>150000927</v>
      </c>
      <c r="B236" s="445" t="s">
        <v>179</v>
      </c>
      <c r="C236" s="27">
        <v>2</v>
      </c>
      <c r="D236" s="101" t="s">
        <v>455</v>
      </c>
      <c r="E236" s="279">
        <f>'побудинковий звіт'!E234</f>
        <v>602.9</v>
      </c>
      <c r="F236" s="441">
        <f>'побудинковий звіт'!AS234</f>
        <v>7030.0315217586103</v>
      </c>
      <c r="G236" s="441">
        <f t="shared" si="14"/>
        <v>0</v>
      </c>
      <c r="H236" s="73">
        <f t="shared" si="15"/>
        <v>-7030.0315217586103</v>
      </c>
      <c r="I236" s="5">
        <f>VLOOKUP($A236,'ПР 01-02.21'!$A$11:$BB$406,9,FALSE)+VLOOKUP($A236,'ПР 21-22'!$A$11:$BB$406,9,FALSE)-VLOOKUP($A236,'ПР 01-02.22'!$A$11:$BB$378,9,FALSE)</f>
        <v>0</v>
      </c>
      <c r="J236" s="5">
        <f>VLOOKUP($A236,'ПР 01-02.21'!$A$11:$BB$406,10,FALSE)+VLOOKUP($A236,'ПР 21-22'!$A$11:$BB$406,10,FALSE)-VLOOKUP($A236,'ПР 01-02.22'!$A$11:$BB$378,10,FALSE)</f>
        <v>0</v>
      </c>
      <c r="K236" s="446"/>
      <c r="L236" s="5">
        <f>VLOOKUP($A236,'ПР 01-02.21'!$A$11:$BB$406,12,FALSE)+VLOOKUP($A236,'ПР 21-22'!$A$11:$BB$406,12,FALSE)-VLOOKUP($A236,'ПР 01-02.22'!$A$11:$BB$378,12,FALSE)</f>
        <v>0</v>
      </c>
      <c r="M236" s="5">
        <f>VLOOKUP($A236,'ПР 01-02.21'!$A$11:$BB$406,13,FALSE)+VLOOKUP($A236,'ПР 21-22'!$A$11:$BB$406,13,FALSE)-VLOOKUP($A236,'ПР 01-02.22'!$A$11:$BB$378,13,FALSE)</f>
        <v>0</v>
      </c>
      <c r="N236" s="38"/>
      <c r="O236" s="5">
        <f>VLOOKUP($A236,'ПР 01-02.21'!$A$11:$BB$406,15,FALSE)+VLOOKUP($A236,'ПР 21-22'!$A$11:$BB$406,15,FALSE)-VLOOKUP($A236,'ПР 01-02.22'!$A$11:$BB$378,15,FALSE)</f>
        <v>0</v>
      </c>
      <c r="P236" s="5">
        <f>VLOOKUP($A236,'ПР 01-02.21'!$A$11:$BB$406,16,FALSE)+VLOOKUP($A236,'ПР 21-22'!$A$11:$BB$406,16,FALSE)-VLOOKUP($A236,'ПР 01-02.22'!$A$11:$BB$378,16,FALSE)</f>
        <v>0</v>
      </c>
      <c r="Q236" s="443"/>
      <c r="R236" s="5">
        <f>VLOOKUP($A236,'ПР 01-02.21'!$A$11:$BB$406,18,FALSE)+VLOOKUP($A236,'ПР 21-22'!$A$11:$BB$406,18,FALSE)-VLOOKUP($A236,'ПР 01-02.22'!$A$11:$BB$378,18,FALSE)</f>
        <v>0</v>
      </c>
      <c r="S236" s="5">
        <f>VLOOKUP($A236,'ПР 01-02.21'!$A$11:$BB$406,19,FALSE)+VLOOKUP($A236,'ПР 21-22'!$A$11:$BB$406,19,FALSE)-VLOOKUP($A236,'ПР 01-02.22'!$A$11:$BB$378,19,FALSE)</f>
        <v>0</v>
      </c>
      <c r="T236" s="444"/>
      <c r="U236" s="5">
        <f>VLOOKUP($A236,'ПР 01-02.21'!$A$11:$BB$406,21,FALSE)+VLOOKUP($A236,'ПР 21-22'!$A$11:$BB$406,21,FALSE)-VLOOKUP($A236,'ПР 01-02.22'!$A$11:$BB$378,21,FALSE)</f>
        <v>0</v>
      </c>
      <c r="V236" s="5"/>
      <c r="W236" s="5">
        <f>VLOOKUP($A236,'ПР 01-02.21'!$A$11:$BB$406,23,FALSE)+VLOOKUP($A236,'ПР 21-22'!$A$11:$BB$406,23,FALSE)-VLOOKUP($A236,'ПР 01-02.22'!$A$11:$BB$378,23,FALSE)</f>
        <v>0</v>
      </c>
      <c r="X236" s="5">
        <f>VLOOKUP($A236,'ПР 01-02.21'!$A$11:$BB$406,24,FALSE)+VLOOKUP($A236,'ПР 21-22'!$A$11:$BB$406,24,FALSE)-VLOOKUP($A236,'ПР 01-02.22'!$A$11:$BB$378,24,FALSE)</f>
        <v>0</v>
      </c>
      <c r="Y236" s="5">
        <f>VLOOKUP($A236,'ПР 01-02.21'!$A$11:$BB$406,25,FALSE)+VLOOKUP($A236,'ПР 21-22'!$A$11:$BB$406,25,FALSE)-VLOOKUP($A236,'ПР 01-02.22'!$A$11:$BB$378,25,FALSE)</f>
        <v>0</v>
      </c>
      <c r="Z236" s="5"/>
      <c r="AA236" s="5">
        <f>VLOOKUP($A236,'ПР 01-02.21'!$A$11:$BB$406,27,FALSE)+VLOOKUP($A236,'ПР 21-22'!$A$11:$BB$406,27,FALSE)-VLOOKUP($A236,'ПР 01-02.22'!$A$11:$BB$378,27,FALSE)</f>
        <v>0</v>
      </c>
      <c r="AB236" s="5">
        <f>VLOOKUP($A236,'ПР 01-02.21'!$A$11:$BB$406,28,FALSE)+VLOOKUP($A236,'ПР 21-22'!$A$11:$BB$406,28,FALSE)-VLOOKUP($A236,'ПР 01-02.22'!$A$11:$BB$378,28,FALSE)</f>
        <v>0</v>
      </c>
      <c r="AC236" s="5">
        <f>VLOOKUP($A236,'ПР 01-02.21'!$A$11:$BB$406,29,FALSE)+VLOOKUP($A236,'ПР 21-22'!$A$11:$BB$406,29,FALSE)-VLOOKUP($A236,'ПР 01-02.22'!$A$11:$BB$378,29,FALSE)</f>
        <v>0</v>
      </c>
      <c r="AD236" s="5">
        <f>VLOOKUP($A236,'ПР 01-02.21'!$A$11:$BB$406,30,FALSE)+VLOOKUP($A236,'ПР 21-22'!$A$11:$BB$406,30,FALSE)-VLOOKUP($A236,'ПР 01-02.22'!$A$11:$BB$378,30,FALSE)</f>
        <v>0</v>
      </c>
      <c r="AE236" s="5">
        <f>VLOOKUP($A236,'ПР 01-02.21'!$A$11:$BB$406,31,FALSE)+VLOOKUP($A236,'ПР 21-22'!$A$11:$BB$406,31,FALSE)-VLOOKUP($A236,'ПР 01-02.22'!$A$11:$BB$378,31,FALSE)</f>
        <v>848.82112673979975</v>
      </c>
      <c r="AF236" s="5">
        <f>VLOOKUP($A236,'ПР 01-02.21'!$A$11:$BB$406,32,FALSE)+VLOOKUP($A236,'ПР 21-22'!$A$11:$BB$406,32,FALSE)-VLOOKUP($A236,'ПР 01-02.22'!$A$11:$BB$378,32,FALSE)</f>
        <v>0</v>
      </c>
      <c r="AG236" s="40"/>
      <c r="AH236" s="5">
        <f>VLOOKUP($A236,'ПР 01-02.21'!$A$11:$BB$406,34,FALSE)+VLOOKUP($A236,'ПР 21-22'!$A$11:$BB$406,34,FALSE)-VLOOKUP($A236,'ПР 01-02.22'!$A$11:$BB$378,34,FALSE)</f>
        <v>1299.8447263623432</v>
      </c>
      <c r="AI236" s="5">
        <f>VLOOKUP($A236,'ПР 01-02.21'!$A$11:$BB$406,35,FALSE)+VLOOKUP($A236,'ПР 21-22'!$A$11:$BB$406,35,FALSE)-VLOOKUP($A236,'ПР 01-02.22'!$A$11:$BB$378,35,FALSE)</f>
        <v>0</v>
      </c>
      <c r="AJ236" s="40"/>
      <c r="AK236" s="5">
        <f>VLOOKUP($A236,'ПР 01-02.21'!$A$11:$BB$406,37,FALSE)+VLOOKUP($A236,'ПР 21-22'!$A$11:$BB$406,37,FALSE)-VLOOKUP($A236,'ПР 01-02.22'!$A$11:$BB$378,37,FALSE)</f>
        <v>383.3988029949719</v>
      </c>
      <c r="AL236" s="5">
        <f>VLOOKUP($A236,'ПР 01-02.21'!$A$11:$BB$406,38,FALSE)+VLOOKUP($A236,'ПР 21-22'!$A$11:$BB$406,38,FALSE)-VLOOKUP($A236,'ПР 01-02.22'!$A$11:$BB$378,38,FALSE)</f>
        <v>0</v>
      </c>
      <c r="AM236" s="40"/>
      <c r="AN236" s="5">
        <f>VLOOKUP($A236,'ПР 01-02.21'!$A$11:$BB$406,40,FALSE)+VLOOKUP($A236,'ПР 21-22'!$A$11:$BB$406,40,FALSE)-VLOOKUP($A236,'ПР 01-02.22'!$A$11:$BB$378,40,FALSE)</f>
        <v>0</v>
      </c>
      <c r="AO236" s="5">
        <f>VLOOKUP($A236,'ПР 01-02.21'!$A$11:$BB$406,41,FALSE)+VLOOKUP($A236,'ПР 21-22'!$A$11:$BB$406,41,FALSE)-VLOOKUP($A236,'ПР 01-02.22'!$A$11:$BB$378,41,FALSE)</f>
        <v>0</v>
      </c>
      <c r="AP236" s="40"/>
      <c r="AQ236" s="5">
        <f>VLOOKUP($A236,'ПР 01-02.21'!$A$11:$BB$406,43,FALSE)+VLOOKUP($A236,'ПР 21-22'!$A$11:$BB$406,43,FALSE)-VLOOKUP($A236,'ПР 01-02.22'!$A$11:$BB$378,43,FALSE)</f>
        <v>0</v>
      </c>
      <c r="AR236" s="5">
        <f>VLOOKUP($A236,'ПР 01-02.21'!$A$11:$BB$406,44,FALSE)+VLOOKUP($A236,'ПР 21-22'!$A$11:$BB$406,44,FALSE)-VLOOKUP($A236,'ПР 01-02.22'!$A$11:$BB$378,44,FALSE)</f>
        <v>0</v>
      </c>
      <c r="AS236" s="40"/>
      <c r="AT236" s="5">
        <f>VLOOKUP($A236,'ПР 01-02.21'!$A$11:$BB$406,46,FALSE)+VLOOKUP($A236,'ПР 21-22'!$A$11:$BB$406,46,FALSE)-VLOOKUP($A236,'ПР 01-02.22'!$A$11:$BB$378,46,FALSE)</f>
        <v>104.36956266841206</v>
      </c>
      <c r="AU236" s="5">
        <f>VLOOKUP($A236,'ПР 01-02.21'!$A$11:$BB$406,47,FALSE)+VLOOKUP($A236,'ПР 21-22'!$A$11:$BB$406,47,FALSE)-VLOOKUP($A236,'ПР 01-02.22'!$A$11:$BB$378,47,FALSE)</f>
        <v>0</v>
      </c>
      <c r="AV236" s="40"/>
      <c r="AW236" s="5">
        <f>VLOOKUP($A236,'ПР 01-02.21'!$A$11:$BB$406,49,FALSE)+VLOOKUP($A236,'ПР 21-22'!$A$11:$BB$406,49,FALSE)-VLOOKUP($A236,'ПР 01-02.22'!$A$11:$BB$378,49,FALSE)</f>
        <v>35.379999999999995</v>
      </c>
      <c r="AX236" s="5">
        <f>VLOOKUP($A236,'ПР 01-02.21'!$A$11:$BB$406,50,FALSE)+VLOOKUP($A236,'ПР 21-22'!$A$11:$BB$406,50,FALSE)-VLOOKUP($A236,'ПР 01-02.22'!$A$11:$BB$378,50,FALSE)</f>
        <v>2668</v>
      </c>
      <c r="AY236" s="40"/>
      <c r="AZ236" s="40">
        <f t="shared" si="13"/>
        <v>2671.8142187655271</v>
      </c>
      <c r="BA236" s="40">
        <f t="shared" si="13"/>
        <v>2668</v>
      </c>
      <c r="BB236" s="55">
        <f t="shared" si="16"/>
        <v>-3.81421876552713</v>
      </c>
      <c r="BD236" s="2">
        <v>2</v>
      </c>
      <c r="BF236" s="325">
        <v>150000927</v>
      </c>
    </row>
    <row r="237" spans="1:58" ht="24.9" customHeight="1" x14ac:dyDescent="0.3">
      <c r="A237" s="325">
        <v>150000958</v>
      </c>
      <c r="B237" s="445" t="s">
        <v>381</v>
      </c>
      <c r="C237" s="27">
        <v>9</v>
      </c>
      <c r="D237" s="101" t="s">
        <v>455</v>
      </c>
      <c r="E237" s="279">
        <f>'побудинковий звіт'!E235</f>
        <v>2135.1</v>
      </c>
      <c r="F237" s="441">
        <f>'побудинковий звіт'!AS235</f>
        <v>25912.665431386456</v>
      </c>
      <c r="G237" s="441">
        <f t="shared" si="14"/>
        <v>3871.5204380758491</v>
      </c>
      <c r="H237" s="73">
        <f t="shared" si="15"/>
        <v>-22041.144993310609</v>
      </c>
      <c r="I237" s="5">
        <f>VLOOKUP($A237,'ПР 01-02.21'!$A$11:$BB$406,9,FALSE)+VLOOKUP($A237,'ПР 21-22'!$A$11:$BB$406,9,FALSE)-VLOOKUP($A237,'ПР 01-02.22'!$A$11:$BB$378,9,FALSE)</f>
        <v>0</v>
      </c>
      <c r="J237" s="5">
        <f>VLOOKUP($A237,'ПР 01-02.21'!$A$11:$BB$406,10,FALSE)+VLOOKUP($A237,'ПР 21-22'!$A$11:$BB$406,10,FALSE)-VLOOKUP($A237,'ПР 01-02.22'!$A$11:$BB$378,10,FALSE)</f>
        <v>0</v>
      </c>
      <c r="K237" s="446"/>
      <c r="L237" s="5">
        <f>VLOOKUP($A237,'ПР 01-02.21'!$A$11:$BB$406,12,FALSE)+VLOOKUP($A237,'ПР 21-22'!$A$11:$BB$406,12,FALSE)-VLOOKUP($A237,'ПР 01-02.22'!$A$11:$BB$378,12,FALSE)</f>
        <v>0</v>
      </c>
      <c r="M237" s="5">
        <f>VLOOKUP($A237,'ПР 01-02.21'!$A$11:$BB$406,13,FALSE)+VLOOKUP($A237,'ПР 21-22'!$A$11:$BB$406,13,FALSE)-VLOOKUP($A237,'ПР 01-02.22'!$A$11:$BB$378,13,FALSE)</f>
        <v>0</v>
      </c>
      <c r="N237" s="38"/>
      <c r="O237" s="5">
        <f>VLOOKUP($A237,'ПР 01-02.21'!$A$11:$BB$406,15,FALSE)+VLOOKUP($A237,'ПР 21-22'!$A$11:$BB$406,15,FALSE)-VLOOKUP($A237,'ПР 01-02.22'!$A$11:$BB$378,15,FALSE)</f>
        <v>0</v>
      </c>
      <c r="P237" s="5">
        <f>VLOOKUP($A237,'ПР 01-02.21'!$A$11:$BB$406,16,FALSE)+VLOOKUP($A237,'ПР 21-22'!$A$11:$BB$406,16,FALSE)-VLOOKUP($A237,'ПР 01-02.22'!$A$11:$BB$378,16,FALSE)</f>
        <v>0</v>
      </c>
      <c r="Q237" s="443"/>
      <c r="R237" s="5">
        <f>VLOOKUP($A237,'ПР 01-02.21'!$A$11:$BB$406,18,FALSE)+VLOOKUP($A237,'ПР 21-22'!$A$11:$BB$406,18,FALSE)-VLOOKUP($A237,'ПР 01-02.22'!$A$11:$BB$378,18,FALSE)</f>
        <v>0</v>
      </c>
      <c r="S237" s="5">
        <f>VLOOKUP($A237,'ПР 01-02.21'!$A$11:$BB$406,19,FALSE)+VLOOKUP($A237,'ПР 21-22'!$A$11:$BB$406,19,FALSE)-VLOOKUP($A237,'ПР 01-02.22'!$A$11:$BB$378,19,FALSE)</f>
        <v>0</v>
      </c>
      <c r="T237" s="444"/>
      <c r="U237" s="5">
        <f>VLOOKUP($A237,'ПР 01-02.21'!$A$11:$BB$406,21,FALSE)+VLOOKUP($A237,'ПР 21-22'!$A$11:$BB$406,21,FALSE)-VLOOKUP($A237,'ПР 01-02.22'!$A$11:$BB$378,21,FALSE)</f>
        <v>0</v>
      </c>
      <c r="V237" s="5"/>
      <c r="W237" s="5">
        <f>VLOOKUP($A237,'ПР 01-02.21'!$A$11:$BB$406,23,FALSE)+VLOOKUP($A237,'ПР 21-22'!$A$11:$BB$406,23,FALSE)-VLOOKUP($A237,'ПР 01-02.22'!$A$11:$BB$378,23,FALSE)</f>
        <v>0</v>
      </c>
      <c r="X237" s="5">
        <f>VLOOKUP($A237,'ПР 01-02.21'!$A$11:$BB$406,24,FALSE)+VLOOKUP($A237,'ПР 21-22'!$A$11:$BB$406,24,FALSE)-VLOOKUP($A237,'ПР 01-02.22'!$A$11:$BB$378,24,FALSE)</f>
        <v>140.14043807584889</v>
      </c>
      <c r="Y237" s="5">
        <f>VLOOKUP($A237,'ПР 01-02.21'!$A$11:$BB$406,25,FALSE)+VLOOKUP($A237,'ПР 21-22'!$A$11:$BB$406,25,FALSE)-VLOOKUP($A237,'ПР 01-02.22'!$A$11:$BB$378,25,FALSE)</f>
        <v>2747</v>
      </c>
      <c r="Z237" s="5"/>
      <c r="AA237" s="5">
        <f>VLOOKUP($A237,'ПР 01-02.21'!$A$11:$BB$406,27,FALSE)+VLOOKUP($A237,'ПР 21-22'!$A$11:$BB$406,27,FALSE)-VLOOKUP($A237,'ПР 01-02.22'!$A$11:$BB$378,27,FALSE)</f>
        <v>0</v>
      </c>
      <c r="AB237" s="5">
        <f>VLOOKUP($A237,'ПР 01-02.21'!$A$11:$BB$406,28,FALSE)+VLOOKUP($A237,'ПР 21-22'!$A$11:$BB$406,28,FALSE)-VLOOKUP($A237,'ПР 01-02.22'!$A$11:$BB$378,28,FALSE)</f>
        <v>171.38</v>
      </c>
      <c r="AC237" s="5">
        <f>VLOOKUP($A237,'ПР 01-02.21'!$A$11:$BB$406,29,FALSE)+VLOOKUP($A237,'ПР 21-22'!$A$11:$BB$406,29,FALSE)-VLOOKUP($A237,'ПР 01-02.22'!$A$11:$BB$378,29,FALSE)</f>
        <v>0</v>
      </c>
      <c r="AD237" s="5">
        <f>VLOOKUP($A237,'ПР 01-02.21'!$A$11:$BB$406,30,FALSE)+VLOOKUP($A237,'ПР 21-22'!$A$11:$BB$406,30,FALSE)-VLOOKUP($A237,'ПР 01-02.22'!$A$11:$BB$378,30,FALSE)</f>
        <v>813</v>
      </c>
      <c r="AE237" s="5">
        <f>VLOOKUP($A237,'ПР 01-02.21'!$A$11:$BB$406,31,FALSE)+VLOOKUP($A237,'ПР 21-22'!$A$11:$BB$406,31,FALSE)-VLOOKUP($A237,'ПР 01-02.22'!$A$11:$BB$378,31,FALSE)</f>
        <v>1618.3756854404164</v>
      </c>
      <c r="AF237" s="5">
        <f>VLOOKUP($A237,'ПР 01-02.21'!$A$11:$BB$406,32,FALSE)+VLOOKUP($A237,'ПР 21-22'!$A$11:$BB$406,32,FALSE)-VLOOKUP($A237,'ПР 01-02.22'!$A$11:$BB$378,32,FALSE)</f>
        <v>1169</v>
      </c>
      <c r="AG237" s="40"/>
      <c r="AH237" s="5">
        <f>VLOOKUP($A237,'ПР 01-02.21'!$A$11:$BB$406,34,FALSE)+VLOOKUP($A237,'ПР 21-22'!$A$11:$BB$406,34,FALSE)-VLOOKUP($A237,'ПР 01-02.22'!$A$11:$BB$378,34,FALSE)</f>
        <v>1771.5520179425628</v>
      </c>
      <c r="AI237" s="5">
        <f>VLOOKUP($A237,'ПР 01-02.21'!$A$11:$BB$406,35,FALSE)+VLOOKUP($A237,'ПР 21-22'!$A$11:$BB$406,35,FALSE)-VLOOKUP($A237,'ПР 01-02.22'!$A$11:$BB$378,35,FALSE)</f>
        <v>1263</v>
      </c>
      <c r="AJ237" s="40"/>
      <c r="AK237" s="5">
        <f>VLOOKUP($A237,'ПР 01-02.21'!$A$11:$BB$406,37,FALSE)+VLOOKUP($A237,'ПР 21-22'!$A$11:$BB$406,37,FALSE)-VLOOKUP($A237,'ПР 01-02.22'!$A$11:$BB$378,37,FALSE)</f>
        <v>590.30634855256949</v>
      </c>
      <c r="AL237" s="5">
        <f>VLOOKUP($A237,'ПР 01-02.21'!$A$11:$BB$406,38,FALSE)+VLOOKUP($A237,'ПР 21-22'!$A$11:$BB$406,38,FALSE)-VLOOKUP($A237,'ПР 01-02.22'!$A$11:$BB$378,38,FALSE)</f>
        <v>0</v>
      </c>
      <c r="AM237" s="40"/>
      <c r="AN237" s="5">
        <f>VLOOKUP($A237,'ПР 01-02.21'!$A$11:$BB$406,40,FALSE)+VLOOKUP($A237,'ПР 21-22'!$A$11:$BB$406,40,FALSE)-VLOOKUP($A237,'ПР 01-02.22'!$A$11:$BB$378,40,FALSE)</f>
        <v>1383.7419649526976</v>
      </c>
      <c r="AO237" s="5">
        <f>VLOOKUP($A237,'ПР 01-02.21'!$A$11:$BB$406,41,FALSE)+VLOOKUP($A237,'ПР 21-22'!$A$11:$BB$406,41,FALSE)-VLOOKUP($A237,'ПР 01-02.22'!$A$11:$BB$378,41,FALSE)</f>
        <v>874</v>
      </c>
      <c r="AP237" s="40"/>
      <c r="AQ237" s="5">
        <f>VLOOKUP($A237,'ПР 01-02.21'!$A$11:$BB$406,43,FALSE)+VLOOKUP($A237,'ПР 21-22'!$A$11:$BB$406,43,FALSE)-VLOOKUP($A237,'ПР 01-02.22'!$A$11:$BB$378,43,FALSE)</f>
        <v>637.39993069351021</v>
      </c>
      <c r="AR237" s="5">
        <f>VLOOKUP($A237,'ПР 01-02.21'!$A$11:$BB$406,44,FALSE)+VLOOKUP($A237,'ПР 21-22'!$A$11:$BB$406,44,FALSE)-VLOOKUP($A237,'ПР 01-02.22'!$A$11:$BB$378,44,FALSE)</f>
        <v>0</v>
      </c>
      <c r="AS237" s="40"/>
      <c r="AT237" s="5">
        <f>VLOOKUP($A237,'ПР 01-02.21'!$A$11:$BB$406,46,FALSE)+VLOOKUP($A237,'ПР 21-22'!$A$11:$BB$406,46,FALSE)-VLOOKUP($A237,'ПР 01-02.22'!$A$11:$BB$378,46,FALSE)</f>
        <v>554.31978601243941</v>
      </c>
      <c r="AU237" s="5">
        <f>VLOOKUP($A237,'ПР 01-02.21'!$A$11:$BB$406,47,FALSE)+VLOOKUP($A237,'ПР 21-22'!$A$11:$BB$406,47,FALSE)-VLOOKUP($A237,'ПР 01-02.22'!$A$11:$BB$378,47,FALSE)</f>
        <v>459</v>
      </c>
      <c r="AV237" s="40"/>
      <c r="AW237" s="5">
        <f>VLOOKUP($A237,'ПР 01-02.21'!$A$11:$BB$406,49,FALSE)+VLOOKUP($A237,'ПР 21-22'!$A$11:$BB$406,49,FALSE)-VLOOKUP($A237,'ПР 01-02.22'!$A$11:$BB$378,49,FALSE)</f>
        <v>272.131849871295</v>
      </c>
      <c r="AX237" s="5">
        <f>VLOOKUP($A237,'ПР 01-02.21'!$A$11:$BB$406,50,FALSE)+VLOOKUP($A237,'ПР 21-22'!$A$11:$BB$406,50,FALSE)-VLOOKUP($A237,'ПР 01-02.22'!$A$11:$BB$378,50,FALSE)</f>
        <v>2092.6</v>
      </c>
      <c r="AY237" s="40"/>
      <c r="AZ237" s="40">
        <f t="shared" si="13"/>
        <v>6827.8275834654914</v>
      </c>
      <c r="BA237" s="40">
        <f t="shared" si="13"/>
        <v>5857.6</v>
      </c>
      <c r="BB237" s="55">
        <f t="shared" si="16"/>
        <v>-970.22758346549108</v>
      </c>
      <c r="BD237" s="2">
        <v>1</v>
      </c>
      <c r="BF237" s="325">
        <v>150000958</v>
      </c>
    </row>
    <row r="238" spans="1:58" ht="24.9" customHeight="1" x14ac:dyDescent="0.3">
      <c r="A238" s="325">
        <v>150000961</v>
      </c>
      <c r="B238" s="445" t="s">
        <v>382</v>
      </c>
      <c r="C238" s="27">
        <v>9</v>
      </c>
      <c r="D238" s="101" t="s">
        <v>455</v>
      </c>
      <c r="E238" s="279">
        <f>'побудинковий звіт'!E236</f>
        <v>4349.8999999999996</v>
      </c>
      <c r="F238" s="441">
        <f>'побудинковий звіт'!AS236</f>
        <v>47604.020518562102</v>
      </c>
      <c r="G238" s="441">
        <f t="shared" si="14"/>
        <v>17213.255986879252</v>
      </c>
      <c r="H238" s="73">
        <f t="shared" si="15"/>
        <v>-30390.764531682849</v>
      </c>
      <c r="I238" s="5">
        <f>VLOOKUP($A238,'ПР 01-02.21'!$A$11:$BB$406,9,FALSE)+VLOOKUP($A238,'ПР 21-22'!$A$11:$BB$406,9,FALSE)-VLOOKUP($A238,'ПР 01-02.22'!$A$11:$BB$378,9,FALSE)</f>
        <v>17.3</v>
      </c>
      <c r="J238" s="5">
        <f>VLOOKUP($A238,'ПР 01-02.21'!$A$11:$BB$406,10,FALSE)+VLOOKUP($A238,'ПР 21-22'!$A$11:$BB$406,10,FALSE)-VLOOKUP($A238,'ПР 01-02.22'!$A$11:$BB$378,10,FALSE)</f>
        <v>3315</v>
      </c>
      <c r="K238" s="446"/>
      <c r="L238" s="5">
        <f>VLOOKUP($A238,'ПР 01-02.21'!$A$11:$BB$406,12,FALSE)+VLOOKUP($A238,'ПР 21-22'!$A$11:$BB$406,12,FALSE)-VLOOKUP($A238,'ПР 01-02.22'!$A$11:$BB$378,12,FALSE)</f>
        <v>0</v>
      </c>
      <c r="M238" s="5">
        <f>VLOOKUP($A238,'ПР 01-02.21'!$A$11:$BB$406,13,FALSE)+VLOOKUP($A238,'ПР 21-22'!$A$11:$BB$406,13,FALSE)-VLOOKUP($A238,'ПР 01-02.22'!$A$11:$BB$378,13,FALSE)</f>
        <v>0</v>
      </c>
      <c r="N238" s="38"/>
      <c r="O238" s="5">
        <f>VLOOKUP($A238,'ПР 01-02.21'!$A$11:$BB$406,15,FALSE)+VLOOKUP($A238,'ПР 21-22'!$A$11:$BB$406,15,FALSE)-VLOOKUP($A238,'ПР 01-02.22'!$A$11:$BB$378,15,FALSE)</f>
        <v>0</v>
      </c>
      <c r="P238" s="5">
        <f>VLOOKUP($A238,'ПР 01-02.21'!$A$11:$BB$406,16,FALSE)+VLOOKUP($A238,'ПР 21-22'!$A$11:$BB$406,16,FALSE)-VLOOKUP($A238,'ПР 01-02.22'!$A$11:$BB$378,16,FALSE)</f>
        <v>0</v>
      </c>
      <c r="Q238" s="443"/>
      <c r="R238" s="5">
        <f>VLOOKUP($A238,'ПР 01-02.21'!$A$11:$BB$406,18,FALSE)+VLOOKUP($A238,'ПР 21-22'!$A$11:$BB$406,18,FALSE)-VLOOKUP($A238,'ПР 01-02.22'!$A$11:$BB$378,18,FALSE)</f>
        <v>0</v>
      </c>
      <c r="S238" s="5">
        <f>VLOOKUP($A238,'ПР 01-02.21'!$A$11:$BB$406,19,FALSE)+VLOOKUP($A238,'ПР 21-22'!$A$11:$BB$406,19,FALSE)-VLOOKUP($A238,'ПР 01-02.22'!$A$11:$BB$378,19,FALSE)</f>
        <v>0</v>
      </c>
      <c r="T238" s="444"/>
      <c r="U238" s="5">
        <f>VLOOKUP($A238,'ПР 01-02.21'!$A$11:$BB$406,21,FALSE)+VLOOKUP($A238,'ПР 21-22'!$A$11:$BB$406,21,FALSE)-VLOOKUP($A238,'ПР 01-02.22'!$A$11:$BB$378,21,FALSE)</f>
        <v>0</v>
      </c>
      <c r="V238" s="5"/>
      <c r="W238" s="5">
        <f>VLOOKUP($A238,'ПР 01-02.21'!$A$11:$BB$406,23,FALSE)+VLOOKUP($A238,'ПР 21-22'!$A$11:$BB$406,23,FALSE)-VLOOKUP($A238,'ПР 01-02.22'!$A$11:$BB$378,23,FALSE)</f>
        <v>25</v>
      </c>
      <c r="X238" s="5">
        <f>VLOOKUP($A238,'ПР 01-02.21'!$A$11:$BB$406,24,FALSE)+VLOOKUP($A238,'ПР 21-22'!$A$11:$BB$406,24,FALSE)-VLOOKUP($A238,'ПР 01-02.22'!$A$11:$BB$378,24,FALSE)</f>
        <v>12407.25598687925</v>
      </c>
      <c r="Y238" s="5">
        <f>VLOOKUP($A238,'ПР 01-02.21'!$A$11:$BB$406,25,FALSE)+VLOOKUP($A238,'ПР 21-22'!$A$11:$BB$406,25,FALSE)-VLOOKUP($A238,'ПР 01-02.22'!$A$11:$BB$378,25,FALSE)</f>
        <v>0</v>
      </c>
      <c r="Z238" s="5"/>
      <c r="AA238" s="5">
        <f>VLOOKUP($A238,'ПР 01-02.21'!$A$11:$BB$406,27,FALSE)+VLOOKUP($A238,'ПР 21-22'!$A$11:$BB$406,27,FALSE)-VLOOKUP($A238,'ПР 01-02.22'!$A$11:$BB$378,27,FALSE)</f>
        <v>0</v>
      </c>
      <c r="AB238" s="5">
        <f>VLOOKUP($A238,'ПР 01-02.21'!$A$11:$BB$406,28,FALSE)+VLOOKUP($A238,'ПР 21-22'!$A$11:$BB$406,28,FALSE)-VLOOKUP($A238,'ПР 01-02.22'!$A$11:$BB$378,28,FALSE)</f>
        <v>0</v>
      </c>
      <c r="AC238" s="5">
        <f>VLOOKUP($A238,'ПР 01-02.21'!$A$11:$BB$406,29,FALSE)+VLOOKUP($A238,'ПР 21-22'!$A$11:$BB$406,29,FALSE)-VLOOKUP($A238,'ПР 01-02.22'!$A$11:$BB$378,29,FALSE)</f>
        <v>1063</v>
      </c>
      <c r="AD238" s="5">
        <f>VLOOKUP($A238,'ПР 01-02.21'!$A$11:$BB$406,30,FALSE)+VLOOKUP($A238,'ПР 21-22'!$A$11:$BB$406,30,FALSE)-VLOOKUP($A238,'ПР 01-02.22'!$A$11:$BB$378,30,FALSE)</f>
        <v>428</v>
      </c>
      <c r="AE238" s="5">
        <f>VLOOKUP($A238,'ПР 01-02.21'!$A$11:$BB$406,31,FALSE)+VLOOKUP($A238,'ПР 21-22'!$A$11:$BB$406,31,FALSE)-VLOOKUP($A238,'ПР 01-02.22'!$A$11:$BB$378,31,FALSE)</f>
        <v>3162.21310890318</v>
      </c>
      <c r="AF238" s="5">
        <f>VLOOKUP($A238,'ПР 01-02.21'!$A$11:$BB$406,32,FALSE)+VLOOKUP($A238,'ПР 21-22'!$A$11:$BB$406,32,FALSE)-VLOOKUP($A238,'ПР 01-02.22'!$A$11:$BB$378,32,FALSE)</f>
        <v>626</v>
      </c>
      <c r="AG238" s="40"/>
      <c r="AH238" s="5">
        <f>VLOOKUP($A238,'ПР 01-02.21'!$A$11:$BB$406,34,FALSE)+VLOOKUP($A238,'ПР 21-22'!$A$11:$BB$406,34,FALSE)-VLOOKUP($A238,'ПР 01-02.22'!$A$11:$BB$378,34,FALSE)</f>
        <v>3544.1040358851228</v>
      </c>
      <c r="AI238" s="5">
        <f>VLOOKUP($A238,'ПР 01-02.21'!$A$11:$BB$406,35,FALSE)+VLOOKUP($A238,'ПР 21-22'!$A$11:$BB$406,35,FALSE)-VLOOKUP($A238,'ПР 01-02.22'!$A$11:$BB$378,35,FALSE)</f>
        <v>0</v>
      </c>
      <c r="AJ238" s="40"/>
      <c r="AK238" s="5">
        <f>VLOOKUP($A238,'ПР 01-02.21'!$A$11:$BB$406,37,FALSE)+VLOOKUP($A238,'ПР 21-22'!$A$11:$BB$406,37,FALSE)-VLOOKUP($A238,'ПР 01-02.22'!$A$11:$BB$378,37,FALSE)</f>
        <v>1331.9257711391981</v>
      </c>
      <c r="AL238" s="5">
        <f>VLOOKUP($A238,'ПР 01-02.21'!$A$11:$BB$406,38,FALSE)+VLOOKUP($A238,'ПР 21-22'!$A$11:$BB$406,38,FALSE)-VLOOKUP($A238,'ПР 01-02.22'!$A$11:$BB$378,38,FALSE)</f>
        <v>1584</v>
      </c>
      <c r="AM238" s="40"/>
      <c r="AN238" s="5">
        <f>VLOOKUP($A238,'ПР 01-02.21'!$A$11:$BB$406,40,FALSE)+VLOOKUP($A238,'ПР 21-22'!$A$11:$BB$406,40,FALSE)-VLOOKUP($A238,'ПР 01-02.22'!$A$11:$BB$378,40,FALSE)</f>
        <v>2697.2076863778275</v>
      </c>
      <c r="AO238" s="5">
        <f>VLOOKUP($A238,'ПР 01-02.21'!$A$11:$BB$406,41,FALSE)+VLOOKUP($A238,'ПР 21-22'!$A$11:$BB$406,41,FALSE)-VLOOKUP($A238,'ПР 01-02.22'!$A$11:$BB$378,41,FALSE)</f>
        <v>556</v>
      </c>
      <c r="AP238" s="40"/>
      <c r="AQ238" s="5">
        <f>VLOOKUP($A238,'ПР 01-02.21'!$A$11:$BB$406,43,FALSE)+VLOOKUP($A238,'ПР 21-22'!$A$11:$BB$406,43,FALSE)-VLOOKUP($A238,'ПР 01-02.22'!$A$11:$BB$378,43,FALSE)</f>
        <v>1275.715225914171</v>
      </c>
      <c r="AR238" s="5">
        <f>VLOOKUP($A238,'ПР 01-02.21'!$A$11:$BB$406,44,FALSE)+VLOOKUP($A238,'ПР 21-22'!$A$11:$BB$406,44,FALSE)-VLOOKUP($A238,'ПР 01-02.22'!$A$11:$BB$378,44,FALSE)</f>
        <v>0</v>
      </c>
      <c r="AS238" s="40"/>
      <c r="AT238" s="5">
        <f>VLOOKUP($A238,'ПР 01-02.21'!$A$11:$BB$406,46,FALSE)+VLOOKUP($A238,'ПР 21-22'!$A$11:$BB$406,46,FALSE)-VLOOKUP($A238,'ПР 01-02.22'!$A$11:$BB$378,46,FALSE)</f>
        <v>1423.1295325965959</v>
      </c>
      <c r="AU238" s="5">
        <f>VLOOKUP($A238,'ПР 01-02.21'!$A$11:$BB$406,47,FALSE)+VLOOKUP($A238,'ПР 21-22'!$A$11:$BB$406,47,FALSE)-VLOOKUP($A238,'ПР 01-02.22'!$A$11:$BB$378,47,FALSE)</f>
        <v>0</v>
      </c>
      <c r="AV238" s="40"/>
      <c r="AW238" s="5">
        <f>VLOOKUP($A238,'ПР 01-02.21'!$A$11:$BB$406,49,FALSE)+VLOOKUP($A238,'ПР 21-22'!$A$11:$BB$406,49,FALSE)-VLOOKUP($A238,'ПР 01-02.22'!$A$11:$BB$378,49,FALSE)</f>
        <v>289.73687112719097</v>
      </c>
      <c r="AX238" s="5">
        <f>VLOOKUP($A238,'ПР 01-02.21'!$A$11:$BB$406,50,FALSE)+VLOOKUP($A238,'ПР 21-22'!$A$11:$BB$406,50,FALSE)-VLOOKUP($A238,'ПР 01-02.22'!$A$11:$BB$378,50,FALSE)</f>
        <v>4198.8500000000004</v>
      </c>
      <c r="AY238" s="40"/>
      <c r="AZ238" s="40">
        <f t="shared" si="13"/>
        <v>13724.032231943287</v>
      </c>
      <c r="BA238" s="40">
        <f t="shared" si="13"/>
        <v>6964.85</v>
      </c>
      <c r="BB238" s="55">
        <f t="shared" si="16"/>
        <v>-6759.1822319432868</v>
      </c>
      <c r="BD238" s="2">
        <v>1</v>
      </c>
      <c r="BF238" s="325">
        <v>150000961</v>
      </c>
    </row>
    <row r="239" spans="1:58" ht="24.9" customHeight="1" x14ac:dyDescent="0.3">
      <c r="A239" s="325">
        <v>150000964</v>
      </c>
      <c r="B239" s="445" t="s">
        <v>383</v>
      </c>
      <c r="C239" s="27">
        <v>9</v>
      </c>
      <c r="D239" s="101" t="s">
        <v>455</v>
      </c>
      <c r="E239" s="279">
        <f>'побудинковий звіт'!E237</f>
        <v>2131.85</v>
      </c>
      <c r="F239" s="441">
        <f>'побудинковий звіт'!AS237</f>
        <v>24024.430834235227</v>
      </c>
      <c r="G239" s="441">
        <f t="shared" si="14"/>
        <v>19971.532507520635</v>
      </c>
      <c r="H239" s="73">
        <f t="shared" si="15"/>
        <v>-4052.8983267145923</v>
      </c>
      <c r="I239" s="5">
        <f>VLOOKUP($A239,'ПР 01-02.21'!$A$11:$BB$406,9,FALSE)+VLOOKUP($A239,'ПР 21-22'!$A$11:$BB$406,9,FALSE)-VLOOKUP($A239,'ПР 01-02.22'!$A$11:$BB$378,9,FALSE)</f>
        <v>0</v>
      </c>
      <c r="J239" s="5">
        <f>VLOOKUP($A239,'ПР 01-02.21'!$A$11:$BB$406,10,FALSE)+VLOOKUP($A239,'ПР 21-22'!$A$11:$BB$406,10,FALSE)-VLOOKUP($A239,'ПР 01-02.22'!$A$11:$BB$378,10,FALSE)</f>
        <v>0</v>
      </c>
      <c r="K239" s="446"/>
      <c r="L239" s="5">
        <f>VLOOKUP($A239,'ПР 01-02.21'!$A$11:$BB$406,12,FALSE)+VLOOKUP($A239,'ПР 21-22'!$A$11:$BB$406,12,FALSE)-VLOOKUP($A239,'ПР 01-02.22'!$A$11:$BB$378,12,FALSE)</f>
        <v>0</v>
      </c>
      <c r="M239" s="5">
        <f>VLOOKUP($A239,'ПР 01-02.21'!$A$11:$BB$406,13,FALSE)+VLOOKUP($A239,'ПР 21-22'!$A$11:$BB$406,13,FALSE)-VLOOKUP($A239,'ПР 01-02.22'!$A$11:$BB$378,13,FALSE)</f>
        <v>0</v>
      </c>
      <c r="N239" s="38"/>
      <c r="O239" s="5">
        <f>VLOOKUP($A239,'ПР 01-02.21'!$A$11:$BB$406,15,FALSE)+VLOOKUP($A239,'ПР 21-22'!$A$11:$BB$406,15,FALSE)-VLOOKUP($A239,'ПР 01-02.22'!$A$11:$BB$378,15,FALSE)</f>
        <v>0</v>
      </c>
      <c r="P239" s="5">
        <f>VLOOKUP($A239,'ПР 01-02.21'!$A$11:$BB$406,16,FALSE)+VLOOKUP($A239,'ПР 21-22'!$A$11:$BB$406,16,FALSE)-VLOOKUP($A239,'ПР 01-02.22'!$A$11:$BB$378,16,FALSE)</f>
        <v>0</v>
      </c>
      <c r="Q239" s="443"/>
      <c r="R239" s="5">
        <f>VLOOKUP($A239,'ПР 01-02.21'!$A$11:$BB$406,18,FALSE)+VLOOKUP($A239,'ПР 21-22'!$A$11:$BB$406,18,FALSE)-VLOOKUP($A239,'ПР 01-02.22'!$A$11:$BB$378,18,FALSE)</f>
        <v>1</v>
      </c>
      <c r="S239" s="5">
        <f>VLOOKUP($A239,'ПР 01-02.21'!$A$11:$BB$406,19,FALSE)+VLOOKUP($A239,'ПР 21-22'!$A$11:$BB$406,19,FALSE)-VLOOKUP($A239,'ПР 01-02.22'!$A$11:$BB$378,19,FALSE)</f>
        <v>705</v>
      </c>
      <c r="T239" s="444"/>
      <c r="U239" s="5">
        <f>VLOOKUP($A239,'ПР 01-02.21'!$A$11:$BB$406,21,FALSE)+VLOOKUP($A239,'ПР 21-22'!$A$11:$BB$406,21,FALSE)-VLOOKUP($A239,'ПР 01-02.22'!$A$11:$BB$378,21,FALSE)</f>
        <v>0</v>
      </c>
      <c r="V239" s="5"/>
      <c r="W239" s="5">
        <f>VLOOKUP($A239,'ПР 01-02.21'!$A$11:$BB$406,23,FALSE)+VLOOKUP($A239,'ПР 21-22'!$A$11:$BB$406,23,FALSE)-VLOOKUP($A239,'ПР 01-02.22'!$A$11:$BB$378,23,FALSE)</f>
        <v>0</v>
      </c>
      <c r="X239" s="5">
        <f>VLOOKUP($A239,'ПР 01-02.21'!$A$11:$BB$406,24,FALSE)+VLOOKUP($A239,'ПР 21-22'!$A$11:$BB$406,24,FALSE)-VLOOKUP($A239,'ПР 01-02.22'!$A$11:$BB$378,24,FALSE)</f>
        <v>55.722507520635169</v>
      </c>
      <c r="Y239" s="5">
        <f>VLOOKUP($A239,'ПР 01-02.21'!$A$11:$BB$406,25,FALSE)+VLOOKUP($A239,'ПР 21-22'!$A$11:$BB$406,25,FALSE)-VLOOKUP($A239,'ПР 01-02.22'!$A$11:$BB$378,25,FALSE)</f>
        <v>12130.81</v>
      </c>
      <c r="Z239" s="5"/>
      <c r="AA239" s="5">
        <f>VLOOKUP($A239,'ПР 01-02.21'!$A$11:$BB$406,27,FALSE)+VLOOKUP($A239,'ПР 21-22'!$A$11:$BB$406,27,FALSE)-VLOOKUP($A239,'ПР 01-02.22'!$A$11:$BB$378,27,FALSE)</f>
        <v>0</v>
      </c>
      <c r="AB239" s="5">
        <f>VLOOKUP($A239,'ПР 01-02.21'!$A$11:$BB$406,28,FALSE)+VLOOKUP($A239,'ПР 21-22'!$A$11:$BB$406,28,FALSE)-VLOOKUP($A239,'ПР 01-02.22'!$A$11:$BB$378,28,FALSE)</f>
        <v>0</v>
      </c>
      <c r="AC239" s="5">
        <f>VLOOKUP($A239,'ПР 01-02.21'!$A$11:$BB$406,29,FALSE)+VLOOKUP($A239,'ПР 21-22'!$A$11:$BB$406,29,FALSE)-VLOOKUP($A239,'ПР 01-02.22'!$A$11:$BB$378,29,FALSE)</f>
        <v>5963</v>
      </c>
      <c r="AD239" s="5">
        <f>VLOOKUP($A239,'ПР 01-02.21'!$A$11:$BB$406,30,FALSE)+VLOOKUP($A239,'ПР 21-22'!$A$11:$BB$406,30,FALSE)-VLOOKUP($A239,'ПР 01-02.22'!$A$11:$BB$378,30,FALSE)</f>
        <v>1117</v>
      </c>
      <c r="AE239" s="5">
        <f>VLOOKUP($A239,'ПР 01-02.21'!$A$11:$BB$406,31,FALSE)+VLOOKUP($A239,'ПР 21-22'!$A$11:$BB$406,31,FALSE)-VLOOKUP($A239,'ПР 01-02.22'!$A$11:$BB$378,31,FALSE)</f>
        <v>1394.8095912612434</v>
      </c>
      <c r="AF239" s="5">
        <f>VLOOKUP($A239,'ПР 01-02.21'!$A$11:$BB$406,32,FALSE)+VLOOKUP($A239,'ПР 21-22'!$A$11:$BB$406,32,FALSE)-VLOOKUP($A239,'ПР 01-02.22'!$A$11:$BB$378,32,FALSE)</f>
        <v>1684.5</v>
      </c>
      <c r="AG239" s="40"/>
      <c r="AH239" s="5">
        <f>VLOOKUP($A239,'ПР 01-02.21'!$A$11:$BB$406,34,FALSE)+VLOOKUP($A239,'ПР 21-22'!$A$11:$BB$406,34,FALSE)-VLOOKUP($A239,'ПР 01-02.22'!$A$11:$BB$378,34,FALSE)</f>
        <v>1492.4284758482229</v>
      </c>
      <c r="AI239" s="5">
        <f>VLOOKUP($A239,'ПР 01-02.21'!$A$11:$BB$406,35,FALSE)+VLOOKUP($A239,'ПР 21-22'!$A$11:$BB$406,35,FALSE)-VLOOKUP($A239,'ПР 01-02.22'!$A$11:$BB$378,35,FALSE)</f>
        <v>2182</v>
      </c>
      <c r="AJ239" s="40"/>
      <c r="AK239" s="5">
        <f>VLOOKUP($A239,'ПР 01-02.21'!$A$11:$BB$406,37,FALSE)+VLOOKUP($A239,'ПР 21-22'!$A$11:$BB$406,37,FALSE)-VLOOKUP($A239,'ПР 01-02.22'!$A$11:$BB$378,37,FALSE)</f>
        <v>498.4411593589125</v>
      </c>
      <c r="AL239" s="5">
        <f>VLOOKUP($A239,'ПР 01-02.21'!$A$11:$BB$406,38,FALSE)+VLOOKUP($A239,'ПР 21-22'!$A$11:$BB$406,38,FALSE)-VLOOKUP($A239,'ПР 01-02.22'!$A$11:$BB$378,38,FALSE)</f>
        <v>1440</v>
      </c>
      <c r="AM239" s="40"/>
      <c r="AN239" s="5">
        <f>VLOOKUP($A239,'ПР 01-02.21'!$A$11:$BB$406,40,FALSE)+VLOOKUP($A239,'ПР 21-22'!$A$11:$BB$406,40,FALSE)-VLOOKUP($A239,'ПР 01-02.22'!$A$11:$BB$378,40,FALSE)</f>
        <v>1248.9119644516227</v>
      </c>
      <c r="AO239" s="5">
        <f>VLOOKUP($A239,'ПР 01-02.21'!$A$11:$BB$406,41,FALSE)+VLOOKUP($A239,'ПР 21-22'!$A$11:$BB$406,41,FALSE)-VLOOKUP($A239,'ПР 01-02.22'!$A$11:$BB$378,41,FALSE)</f>
        <v>556</v>
      </c>
      <c r="AP239" s="40"/>
      <c r="AQ239" s="5">
        <f>VLOOKUP($A239,'ПР 01-02.21'!$A$11:$BB$406,43,FALSE)+VLOOKUP($A239,'ПР 21-22'!$A$11:$BB$406,43,FALSE)-VLOOKUP($A239,'ПР 01-02.22'!$A$11:$BB$378,43,FALSE)</f>
        <v>568.14063361235844</v>
      </c>
      <c r="AR239" s="5">
        <f>VLOOKUP($A239,'ПР 01-02.21'!$A$11:$BB$406,44,FALSE)+VLOOKUP($A239,'ПР 21-22'!$A$11:$BB$406,44,FALSE)-VLOOKUP($A239,'ПР 01-02.22'!$A$11:$BB$378,44,FALSE)</f>
        <v>0</v>
      </c>
      <c r="AS239" s="40"/>
      <c r="AT239" s="5">
        <f>VLOOKUP($A239,'ПР 01-02.21'!$A$11:$BB$406,46,FALSE)+VLOOKUP($A239,'ПР 21-22'!$A$11:$BB$406,46,FALSE)-VLOOKUP($A239,'ПР 01-02.22'!$A$11:$BB$378,46,FALSE)</f>
        <v>462.70457011230326</v>
      </c>
      <c r="AU239" s="5">
        <f>VLOOKUP($A239,'ПР 01-02.21'!$A$11:$BB$406,47,FALSE)+VLOOKUP($A239,'ПР 21-22'!$A$11:$BB$406,47,FALSE)-VLOOKUP($A239,'ПР 01-02.22'!$A$11:$BB$378,47,FALSE)</f>
        <v>0</v>
      </c>
      <c r="AV239" s="40"/>
      <c r="AW239" s="5">
        <f>VLOOKUP($A239,'ПР 01-02.21'!$A$11:$BB$406,49,FALSE)+VLOOKUP($A239,'ПР 21-22'!$A$11:$BB$406,49,FALSE)-VLOOKUP($A239,'ПР 01-02.22'!$A$11:$BB$378,49,FALSE)</f>
        <v>146.95637986154387</v>
      </c>
      <c r="AX239" s="5">
        <f>VLOOKUP($A239,'ПР 01-02.21'!$A$11:$BB$406,50,FALSE)+VLOOKUP($A239,'ПР 21-22'!$A$11:$BB$406,50,FALSE)-VLOOKUP($A239,'ПР 01-02.22'!$A$11:$BB$378,50,FALSE)</f>
        <v>2092.6</v>
      </c>
      <c r="AY239" s="40"/>
      <c r="AZ239" s="40">
        <f t="shared" si="13"/>
        <v>5812.3927745062065</v>
      </c>
      <c r="BA239" s="40">
        <f t="shared" si="13"/>
        <v>7955.1</v>
      </c>
      <c r="BB239" s="55">
        <f t="shared" si="16"/>
        <v>2142.7072254937939</v>
      </c>
      <c r="BD239" s="2">
        <v>1</v>
      </c>
      <c r="BF239" s="325">
        <v>150000964</v>
      </c>
    </row>
    <row r="240" spans="1:58" ht="24.9" customHeight="1" x14ac:dyDescent="0.3">
      <c r="A240" s="325">
        <v>150000943</v>
      </c>
      <c r="B240" s="445" t="s">
        <v>123</v>
      </c>
      <c r="C240" s="27">
        <v>1</v>
      </c>
      <c r="D240" s="101" t="s">
        <v>455</v>
      </c>
      <c r="E240" s="279">
        <f>'побудинковий звіт'!E238</f>
        <v>105</v>
      </c>
      <c r="F240" s="441">
        <f>'побудинковий звіт'!AS238</f>
        <v>1276.0991497525242</v>
      </c>
      <c r="G240" s="441">
        <f t="shared" si="14"/>
        <v>1379</v>
      </c>
      <c r="H240" s="73">
        <f t="shared" si="15"/>
        <v>102.90085024747577</v>
      </c>
      <c r="I240" s="5">
        <f>VLOOKUP($A240,'ПР 01-02.21'!$A$11:$BB$406,9,FALSE)+VLOOKUP($A240,'ПР 21-22'!$A$11:$BB$406,9,FALSE)-VLOOKUP($A240,'ПР 01-02.22'!$A$11:$BB$378,9,FALSE)</f>
        <v>0</v>
      </c>
      <c r="J240" s="5">
        <f>VLOOKUP($A240,'ПР 01-02.21'!$A$11:$BB$406,10,FALSE)+VLOOKUP($A240,'ПР 21-22'!$A$11:$BB$406,10,FALSE)-VLOOKUP($A240,'ПР 01-02.22'!$A$11:$BB$378,10,FALSE)</f>
        <v>0</v>
      </c>
      <c r="K240" s="446"/>
      <c r="L240" s="5">
        <f>VLOOKUP($A240,'ПР 01-02.21'!$A$11:$BB$406,12,FALSE)+VLOOKUP($A240,'ПР 21-22'!$A$11:$BB$406,12,FALSE)-VLOOKUP($A240,'ПР 01-02.22'!$A$11:$BB$378,12,FALSE)</f>
        <v>0</v>
      </c>
      <c r="M240" s="5">
        <f>VLOOKUP($A240,'ПР 01-02.21'!$A$11:$BB$406,13,FALSE)+VLOOKUP($A240,'ПР 21-22'!$A$11:$BB$406,13,FALSE)-VLOOKUP($A240,'ПР 01-02.22'!$A$11:$BB$378,13,FALSE)</f>
        <v>0</v>
      </c>
      <c r="N240" s="38"/>
      <c r="O240" s="5">
        <f>VLOOKUP($A240,'ПР 01-02.21'!$A$11:$BB$406,15,FALSE)+VLOOKUP($A240,'ПР 21-22'!$A$11:$BB$406,15,FALSE)-VLOOKUP($A240,'ПР 01-02.22'!$A$11:$BB$378,15,FALSE)</f>
        <v>0</v>
      </c>
      <c r="P240" s="5">
        <f>VLOOKUP($A240,'ПР 01-02.21'!$A$11:$BB$406,16,FALSE)+VLOOKUP($A240,'ПР 21-22'!$A$11:$BB$406,16,FALSE)-VLOOKUP($A240,'ПР 01-02.22'!$A$11:$BB$378,16,FALSE)</f>
        <v>0</v>
      </c>
      <c r="Q240" s="443"/>
      <c r="R240" s="5">
        <f>VLOOKUP($A240,'ПР 01-02.21'!$A$11:$BB$406,18,FALSE)+VLOOKUP($A240,'ПР 21-22'!$A$11:$BB$406,18,FALSE)-VLOOKUP($A240,'ПР 01-02.22'!$A$11:$BB$378,18,FALSE)</f>
        <v>0</v>
      </c>
      <c r="S240" s="5">
        <f>VLOOKUP($A240,'ПР 01-02.21'!$A$11:$BB$406,19,FALSE)+VLOOKUP($A240,'ПР 21-22'!$A$11:$BB$406,19,FALSE)-VLOOKUP($A240,'ПР 01-02.22'!$A$11:$BB$378,19,FALSE)</f>
        <v>0</v>
      </c>
      <c r="T240" s="444"/>
      <c r="U240" s="5">
        <f>VLOOKUP($A240,'ПР 01-02.21'!$A$11:$BB$406,21,FALSE)+VLOOKUP($A240,'ПР 21-22'!$A$11:$BB$406,21,FALSE)-VLOOKUP($A240,'ПР 01-02.22'!$A$11:$BB$378,21,FALSE)</f>
        <v>0</v>
      </c>
      <c r="V240" s="5"/>
      <c r="W240" s="5">
        <f>VLOOKUP($A240,'ПР 01-02.21'!$A$11:$BB$406,23,FALSE)+VLOOKUP($A240,'ПР 21-22'!$A$11:$BB$406,23,FALSE)-VLOOKUP($A240,'ПР 01-02.22'!$A$11:$BB$378,23,FALSE)</f>
        <v>0</v>
      </c>
      <c r="X240" s="5">
        <f>VLOOKUP($A240,'ПР 01-02.21'!$A$11:$BB$406,24,FALSE)+VLOOKUP($A240,'ПР 21-22'!$A$11:$BB$406,24,FALSE)-VLOOKUP($A240,'ПР 01-02.22'!$A$11:$BB$378,24,FALSE)</f>
        <v>0</v>
      </c>
      <c r="Y240" s="5">
        <f>VLOOKUP($A240,'ПР 01-02.21'!$A$11:$BB$406,25,FALSE)+VLOOKUP($A240,'ПР 21-22'!$A$11:$BB$406,25,FALSE)-VLOOKUP($A240,'ПР 01-02.22'!$A$11:$BB$378,25,FALSE)</f>
        <v>0</v>
      </c>
      <c r="Z240" s="5"/>
      <c r="AA240" s="5">
        <f>VLOOKUP($A240,'ПР 01-02.21'!$A$11:$BB$406,27,FALSE)+VLOOKUP($A240,'ПР 21-22'!$A$11:$BB$406,27,FALSE)-VLOOKUP($A240,'ПР 01-02.22'!$A$11:$BB$378,27,FALSE)</f>
        <v>0</v>
      </c>
      <c r="AB240" s="5">
        <f>VLOOKUP($A240,'ПР 01-02.21'!$A$11:$BB$406,28,FALSE)+VLOOKUP($A240,'ПР 21-22'!$A$11:$BB$406,28,FALSE)-VLOOKUP($A240,'ПР 01-02.22'!$A$11:$BB$378,28,FALSE)</f>
        <v>0</v>
      </c>
      <c r="AC240" s="5">
        <f>VLOOKUP($A240,'ПР 01-02.21'!$A$11:$BB$406,29,FALSE)+VLOOKUP($A240,'ПР 21-22'!$A$11:$BB$406,29,FALSE)-VLOOKUP($A240,'ПР 01-02.22'!$A$11:$BB$378,29,FALSE)</f>
        <v>0</v>
      </c>
      <c r="AD240" s="5">
        <f>VLOOKUP($A240,'ПР 01-02.21'!$A$11:$BB$406,30,FALSE)+VLOOKUP($A240,'ПР 21-22'!$A$11:$BB$406,30,FALSE)-VLOOKUP($A240,'ПР 01-02.22'!$A$11:$BB$378,30,FALSE)</f>
        <v>1379</v>
      </c>
      <c r="AE240" s="5">
        <f>VLOOKUP($A240,'ПР 01-02.21'!$A$11:$BB$406,31,FALSE)+VLOOKUP($A240,'ПР 21-22'!$A$11:$BB$406,31,FALSE)-VLOOKUP($A240,'ПР 01-02.22'!$A$11:$BB$378,31,FALSE)</f>
        <v>0</v>
      </c>
      <c r="AF240" s="5">
        <f>VLOOKUP($A240,'ПР 01-02.21'!$A$11:$BB$406,32,FALSE)+VLOOKUP($A240,'ПР 21-22'!$A$11:$BB$406,32,FALSE)-VLOOKUP($A240,'ПР 01-02.22'!$A$11:$BB$378,32,FALSE)</f>
        <v>0</v>
      </c>
      <c r="AG240" s="40"/>
      <c r="AH240" s="5">
        <f>VLOOKUP($A240,'ПР 01-02.21'!$A$11:$BB$406,34,FALSE)+VLOOKUP($A240,'ПР 21-22'!$A$11:$BB$406,34,FALSE)-VLOOKUP($A240,'ПР 01-02.22'!$A$11:$BB$378,34,FALSE)</f>
        <v>0</v>
      </c>
      <c r="AI240" s="5">
        <f>VLOOKUP($A240,'ПР 01-02.21'!$A$11:$BB$406,35,FALSE)+VLOOKUP($A240,'ПР 21-22'!$A$11:$BB$406,35,FALSE)-VLOOKUP($A240,'ПР 01-02.22'!$A$11:$BB$378,35,FALSE)</f>
        <v>0</v>
      </c>
      <c r="AJ240" s="40"/>
      <c r="AK240" s="5">
        <f>VLOOKUP($A240,'ПР 01-02.21'!$A$11:$BB$406,37,FALSE)+VLOOKUP($A240,'ПР 21-22'!$A$11:$BB$406,37,FALSE)-VLOOKUP($A240,'ПР 01-02.22'!$A$11:$BB$378,37,FALSE)</f>
        <v>0</v>
      </c>
      <c r="AL240" s="5">
        <f>VLOOKUP($A240,'ПР 01-02.21'!$A$11:$BB$406,38,FALSE)+VLOOKUP($A240,'ПР 21-22'!$A$11:$BB$406,38,FALSE)-VLOOKUP($A240,'ПР 01-02.22'!$A$11:$BB$378,38,FALSE)</f>
        <v>0</v>
      </c>
      <c r="AM240" s="40"/>
      <c r="AN240" s="5">
        <f>VLOOKUP($A240,'ПР 01-02.21'!$A$11:$BB$406,40,FALSE)+VLOOKUP($A240,'ПР 21-22'!$A$11:$BB$406,40,FALSE)-VLOOKUP($A240,'ПР 01-02.22'!$A$11:$BB$378,40,FALSE)</f>
        <v>0</v>
      </c>
      <c r="AO240" s="5">
        <f>VLOOKUP($A240,'ПР 01-02.21'!$A$11:$BB$406,41,FALSE)+VLOOKUP($A240,'ПР 21-22'!$A$11:$BB$406,41,FALSE)-VLOOKUP($A240,'ПР 01-02.22'!$A$11:$BB$378,41,FALSE)</f>
        <v>0</v>
      </c>
      <c r="AP240" s="40"/>
      <c r="AQ240" s="5">
        <f>VLOOKUP($A240,'ПР 01-02.21'!$A$11:$BB$406,43,FALSE)+VLOOKUP($A240,'ПР 21-22'!$A$11:$BB$406,43,FALSE)-VLOOKUP($A240,'ПР 01-02.22'!$A$11:$BB$378,43,FALSE)</f>
        <v>0</v>
      </c>
      <c r="AR240" s="5">
        <f>VLOOKUP($A240,'ПР 01-02.21'!$A$11:$BB$406,44,FALSE)+VLOOKUP($A240,'ПР 21-22'!$A$11:$BB$406,44,FALSE)-VLOOKUP($A240,'ПР 01-02.22'!$A$11:$BB$378,44,FALSE)</f>
        <v>0</v>
      </c>
      <c r="AS240" s="40"/>
      <c r="AT240" s="5">
        <f>VLOOKUP($A240,'ПР 01-02.21'!$A$11:$BB$406,46,FALSE)+VLOOKUP($A240,'ПР 21-22'!$A$11:$BB$406,46,FALSE)-VLOOKUP($A240,'ПР 01-02.22'!$A$11:$BB$378,46,FALSE)</f>
        <v>0</v>
      </c>
      <c r="AU240" s="5">
        <f>VLOOKUP($A240,'ПР 01-02.21'!$A$11:$BB$406,47,FALSE)+VLOOKUP($A240,'ПР 21-22'!$A$11:$BB$406,47,FALSE)-VLOOKUP($A240,'ПР 01-02.22'!$A$11:$BB$378,47,FALSE)</f>
        <v>0</v>
      </c>
      <c r="AV240" s="40"/>
      <c r="AW240" s="5">
        <f>VLOOKUP($A240,'ПР 01-02.21'!$A$11:$BB$406,49,FALSE)+VLOOKUP($A240,'ПР 21-22'!$A$11:$BB$406,49,FALSE)-VLOOKUP($A240,'ПР 01-02.22'!$A$11:$BB$378,49,FALSE)</f>
        <v>13.081606171587595</v>
      </c>
      <c r="AX240" s="5">
        <f>VLOOKUP($A240,'ПР 01-02.21'!$A$11:$BB$406,50,FALSE)+VLOOKUP($A240,'ПР 21-22'!$A$11:$BB$406,50,FALSE)-VLOOKUP($A240,'ПР 01-02.22'!$A$11:$BB$378,50,FALSE)</f>
        <v>0</v>
      </c>
      <c r="AY240" s="40"/>
      <c r="AZ240" s="40">
        <f t="shared" si="13"/>
        <v>13.081606171587595</v>
      </c>
      <c r="BA240" s="40">
        <f t="shared" si="13"/>
        <v>0</v>
      </c>
      <c r="BB240" s="55">
        <f t="shared" si="16"/>
        <v>-13.081606171587595</v>
      </c>
      <c r="BD240" s="2">
        <v>1</v>
      </c>
      <c r="BF240" s="325">
        <v>150000943</v>
      </c>
    </row>
    <row r="241" spans="1:58" ht="24.9" customHeight="1" x14ac:dyDescent="0.3">
      <c r="A241" s="325">
        <v>150000944</v>
      </c>
      <c r="B241" s="445" t="s">
        <v>124</v>
      </c>
      <c r="C241" s="27">
        <v>1</v>
      </c>
      <c r="D241" s="101" t="s">
        <v>455</v>
      </c>
      <c r="E241" s="279">
        <f>'побудинковий звіт'!E239</f>
        <v>140.69999999999999</v>
      </c>
      <c r="F241" s="441">
        <f>'побудинковий звіт'!AS239</f>
        <v>1658.7108665353344</v>
      </c>
      <c r="G241" s="441">
        <f t="shared" si="14"/>
        <v>1379</v>
      </c>
      <c r="H241" s="73">
        <f t="shared" si="15"/>
        <v>-279.71086653533439</v>
      </c>
      <c r="I241" s="5">
        <f>VLOOKUP($A241,'ПР 01-02.21'!$A$11:$BB$406,9,FALSE)+VLOOKUP($A241,'ПР 21-22'!$A$11:$BB$406,9,FALSE)-VLOOKUP($A241,'ПР 01-02.22'!$A$11:$BB$378,9,FALSE)</f>
        <v>0</v>
      </c>
      <c r="J241" s="5">
        <f>VLOOKUP($A241,'ПР 01-02.21'!$A$11:$BB$406,10,FALSE)+VLOOKUP($A241,'ПР 21-22'!$A$11:$BB$406,10,FALSE)-VLOOKUP($A241,'ПР 01-02.22'!$A$11:$BB$378,10,FALSE)</f>
        <v>0</v>
      </c>
      <c r="K241" s="446"/>
      <c r="L241" s="5">
        <f>VLOOKUP($A241,'ПР 01-02.21'!$A$11:$BB$406,12,FALSE)+VLOOKUP($A241,'ПР 21-22'!$A$11:$BB$406,12,FALSE)-VLOOKUP($A241,'ПР 01-02.22'!$A$11:$BB$378,12,FALSE)</f>
        <v>0</v>
      </c>
      <c r="M241" s="5">
        <f>VLOOKUP($A241,'ПР 01-02.21'!$A$11:$BB$406,13,FALSE)+VLOOKUP($A241,'ПР 21-22'!$A$11:$BB$406,13,FALSE)-VLOOKUP($A241,'ПР 01-02.22'!$A$11:$BB$378,13,FALSE)</f>
        <v>0</v>
      </c>
      <c r="N241" s="38"/>
      <c r="O241" s="5">
        <f>VLOOKUP($A241,'ПР 01-02.21'!$A$11:$BB$406,15,FALSE)+VLOOKUP($A241,'ПР 21-22'!$A$11:$BB$406,15,FALSE)-VLOOKUP($A241,'ПР 01-02.22'!$A$11:$BB$378,15,FALSE)</f>
        <v>0</v>
      </c>
      <c r="P241" s="5">
        <f>VLOOKUP($A241,'ПР 01-02.21'!$A$11:$BB$406,16,FALSE)+VLOOKUP($A241,'ПР 21-22'!$A$11:$BB$406,16,FALSE)-VLOOKUP($A241,'ПР 01-02.22'!$A$11:$BB$378,16,FALSE)</f>
        <v>0</v>
      </c>
      <c r="Q241" s="443"/>
      <c r="R241" s="5">
        <f>VLOOKUP($A241,'ПР 01-02.21'!$A$11:$BB$406,18,FALSE)+VLOOKUP($A241,'ПР 21-22'!$A$11:$BB$406,18,FALSE)-VLOOKUP($A241,'ПР 01-02.22'!$A$11:$BB$378,18,FALSE)</f>
        <v>0</v>
      </c>
      <c r="S241" s="5">
        <f>VLOOKUP($A241,'ПР 01-02.21'!$A$11:$BB$406,19,FALSE)+VLOOKUP($A241,'ПР 21-22'!$A$11:$BB$406,19,FALSE)-VLOOKUP($A241,'ПР 01-02.22'!$A$11:$BB$378,19,FALSE)</f>
        <v>0</v>
      </c>
      <c r="T241" s="444"/>
      <c r="U241" s="5">
        <f>VLOOKUP($A241,'ПР 01-02.21'!$A$11:$BB$406,21,FALSE)+VLOOKUP($A241,'ПР 21-22'!$A$11:$BB$406,21,FALSE)-VLOOKUP($A241,'ПР 01-02.22'!$A$11:$BB$378,21,FALSE)</f>
        <v>0</v>
      </c>
      <c r="V241" s="5"/>
      <c r="W241" s="5">
        <f>VLOOKUP($A241,'ПР 01-02.21'!$A$11:$BB$406,23,FALSE)+VLOOKUP($A241,'ПР 21-22'!$A$11:$BB$406,23,FALSE)-VLOOKUP($A241,'ПР 01-02.22'!$A$11:$BB$378,23,FALSE)</f>
        <v>0</v>
      </c>
      <c r="X241" s="5">
        <f>VLOOKUP($A241,'ПР 01-02.21'!$A$11:$BB$406,24,FALSE)+VLOOKUP($A241,'ПР 21-22'!$A$11:$BB$406,24,FALSE)-VLOOKUP($A241,'ПР 01-02.22'!$A$11:$BB$378,24,FALSE)</f>
        <v>0</v>
      </c>
      <c r="Y241" s="5">
        <f>VLOOKUP($A241,'ПР 01-02.21'!$A$11:$BB$406,25,FALSE)+VLOOKUP($A241,'ПР 21-22'!$A$11:$BB$406,25,FALSE)-VLOOKUP($A241,'ПР 01-02.22'!$A$11:$BB$378,25,FALSE)</f>
        <v>0</v>
      </c>
      <c r="Z241" s="5"/>
      <c r="AA241" s="5">
        <f>VLOOKUP($A241,'ПР 01-02.21'!$A$11:$BB$406,27,FALSE)+VLOOKUP($A241,'ПР 21-22'!$A$11:$BB$406,27,FALSE)-VLOOKUP($A241,'ПР 01-02.22'!$A$11:$BB$378,27,FALSE)</f>
        <v>0</v>
      </c>
      <c r="AB241" s="5">
        <f>VLOOKUP($A241,'ПР 01-02.21'!$A$11:$BB$406,28,FALSE)+VLOOKUP($A241,'ПР 21-22'!$A$11:$BB$406,28,FALSE)-VLOOKUP($A241,'ПР 01-02.22'!$A$11:$BB$378,28,FALSE)</f>
        <v>0</v>
      </c>
      <c r="AC241" s="5">
        <f>VLOOKUP($A241,'ПР 01-02.21'!$A$11:$BB$406,29,FALSE)+VLOOKUP($A241,'ПР 21-22'!$A$11:$BB$406,29,FALSE)-VLOOKUP($A241,'ПР 01-02.22'!$A$11:$BB$378,29,FALSE)</f>
        <v>0</v>
      </c>
      <c r="AD241" s="5">
        <f>VLOOKUP($A241,'ПР 01-02.21'!$A$11:$BB$406,30,FALSE)+VLOOKUP($A241,'ПР 21-22'!$A$11:$BB$406,30,FALSE)-VLOOKUP($A241,'ПР 01-02.22'!$A$11:$BB$378,30,FALSE)</f>
        <v>1379</v>
      </c>
      <c r="AE241" s="5">
        <f>VLOOKUP($A241,'ПР 01-02.21'!$A$11:$BB$406,31,FALSE)+VLOOKUP($A241,'ПР 21-22'!$A$11:$BB$406,31,FALSE)-VLOOKUP($A241,'ПР 01-02.22'!$A$11:$BB$378,31,FALSE)</f>
        <v>0</v>
      </c>
      <c r="AF241" s="5">
        <f>VLOOKUP($A241,'ПР 01-02.21'!$A$11:$BB$406,32,FALSE)+VLOOKUP($A241,'ПР 21-22'!$A$11:$BB$406,32,FALSE)-VLOOKUP($A241,'ПР 01-02.22'!$A$11:$BB$378,32,FALSE)</f>
        <v>0</v>
      </c>
      <c r="AG241" s="40"/>
      <c r="AH241" s="5">
        <f>VLOOKUP($A241,'ПР 01-02.21'!$A$11:$BB$406,34,FALSE)+VLOOKUP($A241,'ПР 21-22'!$A$11:$BB$406,34,FALSE)-VLOOKUP($A241,'ПР 01-02.22'!$A$11:$BB$378,34,FALSE)</f>
        <v>0</v>
      </c>
      <c r="AI241" s="5">
        <f>VLOOKUP($A241,'ПР 01-02.21'!$A$11:$BB$406,35,FALSE)+VLOOKUP($A241,'ПР 21-22'!$A$11:$BB$406,35,FALSE)-VLOOKUP($A241,'ПР 01-02.22'!$A$11:$BB$378,35,FALSE)</f>
        <v>0</v>
      </c>
      <c r="AJ241" s="40"/>
      <c r="AK241" s="5">
        <f>VLOOKUP($A241,'ПР 01-02.21'!$A$11:$BB$406,37,FALSE)+VLOOKUP($A241,'ПР 21-22'!$A$11:$BB$406,37,FALSE)-VLOOKUP($A241,'ПР 01-02.22'!$A$11:$BB$378,37,FALSE)</f>
        <v>0</v>
      </c>
      <c r="AL241" s="5">
        <f>VLOOKUP($A241,'ПР 01-02.21'!$A$11:$BB$406,38,FALSE)+VLOOKUP($A241,'ПР 21-22'!$A$11:$BB$406,38,FALSE)-VLOOKUP($A241,'ПР 01-02.22'!$A$11:$BB$378,38,FALSE)</f>
        <v>0</v>
      </c>
      <c r="AM241" s="40"/>
      <c r="AN241" s="5">
        <f>VLOOKUP($A241,'ПР 01-02.21'!$A$11:$BB$406,40,FALSE)+VLOOKUP($A241,'ПР 21-22'!$A$11:$BB$406,40,FALSE)-VLOOKUP($A241,'ПР 01-02.22'!$A$11:$BB$378,40,FALSE)</f>
        <v>0</v>
      </c>
      <c r="AO241" s="5">
        <f>VLOOKUP($A241,'ПР 01-02.21'!$A$11:$BB$406,41,FALSE)+VLOOKUP($A241,'ПР 21-22'!$A$11:$BB$406,41,FALSE)-VLOOKUP($A241,'ПР 01-02.22'!$A$11:$BB$378,41,FALSE)</f>
        <v>0</v>
      </c>
      <c r="AP241" s="40"/>
      <c r="AQ241" s="5">
        <f>VLOOKUP($A241,'ПР 01-02.21'!$A$11:$BB$406,43,FALSE)+VLOOKUP($A241,'ПР 21-22'!$A$11:$BB$406,43,FALSE)-VLOOKUP($A241,'ПР 01-02.22'!$A$11:$BB$378,43,FALSE)</f>
        <v>0</v>
      </c>
      <c r="AR241" s="5">
        <f>VLOOKUP($A241,'ПР 01-02.21'!$A$11:$BB$406,44,FALSE)+VLOOKUP($A241,'ПР 21-22'!$A$11:$BB$406,44,FALSE)-VLOOKUP($A241,'ПР 01-02.22'!$A$11:$BB$378,44,FALSE)</f>
        <v>0</v>
      </c>
      <c r="AS241" s="40"/>
      <c r="AT241" s="5">
        <f>VLOOKUP($A241,'ПР 01-02.21'!$A$11:$BB$406,46,FALSE)+VLOOKUP($A241,'ПР 21-22'!$A$11:$BB$406,46,FALSE)-VLOOKUP($A241,'ПР 01-02.22'!$A$11:$BB$378,46,FALSE)</f>
        <v>0</v>
      </c>
      <c r="AU241" s="5">
        <f>VLOOKUP($A241,'ПР 01-02.21'!$A$11:$BB$406,47,FALSE)+VLOOKUP($A241,'ПР 21-22'!$A$11:$BB$406,47,FALSE)-VLOOKUP($A241,'ПР 01-02.22'!$A$11:$BB$378,47,FALSE)</f>
        <v>0</v>
      </c>
      <c r="AV241" s="40"/>
      <c r="AW241" s="5">
        <f>VLOOKUP($A241,'ПР 01-02.21'!$A$11:$BB$406,49,FALSE)+VLOOKUP($A241,'ПР 21-22'!$A$11:$BB$406,49,FALSE)-VLOOKUP($A241,'ПР 01-02.22'!$A$11:$BB$378,49,FALSE)</f>
        <v>16.883488626995732</v>
      </c>
      <c r="AX241" s="5">
        <f>VLOOKUP($A241,'ПР 01-02.21'!$A$11:$BB$406,50,FALSE)+VLOOKUP($A241,'ПР 21-22'!$A$11:$BB$406,50,FALSE)-VLOOKUP($A241,'ПР 01-02.22'!$A$11:$BB$378,50,FALSE)</f>
        <v>0</v>
      </c>
      <c r="AY241" s="40"/>
      <c r="AZ241" s="40">
        <f t="shared" si="13"/>
        <v>16.883488626995732</v>
      </c>
      <c r="BA241" s="40">
        <f t="shared" si="13"/>
        <v>0</v>
      </c>
      <c r="BB241" s="55">
        <f t="shared" si="16"/>
        <v>-16.883488626995732</v>
      </c>
      <c r="BD241" s="2">
        <v>1</v>
      </c>
      <c r="BF241" s="325">
        <v>150000944</v>
      </c>
    </row>
    <row r="242" spans="1:58" ht="24.9" customHeight="1" x14ac:dyDescent="0.3">
      <c r="A242" s="325">
        <v>150000945</v>
      </c>
      <c r="B242" s="445" t="s">
        <v>422</v>
      </c>
      <c r="C242" s="27">
        <v>10</v>
      </c>
      <c r="D242" s="101" t="s">
        <v>455</v>
      </c>
      <c r="E242" s="279">
        <f>'побудинковий звіт'!E240</f>
        <v>6742.76</v>
      </c>
      <c r="F242" s="441">
        <f>'побудинковий звіт'!AS240</f>
        <v>78492.303709901142</v>
      </c>
      <c r="G242" s="441">
        <f t="shared" si="14"/>
        <v>69337.58</v>
      </c>
      <c r="H242" s="73">
        <f t="shared" si="15"/>
        <v>-9154.72370990114</v>
      </c>
      <c r="I242" s="5">
        <f>VLOOKUP($A242,'ПР 01-02.21'!$A$11:$BB$406,9,FALSE)+VLOOKUP($A242,'ПР 21-22'!$A$11:$BB$406,9,FALSE)-VLOOKUP($A242,'ПР 01-02.22'!$A$11:$BB$378,9,FALSE)</f>
        <v>21.6</v>
      </c>
      <c r="J242" s="5">
        <f>VLOOKUP($A242,'ПР 01-02.21'!$A$11:$BB$406,10,FALSE)+VLOOKUP($A242,'ПР 21-22'!$A$11:$BB$406,10,FALSE)-VLOOKUP($A242,'ПР 01-02.22'!$A$11:$BB$378,10,FALSE)</f>
        <v>4776.96</v>
      </c>
      <c r="K242" s="450"/>
      <c r="L242" s="5">
        <f>VLOOKUP($A242,'ПР 01-02.21'!$A$11:$BB$406,12,FALSE)+VLOOKUP($A242,'ПР 21-22'!$A$11:$BB$406,12,FALSE)-VLOOKUP($A242,'ПР 01-02.22'!$A$11:$BB$378,12,FALSE)</f>
        <v>0</v>
      </c>
      <c r="M242" s="5">
        <f>VLOOKUP($A242,'ПР 01-02.21'!$A$11:$BB$406,13,FALSE)+VLOOKUP($A242,'ПР 21-22'!$A$11:$BB$406,13,FALSE)-VLOOKUP($A242,'ПР 01-02.22'!$A$11:$BB$378,13,FALSE)</f>
        <v>117.2</v>
      </c>
      <c r="N242" s="38"/>
      <c r="O242" s="5">
        <f>VLOOKUP($A242,'ПР 01-02.21'!$A$11:$BB$406,15,FALSE)+VLOOKUP($A242,'ПР 21-22'!$A$11:$BB$406,15,FALSE)-VLOOKUP($A242,'ПР 01-02.22'!$A$11:$BB$378,15,FALSE)</f>
        <v>0</v>
      </c>
      <c r="P242" s="5">
        <f>VLOOKUP($A242,'ПР 01-02.21'!$A$11:$BB$406,16,FALSE)+VLOOKUP($A242,'ПР 21-22'!$A$11:$BB$406,16,FALSE)-VLOOKUP($A242,'ПР 01-02.22'!$A$11:$BB$378,16,FALSE)</f>
        <v>0</v>
      </c>
      <c r="Q242" s="443"/>
      <c r="R242" s="5">
        <f>VLOOKUP($A242,'ПР 01-02.21'!$A$11:$BB$406,18,FALSE)+VLOOKUP($A242,'ПР 21-22'!$A$11:$BB$406,18,FALSE)-VLOOKUP($A242,'ПР 01-02.22'!$A$11:$BB$378,18,FALSE)</f>
        <v>4</v>
      </c>
      <c r="S242" s="5">
        <f>VLOOKUP($A242,'ПР 01-02.21'!$A$11:$BB$406,19,FALSE)+VLOOKUP($A242,'ПР 21-22'!$A$11:$BB$406,19,FALSE)-VLOOKUP($A242,'ПР 01-02.22'!$A$11:$BB$378,19,FALSE)</f>
        <v>45347</v>
      </c>
      <c r="T242" s="444"/>
      <c r="U242" s="5">
        <f>VLOOKUP($A242,'ПР 01-02.21'!$A$11:$BB$406,21,FALSE)+VLOOKUP($A242,'ПР 21-22'!$A$11:$BB$406,21,FALSE)-VLOOKUP($A242,'ПР 01-02.22'!$A$11:$BB$378,21,FALSE)</f>
        <v>0</v>
      </c>
      <c r="V242" s="5"/>
      <c r="W242" s="5">
        <f>VLOOKUP($A242,'ПР 01-02.21'!$A$11:$BB$406,23,FALSE)+VLOOKUP($A242,'ПР 21-22'!$A$11:$BB$406,23,FALSE)-VLOOKUP($A242,'ПР 01-02.22'!$A$11:$BB$378,23,FALSE)</f>
        <v>0</v>
      </c>
      <c r="X242" s="5">
        <f>VLOOKUP($A242,'ПР 01-02.21'!$A$11:$BB$406,24,FALSE)+VLOOKUP($A242,'ПР 21-22'!$A$11:$BB$406,24,FALSE)-VLOOKUP($A242,'ПР 01-02.22'!$A$11:$BB$378,24,FALSE)</f>
        <v>0</v>
      </c>
      <c r="Y242" s="5">
        <f>VLOOKUP($A242,'ПР 01-02.21'!$A$11:$BB$406,25,FALSE)+VLOOKUP($A242,'ПР 21-22'!$A$11:$BB$406,25,FALSE)-VLOOKUP($A242,'ПР 01-02.22'!$A$11:$BB$378,25,FALSE)</f>
        <v>2649</v>
      </c>
      <c r="Z242" s="5"/>
      <c r="AA242" s="5">
        <f>VLOOKUP($A242,'ПР 01-02.21'!$A$11:$BB$406,27,FALSE)+VLOOKUP($A242,'ПР 21-22'!$A$11:$BB$406,27,FALSE)-VLOOKUP($A242,'ПР 01-02.22'!$A$11:$BB$378,27,FALSE)</f>
        <v>0</v>
      </c>
      <c r="AB242" s="5">
        <f>VLOOKUP($A242,'ПР 01-02.21'!$A$11:$BB$406,28,FALSE)+VLOOKUP($A242,'ПР 21-22'!$A$11:$BB$406,28,FALSE)-VLOOKUP($A242,'ПР 01-02.22'!$A$11:$BB$378,28,FALSE)</f>
        <v>2963.19</v>
      </c>
      <c r="AC242" s="5">
        <f>VLOOKUP($A242,'ПР 01-02.21'!$A$11:$BB$406,29,FALSE)+VLOOKUP($A242,'ПР 21-22'!$A$11:$BB$406,29,FALSE)-VLOOKUP($A242,'ПР 01-02.22'!$A$11:$BB$378,29,FALSE)</f>
        <v>0</v>
      </c>
      <c r="AD242" s="5">
        <f>VLOOKUP($A242,'ПР 01-02.21'!$A$11:$BB$406,30,FALSE)+VLOOKUP($A242,'ПР 21-22'!$A$11:$BB$406,30,FALSE)-VLOOKUP($A242,'ПР 01-02.22'!$A$11:$BB$378,30,FALSE)</f>
        <v>13484.23</v>
      </c>
      <c r="AE242" s="5">
        <f>VLOOKUP($A242,'ПР 01-02.21'!$A$11:$BB$406,31,FALSE)+VLOOKUP($A242,'ПР 21-22'!$A$11:$BB$406,31,FALSE)-VLOOKUP($A242,'ПР 01-02.22'!$A$11:$BB$378,31,FALSE)</f>
        <v>5023.0707080853354</v>
      </c>
      <c r="AF242" s="5">
        <f>VLOOKUP($A242,'ПР 01-02.21'!$A$11:$BB$406,32,FALSE)+VLOOKUP($A242,'ПР 21-22'!$A$11:$BB$406,32,FALSE)-VLOOKUP($A242,'ПР 01-02.22'!$A$11:$BB$378,32,FALSE)</f>
        <v>2703.76</v>
      </c>
      <c r="AG242" s="40"/>
      <c r="AH242" s="5">
        <f>VLOOKUP($A242,'ПР 01-02.21'!$A$11:$BB$406,34,FALSE)+VLOOKUP($A242,'ПР 21-22'!$A$11:$BB$406,34,FALSE)-VLOOKUP($A242,'ПР 01-02.22'!$A$11:$BB$378,34,FALSE)</f>
        <v>5449.7270546629225</v>
      </c>
      <c r="AI242" s="5">
        <f>VLOOKUP($A242,'ПР 01-02.21'!$A$11:$BB$406,35,FALSE)+VLOOKUP($A242,'ПР 21-22'!$A$11:$BB$406,35,FALSE)-VLOOKUP($A242,'ПР 01-02.22'!$A$11:$BB$378,35,FALSE)</f>
        <v>4896</v>
      </c>
      <c r="AJ242" s="40"/>
      <c r="AK242" s="5">
        <f>VLOOKUP($A242,'ПР 01-02.21'!$A$11:$BB$406,37,FALSE)+VLOOKUP($A242,'ПР 21-22'!$A$11:$BB$406,37,FALSE)-VLOOKUP($A242,'ПР 01-02.22'!$A$11:$BB$378,37,FALSE)</f>
        <v>2895.0434632086349</v>
      </c>
      <c r="AL242" s="5">
        <f>VLOOKUP($A242,'ПР 01-02.21'!$A$11:$BB$406,38,FALSE)+VLOOKUP($A242,'ПР 21-22'!$A$11:$BB$406,38,FALSE)-VLOOKUP($A242,'ПР 01-02.22'!$A$11:$BB$378,38,FALSE)</f>
        <v>0</v>
      </c>
      <c r="AM242" s="40"/>
      <c r="AN242" s="5">
        <f>VLOOKUP($A242,'ПР 01-02.21'!$A$11:$BB$406,40,FALSE)+VLOOKUP($A242,'ПР 21-22'!$A$11:$BB$406,40,FALSE)-VLOOKUP($A242,'ПР 01-02.22'!$A$11:$BB$378,40,FALSE)</f>
        <v>4384.627446079041</v>
      </c>
      <c r="AO242" s="5">
        <f>VLOOKUP($A242,'ПР 01-02.21'!$A$11:$BB$406,41,FALSE)+VLOOKUP($A242,'ПР 21-22'!$A$11:$BB$406,41,FALSE)-VLOOKUP($A242,'ПР 01-02.22'!$A$11:$BB$378,41,FALSE)</f>
        <v>0</v>
      </c>
      <c r="AP242" s="40"/>
      <c r="AQ242" s="5">
        <f>VLOOKUP($A242,'ПР 01-02.21'!$A$11:$BB$406,43,FALSE)+VLOOKUP($A242,'ПР 21-22'!$A$11:$BB$406,43,FALSE)-VLOOKUP($A242,'ПР 01-02.22'!$A$11:$BB$378,43,FALSE)</f>
        <v>2044.2042454330617</v>
      </c>
      <c r="AR242" s="5">
        <f>VLOOKUP($A242,'ПР 01-02.21'!$A$11:$BB$406,44,FALSE)+VLOOKUP($A242,'ПР 21-22'!$A$11:$BB$406,44,FALSE)-VLOOKUP($A242,'ПР 01-02.22'!$A$11:$BB$378,44,FALSE)</f>
        <v>363</v>
      </c>
      <c r="AS242" s="40"/>
      <c r="AT242" s="5">
        <f>VLOOKUP($A242,'ПР 01-02.21'!$A$11:$BB$406,46,FALSE)+VLOOKUP($A242,'ПР 21-22'!$A$11:$BB$406,46,FALSE)-VLOOKUP($A242,'ПР 01-02.22'!$A$11:$BB$378,46,FALSE)</f>
        <v>2879.5290702075026</v>
      </c>
      <c r="AU242" s="5">
        <f>VLOOKUP($A242,'ПР 01-02.21'!$A$11:$BB$406,47,FALSE)+VLOOKUP($A242,'ПР 21-22'!$A$11:$BB$406,47,FALSE)-VLOOKUP($A242,'ПР 01-02.22'!$A$11:$BB$378,47,FALSE)</f>
        <v>2467</v>
      </c>
      <c r="AV242" s="40"/>
      <c r="AW242" s="5">
        <f>VLOOKUP($A242,'ПР 01-02.21'!$A$11:$BB$406,49,FALSE)+VLOOKUP($A242,'ПР 21-22'!$A$11:$BB$406,49,FALSE)-VLOOKUP($A242,'ПР 01-02.22'!$A$11:$BB$378,49,FALSE)</f>
        <v>627.44538540716269</v>
      </c>
      <c r="AX242" s="5">
        <f>VLOOKUP($A242,'ПР 01-02.21'!$A$11:$BB$406,50,FALSE)+VLOOKUP($A242,'ПР 21-22'!$A$11:$BB$406,50,FALSE)-VLOOKUP($A242,'ПР 01-02.22'!$A$11:$BB$378,50,FALSE)</f>
        <v>0</v>
      </c>
      <c r="AY242" s="40"/>
      <c r="AZ242" s="40">
        <f t="shared" si="13"/>
        <v>23303.647373083659</v>
      </c>
      <c r="BA242" s="40">
        <f t="shared" si="13"/>
        <v>10429.76</v>
      </c>
      <c r="BB242" s="55">
        <f t="shared" si="16"/>
        <v>-12873.887373083659</v>
      </c>
      <c r="BD242" s="2">
        <v>1</v>
      </c>
      <c r="BF242" s="325">
        <v>150000945</v>
      </c>
    </row>
    <row r="243" spans="1:58" ht="24.9" customHeight="1" x14ac:dyDescent="0.3">
      <c r="A243" s="325">
        <v>150000946</v>
      </c>
      <c r="B243" s="445" t="s">
        <v>125</v>
      </c>
      <c r="C243" s="27">
        <v>1</v>
      </c>
      <c r="D243" s="101" t="s">
        <v>455</v>
      </c>
      <c r="E243" s="279">
        <f>'побудинковий звіт'!E241</f>
        <v>100.2</v>
      </c>
      <c r="F243" s="441">
        <f>'побудинковий звіт'!AS241</f>
        <v>0</v>
      </c>
      <c r="G243" s="441">
        <f t="shared" si="14"/>
        <v>0</v>
      </c>
      <c r="H243" s="73">
        <f t="shared" si="15"/>
        <v>0</v>
      </c>
      <c r="I243" s="5"/>
      <c r="J243" s="5"/>
      <c r="K243" s="446"/>
      <c r="L243" s="5"/>
      <c r="M243" s="5"/>
      <c r="N243" s="38"/>
      <c r="O243" s="5"/>
      <c r="P243" s="5"/>
      <c r="Q243" s="443"/>
      <c r="R243" s="5"/>
      <c r="S243" s="5"/>
      <c r="T243" s="444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40"/>
      <c r="AH243" s="5"/>
      <c r="AI243" s="5"/>
      <c r="AJ243" s="40"/>
      <c r="AK243" s="5"/>
      <c r="AL243" s="5"/>
      <c r="AM243" s="40"/>
      <c r="AN243" s="5"/>
      <c r="AO243" s="5"/>
      <c r="AP243" s="40"/>
      <c r="AQ243" s="5"/>
      <c r="AR243" s="5"/>
      <c r="AS243" s="40"/>
      <c r="AT243" s="5"/>
      <c r="AU243" s="5"/>
      <c r="AV243" s="40"/>
      <c r="AW243" s="5"/>
      <c r="AX243" s="5"/>
      <c r="AY243" s="40"/>
      <c r="AZ243" s="40">
        <f t="shared" si="13"/>
        <v>0</v>
      </c>
      <c r="BA243" s="40">
        <f t="shared" si="13"/>
        <v>0</v>
      </c>
      <c r="BB243" s="55">
        <f t="shared" si="16"/>
        <v>0</v>
      </c>
      <c r="BD243" s="2">
        <v>1</v>
      </c>
      <c r="BF243" s="325">
        <v>150000946</v>
      </c>
    </row>
    <row r="244" spans="1:58" ht="24.9" customHeight="1" x14ac:dyDescent="0.3">
      <c r="A244" s="325">
        <v>150000947</v>
      </c>
      <c r="B244" s="445" t="s">
        <v>269</v>
      </c>
      <c r="C244" s="27">
        <v>5</v>
      </c>
      <c r="D244" s="101" t="s">
        <v>455</v>
      </c>
      <c r="E244" s="279">
        <f>'побудинковий звіт'!E242</f>
        <v>3267.3</v>
      </c>
      <c r="F244" s="441">
        <f>'побудинковий звіт'!AS242</f>
        <v>37321.542662433007</v>
      </c>
      <c r="G244" s="441">
        <f t="shared" si="14"/>
        <v>13108.15</v>
      </c>
      <c r="H244" s="73">
        <f t="shared" si="15"/>
        <v>-24213.392662433005</v>
      </c>
      <c r="I244" s="5">
        <f>VLOOKUP($A244,'ПР 01-02.21'!$A$11:$BB$406,9,FALSE)+VLOOKUP($A244,'ПР 21-22'!$A$11:$BB$406,9,FALSE)-VLOOKUP($A244,'ПР 01-02.22'!$A$11:$BB$378,9,FALSE)</f>
        <v>10</v>
      </c>
      <c r="J244" s="5">
        <f>VLOOKUP($A244,'ПР 01-02.21'!$A$11:$BB$406,10,FALSE)+VLOOKUP($A244,'ПР 21-22'!$A$11:$BB$406,10,FALSE)-VLOOKUP($A244,'ПР 01-02.22'!$A$11:$BB$378,10,FALSE)</f>
        <v>10146</v>
      </c>
      <c r="K244" s="446"/>
      <c r="L244" s="5">
        <f>VLOOKUP($A244,'ПР 01-02.21'!$A$11:$BB$406,12,FALSE)+VLOOKUP($A244,'ПР 21-22'!$A$11:$BB$406,12,FALSE)-VLOOKUP($A244,'ПР 01-02.22'!$A$11:$BB$378,12,FALSE)</f>
        <v>0</v>
      </c>
      <c r="M244" s="5">
        <f>VLOOKUP($A244,'ПР 01-02.21'!$A$11:$BB$406,13,FALSE)+VLOOKUP($A244,'ПР 21-22'!$A$11:$BB$406,13,FALSE)-VLOOKUP($A244,'ПР 01-02.22'!$A$11:$BB$378,13,FALSE)</f>
        <v>0</v>
      </c>
      <c r="N244" s="38"/>
      <c r="O244" s="5">
        <f>VLOOKUP($A244,'ПР 01-02.21'!$A$11:$BB$406,15,FALSE)+VLOOKUP($A244,'ПР 21-22'!$A$11:$BB$406,15,FALSE)-VLOOKUP($A244,'ПР 01-02.22'!$A$11:$BB$378,15,FALSE)</f>
        <v>0</v>
      </c>
      <c r="P244" s="5">
        <f>VLOOKUP($A244,'ПР 01-02.21'!$A$11:$BB$406,16,FALSE)+VLOOKUP($A244,'ПР 21-22'!$A$11:$BB$406,16,FALSE)-VLOOKUP($A244,'ПР 01-02.22'!$A$11:$BB$378,16,FALSE)</f>
        <v>0</v>
      </c>
      <c r="Q244" s="443"/>
      <c r="R244" s="5">
        <f>VLOOKUP($A244,'ПР 01-02.21'!$A$11:$BB$406,18,FALSE)+VLOOKUP($A244,'ПР 21-22'!$A$11:$BB$406,18,FALSE)-VLOOKUP($A244,'ПР 01-02.22'!$A$11:$BB$378,18,FALSE)</f>
        <v>0</v>
      </c>
      <c r="S244" s="5">
        <f>VLOOKUP($A244,'ПР 01-02.21'!$A$11:$BB$406,19,FALSE)+VLOOKUP($A244,'ПР 21-22'!$A$11:$BB$406,19,FALSE)-VLOOKUP($A244,'ПР 01-02.22'!$A$11:$BB$378,19,FALSE)</f>
        <v>0</v>
      </c>
      <c r="T244" s="444"/>
      <c r="U244" s="5">
        <f>VLOOKUP($A244,'ПР 01-02.21'!$A$11:$BB$406,21,FALSE)+VLOOKUP($A244,'ПР 21-22'!$A$11:$BB$406,21,FALSE)-VLOOKUP($A244,'ПР 01-02.22'!$A$11:$BB$378,21,FALSE)</f>
        <v>0</v>
      </c>
      <c r="V244" s="5"/>
      <c r="W244" s="5">
        <f>VLOOKUP($A244,'ПР 01-02.21'!$A$11:$BB$406,23,FALSE)+VLOOKUP($A244,'ПР 21-22'!$A$11:$BB$406,23,FALSE)-VLOOKUP($A244,'ПР 01-02.22'!$A$11:$BB$378,23,FALSE)</f>
        <v>0</v>
      </c>
      <c r="X244" s="5">
        <f>VLOOKUP($A244,'ПР 01-02.21'!$A$11:$BB$406,24,FALSE)+VLOOKUP($A244,'ПР 21-22'!$A$11:$BB$406,24,FALSE)-VLOOKUP($A244,'ПР 01-02.22'!$A$11:$BB$378,24,FALSE)</f>
        <v>0</v>
      </c>
      <c r="Y244" s="5">
        <f>VLOOKUP($A244,'ПР 01-02.21'!$A$11:$BB$406,25,FALSE)+VLOOKUP($A244,'ПР 21-22'!$A$11:$BB$406,25,FALSE)-VLOOKUP($A244,'ПР 01-02.22'!$A$11:$BB$378,25,FALSE)</f>
        <v>141</v>
      </c>
      <c r="Z244" s="5"/>
      <c r="AA244" s="5">
        <f>VLOOKUP($A244,'ПР 01-02.21'!$A$11:$BB$406,27,FALSE)+VLOOKUP($A244,'ПР 21-22'!$A$11:$BB$406,27,FALSE)-VLOOKUP($A244,'ПР 01-02.22'!$A$11:$BB$378,27,FALSE)</f>
        <v>0</v>
      </c>
      <c r="AB244" s="5">
        <f>VLOOKUP($A244,'ПР 01-02.21'!$A$11:$BB$406,28,FALSE)+VLOOKUP($A244,'ПР 21-22'!$A$11:$BB$406,28,FALSE)-VLOOKUP($A244,'ПР 01-02.22'!$A$11:$BB$378,28,FALSE)</f>
        <v>1155.4000000000001</v>
      </c>
      <c r="AC244" s="5">
        <f>VLOOKUP($A244,'ПР 01-02.21'!$A$11:$BB$406,29,FALSE)+VLOOKUP($A244,'ПР 21-22'!$A$11:$BB$406,29,FALSE)-VLOOKUP($A244,'ПР 01-02.22'!$A$11:$BB$378,29,FALSE)</f>
        <v>697.75</v>
      </c>
      <c r="AD244" s="5">
        <f>VLOOKUP($A244,'ПР 01-02.21'!$A$11:$BB$406,30,FALSE)+VLOOKUP($A244,'ПР 21-22'!$A$11:$BB$406,30,FALSE)-VLOOKUP($A244,'ПР 01-02.22'!$A$11:$BB$378,30,FALSE)</f>
        <v>968</v>
      </c>
      <c r="AE244" s="5">
        <f>VLOOKUP($A244,'ПР 01-02.21'!$A$11:$BB$406,31,FALSE)+VLOOKUP($A244,'ПР 21-22'!$A$11:$BB$406,31,FALSE)-VLOOKUP($A244,'ПР 01-02.22'!$A$11:$BB$378,31,FALSE)</f>
        <v>3088.8327913625208</v>
      </c>
      <c r="AF244" s="5">
        <f>VLOOKUP($A244,'ПР 01-02.21'!$A$11:$BB$406,32,FALSE)+VLOOKUP($A244,'ПР 21-22'!$A$11:$BB$406,32,FALSE)-VLOOKUP($A244,'ПР 01-02.22'!$A$11:$BB$378,32,FALSE)</f>
        <v>246</v>
      </c>
      <c r="AG244" s="40"/>
      <c r="AH244" s="5">
        <f>VLOOKUP($A244,'ПР 01-02.21'!$A$11:$BB$406,34,FALSE)+VLOOKUP($A244,'ПР 21-22'!$A$11:$BB$406,34,FALSE)-VLOOKUP($A244,'ПР 01-02.22'!$A$11:$BB$378,34,FALSE)</f>
        <v>4276.7851553971868</v>
      </c>
      <c r="AI244" s="5">
        <f>VLOOKUP($A244,'ПР 01-02.21'!$A$11:$BB$406,35,FALSE)+VLOOKUP($A244,'ПР 21-22'!$A$11:$BB$406,35,FALSE)-VLOOKUP($A244,'ПР 01-02.22'!$A$11:$BB$378,35,FALSE)</f>
        <v>1402</v>
      </c>
      <c r="AJ244" s="40"/>
      <c r="AK244" s="5">
        <f>VLOOKUP($A244,'ПР 01-02.21'!$A$11:$BB$406,37,FALSE)+VLOOKUP($A244,'ПР 21-22'!$A$11:$BB$406,37,FALSE)-VLOOKUP($A244,'ПР 01-02.22'!$A$11:$BB$378,37,FALSE)</f>
        <v>1803.6764639010162</v>
      </c>
      <c r="AL244" s="5">
        <f>VLOOKUP($A244,'ПР 01-02.21'!$A$11:$BB$406,38,FALSE)+VLOOKUP($A244,'ПР 21-22'!$A$11:$BB$406,38,FALSE)-VLOOKUP($A244,'ПР 01-02.22'!$A$11:$BB$378,38,FALSE)</f>
        <v>0</v>
      </c>
      <c r="AM244" s="40"/>
      <c r="AN244" s="5">
        <f>VLOOKUP($A244,'ПР 01-02.21'!$A$11:$BB$406,40,FALSE)+VLOOKUP($A244,'ПР 21-22'!$A$11:$BB$406,40,FALSE)-VLOOKUP($A244,'ПР 01-02.22'!$A$11:$BB$378,40,FALSE)</f>
        <v>2502.7504140120618</v>
      </c>
      <c r="AO244" s="5">
        <f>VLOOKUP($A244,'ПР 01-02.21'!$A$11:$BB$406,41,FALSE)+VLOOKUP($A244,'ПР 21-22'!$A$11:$BB$406,41,FALSE)-VLOOKUP($A244,'ПР 01-02.22'!$A$11:$BB$378,41,FALSE)</f>
        <v>0</v>
      </c>
      <c r="AP244" s="40"/>
      <c r="AQ244" s="5">
        <f>VLOOKUP($A244,'ПР 01-02.21'!$A$11:$BB$406,43,FALSE)+VLOOKUP($A244,'ПР 21-22'!$A$11:$BB$406,43,FALSE)-VLOOKUP($A244,'ПР 01-02.22'!$A$11:$BB$378,43,FALSE)</f>
        <v>1369.6639710151376</v>
      </c>
      <c r="AR244" s="5">
        <f>VLOOKUP($A244,'ПР 01-02.21'!$A$11:$BB$406,44,FALSE)+VLOOKUP($A244,'ПР 21-22'!$A$11:$BB$406,44,FALSE)-VLOOKUP($A244,'ПР 01-02.22'!$A$11:$BB$378,44,FALSE)</f>
        <v>0</v>
      </c>
      <c r="AS244" s="40"/>
      <c r="AT244" s="5">
        <f>VLOOKUP($A244,'ПР 01-02.21'!$A$11:$BB$406,46,FALSE)+VLOOKUP($A244,'ПР 21-22'!$A$11:$BB$406,46,FALSE)-VLOOKUP($A244,'ПР 01-02.22'!$A$11:$BB$378,46,FALSE)</f>
        <v>2234.8961031122358</v>
      </c>
      <c r="AU244" s="5">
        <f>VLOOKUP($A244,'ПР 01-02.21'!$A$11:$BB$406,47,FALSE)+VLOOKUP($A244,'ПР 21-22'!$A$11:$BB$406,47,FALSE)-VLOOKUP($A244,'ПР 01-02.22'!$A$11:$BB$378,47,FALSE)</f>
        <v>248</v>
      </c>
      <c r="AV244" s="40"/>
      <c r="AW244" s="5">
        <f>VLOOKUP($A244,'ПР 01-02.21'!$A$11:$BB$406,49,FALSE)+VLOOKUP($A244,'ПР 21-22'!$A$11:$BB$406,49,FALSE)-VLOOKUP($A244,'ПР 01-02.22'!$A$11:$BB$378,49,FALSE)</f>
        <v>566.43018137443642</v>
      </c>
      <c r="AX244" s="5">
        <f>VLOOKUP($A244,'ПР 01-02.21'!$A$11:$BB$406,50,FALSE)+VLOOKUP($A244,'ПР 21-22'!$A$11:$BB$406,50,FALSE)-VLOOKUP($A244,'ПР 01-02.22'!$A$11:$BB$378,50,FALSE)</f>
        <v>0</v>
      </c>
      <c r="AY244" s="40"/>
      <c r="AZ244" s="40">
        <f t="shared" si="13"/>
        <v>15843.035080174597</v>
      </c>
      <c r="BA244" s="40">
        <f t="shared" si="13"/>
        <v>1896</v>
      </c>
      <c r="BB244" s="55">
        <f t="shared" si="16"/>
        <v>-13947.035080174597</v>
      </c>
      <c r="BD244" s="2">
        <v>1</v>
      </c>
      <c r="BF244" s="325">
        <v>150000947</v>
      </c>
    </row>
    <row r="245" spans="1:58" ht="24.9" customHeight="1" x14ac:dyDescent="0.3">
      <c r="A245" s="325">
        <v>150000948</v>
      </c>
      <c r="B245" s="445" t="s">
        <v>384</v>
      </c>
      <c r="C245" s="27">
        <v>9</v>
      </c>
      <c r="D245" s="101" t="s">
        <v>455</v>
      </c>
      <c r="E245" s="279">
        <f>'побудинковий звіт'!E243</f>
        <v>6615</v>
      </c>
      <c r="F245" s="441">
        <f>'побудинковий звіт'!AS243</f>
        <v>80902.781464706408</v>
      </c>
      <c r="G245" s="441">
        <f t="shared" si="14"/>
        <v>147981.78133877704</v>
      </c>
      <c r="H245" s="73">
        <f t="shared" si="15"/>
        <v>67078.999874070636</v>
      </c>
      <c r="I245" s="5">
        <f>VLOOKUP($A245,'ПР 01-02.21'!$A$11:$BB$406,9,FALSE)+VLOOKUP($A245,'ПР 21-22'!$A$11:$BB$406,9,FALSE)-VLOOKUP($A245,'ПР 01-02.22'!$A$11:$BB$378,9,FALSE)</f>
        <v>0</v>
      </c>
      <c r="J245" s="5">
        <f>VLOOKUP($A245,'ПР 01-02.21'!$A$11:$BB$406,10,FALSE)+VLOOKUP($A245,'ПР 21-22'!$A$11:$BB$406,10,FALSE)-VLOOKUP($A245,'ПР 01-02.22'!$A$11:$BB$378,10,FALSE)</f>
        <v>0</v>
      </c>
      <c r="K245" s="446"/>
      <c r="L245" s="5">
        <f>VLOOKUP($A245,'ПР 01-02.21'!$A$11:$BB$406,12,FALSE)+VLOOKUP($A245,'ПР 21-22'!$A$11:$BB$406,12,FALSE)-VLOOKUP($A245,'ПР 01-02.22'!$A$11:$BB$378,12,FALSE)</f>
        <v>3</v>
      </c>
      <c r="M245" s="5">
        <f>VLOOKUP($A245,'ПР 01-02.21'!$A$11:$BB$406,13,FALSE)+VLOOKUP($A245,'ПР 21-22'!$A$11:$BB$406,13,FALSE)-VLOOKUP($A245,'ПР 01-02.22'!$A$11:$BB$378,13,FALSE)</f>
        <v>33561</v>
      </c>
      <c r="N245" s="38"/>
      <c r="O245" s="5">
        <f>VLOOKUP($A245,'ПР 01-02.21'!$A$11:$BB$406,15,FALSE)+VLOOKUP($A245,'ПР 21-22'!$A$11:$BB$406,15,FALSE)-VLOOKUP($A245,'ПР 01-02.22'!$A$11:$BB$378,15,FALSE)</f>
        <v>13</v>
      </c>
      <c r="P245" s="5">
        <f>VLOOKUP($A245,'ПР 01-02.21'!$A$11:$BB$406,16,FALSE)+VLOOKUP($A245,'ПР 21-22'!$A$11:$BB$406,16,FALSE)-VLOOKUP($A245,'ПР 01-02.22'!$A$11:$BB$378,16,FALSE)</f>
        <v>5307</v>
      </c>
      <c r="Q245" s="443"/>
      <c r="R245" s="5">
        <f>VLOOKUP($A245,'ПР 01-02.21'!$A$11:$BB$406,18,FALSE)+VLOOKUP($A245,'ПР 21-22'!$A$11:$BB$406,18,FALSE)-VLOOKUP($A245,'ПР 01-02.22'!$A$11:$BB$378,18,FALSE)</f>
        <v>5</v>
      </c>
      <c r="S245" s="5">
        <f>VLOOKUP($A245,'ПР 01-02.21'!$A$11:$BB$406,19,FALSE)+VLOOKUP($A245,'ПР 21-22'!$A$11:$BB$406,19,FALSE)-VLOOKUP($A245,'ПР 01-02.22'!$A$11:$BB$378,19,FALSE)</f>
        <v>77518</v>
      </c>
      <c r="T245" s="444"/>
      <c r="U245" s="5">
        <f>VLOOKUP($A245,'ПР 01-02.21'!$A$11:$BB$406,21,FALSE)+VLOOKUP($A245,'ПР 21-22'!$A$11:$BB$406,21,FALSE)-VLOOKUP($A245,'ПР 01-02.22'!$A$11:$BB$378,21,FALSE)</f>
        <v>0</v>
      </c>
      <c r="V245" s="5"/>
      <c r="W245" s="5">
        <f>VLOOKUP($A245,'ПР 01-02.21'!$A$11:$BB$406,23,FALSE)+VLOOKUP($A245,'ПР 21-22'!$A$11:$BB$406,23,FALSE)-VLOOKUP($A245,'ПР 01-02.22'!$A$11:$BB$378,23,FALSE)</f>
        <v>4</v>
      </c>
      <c r="X245" s="5">
        <f>VLOOKUP($A245,'ПР 01-02.21'!$A$11:$BB$406,24,FALSE)+VLOOKUP($A245,'ПР 21-22'!$A$11:$BB$406,24,FALSE)-VLOOKUP($A245,'ПР 01-02.22'!$A$11:$BB$378,24,FALSE)</f>
        <v>2954.5813387770163</v>
      </c>
      <c r="Y245" s="5">
        <f>VLOOKUP($A245,'ПР 01-02.21'!$A$11:$BB$406,25,FALSE)+VLOOKUP($A245,'ПР 21-22'!$A$11:$BB$406,25,FALSE)-VLOOKUP($A245,'ПР 01-02.22'!$A$11:$BB$378,25,FALSE)</f>
        <v>9304</v>
      </c>
      <c r="Z245" s="5"/>
      <c r="AA245" s="5">
        <f>VLOOKUP($A245,'ПР 01-02.21'!$A$11:$BB$406,27,FALSE)+VLOOKUP($A245,'ПР 21-22'!$A$11:$BB$406,27,FALSE)-VLOOKUP($A245,'ПР 01-02.22'!$A$11:$BB$378,27,FALSE)</f>
        <v>0</v>
      </c>
      <c r="AB245" s="5">
        <f>VLOOKUP($A245,'ПР 01-02.21'!$A$11:$BB$406,28,FALSE)+VLOOKUP($A245,'ПР 21-22'!$A$11:$BB$406,28,FALSE)-VLOOKUP($A245,'ПР 01-02.22'!$A$11:$BB$378,28,FALSE)</f>
        <v>707</v>
      </c>
      <c r="AC245" s="5">
        <f>VLOOKUP($A245,'ПР 01-02.21'!$A$11:$BB$406,29,FALSE)+VLOOKUP($A245,'ПР 21-22'!$A$11:$BB$406,29,FALSE)-VLOOKUP($A245,'ПР 01-02.22'!$A$11:$BB$378,29,FALSE)</f>
        <v>12401</v>
      </c>
      <c r="AD245" s="5">
        <f>VLOOKUP($A245,'ПР 01-02.21'!$A$11:$BB$406,30,FALSE)+VLOOKUP($A245,'ПР 21-22'!$A$11:$BB$406,30,FALSE)-VLOOKUP($A245,'ПР 01-02.22'!$A$11:$BB$378,30,FALSE)</f>
        <v>6229.2000000000007</v>
      </c>
      <c r="AE245" s="5">
        <f>VLOOKUP($A245,'ПР 01-02.21'!$A$11:$BB$406,31,FALSE)+VLOOKUP($A245,'ПР 21-22'!$A$11:$BB$406,31,FALSE)-VLOOKUP($A245,'ПР 01-02.22'!$A$11:$BB$378,31,FALSE)</f>
        <v>3603.542077359104</v>
      </c>
      <c r="AF245" s="5">
        <f>VLOOKUP($A245,'ПР 01-02.21'!$A$11:$BB$406,32,FALSE)+VLOOKUP($A245,'ПР 21-22'!$A$11:$BB$406,32,FALSE)-VLOOKUP($A245,'ПР 01-02.22'!$A$11:$BB$378,32,FALSE)</f>
        <v>2677</v>
      </c>
      <c r="AG245" s="40"/>
      <c r="AH245" s="5">
        <f>VLOOKUP($A245,'ПР 01-02.21'!$A$11:$BB$406,34,FALSE)+VLOOKUP($A245,'ПР 21-22'!$A$11:$BB$406,34,FALSE)-VLOOKUP($A245,'ПР 01-02.22'!$A$11:$BB$378,34,FALSE)</f>
        <v>4722.8030268697694</v>
      </c>
      <c r="AI245" s="5">
        <f>VLOOKUP($A245,'ПР 01-02.21'!$A$11:$BB$406,35,FALSE)+VLOOKUP($A245,'ПР 21-22'!$A$11:$BB$406,35,FALSE)-VLOOKUP($A245,'ПР 01-02.22'!$A$11:$BB$378,35,FALSE)</f>
        <v>27523.759999999998</v>
      </c>
      <c r="AJ245" s="40"/>
      <c r="AK245" s="5">
        <f>VLOOKUP($A245,'ПР 01-02.21'!$A$11:$BB$406,37,FALSE)+VLOOKUP($A245,'ПР 21-22'!$A$11:$BB$406,37,FALSE)-VLOOKUP($A245,'ПР 01-02.22'!$A$11:$BB$378,37,FALSE)</f>
        <v>2475.234591731823</v>
      </c>
      <c r="AL245" s="5">
        <f>VLOOKUP($A245,'ПР 01-02.21'!$A$11:$BB$406,38,FALSE)+VLOOKUP($A245,'ПР 21-22'!$A$11:$BB$406,38,FALSE)-VLOOKUP($A245,'ПР 01-02.22'!$A$11:$BB$378,38,FALSE)</f>
        <v>0</v>
      </c>
      <c r="AM245" s="40"/>
      <c r="AN245" s="5">
        <f>VLOOKUP($A245,'ПР 01-02.21'!$A$11:$BB$406,40,FALSE)+VLOOKUP($A245,'ПР 21-22'!$A$11:$BB$406,40,FALSE)-VLOOKUP($A245,'ПР 01-02.22'!$A$11:$BB$378,40,FALSE)</f>
        <v>3976.7337875299854</v>
      </c>
      <c r="AO245" s="5">
        <f>VLOOKUP($A245,'ПР 01-02.21'!$A$11:$BB$406,41,FALSE)+VLOOKUP($A245,'ПР 21-22'!$A$11:$BB$406,41,FALSE)-VLOOKUP($A245,'ПР 01-02.22'!$A$11:$BB$378,41,FALSE)</f>
        <v>7475.2</v>
      </c>
      <c r="AP245" s="40"/>
      <c r="AQ245" s="5">
        <f>VLOOKUP($A245,'ПР 01-02.21'!$A$11:$BB$406,43,FALSE)+VLOOKUP($A245,'ПР 21-22'!$A$11:$BB$406,43,FALSE)-VLOOKUP($A245,'ПР 01-02.22'!$A$11:$BB$378,43,FALSE)</f>
        <v>1420.934653248094</v>
      </c>
      <c r="AR245" s="5">
        <f>VLOOKUP($A245,'ПР 01-02.21'!$A$11:$BB$406,44,FALSE)+VLOOKUP($A245,'ПР 21-22'!$A$11:$BB$406,44,FALSE)-VLOOKUP($A245,'ПР 01-02.22'!$A$11:$BB$378,44,FALSE)</f>
        <v>51</v>
      </c>
      <c r="AS245" s="40"/>
      <c r="AT245" s="5">
        <f>VLOOKUP($A245,'ПР 01-02.21'!$A$11:$BB$406,46,FALSE)+VLOOKUP($A245,'ПР 21-22'!$A$11:$BB$406,46,FALSE)-VLOOKUP($A245,'ПР 01-02.22'!$A$11:$BB$378,46,FALSE)</f>
        <v>3711.6604955724297</v>
      </c>
      <c r="AU245" s="5">
        <f>VLOOKUP($A245,'ПР 01-02.21'!$A$11:$BB$406,47,FALSE)+VLOOKUP($A245,'ПР 21-22'!$A$11:$BB$406,47,FALSE)-VLOOKUP($A245,'ПР 01-02.22'!$A$11:$BB$378,47,FALSE)</f>
        <v>0</v>
      </c>
      <c r="AV245" s="40"/>
      <c r="AW245" s="5">
        <f>VLOOKUP($A245,'ПР 01-02.21'!$A$11:$BB$406,49,FALSE)+VLOOKUP($A245,'ПР 21-22'!$A$11:$BB$406,49,FALSE)-VLOOKUP($A245,'ПР 01-02.22'!$A$11:$BB$378,49,FALSE)</f>
        <v>741.86669872116033</v>
      </c>
      <c r="AX245" s="5">
        <f>VLOOKUP($A245,'ПР 01-02.21'!$A$11:$BB$406,50,FALSE)+VLOOKUP($A245,'ПР 21-22'!$A$11:$BB$406,50,FALSE)-VLOOKUP($A245,'ПР 01-02.22'!$A$11:$BB$378,50,FALSE)</f>
        <v>5933.8</v>
      </c>
      <c r="AY245" s="40"/>
      <c r="AZ245" s="40">
        <f t="shared" si="13"/>
        <v>20652.775331032368</v>
      </c>
      <c r="BA245" s="40">
        <f t="shared" si="13"/>
        <v>43660.76</v>
      </c>
      <c r="BB245" s="55">
        <f t="shared" si="16"/>
        <v>23007.984668967634</v>
      </c>
      <c r="BD245" s="2">
        <v>1</v>
      </c>
      <c r="BF245" s="325">
        <v>150000948</v>
      </c>
    </row>
    <row r="246" spans="1:58" ht="24.9" customHeight="1" x14ac:dyDescent="0.3">
      <c r="A246" s="325">
        <v>150000949</v>
      </c>
      <c r="B246" s="445" t="s">
        <v>385</v>
      </c>
      <c r="C246" s="27">
        <v>9</v>
      </c>
      <c r="D246" s="101" t="s">
        <v>455</v>
      </c>
      <c r="E246" s="279">
        <f>'побудинковий звіт'!E244</f>
        <v>9392.7999999999993</v>
      </c>
      <c r="F246" s="441">
        <f>'побудинковий звіт'!AS244</f>
        <v>128679.90503492477</v>
      </c>
      <c r="G246" s="441">
        <f t="shared" si="14"/>
        <v>37286.965253095594</v>
      </c>
      <c r="H246" s="73">
        <f t="shared" si="15"/>
        <v>-91392.939781829176</v>
      </c>
      <c r="I246" s="5">
        <f>VLOOKUP($A246,'ПР 01-02.21'!$A$11:$BB$406,9,FALSE)+VLOOKUP($A246,'ПР 21-22'!$A$11:$BB$406,9,FALSE)-VLOOKUP($A246,'ПР 01-02.22'!$A$11:$BB$378,9,FALSE)</f>
        <v>16</v>
      </c>
      <c r="J246" s="5">
        <f>VLOOKUP($A246,'ПР 01-02.21'!$A$11:$BB$406,10,FALSE)+VLOOKUP($A246,'ПР 21-22'!$A$11:$BB$406,10,FALSE)-VLOOKUP($A246,'ПР 01-02.22'!$A$11:$BB$378,10,FALSE)</f>
        <v>2545</v>
      </c>
      <c r="K246" s="446"/>
      <c r="L246" s="5">
        <f>VLOOKUP($A246,'ПР 01-02.21'!$A$11:$BB$406,12,FALSE)+VLOOKUP($A246,'ПР 21-22'!$A$11:$BB$406,12,FALSE)-VLOOKUP($A246,'ПР 01-02.22'!$A$11:$BB$378,12,FALSE)</f>
        <v>0</v>
      </c>
      <c r="M246" s="5">
        <f>VLOOKUP($A246,'ПР 01-02.21'!$A$11:$BB$406,13,FALSE)+VLOOKUP($A246,'ПР 21-22'!$A$11:$BB$406,13,FALSE)-VLOOKUP($A246,'ПР 01-02.22'!$A$11:$BB$378,13,FALSE)</f>
        <v>262</v>
      </c>
      <c r="N246" s="38"/>
      <c r="O246" s="5">
        <f>VLOOKUP($A246,'ПР 01-02.21'!$A$11:$BB$406,15,FALSE)+VLOOKUP($A246,'ПР 21-22'!$A$11:$BB$406,15,FALSE)-VLOOKUP($A246,'ПР 01-02.22'!$A$11:$BB$378,15,FALSE)</f>
        <v>0</v>
      </c>
      <c r="P246" s="5">
        <f>VLOOKUP($A246,'ПР 01-02.21'!$A$11:$BB$406,16,FALSE)+VLOOKUP($A246,'ПР 21-22'!$A$11:$BB$406,16,FALSE)-VLOOKUP($A246,'ПР 01-02.22'!$A$11:$BB$378,16,FALSE)</f>
        <v>0</v>
      </c>
      <c r="Q246" s="443"/>
      <c r="R246" s="5">
        <f>VLOOKUP($A246,'ПР 01-02.21'!$A$11:$BB$406,18,FALSE)+VLOOKUP($A246,'ПР 21-22'!$A$11:$BB$406,18,FALSE)-VLOOKUP($A246,'ПР 01-02.22'!$A$11:$BB$378,18,FALSE)</f>
        <v>3</v>
      </c>
      <c r="S246" s="5">
        <f>VLOOKUP($A246,'ПР 01-02.21'!$A$11:$BB$406,19,FALSE)+VLOOKUP($A246,'ПР 21-22'!$A$11:$BB$406,19,FALSE)-VLOOKUP($A246,'ПР 01-02.22'!$A$11:$BB$378,19,FALSE)</f>
        <v>2347</v>
      </c>
      <c r="T246" s="444"/>
      <c r="U246" s="5">
        <f>VLOOKUP($A246,'ПР 01-02.21'!$A$11:$BB$406,21,FALSE)+VLOOKUP($A246,'ПР 21-22'!$A$11:$BB$406,21,FALSE)-VLOOKUP($A246,'ПР 01-02.22'!$A$11:$BB$378,21,FALSE)</f>
        <v>0</v>
      </c>
      <c r="V246" s="5"/>
      <c r="W246" s="5">
        <f>VLOOKUP($A246,'ПР 01-02.21'!$A$11:$BB$406,23,FALSE)+VLOOKUP($A246,'ПР 21-22'!$A$11:$BB$406,23,FALSE)-VLOOKUP($A246,'ПР 01-02.22'!$A$11:$BB$378,23,FALSE)</f>
        <v>0</v>
      </c>
      <c r="X246" s="5">
        <f>VLOOKUP($A246,'ПР 01-02.21'!$A$11:$BB$406,24,FALSE)+VLOOKUP($A246,'ПР 21-22'!$A$11:$BB$406,24,FALSE)-VLOOKUP($A246,'ПР 01-02.22'!$A$11:$BB$378,24,FALSE)</f>
        <v>144.94525309559231</v>
      </c>
      <c r="Y246" s="5">
        <f>VLOOKUP($A246,'ПР 01-02.21'!$A$11:$BB$406,25,FALSE)+VLOOKUP($A246,'ПР 21-22'!$A$11:$BB$406,25,FALSE)-VLOOKUP($A246,'ПР 01-02.22'!$A$11:$BB$378,25,FALSE)</f>
        <v>10740</v>
      </c>
      <c r="Z246" s="5"/>
      <c r="AA246" s="5">
        <f>VLOOKUP($A246,'ПР 01-02.21'!$A$11:$BB$406,27,FALSE)+VLOOKUP($A246,'ПР 21-22'!$A$11:$BB$406,27,FALSE)-VLOOKUP($A246,'ПР 01-02.22'!$A$11:$BB$378,27,FALSE)</f>
        <v>0</v>
      </c>
      <c r="AB246" s="5">
        <f>VLOOKUP($A246,'ПР 01-02.21'!$A$11:$BB$406,28,FALSE)+VLOOKUP($A246,'ПР 21-22'!$A$11:$BB$406,28,FALSE)-VLOOKUP($A246,'ПР 01-02.22'!$A$11:$BB$378,28,FALSE)</f>
        <v>0</v>
      </c>
      <c r="AC246" s="5">
        <f>VLOOKUP($A246,'ПР 01-02.21'!$A$11:$BB$406,29,FALSE)+VLOOKUP($A246,'ПР 21-22'!$A$11:$BB$406,29,FALSE)-VLOOKUP($A246,'ПР 01-02.22'!$A$11:$BB$378,29,FALSE)</f>
        <v>3799</v>
      </c>
      <c r="AD246" s="5">
        <f>VLOOKUP($A246,'ПР 01-02.21'!$A$11:$BB$406,30,FALSE)+VLOOKUP($A246,'ПР 21-22'!$A$11:$BB$406,30,FALSE)-VLOOKUP($A246,'ПР 01-02.22'!$A$11:$BB$378,30,FALSE)</f>
        <v>17449.02</v>
      </c>
      <c r="AE246" s="5">
        <f>VLOOKUP($A246,'ПР 01-02.21'!$A$11:$BB$406,31,FALSE)+VLOOKUP($A246,'ПР 21-22'!$A$11:$BB$406,31,FALSE)-VLOOKUP($A246,'ПР 01-02.22'!$A$11:$BB$378,31,FALSE)</f>
        <v>4381.1519449499683</v>
      </c>
      <c r="AF246" s="5">
        <f>VLOOKUP($A246,'ПР 01-02.21'!$A$11:$BB$406,32,FALSE)+VLOOKUP($A246,'ПР 21-22'!$A$11:$BB$406,32,FALSE)-VLOOKUP($A246,'ПР 01-02.22'!$A$11:$BB$378,32,FALSE)</f>
        <v>3724</v>
      </c>
      <c r="AG246" s="40"/>
      <c r="AH246" s="5">
        <f>VLOOKUP($A246,'ПР 01-02.21'!$A$11:$BB$406,34,FALSE)+VLOOKUP($A246,'ПР 21-22'!$A$11:$BB$406,34,FALSE)-VLOOKUP($A246,'ПР 01-02.22'!$A$11:$BB$378,34,FALSE)</f>
        <v>5656.9277497783651</v>
      </c>
      <c r="AI246" s="5">
        <f>VLOOKUP($A246,'ПР 01-02.21'!$A$11:$BB$406,35,FALSE)+VLOOKUP($A246,'ПР 21-22'!$A$11:$BB$406,35,FALSE)-VLOOKUP($A246,'ПР 01-02.22'!$A$11:$BB$378,35,FALSE)</f>
        <v>12757</v>
      </c>
      <c r="AJ246" s="40"/>
      <c r="AK246" s="5">
        <f>VLOOKUP($A246,'ПР 01-02.21'!$A$11:$BB$406,37,FALSE)+VLOOKUP($A246,'ПР 21-22'!$A$11:$BB$406,37,FALSE)-VLOOKUP($A246,'ПР 01-02.22'!$A$11:$BB$378,37,FALSE)</f>
        <v>2394.0288822539187</v>
      </c>
      <c r="AL246" s="5">
        <f>VLOOKUP($A246,'ПР 01-02.21'!$A$11:$BB$406,38,FALSE)+VLOOKUP($A246,'ПР 21-22'!$A$11:$BB$406,38,FALSE)-VLOOKUP($A246,'ПР 01-02.22'!$A$11:$BB$378,38,FALSE)</f>
        <v>0</v>
      </c>
      <c r="AM246" s="40"/>
      <c r="AN246" s="5">
        <f>VLOOKUP($A246,'ПР 01-02.21'!$A$11:$BB$406,40,FALSE)+VLOOKUP($A246,'ПР 21-22'!$A$11:$BB$406,40,FALSE)-VLOOKUP($A246,'ПР 01-02.22'!$A$11:$BB$378,40,FALSE)</f>
        <v>5243.6495142397334</v>
      </c>
      <c r="AO246" s="5">
        <f>VLOOKUP($A246,'ПР 01-02.21'!$A$11:$BB$406,41,FALSE)+VLOOKUP($A246,'ПР 21-22'!$A$11:$BB$406,41,FALSE)-VLOOKUP($A246,'ПР 01-02.22'!$A$11:$BB$378,41,FALSE)</f>
        <v>130503</v>
      </c>
      <c r="AP246" s="40"/>
      <c r="AQ246" s="5">
        <f>VLOOKUP($A246,'ПР 01-02.21'!$A$11:$BB$406,43,FALSE)+VLOOKUP($A246,'ПР 21-22'!$A$11:$BB$406,43,FALSE)-VLOOKUP($A246,'ПР 01-02.22'!$A$11:$BB$378,43,FALSE)</f>
        <v>4200.0456558249225</v>
      </c>
      <c r="AR246" s="5">
        <f>VLOOKUP($A246,'ПР 01-02.21'!$A$11:$BB$406,44,FALSE)+VLOOKUP($A246,'ПР 21-22'!$A$11:$BB$406,44,FALSE)-VLOOKUP($A246,'ПР 01-02.22'!$A$11:$BB$378,44,FALSE)</f>
        <v>0</v>
      </c>
      <c r="AS246" s="40"/>
      <c r="AT246" s="5">
        <f>VLOOKUP($A246,'ПР 01-02.21'!$A$11:$BB$406,46,FALSE)+VLOOKUP($A246,'ПР 21-22'!$A$11:$BB$406,46,FALSE)-VLOOKUP($A246,'ПР 01-02.22'!$A$11:$BB$378,46,FALSE)</f>
        <v>5972.897322115793</v>
      </c>
      <c r="AU246" s="5">
        <f>VLOOKUP($A246,'ПР 01-02.21'!$A$11:$BB$406,47,FALSE)+VLOOKUP($A246,'ПР 21-22'!$A$11:$BB$406,47,FALSE)-VLOOKUP($A246,'ПР 01-02.22'!$A$11:$BB$378,47,FALSE)</f>
        <v>995</v>
      </c>
      <c r="AV246" s="40"/>
      <c r="AW246" s="5">
        <f>VLOOKUP($A246,'ПР 01-02.21'!$A$11:$BB$406,49,FALSE)+VLOOKUP($A246,'ПР 21-22'!$A$11:$BB$406,49,FALSE)-VLOOKUP($A246,'ПР 01-02.22'!$A$11:$BB$378,49,FALSE)</f>
        <v>824.81902746838853</v>
      </c>
      <c r="AX246" s="5">
        <f>VLOOKUP($A246,'ПР 01-02.21'!$A$11:$BB$406,50,FALSE)+VLOOKUP($A246,'ПР 21-22'!$A$11:$BB$406,50,FALSE)-VLOOKUP($A246,'ПР 01-02.22'!$A$11:$BB$378,50,FALSE)</f>
        <v>8496.41</v>
      </c>
      <c r="AY246" s="40"/>
      <c r="AZ246" s="40">
        <f t="shared" si="13"/>
        <v>28673.520096631088</v>
      </c>
      <c r="BA246" s="40">
        <f t="shared" si="13"/>
        <v>156475.41</v>
      </c>
      <c r="BB246" s="55">
        <f t="shared" si="16"/>
        <v>127801.88990336892</v>
      </c>
      <c r="BD246" s="2">
        <v>1</v>
      </c>
      <c r="BF246" s="325">
        <v>150000949</v>
      </c>
    </row>
    <row r="247" spans="1:58" ht="24.9" customHeight="1" x14ac:dyDescent="0.3">
      <c r="A247" s="325">
        <v>150001044</v>
      </c>
      <c r="B247" s="445" t="s">
        <v>270</v>
      </c>
      <c r="C247" s="27">
        <v>5</v>
      </c>
      <c r="D247" s="101" t="s">
        <v>455</v>
      </c>
      <c r="E247" s="279">
        <f>'побудинковий звіт'!E245</f>
        <v>3505.5</v>
      </c>
      <c r="F247" s="441">
        <f>'побудинковий звіт'!AS245</f>
        <v>26608.587400015822</v>
      </c>
      <c r="G247" s="441">
        <f t="shared" si="14"/>
        <v>14795</v>
      </c>
      <c r="H247" s="73">
        <f t="shared" si="15"/>
        <v>-11813.587400015822</v>
      </c>
      <c r="I247" s="5">
        <f>VLOOKUP($A247,'ПР 01-02.21'!$A$11:$BB$406,9,FALSE)+VLOOKUP($A247,'ПР 21-22'!$A$11:$BB$406,9,FALSE)-VLOOKUP($A247,'ПР 01-02.22'!$A$11:$BB$378,9,FALSE)</f>
        <v>10</v>
      </c>
      <c r="J247" s="5">
        <f>VLOOKUP($A247,'ПР 01-02.21'!$A$11:$BB$406,10,FALSE)+VLOOKUP($A247,'ПР 21-22'!$A$11:$BB$406,10,FALSE)-VLOOKUP($A247,'ПР 01-02.22'!$A$11:$BB$378,10,FALSE)</f>
        <v>10808</v>
      </c>
      <c r="K247" s="446"/>
      <c r="L247" s="5">
        <f>VLOOKUP($A247,'ПР 01-02.21'!$A$11:$BB$406,12,FALSE)+VLOOKUP($A247,'ПР 21-22'!$A$11:$BB$406,12,FALSE)-VLOOKUP($A247,'ПР 01-02.22'!$A$11:$BB$378,12,FALSE)</f>
        <v>0</v>
      </c>
      <c r="M247" s="5">
        <f>VLOOKUP($A247,'ПР 01-02.21'!$A$11:$BB$406,13,FALSE)+VLOOKUP($A247,'ПР 21-22'!$A$11:$BB$406,13,FALSE)-VLOOKUP($A247,'ПР 01-02.22'!$A$11:$BB$378,13,FALSE)</f>
        <v>0</v>
      </c>
      <c r="N247" s="38"/>
      <c r="O247" s="5">
        <f>VLOOKUP($A247,'ПР 01-02.21'!$A$11:$BB$406,15,FALSE)+VLOOKUP($A247,'ПР 21-22'!$A$11:$BB$406,15,FALSE)-VLOOKUP($A247,'ПР 01-02.22'!$A$11:$BB$378,15,FALSE)</f>
        <v>0</v>
      </c>
      <c r="P247" s="5">
        <f>VLOOKUP($A247,'ПР 01-02.21'!$A$11:$BB$406,16,FALSE)+VLOOKUP($A247,'ПР 21-22'!$A$11:$BB$406,16,FALSE)-VLOOKUP($A247,'ПР 01-02.22'!$A$11:$BB$378,16,FALSE)</f>
        <v>0</v>
      </c>
      <c r="Q247" s="443"/>
      <c r="R247" s="5">
        <f>VLOOKUP($A247,'ПР 01-02.21'!$A$11:$BB$406,18,FALSE)+VLOOKUP($A247,'ПР 21-22'!$A$11:$BB$406,18,FALSE)-VLOOKUP($A247,'ПР 01-02.22'!$A$11:$BB$378,18,FALSE)</f>
        <v>0</v>
      </c>
      <c r="S247" s="5">
        <f>VLOOKUP($A247,'ПР 01-02.21'!$A$11:$BB$406,19,FALSE)+VLOOKUP($A247,'ПР 21-22'!$A$11:$BB$406,19,FALSE)-VLOOKUP($A247,'ПР 01-02.22'!$A$11:$BB$378,19,FALSE)</f>
        <v>0</v>
      </c>
      <c r="T247" s="444"/>
      <c r="U247" s="5">
        <f>VLOOKUP($A247,'ПР 01-02.21'!$A$11:$BB$406,21,FALSE)+VLOOKUP($A247,'ПР 21-22'!$A$11:$BB$406,21,FALSE)-VLOOKUP($A247,'ПР 01-02.22'!$A$11:$BB$378,21,FALSE)</f>
        <v>0</v>
      </c>
      <c r="V247" s="5"/>
      <c r="W247" s="5">
        <f>VLOOKUP($A247,'ПР 01-02.21'!$A$11:$BB$406,23,FALSE)+VLOOKUP($A247,'ПР 21-22'!$A$11:$BB$406,23,FALSE)-VLOOKUP($A247,'ПР 01-02.22'!$A$11:$BB$378,23,FALSE)</f>
        <v>0</v>
      </c>
      <c r="X247" s="5">
        <f>VLOOKUP($A247,'ПР 01-02.21'!$A$11:$BB$406,24,FALSE)+VLOOKUP($A247,'ПР 21-22'!$A$11:$BB$406,24,FALSE)-VLOOKUP($A247,'ПР 01-02.22'!$A$11:$BB$378,24,FALSE)</f>
        <v>0</v>
      </c>
      <c r="Y247" s="5">
        <f>VLOOKUP($A247,'ПР 01-02.21'!$A$11:$BB$406,25,FALSE)+VLOOKUP($A247,'ПР 21-22'!$A$11:$BB$406,25,FALSE)-VLOOKUP($A247,'ПР 01-02.22'!$A$11:$BB$378,25,FALSE)</f>
        <v>1428</v>
      </c>
      <c r="Z247" s="5"/>
      <c r="AA247" s="5">
        <f>VLOOKUP($A247,'ПР 01-02.21'!$A$11:$BB$406,27,FALSE)+VLOOKUP($A247,'ПР 21-22'!$A$11:$BB$406,27,FALSE)-VLOOKUP($A247,'ПР 01-02.22'!$A$11:$BB$378,27,FALSE)</f>
        <v>0</v>
      </c>
      <c r="AB247" s="5">
        <f>VLOOKUP($A247,'ПР 01-02.21'!$A$11:$BB$406,28,FALSE)+VLOOKUP($A247,'ПР 21-22'!$A$11:$BB$406,28,FALSE)-VLOOKUP($A247,'ПР 01-02.22'!$A$11:$BB$378,28,FALSE)</f>
        <v>0</v>
      </c>
      <c r="AC247" s="5">
        <f>VLOOKUP($A247,'ПР 01-02.21'!$A$11:$BB$406,29,FALSE)+VLOOKUP($A247,'ПР 21-22'!$A$11:$BB$406,29,FALSE)-VLOOKUP($A247,'ПР 01-02.22'!$A$11:$BB$378,29,FALSE)</f>
        <v>0</v>
      </c>
      <c r="AD247" s="5">
        <f>VLOOKUP($A247,'ПР 01-02.21'!$A$11:$BB$406,30,FALSE)+VLOOKUP($A247,'ПР 21-22'!$A$11:$BB$406,30,FALSE)-VLOOKUP($A247,'ПР 01-02.22'!$A$11:$BB$378,30,FALSE)</f>
        <v>2559</v>
      </c>
      <c r="AE247" s="5">
        <f>VLOOKUP($A247,'ПР 01-02.21'!$A$11:$BB$406,31,FALSE)+VLOOKUP($A247,'ПР 21-22'!$A$11:$BB$406,31,FALSE)-VLOOKUP($A247,'ПР 01-02.22'!$A$11:$BB$378,31,FALSE)</f>
        <v>3008.8736658708408</v>
      </c>
      <c r="AF247" s="5">
        <f>VLOOKUP($A247,'ПР 01-02.21'!$A$11:$BB$406,32,FALSE)+VLOOKUP($A247,'ПР 21-22'!$A$11:$BB$406,32,FALSE)-VLOOKUP($A247,'ПР 01-02.22'!$A$11:$BB$378,32,FALSE)</f>
        <v>5576</v>
      </c>
      <c r="AG247" s="40"/>
      <c r="AH247" s="5">
        <f>VLOOKUP($A247,'ПР 01-02.21'!$A$11:$BB$406,34,FALSE)+VLOOKUP($A247,'ПР 21-22'!$A$11:$BB$406,34,FALSE)-VLOOKUP($A247,'ПР 01-02.22'!$A$11:$BB$378,34,FALSE)</f>
        <v>4190.8525567872857</v>
      </c>
      <c r="AI247" s="5">
        <f>VLOOKUP($A247,'ПР 01-02.21'!$A$11:$BB$406,35,FALSE)+VLOOKUP($A247,'ПР 21-22'!$A$11:$BB$406,35,FALSE)-VLOOKUP($A247,'ПР 01-02.22'!$A$11:$BB$378,35,FALSE)</f>
        <v>0</v>
      </c>
      <c r="AJ247" s="40"/>
      <c r="AK247" s="5">
        <f>VLOOKUP($A247,'ПР 01-02.21'!$A$11:$BB$406,37,FALSE)+VLOOKUP($A247,'ПР 21-22'!$A$11:$BB$406,37,FALSE)-VLOOKUP($A247,'ПР 01-02.22'!$A$11:$BB$378,37,FALSE)</f>
        <v>2046.4861529288646</v>
      </c>
      <c r="AL247" s="5">
        <f>VLOOKUP($A247,'ПР 01-02.21'!$A$11:$BB$406,38,FALSE)+VLOOKUP($A247,'ПР 21-22'!$A$11:$BB$406,38,FALSE)-VLOOKUP($A247,'ПР 01-02.22'!$A$11:$BB$378,38,FALSE)</f>
        <v>0</v>
      </c>
      <c r="AM247" s="40"/>
      <c r="AN247" s="5">
        <f>VLOOKUP($A247,'ПР 01-02.21'!$A$11:$BB$406,40,FALSE)+VLOOKUP($A247,'ПР 21-22'!$A$11:$BB$406,40,FALSE)-VLOOKUP($A247,'ПР 01-02.22'!$A$11:$BB$378,40,FALSE)</f>
        <v>0</v>
      </c>
      <c r="AO247" s="5">
        <f>VLOOKUP($A247,'ПР 01-02.21'!$A$11:$BB$406,41,FALSE)+VLOOKUP($A247,'ПР 21-22'!$A$11:$BB$406,41,FALSE)-VLOOKUP($A247,'ПР 01-02.22'!$A$11:$BB$378,41,FALSE)</f>
        <v>0</v>
      </c>
      <c r="AP247" s="40"/>
      <c r="AQ247" s="5">
        <f>VLOOKUP($A247,'ПР 01-02.21'!$A$11:$BB$406,43,FALSE)+VLOOKUP($A247,'ПР 21-22'!$A$11:$BB$406,43,FALSE)-VLOOKUP($A247,'ПР 01-02.22'!$A$11:$BB$378,43,FALSE)</f>
        <v>0</v>
      </c>
      <c r="AR247" s="5">
        <f>VLOOKUP($A247,'ПР 01-02.21'!$A$11:$BB$406,44,FALSE)+VLOOKUP($A247,'ПР 21-22'!$A$11:$BB$406,44,FALSE)-VLOOKUP($A247,'ПР 01-02.22'!$A$11:$BB$378,44,FALSE)</f>
        <v>0</v>
      </c>
      <c r="AS247" s="40"/>
      <c r="AT247" s="5">
        <f>VLOOKUP($A247,'ПР 01-02.21'!$A$11:$BB$406,46,FALSE)+VLOOKUP($A247,'ПР 21-22'!$A$11:$BB$406,46,FALSE)-VLOOKUP($A247,'ПР 01-02.22'!$A$11:$BB$378,46,FALSE)</f>
        <v>2063.1460215691909</v>
      </c>
      <c r="AU247" s="5">
        <f>VLOOKUP($A247,'ПР 01-02.21'!$A$11:$BB$406,47,FALSE)+VLOOKUP($A247,'ПР 21-22'!$A$11:$BB$406,47,FALSE)-VLOOKUP($A247,'ПР 01-02.22'!$A$11:$BB$378,47,FALSE)</f>
        <v>0</v>
      </c>
      <c r="AV247" s="40"/>
      <c r="AW247" s="5">
        <f>VLOOKUP($A247,'ПР 01-02.21'!$A$11:$BB$406,49,FALSE)+VLOOKUP($A247,'ПР 21-22'!$A$11:$BB$406,49,FALSE)-VLOOKUP($A247,'ПР 01-02.22'!$A$11:$BB$378,49,FALSE)</f>
        <v>175.25199999999998</v>
      </c>
      <c r="AX247" s="5">
        <f>VLOOKUP($A247,'ПР 01-02.21'!$A$11:$BB$406,50,FALSE)+VLOOKUP($A247,'ПР 21-22'!$A$11:$BB$406,50,FALSE)-VLOOKUP($A247,'ПР 01-02.22'!$A$11:$BB$378,50,FALSE)</f>
        <v>0</v>
      </c>
      <c r="AY247" s="40"/>
      <c r="AZ247" s="40">
        <f t="shared" ref="AZ247:BA305" si="17">AE247+AH247+AK247+AN247+AQ247+AT247+AW247</f>
        <v>11484.610397156182</v>
      </c>
      <c r="BA247" s="40">
        <f t="shared" si="17"/>
        <v>5576</v>
      </c>
      <c r="BB247" s="55">
        <f t="shared" si="16"/>
        <v>-5908.6103971561824</v>
      </c>
      <c r="BD247" s="2">
        <v>2</v>
      </c>
      <c r="BF247" s="325">
        <v>150001044</v>
      </c>
    </row>
    <row r="248" spans="1:58" ht="24.9" customHeight="1" x14ac:dyDescent="0.3">
      <c r="A248" s="325">
        <v>150001050</v>
      </c>
      <c r="B248" s="445" t="s">
        <v>271</v>
      </c>
      <c r="C248" s="27">
        <v>5</v>
      </c>
      <c r="D248" s="101" t="s">
        <v>455</v>
      </c>
      <c r="E248" s="279">
        <f>'побудинковий звіт'!E246</f>
        <v>3564.3</v>
      </c>
      <c r="F248" s="441">
        <f>'побудинковий звіт'!AS246</f>
        <v>49135.475425998557</v>
      </c>
      <c r="G248" s="441">
        <f t="shared" si="14"/>
        <v>59147.5</v>
      </c>
      <c r="H248" s="73">
        <f t="shared" si="15"/>
        <v>10012.024574001443</v>
      </c>
      <c r="I248" s="5">
        <f>VLOOKUP($A248,'ПР 01-02.21'!$A$11:$BB$406,9,FALSE)+VLOOKUP($A248,'ПР 21-22'!$A$11:$BB$406,9,FALSE)-VLOOKUP($A248,'ПР 01-02.22'!$A$11:$BB$378,9,FALSE)</f>
        <v>40</v>
      </c>
      <c r="J248" s="5">
        <f>VLOOKUP($A248,'ПР 01-02.21'!$A$11:$BB$406,10,FALSE)+VLOOKUP($A248,'ПР 21-22'!$A$11:$BB$406,10,FALSE)-VLOOKUP($A248,'ПР 01-02.22'!$A$11:$BB$378,10,FALSE)</f>
        <v>6269</v>
      </c>
      <c r="K248" s="446"/>
      <c r="L248" s="5">
        <f>VLOOKUP($A248,'ПР 01-02.21'!$A$11:$BB$406,12,FALSE)+VLOOKUP($A248,'ПР 21-22'!$A$11:$BB$406,12,FALSE)-VLOOKUP($A248,'ПР 01-02.22'!$A$11:$BB$378,12,FALSE)</f>
        <v>0</v>
      </c>
      <c r="M248" s="5">
        <f>VLOOKUP($A248,'ПР 01-02.21'!$A$11:$BB$406,13,FALSE)+VLOOKUP($A248,'ПР 21-22'!$A$11:$BB$406,13,FALSE)-VLOOKUP($A248,'ПР 01-02.22'!$A$11:$BB$378,13,FALSE)</f>
        <v>0</v>
      </c>
      <c r="N248" s="38"/>
      <c r="O248" s="5">
        <f>VLOOKUP($A248,'ПР 01-02.21'!$A$11:$BB$406,15,FALSE)+VLOOKUP($A248,'ПР 21-22'!$A$11:$BB$406,15,FALSE)-VLOOKUP($A248,'ПР 01-02.22'!$A$11:$BB$378,15,FALSE)</f>
        <v>50</v>
      </c>
      <c r="P248" s="5">
        <f>VLOOKUP($A248,'ПР 01-02.21'!$A$11:$BB$406,16,FALSE)+VLOOKUP($A248,'ПР 21-22'!$A$11:$BB$406,16,FALSE)-VLOOKUP($A248,'ПР 01-02.22'!$A$11:$BB$378,16,FALSE)</f>
        <v>11158</v>
      </c>
      <c r="Q248" s="443"/>
      <c r="R248" s="5">
        <f>VLOOKUP($A248,'ПР 01-02.21'!$A$11:$BB$406,18,FALSE)+VLOOKUP($A248,'ПР 21-22'!$A$11:$BB$406,18,FALSE)-VLOOKUP($A248,'ПР 01-02.22'!$A$11:$BB$378,18,FALSE)</f>
        <v>0</v>
      </c>
      <c r="S248" s="5">
        <f>VLOOKUP($A248,'ПР 01-02.21'!$A$11:$BB$406,19,FALSE)+VLOOKUP($A248,'ПР 21-22'!$A$11:$BB$406,19,FALSE)-VLOOKUP($A248,'ПР 01-02.22'!$A$11:$BB$378,19,FALSE)</f>
        <v>0</v>
      </c>
      <c r="T248" s="444"/>
      <c r="U248" s="5">
        <f>VLOOKUP($A248,'ПР 01-02.21'!$A$11:$BB$406,21,FALSE)+VLOOKUP($A248,'ПР 21-22'!$A$11:$BB$406,21,FALSE)-VLOOKUP($A248,'ПР 01-02.22'!$A$11:$BB$378,21,FALSE)</f>
        <v>0</v>
      </c>
      <c r="V248" s="5"/>
      <c r="W248" s="5">
        <f>VLOOKUP($A248,'ПР 01-02.21'!$A$11:$BB$406,23,FALSE)+VLOOKUP($A248,'ПР 21-22'!$A$11:$BB$406,23,FALSE)-VLOOKUP($A248,'ПР 01-02.22'!$A$11:$BB$378,23,FALSE)</f>
        <v>0</v>
      </c>
      <c r="X248" s="5">
        <f>VLOOKUP($A248,'ПР 01-02.21'!$A$11:$BB$406,24,FALSE)+VLOOKUP($A248,'ПР 21-22'!$A$11:$BB$406,24,FALSE)-VLOOKUP($A248,'ПР 01-02.22'!$A$11:$BB$378,24,FALSE)</f>
        <v>0</v>
      </c>
      <c r="Y248" s="5">
        <f>VLOOKUP($A248,'ПР 01-02.21'!$A$11:$BB$406,25,FALSE)+VLOOKUP($A248,'ПР 21-22'!$A$11:$BB$406,25,FALSE)-VLOOKUP($A248,'ПР 01-02.22'!$A$11:$BB$378,25,FALSE)</f>
        <v>35038</v>
      </c>
      <c r="Z248" s="5"/>
      <c r="AA248" s="5">
        <f>VLOOKUP($A248,'ПР 01-02.21'!$A$11:$BB$406,27,FALSE)+VLOOKUP($A248,'ПР 21-22'!$A$11:$BB$406,27,FALSE)-VLOOKUP($A248,'ПР 01-02.22'!$A$11:$BB$378,27,FALSE)</f>
        <v>0</v>
      </c>
      <c r="AB248" s="5">
        <f>VLOOKUP($A248,'ПР 01-02.21'!$A$11:$BB$406,28,FALSE)+VLOOKUP($A248,'ПР 21-22'!$A$11:$BB$406,28,FALSE)-VLOOKUP($A248,'ПР 01-02.22'!$A$11:$BB$378,28,FALSE)</f>
        <v>1784</v>
      </c>
      <c r="AC248" s="5">
        <f>VLOOKUP($A248,'ПР 01-02.21'!$A$11:$BB$406,29,FALSE)+VLOOKUP($A248,'ПР 21-22'!$A$11:$BB$406,29,FALSE)-VLOOKUP($A248,'ПР 01-02.22'!$A$11:$BB$378,29,FALSE)</f>
        <v>981</v>
      </c>
      <c r="AD248" s="5">
        <f>VLOOKUP($A248,'ПР 01-02.21'!$A$11:$BB$406,30,FALSE)+VLOOKUP($A248,'ПР 21-22'!$A$11:$BB$406,30,FALSE)-VLOOKUP($A248,'ПР 01-02.22'!$A$11:$BB$378,30,FALSE)</f>
        <v>3917.5</v>
      </c>
      <c r="AE248" s="5">
        <f>VLOOKUP($A248,'ПР 01-02.21'!$A$11:$BB$406,31,FALSE)+VLOOKUP($A248,'ПР 21-22'!$A$11:$BB$406,31,FALSE)-VLOOKUP($A248,'ПР 01-02.22'!$A$11:$BB$378,31,FALSE)</f>
        <v>3036.8192164525562</v>
      </c>
      <c r="AF248" s="5">
        <f>VLOOKUP($A248,'ПР 01-02.21'!$A$11:$BB$406,32,FALSE)+VLOOKUP($A248,'ПР 21-22'!$A$11:$BB$406,32,FALSE)-VLOOKUP($A248,'ПР 01-02.22'!$A$11:$BB$378,32,FALSE)</f>
        <v>3764</v>
      </c>
      <c r="AG248" s="40"/>
      <c r="AH248" s="5">
        <f>VLOOKUP($A248,'ПР 01-02.21'!$A$11:$BB$406,34,FALSE)+VLOOKUP($A248,'ПР 21-22'!$A$11:$BB$406,34,FALSE)-VLOOKUP($A248,'ПР 01-02.22'!$A$11:$BB$378,34,FALSE)</f>
        <v>3782.2563924636092</v>
      </c>
      <c r="AI248" s="5">
        <f>VLOOKUP($A248,'ПР 01-02.21'!$A$11:$BB$406,35,FALSE)+VLOOKUP($A248,'ПР 21-22'!$A$11:$BB$406,35,FALSE)-VLOOKUP($A248,'ПР 01-02.22'!$A$11:$BB$378,35,FALSE)</f>
        <v>7466</v>
      </c>
      <c r="AJ248" s="40"/>
      <c r="AK248" s="5">
        <f>VLOOKUP($A248,'ПР 01-02.21'!$A$11:$BB$406,37,FALSE)+VLOOKUP($A248,'ПР 21-22'!$A$11:$BB$406,37,FALSE)-VLOOKUP($A248,'ПР 01-02.22'!$A$11:$BB$378,37,FALSE)</f>
        <v>2155.3192420372006</v>
      </c>
      <c r="AL248" s="5">
        <f>VLOOKUP($A248,'ПР 01-02.21'!$A$11:$BB$406,38,FALSE)+VLOOKUP($A248,'ПР 21-22'!$A$11:$BB$406,38,FALSE)-VLOOKUP($A248,'ПР 01-02.22'!$A$11:$BB$378,38,FALSE)</f>
        <v>0</v>
      </c>
      <c r="AM248" s="40"/>
      <c r="AN248" s="5">
        <f>VLOOKUP($A248,'ПР 01-02.21'!$A$11:$BB$406,40,FALSE)+VLOOKUP($A248,'ПР 21-22'!$A$11:$BB$406,40,FALSE)-VLOOKUP($A248,'ПР 01-02.22'!$A$11:$BB$378,40,FALSE)</f>
        <v>0</v>
      </c>
      <c r="AO248" s="5">
        <f>VLOOKUP($A248,'ПР 01-02.21'!$A$11:$BB$406,41,FALSE)+VLOOKUP($A248,'ПР 21-22'!$A$11:$BB$406,41,FALSE)-VLOOKUP($A248,'ПР 01-02.22'!$A$11:$BB$378,41,FALSE)</f>
        <v>0</v>
      </c>
      <c r="AP248" s="40"/>
      <c r="AQ248" s="5">
        <f>VLOOKUP($A248,'ПР 01-02.21'!$A$11:$BB$406,43,FALSE)+VLOOKUP($A248,'ПР 21-22'!$A$11:$BB$406,43,FALSE)-VLOOKUP($A248,'ПР 01-02.22'!$A$11:$BB$378,43,FALSE)</f>
        <v>0</v>
      </c>
      <c r="AR248" s="5">
        <f>VLOOKUP($A248,'ПР 01-02.21'!$A$11:$BB$406,44,FALSE)+VLOOKUP($A248,'ПР 21-22'!$A$11:$BB$406,44,FALSE)-VLOOKUP($A248,'ПР 01-02.22'!$A$11:$BB$378,44,FALSE)</f>
        <v>0</v>
      </c>
      <c r="AS248" s="40"/>
      <c r="AT248" s="5">
        <f>VLOOKUP($A248,'ПР 01-02.21'!$A$11:$BB$406,46,FALSE)+VLOOKUP($A248,'ПР 21-22'!$A$11:$BB$406,46,FALSE)-VLOOKUP($A248,'ПР 01-02.22'!$A$11:$BB$378,46,FALSE)</f>
        <v>2106.9830189540921</v>
      </c>
      <c r="AU248" s="5">
        <f>VLOOKUP($A248,'ПР 01-02.21'!$A$11:$BB$406,47,FALSE)+VLOOKUP($A248,'ПР 21-22'!$A$11:$BB$406,47,FALSE)-VLOOKUP($A248,'ПР 01-02.22'!$A$11:$BB$378,47,FALSE)</f>
        <v>3944</v>
      </c>
      <c r="AV248" s="40"/>
      <c r="AW248" s="5">
        <f>VLOOKUP($A248,'ПР 01-02.21'!$A$11:$BB$406,49,FALSE)+VLOOKUP($A248,'ПР 21-22'!$A$11:$BB$406,49,FALSE)-VLOOKUP($A248,'ПР 01-02.22'!$A$11:$BB$378,49,FALSE)</f>
        <v>178.54</v>
      </c>
      <c r="AX248" s="5">
        <f>VLOOKUP($A248,'ПР 01-02.21'!$A$11:$BB$406,50,FALSE)+VLOOKUP($A248,'ПР 21-22'!$A$11:$BB$406,50,FALSE)-VLOOKUP($A248,'ПР 01-02.22'!$A$11:$BB$378,50,FALSE)</f>
        <v>0</v>
      </c>
      <c r="AY248" s="40"/>
      <c r="AZ248" s="40">
        <f t="shared" si="17"/>
        <v>11259.917869907458</v>
      </c>
      <c r="BA248" s="40">
        <f t="shared" si="17"/>
        <v>15174</v>
      </c>
      <c r="BB248" s="55">
        <f t="shared" si="16"/>
        <v>3914.0821300925418</v>
      </c>
      <c r="BD248" s="2">
        <v>2</v>
      </c>
      <c r="BF248" s="325">
        <v>150001050</v>
      </c>
    </row>
    <row r="249" spans="1:58" ht="24.9" customHeight="1" x14ac:dyDescent="0.3">
      <c r="A249" s="325">
        <v>150001045</v>
      </c>
      <c r="B249" s="445" t="s">
        <v>272</v>
      </c>
      <c r="C249" s="27">
        <v>5</v>
      </c>
      <c r="D249" s="101" t="s">
        <v>455</v>
      </c>
      <c r="E249" s="279">
        <f>'побудинковий звіт'!E247</f>
        <v>3571.4</v>
      </c>
      <c r="F249" s="441">
        <f>'побудинковий звіт'!AS247</f>
        <v>50071.658194870004</v>
      </c>
      <c r="G249" s="441">
        <f t="shared" si="14"/>
        <v>58342</v>
      </c>
      <c r="H249" s="73">
        <f t="shared" si="15"/>
        <v>8270.3418051299959</v>
      </c>
      <c r="I249" s="5">
        <f>VLOOKUP($A249,'ПР 01-02.21'!$A$11:$BB$406,9,FALSE)+VLOOKUP($A249,'ПР 21-22'!$A$11:$BB$406,9,FALSE)-VLOOKUP($A249,'ПР 01-02.22'!$A$11:$BB$378,9,FALSE)</f>
        <v>17.5</v>
      </c>
      <c r="J249" s="5">
        <f>VLOOKUP($A249,'ПР 01-02.21'!$A$11:$BB$406,10,FALSE)+VLOOKUP($A249,'ПР 21-22'!$A$11:$BB$406,10,FALSE)-VLOOKUP($A249,'ПР 01-02.22'!$A$11:$BB$378,10,FALSE)</f>
        <v>8137</v>
      </c>
      <c r="K249" s="457"/>
      <c r="L249" s="5">
        <f>VLOOKUP($A249,'ПР 01-02.21'!$A$11:$BB$406,12,FALSE)+VLOOKUP($A249,'ПР 21-22'!$A$11:$BB$406,12,FALSE)-VLOOKUP($A249,'ПР 01-02.22'!$A$11:$BB$378,12,FALSE)</f>
        <v>1</v>
      </c>
      <c r="M249" s="5">
        <f>VLOOKUP($A249,'ПР 01-02.21'!$A$11:$BB$406,13,FALSE)+VLOOKUP($A249,'ПР 21-22'!$A$11:$BB$406,13,FALSE)-VLOOKUP($A249,'ПР 01-02.22'!$A$11:$BB$378,13,FALSE)</f>
        <v>47856</v>
      </c>
      <c r="N249" s="38"/>
      <c r="O249" s="5">
        <f>VLOOKUP($A249,'ПР 01-02.21'!$A$11:$BB$406,15,FALSE)+VLOOKUP($A249,'ПР 21-22'!$A$11:$BB$406,15,FALSE)-VLOOKUP($A249,'ПР 01-02.22'!$A$11:$BB$378,15,FALSE)</f>
        <v>0</v>
      </c>
      <c r="P249" s="5">
        <f>VLOOKUP($A249,'ПР 01-02.21'!$A$11:$BB$406,16,FALSE)+VLOOKUP($A249,'ПР 21-22'!$A$11:$BB$406,16,FALSE)-VLOOKUP($A249,'ПР 01-02.22'!$A$11:$BB$378,16,FALSE)</f>
        <v>0</v>
      </c>
      <c r="Q249" s="443"/>
      <c r="R249" s="5">
        <f>VLOOKUP($A249,'ПР 01-02.21'!$A$11:$BB$406,18,FALSE)+VLOOKUP($A249,'ПР 21-22'!$A$11:$BB$406,18,FALSE)-VLOOKUP($A249,'ПР 01-02.22'!$A$11:$BB$378,18,FALSE)</f>
        <v>0</v>
      </c>
      <c r="S249" s="5">
        <f>VLOOKUP($A249,'ПР 01-02.21'!$A$11:$BB$406,19,FALSE)+VLOOKUP($A249,'ПР 21-22'!$A$11:$BB$406,19,FALSE)-VLOOKUP($A249,'ПР 01-02.22'!$A$11:$BB$378,19,FALSE)</f>
        <v>0</v>
      </c>
      <c r="T249" s="444"/>
      <c r="U249" s="5">
        <f>VLOOKUP($A249,'ПР 01-02.21'!$A$11:$BB$406,21,FALSE)+VLOOKUP($A249,'ПР 21-22'!$A$11:$BB$406,21,FALSE)-VLOOKUP($A249,'ПР 01-02.22'!$A$11:$BB$378,21,FALSE)</f>
        <v>0</v>
      </c>
      <c r="V249" s="5"/>
      <c r="W249" s="5">
        <f>VLOOKUP($A249,'ПР 01-02.21'!$A$11:$BB$406,23,FALSE)+VLOOKUP($A249,'ПР 21-22'!$A$11:$BB$406,23,FALSE)-VLOOKUP($A249,'ПР 01-02.22'!$A$11:$BB$378,23,FALSE)</f>
        <v>0</v>
      </c>
      <c r="X249" s="5">
        <f>VLOOKUP($A249,'ПР 01-02.21'!$A$11:$BB$406,24,FALSE)+VLOOKUP($A249,'ПР 21-22'!$A$11:$BB$406,24,FALSE)-VLOOKUP($A249,'ПР 01-02.22'!$A$11:$BB$378,24,FALSE)</f>
        <v>0</v>
      </c>
      <c r="Y249" s="5">
        <f>VLOOKUP($A249,'ПР 01-02.21'!$A$11:$BB$406,25,FALSE)+VLOOKUP($A249,'ПР 21-22'!$A$11:$BB$406,25,FALSE)-VLOOKUP($A249,'ПР 01-02.22'!$A$11:$BB$378,25,FALSE)</f>
        <v>1763</v>
      </c>
      <c r="Z249" s="5"/>
      <c r="AA249" s="5">
        <f>VLOOKUP($A249,'ПР 01-02.21'!$A$11:$BB$406,27,FALSE)+VLOOKUP($A249,'ПР 21-22'!$A$11:$BB$406,27,FALSE)-VLOOKUP($A249,'ПР 01-02.22'!$A$11:$BB$378,27,FALSE)</f>
        <v>0</v>
      </c>
      <c r="AB249" s="5">
        <f>VLOOKUP($A249,'ПР 01-02.21'!$A$11:$BB$406,28,FALSE)+VLOOKUP($A249,'ПР 21-22'!$A$11:$BB$406,28,FALSE)-VLOOKUP($A249,'ПР 01-02.22'!$A$11:$BB$378,28,FALSE)</f>
        <v>0</v>
      </c>
      <c r="AC249" s="5">
        <f>VLOOKUP($A249,'ПР 01-02.21'!$A$11:$BB$406,29,FALSE)+VLOOKUP($A249,'ПР 21-22'!$A$11:$BB$406,29,FALSE)-VLOOKUP($A249,'ПР 01-02.22'!$A$11:$BB$378,29,FALSE)</f>
        <v>0</v>
      </c>
      <c r="AD249" s="5">
        <f>VLOOKUP($A249,'ПР 01-02.21'!$A$11:$BB$406,30,FALSE)+VLOOKUP($A249,'ПР 21-22'!$A$11:$BB$406,30,FALSE)-VLOOKUP($A249,'ПР 01-02.22'!$A$11:$BB$378,30,FALSE)</f>
        <v>586</v>
      </c>
      <c r="AE249" s="5">
        <f>VLOOKUP($A249,'ПР 01-02.21'!$A$11:$BB$406,31,FALSE)+VLOOKUP($A249,'ПР 21-22'!$A$11:$BB$406,31,FALSE)-VLOOKUP($A249,'ПР 01-02.22'!$A$11:$BB$378,31,FALSE)</f>
        <v>2898.0267560276443</v>
      </c>
      <c r="AF249" s="5">
        <f>VLOOKUP($A249,'ПР 01-02.21'!$A$11:$BB$406,32,FALSE)+VLOOKUP($A249,'ПР 21-22'!$A$11:$BB$406,32,FALSE)-VLOOKUP($A249,'ПР 01-02.22'!$A$11:$BB$378,32,FALSE)</f>
        <v>3494.69</v>
      </c>
      <c r="AG249" s="40"/>
      <c r="AH249" s="5">
        <f>VLOOKUP($A249,'ПР 01-02.21'!$A$11:$BB$406,34,FALSE)+VLOOKUP($A249,'ПР 21-22'!$A$11:$BB$406,34,FALSE)-VLOOKUP($A249,'ПР 01-02.22'!$A$11:$BB$378,34,FALSE)</f>
        <v>3782.2563924636092</v>
      </c>
      <c r="AI249" s="5">
        <f>VLOOKUP($A249,'ПР 01-02.21'!$A$11:$BB$406,35,FALSE)+VLOOKUP($A249,'ПР 21-22'!$A$11:$BB$406,35,FALSE)-VLOOKUP($A249,'ПР 01-02.22'!$A$11:$BB$378,35,FALSE)</f>
        <v>2066</v>
      </c>
      <c r="AJ249" s="40"/>
      <c r="AK249" s="5">
        <f>VLOOKUP($A249,'ПР 01-02.21'!$A$11:$BB$406,37,FALSE)+VLOOKUP($A249,'ПР 21-22'!$A$11:$BB$406,37,FALSE)-VLOOKUP($A249,'ПР 01-02.22'!$A$11:$BB$378,37,FALSE)</f>
        <v>2351.2665269962195</v>
      </c>
      <c r="AL249" s="5">
        <f>VLOOKUP($A249,'ПР 01-02.21'!$A$11:$BB$406,38,FALSE)+VLOOKUP($A249,'ПР 21-22'!$A$11:$BB$406,38,FALSE)-VLOOKUP($A249,'ПР 01-02.22'!$A$11:$BB$378,38,FALSE)</f>
        <v>0</v>
      </c>
      <c r="AM249" s="40"/>
      <c r="AN249" s="5">
        <f>VLOOKUP($A249,'ПР 01-02.21'!$A$11:$BB$406,40,FALSE)+VLOOKUP($A249,'ПР 21-22'!$A$11:$BB$406,40,FALSE)-VLOOKUP($A249,'ПР 01-02.22'!$A$11:$BB$378,40,FALSE)</f>
        <v>0</v>
      </c>
      <c r="AO249" s="5">
        <f>VLOOKUP($A249,'ПР 01-02.21'!$A$11:$BB$406,41,FALSE)+VLOOKUP($A249,'ПР 21-22'!$A$11:$BB$406,41,FALSE)-VLOOKUP($A249,'ПР 01-02.22'!$A$11:$BB$378,41,FALSE)</f>
        <v>0</v>
      </c>
      <c r="AP249" s="40"/>
      <c r="AQ249" s="5">
        <f>VLOOKUP($A249,'ПР 01-02.21'!$A$11:$BB$406,43,FALSE)+VLOOKUP($A249,'ПР 21-22'!$A$11:$BB$406,43,FALSE)-VLOOKUP($A249,'ПР 01-02.22'!$A$11:$BB$378,43,FALSE)</f>
        <v>0</v>
      </c>
      <c r="AR249" s="5">
        <f>VLOOKUP($A249,'ПР 01-02.21'!$A$11:$BB$406,44,FALSE)+VLOOKUP($A249,'ПР 21-22'!$A$11:$BB$406,44,FALSE)-VLOOKUP($A249,'ПР 01-02.22'!$A$11:$BB$378,44,FALSE)</f>
        <v>0</v>
      </c>
      <c r="AS249" s="40"/>
      <c r="AT249" s="5">
        <f>VLOOKUP($A249,'ПР 01-02.21'!$A$11:$BB$406,46,FALSE)+VLOOKUP($A249,'ПР 21-22'!$A$11:$BB$406,46,FALSE)-VLOOKUP($A249,'ПР 01-02.22'!$A$11:$BB$378,46,FALSE)</f>
        <v>2106.9830189540921</v>
      </c>
      <c r="AU249" s="5">
        <f>VLOOKUP($A249,'ПР 01-02.21'!$A$11:$BB$406,47,FALSE)+VLOOKUP($A249,'ПР 21-22'!$A$11:$BB$406,47,FALSE)-VLOOKUP($A249,'ПР 01-02.22'!$A$11:$BB$378,47,FALSE)</f>
        <v>1761</v>
      </c>
      <c r="AV249" s="40"/>
      <c r="AW249" s="5">
        <f>VLOOKUP($A249,'ПР 01-02.21'!$A$11:$BB$406,49,FALSE)+VLOOKUP($A249,'ПР 21-22'!$A$11:$BB$406,49,FALSE)-VLOOKUP($A249,'ПР 01-02.22'!$A$11:$BB$378,49,FALSE)</f>
        <v>178.86</v>
      </c>
      <c r="AX249" s="5">
        <f>VLOOKUP($A249,'ПР 01-02.21'!$A$11:$BB$406,50,FALSE)+VLOOKUP($A249,'ПР 21-22'!$A$11:$BB$406,50,FALSE)-VLOOKUP($A249,'ПР 01-02.22'!$A$11:$BB$378,50,FALSE)</f>
        <v>0</v>
      </c>
      <c r="AY249" s="40"/>
      <c r="AZ249" s="40">
        <f t="shared" si="17"/>
        <v>11317.392694441565</v>
      </c>
      <c r="BA249" s="40">
        <f t="shared" si="17"/>
        <v>7321.6900000000005</v>
      </c>
      <c r="BB249" s="55">
        <f t="shared" si="16"/>
        <v>-3995.7026944415647</v>
      </c>
      <c r="BD249" s="2">
        <v>2</v>
      </c>
      <c r="BF249" s="325">
        <v>150001045</v>
      </c>
    </row>
    <row r="250" spans="1:58" ht="24.9" customHeight="1" x14ac:dyDescent="0.3">
      <c r="A250" s="325">
        <v>150001046</v>
      </c>
      <c r="B250" s="445" t="s">
        <v>273</v>
      </c>
      <c r="C250" s="27">
        <v>5</v>
      </c>
      <c r="D250" s="101" t="s">
        <v>455</v>
      </c>
      <c r="E250" s="279">
        <f>'побудинковий звіт'!E248</f>
        <v>2681.5</v>
      </c>
      <c r="F250" s="441">
        <f>'побудинковий звіт'!AS248</f>
        <v>23377.261271698695</v>
      </c>
      <c r="G250" s="441">
        <f t="shared" si="14"/>
        <v>70478</v>
      </c>
      <c r="H250" s="73">
        <f t="shared" si="15"/>
        <v>47100.738728301309</v>
      </c>
      <c r="I250" s="5">
        <f>VLOOKUP($A250,'ПР 01-02.21'!$A$11:$BB$406,9,FALSE)+VLOOKUP($A250,'ПР 21-22'!$A$11:$BB$406,9,FALSE)-VLOOKUP($A250,'ПР 01-02.22'!$A$11:$BB$378,9,FALSE)</f>
        <v>0</v>
      </c>
      <c r="J250" s="5">
        <f>VLOOKUP($A250,'ПР 01-02.21'!$A$11:$BB$406,10,FALSE)+VLOOKUP($A250,'ПР 21-22'!$A$11:$BB$406,10,FALSE)-VLOOKUP($A250,'ПР 01-02.22'!$A$11:$BB$378,10,FALSE)</f>
        <v>0</v>
      </c>
      <c r="K250" s="457"/>
      <c r="L250" s="5">
        <f>VLOOKUP($A250,'ПР 01-02.21'!$A$11:$BB$406,12,FALSE)+VLOOKUP($A250,'ПР 21-22'!$A$11:$BB$406,12,FALSE)-VLOOKUP($A250,'ПР 01-02.22'!$A$11:$BB$378,12,FALSE)</f>
        <v>1</v>
      </c>
      <c r="M250" s="5">
        <f>VLOOKUP($A250,'ПР 01-02.21'!$A$11:$BB$406,13,FALSE)+VLOOKUP($A250,'ПР 21-22'!$A$11:$BB$406,13,FALSE)-VLOOKUP($A250,'ПР 01-02.22'!$A$11:$BB$378,13,FALSE)</f>
        <v>63343</v>
      </c>
      <c r="N250" s="38"/>
      <c r="O250" s="5">
        <f>VLOOKUP($A250,'ПР 01-02.21'!$A$11:$BB$406,15,FALSE)+VLOOKUP($A250,'ПР 21-22'!$A$11:$BB$406,15,FALSE)-VLOOKUP($A250,'ПР 01-02.22'!$A$11:$BB$378,15,FALSE)</f>
        <v>0</v>
      </c>
      <c r="P250" s="5">
        <f>VLOOKUP($A250,'ПР 01-02.21'!$A$11:$BB$406,16,FALSE)+VLOOKUP($A250,'ПР 21-22'!$A$11:$BB$406,16,FALSE)-VLOOKUP($A250,'ПР 01-02.22'!$A$11:$BB$378,16,FALSE)</f>
        <v>0</v>
      </c>
      <c r="Q250" s="443"/>
      <c r="R250" s="5">
        <f>VLOOKUP($A250,'ПР 01-02.21'!$A$11:$BB$406,18,FALSE)+VLOOKUP($A250,'ПР 21-22'!$A$11:$BB$406,18,FALSE)-VLOOKUP($A250,'ПР 01-02.22'!$A$11:$BB$378,18,FALSE)</f>
        <v>0</v>
      </c>
      <c r="S250" s="5">
        <f>VLOOKUP($A250,'ПР 01-02.21'!$A$11:$BB$406,19,FALSE)+VLOOKUP($A250,'ПР 21-22'!$A$11:$BB$406,19,FALSE)-VLOOKUP($A250,'ПР 01-02.22'!$A$11:$BB$378,19,FALSE)</f>
        <v>0</v>
      </c>
      <c r="T250" s="444"/>
      <c r="U250" s="5">
        <f>VLOOKUP($A250,'ПР 01-02.21'!$A$11:$BB$406,21,FALSE)+VLOOKUP($A250,'ПР 21-22'!$A$11:$BB$406,21,FALSE)-VLOOKUP($A250,'ПР 01-02.22'!$A$11:$BB$378,21,FALSE)</f>
        <v>0</v>
      </c>
      <c r="V250" s="5"/>
      <c r="W250" s="5">
        <f>VLOOKUP($A250,'ПР 01-02.21'!$A$11:$BB$406,23,FALSE)+VLOOKUP($A250,'ПР 21-22'!$A$11:$BB$406,23,FALSE)-VLOOKUP($A250,'ПР 01-02.22'!$A$11:$BB$378,23,FALSE)</f>
        <v>0</v>
      </c>
      <c r="X250" s="5">
        <f>VLOOKUP($A250,'ПР 01-02.21'!$A$11:$BB$406,24,FALSE)+VLOOKUP($A250,'ПР 21-22'!$A$11:$BB$406,24,FALSE)-VLOOKUP($A250,'ПР 01-02.22'!$A$11:$BB$378,24,FALSE)</f>
        <v>0</v>
      </c>
      <c r="Y250" s="5">
        <f>VLOOKUP($A250,'ПР 01-02.21'!$A$11:$BB$406,25,FALSE)+VLOOKUP($A250,'ПР 21-22'!$A$11:$BB$406,25,FALSE)-VLOOKUP($A250,'ПР 01-02.22'!$A$11:$BB$378,25,FALSE)</f>
        <v>3687</v>
      </c>
      <c r="Z250" s="5"/>
      <c r="AA250" s="5">
        <f>VLOOKUP($A250,'ПР 01-02.21'!$A$11:$BB$406,27,FALSE)+VLOOKUP($A250,'ПР 21-22'!$A$11:$BB$406,27,FALSE)-VLOOKUP($A250,'ПР 01-02.22'!$A$11:$BB$378,27,FALSE)</f>
        <v>0</v>
      </c>
      <c r="AB250" s="5">
        <f>VLOOKUP($A250,'ПР 01-02.21'!$A$11:$BB$406,28,FALSE)+VLOOKUP($A250,'ПР 21-22'!$A$11:$BB$406,28,FALSE)-VLOOKUP($A250,'ПР 01-02.22'!$A$11:$BB$378,28,FALSE)</f>
        <v>1197</v>
      </c>
      <c r="AC250" s="5">
        <f>VLOOKUP($A250,'ПР 01-02.21'!$A$11:$BB$406,29,FALSE)+VLOOKUP($A250,'ПР 21-22'!$A$11:$BB$406,29,FALSE)-VLOOKUP($A250,'ПР 01-02.22'!$A$11:$BB$378,29,FALSE)</f>
        <v>2251</v>
      </c>
      <c r="AD250" s="5">
        <f>VLOOKUP($A250,'ПР 01-02.21'!$A$11:$BB$406,30,FALSE)+VLOOKUP($A250,'ПР 21-22'!$A$11:$BB$406,30,FALSE)-VLOOKUP($A250,'ПР 01-02.22'!$A$11:$BB$378,30,FALSE)</f>
        <v>0</v>
      </c>
      <c r="AE250" s="5">
        <f>VLOOKUP($A250,'ПР 01-02.21'!$A$11:$BB$406,31,FALSE)+VLOOKUP($A250,'ПР 21-22'!$A$11:$BB$406,31,FALSE)-VLOOKUP($A250,'ПР 01-02.22'!$A$11:$BB$378,31,FALSE)</f>
        <v>2124.8477087576753</v>
      </c>
      <c r="AF250" s="5">
        <f>VLOOKUP($A250,'ПР 01-02.21'!$A$11:$BB$406,32,FALSE)+VLOOKUP($A250,'ПР 21-22'!$A$11:$BB$406,32,FALSE)-VLOOKUP($A250,'ПР 01-02.22'!$A$11:$BB$378,32,FALSE)</f>
        <v>51</v>
      </c>
      <c r="AG250" s="40"/>
      <c r="AH250" s="5">
        <f>VLOOKUP($A250,'ПР 01-02.21'!$A$11:$BB$406,34,FALSE)+VLOOKUP($A250,'ПР 21-22'!$A$11:$BB$406,34,FALSE)-VLOOKUP($A250,'ПР 01-02.22'!$A$11:$BB$378,34,FALSE)</f>
        <v>3297.428557520012</v>
      </c>
      <c r="AI250" s="5">
        <f>VLOOKUP($A250,'ПР 01-02.21'!$A$11:$BB$406,35,FALSE)+VLOOKUP($A250,'ПР 21-22'!$A$11:$BB$406,35,FALSE)-VLOOKUP($A250,'ПР 01-02.22'!$A$11:$BB$378,35,FALSE)</f>
        <v>104</v>
      </c>
      <c r="AJ250" s="40"/>
      <c r="AK250" s="5">
        <f>VLOOKUP($A250,'ПР 01-02.21'!$A$11:$BB$406,37,FALSE)+VLOOKUP($A250,'ПР 21-22'!$A$11:$BB$406,37,FALSE)-VLOOKUP($A250,'ПР 01-02.22'!$A$11:$BB$378,37,FALSE)</f>
        <v>1437.7121270180771</v>
      </c>
      <c r="AL250" s="5">
        <f>VLOOKUP($A250,'ПР 01-02.21'!$A$11:$BB$406,38,FALSE)+VLOOKUP($A250,'ПР 21-22'!$A$11:$BB$406,38,FALSE)-VLOOKUP($A250,'ПР 01-02.22'!$A$11:$BB$378,38,FALSE)</f>
        <v>1665</v>
      </c>
      <c r="AM250" s="40"/>
      <c r="AN250" s="5">
        <f>VLOOKUP($A250,'ПР 01-02.21'!$A$11:$BB$406,40,FALSE)+VLOOKUP($A250,'ПР 21-22'!$A$11:$BB$406,40,FALSE)-VLOOKUP($A250,'ПР 01-02.22'!$A$11:$BB$378,40,FALSE)</f>
        <v>0</v>
      </c>
      <c r="AO250" s="5">
        <f>VLOOKUP($A250,'ПР 01-02.21'!$A$11:$BB$406,41,FALSE)+VLOOKUP($A250,'ПР 21-22'!$A$11:$BB$406,41,FALSE)-VLOOKUP($A250,'ПР 01-02.22'!$A$11:$BB$378,41,FALSE)</f>
        <v>0</v>
      </c>
      <c r="AP250" s="40"/>
      <c r="AQ250" s="5">
        <f>VLOOKUP($A250,'ПР 01-02.21'!$A$11:$BB$406,43,FALSE)+VLOOKUP($A250,'ПР 21-22'!$A$11:$BB$406,43,FALSE)-VLOOKUP($A250,'ПР 01-02.22'!$A$11:$BB$378,43,FALSE)</f>
        <v>0</v>
      </c>
      <c r="AR250" s="5">
        <f>VLOOKUP($A250,'ПР 01-02.21'!$A$11:$BB$406,44,FALSE)+VLOOKUP($A250,'ПР 21-22'!$A$11:$BB$406,44,FALSE)-VLOOKUP($A250,'ПР 01-02.22'!$A$11:$BB$378,44,FALSE)</f>
        <v>0</v>
      </c>
      <c r="AS250" s="40"/>
      <c r="AT250" s="5">
        <f>VLOOKUP($A250,'ПР 01-02.21'!$A$11:$BB$406,46,FALSE)+VLOOKUP($A250,'ПР 21-22'!$A$11:$BB$406,46,FALSE)-VLOOKUP($A250,'ПР 01-02.22'!$A$11:$BB$378,46,FALSE)</f>
        <v>1510.3807002745709</v>
      </c>
      <c r="AU250" s="5">
        <f>VLOOKUP($A250,'ПР 01-02.21'!$A$11:$BB$406,47,FALSE)+VLOOKUP($A250,'ПР 21-22'!$A$11:$BB$406,47,FALSE)-VLOOKUP($A250,'ПР 01-02.22'!$A$11:$BB$378,47,FALSE)</f>
        <v>0</v>
      </c>
      <c r="AV250" s="40"/>
      <c r="AW250" s="5">
        <f>VLOOKUP($A250,'ПР 01-02.21'!$A$11:$BB$406,49,FALSE)+VLOOKUP($A250,'ПР 21-22'!$A$11:$BB$406,49,FALSE)-VLOOKUP($A250,'ПР 01-02.22'!$A$11:$BB$378,49,FALSE)</f>
        <v>131.684</v>
      </c>
      <c r="AX250" s="5">
        <f>VLOOKUP($A250,'ПР 01-02.21'!$A$11:$BB$406,50,FALSE)+VLOOKUP($A250,'ПР 21-22'!$A$11:$BB$406,50,FALSE)-VLOOKUP($A250,'ПР 01-02.22'!$A$11:$BB$378,50,FALSE)</f>
        <v>0</v>
      </c>
      <c r="AY250" s="40"/>
      <c r="AZ250" s="40">
        <f t="shared" si="17"/>
        <v>8502.0530935703355</v>
      </c>
      <c r="BA250" s="40">
        <f t="shared" si="17"/>
        <v>1820</v>
      </c>
      <c r="BB250" s="55">
        <f t="shared" si="16"/>
        <v>-6682.0530935703355</v>
      </c>
      <c r="BD250" s="2">
        <v>2</v>
      </c>
      <c r="BF250" s="325">
        <v>150001046</v>
      </c>
    </row>
    <row r="251" spans="1:58" ht="23.1" customHeight="1" x14ac:dyDescent="0.3">
      <c r="A251" s="325">
        <v>150001040</v>
      </c>
      <c r="B251" s="445" t="s">
        <v>217</v>
      </c>
      <c r="C251" s="27">
        <v>4</v>
      </c>
      <c r="D251" s="101" t="s">
        <v>455</v>
      </c>
      <c r="E251" s="279">
        <f>'побудинковий звіт'!E249</f>
        <v>2483.1999999999998</v>
      </c>
      <c r="F251" s="441">
        <f>'побудинковий звіт'!AS249</f>
        <v>31024.621251793986</v>
      </c>
      <c r="G251" s="441">
        <f t="shared" si="14"/>
        <v>5222</v>
      </c>
      <c r="H251" s="73">
        <f t="shared" si="15"/>
        <v>-25802.621251793986</v>
      </c>
      <c r="I251" s="5">
        <f>VLOOKUP($A251,'ПР 01-02.21'!$A$11:$BB$406,9,FALSE)+VLOOKUP($A251,'ПР 21-22'!$A$11:$BB$406,9,FALSE)-VLOOKUP($A251,'ПР 01-02.22'!$A$11:$BB$378,9,FALSE)</f>
        <v>0</v>
      </c>
      <c r="J251" s="5">
        <f>VLOOKUP($A251,'ПР 01-02.21'!$A$11:$BB$406,10,FALSE)+VLOOKUP($A251,'ПР 21-22'!$A$11:$BB$406,10,FALSE)-VLOOKUP($A251,'ПР 01-02.22'!$A$11:$BB$378,10,FALSE)</f>
        <v>242</v>
      </c>
      <c r="K251" s="446"/>
      <c r="L251" s="5">
        <f>VLOOKUP($A251,'ПР 01-02.21'!$A$11:$BB$406,12,FALSE)+VLOOKUP($A251,'ПР 21-22'!$A$11:$BB$406,12,FALSE)-VLOOKUP($A251,'ПР 01-02.22'!$A$11:$BB$378,12,FALSE)</f>
        <v>0</v>
      </c>
      <c r="M251" s="5">
        <f>VLOOKUP($A251,'ПР 01-02.21'!$A$11:$BB$406,13,FALSE)+VLOOKUP($A251,'ПР 21-22'!$A$11:$BB$406,13,FALSE)-VLOOKUP($A251,'ПР 01-02.22'!$A$11:$BB$378,13,FALSE)</f>
        <v>0</v>
      </c>
      <c r="N251" s="38"/>
      <c r="O251" s="5">
        <f>VLOOKUP($A251,'ПР 01-02.21'!$A$11:$BB$406,15,FALSE)+VLOOKUP($A251,'ПР 21-22'!$A$11:$BB$406,15,FALSE)-VLOOKUP($A251,'ПР 01-02.22'!$A$11:$BB$378,15,FALSE)</f>
        <v>0</v>
      </c>
      <c r="P251" s="5">
        <f>VLOOKUP($A251,'ПР 01-02.21'!$A$11:$BB$406,16,FALSE)+VLOOKUP($A251,'ПР 21-22'!$A$11:$BB$406,16,FALSE)-VLOOKUP($A251,'ПР 01-02.22'!$A$11:$BB$378,16,FALSE)</f>
        <v>0</v>
      </c>
      <c r="Q251" s="443"/>
      <c r="R251" s="5">
        <f>VLOOKUP($A251,'ПР 01-02.21'!$A$11:$BB$406,18,FALSE)+VLOOKUP($A251,'ПР 21-22'!$A$11:$BB$406,18,FALSE)-VLOOKUP($A251,'ПР 01-02.22'!$A$11:$BB$378,18,FALSE)</f>
        <v>0</v>
      </c>
      <c r="S251" s="5">
        <f>VLOOKUP($A251,'ПР 01-02.21'!$A$11:$BB$406,19,FALSE)+VLOOKUP($A251,'ПР 21-22'!$A$11:$BB$406,19,FALSE)-VLOOKUP($A251,'ПР 01-02.22'!$A$11:$BB$378,19,FALSE)</f>
        <v>0</v>
      </c>
      <c r="T251" s="444"/>
      <c r="U251" s="5">
        <f>VLOOKUP($A251,'ПР 01-02.21'!$A$11:$BB$406,21,FALSE)+VLOOKUP($A251,'ПР 21-22'!$A$11:$BB$406,21,FALSE)-VLOOKUP($A251,'ПР 01-02.22'!$A$11:$BB$378,21,FALSE)</f>
        <v>0</v>
      </c>
      <c r="V251" s="5"/>
      <c r="W251" s="5">
        <f>VLOOKUP($A251,'ПР 01-02.21'!$A$11:$BB$406,23,FALSE)+VLOOKUP($A251,'ПР 21-22'!$A$11:$BB$406,23,FALSE)-VLOOKUP($A251,'ПР 01-02.22'!$A$11:$BB$378,23,FALSE)</f>
        <v>0</v>
      </c>
      <c r="X251" s="5">
        <f>VLOOKUP($A251,'ПР 01-02.21'!$A$11:$BB$406,24,FALSE)+VLOOKUP($A251,'ПР 21-22'!$A$11:$BB$406,24,FALSE)-VLOOKUP($A251,'ПР 01-02.22'!$A$11:$BB$378,24,FALSE)</f>
        <v>0</v>
      </c>
      <c r="Y251" s="5">
        <f>VLOOKUP($A251,'ПР 01-02.21'!$A$11:$BB$406,25,FALSE)+VLOOKUP($A251,'ПР 21-22'!$A$11:$BB$406,25,FALSE)-VLOOKUP($A251,'ПР 01-02.22'!$A$11:$BB$378,25,FALSE)</f>
        <v>449</v>
      </c>
      <c r="Z251" s="5"/>
      <c r="AA251" s="5">
        <f>VLOOKUP($A251,'ПР 01-02.21'!$A$11:$BB$406,27,FALSE)+VLOOKUP($A251,'ПР 21-22'!$A$11:$BB$406,27,FALSE)-VLOOKUP($A251,'ПР 01-02.22'!$A$11:$BB$378,27,FALSE)</f>
        <v>0</v>
      </c>
      <c r="AB251" s="5">
        <f>VLOOKUP($A251,'ПР 01-02.21'!$A$11:$BB$406,28,FALSE)+VLOOKUP($A251,'ПР 21-22'!$A$11:$BB$406,28,FALSE)-VLOOKUP($A251,'ПР 01-02.22'!$A$11:$BB$378,28,FALSE)</f>
        <v>0</v>
      </c>
      <c r="AC251" s="5">
        <f>VLOOKUP($A251,'ПР 01-02.21'!$A$11:$BB$406,29,FALSE)+VLOOKUP($A251,'ПР 21-22'!$A$11:$BB$406,29,FALSE)-VLOOKUP($A251,'ПР 01-02.22'!$A$11:$BB$378,29,FALSE)</f>
        <v>0</v>
      </c>
      <c r="AD251" s="5">
        <f>VLOOKUP($A251,'ПР 01-02.21'!$A$11:$BB$406,30,FALSE)+VLOOKUP($A251,'ПР 21-22'!$A$11:$BB$406,30,FALSE)-VLOOKUP($A251,'ПР 01-02.22'!$A$11:$BB$378,30,FALSE)</f>
        <v>4531</v>
      </c>
      <c r="AE251" s="5">
        <f>VLOOKUP($A251,'ПР 01-02.21'!$A$11:$BB$406,31,FALSE)+VLOOKUP($A251,'ПР 21-22'!$A$11:$BB$406,31,FALSE)-VLOOKUP($A251,'ПР 01-02.22'!$A$11:$BB$378,31,FALSE)</f>
        <v>2534.8940873074962</v>
      </c>
      <c r="AF251" s="5">
        <f>VLOOKUP($A251,'ПР 01-02.21'!$A$11:$BB$406,32,FALSE)+VLOOKUP($A251,'ПР 21-22'!$A$11:$BB$406,32,FALSE)-VLOOKUP($A251,'ПР 01-02.22'!$A$11:$BB$378,32,FALSE)</f>
        <v>4572</v>
      </c>
      <c r="AG251" s="40"/>
      <c r="AH251" s="5">
        <f>VLOOKUP($A251,'ПР 01-02.21'!$A$11:$BB$406,34,FALSE)+VLOOKUP($A251,'ПР 21-22'!$A$11:$BB$406,34,FALSE)-VLOOKUP($A251,'ПР 01-02.22'!$A$11:$BB$378,34,FALSE)</f>
        <v>4161.4254027080669</v>
      </c>
      <c r="AI251" s="5">
        <f>VLOOKUP($A251,'ПР 01-02.21'!$A$11:$BB$406,35,FALSE)+VLOOKUP($A251,'ПР 21-22'!$A$11:$BB$406,35,FALSE)-VLOOKUP($A251,'ПР 01-02.22'!$A$11:$BB$378,35,FALSE)</f>
        <v>0</v>
      </c>
      <c r="AJ251" s="40"/>
      <c r="AK251" s="5">
        <f>VLOOKUP($A251,'ПР 01-02.21'!$A$11:$BB$406,37,FALSE)+VLOOKUP($A251,'ПР 21-22'!$A$11:$BB$406,37,FALSE)-VLOOKUP($A251,'ПР 01-02.22'!$A$11:$BB$378,37,FALSE)</f>
        <v>1179.3278211884463</v>
      </c>
      <c r="AL251" s="5">
        <f>VLOOKUP($A251,'ПР 01-02.21'!$A$11:$BB$406,38,FALSE)+VLOOKUP($A251,'ПР 21-22'!$A$11:$BB$406,38,FALSE)-VLOOKUP($A251,'ПР 01-02.22'!$A$11:$BB$378,38,FALSE)</f>
        <v>6637</v>
      </c>
      <c r="AM251" s="40"/>
      <c r="AN251" s="5">
        <f>VLOOKUP($A251,'ПР 01-02.21'!$A$11:$BB$406,40,FALSE)+VLOOKUP($A251,'ПР 21-22'!$A$11:$BB$406,40,FALSE)-VLOOKUP($A251,'ПР 01-02.22'!$A$11:$BB$378,40,FALSE)</f>
        <v>0</v>
      </c>
      <c r="AO251" s="5">
        <f>VLOOKUP($A251,'ПР 01-02.21'!$A$11:$BB$406,41,FALSE)+VLOOKUP($A251,'ПР 21-22'!$A$11:$BB$406,41,FALSE)-VLOOKUP($A251,'ПР 01-02.22'!$A$11:$BB$378,41,FALSE)</f>
        <v>0</v>
      </c>
      <c r="AP251" s="40"/>
      <c r="AQ251" s="5">
        <f>VLOOKUP($A251,'ПР 01-02.21'!$A$11:$BB$406,43,FALSE)+VLOOKUP($A251,'ПР 21-22'!$A$11:$BB$406,43,FALSE)-VLOOKUP($A251,'ПР 01-02.22'!$A$11:$BB$378,43,FALSE)</f>
        <v>0</v>
      </c>
      <c r="AR251" s="5">
        <f>VLOOKUP($A251,'ПР 01-02.21'!$A$11:$BB$406,44,FALSE)+VLOOKUP($A251,'ПР 21-22'!$A$11:$BB$406,44,FALSE)-VLOOKUP($A251,'ПР 01-02.22'!$A$11:$BB$378,44,FALSE)</f>
        <v>0</v>
      </c>
      <c r="AS251" s="40"/>
      <c r="AT251" s="5">
        <f>VLOOKUP($A251,'ПР 01-02.21'!$A$11:$BB$406,46,FALSE)+VLOOKUP($A251,'ПР 21-22'!$A$11:$BB$406,46,FALSE)-VLOOKUP($A251,'ПР 01-02.22'!$A$11:$BB$378,46,FALSE)</f>
        <v>2795.8752424979302</v>
      </c>
      <c r="AU251" s="5">
        <f>VLOOKUP($A251,'ПР 01-02.21'!$A$11:$BB$406,47,FALSE)+VLOOKUP($A251,'ПР 21-22'!$A$11:$BB$406,47,FALSE)-VLOOKUP($A251,'ПР 01-02.22'!$A$11:$BB$378,47,FALSE)</f>
        <v>0</v>
      </c>
      <c r="AV251" s="40"/>
      <c r="AW251" s="5">
        <f>VLOOKUP($A251,'ПР 01-02.21'!$A$11:$BB$406,49,FALSE)+VLOOKUP($A251,'ПР 21-22'!$A$11:$BB$406,49,FALSE)-VLOOKUP($A251,'ПР 01-02.22'!$A$11:$BB$378,49,FALSE)</f>
        <v>120.2568</v>
      </c>
      <c r="AX251" s="5">
        <f>VLOOKUP($A251,'ПР 01-02.21'!$A$11:$BB$406,50,FALSE)+VLOOKUP($A251,'ПР 21-22'!$A$11:$BB$406,50,FALSE)-VLOOKUP($A251,'ПР 01-02.22'!$A$11:$BB$378,50,FALSE)</f>
        <v>0</v>
      </c>
      <c r="AY251" s="40"/>
      <c r="AZ251" s="40">
        <f t="shared" si="17"/>
        <v>10791.779353701939</v>
      </c>
      <c r="BA251" s="40">
        <f t="shared" si="17"/>
        <v>11209</v>
      </c>
      <c r="BB251" s="55">
        <f t="shared" si="16"/>
        <v>417.22064629806118</v>
      </c>
      <c r="BD251" s="2">
        <v>2</v>
      </c>
      <c r="BF251" s="325">
        <v>150001040</v>
      </c>
    </row>
    <row r="252" spans="1:58" ht="24.9" customHeight="1" x14ac:dyDescent="0.3">
      <c r="A252" s="325">
        <v>150001047</v>
      </c>
      <c r="B252" s="445" t="s">
        <v>180</v>
      </c>
      <c r="C252" s="27">
        <v>2</v>
      </c>
      <c r="D252" s="101" t="s">
        <v>455</v>
      </c>
      <c r="E252" s="279">
        <f>'побудинковий звіт'!E250</f>
        <v>762.81000000000006</v>
      </c>
      <c r="F252" s="441">
        <f>'побудинковий звіт'!AS250</f>
        <v>7098.439454619257</v>
      </c>
      <c r="G252" s="441">
        <f t="shared" si="14"/>
        <v>0</v>
      </c>
      <c r="H252" s="73">
        <f t="shared" si="15"/>
        <v>-7098.439454619257</v>
      </c>
      <c r="I252" s="5">
        <f>VLOOKUP($A252,'ПР 01-02.21'!$A$11:$BB$406,9,FALSE)+VLOOKUP($A252,'ПР 21-22'!$A$11:$BB$406,9,FALSE)-VLOOKUP($A252,'ПР 01-02.22'!$A$11:$BB$378,9,FALSE)</f>
        <v>0</v>
      </c>
      <c r="J252" s="5">
        <f>VLOOKUP($A252,'ПР 01-02.21'!$A$11:$BB$406,10,FALSE)+VLOOKUP($A252,'ПР 21-22'!$A$11:$BB$406,10,FALSE)-VLOOKUP($A252,'ПР 01-02.22'!$A$11:$BB$378,10,FALSE)</f>
        <v>0</v>
      </c>
      <c r="K252" s="446"/>
      <c r="L252" s="5">
        <f>VLOOKUP($A252,'ПР 01-02.21'!$A$11:$BB$406,12,FALSE)+VLOOKUP($A252,'ПР 21-22'!$A$11:$BB$406,12,FALSE)-VLOOKUP($A252,'ПР 01-02.22'!$A$11:$BB$378,12,FALSE)</f>
        <v>0</v>
      </c>
      <c r="M252" s="5">
        <f>VLOOKUP($A252,'ПР 01-02.21'!$A$11:$BB$406,13,FALSE)+VLOOKUP($A252,'ПР 21-22'!$A$11:$BB$406,13,FALSE)-VLOOKUP($A252,'ПР 01-02.22'!$A$11:$BB$378,13,FALSE)</f>
        <v>0</v>
      </c>
      <c r="N252" s="38"/>
      <c r="O252" s="5">
        <f>VLOOKUP($A252,'ПР 01-02.21'!$A$11:$BB$406,15,FALSE)+VLOOKUP($A252,'ПР 21-22'!$A$11:$BB$406,15,FALSE)-VLOOKUP($A252,'ПР 01-02.22'!$A$11:$BB$378,15,FALSE)</f>
        <v>0</v>
      </c>
      <c r="P252" s="5">
        <f>VLOOKUP($A252,'ПР 01-02.21'!$A$11:$BB$406,16,FALSE)+VLOOKUP($A252,'ПР 21-22'!$A$11:$BB$406,16,FALSE)-VLOOKUP($A252,'ПР 01-02.22'!$A$11:$BB$378,16,FALSE)</f>
        <v>0</v>
      </c>
      <c r="Q252" s="443"/>
      <c r="R252" s="5">
        <f>VLOOKUP($A252,'ПР 01-02.21'!$A$11:$BB$406,18,FALSE)+VLOOKUP($A252,'ПР 21-22'!$A$11:$BB$406,18,FALSE)-VLOOKUP($A252,'ПР 01-02.22'!$A$11:$BB$378,18,FALSE)</f>
        <v>0</v>
      </c>
      <c r="S252" s="5">
        <f>VLOOKUP($A252,'ПР 01-02.21'!$A$11:$BB$406,19,FALSE)+VLOOKUP($A252,'ПР 21-22'!$A$11:$BB$406,19,FALSE)-VLOOKUP($A252,'ПР 01-02.22'!$A$11:$BB$378,19,FALSE)</f>
        <v>0</v>
      </c>
      <c r="T252" s="444"/>
      <c r="U252" s="5">
        <f>VLOOKUP($A252,'ПР 01-02.21'!$A$11:$BB$406,21,FALSE)+VLOOKUP($A252,'ПР 21-22'!$A$11:$BB$406,21,FALSE)-VLOOKUP($A252,'ПР 01-02.22'!$A$11:$BB$378,21,FALSE)</f>
        <v>0</v>
      </c>
      <c r="V252" s="5"/>
      <c r="W252" s="5">
        <f>VLOOKUP($A252,'ПР 01-02.21'!$A$11:$BB$406,23,FALSE)+VLOOKUP($A252,'ПР 21-22'!$A$11:$BB$406,23,FALSE)-VLOOKUP($A252,'ПР 01-02.22'!$A$11:$BB$378,23,FALSE)</f>
        <v>0</v>
      </c>
      <c r="X252" s="5">
        <f>VLOOKUP($A252,'ПР 01-02.21'!$A$11:$BB$406,24,FALSE)+VLOOKUP($A252,'ПР 21-22'!$A$11:$BB$406,24,FALSE)-VLOOKUP($A252,'ПР 01-02.22'!$A$11:$BB$378,24,FALSE)</f>
        <v>0</v>
      </c>
      <c r="Y252" s="5">
        <f>VLOOKUP($A252,'ПР 01-02.21'!$A$11:$BB$406,25,FALSE)+VLOOKUP($A252,'ПР 21-22'!$A$11:$BB$406,25,FALSE)-VLOOKUP($A252,'ПР 01-02.22'!$A$11:$BB$378,25,FALSE)</f>
        <v>0</v>
      </c>
      <c r="Z252" s="5"/>
      <c r="AA252" s="5">
        <f>VLOOKUP($A252,'ПР 01-02.21'!$A$11:$BB$406,27,FALSE)+VLOOKUP($A252,'ПР 21-22'!$A$11:$BB$406,27,FALSE)-VLOOKUP($A252,'ПР 01-02.22'!$A$11:$BB$378,27,FALSE)</f>
        <v>0</v>
      </c>
      <c r="AB252" s="5">
        <f>VLOOKUP($A252,'ПР 01-02.21'!$A$11:$BB$406,28,FALSE)+VLOOKUP($A252,'ПР 21-22'!$A$11:$BB$406,28,FALSE)-VLOOKUP($A252,'ПР 01-02.22'!$A$11:$BB$378,28,FALSE)</f>
        <v>0</v>
      </c>
      <c r="AC252" s="5">
        <f>VLOOKUP($A252,'ПР 01-02.21'!$A$11:$BB$406,29,FALSE)+VLOOKUP($A252,'ПР 21-22'!$A$11:$BB$406,29,FALSE)-VLOOKUP($A252,'ПР 01-02.22'!$A$11:$BB$378,29,FALSE)</f>
        <v>0</v>
      </c>
      <c r="AD252" s="5">
        <f>VLOOKUP($A252,'ПР 01-02.21'!$A$11:$BB$406,30,FALSE)+VLOOKUP($A252,'ПР 21-22'!$A$11:$BB$406,30,FALSE)-VLOOKUP($A252,'ПР 01-02.22'!$A$11:$BB$378,30,FALSE)</f>
        <v>0</v>
      </c>
      <c r="AE252" s="5">
        <f>VLOOKUP($A252,'ПР 01-02.21'!$A$11:$BB$406,31,FALSE)+VLOOKUP($A252,'ПР 21-22'!$A$11:$BB$406,31,FALSE)-VLOOKUP($A252,'ПР 01-02.22'!$A$11:$BB$378,31,FALSE)</f>
        <v>764.07254734579897</v>
      </c>
      <c r="AF252" s="5">
        <f>VLOOKUP($A252,'ПР 01-02.21'!$A$11:$BB$406,32,FALSE)+VLOOKUP($A252,'ПР 21-22'!$A$11:$BB$406,32,FALSE)-VLOOKUP($A252,'ПР 01-02.22'!$A$11:$BB$378,32,FALSE)</f>
        <v>232</v>
      </c>
      <c r="AG252" s="40"/>
      <c r="AH252" s="5">
        <f>VLOOKUP($A252,'ПР 01-02.21'!$A$11:$BB$406,34,FALSE)+VLOOKUP($A252,'ПР 21-22'!$A$11:$BB$406,34,FALSE)-VLOOKUP($A252,'ПР 01-02.22'!$A$11:$BB$378,34,FALSE)</f>
        <v>775.05853740112298</v>
      </c>
      <c r="AI252" s="5">
        <f>VLOOKUP($A252,'ПР 01-02.21'!$A$11:$BB$406,35,FALSE)+VLOOKUP($A252,'ПР 21-22'!$A$11:$BB$406,35,FALSE)-VLOOKUP($A252,'ПР 01-02.22'!$A$11:$BB$378,35,FALSE)</f>
        <v>0</v>
      </c>
      <c r="AJ252" s="40"/>
      <c r="AK252" s="5">
        <f>VLOOKUP($A252,'ПР 01-02.21'!$A$11:$BB$406,37,FALSE)+VLOOKUP($A252,'ПР 21-22'!$A$11:$BB$406,37,FALSE)-VLOOKUP($A252,'ПР 01-02.22'!$A$11:$BB$378,37,FALSE)</f>
        <v>415.61102458571554</v>
      </c>
      <c r="AL252" s="5">
        <f>VLOOKUP($A252,'ПР 01-02.21'!$A$11:$BB$406,38,FALSE)+VLOOKUP($A252,'ПР 21-22'!$A$11:$BB$406,38,FALSE)-VLOOKUP($A252,'ПР 01-02.22'!$A$11:$BB$378,38,FALSE)</f>
        <v>0</v>
      </c>
      <c r="AM252" s="40"/>
      <c r="AN252" s="5">
        <f>VLOOKUP($A252,'ПР 01-02.21'!$A$11:$BB$406,40,FALSE)+VLOOKUP($A252,'ПР 21-22'!$A$11:$BB$406,40,FALSE)-VLOOKUP($A252,'ПР 01-02.22'!$A$11:$BB$378,40,FALSE)</f>
        <v>0</v>
      </c>
      <c r="AO252" s="5">
        <f>VLOOKUP($A252,'ПР 01-02.21'!$A$11:$BB$406,41,FALSE)+VLOOKUP($A252,'ПР 21-22'!$A$11:$BB$406,41,FALSE)-VLOOKUP($A252,'ПР 01-02.22'!$A$11:$BB$378,41,FALSE)</f>
        <v>0</v>
      </c>
      <c r="AP252" s="40"/>
      <c r="AQ252" s="5">
        <f>VLOOKUP($A252,'ПР 01-02.21'!$A$11:$BB$406,43,FALSE)+VLOOKUP($A252,'ПР 21-22'!$A$11:$BB$406,43,FALSE)-VLOOKUP($A252,'ПР 01-02.22'!$A$11:$BB$378,43,FALSE)</f>
        <v>0</v>
      </c>
      <c r="AR252" s="5">
        <f>VLOOKUP($A252,'ПР 01-02.21'!$A$11:$BB$406,44,FALSE)+VLOOKUP($A252,'ПР 21-22'!$A$11:$BB$406,44,FALSE)-VLOOKUP($A252,'ПР 01-02.22'!$A$11:$BB$378,44,FALSE)</f>
        <v>0</v>
      </c>
      <c r="AS252" s="40"/>
      <c r="AT252" s="5">
        <f>VLOOKUP($A252,'ПР 01-02.21'!$A$11:$BB$406,46,FALSE)+VLOOKUP($A252,'ПР 21-22'!$A$11:$BB$406,46,FALSE)-VLOOKUP($A252,'ПР 01-02.22'!$A$11:$BB$378,46,FALSE)</f>
        <v>127.13638140278567</v>
      </c>
      <c r="AU252" s="5">
        <f>VLOOKUP($A252,'ПР 01-02.21'!$A$11:$BB$406,47,FALSE)+VLOOKUP($A252,'ПР 21-22'!$A$11:$BB$406,47,FALSE)-VLOOKUP($A252,'ПР 01-02.22'!$A$11:$BB$378,47,FALSE)</f>
        <v>0</v>
      </c>
      <c r="AV252" s="40"/>
      <c r="AW252" s="5">
        <f>VLOOKUP($A252,'ПР 01-02.21'!$A$11:$BB$406,49,FALSE)+VLOOKUP($A252,'ПР 21-22'!$A$11:$BB$406,49,FALSE)-VLOOKUP($A252,'ПР 01-02.22'!$A$11:$BB$378,49,FALSE)</f>
        <v>38.5124</v>
      </c>
      <c r="AX252" s="5">
        <f>VLOOKUP($A252,'ПР 01-02.21'!$A$11:$BB$406,50,FALSE)+VLOOKUP($A252,'ПР 21-22'!$A$11:$BB$406,50,FALSE)-VLOOKUP($A252,'ПР 01-02.22'!$A$11:$BB$378,50,FALSE)</f>
        <v>0</v>
      </c>
      <c r="AY252" s="40"/>
      <c r="AZ252" s="40">
        <f t="shared" si="17"/>
        <v>2120.390890735423</v>
      </c>
      <c r="BA252" s="40">
        <f t="shared" si="17"/>
        <v>232</v>
      </c>
      <c r="BB252" s="55">
        <f t="shared" si="16"/>
        <v>-1888.390890735423</v>
      </c>
      <c r="BD252" s="2">
        <v>2</v>
      </c>
      <c r="BF252" s="325">
        <v>150001047</v>
      </c>
    </row>
    <row r="253" spans="1:58" ht="24.9" customHeight="1" x14ac:dyDescent="0.3">
      <c r="A253" s="325">
        <v>150001048</v>
      </c>
      <c r="B253" s="445" t="s">
        <v>126</v>
      </c>
      <c r="C253" s="27">
        <v>1</v>
      </c>
      <c r="D253" s="101" t="s">
        <v>455</v>
      </c>
      <c r="E253" s="279">
        <f>'побудинковий звіт'!E251</f>
        <v>63</v>
      </c>
      <c r="F253" s="441">
        <f>'побудинковий звіт'!AS251</f>
        <v>905.16540091958939</v>
      </c>
      <c r="G253" s="441">
        <f t="shared" si="14"/>
        <v>0</v>
      </c>
      <c r="H253" s="73">
        <f t="shared" si="15"/>
        <v>-905.16540091958939</v>
      </c>
      <c r="I253" s="5">
        <f>VLOOKUP($A253,'ПР 01-02.21'!$A$11:$BB$406,9,FALSE)+VLOOKUP($A253,'ПР 21-22'!$A$11:$BB$406,9,FALSE)-VLOOKUP($A253,'ПР 01-02.22'!$A$11:$BB$378,9,FALSE)</f>
        <v>0</v>
      </c>
      <c r="J253" s="5">
        <f>VLOOKUP($A253,'ПР 01-02.21'!$A$11:$BB$406,10,FALSE)+VLOOKUP($A253,'ПР 21-22'!$A$11:$BB$406,10,FALSE)-VLOOKUP($A253,'ПР 01-02.22'!$A$11:$BB$378,10,FALSE)</f>
        <v>0</v>
      </c>
      <c r="K253" s="446"/>
      <c r="L253" s="5">
        <f>VLOOKUP($A253,'ПР 01-02.21'!$A$11:$BB$406,12,FALSE)+VLOOKUP($A253,'ПР 21-22'!$A$11:$BB$406,12,FALSE)-VLOOKUP($A253,'ПР 01-02.22'!$A$11:$BB$378,12,FALSE)</f>
        <v>0</v>
      </c>
      <c r="M253" s="5">
        <f>VLOOKUP($A253,'ПР 01-02.21'!$A$11:$BB$406,13,FALSE)+VLOOKUP($A253,'ПР 21-22'!$A$11:$BB$406,13,FALSE)-VLOOKUP($A253,'ПР 01-02.22'!$A$11:$BB$378,13,FALSE)</f>
        <v>0</v>
      </c>
      <c r="N253" s="38"/>
      <c r="O253" s="5">
        <f>VLOOKUP($A253,'ПР 01-02.21'!$A$11:$BB$406,15,FALSE)+VLOOKUP($A253,'ПР 21-22'!$A$11:$BB$406,15,FALSE)-VLOOKUP($A253,'ПР 01-02.22'!$A$11:$BB$378,15,FALSE)</f>
        <v>0</v>
      </c>
      <c r="P253" s="5">
        <f>VLOOKUP($A253,'ПР 01-02.21'!$A$11:$BB$406,16,FALSE)+VLOOKUP($A253,'ПР 21-22'!$A$11:$BB$406,16,FALSE)-VLOOKUP($A253,'ПР 01-02.22'!$A$11:$BB$378,16,FALSE)</f>
        <v>0</v>
      </c>
      <c r="Q253" s="443"/>
      <c r="R253" s="5">
        <f>VLOOKUP($A253,'ПР 01-02.21'!$A$11:$BB$406,18,FALSE)+VLOOKUP($A253,'ПР 21-22'!$A$11:$BB$406,18,FALSE)-VLOOKUP($A253,'ПР 01-02.22'!$A$11:$BB$378,18,FALSE)</f>
        <v>0</v>
      </c>
      <c r="S253" s="5">
        <f>VLOOKUP($A253,'ПР 01-02.21'!$A$11:$BB$406,19,FALSE)+VLOOKUP($A253,'ПР 21-22'!$A$11:$BB$406,19,FALSE)-VLOOKUP($A253,'ПР 01-02.22'!$A$11:$BB$378,19,FALSE)</f>
        <v>0</v>
      </c>
      <c r="T253" s="444"/>
      <c r="U253" s="5">
        <f>VLOOKUP($A253,'ПР 01-02.21'!$A$11:$BB$406,21,FALSE)+VLOOKUP($A253,'ПР 21-22'!$A$11:$BB$406,21,FALSE)-VLOOKUP($A253,'ПР 01-02.22'!$A$11:$BB$378,21,FALSE)</f>
        <v>0</v>
      </c>
      <c r="V253" s="5"/>
      <c r="W253" s="5">
        <f>VLOOKUP($A253,'ПР 01-02.21'!$A$11:$BB$406,23,FALSE)+VLOOKUP($A253,'ПР 21-22'!$A$11:$BB$406,23,FALSE)-VLOOKUP($A253,'ПР 01-02.22'!$A$11:$BB$378,23,FALSE)</f>
        <v>0</v>
      </c>
      <c r="X253" s="5">
        <f>VLOOKUP($A253,'ПР 01-02.21'!$A$11:$BB$406,24,FALSE)+VLOOKUP($A253,'ПР 21-22'!$A$11:$BB$406,24,FALSE)-VLOOKUP($A253,'ПР 01-02.22'!$A$11:$BB$378,24,FALSE)</f>
        <v>0</v>
      </c>
      <c r="Y253" s="5">
        <f>VLOOKUP($A253,'ПР 01-02.21'!$A$11:$BB$406,25,FALSE)+VLOOKUP($A253,'ПР 21-22'!$A$11:$BB$406,25,FALSE)-VLOOKUP($A253,'ПР 01-02.22'!$A$11:$BB$378,25,FALSE)</f>
        <v>0</v>
      </c>
      <c r="Z253" s="5"/>
      <c r="AA253" s="5">
        <f>VLOOKUP($A253,'ПР 01-02.21'!$A$11:$BB$406,27,FALSE)+VLOOKUP($A253,'ПР 21-22'!$A$11:$BB$406,27,FALSE)-VLOOKUP($A253,'ПР 01-02.22'!$A$11:$BB$378,27,FALSE)</f>
        <v>0</v>
      </c>
      <c r="AB253" s="5">
        <f>VLOOKUP($A253,'ПР 01-02.21'!$A$11:$BB$406,28,FALSE)+VLOOKUP($A253,'ПР 21-22'!$A$11:$BB$406,28,FALSE)-VLOOKUP($A253,'ПР 01-02.22'!$A$11:$BB$378,28,FALSE)</f>
        <v>0</v>
      </c>
      <c r="AC253" s="5">
        <f>VLOOKUP($A253,'ПР 01-02.21'!$A$11:$BB$406,29,FALSE)+VLOOKUP($A253,'ПР 21-22'!$A$11:$BB$406,29,FALSE)-VLOOKUP($A253,'ПР 01-02.22'!$A$11:$BB$378,29,FALSE)</f>
        <v>0</v>
      </c>
      <c r="AD253" s="5">
        <f>VLOOKUP($A253,'ПР 01-02.21'!$A$11:$BB$406,30,FALSE)+VLOOKUP($A253,'ПР 21-22'!$A$11:$BB$406,30,FALSE)-VLOOKUP($A253,'ПР 01-02.22'!$A$11:$BB$378,30,FALSE)</f>
        <v>0</v>
      </c>
      <c r="AE253" s="5">
        <f>VLOOKUP($A253,'ПР 01-02.21'!$A$11:$BB$406,31,FALSE)+VLOOKUP($A253,'ПР 21-22'!$A$11:$BB$406,31,FALSE)-VLOOKUP($A253,'ПР 01-02.22'!$A$11:$BB$378,31,FALSE)</f>
        <v>0</v>
      </c>
      <c r="AF253" s="5">
        <f>VLOOKUP($A253,'ПР 01-02.21'!$A$11:$BB$406,32,FALSE)+VLOOKUP($A253,'ПР 21-22'!$A$11:$BB$406,32,FALSE)-VLOOKUP($A253,'ПР 01-02.22'!$A$11:$BB$378,32,FALSE)</f>
        <v>0</v>
      </c>
      <c r="AG253" s="40"/>
      <c r="AH253" s="5">
        <f>VLOOKUP($A253,'ПР 01-02.21'!$A$11:$BB$406,34,FALSE)+VLOOKUP($A253,'ПР 21-22'!$A$11:$BB$406,34,FALSE)-VLOOKUP($A253,'ПР 01-02.22'!$A$11:$BB$378,34,FALSE)</f>
        <v>0</v>
      </c>
      <c r="AI253" s="5">
        <f>VLOOKUP($A253,'ПР 01-02.21'!$A$11:$BB$406,35,FALSE)+VLOOKUP($A253,'ПР 21-22'!$A$11:$BB$406,35,FALSE)-VLOOKUP($A253,'ПР 01-02.22'!$A$11:$BB$378,35,FALSE)</f>
        <v>0</v>
      </c>
      <c r="AJ253" s="40"/>
      <c r="AK253" s="5">
        <f>VLOOKUP($A253,'ПР 01-02.21'!$A$11:$BB$406,37,FALSE)+VLOOKUP($A253,'ПР 21-22'!$A$11:$BB$406,37,FALSE)-VLOOKUP($A253,'ПР 01-02.22'!$A$11:$BB$378,37,FALSE)</f>
        <v>0</v>
      </c>
      <c r="AL253" s="5">
        <f>VLOOKUP($A253,'ПР 01-02.21'!$A$11:$BB$406,38,FALSE)+VLOOKUP($A253,'ПР 21-22'!$A$11:$BB$406,38,FALSE)-VLOOKUP($A253,'ПР 01-02.22'!$A$11:$BB$378,38,FALSE)</f>
        <v>0</v>
      </c>
      <c r="AM253" s="40"/>
      <c r="AN253" s="5">
        <f>VLOOKUP($A253,'ПР 01-02.21'!$A$11:$BB$406,40,FALSE)+VLOOKUP($A253,'ПР 21-22'!$A$11:$BB$406,40,FALSE)-VLOOKUP($A253,'ПР 01-02.22'!$A$11:$BB$378,40,FALSE)</f>
        <v>0</v>
      </c>
      <c r="AO253" s="5">
        <f>VLOOKUP($A253,'ПР 01-02.21'!$A$11:$BB$406,41,FALSE)+VLOOKUP($A253,'ПР 21-22'!$A$11:$BB$406,41,FALSE)-VLOOKUP($A253,'ПР 01-02.22'!$A$11:$BB$378,41,FALSE)</f>
        <v>0</v>
      </c>
      <c r="AP253" s="40"/>
      <c r="AQ253" s="5">
        <f>VLOOKUP($A253,'ПР 01-02.21'!$A$11:$BB$406,43,FALSE)+VLOOKUP($A253,'ПР 21-22'!$A$11:$BB$406,43,FALSE)-VLOOKUP($A253,'ПР 01-02.22'!$A$11:$BB$378,43,FALSE)</f>
        <v>0</v>
      </c>
      <c r="AR253" s="5">
        <f>VLOOKUP($A253,'ПР 01-02.21'!$A$11:$BB$406,44,FALSE)+VLOOKUP($A253,'ПР 21-22'!$A$11:$BB$406,44,FALSE)-VLOOKUP($A253,'ПР 01-02.22'!$A$11:$BB$378,44,FALSE)</f>
        <v>0</v>
      </c>
      <c r="AS253" s="40"/>
      <c r="AT253" s="5">
        <f>VLOOKUP($A253,'ПР 01-02.21'!$A$11:$BB$406,46,FALSE)+VLOOKUP($A253,'ПР 21-22'!$A$11:$BB$406,46,FALSE)-VLOOKUP($A253,'ПР 01-02.22'!$A$11:$BB$378,46,FALSE)</f>
        <v>0</v>
      </c>
      <c r="AU253" s="5">
        <f>VLOOKUP($A253,'ПР 01-02.21'!$A$11:$BB$406,47,FALSE)+VLOOKUP($A253,'ПР 21-22'!$A$11:$BB$406,47,FALSE)-VLOOKUP($A253,'ПР 01-02.22'!$A$11:$BB$378,47,FALSE)</f>
        <v>0</v>
      </c>
      <c r="AV253" s="40"/>
      <c r="AW253" s="5">
        <f>VLOOKUP($A253,'ПР 01-02.21'!$A$11:$BB$406,49,FALSE)+VLOOKUP($A253,'ПР 21-22'!$A$11:$BB$406,49,FALSE)-VLOOKUP($A253,'ПР 01-02.22'!$A$11:$BB$378,49,FALSE)</f>
        <v>3.52</v>
      </c>
      <c r="AX253" s="5">
        <f>VLOOKUP($A253,'ПР 01-02.21'!$A$11:$BB$406,50,FALSE)+VLOOKUP($A253,'ПР 21-22'!$A$11:$BB$406,50,FALSE)-VLOOKUP($A253,'ПР 01-02.22'!$A$11:$BB$378,50,FALSE)</f>
        <v>0</v>
      </c>
      <c r="AY253" s="40"/>
      <c r="AZ253" s="40">
        <f t="shared" si="17"/>
        <v>3.52</v>
      </c>
      <c r="BA253" s="40">
        <f t="shared" si="17"/>
        <v>0</v>
      </c>
      <c r="BB253" s="55">
        <f t="shared" si="16"/>
        <v>-3.52</v>
      </c>
      <c r="BD253" s="2">
        <v>2</v>
      </c>
      <c r="BF253" s="325">
        <v>150001048</v>
      </c>
    </row>
    <row r="254" spans="1:58" ht="24.9" customHeight="1" x14ac:dyDescent="0.3">
      <c r="A254" s="325">
        <v>150001049</v>
      </c>
      <c r="B254" s="445" t="s">
        <v>181</v>
      </c>
      <c r="C254" s="27">
        <v>2</v>
      </c>
      <c r="D254" s="101" t="s">
        <v>455</v>
      </c>
      <c r="E254" s="279">
        <f>'побудинковий звіт'!E252</f>
        <v>253.7</v>
      </c>
      <c r="F254" s="441">
        <f>'побудинковий звіт'!AS252</f>
        <v>3127.7802431837181</v>
      </c>
      <c r="G254" s="441">
        <f t="shared" si="14"/>
        <v>7476.3099999999995</v>
      </c>
      <c r="H254" s="73">
        <f t="shared" si="15"/>
        <v>4348.5297568162814</v>
      </c>
      <c r="I254" s="5">
        <f>VLOOKUP($A254,'ПР 01-02.21'!$A$11:$BB$406,9,FALSE)+VLOOKUP($A254,'ПР 21-22'!$A$11:$BB$406,9,FALSE)-VLOOKUP($A254,'ПР 01-02.22'!$A$11:$BB$378,9,FALSE)</f>
        <v>14</v>
      </c>
      <c r="J254" s="5">
        <f>VLOOKUP($A254,'ПР 01-02.21'!$A$11:$BB$406,10,FALSE)+VLOOKUP($A254,'ПР 21-22'!$A$11:$BB$406,10,FALSE)-VLOOKUP($A254,'ПР 01-02.22'!$A$11:$BB$378,10,FALSE)</f>
        <v>4056.82</v>
      </c>
      <c r="K254" s="446"/>
      <c r="L254" s="5">
        <f>VLOOKUP($A254,'ПР 01-02.21'!$A$11:$BB$406,12,FALSE)+VLOOKUP($A254,'ПР 21-22'!$A$11:$BB$406,12,FALSE)-VLOOKUP($A254,'ПР 01-02.22'!$A$11:$BB$378,12,FALSE)</f>
        <v>0</v>
      </c>
      <c r="M254" s="5">
        <f>VLOOKUP($A254,'ПР 01-02.21'!$A$11:$BB$406,13,FALSE)+VLOOKUP($A254,'ПР 21-22'!$A$11:$BB$406,13,FALSE)-VLOOKUP($A254,'ПР 01-02.22'!$A$11:$BB$378,13,FALSE)</f>
        <v>0</v>
      </c>
      <c r="N254" s="38"/>
      <c r="O254" s="5">
        <f>VLOOKUP($A254,'ПР 01-02.21'!$A$11:$BB$406,15,FALSE)+VLOOKUP($A254,'ПР 21-22'!$A$11:$BB$406,15,FALSE)-VLOOKUP($A254,'ПР 01-02.22'!$A$11:$BB$378,15,FALSE)</f>
        <v>0</v>
      </c>
      <c r="P254" s="5">
        <f>VLOOKUP($A254,'ПР 01-02.21'!$A$11:$BB$406,16,FALSE)+VLOOKUP($A254,'ПР 21-22'!$A$11:$BB$406,16,FALSE)-VLOOKUP($A254,'ПР 01-02.22'!$A$11:$BB$378,16,FALSE)</f>
        <v>0</v>
      </c>
      <c r="Q254" s="443"/>
      <c r="R254" s="5">
        <f>VLOOKUP($A254,'ПР 01-02.21'!$A$11:$BB$406,18,FALSE)+VLOOKUP($A254,'ПР 21-22'!$A$11:$BB$406,18,FALSE)-VLOOKUP($A254,'ПР 01-02.22'!$A$11:$BB$378,18,FALSE)</f>
        <v>0</v>
      </c>
      <c r="S254" s="5">
        <f>VLOOKUP($A254,'ПР 01-02.21'!$A$11:$BB$406,19,FALSE)+VLOOKUP($A254,'ПР 21-22'!$A$11:$BB$406,19,FALSE)-VLOOKUP($A254,'ПР 01-02.22'!$A$11:$BB$378,19,FALSE)</f>
        <v>0</v>
      </c>
      <c r="T254" s="444"/>
      <c r="U254" s="5">
        <f>VLOOKUP($A254,'ПР 01-02.21'!$A$11:$BB$406,21,FALSE)+VLOOKUP($A254,'ПР 21-22'!$A$11:$BB$406,21,FALSE)-VLOOKUP($A254,'ПР 01-02.22'!$A$11:$BB$378,21,FALSE)</f>
        <v>0</v>
      </c>
      <c r="V254" s="5"/>
      <c r="W254" s="5">
        <f>VLOOKUP($A254,'ПР 01-02.21'!$A$11:$BB$406,23,FALSE)+VLOOKUP($A254,'ПР 21-22'!$A$11:$BB$406,23,FALSE)-VLOOKUP($A254,'ПР 01-02.22'!$A$11:$BB$378,23,FALSE)</f>
        <v>0</v>
      </c>
      <c r="X254" s="5">
        <f>VLOOKUP($A254,'ПР 01-02.21'!$A$11:$BB$406,24,FALSE)+VLOOKUP($A254,'ПР 21-22'!$A$11:$BB$406,24,FALSE)-VLOOKUP($A254,'ПР 01-02.22'!$A$11:$BB$378,24,FALSE)</f>
        <v>0</v>
      </c>
      <c r="Y254" s="5">
        <f>VLOOKUP($A254,'ПР 01-02.21'!$A$11:$BB$406,25,FALSE)+VLOOKUP($A254,'ПР 21-22'!$A$11:$BB$406,25,FALSE)-VLOOKUP($A254,'ПР 01-02.22'!$A$11:$BB$378,25,FALSE)</f>
        <v>0</v>
      </c>
      <c r="Z254" s="5"/>
      <c r="AA254" s="5">
        <f>VLOOKUP($A254,'ПР 01-02.21'!$A$11:$BB$406,27,FALSE)+VLOOKUP($A254,'ПР 21-22'!$A$11:$BB$406,27,FALSE)-VLOOKUP($A254,'ПР 01-02.22'!$A$11:$BB$378,27,FALSE)</f>
        <v>0</v>
      </c>
      <c r="AB254" s="5">
        <f>VLOOKUP($A254,'ПР 01-02.21'!$A$11:$BB$406,28,FALSE)+VLOOKUP($A254,'ПР 21-22'!$A$11:$BB$406,28,FALSE)-VLOOKUP($A254,'ПР 01-02.22'!$A$11:$BB$378,28,FALSE)</f>
        <v>0</v>
      </c>
      <c r="AC254" s="5">
        <f>VLOOKUP($A254,'ПР 01-02.21'!$A$11:$BB$406,29,FALSE)+VLOOKUP($A254,'ПР 21-22'!$A$11:$BB$406,29,FALSE)-VLOOKUP($A254,'ПР 01-02.22'!$A$11:$BB$378,29,FALSE)</f>
        <v>0</v>
      </c>
      <c r="AD254" s="5">
        <f>VLOOKUP($A254,'ПР 01-02.21'!$A$11:$BB$406,30,FALSE)+VLOOKUP($A254,'ПР 21-22'!$A$11:$BB$406,30,FALSE)-VLOOKUP($A254,'ПР 01-02.22'!$A$11:$BB$378,30,FALSE)</f>
        <v>3419.49</v>
      </c>
      <c r="AE254" s="5">
        <f>VLOOKUP($A254,'ПР 01-02.21'!$A$11:$BB$406,31,FALSE)+VLOOKUP($A254,'ПР 21-22'!$A$11:$BB$406,31,FALSE)-VLOOKUP($A254,'ПР 01-02.22'!$A$11:$BB$378,31,FALSE)</f>
        <v>409.72763836456215</v>
      </c>
      <c r="AF254" s="5">
        <f>VLOOKUP($A254,'ПР 01-02.21'!$A$11:$BB$406,32,FALSE)+VLOOKUP($A254,'ПР 21-22'!$A$11:$BB$406,32,FALSE)-VLOOKUP($A254,'ПР 01-02.22'!$A$11:$BB$378,32,FALSE)</f>
        <v>813</v>
      </c>
      <c r="AG254" s="40"/>
      <c r="AH254" s="5">
        <f>VLOOKUP($A254,'ПР 01-02.21'!$A$11:$BB$406,34,FALSE)+VLOOKUP($A254,'ПР 21-22'!$A$11:$BB$406,34,FALSE)-VLOOKUP($A254,'ПР 01-02.22'!$A$11:$BB$378,34,FALSE)</f>
        <v>424.14107936285899</v>
      </c>
      <c r="AI254" s="5">
        <f>VLOOKUP($A254,'ПР 01-02.21'!$A$11:$BB$406,35,FALSE)+VLOOKUP($A254,'ПР 21-22'!$A$11:$BB$406,35,FALSE)-VLOOKUP($A254,'ПР 01-02.22'!$A$11:$BB$378,35,FALSE)</f>
        <v>0</v>
      </c>
      <c r="AJ254" s="40"/>
      <c r="AK254" s="5">
        <f>VLOOKUP($A254,'ПР 01-02.21'!$A$11:$BB$406,37,FALSE)+VLOOKUP($A254,'ПР 21-22'!$A$11:$BB$406,37,FALSE)-VLOOKUP($A254,'ПР 01-02.22'!$A$11:$BB$378,37,FALSE)</f>
        <v>0</v>
      </c>
      <c r="AL254" s="5">
        <f>VLOOKUP($A254,'ПР 01-02.21'!$A$11:$BB$406,38,FALSE)+VLOOKUP($A254,'ПР 21-22'!$A$11:$BB$406,38,FALSE)-VLOOKUP($A254,'ПР 01-02.22'!$A$11:$BB$378,38,FALSE)</f>
        <v>0</v>
      </c>
      <c r="AM254" s="40"/>
      <c r="AN254" s="5">
        <f>VLOOKUP($A254,'ПР 01-02.21'!$A$11:$BB$406,40,FALSE)+VLOOKUP($A254,'ПР 21-22'!$A$11:$BB$406,40,FALSE)-VLOOKUP($A254,'ПР 01-02.22'!$A$11:$BB$378,40,FALSE)</f>
        <v>0</v>
      </c>
      <c r="AO254" s="5">
        <f>VLOOKUP($A254,'ПР 01-02.21'!$A$11:$BB$406,41,FALSE)+VLOOKUP($A254,'ПР 21-22'!$A$11:$BB$406,41,FALSE)-VLOOKUP($A254,'ПР 01-02.22'!$A$11:$BB$378,41,FALSE)</f>
        <v>0</v>
      </c>
      <c r="AP254" s="40"/>
      <c r="AQ254" s="5">
        <f>VLOOKUP($A254,'ПР 01-02.21'!$A$11:$BB$406,43,FALSE)+VLOOKUP($A254,'ПР 21-22'!$A$11:$BB$406,43,FALSE)-VLOOKUP($A254,'ПР 01-02.22'!$A$11:$BB$378,43,FALSE)</f>
        <v>0</v>
      </c>
      <c r="AR254" s="5">
        <f>VLOOKUP($A254,'ПР 01-02.21'!$A$11:$BB$406,44,FALSE)+VLOOKUP($A254,'ПР 21-22'!$A$11:$BB$406,44,FALSE)-VLOOKUP($A254,'ПР 01-02.22'!$A$11:$BB$378,44,FALSE)</f>
        <v>0</v>
      </c>
      <c r="AS254" s="40"/>
      <c r="AT254" s="5">
        <f>VLOOKUP($A254,'ПР 01-02.21'!$A$11:$BB$406,46,FALSE)+VLOOKUP($A254,'ПР 21-22'!$A$11:$BB$406,46,FALSE)-VLOOKUP($A254,'ПР 01-02.22'!$A$11:$BB$378,46,FALSE)</f>
        <v>52.599956368410773</v>
      </c>
      <c r="AU254" s="5">
        <f>VLOOKUP($A254,'ПР 01-02.21'!$A$11:$BB$406,47,FALSE)+VLOOKUP($A254,'ПР 21-22'!$A$11:$BB$406,47,FALSE)-VLOOKUP($A254,'ПР 01-02.22'!$A$11:$BB$378,47,FALSE)</f>
        <v>727</v>
      </c>
      <c r="AV254" s="40"/>
      <c r="AW254" s="5">
        <f>VLOOKUP($A254,'ПР 01-02.21'!$A$11:$BB$406,49,FALSE)+VLOOKUP($A254,'ПР 21-22'!$A$11:$BB$406,49,FALSE)-VLOOKUP($A254,'ПР 01-02.22'!$A$11:$BB$378,49,FALSE)</f>
        <v>13.148</v>
      </c>
      <c r="AX254" s="5">
        <f>VLOOKUP($A254,'ПР 01-02.21'!$A$11:$BB$406,50,FALSE)+VLOOKUP($A254,'ПР 21-22'!$A$11:$BB$406,50,FALSE)-VLOOKUP($A254,'ПР 01-02.22'!$A$11:$BB$378,50,FALSE)</f>
        <v>0</v>
      </c>
      <c r="AY254" s="40"/>
      <c r="AZ254" s="40">
        <f t="shared" si="17"/>
        <v>899.61667409583197</v>
      </c>
      <c r="BA254" s="40">
        <f t="shared" si="17"/>
        <v>1540</v>
      </c>
      <c r="BB254" s="55">
        <f t="shared" si="16"/>
        <v>640.38332590416803</v>
      </c>
      <c r="BD254" s="2">
        <v>2</v>
      </c>
      <c r="BF254" s="325">
        <v>150001049</v>
      </c>
    </row>
    <row r="255" spans="1:58" ht="24.9" customHeight="1" x14ac:dyDescent="0.3">
      <c r="A255" s="325">
        <v>150001041</v>
      </c>
      <c r="B255" s="445" t="s">
        <v>197</v>
      </c>
      <c r="C255" s="27">
        <v>3</v>
      </c>
      <c r="D255" s="101" t="s">
        <v>455</v>
      </c>
      <c r="E255" s="279">
        <f>'побудинковий звіт'!E253</f>
        <v>601.4</v>
      </c>
      <c r="F255" s="441">
        <f>'побудинковий звіт'!AS253</f>
        <v>6520.1453697995257</v>
      </c>
      <c r="G255" s="441">
        <f t="shared" si="14"/>
        <v>2101</v>
      </c>
      <c r="H255" s="73">
        <f t="shared" si="15"/>
        <v>-4419.1453697995257</v>
      </c>
      <c r="I255" s="5">
        <f>VLOOKUP($A255,'ПР 01-02.21'!$A$11:$BB$406,9,FALSE)+VLOOKUP($A255,'ПР 21-22'!$A$11:$BB$406,9,FALSE)-VLOOKUP($A255,'ПР 01-02.22'!$A$11:$BB$378,9,FALSE)</f>
        <v>0</v>
      </c>
      <c r="J255" s="5">
        <f>VLOOKUP($A255,'ПР 01-02.21'!$A$11:$BB$406,10,FALSE)+VLOOKUP($A255,'ПР 21-22'!$A$11:$BB$406,10,FALSE)-VLOOKUP($A255,'ПР 01-02.22'!$A$11:$BB$378,10,FALSE)</f>
        <v>0</v>
      </c>
      <c r="K255" s="446"/>
      <c r="L255" s="5">
        <f>VLOOKUP($A255,'ПР 01-02.21'!$A$11:$BB$406,12,FALSE)+VLOOKUP($A255,'ПР 21-22'!$A$11:$BB$406,12,FALSE)-VLOOKUP($A255,'ПР 01-02.22'!$A$11:$BB$378,12,FALSE)</f>
        <v>0</v>
      </c>
      <c r="M255" s="5">
        <f>VLOOKUP($A255,'ПР 01-02.21'!$A$11:$BB$406,13,FALSE)+VLOOKUP($A255,'ПР 21-22'!$A$11:$BB$406,13,FALSE)-VLOOKUP($A255,'ПР 01-02.22'!$A$11:$BB$378,13,FALSE)</f>
        <v>0</v>
      </c>
      <c r="N255" s="38"/>
      <c r="O255" s="5">
        <f>VLOOKUP($A255,'ПР 01-02.21'!$A$11:$BB$406,15,FALSE)+VLOOKUP($A255,'ПР 21-22'!$A$11:$BB$406,15,FALSE)-VLOOKUP($A255,'ПР 01-02.22'!$A$11:$BB$378,15,FALSE)</f>
        <v>0</v>
      </c>
      <c r="P255" s="5">
        <f>VLOOKUP($A255,'ПР 01-02.21'!$A$11:$BB$406,16,FALSE)+VLOOKUP($A255,'ПР 21-22'!$A$11:$BB$406,16,FALSE)-VLOOKUP($A255,'ПР 01-02.22'!$A$11:$BB$378,16,FALSE)</f>
        <v>0</v>
      </c>
      <c r="Q255" s="443"/>
      <c r="R255" s="5">
        <f>VLOOKUP($A255,'ПР 01-02.21'!$A$11:$BB$406,18,FALSE)+VLOOKUP($A255,'ПР 21-22'!$A$11:$BB$406,18,FALSE)-VLOOKUP($A255,'ПР 01-02.22'!$A$11:$BB$378,18,FALSE)</f>
        <v>0</v>
      </c>
      <c r="S255" s="5">
        <f>VLOOKUP($A255,'ПР 01-02.21'!$A$11:$BB$406,19,FALSE)+VLOOKUP($A255,'ПР 21-22'!$A$11:$BB$406,19,FALSE)-VLOOKUP($A255,'ПР 01-02.22'!$A$11:$BB$378,19,FALSE)</f>
        <v>0</v>
      </c>
      <c r="T255" s="444"/>
      <c r="U255" s="5">
        <f>VLOOKUP($A255,'ПР 01-02.21'!$A$11:$BB$406,21,FALSE)+VLOOKUP($A255,'ПР 21-22'!$A$11:$BB$406,21,FALSE)-VLOOKUP($A255,'ПР 01-02.22'!$A$11:$BB$378,21,FALSE)</f>
        <v>0</v>
      </c>
      <c r="V255" s="5"/>
      <c r="W255" s="5">
        <f>VLOOKUP($A255,'ПР 01-02.21'!$A$11:$BB$406,23,FALSE)+VLOOKUP($A255,'ПР 21-22'!$A$11:$BB$406,23,FALSE)-VLOOKUP($A255,'ПР 01-02.22'!$A$11:$BB$378,23,FALSE)</f>
        <v>0</v>
      </c>
      <c r="X255" s="5">
        <f>VLOOKUP($A255,'ПР 01-02.21'!$A$11:$BB$406,24,FALSE)+VLOOKUP($A255,'ПР 21-22'!$A$11:$BB$406,24,FALSE)-VLOOKUP($A255,'ПР 01-02.22'!$A$11:$BB$378,24,FALSE)</f>
        <v>0</v>
      </c>
      <c r="Y255" s="5">
        <f>VLOOKUP($A255,'ПР 01-02.21'!$A$11:$BB$406,25,FALSE)+VLOOKUP($A255,'ПР 21-22'!$A$11:$BB$406,25,FALSE)-VLOOKUP($A255,'ПР 01-02.22'!$A$11:$BB$378,25,FALSE)</f>
        <v>0</v>
      </c>
      <c r="Z255" s="5"/>
      <c r="AA255" s="5">
        <f>VLOOKUP($A255,'ПР 01-02.21'!$A$11:$BB$406,27,FALSE)+VLOOKUP($A255,'ПР 21-22'!$A$11:$BB$406,27,FALSE)-VLOOKUP($A255,'ПР 01-02.22'!$A$11:$BB$378,27,FALSE)</f>
        <v>0</v>
      </c>
      <c r="AB255" s="5">
        <f>VLOOKUP($A255,'ПР 01-02.21'!$A$11:$BB$406,28,FALSE)+VLOOKUP($A255,'ПР 21-22'!$A$11:$BB$406,28,FALSE)-VLOOKUP($A255,'ПР 01-02.22'!$A$11:$BB$378,28,FALSE)</f>
        <v>0</v>
      </c>
      <c r="AC255" s="5">
        <f>VLOOKUP($A255,'ПР 01-02.21'!$A$11:$BB$406,29,FALSE)+VLOOKUP($A255,'ПР 21-22'!$A$11:$BB$406,29,FALSE)-VLOOKUP($A255,'ПР 01-02.22'!$A$11:$BB$378,29,FALSE)</f>
        <v>0</v>
      </c>
      <c r="AD255" s="5">
        <f>VLOOKUP($A255,'ПР 01-02.21'!$A$11:$BB$406,30,FALSE)+VLOOKUP($A255,'ПР 21-22'!$A$11:$BB$406,30,FALSE)-VLOOKUP($A255,'ПР 01-02.22'!$A$11:$BB$378,30,FALSE)</f>
        <v>2101</v>
      </c>
      <c r="AE255" s="5">
        <f>VLOOKUP($A255,'ПР 01-02.21'!$A$11:$BB$406,31,FALSE)+VLOOKUP($A255,'ПР 21-22'!$A$11:$BB$406,31,FALSE)-VLOOKUP($A255,'ПР 01-02.22'!$A$11:$BB$378,31,FALSE)</f>
        <v>681.24162831094498</v>
      </c>
      <c r="AF255" s="5">
        <f>VLOOKUP($A255,'ПР 01-02.21'!$A$11:$BB$406,32,FALSE)+VLOOKUP($A255,'ПР 21-22'!$A$11:$BB$406,32,FALSE)-VLOOKUP($A255,'ПР 01-02.22'!$A$11:$BB$378,32,FALSE)</f>
        <v>3992</v>
      </c>
      <c r="AG255" s="40"/>
      <c r="AH255" s="5">
        <f>VLOOKUP($A255,'ПР 01-02.21'!$A$11:$BB$406,34,FALSE)+VLOOKUP($A255,'ПР 21-22'!$A$11:$BB$406,34,FALSE)-VLOOKUP($A255,'ПР 01-02.22'!$A$11:$BB$378,34,FALSE)</f>
        <v>673.41125232888567</v>
      </c>
      <c r="AI255" s="5">
        <f>VLOOKUP($A255,'ПР 01-02.21'!$A$11:$BB$406,35,FALSE)+VLOOKUP($A255,'ПР 21-22'!$A$11:$BB$406,35,FALSE)-VLOOKUP($A255,'ПР 01-02.22'!$A$11:$BB$378,35,FALSE)</f>
        <v>0</v>
      </c>
      <c r="AJ255" s="40"/>
      <c r="AK255" s="5">
        <f>VLOOKUP($A255,'ПР 01-02.21'!$A$11:$BB$406,37,FALSE)+VLOOKUP($A255,'ПР 21-22'!$A$11:$BB$406,37,FALSE)-VLOOKUP($A255,'ПР 01-02.22'!$A$11:$BB$378,37,FALSE)</f>
        <v>340.32531697228546</v>
      </c>
      <c r="AL255" s="5">
        <f>VLOOKUP($A255,'ПР 01-02.21'!$A$11:$BB$406,38,FALSE)+VLOOKUP($A255,'ПР 21-22'!$A$11:$BB$406,38,FALSE)-VLOOKUP($A255,'ПР 01-02.22'!$A$11:$BB$378,38,FALSE)</f>
        <v>0</v>
      </c>
      <c r="AM255" s="40"/>
      <c r="AN255" s="5">
        <f>VLOOKUP($A255,'ПР 01-02.21'!$A$11:$BB$406,40,FALSE)+VLOOKUP($A255,'ПР 21-22'!$A$11:$BB$406,40,FALSE)-VLOOKUP($A255,'ПР 01-02.22'!$A$11:$BB$378,40,FALSE)</f>
        <v>0</v>
      </c>
      <c r="AO255" s="5">
        <f>VLOOKUP($A255,'ПР 01-02.21'!$A$11:$BB$406,41,FALSE)+VLOOKUP($A255,'ПР 21-22'!$A$11:$BB$406,41,FALSE)-VLOOKUP($A255,'ПР 01-02.22'!$A$11:$BB$378,41,FALSE)</f>
        <v>0</v>
      </c>
      <c r="AP255" s="40"/>
      <c r="AQ255" s="5">
        <f>VLOOKUP($A255,'ПР 01-02.21'!$A$11:$BB$406,43,FALSE)+VLOOKUP($A255,'ПР 21-22'!$A$11:$BB$406,43,FALSE)-VLOOKUP($A255,'ПР 01-02.22'!$A$11:$BB$378,43,FALSE)</f>
        <v>0</v>
      </c>
      <c r="AR255" s="5">
        <f>VLOOKUP($A255,'ПР 01-02.21'!$A$11:$BB$406,44,FALSE)+VLOOKUP($A255,'ПР 21-22'!$A$11:$BB$406,44,FALSE)-VLOOKUP($A255,'ПР 01-02.22'!$A$11:$BB$378,44,FALSE)</f>
        <v>0</v>
      </c>
      <c r="AS255" s="40"/>
      <c r="AT255" s="5">
        <f>VLOOKUP($A255,'ПР 01-02.21'!$A$11:$BB$406,46,FALSE)+VLOOKUP($A255,'ПР 21-22'!$A$11:$BB$406,46,FALSE)-VLOOKUP($A255,'ПР 01-02.22'!$A$11:$BB$378,46,FALSE)</f>
        <v>96.151271554121408</v>
      </c>
      <c r="AU255" s="5">
        <f>VLOOKUP($A255,'ПР 01-02.21'!$A$11:$BB$406,47,FALSE)+VLOOKUP($A255,'ПР 21-22'!$A$11:$BB$406,47,FALSE)-VLOOKUP($A255,'ПР 01-02.22'!$A$11:$BB$378,47,FALSE)</f>
        <v>0</v>
      </c>
      <c r="AV255" s="40"/>
      <c r="AW255" s="5">
        <f>VLOOKUP($A255,'ПР 01-02.21'!$A$11:$BB$406,49,FALSE)+VLOOKUP($A255,'ПР 21-22'!$A$11:$BB$406,49,FALSE)-VLOOKUP($A255,'ПР 01-02.22'!$A$11:$BB$378,49,FALSE)</f>
        <v>30.056000000000001</v>
      </c>
      <c r="AX255" s="5">
        <f>VLOOKUP($A255,'ПР 01-02.21'!$A$11:$BB$406,50,FALSE)+VLOOKUP($A255,'ПР 21-22'!$A$11:$BB$406,50,FALSE)-VLOOKUP($A255,'ПР 01-02.22'!$A$11:$BB$378,50,FALSE)</f>
        <v>0</v>
      </c>
      <c r="AY255" s="40"/>
      <c r="AZ255" s="40">
        <f t="shared" si="17"/>
        <v>1821.1854691662375</v>
      </c>
      <c r="BA255" s="40">
        <f t="shared" si="17"/>
        <v>3992</v>
      </c>
      <c r="BB255" s="55">
        <f t="shared" si="16"/>
        <v>2170.8145308337625</v>
      </c>
      <c r="BD255" s="2">
        <v>2</v>
      </c>
      <c r="BF255" s="325">
        <v>150001041</v>
      </c>
    </row>
    <row r="256" spans="1:58" ht="24.9" customHeight="1" x14ac:dyDescent="0.3">
      <c r="A256" s="325">
        <v>150001042</v>
      </c>
      <c r="B256" s="445" t="s">
        <v>182</v>
      </c>
      <c r="C256" s="27">
        <v>2</v>
      </c>
      <c r="D256" s="101" t="s">
        <v>455</v>
      </c>
      <c r="E256" s="279">
        <f>'побудинковий звіт'!E254</f>
        <v>427.1</v>
      </c>
      <c r="F256" s="441">
        <f>'побудинковий звіт'!AS254</f>
        <v>4273.0399348189421</v>
      </c>
      <c r="G256" s="441">
        <f t="shared" si="14"/>
        <v>76827</v>
      </c>
      <c r="H256" s="73">
        <f t="shared" si="15"/>
        <v>72553.960065181062</v>
      </c>
      <c r="I256" s="5">
        <f>VLOOKUP($A256,'ПР 01-02.21'!$A$11:$BB$406,9,FALSE)+VLOOKUP($A256,'ПР 21-22'!$A$11:$BB$406,9,FALSE)-VLOOKUP($A256,'ПР 01-02.22'!$A$11:$BB$378,9,FALSE)</f>
        <v>14</v>
      </c>
      <c r="J256" s="5">
        <f>VLOOKUP($A256,'ПР 01-02.21'!$A$11:$BB$406,10,FALSE)+VLOOKUP($A256,'ПР 21-22'!$A$11:$BB$406,10,FALSE)-VLOOKUP($A256,'ПР 01-02.22'!$A$11:$BB$378,10,FALSE)</f>
        <v>4366</v>
      </c>
      <c r="K256" s="446"/>
      <c r="L256" s="5">
        <f>VLOOKUP($A256,'ПР 01-02.21'!$A$11:$BB$406,12,FALSE)+VLOOKUP($A256,'ПР 21-22'!$A$11:$BB$406,12,FALSE)-VLOOKUP($A256,'ПР 01-02.22'!$A$11:$BB$378,12,FALSE)</f>
        <v>2</v>
      </c>
      <c r="M256" s="5">
        <f>VLOOKUP($A256,'ПР 01-02.21'!$A$11:$BB$406,13,FALSE)+VLOOKUP($A256,'ПР 21-22'!$A$11:$BB$406,13,FALSE)-VLOOKUP($A256,'ПР 01-02.22'!$A$11:$BB$378,13,FALSE)</f>
        <v>49073</v>
      </c>
      <c r="N256" s="38"/>
      <c r="O256" s="5">
        <f>VLOOKUP($A256,'ПР 01-02.21'!$A$11:$BB$406,15,FALSE)+VLOOKUP($A256,'ПР 21-22'!$A$11:$BB$406,15,FALSE)-VLOOKUP($A256,'ПР 01-02.22'!$A$11:$BB$378,15,FALSE)</f>
        <v>0</v>
      </c>
      <c r="P256" s="5">
        <f>VLOOKUP($A256,'ПР 01-02.21'!$A$11:$BB$406,16,FALSE)+VLOOKUP($A256,'ПР 21-22'!$A$11:$BB$406,16,FALSE)-VLOOKUP($A256,'ПР 01-02.22'!$A$11:$BB$378,16,FALSE)</f>
        <v>0</v>
      </c>
      <c r="Q256" s="443"/>
      <c r="R256" s="5">
        <f>VLOOKUP($A256,'ПР 01-02.21'!$A$11:$BB$406,18,FALSE)+VLOOKUP($A256,'ПР 21-22'!$A$11:$BB$406,18,FALSE)-VLOOKUP($A256,'ПР 01-02.22'!$A$11:$BB$378,18,FALSE)</f>
        <v>0</v>
      </c>
      <c r="S256" s="5">
        <f>VLOOKUP($A256,'ПР 01-02.21'!$A$11:$BB$406,19,FALSE)+VLOOKUP($A256,'ПР 21-22'!$A$11:$BB$406,19,FALSE)-VLOOKUP($A256,'ПР 01-02.22'!$A$11:$BB$378,19,FALSE)</f>
        <v>0</v>
      </c>
      <c r="T256" s="444"/>
      <c r="U256" s="5">
        <f>VLOOKUP($A256,'ПР 01-02.21'!$A$11:$BB$406,21,FALSE)+VLOOKUP($A256,'ПР 21-22'!$A$11:$BB$406,21,FALSE)-VLOOKUP($A256,'ПР 01-02.22'!$A$11:$BB$378,21,FALSE)</f>
        <v>0</v>
      </c>
      <c r="V256" s="5"/>
      <c r="W256" s="5">
        <f>VLOOKUP($A256,'ПР 01-02.21'!$A$11:$BB$406,23,FALSE)+VLOOKUP($A256,'ПР 21-22'!$A$11:$BB$406,23,FALSE)-VLOOKUP($A256,'ПР 01-02.22'!$A$11:$BB$378,23,FALSE)</f>
        <v>0</v>
      </c>
      <c r="X256" s="5">
        <f>VLOOKUP($A256,'ПР 01-02.21'!$A$11:$BB$406,24,FALSE)+VLOOKUP($A256,'ПР 21-22'!$A$11:$BB$406,24,FALSE)-VLOOKUP($A256,'ПР 01-02.22'!$A$11:$BB$378,24,FALSE)</f>
        <v>0</v>
      </c>
      <c r="Y256" s="5">
        <f>VLOOKUP($A256,'ПР 01-02.21'!$A$11:$BB$406,25,FALSE)+VLOOKUP($A256,'ПР 21-22'!$A$11:$BB$406,25,FALSE)-VLOOKUP($A256,'ПР 01-02.22'!$A$11:$BB$378,25,FALSE)</f>
        <v>12607</v>
      </c>
      <c r="Z256" s="5"/>
      <c r="AA256" s="5">
        <f>VLOOKUP($A256,'ПР 01-02.21'!$A$11:$BB$406,27,FALSE)+VLOOKUP($A256,'ПР 21-22'!$A$11:$BB$406,27,FALSE)-VLOOKUP($A256,'ПР 01-02.22'!$A$11:$BB$378,27,FALSE)</f>
        <v>0</v>
      </c>
      <c r="AB256" s="5">
        <f>VLOOKUP($A256,'ПР 01-02.21'!$A$11:$BB$406,28,FALSE)+VLOOKUP($A256,'ПР 21-22'!$A$11:$BB$406,28,FALSE)-VLOOKUP($A256,'ПР 01-02.22'!$A$11:$BB$378,28,FALSE)</f>
        <v>2684</v>
      </c>
      <c r="AC256" s="5">
        <f>VLOOKUP($A256,'ПР 01-02.21'!$A$11:$BB$406,29,FALSE)+VLOOKUP($A256,'ПР 21-22'!$A$11:$BB$406,29,FALSE)-VLOOKUP($A256,'ПР 01-02.22'!$A$11:$BB$378,29,FALSE)</f>
        <v>8097</v>
      </c>
      <c r="AD256" s="5">
        <f>VLOOKUP($A256,'ПР 01-02.21'!$A$11:$BB$406,30,FALSE)+VLOOKUP($A256,'ПР 21-22'!$A$11:$BB$406,30,FALSE)-VLOOKUP($A256,'ПР 01-02.22'!$A$11:$BB$378,30,FALSE)</f>
        <v>0</v>
      </c>
      <c r="AE256" s="5">
        <f>VLOOKUP($A256,'ПР 01-02.21'!$A$11:$BB$406,31,FALSE)+VLOOKUP($A256,'ПР 21-22'!$A$11:$BB$406,31,FALSE)-VLOOKUP($A256,'ПР 01-02.22'!$A$11:$BB$378,31,FALSE)</f>
        <v>660.69041153520618</v>
      </c>
      <c r="AF256" s="5">
        <f>VLOOKUP($A256,'ПР 01-02.21'!$A$11:$BB$406,32,FALSE)+VLOOKUP($A256,'ПР 21-22'!$A$11:$BB$406,32,FALSE)-VLOOKUP($A256,'ПР 01-02.22'!$A$11:$BB$378,32,FALSE)</f>
        <v>0</v>
      </c>
      <c r="AG256" s="40"/>
      <c r="AH256" s="5">
        <f>VLOOKUP($A256,'ПР 01-02.21'!$A$11:$BB$406,34,FALSE)+VLOOKUP($A256,'ПР 21-22'!$A$11:$BB$406,34,FALSE)-VLOOKUP($A256,'ПР 01-02.22'!$A$11:$BB$378,34,FALSE)</f>
        <v>761.43144828024003</v>
      </c>
      <c r="AI256" s="5">
        <f>VLOOKUP($A256,'ПР 01-02.21'!$A$11:$BB$406,35,FALSE)+VLOOKUP($A256,'ПР 21-22'!$A$11:$BB$406,35,FALSE)-VLOOKUP($A256,'ПР 01-02.22'!$A$11:$BB$378,35,FALSE)</f>
        <v>0</v>
      </c>
      <c r="AJ256" s="40"/>
      <c r="AK256" s="5">
        <f>VLOOKUP($A256,'ПР 01-02.21'!$A$11:$BB$406,37,FALSE)+VLOOKUP($A256,'ПР 21-22'!$A$11:$BB$406,37,FALSE)-VLOOKUP($A256,'ПР 01-02.22'!$A$11:$BB$378,37,FALSE)</f>
        <v>230.64776915059556</v>
      </c>
      <c r="AL256" s="5">
        <f>VLOOKUP($A256,'ПР 01-02.21'!$A$11:$BB$406,38,FALSE)+VLOOKUP($A256,'ПР 21-22'!$A$11:$BB$406,38,FALSE)-VLOOKUP($A256,'ПР 01-02.22'!$A$11:$BB$378,38,FALSE)</f>
        <v>0</v>
      </c>
      <c r="AM256" s="40"/>
      <c r="AN256" s="5">
        <f>VLOOKUP($A256,'ПР 01-02.21'!$A$11:$BB$406,40,FALSE)+VLOOKUP($A256,'ПР 21-22'!$A$11:$BB$406,40,FALSE)-VLOOKUP($A256,'ПР 01-02.22'!$A$11:$BB$378,40,FALSE)</f>
        <v>0</v>
      </c>
      <c r="AO256" s="5">
        <f>VLOOKUP($A256,'ПР 01-02.21'!$A$11:$BB$406,41,FALSE)+VLOOKUP($A256,'ПР 21-22'!$A$11:$BB$406,41,FALSE)-VLOOKUP($A256,'ПР 01-02.22'!$A$11:$BB$378,41,FALSE)</f>
        <v>0</v>
      </c>
      <c r="AP256" s="40"/>
      <c r="AQ256" s="5">
        <f>VLOOKUP($A256,'ПР 01-02.21'!$A$11:$BB$406,43,FALSE)+VLOOKUP($A256,'ПР 21-22'!$A$11:$BB$406,43,FALSE)-VLOOKUP($A256,'ПР 01-02.22'!$A$11:$BB$378,43,FALSE)</f>
        <v>0</v>
      </c>
      <c r="AR256" s="5">
        <f>VLOOKUP($A256,'ПР 01-02.21'!$A$11:$BB$406,44,FALSE)+VLOOKUP($A256,'ПР 21-22'!$A$11:$BB$406,44,FALSE)-VLOOKUP($A256,'ПР 01-02.22'!$A$11:$BB$378,44,FALSE)</f>
        <v>0</v>
      </c>
      <c r="AS256" s="40"/>
      <c r="AT256" s="5">
        <f>VLOOKUP($A256,'ПР 01-02.21'!$A$11:$BB$406,46,FALSE)+VLOOKUP($A256,'ПР 21-22'!$A$11:$BB$406,46,FALSE)-VLOOKUP($A256,'ПР 01-02.22'!$A$11:$BB$378,46,FALSE)</f>
        <v>104.36954044621635</v>
      </c>
      <c r="AU256" s="5">
        <f>VLOOKUP($A256,'ПР 01-02.21'!$A$11:$BB$406,47,FALSE)+VLOOKUP($A256,'ПР 21-22'!$A$11:$BB$406,47,FALSE)-VLOOKUP($A256,'ПР 01-02.22'!$A$11:$BB$378,47,FALSE)</f>
        <v>0</v>
      </c>
      <c r="AV256" s="40"/>
      <c r="AW256" s="5">
        <f>VLOOKUP($A256,'ПР 01-02.21'!$A$11:$BB$406,49,FALSE)+VLOOKUP($A256,'ПР 21-22'!$A$11:$BB$406,49,FALSE)-VLOOKUP($A256,'ПР 01-02.22'!$A$11:$BB$378,49,FALSE)</f>
        <v>21.084</v>
      </c>
      <c r="AX256" s="5">
        <f>VLOOKUP($A256,'ПР 01-02.21'!$A$11:$BB$406,50,FALSE)+VLOOKUP($A256,'ПР 21-22'!$A$11:$BB$406,50,FALSE)-VLOOKUP($A256,'ПР 01-02.22'!$A$11:$BB$378,50,FALSE)</f>
        <v>0</v>
      </c>
      <c r="AY256" s="40"/>
      <c r="AZ256" s="40">
        <f t="shared" si="17"/>
        <v>1778.2231694122584</v>
      </c>
      <c r="BA256" s="40">
        <f t="shared" si="17"/>
        <v>0</v>
      </c>
      <c r="BB256" s="55">
        <f t="shared" si="16"/>
        <v>-1778.2231694122584</v>
      </c>
      <c r="BD256" s="2">
        <v>2</v>
      </c>
      <c r="BF256" s="325">
        <v>150001042</v>
      </c>
    </row>
    <row r="257" spans="1:58" ht="24.9" customHeight="1" x14ac:dyDescent="0.3">
      <c r="A257" s="325">
        <v>150001043</v>
      </c>
      <c r="B257" s="445" t="s">
        <v>218</v>
      </c>
      <c r="C257" s="27">
        <v>4</v>
      </c>
      <c r="D257" s="101" t="s">
        <v>455</v>
      </c>
      <c r="E257" s="279">
        <f>'побудинковий звіт'!E255</f>
        <v>1282.0999999999999</v>
      </c>
      <c r="F257" s="441">
        <f>'побудинковий звіт'!AS255</f>
        <v>10420.308191640366</v>
      </c>
      <c r="G257" s="441">
        <f t="shared" si="14"/>
        <v>20366.690000000002</v>
      </c>
      <c r="H257" s="73">
        <f t="shared" si="15"/>
        <v>9946.3818083596361</v>
      </c>
      <c r="I257" s="5">
        <f>VLOOKUP($A257,'ПР 01-02.21'!$A$11:$BB$406,9,FALSE)+VLOOKUP($A257,'ПР 21-22'!$A$11:$BB$406,9,FALSE)-VLOOKUP($A257,'ПР 01-02.22'!$A$11:$BB$378,9,FALSE)</f>
        <v>0</v>
      </c>
      <c r="J257" s="5">
        <f>VLOOKUP($A257,'ПР 01-02.21'!$A$11:$BB$406,10,FALSE)+VLOOKUP($A257,'ПР 21-22'!$A$11:$BB$406,10,FALSE)-VLOOKUP($A257,'ПР 01-02.22'!$A$11:$BB$378,10,FALSE)</f>
        <v>16338</v>
      </c>
      <c r="K257" s="450"/>
      <c r="L257" s="5">
        <f>VLOOKUP($A257,'ПР 01-02.21'!$A$11:$BB$406,12,FALSE)+VLOOKUP($A257,'ПР 21-22'!$A$11:$BB$406,12,FALSE)-VLOOKUP($A257,'ПР 01-02.22'!$A$11:$BB$378,12,FALSE)</f>
        <v>0</v>
      </c>
      <c r="M257" s="5">
        <f>VLOOKUP($A257,'ПР 01-02.21'!$A$11:$BB$406,13,FALSE)+VLOOKUP($A257,'ПР 21-22'!$A$11:$BB$406,13,FALSE)-VLOOKUP($A257,'ПР 01-02.22'!$A$11:$BB$378,13,FALSE)</f>
        <v>0</v>
      </c>
      <c r="N257" s="38"/>
      <c r="O257" s="5">
        <f>VLOOKUP($A257,'ПР 01-02.21'!$A$11:$BB$406,15,FALSE)+VLOOKUP($A257,'ПР 21-22'!$A$11:$BB$406,15,FALSE)-VLOOKUP($A257,'ПР 01-02.22'!$A$11:$BB$378,15,FALSE)</f>
        <v>0</v>
      </c>
      <c r="P257" s="5">
        <f>VLOOKUP($A257,'ПР 01-02.21'!$A$11:$BB$406,16,FALSE)+VLOOKUP($A257,'ПР 21-22'!$A$11:$BB$406,16,FALSE)-VLOOKUP($A257,'ПР 01-02.22'!$A$11:$BB$378,16,FALSE)</f>
        <v>0</v>
      </c>
      <c r="Q257" s="443"/>
      <c r="R257" s="5">
        <f>VLOOKUP($A257,'ПР 01-02.21'!$A$11:$BB$406,18,FALSE)+VLOOKUP($A257,'ПР 21-22'!$A$11:$BB$406,18,FALSE)-VLOOKUP($A257,'ПР 01-02.22'!$A$11:$BB$378,18,FALSE)</f>
        <v>0</v>
      </c>
      <c r="S257" s="5">
        <f>VLOOKUP($A257,'ПР 01-02.21'!$A$11:$BB$406,19,FALSE)+VLOOKUP($A257,'ПР 21-22'!$A$11:$BB$406,19,FALSE)-VLOOKUP($A257,'ПР 01-02.22'!$A$11:$BB$378,19,FALSE)</f>
        <v>0</v>
      </c>
      <c r="T257" s="444"/>
      <c r="U257" s="5">
        <f>VLOOKUP($A257,'ПР 01-02.21'!$A$11:$BB$406,21,FALSE)+VLOOKUP($A257,'ПР 21-22'!$A$11:$BB$406,21,FALSE)-VLOOKUP($A257,'ПР 01-02.22'!$A$11:$BB$378,21,FALSE)</f>
        <v>0</v>
      </c>
      <c r="V257" s="5"/>
      <c r="W257" s="5">
        <f>VLOOKUP($A257,'ПР 01-02.21'!$A$11:$BB$406,23,FALSE)+VLOOKUP($A257,'ПР 21-22'!$A$11:$BB$406,23,FALSE)-VLOOKUP($A257,'ПР 01-02.22'!$A$11:$BB$378,23,FALSE)</f>
        <v>0</v>
      </c>
      <c r="X257" s="5">
        <f>VLOOKUP($A257,'ПР 01-02.21'!$A$11:$BB$406,24,FALSE)+VLOOKUP($A257,'ПР 21-22'!$A$11:$BB$406,24,FALSE)-VLOOKUP($A257,'ПР 01-02.22'!$A$11:$BB$378,24,FALSE)</f>
        <v>0</v>
      </c>
      <c r="Y257" s="5">
        <f>VLOOKUP($A257,'ПР 01-02.21'!$A$11:$BB$406,25,FALSE)+VLOOKUP($A257,'ПР 21-22'!$A$11:$BB$406,25,FALSE)-VLOOKUP($A257,'ПР 01-02.22'!$A$11:$BB$378,25,FALSE)</f>
        <v>0</v>
      </c>
      <c r="Z257" s="5"/>
      <c r="AA257" s="5">
        <f>VLOOKUP($A257,'ПР 01-02.21'!$A$11:$BB$406,27,FALSE)+VLOOKUP($A257,'ПР 21-22'!$A$11:$BB$406,27,FALSE)-VLOOKUP($A257,'ПР 01-02.22'!$A$11:$BB$378,27,FALSE)</f>
        <v>0</v>
      </c>
      <c r="AB257" s="5">
        <f>VLOOKUP($A257,'ПР 01-02.21'!$A$11:$BB$406,28,FALSE)+VLOOKUP($A257,'ПР 21-22'!$A$11:$BB$406,28,FALSE)-VLOOKUP($A257,'ПР 01-02.22'!$A$11:$BB$378,28,FALSE)</f>
        <v>0</v>
      </c>
      <c r="AC257" s="5">
        <f>VLOOKUP($A257,'ПР 01-02.21'!$A$11:$BB$406,29,FALSE)+VLOOKUP($A257,'ПР 21-22'!$A$11:$BB$406,29,FALSE)-VLOOKUP($A257,'ПР 01-02.22'!$A$11:$BB$378,29,FALSE)</f>
        <v>0</v>
      </c>
      <c r="AD257" s="5">
        <f>VLOOKUP($A257,'ПР 01-02.21'!$A$11:$BB$406,30,FALSE)+VLOOKUP($A257,'ПР 21-22'!$A$11:$BB$406,30,FALSE)-VLOOKUP($A257,'ПР 01-02.22'!$A$11:$BB$378,30,FALSE)</f>
        <v>4028.6900000000005</v>
      </c>
      <c r="AE257" s="5">
        <f>VLOOKUP($A257,'ПР 01-02.21'!$A$11:$BB$406,31,FALSE)+VLOOKUP($A257,'ПР 21-22'!$A$11:$BB$406,31,FALSE)-VLOOKUP($A257,'ПР 01-02.22'!$A$11:$BB$378,31,FALSE)</f>
        <v>1289.9415263056453</v>
      </c>
      <c r="AF257" s="5">
        <f>VLOOKUP($A257,'ПР 01-02.21'!$A$11:$BB$406,32,FALSE)+VLOOKUP($A257,'ПР 21-22'!$A$11:$BB$406,32,FALSE)-VLOOKUP($A257,'ПР 01-02.22'!$A$11:$BB$378,32,FALSE)</f>
        <v>0</v>
      </c>
      <c r="AG257" s="40"/>
      <c r="AH257" s="5">
        <f>VLOOKUP($A257,'ПР 01-02.21'!$A$11:$BB$406,34,FALSE)+VLOOKUP($A257,'ПР 21-22'!$A$11:$BB$406,34,FALSE)-VLOOKUP($A257,'ПР 01-02.22'!$A$11:$BB$378,34,FALSE)</f>
        <v>1664.3866474859169</v>
      </c>
      <c r="AI257" s="5">
        <f>VLOOKUP($A257,'ПР 01-02.21'!$A$11:$BB$406,35,FALSE)+VLOOKUP($A257,'ПР 21-22'!$A$11:$BB$406,35,FALSE)-VLOOKUP($A257,'ПР 01-02.22'!$A$11:$BB$378,35,FALSE)</f>
        <v>24</v>
      </c>
      <c r="AJ257" s="40"/>
      <c r="AK257" s="5">
        <f>VLOOKUP($A257,'ПР 01-02.21'!$A$11:$BB$406,37,FALSE)+VLOOKUP($A257,'ПР 21-22'!$A$11:$BB$406,37,FALSE)-VLOOKUP($A257,'ПР 01-02.22'!$A$11:$BB$378,37,FALSE)</f>
        <v>736.360021954736</v>
      </c>
      <c r="AL257" s="5">
        <f>VLOOKUP($A257,'ПР 01-02.21'!$A$11:$BB$406,38,FALSE)+VLOOKUP($A257,'ПР 21-22'!$A$11:$BB$406,38,FALSE)-VLOOKUP($A257,'ПР 01-02.22'!$A$11:$BB$378,38,FALSE)</f>
        <v>0</v>
      </c>
      <c r="AM257" s="40"/>
      <c r="AN257" s="5">
        <f>VLOOKUP($A257,'ПР 01-02.21'!$A$11:$BB$406,40,FALSE)+VLOOKUP($A257,'ПР 21-22'!$A$11:$BB$406,40,FALSE)-VLOOKUP($A257,'ПР 01-02.22'!$A$11:$BB$378,40,FALSE)</f>
        <v>0</v>
      </c>
      <c r="AO257" s="5">
        <f>VLOOKUP($A257,'ПР 01-02.21'!$A$11:$BB$406,41,FALSE)+VLOOKUP($A257,'ПР 21-22'!$A$11:$BB$406,41,FALSE)-VLOOKUP($A257,'ПР 01-02.22'!$A$11:$BB$378,41,FALSE)</f>
        <v>0</v>
      </c>
      <c r="AP257" s="40"/>
      <c r="AQ257" s="5">
        <f>VLOOKUP($A257,'ПР 01-02.21'!$A$11:$BB$406,43,FALSE)+VLOOKUP($A257,'ПР 21-22'!$A$11:$BB$406,43,FALSE)-VLOOKUP($A257,'ПР 01-02.22'!$A$11:$BB$378,43,FALSE)</f>
        <v>0</v>
      </c>
      <c r="AR257" s="5">
        <f>VLOOKUP($A257,'ПР 01-02.21'!$A$11:$BB$406,44,FALSE)+VLOOKUP($A257,'ПР 21-22'!$A$11:$BB$406,44,FALSE)-VLOOKUP($A257,'ПР 01-02.22'!$A$11:$BB$378,44,FALSE)</f>
        <v>0</v>
      </c>
      <c r="AS257" s="40"/>
      <c r="AT257" s="5">
        <f>VLOOKUP($A257,'ПР 01-02.21'!$A$11:$BB$406,46,FALSE)+VLOOKUP($A257,'ПР 21-22'!$A$11:$BB$406,46,FALSE)-VLOOKUP($A257,'ПР 01-02.22'!$A$11:$BB$378,46,FALSE)</f>
        <v>599.25022063702806</v>
      </c>
      <c r="AU257" s="5">
        <f>VLOOKUP($A257,'ПР 01-02.21'!$A$11:$BB$406,47,FALSE)+VLOOKUP($A257,'ПР 21-22'!$A$11:$BB$406,47,FALSE)-VLOOKUP($A257,'ПР 01-02.22'!$A$11:$BB$378,47,FALSE)</f>
        <v>0</v>
      </c>
      <c r="AV257" s="40"/>
      <c r="AW257" s="5">
        <f>VLOOKUP($A257,'ПР 01-02.21'!$A$11:$BB$406,49,FALSE)+VLOOKUP($A257,'ПР 21-22'!$A$11:$BB$406,49,FALSE)-VLOOKUP($A257,'ПР 01-02.22'!$A$11:$BB$378,49,FALSE)</f>
        <v>64.283999999999992</v>
      </c>
      <c r="AX257" s="5">
        <f>VLOOKUP($A257,'ПР 01-02.21'!$A$11:$BB$406,50,FALSE)+VLOOKUP($A257,'ПР 21-22'!$A$11:$BB$406,50,FALSE)-VLOOKUP($A257,'ПР 01-02.22'!$A$11:$BB$378,50,FALSE)</f>
        <v>0</v>
      </c>
      <c r="AY257" s="40"/>
      <c r="AZ257" s="40">
        <f t="shared" si="17"/>
        <v>4354.2224163833262</v>
      </c>
      <c r="BA257" s="40">
        <f t="shared" si="17"/>
        <v>24</v>
      </c>
      <c r="BB257" s="55">
        <f t="shared" si="16"/>
        <v>-4330.2224163833262</v>
      </c>
      <c r="BD257" s="2">
        <v>2</v>
      </c>
      <c r="BF257" s="325">
        <v>150001043</v>
      </c>
    </row>
    <row r="258" spans="1:58" ht="24.9" customHeight="1" x14ac:dyDescent="0.3">
      <c r="A258" s="325">
        <v>150000672</v>
      </c>
      <c r="B258" s="462" t="s">
        <v>429</v>
      </c>
      <c r="C258" s="29">
        <v>5</v>
      </c>
      <c r="D258" s="102" t="s">
        <v>851</v>
      </c>
      <c r="E258" s="279">
        <f>'побудинковий звіт'!E256</f>
        <v>3174.5</v>
      </c>
      <c r="F258" s="441">
        <f>'побудинковий звіт'!AS256</f>
        <v>34078.024712642269</v>
      </c>
      <c r="G258" s="441">
        <f t="shared" si="14"/>
        <v>54968.649245991357</v>
      </c>
      <c r="H258" s="73">
        <f t="shared" si="15"/>
        <v>20890.624533349088</v>
      </c>
      <c r="I258" s="5">
        <f>VLOOKUP($A258,'ПР 01-02.21'!$A$11:$BB$406,9,FALSE)+VLOOKUP($A258,'ПР 21-22'!$A$11:$BB$406,9,FALSE)-VLOOKUP($A258,'ПР 01-02.22'!$A$11:$BB$378,9,FALSE)</f>
        <v>35</v>
      </c>
      <c r="J258" s="5">
        <f>VLOOKUP($A258,'ПР 01-02.21'!$A$11:$BB$406,10,FALSE)+VLOOKUP($A258,'ПР 21-22'!$A$11:$BB$406,10,FALSE)-VLOOKUP($A258,'ПР 01-02.22'!$A$11:$BB$378,10,FALSE)</f>
        <v>16969</v>
      </c>
      <c r="K258" s="446"/>
      <c r="L258" s="5">
        <f>VLOOKUP($A258,'ПР 01-02.21'!$A$11:$BB$406,12,FALSE)+VLOOKUP($A258,'ПР 21-22'!$A$11:$BB$406,12,FALSE)-VLOOKUP($A258,'ПР 01-02.22'!$A$11:$BB$378,12,FALSE)</f>
        <v>0</v>
      </c>
      <c r="M258" s="5">
        <f>VLOOKUP($A258,'ПР 01-02.21'!$A$11:$BB$406,13,FALSE)+VLOOKUP($A258,'ПР 21-22'!$A$11:$BB$406,13,FALSE)-VLOOKUP($A258,'ПР 01-02.22'!$A$11:$BB$378,13,FALSE)</f>
        <v>1896.07</v>
      </c>
      <c r="N258" s="38"/>
      <c r="O258" s="5">
        <f>VLOOKUP($A258,'ПР 01-02.21'!$A$11:$BB$406,15,FALSE)+VLOOKUP($A258,'ПР 21-22'!$A$11:$BB$406,15,FALSE)-VLOOKUP($A258,'ПР 01-02.22'!$A$11:$BB$378,15,FALSE)</f>
        <v>0</v>
      </c>
      <c r="P258" s="5">
        <f>VLOOKUP($A258,'ПР 01-02.21'!$A$11:$BB$406,16,FALSE)+VLOOKUP($A258,'ПР 21-22'!$A$11:$BB$406,16,FALSE)-VLOOKUP($A258,'ПР 01-02.22'!$A$11:$BB$378,16,FALSE)</f>
        <v>0</v>
      </c>
      <c r="Q258" s="443"/>
      <c r="R258" s="5">
        <f>VLOOKUP($A258,'ПР 01-02.21'!$A$11:$BB$406,18,FALSE)+VLOOKUP($A258,'ПР 21-22'!$A$11:$BB$406,18,FALSE)-VLOOKUP($A258,'ПР 01-02.22'!$A$11:$BB$378,18,FALSE)</f>
        <v>0</v>
      </c>
      <c r="S258" s="5">
        <f>VLOOKUP($A258,'ПР 01-02.21'!$A$11:$BB$406,19,FALSE)+VLOOKUP($A258,'ПР 21-22'!$A$11:$BB$406,19,FALSE)-VLOOKUP($A258,'ПР 01-02.22'!$A$11:$BB$378,19,FALSE)</f>
        <v>0</v>
      </c>
      <c r="T258" s="444"/>
      <c r="U258" s="5">
        <f>VLOOKUP($A258,'ПР 01-02.21'!$A$11:$BB$406,21,FALSE)+VLOOKUP($A258,'ПР 21-22'!$A$11:$BB$406,21,FALSE)-VLOOKUP($A258,'ПР 01-02.22'!$A$11:$BB$378,21,FALSE)</f>
        <v>0</v>
      </c>
      <c r="V258" s="5"/>
      <c r="W258" s="5">
        <f>VLOOKUP($A258,'ПР 01-02.21'!$A$11:$BB$406,23,FALSE)+VLOOKUP($A258,'ПР 21-22'!$A$11:$BB$406,23,FALSE)-VLOOKUP($A258,'ПР 01-02.22'!$A$11:$BB$378,23,FALSE)</f>
        <v>0</v>
      </c>
      <c r="X258" s="5">
        <f>VLOOKUP($A258,'ПР 01-02.21'!$A$11:$BB$406,24,FALSE)+VLOOKUP($A258,'ПР 21-22'!$A$11:$BB$406,24,FALSE)-VLOOKUP($A258,'ПР 01-02.22'!$A$11:$BB$378,24,FALSE)</f>
        <v>291.95924599135191</v>
      </c>
      <c r="Y258" s="5">
        <f>VLOOKUP($A258,'ПР 01-02.21'!$A$11:$BB$406,25,FALSE)+VLOOKUP($A258,'ПР 21-22'!$A$11:$BB$406,25,FALSE)-VLOOKUP($A258,'ПР 01-02.22'!$A$11:$BB$378,25,FALSE)</f>
        <v>35811.620000000003</v>
      </c>
      <c r="Z258" s="5"/>
      <c r="AA258" s="5">
        <f>VLOOKUP($A258,'ПР 01-02.21'!$A$11:$BB$406,27,FALSE)+VLOOKUP($A258,'ПР 21-22'!$A$11:$BB$406,27,FALSE)-VLOOKUP($A258,'ПР 01-02.22'!$A$11:$BB$378,27,FALSE)</f>
        <v>0</v>
      </c>
      <c r="AB258" s="5">
        <f>VLOOKUP($A258,'ПР 01-02.21'!$A$11:$BB$406,28,FALSE)+VLOOKUP($A258,'ПР 21-22'!$A$11:$BB$406,28,FALSE)-VLOOKUP($A258,'ПР 01-02.22'!$A$11:$BB$378,28,FALSE)</f>
        <v>0</v>
      </c>
      <c r="AC258" s="5">
        <f>VLOOKUP($A258,'ПР 01-02.21'!$A$11:$BB$406,29,FALSE)+VLOOKUP($A258,'ПР 21-22'!$A$11:$BB$406,29,FALSE)-VLOOKUP($A258,'ПР 01-02.22'!$A$11:$BB$378,29,FALSE)</f>
        <v>0</v>
      </c>
      <c r="AD258" s="5">
        <f>VLOOKUP($A258,'ПР 01-02.21'!$A$11:$BB$406,30,FALSE)+VLOOKUP($A258,'ПР 21-22'!$A$11:$BB$406,30,FALSE)-VLOOKUP($A258,'ПР 01-02.22'!$A$11:$BB$378,30,FALSE)</f>
        <v>0</v>
      </c>
      <c r="AE258" s="5">
        <f>VLOOKUP($A258,'ПР 01-02.21'!$A$11:$BB$406,31,FALSE)+VLOOKUP($A258,'ПР 21-22'!$A$11:$BB$406,31,FALSE)-VLOOKUP($A258,'ПР 01-02.22'!$A$11:$BB$378,31,FALSE)</f>
        <v>3173.5114145384177</v>
      </c>
      <c r="AF258" s="5">
        <f>VLOOKUP($A258,'ПР 01-02.21'!$A$11:$BB$406,32,FALSE)+VLOOKUP($A258,'ПР 21-22'!$A$11:$BB$406,32,FALSE)-VLOOKUP($A258,'ПР 01-02.22'!$A$11:$BB$378,32,FALSE)</f>
        <v>0</v>
      </c>
      <c r="AG258" s="40"/>
      <c r="AH258" s="5">
        <f>VLOOKUP($A258,'ПР 01-02.21'!$A$11:$BB$406,34,FALSE)+VLOOKUP($A258,'ПР 21-22'!$A$11:$BB$406,34,FALSE)-VLOOKUP($A258,'ПР 01-02.22'!$A$11:$BB$378,34,FALSE)</f>
        <v>4707.2932818561485</v>
      </c>
      <c r="AI258" s="5">
        <f>VLOOKUP($A258,'ПР 01-02.21'!$A$11:$BB$406,35,FALSE)+VLOOKUP($A258,'ПР 21-22'!$A$11:$BB$406,35,FALSE)-VLOOKUP($A258,'ПР 01-02.22'!$A$11:$BB$378,35,FALSE)</f>
        <v>0</v>
      </c>
      <c r="AJ258" s="40"/>
      <c r="AK258" s="5">
        <f>VLOOKUP($A258,'ПР 01-02.21'!$A$11:$BB$406,37,FALSE)+VLOOKUP($A258,'ПР 21-22'!$A$11:$BB$406,37,FALSE)-VLOOKUP($A258,'ПР 01-02.22'!$A$11:$BB$378,37,FALSE)</f>
        <v>1929.3484757407202</v>
      </c>
      <c r="AL258" s="5">
        <f>VLOOKUP($A258,'ПР 01-02.21'!$A$11:$BB$406,38,FALSE)+VLOOKUP($A258,'ПР 21-22'!$A$11:$BB$406,38,FALSE)-VLOOKUP($A258,'ПР 01-02.22'!$A$11:$BB$378,38,FALSE)</f>
        <v>2811</v>
      </c>
      <c r="AM258" s="40"/>
      <c r="AN258" s="5">
        <f>VLOOKUP($A258,'ПР 01-02.21'!$A$11:$BB$406,40,FALSE)+VLOOKUP($A258,'ПР 21-22'!$A$11:$BB$406,40,FALSE)-VLOOKUP($A258,'ПР 01-02.22'!$A$11:$BB$378,40,FALSE)</f>
        <v>0</v>
      </c>
      <c r="AO258" s="5">
        <f>VLOOKUP($A258,'ПР 01-02.21'!$A$11:$BB$406,41,FALSE)+VLOOKUP($A258,'ПР 21-22'!$A$11:$BB$406,41,FALSE)-VLOOKUP($A258,'ПР 01-02.22'!$A$11:$BB$378,41,FALSE)</f>
        <v>0</v>
      </c>
      <c r="AP258" s="40"/>
      <c r="AQ258" s="5">
        <f>VLOOKUP($A258,'ПР 01-02.21'!$A$11:$BB$406,43,FALSE)+VLOOKUP($A258,'ПР 21-22'!$A$11:$BB$406,43,FALSE)-VLOOKUP($A258,'ПР 01-02.22'!$A$11:$BB$378,43,FALSE)</f>
        <v>0</v>
      </c>
      <c r="AR258" s="5">
        <f>VLOOKUP($A258,'ПР 01-02.21'!$A$11:$BB$406,44,FALSE)+VLOOKUP($A258,'ПР 21-22'!$A$11:$BB$406,44,FALSE)-VLOOKUP($A258,'ПР 01-02.22'!$A$11:$BB$378,44,FALSE)</f>
        <v>0</v>
      </c>
      <c r="AS258" s="40"/>
      <c r="AT258" s="5">
        <f>VLOOKUP($A258,'ПР 01-02.21'!$A$11:$BB$406,46,FALSE)+VLOOKUP($A258,'ПР 21-22'!$A$11:$BB$406,46,FALSE)-VLOOKUP($A258,'ПР 01-02.22'!$A$11:$BB$378,46,FALSE)</f>
        <v>2020.7051084565073</v>
      </c>
      <c r="AU258" s="5">
        <f>VLOOKUP($A258,'ПР 01-02.21'!$A$11:$BB$406,47,FALSE)+VLOOKUP($A258,'ПР 21-22'!$A$11:$BB$406,47,FALSE)-VLOOKUP($A258,'ПР 01-02.22'!$A$11:$BB$378,47,FALSE)</f>
        <v>0</v>
      </c>
      <c r="AV258" s="40"/>
      <c r="AW258" s="5">
        <f>VLOOKUP($A258,'ПР 01-02.21'!$A$11:$BB$406,49,FALSE)+VLOOKUP($A258,'ПР 21-22'!$A$11:$BB$406,49,FALSE)-VLOOKUP($A258,'ПР 01-02.22'!$A$11:$BB$378,49,FALSE)</f>
        <v>1056.4206229528349</v>
      </c>
      <c r="AX258" s="5">
        <f>VLOOKUP($A258,'ПР 01-02.21'!$A$11:$BB$406,50,FALSE)+VLOOKUP($A258,'ПР 21-22'!$A$11:$BB$406,50,FALSE)-VLOOKUP($A258,'ПР 01-02.22'!$A$11:$BB$378,50,FALSE)</f>
        <v>0</v>
      </c>
      <c r="AY258" s="40"/>
      <c r="AZ258" s="40">
        <f t="shared" si="17"/>
        <v>12887.278903544629</v>
      </c>
      <c r="BA258" s="40">
        <f t="shared" si="17"/>
        <v>2811</v>
      </c>
      <c r="BB258" s="55">
        <f t="shared" si="16"/>
        <v>-10076.278903544629</v>
      </c>
      <c r="BD258" s="2">
        <v>2</v>
      </c>
      <c r="BF258" s="325">
        <v>150000672</v>
      </c>
    </row>
    <row r="259" spans="1:58" ht="24.9" customHeight="1" x14ac:dyDescent="0.3">
      <c r="A259" s="325">
        <v>150000673</v>
      </c>
      <c r="B259" s="445" t="s">
        <v>183</v>
      </c>
      <c r="C259" s="27">
        <v>2</v>
      </c>
      <c r="D259" s="101" t="s">
        <v>455</v>
      </c>
      <c r="E259" s="279">
        <f>'побудинковий звіт'!E257</f>
        <v>603.29999999999995</v>
      </c>
      <c r="F259" s="441">
        <f>'побудинковий звіт'!AS257</f>
        <v>7700.2334681588172</v>
      </c>
      <c r="G259" s="441">
        <f t="shared" si="14"/>
        <v>23929.33</v>
      </c>
      <c r="H259" s="73">
        <f t="shared" si="15"/>
        <v>16229.096531841184</v>
      </c>
      <c r="I259" s="5">
        <f>VLOOKUP($A259,'ПР 01-02.21'!$A$11:$BB$406,9,FALSE)+VLOOKUP($A259,'ПР 21-22'!$A$11:$BB$406,9,FALSE)-VLOOKUP($A259,'ПР 01-02.22'!$A$11:$BB$378,9,FALSE)</f>
        <v>0</v>
      </c>
      <c r="J259" s="5">
        <f>VLOOKUP($A259,'ПР 01-02.21'!$A$11:$BB$406,10,FALSE)+VLOOKUP($A259,'ПР 21-22'!$A$11:$BB$406,10,FALSE)-VLOOKUP($A259,'ПР 01-02.22'!$A$11:$BB$378,10,FALSE)</f>
        <v>0</v>
      </c>
      <c r="K259" s="450"/>
      <c r="L259" s="5">
        <f>VLOOKUP($A259,'ПР 01-02.21'!$A$11:$BB$406,12,FALSE)+VLOOKUP($A259,'ПР 21-22'!$A$11:$BB$406,12,FALSE)-VLOOKUP($A259,'ПР 01-02.22'!$A$11:$BB$378,12,FALSE)</f>
        <v>0</v>
      </c>
      <c r="M259" s="5">
        <f>VLOOKUP($A259,'ПР 01-02.21'!$A$11:$BB$406,13,FALSE)+VLOOKUP($A259,'ПР 21-22'!$A$11:$BB$406,13,FALSE)-VLOOKUP($A259,'ПР 01-02.22'!$A$11:$BB$378,13,FALSE)</f>
        <v>0</v>
      </c>
      <c r="N259" s="38"/>
      <c r="O259" s="5">
        <f>VLOOKUP($A259,'ПР 01-02.21'!$A$11:$BB$406,15,FALSE)+VLOOKUP($A259,'ПР 21-22'!$A$11:$BB$406,15,FALSE)-VLOOKUP($A259,'ПР 01-02.22'!$A$11:$BB$378,15,FALSE)</f>
        <v>0</v>
      </c>
      <c r="P259" s="5">
        <f>VLOOKUP($A259,'ПР 01-02.21'!$A$11:$BB$406,16,FALSE)+VLOOKUP($A259,'ПР 21-22'!$A$11:$BB$406,16,FALSE)-VLOOKUP($A259,'ПР 01-02.22'!$A$11:$BB$378,16,FALSE)</f>
        <v>0</v>
      </c>
      <c r="Q259" s="443"/>
      <c r="R259" s="5">
        <f>VLOOKUP($A259,'ПР 01-02.21'!$A$11:$BB$406,18,FALSE)+VLOOKUP($A259,'ПР 21-22'!$A$11:$BB$406,18,FALSE)-VLOOKUP($A259,'ПР 01-02.22'!$A$11:$BB$378,18,FALSE)</f>
        <v>0</v>
      </c>
      <c r="S259" s="5">
        <f>VLOOKUP($A259,'ПР 01-02.21'!$A$11:$BB$406,19,FALSE)+VLOOKUP($A259,'ПР 21-22'!$A$11:$BB$406,19,FALSE)-VLOOKUP($A259,'ПР 01-02.22'!$A$11:$BB$378,19,FALSE)</f>
        <v>0</v>
      </c>
      <c r="T259" s="444"/>
      <c r="U259" s="5">
        <f>VLOOKUP($A259,'ПР 01-02.21'!$A$11:$BB$406,21,FALSE)+VLOOKUP($A259,'ПР 21-22'!$A$11:$BB$406,21,FALSE)-VLOOKUP($A259,'ПР 01-02.22'!$A$11:$BB$378,21,FALSE)</f>
        <v>0</v>
      </c>
      <c r="V259" s="5"/>
      <c r="W259" s="5">
        <f>VLOOKUP($A259,'ПР 01-02.21'!$A$11:$BB$406,23,FALSE)+VLOOKUP($A259,'ПР 21-22'!$A$11:$BB$406,23,FALSE)-VLOOKUP($A259,'ПР 01-02.22'!$A$11:$BB$378,23,FALSE)</f>
        <v>0</v>
      </c>
      <c r="X259" s="5">
        <f>VLOOKUP($A259,'ПР 01-02.21'!$A$11:$BB$406,24,FALSE)+VLOOKUP($A259,'ПР 21-22'!$A$11:$BB$406,24,FALSE)-VLOOKUP($A259,'ПР 01-02.22'!$A$11:$BB$378,24,FALSE)</f>
        <v>0</v>
      </c>
      <c r="Y259" s="5">
        <f>VLOOKUP($A259,'ПР 01-02.21'!$A$11:$BB$406,25,FALSE)+VLOOKUP($A259,'ПР 21-22'!$A$11:$BB$406,25,FALSE)-VLOOKUP($A259,'ПР 01-02.22'!$A$11:$BB$378,25,FALSE)</f>
        <v>23430.33</v>
      </c>
      <c r="Z259" s="5"/>
      <c r="AA259" s="5">
        <f>VLOOKUP($A259,'ПР 01-02.21'!$A$11:$BB$406,27,FALSE)+VLOOKUP($A259,'ПР 21-22'!$A$11:$BB$406,27,FALSE)-VLOOKUP($A259,'ПР 01-02.22'!$A$11:$BB$378,27,FALSE)</f>
        <v>0</v>
      </c>
      <c r="AB259" s="5">
        <f>VLOOKUP($A259,'ПР 01-02.21'!$A$11:$BB$406,28,FALSE)+VLOOKUP($A259,'ПР 21-22'!$A$11:$BB$406,28,FALSE)-VLOOKUP($A259,'ПР 01-02.22'!$A$11:$BB$378,28,FALSE)</f>
        <v>0</v>
      </c>
      <c r="AC259" s="5">
        <f>VLOOKUP($A259,'ПР 01-02.21'!$A$11:$BB$406,29,FALSE)+VLOOKUP($A259,'ПР 21-22'!$A$11:$BB$406,29,FALSE)-VLOOKUP($A259,'ПР 01-02.22'!$A$11:$BB$378,29,FALSE)</f>
        <v>0</v>
      </c>
      <c r="AD259" s="5">
        <f>VLOOKUP($A259,'ПР 01-02.21'!$A$11:$BB$406,30,FALSE)+VLOOKUP($A259,'ПР 21-22'!$A$11:$BB$406,30,FALSE)-VLOOKUP($A259,'ПР 01-02.22'!$A$11:$BB$378,30,FALSE)</f>
        <v>499</v>
      </c>
      <c r="AE259" s="5">
        <f>VLOOKUP($A259,'ПР 01-02.21'!$A$11:$BB$406,31,FALSE)+VLOOKUP($A259,'ПР 21-22'!$A$11:$BB$406,31,FALSE)-VLOOKUP($A259,'ПР 01-02.22'!$A$11:$BB$378,31,FALSE)</f>
        <v>1012.5845990490718</v>
      </c>
      <c r="AF259" s="5">
        <f>VLOOKUP($A259,'ПР 01-02.21'!$A$11:$BB$406,32,FALSE)+VLOOKUP($A259,'ПР 21-22'!$A$11:$BB$406,32,FALSE)-VLOOKUP($A259,'ПР 01-02.22'!$A$11:$BB$378,32,FALSE)</f>
        <v>0</v>
      </c>
      <c r="AG259" s="40"/>
      <c r="AH259" s="5">
        <f>VLOOKUP($A259,'ПР 01-02.21'!$A$11:$BB$406,34,FALSE)+VLOOKUP($A259,'ПР 21-22'!$A$11:$BB$406,34,FALSE)-VLOOKUP($A259,'ПР 01-02.22'!$A$11:$BB$378,34,FALSE)</f>
        <v>1126.9761167122374</v>
      </c>
      <c r="AI259" s="5">
        <f>VLOOKUP($A259,'ПР 01-02.21'!$A$11:$BB$406,35,FALSE)+VLOOKUP($A259,'ПР 21-22'!$A$11:$BB$406,35,FALSE)-VLOOKUP($A259,'ПР 01-02.22'!$A$11:$BB$378,35,FALSE)</f>
        <v>0</v>
      </c>
      <c r="AJ259" s="40"/>
      <c r="AK259" s="5">
        <f>VLOOKUP($A259,'ПР 01-02.21'!$A$11:$BB$406,37,FALSE)+VLOOKUP($A259,'ПР 21-22'!$A$11:$BB$406,37,FALSE)-VLOOKUP($A259,'ПР 01-02.22'!$A$11:$BB$378,37,FALSE)</f>
        <v>328.18143489054654</v>
      </c>
      <c r="AL259" s="5">
        <f>VLOOKUP($A259,'ПР 01-02.21'!$A$11:$BB$406,38,FALSE)+VLOOKUP($A259,'ПР 21-22'!$A$11:$BB$406,38,FALSE)-VLOOKUP($A259,'ПР 01-02.22'!$A$11:$BB$378,38,FALSE)</f>
        <v>532</v>
      </c>
      <c r="AM259" s="40"/>
      <c r="AN259" s="5">
        <f>VLOOKUP($A259,'ПР 01-02.21'!$A$11:$BB$406,40,FALSE)+VLOOKUP($A259,'ПР 21-22'!$A$11:$BB$406,40,FALSE)-VLOOKUP($A259,'ПР 01-02.22'!$A$11:$BB$378,40,FALSE)</f>
        <v>0</v>
      </c>
      <c r="AO259" s="5">
        <f>VLOOKUP($A259,'ПР 01-02.21'!$A$11:$BB$406,41,FALSE)+VLOOKUP($A259,'ПР 21-22'!$A$11:$BB$406,41,FALSE)-VLOOKUP($A259,'ПР 01-02.22'!$A$11:$BB$378,41,FALSE)</f>
        <v>0</v>
      </c>
      <c r="AP259" s="40"/>
      <c r="AQ259" s="5">
        <f>VLOOKUP($A259,'ПР 01-02.21'!$A$11:$BB$406,43,FALSE)+VLOOKUP($A259,'ПР 21-22'!$A$11:$BB$406,43,FALSE)-VLOOKUP($A259,'ПР 01-02.22'!$A$11:$BB$378,43,FALSE)</f>
        <v>0</v>
      </c>
      <c r="AR259" s="5">
        <f>VLOOKUP($A259,'ПР 01-02.21'!$A$11:$BB$406,44,FALSE)+VLOOKUP($A259,'ПР 21-22'!$A$11:$BB$406,44,FALSE)-VLOOKUP($A259,'ПР 01-02.22'!$A$11:$BB$378,44,FALSE)</f>
        <v>0</v>
      </c>
      <c r="AS259" s="40"/>
      <c r="AT259" s="5">
        <f>VLOOKUP($A259,'ПР 01-02.21'!$A$11:$BB$406,46,FALSE)+VLOOKUP($A259,'ПР 21-22'!$A$11:$BB$406,46,FALSE)-VLOOKUP($A259,'ПР 01-02.22'!$A$11:$BB$378,46,FALSE)</f>
        <v>104.36956266841206</v>
      </c>
      <c r="AU259" s="5">
        <f>VLOOKUP($A259,'ПР 01-02.21'!$A$11:$BB$406,47,FALSE)+VLOOKUP($A259,'ПР 21-22'!$A$11:$BB$406,47,FALSE)-VLOOKUP($A259,'ПР 01-02.22'!$A$11:$BB$378,47,FALSE)</f>
        <v>0</v>
      </c>
      <c r="AV259" s="40"/>
      <c r="AW259" s="5">
        <f>VLOOKUP($A259,'ПР 01-02.21'!$A$11:$BB$406,49,FALSE)+VLOOKUP($A259,'ПР 21-22'!$A$11:$BB$406,49,FALSE)-VLOOKUP($A259,'ПР 01-02.22'!$A$11:$BB$378,49,FALSE)</f>
        <v>30.131999999999998</v>
      </c>
      <c r="AX259" s="5">
        <f>VLOOKUP($A259,'ПР 01-02.21'!$A$11:$BB$406,50,FALSE)+VLOOKUP($A259,'ПР 21-22'!$A$11:$BB$406,50,FALSE)-VLOOKUP($A259,'ПР 01-02.22'!$A$11:$BB$378,50,FALSE)</f>
        <v>0</v>
      </c>
      <c r="AY259" s="40"/>
      <c r="AZ259" s="40">
        <f t="shared" si="17"/>
        <v>2602.2437133202679</v>
      </c>
      <c r="BA259" s="40">
        <f t="shared" si="17"/>
        <v>532</v>
      </c>
      <c r="BB259" s="55">
        <f t="shared" si="16"/>
        <v>-2070.2437133202679</v>
      </c>
      <c r="BD259" s="2">
        <v>2</v>
      </c>
      <c r="BF259" s="325">
        <v>150000673</v>
      </c>
    </row>
    <row r="260" spans="1:58" ht="24.9" customHeight="1" x14ac:dyDescent="0.3">
      <c r="A260" s="325">
        <v>150000670</v>
      </c>
      <c r="B260" s="445" t="s">
        <v>127</v>
      </c>
      <c r="C260" s="27">
        <v>1</v>
      </c>
      <c r="D260" s="101" t="s">
        <v>455</v>
      </c>
      <c r="E260" s="279">
        <f>'побудинковий звіт'!E258</f>
        <v>211.6</v>
      </c>
      <c r="F260" s="441">
        <f>'побудинковий звіт'!AS258</f>
        <v>0</v>
      </c>
      <c r="G260" s="441">
        <f t="shared" si="14"/>
        <v>0</v>
      </c>
      <c r="H260" s="73">
        <f t="shared" si="15"/>
        <v>0</v>
      </c>
      <c r="I260" s="5"/>
      <c r="J260" s="5"/>
      <c r="K260" s="446"/>
      <c r="L260" s="5"/>
      <c r="M260" s="5"/>
      <c r="N260" s="38"/>
      <c r="O260" s="5"/>
      <c r="P260" s="5"/>
      <c r="Q260" s="443"/>
      <c r="R260" s="5"/>
      <c r="S260" s="5"/>
      <c r="T260" s="444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40"/>
      <c r="AH260" s="5"/>
      <c r="AI260" s="5"/>
      <c r="AJ260" s="40"/>
      <c r="AK260" s="5"/>
      <c r="AL260" s="5"/>
      <c r="AM260" s="40"/>
      <c r="AN260" s="5"/>
      <c r="AO260" s="5"/>
      <c r="AP260" s="40"/>
      <c r="AQ260" s="5"/>
      <c r="AR260" s="5"/>
      <c r="AS260" s="40"/>
      <c r="AT260" s="5"/>
      <c r="AU260" s="5"/>
      <c r="AV260" s="40"/>
      <c r="AW260" s="5"/>
      <c r="AX260" s="5"/>
      <c r="AY260" s="40"/>
      <c r="AZ260" s="40">
        <f t="shared" si="17"/>
        <v>0</v>
      </c>
      <c r="BA260" s="40">
        <f t="shared" si="17"/>
        <v>0</v>
      </c>
      <c r="BB260" s="55">
        <f t="shared" si="16"/>
        <v>0</v>
      </c>
      <c r="BD260" s="2">
        <v>2</v>
      </c>
      <c r="BF260" s="325">
        <v>150000670</v>
      </c>
    </row>
    <row r="261" spans="1:58" ht="24.9" customHeight="1" x14ac:dyDescent="0.3">
      <c r="A261" s="325">
        <v>150000676</v>
      </c>
      <c r="B261" s="445" t="s">
        <v>386</v>
      </c>
      <c r="C261" s="27">
        <v>9</v>
      </c>
      <c r="D261" s="101" t="s">
        <v>455</v>
      </c>
      <c r="E261" s="279">
        <f>'побудинковий звіт'!E259</f>
        <v>4198.2</v>
      </c>
      <c r="F261" s="441">
        <f>'побудинковий звіт'!AS259</f>
        <v>49666.406710741023</v>
      </c>
      <c r="G261" s="441">
        <f t="shared" si="14"/>
        <v>72273.42</v>
      </c>
      <c r="H261" s="73">
        <f t="shared" si="15"/>
        <v>22607.013289258975</v>
      </c>
      <c r="I261" s="5">
        <f>VLOOKUP($A261,'ПР 01-02.21'!$A$11:$BB$406,9,FALSE)+VLOOKUP($A261,'ПР 21-22'!$A$11:$BB$406,9,FALSE)-VLOOKUP($A261,'ПР 01-02.22'!$A$11:$BB$378,9,FALSE)</f>
        <v>0</v>
      </c>
      <c r="J261" s="5">
        <f>VLOOKUP($A261,'ПР 01-02.21'!$A$11:$BB$406,10,FALSE)+VLOOKUP($A261,'ПР 21-22'!$A$11:$BB$406,10,FALSE)-VLOOKUP($A261,'ПР 01-02.22'!$A$11:$BB$378,10,FALSE)</f>
        <v>0</v>
      </c>
      <c r="K261" s="446"/>
      <c r="L261" s="5">
        <f>VLOOKUP($A261,'ПР 01-02.21'!$A$11:$BB$406,12,FALSE)+VLOOKUP($A261,'ПР 21-22'!$A$11:$BB$406,12,FALSE)-VLOOKUP($A261,'ПР 01-02.22'!$A$11:$BB$378,12,FALSE)</f>
        <v>0</v>
      </c>
      <c r="M261" s="5">
        <f>VLOOKUP($A261,'ПР 01-02.21'!$A$11:$BB$406,13,FALSE)+VLOOKUP($A261,'ПР 21-22'!$A$11:$BB$406,13,FALSE)-VLOOKUP($A261,'ПР 01-02.22'!$A$11:$BB$378,13,FALSE)</f>
        <v>0</v>
      </c>
      <c r="N261" s="38"/>
      <c r="O261" s="5">
        <f>VLOOKUP($A261,'ПР 01-02.21'!$A$11:$BB$406,15,FALSE)+VLOOKUP($A261,'ПР 21-22'!$A$11:$BB$406,15,FALSE)-VLOOKUP($A261,'ПР 01-02.22'!$A$11:$BB$378,15,FALSE)</f>
        <v>45</v>
      </c>
      <c r="P261" s="5">
        <f>VLOOKUP($A261,'ПР 01-02.21'!$A$11:$BB$406,16,FALSE)+VLOOKUP($A261,'ПР 21-22'!$A$11:$BB$406,16,FALSE)-VLOOKUP($A261,'ПР 01-02.22'!$A$11:$BB$378,16,FALSE)</f>
        <v>7416</v>
      </c>
      <c r="Q261" s="443"/>
      <c r="R261" s="5">
        <f>VLOOKUP($A261,'ПР 01-02.21'!$A$11:$BB$406,18,FALSE)+VLOOKUP($A261,'ПР 21-22'!$A$11:$BB$406,18,FALSE)-VLOOKUP($A261,'ПР 01-02.22'!$A$11:$BB$378,18,FALSE)</f>
        <v>1</v>
      </c>
      <c r="S261" s="5">
        <f>VLOOKUP($A261,'ПР 01-02.21'!$A$11:$BB$406,19,FALSE)+VLOOKUP($A261,'ПР 21-22'!$A$11:$BB$406,19,FALSE)-VLOOKUP($A261,'ПР 01-02.22'!$A$11:$BB$378,19,FALSE)</f>
        <v>492</v>
      </c>
      <c r="T261" s="444"/>
      <c r="U261" s="5">
        <f>VLOOKUP($A261,'ПР 01-02.21'!$A$11:$BB$406,21,FALSE)+VLOOKUP($A261,'ПР 21-22'!$A$11:$BB$406,21,FALSE)-VLOOKUP($A261,'ПР 01-02.22'!$A$11:$BB$378,21,FALSE)</f>
        <v>0</v>
      </c>
      <c r="V261" s="5"/>
      <c r="W261" s="5">
        <f>VLOOKUP($A261,'ПР 01-02.21'!$A$11:$BB$406,23,FALSE)+VLOOKUP($A261,'ПР 21-22'!$A$11:$BB$406,23,FALSE)-VLOOKUP($A261,'ПР 01-02.22'!$A$11:$BB$378,23,FALSE)</f>
        <v>0</v>
      </c>
      <c r="X261" s="5">
        <f>VLOOKUP($A261,'ПР 01-02.21'!$A$11:$BB$406,24,FALSE)+VLOOKUP($A261,'ПР 21-22'!$A$11:$BB$406,24,FALSE)-VLOOKUP($A261,'ПР 01-02.22'!$A$11:$BB$378,24,FALSE)</f>
        <v>0</v>
      </c>
      <c r="Y261" s="5">
        <f>VLOOKUP($A261,'ПР 01-02.21'!$A$11:$BB$406,25,FALSE)+VLOOKUP($A261,'ПР 21-22'!$A$11:$BB$406,25,FALSE)-VLOOKUP($A261,'ПР 01-02.22'!$A$11:$BB$378,25,FALSE)</f>
        <v>61696.42</v>
      </c>
      <c r="Z261" s="5"/>
      <c r="AA261" s="5">
        <f>VLOOKUP($A261,'ПР 01-02.21'!$A$11:$BB$406,27,FALSE)+VLOOKUP($A261,'ПР 21-22'!$A$11:$BB$406,27,FALSE)-VLOOKUP($A261,'ПР 01-02.22'!$A$11:$BB$378,27,FALSE)</f>
        <v>0</v>
      </c>
      <c r="AB261" s="5">
        <f>VLOOKUP($A261,'ПР 01-02.21'!$A$11:$BB$406,28,FALSE)+VLOOKUP($A261,'ПР 21-22'!$A$11:$BB$406,28,FALSE)-VLOOKUP($A261,'ПР 01-02.22'!$A$11:$BB$378,28,FALSE)</f>
        <v>0</v>
      </c>
      <c r="AC261" s="5">
        <f>VLOOKUP($A261,'ПР 01-02.21'!$A$11:$BB$406,29,FALSE)+VLOOKUP($A261,'ПР 21-22'!$A$11:$BB$406,29,FALSE)-VLOOKUP($A261,'ПР 01-02.22'!$A$11:$BB$378,29,FALSE)</f>
        <v>438</v>
      </c>
      <c r="AD261" s="5">
        <f>VLOOKUP($A261,'ПР 01-02.21'!$A$11:$BB$406,30,FALSE)+VLOOKUP($A261,'ПР 21-22'!$A$11:$BB$406,30,FALSE)-VLOOKUP($A261,'ПР 01-02.22'!$A$11:$BB$378,30,FALSE)</f>
        <v>2231</v>
      </c>
      <c r="AE261" s="5">
        <f>VLOOKUP($A261,'ПР 01-02.21'!$A$11:$BB$406,31,FALSE)+VLOOKUP($A261,'ПР 21-22'!$A$11:$BB$406,31,FALSE)-VLOOKUP($A261,'ПР 01-02.22'!$A$11:$BB$378,31,FALSE)</f>
        <v>3125.0359298835924</v>
      </c>
      <c r="AF261" s="5">
        <f>VLOOKUP($A261,'ПР 01-02.21'!$A$11:$BB$406,32,FALSE)+VLOOKUP($A261,'ПР 21-22'!$A$11:$BB$406,32,FALSE)-VLOOKUP($A261,'ПР 01-02.22'!$A$11:$BB$378,32,FALSE)</f>
        <v>3078</v>
      </c>
      <c r="AG261" s="40"/>
      <c r="AH261" s="5">
        <f>VLOOKUP($A261,'ПР 01-02.21'!$A$11:$BB$406,34,FALSE)+VLOOKUP($A261,'ПР 21-22'!$A$11:$BB$406,34,FALSE)-VLOOKUP($A261,'ПР 01-02.22'!$A$11:$BB$378,34,FALSE)</f>
        <v>3500.7351701792932</v>
      </c>
      <c r="AI261" s="5">
        <f>VLOOKUP($A261,'ПР 01-02.21'!$A$11:$BB$406,35,FALSE)+VLOOKUP($A261,'ПР 21-22'!$A$11:$BB$406,35,FALSE)-VLOOKUP($A261,'ПР 01-02.22'!$A$11:$BB$378,35,FALSE)</f>
        <v>2055</v>
      </c>
      <c r="AJ261" s="40"/>
      <c r="AK261" s="5">
        <f>VLOOKUP($A261,'ПР 01-02.21'!$A$11:$BB$406,37,FALSE)+VLOOKUP($A261,'ПР 21-22'!$A$11:$BB$406,37,FALSE)-VLOOKUP($A261,'ПР 01-02.22'!$A$11:$BB$378,37,FALSE)</f>
        <v>1803.8583464231453</v>
      </c>
      <c r="AL261" s="5">
        <f>VLOOKUP($A261,'ПР 01-02.21'!$A$11:$BB$406,38,FALSE)+VLOOKUP($A261,'ПР 21-22'!$A$11:$BB$406,38,FALSE)-VLOOKUP($A261,'ПР 01-02.22'!$A$11:$BB$378,38,FALSE)</f>
        <v>0</v>
      </c>
      <c r="AM261" s="40"/>
      <c r="AN261" s="5">
        <f>VLOOKUP($A261,'ПР 01-02.21'!$A$11:$BB$406,40,FALSE)+VLOOKUP($A261,'ПР 21-22'!$A$11:$BB$406,40,FALSE)-VLOOKUP($A261,'ПР 01-02.22'!$A$11:$BB$378,40,FALSE)</f>
        <v>3134.8840914887405</v>
      </c>
      <c r="AO261" s="5">
        <f>VLOOKUP($A261,'ПР 01-02.21'!$A$11:$BB$406,41,FALSE)+VLOOKUP($A261,'ПР 21-22'!$A$11:$BB$406,41,FALSE)-VLOOKUP($A261,'ПР 01-02.22'!$A$11:$BB$378,41,FALSE)</f>
        <v>0</v>
      </c>
      <c r="AP261" s="40"/>
      <c r="AQ261" s="5">
        <f>VLOOKUP($A261,'ПР 01-02.21'!$A$11:$BB$406,43,FALSE)+VLOOKUP($A261,'ПР 21-22'!$A$11:$BB$406,43,FALSE)-VLOOKUP($A261,'ПР 01-02.22'!$A$11:$BB$378,43,FALSE)</f>
        <v>1275.715225914171</v>
      </c>
      <c r="AR261" s="5">
        <f>VLOOKUP($A261,'ПР 01-02.21'!$A$11:$BB$406,44,FALSE)+VLOOKUP($A261,'ПР 21-22'!$A$11:$BB$406,44,FALSE)-VLOOKUP($A261,'ПР 01-02.22'!$A$11:$BB$378,44,FALSE)</f>
        <v>2195</v>
      </c>
      <c r="AS261" s="40"/>
      <c r="AT261" s="5">
        <f>VLOOKUP($A261,'ПР 01-02.21'!$A$11:$BB$406,46,FALSE)+VLOOKUP($A261,'ПР 21-22'!$A$11:$BB$406,46,FALSE)-VLOOKUP($A261,'ПР 01-02.22'!$A$11:$BB$378,46,FALSE)</f>
        <v>1900.4953323167838</v>
      </c>
      <c r="AU261" s="5">
        <f>VLOOKUP($A261,'ПР 01-02.21'!$A$11:$BB$406,47,FALSE)+VLOOKUP($A261,'ПР 21-22'!$A$11:$BB$406,47,FALSE)-VLOOKUP($A261,'ПР 01-02.22'!$A$11:$BB$378,47,FALSE)</f>
        <v>0</v>
      </c>
      <c r="AV261" s="40"/>
      <c r="AW261" s="5">
        <f>VLOOKUP($A261,'ПР 01-02.21'!$A$11:$BB$406,49,FALSE)+VLOOKUP($A261,'ПР 21-22'!$A$11:$BB$406,49,FALSE)-VLOOKUP($A261,'ПР 01-02.22'!$A$11:$BB$378,49,FALSE)</f>
        <v>209.93200000000002</v>
      </c>
      <c r="AX261" s="5">
        <f>VLOOKUP($A261,'ПР 01-02.21'!$A$11:$BB$406,50,FALSE)+VLOOKUP($A261,'ПР 21-22'!$A$11:$BB$406,50,FALSE)-VLOOKUP($A261,'ПР 01-02.22'!$A$11:$BB$378,50,FALSE)</f>
        <v>0</v>
      </c>
      <c r="AY261" s="40"/>
      <c r="AZ261" s="40">
        <f t="shared" si="17"/>
        <v>14950.656096205726</v>
      </c>
      <c r="BA261" s="40">
        <f t="shared" si="17"/>
        <v>7328</v>
      </c>
      <c r="BB261" s="55">
        <f t="shared" si="16"/>
        <v>-7622.6560962057265</v>
      </c>
      <c r="BD261" s="2">
        <v>2</v>
      </c>
      <c r="BF261" s="325">
        <v>150000676</v>
      </c>
    </row>
    <row r="262" spans="1:58" ht="24.9" customHeight="1" x14ac:dyDescent="0.3">
      <c r="A262" s="325">
        <v>150000671</v>
      </c>
      <c r="B262" s="445" t="s">
        <v>128</v>
      </c>
      <c r="C262" s="27">
        <v>1</v>
      </c>
      <c r="D262" s="101" t="s">
        <v>455</v>
      </c>
      <c r="E262" s="279">
        <f>'побудинковий звіт'!E260</f>
        <v>229.7</v>
      </c>
      <c r="F262" s="441">
        <f>'побудинковий звіт'!AS260</f>
        <v>2703.1245997796063</v>
      </c>
      <c r="G262" s="441">
        <f t="shared" si="14"/>
        <v>0</v>
      </c>
      <c r="H262" s="73">
        <f t="shared" si="15"/>
        <v>-2703.1245997796063</v>
      </c>
      <c r="I262" s="5">
        <f>VLOOKUP($A262,'ПР 01-02.21'!$A$11:$BB$406,9,FALSE)+VLOOKUP($A262,'ПР 21-22'!$A$11:$BB$406,9,FALSE)-VLOOKUP($A262,'ПР 01-02.22'!$A$11:$BB$378,9,FALSE)</f>
        <v>0</v>
      </c>
      <c r="J262" s="5">
        <f>VLOOKUP($A262,'ПР 01-02.21'!$A$11:$BB$406,10,FALSE)+VLOOKUP($A262,'ПР 21-22'!$A$11:$BB$406,10,FALSE)-VLOOKUP($A262,'ПР 01-02.22'!$A$11:$BB$378,10,FALSE)</f>
        <v>0</v>
      </c>
      <c r="K262" s="446"/>
      <c r="L262" s="5">
        <f>VLOOKUP($A262,'ПР 01-02.21'!$A$11:$BB$406,12,FALSE)+VLOOKUP($A262,'ПР 21-22'!$A$11:$BB$406,12,FALSE)-VLOOKUP($A262,'ПР 01-02.22'!$A$11:$BB$378,12,FALSE)</f>
        <v>0</v>
      </c>
      <c r="M262" s="5">
        <f>VLOOKUP($A262,'ПР 01-02.21'!$A$11:$BB$406,13,FALSE)+VLOOKUP($A262,'ПР 21-22'!$A$11:$BB$406,13,FALSE)-VLOOKUP($A262,'ПР 01-02.22'!$A$11:$BB$378,13,FALSE)</f>
        <v>0</v>
      </c>
      <c r="N262" s="38"/>
      <c r="O262" s="5">
        <f>VLOOKUP($A262,'ПР 01-02.21'!$A$11:$BB$406,15,FALSE)+VLOOKUP($A262,'ПР 21-22'!$A$11:$BB$406,15,FALSE)-VLOOKUP($A262,'ПР 01-02.22'!$A$11:$BB$378,15,FALSE)</f>
        <v>0</v>
      </c>
      <c r="P262" s="5">
        <f>VLOOKUP($A262,'ПР 01-02.21'!$A$11:$BB$406,16,FALSE)+VLOOKUP($A262,'ПР 21-22'!$A$11:$BB$406,16,FALSE)-VLOOKUP($A262,'ПР 01-02.22'!$A$11:$BB$378,16,FALSE)</f>
        <v>0</v>
      </c>
      <c r="Q262" s="443"/>
      <c r="R262" s="5">
        <f>VLOOKUP($A262,'ПР 01-02.21'!$A$11:$BB$406,18,FALSE)+VLOOKUP($A262,'ПР 21-22'!$A$11:$BB$406,18,FALSE)-VLOOKUP($A262,'ПР 01-02.22'!$A$11:$BB$378,18,FALSE)</f>
        <v>0</v>
      </c>
      <c r="S262" s="5">
        <f>VLOOKUP($A262,'ПР 01-02.21'!$A$11:$BB$406,19,FALSE)+VLOOKUP($A262,'ПР 21-22'!$A$11:$BB$406,19,FALSE)-VLOOKUP($A262,'ПР 01-02.22'!$A$11:$BB$378,19,FALSE)</f>
        <v>0</v>
      </c>
      <c r="T262" s="444"/>
      <c r="U262" s="5">
        <f>VLOOKUP($A262,'ПР 01-02.21'!$A$11:$BB$406,21,FALSE)+VLOOKUP($A262,'ПР 21-22'!$A$11:$BB$406,21,FALSE)-VLOOKUP($A262,'ПР 01-02.22'!$A$11:$BB$378,21,FALSE)</f>
        <v>0</v>
      </c>
      <c r="V262" s="5"/>
      <c r="W262" s="5">
        <f>VLOOKUP($A262,'ПР 01-02.21'!$A$11:$BB$406,23,FALSE)+VLOOKUP($A262,'ПР 21-22'!$A$11:$BB$406,23,FALSE)-VLOOKUP($A262,'ПР 01-02.22'!$A$11:$BB$378,23,FALSE)</f>
        <v>0</v>
      </c>
      <c r="X262" s="5">
        <f>VLOOKUP($A262,'ПР 01-02.21'!$A$11:$BB$406,24,FALSE)+VLOOKUP($A262,'ПР 21-22'!$A$11:$BB$406,24,FALSE)-VLOOKUP($A262,'ПР 01-02.22'!$A$11:$BB$378,24,FALSE)</f>
        <v>0</v>
      </c>
      <c r="Y262" s="5">
        <f>VLOOKUP($A262,'ПР 01-02.21'!$A$11:$BB$406,25,FALSE)+VLOOKUP($A262,'ПР 21-22'!$A$11:$BB$406,25,FALSE)-VLOOKUP($A262,'ПР 01-02.22'!$A$11:$BB$378,25,FALSE)</f>
        <v>0</v>
      </c>
      <c r="Z262" s="5"/>
      <c r="AA262" s="5">
        <f>VLOOKUP($A262,'ПР 01-02.21'!$A$11:$BB$406,27,FALSE)+VLOOKUP($A262,'ПР 21-22'!$A$11:$BB$406,27,FALSE)-VLOOKUP($A262,'ПР 01-02.22'!$A$11:$BB$378,27,FALSE)</f>
        <v>0</v>
      </c>
      <c r="AB262" s="5">
        <f>VLOOKUP($A262,'ПР 01-02.21'!$A$11:$BB$406,28,FALSE)+VLOOKUP($A262,'ПР 21-22'!$A$11:$BB$406,28,FALSE)-VLOOKUP($A262,'ПР 01-02.22'!$A$11:$BB$378,28,FALSE)</f>
        <v>0</v>
      </c>
      <c r="AC262" s="5">
        <f>VLOOKUP($A262,'ПР 01-02.21'!$A$11:$BB$406,29,FALSE)+VLOOKUP($A262,'ПР 21-22'!$A$11:$BB$406,29,FALSE)-VLOOKUP($A262,'ПР 01-02.22'!$A$11:$BB$378,29,FALSE)</f>
        <v>0</v>
      </c>
      <c r="AD262" s="5">
        <f>VLOOKUP($A262,'ПР 01-02.21'!$A$11:$BB$406,30,FALSE)+VLOOKUP($A262,'ПР 21-22'!$A$11:$BB$406,30,FALSE)-VLOOKUP($A262,'ПР 01-02.22'!$A$11:$BB$378,30,FALSE)</f>
        <v>0</v>
      </c>
      <c r="AE262" s="5">
        <f>VLOOKUP($A262,'ПР 01-02.21'!$A$11:$BB$406,31,FALSE)+VLOOKUP($A262,'ПР 21-22'!$A$11:$BB$406,31,FALSE)-VLOOKUP($A262,'ПР 01-02.22'!$A$11:$BB$378,31,FALSE)</f>
        <v>0</v>
      </c>
      <c r="AF262" s="5">
        <f>VLOOKUP($A262,'ПР 01-02.21'!$A$11:$BB$406,32,FALSE)+VLOOKUP($A262,'ПР 21-22'!$A$11:$BB$406,32,FALSE)-VLOOKUP($A262,'ПР 01-02.22'!$A$11:$BB$378,32,FALSE)</f>
        <v>0</v>
      </c>
      <c r="AG262" s="40"/>
      <c r="AH262" s="5">
        <f>VLOOKUP($A262,'ПР 01-02.21'!$A$11:$BB$406,34,FALSE)+VLOOKUP($A262,'ПР 21-22'!$A$11:$BB$406,34,FALSE)-VLOOKUP($A262,'ПР 01-02.22'!$A$11:$BB$378,34,FALSE)</f>
        <v>0</v>
      </c>
      <c r="AI262" s="5">
        <f>VLOOKUP($A262,'ПР 01-02.21'!$A$11:$BB$406,35,FALSE)+VLOOKUP($A262,'ПР 21-22'!$A$11:$BB$406,35,FALSE)-VLOOKUP($A262,'ПР 01-02.22'!$A$11:$BB$378,35,FALSE)</f>
        <v>0</v>
      </c>
      <c r="AJ262" s="40"/>
      <c r="AK262" s="5">
        <f>VLOOKUP($A262,'ПР 01-02.21'!$A$11:$BB$406,37,FALSE)+VLOOKUP($A262,'ПР 21-22'!$A$11:$BB$406,37,FALSE)-VLOOKUP($A262,'ПР 01-02.22'!$A$11:$BB$378,37,FALSE)</f>
        <v>0</v>
      </c>
      <c r="AL262" s="5">
        <f>VLOOKUP($A262,'ПР 01-02.21'!$A$11:$BB$406,38,FALSE)+VLOOKUP($A262,'ПР 21-22'!$A$11:$BB$406,38,FALSE)-VLOOKUP($A262,'ПР 01-02.22'!$A$11:$BB$378,38,FALSE)</f>
        <v>0</v>
      </c>
      <c r="AM262" s="40"/>
      <c r="AN262" s="5">
        <f>VLOOKUP($A262,'ПР 01-02.21'!$A$11:$BB$406,40,FALSE)+VLOOKUP($A262,'ПР 21-22'!$A$11:$BB$406,40,FALSE)-VLOOKUP($A262,'ПР 01-02.22'!$A$11:$BB$378,40,FALSE)</f>
        <v>0</v>
      </c>
      <c r="AO262" s="5">
        <f>VLOOKUP($A262,'ПР 01-02.21'!$A$11:$BB$406,41,FALSE)+VLOOKUP($A262,'ПР 21-22'!$A$11:$BB$406,41,FALSE)-VLOOKUP($A262,'ПР 01-02.22'!$A$11:$BB$378,41,FALSE)</f>
        <v>0</v>
      </c>
      <c r="AP262" s="40"/>
      <c r="AQ262" s="5">
        <f>VLOOKUP($A262,'ПР 01-02.21'!$A$11:$BB$406,43,FALSE)+VLOOKUP($A262,'ПР 21-22'!$A$11:$BB$406,43,FALSE)-VLOOKUP($A262,'ПР 01-02.22'!$A$11:$BB$378,43,FALSE)</f>
        <v>0</v>
      </c>
      <c r="AR262" s="5">
        <f>VLOOKUP($A262,'ПР 01-02.21'!$A$11:$BB$406,44,FALSE)+VLOOKUP($A262,'ПР 21-22'!$A$11:$BB$406,44,FALSE)-VLOOKUP($A262,'ПР 01-02.22'!$A$11:$BB$378,44,FALSE)</f>
        <v>0</v>
      </c>
      <c r="AS262" s="40"/>
      <c r="AT262" s="5">
        <f>VLOOKUP($A262,'ПР 01-02.21'!$A$11:$BB$406,46,FALSE)+VLOOKUP($A262,'ПР 21-22'!$A$11:$BB$406,46,FALSE)-VLOOKUP($A262,'ПР 01-02.22'!$A$11:$BB$378,46,FALSE)</f>
        <v>0</v>
      </c>
      <c r="AU262" s="5">
        <f>VLOOKUP($A262,'ПР 01-02.21'!$A$11:$BB$406,47,FALSE)+VLOOKUP($A262,'ПР 21-22'!$A$11:$BB$406,47,FALSE)-VLOOKUP($A262,'ПР 01-02.22'!$A$11:$BB$378,47,FALSE)</f>
        <v>0</v>
      </c>
      <c r="AV262" s="40"/>
      <c r="AW262" s="5">
        <f>VLOOKUP($A262,'ПР 01-02.21'!$A$11:$BB$406,49,FALSE)+VLOOKUP($A262,'ПР 21-22'!$A$11:$BB$406,49,FALSE)-VLOOKUP($A262,'ПР 01-02.22'!$A$11:$BB$378,49,FALSE)</f>
        <v>11.076000000000001</v>
      </c>
      <c r="AX262" s="5">
        <f>VLOOKUP($A262,'ПР 01-02.21'!$A$11:$BB$406,50,FALSE)+VLOOKUP($A262,'ПР 21-22'!$A$11:$BB$406,50,FALSE)-VLOOKUP($A262,'ПР 01-02.22'!$A$11:$BB$378,50,FALSE)</f>
        <v>0</v>
      </c>
      <c r="AY262" s="40"/>
      <c r="AZ262" s="40">
        <f t="shared" si="17"/>
        <v>11.076000000000001</v>
      </c>
      <c r="BA262" s="40">
        <f t="shared" si="17"/>
        <v>0</v>
      </c>
      <c r="BB262" s="55">
        <f t="shared" si="16"/>
        <v>-11.076000000000001</v>
      </c>
      <c r="BD262" s="2">
        <v>2</v>
      </c>
      <c r="BF262" s="325">
        <v>150000671</v>
      </c>
    </row>
    <row r="263" spans="1:58" ht="24.9" customHeight="1" x14ac:dyDescent="0.3">
      <c r="A263" s="325">
        <v>150000726</v>
      </c>
      <c r="B263" s="445" t="s">
        <v>184</v>
      </c>
      <c r="C263" s="27">
        <v>2</v>
      </c>
      <c r="D263" s="101" t="s">
        <v>455</v>
      </c>
      <c r="E263" s="279">
        <f>'побудинковий звіт'!E261</f>
        <v>409.7</v>
      </c>
      <c r="F263" s="441">
        <f>'побудинковий звіт'!AS261</f>
        <v>4572.6471808427468</v>
      </c>
      <c r="G263" s="441">
        <f t="shared" si="14"/>
        <v>0</v>
      </c>
      <c r="H263" s="73">
        <f t="shared" si="15"/>
        <v>-4572.6471808427468</v>
      </c>
      <c r="I263" s="5">
        <f>VLOOKUP($A263,'ПР 01-02.21'!$A$11:$BB$406,9,FALSE)+VLOOKUP($A263,'ПР 21-22'!$A$11:$BB$406,9,FALSE)-VLOOKUP($A263,'ПР 01-02.22'!$A$11:$BB$378,9,FALSE)</f>
        <v>0</v>
      </c>
      <c r="J263" s="5">
        <f>VLOOKUP($A263,'ПР 01-02.21'!$A$11:$BB$406,10,FALSE)+VLOOKUP($A263,'ПР 21-22'!$A$11:$BB$406,10,FALSE)-VLOOKUP($A263,'ПР 01-02.22'!$A$11:$BB$378,10,FALSE)</f>
        <v>0</v>
      </c>
      <c r="K263" s="446"/>
      <c r="L263" s="5">
        <f>VLOOKUP($A263,'ПР 01-02.21'!$A$11:$BB$406,12,FALSE)+VLOOKUP($A263,'ПР 21-22'!$A$11:$BB$406,12,FALSE)-VLOOKUP($A263,'ПР 01-02.22'!$A$11:$BB$378,12,FALSE)</f>
        <v>0</v>
      </c>
      <c r="M263" s="5">
        <f>VLOOKUP($A263,'ПР 01-02.21'!$A$11:$BB$406,13,FALSE)+VLOOKUP($A263,'ПР 21-22'!$A$11:$BB$406,13,FALSE)-VLOOKUP($A263,'ПР 01-02.22'!$A$11:$BB$378,13,FALSE)</f>
        <v>0</v>
      </c>
      <c r="N263" s="38"/>
      <c r="O263" s="5">
        <f>VLOOKUP($A263,'ПР 01-02.21'!$A$11:$BB$406,15,FALSE)+VLOOKUP($A263,'ПР 21-22'!$A$11:$BB$406,15,FALSE)-VLOOKUP($A263,'ПР 01-02.22'!$A$11:$BB$378,15,FALSE)</f>
        <v>0</v>
      </c>
      <c r="P263" s="5">
        <f>VLOOKUP($A263,'ПР 01-02.21'!$A$11:$BB$406,16,FALSE)+VLOOKUP($A263,'ПР 21-22'!$A$11:$BB$406,16,FALSE)-VLOOKUP($A263,'ПР 01-02.22'!$A$11:$BB$378,16,FALSE)</f>
        <v>0</v>
      </c>
      <c r="Q263" s="443"/>
      <c r="R263" s="5">
        <f>VLOOKUP($A263,'ПР 01-02.21'!$A$11:$BB$406,18,FALSE)+VLOOKUP($A263,'ПР 21-22'!$A$11:$BB$406,18,FALSE)-VLOOKUP($A263,'ПР 01-02.22'!$A$11:$BB$378,18,FALSE)</f>
        <v>0</v>
      </c>
      <c r="S263" s="5">
        <f>VLOOKUP($A263,'ПР 01-02.21'!$A$11:$BB$406,19,FALSE)+VLOOKUP($A263,'ПР 21-22'!$A$11:$BB$406,19,FALSE)-VLOOKUP($A263,'ПР 01-02.22'!$A$11:$BB$378,19,FALSE)</f>
        <v>0</v>
      </c>
      <c r="T263" s="444"/>
      <c r="U263" s="5">
        <f>VLOOKUP($A263,'ПР 01-02.21'!$A$11:$BB$406,21,FALSE)+VLOOKUP($A263,'ПР 21-22'!$A$11:$BB$406,21,FALSE)-VLOOKUP($A263,'ПР 01-02.22'!$A$11:$BB$378,21,FALSE)</f>
        <v>0</v>
      </c>
      <c r="V263" s="5"/>
      <c r="W263" s="5">
        <f>VLOOKUP($A263,'ПР 01-02.21'!$A$11:$BB$406,23,FALSE)+VLOOKUP($A263,'ПР 21-22'!$A$11:$BB$406,23,FALSE)-VLOOKUP($A263,'ПР 01-02.22'!$A$11:$BB$378,23,FALSE)</f>
        <v>0</v>
      </c>
      <c r="X263" s="5">
        <f>VLOOKUP($A263,'ПР 01-02.21'!$A$11:$BB$406,24,FALSE)+VLOOKUP($A263,'ПР 21-22'!$A$11:$BB$406,24,FALSE)-VLOOKUP($A263,'ПР 01-02.22'!$A$11:$BB$378,24,FALSE)</f>
        <v>0</v>
      </c>
      <c r="Y263" s="5">
        <f>VLOOKUP($A263,'ПР 01-02.21'!$A$11:$BB$406,25,FALSE)+VLOOKUP($A263,'ПР 21-22'!$A$11:$BB$406,25,FALSE)-VLOOKUP($A263,'ПР 01-02.22'!$A$11:$BB$378,25,FALSE)</f>
        <v>0</v>
      </c>
      <c r="Z263" s="5"/>
      <c r="AA263" s="5">
        <f>VLOOKUP($A263,'ПР 01-02.21'!$A$11:$BB$406,27,FALSE)+VLOOKUP($A263,'ПР 21-22'!$A$11:$BB$406,27,FALSE)-VLOOKUP($A263,'ПР 01-02.22'!$A$11:$BB$378,27,FALSE)</f>
        <v>0</v>
      </c>
      <c r="AB263" s="5">
        <f>VLOOKUP($A263,'ПР 01-02.21'!$A$11:$BB$406,28,FALSE)+VLOOKUP($A263,'ПР 21-22'!$A$11:$BB$406,28,FALSE)-VLOOKUP($A263,'ПР 01-02.22'!$A$11:$BB$378,28,FALSE)</f>
        <v>0</v>
      </c>
      <c r="AC263" s="5">
        <f>VLOOKUP($A263,'ПР 01-02.21'!$A$11:$BB$406,29,FALSE)+VLOOKUP($A263,'ПР 21-22'!$A$11:$BB$406,29,FALSE)-VLOOKUP($A263,'ПР 01-02.22'!$A$11:$BB$378,29,FALSE)</f>
        <v>0</v>
      </c>
      <c r="AD263" s="5">
        <f>VLOOKUP($A263,'ПР 01-02.21'!$A$11:$BB$406,30,FALSE)+VLOOKUP($A263,'ПР 21-22'!$A$11:$BB$406,30,FALSE)-VLOOKUP($A263,'ПР 01-02.22'!$A$11:$BB$378,30,FALSE)</f>
        <v>0</v>
      </c>
      <c r="AE263" s="5">
        <f>VLOOKUP($A263,'ПР 01-02.21'!$A$11:$BB$406,31,FALSE)+VLOOKUP($A263,'ПР 21-22'!$A$11:$BB$406,31,FALSE)-VLOOKUP($A263,'ПР 01-02.22'!$A$11:$BB$378,31,FALSE)</f>
        <v>522.44781934078867</v>
      </c>
      <c r="AF263" s="5">
        <f>VLOOKUP($A263,'ПР 01-02.21'!$A$11:$BB$406,32,FALSE)+VLOOKUP($A263,'ПР 21-22'!$A$11:$BB$406,32,FALSE)-VLOOKUP($A263,'ПР 01-02.22'!$A$11:$BB$378,32,FALSE)</f>
        <v>0</v>
      </c>
      <c r="AG263" s="40"/>
      <c r="AH263" s="5">
        <f>VLOOKUP($A263,'ПР 01-02.21'!$A$11:$BB$406,34,FALSE)+VLOOKUP($A263,'ПР 21-22'!$A$11:$BB$406,34,FALSE)-VLOOKUP($A263,'ПР 01-02.22'!$A$11:$BB$378,34,FALSE)</f>
        <v>612.72449674814925</v>
      </c>
      <c r="AI263" s="5">
        <f>VLOOKUP($A263,'ПР 01-02.21'!$A$11:$BB$406,35,FALSE)+VLOOKUP($A263,'ПР 21-22'!$A$11:$BB$406,35,FALSE)-VLOOKUP($A263,'ПР 01-02.22'!$A$11:$BB$378,35,FALSE)</f>
        <v>0</v>
      </c>
      <c r="AJ263" s="40"/>
      <c r="AK263" s="5">
        <f>VLOOKUP($A263,'ПР 01-02.21'!$A$11:$BB$406,37,FALSE)+VLOOKUP($A263,'ПР 21-22'!$A$11:$BB$406,37,FALSE)-VLOOKUP($A263,'ПР 01-02.22'!$A$11:$BB$378,37,FALSE)</f>
        <v>233.26878307484114</v>
      </c>
      <c r="AL263" s="5">
        <f>VLOOKUP($A263,'ПР 01-02.21'!$A$11:$BB$406,38,FALSE)+VLOOKUP($A263,'ПР 21-22'!$A$11:$BB$406,38,FALSE)-VLOOKUP($A263,'ПР 01-02.22'!$A$11:$BB$378,38,FALSE)</f>
        <v>0</v>
      </c>
      <c r="AM263" s="40"/>
      <c r="AN263" s="5">
        <f>VLOOKUP($A263,'ПР 01-02.21'!$A$11:$BB$406,40,FALSE)+VLOOKUP($A263,'ПР 21-22'!$A$11:$BB$406,40,FALSE)-VLOOKUP($A263,'ПР 01-02.22'!$A$11:$BB$378,40,FALSE)</f>
        <v>0</v>
      </c>
      <c r="AO263" s="5">
        <f>VLOOKUP($A263,'ПР 01-02.21'!$A$11:$BB$406,41,FALSE)+VLOOKUP($A263,'ПР 21-22'!$A$11:$BB$406,41,FALSE)-VLOOKUP($A263,'ПР 01-02.22'!$A$11:$BB$378,41,FALSE)</f>
        <v>0</v>
      </c>
      <c r="AP263" s="40"/>
      <c r="AQ263" s="5">
        <f>VLOOKUP($A263,'ПР 01-02.21'!$A$11:$BB$406,43,FALSE)+VLOOKUP($A263,'ПР 21-22'!$A$11:$BB$406,43,FALSE)-VLOOKUP($A263,'ПР 01-02.22'!$A$11:$BB$378,43,FALSE)</f>
        <v>0</v>
      </c>
      <c r="AR263" s="5">
        <f>VLOOKUP($A263,'ПР 01-02.21'!$A$11:$BB$406,44,FALSE)+VLOOKUP($A263,'ПР 21-22'!$A$11:$BB$406,44,FALSE)-VLOOKUP($A263,'ПР 01-02.22'!$A$11:$BB$378,44,FALSE)</f>
        <v>0</v>
      </c>
      <c r="AS263" s="40"/>
      <c r="AT263" s="5">
        <f>VLOOKUP($A263,'ПР 01-02.21'!$A$11:$BB$406,46,FALSE)+VLOOKUP($A263,'ПР 21-22'!$A$11:$BB$406,46,FALSE)-VLOOKUP($A263,'ПР 01-02.22'!$A$11:$BB$378,46,FALSE)</f>
        <v>106.65081620710528</v>
      </c>
      <c r="AU263" s="5">
        <f>VLOOKUP($A263,'ПР 01-02.21'!$A$11:$BB$406,47,FALSE)+VLOOKUP($A263,'ПР 21-22'!$A$11:$BB$406,47,FALSE)-VLOOKUP($A263,'ПР 01-02.22'!$A$11:$BB$378,47,FALSE)</f>
        <v>451</v>
      </c>
      <c r="AV263" s="40"/>
      <c r="AW263" s="5">
        <f>VLOOKUP($A263,'ПР 01-02.21'!$A$11:$BB$406,49,FALSE)+VLOOKUP($A263,'ПР 21-22'!$A$11:$BB$406,49,FALSE)-VLOOKUP($A263,'ПР 01-02.22'!$A$11:$BB$378,49,FALSE)</f>
        <v>20.347999999999999</v>
      </c>
      <c r="AX263" s="5">
        <f>VLOOKUP($A263,'ПР 01-02.21'!$A$11:$BB$406,50,FALSE)+VLOOKUP($A263,'ПР 21-22'!$A$11:$BB$406,50,FALSE)-VLOOKUP($A263,'ПР 01-02.22'!$A$11:$BB$378,50,FALSE)</f>
        <v>0</v>
      </c>
      <c r="AY263" s="40"/>
      <c r="AZ263" s="40">
        <f t="shared" si="17"/>
        <v>1495.4399153708841</v>
      </c>
      <c r="BA263" s="40">
        <f t="shared" si="17"/>
        <v>451</v>
      </c>
      <c r="BB263" s="55">
        <f t="shared" si="16"/>
        <v>-1044.4399153708841</v>
      </c>
      <c r="BD263" s="2">
        <v>2</v>
      </c>
      <c r="BF263" s="325">
        <v>150000726</v>
      </c>
    </row>
    <row r="264" spans="1:58" ht="24.9" customHeight="1" x14ac:dyDescent="0.3">
      <c r="A264" s="325">
        <v>150000727</v>
      </c>
      <c r="B264" s="445" t="s">
        <v>129</v>
      </c>
      <c r="C264" s="27">
        <v>1</v>
      </c>
      <c r="D264" s="101" t="s">
        <v>455</v>
      </c>
      <c r="E264" s="279">
        <f>'побудинковий звіт'!E262</f>
        <v>188.44</v>
      </c>
      <c r="F264" s="441">
        <f>'побудинковий звіт'!AS262</f>
        <v>0</v>
      </c>
      <c r="G264" s="441">
        <f t="shared" si="14"/>
        <v>0</v>
      </c>
      <c r="H264" s="73">
        <f t="shared" si="15"/>
        <v>0</v>
      </c>
      <c r="I264" s="5"/>
      <c r="J264" s="5"/>
      <c r="K264" s="446"/>
      <c r="L264" s="5"/>
      <c r="M264" s="5"/>
      <c r="N264" s="38"/>
      <c r="O264" s="5"/>
      <c r="P264" s="5"/>
      <c r="Q264" s="443"/>
      <c r="R264" s="5"/>
      <c r="S264" s="5"/>
      <c r="T264" s="444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40"/>
      <c r="AH264" s="5"/>
      <c r="AI264" s="5"/>
      <c r="AJ264" s="40"/>
      <c r="AK264" s="5"/>
      <c r="AL264" s="5"/>
      <c r="AM264" s="40"/>
      <c r="AN264" s="5"/>
      <c r="AO264" s="5"/>
      <c r="AP264" s="40"/>
      <c r="AQ264" s="5"/>
      <c r="AR264" s="5"/>
      <c r="AS264" s="40"/>
      <c r="AT264" s="5"/>
      <c r="AU264" s="5"/>
      <c r="AV264" s="40"/>
      <c r="AW264" s="5"/>
      <c r="AX264" s="5"/>
      <c r="AY264" s="40"/>
      <c r="AZ264" s="40">
        <f t="shared" si="17"/>
        <v>0</v>
      </c>
      <c r="BA264" s="40">
        <f t="shared" si="17"/>
        <v>0</v>
      </c>
      <c r="BB264" s="55">
        <f t="shared" si="16"/>
        <v>0</v>
      </c>
      <c r="BD264" s="2">
        <v>2</v>
      </c>
      <c r="BF264" s="325">
        <v>150000727</v>
      </c>
    </row>
    <row r="265" spans="1:58" ht="24.9" customHeight="1" x14ac:dyDescent="0.3">
      <c r="A265" s="325">
        <v>150000728</v>
      </c>
      <c r="B265" s="445" t="s">
        <v>185</v>
      </c>
      <c r="C265" s="27">
        <v>2</v>
      </c>
      <c r="D265" s="101" t="s">
        <v>455</v>
      </c>
      <c r="E265" s="279">
        <f>'побудинковий звіт'!E263</f>
        <v>450.6</v>
      </c>
      <c r="F265" s="441">
        <f>'побудинковий звіт'!AS263</f>
        <v>3905.1793350408889</v>
      </c>
      <c r="G265" s="441">
        <f t="shared" si="14"/>
        <v>0</v>
      </c>
      <c r="H265" s="73">
        <f t="shared" si="15"/>
        <v>-3905.1793350408889</v>
      </c>
      <c r="I265" s="5">
        <f>VLOOKUP($A265,'ПР 01-02.21'!$A$11:$BB$406,9,FALSE)+VLOOKUP($A265,'ПР 21-22'!$A$11:$BB$406,9,FALSE)-VLOOKUP($A265,'ПР 01-02.22'!$A$11:$BB$378,9,FALSE)</f>
        <v>0</v>
      </c>
      <c r="J265" s="5">
        <f>VLOOKUP($A265,'ПР 01-02.21'!$A$11:$BB$406,10,FALSE)+VLOOKUP($A265,'ПР 21-22'!$A$11:$BB$406,10,FALSE)-VLOOKUP($A265,'ПР 01-02.22'!$A$11:$BB$378,10,FALSE)</f>
        <v>0</v>
      </c>
      <c r="K265" s="446"/>
      <c r="L265" s="5">
        <f>VLOOKUP($A265,'ПР 01-02.21'!$A$11:$BB$406,12,FALSE)+VLOOKUP($A265,'ПР 21-22'!$A$11:$BB$406,12,FALSE)-VLOOKUP($A265,'ПР 01-02.22'!$A$11:$BB$378,12,FALSE)</f>
        <v>0</v>
      </c>
      <c r="M265" s="5">
        <f>VLOOKUP($A265,'ПР 01-02.21'!$A$11:$BB$406,13,FALSE)+VLOOKUP($A265,'ПР 21-22'!$A$11:$BB$406,13,FALSE)-VLOOKUP($A265,'ПР 01-02.22'!$A$11:$BB$378,13,FALSE)</f>
        <v>0</v>
      </c>
      <c r="N265" s="38"/>
      <c r="O265" s="5">
        <f>VLOOKUP($A265,'ПР 01-02.21'!$A$11:$BB$406,15,FALSE)+VLOOKUP($A265,'ПР 21-22'!$A$11:$BB$406,15,FALSE)-VLOOKUP($A265,'ПР 01-02.22'!$A$11:$BB$378,15,FALSE)</f>
        <v>0</v>
      </c>
      <c r="P265" s="5">
        <f>VLOOKUP($A265,'ПР 01-02.21'!$A$11:$BB$406,16,FALSE)+VLOOKUP($A265,'ПР 21-22'!$A$11:$BB$406,16,FALSE)-VLOOKUP($A265,'ПР 01-02.22'!$A$11:$BB$378,16,FALSE)</f>
        <v>0</v>
      </c>
      <c r="Q265" s="443"/>
      <c r="R265" s="5">
        <f>VLOOKUP($A265,'ПР 01-02.21'!$A$11:$BB$406,18,FALSE)+VLOOKUP($A265,'ПР 21-22'!$A$11:$BB$406,18,FALSE)-VLOOKUP($A265,'ПР 01-02.22'!$A$11:$BB$378,18,FALSE)</f>
        <v>0</v>
      </c>
      <c r="S265" s="5">
        <f>VLOOKUP($A265,'ПР 01-02.21'!$A$11:$BB$406,19,FALSE)+VLOOKUP($A265,'ПР 21-22'!$A$11:$BB$406,19,FALSE)-VLOOKUP($A265,'ПР 01-02.22'!$A$11:$BB$378,19,FALSE)</f>
        <v>0</v>
      </c>
      <c r="T265" s="444"/>
      <c r="U265" s="5">
        <f>VLOOKUP($A265,'ПР 01-02.21'!$A$11:$BB$406,21,FALSE)+VLOOKUP($A265,'ПР 21-22'!$A$11:$BB$406,21,FALSE)-VLOOKUP($A265,'ПР 01-02.22'!$A$11:$BB$378,21,FALSE)</f>
        <v>0</v>
      </c>
      <c r="V265" s="5"/>
      <c r="W265" s="5">
        <f>VLOOKUP($A265,'ПР 01-02.21'!$A$11:$BB$406,23,FALSE)+VLOOKUP($A265,'ПР 21-22'!$A$11:$BB$406,23,FALSE)-VLOOKUP($A265,'ПР 01-02.22'!$A$11:$BB$378,23,FALSE)</f>
        <v>0</v>
      </c>
      <c r="X265" s="5">
        <f>VLOOKUP($A265,'ПР 01-02.21'!$A$11:$BB$406,24,FALSE)+VLOOKUP($A265,'ПР 21-22'!$A$11:$BB$406,24,FALSE)-VLOOKUP($A265,'ПР 01-02.22'!$A$11:$BB$378,24,FALSE)</f>
        <v>0</v>
      </c>
      <c r="Y265" s="5">
        <f>VLOOKUP($A265,'ПР 01-02.21'!$A$11:$BB$406,25,FALSE)+VLOOKUP($A265,'ПР 21-22'!$A$11:$BB$406,25,FALSE)-VLOOKUP($A265,'ПР 01-02.22'!$A$11:$BB$378,25,FALSE)</f>
        <v>0</v>
      </c>
      <c r="Z265" s="5"/>
      <c r="AA265" s="5">
        <f>VLOOKUP($A265,'ПР 01-02.21'!$A$11:$BB$406,27,FALSE)+VLOOKUP($A265,'ПР 21-22'!$A$11:$BB$406,27,FALSE)-VLOOKUP($A265,'ПР 01-02.22'!$A$11:$BB$378,27,FALSE)</f>
        <v>0</v>
      </c>
      <c r="AB265" s="5">
        <f>VLOOKUP($A265,'ПР 01-02.21'!$A$11:$BB$406,28,FALSE)+VLOOKUP($A265,'ПР 21-22'!$A$11:$BB$406,28,FALSE)-VLOOKUP($A265,'ПР 01-02.22'!$A$11:$BB$378,28,FALSE)</f>
        <v>0</v>
      </c>
      <c r="AC265" s="5">
        <f>VLOOKUP($A265,'ПР 01-02.21'!$A$11:$BB$406,29,FALSE)+VLOOKUP($A265,'ПР 21-22'!$A$11:$BB$406,29,FALSE)-VLOOKUP($A265,'ПР 01-02.22'!$A$11:$BB$378,29,FALSE)</f>
        <v>0</v>
      </c>
      <c r="AD265" s="5">
        <f>VLOOKUP($A265,'ПР 01-02.21'!$A$11:$BB$406,30,FALSE)+VLOOKUP($A265,'ПР 21-22'!$A$11:$BB$406,30,FALSE)-VLOOKUP($A265,'ПР 01-02.22'!$A$11:$BB$378,30,FALSE)</f>
        <v>0</v>
      </c>
      <c r="AE265" s="5">
        <f>VLOOKUP($A265,'ПР 01-02.21'!$A$11:$BB$406,31,FALSE)+VLOOKUP($A265,'ПР 21-22'!$A$11:$BB$406,31,FALSE)-VLOOKUP($A265,'ПР 01-02.22'!$A$11:$BB$378,31,FALSE)</f>
        <v>553.77754109568104</v>
      </c>
      <c r="AF265" s="5">
        <f>VLOOKUP($A265,'ПР 01-02.21'!$A$11:$BB$406,32,FALSE)+VLOOKUP($A265,'ПР 21-22'!$A$11:$BB$406,32,FALSE)-VLOOKUP($A265,'ПР 01-02.22'!$A$11:$BB$378,32,FALSE)</f>
        <v>0</v>
      </c>
      <c r="AG265" s="40"/>
      <c r="AH265" s="5">
        <f>VLOOKUP($A265,'ПР 01-02.21'!$A$11:$BB$406,34,FALSE)+VLOOKUP($A265,'ПР 21-22'!$A$11:$BB$406,34,FALSE)-VLOOKUP($A265,'ПР 01-02.22'!$A$11:$BB$378,34,FALSE)</f>
        <v>612.72449674814925</v>
      </c>
      <c r="AI265" s="5">
        <f>VLOOKUP($A265,'ПР 01-02.21'!$A$11:$BB$406,35,FALSE)+VLOOKUP($A265,'ПР 21-22'!$A$11:$BB$406,35,FALSE)-VLOOKUP($A265,'ПР 01-02.22'!$A$11:$BB$378,35,FALSE)</f>
        <v>0</v>
      </c>
      <c r="AJ265" s="40"/>
      <c r="AK265" s="5">
        <f>VLOOKUP($A265,'ПР 01-02.21'!$A$11:$BB$406,37,FALSE)+VLOOKUP($A265,'ПР 21-22'!$A$11:$BB$406,37,FALSE)-VLOOKUP($A265,'ПР 01-02.22'!$A$11:$BB$378,37,FALSE)</f>
        <v>264.42984918579623</v>
      </c>
      <c r="AL265" s="5">
        <f>VLOOKUP($A265,'ПР 01-02.21'!$A$11:$BB$406,38,FALSE)+VLOOKUP($A265,'ПР 21-22'!$A$11:$BB$406,38,FALSE)-VLOOKUP($A265,'ПР 01-02.22'!$A$11:$BB$378,38,FALSE)</f>
        <v>0</v>
      </c>
      <c r="AM265" s="40"/>
      <c r="AN265" s="5">
        <f>VLOOKUP($A265,'ПР 01-02.21'!$A$11:$BB$406,40,FALSE)+VLOOKUP($A265,'ПР 21-22'!$A$11:$BB$406,40,FALSE)-VLOOKUP($A265,'ПР 01-02.22'!$A$11:$BB$378,40,FALSE)</f>
        <v>0</v>
      </c>
      <c r="AO265" s="5">
        <f>VLOOKUP($A265,'ПР 01-02.21'!$A$11:$BB$406,41,FALSE)+VLOOKUP($A265,'ПР 21-22'!$A$11:$BB$406,41,FALSE)-VLOOKUP($A265,'ПР 01-02.22'!$A$11:$BB$378,41,FALSE)</f>
        <v>0</v>
      </c>
      <c r="AP265" s="40"/>
      <c r="AQ265" s="5">
        <f>VLOOKUP($A265,'ПР 01-02.21'!$A$11:$BB$406,43,FALSE)+VLOOKUP($A265,'ПР 21-22'!$A$11:$BB$406,43,FALSE)-VLOOKUP($A265,'ПР 01-02.22'!$A$11:$BB$378,43,FALSE)</f>
        <v>0</v>
      </c>
      <c r="AR265" s="5">
        <f>VLOOKUP($A265,'ПР 01-02.21'!$A$11:$BB$406,44,FALSE)+VLOOKUP($A265,'ПР 21-22'!$A$11:$BB$406,44,FALSE)-VLOOKUP($A265,'ПР 01-02.22'!$A$11:$BB$378,44,FALSE)</f>
        <v>0</v>
      </c>
      <c r="AS265" s="40"/>
      <c r="AT265" s="5">
        <f>VLOOKUP($A265,'ПР 01-02.21'!$A$11:$BB$406,46,FALSE)+VLOOKUP($A265,'ПР 21-22'!$A$11:$BB$406,46,FALSE)-VLOOKUP($A265,'ПР 01-02.22'!$A$11:$BB$378,46,FALSE)</f>
        <v>106.65081620710528</v>
      </c>
      <c r="AU265" s="5">
        <f>VLOOKUP($A265,'ПР 01-02.21'!$A$11:$BB$406,47,FALSE)+VLOOKUP($A265,'ПР 21-22'!$A$11:$BB$406,47,FALSE)-VLOOKUP($A265,'ПР 01-02.22'!$A$11:$BB$378,47,FALSE)</f>
        <v>709</v>
      </c>
      <c r="AV265" s="40"/>
      <c r="AW265" s="5">
        <f>VLOOKUP($A265,'ПР 01-02.21'!$A$11:$BB$406,49,FALSE)+VLOOKUP($A265,'ПР 21-22'!$A$11:$BB$406,49,FALSE)-VLOOKUP($A265,'ПР 01-02.22'!$A$11:$BB$378,49,FALSE)</f>
        <v>23.024000000000001</v>
      </c>
      <c r="AX265" s="5">
        <f>VLOOKUP($A265,'ПР 01-02.21'!$A$11:$BB$406,50,FALSE)+VLOOKUP($A265,'ПР 21-22'!$A$11:$BB$406,50,FALSE)-VLOOKUP($A265,'ПР 01-02.22'!$A$11:$BB$378,50,FALSE)</f>
        <v>0</v>
      </c>
      <c r="AY265" s="40"/>
      <c r="AZ265" s="40">
        <f t="shared" si="17"/>
        <v>1560.6067032367318</v>
      </c>
      <c r="BA265" s="40">
        <f t="shared" si="17"/>
        <v>709</v>
      </c>
      <c r="BB265" s="55">
        <f t="shared" si="16"/>
        <v>-851.60670323673185</v>
      </c>
      <c r="BD265" s="2">
        <v>2</v>
      </c>
      <c r="BF265" s="325">
        <v>150000728</v>
      </c>
    </row>
    <row r="266" spans="1:58" ht="24.9" customHeight="1" x14ac:dyDescent="0.3">
      <c r="A266" s="325">
        <v>150000729</v>
      </c>
      <c r="B266" s="445" t="s">
        <v>274</v>
      </c>
      <c r="C266" s="27">
        <v>5</v>
      </c>
      <c r="D266" s="101" t="s">
        <v>455</v>
      </c>
      <c r="E266" s="279">
        <f>'побудинковий звіт'!E264</f>
        <v>2102.6</v>
      </c>
      <c r="F266" s="441">
        <f>'побудинковий звіт'!AS264</f>
        <v>22234.744608114677</v>
      </c>
      <c r="G266" s="441">
        <f t="shared" ref="G266:G328" si="18">J266+M266+P266+S266+U266+X266+Y266+AA266+AB266+AC266+AD266</f>
        <v>502</v>
      </c>
      <c r="H266" s="73">
        <f t="shared" ref="H266:H328" si="19">G266-F266</f>
        <v>-21732.744608114677</v>
      </c>
      <c r="I266" s="5">
        <f>VLOOKUP($A266,'ПР 01-02.21'!$A$11:$BB$406,9,FALSE)+VLOOKUP($A266,'ПР 21-22'!$A$11:$BB$406,9,FALSE)-VLOOKUP($A266,'ПР 01-02.22'!$A$11:$BB$378,9,FALSE)</f>
        <v>0</v>
      </c>
      <c r="J266" s="5">
        <f>VLOOKUP($A266,'ПР 01-02.21'!$A$11:$BB$406,10,FALSE)+VLOOKUP($A266,'ПР 21-22'!$A$11:$BB$406,10,FALSE)-VLOOKUP($A266,'ПР 01-02.22'!$A$11:$BB$378,10,FALSE)</f>
        <v>0</v>
      </c>
      <c r="K266" s="457"/>
      <c r="L266" s="5">
        <f>VLOOKUP($A266,'ПР 01-02.21'!$A$11:$BB$406,12,FALSE)+VLOOKUP($A266,'ПР 21-22'!$A$11:$BB$406,12,FALSE)-VLOOKUP($A266,'ПР 01-02.22'!$A$11:$BB$378,12,FALSE)</f>
        <v>0</v>
      </c>
      <c r="M266" s="5">
        <f>VLOOKUP($A266,'ПР 01-02.21'!$A$11:$BB$406,13,FALSE)+VLOOKUP($A266,'ПР 21-22'!$A$11:$BB$406,13,FALSE)-VLOOKUP($A266,'ПР 01-02.22'!$A$11:$BB$378,13,FALSE)</f>
        <v>0</v>
      </c>
      <c r="N266" s="38"/>
      <c r="O266" s="5">
        <f>VLOOKUP($A266,'ПР 01-02.21'!$A$11:$BB$406,15,FALSE)+VLOOKUP($A266,'ПР 21-22'!$A$11:$BB$406,15,FALSE)-VLOOKUP($A266,'ПР 01-02.22'!$A$11:$BB$378,15,FALSE)</f>
        <v>0</v>
      </c>
      <c r="P266" s="5">
        <f>VLOOKUP($A266,'ПР 01-02.21'!$A$11:$BB$406,16,FALSE)+VLOOKUP($A266,'ПР 21-22'!$A$11:$BB$406,16,FALSE)-VLOOKUP($A266,'ПР 01-02.22'!$A$11:$BB$378,16,FALSE)</f>
        <v>0</v>
      </c>
      <c r="Q266" s="443"/>
      <c r="R266" s="5">
        <f>VLOOKUP($A266,'ПР 01-02.21'!$A$11:$BB$406,18,FALSE)+VLOOKUP($A266,'ПР 21-22'!$A$11:$BB$406,18,FALSE)-VLOOKUP($A266,'ПР 01-02.22'!$A$11:$BB$378,18,FALSE)</f>
        <v>0</v>
      </c>
      <c r="S266" s="5">
        <f>VLOOKUP($A266,'ПР 01-02.21'!$A$11:$BB$406,19,FALSE)+VLOOKUP($A266,'ПР 21-22'!$A$11:$BB$406,19,FALSE)-VLOOKUP($A266,'ПР 01-02.22'!$A$11:$BB$378,19,FALSE)</f>
        <v>0</v>
      </c>
      <c r="T266" s="444"/>
      <c r="U266" s="5">
        <f>VLOOKUP($A266,'ПР 01-02.21'!$A$11:$BB$406,21,FALSE)+VLOOKUP($A266,'ПР 21-22'!$A$11:$BB$406,21,FALSE)-VLOOKUP($A266,'ПР 01-02.22'!$A$11:$BB$378,21,FALSE)</f>
        <v>0</v>
      </c>
      <c r="V266" s="5"/>
      <c r="W266" s="5">
        <f>VLOOKUP($A266,'ПР 01-02.21'!$A$11:$BB$406,23,FALSE)+VLOOKUP($A266,'ПР 21-22'!$A$11:$BB$406,23,FALSE)-VLOOKUP($A266,'ПР 01-02.22'!$A$11:$BB$378,23,FALSE)</f>
        <v>0</v>
      </c>
      <c r="X266" s="5">
        <f>VLOOKUP($A266,'ПР 01-02.21'!$A$11:$BB$406,24,FALSE)+VLOOKUP($A266,'ПР 21-22'!$A$11:$BB$406,24,FALSE)-VLOOKUP($A266,'ПР 01-02.22'!$A$11:$BB$378,24,FALSE)</f>
        <v>0</v>
      </c>
      <c r="Y266" s="5">
        <f>VLOOKUP($A266,'ПР 01-02.21'!$A$11:$BB$406,25,FALSE)+VLOOKUP($A266,'ПР 21-22'!$A$11:$BB$406,25,FALSE)-VLOOKUP($A266,'ПР 01-02.22'!$A$11:$BB$378,25,FALSE)</f>
        <v>0</v>
      </c>
      <c r="Z266" s="5"/>
      <c r="AA266" s="5">
        <f>VLOOKUP($A266,'ПР 01-02.21'!$A$11:$BB$406,27,FALSE)+VLOOKUP($A266,'ПР 21-22'!$A$11:$BB$406,27,FALSE)-VLOOKUP($A266,'ПР 01-02.22'!$A$11:$BB$378,27,FALSE)</f>
        <v>0</v>
      </c>
      <c r="AB266" s="5">
        <f>VLOOKUP($A266,'ПР 01-02.21'!$A$11:$BB$406,28,FALSE)+VLOOKUP($A266,'ПР 21-22'!$A$11:$BB$406,28,FALSE)-VLOOKUP($A266,'ПР 01-02.22'!$A$11:$BB$378,28,FALSE)</f>
        <v>0</v>
      </c>
      <c r="AC266" s="5">
        <f>VLOOKUP($A266,'ПР 01-02.21'!$A$11:$BB$406,29,FALSE)+VLOOKUP($A266,'ПР 21-22'!$A$11:$BB$406,29,FALSE)-VLOOKUP($A266,'ПР 01-02.22'!$A$11:$BB$378,29,FALSE)</f>
        <v>0</v>
      </c>
      <c r="AD266" s="5">
        <f>VLOOKUP($A266,'ПР 01-02.21'!$A$11:$BB$406,30,FALSE)+VLOOKUP($A266,'ПР 21-22'!$A$11:$BB$406,30,FALSE)-VLOOKUP($A266,'ПР 01-02.22'!$A$11:$BB$378,30,FALSE)</f>
        <v>502</v>
      </c>
      <c r="AE266" s="5">
        <f>VLOOKUP($A266,'ПР 01-02.21'!$A$11:$BB$406,31,FALSE)+VLOOKUP($A266,'ПР 21-22'!$A$11:$BB$406,31,FALSE)-VLOOKUP($A266,'ПР 01-02.22'!$A$11:$BB$378,31,FALSE)</f>
        <v>2353.8048740911763</v>
      </c>
      <c r="AF266" s="5">
        <f>VLOOKUP($A266,'ПР 01-02.21'!$A$11:$BB$406,32,FALSE)+VLOOKUP($A266,'ПР 21-22'!$A$11:$BB$406,32,FALSE)-VLOOKUP($A266,'ПР 01-02.22'!$A$11:$BB$378,32,FALSE)</f>
        <v>0</v>
      </c>
      <c r="AG266" s="40"/>
      <c r="AH266" s="5">
        <f>VLOOKUP($A266,'ПР 01-02.21'!$A$11:$BB$406,34,FALSE)+VLOOKUP($A266,'ПР 21-22'!$A$11:$BB$406,34,FALSE)-VLOOKUP($A266,'ПР 01-02.22'!$A$11:$BB$378,34,FALSE)</f>
        <v>3279.5385551019267</v>
      </c>
      <c r="AI266" s="5">
        <f>VLOOKUP($A266,'ПР 01-02.21'!$A$11:$BB$406,35,FALSE)+VLOOKUP($A266,'ПР 21-22'!$A$11:$BB$406,35,FALSE)-VLOOKUP($A266,'ПР 01-02.22'!$A$11:$BB$378,35,FALSE)</f>
        <v>0</v>
      </c>
      <c r="AJ266" s="40"/>
      <c r="AK266" s="5">
        <f>VLOOKUP($A266,'ПР 01-02.21'!$A$11:$BB$406,37,FALSE)+VLOOKUP($A266,'ПР 21-22'!$A$11:$BB$406,37,FALSE)-VLOOKUP($A266,'ПР 01-02.22'!$A$11:$BB$378,37,FALSE)</f>
        <v>1132.9841822085366</v>
      </c>
      <c r="AL266" s="5">
        <f>VLOOKUP($A266,'ПР 01-02.21'!$A$11:$BB$406,38,FALSE)+VLOOKUP($A266,'ПР 21-22'!$A$11:$BB$406,38,FALSE)-VLOOKUP($A266,'ПР 01-02.22'!$A$11:$BB$378,38,FALSE)</f>
        <v>3179</v>
      </c>
      <c r="AM266" s="40"/>
      <c r="AN266" s="5">
        <f>VLOOKUP($A266,'ПР 01-02.21'!$A$11:$BB$406,40,FALSE)+VLOOKUP($A266,'ПР 21-22'!$A$11:$BB$406,40,FALSE)-VLOOKUP($A266,'ПР 01-02.22'!$A$11:$BB$378,40,FALSE)</f>
        <v>0</v>
      </c>
      <c r="AO266" s="5">
        <f>VLOOKUP($A266,'ПР 01-02.21'!$A$11:$BB$406,41,FALSE)+VLOOKUP($A266,'ПР 21-22'!$A$11:$BB$406,41,FALSE)-VLOOKUP($A266,'ПР 01-02.22'!$A$11:$BB$378,41,FALSE)</f>
        <v>0</v>
      </c>
      <c r="AP266" s="40"/>
      <c r="AQ266" s="5">
        <f>VLOOKUP($A266,'ПР 01-02.21'!$A$11:$BB$406,43,FALSE)+VLOOKUP($A266,'ПР 21-22'!$A$11:$BB$406,43,FALSE)-VLOOKUP($A266,'ПР 01-02.22'!$A$11:$BB$378,43,FALSE)</f>
        <v>0</v>
      </c>
      <c r="AR266" s="5">
        <f>VLOOKUP($A266,'ПР 01-02.21'!$A$11:$BB$406,44,FALSE)+VLOOKUP($A266,'ПР 21-22'!$A$11:$BB$406,44,FALSE)-VLOOKUP($A266,'ПР 01-02.22'!$A$11:$BB$378,44,FALSE)</f>
        <v>0</v>
      </c>
      <c r="AS266" s="40"/>
      <c r="AT266" s="5">
        <f>VLOOKUP($A266,'ПР 01-02.21'!$A$11:$BB$406,46,FALSE)+VLOOKUP($A266,'ПР 21-22'!$A$11:$BB$406,46,FALSE)-VLOOKUP($A266,'ПР 01-02.22'!$A$11:$BB$378,46,FALSE)</f>
        <v>1484.6318907477355</v>
      </c>
      <c r="AU266" s="5">
        <f>VLOOKUP($A266,'ПР 01-02.21'!$A$11:$BB$406,47,FALSE)+VLOOKUP($A266,'ПР 21-22'!$A$11:$BB$406,47,FALSE)-VLOOKUP($A266,'ПР 01-02.22'!$A$11:$BB$378,47,FALSE)</f>
        <v>0</v>
      </c>
      <c r="AV266" s="40"/>
      <c r="AW266" s="5">
        <f>VLOOKUP($A266,'ПР 01-02.21'!$A$11:$BB$406,49,FALSE)+VLOOKUP($A266,'ПР 21-22'!$A$11:$BB$406,49,FALSE)-VLOOKUP($A266,'ПР 01-02.22'!$A$11:$BB$378,49,FALSE)</f>
        <v>105.22799999999999</v>
      </c>
      <c r="AX266" s="5">
        <f>VLOOKUP($A266,'ПР 01-02.21'!$A$11:$BB$406,50,FALSE)+VLOOKUP($A266,'ПР 21-22'!$A$11:$BB$406,50,FALSE)-VLOOKUP($A266,'ПР 01-02.22'!$A$11:$BB$378,50,FALSE)</f>
        <v>0</v>
      </c>
      <c r="AY266" s="40"/>
      <c r="AZ266" s="40">
        <f t="shared" si="17"/>
        <v>8356.1875021493743</v>
      </c>
      <c r="BA266" s="40">
        <f t="shared" si="17"/>
        <v>3179</v>
      </c>
      <c r="BB266" s="55">
        <f t="shared" ref="BB266:BB328" si="20">BA266-AZ266</f>
        <v>-5177.1875021493743</v>
      </c>
      <c r="BD266" s="2">
        <v>2</v>
      </c>
      <c r="BF266" s="325">
        <v>150000729</v>
      </c>
    </row>
    <row r="267" spans="1:58" ht="24.9" customHeight="1" x14ac:dyDescent="0.3">
      <c r="A267" s="325">
        <v>150000721</v>
      </c>
      <c r="B267" s="445" t="s">
        <v>219</v>
      </c>
      <c r="C267" s="27">
        <v>4</v>
      </c>
      <c r="D267" s="101" t="s">
        <v>455</v>
      </c>
      <c r="E267" s="279">
        <f>'побудинковий звіт'!E265</f>
        <v>2791.9</v>
      </c>
      <c r="F267" s="441">
        <f>'побудинковий звіт'!AS265</f>
        <v>27499.742744185496</v>
      </c>
      <c r="G267" s="441">
        <f t="shared" si="18"/>
        <v>95205.370412317789</v>
      </c>
      <c r="H267" s="73">
        <f t="shared" si="19"/>
        <v>67705.627668132292</v>
      </c>
      <c r="I267" s="5">
        <f>VLOOKUP($A267,'ПР 01-02.21'!$A$11:$BB$406,9,FALSE)+VLOOKUP($A267,'ПР 21-22'!$A$11:$BB$406,9,FALSE)-VLOOKUP($A267,'ПР 01-02.22'!$A$11:$BB$378,9,FALSE)</f>
        <v>0</v>
      </c>
      <c r="J267" s="5">
        <f>VLOOKUP($A267,'ПР 01-02.21'!$A$11:$BB$406,10,FALSE)+VLOOKUP($A267,'ПР 21-22'!$A$11:$BB$406,10,FALSE)-VLOOKUP($A267,'ПР 01-02.22'!$A$11:$BB$378,10,FALSE)</f>
        <v>0</v>
      </c>
      <c r="K267" s="446"/>
      <c r="L267" s="5">
        <f>VLOOKUP($A267,'ПР 01-02.21'!$A$11:$BB$406,12,FALSE)+VLOOKUP($A267,'ПР 21-22'!$A$11:$BB$406,12,FALSE)-VLOOKUP($A267,'ПР 01-02.22'!$A$11:$BB$378,12,FALSE)</f>
        <v>0</v>
      </c>
      <c r="M267" s="5">
        <f>VLOOKUP($A267,'ПР 01-02.21'!$A$11:$BB$406,13,FALSE)+VLOOKUP($A267,'ПР 21-22'!$A$11:$BB$406,13,FALSE)-VLOOKUP($A267,'ПР 01-02.22'!$A$11:$BB$378,13,FALSE)</f>
        <v>0</v>
      </c>
      <c r="N267" s="38"/>
      <c r="O267" s="5">
        <f>VLOOKUP($A267,'ПР 01-02.21'!$A$11:$BB$406,15,FALSE)+VLOOKUP($A267,'ПР 21-22'!$A$11:$BB$406,15,FALSE)-VLOOKUP($A267,'ПР 01-02.22'!$A$11:$BB$378,15,FALSE)</f>
        <v>0</v>
      </c>
      <c r="P267" s="5">
        <f>VLOOKUP($A267,'ПР 01-02.21'!$A$11:$BB$406,16,FALSE)+VLOOKUP($A267,'ПР 21-22'!$A$11:$BB$406,16,FALSE)-VLOOKUP($A267,'ПР 01-02.22'!$A$11:$BB$378,16,FALSE)</f>
        <v>0</v>
      </c>
      <c r="Q267" s="443"/>
      <c r="R267" s="5">
        <f>VLOOKUP($A267,'ПР 01-02.21'!$A$11:$BB$406,18,FALSE)+VLOOKUP($A267,'ПР 21-22'!$A$11:$BB$406,18,FALSE)-VLOOKUP($A267,'ПР 01-02.22'!$A$11:$BB$378,18,FALSE)</f>
        <v>0</v>
      </c>
      <c r="S267" s="5">
        <f>VLOOKUP($A267,'ПР 01-02.21'!$A$11:$BB$406,19,FALSE)+VLOOKUP($A267,'ПР 21-22'!$A$11:$BB$406,19,FALSE)-VLOOKUP($A267,'ПР 01-02.22'!$A$11:$BB$378,19,FALSE)</f>
        <v>0</v>
      </c>
      <c r="T267" s="444"/>
      <c r="U267" s="5">
        <f>VLOOKUP($A267,'ПР 01-02.21'!$A$11:$BB$406,21,FALSE)+VLOOKUP($A267,'ПР 21-22'!$A$11:$BB$406,21,FALSE)-VLOOKUP($A267,'ПР 01-02.22'!$A$11:$BB$378,21,FALSE)</f>
        <v>0</v>
      </c>
      <c r="V267" s="5"/>
      <c r="W267" s="5">
        <f>VLOOKUP($A267,'ПР 01-02.21'!$A$11:$BB$406,23,FALSE)+VLOOKUP($A267,'ПР 21-22'!$A$11:$BB$406,23,FALSE)-VLOOKUP($A267,'ПР 01-02.22'!$A$11:$BB$378,23,FALSE)</f>
        <v>0</v>
      </c>
      <c r="X267" s="5">
        <f>VLOOKUP($A267,'ПР 01-02.21'!$A$11:$BB$406,24,FALSE)+VLOOKUP($A267,'ПР 21-22'!$A$11:$BB$406,24,FALSE)-VLOOKUP($A267,'ПР 01-02.22'!$A$11:$BB$378,24,FALSE)</f>
        <v>2532.8604123177884</v>
      </c>
      <c r="Y267" s="5">
        <f>VLOOKUP($A267,'ПР 01-02.21'!$A$11:$BB$406,25,FALSE)+VLOOKUP($A267,'ПР 21-22'!$A$11:$BB$406,25,FALSE)-VLOOKUP($A267,'ПР 01-02.22'!$A$11:$BB$378,25,FALSE)</f>
        <v>85058.51</v>
      </c>
      <c r="Z267" s="5"/>
      <c r="AA267" s="5">
        <f>VLOOKUP($A267,'ПР 01-02.21'!$A$11:$BB$406,27,FALSE)+VLOOKUP($A267,'ПР 21-22'!$A$11:$BB$406,27,FALSE)-VLOOKUP($A267,'ПР 01-02.22'!$A$11:$BB$378,27,FALSE)</f>
        <v>0</v>
      </c>
      <c r="AB267" s="5">
        <f>VLOOKUP($A267,'ПР 01-02.21'!$A$11:$BB$406,28,FALSE)+VLOOKUP($A267,'ПР 21-22'!$A$11:$BB$406,28,FALSE)-VLOOKUP($A267,'ПР 01-02.22'!$A$11:$BB$378,28,FALSE)</f>
        <v>0</v>
      </c>
      <c r="AC267" s="5">
        <f>VLOOKUP($A267,'ПР 01-02.21'!$A$11:$BB$406,29,FALSE)+VLOOKUP($A267,'ПР 21-22'!$A$11:$BB$406,29,FALSE)-VLOOKUP($A267,'ПР 01-02.22'!$A$11:$BB$378,29,FALSE)</f>
        <v>0</v>
      </c>
      <c r="AD267" s="5">
        <f>VLOOKUP($A267,'ПР 01-02.21'!$A$11:$BB$406,30,FALSE)+VLOOKUP($A267,'ПР 21-22'!$A$11:$BB$406,30,FALSE)-VLOOKUP($A267,'ПР 01-02.22'!$A$11:$BB$378,30,FALSE)</f>
        <v>7614</v>
      </c>
      <c r="AE267" s="5">
        <f>VLOOKUP($A267,'ПР 01-02.21'!$A$11:$BB$406,31,FALSE)+VLOOKUP($A267,'ПР 21-22'!$A$11:$BB$406,31,FALSE)-VLOOKUP($A267,'ПР 01-02.22'!$A$11:$BB$378,31,FALSE)</f>
        <v>2591.9172604896225</v>
      </c>
      <c r="AF267" s="5">
        <f>VLOOKUP($A267,'ПР 01-02.21'!$A$11:$BB$406,32,FALSE)+VLOOKUP($A267,'ПР 21-22'!$A$11:$BB$406,32,FALSE)-VLOOKUP($A267,'ПР 01-02.22'!$A$11:$BB$378,32,FALSE)</f>
        <v>0</v>
      </c>
      <c r="AG267" s="40"/>
      <c r="AH267" s="5">
        <f>VLOOKUP($A267,'ПР 01-02.21'!$A$11:$BB$406,34,FALSE)+VLOOKUP($A267,'ПР 21-22'!$A$11:$BB$406,34,FALSE)-VLOOKUP($A267,'ПР 01-02.22'!$A$11:$BB$378,34,FALSE)</f>
        <v>2711.9556129780576</v>
      </c>
      <c r="AI267" s="5">
        <f>VLOOKUP($A267,'ПР 01-02.21'!$A$11:$BB$406,35,FALSE)+VLOOKUP($A267,'ПР 21-22'!$A$11:$BB$406,35,FALSE)-VLOOKUP($A267,'ПР 01-02.22'!$A$11:$BB$378,35,FALSE)</f>
        <v>26</v>
      </c>
      <c r="AJ267" s="40"/>
      <c r="AK267" s="5">
        <f>VLOOKUP($A267,'ПР 01-02.21'!$A$11:$BB$406,37,FALSE)+VLOOKUP($A267,'ПР 21-22'!$A$11:$BB$406,37,FALSE)-VLOOKUP($A267,'ПР 01-02.22'!$A$11:$BB$378,37,FALSE)</f>
        <v>1672.9948522693335</v>
      </c>
      <c r="AL267" s="5">
        <f>VLOOKUP($A267,'ПР 01-02.21'!$A$11:$BB$406,38,FALSE)+VLOOKUP($A267,'ПР 21-22'!$A$11:$BB$406,38,FALSE)-VLOOKUP($A267,'ПР 01-02.22'!$A$11:$BB$378,38,FALSE)</f>
        <v>531</v>
      </c>
      <c r="AM267" s="40"/>
      <c r="AN267" s="5">
        <f>VLOOKUP($A267,'ПР 01-02.21'!$A$11:$BB$406,40,FALSE)+VLOOKUP($A267,'ПР 21-22'!$A$11:$BB$406,40,FALSE)-VLOOKUP($A267,'ПР 01-02.22'!$A$11:$BB$378,40,FALSE)</f>
        <v>0</v>
      </c>
      <c r="AO267" s="5">
        <f>VLOOKUP($A267,'ПР 01-02.21'!$A$11:$BB$406,41,FALSE)+VLOOKUP($A267,'ПР 21-22'!$A$11:$BB$406,41,FALSE)-VLOOKUP($A267,'ПР 01-02.22'!$A$11:$BB$378,41,FALSE)</f>
        <v>0</v>
      </c>
      <c r="AP267" s="40"/>
      <c r="AQ267" s="5">
        <f>VLOOKUP($A267,'ПР 01-02.21'!$A$11:$BB$406,43,FALSE)+VLOOKUP($A267,'ПР 21-22'!$A$11:$BB$406,43,FALSE)-VLOOKUP($A267,'ПР 01-02.22'!$A$11:$BB$378,43,FALSE)</f>
        <v>0</v>
      </c>
      <c r="AR267" s="5">
        <f>VLOOKUP($A267,'ПР 01-02.21'!$A$11:$BB$406,44,FALSE)+VLOOKUP($A267,'ПР 21-22'!$A$11:$BB$406,44,FALSE)-VLOOKUP($A267,'ПР 01-02.22'!$A$11:$BB$378,44,FALSE)</f>
        <v>0</v>
      </c>
      <c r="AS267" s="40"/>
      <c r="AT267" s="5">
        <f>VLOOKUP($A267,'ПР 01-02.21'!$A$11:$BB$406,46,FALSE)+VLOOKUP($A267,'ПР 21-22'!$A$11:$BB$406,46,FALSE)-VLOOKUP($A267,'ПР 01-02.22'!$A$11:$BB$378,46,FALSE)</f>
        <v>992.20676311737998</v>
      </c>
      <c r="AU267" s="5">
        <f>VLOOKUP($A267,'ПР 01-02.21'!$A$11:$BB$406,47,FALSE)+VLOOKUP($A267,'ПР 21-22'!$A$11:$BB$406,47,FALSE)-VLOOKUP($A267,'ПР 01-02.22'!$A$11:$BB$378,47,FALSE)</f>
        <v>1146</v>
      </c>
      <c r="AV267" s="40"/>
      <c r="AW267" s="5">
        <f>VLOOKUP($A267,'ПР 01-02.21'!$A$11:$BB$406,49,FALSE)+VLOOKUP($A267,'ПР 21-22'!$A$11:$BB$406,49,FALSE)-VLOOKUP($A267,'ПР 01-02.22'!$A$11:$BB$378,49,FALSE)</f>
        <v>139.57999999999998</v>
      </c>
      <c r="AX267" s="5">
        <f>VLOOKUP($A267,'ПР 01-02.21'!$A$11:$BB$406,50,FALSE)+VLOOKUP($A267,'ПР 21-22'!$A$11:$BB$406,50,FALSE)-VLOOKUP($A267,'ПР 01-02.22'!$A$11:$BB$378,50,FALSE)</f>
        <v>0</v>
      </c>
      <c r="AY267" s="40"/>
      <c r="AZ267" s="40">
        <f t="shared" si="17"/>
        <v>8108.654488854394</v>
      </c>
      <c r="BA267" s="40">
        <f t="shared" si="17"/>
        <v>1703</v>
      </c>
      <c r="BB267" s="55">
        <f t="shared" si="20"/>
        <v>-6405.654488854394</v>
      </c>
      <c r="BD267" s="2">
        <v>2</v>
      </c>
      <c r="BF267" s="325">
        <v>150000721</v>
      </c>
    </row>
    <row r="268" spans="1:58" ht="24.9" customHeight="1" x14ac:dyDescent="0.3">
      <c r="A268" s="325">
        <v>150000722</v>
      </c>
      <c r="B268" s="445" t="s">
        <v>275</v>
      </c>
      <c r="C268" s="27">
        <v>5</v>
      </c>
      <c r="D268" s="101" t="s">
        <v>455</v>
      </c>
      <c r="E268" s="279">
        <f>'побудинковий звіт'!E266</f>
        <v>3559.5</v>
      </c>
      <c r="F268" s="441">
        <f>'побудинковий звіт'!AS266</f>
        <v>50667.622196628392</v>
      </c>
      <c r="G268" s="441">
        <f t="shared" si="18"/>
        <v>81507.41</v>
      </c>
      <c r="H268" s="73">
        <f t="shared" si="19"/>
        <v>30839.787803371612</v>
      </c>
      <c r="I268" s="5">
        <f>VLOOKUP($A268,'ПР 01-02.21'!$A$11:$BB$406,9,FALSE)+VLOOKUP($A268,'ПР 21-22'!$A$11:$BB$406,9,FALSE)-VLOOKUP($A268,'ПР 01-02.22'!$A$11:$BB$378,9,FALSE)</f>
        <v>273.10000000000002</v>
      </c>
      <c r="J268" s="5">
        <f>VLOOKUP($A268,'ПР 01-02.21'!$A$11:$BB$406,10,FALSE)+VLOOKUP($A268,'ПР 21-22'!$A$11:$BB$406,10,FALSE)-VLOOKUP($A268,'ПР 01-02.22'!$A$11:$BB$378,10,FALSE)</f>
        <v>64326.19</v>
      </c>
      <c r="K268" s="446"/>
      <c r="L268" s="5">
        <f>VLOOKUP($A268,'ПР 01-02.21'!$A$11:$BB$406,12,FALSE)+VLOOKUP($A268,'ПР 21-22'!$A$11:$BB$406,12,FALSE)-VLOOKUP($A268,'ПР 01-02.22'!$A$11:$BB$378,12,FALSE)</f>
        <v>0</v>
      </c>
      <c r="M268" s="5">
        <f>VLOOKUP($A268,'ПР 01-02.21'!$A$11:$BB$406,13,FALSE)+VLOOKUP($A268,'ПР 21-22'!$A$11:$BB$406,13,FALSE)-VLOOKUP($A268,'ПР 01-02.22'!$A$11:$BB$378,13,FALSE)</f>
        <v>0</v>
      </c>
      <c r="N268" s="38"/>
      <c r="O268" s="5">
        <f>VLOOKUP($A268,'ПР 01-02.21'!$A$11:$BB$406,15,FALSE)+VLOOKUP($A268,'ПР 21-22'!$A$11:$BB$406,15,FALSE)-VLOOKUP($A268,'ПР 01-02.22'!$A$11:$BB$378,15,FALSE)</f>
        <v>0</v>
      </c>
      <c r="P268" s="5">
        <f>VLOOKUP($A268,'ПР 01-02.21'!$A$11:$BB$406,16,FALSE)+VLOOKUP($A268,'ПР 21-22'!$A$11:$BB$406,16,FALSE)-VLOOKUP($A268,'ПР 01-02.22'!$A$11:$BB$378,16,FALSE)</f>
        <v>0</v>
      </c>
      <c r="Q268" s="443"/>
      <c r="R268" s="5">
        <f>VLOOKUP($A268,'ПР 01-02.21'!$A$11:$BB$406,18,FALSE)+VLOOKUP($A268,'ПР 21-22'!$A$11:$BB$406,18,FALSE)-VLOOKUP($A268,'ПР 01-02.22'!$A$11:$BB$378,18,FALSE)</f>
        <v>0</v>
      </c>
      <c r="S268" s="5">
        <f>VLOOKUP($A268,'ПР 01-02.21'!$A$11:$BB$406,19,FALSE)+VLOOKUP($A268,'ПР 21-22'!$A$11:$BB$406,19,FALSE)-VLOOKUP($A268,'ПР 01-02.22'!$A$11:$BB$378,19,FALSE)</f>
        <v>0</v>
      </c>
      <c r="T268" s="444"/>
      <c r="U268" s="5">
        <f>VLOOKUP($A268,'ПР 01-02.21'!$A$11:$BB$406,21,FALSE)+VLOOKUP($A268,'ПР 21-22'!$A$11:$BB$406,21,FALSE)-VLOOKUP($A268,'ПР 01-02.22'!$A$11:$BB$378,21,FALSE)</f>
        <v>0</v>
      </c>
      <c r="V268" s="5"/>
      <c r="W268" s="5">
        <f>VLOOKUP($A268,'ПР 01-02.21'!$A$11:$BB$406,23,FALSE)+VLOOKUP($A268,'ПР 21-22'!$A$11:$BB$406,23,FALSE)-VLOOKUP($A268,'ПР 01-02.22'!$A$11:$BB$378,23,FALSE)</f>
        <v>24</v>
      </c>
      <c r="X268" s="5">
        <f>VLOOKUP($A268,'ПР 01-02.21'!$A$11:$BB$406,24,FALSE)+VLOOKUP($A268,'ПР 21-22'!$A$11:$BB$406,24,FALSE)-VLOOKUP($A268,'ПР 01-02.22'!$A$11:$BB$378,24,FALSE)</f>
        <v>11837.22</v>
      </c>
      <c r="Y268" s="5">
        <f>VLOOKUP($A268,'ПР 01-02.21'!$A$11:$BB$406,25,FALSE)+VLOOKUP($A268,'ПР 21-22'!$A$11:$BB$406,25,FALSE)-VLOOKUP($A268,'ПР 01-02.22'!$A$11:$BB$378,25,FALSE)</f>
        <v>897</v>
      </c>
      <c r="Z268" s="5"/>
      <c r="AA268" s="5">
        <f>VLOOKUP($A268,'ПР 01-02.21'!$A$11:$BB$406,27,FALSE)+VLOOKUP($A268,'ПР 21-22'!$A$11:$BB$406,27,FALSE)-VLOOKUP($A268,'ПР 01-02.22'!$A$11:$BB$378,27,FALSE)</f>
        <v>0</v>
      </c>
      <c r="AB268" s="5">
        <f>VLOOKUP($A268,'ПР 01-02.21'!$A$11:$BB$406,28,FALSE)+VLOOKUP($A268,'ПР 21-22'!$A$11:$BB$406,28,FALSE)-VLOOKUP($A268,'ПР 01-02.22'!$A$11:$BB$378,28,FALSE)</f>
        <v>2258</v>
      </c>
      <c r="AC268" s="5">
        <f>VLOOKUP($A268,'ПР 01-02.21'!$A$11:$BB$406,29,FALSE)+VLOOKUP($A268,'ПР 21-22'!$A$11:$BB$406,29,FALSE)-VLOOKUP($A268,'ПР 01-02.22'!$A$11:$BB$378,29,FALSE)</f>
        <v>0</v>
      </c>
      <c r="AD268" s="5">
        <f>VLOOKUP($A268,'ПР 01-02.21'!$A$11:$BB$406,30,FALSE)+VLOOKUP($A268,'ПР 21-22'!$A$11:$BB$406,30,FALSE)-VLOOKUP($A268,'ПР 01-02.22'!$A$11:$BB$378,30,FALSE)</f>
        <v>2189</v>
      </c>
      <c r="AE268" s="5">
        <f>VLOOKUP($A268,'ПР 01-02.21'!$A$11:$BB$406,31,FALSE)+VLOOKUP($A268,'ПР 21-22'!$A$11:$BB$406,31,FALSE)-VLOOKUP($A268,'ПР 01-02.22'!$A$11:$BB$378,31,FALSE)</f>
        <v>3036.6832373432217</v>
      </c>
      <c r="AF268" s="5">
        <f>VLOOKUP($A268,'ПР 01-02.21'!$A$11:$BB$406,32,FALSE)+VLOOKUP($A268,'ПР 21-22'!$A$11:$BB$406,32,FALSE)-VLOOKUP($A268,'ПР 01-02.22'!$A$11:$BB$378,32,FALSE)</f>
        <v>1693.71</v>
      </c>
      <c r="AG268" s="40"/>
      <c r="AH268" s="5">
        <f>VLOOKUP($A268,'ПР 01-02.21'!$A$11:$BB$406,34,FALSE)+VLOOKUP($A268,'ПР 21-22'!$A$11:$BB$406,34,FALSE)-VLOOKUP($A268,'ПР 01-02.22'!$A$11:$BB$378,34,FALSE)</f>
        <v>3782.2563924636092</v>
      </c>
      <c r="AI268" s="5">
        <f>VLOOKUP($A268,'ПР 01-02.21'!$A$11:$BB$406,35,FALSE)+VLOOKUP($A268,'ПР 21-22'!$A$11:$BB$406,35,FALSE)-VLOOKUP($A268,'ПР 01-02.22'!$A$11:$BB$378,35,FALSE)</f>
        <v>0</v>
      </c>
      <c r="AJ268" s="40"/>
      <c r="AK268" s="5">
        <f>VLOOKUP($A268,'ПР 01-02.21'!$A$11:$BB$406,37,FALSE)+VLOOKUP($A268,'ПР 21-22'!$A$11:$BB$406,37,FALSE)-VLOOKUP($A268,'ПР 01-02.22'!$A$11:$BB$378,37,FALSE)</f>
        <v>2271.4714543893724</v>
      </c>
      <c r="AL268" s="5">
        <f>VLOOKUP($A268,'ПР 01-02.21'!$A$11:$BB$406,38,FALSE)+VLOOKUP($A268,'ПР 21-22'!$A$11:$BB$406,38,FALSE)-VLOOKUP($A268,'ПР 01-02.22'!$A$11:$BB$378,38,FALSE)</f>
        <v>0</v>
      </c>
      <c r="AM268" s="40"/>
      <c r="AN268" s="5">
        <f>VLOOKUP($A268,'ПР 01-02.21'!$A$11:$BB$406,40,FALSE)+VLOOKUP($A268,'ПР 21-22'!$A$11:$BB$406,40,FALSE)-VLOOKUP($A268,'ПР 01-02.22'!$A$11:$BB$378,40,FALSE)</f>
        <v>0</v>
      </c>
      <c r="AO268" s="5">
        <f>VLOOKUP($A268,'ПР 01-02.21'!$A$11:$BB$406,41,FALSE)+VLOOKUP($A268,'ПР 21-22'!$A$11:$BB$406,41,FALSE)-VLOOKUP($A268,'ПР 01-02.22'!$A$11:$BB$378,41,FALSE)</f>
        <v>0</v>
      </c>
      <c r="AP268" s="40"/>
      <c r="AQ268" s="5">
        <f>VLOOKUP($A268,'ПР 01-02.21'!$A$11:$BB$406,43,FALSE)+VLOOKUP($A268,'ПР 21-22'!$A$11:$BB$406,43,FALSE)-VLOOKUP($A268,'ПР 01-02.22'!$A$11:$BB$378,43,FALSE)</f>
        <v>0</v>
      </c>
      <c r="AR268" s="5">
        <f>VLOOKUP($A268,'ПР 01-02.21'!$A$11:$BB$406,44,FALSE)+VLOOKUP($A268,'ПР 21-22'!$A$11:$BB$406,44,FALSE)-VLOOKUP($A268,'ПР 01-02.22'!$A$11:$BB$378,44,FALSE)</f>
        <v>0</v>
      </c>
      <c r="AS268" s="40"/>
      <c r="AT268" s="5">
        <f>VLOOKUP($A268,'ПР 01-02.21'!$A$11:$BB$406,46,FALSE)+VLOOKUP($A268,'ПР 21-22'!$A$11:$BB$406,46,FALSE)-VLOOKUP($A268,'ПР 01-02.22'!$A$11:$BB$378,46,FALSE)</f>
        <v>2106.7065217619888</v>
      </c>
      <c r="AU268" s="5">
        <f>VLOOKUP($A268,'ПР 01-02.21'!$A$11:$BB$406,47,FALSE)+VLOOKUP($A268,'ПР 21-22'!$A$11:$BB$406,47,FALSE)-VLOOKUP($A268,'ПР 01-02.22'!$A$11:$BB$378,47,FALSE)</f>
        <v>8480</v>
      </c>
      <c r="AV268" s="40"/>
      <c r="AW268" s="5">
        <f>VLOOKUP($A268,'ПР 01-02.21'!$A$11:$BB$406,49,FALSE)+VLOOKUP($A268,'ПР 21-22'!$A$11:$BB$406,49,FALSE)-VLOOKUP($A268,'ПР 01-02.22'!$A$11:$BB$378,49,FALSE)</f>
        <v>178.38</v>
      </c>
      <c r="AX268" s="5">
        <f>VLOOKUP($A268,'ПР 01-02.21'!$A$11:$BB$406,50,FALSE)+VLOOKUP($A268,'ПР 21-22'!$A$11:$BB$406,50,FALSE)-VLOOKUP($A268,'ПР 01-02.22'!$A$11:$BB$378,50,FALSE)</f>
        <v>0</v>
      </c>
      <c r="AY268" s="40"/>
      <c r="AZ268" s="40">
        <f t="shared" si="17"/>
        <v>11375.497605958191</v>
      </c>
      <c r="BA268" s="40">
        <f t="shared" si="17"/>
        <v>10173.709999999999</v>
      </c>
      <c r="BB268" s="55">
        <f t="shared" si="20"/>
        <v>-1201.7876059581922</v>
      </c>
      <c r="BD268" s="2">
        <v>2</v>
      </c>
      <c r="BF268" s="325">
        <v>150000722</v>
      </c>
    </row>
    <row r="269" spans="1:58" ht="24.9" customHeight="1" x14ac:dyDescent="0.3">
      <c r="A269" s="325">
        <v>150000723</v>
      </c>
      <c r="B269" s="445" t="s">
        <v>276</v>
      </c>
      <c r="C269" s="27">
        <v>5</v>
      </c>
      <c r="D269" s="101" t="s">
        <v>455</v>
      </c>
      <c r="E269" s="279">
        <f>'побудинковий звіт'!E267</f>
        <v>3575.2</v>
      </c>
      <c r="F269" s="441">
        <f>'побудинковий звіт'!AS267</f>
        <v>50769.551205877506</v>
      </c>
      <c r="G269" s="441">
        <f t="shared" si="18"/>
        <v>54795.56687921469</v>
      </c>
      <c r="H269" s="73">
        <f t="shared" si="19"/>
        <v>4026.0156733371841</v>
      </c>
      <c r="I269" s="5">
        <f>VLOOKUP($A269,'ПР 01-02.21'!$A$11:$BB$406,9,FALSE)+VLOOKUP($A269,'ПР 21-22'!$A$11:$BB$406,9,FALSE)-VLOOKUP($A269,'ПР 01-02.22'!$A$11:$BB$378,9,FALSE)</f>
        <v>0</v>
      </c>
      <c r="J269" s="5">
        <f>VLOOKUP($A269,'ПР 01-02.21'!$A$11:$BB$406,10,FALSE)+VLOOKUP($A269,'ПР 21-22'!$A$11:$BB$406,10,FALSE)-VLOOKUP($A269,'ПР 01-02.22'!$A$11:$BB$378,10,FALSE)</f>
        <v>0</v>
      </c>
      <c r="K269" s="446"/>
      <c r="L269" s="5">
        <f>VLOOKUP($A269,'ПР 01-02.21'!$A$11:$BB$406,12,FALSE)+VLOOKUP($A269,'ПР 21-22'!$A$11:$BB$406,12,FALSE)-VLOOKUP($A269,'ПР 01-02.22'!$A$11:$BB$378,12,FALSE)</f>
        <v>1</v>
      </c>
      <c r="M269" s="5">
        <f>VLOOKUP($A269,'ПР 01-02.21'!$A$11:$BB$406,13,FALSE)+VLOOKUP($A269,'ПР 21-22'!$A$11:$BB$406,13,FALSE)-VLOOKUP($A269,'ПР 01-02.22'!$A$11:$BB$378,13,FALSE)</f>
        <v>36815</v>
      </c>
      <c r="N269" s="38"/>
      <c r="O269" s="5">
        <f>VLOOKUP($A269,'ПР 01-02.21'!$A$11:$BB$406,15,FALSE)+VLOOKUP($A269,'ПР 21-22'!$A$11:$BB$406,15,FALSE)-VLOOKUP($A269,'ПР 01-02.22'!$A$11:$BB$378,15,FALSE)</f>
        <v>0</v>
      </c>
      <c r="P269" s="5">
        <f>VLOOKUP($A269,'ПР 01-02.21'!$A$11:$BB$406,16,FALSE)+VLOOKUP($A269,'ПР 21-22'!$A$11:$BB$406,16,FALSE)-VLOOKUP($A269,'ПР 01-02.22'!$A$11:$BB$378,16,FALSE)</f>
        <v>0</v>
      </c>
      <c r="Q269" s="443"/>
      <c r="R269" s="5">
        <f>VLOOKUP($A269,'ПР 01-02.21'!$A$11:$BB$406,18,FALSE)+VLOOKUP($A269,'ПР 21-22'!$A$11:$BB$406,18,FALSE)-VLOOKUP($A269,'ПР 01-02.22'!$A$11:$BB$378,18,FALSE)</f>
        <v>0</v>
      </c>
      <c r="S269" s="5">
        <f>VLOOKUP($A269,'ПР 01-02.21'!$A$11:$BB$406,19,FALSE)+VLOOKUP($A269,'ПР 21-22'!$A$11:$BB$406,19,FALSE)-VLOOKUP($A269,'ПР 01-02.22'!$A$11:$BB$378,19,FALSE)</f>
        <v>0</v>
      </c>
      <c r="T269" s="444"/>
      <c r="U269" s="5">
        <f>VLOOKUP($A269,'ПР 01-02.21'!$A$11:$BB$406,21,FALSE)+VLOOKUP($A269,'ПР 21-22'!$A$11:$BB$406,21,FALSE)-VLOOKUP($A269,'ПР 01-02.22'!$A$11:$BB$378,21,FALSE)</f>
        <v>0</v>
      </c>
      <c r="V269" s="5"/>
      <c r="W269" s="5">
        <f>VLOOKUP($A269,'ПР 01-02.21'!$A$11:$BB$406,23,FALSE)+VLOOKUP($A269,'ПР 21-22'!$A$11:$BB$406,23,FALSE)-VLOOKUP($A269,'ПР 01-02.22'!$A$11:$BB$378,23,FALSE)</f>
        <v>8</v>
      </c>
      <c r="X269" s="5">
        <f>VLOOKUP($A269,'ПР 01-02.21'!$A$11:$BB$406,24,FALSE)+VLOOKUP($A269,'ПР 21-22'!$A$11:$BB$406,24,FALSE)-VLOOKUP($A269,'ПР 01-02.22'!$A$11:$BB$378,24,FALSE)</f>
        <v>6033.8168792146907</v>
      </c>
      <c r="Y269" s="5">
        <f>VLOOKUP($A269,'ПР 01-02.21'!$A$11:$BB$406,25,FALSE)+VLOOKUP($A269,'ПР 21-22'!$A$11:$BB$406,25,FALSE)-VLOOKUP($A269,'ПР 01-02.22'!$A$11:$BB$378,25,FALSE)</f>
        <v>7624</v>
      </c>
      <c r="Z269" s="5"/>
      <c r="AA269" s="5">
        <f>VLOOKUP($A269,'ПР 01-02.21'!$A$11:$BB$406,27,FALSE)+VLOOKUP($A269,'ПР 21-22'!$A$11:$BB$406,27,FALSE)-VLOOKUP($A269,'ПР 01-02.22'!$A$11:$BB$378,27,FALSE)</f>
        <v>0</v>
      </c>
      <c r="AB269" s="5">
        <f>VLOOKUP($A269,'ПР 01-02.21'!$A$11:$BB$406,28,FALSE)+VLOOKUP($A269,'ПР 21-22'!$A$11:$BB$406,28,FALSE)-VLOOKUP($A269,'ПР 01-02.22'!$A$11:$BB$378,28,FALSE)</f>
        <v>595.62</v>
      </c>
      <c r="AC269" s="5">
        <f>VLOOKUP($A269,'ПР 01-02.21'!$A$11:$BB$406,29,FALSE)+VLOOKUP($A269,'ПР 21-22'!$A$11:$BB$406,29,FALSE)-VLOOKUP($A269,'ПР 01-02.22'!$A$11:$BB$378,29,FALSE)</f>
        <v>1398</v>
      </c>
      <c r="AD269" s="5">
        <f>VLOOKUP($A269,'ПР 01-02.21'!$A$11:$BB$406,30,FALSE)+VLOOKUP($A269,'ПР 21-22'!$A$11:$BB$406,30,FALSE)-VLOOKUP($A269,'ПР 01-02.22'!$A$11:$BB$378,30,FALSE)</f>
        <v>2329.13</v>
      </c>
      <c r="AE269" s="5">
        <f>VLOOKUP($A269,'ПР 01-02.21'!$A$11:$BB$406,31,FALSE)+VLOOKUP($A269,'ПР 21-22'!$A$11:$BB$406,31,FALSE)-VLOOKUP($A269,'ПР 01-02.22'!$A$11:$BB$378,31,FALSE)</f>
        <v>3037.0144344131018</v>
      </c>
      <c r="AF269" s="5">
        <f>VLOOKUP($A269,'ПР 01-02.21'!$A$11:$BB$406,32,FALSE)+VLOOKUP($A269,'ПР 21-22'!$A$11:$BB$406,32,FALSE)-VLOOKUP($A269,'ПР 01-02.22'!$A$11:$BB$378,32,FALSE)</f>
        <v>2520</v>
      </c>
      <c r="AG269" s="40"/>
      <c r="AH269" s="5">
        <f>VLOOKUP($A269,'ПР 01-02.21'!$A$11:$BB$406,34,FALSE)+VLOOKUP($A269,'ПР 21-22'!$A$11:$BB$406,34,FALSE)-VLOOKUP($A269,'ПР 01-02.22'!$A$11:$BB$378,34,FALSE)</f>
        <v>3782.2563924636092</v>
      </c>
      <c r="AI269" s="5">
        <f>VLOOKUP($A269,'ПР 01-02.21'!$A$11:$BB$406,35,FALSE)+VLOOKUP($A269,'ПР 21-22'!$A$11:$BB$406,35,FALSE)-VLOOKUP($A269,'ПР 01-02.22'!$A$11:$BB$378,35,FALSE)</f>
        <v>0</v>
      </c>
      <c r="AJ269" s="40"/>
      <c r="AK269" s="5">
        <f>VLOOKUP($A269,'ПР 01-02.21'!$A$11:$BB$406,37,FALSE)+VLOOKUP($A269,'ПР 21-22'!$A$11:$BB$406,37,FALSE)-VLOOKUP($A269,'ПР 01-02.22'!$A$11:$BB$378,37,FALSE)</f>
        <v>2286.1336842258138</v>
      </c>
      <c r="AL269" s="5">
        <f>VLOOKUP($A269,'ПР 01-02.21'!$A$11:$BB$406,38,FALSE)+VLOOKUP($A269,'ПР 21-22'!$A$11:$BB$406,38,FALSE)-VLOOKUP($A269,'ПР 01-02.22'!$A$11:$BB$378,38,FALSE)</f>
        <v>184</v>
      </c>
      <c r="AM269" s="40"/>
      <c r="AN269" s="5">
        <f>VLOOKUP($A269,'ПР 01-02.21'!$A$11:$BB$406,40,FALSE)+VLOOKUP($A269,'ПР 21-22'!$A$11:$BB$406,40,FALSE)-VLOOKUP($A269,'ПР 01-02.22'!$A$11:$BB$378,40,FALSE)</f>
        <v>0</v>
      </c>
      <c r="AO269" s="5">
        <f>VLOOKUP($A269,'ПР 01-02.21'!$A$11:$BB$406,41,FALSE)+VLOOKUP($A269,'ПР 21-22'!$A$11:$BB$406,41,FALSE)-VLOOKUP($A269,'ПР 01-02.22'!$A$11:$BB$378,41,FALSE)</f>
        <v>0</v>
      </c>
      <c r="AP269" s="40"/>
      <c r="AQ269" s="5">
        <f>VLOOKUP($A269,'ПР 01-02.21'!$A$11:$BB$406,43,FALSE)+VLOOKUP($A269,'ПР 21-22'!$A$11:$BB$406,43,FALSE)-VLOOKUP($A269,'ПР 01-02.22'!$A$11:$BB$378,43,FALSE)</f>
        <v>0</v>
      </c>
      <c r="AR269" s="5">
        <f>VLOOKUP($A269,'ПР 01-02.21'!$A$11:$BB$406,44,FALSE)+VLOOKUP($A269,'ПР 21-22'!$A$11:$BB$406,44,FALSE)-VLOOKUP($A269,'ПР 01-02.22'!$A$11:$BB$378,44,FALSE)</f>
        <v>0</v>
      </c>
      <c r="AS269" s="40"/>
      <c r="AT269" s="5">
        <f>VLOOKUP($A269,'ПР 01-02.21'!$A$11:$BB$406,46,FALSE)+VLOOKUP($A269,'ПР 21-22'!$A$11:$BB$406,46,FALSE)-VLOOKUP($A269,'ПР 01-02.22'!$A$11:$BB$378,46,FALSE)</f>
        <v>2106.9830189540921</v>
      </c>
      <c r="AU269" s="5">
        <f>VLOOKUP($A269,'ПР 01-02.21'!$A$11:$BB$406,47,FALSE)+VLOOKUP($A269,'ПР 21-22'!$A$11:$BB$406,47,FALSE)-VLOOKUP($A269,'ПР 01-02.22'!$A$11:$BB$378,47,FALSE)</f>
        <v>512</v>
      </c>
      <c r="AV269" s="40"/>
      <c r="AW269" s="5">
        <f>VLOOKUP($A269,'ПР 01-02.21'!$A$11:$BB$406,49,FALSE)+VLOOKUP($A269,'ПР 21-22'!$A$11:$BB$406,49,FALSE)-VLOOKUP($A269,'ПР 01-02.22'!$A$11:$BB$378,49,FALSE)</f>
        <v>179.01600000000002</v>
      </c>
      <c r="AX269" s="5">
        <f>VLOOKUP($A269,'ПР 01-02.21'!$A$11:$BB$406,50,FALSE)+VLOOKUP($A269,'ПР 21-22'!$A$11:$BB$406,50,FALSE)-VLOOKUP($A269,'ПР 01-02.22'!$A$11:$BB$378,50,FALSE)</f>
        <v>0</v>
      </c>
      <c r="AY269" s="40"/>
      <c r="AZ269" s="40">
        <f t="shared" si="17"/>
        <v>11391.403530056616</v>
      </c>
      <c r="BA269" s="40">
        <f t="shared" si="17"/>
        <v>3216</v>
      </c>
      <c r="BB269" s="55">
        <f t="shared" si="20"/>
        <v>-8175.4035300566156</v>
      </c>
      <c r="BD269" s="2">
        <v>2</v>
      </c>
      <c r="BF269" s="325">
        <v>150000723</v>
      </c>
    </row>
    <row r="270" spans="1:58" ht="24.9" customHeight="1" x14ac:dyDescent="0.3">
      <c r="A270" s="325">
        <v>150000724</v>
      </c>
      <c r="B270" s="445" t="s">
        <v>277</v>
      </c>
      <c r="C270" s="27">
        <v>5</v>
      </c>
      <c r="D270" s="101" t="s">
        <v>455</v>
      </c>
      <c r="E270" s="279">
        <f>'побудинковий звіт'!E268</f>
        <v>3564.2</v>
      </c>
      <c r="F270" s="441">
        <f>'побудинковий звіт'!AS268</f>
        <v>47741.6379741907</v>
      </c>
      <c r="G270" s="441">
        <f t="shared" si="18"/>
        <v>12179.11</v>
      </c>
      <c r="H270" s="73">
        <f t="shared" si="19"/>
        <v>-35562.5279741907</v>
      </c>
      <c r="I270" s="5">
        <f>VLOOKUP($A270,'ПР 01-02.21'!$A$11:$BB$406,9,FALSE)+VLOOKUP($A270,'ПР 21-22'!$A$11:$BB$406,9,FALSE)-VLOOKUP($A270,'ПР 01-02.22'!$A$11:$BB$378,9,FALSE)</f>
        <v>0</v>
      </c>
      <c r="J270" s="5">
        <f>VLOOKUP($A270,'ПР 01-02.21'!$A$11:$BB$406,10,FALSE)+VLOOKUP($A270,'ПР 21-22'!$A$11:$BB$406,10,FALSE)-VLOOKUP($A270,'ПР 01-02.22'!$A$11:$BB$378,10,FALSE)</f>
        <v>0</v>
      </c>
      <c r="K270" s="446"/>
      <c r="L270" s="5">
        <f>VLOOKUP($A270,'ПР 01-02.21'!$A$11:$BB$406,12,FALSE)+VLOOKUP($A270,'ПР 21-22'!$A$11:$BB$406,12,FALSE)-VLOOKUP($A270,'ПР 01-02.22'!$A$11:$BB$378,12,FALSE)</f>
        <v>0</v>
      </c>
      <c r="M270" s="5">
        <f>VLOOKUP($A270,'ПР 01-02.21'!$A$11:$BB$406,13,FALSE)+VLOOKUP($A270,'ПР 21-22'!$A$11:$BB$406,13,FALSE)-VLOOKUP($A270,'ПР 01-02.22'!$A$11:$BB$378,13,FALSE)</f>
        <v>0</v>
      </c>
      <c r="N270" s="38"/>
      <c r="O270" s="5">
        <f>VLOOKUP($A270,'ПР 01-02.21'!$A$11:$BB$406,15,FALSE)+VLOOKUP($A270,'ПР 21-22'!$A$11:$BB$406,15,FALSE)-VLOOKUP($A270,'ПР 01-02.22'!$A$11:$BB$378,15,FALSE)</f>
        <v>0</v>
      </c>
      <c r="P270" s="5">
        <f>VLOOKUP($A270,'ПР 01-02.21'!$A$11:$BB$406,16,FALSE)+VLOOKUP($A270,'ПР 21-22'!$A$11:$BB$406,16,FALSE)-VLOOKUP($A270,'ПР 01-02.22'!$A$11:$BB$378,16,FALSE)</f>
        <v>0</v>
      </c>
      <c r="Q270" s="443"/>
      <c r="R270" s="5">
        <f>VLOOKUP($A270,'ПР 01-02.21'!$A$11:$BB$406,18,FALSE)+VLOOKUP($A270,'ПР 21-22'!$A$11:$BB$406,18,FALSE)-VLOOKUP($A270,'ПР 01-02.22'!$A$11:$BB$378,18,FALSE)</f>
        <v>0</v>
      </c>
      <c r="S270" s="5">
        <f>VLOOKUP($A270,'ПР 01-02.21'!$A$11:$BB$406,19,FALSE)+VLOOKUP($A270,'ПР 21-22'!$A$11:$BB$406,19,FALSE)-VLOOKUP($A270,'ПР 01-02.22'!$A$11:$BB$378,19,FALSE)</f>
        <v>0</v>
      </c>
      <c r="T270" s="444"/>
      <c r="U270" s="5">
        <f>VLOOKUP($A270,'ПР 01-02.21'!$A$11:$BB$406,21,FALSE)+VLOOKUP($A270,'ПР 21-22'!$A$11:$BB$406,21,FALSE)-VLOOKUP($A270,'ПР 01-02.22'!$A$11:$BB$378,21,FALSE)</f>
        <v>0</v>
      </c>
      <c r="V270" s="5"/>
      <c r="W270" s="5">
        <f>VLOOKUP($A270,'ПР 01-02.21'!$A$11:$BB$406,23,FALSE)+VLOOKUP($A270,'ПР 21-22'!$A$11:$BB$406,23,FALSE)-VLOOKUP($A270,'ПР 01-02.22'!$A$11:$BB$378,23,FALSE)</f>
        <v>0</v>
      </c>
      <c r="X270" s="5">
        <f>VLOOKUP($A270,'ПР 01-02.21'!$A$11:$BB$406,24,FALSE)+VLOOKUP($A270,'ПР 21-22'!$A$11:$BB$406,24,FALSE)-VLOOKUP($A270,'ПР 01-02.22'!$A$11:$BB$378,24,FALSE)</f>
        <v>0</v>
      </c>
      <c r="Y270" s="5">
        <f>VLOOKUP($A270,'ПР 01-02.21'!$A$11:$BB$406,25,FALSE)+VLOOKUP($A270,'ПР 21-22'!$A$11:$BB$406,25,FALSE)-VLOOKUP($A270,'ПР 01-02.22'!$A$11:$BB$378,25,FALSE)</f>
        <v>5423.11</v>
      </c>
      <c r="Z270" s="5"/>
      <c r="AA270" s="5">
        <f>VLOOKUP($A270,'ПР 01-02.21'!$A$11:$BB$406,27,FALSE)+VLOOKUP($A270,'ПР 21-22'!$A$11:$BB$406,27,FALSE)-VLOOKUP($A270,'ПР 01-02.22'!$A$11:$BB$378,27,FALSE)</f>
        <v>0</v>
      </c>
      <c r="AB270" s="5">
        <f>VLOOKUP($A270,'ПР 01-02.21'!$A$11:$BB$406,28,FALSE)+VLOOKUP($A270,'ПР 21-22'!$A$11:$BB$406,28,FALSE)-VLOOKUP($A270,'ПР 01-02.22'!$A$11:$BB$378,28,FALSE)</f>
        <v>0</v>
      </c>
      <c r="AC270" s="5">
        <f>VLOOKUP($A270,'ПР 01-02.21'!$A$11:$BB$406,29,FALSE)+VLOOKUP($A270,'ПР 21-22'!$A$11:$BB$406,29,FALSE)-VLOOKUP($A270,'ПР 01-02.22'!$A$11:$BB$378,29,FALSE)</f>
        <v>0</v>
      </c>
      <c r="AD270" s="5">
        <f>VLOOKUP($A270,'ПР 01-02.21'!$A$11:$BB$406,30,FALSE)+VLOOKUP($A270,'ПР 21-22'!$A$11:$BB$406,30,FALSE)-VLOOKUP($A270,'ПР 01-02.22'!$A$11:$BB$378,30,FALSE)</f>
        <v>6756</v>
      </c>
      <c r="AE270" s="5">
        <f>VLOOKUP($A270,'ПР 01-02.21'!$A$11:$BB$406,31,FALSE)+VLOOKUP($A270,'ПР 21-22'!$A$11:$BB$406,31,FALSE)-VLOOKUP($A270,'ПР 01-02.22'!$A$11:$BB$378,31,FALSE)</f>
        <v>3036.8192164525562</v>
      </c>
      <c r="AF270" s="5">
        <f>VLOOKUP($A270,'ПР 01-02.21'!$A$11:$BB$406,32,FALSE)+VLOOKUP($A270,'ПР 21-22'!$A$11:$BB$406,32,FALSE)-VLOOKUP($A270,'ПР 01-02.22'!$A$11:$BB$378,32,FALSE)</f>
        <v>2354</v>
      </c>
      <c r="AG270" s="40"/>
      <c r="AH270" s="5">
        <f>VLOOKUP($A270,'ПР 01-02.21'!$A$11:$BB$406,34,FALSE)+VLOOKUP($A270,'ПР 21-22'!$A$11:$BB$406,34,FALSE)-VLOOKUP($A270,'ПР 01-02.22'!$A$11:$BB$378,34,FALSE)</f>
        <v>3782.2563924636092</v>
      </c>
      <c r="AI270" s="5">
        <f>VLOOKUP($A270,'ПР 01-02.21'!$A$11:$BB$406,35,FALSE)+VLOOKUP($A270,'ПР 21-22'!$A$11:$BB$406,35,FALSE)-VLOOKUP($A270,'ПР 01-02.22'!$A$11:$BB$378,35,FALSE)</f>
        <v>97</v>
      </c>
      <c r="AJ270" s="40"/>
      <c r="AK270" s="5">
        <f>VLOOKUP($A270,'ПР 01-02.21'!$A$11:$BB$406,37,FALSE)+VLOOKUP($A270,'ПР 21-22'!$A$11:$BB$406,37,FALSE)-VLOOKUP($A270,'ПР 01-02.22'!$A$11:$BB$378,37,FALSE)</f>
        <v>2286.1336842258138</v>
      </c>
      <c r="AL270" s="5">
        <f>VLOOKUP($A270,'ПР 01-02.21'!$A$11:$BB$406,38,FALSE)+VLOOKUP($A270,'ПР 21-22'!$A$11:$BB$406,38,FALSE)-VLOOKUP($A270,'ПР 01-02.22'!$A$11:$BB$378,38,FALSE)</f>
        <v>0</v>
      </c>
      <c r="AM270" s="40"/>
      <c r="AN270" s="5">
        <f>VLOOKUP($A270,'ПР 01-02.21'!$A$11:$BB$406,40,FALSE)+VLOOKUP($A270,'ПР 21-22'!$A$11:$BB$406,40,FALSE)-VLOOKUP($A270,'ПР 01-02.22'!$A$11:$BB$378,40,FALSE)</f>
        <v>0</v>
      </c>
      <c r="AO270" s="5">
        <f>VLOOKUP($A270,'ПР 01-02.21'!$A$11:$BB$406,41,FALSE)+VLOOKUP($A270,'ПР 21-22'!$A$11:$BB$406,41,FALSE)-VLOOKUP($A270,'ПР 01-02.22'!$A$11:$BB$378,41,FALSE)</f>
        <v>0</v>
      </c>
      <c r="AP270" s="40"/>
      <c r="AQ270" s="5">
        <f>VLOOKUP($A270,'ПР 01-02.21'!$A$11:$BB$406,43,FALSE)+VLOOKUP($A270,'ПР 21-22'!$A$11:$BB$406,43,FALSE)-VLOOKUP($A270,'ПР 01-02.22'!$A$11:$BB$378,43,FALSE)</f>
        <v>0</v>
      </c>
      <c r="AR270" s="5">
        <f>VLOOKUP($A270,'ПР 01-02.21'!$A$11:$BB$406,44,FALSE)+VLOOKUP($A270,'ПР 21-22'!$A$11:$BB$406,44,FALSE)-VLOOKUP($A270,'ПР 01-02.22'!$A$11:$BB$378,44,FALSE)</f>
        <v>0</v>
      </c>
      <c r="AS270" s="40"/>
      <c r="AT270" s="5">
        <f>VLOOKUP($A270,'ПР 01-02.21'!$A$11:$BB$406,46,FALSE)+VLOOKUP($A270,'ПР 21-22'!$A$11:$BB$406,46,FALSE)-VLOOKUP($A270,'ПР 01-02.22'!$A$11:$BB$378,46,FALSE)</f>
        <v>2106.9830189540921</v>
      </c>
      <c r="AU270" s="5">
        <f>VLOOKUP($A270,'ПР 01-02.21'!$A$11:$BB$406,47,FALSE)+VLOOKUP($A270,'ПР 21-22'!$A$11:$BB$406,47,FALSE)-VLOOKUP($A270,'ПР 01-02.22'!$A$11:$BB$378,47,FALSE)</f>
        <v>1489</v>
      </c>
      <c r="AV270" s="40"/>
      <c r="AW270" s="5">
        <f>VLOOKUP($A270,'ПР 01-02.21'!$A$11:$BB$406,49,FALSE)+VLOOKUP($A270,'ПР 21-22'!$A$11:$BB$406,49,FALSE)-VLOOKUP($A270,'ПР 01-02.22'!$A$11:$BB$378,49,FALSE)</f>
        <v>178.6</v>
      </c>
      <c r="AX270" s="5">
        <f>VLOOKUP($A270,'ПР 01-02.21'!$A$11:$BB$406,50,FALSE)+VLOOKUP($A270,'ПР 21-22'!$A$11:$BB$406,50,FALSE)-VLOOKUP($A270,'ПР 01-02.22'!$A$11:$BB$378,50,FALSE)</f>
        <v>0</v>
      </c>
      <c r="AY270" s="40"/>
      <c r="AZ270" s="40">
        <f t="shared" si="17"/>
        <v>11390.792312096071</v>
      </c>
      <c r="BA270" s="40">
        <f t="shared" si="17"/>
        <v>3940</v>
      </c>
      <c r="BB270" s="55">
        <f t="shared" si="20"/>
        <v>-7450.7923120960713</v>
      </c>
      <c r="BD270" s="2">
        <v>2</v>
      </c>
      <c r="BF270" s="325">
        <v>150000724</v>
      </c>
    </row>
    <row r="271" spans="1:58" ht="24.9" customHeight="1" x14ac:dyDescent="0.3">
      <c r="A271" s="325">
        <v>150000725</v>
      </c>
      <c r="B271" s="445" t="s">
        <v>278</v>
      </c>
      <c r="C271" s="27">
        <v>5</v>
      </c>
      <c r="D271" s="101" t="s">
        <v>455</v>
      </c>
      <c r="E271" s="279">
        <f>'побудинковий звіт'!E269</f>
        <v>3571.96</v>
      </c>
      <c r="F271" s="441">
        <f>'побудинковий звіт'!AS269</f>
        <v>50605.104944665727</v>
      </c>
      <c r="G271" s="441">
        <f t="shared" si="18"/>
        <v>90607.44</v>
      </c>
      <c r="H271" s="73">
        <f t="shared" si="19"/>
        <v>40002.335055334275</v>
      </c>
      <c r="I271" s="5">
        <f>VLOOKUP($A271,'ПР 01-02.21'!$A$11:$BB$406,9,FALSE)+VLOOKUP($A271,'ПР 21-22'!$A$11:$BB$406,9,FALSE)-VLOOKUP($A271,'ПР 01-02.22'!$A$11:$BB$378,9,FALSE)</f>
        <v>40</v>
      </c>
      <c r="J271" s="5">
        <f>VLOOKUP($A271,'ПР 01-02.21'!$A$11:$BB$406,10,FALSE)+VLOOKUP($A271,'ПР 21-22'!$A$11:$BB$406,10,FALSE)-VLOOKUP($A271,'ПР 01-02.22'!$A$11:$BB$378,10,FALSE)</f>
        <v>4975.7299999999996</v>
      </c>
      <c r="K271" s="446"/>
      <c r="L271" s="5">
        <f>VLOOKUP($A271,'ПР 01-02.21'!$A$11:$BB$406,12,FALSE)+VLOOKUP($A271,'ПР 21-22'!$A$11:$BB$406,12,FALSE)-VLOOKUP($A271,'ПР 01-02.22'!$A$11:$BB$378,12,FALSE)</f>
        <v>0</v>
      </c>
      <c r="M271" s="5">
        <f>VLOOKUP($A271,'ПР 01-02.21'!$A$11:$BB$406,13,FALSE)+VLOOKUP($A271,'ПР 21-22'!$A$11:$BB$406,13,FALSE)-VLOOKUP($A271,'ПР 01-02.22'!$A$11:$BB$378,13,FALSE)</f>
        <v>9387</v>
      </c>
      <c r="N271" s="38"/>
      <c r="O271" s="5">
        <f>VLOOKUP($A271,'ПР 01-02.21'!$A$11:$BB$406,15,FALSE)+VLOOKUP($A271,'ПР 21-22'!$A$11:$BB$406,15,FALSE)-VLOOKUP($A271,'ПР 01-02.22'!$A$11:$BB$378,15,FALSE)</f>
        <v>2</v>
      </c>
      <c r="P271" s="5">
        <f>VLOOKUP($A271,'ПР 01-02.21'!$A$11:$BB$406,16,FALSE)+VLOOKUP($A271,'ПР 21-22'!$A$11:$BB$406,16,FALSE)-VLOOKUP($A271,'ПР 01-02.22'!$A$11:$BB$378,16,FALSE)</f>
        <v>303</v>
      </c>
      <c r="Q271" s="443"/>
      <c r="R271" s="5">
        <f>VLOOKUP($A271,'ПР 01-02.21'!$A$11:$BB$406,18,FALSE)+VLOOKUP($A271,'ПР 21-22'!$A$11:$BB$406,18,FALSE)-VLOOKUP($A271,'ПР 01-02.22'!$A$11:$BB$378,18,FALSE)</f>
        <v>0</v>
      </c>
      <c r="S271" s="5">
        <f>VLOOKUP($A271,'ПР 01-02.21'!$A$11:$BB$406,19,FALSE)+VLOOKUP($A271,'ПР 21-22'!$A$11:$BB$406,19,FALSE)-VLOOKUP($A271,'ПР 01-02.22'!$A$11:$BB$378,19,FALSE)</f>
        <v>0</v>
      </c>
      <c r="T271" s="444"/>
      <c r="U271" s="5">
        <f>VLOOKUP($A271,'ПР 01-02.21'!$A$11:$BB$406,21,FALSE)+VLOOKUP($A271,'ПР 21-22'!$A$11:$BB$406,21,FALSE)-VLOOKUP($A271,'ПР 01-02.22'!$A$11:$BB$378,21,FALSE)</f>
        <v>0</v>
      </c>
      <c r="V271" s="5"/>
      <c r="W271" s="5">
        <f>VLOOKUP($A271,'ПР 01-02.21'!$A$11:$BB$406,23,FALSE)+VLOOKUP($A271,'ПР 21-22'!$A$11:$BB$406,23,FALSE)-VLOOKUP($A271,'ПР 01-02.22'!$A$11:$BB$378,23,FALSE)</f>
        <v>0</v>
      </c>
      <c r="X271" s="5">
        <f>VLOOKUP($A271,'ПР 01-02.21'!$A$11:$BB$406,24,FALSE)+VLOOKUP($A271,'ПР 21-22'!$A$11:$BB$406,24,FALSE)-VLOOKUP($A271,'ПР 01-02.22'!$A$11:$BB$378,24,FALSE)</f>
        <v>3986</v>
      </c>
      <c r="Y271" s="5">
        <f>VLOOKUP($A271,'ПР 01-02.21'!$A$11:$BB$406,25,FALSE)+VLOOKUP($A271,'ПР 21-22'!$A$11:$BB$406,25,FALSE)-VLOOKUP($A271,'ПР 01-02.22'!$A$11:$BB$378,25,FALSE)</f>
        <v>2656.71</v>
      </c>
      <c r="Z271" s="5"/>
      <c r="AA271" s="5">
        <f>VLOOKUP($A271,'ПР 01-02.21'!$A$11:$BB$406,27,FALSE)+VLOOKUP($A271,'ПР 21-22'!$A$11:$BB$406,27,FALSE)-VLOOKUP($A271,'ПР 01-02.22'!$A$11:$BB$378,27,FALSE)</f>
        <v>0</v>
      </c>
      <c r="AB271" s="5">
        <f>VLOOKUP($A271,'ПР 01-02.21'!$A$11:$BB$406,28,FALSE)+VLOOKUP($A271,'ПР 21-22'!$A$11:$BB$406,28,FALSE)-VLOOKUP($A271,'ПР 01-02.22'!$A$11:$BB$378,28,FALSE)</f>
        <v>0</v>
      </c>
      <c r="AC271" s="5">
        <f>VLOOKUP($A271,'ПР 01-02.21'!$A$11:$BB$406,29,FALSE)+VLOOKUP($A271,'ПР 21-22'!$A$11:$BB$406,29,FALSE)-VLOOKUP($A271,'ПР 01-02.22'!$A$11:$BB$378,29,FALSE)</f>
        <v>68527</v>
      </c>
      <c r="AD271" s="5">
        <f>VLOOKUP($A271,'ПР 01-02.21'!$A$11:$BB$406,30,FALSE)+VLOOKUP($A271,'ПР 21-22'!$A$11:$BB$406,30,FALSE)-VLOOKUP($A271,'ПР 01-02.22'!$A$11:$BB$378,30,FALSE)</f>
        <v>772</v>
      </c>
      <c r="AE271" s="5">
        <f>VLOOKUP($A271,'ПР 01-02.21'!$A$11:$BB$406,31,FALSE)+VLOOKUP($A271,'ПР 21-22'!$A$11:$BB$406,31,FALSE)-VLOOKUP($A271,'ПР 01-02.22'!$A$11:$BB$378,31,FALSE)</f>
        <v>3036.8192164525562</v>
      </c>
      <c r="AF271" s="5">
        <f>VLOOKUP($A271,'ПР 01-02.21'!$A$11:$BB$406,32,FALSE)+VLOOKUP($A271,'ПР 21-22'!$A$11:$BB$406,32,FALSE)-VLOOKUP($A271,'ПР 01-02.22'!$A$11:$BB$378,32,FALSE)</f>
        <v>3127.61</v>
      </c>
      <c r="AG271" s="40"/>
      <c r="AH271" s="5">
        <f>VLOOKUP($A271,'ПР 01-02.21'!$A$11:$BB$406,34,FALSE)+VLOOKUP($A271,'ПР 21-22'!$A$11:$BB$406,34,FALSE)-VLOOKUP($A271,'ПР 01-02.22'!$A$11:$BB$378,34,FALSE)</f>
        <v>3782.2563924636092</v>
      </c>
      <c r="AI271" s="5">
        <f>VLOOKUP($A271,'ПР 01-02.21'!$A$11:$BB$406,35,FALSE)+VLOOKUP($A271,'ПР 21-22'!$A$11:$BB$406,35,FALSE)-VLOOKUP($A271,'ПР 01-02.22'!$A$11:$BB$378,35,FALSE)</f>
        <v>33</v>
      </c>
      <c r="AJ271" s="40"/>
      <c r="AK271" s="5">
        <f>VLOOKUP($A271,'ПР 01-02.21'!$A$11:$BB$406,37,FALSE)+VLOOKUP($A271,'ПР 21-22'!$A$11:$BB$406,37,FALSE)-VLOOKUP($A271,'ПР 01-02.22'!$A$11:$BB$378,37,FALSE)</f>
        <v>2268.6859755800006</v>
      </c>
      <c r="AL271" s="5">
        <f>VLOOKUP($A271,'ПР 01-02.21'!$A$11:$BB$406,38,FALSE)+VLOOKUP($A271,'ПР 21-22'!$A$11:$BB$406,38,FALSE)-VLOOKUP($A271,'ПР 01-02.22'!$A$11:$BB$378,38,FALSE)</f>
        <v>0</v>
      </c>
      <c r="AM271" s="40"/>
      <c r="AN271" s="5">
        <f>VLOOKUP($A271,'ПР 01-02.21'!$A$11:$BB$406,40,FALSE)+VLOOKUP($A271,'ПР 21-22'!$A$11:$BB$406,40,FALSE)-VLOOKUP($A271,'ПР 01-02.22'!$A$11:$BB$378,40,FALSE)</f>
        <v>0</v>
      </c>
      <c r="AO271" s="5">
        <f>VLOOKUP($A271,'ПР 01-02.21'!$A$11:$BB$406,41,FALSE)+VLOOKUP($A271,'ПР 21-22'!$A$11:$BB$406,41,FALSE)-VLOOKUP($A271,'ПР 01-02.22'!$A$11:$BB$378,41,FALSE)</f>
        <v>263</v>
      </c>
      <c r="AP271" s="40"/>
      <c r="AQ271" s="5">
        <f>VLOOKUP($A271,'ПР 01-02.21'!$A$11:$BB$406,43,FALSE)+VLOOKUP($A271,'ПР 21-22'!$A$11:$BB$406,43,FALSE)-VLOOKUP($A271,'ПР 01-02.22'!$A$11:$BB$378,43,FALSE)</f>
        <v>0</v>
      </c>
      <c r="AR271" s="5">
        <f>VLOOKUP($A271,'ПР 01-02.21'!$A$11:$BB$406,44,FALSE)+VLOOKUP($A271,'ПР 21-22'!$A$11:$BB$406,44,FALSE)-VLOOKUP($A271,'ПР 01-02.22'!$A$11:$BB$378,44,FALSE)</f>
        <v>0</v>
      </c>
      <c r="AS271" s="40"/>
      <c r="AT271" s="5">
        <f>VLOOKUP($A271,'ПР 01-02.21'!$A$11:$BB$406,46,FALSE)+VLOOKUP($A271,'ПР 21-22'!$A$11:$BB$406,46,FALSE)-VLOOKUP($A271,'ПР 01-02.22'!$A$11:$BB$378,46,FALSE)</f>
        <v>2106.9830189540921</v>
      </c>
      <c r="AU271" s="5">
        <f>VLOOKUP($A271,'ПР 01-02.21'!$A$11:$BB$406,47,FALSE)+VLOOKUP($A271,'ПР 21-22'!$A$11:$BB$406,47,FALSE)-VLOOKUP($A271,'ПР 01-02.22'!$A$11:$BB$378,47,FALSE)</f>
        <v>1294</v>
      </c>
      <c r="AV271" s="40"/>
      <c r="AW271" s="5">
        <f>VLOOKUP($A271,'ПР 01-02.21'!$A$11:$BB$406,49,FALSE)+VLOOKUP($A271,'ПР 21-22'!$A$11:$BB$406,49,FALSE)-VLOOKUP($A271,'ПР 01-02.22'!$A$11:$BB$378,49,FALSE)</f>
        <v>178.88640000000001</v>
      </c>
      <c r="AX271" s="5">
        <f>VLOOKUP($A271,'ПР 01-02.21'!$A$11:$BB$406,50,FALSE)+VLOOKUP($A271,'ПР 21-22'!$A$11:$BB$406,50,FALSE)-VLOOKUP($A271,'ПР 01-02.22'!$A$11:$BB$378,50,FALSE)</f>
        <v>0</v>
      </c>
      <c r="AY271" s="40"/>
      <c r="AZ271" s="40">
        <f t="shared" si="17"/>
        <v>11373.631003450257</v>
      </c>
      <c r="BA271" s="40">
        <f t="shared" si="17"/>
        <v>4717.6100000000006</v>
      </c>
      <c r="BB271" s="55">
        <f t="shared" si="20"/>
        <v>-6656.0210034502561</v>
      </c>
      <c r="BD271" s="2">
        <v>2</v>
      </c>
      <c r="BF271" s="325">
        <v>150000725</v>
      </c>
    </row>
    <row r="272" spans="1:58" ht="24.9" customHeight="1" x14ac:dyDescent="0.3">
      <c r="A272" s="325">
        <v>150000710</v>
      </c>
      <c r="B272" s="445" t="s">
        <v>279</v>
      </c>
      <c r="C272" s="27">
        <v>5</v>
      </c>
      <c r="D272" s="101" t="s">
        <v>455</v>
      </c>
      <c r="E272" s="279">
        <f>'побудинковий звіт'!E270</f>
        <v>4572.3</v>
      </c>
      <c r="F272" s="441">
        <f>'побудинковий звіт'!AS270</f>
        <v>44711.83618492043</v>
      </c>
      <c r="G272" s="441">
        <f t="shared" si="18"/>
        <v>13344.85</v>
      </c>
      <c r="H272" s="73">
        <f t="shared" si="19"/>
        <v>-31366.986184920432</v>
      </c>
      <c r="I272" s="5">
        <f>VLOOKUP($A272,'ПР 01-02.21'!$A$11:$BB$406,9,FALSE)+VLOOKUP($A272,'ПР 21-22'!$A$11:$BB$406,9,FALSE)-VLOOKUP($A272,'ПР 01-02.22'!$A$11:$BB$378,9,FALSE)</f>
        <v>16</v>
      </c>
      <c r="J272" s="5">
        <f>VLOOKUP($A272,'ПР 01-02.21'!$A$11:$BB$406,10,FALSE)+VLOOKUP($A272,'ПР 21-22'!$A$11:$BB$406,10,FALSE)-VLOOKUP($A272,'ПР 01-02.22'!$A$11:$BB$378,10,FALSE)</f>
        <v>4997</v>
      </c>
      <c r="K272" s="446"/>
      <c r="L272" s="5">
        <f>VLOOKUP($A272,'ПР 01-02.21'!$A$11:$BB$406,12,FALSE)+VLOOKUP($A272,'ПР 21-22'!$A$11:$BB$406,12,FALSE)-VLOOKUP($A272,'ПР 01-02.22'!$A$11:$BB$378,12,FALSE)</f>
        <v>0</v>
      </c>
      <c r="M272" s="5">
        <f>VLOOKUP($A272,'ПР 01-02.21'!$A$11:$BB$406,13,FALSE)+VLOOKUP($A272,'ПР 21-22'!$A$11:$BB$406,13,FALSE)-VLOOKUP($A272,'ПР 01-02.22'!$A$11:$BB$378,13,FALSE)</f>
        <v>0</v>
      </c>
      <c r="N272" s="38"/>
      <c r="O272" s="5">
        <f>VLOOKUP($A272,'ПР 01-02.21'!$A$11:$BB$406,15,FALSE)+VLOOKUP($A272,'ПР 21-22'!$A$11:$BB$406,15,FALSE)-VLOOKUP($A272,'ПР 01-02.22'!$A$11:$BB$378,15,FALSE)</f>
        <v>0</v>
      </c>
      <c r="P272" s="5">
        <f>VLOOKUP($A272,'ПР 01-02.21'!$A$11:$BB$406,16,FALSE)+VLOOKUP($A272,'ПР 21-22'!$A$11:$BB$406,16,FALSE)-VLOOKUP($A272,'ПР 01-02.22'!$A$11:$BB$378,16,FALSE)</f>
        <v>0</v>
      </c>
      <c r="Q272" s="443"/>
      <c r="R272" s="5">
        <f>VLOOKUP($A272,'ПР 01-02.21'!$A$11:$BB$406,18,FALSE)+VLOOKUP($A272,'ПР 21-22'!$A$11:$BB$406,18,FALSE)-VLOOKUP($A272,'ПР 01-02.22'!$A$11:$BB$378,18,FALSE)</f>
        <v>0</v>
      </c>
      <c r="S272" s="5">
        <f>VLOOKUP($A272,'ПР 01-02.21'!$A$11:$BB$406,19,FALSE)+VLOOKUP($A272,'ПР 21-22'!$A$11:$BB$406,19,FALSE)-VLOOKUP($A272,'ПР 01-02.22'!$A$11:$BB$378,19,FALSE)</f>
        <v>0</v>
      </c>
      <c r="T272" s="444"/>
      <c r="U272" s="5">
        <f>VLOOKUP($A272,'ПР 01-02.21'!$A$11:$BB$406,21,FALSE)+VLOOKUP($A272,'ПР 21-22'!$A$11:$BB$406,21,FALSE)-VLOOKUP($A272,'ПР 01-02.22'!$A$11:$BB$378,21,FALSE)</f>
        <v>0</v>
      </c>
      <c r="V272" s="5"/>
      <c r="W272" s="5">
        <f>VLOOKUP($A272,'ПР 01-02.21'!$A$11:$BB$406,23,FALSE)+VLOOKUP($A272,'ПР 21-22'!$A$11:$BB$406,23,FALSE)-VLOOKUP($A272,'ПР 01-02.22'!$A$11:$BB$378,23,FALSE)</f>
        <v>0</v>
      </c>
      <c r="X272" s="5">
        <f>VLOOKUP($A272,'ПР 01-02.21'!$A$11:$BB$406,24,FALSE)+VLOOKUP($A272,'ПР 21-22'!$A$11:$BB$406,24,FALSE)-VLOOKUP($A272,'ПР 01-02.22'!$A$11:$BB$378,24,FALSE)</f>
        <v>0</v>
      </c>
      <c r="Y272" s="5">
        <f>VLOOKUP($A272,'ПР 01-02.21'!$A$11:$BB$406,25,FALSE)+VLOOKUP($A272,'ПР 21-22'!$A$11:$BB$406,25,FALSE)-VLOOKUP($A272,'ПР 01-02.22'!$A$11:$BB$378,25,FALSE)</f>
        <v>4202.8500000000004</v>
      </c>
      <c r="Z272" s="5"/>
      <c r="AA272" s="5">
        <f>VLOOKUP($A272,'ПР 01-02.21'!$A$11:$BB$406,27,FALSE)+VLOOKUP($A272,'ПР 21-22'!$A$11:$BB$406,27,FALSE)-VLOOKUP($A272,'ПР 01-02.22'!$A$11:$BB$378,27,FALSE)</f>
        <v>0</v>
      </c>
      <c r="AB272" s="5">
        <f>VLOOKUP($A272,'ПР 01-02.21'!$A$11:$BB$406,28,FALSE)+VLOOKUP($A272,'ПР 21-22'!$A$11:$BB$406,28,FALSE)-VLOOKUP($A272,'ПР 01-02.22'!$A$11:$BB$378,28,FALSE)</f>
        <v>2133</v>
      </c>
      <c r="AC272" s="5">
        <f>VLOOKUP($A272,'ПР 01-02.21'!$A$11:$BB$406,29,FALSE)+VLOOKUP($A272,'ПР 21-22'!$A$11:$BB$406,29,FALSE)-VLOOKUP($A272,'ПР 01-02.22'!$A$11:$BB$378,29,FALSE)</f>
        <v>0</v>
      </c>
      <c r="AD272" s="5">
        <f>VLOOKUP($A272,'ПР 01-02.21'!$A$11:$BB$406,30,FALSE)+VLOOKUP($A272,'ПР 21-22'!$A$11:$BB$406,30,FALSE)-VLOOKUP($A272,'ПР 01-02.22'!$A$11:$BB$378,30,FALSE)</f>
        <v>2012</v>
      </c>
      <c r="AE272" s="5">
        <f>VLOOKUP($A272,'ПР 01-02.21'!$A$11:$BB$406,31,FALSE)+VLOOKUP($A272,'ПР 21-22'!$A$11:$BB$406,31,FALSE)-VLOOKUP($A272,'ПР 01-02.22'!$A$11:$BB$378,31,FALSE)</f>
        <v>4272.6092703794939</v>
      </c>
      <c r="AF272" s="5">
        <f>VLOOKUP($A272,'ПР 01-02.21'!$A$11:$BB$406,32,FALSE)+VLOOKUP($A272,'ПР 21-22'!$A$11:$BB$406,32,FALSE)-VLOOKUP($A272,'ПР 01-02.22'!$A$11:$BB$378,32,FALSE)</f>
        <v>10869.68</v>
      </c>
      <c r="AG272" s="40"/>
      <c r="AH272" s="5">
        <f>VLOOKUP($A272,'ПР 01-02.21'!$A$11:$BB$406,34,FALSE)+VLOOKUP($A272,'ПР 21-22'!$A$11:$BB$406,34,FALSE)-VLOOKUP($A272,'ПР 01-02.22'!$A$11:$BB$378,34,FALSE)</f>
        <v>6209.2468423169157</v>
      </c>
      <c r="AI272" s="5">
        <f>VLOOKUP($A272,'ПР 01-02.21'!$A$11:$BB$406,35,FALSE)+VLOOKUP($A272,'ПР 21-22'!$A$11:$BB$406,35,FALSE)-VLOOKUP($A272,'ПР 01-02.22'!$A$11:$BB$378,35,FALSE)</f>
        <v>21131</v>
      </c>
      <c r="AJ272" s="40"/>
      <c r="AK272" s="5">
        <f>VLOOKUP($A272,'ПР 01-02.21'!$A$11:$BB$406,37,FALSE)+VLOOKUP($A272,'ПР 21-22'!$A$11:$BB$406,37,FALSE)-VLOOKUP($A272,'ПР 01-02.22'!$A$11:$BB$378,37,FALSE)</f>
        <v>2144.5753212093459</v>
      </c>
      <c r="AL272" s="5">
        <f>VLOOKUP($A272,'ПР 01-02.21'!$A$11:$BB$406,38,FALSE)+VLOOKUP($A272,'ПР 21-22'!$A$11:$BB$406,38,FALSE)-VLOOKUP($A272,'ПР 01-02.22'!$A$11:$BB$378,38,FALSE)</f>
        <v>1225</v>
      </c>
      <c r="AM272" s="40"/>
      <c r="AN272" s="5">
        <f>VLOOKUP($A272,'ПР 01-02.21'!$A$11:$BB$406,40,FALSE)+VLOOKUP($A272,'ПР 21-22'!$A$11:$BB$406,40,FALSE)-VLOOKUP($A272,'ПР 01-02.22'!$A$11:$BB$378,40,FALSE)</f>
        <v>0</v>
      </c>
      <c r="AO272" s="5">
        <f>VLOOKUP($A272,'ПР 01-02.21'!$A$11:$BB$406,41,FALSE)+VLOOKUP($A272,'ПР 21-22'!$A$11:$BB$406,41,FALSE)-VLOOKUP($A272,'ПР 01-02.22'!$A$11:$BB$378,41,FALSE)</f>
        <v>0</v>
      </c>
      <c r="AP272" s="40"/>
      <c r="AQ272" s="5">
        <f>VLOOKUP($A272,'ПР 01-02.21'!$A$11:$BB$406,43,FALSE)+VLOOKUP($A272,'ПР 21-22'!$A$11:$BB$406,43,FALSE)-VLOOKUP($A272,'ПР 01-02.22'!$A$11:$BB$378,43,FALSE)</f>
        <v>0</v>
      </c>
      <c r="AR272" s="5">
        <f>VLOOKUP($A272,'ПР 01-02.21'!$A$11:$BB$406,44,FALSE)+VLOOKUP($A272,'ПР 21-22'!$A$11:$BB$406,44,FALSE)-VLOOKUP($A272,'ПР 01-02.22'!$A$11:$BB$378,44,FALSE)</f>
        <v>0</v>
      </c>
      <c r="AS272" s="40"/>
      <c r="AT272" s="5">
        <f>VLOOKUP($A272,'ПР 01-02.21'!$A$11:$BB$406,46,FALSE)+VLOOKUP($A272,'ПР 21-22'!$A$11:$BB$406,46,FALSE)-VLOOKUP($A272,'ПР 01-02.22'!$A$11:$BB$378,46,FALSE)</f>
        <v>3997.6922576797351</v>
      </c>
      <c r="AU272" s="5">
        <f>VLOOKUP($A272,'ПР 01-02.21'!$A$11:$BB$406,47,FALSE)+VLOOKUP($A272,'ПР 21-22'!$A$11:$BB$406,47,FALSE)-VLOOKUP($A272,'ПР 01-02.22'!$A$11:$BB$378,47,FALSE)</f>
        <v>0</v>
      </c>
      <c r="AV272" s="40"/>
      <c r="AW272" s="5">
        <f>VLOOKUP($A272,'ПР 01-02.21'!$A$11:$BB$406,49,FALSE)+VLOOKUP($A272,'ПР 21-22'!$A$11:$BB$406,49,FALSE)-VLOOKUP($A272,'ПР 01-02.22'!$A$11:$BB$378,49,FALSE)</f>
        <v>228.21200000000002</v>
      </c>
      <c r="AX272" s="5">
        <f>VLOOKUP($A272,'ПР 01-02.21'!$A$11:$BB$406,50,FALSE)+VLOOKUP($A272,'ПР 21-22'!$A$11:$BB$406,50,FALSE)-VLOOKUP($A272,'ПР 01-02.22'!$A$11:$BB$378,50,FALSE)</f>
        <v>0</v>
      </c>
      <c r="AY272" s="40"/>
      <c r="AZ272" s="40">
        <f t="shared" si="17"/>
        <v>16852.335691585489</v>
      </c>
      <c r="BA272" s="40">
        <f t="shared" si="17"/>
        <v>33225.68</v>
      </c>
      <c r="BB272" s="55">
        <f t="shared" si="20"/>
        <v>16373.344308414511</v>
      </c>
      <c r="BD272" s="2">
        <v>3</v>
      </c>
      <c r="BF272" s="325">
        <v>150000710</v>
      </c>
    </row>
    <row r="273" spans="1:58" ht="24.9" customHeight="1" x14ac:dyDescent="0.3">
      <c r="A273" s="325">
        <v>150000711</v>
      </c>
      <c r="B273" s="445" t="s">
        <v>280</v>
      </c>
      <c r="C273" s="27">
        <v>5</v>
      </c>
      <c r="D273" s="101" t="s">
        <v>455</v>
      </c>
      <c r="E273" s="279">
        <f>'побудинковий звіт'!E271</f>
        <v>4577.8</v>
      </c>
      <c r="F273" s="441">
        <f>'побудинковий звіт'!AS271</f>
        <v>54469.010121624109</v>
      </c>
      <c r="G273" s="441">
        <f t="shared" si="18"/>
        <v>13780.099999999999</v>
      </c>
      <c r="H273" s="73">
        <f t="shared" si="19"/>
        <v>-40688.910121624111</v>
      </c>
      <c r="I273" s="5">
        <f>VLOOKUP($A273,'ПР 01-02.21'!$A$11:$BB$406,9,FALSE)+VLOOKUP($A273,'ПР 21-22'!$A$11:$BB$406,9,FALSE)-VLOOKUP($A273,'ПР 01-02.22'!$A$11:$BB$378,9,FALSE)</f>
        <v>0</v>
      </c>
      <c r="J273" s="5">
        <f>VLOOKUP($A273,'ПР 01-02.21'!$A$11:$BB$406,10,FALSE)+VLOOKUP($A273,'ПР 21-22'!$A$11:$BB$406,10,FALSE)-VLOOKUP($A273,'ПР 01-02.22'!$A$11:$BB$378,10,FALSE)</f>
        <v>0</v>
      </c>
      <c r="K273" s="446"/>
      <c r="L273" s="5">
        <f>VLOOKUP($A273,'ПР 01-02.21'!$A$11:$BB$406,12,FALSE)+VLOOKUP($A273,'ПР 21-22'!$A$11:$BB$406,12,FALSE)-VLOOKUP($A273,'ПР 01-02.22'!$A$11:$BB$378,12,FALSE)</f>
        <v>0</v>
      </c>
      <c r="M273" s="5">
        <f>VLOOKUP($A273,'ПР 01-02.21'!$A$11:$BB$406,13,FALSE)+VLOOKUP($A273,'ПР 21-22'!$A$11:$BB$406,13,FALSE)-VLOOKUP($A273,'ПР 01-02.22'!$A$11:$BB$378,13,FALSE)</f>
        <v>1110</v>
      </c>
      <c r="N273" s="38"/>
      <c r="O273" s="5">
        <f>VLOOKUP($A273,'ПР 01-02.21'!$A$11:$BB$406,15,FALSE)+VLOOKUP($A273,'ПР 21-22'!$A$11:$BB$406,15,FALSE)-VLOOKUP($A273,'ПР 01-02.22'!$A$11:$BB$378,15,FALSE)</f>
        <v>0</v>
      </c>
      <c r="P273" s="5">
        <f>VLOOKUP($A273,'ПР 01-02.21'!$A$11:$BB$406,16,FALSE)+VLOOKUP($A273,'ПР 21-22'!$A$11:$BB$406,16,FALSE)-VLOOKUP($A273,'ПР 01-02.22'!$A$11:$BB$378,16,FALSE)</f>
        <v>0</v>
      </c>
      <c r="Q273" s="443"/>
      <c r="R273" s="5">
        <f>VLOOKUP($A273,'ПР 01-02.21'!$A$11:$BB$406,18,FALSE)+VLOOKUP($A273,'ПР 21-22'!$A$11:$BB$406,18,FALSE)-VLOOKUP($A273,'ПР 01-02.22'!$A$11:$BB$378,18,FALSE)</f>
        <v>0</v>
      </c>
      <c r="S273" s="5">
        <f>VLOOKUP($A273,'ПР 01-02.21'!$A$11:$BB$406,19,FALSE)+VLOOKUP($A273,'ПР 21-22'!$A$11:$BB$406,19,FALSE)-VLOOKUP($A273,'ПР 01-02.22'!$A$11:$BB$378,19,FALSE)</f>
        <v>0</v>
      </c>
      <c r="T273" s="444"/>
      <c r="U273" s="5">
        <f>VLOOKUP($A273,'ПР 01-02.21'!$A$11:$BB$406,21,FALSE)+VLOOKUP($A273,'ПР 21-22'!$A$11:$BB$406,21,FALSE)-VLOOKUP($A273,'ПР 01-02.22'!$A$11:$BB$378,21,FALSE)</f>
        <v>0</v>
      </c>
      <c r="V273" s="5"/>
      <c r="W273" s="5">
        <f>VLOOKUP($A273,'ПР 01-02.21'!$A$11:$BB$406,23,FALSE)+VLOOKUP($A273,'ПР 21-22'!$A$11:$BB$406,23,FALSE)-VLOOKUP($A273,'ПР 01-02.22'!$A$11:$BB$378,23,FALSE)</f>
        <v>0</v>
      </c>
      <c r="X273" s="5">
        <f>VLOOKUP($A273,'ПР 01-02.21'!$A$11:$BB$406,24,FALSE)+VLOOKUP($A273,'ПР 21-22'!$A$11:$BB$406,24,FALSE)-VLOOKUP($A273,'ПР 01-02.22'!$A$11:$BB$378,24,FALSE)</f>
        <v>2539</v>
      </c>
      <c r="Y273" s="5">
        <f>VLOOKUP($A273,'ПР 01-02.21'!$A$11:$BB$406,25,FALSE)+VLOOKUP($A273,'ПР 21-22'!$A$11:$BB$406,25,FALSE)-VLOOKUP($A273,'ПР 01-02.22'!$A$11:$BB$378,25,FALSE)</f>
        <v>3739.32</v>
      </c>
      <c r="Z273" s="5"/>
      <c r="AA273" s="5">
        <f>VLOOKUP($A273,'ПР 01-02.21'!$A$11:$BB$406,27,FALSE)+VLOOKUP($A273,'ПР 21-22'!$A$11:$BB$406,27,FALSE)-VLOOKUP($A273,'ПР 01-02.22'!$A$11:$BB$378,27,FALSE)</f>
        <v>0</v>
      </c>
      <c r="AB273" s="5">
        <f>VLOOKUP($A273,'ПР 01-02.21'!$A$11:$BB$406,28,FALSE)+VLOOKUP($A273,'ПР 21-22'!$A$11:$BB$406,28,FALSE)-VLOOKUP($A273,'ПР 01-02.22'!$A$11:$BB$378,28,FALSE)</f>
        <v>2679</v>
      </c>
      <c r="AC273" s="5">
        <f>VLOOKUP($A273,'ПР 01-02.21'!$A$11:$BB$406,29,FALSE)+VLOOKUP($A273,'ПР 21-22'!$A$11:$BB$406,29,FALSE)-VLOOKUP($A273,'ПР 01-02.22'!$A$11:$BB$378,29,FALSE)</f>
        <v>1205.7799999999997</v>
      </c>
      <c r="AD273" s="5">
        <f>VLOOKUP($A273,'ПР 01-02.21'!$A$11:$BB$406,30,FALSE)+VLOOKUP($A273,'ПР 21-22'!$A$11:$BB$406,30,FALSE)-VLOOKUP($A273,'ПР 01-02.22'!$A$11:$BB$378,30,FALSE)</f>
        <v>2507</v>
      </c>
      <c r="AE273" s="5">
        <f>VLOOKUP($A273,'ПР 01-02.21'!$A$11:$BB$406,31,FALSE)+VLOOKUP($A273,'ПР 21-22'!$A$11:$BB$406,31,FALSE)-VLOOKUP($A273,'ПР 01-02.22'!$A$11:$BB$378,31,FALSE)</f>
        <v>4274.6286654008945</v>
      </c>
      <c r="AF273" s="5">
        <f>VLOOKUP($A273,'ПР 01-02.21'!$A$11:$BB$406,32,FALSE)+VLOOKUP($A273,'ПР 21-22'!$A$11:$BB$406,32,FALSE)-VLOOKUP($A273,'ПР 01-02.22'!$A$11:$BB$378,32,FALSE)</f>
        <v>1592.8200000000002</v>
      </c>
      <c r="AG273" s="40"/>
      <c r="AH273" s="5">
        <f>VLOOKUP($A273,'ПР 01-02.21'!$A$11:$BB$406,34,FALSE)+VLOOKUP($A273,'ПР 21-22'!$A$11:$BB$406,34,FALSE)-VLOOKUP($A273,'ПР 01-02.22'!$A$11:$BB$378,34,FALSE)</f>
        <v>6210.3345609312155</v>
      </c>
      <c r="AI273" s="5">
        <f>VLOOKUP($A273,'ПР 01-02.21'!$A$11:$BB$406,35,FALSE)+VLOOKUP($A273,'ПР 21-22'!$A$11:$BB$406,35,FALSE)-VLOOKUP($A273,'ПР 01-02.22'!$A$11:$BB$378,35,FALSE)</f>
        <v>3160.27</v>
      </c>
      <c r="AJ273" s="40"/>
      <c r="AK273" s="5">
        <f>VLOOKUP($A273,'ПР 01-02.21'!$A$11:$BB$406,37,FALSE)+VLOOKUP($A273,'ПР 21-22'!$A$11:$BB$406,37,FALSE)-VLOOKUP($A273,'ПР 01-02.22'!$A$11:$BB$378,37,FALSE)</f>
        <v>2157.2395743238153</v>
      </c>
      <c r="AL273" s="5">
        <f>VLOOKUP($A273,'ПР 01-02.21'!$A$11:$BB$406,38,FALSE)+VLOOKUP($A273,'ПР 21-22'!$A$11:$BB$406,38,FALSE)-VLOOKUP($A273,'ПР 01-02.22'!$A$11:$BB$378,38,FALSE)</f>
        <v>7956</v>
      </c>
      <c r="AM273" s="40"/>
      <c r="AN273" s="5">
        <f>VLOOKUP($A273,'ПР 01-02.21'!$A$11:$BB$406,40,FALSE)+VLOOKUP($A273,'ПР 21-22'!$A$11:$BB$406,40,FALSE)-VLOOKUP($A273,'ПР 01-02.22'!$A$11:$BB$378,40,FALSE)</f>
        <v>0</v>
      </c>
      <c r="AO273" s="5">
        <f>VLOOKUP($A273,'ПР 01-02.21'!$A$11:$BB$406,41,FALSE)+VLOOKUP($A273,'ПР 21-22'!$A$11:$BB$406,41,FALSE)-VLOOKUP($A273,'ПР 01-02.22'!$A$11:$BB$378,41,FALSE)</f>
        <v>0</v>
      </c>
      <c r="AP273" s="40"/>
      <c r="AQ273" s="5">
        <f>VLOOKUP($A273,'ПР 01-02.21'!$A$11:$BB$406,43,FALSE)+VLOOKUP($A273,'ПР 21-22'!$A$11:$BB$406,43,FALSE)-VLOOKUP($A273,'ПР 01-02.22'!$A$11:$BB$378,43,FALSE)</f>
        <v>2499.7849063102835</v>
      </c>
      <c r="AR273" s="5">
        <f>VLOOKUP($A273,'ПР 01-02.21'!$A$11:$BB$406,44,FALSE)+VLOOKUP($A273,'ПР 21-22'!$A$11:$BB$406,44,FALSE)-VLOOKUP($A273,'ПР 01-02.22'!$A$11:$BB$378,44,FALSE)</f>
        <v>0</v>
      </c>
      <c r="AS273" s="40"/>
      <c r="AT273" s="5">
        <f>VLOOKUP($A273,'ПР 01-02.21'!$A$11:$BB$406,46,FALSE)+VLOOKUP($A273,'ПР 21-22'!$A$11:$BB$406,46,FALSE)-VLOOKUP($A273,'ПР 01-02.22'!$A$11:$BB$378,46,FALSE)</f>
        <v>4000.5222412575567</v>
      </c>
      <c r="AU273" s="5">
        <f>VLOOKUP($A273,'ПР 01-02.21'!$A$11:$BB$406,47,FALSE)+VLOOKUP($A273,'ПР 21-22'!$A$11:$BB$406,47,FALSE)-VLOOKUP($A273,'ПР 01-02.22'!$A$11:$BB$378,47,FALSE)</f>
        <v>967</v>
      </c>
      <c r="AV273" s="40"/>
      <c r="AW273" s="5">
        <f>VLOOKUP($A273,'ПР 01-02.21'!$A$11:$BB$406,49,FALSE)+VLOOKUP($A273,'ПР 21-22'!$A$11:$BB$406,49,FALSE)-VLOOKUP($A273,'ПР 01-02.22'!$A$11:$BB$378,49,FALSE)</f>
        <v>229.08799999999999</v>
      </c>
      <c r="AX273" s="5">
        <f>VLOOKUP($A273,'ПР 01-02.21'!$A$11:$BB$406,50,FALSE)+VLOOKUP($A273,'ПР 21-22'!$A$11:$BB$406,50,FALSE)-VLOOKUP($A273,'ПР 01-02.22'!$A$11:$BB$378,50,FALSE)</f>
        <v>0</v>
      </c>
      <c r="AY273" s="40"/>
      <c r="AZ273" s="40">
        <f t="shared" si="17"/>
        <v>19371.597948223767</v>
      </c>
      <c r="BA273" s="40">
        <f t="shared" si="17"/>
        <v>13676.09</v>
      </c>
      <c r="BB273" s="55">
        <f t="shared" si="20"/>
        <v>-5695.507948223767</v>
      </c>
      <c r="BD273" s="2">
        <v>3</v>
      </c>
      <c r="BF273" s="325">
        <v>150000711</v>
      </c>
    </row>
    <row r="274" spans="1:58" ht="24.9" customHeight="1" x14ac:dyDescent="0.3">
      <c r="A274" s="325">
        <v>150000712</v>
      </c>
      <c r="B274" s="445" t="s">
        <v>281</v>
      </c>
      <c r="C274" s="27">
        <v>5</v>
      </c>
      <c r="D274" s="101" t="s">
        <v>455</v>
      </c>
      <c r="E274" s="279">
        <f>'побудинковий звіт'!E272</f>
        <v>3208.93</v>
      </c>
      <c r="F274" s="441">
        <f>'побудинковий звіт'!AS272</f>
        <v>33868.591186593039</v>
      </c>
      <c r="G274" s="441">
        <f t="shared" si="18"/>
        <v>64648.41</v>
      </c>
      <c r="H274" s="73">
        <f t="shared" si="19"/>
        <v>30779.818813406964</v>
      </c>
      <c r="I274" s="5">
        <f>VLOOKUP($A274,'ПР 01-02.21'!$A$11:$BB$406,9,FALSE)+VLOOKUP($A274,'ПР 21-22'!$A$11:$BB$406,9,FALSE)-VLOOKUP($A274,'ПР 01-02.22'!$A$11:$BB$378,9,FALSE)</f>
        <v>0</v>
      </c>
      <c r="J274" s="5">
        <f>VLOOKUP($A274,'ПР 01-02.21'!$A$11:$BB$406,10,FALSE)+VLOOKUP($A274,'ПР 21-22'!$A$11:$BB$406,10,FALSE)-VLOOKUP($A274,'ПР 01-02.22'!$A$11:$BB$378,10,FALSE)</f>
        <v>0</v>
      </c>
      <c r="K274" s="446"/>
      <c r="L274" s="5">
        <f>VLOOKUP($A274,'ПР 01-02.21'!$A$11:$BB$406,12,FALSE)+VLOOKUP($A274,'ПР 21-22'!$A$11:$BB$406,12,FALSE)-VLOOKUP($A274,'ПР 01-02.22'!$A$11:$BB$378,12,FALSE)</f>
        <v>1</v>
      </c>
      <c r="M274" s="5">
        <f>VLOOKUP($A274,'ПР 01-02.21'!$A$11:$BB$406,13,FALSE)+VLOOKUP($A274,'ПР 21-22'!$A$11:$BB$406,13,FALSE)-VLOOKUP($A274,'ПР 01-02.22'!$A$11:$BB$378,13,FALSE)</f>
        <v>44277</v>
      </c>
      <c r="N274" s="38"/>
      <c r="O274" s="5">
        <f>VLOOKUP($A274,'ПР 01-02.21'!$A$11:$BB$406,15,FALSE)+VLOOKUP($A274,'ПР 21-22'!$A$11:$BB$406,15,FALSE)-VLOOKUP($A274,'ПР 01-02.22'!$A$11:$BB$378,15,FALSE)</f>
        <v>0</v>
      </c>
      <c r="P274" s="5">
        <f>VLOOKUP($A274,'ПР 01-02.21'!$A$11:$BB$406,16,FALSE)+VLOOKUP($A274,'ПР 21-22'!$A$11:$BB$406,16,FALSE)-VLOOKUP($A274,'ПР 01-02.22'!$A$11:$BB$378,16,FALSE)</f>
        <v>0</v>
      </c>
      <c r="Q274" s="443"/>
      <c r="R274" s="5">
        <f>VLOOKUP($A274,'ПР 01-02.21'!$A$11:$BB$406,18,FALSE)+VLOOKUP($A274,'ПР 21-22'!$A$11:$BB$406,18,FALSE)-VLOOKUP($A274,'ПР 01-02.22'!$A$11:$BB$378,18,FALSE)</f>
        <v>0</v>
      </c>
      <c r="S274" s="5">
        <f>VLOOKUP($A274,'ПР 01-02.21'!$A$11:$BB$406,19,FALSE)+VLOOKUP($A274,'ПР 21-22'!$A$11:$BB$406,19,FALSE)-VLOOKUP($A274,'ПР 01-02.22'!$A$11:$BB$378,19,FALSE)</f>
        <v>0</v>
      </c>
      <c r="T274" s="444"/>
      <c r="U274" s="5">
        <f>VLOOKUP($A274,'ПР 01-02.21'!$A$11:$BB$406,21,FALSE)+VLOOKUP($A274,'ПР 21-22'!$A$11:$BB$406,21,FALSE)-VLOOKUP($A274,'ПР 01-02.22'!$A$11:$BB$378,21,FALSE)</f>
        <v>0</v>
      </c>
      <c r="V274" s="5"/>
      <c r="W274" s="5">
        <f>VLOOKUP($A274,'ПР 01-02.21'!$A$11:$BB$406,23,FALSE)+VLOOKUP($A274,'ПР 21-22'!$A$11:$BB$406,23,FALSE)-VLOOKUP($A274,'ПР 01-02.22'!$A$11:$BB$378,23,FALSE)</f>
        <v>7</v>
      </c>
      <c r="X274" s="5">
        <f>VLOOKUP($A274,'ПР 01-02.21'!$A$11:$BB$406,24,FALSE)+VLOOKUP($A274,'ПР 21-22'!$A$11:$BB$406,24,FALSE)-VLOOKUP($A274,'ПР 01-02.22'!$A$11:$BB$378,24,FALSE)</f>
        <v>1743</v>
      </c>
      <c r="Y274" s="5">
        <f>VLOOKUP($A274,'ПР 01-02.21'!$A$11:$BB$406,25,FALSE)+VLOOKUP($A274,'ПР 21-22'!$A$11:$BB$406,25,FALSE)-VLOOKUP($A274,'ПР 01-02.22'!$A$11:$BB$378,25,FALSE)</f>
        <v>11341.41</v>
      </c>
      <c r="Z274" s="5"/>
      <c r="AA274" s="5">
        <f>VLOOKUP($A274,'ПР 01-02.21'!$A$11:$BB$406,27,FALSE)+VLOOKUP($A274,'ПР 21-22'!$A$11:$BB$406,27,FALSE)-VLOOKUP($A274,'ПР 01-02.22'!$A$11:$BB$378,27,FALSE)</f>
        <v>0</v>
      </c>
      <c r="AB274" s="5">
        <f>VLOOKUP($A274,'ПР 01-02.21'!$A$11:$BB$406,28,FALSE)+VLOOKUP($A274,'ПР 21-22'!$A$11:$BB$406,28,FALSE)-VLOOKUP($A274,'ПР 01-02.22'!$A$11:$BB$378,28,FALSE)</f>
        <v>0</v>
      </c>
      <c r="AC274" s="5">
        <f>VLOOKUP($A274,'ПР 01-02.21'!$A$11:$BB$406,29,FALSE)+VLOOKUP($A274,'ПР 21-22'!$A$11:$BB$406,29,FALSE)-VLOOKUP($A274,'ПР 01-02.22'!$A$11:$BB$378,29,FALSE)</f>
        <v>4037</v>
      </c>
      <c r="AD274" s="5">
        <f>VLOOKUP($A274,'ПР 01-02.21'!$A$11:$BB$406,30,FALSE)+VLOOKUP($A274,'ПР 21-22'!$A$11:$BB$406,30,FALSE)-VLOOKUP($A274,'ПР 01-02.22'!$A$11:$BB$378,30,FALSE)</f>
        <v>3250</v>
      </c>
      <c r="AE274" s="5">
        <f>VLOOKUP($A274,'ПР 01-02.21'!$A$11:$BB$406,31,FALSE)+VLOOKUP($A274,'ПР 21-22'!$A$11:$BB$406,31,FALSE)-VLOOKUP($A274,'ПР 01-02.22'!$A$11:$BB$378,31,FALSE)</f>
        <v>2933.5587970918441</v>
      </c>
      <c r="AF274" s="5">
        <f>VLOOKUP($A274,'ПР 01-02.21'!$A$11:$BB$406,32,FALSE)+VLOOKUP($A274,'ПР 21-22'!$A$11:$BB$406,32,FALSE)-VLOOKUP($A274,'ПР 01-02.22'!$A$11:$BB$378,32,FALSE)</f>
        <v>577</v>
      </c>
      <c r="AG274" s="40"/>
      <c r="AH274" s="5">
        <f>VLOOKUP($A274,'ПР 01-02.21'!$A$11:$BB$406,34,FALSE)+VLOOKUP($A274,'ПР 21-22'!$A$11:$BB$406,34,FALSE)-VLOOKUP($A274,'ПР 01-02.22'!$A$11:$BB$378,34,FALSE)</f>
        <v>4169.7843698321703</v>
      </c>
      <c r="AI274" s="5">
        <f>VLOOKUP($A274,'ПР 01-02.21'!$A$11:$BB$406,35,FALSE)+VLOOKUP($A274,'ПР 21-22'!$A$11:$BB$406,35,FALSE)-VLOOKUP($A274,'ПР 01-02.22'!$A$11:$BB$378,35,FALSE)</f>
        <v>6615</v>
      </c>
      <c r="AJ274" s="40"/>
      <c r="AK274" s="5">
        <f>VLOOKUP($A274,'ПР 01-02.21'!$A$11:$BB$406,37,FALSE)+VLOOKUP($A274,'ПР 21-22'!$A$11:$BB$406,37,FALSE)-VLOOKUP($A274,'ПР 01-02.22'!$A$11:$BB$378,37,FALSE)</f>
        <v>1537.1016549281189</v>
      </c>
      <c r="AL274" s="5">
        <f>VLOOKUP($A274,'ПР 01-02.21'!$A$11:$BB$406,38,FALSE)+VLOOKUP($A274,'ПР 21-22'!$A$11:$BB$406,38,FALSE)-VLOOKUP($A274,'ПР 01-02.22'!$A$11:$BB$378,38,FALSE)</f>
        <v>3139</v>
      </c>
      <c r="AM274" s="40"/>
      <c r="AN274" s="5">
        <f>VLOOKUP($A274,'ПР 01-02.21'!$A$11:$BB$406,40,FALSE)+VLOOKUP($A274,'ПР 21-22'!$A$11:$BB$406,40,FALSE)-VLOOKUP($A274,'ПР 01-02.22'!$A$11:$BB$378,40,FALSE)</f>
        <v>0</v>
      </c>
      <c r="AO274" s="5">
        <f>VLOOKUP($A274,'ПР 01-02.21'!$A$11:$BB$406,41,FALSE)+VLOOKUP($A274,'ПР 21-22'!$A$11:$BB$406,41,FALSE)-VLOOKUP($A274,'ПР 01-02.22'!$A$11:$BB$378,41,FALSE)</f>
        <v>0</v>
      </c>
      <c r="AP274" s="40"/>
      <c r="AQ274" s="5">
        <f>VLOOKUP($A274,'ПР 01-02.21'!$A$11:$BB$406,43,FALSE)+VLOOKUP($A274,'ПР 21-22'!$A$11:$BB$406,43,FALSE)-VLOOKUP($A274,'ПР 01-02.22'!$A$11:$BB$378,43,FALSE)</f>
        <v>0</v>
      </c>
      <c r="AR274" s="5">
        <f>VLOOKUP($A274,'ПР 01-02.21'!$A$11:$BB$406,44,FALSE)+VLOOKUP($A274,'ПР 21-22'!$A$11:$BB$406,44,FALSE)-VLOOKUP($A274,'ПР 01-02.22'!$A$11:$BB$378,44,FALSE)</f>
        <v>0</v>
      </c>
      <c r="AS274" s="40"/>
      <c r="AT274" s="5">
        <f>VLOOKUP($A274,'ПР 01-02.21'!$A$11:$BB$406,46,FALSE)+VLOOKUP($A274,'ПР 21-22'!$A$11:$BB$406,46,FALSE)-VLOOKUP($A274,'ПР 01-02.22'!$A$11:$BB$378,46,FALSE)</f>
        <v>2090.4932826609829</v>
      </c>
      <c r="AU274" s="5">
        <f>VLOOKUP($A274,'ПР 01-02.21'!$A$11:$BB$406,47,FALSE)+VLOOKUP($A274,'ПР 21-22'!$A$11:$BB$406,47,FALSE)-VLOOKUP($A274,'ПР 01-02.22'!$A$11:$BB$378,47,FALSE)</f>
        <v>408</v>
      </c>
      <c r="AV274" s="40"/>
      <c r="AW274" s="5">
        <f>VLOOKUP($A274,'ПР 01-02.21'!$A$11:$BB$406,49,FALSE)+VLOOKUP($A274,'ПР 21-22'!$A$11:$BB$406,49,FALSE)-VLOOKUP($A274,'ПР 01-02.22'!$A$11:$BB$378,49,FALSE)</f>
        <v>160.35720000000001</v>
      </c>
      <c r="AX274" s="5">
        <f>VLOOKUP($A274,'ПР 01-02.21'!$A$11:$BB$406,50,FALSE)+VLOOKUP($A274,'ПР 21-22'!$A$11:$BB$406,50,FALSE)-VLOOKUP($A274,'ПР 01-02.22'!$A$11:$BB$378,50,FALSE)</f>
        <v>0</v>
      </c>
      <c r="AY274" s="40"/>
      <c r="AZ274" s="40">
        <f t="shared" si="17"/>
        <v>10891.295304513116</v>
      </c>
      <c r="BA274" s="40">
        <f t="shared" si="17"/>
        <v>10739</v>
      </c>
      <c r="BB274" s="55">
        <f t="shared" si="20"/>
        <v>-152.29530451311621</v>
      </c>
      <c r="BD274" s="2">
        <v>3</v>
      </c>
      <c r="BF274" s="325">
        <v>150000712</v>
      </c>
    </row>
    <row r="275" spans="1:58" ht="24.9" customHeight="1" x14ac:dyDescent="0.3">
      <c r="A275" s="325">
        <v>150000713</v>
      </c>
      <c r="B275" s="445" t="s">
        <v>282</v>
      </c>
      <c r="C275" s="27">
        <v>5</v>
      </c>
      <c r="D275" s="101" t="s">
        <v>455</v>
      </c>
      <c r="E275" s="279">
        <f>'побудинковий звіт'!E273</f>
        <v>6256.6</v>
      </c>
      <c r="F275" s="441">
        <f>'побудинковий звіт'!AS273</f>
        <v>73609.093719735029</v>
      </c>
      <c r="G275" s="441">
        <f t="shared" si="18"/>
        <v>34032.239999999998</v>
      </c>
      <c r="H275" s="73">
        <f t="shared" si="19"/>
        <v>-39576.853719735031</v>
      </c>
      <c r="I275" s="5">
        <f>VLOOKUP($A275,'ПР 01-02.21'!$A$11:$BB$406,9,FALSE)+VLOOKUP($A275,'ПР 21-22'!$A$11:$BB$406,9,FALSE)-VLOOKUP($A275,'ПР 01-02.22'!$A$11:$BB$378,9,FALSE)</f>
        <v>0</v>
      </c>
      <c r="J275" s="5">
        <f>VLOOKUP($A275,'ПР 01-02.21'!$A$11:$BB$406,10,FALSE)+VLOOKUP($A275,'ПР 21-22'!$A$11:$BB$406,10,FALSE)-VLOOKUP($A275,'ПР 01-02.22'!$A$11:$BB$378,10,FALSE)</f>
        <v>0</v>
      </c>
      <c r="K275" s="446"/>
      <c r="L275" s="5">
        <f>VLOOKUP($A275,'ПР 01-02.21'!$A$11:$BB$406,12,FALSE)+VLOOKUP($A275,'ПР 21-22'!$A$11:$BB$406,12,FALSE)-VLOOKUP($A275,'ПР 01-02.22'!$A$11:$BB$378,12,FALSE)</f>
        <v>0</v>
      </c>
      <c r="M275" s="5">
        <f>VLOOKUP($A275,'ПР 01-02.21'!$A$11:$BB$406,13,FALSE)+VLOOKUP($A275,'ПР 21-22'!$A$11:$BB$406,13,FALSE)-VLOOKUP($A275,'ПР 01-02.22'!$A$11:$BB$378,13,FALSE)</f>
        <v>0</v>
      </c>
      <c r="N275" s="38"/>
      <c r="O275" s="5">
        <f>VLOOKUP($A275,'ПР 01-02.21'!$A$11:$BB$406,15,FALSE)+VLOOKUP($A275,'ПР 21-22'!$A$11:$BB$406,15,FALSE)-VLOOKUP($A275,'ПР 01-02.22'!$A$11:$BB$378,15,FALSE)</f>
        <v>0</v>
      </c>
      <c r="P275" s="5">
        <f>VLOOKUP($A275,'ПР 01-02.21'!$A$11:$BB$406,16,FALSE)+VLOOKUP($A275,'ПР 21-22'!$A$11:$BB$406,16,FALSE)-VLOOKUP($A275,'ПР 01-02.22'!$A$11:$BB$378,16,FALSE)</f>
        <v>0</v>
      </c>
      <c r="Q275" s="443"/>
      <c r="R275" s="5">
        <f>VLOOKUP($A275,'ПР 01-02.21'!$A$11:$BB$406,18,FALSE)+VLOOKUP($A275,'ПР 21-22'!$A$11:$BB$406,18,FALSE)-VLOOKUP($A275,'ПР 01-02.22'!$A$11:$BB$378,18,FALSE)</f>
        <v>0</v>
      </c>
      <c r="S275" s="5">
        <f>VLOOKUP($A275,'ПР 01-02.21'!$A$11:$BB$406,19,FALSE)+VLOOKUP($A275,'ПР 21-22'!$A$11:$BB$406,19,FALSE)-VLOOKUP($A275,'ПР 01-02.22'!$A$11:$BB$378,19,FALSE)</f>
        <v>0</v>
      </c>
      <c r="T275" s="444"/>
      <c r="U275" s="5">
        <f>VLOOKUP($A275,'ПР 01-02.21'!$A$11:$BB$406,21,FALSE)+VLOOKUP($A275,'ПР 21-22'!$A$11:$BB$406,21,FALSE)-VLOOKUP($A275,'ПР 01-02.22'!$A$11:$BB$378,21,FALSE)</f>
        <v>0</v>
      </c>
      <c r="V275" s="5"/>
      <c r="W275" s="5">
        <f>VLOOKUP($A275,'ПР 01-02.21'!$A$11:$BB$406,23,FALSE)+VLOOKUP($A275,'ПР 21-22'!$A$11:$BB$406,23,FALSE)-VLOOKUP($A275,'ПР 01-02.22'!$A$11:$BB$378,23,FALSE)</f>
        <v>12</v>
      </c>
      <c r="X275" s="5">
        <f>VLOOKUP($A275,'ПР 01-02.21'!$A$11:$BB$406,24,FALSE)+VLOOKUP($A275,'ПР 21-22'!$A$11:$BB$406,24,FALSE)-VLOOKUP($A275,'ПР 01-02.22'!$A$11:$BB$378,24,FALSE)</f>
        <v>5628</v>
      </c>
      <c r="Y275" s="5">
        <f>VLOOKUP($A275,'ПР 01-02.21'!$A$11:$BB$406,25,FALSE)+VLOOKUP($A275,'ПР 21-22'!$A$11:$BB$406,25,FALSE)-VLOOKUP($A275,'ПР 01-02.22'!$A$11:$BB$378,25,FALSE)</f>
        <v>8273.64</v>
      </c>
      <c r="Z275" s="5"/>
      <c r="AA275" s="5">
        <f>VLOOKUP($A275,'ПР 01-02.21'!$A$11:$BB$406,27,FALSE)+VLOOKUP($A275,'ПР 21-22'!$A$11:$BB$406,27,FALSE)-VLOOKUP($A275,'ПР 01-02.22'!$A$11:$BB$378,27,FALSE)</f>
        <v>0</v>
      </c>
      <c r="AB275" s="5">
        <f>VLOOKUP($A275,'ПР 01-02.21'!$A$11:$BB$406,28,FALSE)+VLOOKUP($A275,'ПР 21-22'!$A$11:$BB$406,28,FALSE)-VLOOKUP($A275,'ПР 01-02.22'!$A$11:$BB$378,28,FALSE)</f>
        <v>2519.6</v>
      </c>
      <c r="AC275" s="5">
        <f>VLOOKUP($A275,'ПР 01-02.21'!$A$11:$BB$406,29,FALSE)+VLOOKUP($A275,'ПР 21-22'!$A$11:$BB$406,29,FALSE)-VLOOKUP($A275,'ПР 01-02.22'!$A$11:$BB$378,29,FALSE)</f>
        <v>5676</v>
      </c>
      <c r="AD275" s="5">
        <f>VLOOKUP($A275,'ПР 01-02.21'!$A$11:$BB$406,30,FALSE)+VLOOKUP($A275,'ПР 21-22'!$A$11:$BB$406,30,FALSE)-VLOOKUP($A275,'ПР 01-02.22'!$A$11:$BB$378,30,FALSE)</f>
        <v>11935</v>
      </c>
      <c r="AE275" s="5">
        <f>VLOOKUP($A275,'ПР 01-02.21'!$A$11:$BB$406,31,FALSE)+VLOOKUP($A275,'ПР 21-22'!$A$11:$BB$406,31,FALSE)-VLOOKUP($A275,'ПР 01-02.22'!$A$11:$BB$378,31,FALSE)</f>
        <v>5647.5834604485171</v>
      </c>
      <c r="AF275" s="5">
        <f>VLOOKUP($A275,'ПР 01-02.21'!$A$11:$BB$406,32,FALSE)+VLOOKUP($A275,'ПР 21-22'!$A$11:$BB$406,32,FALSE)-VLOOKUP($A275,'ПР 01-02.22'!$A$11:$BB$378,32,FALSE)</f>
        <v>1489.04</v>
      </c>
      <c r="AG275" s="40"/>
      <c r="AH275" s="5">
        <f>VLOOKUP($A275,'ПР 01-02.21'!$A$11:$BB$406,34,FALSE)+VLOOKUP($A275,'ПР 21-22'!$A$11:$BB$406,34,FALSE)-VLOOKUP($A275,'ПР 01-02.22'!$A$11:$BB$378,34,FALSE)</f>
        <v>8287.4131406504403</v>
      </c>
      <c r="AI275" s="5">
        <f>VLOOKUP($A275,'ПР 01-02.21'!$A$11:$BB$406,35,FALSE)+VLOOKUP($A275,'ПР 21-22'!$A$11:$BB$406,35,FALSE)-VLOOKUP($A275,'ПР 01-02.22'!$A$11:$BB$378,35,FALSE)</f>
        <v>3461</v>
      </c>
      <c r="AJ275" s="40"/>
      <c r="AK275" s="5">
        <f>VLOOKUP($A275,'ПР 01-02.21'!$A$11:$BB$406,37,FALSE)+VLOOKUP($A275,'ПР 21-22'!$A$11:$BB$406,37,FALSE)-VLOOKUP($A275,'ПР 01-02.22'!$A$11:$BB$378,37,FALSE)</f>
        <v>2912.4052675485668</v>
      </c>
      <c r="AL275" s="5">
        <f>VLOOKUP($A275,'ПР 01-02.21'!$A$11:$BB$406,38,FALSE)+VLOOKUP($A275,'ПР 21-22'!$A$11:$BB$406,38,FALSE)-VLOOKUP($A275,'ПР 01-02.22'!$A$11:$BB$378,38,FALSE)</f>
        <v>3139</v>
      </c>
      <c r="AM275" s="40"/>
      <c r="AN275" s="5">
        <f>VLOOKUP($A275,'ПР 01-02.21'!$A$11:$BB$406,40,FALSE)+VLOOKUP($A275,'ПР 21-22'!$A$11:$BB$406,40,FALSE)-VLOOKUP($A275,'ПР 01-02.22'!$A$11:$BB$378,40,FALSE)</f>
        <v>0</v>
      </c>
      <c r="AO275" s="5">
        <f>VLOOKUP($A275,'ПР 01-02.21'!$A$11:$BB$406,41,FALSE)+VLOOKUP($A275,'ПР 21-22'!$A$11:$BB$406,41,FALSE)-VLOOKUP($A275,'ПР 01-02.22'!$A$11:$BB$378,41,FALSE)</f>
        <v>0</v>
      </c>
      <c r="AP275" s="40"/>
      <c r="AQ275" s="5">
        <f>VLOOKUP($A275,'ПР 01-02.21'!$A$11:$BB$406,43,FALSE)+VLOOKUP($A275,'ПР 21-22'!$A$11:$BB$406,43,FALSE)-VLOOKUP($A275,'ПР 01-02.22'!$A$11:$BB$378,43,FALSE)</f>
        <v>3869.5334694266958</v>
      </c>
      <c r="AR275" s="5">
        <f>VLOOKUP($A275,'ПР 01-02.21'!$A$11:$BB$406,44,FALSE)+VLOOKUP($A275,'ПР 21-22'!$A$11:$BB$406,44,FALSE)-VLOOKUP($A275,'ПР 01-02.22'!$A$11:$BB$378,44,FALSE)</f>
        <v>0</v>
      </c>
      <c r="AS275" s="40"/>
      <c r="AT275" s="5">
        <f>VLOOKUP($A275,'ПР 01-02.21'!$A$11:$BB$406,46,FALSE)+VLOOKUP($A275,'ПР 21-22'!$A$11:$BB$406,46,FALSE)-VLOOKUP($A275,'ПР 01-02.22'!$A$11:$BB$378,46,FALSE)</f>
        <v>6642.3248788832689</v>
      </c>
      <c r="AU275" s="5">
        <f>VLOOKUP($A275,'ПР 01-02.21'!$A$11:$BB$406,47,FALSE)+VLOOKUP($A275,'ПР 21-22'!$A$11:$BB$406,47,FALSE)-VLOOKUP($A275,'ПР 01-02.22'!$A$11:$BB$378,47,FALSE)</f>
        <v>0</v>
      </c>
      <c r="AV275" s="40"/>
      <c r="AW275" s="5">
        <f>VLOOKUP($A275,'ПР 01-02.21'!$A$11:$BB$406,49,FALSE)+VLOOKUP($A275,'ПР 21-22'!$A$11:$BB$406,49,FALSE)-VLOOKUP($A275,'ПР 01-02.22'!$A$11:$BB$378,49,FALSE)</f>
        <v>310.15999999999997</v>
      </c>
      <c r="AX275" s="5">
        <f>VLOOKUP($A275,'ПР 01-02.21'!$A$11:$BB$406,50,FALSE)+VLOOKUP($A275,'ПР 21-22'!$A$11:$BB$406,50,FALSE)-VLOOKUP($A275,'ПР 01-02.22'!$A$11:$BB$378,50,FALSE)</f>
        <v>0</v>
      </c>
      <c r="AY275" s="40"/>
      <c r="AZ275" s="40">
        <f t="shared" si="17"/>
        <v>27669.420216957489</v>
      </c>
      <c r="BA275" s="40">
        <f t="shared" si="17"/>
        <v>8089.04</v>
      </c>
      <c r="BB275" s="55">
        <f t="shared" si="20"/>
        <v>-19580.380216957488</v>
      </c>
      <c r="BD275" s="2">
        <v>3</v>
      </c>
      <c r="BF275" s="325">
        <v>150000713</v>
      </c>
    </row>
    <row r="276" spans="1:58" ht="24.9" customHeight="1" x14ac:dyDescent="0.3">
      <c r="A276" s="325">
        <v>150000714</v>
      </c>
      <c r="B276" s="445" t="s">
        <v>283</v>
      </c>
      <c r="C276" s="27">
        <v>5</v>
      </c>
      <c r="D276" s="101" t="s">
        <v>455</v>
      </c>
      <c r="E276" s="279">
        <f>'побудинковий звіт'!E274</f>
        <v>2767.8</v>
      </c>
      <c r="F276" s="441">
        <f>'побудинковий звіт'!AS274</f>
        <v>37695.398397333971</v>
      </c>
      <c r="G276" s="441">
        <f t="shared" si="18"/>
        <v>7770.9400000000005</v>
      </c>
      <c r="H276" s="73">
        <f t="shared" si="19"/>
        <v>-29924.458397333969</v>
      </c>
      <c r="I276" s="5">
        <f>VLOOKUP($A276,'ПР 01-02.21'!$A$11:$BB$406,9,FALSE)+VLOOKUP($A276,'ПР 21-22'!$A$11:$BB$406,9,FALSE)-VLOOKUP($A276,'ПР 01-02.22'!$A$11:$BB$378,9,FALSE)</f>
        <v>26.1</v>
      </c>
      <c r="J276" s="5">
        <f>VLOOKUP($A276,'ПР 01-02.21'!$A$11:$BB$406,10,FALSE)+VLOOKUP($A276,'ПР 21-22'!$A$11:$BB$406,10,FALSE)-VLOOKUP($A276,'ПР 01-02.22'!$A$11:$BB$378,10,FALSE)</f>
        <v>6191</v>
      </c>
      <c r="K276" s="446"/>
      <c r="L276" s="5">
        <f>VLOOKUP($A276,'ПР 01-02.21'!$A$11:$BB$406,12,FALSE)+VLOOKUP($A276,'ПР 21-22'!$A$11:$BB$406,12,FALSE)-VLOOKUP($A276,'ПР 01-02.22'!$A$11:$BB$378,12,FALSE)</f>
        <v>0</v>
      </c>
      <c r="M276" s="5">
        <f>VLOOKUP($A276,'ПР 01-02.21'!$A$11:$BB$406,13,FALSE)+VLOOKUP($A276,'ПР 21-22'!$A$11:$BB$406,13,FALSE)-VLOOKUP($A276,'ПР 01-02.22'!$A$11:$BB$378,13,FALSE)</f>
        <v>0</v>
      </c>
      <c r="N276" s="38"/>
      <c r="O276" s="5">
        <f>VLOOKUP($A276,'ПР 01-02.21'!$A$11:$BB$406,15,FALSE)+VLOOKUP($A276,'ПР 21-22'!$A$11:$BB$406,15,FALSE)-VLOOKUP($A276,'ПР 01-02.22'!$A$11:$BB$378,15,FALSE)</f>
        <v>0</v>
      </c>
      <c r="P276" s="5">
        <f>VLOOKUP($A276,'ПР 01-02.21'!$A$11:$BB$406,16,FALSE)+VLOOKUP($A276,'ПР 21-22'!$A$11:$BB$406,16,FALSE)-VLOOKUP($A276,'ПР 01-02.22'!$A$11:$BB$378,16,FALSE)</f>
        <v>0</v>
      </c>
      <c r="Q276" s="443"/>
      <c r="R276" s="5">
        <f>VLOOKUP($A276,'ПР 01-02.21'!$A$11:$BB$406,18,FALSE)+VLOOKUP($A276,'ПР 21-22'!$A$11:$BB$406,18,FALSE)-VLOOKUP($A276,'ПР 01-02.22'!$A$11:$BB$378,18,FALSE)</f>
        <v>0</v>
      </c>
      <c r="S276" s="5">
        <f>VLOOKUP($A276,'ПР 01-02.21'!$A$11:$BB$406,19,FALSE)+VLOOKUP($A276,'ПР 21-22'!$A$11:$BB$406,19,FALSE)-VLOOKUP($A276,'ПР 01-02.22'!$A$11:$BB$378,19,FALSE)</f>
        <v>0</v>
      </c>
      <c r="T276" s="444"/>
      <c r="U276" s="5">
        <f>VLOOKUP($A276,'ПР 01-02.21'!$A$11:$BB$406,21,FALSE)+VLOOKUP($A276,'ПР 21-22'!$A$11:$BB$406,21,FALSE)-VLOOKUP($A276,'ПР 01-02.22'!$A$11:$BB$378,21,FALSE)</f>
        <v>0</v>
      </c>
      <c r="V276" s="5"/>
      <c r="W276" s="5">
        <f>VLOOKUP($A276,'ПР 01-02.21'!$A$11:$BB$406,23,FALSE)+VLOOKUP($A276,'ПР 21-22'!$A$11:$BB$406,23,FALSE)-VLOOKUP($A276,'ПР 01-02.22'!$A$11:$BB$378,23,FALSE)</f>
        <v>0</v>
      </c>
      <c r="X276" s="5">
        <f>VLOOKUP($A276,'ПР 01-02.21'!$A$11:$BB$406,24,FALSE)+VLOOKUP($A276,'ПР 21-22'!$A$11:$BB$406,24,FALSE)-VLOOKUP($A276,'ПР 01-02.22'!$A$11:$BB$378,24,FALSE)</f>
        <v>0</v>
      </c>
      <c r="Y276" s="5">
        <f>VLOOKUP($A276,'ПР 01-02.21'!$A$11:$BB$406,25,FALSE)+VLOOKUP($A276,'ПР 21-22'!$A$11:$BB$406,25,FALSE)-VLOOKUP($A276,'ПР 01-02.22'!$A$11:$BB$378,25,FALSE)</f>
        <v>0</v>
      </c>
      <c r="Z276" s="5"/>
      <c r="AA276" s="5">
        <f>VLOOKUP($A276,'ПР 01-02.21'!$A$11:$BB$406,27,FALSE)+VLOOKUP($A276,'ПР 21-22'!$A$11:$BB$406,27,FALSE)-VLOOKUP($A276,'ПР 01-02.22'!$A$11:$BB$378,27,FALSE)</f>
        <v>0</v>
      </c>
      <c r="AB276" s="5">
        <f>VLOOKUP($A276,'ПР 01-02.21'!$A$11:$BB$406,28,FALSE)+VLOOKUP($A276,'ПР 21-22'!$A$11:$BB$406,28,FALSE)-VLOOKUP($A276,'ПР 01-02.22'!$A$11:$BB$378,28,FALSE)</f>
        <v>0</v>
      </c>
      <c r="AC276" s="5">
        <f>VLOOKUP($A276,'ПР 01-02.21'!$A$11:$BB$406,29,FALSE)+VLOOKUP($A276,'ПР 21-22'!$A$11:$BB$406,29,FALSE)-VLOOKUP($A276,'ПР 01-02.22'!$A$11:$BB$378,29,FALSE)</f>
        <v>350.94000000000005</v>
      </c>
      <c r="AD276" s="5">
        <f>VLOOKUP($A276,'ПР 01-02.21'!$A$11:$BB$406,30,FALSE)+VLOOKUP($A276,'ПР 21-22'!$A$11:$BB$406,30,FALSE)-VLOOKUP($A276,'ПР 01-02.22'!$A$11:$BB$378,30,FALSE)</f>
        <v>1229</v>
      </c>
      <c r="AE276" s="5">
        <f>VLOOKUP($A276,'ПР 01-02.21'!$A$11:$BB$406,31,FALSE)+VLOOKUP($A276,'ПР 21-22'!$A$11:$BB$406,31,FALSE)-VLOOKUP($A276,'ПР 01-02.22'!$A$11:$BB$378,31,FALSE)</f>
        <v>2762.9332716579211</v>
      </c>
      <c r="AF276" s="5">
        <f>VLOOKUP($A276,'ПР 01-02.21'!$A$11:$BB$406,32,FALSE)+VLOOKUP($A276,'ПР 21-22'!$A$11:$BB$406,32,FALSE)-VLOOKUP($A276,'ПР 01-02.22'!$A$11:$BB$378,32,FALSE)</f>
        <v>0</v>
      </c>
      <c r="AG276" s="40"/>
      <c r="AH276" s="5">
        <f>VLOOKUP($A276,'ПР 01-02.21'!$A$11:$BB$406,34,FALSE)+VLOOKUP($A276,'ПР 21-22'!$A$11:$BB$406,34,FALSE)-VLOOKUP($A276,'ПР 01-02.22'!$A$11:$BB$378,34,FALSE)</f>
        <v>4072.4872161939902</v>
      </c>
      <c r="AI276" s="5">
        <f>VLOOKUP($A276,'ПР 01-02.21'!$A$11:$BB$406,35,FALSE)+VLOOKUP($A276,'ПР 21-22'!$A$11:$BB$406,35,FALSE)-VLOOKUP($A276,'ПР 01-02.22'!$A$11:$BB$378,35,FALSE)</f>
        <v>0</v>
      </c>
      <c r="AJ276" s="40"/>
      <c r="AK276" s="5">
        <f>VLOOKUP($A276,'ПР 01-02.21'!$A$11:$BB$406,37,FALSE)+VLOOKUP($A276,'ПР 21-22'!$A$11:$BB$406,37,FALSE)-VLOOKUP($A276,'ПР 01-02.22'!$A$11:$BB$378,37,FALSE)</f>
        <v>1297.865783492676</v>
      </c>
      <c r="AL276" s="5">
        <f>VLOOKUP($A276,'ПР 01-02.21'!$A$11:$BB$406,38,FALSE)+VLOOKUP($A276,'ПР 21-22'!$A$11:$BB$406,38,FALSE)-VLOOKUP($A276,'ПР 01-02.22'!$A$11:$BB$378,38,FALSE)</f>
        <v>1079</v>
      </c>
      <c r="AM276" s="40"/>
      <c r="AN276" s="5">
        <f>VLOOKUP($A276,'ПР 01-02.21'!$A$11:$BB$406,40,FALSE)+VLOOKUP($A276,'ПР 21-22'!$A$11:$BB$406,40,FALSE)-VLOOKUP($A276,'ПР 01-02.22'!$A$11:$BB$378,40,FALSE)</f>
        <v>0</v>
      </c>
      <c r="AO276" s="5">
        <f>VLOOKUP($A276,'ПР 01-02.21'!$A$11:$BB$406,41,FALSE)+VLOOKUP($A276,'ПР 21-22'!$A$11:$BB$406,41,FALSE)-VLOOKUP($A276,'ПР 01-02.22'!$A$11:$BB$378,41,FALSE)</f>
        <v>0</v>
      </c>
      <c r="AP276" s="40"/>
      <c r="AQ276" s="5">
        <f>VLOOKUP($A276,'ПР 01-02.21'!$A$11:$BB$406,43,FALSE)+VLOOKUP($A276,'ПР 21-22'!$A$11:$BB$406,43,FALSE)-VLOOKUP($A276,'ПР 01-02.22'!$A$11:$BB$378,43,FALSE)</f>
        <v>0</v>
      </c>
      <c r="AR276" s="5">
        <f>VLOOKUP($A276,'ПР 01-02.21'!$A$11:$BB$406,44,FALSE)+VLOOKUP($A276,'ПР 21-22'!$A$11:$BB$406,44,FALSE)-VLOOKUP($A276,'ПР 01-02.22'!$A$11:$BB$378,44,FALSE)</f>
        <v>0</v>
      </c>
      <c r="AS276" s="40"/>
      <c r="AT276" s="5">
        <f>VLOOKUP($A276,'ПР 01-02.21'!$A$11:$BB$406,46,FALSE)+VLOOKUP($A276,'ПР 21-22'!$A$11:$BB$406,46,FALSE)-VLOOKUP($A276,'ПР 01-02.22'!$A$11:$BB$378,46,FALSE)</f>
        <v>1897.1862780844945</v>
      </c>
      <c r="AU276" s="5">
        <f>VLOOKUP($A276,'ПР 01-02.21'!$A$11:$BB$406,47,FALSE)+VLOOKUP($A276,'ПР 21-22'!$A$11:$BB$406,47,FALSE)-VLOOKUP($A276,'ПР 01-02.22'!$A$11:$BB$378,47,FALSE)</f>
        <v>3971</v>
      </c>
      <c r="AV276" s="40"/>
      <c r="AW276" s="5">
        <f>VLOOKUP($A276,'ПР 01-02.21'!$A$11:$BB$406,49,FALSE)+VLOOKUP($A276,'ПР 21-22'!$A$11:$BB$406,49,FALSE)-VLOOKUP($A276,'ПР 01-02.22'!$A$11:$BB$378,49,FALSE)</f>
        <v>138.648</v>
      </c>
      <c r="AX276" s="5">
        <f>VLOOKUP($A276,'ПР 01-02.21'!$A$11:$BB$406,50,FALSE)+VLOOKUP($A276,'ПР 21-22'!$A$11:$BB$406,50,FALSE)-VLOOKUP($A276,'ПР 01-02.22'!$A$11:$BB$378,50,FALSE)</f>
        <v>0</v>
      </c>
      <c r="AY276" s="40"/>
      <c r="AZ276" s="40">
        <f t="shared" si="17"/>
        <v>10169.120549429081</v>
      </c>
      <c r="BA276" s="40">
        <f t="shared" si="17"/>
        <v>5050</v>
      </c>
      <c r="BB276" s="55">
        <f t="shared" si="20"/>
        <v>-5119.1205494290807</v>
      </c>
      <c r="BD276" s="2">
        <v>3</v>
      </c>
      <c r="BF276" s="325">
        <v>150000714</v>
      </c>
    </row>
    <row r="277" spans="1:58" ht="24.9" customHeight="1" x14ac:dyDescent="0.3">
      <c r="A277" s="325">
        <v>150000715</v>
      </c>
      <c r="B277" s="445" t="s">
        <v>284</v>
      </c>
      <c r="C277" s="27">
        <v>5</v>
      </c>
      <c r="D277" s="101" t="s">
        <v>455</v>
      </c>
      <c r="E277" s="279">
        <f>'побудинковий звіт'!E275</f>
        <v>4580.3</v>
      </c>
      <c r="F277" s="441">
        <f>'побудинковий звіт'!AS275</f>
        <v>53968.840797209596</v>
      </c>
      <c r="G277" s="441">
        <f t="shared" si="18"/>
        <v>94861.560000000012</v>
      </c>
      <c r="H277" s="73">
        <f t="shared" si="19"/>
        <v>40892.719202790417</v>
      </c>
      <c r="I277" s="5">
        <f>VLOOKUP($A277,'ПР 01-02.21'!$A$11:$BB$406,9,FALSE)+VLOOKUP($A277,'ПР 21-22'!$A$11:$BB$406,9,FALSE)-VLOOKUP($A277,'ПР 01-02.22'!$A$11:$BB$378,9,FALSE)</f>
        <v>376.90000000000003</v>
      </c>
      <c r="J277" s="5">
        <f>VLOOKUP($A277,'ПР 01-02.21'!$A$11:$BB$406,10,FALSE)+VLOOKUP($A277,'ПР 21-22'!$A$11:$BB$406,10,FALSE)-VLOOKUP($A277,'ПР 01-02.22'!$A$11:$BB$378,10,FALSE)</f>
        <v>72182.790000000008</v>
      </c>
      <c r="K277" s="446"/>
      <c r="L277" s="5">
        <f>VLOOKUP($A277,'ПР 01-02.21'!$A$11:$BB$406,12,FALSE)+VLOOKUP($A277,'ПР 21-22'!$A$11:$BB$406,12,FALSE)-VLOOKUP($A277,'ПР 01-02.22'!$A$11:$BB$378,12,FALSE)</f>
        <v>0</v>
      </c>
      <c r="M277" s="5">
        <f>VLOOKUP($A277,'ПР 01-02.21'!$A$11:$BB$406,13,FALSE)+VLOOKUP($A277,'ПР 21-22'!$A$11:$BB$406,13,FALSE)-VLOOKUP($A277,'ПР 01-02.22'!$A$11:$BB$378,13,FALSE)</f>
        <v>4639</v>
      </c>
      <c r="N277" s="38"/>
      <c r="O277" s="5">
        <f>VLOOKUP($A277,'ПР 01-02.21'!$A$11:$BB$406,15,FALSE)+VLOOKUP($A277,'ПР 21-22'!$A$11:$BB$406,15,FALSE)-VLOOKUP($A277,'ПР 01-02.22'!$A$11:$BB$378,15,FALSE)</f>
        <v>0</v>
      </c>
      <c r="P277" s="5">
        <f>VLOOKUP($A277,'ПР 01-02.21'!$A$11:$BB$406,16,FALSE)+VLOOKUP($A277,'ПР 21-22'!$A$11:$BB$406,16,FALSE)-VLOOKUP($A277,'ПР 01-02.22'!$A$11:$BB$378,16,FALSE)</f>
        <v>0</v>
      </c>
      <c r="Q277" s="443"/>
      <c r="R277" s="5">
        <f>VLOOKUP($A277,'ПР 01-02.21'!$A$11:$BB$406,18,FALSE)+VLOOKUP($A277,'ПР 21-22'!$A$11:$BB$406,18,FALSE)-VLOOKUP($A277,'ПР 01-02.22'!$A$11:$BB$378,18,FALSE)</f>
        <v>0</v>
      </c>
      <c r="S277" s="5">
        <f>VLOOKUP($A277,'ПР 01-02.21'!$A$11:$BB$406,19,FALSE)+VLOOKUP($A277,'ПР 21-22'!$A$11:$BB$406,19,FALSE)-VLOOKUP($A277,'ПР 01-02.22'!$A$11:$BB$378,19,FALSE)</f>
        <v>0</v>
      </c>
      <c r="T277" s="444"/>
      <c r="U277" s="5">
        <f>VLOOKUP($A277,'ПР 01-02.21'!$A$11:$BB$406,21,FALSE)+VLOOKUP($A277,'ПР 21-22'!$A$11:$BB$406,21,FALSE)-VLOOKUP($A277,'ПР 01-02.22'!$A$11:$BB$378,21,FALSE)</f>
        <v>0</v>
      </c>
      <c r="V277" s="5"/>
      <c r="W277" s="5">
        <f>VLOOKUP($A277,'ПР 01-02.21'!$A$11:$BB$406,23,FALSE)+VLOOKUP($A277,'ПР 21-22'!$A$11:$BB$406,23,FALSE)-VLOOKUP($A277,'ПР 01-02.22'!$A$11:$BB$378,23,FALSE)</f>
        <v>6</v>
      </c>
      <c r="X277" s="5">
        <f>VLOOKUP($A277,'ПР 01-02.21'!$A$11:$BB$406,24,FALSE)+VLOOKUP($A277,'ПР 21-22'!$A$11:$BB$406,24,FALSE)-VLOOKUP($A277,'ПР 01-02.22'!$A$11:$BB$378,24,FALSE)</f>
        <v>3378.77</v>
      </c>
      <c r="Y277" s="5">
        <f>VLOOKUP($A277,'ПР 01-02.21'!$A$11:$BB$406,25,FALSE)+VLOOKUP($A277,'ПР 21-22'!$A$11:$BB$406,25,FALSE)-VLOOKUP($A277,'ПР 01-02.22'!$A$11:$BB$378,25,FALSE)</f>
        <v>6116</v>
      </c>
      <c r="Z277" s="5"/>
      <c r="AA277" s="5">
        <f>VLOOKUP($A277,'ПР 01-02.21'!$A$11:$BB$406,27,FALSE)+VLOOKUP($A277,'ПР 21-22'!$A$11:$BB$406,27,FALSE)-VLOOKUP($A277,'ПР 01-02.22'!$A$11:$BB$378,27,FALSE)</f>
        <v>0</v>
      </c>
      <c r="AB277" s="5">
        <f>VLOOKUP($A277,'ПР 01-02.21'!$A$11:$BB$406,28,FALSE)+VLOOKUP($A277,'ПР 21-22'!$A$11:$BB$406,28,FALSE)-VLOOKUP($A277,'ПР 01-02.22'!$A$11:$BB$378,28,FALSE)</f>
        <v>0</v>
      </c>
      <c r="AC277" s="5">
        <f>VLOOKUP($A277,'ПР 01-02.21'!$A$11:$BB$406,29,FALSE)+VLOOKUP($A277,'ПР 21-22'!$A$11:$BB$406,29,FALSE)-VLOOKUP($A277,'ПР 01-02.22'!$A$11:$BB$378,29,FALSE)</f>
        <v>113</v>
      </c>
      <c r="AD277" s="5">
        <f>VLOOKUP($A277,'ПР 01-02.21'!$A$11:$BB$406,30,FALSE)+VLOOKUP($A277,'ПР 21-22'!$A$11:$BB$406,30,FALSE)-VLOOKUP($A277,'ПР 01-02.22'!$A$11:$BB$378,30,FALSE)</f>
        <v>8432</v>
      </c>
      <c r="AE277" s="5">
        <f>VLOOKUP($A277,'ПР 01-02.21'!$A$11:$BB$406,31,FALSE)+VLOOKUP($A277,'ПР 21-22'!$A$11:$BB$406,31,FALSE)-VLOOKUP($A277,'ПР 01-02.22'!$A$11:$BB$378,31,FALSE)</f>
        <v>4284.4418823217975</v>
      </c>
      <c r="AF277" s="5">
        <f>VLOOKUP($A277,'ПР 01-02.21'!$A$11:$BB$406,32,FALSE)+VLOOKUP($A277,'ПР 21-22'!$A$11:$BB$406,32,FALSE)-VLOOKUP($A277,'ПР 01-02.22'!$A$11:$BB$378,32,FALSE)</f>
        <v>5624</v>
      </c>
      <c r="AG277" s="40"/>
      <c r="AH277" s="5">
        <f>VLOOKUP($A277,'ПР 01-02.21'!$A$11:$BB$406,34,FALSE)+VLOOKUP($A277,'ПР 21-22'!$A$11:$BB$406,34,FALSE)-VLOOKUP($A277,'ПР 01-02.22'!$A$11:$BB$378,34,FALSE)</f>
        <v>6217.6058094410146</v>
      </c>
      <c r="AI277" s="5">
        <f>VLOOKUP($A277,'ПР 01-02.21'!$A$11:$BB$406,35,FALSE)+VLOOKUP($A277,'ПР 21-22'!$A$11:$BB$406,35,FALSE)-VLOOKUP($A277,'ПР 01-02.22'!$A$11:$BB$378,35,FALSE)</f>
        <v>3978</v>
      </c>
      <c r="AJ277" s="40"/>
      <c r="AK277" s="5">
        <f>VLOOKUP($A277,'ПР 01-02.21'!$A$11:$BB$406,37,FALSE)+VLOOKUP($A277,'ПР 21-22'!$A$11:$BB$406,37,FALSE)-VLOOKUP($A277,'ПР 01-02.22'!$A$11:$BB$378,37,FALSE)</f>
        <v>2196.5850158293683</v>
      </c>
      <c r="AL277" s="5">
        <f>VLOOKUP($A277,'ПР 01-02.21'!$A$11:$BB$406,38,FALSE)+VLOOKUP($A277,'ПР 21-22'!$A$11:$BB$406,38,FALSE)-VLOOKUP($A277,'ПР 01-02.22'!$A$11:$BB$378,38,FALSE)</f>
        <v>8950</v>
      </c>
      <c r="AM277" s="40"/>
      <c r="AN277" s="5">
        <f>VLOOKUP($A277,'ПР 01-02.21'!$A$11:$BB$406,40,FALSE)+VLOOKUP($A277,'ПР 21-22'!$A$11:$BB$406,40,FALSE)-VLOOKUP($A277,'ПР 01-02.22'!$A$11:$BB$378,40,FALSE)</f>
        <v>0</v>
      </c>
      <c r="AO277" s="5">
        <f>VLOOKUP($A277,'ПР 01-02.21'!$A$11:$BB$406,41,FALSE)+VLOOKUP($A277,'ПР 21-22'!$A$11:$BB$406,41,FALSE)-VLOOKUP($A277,'ПР 01-02.22'!$A$11:$BB$378,41,FALSE)</f>
        <v>0</v>
      </c>
      <c r="AP277" s="40"/>
      <c r="AQ277" s="5">
        <f>VLOOKUP($A277,'ПР 01-02.21'!$A$11:$BB$406,43,FALSE)+VLOOKUP($A277,'ПР 21-22'!$A$11:$BB$406,43,FALSE)-VLOOKUP($A277,'ПР 01-02.22'!$A$11:$BB$378,43,FALSE)</f>
        <v>2551.0139061586633</v>
      </c>
      <c r="AR277" s="5">
        <f>VLOOKUP($A277,'ПР 01-02.21'!$A$11:$BB$406,44,FALSE)+VLOOKUP($A277,'ПР 21-22'!$A$11:$BB$406,44,FALSE)-VLOOKUP($A277,'ПР 01-02.22'!$A$11:$BB$378,44,FALSE)</f>
        <v>0</v>
      </c>
      <c r="AS277" s="40"/>
      <c r="AT277" s="5">
        <f>VLOOKUP($A277,'ПР 01-02.21'!$A$11:$BB$406,46,FALSE)+VLOOKUP($A277,'ПР 21-22'!$A$11:$BB$406,46,FALSE)-VLOOKUP($A277,'ПР 01-02.22'!$A$11:$BB$378,46,FALSE)</f>
        <v>4024.23523246377</v>
      </c>
      <c r="AU277" s="5">
        <f>VLOOKUP($A277,'ПР 01-02.21'!$A$11:$BB$406,47,FALSE)+VLOOKUP($A277,'ПР 21-22'!$A$11:$BB$406,47,FALSE)-VLOOKUP($A277,'ПР 01-02.22'!$A$11:$BB$378,47,FALSE)</f>
        <v>505</v>
      </c>
      <c r="AV277" s="40"/>
      <c r="AW277" s="5">
        <f>VLOOKUP($A277,'ПР 01-02.21'!$A$11:$BB$406,49,FALSE)+VLOOKUP($A277,'ПР 21-22'!$A$11:$BB$406,49,FALSE)-VLOOKUP($A277,'ПР 01-02.22'!$A$11:$BB$378,49,FALSE)</f>
        <v>229.21200000000002</v>
      </c>
      <c r="AX277" s="5">
        <f>VLOOKUP($A277,'ПР 01-02.21'!$A$11:$BB$406,50,FALSE)+VLOOKUP($A277,'ПР 21-22'!$A$11:$BB$406,50,FALSE)-VLOOKUP($A277,'ПР 01-02.22'!$A$11:$BB$378,50,FALSE)</f>
        <v>0</v>
      </c>
      <c r="AY277" s="40"/>
      <c r="AZ277" s="40">
        <f t="shared" si="17"/>
        <v>19503.093846214611</v>
      </c>
      <c r="BA277" s="40">
        <f t="shared" si="17"/>
        <v>19057</v>
      </c>
      <c r="BB277" s="55">
        <f t="shared" si="20"/>
        <v>-446.0938462146114</v>
      </c>
      <c r="BD277" s="2">
        <v>3</v>
      </c>
      <c r="BF277" s="325">
        <v>150000715</v>
      </c>
    </row>
    <row r="278" spans="1:58" ht="24.9" customHeight="1" x14ac:dyDescent="0.3">
      <c r="A278" s="325">
        <v>150000719</v>
      </c>
      <c r="B278" s="445" t="s">
        <v>285</v>
      </c>
      <c r="C278" s="27">
        <v>5</v>
      </c>
      <c r="D278" s="101" t="s">
        <v>455</v>
      </c>
      <c r="E278" s="279">
        <f>'побудинковий звіт'!E276</f>
        <v>6211.0999999999995</v>
      </c>
      <c r="F278" s="441">
        <f>'побудинковий звіт'!AS276</f>
        <v>58406.355961345987</v>
      </c>
      <c r="G278" s="441">
        <f t="shared" si="18"/>
        <v>49802.5</v>
      </c>
      <c r="H278" s="73">
        <f t="shared" si="19"/>
        <v>-8603.8559613459875</v>
      </c>
      <c r="I278" s="5">
        <f>VLOOKUP($A278,'ПР 01-02.21'!$A$11:$BB$406,9,FALSE)+VLOOKUP($A278,'ПР 21-22'!$A$11:$BB$406,9,FALSE)-VLOOKUP($A278,'ПР 01-02.22'!$A$11:$BB$378,9,FALSE)</f>
        <v>18</v>
      </c>
      <c r="J278" s="5">
        <f>VLOOKUP($A278,'ПР 01-02.21'!$A$11:$BB$406,10,FALSE)+VLOOKUP($A278,'ПР 21-22'!$A$11:$BB$406,10,FALSE)-VLOOKUP($A278,'ПР 01-02.22'!$A$11:$BB$378,10,FALSE)</f>
        <v>5571</v>
      </c>
      <c r="K278" s="446"/>
      <c r="L278" s="5">
        <f>VLOOKUP($A278,'ПР 01-02.21'!$A$11:$BB$406,12,FALSE)+VLOOKUP($A278,'ПР 21-22'!$A$11:$BB$406,12,FALSE)-VLOOKUP($A278,'ПР 01-02.22'!$A$11:$BB$378,12,FALSE)</f>
        <v>0</v>
      </c>
      <c r="M278" s="5">
        <f>VLOOKUP($A278,'ПР 01-02.21'!$A$11:$BB$406,13,FALSE)+VLOOKUP($A278,'ПР 21-22'!$A$11:$BB$406,13,FALSE)-VLOOKUP($A278,'ПР 01-02.22'!$A$11:$BB$378,13,FALSE)</f>
        <v>0</v>
      </c>
      <c r="N278" s="38"/>
      <c r="O278" s="5">
        <f>VLOOKUP($A278,'ПР 01-02.21'!$A$11:$BB$406,15,FALSE)+VLOOKUP($A278,'ПР 21-22'!$A$11:$BB$406,15,FALSE)-VLOOKUP($A278,'ПР 01-02.22'!$A$11:$BB$378,15,FALSE)</f>
        <v>0</v>
      </c>
      <c r="P278" s="5">
        <f>VLOOKUP($A278,'ПР 01-02.21'!$A$11:$BB$406,16,FALSE)+VLOOKUP($A278,'ПР 21-22'!$A$11:$BB$406,16,FALSE)-VLOOKUP($A278,'ПР 01-02.22'!$A$11:$BB$378,16,FALSE)</f>
        <v>0</v>
      </c>
      <c r="Q278" s="443"/>
      <c r="R278" s="5">
        <f>VLOOKUP($A278,'ПР 01-02.21'!$A$11:$BB$406,18,FALSE)+VLOOKUP($A278,'ПР 21-22'!$A$11:$BB$406,18,FALSE)-VLOOKUP($A278,'ПР 01-02.22'!$A$11:$BB$378,18,FALSE)</f>
        <v>0</v>
      </c>
      <c r="S278" s="5">
        <f>VLOOKUP($A278,'ПР 01-02.21'!$A$11:$BB$406,19,FALSE)+VLOOKUP($A278,'ПР 21-22'!$A$11:$BB$406,19,FALSE)-VLOOKUP($A278,'ПР 01-02.22'!$A$11:$BB$378,19,FALSE)</f>
        <v>0</v>
      </c>
      <c r="T278" s="444"/>
      <c r="U278" s="5">
        <f>VLOOKUP($A278,'ПР 01-02.21'!$A$11:$BB$406,21,FALSE)+VLOOKUP($A278,'ПР 21-22'!$A$11:$BB$406,21,FALSE)-VLOOKUP($A278,'ПР 01-02.22'!$A$11:$BB$378,21,FALSE)</f>
        <v>0</v>
      </c>
      <c r="V278" s="5"/>
      <c r="W278" s="5">
        <f>VLOOKUP($A278,'ПР 01-02.21'!$A$11:$BB$406,23,FALSE)+VLOOKUP($A278,'ПР 21-22'!$A$11:$BB$406,23,FALSE)-VLOOKUP($A278,'ПР 01-02.22'!$A$11:$BB$378,23,FALSE)</f>
        <v>0</v>
      </c>
      <c r="X278" s="5">
        <f>VLOOKUP($A278,'ПР 01-02.21'!$A$11:$BB$406,24,FALSE)+VLOOKUP($A278,'ПР 21-22'!$A$11:$BB$406,24,FALSE)-VLOOKUP($A278,'ПР 01-02.22'!$A$11:$BB$378,24,FALSE)</f>
        <v>0</v>
      </c>
      <c r="Y278" s="5">
        <f>VLOOKUP($A278,'ПР 01-02.21'!$A$11:$BB$406,25,FALSE)+VLOOKUP($A278,'ПР 21-22'!$A$11:$BB$406,25,FALSE)-VLOOKUP($A278,'ПР 01-02.22'!$A$11:$BB$378,25,FALSE)</f>
        <v>14836.01</v>
      </c>
      <c r="Z278" s="5"/>
      <c r="AA278" s="5">
        <f>VLOOKUP($A278,'ПР 01-02.21'!$A$11:$BB$406,27,FALSE)+VLOOKUP($A278,'ПР 21-22'!$A$11:$BB$406,27,FALSE)-VLOOKUP($A278,'ПР 01-02.22'!$A$11:$BB$378,27,FALSE)</f>
        <v>0</v>
      </c>
      <c r="AB278" s="5">
        <f>VLOOKUP($A278,'ПР 01-02.21'!$A$11:$BB$406,28,FALSE)+VLOOKUP($A278,'ПР 21-22'!$A$11:$BB$406,28,FALSE)-VLOOKUP($A278,'ПР 01-02.22'!$A$11:$BB$378,28,FALSE)</f>
        <v>16427.489999999998</v>
      </c>
      <c r="AC278" s="5">
        <f>VLOOKUP($A278,'ПР 01-02.21'!$A$11:$BB$406,29,FALSE)+VLOOKUP($A278,'ПР 21-22'!$A$11:$BB$406,29,FALSE)-VLOOKUP($A278,'ПР 01-02.22'!$A$11:$BB$378,29,FALSE)</f>
        <v>2077</v>
      </c>
      <c r="AD278" s="5">
        <f>VLOOKUP($A278,'ПР 01-02.21'!$A$11:$BB$406,30,FALSE)+VLOOKUP($A278,'ПР 21-22'!$A$11:$BB$406,30,FALSE)-VLOOKUP($A278,'ПР 01-02.22'!$A$11:$BB$378,30,FALSE)</f>
        <v>10891</v>
      </c>
      <c r="AE278" s="5">
        <f>VLOOKUP($A278,'ПР 01-02.21'!$A$11:$BB$406,31,FALSE)+VLOOKUP($A278,'ПР 21-22'!$A$11:$BB$406,31,FALSE)-VLOOKUP($A278,'ПР 01-02.22'!$A$11:$BB$378,31,FALSE)</f>
        <v>5655.6230956203453</v>
      </c>
      <c r="AF278" s="5">
        <f>VLOOKUP($A278,'ПР 01-02.21'!$A$11:$BB$406,32,FALSE)+VLOOKUP($A278,'ПР 21-22'!$A$11:$BB$406,32,FALSE)-VLOOKUP($A278,'ПР 01-02.22'!$A$11:$BB$378,32,FALSE)</f>
        <v>3137</v>
      </c>
      <c r="AG278" s="40"/>
      <c r="AH278" s="5">
        <f>VLOOKUP($A278,'ПР 01-02.21'!$A$11:$BB$406,34,FALSE)+VLOOKUP($A278,'ПР 21-22'!$A$11:$BB$406,34,FALSE)-VLOOKUP($A278,'ПР 01-02.22'!$A$11:$BB$378,34,FALSE)</f>
        <v>8293.5967918187907</v>
      </c>
      <c r="AI278" s="5">
        <f>VLOOKUP($A278,'ПР 01-02.21'!$A$11:$BB$406,35,FALSE)+VLOOKUP($A278,'ПР 21-22'!$A$11:$BB$406,35,FALSE)-VLOOKUP($A278,'ПР 01-02.22'!$A$11:$BB$378,35,FALSE)</f>
        <v>1369</v>
      </c>
      <c r="AJ278" s="40"/>
      <c r="AK278" s="5">
        <f>VLOOKUP($A278,'ПР 01-02.21'!$A$11:$BB$406,37,FALSE)+VLOOKUP($A278,'ПР 21-22'!$A$11:$BB$406,37,FALSE)-VLOOKUP($A278,'ПР 01-02.22'!$A$11:$BB$378,37,FALSE)</f>
        <v>2943.5237594950945</v>
      </c>
      <c r="AL278" s="5">
        <f>VLOOKUP($A278,'ПР 01-02.21'!$A$11:$BB$406,38,FALSE)+VLOOKUP($A278,'ПР 21-22'!$A$11:$BB$406,38,FALSE)-VLOOKUP($A278,'ПР 01-02.22'!$A$11:$BB$378,38,FALSE)</f>
        <v>7186</v>
      </c>
      <c r="AM278" s="40"/>
      <c r="AN278" s="5">
        <f>VLOOKUP($A278,'ПР 01-02.21'!$A$11:$BB$406,40,FALSE)+VLOOKUP($A278,'ПР 21-22'!$A$11:$BB$406,40,FALSE)-VLOOKUP($A278,'ПР 01-02.22'!$A$11:$BB$378,40,FALSE)</f>
        <v>0</v>
      </c>
      <c r="AO278" s="5">
        <f>VLOOKUP($A278,'ПР 01-02.21'!$A$11:$BB$406,41,FALSE)+VLOOKUP($A278,'ПР 21-22'!$A$11:$BB$406,41,FALSE)-VLOOKUP($A278,'ПР 01-02.22'!$A$11:$BB$378,41,FALSE)</f>
        <v>0</v>
      </c>
      <c r="AP278" s="40"/>
      <c r="AQ278" s="5">
        <f>VLOOKUP($A278,'ПР 01-02.21'!$A$11:$BB$406,43,FALSE)+VLOOKUP($A278,'ПР 21-22'!$A$11:$BB$406,43,FALSE)-VLOOKUP($A278,'ПР 01-02.22'!$A$11:$BB$378,43,FALSE)</f>
        <v>3869.5334694266958</v>
      </c>
      <c r="AR278" s="5">
        <f>VLOOKUP($A278,'ПР 01-02.21'!$A$11:$BB$406,44,FALSE)+VLOOKUP($A278,'ПР 21-22'!$A$11:$BB$406,44,FALSE)-VLOOKUP($A278,'ПР 01-02.22'!$A$11:$BB$378,44,FALSE)</f>
        <v>0</v>
      </c>
      <c r="AS278" s="40"/>
      <c r="AT278" s="5">
        <f>VLOOKUP($A278,'ПР 01-02.21'!$A$11:$BB$406,46,FALSE)+VLOOKUP($A278,'ПР 21-22'!$A$11:$BB$406,46,FALSE)-VLOOKUP($A278,'ПР 01-02.22'!$A$11:$BB$378,46,FALSE)</f>
        <v>6772.4437212089097</v>
      </c>
      <c r="AU278" s="5">
        <f>VLOOKUP($A278,'ПР 01-02.21'!$A$11:$BB$406,47,FALSE)+VLOOKUP($A278,'ПР 21-22'!$A$11:$BB$406,47,FALSE)-VLOOKUP($A278,'ПР 01-02.22'!$A$11:$BB$378,47,FALSE)</f>
        <v>0</v>
      </c>
      <c r="AV278" s="40"/>
      <c r="AW278" s="5">
        <f>VLOOKUP($A278,'ПР 01-02.21'!$A$11:$BB$406,49,FALSE)+VLOOKUP($A278,'ПР 21-22'!$A$11:$BB$406,49,FALSE)-VLOOKUP($A278,'ПР 01-02.22'!$A$11:$BB$378,49,FALSE)</f>
        <v>310.44</v>
      </c>
      <c r="AX278" s="5">
        <f>VLOOKUP($A278,'ПР 01-02.21'!$A$11:$BB$406,50,FALSE)+VLOOKUP($A278,'ПР 21-22'!$A$11:$BB$406,50,FALSE)-VLOOKUP($A278,'ПР 01-02.22'!$A$11:$BB$378,50,FALSE)</f>
        <v>0</v>
      </c>
      <c r="AY278" s="40"/>
      <c r="AZ278" s="40">
        <f t="shared" si="17"/>
        <v>27845.160837569838</v>
      </c>
      <c r="BA278" s="40">
        <f t="shared" si="17"/>
        <v>11692</v>
      </c>
      <c r="BB278" s="55">
        <f t="shared" si="20"/>
        <v>-16153.160837569838</v>
      </c>
      <c r="BD278" s="2">
        <v>3</v>
      </c>
      <c r="BF278" s="325">
        <v>150000719</v>
      </c>
    </row>
    <row r="279" spans="1:58" ht="24.9" customHeight="1" x14ac:dyDescent="0.3">
      <c r="A279" s="325">
        <v>150000716</v>
      </c>
      <c r="B279" s="445" t="s">
        <v>286</v>
      </c>
      <c r="C279" s="27">
        <v>5</v>
      </c>
      <c r="D279" s="101" t="s">
        <v>455</v>
      </c>
      <c r="E279" s="279">
        <f>'побудинковий звіт'!E277</f>
        <v>3171.42</v>
      </c>
      <c r="F279" s="441">
        <f>'побудинковий звіт'!AS277</f>
        <v>37454.172579587146</v>
      </c>
      <c r="G279" s="441">
        <f t="shared" si="18"/>
        <v>79795.48000000001</v>
      </c>
      <c r="H279" s="73">
        <f t="shared" si="19"/>
        <v>42341.307420412864</v>
      </c>
      <c r="I279" s="5">
        <f>VLOOKUP($A279,'ПР 01-02.21'!$A$11:$BB$406,9,FALSE)+VLOOKUP($A279,'ПР 21-22'!$A$11:$BB$406,9,FALSE)-VLOOKUP($A279,'ПР 01-02.22'!$A$11:$BB$378,9,FALSE)</f>
        <v>121.3</v>
      </c>
      <c r="J279" s="5">
        <f>VLOOKUP($A279,'ПР 01-02.21'!$A$11:$BB$406,10,FALSE)+VLOOKUP($A279,'ПР 21-22'!$A$11:$BB$406,10,FALSE)-VLOOKUP($A279,'ПР 01-02.22'!$A$11:$BB$378,10,FALSE)</f>
        <v>22586</v>
      </c>
      <c r="K279" s="446"/>
      <c r="L279" s="5">
        <f>VLOOKUP($A279,'ПР 01-02.21'!$A$11:$BB$406,12,FALSE)+VLOOKUP($A279,'ПР 21-22'!$A$11:$BB$406,12,FALSE)-VLOOKUP($A279,'ПР 01-02.22'!$A$11:$BB$378,12,FALSE)</f>
        <v>0</v>
      </c>
      <c r="M279" s="5">
        <f>VLOOKUP($A279,'ПР 01-02.21'!$A$11:$BB$406,13,FALSE)+VLOOKUP($A279,'ПР 21-22'!$A$11:$BB$406,13,FALSE)-VLOOKUP($A279,'ПР 01-02.22'!$A$11:$BB$378,13,FALSE)</f>
        <v>495</v>
      </c>
      <c r="N279" s="38"/>
      <c r="O279" s="5">
        <f>VLOOKUP($A279,'ПР 01-02.21'!$A$11:$BB$406,15,FALSE)+VLOOKUP($A279,'ПР 21-22'!$A$11:$BB$406,15,FALSE)-VLOOKUP($A279,'ПР 01-02.22'!$A$11:$BB$378,15,FALSE)</f>
        <v>0</v>
      </c>
      <c r="P279" s="5">
        <f>VLOOKUP($A279,'ПР 01-02.21'!$A$11:$BB$406,16,FALSE)+VLOOKUP($A279,'ПР 21-22'!$A$11:$BB$406,16,FALSE)-VLOOKUP($A279,'ПР 01-02.22'!$A$11:$BB$378,16,FALSE)</f>
        <v>0</v>
      </c>
      <c r="Q279" s="443"/>
      <c r="R279" s="5">
        <f>VLOOKUP($A279,'ПР 01-02.21'!$A$11:$BB$406,18,FALSE)+VLOOKUP($A279,'ПР 21-22'!$A$11:$BB$406,18,FALSE)-VLOOKUP($A279,'ПР 01-02.22'!$A$11:$BB$378,18,FALSE)</f>
        <v>0</v>
      </c>
      <c r="S279" s="5">
        <f>VLOOKUP($A279,'ПР 01-02.21'!$A$11:$BB$406,19,FALSE)+VLOOKUP($A279,'ПР 21-22'!$A$11:$BB$406,19,FALSE)-VLOOKUP($A279,'ПР 01-02.22'!$A$11:$BB$378,19,FALSE)</f>
        <v>0</v>
      </c>
      <c r="T279" s="444"/>
      <c r="U279" s="5">
        <f>VLOOKUP($A279,'ПР 01-02.21'!$A$11:$BB$406,21,FALSE)+VLOOKUP($A279,'ПР 21-22'!$A$11:$BB$406,21,FALSE)-VLOOKUP($A279,'ПР 01-02.22'!$A$11:$BB$378,21,FALSE)</f>
        <v>0</v>
      </c>
      <c r="V279" s="5"/>
      <c r="W279" s="5">
        <f>VLOOKUP($A279,'ПР 01-02.21'!$A$11:$BB$406,23,FALSE)+VLOOKUP($A279,'ПР 21-22'!$A$11:$BB$406,23,FALSE)-VLOOKUP($A279,'ПР 01-02.22'!$A$11:$BB$378,23,FALSE)</f>
        <v>0</v>
      </c>
      <c r="X279" s="5">
        <f>VLOOKUP($A279,'ПР 01-02.21'!$A$11:$BB$406,24,FALSE)+VLOOKUP($A279,'ПР 21-22'!$A$11:$BB$406,24,FALSE)-VLOOKUP($A279,'ПР 01-02.22'!$A$11:$BB$378,24,FALSE)</f>
        <v>0</v>
      </c>
      <c r="Y279" s="5">
        <f>VLOOKUP($A279,'ПР 01-02.21'!$A$11:$BB$406,25,FALSE)+VLOOKUP($A279,'ПР 21-22'!$A$11:$BB$406,25,FALSE)-VLOOKUP($A279,'ПР 01-02.22'!$A$11:$BB$378,25,FALSE)</f>
        <v>51504.480000000003</v>
      </c>
      <c r="Z279" s="5"/>
      <c r="AA279" s="5">
        <f>VLOOKUP($A279,'ПР 01-02.21'!$A$11:$BB$406,27,FALSE)+VLOOKUP($A279,'ПР 21-22'!$A$11:$BB$406,27,FALSE)-VLOOKUP($A279,'ПР 01-02.22'!$A$11:$BB$378,27,FALSE)</f>
        <v>0</v>
      </c>
      <c r="AB279" s="5">
        <f>VLOOKUP($A279,'ПР 01-02.21'!$A$11:$BB$406,28,FALSE)+VLOOKUP($A279,'ПР 21-22'!$A$11:$BB$406,28,FALSE)-VLOOKUP($A279,'ПР 01-02.22'!$A$11:$BB$378,28,FALSE)</f>
        <v>160</v>
      </c>
      <c r="AC279" s="5">
        <f>VLOOKUP($A279,'ПР 01-02.21'!$A$11:$BB$406,29,FALSE)+VLOOKUP($A279,'ПР 21-22'!$A$11:$BB$406,29,FALSE)-VLOOKUP($A279,'ПР 01-02.22'!$A$11:$BB$378,29,FALSE)</f>
        <v>637</v>
      </c>
      <c r="AD279" s="5">
        <f>VLOOKUP($A279,'ПР 01-02.21'!$A$11:$BB$406,30,FALSE)+VLOOKUP($A279,'ПР 21-22'!$A$11:$BB$406,30,FALSE)-VLOOKUP($A279,'ПР 01-02.22'!$A$11:$BB$378,30,FALSE)</f>
        <v>4413</v>
      </c>
      <c r="AE279" s="5">
        <f>VLOOKUP($A279,'ПР 01-02.21'!$A$11:$BB$406,31,FALSE)+VLOOKUP($A279,'ПР 21-22'!$A$11:$BB$406,31,FALSE)-VLOOKUP($A279,'ПР 01-02.22'!$A$11:$BB$378,31,FALSE)</f>
        <v>3462.9450671332074</v>
      </c>
      <c r="AF279" s="5">
        <f>VLOOKUP($A279,'ПР 01-02.21'!$A$11:$BB$406,32,FALSE)+VLOOKUP($A279,'ПР 21-22'!$A$11:$BB$406,32,FALSE)-VLOOKUP($A279,'ПР 01-02.22'!$A$11:$BB$378,32,FALSE)</f>
        <v>1309</v>
      </c>
      <c r="AG279" s="40"/>
      <c r="AH279" s="5">
        <f>VLOOKUP($A279,'ПР 01-02.21'!$A$11:$BB$406,34,FALSE)+VLOOKUP($A279,'ПР 21-22'!$A$11:$BB$406,34,FALSE)-VLOOKUP($A279,'ПР 01-02.22'!$A$11:$BB$378,34,FALSE)</f>
        <v>4167.8663792694451</v>
      </c>
      <c r="AI279" s="5">
        <f>VLOOKUP($A279,'ПР 01-02.21'!$A$11:$BB$406,35,FALSE)+VLOOKUP($A279,'ПР 21-22'!$A$11:$BB$406,35,FALSE)-VLOOKUP($A279,'ПР 01-02.22'!$A$11:$BB$378,35,FALSE)</f>
        <v>0</v>
      </c>
      <c r="AJ279" s="40"/>
      <c r="AK279" s="5">
        <f>VLOOKUP($A279,'ПР 01-02.21'!$A$11:$BB$406,37,FALSE)+VLOOKUP($A279,'ПР 21-22'!$A$11:$BB$406,37,FALSE)-VLOOKUP($A279,'ПР 01-02.22'!$A$11:$BB$378,37,FALSE)</f>
        <v>1571.1136120439546</v>
      </c>
      <c r="AL279" s="5">
        <f>VLOOKUP($A279,'ПР 01-02.21'!$A$11:$BB$406,38,FALSE)+VLOOKUP($A279,'ПР 21-22'!$A$11:$BB$406,38,FALSE)-VLOOKUP($A279,'ПР 01-02.22'!$A$11:$BB$378,38,FALSE)</f>
        <v>0</v>
      </c>
      <c r="AM279" s="40"/>
      <c r="AN279" s="5">
        <f>VLOOKUP($A279,'ПР 01-02.21'!$A$11:$BB$406,40,FALSE)+VLOOKUP($A279,'ПР 21-22'!$A$11:$BB$406,40,FALSE)-VLOOKUP($A279,'ПР 01-02.22'!$A$11:$BB$378,40,FALSE)</f>
        <v>0</v>
      </c>
      <c r="AO279" s="5">
        <f>VLOOKUP($A279,'ПР 01-02.21'!$A$11:$BB$406,41,FALSE)+VLOOKUP($A279,'ПР 21-22'!$A$11:$BB$406,41,FALSE)-VLOOKUP($A279,'ПР 01-02.22'!$A$11:$BB$378,41,FALSE)</f>
        <v>0</v>
      </c>
      <c r="AP279" s="40"/>
      <c r="AQ279" s="5">
        <f>VLOOKUP($A279,'ПР 01-02.21'!$A$11:$BB$406,43,FALSE)+VLOOKUP($A279,'ПР 21-22'!$A$11:$BB$406,43,FALSE)-VLOOKUP($A279,'ПР 01-02.22'!$A$11:$BB$378,43,FALSE)</f>
        <v>0</v>
      </c>
      <c r="AR279" s="5">
        <f>VLOOKUP($A279,'ПР 01-02.21'!$A$11:$BB$406,44,FALSE)+VLOOKUP($A279,'ПР 21-22'!$A$11:$BB$406,44,FALSE)-VLOOKUP($A279,'ПР 01-02.22'!$A$11:$BB$378,44,FALSE)</f>
        <v>0</v>
      </c>
      <c r="AS279" s="40"/>
      <c r="AT279" s="5">
        <f>VLOOKUP($A279,'ПР 01-02.21'!$A$11:$BB$406,46,FALSE)+VLOOKUP($A279,'ПР 21-22'!$A$11:$BB$406,46,FALSE)-VLOOKUP($A279,'ПР 01-02.22'!$A$11:$BB$378,46,FALSE)</f>
        <v>2156.476272797328</v>
      </c>
      <c r="AU279" s="5">
        <f>VLOOKUP($A279,'ПР 01-02.21'!$A$11:$BB$406,47,FALSE)+VLOOKUP($A279,'ПР 21-22'!$A$11:$BB$406,47,FALSE)-VLOOKUP($A279,'ПР 01-02.22'!$A$11:$BB$378,47,FALSE)</f>
        <v>88</v>
      </c>
      <c r="AV279" s="40"/>
      <c r="AW279" s="5">
        <f>VLOOKUP($A279,'ПР 01-02.21'!$A$11:$BB$406,49,FALSE)+VLOOKUP($A279,'ПР 21-22'!$A$11:$BB$406,49,FALSE)-VLOOKUP($A279,'ПР 01-02.22'!$A$11:$BB$378,49,FALSE)</f>
        <v>160.05280000000002</v>
      </c>
      <c r="AX279" s="5">
        <f>VLOOKUP($A279,'ПР 01-02.21'!$A$11:$BB$406,50,FALSE)+VLOOKUP($A279,'ПР 21-22'!$A$11:$BB$406,50,FALSE)-VLOOKUP($A279,'ПР 01-02.22'!$A$11:$BB$378,50,FALSE)</f>
        <v>0</v>
      </c>
      <c r="AY279" s="40"/>
      <c r="AZ279" s="40">
        <f t="shared" si="17"/>
        <v>11518.454131243936</v>
      </c>
      <c r="BA279" s="40">
        <f t="shared" si="17"/>
        <v>1397</v>
      </c>
      <c r="BB279" s="55">
        <f t="shared" si="20"/>
        <v>-10121.454131243936</v>
      </c>
      <c r="BD279" s="2">
        <v>3</v>
      </c>
      <c r="BF279" s="325">
        <v>150000716</v>
      </c>
    </row>
    <row r="280" spans="1:58" ht="24.9" customHeight="1" x14ac:dyDescent="0.3">
      <c r="A280" s="325">
        <v>150000717</v>
      </c>
      <c r="B280" s="445" t="s">
        <v>287</v>
      </c>
      <c r="C280" s="27">
        <v>5</v>
      </c>
      <c r="D280" s="101" t="s">
        <v>455</v>
      </c>
      <c r="E280" s="279">
        <f>'побудинковий звіт'!E278</f>
        <v>3165.2999999999997</v>
      </c>
      <c r="F280" s="441">
        <f>'побудинковий звіт'!AS278</f>
        <v>34905.358569350588</v>
      </c>
      <c r="G280" s="441">
        <f t="shared" si="18"/>
        <v>2031</v>
      </c>
      <c r="H280" s="73">
        <f t="shared" si="19"/>
        <v>-32874.358569350588</v>
      </c>
      <c r="I280" s="5">
        <f>VLOOKUP($A280,'ПР 01-02.21'!$A$11:$BB$406,9,FALSE)+VLOOKUP($A280,'ПР 21-22'!$A$11:$BB$406,9,FALSE)-VLOOKUP($A280,'ПР 01-02.22'!$A$11:$BB$378,9,FALSE)</f>
        <v>0</v>
      </c>
      <c r="J280" s="5">
        <f>VLOOKUP($A280,'ПР 01-02.21'!$A$11:$BB$406,10,FALSE)+VLOOKUP($A280,'ПР 21-22'!$A$11:$BB$406,10,FALSE)-VLOOKUP($A280,'ПР 01-02.22'!$A$11:$BB$378,10,FALSE)</f>
        <v>0</v>
      </c>
      <c r="K280" s="446"/>
      <c r="L280" s="5">
        <f>VLOOKUP($A280,'ПР 01-02.21'!$A$11:$BB$406,12,FALSE)+VLOOKUP($A280,'ПР 21-22'!$A$11:$BB$406,12,FALSE)-VLOOKUP($A280,'ПР 01-02.22'!$A$11:$BB$378,12,FALSE)</f>
        <v>0</v>
      </c>
      <c r="M280" s="5">
        <f>VLOOKUP($A280,'ПР 01-02.21'!$A$11:$BB$406,13,FALSE)+VLOOKUP($A280,'ПР 21-22'!$A$11:$BB$406,13,FALSE)-VLOOKUP($A280,'ПР 01-02.22'!$A$11:$BB$378,13,FALSE)</f>
        <v>0</v>
      </c>
      <c r="N280" s="38"/>
      <c r="O280" s="5">
        <f>VLOOKUP($A280,'ПР 01-02.21'!$A$11:$BB$406,15,FALSE)+VLOOKUP($A280,'ПР 21-22'!$A$11:$BB$406,15,FALSE)-VLOOKUP($A280,'ПР 01-02.22'!$A$11:$BB$378,15,FALSE)</f>
        <v>0</v>
      </c>
      <c r="P280" s="5">
        <f>VLOOKUP($A280,'ПР 01-02.21'!$A$11:$BB$406,16,FALSE)+VLOOKUP($A280,'ПР 21-22'!$A$11:$BB$406,16,FALSE)-VLOOKUP($A280,'ПР 01-02.22'!$A$11:$BB$378,16,FALSE)</f>
        <v>0</v>
      </c>
      <c r="Q280" s="443"/>
      <c r="R280" s="5">
        <f>VLOOKUP($A280,'ПР 01-02.21'!$A$11:$BB$406,18,FALSE)+VLOOKUP($A280,'ПР 21-22'!$A$11:$BB$406,18,FALSE)-VLOOKUP($A280,'ПР 01-02.22'!$A$11:$BB$378,18,FALSE)</f>
        <v>0</v>
      </c>
      <c r="S280" s="5">
        <f>VLOOKUP($A280,'ПР 01-02.21'!$A$11:$BB$406,19,FALSE)+VLOOKUP($A280,'ПР 21-22'!$A$11:$BB$406,19,FALSE)-VLOOKUP($A280,'ПР 01-02.22'!$A$11:$BB$378,19,FALSE)</f>
        <v>0</v>
      </c>
      <c r="T280" s="444"/>
      <c r="U280" s="5">
        <f>VLOOKUP($A280,'ПР 01-02.21'!$A$11:$BB$406,21,FALSE)+VLOOKUP($A280,'ПР 21-22'!$A$11:$BB$406,21,FALSE)-VLOOKUP($A280,'ПР 01-02.22'!$A$11:$BB$378,21,FALSE)</f>
        <v>0</v>
      </c>
      <c r="V280" s="5"/>
      <c r="W280" s="5">
        <f>VLOOKUP($A280,'ПР 01-02.21'!$A$11:$BB$406,23,FALSE)+VLOOKUP($A280,'ПР 21-22'!$A$11:$BB$406,23,FALSE)-VLOOKUP($A280,'ПР 01-02.22'!$A$11:$BB$378,23,FALSE)</f>
        <v>0</v>
      </c>
      <c r="X280" s="5">
        <f>VLOOKUP($A280,'ПР 01-02.21'!$A$11:$BB$406,24,FALSE)+VLOOKUP($A280,'ПР 21-22'!$A$11:$BB$406,24,FALSE)-VLOOKUP($A280,'ПР 01-02.22'!$A$11:$BB$378,24,FALSE)</f>
        <v>0</v>
      </c>
      <c r="Y280" s="5">
        <f>VLOOKUP($A280,'ПР 01-02.21'!$A$11:$BB$406,25,FALSE)+VLOOKUP($A280,'ПР 21-22'!$A$11:$BB$406,25,FALSE)-VLOOKUP($A280,'ПР 01-02.22'!$A$11:$BB$378,25,FALSE)</f>
        <v>0</v>
      </c>
      <c r="Z280" s="5"/>
      <c r="AA280" s="5">
        <f>VLOOKUP($A280,'ПР 01-02.21'!$A$11:$BB$406,27,FALSE)+VLOOKUP($A280,'ПР 21-22'!$A$11:$BB$406,27,FALSE)-VLOOKUP($A280,'ПР 01-02.22'!$A$11:$BB$378,27,FALSE)</f>
        <v>0</v>
      </c>
      <c r="AB280" s="5">
        <f>VLOOKUP($A280,'ПР 01-02.21'!$A$11:$BB$406,28,FALSE)+VLOOKUP($A280,'ПР 21-22'!$A$11:$BB$406,28,FALSE)-VLOOKUP($A280,'ПР 01-02.22'!$A$11:$BB$378,28,FALSE)</f>
        <v>169</v>
      </c>
      <c r="AC280" s="5">
        <f>VLOOKUP($A280,'ПР 01-02.21'!$A$11:$BB$406,29,FALSE)+VLOOKUP($A280,'ПР 21-22'!$A$11:$BB$406,29,FALSE)-VLOOKUP($A280,'ПР 01-02.22'!$A$11:$BB$378,29,FALSE)</f>
        <v>113</v>
      </c>
      <c r="AD280" s="5">
        <f>VLOOKUP($A280,'ПР 01-02.21'!$A$11:$BB$406,30,FALSE)+VLOOKUP($A280,'ПР 21-22'!$A$11:$BB$406,30,FALSE)-VLOOKUP($A280,'ПР 01-02.22'!$A$11:$BB$378,30,FALSE)</f>
        <v>1749</v>
      </c>
      <c r="AE280" s="5">
        <f>VLOOKUP($A280,'ПР 01-02.21'!$A$11:$BB$406,31,FALSE)+VLOOKUP($A280,'ПР 21-22'!$A$11:$BB$406,31,FALSE)-VLOOKUP($A280,'ПР 01-02.22'!$A$11:$BB$378,31,FALSE)</f>
        <v>3444.790779433607</v>
      </c>
      <c r="AF280" s="5">
        <f>VLOOKUP($A280,'ПР 01-02.21'!$A$11:$BB$406,32,FALSE)+VLOOKUP($A280,'ПР 21-22'!$A$11:$BB$406,32,FALSE)-VLOOKUP($A280,'ПР 01-02.22'!$A$11:$BB$378,32,FALSE)</f>
        <v>0</v>
      </c>
      <c r="AG280" s="40"/>
      <c r="AH280" s="5">
        <f>VLOOKUP($A280,'ПР 01-02.21'!$A$11:$BB$406,34,FALSE)+VLOOKUP($A280,'ПР 21-22'!$A$11:$BB$406,34,FALSE)-VLOOKUP($A280,'ПР 01-02.22'!$A$11:$BB$378,34,FALSE)</f>
        <v>4167.8663792694451</v>
      </c>
      <c r="AI280" s="5">
        <f>VLOOKUP($A280,'ПР 01-02.21'!$A$11:$BB$406,35,FALSE)+VLOOKUP($A280,'ПР 21-22'!$A$11:$BB$406,35,FALSE)-VLOOKUP($A280,'ПР 01-02.22'!$A$11:$BB$378,35,FALSE)</f>
        <v>2744</v>
      </c>
      <c r="AJ280" s="40"/>
      <c r="AK280" s="5">
        <f>VLOOKUP($A280,'ПР 01-02.21'!$A$11:$BB$406,37,FALSE)+VLOOKUP($A280,'ПР 21-22'!$A$11:$BB$406,37,FALSE)-VLOOKUP($A280,'ПР 01-02.22'!$A$11:$BB$378,37,FALSE)</f>
        <v>1578.2342666402233</v>
      </c>
      <c r="AL280" s="5">
        <f>VLOOKUP($A280,'ПР 01-02.21'!$A$11:$BB$406,38,FALSE)+VLOOKUP($A280,'ПР 21-22'!$A$11:$BB$406,38,FALSE)-VLOOKUP($A280,'ПР 01-02.22'!$A$11:$BB$378,38,FALSE)</f>
        <v>3875</v>
      </c>
      <c r="AM280" s="40"/>
      <c r="AN280" s="5">
        <f>VLOOKUP($A280,'ПР 01-02.21'!$A$11:$BB$406,40,FALSE)+VLOOKUP($A280,'ПР 21-22'!$A$11:$BB$406,40,FALSE)-VLOOKUP($A280,'ПР 01-02.22'!$A$11:$BB$378,40,FALSE)</f>
        <v>0</v>
      </c>
      <c r="AO280" s="5">
        <f>VLOOKUP($A280,'ПР 01-02.21'!$A$11:$BB$406,41,FALSE)+VLOOKUP($A280,'ПР 21-22'!$A$11:$BB$406,41,FALSE)-VLOOKUP($A280,'ПР 01-02.22'!$A$11:$BB$378,41,FALSE)</f>
        <v>0</v>
      </c>
      <c r="AP280" s="40"/>
      <c r="AQ280" s="5">
        <f>VLOOKUP($A280,'ПР 01-02.21'!$A$11:$BB$406,43,FALSE)+VLOOKUP($A280,'ПР 21-22'!$A$11:$BB$406,43,FALSE)-VLOOKUP($A280,'ПР 01-02.22'!$A$11:$BB$378,43,FALSE)</f>
        <v>0</v>
      </c>
      <c r="AR280" s="5">
        <f>VLOOKUP($A280,'ПР 01-02.21'!$A$11:$BB$406,44,FALSE)+VLOOKUP($A280,'ПР 21-22'!$A$11:$BB$406,44,FALSE)-VLOOKUP($A280,'ПР 01-02.22'!$A$11:$BB$378,44,FALSE)</f>
        <v>0</v>
      </c>
      <c r="AS280" s="40"/>
      <c r="AT280" s="5">
        <f>VLOOKUP($A280,'ПР 01-02.21'!$A$11:$BB$406,46,FALSE)+VLOOKUP($A280,'ПР 21-22'!$A$11:$BB$406,46,FALSE)-VLOOKUP($A280,'ПР 01-02.22'!$A$11:$BB$378,46,FALSE)</f>
        <v>2157.4270114520668</v>
      </c>
      <c r="AU280" s="5">
        <f>VLOOKUP($A280,'ПР 01-02.21'!$A$11:$BB$406,47,FALSE)+VLOOKUP($A280,'ПР 21-22'!$A$11:$BB$406,47,FALSE)-VLOOKUP($A280,'ПР 01-02.22'!$A$11:$BB$378,47,FALSE)</f>
        <v>0</v>
      </c>
      <c r="AV280" s="40"/>
      <c r="AW280" s="5">
        <f>VLOOKUP($A280,'ПР 01-02.21'!$A$11:$BB$406,49,FALSE)+VLOOKUP($A280,'ПР 21-22'!$A$11:$BB$406,49,FALSE)-VLOOKUP($A280,'ПР 01-02.22'!$A$11:$BB$378,49,FALSE)</f>
        <v>158.61320000000001</v>
      </c>
      <c r="AX280" s="5">
        <f>VLOOKUP($A280,'ПР 01-02.21'!$A$11:$BB$406,50,FALSE)+VLOOKUP($A280,'ПР 21-22'!$A$11:$BB$406,50,FALSE)-VLOOKUP($A280,'ПР 01-02.22'!$A$11:$BB$378,50,FALSE)</f>
        <v>0</v>
      </c>
      <c r="AY280" s="40"/>
      <c r="AZ280" s="40">
        <f t="shared" si="17"/>
        <v>11506.931636795343</v>
      </c>
      <c r="BA280" s="40">
        <f t="shared" si="17"/>
        <v>6619</v>
      </c>
      <c r="BB280" s="55">
        <f t="shared" si="20"/>
        <v>-4887.9316367953434</v>
      </c>
      <c r="BD280" s="2">
        <v>3</v>
      </c>
      <c r="BF280" s="325">
        <v>150000717</v>
      </c>
    </row>
    <row r="281" spans="1:58" ht="24.9" customHeight="1" x14ac:dyDescent="0.3">
      <c r="A281" s="325">
        <v>150000718</v>
      </c>
      <c r="B281" s="445" t="s">
        <v>288</v>
      </c>
      <c r="C281" s="27">
        <v>5</v>
      </c>
      <c r="D281" s="101" t="s">
        <v>455</v>
      </c>
      <c r="E281" s="279">
        <f>'побудинковий звіт'!E279</f>
        <v>4456.6000000000004</v>
      </c>
      <c r="F281" s="441">
        <f>'побудинковий звіт'!AS279</f>
        <v>50334.430083066094</v>
      </c>
      <c r="G281" s="441">
        <f t="shared" si="18"/>
        <v>49947.737777819741</v>
      </c>
      <c r="H281" s="73">
        <f t="shared" si="19"/>
        <v>-386.6923052463535</v>
      </c>
      <c r="I281" s="5">
        <f>VLOOKUP($A281,'ПР 01-02.21'!$A$11:$BB$406,9,FALSE)+VLOOKUP($A281,'ПР 21-22'!$A$11:$BB$406,9,FALSE)-VLOOKUP($A281,'ПР 01-02.22'!$A$11:$BB$378,9,FALSE)</f>
        <v>157.44</v>
      </c>
      <c r="J281" s="5">
        <f>VLOOKUP($A281,'ПР 01-02.21'!$A$11:$BB$406,10,FALSE)+VLOOKUP($A281,'ПР 21-22'!$A$11:$BB$406,10,FALSE)-VLOOKUP($A281,'ПР 01-02.22'!$A$11:$BB$378,10,FALSE)</f>
        <v>32773</v>
      </c>
      <c r="K281" s="446"/>
      <c r="L281" s="5">
        <f>VLOOKUP($A281,'ПР 01-02.21'!$A$11:$BB$406,12,FALSE)+VLOOKUP($A281,'ПР 21-22'!$A$11:$BB$406,12,FALSE)-VLOOKUP($A281,'ПР 01-02.22'!$A$11:$BB$378,12,FALSE)</f>
        <v>0</v>
      </c>
      <c r="M281" s="5">
        <f>VLOOKUP($A281,'ПР 01-02.21'!$A$11:$BB$406,13,FALSE)+VLOOKUP($A281,'ПР 21-22'!$A$11:$BB$406,13,FALSE)-VLOOKUP($A281,'ПР 01-02.22'!$A$11:$BB$378,13,FALSE)</f>
        <v>0</v>
      </c>
      <c r="N281" s="38"/>
      <c r="O281" s="5">
        <f>VLOOKUP($A281,'ПР 01-02.21'!$A$11:$BB$406,15,FALSE)+VLOOKUP($A281,'ПР 21-22'!$A$11:$BB$406,15,FALSE)-VLOOKUP($A281,'ПР 01-02.22'!$A$11:$BB$378,15,FALSE)</f>
        <v>8</v>
      </c>
      <c r="P281" s="5">
        <f>VLOOKUP($A281,'ПР 01-02.21'!$A$11:$BB$406,16,FALSE)+VLOOKUP($A281,'ПР 21-22'!$A$11:$BB$406,16,FALSE)-VLOOKUP($A281,'ПР 01-02.22'!$A$11:$BB$378,16,FALSE)</f>
        <v>1213</v>
      </c>
      <c r="Q281" s="443"/>
      <c r="R281" s="5">
        <f>VLOOKUP($A281,'ПР 01-02.21'!$A$11:$BB$406,18,FALSE)+VLOOKUP($A281,'ПР 21-22'!$A$11:$BB$406,18,FALSE)-VLOOKUP($A281,'ПР 01-02.22'!$A$11:$BB$378,18,FALSE)</f>
        <v>0</v>
      </c>
      <c r="S281" s="5">
        <f>VLOOKUP($A281,'ПР 01-02.21'!$A$11:$BB$406,19,FALSE)+VLOOKUP($A281,'ПР 21-22'!$A$11:$BB$406,19,FALSE)-VLOOKUP($A281,'ПР 01-02.22'!$A$11:$BB$378,19,FALSE)</f>
        <v>0</v>
      </c>
      <c r="T281" s="444"/>
      <c r="U281" s="5">
        <f>VLOOKUP($A281,'ПР 01-02.21'!$A$11:$BB$406,21,FALSE)+VLOOKUP($A281,'ПР 21-22'!$A$11:$BB$406,21,FALSE)-VLOOKUP($A281,'ПР 01-02.22'!$A$11:$BB$378,21,FALSE)</f>
        <v>0</v>
      </c>
      <c r="V281" s="5"/>
      <c r="W281" s="5">
        <f>VLOOKUP($A281,'ПР 01-02.21'!$A$11:$BB$406,23,FALSE)+VLOOKUP($A281,'ПР 21-22'!$A$11:$BB$406,23,FALSE)-VLOOKUP($A281,'ПР 01-02.22'!$A$11:$BB$378,23,FALSE)</f>
        <v>3</v>
      </c>
      <c r="X281" s="5">
        <f>VLOOKUP($A281,'ПР 01-02.21'!$A$11:$BB$406,24,FALSE)+VLOOKUP($A281,'ПР 21-22'!$A$11:$BB$406,24,FALSE)-VLOOKUP($A281,'ПР 01-02.22'!$A$11:$BB$378,24,FALSE)</f>
        <v>1184.4177778197381</v>
      </c>
      <c r="Y281" s="5">
        <f>VLOOKUP($A281,'ПР 01-02.21'!$A$11:$BB$406,25,FALSE)+VLOOKUP($A281,'ПР 21-22'!$A$11:$BB$406,25,FALSE)-VLOOKUP($A281,'ПР 01-02.22'!$A$11:$BB$378,25,FALSE)</f>
        <v>5096</v>
      </c>
      <c r="Z281" s="5"/>
      <c r="AA281" s="5">
        <f>VLOOKUP($A281,'ПР 01-02.21'!$A$11:$BB$406,27,FALSE)+VLOOKUP($A281,'ПР 21-22'!$A$11:$BB$406,27,FALSE)-VLOOKUP($A281,'ПР 01-02.22'!$A$11:$BB$378,27,FALSE)</f>
        <v>0</v>
      </c>
      <c r="AB281" s="5">
        <f>VLOOKUP($A281,'ПР 01-02.21'!$A$11:$BB$406,28,FALSE)+VLOOKUP($A281,'ПР 21-22'!$A$11:$BB$406,28,FALSE)-VLOOKUP($A281,'ПР 01-02.22'!$A$11:$BB$378,28,FALSE)</f>
        <v>2962.32</v>
      </c>
      <c r="AC281" s="5">
        <f>VLOOKUP($A281,'ПР 01-02.21'!$A$11:$BB$406,29,FALSE)+VLOOKUP($A281,'ПР 21-22'!$A$11:$BB$406,29,FALSE)-VLOOKUP($A281,'ПР 01-02.22'!$A$11:$BB$378,29,FALSE)</f>
        <v>5382</v>
      </c>
      <c r="AD281" s="5">
        <f>VLOOKUP($A281,'ПР 01-02.21'!$A$11:$BB$406,30,FALSE)+VLOOKUP($A281,'ПР 21-22'!$A$11:$BB$406,30,FALSE)-VLOOKUP($A281,'ПР 01-02.22'!$A$11:$BB$378,30,FALSE)</f>
        <v>1337</v>
      </c>
      <c r="AE281" s="5">
        <f>VLOOKUP($A281,'ПР 01-02.21'!$A$11:$BB$406,31,FALSE)+VLOOKUP($A281,'ПР 21-22'!$A$11:$BB$406,31,FALSE)-VLOOKUP($A281,'ПР 01-02.22'!$A$11:$BB$378,31,FALSE)</f>
        <v>4169.5549612048289</v>
      </c>
      <c r="AF281" s="5">
        <f>VLOOKUP($A281,'ПР 01-02.21'!$A$11:$BB$406,32,FALSE)+VLOOKUP($A281,'ПР 21-22'!$A$11:$BB$406,32,FALSE)-VLOOKUP($A281,'ПР 01-02.22'!$A$11:$BB$378,32,FALSE)</f>
        <v>4301</v>
      </c>
      <c r="AG281" s="40"/>
      <c r="AH281" s="5">
        <f>VLOOKUP($A281,'ПР 01-02.21'!$A$11:$BB$406,34,FALSE)+VLOOKUP($A281,'ПР 21-22'!$A$11:$BB$406,34,FALSE)-VLOOKUP($A281,'ПР 01-02.22'!$A$11:$BB$378,34,FALSE)</f>
        <v>6164.1930063069394</v>
      </c>
      <c r="AI281" s="5">
        <f>VLOOKUP($A281,'ПР 01-02.21'!$A$11:$BB$406,35,FALSE)+VLOOKUP($A281,'ПР 21-22'!$A$11:$BB$406,35,FALSE)-VLOOKUP($A281,'ПР 01-02.22'!$A$11:$BB$378,35,FALSE)</f>
        <v>2616</v>
      </c>
      <c r="AJ281" s="40"/>
      <c r="AK281" s="5">
        <f>VLOOKUP($A281,'ПР 01-02.21'!$A$11:$BB$406,37,FALSE)+VLOOKUP($A281,'ПР 21-22'!$A$11:$BB$406,37,FALSE)-VLOOKUP($A281,'ПР 01-02.22'!$A$11:$BB$378,37,FALSE)</f>
        <v>2135.4501683543594</v>
      </c>
      <c r="AL281" s="5">
        <f>VLOOKUP($A281,'ПР 01-02.21'!$A$11:$BB$406,38,FALSE)+VLOOKUP($A281,'ПР 21-22'!$A$11:$BB$406,38,FALSE)-VLOOKUP($A281,'ПР 01-02.22'!$A$11:$BB$378,38,FALSE)</f>
        <v>8883</v>
      </c>
      <c r="AM281" s="40"/>
      <c r="AN281" s="5">
        <f>VLOOKUP($A281,'ПР 01-02.21'!$A$11:$BB$406,40,FALSE)+VLOOKUP($A281,'ПР 21-22'!$A$11:$BB$406,40,FALSE)-VLOOKUP($A281,'ПР 01-02.22'!$A$11:$BB$378,40,FALSE)</f>
        <v>0</v>
      </c>
      <c r="AO281" s="5">
        <f>VLOOKUP($A281,'ПР 01-02.21'!$A$11:$BB$406,41,FALSE)+VLOOKUP($A281,'ПР 21-22'!$A$11:$BB$406,41,FALSE)-VLOOKUP($A281,'ПР 01-02.22'!$A$11:$BB$378,41,FALSE)</f>
        <v>0</v>
      </c>
      <c r="AP281" s="40"/>
      <c r="AQ281" s="5">
        <f>VLOOKUP($A281,'ПР 01-02.21'!$A$11:$BB$406,43,FALSE)+VLOOKUP($A281,'ПР 21-22'!$A$11:$BB$406,43,FALSE)-VLOOKUP($A281,'ПР 01-02.22'!$A$11:$BB$378,43,FALSE)</f>
        <v>2499.7849063102835</v>
      </c>
      <c r="AR281" s="5">
        <f>VLOOKUP($A281,'ПР 01-02.21'!$A$11:$BB$406,44,FALSE)+VLOOKUP($A281,'ПР 21-22'!$A$11:$BB$406,44,FALSE)-VLOOKUP($A281,'ПР 01-02.22'!$A$11:$BB$378,44,FALSE)</f>
        <v>0</v>
      </c>
      <c r="AS281" s="40"/>
      <c r="AT281" s="5">
        <f>VLOOKUP($A281,'ПР 01-02.21'!$A$11:$BB$406,46,FALSE)+VLOOKUP($A281,'ПР 21-22'!$A$11:$BB$406,46,FALSE)-VLOOKUP($A281,'ПР 01-02.22'!$A$11:$BB$378,46,FALSE)</f>
        <v>3863.0122247724785</v>
      </c>
      <c r="AU281" s="5">
        <f>VLOOKUP($A281,'ПР 01-02.21'!$A$11:$BB$406,47,FALSE)+VLOOKUP($A281,'ПР 21-22'!$A$11:$BB$406,47,FALSE)-VLOOKUP($A281,'ПР 01-02.22'!$A$11:$BB$378,47,FALSE)</f>
        <v>1564</v>
      </c>
      <c r="AV281" s="40"/>
      <c r="AW281" s="5">
        <f>VLOOKUP($A281,'ПР 01-02.21'!$A$11:$BB$406,49,FALSE)+VLOOKUP($A281,'ПР 21-22'!$A$11:$BB$406,49,FALSE)-VLOOKUP($A281,'ПР 01-02.22'!$A$11:$BB$378,49,FALSE)</f>
        <v>223.268</v>
      </c>
      <c r="AX281" s="5">
        <f>VLOOKUP($A281,'ПР 01-02.21'!$A$11:$BB$406,50,FALSE)+VLOOKUP($A281,'ПР 21-22'!$A$11:$BB$406,50,FALSE)-VLOOKUP($A281,'ПР 01-02.22'!$A$11:$BB$378,50,FALSE)</f>
        <v>0</v>
      </c>
      <c r="AY281" s="40"/>
      <c r="AZ281" s="40">
        <f t="shared" si="17"/>
        <v>19055.263266948892</v>
      </c>
      <c r="BA281" s="40">
        <f t="shared" si="17"/>
        <v>17364</v>
      </c>
      <c r="BB281" s="55">
        <f t="shared" si="20"/>
        <v>-1691.2632669488921</v>
      </c>
      <c r="BD281" s="2">
        <v>3</v>
      </c>
      <c r="BF281" s="325">
        <v>150000718</v>
      </c>
    </row>
    <row r="282" spans="1:58" ht="24.9" customHeight="1" x14ac:dyDescent="0.3">
      <c r="A282" s="325">
        <v>150000720</v>
      </c>
      <c r="B282" s="445" t="s">
        <v>289</v>
      </c>
      <c r="C282" s="27">
        <v>5</v>
      </c>
      <c r="D282" s="101" t="s">
        <v>455</v>
      </c>
      <c r="E282" s="279">
        <f>'побудинковий звіт'!E280</f>
        <v>3670.1</v>
      </c>
      <c r="F282" s="441">
        <f>'побудинковий звіт'!AS280</f>
        <v>24000.989847864912</v>
      </c>
      <c r="G282" s="441">
        <f t="shared" si="18"/>
        <v>49560.42</v>
      </c>
      <c r="H282" s="73">
        <f t="shared" si="19"/>
        <v>25559.430152135086</v>
      </c>
      <c r="I282" s="5">
        <f>VLOOKUP($A282,'ПР 01-02.21'!$A$11:$BB$406,9,FALSE)+VLOOKUP($A282,'ПР 21-22'!$A$11:$BB$406,9,FALSE)-VLOOKUP($A282,'ПР 01-02.22'!$A$11:$BB$378,9,FALSE)</f>
        <v>187</v>
      </c>
      <c r="J282" s="5">
        <f>VLOOKUP($A282,'ПР 01-02.21'!$A$11:$BB$406,10,FALSE)+VLOOKUP($A282,'ПР 21-22'!$A$11:$BB$406,10,FALSE)-VLOOKUP($A282,'ПР 01-02.22'!$A$11:$BB$378,10,FALSE)</f>
        <v>37565</v>
      </c>
      <c r="K282" s="450"/>
      <c r="L282" s="5">
        <f>VLOOKUP($A282,'ПР 01-02.21'!$A$11:$BB$406,12,FALSE)+VLOOKUP($A282,'ПР 21-22'!$A$11:$BB$406,12,FALSE)-VLOOKUP($A282,'ПР 01-02.22'!$A$11:$BB$378,12,FALSE)</f>
        <v>0</v>
      </c>
      <c r="M282" s="5">
        <f>VLOOKUP($A282,'ПР 01-02.21'!$A$11:$BB$406,13,FALSE)+VLOOKUP($A282,'ПР 21-22'!$A$11:$BB$406,13,FALSE)-VLOOKUP($A282,'ПР 01-02.22'!$A$11:$BB$378,13,FALSE)</f>
        <v>495</v>
      </c>
      <c r="N282" s="38"/>
      <c r="O282" s="5">
        <f>VLOOKUP($A282,'ПР 01-02.21'!$A$11:$BB$406,15,FALSE)+VLOOKUP($A282,'ПР 21-22'!$A$11:$BB$406,15,FALSE)-VLOOKUP($A282,'ПР 01-02.22'!$A$11:$BB$378,15,FALSE)</f>
        <v>0</v>
      </c>
      <c r="P282" s="5">
        <f>VLOOKUP($A282,'ПР 01-02.21'!$A$11:$BB$406,16,FALSE)+VLOOKUP($A282,'ПР 21-22'!$A$11:$BB$406,16,FALSE)-VLOOKUP($A282,'ПР 01-02.22'!$A$11:$BB$378,16,FALSE)</f>
        <v>0</v>
      </c>
      <c r="Q282" s="443"/>
      <c r="R282" s="5">
        <f>VLOOKUP($A282,'ПР 01-02.21'!$A$11:$BB$406,18,FALSE)+VLOOKUP($A282,'ПР 21-22'!$A$11:$BB$406,18,FALSE)-VLOOKUP($A282,'ПР 01-02.22'!$A$11:$BB$378,18,FALSE)</f>
        <v>0</v>
      </c>
      <c r="S282" s="5">
        <f>VLOOKUP($A282,'ПР 01-02.21'!$A$11:$BB$406,19,FALSE)+VLOOKUP($A282,'ПР 21-22'!$A$11:$BB$406,19,FALSE)-VLOOKUP($A282,'ПР 01-02.22'!$A$11:$BB$378,19,FALSE)</f>
        <v>0</v>
      </c>
      <c r="T282" s="444"/>
      <c r="U282" s="5">
        <f>VLOOKUP($A282,'ПР 01-02.21'!$A$11:$BB$406,21,FALSE)+VLOOKUP($A282,'ПР 21-22'!$A$11:$BB$406,21,FALSE)-VLOOKUP($A282,'ПР 01-02.22'!$A$11:$BB$378,21,FALSE)</f>
        <v>0</v>
      </c>
      <c r="V282" s="5"/>
      <c r="W282" s="5">
        <f>VLOOKUP($A282,'ПР 01-02.21'!$A$11:$BB$406,23,FALSE)+VLOOKUP($A282,'ПР 21-22'!$A$11:$BB$406,23,FALSE)-VLOOKUP($A282,'ПР 01-02.22'!$A$11:$BB$378,23,FALSE)</f>
        <v>0</v>
      </c>
      <c r="X282" s="5">
        <f>VLOOKUP($A282,'ПР 01-02.21'!$A$11:$BB$406,24,FALSE)+VLOOKUP($A282,'ПР 21-22'!$A$11:$BB$406,24,FALSE)-VLOOKUP($A282,'ПР 01-02.22'!$A$11:$BB$378,24,FALSE)</f>
        <v>0</v>
      </c>
      <c r="Y282" s="5">
        <f>VLOOKUP($A282,'ПР 01-02.21'!$A$11:$BB$406,25,FALSE)+VLOOKUP($A282,'ПР 21-22'!$A$11:$BB$406,25,FALSE)-VLOOKUP($A282,'ПР 01-02.22'!$A$11:$BB$378,25,FALSE)</f>
        <v>2422.5</v>
      </c>
      <c r="Z282" s="5"/>
      <c r="AA282" s="5">
        <f>VLOOKUP($A282,'ПР 01-02.21'!$A$11:$BB$406,27,FALSE)+VLOOKUP($A282,'ПР 21-22'!$A$11:$BB$406,27,FALSE)-VLOOKUP($A282,'ПР 01-02.22'!$A$11:$BB$378,27,FALSE)</f>
        <v>3991</v>
      </c>
      <c r="AB282" s="5">
        <f>VLOOKUP($A282,'ПР 01-02.21'!$A$11:$BB$406,28,FALSE)+VLOOKUP($A282,'ПР 21-22'!$A$11:$BB$406,28,FALSE)-VLOOKUP($A282,'ПР 01-02.22'!$A$11:$BB$378,28,FALSE)</f>
        <v>1655.92</v>
      </c>
      <c r="AC282" s="5">
        <f>VLOOKUP($A282,'ПР 01-02.21'!$A$11:$BB$406,29,FALSE)+VLOOKUP($A282,'ПР 21-22'!$A$11:$BB$406,29,FALSE)-VLOOKUP($A282,'ПР 01-02.22'!$A$11:$BB$378,29,FALSE)</f>
        <v>119</v>
      </c>
      <c r="AD282" s="5">
        <f>VLOOKUP($A282,'ПР 01-02.21'!$A$11:$BB$406,30,FALSE)+VLOOKUP($A282,'ПР 21-22'!$A$11:$BB$406,30,FALSE)-VLOOKUP($A282,'ПР 01-02.22'!$A$11:$BB$378,30,FALSE)</f>
        <v>3312</v>
      </c>
      <c r="AE282" s="5">
        <f>VLOOKUP($A282,'ПР 01-02.21'!$A$11:$BB$406,31,FALSE)+VLOOKUP($A282,'ПР 21-22'!$A$11:$BB$406,31,FALSE)-VLOOKUP($A282,'ПР 01-02.22'!$A$11:$BB$378,31,FALSE)</f>
        <v>2871.3727136244443</v>
      </c>
      <c r="AF282" s="5">
        <f>VLOOKUP($A282,'ПР 01-02.21'!$A$11:$BB$406,32,FALSE)+VLOOKUP($A282,'ПР 21-22'!$A$11:$BB$406,32,FALSE)-VLOOKUP($A282,'ПР 01-02.22'!$A$11:$BB$378,32,FALSE)</f>
        <v>0</v>
      </c>
      <c r="AG282" s="40"/>
      <c r="AH282" s="5">
        <f>VLOOKUP($A282,'ПР 01-02.21'!$A$11:$BB$406,34,FALSE)+VLOOKUP($A282,'ПР 21-22'!$A$11:$BB$406,34,FALSE)-VLOOKUP($A282,'ПР 01-02.22'!$A$11:$BB$378,34,FALSE)</f>
        <v>3998.0913620550905</v>
      </c>
      <c r="AI282" s="5">
        <f>VLOOKUP($A282,'ПР 01-02.21'!$A$11:$BB$406,35,FALSE)+VLOOKUP($A282,'ПР 21-22'!$A$11:$BB$406,35,FALSE)-VLOOKUP($A282,'ПР 01-02.22'!$A$11:$BB$378,35,FALSE)</f>
        <v>0</v>
      </c>
      <c r="AJ282" s="40"/>
      <c r="AK282" s="5">
        <f>VLOOKUP($A282,'ПР 01-02.21'!$A$11:$BB$406,37,FALSE)+VLOOKUP($A282,'ПР 21-22'!$A$11:$BB$406,37,FALSE)-VLOOKUP($A282,'ПР 01-02.22'!$A$11:$BB$378,37,FALSE)</f>
        <v>1890.8394692292525</v>
      </c>
      <c r="AL282" s="5">
        <f>VLOOKUP($A282,'ПР 01-02.21'!$A$11:$BB$406,38,FALSE)+VLOOKUP($A282,'ПР 21-22'!$A$11:$BB$406,38,FALSE)-VLOOKUP($A282,'ПР 01-02.22'!$A$11:$BB$378,38,FALSE)</f>
        <v>8731</v>
      </c>
      <c r="AM282" s="40"/>
      <c r="AN282" s="5">
        <f>VLOOKUP($A282,'ПР 01-02.21'!$A$11:$BB$406,40,FALSE)+VLOOKUP($A282,'ПР 21-22'!$A$11:$BB$406,40,FALSE)-VLOOKUP($A282,'ПР 01-02.22'!$A$11:$BB$378,40,FALSE)</f>
        <v>2853.9961125015752</v>
      </c>
      <c r="AO282" s="5">
        <f>VLOOKUP($A282,'ПР 01-02.21'!$A$11:$BB$406,41,FALSE)+VLOOKUP($A282,'ПР 21-22'!$A$11:$BB$406,41,FALSE)-VLOOKUP($A282,'ПР 01-02.22'!$A$11:$BB$378,41,FALSE)</f>
        <v>0</v>
      </c>
      <c r="AP282" s="40"/>
      <c r="AQ282" s="5">
        <f>VLOOKUP($A282,'ПР 01-02.21'!$A$11:$BB$406,43,FALSE)+VLOOKUP($A282,'ПР 21-22'!$A$11:$BB$406,43,FALSE)-VLOOKUP($A282,'ПР 01-02.22'!$A$11:$BB$378,43,FALSE)</f>
        <v>0</v>
      </c>
      <c r="AR282" s="5">
        <f>VLOOKUP($A282,'ПР 01-02.21'!$A$11:$BB$406,44,FALSE)+VLOOKUP($A282,'ПР 21-22'!$A$11:$BB$406,44,FALSE)-VLOOKUP($A282,'ПР 01-02.22'!$A$11:$BB$378,44,FALSE)</f>
        <v>0</v>
      </c>
      <c r="AS282" s="40"/>
      <c r="AT282" s="5">
        <f>VLOOKUP($A282,'ПР 01-02.21'!$A$11:$BB$406,46,FALSE)+VLOOKUP($A282,'ПР 21-22'!$A$11:$BB$406,46,FALSE)-VLOOKUP($A282,'ПР 01-02.22'!$A$11:$BB$378,46,FALSE)</f>
        <v>1500.9615391069194</v>
      </c>
      <c r="AU282" s="5">
        <f>VLOOKUP($A282,'ПР 01-02.21'!$A$11:$BB$406,47,FALSE)+VLOOKUP($A282,'ПР 21-22'!$A$11:$BB$406,47,FALSE)-VLOOKUP($A282,'ПР 01-02.22'!$A$11:$BB$378,47,FALSE)</f>
        <v>14224</v>
      </c>
      <c r="AV282" s="40"/>
      <c r="AW282" s="5">
        <f>VLOOKUP($A282,'ПР 01-02.21'!$A$11:$BB$406,49,FALSE)+VLOOKUP($A282,'ПР 21-22'!$A$11:$BB$406,49,FALSE)-VLOOKUP($A282,'ПР 01-02.22'!$A$11:$BB$378,49,FALSE)</f>
        <v>183.804</v>
      </c>
      <c r="AX282" s="5">
        <f>VLOOKUP($A282,'ПР 01-02.21'!$A$11:$BB$406,50,FALSE)+VLOOKUP($A282,'ПР 21-22'!$A$11:$BB$406,50,FALSE)-VLOOKUP($A282,'ПР 01-02.22'!$A$11:$BB$378,50,FALSE)</f>
        <v>0</v>
      </c>
      <c r="AY282" s="40"/>
      <c r="AZ282" s="40">
        <f t="shared" si="17"/>
        <v>13299.065196517284</v>
      </c>
      <c r="BA282" s="40">
        <f t="shared" si="17"/>
        <v>22955</v>
      </c>
      <c r="BB282" s="55">
        <f t="shared" si="20"/>
        <v>9655.9348034827162</v>
      </c>
      <c r="BD282" s="2">
        <v>3</v>
      </c>
      <c r="BF282" s="325">
        <v>150000720</v>
      </c>
    </row>
    <row r="283" spans="1:58" ht="24.9" customHeight="1" x14ac:dyDescent="0.3">
      <c r="A283" s="325">
        <v>150000750</v>
      </c>
      <c r="B283" s="445" t="s">
        <v>130</v>
      </c>
      <c r="C283" s="27">
        <v>1</v>
      </c>
      <c r="D283" s="101" t="s">
        <v>455</v>
      </c>
      <c r="E283" s="279">
        <f>'побудинковий звіт'!E281</f>
        <v>275.8</v>
      </c>
      <c r="F283" s="441">
        <f>'побудинковий звіт'!AS281</f>
        <v>3298.4734674408191</v>
      </c>
      <c r="G283" s="441">
        <f t="shared" si="18"/>
        <v>3140</v>
      </c>
      <c r="H283" s="73">
        <f t="shared" si="19"/>
        <v>-158.47346744081915</v>
      </c>
      <c r="I283" s="5">
        <f>VLOOKUP($A283,'ПР 01-02.21'!$A$11:$BB$406,9,FALSE)+VLOOKUP($A283,'ПР 21-22'!$A$11:$BB$406,9,FALSE)-VLOOKUP($A283,'ПР 01-02.22'!$A$11:$BB$378,9,FALSE)</f>
        <v>0</v>
      </c>
      <c r="J283" s="5">
        <f>VLOOKUP($A283,'ПР 01-02.21'!$A$11:$BB$406,10,FALSE)+VLOOKUP($A283,'ПР 21-22'!$A$11:$BB$406,10,FALSE)-VLOOKUP($A283,'ПР 01-02.22'!$A$11:$BB$378,10,FALSE)</f>
        <v>0</v>
      </c>
      <c r="K283" s="446"/>
      <c r="L283" s="5">
        <f>VLOOKUP($A283,'ПР 01-02.21'!$A$11:$BB$406,12,FALSE)+VLOOKUP($A283,'ПР 21-22'!$A$11:$BB$406,12,FALSE)-VLOOKUP($A283,'ПР 01-02.22'!$A$11:$BB$378,12,FALSE)</f>
        <v>0</v>
      </c>
      <c r="M283" s="5">
        <f>VLOOKUP($A283,'ПР 01-02.21'!$A$11:$BB$406,13,FALSE)+VLOOKUP($A283,'ПР 21-22'!$A$11:$BB$406,13,FALSE)-VLOOKUP($A283,'ПР 01-02.22'!$A$11:$BB$378,13,FALSE)</f>
        <v>0</v>
      </c>
      <c r="N283" s="38"/>
      <c r="O283" s="5">
        <f>VLOOKUP($A283,'ПР 01-02.21'!$A$11:$BB$406,15,FALSE)+VLOOKUP($A283,'ПР 21-22'!$A$11:$BB$406,15,FALSE)-VLOOKUP($A283,'ПР 01-02.22'!$A$11:$BB$378,15,FALSE)</f>
        <v>0</v>
      </c>
      <c r="P283" s="5">
        <f>VLOOKUP($A283,'ПР 01-02.21'!$A$11:$BB$406,16,FALSE)+VLOOKUP($A283,'ПР 21-22'!$A$11:$BB$406,16,FALSE)-VLOOKUP($A283,'ПР 01-02.22'!$A$11:$BB$378,16,FALSE)</f>
        <v>0</v>
      </c>
      <c r="Q283" s="443"/>
      <c r="R283" s="5">
        <f>VLOOKUP($A283,'ПР 01-02.21'!$A$11:$BB$406,18,FALSE)+VLOOKUP($A283,'ПР 21-22'!$A$11:$BB$406,18,FALSE)-VLOOKUP($A283,'ПР 01-02.22'!$A$11:$BB$378,18,FALSE)</f>
        <v>0</v>
      </c>
      <c r="S283" s="5">
        <f>VLOOKUP($A283,'ПР 01-02.21'!$A$11:$BB$406,19,FALSE)+VLOOKUP($A283,'ПР 21-22'!$A$11:$BB$406,19,FALSE)-VLOOKUP($A283,'ПР 01-02.22'!$A$11:$BB$378,19,FALSE)</f>
        <v>0</v>
      </c>
      <c r="T283" s="444"/>
      <c r="U283" s="5">
        <f>VLOOKUP($A283,'ПР 01-02.21'!$A$11:$BB$406,21,FALSE)+VLOOKUP($A283,'ПР 21-22'!$A$11:$BB$406,21,FALSE)-VLOOKUP($A283,'ПР 01-02.22'!$A$11:$BB$378,21,FALSE)</f>
        <v>0</v>
      </c>
      <c r="V283" s="5"/>
      <c r="W283" s="5">
        <f>VLOOKUP($A283,'ПР 01-02.21'!$A$11:$BB$406,23,FALSE)+VLOOKUP($A283,'ПР 21-22'!$A$11:$BB$406,23,FALSE)-VLOOKUP($A283,'ПР 01-02.22'!$A$11:$BB$378,23,FALSE)</f>
        <v>2</v>
      </c>
      <c r="X283" s="5">
        <f>VLOOKUP($A283,'ПР 01-02.21'!$A$11:$BB$406,24,FALSE)+VLOOKUP($A283,'ПР 21-22'!$A$11:$BB$406,24,FALSE)-VLOOKUP($A283,'ПР 01-02.22'!$A$11:$BB$378,24,FALSE)</f>
        <v>842</v>
      </c>
      <c r="Y283" s="5">
        <f>VLOOKUP($A283,'ПР 01-02.21'!$A$11:$BB$406,25,FALSE)+VLOOKUP($A283,'ПР 21-22'!$A$11:$BB$406,25,FALSE)-VLOOKUP($A283,'ПР 01-02.22'!$A$11:$BB$378,25,FALSE)</f>
        <v>0</v>
      </c>
      <c r="Z283" s="5"/>
      <c r="AA283" s="5">
        <f>VLOOKUP($A283,'ПР 01-02.21'!$A$11:$BB$406,27,FALSE)+VLOOKUP($A283,'ПР 21-22'!$A$11:$BB$406,27,FALSE)-VLOOKUP($A283,'ПР 01-02.22'!$A$11:$BB$378,27,FALSE)</f>
        <v>0</v>
      </c>
      <c r="AB283" s="5">
        <f>VLOOKUP($A283,'ПР 01-02.21'!$A$11:$BB$406,28,FALSE)+VLOOKUP($A283,'ПР 21-22'!$A$11:$BB$406,28,FALSE)-VLOOKUP($A283,'ПР 01-02.22'!$A$11:$BB$378,28,FALSE)</f>
        <v>0</v>
      </c>
      <c r="AC283" s="5">
        <f>VLOOKUP($A283,'ПР 01-02.21'!$A$11:$BB$406,29,FALSE)+VLOOKUP($A283,'ПР 21-22'!$A$11:$BB$406,29,FALSE)-VLOOKUP($A283,'ПР 01-02.22'!$A$11:$BB$378,29,FALSE)</f>
        <v>0</v>
      </c>
      <c r="AD283" s="5">
        <f>VLOOKUP($A283,'ПР 01-02.21'!$A$11:$BB$406,30,FALSE)+VLOOKUP($A283,'ПР 21-22'!$A$11:$BB$406,30,FALSE)-VLOOKUP($A283,'ПР 01-02.22'!$A$11:$BB$378,30,FALSE)</f>
        <v>2298</v>
      </c>
      <c r="AE283" s="5">
        <f>VLOOKUP($A283,'ПР 01-02.21'!$A$11:$BB$406,31,FALSE)+VLOOKUP($A283,'ПР 21-22'!$A$11:$BB$406,31,FALSE)-VLOOKUP($A283,'ПР 01-02.22'!$A$11:$BB$378,31,FALSE)</f>
        <v>0</v>
      </c>
      <c r="AF283" s="5">
        <f>VLOOKUP($A283,'ПР 01-02.21'!$A$11:$BB$406,32,FALSE)+VLOOKUP($A283,'ПР 21-22'!$A$11:$BB$406,32,FALSE)-VLOOKUP($A283,'ПР 01-02.22'!$A$11:$BB$378,32,FALSE)</f>
        <v>0</v>
      </c>
      <c r="AG283" s="40"/>
      <c r="AH283" s="5">
        <f>VLOOKUP($A283,'ПР 01-02.21'!$A$11:$BB$406,34,FALSE)+VLOOKUP($A283,'ПР 21-22'!$A$11:$BB$406,34,FALSE)-VLOOKUP($A283,'ПР 01-02.22'!$A$11:$BB$378,34,FALSE)</f>
        <v>0</v>
      </c>
      <c r="AI283" s="5">
        <f>VLOOKUP($A283,'ПР 01-02.21'!$A$11:$BB$406,35,FALSE)+VLOOKUP($A283,'ПР 21-22'!$A$11:$BB$406,35,FALSE)-VLOOKUP($A283,'ПР 01-02.22'!$A$11:$BB$378,35,FALSE)</f>
        <v>0</v>
      </c>
      <c r="AJ283" s="40"/>
      <c r="AK283" s="5">
        <f>VLOOKUP($A283,'ПР 01-02.21'!$A$11:$BB$406,37,FALSE)+VLOOKUP($A283,'ПР 21-22'!$A$11:$BB$406,37,FALSE)-VLOOKUP($A283,'ПР 01-02.22'!$A$11:$BB$378,37,FALSE)</f>
        <v>0</v>
      </c>
      <c r="AL283" s="5">
        <f>VLOOKUP($A283,'ПР 01-02.21'!$A$11:$BB$406,38,FALSE)+VLOOKUP($A283,'ПР 21-22'!$A$11:$BB$406,38,FALSE)-VLOOKUP($A283,'ПР 01-02.22'!$A$11:$BB$378,38,FALSE)</f>
        <v>0</v>
      </c>
      <c r="AM283" s="40"/>
      <c r="AN283" s="5">
        <f>VLOOKUP($A283,'ПР 01-02.21'!$A$11:$BB$406,40,FALSE)+VLOOKUP($A283,'ПР 21-22'!$A$11:$BB$406,40,FALSE)-VLOOKUP($A283,'ПР 01-02.22'!$A$11:$BB$378,40,FALSE)</f>
        <v>0</v>
      </c>
      <c r="AO283" s="5">
        <f>VLOOKUP($A283,'ПР 01-02.21'!$A$11:$BB$406,41,FALSE)+VLOOKUP($A283,'ПР 21-22'!$A$11:$BB$406,41,FALSE)-VLOOKUP($A283,'ПР 01-02.22'!$A$11:$BB$378,41,FALSE)</f>
        <v>0</v>
      </c>
      <c r="AP283" s="40"/>
      <c r="AQ283" s="5">
        <f>VLOOKUP($A283,'ПР 01-02.21'!$A$11:$BB$406,43,FALSE)+VLOOKUP($A283,'ПР 21-22'!$A$11:$BB$406,43,FALSE)-VLOOKUP($A283,'ПР 01-02.22'!$A$11:$BB$378,43,FALSE)</f>
        <v>0</v>
      </c>
      <c r="AR283" s="5">
        <f>VLOOKUP($A283,'ПР 01-02.21'!$A$11:$BB$406,44,FALSE)+VLOOKUP($A283,'ПР 21-22'!$A$11:$BB$406,44,FALSE)-VLOOKUP($A283,'ПР 01-02.22'!$A$11:$BB$378,44,FALSE)</f>
        <v>0</v>
      </c>
      <c r="AS283" s="40"/>
      <c r="AT283" s="5">
        <f>VLOOKUP($A283,'ПР 01-02.21'!$A$11:$BB$406,46,FALSE)+VLOOKUP($A283,'ПР 21-22'!$A$11:$BB$406,46,FALSE)-VLOOKUP($A283,'ПР 01-02.22'!$A$11:$BB$378,46,FALSE)</f>
        <v>0</v>
      </c>
      <c r="AU283" s="5">
        <f>VLOOKUP($A283,'ПР 01-02.21'!$A$11:$BB$406,47,FALSE)+VLOOKUP($A283,'ПР 21-22'!$A$11:$BB$406,47,FALSE)-VLOOKUP($A283,'ПР 01-02.22'!$A$11:$BB$378,47,FALSE)</f>
        <v>0</v>
      </c>
      <c r="AV283" s="40"/>
      <c r="AW283" s="5">
        <f>VLOOKUP($A283,'ПР 01-02.21'!$A$11:$BB$406,49,FALSE)+VLOOKUP($A283,'ПР 21-22'!$A$11:$BB$406,49,FALSE)-VLOOKUP($A283,'ПР 01-02.22'!$A$11:$BB$378,49,FALSE)</f>
        <v>23.098182928731894</v>
      </c>
      <c r="AX283" s="5">
        <f>VLOOKUP($A283,'ПР 01-02.21'!$A$11:$BB$406,50,FALSE)+VLOOKUP($A283,'ПР 21-22'!$A$11:$BB$406,50,FALSE)-VLOOKUP($A283,'ПР 01-02.22'!$A$11:$BB$378,50,FALSE)</f>
        <v>0</v>
      </c>
      <c r="AY283" s="40"/>
      <c r="AZ283" s="40">
        <f t="shared" si="17"/>
        <v>23.098182928731894</v>
      </c>
      <c r="BA283" s="40">
        <f t="shared" si="17"/>
        <v>0</v>
      </c>
      <c r="BB283" s="55">
        <f t="shared" si="20"/>
        <v>-23.098182928731894</v>
      </c>
      <c r="BD283" s="2">
        <v>1</v>
      </c>
      <c r="BF283" s="325">
        <v>150000750</v>
      </c>
    </row>
    <row r="284" spans="1:58" ht="24.9" customHeight="1" x14ac:dyDescent="0.3">
      <c r="A284" s="325">
        <v>150000751</v>
      </c>
      <c r="B284" s="445" t="s">
        <v>131</v>
      </c>
      <c r="C284" s="27">
        <v>1</v>
      </c>
      <c r="D284" s="101" t="s">
        <v>455</v>
      </c>
      <c r="E284" s="279">
        <f>'побудинковий звіт'!E282</f>
        <v>146.1</v>
      </c>
      <c r="F284" s="441">
        <f>'побудинковий звіт'!AS282</f>
        <v>1497.1741778921619</v>
      </c>
      <c r="G284" s="441">
        <f t="shared" si="18"/>
        <v>1839</v>
      </c>
      <c r="H284" s="73">
        <f t="shared" si="19"/>
        <v>341.82582210783812</v>
      </c>
      <c r="I284" s="5">
        <f>VLOOKUP($A284,'ПР 01-02.21'!$A$11:$BB$406,9,FALSE)+VLOOKUP($A284,'ПР 21-22'!$A$11:$BB$406,9,FALSE)-VLOOKUP($A284,'ПР 01-02.22'!$A$11:$BB$378,9,FALSE)</f>
        <v>0</v>
      </c>
      <c r="J284" s="5">
        <f>VLOOKUP($A284,'ПР 01-02.21'!$A$11:$BB$406,10,FALSE)+VLOOKUP($A284,'ПР 21-22'!$A$11:$BB$406,10,FALSE)-VLOOKUP($A284,'ПР 01-02.22'!$A$11:$BB$378,10,FALSE)</f>
        <v>0</v>
      </c>
      <c r="K284" s="446"/>
      <c r="L284" s="5">
        <f>VLOOKUP($A284,'ПР 01-02.21'!$A$11:$BB$406,12,FALSE)+VLOOKUP($A284,'ПР 21-22'!$A$11:$BB$406,12,FALSE)-VLOOKUP($A284,'ПР 01-02.22'!$A$11:$BB$378,12,FALSE)</f>
        <v>0</v>
      </c>
      <c r="M284" s="5">
        <f>VLOOKUP($A284,'ПР 01-02.21'!$A$11:$BB$406,13,FALSE)+VLOOKUP($A284,'ПР 21-22'!$A$11:$BB$406,13,FALSE)-VLOOKUP($A284,'ПР 01-02.22'!$A$11:$BB$378,13,FALSE)</f>
        <v>0</v>
      </c>
      <c r="N284" s="38"/>
      <c r="O284" s="5">
        <f>VLOOKUP($A284,'ПР 01-02.21'!$A$11:$BB$406,15,FALSE)+VLOOKUP($A284,'ПР 21-22'!$A$11:$BB$406,15,FALSE)-VLOOKUP($A284,'ПР 01-02.22'!$A$11:$BB$378,15,FALSE)</f>
        <v>0</v>
      </c>
      <c r="P284" s="5">
        <f>VLOOKUP($A284,'ПР 01-02.21'!$A$11:$BB$406,16,FALSE)+VLOOKUP($A284,'ПР 21-22'!$A$11:$BB$406,16,FALSE)-VLOOKUP($A284,'ПР 01-02.22'!$A$11:$BB$378,16,FALSE)</f>
        <v>0</v>
      </c>
      <c r="Q284" s="443"/>
      <c r="R284" s="5">
        <f>VLOOKUP($A284,'ПР 01-02.21'!$A$11:$BB$406,18,FALSE)+VLOOKUP($A284,'ПР 21-22'!$A$11:$BB$406,18,FALSE)-VLOOKUP($A284,'ПР 01-02.22'!$A$11:$BB$378,18,FALSE)</f>
        <v>0</v>
      </c>
      <c r="S284" s="5">
        <f>VLOOKUP($A284,'ПР 01-02.21'!$A$11:$BB$406,19,FALSE)+VLOOKUP($A284,'ПР 21-22'!$A$11:$BB$406,19,FALSE)-VLOOKUP($A284,'ПР 01-02.22'!$A$11:$BB$378,19,FALSE)</f>
        <v>0</v>
      </c>
      <c r="T284" s="444"/>
      <c r="U284" s="5">
        <f>VLOOKUP($A284,'ПР 01-02.21'!$A$11:$BB$406,21,FALSE)+VLOOKUP($A284,'ПР 21-22'!$A$11:$BB$406,21,FALSE)-VLOOKUP($A284,'ПР 01-02.22'!$A$11:$BB$378,21,FALSE)</f>
        <v>0</v>
      </c>
      <c r="V284" s="5"/>
      <c r="W284" s="5">
        <f>VLOOKUP($A284,'ПР 01-02.21'!$A$11:$BB$406,23,FALSE)+VLOOKUP($A284,'ПР 21-22'!$A$11:$BB$406,23,FALSE)-VLOOKUP($A284,'ПР 01-02.22'!$A$11:$BB$378,23,FALSE)</f>
        <v>0</v>
      </c>
      <c r="X284" s="5">
        <f>VLOOKUP($A284,'ПР 01-02.21'!$A$11:$BB$406,24,FALSE)+VLOOKUP($A284,'ПР 21-22'!$A$11:$BB$406,24,FALSE)-VLOOKUP($A284,'ПР 01-02.22'!$A$11:$BB$378,24,FALSE)</f>
        <v>0</v>
      </c>
      <c r="Y284" s="5">
        <f>VLOOKUP($A284,'ПР 01-02.21'!$A$11:$BB$406,25,FALSE)+VLOOKUP($A284,'ПР 21-22'!$A$11:$BB$406,25,FALSE)-VLOOKUP($A284,'ПР 01-02.22'!$A$11:$BB$378,25,FALSE)</f>
        <v>0</v>
      </c>
      <c r="Z284" s="5"/>
      <c r="AA284" s="5">
        <f>VLOOKUP($A284,'ПР 01-02.21'!$A$11:$BB$406,27,FALSE)+VLOOKUP($A284,'ПР 21-22'!$A$11:$BB$406,27,FALSE)-VLOOKUP($A284,'ПР 01-02.22'!$A$11:$BB$378,27,FALSE)</f>
        <v>0</v>
      </c>
      <c r="AB284" s="5">
        <f>VLOOKUP($A284,'ПР 01-02.21'!$A$11:$BB$406,28,FALSE)+VLOOKUP($A284,'ПР 21-22'!$A$11:$BB$406,28,FALSE)-VLOOKUP($A284,'ПР 01-02.22'!$A$11:$BB$378,28,FALSE)</f>
        <v>0</v>
      </c>
      <c r="AC284" s="5">
        <f>VLOOKUP($A284,'ПР 01-02.21'!$A$11:$BB$406,29,FALSE)+VLOOKUP($A284,'ПР 21-22'!$A$11:$BB$406,29,FALSE)-VLOOKUP($A284,'ПР 01-02.22'!$A$11:$BB$378,29,FALSE)</f>
        <v>0</v>
      </c>
      <c r="AD284" s="5">
        <f>VLOOKUP($A284,'ПР 01-02.21'!$A$11:$BB$406,30,FALSE)+VLOOKUP($A284,'ПР 21-22'!$A$11:$BB$406,30,FALSE)-VLOOKUP($A284,'ПР 01-02.22'!$A$11:$BB$378,30,FALSE)</f>
        <v>1839</v>
      </c>
      <c r="AE284" s="5">
        <f>VLOOKUP($A284,'ПР 01-02.21'!$A$11:$BB$406,31,FALSE)+VLOOKUP($A284,'ПР 21-22'!$A$11:$BB$406,31,FALSE)-VLOOKUP($A284,'ПР 01-02.22'!$A$11:$BB$378,31,FALSE)</f>
        <v>0</v>
      </c>
      <c r="AF284" s="5">
        <f>VLOOKUP($A284,'ПР 01-02.21'!$A$11:$BB$406,32,FALSE)+VLOOKUP($A284,'ПР 21-22'!$A$11:$BB$406,32,FALSE)-VLOOKUP($A284,'ПР 01-02.22'!$A$11:$BB$378,32,FALSE)</f>
        <v>0</v>
      </c>
      <c r="AG284" s="40"/>
      <c r="AH284" s="5">
        <f>VLOOKUP($A284,'ПР 01-02.21'!$A$11:$BB$406,34,FALSE)+VLOOKUP($A284,'ПР 21-22'!$A$11:$BB$406,34,FALSE)-VLOOKUP($A284,'ПР 01-02.22'!$A$11:$BB$378,34,FALSE)</f>
        <v>0</v>
      </c>
      <c r="AI284" s="5">
        <f>VLOOKUP($A284,'ПР 01-02.21'!$A$11:$BB$406,35,FALSE)+VLOOKUP($A284,'ПР 21-22'!$A$11:$BB$406,35,FALSE)-VLOOKUP($A284,'ПР 01-02.22'!$A$11:$BB$378,35,FALSE)</f>
        <v>0</v>
      </c>
      <c r="AJ284" s="40"/>
      <c r="AK284" s="5">
        <f>VLOOKUP($A284,'ПР 01-02.21'!$A$11:$BB$406,37,FALSE)+VLOOKUP($A284,'ПР 21-22'!$A$11:$BB$406,37,FALSE)-VLOOKUP($A284,'ПР 01-02.22'!$A$11:$BB$378,37,FALSE)</f>
        <v>0</v>
      </c>
      <c r="AL284" s="5">
        <f>VLOOKUP($A284,'ПР 01-02.21'!$A$11:$BB$406,38,FALSE)+VLOOKUP($A284,'ПР 21-22'!$A$11:$BB$406,38,FALSE)-VLOOKUP($A284,'ПР 01-02.22'!$A$11:$BB$378,38,FALSE)</f>
        <v>0</v>
      </c>
      <c r="AM284" s="40"/>
      <c r="AN284" s="5">
        <f>VLOOKUP($A284,'ПР 01-02.21'!$A$11:$BB$406,40,FALSE)+VLOOKUP($A284,'ПР 21-22'!$A$11:$BB$406,40,FALSE)-VLOOKUP($A284,'ПР 01-02.22'!$A$11:$BB$378,40,FALSE)</f>
        <v>0</v>
      </c>
      <c r="AO284" s="5">
        <f>VLOOKUP($A284,'ПР 01-02.21'!$A$11:$BB$406,41,FALSE)+VLOOKUP($A284,'ПР 21-22'!$A$11:$BB$406,41,FALSE)-VLOOKUP($A284,'ПР 01-02.22'!$A$11:$BB$378,41,FALSE)</f>
        <v>0</v>
      </c>
      <c r="AP284" s="40"/>
      <c r="AQ284" s="5">
        <f>VLOOKUP($A284,'ПР 01-02.21'!$A$11:$BB$406,43,FALSE)+VLOOKUP($A284,'ПР 21-22'!$A$11:$BB$406,43,FALSE)-VLOOKUP($A284,'ПР 01-02.22'!$A$11:$BB$378,43,FALSE)</f>
        <v>0</v>
      </c>
      <c r="AR284" s="5">
        <f>VLOOKUP($A284,'ПР 01-02.21'!$A$11:$BB$406,44,FALSE)+VLOOKUP($A284,'ПР 21-22'!$A$11:$BB$406,44,FALSE)-VLOOKUP($A284,'ПР 01-02.22'!$A$11:$BB$378,44,FALSE)</f>
        <v>0</v>
      </c>
      <c r="AS284" s="40"/>
      <c r="AT284" s="5">
        <f>VLOOKUP($A284,'ПР 01-02.21'!$A$11:$BB$406,46,FALSE)+VLOOKUP($A284,'ПР 21-22'!$A$11:$BB$406,46,FALSE)-VLOOKUP($A284,'ПР 01-02.22'!$A$11:$BB$378,46,FALSE)</f>
        <v>0</v>
      </c>
      <c r="AU284" s="5">
        <f>VLOOKUP($A284,'ПР 01-02.21'!$A$11:$BB$406,47,FALSE)+VLOOKUP($A284,'ПР 21-22'!$A$11:$BB$406,47,FALSE)-VLOOKUP($A284,'ПР 01-02.22'!$A$11:$BB$378,47,FALSE)</f>
        <v>0</v>
      </c>
      <c r="AV284" s="40"/>
      <c r="AW284" s="5">
        <f>VLOOKUP($A284,'ПР 01-02.21'!$A$11:$BB$406,49,FALSE)+VLOOKUP($A284,'ПР 21-22'!$A$11:$BB$406,49,FALSE)-VLOOKUP($A284,'ПР 01-02.22'!$A$11:$BB$378,49,FALSE)</f>
        <v>9.603643637965888</v>
      </c>
      <c r="AX284" s="5">
        <f>VLOOKUP($A284,'ПР 01-02.21'!$A$11:$BB$406,50,FALSE)+VLOOKUP($A284,'ПР 21-22'!$A$11:$BB$406,50,FALSE)-VLOOKUP($A284,'ПР 01-02.22'!$A$11:$BB$378,50,FALSE)</f>
        <v>0</v>
      </c>
      <c r="AY284" s="40"/>
      <c r="AZ284" s="40">
        <f t="shared" si="17"/>
        <v>9.603643637965888</v>
      </c>
      <c r="BA284" s="40">
        <f t="shared" si="17"/>
        <v>0</v>
      </c>
      <c r="BB284" s="55">
        <f t="shared" si="20"/>
        <v>-9.603643637965888</v>
      </c>
      <c r="BD284" s="2">
        <v>1</v>
      </c>
      <c r="BF284" s="325">
        <v>150000751</v>
      </c>
    </row>
    <row r="285" spans="1:58" ht="24.9" customHeight="1" x14ac:dyDescent="0.3">
      <c r="A285" s="325">
        <v>150000752</v>
      </c>
      <c r="B285" s="445" t="s">
        <v>387</v>
      </c>
      <c r="C285" s="27">
        <v>9</v>
      </c>
      <c r="D285" s="101" t="s">
        <v>455</v>
      </c>
      <c r="E285" s="279">
        <f>'побудинковий звіт'!E283</f>
        <v>3990.7000000000003</v>
      </c>
      <c r="F285" s="441">
        <f>'побудинковий звіт'!AS283</f>
        <v>57046.439167106029</v>
      </c>
      <c r="G285" s="441">
        <f t="shared" si="18"/>
        <v>24272.47</v>
      </c>
      <c r="H285" s="73">
        <f t="shared" si="19"/>
        <v>-32773.969167106028</v>
      </c>
      <c r="I285" s="5">
        <f>VLOOKUP($A285,'ПР 01-02.21'!$A$11:$BB$406,9,FALSE)+VLOOKUP($A285,'ПР 21-22'!$A$11:$BB$406,9,FALSE)-VLOOKUP($A285,'ПР 01-02.22'!$A$11:$BB$378,9,FALSE)</f>
        <v>0</v>
      </c>
      <c r="J285" s="5">
        <f>VLOOKUP($A285,'ПР 01-02.21'!$A$11:$BB$406,10,FALSE)+VLOOKUP($A285,'ПР 21-22'!$A$11:$BB$406,10,FALSE)-VLOOKUP($A285,'ПР 01-02.22'!$A$11:$BB$378,10,FALSE)</f>
        <v>0</v>
      </c>
      <c r="K285" s="446"/>
      <c r="L285" s="5">
        <f>VLOOKUP($A285,'ПР 01-02.21'!$A$11:$BB$406,12,FALSE)+VLOOKUP($A285,'ПР 21-22'!$A$11:$BB$406,12,FALSE)-VLOOKUP($A285,'ПР 01-02.22'!$A$11:$BB$378,12,FALSE)</f>
        <v>0</v>
      </c>
      <c r="M285" s="5">
        <f>VLOOKUP($A285,'ПР 01-02.21'!$A$11:$BB$406,13,FALSE)+VLOOKUP($A285,'ПР 21-22'!$A$11:$BB$406,13,FALSE)-VLOOKUP($A285,'ПР 01-02.22'!$A$11:$BB$378,13,FALSE)</f>
        <v>0</v>
      </c>
      <c r="N285" s="38"/>
      <c r="O285" s="5">
        <f>VLOOKUP($A285,'ПР 01-02.21'!$A$11:$BB$406,15,FALSE)+VLOOKUP($A285,'ПР 21-22'!$A$11:$BB$406,15,FALSE)-VLOOKUP($A285,'ПР 01-02.22'!$A$11:$BB$378,15,FALSE)</f>
        <v>0</v>
      </c>
      <c r="P285" s="5">
        <f>VLOOKUP($A285,'ПР 01-02.21'!$A$11:$BB$406,16,FALSE)+VLOOKUP($A285,'ПР 21-22'!$A$11:$BB$406,16,FALSE)-VLOOKUP($A285,'ПР 01-02.22'!$A$11:$BB$378,16,FALSE)</f>
        <v>0</v>
      </c>
      <c r="Q285" s="443"/>
      <c r="R285" s="5">
        <f>VLOOKUP($A285,'ПР 01-02.21'!$A$11:$BB$406,18,FALSE)+VLOOKUP($A285,'ПР 21-22'!$A$11:$BB$406,18,FALSE)-VLOOKUP($A285,'ПР 01-02.22'!$A$11:$BB$378,18,FALSE)</f>
        <v>3</v>
      </c>
      <c r="S285" s="5">
        <f>VLOOKUP($A285,'ПР 01-02.21'!$A$11:$BB$406,19,FALSE)+VLOOKUP($A285,'ПР 21-22'!$A$11:$BB$406,19,FALSE)-VLOOKUP($A285,'ПР 01-02.22'!$A$11:$BB$378,19,FALSE)</f>
        <v>2383</v>
      </c>
      <c r="T285" s="444"/>
      <c r="U285" s="5">
        <f>VLOOKUP($A285,'ПР 01-02.21'!$A$11:$BB$406,21,FALSE)+VLOOKUP($A285,'ПР 21-22'!$A$11:$BB$406,21,FALSE)-VLOOKUP($A285,'ПР 01-02.22'!$A$11:$BB$378,21,FALSE)</f>
        <v>0</v>
      </c>
      <c r="V285" s="5"/>
      <c r="W285" s="5">
        <f>VLOOKUP($A285,'ПР 01-02.21'!$A$11:$BB$406,23,FALSE)+VLOOKUP($A285,'ПР 21-22'!$A$11:$BB$406,23,FALSE)-VLOOKUP($A285,'ПР 01-02.22'!$A$11:$BB$378,23,FALSE)</f>
        <v>4</v>
      </c>
      <c r="X285" s="5">
        <f>VLOOKUP($A285,'ПР 01-02.21'!$A$11:$BB$406,24,FALSE)+VLOOKUP($A285,'ПР 21-22'!$A$11:$BB$406,24,FALSE)-VLOOKUP($A285,'ПР 01-02.22'!$A$11:$BB$378,24,FALSE)</f>
        <v>1756.0700000000002</v>
      </c>
      <c r="Y285" s="5">
        <f>VLOOKUP($A285,'ПР 01-02.21'!$A$11:$BB$406,25,FALSE)+VLOOKUP($A285,'ПР 21-22'!$A$11:$BB$406,25,FALSE)-VLOOKUP($A285,'ПР 01-02.22'!$A$11:$BB$378,25,FALSE)</f>
        <v>5530</v>
      </c>
      <c r="Z285" s="5"/>
      <c r="AA285" s="5">
        <f>VLOOKUP($A285,'ПР 01-02.21'!$A$11:$BB$406,27,FALSE)+VLOOKUP($A285,'ПР 21-22'!$A$11:$BB$406,27,FALSE)-VLOOKUP($A285,'ПР 01-02.22'!$A$11:$BB$378,27,FALSE)</f>
        <v>0</v>
      </c>
      <c r="AB285" s="5">
        <f>VLOOKUP($A285,'ПР 01-02.21'!$A$11:$BB$406,28,FALSE)+VLOOKUP($A285,'ПР 21-22'!$A$11:$BB$406,28,FALSE)-VLOOKUP($A285,'ПР 01-02.22'!$A$11:$BB$378,28,FALSE)</f>
        <v>0</v>
      </c>
      <c r="AC285" s="5">
        <f>VLOOKUP($A285,'ПР 01-02.21'!$A$11:$BB$406,29,FALSE)+VLOOKUP($A285,'ПР 21-22'!$A$11:$BB$406,29,FALSE)-VLOOKUP($A285,'ПР 01-02.22'!$A$11:$BB$378,29,FALSE)</f>
        <v>0</v>
      </c>
      <c r="AD285" s="5">
        <f>VLOOKUP($A285,'ПР 01-02.21'!$A$11:$BB$406,30,FALSE)+VLOOKUP($A285,'ПР 21-22'!$A$11:$BB$406,30,FALSE)-VLOOKUP($A285,'ПР 01-02.22'!$A$11:$BB$378,30,FALSE)</f>
        <v>14603.4</v>
      </c>
      <c r="AE285" s="5">
        <f>VLOOKUP($A285,'ПР 01-02.21'!$A$11:$BB$406,31,FALSE)+VLOOKUP($A285,'ПР 21-22'!$A$11:$BB$406,31,FALSE)-VLOOKUP($A285,'ПР 01-02.22'!$A$11:$BB$378,31,FALSE)</f>
        <v>2459.2559302069112</v>
      </c>
      <c r="AF285" s="5">
        <f>VLOOKUP($A285,'ПР 01-02.21'!$A$11:$BB$406,32,FALSE)+VLOOKUP($A285,'ПР 21-22'!$A$11:$BB$406,32,FALSE)-VLOOKUP($A285,'ПР 01-02.22'!$A$11:$BB$378,32,FALSE)</f>
        <v>8358</v>
      </c>
      <c r="AG285" s="40"/>
      <c r="AH285" s="5">
        <f>VLOOKUP($A285,'ПР 01-02.21'!$A$11:$BB$406,34,FALSE)+VLOOKUP($A285,'ПР 21-22'!$A$11:$BB$406,34,FALSE)-VLOOKUP($A285,'ПР 01-02.22'!$A$11:$BB$378,34,FALSE)</f>
        <v>2875.3539326514565</v>
      </c>
      <c r="AI285" s="5">
        <f>VLOOKUP($A285,'ПР 01-02.21'!$A$11:$BB$406,35,FALSE)+VLOOKUP($A285,'ПР 21-22'!$A$11:$BB$406,35,FALSE)-VLOOKUP($A285,'ПР 01-02.22'!$A$11:$BB$378,35,FALSE)</f>
        <v>1507</v>
      </c>
      <c r="AJ285" s="40"/>
      <c r="AK285" s="5">
        <f>VLOOKUP($A285,'ПР 01-02.21'!$A$11:$BB$406,37,FALSE)+VLOOKUP($A285,'ПР 21-22'!$A$11:$BB$406,37,FALSE)-VLOOKUP($A285,'ПР 01-02.22'!$A$11:$BB$378,37,FALSE)</f>
        <v>1899.0079759100722</v>
      </c>
      <c r="AL285" s="5">
        <f>VLOOKUP($A285,'ПР 01-02.21'!$A$11:$BB$406,38,FALSE)+VLOOKUP($A285,'ПР 21-22'!$A$11:$BB$406,38,FALSE)-VLOOKUP($A285,'ПР 01-02.22'!$A$11:$BB$378,38,FALSE)</f>
        <v>2305.7399999999998</v>
      </c>
      <c r="AM285" s="40"/>
      <c r="AN285" s="5">
        <f>VLOOKUP($A285,'ПР 01-02.21'!$A$11:$BB$406,40,FALSE)+VLOOKUP($A285,'ПР 21-22'!$A$11:$BB$406,40,FALSE)-VLOOKUP($A285,'ПР 01-02.22'!$A$11:$BB$378,40,FALSE)</f>
        <v>2429.5075174124909</v>
      </c>
      <c r="AO285" s="5">
        <f>VLOOKUP($A285,'ПР 01-02.21'!$A$11:$BB$406,41,FALSE)+VLOOKUP($A285,'ПР 21-22'!$A$11:$BB$406,41,FALSE)-VLOOKUP($A285,'ПР 01-02.22'!$A$11:$BB$378,41,FALSE)</f>
        <v>0</v>
      </c>
      <c r="AP285" s="40"/>
      <c r="AQ285" s="5">
        <f>VLOOKUP($A285,'ПР 01-02.21'!$A$11:$BB$406,43,FALSE)+VLOOKUP($A285,'ПР 21-22'!$A$11:$BB$406,43,FALSE)-VLOOKUP($A285,'ПР 01-02.22'!$A$11:$BB$378,43,FALSE)</f>
        <v>1275.715225914171</v>
      </c>
      <c r="AR285" s="5">
        <f>VLOOKUP($A285,'ПР 01-02.21'!$A$11:$BB$406,44,FALSE)+VLOOKUP($A285,'ПР 21-22'!$A$11:$BB$406,44,FALSE)-VLOOKUP($A285,'ПР 01-02.22'!$A$11:$BB$378,44,FALSE)</f>
        <v>0</v>
      </c>
      <c r="AS285" s="40"/>
      <c r="AT285" s="5">
        <f>VLOOKUP($A285,'ПР 01-02.21'!$A$11:$BB$406,46,FALSE)+VLOOKUP($A285,'ПР 21-22'!$A$11:$BB$406,46,FALSE)-VLOOKUP($A285,'ПР 01-02.22'!$A$11:$BB$378,46,FALSE)</f>
        <v>1917.0582501476003</v>
      </c>
      <c r="AU285" s="5">
        <f>VLOOKUP($A285,'ПР 01-02.21'!$A$11:$BB$406,47,FALSE)+VLOOKUP($A285,'ПР 21-22'!$A$11:$BB$406,47,FALSE)-VLOOKUP($A285,'ПР 01-02.22'!$A$11:$BB$378,47,FALSE)</f>
        <v>0</v>
      </c>
      <c r="AV285" s="40"/>
      <c r="AW285" s="5">
        <f>VLOOKUP($A285,'ПР 01-02.21'!$A$11:$BB$406,49,FALSE)+VLOOKUP($A285,'ПР 21-22'!$A$11:$BB$406,49,FALSE)-VLOOKUP($A285,'ПР 01-02.22'!$A$11:$BB$378,49,FALSE)</f>
        <v>494.92558215085381</v>
      </c>
      <c r="AX285" s="5">
        <f>VLOOKUP($A285,'ПР 01-02.21'!$A$11:$BB$406,50,FALSE)+VLOOKUP($A285,'ПР 21-22'!$A$11:$BB$406,50,FALSE)-VLOOKUP($A285,'ПР 01-02.22'!$A$11:$BB$378,50,FALSE)</f>
        <v>0</v>
      </c>
      <c r="AY285" s="40"/>
      <c r="AZ285" s="40">
        <f t="shared" si="17"/>
        <v>13350.824414393555</v>
      </c>
      <c r="BA285" s="40">
        <f t="shared" si="17"/>
        <v>12170.74</v>
      </c>
      <c r="BB285" s="55">
        <f t="shared" si="20"/>
        <v>-1180.0844143935556</v>
      </c>
      <c r="BD285" s="2">
        <v>1</v>
      </c>
      <c r="BF285" s="325">
        <v>150000752</v>
      </c>
    </row>
    <row r="286" spans="1:58" ht="24.9" customHeight="1" x14ac:dyDescent="0.3">
      <c r="A286" s="325">
        <v>150000760</v>
      </c>
      <c r="B286" s="445" t="s">
        <v>388</v>
      </c>
      <c r="C286" s="27">
        <v>9</v>
      </c>
      <c r="D286" s="101" t="s">
        <v>455</v>
      </c>
      <c r="E286" s="279">
        <f>'побудинковий звіт'!E284</f>
        <v>11337.62</v>
      </c>
      <c r="F286" s="441">
        <f>'побудинковий звіт'!AS284</f>
        <v>154987.72941085784</v>
      </c>
      <c r="G286" s="441">
        <f t="shared" si="18"/>
        <v>152940.31527704076</v>
      </c>
      <c r="H286" s="73">
        <f t="shared" si="19"/>
        <v>-2047.4141338170739</v>
      </c>
      <c r="I286" s="5">
        <f>VLOOKUP($A286,'ПР 01-02.21'!$A$11:$BB$406,9,FALSE)+VLOOKUP($A286,'ПР 21-22'!$A$11:$BB$406,9,FALSE)-VLOOKUP($A286,'ПР 01-02.22'!$A$11:$BB$378,9,FALSE)</f>
        <v>120</v>
      </c>
      <c r="J286" s="5">
        <f>VLOOKUP($A286,'ПР 01-02.21'!$A$11:$BB$406,10,FALSE)+VLOOKUP($A286,'ПР 21-22'!$A$11:$BB$406,10,FALSE)-VLOOKUP($A286,'ПР 01-02.22'!$A$11:$BB$378,10,FALSE)</f>
        <v>16252</v>
      </c>
      <c r="K286" s="446"/>
      <c r="L286" s="5">
        <f>VLOOKUP($A286,'ПР 01-02.21'!$A$11:$BB$406,12,FALSE)+VLOOKUP($A286,'ПР 21-22'!$A$11:$BB$406,12,FALSE)-VLOOKUP($A286,'ПР 01-02.22'!$A$11:$BB$378,12,FALSE)</f>
        <v>1</v>
      </c>
      <c r="M286" s="5">
        <f>VLOOKUP($A286,'ПР 01-02.21'!$A$11:$BB$406,13,FALSE)+VLOOKUP($A286,'ПР 21-22'!$A$11:$BB$406,13,FALSE)-VLOOKUP($A286,'ПР 01-02.22'!$A$11:$BB$378,13,FALSE)</f>
        <v>92718</v>
      </c>
      <c r="N286" s="38"/>
      <c r="O286" s="5">
        <f>VLOOKUP($A286,'ПР 01-02.21'!$A$11:$BB$406,15,FALSE)+VLOOKUP($A286,'ПР 21-22'!$A$11:$BB$406,15,FALSE)-VLOOKUP($A286,'ПР 01-02.22'!$A$11:$BB$378,15,FALSE)</f>
        <v>0</v>
      </c>
      <c r="P286" s="5">
        <f>VLOOKUP($A286,'ПР 01-02.21'!$A$11:$BB$406,16,FALSE)+VLOOKUP($A286,'ПР 21-22'!$A$11:$BB$406,16,FALSE)-VLOOKUP($A286,'ПР 01-02.22'!$A$11:$BB$378,16,FALSE)</f>
        <v>0</v>
      </c>
      <c r="Q286" s="443"/>
      <c r="R286" s="5">
        <f>VLOOKUP($A286,'ПР 01-02.21'!$A$11:$BB$406,18,FALSE)+VLOOKUP($A286,'ПР 21-22'!$A$11:$BB$406,18,FALSE)-VLOOKUP($A286,'ПР 01-02.22'!$A$11:$BB$378,18,FALSE)</f>
        <v>4</v>
      </c>
      <c r="S286" s="5">
        <f>VLOOKUP($A286,'ПР 01-02.21'!$A$11:$BB$406,19,FALSE)+VLOOKUP($A286,'ПР 21-22'!$A$11:$BB$406,19,FALSE)-VLOOKUP($A286,'ПР 01-02.22'!$A$11:$BB$378,19,FALSE)</f>
        <v>14035.02</v>
      </c>
      <c r="T286" s="444"/>
      <c r="U286" s="5">
        <f>VLOOKUP($A286,'ПР 01-02.21'!$A$11:$BB$406,21,FALSE)+VLOOKUP($A286,'ПР 21-22'!$A$11:$BB$406,21,FALSE)-VLOOKUP($A286,'ПР 01-02.22'!$A$11:$BB$378,21,FALSE)</f>
        <v>0</v>
      </c>
      <c r="V286" s="5"/>
      <c r="W286" s="5">
        <f>VLOOKUP($A286,'ПР 01-02.21'!$A$11:$BB$406,23,FALSE)+VLOOKUP($A286,'ПР 21-22'!$A$11:$BB$406,23,FALSE)-VLOOKUP($A286,'ПР 01-02.22'!$A$11:$BB$378,23,FALSE)</f>
        <v>0</v>
      </c>
      <c r="X286" s="5">
        <f>VLOOKUP($A286,'ПР 01-02.21'!$A$11:$BB$406,24,FALSE)+VLOOKUP($A286,'ПР 21-22'!$A$11:$BB$406,24,FALSE)-VLOOKUP($A286,'ПР 01-02.22'!$A$11:$BB$378,24,FALSE)</f>
        <v>344.54527704076571</v>
      </c>
      <c r="Y286" s="5">
        <f>VLOOKUP($A286,'ПР 01-02.21'!$A$11:$BB$406,25,FALSE)+VLOOKUP($A286,'ПР 21-22'!$A$11:$BB$406,25,FALSE)-VLOOKUP($A286,'ПР 01-02.22'!$A$11:$BB$378,25,FALSE)</f>
        <v>957</v>
      </c>
      <c r="Z286" s="5"/>
      <c r="AA286" s="5">
        <f>VLOOKUP($A286,'ПР 01-02.21'!$A$11:$BB$406,27,FALSE)+VLOOKUP($A286,'ПР 21-22'!$A$11:$BB$406,27,FALSE)-VLOOKUP($A286,'ПР 01-02.22'!$A$11:$BB$378,27,FALSE)</f>
        <v>0</v>
      </c>
      <c r="AB286" s="5">
        <f>VLOOKUP($A286,'ПР 01-02.21'!$A$11:$BB$406,28,FALSE)+VLOOKUP($A286,'ПР 21-22'!$A$11:$BB$406,28,FALSE)-VLOOKUP($A286,'ПР 01-02.22'!$A$11:$BB$378,28,FALSE)</f>
        <v>0</v>
      </c>
      <c r="AC286" s="5">
        <f>VLOOKUP($A286,'ПР 01-02.21'!$A$11:$BB$406,29,FALSE)+VLOOKUP($A286,'ПР 21-22'!$A$11:$BB$406,29,FALSE)-VLOOKUP($A286,'ПР 01-02.22'!$A$11:$BB$378,29,FALSE)</f>
        <v>11115</v>
      </c>
      <c r="AD286" s="5">
        <f>VLOOKUP($A286,'ПР 01-02.21'!$A$11:$BB$406,30,FALSE)+VLOOKUP($A286,'ПР 21-22'!$A$11:$BB$406,30,FALSE)-VLOOKUP($A286,'ПР 01-02.22'!$A$11:$BB$378,30,FALSE)</f>
        <v>17518.75</v>
      </c>
      <c r="AE286" s="5">
        <f>VLOOKUP($A286,'ПР 01-02.21'!$A$11:$BB$406,31,FALSE)+VLOOKUP($A286,'ПР 21-22'!$A$11:$BB$406,31,FALSE)-VLOOKUP($A286,'ПР 01-02.22'!$A$11:$BB$378,31,FALSE)</f>
        <v>5462.4049115174048</v>
      </c>
      <c r="AF286" s="5">
        <f>VLOOKUP($A286,'ПР 01-02.21'!$A$11:$BB$406,32,FALSE)+VLOOKUP($A286,'ПР 21-22'!$A$11:$BB$406,32,FALSE)-VLOOKUP($A286,'ПР 01-02.22'!$A$11:$BB$378,32,FALSE)</f>
        <v>1561</v>
      </c>
      <c r="AG286" s="40"/>
      <c r="AH286" s="5">
        <f>VLOOKUP($A286,'ПР 01-02.21'!$A$11:$BB$406,34,FALSE)+VLOOKUP($A286,'ПР 21-22'!$A$11:$BB$406,34,FALSE)-VLOOKUP($A286,'ПР 01-02.22'!$A$11:$BB$378,34,FALSE)</f>
        <v>11955.562003131481</v>
      </c>
      <c r="AI286" s="5">
        <f>VLOOKUP($A286,'ПР 01-02.21'!$A$11:$BB$406,35,FALSE)+VLOOKUP($A286,'ПР 21-22'!$A$11:$BB$406,35,FALSE)-VLOOKUP($A286,'ПР 01-02.22'!$A$11:$BB$378,35,FALSE)</f>
        <v>8597</v>
      </c>
      <c r="AJ286" s="40"/>
      <c r="AK286" s="5">
        <f>VLOOKUP($A286,'ПР 01-02.21'!$A$11:$BB$406,37,FALSE)+VLOOKUP($A286,'ПР 21-22'!$A$11:$BB$406,37,FALSE)-VLOOKUP($A286,'ПР 01-02.22'!$A$11:$BB$378,37,FALSE)</f>
        <v>4715.1657309607517</v>
      </c>
      <c r="AL286" s="5">
        <f>VLOOKUP($A286,'ПР 01-02.21'!$A$11:$BB$406,38,FALSE)+VLOOKUP($A286,'ПР 21-22'!$A$11:$BB$406,38,FALSE)-VLOOKUP($A286,'ПР 01-02.22'!$A$11:$BB$378,38,FALSE)</f>
        <v>0</v>
      </c>
      <c r="AM286" s="40"/>
      <c r="AN286" s="5">
        <f>VLOOKUP($A286,'ПР 01-02.21'!$A$11:$BB$406,40,FALSE)+VLOOKUP($A286,'ПР 21-22'!$A$11:$BB$406,40,FALSE)-VLOOKUP($A286,'ПР 01-02.22'!$A$11:$BB$378,40,FALSE)</f>
        <v>6852.2235267148972</v>
      </c>
      <c r="AO286" s="5">
        <f>VLOOKUP($A286,'ПР 01-02.21'!$A$11:$BB$406,41,FALSE)+VLOOKUP($A286,'ПР 21-22'!$A$11:$BB$406,41,FALSE)-VLOOKUP($A286,'ПР 01-02.22'!$A$11:$BB$378,41,FALSE)</f>
        <v>477</v>
      </c>
      <c r="AP286" s="40"/>
      <c r="AQ286" s="5">
        <f>VLOOKUP($A286,'ПР 01-02.21'!$A$11:$BB$406,43,FALSE)+VLOOKUP($A286,'ПР 21-22'!$A$11:$BB$406,43,FALSE)-VLOOKUP($A286,'ПР 01-02.22'!$A$11:$BB$378,43,FALSE)</f>
        <v>1913.1150136490437</v>
      </c>
      <c r="AR286" s="5">
        <f>VLOOKUP($A286,'ПР 01-02.21'!$A$11:$BB$406,44,FALSE)+VLOOKUP($A286,'ПР 21-22'!$A$11:$BB$406,44,FALSE)-VLOOKUP($A286,'ПР 01-02.22'!$A$11:$BB$378,44,FALSE)</f>
        <v>118</v>
      </c>
      <c r="AS286" s="40"/>
      <c r="AT286" s="5">
        <f>VLOOKUP($A286,'ПР 01-02.21'!$A$11:$BB$406,46,FALSE)+VLOOKUP($A286,'ПР 21-22'!$A$11:$BB$406,46,FALSE)-VLOOKUP($A286,'ПР 01-02.22'!$A$11:$BB$378,46,FALSE)</f>
        <v>7879.8467528096235</v>
      </c>
      <c r="AU286" s="5">
        <f>VLOOKUP($A286,'ПР 01-02.21'!$A$11:$BB$406,47,FALSE)+VLOOKUP($A286,'ПР 21-22'!$A$11:$BB$406,47,FALSE)-VLOOKUP($A286,'ПР 01-02.22'!$A$11:$BB$378,47,FALSE)</f>
        <v>978</v>
      </c>
      <c r="AV286" s="40"/>
      <c r="AW286" s="5">
        <f>VLOOKUP($A286,'ПР 01-02.21'!$A$11:$BB$406,49,FALSE)+VLOOKUP($A286,'ПР 21-22'!$A$11:$BB$406,49,FALSE)-VLOOKUP($A286,'ПР 01-02.22'!$A$11:$BB$378,49,FALSE)</f>
        <v>566.50880000000006</v>
      </c>
      <c r="AX286" s="5">
        <f>VLOOKUP($A286,'ПР 01-02.21'!$A$11:$BB$406,50,FALSE)+VLOOKUP($A286,'ПР 21-22'!$A$11:$BB$406,50,FALSE)-VLOOKUP($A286,'ПР 01-02.22'!$A$11:$BB$378,50,FALSE)</f>
        <v>0</v>
      </c>
      <c r="AY286" s="40"/>
      <c r="AZ286" s="40">
        <f t="shared" si="17"/>
        <v>39344.826738783202</v>
      </c>
      <c r="BA286" s="40">
        <f t="shared" si="17"/>
        <v>11731</v>
      </c>
      <c r="BB286" s="55">
        <f t="shared" si="20"/>
        <v>-27613.826738783202</v>
      </c>
      <c r="BD286" s="2">
        <v>2</v>
      </c>
      <c r="BF286" s="325">
        <v>150000760</v>
      </c>
    </row>
    <row r="287" spans="1:58" ht="24.9" customHeight="1" x14ac:dyDescent="0.3">
      <c r="A287" s="325">
        <v>150000758</v>
      </c>
      <c r="B287" s="445" t="s">
        <v>389</v>
      </c>
      <c r="C287" s="27">
        <v>9</v>
      </c>
      <c r="D287" s="101" t="s">
        <v>455</v>
      </c>
      <c r="E287" s="279">
        <f>'побудинковий звіт'!E285</f>
        <v>13218.32</v>
      </c>
      <c r="F287" s="441">
        <f>'побудинковий звіт'!AS285</f>
        <v>184324.49532973397</v>
      </c>
      <c r="G287" s="441">
        <f t="shared" si="18"/>
        <v>243051.12</v>
      </c>
      <c r="H287" s="73">
        <f t="shared" si="19"/>
        <v>58726.624670266028</v>
      </c>
      <c r="I287" s="5">
        <f>VLOOKUP($A287,'ПР 01-02.21'!$A$11:$BB$406,9,FALSE)+VLOOKUP($A287,'ПР 21-22'!$A$11:$BB$406,9,FALSE)-VLOOKUP($A287,'ПР 01-02.22'!$A$11:$BB$378,9,FALSE)</f>
        <v>320</v>
      </c>
      <c r="J287" s="5">
        <f>VLOOKUP($A287,'ПР 01-02.21'!$A$11:$BB$406,10,FALSE)+VLOOKUP($A287,'ПР 21-22'!$A$11:$BB$406,10,FALSE)-VLOOKUP($A287,'ПР 01-02.22'!$A$11:$BB$378,10,FALSE)</f>
        <v>53528.18</v>
      </c>
      <c r="K287" s="450"/>
      <c r="L287" s="5">
        <f>VLOOKUP($A287,'ПР 01-02.21'!$A$11:$BB$406,12,FALSE)+VLOOKUP($A287,'ПР 21-22'!$A$11:$BB$406,12,FALSE)-VLOOKUP($A287,'ПР 01-02.22'!$A$11:$BB$378,12,FALSE)</f>
        <v>1</v>
      </c>
      <c r="M287" s="5">
        <f>VLOOKUP($A287,'ПР 01-02.21'!$A$11:$BB$406,13,FALSE)+VLOOKUP($A287,'ПР 21-22'!$A$11:$BB$406,13,FALSE)-VLOOKUP($A287,'ПР 01-02.22'!$A$11:$BB$378,13,FALSE)</f>
        <v>121109</v>
      </c>
      <c r="N287" s="38"/>
      <c r="O287" s="5">
        <f>VLOOKUP($A287,'ПР 01-02.21'!$A$11:$BB$406,15,FALSE)+VLOOKUP($A287,'ПР 21-22'!$A$11:$BB$406,15,FALSE)-VLOOKUP($A287,'ПР 01-02.22'!$A$11:$BB$378,15,FALSE)</f>
        <v>120</v>
      </c>
      <c r="P287" s="5">
        <f>VLOOKUP($A287,'ПР 01-02.21'!$A$11:$BB$406,16,FALSE)+VLOOKUP($A287,'ПР 21-22'!$A$11:$BB$406,16,FALSE)-VLOOKUP($A287,'ПР 01-02.22'!$A$11:$BB$378,16,FALSE)</f>
        <v>27908</v>
      </c>
      <c r="Q287" s="443"/>
      <c r="R287" s="5">
        <f>VLOOKUP($A287,'ПР 01-02.21'!$A$11:$BB$406,18,FALSE)+VLOOKUP($A287,'ПР 21-22'!$A$11:$BB$406,18,FALSE)-VLOOKUP($A287,'ПР 01-02.22'!$A$11:$BB$378,18,FALSE)</f>
        <v>5</v>
      </c>
      <c r="S287" s="5">
        <f>VLOOKUP($A287,'ПР 01-02.21'!$A$11:$BB$406,19,FALSE)+VLOOKUP($A287,'ПР 21-22'!$A$11:$BB$406,19,FALSE)-VLOOKUP($A287,'ПР 01-02.22'!$A$11:$BB$378,19,FALSE)</f>
        <v>10111.02</v>
      </c>
      <c r="T287" s="444"/>
      <c r="U287" s="5">
        <f>VLOOKUP($A287,'ПР 01-02.21'!$A$11:$BB$406,21,FALSE)+VLOOKUP($A287,'ПР 21-22'!$A$11:$BB$406,21,FALSE)-VLOOKUP($A287,'ПР 01-02.22'!$A$11:$BB$378,21,FALSE)</f>
        <v>0</v>
      </c>
      <c r="V287" s="5"/>
      <c r="W287" s="5">
        <f>VLOOKUP($A287,'ПР 01-02.21'!$A$11:$BB$406,23,FALSE)+VLOOKUP($A287,'ПР 21-22'!$A$11:$BB$406,23,FALSE)-VLOOKUP($A287,'ПР 01-02.22'!$A$11:$BB$378,23,FALSE)</f>
        <v>0</v>
      </c>
      <c r="X287" s="5">
        <f>VLOOKUP($A287,'ПР 01-02.21'!$A$11:$BB$406,24,FALSE)+VLOOKUP($A287,'ПР 21-22'!$A$11:$BB$406,24,FALSE)-VLOOKUP($A287,'ПР 01-02.22'!$A$11:$BB$378,24,FALSE)</f>
        <v>0</v>
      </c>
      <c r="Y287" s="5">
        <f>VLOOKUP($A287,'ПР 01-02.21'!$A$11:$BB$406,25,FALSE)+VLOOKUP($A287,'ПР 21-22'!$A$11:$BB$406,25,FALSE)-VLOOKUP($A287,'ПР 01-02.22'!$A$11:$BB$378,25,FALSE)</f>
        <v>687</v>
      </c>
      <c r="Z287" s="5"/>
      <c r="AA287" s="5">
        <f>VLOOKUP($A287,'ПР 01-02.21'!$A$11:$BB$406,27,FALSE)+VLOOKUP($A287,'ПР 21-22'!$A$11:$BB$406,27,FALSE)-VLOOKUP($A287,'ПР 01-02.22'!$A$11:$BB$378,27,FALSE)</f>
        <v>0</v>
      </c>
      <c r="AB287" s="5">
        <f>VLOOKUP($A287,'ПР 01-02.21'!$A$11:$BB$406,28,FALSE)+VLOOKUP($A287,'ПР 21-22'!$A$11:$BB$406,28,FALSE)-VLOOKUP($A287,'ПР 01-02.22'!$A$11:$BB$378,28,FALSE)</f>
        <v>1197</v>
      </c>
      <c r="AC287" s="5">
        <f>VLOOKUP($A287,'ПР 01-02.21'!$A$11:$BB$406,29,FALSE)+VLOOKUP($A287,'ПР 21-22'!$A$11:$BB$406,29,FALSE)-VLOOKUP($A287,'ПР 01-02.22'!$A$11:$BB$378,29,FALSE)</f>
        <v>6305.92</v>
      </c>
      <c r="AD287" s="5">
        <f>VLOOKUP($A287,'ПР 01-02.21'!$A$11:$BB$406,30,FALSE)+VLOOKUP($A287,'ПР 21-22'!$A$11:$BB$406,30,FALSE)-VLOOKUP($A287,'ПР 01-02.22'!$A$11:$BB$378,30,FALSE)</f>
        <v>22205</v>
      </c>
      <c r="AE287" s="5">
        <f>VLOOKUP($A287,'ПР 01-02.21'!$A$11:$BB$406,31,FALSE)+VLOOKUP($A287,'ПР 21-22'!$A$11:$BB$406,31,FALSE)-VLOOKUP($A287,'ПР 01-02.22'!$A$11:$BB$378,31,FALSE)</f>
        <v>7089.8175628953104</v>
      </c>
      <c r="AF287" s="5">
        <f>VLOOKUP($A287,'ПР 01-02.21'!$A$11:$BB$406,32,FALSE)+VLOOKUP($A287,'ПР 21-22'!$A$11:$BB$406,32,FALSE)-VLOOKUP($A287,'ПР 01-02.22'!$A$11:$BB$378,32,FALSE)</f>
        <v>965</v>
      </c>
      <c r="AG287" s="40"/>
      <c r="AH287" s="5">
        <f>VLOOKUP($A287,'ПР 01-02.21'!$A$11:$BB$406,34,FALSE)+VLOOKUP($A287,'ПР 21-22'!$A$11:$BB$406,34,FALSE)-VLOOKUP($A287,'ПР 01-02.22'!$A$11:$BB$378,34,FALSE)</f>
        <v>13947.583663808502</v>
      </c>
      <c r="AI287" s="5">
        <f>VLOOKUP($A287,'ПР 01-02.21'!$A$11:$BB$406,35,FALSE)+VLOOKUP($A287,'ПР 21-22'!$A$11:$BB$406,35,FALSE)-VLOOKUP($A287,'ПР 01-02.22'!$A$11:$BB$378,35,FALSE)</f>
        <v>16678.82</v>
      </c>
      <c r="AJ287" s="40"/>
      <c r="AK287" s="5">
        <f>VLOOKUP($A287,'ПР 01-02.21'!$A$11:$BB$406,37,FALSE)+VLOOKUP($A287,'ПР 21-22'!$A$11:$BB$406,37,FALSE)-VLOOKUP($A287,'ПР 01-02.22'!$A$11:$BB$378,37,FALSE)</f>
        <v>5245.5207937112418</v>
      </c>
      <c r="AL287" s="5">
        <f>VLOOKUP($A287,'ПР 01-02.21'!$A$11:$BB$406,38,FALSE)+VLOOKUP($A287,'ПР 21-22'!$A$11:$BB$406,38,FALSE)-VLOOKUP($A287,'ПР 01-02.22'!$A$11:$BB$378,38,FALSE)</f>
        <v>1259</v>
      </c>
      <c r="AM287" s="40"/>
      <c r="AN287" s="5">
        <f>VLOOKUP($A287,'ПР 01-02.21'!$A$11:$BB$406,40,FALSE)+VLOOKUP($A287,'ПР 21-22'!$A$11:$BB$406,40,FALSE)-VLOOKUP($A287,'ПР 01-02.22'!$A$11:$BB$378,40,FALSE)</f>
        <v>7432.3572047328944</v>
      </c>
      <c r="AO287" s="5">
        <f>VLOOKUP($A287,'ПР 01-02.21'!$A$11:$BB$406,41,FALSE)+VLOOKUP($A287,'ПР 21-22'!$A$11:$BB$406,41,FALSE)-VLOOKUP($A287,'ПР 01-02.22'!$A$11:$BB$378,41,FALSE)</f>
        <v>0</v>
      </c>
      <c r="AP287" s="40"/>
      <c r="AQ287" s="5">
        <f>VLOOKUP($A287,'ПР 01-02.21'!$A$11:$BB$406,43,FALSE)+VLOOKUP($A287,'ПР 21-22'!$A$11:$BB$406,43,FALSE)-VLOOKUP($A287,'ПР 01-02.22'!$A$11:$BB$378,43,FALSE)</f>
        <v>2232.730391680439</v>
      </c>
      <c r="AR287" s="5">
        <f>VLOOKUP($A287,'ПР 01-02.21'!$A$11:$BB$406,44,FALSE)+VLOOKUP($A287,'ПР 21-22'!$A$11:$BB$406,44,FALSE)-VLOOKUP($A287,'ПР 01-02.22'!$A$11:$BB$378,44,FALSE)</f>
        <v>0</v>
      </c>
      <c r="AS287" s="40"/>
      <c r="AT287" s="5">
        <f>VLOOKUP($A287,'ПР 01-02.21'!$A$11:$BB$406,46,FALSE)+VLOOKUP($A287,'ПР 21-22'!$A$11:$BB$406,46,FALSE)-VLOOKUP($A287,'ПР 01-02.22'!$A$11:$BB$378,46,FALSE)</f>
        <v>7228.6220206841954</v>
      </c>
      <c r="AU287" s="5">
        <f>VLOOKUP($A287,'ПР 01-02.21'!$A$11:$BB$406,47,FALSE)+VLOOKUP($A287,'ПР 21-22'!$A$11:$BB$406,47,FALSE)-VLOOKUP($A287,'ПР 01-02.22'!$A$11:$BB$378,47,FALSE)</f>
        <v>2586</v>
      </c>
      <c r="AV287" s="40"/>
      <c r="AW287" s="5">
        <f>VLOOKUP($A287,'ПР 01-02.21'!$A$11:$BB$406,49,FALSE)+VLOOKUP($A287,'ПР 21-22'!$A$11:$BB$406,49,FALSE)-VLOOKUP($A287,'ПР 01-02.22'!$A$11:$BB$378,49,FALSE)</f>
        <v>660.37199999999996</v>
      </c>
      <c r="AX287" s="5">
        <f>VLOOKUP($A287,'ПР 01-02.21'!$A$11:$BB$406,50,FALSE)+VLOOKUP($A287,'ПР 21-22'!$A$11:$BB$406,50,FALSE)-VLOOKUP($A287,'ПР 01-02.22'!$A$11:$BB$378,50,FALSE)</f>
        <v>0</v>
      </c>
      <c r="AY287" s="40"/>
      <c r="AZ287" s="40">
        <f t="shared" si="17"/>
        <v>43837.003637512586</v>
      </c>
      <c r="BA287" s="40">
        <f t="shared" si="17"/>
        <v>21488.82</v>
      </c>
      <c r="BB287" s="55">
        <f t="shared" si="20"/>
        <v>-22348.183637512586</v>
      </c>
      <c r="BD287" s="2">
        <v>2</v>
      </c>
      <c r="BF287" s="325">
        <v>150000758</v>
      </c>
    </row>
    <row r="288" spans="1:58" ht="24.9" customHeight="1" x14ac:dyDescent="0.3">
      <c r="A288" s="325">
        <v>150000759</v>
      </c>
      <c r="B288" s="445" t="s">
        <v>390</v>
      </c>
      <c r="C288" s="27">
        <v>9</v>
      </c>
      <c r="D288" s="101" t="s">
        <v>455</v>
      </c>
      <c r="E288" s="279">
        <f>'побудинковий звіт'!E286</f>
        <v>5689.68</v>
      </c>
      <c r="F288" s="441">
        <f>'побудинковий звіт'!AS286</f>
        <v>81598.62570411613</v>
      </c>
      <c r="G288" s="441">
        <f t="shared" si="18"/>
        <v>128768</v>
      </c>
      <c r="H288" s="73">
        <f t="shared" si="19"/>
        <v>47169.37429588387</v>
      </c>
      <c r="I288" s="5">
        <f>VLOOKUP($A288,'ПР 01-02.21'!$A$11:$BB$406,9,FALSE)+VLOOKUP($A288,'ПР 21-22'!$A$11:$BB$406,9,FALSE)-VLOOKUP($A288,'ПР 01-02.22'!$A$11:$BB$378,9,FALSE)</f>
        <v>0</v>
      </c>
      <c r="J288" s="5">
        <f>VLOOKUP($A288,'ПР 01-02.21'!$A$11:$BB$406,10,FALSE)+VLOOKUP($A288,'ПР 21-22'!$A$11:$BB$406,10,FALSE)-VLOOKUP($A288,'ПР 01-02.22'!$A$11:$BB$378,10,FALSE)</f>
        <v>0</v>
      </c>
      <c r="K288" s="446"/>
      <c r="L288" s="5">
        <f>VLOOKUP($A288,'ПР 01-02.21'!$A$11:$BB$406,12,FALSE)+VLOOKUP($A288,'ПР 21-22'!$A$11:$BB$406,12,FALSE)-VLOOKUP($A288,'ПР 01-02.22'!$A$11:$BB$378,12,FALSE)</f>
        <v>1</v>
      </c>
      <c r="M288" s="5">
        <f>VLOOKUP($A288,'ПР 01-02.21'!$A$11:$BB$406,13,FALSE)+VLOOKUP($A288,'ПР 21-22'!$A$11:$BB$406,13,FALSE)-VLOOKUP($A288,'ПР 01-02.22'!$A$11:$BB$378,13,FALSE)</f>
        <v>111151</v>
      </c>
      <c r="N288" s="38"/>
      <c r="O288" s="5">
        <f>VLOOKUP($A288,'ПР 01-02.21'!$A$11:$BB$406,15,FALSE)+VLOOKUP($A288,'ПР 21-22'!$A$11:$BB$406,15,FALSE)-VLOOKUP($A288,'ПР 01-02.22'!$A$11:$BB$378,15,FALSE)</f>
        <v>0</v>
      </c>
      <c r="P288" s="5">
        <f>VLOOKUP($A288,'ПР 01-02.21'!$A$11:$BB$406,16,FALSE)+VLOOKUP($A288,'ПР 21-22'!$A$11:$BB$406,16,FALSE)-VLOOKUP($A288,'ПР 01-02.22'!$A$11:$BB$378,16,FALSE)</f>
        <v>0</v>
      </c>
      <c r="Q288" s="443"/>
      <c r="R288" s="5">
        <f>VLOOKUP($A288,'ПР 01-02.21'!$A$11:$BB$406,18,FALSE)+VLOOKUP($A288,'ПР 21-22'!$A$11:$BB$406,18,FALSE)-VLOOKUP($A288,'ПР 01-02.22'!$A$11:$BB$378,18,FALSE)</f>
        <v>1</v>
      </c>
      <c r="S288" s="5">
        <f>VLOOKUP($A288,'ПР 01-02.21'!$A$11:$BB$406,19,FALSE)+VLOOKUP($A288,'ПР 21-22'!$A$11:$BB$406,19,FALSE)-VLOOKUP($A288,'ПР 01-02.22'!$A$11:$BB$378,19,FALSE)</f>
        <v>1055</v>
      </c>
      <c r="T288" s="444"/>
      <c r="U288" s="5">
        <f>VLOOKUP($A288,'ПР 01-02.21'!$A$11:$BB$406,21,FALSE)+VLOOKUP($A288,'ПР 21-22'!$A$11:$BB$406,21,FALSE)-VLOOKUP($A288,'ПР 01-02.22'!$A$11:$BB$378,21,FALSE)</f>
        <v>0</v>
      </c>
      <c r="V288" s="5"/>
      <c r="W288" s="5">
        <f>VLOOKUP($A288,'ПР 01-02.21'!$A$11:$BB$406,23,FALSE)+VLOOKUP($A288,'ПР 21-22'!$A$11:$BB$406,23,FALSE)-VLOOKUP($A288,'ПР 01-02.22'!$A$11:$BB$378,23,FALSE)</f>
        <v>0</v>
      </c>
      <c r="X288" s="5">
        <f>VLOOKUP($A288,'ПР 01-02.21'!$A$11:$BB$406,24,FALSE)+VLOOKUP($A288,'ПР 21-22'!$A$11:$BB$406,24,FALSE)-VLOOKUP($A288,'ПР 01-02.22'!$A$11:$BB$378,24,FALSE)</f>
        <v>0</v>
      </c>
      <c r="Y288" s="5">
        <f>VLOOKUP($A288,'ПР 01-02.21'!$A$11:$BB$406,25,FALSE)+VLOOKUP($A288,'ПР 21-22'!$A$11:$BB$406,25,FALSE)-VLOOKUP($A288,'ПР 01-02.22'!$A$11:$BB$378,25,FALSE)</f>
        <v>0</v>
      </c>
      <c r="Z288" s="5"/>
      <c r="AA288" s="5">
        <f>VLOOKUP($A288,'ПР 01-02.21'!$A$11:$BB$406,27,FALSE)+VLOOKUP($A288,'ПР 21-22'!$A$11:$BB$406,27,FALSE)-VLOOKUP($A288,'ПР 01-02.22'!$A$11:$BB$378,27,FALSE)</f>
        <v>0</v>
      </c>
      <c r="AB288" s="5">
        <f>VLOOKUP($A288,'ПР 01-02.21'!$A$11:$BB$406,28,FALSE)+VLOOKUP($A288,'ПР 21-22'!$A$11:$BB$406,28,FALSE)-VLOOKUP($A288,'ПР 01-02.22'!$A$11:$BB$378,28,FALSE)</f>
        <v>0</v>
      </c>
      <c r="AC288" s="5">
        <f>VLOOKUP($A288,'ПР 01-02.21'!$A$11:$BB$406,29,FALSE)+VLOOKUP($A288,'ПР 21-22'!$A$11:$BB$406,29,FALSE)-VLOOKUP($A288,'ПР 01-02.22'!$A$11:$BB$378,29,FALSE)</f>
        <v>3312</v>
      </c>
      <c r="AD288" s="5">
        <f>VLOOKUP($A288,'ПР 01-02.21'!$A$11:$BB$406,30,FALSE)+VLOOKUP($A288,'ПР 21-22'!$A$11:$BB$406,30,FALSE)-VLOOKUP($A288,'ПР 01-02.22'!$A$11:$BB$378,30,FALSE)</f>
        <v>13250</v>
      </c>
      <c r="AE288" s="5">
        <f>VLOOKUP($A288,'ПР 01-02.21'!$A$11:$BB$406,31,FALSE)+VLOOKUP($A288,'ПР 21-22'!$A$11:$BB$406,31,FALSE)-VLOOKUP($A288,'ПР 01-02.22'!$A$11:$BB$378,31,FALSE)</f>
        <v>3133.1262269552894</v>
      </c>
      <c r="AF288" s="5">
        <f>VLOOKUP($A288,'ПР 01-02.21'!$A$11:$BB$406,32,FALSE)+VLOOKUP($A288,'ПР 21-22'!$A$11:$BB$406,32,FALSE)-VLOOKUP($A288,'ПР 01-02.22'!$A$11:$BB$378,32,FALSE)</f>
        <v>875.17000000000007</v>
      </c>
      <c r="AG288" s="40"/>
      <c r="AH288" s="5">
        <f>VLOOKUP($A288,'ПР 01-02.21'!$A$11:$BB$406,34,FALSE)+VLOOKUP($A288,'ПР 21-22'!$A$11:$BB$406,34,FALSE)-VLOOKUP($A288,'ПР 01-02.22'!$A$11:$BB$378,34,FALSE)</f>
        <v>3458.203618067429</v>
      </c>
      <c r="AI288" s="5">
        <f>VLOOKUP($A288,'ПР 01-02.21'!$A$11:$BB$406,35,FALSE)+VLOOKUP($A288,'ПР 21-22'!$A$11:$BB$406,35,FALSE)-VLOOKUP($A288,'ПР 01-02.22'!$A$11:$BB$378,35,FALSE)</f>
        <v>32</v>
      </c>
      <c r="AJ288" s="40"/>
      <c r="AK288" s="5">
        <f>VLOOKUP($A288,'ПР 01-02.21'!$A$11:$BB$406,37,FALSE)+VLOOKUP($A288,'ПР 21-22'!$A$11:$BB$406,37,FALSE)-VLOOKUP($A288,'ПР 01-02.22'!$A$11:$BB$378,37,FALSE)</f>
        <v>2318.3003536115098</v>
      </c>
      <c r="AL288" s="5">
        <f>VLOOKUP($A288,'ПР 01-02.21'!$A$11:$BB$406,38,FALSE)+VLOOKUP($A288,'ПР 21-22'!$A$11:$BB$406,38,FALSE)-VLOOKUP($A288,'ПР 01-02.22'!$A$11:$BB$378,38,FALSE)</f>
        <v>0</v>
      </c>
      <c r="AM288" s="40"/>
      <c r="AN288" s="5">
        <f>VLOOKUP($A288,'ПР 01-02.21'!$A$11:$BB$406,40,FALSE)+VLOOKUP($A288,'ПР 21-22'!$A$11:$BB$406,40,FALSE)-VLOOKUP($A288,'ПР 01-02.22'!$A$11:$BB$378,40,FALSE)</f>
        <v>3946.7668428416855</v>
      </c>
      <c r="AO288" s="5">
        <f>VLOOKUP($A288,'ПР 01-02.21'!$A$11:$BB$406,41,FALSE)+VLOOKUP($A288,'ПР 21-22'!$A$11:$BB$406,41,FALSE)-VLOOKUP($A288,'ПР 01-02.22'!$A$11:$BB$378,41,FALSE)</f>
        <v>0</v>
      </c>
      <c r="AP288" s="40"/>
      <c r="AQ288" s="5">
        <f>VLOOKUP($A288,'ПР 01-02.21'!$A$11:$BB$406,43,FALSE)+VLOOKUP($A288,'ПР 21-22'!$A$11:$BB$406,43,FALSE)-VLOOKUP($A288,'ПР 01-02.22'!$A$11:$BB$378,43,FALSE)</f>
        <v>957.01516576626523</v>
      </c>
      <c r="AR288" s="5">
        <f>VLOOKUP($A288,'ПР 01-02.21'!$A$11:$BB$406,44,FALSE)+VLOOKUP($A288,'ПР 21-22'!$A$11:$BB$406,44,FALSE)-VLOOKUP($A288,'ПР 01-02.22'!$A$11:$BB$378,44,FALSE)</f>
        <v>0</v>
      </c>
      <c r="AS288" s="40"/>
      <c r="AT288" s="5">
        <f>VLOOKUP($A288,'ПР 01-02.21'!$A$11:$BB$406,46,FALSE)+VLOOKUP($A288,'ПР 21-22'!$A$11:$BB$406,46,FALSE)-VLOOKUP($A288,'ПР 01-02.22'!$A$11:$BB$378,46,FALSE)</f>
        <v>3729.8180447307786</v>
      </c>
      <c r="AU288" s="5">
        <f>VLOOKUP($A288,'ПР 01-02.21'!$A$11:$BB$406,47,FALSE)+VLOOKUP($A288,'ПР 21-22'!$A$11:$BB$406,47,FALSE)-VLOOKUP($A288,'ПР 01-02.22'!$A$11:$BB$378,47,FALSE)</f>
        <v>0</v>
      </c>
      <c r="AV288" s="40"/>
      <c r="AW288" s="5">
        <f>VLOOKUP($A288,'ПР 01-02.21'!$A$11:$BB$406,49,FALSE)+VLOOKUP($A288,'ПР 21-22'!$A$11:$BB$406,49,FALSE)-VLOOKUP($A288,'ПР 01-02.22'!$A$11:$BB$378,49,FALSE)</f>
        <v>284.50319999999999</v>
      </c>
      <c r="AX288" s="5">
        <f>VLOOKUP($A288,'ПР 01-02.21'!$A$11:$BB$406,50,FALSE)+VLOOKUP($A288,'ПР 21-22'!$A$11:$BB$406,50,FALSE)-VLOOKUP($A288,'ПР 01-02.22'!$A$11:$BB$378,50,FALSE)</f>
        <v>0</v>
      </c>
      <c r="AY288" s="40"/>
      <c r="AZ288" s="40">
        <f t="shared" si="17"/>
        <v>17827.733451972956</v>
      </c>
      <c r="BA288" s="40">
        <f t="shared" si="17"/>
        <v>907.17000000000007</v>
      </c>
      <c r="BB288" s="55">
        <f t="shared" si="20"/>
        <v>-16920.563451972957</v>
      </c>
      <c r="BD288" s="2">
        <v>2</v>
      </c>
      <c r="BF288" s="325">
        <v>150000759</v>
      </c>
    </row>
    <row r="289" spans="1:58" ht="24.9" customHeight="1" x14ac:dyDescent="0.3">
      <c r="A289" s="325">
        <v>150000761</v>
      </c>
      <c r="B289" s="445" t="s">
        <v>391</v>
      </c>
      <c r="C289" s="27">
        <v>9</v>
      </c>
      <c r="D289" s="101" t="s">
        <v>455</v>
      </c>
      <c r="E289" s="279">
        <f>'побудинковий звіт'!E287</f>
        <v>6815.39</v>
      </c>
      <c r="F289" s="441">
        <f>'побудинковий звіт'!AS287</f>
        <v>70077.389136441736</v>
      </c>
      <c r="G289" s="441">
        <f t="shared" si="18"/>
        <v>3553.4750580028413</v>
      </c>
      <c r="H289" s="73">
        <f t="shared" si="19"/>
        <v>-66523.914078438887</v>
      </c>
      <c r="I289" s="5">
        <f>VLOOKUP($A289,'ПР 01-02.21'!$A$11:$BB$406,9,FALSE)+VLOOKUP($A289,'ПР 21-22'!$A$11:$BB$406,9,FALSE)-VLOOKUP($A289,'ПР 01-02.22'!$A$11:$BB$378,9,FALSE)</f>
        <v>0</v>
      </c>
      <c r="J289" s="5">
        <f>VLOOKUP($A289,'ПР 01-02.21'!$A$11:$BB$406,10,FALSE)+VLOOKUP($A289,'ПР 21-22'!$A$11:$BB$406,10,FALSE)-VLOOKUP($A289,'ПР 01-02.22'!$A$11:$BB$378,10,FALSE)</f>
        <v>0</v>
      </c>
      <c r="K289" s="450"/>
      <c r="L289" s="5">
        <f>VLOOKUP($A289,'ПР 01-02.21'!$A$11:$BB$406,12,FALSE)+VLOOKUP($A289,'ПР 21-22'!$A$11:$BB$406,12,FALSE)-VLOOKUP($A289,'ПР 01-02.22'!$A$11:$BB$378,12,FALSE)</f>
        <v>0</v>
      </c>
      <c r="M289" s="5">
        <f>VLOOKUP($A289,'ПР 01-02.21'!$A$11:$BB$406,13,FALSE)+VLOOKUP($A289,'ПР 21-22'!$A$11:$BB$406,13,FALSE)-VLOOKUP($A289,'ПР 01-02.22'!$A$11:$BB$378,13,FALSE)</f>
        <v>0</v>
      </c>
      <c r="N289" s="38"/>
      <c r="O289" s="5">
        <f>VLOOKUP($A289,'ПР 01-02.21'!$A$11:$BB$406,15,FALSE)+VLOOKUP($A289,'ПР 21-22'!$A$11:$BB$406,15,FALSE)-VLOOKUP($A289,'ПР 01-02.22'!$A$11:$BB$378,15,FALSE)</f>
        <v>0</v>
      </c>
      <c r="P289" s="5">
        <f>VLOOKUP($A289,'ПР 01-02.21'!$A$11:$BB$406,16,FALSE)+VLOOKUP($A289,'ПР 21-22'!$A$11:$BB$406,16,FALSE)-VLOOKUP($A289,'ПР 01-02.22'!$A$11:$BB$378,16,FALSE)</f>
        <v>0</v>
      </c>
      <c r="Q289" s="443"/>
      <c r="R289" s="5">
        <f>VLOOKUP($A289,'ПР 01-02.21'!$A$11:$BB$406,18,FALSE)+VLOOKUP($A289,'ПР 21-22'!$A$11:$BB$406,18,FALSE)-VLOOKUP($A289,'ПР 01-02.22'!$A$11:$BB$378,18,FALSE)</f>
        <v>1</v>
      </c>
      <c r="S289" s="5">
        <f>VLOOKUP($A289,'ПР 01-02.21'!$A$11:$BB$406,19,FALSE)+VLOOKUP($A289,'ПР 21-22'!$A$11:$BB$406,19,FALSE)-VLOOKUP($A289,'ПР 01-02.22'!$A$11:$BB$378,19,FALSE)</f>
        <v>1329</v>
      </c>
      <c r="T289" s="444"/>
      <c r="U289" s="5">
        <f>VLOOKUP($A289,'ПР 01-02.21'!$A$11:$BB$406,21,FALSE)+VLOOKUP($A289,'ПР 21-22'!$A$11:$BB$406,21,FALSE)-VLOOKUP($A289,'ПР 01-02.22'!$A$11:$BB$378,21,FALSE)</f>
        <v>0</v>
      </c>
      <c r="V289" s="5"/>
      <c r="W289" s="5">
        <f>VLOOKUP($A289,'ПР 01-02.21'!$A$11:$BB$406,23,FALSE)+VLOOKUP($A289,'ПР 21-22'!$A$11:$BB$406,23,FALSE)-VLOOKUP($A289,'ПР 01-02.22'!$A$11:$BB$378,23,FALSE)</f>
        <v>0</v>
      </c>
      <c r="X289" s="5">
        <f>VLOOKUP($A289,'ПР 01-02.21'!$A$11:$BB$406,24,FALSE)+VLOOKUP($A289,'ПР 21-22'!$A$11:$BB$406,24,FALSE)-VLOOKUP($A289,'ПР 01-02.22'!$A$11:$BB$378,24,FALSE)</f>
        <v>274.47505800284125</v>
      </c>
      <c r="Y289" s="5">
        <f>VLOOKUP($A289,'ПР 01-02.21'!$A$11:$BB$406,25,FALSE)+VLOOKUP($A289,'ПР 21-22'!$A$11:$BB$406,25,FALSE)-VLOOKUP($A289,'ПР 01-02.22'!$A$11:$BB$378,25,FALSE)</f>
        <v>1950</v>
      </c>
      <c r="Z289" s="5"/>
      <c r="AA289" s="5">
        <f>VLOOKUP($A289,'ПР 01-02.21'!$A$11:$BB$406,27,FALSE)+VLOOKUP($A289,'ПР 21-22'!$A$11:$BB$406,27,FALSE)-VLOOKUP($A289,'ПР 01-02.22'!$A$11:$BB$378,27,FALSE)</f>
        <v>0</v>
      </c>
      <c r="AB289" s="5">
        <f>VLOOKUP($A289,'ПР 01-02.21'!$A$11:$BB$406,28,FALSE)+VLOOKUP($A289,'ПР 21-22'!$A$11:$BB$406,28,FALSE)-VLOOKUP($A289,'ПР 01-02.22'!$A$11:$BB$378,28,FALSE)</f>
        <v>0</v>
      </c>
      <c r="AC289" s="5">
        <f>VLOOKUP($A289,'ПР 01-02.21'!$A$11:$BB$406,29,FALSE)+VLOOKUP($A289,'ПР 21-22'!$A$11:$BB$406,29,FALSE)-VLOOKUP($A289,'ПР 01-02.22'!$A$11:$BB$378,29,FALSE)</f>
        <v>0</v>
      </c>
      <c r="AD289" s="5">
        <f>VLOOKUP($A289,'ПР 01-02.21'!$A$11:$BB$406,30,FALSE)+VLOOKUP($A289,'ПР 21-22'!$A$11:$BB$406,30,FALSE)-VLOOKUP($A289,'ПР 01-02.22'!$A$11:$BB$378,30,FALSE)</f>
        <v>0</v>
      </c>
      <c r="AE289" s="5">
        <f>VLOOKUP($A289,'ПР 01-02.21'!$A$11:$BB$406,31,FALSE)+VLOOKUP($A289,'ПР 21-22'!$A$11:$BB$406,31,FALSE)-VLOOKUP($A289,'ПР 01-02.22'!$A$11:$BB$378,31,FALSE)</f>
        <v>2834.5471053242422</v>
      </c>
      <c r="AF289" s="5">
        <f>VLOOKUP($A289,'ПР 01-02.21'!$A$11:$BB$406,32,FALSE)+VLOOKUP($A289,'ПР 21-22'!$A$11:$BB$406,32,FALSE)-VLOOKUP($A289,'ПР 01-02.22'!$A$11:$BB$378,32,FALSE)</f>
        <v>1028</v>
      </c>
      <c r="AG289" s="40"/>
      <c r="AH289" s="5">
        <f>VLOOKUP($A289,'ПР 01-02.21'!$A$11:$BB$406,34,FALSE)+VLOOKUP($A289,'ПР 21-22'!$A$11:$BB$406,34,FALSE)-VLOOKUP($A289,'ПР 01-02.22'!$A$11:$BB$378,34,FALSE)</f>
        <v>3139.6621530164866</v>
      </c>
      <c r="AI289" s="5">
        <f>VLOOKUP($A289,'ПР 01-02.21'!$A$11:$BB$406,35,FALSE)+VLOOKUP($A289,'ПР 21-22'!$A$11:$BB$406,35,FALSE)-VLOOKUP($A289,'ПР 01-02.22'!$A$11:$BB$378,35,FALSE)</f>
        <v>1804.65</v>
      </c>
      <c r="AJ289" s="40"/>
      <c r="AK289" s="5">
        <f>VLOOKUP($A289,'ПР 01-02.21'!$A$11:$BB$406,37,FALSE)+VLOOKUP($A289,'ПР 21-22'!$A$11:$BB$406,37,FALSE)-VLOOKUP($A289,'ПР 01-02.22'!$A$11:$BB$378,37,FALSE)</f>
        <v>2307.2115525342333</v>
      </c>
      <c r="AL289" s="5">
        <f>VLOOKUP($A289,'ПР 01-02.21'!$A$11:$BB$406,38,FALSE)+VLOOKUP($A289,'ПР 21-22'!$A$11:$BB$406,38,FALSE)-VLOOKUP($A289,'ПР 01-02.22'!$A$11:$BB$378,38,FALSE)</f>
        <v>2521</v>
      </c>
      <c r="AM289" s="40"/>
      <c r="AN289" s="5">
        <f>VLOOKUP($A289,'ПР 01-02.21'!$A$11:$BB$406,40,FALSE)+VLOOKUP($A289,'ПР 21-22'!$A$11:$BB$406,40,FALSE)-VLOOKUP($A289,'ПР 01-02.22'!$A$11:$BB$378,40,FALSE)</f>
        <v>3481.9580812349304</v>
      </c>
      <c r="AO289" s="5">
        <f>VLOOKUP($A289,'ПР 01-02.21'!$A$11:$BB$406,41,FALSE)+VLOOKUP($A289,'ПР 21-22'!$A$11:$BB$406,41,FALSE)-VLOOKUP($A289,'ПР 01-02.22'!$A$11:$BB$378,41,FALSE)</f>
        <v>578</v>
      </c>
      <c r="AP289" s="40"/>
      <c r="AQ289" s="5">
        <f>VLOOKUP($A289,'ПР 01-02.21'!$A$11:$BB$406,43,FALSE)+VLOOKUP($A289,'ПР 21-22'!$A$11:$BB$406,43,FALSE)-VLOOKUP($A289,'ПР 01-02.22'!$A$11:$BB$378,43,FALSE)</f>
        <v>1183.3694964726358</v>
      </c>
      <c r="AR289" s="5">
        <f>VLOOKUP($A289,'ПР 01-02.21'!$A$11:$BB$406,44,FALSE)+VLOOKUP($A289,'ПР 21-22'!$A$11:$BB$406,44,FALSE)-VLOOKUP($A289,'ПР 01-02.22'!$A$11:$BB$378,44,FALSE)</f>
        <v>0</v>
      </c>
      <c r="AS289" s="40"/>
      <c r="AT289" s="5">
        <f>VLOOKUP($A289,'ПР 01-02.21'!$A$11:$BB$406,46,FALSE)+VLOOKUP($A289,'ПР 21-22'!$A$11:$BB$406,46,FALSE)-VLOOKUP($A289,'ПР 01-02.22'!$A$11:$BB$378,46,FALSE)</f>
        <v>1539.0984534674185</v>
      </c>
      <c r="AU289" s="5">
        <f>VLOOKUP($A289,'ПР 01-02.21'!$A$11:$BB$406,47,FALSE)+VLOOKUP($A289,'ПР 21-22'!$A$11:$BB$406,47,FALSE)-VLOOKUP($A289,'ПР 01-02.22'!$A$11:$BB$378,47,FALSE)</f>
        <v>631</v>
      </c>
      <c r="AV289" s="40"/>
      <c r="AW289" s="5">
        <f>VLOOKUP($A289,'ПР 01-02.21'!$A$11:$BB$406,49,FALSE)+VLOOKUP($A289,'ПР 21-22'!$A$11:$BB$406,49,FALSE)-VLOOKUP($A289,'ПР 01-02.22'!$A$11:$BB$378,49,FALSE)</f>
        <v>335.83159999999998</v>
      </c>
      <c r="AX289" s="5">
        <f>VLOOKUP($A289,'ПР 01-02.21'!$A$11:$BB$406,50,FALSE)+VLOOKUP($A289,'ПР 21-22'!$A$11:$BB$406,50,FALSE)-VLOOKUP($A289,'ПР 01-02.22'!$A$11:$BB$378,50,FALSE)</f>
        <v>0</v>
      </c>
      <c r="AY289" s="40"/>
      <c r="AZ289" s="40">
        <f t="shared" si="17"/>
        <v>14821.678442049948</v>
      </c>
      <c r="BA289" s="40">
        <f t="shared" si="17"/>
        <v>6562.65</v>
      </c>
      <c r="BB289" s="55">
        <f t="shared" si="20"/>
        <v>-8259.0284420499484</v>
      </c>
      <c r="BD289" s="2">
        <v>2</v>
      </c>
      <c r="BF289" s="325">
        <v>150000761</v>
      </c>
    </row>
    <row r="290" spans="1:58" ht="24.9" customHeight="1" x14ac:dyDescent="0.3">
      <c r="A290" s="325">
        <v>150000762</v>
      </c>
      <c r="B290" s="445" t="s">
        <v>392</v>
      </c>
      <c r="C290" s="27">
        <v>9</v>
      </c>
      <c r="D290" s="101" t="s">
        <v>455</v>
      </c>
      <c r="E290" s="279">
        <f>'побудинковий звіт'!E288</f>
        <v>2823.8</v>
      </c>
      <c r="F290" s="441">
        <f>'побудинковий звіт'!AS288</f>
        <v>28057.880731524874</v>
      </c>
      <c r="G290" s="441">
        <f t="shared" si="18"/>
        <v>12725</v>
      </c>
      <c r="H290" s="73">
        <f t="shared" si="19"/>
        <v>-15332.880731524874</v>
      </c>
      <c r="I290" s="5">
        <f>VLOOKUP($A290,'ПР 01-02.21'!$A$11:$BB$406,9,FALSE)+VLOOKUP($A290,'ПР 21-22'!$A$11:$BB$406,9,FALSE)-VLOOKUP($A290,'ПР 01-02.22'!$A$11:$BB$378,9,FALSE)</f>
        <v>0</v>
      </c>
      <c r="J290" s="5">
        <f>VLOOKUP($A290,'ПР 01-02.21'!$A$11:$BB$406,10,FALSE)+VLOOKUP($A290,'ПР 21-22'!$A$11:$BB$406,10,FALSE)-VLOOKUP($A290,'ПР 01-02.22'!$A$11:$BB$378,10,FALSE)</f>
        <v>0</v>
      </c>
      <c r="K290" s="446"/>
      <c r="L290" s="5">
        <f>VLOOKUP($A290,'ПР 01-02.21'!$A$11:$BB$406,12,FALSE)+VLOOKUP($A290,'ПР 21-22'!$A$11:$BB$406,12,FALSE)-VLOOKUP($A290,'ПР 01-02.22'!$A$11:$BB$378,12,FALSE)</f>
        <v>0</v>
      </c>
      <c r="M290" s="5">
        <f>VLOOKUP($A290,'ПР 01-02.21'!$A$11:$BB$406,13,FALSE)+VLOOKUP($A290,'ПР 21-22'!$A$11:$BB$406,13,FALSE)-VLOOKUP($A290,'ПР 01-02.22'!$A$11:$BB$378,13,FALSE)</f>
        <v>0</v>
      </c>
      <c r="N290" s="38"/>
      <c r="O290" s="5">
        <f>VLOOKUP($A290,'ПР 01-02.21'!$A$11:$BB$406,15,FALSE)+VLOOKUP($A290,'ПР 21-22'!$A$11:$BB$406,15,FALSE)-VLOOKUP($A290,'ПР 01-02.22'!$A$11:$BB$378,15,FALSE)</f>
        <v>0</v>
      </c>
      <c r="P290" s="5">
        <f>VLOOKUP($A290,'ПР 01-02.21'!$A$11:$BB$406,16,FALSE)+VLOOKUP($A290,'ПР 21-22'!$A$11:$BB$406,16,FALSE)-VLOOKUP($A290,'ПР 01-02.22'!$A$11:$BB$378,16,FALSE)</f>
        <v>0</v>
      </c>
      <c r="Q290" s="443"/>
      <c r="R290" s="5">
        <f>VLOOKUP($A290,'ПР 01-02.21'!$A$11:$BB$406,18,FALSE)+VLOOKUP($A290,'ПР 21-22'!$A$11:$BB$406,18,FALSE)-VLOOKUP($A290,'ПР 01-02.22'!$A$11:$BB$378,18,FALSE)</f>
        <v>2</v>
      </c>
      <c r="S290" s="5">
        <f>VLOOKUP($A290,'ПР 01-02.21'!$A$11:$BB$406,19,FALSE)+VLOOKUP($A290,'ПР 21-22'!$A$11:$BB$406,19,FALSE)-VLOOKUP($A290,'ПР 01-02.22'!$A$11:$BB$378,19,FALSE)</f>
        <v>10437</v>
      </c>
      <c r="T290" s="444"/>
      <c r="U290" s="5">
        <f>VLOOKUP($A290,'ПР 01-02.21'!$A$11:$BB$406,21,FALSE)+VLOOKUP($A290,'ПР 21-22'!$A$11:$BB$406,21,FALSE)-VLOOKUP($A290,'ПР 01-02.22'!$A$11:$BB$378,21,FALSE)</f>
        <v>0</v>
      </c>
      <c r="V290" s="5"/>
      <c r="W290" s="5">
        <f>VLOOKUP($A290,'ПР 01-02.21'!$A$11:$BB$406,23,FALSE)+VLOOKUP($A290,'ПР 21-22'!$A$11:$BB$406,23,FALSE)-VLOOKUP($A290,'ПР 01-02.22'!$A$11:$BB$378,23,FALSE)</f>
        <v>0</v>
      </c>
      <c r="X290" s="5">
        <f>VLOOKUP($A290,'ПР 01-02.21'!$A$11:$BB$406,24,FALSE)+VLOOKUP($A290,'ПР 21-22'!$A$11:$BB$406,24,FALSE)-VLOOKUP($A290,'ПР 01-02.22'!$A$11:$BB$378,24,FALSE)</f>
        <v>0</v>
      </c>
      <c r="Y290" s="5">
        <f>VLOOKUP($A290,'ПР 01-02.21'!$A$11:$BB$406,25,FALSE)+VLOOKUP($A290,'ПР 21-22'!$A$11:$BB$406,25,FALSE)-VLOOKUP($A290,'ПР 01-02.22'!$A$11:$BB$378,25,FALSE)</f>
        <v>2288</v>
      </c>
      <c r="Z290" s="5"/>
      <c r="AA290" s="5">
        <f>VLOOKUP($A290,'ПР 01-02.21'!$A$11:$BB$406,27,FALSE)+VLOOKUP($A290,'ПР 21-22'!$A$11:$BB$406,27,FALSE)-VLOOKUP($A290,'ПР 01-02.22'!$A$11:$BB$378,27,FALSE)</f>
        <v>0</v>
      </c>
      <c r="AB290" s="5">
        <f>VLOOKUP($A290,'ПР 01-02.21'!$A$11:$BB$406,28,FALSE)+VLOOKUP($A290,'ПР 21-22'!$A$11:$BB$406,28,FALSE)-VLOOKUP($A290,'ПР 01-02.22'!$A$11:$BB$378,28,FALSE)</f>
        <v>0</v>
      </c>
      <c r="AC290" s="5">
        <f>VLOOKUP($A290,'ПР 01-02.21'!$A$11:$BB$406,29,FALSE)+VLOOKUP($A290,'ПР 21-22'!$A$11:$BB$406,29,FALSE)-VLOOKUP($A290,'ПР 01-02.22'!$A$11:$BB$378,29,FALSE)</f>
        <v>0</v>
      </c>
      <c r="AD290" s="5">
        <f>VLOOKUP($A290,'ПР 01-02.21'!$A$11:$BB$406,30,FALSE)+VLOOKUP($A290,'ПР 21-22'!$A$11:$BB$406,30,FALSE)-VLOOKUP($A290,'ПР 01-02.22'!$A$11:$BB$378,30,FALSE)</f>
        <v>0</v>
      </c>
      <c r="AE290" s="5">
        <f>VLOOKUP($A290,'ПР 01-02.21'!$A$11:$BB$406,31,FALSE)+VLOOKUP($A290,'ПР 21-22'!$A$11:$BB$406,31,FALSE)-VLOOKUP($A290,'ПР 01-02.22'!$A$11:$BB$378,31,FALSE)</f>
        <v>1644.1074035451768</v>
      </c>
      <c r="AF290" s="5">
        <f>VLOOKUP($A290,'ПР 01-02.21'!$A$11:$BB$406,32,FALSE)+VLOOKUP($A290,'ПР 21-22'!$A$11:$BB$406,32,FALSE)-VLOOKUP($A290,'ПР 01-02.22'!$A$11:$BB$378,32,FALSE)</f>
        <v>103</v>
      </c>
      <c r="AG290" s="40"/>
      <c r="AH290" s="5">
        <f>VLOOKUP($A290,'ПР 01-02.21'!$A$11:$BB$406,34,FALSE)+VLOOKUP($A290,'ПР 21-22'!$A$11:$BB$406,34,FALSE)-VLOOKUP($A290,'ПР 01-02.22'!$A$11:$BB$378,34,FALSE)</f>
        <v>1826.2935730692286</v>
      </c>
      <c r="AI290" s="5">
        <f>VLOOKUP($A290,'ПР 01-02.21'!$A$11:$BB$406,35,FALSE)+VLOOKUP($A290,'ПР 21-22'!$A$11:$BB$406,35,FALSE)-VLOOKUP($A290,'ПР 01-02.22'!$A$11:$BB$378,35,FALSE)</f>
        <v>33</v>
      </c>
      <c r="AJ290" s="40"/>
      <c r="AK290" s="5">
        <f>VLOOKUP($A290,'ПР 01-02.21'!$A$11:$BB$406,37,FALSE)+VLOOKUP($A290,'ПР 21-22'!$A$11:$BB$406,37,FALSE)-VLOOKUP($A290,'ПР 01-02.22'!$A$11:$BB$378,37,FALSE)</f>
        <v>0</v>
      </c>
      <c r="AL290" s="5">
        <f>VLOOKUP($A290,'ПР 01-02.21'!$A$11:$BB$406,38,FALSE)+VLOOKUP($A290,'ПР 21-22'!$A$11:$BB$406,38,FALSE)-VLOOKUP($A290,'ПР 01-02.22'!$A$11:$BB$378,38,FALSE)</f>
        <v>0</v>
      </c>
      <c r="AM290" s="40"/>
      <c r="AN290" s="5">
        <f>VLOOKUP($A290,'ПР 01-02.21'!$A$11:$BB$406,40,FALSE)+VLOOKUP($A290,'ПР 21-22'!$A$11:$BB$406,40,FALSE)-VLOOKUP($A290,'ПР 01-02.22'!$A$11:$BB$378,40,FALSE)</f>
        <v>0</v>
      </c>
      <c r="AO290" s="5">
        <f>VLOOKUP($A290,'ПР 01-02.21'!$A$11:$BB$406,41,FALSE)+VLOOKUP($A290,'ПР 21-22'!$A$11:$BB$406,41,FALSE)-VLOOKUP($A290,'ПР 01-02.22'!$A$11:$BB$378,41,FALSE)</f>
        <v>0</v>
      </c>
      <c r="AP290" s="40"/>
      <c r="AQ290" s="5">
        <f>VLOOKUP($A290,'ПР 01-02.21'!$A$11:$BB$406,43,FALSE)+VLOOKUP($A290,'ПР 21-22'!$A$11:$BB$406,43,FALSE)-VLOOKUP($A290,'ПР 01-02.22'!$A$11:$BB$378,43,FALSE)</f>
        <v>591.22706597274259</v>
      </c>
      <c r="AR290" s="5">
        <f>VLOOKUP($A290,'ПР 01-02.21'!$A$11:$BB$406,44,FALSE)+VLOOKUP($A290,'ПР 21-22'!$A$11:$BB$406,44,FALSE)-VLOOKUP($A290,'ПР 01-02.22'!$A$11:$BB$378,44,FALSE)</f>
        <v>0</v>
      </c>
      <c r="AS290" s="40"/>
      <c r="AT290" s="5">
        <f>VLOOKUP($A290,'ПР 01-02.21'!$A$11:$BB$406,46,FALSE)+VLOOKUP($A290,'ПР 21-22'!$A$11:$BB$406,46,FALSE)-VLOOKUP($A290,'ПР 01-02.22'!$A$11:$BB$378,46,FALSE)</f>
        <v>690.35954419585585</v>
      </c>
      <c r="AU290" s="5">
        <f>VLOOKUP($A290,'ПР 01-02.21'!$A$11:$BB$406,47,FALSE)+VLOOKUP($A290,'ПР 21-22'!$A$11:$BB$406,47,FALSE)-VLOOKUP($A290,'ПР 01-02.22'!$A$11:$BB$378,47,FALSE)</f>
        <v>0</v>
      </c>
      <c r="AV290" s="40"/>
      <c r="AW290" s="5">
        <f>VLOOKUP($A290,'ПР 01-02.21'!$A$11:$BB$406,49,FALSE)+VLOOKUP($A290,'ПР 21-22'!$A$11:$BB$406,49,FALSE)-VLOOKUP($A290,'ПР 01-02.22'!$A$11:$BB$378,49,FALSE)</f>
        <v>140.952</v>
      </c>
      <c r="AX290" s="5">
        <f>VLOOKUP($A290,'ПР 01-02.21'!$A$11:$BB$406,50,FALSE)+VLOOKUP($A290,'ПР 21-22'!$A$11:$BB$406,50,FALSE)-VLOOKUP($A290,'ПР 01-02.22'!$A$11:$BB$378,50,FALSE)</f>
        <v>0</v>
      </c>
      <c r="AY290" s="40"/>
      <c r="AZ290" s="40">
        <f t="shared" si="17"/>
        <v>4892.9395867830044</v>
      </c>
      <c r="BA290" s="40">
        <f t="shared" si="17"/>
        <v>136</v>
      </c>
      <c r="BB290" s="55">
        <f t="shared" si="20"/>
        <v>-4756.9395867830044</v>
      </c>
      <c r="BD290" s="2">
        <v>2</v>
      </c>
      <c r="BF290" s="325">
        <v>150000762</v>
      </c>
    </row>
    <row r="291" spans="1:58" ht="24.9" customHeight="1" x14ac:dyDescent="0.3">
      <c r="A291" s="325">
        <v>150000638</v>
      </c>
      <c r="B291" s="445" t="s">
        <v>132</v>
      </c>
      <c r="C291" s="27">
        <v>1</v>
      </c>
      <c r="D291" s="101" t="s">
        <v>455</v>
      </c>
      <c r="E291" s="279">
        <f>'побудинковий звіт'!E289</f>
        <v>90.7</v>
      </c>
      <c r="F291" s="441">
        <f>'побудинковий звіт'!AS289</f>
        <v>0</v>
      </c>
      <c r="G291" s="441">
        <f t="shared" si="18"/>
        <v>0</v>
      </c>
      <c r="H291" s="73">
        <f t="shared" si="19"/>
        <v>0</v>
      </c>
      <c r="I291" s="5"/>
      <c r="J291" s="5"/>
      <c r="K291" s="446"/>
      <c r="L291" s="5"/>
      <c r="M291" s="5"/>
      <c r="N291" s="38"/>
      <c r="O291" s="5"/>
      <c r="P291" s="5"/>
      <c r="Q291" s="443"/>
      <c r="R291" s="5"/>
      <c r="S291" s="5"/>
      <c r="T291" s="444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40"/>
      <c r="AH291" s="5"/>
      <c r="AI291" s="5"/>
      <c r="AJ291" s="40"/>
      <c r="AK291" s="5"/>
      <c r="AL291" s="5"/>
      <c r="AM291" s="40"/>
      <c r="AN291" s="5"/>
      <c r="AO291" s="5"/>
      <c r="AP291" s="40"/>
      <c r="AQ291" s="5"/>
      <c r="AR291" s="5"/>
      <c r="AS291" s="40"/>
      <c r="AT291" s="5"/>
      <c r="AU291" s="5"/>
      <c r="AV291" s="40"/>
      <c r="AW291" s="5"/>
      <c r="AX291" s="5"/>
      <c r="AY291" s="40"/>
      <c r="AZ291" s="40">
        <f t="shared" si="17"/>
        <v>0</v>
      </c>
      <c r="BA291" s="40">
        <f t="shared" si="17"/>
        <v>0</v>
      </c>
      <c r="BB291" s="55">
        <f t="shared" si="20"/>
        <v>0</v>
      </c>
      <c r="BD291" s="2">
        <v>2</v>
      </c>
      <c r="BF291" s="325">
        <v>150000638</v>
      </c>
    </row>
    <row r="292" spans="1:58" ht="24.9" customHeight="1" x14ac:dyDescent="0.3">
      <c r="A292" s="325">
        <v>150000639</v>
      </c>
      <c r="B292" s="445" t="s">
        <v>133</v>
      </c>
      <c r="C292" s="27">
        <v>1</v>
      </c>
      <c r="D292" s="101" t="s">
        <v>455</v>
      </c>
      <c r="E292" s="279">
        <f>'побудинковий звіт'!E290</f>
        <v>171</v>
      </c>
      <c r="F292" s="441">
        <f>'побудинковий звіт'!AS290</f>
        <v>0</v>
      </c>
      <c r="G292" s="441">
        <f t="shared" si="18"/>
        <v>0</v>
      </c>
      <c r="H292" s="73">
        <f t="shared" si="19"/>
        <v>0</v>
      </c>
      <c r="I292" s="5"/>
      <c r="J292" s="5"/>
      <c r="K292" s="446"/>
      <c r="L292" s="5"/>
      <c r="M292" s="5"/>
      <c r="N292" s="38"/>
      <c r="O292" s="5"/>
      <c r="P292" s="5"/>
      <c r="Q292" s="443"/>
      <c r="R292" s="5"/>
      <c r="S292" s="5"/>
      <c r="T292" s="444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40"/>
      <c r="AH292" s="5"/>
      <c r="AI292" s="5"/>
      <c r="AJ292" s="40"/>
      <c r="AK292" s="5"/>
      <c r="AL292" s="5"/>
      <c r="AM292" s="40"/>
      <c r="AN292" s="5"/>
      <c r="AO292" s="5"/>
      <c r="AP292" s="40"/>
      <c r="AQ292" s="5"/>
      <c r="AR292" s="5"/>
      <c r="AS292" s="40"/>
      <c r="AT292" s="5"/>
      <c r="AU292" s="5"/>
      <c r="AV292" s="40"/>
      <c r="AW292" s="5"/>
      <c r="AX292" s="5"/>
      <c r="AY292" s="40"/>
      <c r="AZ292" s="40">
        <f t="shared" si="17"/>
        <v>0</v>
      </c>
      <c r="BA292" s="40">
        <f t="shared" si="17"/>
        <v>0</v>
      </c>
      <c r="BB292" s="55">
        <f t="shared" si="20"/>
        <v>0</v>
      </c>
      <c r="BD292" s="2">
        <v>2</v>
      </c>
      <c r="BF292" s="325">
        <v>150000639</v>
      </c>
    </row>
    <row r="293" spans="1:58" ht="24.9" customHeight="1" x14ac:dyDescent="0.3">
      <c r="A293" s="325">
        <v>150000736</v>
      </c>
      <c r="B293" s="445" t="s">
        <v>220</v>
      </c>
      <c r="C293" s="27">
        <v>4</v>
      </c>
      <c r="D293" s="101" t="s">
        <v>455</v>
      </c>
      <c r="E293" s="279">
        <f>'побудинковий звіт'!E291</f>
        <v>2846.8999999999996</v>
      </c>
      <c r="F293" s="441">
        <f>'побудинковий звіт'!AS291</f>
        <v>27238.716843369286</v>
      </c>
      <c r="G293" s="441">
        <f t="shared" si="18"/>
        <v>100961.39</v>
      </c>
      <c r="H293" s="73">
        <f t="shared" si="19"/>
        <v>73722.673156630713</v>
      </c>
      <c r="I293" s="5">
        <f>VLOOKUP($A293,'ПР 01-02.21'!$A$11:$BB$406,9,FALSE)+VLOOKUP($A293,'ПР 21-22'!$A$11:$BB$406,9,FALSE)-VLOOKUP($A293,'ПР 01-02.22'!$A$11:$BB$378,9,FALSE)</f>
        <v>1.75</v>
      </c>
      <c r="J293" s="5">
        <f>VLOOKUP($A293,'ПР 01-02.21'!$A$11:$BB$406,10,FALSE)+VLOOKUP($A293,'ПР 21-22'!$A$11:$BB$406,10,FALSE)-VLOOKUP($A293,'ПР 01-02.22'!$A$11:$BB$378,10,FALSE)</f>
        <v>1847.12</v>
      </c>
      <c r="K293" s="446"/>
      <c r="L293" s="5">
        <f>VLOOKUP($A293,'ПР 01-02.21'!$A$11:$BB$406,12,FALSE)+VLOOKUP($A293,'ПР 21-22'!$A$11:$BB$406,12,FALSE)-VLOOKUP($A293,'ПР 01-02.22'!$A$11:$BB$378,12,FALSE)</f>
        <v>1</v>
      </c>
      <c r="M293" s="5">
        <f>VLOOKUP($A293,'ПР 01-02.21'!$A$11:$BB$406,13,FALSE)+VLOOKUP($A293,'ПР 21-22'!$A$11:$BB$406,13,FALSE)-VLOOKUP($A293,'ПР 01-02.22'!$A$11:$BB$378,13,FALSE)</f>
        <v>53614</v>
      </c>
      <c r="N293" s="38"/>
      <c r="O293" s="5">
        <f>VLOOKUP($A293,'ПР 01-02.21'!$A$11:$BB$406,15,FALSE)+VLOOKUP($A293,'ПР 21-22'!$A$11:$BB$406,15,FALSE)-VLOOKUP($A293,'ПР 01-02.22'!$A$11:$BB$378,15,FALSE)</f>
        <v>0</v>
      </c>
      <c r="P293" s="5">
        <f>VLOOKUP($A293,'ПР 01-02.21'!$A$11:$BB$406,16,FALSE)+VLOOKUP($A293,'ПР 21-22'!$A$11:$BB$406,16,FALSE)-VLOOKUP($A293,'ПР 01-02.22'!$A$11:$BB$378,16,FALSE)</f>
        <v>0</v>
      </c>
      <c r="Q293" s="443"/>
      <c r="R293" s="5">
        <f>VLOOKUP($A293,'ПР 01-02.21'!$A$11:$BB$406,18,FALSE)+VLOOKUP($A293,'ПР 21-22'!$A$11:$BB$406,18,FALSE)-VLOOKUP($A293,'ПР 01-02.22'!$A$11:$BB$378,18,FALSE)</f>
        <v>0</v>
      </c>
      <c r="S293" s="5">
        <f>VLOOKUP($A293,'ПР 01-02.21'!$A$11:$BB$406,19,FALSE)+VLOOKUP($A293,'ПР 21-22'!$A$11:$BB$406,19,FALSE)-VLOOKUP($A293,'ПР 01-02.22'!$A$11:$BB$378,19,FALSE)</f>
        <v>0</v>
      </c>
      <c r="T293" s="444"/>
      <c r="U293" s="5">
        <f>VLOOKUP($A293,'ПР 01-02.21'!$A$11:$BB$406,21,FALSE)+VLOOKUP($A293,'ПР 21-22'!$A$11:$BB$406,21,FALSE)-VLOOKUP($A293,'ПР 01-02.22'!$A$11:$BB$378,21,FALSE)</f>
        <v>0</v>
      </c>
      <c r="V293" s="5"/>
      <c r="W293" s="5">
        <f>VLOOKUP($A293,'ПР 01-02.21'!$A$11:$BB$406,23,FALSE)+VLOOKUP($A293,'ПР 21-22'!$A$11:$BB$406,23,FALSE)-VLOOKUP($A293,'ПР 01-02.22'!$A$11:$BB$378,23,FALSE)</f>
        <v>20</v>
      </c>
      <c r="X293" s="5">
        <f>VLOOKUP($A293,'ПР 01-02.21'!$A$11:$BB$406,24,FALSE)+VLOOKUP($A293,'ПР 21-22'!$A$11:$BB$406,24,FALSE)-VLOOKUP($A293,'ПР 01-02.22'!$A$11:$BB$378,24,FALSE)</f>
        <v>13812</v>
      </c>
      <c r="Y293" s="5">
        <f>VLOOKUP($A293,'ПР 01-02.21'!$A$11:$BB$406,25,FALSE)+VLOOKUP($A293,'ПР 21-22'!$A$11:$BB$406,25,FALSE)-VLOOKUP($A293,'ПР 01-02.22'!$A$11:$BB$378,25,FALSE)</f>
        <v>29636.27</v>
      </c>
      <c r="Z293" s="5"/>
      <c r="AA293" s="5">
        <f>VLOOKUP($A293,'ПР 01-02.21'!$A$11:$BB$406,27,FALSE)+VLOOKUP($A293,'ПР 21-22'!$A$11:$BB$406,27,FALSE)-VLOOKUP($A293,'ПР 01-02.22'!$A$11:$BB$378,27,FALSE)</f>
        <v>0</v>
      </c>
      <c r="AB293" s="5">
        <f>VLOOKUP($A293,'ПР 01-02.21'!$A$11:$BB$406,28,FALSE)+VLOOKUP($A293,'ПР 21-22'!$A$11:$BB$406,28,FALSE)-VLOOKUP($A293,'ПР 01-02.22'!$A$11:$BB$378,28,FALSE)</f>
        <v>0</v>
      </c>
      <c r="AC293" s="5">
        <f>VLOOKUP($A293,'ПР 01-02.21'!$A$11:$BB$406,29,FALSE)+VLOOKUP($A293,'ПР 21-22'!$A$11:$BB$406,29,FALSE)-VLOOKUP($A293,'ПР 01-02.22'!$A$11:$BB$378,29,FALSE)</f>
        <v>1574</v>
      </c>
      <c r="AD293" s="5">
        <f>VLOOKUP($A293,'ПР 01-02.21'!$A$11:$BB$406,30,FALSE)+VLOOKUP($A293,'ПР 21-22'!$A$11:$BB$406,30,FALSE)-VLOOKUP($A293,'ПР 01-02.22'!$A$11:$BB$378,30,FALSE)</f>
        <v>478</v>
      </c>
      <c r="AE293" s="5">
        <f>VLOOKUP($A293,'ПР 01-02.21'!$A$11:$BB$406,31,FALSE)+VLOOKUP($A293,'ПР 21-22'!$A$11:$BB$406,31,FALSE)-VLOOKUP($A293,'ПР 01-02.22'!$A$11:$BB$378,31,FALSE)</f>
        <v>2128.2251459576423</v>
      </c>
      <c r="AF293" s="5">
        <f>VLOOKUP($A293,'ПР 01-02.21'!$A$11:$BB$406,32,FALSE)+VLOOKUP($A293,'ПР 21-22'!$A$11:$BB$406,32,FALSE)-VLOOKUP($A293,'ПР 01-02.22'!$A$11:$BB$378,32,FALSE)</f>
        <v>2430</v>
      </c>
      <c r="AG293" s="40"/>
      <c r="AH293" s="5">
        <f>VLOOKUP($A293,'ПР 01-02.21'!$A$11:$BB$406,34,FALSE)+VLOOKUP($A293,'ПР 21-22'!$A$11:$BB$406,34,FALSE)-VLOOKUP($A293,'ПР 01-02.22'!$A$11:$BB$378,34,FALSE)</f>
        <v>3341.312908024116</v>
      </c>
      <c r="AI293" s="5">
        <f>VLOOKUP($A293,'ПР 01-02.21'!$A$11:$BB$406,35,FALSE)+VLOOKUP($A293,'ПР 21-22'!$A$11:$BB$406,35,FALSE)-VLOOKUP($A293,'ПР 01-02.22'!$A$11:$BB$378,35,FALSE)</f>
        <v>4003</v>
      </c>
      <c r="AJ293" s="40"/>
      <c r="AK293" s="5">
        <f>VLOOKUP($A293,'ПР 01-02.21'!$A$11:$BB$406,37,FALSE)+VLOOKUP($A293,'ПР 21-22'!$A$11:$BB$406,37,FALSE)-VLOOKUP($A293,'ПР 01-02.22'!$A$11:$BB$378,37,FALSE)</f>
        <v>1783.862594799614</v>
      </c>
      <c r="AL293" s="5">
        <f>VLOOKUP($A293,'ПР 01-02.21'!$A$11:$BB$406,38,FALSE)+VLOOKUP($A293,'ПР 21-22'!$A$11:$BB$406,38,FALSE)-VLOOKUP($A293,'ПР 01-02.22'!$A$11:$BB$378,38,FALSE)</f>
        <v>1405</v>
      </c>
      <c r="AM293" s="40"/>
      <c r="AN293" s="5">
        <f>VLOOKUP($A293,'ПР 01-02.21'!$A$11:$BB$406,40,FALSE)+VLOOKUP($A293,'ПР 21-22'!$A$11:$BB$406,40,FALSE)-VLOOKUP($A293,'ПР 01-02.22'!$A$11:$BB$378,40,FALSE)</f>
        <v>0</v>
      </c>
      <c r="AO293" s="5">
        <f>VLOOKUP($A293,'ПР 01-02.21'!$A$11:$BB$406,41,FALSE)+VLOOKUP($A293,'ПР 21-22'!$A$11:$BB$406,41,FALSE)-VLOOKUP($A293,'ПР 01-02.22'!$A$11:$BB$378,41,FALSE)</f>
        <v>0</v>
      </c>
      <c r="AP293" s="40"/>
      <c r="AQ293" s="5">
        <f>VLOOKUP($A293,'ПР 01-02.21'!$A$11:$BB$406,43,FALSE)+VLOOKUP($A293,'ПР 21-22'!$A$11:$BB$406,43,FALSE)-VLOOKUP($A293,'ПР 01-02.22'!$A$11:$BB$378,43,FALSE)</f>
        <v>0</v>
      </c>
      <c r="AR293" s="5">
        <f>VLOOKUP($A293,'ПР 01-02.21'!$A$11:$BB$406,44,FALSE)+VLOOKUP($A293,'ПР 21-22'!$A$11:$BB$406,44,FALSE)-VLOOKUP($A293,'ПР 01-02.22'!$A$11:$BB$378,44,FALSE)</f>
        <v>0</v>
      </c>
      <c r="AS293" s="40"/>
      <c r="AT293" s="5">
        <f>VLOOKUP($A293,'ПР 01-02.21'!$A$11:$BB$406,46,FALSE)+VLOOKUP($A293,'ПР 21-22'!$A$11:$BB$406,46,FALSE)-VLOOKUP($A293,'ПР 01-02.22'!$A$11:$BB$378,46,FALSE)</f>
        <v>1915.5824825412806</v>
      </c>
      <c r="AU293" s="5">
        <f>VLOOKUP($A293,'ПР 01-02.21'!$A$11:$BB$406,47,FALSE)+VLOOKUP($A293,'ПР 21-22'!$A$11:$BB$406,47,FALSE)-VLOOKUP($A293,'ПР 01-02.22'!$A$11:$BB$378,47,FALSE)</f>
        <v>880</v>
      </c>
      <c r="AV293" s="40"/>
      <c r="AW293" s="5">
        <f>VLOOKUP($A293,'ПР 01-02.21'!$A$11:$BB$406,49,FALSE)+VLOOKUP($A293,'ПР 21-22'!$A$11:$BB$406,49,FALSE)-VLOOKUP($A293,'ПР 01-02.22'!$A$11:$BB$378,49,FALSE)</f>
        <v>141.87599999999998</v>
      </c>
      <c r="AX293" s="5">
        <f>VLOOKUP($A293,'ПР 01-02.21'!$A$11:$BB$406,50,FALSE)+VLOOKUP($A293,'ПР 21-22'!$A$11:$BB$406,50,FALSE)-VLOOKUP($A293,'ПР 01-02.22'!$A$11:$BB$378,50,FALSE)</f>
        <v>0</v>
      </c>
      <c r="AY293" s="40"/>
      <c r="AZ293" s="40">
        <f t="shared" si="17"/>
        <v>9310.8591313226534</v>
      </c>
      <c r="BA293" s="40">
        <f t="shared" si="17"/>
        <v>8718</v>
      </c>
      <c r="BB293" s="55">
        <f t="shared" si="20"/>
        <v>-592.85913132265341</v>
      </c>
      <c r="BD293" s="2">
        <v>2</v>
      </c>
      <c r="BF293" s="325">
        <v>150000736</v>
      </c>
    </row>
    <row r="294" spans="1:58" ht="24.9" customHeight="1" x14ac:dyDescent="0.3">
      <c r="A294" s="325">
        <v>150000743</v>
      </c>
      <c r="B294" s="445" t="s">
        <v>221</v>
      </c>
      <c r="C294" s="27">
        <v>4</v>
      </c>
      <c r="D294" s="101" t="s">
        <v>455</v>
      </c>
      <c r="E294" s="279">
        <f>'побудинковий звіт'!E292</f>
        <v>2296.6999999999998</v>
      </c>
      <c r="F294" s="441">
        <f>'побудинковий звіт'!AS292</f>
        <v>19050.160875711983</v>
      </c>
      <c r="G294" s="441">
        <f t="shared" si="18"/>
        <v>254.12132771087269</v>
      </c>
      <c r="H294" s="73">
        <f t="shared" si="19"/>
        <v>-18796.03954800111</v>
      </c>
      <c r="I294" s="5">
        <f>VLOOKUP($A294,'ПР 01-02.21'!$A$11:$BB$406,9,FALSE)+VLOOKUP($A294,'ПР 21-22'!$A$11:$BB$406,9,FALSE)-VLOOKUP($A294,'ПР 01-02.22'!$A$11:$BB$378,9,FALSE)</f>
        <v>0</v>
      </c>
      <c r="J294" s="5">
        <f>VLOOKUP($A294,'ПР 01-02.21'!$A$11:$BB$406,10,FALSE)+VLOOKUP($A294,'ПР 21-22'!$A$11:$BB$406,10,FALSE)-VLOOKUP($A294,'ПР 01-02.22'!$A$11:$BB$378,10,FALSE)</f>
        <v>0</v>
      </c>
      <c r="K294" s="446"/>
      <c r="L294" s="5">
        <f>VLOOKUP($A294,'ПР 01-02.21'!$A$11:$BB$406,12,FALSE)+VLOOKUP($A294,'ПР 21-22'!$A$11:$BB$406,12,FALSE)-VLOOKUP($A294,'ПР 01-02.22'!$A$11:$BB$378,12,FALSE)</f>
        <v>0</v>
      </c>
      <c r="M294" s="5">
        <f>VLOOKUP($A294,'ПР 01-02.21'!$A$11:$BB$406,13,FALSE)+VLOOKUP($A294,'ПР 21-22'!$A$11:$BB$406,13,FALSE)-VLOOKUP($A294,'ПР 01-02.22'!$A$11:$BB$378,13,FALSE)</f>
        <v>0</v>
      </c>
      <c r="N294" s="38"/>
      <c r="O294" s="5">
        <f>VLOOKUP($A294,'ПР 01-02.21'!$A$11:$BB$406,15,FALSE)+VLOOKUP($A294,'ПР 21-22'!$A$11:$BB$406,15,FALSE)-VLOOKUP($A294,'ПР 01-02.22'!$A$11:$BB$378,15,FALSE)</f>
        <v>0</v>
      </c>
      <c r="P294" s="5">
        <f>VLOOKUP($A294,'ПР 01-02.21'!$A$11:$BB$406,16,FALSE)+VLOOKUP($A294,'ПР 21-22'!$A$11:$BB$406,16,FALSE)-VLOOKUP($A294,'ПР 01-02.22'!$A$11:$BB$378,16,FALSE)</f>
        <v>0</v>
      </c>
      <c r="Q294" s="443"/>
      <c r="R294" s="5">
        <f>VLOOKUP($A294,'ПР 01-02.21'!$A$11:$BB$406,18,FALSE)+VLOOKUP($A294,'ПР 21-22'!$A$11:$BB$406,18,FALSE)-VLOOKUP($A294,'ПР 01-02.22'!$A$11:$BB$378,18,FALSE)</f>
        <v>0</v>
      </c>
      <c r="S294" s="5">
        <f>VLOOKUP($A294,'ПР 01-02.21'!$A$11:$BB$406,19,FALSE)+VLOOKUP($A294,'ПР 21-22'!$A$11:$BB$406,19,FALSE)-VLOOKUP($A294,'ПР 01-02.22'!$A$11:$BB$378,19,FALSE)</f>
        <v>0</v>
      </c>
      <c r="T294" s="444"/>
      <c r="U294" s="5">
        <f>VLOOKUP($A294,'ПР 01-02.21'!$A$11:$BB$406,21,FALSE)+VLOOKUP($A294,'ПР 21-22'!$A$11:$BB$406,21,FALSE)-VLOOKUP($A294,'ПР 01-02.22'!$A$11:$BB$378,21,FALSE)</f>
        <v>0</v>
      </c>
      <c r="V294" s="5"/>
      <c r="W294" s="5">
        <f>VLOOKUP($A294,'ПР 01-02.21'!$A$11:$BB$406,23,FALSE)+VLOOKUP($A294,'ПР 21-22'!$A$11:$BB$406,23,FALSE)-VLOOKUP($A294,'ПР 01-02.22'!$A$11:$BB$378,23,FALSE)</f>
        <v>0</v>
      </c>
      <c r="X294" s="5">
        <f>VLOOKUP($A294,'ПР 01-02.21'!$A$11:$BB$406,24,FALSE)+VLOOKUP($A294,'ПР 21-22'!$A$11:$BB$406,24,FALSE)-VLOOKUP($A294,'ПР 01-02.22'!$A$11:$BB$378,24,FALSE)</f>
        <v>254.12132771087269</v>
      </c>
      <c r="Y294" s="5">
        <f>VLOOKUP($A294,'ПР 01-02.21'!$A$11:$BB$406,25,FALSE)+VLOOKUP($A294,'ПР 21-22'!$A$11:$BB$406,25,FALSE)-VLOOKUP($A294,'ПР 01-02.22'!$A$11:$BB$378,25,FALSE)</f>
        <v>0</v>
      </c>
      <c r="Z294" s="5"/>
      <c r="AA294" s="5">
        <f>VLOOKUP($A294,'ПР 01-02.21'!$A$11:$BB$406,27,FALSE)+VLOOKUP($A294,'ПР 21-22'!$A$11:$BB$406,27,FALSE)-VLOOKUP($A294,'ПР 01-02.22'!$A$11:$BB$378,27,FALSE)</f>
        <v>0</v>
      </c>
      <c r="AB294" s="5">
        <f>VLOOKUP($A294,'ПР 01-02.21'!$A$11:$BB$406,28,FALSE)+VLOOKUP($A294,'ПР 21-22'!$A$11:$BB$406,28,FALSE)-VLOOKUP($A294,'ПР 01-02.22'!$A$11:$BB$378,28,FALSE)</f>
        <v>0</v>
      </c>
      <c r="AC294" s="5">
        <f>VLOOKUP($A294,'ПР 01-02.21'!$A$11:$BB$406,29,FALSE)+VLOOKUP($A294,'ПР 21-22'!$A$11:$BB$406,29,FALSE)-VLOOKUP($A294,'ПР 01-02.22'!$A$11:$BB$378,29,FALSE)</f>
        <v>0</v>
      </c>
      <c r="AD294" s="5">
        <f>VLOOKUP($A294,'ПР 01-02.21'!$A$11:$BB$406,30,FALSE)+VLOOKUP($A294,'ПР 21-22'!$A$11:$BB$406,30,FALSE)-VLOOKUP($A294,'ПР 01-02.22'!$A$11:$BB$378,30,FALSE)</f>
        <v>0</v>
      </c>
      <c r="AE294" s="5">
        <f>VLOOKUP($A294,'ПР 01-02.21'!$A$11:$BB$406,31,FALSE)+VLOOKUP($A294,'ПР 21-22'!$A$11:$BB$406,31,FALSE)-VLOOKUP($A294,'ПР 01-02.22'!$A$11:$BB$378,31,FALSE)</f>
        <v>1959.6052522829207</v>
      </c>
      <c r="AF294" s="5">
        <f>VLOOKUP($A294,'ПР 01-02.21'!$A$11:$BB$406,32,FALSE)+VLOOKUP($A294,'ПР 21-22'!$A$11:$BB$406,32,FALSE)-VLOOKUP($A294,'ПР 01-02.22'!$A$11:$BB$378,32,FALSE)</f>
        <v>733</v>
      </c>
      <c r="AG294" s="40"/>
      <c r="AH294" s="5">
        <f>VLOOKUP($A294,'ПР 01-02.21'!$A$11:$BB$406,34,FALSE)+VLOOKUP($A294,'ПР 21-22'!$A$11:$BB$406,34,FALSE)-VLOOKUP($A294,'ПР 01-02.22'!$A$11:$BB$378,34,FALSE)</f>
        <v>2500.3016685193525</v>
      </c>
      <c r="AI294" s="5">
        <f>VLOOKUP($A294,'ПР 01-02.21'!$A$11:$BB$406,35,FALSE)+VLOOKUP($A294,'ПР 21-22'!$A$11:$BB$406,35,FALSE)-VLOOKUP($A294,'ПР 01-02.22'!$A$11:$BB$378,35,FALSE)</f>
        <v>0</v>
      </c>
      <c r="AJ294" s="40"/>
      <c r="AK294" s="5">
        <f>VLOOKUP($A294,'ПР 01-02.21'!$A$11:$BB$406,37,FALSE)+VLOOKUP($A294,'ПР 21-22'!$A$11:$BB$406,37,FALSE)-VLOOKUP($A294,'ПР 01-02.22'!$A$11:$BB$378,37,FALSE)</f>
        <v>1038.4612573230111</v>
      </c>
      <c r="AL294" s="5">
        <f>VLOOKUP($A294,'ПР 01-02.21'!$A$11:$BB$406,38,FALSE)+VLOOKUP($A294,'ПР 21-22'!$A$11:$BB$406,38,FALSE)-VLOOKUP($A294,'ПР 01-02.22'!$A$11:$BB$378,38,FALSE)</f>
        <v>0</v>
      </c>
      <c r="AM294" s="40"/>
      <c r="AN294" s="5">
        <f>VLOOKUP($A294,'ПР 01-02.21'!$A$11:$BB$406,40,FALSE)+VLOOKUP($A294,'ПР 21-22'!$A$11:$BB$406,40,FALSE)-VLOOKUP($A294,'ПР 01-02.22'!$A$11:$BB$378,40,FALSE)</f>
        <v>0</v>
      </c>
      <c r="AO294" s="5">
        <f>VLOOKUP($A294,'ПР 01-02.21'!$A$11:$BB$406,41,FALSE)+VLOOKUP($A294,'ПР 21-22'!$A$11:$BB$406,41,FALSE)-VLOOKUP($A294,'ПР 01-02.22'!$A$11:$BB$378,41,FALSE)</f>
        <v>0</v>
      </c>
      <c r="AP294" s="40"/>
      <c r="AQ294" s="5">
        <f>VLOOKUP($A294,'ПР 01-02.21'!$A$11:$BB$406,43,FALSE)+VLOOKUP($A294,'ПР 21-22'!$A$11:$BB$406,43,FALSE)-VLOOKUP($A294,'ПР 01-02.22'!$A$11:$BB$378,43,FALSE)</f>
        <v>0</v>
      </c>
      <c r="AR294" s="5">
        <f>VLOOKUP($A294,'ПР 01-02.21'!$A$11:$BB$406,44,FALSE)+VLOOKUP($A294,'ПР 21-22'!$A$11:$BB$406,44,FALSE)-VLOOKUP($A294,'ПР 01-02.22'!$A$11:$BB$378,44,FALSE)</f>
        <v>0</v>
      </c>
      <c r="AS294" s="40"/>
      <c r="AT294" s="5">
        <f>VLOOKUP($A294,'ПР 01-02.21'!$A$11:$BB$406,46,FALSE)+VLOOKUP($A294,'ПР 21-22'!$A$11:$BB$406,46,FALSE)-VLOOKUP($A294,'ПР 01-02.22'!$A$11:$BB$378,46,FALSE)</f>
        <v>1165.0685637747597</v>
      </c>
      <c r="AU294" s="5">
        <f>VLOOKUP($A294,'ПР 01-02.21'!$A$11:$BB$406,47,FALSE)+VLOOKUP($A294,'ПР 21-22'!$A$11:$BB$406,47,FALSE)-VLOOKUP($A294,'ПР 01-02.22'!$A$11:$BB$378,47,FALSE)</f>
        <v>985</v>
      </c>
      <c r="AV294" s="40"/>
      <c r="AW294" s="5">
        <f>VLOOKUP($A294,'ПР 01-02.21'!$A$11:$BB$406,49,FALSE)+VLOOKUP($A294,'ПР 21-22'!$A$11:$BB$406,49,FALSE)-VLOOKUP($A294,'ПР 01-02.22'!$A$11:$BB$378,49,FALSE)</f>
        <v>114.86800000000001</v>
      </c>
      <c r="AX294" s="5">
        <f>VLOOKUP($A294,'ПР 01-02.21'!$A$11:$BB$406,50,FALSE)+VLOOKUP($A294,'ПР 21-22'!$A$11:$BB$406,50,FALSE)-VLOOKUP($A294,'ПР 01-02.22'!$A$11:$BB$378,50,FALSE)</f>
        <v>1409</v>
      </c>
      <c r="AY294" s="40"/>
      <c r="AZ294" s="40">
        <f t="shared" si="17"/>
        <v>6778.3047419000432</v>
      </c>
      <c r="BA294" s="40">
        <f t="shared" si="17"/>
        <v>3127</v>
      </c>
      <c r="BB294" s="55">
        <f t="shared" si="20"/>
        <v>-3651.3047419000432</v>
      </c>
      <c r="BD294" s="2">
        <v>2</v>
      </c>
      <c r="BF294" s="325">
        <v>150000743</v>
      </c>
    </row>
    <row r="295" spans="1:58" ht="24.9" customHeight="1" x14ac:dyDescent="0.3">
      <c r="A295" s="325">
        <v>150000737</v>
      </c>
      <c r="B295" s="445" t="s">
        <v>222</v>
      </c>
      <c r="C295" s="27">
        <v>4</v>
      </c>
      <c r="D295" s="101" t="s">
        <v>455</v>
      </c>
      <c r="E295" s="279">
        <f>'побудинковий звіт'!E293</f>
        <v>2573.1</v>
      </c>
      <c r="F295" s="441">
        <f>'побудинковий звіт'!AS293</f>
        <v>29791.312965530258</v>
      </c>
      <c r="G295" s="441">
        <f t="shared" si="18"/>
        <v>5884.77</v>
      </c>
      <c r="H295" s="73">
        <f t="shared" si="19"/>
        <v>-23906.542965530258</v>
      </c>
      <c r="I295" s="5">
        <f>VLOOKUP($A295,'ПР 01-02.21'!$A$11:$BB$406,9,FALSE)+VLOOKUP($A295,'ПР 21-22'!$A$11:$BB$406,9,FALSE)-VLOOKUP($A295,'ПР 01-02.22'!$A$11:$BB$378,9,FALSE)</f>
        <v>18.5</v>
      </c>
      <c r="J295" s="5">
        <f>VLOOKUP($A295,'ПР 01-02.21'!$A$11:$BB$406,10,FALSE)+VLOOKUP($A295,'ПР 21-22'!$A$11:$BB$406,10,FALSE)-VLOOKUP($A295,'ПР 01-02.22'!$A$11:$BB$378,10,FALSE)</f>
        <v>3668.05</v>
      </c>
      <c r="K295" s="450"/>
      <c r="L295" s="5">
        <f>VLOOKUP($A295,'ПР 01-02.21'!$A$11:$BB$406,12,FALSE)+VLOOKUP($A295,'ПР 21-22'!$A$11:$BB$406,12,FALSE)-VLOOKUP($A295,'ПР 01-02.22'!$A$11:$BB$378,12,FALSE)</f>
        <v>0</v>
      </c>
      <c r="M295" s="5">
        <f>VLOOKUP($A295,'ПР 01-02.21'!$A$11:$BB$406,13,FALSE)+VLOOKUP($A295,'ПР 21-22'!$A$11:$BB$406,13,FALSE)-VLOOKUP($A295,'ПР 01-02.22'!$A$11:$BB$378,13,FALSE)</f>
        <v>0</v>
      </c>
      <c r="N295" s="38"/>
      <c r="O295" s="5">
        <f>VLOOKUP($A295,'ПР 01-02.21'!$A$11:$BB$406,15,FALSE)+VLOOKUP($A295,'ПР 21-22'!$A$11:$BB$406,15,FALSE)-VLOOKUP($A295,'ПР 01-02.22'!$A$11:$BB$378,15,FALSE)</f>
        <v>0</v>
      </c>
      <c r="P295" s="5">
        <f>VLOOKUP($A295,'ПР 01-02.21'!$A$11:$BB$406,16,FALSE)+VLOOKUP($A295,'ПР 21-22'!$A$11:$BB$406,16,FALSE)-VLOOKUP($A295,'ПР 01-02.22'!$A$11:$BB$378,16,FALSE)</f>
        <v>0</v>
      </c>
      <c r="Q295" s="443"/>
      <c r="R295" s="5">
        <f>VLOOKUP($A295,'ПР 01-02.21'!$A$11:$BB$406,18,FALSE)+VLOOKUP($A295,'ПР 21-22'!$A$11:$BB$406,18,FALSE)-VLOOKUP($A295,'ПР 01-02.22'!$A$11:$BB$378,18,FALSE)</f>
        <v>0</v>
      </c>
      <c r="S295" s="5">
        <f>VLOOKUP($A295,'ПР 01-02.21'!$A$11:$BB$406,19,FALSE)+VLOOKUP($A295,'ПР 21-22'!$A$11:$BB$406,19,FALSE)-VLOOKUP($A295,'ПР 01-02.22'!$A$11:$BB$378,19,FALSE)</f>
        <v>0</v>
      </c>
      <c r="T295" s="444"/>
      <c r="U295" s="5">
        <f>VLOOKUP($A295,'ПР 01-02.21'!$A$11:$BB$406,21,FALSE)+VLOOKUP($A295,'ПР 21-22'!$A$11:$BB$406,21,FALSE)-VLOOKUP($A295,'ПР 01-02.22'!$A$11:$BB$378,21,FALSE)</f>
        <v>0</v>
      </c>
      <c r="V295" s="5"/>
      <c r="W295" s="5">
        <f>VLOOKUP($A295,'ПР 01-02.21'!$A$11:$BB$406,23,FALSE)+VLOOKUP($A295,'ПР 21-22'!$A$11:$BB$406,23,FALSE)-VLOOKUP($A295,'ПР 01-02.22'!$A$11:$BB$378,23,FALSE)</f>
        <v>0</v>
      </c>
      <c r="X295" s="5">
        <f>VLOOKUP($A295,'ПР 01-02.21'!$A$11:$BB$406,24,FALSE)+VLOOKUP($A295,'ПР 21-22'!$A$11:$BB$406,24,FALSE)-VLOOKUP($A295,'ПР 01-02.22'!$A$11:$BB$378,24,FALSE)</f>
        <v>0</v>
      </c>
      <c r="Y295" s="5">
        <f>VLOOKUP($A295,'ПР 01-02.21'!$A$11:$BB$406,25,FALSE)+VLOOKUP($A295,'ПР 21-22'!$A$11:$BB$406,25,FALSE)-VLOOKUP($A295,'ПР 01-02.22'!$A$11:$BB$378,25,FALSE)</f>
        <v>0</v>
      </c>
      <c r="Z295" s="5"/>
      <c r="AA295" s="5">
        <f>VLOOKUP($A295,'ПР 01-02.21'!$A$11:$BB$406,27,FALSE)+VLOOKUP($A295,'ПР 21-22'!$A$11:$BB$406,27,FALSE)-VLOOKUP($A295,'ПР 01-02.22'!$A$11:$BB$378,27,FALSE)</f>
        <v>0</v>
      </c>
      <c r="AB295" s="5">
        <f>VLOOKUP($A295,'ПР 01-02.21'!$A$11:$BB$406,28,FALSE)+VLOOKUP($A295,'ПР 21-22'!$A$11:$BB$406,28,FALSE)-VLOOKUP($A295,'ПР 01-02.22'!$A$11:$BB$378,28,FALSE)</f>
        <v>1357</v>
      </c>
      <c r="AC295" s="5">
        <f>VLOOKUP($A295,'ПР 01-02.21'!$A$11:$BB$406,29,FALSE)+VLOOKUP($A295,'ПР 21-22'!$A$11:$BB$406,29,FALSE)-VLOOKUP($A295,'ПР 01-02.22'!$A$11:$BB$378,29,FALSE)</f>
        <v>0</v>
      </c>
      <c r="AD295" s="5">
        <f>VLOOKUP($A295,'ПР 01-02.21'!$A$11:$BB$406,30,FALSE)+VLOOKUP($A295,'ПР 21-22'!$A$11:$BB$406,30,FALSE)-VLOOKUP($A295,'ПР 01-02.22'!$A$11:$BB$378,30,FALSE)</f>
        <v>859.72</v>
      </c>
      <c r="AE295" s="5">
        <f>VLOOKUP($A295,'ПР 01-02.21'!$A$11:$BB$406,31,FALSE)+VLOOKUP($A295,'ПР 21-22'!$A$11:$BB$406,31,FALSE)-VLOOKUP($A295,'ПР 01-02.22'!$A$11:$BB$378,31,FALSE)</f>
        <v>2550.2339765920415</v>
      </c>
      <c r="AF295" s="5">
        <f>VLOOKUP($A295,'ПР 01-02.21'!$A$11:$BB$406,32,FALSE)+VLOOKUP($A295,'ПР 21-22'!$A$11:$BB$406,32,FALSE)-VLOOKUP($A295,'ПР 01-02.22'!$A$11:$BB$378,32,FALSE)</f>
        <v>698</v>
      </c>
      <c r="AG295" s="40"/>
      <c r="AH295" s="5">
        <f>VLOOKUP($A295,'ПР 01-02.21'!$A$11:$BB$406,34,FALSE)+VLOOKUP($A295,'ПР 21-22'!$A$11:$BB$406,34,FALSE)-VLOOKUP($A295,'ПР 01-02.22'!$A$11:$BB$378,34,FALSE)</f>
        <v>3312.0557679137487</v>
      </c>
      <c r="AI295" s="5">
        <f>VLOOKUP($A295,'ПР 01-02.21'!$A$11:$BB$406,35,FALSE)+VLOOKUP($A295,'ПР 21-22'!$A$11:$BB$406,35,FALSE)-VLOOKUP($A295,'ПР 01-02.22'!$A$11:$BB$378,35,FALSE)</f>
        <v>0</v>
      </c>
      <c r="AJ295" s="40"/>
      <c r="AK295" s="5">
        <f>VLOOKUP($A295,'ПР 01-02.21'!$A$11:$BB$406,37,FALSE)+VLOOKUP($A295,'ПР 21-22'!$A$11:$BB$406,37,FALSE)-VLOOKUP($A295,'ПР 01-02.22'!$A$11:$BB$378,37,FALSE)</f>
        <v>1244.4489278420838</v>
      </c>
      <c r="AL295" s="5">
        <f>VLOOKUP($A295,'ПР 01-02.21'!$A$11:$BB$406,38,FALSE)+VLOOKUP($A295,'ПР 21-22'!$A$11:$BB$406,38,FALSE)-VLOOKUP($A295,'ПР 01-02.22'!$A$11:$BB$378,38,FALSE)</f>
        <v>1577</v>
      </c>
      <c r="AM295" s="40"/>
      <c r="AN295" s="5">
        <f>VLOOKUP($A295,'ПР 01-02.21'!$A$11:$BB$406,40,FALSE)+VLOOKUP($A295,'ПР 21-22'!$A$11:$BB$406,40,FALSE)-VLOOKUP($A295,'ПР 01-02.22'!$A$11:$BB$378,40,FALSE)</f>
        <v>0</v>
      </c>
      <c r="AO295" s="5">
        <f>VLOOKUP($A295,'ПР 01-02.21'!$A$11:$BB$406,41,FALSE)+VLOOKUP($A295,'ПР 21-22'!$A$11:$BB$406,41,FALSE)-VLOOKUP($A295,'ПР 01-02.22'!$A$11:$BB$378,41,FALSE)</f>
        <v>0</v>
      </c>
      <c r="AP295" s="40"/>
      <c r="AQ295" s="5">
        <f>VLOOKUP($A295,'ПР 01-02.21'!$A$11:$BB$406,43,FALSE)+VLOOKUP($A295,'ПР 21-22'!$A$11:$BB$406,43,FALSE)-VLOOKUP($A295,'ПР 01-02.22'!$A$11:$BB$378,43,FALSE)</f>
        <v>0</v>
      </c>
      <c r="AR295" s="5">
        <f>VLOOKUP($A295,'ПР 01-02.21'!$A$11:$BB$406,44,FALSE)+VLOOKUP($A295,'ПР 21-22'!$A$11:$BB$406,44,FALSE)-VLOOKUP($A295,'ПР 01-02.22'!$A$11:$BB$378,44,FALSE)</f>
        <v>0</v>
      </c>
      <c r="AS295" s="40"/>
      <c r="AT295" s="5">
        <f>VLOOKUP($A295,'ПР 01-02.21'!$A$11:$BB$406,46,FALSE)+VLOOKUP($A295,'ПР 21-22'!$A$11:$BB$406,46,FALSE)-VLOOKUP($A295,'ПР 01-02.22'!$A$11:$BB$378,46,FALSE)</f>
        <v>1856.1121923778217</v>
      </c>
      <c r="AU295" s="5">
        <f>VLOOKUP($A295,'ПР 01-02.21'!$A$11:$BB$406,47,FALSE)+VLOOKUP($A295,'ПР 21-22'!$A$11:$BB$406,47,FALSE)-VLOOKUP($A295,'ПР 01-02.22'!$A$11:$BB$378,47,FALSE)</f>
        <v>0</v>
      </c>
      <c r="AV295" s="40"/>
      <c r="AW295" s="5">
        <f>VLOOKUP($A295,'ПР 01-02.21'!$A$11:$BB$406,49,FALSE)+VLOOKUP($A295,'ПР 21-22'!$A$11:$BB$406,49,FALSE)-VLOOKUP($A295,'ПР 01-02.22'!$A$11:$BB$378,49,FALSE)</f>
        <v>128.964</v>
      </c>
      <c r="AX295" s="5">
        <f>VLOOKUP($A295,'ПР 01-02.21'!$A$11:$BB$406,50,FALSE)+VLOOKUP($A295,'ПР 21-22'!$A$11:$BB$406,50,FALSE)-VLOOKUP($A295,'ПР 01-02.22'!$A$11:$BB$378,50,FALSE)</f>
        <v>0</v>
      </c>
      <c r="AY295" s="40"/>
      <c r="AZ295" s="40">
        <f t="shared" si="17"/>
        <v>9091.8148647256949</v>
      </c>
      <c r="BA295" s="40">
        <f t="shared" si="17"/>
        <v>2275</v>
      </c>
      <c r="BB295" s="55">
        <f t="shared" si="20"/>
        <v>-6816.8148647256949</v>
      </c>
      <c r="BD295" s="2">
        <v>2</v>
      </c>
      <c r="BF295" s="325">
        <v>150000737</v>
      </c>
    </row>
    <row r="296" spans="1:58" ht="24.9" customHeight="1" x14ac:dyDescent="0.3">
      <c r="A296" s="325">
        <v>150000738</v>
      </c>
      <c r="B296" s="445" t="s">
        <v>290</v>
      </c>
      <c r="C296" s="27">
        <v>5</v>
      </c>
      <c r="D296" s="101" t="s">
        <v>455</v>
      </c>
      <c r="E296" s="279">
        <f>'побудинковий звіт'!E294</f>
        <v>3567.9</v>
      </c>
      <c r="F296" s="441">
        <f>'побудинковий звіт'!AS294</f>
        <v>49927.322654375879</v>
      </c>
      <c r="G296" s="441">
        <f t="shared" si="18"/>
        <v>57223.46</v>
      </c>
      <c r="H296" s="73">
        <f t="shared" si="19"/>
        <v>7296.1373456241199</v>
      </c>
      <c r="I296" s="5">
        <f>VLOOKUP($A296,'ПР 01-02.21'!$A$11:$BB$406,9,FALSE)+VLOOKUP($A296,'ПР 21-22'!$A$11:$BB$406,9,FALSE)-VLOOKUP($A296,'ПР 01-02.22'!$A$11:$BB$378,9,FALSE)</f>
        <v>170</v>
      </c>
      <c r="J296" s="5">
        <f>VLOOKUP($A296,'ПР 01-02.21'!$A$11:$BB$406,10,FALSE)+VLOOKUP($A296,'ПР 21-22'!$A$11:$BB$406,10,FALSE)-VLOOKUP($A296,'ПР 01-02.22'!$A$11:$BB$378,10,FALSE)</f>
        <v>21789.46</v>
      </c>
      <c r="K296" s="446"/>
      <c r="L296" s="5">
        <f>VLOOKUP($A296,'ПР 01-02.21'!$A$11:$BB$406,12,FALSE)+VLOOKUP($A296,'ПР 21-22'!$A$11:$BB$406,12,FALSE)-VLOOKUP($A296,'ПР 01-02.22'!$A$11:$BB$378,12,FALSE)</f>
        <v>0</v>
      </c>
      <c r="M296" s="5">
        <f>VLOOKUP($A296,'ПР 01-02.21'!$A$11:$BB$406,13,FALSE)+VLOOKUP($A296,'ПР 21-22'!$A$11:$BB$406,13,FALSE)-VLOOKUP($A296,'ПР 01-02.22'!$A$11:$BB$378,13,FALSE)</f>
        <v>0</v>
      </c>
      <c r="N296" s="38"/>
      <c r="O296" s="5">
        <f>VLOOKUP($A296,'ПР 01-02.21'!$A$11:$BB$406,15,FALSE)+VLOOKUP($A296,'ПР 21-22'!$A$11:$BB$406,15,FALSE)-VLOOKUP($A296,'ПР 01-02.22'!$A$11:$BB$378,15,FALSE)</f>
        <v>0</v>
      </c>
      <c r="P296" s="5">
        <f>VLOOKUP($A296,'ПР 01-02.21'!$A$11:$BB$406,16,FALSE)+VLOOKUP($A296,'ПР 21-22'!$A$11:$BB$406,16,FALSE)-VLOOKUP($A296,'ПР 01-02.22'!$A$11:$BB$378,16,FALSE)</f>
        <v>0</v>
      </c>
      <c r="Q296" s="443"/>
      <c r="R296" s="5">
        <f>VLOOKUP($A296,'ПР 01-02.21'!$A$11:$BB$406,18,FALSE)+VLOOKUP($A296,'ПР 21-22'!$A$11:$BB$406,18,FALSE)-VLOOKUP($A296,'ПР 01-02.22'!$A$11:$BB$378,18,FALSE)</f>
        <v>0</v>
      </c>
      <c r="S296" s="5">
        <f>VLOOKUP($A296,'ПР 01-02.21'!$A$11:$BB$406,19,FALSE)+VLOOKUP($A296,'ПР 21-22'!$A$11:$BB$406,19,FALSE)-VLOOKUP($A296,'ПР 01-02.22'!$A$11:$BB$378,19,FALSE)</f>
        <v>0</v>
      </c>
      <c r="T296" s="444"/>
      <c r="U296" s="5">
        <f>VLOOKUP($A296,'ПР 01-02.21'!$A$11:$BB$406,21,FALSE)+VLOOKUP($A296,'ПР 21-22'!$A$11:$BB$406,21,FALSE)-VLOOKUP($A296,'ПР 01-02.22'!$A$11:$BB$378,21,FALSE)</f>
        <v>0</v>
      </c>
      <c r="V296" s="5"/>
      <c r="W296" s="5">
        <f>VLOOKUP($A296,'ПР 01-02.21'!$A$11:$BB$406,23,FALSE)+VLOOKUP($A296,'ПР 21-22'!$A$11:$BB$406,23,FALSE)-VLOOKUP($A296,'ПР 01-02.22'!$A$11:$BB$378,23,FALSE)</f>
        <v>49</v>
      </c>
      <c r="X296" s="5">
        <f>VLOOKUP($A296,'ПР 01-02.21'!$A$11:$BB$406,24,FALSE)+VLOOKUP($A296,'ПР 21-22'!$A$11:$BB$406,24,FALSE)-VLOOKUP($A296,'ПР 01-02.22'!$A$11:$BB$378,24,FALSE)</f>
        <v>30335</v>
      </c>
      <c r="Y296" s="5">
        <f>VLOOKUP($A296,'ПР 01-02.21'!$A$11:$BB$406,25,FALSE)+VLOOKUP($A296,'ПР 21-22'!$A$11:$BB$406,25,FALSE)-VLOOKUP($A296,'ПР 01-02.22'!$A$11:$BB$378,25,FALSE)</f>
        <v>0</v>
      </c>
      <c r="Z296" s="5"/>
      <c r="AA296" s="5">
        <f>VLOOKUP($A296,'ПР 01-02.21'!$A$11:$BB$406,27,FALSE)+VLOOKUP($A296,'ПР 21-22'!$A$11:$BB$406,27,FALSE)-VLOOKUP($A296,'ПР 01-02.22'!$A$11:$BB$378,27,FALSE)</f>
        <v>0</v>
      </c>
      <c r="AB296" s="5">
        <f>VLOOKUP($A296,'ПР 01-02.21'!$A$11:$BB$406,28,FALSE)+VLOOKUP($A296,'ПР 21-22'!$A$11:$BB$406,28,FALSE)-VLOOKUP($A296,'ПР 01-02.22'!$A$11:$BB$378,28,FALSE)</f>
        <v>2133</v>
      </c>
      <c r="AC296" s="5">
        <f>VLOOKUP($A296,'ПР 01-02.21'!$A$11:$BB$406,29,FALSE)+VLOOKUP($A296,'ПР 21-22'!$A$11:$BB$406,29,FALSE)-VLOOKUP($A296,'ПР 01-02.22'!$A$11:$BB$378,29,FALSE)</f>
        <v>0</v>
      </c>
      <c r="AD296" s="5">
        <f>VLOOKUP($A296,'ПР 01-02.21'!$A$11:$BB$406,30,FALSE)+VLOOKUP($A296,'ПР 21-22'!$A$11:$BB$406,30,FALSE)-VLOOKUP($A296,'ПР 01-02.22'!$A$11:$BB$378,30,FALSE)</f>
        <v>2966</v>
      </c>
      <c r="AE296" s="5">
        <f>VLOOKUP($A296,'ПР 01-02.21'!$A$11:$BB$406,31,FALSE)+VLOOKUP($A296,'ПР 21-22'!$A$11:$BB$406,31,FALSE)-VLOOKUP($A296,'ПР 01-02.22'!$A$11:$BB$378,31,FALSE)</f>
        <v>3037.2854147316198</v>
      </c>
      <c r="AF296" s="5">
        <f>VLOOKUP($A296,'ПР 01-02.21'!$A$11:$BB$406,32,FALSE)+VLOOKUP($A296,'ПР 21-22'!$A$11:$BB$406,32,FALSE)-VLOOKUP($A296,'ПР 01-02.22'!$A$11:$BB$378,32,FALSE)</f>
        <v>1688</v>
      </c>
      <c r="AG296" s="40"/>
      <c r="AH296" s="5">
        <f>VLOOKUP($A296,'ПР 01-02.21'!$A$11:$BB$406,34,FALSE)+VLOOKUP($A296,'ПР 21-22'!$A$11:$BB$406,34,FALSE)-VLOOKUP($A296,'ПР 01-02.22'!$A$11:$BB$378,34,FALSE)</f>
        <v>3783.3439898050592</v>
      </c>
      <c r="AI296" s="5">
        <f>VLOOKUP($A296,'ПР 01-02.21'!$A$11:$BB$406,35,FALSE)+VLOOKUP($A296,'ПР 21-22'!$A$11:$BB$406,35,FALSE)-VLOOKUP($A296,'ПР 01-02.22'!$A$11:$BB$378,35,FALSE)</f>
        <v>0</v>
      </c>
      <c r="AJ296" s="40"/>
      <c r="AK296" s="5">
        <f>VLOOKUP($A296,'ПР 01-02.21'!$A$11:$BB$406,37,FALSE)+VLOOKUP($A296,'ПР 21-22'!$A$11:$BB$406,37,FALSE)-VLOOKUP($A296,'ПР 01-02.22'!$A$11:$BB$378,37,FALSE)</f>
        <v>2225.1611977021416</v>
      </c>
      <c r="AL296" s="5">
        <f>VLOOKUP($A296,'ПР 01-02.21'!$A$11:$BB$406,38,FALSE)+VLOOKUP($A296,'ПР 21-22'!$A$11:$BB$406,38,FALSE)-VLOOKUP($A296,'ПР 01-02.22'!$A$11:$BB$378,38,FALSE)</f>
        <v>0</v>
      </c>
      <c r="AM296" s="40"/>
      <c r="AN296" s="5">
        <f>VLOOKUP($A296,'ПР 01-02.21'!$A$11:$BB$406,40,FALSE)+VLOOKUP($A296,'ПР 21-22'!$A$11:$BB$406,40,FALSE)-VLOOKUP($A296,'ПР 01-02.22'!$A$11:$BB$378,40,FALSE)</f>
        <v>0</v>
      </c>
      <c r="AO296" s="5">
        <f>VLOOKUP($A296,'ПР 01-02.21'!$A$11:$BB$406,41,FALSE)+VLOOKUP($A296,'ПР 21-22'!$A$11:$BB$406,41,FALSE)-VLOOKUP($A296,'ПР 01-02.22'!$A$11:$BB$378,41,FALSE)</f>
        <v>0</v>
      </c>
      <c r="AP296" s="40"/>
      <c r="AQ296" s="5">
        <f>VLOOKUP($A296,'ПР 01-02.21'!$A$11:$BB$406,43,FALSE)+VLOOKUP($A296,'ПР 21-22'!$A$11:$BB$406,43,FALSE)-VLOOKUP($A296,'ПР 01-02.22'!$A$11:$BB$378,43,FALSE)</f>
        <v>0</v>
      </c>
      <c r="AR296" s="5">
        <f>VLOOKUP($A296,'ПР 01-02.21'!$A$11:$BB$406,44,FALSE)+VLOOKUP($A296,'ПР 21-22'!$A$11:$BB$406,44,FALSE)-VLOOKUP($A296,'ПР 01-02.22'!$A$11:$BB$378,44,FALSE)</f>
        <v>0</v>
      </c>
      <c r="AS296" s="40"/>
      <c r="AT296" s="5">
        <f>VLOOKUP($A296,'ПР 01-02.21'!$A$11:$BB$406,46,FALSE)+VLOOKUP($A296,'ПР 21-22'!$A$11:$BB$406,46,FALSE)-VLOOKUP($A296,'ПР 01-02.22'!$A$11:$BB$378,46,FALSE)</f>
        <v>2107.7418332313232</v>
      </c>
      <c r="AU296" s="5">
        <f>VLOOKUP($A296,'ПР 01-02.21'!$A$11:$BB$406,47,FALSE)+VLOOKUP($A296,'ПР 21-22'!$A$11:$BB$406,47,FALSE)-VLOOKUP($A296,'ПР 01-02.22'!$A$11:$BB$378,47,FALSE)</f>
        <v>33003</v>
      </c>
      <c r="AV296" s="40"/>
      <c r="AW296" s="5">
        <f>VLOOKUP($A296,'ПР 01-02.21'!$A$11:$BB$406,49,FALSE)+VLOOKUP($A296,'ПР 21-22'!$A$11:$BB$406,49,FALSE)-VLOOKUP($A296,'ПР 01-02.22'!$A$11:$BB$378,49,FALSE)</f>
        <v>178.72399999999999</v>
      </c>
      <c r="AX296" s="5">
        <f>VLOOKUP($A296,'ПР 01-02.21'!$A$11:$BB$406,50,FALSE)+VLOOKUP($A296,'ПР 21-22'!$A$11:$BB$406,50,FALSE)-VLOOKUP($A296,'ПР 01-02.22'!$A$11:$BB$378,50,FALSE)</f>
        <v>0</v>
      </c>
      <c r="AY296" s="40"/>
      <c r="AZ296" s="40">
        <f t="shared" si="17"/>
        <v>11332.256435470144</v>
      </c>
      <c r="BA296" s="40">
        <f t="shared" si="17"/>
        <v>34691</v>
      </c>
      <c r="BB296" s="55">
        <f t="shared" si="20"/>
        <v>23358.743564529854</v>
      </c>
      <c r="BD296" s="2">
        <v>2</v>
      </c>
      <c r="BF296" s="325">
        <v>150000738</v>
      </c>
    </row>
    <row r="297" spans="1:58" ht="24.9" customHeight="1" x14ac:dyDescent="0.3">
      <c r="A297" s="325">
        <v>150000739</v>
      </c>
      <c r="B297" s="445" t="s">
        <v>223</v>
      </c>
      <c r="C297" s="27">
        <v>4</v>
      </c>
      <c r="D297" s="101" t="s">
        <v>455</v>
      </c>
      <c r="E297" s="279">
        <f>'побудинковий звіт'!E295</f>
        <v>3631.7</v>
      </c>
      <c r="F297" s="441">
        <f>'побудинковий звіт'!AS295</f>
        <v>35059.416167829637</v>
      </c>
      <c r="G297" s="441">
        <f t="shared" si="18"/>
        <v>81758.966876004386</v>
      </c>
      <c r="H297" s="73">
        <f t="shared" si="19"/>
        <v>46699.550708174749</v>
      </c>
      <c r="I297" s="5">
        <f>VLOOKUP($A297,'ПР 01-02.21'!$A$11:$BB$406,9,FALSE)+VLOOKUP($A297,'ПР 21-22'!$A$11:$BB$406,9,FALSE)-VLOOKUP($A297,'ПР 01-02.22'!$A$11:$BB$378,9,FALSE)</f>
        <v>3.5</v>
      </c>
      <c r="J297" s="5">
        <f>VLOOKUP($A297,'ПР 01-02.21'!$A$11:$BB$406,10,FALSE)+VLOOKUP($A297,'ПР 21-22'!$A$11:$BB$406,10,FALSE)-VLOOKUP($A297,'ПР 01-02.22'!$A$11:$BB$378,10,FALSE)</f>
        <v>1009.02</v>
      </c>
      <c r="K297" s="446"/>
      <c r="L297" s="5">
        <f>VLOOKUP($A297,'ПР 01-02.21'!$A$11:$BB$406,12,FALSE)+VLOOKUP($A297,'ПР 21-22'!$A$11:$BB$406,12,FALSE)-VLOOKUP($A297,'ПР 01-02.22'!$A$11:$BB$378,12,FALSE)</f>
        <v>0</v>
      </c>
      <c r="M297" s="5">
        <f>VLOOKUP($A297,'ПР 01-02.21'!$A$11:$BB$406,13,FALSE)+VLOOKUP($A297,'ПР 21-22'!$A$11:$BB$406,13,FALSE)-VLOOKUP($A297,'ПР 01-02.22'!$A$11:$BB$378,13,FALSE)</f>
        <v>0</v>
      </c>
      <c r="N297" s="38"/>
      <c r="O297" s="5">
        <f>VLOOKUP($A297,'ПР 01-02.21'!$A$11:$BB$406,15,FALSE)+VLOOKUP($A297,'ПР 21-22'!$A$11:$BB$406,15,FALSE)-VLOOKUP($A297,'ПР 01-02.22'!$A$11:$BB$378,15,FALSE)</f>
        <v>0</v>
      </c>
      <c r="P297" s="5">
        <f>VLOOKUP($A297,'ПР 01-02.21'!$A$11:$BB$406,16,FALSE)+VLOOKUP($A297,'ПР 21-22'!$A$11:$BB$406,16,FALSE)-VLOOKUP($A297,'ПР 01-02.22'!$A$11:$BB$378,16,FALSE)</f>
        <v>0</v>
      </c>
      <c r="Q297" s="443"/>
      <c r="R297" s="5">
        <f>VLOOKUP($A297,'ПР 01-02.21'!$A$11:$BB$406,18,FALSE)+VLOOKUP($A297,'ПР 21-22'!$A$11:$BB$406,18,FALSE)-VLOOKUP($A297,'ПР 01-02.22'!$A$11:$BB$378,18,FALSE)</f>
        <v>0</v>
      </c>
      <c r="S297" s="5">
        <f>VLOOKUP($A297,'ПР 01-02.21'!$A$11:$BB$406,19,FALSE)+VLOOKUP($A297,'ПР 21-22'!$A$11:$BB$406,19,FALSE)-VLOOKUP($A297,'ПР 01-02.22'!$A$11:$BB$378,19,FALSE)</f>
        <v>0</v>
      </c>
      <c r="T297" s="444"/>
      <c r="U297" s="5">
        <f>VLOOKUP($A297,'ПР 01-02.21'!$A$11:$BB$406,21,FALSE)+VLOOKUP($A297,'ПР 21-22'!$A$11:$BB$406,21,FALSE)-VLOOKUP($A297,'ПР 01-02.22'!$A$11:$BB$378,21,FALSE)</f>
        <v>0</v>
      </c>
      <c r="V297" s="5"/>
      <c r="W297" s="5">
        <f>VLOOKUP($A297,'ПР 01-02.21'!$A$11:$BB$406,23,FALSE)+VLOOKUP($A297,'ПР 21-22'!$A$11:$BB$406,23,FALSE)-VLOOKUP($A297,'ПР 01-02.22'!$A$11:$BB$378,23,FALSE)</f>
        <v>0</v>
      </c>
      <c r="X297" s="5">
        <f>VLOOKUP($A297,'ПР 01-02.21'!$A$11:$BB$406,24,FALSE)+VLOOKUP($A297,'ПР 21-22'!$A$11:$BB$406,24,FALSE)-VLOOKUP($A297,'ПР 01-02.22'!$A$11:$BB$378,24,FALSE)</f>
        <v>1410.5468760043896</v>
      </c>
      <c r="Y297" s="5">
        <f>VLOOKUP($A297,'ПР 01-02.21'!$A$11:$BB$406,25,FALSE)+VLOOKUP($A297,'ПР 21-22'!$A$11:$BB$406,25,FALSE)-VLOOKUP($A297,'ПР 01-02.22'!$A$11:$BB$378,25,FALSE)</f>
        <v>78270.399999999994</v>
      </c>
      <c r="Z297" s="5"/>
      <c r="AA297" s="5">
        <f>VLOOKUP($A297,'ПР 01-02.21'!$A$11:$BB$406,27,FALSE)+VLOOKUP($A297,'ПР 21-22'!$A$11:$BB$406,27,FALSE)-VLOOKUP($A297,'ПР 01-02.22'!$A$11:$BB$378,27,FALSE)</f>
        <v>0</v>
      </c>
      <c r="AB297" s="5">
        <f>VLOOKUP($A297,'ПР 01-02.21'!$A$11:$BB$406,28,FALSE)+VLOOKUP($A297,'ПР 21-22'!$A$11:$BB$406,28,FALSE)-VLOOKUP($A297,'ПР 01-02.22'!$A$11:$BB$378,28,FALSE)</f>
        <v>0</v>
      </c>
      <c r="AC297" s="5">
        <f>VLOOKUP($A297,'ПР 01-02.21'!$A$11:$BB$406,29,FALSE)+VLOOKUP($A297,'ПР 21-22'!$A$11:$BB$406,29,FALSE)-VLOOKUP($A297,'ПР 01-02.22'!$A$11:$BB$378,29,FALSE)</f>
        <v>299</v>
      </c>
      <c r="AD297" s="5">
        <f>VLOOKUP($A297,'ПР 01-02.21'!$A$11:$BB$406,30,FALSE)+VLOOKUP($A297,'ПР 21-22'!$A$11:$BB$406,30,FALSE)-VLOOKUP($A297,'ПР 01-02.22'!$A$11:$BB$378,30,FALSE)</f>
        <v>770</v>
      </c>
      <c r="AE297" s="5">
        <f>VLOOKUP($A297,'ПР 01-02.21'!$A$11:$BB$406,31,FALSE)+VLOOKUP($A297,'ПР 21-22'!$A$11:$BB$406,31,FALSE)-VLOOKUP($A297,'ПР 01-02.22'!$A$11:$BB$378,31,FALSE)</f>
        <v>3258.4187161072332</v>
      </c>
      <c r="AF297" s="5">
        <f>VLOOKUP($A297,'ПР 01-02.21'!$A$11:$BB$406,32,FALSE)+VLOOKUP($A297,'ПР 21-22'!$A$11:$BB$406,32,FALSE)-VLOOKUP($A297,'ПР 01-02.22'!$A$11:$BB$378,32,FALSE)</f>
        <v>37</v>
      </c>
      <c r="AG297" s="40"/>
      <c r="AH297" s="5">
        <f>VLOOKUP($A297,'ПР 01-02.21'!$A$11:$BB$406,34,FALSE)+VLOOKUP($A297,'ПР 21-22'!$A$11:$BB$406,34,FALSE)-VLOOKUP($A297,'ПР 01-02.22'!$A$11:$BB$378,34,FALSE)</f>
        <v>4207.6549618639219</v>
      </c>
      <c r="AI297" s="5">
        <f>VLOOKUP($A297,'ПР 01-02.21'!$A$11:$BB$406,35,FALSE)+VLOOKUP($A297,'ПР 21-22'!$A$11:$BB$406,35,FALSE)-VLOOKUP($A297,'ПР 01-02.22'!$A$11:$BB$378,35,FALSE)</f>
        <v>33</v>
      </c>
      <c r="AJ297" s="40"/>
      <c r="AK297" s="5">
        <f>VLOOKUP($A297,'ПР 01-02.21'!$A$11:$BB$406,37,FALSE)+VLOOKUP($A297,'ПР 21-22'!$A$11:$BB$406,37,FALSE)-VLOOKUP($A297,'ПР 01-02.22'!$A$11:$BB$378,37,FALSE)</f>
        <v>2136.2054471121178</v>
      </c>
      <c r="AL297" s="5">
        <f>VLOOKUP($A297,'ПР 01-02.21'!$A$11:$BB$406,38,FALSE)+VLOOKUP($A297,'ПР 21-22'!$A$11:$BB$406,38,FALSE)-VLOOKUP($A297,'ПР 01-02.22'!$A$11:$BB$378,38,FALSE)</f>
        <v>1569</v>
      </c>
      <c r="AM297" s="40"/>
      <c r="AN297" s="5">
        <f>VLOOKUP($A297,'ПР 01-02.21'!$A$11:$BB$406,40,FALSE)+VLOOKUP($A297,'ПР 21-22'!$A$11:$BB$406,40,FALSE)-VLOOKUP($A297,'ПР 01-02.22'!$A$11:$BB$378,40,FALSE)</f>
        <v>0</v>
      </c>
      <c r="AO297" s="5">
        <f>VLOOKUP($A297,'ПР 01-02.21'!$A$11:$BB$406,41,FALSE)+VLOOKUP($A297,'ПР 21-22'!$A$11:$BB$406,41,FALSE)-VLOOKUP($A297,'ПР 01-02.22'!$A$11:$BB$378,41,FALSE)</f>
        <v>0</v>
      </c>
      <c r="AP297" s="40"/>
      <c r="AQ297" s="5">
        <f>VLOOKUP($A297,'ПР 01-02.21'!$A$11:$BB$406,43,FALSE)+VLOOKUP($A297,'ПР 21-22'!$A$11:$BB$406,43,FALSE)-VLOOKUP($A297,'ПР 01-02.22'!$A$11:$BB$378,43,FALSE)</f>
        <v>0</v>
      </c>
      <c r="AR297" s="5">
        <f>VLOOKUP($A297,'ПР 01-02.21'!$A$11:$BB$406,44,FALSE)+VLOOKUP($A297,'ПР 21-22'!$A$11:$BB$406,44,FALSE)-VLOOKUP($A297,'ПР 01-02.22'!$A$11:$BB$378,44,FALSE)</f>
        <v>0</v>
      </c>
      <c r="AS297" s="40"/>
      <c r="AT297" s="5">
        <f>VLOOKUP($A297,'ПР 01-02.21'!$A$11:$BB$406,46,FALSE)+VLOOKUP($A297,'ПР 21-22'!$A$11:$BB$406,46,FALSE)-VLOOKUP($A297,'ПР 01-02.22'!$A$11:$BB$378,46,FALSE)</f>
        <v>2910.0210076985991</v>
      </c>
      <c r="AU297" s="5">
        <f>VLOOKUP($A297,'ПР 01-02.21'!$A$11:$BB$406,47,FALSE)+VLOOKUP($A297,'ПР 21-22'!$A$11:$BB$406,47,FALSE)-VLOOKUP($A297,'ПР 01-02.22'!$A$11:$BB$378,47,FALSE)</f>
        <v>0</v>
      </c>
      <c r="AV297" s="40"/>
      <c r="AW297" s="5">
        <f>VLOOKUP($A297,'ПР 01-02.21'!$A$11:$BB$406,49,FALSE)+VLOOKUP($A297,'ПР 21-22'!$A$11:$BB$406,49,FALSE)-VLOOKUP($A297,'ПР 01-02.22'!$A$11:$BB$378,49,FALSE)</f>
        <v>180.608</v>
      </c>
      <c r="AX297" s="5">
        <f>VLOOKUP($A297,'ПР 01-02.21'!$A$11:$BB$406,50,FALSE)+VLOOKUP($A297,'ПР 21-22'!$A$11:$BB$406,50,FALSE)-VLOOKUP($A297,'ПР 01-02.22'!$A$11:$BB$378,50,FALSE)</f>
        <v>0</v>
      </c>
      <c r="AY297" s="40"/>
      <c r="AZ297" s="40">
        <f t="shared" si="17"/>
        <v>12692.908132781871</v>
      </c>
      <c r="BA297" s="40">
        <f t="shared" si="17"/>
        <v>1639</v>
      </c>
      <c r="BB297" s="55">
        <f t="shared" si="20"/>
        <v>-11053.908132781871</v>
      </c>
      <c r="BD297" s="2">
        <v>2</v>
      </c>
      <c r="BF297" s="325">
        <v>150000739</v>
      </c>
    </row>
    <row r="298" spans="1:58" ht="24.9" customHeight="1" x14ac:dyDescent="0.3">
      <c r="A298" s="325">
        <v>150000740</v>
      </c>
      <c r="B298" s="445" t="s">
        <v>198</v>
      </c>
      <c r="C298" s="27">
        <v>3</v>
      </c>
      <c r="D298" s="101" t="s">
        <v>455</v>
      </c>
      <c r="E298" s="279">
        <f>'побудинковий звіт'!E296</f>
        <v>1366.1</v>
      </c>
      <c r="F298" s="441">
        <f>'побудинковий звіт'!AS296</f>
        <v>13526.63682958274</v>
      </c>
      <c r="G298" s="441">
        <f t="shared" si="18"/>
        <v>18154.739999999998</v>
      </c>
      <c r="H298" s="73">
        <f t="shared" si="19"/>
        <v>4628.1031704172583</v>
      </c>
      <c r="I298" s="5">
        <f>VLOOKUP($A298,'ПР 01-02.21'!$A$11:$BB$406,9,FALSE)+VLOOKUP($A298,'ПР 21-22'!$A$11:$BB$406,9,FALSE)-VLOOKUP($A298,'ПР 01-02.22'!$A$11:$BB$378,9,FALSE)</f>
        <v>0</v>
      </c>
      <c r="J298" s="5">
        <f>VLOOKUP($A298,'ПР 01-02.21'!$A$11:$BB$406,10,FALSE)+VLOOKUP($A298,'ПР 21-22'!$A$11:$BB$406,10,FALSE)-VLOOKUP($A298,'ПР 01-02.22'!$A$11:$BB$378,10,FALSE)</f>
        <v>0</v>
      </c>
      <c r="K298" s="446"/>
      <c r="L298" s="5">
        <f>VLOOKUP($A298,'ПР 01-02.21'!$A$11:$BB$406,12,FALSE)+VLOOKUP($A298,'ПР 21-22'!$A$11:$BB$406,12,FALSE)-VLOOKUP($A298,'ПР 01-02.22'!$A$11:$BB$378,12,FALSE)</f>
        <v>0</v>
      </c>
      <c r="M298" s="5">
        <f>VLOOKUP($A298,'ПР 01-02.21'!$A$11:$BB$406,13,FALSE)+VLOOKUP($A298,'ПР 21-22'!$A$11:$BB$406,13,FALSE)-VLOOKUP($A298,'ПР 01-02.22'!$A$11:$BB$378,13,FALSE)</f>
        <v>0</v>
      </c>
      <c r="N298" s="38"/>
      <c r="O298" s="5">
        <f>VLOOKUP($A298,'ПР 01-02.21'!$A$11:$BB$406,15,FALSE)+VLOOKUP($A298,'ПР 21-22'!$A$11:$BB$406,15,FALSE)-VLOOKUP($A298,'ПР 01-02.22'!$A$11:$BB$378,15,FALSE)</f>
        <v>0</v>
      </c>
      <c r="P298" s="5">
        <f>VLOOKUP($A298,'ПР 01-02.21'!$A$11:$BB$406,16,FALSE)+VLOOKUP($A298,'ПР 21-22'!$A$11:$BB$406,16,FALSE)-VLOOKUP($A298,'ПР 01-02.22'!$A$11:$BB$378,16,FALSE)</f>
        <v>0</v>
      </c>
      <c r="Q298" s="443"/>
      <c r="R298" s="5">
        <f>VLOOKUP($A298,'ПР 01-02.21'!$A$11:$BB$406,18,FALSE)+VLOOKUP($A298,'ПР 21-22'!$A$11:$BB$406,18,FALSE)-VLOOKUP($A298,'ПР 01-02.22'!$A$11:$BB$378,18,FALSE)</f>
        <v>0</v>
      </c>
      <c r="S298" s="5">
        <f>VLOOKUP($A298,'ПР 01-02.21'!$A$11:$BB$406,19,FALSE)+VLOOKUP($A298,'ПР 21-22'!$A$11:$BB$406,19,FALSE)-VLOOKUP($A298,'ПР 01-02.22'!$A$11:$BB$378,19,FALSE)</f>
        <v>0</v>
      </c>
      <c r="T298" s="444"/>
      <c r="U298" s="5">
        <f>VLOOKUP($A298,'ПР 01-02.21'!$A$11:$BB$406,21,FALSE)+VLOOKUP($A298,'ПР 21-22'!$A$11:$BB$406,21,FALSE)-VLOOKUP($A298,'ПР 01-02.22'!$A$11:$BB$378,21,FALSE)</f>
        <v>0</v>
      </c>
      <c r="V298" s="5"/>
      <c r="W298" s="5">
        <f>VLOOKUP($A298,'ПР 01-02.21'!$A$11:$BB$406,23,FALSE)+VLOOKUP($A298,'ПР 21-22'!$A$11:$BB$406,23,FALSE)-VLOOKUP($A298,'ПР 01-02.22'!$A$11:$BB$378,23,FALSE)</f>
        <v>0</v>
      </c>
      <c r="X298" s="5">
        <f>VLOOKUP($A298,'ПР 01-02.21'!$A$11:$BB$406,24,FALSE)+VLOOKUP($A298,'ПР 21-22'!$A$11:$BB$406,24,FALSE)-VLOOKUP($A298,'ПР 01-02.22'!$A$11:$BB$378,24,FALSE)</f>
        <v>0</v>
      </c>
      <c r="Y298" s="5">
        <f>VLOOKUP($A298,'ПР 01-02.21'!$A$11:$BB$406,25,FALSE)+VLOOKUP($A298,'ПР 21-22'!$A$11:$BB$406,25,FALSE)-VLOOKUP($A298,'ПР 01-02.22'!$A$11:$BB$378,25,FALSE)</f>
        <v>17705</v>
      </c>
      <c r="Z298" s="5"/>
      <c r="AA298" s="5">
        <f>VLOOKUP($A298,'ПР 01-02.21'!$A$11:$BB$406,27,FALSE)+VLOOKUP($A298,'ПР 21-22'!$A$11:$BB$406,27,FALSE)-VLOOKUP($A298,'ПР 01-02.22'!$A$11:$BB$378,27,FALSE)</f>
        <v>0</v>
      </c>
      <c r="AB298" s="5">
        <f>VLOOKUP($A298,'ПР 01-02.21'!$A$11:$BB$406,28,FALSE)+VLOOKUP($A298,'ПР 21-22'!$A$11:$BB$406,28,FALSE)-VLOOKUP($A298,'ПР 01-02.22'!$A$11:$BB$378,28,FALSE)</f>
        <v>0</v>
      </c>
      <c r="AC298" s="5">
        <f>VLOOKUP($A298,'ПР 01-02.21'!$A$11:$BB$406,29,FALSE)+VLOOKUP($A298,'ПР 21-22'!$A$11:$BB$406,29,FALSE)-VLOOKUP($A298,'ПР 01-02.22'!$A$11:$BB$378,29,FALSE)</f>
        <v>246.03</v>
      </c>
      <c r="AD298" s="5">
        <f>VLOOKUP($A298,'ПР 01-02.21'!$A$11:$BB$406,30,FALSE)+VLOOKUP($A298,'ПР 21-22'!$A$11:$BB$406,30,FALSE)-VLOOKUP($A298,'ПР 01-02.22'!$A$11:$BB$378,30,FALSE)</f>
        <v>203.71000000000004</v>
      </c>
      <c r="AE298" s="5">
        <f>VLOOKUP($A298,'ПР 01-02.21'!$A$11:$BB$406,31,FALSE)+VLOOKUP($A298,'ПР 21-22'!$A$11:$BB$406,31,FALSE)-VLOOKUP($A298,'ПР 01-02.22'!$A$11:$BB$378,31,FALSE)</f>
        <v>1565.8348176012589</v>
      </c>
      <c r="AF298" s="5">
        <f>VLOOKUP($A298,'ПР 01-02.21'!$A$11:$BB$406,32,FALSE)+VLOOKUP($A298,'ПР 21-22'!$A$11:$BB$406,32,FALSE)-VLOOKUP($A298,'ПР 01-02.22'!$A$11:$BB$378,32,FALSE)</f>
        <v>0</v>
      </c>
      <c r="AG298" s="40"/>
      <c r="AH298" s="5">
        <f>VLOOKUP($A298,'ПР 01-02.21'!$A$11:$BB$406,34,FALSE)+VLOOKUP($A298,'ПР 21-22'!$A$11:$BB$406,34,FALSE)-VLOOKUP($A298,'ПР 01-02.22'!$A$11:$BB$378,34,FALSE)</f>
        <v>2552.6297428932608</v>
      </c>
      <c r="AI298" s="5">
        <f>VLOOKUP($A298,'ПР 01-02.21'!$A$11:$BB$406,35,FALSE)+VLOOKUP($A298,'ПР 21-22'!$A$11:$BB$406,35,FALSE)-VLOOKUP($A298,'ПР 01-02.22'!$A$11:$BB$378,35,FALSE)</f>
        <v>0</v>
      </c>
      <c r="AJ298" s="40"/>
      <c r="AK298" s="5">
        <f>VLOOKUP($A298,'ПР 01-02.21'!$A$11:$BB$406,37,FALSE)+VLOOKUP($A298,'ПР 21-22'!$A$11:$BB$406,37,FALSE)-VLOOKUP($A298,'ПР 01-02.22'!$A$11:$BB$378,37,FALSE)</f>
        <v>811.00952073979556</v>
      </c>
      <c r="AL298" s="5">
        <f>VLOOKUP($A298,'ПР 01-02.21'!$A$11:$BB$406,38,FALSE)+VLOOKUP($A298,'ПР 21-22'!$A$11:$BB$406,38,FALSE)-VLOOKUP($A298,'ПР 01-02.22'!$A$11:$BB$378,38,FALSE)</f>
        <v>3892</v>
      </c>
      <c r="AM298" s="40"/>
      <c r="AN298" s="5">
        <f>VLOOKUP($A298,'ПР 01-02.21'!$A$11:$BB$406,40,FALSE)+VLOOKUP($A298,'ПР 21-22'!$A$11:$BB$406,40,FALSE)-VLOOKUP($A298,'ПР 01-02.22'!$A$11:$BB$378,40,FALSE)</f>
        <v>0</v>
      </c>
      <c r="AO298" s="5">
        <f>VLOOKUP($A298,'ПР 01-02.21'!$A$11:$BB$406,41,FALSE)+VLOOKUP($A298,'ПР 21-22'!$A$11:$BB$406,41,FALSE)-VLOOKUP($A298,'ПР 01-02.22'!$A$11:$BB$378,41,FALSE)</f>
        <v>0</v>
      </c>
      <c r="AP298" s="40"/>
      <c r="AQ298" s="5">
        <f>VLOOKUP($A298,'ПР 01-02.21'!$A$11:$BB$406,43,FALSE)+VLOOKUP($A298,'ПР 21-22'!$A$11:$BB$406,43,FALSE)-VLOOKUP($A298,'ПР 01-02.22'!$A$11:$BB$378,43,FALSE)</f>
        <v>0</v>
      </c>
      <c r="AR298" s="5">
        <f>VLOOKUP($A298,'ПР 01-02.21'!$A$11:$BB$406,44,FALSE)+VLOOKUP($A298,'ПР 21-22'!$A$11:$BB$406,44,FALSE)-VLOOKUP($A298,'ПР 01-02.22'!$A$11:$BB$378,44,FALSE)</f>
        <v>0</v>
      </c>
      <c r="AS298" s="40"/>
      <c r="AT298" s="5">
        <f>VLOOKUP($A298,'ПР 01-02.21'!$A$11:$BB$406,46,FALSE)+VLOOKUP($A298,'ПР 21-22'!$A$11:$BB$406,46,FALSE)-VLOOKUP($A298,'ПР 01-02.22'!$A$11:$BB$378,46,FALSE)</f>
        <v>889.34201506060197</v>
      </c>
      <c r="AU298" s="5">
        <f>VLOOKUP($A298,'ПР 01-02.21'!$A$11:$BB$406,47,FALSE)+VLOOKUP($A298,'ПР 21-22'!$A$11:$BB$406,47,FALSE)-VLOOKUP($A298,'ПР 01-02.22'!$A$11:$BB$378,47,FALSE)</f>
        <v>0</v>
      </c>
      <c r="AV298" s="40"/>
      <c r="AW298" s="5">
        <f>VLOOKUP($A298,'ПР 01-02.21'!$A$11:$BB$406,49,FALSE)+VLOOKUP($A298,'ПР 21-22'!$A$11:$BB$406,49,FALSE)-VLOOKUP($A298,'ПР 01-02.22'!$A$11:$BB$378,49,FALSE)</f>
        <v>68.644000000000005</v>
      </c>
      <c r="AX298" s="5">
        <f>VLOOKUP($A298,'ПР 01-02.21'!$A$11:$BB$406,50,FALSE)+VLOOKUP($A298,'ПР 21-22'!$A$11:$BB$406,50,FALSE)-VLOOKUP($A298,'ПР 01-02.22'!$A$11:$BB$378,50,FALSE)</f>
        <v>0</v>
      </c>
      <c r="AY298" s="40"/>
      <c r="AZ298" s="40">
        <f t="shared" si="17"/>
        <v>5887.4600962949171</v>
      </c>
      <c r="BA298" s="40">
        <f t="shared" si="17"/>
        <v>3892</v>
      </c>
      <c r="BB298" s="55">
        <f t="shared" si="20"/>
        <v>-1995.4600962949171</v>
      </c>
      <c r="BD298" s="2">
        <v>2</v>
      </c>
      <c r="BF298" s="325">
        <v>150000740</v>
      </c>
    </row>
    <row r="299" spans="1:58" ht="24.9" customHeight="1" x14ac:dyDescent="0.3">
      <c r="A299" s="325">
        <v>150000744</v>
      </c>
      <c r="B299" s="445" t="s">
        <v>224</v>
      </c>
      <c r="C299" s="27">
        <v>4</v>
      </c>
      <c r="D299" s="101" t="s">
        <v>455</v>
      </c>
      <c r="E299" s="279">
        <f>'побудинковий звіт'!E297</f>
        <v>1504.4</v>
      </c>
      <c r="F299" s="441">
        <f>'побудинковий звіт'!AS297</f>
        <v>12457.765303793927</v>
      </c>
      <c r="G299" s="441">
        <f t="shared" si="18"/>
        <v>29339.43</v>
      </c>
      <c r="H299" s="73">
        <f t="shared" si="19"/>
        <v>16881.664696206073</v>
      </c>
      <c r="I299" s="5">
        <f>VLOOKUP($A299,'ПР 01-02.21'!$A$11:$BB$406,9,FALSE)+VLOOKUP($A299,'ПР 21-22'!$A$11:$BB$406,9,FALSE)-VLOOKUP($A299,'ПР 01-02.22'!$A$11:$BB$378,9,FALSE)</f>
        <v>0</v>
      </c>
      <c r="J299" s="5">
        <f>VLOOKUP($A299,'ПР 01-02.21'!$A$11:$BB$406,10,FALSE)+VLOOKUP($A299,'ПР 21-22'!$A$11:$BB$406,10,FALSE)-VLOOKUP($A299,'ПР 01-02.22'!$A$11:$BB$378,10,FALSE)</f>
        <v>0</v>
      </c>
      <c r="K299" s="446"/>
      <c r="L299" s="5">
        <f>VLOOKUP($A299,'ПР 01-02.21'!$A$11:$BB$406,12,FALSE)+VLOOKUP($A299,'ПР 21-22'!$A$11:$BB$406,12,FALSE)-VLOOKUP($A299,'ПР 01-02.22'!$A$11:$BB$378,12,FALSE)</f>
        <v>0</v>
      </c>
      <c r="M299" s="5">
        <f>VLOOKUP($A299,'ПР 01-02.21'!$A$11:$BB$406,13,FALSE)+VLOOKUP($A299,'ПР 21-22'!$A$11:$BB$406,13,FALSE)-VLOOKUP($A299,'ПР 01-02.22'!$A$11:$BB$378,13,FALSE)</f>
        <v>404</v>
      </c>
      <c r="N299" s="38"/>
      <c r="O299" s="5">
        <f>VLOOKUP($A299,'ПР 01-02.21'!$A$11:$BB$406,15,FALSE)+VLOOKUP($A299,'ПР 21-22'!$A$11:$BB$406,15,FALSE)-VLOOKUP($A299,'ПР 01-02.22'!$A$11:$BB$378,15,FALSE)</f>
        <v>0</v>
      </c>
      <c r="P299" s="5">
        <f>VLOOKUP($A299,'ПР 01-02.21'!$A$11:$BB$406,16,FALSE)+VLOOKUP($A299,'ПР 21-22'!$A$11:$BB$406,16,FALSE)-VLOOKUP($A299,'ПР 01-02.22'!$A$11:$BB$378,16,FALSE)</f>
        <v>0</v>
      </c>
      <c r="Q299" s="443"/>
      <c r="R299" s="5">
        <f>VLOOKUP($A299,'ПР 01-02.21'!$A$11:$BB$406,18,FALSE)+VLOOKUP($A299,'ПР 21-22'!$A$11:$BB$406,18,FALSE)-VLOOKUP($A299,'ПР 01-02.22'!$A$11:$BB$378,18,FALSE)</f>
        <v>0</v>
      </c>
      <c r="S299" s="5">
        <f>VLOOKUP($A299,'ПР 01-02.21'!$A$11:$BB$406,19,FALSE)+VLOOKUP($A299,'ПР 21-22'!$A$11:$BB$406,19,FALSE)-VLOOKUP($A299,'ПР 01-02.22'!$A$11:$BB$378,19,FALSE)</f>
        <v>0</v>
      </c>
      <c r="T299" s="444"/>
      <c r="U299" s="5">
        <f>VLOOKUP($A299,'ПР 01-02.21'!$A$11:$BB$406,21,FALSE)+VLOOKUP($A299,'ПР 21-22'!$A$11:$BB$406,21,FALSE)-VLOOKUP($A299,'ПР 01-02.22'!$A$11:$BB$378,21,FALSE)</f>
        <v>0</v>
      </c>
      <c r="V299" s="5"/>
      <c r="W299" s="5">
        <f>VLOOKUP($A299,'ПР 01-02.21'!$A$11:$BB$406,23,FALSE)+VLOOKUP($A299,'ПР 21-22'!$A$11:$BB$406,23,FALSE)-VLOOKUP($A299,'ПР 01-02.22'!$A$11:$BB$378,23,FALSE)</f>
        <v>0</v>
      </c>
      <c r="X299" s="5">
        <f>VLOOKUP($A299,'ПР 01-02.21'!$A$11:$BB$406,24,FALSE)+VLOOKUP($A299,'ПР 21-22'!$A$11:$BB$406,24,FALSE)-VLOOKUP($A299,'ПР 01-02.22'!$A$11:$BB$378,24,FALSE)</f>
        <v>3964</v>
      </c>
      <c r="Y299" s="5">
        <f>VLOOKUP($A299,'ПР 01-02.21'!$A$11:$BB$406,25,FALSE)+VLOOKUP($A299,'ПР 21-22'!$A$11:$BB$406,25,FALSE)-VLOOKUP($A299,'ПР 01-02.22'!$A$11:$BB$378,25,FALSE)</f>
        <v>22606</v>
      </c>
      <c r="Z299" s="5"/>
      <c r="AA299" s="5">
        <f>VLOOKUP($A299,'ПР 01-02.21'!$A$11:$BB$406,27,FALSE)+VLOOKUP($A299,'ПР 21-22'!$A$11:$BB$406,27,FALSE)-VLOOKUP($A299,'ПР 01-02.22'!$A$11:$BB$378,27,FALSE)</f>
        <v>0</v>
      </c>
      <c r="AB299" s="5">
        <f>VLOOKUP($A299,'ПР 01-02.21'!$A$11:$BB$406,28,FALSE)+VLOOKUP($A299,'ПР 21-22'!$A$11:$BB$406,28,FALSE)-VLOOKUP($A299,'ПР 01-02.22'!$A$11:$BB$378,28,FALSE)</f>
        <v>2175</v>
      </c>
      <c r="AC299" s="5">
        <f>VLOOKUP($A299,'ПР 01-02.21'!$A$11:$BB$406,29,FALSE)+VLOOKUP($A299,'ПР 21-22'!$A$11:$BB$406,29,FALSE)-VLOOKUP($A299,'ПР 01-02.22'!$A$11:$BB$378,29,FALSE)</f>
        <v>0</v>
      </c>
      <c r="AD299" s="5">
        <f>VLOOKUP($A299,'ПР 01-02.21'!$A$11:$BB$406,30,FALSE)+VLOOKUP($A299,'ПР 21-22'!$A$11:$BB$406,30,FALSE)-VLOOKUP($A299,'ПР 01-02.22'!$A$11:$BB$378,30,FALSE)</f>
        <v>190.43000000000006</v>
      </c>
      <c r="AE299" s="5">
        <f>VLOOKUP($A299,'ПР 01-02.21'!$A$11:$BB$406,31,FALSE)+VLOOKUP($A299,'ПР 21-22'!$A$11:$BB$406,31,FALSE)-VLOOKUP($A299,'ПР 01-02.22'!$A$11:$BB$378,31,FALSE)</f>
        <v>1483.6199441742342</v>
      </c>
      <c r="AF299" s="5">
        <f>VLOOKUP($A299,'ПР 01-02.21'!$A$11:$BB$406,32,FALSE)+VLOOKUP($A299,'ПР 21-22'!$A$11:$BB$406,32,FALSE)-VLOOKUP($A299,'ПР 01-02.22'!$A$11:$BB$378,32,FALSE)</f>
        <v>1748</v>
      </c>
      <c r="AG299" s="40"/>
      <c r="AH299" s="5">
        <f>VLOOKUP($A299,'ПР 01-02.21'!$A$11:$BB$406,34,FALSE)+VLOOKUP($A299,'ПР 21-22'!$A$11:$BB$406,34,FALSE)-VLOOKUP($A299,'ПР 01-02.22'!$A$11:$BB$378,34,FALSE)</f>
        <v>1989.1401072878652</v>
      </c>
      <c r="AI299" s="5">
        <f>VLOOKUP($A299,'ПР 01-02.21'!$A$11:$BB$406,35,FALSE)+VLOOKUP($A299,'ПР 21-22'!$A$11:$BB$406,35,FALSE)-VLOOKUP($A299,'ПР 01-02.22'!$A$11:$BB$378,35,FALSE)</f>
        <v>1885</v>
      </c>
      <c r="AJ299" s="40"/>
      <c r="AK299" s="5">
        <f>VLOOKUP($A299,'ПР 01-02.21'!$A$11:$BB$406,37,FALSE)+VLOOKUP($A299,'ПР 21-22'!$A$11:$BB$406,37,FALSE)-VLOOKUP($A299,'ПР 01-02.22'!$A$11:$BB$378,37,FALSE)</f>
        <v>875.30325245233632</v>
      </c>
      <c r="AL299" s="5">
        <f>VLOOKUP($A299,'ПР 01-02.21'!$A$11:$BB$406,38,FALSE)+VLOOKUP($A299,'ПР 21-22'!$A$11:$BB$406,38,FALSE)-VLOOKUP($A299,'ПР 01-02.22'!$A$11:$BB$378,38,FALSE)</f>
        <v>1226</v>
      </c>
      <c r="AM299" s="40"/>
      <c r="AN299" s="5">
        <f>VLOOKUP($A299,'ПР 01-02.21'!$A$11:$BB$406,40,FALSE)+VLOOKUP($A299,'ПР 21-22'!$A$11:$BB$406,40,FALSE)-VLOOKUP($A299,'ПР 01-02.22'!$A$11:$BB$378,40,FALSE)</f>
        <v>0</v>
      </c>
      <c r="AO299" s="5">
        <f>VLOOKUP($A299,'ПР 01-02.21'!$A$11:$BB$406,41,FALSE)+VLOOKUP($A299,'ПР 21-22'!$A$11:$BB$406,41,FALSE)-VLOOKUP($A299,'ПР 01-02.22'!$A$11:$BB$378,41,FALSE)</f>
        <v>0</v>
      </c>
      <c r="AP299" s="40"/>
      <c r="AQ299" s="5">
        <f>VLOOKUP($A299,'ПР 01-02.21'!$A$11:$BB$406,43,FALSE)+VLOOKUP($A299,'ПР 21-22'!$A$11:$BB$406,43,FALSE)-VLOOKUP($A299,'ПР 01-02.22'!$A$11:$BB$378,43,FALSE)</f>
        <v>0</v>
      </c>
      <c r="AR299" s="5">
        <f>VLOOKUP($A299,'ПР 01-02.21'!$A$11:$BB$406,44,FALSE)+VLOOKUP($A299,'ПР 21-22'!$A$11:$BB$406,44,FALSE)-VLOOKUP($A299,'ПР 01-02.22'!$A$11:$BB$378,44,FALSE)</f>
        <v>0</v>
      </c>
      <c r="AS299" s="40"/>
      <c r="AT299" s="5">
        <f>VLOOKUP($A299,'ПР 01-02.21'!$A$11:$BB$406,46,FALSE)+VLOOKUP($A299,'ПР 21-22'!$A$11:$BB$406,46,FALSE)-VLOOKUP($A299,'ПР 01-02.22'!$A$11:$BB$378,46,FALSE)</f>
        <v>540.9003226252305</v>
      </c>
      <c r="AU299" s="5">
        <f>VLOOKUP($A299,'ПР 01-02.21'!$A$11:$BB$406,47,FALSE)+VLOOKUP($A299,'ПР 21-22'!$A$11:$BB$406,47,FALSE)-VLOOKUP($A299,'ПР 01-02.22'!$A$11:$BB$378,47,FALSE)</f>
        <v>0</v>
      </c>
      <c r="AV299" s="40"/>
      <c r="AW299" s="5">
        <f>VLOOKUP($A299,'ПР 01-02.21'!$A$11:$BB$406,49,FALSE)+VLOOKUP($A299,'ПР 21-22'!$A$11:$BB$406,49,FALSE)-VLOOKUP($A299,'ПР 01-02.22'!$A$11:$BB$378,49,FALSE)</f>
        <v>75.183999999999997</v>
      </c>
      <c r="AX299" s="5">
        <f>VLOOKUP($A299,'ПР 01-02.21'!$A$11:$BB$406,50,FALSE)+VLOOKUP($A299,'ПР 21-22'!$A$11:$BB$406,50,FALSE)-VLOOKUP($A299,'ПР 01-02.22'!$A$11:$BB$378,50,FALSE)</f>
        <v>0</v>
      </c>
      <c r="AY299" s="40"/>
      <c r="AZ299" s="40">
        <f t="shared" si="17"/>
        <v>4964.1476265396668</v>
      </c>
      <c r="BA299" s="40">
        <f t="shared" si="17"/>
        <v>4859</v>
      </c>
      <c r="BB299" s="55">
        <f t="shared" si="20"/>
        <v>-105.14762653966682</v>
      </c>
      <c r="BD299" s="2">
        <v>2</v>
      </c>
      <c r="BF299" s="325">
        <v>150000744</v>
      </c>
    </row>
    <row r="300" spans="1:58" ht="24.9" customHeight="1" x14ac:dyDescent="0.3">
      <c r="A300" s="325">
        <v>150000741</v>
      </c>
      <c r="B300" s="445" t="s">
        <v>225</v>
      </c>
      <c r="C300" s="27">
        <v>4</v>
      </c>
      <c r="D300" s="101" t="s">
        <v>455</v>
      </c>
      <c r="E300" s="279">
        <f>'побудинковий звіт'!E298</f>
        <v>2594.3000000000002</v>
      </c>
      <c r="F300" s="441">
        <f>'побудинковий звіт'!AS298</f>
        <v>28672.089926857698</v>
      </c>
      <c r="G300" s="441">
        <f t="shared" si="18"/>
        <v>9022.73</v>
      </c>
      <c r="H300" s="73">
        <f t="shared" si="19"/>
        <v>-19649.359926857698</v>
      </c>
      <c r="I300" s="5">
        <f>VLOOKUP($A300,'ПР 01-02.21'!$A$11:$BB$406,9,FALSE)+VLOOKUP($A300,'ПР 21-22'!$A$11:$BB$406,9,FALSE)-VLOOKUP($A300,'ПР 01-02.22'!$A$11:$BB$378,9,FALSE)</f>
        <v>0</v>
      </c>
      <c r="J300" s="5">
        <f>VLOOKUP($A300,'ПР 01-02.21'!$A$11:$BB$406,10,FALSE)+VLOOKUP($A300,'ПР 21-22'!$A$11:$BB$406,10,FALSE)-VLOOKUP($A300,'ПР 01-02.22'!$A$11:$BB$378,10,FALSE)</f>
        <v>0</v>
      </c>
      <c r="K300" s="446"/>
      <c r="L300" s="5">
        <f>VLOOKUP($A300,'ПР 01-02.21'!$A$11:$BB$406,12,FALSE)+VLOOKUP($A300,'ПР 21-22'!$A$11:$BB$406,12,FALSE)-VLOOKUP($A300,'ПР 01-02.22'!$A$11:$BB$378,12,FALSE)</f>
        <v>0</v>
      </c>
      <c r="M300" s="5">
        <f>VLOOKUP($A300,'ПР 01-02.21'!$A$11:$BB$406,13,FALSE)+VLOOKUP($A300,'ПР 21-22'!$A$11:$BB$406,13,FALSE)-VLOOKUP($A300,'ПР 01-02.22'!$A$11:$BB$378,13,FALSE)</f>
        <v>0</v>
      </c>
      <c r="N300" s="38"/>
      <c r="O300" s="5">
        <f>VLOOKUP($A300,'ПР 01-02.21'!$A$11:$BB$406,15,FALSE)+VLOOKUP($A300,'ПР 21-22'!$A$11:$BB$406,15,FALSE)-VLOOKUP($A300,'ПР 01-02.22'!$A$11:$BB$378,15,FALSE)</f>
        <v>0</v>
      </c>
      <c r="P300" s="5">
        <f>VLOOKUP($A300,'ПР 01-02.21'!$A$11:$BB$406,16,FALSE)+VLOOKUP($A300,'ПР 21-22'!$A$11:$BB$406,16,FALSE)-VLOOKUP($A300,'ПР 01-02.22'!$A$11:$BB$378,16,FALSE)</f>
        <v>0</v>
      </c>
      <c r="Q300" s="443"/>
      <c r="R300" s="5">
        <f>VLOOKUP($A300,'ПР 01-02.21'!$A$11:$BB$406,18,FALSE)+VLOOKUP($A300,'ПР 21-22'!$A$11:$BB$406,18,FALSE)-VLOOKUP($A300,'ПР 01-02.22'!$A$11:$BB$378,18,FALSE)</f>
        <v>0</v>
      </c>
      <c r="S300" s="5">
        <f>VLOOKUP($A300,'ПР 01-02.21'!$A$11:$BB$406,19,FALSE)+VLOOKUP($A300,'ПР 21-22'!$A$11:$BB$406,19,FALSE)-VLOOKUP($A300,'ПР 01-02.22'!$A$11:$BB$378,19,FALSE)</f>
        <v>0</v>
      </c>
      <c r="T300" s="444"/>
      <c r="U300" s="5">
        <f>VLOOKUP($A300,'ПР 01-02.21'!$A$11:$BB$406,21,FALSE)+VLOOKUP($A300,'ПР 21-22'!$A$11:$BB$406,21,FALSE)-VLOOKUP($A300,'ПР 01-02.22'!$A$11:$BB$378,21,FALSE)</f>
        <v>0</v>
      </c>
      <c r="V300" s="5"/>
      <c r="W300" s="5">
        <f>VLOOKUP($A300,'ПР 01-02.21'!$A$11:$BB$406,23,FALSE)+VLOOKUP($A300,'ПР 21-22'!$A$11:$BB$406,23,FALSE)-VLOOKUP($A300,'ПР 01-02.22'!$A$11:$BB$378,23,FALSE)</f>
        <v>0</v>
      </c>
      <c r="X300" s="5">
        <f>VLOOKUP($A300,'ПР 01-02.21'!$A$11:$BB$406,24,FALSE)+VLOOKUP($A300,'ПР 21-22'!$A$11:$BB$406,24,FALSE)-VLOOKUP($A300,'ПР 01-02.22'!$A$11:$BB$378,24,FALSE)</f>
        <v>1705</v>
      </c>
      <c r="Y300" s="5">
        <f>VLOOKUP($A300,'ПР 01-02.21'!$A$11:$BB$406,25,FALSE)+VLOOKUP($A300,'ПР 21-22'!$A$11:$BB$406,25,FALSE)-VLOOKUP($A300,'ПР 01-02.22'!$A$11:$BB$378,25,FALSE)</f>
        <v>897</v>
      </c>
      <c r="Z300" s="5"/>
      <c r="AA300" s="5">
        <f>VLOOKUP($A300,'ПР 01-02.21'!$A$11:$BB$406,27,FALSE)+VLOOKUP($A300,'ПР 21-22'!$A$11:$BB$406,27,FALSE)-VLOOKUP($A300,'ПР 01-02.22'!$A$11:$BB$378,27,FALSE)</f>
        <v>0</v>
      </c>
      <c r="AB300" s="5">
        <f>VLOOKUP($A300,'ПР 01-02.21'!$A$11:$BB$406,28,FALSE)+VLOOKUP($A300,'ПР 21-22'!$A$11:$BB$406,28,FALSE)-VLOOKUP($A300,'ПР 01-02.22'!$A$11:$BB$378,28,FALSE)</f>
        <v>0</v>
      </c>
      <c r="AC300" s="5">
        <f>VLOOKUP($A300,'ПР 01-02.21'!$A$11:$BB$406,29,FALSE)+VLOOKUP($A300,'ПР 21-22'!$A$11:$BB$406,29,FALSE)-VLOOKUP($A300,'ПР 01-02.22'!$A$11:$BB$378,29,FALSE)</f>
        <v>204</v>
      </c>
      <c r="AD300" s="5">
        <f>VLOOKUP($A300,'ПР 01-02.21'!$A$11:$BB$406,30,FALSE)+VLOOKUP($A300,'ПР 21-22'!$A$11:$BB$406,30,FALSE)-VLOOKUP($A300,'ПР 01-02.22'!$A$11:$BB$378,30,FALSE)</f>
        <v>6216.73</v>
      </c>
      <c r="AE300" s="5">
        <f>VLOOKUP($A300,'ПР 01-02.21'!$A$11:$BB$406,31,FALSE)+VLOOKUP($A300,'ПР 21-22'!$A$11:$BB$406,31,FALSE)-VLOOKUP($A300,'ПР 01-02.22'!$A$11:$BB$378,31,FALSE)</f>
        <v>2545.3962678728794</v>
      </c>
      <c r="AF300" s="5">
        <f>VLOOKUP($A300,'ПР 01-02.21'!$A$11:$BB$406,32,FALSE)+VLOOKUP($A300,'ПР 21-22'!$A$11:$BB$406,32,FALSE)-VLOOKUP($A300,'ПР 01-02.22'!$A$11:$BB$378,32,FALSE)</f>
        <v>2818</v>
      </c>
      <c r="AG300" s="40"/>
      <c r="AH300" s="5">
        <f>VLOOKUP($A300,'ПР 01-02.21'!$A$11:$BB$406,34,FALSE)+VLOOKUP($A300,'ПР 21-22'!$A$11:$BB$406,34,FALSE)-VLOOKUP($A300,'ПР 01-02.22'!$A$11:$BB$378,34,FALSE)</f>
        <v>2881.4766738581111</v>
      </c>
      <c r="AI300" s="5">
        <f>VLOOKUP($A300,'ПР 01-02.21'!$A$11:$BB$406,35,FALSE)+VLOOKUP($A300,'ПР 21-22'!$A$11:$BB$406,35,FALSE)-VLOOKUP($A300,'ПР 01-02.22'!$A$11:$BB$378,35,FALSE)</f>
        <v>0</v>
      </c>
      <c r="AJ300" s="40"/>
      <c r="AK300" s="5">
        <f>VLOOKUP($A300,'ПР 01-02.21'!$A$11:$BB$406,37,FALSE)+VLOOKUP($A300,'ПР 21-22'!$A$11:$BB$406,37,FALSE)-VLOOKUP($A300,'ПР 01-02.22'!$A$11:$BB$378,37,FALSE)</f>
        <v>1439.0747481024462</v>
      </c>
      <c r="AL300" s="5">
        <f>VLOOKUP($A300,'ПР 01-02.21'!$A$11:$BB$406,38,FALSE)+VLOOKUP($A300,'ПР 21-22'!$A$11:$BB$406,38,FALSE)-VLOOKUP($A300,'ПР 01-02.22'!$A$11:$BB$378,38,FALSE)</f>
        <v>0</v>
      </c>
      <c r="AM300" s="40"/>
      <c r="AN300" s="5">
        <f>VLOOKUP($A300,'ПР 01-02.21'!$A$11:$BB$406,40,FALSE)+VLOOKUP($A300,'ПР 21-22'!$A$11:$BB$406,40,FALSE)-VLOOKUP($A300,'ПР 01-02.22'!$A$11:$BB$378,40,FALSE)</f>
        <v>0</v>
      </c>
      <c r="AO300" s="5">
        <f>VLOOKUP($A300,'ПР 01-02.21'!$A$11:$BB$406,41,FALSE)+VLOOKUP($A300,'ПР 21-22'!$A$11:$BB$406,41,FALSE)-VLOOKUP($A300,'ПР 01-02.22'!$A$11:$BB$378,41,FALSE)</f>
        <v>0</v>
      </c>
      <c r="AP300" s="40"/>
      <c r="AQ300" s="5">
        <f>VLOOKUP($A300,'ПР 01-02.21'!$A$11:$BB$406,43,FALSE)+VLOOKUP($A300,'ПР 21-22'!$A$11:$BB$406,43,FALSE)-VLOOKUP($A300,'ПР 01-02.22'!$A$11:$BB$378,43,FALSE)</f>
        <v>0</v>
      </c>
      <c r="AR300" s="5">
        <f>VLOOKUP($A300,'ПР 01-02.21'!$A$11:$BB$406,44,FALSE)+VLOOKUP($A300,'ПР 21-22'!$A$11:$BB$406,44,FALSE)-VLOOKUP($A300,'ПР 01-02.22'!$A$11:$BB$378,44,FALSE)</f>
        <v>0</v>
      </c>
      <c r="AS300" s="40"/>
      <c r="AT300" s="5">
        <f>VLOOKUP($A300,'ПР 01-02.21'!$A$11:$BB$406,46,FALSE)+VLOOKUP($A300,'ПР 21-22'!$A$11:$BB$406,46,FALSE)-VLOOKUP($A300,'ПР 01-02.22'!$A$11:$BB$378,46,FALSE)</f>
        <v>1735.3424310570654</v>
      </c>
      <c r="AU300" s="5">
        <f>VLOOKUP($A300,'ПР 01-02.21'!$A$11:$BB$406,47,FALSE)+VLOOKUP($A300,'ПР 21-22'!$A$11:$BB$406,47,FALSE)-VLOOKUP($A300,'ПР 01-02.22'!$A$11:$BB$378,47,FALSE)</f>
        <v>702</v>
      </c>
      <c r="AV300" s="40"/>
      <c r="AW300" s="5">
        <f>VLOOKUP($A300,'ПР 01-02.21'!$A$11:$BB$406,49,FALSE)+VLOOKUP($A300,'ПР 21-22'!$A$11:$BB$406,49,FALSE)-VLOOKUP($A300,'ПР 01-02.22'!$A$11:$BB$378,49,FALSE)</f>
        <v>138.94400000000002</v>
      </c>
      <c r="AX300" s="5">
        <f>VLOOKUP($A300,'ПР 01-02.21'!$A$11:$BB$406,50,FALSE)+VLOOKUP($A300,'ПР 21-22'!$A$11:$BB$406,50,FALSE)-VLOOKUP($A300,'ПР 01-02.22'!$A$11:$BB$378,50,FALSE)</f>
        <v>0</v>
      </c>
      <c r="AY300" s="40"/>
      <c r="AZ300" s="40">
        <f t="shared" si="17"/>
        <v>8740.2341208905018</v>
      </c>
      <c r="BA300" s="40">
        <f t="shared" si="17"/>
        <v>3520</v>
      </c>
      <c r="BB300" s="55">
        <f t="shared" si="20"/>
        <v>-5220.2341208905018</v>
      </c>
      <c r="BD300" s="2">
        <v>2</v>
      </c>
      <c r="BF300" s="325">
        <v>150000741</v>
      </c>
    </row>
    <row r="301" spans="1:58" ht="24.9" customHeight="1" x14ac:dyDescent="0.3">
      <c r="A301" s="325">
        <v>150000742</v>
      </c>
      <c r="B301" s="445" t="s">
        <v>291</v>
      </c>
      <c r="C301" s="27">
        <v>5</v>
      </c>
      <c r="D301" s="101" t="s">
        <v>455</v>
      </c>
      <c r="E301" s="279">
        <f>'побудинковий звіт'!E299</f>
        <v>1869.4</v>
      </c>
      <c r="F301" s="441">
        <f>'побудинковий звіт'!AS299</f>
        <v>17120.013920554382</v>
      </c>
      <c r="G301" s="441">
        <f t="shared" si="18"/>
        <v>0</v>
      </c>
      <c r="H301" s="73">
        <f t="shared" si="19"/>
        <v>-17120.013920554382</v>
      </c>
      <c r="I301" s="5">
        <f>VLOOKUP($A301,'ПР 01-02.21'!$A$11:$BB$406,9,FALSE)+VLOOKUP($A301,'ПР 21-22'!$A$11:$BB$406,9,FALSE)-VLOOKUP($A301,'ПР 01-02.22'!$A$11:$BB$378,9,FALSE)</f>
        <v>0</v>
      </c>
      <c r="J301" s="5">
        <f>VLOOKUP($A301,'ПР 01-02.21'!$A$11:$BB$406,10,FALSE)+VLOOKUP($A301,'ПР 21-22'!$A$11:$BB$406,10,FALSE)-VLOOKUP($A301,'ПР 01-02.22'!$A$11:$BB$378,10,FALSE)</f>
        <v>0</v>
      </c>
      <c r="K301" s="450"/>
      <c r="L301" s="5">
        <f>VLOOKUP($A301,'ПР 01-02.21'!$A$11:$BB$406,12,FALSE)+VLOOKUP($A301,'ПР 21-22'!$A$11:$BB$406,12,FALSE)-VLOOKUP($A301,'ПР 01-02.22'!$A$11:$BB$378,12,FALSE)</f>
        <v>0</v>
      </c>
      <c r="M301" s="5">
        <f>VLOOKUP($A301,'ПР 01-02.21'!$A$11:$BB$406,13,FALSE)+VLOOKUP($A301,'ПР 21-22'!$A$11:$BB$406,13,FALSE)-VLOOKUP($A301,'ПР 01-02.22'!$A$11:$BB$378,13,FALSE)</f>
        <v>0</v>
      </c>
      <c r="N301" s="38"/>
      <c r="O301" s="5">
        <f>VLOOKUP($A301,'ПР 01-02.21'!$A$11:$BB$406,15,FALSE)+VLOOKUP($A301,'ПР 21-22'!$A$11:$BB$406,15,FALSE)-VLOOKUP($A301,'ПР 01-02.22'!$A$11:$BB$378,15,FALSE)</f>
        <v>0</v>
      </c>
      <c r="P301" s="5">
        <f>VLOOKUP($A301,'ПР 01-02.21'!$A$11:$BB$406,16,FALSE)+VLOOKUP($A301,'ПР 21-22'!$A$11:$BB$406,16,FALSE)-VLOOKUP($A301,'ПР 01-02.22'!$A$11:$BB$378,16,FALSE)</f>
        <v>0</v>
      </c>
      <c r="Q301" s="443"/>
      <c r="R301" s="5">
        <f>VLOOKUP($A301,'ПР 01-02.21'!$A$11:$BB$406,18,FALSE)+VLOOKUP($A301,'ПР 21-22'!$A$11:$BB$406,18,FALSE)-VLOOKUP($A301,'ПР 01-02.22'!$A$11:$BB$378,18,FALSE)</f>
        <v>0</v>
      </c>
      <c r="S301" s="5">
        <f>VLOOKUP($A301,'ПР 01-02.21'!$A$11:$BB$406,19,FALSE)+VLOOKUP($A301,'ПР 21-22'!$A$11:$BB$406,19,FALSE)-VLOOKUP($A301,'ПР 01-02.22'!$A$11:$BB$378,19,FALSE)</f>
        <v>0</v>
      </c>
      <c r="T301" s="444"/>
      <c r="U301" s="5">
        <f>VLOOKUP($A301,'ПР 01-02.21'!$A$11:$BB$406,21,FALSE)+VLOOKUP($A301,'ПР 21-22'!$A$11:$BB$406,21,FALSE)-VLOOKUP($A301,'ПР 01-02.22'!$A$11:$BB$378,21,FALSE)</f>
        <v>0</v>
      </c>
      <c r="V301" s="5"/>
      <c r="W301" s="5">
        <f>VLOOKUP($A301,'ПР 01-02.21'!$A$11:$BB$406,23,FALSE)+VLOOKUP($A301,'ПР 21-22'!$A$11:$BB$406,23,FALSE)-VLOOKUP($A301,'ПР 01-02.22'!$A$11:$BB$378,23,FALSE)</f>
        <v>0</v>
      </c>
      <c r="X301" s="5">
        <f>VLOOKUP($A301,'ПР 01-02.21'!$A$11:$BB$406,24,FALSE)+VLOOKUP($A301,'ПР 21-22'!$A$11:$BB$406,24,FALSE)-VLOOKUP($A301,'ПР 01-02.22'!$A$11:$BB$378,24,FALSE)</f>
        <v>0</v>
      </c>
      <c r="Y301" s="5">
        <f>VLOOKUP($A301,'ПР 01-02.21'!$A$11:$BB$406,25,FALSE)+VLOOKUP($A301,'ПР 21-22'!$A$11:$BB$406,25,FALSE)-VLOOKUP($A301,'ПР 01-02.22'!$A$11:$BB$378,25,FALSE)</f>
        <v>0</v>
      </c>
      <c r="Z301" s="5"/>
      <c r="AA301" s="5">
        <f>VLOOKUP($A301,'ПР 01-02.21'!$A$11:$BB$406,27,FALSE)+VLOOKUP($A301,'ПР 21-22'!$A$11:$BB$406,27,FALSE)-VLOOKUP($A301,'ПР 01-02.22'!$A$11:$BB$378,27,FALSE)</f>
        <v>0</v>
      </c>
      <c r="AB301" s="5">
        <f>VLOOKUP($A301,'ПР 01-02.21'!$A$11:$BB$406,28,FALSE)+VLOOKUP($A301,'ПР 21-22'!$A$11:$BB$406,28,FALSE)-VLOOKUP($A301,'ПР 01-02.22'!$A$11:$BB$378,28,FALSE)</f>
        <v>0</v>
      </c>
      <c r="AC301" s="5">
        <f>VLOOKUP($A301,'ПР 01-02.21'!$A$11:$BB$406,29,FALSE)+VLOOKUP($A301,'ПР 21-22'!$A$11:$BB$406,29,FALSE)-VLOOKUP($A301,'ПР 01-02.22'!$A$11:$BB$378,29,FALSE)</f>
        <v>0</v>
      </c>
      <c r="AD301" s="5">
        <f>VLOOKUP($A301,'ПР 01-02.21'!$A$11:$BB$406,30,FALSE)+VLOOKUP($A301,'ПР 21-22'!$A$11:$BB$406,30,FALSE)-VLOOKUP($A301,'ПР 01-02.22'!$A$11:$BB$378,30,FALSE)</f>
        <v>0</v>
      </c>
      <c r="AE301" s="5">
        <f>VLOOKUP($A301,'ПР 01-02.21'!$A$11:$BB$406,31,FALSE)+VLOOKUP($A301,'ПР 21-22'!$A$11:$BB$406,31,FALSE)-VLOOKUP($A301,'ПР 01-02.22'!$A$11:$BB$378,31,FALSE)</f>
        <v>1588.8228370354523</v>
      </c>
      <c r="AF301" s="5">
        <f>VLOOKUP($A301,'ПР 01-02.21'!$A$11:$BB$406,32,FALSE)+VLOOKUP($A301,'ПР 21-22'!$A$11:$BB$406,32,FALSE)-VLOOKUP($A301,'ПР 01-02.22'!$A$11:$BB$378,32,FALSE)</f>
        <v>0</v>
      </c>
      <c r="AG301" s="40"/>
      <c r="AH301" s="5">
        <f>VLOOKUP($A301,'ПР 01-02.21'!$A$11:$BB$406,34,FALSE)+VLOOKUP($A301,'ПР 21-22'!$A$11:$BB$406,34,FALSE)-VLOOKUP($A301,'ПР 01-02.22'!$A$11:$BB$378,34,FALSE)</f>
        <v>2133.7540382187567</v>
      </c>
      <c r="AI301" s="5">
        <f>VLOOKUP($A301,'ПР 01-02.21'!$A$11:$BB$406,35,FALSE)+VLOOKUP($A301,'ПР 21-22'!$A$11:$BB$406,35,FALSE)-VLOOKUP($A301,'ПР 01-02.22'!$A$11:$BB$378,35,FALSE)</f>
        <v>0</v>
      </c>
      <c r="AJ301" s="40"/>
      <c r="AK301" s="5">
        <f>VLOOKUP($A301,'ПР 01-02.21'!$A$11:$BB$406,37,FALSE)+VLOOKUP($A301,'ПР 21-22'!$A$11:$BB$406,37,FALSE)-VLOOKUP($A301,'ПР 01-02.22'!$A$11:$BB$378,37,FALSE)</f>
        <v>1055.7370616230812</v>
      </c>
      <c r="AL301" s="5">
        <f>VLOOKUP($A301,'ПР 01-02.21'!$A$11:$BB$406,38,FALSE)+VLOOKUP($A301,'ПР 21-22'!$A$11:$BB$406,38,FALSE)-VLOOKUP($A301,'ПР 01-02.22'!$A$11:$BB$378,38,FALSE)</f>
        <v>0</v>
      </c>
      <c r="AM301" s="40"/>
      <c r="AN301" s="5">
        <f>VLOOKUP($A301,'ПР 01-02.21'!$A$11:$BB$406,40,FALSE)+VLOOKUP($A301,'ПР 21-22'!$A$11:$BB$406,40,FALSE)-VLOOKUP($A301,'ПР 01-02.22'!$A$11:$BB$378,40,FALSE)</f>
        <v>0</v>
      </c>
      <c r="AO301" s="5">
        <f>VLOOKUP($A301,'ПР 01-02.21'!$A$11:$BB$406,41,FALSE)+VLOOKUP($A301,'ПР 21-22'!$A$11:$BB$406,41,FALSE)-VLOOKUP($A301,'ПР 01-02.22'!$A$11:$BB$378,41,FALSE)</f>
        <v>0</v>
      </c>
      <c r="AP301" s="40"/>
      <c r="AQ301" s="5">
        <f>VLOOKUP($A301,'ПР 01-02.21'!$A$11:$BB$406,43,FALSE)+VLOOKUP($A301,'ПР 21-22'!$A$11:$BB$406,43,FALSE)-VLOOKUP($A301,'ПР 01-02.22'!$A$11:$BB$378,43,FALSE)</f>
        <v>0</v>
      </c>
      <c r="AR301" s="5">
        <f>VLOOKUP($A301,'ПР 01-02.21'!$A$11:$BB$406,44,FALSE)+VLOOKUP($A301,'ПР 21-22'!$A$11:$BB$406,44,FALSE)-VLOOKUP($A301,'ПР 01-02.22'!$A$11:$BB$378,44,FALSE)</f>
        <v>0</v>
      </c>
      <c r="AS301" s="40"/>
      <c r="AT301" s="5">
        <f>VLOOKUP($A301,'ПР 01-02.21'!$A$11:$BB$406,46,FALSE)+VLOOKUP($A301,'ПР 21-22'!$A$11:$BB$406,46,FALSE)-VLOOKUP($A301,'ПР 01-02.22'!$A$11:$BB$378,46,FALSE)</f>
        <v>719.35039265814885</v>
      </c>
      <c r="AU301" s="5">
        <f>VLOOKUP($A301,'ПР 01-02.21'!$A$11:$BB$406,47,FALSE)+VLOOKUP($A301,'ПР 21-22'!$A$11:$BB$406,47,FALSE)-VLOOKUP($A301,'ПР 01-02.22'!$A$11:$BB$378,47,FALSE)</f>
        <v>1811</v>
      </c>
      <c r="AV301" s="40"/>
      <c r="AW301" s="5">
        <f>VLOOKUP($A301,'ПР 01-02.21'!$A$11:$BB$406,49,FALSE)+VLOOKUP($A301,'ПР 21-22'!$A$11:$BB$406,49,FALSE)-VLOOKUP($A301,'ПР 01-02.22'!$A$11:$BB$378,49,FALSE)</f>
        <v>89.552000000000007</v>
      </c>
      <c r="AX301" s="5">
        <f>VLOOKUP($A301,'ПР 01-02.21'!$A$11:$BB$406,50,FALSE)+VLOOKUP($A301,'ПР 21-22'!$A$11:$BB$406,50,FALSE)-VLOOKUP($A301,'ПР 01-02.22'!$A$11:$BB$378,50,FALSE)</f>
        <v>474</v>
      </c>
      <c r="AY301" s="40"/>
      <c r="AZ301" s="40">
        <f t="shared" si="17"/>
        <v>5587.2163295354385</v>
      </c>
      <c r="BA301" s="40">
        <f t="shared" si="17"/>
        <v>2285</v>
      </c>
      <c r="BB301" s="55">
        <f t="shared" si="20"/>
        <v>-3302.2163295354385</v>
      </c>
      <c r="BD301" s="2">
        <v>2</v>
      </c>
      <c r="BF301" s="325">
        <v>150000742</v>
      </c>
    </row>
    <row r="302" spans="1:58" ht="24.9" customHeight="1" x14ac:dyDescent="0.3">
      <c r="A302" s="325">
        <v>150000745</v>
      </c>
      <c r="B302" s="445" t="s">
        <v>134</v>
      </c>
      <c r="C302" s="27">
        <v>1</v>
      </c>
      <c r="D302" s="101" t="s">
        <v>455</v>
      </c>
      <c r="E302" s="279">
        <f>'побудинковий звіт'!E300</f>
        <v>275.3</v>
      </c>
      <c r="F302" s="441">
        <f>'побудинковий звіт'!AS300</f>
        <v>2140.846901569992</v>
      </c>
      <c r="G302" s="441">
        <f t="shared" si="18"/>
        <v>0</v>
      </c>
      <c r="H302" s="73">
        <f t="shared" si="19"/>
        <v>-2140.846901569992</v>
      </c>
      <c r="I302" s="5">
        <f>VLOOKUP($A302,'ПР 01-02.21'!$A$11:$BB$406,9,FALSE)+VLOOKUP($A302,'ПР 21-22'!$A$11:$BB$406,9,FALSE)-VLOOKUP($A302,'ПР 01-02.22'!$A$11:$BB$378,9,FALSE)</f>
        <v>0</v>
      </c>
      <c r="J302" s="5">
        <f>VLOOKUP($A302,'ПР 01-02.21'!$A$11:$BB$406,10,FALSE)+VLOOKUP($A302,'ПР 21-22'!$A$11:$BB$406,10,FALSE)-VLOOKUP($A302,'ПР 01-02.22'!$A$11:$BB$378,10,FALSE)</f>
        <v>0</v>
      </c>
      <c r="K302" s="446"/>
      <c r="L302" s="5">
        <f>VLOOKUP($A302,'ПР 01-02.21'!$A$11:$BB$406,12,FALSE)+VLOOKUP($A302,'ПР 21-22'!$A$11:$BB$406,12,FALSE)-VLOOKUP($A302,'ПР 01-02.22'!$A$11:$BB$378,12,FALSE)</f>
        <v>0</v>
      </c>
      <c r="M302" s="5">
        <f>VLOOKUP($A302,'ПР 01-02.21'!$A$11:$BB$406,13,FALSE)+VLOOKUP($A302,'ПР 21-22'!$A$11:$BB$406,13,FALSE)-VLOOKUP($A302,'ПР 01-02.22'!$A$11:$BB$378,13,FALSE)</f>
        <v>0</v>
      </c>
      <c r="N302" s="38"/>
      <c r="O302" s="5">
        <f>VLOOKUP($A302,'ПР 01-02.21'!$A$11:$BB$406,15,FALSE)+VLOOKUP($A302,'ПР 21-22'!$A$11:$BB$406,15,FALSE)-VLOOKUP($A302,'ПР 01-02.22'!$A$11:$BB$378,15,FALSE)</f>
        <v>0</v>
      </c>
      <c r="P302" s="5">
        <f>VLOOKUP($A302,'ПР 01-02.21'!$A$11:$BB$406,16,FALSE)+VLOOKUP($A302,'ПР 21-22'!$A$11:$BB$406,16,FALSE)-VLOOKUP($A302,'ПР 01-02.22'!$A$11:$BB$378,16,FALSE)</f>
        <v>0</v>
      </c>
      <c r="Q302" s="443"/>
      <c r="R302" s="5">
        <f>VLOOKUP($A302,'ПР 01-02.21'!$A$11:$BB$406,18,FALSE)+VLOOKUP($A302,'ПР 21-22'!$A$11:$BB$406,18,FALSE)-VLOOKUP($A302,'ПР 01-02.22'!$A$11:$BB$378,18,FALSE)</f>
        <v>0</v>
      </c>
      <c r="S302" s="5">
        <f>VLOOKUP($A302,'ПР 01-02.21'!$A$11:$BB$406,19,FALSE)+VLOOKUP($A302,'ПР 21-22'!$A$11:$BB$406,19,FALSE)-VLOOKUP($A302,'ПР 01-02.22'!$A$11:$BB$378,19,FALSE)</f>
        <v>0</v>
      </c>
      <c r="T302" s="444"/>
      <c r="U302" s="5">
        <f>VLOOKUP($A302,'ПР 01-02.21'!$A$11:$BB$406,21,FALSE)+VLOOKUP($A302,'ПР 21-22'!$A$11:$BB$406,21,FALSE)-VLOOKUP($A302,'ПР 01-02.22'!$A$11:$BB$378,21,FALSE)</f>
        <v>0</v>
      </c>
      <c r="V302" s="5"/>
      <c r="W302" s="5">
        <f>VLOOKUP($A302,'ПР 01-02.21'!$A$11:$BB$406,23,FALSE)+VLOOKUP($A302,'ПР 21-22'!$A$11:$BB$406,23,FALSE)-VLOOKUP($A302,'ПР 01-02.22'!$A$11:$BB$378,23,FALSE)</f>
        <v>0</v>
      </c>
      <c r="X302" s="5">
        <f>VLOOKUP($A302,'ПР 01-02.21'!$A$11:$BB$406,24,FALSE)+VLOOKUP($A302,'ПР 21-22'!$A$11:$BB$406,24,FALSE)-VLOOKUP($A302,'ПР 01-02.22'!$A$11:$BB$378,24,FALSE)</f>
        <v>0</v>
      </c>
      <c r="Y302" s="5">
        <f>VLOOKUP($A302,'ПР 01-02.21'!$A$11:$BB$406,25,FALSE)+VLOOKUP($A302,'ПР 21-22'!$A$11:$BB$406,25,FALSE)-VLOOKUP($A302,'ПР 01-02.22'!$A$11:$BB$378,25,FALSE)</f>
        <v>0</v>
      </c>
      <c r="Z302" s="5"/>
      <c r="AA302" s="5">
        <f>VLOOKUP($A302,'ПР 01-02.21'!$A$11:$BB$406,27,FALSE)+VLOOKUP($A302,'ПР 21-22'!$A$11:$BB$406,27,FALSE)-VLOOKUP($A302,'ПР 01-02.22'!$A$11:$BB$378,27,FALSE)</f>
        <v>0</v>
      </c>
      <c r="AB302" s="5">
        <f>VLOOKUP($A302,'ПР 01-02.21'!$A$11:$BB$406,28,FALSE)+VLOOKUP($A302,'ПР 21-22'!$A$11:$BB$406,28,FALSE)-VLOOKUP($A302,'ПР 01-02.22'!$A$11:$BB$378,28,FALSE)</f>
        <v>0</v>
      </c>
      <c r="AC302" s="5">
        <f>VLOOKUP($A302,'ПР 01-02.21'!$A$11:$BB$406,29,FALSE)+VLOOKUP($A302,'ПР 21-22'!$A$11:$BB$406,29,FALSE)-VLOOKUP($A302,'ПР 01-02.22'!$A$11:$BB$378,29,FALSE)</f>
        <v>0</v>
      </c>
      <c r="AD302" s="5">
        <f>VLOOKUP($A302,'ПР 01-02.21'!$A$11:$BB$406,30,FALSE)+VLOOKUP($A302,'ПР 21-22'!$A$11:$BB$406,30,FALSE)-VLOOKUP($A302,'ПР 01-02.22'!$A$11:$BB$378,30,FALSE)</f>
        <v>0</v>
      </c>
      <c r="AE302" s="5">
        <f>VLOOKUP($A302,'ПР 01-02.21'!$A$11:$BB$406,31,FALSE)+VLOOKUP($A302,'ПР 21-22'!$A$11:$BB$406,31,FALSE)-VLOOKUP($A302,'ПР 01-02.22'!$A$11:$BB$378,31,FALSE)</f>
        <v>0</v>
      </c>
      <c r="AF302" s="5">
        <f>VLOOKUP($A302,'ПР 01-02.21'!$A$11:$BB$406,32,FALSE)+VLOOKUP($A302,'ПР 21-22'!$A$11:$BB$406,32,FALSE)-VLOOKUP($A302,'ПР 01-02.22'!$A$11:$BB$378,32,FALSE)</f>
        <v>0</v>
      </c>
      <c r="AG302" s="40"/>
      <c r="AH302" s="5">
        <f>VLOOKUP($A302,'ПР 01-02.21'!$A$11:$BB$406,34,FALSE)+VLOOKUP($A302,'ПР 21-22'!$A$11:$BB$406,34,FALSE)-VLOOKUP($A302,'ПР 01-02.22'!$A$11:$BB$378,34,FALSE)</f>
        <v>0</v>
      </c>
      <c r="AI302" s="5">
        <f>VLOOKUP($A302,'ПР 01-02.21'!$A$11:$BB$406,35,FALSE)+VLOOKUP($A302,'ПР 21-22'!$A$11:$BB$406,35,FALSE)-VLOOKUP($A302,'ПР 01-02.22'!$A$11:$BB$378,35,FALSE)</f>
        <v>0</v>
      </c>
      <c r="AJ302" s="40"/>
      <c r="AK302" s="5">
        <f>VLOOKUP($A302,'ПР 01-02.21'!$A$11:$BB$406,37,FALSE)+VLOOKUP($A302,'ПР 21-22'!$A$11:$BB$406,37,FALSE)-VLOOKUP($A302,'ПР 01-02.22'!$A$11:$BB$378,37,FALSE)</f>
        <v>0</v>
      </c>
      <c r="AL302" s="5">
        <f>VLOOKUP($A302,'ПР 01-02.21'!$A$11:$BB$406,38,FALSE)+VLOOKUP($A302,'ПР 21-22'!$A$11:$BB$406,38,FALSE)-VLOOKUP($A302,'ПР 01-02.22'!$A$11:$BB$378,38,FALSE)</f>
        <v>0</v>
      </c>
      <c r="AM302" s="40"/>
      <c r="AN302" s="5">
        <f>VLOOKUP($A302,'ПР 01-02.21'!$A$11:$BB$406,40,FALSE)+VLOOKUP($A302,'ПР 21-22'!$A$11:$BB$406,40,FALSE)-VLOOKUP($A302,'ПР 01-02.22'!$A$11:$BB$378,40,FALSE)</f>
        <v>0</v>
      </c>
      <c r="AO302" s="5">
        <f>VLOOKUP($A302,'ПР 01-02.21'!$A$11:$BB$406,41,FALSE)+VLOOKUP($A302,'ПР 21-22'!$A$11:$BB$406,41,FALSE)-VLOOKUP($A302,'ПР 01-02.22'!$A$11:$BB$378,41,FALSE)</f>
        <v>0</v>
      </c>
      <c r="AP302" s="40"/>
      <c r="AQ302" s="5">
        <f>VLOOKUP($A302,'ПР 01-02.21'!$A$11:$BB$406,43,FALSE)+VLOOKUP($A302,'ПР 21-22'!$A$11:$BB$406,43,FALSE)-VLOOKUP($A302,'ПР 01-02.22'!$A$11:$BB$378,43,FALSE)</f>
        <v>0</v>
      </c>
      <c r="AR302" s="5">
        <f>VLOOKUP($A302,'ПР 01-02.21'!$A$11:$BB$406,44,FALSE)+VLOOKUP($A302,'ПР 21-22'!$A$11:$BB$406,44,FALSE)-VLOOKUP($A302,'ПР 01-02.22'!$A$11:$BB$378,44,FALSE)</f>
        <v>0</v>
      </c>
      <c r="AS302" s="40"/>
      <c r="AT302" s="5">
        <f>VLOOKUP($A302,'ПР 01-02.21'!$A$11:$BB$406,46,FALSE)+VLOOKUP($A302,'ПР 21-22'!$A$11:$BB$406,46,FALSE)-VLOOKUP($A302,'ПР 01-02.22'!$A$11:$BB$378,46,FALSE)</f>
        <v>0</v>
      </c>
      <c r="AU302" s="5">
        <f>VLOOKUP($A302,'ПР 01-02.21'!$A$11:$BB$406,47,FALSE)+VLOOKUP($A302,'ПР 21-22'!$A$11:$BB$406,47,FALSE)-VLOOKUP($A302,'ПР 01-02.22'!$A$11:$BB$378,47,FALSE)</f>
        <v>0</v>
      </c>
      <c r="AV302" s="40"/>
      <c r="AW302" s="5">
        <f>VLOOKUP($A302,'ПР 01-02.21'!$A$11:$BB$406,49,FALSE)+VLOOKUP($A302,'ПР 21-22'!$A$11:$BB$406,49,FALSE)-VLOOKUP($A302,'ПР 01-02.22'!$A$11:$BB$378,49,FALSE)</f>
        <v>14.012</v>
      </c>
      <c r="AX302" s="5">
        <f>VLOOKUP($A302,'ПР 01-02.21'!$A$11:$BB$406,50,FALSE)+VLOOKUP($A302,'ПР 21-22'!$A$11:$BB$406,50,FALSE)-VLOOKUP($A302,'ПР 01-02.22'!$A$11:$BB$378,50,FALSE)</f>
        <v>0</v>
      </c>
      <c r="AY302" s="40"/>
      <c r="AZ302" s="40">
        <f t="shared" si="17"/>
        <v>14.012</v>
      </c>
      <c r="BA302" s="40">
        <f t="shared" si="17"/>
        <v>0</v>
      </c>
      <c r="BB302" s="55">
        <f t="shared" si="20"/>
        <v>-14.012</v>
      </c>
      <c r="BD302" s="2">
        <v>2</v>
      </c>
      <c r="BF302" s="325">
        <v>150000745</v>
      </c>
    </row>
    <row r="303" spans="1:58" ht="24.9" customHeight="1" x14ac:dyDescent="0.3">
      <c r="A303" s="325">
        <v>150001094</v>
      </c>
      <c r="B303" s="464" t="s">
        <v>186</v>
      </c>
      <c r="C303" s="27">
        <v>2</v>
      </c>
      <c r="D303" s="101" t="s">
        <v>455</v>
      </c>
      <c r="E303" s="279">
        <f>'побудинковий звіт'!E301</f>
        <v>304.89999999999998</v>
      </c>
      <c r="F303" s="441">
        <f>'побудинковий звіт'!AS301</f>
        <v>4475.4051135460768</v>
      </c>
      <c r="G303" s="441">
        <f t="shared" si="18"/>
        <v>0</v>
      </c>
      <c r="H303" s="73">
        <f t="shared" si="19"/>
        <v>-4475.4051135460768</v>
      </c>
      <c r="I303" s="5">
        <f>VLOOKUP($A303,'ПР 01-02.21'!$A$11:$BB$406,9,FALSE)+VLOOKUP($A303,'ПР 21-22'!$A$11:$BB$406,9,FALSE)-VLOOKUP($A303,'ПР 01-02.22'!$A$11:$BB$378,9,FALSE)</f>
        <v>0</v>
      </c>
      <c r="J303" s="5">
        <f>VLOOKUP($A303,'ПР 01-02.21'!$A$11:$BB$406,10,FALSE)+VLOOKUP($A303,'ПР 21-22'!$A$11:$BB$406,10,FALSE)-VLOOKUP($A303,'ПР 01-02.22'!$A$11:$BB$378,10,FALSE)</f>
        <v>0</v>
      </c>
      <c r="K303" s="446"/>
      <c r="L303" s="5">
        <f>VLOOKUP($A303,'ПР 01-02.21'!$A$11:$BB$406,12,FALSE)+VLOOKUP($A303,'ПР 21-22'!$A$11:$BB$406,12,FALSE)-VLOOKUP($A303,'ПР 01-02.22'!$A$11:$BB$378,12,FALSE)</f>
        <v>0</v>
      </c>
      <c r="M303" s="5">
        <f>VLOOKUP($A303,'ПР 01-02.21'!$A$11:$BB$406,13,FALSE)+VLOOKUP($A303,'ПР 21-22'!$A$11:$BB$406,13,FALSE)-VLOOKUP($A303,'ПР 01-02.22'!$A$11:$BB$378,13,FALSE)</f>
        <v>0</v>
      </c>
      <c r="N303" s="38"/>
      <c r="O303" s="5">
        <f>VLOOKUP($A303,'ПР 01-02.21'!$A$11:$BB$406,15,FALSE)+VLOOKUP($A303,'ПР 21-22'!$A$11:$BB$406,15,FALSE)-VLOOKUP($A303,'ПР 01-02.22'!$A$11:$BB$378,15,FALSE)</f>
        <v>0</v>
      </c>
      <c r="P303" s="5">
        <f>VLOOKUP($A303,'ПР 01-02.21'!$A$11:$BB$406,16,FALSE)+VLOOKUP($A303,'ПР 21-22'!$A$11:$BB$406,16,FALSE)-VLOOKUP($A303,'ПР 01-02.22'!$A$11:$BB$378,16,FALSE)</f>
        <v>0</v>
      </c>
      <c r="Q303" s="443"/>
      <c r="R303" s="5">
        <f>VLOOKUP($A303,'ПР 01-02.21'!$A$11:$BB$406,18,FALSE)+VLOOKUP($A303,'ПР 21-22'!$A$11:$BB$406,18,FALSE)-VLOOKUP($A303,'ПР 01-02.22'!$A$11:$BB$378,18,FALSE)</f>
        <v>0</v>
      </c>
      <c r="S303" s="5">
        <f>VLOOKUP($A303,'ПР 01-02.21'!$A$11:$BB$406,19,FALSE)+VLOOKUP($A303,'ПР 21-22'!$A$11:$BB$406,19,FALSE)-VLOOKUP($A303,'ПР 01-02.22'!$A$11:$BB$378,19,FALSE)</f>
        <v>0</v>
      </c>
      <c r="T303" s="444"/>
      <c r="U303" s="5">
        <f>VLOOKUP($A303,'ПР 01-02.21'!$A$11:$BB$406,21,FALSE)+VLOOKUP($A303,'ПР 21-22'!$A$11:$BB$406,21,FALSE)-VLOOKUP($A303,'ПР 01-02.22'!$A$11:$BB$378,21,FALSE)</f>
        <v>0</v>
      </c>
      <c r="V303" s="5"/>
      <c r="W303" s="5">
        <f>VLOOKUP($A303,'ПР 01-02.21'!$A$11:$BB$406,23,FALSE)+VLOOKUP($A303,'ПР 21-22'!$A$11:$BB$406,23,FALSE)-VLOOKUP($A303,'ПР 01-02.22'!$A$11:$BB$378,23,FALSE)</f>
        <v>0</v>
      </c>
      <c r="X303" s="5">
        <f>VLOOKUP($A303,'ПР 01-02.21'!$A$11:$BB$406,24,FALSE)+VLOOKUP($A303,'ПР 21-22'!$A$11:$BB$406,24,FALSE)-VLOOKUP($A303,'ПР 01-02.22'!$A$11:$BB$378,24,FALSE)</f>
        <v>0</v>
      </c>
      <c r="Y303" s="5">
        <f>VLOOKUP($A303,'ПР 01-02.21'!$A$11:$BB$406,25,FALSE)+VLOOKUP($A303,'ПР 21-22'!$A$11:$BB$406,25,FALSE)-VLOOKUP($A303,'ПР 01-02.22'!$A$11:$BB$378,25,FALSE)</f>
        <v>0</v>
      </c>
      <c r="Z303" s="5"/>
      <c r="AA303" s="5">
        <f>VLOOKUP($A303,'ПР 01-02.21'!$A$11:$BB$406,27,FALSE)+VLOOKUP($A303,'ПР 21-22'!$A$11:$BB$406,27,FALSE)-VLOOKUP($A303,'ПР 01-02.22'!$A$11:$BB$378,27,FALSE)</f>
        <v>0</v>
      </c>
      <c r="AB303" s="5">
        <f>VLOOKUP($A303,'ПР 01-02.21'!$A$11:$BB$406,28,FALSE)+VLOOKUP($A303,'ПР 21-22'!$A$11:$BB$406,28,FALSE)-VLOOKUP($A303,'ПР 01-02.22'!$A$11:$BB$378,28,FALSE)</f>
        <v>0</v>
      </c>
      <c r="AC303" s="5">
        <f>VLOOKUP($A303,'ПР 01-02.21'!$A$11:$BB$406,29,FALSE)+VLOOKUP($A303,'ПР 21-22'!$A$11:$BB$406,29,FALSE)-VLOOKUP($A303,'ПР 01-02.22'!$A$11:$BB$378,29,FALSE)</f>
        <v>0</v>
      </c>
      <c r="AD303" s="5">
        <f>VLOOKUP($A303,'ПР 01-02.21'!$A$11:$BB$406,30,FALSE)+VLOOKUP($A303,'ПР 21-22'!$A$11:$BB$406,30,FALSE)-VLOOKUP($A303,'ПР 01-02.22'!$A$11:$BB$378,30,FALSE)</f>
        <v>0</v>
      </c>
      <c r="AE303" s="5">
        <f>VLOOKUP($A303,'ПР 01-02.21'!$A$11:$BB$406,31,FALSE)+VLOOKUP($A303,'ПР 21-22'!$A$11:$BB$406,31,FALSE)-VLOOKUP($A303,'ПР 01-02.22'!$A$11:$BB$378,31,FALSE)</f>
        <v>0</v>
      </c>
      <c r="AF303" s="5">
        <f>VLOOKUP($A303,'ПР 01-02.21'!$A$11:$BB$406,32,FALSE)+VLOOKUP($A303,'ПР 21-22'!$A$11:$BB$406,32,FALSE)-VLOOKUP($A303,'ПР 01-02.22'!$A$11:$BB$378,32,FALSE)</f>
        <v>0</v>
      </c>
      <c r="AG303" s="40"/>
      <c r="AH303" s="5">
        <f>VLOOKUP($A303,'ПР 01-02.21'!$A$11:$BB$406,34,FALSE)+VLOOKUP($A303,'ПР 21-22'!$A$11:$BB$406,34,FALSE)-VLOOKUP($A303,'ПР 01-02.22'!$A$11:$BB$378,34,FALSE)</f>
        <v>0</v>
      </c>
      <c r="AI303" s="5">
        <f>VLOOKUP($A303,'ПР 01-02.21'!$A$11:$BB$406,35,FALSE)+VLOOKUP($A303,'ПР 21-22'!$A$11:$BB$406,35,FALSE)-VLOOKUP($A303,'ПР 01-02.22'!$A$11:$BB$378,35,FALSE)</f>
        <v>0</v>
      </c>
      <c r="AJ303" s="40"/>
      <c r="AK303" s="5">
        <f>VLOOKUP($A303,'ПР 01-02.21'!$A$11:$BB$406,37,FALSE)+VLOOKUP($A303,'ПР 21-22'!$A$11:$BB$406,37,FALSE)-VLOOKUP($A303,'ПР 01-02.22'!$A$11:$BB$378,37,FALSE)</f>
        <v>0</v>
      </c>
      <c r="AL303" s="5">
        <f>VLOOKUP($A303,'ПР 01-02.21'!$A$11:$BB$406,38,FALSE)+VLOOKUP($A303,'ПР 21-22'!$A$11:$BB$406,38,FALSE)-VLOOKUP($A303,'ПР 01-02.22'!$A$11:$BB$378,38,FALSE)</f>
        <v>0</v>
      </c>
      <c r="AM303" s="40"/>
      <c r="AN303" s="5">
        <f>VLOOKUP($A303,'ПР 01-02.21'!$A$11:$BB$406,40,FALSE)+VLOOKUP($A303,'ПР 21-22'!$A$11:$BB$406,40,FALSE)-VLOOKUP($A303,'ПР 01-02.22'!$A$11:$BB$378,40,FALSE)</f>
        <v>0</v>
      </c>
      <c r="AO303" s="5">
        <f>VLOOKUP($A303,'ПР 01-02.21'!$A$11:$BB$406,41,FALSE)+VLOOKUP($A303,'ПР 21-22'!$A$11:$BB$406,41,FALSE)-VLOOKUP($A303,'ПР 01-02.22'!$A$11:$BB$378,41,FALSE)</f>
        <v>0</v>
      </c>
      <c r="AP303" s="40"/>
      <c r="AQ303" s="5">
        <f>VLOOKUP($A303,'ПР 01-02.21'!$A$11:$BB$406,43,FALSE)+VLOOKUP($A303,'ПР 21-22'!$A$11:$BB$406,43,FALSE)-VLOOKUP($A303,'ПР 01-02.22'!$A$11:$BB$378,43,FALSE)</f>
        <v>0</v>
      </c>
      <c r="AR303" s="5">
        <f>VLOOKUP($A303,'ПР 01-02.21'!$A$11:$BB$406,44,FALSE)+VLOOKUP($A303,'ПР 21-22'!$A$11:$BB$406,44,FALSE)-VLOOKUP($A303,'ПР 01-02.22'!$A$11:$BB$378,44,FALSE)</f>
        <v>0</v>
      </c>
      <c r="AS303" s="40"/>
      <c r="AT303" s="5">
        <f>VLOOKUP($A303,'ПР 01-02.21'!$A$11:$BB$406,46,FALSE)+VLOOKUP($A303,'ПР 21-22'!$A$11:$BB$406,46,FALSE)-VLOOKUP($A303,'ПР 01-02.22'!$A$11:$BB$378,46,FALSE)</f>
        <v>121.56975303967388</v>
      </c>
      <c r="AU303" s="5">
        <f>VLOOKUP($A303,'ПР 01-02.21'!$A$11:$BB$406,47,FALSE)+VLOOKUP($A303,'ПР 21-22'!$A$11:$BB$406,47,FALSE)-VLOOKUP($A303,'ПР 01-02.22'!$A$11:$BB$378,47,FALSE)</f>
        <v>0</v>
      </c>
      <c r="AV303" s="40"/>
      <c r="AW303" s="5">
        <f>VLOOKUP($A303,'ПР 01-02.21'!$A$11:$BB$406,49,FALSE)+VLOOKUP($A303,'ПР 21-22'!$A$11:$BB$406,49,FALSE)-VLOOKUP($A303,'ПР 01-02.22'!$A$11:$BB$378,49,FALSE)</f>
        <v>15.200000000000001</v>
      </c>
      <c r="AX303" s="5">
        <f>VLOOKUP($A303,'ПР 01-02.21'!$A$11:$BB$406,50,FALSE)+VLOOKUP($A303,'ПР 21-22'!$A$11:$BB$406,50,FALSE)-VLOOKUP($A303,'ПР 01-02.22'!$A$11:$BB$378,50,FALSE)</f>
        <v>0</v>
      </c>
      <c r="AY303" s="40"/>
      <c r="AZ303" s="40">
        <f t="shared" si="17"/>
        <v>136.76975303967387</v>
      </c>
      <c r="BA303" s="40">
        <f t="shared" si="17"/>
        <v>0</v>
      </c>
      <c r="BB303" s="55">
        <f t="shared" si="20"/>
        <v>-136.76975303967387</v>
      </c>
      <c r="BD303" s="2">
        <v>1</v>
      </c>
      <c r="BF303" s="325">
        <v>150001094</v>
      </c>
    </row>
    <row r="304" spans="1:58" ht="24.9" customHeight="1" x14ac:dyDescent="0.3">
      <c r="A304" s="325">
        <v>150000851</v>
      </c>
      <c r="B304" s="445" t="s">
        <v>135</v>
      </c>
      <c r="C304" s="27">
        <v>1</v>
      </c>
      <c r="D304" s="101" t="s">
        <v>455</v>
      </c>
      <c r="E304" s="279">
        <f>'побудинковий звіт'!E302</f>
        <v>168.1</v>
      </c>
      <c r="F304" s="441">
        <f>'побудинковий звіт'!AS302</f>
        <v>1561.1238809413712</v>
      </c>
      <c r="G304" s="441">
        <f t="shared" si="18"/>
        <v>0</v>
      </c>
      <c r="H304" s="73">
        <f t="shared" si="19"/>
        <v>-1561.1238809413712</v>
      </c>
      <c r="I304" s="5">
        <f>VLOOKUP($A304,'ПР 01-02.21'!$A$11:$BB$406,9,FALSE)+VLOOKUP($A304,'ПР 21-22'!$A$11:$BB$406,9,FALSE)-VLOOKUP($A304,'ПР 01-02.22'!$A$11:$BB$378,9,FALSE)</f>
        <v>0</v>
      </c>
      <c r="J304" s="5">
        <f>VLOOKUP($A304,'ПР 01-02.21'!$A$11:$BB$406,10,FALSE)+VLOOKUP($A304,'ПР 21-22'!$A$11:$BB$406,10,FALSE)-VLOOKUP($A304,'ПР 01-02.22'!$A$11:$BB$378,10,FALSE)</f>
        <v>0</v>
      </c>
      <c r="K304" s="446"/>
      <c r="L304" s="5">
        <f>VLOOKUP($A304,'ПР 01-02.21'!$A$11:$BB$406,12,FALSE)+VLOOKUP($A304,'ПР 21-22'!$A$11:$BB$406,12,FALSE)-VLOOKUP($A304,'ПР 01-02.22'!$A$11:$BB$378,12,FALSE)</f>
        <v>0</v>
      </c>
      <c r="M304" s="5">
        <f>VLOOKUP($A304,'ПР 01-02.21'!$A$11:$BB$406,13,FALSE)+VLOOKUP($A304,'ПР 21-22'!$A$11:$BB$406,13,FALSE)-VLOOKUP($A304,'ПР 01-02.22'!$A$11:$BB$378,13,FALSE)</f>
        <v>0</v>
      </c>
      <c r="N304" s="38"/>
      <c r="O304" s="5">
        <f>VLOOKUP($A304,'ПР 01-02.21'!$A$11:$BB$406,15,FALSE)+VLOOKUP($A304,'ПР 21-22'!$A$11:$BB$406,15,FALSE)-VLOOKUP($A304,'ПР 01-02.22'!$A$11:$BB$378,15,FALSE)</f>
        <v>0</v>
      </c>
      <c r="P304" s="5">
        <f>VLOOKUP($A304,'ПР 01-02.21'!$A$11:$BB$406,16,FALSE)+VLOOKUP($A304,'ПР 21-22'!$A$11:$BB$406,16,FALSE)-VLOOKUP($A304,'ПР 01-02.22'!$A$11:$BB$378,16,FALSE)</f>
        <v>0</v>
      </c>
      <c r="Q304" s="443"/>
      <c r="R304" s="5">
        <f>VLOOKUP($A304,'ПР 01-02.21'!$A$11:$BB$406,18,FALSE)+VLOOKUP($A304,'ПР 21-22'!$A$11:$BB$406,18,FALSE)-VLOOKUP($A304,'ПР 01-02.22'!$A$11:$BB$378,18,FALSE)</f>
        <v>0</v>
      </c>
      <c r="S304" s="5">
        <f>VLOOKUP($A304,'ПР 01-02.21'!$A$11:$BB$406,19,FALSE)+VLOOKUP($A304,'ПР 21-22'!$A$11:$BB$406,19,FALSE)-VLOOKUP($A304,'ПР 01-02.22'!$A$11:$BB$378,19,FALSE)</f>
        <v>0</v>
      </c>
      <c r="T304" s="444"/>
      <c r="U304" s="5">
        <f>VLOOKUP($A304,'ПР 01-02.21'!$A$11:$BB$406,21,FALSE)+VLOOKUP($A304,'ПР 21-22'!$A$11:$BB$406,21,FALSE)-VLOOKUP($A304,'ПР 01-02.22'!$A$11:$BB$378,21,FALSE)</f>
        <v>0</v>
      </c>
      <c r="V304" s="5"/>
      <c r="W304" s="5">
        <f>VLOOKUP($A304,'ПР 01-02.21'!$A$11:$BB$406,23,FALSE)+VLOOKUP($A304,'ПР 21-22'!$A$11:$BB$406,23,FALSE)-VLOOKUP($A304,'ПР 01-02.22'!$A$11:$BB$378,23,FALSE)</f>
        <v>0</v>
      </c>
      <c r="X304" s="5">
        <f>VLOOKUP($A304,'ПР 01-02.21'!$A$11:$BB$406,24,FALSE)+VLOOKUP($A304,'ПР 21-22'!$A$11:$BB$406,24,FALSE)-VLOOKUP($A304,'ПР 01-02.22'!$A$11:$BB$378,24,FALSE)</f>
        <v>0</v>
      </c>
      <c r="Y304" s="5">
        <f>VLOOKUP($A304,'ПР 01-02.21'!$A$11:$BB$406,25,FALSE)+VLOOKUP($A304,'ПР 21-22'!$A$11:$BB$406,25,FALSE)-VLOOKUP($A304,'ПР 01-02.22'!$A$11:$BB$378,25,FALSE)</f>
        <v>0</v>
      </c>
      <c r="Z304" s="5"/>
      <c r="AA304" s="5">
        <f>VLOOKUP($A304,'ПР 01-02.21'!$A$11:$BB$406,27,FALSE)+VLOOKUP($A304,'ПР 21-22'!$A$11:$BB$406,27,FALSE)-VLOOKUP($A304,'ПР 01-02.22'!$A$11:$BB$378,27,FALSE)</f>
        <v>0</v>
      </c>
      <c r="AB304" s="5">
        <f>VLOOKUP($A304,'ПР 01-02.21'!$A$11:$BB$406,28,FALSE)+VLOOKUP($A304,'ПР 21-22'!$A$11:$BB$406,28,FALSE)-VLOOKUP($A304,'ПР 01-02.22'!$A$11:$BB$378,28,FALSE)</f>
        <v>0</v>
      </c>
      <c r="AC304" s="5">
        <f>VLOOKUP($A304,'ПР 01-02.21'!$A$11:$BB$406,29,FALSE)+VLOOKUP($A304,'ПР 21-22'!$A$11:$BB$406,29,FALSE)-VLOOKUP($A304,'ПР 01-02.22'!$A$11:$BB$378,29,FALSE)</f>
        <v>0</v>
      </c>
      <c r="AD304" s="5">
        <f>VLOOKUP($A304,'ПР 01-02.21'!$A$11:$BB$406,30,FALSE)+VLOOKUP($A304,'ПР 21-22'!$A$11:$BB$406,30,FALSE)-VLOOKUP($A304,'ПР 01-02.22'!$A$11:$BB$378,30,FALSE)</f>
        <v>0</v>
      </c>
      <c r="AE304" s="5">
        <f>VLOOKUP($A304,'ПР 01-02.21'!$A$11:$BB$406,31,FALSE)+VLOOKUP($A304,'ПР 21-22'!$A$11:$BB$406,31,FALSE)-VLOOKUP($A304,'ПР 01-02.22'!$A$11:$BB$378,31,FALSE)</f>
        <v>0</v>
      </c>
      <c r="AF304" s="5">
        <f>VLOOKUP($A304,'ПР 01-02.21'!$A$11:$BB$406,32,FALSE)+VLOOKUP($A304,'ПР 21-22'!$A$11:$BB$406,32,FALSE)-VLOOKUP($A304,'ПР 01-02.22'!$A$11:$BB$378,32,FALSE)</f>
        <v>0</v>
      </c>
      <c r="AG304" s="40"/>
      <c r="AH304" s="5">
        <f>VLOOKUP($A304,'ПР 01-02.21'!$A$11:$BB$406,34,FALSE)+VLOOKUP($A304,'ПР 21-22'!$A$11:$BB$406,34,FALSE)-VLOOKUP($A304,'ПР 01-02.22'!$A$11:$BB$378,34,FALSE)</f>
        <v>0</v>
      </c>
      <c r="AI304" s="5">
        <f>VLOOKUP($A304,'ПР 01-02.21'!$A$11:$BB$406,35,FALSE)+VLOOKUP($A304,'ПР 21-22'!$A$11:$BB$406,35,FALSE)-VLOOKUP($A304,'ПР 01-02.22'!$A$11:$BB$378,35,FALSE)</f>
        <v>0</v>
      </c>
      <c r="AJ304" s="40"/>
      <c r="AK304" s="5">
        <f>VLOOKUP($A304,'ПР 01-02.21'!$A$11:$BB$406,37,FALSE)+VLOOKUP($A304,'ПР 21-22'!$A$11:$BB$406,37,FALSE)-VLOOKUP($A304,'ПР 01-02.22'!$A$11:$BB$378,37,FALSE)</f>
        <v>0</v>
      </c>
      <c r="AL304" s="5">
        <f>VLOOKUP($A304,'ПР 01-02.21'!$A$11:$BB$406,38,FALSE)+VLOOKUP($A304,'ПР 21-22'!$A$11:$BB$406,38,FALSE)-VLOOKUP($A304,'ПР 01-02.22'!$A$11:$BB$378,38,FALSE)</f>
        <v>0</v>
      </c>
      <c r="AM304" s="40"/>
      <c r="AN304" s="5">
        <f>VLOOKUP($A304,'ПР 01-02.21'!$A$11:$BB$406,40,FALSE)+VLOOKUP($A304,'ПР 21-22'!$A$11:$BB$406,40,FALSE)-VLOOKUP($A304,'ПР 01-02.22'!$A$11:$BB$378,40,FALSE)</f>
        <v>0</v>
      </c>
      <c r="AO304" s="5">
        <f>VLOOKUP($A304,'ПР 01-02.21'!$A$11:$BB$406,41,FALSE)+VLOOKUP($A304,'ПР 21-22'!$A$11:$BB$406,41,FALSE)-VLOOKUP($A304,'ПР 01-02.22'!$A$11:$BB$378,41,FALSE)</f>
        <v>0</v>
      </c>
      <c r="AP304" s="40"/>
      <c r="AQ304" s="5">
        <f>VLOOKUP($A304,'ПР 01-02.21'!$A$11:$BB$406,43,FALSE)+VLOOKUP($A304,'ПР 21-22'!$A$11:$BB$406,43,FALSE)-VLOOKUP($A304,'ПР 01-02.22'!$A$11:$BB$378,43,FALSE)</f>
        <v>0</v>
      </c>
      <c r="AR304" s="5">
        <f>VLOOKUP($A304,'ПР 01-02.21'!$A$11:$BB$406,44,FALSE)+VLOOKUP($A304,'ПР 21-22'!$A$11:$BB$406,44,FALSE)-VLOOKUP($A304,'ПР 01-02.22'!$A$11:$BB$378,44,FALSE)</f>
        <v>0</v>
      </c>
      <c r="AS304" s="40"/>
      <c r="AT304" s="5">
        <f>VLOOKUP($A304,'ПР 01-02.21'!$A$11:$BB$406,46,FALSE)+VLOOKUP($A304,'ПР 21-22'!$A$11:$BB$406,46,FALSE)-VLOOKUP($A304,'ПР 01-02.22'!$A$11:$BB$378,46,FALSE)</f>
        <v>0</v>
      </c>
      <c r="AU304" s="5">
        <f>VLOOKUP($A304,'ПР 01-02.21'!$A$11:$BB$406,47,FALSE)+VLOOKUP($A304,'ПР 21-22'!$A$11:$BB$406,47,FALSE)-VLOOKUP($A304,'ПР 01-02.22'!$A$11:$BB$378,47,FALSE)</f>
        <v>0</v>
      </c>
      <c r="AV304" s="40"/>
      <c r="AW304" s="5">
        <f>VLOOKUP($A304,'ПР 01-02.21'!$A$11:$BB$406,49,FALSE)+VLOOKUP($A304,'ПР 21-22'!$A$11:$BB$406,49,FALSE)-VLOOKUP($A304,'ПР 01-02.22'!$A$11:$BB$378,49,FALSE)</f>
        <v>8.7240000000000002</v>
      </c>
      <c r="AX304" s="5">
        <f>VLOOKUP($A304,'ПР 01-02.21'!$A$11:$BB$406,50,FALSE)+VLOOKUP($A304,'ПР 21-22'!$A$11:$BB$406,50,FALSE)-VLOOKUP($A304,'ПР 01-02.22'!$A$11:$BB$378,50,FALSE)</f>
        <v>0</v>
      </c>
      <c r="AY304" s="40"/>
      <c r="AZ304" s="40">
        <f t="shared" si="17"/>
        <v>8.7240000000000002</v>
      </c>
      <c r="BA304" s="40">
        <f t="shared" si="17"/>
        <v>0</v>
      </c>
      <c r="BB304" s="55">
        <f t="shared" si="20"/>
        <v>-8.7240000000000002</v>
      </c>
      <c r="BD304" s="2">
        <v>3</v>
      </c>
      <c r="BF304" s="325">
        <v>150000851</v>
      </c>
    </row>
    <row r="305" spans="1:58" ht="24.9" customHeight="1" x14ac:dyDescent="0.3">
      <c r="A305" s="325">
        <v>150000795</v>
      </c>
      <c r="B305" s="445" t="s">
        <v>292</v>
      </c>
      <c r="C305" s="27">
        <v>5</v>
      </c>
      <c r="D305" s="101" t="s">
        <v>455</v>
      </c>
      <c r="E305" s="279">
        <f>'побудинковий звіт'!E303</f>
        <v>2762.24</v>
      </c>
      <c r="F305" s="441">
        <f>'побудинковий звіт'!AS303</f>
        <v>33388.531190601818</v>
      </c>
      <c r="G305" s="441">
        <f t="shared" si="18"/>
        <v>17246</v>
      </c>
      <c r="H305" s="73">
        <f t="shared" si="19"/>
        <v>-16142.531190601818</v>
      </c>
      <c r="I305" s="5">
        <f>VLOOKUP($A305,'ПР 01-02.21'!$A$11:$BB$406,9,FALSE)+VLOOKUP($A305,'ПР 21-22'!$A$11:$BB$406,9,FALSE)-VLOOKUP($A305,'ПР 01-02.22'!$A$11:$BB$378,9,FALSE)</f>
        <v>35</v>
      </c>
      <c r="J305" s="5">
        <f>VLOOKUP($A305,'ПР 01-02.21'!$A$11:$BB$406,10,FALSE)+VLOOKUP($A305,'ПР 21-22'!$A$11:$BB$406,10,FALSE)-VLOOKUP($A305,'ПР 01-02.22'!$A$11:$BB$378,10,FALSE)</f>
        <v>5930</v>
      </c>
      <c r="K305" s="446"/>
      <c r="L305" s="5">
        <f>VLOOKUP($A305,'ПР 01-02.21'!$A$11:$BB$406,12,FALSE)+VLOOKUP($A305,'ПР 21-22'!$A$11:$BB$406,12,FALSE)-VLOOKUP($A305,'ПР 01-02.22'!$A$11:$BB$378,12,FALSE)</f>
        <v>0</v>
      </c>
      <c r="M305" s="5">
        <f>VLOOKUP($A305,'ПР 01-02.21'!$A$11:$BB$406,13,FALSE)+VLOOKUP($A305,'ПР 21-22'!$A$11:$BB$406,13,FALSE)-VLOOKUP($A305,'ПР 01-02.22'!$A$11:$BB$378,13,FALSE)</f>
        <v>0</v>
      </c>
      <c r="N305" s="38"/>
      <c r="O305" s="5">
        <f>VLOOKUP($A305,'ПР 01-02.21'!$A$11:$BB$406,15,FALSE)+VLOOKUP($A305,'ПР 21-22'!$A$11:$BB$406,15,FALSE)-VLOOKUP($A305,'ПР 01-02.22'!$A$11:$BB$378,15,FALSE)</f>
        <v>24</v>
      </c>
      <c r="P305" s="5">
        <f>VLOOKUP($A305,'ПР 01-02.21'!$A$11:$BB$406,16,FALSE)+VLOOKUP($A305,'ПР 21-22'!$A$11:$BB$406,16,FALSE)-VLOOKUP($A305,'ПР 01-02.22'!$A$11:$BB$378,16,FALSE)</f>
        <v>4896</v>
      </c>
      <c r="Q305" s="443"/>
      <c r="R305" s="5">
        <f>VLOOKUP($A305,'ПР 01-02.21'!$A$11:$BB$406,18,FALSE)+VLOOKUP($A305,'ПР 21-22'!$A$11:$BB$406,18,FALSE)-VLOOKUP($A305,'ПР 01-02.22'!$A$11:$BB$378,18,FALSE)</f>
        <v>0</v>
      </c>
      <c r="S305" s="5">
        <f>VLOOKUP($A305,'ПР 01-02.21'!$A$11:$BB$406,19,FALSE)+VLOOKUP($A305,'ПР 21-22'!$A$11:$BB$406,19,FALSE)-VLOOKUP($A305,'ПР 01-02.22'!$A$11:$BB$378,19,FALSE)</f>
        <v>0</v>
      </c>
      <c r="T305" s="444"/>
      <c r="U305" s="5">
        <f>VLOOKUP($A305,'ПР 01-02.21'!$A$11:$BB$406,21,FALSE)+VLOOKUP($A305,'ПР 21-22'!$A$11:$BB$406,21,FALSE)-VLOOKUP($A305,'ПР 01-02.22'!$A$11:$BB$378,21,FALSE)</f>
        <v>0</v>
      </c>
      <c r="V305" s="5"/>
      <c r="W305" s="5">
        <f>VLOOKUP($A305,'ПР 01-02.21'!$A$11:$BB$406,23,FALSE)+VLOOKUP($A305,'ПР 21-22'!$A$11:$BB$406,23,FALSE)-VLOOKUP($A305,'ПР 01-02.22'!$A$11:$BB$378,23,FALSE)</f>
        <v>0</v>
      </c>
      <c r="X305" s="5">
        <f>VLOOKUP($A305,'ПР 01-02.21'!$A$11:$BB$406,24,FALSE)+VLOOKUP($A305,'ПР 21-22'!$A$11:$BB$406,24,FALSE)-VLOOKUP($A305,'ПР 01-02.22'!$A$11:$BB$378,24,FALSE)</f>
        <v>0</v>
      </c>
      <c r="Y305" s="5">
        <f>VLOOKUP($A305,'ПР 01-02.21'!$A$11:$BB$406,25,FALSE)+VLOOKUP($A305,'ПР 21-22'!$A$11:$BB$406,25,FALSE)-VLOOKUP($A305,'ПР 01-02.22'!$A$11:$BB$378,25,FALSE)</f>
        <v>0</v>
      </c>
      <c r="Z305" s="5"/>
      <c r="AA305" s="5">
        <f>VLOOKUP($A305,'ПР 01-02.21'!$A$11:$BB$406,27,FALSE)+VLOOKUP($A305,'ПР 21-22'!$A$11:$BB$406,27,FALSE)-VLOOKUP($A305,'ПР 01-02.22'!$A$11:$BB$378,27,FALSE)</f>
        <v>2815</v>
      </c>
      <c r="AB305" s="5">
        <f>VLOOKUP($A305,'ПР 01-02.21'!$A$11:$BB$406,28,FALSE)+VLOOKUP($A305,'ПР 21-22'!$A$11:$BB$406,28,FALSE)-VLOOKUP($A305,'ПР 01-02.22'!$A$11:$BB$378,28,FALSE)</f>
        <v>0</v>
      </c>
      <c r="AC305" s="5">
        <f>VLOOKUP($A305,'ПР 01-02.21'!$A$11:$BB$406,29,FALSE)+VLOOKUP($A305,'ПР 21-22'!$A$11:$BB$406,29,FALSE)-VLOOKUP($A305,'ПР 01-02.22'!$A$11:$BB$378,29,FALSE)</f>
        <v>2892</v>
      </c>
      <c r="AD305" s="5">
        <f>VLOOKUP($A305,'ПР 01-02.21'!$A$11:$BB$406,30,FALSE)+VLOOKUP($A305,'ПР 21-22'!$A$11:$BB$406,30,FALSE)-VLOOKUP($A305,'ПР 01-02.22'!$A$11:$BB$378,30,FALSE)</f>
        <v>713</v>
      </c>
      <c r="AE305" s="5">
        <f>VLOOKUP($A305,'ПР 01-02.21'!$A$11:$BB$406,31,FALSE)+VLOOKUP($A305,'ПР 21-22'!$A$11:$BB$406,31,FALSE)-VLOOKUP($A305,'ПР 01-02.22'!$A$11:$BB$378,31,FALSE)</f>
        <v>2763.3973494922698</v>
      </c>
      <c r="AF305" s="5">
        <f>VLOOKUP($A305,'ПР 01-02.21'!$A$11:$BB$406,32,FALSE)+VLOOKUP($A305,'ПР 21-22'!$A$11:$BB$406,32,FALSE)-VLOOKUP($A305,'ПР 01-02.22'!$A$11:$BB$378,32,FALSE)</f>
        <v>0</v>
      </c>
      <c r="AG305" s="40"/>
      <c r="AH305" s="5">
        <f>VLOOKUP($A305,'ПР 01-02.21'!$A$11:$BB$406,34,FALSE)+VLOOKUP($A305,'ПР 21-22'!$A$11:$BB$406,34,FALSE)-VLOOKUP($A305,'ПР 01-02.22'!$A$11:$BB$378,34,FALSE)</f>
        <v>3642.9928788840521</v>
      </c>
      <c r="AI305" s="5">
        <f>VLOOKUP($A305,'ПР 01-02.21'!$A$11:$BB$406,35,FALSE)+VLOOKUP($A305,'ПР 21-22'!$A$11:$BB$406,35,FALSE)-VLOOKUP($A305,'ПР 01-02.22'!$A$11:$BB$378,35,FALSE)</f>
        <v>0</v>
      </c>
      <c r="AJ305" s="40"/>
      <c r="AK305" s="5">
        <f>VLOOKUP($A305,'ПР 01-02.21'!$A$11:$BB$406,37,FALSE)+VLOOKUP($A305,'ПР 21-22'!$A$11:$BB$406,37,FALSE)-VLOOKUP($A305,'ПР 01-02.22'!$A$11:$BB$378,37,FALSE)</f>
        <v>0</v>
      </c>
      <c r="AL305" s="5">
        <f>VLOOKUP($A305,'ПР 01-02.21'!$A$11:$BB$406,38,FALSE)+VLOOKUP($A305,'ПР 21-22'!$A$11:$BB$406,38,FALSE)-VLOOKUP($A305,'ПР 01-02.22'!$A$11:$BB$378,38,FALSE)</f>
        <v>0</v>
      </c>
      <c r="AM305" s="40"/>
      <c r="AN305" s="5">
        <f>VLOOKUP($A305,'ПР 01-02.21'!$A$11:$BB$406,40,FALSE)+VLOOKUP($A305,'ПР 21-22'!$A$11:$BB$406,40,FALSE)-VLOOKUP($A305,'ПР 01-02.22'!$A$11:$BB$378,40,FALSE)</f>
        <v>0</v>
      </c>
      <c r="AO305" s="5">
        <f>VLOOKUP($A305,'ПР 01-02.21'!$A$11:$BB$406,41,FALSE)+VLOOKUP($A305,'ПР 21-22'!$A$11:$BB$406,41,FALSE)-VLOOKUP($A305,'ПР 01-02.22'!$A$11:$BB$378,41,FALSE)</f>
        <v>0</v>
      </c>
      <c r="AP305" s="40"/>
      <c r="AQ305" s="5">
        <f>VLOOKUP($A305,'ПР 01-02.21'!$A$11:$BB$406,43,FALSE)+VLOOKUP($A305,'ПР 21-22'!$A$11:$BB$406,43,FALSE)-VLOOKUP($A305,'ПР 01-02.22'!$A$11:$BB$378,43,FALSE)</f>
        <v>0</v>
      </c>
      <c r="AR305" s="5">
        <f>VLOOKUP($A305,'ПР 01-02.21'!$A$11:$BB$406,44,FALSE)+VLOOKUP($A305,'ПР 21-22'!$A$11:$BB$406,44,FALSE)-VLOOKUP($A305,'ПР 01-02.22'!$A$11:$BB$378,44,FALSE)</f>
        <v>0</v>
      </c>
      <c r="AS305" s="40"/>
      <c r="AT305" s="5">
        <f>VLOOKUP($A305,'ПР 01-02.21'!$A$11:$BB$406,46,FALSE)+VLOOKUP($A305,'ПР 21-22'!$A$11:$BB$406,46,FALSE)-VLOOKUP($A305,'ПР 01-02.22'!$A$11:$BB$378,46,FALSE)</f>
        <v>2366.4438239675756</v>
      </c>
      <c r="AU305" s="5">
        <f>VLOOKUP($A305,'ПР 01-02.21'!$A$11:$BB$406,47,FALSE)+VLOOKUP($A305,'ПР 21-22'!$A$11:$BB$406,47,FALSE)-VLOOKUP($A305,'ПР 01-02.22'!$A$11:$BB$378,47,FALSE)</f>
        <v>353</v>
      </c>
      <c r="AV305" s="40"/>
      <c r="AW305" s="5">
        <f>VLOOKUP($A305,'ПР 01-02.21'!$A$11:$BB$406,49,FALSE)+VLOOKUP($A305,'ПР 21-22'!$A$11:$BB$406,49,FALSE)-VLOOKUP($A305,'ПР 01-02.22'!$A$11:$BB$378,49,FALSE)</f>
        <v>138.4896</v>
      </c>
      <c r="AX305" s="5">
        <f>VLOOKUP($A305,'ПР 01-02.21'!$A$11:$BB$406,50,FALSE)+VLOOKUP($A305,'ПР 21-22'!$A$11:$BB$406,50,FALSE)-VLOOKUP($A305,'ПР 01-02.22'!$A$11:$BB$378,50,FALSE)</f>
        <v>0</v>
      </c>
      <c r="AY305" s="40"/>
      <c r="AZ305" s="40">
        <f t="shared" si="17"/>
        <v>8911.3236523438973</v>
      </c>
      <c r="BA305" s="40">
        <f t="shared" si="17"/>
        <v>353</v>
      </c>
      <c r="BB305" s="55">
        <f t="shared" si="20"/>
        <v>-8558.3236523438973</v>
      </c>
      <c r="BD305" s="2">
        <v>3</v>
      </c>
      <c r="BF305" s="325">
        <v>150000795</v>
      </c>
    </row>
    <row r="306" spans="1:58" ht="24.9" customHeight="1" x14ac:dyDescent="0.3">
      <c r="A306" s="325">
        <v>150000832</v>
      </c>
      <c r="B306" s="445" t="s">
        <v>423</v>
      </c>
      <c r="C306" s="27">
        <v>10</v>
      </c>
      <c r="D306" s="101" t="s">
        <v>455</v>
      </c>
      <c r="E306" s="279">
        <f>'побудинковий звіт'!E304</f>
        <v>4396.8</v>
      </c>
      <c r="F306" s="441">
        <f>'побудинковий звіт'!AS304</f>
        <v>49232.24965093928</v>
      </c>
      <c r="G306" s="441">
        <f t="shared" si="18"/>
        <v>10293.64</v>
      </c>
      <c r="H306" s="73">
        <f t="shared" si="19"/>
        <v>-38938.609650939281</v>
      </c>
      <c r="I306" s="5">
        <f>VLOOKUP($A306,'ПР 01-02.21'!$A$11:$BB$406,9,FALSE)+VLOOKUP($A306,'ПР 21-22'!$A$11:$BB$406,9,FALSE)-VLOOKUP($A306,'ПР 01-02.22'!$A$11:$BB$378,9,FALSE)</f>
        <v>0</v>
      </c>
      <c r="J306" s="5">
        <f>VLOOKUP($A306,'ПР 01-02.21'!$A$11:$BB$406,10,FALSE)+VLOOKUP($A306,'ПР 21-22'!$A$11:$BB$406,10,FALSE)-VLOOKUP($A306,'ПР 01-02.22'!$A$11:$BB$378,10,FALSE)</f>
        <v>0</v>
      </c>
      <c r="K306" s="446"/>
      <c r="L306" s="5">
        <f>VLOOKUP($A306,'ПР 01-02.21'!$A$11:$BB$406,12,FALSE)+VLOOKUP($A306,'ПР 21-22'!$A$11:$BB$406,12,FALSE)-VLOOKUP($A306,'ПР 01-02.22'!$A$11:$BB$378,12,FALSE)</f>
        <v>0</v>
      </c>
      <c r="M306" s="5">
        <f>VLOOKUP($A306,'ПР 01-02.21'!$A$11:$BB$406,13,FALSE)+VLOOKUP($A306,'ПР 21-22'!$A$11:$BB$406,13,FALSE)-VLOOKUP($A306,'ПР 01-02.22'!$A$11:$BB$378,13,FALSE)</f>
        <v>1848.72</v>
      </c>
      <c r="N306" s="38"/>
      <c r="O306" s="5">
        <f>VLOOKUP($A306,'ПР 01-02.21'!$A$11:$BB$406,15,FALSE)+VLOOKUP($A306,'ПР 21-22'!$A$11:$BB$406,15,FALSE)-VLOOKUP($A306,'ПР 01-02.22'!$A$11:$BB$378,15,FALSE)</f>
        <v>0</v>
      </c>
      <c r="P306" s="5">
        <f>VLOOKUP($A306,'ПР 01-02.21'!$A$11:$BB$406,16,FALSE)+VLOOKUP($A306,'ПР 21-22'!$A$11:$BB$406,16,FALSE)-VLOOKUP($A306,'ПР 01-02.22'!$A$11:$BB$378,16,FALSE)</f>
        <v>0</v>
      </c>
      <c r="Q306" s="443"/>
      <c r="R306" s="5">
        <f>VLOOKUP($A306,'ПР 01-02.21'!$A$11:$BB$406,18,FALSE)+VLOOKUP($A306,'ПР 21-22'!$A$11:$BB$406,18,FALSE)-VLOOKUP($A306,'ПР 01-02.22'!$A$11:$BB$378,18,FALSE)</f>
        <v>1</v>
      </c>
      <c r="S306" s="5">
        <f>VLOOKUP($A306,'ПР 01-02.21'!$A$11:$BB$406,19,FALSE)+VLOOKUP($A306,'ПР 21-22'!$A$11:$BB$406,19,FALSE)-VLOOKUP($A306,'ПР 01-02.22'!$A$11:$BB$378,19,FALSE)</f>
        <v>482</v>
      </c>
      <c r="T306" s="444"/>
      <c r="U306" s="5">
        <f>VLOOKUP($A306,'ПР 01-02.21'!$A$11:$BB$406,21,FALSE)+VLOOKUP($A306,'ПР 21-22'!$A$11:$BB$406,21,FALSE)-VLOOKUP($A306,'ПР 01-02.22'!$A$11:$BB$378,21,FALSE)</f>
        <v>0</v>
      </c>
      <c r="V306" s="5"/>
      <c r="W306" s="5">
        <f>VLOOKUP($A306,'ПР 01-02.21'!$A$11:$BB$406,23,FALSE)+VLOOKUP($A306,'ПР 21-22'!$A$11:$BB$406,23,FALSE)-VLOOKUP($A306,'ПР 01-02.22'!$A$11:$BB$378,23,FALSE)</f>
        <v>0</v>
      </c>
      <c r="X306" s="5">
        <f>VLOOKUP($A306,'ПР 01-02.21'!$A$11:$BB$406,24,FALSE)+VLOOKUP($A306,'ПР 21-22'!$A$11:$BB$406,24,FALSE)-VLOOKUP($A306,'ПР 01-02.22'!$A$11:$BB$378,24,FALSE)</f>
        <v>0</v>
      </c>
      <c r="Y306" s="5">
        <f>VLOOKUP($A306,'ПР 01-02.21'!$A$11:$BB$406,25,FALSE)+VLOOKUP($A306,'ПР 21-22'!$A$11:$BB$406,25,FALSE)-VLOOKUP($A306,'ПР 01-02.22'!$A$11:$BB$378,25,FALSE)</f>
        <v>0</v>
      </c>
      <c r="Z306" s="5"/>
      <c r="AA306" s="5">
        <f>VLOOKUP($A306,'ПР 01-02.21'!$A$11:$BB$406,27,FALSE)+VLOOKUP($A306,'ПР 21-22'!$A$11:$BB$406,27,FALSE)-VLOOKUP($A306,'ПР 01-02.22'!$A$11:$BB$378,27,FALSE)</f>
        <v>0</v>
      </c>
      <c r="AB306" s="5">
        <f>VLOOKUP($A306,'ПР 01-02.21'!$A$11:$BB$406,28,FALSE)+VLOOKUP($A306,'ПР 21-22'!$A$11:$BB$406,28,FALSE)-VLOOKUP($A306,'ПР 01-02.22'!$A$11:$BB$378,28,FALSE)</f>
        <v>832.06999999999994</v>
      </c>
      <c r="AC306" s="5">
        <f>VLOOKUP($A306,'ПР 01-02.21'!$A$11:$BB$406,29,FALSE)+VLOOKUP($A306,'ПР 21-22'!$A$11:$BB$406,29,FALSE)-VLOOKUP($A306,'ПР 01-02.22'!$A$11:$BB$378,29,FALSE)</f>
        <v>4842</v>
      </c>
      <c r="AD306" s="5">
        <f>VLOOKUP($A306,'ПР 01-02.21'!$A$11:$BB$406,30,FALSE)+VLOOKUP($A306,'ПР 21-22'!$A$11:$BB$406,30,FALSE)-VLOOKUP($A306,'ПР 01-02.22'!$A$11:$BB$378,30,FALSE)</f>
        <v>2288.85</v>
      </c>
      <c r="AE306" s="5">
        <f>VLOOKUP($A306,'ПР 01-02.21'!$A$11:$BB$406,31,FALSE)+VLOOKUP($A306,'ПР 21-22'!$A$11:$BB$406,31,FALSE)-VLOOKUP($A306,'ПР 01-02.22'!$A$11:$BB$378,31,FALSE)</f>
        <v>3280.8894436266255</v>
      </c>
      <c r="AF306" s="5">
        <f>VLOOKUP($A306,'ПР 01-02.21'!$A$11:$BB$406,32,FALSE)+VLOOKUP($A306,'ПР 21-22'!$A$11:$BB$406,32,FALSE)-VLOOKUP($A306,'ПР 01-02.22'!$A$11:$BB$378,32,FALSE)</f>
        <v>522</v>
      </c>
      <c r="AG306" s="40"/>
      <c r="AH306" s="5">
        <f>VLOOKUP($A306,'ПР 01-02.21'!$A$11:$BB$406,34,FALSE)+VLOOKUP($A306,'ПР 21-22'!$A$11:$BB$406,34,FALSE)-VLOOKUP($A306,'ПР 01-02.22'!$A$11:$BB$378,34,FALSE)</f>
        <v>3416.7624735792483</v>
      </c>
      <c r="AI306" s="5">
        <f>VLOOKUP($A306,'ПР 01-02.21'!$A$11:$BB$406,35,FALSE)+VLOOKUP($A306,'ПР 21-22'!$A$11:$BB$406,35,FALSE)-VLOOKUP($A306,'ПР 01-02.22'!$A$11:$BB$378,35,FALSE)</f>
        <v>0</v>
      </c>
      <c r="AJ306" s="40"/>
      <c r="AK306" s="5">
        <f>VLOOKUP($A306,'ПР 01-02.21'!$A$11:$BB$406,37,FALSE)+VLOOKUP($A306,'ПР 21-22'!$A$11:$BB$406,37,FALSE)-VLOOKUP($A306,'ПР 01-02.22'!$A$11:$BB$378,37,FALSE)</f>
        <v>1550.455513839765</v>
      </c>
      <c r="AL306" s="5">
        <f>VLOOKUP($A306,'ПР 01-02.21'!$A$11:$BB$406,38,FALSE)+VLOOKUP($A306,'ПР 21-22'!$A$11:$BB$406,38,FALSE)-VLOOKUP($A306,'ПР 01-02.22'!$A$11:$BB$378,38,FALSE)</f>
        <v>0</v>
      </c>
      <c r="AM306" s="40"/>
      <c r="AN306" s="5">
        <f>VLOOKUP($A306,'ПР 01-02.21'!$A$11:$BB$406,40,FALSE)+VLOOKUP($A306,'ПР 21-22'!$A$11:$BB$406,40,FALSE)-VLOOKUP($A306,'ПР 01-02.22'!$A$11:$BB$378,40,FALSE)</f>
        <v>2809.5904690510524</v>
      </c>
      <c r="AO306" s="5">
        <f>VLOOKUP($A306,'ПР 01-02.21'!$A$11:$BB$406,41,FALSE)+VLOOKUP($A306,'ПР 21-22'!$A$11:$BB$406,41,FALSE)-VLOOKUP($A306,'ПР 01-02.22'!$A$11:$BB$378,41,FALSE)</f>
        <v>0</v>
      </c>
      <c r="AP306" s="40"/>
      <c r="AQ306" s="5">
        <f>VLOOKUP($A306,'ПР 01-02.21'!$A$11:$BB$406,43,FALSE)+VLOOKUP($A306,'ПР 21-22'!$A$11:$BB$406,43,FALSE)-VLOOKUP($A306,'ПР 01-02.22'!$A$11:$BB$378,43,FALSE)</f>
        <v>869.31735669799991</v>
      </c>
      <c r="AR306" s="5">
        <f>VLOOKUP($A306,'ПР 01-02.21'!$A$11:$BB$406,44,FALSE)+VLOOKUP($A306,'ПР 21-22'!$A$11:$BB$406,44,FALSE)-VLOOKUP($A306,'ПР 01-02.22'!$A$11:$BB$378,44,FALSE)</f>
        <v>0</v>
      </c>
      <c r="AS306" s="40"/>
      <c r="AT306" s="5">
        <f>VLOOKUP($A306,'ПР 01-02.21'!$A$11:$BB$406,46,FALSE)+VLOOKUP($A306,'ПР 21-22'!$A$11:$BB$406,46,FALSE)-VLOOKUP($A306,'ПР 01-02.22'!$A$11:$BB$378,46,FALSE)</f>
        <v>1583.0795616898113</v>
      </c>
      <c r="AU306" s="5">
        <f>VLOOKUP($A306,'ПР 01-02.21'!$A$11:$BB$406,47,FALSE)+VLOOKUP($A306,'ПР 21-22'!$A$11:$BB$406,47,FALSE)-VLOOKUP($A306,'ПР 01-02.22'!$A$11:$BB$378,47,FALSE)</f>
        <v>1695</v>
      </c>
      <c r="AV306" s="40"/>
      <c r="AW306" s="5">
        <f>VLOOKUP($A306,'ПР 01-02.21'!$A$11:$BB$406,49,FALSE)+VLOOKUP($A306,'ПР 21-22'!$A$11:$BB$406,49,FALSE)-VLOOKUP($A306,'ПР 01-02.22'!$A$11:$BB$378,49,FALSE)</f>
        <v>419.88225552185753</v>
      </c>
      <c r="AX306" s="5">
        <f>VLOOKUP($A306,'ПР 01-02.21'!$A$11:$BB$406,50,FALSE)+VLOOKUP($A306,'ПР 21-22'!$A$11:$BB$406,50,FALSE)-VLOOKUP($A306,'ПР 01-02.22'!$A$11:$BB$378,50,FALSE)</f>
        <v>0</v>
      </c>
      <c r="AY306" s="40"/>
      <c r="AZ306" s="40">
        <f t="shared" ref="AZ306:BA364" si="21">AE306+AH306+AK306+AN306+AQ306+AT306+AW306</f>
        <v>13929.977074006361</v>
      </c>
      <c r="BA306" s="40">
        <f t="shared" si="21"/>
        <v>2217</v>
      </c>
      <c r="BB306" s="55">
        <f t="shared" si="20"/>
        <v>-11712.977074006361</v>
      </c>
      <c r="BD306" s="2">
        <v>1</v>
      </c>
      <c r="BF306" s="325">
        <v>150000832</v>
      </c>
    </row>
    <row r="307" spans="1:58" ht="24.9" customHeight="1" x14ac:dyDescent="0.3">
      <c r="A307" s="325">
        <v>150000833</v>
      </c>
      <c r="B307" s="445" t="s">
        <v>393</v>
      </c>
      <c r="C307" s="27">
        <v>9</v>
      </c>
      <c r="D307" s="101" t="s">
        <v>455</v>
      </c>
      <c r="E307" s="279">
        <f>'побудинковий звіт'!E305</f>
        <v>4752.1000000000004</v>
      </c>
      <c r="F307" s="441">
        <f>'побудинковий звіт'!AS305</f>
        <v>54089.454487239374</v>
      </c>
      <c r="G307" s="441">
        <f t="shared" si="18"/>
        <v>75914.8</v>
      </c>
      <c r="H307" s="73">
        <f t="shared" si="19"/>
        <v>21825.345512760628</v>
      </c>
      <c r="I307" s="5">
        <f>VLOOKUP($A307,'ПР 01-02.21'!$A$11:$BB$406,9,FALSE)+VLOOKUP($A307,'ПР 21-22'!$A$11:$BB$406,9,FALSE)-VLOOKUP($A307,'ПР 01-02.22'!$A$11:$BB$378,9,FALSE)</f>
        <v>270.89999999999998</v>
      </c>
      <c r="J307" s="5">
        <f>VLOOKUP($A307,'ПР 01-02.21'!$A$11:$BB$406,10,FALSE)+VLOOKUP($A307,'ПР 21-22'!$A$11:$BB$406,10,FALSE)-VLOOKUP($A307,'ПР 01-02.22'!$A$11:$BB$378,10,FALSE)</f>
        <v>44456.61</v>
      </c>
      <c r="K307" s="450"/>
      <c r="L307" s="5">
        <f>VLOOKUP($A307,'ПР 01-02.21'!$A$11:$BB$406,12,FALSE)+VLOOKUP($A307,'ПР 21-22'!$A$11:$BB$406,12,FALSE)-VLOOKUP($A307,'ПР 01-02.22'!$A$11:$BB$378,12,FALSE)</f>
        <v>0</v>
      </c>
      <c r="M307" s="5">
        <f>VLOOKUP($A307,'ПР 01-02.21'!$A$11:$BB$406,13,FALSE)+VLOOKUP($A307,'ПР 21-22'!$A$11:$BB$406,13,FALSE)-VLOOKUP($A307,'ПР 01-02.22'!$A$11:$BB$378,13,FALSE)</f>
        <v>263.73999999999978</v>
      </c>
      <c r="N307" s="38"/>
      <c r="O307" s="5">
        <f>VLOOKUP($A307,'ПР 01-02.21'!$A$11:$BB$406,15,FALSE)+VLOOKUP($A307,'ПР 21-22'!$A$11:$BB$406,15,FALSE)-VLOOKUP($A307,'ПР 01-02.22'!$A$11:$BB$378,15,FALSE)</f>
        <v>0</v>
      </c>
      <c r="P307" s="5">
        <f>VLOOKUP($A307,'ПР 01-02.21'!$A$11:$BB$406,16,FALSE)+VLOOKUP($A307,'ПР 21-22'!$A$11:$BB$406,16,FALSE)-VLOOKUP($A307,'ПР 01-02.22'!$A$11:$BB$378,16,FALSE)</f>
        <v>0</v>
      </c>
      <c r="Q307" s="443"/>
      <c r="R307" s="5">
        <f>VLOOKUP($A307,'ПР 01-02.21'!$A$11:$BB$406,18,FALSE)+VLOOKUP($A307,'ПР 21-22'!$A$11:$BB$406,18,FALSE)-VLOOKUP($A307,'ПР 01-02.22'!$A$11:$BB$378,18,FALSE)</f>
        <v>2</v>
      </c>
      <c r="S307" s="5">
        <f>VLOOKUP($A307,'ПР 01-02.21'!$A$11:$BB$406,19,FALSE)+VLOOKUP($A307,'ПР 21-22'!$A$11:$BB$406,19,FALSE)-VLOOKUP($A307,'ПР 01-02.22'!$A$11:$BB$378,19,FALSE)</f>
        <v>5533</v>
      </c>
      <c r="T307" s="444"/>
      <c r="U307" s="5">
        <f>VLOOKUP($A307,'ПР 01-02.21'!$A$11:$BB$406,21,FALSE)+VLOOKUP($A307,'ПР 21-22'!$A$11:$BB$406,21,FALSE)-VLOOKUP($A307,'ПР 01-02.22'!$A$11:$BB$378,21,FALSE)</f>
        <v>16598</v>
      </c>
      <c r="V307" s="5"/>
      <c r="W307" s="5">
        <f>VLOOKUP($A307,'ПР 01-02.21'!$A$11:$BB$406,23,FALSE)+VLOOKUP($A307,'ПР 21-22'!$A$11:$BB$406,23,FALSE)-VLOOKUP($A307,'ПР 01-02.22'!$A$11:$BB$378,23,FALSE)</f>
        <v>9</v>
      </c>
      <c r="X307" s="5">
        <f>VLOOKUP($A307,'ПР 01-02.21'!$A$11:$BB$406,24,FALSE)+VLOOKUP($A307,'ПР 21-22'!$A$11:$BB$406,24,FALSE)-VLOOKUP($A307,'ПР 01-02.22'!$A$11:$BB$378,24,FALSE)</f>
        <v>2874</v>
      </c>
      <c r="Y307" s="5">
        <f>VLOOKUP($A307,'ПР 01-02.21'!$A$11:$BB$406,25,FALSE)+VLOOKUP($A307,'ПР 21-22'!$A$11:$BB$406,25,FALSE)-VLOOKUP($A307,'ПР 01-02.22'!$A$11:$BB$378,25,FALSE)</f>
        <v>3084</v>
      </c>
      <c r="Z307" s="5"/>
      <c r="AA307" s="5">
        <f>VLOOKUP($A307,'ПР 01-02.21'!$A$11:$BB$406,27,FALSE)+VLOOKUP($A307,'ПР 21-22'!$A$11:$BB$406,27,FALSE)-VLOOKUP($A307,'ПР 01-02.22'!$A$11:$BB$378,27,FALSE)</f>
        <v>0</v>
      </c>
      <c r="AB307" s="5">
        <f>VLOOKUP($A307,'ПР 01-02.21'!$A$11:$BB$406,28,FALSE)+VLOOKUP($A307,'ПР 21-22'!$A$11:$BB$406,28,FALSE)-VLOOKUP($A307,'ПР 01-02.22'!$A$11:$BB$378,28,FALSE)</f>
        <v>0</v>
      </c>
      <c r="AC307" s="5">
        <f>VLOOKUP($A307,'ПР 01-02.21'!$A$11:$BB$406,29,FALSE)+VLOOKUP($A307,'ПР 21-22'!$A$11:$BB$406,29,FALSE)-VLOOKUP($A307,'ПР 01-02.22'!$A$11:$BB$378,29,FALSE)</f>
        <v>322</v>
      </c>
      <c r="AD307" s="5">
        <f>VLOOKUP($A307,'ПР 01-02.21'!$A$11:$BB$406,30,FALSE)+VLOOKUP($A307,'ПР 21-22'!$A$11:$BB$406,30,FALSE)-VLOOKUP($A307,'ПР 01-02.22'!$A$11:$BB$378,30,FALSE)</f>
        <v>2783.45</v>
      </c>
      <c r="AE307" s="5">
        <f>VLOOKUP($A307,'ПР 01-02.21'!$A$11:$BB$406,31,FALSE)+VLOOKUP($A307,'ПР 21-22'!$A$11:$BB$406,31,FALSE)-VLOOKUP($A307,'ПР 01-02.22'!$A$11:$BB$378,31,FALSE)</f>
        <v>3130.8041790749899</v>
      </c>
      <c r="AF307" s="5">
        <f>VLOOKUP($A307,'ПР 01-02.21'!$A$11:$BB$406,32,FALSE)+VLOOKUP($A307,'ПР 21-22'!$A$11:$BB$406,32,FALSE)-VLOOKUP($A307,'ПР 01-02.22'!$A$11:$BB$378,32,FALSE)</f>
        <v>500</v>
      </c>
      <c r="AG307" s="40"/>
      <c r="AH307" s="5">
        <f>VLOOKUP($A307,'ПР 01-02.21'!$A$11:$BB$406,34,FALSE)+VLOOKUP($A307,'ПР 21-22'!$A$11:$BB$406,34,FALSE)-VLOOKUP($A307,'ПР 01-02.22'!$A$11:$BB$378,34,FALSE)</f>
        <v>3002.1848631212592</v>
      </c>
      <c r="AI307" s="5">
        <f>VLOOKUP($A307,'ПР 01-02.21'!$A$11:$BB$406,35,FALSE)+VLOOKUP($A307,'ПР 21-22'!$A$11:$BB$406,35,FALSE)-VLOOKUP($A307,'ПР 01-02.22'!$A$11:$BB$378,35,FALSE)</f>
        <v>2162</v>
      </c>
      <c r="AJ307" s="40"/>
      <c r="AK307" s="5">
        <f>VLOOKUP($A307,'ПР 01-02.21'!$A$11:$BB$406,37,FALSE)+VLOOKUP($A307,'ПР 21-22'!$A$11:$BB$406,37,FALSE)-VLOOKUP($A307,'ПР 01-02.22'!$A$11:$BB$378,37,FALSE)</f>
        <v>1660.7208249678984</v>
      </c>
      <c r="AL307" s="5">
        <f>VLOOKUP($A307,'ПР 01-02.21'!$A$11:$BB$406,38,FALSE)+VLOOKUP($A307,'ПР 21-22'!$A$11:$BB$406,38,FALSE)-VLOOKUP($A307,'ПР 01-02.22'!$A$11:$BB$378,38,FALSE)</f>
        <v>0</v>
      </c>
      <c r="AM307" s="40"/>
      <c r="AN307" s="5">
        <f>VLOOKUP($A307,'ПР 01-02.21'!$A$11:$BB$406,40,FALSE)+VLOOKUP($A307,'ПР 21-22'!$A$11:$BB$406,40,FALSE)-VLOOKUP($A307,'ПР 01-02.22'!$A$11:$BB$378,40,FALSE)</f>
        <v>2954.2782010350847</v>
      </c>
      <c r="AO307" s="5">
        <f>VLOOKUP($A307,'ПР 01-02.21'!$A$11:$BB$406,41,FALSE)+VLOOKUP($A307,'ПР 21-22'!$A$11:$BB$406,41,FALSE)-VLOOKUP($A307,'ПР 01-02.22'!$A$11:$BB$378,41,FALSE)</f>
        <v>0</v>
      </c>
      <c r="AP307" s="40"/>
      <c r="AQ307" s="5">
        <f>VLOOKUP($A307,'ПР 01-02.21'!$A$11:$BB$406,43,FALSE)+VLOOKUP($A307,'ПР 21-22'!$A$11:$BB$406,43,FALSE)-VLOOKUP($A307,'ПР 01-02.22'!$A$11:$BB$378,43,FALSE)</f>
        <v>1313.1728621072041</v>
      </c>
      <c r="AR307" s="5">
        <f>VLOOKUP($A307,'ПР 01-02.21'!$A$11:$BB$406,44,FALSE)+VLOOKUP($A307,'ПР 21-22'!$A$11:$BB$406,44,FALSE)-VLOOKUP($A307,'ПР 01-02.22'!$A$11:$BB$378,44,FALSE)</f>
        <v>1141</v>
      </c>
      <c r="AS307" s="40"/>
      <c r="AT307" s="5">
        <f>VLOOKUP($A307,'ПР 01-02.21'!$A$11:$BB$406,46,FALSE)+VLOOKUP($A307,'ПР 21-22'!$A$11:$BB$406,46,FALSE)-VLOOKUP($A307,'ПР 01-02.22'!$A$11:$BB$378,46,FALSE)</f>
        <v>1437.9391266206271</v>
      </c>
      <c r="AU307" s="5">
        <f>VLOOKUP($A307,'ПР 01-02.21'!$A$11:$BB$406,47,FALSE)+VLOOKUP($A307,'ПР 21-22'!$A$11:$BB$406,47,FALSE)-VLOOKUP($A307,'ПР 01-02.22'!$A$11:$BB$378,47,FALSE)</f>
        <v>0</v>
      </c>
      <c r="AV307" s="40"/>
      <c r="AW307" s="5">
        <f>VLOOKUP($A307,'ПР 01-02.21'!$A$11:$BB$406,49,FALSE)+VLOOKUP($A307,'ПР 21-22'!$A$11:$BB$406,49,FALSE)-VLOOKUP($A307,'ПР 01-02.22'!$A$11:$BB$378,49,FALSE)</f>
        <v>414.95624580175905</v>
      </c>
      <c r="AX307" s="5">
        <f>VLOOKUP($A307,'ПР 01-02.21'!$A$11:$BB$406,50,FALSE)+VLOOKUP($A307,'ПР 21-22'!$A$11:$BB$406,50,FALSE)-VLOOKUP($A307,'ПР 01-02.22'!$A$11:$BB$378,50,FALSE)</f>
        <v>0</v>
      </c>
      <c r="AY307" s="40"/>
      <c r="AZ307" s="40">
        <f t="shared" si="21"/>
        <v>13914.056302728823</v>
      </c>
      <c r="BA307" s="40">
        <f t="shared" si="21"/>
        <v>3803</v>
      </c>
      <c r="BB307" s="55">
        <f t="shared" si="20"/>
        <v>-10111.056302728823</v>
      </c>
      <c r="BD307" s="2">
        <v>1</v>
      </c>
      <c r="BF307" s="325">
        <v>150000833</v>
      </c>
    </row>
    <row r="308" spans="1:58" ht="24.9" customHeight="1" x14ac:dyDescent="0.3">
      <c r="A308" s="325">
        <v>150000836</v>
      </c>
      <c r="B308" s="445" t="s">
        <v>199</v>
      </c>
      <c r="C308" s="27">
        <v>3</v>
      </c>
      <c r="D308" s="101" t="s">
        <v>455</v>
      </c>
      <c r="E308" s="279">
        <f>'побудинковий звіт'!E306</f>
        <v>1578.7</v>
      </c>
      <c r="F308" s="441">
        <f>'побудинковий звіт'!AS306</f>
        <v>23197.601689624684</v>
      </c>
      <c r="G308" s="441">
        <f t="shared" si="18"/>
        <v>79454.649999999994</v>
      </c>
      <c r="H308" s="73">
        <f t="shared" si="19"/>
        <v>56257.048310375307</v>
      </c>
      <c r="I308" s="5">
        <f>VLOOKUP($A308,'ПР 01-02.21'!$A$11:$BB$406,9,FALSE)+VLOOKUP($A308,'ПР 21-22'!$A$11:$BB$406,9,FALSE)-VLOOKUP($A308,'ПР 01-02.22'!$A$11:$BB$378,9,FALSE)</f>
        <v>86.65</v>
      </c>
      <c r="J308" s="5">
        <f>VLOOKUP($A308,'ПР 01-02.21'!$A$11:$BB$406,10,FALSE)+VLOOKUP($A308,'ПР 21-22'!$A$11:$BB$406,10,FALSE)-VLOOKUP($A308,'ПР 01-02.22'!$A$11:$BB$378,10,FALSE)</f>
        <v>13815.09</v>
      </c>
      <c r="K308" s="446"/>
      <c r="L308" s="5">
        <f>VLOOKUP($A308,'ПР 01-02.21'!$A$11:$BB$406,12,FALSE)+VLOOKUP($A308,'ПР 21-22'!$A$11:$BB$406,12,FALSE)-VLOOKUP($A308,'ПР 01-02.22'!$A$11:$BB$378,12,FALSE)</f>
        <v>0</v>
      </c>
      <c r="M308" s="5">
        <f>VLOOKUP($A308,'ПР 01-02.21'!$A$11:$BB$406,13,FALSE)+VLOOKUP($A308,'ПР 21-22'!$A$11:$BB$406,13,FALSE)-VLOOKUP($A308,'ПР 01-02.22'!$A$11:$BB$378,13,FALSE)</f>
        <v>0</v>
      </c>
      <c r="N308" s="38"/>
      <c r="O308" s="5">
        <f>VLOOKUP($A308,'ПР 01-02.21'!$A$11:$BB$406,15,FALSE)+VLOOKUP($A308,'ПР 21-22'!$A$11:$BB$406,15,FALSE)-VLOOKUP($A308,'ПР 01-02.22'!$A$11:$BB$378,15,FALSE)</f>
        <v>0</v>
      </c>
      <c r="P308" s="5">
        <f>VLOOKUP($A308,'ПР 01-02.21'!$A$11:$BB$406,16,FALSE)+VLOOKUP($A308,'ПР 21-22'!$A$11:$BB$406,16,FALSE)-VLOOKUP($A308,'ПР 01-02.22'!$A$11:$BB$378,16,FALSE)</f>
        <v>0</v>
      </c>
      <c r="Q308" s="443"/>
      <c r="R308" s="5">
        <f>VLOOKUP($A308,'ПР 01-02.21'!$A$11:$BB$406,18,FALSE)+VLOOKUP($A308,'ПР 21-22'!$A$11:$BB$406,18,FALSE)-VLOOKUP($A308,'ПР 01-02.22'!$A$11:$BB$378,18,FALSE)</f>
        <v>0</v>
      </c>
      <c r="S308" s="5">
        <f>VLOOKUP($A308,'ПР 01-02.21'!$A$11:$BB$406,19,FALSE)+VLOOKUP($A308,'ПР 21-22'!$A$11:$BB$406,19,FALSE)-VLOOKUP($A308,'ПР 01-02.22'!$A$11:$BB$378,19,FALSE)</f>
        <v>0</v>
      </c>
      <c r="T308" s="444"/>
      <c r="U308" s="5">
        <f>VLOOKUP($A308,'ПР 01-02.21'!$A$11:$BB$406,21,FALSE)+VLOOKUP($A308,'ПР 21-22'!$A$11:$BB$406,21,FALSE)-VLOOKUP($A308,'ПР 01-02.22'!$A$11:$BB$378,21,FALSE)</f>
        <v>0</v>
      </c>
      <c r="V308" s="5"/>
      <c r="W308" s="5">
        <f>VLOOKUP($A308,'ПР 01-02.21'!$A$11:$BB$406,23,FALSE)+VLOOKUP($A308,'ПР 21-22'!$A$11:$BB$406,23,FALSE)-VLOOKUP($A308,'ПР 01-02.22'!$A$11:$BB$378,23,FALSE)</f>
        <v>0</v>
      </c>
      <c r="X308" s="5">
        <f>VLOOKUP($A308,'ПР 01-02.21'!$A$11:$BB$406,24,FALSE)+VLOOKUP($A308,'ПР 21-22'!$A$11:$BB$406,24,FALSE)-VLOOKUP($A308,'ПР 01-02.22'!$A$11:$BB$378,24,FALSE)</f>
        <v>0</v>
      </c>
      <c r="Y308" s="5">
        <f>VLOOKUP($A308,'ПР 01-02.21'!$A$11:$BB$406,25,FALSE)+VLOOKUP($A308,'ПР 21-22'!$A$11:$BB$406,25,FALSE)-VLOOKUP($A308,'ПР 01-02.22'!$A$11:$BB$378,25,FALSE)</f>
        <v>48128</v>
      </c>
      <c r="Z308" s="5"/>
      <c r="AA308" s="5">
        <f>VLOOKUP($A308,'ПР 01-02.21'!$A$11:$BB$406,27,FALSE)+VLOOKUP($A308,'ПР 21-22'!$A$11:$BB$406,27,FALSE)-VLOOKUP($A308,'ПР 01-02.22'!$A$11:$BB$378,27,FALSE)</f>
        <v>0</v>
      </c>
      <c r="AB308" s="5">
        <f>VLOOKUP($A308,'ПР 01-02.21'!$A$11:$BB$406,28,FALSE)+VLOOKUP($A308,'ПР 21-22'!$A$11:$BB$406,28,FALSE)-VLOOKUP($A308,'ПР 01-02.22'!$A$11:$BB$378,28,FALSE)</f>
        <v>15525.86</v>
      </c>
      <c r="AC308" s="5">
        <f>VLOOKUP($A308,'ПР 01-02.21'!$A$11:$BB$406,29,FALSE)+VLOOKUP($A308,'ПР 21-22'!$A$11:$BB$406,29,FALSE)-VLOOKUP($A308,'ПР 01-02.22'!$A$11:$BB$378,29,FALSE)</f>
        <v>0</v>
      </c>
      <c r="AD308" s="5">
        <f>VLOOKUP($A308,'ПР 01-02.21'!$A$11:$BB$406,30,FALSE)+VLOOKUP($A308,'ПР 21-22'!$A$11:$BB$406,30,FALSE)-VLOOKUP($A308,'ПР 01-02.22'!$A$11:$BB$378,30,FALSE)</f>
        <v>1985.7</v>
      </c>
      <c r="AE308" s="5">
        <f>VLOOKUP($A308,'ПР 01-02.21'!$A$11:$BB$406,31,FALSE)+VLOOKUP($A308,'ПР 21-22'!$A$11:$BB$406,31,FALSE)-VLOOKUP($A308,'ПР 01-02.22'!$A$11:$BB$378,31,FALSE)</f>
        <v>1845.5466845856761</v>
      </c>
      <c r="AF308" s="5">
        <f>VLOOKUP($A308,'ПР 01-02.21'!$A$11:$BB$406,32,FALSE)+VLOOKUP($A308,'ПР 21-22'!$A$11:$BB$406,32,FALSE)-VLOOKUP($A308,'ПР 01-02.22'!$A$11:$BB$378,32,FALSE)</f>
        <v>0</v>
      </c>
      <c r="AG308" s="40"/>
      <c r="AH308" s="5">
        <f>VLOOKUP($A308,'ПР 01-02.21'!$A$11:$BB$406,34,FALSE)+VLOOKUP($A308,'ПР 21-22'!$A$11:$BB$406,34,FALSE)-VLOOKUP($A308,'ПР 01-02.22'!$A$11:$BB$378,34,FALSE)</f>
        <v>2475.0051276304771</v>
      </c>
      <c r="AI308" s="5">
        <f>VLOOKUP($A308,'ПР 01-02.21'!$A$11:$BB$406,35,FALSE)+VLOOKUP($A308,'ПР 21-22'!$A$11:$BB$406,35,FALSE)-VLOOKUP($A308,'ПР 01-02.22'!$A$11:$BB$378,35,FALSE)</f>
        <v>852.57</v>
      </c>
      <c r="AJ308" s="40"/>
      <c r="AK308" s="5">
        <f>VLOOKUP($A308,'ПР 01-02.21'!$A$11:$BB$406,37,FALSE)+VLOOKUP($A308,'ПР 21-22'!$A$11:$BB$406,37,FALSE)-VLOOKUP($A308,'ПР 01-02.22'!$A$11:$BB$378,37,FALSE)</f>
        <v>840.41092256344427</v>
      </c>
      <c r="AL308" s="5">
        <f>VLOOKUP($A308,'ПР 01-02.21'!$A$11:$BB$406,38,FALSE)+VLOOKUP($A308,'ПР 21-22'!$A$11:$BB$406,38,FALSE)-VLOOKUP($A308,'ПР 01-02.22'!$A$11:$BB$378,38,FALSE)</f>
        <v>1161</v>
      </c>
      <c r="AM308" s="40"/>
      <c r="AN308" s="5">
        <f>VLOOKUP($A308,'ПР 01-02.21'!$A$11:$BB$406,40,FALSE)+VLOOKUP($A308,'ПР 21-22'!$A$11:$BB$406,40,FALSE)-VLOOKUP($A308,'ПР 01-02.22'!$A$11:$BB$378,40,FALSE)</f>
        <v>1229.6474188435438</v>
      </c>
      <c r="AO308" s="5">
        <f>VLOOKUP($A308,'ПР 01-02.21'!$A$11:$BB$406,41,FALSE)+VLOOKUP($A308,'ПР 21-22'!$A$11:$BB$406,41,FALSE)-VLOOKUP($A308,'ПР 01-02.22'!$A$11:$BB$378,41,FALSE)</f>
        <v>0</v>
      </c>
      <c r="AP308" s="40"/>
      <c r="AQ308" s="5">
        <f>VLOOKUP($A308,'ПР 01-02.21'!$A$11:$BB$406,43,FALSE)+VLOOKUP($A308,'ПР 21-22'!$A$11:$BB$406,43,FALSE)-VLOOKUP($A308,'ПР 01-02.22'!$A$11:$BB$378,43,FALSE)</f>
        <v>410.8313429959457</v>
      </c>
      <c r="AR308" s="5">
        <f>VLOOKUP($A308,'ПР 01-02.21'!$A$11:$BB$406,44,FALSE)+VLOOKUP($A308,'ПР 21-22'!$A$11:$BB$406,44,FALSE)-VLOOKUP($A308,'ПР 01-02.22'!$A$11:$BB$378,44,FALSE)</f>
        <v>0</v>
      </c>
      <c r="AS308" s="40"/>
      <c r="AT308" s="5">
        <f>VLOOKUP($A308,'ПР 01-02.21'!$A$11:$BB$406,46,FALSE)+VLOOKUP($A308,'ПР 21-22'!$A$11:$BB$406,46,FALSE)-VLOOKUP($A308,'ПР 01-02.22'!$A$11:$BB$378,46,FALSE)</f>
        <v>487.02375958033173</v>
      </c>
      <c r="AU308" s="5">
        <f>VLOOKUP($A308,'ПР 01-02.21'!$A$11:$BB$406,47,FALSE)+VLOOKUP($A308,'ПР 21-22'!$A$11:$BB$406,47,FALSE)-VLOOKUP($A308,'ПР 01-02.22'!$A$11:$BB$378,47,FALSE)</f>
        <v>0</v>
      </c>
      <c r="AV308" s="40"/>
      <c r="AW308" s="5">
        <f>VLOOKUP($A308,'ПР 01-02.21'!$A$11:$BB$406,49,FALSE)+VLOOKUP($A308,'ПР 21-22'!$A$11:$BB$406,49,FALSE)-VLOOKUP($A308,'ПР 01-02.22'!$A$11:$BB$378,49,FALSE)</f>
        <v>167.52153927218652</v>
      </c>
      <c r="AX308" s="5">
        <f>VLOOKUP($A308,'ПР 01-02.21'!$A$11:$BB$406,50,FALSE)+VLOOKUP($A308,'ПР 21-22'!$A$11:$BB$406,50,FALSE)-VLOOKUP($A308,'ПР 01-02.22'!$A$11:$BB$378,50,FALSE)</f>
        <v>0</v>
      </c>
      <c r="AY308" s="40"/>
      <c r="AZ308" s="40">
        <f t="shared" si="21"/>
        <v>7455.9867954716055</v>
      </c>
      <c r="BA308" s="40">
        <f t="shared" si="21"/>
        <v>2013.5700000000002</v>
      </c>
      <c r="BB308" s="55">
        <f t="shared" si="20"/>
        <v>-5442.4167954716049</v>
      </c>
      <c r="BD308" s="2">
        <v>1</v>
      </c>
      <c r="BF308" s="325">
        <v>150000836</v>
      </c>
    </row>
    <row r="309" spans="1:58" ht="24.9" customHeight="1" x14ac:dyDescent="0.3">
      <c r="A309" s="325">
        <v>150000837</v>
      </c>
      <c r="B309" s="445" t="s">
        <v>200</v>
      </c>
      <c r="C309" s="27">
        <v>3</v>
      </c>
      <c r="D309" s="101" t="s">
        <v>455</v>
      </c>
      <c r="E309" s="279">
        <f>'побудинковий звіт'!E307</f>
        <v>631.1</v>
      </c>
      <c r="F309" s="441">
        <f>'побудинковий звіт'!AS307</f>
        <v>4800.4361561017095</v>
      </c>
      <c r="G309" s="441">
        <f t="shared" si="18"/>
        <v>3272.9700000000003</v>
      </c>
      <c r="H309" s="73">
        <f t="shared" si="19"/>
        <v>-1527.4661561017092</v>
      </c>
      <c r="I309" s="5">
        <f>VLOOKUP($A309,'ПР 01-02.21'!$A$11:$BB$406,9,FALSE)+VLOOKUP($A309,'ПР 21-22'!$A$11:$BB$406,9,FALSE)-VLOOKUP($A309,'ПР 01-02.22'!$A$11:$BB$378,9,FALSE)</f>
        <v>6</v>
      </c>
      <c r="J309" s="5">
        <f>VLOOKUP($A309,'ПР 01-02.21'!$A$11:$BB$406,10,FALSE)+VLOOKUP($A309,'ПР 21-22'!$A$11:$BB$406,10,FALSE)-VLOOKUP($A309,'ПР 01-02.22'!$A$11:$BB$378,10,FALSE)</f>
        <v>2240.9700000000003</v>
      </c>
      <c r="K309" s="450"/>
      <c r="L309" s="5">
        <f>VLOOKUP($A309,'ПР 01-02.21'!$A$11:$BB$406,12,FALSE)+VLOOKUP($A309,'ПР 21-22'!$A$11:$BB$406,12,FALSE)-VLOOKUP($A309,'ПР 01-02.22'!$A$11:$BB$378,12,FALSE)</f>
        <v>0</v>
      </c>
      <c r="M309" s="5">
        <f>VLOOKUP($A309,'ПР 01-02.21'!$A$11:$BB$406,13,FALSE)+VLOOKUP($A309,'ПР 21-22'!$A$11:$BB$406,13,FALSE)-VLOOKUP($A309,'ПР 01-02.22'!$A$11:$BB$378,13,FALSE)</f>
        <v>0</v>
      </c>
      <c r="N309" s="38"/>
      <c r="O309" s="5">
        <f>VLOOKUP($A309,'ПР 01-02.21'!$A$11:$BB$406,15,FALSE)+VLOOKUP($A309,'ПР 21-22'!$A$11:$BB$406,15,FALSE)-VLOOKUP($A309,'ПР 01-02.22'!$A$11:$BB$378,15,FALSE)</f>
        <v>0</v>
      </c>
      <c r="P309" s="5">
        <f>VLOOKUP($A309,'ПР 01-02.21'!$A$11:$BB$406,16,FALSE)+VLOOKUP($A309,'ПР 21-22'!$A$11:$BB$406,16,FALSE)-VLOOKUP($A309,'ПР 01-02.22'!$A$11:$BB$378,16,FALSE)</f>
        <v>0</v>
      </c>
      <c r="Q309" s="443"/>
      <c r="R309" s="5">
        <f>VLOOKUP($A309,'ПР 01-02.21'!$A$11:$BB$406,18,FALSE)+VLOOKUP($A309,'ПР 21-22'!$A$11:$BB$406,18,FALSE)-VLOOKUP($A309,'ПР 01-02.22'!$A$11:$BB$378,18,FALSE)</f>
        <v>0</v>
      </c>
      <c r="S309" s="5">
        <f>VLOOKUP($A309,'ПР 01-02.21'!$A$11:$BB$406,19,FALSE)+VLOOKUP($A309,'ПР 21-22'!$A$11:$BB$406,19,FALSE)-VLOOKUP($A309,'ПР 01-02.22'!$A$11:$BB$378,19,FALSE)</f>
        <v>0</v>
      </c>
      <c r="T309" s="444"/>
      <c r="U309" s="5">
        <f>VLOOKUP($A309,'ПР 01-02.21'!$A$11:$BB$406,21,FALSE)+VLOOKUP($A309,'ПР 21-22'!$A$11:$BB$406,21,FALSE)-VLOOKUP($A309,'ПР 01-02.22'!$A$11:$BB$378,21,FALSE)</f>
        <v>0</v>
      </c>
      <c r="V309" s="5"/>
      <c r="W309" s="5">
        <f>VLOOKUP($A309,'ПР 01-02.21'!$A$11:$BB$406,23,FALSE)+VLOOKUP($A309,'ПР 21-22'!$A$11:$BB$406,23,FALSE)-VLOOKUP($A309,'ПР 01-02.22'!$A$11:$BB$378,23,FALSE)</f>
        <v>0</v>
      </c>
      <c r="X309" s="5">
        <f>VLOOKUP($A309,'ПР 01-02.21'!$A$11:$BB$406,24,FALSE)+VLOOKUP($A309,'ПР 21-22'!$A$11:$BB$406,24,FALSE)-VLOOKUP($A309,'ПР 01-02.22'!$A$11:$BB$378,24,FALSE)</f>
        <v>0</v>
      </c>
      <c r="Y309" s="5">
        <f>VLOOKUP($A309,'ПР 01-02.21'!$A$11:$BB$406,25,FALSE)+VLOOKUP($A309,'ПР 21-22'!$A$11:$BB$406,25,FALSE)-VLOOKUP($A309,'ПР 01-02.22'!$A$11:$BB$378,25,FALSE)</f>
        <v>128</v>
      </c>
      <c r="Z309" s="5"/>
      <c r="AA309" s="5">
        <f>VLOOKUP($A309,'ПР 01-02.21'!$A$11:$BB$406,27,FALSE)+VLOOKUP($A309,'ПР 21-22'!$A$11:$BB$406,27,FALSE)-VLOOKUP($A309,'ПР 01-02.22'!$A$11:$BB$378,27,FALSE)</f>
        <v>0</v>
      </c>
      <c r="AB309" s="5">
        <f>VLOOKUP($A309,'ПР 01-02.21'!$A$11:$BB$406,28,FALSE)+VLOOKUP($A309,'ПР 21-22'!$A$11:$BB$406,28,FALSE)-VLOOKUP($A309,'ПР 01-02.22'!$A$11:$BB$378,28,FALSE)</f>
        <v>0</v>
      </c>
      <c r="AC309" s="5">
        <f>VLOOKUP($A309,'ПР 01-02.21'!$A$11:$BB$406,29,FALSE)+VLOOKUP($A309,'ПР 21-22'!$A$11:$BB$406,29,FALSE)-VLOOKUP($A309,'ПР 01-02.22'!$A$11:$BB$378,29,FALSE)</f>
        <v>0</v>
      </c>
      <c r="AD309" s="5">
        <f>VLOOKUP($A309,'ПР 01-02.21'!$A$11:$BB$406,30,FALSE)+VLOOKUP($A309,'ПР 21-22'!$A$11:$BB$406,30,FALSE)-VLOOKUP($A309,'ПР 01-02.22'!$A$11:$BB$378,30,FALSE)</f>
        <v>904</v>
      </c>
      <c r="AE309" s="5">
        <f>VLOOKUP($A309,'ПР 01-02.21'!$A$11:$BB$406,31,FALSE)+VLOOKUP($A309,'ПР 21-22'!$A$11:$BB$406,31,FALSE)-VLOOKUP($A309,'ПР 01-02.22'!$A$11:$BB$378,31,FALSE)</f>
        <v>850.56555603336426</v>
      </c>
      <c r="AF309" s="5">
        <f>VLOOKUP($A309,'ПР 01-02.21'!$A$11:$BB$406,32,FALSE)+VLOOKUP($A309,'ПР 21-22'!$A$11:$BB$406,32,FALSE)-VLOOKUP($A309,'ПР 01-02.22'!$A$11:$BB$378,32,FALSE)</f>
        <v>0</v>
      </c>
      <c r="AG309" s="40"/>
      <c r="AH309" s="5">
        <f>VLOOKUP($A309,'ПР 01-02.21'!$A$11:$BB$406,34,FALSE)+VLOOKUP($A309,'ПР 21-22'!$A$11:$BB$406,34,FALSE)-VLOOKUP($A309,'ПР 01-02.22'!$A$11:$BB$378,34,FALSE)</f>
        <v>791.86094247775816</v>
      </c>
      <c r="AI309" s="5">
        <f>VLOOKUP($A309,'ПР 01-02.21'!$A$11:$BB$406,35,FALSE)+VLOOKUP($A309,'ПР 21-22'!$A$11:$BB$406,35,FALSE)-VLOOKUP($A309,'ПР 01-02.22'!$A$11:$BB$378,35,FALSE)</f>
        <v>0</v>
      </c>
      <c r="AJ309" s="40"/>
      <c r="AK309" s="5">
        <f>VLOOKUP($A309,'ПР 01-02.21'!$A$11:$BB$406,37,FALSE)+VLOOKUP($A309,'ПР 21-22'!$A$11:$BB$406,37,FALSE)-VLOOKUP($A309,'ПР 01-02.22'!$A$11:$BB$378,37,FALSE)</f>
        <v>309.44598224459014</v>
      </c>
      <c r="AL309" s="5">
        <f>VLOOKUP($A309,'ПР 01-02.21'!$A$11:$BB$406,38,FALSE)+VLOOKUP($A309,'ПР 21-22'!$A$11:$BB$406,38,FALSE)-VLOOKUP($A309,'ПР 01-02.22'!$A$11:$BB$378,38,FALSE)</f>
        <v>0</v>
      </c>
      <c r="AM309" s="40"/>
      <c r="AN309" s="5">
        <f>VLOOKUP($A309,'ПР 01-02.21'!$A$11:$BB$406,40,FALSE)+VLOOKUP($A309,'ПР 21-22'!$A$11:$BB$406,40,FALSE)-VLOOKUP($A309,'ПР 01-02.22'!$A$11:$BB$378,40,FALSE)</f>
        <v>0</v>
      </c>
      <c r="AO309" s="5">
        <f>VLOOKUP($A309,'ПР 01-02.21'!$A$11:$BB$406,41,FALSE)+VLOOKUP($A309,'ПР 21-22'!$A$11:$BB$406,41,FALSE)-VLOOKUP($A309,'ПР 01-02.22'!$A$11:$BB$378,41,FALSE)</f>
        <v>0</v>
      </c>
      <c r="AP309" s="40"/>
      <c r="AQ309" s="5">
        <f>VLOOKUP($A309,'ПР 01-02.21'!$A$11:$BB$406,43,FALSE)+VLOOKUP($A309,'ПР 21-22'!$A$11:$BB$406,43,FALSE)-VLOOKUP($A309,'ПР 01-02.22'!$A$11:$BB$378,43,FALSE)</f>
        <v>0</v>
      </c>
      <c r="AR309" s="5">
        <f>VLOOKUP($A309,'ПР 01-02.21'!$A$11:$BB$406,44,FALSE)+VLOOKUP($A309,'ПР 21-22'!$A$11:$BB$406,44,FALSE)-VLOOKUP($A309,'ПР 01-02.22'!$A$11:$BB$378,44,FALSE)</f>
        <v>0</v>
      </c>
      <c r="AS309" s="40"/>
      <c r="AT309" s="5">
        <f>VLOOKUP($A309,'ПР 01-02.21'!$A$11:$BB$406,46,FALSE)+VLOOKUP($A309,'ПР 21-22'!$A$11:$BB$406,46,FALSE)-VLOOKUP($A309,'ПР 01-02.22'!$A$11:$BB$378,46,FALSE)</f>
        <v>292.58300441156831</v>
      </c>
      <c r="AU309" s="5">
        <f>VLOOKUP($A309,'ПР 01-02.21'!$A$11:$BB$406,47,FALSE)+VLOOKUP($A309,'ПР 21-22'!$A$11:$BB$406,47,FALSE)-VLOOKUP($A309,'ПР 01-02.22'!$A$11:$BB$378,47,FALSE)</f>
        <v>0</v>
      </c>
      <c r="AV309" s="40"/>
      <c r="AW309" s="5">
        <f>VLOOKUP($A309,'ПР 01-02.21'!$A$11:$BB$406,49,FALSE)+VLOOKUP($A309,'ПР 21-22'!$A$11:$BB$406,49,FALSE)-VLOOKUP($A309,'ПР 01-02.22'!$A$11:$BB$378,49,FALSE)</f>
        <v>79.99997037074462</v>
      </c>
      <c r="AX309" s="5">
        <f>VLOOKUP($A309,'ПР 01-02.21'!$A$11:$BB$406,50,FALSE)+VLOOKUP($A309,'ПР 21-22'!$A$11:$BB$406,50,FALSE)-VLOOKUP($A309,'ПР 01-02.22'!$A$11:$BB$378,50,FALSE)</f>
        <v>0</v>
      </c>
      <c r="AY309" s="40"/>
      <c r="AZ309" s="40">
        <f t="shared" si="21"/>
        <v>2324.4554555380255</v>
      </c>
      <c r="BA309" s="40">
        <f t="shared" si="21"/>
        <v>0</v>
      </c>
      <c r="BB309" s="55">
        <f t="shared" si="20"/>
        <v>-2324.4554555380255</v>
      </c>
      <c r="BD309" s="2">
        <v>1</v>
      </c>
      <c r="BF309" s="325">
        <v>150000837</v>
      </c>
    </row>
    <row r="310" spans="1:58" ht="24.9" customHeight="1" x14ac:dyDescent="0.3">
      <c r="A310" s="325">
        <v>150000839</v>
      </c>
      <c r="B310" s="445" t="s">
        <v>136</v>
      </c>
      <c r="C310" s="27">
        <v>1</v>
      </c>
      <c r="D310" s="101" t="s">
        <v>455</v>
      </c>
      <c r="E310" s="279">
        <f>'побудинковий звіт'!E308</f>
        <v>128.19999999999999</v>
      </c>
      <c r="F310" s="441">
        <f>'побудинковий звіт'!AS308</f>
        <v>1998.0978095933028</v>
      </c>
      <c r="G310" s="441">
        <f t="shared" si="18"/>
        <v>0</v>
      </c>
      <c r="H310" s="73">
        <f t="shared" si="19"/>
        <v>-1998.0978095933028</v>
      </c>
      <c r="I310" s="5">
        <f>VLOOKUP($A310,'ПР 01-02.21'!$A$11:$BB$406,9,FALSE)+VLOOKUP($A310,'ПР 21-22'!$A$11:$BB$406,9,FALSE)-VLOOKUP($A310,'ПР 01-02.22'!$A$11:$BB$378,9,FALSE)</f>
        <v>0</v>
      </c>
      <c r="J310" s="5">
        <f>VLOOKUP($A310,'ПР 01-02.21'!$A$11:$BB$406,10,FALSE)+VLOOKUP($A310,'ПР 21-22'!$A$11:$BB$406,10,FALSE)-VLOOKUP($A310,'ПР 01-02.22'!$A$11:$BB$378,10,FALSE)</f>
        <v>0</v>
      </c>
      <c r="K310" s="446"/>
      <c r="L310" s="5">
        <f>VLOOKUP($A310,'ПР 01-02.21'!$A$11:$BB$406,12,FALSE)+VLOOKUP($A310,'ПР 21-22'!$A$11:$BB$406,12,FALSE)-VLOOKUP($A310,'ПР 01-02.22'!$A$11:$BB$378,12,FALSE)</f>
        <v>0</v>
      </c>
      <c r="M310" s="5">
        <f>VLOOKUP($A310,'ПР 01-02.21'!$A$11:$BB$406,13,FALSE)+VLOOKUP($A310,'ПР 21-22'!$A$11:$BB$406,13,FALSE)-VLOOKUP($A310,'ПР 01-02.22'!$A$11:$BB$378,13,FALSE)</f>
        <v>0</v>
      </c>
      <c r="N310" s="38"/>
      <c r="O310" s="5">
        <f>VLOOKUP($A310,'ПР 01-02.21'!$A$11:$BB$406,15,FALSE)+VLOOKUP($A310,'ПР 21-22'!$A$11:$BB$406,15,FALSE)-VLOOKUP($A310,'ПР 01-02.22'!$A$11:$BB$378,15,FALSE)</f>
        <v>0</v>
      </c>
      <c r="P310" s="5">
        <f>VLOOKUP($A310,'ПР 01-02.21'!$A$11:$BB$406,16,FALSE)+VLOOKUP($A310,'ПР 21-22'!$A$11:$BB$406,16,FALSE)-VLOOKUP($A310,'ПР 01-02.22'!$A$11:$BB$378,16,FALSE)</f>
        <v>0</v>
      </c>
      <c r="Q310" s="443"/>
      <c r="R310" s="5">
        <f>VLOOKUP($A310,'ПР 01-02.21'!$A$11:$BB$406,18,FALSE)+VLOOKUP($A310,'ПР 21-22'!$A$11:$BB$406,18,FALSE)-VLOOKUP($A310,'ПР 01-02.22'!$A$11:$BB$378,18,FALSE)</f>
        <v>0</v>
      </c>
      <c r="S310" s="5">
        <f>VLOOKUP($A310,'ПР 01-02.21'!$A$11:$BB$406,19,FALSE)+VLOOKUP($A310,'ПР 21-22'!$A$11:$BB$406,19,FALSE)-VLOOKUP($A310,'ПР 01-02.22'!$A$11:$BB$378,19,FALSE)</f>
        <v>0</v>
      </c>
      <c r="T310" s="444"/>
      <c r="U310" s="5">
        <f>VLOOKUP($A310,'ПР 01-02.21'!$A$11:$BB$406,21,FALSE)+VLOOKUP($A310,'ПР 21-22'!$A$11:$BB$406,21,FALSE)-VLOOKUP($A310,'ПР 01-02.22'!$A$11:$BB$378,21,FALSE)</f>
        <v>0</v>
      </c>
      <c r="V310" s="5"/>
      <c r="W310" s="5">
        <f>VLOOKUP($A310,'ПР 01-02.21'!$A$11:$BB$406,23,FALSE)+VLOOKUP($A310,'ПР 21-22'!$A$11:$BB$406,23,FALSE)-VLOOKUP($A310,'ПР 01-02.22'!$A$11:$BB$378,23,FALSE)</f>
        <v>0</v>
      </c>
      <c r="X310" s="5">
        <f>VLOOKUP($A310,'ПР 01-02.21'!$A$11:$BB$406,24,FALSE)+VLOOKUP($A310,'ПР 21-22'!$A$11:$BB$406,24,FALSE)-VLOOKUP($A310,'ПР 01-02.22'!$A$11:$BB$378,24,FALSE)</f>
        <v>0</v>
      </c>
      <c r="Y310" s="5">
        <f>VLOOKUP($A310,'ПР 01-02.21'!$A$11:$BB$406,25,FALSE)+VLOOKUP($A310,'ПР 21-22'!$A$11:$BB$406,25,FALSE)-VLOOKUP($A310,'ПР 01-02.22'!$A$11:$BB$378,25,FALSE)</f>
        <v>0</v>
      </c>
      <c r="Z310" s="5"/>
      <c r="AA310" s="5">
        <f>VLOOKUP($A310,'ПР 01-02.21'!$A$11:$BB$406,27,FALSE)+VLOOKUP($A310,'ПР 21-22'!$A$11:$BB$406,27,FALSE)-VLOOKUP($A310,'ПР 01-02.22'!$A$11:$BB$378,27,FALSE)</f>
        <v>0</v>
      </c>
      <c r="AB310" s="5">
        <f>VLOOKUP($A310,'ПР 01-02.21'!$A$11:$BB$406,28,FALSE)+VLOOKUP($A310,'ПР 21-22'!$A$11:$BB$406,28,FALSE)-VLOOKUP($A310,'ПР 01-02.22'!$A$11:$BB$378,28,FALSE)</f>
        <v>0</v>
      </c>
      <c r="AC310" s="5">
        <f>VLOOKUP($A310,'ПР 01-02.21'!$A$11:$BB$406,29,FALSE)+VLOOKUP($A310,'ПР 21-22'!$A$11:$BB$406,29,FALSE)-VLOOKUP($A310,'ПР 01-02.22'!$A$11:$BB$378,29,FALSE)</f>
        <v>0</v>
      </c>
      <c r="AD310" s="5">
        <f>VLOOKUP($A310,'ПР 01-02.21'!$A$11:$BB$406,30,FALSE)+VLOOKUP($A310,'ПР 21-22'!$A$11:$BB$406,30,FALSE)-VLOOKUP($A310,'ПР 01-02.22'!$A$11:$BB$378,30,FALSE)</f>
        <v>0</v>
      </c>
      <c r="AE310" s="5">
        <f>VLOOKUP($A310,'ПР 01-02.21'!$A$11:$BB$406,31,FALSE)+VLOOKUP($A310,'ПР 21-22'!$A$11:$BB$406,31,FALSE)-VLOOKUP($A310,'ПР 01-02.22'!$A$11:$BB$378,31,FALSE)</f>
        <v>0</v>
      </c>
      <c r="AF310" s="5">
        <f>VLOOKUP($A310,'ПР 01-02.21'!$A$11:$BB$406,32,FALSE)+VLOOKUP($A310,'ПР 21-22'!$A$11:$BB$406,32,FALSE)-VLOOKUP($A310,'ПР 01-02.22'!$A$11:$BB$378,32,FALSE)</f>
        <v>0</v>
      </c>
      <c r="AG310" s="40"/>
      <c r="AH310" s="5">
        <f>VLOOKUP($A310,'ПР 01-02.21'!$A$11:$BB$406,34,FALSE)+VLOOKUP($A310,'ПР 21-22'!$A$11:$BB$406,34,FALSE)-VLOOKUP($A310,'ПР 01-02.22'!$A$11:$BB$378,34,FALSE)</f>
        <v>0</v>
      </c>
      <c r="AI310" s="5">
        <f>VLOOKUP($A310,'ПР 01-02.21'!$A$11:$BB$406,35,FALSE)+VLOOKUP($A310,'ПР 21-22'!$A$11:$BB$406,35,FALSE)-VLOOKUP($A310,'ПР 01-02.22'!$A$11:$BB$378,35,FALSE)</f>
        <v>0</v>
      </c>
      <c r="AJ310" s="40"/>
      <c r="AK310" s="5">
        <f>VLOOKUP($A310,'ПР 01-02.21'!$A$11:$BB$406,37,FALSE)+VLOOKUP($A310,'ПР 21-22'!$A$11:$BB$406,37,FALSE)-VLOOKUP($A310,'ПР 01-02.22'!$A$11:$BB$378,37,FALSE)</f>
        <v>0</v>
      </c>
      <c r="AL310" s="5">
        <f>VLOOKUP($A310,'ПР 01-02.21'!$A$11:$BB$406,38,FALSE)+VLOOKUP($A310,'ПР 21-22'!$A$11:$BB$406,38,FALSE)-VLOOKUP($A310,'ПР 01-02.22'!$A$11:$BB$378,38,FALSE)</f>
        <v>0</v>
      </c>
      <c r="AM310" s="40"/>
      <c r="AN310" s="5">
        <f>VLOOKUP($A310,'ПР 01-02.21'!$A$11:$BB$406,40,FALSE)+VLOOKUP($A310,'ПР 21-22'!$A$11:$BB$406,40,FALSE)-VLOOKUP($A310,'ПР 01-02.22'!$A$11:$BB$378,40,FALSE)</f>
        <v>0</v>
      </c>
      <c r="AO310" s="5">
        <f>VLOOKUP($A310,'ПР 01-02.21'!$A$11:$BB$406,41,FALSE)+VLOOKUP($A310,'ПР 21-22'!$A$11:$BB$406,41,FALSE)-VLOOKUP($A310,'ПР 01-02.22'!$A$11:$BB$378,41,FALSE)</f>
        <v>0</v>
      </c>
      <c r="AP310" s="40"/>
      <c r="AQ310" s="5">
        <f>VLOOKUP($A310,'ПР 01-02.21'!$A$11:$BB$406,43,FALSE)+VLOOKUP($A310,'ПР 21-22'!$A$11:$BB$406,43,FALSE)-VLOOKUP($A310,'ПР 01-02.22'!$A$11:$BB$378,43,FALSE)</f>
        <v>0</v>
      </c>
      <c r="AR310" s="5">
        <f>VLOOKUP($A310,'ПР 01-02.21'!$A$11:$BB$406,44,FALSE)+VLOOKUP($A310,'ПР 21-22'!$A$11:$BB$406,44,FALSE)-VLOOKUP($A310,'ПР 01-02.22'!$A$11:$BB$378,44,FALSE)</f>
        <v>0</v>
      </c>
      <c r="AS310" s="40"/>
      <c r="AT310" s="5">
        <f>VLOOKUP($A310,'ПР 01-02.21'!$A$11:$BB$406,46,FALSE)+VLOOKUP($A310,'ПР 21-22'!$A$11:$BB$406,46,FALSE)-VLOOKUP($A310,'ПР 01-02.22'!$A$11:$BB$378,46,FALSE)</f>
        <v>0</v>
      </c>
      <c r="AU310" s="5">
        <f>VLOOKUP($A310,'ПР 01-02.21'!$A$11:$BB$406,47,FALSE)+VLOOKUP($A310,'ПР 21-22'!$A$11:$BB$406,47,FALSE)-VLOOKUP($A310,'ПР 01-02.22'!$A$11:$BB$378,47,FALSE)</f>
        <v>0</v>
      </c>
      <c r="AV310" s="40"/>
      <c r="AW310" s="5">
        <f>VLOOKUP($A310,'ПР 01-02.21'!$A$11:$BB$406,49,FALSE)+VLOOKUP($A310,'ПР 21-22'!$A$11:$BB$406,49,FALSE)-VLOOKUP($A310,'ПР 01-02.22'!$A$11:$BB$378,49,FALSE)</f>
        <v>9.603643637965888</v>
      </c>
      <c r="AX310" s="5">
        <f>VLOOKUP($A310,'ПР 01-02.21'!$A$11:$BB$406,50,FALSE)+VLOOKUP($A310,'ПР 21-22'!$A$11:$BB$406,50,FALSE)-VLOOKUP($A310,'ПР 01-02.22'!$A$11:$BB$378,50,FALSE)</f>
        <v>0</v>
      </c>
      <c r="AY310" s="40"/>
      <c r="AZ310" s="40">
        <f t="shared" si="21"/>
        <v>9.603643637965888</v>
      </c>
      <c r="BA310" s="40">
        <f t="shared" si="21"/>
        <v>0</v>
      </c>
      <c r="BB310" s="55">
        <f t="shared" si="20"/>
        <v>-9.603643637965888</v>
      </c>
      <c r="BD310" s="2">
        <v>1</v>
      </c>
      <c r="BF310" s="325">
        <v>150000839</v>
      </c>
    </row>
    <row r="311" spans="1:58" ht="24.9" customHeight="1" x14ac:dyDescent="0.3">
      <c r="A311" s="325">
        <v>150000840</v>
      </c>
      <c r="B311" s="445" t="s">
        <v>394</v>
      </c>
      <c r="C311" s="27">
        <v>9</v>
      </c>
      <c r="D311" s="101" t="s">
        <v>455</v>
      </c>
      <c r="E311" s="279">
        <f>'побудинковий звіт'!E309</f>
        <v>4216.5600000000004</v>
      </c>
      <c r="F311" s="441">
        <f>'побудинковий звіт'!AS309</f>
        <v>48008.974230481996</v>
      </c>
      <c r="G311" s="441">
        <f t="shared" si="18"/>
        <v>42387.401262814295</v>
      </c>
      <c r="H311" s="73">
        <f t="shared" si="19"/>
        <v>-5621.5729676677001</v>
      </c>
      <c r="I311" s="5">
        <f>VLOOKUP($A311,'ПР 01-02.21'!$A$11:$BB$406,9,FALSE)+VLOOKUP($A311,'ПР 21-22'!$A$11:$BB$406,9,FALSE)-VLOOKUP($A311,'ПР 01-02.22'!$A$11:$BB$378,9,FALSE)</f>
        <v>0</v>
      </c>
      <c r="J311" s="5">
        <f>VLOOKUP($A311,'ПР 01-02.21'!$A$11:$BB$406,10,FALSE)+VLOOKUP($A311,'ПР 21-22'!$A$11:$BB$406,10,FALSE)-VLOOKUP($A311,'ПР 01-02.22'!$A$11:$BB$378,10,FALSE)</f>
        <v>0</v>
      </c>
      <c r="K311" s="450"/>
      <c r="L311" s="5">
        <f>VLOOKUP($A311,'ПР 01-02.21'!$A$11:$BB$406,12,FALSE)+VLOOKUP($A311,'ПР 21-22'!$A$11:$BB$406,12,FALSE)-VLOOKUP($A311,'ПР 01-02.22'!$A$11:$BB$378,12,FALSE)</f>
        <v>1</v>
      </c>
      <c r="M311" s="5">
        <f>VLOOKUP($A311,'ПР 01-02.21'!$A$11:$BB$406,13,FALSE)+VLOOKUP($A311,'ПР 21-22'!$A$11:$BB$406,13,FALSE)-VLOOKUP($A311,'ПР 01-02.22'!$A$11:$BB$378,13,FALSE)</f>
        <v>30342.57</v>
      </c>
      <c r="N311" s="38"/>
      <c r="O311" s="5">
        <f>VLOOKUP($A311,'ПР 01-02.21'!$A$11:$BB$406,15,FALSE)+VLOOKUP($A311,'ПР 21-22'!$A$11:$BB$406,15,FALSE)-VLOOKUP($A311,'ПР 01-02.22'!$A$11:$BB$378,15,FALSE)</f>
        <v>0</v>
      </c>
      <c r="P311" s="5">
        <f>VLOOKUP($A311,'ПР 01-02.21'!$A$11:$BB$406,16,FALSE)+VLOOKUP($A311,'ПР 21-22'!$A$11:$BB$406,16,FALSE)-VLOOKUP($A311,'ПР 01-02.22'!$A$11:$BB$378,16,FALSE)</f>
        <v>0</v>
      </c>
      <c r="Q311" s="443"/>
      <c r="R311" s="5">
        <f>VLOOKUP($A311,'ПР 01-02.21'!$A$11:$BB$406,18,FALSE)+VLOOKUP($A311,'ПР 21-22'!$A$11:$BB$406,18,FALSE)-VLOOKUP($A311,'ПР 01-02.22'!$A$11:$BB$378,18,FALSE)</f>
        <v>0</v>
      </c>
      <c r="S311" s="5">
        <f>VLOOKUP($A311,'ПР 01-02.21'!$A$11:$BB$406,19,FALSE)+VLOOKUP($A311,'ПР 21-22'!$A$11:$BB$406,19,FALSE)-VLOOKUP($A311,'ПР 01-02.22'!$A$11:$BB$378,19,FALSE)</f>
        <v>0</v>
      </c>
      <c r="T311" s="444"/>
      <c r="U311" s="5">
        <f>VLOOKUP($A311,'ПР 01-02.21'!$A$11:$BB$406,21,FALSE)+VLOOKUP($A311,'ПР 21-22'!$A$11:$BB$406,21,FALSE)-VLOOKUP($A311,'ПР 01-02.22'!$A$11:$BB$378,21,FALSE)</f>
        <v>0</v>
      </c>
      <c r="V311" s="5"/>
      <c r="W311" s="5">
        <f>VLOOKUP($A311,'ПР 01-02.21'!$A$11:$BB$406,23,FALSE)+VLOOKUP($A311,'ПР 21-22'!$A$11:$BB$406,23,FALSE)-VLOOKUP($A311,'ПР 01-02.22'!$A$11:$BB$378,23,FALSE)</f>
        <v>3</v>
      </c>
      <c r="X311" s="5">
        <f>VLOOKUP($A311,'ПР 01-02.21'!$A$11:$BB$406,24,FALSE)+VLOOKUP($A311,'ПР 21-22'!$A$11:$BB$406,24,FALSE)-VLOOKUP($A311,'ПР 01-02.22'!$A$11:$BB$378,24,FALSE)</f>
        <v>1423.4112628142925</v>
      </c>
      <c r="Y311" s="5">
        <f>VLOOKUP($A311,'ПР 01-02.21'!$A$11:$BB$406,25,FALSE)+VLOOKUP($A311,'ПР 21-22'!$A$11:$BB$406,25,FALSE)-VLOOKUP($A311,'ПР 01-02.22'!$A$11:$BB$378,25,FALSE)</f>
        <v>47</v>
      </c>
      <c r="Z311" s="5"/>
      <c r="AA311" s="5">
        <f>VLOOKUP($A311,'ПР 01-02.21'!$A$11:$BB$406,27,FALSE)+VLOOKUP($A311,'ПР 21-22'!$A$11:$BB$406,27,FALSE)-VLOOKUP($A311,'ПР 01-02.22'!$A$11:$BB$378,27,FALSE)</f>
        <v>0</v>
      </c>
      <c r="AB311" s="5">
        <f>VLOOKUP($A311,'ПР 01-02.21'!$A$11:$BB$406,28,FALSE)+VLOOKUP($A311,'ПР 21-22'!$A$11:$BB$406,28,FALSE)-VLOOKUP($A311,'ПР 01-02.22'!$A$11:$BB$378,28,FALSE)</f>
        <v>1015.42</v>
      </c>
      <c r="AC311" s="5">
        <f>VLOOKUP($A311,'ПР 01-02.21'!$A$11:$BB$406,29,FALSE)+VLOOKUP($A311,'ПР 21-22'!$A$11:$BB$406,29,FALSE)-VLOOKUP($A311,'ПР 01-02.22'!$A$11:$BB$378,29,FALSE)</f>
        <v>0</v>
      </c>
      <c r="AD311" s="5">
        <f>VLOOKUP($A311,'ПР 01-02.21'!$A$11:$BB$406,30,FALSE)+VLOOKUP($A311,'ПР 21-22'!$A$11:$BB$406,30,FALSE)-VLOOKUP($A311,'ПР 01-02.22'!$A$11:$BB$378,30,FALSE)</f>
        <v>9559</v>
      </c>
      <c r="AE311" s="5">
        <f>VLOOKUP($A311,'ПР 01-02.21'!$A$11:$BB$406,31,FALSE)+VLOOKUP($A311,'ПР 21-22'!$A$11:$BB$406,31,FALSE)-VLOOKUP($A311,'ПР 01-02.22'!$A$11:$BB$378,31,FALSE)</f>
        <v>3165.5207908466673</v>
      </c>
      <c r="AF311" s="5">
        <f>VLOOKUP($A311,'ПР 01-02.21'!$A$11:$BB$406,32,FALSE)+VLOOKUP($A311,'ПР 21-22'!$A$11:$BB$406,32,FALSE)-VLOOKUP($A311,'ПР 01-02.22'!$A$11:$BB$378,32,FALSE)</f>
        <v>773.23</v>
      </c>
      <c r="AG311" s="40"/>
      <c r="AH311" s="5">
        <f>VLOOKUP($A311,'ПР 01-02.21'!$A$11:$BB$406,34,FALSE)+VLOOKUP($A311,'ПР 21-22'!$A$11:$BB$406,34,FALSE)-VLOOKUP($A311,'ПР 01-02.22'!$A$11:$BB$378,34,FALSE)</f>
        <v>3408.9502330392697</v>
      </c>
      <c r="AI311" s="5">
        <f>VLOOKUP($A311,'ПР 01-02.21'!$A$11:$BB$406,35,FALSE)+VLOOKUP($A311,'ПР 21-22'!$A$11:$BB$406,35,FALSE)-VLOOKUP($A311,'ПР 01-02.22'!$A$11:$BB$378,35,FALSE)</f>
        <v>0</v>
      </c>
      <c r="AJ311" s="40"/>
      <c r="AK311" s="5">
        <f>VLOOKUP($A311,'ПР 01-02.21'!$A$11:$BB$406,37,FALSE)+VLOOKUP($A311,'ПР 21-22'!$A$11:$BB$406,37,FALSE)-VLOOKUP($A311,'ПР 01-02.22'!$A$11:$BB$378,37,FALSE)</f>
        <v>1923.8470743432774</v>
      </c>
      <c r="AL311" s="5">
        <f>VLOOKUP($A311,'ПР 01-02.21'!$A$11:$BB$406,38,FALSE)+VLOOKUP($A311,'ПР 21-22'!$A$11:$BB$406,38,FALSE)-VLOOKUP($A311,'ПР 01-02.22'!$A$11:$BB$378,38,FALSE)</f>
        <v>0</v>
      </c>
      <c r="AM311" s="40"/>
      <c r="AN311" s="5">
        <f>VLOOKUP($A311,'ПР 01-02.21'!$A$11:$BB$406,40,FALSE)+VLOOKUP($A311,'ПР 21-22'!$A$11:$BB$406,40,FALSE)-VLOOKUP($A311,'ПР 01-02.22'!$A$11:$BB$378,40,FALSE)</f>
        <v>2562.0178451412821</v>
      </c>
      <c r="AO311" s="5">
        <f>VLOOKUP($A311,'ПР 01-02.21'!$A$11:$BB$406,41,FALSE)+VLOOKUP($A311,'ПР 21-22'!$A$11:$BB$406,41,FALSE)-VLOOKUP($A311,'ПР 01-02.22'!$A$11:$BB$378,41,FALSE)</f>
        <v>0</v>
      </c>
      <c r="AP311" s="40"/>
      <c r="AQ311" s="5">
        <f>VLOOKUP($A311,'ПР 01-02.21'!$A$11:$BB$406,43,FALSE)+VLOOKUP($A311,'ПР 21-22'!$A$11:$BB$406,43,FALSE)-VLOOKUP($A311,'ПР 01-02.22'!$A$11:$BB$378,43,FALSE)</f>
        <v>1275.715225914171</v>
      </c>
      <c r="AR311" s="5">
        <f>VLOOKUP($A311,'ПР 01-02.21'!$A$11:$BB$406,44,FALSE)+VLOOKUP($A311,'ПР 21-22'!$A$11:$BB$406,44,FALSE)-VLOOKUP($A311,'ПР 01-02.22'!$A$11:$BB$378,44,FALSE)</f>
        <v>0</v>
      </c>
      <c r="AS311" s="40"/>
      <c r="AT311" s="5">
        <f>VLOOKUP($A311,'ПР 01-02.21'!$A$11:$BB$406,46,FALSE)+VLOOKUP($A311,'ПР 21-22'!$A$11:$BB$406,46,FALSE)-VLOOKUP($A311,'ПР 01-02.22'!$A$11:$BB$378,46,FALSE)</f>
        <v>1632.1843709301054</v>
      </c>
      <c r="AU311" s="5">
        <f>VLOOKUP($A311,'ПР 01-02.21'!$A$11:$BB$406,47,FALSE)+VLOOKUP($A311,'ПР 21-22'!$A$11:$BB$406,47,FALSE)-VLOOKUP($A311,'ПР 01-02.22'!$A$11:$BB$378,47,FALSE)</f>
        <v>0</v>
      </c>
      <c r="AV311" s="40"/>
      <c r="AW311" s="5">
        <f>VLOOKUP($A311,'ПР 01-02.21'!$A$11:$BB$406,49,FALSE)+VLOOKUP($A311,'ПР 21-22'!$A$11:$BB$406,49,FALSE)-VLOOKUP($A311,'ПР 01-02.22'!$A$11:$BB$378,49,FALSE)</f>
        <v>538.04270168606922</v>
      </c>
      <c r="AX311" s="5">
        <f>VLOOKUP($A311,'ПР 01-02.21'!$A$11:$BB$406,50,FALSE)+VLOOKUP($A311,'ПР 21-22'!$A$11:$BB$406,50,FALSE)-VLOOKUP($A311,'ПР 01-02.22'!$A$11:$BB$378,50,FALSE)</f>
        <v>0</v>
      </c>
      <c r="AY311" s="40"/>
      <c r="AZ311" s="40">
        <f t="shared" si="21"/>
        <v>14506.278241900842</v>
      </c>
      <c r="BA311" s="40">
        <f t="shared" si="21"/>
        <v>773.23</v>
      </c>
      <c r="BB311" s="55">
        <f t="shared" si="20"/>
        <v>-13733.048241900842</v>
      </c>
      <c r="BD311" s="2">
        <v>1</v>
      </c>
      <c r="BF311" s="325">
        <v>150000840</v>
      </c>
    </row>
    <row r="312" spans="1:58" ht="24.9" customHeight="1" x14ac:dyDescent="0.3">
      <c r="A312" s="325">
        <v>150000841</v>
      </c>
      <c r="B312" s="445" t="s">
        <v>137</v>
      </c>
      <c r="C312" s="27">
        <v>1</v>
      </c>
      <c r="D312" s="101" t="s">
        <v>455</v>
      </c>
      <c r="E312" s="279">
        <f>'побудинковий звіт'!E310</f>
        <v>172.4</v>
      </c>
      <c r="F312" s="441">
        <f>'побудинковий звіт'!AS310</f>
        <v>1662.9785248317708</v>
      </c>
      <c r="G312" s="441">
        <f t="shared" si="18"/>
        <v>0</v>
      </c>
      <c r="H312" s="73">
        <f t="shared" si="19"/>
        <v>-1662.9785248317708</v>
      </c>
      <c r="I312" s="5">
        <f>VLOOKUP($A312,'ПР 01-02.21'!$A$11:$BB$406,9,FALSE)+VLOOKUP($A312,'ПР 21-22'!$A$11:$BB$406,9,FALSE)-VLOOKUP($A312,'ПР 01-02.22'!$A$11:$BB$378,9,FALSE)</f>
        <v>0</v>
      </c>
      <c r="J312" s="5">
        <f>VLOOKUP($A312,'ПР 01-02.21'!$A$11:$BB$406,10,FALSE)+VLOOKUP($A312,'ПР 21-22'!$A$11:$BB$406,10,FALSE)-VLOOKUP($A312,'ПР 01-02.22'!$A$11:$BB$378,10,FALSE)</f>
        <v>0</v>
      </c>
      <c r="K312" s="446"/>
      <c r="L312" s="5">
        <f>VLOOKUP($A312,'ПР 01-02.21'!$A$11:$BB$406,12,FALSE)+VLOOKUP($A312,'ПР 21-22'!$A$11:$BB$406,12,FALSE)-VLOOKUP($A312,'ПР 01-02.22'!$A$11:$BB$378,12,FALSE)</f>
        <v>0</v>
      </c>
      <c r="M312" s="5">
        <f>VLOOKUP($A312,'ПР 01-02.21'!$A$11:$BB$406,13,FALSE)+VLOOKUP($A312,'ПР 21-22'!$A$11:$BB$406,13,FALSE)-VLOOKUP($A312,'ПР 01-02.22'!$A$11:$BB$378,13,FALSE)</f>
        <v>0</v>
      </c>
      <c r="N312" s="38"/>
      <c r="O312" s="5">
        <f>VLOOKUP($A312,'ПР 01-02.21'!$A$11:$BB$406,15,FALSE)+VLOOKUP($A312,'ПР 21-22'!$A$11:$BB$406,15,FALSE)-VLOOKUP($A312,'ПР 01-02.22'!$A$11:$BB$378,15,FALSE)</f>
        <v>0</v>
      </c>
      <c r="P312" s="5">
        <f>VLOOKUP($A312,'ПР 01-02.21'!$A$11:$BB$406,16,FALSE)+VLOOKUP($A312,'ПР 21-22'!$A$11:$BB$406,16,FALSE)-VLOOKUP($A312,'ПР 01-02.22'!$A$11:$BB$378,16,FALSE)</f>
        <v>0</v>
      </c>
      <c r="Q312" s="443"/>
      <c r="R312" s="5">
        <f>VLOOKUP($A312,'ПР 01-02.21'!$A$11:$BB$406,18,FALSE)+VLOOKUP($A312,'ПР 21-22'!$A$11:$BB$406,18,FALSE)-VLOOKUP($A312,'ПР 01-02.22'!$A$11:$BB$378,18,FALSE)</f>
        <v>0</v>
      </c>
      <c r="S312" s="5">
        <f>VLOOKUP($A312,'ПР 01-02.21'!$A$11:$BB$406,19,FALSE)+VLOOKUP($A312,'ПР 21-22'!$A$11:$BB$406,19,FALSE)-VLOOKUP($A312,'ПР 01-02.22'!$A$11:$BB$378,19,FALSE)</f>
        <v>0</v>
      </c>
      <c r="T312" s="444"/>
      <c r="U312" s="5">
        <f>VLOOKUP($A312,'ПР 01-02.21'!$A$11:$BB$406,21,FALSE)+VLOOKUP($A312,'ПР 21-22'!$A$11:$BB$406,21,FALSE)-VLOOKUP($A312,'ПР 01-02.22'!$A$11:$BB$378,21,FALSE)</f>
        <v>0</v>
      </c>
      <c r="V312" s="5"/>
      <c r="W312" s="5">
        <f>VLOOKUP($A312,'ПР 01-02.21'!$A$11:$BB$406,23,FALSE)+VLOOKUP($A312,'ПР 21-22'!$A$11:$BB$406,23,FALSE)-VLOOKUP($A312,'ПР 01-02.22'!$A$11:$BB$378,23,FALSE)</f>
        <v>0</v>
      </c>
      <c r="X312" s="5">
        <f>VLOOKUP($A312,'ПР 01-02.21'!$A$11:$BB$406,24,FALSE)+VLOOKUP($A312,'ПР 21-22'!$A$11:$BB$406,24,FALSE)-VLOOKUP($A312,'ПР 01-02.22'!$A$11:$BB$378,24,FALSE)</f>
        <v>0</v>
      </c>
      <c r="Y312" s="5">
        <f>VLOOKUP($A312,'ПР 01-02.21'!$A$11:$BB$406,25,FALSE)+VLOOKUP($A312,'ПР 21-22'!$A$11:$BB$406,25,FALSE)-VLOOKUP($A312,'ПР 01-02.22'!$A$11:$BB$378,25,FALSE)</f>
        <v>0</v>
      </c>
      <c r="Z312" s="5"/>
      <c r="AA312" s="5">
        <f>VLOOKUP($A312,'ПР 01-02.21'!$A$11:$BB$406,27,FALSE)+VLOOKUP($A312,'ПР 21-22'!$A$11:$BB$406,27,FALSE)-VLOOKUP($A312,'ПР 01-02.22'!$A$11:$BB$378,27,FALSE)</f>
        <v>0</v>
      </c>
      <c r="AB312" s="5">
        <f>VLOOKUP($A312,'ПР 01-02.21'!$A$11:$BB$406,28,FALSE)+VLOOKUP($A312,'ПР 21-22'!$A$11:$BB$406,28,FALSE)-VLOOKUP($A312,'ПР 01-02.22'!$A$11:$BB$378,28,FALSE)</f>
        <v>0</v>
      </c>
      <c r="AC312" s="5">
        <f>VLOOKUP($A312,'ПР 01-02.21'!$A$11:$BB$406,29,FALSE)+VLOOKUP($A312,'ПР 21-22'!$A$11:$BB$406,29,FALSE)-VLOOKUP($A312,'ПР 01-02.22'!$A$11:$BB$378,29,FALSE)</f>
        <v>0</v>
      </c>
      <c r="AD312" s="5">
        <f>VLOOKUP($A312,'ПР 01-02.21'!$A$11:$BB$406,30,FALSE)+VLOOKUP($A312,'ПР 21-22'!$A$11:$BB$406,30,FALSE)-VLOOKUP($A312,'ПР 01-02.22'!$A$11:$BB$378,30,FALSE)</f>
        <v>0</v>
      </c>
      <c r="AE312" s="5">
        <f>VLOOKUP($A312,'ПР 01-02.21'!$A$11:$BB$406,31,FALSE)+VLOOKUP($A312,'ПР 21-22'!$A$11:$BB$406,31,FALSE)-VLOOKUP($A312,'ПР 01-02.22'!$A$11:$BB$378,31,FALSE)</f>
        <v>0</v>
      </c>
      <c r="AF312" s="5">
        <f>VLOOKUP($A312,'ПР 01-02.21'!$A$11:$BB$406,32,FALSE)+VLOOKUP($A312,'ПР 21-22'!$A$11:$BB$406,32,FALSE)-VLOOKUP($A312,'ПР 01-02.22'!$A$11:$BB$378,32,FALSE)</f>
        <v>0</v>
      </c>
      <c r="AG312" s="40"/>
      <c r="AH312" s="5">
        <f>VLOOKUP($A312,'ПР 01-02.21'!$A$11:$BB$406,34,FALSE)+VLOOKUP($A312,'ПР 21-22'!$A$11:$BB$406,34,FALSE)-VLOOKUP($A312,'ПР 01-02.22'!$A$11:$BB$378,34,FALSE)</f>
        <v>0</v>
      </c>
      <c r="AI312" s="5">
        <f>VLOOKUP($A312,'ПР 01-02.21'!$A$11:$BB$406,35,FALSE)+VLOOKUP($A312,'ПР 21-22'!$A$11:$BB$406,35,FALSE)-VLOOKUP($A312,'ПР 01-02.22'!$A$11:$BB$378,35,FALSE)</f>
        <v>0</v>
      </c>
      <c r="AJ312" s="40"/>
      <c r="AK312" s="5">
        <f>VLOOKUP($A312,'ПР 01-02.21'!$A$11:$BB$406,37,FALSE)+VLOOKUP($A312,'ПР 21-22'!$A$11:$BB$406,37,FALSE)-VLOOKUP($A312,'ПР 01-02.22'!$A$11:$BB$378,37,FALSE)</f>
        <v>0</v>
      </c>
      <c r="AL312" s="5">
        <f>VLOOKUP($A312,'ПР 01-02.21'!$A$11:$BB$406,38,FALSE)+VLOOKUP($A312,'ПР 21-22'!$A$11:$BB$406,38,FALSE)-VLOOKUP($A312,'ПР 01-02.22'!$A$11:$BB$378,38,FALSE)</f>
        <v>0</v>
      </c>
      <c r="AM312" s="40"/>
      <c r="AN312" s="5">
        <f>VLOOKUP($A312,'ПР 01-02.21'!$A$11:$BB$406,40,FALSE)+VLOOKUP($A312,'ПР 21-22'!$A$11:$BB$406,40,FALSE)-VLOOKUP($A312,'ПР 01-02.22'!$A$11:$BB$378,40,FALSE)</f>
        <v>0</v>
      </c>
      <c r="AO312" s="5">
        <f>VLOOKUP($A312,'ПР 01-02.21'!$A$11:$BB$406,41,FALSE)+VLOOKUP($A312,'ПР 21-22'!$A$11:$BB$406,41,FALSE)-VLOOKUP($A312,'ПР 01-02.22'!$A$11:$BB$378,41,FALSE)</f>
        <v>0</v>
      </c>
      <c r="AP312" s="40"/>
      <c r="AQ312" s="5">
        <f>VLOOKUP($A312,'ПР 01-02.21'!$A$11:$BB$406,43,FALSE)+VLOOKUP($A312,'ПР 21-22'!$A$11:$BB$406,43,FALSE)-VLOOKUP($A312,'ПР 01-02.22'!$A$11:$BB$378,43,FALSE)</f>
        <v>0</v>
      </c>
      <c r="AR312" s="5">
        <f>VLOOKUP($A312,'ПР 01-02.21'!$A$11:$BB$406,44,FALSE)+VLOOKUP($A312,'ПР 21-22'!$A$11:$BB$406,44,FALSE)-VLOOKUP($A312,'ПР 01-02.22'!$A$11:$BB$378,44,FALSE)</f>
        <v>0</v>
      </c>
      <c r="AS312" s="40"/>
      <c r="AT312" s="5">
        <f>VLOOKUP($A312,'ПР 01-02.21'!$A$11:$BB$406,46,FALSE)+VLOOKUP($A312,'ПР 21-22'!$A$11:$BB$406,46,FALSE)-VLOOKUP($A312,'ПР 01-02.22'!$A$11:$BB$378,46,FALSE)</f>
        <v>0</v>
      </c>
      <c r="AU312" s="5">
        <f>VLOOKUP($A312,'ПР 01-02.21'!$A$11:$BB$406,47,FALSE)+VLOOKUP($A312,'ПР 21-22'!$A$11:$BB$406,47,FALSE)-VLOOKUP($A312,'ПР 01-02.22'!$A$11:$BB$378,47,FALSE)</f>
        <v>0</v>
      </c>
      <c r="AV312" s="40"/>
      <c r="AW312" s="5">
        <f>VLOOKUP($A312,'ПР 01-02.21'!$A$11:$BB$406,49,FALSE)+VLOOKUP($A312,'ПР 21-22'!$A$11:$BB$406,49,FALSE)-VLOOKUP($A312,'ПР 01-02.22'!$A$11:$BB$378,49,FALSE)</f>
        <v>13.081606171587595</v>
      </c>
      <c r="AX312" s="5">
        <f>VLOOKUP($A312,'ПР 01-02.21'!$A$11:$BB$406,50,FALSE)+VLOOKUP($A312,'ПР 21-22'!$A$11:$BB$406,50,FALSE)-VLOOKUP($A312,'ПР 01-02.22'!$A$11:$BB$378,50,FALSE)</f>
        <v>0</v>
      </c>
      <c r="AY312" s="40"/>
      <c r="AZ312" s="40">
        <f t="shared" si="21"/>
        <v>13.081606171587595</v>
      </c>
      <c r="BA312" s="40">
        <f t="shared" si="21"/>
        <v>0</v>
      </c>
      <c r="BB312" s="55">
        <f t="shared" si="20"/>
        <v>-13.081606171587595</v>
      </c>
      <c r="BD312" s="2">
        <v>1</v>
      </c>
      <c r="BF312" s="325">
        <v>150000841</v>
      </c>
    </row>
    <row r="313" spans="1:58" ht="24.9" customHeight="1" x14ac:dyDescent="0.3">
      <c r="A313" s="325">
        <v>150000848</v>
      </c>
      <c r="B313" s="445" t="s">
        <v>187</v>
      </c>
      <c r="C313" s="27">
        <v>2</v>
      </c>
      <c r="D313" s="101" t="s">
        <v>455</v>
      </c>
      <c r="E313" s="279">
        <f>'побудинковий звіт'!E311</f>
        <v>261.2</v>
      </c>
      <c r="F313" s="441">
        <f>'побудинковий звіт'!AS311</f>
        <v>3288.7089100508069</v>
      </c>
      <c r="G313" s="441">
        <f t="shared" si="18"/>
        <v>0</v>
      </c>
      <c r="H313" s="73">
        <f t="shared" si="19"/>
        <v>-3288.7089100508069</v>
      </c>
      <c r="I313" s="5">
        <f>VLOOKUP($A313,'ПР 01-02.21'!$A$11:$BB$406,9,FALSE)+VLOOKUP($A313,'ПР 21-22'!$A$11:$BB$406,9,FALSE)-VLOOKUP($A313,'ПР 01-02.22'!$A$11:$BB$378,9,FALSE)</f>
        <v>0</v>
      </c>
      <c r="J313" s="5">
        <f>VLOOKUP($A313,'ПР 01-02.21'!$A$11:$BB$406,10,FALSE)+VLOOKUP($A313,'ПР 21-22'!$A$11:$BB$406,10,FALSE)-VLOOKUP($A313,'ПР 01-02.22'!$A$11:$BB$378,10,FALSE)</f>
        <v>0</v>
      </c>
      <c r="K313" s="446"/>
      <c r="L313" s="5">
        <f>VLOOKUP($A313,'ПР 01-02.21'!$A$11:$BB$406,12,FALSE)+VLOOKUP($A313,'ПР 21-22'!$A$11:$BB$406,12,FALSE)-VLOOKUP($A313,'ПР 01-02.22'!$A$11:$BB$378,12,FALSE)</f>
        <v>0</v>
      </c>
      <c r="M313" s="5">
        <f>VLOOKUP($A313,'ПР 01-02.21'!$A$11:$BB$406,13,FALSE)+VLOOKUP($A313,'ПР 21-22'!$A$11:$BB$406,13,FALSE)-VLOOKUP($A313,'ПР 01-02.22'!$A$11:$BB$378,13,FALSE)</f>
        <v>0</v>
      </c>
      <c r="N313" s="38"/>
      <c r="O313" s="5">
        <f>VLOOKUP($A313,'ПР 01-02.21'!$A$11:$BB$406,15,FALSE)+VLOOKUP($A313,'ПР 21-22'!$A$11:$BB$406,15,FALSE)-VLOOKUP($A313,'ПР 01-02.22'!$A$11:$BB$378,15,FALSE)</f>
        <v>0</v>
      </c>
      <c r="P313" s="5">
        <f>VLOOKUP($A313,'ПР 01-02.21'!$A$11:$BB$406,16,FALSE)+VLOOKUP($A313,'ПР 21-22'!$A$11:$BB$406,16,FALSE)-VLOOKUP($A313,'ПР 01-02.22'!$A$11:$BB$378,16,FALSE)</f>
        <v>0</v>
      </c>
      <c r="Q313" s="443"/>
      <c r="R313" s="5">
        <f>VLOOKUP($A313,'ПР 01-02.21'!$A$11:$BB$406,18,FALSE)+VLOOKUP($A313,'ПР 21-22'!$A$11:$BB$406,18,FALSE)-VLOOKUP($A313,'ПР 01-02.22'!$A$11:$BB$378,18,FALSE)</f>
        <v>0</v>
      </c>
      <c r="S313" s="5">
        <f>VLOOKUP($A313,'ПР 01-02.21'!$A$11:$BB$406,19,FALSE)+VLOOKUP($A313,'ПР 21-22'!$A$11:$BB$406,19,FALSE)-VLOOKUP($A313,'ПР 01-02.22'!$A$11:$BB$378,19,FALSE)</f>
        <v>0</v>
      </c>
      <c r="T313" s="444"/>
      <c r="U313" s="5">
        <f>VLOOKUP($A313,'ПР 01-02.21'!$A$11:$BB$406,21,FALSE)+VLOOKUP($A313,'ПР 21-22'!$A$11:$BB$406,21,FALSE)-VLOOKUP($A313,'ПР 01-02.22'!$A$11:$BB$378,21,FALSE)</f>
        <v>0</v>
      </c>
      <c r="V313" s="5"/>
      <c r="W313" s="5">
        <f>VLOOKUP($A313,'ПР 01-02.21'!$A$11:$BB$406,23,FALSE)+VLOOKUP($A313,'ПР 21-22'!$A$11:$BB$406,23,FALSE)-VLOOKUP($A313,'ПР 01-02.22'!$A$11:$BB$378,23,FALSE)</f>
        <v>0</v>
      </c>
      <c r="X313" s="5">
        <f>VLOOKUP($A313,'ПР 01-02.21'!$A$11:$BB$406,24,FALSE)+VLOOKUP($A313,'ПР 21-22'!$A$11:$BB$406,24,FALSE)-VLOOKUP($A313,'ПР 01-02.22'!$A$11:$BB$378,24,FALSE)</f>
        <v>0</v>
      </c>
      <c r="Y313" s="5">
        <f>VLOOKUP($A313,'ПР 01-02.21'!$A$11:$BB$406,25,FALSE)+VLOOKUP($A313,'ПР 21-22'!$A$11:$BB$406,25,FALSE)-VLOOKUP($A313,'ПР 01-02.22'!$A$11:$BB$378,25,FALSE)</f>
        <v>0</v>
      </c>
      <c r="Z313" s="5"/>
      <c r="AA313" s="5">
        <f>VLOOKUP($A313,'ПР 01-02.21'!$A$11:$BB$406,27,FALSE)+VLOOKUP($A313,'ПР 21-22'!$A$11:$BB$406,27,FALSE)-VLOOKUP($A313,'ПР 01-02.22'!$A$11:$BB$378,27,FALSE)</f>
        <v>0</v>
      </c>
      <c r="AB313" s="5">
        <f>VLOOKUP($A313,'ПР 01-02.21'!$A$11:$BB$406,28,FALSE)+VLOOKUP($A313,'ПР 21-22'!$A$11:$BB$406,28,FALSE)-VLOOKUP($A313,'ПР 01-02.22'!$A$11:$BB$378,28,FALSE)</f>
        <v>0</v>
      </c>
      <c r="AC313" s="5">
        <f>VLOOKUP($A313,'ПР 01-02.21'!$A$11:$BB$406,29,FALSE)+VLOOKUP($A313,'ПР 21-22'!$A$11:$BB$406,29,FALSE)-VLOOKUP($A313,'ПР 01-02.22'!$A$11:$BB$378,29,FALSE)</f>
        <v>0</v>
      </c>
      <c r="AD313" s="5">
        <f>VLOOKUP($A313,'ПР 01-02.21'!$A$11:$BB$406,30,FALSE)+VLOOKUP($A313,'ПР 21-22'!$A$11:$BB$406,30,FALSE)-VLOOKUP($A313,'ПР 01-02.22'!$A$11:$BB$378,30,FALSE)</f>
        <v>0</v>
      </c>
      <c r="AE313" s="5">
        <f>VLOOKUP($A313,'ПР 01-02.21'!$A$11:$BB$406,31,FALSE)+VLOOKUP($A313,'ПР 21-22'!$A$11:$BB$406,31,FALSE)-VLOOKUP($A313,'ПР 01-02.22'!$A$11:$BB$378,31,FALSE)</f>
        <v>321.57223966580534</v>
      </c>
      <c r="AF313" s="5">
        <f>VLOOKUP($A313,'ПР 01-02.21'!$A$11:$BB$406,32,FALSE)+VLOOKUP($A313,'ПР 21-22'!$A$11:$BB$406,32,FALSE)-VLOOKUP($A313,'ПР 01-02.22'!$A$11:$BB$378,32,FALSE)</f>
        <v>0</v>
      </c>
      <c r="AG313" s="40"/>
      <c r="AH313" s="5">
        <f>VLOOKUP($A313,'ПР 01-02.21'!$A$11:$BB$406,34,FALSE)+VLOOKUP($A313,'ПР 21-22'!$A$11:$BB$406,34,FALSE)-VLOOKUP($A313,'ПР 01-02.22'!$A$11:$BB$378,34,FALSE)</f>
        <v>415.95200493475488</v>
      </c>
      <c r="AI313" s="5">
        <f>VLOOKUP($A313,'ПР 01-02.21'!$A$11:$BB$406,35,FALSE)+VLOOKUP($A313,'ПР 21-22'!$A$11:$BB$406,35,FALSE)-VLOOKUP($A313,'ПР 01-02.22'!$A$11:$BB$378,35,FALSE)</f>
        <v>0</v>
      </c>
      <c r="AJ313" s="40"/>
      <c r="AK313" s="5">
        <f>VLOOKUP($A313,'ПР 01-02.21'!$A$11:$BB$406,37,FALSE)+VLOOKUP($A313,'ПР 21-22'!$A$11:$BB$406,37,FALSE)-VLOOKUP($A313,'ПР 01-02.22'!$A$11:$BB$378,37,FALSE)</f>
        <v>121.96425170176927</v>
      </c>
      <c r="AL313" s="5">
        <f>VLOOKUP($A313,'ПР 01-02.21'!$A$11:$BB$406,38,FALSE)+VLOOKUP($A313,'ПР 21-22'!$A$11:$BB$406,38,FALSE)-VLOOKUP($A313,'ПР 01-02.22'!$A$11:$BB$378,38,FALSE)</f>
        <v>0</v>
      </c>
      <c r="AM313" s="40"/>
      <c r="AN313" s="5">
        <f>VLOOKUP($A313,'ПР 01-02.21'!$A$11:$BB$406,40,FALSE)+VLOOKUP($A313,'ПР 21-22'!$A$11:$BB$406,40,FALSE)-VLOOKUP($A313,'ПР 01-02.22'!$A$11:$BB$378,40,FALSE)</f>
        <v>0</v>
      </c>
      <c r="AO313" s="5">
        <f>VLOOKUP($A313,'ПР 01-02.21'!$A$11:$BB$406,41,FALSE)+VLOOKUP($A313,'ПР 21-22'!$A$11:$BB$406,41,FALSE)-VLOOKUP($A313,'ПР 01-02.22'!$A$11:$BB$378,41,FALSE)</f>
        <v>0</v>
      </c>
      <c r="AP313" s="40"/>
      <c r="AQ313" s="5">
        <f>VLOOKUP($A313,'ПР 01-02.21'!$A$11:$BB$406,43,FALSE)+VLOOKUP($A313,'ПР 21-22'!$A$11:$BB$406,43,FALSE)-VLOOKUP($A313,'ПР 01-02.22'!$A$11:$BB$378,43,FALSE)</f>
        <v>0</v>
      </c>
      <c r="AR313" s="5">
        <f>VLOOKUP($A313,'ПР 01-02.21'!$A$11:$BB$406,44,FALSE)+VLOOKUP($A313,'ПР 21-22'!$A$11:$BB$406,44,FALSE)-VLOOKUP($A313,'ПР 01-02.22'!$A$11:$BB$378,44,FALSE)</f>
        <v>0</v>
      </c>
      <c r="AS313" s="40"/>
      <c r="AT313" s="5">
        <f>VLOOKUP($A313,'ПР 01-02.21'!$A$11:$BB$406,46,FALSE)+VLOOKUP($A313,'ПР 21-22'!$A$11:$BB$406,46,FALSE)-VLOOKUP($A313,'ПР 01-02.22'!$A$11:$BB$378,46,FALSE)</f>
        <v>52.600040000392667</v>
      </c>
      <c r="AU313" s="5">
        <f>VLOOKUP($A313,'ПР 01-02.21'!$A$11:$BB$406,47,FALSE)+VLOOKUP($A313,'ПР 21-22'!$A$11:$BB$406,47,FALSE)-VLOOKUP($A313,'ПР 01-02.22'!$A$11:$BB$378,47,FALSE)</f>
        <v>0</v>
      </c>
      <c r="AV313" s="40"/>
      <c r="AW313" s="5">
        <f>VLOOKUP($A313,'ПР 01-02.21'!$A$11:$BB$406,49,FALSE)+VLOOKUP($A313,'ПР 21-22'!$A$11:$BB$406,49,FALSE)-VLOOKUP($A313,'ПР 01-02.22'!$A$11:$BB$378,49,FALSE)</f>
        <v>13.448</v>
      </c>
      <c r="AX313" s="5">
        <f>VLOOKUP($A313,'ПР 01-02.21'!$A$11:$BB$406,50,FALSE)+VLOOKUP($A313,'ПР 21-22'!$A$11:$BB$406,50,FALSE)-VLOOKUP($A313,'ПР 01-02.22'!$A$11:$BB$378,50,FALSE)</f>
        <v>0</v>
      </c>
      <c r="AY313" s="40"/>
      <c r="AZ313" s="40">
        <f t="shared" si="21"/>
        <v>925.5365363027222</v>
      </c>
      <c r="BA313" s="40">
        <f t="shared" si="21"/>
        <v>0</v>
      </c>
      <c r="BB313" s="55">
        <f t="shared" si="20"/>
        <v>-925.5365363027222</v>
      </c>
      <c r="BD313" s="2">
        <v>2</v>
      </c>
      <c r="BF313" s="325">
        <v>150000848</v>
      </c>
    </row>
    <row r="314" spans="1:58" ht="24.9" customHeight="1" x14ac:dyDescent="0.3">
      <c r="A314" s="325">
        <v>150000835</v>
      </c>
      <c r="B314" s="445" t="s">
        <v>138</v>
      </c>
      <c r="C314" s="27">
        <v>1</v>
      </c>
      <c r="D314" s="101" t="s">
        <v>455</v>
      </c>
      <c r="E314" s="279">
        <f>'побудинковий звіт'!E312</f>
        <v>128.6</v>
      </c>
      <c r="F314" s="441">
        <f>'побудинковий звіт'!AS312</f>
        <v>1539.3441943382065</v>
      </c>
      <c r="G314" s="441">
        <f t="shared" si="18"/>
        <v>0</v>
      </c>
      <c r="H314" s="73">
        <f t="shared" si="19"/>
        <v>-1539.3441943382065</v>
      </c>
      <c r="I314" s="5">
        <f>VLOOKUP($A314,'ПР 01-02.21'!$A$11:$BB$406,9,FALSE)+VLOOKUP($A314,'ПР 21-22'!$A$11:$BB$406,9,FALSE)-VLOOKUP($A314,'ПР 01-02.22'!$A$11:$BB$378,9,FALSE)</f>
        <v>0</v>
      </c>
      <c r="J314" s="5">
        <f>VLOOKUP($A314,'ПР 01-02.21'!$A$11:$BB$406,10,FALSE)+VLOOKUP($A314,'ПР 21-22'!$A$11:$BB$406,10,FALSE)-VLOOKUP($A314,'ПР 01-02.22'!$A$11:$BB$378,10,FALSE)</f>
        <v>0</v>
      </c>
      <c r="K314" s="446"/>
      <c r="L314" s="5">
        <f>VLOOKUP($A314,'ПР 01-02.21'!$A$11:$BB$406,12,FALSE)+VLOOKUP($A314,'ПР 21-22'!$A$11:$BB$406,12,FALSE)-VLOOKUP($A314,'ПР 01-02.22'!$A$11:$BB$378,12,FALSE)</f>
        <v>0</v>
      </c>
      <c r="M314" s="5">
        <f>VLOOKUP($A314,'ПР 01-02.21'!$A$11:$BB$406,13,FALSE)+VLOOKUP($A314,'ПР 21-22'!$A$11:$BB$406,13,FALSE)-VLOOKUP($A314,'ПР 01-02.22'!$A$11:$BB$378,13,FALSE)</f>
        <v>0</v>
      </c>
      <c r="N314" s="38"/>
      <c r="O314" s="5">
        <f>VLOOKUP($A314,'ПР 01-02.21'!$A$11:$BB$406,15,FALSE)+VLOOKUP($A314,'ПР 21-22'!$A$11:$BB$406,15,FALSE)-VLOOKUP($A314,'ПР 01-02.22'!$A$11:$BB$378,15,FALSE)</f>
        <v>0</v>
      </c>
      <c r="P314" s="5">
        <f>VLOOKUP($A314,'ПР 01-02.21'!$A$11:$BB$406,16,FALSE)+VLOOKUP($A314,'ПР 21-22'!$A$11:$BB$406,16,FALSE)-VLOOKUP($A314,'ПР 01-02.22'!$A$11:$BB$378,16,FALSE)</f>
        <v>0</v>
      </c>
      <c r="Q314" s="443"/>
      <c r="R314" s="5">
        <f>VLOOKUP($A314,'ПР 01-02.21'!$A$11:$BB$406,18,FALSE)+VLOOKUP($A314,'ПР 21-22'!$A$11:$BB$406,18,FALSE)-VLOOKUP($A314,'ПР 01-02.22'!$A$11:$BB$378,18,FALSE)</f>
        <v>0</v>
      </c>
      <c r="S314" s="5">
        <f>VLOOKUP($A314,'ПР 01-02.21'!$A$11:$BB$406,19,FALSE)+VLOOKUP($A314,'ПР 21-22'!$A$11:$BB$406,19,FALSE)-VLOOKUP($A314,'ПР 01-02.22'!$A$11:$BB$378,19,FALSE)</f>
        <v>0</v>
      </c>
      <c r="T314" s="444"/>
      <c r="U314" s="5">
        <f>VLOOKUP($A314,'ПР 01-02.21'!$A$11:$BB$406,21,FALSE)+VLOOKUP($A314,'ПР 21-22'!$A$11:$BB$406,21,FALSE)-VLOOKUP($A314,'ПР 01-02.22'!$A$11:$BB$378,21,FALSE)</f>
        <v>0</v>
      </c>
      <c r="V314" s="5"/>
      <c r="W314" s="5">
        <f>VLOOKUP($A314,'ПР 01-02.21'!$A$11:$BB$406,23,FALSE)+VLOOKUP($A314,'ПР 21-22'!$A$11:$BB$406,23,FALSE)-VLOOKUP($A314,'ПР 01-02.22'!$A$11:$BB$378,23,FALSE)</f>
        <v>0</v>
      </c>
      <c r="X314" s="5">
        <f>VLOOKUP($A314,'ПР 01-02.21'!$A$11:$BB$406,24,FALSE)+VLOOKUP($A314,'ПР 21-22'!$A$11:$BB$406,24,FALSE)-VLOOKUP($A314,'ПР 01-02.22'!$A$11:$BB$378,24,FALSE)</f>
        <v>0</v>
      </c>
      <c r="Y314" s="5">
        <f>VLOOKUP($A314,'ПР 01-02.21'!$A$11:$BB$406,25,FALSE)+VLOOKUP($A314,'ПР 21-22'!$A$11:$BB$406,25,FALSE)-VLOOKUP($A314,'ПР 01-02.22'!$A$11:$BB$378,25,FALSE)</f>
        <v>0</v>
      </c>
      <c r="Z314" s="5"/>
      <c r="AA314" s="5">
        <f>VLOOKUP($A314,'ПР 01-02.21'!$A$11:$BB$406,27,FALSE)+VLOOKUP($A314,'ПР 21-22'!$A$11:$BB$406,27,FALSE)-VLOOKUP($A314,'ПР 01-02.22'!$A$11:$BB$378,27,FALSE)</f>
        <v>0</v>
      </c>
      <c r="AB314" s="5">
        <f>VLOOKUP($A314,'ПР 01-02.21'!$A$11:$BB$406,28,FALSE)+VLOOKUP($A314,'ПР 21-22'!$A$11:$BB$406,28,FALSE)-VLOOKUP($A314,'ПР 01-02.22'!$A$11:$BB$378,28,FALSE)</f>
        <v>0</v>
      </c>
      <c r="AC314" s="5">
        <f>VLOOKUP($A314,'ПР 01-02.21'!$A$11:$BB$406,29,FALSE)+VLOOKUP($A314,'ПР 21-22'!$A$11:$BB$406,29,FALSE)-VLOOKUP($A314,'ПР 01-02.22'!$A$11:$BB$378,29,FALSE)</f>
        <v>0</v>
      </c>
      <c r="AD314" s="5">
        <f>VLOOKUP($A314,'ПР 01-02.21'!$A$11:$BB$406,30,FALSE)+VLOOKUP($A314,'ПР 21-22'!$A$11:$BB$406,30,FALSE)-VLOOKUP($A314,'ПР 01-02.22'!$A$11:$BB$378,30,FALSE)</f>
        <v>0</v>
      </c>
      <c r="AE314" s="5">
        <f>VLOOKUP($A314,'ПР 01-02.21'!$A$11:$BB$406,31,FALSE)+VLOOKUP($A314,'ПР 21-22'!$A$11:$BB$406,31,FALSE)-VLOOKUP($A314,'ПР 01-02.22'!$A$11:$BB$378,31,FALSE)</f>
        <v>0</v>
      </c>
      <c r="AF314" s="5">
        <f>VLOOKUP($A314,'ПР 01-02.21'!$A$11:$BB$406,32,FALSE)+VLOOKUP($A314,'ПР 21-22'!$A$11:$BB$406,32,FALSE)-VLOOKUP($A314,'ПР 01-02.22'!$A$11:$BB$378,32,FALSE)</f>
        <v>0</v>
      </c>
      <c r="AG314" s="40"/>
      <c r="AH314" s="5">
        <f>VLOOKUP($A314,'ПР 01-02.21'!$A$11:$BB$406,34,FALSE)+VLOOKUP($A314,'ПР 21-22'!$A$11:$BB$406,34,FALSE)-VLOOKUP($A314,'ПР 01-02.22'!$A$11:$BB$378,34,FALSE)</f>
        <v>0</v>
      </c>
      <c r="AI314" s="5">
        <f>VLOOKUP($A314,'ПР 01-02.21'!$A$11:$BB$406,35,FALSE)+VLOOKUP($A314,'ПР 21-22'!$A$11:$BB$406,35,FALSE)-VLOOKUP($A314,'ПР 01-02.22'!$A$11:$BB$378,35,FALSE)</f>
        <v>0</v>
      </c>
      <c r="AJ314" s="40"/>
      <c r="AK314" s="5">
        <f>VLOOKUP($A314,'ПР 01-02.21'!$A$11:$BB$406,37,FALSE)+VLOOKUP($A314,'ПР 21-22'!$A$11:$BB$406,37,FALSE)-VLOOKUP($A314,'ПР 01-02.22'!$A$11:$BB$378,37,FALSE)</f>
        <v>0</v>
      </c>
      <c r="AL314" s="5">
        <f>VLOOKUP($A314,'ПР 01-02.21'!$A$11:$BB$406,38,FALSE)+VLOOKUP($A314,'ПР 21-22'!$A$11:$BB$406,38,FALSE)-VLOOKUP($A314,'ПР 01-02.22'!$A$11:$BB$378,38,FALSE)</f>
        <v>0</v>
      </c>
      <c r="AM314" s="40"/>
      <c r="AN314" s="5">
        <f>VLOOKUP($A314,'ПР 01-02.21'!$A$11:$BB$406,40,FALSE)+VLOOKUP($A314,'ПР 21-22'!$A$11:$BB$406,40,FALSE)-VLOOKUP($A314,'ПР 01-02.22'!$A$11:$BB$378,40,FALSE)</f>
        <v>0</v>
      </c>
      <c r="AO314" s="5">
        <f>VLOOKUP($A314,'ПР 01-02.21'!$A$11:$BB$406,41,FALSE)+VLOOKUP($A314,'ПР 21-22'!$A$11:$BB$406,41,FALSE)-VLOOKUP($A314,'ПР 01-02.22'!$A$11:$BB$378,41,FALSE)</f>
        <v>0</v>
      </c>
      <c r="AP314" s="40"/>
      <c r="AQ314" s="5">
        <f>VLOOKUP($A314,'ПР 01-02.21'!$A$11:$BB$406,43,FALSE)+VLOOKUP($A314,'ПР 21-22'!$A$11:$BB$406,43,FALSE)-VLOOKUP($A314,'ПР 01-02.22'!$A$11:$BB$378,43,FALSE)</f>
        <v>0</v>
      </c>
      <c r="AR314" s="5">
        <f>VLOOKUP($A314,'ПР 01-02.21'!$A$11:$BB$406,44,FALSE)+VLOOKUP($A314,'ПР 21-22'!$A$11:$BB$406,44,FALSE)-VLOOKUP($A314,'ПР 01-02.22'!$A$11:$BB$378,44,FALSE)</f>
        <v>0</v>
      </c>
      <c r="AS314" s="40"/>
      <c r="AT314" s="5">
        <f>VLOOKUP($A314,'ПР 01-02.21'!$A$11:$BB$406,46,FALSE)+VLOOKUP($A314,'ПР 21-22'!$A$11:$BB$406,46,FALSE)-VLOOKUP($A314,'ПР 01-02.22'!$A$11:$BB$378,46,FALSE)</f>
        <v>0</v>
      </c>
      <c r="AU314" s="5">
        <f>VLOOKUP($A314,'ПР 01-02.21'!$A$11:$BB$406,47,FALSE)+VLOOKUP($A314,'ПР 21-22'!$A$11:$BB$406,47,FALSE)-VLOOKUP($A314,'ПР 01-02.22'!$A$11:$BB$378,47,FALSE)</f>
        <v>0</v>
      </c>
      <c r="AV314" s="40"/>
      <c r="AW314" s="5">
        <f>VLOOKUP($A314,'ПР 01-02.21'!$A$11:$BB$406,49,FALSE)+VLOOKUP($A314,'ПР 21-22'!$A$11:$BB$406,49,FALSE)-VLOOKUP($A314,'ПР 01-02.22'!$A$11:$BB$378,49,FALSE)</f>
        <v>6.1440000000000001</v>
      </c>
      <c r="AX314" s="5">
        <f>VLOOKUP($A314,'ПР 01-02.21'!$A$11:$BB$406,50,FALSE)+VLOOKUP($A314,'ПР 21-22'!$A$11:$BB$406,50,FALSE)-VLOOKUP($A314,'ПР 01-02.22'!$A$11:$BB$378,50,FALSE)</f>
        <v>0</v>
      </c>
      <c r="AY314" s="40"/>
      <c r="AZ314" s="40">
        <f t="shared" si="21"/>
        <v>6.1440000000000001</v>
      </c>
      <c r="BA314" s="40">
        <f t="shared" si="21"/>
        <v>0</v>
      </c>
      <c r="BB314" s="55">
        <f t="shared" si="20"/>
        <v>-6.1440000000000001</v>
      </c>
      <c r="BD314" s="2">
        <v>2</v>
      </c>
      <c r="BF314" s="325">
        <v>150000835</v>
      </c>
    </row>
    <row r="315" spans="1:58" ht="24.9" customHeight="1" x14ac:dyDescent="0.3">
      <c r="A315" s="325">
        <v>150000845</v>
      </c>
      <c r="B315" s="445" t="s">
        <v>139</v>
      </c>
      <c r="C315" s="27">
        <v>1</v>
      </c>
      <c r="D315" s="101" t="s">
        <v>455</v>
      </c>
      <c r="E315" s="279">
        <f>'побудинковий звіт'!E313</f>
        <v>252.8</v>
      </c>
      <c r="F315" s="441">
        <f>'побудинковий звіт'!AS313</f>
        <v>3360.4827525433484</v>
      </c>
      <c r="G315" s="441">
        <f t="shared" si="18"/>
        <v>0</v>
      </c>
      <c r="H315" s="73">
        <f t="shared" si="19"/>
        <v>-3360.4827525433484</v>
      </c>
      <c r="I315" s="5">
        <f>VLOOKUP($A315,'ПР 01-02.21'!$A$11:$BB$406,9,FALSE)+VLOOKUP($A315,'ПР 21-22'!$A$11:$BB$406,9,FALSE)-VLOOKUP($A315,'ПР 01-02.22'!$A$11:$BB$378,9,FALSE)</f>
        <v>0</v>
      </c>
      <c r="J315" s="5">
        <f>VLOOKUP($A315,'ПР 01-02.21'!$A$11:$BB$406,10,FALSE)+VLOOKUP($A315,'ПР 21-22'!$A$11:$BB$406,10,FALSE)-VLOOKUP($A315,'ПР 01-02.22'!$A$11:$BB$378,10,FALSE)</f>
        <v>0</v>
      </c>
      <c r="K315" s="446"/>
      <c r="L315" s="5">
        <f>VLOOKUP($A315,'ПР 01-02.21'!$A$11:$BB$406,12,FALSE)+VLOOKUP($A315,'ПР 21-22'!$A$11:$BB$406,12,FALSE)-VLOOKUP($A315,'ПР 01-02.22'!$A$11:$BB$378,12,FALSE)</f>
        <v>0</v>
      </c>
      <c r="M315" s="5">
        <f>VLOOKUP($A315,'ПР 01-02.21'!$A$11:$BB$406,13,FALSE)+VLOOKUP($A315,'ПР 21-22'!$A$11:$BB$406,13,FALSE)-VLOOKUP($A315,'ПР 01-02.22'!$A$11:$BB$378,13,FALSE)</f>
        <v>0</v>
      </c>
      <c r="N315" s="38"/>
      <c r="O315" s="5">
        <f>VLOOKUP($A315,'ПР 01-02.21'!$A$11:$BB$406,15,FALSE)+VLOOKUP($A315,'ПР 21-22'!$A$11:$BB$406,15,FALSE)-VLOOKUP($A315,'ПР 01-02.22'!$A$11:$BB$378,15,FALSE)</f>
        <v>0</v>
      </c>
      <c r="P315" s="5">
        <f>VLOOKUP($A315,'ПР 01-02.21'!$A$11:$BB$406,16,FALSE)+VLOOKUP($A315,'ПР 21-22'!$A$11:$BB$406,16,FALSE)-VLOOKUP($A315,'ПР 01-02.22'!$A$11:$BB$378,16,FALSE)</f>
        <v>0</v>
      </c>
      <c r="Q315" s="443"/>
      <c r="R315" s="5">
        <f>VLOOKUP($A315,'ПР 01-02.21'!$A$11:$BB$406,18,FALSE)+VLOOKUP($A315,'ПР 21-22'!$A$11:$BB$406,18,FALSE)-VLOOKUP($A315,'ПР 01-02.22'!$A$11:$BB$378,18,FALSE)</f>
        <v>0</v>
      </c>
      <c r="S315" s="5">
        <f>VLOOKUP($A315,'ПР 01-02.21'!$A$11:$BB$406,19,FALSE)+VLOOKUP($A315,'ПР 21-22'!$A$11:$BB$406,19,FALSE)-VLOOKUP($A315,'ПР 01-02.22'!$A$11:$BB$378,19,FALSE)</f>
        <v>0</v>
      </c>
      <c r="T315" s="444"/>
      <c r="U315" s="5">
        <f>VLOOKUP($A315,'ПР 01-02.21'!$A$11:$BB$406,21,FALSE)+VLOOKUP($A315,'ПР 21-22'!$A$11:$BB$406,21,FALSE)-VLOOKUP($A315,'ПР 01-02.22'!$A$11:$BB$378,21,FALSE)</f>
        <v>0</v>
      </c>
      <c r="V315" s="5"/>
      <c r="W315" s="5">
        <f>VLOOKUP($A315,'ПР 01-02.21'!$A$11:$BB$406,23,FALSE)+VLOOKUP($A315,'ПР 21-22'!$A$11:$BB$406,23,FALSE)-VLOOKUP($A315,'ПР 01-02.22'!$A$11:$BB$378,23,FALSE)</f>
        <v>0</v>
      </c>
      <c r="X315" s="5">
        <f>VLOOKUP($A315,'ПР 01-02.21'!$A$11:$BB$406,24,FALSE)+VLOOKUP($A315,'ПР 21-22'!$A$11:$BB$406,24,FALSE)-VLOOKUP($A315,'ПР 01-02.22'!$A$11:$BB$378,24,FALSE)</f>
        <v>0</v>
      </c>
      <c r="Y315" s="5">
        <f>VLOOKUP($A315,'ПР 01-02.21'!$A$11:$BB$406,25,FALSE)+VLOOKUP($A315,'ПР 21-22'!$A$11:$BB$406,25,FALSE)-VLOOKUP($A315,'ПР 01-02.22'!$A$11:$BB$378,25,FALSE)</f>
        <v>0</v>
      </c>
      <c r="Z315" s="5"/>
      <c r="AA315" s="5">
        <f>VLOOKUP($A315,'ПР 01-02.21'!$A$11:$BB$406,27,FALSE)+VLOOKUP($A315,'ПР 21-22'!$A$11:$BB$406,27,FALSE)-VLOOKUP($A315,'ПР 01-02.22'!$A$11:$BB$378,27,FALSE)</f>
        <v>0</v>
      </c>
      <c r="AB315" s="5">
        <f>VLOOKUP($A315,'ПР 01-02.21'!$A$11:$BB$406,28,FALSE)+VLOOKUP($A315,'ПР 21-22'!$A$11:$BB$406,28,FALSE)-VLOOKUP($A315,'ПР 01-02.22'!$A$11:$BB$378,28,FALSE)</f>
        <v>0</v>
      </c>
      <c r="AC315" s="5">
        <f>VLOOKUP($A315,'ПР 01-02.21'!$A$11:$BB$406,29,FALSE)+VLOOKUP($A315,'ПР 21-22'!$A$11:$BB$406,29,FALSE)-VLOOKUP($A315,'ПР 01-02.22'!$A$11:$BB$378,29,FALSE)</f>
        <v>0</v>
      </c>
      <c r="AD315" s="5">
        <f>VLOOKUP($A315,'ПР 01-02.21'!$A$11:$BB$406,30,FALSE)+VLOOKUP($A315,'ПР 21-22'!$A$11:$BB$406,30,FALSE)-VLOOKUP($A315,'ПР 01-02.22'!$A$11:$BB$378,30,FALSE)</f>
        <v>0</v>
      </c>
      <c r="AE315" s="5">
        <f>VLOOKUP($A315,'ПР 01-02.21'!$A$11:$BB$406,31,FALSE)+VLOOKUP($A315,'ПР 21-22'!$A$11:$BB$406,31,FALSE)-VLOOKUP($A315,'ПР 01-02.22'!$A$11:$BB$378,31,FALSE)</f>
        <v>0</v>
      </c>
      <c r="AF315" s="5">
        <f>VLOOKUP($A315,'ПР 01-02.21'!$A$11:$BB$406,32,FALSE)+VLOOKUP($A315,'ПР 21-22'!$A$11:$BB$406,32,FALSE)-VLOOKUP($A315,'ПР 01-02.22'!$A$11:$BB$378,32,FALSE)</f>
        <v>0</v>
      </c>
      <c r="AG315" s="40"/>
      <c r="AH315" s="5">
        <f>VLOOKUP($A315,'ПР 01-02.21'!$A$11:$BB$406,34,FALSE)+VLOOKUP($A315,'ПР 21-22'!$A$11:$BB$406,34,FALSE)-VLOOKUP($A315,'ПР 01-02.22'!$A$11:$BB$378,34,FALSE)</f>
        <v>0</v>
      </c>
      <c r="AI315" s="5">
        <f>VLOOKUP($A315,'ПР 01-02.21'!$A$11:$BB$406,35,FALSE)+VLOOKUP($A315,'ПР 21-22'!$A$11:$BB$406,35,FALSE)-VLOOKUP($A315,'ПР 01-02.22'!$A$11:$BB$378,35,FALSE)</f>
        <v>0</v>
      </c>
      <c r="AJ315" s="40"/>
      <c r="AK315" s="5">
        <f>VLOOKUP($A315,'ПР 01-02.21'!$A$11:$BB$406,37,FALSE)+VLOOKUP($A315,'ПР 21-22'!$A$11:$BB$406,37,FALSE)-VLOOKUP($A315,'ПР 01-02.22'!$A$11:$BB$378,37,FALSE)</f>
        <v>0</v>
      </c>
      <c r="AL315" s="5">
        <f>VLOOKUP($A315,'ПР 01-02.21'!$A$11:$BB$406,38,FALSE)+VLOOKUP($A315,'ПР 21-22'!$A$11:$BB$406,38,FALSE)-VLOOKUP($A315,'ПР 01-02.22'!$A$11:$BB$378,38,FALSE)</f>
        <v>0</v>
      </c>
      <c r="AM315" s="40"/>
      <c r="AN315" s="5">
        <f>VLOOKUP($A315,'ПР 01-02.21'!$A$11:$BB$406,40,FALSE)+VLOOKUP($A315,'ПР 21-22'!$A$11:$BB$406,40,FALSE)-VLOOKUP($A315,'ПР 01-02.22'!$A$11:$BB$378,40,FALSE)</f>
        <v>0</v>
      </c>
      <c r="AO315" s="5">
        <f>VLOOKUP($A315,'ПР 01-02.21'!$A$11:$BB$406,41,FALSE)+VLOOKUP($A315,'ПР 21-22'!$A$11:$BB$406,41,FALSE)-VLOOKUP($A315,'ПР 01-02.22'!$A$11:$BB$378,41,FALSE)</f>
        <v>0</v>
      </c>
      <c r="AP315" s="40"/>
      <c r="AQ315" s="5">
        <f>VLOOKUP($A315,'ПР 01-02.21'!$A$11:$BB$406,43,FALSE)+VLOOKUP($A315,'ПР 21-22'!$A$11:$BB$406,43,FALSE)-VLOOKUP($A315,'ПР 01-02.22'!$A$11:$BB$378,43,FALSE)</f>
        <v>0</v>
      </c>
      <c r="AR315" s="5">
        <f>VLOOKUP($A315,'ПР 01-02.21'!$A$11:$BB$406,44,FALSE)+VLOOKUP($A315,'ПР 21-22'!$A$11:$BB$406,44,FALSE)-VLOOKUP($A315,'ПР 01-02.22'!$A$11:$BB$378,44,FALSE)</f>
        <v>0</v>
      </c>
      <c r="AS315" s="40"/>
      <c r="AT315" s="5">
        <f>VLOOKUP($A315,'ПР 01-02.21'!$A$11:$BB$406,46,FALSE)+VLOOKUP($A315,'ПР 21-22'!$A$11:$BB$406,46,FALSE)-VLOOKUP($A315,'ПР 01-02.22'!$A$11:$BB$378,46,FALSE)</f>
        <v>0</v>
      </c>
      <c r="AU315" s="5">
        <f>VLOOKUP($A315,'ПР 01-02.21'!$A$11:$BB$406,47,FALSE)+VLOOKUP($A315,'ПР 21-22'!$A$11:$BB$406,47,FALSE)-VLOOKUP($A315,'ПР 01-02.22'!$A$11:$BB$378,47,FALSE)</f>
        <v>0</v>
      </c>
      <c r="AV315" s="40"/>
      <c r="AW315" s="5">
        <f>VLOOKUP($A315,'ПР 01-02.21'!$A$11:$BB$406,49,FALSE)+VLOOKUP($A315,'ПР 21-22'!$A$11:$BB$406,49,FALSE)-VLOOKUP($A315,'ПР 01-02.22'!$A$11:$BB$378,49,FALSE)</f>
        <v>18.709476138202959</v>
      </c>
      <c r="AX315" s="5">
        <f>VLOOKUP($A315,'ПР 01-02.21'!$A$11:$BB$406,50,FALSE)+VLOOKUP($A315,'ПР 21-22'!$A$11:$BB$406,50,FALSE)-VLOOKUP($A315,'ПР 01-02.22'!$A$11:$BB$378,50,FALSE)</f>
        <v>0</v>
      </c>
      <c r="AY315" s="40"/>
      <c r="AZ315" s="40">
        <f t="shared" si="21"/>
        <v>18.709476138202959</v>
      </c>
      <c r="BA315" s="40">
        <f t="shared" si="21"/>
        <v>0</v>
      </c>
      <c r="BB315" s="55">
        <f t="shared" si="20"/>
        <v>-18.709476138202959</v>
      </c>
      <c r="BD315" s="2">
        <v>1</v>
      </c>
      <c r="BF315" s="325">
        <v>150000845</v>
      </c>
    </row>
    <row r="316" spans="1:58" ht="24.9" customHeight="1" x14ac:dyDescent="0.3">
      <c r="A316" s="325">
        <v>150000846</v>
      </c>
      <c r="B316" s="445" t="s">
        <v>140</v>
      </c>
      <c r="C316" s="27">
        <v>1</v>
      </c>
      <c r="D316" s="101" t="s">
        <v>455</v>
      </c>
      <c r="E316" s="279">
        <f>'побудинковий звіт'!E314</f>
        <v>126.2</v>
      </c>
      <c r="F316" s="441">
        <f>'побудинковий звіт'!AS314</f>
        <v>1586.1447373018937</v>
      </c>
      <c r="G316" s="441">
        <f t="shared" si="18"/>
        <v>0</v>
      </c>
      <c r="H316" s="73">
        <f t="shared" si="19"/>
        <v>-1586.1447373018937</v>
      </c>
      <c r="I316" s="5">
        <f>VLOOKUP($A316,'ПР 01-02.21'!$A$11:$BB$406,9,FALSE)+VLOOKUP($A316,'ПР 21-22'!$A$11:$BB$406,9,FALSE)-VLOOKUP($A316,'ПР 01-02.22'!$A$11:$BB$378,9,FALSE)</f>
        <v>0</v>
      </c>
      <c r="J316" s="5">
        <f>VLOOKUP($A316,'ПР 01-02.21'!$A$11:$BB$406,10,FALSE)+VLOOKUP($A316,'ПР 21-22'!$A$11:$BB$406,10,FALSE)-VLOOKUP($A316,'ПР 01-02.22'!$A$11:$BB$378,10,FALSE)</f>
        <v>0</v>
      </c>
      <c r="K316" s="446"/>
      <c r="L316" s="5">
        <f>VLOOKUP($A316,'ПР 01-02.21'!$A$11:$BB$406,12,FALSE)+VLOOKUP($A316,'ПР 21-22'!$A$11:$BB$406,12,FALSE)-VLOOKUP($A316,'ПР 01-02.22'!$A$11:$BB$378,12,FALSE)</f>
        <v>0</v>
      </c>
      <c r="M316" s="5">
        <f>VLOOKUP($A316,'ПР 01-02.21'!$A$11:$BB$406,13,FALSE)+VLOOKUP($A316,'ПР 21-22'!$A$11:$BB$406,13,FALSE)-VLOOKUP($A316,'ПР 01-02.22'!$A$11:$BB$378,13,FALSE)</f>
        <v>0</v>
      </c>
      <c r="N316" s="38"/>
      <c r="O316" s="5">
        <f>VLOOKUP($A316,'ПР 01-02.21'!$A$11:$BB$406,15,FALSE)+VLOOKUP($A316,'ПР 21-22'!$A$11:$BB$406,15,FALSE)-VLOOKUP($A316,'ПР 01-02.22'!$A$11:$BB$378,15,FALSE)</f>
        <v>0</v>
      </c>
      <c r="P316" s="5">
        <f>VLOOKUP($A316,'ПР 01-02.21'!$A$11:$BB$406,16,FALSE)+VLOOKUP($A316,'ПР 21-22'!$A$11:$BB$406,16,FALSE)-VLOOKUP($A316,'ПР 01-02.22'!$A$11:$BB$378,16,FALSE)</f>
        <v>0</v>
      </c>
      <c r="Q316" s="443"/>
      <c r="R316" s="5">
        <f>VLOOKUP($A316,'ПР 01-02.21'!$A$11:$BB$406,18,FALSE)+VLOOKUP($A316,'ПР 21-22'!$A$11:$BB$406,18,FALSE)-VLOOKUP($A316,'ПР 01-02.22'!$A$11:$BB$378,18,FALSE)</f>
        <v>0</v>
      </c>
      <c r="S316" s="5">
        <f>VLOOKUP($A316,'ПР 01-02.21'!$A$11:$BB$406,19,FALSE)+VLOOKUP($A316,'ПР 21-22'!$A$11:$BB$406,19,FALSE)-VLOOKUP($A316,'ПР 01-02.22'!$A$11:$BB$378,19,FALSE)</f>
        <v>0</v>
      </c>
      <c r="T316" s="444"/>
      <c r="U316" s="5">
        <f>VLOOKUP($A316,'ПР 01-02.21'!$A$11:$BB$406,21,FALSE)+VLOOKUP($A316,'ПР 21-22'!$A$11:$BB$406,21,FALSE)-VLOOKUP($A316,'ПР 01-02.22'!$A$11:$BB$378,21,FALSE)</f>
        <v>0</v>
      </c>
      <c r="V316" s="5"/>
      <c r="W316" s="5">
        <f>VLOOKUP($A316,'ПР 01-02.21'!$A$11:$BB$406,23,FALSE)+VLOOKUP($A316,'ПР 21-22'!$A$11:$BB$406,23,FALSE)-VLOOKUP($A316,'ПР 01-02.22'!$A$11:$BB$378,23,FALSE)</f>
        <v>0</v>
      </c>
      <c r="X316" s="5">
        <f>VLOOKUP($A316,'ПР 01-02.21'!$A$11:$BB$406,24,FALSE)+VLOOKUP($A316,'ПР 21-22'!$A$11:$BB$406,24,FALSE)-VLOOKUP($A316,'ПР 01-02.22'!$A$11:$BB$378,24,FALSE)</f>
        <v>0</v>
      </c>
      <c r="Y316" s="5">
        <f>VLOOKUP($A316,'ПР 01-02.21'!$A$11:$BB$406,25,FALSE)+VLOOKUP($A316,'ПР 21-22'!$A$11:$BB$406,25,FALSE)-VLOOKUP($A316,'ПР 01-02.22'!$A$11:$BB$378,25,FALSE)</f>
        <v>0</v>
      </c>
      <c r="Z316" s="5"/>
      <c r="AA316" s="5">
        <f>VLOOKUP($A316,'ПР 01-02.21'!$A$11:$BB$406,27,FALSE)+VLOOKUP($A316,'ПР 21-22'!$A$11:$BB$406,27,FALSE)-VLOOKUP($A316,'ПР 01-02.22'!$A$11:$BB$378,27,FALSE)</f>
        <v>0</v>
      </c>
      <c r="AB316" s="5">
        <f>VLOOKUP($A316,'ПР 01-02.21'!$A$11:$BB$406,28,FALSE)+VLOOKUP($A316,'ПР 21-22'!$A$11:$BB$406,28,FALSE)-VLOOKUP($A316,'ПР 01-02.22'!$A$11:$BB$378,28,FALSE)</f>
        <v>0</v>
      </c>
      <c r="AC316" s="5">
        <f>VLOOKUP($A316,'ПР 01-02.21'!$A$11:$BB$406,29,FALSE)+VLOOKUP($A316,'ПР 21-22'!$A$11:$BB$406,29,FALSE)-VLOOKUP($A316,'ПР 01-02.22'!$A$11:$BB$378,29,FALSE)</f>
        <v>0</v>
      </c>
      <c r="AD316" s="5">
        <f>VLOOKUP($A316,'ПР 01-02.21'!$A$11:$BB$406,30,FALSE)+VLOOKUP($A316,'ПР 21-22'!$A$11:$BB$406,30,FALSE)-VLOOKUP($A316,'ПР 01-02.22'!$A$11:$BB$378,30,FALSE)</f>
        <v>0</v>
      </c>
      <c r="AE316" s="5">
        <f>VLOOKUP($A316,'ПР 01-02.21'!$A$11:$BB$406,31,FALSE)+VLOOKUP($A316,'ПР 21-22'!$A$11:$BB$406,31,FALSE)-VLOOKUP($A316,'ПР 01-02.22'!$A$11:$BB$378,31,FALSE)</f>
        <v>0</v>
      </c>
      <c r="AF316" s="5">
        <f>VLOOKUP($A316,'ПР 01-02.21'!$A$11:$BB$406,32,FALSE)+VLOOKUP($A316,'ПР 21-22'!$A$11:$BB$406,32,FALSE)-VLOOKUP($A316,'ПР 01-02.22'!$A$11:$BB$378,32,FALSE)</f>
        <v>0</v>
      </c>
      <c r="AG316" s="40"/>
      <c r="AH316" s="5">
        <f>VLOOKUP($A316,'ПР 01-02.21'!$A$11:$BB$406,34,FALSE)+VLOOKUP($A316,'ПР 21-22'!$A$11:$BB$406,34,FALSE)-VLOOKUP($A316,'ПР 01-02.22'!$A$11:$BB$378,34,FALSE)</f>
        <v>0</v>
      </c>
      <c r="AI316" s="5">
        <f>VLOOKUP($A316,'ПР 01-02.21'!$A$11:$BB$406,35,FALSE)+VLOOKUP($A316,'ПР 21-22'!$A$11:$BB$406,35,FALSE)-VLOOKUP($A316,'ПР 01-02.22'!$A$11:$BB$378,35,FALSE)</f>
        <v>0</v>
      </c>
      <c r="AJ316" s="40"/>
      <c r="AK316" s="5">
        <f>VLOOKUP($A316,'ПР 01-02.21'!$A$11:$BB$406,37,FALSE)+VLOOKUP($A316,'ПР 21-22'!$A$11:$BB$406,37,FALSE)-VLOOKUP($A316,'ПР 01-02.22'!$A$11:$BB$378,37,FALSE)</f>
        <v>0</v>
      </c>
      <c r="AL316" s="5">
        <f>VLOOKUP($A316,'ПР 01-02.21'!$A$11:$BB$406,38,FALSE)+VLOOKUP($A316,'ПР 21-22'!$A$11:$BB$406,38,FALSE)-VLOOKUP($A316,'ПР 01-02.22'!$A$11:$BB$378,38,FALSE)</f>
        <v>0</v>
      </c>
      <c r="AM316" s="40"/>
      <c r="AN316" s="5">
        <f>VLOOKUP($A316,'ПР 01-02.21'!$A$11:$BB$406,40,FALSE)+VLOOKUP($A316,'ПР 21-22'!$A$11:$BB$406,40,FALSE)-VLOOKUP($A316,'ПР 01-02.22'!$A$11:$BB$378,40,FALSE)</f>
        <v>0</v>
      </c>
      <c r="AO316" s="5">
        <f>VLOOKUP($A316,'ПР 01-02.21'!$A$11:$BB$406,41,FALSE)+VLOOKUP($A316,'ПР 21-22'!$A$11:$BB$406,41,FALSE)-VLOOKUP($A316,'ПР 01-02.22'!$A$11:$BB$378,41,FALSE)</f>
        <v>0</v>
      </c>
      <c r="AP316" s="40"/>
      <c r="AQ316" s="5">
        <f>VLOOKUP($A316,'ПР 01-02.21'!$A$11:$BB$406,43,FALSE)+VLOOKUP($A316,'ПР 21-22'!$A$11:$BB$406,43,FALSE)-VLOOKUP($A316,'ПР 01-02.22'!$A$11:$BB$378,43,FALSE)</f>
        <v>0</v>
      </c>
      <c r="AR316" s="5">
        <f>VLOOKUP($A316,'ПР 01-02.21'!$A$11:$BB$406,44,FALSE)+VLOOKUP($A316,'ПР 21-22'!$A$11:$BB$406,44,FALSE)-VLOOKUP($A316,'ПР 01-02.22'!$A$11:$BB$378,44,FALSE)</f>
        <v>0</v>
      </c>
      <c r="AS316" s="40"/>
      <c r="AT316" s="5">
        <f>VLOOKUP($A316,'ПР 01-02.21'!$A$11:$BB$406,46,FALSE)+VLOOKUP($A316,'ПР 21-22'!$A$11:$BB$406,46,FALSE)-VLOOKUP($A316,'ПР 01-02.22'!$A$11:$BB$378,46,FALSE)</f>
        <v>0</v>
      </c>
      <c r="AU316" s="5">
        <f>VLOOKUP($A316,'ПР 01-02.21'!$A$11:$BB$406,47,FALSE)+VLOOKUP($A316,'ПР 21-22'!$A$11:$BB$406,47,FALSE)-VLOOKUP($A316,'ПР 01-02.22'!$A$11:$BB$378,47,FALSE)</f>
        <v>0</v>
      </c>
      <c r="AV316" s="40"/>
      <c r="AW316" s="5">
        <f>VLOOKUP($A316,'ПР 01-02.21'!$A$11:$BB$406,49,FALSE)+VLOOKUP($A316,'ПР 21-22'!$A$11:$BB$406,49,FALSE)-VLOOKUP($A316,'ПР 01-02.22'!$A$11:$BB$378,49,FALSE)</f>
        <v>10.016576757144312</v>
      </c>
      <c r="AX316" s="5">
        <f>VLOOKUP($A316,'ПР 01-02.21'!$A$11:$BB$406,50,FALSE)+VLOOKUP($A316,'ПР 21-22'!$A$11:$BB$406,50,FALSE)-VLOOKUP($A316,'ПР 01-02.22'!$A$11:$BB$378,50,FALSE)</f>
        <v>0</v>
      </c>
      <c r="AY316" s="40"/>
      <c r="AZ316" s="40">
        <f t="shared" si="21"/>
        <v>10.016576757144312</v>
      </c>
      <c r="BA316" s="40">
        <f t="shared" si="21"/>
        <v>0</v>
      </c>
      <c r="BB316" s="55">
        <f t="shared" si="20"/>
        <v>-10.016576757144312</v>
      </c>
      <c r="BD316" s="2">
        <v>1</v>
      </c>
      <c r="BF316" s="325">
        <v>150000846</v>
      </c>
    </row>
    <row r="317" spans="1:58" ht="24.9" customHeight="1" x14ac:dyDescent="0.3">
      <c r="A317" s="325">
        <v>150000798</v>
      </c>
      <c r="B317" s="445" t="s">
        <v>226</v>
      </c>
      <c r="C317" s="27">
        <v>4</v>
      </c>
      <c r="D317" s="101" t="s">
        <v>455</v>
      </c>
      <c r="E317" s="279">
        <f>'побудинковий звіт'!E315</f>
        <v>1317.9</v>
      </c>
      <c r="F317" s="441">
        <f>'побудинковий звіт'!AS315</f>
        <v>13136.028381923312</v>
      </c>
      <c r="G317" s="441">
        <f t="shared" si="18"/>
        <v>115382</v>
      </c>
      <c r="H317" s="73">
        <f t="shared" si="19"/>
        <v>102245.97161807668</v>
      </c>
      <c r="I317" s="5">
        <f>VLOOKUP($A317,'ПР 01-02.21'!$A$11:$BB$406,9,FALSE)+VLOOKUP($A317,'ПР 21-22'!$A$11:$BB$406,9,FALSE)-VLOOKUP($A317,'ПР 01-02.22'!$A$11:$BB$378,9,FALSE)</f>
        <v>0</v>
      </c>
      <c r="J317" s="5">
        <f>VLOOKUP($A317,'ПР 01-02.21'!$A$11:$BB$406,10,FALSE)+VLOOKUP($A317,'ПР 21-22'!$A$11:$BB$406,10,FALSE)-VLOOKUP($A317,'ПР 01-02.22'!$A$11:$BB$378,10,FALSE)</f>
        <v>0</v>
      </c>
      <c r="K317" s="446"/>
      <c r="L317" s="5">
        <f>VLOOKUP($A317,'ПР 01-02.21'!$A$11:$BB$406,12,FALSE)+VLOOKUP($A317,'ПР 21-22'!$A$11:$BB$406,12,FALSE)-VLOOKUP($A317,'ПР 01-02.22'!$A$11:$BB$378,12,FALSE)</f>
        <v>2</v>
      </c>
      <c r="M317" s="5">
        <f>VLOOKUP($A317,'ПР 01-02.21'!$A$11:$BB$406,13,FALSE)+VLOOKUP($A317,'ПР 21-22'!$A$11:$BB$406,13,FALSE)-VLOOKUP($A317,'ПР 01-02.22'!$A$11:$BB$378,13,FALSE)</f>
        <v>112751</v>
      </c>
      <c r="N317" s="38"/>
      <c r="O317" s="5">
        <f>VLOOKUP($A317,'ПР 01-02.21'!$A$11:$BB$406,15,FALSE)+VLOOKUP($A317,'ПР 21-22'!$A$11:$BB$406,15,FALSE)-VLOOKUP($A317,'ПР 01-02.22'!$A$11:$BB$378,15,FALSE)</f>
        <v>0</v>
      </c>
      <c r="P317" s="5">
        <f>VLOOKUP($A317,'ПР 01-02.21'!$A$11:$BB$406,16,FALSE)+VLOOKUP($A317,'ПР 21-22'!$A$11:$BB$406,16,FALSE)-VLOOKUP($A317,'ПР 01-02.22'!$A$11:$BB$378,16,FALSE)</f>
        <v>0</v>
      </c>
      <c r="Q317" s="443"/>
      <c r="R317" s="5">
        <f>VLOOKUP($A317,'ПР 01-02.21'!$A$11:$BB$406,18,FALSE)+VLOOKUP($A317,'ПР 21-22'!$A$11:$BB$406,18,FALSE)-VLOOKUP($A317,'ПР 01-02.22'!$A$11:$BB$378,18,FALSE)</f>
        <v>0</v>
      </c>
      <c r="S317" s="5">
        <f>VLOOKUP($A317,'ПР 01-02.21'!$A$11:$BB$406,19,FALSE)+VLOOKUP($A317,'ПР 21-22'!$A$11:$BB$406,19,FALSE)-VLOOKUP($A317,'ПР 01-02.22'!$A$11:$BB$378,19,FALSE)</f>
        <v>0</v>
      </c>
      <c r="T317" s="444"/>
      <c r="U317" s="5">
        <f>VLOOKUP($A317,'ПР 01-02.21'!$A$11:$BB$406,21,FALSE)+VLOOKUP($A317,'ПР 21-22'!$A$11:$BB$406,21,FALSE)-VLOOKUP($A317,'ПР 01-02.22'!$A$11:$BB$378,21,FALSE)</f>
        <v>0</v>
      </c>
      <c r="V317" s="5"/>
      <c r="W317" s="5">
        <f>VLOOKUP($A317,'ПР 01-02.21'!$A$11:$BB$406,23,FALSE)+VLOOKUP($A317,'ПР 21-22'!$A$11:$BB$406,23,FALSE)-VLOOKUP($A317,'ПР 01-02.22'!$A$11:$BB$378,23,FALSE)</f>
        <v>0</v>
      </c>
      <c r="X317" s="5">
        <f>VLOOKUP($A317,'ПР 01-02.21'!$A$11:$BB$406,24,FALSE)+VLOOKUP($A317,'ПР 21-22'!$A$11:$BB$406,24,FALSE)-VLOOKUP($A317,'ПР 01-02.22'!$A$11:$BB$378,24,FALSE)</f>
        <v>0</v>
      </c>
      <c r="Y317" s="5">
        <f>VLOOKUP($A317,'ПР 01-02.21'!$A$11:$BB$406,25,FALSE)+VLOOKUP($A317,'ПР 21-22'!$A$11:$BB$406,25,FALSE)-VLOOKUP($A317,'ПР 01-02.22'!$A$11:$BB$378,25,FALSE)</f>
        <v>0</v>
      </c>
      <c r="Z317" s="5"/>
      <c r="AA317" s="5">
        <f>VLOOKUP($A317,'ПР 01-02.21'!$A$11:$BB$406,27,FALSE)+VLOOKUP($A317,'ПР 21-22'!$A$11:$BB$406,27,FALSE)-VLOOKUP($A317,'ПР 01-02.22'!$A$11:$BB$378,27,FALSE)</f>
        <v>0</v>
      </c>
      <c r="AB317" s="5">
        <f>VLOOKUP($A317,'ПР 01-02.21'!$A$11:$BB$406,28,FALSE)+VLOOKUP($A317,'ПР 21-22'!$A$11:$BB$406,28,FALSE)-VLOOKUP($A317,'ПР 01-02.22'!$A$11:$BB$378,28,FALSE)</f>
        <v>0</v>
      </c>
      <c r="AC317" s="5">
        <f>VLOOKUP($A317,'ПР 01-02.21'!$A$11:$BB$406,29,FALSE)+VLOOKUP($A317,'ПР 21-22'!$A$11:$BB$406,29,FALSE)-VLOOKUP($A317,'ПР 01-02.22'!$A$11:$BB$378,29,FALSE)</f>
        <v>1343</v>
      </c>
      <c r="AD317" s="5">
        <f>VLOOKUP($A317,'ПР 01-02.21'!$A$11:$BB$406,30,FALSE)+VLOOKUP($A317,'ПР 21-22'!$A$11:$BB$406,30,FALSE)-VLOOKUP($A317,'ПР 01-02.22'!$A$11:$BB$378,30,FALSE)</f>
        <v>1288</v>
      </c>
      <c r="AE317" s="5">
        <f>VLOOKUP($A317,'ПР 01-02.21'!$A$11:$BB$406,31,FALSE)+VLOOKUP($A317,'ПР 21-22'!$A$11:$BB$406,31,FALSE)-VLOOKUP($A317,'ПР 01-02.22'!$A$11:$BB$378,31,FALSE)</f>
        <v>1185.4018472586865</v>
      </c>
      <c r="AF317" s="5">
        <f>VLOOKUP($A317,'ПР 01-02.21'!$A$11:$BB$406,32,FALSE)+VLOOKUP($A317,'ПР 21-22'!$A$11:$BB$406,32,FALSE)-VLOOKUP($A317,'ПР 01-02.22'!$A$11:$BB$378,32,FALSE)</f>
        <v>0</v>
      </c>
      <c r="AG317" s="40"/>
      <c r="AH317" s="5">
        <f>VLOOKUP($A317,'ПР 01-02.21'!$A$11:$BB$406,34,FALSE)+VLOOKUP($A317,'ПР 21-22'!$A$11:$BB$406,34,FALSE)-VLOOKUP($A317,'ПР 01-02.22'!$A$11:$BB$378,34,FALSE)</f>
        <v>1288.3078172469116</v>
      </c>
      <c r="AI317" s="5">
        <f>VLOOKUP($A317,'ПР 01-02.21'!$A$11:$BB$406,35,FALSE)+VLOOKUP($A317,'ПР 21-22'!$A$11:$BB$406,35,FALSE)-VLOOKUP($A317,'ПР 01-02.22'!$A$11:$BB$378,35,FALSE)</f>
        <v>0</v>
      </c>
      <c r="AJ317" s="40"/>
      <c r="AK317" s="5">
        <f>VLOOKUP($A317,'ПР 01-02.21'!$A$11:$BB$406,37,FALSE)+VLOOKUP($A317,'ПР 21-22'!$A$11:$BB$406,37,FALSE)-VLOOKUP($A317,'ПР 01-02.22'!$A$11:$BB$378,37,FALSE)</f>
        <v>782.30332681514017</v>
      </c>
      <c r="AL317" s="5">
        <f>VLOOKUP($A317,'ПР 01-02.21'!$A$11:$BB$406,38,FALSE)+VLOOKUP($A317,'ПР 21-22'!$A$11:$BB$406,38,FALSE)-VLOOKUP($A317,'ПР 01-02.22'!$A$11:$BB$378,38,FALSE)</f>
        <v>5212</v>
      </c>
      <c r="AM317" s="40"/>
      <c r="AN317" s="5">
        <f>VLOOKUP($A317,'ПР 01-02.21'!$A$11:$BB$406,40,FALSE)+VLOOKUP($A317,'ПР 21-22'!$A$11:$BB$406,40,FALSE)-VLOOKUP($A317,'ПР 01-02.22'!$A$11:$BB$378,40,FALSE)</f>
        <v>0</v>
      </c>
      <c r="AO317" s="5">
        <f>VLOOKUP($A317,'ПР 01-02.21'!$A$11:$BB$406,41,FALSE)+VLOOKUP($A317,'ПР 21-22'!$A$11:$BB$406,41,FALSE)-VLOOKUP($A317,'ПР 01-02.22'!$A$11:$BB$378,41,FALSE)</f>
        <v>0</v>
      </c>
      <c r="AP317" s="40"/>
      <c r="AQ317" s="5">
        <f>VLOOKUP($A317,'ПР 01-02.21'!$A$11:$BB$406,43,FALSE)+VLOOKUP($A317,'ПР 21-22'!$A$11:$BB$406,43,FALSE)-VLOOKUP($A317,'ПР 01-02.22'!$A$11:$BB$378,43,FALSE)</f>
        <v>0</v>
      </c>
      <c r="AR317" s="5">
        <f>VLOOKUP($A317,'ПР 01-02.21'!$A$11:$BB$406,44,FALSE)+VLOOKUP($A317,'ПР 21-22'!$A$11:$BB$406,44,FALSE)-VLOOKUP($A317,'ПР 01-02.22'!$A$11:$BB$378,44,FALSE)</f>
        <v>0</v>
      </c>
      <c r="AS317" s="40"/>
      <c r="AT317" s="5">
        <f>VLOOKUP($A317,'ПР 01-02.21'!$A$11:$BB$406,46,FALSE)+VLOOKUP($A317,'ПР 21-22'!$A$11:$BB$406,46,FALSE)-VLOOKUP($A317,'ПР 01-02.22'!$A$11:$BB$378,46,FALSE)</f>
        <v>615.07463560482483</v>
      </c>
      <c r="AU317" s="5">
        <f>VLOOKUP($A317,'ПР 01-02.21'!$A$11:$BB$406,47,FALSE)+VLOOKUP($A317,'ПР 21-22'!$A$11:$BB$406,47,FALSE)-VLOOKUP($A317,'ПР 01-02.22'!$A$11:$BB$378,47,FALSE)</f>
        <v>0</v>
      </c>
      <c r="AV317" s="40"/>
      <c r="AW317" s="5">
        <f>VLOOKUP($A317,'ПР 01-02.21'!$A$11:$BB$406,49,FALSE)+VLOOKUP($A317,'ПР 21-22'!$A$11:$BB$406,49,FALSE)-VLOOKUP($A317,'ПР 01-02.22'!$A$11:$BB$378,49,FALSE)</f>
        <v>65.936000000000007</v>
      </c>
      <c r="AX317" s="5">
        <f>VLOOKUP($A317,'ПР 01-02.21'!$A$11:$BB$406,50,FALSE)+VLOOKUP($A317,'ПР 21-22'!$A$11:$BB$406,50,FALSE)-VLOOKUP($A317,'ПР 01-02.22'!$A$11:$BB$378,50,FALSE)</f>
        <v>0</v>
      </c>
      <c r="AY317" s="40"/>
      <c r="AZ317" s="40">
        <f t="shared" si="21"/>
        <v>3937.0236269255633</v>
      </c>
      <c r="BA317" s="40">
        <f t="shared" si="21"/>
        <v>5212</v>
      </c>
      <c r="BB317" s="55">
        <f t="shared" si="20"/>
        <v>1274.9763730744367</v>
      </c>
      <c r="BD317" s="2">
        <v>2</v>
      </c>
      <c r="BF317" s="325">
        <v>150000798</v>
      </c>
    </row>
    <row r="318" spans="1:58" ht="24.9" customHeight="1" x14ac:dyDescent="0.3">
      <c r="A318" s="325">
        <v>150000819</v>
      </c>
      <c r="B318" s="445" t="s">
        <v>424</v>
      </c>
      <c r="C318" s="27">
        <v>10</v>
      </c>
      <c r="D318" s="101" t="s">
        <v>455</v>
      </c>
      <c r="E318" s="279">
        <f>'побудинковий звіт'!E316</f>
        <v>6770.3499999999995</v>
      </c>
      <c r="F318" s="441">
        <f>'побудинковий звіт'!AS316</f>
        <v>78904.622368934681</v>
      </c>
      <c r="G318" s="441">
        <f t="shared" si="18"/>
        <v>70543.02</v>
      </c>
      <c r="H318" s="73">
        <f t="shared" si="19"/>
        <v>-8361.6023689346766</v>
      </c>
      <c r="I318" s="5">
        <f>VLOOKUP($A318,'ПР 01-02.21'!$A$11:$BB$406,9,FALSE)+VLOOKUP($A318,'ПР 21-22'!$A$11:$BB$406,9,FALSE)-VLOOKUP($A318,'ПР 01-02.22'!$A$11:$BB$378,9,FALSE)</f>
        <v>0</v>
      </c>
      <c r="J318" s="5">
        <f>VLOOKUP($A318,'ПР 01-02.21'!$A$11:$BB$406,10,FALSE)+VLOOKUP($A318,'ПР 21-22'!$A$11:$BB$406,10,FALSE)-VLOOKUP($A318,'ПР 01-02.22'!$A$11:$BB$378,10,FALSE)</f>
        <v>0</v>
      </c>
      <c r="K318" s="446"/>
      <c r="L318" s="5">
        <f>VLOOKUP($A318,'ПР 01-02.21'!$A$11:$BB$406,12,FALSE)+VLOOKUP($A318,'ПР 21-22'!$A$11:$BB$406,12,FALSE)-VLOOKUP($A318,'ПР 01-02.22'!$A$11:$BB$378,12,FALSE)</f>
        <v>0</v>
      </c>
      <c r="M318" s="5">
        <f>VLOOKUP($A318,'ПР 01-02.21'!$A$11:$BB$406,13,FALSE)+VLOOKUP($A318,'ПР 21-22'!$A$11:$BB$406,13,FALSE)-VLOOKUP($A318,'ПР 01-02.22'!$A$11:$BB$378,13,FALSE)</f>
        <v>0</v>
      </c>
      <c r="N318" s="38"/>
      <c r="O318" s="5">
        <f>VLOOKUP($A318,'ПР 01-02.21'!$A$11:$BB$406,15,FALSE)+VLOOKUP($A318,'ПР 21-22'!$A$11:$BB$406,15,FALSE)-VLOOKUP($A318,'ПР 01-02.22'!$A$11:$BB$378,15,FALSE)</f>
        <v>0</v>
      </c>
      <c r="P318" s="5">
        <f>VLOOKUP($A318,'ПР 01-02.21'!$A$11:$BB$406,16,FALSE)+VLOOKUP($A318,'ПР 21-22'!$A$11:$BB$406,16,FALSE)-VLOOKUP($A318,'ПР 01-02.22'!$A$11:$BB$378,16,FALSE)</f>
        <v>0</v>
      </c>
      <c r="Q318" s="443"/>
      <c r="R318" s="5">
        <f>VLOOKUP($A318,'ПР 01-02.21'!$A$11:$BB$406,18,FALSE)+VLOOKUP($A318,'ПР 21-22'!$A$11:$BB$406,18,FALSE)-VLOOKUP($A318,'ПР 01-02.22'!$A$11:$BB$378,18,FALSE)</f>
        <v>4</v>
      </c>
      <c r="S318" s="5">
        <f>VLOOKUP($A318,'ПР 01-02.21'!$A$11:$BB$406,19,FALSE)+VLOOKUP($A318,'ПР 21-22'!$A$11:$BB$406,19,FALSE)-VLOOKUP($A318,'ПР 01-02.22'!$A$11:$BB$378,19,FALSE)</f>
        <v>67030.02</v>
      </c>
      <c r="T318" s="444"/>
      <c r="U318" s="5">
        <f>VLOOKUP($A318,'ПР 01-02.21'!$A$11:$BB$406,21,FALSE)+VLOOKUP($A318,'ПР 21-22'!$A$11:$BB$406,21,FALSE)-VLOOKUP($A318,'ПР 01-02.22'!$A$11:$BB$378,21,FALSE)</f>
        <v>0</v>
      </c>
      <c r="V318" s="5"/>
      <c r="W318" s="5">
        <f>VLOOKUP($A318,'ПР 01-02.21'!$A$11:$BB$406,23,FALSE)+VLOOKUP($A318,'ПР 21-22'!$A$11:$BB$406,23,FALSE)-VLOOKUP($A318,'ПР 01-02.22'!$A$11:$BB$378,23,FALSE)</f>
        <v>0</v>
      </c>
      <c r="X318" s="5">
        <f>VLOOKUP($A318,'ПР 01-02.21'!$A$11:$BB$406,24,FALSE)+VLOOKUP($A318,'ПР 21-22'!$A$11:$BB$406,24,FALSE)-VLOOKUP($A318,'ПР 01-02.22'!$A$11:$BB$378,24,FALSE)</f>
        <v>0</v>
      </c>
      <c r="Y318" s="5">
        <f>VLOOKUP($A318,'ПР 01-02.21'!$A$11:$BB$406,25,FALSE)+VLOOKUP($A318,'ПР 21-22'!$A$11:$BB$406,25,FALSE)-VLOOKUP($A318,'ПР 01-02.22'!$A$11:$BB$378,25,FALSE)</f>
        <v>759</v>
      </c>
      <c r="Z318" s="5"/>
      <c r="AA318" s="5">
        <f>VLOOKUP($A318,'ПР 01-02.21'!$A$11:$BB$406,27,FALSE)+VLOOKUP($A318,'ПР 21-22'!$A$11:$BB$406,27,FALSE)-VLOOKUP($A318,'ПР 01-02.22'!$A$11:$BB$378,27,FALSE)</f>
        <v>0</v>
      </c>
      <c r="AB318" s="5">
        <f>VLOOKUP($A318,'ПР 01-02.21'!$A$11:$BB$406,28,FALSE)+VLOOKUP($A318,'ПР 21-22'!$A$11:$BB$406,28,FALSE)-VLOOKUP($A318,'ПР 01-02.22'!$A$11:$BB$378,28,FALSE)</f>
        <v>627</v>
      </c>
      <c r="AC318" s="5">
        <f>VLOOKUP($A318,'ПР 01-02.21'!$A$11:$BB$406,29,FALSE)+VLOOKUP($A318,'ПР 21-22'!$A$11:$BB$406,29,FALSE)-VLOOKUP($A318,'ПР 01-02.22'!$A$11:$BB$378,29,FALSE)</f>
        <v>989</v>
      </c>
      <c r="AD318" s="5">
        <f>VLOOKUP($A318,'ПР 01-02.21'!$A$11:$BB$406,30,FALSE)+VLOOKUP($A318,'ПР 21-22'!$A$11:$BB$406,30,FALSE)-VLOOKUP($A318,'ПР 01-02.22'!$A$11:$BB$378,30,FALSE)</f>
        <v>1138</v>
      </c>
      <c r="AE318" s="5">
        <f>VLOOKUP($A318,'ПР 01-02.21'!$A$11:$BB$406,31,FALSE)+VLOOKUP($A318,'ПР 21-22'!$A$11:$BB$406,31,FALSE)-VLOOKUP($A318,'ПР 01-02.22'!$A$11:$BB$378,31,FALSE)</f>
        <v>5462.1053377387343</v>
      </c>
      <c r="AF318" s="5">
        <f>VLOOKUP($A318,'ПР 01-02.21'!$A$11:$BB$406,32,FALSE)+VLOOKUP($A318,'ПР 21-22'!$A$11:$BB$406,32,FALSE)-VLOOKUP($A318,'ПР 01-02.22'!$A$11:$BB$378,32,FALSE)</f>
        <v>71</v>
      </c>
      <c r="AG318" s="40"/>
      <c r="AH318" s="5">
        <f>VLOOKUP($A318,'ПР 01-02.21'!$A$11:$BB$406,34,FALSE)+VLOOKUP($A318,'ПР 21-22'!$A$11:$BB$406,34,FALSE)-VLOOKUP($A318,'ПР 01-02.22'!$A$11:$BB$378,34,FALSE)</f>
        <v>6598.2680218505866</v>
      </c>
      <c r="AI318" s="5">
        <f>VLOOKUP($A318,'ПР 01-02.21'!$A$11:$BB$406,35,FALSE)+VLOOKUP($A318,'ПР 21-22'!$A$11:$BB$406,35,FALSE)-VLOOKUP($A318,'ПР 01-02.22'!$A$11:$BB$378,35,FALSE)</f>
        <v>3647</v>
      </c>
      <c r="AJ318" s="40"/>
      <c r="AK318" s="5">
        <f>VLOOKUP($A318,'ПР 01-02.21'!$A$11:$BB$406,37,FALSE)+VLOOKUP($A318,'ПР 21-22'!$A$11:$BB$406,37,FALSE)-VLOOKUP($A318,'ПР 01-02.22'!$A$11:$BB$378,37,FALSE)</f>
        <v>3608.0763864089531</v>
      </c>
      <c r="AL318" s="5">
        <f>VLOOKUP($A318,'ПР 01-02.21'!$A$11:$BB$406,38,FALSE)+VLOOKUP($A318,'ПР 21-22'!$A$11:$BB$406,38,FALSE)-VLOOKUP($A318,'ПР 01-02.22'!$A$11:$BB$378,38,FALSE)</f>
        <v>0</v>
      </c>
      <c r="AM318" s="40"/>
      <c r="AN318" s="5">
        <f>VLOOKUP($A318,'ПР 01-02.21'!$A$11:$BB$406,40,FALSE)+VLOOKUP($A318,'ПР 21-22'!$A$11:$BB$406,40,FALSE)-VLOOKUP($A318,'ПР 01-02.22'!$A$11:$BB$378,40,FALSE)</f>
        <v>4493.3255208534492</v>
      </c>
      <c r="AO318" s="5">
        <f>VLOOKUP($A318,'ПР 01-02.21'!$A$11:$BB$406,41,FALSE)+VLOOKUP($A318,'ПР 21-22'!$A$11:$BB$406,41,FALSE)-VLOOKUP($A318,'ПР 01-02.22'!$A$11:$BB$378,41,FALSE)</f>
        <v>590</v>
      </c>
      <c r="AP318" s="40"/>
      <c r="AQ318" s="5">
        <f>VLOOKUP($A318,'ПР 01-02.21'!$A$11:$BB$406,43,FALSE)+VLOOKUP($A318,'ПР 21-22'!$A$11:$BB$406,43,FALSE)-VLOOKUP($A318,'ПР 01-02.22'!$A$11:$BB$378,43,FALSE)</f>
        <v>2044.2042454330617</v>
      </c>
      <c r="AR318" s="5">
        <f>VLOOKUP($A318,'ПР 01-02.21'!$A$11:$BB$406,44,FALSE)+VLOOKUP($A318,'ПР 21-22'!$A$11:$BB$406,44,FALSE)-VLOOKUP($A318,'ПР 01-02.22'!$A$11:$BB$378,44,FALSE)</f>
        <v>16</v>
      </c>
      <c r="AS318" s="40"/>
      <c r="AT318" s="5">
        <f>VLOOKUP($A318,'ПР 01-02.21'!$A$11:$BB$406,46,FALSE)+VLOOKUP($A318,'ПР 21-22'!$A$11:$BB$406,46,FALSE)-VLOOKUP($A318,'ПР 01-02.22'!$A$11:$BB$378,46,FALSE)</f>
        <v>2375.6849998837652</v>
      </c>
      <c r="AU318" s="5">
        <f>VLOOKUP($A318,'ПР 01-02.21'!$A$11:$BB$406,47,FALSE)+VLOOKUP($A318,'ПР 21-22'!$A$11:$BB$406,47,FALSE)-VLOOKUP($A318,'ПР 01-02.22'!$A$11:$BB$378,47,FALSE)</f>
        <v>299</v>
      </c>
      <c r="AV318" s="40"/>
      <c r="AW318" s="5">
        <f>VLOOKUP($A318,'ПР 01-02.21'!$A$11:$BB$406,49,FALSE)+VLOOKUP($A318,'ПР 21-22'!$A$11:$BB$406,49,FALSE)-VLOOKUP($A318,'ПР 01-02.22'!$A$11:$BB$378,49,FALSE)</f>
        <v>338.89</v>
      </c>
      <c r="AX318" s="5">
        <f>VLOOKUP($A318,'ПР 01-02.21'!$A$11:$BB$406,50,FALSE)+VLOOKUP($A318,'ПР 21-22'!$A$11:$BB$406,50,FALSE)-VLOOKUP($A318,'ПР 01-02.22'!$A$11:$BB$378,50,FALSE)</f>
        <v>0</v>
      </c>
      <c r="AY318" s="40"/>
      <c r="AZ318" s="40">
        <f t="shared" si="21"/>
        <v>24920.55451216855</v>
      </c>
      <c r="BA318" s="40">
        <f t="shared" si="21"/>
        <v>4623</v>
      </c>
      <c r="BB318" s="55">
        <f t="shared" si="20"/>
        <v>-20297.55451216855</v>
      </c>
      <c r="BD318" s="2">
        <v>3</v>
      </c>
      <c r="BF318" s="325">
        <v>150000819</v>
      </c>
    </row>
    <row r="319" spans="1:58" ht="24.9" customHeight="1" x14ac:dyDescent="0.3">
      <c r="A319" s="325">
        <v>150000820</v>
      </c>
      <c r="B319" s="445" t="s">
        <v>395</v>
      </c>
      <c r="C319" s="27">
        <v>9</v>
      </c>
      <c r="D319" s="101" t="s">
        <v>455</v>
      </c>
      <c r="E319" s="279">
        <f>'побудинковий звіт'!E317</f>
        <v>4188.63</v>
      </c>
      <c r="F319" s="441">
        <f>'побудинковий звіт'!AS317</f>
        <v>55501.611479581181</v>
      </c>
      <c r="G319" s="441">
        <f t="shared" si="18"/>
        <v>22352.17</v>
      </c>
      <c r="H319" s="73">
        <f t="shared" si="19"/>
        <v>-33149.441479581183</v>
      </c>
      <c r="I319" s="5">
        <f>VLOOKUP($A319,'ПР 01-02.21'!$A$11:$BB$406,9,FALSE)+VLOOKUP($A319,'ПР 21-22'!$A$11:$BB$406,9,FALSE)-VLOOKUP($A319,'ПР 01-02.22'!$A$11:$BB$378,9,FALSE)</f>
        <v>24.13</v>
      </c>
      <c r="J319" s="5">
        <f>VLOOKUP($A319,'ПР 01-02.21'!$A$11:$BB$406,10,FALSE)+VLOOKUP($A319,'ПР 21-22'!$A$11:$BB$406,10,FALSE)-VLOOKUP($A319,'ПР 01-02.22'!$A$11:$BB$378,10,FALSE)</f>
        <v>4828.1499999999996</v>
      </c>
      <c r="K319" s="446"/>
      <c r="L319" s="5">
        <f>VLOOKUP($A319,'ПР 01-02.21'!$A$11:$BB$406,12,FALSE)+VLOOKUP($A319,'ПР 21-22'!$A$11:$BB$406,12,FALSE)-VLOOKUP($A319,'ПР 01-02.22'!$A$11:$BB$378,12,FALSE)</f>
        <v>0</v>
      </c>
      <c r="M319" s="5">
        <f>VLOOKUP($A319,'ПР 01-02.21'!$A$11:$BB$406,13,FALSE)+VLOOKUP($A319,'ПР 21-22'!$A$11:$BB$406,13,FALSE)-VLOOKUP($A319,'ПР 01-02.22'!$A$11:$BB$378,13,FALSE)</f>
        <v>247</v>
      </c>
      <c r="N319" s="38"/>
      <c r="O319" s="5">
        <f>VLOOKUP($A319,'ПР 01-02.21'!$A$11:$BB$406,15,FALSE)+VLOOKUP($A319,'ПР 21-22'!$A$11:$BB$406,15,FALSE)-VLOOKUP($A319,'ПР 01-02.22'!$A$11:$BB$378,15,FALSE)</f>
        <v>0</v>
      </c>
      <c r="P319" s="5">
        <f>VLOOKUP($A319,'ПР 01-02.21'!$A$11:$BB$406,16,FALSE)+VLOOKUP($A319,'ПР 21-22'!$A$11:$BB$406,16,FALSE)-VLOOKUP($A319,'ПР 01-02.22'!$A$11:$BB$378,16,FALSE)</f>
        <v>0</v>
      </c>
      <c r="Q319" s="443"/>
      <c r="R319" s="5">
        <f>VLOOKUP($A319,'ПР 01-02.21'!$A$11:$BB$406,18,FALSE)+VLOOKUP($A319,'ПР 21-22'!$A$11:$BB$406,18,FALSE)-VLOOKUP($A319,'ПР 01-02.22'!$A$11:$BB$378,18,FALSE)</f>
        <v>3</v>
      </c>
      <c r="S319" s="5">
        <f>VLOOKUP($A319,'ПР 01-02.21'!$A$11:$BB$406,19,FALSE)+VLOOKUP($A319,'ПР 21-22'!$A$11:$BB$406,19,FALSE)-VLOOKUP($A319,'ПР 01-02.22'!$A$11:$BB$378,19,FALSE)</f>
        <v>15466.02</v>
      </c>
      <c r="T319" s="444"/>
      <c r="U319" s="5">
        <f>VLOOKUP($A319,'ПР 01-02.21'!$A$11:$BB$406,21,FALSE)+VLOOKUP($A319,'ПР 21-22'!$A$11:$BB$406,21,FALSE)-VLOOKUP($A319,'ПР 01-02.22'!$A$11:$BB$378,21,FALSE)</f>
        <v>0</v>
      </c>
      <c r="V319" s="5"/>
      <c r="W319" s="5">
        <f>VLOOKUP($A319,'ПР 01-02.21'!$A$11:$BB$406,23,FALSE)+VLOOKUP($A319,'ПР 21-22'!$A$11:$BB$406,23,FALSE)-VLOOKUP($A319,'ПР 01-02.22'!$A$11:$BB$378,23,FALSE)</f>
        <v>0</v>
      </c>
      <c r="X319" s="5">
        <f>VLOOKUP($A319,'ПР 01-02.21'!$A$11:$BB$406,24,FALSE)+VLOOKUP($A319,'ПР 21-22'!$A$11:$BB$406,24,FALSE)-VLOOKUP($A319,'ПР 01-02.22'!$A$11:$BB$378,24,FALSE)</f>
        <v>0</v>
      </c>
      <c r="Y319" s="5">
        <f>VLOOKUP($A319,'ПР 01-02.21'!$A$11:$BB$406,25,FALSE)+VLOOKUP($A319,'ПР 21-22'!$A$11:$BB$406,25,FALSE)-VLOOKUP($A319,'ПР 01-02.22'!$A$11:$BB$378,25,FALSE)</f>
        <v>0</v>
      </c>
      <c r="Z319" s="5"/>
      <c r="AA319" s="5">
        <f>VLOOKUP($A319,'ПР 01-02.21'!$A$11:$BB$406,27,FALSE)+VLOOKUP($A319,'ПР 21-22'!$A$11:$BB$406,27,FALSE)-VLOOKUP($A319,'ПР 01-02.22'!$A$11:$BB$378,27,FALSE)</f>
        <v>0</v>
      </c>
      <c r="AB319" s="5">
        <f>VLOOKUP($A319,'ПР 01-02.21'!$A$11:$BB$406,28,FALSE)+VLOOKUP($A319,'ПР 21-22'!$A$11:$BB$406,28,FALSE)-VLOOKUP($A319,'ПР 01-02.22'!$A$11:$BB$378,28,FALSE)</f>
        <v>0</v>
      </c>
      <c r="AC319" s="5">
        <f>VLOOKUP($A319,'ПР 01-02.21'!$A$11:$BB$406,29,FALSE)+VLOOKUP($A319,'ПР 21-22'!$A$11:$BB$406,29,FALSE)-VLOOKUP($A319,'ПР 01-02.22'!$A$11:$BB$378,29,FALSE)</f>
        <v>1186</v>
      </c>
      <c r="AD319" s="5">
        <f>VLOOKUP($A319,'ПР 01-02.21'!$A$11:$BB$406,30,FALSE)+VLOOKUP($A319,'ПР 21-22'!$A$11:$BB$406,30,FALSE)-VLOOKUP($A319,'ПР 01-02.22'!$A$11:$BB$378,30,FALSE)</f>
        <v>625</v>
      </c>
      <c r="AE319" s="5">
        <f>VLOOKUP($A319,'ПР 01-02.21'!$A$11:$BB$406,31,FALSE)+VLOOKUP($A319,'ПР 21-22'!$A$11:$BB$406,31,FALSE)-VLOOKUP($A319,'ПР 01-02.22'!$A$11:$BB$378,31,FALSE)</f>
        <v>2745.3999558981409</v>
      </c>
      <c r="AF319" s="5">
        <f>VLOOKUP($A319,'ПР 01-02.21'!$A$11:$BB$406,32,FALSE)+VLOOKUP($A319,'ПР 21-22'!$A$11:$BB$406,32,FALSE)-VLOOKUP($A319,'ПР 01-02.22'!$A$11:$BB$378,32,FALSE)</f>
        <v>0</v>
      </c>
      <c r="AG319" s="40"/>
      <c r="AH319" s="5">
        <f>VLOOKUP($A319,'ПР 01-02.21'!$A$11:$BB$406,34,FALSE)+VLOOKUP($A319,'ПР 21-22'!$A$11:$BB$406,34,FALSE)-VLOOKUP($A319,'ПР 01-02.22'!$A$11:$BB$378,34,FALSE)</f>
        <v>4047.2732882496416</v>
      </c>
      <c r="AI319" s="5">
        <f>VLOOKUP($A319,'ПР 01-02.21'!$A$11:$BB$406,35,FALSE)+VLOOKUP($A319,'ПР 21-22'!$A$11:$BB$406,35,FALSE)-VLOOKUP($A319,'ПР 01-02.22'!$A$11:$BB$378,35,FALSE)</f>
        <v>5837</v>
      </c>
      <c r="AJ319" s="40"/>
      <c r="AK319" s="5">
        <f>VLOOKUP($A319,'ПР 01-02.21'!$A$11:$BB$406,37,FALSE)+VLOOKUP($A319,'ПР 21-22'!$A$11:$BB$406,37,FALSE)-VLOOKUP($A319,'ПР 01-02.22'!$A$11:$BB$378,37,FALSE)</f>
        <v>2264.8682920632682</v>
      </c>
      <c r="AL319" s="5">
        <f>VLOOKUP($A319,'ПР 01-02.21'!$A$11:$BB$406,38,FALSE)+VLOOKUP($A319,'ПР 21-22'!$A$11:$BB$406,38,FALSE)-VLOOKUP($A319,'ПР 01-02.22'!$A$11:$BB$378,38,FALSE)</f>
        <v>0</v>
      </c>
      <c r="AM319" s="40"/>
      <c r="AN319" s="5">
        <f>VLOOKUP($A319,'ПР 01-02.21'!$A$11:$BB$406,40,FALSE)+VLOOKUP($A319,'ПР 21-22'!$A$11:$BB$406,40,FALSE)-VLOOKUP($A319,'ПР 01-02.22'!$A$11:$BB$378,40,FALSE)</f>
        <v>3179.5657433252591</v>
      </c>
      <c r="AO319" s="5">
        <f>VLOOKUP($A319,'ПР 01-02.21'!$A$11:$BB$406,41,FALSE)+VLOOKUP($A319,'ПР 21-22'!$A$11:$BB$406,41,FALSE)-VLOOKUP($A319,'ПР 01-02.22'!$A$11:$BB$378,41,FALSE)</f>
        <v>638</v>
      </c>
      <c r="AP319" s="40"/>
      <c r="AQ319" s="5">
        <f>VLOOKUP($A319,'ПР 01-02.21'!$A$11:$BB$406,43,FALSE)+VLOOKUP($A319,'ПР 21-22'!$A$11:$BB$406,43,FALSE)-VLOOKUP($A319,'ПР 01-02.22'!$A$11:$BB$378,43,FALSE)</f>
        <v>1275.715225914171</v>
      </c>
      <c r="AR319" s="5">
        <f>VLOOKUP($A319,'ПР 01-02.21'!$A$11:$BB$406,44,FALSE)+VLOOKUP($A319,'ПР 21-22'!$A$11:$BB$406,44,FALSE)-VLOOKUP($A319,'ПР 01-02.22'!$A$11:$BB$378,44,FALSE)</f>
        <v>0</v>
      </c>
      <c r="AS319" s="40"/>
      <c r="AT319" s="5">
        <f>VLOOKUP($A319,'ПР 01-02.21'!$A$11:$BB$406,46,FALSE)+VLOOKUP($A319,'ПР 21-22'!$A$11:$BB$406,46,FALSE)-VLOOKUP($A319,'ПР 01-02.22'!$A$11:$BB$378,46,FALSE)</f>
        <v>1172.1795936850106</v>
      </c>
      <c r="AU319" s="5">
        <f>VLOOKUP($A319,'ПР 01-02.21'!$A$11:$BB$406,47,FALSE)+VLOOKUP($A319,'ПР 21-22'!$A$11:$BB$406,47,FALSE)-VLOOKUP($A319,'ПР 01-02.22'!$A$11:$BB$378,47,FALSE)</f>
        <v>299</v>
      </c>
      <c r="AV319" s="40"/>
      <c r="AW319" s="5">
        <f>VLOOKUP($A319,'ПР 01-02.21'!$A$11:$BB$406,49,FALSE)+VLOOKUP($A319,'ПР 21-22'!$A$11:$BB$406,49,FALSE)-VLOOKUP($A319,'ПР 01-02.22'!$A$11:$BB$378,49,FALSE)</f>
        <v>209.62599999999998</v>
      </c>
      <c r="AX319" s="5">
        <f>VLOOKUP($A319,'ПР 01-02.21'!$A$11:$BB$406,50,FALSE)+VLOOKUP($A319,'ПР 21-22'!$A$11:$BB$406,50,FALSE)-VLOOKUP($A319,'ПР 01-02.22'!$A$11:$BB$378,50,FALSE)</f>
        <v>0</v>
      </c>
      <c r="AY319" s="40"/>
      <c r="AZ319" s="40">
        <f t="shared" si="21"/>
        <v>14894.628099135492</v>
      </c>
      <c r="BA319" s="40">
        <f t="shared" si="21"/>
        <v>6774</v>
      </c>
      <c r="BB319" s="55">
        <f t="shared" si="20"/>
        <v>-8120.6280991354924</v>
      </c>
      <c r="BD319" s="2">
        <v>3</v>
      </c>
      <c r="BF319" s="325">
        <v>150000820</v>
      </c>
    </row>
    <row r="320" spans="1:58" ht="24.9" customHeight="1" x14ac:dyDescent="0.3">
      <c r="A320" s="325">
        <v>150000799</v>
      </c>
      <c r="B320" s="445" t="s">
        <v>293</v>
      </c>
      <c r="C320" s="27">
        <v>5</v>
      </c>
      <c r="D320" s="101" t="s">
        <v>455</v>
      </c>
      <c r="E320" s="279">
        <f>'побудинковий звіт'!E318</f>
        <v>2066.5</v>
      </c>
      <c r="F320" s="441">
        <f>'побудинковий звіт'!AS318</f>
        <v>13895.240744397448</v>
      </c>
      <c r="G320" s="441">
        <f t="shared" si="18"/>
        <v>34635.500000000007</v>
      </c>
      <c r="H320" s="73">
        <f t="shared" si="19"/>
        <v>20740.259255602559</v>
      </c>
      <c r="I320" s="5">
        <f>VLOOKUP($A320,'ПР 01-02.21'!$A$11:$BB$406,9,FALSE)+VLOOKUP($A320,'ПР 21-22'!$A$11:$BB$406,9,FALSE)-VLOOKUP($A320,'ПР 01-02.22'!$A$11:$BB$378,9,FALSE)</f>
        <v>0</v>
      </c>
      <c r="J320" s="5">
        <f>VLOOKUP($A320,'ПР 01-02.21'!$A$11:$BB$406,10,FALSE)+VLOOKUP($A320,'ПР 21-22'!$A$11:$BB$406,10,FALSE)-VLOOKUP($A320,'ПР 01-02.22'!$A$11:$BB$378,10,FALSE)</f>
        <v>938</v>
      </c>
      <c r="K320" s="446"/>
      <c r="L320" s="5">
        <f>VLOOKUP($A320,'ПР 01-02.21'!$A$11:$BB$406,12,FALSE)+VLOOKUP($A320,'ПР 21-22'!$A$11:$BB$406,12,FALSE)-VLOOKUP($A320,'ПР 01-02.22'!$A$11:$BB$378,12,FALSE)</f>
        <v>0</v>
      </c>
      <c r="M320" s="5">
        <f>VLOOKUP($A320,'ПР 01-02.21'!$A$11:$BB$406,13,FALSE)+VLOOKUP($A320,'ПР 21-22'!$A$11:$BB$406,13,FALSE)-VLOOKUP($A320,'ПР 01-02.22'!$A$11:$BB$378,13,FALSE)</f>
        <v>0</v>
      </c>
      <c r="N320" s="38"/>
      <c r="O320" s="5">
        <f>VLOOKUP($A320,'ПР 01-02.21'!$A$11:$BB$406,15,FALSE)+VLOOKUP($A320,'ПР 21-22'!$A$11:$BB$406,15,FALSE)-VLOOKUP($A320,'ПР 01-02.22'!$A$11:$BB$378,15,FALSE)</f>
        <v>0</v>
      </c>
      <c r="P320" s="5">
        <f>VLOOKUP($A320,'ПР 01-02.21'!$A$11:$BB$406,16,FALSE)+VLOOKUP($A320,'ПР 21-22'!$A$11:$BB$406,16,FALSE)-VLOOKUP($A320,'ПР 01-02.22'!$A$11:$BB$378,16,FALSE)</f>
        <v>0</v>
      </c>
      <c r="Q320" s="443"/>
      <c r="R320" s="5">
        <f>VLOOKUP($A320,'ПР 01-02.21'!$A$11:$BB$406,18,FALSE)+VLOOKUP($A320,'ПР 21-22'!$A$11:$BB$406,18,FALSE)-VLOOKUP($A320,'ПР 01-02.22'!$A$11:$BB$378,18,FALSE)</f>
        <v>0</v>
      </c>
      <c r="S320" s="5">
        <f>VLOOKUP($A320,'ПР 01-02.21'!$A$11:$BB$406,19,FALSE)+VLOOKUP($A320,'ПР 21-22'!$A$11:$BB$406,19,FALSE)-VLOOKUP($A320,'ПР 01-02.22'!$A$11:$BB$378,19,FALSE)</f>
        <v>0</v>
      </c>
      <c r="T320" s="444"/>
      <c r="U320" s="5">
        <f>VLOOKUP($A320,'ПР 01-02.21'!$A$11:$BB$406,21,FALSE)+VLOOKUP($A320,'ПР 21-22'!$A$11:$BB$406,21,FALSE)-VLOOKUP($A320,'ПР 01-02.22'!$A$11:$BB$378,21,FALSE)</f>
        <v>0</v>
      </c>
      <c r="V320" s="5"/>
      <c r="W320" s="5">
        <f>VLOOKUP($A320,'ПР 01-02.21'!$A$11:$BB$406,23,FALSE)+VLOOKUP($A320,'ПР 21-22'!$A$11:$BB$406,23,FALSE)-VLOOKUP($A320,'ПР 01-02.22'!$A$11:$BB$378,23,FALSE)</f>
        <v>12</v>
      </c>
      <c r="X320" s="5">
        <f>VLOOKUP($A320,'ПР 01-02.21'!$A$11:$BB$406,24,FALSE)+VLOOKUP($A320,'ПР 21-22'!$A$11:$BB$406,24,FALSE)-VLOOKUP($A320,'ПР 01-02.22'!$A$11:$BB$378,24,FALSE)</f>
        <v>14317.880000000001</v>
      </c>
      <c r="Y320" s="5">
        <f>VLOOKUP($A320,'ПР 01-02.21'!$A$11:$BB$406,25,FALSE)+VLOOKUP($A320,'ПР 21-22'!$A$11:$BB$406,25,FALSE)-VLOOKUP($A320,'ПР 01-02.22'!$A$11:$BB$378,25,FALSE)</f>
        <v>7943</v>
      </c>
      <c r="Z320" s="5"/>
      <c r="AA320" s="5">
        <f>VLOOKUP($A320,'ПР 01-02.21'!$A$11:$BB$406,27,FALSE)+VLOOKUP($A320,'ПР 21-22'!$A$11:$BB$406,27,FALSE)-VLOOKUP($A320,'ПР 01-02.22'!$A$11:$BB$378,27,FALSE)</f>
        <v>10841</v>
      </c>
      <c r="AB320" s="5">
        <f>VLOOKUP($A320,'ПР 01-02.21'!$A$11:$BB$406,28,FALSE)+VLOOKUP($A320,'ПР 21-22'!$A$11:$BB$406,28,FALSE)-VLOOKUP($A320,'ПР 01-02.22'!$A$11:$BB$378,28,FALSE)</f>
        <v>595.62</v>
      </c>
      <c r="AC320" s="5">
        <f>VLOOKUP($A320,'ПР 01-02.21'!$A$11:$BB$406,29,FALSE)+VLOOKUP($A320,'ПР 21-22'!$A$11:$BB$406,29,FALSE)-VLOOKUP($A320,'ПР 01-02.22'!$A$11:$BB$378,29,FALSE)</f>
        <v>0</v>
      </c>
      <c r="AD320" s="5">
        <f>VLOOKUP($A320,'ПР 01-02.21'!$A$11:$BB$406,30,FALSE)+VLOOKUP($A320,'ПР 21-22'!$A$11:$BB$406,30,FALSE)-VLOOKUP($A320,'ПР 01-02.22'!$A$11:$BB$378,30,FALSE)</f>
        <v>0</v>
      </c>
      <c r="AE320" s="5">
        <f>VLOOKUP($A320,'ПР 01-02.21'!$A$11:$BB$406,31,FALSE)+VLOOKUP($A320,'ПР 21-22'!$A$11:$BB$406,31,FALSE)-VLOOKUP($A320,'ПР 01-02.22'!$A$11:$BB$378,31,FALSE)</f>
        <v>1798.5173201620205</v>
      </c>
      <c r="AF320" s="5">
        <f>VLOOKUP($A320,'ПР 01-02.21'!$A$11:$BB$406,32,FALSE)+VLOOKUP($A320,'ПР 21-22'!$A$11:$BB$406,32,FALSE)-VLOOKUP($A320,'ПР 01-02.22'!$A$11:$BB$378,32,FALSE)</f>
        <v>0</v>
      </c>
      <c r="AG320" s="40"/>
      <c r="AH320" s="5">
        <f>VLOOKUP($A320,'ПР 01-02.21'!$A$11:$BB$406,34,FALSE)+VLOOKUP($A320,'ПР 21-22'!$A$11:$BB$406,34,FALSE)-VLOOKUP($A320,'ПР 01-02.22'!$A$11:$BB$378,34,FALSE)</f>
        <v>2309.6280711286126</v>
      </c>
      <c r="AI320" s="5">
        <f>VLOOKUP($A320,'ПР 01-02.21'!$A$11:$BB$406,35,FALSE)+VLOOKUP($A320,'ПР 21-22'!$A$11:$BB$406,35,FALSE)-VLOOKUP($A320,'ПР 01-02.22'!$A$11:$BB$378,35,FALSE)</f>
        <v>0</v>
      </c>
      <c r="AJ320" s="40"/>
      <c r="AK320" s="5">
        <f>VLOOKUP($A320,'ПР 01-02.21'!$A$11:$BB$406,37,FALSE)+VLOOKUP($A320,'ПР 21-22'!$A$11:$BB$406,37,FALSE)-VLOOKUP($A320,'ПР 01-02.22'!$A$11:$BB$378,37,FALSE)</f>
        <v>1255.455769036334</v>
      </c>
      <c r="AL320" s="5">
        <f>VLOOKUP($A320,'ПР 01-02.21'!$A$11:$BB$406,38,FALSE)+VLOOKUP($A320,'ПР 21-22'!$A$11:$BB$406,38,FALSE)-VLOOKUP($A320,'ПР 01-02.22'!$A$11:$BB$378,38,FALSE)</f>
        <v>0</v>
      </c>
      <c r="AM320" s="40"/>
      <c r="AN320" s="5">
        <f>VLOOKUP($A320,'ПР 01-02.21'!$A$11:$BB$406,40,FALSE)+VLOOKUP($A320,'ПР 21-22'!$A$11:$BB$406,40,FALSE)-VLOOKUP($A320,'ПР 01-02.22'!$A$11:$BB$378,40,FALSE)</f>
        <v>0</v>
      </c>
      <c r="AO320" s="5">
        <f>VLOOKUP($A320,'ПР 01-02.21'!$A$11:$BB$406,41,FALSE)+VLOOKUP($A320,'ПР 21-22'!$A$11:$BB$406,41,FALSE)-VLOOKUP($A320,'ПР 01-02.22'!$A$11:$BB$378,41,FALSE)</f>
        <v>0</v>
      </c>
      <c r="AP320" s="40"/>
      <c r="AQ320" s="5">
        <f>VLOOKUP($A320,'ПР 01-02.21'!$A$11:$BB$406,43,FALSE)+VLOOKUP($A320,'ПР 21-22'!$A$11:$BB$406,43,FALSE)-VLOOKUP($A320,'ПР 01-02.22'!$A$11:$BB$378,43,FALSE)</f>
        <v>0</v>
      </c>
      <c r="AR320" s="5">
        <f>VLOOKUP($A320,'ПР 01-02.21'!$A$11:$BB$406,44,FALSE)+VLOOKUP($A320,'ПР 21-22'!$A$11:$BB$406,44,FALSE)-VLOOKUP($A320,'ПР 01-02.22'!$A$11:$BB$378,44,FALSE)</f>
        <v>0</v>
      </c>
      <c r="AS320" s="40"/>
      <c r="AT320" s="5">
        <f>VLOOKUP($A320,'ПР 01-02.21'!$A$11:$BB$406,46,FALSE)+VLOOKUP($A320,'ПР 21-22'!$A$11:$BB$406,46,FALSE)-VLOOKUP($A320,'ПР 01-02.22'!$A$11:$BB$378,46,FALSE)</f>
        <v>876.10584084123252</v>
      </c>
      <c r="AU320" s="5">
        <f>VLOOKUP($A320,'ПР 01-02.21'!$A$11:$BB$406,47,FALSE)+VLOOKUP($A320,'ПР 21-22'!$A$11:$BB$406,47,FALSE)-VLOOKUP($A320,'ПР 01-02.22'!$A$11:$BB$378,47,FALSE)</f>
        <v>1454</v>
      </c>
      <c r="AV320" s="40"/>
      <c r="AW320" s="5">
        <f>VLOOKUP($A320,'ПР 01-02.21'!$A$11:$BB$406,49,FALSE)+VLOOKUP($A320,'ПР 21-22'!$A$11:$BB$406,49,FALSE)-VLOOKUP($A320,'ПР 01-02.22'!$A$11:$BB$378,49,FALSE)</f>
        <v>104.41600000000001</v>
      </c>
      <c r="AX320" s="5">
        <f>VLOOKUP($A320,'ПР 01-02.21'!$A$11:$BB$406,50,FALSE)+VLOOKUP($A320,'ПР 21-22'!$A$11:$BB$406,50,FALSE)-VLOOKUP($A320,'ПР 01-02.22'!$A$11:$BB$378,50,FALSE)</f>
        <v>0</v>
      </c>
      <c r="AY320" s="40"/>
      <c r="AZ320" s="40">
        <f t="shared" si="21"/>
        <v>6344.1230011682001</v>
      </c>
      <c r="BA320" s="40">
        <f t="shared" si="21"/>
        <v>1454</v>
      </c>
      <c r="BB320" s="55">
        <f t="shared" si="20"/>
        <v>-4890.1230011682001</v>
      </c>
      <c r="BD320" s="2">
        <v>2</v>
      </c>
      <c r="BF320" s="325">
        <v>150000799</v>
      </c>
    </row>
    <row r="321" spans="1:58" ht="24.9" customHeight="1" x14ac:dyDescent="0.3">
      <c r="A321" s="325">
        <v>150000830</v>
      </c>
      <c r="B321" s="445" t="s">
        <v>294</v>
      </c>
      <c r="C321" s="27">
        <v>5</v>
      </c>
      <c r="D321" s="101" t="s">
        <v>455</v>
      </c>
      <c r="E321" s="279">
        <f>'побудинковий звіт'!E319</f>
        <v>5961.3</v>
      </c>
      <c r="F321" s="441">
        <f>'побудинковий звіт'!AS319</f>
        <v>56737.955665185094</v>
      </c>
      <c r="G321" s="441">
        <f t="shared" si="18"/>
        <v>36656</v>
      </c>
      <c r="H321" s="73">
        <f t="shared" si="19"/>
        <v>-20081.955665185094</v>
      </c>
      <c r="I321" s="5">
        <f>VLOOKUP($A321,'ПР 01-02.21'!$A$11:$BB$406,9,FALSE)+VLOOKUP($A321,'ПР 21-22'!$A$11:$BB$406,9,FALSE)-VLOOKUP($A321,'ПР 01-02.22'!$A$11:$BB$378,9,FALSE)</f>
        <v>138.69999999999999</v>
      </c>
      <c r="J321" s="5">
        <f>VLOOKUP($A321,'ПР 01-02.21'!$A$11:$BB$406,10,FALSE)+VLOOKUP($A321,'ПР 21-22'!$A$11:$BB$406,10,FALSE)-VLOOKUP($A321,'ПР 01-02.22'!$A$11:$BB$378,10,FALSE)</f>
        <v>30064</v>
      </c>
      <c r="K321" s="446"/>
      <c r="L321" s="5">
        <f>VLOOKUP($A321,'ПР 01-02.21'!$A$11:$BB$406,12,FALSE)+VLOOKUP($A321,'ПР 21-22'!$A$11:$BB$406,12,FALSE)-VLOOKUP($A321,'ПР 01-02.22'!$A$11:$BB$378,12,FALSE)</f>
        <v>0</v>
      </c>
      <c r="M321" s="5">
        <f>VLOOKUP($A321,'ПР 01-02.21'!$A$11:$BB$406,13,FALSE)+VLOOKUP($A321,'ПР 21-22'!$A$11:$BB$406,13,FALSE)-VLOOKUP($A321,'ПР 01-02.22'!$A$11:$BB$378,13,FALSE)</f>
        <v>1449</v>
      </c>
      <c r="N321" s="38"/>
      <c r="O321" s="5">
        <f>VLOOKUP($A321,'ПР 01-02.21'!$A$11:$BB$406,15,FALSE)+VLOOKUP($A321,'ПР 21-22'!$A$11:$BB$406,15,FALSE)-VLOOKUP($A321,'ПР 01-02.22'!$A$11:$BB$378,15,FALSE)</f>
        <v>0</v>
      </c>
      <c r="P321" s="5">
        <f>VLOOKUP($A321,'ПР 01-02.21'!$A$11:$BB$406,16,FALSE)+VLOOKUP($A321,'ПР 21-22'!$A$11:$BB$406,16,FALSE)-VLOOKUP($A321,'ПР 01-02.22'!$A$11:$BB$378,16,FALSE)</f>
        <v>0</v>
      </c>
      <c r="Q321" s="443"/>
      <c r="R321" s="5">
        <f>VLOOKUP($A321,'ПР 01-02.21'!$A$11:$BB$406,18,FALSE)+VLOOKUP($A321,'ПР 21-22'!$A$11:$BB$406,18,FALSE)-VLOOKUP($A321,'ПР 01-02.22'!$A$11:$BB$378,18,FALSE)</f>
        <v>0</v>
      </c>
      <c r="S321" s="5">
        <f>VLOOKUP($A321,'ПР 01-02.21'!$A$11:$BB$406,19,FALSE)+VLOOKUP($A321,'ПР 21-22'!$A$11:$BB$406,19,FALSE)-VLOOKUP($A321,'ПР 01-02.22'!$A$11:$BB$378,19,FALSE)</f>
        <v>0</v>
      </c>
      <c r="T321" s="444"/>
      <c r="U321" s="5">
        <f>VLOOKUP($A321,'ПР 01-02.21'!$A$11:$BB$406,21,FALSE)+VLOOKUP($A321,'ПР 21-22'!$A$11:$BB$406,21,FALSE)-VLOOKUP($A321,'ПР 01-02.22'!$A$11:$BB$378,21,FALSE)</f>
        <v>0</v>
      </c>
      <c r="V321" s="5"/>
      <c r="W321" s="5">
        <f>VLOOKUP($A321,'ПР 01-02.21'!$A$11:$BB$406,23,FALSE)+VLOOKUP($A321,'ПР 21-22'!$A$11:$BB$406,23,FALSE)-VLOOKUP($A321,'ПР 01-02.22'!$A$11:$BB$378,23,FALSE)</f>
        <v>0</v>
      </c>
      <c r="X321" s="5">
        <f>VLOOKUP($A321,'ПР 01-02.21'!$A$11:$BB$406,24,FALSE)+VLOOKUP($A321,'ПР 21-22'!$A$11:$BB$406,24,FALSE)-VLOOKUP($A321,'ПР 01-02.22'!$A$11:$BB$378,24,FALSE)</f>
        <v>0</v>
      </c>
      <c r="Y321" s="5">
        <f>VLOOKUP($A321,'ПР 01-02.21'!$A$11:$BB$406,25,FALSE)+VLOOKUP($A321,'ПР 21-22'!$A$11:$BB$406,25,FALSE)-VLOOKUP($A321,'ПР 01-02.22'!$A$11:$BB$378,25,FALSE)</f>
        <v>2381</v>
      </c>
      <c r="Z321" s="5"/>
      <c r="AA321" s="5">
        <f>VLOOKUP($A321,'ПР 01-02.21'!$A$11:$BB$406,27,FALSE)+VLOOKUP($A321,'ПР 21-22'!$A$11:$BB$406,27,FALSE)-VLOOKUP($A321,'ПР 01-02.22'!$A$11:$BB$378,27,FALSE)</f>
        <v>0</v>
      </c>
      <c r="AB321" s="5">
        <f>VLOOKUP($A321,'ПР 01-02.21'!$A$11:$BB$406,28,FALSE)+VLOOKUP($A321,'ПР 21-22'!$A$11:$BB$406,28,FALSE)-VLOOKUP($A321,'ПР 01-02.22'!$A$11:$BB$378,28,FALSE)</f>
        <v>0</v>
      </c>
      <c r="AC321" s="5">
        <f>VLOOKUP($A321,'ПР 01-02.21'!$A$11:$BB$406,29,FALSE)+VLOOKUP($A321,'ПР 21-22'!$A$11:$BB$406,29,FALSE)-VLOOKUP($A321,'ПР 01-02.22'!$A$11:$BB$378,29,FALSE)</f>
        <v>1692</v>
      </c>
      <c r="AD321" s="5">
        <f>VLOOKUP($A321,'ПР 01-02.21'!$A$11:$BB$406,30,FALSE)+VLOOKUP($A321,'ПР 21-22'!$A$11:$BB$406,30,FALSE)-VLOOKUP($A321,'ПР 01-02.22'!$A$11:$BB$378,30,FALSE)</f>
        <v>1070</v>
      </c>
      <c r="AE321" s="5">
        <f>VLOOKUP($A321,'ПР 01-02.21'!$A$11:$BB$406,31,FALSE)+VLOOKUP($A321,'ПР 21-22'!$A$11:$BB$406,31,FALSE)-VLOOKUP($A321,'ПР 01-02.22'!$A$11:$BB$378,31,FALSE)</f>
        <v>4310.3675571280537</v>
      </c>
      <c r="AF321" s="5">
        <f>VLOOKUP($A321,'ПР 01-02.21'!$A$11:$BB$406,32,FALSE)+VLOOKUP($A321,'ПР 21-22'!$A$11:$BB$406,32,FALSE)-VLOOKUP($A321,'ПР 01-02.22'!$A$11:$BB$378,32,FALSE)</f>
        <v>3967</v>
      </c>
      <c r="AG321" s="40"/>
      <c r="AH321" s="5">
        <f>VLOOKUP($A321,'ПР 01-02.21'!$A$11:$BB$406,34,FALSE)+VLOOKUP($A321,'ПР 21-22'!$A$11:$BB$406,34,FALSE)-VLOOKUP($A321,'ПР 01-02.22'!$A$11:$BB$378,34,FALSE)</f>
        <v>6205.0687790527372</v>
      </c>
      <c r="AI321" s="5">
        <f>VLOOKUP($A321,'ПР 01-02.21'!$A$11:$BB$406,35,FALSE)+VLOOKUP($A321,'ПР 21-22'!$A$11:$BB$406,35,FALSE)-VLOOKUP($A321,'ПР 01-02.22'!$A$11:$BB$378,35,FALSE)</f>
        <v>6819</v>
      </c>
      <c r="AJ321" s="40"/>
      <c r="AK321" s="5">
        <f>VLOOKUP($A321,'ПР 01-02.21'!$A$11:$BB$406,37,FALSE)+VLOOKUP($A321,'ПР 21-22'!$A$11:$BB$406,37,FALSE)-VLOOKUP($A321,'ПР 01-02.22'!$A$11:$BB$378,37,FALSE)</f>
        <v>2252.3172733461174</v>
      </c>
      <c r="AL321" s="5">
        <f>VLOOKUP($A321,'ПР 01-02.21'!$A$11:$BB$406,38,FALSE)+VLOOKUP($A321,'ПР 21-22'!$A$11:$BB$406,38,FALSE)-VLOOKUP($A321,'ПР 01-02.22'!$A$11:$BB$378,38,FALSE)</f>
        <v>0</v>
      </c>
      <c r="AM321" s="40"/>
      <c r="AN321" s="5">
        <f>VLOOKUP($A321,'ПР 01-02.21'!$A$11:$BB$406,40,FALSE)+VLOOKUP($A321,'ПР 21-22'!$A$11:$BB$406,40,FALSE)-VLOOKUP($A321,'ПР 01-02.22'!$A$11:$BB$378,40,FALSE)</f>
        <v>0</v>
      </c>
      <c r="AO321" s="5">
        <f>VLOOKUP($A321,'ПР 01-02.21'!$A$11:$BB$406,41,FALSE)+VLOOKUP($A321,'ПР 21-22'!$A$11:$BB$406,41,FALSE)-VLOOKUP($A321,'ПР 01-02.22'!$A$11:$BB$378,41,FALSE)</f>
        <v>0</v>
      </c>
      <c r="AP321" s="40"/>
      <c r="AQ321" s="5">
        <f>VLOOKUP($A321,'ПР 01-02.21'!$A$11:$BB$406,43,FALSE)+VLOOKUP($A321,'ПР 21-22'!$A$11:$BB$406,43,FALSE)-VLOOKUP($A321,'ПР 01-02.22'!$A$11:$BB$378,43,FALSE)</f>
        <v>2499.7849063102835</v>
      </c>
      <c r="AR321" s="5">
        <f>VLOOKUP($A321,'ПР 01-02.21'!$A$11:$BB$406,44,FALSE)+VLOOKUP($A321,'ПР 21-22'!$A$11:$BB$406,44,FALSE)-VLOOKUP($A321,'ПР 01-02.22'!$A$11:$BB$378,44,FALSE)</f>
        <v>0</v>
      </c>
      <c r="AS321" s="40"/>
      <c r="AT321" s="5">
        <f>VLOOKUP($A321,'ПР 01-02.21'!$A$11:$BB$406,46,FALSE)+VLOOKUP($A321,'ПР 21-22'!$A$11:$BB$406,46,FALSE)-VLOOKUP($A321,'ПР 01-02.22'!$A$11:$BB$378,46,FALSE)</f>
        <v>3988.7192944236758</v>
      </c>
      <c r="AU321" s="5">
        <f>VLOOKUP($A321,'ПР 01-02.21'!$A$11:$BB$406,47,FALSE)+VLOOKUP($A321,'ПР 21-22'!$A$11:$BB$406,47,FALSE)-VLOOKUP($A321,'ПР 01-02.22'!$A$11:$BB$378,47,FALSE)</f>
        <v>1755</v>
      </c>
      <c r="AV321" s="40"/>
      <c r="AW321" s="5">
        <f>VLOOKUP($A321,'ПР 01-02.21'!$A$11:$BB$406,49,FALSE)+VLOOKUP($A321,'ПР 21-22'!$A$11:$BB$406,49,FALSE)-VLOOKUP($A321,'ПР 01-02.22'!$A$11:$BB$378,49,FALSE)</f>
        <v>298.452</v>
      </c>
      <c r="AX321" s="5">
        <f>VLOOKUP($A321,'ПР 01-02.21'!$A$11:$BB$406,50,FALSE)+VLOOKUP($A321,'ПР 21-22'!$A$11:$BB$406,50,FALSE)-VLOOKUP($A321,'ПР 01-02.22'!$A$11:$BB$378,50,FALSE)</f>
        <v>0</v>
      </c>
      <c r="AY321" s="40"/>
      <c r="AZ321" s="40">
        <f t="shared" si="21"/>
        <v>19554.709810260869</v>
      </c>
      <c r="BA321" s="40">
        <f t="shared" si="21"/>
        <v>12541</v>
      </c>
      <c r="BB321" s="55">
        <f t="shared" si="20"/>
        <v>-7013.7098102608688</v>
      </c>
      <c r="BD321" s="2">
        <v>3</v>
      </c>
      <c r="BF321" s="325">
        <v>150000830</v>
      </c>
    </row>
    <row r="322" spans="1:58" ht="24.9" customHeight="1" x14ac:dyDescent="0.3">
      <c r="A322" s="325">
        <v>150000800</v>
      </c>
      <c r="B322" s="445" t="s">
        <v>227</v>
      </c>
      <c r="C322" s="27">
        <v>4</v>
      </c>
      <c r="D322" s="101" t="s">
        <v>455</v>
      </c>
      <c r="E322" s="279">
        <f>'побудинковий звіт'!E320</f>
        <v>1452.8</v>
      </c>
      <c r="F322" s="441">
        <f>'побудинковий звіт'!AS320</f>
        <v>13248.059226829093</v>
      </c>
      <c r="G322" s="441">
        <f t="shared" si="18"/>
        <v>5181</v>
      </c>
      <c r="H322" s="73">
        <f t="shared" si="19"/>
        <v>-8067.0592268290929</v>
      </c>
      <c r="I322" s="5">
        <f>VLOOKUP($A322,'ПР 01-02.21'!$A$11:$BB$406,9,FALSE)+VLOOKUP($A322,'ПР 21-22'!$A$11:$BB$406,9,FALSE)-VLOOKUP($A322,'ПР 01-02.22'!$A$11:$BB$378,9,FALSE)</f>
        <v>0</v>
      </c>
      <c r="J322" s="5">
        <f>VLOOKUP($A322,'ПР 01-02.21'!$A$11:$BB$406,10,FALSE)+VLOOKUP($A322,'ПР 21-22'!$A$11:$BB$406,10,FALSE)-VLOOKUP($A322,'ПР 01-02.22'!$A$11:$BB$378,10,FALSE)</f>
        <v>0</v>
      </c>
      <c r="K322" s="446"/>
      <c r="L322" s="5">
        <f>VLOOKUP($A322,'ПР 01-02.21'!$A$11:$BB$406,12,FALSE)+VLOOKUP($A322,'ПР 21-22'!$A$11:$BB$406,12,FALSE)-VLOOKUP($A322,'ПР 01-02.22'!$A$11:$BB$378,12,FALSE)</f>
        <v>0</v>
      </c>
      <c r="M322" s="5">
        <f>VLOOKUP($A322,'ПР 01-02.21'!$A$11:$BB$406,13,FALSE)+VLOOKUP($A322,'ПР 21-22'!$A$11:$BB$406,13,FALSE)-VLOOKUP($A322,'ПР 01-02.22'!$A$11:$BB$378,13,FALSE)</f>
        <v>0</v>
      </c>
      <c r="N322" s="38"/>
      <c r="O322" s="5">
        <f>VLOOKUP($A322,'ПР 01-02.21'!$A$11:$BB$406,15,FALSE)+VLOOKUP($A322,'ПР 21-22'!$A$11:$BB$406,15,FALSE)-VLOOKUP($A322,'ПР 01-02.22'!$A$11:$BB$378,15,FALSE)</f>
        <v>0</v>
      </c>
      <c r="P322" s="5">
        <f>VLOOKUP($A322,'ПР 01-02.21'!$A$11:$BB$406,16,FALSE)+VLOOKUP($A322,'ПР 21-22'!$A$11:$BB$406,16,FALSE)-VLOOKUP($A322,'ПР 01-02.22'!$A$11:$BB$378,16,FALSE)</f>
        <v>0</v>
      </c>
      <c r="Q322" s="443"/>
      <c r="R322" s="5">
        <f>VLOOKUP($A322,'ПР 01-02.21'!$A$11:$BB$406,18,FALSE)+VLOOKUP($A322,'ПР 21-22'!$A$11:$BB$406,18,FALSE)-VLOOKUP($A322,'ПР 01-02.22'!$A$11:$BB$378,18,FALSE)</f>
        <v>0</v>
      </c>
      <c r="S322" s="5">
        <f>VLOOKUP($A322,'ПР 01-02.21'!$A$11:$BB$406,19,FALSE)+VLOOKUP($A322,'ПР 21-22'!$A$11:$BB$406,19,FALSE)-VLOOKUP($A322,'ПР 01-02.22'!$A$11:$BB$378,19,FALSE)</f>
        <v>0</v>
      </c>
      <c r="T322" s="444"/>
      <c r="U322" s="5">
        <f>VLOOKUP($A322,'ПР 01-02.21'!$A$11:$BB$406,21,FALSE)+VLOOKUP($A322,'ПР 21-22'!$A$11:$BB$406,21,FALSE)-VLOOKUP($A322,'ПР 01-02.22'!$A$11:$BB$378,21,FALSE)</f>
        <v>0</v>
      </c>
      <c r="V322" s="5"/>
      <c r="W322" s="5">
        <f>VLOOKUP($A322,'ПР 01-02.21'!$A$11:$BB$406,23,FALSE)+VLOOKUP($A322,'ПР 21-22'!$A$11:$BB$406,23,FALSE)-VLOOKUP($A322,'ПР 01-02.22'!$A$11:$BB$378,23,FALSE)</f>
        <v>0</v>
      </c>
      <c r="X322" s="5">
        <f>VLOOKUP($A322,'ПР 01-02.21'!$A$11:$BB$406,24,FALSE)+VLOOKUP($A322,'ПР 21-22'!$A$11:$BB$406,24,FALSE)-VLOOKUP($A322,'ПР 01-02.22'!$A$11:$BB$378,24,FALSE)</f>
        <v>0</v>
      </c>
      <c r="Y322" s="5">
        <f>VLOOKUP($A322,'ПР 01-02.21'!$A$11:$BB$406,25,FALSE)+VLOOKUP($A322,'ПР 21-22'!$A$11:$BB$406,25,FALSE)-VLOOKUP($A322,'ПР 01-02.22'!$A$11:$BB$378,25,FALSE)</f>
        <v>780</v>
      </c>
      <c r="Z322" s="5"/>
      <c r="AA322" s="5">
        <f>VLOOKUP($A322,'ПР 01-02.21'!$A$11:$BB$406,27,FALSE)+VLOOKUP($A322,'ПР 21-22'!$A$11:$BB$406,27,FALSE)-VLOOKUP($A322,'ПР 01-02.22'!$A$11:$BB$378,27,FALSE)</f>
        <v>0</v>
      </c>
      <c r="AB322" s="5">
        <f>VLOOKUP($A322,'ПР 01-02.21'!$A$11:$BB$406,28,FALSE)+VLOOKUP($A322,'ПР 21-22'!$A$11:$BB$406,28,FALSE)-VLOOKUP($A322,'ПР 01-02.22'!$A$11:$BB$378,28,FALSE)</f>
        <v>0</v>
      </c>
      <c r="AC322" s="5">
        <f>VLOOKUP($A322,'ПР 01-02.21'!$A$11:$BB$406,29,FALSE)+VLOOKUP($A322,'ПР 21-22'!$A$11:$BB$406,29,FALSE)-VLOOKUP($A322,'ПР 01-02.22'!$A$11:$BB$378,29,FALSE)</f>
        <v>0</v>
      </c>
      <c r="AD322" s="5">
        <f>VLOOKUP($A322,'ПР 01-02.21'!$A$11:$BB$406,30,FALSE)+VLOOKUP($A322,'ПР 21-22'!$A$11:$BB$406,30,FALSE)-VLOOKUP($A322,'ПР 01-02.22'!$A$11:$BB$378,30,FALSE)</f>
        <v>4401</v>
      </c>
      <c r="AE322" s="5">
        <f>VLOOKUP($A322,'ПР 01-02.21'!$A$11:$BB$406,31,FALSE)+VLOOKUP($A322,'ПР 21-22'!$A$11:$BB$406,31,FALSE)-VLOOKUP($A322,'ПР 01-02.22'!$A$11:$BB$378,31,FALSE)</f>
        <v>1151.1955284020953</v>
      </c>
      <c r="AF322" s="5">
        <f>VLOOKUP($A322,'ПР 01-02.21'!$A$11:$BB$406,32,FALSE)+VLOOKUP($A322,'ПР 21-22'!$A$11:$BB$406,32,FALSE)-VLOOKUP($A322,'ПР 01-02.22'!$A$11:$BB$378,32,FALSE)</f>
        <v>0</v>
      </c>
      <c r="AG322" s="40"/>
      <c r="AH322" s="5">
        <f>VLOOKUP($A322,'ПР 01-02.21'!$A$11:$BB$406,34,FALSE)+VLOOKUP($A322,'ПР 21-22'!$A$11:$BB$406,34,FALSE)-VLOOKUP($A322,'ПР 01-02.22'!$A$11:$BB$378,34,FALSE)</f>
        <v>1306.1978196649986</v>
      </c>
      <c r="AI322" s="5">
        <f>VLOOKUP($A322,'ПР 01-02.21'!$A$11:$BB$406,35,FALSE)+VLOOKUP($A322,'ПР 21-22'!$A$11:$BB$406,35,FALSE)-VLOOKUP($A322,'ПР 01-02.22'!$A$11:$BB$378,35,FALSE)</f>
        <v>0</v>
      </c>
      <c r="AJ322" s="40"/>
      <c r="AK322" s="5">
        <f>VLOOKUP($A322,'ПР 01-02.21'!$A$11:$BB$406,37,FALSE)+VLOOKUP($A322,'ПР 21-22'!$A$11:$BB$406,37,FALSE)-VLOOKUP($A322,'ПР 01-02.22'!$A$11:$BB$378,37,FALSE)</f>
        <v>857.37217292360833</v>
      </c>
      <c r="AL322" s="5">
        <f>VLOOKUP($A322,'ПР 01-02.21'!$A$11:$BB$406,38,FALSE)+VLOOKUP($A322,'ПР 21-22'!$A$11:$BB$406,38,FALSE)-VLOOKUP($A322,'ПР 01-02.22'!$A$11:$BB$378,38,FALSE)</f>
        <v>1874</v>
      </c>
      <c r="AM322" s="40"/>
      <c r="AN322" s="5">
        <f>VLOOKUP($A322,'ПР 01-02.21'!$A$11:$BB$406,40,FALSE)+VLOOKUP($A322,'ПР 21-22'!$A$11:$BB$406,40,FALSE)-VLOOKUP($A322,'ПР 01-02.22'!$A$11:$BB$378,40,FALSE)</f>
        <v>0</v>
      </c>
      <c r="AO322" s="5">
        <f>VLOOKUP($A322,'ПР 01-02.21'!$A$11:$BB$406,41,FALSE)+VLOOKUP($A322,'ПР 21-22'!$A$11:$BB$406,41,FALSE)-VLOOKUP($A322,'ПР 01-02.22'!$A$11:$BB$378,41,FALSE)</f>
        <v>0</v>
      </c>
      <c r="AP322" s="40"/>
      <c r="AQ322" s="5">
        <f>VLOOKUP($A322,'ПР 01-02.21'!$A$11:$BB$406,43,FALSE)+VLOOKUP($A322,'ПР 21-22'!$A$11:$BB$406,43,FALSE)-VLOOKUP($A322,'ПР 01-02.22'!$A$11:$BB$378,43,FALSE)</f>
        <v>0</v>
      </c>
      <c r="AR322" s="5">
        <f>VLOOKUP($A322,'ПР 01-02.21'!$A$11:$BB$406,44,FALSE)+VLOOKUP($A322,'ПР 21-22'!$A$11:$BB$406,44,FALSE)-VLOOKUP($A322,'ПР 01-02.22'!$A$11:$BB$378,44,FALSE)</f>
        <v>0</v>
      </c>
      <c r="AS322" s="40"/>
      <c r="AT322" s="5">
        <f>VLOOKUP($A322,'ПР 01-02.21'!$A$11:$BB$406,46,FALSE)+VLOOKUP($A322,'ПР 21-22'!$A$11:$BB$406,46,FALSE)-VLOOKUP($A322,'ПР 01-02.22'!$A$11:$BB$378,46,FALSE)</f>
        <v>629.90040413580687</v>
      </c>
      <c r="AU322" s="5">
        <f>VLOOKUP($A322,'ПР 01-02.21'!$A$11:$BB$406,47,FALSE)+VLOOKUP($A322,'ПР 21-22'!$A$11:$BB$406,47,FALSE)-VLOOKUP($A322,'ПР 01-02.22'!$A$11:$BB$378,47,FALSE)</f>
        <v>442</v>
      </c>
      <c r="AV322" s="40"/>
      <c r="AW322" s="5">
        <f>VLOOKUP($A322,'ПР 01-02.21'!$A$11:$BB$406,49,FALSE)+VLOOKUP($A322,'ПР 21-22'!$A$11:$BB$406,49,FALSE)-VLOOKUP($A322,'ПР 01-02.22'!$A$11:$BB$378,49,FALSE)</f>
        <v>73.111999999999995</v>
      </c>
      <c r="AX322" s="5">
        <f>VLOOKUP($A322,'ПР 01-02.21'!$A$11:$BB$406,50,FALSE)+VLOOKUP($A322,'ПР 21-22'!$A$11:$BB$406,50,FALSE)-VLOOKUP($A322,'ПР 01-02.22'!$A$11:$BB$378,50,FALSE)</f>
        <v>0</v>
      </c>
      <c r="AY322" s="40"/>
      <c r="AZ322" s="40">
        <f t="shared" si="21"/>
        <v>4017.7779251265092</v>
      </c>
      <c r="BA322" s="40">
        <f t="shared" si="21"/>
        <v>2316</v>
      </c>
      <c r="BB322" s="55">
        <f t="shared" si="20"/>
        <v>-1701.7779251265092</v>
      </c>
      <c r="BD322" s="2">
        <v>2</v>
      </c>
      <c r="BF322" s="325">
        <v>150000800</v>
      </c>
    </row>
    <row r="323" spans="1:58" ht="24.9" customHeight="1" x14ac:dyDescent="0.3">
      <c r="A323" s="325">
        <v>150000801</v>
      </c>
      <c r="B323" s="445" t="s">
        <v>295</v>
      </c>
      <c r="C323" s="27">
        <v>5</v>
      </c>
      <c r="D323" s="101" t="s">
        <v>455</v>
      </c>
      <c r="E323" s="279">
        <f>'побудинковий звіт'!E321</f>
        <v>4212.1099999999997</v>
      </c>
      <c r="F323" s="441">
        <f>'побудинковий звіт'!AS321</f>
        <v>41130.547374394868</v>
      </c>
      <c r="G323" s="441">
        <f t="shared" si="18"/>
        <v>75665.89123441893</v>
      </c>
      <c r="H323" s="73">
        <f t="shared" si="19"/>
        <v>34535.343860024062</v>
      </c>
      <c r="I323" s="5">
        <f>VLOOKUP($A323,'ПР 01-02.21'!$A$11:$BB$406,9,FALSE)+VLOOKUP($A323,'ПР 21-22'!$A$11:$BB$406,9,FALSE)-VLOOKUP($A323,'ПР 01-02.22'!$A$11:$BB$378,9,FALSE)</f>
        <v>0</v>
      </c>
      <c r="J323" s="5">
        <f>VLOOKUP($A323,'ПР 01-02.21'!$A$11:$BB$406,10,FALSE)+VLOOKUP($A323,'ПР 21-22'!$A$11:$BB$406,10,FALSE)-VLOOKUP($A323,'ПР 01-02.22'!$A$11:$BB$378,10,FALSE)</f>
        <v>0</v>
      </c>
      <c r="K323" s="446"/>
      <c r="L323" s="5">
        <f>VLOOKUP($A323,'ПР 01-02.21'!$A$11:$BB$406,12,FALSE)+VLOOKUP($A323,'ПР 21-22'!$A$11:$BB$406,12,FALSE)-VLOOKUP($A323,'ПР 01-02.22'!$A$11:$BB$378,12,FALSE)</f>
        <v>1</v>
      </c>
      <c r="M323" s="5">
        <f>VLOOKUP($A323,'ПР 01-02.21'!$A$11:$BB$406,13,FALSE)+VLOOKUP($A323,'ПР 21-22'!$A$11:$BB$406,13,FALSE)-VLOOKUP($A323,'ПР 01-02.22'!$A$11:$BB$378,13,FALSE)</f>
        <v>58751</v>
      </c>
      <c r="N323" s="38"/>
      <c r="O323" s="5">
        <f>VLOOKUP($A323,'ПР 01-02.21'!$A$11:$BB$406,15,FALSE)+VLOOKUP($A323,'ПР 21-22'!$A$11:$BB$406,15,FALSE)-VLOOKUP($A323,'ПР 01-02.22'!$A$11:$BB$378,15,FALSE)</f>
        <v>0</v>
      </c>
      <c r="P323" s="5">
        <f>VLOOKUP($A323,'ПР 01-02.21'!$A$11:$BB$406,16,FALSE)+VLOOKUP($A323,'ПР 21-22'!$A$11:$BB$406,16,FALSE)-VLOOKUP($A323,'ПР 01-02.22'!$A$11:$BB$378,16,FALSE)</f>
        <v>0</v>
      </c>
      <c r="Q323" s="443"/>
      <c r="R323" s="5">
        <f>VLOOKUP($A323,'ПР 01-02.21'!$A$11:$BB$406,18,FALSE)+VLOOKUP($A323,'ПР 21-22'!$A$11:$BB$406,18,FALSE)-VLOOKUP($A323,'ПР 01-02.22'!$A$11:$BB$378,18,FALSE)</f>
        <v>0</v>
      </c>
      <c r="S323" s="5">
        <f>VLOOKUP($A323,'ПР 01-02.21'!$A$11:$BB$406,19,FALSE)+VLOOKUP($A323,'ПР 21-22'!$A$11:$BB$406,19,FALSE)-VLOOKUP($A323,'ПР 01-02.22'!$A$11:$BB$378,19,FALSE)</f>
        <v>0</v>
      </c>
      <c r="T323" s="444"/>
      <c r="U323" s="5">
        <f>VLOOKUP($A323,'ПР 01-02.21'!$A$11:$BB$406,21,FALSE)+VLOOKUP($A323,'ПР 21-22'!$A$11:$BB$406,21,FALSE)-VLOOKUP($A323,'ПР 01-02.22'!$A$11:$BB$378,21,FALSE)</f>
        <v>0</v>
      </c>
      <c r="V323" s="5"/>
      <c r="W323" s="5">
        <f>VLOOKUP($A323,'ПР 01-02.21'!$A$11:$BB$406,23,FALSE)+VLOOKUP($A323,'ПР 21-22'!$A$11:$BB$406,23,FALSE)-VLOOKUP($A323,'ПР 01-02.22'!$A$11:$BB$378,23,FALSE)</f>
        <v>0</v>
      </c>
      <c r="X323" s="5">
        <f>VLOOKUP($A323,'ПР 01-02.21'!$A$11:$BB$406,24,FALSE)+VLOOKUP($A323,'ПР 21-22'!$A$11:$BB$406,24,FALSE)-VLOOKUP($A323,'ПР 01-02.22'!$A$11:$BB$378,24,FALSE)</f>
        <v>866.66123441893558</v>
      </c>
      <c r="Y323" s="5">
        <f>VLOOKUP($A323,'ПР 01-02.21'!$A$11:$BB$406,25,FALSE)+VLOOKUP($A323,'ПР 21-22'!$A$11:$BB$406,25,FALSE)-VLOOKUP($A323,'ПР 01-02.22'!$A$11:$BB$378,25,FALSE)</f>
        <v>7115</v>
      </c>
      <c r="Z323" s="5"/>
      <c r="AA323" s="5">
        <f>VLOOKUP($A323,'ПР 01-02.21'!$A$11:$BB$406,27,FALSE)+VLOOKUP($A323,'ПР 21-22'!$A$11:$BB$406,27,FALSE)-VLOOKUP($A323,'ПР 01-02.22'!$A$11:$BB$378,27,FALSE)</f>
        <v>0</v>
      </c>
      <c r="AB323" s="5">
        <f>VLOOKUP($A323,'ПР 01-02.21'!$A$11:$BB$406,28,FALSE)+VLOOKUP($A323,'ПР 21-22'!$A$11:$BB$406,28,FALSE)-VLOOKUP($A323,'ПР 01-02.22'!$A$11:$BB$378,28,FALSE)</f>
        <v>0</v>
      </c>
      <c r="AC323" s="5">
        <f>VLOOKUP($A323,'ПР 01-02.21'!$A$11:$BB$406,29,FALSE)+VLOOKUP($A323,'ПР 21-22'!$A$11:$BB$406,29,FALSE)-VLOOKUP($A323,'ПР 01-02.22'!$A$11:$BB$378,29,FALSE)</f>
        <v>2851</v>
      </c>
      <c r="AD323" s="5">
        <f>VLOOKUP($A323,'ПР 01-02.21'!$A$11:$BB$406,30,FALSE)+VLOOKUP($A323,'ПР 21-22'!$A$11:$BB$406,30,FALSE)-VLOOKUP($A323,'ПР 01-02.22'!$A$11:$BB$378,30,FALSE)</f>
        <v>6082.23</v>
      </c>
      <c r="AE323" s="5">
        <f>VLOOKUP($A323,'ПР 01-02.21'!$A$11:$BB$406,31,FALSE)+VLOOKUP($A323,'ПР 21-22'!$A$11:$BB$406,31,FALSE)-VLOOKUP($A323,'ПР 01-02.22'!$A$11:$BB$378,31,FALSE)</f>
        <v>3670.9450329410793</v>
      </c>
      <c r="AF323" s="5">
        <f>VLOOKUP($A323,'ПР 01-02.21'!$A$11:$BB$406,32,FALSE)+VLOOKUP($A323,'ПР 21-22'!$A$11:$BB$406,32,FALSE)-VLOOKUP($A323,'ПР 01-02.22'!$A$11:$BB$378,32,FALSE)</f>
        <v>1145</v>
      </c>
      <c r="AG323" s="40"/>
      <c r="AH323" s="5">
        <f>VLOOKUP($A323,'ПР 01-02.21'!$A$11:$BB$406,34,FALSE)+VLOOKUP($A323,'ПР 21-22'!$A$11:$BB$406,34,FALSE)-VLOOKUP($A323,'ПР 01-02.22'!$A$11:$BB$378,34,FALSE)</f>
        <v>5206.9043094676017</v>
      </c>
      <c r="AI323" s="5">
        <f>VLOOKUP($A323,'ПР 01-02.21'!$A$11:$BB$406,35,FALSE)+VLOOKUP($A323,'ПР 21-22'!$A$11:$BB$406,35,FALSE)-VLOOKUP($A323,'ПР 01-02.22'!$A$11:$BB$378,35,FALSE)</f>
        <v>90</v>
      </c>
      <c r="AJ323" s="40"/>
      <c r="AK323" s="5">
        <f>VLOOKUP($A323,'ПР 01-02.21'!$A$11:$BB$406,37,FALSE)+VLOOKUP($A323,'ПР 21-22'!$A$11:$BB$406,37,FALSE)-VLOOKUP($A323,'ПР 01-02.22'!$A$11:$BB$378,37,FALSE)</f>
        <v>2338.9772722439061</v>
      </c>
      <c r="AL323" s="5">
        <f>VLOOKUP($A323,'ПР 01-02.21'!$A$11:$BB$406,38,FALSE)+VLOOKUP($A323,'ПР 21-22'!$A$11:$BB$406,38,FALSE)-VLOOKUP($A323,'ПР 01-02.22'!$A$11:$BB$378,38,FALSE)</f>
        <v>1051</v>
      </c>
      <c r="AM323" s="40"/>
      <c r="AN323" s="5">
        <f>VLOOKUP($A323,'ПР 01-02.21'!$A$11:$BB$406,40,FALSE)+VLOOKUP($A323,'ПР 21-22'!$A$11:$BB$406,40,FALSE)-VLOOKUP($A323,'ПР 01-02.22'!$A$11:$BB$378,40,FALSE)</f>
        <v>0</v>
      </c>
      <c r="AO323" s="5">
        <f>VLOOKUP($A323,'ПР 01-02.21'!$A$11:$BB$406,41,FALSE)+VLOOKUP($A323,'ПР 21-22'!$A$11:$BB$406,41,FALSE)-VLOOKUP($A323,'ПР 01-02.22'!$A$11:$BB$378,41,FALSE)</f>
        <v>0</v>
      </c>
      <c r="AP323" s="40"/>
      <c r="AQ323" s="5">
        <f>VLOOKUP($A323,'ПР 01-02.21'!$A$11:$BB$406,43,FALSE)+VLOOKUP($A323,'ПР 21-22'!$A$11:$BB$406,43,FALSE)-VLOOKUP($A323,'ПР 01-02.22'!$A$11:$BB$378,43,FALSE)</f>
        <v>0</v>
      </c>
      <c r="AR323" s="5">
        <f>VLOOKUP($A323,'ПР 01-02.21'!$A$11:$BB$406,44,FALSE)+VLOOKUP($A323,'ПР 21-22'!$A$11:$BB$406,44,FALSE)-VLOOKUP($A323,'ПР 01-02.22'!$A$11:$BB$378,44,FALSE)</f>
        <v>0</v>
      </c>
      <c r="AS323" s="40"/>
      <c r="AT323" s="5">
        <f>VLOOKUP($A323,'ПР 01-02.21'!$A$11:$BB$406,46,FALSE)+VLOOKUP($A323,'ПР 21-22'!$A$11:$BB$406,46,FALSE)-VLOOKUP($A323,'ПР 01-02.22'!$A$11:$BB$378,46,FALSE)</f>
        <v>2944.2117839893567</v>
      </c>
      <c r="AU323" s="5">
        <f>VLOOKUP($A323,'ПР 01-02.21'!$A$11:$BB$406,47,FALSE)+VLOOKUP($A323,'ПР 21-22'!$A$11:$BB$406,47,FALSE)-VLOOKUP($A323,'ПР 01-02.22'!$A$11:$BB$378,47,FALSE)</f>
        <v>1016</v>
      </c>
      <c r="AV323" s="40"/>
      <c r="AW323" s="5">
        <f>VLOOKUP($A323,'ПР 01-02.21'!$A$11:$BB$406,49,FALSE)+VLOOKUP($A323,'ПР 21-22'!$A$11:$BB$406,49,FALSE)-VLOOKUP($A323,'ПР 01-02.22'!$A$11:$BB$378,49,FALSE)</f>
        <v>210.8964</v>
      </c>
      <c r="AX323" s="5">
        <f>VLOOKUP($A323,'ПР 01-02.21'!$A$11:$BB$406,50,FALSE)+VLOOKUP($A323,'ПР 21-22'!$A$11:$BB$406,50,FALSE)-VLOOKUP($A323,'ПР 01-02.22'!$A$11:$BB$378,50,FALSE)</f>
        <v>1787</v>
      </c>
      <c r="AY323" s="40"/>
      <c r="AZ323" s="40">
        <f t="shared" si="21"/>
        <v>14371.934798641943</v>
      </c>
      <c r="BA323" s="40">
        <f t="shared" si="21"/>
        <v>5089</v>
      </c>
      <c r="BB323" s="55">
        <f t="shared" si="20"/>
        <v>-9282.9347986419434</v>
      </c>
      <c r="BD323" s="2">
        <v>2</v>
      </c>
      <c r="BF323" s="325">
        <v>150000801</v>
      </c>
    </row>
    <row r="324" spans="1:58" ht="24.9" customHeight="1" x14ac:dyDescent="0.3">
      <c r="A324" s="325">
        <v>150000802</v>
      </c>
      <c r="B324" s="445" t="s">
        <v>296</v>
      </c>
      <c r="C324" s="27">
        <v>5</v>
      </c>
      <c r="D324" s="101" t="s">
        <v>455</v>
      </c>
      <c r="E324" s="279">
        <f>'побудинковий звіт'!E322</f>
        <v>3203.6</v>
      </c>
      <c r="F324" s="441">
        <f>'побудинковий звіт'!AS322</f>
        <v>30703.122600908595</v>
      </c>
      <c r="G324" s="441">
        <f t="shared" si="18"/>
        <v>12466</v>
      </c>
      <c r="H324" s="73">
        <f t="shared" si="19"/>
        <v>-18237.122600908595</v>
      </c>
      <c r="I324" s="5">
        <f>VLOOKUP($A324,'ПР 01-02.21'!$A$11:$BB$406,9,FALSE)+VLOOKUP($A324,'ПР 21-22'!$A$11:$BB$406,9,FALSE)-VLOOKUP($A324,'ПР 01-02.22'!$A$11:$BB$378,9,FALSE)</f>
        <v>0</v>
      </c>
      <c r="J324" s="5">
        <f>VLOOKUP($A324,'ПР 01-02.21'!$A$11:$BB$406,10,FALSE)+VLOOKUP($A324,'ПР 21-22'!$A$11:$BB$406,10,FALSE)-VLOOKUP($A324,'ПР 01-02.22'!$A$11:$BB$378,10,FALSE)</f>
        <v>4435</v>
      </c>
      <c r="K324" s="446"/>
      <c r="L324" s="5">
        <f>VLOOKUP($A324,'ПР 01-02.21'!$A$11:$BB$406,12,FALSE)+VLOOKUP($A324,'ПР 21-22'!$A$11:$BB$406,12,FALSE)-VLOOKUP($A324,'ПР 01-02.22'!$A$11:$BB$378,12,FALSE)</f>
        <v>0</v>
      </c>
      <c r="M324" s="5">
        <f>VLOOKUP($A324,'ПР 01-02.21'!$A$11:$BB$406,13,FALSE)+VLOOKUP($A324,'ПР 21-22'!$A$11:$BB$406,13,FALSE)-VLOOKUP($A324,'ПР 01-02.22'!$A$11:$BB$378,13,FALSE)</f>
        <v>0</v>
      </c>
      <c r="N324" s="38"/>
      <c r="O324" s="5">
        <f>VLOOKUP($A324,'ПР 01-02.21'!$A$11:$BB$406,15,FALSE)+VLOOKUP($A324,'ПР 21-22'!$A$11:$BB$406,15,FALSE)-VLOOKUP($A324,'ПР 01-02.22'!$A$11:$BB$378,15,FALSE)</f>
        <v>0</v>
      </c>
      <c r="P324" s="5">
        <f>VLOOKUP($A324,'ПР 01-02.21'!$A$11:$BB$406,16,FALSE)+VLOOKUP($A324,'ПР 21-22'!$A$11:$BB$406,16,FALSE)-VLOOKUP($A324,'ПР 01-02.22'!$A$11:$BB$378,16,FALSE)</f>
        <v>0</v>
      </c>
      <c r="Q324" s="443"/>
      <c r="R324" s="5">
        <f>VLOOKUP($A324,'ПР 01-02.21'!$A$11:$BB$406,18,FALSE)+VLOOKUP($A324,'ПР 21-22'!$A$11:$BB$406,18,FALSE)-VLOOKUP($A324,'ПР 01-02.22'!$A$11:$BB$378,18,FALSE)</f>
        <v>0</v>
      </c>
      <c r="S324" s="5">
        <f>VLOOKUP($A324,'ПР 01-02.21'!$A$11:$BB$406,19,FALSE)+VLOOKUP($A324,'ПР 21-22'!$A$11:$BB$406,19,FALSE)-VLOOKUP($A324,'ПР 01-02.22'!$A$11:$BB$378,19,FALSE)</f>
        <v>0</v>
      </c>
      <c r="T324" s="444"/>
      <c r="U324" s="5">
        <f>VLOOKUP($A324,'ПР 01-02.21'!$A$11:$BB$406,21,FALSE)+VLOOKUP($A324,'ПР 21-22'!$A$11:$BB$406,21,FALSE)-VLOOKUP($A324,'ПР 01-02.22'!$A$11:$BB$378,21,FALSE)</f>
        <v>0</v>
      </c>
      <c r="V324" s="5"/>
      <c r="W324" s="5">
        <f>VLOOKUP($A324,'ПР 01-02.21'!$A$11:$BB$406,23,FALSE)+VLOOKUP($A324,'ПР 21-22'!$A$11:$BB$406,23,FALSE)-VLOOKUP($A324,'ПР 01-02.22'!$A$11:$BB$378,23,FALSE)</f>
        <v>0</v>
      </c>
      <c r="X324" s="5">
        <f>VLOOKUP($A324,'ПР 01-02.21'!$A$11:$BB$406,24,FALSE)+VLOOKUP($A324,'ПР 21-22'!$A$11:$BB$406,24,FALSE)-VLOOKUP($A324,'ПР 01-02.22'!$A$11:$BB$378,24,FALSE)</f>
        <v>0</v>
      </c>
      <c r="Y324" s="5">
        <f>VLOOKUP($A324,'ПР 01-02.21'!$A$11:$BB$406,25,FALSE)+VLOOKUP($A324,'ПР 21-22'!$A$11:$BB$406,25,FALSE)-VLOOKUP($A324,'ПР 01-02.22'!$A$11:$BB$378,25,FALSE)</f>
        <v>6390</v>
      </c>
      <c r="Z324" s="5"/>
      <c r="AA324" s="5">
        <f>VLOOKUP($A324,'ПР 01-02.21'!$A$11:$BB$406,27,FALSE)+VLOOKUP($A324,'ПР 21-22'!$A$11:$BB$406,27,FALSE)-VLOOKUP($A324,'ПР 01-02.22'!$A$11:$BB$378,27,FALSE)</f>
        <v>0</v>
      </c>
      <c r="AB324" s="5">
        <f>VLOOKUP($A324,'ПР 01-02.21'!$A$11:$BB$406,28,FALSE)+VLOOKUP($A324,'ПР 21-22'!$A$11:$BB$406,28,FALSE)-VLOOKUP($A324,'ПР 01-02.22'!$A$11:$BB$378,28,FALSE)</f>
        <v>0</v>
      </c>
      <c r="AC324" s="5">
        <f>VLOOKUP($A324,'ПР 01-02.21'!$A$11:$BB$406,29,FALSE)+VLOOKUP($A324,'ПР 21-22'!$A$11:$BB$406,29,FALSE)-VLOOKUP($A324,'ПР 01-02.22'!$A$11:$BB$378,29,FALSE)</f>
        <v>0</v>
      </c>
      <c r="AD324" s="5">
        <f>VLOOKUP($A324,'ПР 01-02.21'!$A$11:$BB$406,30,FALSE)+VLOOKUP($A324,'ПР 21-22'!$A$11:$BB$406,30,FALSE)-VLOOKUP($A324,'ПР 01-02.22'!$A$11:$BB$378,30,FALSE)</f>
        <v>1641</v>
      </c>
      <c r="AE324" s="5">
        <f>VLOOKUP($A324,'ПР 01-02.21'!$A$11:$BB$406,31,FALSE)+VLOOKUP($A324,'ПР 21-22'!$A$11:$BB$406,31,FALSE)-VLOOKUP($A324,'ПР 01-02.22'!$A$11:$BB$378,31,FALSE)</f>
        <v>2982.5548046863469</v>
      </c>
      <c r="AF324" s="5">
        <f>VLOOKUP($A324,'ПР 01-02.21'!$A$11:$BB$406,32,FALSE)+VLOOKUP($A324,'ПР 21-22'!$A$11:$BB$406,32,FALSE)-VLOOKUP($A324,'ПР 01-02.22'!$A$11:$BB$378,32,FALSE)</f>
        <v>2545</v>
      </c>
      <c r="AG324" s="40"/>
      <c r="AH324" s="5">
        <f>VLOOKUP($A324,'ПР 01-02.21'!$A$11:$BB$406,34,FALSE)+VLOOKUP($A324,'ПР 21-22'!$A$11:$BB$406,34,FALSE)-VLOOKUP($A324,'ПР 01-02.22'!$A$11:$BB$378,34,FALSE)</f>
        <v>4169.7843698321703</v>
      </c>
      <c r="AI324" s="5">
        <f>VLOOKUP($A324,'ПР 01-02.21'!$A$11:$BB$406,35,FALSE)+VLOOKUP($A324,'ПР 21-22'!$A$11:$BB$406,35,FALSE)-VLOOKUP($A324,'ПР 01-02.22'!$A$11:$BB$378,35,FALSE)</f>
        <v>0</v>
      </c>
      <c r="AJ324" s="40"/>
      <c r="AK324" s="5">
        <f>VLOOKUP($A324,'ПР 01-02.21'!$A$11:$BB$406,37,FALSE)+VLOOKUP($A324,'ПР 21-22'!$A$11:$BB$406,37,FALSE)-VLOOKUP($A324,'ПР 01-02.22'!$A$11:$BB$378,37,FALSE)</f>
        <v>1984.0308556117229</v>
      </c>
      <c r="AL324" s="5">
        <f>VLOOKUP($A324,'ПР 01-02.21'!$A$11:$BB$406,38,FALSE)+VLOOKUP($A324,'ПР 21-22'!$A$11:$BB$406,38,FALSE)-VLOOKUP($A324,'ПР 01-02.22'!$A$11:$BB$378,38,FALSE)</f>
        <v>1033</v>
      </c>
      <c r="AM324" s="40"/>
      <c r="AN324" s="5">
        <f>VLOOKUP($A324,'ПР 01-02.21'!$A$11:$BB$406,40,FALSE)+VLOOKUP($A324,'ПР 21-22'!$A$11:$BB$406,40,FALSE)-VLOOKUP($A324,'ПР 01-02.22'!$A$11:$BB$378,40,FALSE)</f>
        <v>0</v>
      </c>
      <c r="AO324" s="5">
        <f>VLOOKUP($A324,'ПР 01-02.21'!$A$11:$BB$406,41,FALSE)+VLOOKUP($A324,'ПР 21-22'!$A$11:$BB$406,41,FALSE)-VLOOKUP($A324,'ПР 01-02.22'!$A$11:$BB$378,41,FALSE)</f>
        <v>0</v>
      </c>
      <c r="AP324" s="40"/>
      <c r="AQ324" s="5">
        <f>VLOOKUP($A324,'ПР 01-02.21'!$A$11:$BB$406,43,FALSE)+VLOOKUP($A324,'ПР 21-22'!$A$11:$BB$406,43,FALSE)-VLOOKUP($A324,'ПР 01-02.22'!$A$11:$BB$378,43,FALSE)</f>
        <v>0</v>
      </c>
      <c r="AR324" s="5">
        <f>VLOOKUP($A324,'ПР 01-02.21'!$A$11:$BB$406,44,FALSE)+VLOOKUP($A324,'ПР 21-22'!$A$11:$BB$406,44,FALSE)-VLOOKUP($A324,'ПР 01-02.22'!$A$11:$BB$378,44,FALSE)</f>
        <v>0</v>
      </c>
      <c r="AS324" s="40"/>
      <c r="AT324" s="5">
        <f>VLOOKUP($A324,'ПР 01-02.21'!$A$11:$BB$406,46,FALSE)+VLOOKUP($A324,'ПР 21-22'!$A$11:$BB$406,46,FALSE)-VLOOKUP($A324,'ПР 01-02.22'!$A$11:$BB$378,46,FALSE)</f>
        <v>2020.6931435939337</v>
      </c>
      <c r="AU324" s="5">
        <f>VLOOKUP($A324,'ПР 01-02.21'!$A$11:$BB$406,47,FALSE)+VLOOKUP($A324,'ПР 21-22'!$A$11:$BB$406,47,FALSE)-VLOOKUP($A324,'ПР 01-02.22'!$A$11:$BB$378,47,FALSE)</f>
        <v>0</v>
      </c>
      <c r="AV324" s="40"/>
      <c r="AW324" s="5">
        <f>VLOOKUP($A324,'ПР 01-02.21'!$A$11:$BB$406,49,FALSE)+VLOOKUP($A324,'ПР 21-22'!$A$11:$BB$406,49,FALSE)-VLOOKUP($A324,'ПР 01-02.22'!$A$11:$BB$378,49,FALSE)</f>
        <v>160.196</v>
      </c>
      <c r="AX324" s="5">
        <f>VLOOKUP($A324,'ПР 01-02.21'!$A$11:$BB$406,50,FALSE)+VLOOKUP($A324,'ПР 21-22'!$A$11:$BB$406,50,FALSE)-VLOOKUP($A324,'ПР 01-02.22'!$A$11:$BB$378,50,FALSE)</f>
        <v>0</v>
      </c>
      <c r="AY324" s="40"/>
      <c r="AZ324" s="40">
        <f t="shared" si="21"/>
        <v>11317.259173724173</v>
      </c>
      <c r="BA324" s="40">
        <f t="shared" si="21"/>
        <v>3578</v>
      </c>
      <c r="BB324" s="55">
        <f t="shared" si="20"/>
        <v>-7739.2591737241728</v>
      </c>
      <c r="BD324" s="2">
        <v>2</v>
      </c>
      <c r="BF324" s="325">
        <v>150000802</v>
      </c>
    </row>
    <row r="325" spans="1:58" ht="24.9" customHeight="1" x14ac:dyDescent="0.3">
      <c r="A325" s="325">
        <v>150000803</v>
      </c>
      <c r="B325" s="445" t="s">
        <v>228</v>
      </c>
      <c r="C325" s="27">
        <v>4</v>
      </c>
      <c r="D325" s="101" t="s">
        <v>455</v>
      </c>
      <c r="E325" s="279">
        <f>'побудинковий звіт'!E323</f>
        <v>1607.2</v>
      </c>
      <c r="F325" s="441">
        <f>'побудинковий звіт'!AS323</f>
        <v>12154.647964900567</v>
      </c>
      <c r="G325" s="441">
        <f t="shared" si="18"/>
        <v>266</v>
      </c>
      <c r="H325" s="73">
        <f t="shared" si="19"/>
        <v>-11888.647964900567</v>
      </c>
      <c r="I325" s="5">
        <f>VLOOKUP($A325,'ПР 01-02.21'!$A$11:$BB$406,9,FALSE)+VLOOKUP($A325,'ПР 21-22'!$A$11:$BB$406,9,FALSE)-VLOOKUP($A325,'ПР 01-02.22'!$A$11:$BB$378,9,FALSE)</f>
        <v>1</v>
      </c>
      <c r="J325" s="5">
        <f>VLOOKUP($A325,'ПР 01-02.21'!$A$11:$BB$406,10,FALSE)+VLOOKUP($A325,'ПР 21-22'!$A$11:$BB$406,10,FALSE)-VLOOKUP($A325,'ПР 01-02.22'!$A$11:$BB$378,10,FALSE)</f>
        <v>266</v>
      </c>
      <c r="K325" s="446"/>
      <c r="L325" s="5">
        <f>VLOOKUP($A325,'ПР 01-02.21'!$A$11:$BB$406,12,FALSE)+VLOOKUP($A325,'ПР 21-22'!$A$11:$BB$406,12,FALSE)-VLOOKUP($A325,'ПР 01-02.22'!$A$11:$BB$378,12,FALSE)</f>
        <v>0</v>
      </c>
      <c r="M325" s="5">
        <f>VLOOKUP($A325,'ПР 01-02.21'!$A$11:$BB$406,13,FALSE)+VLOOKUP($A325,'ПР 21-22'!$A$11:$BB$406,13,FALSE)-VLOOKUP($A325,'ПР 01-02.22'!$A$11:$BB$378,13,FALSE)</f>
        <v>0</v>
      </c>
      <c r="N325" s="38"/>
      <c r="O325" s="5">
        <f>VLOOKUP($A325,'ПР 01-02.21'!$A$11:$BB$406,15,FALSE)+VLOOKUP($A325,'ПР 21-22'!$A$11:$BB$406,15,FALSE)-VLOOKUP($A325,'ПР 01-02.22'!$A$11:$BB$378,15,FALSE)</f>
        <v>0</v>
      </c>
      <c r="P325" s="5">
        <f>VLOOKUP($A325,'ПР 01-02.21'!$A$11:$BB$406,16,FALSE)+VLOOKUP($A325,'ПР 21-22'!$A$11:$BB$406,16,FALSE)-VLOOKUP($A325,'ПР 01-02.22'!$A$11:$BB$378,16,FALSE)</f>
        <v>0</v>
      </c>
      <c r="Q325" s="443"/>
      <c r="R325" s="5">
        <f>VLOOKUP($A325,'ПР 01-02.21'!$A$11:$BB$406,18,FALSE)+VLOOKUP($A325,'ПР 21-22'!$A$11:$BB$406,18,FALSE)-VLOOKUP($A325,'ПР 01-02.22'!$A$11:$BB$378,18,FALSE)</f>
        <v>0</v>
      </c>
      <c r="S325" s="5">
        <f>VLOOKUP($A325,'ПР 01-02.21'!$A$11:$BB$406,19,FALSE)+VLOOKUP($A325,'ПР 21-22'!$A$11:$BB$406,19,FALSE)-VLOOKUP($A325,'ПР 01-02.22'!$A$11:$BB$378,19,FALSE)</f>
        <v>0</v>
      </c>
      <c r="T325" s="444"/>
      <c r="U325" s="5">
        <f>VLOOKUP($A325,'ПР 01-02.21'!$A$11:$BB$406,21,FALSE)+VLOOKUP($A325,'ПР 21-22'!$A$11:$BB$406,21,FALSE)-VLOOKUP($A325,'ПР 01-02.22'!$A$11:$BB$378,21,FALSE)</f>
        <v>0</v>
      </c>
      <c r="V325" s="5"/>
      <c r="W325" s="5">
        <f>VLOOKUP($A325,'ПР 01-02.21'!$A$11:$BB$406,23,FALSE)+VLOOKUP($A325,'ПР 21-22'!$A$11:$BB$406,23,FALSE)-VLOOKUP($A325,'ПР 01-02.22'!$A$11:$BB$378,23,FALSE)</f>
        <v>0</v>
      </c>
      <c r="X325" s="5">
        <f>VLOOKUP($A325,'ПР 01-02.21'!$A$11:$BB$406,24,FALSE)+VLOOKUP($A325,'ПР 21-22'!$A$11:$BB$406,24,FALSE)-VLOOKUP($A325,'ПР 01-02.22'!$A$11:$BB$378,24,FALSE)</f>
        <v>0</v>
      </c>
      <c r="Y325" s="5">
        <f>VLOOKUP($A325,'ПР 01-02.21'!$A$11:$BB$406,25,FALSE)+VLOOKUP($A325,'ПР 21-22'!$A$11:$BB$406,25,FALSE)-VLOOKUP($A325,'ПР 01-02.22'!$A$11:$BB$378,25,FALSE)</f>
        <v>0</v>
      </c>
      <c r="Z325" s="5"/>
      <c r="AA325" s="5">
        <f>VLOOKUP($A325,'ПР 01-02.21'!$A$11:$BB$406,27,FALSE)+VLOOKUP($A325,'ПР 21-22'!$A$11:$BB$406,27,FALSE)-VLOOKUP($A325,'ПР 01-02.22'!$A$11:$BB$378,27,FALSE)</f>
        <v>0</v>
      </c>
      <c r="AB325" s="5">
        <f>VLOOKUP($A325,'ПР 01-02.21'!$A$11:$BB$406,28,FALSE)+VLOOKUP($A325,'ПР 21-22'!$A$11:$BB$406,28,FALSE)-VLOOKUP($A325,'ПР 01-02.22'!$A$11:$BB$378,28,FALSE)</f>
        <v>0</v>
      </c>
      <c r="AC325" s="5">
        <f>VLOOKUP($A325,'ПР 01-02.21'!$A$11:$BB$406,29,FALSE)+VLOOKUP($A325,'ПР 21-22'!$A$11:$BB$406,29,FALSE)-VLOOKUP($A325,'ПР 01-02.22'!$A$11:$BB$378,29,FALSE)</f>
        <v>0</v>
      </c>
      <c r="AD325" s="5">
        <f>VLOOKUP($A325,'ПР 01-02.21'!$A$11:$BB$406,30,FALSE)+VLOOKUP($A325,'ПР 21-22'!$A$11:$BB$406,30,FALSE)-VLOOKUP($A325,'ПР 01-02.22'!$A$11:$BB$378,30,FALSE)</f>
        <v>0</v>
      </c>
      <c r="AE325" s="5">
        <f>VLOOKUP($A325,'ПР 01-02.21'!$A$11:$BB$406,31,FALSE)+VLOOKUP($A325,'ПР 21-22'!$A$11:$BB$406,31,FALSE)-VLOOKUP($A325,'ПР 01-02.22'!$A$11:$BB$378,31,FALSE)</f>
        <v>1281.5679788549066</v>
      </c>
      <c r="AF325" s="5">
        <f>VLOOKUP($A325,'ПР 01-02.21'!$A$11:$BB$406,32,FALSE)+VLOOKUP($A325,'ПР 21-22'!$A$11:$BB$406,32,FALSE)-VLOOKUP($A325,'ПР 01-02.22'!$A$11:$BB$378,32,FALSE)</f>
        <v>963</v>
      </c>
      <c r="AG325" s="40"/>
      <c r="AH325" s="5">
        <f>VLOOKUP($A325,'ПР 01-02.21'!$A$11:$BB$406,34,FALSE)+VLOOKUP($A325,'ПР 21-22'!$A$11:$BB$406,34,FALSE)-VLOOKUP($A325,'ПР 01-02.22'!$A$11:$BB$378,34,FALSE)</f>
        <v>1624.5981861642922</v>
      </c>
      <c r="AI325" s="5">
        <f>VLOOKUP($A325,'ПР 01-02.21'!$A$11:$BB$406,35,FALSE)+VLOOKUP($A325,'ПР 21-22'!$A$11:$BB$406,35,FALSE)-VLOOKUP($A325,'ПР 01-02.22'!$A$11:$BB$378,35,FALSE)</f>
        <v>0</v>
      </c>
      <c r="AJ325" s="40"/>
      <c r="AK325" s="5">
        <f>VLOOKUP($A325,'ПР 01-02.21'!$A$11:$BB$406,37,FALSE)+VLOOKUP($A325,'ПР 21-22'!$A$11:$BB$406,37,FALSE)-VLOOKUP($A325,'ПР 01-02.22'!$A$11:$BB$378,37,FALSE)</f>
        <v>802.63062112007356</v>
      </c>
      <c r="AL325" s="5">
        <f>VLOOKUP($A325,'ПР 01-02.21'!$A$11:$BB$406,38,FALSE)+VLOOKUP($A325,'ПР 21-22'!$A$11:$BB$406,38,FALSE)-VLOOKUP($A325,'ПР 01-02.22'!$A$11:$BB$378,38,FALSE)</f>
        <v>0</v>
      </c>
      <c r="AM325" s="40"/>
      <c r="AN325" s="5">
        <f>VLOOKUP($A325,'ПР 01-02.21'!$A$11:$BB$406,40,FALSE)+VLOOKUP($A325,'ПР 21-22'!$A$11:$BB$406,40,FALSE)-VLOOKUP($A325,'ПР 01-02.22'!$A$11:$BB$378,40,FALSE)</f>
        <v>0</v>
      </c>
      <c r="AO325" s="5">
        <f>VLOOKUP($A325,'ПР 01-02.21'!$A$11:$BB$406,41,FALSE)+VLOOKUP($A325,'ПР 21-22'!$A$11:$BB$406,41,FALSE)-VLOOKUP($A325,'ПР 01-02.22'!$A$11:$BB$378,41,FALSE)</f>
        <v>0</v>
      </c>
      <c r="AP325" s="40"/>
      <c r="AQ325" s="5">
        <f>VLOOKUP($A325,'ПР 01-02.21'!$A$11:$BB$406,43,FALSE)+VLOOKUP($A325,'ПР 21-22'!$A$11:$BB$406,43,FALSE)-VLOOKUP($A325,'ПР 01-02.22'!$A$11:$BB$378,43,FALSE)</f>
        <v>0</v>
      </c>
      <c r="AR325" s="5">
        <f>VLOOKUP($A325,'ПР 01-02.21'!$A$11:$BB$406,44,FALSE)+VLOOKUP($A325,'ПР 21-22'!$A$11:$BB$406,44,FALSE)-VLOOKUP($A325,'ПР 01-02.22'!$A$11:$BB$378,44,FALSE)</f>
        <v>0</v>
      </c>
      <c r="AS325" s="40"/>
      <c r="AT325" s="5">
        <f>VLOOKUP($A325,'ПР 01-02.21'!$A$11:$BB$406,46,FALSE)+VLOOKUP($A325,'ПР 21-22'!$A$11:$BB$406,46,FALSE)-VLOOKUP($A325,'ПР 01-02.22'!$A$11:$BB$378,46,FALSE)</f>
        <v>566.64898277283066</v>
      </c>
      <c r="AU325" s="5">
        <f>VLOOKUP($A325,'ПР 01-02.21'!$A$11:$BB$406,47,FALSE)+VLOOKUP($A325,'ПР 21-22'!$A$11:$BB$406,47,FALSE)-VLOOKUP($A325,'ПР 01-02.22'!$A$11:$BB$378,47,FALSE)</f>
        <v>1707</v>
      </c>
      <c r="AV325" s="40"/>
      <c r="AW325" s="5">
        <f>VLOOKUP($A325,'ПР 01-02.21'!$A$11:$BB$406,49,FALSE)+VLOOKUP($A325,'ПР 21-22'!$A$11:$BB$406,49,FALSE)-VLOOKUP($A325,'ПР 01-02.22'!$A$11:$BB$378,49,FALSE)</f>
        <v>81.316000000000003</v>
      </c>
      <c r="AX325" s="5">
        <f>VLOOKUP($A325,'ПР 01-02.21'!$A$11:$BB$406,50,FALSE)+VLOOKUP($A325,'ПР 21-22'!$A$11:$BB$406,50,FALSE)-VLOOKUP($A325,'ПР 01-02.22'!$A$11:$BB$378,50,FALSE)</f>
        <v>0</v>
      </c>
      <c r="AY325" s="40"/>
      <c r="AZ325" s="40">
        <f t="shared" si="21"/>
        <v>4356.7617689121034</v>
      </c>
      <c r="BA325" s="40">
        <f t="shared" si="21"/>
        <v>2670</v>
      </c>
      <c r="BB325" s="55">
        <f t="shared" si="20"/>
        <v>-1686.7617689121034</v>
      </c>
      <c r="BD325" s="2">
        <v>2</v>
      </c>
      <c r="BF325" s="325">
        <v>150000803</v>
      </c>
    </row>
    <row r="326" spans="1:58" ht="24.9" customHeight="1" x14ac:dyDescent="0.3">
      <c r="A326" s="325">
        <v>150000805</v>
      </c>
      <c r="B326" s="445" t="s">
        <v>297</v>
      </c>
      <c r="C326" s="27">
        <v>5</v>
      </c>
      <c r="D326" s="101" t="s">
        <v>455</v>
      </c>
      <c r="E326" s="279">
        <f>'побудинковий звіт'!E324</f>
        <v>3709.9399999999996</v>
      </c>
      <c r="F326" s="441">
        <f>'побудинковий звіт'!AS324</f>
        <v>29985.99715367176</v>
      </c>
      <c r="G326" s="441">
        <f t="shared" si="18"/>
        <v>13356.3745812899</v>
      </c>
      <c r="H326" s="73">
        <f t="shared" si="19"/>
        <v>-16629.622572381861</v>
      </c>
      <c r="I326" s="5">
        <f>VLOOKUP($A326,'ПР 01-02.21'!$A$11:$BB$406,9,FALSE)+VLOOKUP($A326,'ПР 21-22'!$A$11:$BB$406,9,FALSE)-VLOOKUP($A326,'ПР 01-02.22'!$A$11:$BB$378,9,FALSE)</f>
        <v>14</v>
      </c>
      <c r="J326" s="5">
        <f>VLOOKUP($A326,'ПР 01-02.21'!$A$11:$BB$406,10,FALSE)+VLOOKUP($A326,'ПР 21-22'!$A$11:$BB$406,10,FALSE)-VLOOKUP($A326,'ПР 01-02.22'!$A$11:$BB$378,10,FALSE)</f>
        <v>5942</v>
      </c>
      <c r="K326" s="446"/>
      <c r="L326" s="5">
        <f>VLOOKUP($A326,'ПР 01-02.21'!$A$11:$BB$406,12,FALSE)+VLOOKUP($A326,'ПР 21-22'!$A$11:$BB$406,12,FALSE)-VLOOKUP($A326,'ПР 01-02.22'!$A$11:$BB$378,12,FALSE)</f>
        <v>0</v>
      </c>
      <c r="M326" s="5">
        <f>VLOOKUP($A326,'ПР 01-02.21'!$A$11:$BB$406,13,FALSE)+VLOOKUP($A326,'ПР 21-22'!$A$11:$BB$406,13,FALSE)-VLOOKUP($A326,'ПР 01-02.22'!$A$11:$BB$378,13,FALSE)</f>
        <v>0</v>
      </c>
      <c r="N326" s="38"/>
      <c r="O326" s="5">
        <f>VLOOKUP($A326,'ПР 01-02.21'!$A$11:$BB$406,15,FALSE)+VLOOKUP($A326,'ПР 21-22'!$A$11:$BB$406,15,FALSE)-VLOOKUP($A326,'ПР 01-02.22'!$A$11:$BB$378,15,FALSE)</f>
        <v>0</v>
      </c>
      <c r="P326" s="5">
        <f>VLOOKUP($A326,'ПР 01-02.21'!$A$11:$BB$406,16,FALSE)+VLOOKUP($A326,'ПР 21-22'!$A$11:$BB$406,16,FALSE)-VLOOKUP($A326,'ПР 01-02.22'!$A$11:$BB$378,16,FALSE)</f>
        <v>0</v>
      </c>
      <c r="Q326" s="443"/>
      <c r="R326" s="5">
        <f>VLOOKUP($A326,'ПР 01-02.21'!$A$11:$BB$406,18,FALSE)+VLOOKUP($A326,'ПР 21-22'!$A$11:$BB$406,18,FALSE)-VLOOKUP($A326,'ПР 01-02.22'!$A$11:$BB$378,18,FALSE)</f>
        <v>0</v>
      </c>
      <c r="S326" s="5">
        <f>VLOOKUP($A326,'ПР 01-02.21'!$A$11:$BB$406,19,FALSE)+VLOOKUP($A326,'ПР 21-22'!$A$11:$BB$406,19,FALSE)-VLOOKUP($A326,'ПР 01-02.22'!$A$11:$BB$378,19,FALSE)</f>
        <v>0</v>
      </c>
      <c r="T326" s="444"/>
      <c r="U326" s="5">
        <f>VLOOKUP($A326,'ПР 01-02.21'!$A$11:$BB$406,21,FALSE)+VLOOKUP($A326,'ПР 21-22'!$A$11:$BB$406,21,FALSE)-VLOOKUP($A326,'ПР 01-02.22'!$A$11:$BB$378,21,FALSE)</f>
        <v>0</v>
      </c>
      <c r="V326" s="5"/>
      <c r="W326" s="5">
        <f>VLOOKUP($A326,'ПР 01-02.21'!$A$11:$BB$406,23,FALSE)+VLOOKUP($A326,'ПР 21-22'!$A$11:$BB$406,23,FALSE)-VLOOKUP($A326,'ПР 01-02.22'!$A$11:$BB$378,23,FALSE)</f>
        <v>3.3999999999999986</v>
      </c>
      <c r="X326" s="5">
        <f>VLOOKUP($A326,'ПР 01-02.21'!$A$11:$BB$406,24,FALSE)+VLOOKUP($A326,'ПР 21-22'!$A$11:$BB$406,24,FALSE)-VLOOKUP($A326,'ПР 01-02.22'!$A$11:$BB$378,24,FALSE)</f>
        <v>871.91458128990166</v>
      </c>
      <c r="Y326" s="5">
        <f>VLOOKUP($A326,'ПР 01-02.21'!$A$11:$BB$406,25,FALSE)+VLOOKUP($A326,'ПР 21-22'!$A$11:$BB$406,25,FALSE)-VLOOKUP($A326,'ПР 01-02.22'!$A$11:$BB$378,25,FALSE)</f>
        <v>3302.41</v>
      </c>
      <c r="Z326" s="5"/>
      <c r="AA326" s="5">
        <f>VLOOKUP($A326,'ПР 01-02.21'!$A$11:$BB$406,27,FALSE)+VLOOKUP($A326,'ПР 21-22'!$A$11:$BB$406,27,FALSE)-VLOOKUP($A326,'ПР 01-02.22'!$A$11:$BB$378,27,FALSE)</f>
        <v>0</v>
      </c>
      <c r="AB326" s="5">
        <f>VLOOKUP($A326,'ПР 01-02.21'!$A$11:$BB$406,28,FALSE)+VLOOKUP($A326,'ПР 21-22'!$A$11:$BB$406,28,FALSE)-VLOOKUP($A326,'ПР 01-02.22'!$A$11:$BB$378,28,FALSE)</f>
        <v>2414.0500000000002</v>
      </c>
      <c r="AC326" s="5">
        <f>VLOOKUP($A326,'ПР 01-02.21'!$A$11:$BB$406,29,FALSE)+VLOOKUP($A326,'ПР 21-22'!$A$11:$BB$406,29,FALSE)-VLOOKUP($A326,'ПР 01-02.22'!$A$11:$BB$378,29,FALSE)</f>
        <v>113</v>
      </c>
      <c r="AD326" s="5">
        <f>VLOOKUP($A326,'ПР 01-02.21'!$A$11:$BB$406,30,FALSE)+VLOOKUP($A326,'ПР 21-22'!$A$11:$BB$406,30,FALSE)-VLOOKUP($A326,'ПР 01-02.22'!$A$11:$BB$378,30,FALSE)</f>
        <v>713</v>
      </c>
      <c r="AE326" s="5">
        <f>VLOOKUP($A326,'ПР 01-02.21'!$A$11:$BB$406,31,FALSE)+VLOOKUP($A326,'ПР 21-22'!$A$11:$BB$406,31,FALSE)-VLOOKUP($A326,'ПР 01-02.22'!$A$11:$BB$378,31,FALSE)</f>
        <v>2968.0566762903263</v>
      </c>
      <c r="AF326" s="5">
        <f>VLOOKUP($A326,'ПР 01-02.21'!$A$11:$BB$406,32,FALSE)+VLOOKUP($A326,'ПР 21-22'!$A$11:$BB$406,32,FALSE)-VLOOKUP($A326,'ПР 01-02.22'!$A$11:$BB$378,32,FALSE)</f>
        <v>0</v>
      </c>
      <c r="AG326" s="40"/>
      <c r="AH326" s="5">
        <f>VLOOKUP($A326,'ПР 01-02.21'!$A$11:$BB$406,34,FALSE)+VLOOKUP($A326,'ПР 21-22'!$A$11:$BB$406,34,FALSE)-VLOOKUP($A326,'ПР 01-02.22'!$A$11:$BB$378,34,FALSE)</f>
        <v>4196.1179314756373</v>
      </c>
      <c r="AI326" s="5">
        <f>VLOOKUP($A326,'ПР 01-02.21'!$A$11:$BB$406,35,FALSE)+VLOOKUP($A326,'ПР 21-22'!$A$11:$BB$406,35,FALSE)-VLOOKUP($A326,'ПР 01-02.22'!$A$11:$BB$378,35,FALSE)</f>
        <v>0</v>
      </c>
      <c r="AJ326" s="40"/>
      <c r="AK326" s="5">
        <f>VLOOKUP($A326,'ПР 01-02.21'!$A$11:$BB$406,37,FALSE)+VLOOKUP($A326,'ПР 21-22'!$A$11:$BB$406,37,FALSE)-VLOOKUP($A326,'ПР 01-02.22'!$A$11:$BB$378,37,FALSE)</f>
        <v>1723.172261609265</v>
      </c>
      <c r="AL326" s="5">
        <f>VLOOKUP($A326,'ПР 01-02.21'!$A$11:$BB$406,38,FALSE)+VLOOKUP($A326,'ПР 21-22'!$A$11:$BB$406,38,FALSE)-VLOOKUP($A326,'ПР 01-02.22'!$A$11:$BB$378,38,FALSE)</f>
        <v>671</v>
      </c>
      <c r="AM326" s="40"/>
      <c r="AN326" s="5">
        <f>VLOOKUP($A326,'ПР 01-02.21'!$A$11:$BB$406,40,FALSE)+VLOOKUP($A326,'ПР 21-22'!$A$11:$BB$406,40,FALSE)-VLOOKUP($A326,'ПР 01-02.22'!$A$11:$BB$378,40,FALSE)</f>
        <v>0</v>
      </c>
      <c r="AO326" s="5">
        <f>VLOOKUP($A326,'ПР 01-02.21'!$A$11:$BB$406,41,FALSE)+VLOOKUP($A326,'ПР 21-22'!$A$11:$BB$406,41,FALSE)-VLOOKUP($A326,'ПР 01-02.22'!$A$11:$BB$378,41,FALSE)</f>
        <v>0</v>
      </c>
      <c r="AP326" s="40"/>
      <c r="AQ326" s="5">
        <f>VLOOKUP($A326,'ПР 01-02.21'!$A$11:$BB$406,43,FALSE)+VLOOKUP($A326,'ПР 21-22'!$A$11:$BB$406,43,FALSE)-VLOOKUP($A326,'ПР 01-02.22'!$A$11:$BB$378,43,FALSE)</f>
        <v>0</v>
      </c>
      <c r="AR326" s="5">
        <f>VLOOKUP($A326,'ПР 01-02.21'!$A$11:$BB$406,44,FALSE)+VLOOKUP($A326,'ПР 21-22'!$A$11:$BB$406,44,FALSE)-VLOOKUP($A326,'ПР 01-02.22'!$A$11:$BB$378,44,FALSE)</f>
        <v>0</v>
      </c>
      <c r="AS326" s="40"/>
      <c r="AT326" s="5">
        <f>VLOOKUP($A326,'ПР 01-02.21'!$A$11:$BB$406,46,FALSE)+VLOOKUP($A326,'ПР 21-22'!$A$11:$BB$406,46,FALSE)-VLOOKUP($A326,'ПР 01-02.22'!$A$11:$BB$378,46,FALSE)</f>
        <v>2351.8364990775963</v>
      </c>
      <c r="AU326" s="5">
        <f>VLOOKUP($A326,'ПР 01-02.21'!$A$11:$BB$406,47,FALSE)+VLOOKUP($A326,'ПР 21-22'!$A$11:$BB$406,47,FALSE)-VLOOKUP($A326,'ПР 01-02.22'!$A$11:$BB$378,47,FALSE)</f>
        <v>0</v>
      </c>
      <c r="AV326" s="40"/>
      <c r="AW326" s="5">
        <f>VLOOKUP($A326,'ПР 01-02.21'!$A$11:$BB$406,49,FALSE)+VLOOKUP($A326,'ПР 21-22'!$A$11:$BB$406,49,FALSE)-VLOOKUP($A326,'ПР 01-02.22'!$A$11:$BB$378,49,FALSE)</f>
        <v>180.2816</v>
      </c>
      <c r="AX326" s="5">
        <f>VLOOKUP($A326,'ПР 01-02.21'!$A$11:$BB$406,50,FALSE)+VLOOKUP($A326,'ПР 21-22'!$A$11:$BB$406,50,FALSE)-VLOOKUP($A326,'ПР 01-02.22'!$A$11:$BB$378,50,FALSE)</f>
        <v>0</v>
      </c>
      <c r="AY326" s="40"/>
      <c r="AZ326" s="40">
        <f t="shared" si="21"/>
        <v>11419.464968452825</v>
      </c>
      <c r="BA326" s="40">
        <f t="shared" si="21"/>
        <v>671</v>
      </c>
      <c r="BB326" s="55">
        <f t="shared" si="20"/>
        <v>-10748.464968452825</v>
      </c>
      <c r="BD326" s="2">
        <v>3</v>
      </c>
      <c r="BF326" s="325">
        <v>150000805</v>
      </c>
    </row>
    <row r="327" spans="1:58" ht="24.9" customHeight="1" x14ac:dyDescent="0.3">
      <c r="A327" s="325">
        <v>150000806</v>
      </c>
      <c r="B327" s="445" t="s">
        <v>229</v>
      </c>
      <c r="C327" s="27">
        <v>4</v>
      </c>
      <c r="D327" s="101" t="s">
        <v>455</v>
      </c>
      <c r="E327" s="279">
        <f>'побудинковий звіт'!E325</f>
        <v>2716</v>
      </c>
      <c r="F327" s="441">
        <f>'побудинковий звіт'!AS325</f>
        <v>24310.796528658349</v>
      </c>
      <c r="G327" s="441">
        <f t="shared" si="18"/>
        <v>14169.58</v>
      </c>
      <c r="H327" s="73">
        <f t="shared" si="19"/>
        <v>-10141.216528658349</v>
      </c>
      <c r="I327" s="5">
        <f>VLOOKUP($A327,'ПР 01-02.21'!$A$11:$BB$406,9,FALSE)+VLOOKUP($A327,'ПР 21-22'!$A$11:$BB$406,9,FALSE)-VLOOKUP($A327,'ПР 01-02.22'!$A$11:$BB$378,9,FALSE)</f>
        <v>18</v>
      </c>
      <c r="J327" s="5">
        <f>VLOOKUP($A327,'ПР 01-02.21'!$A$11:$BB$406,10,FALSE)+VLOOKUP($A327,'ПР 21-22'!$A$11:$BB$406,10,FALSE)-VLOOKUP($A327,'ПР 01-02.22'!$A$11:$BB$378,10,FALSE)</f>
        <v>3847.58</v>
      </c>
      <c r="K327" s="446"/>
      <c r="L327" s="5">
        <f>VLOOKUP($A327,'ПР 01-02.21'!$A$11:$BB$406,12,FALSE)+VLOOKUP($A327,'ПР 21-22'!$A$11:$BB$406,12,FALSE)-VLOOKUP($A327,'ПР 01-02.22'!$A$11:$BB$378,12,FALSE)</f>
        <v>0</v>
      </c>
      <c r="M327" s="5">
        <f>VLOOKUP($A327,'ПР 01-02.21'!$A$11:$BB$406,13,FALSE)+VLOOKUP($A327,'ПР 21-22'!$A$11:$BB$406,13,FALSE)-VLOOKUP($A327,'ПР 01-02.22'!$A$11:$BB$378,13,FALSE)</f>
        <v>0</v>
      </c>
      <c r="N327" s="38"/>
      <c r="O327" s="5">
        <f>VLOOKUP($A327,'ПР 01-02.21'!$A$11:$BB$406,15,FALSE)+VLOOKUP($A327,'ПР 21-22'!$A$11:$BB$406,15,FALSE)-VLOOKUP($A327,'ПР 01-02.22'!$A$11:$BB$378,15,FALSE)</f>
        <v>0</v>
      </c>
      <c r="P327" s="5">
        <f>VLOOKUP($A327,'ПР 01-02.21'!$A$11:$BB$406,16,FALSE)+VLOOKUP($A327,'ПР 21-22'!$A$11:$BB$406,16,FALSE)-VLOOKUP($A327,'ПР 01-02.22'!$A$11:$BB$378,16,FALSE)</f>
        <v>0</v>
      </c>
      <c r="Q327" s="443"/>
      <c r="R327" s="5">
        <f>VLOOKUP($A327,'ПР 01-02.21'!$A$11:$BB$406,18,FALSE)+VLOOKUP($A327,'ПР 21-22'!$A$11:$BB$406,18,FALSE)-VLOOKUP($A327,'ПР 01-02.22'!$A$11:$BB$378,18,FALSE)</f>
        <v>0</v>
      </c>
      <c r="S327" s="5">
        <f>VLOOKUP($A327,'ПР 01-02.21'!$A$11:$BB$406,19,FALSE)+VLOOKUP($A327,'ПР 21-22'!$A$11:$BB$406,19,FALSE)-VLOOKUP($A327,'ПР 01-02.22'!$A$11:$BB$378,19,FALSE)</f>
        <v>0</v>
      </c>
      <c r="T327" s="444"/>
      <c r="U327" s="5">
        <f>VLOOKUP($A327,'ПР 01-02.21'!$A$11:$BB$406,21,FALSE)+VLOOKUP($A327,'ПР 21-22'!$A$11:$BB$406,21,FALSE)-VLOOKUP($A327,'ПР 01-02.22'!$A$11:$BB$378,21,FALSE)</f>
        <v>0</v>
      </c>
      <c r="V327" s="5"/>
      <c r="W327" s="5">
        <f>VLOOKUP($A327,'ПР 01-02.21'!$A$11:$BB$406,23,FALSE)+VLOOKUP($A327,'ПР 21-22'!$A$11:$BB$406,23,FALSE)-VLOOKUP($A327,'ПР 01-02.22'!$A$11:$BB$378,23,FALSE)</f>
        <v>0</v>
      </c>
      <c r="X327" s="5">
        <f>VLOOKUP($A327,'ПР 01-02.21'!$A$11:$BB$406,24,FALSE)+VLOOKUP($A327,'ПР 21-22'!$A$11:$BB$406,24,FALSE)-VLOOKUP($A327,'ПР 01-02.22'!$A$11:$BB$378,24,FALSE)</f>
        <v>0</v>
      </c>
      <c r="Y327" s="5">
        <f>VLOOKUP($A327,'ПР 01-02.21'!$A$11:$BB$406,25,FALSE)+VLOOKUP($A327,'ПР 21-22'!$A$11:$BB$406,25,FALSE)-VLOOKUP($A327,'ПР 01-02.22'!$A$11:$BB$378,25,FALSE)</f>
        <v>4115</v>
      </c>
      <c r="Z327" s="5"/>
      <c r="AA327" s="5">
        <f>VLOOKUP($A327,'ПР 01-02.21'!$A$11:$BB$406,27,FALSE)+VLOOKUP($A327,'ПР 21-22'!$A$11:$BB$406,27,FALSE)-VLOOKUP($A327,'ПР 01-02.22'!$A$11:$BB$378,27,FALSE)</f>
        <v>0</v>
      </c>
      <c r="AB327" s="5">
        <f>VLOOKUP($A327,'ПР 01-02.21'!$A$11:$BB$406,28,FALSE)+VLOOKUP($A327,'ПР 21-22'!$A$11:$BB$406,28,FALSE)-VLOOKUP($A327,'ПР 01-02.22'!$A$11:$BB$378,28,FALSE)</f>
        <v>0</v>
      </c>
      <c r="AC327" s="5">
        <f>VLOOKUP($A327,'ПР 01-02.21'!$A$11:$BB$406,29,FALSE)+VLOOKUP($A327,'ПР 21-22'!$A$11:$BB$406,29,FALSE)-VLOOKUP($A327,'ПР 01-02.22'!$A$11:$BB$378,29,FALSE)</f>
        <v>0</v>
      </c>
      <c r="AD327" s="5">
        <f>VLOOKUP($A327,'ПР 01-02.21'!$A$11:$BB$406,30,FALSE)+VLOOKUP($A327,'ПР 21-22'!$A$11:$BB$406,30,FALSE)-VLOOKUP($A327,'ПР 01-02.22'!$A$11:$BB$378,30,FALSE)</f>
        <v>6207</v>
      </c>
      <c r="AE327" s="5">
        <f>VLOOKUP($A327,'ПР 01-02.21'!$A$11:$BB$406,31,FALSE)+VLOOKUP($A327,'ПР 21-22'!$A$11:$BB$406,31,FALSE)-VLOOKUP($A327,'ПР 01-02.22'!$A$11:$BB$378,31,FALSE)</f>
        <v>2345.819545194835</v>
      </c>
      <c r="AF327" s="5">
        <f>VLOOKUP($A327,'ПР 01-02.21'!$A$11:$BB$406,32,FALSE)+VLOOKUP($A327,'ПР 21-22'!$A$11:$BB$406,32,FALSE)-VLOOKUP($A327,'ПР 01-02.22'!$A$11:$BB$378,32,FALSE)</f>
        <v>0</v>
      </c>
      <c r="AG327" s="40"/>
      <c r="AH327" s="5">
        <f>VLOOKUP($A327,'ПР 01-02.21'!$A$11:$BB$406,34,FALSE)+VLOOKUP($A327,'ПР 21-22'!$A$11:$BB$406,34,FALSE)-VLOOKUP($A327,'ПР 01-02.22'!$A$11:$BB$378,34,FALSE)</f>
        <v>3124.4751911242056</v>
      </c>
      <c r="AI327" s="5">
        <f>VLOOKUP($A327,'ПР 01-02.21'!$A$11:$BB$406,35,FALSE)+VLOOKUP($A327,'ПР 21-22'!$A$11:$BB$406,35,FALSE)-VLOOKUP($A327,'ПР 01-02.22'!$A$11:$BB$378,35,FALSE)</f>
        <v>0</v>
      </c>
      <c r="AJ327" s="40"/>
      <c r="AK327" s="5">
        <f>VLOOKUP($A327,'ПР 01-02.21'!$A$11:$BB$406,37,FALSE)+VLOOKUP($A327,'ПР 21-22'!$A$11:$BB$406,37,FALSE)-VLOOKUP($A327,'ПР 01-02.22'!$A$11:$BB$378,37,FALSE)</f>
        <v>1181.7405186295464</v>
      </c>
      <c r="AL327" s="5">
        <f>VLOOKUP($A327,'ПР 01-02.21'!$A$11:$BB$406,38,FALSE)+VLOOKUP($A327,'ПР 21-22'!$A$11:$BB$406,38,FALSE)-VLOOKUP($A327,'ПР 01-02.22'!$A$11:$BB$378,38,FALSE)</f>
        <v>1489</v>
      </c>
      <c r="AM327" s="40"/>
      <c r="AN327" s="5">
        <f>VLOOKUP($A327,'ПР 01-02.21'!$A$11:$BB$406,40,FALSE)+VLOOKUP($A327,'ПР 21-22'!$A$11:$BB$406,40,FALSE)-VLOOKUP($A327,'ПР 01-02.22'!$A$11:$BB$378,40,FALSE)</f>
        <v>0</v>
      </c>
      <c r="AO327" s="5">
        <f>VLOOKUP($A327,'ПР 01-02.21'!$A$11:$BB$406,41,FALSE)+VLOOKUP($A327,'ПР 21-22'!$A$11:$BB$406,41,FALSE)-VLOOKUP($A327,'ПР 01-02.22'!$A$11:$BB$378,41,FALSE)</f>
        <v>0</v>
      </c>
      <c r="AP327" s="40"/>
      <c r="AQ327" s="5">
        <f>VLOOKUP($A327,'ПР 01-02.21'!$A$11:$BB$406,43,FALSE)+VLOOKUP($A327,'ПР 21-22'!$A$11:$BB$406,43,FALSE)-VLOOKUP($A327,'ПР 01-02.22'!$A$11:$BB$378,43,FALSE)</f>
        <v>0</v>
      </c>
      <c r="AR327" s="5">
        <f>VLOOKUP($A327,'ПР 01-02.21'!$A$11:$BB$406,44,FALSE)+VLOOKUP($A327,'ПР 21-22'!$A$11:$BB$406,44,FALSE)-VLOOKUP($A327,'ПР 01-02.22'!$A$11:$BB$378,44,FALSE)</f>
        <v>0</v>
      </c>
      <c r="AS327" s="40"/>
      <c r="AT327" s="5">
        <f>VLOOKUP($A327,'ПР 01-02.21'!$A$11:$BB$406,46,FALSE)+VLOOKUP($A327,'ПР 21-22'!$A$11:$BB$406,46,FALSE)-VLOOKUP($A327,'ПР 01-02.22'!$A$11:$BB$378,46,FALSE)</f>
        <v>2096.4122108523775</v>
      </c>
      <c r="AU327" s="5">
        <f>VLOOKUP($A327,'ПР 01-02.21'!$A$11:$BB$406,47,FALSE)+VLOOKUP($A327,'ПР 21-22'!$A$11:$BB$406,47,FALSE)-VLOOKUP($A327,'ПР 01-02.22'!$A$11:$BB$378,47,FALSE)</f>
        <v>0</v>
      </c>
      <c r="AV327" s="40"/>
      <c r="AW327" s="5">
        <f>VLOOKUP($A327,'ПР 01-02.21'!$A$11:$BB$406,49,FALSE)+VLOOKUP($A327,'ПР 21-22'!$A$11:$BB$406,49,FALSE)-VLOOKUP($A327,'ПР 01-02.22'!$A$11:$BB$378,49,FALSE)</f>
        <v>121.99600000000001</v>
      </c>
      <c r="AX327" s="5">
        <f>VLOOKUP($A327,'ПР 01-02.21'!$A$11:$BB$406,50,FALSE)+VLOOKUP($A327,'ПР 21-22'!$A$11:$BB$406,50,FALSE)-VLOOKUP($A327,'ПР 01-02.22'!$A$11:$BB$378,50,FALSE)</f>
        <v>0</v>
      </c>
      <c r="AY327" s="40"/>
      <c r="AZ327" s="40">
        <f t="shared" si="21"/>
        <v>8870.4434658009632</v>
      </c>
      <c r="BA327" s="40">
        <f t="shared" si="21"/>
        <v>1489</v>
      </c>
      <c r="BB327" s="55">
        <f t="shared" si="20"/>
        <v>-7381.4434658009632</v>
      </c>
      <c r="BD327" s="2">
        <v>2</v>
      </c>
      <c r="BF327" s="325">
        <v>150000806</v>
      </c>
    </row>
    <row r="328" spans="1:58" ht="24.9" customHeight="1" x14ac:dyDescent="0.3">
      <c r="A328" s="325">
        <v>150000807</v>
      </c>
      <c r="B328" s="445" t="s">
        <v>188</v>
      </c>
      <c r="C328" s="27">
        <v>2</v>
      </c>
      <c r="D328" s="101" t="s">
        <v>455</v>
      </c>
      <c r="E328" s="279">
        <f>'побудинковий звіт'!E326</f>
        <v>300.7</v>
      </c>
      <c r="F328" s="441">
        <f>'побудинковий звіт'!AS326</f>
        <v>3255.1296874740087</v>
      </c>
      <c r="G328" s="441">
        <f t="shared" si="18"/>
        <v>753</v>
      </c>
      <c r="H328" s="73">
        <f t="shared" si="19"/>
        <v>-2502.1296874740087</v>
      </c>
      <c r="I328" s="5">
        <f>VLOOKUP($A328,'ПР 01-02.21'!$A$11:$BB$406,9,FALSE)+VLOOKUP($A328,'ПР 21-22'!$A$11:$BB$406,9,FALSE)-VLOOKUP($A328,'ПР 01-02.22'!$A$11:$BB$378,9,FALSE)</f>
        <v>0</v>
      </c>
      <c r="J328" s="5">
        <f>VLOOKUP($A328,'ПР 01-02.21'!$A$11:$BB$406,10,FALSE)+VLOOKUP($A328,'ПР 21-22'!$A$11:$BB$406,10,FALSE)-VLOOKUP($A328,'ПР 01-02.22'!$A$11:$BB$378,10,FALSE)</f>
        <v>0</v>
      </c>
      <c r="K328" s="446"/>
      <c r="L328" s="5">
        <f>VLOOKUP($A328,'ПР 01-02.21'!$A$11:$BB$406,12,FALSE)+VLOOKUP($A328,'ПР 21-22'!$A$11:$BB$406,12,FALSE)-VLOOKUP($A328,'ПР 01-02.22'!$A$11:$BB$378,12,FALSE)</f>
        <v>0</v>
      </c>
      <c r="M328" s="5">
        <f>VLOOKUP($A328,'ПР 01-02.21'!$A$11:$BB$406,13,FALSE)+VLOOKUP($A328,'ПР 21-22'!$A$11:$BB$406,13,FALSE)-VLOOKUP($A328,'ПР 01-02.22'!$A$11:$BB$378,13,FALSE)</f>
        <v>0</v>
      </c>
      <c r="N328" s="38"/>
      <c r="O328" s="5">
        <f>VLOOKUP($A328,'ПР 01-02.21'!$A$11:$BB$406,15,FALSE)+VLOOKUP($A328,'ПР 21-22'!$A$11:$BB$406,15,FALSE)-VLOOKUP($A328,'ПР 01-02.22'!$A$11:$BB$378,15,FALSE)</f>
        <v>0</v>
      </c>
      <c r="P328" s="5">
        <f>VLOOKUP($A328,'ПР 01-02.21'!$A$11:$BB$406,16,FALSE)+VLOOKUP($A328,'ПР 21-22'!$A$11:$BB$406,16,FALSE)-VLOOKUP($A328,'ПР 01-02.22'!$A$11:$BB$378,16,FALSE)</f>
        <v>0</v>
      </c>
      <c r="Q328" s="443"/>
      <c r="R328" s="5">
        <f>VLOOKUP($A328,'ПР 01-02.21'!$A$11:$BB$406,18,FALSE)+VLOOKUP($A328,'ПР 21-22'!$A$11:$BB$406,18,FALSE)-VLOOKUP($A328,'ПР 01-02.22'!$A$11:$BB$378,18,FALSE)</f>
        <v>0</v>
      </c>
      <c r="S328" s="5">
        <f>VLOOKUP($A328,'ПР 01-02.21'!$A$11:$BB$406,19,FALSE)+VLOOKUP($A328,'ПР 21-22'!$A$11:$BB$406,19,FALSE)-VLOOKUP($A328,'ПР 01-02.22'!$A$11:$BB$378,19,FALSE)</f>
        <v>0</v>
      </c>
      <c r="T328" s="444"/>
      <c r="U328" s="5">
        <f>VLOOKUP($A328,'ПР 01-02.21'!$A$11:$BB$406,21,FALSE)+VLOOKUP($A328,'ПР 21-22'!$A$11:$BB$406,21,FALSE)-VLOOKUP($A328,'ПР 01-02.22'!$A$11:$BB$378,21,FALSE)</f>
        <v>0</v>
      </c>
      <c r="V328" s="5"/>
      <c r="W328" s="5">
        <f>VLOOKUP($A328,'ПР 01-02.21'!$A$11:$BB$406,23,FALSE)+VLOOKUP($A328,'ПР 21-22'!$A$11:$BB$406,23,FALSE)-VLOOKUP($A328,'ПР 01-02.22'!$A$11:$BB$378,23,FALSE)</f>
        <v>0</v>
      </c>
      <c r="X328" s="5">
        <f>VLOOKUP($A328,'ПР 01-02.21'!$A$11:$BB$406,24,FALSE)+VLOOKUP($A328,'ПР 21-22'!$A$11:$BB$406,24,FALSE)-VLOOKUP($A328,'ПР 01-02.22'!$A$11:$BB$378,24,FALSE)</f>
        <v>0</v>
      </c>
      <c r="Y328" s="5">
        <f>VLOOKUP($A328,'ПР 01-02.21'!$A$11:$BB$406,25,FALSE)+VLOOKUP($A328,'ПР 21-22'!$A$11:$BB$406,25,FALSE)-VLOOKUP($A328,'ПР 01-02.22'!$A$11:$BB$378,25,FALSE)</f>
        <v>0</v>
      </c>
      <c r="Z328" s="5"/>
      <c r="AA328" s="5">
        <f>VLOOKUP($A328,'ПР 01-02.21'!$A$11:$BB$406,27,FALSE)+VLOOKUP($A328,'ПР 21-22'!$A$11:$BB$406,27,FALSE)-VLOOKUP($A328,'ПР 01-02.22'!$A$11:$BB$378,27,FALSE)</f>
        <v>0</v>
      </c>
      <c r="AB328" s="5">
        <f>VLOOKUP($A328,'ПР 01-02.21'!$A$11:$BB$406,28,FALSE)+VLOOKUP($A328,'ПР 21-22'!$A$11:$BB$406,28,FALSE)-VLOOKUP($A328,'ПР 01-02.22'!$A$11:$BB$378,28,FALSE)</f>
        <v>0</v>
      </c>
      <c r="AC328" s="5">
        <f>VLOOKUP($A328,'ПР 01-02.21'!$A$11:$BB$406,29,FALSE)+VLOOKUP($A328,'ПР 21-22'!$A$11:$BB$406,29,FALSE)-VLOOKUP($A328,'ПР 01-02.22'!$A$11:$BB$378,29,FALSE)</f>
        <v>0</v>
      </c>
      <c r="AD328" s="5">
        <f>VLOOKUP($A328,'ПР 01-02.21'!$A$11:$BB$406,30,FALSE)+VLOOKUP($A328,'ПР 21-22'!$A$11:$BB$406,30,FALSE)-VLOOKUP($A328,'ПР 01-02.22'!$A$11:$BB$378,30,FALSE)</f>
        <v>753</v>
      </c>
      <c r="AE328" s="5">
        <f>VLOOKUP($A328,'ПР 01-02.21'!$A$11:$BB$406,31,FALSE)+VLOOKUP($A328,'ПР 21-22'!$A$11:$BB$406,31,FALSE)-VLOOKUP($A328,'ПР 01-02.22'!$A$11:$BB$378,31,FALSE)</f>
        <v>569.31639361011935</v>
      </c>
      <c r="AF328" s="5">
        <f>VLOOKUP($A328,'ПР 01-02.21'!$A$11:$BB$406,32,FALSE)+VLOOKUP($A328,'ПР 21-22'!$A$11:$BB$406,32,FALSE)-VLOOKUP($A328,'ПР 01-02.22'!$A$11:$BB$378,32,FALSE)</f>
        <v>0</v>
      </c>
      <c r="AG328" s="40"/>
      <c r="AH328" s="5">
        <f>VLOOKUP($A328,'ПР 01-02.21'!$A$11:$BB$406,34,FALSE)+VLOOKUP($A328,'ПР 21-22'!$A$11:$BB$406,34,FALSE)-VLOOKUP($A328,'ПР 01-02.22'!$A$11:$BB$378,34,FALSE)</f>
        <v>610.7187875711237</v>
      </c>
      <c r="AI328" s="5">
        <f>VLOOKUP($A328,'ПР 01-02.21'!$A$11:$BB$406,35,FALSE)+VLOOKUP($A328,'ПР 21-22'!$A$11:$BB$406,35,FALSE)-VLOOKUP($A328,'ПР 01-02.22'!$A$11:$BB$378,35,FALSE)</f>
        <v>0</v>
      </c>
      <c r="AJ328" s="40"/>
      <c r="AK328" s="5">
        <f>VLOOKUP($A328,'ПР 01-02.21'!$A$11:$BB$406,37,FALSE)+VLOOKUP($A328,'ПР 21-22'!$A$11:$BB$406,37,FALSE)-VLOOKUP($A328,'ПР 01-02.22'!$A$11:$BB$378,37,FALSE)</f>
        <v>0</v>
      </c>
      <c r="AL328" s="5">
        <f>VLOOKUP($A328,'ПР 01-02.21'!$A$11:$BB$406,38,FALSE)+VLOOKUP($A328,'ПР 21-22'!$A$11:$BB$406,38,FALSE)-VLOOKUP($A328,'ПР 01-02.22'!$A$11:$BB$378,38,FALSE)</f>
        <v>0</v>
      </c>
      <c r="AM328" s="40"/>
      <c r="AN328" s="5">
        <f>VLOOKUP($A328,'ПР 01-02.21'!$A$11:$BB$406,40,FALSE)+VLOOKUP($A328,'ПР 21-22'!$A$11:$BB$406,40,FALSE)-VLOOKUP($A328,'ПР 01-02.22'!$A$11:$BB$378,40,FALSE)</f>
        <v>0</v>
      </c>
      <c r="AO328" s="5">
        <f>VLOOKUP($A328,'ПР 01-02.21'!$A$11:$BB$406,41,FALSE)+VLOOKUP($A328,'ПР 21-22'!$A$11:$BB$406,41,FALSE)-VLOOKUP($A328,'ПР 01-02.22'!$A$11:$BB$378,41,FALSE)</f>
        <v>0</v>
      </c>
      <c r="AP328" s="40"/>
      <c r="AQ328" s="5">
        <f>VLOOKUP($A328,'ПР 01-02.21'!$A$11:$BB$406,43,FALSE)+VLOOKUP($A328,'ПР 21-22'!$A$11:$BB$406,43,FALSE)-VLOOKUP($A328,'ПР 01-02.22'!$A$11:$BB$378,43,FALSE)</f>
        <v>0</v>
      </c>
      <c r="AR328" s="5">
        <f>VLOOKUP($A328,'ПР 01-02.21'!$A$11:$BB$406,44,FALSE)+VLOOKUP($A328,'ПР 21-22'!$A$11:$BB$406,44,FALSE)-VLOOKUP($A328,'ПР 01-02.22'!$A$11:$BB$378,44,FALSE)</f>
        <v>0</v>
      </c>
      <c r="AS328" s="40"/>
      <c r="AT328" s="5">
        <f>VLOOKUP($A328,'ПР 01-02.21'!$A$11:$BB$406,46,FALSE)+VLOOKUP($A328,'ПР 21-22'!$A$11:$BB$406,46,FALSE)-VLOOKUP($A328,'ПР 01-02.22'!$A$11:$BB$378,46,FALSE)</f>
        <v>52.600052995035611</v>
      </c>
      <c r="AU328" s="5">
        <f>VLOOKUP($A328,'ПР 01-02.21'!$A$11:$BB$406,47,FALSE)+VLOOKUP($A328,'ПР 21-22'!$A$11:$BB$406,47,FALSE)-VLOOKUP($A328,'ПР 01-02.22'!$A$11:$BB$378,47,FALSE)</f>
        <v>0</v>
      </c>
      <c r="AV328" s="40"/>
      <c r="AW328" s="5">
        <f>VLOOKUP($A328,'ПР 01-02.21'!$A$11:$BB$406,49,FALSE)+VLOOKUP($A328,'ПР 21-22'!$A$11:$BB$406,49,FALSE)-VLOOKUP($A328,'ПР 01-02.22'!$A$11:$BB$378,49,FALSE)</f>
        <v>15.028</v>
      </c>
      <c r="AX328" s="5">
        <f>VLOOKUP($A328,'ПР 01-02.21'!$A$11:$BB$406,50,FALSE)+VLOOKUP($A328,'ПР 21-22'!$A$11:$BB$406,50,FALSE)-VLOOKUP($A328,'ПР 01-02.22'!$A$11:$BB$378,50,FALSE)</f>
        <v>0</v>
      </c>
      <c r="AY328" s="40"/>
      <c r="AZ328" s="40">
        <f t="shared" si="21"/>
        <v>1247.6632341762786</v>
      </c>
      <c r="BA328" s="40">
        <f t="shared" si="21"/>
        <v>0</v>
      </c>
      <c r="BB328" s="55">
        <f t="shared" si="20"/>
        <v>-1247.6632341762786</v>
      </c>
      <c r="BD328" s="2">
        <v>3</v>
      </c>
      <c r="BF328" s="325">
        <v>150000807</v>
      </c>
    </row>
    <row r="329" spans="1:58" ht="24.9" customHeight="1" x14ac:dyDescent="0.3">
      <c r="A329" s="325">
        <v>150000808</v>
      </c>
      <c r="B329" s="445" t="s">
        <v>298</v>
      </c>
      <c r="C329" s="27">
        <v>5</v>
      </c>
      <c r="D329" s="101" t="s">
        <v>455</v>
      </c>
      <c r="E329" s="279">
        <f>'побудинковий звіт'!E327</f>
        <v>1950.8</v>
      </c>
      <c r="F329" s="441">
        <f>'побудинковий звіт'!AS327</f>
        <v>12013.416710694673</v>
      </c>
      <c r="G329" s="441">
        <f t="shared" ref="G329:G392" si="22">J329+M329+P329+S329+U329+X329+Y329+AA329+AB329+AC329+AD329</f>
        <v>5906</v>
      </c>
      <c r="H329" s="73">
        <f t="shared" ref="H329:H392" si="23">G329-F329</f>
        <v>-6107.4167106946734</v>
      </c>
      <c r="I329" s="5">
        <f>VLOOKUP($A329,'ПР 01-02.21'!$A$11:$BB$406,9,FALSE)+VLOOKUP($A329,'ПР 21-22'!$A$11:$BB$406,9,FALSE)-VLOOKUP($A329,'ПР 01-02.22'!$A$11:$BB$378,9,FALSE)</f>
        <v>0</v>
      </c>
      <c r="J329" s="5">
        <f>VLOOKUP($A329,'ПР 01-02.21'!$A$11:$BB$406,10,FALSE)+VLOOKUP($A329,'ПР 21-22'!$A$11:$BB$406,10,FALSE)-VLOOKUP($A329,'ПР 01-02.22'!$A$11:$BB$378,10,FALSE)</f>
        <v>164</v>
      </c>
      <c r="K329" s="446"/>
      <c r="L329" s="5">
        <f>VLOOKUP($A329,'ПР 01-02.21'!$A$11:$BB$406,12,FALSE)+VLOOKUP($A329,'ПР 21-22'!$A$11:$BB$406,12,FALSE)-VLOOKUP($A329,'ПР 01-02.22'!$A$11:$BB$378,12,FALSE)</f>
        <v>0</v>
      </c>
      <c r="M329" s="5">
        <f>VLOOKUP($A329,'ПР 01-02.21'!$A$11:$BB$406,13,FALSE)+VLOOKUP($A329,'ПР 21-22'!$A$11:$BB$406,13,FALSE)-VLOOKUP($A329,'ПР 01-02.22'!$A$11:$BB$378,13,FALSE)</f>
        <v>0</v>
      </c>
      <c r="N329" s="38"/>
      <c r="O329" s="5">
        <f>VLOOKUP($A329,'ПР 01-02.21'!$A$11:$BB$406,15,FALSE)+VLOOKUP($A329,'ПР 21-22'!$A$11:$BB$406,15,FALSE)-VLOOKUP($A329,'ПР 01-02.22'!$A$11:$BB$378,15,FALSE)</f>
        <v>0</v>
      </c>
      <c r="P329" s="5">
        <f>VLOOKUP($A329,'ПР 01-02.21'!$A$11:$BB$406,16,FALSE)+VLOOKUP($A329,'ПР 21-22'!$A$11:$BB$406,16,FALSE)-VLOOKUP($A329,'ПР 01-02.22'!$A$11:$BB$378,16,FALSE)</f>
        <v>0</v>
      </c>
      <c r="Q329" s="443"/>
      <c r="R329" s="5">
        <f>VLOOKUP($A329,'ПР 01-02.21'!$A$11:$BB$406,18,FALSE)+VLOOKUP($A329,'ПР 21-22'!$A$11:$BB$406,18,FALSE)-VLOOKUP($A329,'ПР 01-02.22'!$A$11:$BB$378,18,FALSE)</f>
        <v>0</v>
      </c>
      <c r="S329" s="5">
        <f>VLOOKUP($A329,'ПР 01-02.21'!$A$11:$BB$406,19,FALSE)+VLOOKUP($A329,'ПР 21-22'!$A$11:$BB$406,19,FALSE)-VLOOKUP($A329,'ПР 01-02.22'!$A$11:$BB$378,19,FALSE)</f>
        <v>0</v>
      </c>
      <c r="T329" s="444"/>
      <c r="U329" s="5">
        <f>VLOOKUP($A329,'ПР 01-02.21'!$A$11:$BB$406,21,FALSE)+VLOOKUP($A329,'ПР 21-22'!$A$11:$BB$406,21,FALSE)-VLOOKUP($A329,'ПР 01-02.22'!$A$11:$BB$378,21,FALSE)</f>
        <v>0</v>
      </c>
      <c r="V329" s="5"/>
      <c r="W329" s="5">
        <f>VLOOKUP($A329,'ПР 01-02.21'!$A$11:$BB$406,23,FALSE)+VLOOKUP($A329,'ПР 21-22'!$A$11:$BB$406,23,FALSE)-VLOOKUP($A329,'ПР 01-02.22'!$A$11:$BB$378,23,FALSE)</f>
        <v>0</v>
      </c>
      <c r="X329" s="5">
        <f>VLOOKUP($A329,'ПР 01-02.21'!$A$11:$BB$406,24,FALSE)+VLOOKUP($A329,'ПР 21-22'!$A$11:$BB$406,24,FALSE)-VLOOKUP($A329,'ПР 01-02.22'!$A$11:$BB$378,24,FALSE)</f>
        <v>0</v>
      </c>
      <c r="Y329" s="5">
        <f>VLOOKUP($A329,'ПР 01-02.21'!$A$11:$BB$406,25,FALSE)+VLOOKUP($A329,'ПР 21-22'!$A$11:$BB$406,25,FALSE)-VLOOKUP($A329,'ПР 01-02.22'!$A$11:$BB$378,25,FALSE)</f>
        <v>3371</v>
      </c>
      <c r="Z329" s="5"/>
      <c r="AA329" s="5">
        <f>VLOOKUP($A329,'ПР 01-02.21'!$A$11:$BB$406,27,FALSE)+VLOOKUP($A329,'ПР 21-22'!$A$11:$BB$406,27,FALSE)-VLOOKUP($A329,'ПР 01-02.22'!$A$11:$BB$378,27,FALSE)</f>
        <v>0</v>
      </c>
      <c r="AB329" s="5">
        <f>VLOOKUP($A329,'ПР 01-02.21'!$A$11:$BB$406,28,FALSE)+VLOOKUP($A329,'ПР 21-22'!$A$11:$BB$406,28,FALSE)-VLOOKUP($A329,'ПР 01-02.22'!$A$11:$BB$378,28,FALSE)</f>
        <v>0</v>
      </c>
      <c r="AC329" s="5">
        <f>VLOOKUP($A329,'ПР 01-02.21'!$A$11:$BB$406,29,FALSE)+VLOOKUP($A329,'ПР 21-22'!$A$11:$BB$406,29,FALSE)-VLOOKUP($A329,'ПР 01-02.22'!$A$11:$BB$378,29,FALSE)</f>
        <v>0</v>
      </c>
      <c r="AD329" s="5">
        <f>VLOOKUP($A329,'ПР 01-02.21'!$A$11:$BB$406,30,FALSE)+VLOOKUP($A329,'ПР 21-22'!$A$11:$BB$406,30,FALSE)-VLOOKUP($A329,'ПР 01-02.22'!$A$11:$BB$378,30,FALSE)</f>
        <v>2371</v>
      </c>
      <c r="AE329" s="5">
        <f>VLOOKUP($A329,'ПР 01-02.21'!$A$11:$BB$406,31,FALSE)+VLOOKUP($A329,'ПР 21-22'!$A$11:$BB$406,31,FALSE)-VLOOKUP($A329,'ПР 01-02.22'!$A$11:$BB$378,31,FALSE)</f>
        <v>1584.1443239081902</v>
      </c>
      <c r="AF329" s="5">
        <f>VLOOKUP($A329,'ПР 01-02.21'!$A$11:$BB$406,32,FALSE)+VLOOKUP($A329,'ПР 21-22'!$A$11:$BB$406,32,FALSE)-VLOOKUP($A329,'ПР 01-02.22'!$A$11:$BB$378,32,FALSE)</f>
        <v>122</v>
      </c>
      <c r="AG329" s="40"/>
      <c r="AH329" s="5">
        <f>VLOOKUP($A329,'ПР 01-02.21'!$A$11:$BB$406,34,FALSE)+VLOOKUP($A329,'ПР 21-22'!$A$11:$BB$406,34,FALSE)-VLOOKUP($A329,'ПР 01-02.22'!$A$11:$BB$378,34,FALSE)</f>
        <v>2130.5762608718514</v>
      </c>
      <c r="AI329" s="5">
        <f>VLOOKUP($A329,'ПР 01-02.21'!$A$11:$BB$406,35,FALSE)+VLOOKUP($A329,'ПР 21-22'!$A$11:$BB$406,35,FALSE)-VLOOKUP($A329,'ПР 01-02.22'!$A$11:$BB$378,35,FALSE)</f>
        <v>90</v>
      </c>
      <c r="AJ329" s="40"/>
      <c r="AK329" s="5">
        <f>VLOOKUP($A329,'ПР 01-02.21'!$A$11:$BB$406,37,FALSE)+VLOOKUP($A329,'ПР 21-22'!$A$11:$BB$406,37,FALSE)-VLOOKUP($A329,'ПР 01-02.22'!$A$11:$BB$378,37,FALSE)</f>
        <v>1247.6450245698411</v>
      </c>
      <c r="AL329" s="5">
        <f>VLOOKUP($A329,'ПР 01-02.21'!$A$11:$BB$406,38,FALSE)+VLOOKUP($A329,'ПР 21-22'!$A$11:$BB$406,38,FALSE)-VLOOKUP($A329,'ПР 01-02.22'!$A$11:$BB$378,38,FALSE)</f>
        <v>0</v>
      </c>
      <c r="AM329" s="40"/>
      <c r="AN329" s="5">
        <f>VLOOKUP($A329,'ПР 01-02.21'!$A$11:$BB$406,40,FALSE)+VLOOKUP($A329,'ПР 21-22'!$A$11:$BB$406,40,FALSE)-VLOOKUP($A329,'ПР 01-02.22'!$A$11:$BB$378,40,FALSE)</f>
        <v>0</v>
      </c>
      <c r="AO329" s="5">
        <f>VLOOKUP($A329,'ПР 01-02.21'!$A$11:$BB$406,41,FALSE)+VLOOKUP($A329,'ПР 21-22'!$A$11:$BB$406,41,FALSE)-VLOOKUP($A329,'ПР 01-02.22'!$A$11:$BB$378,41,FALSE)</f>
        <v>0</v>
      </c>
      <c r="AP329" s="40"/>
      <c r="AQ329" s="5">
        <f>VLOOKUP($A329,'ПР 01-02.21'!$A$11:$BB$406,43,FALSE)+VLOOKUP($A329,'ПР 21-22'!$A$11:$BB$406,43,FALSE)-VLOOKUP($A329,'ПР 01-02.22'!$A$11:$BB$378,43,FALSE)</f>
        <v>0</v>
      </c>
      <c r="AR329" s="5">
        <f>VLOOKUP($A329,'ПР 01-02.21'!$A$11:$BB$406,44,FALSE)+VLOOKUP($A329,'ПР 21-22'!$A$11:$BB$406,44,FALSE)-VLOOKUP($A329,'ПР 01-02.22'!$A$11:$BB$378,44,FALSE)</f>
        <v>0</v>
      </c>
      <c r="AS329" s="40"/>
      <c r="AT329" s="5">
        <f>VLOOKUP($A329,'ПР 01-02.21'!$A$11:$BB$406,46,FALSE)+VLOOKUP($A329,'ПР 21-22'!$A$11:$BB$406,46,FALSE)-VLOOKUP($A329,'ПР 01-02.22'!$A$11:$BB$378,46,FALSE)</f>
        <v>715.52034337841076</v>
      </c>
      <c r="AU329" s="5">
        <f>VLOOKUP($A329,'ПР 01-02.21'!$A$11:$BB$406,47,FALSE)+VLOOKUP($A329,'ПР 21-22'!$A$11:$BB$406,47,FALSE)-VLOOKUP($A329,'ПР 01-02.22'!$A$11:$BB$378,47,FALSE)</f>
        <v>0</v>
      </c>
      <c r="AV329" s="40"/>
      <c r="AW329" s="5">
        <f>VLOOKUP($A329,'ПР 01-02.21'!$A$11:$BB$406,49,FALSE)+VLOOKUP($A329,'ПР 21-22'!$A$11:$BB$406,49,FALSE)-VLOOKUP($A329,'ПР 01-02.22'!$A$11:$BB$378,49,FALSE)</f>
        <v>98.088000000000008</v>
      </c>
      <c r="AX329" s="5">
        <f>VLOOKUP($A329,'ПР 01-02.21'!$A$11:$BB$406,50,FALSE)+VLOOKUP($A329,'ПР 21-22'!$A$11:$BB$406,50,FALSE)-VLOOKUP($A329,'ПР 01-02.22'!$A$11:$BB$378,50,FALSE)</f>
        <v>0</v>
      </c>
      <c r="AY329" s="40"/>
      <c r="AZ329" s="40">
        <f t="shared" si="21"/>
        <v>5775.9739527282936</v>
      </c>
      <c r="BA329" s="40">
        <f t="shared" si="21"/>
        <v>212</v>
      </c>
      <c r="BB329" s="55">
        <f t="shared" ref="BB329:BB392" si="24">BA329-AZ329</f>
        <v>-5563.9739527282936</v>
      </c>
      <c r="BD329" s="2">
        <v>2</v>
      </c>
      <c r="BF329" s="325">
        <v>150000808</v>
      </c>
    </row>
    <row r="330" spans="1:58" ht="24.9" customHeight="1" x14ac:dyDescent="0.3">
      <c r="A330" s="325">
        <v>150000827</v>
      </c>
      <c r="B330" s="445" t="s">
        <v>299</v>
      </c>
      <c r="C330" s="27">
        <v>5</v>
      </c>
      <c r="D330" s="101" t="s">
        <v>455</v>
      </c>
      <c r="E330" s="279">
        <f>'побудинковий звіт'!E328</f>
        <v>4420.7</v>
      </c>
      <c r="F330" s="441">
        <f>'побудинковий звіт'!AS328</f>
        <v>37790.115084997698</v>
      </c>
      <c r="G330" s="441">
        <f t="shared" si="22"/>
        <v>52349.09</v>
      </c>
      <c r="H330" s="73">
        <f t="shared" si="23"/>
        <v>14558.974915002298</v>
      </c>
      <c r="I330" s="5">
        <f>VLOOKUP($A330,'ПР 01-02.21'!$A$11:$BB$406,9,FALSE)+VLOOKUP($A330,'ПР 21-22'!$A$11:$BB$406,9,FALSE)-VLOOKUP($A330,'ПР 01-02.22'!$A$11:$BB$378,9,FALSE)</f>
        <v>0</v>
      </c>
      <c r="J330" s="5">
        <f>VLOOKUP($A330,'ПР 01-02.21'!$A$11:$BB$406,10,FALSE)+VLOOKUP($A330,'ПР 21-22'!$A$11:$BB$406,10,FALSE)-VLOOKUP($A330,'ПР 01-02.22'!$A$11:$BB$378,10,FALSE)</f>
        <v>0</v>
      </c>
      <c r="K330" s="446"/>
      <c r="L330" s="5">
        <f>VLOOKUP($A330,'ПР 01-02.21'!$A$11:$BB$406,12,FALSE)+VLOOKUP($A330,'ПР 21-22'!$A$11:$BB$406,12,FALSE)-VLOOKUP($A330,'ПР 01-02.22'!$A$11:$BB$378,12,FALSE)</f>
        <v>1</v>
      </c>
      <c r="M330" s="5">
        <f>VLOOKUP($A330,'ПР 01-02.21'!$A$11:$BB$406,13,FALSE)+VLOOKUP($A330,'ПР 21-22'!$A$11:$BB$406,13,FALSE)-VLOOKUP($A330,'ПР 01-02.22'!$A$11:$BB$378,13,FALSE)</f>
        <v>48858</v>
      </c>
      <c r="N330" s="38"/>
      <c r="O330" s="5">
        <f>VLOOKUP($A330,'ПР 01-02.21'!$A$11:$BB$406,15,FALSE)+VLOOKUP($A330,'ПР 21-22'!$A$11:$BB$406,15,FALSE)-VLOOKUP($A330,'ПР 01-02.22'!$A$11:$BB$378,15,FALSE)</f>
        <v>0</v>
      </c>
      <c r="P330" s="5">
        <f>VLOOKUP($A330,'ПР 01-02.21'!$A$11:$BB$406,16,FALSE)+VLOOKUP($A330,'ПР 21-22'!$A$11:$BB$406,16,FALSE)-VLOOKUP($A330,'ПР 01-02.22'!$A$11:$BB$378,16,FALSE)</f>
        <v>0</v>
      </c>
      <c r="Q330" s="443"/>
      <c r="R330" s="5">
        <f>VLOOKUP($A330,'ПР 01-02.21'!$A$11:$BB$406,18,FALSE)+VLOOKUP($A330,'ПР 21-22'!$A$11:$BB$406,18,FALSE)-VLOOKUP($A330,'ПР 01-02.22'!$A$11:$BB$378,18,FALSE)</f>
        <v>0</v>
      </c>
      <c r="S330" s="5">
        <f>VLOOKUP($A330,'ПР 01-02.21'!$A$11:$BB$406,19,FALSE)+VLOOKUP($A330,'ПР 21-22'!$A$11:$BB$406,19,FALSE)-VLOOKUP($A330,'ПР 01-02.22'!$A$11:$BB$378,19,FALSE)</f>
        <v>0</v>
      </c>
      <c r="T330" s="444"/>
      <c r="U330" s="5">
        <f>VLOOKUP($A330,'ПР 01-02.21'!$A$11:$BB$406,21,FALSE)+VLOOKUP($A330,'ПР 21-22'!$A$11:$BB$406,21,FALSE)-VLOOKUP($A330,'ПР 01-02.22'!$A$11:$BB$378,21,FALSE)</f>
        <v>0</v>
      </c>
      <c r="V330" s="5"/>
      <c r="W330" s="5">
        <f>VLOOKUP($A330,'ПР 01-02.21'!$A$11:$BB$406,23,FALSE)+VLOOKUP($A330,'ПР 21-22'!$A$11:$BB$406,23,FALSE)-VLOOKUP($A330,'ПР 01-02.22'!$A$11:$BB$378,23,FALSE)</f>
        <v>0</v>
      </c>
      <c r="X330" s="5">
        <f>VLOOKUP($A330,'ПР 01-02.21'!$A$11:$BB$406,24,FALSE)+VLOOKUP($A330,'ПР 21-22'!$A$11:$BB$406,24,FALSE)-VLOOKUP($A330,'ПР 01-02.22'!$A$11:$BB$378,24,FALSE)</f>
        <v>0</v>
      </c>
      <c r="Y330" s="5">
        <f>VLOOKUP($A330,'ПР 01-02.21'!$A$11:$BB$406,25,FALSE)+VLOOKUP($A330,'ПР 21-22'!$A$11:$BB$406,25,FALSE)-VLOOKUP($A330,'ПР 01-02.22'!$A$11:$BB$378,25,FALSE)</f>
        <v>0</v>
      </c>
      <c r="Z330" s="5"/>
      <c r="AA330" s="5">
        <f>VLOOKUP($A330,'ПР 01-02.21'!$A$11:$BB$406,27,FALSE)+VLOOKUP($A330,'ПР 21-22'!$A$11:$BB$406,27,FALSE)-VLOOKUP($A330,'ПР 01-02.22'!$A$11:$BB$378,27,FALSE)</f>
        <v>0</v>
      </c>
      <c r="AB330" s="5">
        <f>VLOOKUP($A330,'ПР 01-02.21'!$A$11:$BB$406,28,FALSE)+VLOOKUP($A330,'ПР 21-22'!$A$11:$BB$406,28,FALSE)-VLOOKUP($A330,'ПР 01-02.22'!$A$11:$BB$378,28,FALSE)</f>
        <v>0</v>
      </c>
      <c r="AC330" s="5">
        <f>VLOOKUP($A330,'ПР 01-02.21'!$A$11:$BB$406,29,FALSE)+VLOOKUP($A330,'ПР 21-22'!$A$11:$BB$406,29,FALSE)-VLOOKUP($A330,'ПР 01-02.22'!$A$11:$BB$378,29,FALSE)</f>
        <v>2276</v>
      </c>
      <c r="AD330" s="5">
        <f>VLOOKUP($A330,'ПР 01-02.21'!$A$11:$BB$406,30,FALSE)+VLOOKUP($A330,'ПР 21-22'!$A$11:$BB$406,30,FALSE)-VLOOKUP($A330,'ПР 01-02.22'!$A$11:$BB$378,30,FALSE)</f>
        <v>1215.0900000000001</v>
      </c>
      <c r="AE330" s="5">
        <f>VLOOKUP($A330,'ПР 01-02.21'!$A$11:$BB$406,31,FALSE)+VLOOKUP($A330,'ПР 21-22'!$A$11:$BB$406,31,FALSE)-VLOOKUP($A330,'ПР 01-02.22'!$A$11:$BB$378,31,FALSE)</f>
        <v>3670.9450329410793</v>
      </c>
      <c r="AF330" s="5">
        <f>VLOOKUP($A330,'ПР 01-02.21'!$A$11:$BB$406,32,FALSE)+VLOOKUP($A330,'ПР 21-22'!$A$11:$BB$406,32,FALSE)-VLOOKUP($A330,'ПР 01-02.22'!$A$11:$BB$378,32,FALSE)</f>
        <v>783</v>
      </c>
      <c r="AG330" s="40"/>
      <c r="AH330" s="5">
        <f>VLOOKUP($A330,'ПР 01-02.21'!$A$11:$BB$406,34,FALSE)+VLOOKUP($A330,'ПР 21-22'!$A$11:$BB$406,34,FALSE)-VLOOKUP($A330,'ПР 01-02.22'!$A$11:$BB$378,34,FALSE)</f>
        <v>5212.0879606359604</v>
      </c>
      <c r="AI330" s="5">
        <f>VLOOKUP($A330,'ПР 01-02.21'!$A$11:$BB$406,35,FALSE)+VLOOKUP($A330,'ПР 21-22'!$A$11:$BB$406,35,FALSE)-VLOOKUP($A330,'ПР 01-02.22'!$A$11:$BB$378,35,FALSE)</f>
        <v>33</v>
      </c>
      <c r="AJ330" s="40"/>
      <c r="AK330" s="5">
        <f>VLOOKUP($A330,'ПР 01-02.21'!$A$11:$BB$406,37,FALSE)+VLOOKUP($A330,'ПР 21-22'!$A$11:$BB$406,37,FALSE)-VLOOKUP($A330,'ПР 01-02.22'!$A$11:$BB$378,37,FALSE)</f>
        <v>2364.8198878460221</v>
      </c>
      <c r="AL330" s="5">
        <f>VLOOKUP($A330,'ПР 01-02.21'!$A$11:$BB$406,38,FALSE)+VLOOKUP($A330,'ПР 21-22'!$A$11:$BB$406,38,FALSE)-VLOOKUP($A330,'ПР 01-02.22'!$A$11:$BB$378,38,FALSE)</f>
        <v>0</v>
      </c>
      <c r="AM330" s="40"/>
      <c r="AN330" s="5">
        <f>VLOOKUP($A330,'ПР 01-02.21'!$A$11:$BB$406,40,FALSE)+VLOOKUP($A330,'ПР 21-22'!$A$11:$BB$406,40,FALSE)-VLOOKUP($A330,'ПР 01-02.22'!$A$11:$BB$378,40,FALSE)</f>
        <v>0</v>
      </c>
      <c r="AO330" s="5">
        <f>VLOOKUP($A330,'ПР 01-02.21'!$A$11:$BB$406,41,FALSE)+VLOOKUP($A330,'ПР 21-22'!$A$11:$BB$406,41,FALSE)-VLOOKUP($A330,'ПР 01-02.22'!$A$11:$BB$378,41,FALSE)</f>
        <v>0</v>
      </c>
      <c r="AP330" s="40"/>
      <c r="AQ330" s="5">
        <f>VLOOKUP($A330,'ПР 01-02.21'!$A$11:$BB$406,43,FALSE)+VLOOKUP($A330,'ПР 21-22'!$A$11:$BB$406,43,FALSE)-VLOOKUP($A330,'ПР 01-02.22'!$A$11:$BB$378,43,FALSE)</f>
        <v>0</v>
      </c>
      <c r="AR330" s="5">
        <f>VLOOKUP($A330,'ПР 01-02.21'!$A$11:$BB$406,44,FALSE)+VLOOKUP($A330,'ПР 21-22'!$A$11:$BB$406,44,FALSE)-VLOOKUP($A330,'ПР 01-02.22'!$A$11:$BB$378,44,FALSE)</f>
        <v>0</v>
      </c>
      <c r="AS330" s="40"/>
      <c r="AT330" s="5">
        <f>VLOOKUP($A330,'ПР 01-02.21'!$A$11:$BB$406,46,FALSE)+VLOOKUP($A330,'ПР 21-22'!$A$11:$BB$406,46,FALSE)-VLOOKUP($A330,'ПР 01-02.22'!$A$11:$BB$378,46,FALSE)</f>
        <v>2944.2113925515687</v>
      </c>
      <c r="AU330" s="5">
        <f>VLOOKUP($A330,'ПР 01-02.21'!$A$11:$BB$406,47,FALSE)+VLOOKUP($A330,'ПР 21-22'!$A$11:$BB$406,47,FALSE)-VLOOKUP($A330,'ПР 01-02.22'!$A$11:$BB$378,47,FALSE)</f>
        <v>841</v>
      </c>
      <c r="AV330" s="40"/>
      <c r="AW330" s="5">
        <f>VLOOKUP($A330,'ПР 01-02.21'!$A$11:$BB$406,49,FALSE)+VLOOKUP($A330,'ПР 21-22'!$A$11:$BB$406,49,FALSE)-VLOOKUP($A330,'ПР 01-02.22'!$A$11:$BB$378,49,FALSE)</f>
        <v>220.17600000000002</v>
      </c>
      <c r="AX330" s="5">
        <f>VLOOKUP($A330,'ПР 01-02.21'!$A$11:$BB$406,50,FALSE)+VLOOKUP($A330,'ПР 21-22'!$A$11:$BB$406,50,FALSE)-VLOOKUP($A330,'ПР 01-02.22'!$A$11:$BB$378,50,FALSE)</f>
        <v>0</v>
      </c>
      <c r="AY330" s="40"/>
      <c r="AZ330" s="40">
        <f t="shared" si="21"/>
        <v>14412.240273974629</v>
      </c>
      <c r="BA330" s="40">
        <f t="shared" si="21"/>
        <v>1657</v>
      </c>
      <c r="BB330" s="55">
        <f t="shared" si="24"/>
        <v>-12755.240273974629</v>
      </c>
      <c r="BD330" s="2">
        <v>2</v>
      </c>
      <c r="BF330" s="325">
        <v>150000827</v>
      </c>
    </row>
    <row r="331" spans="1:58" ht="24.9" customHeight="1" x14ac:dyDescent="0.3">
      <c r="A331" s="325">
        <v>150000809</v>
      </c>
      <c r="B331" s="445" t="s">
        <v>300</v>
      </c>
      <c r="C331" s="27">
        <v>5</v>
      </c>
      <c r="D331" s="101" t="s">
        <v>455</v>
      </c>
      <c r="E331" s="279">
        <f>'побудинковий звіт'!E329</f>
        <v>2543.14</v>
      </c>
      <c r="F331" s="441">
        <f>'побудинковий звіт'!AS329</f>
        <v>30162.802709795265</v>
      </c>
      <c r="G331" s="441">
        <f t="shared" si="22"/>
        <v>21796.18</v>
      </c>
      <c r="H331" s="73">
        <f t="shared" si="23"/>
        <v>-8366.6227097952651</v>
      </c>
      <c r="I331" s="5">
        <f>VLOOKUP($A331,'ПР 01-02.21'!$A$11:$BB$406,9,FALSE)+VLOOKUP($A331,'ПР 21-22'!$A$11:$BB$406,9,FALSE)-VLOOKUP($A331,'ПР 01-02.22'!$A$11:$BB$378,9,FALSE)</f>
        <v>56</v>
      </c>
      <c r="J331" s="5">
        <f>VLOOKUP($A331,'ПР 01-02.21'!$A$11:$BB$406,10,FALSE)+VLOOKUP($A331,'ПР 21-22'!$A$11:$BB$406,10,FALSE)-VLOOKUP($A331,'ПР 01-02.22'!$A$11:$BB$378,10,FALSE)</f>
        <v>12783.26</v>
      </c>
      <c r="K331" s="446"/>
      <c r="L331" s="5">
        <f>VLOOKUP($A331,'ПР 01-02.21'!$A$11:$BB$406,12,FALSE)+VLOOKUP($A331,'ПР 21-22'!$A$11:$BB$406,12,FALSE)-VLOOKUP($A331,'ПР 01-02.22'!$A$11:$BB$378,12,FALSE)</f>
        <v>0</v>
      </c>
      <c r="M331" s="5">
        <f>VLOOKUP($A331,'ПР 01-02.21'!$A$11:$BB$406,13,FALSE)+VLOOKUP($A331,'ПР 21-22'!$A$11:$BB$406,13,FALSE)-VLOOKUP($A331,'ПР 01-02.22'!$A$11:$BB$378,13,FALSE)</f>
        <v>0</v>
      </c>
      <c r="N331" s="38"/>
      <c r="O331" s="5">
        <f>VLOOKUP($A331,'ПР 01-02.21'!$A$11:$BB$406,15,FALSE)+VLOOKUP($A331,'ПР 21-22'!$A$11:$BB$406,15,FALSE)-VLOOKUP($A331,'ПР 01-02.22'!$A$11:$BB$378,15,FALSE)</f>
        <v>0</v>
      </c>
      <c r="P331" s="5">
        <f>VLOOKUP($A331,'ПР 01-02.21'!$A$11:$BB$406,16,FALSE)+VLOOKUP($A331,'ПР 21-22'!$A$11:$BB$406,16,FALSE)-VLOOKUP($A331,'ПР 01-02.22'!$A$11:$BB$378,16,FALSE)</f>
        <v>0</v>
      </c>
      <c r="Q331" s="443"/>
      <c r="R331" s="5">
        <f>VLOOKUP($A331,'ПР 01-02.21'!$A$11:$BB$406,18,FALSE)+VLOOKUP($A331,'ПР 21-22'!$A$11:$BB$406,18,FALSE)-VLOOKUP($A331,'ПР 01-02.22'!$A$11:$BB$378,18,FALSE)</f>
        <v>0</v>
      </c>
      <c r="S331" s="5">
        <f>VLOOKUP($A331,'ПР 01-02.21'!$A$11:$BB$406,19,FALSE)+VLOOKUP($A331,'ПР 21-22'!$A$11:$BB$406,19,FALSE)-VLOOKUP($A331,'ПР 01-02.22'!$A$11:$BB$378,19,FALSE)</f>
        <v>0</v>
      </c>
      <c r="T331" s="444"/>
      <c r="U331" s="5">
        <f>VLOOKUP($A331,'ПР 01-02.21'!$A$11:$BB$406,21,FALSE)+VLOOKUP($A331,'ПР 21-22'!$A$11:$BB$406,21,FALSE)-VLOOKUP($A331,'ПР 01-02.22'!$A$11:$BB$378,21,FALSE)</f>
        <v>0</v>
      </c>
      <c r="V331" s="5"/>
      <c r="W331" s="5">
        <f>VLOOKUP($A331,'ПР 01-02.21'!$A$11:$BB$406,23,FALSE)+VLOOKUP($A331,'ПР 21-22'!$A$11:$BB$406,23,FALSE)-VLOOKUP($A331,'ПР 01-02.22'!$A$11:$BB$378,23,FALSE)</f>
        <v>0</v>
      </c>
      <c r="X331" s="5">
        <f>VLOOKUP($A331,'ПР 01-02.21'!$A$11:$BB$406,24,FALSE)+VLOOKUP($A331,'ПР 21-22'!$A$11:$BB$406,24,FALSE)-VLOOKUP($A331,'ПР 01-02.22'!$A$11:$BB$378,24,FALSE)</f>
        <v>0</v>
      </c>
      <c r="Y331" s="5">
        <f>VLOOKUP($A331,'ПР 01-02.21'!$A$11:$BB$406,25,FALSE)+VLOOKUP($A331,'ПР 21-22'!$A$11:$BB$406,25,FALSE)-VLOOKUP($A331,'ПР 01-02.22'!$A$11:$BB$378,25,FALSE)</f>
        <v>7026.92</v>
      </c>
      <c r="Z331" s="5"/>
      <c r="AA331" s="5">
        <f>VLOOKUP($A331,'ПР 01-02.21'!$A$11:$BB$406,27,FALSE)+VLOOKUP($A331,'ПР 21-22'!$A$11:$BB$406,27,FALSE)-VLOOKUP($A331,'ПР 01-02.22'!$A$11:$BB$378,27,FALSE)</f>
        <v>0</v>
      </c>
      <c r="AB331" s="5">
        <f>VLOOKUP($A331,'ПР 01-02.21'!$A$11:$BB$406,28,FALSE)+VLOOKUP($A331,'ПР 21-22'!$A$11:$BB$406,28,FALSE)-VLOOKUP($A331,'ПР 01-02.22'!$A$11:$BB$378,28,FALSE)</f>
        <v>0</v>
      </c>
      <c r="AC331" s="5">
        <f>VLOOKUP($A331,'ПР 01-02.21'!$A$11:$BB$406,29,FALSE)+VLOOKUP($A331,'ПР 21-22'!$A$11:$BB$406,29,FALSE)-VLOOKUP($A331,'ПР 01-02.22'!$A$11:$BB$378,29,FALSE)</f>
        <v>0</v>
      </c>
      <c r="AD331" s="5">
        <f>VLOOKUP($A331,'ПР 01-02.21'!$A$11:$BB$406,30,FALSE)+VLOOKUP($A331,'ПР 21-22'!$A$11:$BB$406,30,FALSE)-VLOOKUP($A331,'ПР 01-02.22'!$A$11:$BB$378,30,FALSE)</f>
        <v>1986</v>
      </c>
      <c r="AE331" s="5">
        <f>VLOOKUP($A331,'ПР 01-02.21'!$A$11:$BB$406,31,FALSE)+VLOOKUP($A331,'ПР 21-22'!$A$11:$BB$406,31,FALSE)-VLOOKUP($A331,'ПР 01-02.22'!$A$11:$BB$378,31,FALSE)</f>
        <v>2200.2203087276462</v>
      </c>
      <c r="AF331" s="5">
        <f>VLOOKUP($A331,'ПР 01-02.21'!$A$11:$BB$406,32,FALSE)+VLOOKUP($A331,'ПР 21-22'!$A$11:$BB$406,32,FALSE)-VLOOKUP($A331,'ПР 01-02.22'!$A$11:$BB$378,32,FALSE)</f>
        <v>832</v>
      </c>
      <c r="AG331" s="40"/>
      <c r="AH331" s="5">
        <f>VLOOKUP($A331,'ПР 01-02.21'!$A$11:$BB$406,34,FALSE)+VLOOKUP($A331,'ПР 21-22'!$A$11:$BB$406,34,FALSE)-VLOOKUP($A331,'ПР 01-02.22'!$A$11:$BB$378,34,FALSE)</f>
        <v>2807.1652905476431</v>
      </c>
      <c r="AI331" s="5">
        <f>VLOOKUP($A331,'ПР 01-02.21'!$A$11:$BB$406,35,FALSE)+VLOOKUP($A331,'ПР 21-22'!$A$11:$BB$406,35,FALSE)-VLOOKUP($A331,'ПР 01-02.22'!$A$11:$BB$378,35,FALSE)</f>
        <v>639</v>
      </c>
      <c r="AJ331" s="40"/>
      <c r="AK331" s="5">
        <f>VLOOKUP($A331,'ПР 01-02.21'!$A$11:$BB$406,37,FALSE)+VLOOKUP($A331,'ПР 21-22'!$A$11:$BB$406,37,FALSE)-VLOOKUP($A331,'ПР 01-02.22'!$A$11:$BB$378,37,FALSE)</f>
        <v>1436.6169071241225</v>
      </c>
      <c r="AL331" s="5">
        <f>VLOOKUP($A331,'ПР 01-02.21'!$A$11:$BB$406,38,FALSE)+VLOOKUP($A331,'ПР 21-22'!$A$11:$BB$406,38,FALSE)-VLOOKUP($A331,'ПР 01-02.22'!$A$11:$BB$378,38,FALSE)</f>
        <v>0</v>
      </c>
      <c r="AM331" s="40"/>
      <c r="AN331" s="5">
        <f>VLOOKUP($A331,'ПР 01-02.21'!$A$11:$BB$406,40,FALSE)+VLOOKUP($A331,'ПР 21-22'!$A$11:$BB$406,40,FALSE)-VLOOKUP($A331,'ПР 01-02.22'!$A$11:$BB$378,40,FALSE)</f>
        <v>0</v>
      </c>
      <c r="AO331" s="5">
        <f>VLOOKUP($A331,'ПР 01-02.21'!$A$11:$BB$406,41,FALSE)+VLOOKUP($A331,'ПР 21-22'!$A$11:$BB$406,41,FALSE)-VLOOKUP($A331,'ПР 01-02.22'!$A$11:$BB$378,41,FALSE)</f>
        <v>0</v>
      </c>
      <c r="AP331" s="40"/>
      <c r="AQ331" s="5">
        <f>VLOOKUP($A331,'ПР 01-02.21'!$A$11:$BB$406,43,FALSE)+VLOOKUP($A331,'ПР 21-22'!$A$11:$BB$406,43,FALSE)-VLOOKUP($A331,'ПР 01-02.22'!$A$11:$BB$378,43,FALSE)</f>
        <v>0</v>
      </c>
      <c r="AR331" s="5">
        <f>VLOOKUP($A331,'ПР 01-02.21'!$A$11:$BB$406,44,FALSE)+VLOOKUP($A331,'ПР 21-22'!$A$11:$BB$406,44,FALSE)-VLOOKUP($A331,'ПР 01-02.22'!$A$11:$BB$378,44,FALSE)</f>
        <v>0</v>
      </c>
      <c r="AS331" s="40"/>
      <c r="AT331" s="5">
        <f>VLOOKUP($A331,'ПР 01-02.21'!$A$11:$BB$406,46,FALSE)+VLOOKUP($A331,'ПР 21-22'!$A$11:$BB$406,46,FALSE)-VLOOKUP($A331,'ПР 01-02.22'!$A$11:$BB$378,46,FALSE)</f>
        <v>1177.8893449679556</v>
      </c>
      <c r="AU331" s="5">
        <f>VLOOKUP($A331,'ПР 01-02.21'!$A$11:$BB$406,47,FALSE)+VLOOKUP($A331,'ПР 21-22'!$A$11:$BB$406,47,FALSE)-VLOOKUP($A331,'ПР 01-02.22'!$A$11:$BB$378,47,FALSE)</f>
        <v>278</v>
      </c>
      <c r="AV331" s="40"/>
      <c r="AW331" s="5">
        <f>VLOOKUP($A331,'ПР 01-02.21'!$A$11:$BB$406,49,FALSE)+VLOOKUP($A331,'ПР 21-22'!$A$11:$BB$406,49,FALSE)-VLOOKUP($A331,'ПР 01-02.22'!$A$11:$BB$378,49,FALSE)</f>
        <v>128.208</v>
      </c>
      <c r="AX331" s="5">
        <f>VLOOKUP($A331,'ПР 01-02.21'!$A$11:$BB$406,50,FALSE)+VLOOKUP($A331,'ПР 21-22'!$A$11:$BB$406,50,FALSE)-VLOOKUP($A331,'ПР 01-02.22'!$A$11:$BB$378,50,FALSE)</f>
        <v>0</v>
      </c>
      <c r="AY331" s="40"/>
      <c r="AZ331" s="40">
        <f t="shared" si="21"/>
        <v>7750.0998513673658</v>
      </c>
      <c r="BA331" s="40">
        <f t="shared" si="21"/>
        <v>1749</v>
      </c>
      <c r="BB331" s="55">
        <f t="shared" si="24"/>
        <v>-6001.0998513673658</v>
      </c>
      <c r="BD331" s="2">
        <v>2</v>
      </c>
      <c r="BF331" s="325">
        <v>150000809</v>
      </c>
    </row>
    <row r="332" spans="1:58" ht="24.9" customHeight="1" x14ac:dyDescent="0.3">
      <c r="A332" s="325">
        <v>150000810</v>
      </c>
      <c r="B332" s="445" t="s">
        <v>301</v>
      </c>
      <c r="C332" s="27">
        <v>5</v>
      </c>
      <c r="D332" s="101" t="s">
        <v>455</v>
      </c>
      <c r="E332" s="279">
        <f>'побудинковий звіт'!E330</f>
        <v>2998.76</v>
      </c>
      <c r="F332" s="441">
        <f>'побудинковий звіт'!AS330</f>
        <v>26752.127773534281</v>
      </c>
      <c r="G332" s="441">
        <f t="shared" si="22"/>
        <v>46097.369729445956</v>
      </c>
      <c r="H332" s="73">
        <f t="shared" si="23"/>
        <v>19345.241955911675</v>
      </c>
      <c r="I332" s="5">
        <f>VLOOKUP($A332,'ПР 01-02.21'!$A$11:$BB$406,9,FALSE)+VLOOKUP($A332,'ПР 21-22'!$A$11:$BB$406,9,FALSE)-VLOOKUP($A332,'ПР 01-02.22'!$A$11:$BB$378,9,FALSE)</f>
        <v>0</v>
      </c>
      <c r="J332" s="5">
        <f>VLOOKUP($A332,'ПР 01-02.21'!$A$11:$BB$406,10,FALSE)+VLOOKUP($A332,'ПР 21-22'!$A$11:$BB$406,10,FALSE)-VLOOKUP($A332,'ПР 01-02.22'!$A$11:$BB$378,10,FALSE)</f>
        <v>0</v>
      </c>
      <c r="K332" s="446"/>
      <c r="L332" s="5">
        <f>VLOOKUP($A332,'ПР 01-02.21'!$A$11:$BB$406,12,FALSE)+VLOOKUP($A332,'ПР 21-22'!$A$11:$BB$406,12,FALSE)-VLOOKUP($A332,'ПР 01-02.22'!$A$11:$BB$378,12,FALSE)</f>
        <v>1</v>
      </c>
      <c r="M332" s="5">
        <f>VLOOKUP($A332,'ПР 01-02.21'!$A$11:$BB$406,13,FALSE)+VLOOKUP($A332,'ПР 21-22'!$A$11:$BB$406,13,FALSE)-VLOOKUP($A332,'ПР 01-02.22'!$A$11:$BB$378,13,FALSE)</f>
        <v>42726</v>
      </c>
      <c r="N332" s="38"/>
      <c r="O332" s="5">
        <f>VLOOKUP($A332,'ПР 01-02.21'!$A$11:$BB$406,15,FALSE)+VLOOKUP($A332,'ПР 21-22'!$A$11:$BB$406,15,FALSE)-VLOOKUP($A332,'ПР 01-02.22'!$A$11:$BB$378,15,FALSE)</f>
        <v>0</v>
      </c>
      <c r="P332" s="5">
        <f>VLOOKUP($A332,'ПР 01-02.21'!$A$11:$BB$406,16,FALSE)+VLOOKUP($A332,'ПР 21-22'!$A$11:$BB$406,16,FALSE)-VLOOKUP($A332,'ПР 01-02.22'!$A$11:$BB$378,16,FALSE)</f>
        <v>0</v>
      </c>
      <c r="Q332" s="443"/>
      <c r="R332" s="5">
        <f>VLOOKUP($A332,'ПР 01-02.21'!$A$11:$BB$406,18,FALSE)+VLOOKUP($A332,'ПР 21-22'!$A$11:$BB$406,18,FALSE)-VLOOKUP($A332,'ПР 01-02.22'!$A$11:$BB$378,18,FALSE)</f>
        <v>0</v>
      </c>
      <c r="S332" s="5">
        <f>VLOOKUP($A332,'ПР 01-02.21'!$A$11:$BB$406,19,FALSE)+VLOOKUP($A332,'ПР 21-22'!$A$11:$BB$406,19,FALSE)-VLOOKUP($A332,'ПР 01-02.22'!$A$11:$BB$378,19,FALSE)</f>
        <v>0</v>
      </c>
      <c r="T332" s="444"/>
      <c r="U332" s="5">
        <f>VLOOKUP($A332,'ПР 01-02.21'!$A$11:$BB$406,21,FALSE)+VLOOKUP($A332,'ПР 21-22'!$A$11:$BB$406,21,FALSE)-VLOOKUP($A332,'ПР 01-02.22'!$A$11:$BB$378,21,FALSE)</f>
        <v>0</v>
      </c>
      <c r="V332" s="5"/>
      <c r="W332" s="5">
        <f>VLOOKUP($A332,'ПР 01-02.21'!$A$11:$BB$406,23,FALSE)+VLOOKUP($A332,'ПР 21-22'!$A$11:$BB$406,23,FALSE)-VLOOKUP($A332,'ПР 01-02.22'!$A$11:$BB$378,23,FALSE)</f>
        <v>0</v>
      </c>
      <c r="X332" s="5">
        <f>VLOOKUP($A332,'ПР 01-02.21'!$A$11:$BB$406,24,FALSE)+VLOOKUP($A332,'ПР 21-22'!$A$11:$BB$406,24,FALSE)-VLOOKUP($A332,'ПР 01-02.22'!$A$11:$BB$378,24,FALSE)</f>
        <v>169.36972944595456</v>
      </c>
      <c r="Y332" s="5">
        <f>VLOOKUP($A332,'ПР 01-02.21'!$A$11:$BB$406,25,FALSE)+VLOOKUP($A332,'ПР 21-22'!$A$11:$BB$406,25,FALSE)-VLOOKUP($A332,'ПР 01-02.22'!$A$11:$BB$378,25,FALSE)</f>
        <v>595</v>
      </c>
      <c r="Z332" s="5"/>
      <c r="AA332" s="5">
        <f>VLOOKUP($A332,'ПР 01-02.21'!$A$11:$BB$406,27,FALSE)+VLOOKUP($A332,'ПР 21-22'!$A$11:$BB$406,27,FALSE)-VLOOKUP($A332,'ПР 01-02.22'!$A$11:$BB$378,27,FALSE)</f>
        <v>0</v>
      </c>
      <c r="AB332" s="5">
        <f>VLOOKUP($A332,'ПР 01-02.21'!$A$11:$BB$406,28,FALSE)+VLOOKUP($A332,'ПР 21-22'!$A$11:$BB$406,28,FALSE)-VLOOKUP($A332,'ПР 01-02.22'!$A$11:$BB$378,28,FALSE)</f>
        <v>0</v>
      </c>
      <c r="AC332" s="5">
        <f>VLOOKUP($A332,'ПР 01-02.21'!$A$11:$BB$406,29,FALSE)+VLOOKUP($A332,'ПР 21-22'!$A$11:$BB$406,29,FALSE)-VLOOKUP($A332,'ПР 01-02.22'!$A$11:$BB$378,29,FALSE)</f>
        <v>1800</v>
      </c>
      <c r="AD332" s="5">
        <f>VLOOKUP($A332,'ПР 01-02.21'!$A$11:$BB$406,30,FALSE)+VLOOKUP($A332,'ПР 21-22'!$A$11:$BB$406,30,FALSE)-VLOOKUP($A332,'ПР 01-02.22'!$A$11:$BB$378,30,FALSE)</f>
        <v>807</v>
      </c>
      <c r="AE332" s="5">
        <f>VLOOKUP($A332,'ПР 01-02.21'!$A$11:$BB$406,31,FALSE)+VLOOKUP($A332,'ПР 21-22'!$A$11:$BB$406,31,FALSE)-VLOOKUP($A332,'ПР 01-02.22'!$A$11:$BB$378,31,FALSE)</f>
        <v>2520.0589974434256</v>
      </c>
      <c r="AF332" s="5">
        <f>VLOOKUP($A332,'ПР 01-02.21'!$A$11:$BB$406,32,FALSE)+VLOOKUP($A332,'ПР 21-22'!$A$11:$BB$406,32,FALSE)-VLOOKUP($A332,'ПР 01-02.22'!$A$11:$BB$378,32,FALSE)</f>
        <v>8874.42</v>
      </c>
      <c r="AG332" s="40"/>
      <c r="AH332" s="5">
        <f>VLOOKUP($A332,'ПР 01-02.21'!$A$11:$BB$406,34,FALSE)+VLOOKUP($A332,'ПР 21-22'!$A$11:$BB$406,34,FALSE)-VLOOKUP($A332,'ПР 01-02.22'!$A$11:$BB$378,34,FALSE)</f>
        <v>3609.4727974909565</v>
      </c>
      <c r="AI332" s="5">
        <f>VLOOKUP($A332,'ПР 01-02.21'!$A$11:$BB$406,35,FALSE)+VLOOKUP($A332,'ПР 21-22'!$A$11:$BB$406,35,FALSE)-VLOOKUP($A332,'ПР 01-02.22'!$A$11:$BB$378,35,FALSE)</f>
        <v>0</v>
      </c>
      <c r="AJ332" s="40"/>
      <c r="AK332" s="5">
        <f>VLOOKUP($A332,'ПР 01-02.21'!$A$11:$BB$406,37,FALSE)+VLOOKUP($A332,'ПР 21-22'!$A$11:$BB$406,37,FALSE)-VLOOKUP($A332,'ПР 01-02.22'!$A$11:$BB$378,37,FALSE)</f>
        <v>1384.8993856796005</v>
      </c>
      <c r="AL332" s="5">
        <f>VLOOKUP($A332,'ПР 01-02.21'!$A$11:$BB$406,38,FALSE)+VLOOKUP($A332,'ПР 21-22'!$A$11:$BB$406,38,FALSE)-VLOOKUP($A332,'ПР 01-02.22'!$A$11:$BB$378,38,FALSE)</f>
        <v>583</v>
      </c>
      <c r="AM332" s="40"/>
      <c r="AN332" s="5">
        <f>VLOOKUP($A332,'ПР 01-02.21'!$A$11:$BB$406,40,FALSE)+VLOOKUP($A332,'ПР 21-22'!$A$11:$BB$406,40,FALSE)-VLOOKUP($A332,'ПР 01-02.22'!$A$11:$BB$378,40,FALSE)</f>
        <v>0</v>
      </c>
      <c r="AO332" s="5">
        <f>VLOOKUP($A332,'ПР 01-02.21'!$A$11:$BB$406,41,FALSE)+VLOOKUP($A332,'ПР 21-22'!$A$11:$BB$406,41,FALSE)-VLOOKUP($A332,'ПР 01-02.22'!$A$11:$BB$378,41,FALSE)</f>
        <v>0</v>
      </c>
      <c r="AP332" s="40"/>
      <c r="AQ332" s="5">
        <f>VLOOKUP($A332,'ПР 01-02.21'!$A$11:$BB$406,43,FALSE)+VLOOKUP($A332,'ПР 21-22'!$A$11:$BB$406,43,FALSE)-VLOOKUP($A332,'ПР 01-02.22'!$A$11:$BB$378,43,FALSE)</f>
        <v>0</v>
      </c>
      <c r="AR332" s="5">
        <f>VLOOKUP($A332,'ПР 01-02.21'!$A$11:$BB$406,44,FALSE)+VLOOKUP($A332,'ПР 21-22'!$A$11:$BB$406,44,FALSE)-VLOOKUP($A332,'ПР 01-02.22'!$A$11:$BB$378,44,FALSE)</f>
        <v>0</v>
      </c>
      <c r="AS332" s="40"/>
      <c r="AT332" s="5">
        <f>VLOOKUP($A332,'ПР 01-02.21'!$A$11:$BB$406,46,FALSE)+VLOOKUP($A332,'ПР 21-22'!$A$11:$BB$406,46,FALSE)-VLOOKUP($A332,'ПР 01-02.22'!$A$11:$BB$378,46,FALSE)</f>
        <v>1658.3952002379037</v>
      </c>
      <c r="AU332" s="5">
        <f>VLOOKUP($A332,'ПР 01-02.21'!$A$11:$BB$406,47,FALSE)+VLOOKUP($A332,'ПР 21-22'!$A$11:$BB$406,47,FALSE)-VLOOKUP($A332,'ПР 01-02.22'!$A$11:$BB$378,47,FALSE)</f>
        <v>0</v>
      </c>
      <c r="AV332" s="40"/>
      <c r="AW332" s="5">
        <f>VLOOKUP($A332,'ПР 01-02.21'!$A$11:$BB$406,49,FALSE)+VLOOKUP($A332,'ПР 21-22'!$A$11:$BB$406,49,FALSE)-VLOOKUP($A332,'ПР 01-02.22'!$A$11:$BB$378,49,FALSE)</f>
        <v>149.96600000000001</v>
      </c>
      <c r="AX332" s="5">
        <f>VLOOKUP($A332,'ПР 01-02.21'!$A$11:$BB$406,50,FALSE)+VLOOKUP($A332,'ПР 21-22'!$A$11:$BB$406,50,FALSE)-VLOOKUP($A332,'ПР 01-02.22'!$A$11:$BB$378,50,FALSE)</f>
        <v>0</v>
      </c>
      <c r="AY332" s="40"/>
      <c r="AZ332" s="40">
        <f t="shared" si="21"/>
        <v>9322.7923808518863</v>
      </c>
      <c r="BA332" s="40">
        <f t="shared" si="21"/>
        <v>9457.42</v>
      </c>
      <c r="BB332" s="55">
        <f t="shared" si="24"/>
        <v>134.62761914811381</v>
      </c>
      <c r="BD332" s="2">
        <v>2</v>
      </c>
      <c r="BF332" s="325">
        <v>150000810</v>
      </c>
    </row>
    <row r="333" spans="1:58" ht="24.9" customHeight="1" x14ac:dyDescent="0.3">
      <c r="A333" s="325">
        <v>150000811</v>
      </c>
      <c r="B333" s="445" t="s">
        <v>302</v>
      </c>
      <c r="C333" s="27">
        <v>5</v>
      </c>
      <c r="D333" s="101" t="s">
        <v>455</v>
      </c>
      <c r="E333" s="279">
        <f>'побудинковий звіт'!E331</f>
        <v>2604</v>
      </c>
      <c r="F333" s="441">
        <f>'побудинковий звіт'!AS331</f>
        <v>33898.028509830692</v>
      </c>
      <c r="G333" s="441">
        <f t="shared" si="22"/>
        <v>36577.567396793078</v>
      </c>
      <c r="H333" s="73">
        <f t="shared" si="23"/>
        <v>2679.5388869623857</v>
      </c>
      <c r="I333" s="5">
        <f>VLOOKUP($A333,'ПР 01-02.21'!$A$11:$BB$406,9,FALSE)+VLOOKUP($A333,'ПР 21-22'!$A$11:$BB$406,9,FALSE)-VLOOKUP($A333,'ПР 01-02.22'!$A$11:$BB$378,9,FALSE)</f>
        <v>0</v>
      </c>
      <c r="J333" s="5">
        <f>VLOOKUP($A333,'ПР 01-02.21'!$A$11:$BB$406,10,FALSE)+VLOOKUP($A333,'ПР 21-22'!$A$11:$BB$406,10,FALSE)-VLOOKUP($A333,'ПР 01-02.22'!$A$11:$BB$378,10,FALSE)</f>
        <v>0</v>
      </c>
      <c r="K333" s="446"/>
      <c r="L333" s="5">
        <f>VLOOKUP($A333,'ПР 01-02.21'!$A$11:$BB$406,12,FALSE)+VLOOKUP($A333,'ПР 21-22'!$A$11:$BB$406,12,FALSE)-VLOOKUP($A333,'ПР 01-02.22'!$A$11:$BB$378,12,FALSE)</f>
        <v>0</v>
      </c>
      <c r="M333" s="5">
        <f>VLOOKUP($A333,'ПР 01-02.21'!$A$11:$BB$406,13,FALSE)+VLOOKUP($A333,'ПР 21-22'!$A$11:$BB$406,13,FALSE)-VLOOKUP($A333,'ПР 01-02.22'!$A$11:$BB$378,13,FALSE)</f>
        <v>895</v>
      </c>
      <c r="N333" s="38"/>
      <c r="O333" s="5">
        <f>VLOOKUP($A333,'ПР 01-02.21'!$A$11:$BB$406,15,FALSE)+VLOOKUP($A333,'ПР 21-22'!$A$11:$BB$406,15,FALSE)-VLOOKUP($A333,'ПР 01-02.22'!$A$11:$BB$378,15,FALSE)</f>
        <v>0</v>
      </c>
      <c r="P333" s="5">
        <f>VLOOKUP($A333,'ПР 01-02.21'!$A$11:$BB$406,16,FALSE)+VLOOKUP($A333,'ПР 21-22'!$A$11:$BB$406,16,FALSE)-VLOOKUP($A333,'ПР 01-02.22'!$A$11:$BB$378,16,FALSE)</f>
        <v>0</v>
      </c>
      <c r="Q333" s="443"/>
      <c r="R333" s="5">
        <f>VLOOKUP($A333,'ПР 01-02.21'!$A$11:$BB$406,18,FALSE)+VLOOKUP($A333,'ПР 21-22'!$A$11:$BB$406,18,FALSE)-VLOOKUP($A333,'ПР 01-02.22'!$A$11:$BB$378,18,FALSE)</f>
        <v>0</v>
      </c>
      <c r="S333" s="5">
        <f>VLOOKUP($A333,'ПР 01-02.21'!$A$11:$BB$406,19,FALSE)+VLOOKUP($A333,'ПР 21-22'!$A$11:$BB$406,19,FALSE)-VLOOKUP($A333,'ПР 01-02.22'!$A$11:$BB$378,19,FALSE)</f>
        <v>0</v>
      </c>
      <c r="T333" s="444"/>
      <c r="U333" s="5">
        <f>VLOOKUP($A333,'ПР 01-02.21'!$A$11:$BB$406,21,FALSE)+VLOOKUP($A333,'ПР 21-22'!$A$11:$BB$406,21,FALSE)-VLOOKUP($A333,'ПР 01-02.22'!$A$11:$BB$378,21,FALSE)</f>
        <v>0</v>
      </c>
      <c r="V333" s="5"/>
      <c r="W333" s="5">
        <f>VLOOKUP($A333,'ПР 01-02.21'!$A$11:$BB$406,23,FALSE)+VLOOKUP($A333,'ПР 21-22'!$A$11:$BB$406,23,FALSE)-VLOOKUP($A333,'ПР 01-02.22'!$A$11:$BB$378,23,FALSE)</f>
        <v>0</v>
      </c>
      <c r="X333" s="5">
        <f>VLOOKUP($A333,'ПР 01-02.21'!$A$11:$BB$406,24,FALSE)+VLOOKUP($A333,'ПР 21-22'!$A$11:$BB$406,24,FALSE)-VLOOKUP($A333,'ПР 01-02.22'!$A$11:$BB$378,24,FALSE)</f>
        <v>233.56739679308154</v>
      </c>
      <c r="Y333" s="5">
        <f>VLOOKUP($A333,'ПР 01-02.21'!$A$11:$BB$406,25,FALSE)+VLOOKUP($A333,'ПР 21-22'!$A$11:$BB$406,25,FALSE)-VLOOKUP($A333,'ПР 01-02.22'!$A$11:$BB$378,25,FALSE)</f>
        <v>33190</v>
      </c>
      <c r="Z333" s="5"/>
      <c r="AA333" s="5">
        <f>VLOOKUP($A333,'ПР 01-02.21'!$A$11:$BB$406,27,FALSE)+VLOOKUP($A333,'ПР 21-22'!$A$11:$BB$406,27,FALSE)-VLOOKUP($A333,'ПР 01-02.22'!$A$11:$BB$378,27,FALSE)</f>
        <v>0</v>
      </c>
      <c r="AB333" s="5">
        <f>VLOOKUP($A333,'ПР 01-02.21'!$A$11:$BB$406,28,FALSE)+VLOOKUP($A333,'ПР 21-22'!$A$11:$BB$406,28,FALSE)-VLOOKUP($A333,'ПР 01-02.22'!$A$11:$BB$378,28,FALSE)</f>
        <v>366</v>
      </c>
      <c r="AC333" s="5">
        <f>VLOOKUP($A333,'ПР 01-02.21'!$A$11:$BB$406,29,FALSE)+VLOOKUP($A333,'ПР 21-22'!$A$11:$BB$406,29,FALSE)-VLOOKUP($A333,'ПР 01-02.22'!$A$11:$BB$378,29,FALSE)</f>
        <v>0</v>
      </c>
      <c r="AD333" s="5">
        <f>VLOOKUP($A333,'ПР 01-02.21'!$A$11:$BB$406,30,FALSE)+VLOOKUP($A333,'ПР 21-22'!$A$11:$BB$406,30,FALSE)-VLOOKUP($A333,'ПР 01-02.22'!$A$11:$BB$378,30,FALSE)</f>
        <v>1893</v>
      </c>
      <c r="AE333" s="5">
        <f>VLOOKUP($A333,'ПР 01-02.21'!$A$11:$BB$406,31,FALSE)+VLOOKUP($A333,'ПР 21-22'!$A$11:$BB$406,31,FALSE)-VLOOKUP($A333,'ПР 01-02.22'!$A$11:$BB$378,31,FALSE)</f>
        <v>2286.6320987880172</v>
      </c>
      <c r="AF333" s="5">
        <f>VLOOKUP($A333,'ПР 01-02.21'!$A$11:$BB$406,32,FALSE)+VLOOKUP($A333,'ПР 21-22'!$A$11:$BB$406,32,FALSE)-VLOOKUP($A333,'ПР 01-02.22'!$A$11:$BB$378,32,FALSE)</f>
        <v>0</v>
      </c>
      <c r="AG333" s="40"/>
      <c r="AH333" s="5">
        <f>VLOOKUP($A333,'ПР 01-02.21'!$A$11:$BB$406,34,FALSE)+VLOOKUP($A333,'ПР 21-22'!$A$11:$BB$406,34,FALSE)-VLOOKUP($A333,'ПР 01-02.22'!$A$11:$BB$378,34,FALSE)</f>
        <v>2826.9732835284499</v>
      </c>
      <c r="AI333" s="5">
        <f>VLOOKUP($A333,'ПР 01-02.21'!$A$11:$BB$406,35,FALSE)+VLOOKUP($A333,'ПР 21-22'!$A$11:$BB$406,35,FALSE)-VLOOKUP($A333,'ПР 01-02.22'!$A$11:$BB$378,35,FALSE)</f>
        <v>951</v>
      </c>
      <c r="AJ333" s="40"/>
      <c r="AK333" s="5">
        <f>VLOOKUP($A333,'ПР 01-02.21'!$A$11:$BB$406,37,FALSE)+VLOOKUP($A333,'ПР 21-22'!$A$11:$BB$406,37,FALSE)-VLOOKUP($A333,'ПР 01-02.22'!$A$11:$BB$378,37,FALSE)</f>
        <v>1596.7737134916356</v>
      </c>
      <c r="AL333" s="5">
        <f>VLOOKUP($A333,'ПР 01-02.21'!$A$11:$BB$406,38,FALSE)+VLOOKUP($A333,'ПР 21-22'!$A$11:$BB$406,38,FALSE)-VLOOKUP($A333,'ПР 01-02.22'!$A$11:$BB$378,38,FALSE)</f>
        <v>0</v>
      </c>
      <c r="AM333" s="40"/>
      <c r="AN333" s="5">
        <f>VLOOKUP($A333,'ПР 01-02.21'!$A$11:$BB$406,40,FALSE)+VLOOKUP($A333,'ПР 21-22'!$A$11:$BB$406,40,FALSE)-VLOOKUP($A333,'ПР 01-02.22'!$A$11:$BB$378,40,FALSE)</f>
        <v>0</v>
      </c>
      <c r="AO333" s="5">
        <f>VLOOKUP($A333,'ПР 01-02.21'!$A$11:$BB$406,41,FALSE)+VLOOKUP($A333,'ПР 21-22'!$A$11:$BB$406,41,FALSE)-VLOOKUP($A333,'ПР 01-02.22'!$A$11:$BB$378,41,FALSE)</f>
        <v>0</v>
      </c>
      <c r="AP333" s="40"/>
      <c r="AQ333" s="5">
        <f>VLOOKUP($A333,'ПР 01-02.21'!$A$11:$BB$406,43,FALSE)+VLOOKUP($A333,'ПР 21-22'!$A$11:$BB$406,43,FALSE)-VLOOKUP($A333,'ПР 01-02.22'!$A$11:$BB$378,43,FALSE)</f>
        <v>0</v>
      </c>
      <c r="AR333" s="5">
        <f>VLOOKUP($A333,'ПР 01-02.21'!$A$11:$BB$406,44,FALSE)+VLOOKUP($A333,'ПР 21-22'!$A$11:$BB$406,44,FALSE)-VLOOKUP($A333,'ПР 01-02.22'!$A$11:$BB$378,44,FALSE)</f>
        <v>0</v>
      </c>
      <c r="AS333" s="40"/>
      <c r="AT333" s="5">
        <f>VLOOKUP($A333,'ПР 01-02.21'!$A$11:$BB$406,46,FALSE)+VLOOKUP($A333,'ПР 21-22'!$A$11:$BB$406,46,FALSE)-VLOOKUP($A333,'ПР 01-02.22'!$A$11:$BB$378,46,FALSE)</f>
        <v>1295.9856229489424</v>
      </c>
      <c r="AU333" s="5">
        <f>VLOOKUP($A333,'ПР 01-02.21'!$A$11:$BB$406,47,FALSE)+VLOOKUP($A333,'ПР 21-22'!$A$11:$BB$406,47,FALSE)-VLOOKUP($A333,'ПР 01-02.22'!$A$11:$BB$378,47,FALSE)</f>
        <v>828</v>
      </c>
      <c r="AV333" s="40"/>
      <c r="AW333" s="5">
        <f>VLOOKUP($A333,'ПР 01-02.21'!$A$11:$BB$406,49,FALSE)+VLOOKUP($A333,'ПР 21-22'!$A$11:$BB$406,49,FALSE)-VLOOKUP($A333,'ПР 01-02.22'!$A$11:$BB$378,49,FALSE)</f>
        <v>129.99200000000002</v>
      </c>
      <c r="AX333" s="5">
        <f>VLOOKUP($A333,'ПР 01-02.21'!$A$11:$BB$406,50,FALSE)+VLOOKUP($A333,'ПР 21-22'!$A$11:$BB$406,50,FALSE)-VLOOKUP($A333,'ПР 01-02.22'!$A$11:$BB$378,50,FALSE)</f>
        <v>0</v>
      </c>
      <c r="AY333" s="40"/>
      <c r="AZ333" s="40">
        <f t="shared" si="21"/>
        <v>8136.3567187570452</v>
      </c>
      <c r="BA333" s="40">
        <f t="shared" si="21"/>
        <v>1779</v>
      </c>
      <c r="BB333" s="55">
        <f t="shared" si="24"/>
        <v>-6357.3567187570452</v>
      </c>
      <c r="BD333" s="2">
        <v>2</v>
      </c>
      <c r="BF333" s="325">
        <v>150000811</v>
      </c>
    </row>
    <row r="334" spans="1:58" ht="24.9" customHeight="1" x14ac:dyDescent="0.3">
      <c r="A334" s="325">
        <v>150000812</v>
      </c>
      <c r="B334" s="445" t="s">
        <v>303</v>
      </c>
      <c r="C334" s="27">
        <v>5</v>
      </c>
      <c r="D334" s="101" t="s">
        <v>455</v>
      </c>
      <c r="E334" s="279">
        <f>'побудинковий звіт'!E332</f>
        <v>2780.9</v>
      </c>
      <c r="F334" s="441">
        <f>'побудинковий звіт'!AS332</f>
        <v>23468.361112534381</v>
      </c>
      <c r="G334" s="441">
        <f t="shared" si="22"/>
        <v>7560</v>
      </c>
      <c r="H334" s="73">
        <f t="shared" si="23"/>
        <v>-15908.361112534381</v>
      </c>
      <c r="I334" s="5">
        <f>VLOOKUP($A334,'ПР 01-02.21'!$A$11:$BB$406,9,FALSE)+VLOOKUP($A334,'ПР 21-22'!$A$11:$BB$406,9,FALSE)-VLOOKUP($A334,'ПР 01-02.22'!$A$11:$BB$378,9,FALSE)</f>
        <v>0</v>
      </c>
      <c r="J334" s="5">
        <f>VLOOKUP($A334,'ПР 01-02.21'!$A$11:$BB$406,10,FALSE)+VLOOKUP($A334,'ПР 21-22'!$A$11:$BB$406,10,FALSE)-VLOOKUP($A334,'ПР 01-02.22'!$A$11:$BB$378,10,FALSE)</f>
        <v>0</v>
      </c>
      <c r="K334" s="450"/>
      <c r="L334" s="5">
        <f>VLOOKUP($A334,'ПР 01-02.21'!$A$11:$BB$406,12,FALSE)+VLOOKUP($A334,'ПР 21-22'!$A$11:$BB$406,12,FALSE)-VLOOKUP($A334,'ПР 01-02.22'!$A$11:$BB$378,12,FALSE)</f>
        <v>0</v>
      </c>
      <c r="M334" s="5">
        <f>VLOOKUP($A334,'ПР 01-02.21'!$A$11:$BB$406,13,FALSE)+VLOOKUP($A334,'ПР 21-22'!$A$11:$BB$406,13,FALSE)-VLOOKUP($A334,'ПР 01-02.22'!$A$11:$BB$378,13,FALSE)</f>
        <v>2337</v>
      </c>
      <c r="N334" s="38"/>
      <c r="O334" s="5">
        <f>VLOOKUP($A334,'ПР 01-02.21'!$A$11:$BB$406,15,FALSE)+VLOOKUP($A334,'ПР 21-22'!$A$11:$BB$406,15,FALSE)-VLOOKUP($A334,'ПР 01-02.22'!$A$11:$BB$378,15,FALSE)</f>
        <v>0</v>
      </c>
      <c r="P334" s="5">
        <f>VLOOKUP($A334,'ПР 01-02.21'!$A$11:$BB$406,16,FALSE)+VLOOKUP($A334,'ПР 21-22'!$A$11:$BB$406,16,FALSE)-VLOOKUP($A334,'ПР 01-02.22'!$A$11:$BB$378,16,FALSE)</f>
        <v>0</v>
      </c>
      <c r="Q334" s="443"/>
      <c r="R334" s="5">
        <f>VLOOKUP($A334,'ПР 01-02.21'!$A$11:$BB$406,18,FALSE)+VLOOKUP($A334,'ПР 21-22'!$A$11:$BB$406,18,FALSE)-VLOOKUP($A334,'ПР 01-02.22'!$A$11:$BB$378,18,FALSE)</f>
        <v>0</v>
      </c>
      <c r="S334" s="5">
        <f>VLOOKUP($A334,'ПР 01-02.21'!$A$11:$BB$406,19,FALSE)+VLOOKUP($A334,'ПР 21-22'!$A$11:$BB$406,19,FALSE)-VLOOKUP($A334,'ПР 01-02.22'!$A$11:$BB$378,19,FALSE)</f>
        <v>0</v>
      </c>
      <c r="T334" s="444"/>
      <c r="U334" s="5">
        <f>VLOOKUP($A334,'ПР 01-02.21'!$A$11:$BB$406,21,FALSE)+VLOOKUP($A334,'ПР 21-22'!$A$11:$BB$406,21,FALSE)-VLOOKUP($A334,'ПР 01-02.22'!$A$11:$BB$378,21,FALSE)</f>
        <v>0</v>
      </c>
      <c r="V334" s="5"/>
      <c r="W334" s="5">
        <f>VLOOKUP($A334,'ПР 01-02.21'!$A$11:$BB$406,23,FALSE)+VLOOKUP($A334,'ПР 21-22'!$A$11:$BB$406,23,FALSE)-VLOOKUP($A334,'ПР 01-02.22'!$A$11:$BB$378,23,FALSE)</f>
        <v>0</v>
      </c>
      <c r="X334" s="5">
        <f>VLOOKUP($A334,'ПР 01-02.21'!$A$11:$BB$406,24,FALSE)+VLOOKUP($A334,'ПР 21-22'!$A$11:$BB$406,24,FALSE)-VLOOKUP($A334,'ПР 01-02.22'!$A$11:$BB$378,24,FALSE)</f>
        <v>0</v>
      </c>
      <c r="Y334" s="5">
        <f>VLOOKUP($A334,'ПР 01-02.21'!$A$11:$BB$406,25,FALSE)+VLOOKUP($A334,'ПР 21-22'!$A$11:$BB$406,25,FALSE)-VLOOKUP($A334,'ПР 01-02.22'!$A$11:$BB$378,25,FALSE)</f>
        <v>111</v>
      </c>
      <c r="Z334" s="5"/>
      <c r="AA334" s="5">
        <f>VLOOKUP($A334,'ПР 01-02.21'!$A$11:$BB$406,27,FALSE)+VLOOKUP($A334,'ПР 21-22'!$A$11:$BB$406,27,FALSE)-VLOOKUP($A334,'ПР 01-02.22'!$A$11:$BB$378,27,FALSE)</f>
        <v>0</v>
      </c>
      <c r="AB334" s="5">
        <f>VLOOKUP($A334,'ПР 01-02.21'!$A$11:$BB$406,28,FALSE)+VLOOKUP($A334,'ПР 21-22'!$A$11:$BB$406,28,FALSE)-VLOOKUP($A334,'ПР 01-02.22'!$A$11:$BB$378,28,FALSE)</f>
        <v>0</v>
      </c>
      <c r="AC334" s="5">
        <f>VLOOKUP($A334,'ПР 01-02.21'!$A$11:$BB$406,29,FALSE)+VLOOKUP($A334,'ПР 21-22'!$A$11:$BB$406,29,FALSE)-VLOOKUP($A334,'ПР 01-02.22'!$A$11:$BB$378,29,FALSE)</f>
        <v>0</v>
      </c>
      <c r="AD334" s="5">
        <f>VLOOKUP($A334,'ПР 01-02.21'!$A$11:$BB$406,30,FALSE)+VLOOKUP($A334,'ПР 21-22'!$A$11:$BB$406,30,FALSE)-VLOOKUP($A334,'ПР 01-02.22'!$A$11:$BB$378,30,FALSE)</f>
        <v>5112</v>
      </c>
      <c r="AE334" s="5">
        <f>VLOOKUP($A334,'ПР 01-02.21'!$A$11:$BB$406,31,FALSE)+VLOOKUP($A334,'ПР 21-22'!$A$11:$BB$406,31,FALSE)-VLOOKUP($A334,'ПР 01-02.22'!$A$11:$BB$378,31,FALSE)</f>
        <v>1689.0994293868721</v>
      </c>
      <c r="AF334" s="5">
        <f>VLOOKUP($A334,'ПР 01-02.21'!$A$11:$BB$406,32,FALSE)+VLOOKUP($A334,'ПР 21-22'!$A$11:$BB$406,32,FALSE)-VLOOKUP($A334,'ПР 01-02.22'!$A$11:$BB$378,32,FALSE)</f>
        <v>0</v>
      </c>
      <c r="AG334" s="40"/>
      <c r="AH334" s="5">
        <f>VLOOKUP($A334,'ПР 01-02.21'!$A$11:$BB$406,34,FALSE)+VLOOKUP($A334,'ПР 21-22'!$A$11:$BB$406,34,FALSE)-VLOOKUP($A334,'ПР 01-02.22'!$A$11:$BB$378,34,FALSE)</f>
        <v>2124.2230029247708</v>
      </c>
      <c r="AI334" s="5">
        <f>VLOOKUP($A334,'ПР 01-02.21'!$A$11:$BB$406,35,FALSE)+VLOOKUP($A334,'ПР 21-22'!$A$11:$BB$406,35,FALSE)-VLOOKUP($A334,'ПР 01-02.22'!$A$11:$BB$378,35,FALSE)</f>
        <v>33</v>
      </c>
      <c r="AJ334" s="40"/>
      <c r="AK334" s="5">
        <f>VLOOKUP($A334,'ПР 01-02.21'!$A$11:$BB$406,37,FALSE)+VLOOKUP($A334,'ПР 21-22'!$A$11:$BB$406,37,FALSE)-VLOOKUP($A334,'ПР 01-02.22'!$A$11:$BB$378,37,FALSE)</f>
        <v>1660.6225517055213</v>
      </c>
      <c r="AL334" s="5">
        <f>VLOOKUP($A334,'ПР 01-02.21'!$A$11:$BB$406,38,FALSE)+VLOOKUP($A334,'ПР 21-22'!$A$11:$BB$406,38,FALSE)-VLOOKUP($A334,'ПР 01-02.22'!$A$11:$BB$378,38,FALSE)</f>
        <v>0</v>
      </c>
      <c r="AM334" s="40"/>
      <c r="AN334" s="5">
        <f>VLOOKUP($A334,'ПР 01-02.21'!$A$11:$BB$406,40,FALSE)+VLOOKUP($A334,'ПР 21-22'!$A$11:$BB$406,40,FALSE)-VLOOKUP($A334,'ПР 01-02.22'!$A$11:$BB$378,40,FALSE)</f>
        <v>0</v>
      </c>
      <c r="AO334" s="5">
        <f>VLOOKUP($A334,'ПР 01-02.21'!$A$11:$BB$406,41,FALSE)+VLOOKUP($A334,'ПР 21-22'!$A$11:$BB$406,41,FALSE)-VLOOKUP($A334,'ПР 01-02.22'!$A$11:$BB$378,41,FALSE)</f>
        <v>0</v>
      </c>
      <c r="AP334" s="40"/>
      <c r="AQ334" s="5">
        <f>VLOOKUP($A334,'ПР 01-02.21'!$A$11:$BB$406,43,FALSE)+VLOOKUP($A334,'ПР 21-22'!$A$11:$BB$406,43,FALSE)-VLOOKUP($A334,'ПР 01-02.22'!$A$11:$BB$378,43,FALSE)</f>
        <v>0</v>
      </c>
      <c r="AR334" s="5">
        <f>VLOOKUP($A334,'ПР 01-02.21'!$A$11:$BB$406,44,FALSE)+VLOOKUP($A334,'ПР 21-22'!$A$11:$BB$406,44,FALSE)-VLOOKUP($A334,'ПР 01-02.22'!$A$11:$BB$378,44,FALSE)</f>
        <v>0</v>
      </c>
      <c r="AS334" s="40"/>
      <c r="AT334" s="5">
        <f>VLOOKUP($A334,'ПР 01-02.21'!$A$11:$BB$406,46,FALSE)+VLOOKUP($A334,'ПР 21-22'!$A$11:$BB$406,46,FALSE)-VLOOKUP($A334,'ПР 01-02.22'!$A$11:$BB$378,46,FALSE)</f>
        <v>1254.1349029534124</v>
      </c>
      <c r="AU334" s="5">
        <f>VLOOKUP($A334,'ПР 01-02.21'!$A$11:$BB$406,47,FALSE)+VLOOKUP($A334,'ПР 21-22'!$A$11:$BB$406,47,FALSE)-VLOOKUP($A334,'ПР 01-02.22'!$A$11:$BB$378,47,FALSE)</f>
        <v>266</v>
      </c>
      <c r="AV334" s="40"/>
      <c r="AW334" s="5">
        <f>VLOOKUP($A334,'ПР 01-02.21'!$A$11:$BB$406,49,FALSE)+VLOOKUP($A334,'ПР 21-22'!$A$11:$BB$406,49,FALSE)-VLOOKUP($A334,'ПР 01-02.22'!$A$11:$BB$378,49,FALSE)</f>
        <v>153.244</v>
      </c>
      <c r="AX334" s="5">
        <f>VLOOKUP($A334,'ПР 01-02.21'!$A$11:$BB$406,50,FALSE)+VLOOKUP($A334,'ПР 21-22'!$A$11:$BB$406,50,FALSE)-VLOOKUP($A334,'ПР 01-02.22'!$A$11:$BB$378,50,FALSE)</f>
        <v>0</v>
      </c>
      <c r="AY334" s="40"/>
      <c r="AZ334" s="40">
        <f t="shared" si="21"/>
        <v>6881.3238869705756</v>
      </c>
      <c r="BA334" s="40">
        <f t="shared" si="21"/>
        <v>299</v>
      </c>
      <c r="BB334" s="55">
        <f t="shared" si="24"/>
        <v>-6582.3238869705756</v>
      </c>
      <c r="BD334" s="2">
        <v>2</v>
      </c>
      <c r="BF334" s="325">
        <v>150000812</v>
      </c>
    </row>
    <row r="335" spans="1:58" ht="24.9" customHeight="1" x14ac:dyDescent="0.3">
      <c r="A335" s="325">
        <v>150000828</v>
      </c>
      <c r="B335" s="445" t="s">
        <v>304</v>
      </c>
      <c r="C335" s="27">
        <v>5</v>
      </c>
      <c r="D335" s="101" t="s">
        <v>455</v>
      </c>
      <c r="E335" s="279">
        <f>'побудинковий звіт'!E333</f>
        <v>2595.52</v>
      </c>
      <c r="F335" s="441">
        <f>'побудинковий звіт'!AS333</f>
        <v>35178.905215199178</v>
      </c>
      <c r="G335" s="441">
        <f t="shared" si="22"/>
        <v>41425</v>
      </c>
      <c r="H335" s="73">
        <f t="shared" si="23"/>
        <v>6246.0947848008218</v>
      </c>
      <c r="I335" s="5">
        <f>VLOOKUP($A335,'ПР 01-02.21'!$A$11:$BB$406,9,FALSE)+VLOOKUP($A335,'ПР 21-22'!$A$11:$BB$406,9,FALSE)-VLOOKUP($A335,'ПР 01-02.22'!$A$11:$BB$378,9,FALSE)</f>
        <v>0</v>
      </c>
      <c r="J335" s="5">
        <f>VLOOKUP($A335,'ПР 01-02.21'!$A$11:$BB$406,10,FALSE)+VLOOKUP($A335,'ПР 21-22'!$A$11:$BB$406,10,FALSE)-VLOOKUP($A335,'ПР 01-02.22'!$A$11:$BB$378,10,FALSE)</f>
        <v>0</v>
      </c>
      <c r="K335" s="446"/>
      <c r="L335" s="5">
        <f>VLOOKUP($A335,'ПР 01-02.21'!$A$11:$BB$406,12,FALSE)+VLOOKUP($A335,'ПР 21-22'!$A$11:$BB$406,12,FALSE)-VLOOKUP($A335,'ПР 01-02.22'!$A$11:$BB$378,12,FALSE)</f>
        <v>0</v>
      </c>
      <c r="M335" s="5">
        <f>VLOOKUP($A335,'ПР 01-02.21'!$A$11:$BB$406,13,FALSE)+VLOOKUP($A335,'ПР 21-22'!$A$11:$BB$406,13,FALSE)-VLOOKUP($A335,'ПР 01-02.22'!$A$11:$BB$378,13,FALSE)</f>
        <v>0</v>
      </c>
      <c r="N335" s="38"/>
      <c r="O335" s="5">
        <f>VLOOKUP($A335,'ПР 01-02.21'!$A$11:$BB$406,15,FALSE)+VLOOKUP($A335,'ПР 21-22'!$A$11:$BB$406,15,FALSE)-VLOOKUP($A335,'ПР 01-02.22'!$A$11:$BB$378,15,FALSE)</f>
        <v>0</v>
      </c>
      <c r="P335" s="5">
        <f>VLOOKUP($A335,'ПР 01-02.21'!$A$11:$BB$406,16,FALSE)+VLOOKUP($A335,'ПР 21-22'!$A$11:$BB$406,16,FALSE)-VLOOKUP($A335,'ПР 01-02.22'!$A$11:$BB$378,16,FALSE)</f>
        <v>0</v>
      </c>
      <c r="Q335" s="443"/>
      <c r="R335" s="5">
        <f>VLOOKUP($A335,'ПР 01-02.21'!$A$11:$BB$406,18,FALSE)+VLOOKUP($A335,'ПР 21-22'!$A$11:$BB$406,18,FALSE)-VLOOKUP($A335,'ПР 01-02.22'!$A$11:$BB$378,18,FALSE)</f>
        <v>0</v>
      </c>
      <c r="S335" s="5">
        <f>VLOOKUP($A335,'ПР 01-02.21'!$A$11:$BB$406,19,FALSE)+VLOOKUP($A335,'ПР 21-22'!$A$11:$BB$406,19,FALSE)-VLOOKUP($A335,'ПР 01-02.22'!$A$11:$BB$378,19,FALSE)</f>
        <v>0</v>
      </c>
      <c r="T335" s="444"/>
      <c r="U335" s="5">
        <f>VLOOKUP($A335,'ПР 01-02.21'!$A$11:$BB$406,21,FALSE)+VLOOKUP($A335,'ПР 21-22'!$A$11:$BB$406,21,FALSE)-VLOOKUP($A335,'ПР 01-02.22'!$A$11:$BB$378,21,FALSE)</f>
        <v>0</v>
      </c>
      <c r="V335" s="5"/>
      <c r="W335" s="5">
        <f>VLOOKUP($A335,'ПР 01-02.21'!$A$11:$BB$406,23,FALSE)+VLOOKUP($A335,'ПР 21-22'!$A$11:$BB$406,23,FALSE)-VLOOKUP($A335,'ПР 01-02.22'!$A$11:$BB$378,23,FALSE)</f>
        <v>44</v>
      </c>
      <c r="X335" s="5">
        <f>VLOOKUP($A335,'ПР 01-02.21'!$A$11:$BB$406,24,FALSE)+VLOOKUP($A335,'ПР 21-22'!$A$11:$BB$406,24,FALSE)-VLOOKUP($A335,'ПР 01-02.22'!$A$11:$BB$378,24,FALSE)</f>
        <v>27739</v>
      </c>
      <c r="Y335" s="5">
        <f>VLOOKUP($A335,'ПР 01-02.21'!$A$11:$BB$406,25,FALSE)+VLOOKUP($A335,'ПР 21-22'!$A$11:$BB$406,25,FALSE)-VLOOKUP($A335,'ПР 01-02.22'!$A$11:$BB$378,25,FALSE)</f>
        <v>12722</v>
      </c>
      <c r="Z335" s="5"/>
      <c r="AA335" s="5">
        <f>VLOOKUP($A335,'ПР 01-02.21'!$A$11:$BB$406,27,FALSE)+VLOOKUP($A335,'ПР 21-22'!$A$11:$BB$406,27,FALSE)-VLOOKUP($A335,'ПР 01-02.22'!$A$11:$BB$378,27,FALSE)</f>
        <v>0</v>
      </c>
      <c r="AB335" s="5">
        <f>VLOOKUP($A335,'ПР 01-02.21'!$A$11:$BB$406,28,FALSE)+VLOOKUP($A335,'ПР 21-22'!$A$11:$BB$406,28,FALSE)-VLOOKUP($A335,'ПР 01-02.22'!$A$11:$BB$378,28,FALSE)</f>
        <v>359</v>
      </c>
      <c r="AC335" s="5">
        <f>VLOOKUP($A335,'ПР 01-02.21'!$A$11:$BB$406,29,FALSE)+VLOOKUP($A335,'ПР 21-22'!$A$11:$BB$406,29,FALSE)-VLOOKUP($A335,'ПР 01-02.22'!$A$11:$BB$378,29,FALSE)</f>
        <v>0</v>
      </c>
      <c r="AD335" s="5">
        <f>VLOOKUP($A335,'ПР 01-02.21'!$A$11:$BB$406,30,FALSE)+VLOOKUP($A335,'ПР 21-22'!$A$11:$BB$406,30,FALSE)-VLOOKUP($A335,'ПР 01-02.22'!$A$11:$BB$378,30,FALSE)</f>
        <v>605</v>
      </c>
      <c r="AE335" s="5">
        <f>VLOOKUP($A335,'ПР 01-02.21'!$A$11:$BB$406,31,FALSE)+VLOOKUP($A335,'ПР 21-22'!$A$11:$BB$406,31,FALSE)-VLOOKUP($A335,'ПР 01-02.22'!$A$11:$BB$378,31,FALSE)</f>
        <v>2286.6320987880172</v>
      </c>
      <c r="AF335" s="5">
        <f>VLOOKUP($A335,'ПР 01-02.21'!$A$11:$BB$406,32,FALSE)+VLOOKUP($A335,'ПР 21-22'!$A$11:$BB$406,32,FALSE)-VLOOKUP($A335,'ПР 01-02.22'!$A$11:$BB$378,32,FALSE)</f>
        <v>316</v>
      </c>
      <c r="AG335" s="40"/>
      <c r="AH335" s="5">
        <f>VLOOKUP($A335,'ПР 01-02.21'!$A$11:$BB$406,34,FALSE)+VLOOKUP($A335,'ПР 21-22'!$A$11:$BB$406,34,FALSE)-VLOOKUP($A335,'ПР 01-02.22'!$A$11:$BB$378,34,FALSE)</f>
        <v>2826.9732835284499</v>
      </c>
      <c r="AI335" s="5">
        <f>VLOOKUP($A335,'ПР 01-02.21'!$A$11:$BB$406,35,FALSE)+VLOOKUP($A335,'ПР 21-22'!$A$11:$BB$406,35,FALSE)-VLOOKUP($A335,'ПР 01-02.22'!$A$11:$BB$378,35,FALSE)</f>
        <v>0</v>
      </c>
      <c r="AJ335" s="40"/>
      <c r="AK335" s="5">
        <f>VLOOKUP($A335,'ПР 01-02.21'!$A$11:$BB$406,37,FALSE)+VLOOKUP($A335,'ПР 21-22'!$A$11:$BB$406,37,FALSE)-VLOOKUP($A335,'ПР 01-02.22'!$A$11:$BB$378,37,FALSE)</f>
        <v>1595.2589749131009</v>
      </c>
      <c r="AL335" s="5">
        <f>VLOOKUP($A335,'ПР 01-02.21'!$A$11:$BB$406,38,FALSE)+VLOOKUP($A335,'ПР 21-22'!$A$11:$BB$406,38,FALSE)-VLOOKUP($A335,'ПР 01-02.22'!$A$11:$BB$378,38,FALSE)</f>
        <v>0</v>
      </c>
      <c r="AM335" s="40"/>
      <c r="AN335" s="5">
        <f>VLOOKUP($A335,'ПР 01-02.21'!$A$11:$BB$406,40,FALSE)+VLOOKUP($A335,'ПР 21-22'!$A$11:$BB$406,40,FALSE)-VLOOKUP($A335,'ПР 01-02.22'!$A$11:$BB$378,40,FALSE)</f>
        <v>0</v>
      </c>
      <c r="AO335" s="5">
        <f>VLOOKUP($A335,'ПР 01-02.21'!$A$11:$BB$406,41,FALSE)+VLOOKUP($A335,'ПР 21-22'!$A$11:$BB$406,41,FALSE)-VLOOKUP($A335,'ПР 01-02.22'!$A$11:$BB$378,41,FALSE)</f>
        <v>0</v>
      </c>
      <c r="AP335" s="40"/>
      <c r="AQ335" s="5">
        <f>VLOOKUP($A335,'ПР 01-02.21'!$A$11:$BB$406,43,FALSE)+VLOOKUP($A335,'ПР 21-22'!$A$11:$BB$406,43,FALSE)-VLOOKUP($A335,'ПР 01-02.22'!$A$11:$BB$378,43,FALSE)</f>
        <v>0</v>
      </c>
      <c r="AR335" s="5">
        <f>VLOOKUP($A335,'ПР 01-02.21'!$A$11:$BB$406,44,FALSE)+VLOOKUP($A335,'ПР 21-22'!$A$11:$BB$406,44,FALSE)-VLOOKUP($A335,'ПР 01-02.22'!$A$11:$BB$378,44,FALSE)</f>
        <v>0</v>
      </c>
      <c r="AS335" s="40"/>
      <c r="AT335" s="5">
        <f>VLOOKUP($A335,'ПР 01-02.21'!$A$11:$BB$406,46,FALSE)+VLOOKUP($A335,'ПР 21-22'!$A$11:$BB$406,46,FALSE)-VLOOKUP($A335,'ПР 01-02.22'!$A$11:$BB$378,46,FALSE)</f>
        <v>1295.9857721327608</v>
      </c>
      <c r="AU335" s="5">
        <f>VLOOKUP($A335,'ПР 01-02.21'!$A$11:$BB$406,47,FALSE)+VLOOKUP($A335,'ПР 21-22'!$A$11:$BB$406,47,FALSE)-VLOOKUP($A335,'ПР 01-02.22'!$A$11:$BB$378,47,FALSE)</f>
        <v>0</v>
      </c>
      <c r="AV335" s="40"/>
      <c r="AW335" s="5">
        <f>VLOOKUP($A335,'ПР 01-02.21'!$A$11:$BB$406,49,FALSE)+VLOOKUP($A335,'ПР 21-22'!$A$11:$BB$406,49,FALSE)-VLOOKUP($A335,'ПР 01-02.22'!$A$11:$BB$378,49,FALSE)</f>
        <v>129.82080000000002</v>
      </c>
      <c r="AX335" s="5">
        <f>VLOOKUP($A335,'ПР 01-02.21'!$A$11:$BB$406,50,FALSE)+VLOOKUP($A335,'ПР 21-22'!$A$11:$BB$406,50,FALSE)-VLOOKUP($A335,'ПР 01-02.22'!$A$11:$BB$378,50,FALSE)</f>
        <v>3160</v>
      </c>
      <c r="AY335" s="40"/>
      <c r="AZ335" s="40">
        <f t="shared" si="21"/>
        <v>8134.6709293623298</v>
      </c>
      <c r="BA335" s="40">
        <f t="shared" si="21"/>
        <v>3476</v>
      </c>
      <c r="BB335" s="55">
        <f t="shared" si="24"/>
        <v>-4658.6709293623298</v>
      </c>
      <c r="BD335" s="2">
        <v>2</v>
      </c>
      <c r="BF335" s="325">
        <v>150000828</v>
      </c>
    </row>
    <row r="336" spans="1:58" ht="24.9" customHeight="1" x14ac:dyDescent="0.3">
      <c r="A336" s="325">
        <v>150000813</v>
      </c>
      <c r="B336" s="445" t="s">
        <v>189</v>
      </c>
      <c r="C336" s="27">
        <v>2</v>
      </c>
      <c r="D336" s="101" t="s">
        <v>455</v>
      </c>
      <c r="E336" s="279">
        <f>'побудинковий звіт'!E334</f>
        <v>373.3</v>
      </c>
      <c r="F336" s="441">
        <f>'побудинковий звіт'!AS334</f>
        <v>3984.5238805364811</v>
      </c>
      <c r="G336" s="441">
        <f t="shared" si="22"/>
        <v>1406</v>
      </c>
      <c r="H336" s="73">
        <f t="shared" si="23"/>
        <v>-2578.5238805364811</v>
      </c>
      <c r="I336" s="5">
        <f>VLOOKUP($A336,'ПР 01-02.21'!$A$11:$BB$406,9,FALSE)+VLOOKUP($A336,'ПР 21-22'!$A$11:$BB$406,9,FALSE)-VLOOKUP($A336,'ПР 01-02.22'!$A$11:$BB$378,9,FALSE)</f>
        <v>0</v>
      </c>
      <c r="J336" s="5">
        <f>VLOOKUP($A336,'ПР 01-02.21'!$A$11:$BB$406,10,FALSE)+VLOOKUP($A336,'ПР 21-22'!$A$11:$BB$406,10,FALSE)-VLOOKUP($A336,'ПР 01-02.22'!$A$11:$BB$378,10,FALSE)</f>
        <v>0</v>
      </c>
      <c r="K336" s="446"/>
      <c r="L336" s="5">
        <f>VLOOKUP($A336,'ПР 01-02.21'!$A$11:$BB$406,12,FALSE)+VLOOKUP($A336,'ПР 21-22'!$A$11:$BB$406,12,FALSE)-VLOOKUP($A336,'ПР 01-02.22'!$A$11:$BB$378,12,FALSE)</f>
        <v>0</v>
      </c>
      <c r="M336" s="5">
        <f>VLOOKUP($A336,'ПР 01-02.21'!$A$11:$BB$406,13,FALSE)+VLOOKUP($A336,'ПР 21-22'!$A$11:$BB$406,13,FALSE)-VLOOKUP($A336,'ПР 01-02.22'!$A$11:$BB$378,13,FALSE)</f>
        <v>0</v>
      </c>
      <c r="N336" s="38"/>
      <c r="O336" s="5">
        <f>VLOOKUP($A336,'ПР 01-02.21'!$A$11:$BB$406,15,FALSE)+VLOOKUP($A336,'ПР 21-22'!$A$11:$BB$406,15,FALSE)-VLOOKUP($A336,'ПР 01-02.22'!$A$11:$BB$378,15,FALSE)</f>
        <v>0</v>
      </c>
      <c r="P336" s="5">
        <f>VLOOKUP($A336,'ПР 01-02.21'!$A$11:$BB$406,16,FALSE)+VLOOKUP($A336,'ПР 21-22'!$A$11:$BB$406,16,FALSE)-VLOOKUP($A336,'ПР 01-02.22'!$A$11:$BB$378,16,FALSE)</f>
        <v>0</v>
      </c>
      <c r="Q336" s="443"/>
      <c r="R336" s="5">
        <f>VLOOKUP($A336,'ПР 01-02.21'!$A$11:$BB$406,18,FALSE)+VLOOKUP($A336,'ПР 21-22'!$A$11:$BB$406,18,FALSE)-VLOOKUP($A336,'ПР 01-02.22'!$A$11:$BB$378,18,FALSE)</f>
        <v>0</v>
      </c>
      <c r="S336" s="5">
        <f>VLOOKUP($A336,'ПР 01-02.21'!$A$11:$BB$406,19,FALSE)+VLOOKUP($A336,'ПР 21-22'!$A$11:$BB$406,19,FALSE)-VLOOKUP($A336,'ПР 01-02.22'!$A$11:$BB$378,19,FALSE)</f>
        <v>0</v>
      </c>
      <c r="T336" s="444"/>
      <c r="U336" s="5">
        <f>VLOOKUP($A336,'ПР 01-02.21'!$A$11:$BB$406,21,FALSE)+VLOOKUP($A336,'ПР 21-22'!$A$11:$BB$406,21,FALSE)-VLOOKUP($A336,'ПР 01-02.22'!$A$11:$BB$378,21,FALSE)</f>
        <v>0</v>
      </c>
      <c r="V336" s="5"/>
      <c r="W336" s="5">
        <f>VLOOKUP($A336,'ПР 01-02.21'!$A$11:$BB$406,23,FALSE)+VLOOKUP($A336,'ПР 21-22'!$A$11:$BB$406,23,FALSE)-VLOOKUP($A336,'ПР 01-02.22'!$A$11:$BB$378,23,FALSE)</f>
        <v>0</v>
      </c>
      <c r="X336" s="5">
        <f>VLOOKUP($A336,'ПР 01-02.21'!$A$11:$BB$406,24,FALSE)+VLOOKUP($A336,'ПР 21-22'!$A$11:$BB$406,24,FALSE)-VLOOKUP($A336,'ПР 01-02.22'!$A$11:$BB$378,24,FALSE)</f>
        <v>0</v>
      </c>
      <c r="Y336" s="5">
        <f>VLOOKUP($A336,'ПР 01-02.21'!$A$11:$BB$406,25,FALSE)+VLOOKUP($A336,'ПР 21-22'!$A$11:$BB$406,25,FALSE)-VLOOKUP($A336,'ПР 01-02.22'!$A$11:$BB$378,25,FALSE)</f>
        <v>0</v>
      </c>
      <c r="Z336" s="5"/>
      <c r="AA336" s="5">
        <f>VLOOKUP($A336,'ПР 01-02.21'!$A$11:$BB$406,27,FALSE)+VLOOKUP($A336,'ПР 21-22'!$A$11:$BB$406,27,FALSE)-VLOOKUP($A336,'ПР 01-02.22'!$A$11:$BB$378,27,FALSE)</f>
        <v>0</v>
      </c>
      <c r="AB336" s="5">
        <f>VLOOKUP($A336,'ПР 01-02.21'!$A$11:$BB$406,28,FALSE)+VLOOKUP($A336,'ПР 21-22'!$A$11:$BB$406,28,FALSE)-VLOOKUP($A336,'ПР 01-02.22'!$A$11:$BB$378,28,FALSE)</f>
        <v>0</v>
      </c>
      <c r="AC336" s="5">
        <f>VLOOKUP($A336,'ПР 01-02.21'!$A$11:$BB$406,29,FALSE)+VLOOKUP($A336,'ПР 21-22'!$A$11:$BB$406,29,FALSE)-VLOOKUP($A336,'ПР 01-02.22'!$A$11:$BB$378,29,FALSE)</f>
        <v>74</v>
      </c>
      <c r="AD336" s="5">
        <f>VLOOKUP($A336,'ПР 01-02.21'!$A$11:$BB$406,30,FALSE)+VLOOKUP($A336,'ПР 21-22'!$A$11:$BB$406,30,FALSE)-VLOOKUP($A336,'ПР 01-02.22'!$A$11:$BB$378,30,FALSE)</f>
        <v>1332</v>
      </c>
      <c r="AE336" s="5">
        <f>VLOOKUP($A336,'ПР 01-02.21'!$A$11:$BB$406,31,FALSE)+VLOOKUP($A336,'ПР 21-22'!$A$11:$BB$406,31,FALSE)-VLOOKUP($A336,'ПР 01-02.22'!$A$11:$BB$378,31,FALSE)</f>
        <v>560.59191020039793</v>
      </c>
      <c r="AF336" s="5">
        <f>VLOOKUP($A336,'ПР 01-02.21'!$A$11:$BB$406,32,FALSE)+VLOOKUP($A336,'ПР 21-22'!$A$11:$BB$406,32,FALSE)-VLOOKUP($A336,'ПР 01-02.22'!$A$11:$BB$378,32,FALSE)</f>
        <v>0</v>
      </c>
      <c r="AG336" s="40"/>
      <c r="AH336" s="5">
        <f>VLOOKUP($A336,'ПР 01-02.21'!$A$11:$BB$406,34,FALSE)+VLOOKUP($A336,'ПР 21-22'!$A$11:$BB$406,34,FALSE)-VLOOKUP($A336,'ПР 01-02.22'!$A$11:$BB$378,34,FALSE)</f>
        <v>623.17352260485541</v>
      </c>
      <c r="AI336" s="5">
        <f>VLOOKUP($A336,'ПР 01-02.21'!$A$11:$BB$406,35,FALSE)+VLOOKUP($A336,'ПР 21-22'!$A$11:$BB$406,35,FALSE)-VLOOKUP($A336,'ПР 01-02.22'!$A$11:$BB$378,35,FALSE)</f>
        <v>0</v>
      </c>
      <c r="AJ336" s="40"/>
      <c r="AK336" s="5">
        <f>VLOOKUP($A336,'ПР 01-02.21'!$A$11:$BB$406,37,FALSE)+VLOOKUP($A336,'ПР 21-22'!$A$11:$BB$406,37,FALSE)-VLOOKUP($A336,'ПР 01-02.22'!$A$11:$BB$378,37,FALSE)</f>
        <v>0</v>
      </c>
      <c r="AL336" s="5">
        <f>VLOOKUP($A336,'ПР 01-02.21'!$A$11:$BB$406,38,FALSE)+VLOOKUP($A336,'ПР 21-22'!$A$11:$BB$406,38,FALSE)-VLOOKUP($A336,'ПР 01-02.22'!$A$11:$BB$378,38,FALSE)</f>
        <v>0</v>
      </c>
      <c r="AM336" s="40"/>
      <c r="AN336" s="5">
        <f>VLOOKUP($A336,'ПР 01-02.21'!$A$11:$BB$406,40,FALSE)+VLOOKUP($A336,'ПР 21-22'!$A$11:$BB$406,40,FALSE)-VLOOKUP($A336,'ПР 01-02.22'!$A$11:$BB$378,40,FALSE)</f>
        <v>0</v>
      </c>
      <c r="AO336" s="5">
        <f>VLOOKUP($A336,'ПР 01-02.21'!$A$11:$BB$406,41,FALSE)+VLOOKUP($A336,'ПР 21-22'!$A$11:$BB$406,41,FALSE)-VLOOKUP($A336,'ПР 01-02.22'!$A$11:$BB$378,41,FALSE)</f>
        <v>0</v>
      </c>
      <c r="AP336" s="40"/>
      <c r="AQ336" s="5">
        <f>VLOOKUP($A336,'ПР 01-02.21'!$A$11:$BB$406,43,FALSE)+VLOOKUP($A336,'ПР 21-22'!$A$11:$BB$406,43,FALSE)-VLOOKUP($A336,'ПР 01-02.22'!$A$11:$BB$378,43,FALSE)</f>
        <v>0</v>
      </c>
      <c r="AR336" s="5">
        <f>VLOOKUP($A336,'ПР 01-02.21'!$A$11:$BB$406,44,FALSE)+VLOOKUP($A336,'ПР 21-22'!$A$11:$BB$406,44,FALSE)-VLOOKUP($A336,'ПР 01-02.22'!$A$11:$BB$378,44,FALSE)</f>
        <v>0</v>
      </c>
      <c r="AS336" s="40"/>
      <c r="AT336" s="5">
        <f>VLOOKUP($A336,'ПР 01-02.21'!$A$11:$BB$406,46,FALSE)+VLOOKUP($A336,'ПР 21-22'!$A$11:$BB$406,46,FALSE)-VLOOKUP($A336,'ПР 01-02.22'!$A$11:$BB$378,46,FALSE)</f>
        <v>160.0095077898508</v>
      </c>
      <c r="AU336" s="5">
        <f>VLOOKUP($A336,'ПР 01-02.21'!$A$11:$BB$406,47,FALSE)+VLOOKUP($A336,'ПР 21-22'!$A$11:$BB$406,47,FALSE)-VLOOKUP($A336,'ПР 01-02.22'!$A$11:$BB$378,47,FALSE)</f>
        <v>0</v>
      </c>
      <c r="AV336" s="40"/>
      <c r="AW336" s="5">
        <f>VLOOKUP($A336,'ПР 01-02.21'!$A$11:$BB$406,49,FALSE)+VLOOKUP($A336,'ПР 21-22'!$A$11:$BB$406,49,FALSE)-VLOOKUP($A336,'ПР 01-02.22'!$A$11:$BB$378,49,FALSE)</f>
        <v>18.932000000000002</v>
      </c>
      <c r="AX336" s="5">
        <f>VLOOKUP($A336,'ПР 01-02.21'!$A$11:$BB$406,50,FALSE)+VLOOKUP($A336,'ПР 21-22'!$A$11:$BB$406,50,FALSE)-VLOOKUP($A336,'ПР 01-02.22'!$A$11:$BB$378,50,FALSE)</f>
        <v>0</v>
      </c>
      <c r="AY336" s="40"/>
      <c r="AZ336" s="40">
        <f t="shared" si="21"/>
        <v>1362.7069405951042</v>
      </c>
      <c r="BA336" s="40">
        <f t="shared" si="21"/>
        <v>0</v>
      </c>
      <c r="BB336" s="55">
        <f t="shared" si="24"/>
        <v>-1362.7069405951042</v>
      </c>
      <c r="BD336" s="2">
        <v>3</v>
      </c>
      <c r="BF336" s="325">
        <v>150000813</v>
      </c>
    </row>
    <row r="337" spans="1:58" ht="24.9" customHeight="1" x14ac:dyDescent="0.3">
      <c r="A337" s="325">
        <v>150000814</v>
      </c>
      <c r="B337" s="445" t="s">
        <v>305</v>
      </c>
      <c r="C337" s="27">
        <v>5</v>
      </c>
      <c r="D337" s="101" t="s">
        <v>455</v>
      </c>
      <c r="E337" s="279">
        <f>'побудинковий звіт'!E335</f>
        <v>3235</v>
      </c>
      <c r="F337" s="441">
        <f>'побудинковий звіт'!AS335</f>
        <v>25304.9893670331</v>
      </c>
      <c r="G337" s="441">
        <f t="shared" si="22"/>
        <v>71653.395328556886</v>
      </c>
      <c r="H337" s="73">
        <f t="shared" si="23"/>
        <v>46348.405961523786</v>
      </c>
      <c r="I337" s="5">
        <f>VLOOKUP($A337,'ПР 01-02.21'!$A$11:$BB$406,9,FALSE)+VLOOKUP($A337,'ПР 21-22'!$A$11:$BB$406,9,FALSE)-VLOOKUP($A337,'ПР 01-02.22'!$A$11:$BB$378,9,FALSE)</f>
        <v>1.5</v>
      </c>
      <c r="J337" s="5">
        <f>VLOOKUP($A337,'ПР 01-02.21'!$A$11:$BB$406,10,FALSE)+VLOOKUP($A337,'ПР 21-22'!$A$11:$BB$406,10,FALSE)-VLOOKUP($A337,'ПР 01-02.22'!$A$11:$BB$378,10,FALSE)</f>
        <v>982</v>
      </c>
      <c r="K337" s="446"/>
      <c r="L337" s="5">
        <f>VLOOKUP($A337,'ПР 01-02.21'!$A$11:$BB$406,12,FALSE)+VLOOKUP($A337,'ПР 21-22'!$A$11:$BB$406,12,FALSE)-VLOOKUP($A337,'ПР 01-02.22'!$A$11:$BB$378,12,FALSE)</f>
        <v>1</v>
      </c>
      <c r="M337" s="5">
        <f>VLOOKUP($A337,'ПР 01-02.21'!$A$11:$BB$406,13,FALSE)+VLOOKUP($A337,'ПР 21-22'!$A$11:$BB$406,13,FALSE)-VLOOKUP($A337,'ПР 01-02.22'!$A$11:$BB$378,13,FALSE)</f>
        <v>67076</v>
      </c>
      <c r="N337" s="38"/>
      <c r="O337" s="5">
        <f>VLOOKUP($A337,'ПР 01-02.21'!$A$11:$BB$406,15,FALSE)+VLOOKUP($A337,'ПР 21-22'!$A$11:$BB$406,15,FALSE)-VLOOKUP($A337,'ПР 01-02.22'!$A$11:$BB$378,15,FALSE)</f>
        <v>0</v>
      </c>
      <c r="P337" s="5">
        <f>VLOOKUP($A337,'ПР 01-02.21'!$A$11:$BB$406,16,FALSE)+VLOOKUP($A337,'ПР 21-22'!$A$11:$BB$406,16,FALSE)-VLOOKUP($A337,'ПР 01-02.22'!$A$11:$BB$378,16,FALSE)</f>
        <v>0</v>
      </c>
      <c r="Q337" s="443"/>
      <c r="R337" s="5">
        <f>VLOOKUP($A337,'ПР 01-02.21'!$A$11:$BB$406,18,FALSE)+VLOOKUP($A337,'ПР 21-22'!$A$11:$BB$406,18,FALSE)-VLOOKUP($A337,'ПР 01-02.22'!$A$11:$BB$378,18,FALSE)</f>
        <v>0</v>
      </c>
      <c r="S337" s="5">
        <f>VLOOKUP($A337,'ПР 01-02.21'!$A$11:$BB$406,19,FALSE)+VLOOKUP($A337,'ПР 21-22'!$A$11:$BB$406,19,FALSE)-VLOOKUP($A337,'ПР 01-02.22'!$A$11:$BB$378,19,FALSE)</f>
        <v>0</v>
      </c>
      <c r="T337" s="444"/>
      <c r="U337" s="5">
        <f>VLOOKUP($A337,'ПР 01-02.21'!$A$11:$BB$406,21,FALSE)+VLOOKUP($A337,'ПР 21-22'!$A$11:$BB$406,21,FALSE)-VLOOKUP($A337,'ПР 01-02.22'!$A$11:$BB$378,21,FALSE)</f>
        <v>0</v>
      </c>
      <c r="V337" s="5"/>
      <c r="W337" s="5">
        <f>VLOOKUP($A337,'ПР 01-02.21'!$A$11:$BB$406,23,FALSE)+VLOOKUP($A337,'ПР 21-22'!$A$11:$BB$406,23,FALSE)-VLOOKUP($A337,'ПР 01-02.22'!$A$11:$BB$378,23,FALSE)</f>
        <v>0.5</v>
      </c>
      <c r="X337" s="5">
        <f>VLOOKUP($A337,'ПР 01-02.21'!$A$11:$BB$406,24,FALSE)+VLOOKUP($A337,'ПР 21-22'!$A$11:$BB$406,24,FALSE)-VLOOKUP($A337,'ПР 01-02.22'!$A$11:$BB$378,24,FALSE)</f>
        <v>316.39532855688662</v>
      </c>
      <c r="Y337" s="5">
        <f>VLOOKUP($A337,'ПР 01-02.21'!$A$11:$BB$406,25,FALSE)+VLOOKUP($A337,'ПР 21-22'!$A$11:$BB$406,25,FALSE)-VLOOKUP($A337,'ПР 01-02.22'!$A$11:$BB$378,25,FALSE)</f>
        <v>111</v>
      </c>
      <c r="Z337" s="5"/>
      <c r="AA337" s="5">
        <f>VLOOKUP($A337,'ПР 01-02.21'!$A$11:$BB$406,27,FALSE)+VLOOKUP($A337,'ПР 21-22'!$A$11:$BB$406,27,FALSE)-VLOOKUP($A337,'ПР 01-02.22'!$A$11:$BB$378,27,FALSE)</f>
        <v>0</v>
      </c>
      <c r="AB337" s="5">
        <f>VLOOKUP($A337,'ПР 01-02.21'!$A$11:$BB$406,28,FALSE)+VLOOKUP($A337,'ПР 21-22'!$A$11:$BB$406,28,FALSE)-VLOOKUP($A337,'ПР 01-02.22'!$A$11:$BB$378,28,FALSE)</f>
        <v>0</v>
      </c>
      <c r="AC337" s="5">
        <f>VLOOKUP($A337,'ПР 01-02.21'!$A$11:$BB$406,29,FALSE)+VLOOKUP($A337,'ПР 21-22'!$A$11:$BB$406,29,FALSE)-VLOOKUP($A337,'ПР 01-02.22'!$A$11:$BB$378,29,FALSE)</f>
        <v>2361</v>
      </c>
      <c r="AD337" s="5">
        <f>VLOOKUP($A337,'ПР 01-02.21'!$A$11:$BB$406,30,FALSE)+VLOOKUP($A337,'ПР 21-22'!$A$11:$BB$406,30,FALSE)-VLOOKUP($A337,'ПР 01-02.22'!$A$11:$BB$378,30,FALSE)</f>
        <v>807</v>
      </c>
      <c r="AE337" s="5">
        <f>VLOOKUP($A337,'ПР 01-02.21'!$A$11:$BB$406,31,FALSE)+VLOOKUP($A337,'ПР 21-22'!$A$11:$BB$406,31,FALSE)-VLOOKUP($A337,'ПР 01-02.22'!$A$11:$BB$378,31,FALSE)</f>
        <v>2714.286883386731</v>
      </c>
      <c r="AF337" s="5">
        <f>VLOOKUP($A337,'ПР 01-02.21'!$A$11:$BB$406,32,FALSE)+VLOOKUP($A337,'ПР 21-22'!$A$11:$BB$406,32,FALSE)-VLOOKUP($A337,'ПР 01-02.22'!$A$11:$BB$378,32,FALSE)</f>
        <v>3494</v>
      </c>
      <c r="AG337" s="40"/>
      <c r="AH337" s="5">
        <f>VLOOKUP($A337,'ПР 01-02.21'!$A$11:$BB$406,34,FALSE)+VLOOKUP($A337,'ПР 21-22'!$A$11:$BB$406,34,FALSE)-VLOOKUP($A337,'ПР 01-02.22'!$A$11:$BB$378,34,FALSE)</f>
        <v>4017.9838258643285</v>
      </c>
      <c r="AI337" s="5">
        <f>VLOOKUP($A337,'ПР 01-02.21'!$A$11:$BB$406,35,FALSE)+VLOOKUP($A337,'ПР 21-22'!$A$11:$BB$406,35,FALSE)-VLOOKUP($A337,'ПР 01-02.22'!$A$11:$BB$378,35,FALSE)</f>
        <v>1831</v>
      </c>
      <c r="AJ337" s="40"/>
      <c r="AK337" s="5">
        <f>VLOOKUP($A337,'ПР 01-02.21'!$A$11:$BB$406,37,FALSE)+VLOOKUP($A337,'ПР 21-22'!$A$11:$BB$406,37,FALSE)-VLOOKUP($A337,'ПР 01-02.22'!$A$11:$BB$378,37,FALSE)</f>
        <v>1548.6551958232526</v>
      </c>
      <c r="AL337" s="5">
        <f>VLOOKUP($A337,'ПР 01-02.21'!$A$11:$BB$406,38,FALSE)+VLOOKUP($A337,'ПР 21-22'!$A$11:$BB$406,38,FALSE)-VLOOKUP($A337,'ПР 01-02.22'!$A$11:$BB$378,38,FALSE)</f>
        <v>633</v>
      </c>
      <c r="AM337" s="40"/>
      <c r="AN337" s="5">
        <f>VLOOKUP($A337,'ПР 01-02.21'!$A$11:$BB$406,40,FALSE)+VLOOKUP($A337,'ПР 21-22'!$A$11:$BB$406,40,FALSE)-VLOOKUP($A337,'ПР 01-02.22'!$A$11:$BB$378,40,FALSE)</f>
        <v>0</v>
      </c>
      <c r="AO337" s="5">
        <f>VLOOKUP($A337,'ПР 01-02.21'!$A$11:$BB$406,41,FALSE)+VLOOKUP($A337,'ПР 21-22'!$A$11:$BB$406,41,FALSE)-VLOOKUP($A337,'ПР 01-02.22'!$A$11:$BB$378,41,FALSE)</f>
        <v>0</v>
      </c>
      <c r="AP337" s="40"/>
      <c r="AQ337" s="5">
        <f>VLOOKUP($A337,'ПР 01-02.21'!$A$11:$BB$406,43,FALSE)+VLOOKUP($A337,'ПР 21-22'!$A$11:$BB$406,43,FALSE)-VLOOKUP($A337,'ПР 01-02.22'!$A$11:$BB$378,43,FALSE)</f>
        <v>0</v>
      </c>
      <c r="AR337" s="5">
        <f>VLOOKUP($A337,'ПР 01-02.21'!$A$11:$BB$406,44,FALSE)+VLOOKUP($A337,'ПР 21-22'!$A$11:$BB$406,44,FALSE)-VLOOKUP($A337,'ПР 01-02.22'!$A$11:$BB$378,44,FALSE)</f>
        <v>0</v>
      </c>
      <c r="AS337" s="40"/>
      <c r="AT337" s="5">
        <f>VLOOKUP($A337,'ПР 01-02.21'!$A$11:$BB$406,46,FALSE)+VLOOKUP($A337,'ПР 21-22'!$A$11:$BB$406,46,FALSE)-VLOOKUP($A337,'ПР 01-02.22'!$A$11:$BB$378,46,FALSE)</f>
        <v>1717.4898552080992</v>
      </c>
      <c r="AU337" s="5">
        <f>VLOOKUP($A337,'ПР 01-02.21'!$A$11:$BB$406,47,FALSE)+VLOOKUP($A337,'ПР 21-22'!$A$11:$BB$406,47,FALSE)-VLOOKUP($A337,'ПР 01-02.22'!$A$11:$BB$378,47,FALSE)</f>
        <v>0</v>
      </c>
      <c r="AV337" s="40"/>
      <c r="AW337" s="5">
        <f>VLOOKUP($A337,'ПР 01-02.21'!$A$11:$BB$406,49,FALSE)+VLOOKUP($A337,'ПР 21-22'!$A$11:$BB$406,49,FALSE)-VLOOKUP($A337,'ПР 01-02.22'!$A$11:$BB$378,49,FALSE)</f>
        <v>161.29599999999999</v>
      </c>
      <c r="AX337" s="5">
        <f>VLOOKUP($A337,'ПР 01-02.21'!$A$11:$BB$406,50,FALSE)+VLOOKUP($A337,'ПР 21-22'!$A$11:$BB$406,50,FALSE)-VLOOKUP($A337,'ПР 01-02.22'!$A$11:$BB$378,50,FALSE)</f>
        <v>0</v>
      </c>
      <c r="AY337" s="40"/>
      <c r="AZ337" s="40">
        <f t="shared" si="21"/>
        <v>10159.711760282411</v>
      </c>
      <c r="BA337" s="40">
        <f t="shared" si="21"/>
        <v>5958</v>
      </c>
      <c r="BB337" s="55">
        <f t="shared" si="24"/>
        <v>-4201.711760282411</v>
      </c>
      <c r="BD337" s="2">
        <v>2</v>
      </c>
      <c r="BF337" s="325">
        <v>150000814</v>
      </c>
    </row>
    <row r="338" spans="1:58" ht="24.9" customHeight="1" x14ac:dyDescent="0.3">
      <c r="A338" s="325">
        <v>150000816</v>
      </c>
      <c r="B338" s="445" t="s">
        <v>230</v>
      </c>
      <c r="C338" s="27">
        <v>4</v>
      </c>
      <c r="D338" s="101" t="s">
        <v>455</v>
      </c>
      <c r="E338" s="279">
        <f>'побудинковий звіт'!E336</f>
        <v>2488.34</v>
      </c>
      <c r="F338" s="441">
        <f>'побудинковий звіт'!AS336</f>
        <v>20375.336671120291</v>
      </c>
      <c r="G338" s="441">
        <f t="shared" si="22"/>
        <v>8877.3751095189618</v>
      </c>
      <c r="H338" s="73">
        <f t="shared" si="23"/>
        <v>-11497.961561601329</v>
      </c>
      <c r="I338" s="5">
        <f>VLOOKUP($A338,'ПР 01-02.21'!$A$11:$BB$406,9,FALSE)+VLOOKUP($A338,'ПР 21-22'!$A$11:$BB$406,9,FALSE)-VLOOKUP($A338,'ПР 01-02.22'!$A$11:$BB$378,9,FALSE)</f>
        <v>0</v>
      </c>
      <c r="J338" s="5">
        <f>VLOOKUP($A338,'ПР 01-02.21'!$A$11:$BB$406,10,FALSE)+VLOOKUP($A338,'ПР 21-22'!$A$11:$BB$406,10,FALSE)-VLOOKUP($A338,'ПР 01-02.22'!$A$11:$BB$378,10,FALSE)</f>
        <v>0</v>
      </c>
      <c r="K338" s="5">
        <f>'[6]поточний ремонт'!K338+'[2]поточний ремонт'!K338-'[7]поточний ремонт'!K311</f>
        <v>0</v>
      </c>
      <c r="L338" s="5">
        <f>VLOOKUP($A338,'ПР 01-02.21'!$A$11:$BB$406,12,FALSE)+VLOOKUP($A338,'ПР 21-22'!$A$11:$BB$406,12,FALSE)-VLOOKUP($A338,'ПР 01-02.22'!$A$11:$BB$378,12,FALSE)</f>
        <v>0</v>
      </c>
      <c r="M338" s="5">
        <f>VLOOKUP($A338,'ПР 01-02.21'!$A$11:$BB$406,13,FALSE)+VLOOKUP($A338,'ПР 21-22'!$A$11:$BB$406,13,FALSE)-VLOOKUP($A338,'ПР 01-02.22'!$A$11:$BB$378,13,FALSE)</f>
        <v>0</v>
      </c>
      <c r="N338" s="38"/>
      <c r="O338" s="5">
        <f>VLOOKUP($A338,'ПР 01-02.21'!$A$11:$BB$406,15,FALSE)+VLOOKUP($A338,'ПР 21-22'!$A$11:$BB$406,15,FALSE)-VLOOKUP($A338,'ПР 01-02.22'!$A$11:$BB$378,15,FALSE)</f>
        <v>0</v>
      </c>
      <c r="P338" s="5">
        <f>VLOOKUP($A338,'ПР 01-02.21'!$A$11:$BB$406,16,FALSE)+VLOOKUP($A338,'ПР 21-22'!$A$11:$BB$406,16,FALSE)-VLOOKUP($A338,'ПР 01-02.22'!$A$11:$BB$378,16,FALSE)</f>
        <v>0</v>
      </c>
      <c r="Q338" s="443"/>
      <c r="R338" s="5">
        <f>VLOOKUP($A338,'ПР 01-02.21'!$A$11:$BB$406,18,FALSE)+VLOOKUP($A338,'ПР 21-22'!$A$11:$BB$406,18,FALSE)-VLOOKUP($A338,'ПР 01-02.22'!$A$11:$BB$378,18,FALSE)</f>
        <v>0</v>
      </c>
      <c r="S338" s="5">
        <f>VLOOKUP($A338,'ПР 01-02.21'!$A$11:$BB$406,19,FALSE)+VLOOKUP($A338,'ПР 21-22'!$A$11:$BB$406,19,FALSE)-VLOOKUP($A338,'ПР 01-02.22'!$A$11:$BB$378,19,FALSE)</f>
        <v>0</v>
      </c>
      <c r="T338" s="444"/>
      <c r="U338" s="5">
        <f>VLOOKUP($A338,'ПР 01-02.21'!$A$11:$BB$406,21,FALSE)+VLOOKUP($A338,'ПР 21-22'!$A$11:$BB$406,21,FALSE)-VLOOKUP($A338,'ПР 01-02.22'!$A$11:$BB$378,21,FALSE)</f>
        <v>0</v>
      </c>
      <c r="V338" s="5"/>
      <c r="W338" s="5">
        <f>VLOOKUP($A338,'ПР 01-02.21'!$A$11:$BB$406,23,FALSE)+VLOOKUP($A338,'ПР 21-22'!$A$11:$BB$406,23,FALSE)-VLOOKUP($A338,'ПР 01-02.22'!$A$11:$BB$378,23,FALSE)</f>
        <v>1</v>
      </c>
      <c r="X338" s="5">
        <f>VLOOKUP($A338,'ПР 01-02.21'!$A$11:$BB$406,24,FALSE)+VLOOKUP($A338,'ПР 21-22'!$A$11:$BB$406,24,FALSE)-VLOOKUP($A338,'ПР 01-02.22'!$A$11:$BB$378,24,FALSE)</f>
        <v>246.32510951896225</v>
      </c>
      <c r="Y338" s="5">
        <f>VLOOKUP($A338,'ПР 01-02.21'!$A$11:$BB$406,25,FALSE)+VLOOKUP($A338,'ПР 21-22'!$A$11:$BB$406,25,FALSE)-VLOOKUP($A338,'ПР 01-02.22'!$A$11:$BB$378,25,FALSE)</f>
        <v>56</v>
      </c>
      <c r="Z338" s="5"/>
      <c r="AA338" s="5">
        <f>VLOOKUP($A338,'ПР 01-02.21'!$A$11:$BB$406,27,FALSE)+VLOOKUP($A338,'ПР 21-22'!$A$11:$BB$406,27,FALSE)-VLOOKUP($A338,'ПР 01-02.22'!$A$11:$BB$378,27,FALSE)</f>
        <v>0</v>
      </c>
      <c r="AB338" s="5">
        <f>VLOOKUP($A338,'ПР 01-02.21'!$A$11:$BB$406,28,FALSE)+VLOOKUP($A338,'ПР 21-22'!$A$11:$BB$406,28,FALSE)-VLOOKUP($A338,'ПР 01-02.22'!$A$11:$BB$378,28,FALSE)</f>
        <v>0</v>
      </c>
      <c r="AC338" s="5">
        <f>VLOOKUP($A338,'ПР 01-02.21'!$A$11:$BB$406,29,FALSE)+VLOOKUP($A338,'ПР 21-22'!$A$11:$BB$406,29,FALSE)-VLOOKUP($A338,'ПР 01-02.22'!$A$11:$BB$378,29,FALSE)</f>
        <v>0</v>
      </c>
      <c r="AD338" s="5">
        <f>VLOOKUP($A338,'ПР 01-02.21'!$A$11:$BB$406,30,FALSE)+VLOOKUP($A338,'ПР 21-22'!$A$11:$BB$406,30,FALSE)-VLOOKUP($A338,'ПР 01-02.22'!$A$11:$BB$378,30,FALSE)</f>
        <v>8575.0499999999993</v>
      </c>
      <c r="AE338" s="5">
        <f>VLOOKUP($A338,'ПР 01-02.21'!$A$11:$BB$406,31,FALSE)+VLOOKUP($A338,'ПР 21-22'!$A$11:$BB$406,31,FALSE)-VLOOKUP($A338,'ПР 01-02.22'!$A$11:$BB$378,31,FALSE)</f>
        <v>2354.7185714448556</v>
      </c>
      <c r="AF338" s="5">
        <f>VLOOKUP($A338,'ПР 01-02.21'!$A$11:$BB$406,32,FALSE)+VLOOKUP($A338,'ПР 21-22'!$A$11:$BB$406,32,FALSE)-VLOOKUP($A338,'ПР 01-02.22'!$A$11:$BB$378,32,FALSE)</f>
        <v>3412</v>
      </c>
      <c r="AG338" s="40"/>
      <c r="AH338" s="5">
        <f>VLOOKUP($A338,'ПР 01-02.21'!$A$11:$BB$406,34,FALSE)+VLOOKUP($A338,'ПР 21-22'!$A$11:$BB$406,34,FALSE)-VLOOKUP($A338,'ПР 01-02.22'!$A$11:$BB$378,34,FALSE)</f>
        <v>2745.3908163525998</v>
      </c>
      <c r="AI338" s="5">
        <f>VLOOKUP($A338,'ПР 01-02.21'!$A$11:$BB$406,35,FALSE)+VLOOKUP($A338,'ПР 21-22'!$A$11:$BB$406,35,FALSE)-VLOOKUP($A338,'ПР 01-02.22'!$A$11:$BB$378,35,FALSE)</f>
        <v>4205</v>
      </c>
      <c r="AJ338" s="40"/>
      <c r="AK338" s="5">
        <f>VLOOKUP($A338,'ПР 01-02.21'!$A$11:$BB$406,37,FALSE)+VLOOKUP($A338,'ПР 21-22'!$A$11:$BB$406,37,FALSE)-VLOOKUP($A338,'ПР 01-02.22'!$A$11:$BB$378,37,FALSE)</f>
        <v>1495.3773248727739</v>
      </c>
      <c r="AL338" s="5">
        <f>VLOOKUP($A338,'ПР 01-02.21'!$A$11:$BB$406,38,FALSE)+VLOOKUP($A338,'ПР 21-22'!$A$11:$BB$406,38,FALSE)-VLOOKUP($A338,'ПР 01-02.22'!$A$11:$BB$378,38,FALSE)</f>
        <v>0</v>
      </c>
      <c r="AM338" s="40"/>
      <c r="AN338" s="5">
        <f>VLOOKUP($A338,'ПР 01-02.21'!$A$11:$BB$406,40,FALSE)+VLOOKUP($A338,'ПР 21-22'!$A$11:$BB$406,40,FALSE)-VLOOKUP($A338,'ПР 01-02.22'!$A$11:$BB$378,40,FALSE)</f>
        <v>1829.1651379245534</v>
      </c>
      <c r="AO338" s="5">
        <f>VLOOKUP($A338,'ПР 01-02.21'!$A$11:$BB$406,41,FALSE)+VLOOKUP($A338,'ПР 21-22'!$A$11:$BB$406,41,FALSE)-VLOOKUP($A338,'ПР 01-02.22'!$A$11:$BB$378,41,FALSE)</f>
        <v>0</v>
      </c>
      <c r="AP338" s="40"/>
      <c r="AQ338" s="5">
        <f>VLOOKUP($A338,'ПР 01-02.21'!$A$11:$BB$406,43,FALSE)+VLOOKUP($A338,'ПР 21-22'!$A$11:$BB$406,43,FALSE)-VLOOKUP($A338,'ПР 01-02.22'!$A$11:$BB$378,43,FALSE)</f>
        <v>0</v>
      </c>
      <c r="AR338" s="5">
        <f>VLOOKUP($A338,'ПР 01-02.21'!$A$11:$BB$406,44,FALSE)+VLOOKUP($A338,'ПР 21-22'!$A$11:$BB$406,44,FALSE)-VLOOKUP($A338,'ПР 01-02.22'!$A$11:$BB$378,44,FALSE)</f>
        <v>0</v>
      </c>
      <c r="AS338" s="40"/>
      <c r="AT338" s="5">
        <f>VLOOKUP($A338,'ПР 01-02.21'!$A$11:$BB$406,46,FALSE)+VLOOKUP($A338,'ПР 21-22'!$A$11:$BB$406,46,FALSE)-VLOOKUP($A338,'ПР 01-02.22'!$A$11:$BB$378,46,FALSE)</f>
        <v>1488.3459327101168</v>
      </c>
      <c r="AU338" s="5">
        <f>VLOOKUP($A338,'ПР 01-02.21'!$A$11:$BB$406,47,FALSE)+VLOOKUP($A338,'ПР 21-22'!$A$11:$BB$406,47,FALSE)-VLOOKUP($A338,'ПР 01-02.22'!$A$11:$BB$378,47,FALSE)</f>
        <v>4402</v>
      </c>
      <c r="AV338" s="40"/>
      <c r="AW338" s="5">
        <f>VLOOKUP($A338,'ПР 01-02.21'!$A$11:$BB$406,49,FALSE)+VLOOKUP($A338,'ПР 21-22'!$A$11:$BB$406,49,FALSE)-VLOOKUP($A338,'ПР 01-02.22'!$A$11:$BB$378,49,FALSE)</f>
        <v>121.89040000000001</v>
      </c>
      <c r="AX338" s="5">
        <f>VLOOKUP($A338,'ПР 01-02.21'!$A$11:$BB$406,50,FALSE)+VLOOKUP($A338,'ПР 21-22'!$A$11:$BB$406,50,FALSE)-VLOOKUP($A338,'ПР 01-02.22'!$A$11:$BB$378,50,FALSE)</f>
        <v>0</v>
      </c>
      <c r="AY338" s="40"/>
      <c r="AZ338" s="40">
        <f t="shared" si="21"/>
        <v>10034.8881833049</v>
      </c>
      <c r="BA338" s="40">
        <f t="shared" si="21"/>
        <v>12019</v>
      </c>
      <c r="BB338" s="55">
        <f t="shared" si="24"/>
        <v>1984.1118166951001</v>
      </c>
      <c r="BD338" s="2">
        <v>2</v>
      </c>
      <c r="BF338" s="325">
        <v>150000816</v>
      </c>
    </row>
    <row r="339" spans="1:58" ht="24.9" customHeight="1" x14ac:dyDescent="0.3">
      <c r="A339" s="325">
        <v>150000829</v>
      </c>
      <c r="B339" s="445" t="s">
        <v>231</v>
      </c>
      <c r="C339" s="27">
        <v>4</v>
      </c>
      <c r="D339" s="101" t="s">
        <v>455</v>
      </c>
      <c r="E339" s="279">
        <f>'побудинковий звіт'!E337</f>
        <v>2581.1999999999998</v>
      </c>
      <c r="F339" s="441">
        <f>'побудинковий звіт'!AS337</f>
        <v>22065.247050187467</v>
      </c>
      <c r="G339" s="441">
        <f t="shared" si="22"/>
        <v>10888.108807915502</v>
      </c>
      <c r="H339" s="73">
        <f t="shared" si="23"/>
        <v>-11177.138242271965</v>
      </c>
      <c r="I339" s="5">
        <f>VLOOKUP($A339,'ПР 01-02.21'!$A$11:$BB$406,9,FALSE)+VLOOKUP($A339,'ПР 21-22'!$A$11:$BB$406,9,FALSE)-VLOOKUP($A339,'ПР 01-02.22'!$A$11:$BB$378,9,FALSE)</f>
        <v>0</v>
      </c>
      <c r="J339" s="5">
        <f>VLOOKUP($A339,'ПР 01-02.21'!$A$11:$BB$406,10,FALSE)+VLOOKUP($A339,'ПР 21-22'!$A$11:$BB$406,10,FALSE)-VLOOKUP($A339,'ПР 01-02.22'!$A$11:$BB$378,10,FALSE)</f>
        <v>0</v>
      </c>
      <c r="K339" s="446"/>
      <c r="L339" s="5">
        <f>VLOOKUP($A339,'ПР 01-02.21'!$A$11:$BB$406,12,FALSE)+VLOOKUP($A339,'ПР 21-22'!$A$11:$BB$406,12,FALSE)-VLOOKUP($A339,'ПР 01-02.22'!$A$11:$BB$378,12,FALSE)</f>
        <v>0</v>
      </c>
      <c r="M339" s="5">
        <f>VLOOKUP($A339,'ПР 01-02.21'!$A$11:$BB$406,13,FALSE)+VLOOKUP($A339,'ПР 21-22'!$A$11:$BB$406,13,FALSE)-VLOOKUP($A339,'ПР 01-02.22'!$A$11:$BB$378,13,FALSE)</f>
        <v>0</v>
      </c>
      <c r="N339" s="38"/>
      <c r="O339" s="5">
        <f>VLOOKUP($A339,'ПР 01-02.21'!$A$11:$BB$406,15,FALSE)+VLOOKUP($A339,'ПР 21-22'!$A$11:$BB$406,15,FALSE)-VLOOKUP($A339,'ПР 01-02.22'!$A$11:$BB$378,15,FALSE)</f>
        <v>0</v>
      </c>
      <c r="P339" s="5">
        <f>VLOOKUP($A339,'ПР 01-02.21'!$A$11:$BB$406,16,FALSE)+VLOOKUP($A339,'ПР 21-22'!$A$11:$BB$406,16,FALSE)-VLOOKUP($A339,'ПР 01-02.22'!$A$11:$BB$378,16,FALSE)</f>
        <v>0</v>
      </c>
      <c r="Q339" s="443"/>
      <c r="R339" s="5">
        <f>VLOOKUP($A339,'ПР 01-02.21'!$A$11:$BB$406,18,FALSE)+VLOOKUP($A339,'ПР 21-22'!$A$11:$BB$406,18,FALSE)-VLOOKUP($A339,'ПР 01-02.22'!$A$11:$BB$378,18,FALSE)</f>
        <v>0</v>
      </c>
      <c r="S339" s="5">
        <f>VLOOKUP($A339,'ПР 01-02.21'!$A$11:$BB$406,19,FALSE)+VLOOKUP($A339,'ПР 21-22'!$A$11:$BB$406,19,FALSE)-VLOOKUP($A339,'ПР 01-02.22'!$A$11:$BB$378,19,FALSE)</f>
        <v>0</v>
      </c>
      <c r="T339" s="444"/>
      <c r="U339" s="5">
        <f>VLOOKUP($A339,'ПР 01-02.21'!$A$11:$BB$406,21,FALSE)+VLOOKUP($A339,'ПР 21-22'!$A$11:$BB$406,21,FALSE)-VLOOKUP($A339,'ПР 01-02.22'!$A$11:$BB$378,21,FALSE)</f>
        <v>0</v>
      </c>
      <c r="V339" s="5"/>
      <c r="W339" s="5">
        <f>VLOOKUP($A339,'ПР 01-02.21'!$A$11:$BB$406,23,FALSE)+VLOOKUP($A339,'ПР 21-22'!$A$11:$BB$406,23,FALSE)-VLOOKUP($A339,'ПР 01-02.22'!$A$11:$BB$378,23,FALSE)</f>
        <v>1</v>
      </c>
      <c r="X339" s="5">
        <f>VLOOKUP($A339,'ПР 01-02.21'!$A$11:$BB$406,24,FALSE)+VLOOKUP($A339,'ПР 21-22'!$A$11:$BB$406,24,FALSE)-VLOOKUP($A339,'ПР 01-02.22'!$A$11:$BB$378,24,FALSE)</f>
        <v>6188.1088079155024</v>
      </c>
      <c r="Y339" s="5">
        <f>VLOOKUP($A339,'ПР 01-02.21'!$A$11:$BB$406,25,FALSE)+VLOOKUP($A339,'ПР 21-22'!$A$11:$BB$406,25,FALSE)-VLOOKUP($A339,'ПР 01-02.22'!$A$11:$BB$378,25,FALSE)</f>
        <v>2640</v>
      </c>
      <c r="Z339" s="5"/>
      <c r="AA339" s="5">
        <f>VLOOKUP($A339,'ПР 01-02.21'!$A$11:$BB$406,27,FALSE)+VLOOKUP($A339,'ПР 21-22'!$A$11:$BB$406,27,FALSE)-VLOOKUP($A339,'ПР 01-02.22'!$A$11:$BB$378,27,FALSE)</f>
        <v>0</v>
      </c>
      <c r="AB339" s="5">
        <f>VLOOKUP($A339,'ПР 01-02.21'!$A$11:$BB$406,28,FALSE)+VLOOKUP($A339,'ПР 21-22'!$A$11:$BB$406,28,FALSE)-VLOOKUP($A339,'ПР 01-02.22'!$A$11:$BB$378,28,FALSE)</f>
        <v>0</v>
      </c>
      <c r="AC339" s="5">
        <f>VLOOKUP($A339,'ПР 01-02.21'!$A$11:$BB$406,29,FALSE)+VLOOKUP($A339,'ПР 21-22'!$A$11:$BB$406,29,FALSE)-VLOOKUP($A339,'ПР 01-02.22'!$A$11:$BB$378,29,FALSE)</f>
        <v>1253</v>
      </c>
      <c r="AD339" s="5">
        <f>VLOOKUP($A339,'ПР 01-02.21'!$A$11:$BB$406,30,FALSE)+VLOOKUP($A339,'ПР 21-22'!$A$11:$BB$406,30,FALSE)-VLOOKUP($A339,'ПР 01-02.22'!$A$11:$BB$378,30,FALSE)</f>
        <v>807</v>
      </c>
      <c r="AE339" s="5">
        <f>VLOOKUP($A339,'ПР 01-02.21'!$A$11:$BB$406,31,FALSE)+VLOOKUP($A339,'ПР 21-22'!$A$11:$BB$406,31,FALSE)-VLOOKUP($A339,'ПР 01-02.22'!$A$11:$BB$378,31,FALSE)</f>
        <v>2393.714907596549</v>
      </c>
      <c r="AF339" s="5">
        <f>VLOOKUP($A339,'ПР 01-02.21'!$A$11:$BB$406,32,FALSE)+VLOOKUP($A339,'ПР 21-22'!$A$11:$BB$406,32,FALSE)-VLOOKUP($A339,'ПР 01-02.22'!$A$11:$BB$378,32,FALSE)</f>
        <v>465</v>
      </c>
      <c r="AG339" s="40"/>
      <c r="AH339" s="5">
        <f>VLOOKUP($A339,'ПР 01-02.21'!$A$11:$BB$406,34,FALSE)+VLOOKUP($A339,'ПР 21-22'!$A$11:$BB$406,34,FALSE)-VLOOKUP($A339,'ПР 01-02.22'!$A$11:$BB$378,34,FALSE)</f>
        <v>2755.8399634821567</v>
      </c>
      <c r="AI339" s="5">
        <f>VLOOKUP($A339,'ПР 01-02.21'!$A$11:$BB$406,35,FALSE)+VLOOKUP($A339,'ПР 21-22'!$A$11:$BB$406,35,FALSE)-VLOOKUP($A339,'ПР 01-02.22'!$A$11:$BB$378,35,FALSE)</f>
        <v>0</v>
      </c>
      <c r="AJ339" s="40"/>
      <c r="AK339" s="5">
        <f>VLOOKUP($A339,'ПР 01-02.21'!$A$11:$BB$406,37,FALSE)+VLOOKUP($A339,'ПР 21-22'!$A$11:$BB$406,37,FALSE)-VLOOKUP($A339,'ПР 01-02.22'!$A$11:$BB$378,37,FALSE)</f>
        <v>1456.265952020427</v>
      </c>
      <c r="AL339" s="5">
        <f>VLOOKUP($A339,'ПР 01-02.21'!$A$11:$BB$406,38,FALSE)+VLOOKUP($A339,'ПР 21-22'!$A$11:$BB$406,38,FALSE)-VLOOKUP($A339,'ПР 01-02.22'!$A$11:$BB$378,38,FALSE)</f>
        <v>0</v>
      </c>
      <c r="AM339" s="40"/>
      <c r="AN339" s="5">
        <f>VLOOKUP($A339,'ПР 01-02.21'!$A$11:$BB$406,40,FALSE)+VLOOKUP($A339,'ПР 21-22'!$A$11:$BB$406,40,FALSE)-VLOOKUP($A339,'ПР 01-02.22'!$A$11:$BB$378,40,FALSE)</f>
        <v>0</v>
      </c>
      <c r="AO339" s="5">
        <f>VLOOKUP($A339,'ПР 01-02.21'!$A$11:$BB$406,41,FALSE)+VLOOKUP($A339,'ПР 21-22'!$A$11:$BB$406,41,FALSE)-VLOOKUP($A339,'ПР 01-02.22'!$A$11:$BB$378,41,FALSE)</f>
        <v>0</v>
      </c>
      <c r="AP339" s="40"/>
      <c r="AQ339" s="5">
        <f>VLOOKUP($A339,'ПР 01-02.21'!$A$11:$BB$406,43,FALSE)+VLOOKUP($A339,'ПР 21-22'!$A$11:$BB$406,43,FALSE)-VLOOKUP($A339,'ПР 01-02.22'!$A$11:$BB$378,43,FALSE)</f>
        <v>0</v>
      </c>
      <c r="AR339" s="5">
        <f>VLOOKUP($A339,'ПР 01-02.21'!$A$11:$BB$406,44,FALSE)+VLOOKUP($A339,'ПР 21-22'!$A$11:$BB$406,44,FALSE)-VLOOKUP($A339,'ПР 01-02.22'!$A$11:$BB$378,44,FALSE)</f>
        <v>0</v>
      </c>
      <c r="AS339" s="40"/>
      <c r="AT339" s="5">
        <f>VLOOKUP($A339,'ПР 01-02.21'!$A$11:$BB$406,46,FALSE)+VLOOKUP($A339,'ПР 21-22'!$A$11:$BB$406,46,FALSE)-VLOOKUP($A339,'ПР 01-02.22'!$A$11:$BB$378,46,FALSE)</f>
        <v>1494.71659387761</v>
      </c>
      <c r="AU339" s="5">
        <f>VLOOKUP($A339,'ПР 01-02.21'!$A$11:$BB$406,47,FALSE)+VLOOKUP($A339,'ПР 21-22'!$A$11:$BB$406,47,FALSE)-VLOOKUP($A339,'ПР 01-02.22'!$A$11:$BB$378,47,FALSE)</f>
        <v>511</v>
      </c>
      <c r="AV339" s="40"/>
      <c r="AW339" s="5">
        <f>VLOOKUP($A339,'ПР 01-02.21'!$A$11:$BB$406,49,FALSE)+VLOOKUP($A339,'ПР 21-22'!$A$11:$BB$406,49,FALSE)-VLOOKUP($A339,'ПР 01-02.22'!$A$11:$BB$378,49,FALSE)</f>
        <v>129.29599999999999</v>
      </c>
      <c r="AX339" s="5">
        <f>VLOOKUP($A339,'ПР 01-02.21'!$A$11:$BB$406,50,FALSE)+VLOOKUP($A339,'ПР 21-22'!$A$11:$BB$406,50,FALSE)-VLOOKUP($A339,'ПР 01-02.22'!$A$11:$BB$378,50,FALSE)</f>
        <v>0</v>
      </c>
      <c r="AY339" s="40"/>
      <c r="AZ339" s="40">
        <f t="shared" si="21"/>
        <v>8229.8334169767422</v>
      </c>
      <c r="BA339" s="40">
        <f t="shared" si="21"/>
        <v>976</v>
      </c>
      <c r="BB339" s="55">
        <f t="shared" si="24"/>
        <v>-7253.8334169767422</v>
      </c>
      <c r="BD339" s="2">
        <v>2</v>
      </c>
      <c r="BF339" s="325">
        <v>150000829</v>
      </c>
    </row>
    <row r="340" spans="1:58" ht="24.9" customHeight="1" x14ac:dyDescent="0.3">
      <c r="A340" s="325">
        <v>150000797</v>
      </c>
      <c r="B340" s="445" t="s">
        <v>232</v>
      </c>
      <c r="C340" s="27">
        <v>4</v>
      </c>
      <c r="D340" s="101" t="s">
        <v>455</v>
      </c>
      <c r="E340" s="279">
        <f>'побудинковий звіт'!E338</f>
        <v>5513</v>
      </c>
      <c r="F340" s="441">
        <f>'побудинковий звіт'!AS338</f>
        <v>61983.877061130006</v>
      </c>
      <c r="G340" s="441">
        <f t="shared" si="22"/>
        <v>28419.061741237252</v>
      </c>
      <c r="H340" s="73">
        <f t="shared" si="23"/>
        <v>-33564.815319892754</v>
      </c>
      <c r="I340" s="5">
        <f>VLOOKUP($A340,'ПР 01-02.21'!$A$11:$BB$406,9,FALSE)+VLOOKUP($A340,'ПР 21-22'!$A$11:$BB$406,9,FALSE)-VLOOKUP($A340,'ПР 01-02.22'!$A$11:$BB$378,9,FALSE)</f>
        <v>3.7</v>
      </c>
      <c r="J340" s="5">
        <f>VLOOKUP($A340,'ПР 01-02.21'!$A$11:$BB$406,10,FALSE)+VLOOKUP($A340,'ПР 21-22'!$A$11:$BB$406,10,FALSE)-VLOOKUP($A340,'ПР 01-02.22'!$A$11:$BB$378,10,FALSE)</f>
        <v>8464.09</v>
      </c>
      <c r="K340" s="446"/>
      <c r="L340" s="5">
        <f>VLOOKUP($A340,'ПР 01-02.21'!$A$11:$BB$406,12,FALSE)+VLOOKUP($A340,'ПР 21-22'!$A$11:$BB$406,12,FALSE)-VLOOKUP($A340,'ПР 01-02.22'!$A$11:$BB$378,12,FALSE)</f>
        <v>0</v>
      </c>
      <c r="M340" s="5">
        <f>VLOOKUP($A340,'ПР 01-02.21'!$A$11:$BB$406,13,FALSE)+VLOOKUP($A340,'ПР 21-22'!$A$11:$BB$406,13,FALSE)-VLOOKUP($A340,'ПР 01-02.22'!$A$11:$BB$378,13,FALSE)</f>
        <v>8393</v>
      </c>
      <c r="N340" s="38"/>
      <c r="O340" s="5">
        <f>VLOOKUP($A340,'ПР 01-02.21'!$A$11:$BB$406,15,FALSE)+VLOOKUP($A340,'ПР 21-22'!$A$11:$BB$406,15,FALSE)-VLOOKUP($A340,'ПР 01-02.22'!$A$11:$BB$378,15,FALSE)</f>
        <v>0</v>
      </c>
      <c r="P340" s="5">
        <f>VLOOKUP($A340,'ПР 01-02.21'!$A$11:$BB$406,16,FALSE)+VLOOKUP($A340,'ПР 21-22'!$A$11:$BB$406,16,FALSE)-VLOOKUP($A340,'ПР 01-02.22'!$A$11:$BB$378,16,FALSE)</f>
        <v>0</v>
      </c>
      <c r="Q340" s="443"/>
      <c r="R340" s="5">
        <f>VLOOKUP($A340,'ПР 01-02.21'!$A$11:$BB$406,18,FALSE)+VLOOKUP($A340,'ПР 21-22'!$A$11:$BB$406,18,FALSE)-VLOOKUP($A340,'ПР 01-02.22'!$A$11:$BB$378,18,FALSE)</f>
        <v>0</v>
      </c>
      <c r="S340" s="5">
        <f>VLOOKUP($A340,'ПР 01-02.21'!$A$11:$BB$406,19,FALSE)+VLOOKUP($A340,'ПР 21-22'!$A$11:$BB$406,19,FALSE)-VLOOKUP($A340,'ПР 01-02.22'!$A$11:$BB$378,19,FALSE)</f>
        <v>0</v>
      </c>
      <c r="T340" s="444"/>
      <c r="U340" s="5">
        <f>VLOOKUP($A340,'ПР 01-02.21'!$A$11:$BB$406,21,FALSE)+VLOOKUP($A340,'ПР 21-22'!$A$11:$BB$406,21,FALSE)-VLOOKUP($A340,'ПР 01-02.22'!$A$11:$BB$378,21,FALSE)</f>
        <v>0</v>
      </c>
      <c r="V340" s="5"/>
      <c r="W340" s="5">
        <f>VLOOKUP($A340,'ПР 01-02.21'!$A$11:$BB$406,23,FALSE)+VLOOKUP($A340,'ПР 21-22'!$A$11:$BB$406,23,FALSE)-VLOOKUP($A340,'ПР 01-02.22'!$A$11:$BB$378,23,FALSE)</f>
        <v>0</v>
      </c>
      <c r="X340" s="5">
        <f>VLOOKUP($A340,'ПР 01-02.21'!$A$11:$BB$406,24,FALSE)+VLOOKUP($A340,'ПР 21-22'!$A$11:$BB$406,24,FALSE)-VLOOKUP($A340,'ПР 01-02.22'!$A$11:$BB$378,24,FALSE)</f>
        <v>1741.9717412372524</v>
      </c>
      <c r="Y340" s="5">
        <f>VLOOKUP($A340,'ПР 01-02.21'!$A$11:$BB$406,25,FALSE)+VLOOKUP($A340,'ПР 21-22'!$A$11:$BB$406,25,FALSE)-VLOOKUP($A340,'ПР 01-02.22'!$A$11:$BB$378,25,FALSE)</f>
        <v>2605</v>
      </c>
      <c r="Z340" s="5"/>
      <c r="AA340" s="5">
        <f>VLOOKUP($A340,'ПР 01-02.21'!$A$11:$BB$406,27,FALSE)+VLOOKUP($A340,'ПР 21-22'!$A$11:$BB$406,27,FALSE)-VLOOKUP($A340,'ПР 01-02.22'!$A$11:$BB$378,27,FALSE)</f>
        <v>0</v>
      </c>
      <c r="AB340" s="5">
        <f>VLOOKUP($A340,'ПР 01-02.21'!$A$11:$BB$406,28,FALSE)+VLOOKUP($A340,'ПР 21-22'!$A$11:$BB$406,28,FALSE)-VLOOKUP($A340,'ПР 01-02.22'!$A$11:$BB$378,28,FALSE)</f>
        <v>4702</v>
      </c>
      <c r="AC340" s="5">
        <f>VLOOKUP($A340,'ПР 01-02.21'!$A$11:$BB$406,29,FALSE)+VLOOKUP($A340,'ПР 21-22'!$A$11:$BB$406,29,FALSE)-VLOOKUP($A340,'ПР 01-02.22'!$A$11:$BB$378,29,FALSE)</f>
        <v>0</v>
      </c>
      <c r="AD340" s="5">
        <f>VLOOKUP($A340,'ПР 01-02.21'!$A$11:$BB$406,30,FALSE)+VLOOKUP($A340,'ПР 21-22'!$A$11:$BB$406,30,FALSE)-VLOOKUP($A340,'ПР 01-02.22'!$A$11:$BB$378,30,FALSE)</f>
        <v>2513</v>
      </c>
      <c r="AE340" s="5">
        <f>VLOOKUP($A340,'ПР 01-02.21'!$A$11:$BB$406,31,FALSE)+VLOOKUP($A340,'ПР 21-22'!$A$11:$BB$406,31,FALSE)-VLOOKUP($A340,'ПР 01-02.22'!$A$11:$BB$378,31,FALSE)</f>
        <v>4834.3231815636591</v>
      </c>
      <c r="AF340" s="5">
        <f>VLOOKUP($A340,'ПР 01-02.21'!$A$11:$BB$406,32,FALSE)+VLOOKUP($A340,'ПР 21-22'!$A$11:$BB$406,32,FALSE)-VLOOKUP($A340,'ПР 01-02.22'!$A$11:$BB$378,32,FALSE)</f>
        <v>4036</v>
      </c>
      <c r="AG340" s="40"/>
      <c r="AH340" s="5">
        <f>VLOOKUP($A340,'ПР 01-02.21'!$A$11:$BB$406,34,FALSE)+VLOOKUP($A340,'ПР 21-22'!$A$11:$BB$406,34,FALSE)-VLOOKUP($A340,'ПР 01-02.22'!$A$11:$BB$378,34,FALSE)</f>
        <v>6756.0189228787012</v>
      </c>
      <c r="AI340" s="5">
        <f>VLOOKUP($A340,'ПР 01-02.21'!$A$11:$BB$406,35,FALSE)+VLOOKUP($A340,'ПР 21-22'!$A$11:$BB$406,35,FALSE)-VLOOKUP($A340,'ПР 01-02.22'!$A$11:$BB$378,35,FALSE)</f>
        <v>104</v>
      </c>
      <c r="AJ340" s="40"/>
      <c r="AK340" s="5">
        <f>VLOOKUP($A340,'ПР 01-02.21'!$A$11:$BB$406,37,FALSE)+VLOOKUP($A340,'ПР 21-22'!$A$11:$BB$406,37,FALSE)-VLOOKUP($A340,'ПР 01-02.22'!$A$11:$BB$378,37,FALSE)</f>
        <v>2417.5782058588311</v>
      </c>
      <c r="AL340" s="5">
        <f>VLOOKUP($A340,'ПР 01-02.21'!$A$11:$BB$406,38,FALSE)+VLOOKUP($A340,'ПР 21-22'!$A$11:$BB$406,38,FALSE)-VLOOKUP($A340,'ПР 01-02.22'!$A$11:$BB$378,38,FALSE)</f>
        <v>12012</v>
      </c>
      <c r="AM340" s="40"/>
      <c r="AN340" s="5">
        <f>VLOOKUP($A340,'ПР 01-02.21'!$A$11:$BB$406,40,FALSE)+VLOOKUP($A340,'ПР 21-22'!$A$11:$BB$406,40,FALSE)-VLOOKUP($A340,'ПР 01-02.22'!$A$11:$BB$378,40,FALSE)</f>
        <v>0</v>
      </c>
      <c r="AO340" s="5">
        <f>VLOOKUP($A340,'ПР 01-02.21'!$A$11:$BB$406,41,FALSE)+VLOOKUP($A340,'ПР 21-22'!$A$11:$BB$406,41,FALSE)-VLOOKUP($A340,'ПР 01-02.22'!$A$11:$BB$378,41,FALSE)</f>
        <v>1667</v>
      </c>
      <c r="AP340" s="40"/>
      <c r="AQ340" s="5">
        <f>VLOOKUP($A340,'ПР 01-02.21'!$A$11:$BB$406,43,FALSE)+VLOOKUP($A340,'ПР 21-22'!$A$11:$BB$406,43,FALSE)-VLOOKUP($A340,'ПР 01-02.22'!$A$11:$BB$378,43,FALSE)</f>
        <v>0</v>
      </c>
      <c r="AR340" s="5">
        <f>VLOOKUP($A340,'ПР 01-02.21'!$A$11:$BB$406,44,FALSE)+VLOOKUP($A340,'ПР 21-22'!$A$11:$BB$406,44,FALSE)-VLOOKUP($A340,'ПР 01-02.22'!$A$11:$BB$378,44,FALSE)</f>
        <v>0</v>
      </c>
      <c r="AS340" s="40"/>
      <c r="AT340" s="5">
        <f>VLOOKUP($A340,'ПР 01-02.21'!$A$11:$BB$406,46,FALSE)+VLOOKUP($A340,'ПР 21-22'!$A$11:$BB$406,46,FALSE)-VLOOKUP($A340,'ПР 01-02.22'!$A$11:$BB$378,46,FALSE)</f>
        <v>6948.6705725325282</v>
      </c>
      <c r="AU340" s="5">
        <f>VLOOKUP($A340,'ПР 01-02.21'!$A$11:$BB$406,47,FALSE)+VLOOKUP($A340,'ПР 21-22'!$A$11:$BB$406,47,FALSE)-VLOOKUP($A340,'ПР 01-02.22'!$A$11:$BB$378,47,FALSE)</f>
        <v>2104</v>
      </c>
      <c r="AV340" s="40"/>
      <c r="AW340" s="5">
        <f>VLOOKUP($A340,'ПР 01-02.21'!$A$11:$BB$406,49,FALSE)+VLOOKUP($A340,'ПР 21-22'!$A$11:$BB$406,49,FALSE)-VLOOKUP($A340,'ПР 01-02.22'!$A$11:$BB$378,49,FALSE)</f>
        <v>226.756</v>
      </c>
      <c r="AX340" s="5">
        <f>VLOOKUP($A340,'ПР 01-02.21'!$A$11:$BB$406,50,FALSE)+VLOOKUP($A340,'ПР 21-22'!$A$11:$BB$406,50,FALSE)-VLOOKUP($A340,'ПР 01-02.22'!$A$11:$BB$378,50,FALSE)</f>
        <v>0</v>
      </c>
      <c r="AY340" s="40"/>
      <c r="AZ340" s="40">
        <f t="shared" si="21"/>
        <v>21183.346882833721</v>
      </c>
      <c r="BA340" s="40">
        <f t="shared" si="21"/>
        <v>19923</v>
      </c>
      <c r="BB340" s="55">
        <f t="shared" si="24"/>
        <v>-1260.3468828337209</v>
      </c>
      <c r="BD340" s="2">
        <v>2</v>
      </c>
      <c r="BF340" s="325">
        <v>150000797</v>
      </c>
    </row>
    <row r="341" spans="1:58" ht="24.9" customHeight="1" x14ac:dyDescent="0.3">
      <c r="A341" s="325">
        <v>150000705</v>
      </c>
      <c r="B341" s="445" t="s">
        <v>142</v>
      </c>
      <c r="C341" s="27">
        <v>1</v>
      </c>
      <c r="D341" s="101" t="s">
        <v>455</v>
      </c>
      <c r="E341" s="279">
        <f>'побудинковий звіт'!E339</f>
        <v>240.6</v>
      </c>
      <c r="F341" s="441">
        <f>'побудинковий звіт'!AS339</f>
        <v>0</v>
      </c>
      <c r="G341" s="441">
        <f t="shared" si="22"/>
        <v>0</v>
      </c>
      <c r="H341" s="73">
        <f t="shared" si="23"/>
        <v>0</v>
      </c>
      <c r="I341" s="5"/>
      <c r="J341" s="5"/>
      <c r="K341" s="446"/>
      <c r="L341" s="5"/>
      <c r="M341" s="5"/>
      <c r="N341" s="38"/>
      <c r="O341" s="5"/>
      <c r="P341" s="5"/>
      <c r="Q341" s="443"/>
      <c r="R341" s="5"/>
      <c r="S341" s="5"/>
      <c r="T341" s="444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40"/>
      <c r="AH341" s="5"/>
      <c r="AI341" s="5"/>
      <c r="AJ341" s="40"/>
      <c r="AK341" s="5"/>
      <c r="AL341" s="5"/>
      <c r="AM341" s="40"/>
      <c r="AN341" s="5"/>
      <c r="AO341" s="5"/>
      <c r="AP341" s="40"/>
      <c r="AQ341" s="5"/>
      <c r="AR341" s="5"/>
      <c r="AS341" s="40"/>
      <c r="AT341" s="5"/>
      <c r="AU341" s="5"/>
      <c r="AV341" s="40"/>
      <c r="AW341" s="5"/>
      <c r="AX341" s="5"/>
      <c r="AY341" s="40"/>
      <c r="AZ341" s="40">
        <f t="shared" si="21"/>
        <v>0</v>
      </c>
      <c r="BA341" s="40">
        <f t="shared" si="21"/>
        <v>0</v>
      </c>
      <c r="BB341" s="55">
        <f t="shared" si="24"/>
        <v>0</v>
      </c>
      <c r="BD341" s="2">
        <v>3</v>
      </c>
      <c r="BF341" s="325">
        <v>150000705</v>
      </c>
    </row>
    <row r="342" spans="1:58" ht="24.9" customHeight="1" x14ac:dyDescent="0.3">
      <c r="A342" s="325">
        <v>150000709</v>
      </c>
      <c r="B342" s="445" t="s">
        <v>143</v>
      </c>
      <c r="C342" s="27">
        <v>1</v>
      </c>
      <c r="D342" s="101" t="s">
        <v>455</v>
      </c>
      <c r="E342" s="279">
        <f>'побудинковий звіт'!E340</f>
        <v>201.1</v>
      </c>
      <c r="F342" s="441">
        <f>'побудинковий звіт'!AS340</f>
        <v>1925.2558053888908</v>
      </c>
      <c r="G342" s="441">
        <f t="shared" si="22"/>
        <v>0</v>
      </c>
      <c r="H342" s="73">
        <f t="shared" si="23"/>
        <v>-1925.2558053888908</v>
      </c>
      <c r="I342" s="5">
        <f>VLOOKUP($A342,'ПР 01-02.21'!$A$11:$BB$406,9,FALSE)+VLOOKUP($A342,'ПР 21-22'!$A$11:$BB$406,9,FALSE)-VLOOKUP($A342,'ПР 01-02.22'!$A$11:$BB$378,9,FALSE)</f>
        <v>0</v>
      </c>
      <c r="J342" s="5">
        <f>VLOOKUP($A342,'ПР 01-02.21'!$A$11:$BB$406,10,FALSE)+VLOOKUP($A342,'ПР 21-22'!$A$11:$BB$406,10,FALSE)-VLOOKUP($A342,'ПР 01-02.22'!$A$11:$BB$378,10,FALSE)</f>
        <v>0</v>
      </c>
      <c r="K342" s="446"/>
      <c r="L342" s="5">
        <f>VLOOKUP($A342,'ПР 01-02.21'!$A$11:$BB$406,12,FALSE)+VLOOKUP($A342,'ПР 21-22'!$A$11:$BB$406,12,FALSE)-VLOOKUP($A342,'ПР 01-02.22'!$A$11:$BB$378,12,FALSE)</f>
        <v>0</v>
      </c>
      <c r="M342" s="5">
        <f>VLOOKUP($A342,'ПР 01-02.21'!$A$11:$BB$406,13,FALSE)+VLOOKUP($A342,'ПР 21-22'!$A$11:$BB$406,13,FALSE)-VLOOKUP($A342,'ПР 01-02.22'!$A$11:$BB$378,13,FALSE)</f>
        <v>0</v>
      </c>
      <c r="N342" s="38"/>
      <c r="O342" s="5">
        <f>VLOOKUP($A342,'ПР 01-02.21'!$A$11:$BB$406,15,FALSE)+VLOOKUP($A342,'ПР 21-22'!$A$11:$BB$406,15,FALSE)-VLOOKUP($A342,'ПР 01-02.22'!$A$11:$BB$378,15,FALSE)</f>
        <v>0</v>
      </c>
      <c r="P342" s="5">
        <f>VLOOKUP($A342,'ПР 01-02.21'!$A$11:$BB$406,16,FALSE)+VLOOKUP($A342,'ПР 21-22'!$A$11:$BB$406,16,FALSE)-VLOOKUP($A342,'ПР 01-02.22'!$A$11:$BB$378,16,FALSE)</f>
        <v>0</v>
      </c>
      <c r="Q342" s="443"/>
      <c r="R342" s="5">
        <f>VLOOKUP($A342,'ПР 01-02.21'!$A$11:$BB$406,18,FALSE)+VLOOKUP($A342,'ПР 21-22'!$A$11:$BB$406,18,FALSE)-VLOOKUP($A342,'ПР 01-02.22'!$A$11:$BB$378,18,FALSE)</f>
        <v>0</v>
      </c>
      <c r="S342" s="5">
        <f>VLOOKUP($A342,'ПР 01-02.21'!$A$11:$BB$406,19,FALSE)+VLOOKUP($A342,'ПР 21-22'!$A$11:$BB$406,19,FALSE)-VLOOKUP($A342,'ПР 01-02.22'!$A$11:$BB$378,19,FALSE)</f>
        <v>0</v>
      </c>
      <c r="T342" s="444"/>
      <c r="U342" s="5">
        <f>VLOOKUP($A342,'ПР 01-02.21'!$A$11:$BB$406,21,FALSE)+VLOOKUP($A342,'ПР 21-22'!$A$11:$BB$406,21,FALSE)-VLOOKUP($A342,'ПР 01-02.22'!$A$11:$BB$378,21,FALSE)</f>
        <v>0</v>
      </c>
      <c r="V342" s="5"/>
      <c r="W342" s="5">
        <f>VLOOKUP($A342,'ПР 01-02.21'!$A$11:$BB$406,23,FALSE)+VLOOKUP($A342,'ПР 21-22'!$A$11:$BB$406,23,FALSE)-VLOOKUP($A342,'ПР 01-02.22'!$A$11:$BB$378,23,FALSE)</f>
        <v>0</v>
      </c>
      <c r="X342" s="5">
        <f>VLOOKUP($A342,'ПР 01-02.21'!$A$11:$BB$406,24,FALSE)+VLOOKUP($A342,'ПР 21-22'!$A$11:$BB$406,24,FALSE)-VLOOKUP($A342,'ПР 01-02.22'!$A$11:$BB$378,24,FALSE)</f>
        <v>0</v>
      </c>
      <c r="Y342" s="5">
        <f>VLOOKUP($A342,'ПР 01-02.21'!$A$11:$BB$406,25,FALSE)+VLOOKUP($A342,'ПР 21-22'!$A$11:$BB$406,25,FALSE)-VLOOKUP($A342,'ПР 01-02.22'!$A$11:$BB$378,25,FALSE)</f>
        <v>0</v>
      </c>
      <c r="Z342" s="5"/>
      <c r="AA342" s="5">
        <f>VLOOKUP($A342,'ПР 01-02.21'!$A$11:$BB$406,27,FALSE)+VLOOKUP($A342,'ПР 21-22'!$A$11:$BB$406,27,FALSE)-VLOOKUP($A342,'ПР 01-02.22'!$A$11:$BB$378,27,FALSE)</f>
        <v>0</v>
      </c>
      <c r="AB342" s="5">
        <f>VLOOKUP($A342,'ПР 01-02.21'!$A$11:$BB$406,28,FALSE)+VLOOKUP($A342,'ПР 21-22'!$A$11:$BB$406,28,FALSE)-VLOOKUP($A342,'ПР 01-02.22'!$A$11:$BB$378,28,FALSE)</f>
        <v>0</v>
      </c>
      <c r="AC342" s="5">
        <f>VLOOKUP($A342,'ПР 01-02.21'!$A$11:$BB$406,29,FALSE)+VLOOKUP($A342,'ПР 21-22'!$A$11:$BB$406,29,FALSE)-VLOOKUP($A342,'ПР 01-02.22'!$A$11:$BB$378,29,FALSE)</f>
        <v>0</v>
      </c>
      <c r="AD342" s="5">
        <f>VLOOKUP($A342,'ПР 01-02.21'!$A$11:$BB$406,30,FALSE)+VLOOKUP($A342,'ПР 21-22'!$A$11:$BB$406,30,FALSE)-VLOOKUP($A342,'ПР 01-02.22'!$A$11:$BB$378,30,FALSE)</f>
        <v>0</v>
      </c>
      <c r="AE342" s="5">
        <f>VLOOKUP($A342,'ПР 01-02.21'!$A$11:$BB$406,31,FALSE)+VLOOKUP($A342,'ПР 21-22'!$A$11:$BB$406,31,FALSE)-VLOOKUP($A342,'ПР 01-02.22'!$A$11:$BB$378,31,FALSE)</f>
        <v>0</v>
      </c>
      <c r="AF342" s="5">
        <f>VLOOKUP($A342,'ПР 01-02.21'!$A$11:$BB$406,32,FALSE)+VLOOKUP($A342,'ПР 21-22'!$A$11:$BB$406,32,FALSE)-VLOOKUP($A342,'ПР 01-02.22'!$A$11:$BB$378,32,FALSE)</f>
        <v>0</v>
      </c>
      <c r="AG342" s="40"/>
      <c r="AH342" s="5">
        <f>VLOOKUP($A342,'ПР 01-02.21'!$A$11:$BB$406,34,FALSE)+VLOOKUP($A342,'ПР 21-22'!$A$11:$BB$406,34,FALSE)-VLOOKUP($A342,'ПР 01-02.22'!$A$11:$BB$378,34,FALSE)</f>
        <v>0</v>
      </c>
      <c r="AI342" s="5">
        <f>VLOOKUP($A342,'ПР 01-02.21'!$A$11:$BB$406,35,FALSE)+VLOOKUP($A342,'ПР 21-22'!$A$11:$BB$406,35,FALSE)-VLOOKUP($A342,'ПР 01-02.22'!$A$11:$BB$378,35,FALSE)</f>
        <v>0</v>
      </c>
      <c r="AJ342" s="40"/>
      <c r="AK342" s="5">
        <f>VLOOKUP($A342,'ПР 01-02.21'!$A$11:$BB$406,37,FALSE)+VLOOKUP($A342,'ПР 21-22'!$A$11:$BB$406,37,FALSE)-VLOOKUP($A342,'ПР 01-02.22'!$A$11:$BB$378,37,FALSE)</f>
        <v>0</v>
      </c>
      <c r="AL342" s="5">
        <f>VLOOKUP($A342,'ПР 01-02.21'!$A$11:$BB$406,38,FALSE)+VLOOKUP($A342,'ПР 21-22'!$A$11:$BB$406,38,FALSE)-VLOOKUP($A342,'ПР 01-02.22'!$A$11:$BB$378,38,FALSE)</f>
        <v>0</v>
      </c>
      <c r="AM342" s="40"/>
      <c r="AN342" s="5">
        <f>VLOOKUP($A342,'ПР 01-02.21'!$A$11:$BB$406,40,FALSE)+VLOOKUP($A342,'ПР 21-22'!$A$11:$BB$406,40,FALSE)-VLOOKUP($A342,'ПР 01-02.22'!$A$11:$BB$378,40,FALSE)</f>
        <v>0</v>
      </c>
      <c r="AO342" s="5">
        <f>VLOOKUP($A342,'ПР 01-02.21'!$A$11:$BB$406,41,FALSE)+VLOOKUP($A342,'ПР 21-22'!$A$11:$BB$406,41,FALSE)-VLOOKUP($A342,'ПР 01-02.22'!$A$11:$BB$378,41,FALSE)</f>
        <v>0</v>
      </c>
      <c r="AP342" s="40"/>
      <c r="AQ342" s="5">
        <f>VLOOKUP($A342,'ПР 01-02.21'!$A$11:$BB$406,43,FALSE)+VLOOKUP($A342,'ПР 21-22'!$A$11:$BB$406,43,FALSE)-VLOOKUP($A342,'ПР 01-02.22'!$A$11:$BB$378,43,FALSE)</f>
        <v>0</v>
      </c>
      <c r="AR342" s="5">
        <f>VLOOKUP($A342,'ПР 01-02.21'!$A$11:$BB$406,44,FALSE)+VLOOKUP($A342,'ПР 21-22'!$A$11:$BB$406,44,FALSE)-VLOOKUP($A342,'ПР 01-02.22'!$A$11:$BB$378,44,FALSE)</f>
        <v>0</v>
      </c>
      <c r="AS342" s="40"/>
      <c r="AT342" s="5">
        <f>VLOOKUP($A342,'ПР 01-02.21'!$A$11:$BB$406,46,FALSE)+VLOOKUP($A342,'ПР 21-22'!$A$11:$BB$406,46,FALSE)-VLOOKUP($A342,'ПР 01-02.22'!$A$11:$BB$378,46,FALSE)</f>
        <v>0</v>
      </c>
      <c r="AU342" s="5">
        <f>VLOOKUP($A342,'ПР 01-02.21'!$A$11:$BB$406,47,FALSE)+VLOOKUP($A342,'ПР 21-22'!$A$11:$BB$406,47,FALSE)-VLOOKUP($A342,'ПР 01-02.22'!$A$11:$BB$378,47,FALSE)</f>
        <v>0</v>
      </c>
      <c r="AV342" s="40"/>
      <c r="AW342" s="5">
        <f>VLOOKUP($A342,'ПР 01-02.21'!$A$11:$BB$406,49,FALSE)+VLOOKUP($A342,'ПР 21-22'!$A$11:$BB$406,49,FALSE)-VLOOKUP($A342,'ПР 01-02.22'!$A$11:$BB$378,49,FALSE)</f>
        <v>10.044</v>
      </c>
      <c r="AX342" s="5">
        <f>VLOOKUP($A342,'ПР 01-02.21'!$A$11:$BB$406,50,FALSE)+VLOOKUP($A342,'ПР 21-22'!$A$11:$BB$406,50,FALSE)-VLOOKUP($A342,'ПР 01-02.22'!$A$11:$BB$378,50,FALSE)</f>
        <v>0</v>
      </c>
      <c r="AY342" s="40"/>
      <c r="AZ342" s="40">
        <f t="shared" si="21"/>
        <v>10.044</v>
      </c>
      <c r="BA342" s="40">
        <f t="shared" si="21"/>
        <v>0</v>
      </c>
      <c r="BB342" s="55">
        <f t="shared" si="24"/>
        <v>-10.044</v>
      </c>
      <c r="BD342" s="2">
        <v>3</v>
      </c>
      <c r="BF342" s="325">
        <v>150000709</v>
      </c>
    </row>
    <row r="343" spans="1:58" ht="24.9" customHeight="1" x14ac:dyDescent="0.3">
      <c r="A343" s="325">
        <v>150000706</v>
      </c>
      <c r="B343" s="445" t="s">
        <v>144</v>
      </c>
      <c r="C343" s="27">
        <v>1</v>
      </c>
      <c r="D343" s="101" t="s">
        <v>455</v>
      </c>
      <c r="E343" s="279">
        <f>'побудинковий звіт'!E341</f>
        <v>243.32</v>
      </c>
      <c r="F343" s="441">
        <f>'побудинковий звіт'!AS341</f>
        <v>2290.7506050717902</v>
      </c>
      <c r="G343" s="441">
        <f t="shared" si="22"/>
        <v>0</v>
      </c>
      <c r="H343" s="73">
        <f t="shared" si="23"/>
        <v>-2290.7506050717902</v>
      </c>
      <c r="I343" s="5">
        <f>VLOOKUP($A343,'ПР 01-02.21'!$A$11:$BB$406,9,FALSE)+VLOOKUP($A343,'ПР 21-22'!$A$11:$BB$406,9,FALSE)-VLOOKUP($A343,'ПР 01-02.22'!$A$11:$BB$378,9,FALSE)</f>
        <v>0</v>
      </c>
      <c r="J343" s="5">
        <f>VLOOKUP($A343,'ПР 01-02.21'!$A$11:$BB$406,10,FALSE)+VLOOKUP($A343,'ПР 21-22'!$A$11:$BB$406,10,FALSE)-VLOOKUP($A343,'ПР 01-02.22'!$A$11:$BB$378,10,FALSE)</f>
        <v>0</v>
      </c>
      <c r="K343" s="446"/>
      <c r="L343" s="5">
        <f>VLOOKUP($A343,'ПР 01-02.21'!$A$11:$BB$406,12,FALSE)+VLOOKUP($A343,'ПР 21-22'!$A$11:$BB$406,12,FALSE)-VLOOKUP($A343,'ПР 01-02.22'!$A$11:$BB$378,12,FALSE)</f>
        <v>0</v>
      </c>
      <c r="M343" s="5">
        <f>VLOOKUP($A343,'ПР 01-02.21'!$A$11:$BB$406,13,FALSE)+VLOOKUP($A343,'ПР 21-22'!$A$11:$BB$406,13,FALSE)-VLOOKUP($A343,'ПР 01-02.22'!$A$11:$BB$378,13,FALSE)</f>
        <v>0</v>
      </c>
      <c r="N343" s="38"/>
      <c r="O343" s="5">
        <f>VLOOKUP($A343,'ПР 01-02.21'!$A$11:$BB$406,15,FALSE)+VLOOKUP($A343,'ПР 21-22'!$A$11:$BB$406,15,FALSE)-VLOOKUP($A343,'ПР 01-02.22'!$A$11:$BB$378,15,FALSE)</f>
        <v>0</v>
      </c>
      <c r="P343" s="5">
        <f>VLOOKUP($A343,'ПР 01-02.21'!$A$11:$BB$406,16,FALSE)+VLOOKUP($A343,'ПР 21-22'!$A$11:$BB$406,16,FALSE)-VLOOKUP($A343,'ПР 01-02.22'!$A$11:$BB$378,16,FALSE)</f>
        <v>0</v>
      </c>
      <c r="Q343" s="443"/>
      <c r="R343" s="5">
        <f>VLOOKUP($A343,'ПР 01-02.21'!$A$11:$BB$406,18,FALSE)+VLOOKUP($A343,'ПР 21-22'!$A$11:$BB$406,18,FALSE)-VLOOKUP($A343,'ПР 01-02.22'!$A$11:$BB$378,18,FALSE)</f>
        <v>0</v>
      </c>
      <c r="S343" s="5">
        <f>VLOOKUP($A343,'ПР 01-02.21'!$A$11:$BB$406,19,FALSE)+VLOOKUP($A343,'ПР 21-22'!$A$11:$BB$406,19,FALSE)-VLOOKUP($A343,'ПР 01-02.22'!$A$11:$BB$378,19,FALSE)</f>
        <v>0</v>
      </c>
      <c r="T343" s="444"/>
      <c r="U343" s="5">
        <f>VLOOKUP($A343,'ПР 01-02.21'!$A$11:$BB$406,21,FALSE)+VLOOKUP($A343,'ПР 21-22'!$A$11:$BB$406,21,FALSE)-VLOOKUP($A343,'ПР 01-02.22'!$A$11:$BB$378,21,FALSE)</f>
        <v>0</v>
      </c>
      <c r="V343" s="5"/>
      <c r="W343" s="5">
        <f>VLOOKUP($A343,'ПР 01-02.21'!$A$11:$BB$406,23,FALSE)+VLOOKUP($A343,'ПР 21-22'!$A$11:$BB$406,23,FALSE)-VLOOKUP($A343,'ПР 01-02.22'!$A$11:$BB$378,23,FALSE)</f>
        <v>0</v>
      </c>
      <c r="X343" s="5">
        <f>VLOOKUP($A343,'ПР 01-02.21'!$A$11:$BB$406,24,FALSE)+VLOOKUP($A343,'ПР 21-22'!$A$11:$BB$406,24,FALSE)-VLOOKUP($A343,'ПР 01-02.22'!$A$11:$BB$378,24,FALSE)</f>
        <v>0</v>
      </c>
      <c r="Y343" s="5">
        <f>VLOOKUP($A343,'ПР 01-02.21'!$A$11:$BB$406,25,FALSE)+VLOOKUP($A343,'ПР 21-22'!$A$11:$BB$406,25,FALSE)-VLOOKUP($A343,'ПР 01-02.22'!$A$11:$BB$378,25,FALSE)</f>
        <v>0</v>
      </c>
      <c r="Z343" s="5"/>
      <c r="AA343" s="5">
        <f>VLOOKUP($A343,'ПР 01-02.21'!$A$11:$BB$406,27,FALSE)+VLOOKUP($A343,'ПР 21-22'!$A$11:$BB$406,27,FALSE)-VLOOKUP($A343,'ПР 01-02.22'!$A$11:$BB$378,27,FALSE)</f>
        <v>0</v>
      </c>
      <c r="AB343" s="5">
        <f>VLOOKUP($A343,'ПР 01-02.21'!$A$11:$BB$406,28,FALSE)+VLOOKUP($A343,'ПР 21-22'!$A$11:$BB$406,28,FALSE)-VLOOKUP($A343,'ПР 01-02.22'!$A$11:$BB$378,28,FALSE)</f>
        <v>0</v>
      </c>
      <c r="AC343" s="5">
        <f>VLOOKUP($A343,'ПР 01-02.21'!$A$11:$BB$406,29,FALSE)+VLOOKUP($A343,'ПР 21-22'!$A$11:$BB$406,29,FALSE)-VLOOKUP($A343,'ПР 01-02.22'!$A$11:$BB$378,29,FALSE)</f>
        <v>0</v>
      </c>
      <c r="AD343" s="5">
        <f>VLOOKUP($A343,'ПР 01-02.21'!$A$11:$BB$406,30,FALSE)+VLOOKUP($A343,'ПР 21-22'!$A$11:$BB$406,30,FALSE)-VLOOKUP($A343,'ПР 01-02.22'!$A$11:$BB$378,30,FALSE)</f>
        <v>0</v>
      </c>
      <c r="AE343" s="5">
        <f>VLOOKUP($A343,'ПР 01-02.21'!$A$11:$BB$406,31,FALSE)+VLOOKUP($A343,'ПР 21-22'!$A$11:$BB$406,31,FALSE)-VLOOKUP($A343,'ПР 01-02.22'!$A$11:$BB$378,31,FALSE)</f>
        <v>0</v>
      </c>
      <c r="AF343" s="5">
        <f>VLOOKUP($A343,'ПР 01-02.21'!$A$11:$BB$406,32,FALSE)+VLOOKUP($A343,'ПР 21-22'!$A$11:$BB$406,32,FALSE)-VLOOKUP($A343,'ПР 01-02.22'!$A$11:$BB$378,32,FALSE)</f>
        <v>0</v>
      </c>
      <c r="AG343" s="40"/>
      <c r="AH343" s="5">
        <f>VLOOKUP($A343,'ПР 01-02.21'!$A$11:$BB$406,34,FALSE)+VLOOKUP($A343,'ПР 21-22'!$A$11:$BB$406,34,FALSE)-VLOOKUP($A343,'ПР 01-02.22'!$A$11:$BB$378,34,FALSE)</f>
        <v>0</v>
      </c>
      <c r="AI343" s="5">
        <f>VLOOKUP($A343,'ПР 01-02.21'!$A$11:$BB$406,35,FALSE)+VLOOKUP($A343,'ПР 21-22'!$A$11:$BB$406,35,FALSE)-VLOOKUP($A343,'ПР 01-02.22'!$A$11:$BB$378,35,FALSE)</f>
        <v>0</v>
      </c>
      <c r="AJ343" s="40"/>
      <c r="AK343" s="5">
        <f>VLOOKUP($A343,'ПР 01-02.21'!$A$11:$BB$406,37,FALSE)+VLOOKUP($A343,'ПР 21-22'!$A$11:$BB$406,37,FALSE)-VLOOKUP($A343,'ПР 01-02.22'!$A$11:$BB$378,37,FALSE)</f>
        <v>0</v>
      </c>
      <c r="AL343" s="5">
        <f>VLOOKUP($A343,'ПР 01-02.21'!$A$11:$BB$406,38,FALSE)+VLOOKUP($A343,'ПР 21-22'!$A$11:$BB$406,38,FALSE)-VLOOKUP($A343,'ПР 01-02.22'!$A$11:$BB$378,38,FALSE)</f>
        <v>0</v>
      </c>
      <c r="AM343" s="40"/>
      <c r="AN343" s="5">
        <f>VLOOKUP($A343,'ПР 01-02.21'!$A$11:$BB$406,40,FALSE)+VLOOKUP($A343,'ПР 21-22'!$A$11:$BB$406,40,FALSE)-VLOOKUP($A343,'ПР 01-02.22'!$A$11:$BB$378,40,FALSE)</f>
        <v>0</v>
      </c>
      <c r="AO343" s="5">
        <f>VLOOKUP($A343,'ПР 01-02.21'!$A$11:$BB$406,41,FALSE)+VLOOKUP($A343,'ПР 21-22'!$A$11:$BB$406,41,FALSE)-VLOOKUP($A343,'ПР 01-02.22'!$A$11:$BB$378,41,FALSE)</f>
        <v>0</v>
      </c>
      <c r="AP343" s="40"/>
      <c r="AQ343" s="5">
        <f>VLOOKUP($A343,'ПР 01-02.21'!$A$11:$BB$406,43,FALSE)+VLOOKUP($A343,'ПР 21-22'!$A$11:$BB$406,43,FALSE)-VLOOKUP($A343,'ПР 01-02.22'!$A$11:$BB$378,43,FALSE)</f>
        <v>0</v>
      </c>
      <c r="AR343" s="5">
        <f>VLOOKUP($A343,'ПР 01-02.21'!$A$11:$BB$406,44,FALSE)+VLOOKUP($A343,'ПР 21-22'!$A$11:$BB$406,44,FALSE)-VLOOKUP($A343,'ПР 01-02.22'!$A$11:$BB$378,44,FALSE)</f>
        <v>0</v>
      </c>
      <c r="AS343" s="40"/>
      <c r="AT343" s="5">
        <f>VLOOKUP($A343,'ПР 01-02.21'!$A$11:$BB$406,46,FALSE)+VLOOKUP($A343,'ПР 21-22'!$A$11:$BB$406,46,FALSE)-VLOOKUP($A343,'ПР 01-02.22'!$A$11:$BB$378,46,FALSE)</f>
        <v>0</v>
      </c>
      <c r="AU343" s="5">
        <f>VLOOKUP($A343,'ПР 01-02.21'!$A$11:$BB$406,47,FALSE)+VLOOKUP($A343,'ПР 21-22'!$A$11:$BB$406,47,FALSE)-VLOOKUP($A343,'ПР 01-02.22'!$A$11:$BB$378,47,FALSE)</f>
        <v>0</v>
      </c>
      <c r="AV343" s="40"/>
      <c r="AW343" s="5">
        <f>VLOOKUP($A343,'ПР 01-02.21'!$A$11:$BB$406,49,FALSE)+VLOOKUP($A343,'ПР 21-22'!$A$11:$BB$406,49,FALSE)-VLOOKUP($A343,'ПР 01-02.22'!$A$11:$BB$378,49,FALSE)</f>
        <v>11.732799999999999</v>
      </c>
      <c r="AX343" s="5">
        <f>VLOOKUP($A343,'ПР 01-02.21'!$A$11:$BB$406,50,FALSE)+VLOOKUP($A343,'ПР 21-22'!$A$11:$BB$406,50,FALSE)-VLOOKUP($A343,'ПР 01-02.22'!$A$11:$BB$378,50,FALSE)</f>
        <v>0</v>
      </c>
      <c r="AY343" s="40"/>
      <c r="AZ343" s="40">
        <f t="shared" si="21"/>
        <v>11.732799999999999</v>
      </c>
      <c r="BA343" s="40">
        <f t="shared" si="21"/>
        <v>0</v>
      </c>
      <c r="BB343" s="55">
        <f t="shared" si="24"/>
        <v>-11.732799999999999</v>
      </c>
      <c r="BD343" s="2">
        <v>3</v>
      </c>
      <c r="BF343" s="325">
        <v>150000706</v>
      </c>
    </row>
    <row r="344" spans="1:58" ht="24.9" customHeight="1" x14ac:dyDescent="0.3">
      <c r="A344" s="325">
        <v>150000707</v>
      </c>
      <c r="B344" s="445" t="s">
        <v>145</v>
      </c>
      <c r="C344" s="27">
        <v>1</v>
      </c>
      <c r="D344" s="101" t="s">
        <v>455</v>
      </c>
      <c r="E344" s="279">
        <f>'побудинковий звіт'!E342</f>
        <v>326.10000000000002</v>
      </c>
      <c r="F344" s="441">
        <f>'побудинковий звіт'!AS342</f>
        <v>3089.1923337274129</v>
      </c>
      <c r="G344" s="441">
        <f t="shared" si="22"/>
        <v>0</v>
      </c>
      <c r="H344" s="73">
        <f t="shared" si="23"/>
        <v>-3089.1923337274129</v>
      </c>
      <c r="I344" s="5">
        <f>VLOOKUP($A344,'ПР 01-02.21'!$A$11:$BB$406,9,FALSE)+VLOOKUP($A344,'ПР 21-22'!$A$11:$BB$406,9,FALSE)-VLOOKUP($A344,'ПР 01-02.22'!$A$11:$BB$378,9,FALSE)</f>
        <v>0</v>
      </c>
      <c r="J344" s="5">
        <f>VLOOKUP($A344,'ПР 01-02.21'!$A$11:$BB$406,10,FALSE)+VLOOKUP($A344,'ПР 21-22'!$A$11:$BB$406,10,FALSE)-VLOOKUP($A344,'ПР 01-02.22'!$A$11:$BB$378,10,FALSE)</f>
        <v>0</v>
      </c>
      <c r="K344" s="446"/>
      <c r="L344" s="5">
        <f>VLOOKUP($A344,'ПР 01-02.21'!$A$11:$BB$406,12,FALSE)+VLOOKUP($A344,'ПР 21-22'!$A$11:$BB$406,12,FALSE)-VLOOKUP($A344,'ПР 01-02.22'!$A$11:$BB$378,12,FALSE)</f>
        <v>0</v>
      </c>
      <c r="M344" s="5">
        <f>VLOOKUP($A344,'ПР 01-02.21'!$A$11:$BB$406,13,FALSE)+VLOOKUP($A344,'ПР 21-22'!$A$11:$BB$406,13,FALSE)-VLOOKUP($A344,'ПР 01-02.22'!$A$11:$BB$378,13,FALSE)</f>
        <v>0</v>
      </c>
      <c r="N344" s="38"/>
      <c r="O344" s="5">
        <f>VLOOKUP($A344,'ПР 01-02.21'!$A$11:$BB$406,15,FALSE)+VLOOKUP($A344,'ПР 21-22'!$A$11:$BB$406,15,FALSE)-VLOOKUP($A344,'ПР 01-02.22'!$A$11:$BB$378,15,FALSE)</f>
        <v>0</v>
      </c>
      <c r="P344" s="5">
        <f>VLOOKUP($A344,'ПР 01-02.21'!$A$11:$BB$406,16,FALSE)+VLOOKUP($A344,'ПР 21-22'!$A$11:$BB$406,16,FALSE)-VLOOKUP($A344,'ПР 01-02.22'!$A$11:$BB$378,16,FALSE)</f>
        <v>0</v>
      </c>
      <c r="Q344" s="443"/>
      <c r="R344" s="5">
        <f>VLOOKUP($A344,'ПР 01-02.21'!$A$11:$BB$406,18,FALSE)+VLOOKUP($A344,'ПР 21-22'!$A$11:$BB$406,18,FALSE)-VLOOKUP($A344,'ПР 01-02.22'!$A$11:$BB$378,18,FALSE)</f>
        <v>0</v>
      </c>
      <c r="S344" s="5">
        <f>VLOOKUP($A344,'ПР 01-02.21'!$A$11:$BB$406,19,FALSE)+VLOOKUP($A344,'ПР 21-22'!$A$11:$BB$406,19,FALSE)-VLOOKUP($A344,'ПР 01-02.22'!$A$11:$BB$378,19,FALSE)</f>
        <v>0</v>
      </c>
      <c r="T344" s="444"/>
      <c r="U344" s="5">
        <f>VLOOKUP($A344,'ПР 01-02.21'!$A$11:$BB$406,21,FALSE)+VLOOKUP($A344,'ПР 21-22'!$A$11:$BB$406,21,FALSE)-VLOOKUP($A344,'ПР 01-02.22'!$A$11:$BB$378,21,FALSE)</f>
        <v>0</v>
      </c>
      <c r="V344" s="5"/>
      <c r="W344" s="5">
        <f>VLOOKUP($A344,'ПР 01-02.21'!$A$11:$BB$406,23,FALSE)+VLOOKUP($A344,'ПР 21-22'!$A$11:$BB$406,23,FALSE)-VLOOKUP($A344,'ПР 01-02.22'!$A$11:$BB$378,23,FALSE)</f>
        <v>0</v>
      </c>
      <c r="X344" s="5">
        <f>VLOOKUP($A344,'ПР 01-02.21'!$A$11:$BB$406,24,FALSE)+VLOOKUP($A344,'ПР 21-22'!$A$11:$BB$406,24,FALSE)-VLOOKUP($A344,'ПР 01-02.22'!$A$11:$BB$378,24,FALSE)</f>
        <v>0</v>
      </c>
      <c r="Y344" s="5">
        <f>VLOOKUP($A344,'ПР 01-02.21'!$A$11:$BB$406,25,FALSE)+VLOOKUP($A344,'ПР 21-22'!$A$11:$BB$406,25,FALSE)-VLOOKUP($A344,'ПР 01-02.22'!$A$11:$BB$378,25,FALSE)</f>
        <v>0</v>
      </c>
      <c r="Z344" s="5"/>
      <c r="AA344" s="5">
        <f>VLOOKUP($A344,'ПР 01-02.21'!$A$11:$BB$406,27,FALSE)+VLOOKUP($A344,'ПР 21-22'!$A$11:$BB$406,27,FALSE)-VLOOKUP($A344,'ПР 01-02.22'!$A$11:$BB$378,27,FALSE)</f>
        <v>0</v>
      </c>
      <c r="AB344" s="5">
        <f>VLOOKUP($A344,'ПР 01-02.21'!$A$11:$BB$406,28,FALSE)+VLOOKUP($A344,'ПР 21-22'!$A$11:$BB$406,28,FALSE)-VLOOKUP($A344,'ПР 01-02.22'!$A$11:$BB$378,28,FALSE)</f>
        <v>0</v>
      </c>
      <c r="AC344" s="5">
        <f>VLOOKUP($A344,'ПР 01-02.21'!$A$11:$BB$406,29,FALSE)+VLOOKUP($A344,'ПР 21-22'!$A$11:$BB$406,29,FALSE)-VLOOKUP($A344,'ПР 01-02.22'!$A$11:$BB$378,29,FALSE)</f>
        <v>0</v>
      </c>
      <c r="AD344" s="5">
        <f>VLOOKUP($A344,'ПР 01-02.21'!$A$11:$BB$406,30,FALSE)+VLOOKUP($A344,'ПР 21-22'!$A$11:$BB$406,30,FALSE)-VLOOKUP($A344,'ПР 01-02.22'!$A$11:$BB$378,30,FALSE)</f>
        <v>0</v>
      </c>
      <c r="AE344" s="5">
        <f>VLOOKUP($A344,'ПР 01-02.21'!$A$11:$BB$406,31,FALSE)+VLOOKUP($A344,'ПР 21-22'!$A$11:$BB$406,31,FALSE)-VLOOKUP($A344,'ПР 01-02.22'!$A$11:$BB$378,31,FALSE)</f>
        <v>0</v>
      </c>
      <c r="AF344" s="5">
        <f>VLOOKUP($A344,'ПР 01-02.21'!$A$11:$BB$406,32,FALSE)+VLOOKUP($A344,'ПР 21-22'!$A$11:$BB$406,32,FALSE)-VLOOKUP($A344,'ПР 01-02.22'!$A$11:$BB$378,32,FALSE)</f>
        <v>0</v>
      </c>
      <c r="AG344" s="40"/>
      <c r="AH344" s="5">
        <f>VLOOKUP($A344,'ПР 01-02.21'!$A$11:$BB$406,34,FALSE)+VLOOKUP($A344,'ПР 21-22'!$A$11:$BB$406,34,FALSE)-VLOOKUP($A344,'ПР 01-02.22'!$A$11:$BB$378,34,FALSE)</f>
        <v>0</v>
      </c>
      <c r="AI344" s="5">
        <f>VLOOKUP($A344,'ПР 01-02.21'!$A$11:$BB$406,35,FALSE)+VLOOKUP($A344,'ПР 21-22'!$A$11:$BB$406,35,FALSE)-VLOOKUP($A344,'ПР 01-02.22'!$A$11:$BB$378,35,FALSE)</f>
        <v>0</v>
      </c>
      <c r="AJ344" s="40"/>
      <c r="AK344" s="5">
        <f>VLOOKUP($A344,'ПР 01-02.21'!$A$11:$BB$406,37,FALSE)+VLOOKUP($A344,'ПР 21-22'!$A$11:$BB$406,37,FALSE)-VLOOKUP($A344,'ПР 01-02.22'!$A$11:$BB$378,37,FALSE)</f>
        <v>0</v>
      </c>
      <c r="AL344" s="5">
        <f>VLOOKUP($A344,'ПР 01-02.21'!$A$11:$BB$406,38,FALSE)+VLOOKUP($A344,'ПР 21-22'!$A$11:$BB$406,38,FALSE)-VLOOKUP($A344,'ПР 01-02.22'!$A$11:$BB$378,38,FALSE)</f>
        <v>0</v>
      </c>
      <c r="AM344" s="40"/>
      <c r="AN344" s="5">
        <f>VLOOKUP($A344,'ПР 01-02.21'!$A$11:$BB$406,40,FALSE)+VLOOKUP($A344,'ПР 21-22'!$A$11:$BB$406,40,FALSE)-VLOOKUP($A344,'ПР 01-02.22'!$A$11:$BB$378,40,FALSE)</f>
        <v>0</v>
      </c>
      <c r="AO344" s="5">
        <f>VLOOKUP($A344,'ПР 01-02.21'!$A$11:$BB$406,41,FALSE)+VLOOKUP($A344,'ПР 21-22'!$A$11:$BB$406,41,FALSE)-VLOOKUP($A344,'ПР 01-02.22'!$A$11:$BB$378,41,FALSE)</f>
        <v>0</v>
      </c>
      <c r="AP344" s="40"/>
      <c r="AQ344" s="5">
        <f>VLOOKUP($A344,'ПР 01-02.21'!$A$11:$BB$406,43,FALSE)+VLOOKUP($A344,'ПР 21-22'!$A$11:$BB$406,43,FALSE)-VLOOKUP($A344,'ПР 01-02.22'!$A$11:$BB$378,43,FALSE)</f>
        <v>0</v>
      </c>
      <c r="AR344" s="5">
        <f>VLOOKUP($A344,'ПР 01-02.21'!$A$11:$BB$406,44,FALSE)+VLOOKUP($A344,'ПР 21-22'!$A$11:$BB$406,44,FALSE)-VLOOKUP($A344,'ПР 01-02.22'!$A$11:$BB$378,44,FALSE)</f>
        <v>0</v>
      </c>
      <c r="AS344" s="40"/>
      <c r="AT344" s="5">
        <f>VLOOKUP($A344,'ПР 01-02.21'!$A$11:$BB$406,46,FALSE)+VLOOKUP($A344,'ПР 21-22'!$A$11:$BB$406,46,FALSE)-VLOOKUP($A344,'ПР 01-02.22'!$A$11:$BB$378,46,FALSE)</f>
        <v>0</v>
      </c>
      <c r="AU344" s="5">
        <f>VLOOKUP($A344,'ПР 01-02.21'!$A$11:$BB$406,47,FALSE)+VLOOKUP($A344,'ПР 21-22'!$A$11:$BB$406,47,FALSE)-VLOOKUP($A344,'ПР 01-02.22'!$A$11:$BB$378,47,FALSE)</f>
        <v>0</v>
      </c>
      <c r="AV344" s="40"/>
      <c r="AW344" s="5">
        <f>VLOOKUP($A344,'ПР 01-02.21'!$A$11:$BB$406,49,FALSE)+VLOOKUP($A344,'ПР 21-22'!$A$11:$BB$406,49,FALSE)-VLOOKUP($A344,'ПР 01-02.22'!$A$11:$BB$378,49,FALSE)</f>
        <v>16.044</v>
      </c>
      <c r="AX344" s="5">
        <f>VLOOKUP($A344,'ПР 01-02.21'!$A$11:$BB$406,50,FALSE)+VLOOKUP($A344,'ПР 21-22'!$A$11:$BB$406,50,FALSE)-VLOOKUP($A344,'ПР 01-02.22'!$A$11:$BB$378,50,FALSE)</f>
        <v>0</v>
      </c>
      <c r="AY344" s="40"/>
      <c r="AZ344" s="40">
        <f t="shared" si="21"/>
        <v>16.044</v>
      </c>
      <c r="BA344" s="40">
        <f t="shared" si="21"/>
        <v>0</v>
      </c>
      <c r="BB344" s="55">
        <f t="shared" si="24"/>
        <v>-16.044</v>
      </c>
      <c r="BD344" s="2">
        <v>3</v>
      </c>
      <c r="BF344" s="325">
        <v>150000707</v>
      </c>
    </row>
    <row r="345" spans="1:58" ht="24.9" customHeight="1" x14ac:dyDescent="0.3">
      <c r="A345" s="325">
        <v>150000708</v>
      </c>
      <c r="B345" s="445" t="s">
        <v>146</v>
      </c>
      <c r="C345" s="27">
        <v>1</v>
      </c>
      <c r="D345" s="101" t="s">
        <v>455</v>
      </c>
      <c r="E345" s="279">
        <f>'побудинковий звіт'!E343</f>
        <v>241.4</v>
      </c>
      <c r="F345" s="441">
        <f>'побудинковий звіт'!AS343</f>
        <v>2274.8073048560605</v>
      </c>
      <c r="G345" s="441">
        <f t="shared" si="22"/>
        <v>0</v>
      </c>
      <c r="H345" s="73">
        <f t="shared" si="23"/>
        <v>-2274.8073048560605</v>
      </c>
      <c r="I345" s="5">
        <f>VLOOKUP($A345,'ПР 01-02.21'!$A$11:$BB$406,9,FALSE)+VLOOKUP($A345,'ПР 21-22'!$A$11:$BB$406,9,FALSE)-VLOOKUP($A345,'ПР 01-02.22'!$A$11:$BB$378,9,FALSE)</f>
        <v>0</v>
      </c>
      <c r="J345" s="5">
        <f>VLOOKUP($A345,'ПР 01-02.21'!$A$11:$BB$406,10,FALSE)+VLOOKUP($A345,'ПР 21-22'!$A$11:$BB$406,10,FALSE)-VLOOKUP($A345,'ПР 01-02.22'!$A$11:$BB$378,10,FALSE)</f>
        <v>0</v>
      </c>
      <c r="K345" s="446"/>
      <c r="L345" s="5">
        <f>VLOOKUP($A345,'ПР 01-02.21'!$A$11:$BB$406,12,FALSE)+VLOOKUP($A345,'ПР 21-22'!$A$11:$BB$406,12,FALSE)-VLOOKUP($A345,'ПР 01-02.22'!$A$11:$BB$378,12,FALSE)</f>
        <v>0</v>
      </c>
      <c r="M345" s="5">
        <f>VLOOKUP($A345,'ПР 01-02.21'!$A$11:$BB$406,13,FALSE)+VLOOKUP($A345,'ПР 21-22'!$A$11:$BB$406,13,FALSE)-VLOOKUP($A345,'ПР 01-02.22'!$A$11:$BB$378,13,FALSE)</f>
        <v>0</v>
      </c>
      <c r="N345" s="38"/>
      <c r="O345" s="5">
        <f>VLOOKUP($A345,'ПР 01-02.21'!$A$11:$BB$406,15,FALSE)+VLOOKUP($A345,'ПР 21-22'!$A$11:$BB$406,15,FALSE)-VLOOKUP($A345,'ПР 01-02.22'!$A$11:$BB$378,15,FALSE)</f>
        <v>0</v>
      </c>
      <c r="P345" s="5">
        <f>VLOOKUP($A345,'ПР 01-02.21'!$A$11:$BB$406,16,FALSE)+VLOOKUP($A345,'ПР 21-22'!$A$11:$BB$406,16,FALSE)-VLOOKUP($A345,'ПР 01-02.22'!$A$11:$BB$378,16,FALSE)</f>
        <v>0</v>
      </c>
      <c r="Q345" s="443"/>
      <c r="R345" s="5">
        <f>VLOOKUP($A345,'ПР 01-02.21'!$A$11:$BB$406,18,FALSE)+VLOOKUP($A345,'ПР 21-22'!$A$11:$BB$406,18,FALSE)-VLOOKUP($A345,'ПР 01-02.22'!$A$11:$BB$378,18,FALSE)</f>
        <v>0</v>
      </c>
      <c r="S345" s="5">
        <f>VLOOKUP($A345,'ПР 01-02.21'!$A$11:$BB$406,19,FALSE)+VLOOKUP($A345,'ПР 21-22'!$A$11:$BB$406,19,FALSE)-VLOOKUP($A345,'ПР 01-02.22'!$A$11:$BB$378,19,FALSE)</f>
        <v>0</v>
      </c>
      <c r="T345" s="444"/>
      <c r="U345" s="5">
        <f>VLOOKUP($A345,'ПР 01-02.21'!$A$11:$BB$406,21,FALSE)+VLOOKUP($A345,'ПР 21-22'!$A$11:$BB$406,21,FALSE)-VLOOKUP($A345,'ПР 01-02.22'!$A$11:$BB$378,21,FALSE)</f>
        <v>0</v>
      </c>
      <c r="V345" s="5"/>
      <c r="W345" s="5">
        <f>VLOOKUP($A345,'ПР 01-02.21'!$A$11:$BB$406,23,FALSE)+VLOOKUP($A345,'ПР 21-22'!$A$11:$BB$406,23,FALSE)-VLOOKUP($A345,'ПР 01-02.22'!$A$11:$BB$378,23,FALSE)</f>
        <v>0</v>
      </c>
      <c r="X345" s="5">
        <f>VLOOKUP($A345,'ПР 01-02.21'!$A$11:$BB$406,24,FALSE)+VLOOKUP($A345,'ПР 21-22'!$A$11:$BB$406,24,FALSE)-VLOOKUP($A345,'ПР 01-02.22'!$A$11:$BB$378,24,FALSE)</f>
        <v>0</v>
      </c>
      <c r="Y345" s="5">
        <f>VLOOKUP($A345,'ПР 01-02.21'!$A$11:$BB$406,25,FALSE)+VLOOKUP($A345,'ПР 21-22'!$A$11:$BB$406,25,FALSE)-VLOOKUP($A345,'ПР 01-02.22'!$A$11:$BB$378,25,FALSE)</f>
        <v>0</v>
      </c>
      <c r="Z345" s="5"/>
      <c r="AA345" s="5">
        <f>VLOOKUP($A345,'ПР 01-02.21'!$A$11:$BB$406,27,FALSE)+VLOOKUP($A345,'ПР 21-22'!$A$11:$BB$406,27,FALSE)-VLOOKUP($A345,'ПР 01-02.22'!$A$11:$BB$378,27,FALSE)</f>
        <v>0</v>
      </c>
      <c r="AB345" s="5">
        <f>VLOOKUP($A345,'ПР 01-02.21'!$A$11:$BB$406,28,FALSE)+VLOOKUP($A345,'ПР 21-22'!$A$11:$BB$406,28,FALSE)-VLOOKUP($A345,'ПР 01-02.22'!$A$11:$BB$378,28,FALSE)</f>
        <v>0</v>
      </c>
      <c r="AC345" s="5">
        <f>VLOOKUP($A345,'ПР 01-02.21'!$A$11:$BB$406,29,FALSE)+VLOOKUP($A345,'ПР 21-22'!$A$11:$BB$406,29,FALSE)-VLOOKUP($A345,'ПР 01-02.22'!$A$11:$BB$378,29,FALSE)</f>
        <v>0</v>
      </c>
      <c r="AD345" s="5">
        <f>VLOOKUP($A345,'ПР 01-02.21'!$A$11:$BB$406,30,FALSE)+VLOOKUP($A345,'ПР 21-22'!$A$11:$BB$406,30,FALSE)-VLOOKUP($A345,'ПР 01-02.22'!$A$11:$BB$378,30,FALSE)</f>
        <v>0</v>
      </c>
      <c r="AE345" s="5">
        <f>VLOOKUP($A345,'ПР 01-02.21'!$A$11:$BB$406,31,FALSE)+VLOOKUP($A345,'ПР 21-22'!$A$11:$BB$406,31,FALSE)-VLOOKUP($A345,'ПР 01-02.22'!$A$11:$BB$378,31,FALSE)</f>
        <v>0</v>
      </c>
      <c r="AF345" s="5">
        <f>VLOOKUP($A345,'ПР 01-02.21'!$A$11:$BB$406,32,FALSE)+VLOOKUP($A345,'ПР 21-22'!$A$11:$BB$406,32,FALSE)-VLOOKUP($A345,'ПР 01-02.22'!$A$11:$BB$378,32,FALSE)</f>
        <v>0</v>
      </c>
      <c r="AG345" s="40"/>
      <c r="AH345" s="5">
        <f>VLOOKUP($A345,'ПР 01-02.21'!$A$11:$BB$406,34,FALSE)+VLOOKUP($A345,'ПР 21-22'!$A$11:$BB$406,34,FALSE)-VLOOKUP($A345,'ПР 01-02.22'!$A$11:$BB$378,34,FALSE)</f>
        <v>0</v>
      </c>
      <c r="AI345" s="5">
        <f>VLOOKUP($A345,'ПР 01-02.21'!$A$11:$BB$406,35,FALSE)+VLOOKUP($A345,'ПР 21-22'!$A$11:$BB$406,35,FALSE)-VLOOKUP($A345,'ПР 01-02.22'!$A$11:$BB$378,35,FALSE)</f>
        <v>0</v>
      </c>
      <c r="AJ345" s="40"/>
      <c r="AK345" s="5">
        <f>VLOOKUP($A345,'ПР 01-02.21'!$A$11:$BB$406,37,FALSE)+VLOOKUP($A345,'ПР 21-22'!$A$11:$BB$406,37,FALSE)-VLOOKUP($A345,'ПР 01-02.22'!$A$11:$BB$378,37,FALSE)</f>
        <v>0</v>
      </c>
      <c r="AL345" s="5">
        <f>VLOOKUP($A345,'ПР 01-02.21'!$A$11:$BB$406,38,FALSE)+VLOOKUP($A345,'ПР 21-22'!$A$11:$BB$406,38,FALSE)-VLOOKUP($A345,'ПР 01-02.22'!$A$11:$BB$378,38,FALSE)</f>
        <v>0</v>
      </c>
      <c r="AM345" s="40"/>
      <c r="AN345" s="5">
        <f>VLOOKUP($A345,'ПР 01-02.21'!$A$11:$BB$406,40,FALSE)+VLOOKUP($A345,'ПР 21-22'!$A$11:$BB$406,40,FALSE)-VLOOKUP($A345,'ПР 01-02.22'!$A$11:$BB$378,40,FALSE)</f>
        <v>0</v>
      </c>
      <c r="AO345" s="5">
        <f>VLOOKUP($A345,'ПР 01-02.21'!$A$11:$BB$406,41,FALSE)+VLOOKUP($A345,'ПР 21-22'!$A$11:$BB$406,41,FALSE)-VLOOKUP($A345,'ПР 01-02.22'!$A$11:$BB$378,41,FALSE)</f>
        <v>0</v>
      </c>
      <c r="AP345" s="40"/>
      <c r="AQ345" s="5">
        <f>VLOOKUP($A345,'ПР 01-02.21'!$A$11:$BB$406,43,FALSE)+VLOOKUP($A345,'ПР 21-22'!$A$11:$BB$406,43,FALSE)-VLOOKUP($A345,'ПР 01-02.22'!$A$11:$BB$378,43,FALSE)</f>
        <v>0</v>
      </c>
      <c r="AR345" s="5">
        <f>VLOOKUP($A345,'ПР 01-02.21'!$A$11:$BB$406,44,FALSE)+VLOOKUP($A345,'ПР 21-22'!$A$11:$BB$406,44,FALSE)-VLOOKUP($A345,'ПР 01-02.22'!$A$11:$BB$378,44,FALSE)</f>
        <v>0</v>
      </c>
      <c r="AS345" s="40"/>
      <c r="AT345" s="5">
        <f>VLOOKUP($A345,'ПР 01-02.21'!$A$11:$BB$406,46,FALSE)+VLOOKUP($A345,'ПР 21-22'!$A$11:$BB$406,46,FALSE)-VLOOKUP($A345,'ПР 01-02.22'!$A$11:$BB$378,46,FALSE)</f>
        <v>0</v>
      </c>
      <c r="AU345" s="5">
        <f>VLOOKUP($A345,'ПР 01-02.21'!$A$11:$BB$406,47,FALSE)+VLOOKUP($A345,'ПР 21-22'!$A$11:$BB$406,47,FALSE)-VLOOKUP($A345,'ПР 01-02.22'!$A$11:$BB$378,47,FALSE)</f>
        <v>0</v>
      </c>
      <c r="AV345" s="40"/>
      <c r="AW345" s="5">
        <f>VLOOKUP($A345,'ПР 01-02.21'!$A$11:$BB$406,49,FALSE)+VLOOKUP($A345,'ПР 21-22'!$A$11:$BB$406,49,FALSE)-VLOOKUP($A345,'ПР 01-02.22'!$A$11:$BB$378,49,FALSE)</f>
        <v>11.656000000000001</v>
      </c>
      <c r="AX345" s="5">
        <f>VLOOKUP($A345,'ПР 01-02.21'!$A$11:$BB$406,50,FALSE)+VLOOKUP($A345,'ПР 21-22'!$A$11:$BB$406,50,FALSE)-VLOOKUP($A345,'ПР 01-02.22'!$A$11:$BB$378,50,FALSE)</f>
        <v>0</v>
      </c>
      <c r="AY345" s="40"/>
      <c r="AZ345" s="40">
        <f t="shared" si="21"/>
        <v>11.656000000000001</v>
      </c>
      <c r="BA345" s="40">
        <f t="shared" si="21"/>
        <v>0</v>
      </c>
      <c r="BB345" s="55">
        <f t="shared" si="24"/>
        <v>-11.656000000000001</v>
      </c>
      <c r="BD345" s="2">
        <v>3</v>
      </c>
      <c r="BF345" s="325">
        <v>150000708</v>
      </c>
    </row>
    <row r="346" spans="1:58" ht="24.9" customHeight="1" x14ac:dyDescent="0.3">
      <c r="A346" s="325">
        <v>150000591</v>
      </c>
      <c r="B346" s="445" t="s">
        <v>192</v>
      </c>
      <c r="C346" s="27">
        <v>2</v>
      </c>
      <c r="D346" s="101" t="s">
        <v>455</v>
      </c>
      <c r="E346" s="279">
        <f>'побудинковий звіт'!E344</f>
        <v>148.4</v>
      </c>
      <c r="F346" s="441">
        <f>'побудинковий звіт'!AS344</f>
        <v>2648.5777909087869</v>
      </c>
      <c r="G346" s="441">
        <f t="shared" si="22"/>
        <v>178</v>
      </c>
      <c r="H346" s="73">
        <f t="shared" si="23"/>
        <v>-2470.5777909087869</v>
      </c>
      <c r="I346" s="5">
        <f>VLOOKUP($A346,'ПР 01-02.21'!$A$11:$BB$406,9,FALSE)+VLOOKUP($A346,'ПР 21-22'!$A$11:$BB$406,9,FALSE)-VLOOKUP($A346,'ПР 01-02.22'!$A$11:$BB$378,9,FALSE)</f>
        <v>0</v>
      </c>
      <c r="J346" s="5">
        <f>VLOOKUP($A346,'ПР 01-02.21'!$A$11:$BB$406,10,FALSE)+VLOOKUP($A346,'ПР 21-22'!$A$11:$BB$406,10,FALSE)-VLOOKUP($A346,'ПР 01-02.22'!$A$11:$BB$378,10,FALSE)</f>
        <v>0</v>
      </c>
      <c r="K346" s="446"/>
      <c r="L346" s="5">
        <f>VLOOKUP($A346,'ПР 01-02.21'!$A$11:$BB$406,12,FALSE)+VLOOKUP($A346,'ПР 21-22'!$A$11:$BB$406,12,FALSE)-VLOOKUP($A346,'ПР 01-02.22'!$A$11:$BB$378,12,FALSE)</f>
        <v>0</v>
      </c>
      <c r="M346" s="5">
        <f>VLOOKUP($A346,'ПР 01-02.21'!$A$11:$BB$406,13,FALSE)+VLOOKUP($A346,'ПР 21-22'!$A$11:$BB$406,13,FALSE)-VLOOKUP($A346,'ПР 01-02.22'!$A$11:$BB$378,13,FALSE)</f>
        <v>0</v>
      </c>
      <c r="N346" s="38"/>
      <c r="O346" s="5">
        <f>VLOOKUP($A346,'ПР 01-02.21'!$A$11:$BB$406,15,FALSE)+VLOOKUP($A346,'ПР 21-22'!$A$11:$BB$406,15,FALSE)-VLOOKUP($A346,'ПР 01-02.22'!$A$11:$BB$378,15,FALSE)</f>
        <v>0</v>
      </c>
      <c r="P346" s="5">
        <f>VLOOKUP($A346,'ПР 01-02.21'!$A$11:$BB$406,16,FALSE)+VLOOKUP($A346,'ПР 21-22'!$A$11:$BB$406,16,FALSE)-VLOOKUP($A346,'ПР 01-02.22'!$A$11:$BB$378,16,FALSE)</f>
        <v>0</v>
      </c>
      <c r="Q346" s="443"/>
      <c r="R346" s="5">
        <f>VLOOKUP($A346,'ПР 01-02.21'!$A$11:$BB$406,18,FALSE)+VLOOKUP($A346,'ПР 21-22'!$A$11:$BB$406,18,FALSE)-VLOOKUP($A346,'ПР 01-02.22'!$A$11:$BB$378,18,FALSE)</f>
        <v>0</v>
      </c>
      <c r="S346" s="5">
        <f>VLOOKUP($A346,'ПР 01-02.21'!$A$11:$BB$406,19,FALSE)+VLOOKUP($A346,'ПР 21-22'!$A$11:$BB$406,19,FALSE)-VLOOKUP($A346,'ПР 01-02.22'!$A$11:$BB$378,19,FALSE)</f>
        <v>0</v>
      </c>
      <c r="T346" s="444"/>
      <c r="U346" s="5">
        <f>VLOOKUP($A346,'ПР 01-02.21'!$A$11:$BB$406,21,FALSE)+VLOOKUP($A346,'ПР 21-22'!$A$11:$BB$406,21,FALSE)-VLOOKUP($A346,'ПР 01-02.22'!$A$11:$BB$378,21,FALSE)</f>
        <v>0</v>
      </c>
      <c r="V346" s="5"/>
      <c r="W346" s="5">
        <f>VLOOKUP($A346,'ПР 01-02.21'!$A$11:$BB$406,23,FALSE)+VLOOKUP($A346,'ПР 21-22'!$A$11:$BB$406,23,FALSE)-VLOOKUP($A346,'ПР 01-02.22'!$A$11:$BB$378,23,FALSE)</f>
        <v>0</v>
      </c>
      <c r="X346" s="5">
        <f>VLOOKUP($A346,'ПР 01-02.21'!$A$11:$BB$406,24,FALSE)+VLOOKUP($A346,'ПР 21-22'!$A$11:$BB$406,24,FALSE)-VLOOKUP($A346,'ПР 01-02.22'!$A$11:$BB$378,24,FALSE)</f>
        <v>0</v>
      </c>
      <c r="Y346" s="5">
        <f>VLOOKUP($A346,'ПР 01-02.21'!$A$11:$BB$406,25,FALSE)+VLOOKUP($A346,'ПР 21-22'!$A$11:$BB$406,25,FALSE)-VLOOKUP($A346,'ПР 01-02.22'!$A$11:$BB$378,25,FALSE)</f>
        <v>0</v>
      </c>
      <c r="Z346" s="5"/>
      <c r="AA346" s="5">
        <f>VLOOKUP($A346,'ПР 01-02.21'!$A$11:$BB$406,27,FALSE)+VLOOKUP($A346,'ПР 21-22'!$A$11:$BB$406,27,FALSE)-VLOOKUP($A346,'ПР 01-02.22'!$A$11:$BB$378,27,FALSE)</f>
        <v>0</v>
      </c>
      <c r="AB346" s="5">
        <f>VLOOKUP($A346,'ПР 01-02.21'!$A$11:$BB$406,28,FALSE)+VLOOKUP($A346,'ПР 21-22'!$A$11:$BB$406,28,FALSE)-VLOOKUP($A346,'ПР 01-02.22'!$A$11:$BB$378,28,FALSE)</f>
        <v>0</v>
      </c>
      <c r="AC346" s="5">
        <f>VLOOKUP($A346,'ПР 01-02.21'!$A$11:$BB$406,29,FALSE)+VLOOKUP($A346,'ПР 21-22'!$A$11:$BB$406,29,FALSE)-VLOOKUP($A346,'ПР 01-02.22'!$A$11:$BB$378,29,FALSE)</f>
        <v>0</v>
      </c>
      <c r="AD346" s="5">
        <f>VLOOKUP($A346,'ПР 01-02.21'!$A$11:$BB$406,30,FALSE)+VLOOKUP($A346,'ПР 21-22'!$A$11:$BB$406,30,FALSE)-VLOOKUP($A346,'ПР 01-02.22'!$A$11:$BB$378,30,FALSE)</f>
        <v>178</v>
      </c>
      <c r="AE346" s="5">
        <f>VLOOKUP($A346,'ПР 01-02.21'!$A$11:$BB$406,31,FALSE)+VLOOKUP($A346,'ПР 21-22'!$A$11:$BB$406,31,FALSE)-VLOOKUP($A346,'ПР 01-02.22'!$A$11:$BB$378,31,FALSE)</f>
        <v>304.42963395821272</v>
      </c>
      <c r="AF346" s="5">
        <f>VLOOKUP($A346,'ПР 01-02.21'!$A$11:$BB$406,32,FALSE)+VLOOKUP($A346,'ПР 21-22'!$A$11:$BB$406,32,FALSE)-VLOOKUP($A346,'ПР 01-02.22'!$A$11:$BB$378,32,FALSE)</f>
        <v>0</v>
      </c>
      <c r="AG346" s="40"/>
      <c r="AH346" s="5">
        <f>VLOOKUP($A346,'ПР 01-02.21'!$A$11:$BB$406,34,FALSE)+VLOOKUP($A346,'ПР 21-22'!$A$11:$BB$406,34,FALSE)-VLOOKUP($A346,'ПР 01-02.22'!$A$11:$BB$378,34,FALSE)</f>
        <v>298.41989815848166</v>
      </c>
      <c r="AI346" s="5">
        <f>VLOOKUP($A346,'ПР 01-02.21'!$A$11:$BB$406,35,FALSE)+VLOOKUP($A346,'ПР 21-22'!$A$11:$BB$406,35,FALSE)-VLOOKUP($A346,'ПР 01-02.22'!$A$11:$BB$378,35,FALSE)</f>
        <v>0</v>
      </c>
      <c r="AJ346" s="40"/>
      <c r="AK346" s="5">
        <f>VLOOKUP($A346,'ПР 01-02.21'!$A$11:$BB$406,37,FALSE)+VLOOKUP($A346,'ПР 21-22'!$A$11:$BB$406,37,FALSE)-VLOOKUP($A346,'ПР 01-02.22'!$A$11:$BB$378,37,FALSE)</f>
        <v>55.54087648244969</v>
      </c>
      <c r="AL346" s="5">
        <f>VLOOKUP($A346,'ПР 01-02.21'!$A$11:$BB$406,38,FALSE)+VLOOKUP($A346,'ПР 21-22'!$A$11:$BB$406,38,FALSE)-VLOOKUP($A346,'ПР 01-02.22'!$A$11:$BB$378,38,FALSE)</f>
        <v>0</v>
      </c>
      <c r="AM346" s="40"/>
      <c r="AN346" s="5">
        <f>VLOOKUP($A346,'ПР 01-02.21'!$A$11:$BB$406,40,FALSE)+VLOOKUP($A346,'ПР 21-22'!$A$11:$BB$406,40,FALSE)-VLOOKUP($A346,'ПР 01-02.22'!$A$11:$BB$378,40,FALSE)</f>
        <v>183.29898080220983</v>
      </c>
      <c r="AO346" s="5">
        <f>VLOOKUP($A346,'ПР 01-02.21'!$A$11:$BB$406,41,FALSE)+VLOOKUP($A346,'ПР 21-22'!$A$11:$BB$406,41,FALSE)-VLOOKUP($A346,'ПР 01-02.22'!$A$11:$BB$378,41,FALSE)</f>
        <v>0</v>
      </c>
      <c r="AP346" s="40"/>
      <c r="AQ346" s="5">
        <f>VLOOKUP($A346,'ПР 01-02.21'!$A$11:$BB$406,43,FALSE)+VLOOKUP($A346,'ПР 21-22'!$A$11:$BB$406,43,FALSE)-VLOOKUP($A346,'ПР 01-02.22'!$A$11:$BB$378,43,FALSE)</f>
        <v>0</v>
      </c>
      <c r="AR346" s="5">
        <f>VLOOKUP($A346,'ПР 01-02.21'!$A$11:$BB$406,44,FALSE)+VLOOKUP($A346,'ПР 21-22'!$A$11:$BB$406,44,FALSE)-VLOOKUP($A346,'ПР 01-02.22'!$A$11:$BB$378,44,FALSE)</f>
        <v>0</v>
      </c>
      <c r="AS346" s="40"/>
      <c r="AT346" s="5">
        <f>VLOOKUP($A346,'ПР 01-02.21'!$A$11:$BB$406,46,FALSE)+VLOOKUP($A346,'ПР 21-22'!$A$11:$BB$406,46,FALSE)-VLOOKUP($A346,'ПР 01-02.22'!$A$11:$BB$378,46,FALSE)</f>
        <v>52.599988593320674</v>
      </c>
      <c r="AU346" s="5">
        <f>VLOOKUP($A346,'ПР 01-02.21'!$A$11:$BB$406,47,FALSE)+VLOOKUP($A346,'ПР 21-22'!$A$11:$BB$406,47,FALSE)-VLOOKUP($A346,'ПР 01-02.22'!$A$11:$BB$378,47,FALSE)</f>
        <v>0</v>
      </c>
      <c r="AV346" s="40"/>
      <c r="AW346" s="5">
        <f>VLOOKUP($A346,'ПР 01-02.21'!$A$11:$BB$406,49,FALSE)+VLOOKUP($A346,'ПР 21-22'!$A$11:$BB$406,49,FALSE)-VLOOKUP($A346,'ПР 01-02.22'!$A$11:$BB$378,49,FALSE)</f>
        <v>6.9359999999999999</v>
      </c>
      <c r="AX346" s="5">
        <f>VLOOKUP($A346,'ПР 01-02.21'!$A$11:$BB$406,50,FALSE)+VLOOKUP($A346,'ПР 21-22'!$A$11:$BB$406,50,FALSE)-VLOOKUP($A346,'ПР 01-02.22'!$A$11:$BB$378,50,FALSE)</f>
        <v>0</v>
      </c>
      <c r="AY346" s="40"/>
      <c r="AZ346" s="40">
        <f t="shared" si="21"/>
        <v>901.22537799467455</v>
      </c>
      <c r="BA346" s="40">
        <f t="shared" si="21"/>
        <v>0</v>
      </c>
      <c r="BB346" s="55">
        <f t="shared" si="24"/>
        <v>-901.22537799467455</v>
      </c>
      <c r="BD346" s="2">
        <v>3</v>
      </c>
      <c r="BF346" s="325">
        <v>150000591</v>
      </c>
    </row>
    <row r="347" spans="1:58" ht="24.9" customHeight="1" x14ac:dyDescent="0.3">
      <c r="A347" s="325">
        <v>150000861</v>
      </c>
      <c r="B347" s="445" t="s">
        <v>233</v>
      </c>
      <c r="C347" s="27">
        <v>4</v>
      </c>
      <c r="D347" s="101" t="s">
        <v>455</v>
      </c>
      <c r="E347" s="279">
        <f>'побудинковий звіт'!E345</f>
        <v>3401.3999999999996</v>
      </c>
      <c r="F347" s="441">
        <f>'побудинковий звіт'!AS345</f>
        <v>32182.598508019644</v>
      </c>
      <c r="G347" s="441">
        <f t="shared" si="22"/>
        <v>6017</v>
      </c>
      <c r="H347" s="73">
        <f t="shared" si="23"/>
        <v>-26165.598508019644</v>
      </c>
      <c r="I347" s="5">
        <f>VLOOKUP($A347,'ПР 01-02.21'!$A$11:$BB$406,9,FALSE)+VLOOKUP($A347,'ПР 21-22'!$A$11:$BB$406,9,FALSE)-VLOOKUP($A347,'ПР 01-02.22'!$A$11:$BB$378,9,FALSE)</f>
        <v>11.9</v>
      </c>
      <c r="J347" s="5">
        <f>VLOOKUP($A347,'ПР 01-02.21'!$A$11:$BB$406,10,FALSE)+VLOOKUP($A347,'ПР 21-22'!$A$11:$BB$406,10,FALSE)-VLOOKUP($A347,'ПР 01-02.22'!$A$11:$BB$378,10,FALSE)</f>
        <v>2597</v>
      </c>
      <c r="K347" s="450"/>
      <c r="L347" s="5">
        <f>VLOOKUP($A347,'ПР 01-02.21'!$A$11:$BB$406,12,FALSE)+VLOOKUP($A347,'ПР 21-22'!$A$11:$BB$406,12,FALSE)-VLOOKUP($A347,'ПР 01-02.22'!$A$11:$BB$378,12,FALSE)</f>
        <v>0</v>
      </c>
      <c r="M347" s="5">
        <f>VLOOKUP($A347,'ПР 01-02.21'!$A$11:$BB$406,13,FALSE)+VLOOKUP($A347,'ПР 21-22'!$A$11:$BB$406,13,FALSE)-VLOOKUP($A347,'ПР 01-02.22'!$A$11:$BB$378,13,FALSE)</f>
        <v>0</v>
      </c>
      <c r="N347" s="38"/>
      <c r="O347" s="5">
        <f>VLOOKUP($A347,'ПР 01-02.21'!$A$11:$BB$406,15,FALSE)+VLOOKUP($A347,'ПР 21-22'!$A$11:$BB$406,15,FALSE)-VLOOKUP($A347,'ПР 01-02.22'!$A$11:$BB$378,15,FALSE)</f>
        <v>0</v>
      </c>
      <c r="P347" s="5">
        <f>VLOOKUP($A347,'ПР 01-02.21'!$A$11:$BB$406,16,FALSE)+VLOOKUP($A347,'ПР 21-22'!$A$11:$BB$406,16,FALSE)-VLOOKUP($A347,'ПР 01-02.22'!$A$11:$BB$378,16,FALSE)</f>
        <v>0</v>
      </c>
      <c r="Q347" s="443"/>
      <c r="R347" s="5">
        <f>VLOOKUP($A347,'ПР 01-02.21'!$A$11:$BB$406,18,FALSE)+VLOOKUP($A347,'ПР 21-22'!$A$11:$BB$406,18,FALSE)-VLOOKUP($A347,'ПР 01-02.22'!$A$11:$BB$378,18,FALSE)</f>
        <v>0</v>
      </c>
      <c r="S347" s="5">
        <f>VLOOKUP($A347,'ПР 01-02.21'!$A$11:$BB$406,19,FALSE)+VLOOKUP($A347,'ПР 21-22'!$A$11:$BB$406,19,FALSE)-VLOOKUP($A347,'ПР 01-02.22'!$A$11:$BB$378,19,FALSE)</f>
        <v>0</v>
      </c>
      <c r="T347" s="444"/>
      <c r="U347" s="5">
        <f>VLOOKUP($A347,'ПР 01-02.21'!$A$11:$BB$406,21,FALSE)+VLOOKUP($A347,'ПР 21-22'!$A$11:$BB$406,21,FALSE)-VLOOKUP($A347,'ПР 01-02.22'!$A$11:$BB$378,21,FALSE)</f>
        <v>0</v>
      </c>
      <c r="V347" s="5"/>
      <c r="W347" s="5">
        <f>VLOOKUP($A347,'ПР 01-02.21'!$A$11:$BB$406,23,FALSE)+VLOOKUP($A347,'ПР 21-22'!$A$11:$BB$406,23,FALSE)-VLOOKUP($A347,'ПР 01-02.22'!$A$11:$BB$378,23,FALSE)</f>
        <v>0</v>
      </c>
      <c r="X347" s="5">
        <f>VLOOKUP($A347,'ПР 01-02.21'!$A$11:$BB$406,24,FALSE)+VLOOKUP($A347,'ПР 21-22'!$A$11:$BB$406,24,FALSE)-VLOOKUP($A347,'ПР 01-02.22'!$A$11:$BB$378,24,FALSE)</f>
        <v>0</v>
      </c>
      <c r="Y347" s="5">
        <f>VLOOKUP($A347,'ПР 01-02.21'!$A$11:$BB$406,25,FALSE)+VLOOKUP($A347,'ПР 21-22'!$A$11:$BB$406,25,FALSE)-VLOOKUP($A347,'ПР 01-02.22'!$A$11:$BB$378,25,FALSE)</f>
        <v>446</v>
      </c>
      <c r="Z347" s="5"/>
      <c r="AA347" s="5">
        <f>VLOOKUP($A347,'ПР 01-02.21'!$A$11:$BB$406,27,FALSE)+VLOOKUP($A347,'ПР 21-22'!$A$11:$BB$406,27,FALSE)-VLOOKUP($A347,'ПР 01-02.22'!$A$11:$BB$378,27,FALSE)</f>
        <v>0</v>
      </c>
      <c r="AB347" s="5">
        <f>VLOOKUP($A347,'ПР 01-02.21'!$A$11:$BB$406,28,FALSE)+VLOOKUP($A347,'ПР 21-22'!$A$11:$BB$406,28,FALSE)-VLOOKUP($A347,'ПР 01-02.22'!$A$11:$BB$378,28,FALSE)</f>
        <v>0</v>
      </c>
      <c r="AC347" s="5">
        <f>VLOOKUP($A347,'ПР 01-02.21'!$A$11:$BB$406,29,FALSE)+VLOOKUP($A347,'ПР 21-22'!$A$11:$BB$406,29,FALSE)-VLOOKUP($A347,'ПР 01-02.22'!$A$11:$BB$378,29,FALSE)</f>
        <v>0</v>
      </c>
      <c r="AD347" s="5">
        <f>VLOOKUP($A347,'ПР 01-02.21'!$A$11:$BB$406,30,FALSE)+VLOOKUP($A347,'ПР 21-22'!$A$11:$BB$406,30,FALSE)-VLOOKUP($A347,'ПР 01-02.22'!$A$11:$BB$378,30,FALSE)</f>
        <v>2974</v>
      </c>
      <c r="AE347" s="5">
        <f>VLOOKUP($A347,'ПР 01-02.21'!$A$11:$BB$406,31,FALSE)+VLOOKUP($A347,'ПР 21-22'!$A$11:$BB$406,31,FALSE)-VLOOKUP($A347,'ПР 01-02.22'!$A$11:$BB$378,31,FALSE)</f>
        <v>3427.8279940337889</v>
      </c>
      <c r="AF347" s="5">
        <f>VLOOKUP($A347,'ПР 01-02.21'!$A$11:$BB$406,32,FALSE)+VLOOKUP($A347,'ПР 21-22'!$A$11:$BB$406,32,FALSE)-VLOOKUP($A347,'ПР 01-02.22'!$A$11:$BB$378,32,FALSE)</f>
        <v>625</v>
      </c>
      <c r="AG347" s="40"/>
      <c r="AH347" s="5">
        <f>VLOOKUP($A347,'ПР 01-02.21'!$A$11:$BB$406,34,FALSE)+VLOOKUP($A347,'ПР 21-22'!$A$11:$BB$406,34,FALSE)-VLOOKUP($A347,'ПР 01-02.22'!$A$11:$BB$378,34,FALSE)</f>
        <v>4460.0151935625508</v>
      </c>
      <c r="AI347" s="5">
        <f>VLOOKUP($A347,'ПР 01-02.21'!$A$11:$BB$406,35,FALSE)+VLOOKUP($A347,'ПР 21-22'!$A$11:$BB$406,35,FALSE)-VLOOKUP($A347,'ПР 01-02.22'!$A$11:$BB$378,35,FALSE)</f>
        <v>0</v>
      </c>
      <c r="AJ347" s="40"/>
      <c r="AK347" s="5">
        <f>VLOOKUP($A347,'ПР 01-02.21'!$A$11:$BB$406,37,FALSE)+VLOOKUP($A347,'ПР 21-22'!$A$11:$BB$406,37,FALSE)-VLOOKUP($A347,'ПР 01-02.22'!$A$11:$BB$378,37,FALSE)</f>
        <v>1908.4545027269837</v>
      </c>
      <c r="AL347" s="5">
        <f>VLOOKUP($A347,'ПР 01-02.21'!$A$11:$BB$406,38,FALSE)+VLOOKUP($A347,'ПР 21-22'!$A$11:$BB$406,38,FALSE)-VLOOKUP($A347,'ПР 01-02.22'!$A$11:$BB$378,38,FALSE)</f>
        <v>4320</v>
      </c>
      <c r="AM347" s="40"/>
      <c r="AN347" s="5">
        <f>VLOOKUP($A347,'ПР 01-02.21'!$A$11:$BB$406,40,FALSE)+VLOOKUP($A347,'ПР 21-22'!$A$11:$BB$406,40,FALSE)-VLOOKUP($A347,'ПР 01-02.22'!$A$11:$BB$378,40,FALSE)</f>
        <v>0</v>
      </c>
      <c r="AO347" s="5">
        <f>VLOOKUP($A347,'ПР 01-02.21'!$A$11:$BB$406,41,FALSE)+VLOOKUP($A347,'ПР 21-22'!$A$11:$BB$406,41,FALSE)-VLOOKUP($A347,'ПР 01-02.22'!$A$11:$BB$378,41,FALSE)</f>
        <v>0</v>
      </c>
      <c r="AP347" s="40"/>
      <c r="AQ347" s="5">
        <f>VLOOKUP($A347,'ПР 01-02.21'!$A$11:$BB$406,43,FALSE)+VLOOKUP($A347,'ПР 21-22'!$A$11:$BB$406,43,FALSE)-VLOOKUP($A347,'ПР 01-02.22'!$A$11:$BB$378,43,FALSE)</f>
        <v>0</v>
      </c>
      <c r="AR347" s="5">
        <f>VLOOKUP($A347,'ПР 01-02.21'!$A$11:$BB$406,44,FALSE)+VLOOKUP($A347,'ПР 21-22'!$A$11:$BB$406,44,FALSE)-VLOOKUP($A347,'ПР 01-02.22'!$A$11:$BB$378,44,FALSE)</f>
        <v>0</v>
      </c>
      <c r="AS347" s="40"/>
      <c r="AT347" s="5">
        <f>VLOOKUP($A347,'ПР 01-02.21'!$A$11:$BB$406,46,FALSE)+VLOOKUP($A347,'ПР 21-22'!$A$11:$BB$406,46,FALSE)-VLOOKUP($A347,'ПР 01-02.22'!$A$11:$BB$378,46,FALSE)</f>
        <v>3539.210792238393</v>
      </c>
      <c r="AU347" s="5">
        <f>VLOOKUP($A347,'ПР 01-02.21'!$A$11:$BB$406,47,FALSE)+VLOOKUP($A347,'ПР 21-22'!$A$11:$BB$406,47,FALSE)-VLOOKUP($A347,'ПР 01-02.22'!$A$11:$BB$378,47,FALSE)</f>
        <v>3766</v>
      </c>
      <c r="AV347" s="40"/>
      <c r="AW347" s="5">
        <f>VLOOKUP($A347,'ПР 01-02.21'!$A$11:$BB$406,49,FALSE)+VLOOKUP($A347,'ПР 21-22'!$A$11:$BB$406,49,FALSE)-VLOOKUP($A347,'ПР 01-02.22'!$A$11:$BB$378,49,FALSE)</f>
        <v>165.364</v>
      </c>
      <c r="AX347" s="5">
        <f>VLOOKUP($A347,'ПР 01-02.21'!$A$11:$BB$406,50,FALSE)+VLOOKUP($A347,'ПР 21-22'!$A$11:$BB$406,50,FALSE)-VLOOKUP($A347,'ПР 01-02.22'!$A$11:$BB$378,50,FALSE)</f>
        <v>0</v>
      </c>
      <c r="AY347" s="40"/>
      <c r="AZ347" s="40">
        <f t="shared" si="21"/>
        <v>13500.872482561716</v>
      </c>
      <c r="BA347" s="40">
        <f t="shared" si="21"/>
        <v>8711</v>
      </c>
      <c r="BB347" s="55">
        <f t="shared" si="24"/>
        <v>-4789.8724825617155</v>
      </c>
      <c r="BD347" s="2">
        <v>2</v>
      </c>
      <c r="BF347" s="325">
        <v>150000861</v>
      </c>
    </row>
    <row r="348" spans="1:58" ht="24.9" customHeight="1" x14ac:dyDescent="0.3">
      <c r="A348" s="325">
        <v>150000872</v>
      </c>
      <c r="B348" s="445" t="s">
        <v>234</v>
      </c>
      <c r="C348" s="27">
        <v>4</v>
      </c>
      <c r="D348" s="101" t="s">
        <v>455</v>
      </c>
      <c r="E348" s="279">
        <f>'побудинковий звіт'!E346</f>
        <v>1210.4000000000001</v>
      </c>
      <c r="F348" s="441">
        <f>'побудинковий звіт'!AS346</f>
        <v>10297.121617232984</v>
      </c>
      <c r="G348" s="441">
        <f t="shared" si="22"/>
        <v>6471.1</v>
      </c>
      <c r="H348" s="73">
        <f t="shared" si="23"/>
        <v>-3826.0216172329838</v>
      </c>
      <c r="I348" s="5">
        <f>VLOOKUP($A348,'ПР 01-02.21'!$A$11:$BB$406,9,FALSE)+VLOOKUP($A348,'ПР 21-22'!$A$11:$BB$406,9,FALSE)-VLOOKUP($A348,'ПР 01-02.22'!$A$11:$BB$378,9,FALSE)</f>
        <v>16</v>
      </c>
      <c r="J348" s="5">
        <f>VLOOKUP($A348,'ПР 01-02.21'!$A$11:$BB$406,10,FALSE)+VLOOKUP($A348,'ПР 21-22'!$A$11:$BB$406,10,FALSE)-VLOOKUP($A348,'ПР 01-02.22'!$A$11:$BB$378,10,FALSE)</f>
        <v>5732.1</v>
      </c>
      <c r="K348" s="446"/>
      <c r="L348" s="5">
        <f>VLOOKUP($A348,'ПР 01-02.21'!$A$11:$BB$406,12,FALSE)+VLOOKUP($A348,'ПР 21-22'!$A$11:$BB$406,12,FALSE)-VLOOKUP($A348,'ПР 01-02.22'!$A$11:$BB$378,12,FALSE)</f>
        <v>0</v>
      </c>
      <c r="M348" s="5">
        <f>VLOOKUP($A348,'ПР 01-02.21'!$A$11:$BB$406,13,FALSE)+VLOOKUP($A348,'ПР 21-22'!$A$11:$BB$406,13,FALSE)-VLOOKUP($A348,'ПР 01-02.22'!$A$11:$BB$378,13,FALSE)</f>
        <v>0</v>
      </c>
      <c r="N348" s="38"/>
      <c r="O348" s="5">
        <f>VLOOKUP($A348,'ПР 01-02.21'!$A$11:$BB$406,15,FALSE)+VLOOKUP($A348,'ПР 21-22'!$A$11:$BB$406,15,FALSE)-VLOOKUP($A348,'ПР 01-02.22'!$A$11:$BB$378,15,FALSE)</f>
        <v>0</v>
      </c>
      <c r="P348" s="5">
        <f>VLOOKUP($A348,'ПР 01-02.21'!$A$11:$BB$406,16,FALSE)+VLOOKUP($A348,'ПР 21-22'!$A$11:$BB$406,16,FALSE)-VLOOKUP($A348,'ПР 01-02.22'!$A$11:$BB$378,16,FALSE)</f>
        <v>0</v>
      </c>
      <c r="Q348" s="443"/>
      <c r="R348" s="5">
        <f>VLOOKUP($A348,'ПР 01-02.21'!$A$11:$BB$406,18,FALSE)+VLOOKUP($A348,'ПР 21-22'!$A$11:$BB$406,18,FALSE)-VLOOKUP($A348,'ПР 01-02.22'!$A$11:$BB$378,18,FALSE)</f>
        <v>0</v>
      </c>
      <c r="S348" s="5">
        <f>VLOOKUP($A348,'ПР 01-02.21'!$A$11:$BB$406,19,FALSE)+VLOOKUP($A348,'ПР 21-22'!$A$11:$BB$406,19,FALSE)-VLOOKUP($A348,'ПР 01-02.22'!$A$11:$BB$378,19,FALSE)</f>
        <v>0</v>
      </c>
      <c r="T348" s="444"/>
      <c r="U348" s="5">
        <f>VLOOKUP($A348,'ПР 01-02.21'!$A$11:$BB$406,21,FALSE)+VLOOKUP($A348,'ПР 21-22'!$A$11:$BB$406,21,FALSE)-VLOOKUP($A348,'ПР 01-02.22'!$A$11:$BB$378,21,FALSE)</f>
        <v>0</v>
      </c>
      <c r="V348" s="5"/>
      <c r="W348" s="5">
        <f>VLOOKUP($A348,'ПР 01-02.21'!$A$11:$BB$406,23,FALSE)+VLOOKUP($A348,'ПР 21-22'!$A$11:$BB$406,23,FALSE)-VLOOKUP($A348,'ПР 01-02.22'!$A$11:$BB$378,23,FALSE)</f>
        <v>0</v>
      </c>
      <c r="X348" s="5">
        <f>VLOOKUP($A348,'ПР 01-02.21'!$A$11:$BB$406,24,FALSE)+VLOOKUP($A348,'ПР 21-22'!$A$11:$BB$406,24,FALSE)-VLOOKUP($A348,'ПР 01-02.22'!$A$11:$BB$378,24,FALSE)</f>
        <v>0</v>
      </c>
      <c r="Y348" s="5">
        <f>VLOOKUP($A348,'ПР 01-02.21'!$A$11:$BB$406,25,FALSE)+VLOOKUP($A348,'ПР 21-22'!$A$11:$BB$406,25,FALSE)-VLOOKUP($A348,'ПР 01-02.22'!$A$11:$BB$378,25,FALSE)</f>
        <v>446</v>
      </c>
      <c r="Z348" s="5"/>
      <c r="AA348" s="5">
        <f>VLOOKUP($A348,'ПР 01-02.21'!$A$11:$BB$406,27,FALSE)+VLOOKUP($A348,'ПР 21-22'!$A$11:$BB$406,27,FALSE)-VLOOKUP($A348,'ПР 01-02.22'!$A$11:$BB$378,27,FALSE)</f>
        <v>0</v>
      </c>
      <c r="AB348" s="5">
        <f>VLOOKUP($A348,'ПР 01-02.21'!$A$11:$BB$406,28,FALSE)+VLOOKUP($A348,'ПР 21-22'!$A$11:$BB$406,28,FALSE)-VLOOKUP($A348,'ПР 01-02.22'!$A$11:$BB$378,28,FALSE)</f>
        <v>0</v>
      </c>
      <c r="AC348" s="5">
        <f>VLOOKUP($A348,'ПР 01-02.21'!$A$11:$BB$406,29,FALSE)+VLOOKUP($A348,'ПР 21-22'!$A$11:$BB$406,29,FALSE)-VLOOKUP($A348,'ПР 01-02.22'!$A$11:$BB$378,29,FALSE)</f>
        <v>0</v>
      </c>
      <c r="AD348" s="5">
        <f>VLOOKUP($A348,'ПР 01-02.21'!$A$11:$BB$406,30,FALSE)+VLOOKUP($A348,'ПР 21-22'!$A$11:$BB$406,30,FALSE)-VLOOKUP($A348,'ПР 01-02.22'!$A$11:$BB$378,30,FALSE)</f>
        <v>293</v>
      </c>
      <c r="AE348" s="5">
        <f>VLOOKUP($A348,'ПР 01-02.21'!$A$11:$BB$406,31,FALSE)+VLOOKUP($A348,'ПР 21-22'!$A$11:$BB$406,31,FALSE)-VLOOKUP($A348,'ПР 01-02.22'!$A$11:$BB$378,31,FALSE)</f>
        <v>2300.306258607759</v>
      </c>
      <c r="AF348" s="5">
        <f>VLOOKUP($A348,'ПР 01-02.21'!$A$11:$BB$406,32,FALSE)+VLOOKUP($A348,'ПР 21-22'!$A$11:$BB$406,32,FALSE)-VLOOKUP($A348,'ПР 01-02.22'!$A$11:$BB$378,32,FALSE)</f>
        <v>0</v>
      </c>
      <c r="AG348" s="40"/>
      <c r="AH348" s="5">
        <f>VLOOKUP($A348,'ПР 01-02.21'!$A$11:$BB$406,34,FALSE)+VLOOKUP($A348,'ПР 21-22'!$A$11:$BB$406,34,FALSE)-VLOOKUP($A348,'ПР 01-02.22'!$A$11:$BB$378,34,FALSE)</f>
        <v>3413.6184175131366</v>
      </c>
      <c r="AI348" s="5">
        <f>VLOOKUP($A348,'ПР 01-02.21'!$A$11:$BB$406,35,FALSE)+VLOOKUP($A348,'ПР 21-22'!$A$11:$BB$406,35,FALSE)-VLOOKUP($A348,'ПР 01-02.22'!$A$11:$BB$378,35,FALSE)</f>
        <v>0</v>
      </c>
      <c r="AJ348" s="40"/>
      <c r="AK348" s="5">
        <f>VLOOKUP($A348,'ПР 01-02.21'!$A$11:$BB$406,37,FALSE)+VLOOKUP($A348,'ПР 21-22'!$A$11:$BB$406,37,FALSE)-VLOOKUP($A348,'ПР 01-02.22'!$A$11:$BB$378,37,FALSE)</f>
        <v>780.59380746941861</v>
      </c>
      <c r="AL348" s="5">
        <f>VLOOKUP($A348,'ПР 01-02.21'!$A$11:$BB$406,38,FALSE)+VLOOKUP($A348,'ПР 21-22'!$A$11:$BB$406,38,FALSE)-VLOOKUP($A348,'ПР 01-02.22'!$A$11:$BB$378,38,FALSE)</f>
        <v>1402</v>
      </c>
      <c r="AM348" s="40"/>
      <c r="AN348" s="5">
        <f>VLOOKUP($A348,'ПР 01-02.21'!$A$11:$BB$406,40,FALSE)+VLOOKUP($A348,'ПР 21-22'!$A$11:$BB$406,40,FALSE)-VLOOKUP($A348,'ПР 01-02.22'!$A$11:$BB$378,40,FALSE)</f>
        <v>879.98695489682314</v>
      </c>
      <c r="AO348" s="5">
        <f>VLOOKUP($A348,'ПР 01-02.21'!$A$11:$BB$406,41,FALSE)+VLOOKUP($A348,'ПР 21-22'!$A$11:$BB$406,41,FALSE)-VLOOKUP($A348,'ПР 01-02.22'!$A$11:$BB$378,41,FALSE)</f>
        <v>0</v>
      </c>
      <c r="AP348" s="40"/>
      <c r="AQ348" s="5">
        <f>VLOOKUP($A348,'ПР 01-02.21'!$A$11:$BB$406,43,FALSE)+VLOOKUP($A348,'ПР 21-22'!$A$11:$BB$406,43,FALSE)-VLOOKUP($A348,'ПР 01-02.22'!$A$11:$BB$378,43,FALSE)</f>
        <v>0</v>
      </c>
      <c r="AR348" s="5">
        <f>VLOOKUP($A348,'ПР 01-02.21'!$A$11:$BB$406,44,FALSE)+VLOOKUP($A348,'ПР 21-22'!$A$11:$BB$406,44,FALSE)-VLOOKUP($A348,'ПР 01-02.22'!$A$11:$BB$378,44,FALSE)</f>
        <v>0</v>
      </c>
      <c r="AS348" s="40"/>
      <c r="AT348" s="5">
        <f>VLOOKUP($A348,'ПР 01-02.21'!$A$11:$BB$406,46,FALSE)+VLOOKUP($A348,'ПР 21-22'!$A$11:$BB$406,46,FALSE)-VLOOKUP($A348,'ПР 01-02.22'!$A$11:$BB$378,46,FALSE)</f>
        <v>578.92053738139714</v>
      </c>
      <c r="AU348" s="5">
        <f>VLOOKUP($A348,'ПР 01-02.21'!$A$11:$BB$406,47,FALSE)+VLOOKUP($A348,'ПР 21-22'!$A$11:$BB$406,47,FALSE)-VLOOKUP($A348,'ПР 01-02.22'!$A$11:$BB$378,47,FALSE)</f>
        <v>709</v>
      </c>
      <c r="AV348" s="40"/>
      <c r="AW348" s="5">
        <f>VLOOKUP($A348,'ПР 01-02.21'!$A$11:$BB$406,49,FALSE)+VLOOKUP($A348,'ПР 21-22'!$A$11:$BB$406,49,FALSE)-VLOOKUP($A348,'ПР 01-02.22'!$A$11:$BB$378,49,FALSE)</f>
        <v>60.375600000000006</v>
      </c>
      <c r="AX348" s="5">
        <f>VLOOKUP($A348,'ПР 01-02.21'!$A$11:$BB$406,50,FALSE)+VLOOKUP($A348,'ПР 21-22'!$A$11:$BB$406,50,FALSE)-VLOOKUP($A348,'ПР 01-02.22'!$A$11:$BB$378,50,FALSE)</f>
        <v>0</v>
      </c>
      <c r="AY348" s="40"/>
      <c r="AZ348" s="40">
        <f t="shared" si="21"/>
        <v>8013.801575868536</v>
      </c>
      <c r="BA348" s="40">
        <f t="shared" si="21"/>
        <v>2111</v>
      </c>
      <c r="BB348" s="55">
        <f t="shared" si="24"/>
        <v>-5902.801575868536</v>
      </c>
      <c r="BD348" s="2">
        <v>2</v>
      </c>
      <c r="BF348" s="325">
        <v>150000872</v>
      </c>
    </row>
    <row r="349" spans="1:58" ht="24.9" customHeight="1" x14ac:dyDescent="0.3">
      <c r="A349" s="325">
        <v>150000862</v>
      </c>
      <c r="B349" s="445" t="s">
        <v>235</v>
      </c>
      <c r="C349" s="27">
        <v>4</v>
      </c>
      <c r="D349" s="101" t="s">
        <v>455</v>
      </c>
      <c r="E349" s="279">
        <f>'побудинковий звіт'!E347</f>
        <v>4486.1000000000004</v>
      </c>
      <c r="F349" s="441">
        <f>'побудинковий звіт'!AS347</f>
        <v>35525.222636332874</v>
      </c>
      <c r="G349" s="441">
        <f t="shared" si="22"/>
        <v>6118.101741237253</v>
      </c>
      <c r="H349" s="73">
        <f t="shared" si="23"/>
        <v>-29407.120895095621</v>
      </c>
      <c r="I349" s="5">
        <f>VLOOKUP($A349,'ПР 01-02.21'!$A$11:$BB$406,9,FALSE)+VLOOKUP($A349,'ПР 21-22'!$A$11:$BB$406,9,FALSE)-VLOOKUP($A349,'ПР 01-02.22'!$A$11:$BB$378,9,FALSE)</f>
        <v>5</v>
      </c>
      <c r="J349" s="5">
        <f>VLOOKUP($A349,'ПР 01-02.21'!$A$11:$BB$406,10,FALSE)+VLOOKUP($A349,'ПР 21-22'!$A$11:$BB$406,10,FALSE)-VLOOKUP($A349,'ПР 01-02.22'!$A$11:$BB$378,10,FALSE)</f>
        <v>1228</v>
      </c>
      <c r="K349" s="446"/>
      <c r="L349" s="5">
        <f>VLOOKUP($A349,'ПР 01-02.21'!$A$11:$BB$406,12,FALSE)+VLOOKUP($A349,'ПР 21-22'!$A$11:$BB$406,12,FALSE)-VLOOKUP($A349,'ПР 01-02.22'!$A$11:$BB$378,12,FALSE)</f>
        <v>0</v>
      </c>
      <c r="M349" s="5">
        <f>VLOOKUP($A349,'ПР 01-02.21'!$A$11:$BB$406,13,FALSE)+VLOOKUP($A349,'ПР 21-22'!$A$11:$BB$406,13,FALSE)-VLOOKUP($A349,'ПР 01-02.22'!$A$11:$BB$378,13,FALSE)</f>
        <v>0</v>
      </c>
      <c r="N349" s="38"/>
      <c r="O349" s="5">
        <f>VLOOKUP($A349,'ПР 01-02.21'!$A$11:$BB$406,15,FALSE)+VLOOKUP($A349,'ПР 21-22'!$A$11:$BB$406,15,FALSE)-VLOOKUP($A349,'ПР 01-02.22'!$A$11:$BB$378,15,FALSE)</f>
        <v>0</v>
      </c>
      <c r="P349" s="5">
        <f>VLOOKUP($A349,'ПР 01-02.21'!$A$11:$BB$406,16,FALSE)+VLOOKUP($A349,'ПР 21-22'!$A$11:$BB$406,16,FALSE)-VLOOKUP($A349,'ПР 01-02.22'!$A$11:$BB$378,16,FALSE)</f>
        <v>0</v>
      </c>
      <c r="Q349" s="443"/>
      <c r="R349" s="5">
        <f>VLOOKUP($A349,'ПР 01-02.21'!$A$11:$BB$406,18,FALSE)+VLOOKUP($A349,'ПР 21-22'!$A$11:$BB$406,18,FALSE)-VLOOKUP($A349,'ПР 01-02.22'!$A$11:$BB$378,18,FALSE)</f>
        <v>0</v>
      </c>
      <c r="S349" s="5">
        <f>VLOOKUP($A349,'ПР 01-02.21'!$A$11:$BB$406,19,FALSE)+VLOOKUP($A349,'ПР 21-22'!$A$11:$BB$406,19,FALSE)-VLOOKUP($A349,'ПР 01-02.22'!$A$11:$BB$378,19,FALSE)</f>
        <v>0</v>
      </c>
      <c r="T349" s="444"/>
      <c r="U349" s="5">
        <f>VLOOKUP($A349,'ПР 01-02.21'!$A$11:$BB$406,21,FALSE)+VLOOKUP($A349,'ПР 21-22'!$A$11:$BB$406,21,FALSE)-VLOOKUP($A349,'ПР 01-02.22'!$A$11:$BB$378,21,FALSE)</f>
        <v>0</v>
      </c>
      <c r="V349" s="5"/>
      <c r="W349" s="5">
        <f>VLOOKUP($A349,'ПР 01-02.21'!$A$11:$BB$406,23,FALSE)+VLOOKUP($A349,'ПР 21-22'!$A$11:$BB$406,23,FALSE)-VLOOKUP($A349,'ПР 01-02.22'!$A$11:$BB$378,23,FALSE)</f>
        <v>0</v>
      </c>
      <c r="X349" s="5">
        <f>VLOOKUP($A349,'ПР 01-02.21'!$A$11:$BB$406,24,FALSE)+VLOOKUP($A349,'ПР 21-22'!$A$11:$BB$406,24,FALSE)-VLOOKUP($A349,'ПР 01-02.22'!$A$11:$BB$378,24,FALSE)</f>
        <v>301.10174123725255</v>
      </c>
      <c r="Y349" s="5">
        <f>VLOOKUP($A349,'ПР 01-02.21'!$A$11:$BB$406,25,FALSE)+VLOOKUP($A349,'ПР 21-22'!$A$11:$BB$406,25,FALSE)-VLOOKUP($A349,'ПР 01-02.22'!$A$11:$BB$378,25,FALSE)</f>
        <v>1371</v>
      </c>
      <c r="Z349" s="5"/>
      <c r="AA349" s="5">
        <f>VLOOKUP($A349,'ПР 01-02.21'!$A$11:$BB$406,27,FALSE)+VLOOKUP($A349,'ПР 21-22'!$A$11:$BB$406,27,FALSE)-VLOOKUP($A349,'ПР 01-02.22'!$A$11:$BB$378,27,FALSE)</f>
        <v>0</v>
      </c>
      <c r="AB349" s="5">
        <f>VLOOKUP($A349,'ПР 01-02.21'!$A$11:$BB$406,28,FALSE)+VLOOKUP($A349,'ПР 21-22'!$A$11:$BB$406,28,FALSE)-VLOOKUP($A349,'ПР 01-02.22'!$A$11:$BB$378,28,FALSE)</f>
        <v>0</v>
      </c>
      <c r="AC349" s="5">
        <f>VLOOKUP($A349,'ПР 01-02.21'!$A$11:$BB$406,29,FALSE)+VLOOKUP($A349,'ПР 21-22'!$A$11:$BB$406,29,FALSE)-VLOOKUP($A349,'ПР 01-02.22'!$A$11:$BB$378,29,FALSE)</f>
        <v>0</v>
      </c>
      <c r="AD349" s="5">
        <f>VLOOKUP($A349,'ПР 01-02.21'!$A$11:$BB$406,30,FALSE)+VLOOKUP($A349,'ПР 21-22'!$A$11:$BB$406,30,FALSE)-VLOOKUP($A349,'ПР 01-02.22'!$A$11:$BB$378,30,FALSE)</f>
        <v>3218</v>
      </c>
      <c r="AE349" s="5">
        <f>VLOOKUP($A349,'ПР 01-02.21'!$A$11:$BB$406,31,FALSE)+VLOOKUP($A349,'ПР 21-22'!$A$11:$BB$406,31,FALSE)-VLOOKUP($A349,'ПР 01-02.22'!$A$11:$BB$378,31,FALSE)</f>
        <v>4018.9854021350957</v>
      </c>
      <c r="AF349" s="5">
        <f>VLOOKUP($A349,'ПР 01-02.21'!$A$11:$BB$406,32,FALSE)+VLOOKUP($A349,'ПР 21-22'!$A$11:$BB$406,32,FALSE)-VLOOKUP($A349,'ПР 01-02.22'!$A$11:$BB$378,32,FALSE)</f>
        <v>289</v>
      </c>
      <c r="AG349" s="40"/>
      <c r="AH349" s="5">
        <f>VLOOKUP($A349,'ПР 01-02.21'!$A$11:$BB$406,34,FALSE)+VLOOKUP($A349,'ПР 21-22'!$A$11:$BB$406,34,FALSE)-VLOOKUP($A349,'ПР 01-02.22'!$A$11:$BB$378,34,FALSE)</f>
        <v>5232.9833863137965</v>
      </c>
      <c r="AI349" s="5">
        <f>VLOOKUP($A349,'ПР 01-02.21'!$A$11:$BB$406,35,FALSE)+VLOOKUP($A349,'ПР 21-22'!$A$11:$BB$406,35,FALSE)-VLOOKUP($A349,'ПР 01-02.22'!$A$11:$BB$378,35,FALSE)</f>
        <v>1887</v>
      </c>
      <c r="AJ349" s="40"/>
      <c r="AK349" s="5">
        <f>VLOOKUP($A349,'ПР 01-02.21'!$A$11:$BB$406,37,FALSE)+VLOOKUP($A349,'ПР 21-22'!$A$11:$BB$406,37,FALSE)-VLOOKUP($A349,'ПР 01-02.22'!$A$11:$BB$378,37,FALSE)</f>
        <v>2091.353805719235</v>
      </c>
      <c r="AL349" s="5">
        <f>VLOOKUP($A349,'ПР 01-02.21'!$A$11:$BB$406,38,FALSE)+VLOOKUP($A349,'ПР 21-22'!$A$11:$BB$406,38,FALSE)-VLOOKUP($A349,'ПР 01-02.22'!$A$11:$BB$378,38,FALSE)</f>
        <v>1405</v>
      </c>
      <c r="AM349" s="40"/>
      <c r="AN349" s="5">
        <f>VLOOKUP($A349,'ПР 01-02.21'!$A$11:$BB$406,40,FALSE)+VLOOKUP($A349,'ПР 21-22'!$A$11:$BB$406,40,FALSE)-VLOOKUP($A349,'ПР 01-02.22'!$A$11:$BB$378,40,FALSE)</f>
        <v>0</v>
      </c>
      <c r="AO349" s="5">
        <f>VLOOKUP($A349,'ПР 01-02.21'!$A$11:$BB$406,41,FALSE)+VLOOKUP($A349,'ПР 21-22'!$A$11:$BB$406,41,FALSE)-VLOOKUP($A349,'ПР 01-02.22'!$A$11:$BB$378,41,FALSE)</f>
        <v>0</v>
      </c>
      <c r="AP349" s="40"/>
      <c r="AQ349" s="5">
        <f>VLOOKUP($A349,'ПР 01-02.21'!$A$11:$BB$406,43,FALSE)+VLOOKUP($A349,'ПР 21-22'!$A$11:$BB$406,43,FALSE)-VLOOKUP($A349,'ПР 01-02.22'!$A$11:$BB$378,43,FALSE)</f>
        <v>0</v>
      </c>
      <c r="AR349" s="5">
        <f>VLOOKUP($A349,'ПР 01-02.21'!$A$11:$BB$406,44,FALSE)+VLOOKUP($A349,'ПР 21-22'!$A$11:$BB$406,44,FALSE)-VLOOKUP($A349,'ПР 01-02.22'!$A$11:$BB$378,44,FALSE)</f>
        <v>0</v>
      </c>
      <c r="AS349" s="40"/>
      <c r="AT349" s="5">
        <f>VLOOKUP($A349,'ПР 01-02.21'!$A$11:$BB$406,46,FALSE)+VLOOKUP($A349,'ПР 21-22'!$A$11:$BB$406,46,FALSE)-VLOOKUP($A349,'ПР 01-02.22'!$A$11:$BB$378,46,FALSE)</f>
        <v>3406.4260112007833</v>
      </c>
      <c r="AU349" s="5">
        <f>VLOOKUP($A349,'ПР 01-02.21'!$A$11:$BB$406,47,FALSE)+VLOOKUP($A349,'ПР 21-22'!$A$11:$BB$406,47,FALSE)-VLOOKUP($A349,'ПР 01-02.22'!$A$11:$BB$378,47,FALSE)</f>
        <v>7177</v>
      </c>
      <c r="AV349" s="40"/>
      <c r="AW349" s="5">
        <f>VLOOKUP($A349,'ПР 01-02.21'!$A$11:$BB$406,49,FALSE)+VLOOKUP($A349,'ПР 21-22'!$A$11:$BB$406,49,FALSE)-VLOOKUP($A349,'ПР 01-02.22'!$A$11:$BB$378,49,FALSE)</f>
        <v>218.04400000000001</v>
      </c>
      <c r="AX349" s="5">
        <f>VLOOKUP($A349,'ПР 01-02.21'!$A$11:$BB$406,50,FALSE)+VLOOKUP($A349,'ПР 21-22'!$A$11:$BB$406,50,FALSE)-VLOOKUP($A349,'ПР 01-02.22'!$A$11:$BB$378,50,FALSE)</f>
        <v>0</v>
      </c>
      <c r="AY349" s="40"/>
      <c r="AZ349" s="40">
        <f t="shared" si="21"/>
        <v>14967.79260536891</v>
      </c>
      <c r="BA349" s="40">
        <f t="shared" si="21"/>
        <v>10758</v>
      </c>
      <c r="BB349" s="55">
        <f t="shared" si="24"/>
        <v>-4209.7926053689098</v>
      </c>
      <c r="BD349" s="2">
        <v>2</v>
      </c>
      <c r="BF349" s="325">
        <v>150000862</v>
      </c>
    </row>
    <row r="350" spans="1:58" ht="24.9" customHeight="1" x14ac:dyDescent="0.3">
      <c r="A350" s="325">
        <v>150000863</v>
      </c>
      <c r="B350" s="445" t="s">
        <v>236</v>
      </c>
      <c r="C350" s="27">
        <v>4</v>
      </c>
      <c r="D350" s="101" t="s">
        <v>455</v>
      </c>
      <c r="E350" s="279">
        <f>'побудинковий звіт'!E348</f>
        <v>3322.9</v>
      </c>
      <c r="F350" s="441">
        <f>'побудинковий звіт'!AS348</f>
        <v>31743.230589096696</v>
      </c>
      <c r="G350" s="441">
        <f t="shared" si="22"/>
        <v>17505.795547594811</v>
      </c>
      <c r="H350" s="73">
        <f t="shared" si="23"/>
        <v>-14237.435041501885</v>
      </c>
      <c r="I350" s="5">
        <f>VLOOKUP($A350,'ПР 01-02.21'!$A$11:$BB$406,9,FALSE)+VLOOKUP($A350,'ПР 21-22'!$A$11:$BB$406,9,FALSE)-VLOOKUP($A350,'ПР 01-02.22'!$A$11:$BB$378,9,FALSE)</f>
        <v>0</v>
      </c>
      <c r="J350" s="5">
        <f>VLOOKUP($A350,'ПР 01-02.21'!$A$11:$BB$406,10,FALSE)+VLOOKUP($A350,'ПР 21-22'!$A$11:$BB$406,10,FALSE)-VLOOKUP($A350,'ПР 01-02.22'!$A$11:$BB$378,10,FALSE)</f>
        <v>0</v>
      </c>
      <c r="K350" s="446"/>
      <c r="L350" s="5">
        <f>VLOOKUP($A350,'ПР 01-02.21'!$A$11:$BB$406,12,FALSE)+VLOOKUP($A350,'ПР 21-22'!$A$11:$BB$406,12,FALSE)-VLOOKUP($A350,'ПР 01-02.22'!$A$11:$BB$378,12,FALSE)</f>
        <v>0</v>
      </c>
      <c r="M350" s="5">
        <f>VLOOKUP($A350,'ПР 01-02.21'!$A$11:$BB$406,13,FALSE)+VLOOKUP($A350,'ПР 21-22'!$A$11:$BB$406,13,FALSE)-VLOOKUP($A350,'ПР 01-02.22'!$A$11:$BB$378,13,FALSE)</f>
        <v>0</v>
      </c>
      <c r="N350" s="38"/>
      <c r="O350" s="5">
        <f>VLOOKUP($A350,'ПР 01-02.21'!$A$11:$BB$406,15,FALSE)+VLOOKUP($A350,'ПР 21-22'!$A$11:$BB$406,15,FALSE)-VLOOKUP($A350,'ПР 01-02.22'!$A$11:$BB$378,15,FALSE)</f>
        <v>0</v>
      </c>
      <c r="P350" s="5">
        <f>VLOOKUP($A350,'ПР 01-02.21'!$A$11:$BB$406,16,FALSE)+VLOOKUP($A350,'ПР 21-22'!$A$11:$BB$406,16,FALSE)-VLOOKUP($A350,'ПР 01-02.22'!$A$11:$BB$378,16,FALSE)</f>
        <v>0</v>
      </c>
      <c r="Q350" s="443"/>
      <c r="R350" s="5">
        <f>VLOOKUP($A350,'ПР 01-02.21'!$A$11:$BB$406,18,FALSE)+VLOOKUP($A350,'ПР 21-22'!$A$11:$BB$406,18,FALSE)-VLOOKUP($A350,'ПР 01-02.22'!$A$11:$BB$378,18,FALSE)</f>
        <v>0</v>
      </c>
      <c r="S350" s="5">
        <f>VLOOKUP($A350,'ПР 01-02.21'!$A$11:$BB$406,19,FALSE)+VLOOKUP($A350,'ПР 21-22'!$A$11:$BB$406,19,FALSE)-VLOOKUP($A350,'ПР 01-02.22'!$A$11:$BB$378,19,FALSE)</f>
        <v>0</v>
      </c>
      <c r="T350" s="444"/>
      <c r="U350" s="5">
        <f>VLOOKUP($A350,'ПР 01-02.21'!$A$11:$BB$406,21,FALSE)+VLOOKUP($A350,'ПР 21-22'!$A$11:$BB$406,21,FALSE)-VLOOKUP($A350,'ПР 01-02.22'!$A$11:$BB$378,21,FALSE)</f>
        <v>0</v>
      </c>
      <c r="V350" s="5"/>
      <c r="W350" s="5">
        <f>VLOOKUP($A350,'ПР 01-02.21'!$A$11:$BB$406,23,FALSE)+VLOOKUP($A350,'ПР 21-22'!$A$11:$BB$406,23,FALSE)-VLOOKUP($A350,'ПР 01-02.22'!$A$11:$BB$378,23,FALSE)</f>
        <v>0</v>
      </c>
      <c r="X350" s="5">
        <f>VLOOKUP($A350,'ПР 01-02.21'!$A$11:$BB$406,24,FALSE)+VLOOKUP($A350,'ПР 21-22'!$A$11:$BB$406,24,FALSE)-VLOOKUP($A350,'ПР 01-02.22'!$A$11:$BB$378,24,FALSE)</f>
        <v>175.17554759481118</v>
      </c>
      <c r="Y350" s="5">
        <f>VLOOKUP($A350,'ПР 01-02.21'!$A$11:$BB$406,25,FALSE)+VLOOKUP($A350,'ПР 21-22'!$A$11:$BB$406,25,FALSE)-VLOOKUP($A350,'ПР 01-02.22'!$A$11:$BB$378,25,FALSE)</f>
        <v>12732</v>
      </c>
      <c r="Z350" s="5"/>
      <c r="AA350" s="5">
        <f>VLOOKUP($A350,'ПР 01-02.21'!$A$11:$BB$406,27,FALSE)+VLOOKUP($A350,'ПР 21-22'!$A$11:$BB$406,27,FALSE)-VLOOKUP($A350,'ПР 01-02.22'!$A$11:$BB$378,27,FALSE)</f>
        <v>0</v>
      </c>
      <c r="AB350" s="5">
        <f>VLOOKUP($A350,'ПР 01-02.21'!$A$11:$BB$406,28,FALSE)+VLOOKUP($A350,'ПР 21-22'!$A$11:$BB$406,28,FALSE)-VLOOKUP($A350,'ПР 01-02.22'!$A$11:$BB$378,28,FALSE)</f>
        <v>1167.6199999999999</v>
      </c>
      <c r="AC350" s="5">
        <f>VLOOKUP($A350,'ПР 01-02.21'!$A$11:$BB$406,29,FALSE)+VLOOKUP($A350,'ПР 21-22'!$A$11:$BB$406,29,FALSE)-VLOOKUP($A350,'ПР 01-02.22'!$A$11:$BB$378,29,FALSE)</f>
        <v>0</v>
      </c>
      <c r="AD350" s="5">
        <f>VLOOKUP($A350,'ПР 01-02.21'!$A$11:$BB$406,30,FALSE)+VLOOKUP($A350,'ПР 21-22'!$A$11:$BB$406,30,FALSE)-VLOOKUP($A350,'ПР 01-02.22'!$A$11:$BB$378,30,FALSE)</f>
        <v>3431</v>
      </c>
      <c r="AE350" s="5">
        <f>VLOOKUP($A350,'ПР 01-02.21'!$A$11:$BB$406,31,FALSE)+VLOOKUP($A350,'ПР 21-22'!$A$11:$BB$406,31,FALSE)-VLOOKUP($A350,'ПР 01-02.22'!$A$11:$BB$378,31,FALSE)</f>
        <v>3159.3287941964932</v>
      </c>
      <c r="AF350" s="5">
        <f>VLOOKUP($A350,'ПР 01-02.21'!$A$11:$BB$406,32,FALSE)+VLOOKUP($A350,'ПР 21-22'!$A$11:$BB$406,32,FALSE)-VLOOKUP($A350,'ПР 01-02.22'!$A$11:$BB$378,32,FALSE)</f>
        <v>67</v>
      </c>
      <c r="AG350" s="40"/>
      <c r="AH350" s="5">
        <f>VLOOKUP($A350,'ПР 01-02.21'!$A$11:$BB$406,34,FALSE)+VLOOKUP($A350,'ПР 21-22'!$A$11:$BB$406,34,FALSE)-VLOOKUP($A350,'ПР 01-02.22'!$A$11:$BB$378,34,FALSE)</f>
        <v>4197.0359220383643</v>
      </c>
      <c r="AI350" s="5">
        <f>VLOOKUP($A350,'ПР 01-02.21'!$A$11:$BB$406,35,FALSE)+VLOOKUP($A350,'ПР 21-22'!$A$11:$BB$406,35,FALSE)-VLOOKUP($A350,'ПР 01-02.22'!$A$11:$BB$378,35,FALSE)</f>
        <v>33</v>
      </c>
      <c r="AJ350" s="40"/>
      <c r="AK350" s="5">
        <f>VLOOKUP($A350,'ПР 01-02.21'!$A$11:$BB$406,37,FALSE)+VLOOKUP($A350,'ПР 21-22'!$A$11:$BB$406,37,FALSE)-VLOOKUP($A350,'ПР 01-02.22'!$A$11:$BB$378,37,FALSE)</f>
        <v>1909.7281293609242</v>
      </c>
      <c r="AL350" s="5">
        <f>VLOOKUP($A350,'ПР 01-02.21'!$A$11:$BB$406,38,FALSE)+VLOOKUP($A350,'ПР 21-22'!$A$11:$BB$406,38,FALSE)-VLOOKUP($A350,'ПР 01-02.22'!$A$11:$BB$378,38,FALSE)</f>
        <v>712</v>
      </c>
      <c r="AM350" s="40"/>
      <c r="AN350" s="5">
        <f>VLOOKUP($A350,'ПР 01-02.21'!$A$11:$BB$406,40,FALSE)+VLOOKUP($A350,'ПР 21-22'!$A$11:$BB$406,40,FALSE)-VLOOKUP($A350,'ПР 01-02.22'!$A$11:$BB$378,40,FALSE)</f>
        <v>2534.8974774540447</v>
      </c>
      <c r="AO350" s="5">
        <f>VLOOKUP($A350,'ПР 01-02.21'!$A$11:$BB$406,41,FALSE)+VLOOKUP($A350,'ПР 21-22'!$A$11:$BB$406,41,FALSE)-VLOOKUP($A350,'ПР 01-02.22'!$A$11:$BB$378,41,FALSE)</f>
        <v>0</v>
      </c>
      <c r="AP350" s="40"/>
      <c r="AQ350" s="5">
        <f>VLOOKUP($A350,'ПР 01-02.21'!$A$11:$BB$406,43,FALSE)+VLOOKUP($A350,'ПР 21-22'!$A$11:$BB$406,43,FALSE)-VLOOKUP($A350,'ПР 01-02.22'!$A$11:$BB$378,43,FALSE)</f>
        <v>0</v>
      </c>
      <c r="AR350" s="5">
        <f>VLOOKUP($A350,'ПР 01-02.21'!$A$11:$BB$406,44,FALSE)+VLOOKUP($A350,'ПР 21-22'!$A$11:$BB$406,44,FALSE)-VLOOKUP($A350,'ПР 01-02.22'!$A$11:$BB$378,44,FALSE)</f>
        <v>0</v>
      </c>
      <c r="AS350" s="40"/>
      <c r="AT350" s="5">
        <f>VLOOKUP($A350,'ПР 01-02.21'!$A$11:$BB$406,46,FALSE)+VLOOKUP($A350,'ПР 21-22'!$A$11:$BB$406,46,FALSE)-VLOOKUP($A350,'ПР 01-02.22'!$A$11:$BB$378,46,FALSE)</f>
        <v>3091.6586695719639</v>
      </c>
      <c r="AU350" s="5">
        <f>VLOOKUP($A350,'ПР 01-02.21'!$A$11:$BB$406,47,FALSE)+VLOOKUP($A350,'ПР 21-22'!$A$11:$BB$406,47,FALSE)-VLOOKUP($A350,'ПР 01-02.22'!$A$11:$BB$378,47,FALSE)</f>
        <v>727</v>
      </c>
      <c r="AV350" s="40"/>
      <c r="AW350" s="5">
        <f>VLOOKUP($A350,'ПР 01-02.21'!$A$11:$BB$406,49,FALSE)+VLOOKUP($A350,'ПР 21-22'!$A$11:$BB$406,49,FALSE)-VLOOKUP($A350,'ПР 01-02.22'!$A$11:$BB$378,49,FALSE)</f>
        <v>160.19</v>
      </c>
      <c r="AX350" s="5">
        <f>VLOOKUP($A350,'ПР 01-02.21'!$A$11:$BB$406,50,FALSE)+VLOOKUP($A350,'ПР 21-22'!$A$11:$BB$406,50,FALSE)-VLOOKUP($A350,'ПР 01-02.22'!$A$11:$BB$378,50,FALSE)</f>
        <v>0</v>
      </c>
      <c r="AY350" s="40"/>
      <c r="AZ350" s="40">
        <f t="shared" si="21"/>
        <v>15052.838992621791</v>
      </c>
      <c r="BA350" s="40">
        <f t="shared" si="21"/>
        <v>1539</v>
      </c>
      <c r="BB350" s="55">
        <f t="shared" si="24"/>
        <v>-13513.838992621791</v>
      </c>
      <c r="BD350" s="2">
        <v>2</v>
      </c>
      <c r="BF350" s="325">
        <v>150000863</v>
      </c>
    </row>
    <row r="351" spans="1:58" ht="24.9" customHeight="1" x14ac:dyDescent="0.3">
      <c r="A351" s="325">
        <v>150000864</v>
      </c>
      <c r="B351" s="445" t="s">
        <v>201</v>
      </c>
      <c r="C351" s="27">
        <v>3</v>
      </c>
      <c r="D351" s="101" t="s">
        <v>455</v>
      </c>
      <c r="E351" s="279">
        <f>'побудинковий звіт'!E349</f>
        <v>3973.0600000000004</v>
      </c>
      <c r="F351" s="441">
        <f>'побудинковий звіт'!AS349</f>
        <v>35955.453334252597</v>
      </c>
      <c r="G351" s="441">
        <f t="shared" si="22"/>
        <v>78409.504619926985</v>
      </c>
      <c r="H351" s="73">
        <f t="shared" si="23"/>
        <v>42454.051285674388</v>
      </c>
      <c r="I351" s="5">
        <f>VLOOKUP($A351,'ПР 01-02.21'!$A$11:$BB$406,9,FALSE)+VLOOKUP($A351,'ПР 21-22'!$A$11:$BB$406,9,FALSE)-VLOOKUP($A351,'ПР 01-02.22'!$A$11:$BB$378,9,FALSE)</f>
        <v>0</v>
      </c>
      <c r="J351" s="5">
        <f>VLOOKUP($A351,'ПР 01-02.21'!$A$11:$BB$406,10,FALSE)+VLOOKUP($A351,'ПР 21-22'!$A$11:$BB$406,10,FALSE)-VLOOKUP($A351,'ПР 01-02.22'!$A$11:$BB$378,10,FALSE)</f>
        <v>1428</v>
      </c>
      <c r="K351" s="446"/>
      <c r="L351" s="5">
        <f>VLOOKUP($A351,'ПР 01-02.21'!$A$11:$BB$406,12,FALSE)+VLOOKUP($A351,'ПР 21-22'!$A$11:$BB$406,12,FALSE)-VLOOKUP($A351,'ПР 01-02.22'!$A$11:$BB$378,12,FALSE)</f>
        <v>1</v>
      </c>
      <c r="M351" s="5">
        <f>VLOOKUP($A351,'ПР 01-02.21'!$A$11:$BB$406,13,FALSE)+VLOOKUP($A351,'ПР 21-22'!$A$11:$BB$406,13,FALSE)-VLOOKUP($A351,'ПР 01-02.22'!$A$11:$BB$378,13,FALSE)</f>
        <v>51351</v>
      </c>
      <c r="N351" s="38"/>
      <c r="O351" s="5">
        <f>VLOOKUP($A351,'ПР 01-02.21'!$A$11:$BB$406,15,FALSE)+VLOOKUP($A351,'ПР 21-22'!$A$11:$BB$406,15,FALSE)-VLOOKUP($A351,'ПР 01-02.22'!$A$11:$BB$378,15,FALSE)</f>
        <v>0</v>
      </c>
      <c r="P351" s="5">
        <f>VLOOKUP($A351,'ПР 01-02.21'!$A$11:$BB$406,16,FALSE)+VLOOKUP($A351,'ПР 21-22'!$A$11:$BB$406,16,FALSE)-VLOOKUP($A351,'ПР 01-02.22'!$A$11:$BB$378,16,FALSE)</f>
        <v>0</v>
      </c>
      <c r="Q351" s="443"/>
      <c r="R351" s="5">
        <f>VLOOKUP($A351,'ПР 01-02.21'!$A$11:$BB$406,18,FALSE)+VLOOKUP($A351,'ПР 21-22'!$A$11:$BB$406,18,FALSE)-VLOOKUP($A351,'ПР 01-02.22'!$A$11:$BB$378,18,FALSE)</f>
        <v>0</v>
      </c>
      <c r="S351" s="5">
        <f>VLOOKUP($A351,'ПР 01-02.21'!$A$11:$BB$406,19,FALSE)+VLOOKUP($A351,'ПР 21-22'!$A$11:$BB$406,19,FALSE)-VLOOKUP($A351,'ПР 01-02.22'!$A$11:$BB$378,19,FALSE)</f>
        <v>0</v>
      </c>
      <c r="T351" s="444"/>
      <c r="U351" s="5">
        <f>VLOOKUP($A351,'ПР 01-02.21'!$A$11:$BB$406,21,FALSE)+VLOOKUP($A351,'ПР 21-22'!$A$11:$BB$406,21,FALSE)-VLOOKUP($A351,'ПР 01-02.22'!$A$11:$BB$378,21,FALSE)</f>
        <v>0</v>
      </c>
      <c r="V351" s="5"/>
      <c r="W351" s="5">
        <f>VLOOKUP($A351,'ПР 01-02.21'!$A$11:$BB$406,23,FALSE)+VLOOKUP($A351,'ПР 21-22'!$A$11:$BB$406,23,FALSE)-VLOOKUP($A351,'ПР 01-02.22'!$A$11:$BB$378,23,FALSE)</f>
        <v>0</v>
      </c>
      <c r="X351" s="5">
        <f>VLOOKUP($A351,'ПР 01-02.21'!$A$11:$BB$406,24,FALSE)+VLOOKUP($A351,'ПР 21-22'!$A$11:$BB$406,24,FALSE)-VLOOKUP($A351,'ПР 01-02.22'!$A$11:$BB$378,24,FALSE)</f>
        <v>20145.334619926994</v>
      </c>
      <c r="Y351" s="5">
        <f>VLOOKUP($A351,'ПР 01-02.21'!$A$11:$BB$406,25,FALSE)+VLOOKUP($A351,'ПР 21-22'!$A$11:$BB$406,25,FALSE)-VLOOKUP($A351,'ПР 01-02.22'!$A$11:$BB$378,25,FALSE)</f>
        <v>1219</v>
      </c>
      <c r="Z351" s="5"/>
      <c r="AA351" s="5">
        <f>VLOOKUP($A351,'ПР 01-02.21'!$A$11:$BB$406,27,FALSE)+VLOOKUP($A351,'ПР 21-22'!$A$11:$BB$406,27,FALSE)-VLOOKUP($A351,'ПР 01-02.22'!$A$11:$BB$378,27,FALSE)</f>
        <v>0</v>
      </c>
      <c r="AB351" s="5">
        <f>VLOOKUP($A351,'ПР 01-02.21'!$A$11:$BB$406,28,FALSE)+VLOOKUP($A351,'ПР 21-22'!$A$11:$BB$406,28,FALSE)-VLOOKUP($A351,'ПР 01-02.22'!$A$11:$BB$378,28,FALSE)</f>
        <v>2050.17</v>
      </c>
      <c r="AC351" s="5">
        <f>VLOOKUP($A351,'ПР 01-02.21'!$A$11:$BB$406,29,FALSE)+VLOOKUP($A351,'ПР 21-22'!$A$11:$BB$406,29,FALSE)-VLOOKUP($A351,'ПР 01-02.22'!$A$11:$BB$378,29,FALSE)</f>
        <v>1464</v>
      </c>
      <c r="AD351" s="5">
        <f>VLOOKUP($A351,'ПР 01-02.21'!$A$11:$BB$406,30,FALSE)+VLOOKUP($A351,'ПР 21-22'!$A$11:$BB$406,30,FALSE)-VLOOKUP($A351,'ПР 01-02.22'!$A$11:$BB$378,30,FALSE)</f>
        <v>752</v>
      </c>
      <c r="AE351" s="5">
        <f>VLOOKUP($A351,'ПР 01-02.21'!$A$11:$BB$406,31,FALSE)+VLOOKUP($A351,'ПР 21-22'!$A$11:$BB$406,31,FALSE)-VLOOKUP($A351,'ПР 01-02.22'!$A$11:$BB$378,31,FALSE)</f>
        <v>2913.3217221123609</v>
      </c>
      <c r="AF351" s="5">
        <f>VLOOKUP($A351,'ПР 01-02.21'!$A$11:$BB$406,32,FALSE)+VLOOKUP($A351,'ПР 21-22'!$A$11:$BB$406,32,FALSE)-VLOOKUP($A351,'ПР 01-02.22'!$A$11:$BB$378,32,FALSE)</f>
        <v>0</v>
      </c>
      <c r="AG351" s="40"/>
      <c r="AH351" s="5">
        <f>VLOOKUP($A351,'ПР 01-02.21'!$A$11:$BB$406,34,FALSE)+VLOOKUP($A351,'ПР 21-22'!$A$11:$BB$406,34,FALSE)-VLOOKUP($A351,'ПР 01-02.22'!$A$11:$BB$378,34,FALSE)</f>
        <v>3647.1737827439752</v>
      </c>
      <c r="AI351" s="5">
        <f>VLOOKUP($A351,'ПР 01-02.21'!$A$11:$BB$406,35,FALSE)+VLOOKUP($A351,'ПР 21-22'!$A$11:$BB$406,35,FALSE)-VLOOKUP($A351,'ПР 01-02.22'!$A$11:$BB$378,35,FALSE)</f>
        <v>0</v>
      </c>
      <c r="AJ351" s="40"/>
      <c r="AK351" s="5">
        <f>VLOOKUP($A351,'ПР 01-02.21'!$A$11:$BB$406,37,FALSE)+VLOOKUP($A351,'ПР 21-22'!$A$11:$BB$406,37,FALSE)-VLOOKUP($A351,'ПР 01-02.22'!$A$11:$BB$378,37,FALSE)</f>
        <v>2466.7399384727996</v>
      </c>
      <c r="AL351" s="5">
        <f>VLOOKUP($A351,'ПР 01-02.21'!$A$11:$BB$406,38,FALSE)+VLOOKUP($A351,'ПР 21-22'!$A$11:$BB$406,38,FALSE)-VLOOKUP($A351,'ПР 01-02.22'!$A$11:$BB$378,38,FALSE)</f>
        <v>0</v>
      </c>
      <c r="AM351" s="40"/>
      <c r="AN351" s="5">
        <f>VLOOKUP($A351,'ПР 01-02.21'!$A$11:$BB$406,40,FALSE)+VLOOKUP($A351,'ПР 21-22'!$A$11:$BB$406,40,FALSE)-VLOOKUP($A351,'ПР 01-02.22'!$A$11:$BB$378,40,FALSE)</f>
        <v>0</v>
      </c>
      <c r="AO351" s="5">
        <f>VLOOKUP($A351,'ПР 01-02.21'!$A$11:$BB$406,41,FALSE)+VLOOKUP($A351,'ПР 21-22'!$A$11:$BB$406,41,FALSE)-VLOOKUP($A351,'ПР 01-02.22'!$A$11:$BB$378,41,FALSE)</f>
        <v>0</v>
      </c>
      <c r="AP351" s="40"/>
      <c r="AQ351" s="5">
        <f>VLOOKUP($A351,'ПР 01-02.21'!$A$11:$BB$406,43,FALSE)+VLOOKUP($A351,'ПР 21-22'!$A$11:$BB$406,43,FALSE)-VLOOKUP($A351,'ПР 01-02.22'!$A$11:$BB$378,43,FALSE)</f>
        <v>0</v>
      </c>
      <c r="AR351" s="5">
        <f>VLOOKUP($A351,'ПР 01-02.21'!$A$11:$BB$406,44,FALSE)+VLOOKUP($A351,'ПР 21-22'!$A$11:$BB$406,44,FALSE)-VLOOKUP($A351,'ПР 01-02.22'!$A$11:$BB$378,44,FALSE)</f>
        <v>0</v>
      </c>
      <c r="AS351" s="40"/>
      <c r="AT351" s="5">
        <f>VLOOKUP($A351,'ПР 01-02.21'!$A$11:$BB$406,46,FALSE)+VLOOKUP($A351,'ПР 21-22'!$A$11:$BB$406,46,FALSE)-VLOOKUP($A351,'ПР 01-02.22'!$A$11:$BB$378,46,FALSE)</f>
        <v>4418.4192233074373</v>
      </c>
      <c r="AU351" s="5">
        <f>VLOOKUP($A351,'ПР 01-02.21'!$A$11:$BB$406,47,FALSE)+VLOOKUP($A351,'ПР 21-22'!$A$11:$BB$406,47,FALSE)-VLOOKUP($A351,'ПР 01-02.22'!$A$11:$BB$378,47,FALSE)</f>
        <v>354</v>
      </c>
      <c r="AV351" s="40"/>
      <c r="AW351" s="5">
        <f>VLOOKUP($A351,'ПР 01-02.21'!$A$11:$BB$406,49,FALSE)+VLOOKUP($A351,'ПР 21-22'!$A$11:$BB$406,49,FALSE)-VLOOKUP($A351,'ПР 01-02.22'!$A$11:$BB$378,49,FALSE)</f>
        <v>195.3064</v>
      </c>
      <c r="AX351" s="5">
        <f>VLOOKUP($A351,'ПР 01-02.21'!$A$11:$BB$406,50,FALSE)+VLOOKUP($A351,'ПР 21-22'!$A$11:$BB$406,50,FALSE)-VLOOKUP($A351,'ПР 01-02.22'!$A$11:$BB$378,50,FALSE)</f>
        <v>0</v>
      </c>
      <c r="AY351" s="40"/>
      <c r="AZ351" s="40">
        <f t="shared" si="21"/>
        <v>13640.961066636573</v>
      </c>
      <c r="BA351" s="40">
        <f t="shared" si="21"/>
        <v>354</v>
      </c>
      <c r="BB351" s="55">
        <f t="shared" si="24"/>
        <v>-13286.961066636573</v>
      </c>
      <c r="BD351" s="2">
        <v>2</v>
      </c>
      <c r="BF351" s="325">
        <v>150000864</v>
      </c>
    </row>
    <row r="352" spans="1:58" ht="24.9" customHeight="1" x14ac:dyDescent="0.3">
      <c r="A352" s="325">
        <v>150000865</v>
      </c>
      <c r="B352" s="445" t="s">
        <v>306</v>
      </c>
      <c r="C352" s="27">
        <v>5</v>
      </c>
      <c r="D352" s="101" t="s">
        <v>455</v>
      </c>
      <c r="E352" s="279">
        <f>'побудинковий звіт'!E350</f>
        <v>9098.1</v>
      </c>
      <c r="F352" s="441">
        <f>'побудинковий звіт'!AS350</f>
        <v>81479.539346016129</v>
      </c>
      <c r="G352" s="441">
        <f t="shared" si="22"/>
        <v>92074.81</v>
      </c>
      <c r="H352" s="73">
        <f t="shared" si="23"/>
        <v>10595.270653983869</v>
      </c>
      <c r="I352" s="5">
        <f>VLOOKUP($A352,'ПР 01-02.21'!$A$11:$BB$406,9,FALSE)+VLOOKUP($A352,'ПР 21-22'!$A$11:$BB$406,9,FALSE)-VLOOKUP($A352,'ПР 01-02.22'!$A$11:$BB$378,9,FALSE)</f>
        <v>0</v>
      </c>
      <c r="J352" s="5">
        <f>VLOOKUP($A352,'ПР 01-02.21'!$A$11:$BB$406,10,FALSE)+VLOOKUP($A352,'ПР 21-22'!$A$11:$BB$406,10,FALSE)-VLOOKUP($A352,'ПР 01-02.22'!$A$11:$BB$378,10,FALSE)</f>
        <v>4889</v>
      </c>
      <c r="K352" s="446"/>
      <c r="L352" s="5">
        <f>VLOOKUP($A352,'ПР 01-02.21'!$A$11:$BB$406,12,FALSE)+VLOOKUP($A352,'ПР 21-22'!$A$11:$BB$406,12,FALSE)-VLOOKUP($A352,'ПР 01-02.22'!$A$11:$BB$378,12,FALSE)</f>
        <v>1</v>
      </c>
      <c r="M352" s="5">
        <f>VLOOKUP($A352,'ПР 01-02.21'!$A$11:$BB$406,13,FALSE)+VLOOKUP($A352,'ПР 21-22'!$A$11:$BB$406,13,FALSE)-VLOOKUP($A352,'ПР 01-02.22'!$A$11:$BB$378,13,FALSE)</f>
        <v>68966.55</v>
      </c>
      <c r="N352" s="38"/>
      <c r="O352" s="5">
        <f>VLOOKUP($A352,'ПР 01-02.21'!$A$11:$BB$406,15,FALSE)+VLOOKUP($A352,'ПР 21-22'!$A$11:$BB$406,15,FALSE)-VLOOKUP($A352,'ПР 01-02.22'!$A$11:$BB$378,15,FALSE)</f>
        <v>0</v>
      </c>
      <c r="P352" s="5">
        <f>VLOOKUP($A352,'ПР 01-02.21'!$A$11:$BB$406,16,FALSE)+VLOOKUP($A352,'ПР 21-22'!$A$11:$BB$406,16,FALSE)-VLOOKUP($A352,'ПР 01-02.22'!$A$11:$BB$378,16,FALSE)</f>
        <v>0</v>
      </c>
      <c r="Q352" s="443"/>
      <c r="R352" s="5">
        <f>VLOOKUP($A352,'ПР 01-02.21'!$A$11:$BB$406,18,FALSE)+VLOOKUP($A352,'ПР 21-22'!$A$11:$BB$406,18,FALSE)-VLOOKUP($A352,'ПР 01-02.22'!$A$11:$BB$378,18,FALSE)</f>
        <v>0</v>
      </c>
      <c r="S352" s="5">
        <f>VLOOKUP($A352,'ПР 01-02.21'!$A$11:$BB$406,19,FALSE)+VLOOKUP($A352,'ПР 21-22'!$A$11:$BB$406,19,FALSE)-VLOOKUP($A352,'ПР 01-02.22'!$A$11:$BB$378,19,FALSE)</f>
        <v>0</v>
      </c>
      <c r="T352" s="444"/>
      <c r="U352" s="5">
        <f>VLOOKUP($A352,'ПР 01-02.21'!$A$11:$BB$406,21,FALSE)+VLOOKUP($A352,'ПР 21-22'!$A$11:$BB$406,21,FALSE)-VLOOKUP($A352,'ПР 01-02.22'!$A$11:$BB$378,21,FALSE)</f>
        <v>0</v>
      </c>
      <c r="V352" s="5"/>
      <c r="W352" s="5">
        <f>VLOOKUP($A352,'ПР 01-02.21'!$A$11:$BB$406,23,FALSE)+VLOOKUP($A352,'ПР 21-22'!$A$11:$BB$406,23,FALSE)-VLOOKUP($A352,'ПР 01-02.22'!$A$11:$BB$378,23,FALSE)</f>
        <v>18</v>
      </c>
      <c r="X352" s="5">
        <f>VLOOKUP($A352,'ПР 01-02.21'!$A$11:$BB$406,24,FALSE)+VLOOKUP($A352,'ПР 21-22'!$A$11:$BB$406,24,FALSE)-VLOOKUP($A352,'ПР 01-02.22'!$A$11:$BB$378,24,FALSE)</f>
        <v>7495.26</v>
      </c>
      <c r="Y352" s="5">
        <f>VLOOKUP($A352,'ПР 01-02.21'!$A$11:$BB$406,25,FALSE)+VLOOKUP($A352,'ПР 21-22'!$A$11:$BB$406,25,FALSE)-VLOOKUP($A352,'ПР 01-02.22'!$A$11:$BB$378,25,FALSE)</f>
        <v>4051</v>
      </c>
      <c r="Z352" s="5"/>
      <c r="AA352" s="5">
        <f>VLOOKUP($A352,'ПР 01-02.21'!$A$11:$BB$406,27,FALSE)+VLOOKUP($A352,'ПР 21-22'!$A$11:$BB$406,27,FALSE)-VLOOKUP($A352,'ПР 01-02.22'!$A$11:$BB$378,27,FALSE)</f>
        <v>0</v>
      </c>
      <c r="AB352" s="5">
        <f>VLOOKUP($A352,'ПР 01-02.21'!$A$11:$BB$406,28,FALSE)+VLOOKUP($A352,'ПР 21-22'!$A$11:$BB$406,28,FALSE)-VLOOKUP($A352,'ПР 01-02.22'!$A$11:$BB$378,28,FALSE)</f>
        <v>0</v>
      </c>
      <c r="AC352" s="5">
        <f>VLOOKUP($A352,'ПР 01-02.21'!$A$11:$BB$406,29,FALSE)+VLOOKUP($A352,'ПР 21-22'!$A$11:$BB$406,29,FALSE)-VLOOKUP($A352,'ПР 01-02.22'!$A$11:$BB$378,29,FALSE)</f>
        <v>1320</v>
      </c>
      <c r="AD352" s="5">
        <f>VLOOKUP($A352,'ПР 01-02.21'!$A$11:$BB$406,30,FALSE)+VLOOKUP($A352,'ПР 21-22'!$A$11:$BB$406,30,FALSE)-VLOOKUP($A352,'ПР 01-02.22'!$A$11:$BB$378,30,FALSE)</f>
        <v>5353</v>
      </c>
      <c r="AE352" s="5">
        <f>VLOOKUP($A352,'ПР 01-02.21'!$A$11:$BB$406,31,FALSE)+VLOOKUP($A352,'ПР 21-22'!$A$11:$BB$406,31,FALSE)-VLOOKUP($A352,'ПР 01-02.22'!$A$11:$BB$378,31,FALSE)</f>
        <v>7211.9964284812577</v>
      </c>
      <c r="AF352" s="5">
        <f>VLOOKUP($A352,'ПР 01-02.21'!$A$11:$BB$406,32,FALSE)+VLOOKUP($A352,'ПР 21-22'!$A$11:$BB$406,32,FALSE)-VLOOKUP($A352,'ПР 01-02.22'!$A$11:$BB$378,32,FALSE)</f>
        <v>0</v>
      </c>
      <c r="AG352" s="40"/>
      <c r="AH352" s="5">
        <f>VLOOKUP($A352,'ПР 01-02.21'!$A$11:$BB$406,34,FALSE)+VLOOKUP($A352,'ПР 21-22'!$A$11:$BB$406,34,FALSE)-VLOOKUP($A352,'ПР 01-02.22'!$A$11:$BB$378,34,FALSE)</f>
        <v>10451.424604896833</v>
      </c>
      <c r="AI352" s="5">
        <f>VLOOKUP($A352,'ПР 01-02.21'!$A$11:$BB$406,35,FALSE)+VLOOKUP($A352,'ПР 21-22'!$A$11:$BB$406,35,FALSE)-VLOOKUP($A352,'ПР 01-02.22'!$A$11:$BB$378,35,FALSE)</f>
        <v>1410</v>
      </c>
      <c r="AJ352" s="40"/>
      <c r="AK352" s="5">
        <f>VLOOKUP($A352,'ПР 01-02.21'!$A$11:$BB$406,37,FALSE)+VLOOKUP($A352,'ПР 21-22'!$A$11:$BB$406,37,FALSE)-VLOOKUP($A352,'ПР 01-02.22'!$A$11:$BB$378,37,FALSE)</f>
        <v>5188.9573139581089</v>
      </c>
      <c r="AL352" s="5">
        <f>VLOOKUP($A352,'ПР 01-02.21'!$A$11:$BB$406,38,FALSE)+VLOOKUP($A352,'ПР 21-22'!$A$11:$BB$406,38,FALSE)-VLOOKUP($A352,'ПР 01-02.22'!$A$11:$BB$378,38,FALSE)</f>
        <v>731</v>
      </c>
      <c r="AM352" s="40"/>
      <c r="AN352" s="5">
        <f>VLOOKUP($A352,'ПР 01-02.21'!$A$11:$BB$406,40,FALSE)+VLOOKUP($A352,'ПР 21-22'!$A$11:$BB$406,40,FALSE)-VLOOKUP($A352,'ПР 01-02.22'!$A$11:$BB$378,40,FALSE)</f>
        <v>0</v>
      </c>
      <c r="AO352" s="5">
        <f>VLOOKUP($A352,'ПР 01-02.21'!$A$11:$BB$406,41,FALSE)+VLOOKUP($A352,'ПР 21-22'!$A$11:$BB$406,41,FALSE)-VLOOKUP($A352,'ПР 01-02.22'!$A$11:$BB$378,41,FALSE)</f>
        <v>0</v>
      </c>
      <c r="AP352" s="40"/>
      <c r="AQ352" s="5">
        <f>VLOOKUP($A352,'ПР 01-02.21'!$A$11:$BB$406,43,FALSE)+VLOOKUP($A352,'ПР 21-22'!$A$11:$BB$406,43,FALSE)-VLOOKUP($A352,'ПР 01-02.22'!$A$11:$BB$378,43,FALSE)</f>
        <v>0</v>
      </c>
      <c r="AR352" s="5">
        <f>VLOOKUP($A352,'ПР 01-02.21'!$A$11:$BB$406,44,FALSE)+VLOOKUP($A352,'ПР 21-22'!$A$11:$BB$406,44,FALSE)-VLOOKUP($A352,'ПР 01-02.22'!$A$11:$BB$378,44,FALSE)</f>
        <v>0</v>
      </c>
      <c r="AS352" s="40"/>
      <c r="AT352" s="5">
        <f>VLOOKUP($A352,'ПР 01-02.21'!$A$11:$BB$406,46,FALSE)+VLOOKUP($A352,'ПР 21-22'!$A$11:$BB$406,46,FALSE)-VLOOKUP($A352,'ПР 01-02.22'!$A$11:$BB$378,46,FALSE)</f>
        <v>10210.874220522273</v>
      </c>
      <c r="AU352" s="5">
        <f>VLOOKUP($A352,'ПР 01-02.21'!$A$11:$BB$406,47,FALSE)+VLOOKUP($A352,'ПР 21-22'!$A$11:$BB$406,47,FALSE)-VLOOKUP($A352,'ПР 01-02.22'!$A$11:$BB$378,47,FALSE)</f>
        <v>0</v>
      </c>
      <c r="AV352" s="40"/>
      <c r="AW352" s="5">
        <f>VLOOKUP($A352,'ПР 01-02.21'!$A$11:$BB$406,49,FALSE)+VLOOKUP($A352,'ПР 21-22'!$A$11:$BB$406,49,FALSE)-VLOOKUP($A352,'ПР 01-02.22'!$A$11:$BB$378,49,FALSE)</f>
        <v>458.81759999999997</v>
      </c>
      <c r="AX352" s="5">
        <f>VLOOKUP($A352,'ПР 01-02.21'!$A$11:$BB$406,50,FALSE)+VLOOKUP($A352,'ПР 21-22'!$A$11:$BB$406,50,FALSE)-VLOOKUP($A352,'ПР 01-02.22'!$A$11:$BB$378,50,FALSE)</f>
        <v>1264</v>
      </c>
      <c r="AY352" s="40"/>
      <c r="AZ352" s="40">
        <f t="shared" si="21"/>
        <v>33522.070167858474</v>
      </c>
      <c r="BA352" s="40">
        <f t="shared" si="21"/>
        <v>3405</v>
      </c>
      <c r="BB352" s="55">
        <f t="shared" si="24"/>
        <v>-30117.070167858474</v>
      </c>
      <c r="BD352" s="2">
        <v>2</v>
      </c>
      <c r="BF352" s="325">
        <v>150000865</v>
      </c>
    </row>
    <row r="353" spans="1:58" ht="24.9" customHeight="1" x14ac:dyDescent="0.3">
      <c r="A353" s="325">
        <v>150000873</v>
      </c>
      <c r="B353" s="445" t="s">
        <v>307</v>
      </c>
      <c r="C353" s="27">
        <v>5</v>
      </c>
      <c r="D353" s="101" t="s">
        <v>455</v>
      </c>
      <c r="E353" s="279">
        <f>'побудинковий звіт'!E351</f>
        <v>2609.46</v>
      </c>
      <c r="F353" s="441">
        <f>'побудинковий звіт'!AS351</f>
        <v>21959.837473621781</v>
      </c>
      <c r="G353" s="441">
        <f t="shared" si="22"/>
        <v>4576</v>
      </c>
      <c r="H353" s="73">
        <f t="shared" si="23"/>
        <v>-17383.837473621781</v>
      </c>
      <c r="I353" s="5">
        <f>VLOOKUP($A353,'ПР 01-02.21'!$A$11:$BB$406,9,FALSE)+VLOOKUP($A353,'ПР 21-22'!$A$11:$BB$406,9,FALSE)-VLOOKUP($A353,'ПР 01-02.22'!$A$11:$BB$378,9,FALSE)</f>
        <v>0</v>
      </c>
      <c r="J353" s="5">
        <f>VLOOKUP($A353,'ПР 01-02.21'!$A$11:$BB$406,10,FALSE)+VLOOKUP($A353,'ПР 21-22'!$A$11:$BB$406,10,FALSE)-VLOOKUP($A353,'ПР 01-02.22'!$A$11:$BB$378,10,FALSE)</f>
        <v>0</v>
      </c>
      <c r="K353" s="446"/>
      <c r="L353" s="5">
        <f>VLOOKUP($A353,'ПР 01-02.21'!$A$11:$BB$406,12,FALSE)+VLOOKUP($A353,'ПР 21-22'!$A$11:$BB$406,12,FALSE)-VLOOKUP($A353,'ПР 01-02.22'!$A$11:$BB$378,12,FALSE)</f>
        <v>0</v>
      </c>
      <c r="M353" s="5">
        <f>VLOOKUP($A353,'ПР 01-02.21'!$A$11:$BB$406,13,FALSE)+VLOOKUP($A353,'ПР 21-22'!$A$11:$BB$406,13,FALSE)-VLOOKUP($A353,'ПР 01-02.22'!$A$11:$BB$378,13,FALSE)</f>
        <v>1585</v>
      </c>
      <c r="N353" s="38"/>
      <c r="O353" s="5">
        <f>VLOOKUP($A353,'ПР 01-02.21'!$A$11:$BB$406,15,FALSE)+VLOOKUP($A353,'ПР 21-22'!$A$11:$BB$406,15,FALSE)-VLOOKUP($A353,'ПР 01-02.22'!$A$11:$BB$378,15,FALSE)</f>
        <v>0</v>
      </c>
      <c r="P353" s="5">
        <f>VLOOKUP($A353,'ПР 01-02.21'!$A$11:$BB$406,16,FALSE)+VLOOKUP($A353,'ПР 21-22'!$A$11:$BB$406,16,FALSE)-VLOOKUP($A353,'ПР 01-02.22'!$A$11:$BB$378,16,FALSE)</f>
        <v>0</v>
      </c>
      <c r="Q353" s="443"/>
      <c r="R353" s="5">
        <f>VLOOKUP($A353,'ПР 01-02.21'!$A$11:$BB$406,18,FALSE)+VLOOKUP($A353,'ПР 21-22'!$A$11:$BB$406,18,FALSE)-VLOOKUP($A353,'ПР 01-02.22'!$A$11:$BB$378,18,FALSE)</f>
        <v>0</v>
      </c>
      <c r="S353" s="5">
        <f>VLOOKUP($A353,'ПР 01-02.21'!$A$11:$BB$406,19,FALSE)+VLOOKUP($A353,'ПР 21-22'!$A$11:$BB$406,19,FALSE)-VLOOKUP($A353,'ПР 01-02.22'!$A$11:$BB$378,19,FALSE)</f>
        <v>0</v>
      </c>
      <c r="T353" s="444"/>
      <c r="U353" s="5">
        <f>VLOOKUP($A353,'ПР 01-02.21'!$A$11:$BB$406,21,FALSE)+VLOOKUP($A353,'ПР 21-22'!$A$11:$BB$406,21,FALSE)-VLOOKUP($A353,'ПР 01-02.22'!$A$11:$BB$378,21,FALSE)</f>
        <v>0</v>
      </c>
      <c r="V353" s="5"/>
      <c r="W353" s="5">
        <f>VLOOKUP($A353,'ПР 01-02.21'!$A$11:$BB$406,23,FALSE)+VLOOKUP($A353,'ПР 21-22'!$A$11:$BB$406,23,FALSE)-VLOOKUP($A353,'ПР 01-02.22'!$A$11:$BB$378,23,FALSE)</f>
        <v>0</v>
      </c>
      <c r="X353" s="5">
        <f>VLOOKUP($A353,'ПР 01-02.21'!$A$11:$BB$406,24,FALSE)+VLOOKUP($A353,'ПР 21-22'!$A$11:$BB$406,24,FALSE)-VLOOKUP($A353,'ПР 01-02.22'!$A$11:$BB$378,24,FALSE)</f>
        <v>0</v>
      </c>
      <c r="Y353" s="5">
        <f>VLOOKUP($A353,'ПР 01-02.21'!$A$11:$BB$406,25,FALSE)+VLOOKUP($A353,'ПР 21-22'!$A$11:$BB$406,25,FALSE)-VLOOKUP($A353,'ПР 01-02.22'!$A$11:$BB$378,25,FALSE)</f>
        <v>0</v>
      </c>
      <c r="Z353" s="5"/>
      <c r="AA353" s="5">
        <f>VLOOKUP($A353,'ПР 01-02.21'!$A$11:$BB$406,27,FALSE)+VLOOKUP($A353,'ПР 21-22'!$A$11:$BB$406,27,FALSE)-VLOOKUP($A353,'ПР 01-02.22'!$A$11:$BB$378,27,FALSE)</f>
        <v>0</v>
      </c>
      <c r="AB353" s="5">
        <f>VLOOKUP($A353,'ПР 01-02.21'!$A$11:$BB$406,28,FALSE)+VLOOKUP($A353,'ПР 21-22'!$A$11:$BB$406,28,FALSE)-VLOOKUP($A353,'ПР 01-02.22'!$A$11:$BB$378,28,FALSE)</f>
        <v>0</v>
      </c>
      <c r="AC353" s="5">
        <f>VLOOKUP($A353,'ПР 01-02.21'!$A$11:$BB$406,29,FALSE)+VLOOKUP($A353,'ПР 21-22'!$A$11:$BB$406,29,FALSE)-VLOOKUP($A353,'ПР 01-02.22'!$A$11:$BB$378,29,FALSE)</f>
        <v>0</v>
      </c>
      <c r="AD353" s="5">
        <f>VLOOKUP($A353,'ПР 01-02.21'!$A$11:$BB$406,30,FALSE)+VLOOKUP($A353,'ПР 21-22'!$A$11:$BB$406,30,FALSE)-VLOOKUP($A353,'ПР 01-02.22'!$A$11:$BB$378,30,FALSE)</f>
        <v>2991</v>
      </c>
      <c r="AE353" s="5">
        <f>VLOOKUP($A353,'ПР 01-02.21'!$A$11:$BB$406,31,FALSE)+VLOOKUP($A353,'ПР 21-22'!$A$11:$BB$406,31,FALSE)-VLOOKUP($A353,'ПР 01-02.22'!$A$11:$BB$378,31,FALSE)</f>
        <v>2283.9662787888128</v>
      </c>
      <c r="AF353" s="5">
        <f>VLOOKUP($A353,'ПР 01-02.21'!$A$11:$BB$406,32,FALSE)+VLOOKUP($A353,'ПР 21-22'!$A$11:$BB$406,32,FALSE)-VLOOKUP($A353,'ПР 01-02.22'!$A$11:$BB$378,32,FALSE)</f>
        <v>0</v>
      </c>
      <c r="AG353" s="40"/>
      <c r="AH353" s="5">
        <f>VLOOKUP($A353,'ПР 01-02.21'!$A$11:$BB$406,34,FALSE)+VLOOKUP($A353,'ПР 21-22'!$A$11:$BB$406,34,FALSE)-VLOOKUP($A353,'ПР 01-02.22'!$A$11:$BB$378,34,FALSE)</f>
        <v>3153.817373897552</v>
      </c>
      <c r="AI353" s="5">
        <f>VLOOKUP($A353,'ПР 01-02.21'!$A$11:$BB$406,35,FALSE)+VLOOKUP($A353,'ПР 21-22'!$A$11:$BB$406,35,FALSE)-VLOOKUP($A353,'ПР 01-02.22'!$A$11:$BB$378,35,FALSE)</f>
        <v>0</v>
      </c>
      <c r="AJ353" s="40"/>
      <c r="AK353" s="5">
        <f>VLOOKUP($A353,'ПР 01-02.21'!$A$11:$BB$406,37,FALSE)+VLOOKUP($A353,'ПР 21-22'!$A$11:$BB$406,37,FALSE)-VLOOKUP($A353,'ПР 01-02.22'!$A$11:$BB$378,37,FALSE)</f>
        <v>1499.731284798396</v>
      </c>
      <c r="AL353" s="5">
        <f>VLOOKUP($A353,'ПР 01-02.21'!$A$11:$BB$406,38,FALSE)+VLOOKUP($A353,'ПР 21-22'!$A$11:$BB$406,38,FALSE)-VLOOKUP($A353,'ПР 01-02.22'!$A$11:$BB$378,38,FALSE)</f>
        <v>756</v>
      </c>
      <c r="AM353" s="40"/>
      <c r="AN353" s="5">
        <f>VLOOKUP($A353,'ПР 01-02.21'!$A$11:$BB$406,40,FALSE)+VLOOKUP($A353,'ПР 21-22'!$A$11:$BB$406,40,FALSE)-VLOOKUP($A353,'ПР 01-02.22'!$A$11:$BB$378,40,FALSE)</f>
        <v>0</v>
      </c>
      <c r="AO353" s="5">
        <f>VLOOKUP($A353,'ПР 01-02.21'!$A$11:$BB$406,41,FALSE)+VLOOKUP($A353,'ПР 21-22'!$A$11:$BB$406,41,FALSE)-VLOOKUP($A353,'ПР 01-02.22'!$A$11:$BB$378,41,FALSE)</f>
        <v>0</v>
      </c>
      <c r="AP353" s="40"/>
      <c r="AQ353" s="5">
        <f>VLOOKUP($A353,'ПР 01-02.21'!$A$11:$BB$406,43,FALSE)+VLOOKUP($A353,'ПР 21-22'!$A$11:$BB$406,43,FALSE)-VLOOKUP($A353,'ПР 01-02.22'!$A$11:$BB$378,43,FALSE)</f>
        <v>0</v>
      </c>
      <c r="AR353" s="5">
        <f>VLOOKUP($A353,'ПР 01-02.21'!$A$11:$BB$406,44,FALSE)+VLOOKUP($A353,'ПР 21-22'!$A$11:$BB$406,44,FALSE)-VLOOKUP($A353,'ПР 01-02.22'!$A$11:$BB$378,44,FALSE)</f>
        <v>0</v>
      </c>
      <c r="AS353" s="40"/>
      <c r="AT353" s="5">
        <f>VLOOKUP($A353,'ПР 01-02.21'!$A$11:$BB$406,46,FALSE)+VLOOKUP($A353,'ПР 21-22'!$A$11:$BB$406,46,FALSE)-VLOOKUP($A353,'ПР 01-02.22'!$A$11:$BB$378,46,FALSE)</f>
        <v>1303.5609487802292</v>
      </c>
      <c r="AU353" s="5">
        <f>VLOOKUP($A353,'ПР 01-02.21'!$A$11:$BB$406,47,FALSE)+VLOOKUP($A353,'ПР 21-22'!$A$11:$BB$406,47,FALSE)-VLOOKUP($A353,'ПР 01-02.22'!$A$11:$BB$378,47,FALSE)</f>
        <v>0</v>
      </c>
      <c r="AV353" s="40"/>
      <c r="AW353" s="5">
        <f>VLOOKUP($A353,'ПР 01-02.21'!$A$11:$BB$406,49,FALSE)+VLOOKUP($A353,'ПР 21-22'!$A$11:$BB$406,49,FALSE)-VLOOKUP($A353,'ПР 01-02.22'!$A$11:$BB$378,49,FALSE)</f>
        <v>130.3784</v>
      </c>
      <c r="AX353" s="5">
        <f>VLOOKUP($A353,'ПР 01-02.21'!$A$11:$BB$406,50,FALSE)+VLOOKUP($A353,'ПР 21-22'!$A$11:$BB$406,50,FALSE)-VLOOKUP($A353,'ПР 01-02.22'!$A$11:$BB$378,50,FALSE)</f>
        <v>0</v>
      </c>
      <c r="AY353" s="40"/>
      <c r="AZ353" s="40">
        <f t="shared" si="21"/>
        <v>8371.4542862649887</v>
      </c>
      <c r="BA353" s="40">
        <f t="shared" si="21"/>
        <v>756</v>
      </c>
      <c r="BB353" s="55">
        <f t="shared" si="24"/>
        <v>-7615.4542862649887</v>
      </c>
      <c r="BD353" s="2">
        <v>2</v>
      </c>
      <c r="BF353" s="325">
        <v>150000873</v>
      </c>
    </row>
    <row r="354" spans="1:58" ht="24.9" customHeight="1" x14ac:dyDescent="0.3">
      <c r="A354" s="325">
        <v>150000874</v>
      </c>
      <c r="B354" s="445" t="s">
        <v>308</v>
      </c>
      <c r="C354" s="27">
        <v>5</v>
      </c>
      <c r="D354" s="101" t="s">
        <v>455</v>
      </c>
      <c r="E354" s="279">
        <f>'побудинковий звіт'!E352</f>
        <v>2619.3000000000002</v>
      </c>
      <c r="F354" s="441">
        <f>'побудинковий звіт'!AS352</f>
        <v>22827.115253639538</v>
      </c>
      <c r="G354" s="441">
        <f t="shared" si="22"/>
        <v>38633.700000000004</v>
      </c>
      <c r="H354" s="73">
        <f t="shared" si="23"/>
        <v>15806.584746360466</v>
      </c>
      <c r="I354" s="5">
        <f>VLOOKUP($A354,'ПР 01-02.21'!$A$11:$BB$406,9,FALSE)+VLOOKUP($A354,'ПР 21-22'!$A$11:$BB$406,9,FALSE)-VLOOKUP($A354,'ПР 01-02.22'!$A$11:$BB$378,9,FALSE)</f>
        <v>130</v>
      </c>
      <c r="J354" s="5">
        <f>VLOOKUP($A354,'ПР 01-02.21'!$A$11:$BB$406,10,FALSE)+VLOOKUP($A354,'ПР 21-22'!$A$11:$BB$406,10,FALSE)-VLOOKUP($A354,'ПР 01-02.22'!$A$11:$BB$378,10,FALSE)</f>
        <v>27279.79</v>
      </c>
      <c r="K354" s="446"/>
      <c r="L354" s="5">
        <f>VLOOKUP($A354,'ПР 01-02.21'!$A$11:$BB$406,12,FALSE)+VLOOKUP($A354,'ПР 21-22'!$A$11:$BB$406,12,FALSE)-VLOOKUP($A354,'ПР 01-02.22'!$A$11:$BB$378,12,FALSE)</f>
        <v>0</v>
      </c>
      <c r="M354" s="5">
        <f>VLOOKUP($A354,'ПР 01-02.21'!$A$11:$BB$406,13,FALSE)+VLOOKUP($A354,'ПР 21-22'!$A$11:$BB$406,13,FALSE)-VLOOKUP($A354,'ПР 01-02.22'!$A$11:$BB$378,13,FALSE)</f>
        <v>1611.49</v>
      </c>
      <c r="N354" s="38"/>
      <c r="O354" s="5">
        <f>VLOOKUP($A354,'ПР 01-02.21'!$A$11:$BB$406,15,FALSE)+VLOOKUP($A354,'ПР 21-22'!$A$11:$BB$406,15,FALSE)-VLOOKUP($A354,'ПР 01-02.22'!$A$11:$BB$378,15,FALSE)</f>
        <v>0</v>
      </c>
      <c r="P354" s="5">
        <f>VLOOKUP($A354,'ПР 01-02.21'!$A$11:$BB$406,16,FALSE)+VLOOKUP($A354,'ПР 21-22'!$A$11:$BB$406,16,FALSE)-VLOOKUP($A354,'ПР 01-02.22'!$A$11:$BB$378,16,FALSE)</f>
        <v>0</v>
      </c>
      <c r="Q354" s="443"/>
      <c r="R354" s="5">
        <f>VLOOKUP($A354,'ПР 01-02.21'!$A$11:$BB$406,18,FALSE)+VLOOKUP($A354,'ПР 21-22'!$A$11:$BB$406,18,FALSE)-VLOOKUP($A354,'ПР 01-02.22'!$A$11:$BB$378,18,FALSE)</f>
        <v>0</v>
      </c>
      <c r="S354" s="5">
        <f>VLOOKUP($A354,'ПР 01-02.21'!$A$11:$BB$406,19,FALSE)+VLOOKUP($A354,'ПР 21-22'!$A$11:$BB$406,19,FALSE)-VLOOKUP($A354,'ПР 01-02.22'!$A$11:$BB$378,19,FALSE)</f>
        <v>0</v>
      </c>
      <c r="T354" s="444"/>
      <c r="U354" s="5">
        <f>VLOOKUP($A354,'ПР 01-02.21'!$A$11:$BB$406,21,FALSE)+VLOOKUP($A354,'ПР 21-22'!$A$11:$BB$406,21,FALSE)-VLOOKUP($A354,'ПР 01-02.22'!$A$11:$BB$378,21,FALSE)</f>
        <v>0</v>
      </c>
      <c r="V354" s="5"/>
      <c r="W354" s="5">
        <f>VLOOKUP($A354,'ПР 01-02.21'!$A$11:$BB$406,23,FALSE)+VLOOKUP($A354,'ПР 21-22'!$A$11:$BB$406,23,FALSE)-VLOOKUP($A354,'ПР 01-02.22'!$A$11:$BB$378,23,FALSE)</f>
        <v>0</v>
      </c>
      <c r="X354" s="5">
        <f>VLOOKUP($A354,'ПР 01-02.21'!$A$11:$BB$406,24,FALSE)+VLOOKUP($A354,'ПР 21-22'!$A$11:$BB$406,24,FALSE)-VLOOKUP($A354,'ПР 01-02.22'!$A$11:$BB$378,24,FALSE)</f>
        <v>0</v>
      </c>
      <c r="Y354" s="5">
        <f>VLOOKUP($A354,'ПР 01-02.21'!$A$11:$BB$406,25,FALSE)+VLOOKUP($A354,'ПР 21-22'!$A$11:$BB$406,25,FALSE)-VLOOKUP($A354,'ПР 01-02.22'!$A$11:$BB$378,25,FALSE)</f>
        <v>8701.42</v>
      </c>
      <c r="Z354" s="5"/>
      <c r="AA354" s="5">
        <f>VLOOKUP($A354,'ПР 01-02.21'!$A$11:$BB$406,27,FALSE)+VLOOKUP($A354,'ПР 21-22'!$A$11:$BB$406,27,FALSE)-VLOOKUP($A354,'ПР 01-02.22'!$A$11:$BB$378,27,FALSE)</f>
        <v>0</v>
      </c>
      <c r="AB354" s="5">
        <f>VLOOKUP($A354,'ПР 01-02.21'!$A$11:$BB$406,28,FALSE)+VLOOKUP($A354,'ПР 21-22'!$A$11:$BB$406,28,FALSE)-VLOOKUP($A354,'ПР 01-02.22'!$A$11:$BB$378,28,FALSE)</f>
        <v>0</v>
      </c>
      <c r="AC354" s="5">
        <f>VLOOKUP($A354,'ПР 01-02.21'!$A$11:$BB$406,29,FALSE)+VLOOKUP($A354,'ПР 21-22'!$A$11:$BB$406,29,FALSE)-VLOOKUP($A354,'ПР 01-02.22'!$A$11:$BB$378,29,FALSE)</f>
        <v>0</v>
      </c>
      <c r="AD354" s="5">
        <f>VLOOKUP($A354,'ПР 01-02.21'!$A$11:$BB$406,30,FALSE)+VLOOKUP($A354,'ПР 21-22'!$A$11:$BB$406,30,FALSE)-VLOOKUP($A354,'ПР 01-02.22'!$A$11:$BB$378,30,FALSE)</f>
        <v>1041</v>
      </c>
      <c r="AE354" s="5">
        <f>VLOOKUP($A354,'ПР 01-02.21'!$A$11:$BB$406,31,FALSE)+VLOOKUP($A354,'ПР 21-22'!$A$11:$BB$406,31,FALSE)-VLOOKUP($A354,'ПР 01-02.22'!$A$11:$BB$378,31,FALSE)</f>
        <v>2211.6421384072769</v>
      </c>
      <c r="AF354" s="5">
        <f>VLOOKUP($A354,'ПР 01-02.21'!$A$11:$BB$406,32,FALSE)+VLOOKUP($A354,'ПР 21-22'!$A$11:$BB$406,32,FALSE)-VLOOKUP($A354,'ПР 01-02.22'!$A$11:$BB$378,32,FALSE)</f>
        <v>204</v>
      </c>
      <c r="AG354" s="40"/>
      <c r="AH354" s="5">
        <f>VLOOKUP($A354,'ПР 01-02.21'!$A$11:$BB$406,34,FALSE)+VLOOKUP($A354,'ПР 21-22'!$A$11:$BB$406,34,FALSE)-VLOOKUP($A354,'ПР 01-02.22'!$A$11:$BB$378,34,FALSE)</f>
        <v>3153.817373897552</v>
      </c>
      <c r="AI354" s="5">
        <f>VLOOKUP($A354,'ПР 01-02.21'!$A$11:$BB$406,35,FALSE)+VLOOKUP($A354,'ПР 21-22'!$A$11:$BB$406,35,FALSE)-VLOOKUP($A354,'ПР 01-02.22'!$A$11:$BB$378,35,FALSE)</f>
        <v>306</v>
      </c>
      <c r="AJ354" s="40"/>
      <c r="AK354" s="5">
        <f>VLOOKUP($A354,'ПР 01-02.21'!$A$11:$BB$406,37,FALSE)+VLOOKUP($A354,'ПР 21-22'!$A$11:$BB$406,37,FALSE)-VLOOKUP($A354,'ПР 01-02.22'!$A$11:$BB$378,37,FALSE)</f>
        <v>1346.4036552115099</v>
      </c>
      <c r="AL354" s="5">
        <f>VLOOKUP($A354,'ПР 01-02.21'!$A$11:$BB$406,38,FALSE)+VLOOKUP($A354,'ПР 21-22'!$A$11:$BB$406,38,FALSE)-VLOOKUP($A354,'ПР 01-02.22'!$A$11:$BB$378,38,FALSE)</f>
        <v>0</v>
      </c>
      <c r="AM354" s="40"/>
      <c r="AN354" s="5">
        <f>VLOOKUP($A354,'ПР 01-02.21'!$A$11:$BB$406,40,FALSE)+VLOOKUP($A354,'ПР 21-22'!$A$11:$BB$406,40,FALSE)-VLOOKUP($A354,'ПР 01-02.22'!$A$11:$BB$378,40,FALSE)</f>
        <v>1648.7805951875766</v>
      </c>
      <c r="AO354" s="5">
        <f>VLOOKUP($A354,'ПР 01-02.21'!$A$11:$BB$406,41,FALSE)+VLOOKUP($A354,'ПР 21-22'!$A$11:$BB$406,41,FALSE)-VLOOKUP($A354,'ПР 01-02.22'!$A$11:$BB$378,41,FALSE)</f>
        <v>0</v>
      </c>
      <c r="AP354" s="40"/>
      <c r="AQ354" s="5">
        <f>VLOOKUP($A354,'ПР 01-02.21'!$A$11:$BB$406,43,FALSE)+VLOOKUP($A354,'ПР 21-22'!$A$11:$BB$406,43,FALSE)-VLOOKUP($A354,'ПР 01-02.22'!$A$11:$BB$378,43,FALSE)</f>
        <v>1026.7479782613534</v>
      </c>
      <c r="AR354" s="5">
        <f>VLOOKUP($A354,'ПР 01-02.21'!$A$11:$BB$406,44,FALSE)+VLOOKUP($A354,'ПР 21-22'!$A$11:$BB$406,44,FALSE)-VLOOKUP($A354,'ПР 01-02.22'!$A$11:$BB$378,44,FALSE)</f>
        <v>4431</v>
      </c>
      <c r="AS354" s="40"/>
      <c r="AT354" s="5">
        <f>VLOOKUP($A354,'ПР 01-02.21'!$A$11:$BB$406,46,FALSE)+VLOOKUP($A354,'ПР 21-22'!$A$11:$BB$406,46,FALSE)-VLOOKUP($A354,'ПР 01-02.22'!$A$11:$BB$378,46,FALSE)</f>
        <v>1303.561018591168</v>
      </c>
      <c r="AU354" s="5">
        <f>VLOOKUP($A354,'ПР 01-02.21'!$A$11:$BB$406,47,FALSE)+VLOOKUP($A354,'ПР 21-22'!$A$11:$BB$406,47,FALSE)-VLOOKUP($A354,'ПР 01-02.22'!$A$11:$BB$378,47,FALSE)</f>
        <v>0</v>
      </c>
      <c r="AV354" s="40"/>
      <c r="AW354" s="5">
        <f>VLOOKUP($A354,'ПР 01-02.21'!$A$11:$BB$406,49,FALSE)+VLOOKUP($A354,'ПР 21-22'!$A$11:$BB$406,49,FALSE)-VLOOKUP($A354,'ПР 01-02.22'!$A$11:$BB$378,49,FALSE)</f>
        <v>114.164</v>
      </c>
      <c r="AX354" s="5">
        <f>VLOOKUP($A354,'ПР 01-02.21'!$A$11:$BB$406,50,FALSE)+VLOOKUP($A354,'ПР 21-22'!$A$11:$BB$406,50,FALSE)-VLOOKUP($A354,'ПР 01-02.22'!$A$11:$BB$378,50,FALSE)</f>
        <v>0</v>
      </c>
      <c r="AY354" s="40"/>
      <c r="AZ354" s="40">
        <f t="shared" si="21"/>
        <v>10805.116759556438</v>
      </c>
      <c r="BA354" s="40">
        <f t="shared" si="21"/>
        <v>4941</v>
      </c>
      <c r="BB354" s="55">
        <f t="shared" si="24"/>
        <v>-5864.1167595564384</v>
      </c>
      <c r="BD354" s="2">
        <v>2</v>
      </c>
      <c r="BF354" s="325">
        <v>150000874</v>
      </c>
    </row>
    <row r="355" spans="1:58" ht="24.9" customHeight="1" x14ac:dyDescent="0.3">
      <c r="A355" s="325">
        <v>150000866</v>
      </c>
      <c r="B355" s="445" t="s">
        <v>309</v>
      </c>
      <c r="C355" s="27">
        <v>5</v>
      </c>
      <c r="D355" s="101" t="s">
        <v>455</v>
      </c>
      <c r="E355" s="279">
        <f>'побудинковий звіт'!E353</f>
        <v>5026.5</v>
      </c>
      <c r="F355" s="441">
        <f>'побудинковий звіт'!AS353</f>
        <v>43294.645500103958</v>
      </c>
      <c r="G355" s="441">
        <f t="shared" si="22"/>
        <v>66243</v>
      </c>
      <c r="H355" s="73">
        <f t="shared" si="23"/>
        <v>22948.354499896042</v>
      </c>
      <c r="I355" s="5">
        <f>VLOOKUP($A355,'ПР 01-02.21'!$A$11:$BB$406,9,FALSE)+VLOOKUP($A355,'ПР 21-22'!$A$11:$BB$406,9,FALSE)-VLOOKUP($A355,'ПР 01-02.22'!$A$11:$BB$378,9,FALSE)</f>
        <v>0</v>
      </c>
      <c r="J355" s="5">
        <f>VLOOKUP($A355,'ПР 01-02.21'!$A$11:$BB$406,10,FALSE)+VLOOKUP($A355,'ПР 21-22'!$A$11:$BB$406,10,FALSE)-VLOOKUP($A355,'ПР 01-02.22'!$A$11:$BB$378,10,FALSE)</f>
        <v>0</v>
      </c>
      <c r="K355" s="446"/>
      <c r="L355" s="5">
        <f>VLOOKUP($A355,'ПР 01-02.21'!$A$11:$BB$406,12,FALSE)+VLOOKUP($A355,'ПР 21-22'!$A$11:$BB$406,12,FALSE)-VLOOKUP($A355,'ПР 01-02.22'!$A$11:$BB$378,12,FALSE)</f>
        <v>1</v>
      </c>
      <c r="M355" s="5">
        <f>VLOOKUP($A355,'ПР 01-02.21'!$A$11:$BB$406,13,FALSE)+VLOOKUP($A355,'ПР 21-22'!$A$11:$BB$406,13,FALSE)-VLOOKUP($A355,'ПР 01-02.22'!$A$11:$BB$378,13,FALSE)</f>
        <v>37666</v>
      </c>
      <c r="N355" s="38"/>
      <c r="O355" s="5">
        <f>VLOOKUP($A355,'ПР 01-02.21'!$A$11:$BB$406,15,FALSE)+VLOOKUP($A355,'ПР 21-22'!$A$11:$BB$406,15,FALSE)-VLOOKUP($A355,'ПР 01-02.22'!$A$11:$BB$378,15,FALSE)</f>
        <v>0</v>
      </c>
      <c r="P355" s="5">
        <f>VLOOKUP($A355,'ПР 01-02.21'!$A$11:$BB$406,16,FALSE)+VLOOKUP($A355,'ПР 21-22'!$A$11:$BB$406,16,FALSE)-VLOOKUP($A355,'ПР 01-02.22'!$A$11:$BB$378,16,FALSE)</f>
        <v>0</v>
      </c>
      <c r="Q355" s="443"/>
      <c r="R355" s="5">
        <f>VLOOKUP($A355,'ПР 01-02.21'!$A$11:$BB$406,18,FALSE)+VLOOKUP($A355,'ПР 21-22'!$A$11:$BB$406,18,FALSE)-VLOOKUP($A355,'ПР 01-02.22'!$A$11:$BB$378,18,FALSE)</f>
        <v>0</v>
      </c>
      <c r="S355" s="5">
        <f>VLOOKUP($A355,'ПР 01-02.21'!$A$11:$BB$406,19,FALSE)+VLOOKUP($A355,'ПР 21-22'!$A$11:$BB$406,19,FALSE)-VLOOKUP($A355,'ПР 01-02.22'!$A$11:$BB$378,19,FALSE)</f>
        <v>0</v>
      </c>
      <c r="T355" s="444"/>
      <c r="U355" s="5">
        <f>VLOOKUP($A355,'ПР 01-02.21'!$A$11:$BB$406,21,FALSE)+VLOOKUP($A355,'ПР 21-22'!$A$11:$BB$406,21,FALSE)-VLOOKUP($A355,'ПР 01-02.22'!$A$11:$BB$378,21,FALSE)</f>
        <v>0</v>
      </c>
      <c r="V355" s="5"/>
      <c r="W355" s="5">
        <f>VLOOKUP($A355,'ПР 01-02.21'!$A$11:$BB$406,23,FALSE)+VLOOKUP($A355,'ПР 21-22'!$A$11:$BB$406,23,FALSE)-VLOOKUP($A355,'ПР 01-02.22'!$A$11:$BB$378,23,FALSE)</f>
        <v>0</v>
      </c>
      <c r="X355" s="5">
        <f>VLOOKUP($A355,'ПР 01-02.21'!$A$11:$BB$406,24,FALSE)+VLOOKUP($A355,'ПР 21-22'!$A$11:$BB$406,24,FALSE)-VLOOKUP($A355,'ПР 01-02.22'!$A$11:$BB$378,24,FALSE)</f>
        <v>0</v>
      </c>
      <c r="Y355" s="5">
        <f>VLOOKUP($A355,'ПР 01-02.21'!$A$11:$BB$406,25,FALSE)+VLOOKUP($A355,'ПР 21-22'!$A$11:$BB$406,25,FALSE)-VLOOKUP($A355,'ПР 01-02.22'!$A$11:$BB$378,25,FALSE)</f>
        <v>9438.59</v>
      </c>
      <c r="Z355" s="5"/>
      <c r="AA355" s="5">
        <f>VLOOKUP($A355,'ПР 01-02.21'!$A$11:$BB$406,27,FALSE)+VLOOKUP($A355,'ПР 21-22'!$A$11:$BB$406,27,FALSE)-VLOOKUP($A355,'ПР 01-02.22'!$A$11:$BB$378,27,FALSE)</f>
        <v>0</v>
      </c>
      <c r="AB355" s="5">
        <f>VLOOKUP($A355,'ПР 01-02.21'!$A$11:$BB$406,28,FALSE)+VLOOKUP($A355,'ПР 21-22'!$A$11:$BB$406,28,FALSE)-VLOOKUP($A355,'ПР 01-02.22'!$A$11:$BB$378,28,FALSE)</f>
        <v>2852.99</v>
      </c>
      <c r="AC355" s="5">
        <f>VLOOKUP($A355,'ПР 01-02.21'!$A$11:$BB$406,29,FALSE)+VLOOKUP($A355,'ПР 21-22'!$A$11:$BB$406,29,FALSE)-VLOOKUP($A355,'ПР 01-02.22'!$A$11:$BB$378,29,FALSE)</f>
        <v>8259</v>
      </c>
      <c r="AD355" s="5">
        <f>VLOOKUP($A355,'ПР 01-02.21'!$A$11:$BB$406,30,FALSE)+VLOOKUP($A355,'ПР 21-22'!$A$11:$BB$406,30,FALSE)-VLOOKUP($A355,'ПР 01-02.22'!$A$11:$BB$378,30,FALSE)</f>
        <v>8026.42</v>
      </c>
      <c r="AE355" s="5">
        <f>VLOOKUP($A355,'ПР 01-02.21'!$A$11:$BB$406,31,FALSE)+VLOOKUP($A355,'ПР 21-22'!$A$11:$BB$406,31,FALSE)-VLOOKUP($A355,'ПР 01-02.22'!$A$11:$BB$378,31,FALSE)</f>
        <v>4933.2300980491746</v>
      </c>
      <c r="AF355" s="5">
        <f>VLOOKUP($A355,'ПР 01-02.21'!$A$11:$BB$406,32,FALSE)+VLOOKUP($A355,'ПР 21-22'!$A$11:$BB$406,32,FALSE)-VLOOKUP($A355,'ПР 01-02.22'!$A$11:$BB$378,32,FALSE)</f>
        <v>1688.5299999999997</v>
      </c>
      <c r="AG355" s="40"/>
      <c r="AH355" s="5">
        <f>VLOOKUP($A355,'ПР 01-02.21'!$A$11:$BB$406,34,FALSE)+VLOOKUP($A355,'ПР 21-22'!$A$11:$BB$406,34,FALSE)-VLOOKUP($A355,'ПР 01-02.22'!$A$11:$BB$378,34,FALSE)</f>
        <v>6254.2187901624638</v>
      </c>
      <c r="AI355" s="5">
        <f>VLOOKUP($A355,'ПР 01-02.21'!$A$11:$BB$406,35,FALSE)+VLOOKUP($A355,'ПР 21-22'!$A$11:$BB$406,35,FALSE)-VLOOKUP($A355,'ПР 01-02.22'!$A$11:$BB$378,35,FALSE)</f>
        <v>0</v>
      </c>
      <c r="AJ355" s="40"/>
      <c r="AK355" s="5">
        <f>VLOOKUP($A355,'ПР 01-02.21'!$A$11:$BB$406,37,FALSE)+VLOOKUP($A355,'ПР 21-22'!$A$11:$BB$406,37,FALSE)-VLOOKUP($A355,'ПР 01-02.22'!$A$11:$BB$378,37,FALSE)</f>
        <v>2465.3056811797328</v>
      </c>
      <c r="AL355" s="5">
        <f>VLOOKUP($A355,'ПР 01-02.21'!$A$11:$BB$406,38,FALSE)+VLOOKUP($A355,'ПР 21-22'!$A$11:$BB$406,38,FALSE)-VLOOKUP($A355,'ПР 01-02.22'!$A$11:$BB$378,38,FALSE)</f>
        <v>0</v>
      </c>
      <c r="AM355" s="40"/>
      <c r="AN355" s="5">
        <f>VLOOKUP($A355,'ПР 01-02.21'!$A$11:$BB$406,40,FALSE)+VLOOKUP($A355,'ПР 21-22'!$A$11:$BB$406,40,FALSE)-VLOOKUP($A355,'ПР 01-02.22'!$A$11:$BB$378,40,FALSE)</f>
        <v>0</v>
      </c>
      <c r="AO355" s="5">
        <f>VLOOKUP($A355,'ПР 01-02.21'!$A$11:$BB$406,41,FALSE)+VLOOKUP($A355,'ПР 21-22'!$A$11:$BB$406,41,FALSE)-VLOOKUP($A355,'ПР 01-02.22'!$A$11:$BB$378,41,FALSE)</f>
        <v>0</v>
      </c>
      <c r="AP355" s="40"/>
      <c r="AQ355" s="5">
        <f>VLOOKUP($A355,'ПР 01-02.21'!$A$11:$BB$406,43,FALSE)+VLOOKUP($A355,'ПР 21-22'!$A$11:$BB$406,43,FALSE)-VLOOKUP($A355,'ПР 01-02.22'!$A$11:$BB$378,43,FALSE)</f>
        <v>0</v>
      </c>
      <c r="AR355" s="5">
        <f>VLOOKUP($A355,'ПР 01-02.21'!$A$11:$BB$406,44,FALSE)+VLOOKUP($A355,'ПР 21-22'!$A$11:$BB$406,44,FALSE)-VLOOKUP($A355,'ПР 01-02.22'!$A$11:$BB$378,44,FALSE)</f>
        <v>0</v>
      </c>
      <c r="AS355" s="40"/>
      <c r="AT355" s="5">
        <f>VLOOKUP($A355,'ПР 01-02.21'!$A$11:$BB$406,46,FALSE)+VLOOKUP($A355,'ПР 21-22'!$A$11:$BB$406,46,FALSE)-VLOOKUP($A355,'ПР 01-02.22'!$A$11:$BB$378,46,FALSE)</f>
        <v>4034.5783099980272</v>
      </c>
      <c r="AU355" s="5">
        <f>VLOOKUP($A355,'ПР 01-02.21'!$A$11:$BB$406,47,FALSE)+VLOOKUP($A355,'ПР 21-22'!$A$11:$BB$406,47,FALSE)-VLOOKUP($A355,'ПР 01-02.22'!$A$11:$BB$378,47,FALSE)</f>
        <v>1014</v>
      </c>
      <c r="AV355" s="40"/>
      <c r="AW355" s="5">
        <f>VLOOKUP($A355,'ПР 01-02.21'!$A$11:$BB$406,49,FALSE)+VLOOKUP($A355,'ПР 21-22'!$A$11:$BB$406,49,FALSE)-VLOOKUP($A355,'ПР 01-02.22'!$A$11:$BB$378,49,FALSE)</f>
        <v>1249.9644751769529</v>
      </c>
      <c r="AX355" s="5">
        <f>VLOOKUP($A355,'ПР 01-02.21'!$A$11:$BB$406,50,FALSE)+VLOOKUP($A355,'ПР 21-22'!$A$11:$BB$406,50,FALSE)-VLOOKUP($A355,'ПР 01-02.22'!$A$11:$BB$378,50,FALSE)</f>
        <v>0</v>
      </c>
      <c r="AY355" s="40"/>
      <c r="AZ355" s="40">
        <f t="shared" si="21"/>
        <v>18937.297354566348</v>
      </c>
      <c r="BA355" s="40">
        <f t="shared" si="21"/>
        <v>2702.5299999999997</v>
      </c>
      <c r="BB355" s="55">
        <f t="shared" si="24"/>
        <v>-16234.767354566349</v>
      </c>
      <c r="BD355" s="2">
        <v>1</v>
      </c>
      <c r="BF355" s="325">
        <v>150000866</v>
      </c>
    </row>
    <row r="356" spans="1:58" ht="24.9" customHeight="1" x14ac:dyDescent="0.3">
      <c r="A356" s="325">
        <v>150000867</v>
      </c>
      <c r="B356" s="445" t="s">
        <v>310</v>
      </c>
      <c r="C356" s="27">
        <v>5</v>
      </c>
      <c r="D356" s="101" t="s">
        <v>455</v>
      </c>
      <c r="E356" s="279">
        <f>'побудинковий звіт'!E354</f>
        <v>2840.51</v>
      </c>
      <c r="F356" s="441">
        <f>'побудинковий звіт'!AS354</f>
        <v>18846.126990883586</v>
      </c>
      <c r="G356" s="441">
        <f t="shared" si="22"/>
        <v>5132</v>
      </c>
      <c r="H356" s="73">
        <f t="shared" si="23"/>
        <v>-13714.126990883586</v>
      </c>
      <c r="I356" s="5">
        <f>VLOOKUP($A356,'ПР 01-02.21'!$A$11:$BB$406,9,FALSE)+VLOOKUP($A356,'ПР 21-22'!$A$11:$BB$406,9,FALSE)-VLOOKUP($A356,'ПР 01-02.22'!$A$11:$BB$378,9,FALSE)</f>
        <v>0</v>
      </c>
      <c r="J356" s="5">
        <f>VLOOKUP($A356,'ПР 01-02.21'!$A$11:$BB$406,10,FALSE)+VLOOKUP($A356,'ПР 21-22'!$A$11:$BB$406,10,FALSE)-VLOOKUP($A356,'ПР 01-02.22'!$A$11:$BB$378,10,FALSE)</f>
        <v>1228</v>
      </c>
      <c r="K356" s="446"/>
      <c r="L356" s="5">
        <f>VLOOKUP($A356,'ПР 01-02.21'!$A$11:$BB$406,12,FALSE)+VLOOKUP($A356,'ПР 21-22'!$A$11:$BB$406,12,FALSE)-VLOOKUP($A356,'ПР 01-02.22'!$A$11:$BB$378,12,FALSE)</f>
        <v>0</v>
      </c>
      <c r="M356" s="5">
        <f>VLOOKUP($A356,'ПР 01-02.21'!$A$11:$BB$406,13,FALSE)+VLOOKUP($A356,'ПР 21-22'!$A$11:$BB$406,13,FALSE)-VLOOKUP($A356,'ПР 01-02.22'!$A$11:$BB$378,13,FALSE)</f>
        <v>0</v>
      </c>
      <c r="N356" s="38"/>
      <c r="O356" s="5">
        <f>VLOOKUP($A356,'ПР 01-02.21'!$A$11:$BB$406,15,FALSE)+VLOOKUP($A356,'ПР 21-22'!$A$11:$BB$406,15,FALSE)-VLOOKUP($A356,'ПР 01-02.22'!$A$11:$BB$378,15,FALSE)</f>
        <v>0</v>
      </c>
      <c r="P356" s="5">
        <f>VLOOKUP($A356,'ПР 01-02.21'!$A$11:$BB$406,16,FALSE)+VLOOKUP($A356,'ПР 21-22'!$A$11:$BB$406,16,FALSE)-VLOOKUP($A356,'ПР 01-02.22'!$A$11:$BB$378,16,FALSE)</f>
        <v>0</v>
      </c>
      <c r="Q356" s="443"/>
      <c r="R356" s="5">
        <f>VLOOKUP($A356,'ПР 01-02.21'!$A$11:$BB$406,18,FALSE)+VLOOKUP($A356,'ПР 21-22'!$A$11:$BB$406,18,FALSE)-VLOOKUP($A356,'ПР 01-02.22'!$A$11:$BB$378,18,FALSE)</f>
        <v>0</v>
      </c>
      <c r="S356" s="5">
        <f>VLOOKUP($A356,'ПР 01-02.21'!$A$11:$BB$406,19,FALSE)+VLOOKUP($A356,'ПР 21-22'!$A$11:$BB$406,19,FALSE)-VLOOKUP($A356,'ПР 01-02.22'!$A$11:$BB$378,19,FALSE)</f>
        <v>0</v>
      </c>
      <c r="T356" s="444"/>
      <c r="U356" s="5">
        <f>VLOOKUP($A356,'ПР 01-02.21'!$A$11:$BB$406,21,FALSE)+VLOOKUP($A356,'ПР 21-22'!$A$11:$BB$406,21,FALSE)-VLOOKUP($A356,'ПР 01-02.22'!$A$11:$BB$378,21,FALSE)</f>
        <v>0</v>
      </c>
      <c r="V356" s="5"/>
      <c r="W356" s="5">
        <f>VLOOKUP($A356,'ПР 01-02.21'!$A$11:$BB$406,23,FALSE)+VLOOKUP($A356,'ПР 21-22'!$A$11:$BB$406,23,FALSE)-VLOOKUP($A356,'ПР 01-02.22'!$A$11:$BB$378,23,FALSE)</f>
        <v>0</v>
      </c>
      <c r="X356" s="5">
        <f>VLOOKUP($A356,'ПР 01-02.21'!$A$11:$BB$406,24,FALSE)+VLOOKUP($A356,'ПР 21-22'!$A$11:$BB$406,24,FALSE)-VLOOKUP($A356,'ПР 01-02.22'!$A$11:$BB$378,24,FALSE)</f>
        <v>0</v>
      </c>
      <c r="Y356" s="5">
        <f>VLOOKUP($A356,'ПР 01-02.21'!$A$11:$BB$406,25,FALSE)+VLOOKUP($A356,'ПР 21-22'!$A$11:$BB$406,25,FALSE)-VLOOKUP($A356,'ПР 01-02.22'!$A$11:$BB$378,25,FALSE)</f>
        <v>777</v>
      </c>
      <c r="Z356" s="5"/>
      <c r="AA356" s="5">
        <f>VLOOKUP($A356,'ПР 01-02.21'!$A$11:$BB$406,27,FALSE)+VLOOKUP($A356,'ПР 21-22'!$A$11:$BB$406,27,FALSE)-VLOOKUP($A356,'ПР 01-02.22'!$A$11:$BB$378,27,FALSE)</f>
        <v>0</v>
      </c>
      <c r="AB356" s="5">
        <f>VLOOKUP($A356,'ПР 01-02.21'!$A$11:$BB$406,28,FALSE)+VLOOKUP($A356,'ПР 21-22'!$A$11:$BB$406,28,FALSE)-VLOOKUP($A356,'ПР 01-02.22'!$A$11:$BB$378,28,FALSE)</f>
        <v>0</v>
      </c>
      <c r="AC356" s="5">
        <f>VLOOKUP($A356,'ПР 01-02.21'!$A$11:$BB$406,29,FALSE)+VLOOKUP($A356,'ПР 21-22'!$A$11:$BB$406,29,FALSE)-VLOOKUP($A356,'ПР 01-02.22'!$A$11:$BB$378,29,FALSE)</f>
        <v>842</v>
      </c>
      <c r="AD356" s="5">
        <f>VLOOKUP($A356,'ПР 01-02.21'!$A$11:$BB$406,30,FALSE)+VLOOKUP($A356,'ПР 21-22'!$A$11:$BB$406,30,FALSE)-VLOOKUP($A356,'ПР 01-02.22'!$A$11:$BB$378,30,FALSE)</f>
        <v>2285</v>
      </c>
      <c r="AE356" s="5">
        <f>VLOOKUP($A356,'ПР 01-02.21'!$A$11:$BB$406,31,FALSE)+VLOOKUP($A356,'ПР 21-22'!$A$11:$BB$406,31,FALSE)-VLOOKUP($A356,'ПР 01-02.22'!$A$11:$BB$378,31,FALSE)</f>
        <v>2376.5443454157439</v>
      </c>
      <c r="AF356" s="5">
        <f>VLOOKUP($A356,'ПР 01-02.21'!$A$11:$BB$406,32,FALSE)+VLOOKUP($A356,'ПР 21-22'!$A$11:$BB$406,32,FALSE)-VLOOKUP($A356,'ПР 01-02.22'!$A$11:$BB$378,32,FALSE)</f>
        <v>1506</v>
      </c>
      <c r="AG356" s="40"/>
      <c r="AH356" s="5">
        <f>VLOOKUP($A356,'ПР 01-02.21'!$A$11:$BB$406,34,FALSE)+VLOOKUP($A356,'ПР 21-22'!$A$11:$BB$406,34,FALSE)-VLOOKUP($A356,'ПР 01-02.22'!$A$11:$BB$378,34,FALSE)</f>
        <v>3207.402366474359</v>
      </c>
      <c r="AI356" s="5">
        <f>VLOOKUP($A356,'ПР 01-02.21'!$A$11:$BB$406,35,FALSE)+VLOOKUP($A356,'ПР 21-22'!$A$11:$BB$406,35,FALSE)-VLOOKUP($A356,'ПР 01-02.22'!$A$11:$BB$378,35,FALSE)</f>
        <v>1847</v>
      </c>
      <c r="AJ356" s="40"/>
      <c r="AK356" s="5">
        <f>VLOOKUP($A356,'ПР 01-02.21'!$A$11:$BB$406,37,FALSE)+VLOOKUP($A356,'ПР 21-22'!$A$11:$BB$406,37,FALSE)-VLOOKUP($A356,'ПР 01-02.22'!$A$11:$BB$378,37,FALSE)</f>
        <v>1469.4412411548087</v>
      </c>
      <c r="AL356" s="5">
        <f>VLOOKUP($A356,'ПР 01-02.21'!$A$11:$BB$406,38,FALSE)+VLOOKUP($A356,'ПР 21-22'!$A$11:$BB$406,38,FALSE)-VLOOKUP($A356,'ПР 01-02.22'!$A$11:$BB$378,38,FALSE)</f>
        <v>0</v>
      </c>
      <c r="AM356" s="40"/>
      <c r="AN356" s="5">
        <f>VLOOKUP($A356,'ПР 01-02.21'!$A$11:$BB$406,40,FALSE)+VLOOKUP($A356,'ПР 21-22'!$A$11:$BB$406,40,FALSE)-VLOOKUP($A356,'ПР 01-02.22'!$A$11:$BB$378,40,FALSE)</f>
        <v>0</v>
      </c>
      <c r="AO356" s="5">
        <f>VLOOKUP($A356,'ПР 01-02.21'!$A$11:$BB$406,41,FALSE)+VLOOKUP($A356,'ПР 21-22'!$A$11:$BB$406,41,FALSE)-VLOOKUP($A356,'ПР 01-02.22'!$A$11:$BB$378,41,FALSE)</f>
        <v>0</v>
      </c>
      <c r="AP356" s="40"/>
      <c r="AQ356" s="5">
        <f>VLOOKUP($A356,'ПР 01-02.21'!$A$11:$BB$406,43,FALSE)+VLOOKUP($A356,'ПР 21-22'!$A$11:$BB$406,43,FALSE)-VLOOKUP($A356,'ПР 01-02.22'!$A$11:$BB$378,43,FALSE)</f>
        <v>0</v>
      </c>
      <c r="AR356" s="5">
        <f>VLOOKUP($A356,'ПР 01-02.21'!$A$11:$BB$406,44,FALSE)+VLOOKUP($A356,'ПР 21-22'!$A$11:$BB$406,44,FALSE)-VLOOKUP($A356,'ПР 01-02.22'!$A$11:$BB$378,44,FALSE)</f>
        <v>0</v>
      </c>
      <c r="AS356" s="40"/>
      <c r="AT356" s="5">
        <f>VLOOKUP($A356,'ПР 01-02.21'!$A$11:$BB$406,46,FALSE)+VLOOKUP($A356,'ПР 21-22'!$A$11:$BB$406,46,FALSE)-VLOOKUP($A356,'ПР 01-02.22'!$A$11:$BB$378,46,FALSE)</f>
        <v>1380.7224201933834</v>
      </c>
      <c r="AU356" s="5">
        <f>VLOOKUP($A356,'ПР 01-02.21'!$A$11:$BB$406,47,FALSE)+VLOOKUP($A356,'ПР 21-22'!$A$11:$BB$406,47,FALSE)-VLOOKUP($A356,'ПР 01-02.22'!$A$11:$BB$378,47,FALSE)</f>
        <v>0</v>
      </c>
      <c r="AV356" s="40"/>
      <c r="AW356" s="5">
        <f>VLOOKUP($A356,'ПР 01-02.21'!$A$11:$BB$406,49,FALSE)+VLOOKUP($A356,'ПР 21-22'!$A$11:$BB$406,49,FALSE)-VLOOKUP($A356,'ПР 01-02.22'!$A$11:$BB$378,49,FALSE)</f>
        <v>627.44538540716269</v>
      </c>
      <c r="AX356" s="5">
        <f>VLOOKUP($A356,'ПР 01-02.21'!$A$11:$BB$406,50,FALSE)+VLOOKUP($A356,'ПР 21-22'!$A$11:$BB$406,50,FALSE)-VLOOKUP($A356,'ПР 01-02.22'!$A$11:$BB$378,50,FALSE)</f>
        <v>0</v>
      </c>
      <c r="AY356" s="40"/>
      <c r="AZ356" s="40">
        <f t="shared" si="21"/>
        <v>9061.5557586454597</v>
      </c>
      <c r="BA356" s="40">
        <f t="shared" si="21"/>
        <v>3353</v>
      </c>
      <c r="BB356" s="55">
        <f t="shared" si="24"/>
        <v>-5708.5557586454597</v>
      </c>
      <c r="BD356" s="2">
        <v>1</v>
      </c>
      <c r="BF356" s="325">
        <v>150000867</v>
      </c>
    </row>
    <row r="357" spans="1:58" ht="24.9" customHeight="1" x14ac:dyDescent="0.3">
      <c r="A357" s="325">
        <v>150000868</v>
      </c>
      <c r="B357" s="445" t="s">
        <v>311</v>
      </c>
      <c r="C357" s="27">
        <v>5</v>
      </c>
      <c r="D357" s="101" t="s">
        <v>455</v>
      </c>
      <c r="E357" s="279">
        <f>'побудинковий звіт'!E355</f>
        <v>3295.38</v>
      </c>
      <c r="F357" s="441">
        <f>'побудинковий звіт'!AS355</f>
        <v>23992.651291083246</v>
      </c>
      <c r="G357" s="441">
        <f t="shared" si="22"/>
        <v>7667.1273409524811</v>
      </c>
      <c r="H357" s="73">
        <f t="shared" si="23"/>
        <v>-16325.523950130766</v>
      </c>
      <c r="I357" s="5">
        <f>VLOOKUP($A357,'ПР 01-02.21'!$A$11:$BB$406,9,FALSE)+VLOOKUP($A357,'ПР 21-22'!$A$11:$BB$406,9,FALSE)-VLOOKUP($A357,'ПР 01-02.22'!$A$11:$BB$378,9,FALSE)</f>
        <v>0</v>
      </c>
      <c r="J357" s="5">
        <f>VLOOKUP($A357,'ПР 01-02.21'!$A$11:$BB$406,10,FALSE)+VLOOKUP($A357,'ПР 21-22'!$A$11:$BB$406,10,FALSE)-VLOOKUP($A357,'ПР 01-02.22'!$A$11:$BB$378,10,FALSE)</f>
        <v>1908</v>
      </c>
      <c r="K357" s="446"/>
      <c r="L357" s="5">
        <f>VLOOKUP($A357,'ПР 01-02.21'!$A$11:$BB$406,12,FALSE)+VLOOKUP($A357,'ПР 21-22'!$A$11:$BB$406,12,FALSE)-VLOOKUP($A357,'ПР 01-02.22'!$A$11:$BB$378,12,FALSE)</f>
        <v>0</v>
      </c>
      <c r="M357" s="5">
        <f>VLOOKUP($A357,'ПР 01-02.21'!$A$11:$BB$406,13,FALSE)+VLOOKUP($A357,'ПР 21-22'!$A$11:$BB$406,13,FALSE)-VLOOKUP($A357,'ПР 01-02.22'!$A$11:$BB$378,13,FALSE)</f>
        <v>321</v>
      </c>
      <c r="N357" s="38"/>
      <c r="O357" s="5">
        <f>VLOOKUP($A357,'ПР 01-02.21'!$A$11:$BB$406,15,FALSE)+VLOOKUP($A357,'ПР 21-22'!$A$11:$BB$406,15,FALSE)-VLOOKUP($A357,'ПР 01-02.22'!$A$11:$BB$378,15,FALSE)</f>
        <v>0</v>
      </c>
      <c r="P357" s="5">
        <f>VLOOKUP($A357,'ПР 01-02.21'!$A$11:$BB$406,16,FALSE)+VLOOKUP($A357,'ПР 21-22'!$A$11:$BB$406,16,FALSE)-VLOOKUP($A357,'ПР 01-02.22'!$A$11:$BB$378,16,FALSE)</f>
        <v>0</v>
      </c>
      <c r="Q357" s="443"/>
      <c r="R357" s="5">
        <f>VLOOKUP($A357,'ПР 01-02.21'!$A$11:$BB$406,18,FALSE)+VLOOKUP($A357,'ПР 21-22'!$A$11:$BB$406,18,FALSE)-VLOOKUP($A357,'ПР 01-02.22'!$A$11:$BB$378,18,FALSE)</f>
        <v>0</v>
      </c>
      <c r="S357" s="5">
        <f>VLOOKUP($A357,'ПР 01-02.21'!$A$11:$BB$406,19,FALSE)+VLOOKUP($A357,'ПР 21-22'!$A$11:$BB$406,19,FALSE)-VLOOKUP($A357,'ПР 01-02.22'!$A$11:$BB$378,19,FALSE)</f>
        <v>0</v>
      </c>
      <c r="T357" s="444"/>
      <c r="U357" s="5">
        <f>VLOOKUP($A357,'ПР 01-02.21'!$A$11:$BB$406,21,FALSE)+VLOOKUP($A357,'ПР 21-22'!$A$11:$BB$406,21,FALSE)-VLOOKUP($A357,'ПР 01-02.22'!$A$11:$BB$378,21,FALSE)</f>
        <v>0</v>
      </c>
      <c r="V357" s="5"/>
      <c r="W357" s="5">
        <f>VLOOKUP($A357,'ПР 01-02.21'!$A$11:$BB$406,23,FALSE)+VLOOKUP($A357,'ПР 21-22'!$A$11:$BB$406,23,FALSE)-VLOOKUP($A357,'ПР 01-02.22'!$A$11:$BB$378,23,FALSE)</f>
        <v>0</v>
      </c>
      <c r="X357" s="5">
        <f>VLOOKUP($A357,'ПР 01-02.21'!$A$11:$BB$406,24,FALSE)+VLOOKUP($A357,'ПР 21-22'!$A$11:$BB$406,24,FALSE)-VLOOKUP($A357,'ПР 01-02.22'!$A$11:$BB$378,24,FALSE)</f>
        <v>565.84734095248041</v>
      </c>
      <c r="Y357" s="5">
        <f>VLOOKUP($A357,'ПР 01-02.21'!$A$11:$BB$406,25,FALSE)+VLOOKUP($A357,'ПР 21-22'!$A$11:$BB$406,25,FALSE)-VLOOKUP($A357,'ПР 01-02.22'!$A$11:$BB$378,25,FALSE)</f>
        <v>0</v>
      </c>
      <c r="Z357" s="5"/>
      <c r="AA357" s="5">
        <f>VLOOKUP($A357,'ПР 01-02.21'!$A$11:$BB$406,27,FALSE)+VLOOKUP($A357,'ПР 21-22'!$A$11:$BB$406,27,FALSE)-VLOOKUP($A357,'ПР 01-02.22'!$A$11:$BB$378,27,FALSE)</f>
        <v>0</v>
      </c>
      <c r="AB357" s="5">
        <f>VLOOKUP($A357,'ПР 01-02.21'!$A$11:$BB$406,28,FALSE)+VLOOKUP($A357,'ПР 21-22'!$A$11:$BB$406,28,FALSE)-VLOOKUP($A357,'ПР 01-02.22'!$A$11:$BB$378,28,FALSE)</f>
        <v>0</v>
      </c>
      <c r="AC357" s="5">
        <f>VLOOKUP($A357,'ПР 01-02.21'!$A$11:$BB$406,29,FALSE)+VLOOKUP($A357,'ПР 21-22'!$A$11:$BB$406,29,FALSE)-VLOOKUP($A357,'ПР 01-02.22'!$A$11:$BB$378,29,FALSE)</f>
        <v>0</v>
      </c>
      <c r="AD357" s="5">
        <f>VLOOKUP($A357,'ПР 01-02.21'!$A$11:$BB$406,30,FALSE)+VLOOKUP($A357,'ПР 21-22'!$A$11:$BB$406,30,FALSE)-VLOOKUP($A357,'ПР 01-02.22'!$A$11:$BB$378,30,FALSE)</f>
        <v>4872.2800000000007</v>
      </c>
      <c r="AE357" s="5">
        <f>VLOOKUP($A357,'ПР 01-02.21'!$A$11:$BB$406,31,FALSE)+VLOOKUP($A357,'ПР 21-22'!$A$11:$BB$406,31,FALSE)-VLOOKUP($A357,'ПР 01-02.22'!$A$11:$BB$378,31,FALSE)</f>
        <v>2995.8751856990957</v>
      </c>
      <c r="AF357" s="5">
        <f>VLOOKUP($A357,'ПР 01-02.21'!$A$11:$BB$406,32,FALSE)+VLOOKUP($A357,'ПР 21-22'!$A$11:$BB$406,32,FALSE)-VLOOKUP($A357,'ПР 01-02.22'!$A$11:$BB$378,32,FALSE)</f>
        <v>0</v>
      </c>
      <c r="AG357" s="40"/>
      <c r="AH357" s="5">
        <f>VLOOKUP($A357,'ПР 01-02.21'!$A$11:$BB$406,34,FALSE)+VLOOKUP($A357,'ПР 21-22'!$A$11:$BB$406,34,FALSE)-VLOOKUP($A357,'ПР 01-02.22'!$A$11:$BB$378,34,FALSE)</f>
        <v>4187.7592502688094</v>
      </c>
      <c r="AI357" s="5">
        <f>VLOOKUP($A357,'ПР 01-02.21'!$A$11:$BB$406,35,FALSE)+VLOOKUP($A357,'ПР 21-22'!$A$11:$BB$406,35,FALSE)-VLOOKUP($A357,'ПР 01-02.22'!$A$11:$BB$378,35,FALSE)</f>
        <v>0</v>
      </c>
      <c r="AJ357" s="40"/>
      <c r="AK357" s="5">
        <f>VLOOKUP($A357,'ПР 01-02.21'!$A$11:$BB$406,37,FALSE)+VLOOKUP($A357,'ПР 21-22'!$A$11:$BB$406,37,FALSE)-VLOOKUP($A357,'ПР 01-02.22'!$A$11:$BB$378,37,FALSE)</f>
        <v>1539.496550012045</v>
      </c>
      <c r="AL357" s="5">
        <f>VLOOKUP($A357,'ПР 01-02.21'!$A$11:$BB$406,38,FALSE)+VLOOKUP($A357,'ПР 21-22'!$A$11:$BB$406,38,FALSE)-VLOOKUP($A357,'ПР 01-02.22'!$A$11:$BB$378,38,FALSE)</f>
        <v>0</v>
      </c>
      <c r="AM357" s="40"/>
      <c r="AN357" s="5">
        <f>VLOOKUP($A357,'ПР 01-02.21'!$A$11:$BB$406,40,FALSE)+VLOOKUP($A357,'ПР 21-22'!$A$11:$BB$406,40,FALSE)-VLOOKUP($A357,'ПР 01-02.22'!$A$11:$BB$378,40,FALSE)</f>
        <v>0</v>
      </c>
      <c r="AO357" s="5">
        <f>VLOOKUP($A357,'ПР 01-02.21'!$A$11:$BB$406,41,FALSE)+VLOOKUP($A357,'ПР 21-22'!$A$11:$BB$406,41,FALSE)-VLOOKUP($A357,'ПР 01-02.22'!$A$11:$BB$378,41,FALSE)</f>
        <v>0</v>
      </c>
      <c r="AP357" s="40"/>
      <c r="AQ357" s="5">
        <f>VLOOKUP($A357,'ПР 01-02.21'!$A$11:$BB$406,43,FALSE)+VLOOKUP($A357,'ПР 21-22'!$A$11:$BB$406,43,FALSE)-VLOOKUP($A357,'ПР 01-02.22'!$A$11:$BB$378,43,FALSE)</f>
        <v>0</v>
      </c>
      <c r="AR357" s="5">
        <f>VLOOKUP($A357,'ПР 01-02.21'!$A$11:$BB$406,44,FALSE)+VLOOKUP($A357,'ПР 21-22'!$A$11:$BB$406,44,FALSE)-VLOOKUP($A357,'ПР 01-02.22'!$A$11:$BB$378,44,FALSE)</f>
        <v>0</v>
      </c>
      <c r="AS357" s="40"/>
      <c r="AT357" s="5">
        <f>VLOOKUP($A357,'ПР 01-02.21'!$A$11:$BB$406,46,FALSE)+VLOOKUP($A357,'ПР 21-22'!$A$11:$BB$406,46,FALSE)-VLOOKUP($A357,'ПР 01-02.22'!$A$11:$BB$378,46,FALSE)</f>
        <v>2056.6417585817699</v>
      </c>
      <c r="AU357" s="5">
        <f>VLOOKUP($A357,'ПР 01-02.21'!$A$11:$BB$406,47,FALSE)+VLOOKUP($A357,'ПР 21-22'!$A$11:$BB$406,47,FALSE)-VLOOKUP($A357,'ПР 01-02.22'!$A$11:$BB$378,47,FALSE)</f>
        <v>597</v>
      </c>
      <c r="AV357" s="40"/>
      <c r="AW357" s="5">
        <f>VLOOKUP($A357,'ПР 01-02.21'!$A$11:$BB$406,49,FALSE)+VLOOKUP($A357,'ПР 21-22'!$A$11:$BB$406,49,FALSE)-VLOOKUP($A357,'ПР 01-02.22'!$A$11:$BB$378,49,FALSE)</f>
        <v>563.16932147266243</v>
      </c>
      <c r="AX357" s="5">
        <f>VLOOKUP($A357,'ПР 01-02.21'!$A$11:$BB$406,50,FALSE)+VLOOKUP($A357,'ПР 21-22'!$A$11:$BB$406,50,FALSE)-VLOOKUP($A357,'ПР 01-02.22'!$A$11:$BB$378,50,FALSE)</f>
        <v>0</v>
      </c>
      <c r="AY357" s="40"/>
      <c r="AZ357" s="40">
        <f t="shared" si="21"/>
        <v>11342.942066034382</v>
      </c>
      <c r="BA357" s="40">
        <f t="shared" si="21"/>
        <v>597</v>
      </c>
      <c r="BB357" s="55">
        <f t="shared" si="24"/>
        <v>-10745.942066034382</v>
      </c>
      <c r="BD357" s="2">
        <v>1</v>
      </c>
      <c r="BF357" s="325">
        <v>150000868</v>
      </c>
    </row>
    <row r="358" spans="1:58" ht="24.9" customHeight="1" x14ac:dyDescent="0.3">
      <c r="A358" s="325">
        <v>150000869</v>
      </c>
      <c r="B358" s="445" t="s">
        <v>312</v>
      </c>
      <c r="C358" s="27">
        <v>5</v>
      </c>
      <c r="D358" s="101" t="s">
        <v>455</v>
      </c>
      <c r="E358" s="279">
        <f>'побудинковий звіт'!E356</f>
        <v>5761.1900000000005</v>
      </c>
      <c r="F358" s="441">
        <f>'побудинковий звіт'!AS356</f>
        <v>65628.521736734707</v>
      </c>
      <c r="G358" s="441">
        <f t="shared" si="22"/>
        <v>16191.13</v>
      </c>
      <c r="H358" s="73">
        <f t="shared" si="23"/>
        <v>-49437.391736734709</v>
      </c>
      <c r="I358" s="5">
        <f>VLOOKUP($A358,'ПР 01-02.21'!$A$11:$BB$406,9,FALSE)+VLOOKUP($A358,'ПР 21-22'!$A$11:$BB$406,9,FALSE)-VLOOKUP($A358,'ПР 01-02.22'!$A$11:$BB$378,9,FALSE)</f>
        <v>12.9</v>
      </c>
      <c r="J358" s="5">
        <f>VLOOKUP($A358,'ПР 01-02.21'!$A$11:$BB$406,10,FALSE)+VLOOKUP($A358,'ПР 21-22'!$A$11:$BB$406,10,FALSE)-VLOOKUP($A358,'ПР 01-02.22'!$A$11:$BB$378,10,FALSE)</f>
        <v>3432.03</v>
      </c>
      <c r="K358" s="446"/>
      <c r="L358" s="5">
        <f>VLOOKUP($A358,'ПР 01-02.21'!$A$11:$BB$406,12,FALSE)+VLOOKUP($A358,'ПР 21-22'!$A$11:$BB$406,12,FALSE)-VLOOKUP($A358,'ПР 01-02.22'!$A$11:$BB$378,12,FALSE)</f>
        <v>0</v>
      </c>
      <c r="M358" s="5">
        <f>VLOOKUP($A358,'ПР 01-02.21'!$A$11:$BB$406,13,FALSE)+VLOOKUP($A358,'ПР 21-22'!$A$11:$BB$406,13,FALSE)-VLOOKUP($A358,'ПР 01-02.22'!$A$11:$BB$378,13,FALSE)</f>
        <v>0</v>
      </c>
      <c r="N358" s="38"/>
      <c r="O358" s="5">
        <f>VLOOKUP($A358,'ПР 01-02.21'!$A$11:$BB$406,15,FALSE)+VLOOKUP($A358,'ПР 21-22'!$A$11:$BB$406,15,FALSE)-VLOOKUP($A358,'ПР 01-02.22'!$A$11:$BB$378,15,FALSE)</f>
        <v>0</v>
      </c>
      <c r="P358" s="5">
        <f>VLOOKUP($A358,'ПР 01-02.21'!$A$11:$BB$406,16,FALSE)+VLOOKUP($A358,'ПР 21-22'!$A$11:$BB$406,16,FALSE)-VLOOKUP($A358,'ПР 01-02.22'!$A$11:$BB$378,16,FALSE)</f>
        <v>0</v>
      </c>
      <c r="Q358" s="443"/>
      <c r="R358" s="5">
        <f>VLOOKUP($A358,'ПР 01-02.21'!$A$11:$BB$406,18,FALSE)+VLOOKUP($A358,'ПР 21-22'!$A$11:$BB$406,18,FALSE)-VLOOKUP($A358,'ПР 01-02.22'!$A$11:$BB$378,18,FALSE)</f>
        <v>0</v>
      </c>
      <c r="S358" s="5">
        <f>VLOOKUP($A358,'ПР 01-02.21'!$A$11:$BB$406,19,FALSE)+VLOOKUP($A358,'ПР 21-22'!$A$11:$BB$406,19,FALSE)-VLOOKUP($A358,'ПР 01-02.22'!$A$11:$BB$378,19,FALSE)</f>
        <v>0</v>
      </c>
      <c r="T358" s="444"/>
      <c r="U358" s="5">
        <f>VLOOKUP($A358,'ПР 01-02.21'!$A$11:$BB$406,21,FALSE)+VLOOKUP($A358,'ПР 21-22'!$A$11:$BB$406,21,FALSE)-VLOOKUP($A358,'ПР 01-02.22'!$A$11:$BB$378,21,FALSE)</f>
        <v>0</v>
      </c>
      <c r="V358" s="5"/>
      <c r="W358" s="5">
        <f>VLOOKUP($A358,'ПР 01-02.21'!$A$11:$BB$406,23,FALSE)+VLOOKUP($A358,'ПР 21-22'!$A$11:$BB$406,23,FALSE)-VLOOKUP($A358,'ПР 01-02.22'!$A$11:$BB$378,23,FALSE)</f>
        <v>4</v>
      </c>
      <c r="X358" s="5">
        <f>VLOOKUP($A358,'ПР 01-02.21'!$A$11:$BB$406,24,FALSE)+VLOOKUP($A358,'ПР 21-22'!$A$11:$BB$406,24,FALSE)-VLOOKUP($A358,'ПР 01-02.22'!$A$11:$BB$378,24,FALSE)</f>
        <v>583.36</v>
      </c>
      <c r="Y358" s="5">
        <f>VLOOKUP($A358,'ПР 01-02.21'!$A$11:$BB$406,25,FALSE)+VLOOKUP($A358,'ПР 21-22'!$A$11:$BB$406,25,FALSE)-VLOOKUP($A358,'ПР 01-02.22'!$A$11:$BB$378,25,FALSE)</f>
        <v>4534.25</v>
      </c>
      <c r="Z358" s="5"/>
      <c r="AA358" s="5">
        <f>VLOOKUP($A358,'ПР 01-02.21'!$A$11:$BB$406,27,FALSE)+VLOOKUP($A358,'ПР 21-22'!$A$11:$BB$406,27,FALSE)-VLOOKUP($A358,'ПР 01-02.22'!$A$11:$BB$378,27,FALSE)</f>
        <v>0</v>
      </c>
      <c r="AB358" s="5">
        <f>VLOOKUP($A358,'ПР 01-02.21'!$A$11:$BB$406,28,FALSE)+VLOOKUP($A358,'ПР 21-22'!$A$11:$BB$406,28,FALSE)-VLOOKUP($A358,'ПР 01-02.22'!$A$11:$BB$378,28,FALSE)</f>
        <v>2610.1799999999998</v>
      </c>
      <c r="AC358" s="5">
        <f>VLOOKUP($A358,'ПР 01-02.21'!$A$11:$BB$406,29,FALSE)+VLOOKUP($A358,'ПР 21-22'!$A$11:$BB$406,29,FALSE)-VLOOKUP($A358,'ПР 01-02.22'!$A$11:$BB$378,29,FALSE)</f>
        <v>0</v>
      </c>
      <c r="AD358" s="5">
        <f>VLOOKUP($A358,'ПР 01-02.21'!$A$11:$BB$406,30,FALSE)+VLOOKUP($A358,'ПР 21-22'!$A$11:$BB$406,30,FALSE)-VLOOKUP($A358,'ПР 01-02.22'!$A$11:$BB$378,30,FALSE)</f>
        <v>5031.3099999999995</v>
      </c>
      <c r="AE358" s="5">
        <f>VLOOKUP($A358,'ПР 01-02.21'!$A$11:$BB$406,31,FALSE)+VLOOKUP($A358,'ПР 21-22'!$A$11:$BB$406,31,FALSE)-VLOOKUP($A358,'ПР 01-02.22'!$A$11:$BB$378,31,FALSE)</f>
        <v>5061.8243846868627</v>
      </c>
      <c r="AF358" s="5">
        <f>VLOOKUP($A358,'ПР 01-02.21'!$A$11:$BB$406,32,FALSE)+VLOOKUP($A358,'ПР 21-22'!$A$11:$BB$406,32,FALSE)-VLOOKUP($A358,'ПР 01-02.22'!$A$11:$BB$378,32,FALSE)</f>
        <v>1108.52</v>
      </c>
      <c r="AG358" s="40"/>
      <c r="AH358" s="5">
        <f>VLOOKUP($A358,'ПР 01-02.21'!$A$11:$BB$406,34,FALSE)+VLOOKUP($A358,'ПР 21-22'!$A$11:$BB$406,34,FALSE)-VLOOKUP($A358,'ПР 01-02.22'!$A$11:$BB$378,34,FALSE)</f>
        <v>7290.9502904165383</v>
      </c>
      <c r="AI358" s="5">
        <f>VLOOKUP($A358,'ПР 01-02.21'!$A$11:$BB$406,35,FALSE)+VLOOKUP($A358,'ПР 21-22'!$A$11:$BB$406,35,FALSE)-VLOOKUP($A358,'ПР 01-02.22'!$A$11:$BB$378,35,FALSE)</f>
        <v>2971</v>
      </c>
      <c r="AJ358" s="40"/>
      <c r="AK358" s="5">
        <f>VLOOKUP($A358,'ПР 01-02.21'!$A$11:$BB$406,37,FALSE)+VLOOKUP($A358,'ПР 21-22'!$A$11:$BB$406,37,FALSE)-VLOOKUP($A358,'ПР 01-02.22'!$A$11:$BB$378,37,FALSE)</f>
        <v>2511.0022748158644</v>
      </c>
      <c r="AL358" s="5">
        <f>VLOOKUP($A358,'ПР 01-02.21'!$A$11:$BB$406,38,FALSE)+VLOOKUP($A358,'ПР 21-22'!$A$11:$BB$406,38,FALSE)-VLOOKUP($A358,'ПР 01-02.22'!$A$11:$BB$378,38,FALSE)</f>
        <v>9892</v>
      </c>
      <c r="AM358" s="40"/>
      <c r="AN358" s="5">
        <f>VLOOKUP($A358,'ПР 01-02.21'!$A$11:$BB$406,40,FALSE)+VLOOKUP($A358,'ПР 21-22'!$A$11:$BB$406,40,FALSE)-VLOOKUP($A358,'ПР 01-02.22'!$A$11:$BB$378,40,FALSE)</f>
        <v>3592.9287934541167</v>
      </c>
      <c r="AO358" s="5">
        <f>VLOOKUP($A358,'ПР 01-02.21'!$A$11:$BB$406,41,FALSE)+VLOOKUP($A358,'ПР 21-22'!$A$11:$BB$406,41,FALSE)-VLOOKUP($A358,'ПР 01-02.22'!$A$11:$BB$378,41,FALSE)</f>
        <v>0</v>
      </c>
      <c r="AP358" s="40"/>
      <c r="AQ358" s="5">
        <f>VLOOKUP($A358,'ПР 01-02.21'!$A$11:$BB$406,43,FALSE)+VLOOKUP($A358,'ПР 21-22'!$A$11:$BB$406,43,FALSE)-VLOOKUP($A358,'ПР 01-02.22'!$A$11:$BB$378,43,FALSE)</f>
        <v>2396.3269345990402</v>
      </c>
      <c r="AR358" s="5">
        <f>VLOOKUP($A358,'ПР 01-02.21'!$A$11:$BB$406,44,FALSE)+VLOOKUP($A358,'ПР 21-22'!$A$11:$BB$406,44,FALSE)-VLOOKUP($A358,'ПР 01-02.22'!$A$11:$BB$378,44,FALSE)</f>
        <v>1318</v>
      </c>
      <c r="AS358" s="40"/>
      <c r="AT358" s="5">
        <f>VLOOKUP($A358,'ПР 01-02.21'!$A$11:$BB$406,46,FALSE)+VLOOKUP($A358,'ПР 21-22'!$A$11:$BB$406,46,FALSE)-VLOOKUP($A358,'ПР 01-02.22'!$A$11:$BB$378,46,FALSE)</f>
        <v>5585.5418386860056</v>
      </c>
      <c r="AU358" s="5">
        <f>VLOOKUP($A358,'ПР 01-02.21'!$A$11:$BB$406,47,FALSE)+VLOOKUP($A358,'ПР 21-22'!$A$11:$BB$406,47,FALSE)-VLOOKUP($A358,'ПР 01-02.22'!$A$11:$BB$378,47,FALSE)</f>
        <v>8938</v>
      </c>
      <c r="AV358" s="40"/>
      <c r="AW358" s="5">
        <f>VLOOKUP($A358,'ПР 01-02.21'!$A$11:$BB$406,49,FALSE)+VLOOKUP($A358,'ПР 21-22'!$A$11:$BB$406,49,FALSE)-VLOOKUP($A358,'ПР 01-02.22'!$A$11:$BB$378,49,FALSE)</f>
        <v>1220.3820529231652</v>
      </c>
      <c r="AX358" s="5">
        <f>VLOOKUP($A358,'ПР 01-02.21'!$A$11:$BB$406,50,FALSE)+VLOOKUP($A358,'ПР 21-22'!$A$11:$BB$406,50,FALSE)-VLOOKUP($A358,'ПР 01-02.22'!$A$11:$BB$378,50,FALSE)</f>
        <v>0</v>
      </c>
      <c r="AY358" s="40"/>
      <c r="AZ358" s="40">
        <f t="shared" si="21"/>
        <v>27658.956569581598</v>
      </c>
      <c r="BA358" s="40">
        <f t="shared" si="21"/>
        <v>24227.52</v>
      </c>
      <c r="BB358" s="55">
        <f t="shared" si="24"/>
        <v>-3431.4365695815977</v>
      </c>
      <c r="BD358" s="2">
        <v>1</v>
      </c>
      <c r="BF358" s="325">
        <v>150000869</v>
      </c>
    </row>
    <row r="359" spans="1:58" ht="24.9" customHeight="1" x14ac:dyDescent="0.3">
      <c r="A359" s="325">
        <v>150000875</v>
      </c>
      <c r="B359" s="445" t="s">
        <v>313</v>
      </c>
      <c r="C359" s="27">
        <v>5</v>
      </c>
      <c r="D359" s="101" t="s">
        <v>455</v>
      </c>
      <c r="E359" s="279">
        <f>'побудинковий звіт'!E357</f>
        <v>3190.1</v>
      </c>
      <c r="F359" s="441">
        <f>'побудинковий звіт'!AS357</f>
        <v>25284.871101984951</v>
      </c>
      <c r="G359" s="441">
        <f t="shared" si="22"/>
        <v>15569.17</v>
      </c>
      <c r="H359" s="73">
        <f t="shared" si="23"/>
        <v>-9715.7011019849506</v>
      </c>
      <c r="I359" s="5">
        <f>VLOOKUP($A359,'ПР 01-02.21'!$A$11:$BB$406,9,FALSE)+VLOOKUP($A359,'ПР 21-22'!$A$11:$BB$406,9,FALSE)-VLOOKUP($A359,'ПР 01-02.22'!$A$11:$BB$378,9,FALSE)</f>
        <v>8</v>
      </c>
      <c r="J359" s="5">
        <f>VLOOKUP($A359,'ПР 01-02.21'!$A$11:$BB$406,10,FALSE)+VLOOKUP($A359,'ПР 21-22'!$A$11:$BB$406,10,FALSE)-VLOOKUP($A359,'ПР 01-02.22'!$A$11:$BB$378,10,FALSE)</f>
        <v>9038</v>
      </c>
      <c r="K359" s="446"/>
      <c r="L359" s="5">
        <f>VLOOKUP($A359,'ПР 01-02.21'!$A$11:$BB$406,12,FALSE)+VLOOKUP($A359,'ПР 21-22'!$A$11:$BB$406,12,FALSE)-VLOOKUP($A359,'ПР 01-02.22'!$A$11:$BB$378,12,FALSE)</f>
        <v>0</v>
      </c>
      <c r="M359" s="5">
        <f>VLOOKUP($A359,'ПР 01-02.21'!$A$11:$BB$406,13,FALSE)+VLOOKUP($A359,'ПР 21-22'!$A$11:$BB$406,13,FALSE)-VLOOKUP($A359,'ПР 01-02.22'!$A$11:$BB$378,13,FALSE)</f>
        <v>0</v>
      </c>
      <c r="N359" s="38"/>
      <c r="O359" s="5">
        <f>VLOOKUP($A359,'ПР 01-02.21'!$A$11:$BB$406,15,FALSE)+VLOOKUP($A359,'ПР 21-22'!$A$11:$BB$406,15,FALSE)-VLOOKUP($A359,'ПР 01-02.22'!$A$11:$BB$378,15,FALSE)</f>
        <v>0</v>
      </c>
      <c r="P359" s="5">
        <f>VLOOKUP($A359,'ПР 01-02.21'!$A$11:$BB$406,16,FALSE)+VLOOKUP($A359,'ПР 21-22'!$A$11:$BB$406,16,FALSE)-VLOOKUP($A359,'ПР 01-02.22'!$A$11:$BB$378,16,FALSE)</f>
        <v>0</v>
      </c>
      <c r="Q359" s="443"/>
      <c r="R359" s="5">
        <f>VLOOKUP($A359,'ПР 01-02.21'!$A$11:$BB$406,18,FALSE)+VLOOKUP($A359,'ПР 21-22'!$A$11:$BB$406,18,FALSE)-VLOOKUP($A359,'ПР 01-02.22'!$A$11:$BB$378,18,FALSE)</f>
        <v>0</v>
      </c>
      <c r="S359" s="5">
        <f>VLOOKUP($A359,'ПР 01-02.21'!$A$11:$BB$406,19,FALSE)+VLOOKUP($A359,'ПР 21-22'!$A$11:$BB$406,19,FALSE)-VLOOKUP($A359,'ПР 01-02.22'!$A$11:$BB$378,19,FALSE)</f>
        <v>0</v>
      </c>
      <c r="T359" s="444"/>
      <c r="U359" s="5">
        <f>VLOOKUP($A359,'ПР 01-02.21'!$A$11:$BB$406,21,FALSE)+VLOOKUP($A359,'ПР 21-22'!$A$11:$BB$406,21,FALSE)-VLOOKUP($A359,'ПР 01-02.22'!$A$11:$BB$378,21,FALSE)</f>
        <v>0</v>
      </c>
      <c r="V359" s="5"/>
      <c r="W359" s="5">
        <f>VLOOKUP($A359,'ПР 01-02.21'!$A$11:$BB$406,23,FALSE)+VLOOKUP($A359,'ПР 21-22'!$A$11:$BB$406,23,FALSE)-VLOOKUP($A359,'ПР 01-02.22'!$A$11:$BB$378,23,FALSE)</f>
        <v>0</v>
      </c>
      <c r="X359" s="5">
        <f>VLOOKUP($A359,'ПР 01-02.21'!$A$11:$BB$406,24,FALSE)+VLOOKUP($A359,'ПР 21-22'!$A$11:$BB$406,24,FALSE)-VLOOKUP($A359,'ПР 01-02.22'!$A$11:$BB$378,24,FALSE)</f>
        <v>0</v>
      </c>
      <c r="Y359" s="5">
        <f>VLOOKUP($A359,'ПР 01-02.21'!$A$11:$BB$406,25,FALSE)+VLOOKUP($A359,'ПР 21-22'!$A$11:$BB$406,25,FALSE)-VLOOKUP($A359,'ПР 01-02.22'!$A$11:$BB$378,25,FALSE)</f>
        <v>4104</v>
      </c>
      <c r="Z359" s="5"/>
      <c r="AA359" s="5">
        <f>VLOOKUP($A359,'ПР 01-02.21'!$A$11:$BB$406,27,FALSE)+VLOOKUP($A359,'ПР 21-22'!$A$11:$BB$406,27,FALSE)-VLOOKUP($A359,'ПР 01-02.22'!$A$11:$BB$378,27,FALSE)</f>
        <v>0</v>
      </c>
      <c r="AB359" s="5">
        <f>VLOOKUP($A359,'ПР 01-02.21'!$A$11:$BB$406,28,FALSE)+VLOOKUP($A359,'ПР 21-22'!$A$11:$BB$406,28,FALSE)-VLOOKUP($A359,'ПР 01-02.22'!$A$11:$BB$378,28,FALSE)</f>
        <v>478.17</v>
      </c>
      <c r="AC359" s="5">
        <f>VLOOKUP($A359,'ПР 01-02.21'!$A$11:$BB$406,29,FALSE)+VLOOKUP($A359,'ПР 21-22'!$A$11:$BB$406,29,FALSE)-VLOOKUP($A359,'ПР 01-02.22'!$A$11:$BB$378,29,FALSE)</f>
        <v>288</v>
      </c>
      <c r="AD359" s="5">
        <f>VLOOKUP($A359,'ПР 01-02.21'!$A$11:$BB$406,30,FALSE)+VLOOKUP($A359,'ПР 21-22'!$A$11:$BB$406,30,FALSE)-VLOOKUP($A359,'ПР 01-02.22'!$A$11:$BB$378,30,FALSE)</f>
        <v>1661</v>
      </c>
      <c r="AE359" s="5">
        <f>VLOOKUP($A359,'ПР 01-02.21'!$A$11:$BB$406,31,FALSE)+VLOOKUP($A359,'ПР 21-22'!$A$11:$BB$406,31,FALSE)-VLOOKUP($A359,'ПР 01-02.22'!$A$11:$BB$378,31,FALSE)</f>
        <v>3216.5840833291932</v>
      </c>
      <c r="AF359" s="5">
        <f>VLOOKUP($A359,'ПР 01-02.21'!$A$11:$BB$406,32,FALSE)+VLOOKUP($A359,'ПР 21-22'!$A$11:$BB$406,32,FALSE)-VLOOKUP($A359,'ПР 01-02.22'!$A$11:$BB$378,32,FALSE)</f>
        <v>0</v>
      </c>
      <c r="AG359" s="40"/>
      <c r="AH359" s="5">
        <f>VLOOKUP($A359,'ПР 01-02.21'!$A$11:$BB$406,34,FALSE)+VLOOKUP($A359,'ПР 21-22'!$A$11:$BB$406,34,FALSE)-VLOOKUP($A359,'ПР 01-02.22'!$A$11:$BB$378,34,FALSE)</f>
        <v>4707.2794927071209</v>
      </c>
      <c r="AI359" s="5">
        <f>VLOOKUP($A359,'ПР 01-02.21'!$A$11:$BB$406,35,FALSE)+VLOOKUP($A359,'ПР 21-22'!$A$11:$BB$406,35,FALSE)-VLOOKUP($A359,'ПР 01-02.22'!$A$11:$BB$378,35,FALSE)</f>
        <v>11112</v>
      </c>
      <c r="AJ359" s="40"/>
      <c r="AK359" s="5">
        <f>VLOOKUP($A359,'ПР 01-02.21'!$A$11:$BB$406,37,FALSE)+VLOOKUP($A359,'ПР 21-22'!$A$11:$BB$406,37,FALSE)-VLOOKUP($A359,'ПР 01-02.22'!$A$11:$BB$378,37,FALSE)</f>
        <v>1643.732225219477</v>
      </c>
      <c r="AL359" s="5">
        <f>VLOOKUP($A359,'ПР 01-02.21'!$A$11:$BB$406,38,FALSE)+VLOOKUP($A359,'ПР 21-22'!$A$11:$BB$406,38,FALSE)-VLOOKUP($A359,'ПР 01-02.22'!$A$11:$BB$378,38,FALSE)</f>
        <v>0</v>
      </c>
      <c r="AM359" s="40"/>
      <c r="AN359" s="5">
        <f>VLOOKUP($A359,'ПР 01-02.21'!$A$11:$BB$406,40,FALSE)+VLOOKUP($A359,'ПР 21-22'!$A$11:$BB$406,40,FALSE)-VLOOKUP($A359,'ПР 01-02.22'!$A$11:$BB$378,40,FALSE)</f>
        <v>0</v>
      </c>
      <c r="AO359" s="5">
        <f>VLOOKUP($A359,'ПР 01-02.21'!$A$11:$BB$406,41,FALSE)+VLOOKUP($A359,'ПР 21-22'!$A$11:$BB$406,41,FALSE)-VLOOKUP($A359,'ПР 01-02.22'!$A$11:$BB$378,41,FALSE)</f>
        <v>0</v>
      </c>
      <c r="AP359" s="40"/>
      <c r="AQ359" s="5">
        <f>VLOOKUP($A359,'ПР 01-02.21'!$A$11:$BB$406,43,FALSE)+VLOOKUP($A359,'ПР 21-22'!$A$11:$BB$406,43,FALSE)-VLOOKUP($A359,'ПР 01-02.22'!$A$11:$BB$378,43,FALSE)</f>
        <v>0</v>
      </c>
      <c r="AR359" s="5">
        <f>VLOOKUP($A359,'ПР 01-02.21'!$A$11:$BB$406,44,FALSE)+VLOOKUP($A359,'ПР 21-22'!$A$11:$BB$406,44,FALSE)-VLOOKUP($A359,'ПР 01-02.22'!$A$11:$BB$378,44,FALSE)</f>
        <v>0</v>
      </c>
      <c r="AS359" s="40"/>
      <c r="AT359" s="5">
        <f>VLOOKUP($A359,'ПР 01-02.21'!$A$11:$BB$406,46,FALSE)+VLOOKUP($A359,'ПР 21-22'!$A$11:$BB$406,46,FALSE)-VLOOKUP($A359,'ПР 01-02.22'!$A$11:$BB$378,46,FALSE)</f>
        <v>2020.6931193437072</v>
      </c>
      <c r="AU359" s="5">
        <f>VLOOKUP($A359,'ПР 01-02.21'!$A$11:$BB$406,47,FALSE)+VLOOKUP($A359,'ПР 21-22'!$A$11:$BB$406,47,FALSE)-VLOOKUP($A359,'ПР 01-02.22'!$A$11:$BB$378,47,FALSE)</f>
        <v>0</v>
      </c>
      <c r="AV359" s="40"/>
      <c r="AW359" s="5">
        <f>VLOOKUP($A359,'ПР 01-02.21'!$A$11:$BB$406,49,FALSE)+VLOOKUP($A359,'ПР 21-22'!$A$11:$BB$406,49,FALSE)-VLOOKUP($A359,'ПР 01-02.22'!$A$11:$BB$378,49,FALSE)</f>
        <v>1056.4218093825041</v>
      </c>
      <c r="AX359" s="5">
        <f>VLOOKUP($A359,'ПР 01-02.21'!$A$11:$BB$406,50,FALSE)+VLOOKUP($A359,'ПР 21-22'!$A$11:$BB$406,50,FALSE)-VLOOKUP($A359,'ПР 01-02.22'!$A$11:$BB$378,50,FALSE)</f>
        <v>0</v>
      </c>
      <c r="AY359" s="40"/>
      <c r="AZ359" s="40">
        <f t="shared" si="21"/>
        <v>12644.710729982002</v>
      </c>
      <c r="BA359" s="40">
        <f t="shared" si="21"/>
        <v>11112</v>
      </c>
      <c r="BB359" s="55">
        <f t="shared" si="24"/>
        <v>-1532.7107299820018</v>
      </c>
      <c r="BD359" s="2">
        <v>1</v>
      </c>
      <c r="BF359" s="325">
        <v>150000875</v>
      </c>
    </row>
    <row r="360" spans="1:58" ht="24.9" customHeight="1" x14ac:dyDescent="0.3">
      <c r="A360" s="325">
        <v>150000871</v>
      </c>
      <c r="B360" s="445" t="s">
        <v>141</v>
      </c>
      <c r="C360" s="27">
        <v>1</v>
      </c>
      <c r="D360" s="101" t="s">
        <v>455</v>
      </c>
      <c r="E360" s="279">
        <f>'побудинковий звіт'!E358</f>
        <v>152.6</v>
      </c>
      <c r="F360" s="441">
        <f>'побудинковий звіт'!AS358</f>
        <v>1722.5099826255457</v>
      </c>
      <c r="G360" s="441">
        <f t="shared" si="22"/>
        <v>356.27</v>
      </c>
      <c r="H360" s="73">
        <f t="shared" si="23"/>
        <v>-1366.2399826255457</v>
      </c>
      <c r="I360" s="5">
        <f>VLOOKUP($A360,'ПР 01-02.21'!$A$11:$BB$406,9,FALSE)+VLOOKUP($A360,'ПР 21-22'!$A$11:$BB$406,9,FALSE)-VLOOKUP($A360,'ПР 01-02.22'!$A$11:$BB$378,9,FALSE)</f>
        <v>2</v>
      </c>
      <c r="J360" s="5">
        <f>VLOOKUP($A360,'ПР 01-02.21'!$A$11:$BB$406,10,FALSE)+VLOOKUP($A360,'ПР 21-22'!$A$11:$BB$406,10,FALSE)-VLOOKUP($A360,'ПР 01-02.22'!$A$11:$BB$378,10,FALSE)</f>
        <v>356.27</v>
      </c>
      <c r="K360" s="446"/>
      <c r="L360" s="5">
        <f>VLOOKUP($A360,'ПР 01-02.21'!$A$11:$BB$406,12,FALSE)+VLOOKUP($A360,'ПР 21-22'!$A$11:$BB$406,12,FALSE)-VLOOKUP($A360,'ПР 01-02.22'!$A$11:$BB$378,12,FALSE)</f>
        <v>0</v>
      </c>
      <c r="M360" s="5">
        <f>VLOOKUP($A360,'ПР 01-02.21'!$A$11:$BB$406,13,FALSE)+VLOOKUP($A360,'ПР 21-22'!$A$11:$BB$406,13,FALSE)-VLOOKUP($A360,'ПР 01-02.22'!$A$11:$BB$378,13,FALSE)</f>
        <v>0</v>
      </c>
      <c r="N360" s="38"/>
      <c r="O360" s="5">
        <f>VLOOKUP($A360,'ПР 01-02.21'!$A$11:$BB$406,15,FALSE)+VLOOKUP($A360,'ПР 21-22'!$A$11:$BB$406,15,FALSE)-VLOOKUP($A360,'ПР 01-02.22'!$A$11:$BB$378,15,FALSE)</f>
        <v>0</v>
      </c>
      <c r="P360" s="5">
        <f>VLOOKUP($A360,'ПР 01-02.21'!$A$11:$BB$406,16,FALSE)+VLOOKUP($A360,'ПР 21-22'!$A$11:$BB$406,16,FALSE)-VLOOKUP($A360,'ПР 01-02.22'!$A$11:$BB$378,16,FALSE)</f>
        <v>0</v>
      </c>
      <c r="Q360" s="443"/>
      <c r="R360" s="5">
        <f>VLOOKUP($A360,'ПР 01-02.21'!$A$11:$BB$406,18,FALSE)+VLOOKUP($A360,'ПР 21-22'!$A$11:$BB$406,18,FALSE)-VLOOKUP($A360,'ПР 01-02.22'!$A$11:$BB$378,18,FALSE)</f>
        <v>0</v>
      </c>
      <c r="S360" s="5">
        <f>VLOOKUP($A360,'ПР 01-02.21'!$A$11:$BB$406,19,FALSE)+VLOOKUP($A360,'ПР 21-22'!$A$11:$BB$406,19,FALSE)-VLOOKUP($A360,'ПР 01-02.22'!$A$11:$BB$378,19,FALSE)</f>
        <v>0</v>
      </c>
      <c r="T360" s="444"/>
      <c r="U360" s="5">
        <f>VLOOKUP($A360,'ПР 01-02.21'!$A$11:$BB$406,21,FALSE)+VLOOKUP($A360,'ПР 21-22'!$A$11:$BB$406,21,FALSE)-VLOOKUP($A360,'ПР 01-02.22'!$A$11:$BB$378,21,FALSE)</f>
        <v>0</v>
      </c>
      <c r="V360" s="5"/>
      <c r="W360" s="5">
        <f>VLOOKUP($A360,'ПР 01-02.21'!$A$11:$BB$406,23,FALSE)+VLOOKUP($A360,'ПР 21-22'!$A$11:$BB$406,23,FALSE)-VLOOKUP($A360,'ПР 01-02.22'!$A$11:$BB$378,23,FALSE)</f>
        <v>0</v>
      </c>
      <c r="X360" s="5">
        <f>VLOOKUP($A360,'ПР 01-02.21'!$A$11:$BB$406,24,FALSE)+VLOOKUP($A360,'ПР 21-22'!$A$11:$BB$406,24,FALSE)-VLOOKUP($A360,'ПР 01-02.22'!$A$11:$BB$378,24,FALSE)</f>
        <v>0</v>
      </c>
      <c r="Y360" s="5">
        <f>VLOOKUP($A360,'ПР 01-02.21'!$A$11:$BB$406,25,FALSE)+VLOOKUP($A360,'ПР 21-22'!$A$11:$BB$406,25,FALSE)-VLOOKUP($A360,'ПР 01-02.22'!$A$11:$BB$378,25,FALSE)</f>
        <v>0</v>
      </c>
      <c r="Z360" s="5"/>
      <c r="AA360" s="5">
        <f>VLOOKUP($A360,'ПР 01-02.21'!$A$11:$BB$406,27,FALSE)+VLOOKUP($A360,'ПР 21-22'!$A$11:$BB$406,27,FALSE)-VLOOKUP($A360,'ПР 01-02.22'!$A$11:$BB$378,27,FALSE)</f>
        <v>0</v>
      </c>
      <c r="AB360" s="5">
        <f>VLOOKUP($A360,'ПР 01-02.21'!$A$11:$BB$406,28,FALSE)+VLOOKUP($A360,'ПР 21-22'!$A$11:$BB$406,28,FALSE)-VLOOKUP($A360,'ПР 01-02.22'!$A$11:$BB$378,28,FALSE)</f>
        <v>0</v>
      </c>
      <c r="AC360" s="5">
        <f>VLOOKUP($A360,'ПР 01-02.21'!$A$11:$BB$406,29,FALSE)+VLOOKUP($A360,'ПР 21-22'!$A$11:$BB$406,29,FALSE)-VLOOKUP($A360,'ПР 01-02.22'!$A$11:$BB$378,29,FALSE)</f>
        <v>0</v>
      </c>
      <c r="AD360" s="5">
        <f>VLOOKUP($A360,'ПР 01-02.21'!$A$11:$BB$406,30,FALSE)+VLOOKUP($A360,'ПР 21-22'!$A$11:$BB$406,30,FALSE)-VLOOKUP($A360,'ПР 01-02.22'!$A$11:$BB$378,30,FALSE)</f>
        <v>0</v>
      </c>
      <c r="AE360" s="5">
        <f>VLOOKUP($A360,'ПР 01-02.21'!$A$11:$BB$406,31,FALSE)+VLOOKUP($A360,'ПР 21-22'!$A$11:$BB$406,31,FALSE)-VLOOKUP($A360,'ПР 01-02.22'!$A$11:$BB$378,31,FALSE)</f>
        <v>0</v>
      </c>
      <c r="AF360" s="5">
        <f>VLOOKUP($A360,'ПР 01-02.21'!$A$11:$BB$406,32,FALSE)+VLOOKUP($A360,'ПР 21-22'!$A$11:$BB$406,32,FALSE)-VLOOKUP($A360,'ПР 01-02.22'!$A$11:$BB$378,32,FALSE)</f>
        <v>0</v>
      </c>
      <c r="AG360" s="40"/>
      <c r="AH360" s="5">
        <f>VLOOKUP($A360,'ПР 01-02.21'!$A$11:$BB$406,34,FALSE)+VLOOKUP($A360,'ПР 21-22'!$A$11:$BB$406,34,FALSE)-VLOOKUP($A360,'ПР 01-02.22'!$A$11:$BB$378,34,FALSE)</f>
        <v>0</v>
      </c>
      <c r="AI360" s="5">
        <f>VLOOKUP($A360,'ПР 01-02.21'!$A$11:$BB$406,35,FALSE)+VLOOKUP($A360,'ПР 21-22'!$A$11:$BB$406,35,FALSE)-VLOOKUP($A360,'ПР 01-02.22'!$A$11:$BB$378,35,FALSE)</f>
        <v>0</v>
      </c>
      <c r="AJ360" s="40"/>
      <c r="AK360" s="5">
        <f>VLOOKUP($A360,'ПР 01-02.21'!$A$11:$BB$406,37,FALSE)+VLOOKUP($A360,'ПР 21-22'!$A$11:$BB$406,37,FALSE)-VLOOKUP($A360,'ПР 01-02.22'!$A$11:$BB$378,37,FALSE)</f>
        <v>0</v>
      </c>
      <c r="AL360" s="5">
        <f>VLOOKUP($A360,'ПР 01-02.21'!$A$11:$BB$406,38,FALSE)+VLOOKUP($A360,'ПР 21-22'!$A$11:$BB$406,38,FALSE)-VLOOKUP($A360,'ПР 01-02.22'!$A$11:$BB$378,38,FALSE)</f>
        <v>0</v>
      </c>
      <c r="AM360" s="40"/>
      <c r="AN360" s="5">
        <f>VLOOKUP($A360,'ПР 01-02.21'!$A$11:$BB$406,40,FALSE)+VLOOKUP($A360,'ПР 21-22'!$A$11:$BB$406,40,FALSE)-VLOOKUP($A360,'ПР 01-02.22'!$A$11:$BB$378,40,FALSE)</f>
        <v>0</v>
      </c>
      <c r="AO360" s="5">
        <f>VLOOKUP($A360,'ПР 01-02.21'!$A$11:$BB$406,41,FALSE)+VLOOKUP($A360,'ПР 21-22'!$A$11:$BB$406,41,FALSE)-VLOOKUP($A360,'ПР 01-02.22'!$A$11:$BB$378,41,FALSE)</f>
        <v>0</v>
      </c>
      <c r="AP360" s="40"/>
      <c r="AQ360" s="5">
        <f>VLOOKUP($A360,'ПР 01-02.21'!$A$11:$BB$406,43,FALSE)+VLOOKUP($A360,'ПР 21-22'!$A$11:$BB$406,43,FALSE)-VLOOKUP($A360,'ПР 01-02.22'!$A$11:$BB$378,43,FALSE)</f>
        <v>0</v>
      </c>
      <c r="AR360" s="5">
        <f>VLOOKUP($A360,'ПР 01-02.21'!$A$11:$BB$406,44,FALSE)+VLOOKUP($A360,'ПР 21-22'!$A$11:$BB$406,44,FALSE)-VLOOKUP($A360,'ПР 01-02.22'!$A$11:$BB$378,44,FALSE)</f>
        <v>0</v>
      </c>
      <c r="AS360" s="40"/>
      <c r="AT360" s="5">
        <f>VLOOKUP($A360,'ПР 01-02.21'!$A$11:$BB$406,46,FALSE)+VLOOKUP($A360,'ПР 21-22'!$A$11:$BB$406,46,FALSE)-VLOOKUP($A360,'ПР 01-02.22'!$A$11:$BB$378,46,FALSE)</f>
        <v>0</v>
      </c>
      <c r="AU360" s="5">
        <f>VLOOKUP($A360,'ПР 01-02.21'!$A$11:$BB$406,47,FALSE)+VLOOKUP($A360,'ПР 21-22'!$A$11:$BB$406,47,FALSE)-VLOOKUP($A360,'ПР 01-02.22'!$A$11:$BB$378,47,FALSE)</f>
        <v>0</v>
      </c>
      <c r="AV360" s="40"/>
      <c r="AW360" s="5">
        <f>VLOOKUP($A360,'ПР 01-02.21'!$A$11:$BB$406,49,FALSE)+VLOOKUP($A360,'ПР 21-22'!$A$11:$BB$406,49,FALSE)-VLOOKUP($A360,'ПР 01-02.22'!$A$11:$BB$378,49,FALSE)</f>
        <v>6.92</v>
      </c>
      <c r="AX360" s="5">
        <f>VLOOKUP($A360,'ПР 01-02.21'!$A$11:$BB$406,50,FALSE)+VLOOKUP($A360,'ПР 21-22'!$A$11:$BB$406,50,FALSE)-VLOOKUP($A360,'ПР 01-02.22'!$A$11:$BB$378,50,FALSE)</f>
        <v>0</v>
      </c>
      <c r="AY360" s="40"/>
      <c r="AZ360" s="40">
        <f t="shared" si="21"/>
        <v>6.92</v>
      </c>
      <c r="BA360" s="40">
        <f t="shared" si="21"/>
        <v>0</v>
      </c>
      <c r="BB360" s="55">
        <f t="shared" si="24"/>
        <v>-6.92</v>
      </c>
      <c r="BD360" s="2">
        <v>2</v>
      </c>
      <c r="BF360" s="325">
        <v>150000871</v>
      </c>
    </row>
    <row r="361" spans="1:58" ht="24.9" customHeight="1" x14ac:dyDescent="0.3">
      <c r="A361" s="325">
        <v>150000886</v>
      </c>
      <c r="B361" s="445" t="s">
        <v>397</v>
      </c>
      <c r="C361" s="27">
        <v>9</v>
      </c>
      <c r="D361" s="101" t="s">
        <v>455</v>
      </c>
      <c r="E361" s="279">
        <f>'побудинковий звіт'!E359</f>
        <v>2133.27</v>
      </c>
      <c r="F361" s="441">
        <f>'побудинковий звіт'!AS359</f>
        <v>25394.059466834817</v>
      </c>
      <c r="G361" s="441">
        <f t="shared" si="22"/>
        <v>14063.882582981929</v>
      </c>
      <c r="H361" s="73">
        <f t="shared" si="23"/>
        <v>-11330.176883852888</v>
      </c>
      <c r="I361" s="5">
        <f>VLOOKUP($A361,'ПР 01-02.21'!$A$11:$BB$406,9,FALSE)+VLOOKUP($A361,'ПР 21-22'!$A$11:$BB$406,9,FALSE)-VLOOKUP($A361,'ПР 01-02.22'!$A$11:$BB$378,9,FALSE)</f>
        <v>0</v>
      </c>
      <c r="J361" s="5">
        <f>VLOOKUP($A361,'ПР 01-02.21'!$A$11:$BB$406,10,FALSE)+VLOOKUP($A361,'ПР 21-22'!$A$11:$BB$406,10,FALSE)-VLOOKUP($A361,'ПР 01-02.22'!$A$11:$BB$378,10,FALSE)</f>
        <v>0</v>
      </c>
      <c r="K361" s="446"/>
      <c r="L361" s="5">
        <f>VLOOKUP($A361,'ПР 01-02.21'!$A$11:$BB$406,12,FALSE)+VLOOKUP($A361,'ПР 21-22'!$A$11:$BB$406,12,FALSE)-VLOOKUP($A361,'ПР 01-02.22'!$A$11:$BB$378,12,FALSE)</f>
        <v>0</v>
      </c>
      <c r="M361" s="5">
        <f>VLOOKUP($A361,'ПР 01-02.21'!$A$11:$BB$406,13,FALSE)+VLOOKUP($A361,'ПР 21-22'!$A$11:$BB$406,13,FALSE)-VLOOKUP($A361,'ПР 01-02.22'!$A$11:$BB$378,13,FALSE)</f>
        <v>0</v>
      </c>
      <c r="N361" s="38"/>
      <c r="O361" s="5">
        <f>VLOOKUP($A361,'ПР 01-02.21'!$A$11:$BB$406,15,FALSE)+VLOOKUP($A361,'ПР 21-22'!$A$11:$BB$406,15,FALSE)-VLOOKUP($A361,'ПР 01-02.22'!$A$11:$BB$378,15,FALSE)</f>
        <v>0</v>
      </c>
      <c r="P361" s="5">
        <f>VLOOKUP($A361,'ПР 01-02.21'!$A$11:$BB$406,16,FALSE)+VLOOKUP($A361,'ПР 21-22'!$A$11:$BB$406,16,FALSE)-VLOOKUP($A361,'ПР 01-02.22'!$A$11:$BB$378,16,FALSE)</f>
        <v>0</v>
      </c>
      <c r="Q361" s="443"/>
      <c r="R361" s="5">
        <f>VLOOKUP($A361,'ПР 01-02.21'!$A$11:$BB$406,18,FALSE)+VLOOKUP($A361,'ПР 21-22'!$A$11:$BB$406,18,FALSE)-VLOOKUP($A361,'ПР 01-02.22'!$A$11:$BB$378,18,FALSE)</f>
        <v>2</v>
      </c>
      <c r="S361" s="5">
        <f>VLOOKUP($A361,'ПР 01-02.21'!$A$11:$BB$406,19,FALSE)+VLOOKUP($A361,'ПР 21-22'!$A$11:$BB$406,19,FALSE)-VLOOKUP($A361,'ПР 01-02.22'!$A$11:$BB$378,19,FALSE)</f>
        <v>3218</v>
      </c>
      <c r="T361" s="444"/>
      <c r="U361" s="5">
        <f>VLOOKUP($A361,'ПР 01-02.21'!$A$11:$BB$406,21,FALSE)+VLOOKUP($A361,'ПР 21-22'!$A$11:$BB$406,21,FALSE)-VLOOKUP($A361,'ПР 01-02.22'!$A$11:$BB$378,21,FALSE)</f>
        <v>0</v>
      </c>
      <c r="V361" s="5"/>
      <c r="W361" s="5">
        <f>VLOOKUP($A361,'ПР 01-02.21'!$A$11:$BB$406,23,FALSE)+VLOOKUP($A361,'ПР 21-22'!$A$11:$BB$406,23,FALSE)-VLOOKUP($A361,'ПР 01-02.22'!$A$11:$BB$378,23,FALSE)</f>
        <v>0</v>
      </c>
      <c r="X361" s="5">
        <f>VLOOKUP($A361,'ПР 01-02.21'!$A$11:$BB$406,24,FALSE)+VLOOKUP($A361,'ПР 21-22'!$A$11:$BB$406,24,FALSE)-VLOOKUP($A361,'ПР 01-02.22'!$A$11:$BB$378,24,FALSE)</f>
        <v>15.882582981929543</v>
      </c>
      <c r="Y361" s="5">
        <f>VLOOKUP($A361,'ПР 01-02.21'!$A$11:$BB$406,25,FALSE)+VLOOKUP($A361,'ПР 21-22'!$A$11:$BB$406,25,FALSE)-VLOOKUP($A361,'ПР 01-02.22'!$A$11:$BB$378,25,FALSE)</f>
        <v>3427</v>
      </c>
      <c r="Z361" s="5"/>
      <c r="AA361" s="5">
        <f>VLOOKUP($A361,'ПР 01-02.21'!$A$11:$BB$406,27,FALSE)+VLOOKUP($A361,'ПР 21-22'!$A$11:$BB$406,27,FALSE)-VLOOKUP($A361,'ПР 01-02.22'!$A$11:$BB$378,27,FALSE)</f>
        <v>0</v>
      </c>
      <c r="AB361" s="5">
        <f>VLOOKUP($A361,'ПР 01-02.21'!$A$11:$BB$406,28,FALSE)+VLOOKUP($A361,'ПР 21-22'!$A$11:$BB$406,28,FALSE)-VLOOKUP($A361,'ПР 01-02.22'!$A$11:$BB$378,28,FALSE)</f>
        <v>0</v>
      </c>
      <c r="AC361" s="5">
        <f>VLOOKUP($A361,'ПР 01-02.21'!$A$11:$BB$406,29,FALSE)+VLOOKUP($A361,'ПР 21-22'!$A$11:$BB$406,29,FALSE)-VLOOKUP($A361,'ПР 01-02.22'!$A$11:$BB$378,29,FALSE)</f>
        <v>0</v>
      </c>
      <c r="AD361" s="5">
        <f>VLOOKUP($A361,'ПР 01-02.21'!$A$11:$BB$406,30,FALSE)+VLOOKUP($A361,'ПР 21-22'!$A$11:$BB$406,30,FALSE)-VLOOKUP($A361,'ПР 01-02.22'!$A$11:$BB$378,30,FALSE)</f>
        <v>7403</v>
      </c>
      <c r="AE361" s="5">
        <f>VLOOKUP($A361,'ПР 01-02.21'!$A$11:$BB$406,31,FALSE)+VLOOKUP($A361,'ПР 21-22'!$A$11:$BB$406,31,FALSE)-VLOOKUP($A361,'ПР 01-02.22'!$A$11:$BB$378,31,FALSE)</f>
        <v>1301.9775056884823</v>
      </c>
      <c r="AF361" s="5">
        <f>VLOOKUP($A361,'ПР 01-02.21'!$A$11:$BB$406,32,FALSE)+VLOOKUP($A361,'ПР 21-22'!$A$11:$BB$406,32,FALSE)-VLOOKUP($A361,'ПР 01-02.22'!$A$11:$BB$378,32,FALSE)</f>
        <v>0</v>
      </c>
      <c r="AG361" s="40"/>
      <c r="AH361" s="5">
        <f>VLOOKUP($A361,'ПР 01-02.21'!$A$11:$BB$406,34,FALSE)+VLOOKUP($A361,'ПР 21-22'!$A$11:$BB$406,34,FALSE)-VLOOKUP($A361,'ПР 01-02.22'!$A$11:$BB$378,34,FALSE)</f>
        <v>1361.5839194505143</v>
      </c>
      <c r="AI361" s="5">
        <f>VLOOKUP($A361,'ПР 01-02.21'!$A$11:$BB$406,35,FALSE)+VLOOKUP($A361,'ПР 21-22'!$A$11:$BB$406,35,FALSE)-VLOOKUP($A361,'ПР 01-02.22'!$A$11:$BB$378,35,FALSE)</f>
        <v>1153</v>
      </c>
      <c r="AJ361" s="40"/>
      <c r="AK361" s="5">
        <f>VLOOKUP($A361,'ПР 01-02.21'!$A$11:$BB$406,37,FALSE)+VLOOKUP($A361,'ПР 21-22'!$A$11:$BB$406,37,FALSE)-VLOOKUP($A361,'ПР 01-02.22'!$A$11:$BB$378,37,FALSE)</f>
        <v>772.58273413087613</v>
      </c>
      <c r="AL361" s="5">
        <f>VLOOKUP($A361,'ПР 01-02.21'!$A$11:$BB$406,38,FALSE)+VLOOKUP($A361,'ПР 21-22'!$A$11:$BB$406,38,FALSE)-VLOOKUP($A361,'ПР 01-02.22'!$A$11:$BB$378,38,FALSE)</f>
        <v>0</v>
      </c>
      <c r="AM361" s="40"/>
      <c r="AN361" s="5">
        <f>VLOOKUP($A361,'ПР 01-02.21'!$A$11:$BB$406,40,FALSE)+VLOOKUP($A361,'ПР 21-22'!$A$11:$BB$406,40,FALSE)-VLOOKUP($A361,'ПР 01-02.22'!$A$11:$BB$378,40,FALSE)</f>
        <v>1446.1536223518513</v>
      </c>
      <c r="AO361" s="5">
        <f>VLOOKUP($A361,'ПР 01-02.21'!$A$11:$BB$406,41,FALSE)+VLOOKUP($A361,'ПР 21-22'!$A$11:$BB$406,41,FALSE)-VLOOKUP($A361,'ПР 01-02.22'!$A$11:$BB$378,41,FALSE)</f>
        <v>0</v>
      </c>
      <c r="AP361" s="40"/>
      <c r="AQ361" s="5">
        <f>VLOOKUP($A361,'ПР 01-02.21'!$A$11:$BB$406,43,FALSE)+VLOOKUP($A361,'ПР 21-22'!$A$11:$BB$406,43,FALSE)-VLOOKUP($A361,'ПР 01-02.22'!$A$11:$BB$378,43,FALSE)</f>
        <v>614.31349833312618</v>
      </c>
      <c r="AR361" s="5">
        <f>VLOOKUP($A361,'ПР 01-02.21'!$A$11:$BB$406,44,FALSE)+VLOOKUP($A361,'ПР 21-22'!$A$11:$BB$406,44,FALSE)-VLOOKUP($A361,'ПР 01-02.22'!$A$11:$BB$378,44,FALSE)</f>
        <v>0</v>
      </c>
      <c r="AS361" s="40"/>
      <c r="AT361" s="5">
        <f>VLOOKUP($A361,'ПР 01-02.21'!$A$11:$BB$406,46,FALSE)+VLOOKUP($A361,'ПР 21-22'!$A$11:$BB$406,46,FALSE)-VLOOKUP($A361,'ПР 01-02.22'!$A$11:$BB$378,46,FALSE)</f>
        <v>662.43685392017051</v>
      </c>
      <c r="AU361" s="5">
        <f>VLOOKUP($A361,'ПР 01-02.21'!$A$11:$BB$406,47,FALSE)+VLOOKUP($A361,'ПР 21-22'!$A$11:$BB$406,47,FALSE)-VLOOKUP($A361,'ПР 01-02.22'!$A$11:$BB$378,47,FALSE)</f>
        <v>0</v>
      </c>
      <c r="AV361" s="40"/>
      <c r="AW361" s="5">
        <f>VLOOKUP($A361,'ПР 01-02.21'!$A$11:$BB$406,49,FALSE)+VLOOKUP($A361,'ПР 21-22'!$A$11:$BB$406,49,FALSE)-VLOOKUP($A361,'ПР 01-02.22'!$A$11:$BB$378,49,FALSE)</f>
        <v>106.3308</v>
      </c>
      <c r="AX361" s="5">
        <f>VLOOKUP($A361,'ПР 01-02.21'!$A$11:$BB$406,50,FALSE)+VLOOKUP($A361,'ПР 21-22'!$A$11:$BB$406,50,FALSE)-VLOOKUP($A361,'ПР 01-02.22'!$A$11:$BB$378,50,FALSE)</f>
        <v>0</v>
      </c>
      <c r="AY361" s="40"/>
      <c r="AZ361" s="40">
        <f t="shared" si="21"/>
        <v>6265.3789338750212</v>
      </c>
      <c r="BA361" s="40">
        <f t="shared" si="21"/>
        <v>1153</v>
      </c>
      <c r="BB361" s="55">
        <f t="shared" si="24"/>
        <v>-5112.3789338750212</v>
      </c>
      <c r="BD361" s="2">
        <v>2</v>
      </c>
      <c r="BF361" s="325">
        <v>150000886</v>
      </c>
    </row>
    <row r="362" spans="1:58" ht="24.9" customHeight="1" x14ac:dyDescent="0.3">
      <c r="A362" s="325">
        <v>150000887</v>
      </c>
      <c r="B362" s="445" t="s">
        <v>398</v>
      </c>
      <c r="C362" s="27">
        <v>9</v>
      </c>
      <c r="D362" s="101" t="s">
        <v>455</v>
      </c>
      <c r="E362" s="279">
        <f>'побудинковий звіт'!E360</f>
        <v>6420.63</v>
      </c>
      <c r="F362" s="441">
        <f>'побудинковий звіт'!AS360</f>
        <v>75004.284800880443</v>
      </c>
      <c r="G362" s="441">
        <f t="shared" si="22"/>
        <v>39302.887547715669</v>
      </c>
      <c r="H362" s="73">
        <f t="shared" si="23"/>
        <v>-35701.397253164774</v>
      </c>
      <c r="I362" s="5">
        <f>VLOOKUP($A362,'ПР 01-02.21'!$A$11:$BB$406,9,FALSE)+VLOOKUP($A362,'ПР 21-22'!$A$11:$BB$406,9,FALSE)-VLOOKUP($A362,'ПР 01-02.22'!$A$11:$BB$378,9,FALSE)</f>
        <v>0</v>
      </c>
      <c r="J362" s="5">
        <f>VLOOKUP($A362,'ПР 01-02.21'!$A$11:$BB$406,10,FALSE)+VLOOKUP($A362,'ПР 21-22'!$A$11:$BB$406,10,FALSE)-VLOOKUP($A362,'ПР 01-02.22'!$A$11:$BB$378,10,FALSE)</f>
        <v>0</v>
      </c>
      <c r="K362" s="450"/>
      <c r="L362" s="5">
        <f>VLOOKUP($A362,'ПР 01-02.21'!$A$11:$BB$406,12,FALSE)+VLOOKUP($A362,'ПР 21-22'!$A$11:$BB$406,12,FALSE)-VLOOKUP($A362,'ПР 01-02.22'!$A$11:$BB$378,12,FALSE)</f>
        <v>0</v>
      </c>
      <c r="M362" s="5">
        <f>VLOOKUP($A362,'ПР 01-02.21'!$A$11:$BB$406,13,FALSE)+VLOOKUP($A362,'ПР 21-22'!$A$11:$BB$406,13,FALSE)-VLOOKUP($A362,'ПР 01-02.22'!$A$11:$BB$378,13,FALSE)</f>
        <v>0</v>
      </c>
      <c r="N362" s="38"/>
      <c r="O362" s="5">
        <f>VLOOKUP($A362,'ПР 01-02.21'!$A$11:$BB$406,15,FALSE)+VLOOKUP($A362,'ПР 21-22'!$A$11:$BB$406,15,FALSE)-VLOOKUP($A362,'ПР 01-02.22'!$A$11:$BB$378,15,FALSE)</f>
        <v>0</v>
      </c>
      <c r="P362" s="5">
        <f>VLOOKUP($A362,'ПР 01-02.21'!$A$11:$BB$406,16,FALSE)+VLOOKUP($A362,'ПР 21-22'!$A$11:$BB$406,16,FALSE)-VLOOKUP($A362,'ПР 01-02.22'!$A$11:$BB$378,16,FALSE)</f>
        <v>0</v>
      </c>
      <c r="Q362" s="443"/>
      <c r="R362" s="5">
        <f>VLOOKUP($A362,'ПР 01-02.21'!$A$11:$BB$406,18,FALSE)+VLOOKUP($A362,'ПР 21-22'!$A$11:$BB$406,18,FALSE)-VLOOKUP($A362,'ПР 01-02.22'!$A$11:$BB$378,18,FALSE)</f>
        <v>6</v>
      </c>
      <c r="S362" s="5">
        <f>VLOOKUP($A362,'ПР 01-02.21'!$A$11:$BB$406,19,FALSE)+VLOOKUP($A362,'ПР 21-22'!$A$11:$BB$406,19,FALSE)-VLOOKUP($A362,'ПР 01-02.22'!$A$11:$BB$378,19,FALSE)</f>
        <v>38800</v>
      </c>
      <c r="T362" s="444"/>
      <c r="U362" s="5">
        <f>VLOOKUP($A362,'ПР 01-02.21'!$A$11:$BB$406,21,FALSE)+VLOOKUP($A362,'ПР 21-22'!$A$11:$BB$406,21,FALSE)-VLOOKUP($A362,'ПР 01-02.22'!$A$11:$BB$378,21,FALSE)</f>
        <v>0</v>
      </c>
      <c r="V362" s="5"/>
      <c r="W362" s="5">
        <f>VLOOKUP($A362,'ПР 01-02.21'!$A$11:$BB$406,23,FALSE)+VLOOKUP($A362,'ПР 21-22'!$A$11:$BB$406,23,FALSE)-VLOOKUP($A362,'ПР 01-02.22'!$A$11:$BB$378,23,FALSE)</f>
        <v>0</v>
      </c>
      <c r="X362" s="5">
        <f>VLOOKUP($A362,'ПР 01-02.21'!$A$11:$BB$406,24,FALSE)+VLOOKUP($A362,'ПР 21-22'!$A$11:$BB$406,24,FALSE)-VLOOKUP($A362,'ПР 01-02.22'!$A$11:$BB$378,24,FALSE)</f>
        <v>153.88754771567031</v>
      </c>
      <c r="Y362" s="5">
        <f>VLOOKUP($A362,'ПР 01-02.21'!$A$11:$BB$406,25,FALSE)+VLOOKUP($A362,'ПР 21-22'!$A$11:$BB$406,25,FALSE)-VLOOKUP($A362,'ПР 01-02.22'!$A$11:$BB$378,25,FALSE)</f>
        <v>0</v>
      </c>
      <c r="Z362" s="5"/>
      <c r="AA362" s="5">
        <f>VLOOKUP($A362,'ПР 01-02.21'!$A$11:$BB$406,27,FALSE)+VLOOKUP($A362,'ПР 21-22'!$A$11:$BB$406,27,FALSE)-VLOOKUP($A362,'ПР 01-02.22'!$A$11:$BB$378,27,FALSE)</f>
        <v>0</v>
      </c>
      <c r="AB362" s="5">
        <f>VLOOKUP($A362,'ПР 01-02.21'!$A$11:$BB$406,28,FALSE)+VLOOKUP($A362,'ПР 21-22'!$A$11:$BB$406,28,FALSE)-VLOOKUP($A362,'ПР 01-02.22'!$A$11:$BB$378,28,FALSE)</f>
        <v>0</v>
      </c>
      <c r="AC362" s="5">
        <f>VLOOKUP($A362,'ПР 01-02.21'!$A$11:$BB$406,29,FALSE)+VLOOKUP($A362,'ПР 21-22'!$A$11:$BB$406,29,FALSE)-VLOOKUP($A362,'ПР 01-02.22'!$A$11:$BB$378,29,FALSE)</f>
        <v>0</v>
      </c>
      <c r="AD362" s="5">
        <f>VLOOKUP($A362,'ПР 01-02.21'!$A$11:$BB$406,30,FALSE)+VLOOKUP($A362,'ПР 21-22'!$A$11:$BB$406,30,FALSE)-VLOOKUP($A362,'ПР 01-02.22'!$A$11:$BB$378,30,FALSE)</f>
        <v>349</v>
      </c>
      <c r="AE362" s="5">
        <f>VLOOKUP($A362,'ПР 01-02.21'!$A$11:$BB$406,31,FALSE)+VLOOKUP($A362,'ПР 21-22'!$A$11:$BB$406,31,FALSE)-VLOOKUP($A362,'ПР 01-02.22'!$A$11:$BB$378,31,FALSE)</f>
        <v>4051.4926287443095</v>
      </c>
      <c r="AF362" s="5">
        <f>VLOOKUP($A362,'ПР 01-02.21'!$A$11:$BB$406,32,FALSE)+VLOOKUP($A362,'ПР 21-22'!$A$11:$BB$406,32,FALSE)-VLOOKUP($A362,'ПР 01-02.22'!$A$11:$BB$378,32,FALSE)</f>
        <v>1898</v>
      </c>
      <c r="AG362" s="40"/>
      <c r="AH362" s="5">
        <f>VLOOKUP($A362,'ПР 01-02.21'!$A$11:$BB$406,34,FALSE)+VLOOKUP($A362,'ПР 21-22'!$A$11:$BB$406,34,FALSE)-VLOOKUP($A362,'ПР 01-02.22'!$A$11:$BB$378,34,FALSE)</f>
        <v>4472.6154808166202</v>
      </c>
      <c r="AI362" s="5">
        <f>VLOOKUP($A362,'ПР 01-02.21'!$A$11:$BB$406,35,FALSE)+VLOOKUP($A362,'ПР 21-22'!$A$11:$BB$406,35,FALSE)-VLOOKUP($A362,'ПР 01-02.22'!$A$11:$BB$378,35,FALSE)</f>
        <v>1653</v>
      </c>
      <c r="AJ362" s="40"/>
      <c r="AK362" s="5">
        <f>VLOOKUP($A362,'ПР 01-02.21'!$A$11:$BB$406,37,FALSE)+VLOOKUP($A362,'ПР 21-22'!$A$11:$BB$406,37,FALSE)-VLOOKUP($A362,'ПР 01-02.22'!$A$11:$BB$378,37,FALSE)</f>
        <v>1796.2406711579561</v>
      </c>
      <c r="AL362" s="5">
        <f>VLOOKUP($A362,'ПР 01-02.21'!$A$11:$BB$406,38,FALSE)+VLOOKUP($A362,'ПР 21-22'!$A$11:$BB$406,38,FALSE)-VLOOKUP($A362,'ПР 01-02.22'!$A$11:$BB$378,38,FALSE)</f>
        <v>859</v>
      </c>
      <c r="AM362" s="40"/>
      <c r="AN362" s="5">
        <f>VLOOKUP($A362,'ПР 01-02.21'!$A$11:$BB$406,40,FALSE)+VLOOKUP($A362,'ПР 21-22'!$A$11:$BB$406,40,FALSE)-VLOOKUP($A362,'ПР 01-02.22'!$A$11:$BB$378,40,FALSE)</f>
        <v>3584.3107653046945</v>
      </c>
      <c r="AO362" s="5">
        <f>VLOOKUP($A362,'ПР 01-02.21'!$A$11:$BB$406,41,FALSE)+VLOOKUP($A362,'ПР 21-22'!$A$11:$BB$406,41,FALSE)-VLOOKUP($A362,'ПР 01-02.22'!$A$11:$BB$378,41,FALSE)</f>
        <v>0</v>
      </c>
      <c r="AP362" s="40"/>
      <c r="AQ362" s="5">
        <f>VLOOKUP($A362,'ПР 01-02.21'!$A$11:$BB$406,43,FALSE)+VLOOKUP($A362,'ПР 21-22'!$A$11:$BB$406,43,FALSE)-VLOOKUP($A362,'ПР 01-02.22'!$A$11:$BB$378,43,FALSE)</f>
        <v>1705.3372081807695</v>
      </c>
      <c r="AR362" s="5">
        <f>VLOOKUP($A362,'ПР 01-02.21'!$A$11:$BB$406,44,FALSE)+VLOOKUP($A362,'ПР 21-22'!$A$11:$BB$406,44,FALSE)-VLOOKUP($A362,'ПР 01-02.22'!$A$11:$BB$378,44,FALSE)</f>
        <v>0</v>
      </c>
      <c r="AS362" s="40"/>
      <c r="AT362" s="5">
        <f>VLOOKUP($A362,'ПР 01-02.21'!$A$11:$BB$406,46,FALSE)+VLOOKUP($A362,'ПР 21-22'!$A$11:$BB$406,46,FALSE)-VLOOKUP($A362,'ПР 01-02.22'!$A$11:$BB$378,46,FALSE)</f>
        <v>2617.9870334981256</v>
      </c>
      <c r="AU362" s="5">
        <f>VLOOKUP($A362,'ПР 01-02.21'!$A$11:$BB$406,47,FALSE)+VLOOKUP($A362,'ПР 21-22'!$A$11:$BB$406,47,FALSE)-VLOOKUP($A362,'ПР 01-02.22'!$A$11:$BB$378,47,FALSE)</f>
        <v>0</v>
      </c>
      <c r="AV362" s="40"/>
      <c r="AW362" s="5">
        <f>VLOOKUP($A362,'ПР 01-02.21'!$A$11:$BB$406,49,FALSE)+VLOOKUP($A362,'ПР 21-22'!$A$11:$BB$406,49,FALSE)-VLOOKUP($A362,'ПР 01-02.22'!$A$11:$BB$378,49,FALSE)</f>
        <v>320.86240000000004</v>
      </c>
      <c r="AX362" s="5">
        <f>VLOOKUP($A362,'ПР 01-02.21'!$A$11:$BB$406,50,FALSE)+VLOOKUP($A362,'ПР 21-22'!$A$11:$BB$406,50,FALSE)-VLOOKUP($A362,'ПР 01-02.22'!$A$11:$BB$378,50,FALSE)</f>
        <v>0</v>
      </c>
      <c r="AY362" s="40"/>
      <c r="AZ362" s="40">
        <f t="shared" si="21"/>
        <v>18548.846187702478</v>
      </c>
      <c r="BA362" s="40">
        <f t="shared" si="21"/>
        <v>4410</v>
      </c>
      <c r="BB362" s="55">
        <f t="shared" si="24"/>
        <v>-14138.846187702478</v>
      </c>
      <c r="BD362" s="2">
        <v>2</v>
      </c>
      <c r="BF362" s="325">
        <v>150000887</v>
      </c>
    </row>
    <row r="363" spans="1:58" ht="24.9" customHeight="1" x14ac:dyDescent="0.3">
      <c r="A363" s="325">
        <v>150000888</v>
      </c>
      <c r="B363" s="445" t="s">
        <v>314</v>
      </c>
      <c r="C363" s="27">
        <v>5</v>
      </c>
      <c r="D363" s="101" t="s">
        <v>455</v>
      </c>
      <c r="E363" s="279">
        <f>'побудинковий звіт'!E361</f>
        <v>3374.56</v>
      </c>
      <c r="F363" s="441">
        <f>'побудинковий звіт'!AS361</f>
        <v>26810.684153351991</v>
      </c>
      <c r="G363" s="441">
        <f t="shared" si="22"/>
        <v>114795</v>
      </c>
      <c r="H363" s="73">
        <f t="shared" si="23"/>
        <v>87984.315846648009</v>
      </c>
      <c r="I363" s="5">
        <f>VLOOKUP($A363,'ПР 01-02.21'!$A$11:$BB$406,9,FALSE)+VLOOKUP($A363,'ПР 21-22'!$A$11:$BB$406,9,FALSE)-VLOOKUP($A363,'ПР 01-02.22'!$A$11:$BB$378,9,FALSE)</f>
        <v>2</v>
      </c>
      <c r="J363" s="5">
        <f>VLOOKUP($A363,'ПР 01-02.21'!$A$11:$BB$406,10,FALSE)+VLOOKUP($A363,'ПР 21-22'!$A$11:$BB$406,10,FALSE)-VLOOKUP($A363,'ПР 01-02.22'!$A$11:$BB$378,10,FALSE)</f>
        <v>879</v>
      </c>
      <c r="K363" s="446"/>
      <c r="L363" s="5">
        <f>VLOOKUP($A363,'ПР 01-02.21'!$A$11:$BB$406,12,FALSE)+VLOOKUP($A363,'ПР 21-22'!$A$11:$BB$406,12,FALSE)-VLOOKUP($A363,'ПР 01-02.22'!$A$11:$BB$378,12,FALSE)</f>
        <v>2</v>
      </c>
      <c r="M363" s="5">
        <f>VLOOKUP($A363,'ПР 01-02.21'!$A$11:$BB$406,13,FALSE)+VLOOKUP($A363,'ПР 21-22'!$A$11:$BB$406,13,FALSE)-VLOOKUP($A363,'ПР 01-02.22'!$A$11:$BB$378,13,FALSE)</f>
        <v>107565</v>
      </c>
      <c r="N363" s="38"/>
      <c r="O363" s="5">
        <f>VLOOKUP($A363,'ПР 01-02.21'!$A$11:$BB$406,15,FALSE)+VLOOKUP($A363,'ПР 21-22'!$A$11:$BB$406,15,FALSE)-VLOOKUP($A363,'ПР 01-02.22'!$A$11:$BB$378,15,FALSE)</f>
        <v>0</v>
      </c>
      <c r="P363" s="5">
        <f>VLOOKUP($A363,'ПР 01-02.21'!$A$11:$BB$406,16,FALSE)+VLOOKUP($A363,'ПР 21-22'!$A$11:$BB$406,16,FALSE)-VLOOKUP($A363,'ПР 01-02.22'!$A$11:$BB$378,16,FALSE)</f>
        <v>0</v>
      </c>
      <c r="Q363" s="443"/>
      <c r="R363" s="5">
        <f>VLOOKUP($A363,'ПР 01-02.21'!$A$11:$BB$406,18,FALSE)+VLOOKUP($A363,'ПР 21-22'!$A$11:$BB$406,18,FALSE)-VLOOKUP($A363,'ПР 01-02.22'!$A$11:$BB$378,18,FALSE)</f>
        <v>0</v>
      </c>
      <c r="S363" s="5">
        <f>VLOOKUP($A363,'ПР 01-02.21'!$A$11:$BB$406,19,FALSE)+VLOOKUP($A363,'ПР 21-22'!$A$11:$BB$406,19,FALSE)-VLOOKUP($A363,'ПР 01-02.22'!$A$11:$BB$378,19,FALSE)</f>
        <v>0</v>
      </c>
      <c r="T363" s="444"/>
      <c r="U363" s="5">
        <f>VLOOKUP($A363,'ПР 01-02.21'!$A$11:$BB$406,21,FALSE)+VLOOKUP($A363,'ПР 21-22'!$A$11:$BB$406,21,FALSE)-VLOOKUP($A363,'ПР 01-02.22'!$A$11:$BB$378,21,FALSE)</f>
        <v>0</v>
      </c>
      <c r="V363" s="5"/>
      <c r="W363" s="5">
        <f>VLOOKUP($A363,'ПР 01-02.21'!$A$11:$BB$406,23,FALSE)+VLOOKUP($A363,'ПР 21-22'!$A$11:$BB$406,23,FALSE)-VLOOKUP($A363,'ПР 01-02.22'!$A$11:$BB$378,23,FALSE)</f>
        <v>0</v>
      </c>
      <c r="X363" s="5">
        <f>VLOOKUP($A363,'ПР 01-02.21'!$A$11:$BB$406,24,FALSE)+VLOOKUP($A363,'ПР 21-22'!$A$11:$BB$406,24,FALSE)-VLOOKUP($A363,'ПР 01-02.22'!$A$11:$BB$378,24,FALSE)</f>
        <v>0</v>
      </c>
      <c r="Y363" s="5">
        <f>VLOOKUP($A363,'ПР 01-02.21'!$A$11:$BB$406,25,FALSE)+VLOOKUP($A363,'ПР 21-22'!$A$11:$BB$406,25,FALSE)-VLOOKUP($A363,'ПР 01-02.22'!$A$11:$BB$378,25,FALSE)</f>
        <v>2790</v>
      </c>
      <c r="Z363" s="5"/>
      <c r="AA363" s="5">
        <f>VLOOKUP($A363,'ПР 01-02.21'!$A$11:$BB$406,27,FALSE)+VLOOKUP($A363,'ПР 21-22'!$A$11:$BB$406,27,FALSE)-VLOOKUP($A363,'ПР 01-02.22'!$A$11:$BB$378,27,FALSE)</f>
        <v>0</v>
      </c>
      <c r="AB363" s="5">
        <f>VLOOKUP($A363,'ПР 01-02.21'!$A$11:$BB$406,28,FALSE)+VLOOKUP($A363,'ПР 21-22'!$A$11:$BB$406,28,FALSE)-VLOOKUP($A363,'ПР 01-02.22'!$A$11:$BB$378,28,FALSE)</f>
        <v>0</v>
      </c>
      <c r="AC363" s="5">
        <f>VLOOKUP($A363,'ПР 01-02.21'!$A$11:$BB$406,29,FALSE)+VLOOKUP($A363,'ПР 21-22'!$A$11:$BB$406,29,FALSE)-VLOOKUP($A363,'ПР 01-02.22'!$A$11:$BB$378,29,FALSE)</f>
        <v>3040</v>
      </c>
      <c r="AD363" s="5">
        <f>VLOOKUP($A363,'ПР 01-02.21'!$A$11:$BB$406,30,FALSE)+VLOOKUP($A363,'ПР 21-22'!$A$11:$BB$406,30,FALSE)-VLOOKUP($A363,'ПР 01-02.22'!$A$11:$BB$378,30,FALSE)</f>
        <v>521</v>
      </c>
      <c r="AE363" s="5">
        <f>VLOOKUP($A363,'ПР 01-02.21'!$A$11:$BB$406,31,FALSE)+VLOOKUP($A363,'ПР 21-22'!$A$11:$BB$406,31,FALSE)-VLOOKUP($A363,'ПР 01-02.22'!$A$11:$BB$378,31,FALSE)</f>
        <v>2904.8462694358409</v>
      </c>
      <c r="AF363" s="5">
        <f>VLOOKUP($A363,'ПР 01-02.21'!$A$11:$BB$406,32,FALSE)+VLOOKUP($A363,'ПР 21-22'!$A$11:$BB$406,32,FALSE)-VLOOKUP($A363,'ПР 01-02.22'!$A$11:$BB$378,32,FALSE)</f>
        <v>359</v>
      </c>
      <c r="AG363" s="40"/>
      <c r="AH363" s="5">
        <f>VLOOKUP($A363,'ПР 01-02.21'!$A$11:$BB$406,34,FALSE)+VLOOKUP($A363,'ПР 21-22'!$A$11:$BB$406,34,FALSE)-VLOOKUP($A363,'ПР 01-02.22'!$A$11:$BB$378,34,FALSE)</f>
        <v>4169.7843698321703</v>
      </c>
      <c r="AI363" s="5">
        <f>VLOOKUP($A363,'ПР 01-02.21'!$A$11:$BB$406,35,FALSE)+VLOOKUP($A363,'ПР 21-22'!$A$11:$BB$406,35,FALSE)-VLOOKUP($A363,'ПР 01-02.22'!$A$11:$BB$378,35,FALSE)</f>
        <v>3526</v>
      </c>
      <c r="AJ363" s="40"/>
      <c r="AK363" s="5">
        <f>VLOOKUP($A363,'ПР 01-02.21'!$A$11:$BB$406,37,FALSE)+VLOOKUP($A363,'ПР 21-22'!$A$11:$BB$406,37,FALSE)-VLOOKUP($A363,'ПР 01-02.22'!$A$11:$BB$378,37,FALSE)</f>
        <v>1987.5835440387189</v>
      </c>
      <c r="AL363" s="5">
        <f>VLOOKUP($A363,'ПР 01-02.21'!$A$11:$BB$406,38,FALSE)+VLOOKUP($A363,'ПР 21-22'!$A$11:$BB$406,38,FALSE)-VLOOKUP($A363,'ПР 01-02.22'!$A$11:$BB$378,38,FALSE)</f>
        <v>1665</v>
      </c>
      <c r="AM363" s="40"/>
      <c r="AN363" s="5">
        <f>VLOOKUP($A363,'ПР 01-02.21'!$A$11:$BB$406,40,FALSE)+VLOOKUP($A363,'ПР 21-22'!$A$11:$BB$406,40,FALSE)-VLOOKUP($A363,'ПР 01-02.22'!$A$11:$BB$378,40,FALSE)</f>
        <v>0</v>
      </c>
      <c r="AO363" s="5">
        <f>VLOOKUP($A363,'ПР 01-02.21'!$A$11:$BB$406,41,FALSE)+VLOOKUP($A363,'ПР 21-22'!$A$11:$BB$406,41,FALSE)-VLOOKUP($A363,'ПР 01-02.22'!$A$11:$BB$378,41,FALSE)</f>
        <v>0</v>
      </c>
      <c r="AP363" s="40"/>
      <c r="AQ363" s="5">
        <f>VLOOKUP($A363,'ПР 01-02.21'!$A$11:$BB$406,43,FALSE)+VLOOKUP($A363,'ПР 21-22'!$A$11:$BB$406,43,FALSE)-VLOOKUP($A363,'ПР 01-02.22'!$A$11:$BB$378,43,FALSE)</f>
        <v>0</v>
      </c>
      <c r="AR363" s="5">
        <f>VLOOKUP($A363,'ПР 01-02.21'!$A$11:$BB$406,44,FALSE)+VLOOKUP($A363,'ПР 21-22'!$A$11:$BB$406,44,FALSE)-VLOOKUP($A363,'ПР 01-02.22'!$A$11:$BB$378,44,FALSE)</f>
        <v>0</v>
      </c>
      <c r="AS363" s="40"/>
      <c r="AT363" s="5">
        <f>VLOOKUP($A363,'ПР 01-02.21'!$A$11:$BB$406,46,FALSE)+VLOOKUP($A363,'ПР 21-22'!$A$11:$BB$406,46,FALSE)-VLOOKUP($A363,'ПР 01-02.22'!$A$11:$BB$378,46,FALSE)</f>
        <v>2020.693133677172</v>
      </c>
      <c r="AU363" s="5">
        <f>VLOOKUP($A363,'ПР 01-02.21'!$A$11:$BB$406,47,FALSE)+VLOOKUP($A363,'ПР 21-22'!$A$11:$BB$406,47,FALSE)-VLOOKUP($A363,'ПР 01-02.22'!$A$11:$BB$378,47,FALSE)</f>
        <v>1454</v>
      </c>
      <c r="AV363" s="40"/>
      <c r="AW363" s="5">
        <f>VLOOKUP($A363,'ПР 01-02.21'!$A$11:$BB$406,49,FALSE)+VLOOKUP($A363,'ПР 21-22'!$A$11:$BB$406,49,FALSE)-VLOOKUP($A363,'ПР 01-02.22'!$A$11:$BB$378,49,FALSE)</f>
        <v>168.99800000000002</v>
      </c>
      <c r="AX363" s="5">
        <f>VLOOKUP($A363,'ПР 01-02.21'!$A$11:$BB$406,50,FALSE)+VLOOKUP($A363,'ПР 21-22'!$A$11:$BB$406,50,FALSE)-VLOOKUP($A363,'ПР 01-02.22'!$A$11:$BB$378,50,FALSE)</f>
        <v>0</v>
      </c>
      <c r="AY363" s="40"/>
      <c r="AZ363" s="40">
        <f t="shared" si="21"/>
        <v>11251.905316983901</v>
      </c>
      <c r="BA363" s="40">
        <f t="shared" si="21"/>
        <v>7004</v>
      </c>
      <c r="BB363" s="55">
        <f t="shared" si="24"/>
        <v>-4247.9053169839008</v>
      </c>
      <c r="BD363" s="2">
        <v>2</v>
      </c>
      <c r="BF363" s="325">
        <v>150000888</v>
      </c>
    </row>
    <row r="364" spans="1:58" ht="24.9" customHeight="1" x14ac:dyDescent="0.3">
      <c r="A364" s="325">
        <v>150000889</v>
      </c>
      <c r="B364" s="445" t="s">
        <v>428</v>
      </c>
      <c r="C364" s="27">
        <v>16</v>
      </c>
      <c r="D364" s="101" t="s">
        <v>455</v>
      </c>
      <c r="E364" s="279">
        <f>'побудинковий звіт'!E362</f>
        <v>5256.18</v>
      </c>
      <c r="F364" s="441">
        <f>'побудинковий звіт'!AS362</f>
        <v>57648.497460879444</v>
      </c>
      <c r="G364" s="441">
        <f t="shared" si="22"/>
        <v>30396.68</v>
      </c>
      <c r="H364" s="73">
        <f t="shared" si="23"/>
        <v>-27251.817460879443</v>
      </c>
      <c r="I364" s="5">
        <f>VLOOKUP($A364,'ПР 01-02.21'!$A$11:$BB$406,9,FALSE)+VLOOKUP($A364,'ПР 21-22'!$A$11:$BB$406,9,FALSE)-VLOOKUP($A364,'ПР 01-02.22'!$A$11:$BB$378,9,FALSE)</f>
        <v>0</v>
      </c>
      <c r="J364" s="5">
        <f>VLOOKUP($A364,'ПР 01-02.21'!$A$11:$BB$406,10,FALSE)+VLOOKUP($A364,'ПР 21-22'!$A$11:$BB$406,10,FALSE)-VLOOKUP($A364,'ПР 01-02.22'!$A$11:$BB$378,10,FALSE)</f>
        <v>0</v>
      </c>
      <c r="K364" s="446"/>
      <c r="L364" s="5">
        <f>VLOOKUP($A364,'ПР 01-02.21'!$A$11:$BB$406,12,FALSE)+VLOOKUP($A364,'ПР 21-22'!$A$11:$BB$406,12,FALSE)-VLOOKUP($A364,'ПР 01-02.22'!$A$11:$BB$378,12,FALSE)</f>
        <v>0</v>
      </c>
      <c r="M364" s="5">
        <f>VLOOKUP($A364,'ПР 01-02.21'!$A$11:$BB$406,13,FALSE)+VLOOKUP($A364,'ПР 21-22'!$A$11:$BB$406,13,FALSE)-VLOOKUP($A364,'ПР 01-02.22'!$A$11:$BB$378,13,FALSE)</f>
        <v>14560</v>
      </c>
      <c r="N364" s="38"/>
      <c r="O364" s="5">
        <f>VLOOKUP($A364,'ПР 01-02.21'!$A$11:$BB$406,15,FALSE)+VLOOKUP($A364,'ПР 21-22'!$A$11:$BB$406,15,FALSE)-VLOOKUP($A364,'ПР 01-02.22'!$A$11:$BB$378,15,FALSE)</f>
        <v>0</v>
      </c>
      <c r="P364" s="5">
        <f>VLOOKUP($A364,'ПР 01-02.21'!$A$11:$BB$406,16,FALSE)+VLOOKUP($A364,'ПР 21-22'!$A$11:$BB$406,16,FALSE)-VLOOKUP($A364,'ПР 01-02.22'!$A$11:$BB$378,16,FALSE)</f>
        <v>0</v>
      </c>
      <c r="Q364" s="443"/>
      <c r="R364" s="5">
        <f>VLOOKUP($A364,'ПР 01-02.21'!$A$11:$BB$406,18,FALSE)+VLOOKUP($A364,'ПР 21-22'!$A$11:$BB$406,18,FALSE)-VLOOKUP($A364,'ПР 01-02.22'!$A$11:$BB$378,18,FALSE)</f>
        <v>2</v>
      </c>
      <c r="S364" s="5">
        <f>VLOOKUP($A364,'ПР 01-02.21'!$A$11:$BB$406,19,FALSE)+VLOOKUP($A364,'ПР 21-22'!$A$11:$BB$406,19,FALSE)-VLOOKUP($A364,'ПР 01-02.22'!$A$11:$BB$378,19,FALSE)</f>
        <v>11869</v>
      </c>
      <c r="T364" s="444"/>
      <c r="U364" s="5">
        <f>VLOOKUP($A364,'ПР 01-02.21'!$A$11:$BB$406,21,FALSE)+VLOOKUP($A364,'ПР 21-22'!$A$11:$BB$406,21,FALSE)-VLOOKUP($A364,'ПР 01-02.22'!$A$11:$BB$378,21,FALSE)</f>
        <v>0</v>
      </c>
      <c r="V364" s="5"/>
      <c r="W364" s="5">
        <f>VLOOKUP($A364,'ПР 01-02.21'!$A$11:$BB$406,23,FALSE)+VLOOKUP($A364,'ПР 21-22'!$A$11:$BB$406,23,FALSE)-VLOOKUP($A364,'ПР 01-02.22'!$A$11:$BB$378,23,FALSE)</f>
        <v>0</v>
      </c>
      <c r="X364" s="5">
        <f>VLOOKUP($A364,'ПР 01-02.21'!$A$11:$BB$406,24,FALSE)+VLOOKUP($A364,'ПР 21-22'!$A$11:$BB$406,24,FALSE)-VLOOKUP($A364,'ПР 01-02.22'!$A$11:$BB$378,24,FALSE)</f>
        <v>1041.68</v>
      </c>
      <c r="Y364" s="5">
        <f>VLOOKUP($A364,'ПР 01-02.21'!$A$11:$BB$406,25,FALSE)+VLOOKUP($A364,'ПР 21-22'!$A$11:$BB$406,25,FALSE)-VLOOKUP($A364,'ПР 01-02.22'!$A$11:$BB$378,25,FALSE)</f>
        <v>2926</v>
      </c>
      <c r="Z364" s="5"/>
      <c r="AA364" s="5">
        <f>VLOOKUP($A364,'ПР 01-02.21'!$A$11:$BB$406,27,FALSE)+VLOOKUP($A364,'ПР 21-22'!$A$11:$BB$406,27,FALSE)-VLOOKUP($A364,'ПР 01-02.22'!$A$11:$BB$378,27,FALSE)</f>
        <v>0</v>
      </c>
      <c r="AB364" s="5">
        <f>VLOOKUP($A364,'ПР 01-02.21'!$A$11:$BB$406,28,FALSE)+VLOOKUP($A364,'ПР 21-22'!$A$11:$BB$406,28,FALSE)-VLOOKUP($A364,'ПР 01-02.22'!$A$11:$BB$378,28,FALSE)</f>
        <v>0</v>
      </c>
      <c r="AC364" s="5">
        <f>VLOOKUP($A364,'ПР 01-02.21'!$A$11:$BB$406,29,FALSE)+VLOOKUP($A364,'ПР 21-22'!$A$11:$BB$406,29,FALSE)-VLOOKUP($A364,'ПР 01-02.22'!$A$11:$BB$378,29,FALSE)</f>
        <v>0</v>
      </c>
      <c r="AD364" s="5">
        <f>VLOOKUP($A364,'ПР 01-02.21'!$A$11:$BB$406,30,FALSE)+VLOOKUP($A364,'ПР 21-22'!$A$11:$BB$406,30,FALSE)-VLOOKUP($A364,'ПР 01-02.22'!$A$11:$BB$378,30,FALSE)</f>
        <v>0</v>
      </c>
      <c r="AE364" s="5">
        <f>VLOOKUP($A364,'ПР 01-02.21'!$A$11:$BB$406,31,FALSE)+VLOOKUP($A364,'ПР 21-22'!$A$11:$BB$406,31,FALSE)-VLOOKUP($A364,'ПР 01-02.22'!$A$11:$BB$378,31,FALSE)</f>
        <v>4613.7849839245</v>
      </c>
      <c r="AF364" s="5">
        <f>VLOOKUP($A364,'ПР 01-02.21'!$A$11:$BB$406,32,FALSE)+VLOOKUP($A364,'ПР 21-22'!$A$11:$BB$406,32,FALSE)-VLOOKUP($A364,'ПР 01-02.22'!$A$11:$BB$378,32,FALSE)</f>
        <v>4282</v>
      </c>
      <c r="AG364" s="40"/>
      <c r="AH364" s="5">
        <f>VLOOKUP($A364,'ПР 01-02.21'!$A$11:$BB$406,34,FALSE)+VLOOKUP($A364,'ПР 21-22'!$A$11:$BB$406,34,FALSE)-VLOOKUP($A364,'ПР 01-02.22'!$A$11:$BB$378,34,FALSE)</f>
        <v>5138.8903005945631</v>
      </c>
      <c r="AI364" s="5">
        <f>VLOOKUP($A364,'ПР 01-02.21'!$A$11:$BB$406,35,FALSE)+VLOOKUP($A364,'ПР 21-22'!$A$11:$BB$406,35,FALSE)-VLOOKUP($A364,'ПР 01-02.22'!$A$11:$BB$378,35,FALSE)</f>
        <v>4519</v>
      </c>
      <c r="AJ364" s="40"/>
      <c r="AK364" s="5">
        <f>VLOOKUP($A364,'ПР 01-02.21'!$A$11:$BB$406,37,FALSE)+VLOOKUP($A364,'ПР 21-22'!$A$11:$BB$406,37,FALSE)-VLOOKUP($A364,'ПР 01-02.22'!$A$11:$BB$378,37,FALSE)</f>
        <v>2479.9129413802111</v>
      </c>
      <c r="AL364" s="5">
        <f>VLOOKUP($A364,'ПР 01-02.21'!$A$11:$BB$406,38,FALSE)+VLOOKUP($A364,'ПР 21-22'!$A$11:$BB$406,38,FALSE)-VLOOKUP($A364,'ПР 01-02.22'!$A$11:$BB$378,38,FALSE)</f>
        <v>5467</v>
      </c>
      <c r="AM364" s="40"/>
      <c r="AN364" s="5">
        <f>VLOOKUP($A364,'ПР 01-02.21'!$A$11:$BB$406,40,FALSE)+VLOOKUP($A364,'ПР 21-22'!$A$11:$BB$406,40,FALSE)-VLOOKUP($A364,'ПР 01-02.22'!$A$11:$BB$378,40,FALSE)</f>
        <v>3354.7259746232166</v>
      </c>
      <c r="AO364" s="5">
        <f>VLOOKUP($A364,'ПР 01-02.21'!$A$11:$BB$406,41,FALSE)+VLOOKUP($A364,'ПР 21-22'!$A$11:$BB$406,41,FALSE)-VLOOKUP($A364,'ПР 01-02.22'!$A$11:$BB$378,41,FALSE)</f>
        <v>0</v>
      </c>
      <c r="AP364" s="40"/>
      <c r="AQ364" s="5">
        <f>VLOOKUP($A364,'ПР 01-02.21'!$A$11:$BB$406,43,FALSE)+VLOOKUP($A364,'ПР 21-22'!$A$11:$BB$406,43,FALSE)-VLOOKUP($A364,'ПР 01-02.22'!$A$11:$BB$378,43,FALSE)</f>
        <v>1449.1107694215177</v>
      </c>
      <c r="AR364" s="5">
        <f>VLOOKUP($A364,'ПР 01-02.21'!$A$11:$BB$406,44,FALSE)+VLOOKUP($A364,'ПР 21-22'!$A$11:$BB$406,44,FALSE)-VLOOKUP($A364,'ПР 01-02.22'!$A$11:$BB$378,44,FALSE)</f>
        <v>0</v>
      </c>
      <c r="AS364" s="40"/>
      <c r="AT364" s="5">
        <f>VLOOKUP($A364,'ПР 01-02.21'!$A$11:$BB$406,46,FALSE)+VLOOKUP($A364,'ПР 21-22'!$A$11:$BB$406,46,FALSE)-VLOOKUP($A364,'ПР 01-02.22'!$A$11:$BB$378,46,FALSE)</f>
        <v>2641.6868566493768</v>
      </c>
      <c r="AU364" s="5">
        <f>VLOOKUP($A364,'ПР 01-02.21'!$A$11:$BB$406,47,FALSE)+VLOOKUP($A364,'ПР 21-22'!$A$11:$BB$406,47,FALSE)-VLOOKUP($A364,'ПР 01-02.22'!$A$11:$BB$378,47,FALSE)</f>
        <v>342</v>
      </c>
      <c r="AV364" s="40"/>
      <c r="AW364" s="5">
        <f>VLOOKUP($A364,'ПР 01-02.21'!$A$11:$BB$406,49,FALSE)+VLOOKUP($A364,'ПР 21-22'!$A$11:$BB$406,49,FALSE)-VLOOKUP($A364,'ПР 01-02.22'!$A$11:$BB$378,49,FALSE)</f>
        <v>0</v>
      </c>
      <c r="AX364" s="5">
        <f>VLOOKUP($A364,'ПР 01-02.21'!$A$11:$BB$406,50,FALSE)+VLOOKUP($A364,'ПР 21-22'!$A$11:$BB$406,50,FALSE)-VLOOKUP($A364,'ПР 01-02.22'!$A$11:$BB$378,50,FALSE)</f>
        <v>0</v>
      </c>
      <c r="AY364" s="40"/>
      <c r="AZ364" s="40">
        <f t="shared" si="21"/>
        <v>19678.111826593384</v>
      </c>
      <c r="BA364" s="40">
        <f t="shared" si="21"/>
        <v>14610</v>
      </c>
      <c r="BB364" s="55">
        <f t="shared" si="24"/>
        <v>-5068.1118265933837</v>
      </c>
      <c r="BD364" s="2">
        <v>2</v>
      </c>
      <c r="BF364" s="325">
        <v>150000889</v>
      </c>
    </row>
    <row r="365" spans="1:58" ht="24.9" customHeight="1" x14ac:dyDescent="0.3">
      <c r="A365" s="325">
        <v>150000890</v>
      </c>
      <c r="B365" s="445" t="s">
        <v>399</v>
      </c>
      <c r="C365" s="27">
        <v>9</v>
      </c>
      <c r="D365" s="101" t="s">
        <v>455</v>
      </c>
      <c r="E365" s="279">
        <f>'побудинковий звіт'!E363</f>
        <v>8449.6999999999989</v>
      </c>
      <c r="F365" s="441">
        <f>'побудинковий звіт'!AS363</f>
        <v>92863.586372842285</v>
      </c>
      <c r="G365" s="441">
        <f t="shared" si="22"/>
        <v>62607.049999999996</v>
      </c>
      <c r="H365" s="73">
        <f t="shared" si="23"/>
        <v>-30256.536372842289</v>
      </c>
      <c r="I365" s="5">
        <f>VLOOKUP($A365,'ПР 01-02.21'!$A$11:$BB$406,9,FALSE)+VLOOKUP($A365,'ПР 21-22'!$A$11:$BB$406,9,FALSE)-VLOOKUP($A365,'ПР 01-02.22'!$A$11:$BB$378,9,FALSE)</f>
        <v>0</v>
      </c>
      <c r="J365" s="5">
        <f>VLOOKUP($A365,'ПР 01-02.21'!$A$11:$BB$406,10,FALSE)+VLOOKUP($A365,'ПР 21-22'!$A$11:$BB$406,10,FALSE)-VLOOKUP($A365,'ПР 01-02.22'!$A$11:$BB$378,10,FALSE)</f>
        <v>0</v>
      </c>
      <c r="K365" s="446"/>
      <c r="L365" s="5">
        <f>VLOOKUP($A365,'ПР 01-02.21'!$A$11:$BB$406,12,FALSE)+VLOOKUP($A365,'ПР 21-22'!$A$11:$BB$406,12,FALSE)-VLOOKUP($A365,'ПР 01-02.22'!$A$11:$BB$378,12,FALSE)</f>
        <v>0</v>
      </c>
      <c r="M365" s="5">
        <f>VLOOKUP($A365,'ПР 01-02.21'!$A$11:$BB$406,13,FALSE)+VLOOKUP($A365,'ПР 21-22'!$A$11:$BB$406,13,FALSE)-VLOOKUP($A365,'ПР 01-02.22'!$A$11:$BB$378,13,FALSE)</f>
        <v>22343</v>
      </c>
      <c r="N365" s="38"/>
      <c r="O365" s="5">
        <f>VLOOKUP($A365,'ПР 01-02.21'!$A$11:$BB$406,15,FALSE)+VLOOKUP($A365,'ПР 21-22'!$A$11:$BB$406,15,FALSE)-VLOOKUP($A365,'ПР 01-02.22'!$A$11:$BB$378,15,FALSE)</f>
        <v>0</v>
      </c>
      <c r="P365" s="5">
        <f>VLOOKUP($A365,'ПР 01-02.21'!$A$11:$BB$406,16,FALSE)+VLOOKUP($A365,'ПР 21-22'!$A$11:$BB$406,16,FALSE)-VLOOKUP($A365,'ПР 01-02.22'!$A$11:$BB$378,16,FALSE)</f>
        <v>0</v>
      </c>
      <c r="Q365" s="443"/>
      <c r="R365" s="5">
        <f>VLOOKUP($A365,'ПР 01-02.21'!$A$11:$BB$406,18,FALSE)+VLOOKUP($A365,'ПР 21-22'!$A$11:$BB$406,18,FALSE)-VLOOKUP($A365,'ПР 01-02.22'!$A$11:$BB$378,18,FALSE)</f>
        <v>4</v>
      </c>
      <c r="S365" s="5">
        <f>VLOOKUP($A365,'ПР 01-02.21'!$A$11:$BB$406,19,FALSE)+VLOOKUP($A365,'ПР 21-22'!$A$11:$BB$406,19,FALSE)-VLOOKUP($A365,'ПР 01-02.22'!$A$11:$BB$378,19,FALSE)</f>
        <v>19617.229999999996</v>
      </c>
      <c r="T365" s="444"/>
      <c r="U365" s="5">
        <f>VLOOKUP($A365,'ПР 01-02.21'!$A$11:$BB$406,21,FALSE)+VLOOKUP($A365,'ПР 21-22'!$A$11:$BB$406,21,FALSE)-VLOOKUP($A365,'ПР 01-02.22'!$A$11:$BB$378,21,FALSE)</f>
        <v>0</v>
      </c>
      <c r="V365" s="5"/>
      <c r="W365" s="5">
        <f>VLOOKUP($A365,'ПР 01-02.21'!$A$11:$BB$406,23,FALSE)+VLOOKUP($A365,'ПР 21-22'!$A$11:$BB$406,23,FALSE)-VLOOKUP($A365,'ПР 01-02.22'!$A$11:$BB$378,23,FALSE)</f>
        <v>0</v>
      </c>
      <c r="X365" s="5">
        <f>VLOOKUP($A365,'ПР 01-02.21'!$A$11:$BB$406,24,FALSE)+VLOOKUP($A365,'ПР 21-22'!$A$11:$BB$406,24,FALSE)-VLOOKUP($A365,'ПР 01-02.22'!$A$11:$BB$378,24,FALSE)</f>
        <v>0</v>
      </c>
      <c r="Y365" s="5">
        <f>VLOOKUP($A365,'ПР 01-02.21'!$A$11:$BB$406,25,FALSE)+VLOOKUP($A365,'ПР 21-22'!$A$11:$BB$406,25,FALSE)-VLOOKUP($A365,'ПР 01-02.22'!$A$11:$BB$378,25,FALSE)</f>
        <v>11493</v>
      </c>
      <c r="Z365" s="5"/>
      <c r="AA365" s="5">
        <f>VLOOKUP($A365,'ПР 01-02.21'!$A$11:$BB$406,27,FALSE)+VLOOKUP($A365,'ПР 21-22'!$A$11:$BB$406,27,FALSE)-VLOOKUP($A365,'ПР 01-02.22'!$A$11:$BB$378,27,FALSE)</f>
        <v>0</v>
      </c>
      <c r="AB365" s="5">
        <f>VLOOKUP($A365,'ПР 01-02.21'!$A$11:$BB$406,28,FALSE)+VLOOKUP($A365,'ПР 21-22'!$A$11:$BB$406,28,FALSE)-VLOOKUP($A365,'ПР 01-02.22'!$A$11:$BB$378,28,FALSE)</f>
        <v>1577</v>
      </c>
      <c r="AC365" s="5">
        <f>VLOOKUP($A365,'ПР 01-02.21'!$A$11:$BB$406,29,FALSE)+VLOOKUP($A365,'ПР 21-22'!$A$11:$BB$406,29,FALSE)-VLOOKUP($A365,'ПР 01-02.22'!$A$11:$BB$378,29,FALSE)</f>
        <v>693.81999999999994</v>
      </c>
      <c r="AD365" s="5">
        <f>VLOOKUP($A365,'ПР 01-02.21'!$A$11:$BB$406,30,FALSE)+VLOOKUP($A365,'ПР 21-22'!$A$11:$BB$406,30,FALSE)-VLOOKUP($A365,'ПР 01-02.22'!$A$11:$BB$378,30,FALSE)</f>
        <v>6883</v>
      </c>
      <c r="AE365" s="5">
        <f>VLOOKUP($A365,'ПР 01-02.21'!$A$11:$BB$406,31,FALSE)+VLOOKUP($A365,'ПР 21-22'!$A$11:$BB$406,31,FALSE)-VLOOKUP($A365,'ПР 01-02.22'!$A$11:$BB$378,31,FALSE)</f>
        <v>4406.5150766761744</v>
      </c>
      <c r="AF365" s="5">
        <f>VLOOKUP($A365,'ПР 01-02.21'!$A$11:$BB$406,32,FALSE)+VLOOKUP($A365,'ПР 21-22'!$A$11:$BB$406,32,FALSE)-VLOOKUP($A365,'ПР 01-02.22'!$A$11:$BB$378,32,FALSE)</f>
        <v>6521.55</v>
      </c>
      <c r="AG365" s="40"/>
      <c r="AH365" s="5">
        <f>VLOOKUP($A365,'ПР 01-02.21'!$A$11:$BB$406,34,FALSE)+VLOOKUP($A365,'ПР 21-22'!$A$11:$BB$406,34,FALSE)-VLOOKUP($A365,'ПР 01-02.22'!$A$11:$BB$378,34,FALSE)</f>
        <v>6032.4220735688841</v>
      </c>
      <c r="AI365" s="5">
        <f>VLOOKUP($A365,'ПР 01-02.21'!$A$11:$BB$406,35,FALSE)+VLOOKUP($A365,'ПР 21-22'!$A$11:$BB$406,35,FALSE)-VLOOKUP($A365,'ПР 01-02.22'!$A$11:$BB$378,35,FALSE)</f>
        <v>3255</v>
      </c>
      <c r="AJ365" s="40"/>
      <c r="AK365" s="5">
        <f>VLOOKUP($A365,'ПР 01-02.21'!$A$11:$BB$406,37,FALSE)+VLOOKUP($A365,'ПР 21-22'!$A$11:$BB$406,37,FALSE)-VLOOKUP($A365,'ПР 01-02.22'!$A$11:$BB$378,37,FALSE)</f>
        <v>3434.2222282225184</v>
      </c>
      <c r="AL365" s="5">
        <f>VLOOKUP($A365,'ПР 01-02.21'!$A$11:$BB$406,38,FALSE)+VLOOKUP($A365,'ПР 21-22'!$A$11:$BB$406,38,FALSE)-VLOOKUP($A365,'ПР 01-02.22'!$A$11:$BB$378,38,FALSE)</f>
        <v>0</v>
      </c>
      <c r="AM365" s="40"/>
      <c r="AN365" s="5">
        <f>VLOOKUP($A365,'ПР 01-02.21'!$A$11:$BB$406,40,FALSE)+VLOOKUP($A365,'ПР 21-22'!$A$11:$BB$406,40,FALSE)-VLOOKUP($A365,'ПР 01-02.22'!$A$11:$BB$378,40,FALSE)</f>
        <v>6011.0264581177471</v>
      </c>
      <c r="AO365" s="5">
        <f>VLOOKUP($A365,'ПР 01-02.21'!$A$11:$BB$406,41,FALSE)+VLOOKUP($A365,'ПР 21-22'!$A$11:$BB$406,41,FALSE)-VLOOKUP($A365,'ПР 01-02.22'!$A$11:$BB$378,41,FALSE)</f>
        <v>566</v>
      </c>
      <c r="AP365" s="40"/>
      <c r="AQ365" s="5">
        <f>VLOOKUP($A365,'ПР 01-02.21'!$A$11:$BB$406,43,FALSE)+VLOOKUP($A365,'ПР 21-22'!$A$11:$BB$406,43,FALSE)-VLOOKUP($A365,'ПР 01-02.22'!$A$11:$BB$378,43,FALSE)</f>
        <v>2551.430308869702</v>
      </c>
      <c r="AR365" s="5">
        <f>VLOOKUP($A365,'ПР 01-02.21'!$A$11:$BB$406,44,FALSE)+VLOOKUP($A365,'ПР 21-22'!$A$11:$BB$406,44,FALSE)-VLOOKUP($A365,'ПР 01-02.22'!$A$11:$BB$378,44,FALSE)</f>
        <v>0</v>
      </c>
      <c r="AS365" s="40"/>
      <c r="AT365" s="5">
        <f>VLOOKUP($A365,'ПР 01-02.21'!$A$11:$BB$406,46,FALSE)+VLOOKUP($A365,'ПР 21-22'!$A$11:$BB$406,46,FALSE)-VLOOKUP($A365,'ПР 01-02.22'!$A$11:$BB$378,46,FALSE)</f>
        <v>4836.0823141556511</v>
      </c>
      <c r="AU365" s="5">
        <f>VLOOKUP($A365,'ПР 01-02.21'!$A$11:$BB$406,47,FALSE)+VLOOKUP($A365,'ПР 21-22'!$A$11:$BB$406,47,FALSE)-VLOOKUP($A365,'ПР 01-02.22'!$A$11:$BB$378,47,FALSE)</f>
        <v>1247</v>
      </c>
      <c r="AV365" s="40"/>
      <c r="AW365" s="5">
        <f>VLOOKUP($A365,'ПР 01-02.21'!$A$11:$BB$406,49,FALSE)+VLOOKUP($A365,'ПР 21-22'!$A$11:$BB$406,49,FALSE)-VLOOKUP($A365,'ПР 01-02.22'!$A$11:$BB$378,49,FALSE)</f>
        <v>415.90640000000002</v>
      </c>
      <c r="AX365" s="5">
        <f>VLOOKUP($A365,'ПР 01-02.21'!$A$11:$BB$406,50,FALSE)+VLOOKUP($A365,'ПР 21-22'!$A$11:$BB$406,50,FALSE)-VLOOKUP($A365,'ПР 01-02.22'!$A$11:$BB$378,50,FALSE)</f>
        <v>0</v>
      </c>
      <c r="AY365" s="40"/>
      <c r="AZ365" s="40">
        <f t="shared" ref="AZ365:BA405" si="25">AE365+AH365+AK365+AN365+AQ365+AT365+AW365</f>
        <v>27687.604859610678</v>
      </c>
      <c r="BA365" s="40">
        <f t="shared" si="25"/>
        <v>11589.55</v>
      </c>
      <c r="BB365" s="55">
        <f t="shared" si="24"/>
        <v>-16098.054859610678</v>
      </c>
      <c r="BD365" s="2">
        <v>2</v>
      </c>
      <c r="BF365" s="325">
        <v>150000890</v>
      </c>
    </row>
    <row r="366" spans="1:58" ht="24.9" customHeight="1" x14ac:dyDescent="0.3">
      <c r="A366" s="325">
        <v>150000891</v>
      </c>
      <c r="B366" s="445" t="s">
        <v>190</v>
      </c>
      <c r="C366" s="27">
        <v>2</v>
      </c>
      <c r="D366" s="101" t="s">
        <v>455</v>
      </c>
      <c r="E366" s="279">
        <f>'побудинковий звіт'!E364</f>
        <v>294.26</v>
      </c>
      <c r="F366" s="441">
        <f>'побудинковий звіт'!AS364</f>
        <v>2810.2517900905227</v>
      </c>
      <c r="G366" s="441">
        <f t="shared" si="22"/>
        <v>0</v>
      </c>
      <c r="H366" s="73">
        <f t="shared" si="23"/>
        <v>-2810.2517900905227</v>
      </c>
      <c r="I366" s="5">
        <f>VLOOKUP($A366,'ПР 01-02.21'!$A$11:$BB$406,9,FALSE)+VLOOKUP($A366,'ПР 21-22'!$A$11:$BB$406,9,FALSE)-VLOOKUP($A366,'ПР 01-02.22'!$A$11:$BB$378,9,FALSE)</f>
        <v>0</v>
      </c>
      <c r="J366" s="5">
        <f>VLOOKUP($A366,'ПР 01-02.21'!$A$11:$BB$406,10,FALSE)+VLOOKUP($A366,'ПР 21-22'!$A$11:$BB$406,10,FALSE)-VLOOKUP($A366,'ПР 01-02.22'!$A$11:$BB$378,10,FALSE)</f>
        <v>0</v>
      </c>
      <c r="K366" s="446"/>
      <c r="L366" s="5">
        <f>VLOOKUP($A366,'ПР 01-02.21'!$A$11:$BB$406,12,FALSE)+VLOOKUP($A366,'ПР 21-22'!$A$11:$BB$406,12,FALSE)-VLOOKUP($A366,'ПР 01-02.22'!$A$11:$BB$378,12,FALSE)</f>
        <v>0</v>
      </c>
      <c r="M366" s="5">
        <f>VLOOKUP($A366,'ПР 01-02.21'!$A$11:$BB$406,13,FALSE)+VLOOKUP($A366,'ПР 21-22'!$A$11:$BB$406,13,FALSE)-VLOOKUP($A366,'ПР 01-02.22'!$A$11:$BB$378,13,FALSE)</f>
        <v>0</v>
      </c>
      <c r="N366" s="38"/>
      <c r="O366" s="5">
        <f>VLOOKUP($A366,'ПР 01-02.21'!$A$11:$BB$406,15,FALSE)+VLOOKUP($A366,'ПР 21-22'!$A$11:$BB$406,15,FALSE)-VLOOKUP($A366,'ПР 01-02.22'!$A$11:$BB$378,15,FALSE)</f>
        <v>0</v>
      </c>
      <c r="P366" s="5">
        <f>VLOOKUP($A366,'ПР 01-02.21'!$A$11:$BB$406,16,FALSE)+VLOOKUP($A366,'ПР 21-22'!$A$11:$BB$406,16,FALSE)-VLOOKUP($A366,'ПР 01-02.22'!$A$11:$BB$378,16,FALSE)</f>
        <v>0</v>
      </c>
      <c r="Q366" s="443"/>
      <c r="R366" s="5">
        <f>VLOOKUP($A366,'ПР 01-02.21'!$A$11:$BB$406,18,FALSE)+VLOOKUP($A366,'ПР 21-22'!$A$11:$BB$406,18,FALSE)-VLOOKUP($A366,'ПР 01-02.22'!$A$11:$BB$378,18,FALSE)</f>
        <v>0</v>
      </c>
      <c r="S366" s="5">
        <f>VLOOKUP($A366,'ПР 01-02.21'!$A$11:$BB$406,19,FALSE)+VLOOKUP($A366,'ПР 21-22'!$A$11:$BB$406,19,FALSE)-VLOOKUP($A366,'ПР 01-02.22'!$A$11:$BB$378,19,FALSE)</f>
        <v>0</v>
      </c>
      <c r="T366" s="444"/>
      <c r="U366" s="5">
        <f>VLOOKUP($A366,'ПР 01-02.21'!$A$11:$BB$406,21,FALSE)+VLOOKUP($A366,'ПР 21-22'!$A$11:$BB$406,21,FALSE)-VLOOKUP($A366,'ПР 01-02.22'!$A$11:$BB$378,21,FALSE)</f>
        <v>0</v>
      </c>
      <c r="V366" s="5"/>
      <c r="W366" s="5">
        <f>VLOOKUP($A366,'ПР 01-02.21'!$A$11:$BB$406,23,FALSE)+VLOOKUP($A366,'ПР 21-22'!$A$11:$BB$406,23,FALSE)-VLOOKUP($A366,'ПР 01-02.22'!$A$11:$BB$378,23,FALSE)</f>
        <v>0</v>
      </c>
      <c r="X366" s="5">
        <f>VLOOKUP($A366,'ПР 01-02.21'!$A$11:$BB$406,24,FALSE)+VLOOKUP($A366,'ПР 21-22'!$A$11:$BB$406,24,FALSE)-VLOOKUP($A366,'ПР 01-02.22'!$A$11:$BB$378,24,FALSE)</f>
        <v>0</v>
      </c>
      <c r="Y366" s="5">
        <f>VLOOKUP($A366,'ПР 01-02.21'!$A$11:$BB$406,25,FALSE)+VLOOKUP($A366,'ПР 21-22'!$A$11:$BB$406,25,FALSE)-VLOOKUP($A366,'ПР 01-02.22'!$A$11:$BB$378,25,FALSE)</f>
        <v>0</v>
      </c>
      <c r="Z366" s="5"/>
      <c r="AA366" s="5">
        <f>VLOOKUP($A366,'ПР 01-02.21'!$A$11:$BB$406,27,FALSE)+VLOOKUP($A366,'ПР 21-22'!$A$11:$BB$406,27,FALSE)-VLOOKUP($A366,'ПР 01-02.22'!$A$11:$BB$378,27,FALSE)</f>
        <v>0</v>
      </c>
      <c r="AB366" s="5">
        <f>VLOOKUP($A366,'ПР 01-02.21'!$A$11:$BB$406,28,FALSE)+VLOOKUP($A366,'ПР 21-22'!$A$11:$BB$406,28,FALSE)-VLOOKUP($A366,'ПР 01-02.22'!$A$11:$BB$378,28,FALSE)</f>
        <v>0</v>
      </c>
      <c r="AC366" s="5">
        <f>VLOOKUP($A366,'ПР 01-02.21'!$A$11:$BB$406,29,FALSE)+VLOOKUP($A366,'ПР 21-22'!$A$11:$BB$406,29,FALSE)-VLOOKUP($A366,'ПР 01-02.22'!$A$11:$BB$378,29,FALSE)</f>
        <v>0</v>
      </c>
      <c r="AD366" s="5">
        <f>VLOOKUP($A366,'ПР 01-02.21'!$A$11:$BB$406,30,FALSE)+VLOOKUP($A366,'ПР 21-22'!$A$11:$BB$406,30,FALSE)-VLOOKUP($A366,'ПР 01-02.22'!$A$11:$BB$378,30,FALSE)</f>
        <v>0</v>
      </c>
      <c r="AE366" s="5">
        <f>VLOOKUP($A366,'ПР 01-02.21'!$A$11:$BB$406,31,FALSE)+VLOOKUP($A366,'ПР 21-22'!$A$11:$BB$406,31,FALSE)-VLOOKUP($A366,'ПР 01-02.22'!$A$11:$BB$378,31,FALSE)</f>
        <v>459.21002818119791</v>
      </c>
      <c r="AF366" s="5">
        <f>VLOOKUP($A366,'ПР 01-02.21'!$A$11:$BB$406,32,FALSE)+VLOOKUP($A366,'ПР 21-22'!$A$11:$BB$406,32,FALSE)-VLOOKUP($A366,'ПР 01-02.22'!$A$11:$BB$378,32,FALSE)</f>
        <v>0</v>
      </c>
      <c r="AG366" s="40"/>
      <c r="AH366" s="5">
        <f>VLOOKUP($A366,'ПР 01-02.21'!$A$11:$BB$406,34,FALSE)+VLOOKUP($A366,'ПР 21-22'!$A$11:$BB$406,34,FALSE)-VLOOKUP($A366,'ПР 01-02.22'!$A$11:$BB$378,34,FALSE)</f>
        <v>559.39358177849215</v>
      </c>
      <c r="AI366" s="5">
        <f>VLOOKUP($A366,'ПР 01-02.21'!$A$11:$BB$406,35,FALSE)+VLOOKUP($A366,'ПР 21-22'!$A$11:$BB$406,35,FALSE)-VLOOKUP($A366,'ПР 01-02.22'!$A$11:$BB$378,35,FALSE)</f>
        <v>0</v>
      </c>
      <c r="AJ366" s="40"/>
      <c r="AK366" s="5">
        <f>VLOOKUP($A366,'ПР 01-02.21'!$A$11:$BB$406,37,FALSE)+VLOOKUP($A366,'ПР 21-22'!$A$11:$BB$406,37,FALSE)-VLOOKUP($A366,'ПР 01-02.22'!$A$11:$BB$378,37,FALSE)</f>
        <v>0</v>
      </c>
      <c r="AL366" s="5">
        <f>VLOOKUP($A366,'ПР 01-02.21'!$A$11:$BB$406,38,FALSE)+VLOOKUP($A366,'ПР 21-22'!$A$11:$BB$406,38,FALSE)-VLOOKUP($A366,'ПР 01-02.22'!$A$11:$BB$378,38,FALSE)</f>
        <v>0</v>
      </c>
      <c r="AM366" s="40"/>
      <c r="AN366" s="5">
        <f>VLOOKUP($A366,'ПР 01-02.21'!$A$11:$BB$406,40,FALSE)+VLOOKUP($A366,'ПР 21-22'!$A$11:$BB$406,40,FALSE)-VLOOKUP($A366,'ПР 01-02.22'!$A$11:$BB$378,40,FALSE)</f>
        <v>0</v>
      </c>
      <c r="AO366" s="5">
        <f>VLOOKUP($A366,'ПР 01-02.21'!$A$11:$BB$406,41,FALSE)+VLOOKUP($A366,'ПР 21-22'!$A$11:$BB$406,41,FALSE)-VLOOKUP($A366,'ПР 01-02.22'!$A$11:$BB$378,41,FALSE)</f>
        <v>0</v>
      </c>
      <c r="AP366" s="40"/>
      <c r="AQ366" s="5">
        <f>VLOOKUP($A366,'ПР 01-02.21'!$A$11:$BB$406,43,FALSE)+VLOOKUP($A366,'ПР 21-22'!$A$11:$BB$406,43,FALSE)-VLOOKUP($A366,'ПР 01-02.22'!$A$11:$BB$378,43,FALSE)</f>
        <v>0</v>
      </c>
      <c r="AR366" s="5">
        <f>VLOOKUP($A366,'ПР 01-02.21'!$A$11:$BB$406,44,FALSE)+VLOOKUP($A366,'ПР 21-22'!$A$11:$BB$406,44,FALSE)-VLOOKUP($A366,'ПР 01-02.22'!$A$11:$BB$378,44,FALSE)</f>
        <v>0</v>
      </c>
      <c r="AS366" s="40"/>
      <c r="AT366" s="5">
        <f>VLOOKUP($A366,'ПР 01-02.21'!$A$11:$BB$406,46,FALSE)+VLOOKUP($A366,'ПР 21-22'!$A$11:$BB$406,46,FALSE)-VLOOKUP($A366,'ПР 01-02.22'!$A$11:$BB$378,46,FALSE)</f>
        <v>84.778165269676833</v>
      </c>
      <c r="AU366" s="5">
        <f>VLOOKUP($A366,'ПР 01-02.21'!$A$11:$BB$406,47,FALSE)+VLOOKUP($A366,'ПР 21-22'!$A$11:$BB$406,47,FALSE)-VLOOKUP($A366,'ПР 01-02.22'!$A$11:$BB$378,47,FALSE)</f>
        <v>0</v>
      </c>
      <c r="AV366" s="40"/>
      <c r="AW366" s="5">
        <f>VLOOKUP($A366,'ПР 01-02.21'!$A$11:$BB$406,49,FALSE)+VLOOKUP($A366,'ПР 21-22'!$A$11:$BB$406,49,FALSE)-VLOOKUP($A366,'ПР 01-02.22'!$A$11:$BB$378,49,FALSE)</f>
        <v>35.842399999999998</v>
      </c>
      <c r="AX366" s="5">
        <f>VLOOKUP($A366,'ПР 01-02.21'!$A$11:$BB$406,50,FALSE)+VLOOKUP($A366,'ПР 21-22'!$A$11:$BB$406,50,FALSE)-VLOOKUP($A366,'ПР 01-02.22'!$A$11:$BB$378,50,FALSE)</f>
        <v>0</v>
      </c>
      <c r="AY366" s="40"/>
      <c r="AZ366" s="40">
        <f t="shared" si="25"/>
        <v>1139.2241752293669</v>
      </c>
      <c r="BA366" s="40">
        <f t="shared" si="25"/>
        <v>0</v>
      </c>
      <c r="BB366" s="55">
        <f t="shared" si="24"/>
        <v>-1139.2241752293669</v>
      </c>
      <c r="BD366" s="2">
        <v>2</v>
      </c>
      <c r="BF366" s="325">
        <v>150000891</v>
      </c>
    </row>
    <row r="367" spans="1:58" ht="24.9" customHeight="1" x14ac:dyDescent="0.3">
      <c r="A367" s="325">
        <v>150001561</v>
      </c>
      <c r="B367" s="445" t="s">
        <v>400</v>
      </c>
      <c r="C367" s="27">
        <v>9</v>
      </c>
      <c r="D367" s="101" t="s">
        <v>455</v>
      </c>
      <c r="E367" s="279">
        <f>'побудинковий звіт'!E365</f>
        <v>3516.6</v>
      </c>
      <c r="F367" s="441">
        <f>'побудинковий звіт'!AS365</f>
        <v>30581.412835560237</v>
      </c>
      <c r="G367" s="441">
        <f t="shared" si="22"/>
        <v>3972.6800000000003</v>
      </c>
      <c r="H367" s="73">
        <f t="shared" si="23"/>
        <v>-26608.732835560237</v>
      </c>
      <c r="I367" s="5">
        <f>VLOOKUP($A367,'ПР 01-02.21'!$A$11:$BB$406,9,FALSE)+VLOOKUP($A367,'ПР 21-22'!$A$11:$BB$406,9,FALSE)-VLOOKUP($A367,'ПР 01-02.22'!$A$11:$BB$378,9,FALSE)</f>
        <v>0</v>
      </c>
      <c r="J367" s="5">
        <f>VLOOKUP($A367,'ПР 01-02.21'!$A$11:$BB$406,10,FALSE)+VLOOKUP($A367,'ПР 21-22'!$A$11:$BB$406,10,FALSE)-VLOOKUP($A367,'ПР 01-02.22'!$A$11:$BB$378,10,FALSE)</f>
        <v>0</v>
      </c>
      <c r="K367" s="446"/>
      <c r="L367" s="5">
        <f>VLOOKUP($A367,'ПР 01-02.21'!$A$11:$BB$406,12,FALSE)+VLOOKUP($A367,'ПР 21-22'!$A$11:$BB$406,12,FALSE)-VLOOKUP($A367,'ПР 01-02.22'!$A$11:$BB$378,12,FALSE)</f>
        <v>0</v>
      </c>
      <c r="M367" s="5">
        <f>VLOOKUP($A367,'ПР 01-02.21'!$A$11:$BB$406,13,FALSE)+VLOOKUP($A367,'ПР 21-22'!$A$11:$BB$406,13,FALSE)-VLOOKUP($A367,'ПР 01-02.22'!$A$11:$BB$378,13,FALSE)</f>
        <v>2952.6800000000003</v>
      </c>
      <c r="N367" s="38"/>
      <c r="O367" s="5">
        <f>VLOOKUP($A367,'ПР 01-02.21'!$A$11:$BB$406,15,FALSE)+VLOOKUP($A367,'ПР 21-22'!$A$11:$BB$406,15,FALSE)-VLOOKUP($A367,'ПР 01-02.22'!$A$11:$BB$378,15,FALSE)</f>
        <v>0</v>
      </c>
      <c r="P367" s="5">
        <f>VLOOKUP($A367,'ПР 01-02.21'!$A$11:$BB$406,16,FALSE)+VLOOKUP($A367,'ПР 21-22'!$A$11:$BB$406,16,FALSE)-VLOOKUP($A367,'ПР 01-02.22'!$A$11:$BB$378,16,FALSE)</f>
        <v>0</v>
      </c>
      <c r="Q367" s="443"/>
      <c r="R367" s="5">
        <f>VLOOKUP($A367,'ПР 01-02.21'!$A$11:$BB$406,18,FALSE)+VLOOKUP($A367,'ПР 21-22'!$A$11:$BB$406,18,FALSE)-VLOOKUP($A367,'ПР 01-02.22'!$A$11:$BB$378,18,FALSE)</f>
        <v>0</v>
      </c>
      <c r="S367" s="5">
        <f>VLOOKUP($A367,'ПР 01-02.21'!$A$11:$BB$406,19,FALSE)+VLOOKUP($A367,'ПР 21-22'!$A$11:$BB$406,19,FALSE)-VLOOKUP($A367,'ПР 01-02.22'!$A$11:$BB$378,19,FALSE)</f>
        <v>0</v>
      </c>
      <c r="T367" s="444"/>
      <c r="U367" s="5">
        <f>VLOOKUP($A367,'ПР 01-02.21'!$A$11:$BB$406,21,FALSE)+VLOOKUP($A367,'ПР 21-22'!$A$11:$BB$406,21,FALSE)-VLOOKUP($A367,'ПР 01-02.22'!$A$11:$BB$378,21,FALSE)</f>
        <v>0</v>
      </c>
      <c r="V367" s="5"/>
      <c r="W367" s="5">
        <f>VLOOKUP($A367,'ПР 01-02.21'!$A$11:$BB$406,23,FALSE)+VLOOKUP($A367,'ПР 21-22'!$A$11:$BB$406,23,FALSE)-VLOOKUP($A367,'ПР 01-02.22'!$A$11:$BB$378,23,FALSE)</f>
        <v>0</v>
      </c>
      <c r="X367" s="5">
        <f>VLOOKUP($A367,'ПР 01-02.21'!$A$11:$BB$406,24,FALSE)+VLOOKUP($A367,'ПР 21-22'!$A$11:$BB$406,24,FALSE)-VLOOKUP($A367,'ПР 01-02.22'!$A$11:$BB$378,24,FALSE)</f>
        <v>0</v>
      </c>
      <c r="Y367" s="5">
        <f>VLOOKUP($A367,'ПР 01-02.21'!$A$11:$BB$406,25,FALSE)+VLOOKUP($A367,'ПР 21-22'!$A$11:$BB$406,25,FALSE)-VLOOKUP($A367,'ПР 01-02.22'!$A$11:$BB$378,25,FALSE)</f>
        <v>0</v>
      </c>
      <c r="Z367" s="5"/>
      <c r="AA367" s="5">
        <f>VLOOKUP($A367,'ПР 01-02.21'!$A$11:$BB$406,27,FALSE)+VLOOKUP($A367,'ПР 21-22'!$A$11:$BB$406,27,FALSE)-VLOOKUP($A367,'ПР 01-02.22'!$A$11:$BB$378,27,FALSE)</f>
        <v>0</v>
      </c>
      <c r="AB367" s="5">
        <f>VLOOKUP($A367,'ПР 01-02.21'!$A$11:$BB$406,28,FALSE)+VLOOKUP($A367,'ПР 21-22'!$A$11:$BB$406,28,FALSE)-VLOOKUP($A367,'ПР 01-02.22'!$A$11:$BB$378,28,FALSE)</f>
        <v>0</v>
      </c>
      <c r="AC367" s="5">
        <f>VLOOKUP($A367,'ПР 01-02.21'!$A$11:$BB$406,29,FALSE)+VLOOKUP($A367,'ПР 21-22'!$A$11:$BB$406,29,FALSE)-VLOOKUP($A367,'ПР 01-02.22'!$A$11:$BB$378,29,FALSE)</f>
        <v>0</v>
      </c>
      <c r="AD367" s="5">
        <f>VLOOKUP($A367,'ПР 01-02.21'!$A$11:$BB$406,30,FALSE)+VLOOKUP($A367,'ПР 21-22'!$A$11:$BB$406,30,FALSE)-VLOOKUP($A367,'ПР 01-02.22'!$A$11:$BB$378,30,FALSE)</f>
        <v>1020</v>
      </c>
      <c r="AE367" s="5">
        <f>VLOOKUP($A367,'ПР 01-02.21'!$A$11:$BB$406,31,FALSE)+VLOOKUP($A367,'ПР 21-22'!$A$11:$BB$406,31,FALSE)-VLOOKUP($A367,'ПР 01-02.22'!$A$11:$BB$378,31,FALSE)</f>
        <v>3917.1345395424423</v>
      </c>
      <c r="AF367" s="5">
        <f>VLOOKUP($A367,'ПР 01-02.21'!$A$11:$BB$406,32,FALSE)+VLOOKUP($A367,'ПР 21-22'!$A$11:$BB$406,32,FALSE)-VLOOKUP($A367,'ПР 01-02.22'!$A$11:$BB$378,32,FALSE)</f>
        <v>393</v>
      </c>
      <c r="AG367" s="40"/>
      <c r="AH367" s="5">
        <f>VLOOKUP($A367,'ПР 01-02.21'!$A$11:$BB$406,34,FALSE)+VLOOKUP($A367,'ПР 21-22'!$A$11:$BB$406,34,FALSE)-VLOOKUP($A367,'ПР 01-02.22'!$A$11:$BB$378,34,FALSE)</f>
        <v>4496.8793391487607</v>
      </c>
      <c r="AI367" s="5">
        <f>VLOOKUP($A367,'ПР 01-02.21'!$A$11:$BB$406,35,FALSE)+VLOOKUP($A367,'ПР 21-22'!$A$11:$BB$406,35,FALSE)-VLOOKUP($A367,'ПР 01-02.22'!$A$11:$BB$378,35,FALSE)</f>
        <v>272</v>
      </c>
      <c r="AJ367" s="40"/>
      <c r="AK367" s="5">
        <f>VLOOKUP($A367,'ПР 01-02.21'!$A$11:$BB$406,37,FALSE)+VLOOKUP($A367,'ПР 21-22'!$A$11:$BB$406,37,FALSE)-VLOOKUP($A367,'ПР 01-02.22'!$A$11:$BB$378,37,FALSE)</f>
        <v>0</v>
      </c>
      <c r="AL367" s="5">
        <f>VLOOKUP($A367,'ПР 01-02.21'!$A$11:$BB$406,38,FALSE)+VLOOKUP($A367,'ПР 21-22'!$A$11:$BB$406,38,FALSE)-VLOOKUP($A367,'ПР 01-02.22'!$A$11:$BB$378,38,FALSE)</f>
        <v>0</v>
      </c>
      <c r="AM367" s="40"/>
      <c r="AN367" s="5">
        <f>VLOOKUP($A367,'ПР 01-02.21'!$A$11:$BB$406,40,FALSE)+VLOOKUP($A367,'ПР 21-22'!$A$11:$BB$406,40,FALSE)-VLOOKUP($A367,'ПР 01-02.22'!$A$11:$BB$378,40,FALSE)</f>
        <v>0</v>
      </c>
      <c r="AO367" s="5">
        <f>VLOOKUP($A367,'ПР 01-02.21'!$A$11:$BB$406,41,FALSE)+VLOOKUP($A367,'ПР 21-22'!$A$11:$BB$406,41,FALSE)-VLOOKUP($A367,'ПР 01-02.22'!$A$11:$BB$378,41,FALSE)</f>
        <v>0</v>
      </c>
      <c r="AP367" s="40"/>
      <c r="AQ367" s="5">
        <f>VLOOKUP($A367,'ПР 01-02.21'!$A$11:$BB$406,43,FALSE)+VLOOKUP($A367,'ПР 21-22'!$A$11:$BB$406,43,FALSE)-VLOOKUP($A367,'ПР 01-02.22'!$A$11:$BB$378,43,FALSE)</f>
        <v>434.65866750610655</v>
      </c>
      <c r="AR367" s="5">
        <f>VLOOKUP($A367,'ПР 01-02.21'!$A$11:$BB$406,44,FALSE)+VLOOKUP($A367,'ПР 21-22'!$A$11:$BB$406,44,FALSE)-VLOOKUP($A367,'ПР 01-02.22'!$A$11:$BB$378,44,FALSE)</f>
        <v>0</v>
      </c>
      <c r="AS367" s="40"/>
      <c r="AT367" s="5">
        <f>VLOOKUP($A367,'ПР 01-02.21'!$A$11:$BB$406,46,FALSE)+VLOOKUP($A367,'ПР 21-22'!$A$11:$BB$406,46,FALSE)-VLOOKUP($A367,'ПР 01-02.22'!$A$11:$BB$378,46,FALSE)</f>
        <v>546.28697178523282</v>
      </c>
      <c r="AU367" s="5">
        <f>VLOOKUP($A367,'ПР 01-02.21'!$A$11:$BB$406,47,FALSE)+VLOOKUP($A367,'ПР 21-22'!$A$11:$BB$406,47,FALSE)-VLOOKUP($A367,'ПР 01-02.22'!$A$11:$BB$378,47,FALSE)</f>
        <v>193</v>
      </c>
      <c r="AV367" s="40"/>
      <c r="AW367" s="5">
        <f>VLOOKUP($A367,'ПР 01-02.21'!$A$11:$BB$406,49,FALSE)+VLOOKUP($A367,'ПР 21-22'!$A$11:$BB$406,49,FALSE)-VLOOKUP($A367,'ПР 01-02.22'!$A$11:$BB$378,49,FALSE)</f>
        <v>175.44800000000001</v>
      </c>
      <c r="AX367" s="5">
        <f>VLOOKUP($A367,'ПР 01-02.21'!$A$11:$BB$406,50,FALSE)+VLOOKUP($A367,'ПР 21-22'!$A$11:$BB$406,50,FALSE)-VLOOKUP($A367,'ПР 01-02.22'!$A$11:$BB$378,50,FALSE)</f>
        <v>0</v>
      </c>
      <c r="AY367" s="40"/>
      <c r="AZ367" s="40">
        <f t="shared" si="25"/>
        <v>9570.4075179825431</v>
      </c>
      <c r="BA367" s="40">
        <f t="shared" si="25"/>
        <v>858</v>
      </c>
      <c r="BB367" s="55">
        <f t="shared" si="24"/>
        <v>-8712.4075179825431</v>
      </c>
      <c r="BD367" s="2">
        <v>2</v>
      </c>
      <c r="BF367" s="325">
        <v>150001561</v>
      </c>
    </row>
    <row r="368" spans="1:58" ht="24.9" customHeight="1" x14ac:dyDescent="0.3">
      <c r="A368" s="325">
        <v>150000892</v>
      </c>
      <c r="B368" s="445" t="s">
        <v>401</v>
      </c>
      <c r="C368" s="27">
        <v>9</v>
      </c>
      <c r="D368" s="101" t="s">
        <v>455</v>
      </c>
      <c r="E368" s="279">
        <f>'побудинковий звіт'!E366</f>
        <v>4153.8999999999996</v>
      </c>
      <c r="F368" s="441">
        <f>'побудинковий звіт'!AS366</f>
        <v>44597.243715638644</v>
      </c>
      <c r="G368" s="441">
        <f t="shared" si="22"/>
        <v>54299.868431817617</v>
      </c>
      <c r="H368" s="73">
        <f t="shared" si="23"/>
        <v>9702.6247161789724</v>
      </c>
      <c r="I368" s="5">
        <f>VLOOKUP($A368,'ПР 01-02.21'!$A$11:$BB$406,9,FALSE)+VLOOKUP($A368,'ПР 21-22'!$A$11:$BB$406,9,FALSE)-VLOOKUP($A368,'ПР 01-02.22'!$A$11:$BB$378,9,FALSE)</f>
        <v>139.13</v>
      </c>
      <c r="J368" s="5">
        <f>VLOOKUP($A368,'ПР 01-02.21'!$A$11:$BB$406,10,FALSE)+VLOOKUP($A368,'ПР 21-22'!$A$11:$BB$406,10,FALSE)-VLOOKUP($A368,'ПР 01-02.22'!$A$11:$BB$378,10,FALSE)</f>
        <v>27596.71</v>
      </c>
      <c r="K368" s="446"/>
      <c r="L368" s="5">
        <f>VLOOKUP($A368,'ПР 01-02.21'!$A$11:$BB$406,12,FALSE)+VLOOKUP($A368,'ПР 21-22'!$A$11:$BB$406,12,FALSE)-VLOOKUP($A368,'ПР 01-02.22'!$A$11:$BB$378,12,FALSE)</f>
        <v>0</v>
      </c>
      <c r="M368" s="5">
        <f>VLOOKUP($A368,'ПР 01-02.21'!$A$11:$BB$406,13,FALSE)+VLOOKUP($A368,'ПР 21-22'!$A$11:$BB$406,13,FALSE)-VLOOKUP($A368,'ПР 01-02.22'!$A$11:$BB$378,13,FALSE)</f>
        <v>360</v>
      </c>
      <c r="N368" s="38"/>
      <c r="O368" s="5">
        <f>VLOOKUP($A368,'ПР 01-02.21'!$A$11:$BB$406,15,FALSE)+VLOOKUP($A368,'ПР 21-22'!$A$11:$BB$406,15,FALSE)-VLOOKUP($A368,'ПР 01-02.22'!$A$11:$BB$378,15,FALSE)</f>
        <v>0</v>
      </c>
      <c r="P368" s="5">
        <f>VLOOKUP($A368,'ПР 01-02.21'!$A$11:$BB$406,16,FALSE)+VLOOKUP($A368,'ПР 21-22'!$A$11:$BB$406,16,FALSE)-VLOOKUP($A368,'ПР 01-02.22'!$A$11:$BB$378,16,FALSE)</f>
        <v>0</v>
      </c>
      <c r="Q368" s="443"/>
      <c r="R368" s="5">
        <f>VLOOKUP($A368,'ПР 01-02.21'!$A$11:$BB$406,18,FALSE)+VLOOKUP($A368,'ПР 21-22'!$A$11:$BB$406,18,FALSE)-VLOOKUP($A368,'ПР 01-02.22'!$A$11:$BB$378,18,FALSE)</f>
        <v>1</v>
      </c>
      <c r="S368" s="5">
        <f>VLOOKUP($A368,'ПР 01-02.21'!$A$11:$BB$406,19,FALSE)+VLOOKUP($A368,'ПР 21-22'!$A$11:$BB$406,19,FALSE)-VLOOKUP($A368,'ПР 01-02.22'!$A$11:$BB$378,19,FALSE)</f>
        <v>6536.02</v>
      </c>
      <c r="T368" s="444"/>
      <c r="U368" s="5">
        <f>VLOOKUP($A368,'ПР 01-02.21'!$A$11:$BB$406,21,FALSE)+VLOOKUP($A368,'ПР 21-22'!$A$11:$BB$406,21,FALSE)-VLOOKUP($A368,'ПР 01-02.22'!$A$11:$BB$378,21,FALSE)</f>
        <v>0</v>
      </c>
      <c r="V368" s="5"/>
      <c r="W368" s="5">
        <f>VLOOKUP($A368,'ПР 01-02.21'!$A$11:$BB$406,23,FALSE)+VLOOKUP($A368,'ПР 21-22'!$A$11:$BB$406,23,FALSE)-VLOOKUP($A368,'ПР 01-02.22'!$A$11:$BB$378,23,FALSE)</f>
        <v>1</v>
      </c>
      <c r="X368" s="5">
        <f>VLOOKUP($A368,'ПР 01-02.21'!$A$11:$BB$406,24,FALSE)+VLOOKUP($A368,'ПР 21-22'!$A$11:$BB$406,24,FALSE)-VLOOKUP($A368,'ПР 01-02.22'!$A$11:$BB$378,24,FALSE)</f>
        <v>311.13843181762257</v>
      </c>
      <c r="Y368" s="5">
        <f>VLOOKUP($A368,'ПР 01-02.21'!$A$11:$BB$406,25,FALSE)+VLOOKUP($A368,'ПР 21-22'!$A$11:$BB$406,25,FALSE)-VLOOKUP($A368,'ПР 01-02.22'!$A$11:$BB$378,25,FALSE)</f>
        <v>788</v>
      </c>
      <c r="Z368" s="5"/>
      <c r="AA368" s="5">
        <f>VLOOKUP($A368,'ПР 01-02.21'!$A$11:$BB$406,27,FALSE)+VLOOKUP($A368,'ПР 21-22'!$A$11:$BB$406,27,FALSE)-VLOOKUP($A368,'ПР 01-02.22'!$A$11:$BB$378,27,FALSE)</f>
        <v>0</v>
      </c>
      <c r="AB368" s="5">
        <f>VLOOKUP($A368,'ПР 01-02.21'!$A$11:$BB$406,28,FALSE)+VLOOKUP($A368,'ПР 21-22'!$A$11:$BB$406,28,FALSE)-VLOOKUP($A368,'ПР 01-02.22'!$A$11:$BB$378,28,FALSE)</f>
        <v>2670</v>
      </c>
      <c r="AC368" s="5">
        <f>VLOOKUP($A368,'ПР 01-02.21'!$A$11:$BB$406,29,FALSE)+VLOOKUP($A368,'ПР 21-22'!$A$11:$BB$406,29,FALSE)-VLOOKUP($A368,'ПР 01-02.22'!$A$11:$BB$378,29,FALSE)</f>
        <v>13191.07</v>
      </c>
      <c r="AD368" s="5">
        <f>VLOOKUP($A368,'ПР 01-02.21'!$A$11:$BB$406,30,FALSE)+VLOOKUP($A368,'ПР 21-22'!$A$11:$BB$406,30,FALSE)-VLOOKUP($A368,'ПР 01-02.22'!$A$11:$BB$378,30,FALSE)</f>
        <v>2846.9300000000003</v>
      </c>
      <c r="AE368" s="5">
        <f>VLOOKUP($A368,'ПР 01-02.21'!$A$11:$BB$406,31,FALSE)+VLOOKUP($A368,'ПР 21-22'!$A$11:$BB$406,31,FALSE)-VLOOKUP($A368,'ПР 01-02.22'!$A$11:$BB$378,31,FALSE)</f>
        <v>3449.3970159621595</v>
      </c>
      <c r="AF368" s="5">
        <f>VLOOKUP($A368,'ПР 01-02.21'!$A$11:$BB$406,32,FALSE)+VLOOKUP($A368,'ПР 21-22'!$A$11:$BB$406,32,FALSE)-VLOOKUP($A368,'ПР 01-02.22'!$A$11:$BB$378,32,FALSE)</f>
        <v>301</v>
      </c>
      <c r="AG368" s="40"/>
      <c r="AH368" s="5">
        <f>VLOOKUP($A368,'ПР 01-02.21'!$A$11:$BB$406,34,FALSE)+VLOOKUP($A368,'ПР 21-22'!$A$11:$BB$406,34,FALSE)-VLOOKUP($A368,'ПР 01-02.22'!$A$11:$BB$378,34,FALSE)</f>
        <v>4006.5359370853857</v>
      </c>
      <c r="AI368" s="5">
        <f>VLOOKUP($A368,'ПР 01-02.21'!$A$11:$BB$406,35,FALSE)+VLOOKUP($A368,'ПР 21-22'!$A$11:$BB$406,35,FALSE)-VLOOKUP($A368,'ПР 01-02.22'!$A$11:$BB$378,35,FALSE)</f>
        <v>2020</v>
      </c>
      <c r="AJ368" s="40"/>
      <c r="AK368" s="5">
        <f>VLOOKUP($A368,'ПР 01-02.21'!$A$11:$BB$406,37,FALSE)+VLOOKUP($A368,'ПР 21-22'!$A$11:$BB$406,37,FALSE)-VLOOKUP($A368,'ПР 01-02.22'!$A$11:$BB$378,37,FALSE)</f>
        <v>2258.4583687364666</v>
      </c>
      <c r="AL368" s="5">
        <f>VLOOKUP($A368,'ПР 01-02.21'!$A$11:$BB$406,38,FALSE)+VLOOKUP($A368,'ПР 21-22'!$A$11:$BB$406,38,FALSE)-VLOOKUP($A368,'ПР 01-02.22'!$A$11:$BB$378,38,FALSE)</f>
        <v>0</v>
      </c>
      <c r="AM368" s="40"/>
      <c r="AN368" s="5">
        <f>VLOOKUP($A368,'ПР 01-02.21'!$A$11:$BB$406,40,FALSE)+VLOOKUP($A368,'ПР 21-22'!$A$11:$BB$406,40,FALSE)-VLOOKUP($A368,'ПР 01-02.22'!$A$11:$BB$378,40,FALSE)</f>
        <v>2732.3827038610189</v>
      </c>
      <c r="AO368" s="5">
        <f>VLOOKUP($A368,'ПР 01-02.21'!$A$11:$BB$406,41,FALSE)+VLOOKUP($A368,'ПР 21-22'!$A$11:$BB$406,41,FALSE)-VLOOKUP($A368,'ПР 01-02.22'!$A$11:$BB$378,41,FALSE)</f>
        <v>380</v>
      </c>
      <c r="AP368" s="40"/>
      <c r="AQ368" s="5">
        <f>VLOOKUP($A368,'ПР 01-02.21'!$A$11:$BB$406,43,FALSE)+VLOOKUP($A368,'ПР 21-22'!$A$11:$BB$406,43,FALSE)-VLOOKUP($A368,'ПР 01-02.22'!$A$11:$BB$378,43,FALSE)</f>
        <v>1275.715225914171</v>
      </c>
      <c r="AR368" s="5">
        <f>VLOOKUP($A368,'ПР 01-02.21'!$A$11:$BB$406,44,FALSE)+VLOOKUP($A368,'ПР 21-22'!$A$11:$BB$406,44,FALSE)-VLOOKUP($A368,'ПР 01-02.22'!$A$11:$BB$378,44,FALSE)</f>
        <v>39</v>
      </c>
      <c r="AS368" s="40"/>
      <c r="AT368" s="5">
        <f>VLOOKUP($A368,'ПР 01-02.21'!$A$11:$BB$406,46,FALSE)+VLOOKUP($A368,'ПР 21-22'!$A$11:$BB$406,46,FALSE)-VLOOKUP($A368,'ПР 01-02.22'!$A$11:$BB$378,46,FALSE)</f>
        <v>1512.2316405473698</v>
      </c>
      <c r="AU368" s="5">
        <f>VLOOKUP($A368,'ПР 01-02.21'!$A$11:$BB$406,47,FALSE)+VLOOKUP($A368,'ПР 21-22'!$A$11:$BB$406,47,FALSE)-VLOOKUP($A368,'ПР 01-02.22'!$A$11:$BB$378,47,FALSE)</f>
        <v>0</v>
      </c>
      <c r="AV368" s="40"/>
      <c r="AW368" s="5">
        <f>VLOOKUP($A368,'ПР 01-02.21'!$A$11:$BB$406,49,FALSE)+VLOOKUP($A368,'ПР 21-22'!$A$11:$BB$406,49,FALSE)-VLOOKUP($A368,'ПР 01-02.22'!$A$11:$BB$378,49,FALSE)</f>
        <v>208.15599999999998</v>
      </c>
      <c r="AX368" s="5">
        <f>VLOOKUP($A368,'ПР 01-02.21'!$A$11:$BB$406,50,FALSE)+VLOOKUP($A368,'ПР 21-22'!$A$11:$BB$406,50,FALSE)-VLOOKUP($A368,'ПР 01-02.22'!$A$11:$BB$378,50,FALSE)</f>
        <v>0</v>
      </c>
      <c r="AY368" s="40"/>
      <c r="AZ368" s="40">
        <f t="shared" si="25"/>
        <v>15442.876892106573</v>
      </c>
      <c r="BA368" s="40">
        <f t="shared" si="25"/>
        <v>2740</v>
      </c>
      <c r="BB368" s="55">
        <f t="shared" si="24"/>
        <v>-12702.876892106573</v>
      </c>
      <c r="BD368" s="2">
        <v>3</v>
      </c>
      <c r="BF368" s="325">
        <v>150000892</v>
      </c>
    </row>
    <row r="369" spans="1:58" ht="24.9" customHeight="1" x14ac:dyDescent="0.3">
      <c r="A369" s="325">
        <v>150000893</v>
      </c>
      <c r="B369" s="445" t="s">
        <v>315</v>
      </c>
      <c r="C369" s="27">
        <v>5</v>
      </c>
      <c r="D369" s="101" t="s">
        <v>455</v>
      </c>
      <c r="E369" s="279">
        <f>'побудинковий звіт'!E367</f>
        <v>2749.1</v>
      </c>
      <c r="F369" s="441">
        <f>'побудинковий звіт'!AS367</f>
        <v>44014.12790212196</v>
      </c>
      <c r="G369" s="441">
        <f t="shared" si="22"/>
        <v>34631.309772407527</v>
      </c>
      <c r="H369" s="73">
        <f t="shared" si="23"/>
        <v>-9382.8181297144329</v>
      </c>
      <c r="I369" s="5">
        <f>VLOOKUP($A369,'ПР 01-02.21'!$A$11:$BB$406,9,FALSE)+VLOOKUP($A369,'ПР 21-22'!$A$11:$BB$406,9,FALSE)-VLOOKUP($A369,'ПР 01-02.22'!$A$11:$BB$378,9,FALSE)</f>
        <v>0</v>
      </c>
      <c r="J369" s="5">
        <f>VLOOKUP($A369,'ПР 01-02.21'!$A$11:$BB$406,10,FALSE)+VLOOKUP($A369,'ПР 21-22'!$A$11:$BB$406,10,FALSE)-VLOOKUP($A369,'ПР 01-02.22'!$A$11:$BB$378,10,FALSE)</f>
        <v>0</v>
      </c>
      <c r="K369" s="446"/>
      <c r="L369" s="5">
        <f>VLOOKUP($A369,'ПР 01-02.21'!$A$11:$BB$406,12,FALSE)+VLOOKUP($A369,'ПР 21-22'!$A$11:$BB$406,12,FALSE)-VLOOKUP($A369,'ПР 01-02.22'!$A$11:$BB$378,12,FALSE)</f>
        <v>0</v>
      </c>
      <c r="M369" s="5">
        <f>VLOOKUP($A369,'ПР 01-02.21'!$A$11:$BB$406,13,FALSE)+VLOOKUP($A369,'ПР 21-22'!$A$11:$BB$406,13,FALSE)-VLOOKUP($A369,'ПР 01-02.22'!$A$11:$BB$378,13,FALSE)</f>
        <v>0</v>
      </c>
      <c r="N369" s="38"/>
      <c r="O369" s="5">
        <f>VLOOKUP($A369,'ПР 01-02.21'!$A$11:$BB$406,15,FALSE)+VLOOKUP($A369,'ПР 21-22'!$A$11:$BB$406,15,FALSE)-VLOOKUP($A369,'ПР 01-02.22'!$A$11:$BB$378,15,FALSE)</f>
        <v>0</v>
      </c>
      <c r="P369" s="5">
        <f>VLOOKUP($A369,'ПР 01-02.21'!$A$11:$BB$406,16,FALSE)+VLOOKUP($A369,'ПР 21-22'!$A$11:$BB$406,16,FALSE)-VLOOKUP($A369,'ПР 01-02.22'!$A$11:$BB$378,16,FALSE)</f>
        <v>0</v>
      </c>
      <c r="Q369" s="443"/>
      <c r="R369" s="5">
        <f>VLOOKUP($A369,'ПР 01-02.21'!$A$11:$BB$406,18,FALSE)+VLOOKUP($A369,'ПР 21-22'!$A$11:$BB$406,18,FALSE)-VLOOKUP($A369,'ПР 01-02.22'!$A$11:$BB$378,18,FALSE)</f>
        <v>0</v>
      </c>
      <c r="S369" s="5">
        <f>VLOOKUP($A369,'ПР 01-02.21'!$A$11:$BB$406,19,FALSE)+VLOOKUP($A369,'ПР 21-22'!$A$11:$BB$406,19,FALSE)-VLOOKUP($A369,'ПР 01-02.22'!$A$11:$BB$378,19,FALSE)</f>
        <v>0</v>
      </c>
      <c r="T369" s="444"/>
      <c r="U369" s="5">
        <f>VLOOKUP($A369,'ПР 01-02.21'!$A$11:$BB$406,21,FALSE)+VLOOKUP($A369,'ПР 21-22'!$A$11:$BB$406,21,FALSE)-VLOOKUP($A369,'ПР 01-02.22'!$A$11:$BB$378,21,FALSE)</f>
        <v>0</v>
      </c>
      <c r="V369" s="5"/>
      <c r="W369" s="5">
        <f>VLOOKUP($A369,'ПР 01-02.21'!$A$11:$BB$406,23,FALSE)+VLOOKUP($A369,'ПР 21-22'!$A$11:$BB$406,23,FALSE)-VLOOKUP($A369,'ПР 01-02.22'!$A$11:$BB$378,23,FALSE)</f>
        <v>24</v>
      </c>
      <c r="X369" s="5">
        <f>VLOOKUP($A369,'ПР 01-02.21'!$A$11:$BB$406,24,FALSE)+VLOOKUP($A369,'ПР 21-22'!$A$11:$BB$406,24,FALSE)-VLOOKUP($A369,'ПР 01-02.22'!$A$11:$BB$378,24,FALSE)</f>
        <v>6919.4697724075259</v>
      </c>
      <c r="Y369" s="5">
        <f>VLOOKUP($A369,'ПР 01-02.21'!$A$11:$BB$406,25,FALSE)+VLOOKUP($A369,'ПР 21-22'!$A$11:$BB$406,25,FALSE)-VLOOKUP($A369,'ПР 01-02.22'!$A$11:$BB$378,25,FALSE)</f>
        <v>4998.91</v>
      </c>
      <c r="Z369" s="5"/>
      <c r="AA369" s="5">
        <f>VLOOKUP($A369,'ПР 01-02.21'!$A$11:$BB$406,27,FALSE)+VLOOKUP($A369,'ПР 21-22'!$A$11:$BB$406,27,FALSE)-VLOOKUP($A369,'ПР 01-02.22'!$A$11:$BB$378,27,FALSE)</f>
        <v>0</v>
      </c>
      <c r="AB369" s="5">
        <f>VLOOKUP($A369,'ПР 01-02.21'!$A$11:$BB$406,28,FALSE)+VLOOKUP($A369,'ПР 21-22'!$A$11:$BB$406,28,FALSE)-VLOOKUP($A369,'ПР 01-02.22'!$A$11:$BB$378,28,FALSE)</f>
        <v>16746</v>
      </c>
      <c r="AC369" s="5">
        <f>VLOOKUP($A369,'ПР 01-02.21'!$A$11:$BB$406,29,FALSE)+VLOOKUP($A369,'ПР 21-22'!$A$11:$BB$406,29,FALSE)-VLOOKUP($A369,'ПР 01-02.22'!$A$11:$BB$378,29,FALSE)</f>
        <v>0</v>
      </c>
      <c r="AD369" s="5">
        <f>VLOOKUP($A369,'ПР 01-02.21'!$A$11:$BB$406,30,FALSE)+VLOOKUP($A369,'ПР 21-22'!$A$11:$BB$406,30,FALSE)-VLOOKUP($A369,'ПР 01-02.22'!$A$11:$BB$378,30,FALSE)</f>
        <v>5966.93</v>
      </c>
      <c r="AE369" s="5">
        <f>VLOOKUP($A369,'ПР 01-02.21'!$A$11:$BB$406,31,FALSE)+VLOOKUP($A369,'ПР 21-22'!$A$11:$BB$406,31,FALSE)-VLOOKUP($A369,'ПР 01-02.22'!$A$11:$BB$378,31,FALSE)</f>
        <v>2764.1090381808895</v>
      </c>
      <c r="AF369" s="5">
        <f>VLOOKUP($A369,'ПР 01-02.21'!$A$11:$BB$406,32,FALSE)+VLOOKUP($A369,'ПР 21-22'!$A$11:$BB$406,32,FALSE)-VLOOKUP($A369,'ПР 01-02.22'!$A$11:$BB$378,32,FALSE)</f>
        <v>0</v>
      </c>
      <c r="AG369" s="40"/>
      <c r="AH369" s="5">
        <f>VLOOKUP($A369,'ПР 01-02.21'!$A$11:$BB$406,34,FALSE)+VLOOKUP($A369,'ПР 21-22'!$A$11:$BB$406,34,FALSE)-VLOOKUP($A369,'ПР 01-02.22'!$A$11:$BB$378,34,FALSE)</f>
        <v>3642.9928788840521</v>
      </c>
      <c r="AI369" s="5">
        <f>VLOOKUP($A369,'ПР 01-02.21'!$A$11:$BB$406,35,FALSE)+VLOOKUP($A369,'ПР 21-22'!$A$11:$BB$406,35,FALSE)-VLOOKUP($A369,'ПР 01-02.22'!$A$11:$BB$378,35,FALSE)</f>
        <v>0</v>
      </c>
      <c r="AJ369" s="40"/>
      <c r="AK369" s="5">
        <f>VLOOKUP($A369,'ПР 01-02.21'!$A$11:$BB$406,37,FALSE)+VLOOKUP($A369,'ПР 21-22'!$A$11:$BB$406,37,FALSE)-VLOOKUP($A369,'ПР 01-02.22'!$A$11:$BB$378,37,FALSE)</f>
        <v>1376.8869618871597</v>
      </c>
      <c r="AL369" s="5">
        <f>VLOOKUP($A369,'ПР 01-02.21'!$A$11:$BB$406,38,FALSE)+VLOOKUP($A369,'ПР 21-22'!$A$11:$BB$406,38,FALSE)-VLOOKUP($A369,'ПР 01-02.22'!$A$11:$BB$378,38,FALSE)</f>
        <v>0</v>
      </c>
      <c r="AM369" s="40"/>
      <c r="AN369" s="5">
        <f>VLOOKUP($A369,'ПР 01-02.21'!$A$11:$BB$406,40,FALSE)+VLOOKUP($A369,'ПР 21-22'!$A$11:$BB$406,40,FALSE)-VLOOKUP($A369,'ПР 01-02.22'!$A$11:$BB$378,40,FALSE)</f>
        <v>0</v>
      </c>
      <c r="AO369" s="5">
        <f>VLOOKUP($A369,'ПР 01-02.21'!$A$11:$BB$406,41,FALSE)+VLOOKUP($A369,'ПР 21-22'!$A$11:$BB$406,41,FALSE)-VLOOKUP($A369,'ПР 01-02.22'!$A$11:$BB$378,41,FALSE)</f>
        <v>0</v>
      </c>
      <c r="AP369" s="40"/>
      <c r="AQ369" s="5">
        <f>VLOOKUP($A369,'ПР 01-02.21'!$A$11:$BB$406,43,FALSE)+VLOOKUP($A369,'ПР 21-22'!$A$11:$BB$406,43,FALSE)-VLOOKUP($A369,'ПР 01-02.22'!$A$11:$BB$378,43,FALSE)</f>
        <v>1369.6639710151376</v>
      </c>
      <c r="AR369" s="5">
        <f>VLOOKUP($A369,'ПР 01-02.21'!$A$11:$BB$406,44,FALSE)+VLOOKUP($A369,'ПР 21-22'!$A$11:$BB$406,44,FALSE)-VLOOKUP($A369,'ПР 01-02.22'!$A$11:$BB$378,44,FALSE)</f>
        <v>0</v>
      </c>
      <c r="AS369" s="40"/>
      <c r="AT369" s="5">
        <f>VLOOKUP($A369,'ПР 01-02.21'!$A$11:$BB$406,46,FALSE)+VLOOKUP($A369,'ПР 21-22'!$A$11:$BB$406,46,FALSE)-VLOOKUP($A369,'ПР 01-02.22'!$A$11:$BB$378,46,FALSE)</f>
        <v>1933.3448977939638</v>
      </c>
      <c r="AU369" s="5">
        <f>VLOOKUP($A369,'ПР 01-02.21'!$A$11:$BB$406,47,FALSE)+VLOOKUP($A369,'ПР 21-22'!$A$11:$BB$406,47,FALSE)-VLOOKUP($A369,'ПР 01-02.22'!$A$11:$BB$378,47,FALSE)</f>
        <v>0</v>
      </c>
      <c r="AV369" s="40"/>
      <c r="AW369" s="5">
        <f>VLOOKUP($A369,'ПР 01-02.21'!$A$11:$BB$406,49,FALSE)+VLOOKUP($A369,'ПР 21-22'!$A$11:$BB$406,49,FALSE)-VLOOKUP($A369,'ПР 01-02.22'!$A$11:$BB$378,49,FALSE)</f>
        <v>136.988</v>
      </c>
      <c r="AX369" s="5">
        <f>VLOOKUP($A369,'ПР 01-02.21'!$A$11:$BB$406,50,FALSE)+VLOOKUP($A369,'ПР 21-22'!$A$11:$BB$406,50,FALSE)-VLOOKUP($A369,'ПР 01-02.22'!$A$11:$BB$378,50,FALSE)</f>
        <v>0</v>
      </c>
      <c r="AY369" s="40"/>
      <c r="AZ369" s="40">
        <f t="shared" si="25"/>
        <v>11223.985747761202</v>
      </c>
      <c r="BA369" s="40">
        <f t="shared" si="25"/>
        <v>0</v>
      </c>
      <c r="BB369" s="55">
        <f t="shared" si="24"/>
        <v>-11223.985747761202</v>
      </c>
      <c r="BD369" s="2">
        <v>3</v>
      </c>
      <c r="BF369" s="325">
        <v>150000893</v>
      </c>
    </row>
    <row r="370" spans="1:58" ht="24.9" customHeight="1" x14ac:dyDescent="0.3">
      <c r="A370" s="325">
        <v>150000894</v>
      </c>
      <c r="B370" s="445" t="s">
        <v>316</v>
      </c>
      <c r="C370" s="27">
        <v>5</v>
      </c>
      <c r="D370" s="101" t="s">
        <v>455</v>
      </c>
      <c r="E370" s="279">
        <f>'побудинковий звіт'!E368</f>
        <v>4228.09</v>
      </c>
      <c r="F370" s="441">
        <f>'побудинковий звіт'!AS368</f>
        <v>45159.983655880511</v>
      </c>
      <c r="G370" s="441">
        <f t="shared" si="22"/>
        <v>74494.87</v>
      </c>
      <c r="H370" s="73">
        <f t="shared" si="23"/>
        <v>29334.886344119484</v>
      </c>
      <c r="I370" s="5">
        <f>VLOOKUP($A370,'ПР 01-02.21'!$A$11:$BB$406,9,FALSE)+VLOOKUP($A370,'ПР 21-22'!$A$11:$BB$406,9,FALSE)-VLOOKUP($A370,'ПР 01-02.22'!$A$11:$BB$378,9,FALSE)</f>
        <v>0</v>
      </c>
      <c r="J370" s="5">
        <f>VLOOKUP($A370,'ПР 01-02.21'!$A$11:$BB$406,10,FALSE)+VLOOKUP($A370,'ПР 21-22'!$A$11:$BB$406,10,FALSE)-VLOOKUP($A370,'ПР 01-02.22'!$A$11:$BB$378,10,FALSE)</f>
        <v>0</v>
      </c>
      <c r="K370" s="446"/>
      <c r="L370" s="5">
        <f>VLOOKUP($A370,'ПР 01-02.21'!$A$11:$BB$406,12,FALSE)+VLOOKUP($A370,'ПР 21-22'!$A$11:$BB$406,12,FALSE)-VLOOKUP($A370,'ПР 01-02.22'!$A$11:$BB$378,12,FALSE)</f>
        <v>0</v>
      </c>
      <c r="M370" s="5">
        <f>VLOOKUP($A370,'ПР 01-02.21'!$A$11:$BB$406,13,FALSE)+VLOOKUP($A370,'ПР 21-22'!$A$11:$BB$406,13,FALSE)-VLOOKUP($A370,'ПР 01-02.22'!$A$11:$BB$378,13,FALSE)</f>
        <v>6695</v>
      </c>
      <c r="N370" s="38"/>
      <c r="O370" s="5">
        <f>VLOOKUP($A370,'ПР 01-02.21'!$A$11:$BB$406,15,FALSE)+VLOOKUP($A370,'ПР 21-22'!$A$11:$BB$406,15,FALSE)-VLOOKUP($A370,'ПР 01-02.22'!$A$11:$BB$378,15,FALSE)</f>
        <v>0</v>
      </c>
      <c r="P370" s="5">
        <f>VLOOKUP($A370,'ПР 01-02.21'!$A$11:$BB$406,16,FALSE)+VLOOKUP($A370,'ПР 21-22'!$A$11:$BB$406,16,FALSE)-VLOOKUP($A370,'ПР 01-02.22'!$A$11:$BB$378,16,FALSE)</f>
        <v>0</v>
      </c>
      <c r="Q370" s="443"/>
      <c r="R370" s="5">
        <f>VLOOKUP($A370,'ПР 01-02.21'!$A$11:$BB$406,18,FALSE)+VLOOKUP($A370,'ПР 21-22'!$A$11:$BB$406,18,FALSE)-VLOOKUP($A370,'ПР 01-02.22'!$A$11:$BB$378,18,FALSE)</f>
        <v>0</v>
      </c>
      <c r="S370" s="5">
        <f>VLOOKUP($A370,'ПР 01-02.21'!$A$11:$BB$406,19,FALSE)+VLOOKUP($A370,'ПР 21-22'!$A$11:$BB$406,19,FALSE)-VLOOKUP($A370,'ПР 01-02.22'!$A$11:$BB$378,19,FALSE)</f>
        <v>0</v>
      </c>
      <c r="T370" s="444"/>
      <c r="U370" s="5">
        <f>VLOOKUP($A370,'ПР 01-02.21'!$A$11:$BB$406,21,FALSE)+VLOOKUP($A370,'ПР 21-22'!$A$11:$BB$406,21,FALSE)-VLOOKUP($A370,'ПР 01-02.22'!$A$11:$BB$378,21,FALSE)</f>
        <v>0</v>
      </c>
      <c r="V370" s="5"/>
      <c r="W370" s="5">
        <f>VLOOKUP($A370,'ПР 01-02.21'!$A$11:$BB$406,23,FALSE)+VLOOKUP($A370,'ПР 21-22'!$A$11:$BB$406,23,FALSE)-VLOOKUP($A370,'ПР 01-02.22'!$A$11:$BB$378,23,FALSE)</f>
        <v>0</v>
      </c>
      <c r="X370" s="5">
        <f>VLOOKUP($A370,'ПР 01-02.21'!$A$11:$BB$406,24,FALSE)+VLOOKUP($A370,'ПР 21-22'!$A$11:$BB$406,24,FALSE)-VLOOKUP($A370,'ПР 01-02.22'!$A$11:$BB$378,24,FALSE)</f>
        <v>0</v>
      </c>
      <c r="Y370" s="5">
        <f>VLOOKUP($A370,'ПР 01-02.21'!$A$11:$BB$406,25,FALSE)+VLOOKUP($A370,'ПР 21-22'!$A$11:$BB$406,25,FALSE)-VLOOKUP($A370,'ПР 01-02.22'!$A$11:$BB$378,25,FALSE)</f>
        <v>1705</v>
      </c>
      <c r="Z370" s="5"/>
      <c r="AA370" s="5">
        <f>VLOOKUP($A370,'ПР 01-02.21'!$A$11:$BB$406,27,FALSE)+VLOOKUP($A370,'ПР 21-22'!$A$11:$BB$406,27,FALSE)-VLOOKUP($A370,'ПР 01-02.22'!$A$11:$BB$378,27,FALSE)</f>
        <v>0</v>
      </c>
      <c r="AB370" s="5">
        <f>VLOOKUP($A370,'ПР 01-02.21'!$A$11:$BB$406,28,FALSE)+VLOOKUP($A370,'ПР 21-22'!$A$11:$BB$406,28,FALSE)-VLOOKUP($A370,'ПР 01-02.22'!$A$11:$BB$378,28,FALSE)</f>
        <v>6790</v>
      </c>
      <c r="AC370" s="5">
        <f>VLOOKUP($A370,'ПР 01-02.21'!$A$11:$BB$406,29,FALSE)+VLOOKUP($A370,'ПР 21-22'!$A$11:$BB$406,29,FALSE)-VLOOKUP($A370,'ПР 01-02.22'!$A$11:$BB$378,29,FALSE)</f>
        <v>49249</v>
      </c>
      <c r="AD370" s="5">
        <f>VLOOKUP($A370,'ПР 01-02.21'!$A$11:$BB$406,30,FALSE)+VLOOKUP($A370,'ПР 21-22'!$A$11:$BB$406,30,FALSE)-VLOOKUP($A370,'ПР 01-02.22'!$A$11:$BB$378,30,FALSE)</f>
        <v>10055.869999999999</v>
      </c>
      <c r="AE370" s="5">
        <f>VLOOKUP($A370,'ПР 01-02.21'!$A$11:$BB$406,31,FALSE)+VLOOKUP($A370,'ПР 21-22'!$A$11:$BB$406,31,FALSE)-VLOOKUP($A370,'ПР 01-02.22'!$A$11:$BB$378,31,FALSE)</f>
        <v>4113.4241839124707</v>
      </c>
      <c r="AF370" s="5">
        <f>VLOOKUP($A370,'ПР 01-02.21'!$A$11:$BB$406,32,FALSE)+VLOOKUP($A370,'ПР 21-22'!$A$11:$BB$406,32,FALSE)-VLOOKUP($A370,'ПР 01-02.22'!$A$11:$BB$378,32,FALSE)</f>
        <v>0</v>
      </c>
      <c r="AG370" s="40"/>
      <c r="AH370" s="5">
        <f>VLOOKUP($A370,'ПР 01-02.21'!$A$11:$BB$406,34,FALSE)+VLOOKUP($A370,'ПР 21-22'!$A$11:$BB$406,34,FALSE)-VLOOKUP($A370,'ПР 01-02.22'!$A$11:$BB$378,34,FALSE)</f>
        <v>6212.340148835402</v>
      </c>
      <c r="AI370" s="5">
        <f>VLOOKUP($A370,'ПР 01-02.21'!$A$11:$BB$406,35,FALSE)+VLOOKUP($A370,'ПР 21-22'!$A$11:$BB$406,35,FALSE)-VLOOKUP($A370,'ПР 01-02.22'!$A$11:$BB$378,35,FALSE)</f>
        <v>0</v>
      </c>
      <c r="AJ370" s="40"/>
      <c r="AK370" s="5">
        <f>VLOOKUP($A370,'ПР 01-02.21'!$A$11:$BB$406,37,FALSE)+VLOOKUP($A370,'ПР 21-22'!$A$11:$BB$406,37,FALSE)-VLOOKUP($A370,'ПР 01-02.22'!$A$11:$BB$378,37,FALSE)</f>
        <v>1819.9027590920271</v>
      </c>
      <c r="AL370" s="5">
        <f>VLOOKUP($A370,'ПР 01-02.21'!$A$11:$BB$406,38,FALSE)+VLOOKUP($A370,'ПР 21-22'!$A$11:$BB$406,38,FALSE)-VLOOKUP($A370,'ПР 01-02.22'!$A$11:$BB$378,38,FALSE)</f>
        <v>981</v>
      </c>
      <c r="AM370" s="40"/>
      <c r="AN370" s="5">
        <f>VLOOKUP($A370,'ПР 01-02.21'!$A$11:$BB$406,40,FALSE)+VLOOKUP($A370,'ПР 21-22'!$A$11:$BB$406,40,FALSE)-VLOOKUP($A370,'ПР 01-02.22'!$A$11:$BB$378,40,FALSE)</f>
        <v>0</v>
      </c>
      <c r="AO370" s="5">
        <f>VLOOKUP($A370,'ПР 01-02.21'!$A$11:$BB$406,41,FALSE)+VLOOKUP($A370,'ПР 21-22'!$A$11:$BB$406,41,FALSE)-VLOOKUP($A370,'ПР 01-02.22'!$A$11:$BB$378,41,FALSE)</f>
        <v>0</v>
      </c>
      <c r="AP370" s="40"/>
      <c r="AQ370" s="5">
        <f>VLOOKUP($A370,'ПР 01-02.21'!$A$11:$BB$406,43,FALSE)+VLOOKUP($A370,'ПР 21-22'!$A$11:$BB$406,43,FALSE)-VLOOKUP($A370,'ПР 01-02.22'!$A$11:$BB$378,43,FALSE)</f>
        <v>2054.410941845254</v>
      </c>
      <c r="AR370" s="5">
        <f>VLOOKUP($A370,'ПР 01-02.21'!$A$11:$BB$406,44,FALSE)+VLOOKUP($A370,'ПР 21-22'!$A$11:$BB$406,44,FALSE)-VLOOKUP($A370,'ПР 01-02.22'!$A$11:$BB$378,44,FALSE)</f>
        <v>0</v>
      </c>
      <c r="AS370" s="40"/>
      <c r="AT370" s="5">
        <f>VLOOKUP($A370,'ПР 01-02.21'!$A$11:$BB$406,46,FALSE)+VLOOKUP($A370,'ПР 21-22'!$A$11:$BB$406,46,FALSE)-VLOOKUP($A370,'ПР 01-02.22'!$A$11:$BB$378,46,FALSE)</f>
        <v>3975.5995188586426</v>
      </c>
      <c r="AU370" s="5">
        <f>VLOOKUP($A370,'ПР 01-02.21'!$A$11:$BB$406,47,FALSE)+VLOOKUP($A370,'ПР 21-22'!$A$11:$BB$406,47,FALSE)-VLOOKUP($A370,'ПР 01-02.22'!$A$11:$BB$378,47,FALSE)</f>
        <v>0</v>
      </c>
      <c r="AV370" s="40"/>
      <c r="AW370" s="5">
        <f>VLOOKUP($A370,'ПР 01-02.21'!$A$11:$BB$406,49,FALSE)+VLOOKUP($A370,'ПР 21-22'!$A$11:$BB$406,49,FALSE)-VLOOKUP($A370,'ПР 01-02.22'!$A$11:$BB$378,49,FALSE)</f>
        <v>209.02360000000002</v>
      </c>
      <c r="AX370" s="5">
        <f>VLOOKUP($A370,'ПР 01-02.21'!$A$11:$BB$406,50,FALSE)+VLOOKUP($A370,'ПР 21-22'!$A$11:$BB$406,50,FALSE)-VLOOKUP($A370,'ПР 01-02.22'!$A$11:$BB$378,50,FALSE)</f>
        <v>0</v>
      </c>
      <c r="AY370" s="40"/>
      <c r="AZ370" s="40">
        <f t="shared" si="25"/>
        <v>18384.701152543796</v>
      </c>
      <c r="BA370" s="40">
        <f t="shared" si="25"/>
        <v>981</v>
      </c>
      <c r="BB370" s="55">
        <f t="shared" si="24"/>
        <v>-17403.701152543796</v>
      </c>
      <c r="BD370" s="2">
        <v>3</v>
      </c>
      <c r="BF370" s="325">
        <v>150000894</v>
      </c>
    </row>
    <row r="371" spans="1:58" ht="24.9" customHeight="1" x14ac:dyDescent="0.3">
      <c r="A371" s="325">
        <v>150000895</v>
      </c>
      <c r="B371" s="445" t="s">
        <v>317</v>
      </c>
      <c r="C371" s="27">
        <v>5</v>
      </c>
      <c r="D371" s="101" t="s">
        <v>455</v>
      </c>
      <c r="E371" s="279">
        <f>'побудинковий звіт'!E369</f>
        <v>2741.4</v>
      </c>
      <c r="F371" s="441">
        <f>'побудинковий звіт'!AS369</f>
        <v>38762.220209207728</v>
      </c>
      <c r="G371" s="441">
        <f t="shared" si="22"/>
        <v>28931.96</v>
      </c>
      <c r="H371" s="73">
        <f t="shared" si="23"/>
        <v>-9830.2602092077286</v>
      </c>
      <c r="I371" s="5">
        <f>VLOOKUP($A371,'ПР 01-02.21'!$A$11:$BB$406,9,FALSE)+VLOOKUP($A371,'ПР 21-22'!$A$11:$BB$406,9,FALSE)-VLOOKUP($A371,'ПР 01-02.22'!$A$11:$BB$378,9,FALSE)</f>
        <v>0</v>
      </c>
      <c r="J371" s="5">
        <f>VLOOKUP($A371,'ПР 01-02.21'!$A$11:$BB$406,10,FALSE)+VLOOKUP($A371,'ПР 21-22'!$A$11:$BB$406,10,FALSE)-VLOOKUP($A371,'ПР 01-02.22'!$A$11:$BB$378,10,FALSE)</f>
        <v>0</v>
      </c>
      <c r="K371" s="446"/>
      <c r="L371" s="5">
        <f>VLOOKUP($A371,'ПР 01-02.21'!$A$11:$BB$406,12,FALSE)+VLOOKUP($A371,'ПР 21-22'!$A$11:$BB$406,12,FALSE)-VLOOKUP($A371,'ПР 01-02.22'!$A$11:$BB$378,12,FALSE)</f>
        <v>0</v>
      </c>
      <c r="M371" s="5">
        <f>VLOOKUP($A371,'ПР 01-02.21'!$A$11:$BB$406,13,FALSE)+VLOOKUP($A371,'ПР 21-22'!$A$11:$BB$406,13,FALSE)-VLOOKUP($A371,'ПР 01-02.22'!$A$11:$BB$378,13,FALSE)</f>
        <v>0</v>
      </c>
      <c r="N371" s="38"/>
      <c r="O371" s="5">
        <f>VLOOKUP($A371,'ПР 01-02.21'!$A$11:$BB$406,15,FALSE)+VLOOKUP($A371,'ПР 21-22'!$A$11:$BB$406,15,FALSE)-VLOOKUP($A371,'ПР 01-02.22'!$A$11:$BB$378,15,FALSE)</f>
        <v>0</v>
      </c>
      <c r="P371" s="5">
        <f>VLOOKUP($A371,'ПР 01-02.21'!$A$11:$BB$406,16,FALSE)+VLOOKUP($A371,'ПР 21-22'!$A$11:$BB$406,16,FALSE)-VLOOKUP($A371,'ПР 01-02.22'!$A$11:$BB$378,16,FALSE)</f>
        <v>0</v>
      </c>
      <c r="Q371" s="443"/>
      <c r="R371" s="5">
        <f>VLOOKUP($A371,'ПР 01-02.21'!$A$11:$BB$406,18,FALSE)+VLOOKUP($A371,'ПР 21-22'!$A$11:$BB$406,18,FALSE)-VLOOKUP($A371,'ПР 01-02.22'!$A$11:$BB$378,18,FALSE)</f>
        <v>0</v>
      </c>
      <c r="S371" s="5">
        <f>VLOOKUP($A371,'ПР 01-02.21'!$A$11:$BB$406,19,FALSE)+VLOOKUP($A371,'ПР 21-22'!$A$11:$BB$406,19,FALSE)-VLOOKUP($A371,'ПР 01-02.22'!$A$11:$BB$378,19,FALSE)</f>
        <v>0</v>
      </c>
      <c r="T371" s="444"/>
      <c r="U371" s="5">
        <f>VLOOKUP($A371,'ПР 01-02.21'!$A$11:$BB$406,21,FALSE)+VLOOKUP($A371,'ПР 21-22'!$A$11:$BB$406,21,FALSE)-VLOOKUP($A371,'ПР 01-02.22'!$A$11:$BB$378,21,FALSE)</f>
        <v>0</v>
      </c>
      <c r="V371" s="5"/>
      <c r="W371" s="5">
        <f>VLOOKUP($A371,'ПР 01-02.21'!$A$11:$BB$406,23,FALSE)+VLOOKUP($A371,'ПР 21-22'!$A$11:$BB$406,23,FALSE)-VLOOKUP($A371,'ПР 01-02.22'!$A$11:$BB$378,23,FALSE)</f>
        <v>6</v>
      </c>
      <c r="X371" s="5">
        <f>VLOOKUP($A371,'ПР 01-02.21'!$A$11:$BB$406,24,FALSE)+VLOOKUP($A371,'ПР 21-22'!$A$11:$BB$406,24,FALSE)-VLOOKUP($A371,'ПР 01-02.22'!$A$11:$BB$378,24,FALSE)</f>
        <v>1235</v>
      </c>
      <c r="Y371" s="5">
        <f>VLOOKUP($A371,'ПР 01-02.21'!$A$11:$BB$406,25,FALSE)+VLOOKUP($A371,'ПР 21-22'!$A$11:$BB$406,25,FALSE)-VLOOKUP($A371,'ПР 01-02.22'!$A$11:$BB$378,25,FALSE)</f>
        <v>22114.98</v>
      </c>
      <c r="Z371" s="5"/>
      <c r="AA371" s="5">
        <f>VLOOKUP($A371,'ПР 01-02.21'!$A$11:$BB$406,27,FALSE)+VLOOKUP($A371,'ПР 21-22'!$A$11:$BB$406,27,FALSE)-VLOOKUP($A371,'ПР 01-02.22'!$A$11:$BB$378,27,FALSE)</f>
        <v>0</v>
      </c>
      <c r="AB371" s="5">
        <f>VLOOKUP($A371,'ПР 01-02.21'!$A$11:$BB$406,28,FALSE)+VLOOKUP($A371,'ПР 21-22'!$A$11:$BB$406,28,FALSE)-VLOOKUP($A371,'ПР 01-02.22'!$A$11:$BB$378,28,FALSE)</f>
        <v>2612</v>
      </c>
      <c r="AC371" s="5">
        <f>VLOOKUP($A371,'ПР 01-02.21'!$A$11:$BB$406,29,FALSE)+VLOOKUP($A371,'ПР 21-22'!$A$11:$BB$406,29,FALSE)-VLOOKUP($A371,'ПР 01-02.22'!$A$11:$BB$378,29,FALSE)</f>
        <v>0</v>
      </c>
      <c r="AD371" s="5">
        <f>VLOOKUP($A371,'ПР 01-02.21'!$A$11:$BB$406,30,FALSE)+VLOOKUP($A371,'ПР 21-22'!$A$11:$BB$406,30,FALSE)-VLOOKUP($A371,'ПР 01-02.22'!$A$11:$BB$378,30,FALSE)</f>
        <v>2969.98</v>
      </c>
      <c r="AE371" s="5">
        <f>VLOOKUP($A371,'ПР 01-02.21'!$A$11:$BB$406,31,FALSE)+VLOOKUP($A371,'ПР 21-22'!$A$11:$BB$406,31,FALSE)-VLOOKUP($A371,'ПР 01-02.22'!$A$11:$BB$378,31,FALSE)</f>
        <v>2731.8733934275201</v>
      </c>
      <c r="AF371" s="5">
        <f>VLOOKUP($A371,'ПР 01-02.21'!$A$11:$BB$406,32,FALSE)+VLOOKUP($A371,'ПР 21-22'!$A$11:$BB$406,32,FALSE)-VLOOKUP($A371,'ПР 01-02.22'!$A$11:$BB$378,32,FALSE)</f>
        <v>0</v>
      </c>
      <c r="AG371" s="40"/>
      <c r="AH371" s="5">
        <f>VLOOKUP($A371,'ПР 01-02.21'!$A$11:$BB$406,34,FALSE)+VLOOKUP($A371,'ПР 21-22'!$A$11:$BB$406,34,FALSE)-VLOOKUP($A371,'ПР 01-02.22'!$A$11:$BB$378,34,FALSE)</f>
        <v>3603.1195395438758</v>
      </c>
      <c r="AI371" s="5">
        <f>VLOOKUP($A371,'ПР 01-02.21'!$A$11:$BB$406,35,FALSE)+VLOOKUP($A371,'ПР 21-22'!$A$11:$BB$406,35,FALSE)-VLOOKUP($A371,'ПР 01-02.22'!$A$11:$BB$378,35,FALSE)</f>
        <v>2605</v>
      </c>
      <c r="AJ371" s="40"/>
      <c r="AK371" s="5">
        <f>VLOOKUP($A371,'ПР 01-02.21'!$A$11:$BB$406,37,FALSE)+VLOOKUP($A371,'ПР 21-22'!$A$11:$BB$406,37,FALSE)-VLOOKUP($A371,'ПР 01-02.22'!$A$11:$BB$378,37,FALSE)</f>
        <v>1324.0641473595858</v>
      </c>
      <c r="AL371" s="5">
        <f>VLOOKUP($A371,'ПР 01-02.21'!$A$11:$BB$406,38,FALSE)+VLOOKUP($A371,'ПР 21-22'!$A$11:$BB$406,38,FALSE)-VLOOKUP($A371,'ПР 01-02.22'!$A$11:$BB$378,38,FALSE)</f>
        <v>2251</v>
      </c>
      <c r="AM371" s="40"/>
      <c r="AN371" s="5">
        <f>VLOOKUP($A371,'ПР 01-02.21'!$A$11:$BB$406,40,FALSE)+VLOOKUP($A371,'ПР 21-22'!$A$11:$BB$406,40,FALSE)-VLOOKUP($A371,'ПР 01-02.22'!$A$11:$BB$378,40,FALSE)</f>
        <v>0</v>
      </c>
      <c r="AO371" s="5">
        <f>VLOOKUP($A371,'ПР 01-02.21'!$A$11:$BB$406,41,FALSE)+VLOOKUP($A371,'ПР 21-22'!$A$11:$BB$406,41,FALSE)-VLOOKUP($A371,'ПР 01-02.22'!$A$11:$BB$378,41,FALSE)</f>
        <v>0</v>
      </c>
      <c r="AP371" s="40"/>
      <c r="AQ371" s="5">
        <f>VLOOKUP($A371,'ПР 01-02.21'!$A$11:$BB$406,43,FALSE)+VLOOKUP($A371,'ПР 21-22'!$A$11:$BB$406,43,FALSE)-VLOOKUP($A371,'ПР 01-02.22'!$A$11:$BB$378,43,FALSE)</f>
        <v>0</v>
      </c>
      <c r="AR371" s="5">
        <f>VLOOKUP($A371,'ПР 01-02.21'!$A$11:$BB$406,44,FALSE)+VLOOKUP($A371,'ПР 21-22'!$A$11:$BB$406,44,FALSE)-VLOOKUP($A371,'ПР 01-02.22'!$A$11:$BB$378,44,FALSE)</f>
        <v>0</v>
      </c>
      <c r="AS371" s="40"/>
      <c r="AT371" s="5">
        <f>VLOOKUP($A371,'ПР 01-02.21'!$A$11:$BB$406,46,FALSE)+VLOOKUP($A371,'ПР 21-22'!$A$11:$BB$406,46,FALSE)-VLOOKUP($A371,'ПР 01-02.22'!$A$11:$BB$378,46,FALSE)</f>
        <v>1854.1838233423307</v>
      </c>
      <c r="AU371" s="5">
        <f>VLOOKUP($A371,'ПР 01-02.21'!$A$11:$BB$406,47,FALSE)+VLOOKUP($A371,'ПР 21-22'!$A$11:$BB$406,47,FALSE)-VLOOKUP($A371,'ПР 01-02.22'!$A$11:$BB$378,47,FALSE)</f>
        <v>0</v>
      </c>
      <c r="AV371" s="40"/>
      <c r="AW371" s="5">
        <f>VLOOKUP($A371,'ПР 01-02.21'!$A$11:$BB$406,49,FALSE)+VLOOKUP($A371,'ПР 21-22'!$A$11:$BB$406,49,FALSE)-VLOOKUP($A371,'ПР 01-02.22'!$A$11:$BB$378,49,FALSE)</f>
        <v>136.66</v>
      </c>
      <c r="AX371" s="5">
        <f>VLOOKUP($A371,'ПР 01-02.21'!$A$11:$BB$406,50,FALSE)+VLOOKUP($A371,'ПР 21-22'!$A$11:$BB$406,50,FALSE)-VLOOKUP($A371,'ПР 01-02.22'!$A$11:$BB$378,50,FALSE)</f>
        <v>0</v>
      </c>
      <c r="AY371" s="40"/>
      <c r="AZ371" s="40">
        <f t="shared" si="25"/>
        <v>9649.9009036733132</v>
      </c>
      <c r="BA371" s="40">
        <f t="shared" si="25"/>
        <v>4856</v>
      </c>
      <c r="BB371" s="55">
        <f t="shared" si="24"/>
        <v>-4793.9009036733132</v>
      </c>
      <c r="BD371" s="2">
        <v>3</v>
      </c>
      <c r="BF371" s="325">
        <v>150000895</v>
      </c>
    </row>
    <row r="372" spans="1:58" ht="24.9" customHeight="1" x14ac:dyDescent="0.3">
      <c r="A372" s="325">
        <v>150000922</v>
      </c>
      <c r="B372" s="445" t="s">
        <v>402</v>
      </c>
      <c r="C372" s="27">
        <v>9</v>
      </c>
      <c r="D372" s="101" t="s">
        <v>455</v>
      </c>
      <c r="E372" s="279">
        <f>'побудинковий звіт'!E370</f>
        <v>4247.05</v>
      </c>
      <c r="F372" s="441">
        <f>'побудинковий звіт'!AS370</f>
        <v>52142.593125835003</v>
      </c>
      <c r="G372" s="441">
        <f t="shared" si="22"/>
        <v>5524.5</v>
      </c>
      <c r="H372" s="73">
        <f t="shared" si="23"/>
        <v>-46618.093125835003</v>
      </c>
      <c r="I372" s="5">
        <f>VLOOKUP($A372,'ПР 01-02.21'!$A$11:$BB$406,9,FALSE)+VLOOKUP($A372,'ПР 21-22'!$A$11:$BB$406,9,FALSE)-VLOOKUP($A372,'ПР 01-02.22'!$A$11:$BB$378,9,FALSE)</f>
        <v>0</v>
      </c>
      <c r="J372" s="5">
        <f>VLOOKUP($A372,'ПР 01-02.21'!$A$11:$BB$406,10,FALSE)+VLOOKUP($A372,'ПР 21-22'!$A$11:$BB$406,10,FALSE)-VLOOKUP($A372,'ПР 01-02.22'!$A$11:$BB$378,10,FALSE)</f>
        <v>0</v>
      </c>
      <c r="K372" s="450"/>
      <c r="L372" s="5">
        <f>VLOOKUP($A372,'ПР 01-02.21'!$A$11:$BB$406,12,FALSE)+VLOOKUP($A372,'ПР 21-22'!$A$11:$BB$406,12,FALSE)-VLOOKUP($A372,'ПР 01-02.22'!$A$11:$BB$378,12,FALSE)</f>
        <v>0</v>
      </c>
      <c r="M372" s="5">
        <f>VLOOKUP($A372,'ПР 01-02.21'!$A$11:$BB$406,13,FALSE)+VLOOKUP($A372,'ПР 21-22'!$A$11:$BB$406,13,FALSE)-VLOOKUP($A372,'ПР 01-02.22'!$A$11:$BB$378,13,FALSE)</f>
        <v>0</v>
      </c>
      <c r="N372" s="38"/>
      <c r="O372" s="5">
        <f>VLOOKUP($A372,'ПР 01-02.21'!$A$11:$BB$406,15,FALSE)+VLOOKUP($A372,'ПР 21-22'!$A$11:$BB$406,15,FALSE)-VLOOKUP($A372,'ПР 01-02.22'!$A$11:$BB$378,15,FALSE)</f>
        <v>0</v>
      </c>
      <c r="P372" s="5">
        <f>VLOOKUP($A372,'ПР 01-02.21'!$A$11:$BB$406,16,FALSE)+VLOOKUP($A372,'ПР 21-22'!$A$11:$BB$406,16,FALSE)-VLOOKUP($A372,'ПР 01-02.22'!$A$11:$BB$378,16,FALSE)</f>
        <v>0</v>
      </c>
      <c r="Q372" s="443"/>
      <c r="R372" s="5">
        <f>VLOOKUP($A372,'ПР 01-02.21'!$A$11:$BB$406,18,FALSE)+VLOOKUP($A372,'ПР 21-22'!$A$11:$BB$406,18,FALSE)-VLOOKUP($A372,'ПР 01-02.22'!$A$11:$BB$378,18,FALSE)</f>
        <v>1</v>
      </c>
      <c r="S372" s="5">
        <f>VLOOKUP($A372,'ПР 01-02.21'!$A$11:$BB$406,19,FALSE)+VLOOKUP($A372,'ПР 21-22'!$A$11:$BB$406,19,FALSE)-VLOOKUP($A372,'ПР 01-02.22'!$A$11:$BB$378,19,FALSE)</f>
        <v>1093</v>
      </c>
      <c r="T372" s="444"/>
      <c r="U372" s="5">
        <f>VLOOKUP($A372,'ПР 01-02.21'!$A$11:$BB$406,21,FALSE)+VLOOKUP($A372,'ПР 21-22'!$A$11:$BB$406,21,FALSE)-VLOOKUP($A372,'ПР 01-02.22'!$A$11:$BB$378,21,FALSE)</f>
        <v>0</v>
      </c>
      <c r="V372" s="5"/>
      <c r="W372" s="5">
        <f>VLOOKUP($A372,'ПР 01-02.21'!$A$11:$BB$406,23,FALSE)+VLOOKUP($A372,'ПР 21-22'!$A$11:$BB$406,23,FALSE)-VLOOKUP($A372,'ПР 01-02.22'!$A$11:$BB$378,23,FALSE)</f>
        <v>0</v>
      </c>
      <c r="X372" s="5">
        <f>VLOOKUP($A372,'ПР 01-02.21'!$A$11:$BB$406,24,FALSE)+VLOOKUP($A372,'ПР 21-22'!$A$11:$BB$406,24,FALSE)-VLOOKUP($A372,'ПР 01-02.22'!$A$11:$BB$378,24,FALSE)</f>
        <v>0</v>
      </c>
      <c r="Y372" s="5">
        <f>VLOOKUP($A372,'ПР 01-02.21'!$A$11:$BB$406,25,FALSE)+VLOOKUP($A372,'ПР 21-22'!$A$11:$BB$406,25,FALSE)-VLOOKUP($A372,'ПР 01-02.22'!$A$11:$BB$378,25,FALSE)</f>
        <v>1634</v>
      </c>
      <c r="Z372" s="5"/>
      <c r="AA372" s="5">
        <f>VLOOKUP($A372,'ПР 01-02.21'!$A$11:$BB$406,27,FALSE)+VLOOKUP($A372,'ПР 21-22'!$A$11:$BB$406,27,FALSE)-VLOOKUP($A372,'ПР 01-02.22'!$A$11:$BB$378,27,FALSE)</f>
        <v>0</v>
      </c>
      <c r="AB372" s="5">
        <f>VLOOKUP($A372,'ПР 01-02.21'!$A$11:$BB$406,28,FALSE)+VLOOKUP($A372,'ПР 21-22'!$A$11:$BB$406,28,FALSE)-VLOOKUP($A372,'ПР 01-02.22'!$A$11:$BB$378,28,FALSE)</f>
        <v>0</v>
      </c>
      <c r="AC372" s="5">
        <f>VLOOKUP($A372,'ПР 01-02.21'!$A$11:$BB$406,29,FALSE)+VLOOKUP($A372,'ПР 21-22'!$A$11:$BB$406,29,FALSE)-VLOOKUP($A372,'ПР 01-02.22'!$A$11:$BB$378,29,FALSE)</f>
        <v>903.06999999999994</v>
      </c>
      <c r="AD372" s="5">
        <f>VLOOKUP($A372,'ПР 01-02.21'!$A$11:$BB$406,30,FALSE)+VLOOKUP($A372,'ПР 21-22'!$A$11:$BB$406,30,FALSE)-VLOOKUP($A372,'ПР 01-02.22'!$A$11:$BB$378,30,FALSE)</f>
        <v>1894.4299999999998</v>
      </c>
      <c r="AE372" s="5">
        <f>VLOOKUP($A372,'ПР 01-02.21'!$A$11:$BB$406,31,FALSE)+VLOOKUP($A372,'ПР 21-22'!$A$11:$BB$406,31,FALSE)-VLOOKUP($A372,'ПР 01-02.22'!$A$11:$BB$378,31,FALSE)</f>
        <v>3482.920629573955</v>
      </c>
      <c r="AF372" s="5">
        <f>VLOOKUP($A372,'ПР 01-02.21'!$A$11:$BB$406,32,FALSE)+VLOOKUP($A372,'ПР 21-22'!$A$11:$BB$406,32,FALSE)-VLOOKUP($A372,'ПР 01-02.22'!$A$11:$BB$378,32,FALSE)</f>
        <v>301</v>
      </c>
      <c r="AG372" s="40"/>
      <c r="AH372" s="5">
        <f>VLOOKUP($A372,'ПР 01-02.21'!$A$11:$BB$406,34,FALSE)+VLOOKUP($A372,'ПР 21-22'!$A$11:$BB$406,34,FALSE)-VLOOKUP($A372,'ПР 01-02.22'!$A$11:$BB$378,34,FALSE)</f>
        <v>4036.5693245920811</v>
      </c>
      <c r="AI372" s="5">
        <f>VLOOKUP($A372,'ПР 01-02.21'!$A$11:$BB$406,35,FALSE)+VLOOKUP($A372,'ПР 21-22'!$A$11:$BB$406,35,FALSE)-VLOOKUP($A372,'ПР 01-02.22'!$A$11:$BB$378,35,FALSE)</f>
        <v>0</v>
      </c>
      <c r="AJ372" s="40"/>
      <c r="AK372" s="5">
        <f>VLOOKUP($A372,'ПР 01-02.21'!$A$11:$BB$406,37,FALSE)+VLOOKUP($A372,'ПР 21-22'!$A$11:$BB$406,37,FALSE)-VLOOKUP($A372,'ПР 01-02.22'!$A$11:$BB$378,37,FALSE)</f>
        <v>2314.8549612534994</v>
      </c>
      <c r="AL372" s="5">
        <f>VLOOKUP($A372,'ПР 01-02.21'!$A$11:$BB$406,38,FALSE)+VLOOKUP($A372,'ПР 21-22'!$A$11:$BB$406,38,FALSE)-VLOOKUP($A372,'ПР 01-02.22'!$A$11:$BB$378,38,FALSE)</f>
        <v>1411</v>
      </c>
      <c r="AM372" s="40"/>
      <c r="AN372" s="5">
        <f>VLOOKUP($A372,'ПР 01-02.21'!$A$11:$BB$406,40,FALSE)+VLOOKUP($A372,'ПР 21-22'!$A$11:$BB$406,40,FALSE)-VLOOKUP($A372,'ПР 01-02.22'!$A$11:$BB$378,40,FALSE)</f>
        <v>2812.2114965791011</v>
      </c>
      <c r="AO372" s="5">
        <f>VLOOKUP($A372,'ПР 01-02.21'!$A$11:$BB$406,41,FALSE)+VLOOKUP($A372,'ПР 21-22'!$A$11:$BB$406,41,FALSE)-VLOOKUP($A372,'ПР 01-02.22'!$A$11:$BB$378,41,FALSE)</f>
        <v>0</v>
      </c>
      <c r="AP372" s="40"/>
      <c r="AQ372" s="5">
        <f>VLOOKUP($A372,'ПР 01-02.21'!$A$11:$BB$406,43,FALSE)+VLOOKUP($A372,'ПР 21-22'!$A$11:$BB$406,43,FALSE)-VLOOKUP($A372,'ПР 01-02.22'!$A$11:$BB$378,43,FALSE)</f>
        <v>1275.715225914171</v>
      </c>
      <c r="AR372" s="5">
        <f>VLOOKUP($A372,'ПР 01-02.21'!$A$11:$BB$406,44,FALSE)+VLOOKUP($A372,'ПР 21-22'!$A$11:$BB$406,44,FALSE)-VLOOKUP($A372,'ПР 01-02.22'!$A$11:$BB$378,44,FALSE)</f>
        <v>39</v>
      </c>
      <c r="AS372" s="40"/>
      <c r="AT372" s="5">
        <f>VLOOKUP($A372,'ПР 01-02.21'!$A$11:$BB$406,46,FALSE)+VLOOKUP($A372,'ПР 21-22'!$A$11:$BB$406,46,FALSE)-VLOOKUP($A372,'ПР 01-02.22'!$A$11:$BB$378,46,FALSE)</f>
        <v>1435.9431997197039</v>
      </c>
      <c r="AU372" s="5">
        <f>VLOOKUP($A372,'ПР 01-02.21'!$A$11:$BB$406,47,FALSE)+VLOOKUP($A372,'ПР 21-22'!$A$11:$BB$406,47,FALSE)-VLOOKUP($A372,'ПР 01-02.22'!$A$11:$BB$378,47,FALSE)</f>
        <v>0</v>
      </c>
      <c r="AV372" s="40"/>
      <c r="AW372" s="5">
        <f>VLOOKUP($A372,'ПР 01-02.21'!$A$11:$BB$406,49,FALSE)+VLOOKUP($A372,'ПР 21-22'!$A$11:$BB$406,49,FALSE)-VLOOKUP($A372,'ПР 01-02.22'!$A$11:$BB$378,49,FALSE)</f>
        <v>215.738</v>
      </c>
      <c r="AX372" s="5">
        <f>VLOOKUP($A372,'ПР 01-02.21'!$A$11:$BB$406,50,FALSE)+VLOOKUP($A372,'ПР 21-22'!$A$11:$BB$406,50,FALSE)-VLOOKUP($A372,'ПР 01-02.22'!$A$11:$BB$378,50,FALSE)</f>
        <v>0</v>
      </c>
      <c r="AY372" s="40"/>
      <c r="AZ372" s="40">
        <f t="shared" si="25"/>
        <v>15573.952837632511</v>
      </c>
      <c r="BA372" s="40">
        <f t="shared" si="25"/>
        <v>1751</v>
      </c>
      <c r="BB372" s="55">
        <f t="shared" si="24"/>
        <v>-13822.952837632511</v>
      </c>
      <c r="BD372" s="2">
        <v>3</v>
      </c>
      <c r="BF372" s="325">
        <v>150000922</v>
      </c>
    </row>
    <row r="373" spans="1:58" ht="24.9" customHeight="1" x14ac:dyDescent="0.3">
      <c r="A373" s="325">
        <v>150000896</v>
      </c>
      <c r="B373" s="445" t="s">
        <v>318</v>
      </c>
      <c r="C373" s="27">
        <v>5</v>
      </c>
      <c r="D373" s="101" t="s">
        <v>455</v>
      </c>
      <c r="E373" s="279">
        <f>'побудинковий звіт'!E371</f>
        <v>2712.05</v>
      </c>
      <c r="F373" s="441">
        <f>'побудинковий звіт'!AS371</f>
        <v>38388.709981708547</v>
      </c>
      <c r="G373" s="441">
        <f t="shared" si="22"/>
        <v>146589.4332597164</v>
      </c>
      <c r="H373" s="73">
        <f t="shared" si="23"/>
        <v>108200.72327800785</v>
      </c>
      <c r="I373" s="5">
        <f>VLOOKUP($A373,'ПР 01-02.21'!$A$11:$BB$406,9,FALSE)+VLOOKUP($A373,'ПР 21-22'!$A$11:$BB$406,9,FALSE)-VLOOKUP($A373,'ПР 01-02.22'!$A$11:$BB$378,9,FALSE)</f>
        <v>9.1999999999999993</v>
      </c>
      <c r="J373" s="5">
        <f>VLOOKUP($A373,'ПР 01-02.21'!$A$11:$BB$406,10,FALSE)+VLOOKUP($A373,'ПР 21-22'!$A$11:$BB$406,10,FALSE)-VLOOKUP($A373,'ПР 01-02.22'!$A$11:$BB$378,10,FALSE)</f>
        <v>3455</v>
      </c>
      <c r="K373" s="446"/>
      <c r="L373" s="5">
        <f>VLOOKUP($A373,'ПР 01-02.21'!$A$11:$BB$406,12,FALSE)+VLOOKUP($A373,'ПР 21-22'!$A$11:$BB$406,12,FALSE)-VLOOKUP($A373,'ПР 01-02.22'!$A$11:$BB$378,12,FALSE)</f>
        <v>3</v>
      </c>
      <c r="M373" s="5">
        <f>VLOOKUP($A373,'ПР 01-02.21'!$A$11:$BB$406,13,FALSE)+VLOOKUP($A373,'ПР 21-22'!$A$11:$BB$406,13,FALSE)-VLOOKUP($A373,'ПР 01-02.22'!$A$11:$BB$378,13,FALSE)</f>
        <v>102220</v>
      </c>
      <c r="N373" s="38"/>
      <c r="O373" s="5">
        <f>VLOOKUP($A373,'ПР 01-02.21'!$A$11:$BB$406,15,FALSE)+VLOOKUP($A373,'ПР 21-22'!$A$11:$BB$406,15,FALSE)-VLOOKUP($A373,'ПР 01-02.22'!$A$11:$BB$378,15,FALSE)</f>
        <v>0</v>
      </c>
      <c r="P373" s="5">
        <f>VLOOKUP($A373,'ПР 01-02.21'!$A$11:$BB$406,16,FALSE)+VLOOKUP($A373,'ПР 21-22'!$A$11:$BB$406,16,FALSE)-VLOOKUP($A373,'ПР 01-02.22'!$A$11:$BB$378,16,FALSE)</f>
        <v>0</v>
      </c>
      <c r="Q373" s="443"/>
      <c r="R373" s="5">
        <f>VLOOKUP($A373,'ПР 01-02.21'!$A$11:$BB$406,18,FALSE)+VLOOKUP($A373,'ПР 21-22'!$A$11:$BB$406,18,FALSE)-VLOOKUP($A373,'ПР 01-02.22'!$A$11:$BB$378,18,FALSE)</f>
        <v>0</v>
      </c>
      <c r="S373" s="5">
        <f>VLOOKUP($A373,'ПР 01-02.21'!$A$11:$BB$406,19,FALSE)+VLOOKUP($A373,'ПР 21-22'!$A$11:$BB$406,19,FALSE)-VLOOKUP($A373,'ПР 01-02.22'!$A$11:$BB$378,19,FALSE)</f>
        <v>0</v>
      </c>
      <c r="T373" s="444"/>
      <c r="U373" s="5">
        <f>VLOOKUP($A373,'ПР 01-02.21'!$A$11:$BB$406,21,FALSE)+VLOOKUP($A373,'ПР 21-22'!$A$11:$BB$406,21,FALSE)-VLOOKUP($A373,'ПР 01-02.22'!$A$11:$BB$378,21,FALSE)</f>
        <v>0</v>
      </c>
      <c r="V373" s="5"/>
      <c r="W373" s="5">
        <f>VLOOKUP($A373,'ПР 01-02.21'!$A$11:$BB$406,23,FALSE)+VLOOKUP($A373,'ПР 21-22'!$A$11:$BB$406,23,FALSE)-VLOOKUP($A373,'ПР 01-02.22'!$A$11:$BB$378,23,FALSE)</f>
        <v>24</v>
      </c>
      <c r="X373" s="5">
        <f>VLOOKUP($A373,'ПР 01-02.21'!$A$11:$BB$406,24,FALSE)+VLOOKUP($A373,'ПР 21-22'!$A$11:$BB$406,24,FALSE)-VLOOKUP($A373,'ПР 01-02.22'!$A$11:$BB$378,24,FALSE)</f>
        <v>2908.0832597163953</v>
      </c>
      <c r="Y373" s="5">
        <f>VLOOKUP($A373,'ПР 01-02.21'!$A$11:$BB$406,25,FALSE)+VLOOKUP($A373,'ПР 21-22'!$A$11:$BB$406,25,FALSE)-VLOOKUP($A373,'ПР 01-02.22'!$A$11:$BB$378,25,FALSE)</f>
        <v>22279</v>
      </c>
      <c r="Z373" s="5"/>
      <c r="AA373" s="5">
        <f>VLOOKUP($A373,'ПР 01-02.21'!$A$11:$BB$406,27,FALSE)+VLOOKUP($A373,'ПР 21-22'!$A$11:$BB$406,27,FALSE)-VLOOKUP($A373,'ПР 01-02.22'!$A$11:$BB$378,27,FALSE)</f>
        <v>0</v>
      </c>
      <c r="AB373" s="5">
        <f>VLOOKUP($A373,'ПР 01-02.21'!$A$11:$BB$406,28,FALSE)+VLOOKUP($A373,'ПР 21-22'!$A$11:$BB$406,28,FALSE)-VLOOKUP($A373,'ПР 01-02.22'!$A$11:$BB$378,28,FALSE)</f>
        <v>140</v>
      </c>
      <c r="AC373" s="5">
        <f>VLOOKUP($A373,'ПР 01-02.21'!$A$11:$BB$406,29,FALSE)+VLOOKUP($A373,'ПР 21-22'!$A$11:$BB$406,29,FALSE)-VLOOKUP($A373,'ПР 01-02.22'!$A$11:$BB$378,29,FALSE)</f>
        <v>4996</v>
      </c>
      <c r="AD373" s="5">
        <f>VLOOKUP($A373,'ПР 01-02.21'!$A$11:$BB$406,30,FALSE)+VLOOKUP($A373,'ПР 21-22'!$A$11:$BB$406,30,FALSE)-VLOOKUP($A373,'ПР 01-02.22'!$A$11:$BB$378,30,FALSE)</f>
        <v>10591.35</v>
      </c>
      <c r="AE373" s="5">
        <f>VLOOKUP($A373,'ПР 01-02.21'!$A$11:$BB$406,31,FALSE)+VLOOKUP($A373,'ПР 21-22'!$A$11:$BB$406,31,FALSE)-VLOOKUP($A373,'ПР 01-02.22'!$A$11:$BB$378,31,FALSE)</f>
        <v>2780.1945279083634</v>
      </c>
      <c r="AF373" s="5">
        <f>VLOOKUP($A373,'ПР 01-02.21'!$A$11:$BB$406,32,FALSE)+VLOOKUP($A373,'ПР 21-22'!$A$11:$BB$406,32,FALSE)-VLOOKUP($A373,'ПР 01-02.22'!$A$11:$BB$378,32,FALSE)</f>
        <v>449</v>
      </c>
      <c r="AG373" s="40"/>
      <c r="AH373" s="5">
        <f>VLOOKUP($A373,'ПР 01-02.21'!$A$11:$BB$406,34,FALSE)+VLOOKUP($A373,'ПР 21-22'!$A$11:$BB$406,34,FALSE)-VLOOKUP($A373,'ПР 01-02.22'!$A$11:$BB$378,34,FALSE)</f>
        <v>3642.9928788840521</v>
      </c>
      <c r="AI373" s="5">
        <f>VLOOKUP($A373,'ПР 01-02.21'!$A$11:$BB$406,35,FALSE)+VLOOKUP($A373,'ПР 21-22'!$A$11:$BB$406,35,FALSE)-VLOOKUP($A373,'ПР 01-02.22'!$A$11:$BB$378,35,FALSE)</f>
        <v>13551</v>
      </c>
      <c r="AJ373" s="40"/>
      <c r="AK373" s="5">
        <f>VLOOKUP($A373,'ПР 01-02.21'!$A$11:$BB$406,37,FALSE)+VLOOKUP($A373,'ПР 21-22'!$A$11:$BB$406,37,FALSE)-VLOOKUP($A373,'ПР 01-02.22'!$A$11:$BB$378,37,FALSE)</f>
        <v>1576.7839085326466</v>
      </c>
      <c r="AL373" s="5">
        <f>VLOOKUP($A373,'ПР 01-02.21'!$A$11:$BB$406,38,FALSE)+VLOOKUP($A373,'ПР 21-22'!$A$11:$BB$406,38,FALSE)-VLOOKUP($A373,'ПР 01-02.22'!$A$11:$BB$378,38,FALSE)</f>
        <v>981</v>
      </c>
      <c r="AM373" s="40"/>
      <c r="AN373" s="5">
        <f>VLOOKUP($A373,'ПР 01-02.21'!$A$11:$BB$406,40,FALSE)+VLOOKUP($A373,'ПР 21-22'!$A$11:$BB$406,40,FALSE)-VLOOKUP($A373,'ПР 01-02.22'!$A$11:$BB$378,40,FALSE)</f>
        <v>0</v>
      </c>
      <c r="AO373" s="5">
        <f>VLOOKUP($A373,'ПР 01-02.21'!$A$11:$BB$406,41,FALSE)+VLOOKUP($A373,'ПР 21-22'!$A$11:$BB$406,41,FALSE)-VLOOKUP($A373,'ПР 01-02.22'!$A$11:$BB$378,41,FALSE)</f>
        <v>648</v>
      </c>
      <c r="AP373" s="40"/>
      <c r="AQ373" s="5">
        <f>VLOOKUP($A373,'ПР 01-02.21'!$A$11:$BB$406,43,FALSE)+VLOOKUP($A373,'ПР 21-22'!$A$11:$BB$406,43,FALSE)-VLOOKUP($A373,'ПР 01-02.22'!$A$11:$BB$378,43,FALSE)</f>
        <v>0</v>
      </c>
      <c r="AR373" s="5">
        <f>VLOOKUP($A373,'ПР 01-02.21'!$A$11:$BB$406,44,FALSE)+VLOOKUP($A373,'ПР 21-22'!$A$11:$BB$406,44,FALSE)-VLOOKUP($A373,'ПР 01-02.22'!$A$11:$BB$378,44,FALSE)</f>
        <v>0</v>
      </c>
      <c r="AS373" s="40"/>
      <c r="AT373" s="5">
        <f>VLOOKUP($A373,'ПР 01-02.21'!$A$11:$BB$406,46,FALSE)+VLOOKUP($A373,'ПР 21-22'!$A$11:$BB$406,46,FALSE)-VLOOKUP($A373,'ПР 01-02.22'!$A$11:$BB$378,46,FALSE)</f>
        <v>2105.6351409118774</v>
      </c>
      <c r="AU373" s="5">
        <f>VLOOKUP($A373,'ПР 01-02.21'!$A$11:$BB$406,47,FALSE)+VLOOKUP($A373,'ПР 21-22'!$A$11:$BB$406,47,FALSE)-VLOOKUP($A373,'ПР 01-02.22'!$A$11:$BB$378,47,FALSE)</f>
        <v>860</v>
      </c>
      <c r="AV373" s="40"/>
      <c r="AW373" s="5">
        <f>VLOOKUP($A373,'ПР 01-02.21'!$A$11:$BB$406,49,FALSE)+VLOOKUP($A373,'ПР 21-22'!$A$11:$BB$406,49,FALSE)-VLOOKUP($A373,'ПР 01-02.22'!$A$11:$BB$378,49,FALSE)</f>
        <v>135.48599999999999</v>
      </c>
      <c r="AX373" s="5">
        <f>VLOOKUP($A373,'ПР 01-02.21'!$A$11:$BB$406,50,FALSE)+VLOOKUP($A373,'ПР 21-22'!$A$11:$BB$406,50,FALSE)-VLOOKUP($A373,'ПР 01-02.22'!$A$11:$BB$378,50,FALSE)</f>
        <v>0</v>
      </c>
      <c r="AY373" s="40"/>
      <c r="AZ373" s="40">
        <f t="shared" si="25"/>
        <v>10241.09245623694</v>
      </c>
      <c r="BA373" s="40">
        <f t="shared" si="25"/>
        <v>16489</v>
      </c>
      <c r="BB373" s="55">
        <f t="shared" si="24"/>
        <v>6247.9075437630599</v>
      </c>
      <c r="BD373" s="2">
        <v>3</v>
      </c>
      <c r="BF373" s="325">
        <v>150000896</v>
      </c>
    </row>
    <row r="374" spans="1:58" ht="24.9" customHeight="1" x14ac:dyDescent="0.3">
      <c r="A374" s="325">
        <v>150000898</v>
      </c>
      <c r="B374" s="445" t="s">
        <v>191</v>
      </c>
      <c r="C374" s="27">
        <v>2</v>
      </c>
      <c r="D374" s="101" t="s">
        <v>455</v>
      </c>
      <c r="E374" s="279">
        <f>'побудинковий звіт'!E372</f>
        <v>472.1</v>
      </c>
      <c r="F374" s="441">
        <f>'побудинковий звіт'!AS372</f>
        <v>6142.9365484948721</v>
      </c>
      <c r="G374" s="441">
        <f t="shared" si="22"/>
        <v>357</v>
      </c>
      <c r="H374" s="73">
        <f t="shared" si="23"/>
        <v>-5785.9365484948721</v>
      </c>
      <c r="I374" s="5">
        <f>VLOOKUP($A374,'ПР 01-02.21'!$A$11:$BB$406,9,FALSE)+VLOOKUP($A374,'ПР 21-22'!$A$11:$BB$406,9,FALSE)-VLOOKUP($A374,'ПР 01-02.22'!$A$11:$BB$378,9,FALSE)</f>
        <v>0</v>
      </c>
      <c r="J374" s="5">
        <f>VLOOKUP($A374,'ПР 01-02.21'!$A$11:$BB$406,10,FALSE)+VLOOKUP($A374,'ПР 21-22'!$A$11:$BB$406,10,FALSE)-VLOOKUP($A374,'ПР 01-02.22'!$A$11:$BB$378,10,FALSE)</f>
        <v>0</v>
      </c>
      <c r="K374" s="446"/>
      <c r="L374" s="5">
        <f>VLOOKUP($A374,'ПР 01-02.21'!$A$11:$BB$406,12,FALSE)+VLOOKUP($A374,'ПР 21-22'!$A$11:$BB$406,12,FALSE)-VLOOKUP($A374,'ПР 01-02.22'!$A$11:$BB$378,12,FALSE)</f>
        <v>0</v>
      </c>
      <c r="M374" s="5">
        <f>VLOOKUP($A374,'ПР 01-02.21'!$A$11:$BB$406,13,FALSE)+VLOOKUP($A374,'ПР 21-22'!$A$11:$BB$406,13,FALSE)-VLOOKUP($A374,'ПР 01-02.22'!$A$11:$BB$378,13,FALSE)</f>
        <v>0</v>
      </c>
      <c r="N374" s="38"/>
      <c r="O374" s="5">
        <f>VLOOKUP($A374,'ПР 01-02.21'!$A$11:$BB$406,15,FALSE)+VLOOKUP($A374,'ПР 21-22'!$A$11:$BB$406,15,FALSE)-VLOOKUP($A374,'ПР 01-02.22'!$A$11:$BB$378,15,FALSE)</f>
        <v>0</v>
      </c>
      <c r="P374" s="5">
        <f>VLOOKUP($A374,'ПР 01-02.21'!$A$11:$BB$406,16,FALSE)+VLOOKUP($A374,'ПР 21-22'!$A$11:$BB$406,16,FALSE)-VLOOKUP($A374,'ПР 01-02.22'!$A$11:$BB$378,16,FALSE)</f>
        <v>0</v>
      </c>
      <c r="Q374" s="443"/>
      <c r="R374" s="5">
        <f>VLOOKUP($A374,'ПР 01-02.21'!$A$11:$BB$406,18,FALSE)+VLOOKUP($A374,'ПР 21-22'!$A$11:$BB$406,18,FALSE)-VLOOKUP($A374,'ПР 01-02.22'!$A$11:$BB$378,18,FALSE)</f>
        <v>0</v>
      </c>
      <c r="S374" s="5">
        <f>VLOOKUP($A374,'ПР 01-02.21'!$A$11:$BB$406,19,FALSE)+VLOOKUP($A374,'ПР 21-22'!$A$11:$BB$406,19,FALSE)-VLOOKUP($A374,'ПР 01-02.22'!$A$11:$BB$378,19,FALSE)</f>
        <v>0</v>
      </c>
      <c r="T374" s="444"/>
      <c r="U374" s="5">
        <f>VLOOKUP($A374,'ПР 01-02.21'!$A$11:$BB$406,21,FALSE)+VLOOKUP($A374,'ПР 21-22'!$A$11:$BB$406,21,FALSE)-VLOOKUP($A374,'ПР 01-02.22'!$A$11:$BB$378,21,FALSE)</f>
        <v>0</v>
      </c>
      <c r="V374" s="5"/>
      <c r="W374" s="5">
        <f>VLOOKUP($A374,'ПР 01-02.21'!$A$11:$BB$406,23,FALSE)+VLOOKUP($A374,'ПР 21-22'!$A$11:$BB$406,23,FALSE)-VLOOKUP($A374,'ПР 01-02.22'!$A$11:$BB$378,23,FALSE)</f>
        <v>0</v>
      </c>
      <c r="X374" s="5">
        <f>VLOOKUP($A374,'ПР 01-02.21'!$A$11:$BB$406,24,FALSE)+VLOOKUP($A374,'ПР 21-22'!$A$11:$BB$406,24,FALSE)-VLOOKUP($A374,'ПР 01-02.22'!$A$11:$BB$378,24,FALSE)</f>
        <v>0</v>
      </c>
      <c r="Y374" s="5">
        <f>VLOOKUP($A374,'ПР 01-02.21'!$A$11:$BB$406,25,FALSE)+VLOOKUP($A374,'ПР 21-22'!$A$11:$BB$406,25,FALSE)-VLOOKUP($A374,'ПР 01-02.22'!$A$11:$BB$378,25,FALSE)</f>
        <v>0</v>
      </c>
      <c r="Z374" s="5"/>
      <c r="AA374" s="5">
        <f>VLOOKUP($A374,'ПР 01-02.21'!$A$11:$BB$406,27,FALSE)+VLOOKUP($A374,'ПР 21-22'!$A$11:$BB$406,27,FALSE)-VLOOKUP($A374,'ПР 01-02.22'!$A$11:$BB$378,27,FALSE)</f>
        <v>0</v>
      </c>
      <c r="AB374" s="5">
        <f>VLOOKUP($A374,'ПР 01-02.21'!$A$11:$BB$406,28,FALSE)+VLOOKUP($A374,'ПР 21-22'!$A$11:$BB$406,28,FALSE)-VLOOKUP($A374,'ПР 01-02.22'!$A$11:$BB$378,28,FALSE)</f>
        <v>0</v>
      </c>
      <c r="AC374" s="5">
        <f>VLOOKUP($A374,'ПР 01-02.21'!$A$11:$BB$406,29,FALSE)+VLOOKUP($A374,'ПР 21-22'!$A$11:$BB$406,29,FALSE)-VLOOKUP($A374,'ПР 01-02.22'!$A$11:$BB$378,29,FALSE)</f>
        <v>0</v>
      </c>
      <c r="AD374" s="5">
        <f>VLOOKUP($A374,'ПР 01-02.21'!$A$11:$BB$406,30,FALSE)+VLOOKUP($A374,'ПР 21-22'!$A$11:$BB$406,30,FALSE)-VLOOKUP($A374,'ПР 01-02.22'!$A$11:$BB$378,30,FALSE)</f>
        <v>357</v>
      </c>
      <c r="AE374" s="5">
        <f>VLOOKUP($A374,'ПР 01-02.21'!$A$11:$BB$406,31,FALSE)+VLOOKUP($A374,'ПР 21-22'!$A$11:$BB$406,31,FALSE)-VLOOKUP($A374,'ПР 01-02.22'!$A$11:$BB$378,31,FALSE)</f>
        <v>550.95818195919526</v>
      </c>
      <c r="AF374" s="5">
        <f>VLOOKUP($A374,'ПР 01-02.21'!$A$11:$BB$406,32,FALSE)+VLOOKUP($A374,'ПР 21-22'!$A$11:$BB$406,32,FALSE)-VLOOKUP($A374,'ПР 01-02.22'!$A$11:$BB$378,32,FALSE)</f>
        <v>0</v>
      </c>
      <c r="AG374" s="40"/>
      <c r="AH374" s="5">
        <f>VLOOKUP($A374,'ПР 01-02.21'!$A$11:$BB$406,34,FALSE)+VLOOKUP($A374,'ПР 21-22'!$A$11:$BB$406,34,FALSE)-VLOOKUP($A374,'ПР 01-02.22'!$A$11:$BB$378,34,FALSE)</f>
        <v>805.48569148034221</v>
      </c>
      <c r="AI374" s="5">
        <f>VLOOKUP($A374,'ПР 01-02.21'!$A$11:$BB$406,35,FALSE)+VLOOKUP($A374,'ПР 21-22'!$A$11:$BB$406,35,FALSE)-VLOOKUP($A374,'ПР 01-02.22'!$A$11:$BB$378,35,FALSE)</f>
        <v>0</v>
      </c>
      <c r="AJ374" s="40"/>
      <c r="AK374" s="5">
        <f>VLOOKUP($A374,'ПР 01-02.21'!$A$11:$BB$406,37,FALSE)+VLOOKUP($A374,'ПР 21-22'!$A$11:$BB$406,37,FALSE)-VLOOKUP($A374,'ПР 01-02.22'!$A$11:$BB$378,37,FALSE)</f>
        <v>158.78054717781686</v>
      </c>
      <c r="AL374" s="5">
        <f>VLOOKUP($A374,'ПР 01-02.21'!$A$11:$BB$406,38,FALSE)+VLOOKUP($A374,'ПР 21-22'!$A$11:$BB$406,38,FALSE)-VLOOKUP($A374,'ПР 01-02.22'!$A$11:$BB$378,38,FALSE)</f>
        <v>0</v>
      </c>
      <c r="AM374" s="40"/>
      <c r="AN374" s="5">
        <f>VLOOKUP($A374,'ПР 01-02.21'!$A$11:$BB$406,40,FALSE)+VLOOKUP($A374,'ПР 21-22'!$A$11:$BB$406,40,FALSE)-VLOOKUP($A374,'ПР 01-02.22'!$A$11:$BB$378,40,FALSE)</f>
        <v>0</v>
      </c>
      <c r="AO374" s="5">
        <f>VLOOKUP($A374,'ПР 01-02.21'!$A$11:$BB$406,41,FALSE)+VLOOKUP($A374,'ПР 21-22'!$A$11:$BB$406,41,FALSE)-VLOOKUP($A374,'ПР 01-02.22'!$A$11:$BB$378,41,FALSE)</f>
        <v>0</v>
      </c>
      <c r="AP374" s="40"/>
      <c r="AQ374" s="5">
        <f>VLOOKUP($A374,'ПР 01-02.21'!$A$11:$BB$406,43,FALSE)+VLOOKUP($A374,'ПР 21-22'!$A$11:$BB$406,43,FALSE)-VLOOKUP($A374,'ПР 01-02.22'!$A$11:$BB$378,43,FALSE)</f>
        <v>0</v>
      </c>
      <c r="AR374" s="5">
        <f>VLOOKUP($A374,'ПР 01-02.21'!$A$11:$BB$406,44,FALSE)+VLOOKUP($A374,'ПР 21-22'!$A$11:$BB$406,44,FALSE)-VLOOKUP($A374,'ПР 01-02.22'!$A$11:$BB$378,44,FALSE)</f>
        <v>0</v>
      </c>
      <c r="AS374" s="40"/>
      <c r="AT374" s="5">
        <f>VLOOKUP($A374,'ПР 01-02.21'!$A$11:$BB$406,46,FALSE)+VLOOKUP($A374,'ПР 21-22'!$A$11:$BB$406,46,FALSE)-VLOOKUP($A374,'ПР 01-02.22'!$A$11:$BB$378,46,FALSE)</f>
        <v>52.600065287018374</v>
      </c>
      <c r="AU374" s="5">
        <f>VLOOKUP($A374,'ПР 01-02.21'!$A$11:$BB$406,47,FALSE)+VLOOKUP($A374,'ПР 21-22'!$A$11:$BB$406,47,FALSE)-VLOOKUP($A374,'ПР 01-02.22'!$A$11:$BB$378,47,FALSE)</f>
        <v>0</v>
      </c>
      <c r="AV374" s="40"/>
      <c r="AW374" s="5">
        <f>VLOOKUP($A374,'ПР 01-02.21'!$A$11:$BB$406,49,FALSE)+VLOOKUP($A374,'ПР 21-22'!$A$11:$BB$406,49,FALSE)-VLOOKUP($A374,'ПР 01-02.22'!$A$11:$BB$378,49,FALSE)</f>
        <v>23.884</v>
      </c>
      <c r="AX374" s="5">
        <f>VLOOKUP($A374,'ПР 01-02.21'!$A$11:$BB$406,50,FALSE)+VLOOKUP($A374,'ПР 21-22'!$A$11:$BB$406,50,FALSE)-VLOOKUP($A374,'ПР 01-02.22'!$A$11:$BB$378,50,FALSE)</f>
        <v>0</v>
      </c>
      <c r="AY374" s="40"/>
      <c r="AZ374" s="40">
        <f t="shared" si="25"/>
        <v>1591.708485904373</v>
      </c>
      <c r="BA374" s="40">
        <f t="shared" si="25"/>
        <v>0</v>
      </c>
      <c r="BB374" s="55">
        <f t="shared" si="24"/>
        <v>-1591.708485904373</v>
      </c>
      <c r="BD374" s="2">
        <v>3</v>
      </c>
      <c r="BF374" s="325">
        <v>150000898</v>
      </c>
    </row>
    <row r="375" spans="1:58" ht="24.9" customHeight="1" x14ac:dyDescent="0.3">
      <c r="A375" s="325">
        <v>150000899</v>
      </c>
      <c r="B375" s="445" t="s">
        <v>403</v>
      </c>
      <c r="C375" s="27">
        <v>9</v>
      </c>
      <c r="D375" s="101" t="s">
        <v>455</v>
      </c>
      <c r="E375" s="279">
        <f>'побудинковий звіт'!E373</f>
        <v>6212</v>
      </c>
      <c r="F375" s="441">
        <f>'побудинковий звіт'!AS373</f>
        <v>76027.85563801034</v>
      </c>
      <c r="G375" s="441">
        <f t="shared" si="22"/>
        <v>49089</v>
      </c>
      <c r="H375" s="73">
        <f t="shared" si="23"/>
        <v>-26938.85563801034</v>
      </c>
      <c r="I375" s="5">
        <f>VLOOKUP($A375,'ПР 01-02.21'!$A$11:$BB$406,9,FALSE)+VLOOKUP($A375,'ПР 21-22'!$A$11:$BB$406,9,FALSE)-VLOOKUP($A375,'ПР 01-02.22'!$A$11:$BB$378,9,FALSE)</f>
        <v>54.9</v>
      </c>
      <c r="J375" s="5">
        <f>VLOOKUP($A375,'ПР 01-02.21'!$A$11:$BB$406,10,FALSE)+VLOOKUP($A375,'ПР 21-22'!$A$11:$BB$406,10,FALSE)-VLOOKUP($A375,'ПР 01-02.22'!$A$11:$BB$378,10,FALSE)</f>
        <v>38855</v>
      </c>
      <c r="K375" s="446"/>
      <c r="L375" s="5">
        <f>VLOOKUP($A375,'ПР 01-02.21'!$A$11:$BB$406,12,FALSE)+VLOOKUP($A375,'ПР 21-22'!$A$11:$BB$406,12,FALSE)-VLOOKUP($A375,'ПР 01-02.22'!$A$11:$BB$378,12,FALSE)</f>
        <v>0</v>
      </c>
      <c r="M375" s="5">
        <f>VLOOKUP($A375,'ПР 01-02.21'!$A$11:$BB$406,13,FALSE)+VLOOKUP($A375,'ПР 21-22'!$A$11:$BB$406,13,FALSE)-VLOOKUP($A375,'ПР 01-02.22'!$A$11:$BB$378,13,FALSE)</f>
        <v>0</v>
      </c>
      <c r="N375" s="38"/>
      <c r="O375" s="5">
        <f>VLOOKUP($A375,'ПР 01-02.21'!$A$11:$BB$406,15,FALSE)+VLOOKUP($A375,'ПР 21-22'!$A$11:$BB$406,15,FALSE)-VLOOKUP($A375,'ПР 01-02.22'!$A$11:$BB$378,15,FALSE)</f>
        <v>0</v>
      </c>
      <c r="P375" s="5">
        <f>VLOOKUP($A375,'ПР 01-02.21'!$A$11:$BB$406,16,FALSE)+VLOOKUP($A375,'ПР 21-22'!$A$11:$BB$406,16,FALSE)-VLOOKUP($A375,'ПР 01-02.22'!$A$11:$BB$378,16,FALSE)</f>
        <v>0</v>
      </c>
      <c r="Q375" s="443"/>
      <c r="R375" s="5">
        <f>VLOOKUP($A375,'ПР 01-02.21'!$A$11:$BB$406,18,FALSE)+VLOOKUP($A375,'ПР 21-22'!$A$11:$BB$406,18,FALSE)-VLOOKUP($A375,'ПР 01-02.22'!$A$11:$BB$378,18,FALSE)</f>
        <v>1</v>
      </c>
      <c r="S375" s="5">
        <f>VLOOKUP($A375,'ПР 01-02.21'!$A$11:$BB$406,19,FALSE)+VLOOKUP($A375,'ПР 21-22'!$A$11:$BB$406,19,FALSE)-VLOOKUP($A375,'ПР 01-02.22'!$A$11:$BB$378,19,FALSE)</f>
        <v>482</v>
      </c>
      <c r="T375" s="444"/>
      <c r="U375" s="5">
        <f>VLOOKUP($A375,'ПР 01-02.21'!$A$11:$BB$406,21,FALSE)+VLOOKUP($A375,'ПР 21-22'!$A$11:$BB$406,21,FALSE)-VLOOKUP($A375,'ПР 01-02.22'!$A$11:$BB$378,21,FALSE)</f>
        <v>0</v>
      </c>
      <c r="V375" s="5"/>
      <c r="W375" s="5">
        <f>VLOOKUP($A375,'ПР 01-02.21'!$A$11:$BB$406,23,FALSE)+VLOOKUP($A375,'ПР 21-22'!$A$11:$BB$406,23,FALSE)-VLOOKUP($A375,'ПР 01-02.22'!$A$11:$BB$378,23,FALSE)</f>
        <v>0</v>
      </c>
      <c r="X375" s="5">
        <f>VLOOKUP($A375,'ПР 01-02.21'!$A$11:$BB$406,24,FALSE)+VLOOKUP($A375,'ПР 21-22'!$A$11:$BB$406,24,FALSE)-VLOOKUP($A375,'ПР 01-02.22'!$A$11:$BB$378,24,FALSE)</f>
        <v>0</v>
      </c>
      <c r="Y375" s="5">
        <f>VLOOKUP($A375,'ПР 01-02.21'!$A$11:$BB$406,25,FALSE)+VLOOKUP($A375,'ПР 21-22'!$A$11:$BB$406,25,FALSE)-VLOOKUP($A375,'ПР 01-02.22'!$A$11:$BB$378,25,FALSE)</f>
        <v>5938</v>
      </c>
      <c r="Z375" s="5"/>
      <c r="AA375" s="5">
        <f>VLOOKUP($A375,'ПР 01-02.21'!$A$11:$BB$406,27,FALSE)+VLOOKUP($A375,'ПР 21-22'!$A$11:$BB$406,27,FALSE)-VLOOKUP($A375,'ПР 01-02.22'!$A$11:$BB$378,27,FALSE)</f>
        <v>0</v>
      </c>
      <c r="AB375" s="5">
        <f>VLOOKUP($A375,'ПР 01-02.21'!$A$11:$BB$406,28,FALSE)+VLOOKUP($A375,'ПР 21-22'!$A$11:$BB$406,28,FALSE)-VLOOKUP($A375,'ПР 01-02.22'!$A$11:$BB$378,28,FALSE)</f>
        <v>0</v>
      </c>
      <c r="AC375" s="5">
        <f>VLOOKUP($A375,'ПР 01-02.21'!$A$11:$BB$406,29,FALSE)+VLOOKUP($A375,'ПР 21-22'!$A$11:$BB$406,29,FALSE)-VLOOKUP($A375,'ПР 01-02.22'!$A$11:$BB$378,29,FALSE)</f>
        <v>528</v>
      </c>
      <c r="AD375" s="5">
        <f>VLOOKUP($A375,'ПР 01-02.21'!$A$11:$BB$406,30,FALSE)+VLOOKUP($A375,'ПР 21-22'!$A$11:$BB$406,30,FALSE)-VLOOKUP($A375,'ПР 01-02.22'!$A$11:$BB$378,30,FALSE)</f>
        <v>3286</v>
      </c>
      <c r="AE375" s="5">
        <f>VLOOKUP($A375,'ПР 01-02.21'!$A$11:$BB$406,31,FALSE)+VLOOKUP($A375,'ПР 21-22'!$A$11:$BB$406,31,FALSE)-VLOOKUP($A375,'ПР 01-02.22'!$A$11:$BB$378,31,FALSE)</f>
        <v>5248.5772171110621</v>
      </c>
      <c r="AF375" s="5">
        <f>VLOOKUP($A375,'ПР 01-02.21'!$A$11:$BB$406,32,FALSE)+VLOOKUP($A375,'ПР 21-22'!$A$11:$BB$406,32,FALSE)-VLOOKUP($A375,'ПР 01-02.22'!$A$11:$BB$378,32,FALSE)</f>
        <v>1773</v>
      </c>
      <c r="AG375" s="40"/>
      <c r="AH375" s="5">
        <f>VLOOKUP($A375,'ПР 01-02.21'!$A$11:$BB$406,34,FALSE)+VLOOKUP($A375,'ПР 21-22'!$A$11:$BB$406,34,FALSE)-VLOOKUP($A375,'ПР 01-02.22'!$A$11:$BB$378,34,FALSE)</f>
        <v>6079.3014581532652</v>
      </c>
      <c r="AI375" s="5">
        <f>VLOOKUP($A375,'ПР 01-02.21'!$A$11:$BB$406,35,FALSE)+VLOOKUP($A375,'ПР 21-22'!$A$11:$BB$406,35,FALSE)-VLOOKUP($A375,'ПР 01-02.22'!$A$11:$BB$378,35,FALSE)</f>
        <v>0</v>
      </c>
      <c r="AJ375" s="40"/>
      <c r="AK375" s="5">
        <f>VLOOKUP($A375,'ПР 01-02.21'!$A$11:$BB$406,37,FALSE)+VLOOKUP($A375,'ПР 21-22'!$A$11:$BB$406,37,FALSE)-VLOOKUP($A375,'ПР 01-02.22'!$A$11:$BB$378,37,FALSE)</f>
        <v>3339.5504944208178</v>
      </c>
      <c r="AL375" s="5">
        <f>VLOOKUP($A375,'ПР 01-02.21'!$A$11:$BB$406,38,FALSE)+VLOOKUP($A375,'ПР 21-22'!$A$11:$BB$406,38,FALSE)-VLOOKUP($A375,'ПР 01-02.22'!$A$11:$BB$378,38,FALSE)</f>
        <v>1308</v>
      </c>
      <c r="AM375" s="40"/>
      <c r="AN375" s="5">
        <f>VLOOKUP($A375,'ПР 01-02.21'!$A$11:$BB$406,40,FALSE)+VLOOKUP($A375,'ПР 21-22'!$A$11:$BB$406,40,FALSE)-VLOOKUP($A375,'ПР 01-02.22'!$A$11:$BB$378,40,FALSE)</f>
        <v>4024.3924927523717</v>
      </c>
      <c r="AO375" s="5">
        <f>VLOOKUP($A375,'ПР 01-02.21'!$A$11:$BB$406,41,FALSE)+VLOOKUP($A375,'ПР 21-22'!$A$11:$BB$406,41,FALSE)-VLOOKUP($A375,'ПР 01-02.22'!$A$11:$BB$378,41,FALSE)</f>
        <v>0</v>
      </c>
      <c r="AP375" s="40"/>
      <c r="AQ375" s="5">
        <f>VLOOKUP($A375,'ПР 01-02.21'!$A$11:$BB$406,43,FALSE)+VLOOKUP($A375,'ПР 21-22'!$A$11:$BB$406,43,FALSE)-VLOOKUP($A375,'ПР 01-02.22'!$A$11:$BB$378,43,FALSE)</f>
        <v>1913.1150136490437</v>
      </c>
      <c r="AR375" s="5">
        <f>VLOOKUP($A375,'ПР 01-02.21'!$A$11:$BB$406,44,FALSE)+VLOOKUP($A375,'ПР 21-22'!$A$11:$BB$406,44,FALSE)-VLOOKUP($A375,'ПР 01-02.22'!$A$11:$BB$378,44,FALSE)</f>
        <v>17</v>
      </c>
      <c r="AS375" s="40"/>
      <c r="AT375" s="5">
        <f>VLOOKUP($A375,'ПР 01-02.21'!$A$11:$BB$406,46,FALSE)+VLOOKUP($A375,'ПР 21-22'!$A$11:$BB$406,46,FALSE)-VLOOKUP($A375,'ПР 01-02.22'!$A$11:$BB$378,46,FALSE)</f>
        <v>2323.7259236652858</v>
      </c>
      <c r="AU375" s="5">
        <f>VLOOKUP($A375,'ПР 01-02.21'!$A$11:$BB$406,47,FALSE)+VLOOKUP($A375,'ПР 21-22'!$A$11:$BB$406,47,FALSE)-VLOOKUP($A375,'ПР 01-02.22'!$A$11:$BB$378,47,FALSE)</f>
        <v>0</v>
      </c>
      <c r="AV375" s="40"/>
      <c r="AW375" s="5">
        <f>VLOOKUP($A375,'ПР 01-02.21'!$A$11:$BB$406,49,FALSE)+VLOOKUP($A375,'ПР 21-22'!$A$11:$BB$406,49,FALSE)-VLOOKUP($A375,'ПР 01-02.22'!$A$11:$BB$378,49,FALSE)</f>
        <v>310.43799999999999</v>
      </c>
      <c r="AX375" s="5">
        <f>VLOOKUP($A375,'ПР 01-02.21'!$A$11:$BB$406,50,FALSE)+VLOOKUP($A375,'ПР 21-22'!$A$11:$BB$406,50,FALSE)-VLOOKUP($A375,'ПР 01-02.22'!$A$11:$BB$378,50,FALSE)</f>
        <v>0</v>
      </c>
      <c r="AY375" s="40"/>
      <c r="AZ375" s="40">
        <f t="shared" si="25"/>
        <v>23239.100599751848</v>
      </c>
      <c r="BA375" s="40">
        <f t="shared" si="25"/>
        <v>3098</v>
      </c>
      <c r="BB375" s="55">
        <f t="shared" si="24"/>
        <v>-20141.100599751848</v>
      </c>
      <c r="BD375" s="2">
        <v>3</v>
      </c>
      <c r="BF375" s="325">
        <v>150000899</v>
      </c>
    </row>
    <row r="376" spans="1:58" ht="24.9" customHeight="1" x14ac:dyDescent="0.3">
      <c r="A376" s="325">
        <v>150000900</v>
      </c>
      <c r="B376" s="445" t="s">
        <v>426</v>
      </c>
      <c r="C376" s="27">
        <v>14</v>
      </c>
      <c r="D376" s="101" t="s">
        <v>455</v>
      </c>
      <c r="E376" s="279">
        <f>'побудинковий звіт'!E374</f>
        <v>4357.8100000000004</v>
      </c>
      <c r="F376" s="441">
        <f>'побудинковий звіт'!AS374</f>
        <v>49088.77874166557</v>
      </c>
      <c r="G376" s="441">
        <f t="shared" si="22"/>
        <v>15743</v>
      </c>
      <c r="H376" s="73">
        <f t="shared" si="23"/>
        <v>-33345.77874166557</v>
      </c>
      <c r="I376" s="5">
        <f>VLOOKUP($A376,'ПР 01-02.21'!$A$11:$BB$406,9,FALSE)+VLOOKUP($A376,'ПР 21-22'!$A$11:$BB$406,9,FALSE)-VLOOKUP($A376,'ПР 01-02.22'!$A$11:$BB$378,9,FALSE)</f>
        <v>0</v>
      </c>
      <c r="J376" s="5">
        <f>VLOOKUP($A376,'ПР 01-02.21'!$A$11:$BB$406,10,FALSE)+VLOOKUP($A376,'ПР 21-22'!$A$11:$BB$406,10,FALSE)-VLOOKUP($A376,'ПР 01-02.22'!$A$11:$BB$378,10,FALSE)</f>
        <v>0</v>
      </c>
      <c r="K376" s="446"/>
      <c r="L376" s="5">
        <f>VLOOKUP($A376,'ПР 01-02.21'!$A$11:$BB$406,12,FALSE)+VLOOKUP($A376,'ПР 21-22'!$A$11:$BB$406,12,FALSE)-VLOOKUP($A376,'ПР 01-02.22'!$A$11:$BB$378,12,FALSE)</f>
        <v>0</v>
      </c>
      <c r="M376" s="5">
        <f>VLOOKUP($A376,'ПР 01-02.21'!$A$11:$BB$406,13,FALSE)+VLOOKUP($A376,'ПР 21-22'!$A$11:$BB$406,13,FALSE)-VLOOKUP($A376,'ПР 01-02.22'!$A$11:$BB$378,13,FALSE)</f>
        <v>0</v>
      </c>
      <c r="N376" s="38"/>
      <c r="O376" s="5">
        <f>VLOOKUP($A376,'ПР 01-02.21'!$A$11:$BB$406,15,FALSE)+VLOOKUP($A376,'ПР 21-22'!$A$11:$BB$406,15,FALSE)-VLOOKUP($A376,'ПР 01-02.22'!$A$11:$BB$378,15,FALSE)</f>
        <v>0</v>
      </c>
      <c r="P376" s="5">
        <f>VLOOKUP($A376,'ПР 01-02.21'!$A$11:$BB$406,16,FALSE)+VLOOKUP($A376,'ПР 21-22'!$A$11:$BB$406,16,FALSE)-VLOOKUP($A376,'ПР 01-02.22'!$A$11:$BB$378,16,FALSE)</f>
        <v>0</v>
      </c>
      <c r="Q376" s="443"/>
      <c r="R376" s="5">
        <f>VLOOKUP($A376,'ПР 01-02.21'!$A$11:$BB$406,18,FALSE)+VLOOKUP($A376,'ПР 21-22'!$A$11:$BB$406,18,FALSE)-VLOOKUP($A376,'ПР 01-02.22'!$A$11:$BB$378,18,FALSE)</f>
        <v>3</v>
      </c>
      <c r="S376" s="5">
        <f>VLOOKUP($A376,'ПР 01-02.21'!$A$11:$BB$406,19,FALSE)+VLOOKUP($A376,'ПР 21-22'!$A$11:$BB$406,19,FALSE)-VLOOKUP($A376,'ПР 01-02.22'!$A$11:$BB$378,19,FALSE)</f>
        <v>3280</v>
      </c>
      <c r="T376" s="444"/>
      <c r="U376" s="5">
        <f>VLOOKUP($A376,'ПР 01-02.21'!$A$11:$BB$406,21,FALSE)+VLOOKUP($A376,'ПР 21-22'!$A$11:$BB$406,21,FALSE)-VLOOKUP($A376,'ПР 01-02.22'!$A$11:$BB$378,21,FALSE)</f>
        <v>0</v>
      </c>
      <c r="V376" s="5"/>
      <c r="W376" s="5">
        <f>VLOOKUP($A376,'ПР 01-02.21'!$A$11:$BB$406,23,FALSE)+VLOOKUP($A376,'ПР 21-22'!$A$11:$BB$406,23,FALSE)-VLOOKUP($A376,'ПР 01-02.22'!$A$11:$BB$378,23,FALSE)</f>
        <v>0</v>
      </c>
      <c r="X376" s="5">
        <f>VLOOKUP($A376,'ПР 01-02.21'!$A$11:$BB$406,24,FALSE)+VLOOKUP($A376,'ПР 21-22'!$A$11:$BB$406,24,FALSE)-VLOOKUP($A376,'ПР 01-02.22'!$A$11:$BB$378,24,FALSE)</f>
        <v>0</v>
      </c>
      <c r="Y376" s="5">
        <f>VLOOKUP($A376,'ПР 01-02.21'!$A$11:$BB$406,25,FALSE)+VLOOKUP($A376,'ПР 21-22'!$A$11:$BB$406,25,FALSE)-VLOOKUP($A376,'ПР 01-02.22'!$A$11:$BB$378,25,FALSE)</f>
        <v>443</v>
      </c>
      <c r="Z376" s="5"/>
      <c r="AA376" s="5">
        <f>VLOOKUP($A376,'ПР 01-02.21'!$A$11:$BB$406,27,FALSE)+VLOOKUP($A376,'ПР 21-22'!$A$11:$BB$406,27,FALSE)-VLOOKUP($A376,'ПР 01-02.22'!$A$11:$BB$378,27,FALSE)</f>
        <v>0</v>
      </c>
      <c r="AB376" s="5">
        <f>VLOOKUP($A376,'ПР 01-02.21'!$A$11:$BB$406,28,FALSE)+VLOOKUP($A376,'ПР 21-22'!$A$11:$BB$406,28,FALSE)-VLOOKUP($A376,'ПР 01-02.22'!$A$11:$BB$378,28,FALSE)</f>
        <v>0</v>
      </c>
      <c r="AC376" s="5">
        <f>VLOOKUP($A376,'ПР 01-02.21'!$A$11:$BB$406,29,FALSE)+VLOOKUP($A376,'ПР 21-22'!$A$11:$BB$406,29,FALSE)-VLOOKUP($A376,'ПР 01-02.22'!$A$11:$BB$378,29,FALSE)</f>
        <v>11842</v>
      </c>
      <c r="AD376" s="5">
        <f>VLOOKUP($A376,'ПР 01-02.21'!$A$11:$BB$406,30,FALSE)+VLOOKUP($A376,'ПР 21-22'!$A$11:$BB$406,30,FALSE)-VLOOKUP($A376,'ПР 01-02.22'!$A$11:$BB$378,30,FALSE)</f>
        <v>178</v>
      </c>
      <c r="AE376" s="5">
        <f>VLOOKUP($A376,'ПР 01-02.21'!$A$11:$BB$406,31,FALSE)+VLOOKUP($A376,'ПР 21-22'!$A$11:$BB$406,31,FALSE)-VLOOKUP($A376,'ПР 01-02.22'!$A$11:$BB$378,31,FALSE)</f>
        <v>5324.6689075644999</v>
      </c>
      <c r="AF376" s="5">
        <f>VLOOKUP($A376,'ПР 01-02.21'!$A$11:$BB$406,32,FALSE)+VLOOKUP($A376,'ПР 21-22'!$A$11:$BB$406,32,FALSE)-VLOOKUP($A376,'ПР 01-02.22'!$A$11:$BB$378,32,FALSE)</f>
        <v>0</v>
      </c>
      <c r="AG376" s="40"/>
      <c r="AH376" s="5">
        <f>VLOOKUP($A376,'ПР 01-02.21'!$A$11:$BB$406,34,FALSE)+VLOOKUP($A376,'ПР 21-22'!$A$11:$BB$406,34,FALSE)-VLOOKUP($A376,'ПР 01-02.22'!$A$11:$BB$378,34,FALSE)</f>
        <v>1969.3752830047695</v>
      </c>
      <c r="AI376" s="5">
        <f>VLOOKUP($A376,'ПР 01-02.21'!$A$11:$BB$406,35,FALSE)+VLOOKUP($A376,'ПР 21-22'!$A$11:$BB$406,35,FALSE)-VLOOKUP($A376,'ПР 01-02.22'!$A$11:$BB$378,35,FALSE)</f>
        <v>0</v>
      </c>
      <c r="AJ376" s="40"/>
      <c r="AK376" s="5">
        <f>VLOOKUP($A376,'ПР 01-02.21'!$A$11:$BB$406,37,FALSE)+VLOOKUP($A376,'ПР 21-22'!$A$11:$BB$406,37,FALSE)-VLOOKUP($A376,'ПР 01-02.22'!$A$11:$BB$378,37,FALSE)</f>
        <v>2137.4706941035688</v>
      </c>
      <c r="AL376" s="5">
        <f>VLOOKUP($A376,'ПР 01-02.21'!$A$11:$BB$406,38,FALSE)+VLOOKUP($A376,'ПР 21-22'!$A$11:$BB$406,38,FALSE)-VLOOKUP($A376,'ПР 01-02.22'!$A$11:$BB$378,38,FALSE)</f>
        <v>2321</v>
      </c>
      <c r="AM376" s="40"/>
      <c r="AN376" s="5">
        <f>VLOOKUP($A376,'ПР 01-02.21'!$A$11:$BB$406,40,FALSE)+VLOOKUP($A376,'ПР 21-22'!$A$11:$BB$406,40,FALSE)-VLOOKUP($A376,'ПР 01-02.22'!$A$11:$BB$378,40,FALSE)</f>
        <v>2760.405197204353</v>
      </c>
      <c r="AO376" s="5">
        <f>VLOOKUP($A376,'ПР 01-02.21'!$A$11:$BB$406,41,FALSE)+VLOOKUP($A376,'ПР 21-22'!$A$11:$BB$406,41,FALSE)-VLOOKUP($A376,'ПР 01-02.22'!$A$11:$BB$378,41,FALSE)</f>
        <v>0</v>
      </c>
      <c r="AP376" s="40"/>
      <c r="AQ376" s="5">
        <f>VLOOKUP($A376,'ПР 01-02.21'!$A$11:$BB$406,43,FALSE)+VLOOKUP($A376,'ПР 21-22'!$A$11:$BB$406,43,FALSE)-VLOOKUP($A376,'ПР 01-02.22'!$A$11:$BB$378,43,FALSE)</f>
        <v>1304.9760242041066</v>
      </c>
      <c r="AR376" s="5">
        <f>VLOOKUP($A376,'ПР 01-02.21'!$A$11:$BB$406,44,FALSE)+VLOOKUP($A376,'ПР 21-22'!$A$11:$BB$406,44,FALSE)-VLOOKUP($A376,'ПР 01-02.22'!$A$11:$BB$378,44,FALSE)</f>
        <v>16.5</v>
      </c>
      <c r="AS376" s="40"/>
      <c r="AT376" s="5">
        <f>VLOOKUP($A376,'ПР 01-02.21'!$A$11:$BB$406,46,FALSE)+VLOOKUP($A376,'ПР 21-22'!$A$11:$BB$406,46,FALSE)-VLOOKUP($A376,'ПР 01-02.22'!$A$11:$BB$378,46,FALSE)</f>
        <v>1120.8456018731745</v>
      </c>
      <c r="AU376" s="5">
        <f>VLOOKUP($A376,'ПР 01-02.21'!$A$11:$BB$406,47,FALSE)+VLOOKUP($A376,'ПР 21-22'!$A$11:$BB$406,47,FALSE)-VLOOKUP($A376,'ПР 01-02.22'!$A$11:$BB$378,47,FALSE)</f>
        <v>0</v>
      </c>
      <c r="AV376" s="40"/>
      <c r="AW376" s="5">
        <f>VLOOKUP($A376,'ПР 01-02.21'!$A$11:$BB$406,49,FALSE)+VLOOKUP($A376,'ПР 21-22'!$A$11:$BB$406,49,FALSE)-VLOOKUP($A376,'ПР 01-02.22'!$A$11:$BB$378,49,FALSE)</f>
        <v>0</v>
      </c>
      <c r="AX376" s="5">
        <f>VLOOKUP($A376,'ПР 01-02.21'!$A$11:$BB$406,50,FALSE)+VLOOKUP($A376,'ПР 21-22'!$A$11:$BB$406,50,FALSE)-VLOOKUP($A376,'ПР 01-02.22'!$A$11:$BB$378,50,FALSE)</f>
        <v>0</v>
      </c>
      <c r="AY376" s="40"/>
      <c r="AZ376" s="40">
        <f t="shared" si="25"/>
        <v>14617.741707954472</v>
      </c>
      <c r="BA376" s="40">
        <f t="shared" si="25"/>
        <v>2337.5</v>
      </c>
      <c r="BB376" s="55">
        <f t="shared" si="24"/>
        <v>-12280.241707954472</v>
      </c>
      <c r="BD376" s="2">
        <v>3</v>
      </c>
      <c r="BF376" s="325">
        <v>150000900</v>
      </c>
    </row>
    <row r="377" spans="1:58" ht="24.9" customHeight="1" x14ac:dyDescent="0.3">
      <c r="A377" s="325">
        <v>150000901</v>
      </c>
      <c r="B377" s="445" t="s">
        <v>425</v>
      </c>
      <c r="C377" s="27">
        <v>10</v>
      </c>
      <c r="D377" s="101" t="s">
        <v>455</v>
      </c>
      <c r="E377" s="279">
        <f>'побудинковий звіт'!E375</f>
        <v>9955.5999999999985</v>
      </c>
      <c r="F377" s="441">
        <f>'побудинковий звіт'!AS375</f>
        <v>114797.04701970285</v>
      </c>
      <c r="G377" s="441">
        <f t="shared" si="22"/>
        <v>46364.51</v>
      </c>
      <c r="H377" s="73">
        <f t="shared" si="23"/>
        <v>-68432.537019702839</v>
      </c>
      <c r="I377" s="5">
        <f>VLOOKUP($A377,'ПР 01-02.21'!$A$11:$BB$406,9,FALSE)+VLOOKUP($A377,'ПР 21-22'!$A$11:$BB$406,9,FALSE)-VLOOKUP($A377,'ПР 01-02.22'!$A$11:$BB$378,9,FALSE)</f>
        <v>8.6999999999999993</v>
      </c>
      <c r="J377" s="5">
        <f>VLOOKUP($A377,'ПР 01-02.21'!$A$11:$BB$406,10,FALSE)+VLOOKUP($A377,'ПР 21-22'!$A$11:$BB$406,10,FALSE)-VLOOKUP($A377,'ПР 01-02.22'!$A$11:$BB$378,10,FALSE)</f>
        <v>1489.07</v>
      </c>
      <c r="K377" s="446"/>
      <c r="L377" s="5">
        <f>VLOOKUP($A377,'ПР 01-02.21'!$A$11:$BB$406,12,FALSE)+VLOOKUP($A377,'ПР 21-22'!$A$11:$BB$406,12,FALSE)-VLOOKUP($A377,'ПР 01-02.22'!$A$11:$BB$378,12,FALSE)</f>
        <v>0</v>
      </c>
      <c r="M377" s="5">
        <f>VLOOKUP($A377,'ПР 01-02.21'!$A$11:$BB$406,13,FALSE)+VLOOKUP($A377,'ПР 21-22'!$A$11:$BB$406,13,FALSE)-VLOOKUP($A377,'ПР 01-02.22'!$A$11:$BB$378,13,FALSE)</f>
        <v>0</v>
      </c>
      <c r="N377" s="38"/>
      <c r="O377" s="5">
        <f>VLOOKUP($A377,'ПР 01-02.21'!$A$11:$BB$406,15,FALSE)+VLOOKUP($A377,'ПР 21-22'!$A$11:$BB$406,15,FALSE)-VLOOKUP($A377,'ПР 01-02.22'!$A$11:$BB$378,15,FALSE)</f>
        <v>0</v>
      </c>
      <c r="P377" s="5">
        <f>VLOOKUP($A377,'ПР 01-02.21'!$A$11:$BB$406,16,FALSE)+VLOOKUP($A377,'ПР 21-22'!$A$11:$BB$406,16,FALSE)-VLOOKUP($A377,'ПР 01-02.22'!$A$11:$BB$378,16,FALSE)</f>
        <v>0</v>
      </c>
      <c r="Q377" s="443"/>
      <c r="R377" s="5">
        <f>VLOOKUP($A377,'ПР 01-02.21'!$A$11:$BB$406,18,FALSE)+VLOOKUP($A377,'ПР 21-22'!$A$11:$BB$406,18,FALSE)-VLOOKUP($A377,'ПР 01-02.22'!$A$11:$BB$378,18,FALSE)</f>
        <v>6</v>
      </c>
      <c r="S377" s="5">
        <f>VLOOKUP($A377,'ПР 01-02.21'!$A$11:$BB$406,19,FALSE)+VLOOKUP($A377,'ПР 21-22'!$A$11:$BB$406,19,FALSE)-VLOOKUP($A377,'ПР 01-02.22'!$A$11:$BB$378,19,FALSE)</f>
        <v>23935.02</v>
      </c>
      <c r="T377" s="444"/>
      <c r="U377" s="5">
        <f>VLOOKUP($A377,'ПР 01-02.21'!$A$11:$BB$406,21,FALSE)+VLOOKUP($A377,'ПР 21-22'!$A$11:$BB$406,21,FALSE)-VLOOKUP($A377,'ПР 01-02.22'!$A$11:$BB$378,21,FALSE)</f>
        <v>0</v>
      </c>
      <c r="V377" s="5"/>
      <c r="W377" s="5">
        <f>VLOOKUP($A377,'ПР 01-02.21'!$A$11:$BB$406,23,FALSE)+VLOOKUP($A377,'ПР 21-22'!$A$11:$BB$406,23,FALSE)-VLOOKUP($A377,'ПР 01-02.22'!$A$11:$BB$378,23,FALSE)</f>
        <v>0</v>
      </c>
      <c r="X377" s="5">
        <f>VLOOKUP($A377,'ПР 01-02.21'!$A$11:$BB$406,24,FALSE)+VLOOKUP($A377,'ПР 21-22'!$A$11:$BB$406,24,FALSE)-VLOOKUP($A377,'ПР 01-02.22'!$A$11:$BB$378,24,FALSE)</f>
        <v>0</v>
      </c>
      <c r="Y377" s="5">
        <f>VLOOKUP($A377,'ПР 01-02.21'!$A$11:$BB$406,25,FALSE)+VLOOKUP($A377,'ПР 21-22'!$A$11:$BB$406,25,FALSE)-VLOOKUP($A377,'ПР 01-02.22'!$A$11:$BB$378,25,FALSE)</f>
        <v>12696.73</v>
      </c>
      <c r="Z377" s="5"/>
      <c r="AA377" s="5">
        <f>VLOOKUP($A377,'ПР 01-02.21'!$A$11:$BB$406,27,FALSE)+VLOOKUP($A377,'ПР 21-22'!$A$11:$BB$406,27,FALSE)-VLOOKUP($A377,'ПР 01-02.22'!$A$11:$BB$378,27,FALSE)</f>
        <v>0</v>
      </c>
      <c r="AB377" s="5">
        <f>VLOOKUP($A377,'ПР 01-02.21'!$A$11:$BB$406,28,FALSE)+VLOOKUP($A377,'ПР 21-22'!$A$11:$BB$406,28,FALSE)-VLOOKUP($A377,'ПР 01-02.22'!$A$11:$BB$378,28,FALSE)</f>
        <v>1331.4</v>
      </c>
      <c r="AC377" s="5">
        <f>VLOOKUP($A377,'ПР 01-02.21'!$A$11:$BB$406,29,FALSE)+VLOOKUP($A377,'ПР 21-22'!$A$11:$BB$406,29,FALSE)-VLOOKUP($A377,'ПР 01-02.22'!$A$11:$BB$378,29,FALSE)</f>
        <v>3494.29</v>
      </c>
      <c r="AD377" s="5">
        <f>VLOOKUP($A377,'ПР 01-02.21'!$A$11:$BB$406,30,FALSE)+VLOOKUP($A377,'ПР 21-22'!$A$11:$BB$406,30,FALSE)-VLOOKUP($A377,'ПР 01-02.22'!$A$11:$BB$378,30,FALSE)</f>
        <v>3418</v>
      </c>
      <c r="AE377" s="5">
        <f>VLOOKUP($A377,'ПР 01-02.21'!$A$11:$BB$406,31,FALSE)+VLOOKUP($A377,'ПР 21-22'!$A$11:$BB$406,31,FALSE)-VLOOKUP($A377,'ПР 01-02.22'!$A$11:$BB$378,31,FALSE)</f>
        <v>7369.9213137254173</v>
      </c>
      <c r="AF377" s="5">
        <f>VLOOKUP($A377,'ПР 01-02.21'!$A$11:$BB$406,32,FALSE)+VLOOKUP($A377,'ПР 21-22'!$A$11:$BB$406,32,FALSE)-VLOOKUP($A377,'ПР 01-02.22'!$A$11:$BB$378,32,FALSE)</f>
        <v>5349</v>
      </c>
      <c r="AG377" s="40"/>
      <c r="AH377" s="5">
        <f>VLOOKUP($A377,'ПР 01-02.21'!$A$11:$BB$406,34,FALSE)+VLOOKUP($A377,'ПР 21-22'!$A$11:$BB$406,34,FALSE)-VLOOKUP($A377,'ПР 01-02.22'!$A$11:$BB$378,34,FALSE)</f>
        <v>8798.3241808061539</v>
      </c>
      <c r="AI377" s="5">
        <f>VLOOKUP($A377,'ПР 01-02.21'!$A$11:$BB$406,35,FALSE)+VLOOKUP($A377,'ПР 21-22'!$A$11:$BB$406,35,FALSE)-VLOOKUP($A377,'ПР 01-02.22'!$A$11:$BB$378,35,FALSE)</f>
        <v>3769.01</v>
      </c>
      <c r="AJ377" s="40"/>
      <c r="AK377" s="5">
        <f>VLOOKUP($A377,'ПР 01-02.21'!$A$11:$BB$406,37,FALSE)+VLOOKUP($A377,'ПР 21-22'!$A$11:$BB$406,37,FALSE)-VLOOKUP($A377,'ПР 01-02.22'!$A$11:$BB$378,37,FALSE)</f>
        <v>4637.0606308821916</v>
      </c>
      <c r="AL377" s="5">
        <f>VLOOKUP($A377,'ПР 01-02.21'!$A$11:$BB$406,38,FALSE)+VLOOKUP($A377,'ПР 21-22'!$A$11:$BB$406,38,FALSE)-VLOOKUP($A377,'ПР 01-02.22'!$A$11:$BB$378,38,FALSE)</f>
        <v>9470</v>
      </c>
      <c r="AM377" s="40"/>
      <c r="AN377" s="5">
        <f>VLOOKUP($A377,'ПР 01-02.21'!$A$11:$BB$406,40,FALSE)+VLOOKUP($A377,'ПР 21-22'!$A$11:$BB$406,40,FALSE)-VLOOKUP($A377,'ПР 01-02.22'!$A$11:$BB$378,40,FALSE)</f>
        <v>5919.4150548254847</v>
      </c>
      <c r="AO377" s="5">
        <f>VLOOKUP($A377,'ПР 01-02.21'!$A$11:$BB$406,41,FALSE)+VLOOKUP($A377,'ПР 21-22'!$A$11:$BB$406,41,FALSE)-VLOOKUP($A377,'ПР 01-02.22'!$A$11:$BB$378,41,FALSE)</f>
        <v>0</v>
      </c>
      <c r="AP377" s="40"/>
      <c r="AQ377" s="5">
        <f>VLOOKUP($A377,'ПР 01-02.21'!$A$11:$BB$406,43,FALSE)+VLOOKUP($A377,'ПР 21-22'!$A$11:$BB$406,43,FALSE)-VLOOKUP($A377,'ПР 01-02.22'!$A$11:$BB$378,43,FALSE)</f>
        <v>2724.9107520813868</v>
      </c>
      <c r="AR377" s="5">
        <f>VLOOKUP($A377,'ПР 01-02.21'!$A$11:$BB$406,44,FALSE)+VLOOKUP($A377,'ПР 21-22'!$A$11:$BB$406,44,FALSE)-VLOOKUP($A377,'ПР 01-02.22'!$A$11:$BB$378,44,FALSE)</f>
        <v>3420.5</v>
      </c>
      <c r="AS377" s="40"/>
      <c r="AT377" s="5">
        <f>VLOOKUP($A377,'ПР 01-02.21'!$A$11:$BB$406,46,FALSE)+VLOOKUP($A377,'ПР 21-22'!$A$11:$BB$406,46,FALSE)-VLOOKUP($A377,'ПР 01-02.22'!$A$11:$BB$378,46,FALSE)</f>
        <v>3553.130749500634</v>
      </c>
      <c r="AU377" s="5">
        <f>VLOOKUP($A377,'ПР 01-02.21'!$A$11:$BB$406,47,FALSE)+VLOOKUP($A377,'ПР 21-22'!$A$11:$BB$406,47,FALSE)-VLOOKUP($A377,'ПР 01-02.22'!$A$11:$BB$378,47,FALSE)</f>
        <v>0</v>
      </c>
      <c r="AV377" s="40"/>
      <c r="AW377" s="5">
        <f>VLOOKUP($A377,'ПР 01-02.21'!$A$11:$BB$406,49,FALSE)+VLOOKUP($A377,'ПР 21-22'!$A$11:$BB$406,49,FALSE)-VLOOKUP($A377,'ПР 01-02.22'!$A$11:$BB$378,49,FALSE)</f>
        <v>495.86399999999998</v>
      </c>
      <c r="AX377" s="5">
        <f>VLOOKUP($A377,'ПР 01-02.21'!$A$11:$BB$406,50,FALSE)+VLOOKUP($A377,'ПР 21-22'!$A$11:$BB$406,50,FALSE)-VLOOKUP($A377,'ПР 01-02.22'!$A$11:$BB$378,50,FALSE)</f>
        <v>0</v>
      </c>
      <c r="AY377" s="40"/>
      <c r="AZ377" s="40">
        <f t="shared" si="25"/>
        <v>33498.626681821268</v>
      </c>
      <c r="BA377" s="40">
        <f t="shared" si="25"/>
        <v>22008.510000000002</v>
      </c>
      <c r="BB377" s="55">
        <f t="shared" si="24"/>
        <v>-11490.116681821266</v>
      </c>
      <c r="BD377" s="2">
        <v>3</v>
      </c>
      <c r="BF377" s="325">
        <v>150000901</v>
      </c>
    </row>
    <row r="378" spans="1:58" ht="24.9" customHeight="1" x14ac:dyDescent="0.3">
      <c r="A378" s="325">
        <v>150000902</v>
      </c>
      <c r="B378" s="445" t="s">
        <v>404</v>
      </c>
      <c r="C378" s="27">
        <v>9</v>
      </c>
      <c r="D378" s="101" t="s">
        <v>455</v>
      </c>
      <c r="E378" s="279">
        <f>'побудинковий звіт'!E376</f>
        <v>3581.3</v>
      </c>
      <c r="F378" s="441">
        <f>'побудинковий звіт'!AS376</f>
        <v>50546.528820138643</v>
      </c>
      <c r="G378" s="441">
        <f t="shared" si="22"/>
        <v>1470.34</v>
      </c>
      <c r="H378" s="73">
        <f t="shared" si="23"/>
        <v>-49076.188820138646</v>
      </c>
      <c r="I378" s="5">
        <f>VLOOKUP($A378,'ПР 01-02.21'!$A$11:$BB$406,9,FALSE)+VLOOKUP($A378,'ПР 21-22'!$A$11:$BB$406,9,FALSE)-VLOOKUP($A378,'ПР 01-02.22'!$A$11:$BB$378,9,FALSE)</f>
        <v>0</v>
      </c>
      <c r="J378" s="5">
        <f>VLOOKUP($A378,'ПР 01-02.21'!$A$11:$BB$406,10,FALSE)+VLOOKUP($A378,'ПР 21-22'!$A$11:$BB$406,10,FALSE)-VLOOKUP($A378,'ПР 01-02.22'!$A$11:$BB$378,10,FALSE)</f>
        <v>0</v>
      </c>
      <c r="K378" s="446"/>
      <c r="L378" s="5">
        <f>VLOOKUP($A378,'ПР 01-02.21'!$A$11:$BB$406,12,FALSE)+VLOOKUP($A378,'ПР 21-22'!$A$11:$BB$406,12,FALSE)-VLOOKUP($A378,'ПР 01-02.22'!$A$11:$BB$378,12,FALSE)</f>
        <v>0</v>
      </c>
      <c r="M378" s="5">
        <f>VLOOKUP($A378,'ПР 01-02.21'!$A$11:$BB$406,13,FALSE)+VLOOKUP($A378,'ПР 21-22'!$A$11:$BB$406,13,FALSE)-VLOOKUP($A378,'ПР 01-02.22'!$A$11:$BB$378,13,FALSE)</f>
        <v>0</v>
      </c>
      <c r="N378" s="38"/>
      <c r="O378" s="5">
        <f>VLOOKUP($A378,'ПР 01-02.21'!$A$11:$BB$406,15,FALSE)+VLOOKUP($A378,'ПР 21-22'!$A$11:$BB$406,15,FALSE)-VLOOKUP($A378,'ПР 01-02.22'!$A$11:$BB$378,15,FALSE)</f>
        <v>0</v>
      </c>
      <c r="P378" s="5">
        <f>VLOOKUP($A378,'ПР 01-02.21'!$A$11:$BB$406,16,FALSE)+VLOOKUP($A378,'ПР 21-22'!$A$11:$BB$406,16,FALSE)-VLOOKUP($A378,'ПР 01-02.22'!$A$11:$BB$378,16,FALSE)</f>
        <v>0</v>
      </c>
      <c r="Q378" s="443"/>
      <c r="R378" s="5">
        <f>VLOOKUP($A378,'ПР 01-02.21'!$A$11:$BB$406,18,FALSE)+VLOOKUP($A378,'ПР 21-22'!$A$11:$BB$406,18,FALSE)-VLOOKUP($A378,'ПР 01-02.22'!$A$11:$BB$378,18,FALSE)</f>
        <v>0</v>
      </c>
      <c r="S378" s="5">
        <f>VLOOKUP($A378,'ПР 01-02.21'!$A$11:$BB$406,19,FALSE)+VLOOKUP($A378,'ПР 21-22'!$A$11:$BB$406,19,FALSE)-VLOOKUP($A378,'ПР 01-02.22'!$A$11:$BB$378,19,FALSE)</f>
        <v>0</v>
      </c>
      <c r="T378" s="444"/>
      <c r="U378" s="5">
        <f>VLOOKUP($A378,'ПР 01-02.21'!$A$11:$BB$406,21,FALSE)+VLOOKUP($A378,'ПР 21-22'!$A$11:$BB$406,21,FALSE)-VLOOKUP($A378,'ПР 01-02.22'!$A$11:$BB$378,21,FALSE)</f>
        <v>0</v>
      </c>
      <c r="V378" s="5"/>
      <c r="W378" s="5">
        <f>VLOOKUP($A378,'ПР 01-02.21'!$A$11:$BB$406,23,FALSE)+VLOOKUP($A378,'ПР 21-22'!$A$11:$BB$406,23,FALSE)-VLOOKUP($A378,'ПР 01-02.22'!$A$11:$BB$378,23,FALSE)</f>
        <v>0</v>
      </c>
      <c r="X378" s="5">
        <f>VLOOKUP($A378,'ПР 01-02.21'!$A$11:$BB$406,24,FALSE)+VLOOKUP($A378,'ПР 21-22'!$A$11:$BB$406,24,FALSE)-VLOOKUP($A378,'ПР 01-02.22'!$A$11:$BB$378,24,FALSE)</f>
        <v>0</v>
      </c>
      <c r="Y378" s="5">
        <f>VLOOKUP($A378,'ПР 01-02.21'!$A$11:$BB$406,25,FALSE)+VLOOKUP($A378,'ПР 21-22'!$A$11:$BB$406,25,FALSE)-VLOOKUP($A378,'ПР 01-02.22'!$A$11:$BB$378,25,FALSE)</f>
        <v>0</v>
      </c>
      <c r="Z378" s="5"/>
      <c r="AA378" s="5">
        <f>VLOOKUP($A378,'ПР 01-02.21'!$A$11:$BB$406,27,FALSE)+VLOOKUP($A378,'ПР 21-22'!$A$11:$BB$406,27,FALSE)-VLOOKUP($A378,'ПР 01-02.22'!$A$11:$BB$378,27,FALSE)</f>
        <v>0</v>
      </c>
      <c r="AB378" s="5">
        <f>VLOOKUP($A378,'ПР 01-02.21'!$A$11:$BB$406,28,FALSE)+VLOOKUP($A378,'ПР 21-22'!$A$11:$BB$406,28,FALSE)-VLOOKUP($A378,'ПР 01-02.22'!$A$11:$BB$378,28,FALSE)</f>
        <v>526.33999999999992</v>
      </c>
      <c r="AC378" s="5">
        <f>VLOOKUP($A378,'ПР 01-02.21'!$A$11:$BB$406,29,FALSE)+VLOOKUP($A378,'ПР 21-22'!$A$11:$BB$406,29,FALSE)-VLOOKUP($A378,'ПР 01-02.22'!$A$11:$BB$378,29,FALSE)</f>
        <v>0</v>
      </c>
      <c r="AD378" s="5">
        <f>VLOOKUP($A378,'ПР 01-02.21'!$A$11:$BB$406,30,FALSE)+VLOOKUP($A378,'ПР 21-22'!$A$11:$BB$406,30,FALSE)-VLOOKUP($A378,'ПР 01-02.22'!$A$11:$BB$378,30,FALSE)</f>
        <v>944</v>
      </c>
      <c r="AE378" s="5">
        <f>VLOOKUP($A378,'ПР 01-02.21'!$A$11:$BB$406,31,FALSE)+VLOOKUP($A378,'ПР 21-22'!$A$11:$BB$406,31,FALSE)-VLOOKUP($A378,'ПР 01-02.22'!$A$11:$BB$378,31,FALSE)</f>
        <v>2224.9111971923976</v>
      </c>
      <c r="AF378" s="5">
        <f>VLOOKUP($A378,'ПР 01-02.21'!$A$11:$BB$406,32,FALSE)+VLOOKUP($A378,'ПР 21-22'!$A$11:$BB$406,32,FALSE)-VLOOKUP($A378,'ПР 01-02.22'!$A$11:$BB$378,32,FALSE)</f>
        <v>301</v>
      </c>
      <c r="AG378" s="40"/>
      <c r="AH378" s="5">
        <f>VLOOKUP($A378,'ПР 01-02.21'!$A$11:$BB$406,34,FALSE)+VLOOKUP($A378,'ПР 21-22'!$A$11:$BB$406,34,FALSE)-VLOOKUP($A378,'ПР 01-02.22'!$A$11:$BB$378,34,FALSE)</f>
        <v>4011.5298081061828</v>
      </c>
      <c r="AI378" s="5">
        <f>VLOOKUP($A378,'ПР 01-02.21'!$A$11:$BB$406,35,FALSE)+VLOOKUP($A378,'ПР 21-22'!$A$11:$BB$406,35,FALSE)-VLOOKUP($A378,'ПР 01-02.22'!$A$11:$BB$378,35,FALSE)</f>
        <v>0</v>
      </c>
      <c r="AJ378" s="40"/>
      <c r="AK378" s="5">
        <f>VLOOKUP($A378,'ПР 01-02.21'!$A$11:$BB$406,37,FALSE)+VLOOKUP($A378,'ПР 21-22'!$A$11:$BB$406,37,FALSE)-VLOOKUP($A378,'ПР 01-02.22'!$A$11:$BB$378,37,FALSE)</f>
        <v>1886.5849233677525</v>
      </c>
      <c r="AL378" s="5">
        <f>VLOOKUP($A378,'ПР 01-02.21'!$A$11:$BB$406,38,FALSE)+VLOOKUP($A378,'ПР 21-22'!$A$11:$BB$406,38,FALSE)-VLOOKUP($A378,'ПР 01-02.22'!$A$11:$BB$378,38,FALSE)</f>
        <v>0</v>
      </c>
      <c r="AM378" s="40"/>
      <c r="AN378" s="5">
        <f>VLOOKUP($A378,'ПР 01-02.21'!$A$11:$BB$406,40,FALSE)+VLOOKUP($A378,'ПР 21-22'!$A$11:$BB$406,40,FALSE)-VLOOKUP($A378,'ПР 01-02.22'!$A$11:$BB$378,40,FALSE)</f>
        <v>2359.1764610965802</v>
      </c>
      <c r="AO378" s="5">
        <f>VLOOKUP($A378,'ПР 01-02.21'!$A$11:$BB$406,41,FALSE)+VLOOKUP($A378,'ПР 21-22'!$A$11:$BB$406,41,FALSE)-VLOOKUP($A378,'ПР 01-02.22'!$A$11:$BB$378,41,FALSE)</f>
        <v>760</v>
      </c>
      <c r="AP378" s="40"/>
      <c r="AQ378" s="5">
        <f>VLOOKUP($A378,'ПР 01-02.21'!$A$11:$BB$406,43,FALSE)+VLOOKUP($A378,'ПР 21-22'!$A$11:$BB$406,43,FALSE)-VLOOKUP($A378,'ПР 01-02.22'!$A$11:$BB$378,43,FALSE)</f>
        <v>1275.715225914171</v>
      </c>
      <c r="AR378" s="5">
        <f>VLOOKUP($A378,'ПР 01-02.21'!$A$11:$BB$406,44,FALSE)+VLOOKUP($A378,'ПР 21-22'!$A$11:$BB$406,44,FALSE)-VLOOKUP($A378,'ПР 01-02.22'!$A$11:$BB$378,44,FALSE)</f>
        <v>39</v>
      </c>
      <c r="AS378" s="40"/>
      <c r="AT378" s="5">
        <f>VLOOKUP($A378,'ПР 01-02.21'!$A$11:$BB$406,46,FALSE)+VLOOKUP($A378,'ПР 21-22'!$A$11:$BB$406,46,FALSE)-VLOOKUP($A378,'ПР 01-02.22'!$A$11:$BB$378,46,FALSE)</f>
        <v>2602.8095889913516</v>
      </c>
      <c r="AU378" s="5">
        <f>VLOOKUP($A378,'ПР 01-02.21'!$A$11:$BB$406,47,FALSE)+VLOOKUP($A378,'ПР 21-22'!$A$11:$BB$406,47,FALSE)-VLOOKUP($A378,'ПР 01-02.22'!$A$11:$BB$378,47,FALSE)</f>
        <v>124</v>
      </c>
      <c r="AV378" s="40"/>
      <c r="AW378" s="5">
        <f>VLOOKUP($A378,'ПР 01-02.21'!$A$11:$BB$406,49,FALSE)+VLOOKUP($A378,'ПР 21-22'!$A$11:$BB$406,49,FALSE)-VLOOKUP($A378,'ПР 01-02.22'!$A$11:$BB$378,49,FALSE)</f>
        <v>179.25200000000001</v>
      </c>
      <c r="AX378" s="5">
        <f>VLOOKUP($A378,'ПР 01-02.21'!$A$11:$BB$406,50,FALSE)+VLOOKUP($A378,'ПР 21-22'!$A$11:$BB$406,50,FALSE)-VLOOKUP($A378,'ПР 01-02.22'!$A$11:$BB$378,50,FALSE)</f>
        <v>0</v>
      </c>
      <c r="AY378" s="40"/>
      <c r="AZ378" s="40">
        <f t="shared" si="25"/>
        <v>14539.979204668436</v>
      </c>
      <c r="BA378" s="40">
        <f t="shared" si="25"/>
        <v>1224</v>
      </c>
      <c r="BB378" s="55">
        <f t="shared" si="24"/>
        <v>-13315.979204668436</v>
      </c>
      <c r="BD378" s="2">
        <v>3</v>
      </c>
      <c r="BF378" s="325">
        <v>150000902</v>
      </c>
    </row>
    <row r="379" spans="1:58" ht="24.9" customHeight="1" x14ac:dyDescent="0.3">
      <c r="A379" s="325">
        <v>150000903</v>
      </c>
      <c r="B379" s="445" t="s">
        <v>405</v>
      </c>
      <c r="C379" s="27">
        <v>9</v>
      </c>
      <c r="D379" s="101" t="s">
        <v>455</v>
      </c>
      <c r="E379" s="279">
        <f>'побудинковий звіт'!E377</f>
        <v>4073.8</v>
      </c>
      <c r="F379" s="441">
        <f>'побудинковий звіт'!AS377</f>
        <v>56433.181553100432</v>
      </c>
      <c r="G379" s="441">
        <f t="shared" si="22"/>
        <v>23087.35</v>
      </c>
      <c r="H379" s="73">
        <f t="shared" si="23"/>
        <v>-33345.831553100434</v>
      </c>
      <c r="I379" s="5">
        <f>VLOOKUP($A379,'ПР 01-02.21'!$A$11:$BB$406,9,FALSE)+VLOOKUP($A379,'ПР 21-22'!$A$11:$BB$406,9,FALSE)-VLOOKUP($A379,'ПР 01-02.22'!$A$11:$BB$378,9,FALSE)</f>
        <v>0</v>
      </c>
      <c r="J379" s="5">
        <f>VLOOKUP($A379,'ПР 01-02.21'!$A$11:$BB$406,10,FALSE)+VLOOKUP($A379,'ПР 21-22'!$A$11:$BB$406,10,FALSE)-VLOOKUP($A379,'ПР 01-02.22'!$A$11:$BB$378,10,FALSE)</f>
        <v>0</v>
      </c>
      <c r="K379" s="446"/>
      <c r="L379" s="5">
        <f>VLOOKUP($A379,'ПР 01-02.21'!$A$11:$BB$406,12,FALSE)+VLOOKUP($A379,'ПР 21-22'!$A$11:$BB$406,12,FALSE)-VLOOKUP($A379,'ПР 01-02.22'!$A$11:$BB$378,12,FALSE)</f>
        <v>0</v>
      </c>
      <c r="M379" s="5">
        <f>VLOOKUP($A379,'ПР 01-02.21'!$A$11:$BB$406,13,FALSE)+VLOOKUP($A379,'ПР 21-22'!$A$11:$BB$406,13,FALSE)-VLOOKUP($A379,'ПР 01-02.22'!$A$11:$BB$378,13,FALSE)</f>
        <v>0</v>
      </c>
      <c r="N379" s="38"/>
      <c r="O379" s="5">
        <f>VLOOKUP($A379,'ПР 01-02.21'!$A$11:$BB$406,15,FALSE)+VLOOKUP($A379,'ПР 21-22'!$A$11:$BB$406,15,FALSE)-VLOOKUP($A379,'ПР 01-02.22'!$A$11:$BB$378,15,FALSE)</f>
        <v>0</v>
      </c>
      <c r="P379" s="5">
        <f>VLOOKUP($A379,'ПР 01-02.21'!$A$11:$BB$406,16,FALSE)+VLOOKUP($A379,'ПР 21-22'!$A$11:$BB$406,16,FALSE)-VLOOKUP($A379,'ПР 01-02.22'!$A$11:$BB$378,16,FALSE)</f>
        <v>0</v>
      </c>
      <c r="Q379" s="443"/>
      <c r="R379" s="5">
        <f>VLOOKUP($A379,'ПР 01-02.21'!$A$11:$BB$406,18,FALSE)+VLOOKUP($A379,'ПР 21-22'!$A$11:$BB$406,18,FALSE)-VLOOKUP($A379,'ПР 01-02.22'!$A$11:$BB$378,18,FALSE)</f>
        <v>3</v>
      </c>
      <c r="S379" s="5">
        <f>VLOOKUP($A379,'ПР 01-02.21'!$A$11:$BB$406,19,FALSE)+VLOOKUP($A379,'ПР 21-22'!$A$11:$BB$406,19,FALSE)-VLOOKUP($A379,'ПР 01-02.22'!$A$11:$BB$378,19,FALSE)</f>
        <v>15111</v>
      </c>
      <c r="T379" s="444"/>
      <c r="U379" s="5">
        <f>VLOOKUP($A379,'ПР 01-02.21'!$A$11:$BB$406,21,FALSE)+VLOOKUP($A379,'ПР 21-22'!$A$11:$BB$406,21,FALSE)-VLOOKUP($A379,'ПР 01-02.22'!$A$11:$BB$378,21,FALSE)</f>
        <v>0</v>
      </c>
      <c r="V379" s="5"/>
      <c r="W379" s="5">
        <f>VLOOKUP($A379,'ПР 01-02.21'!$A$11:$BB$406,23,FALSE)+VLOOKUP($A379,'ПР 21-22'!$A$11:$BB$406,23,FALSE)-VLOOKUP($A379,'ПР 01-02.22'!$A$11:$BB$378,23,FALSE)</f>
        <v>0</v>
      </c>
      <c r="X379" s="5">
        <f>VLOOKUP($A379,'ПР 01-02.21'!$A$11:$BB$406,24,FALSE)+VLOOKUP($A379,'ПР 21-22'!$A$11:$BB$406,24,FALSE)-VLOOKUP($A379,'ПР 01-02.22'!$A$11:$BB$378,24,FALSE)</f>
        <v>0</v>
      </c>
      <c r="Y379" s="5">
        <f>VLOOKUP($A379,'ПР 01-02.21'!$A$11:$BB$406,25,FALSE)+VLOOKUP($A379,'ПР 21-22'!$A$11:$BB$406,25,FALSE)-VLOOKUP($A379,'ПР 01-02.22'!$A$11:$BB$378,25,FALSE)</f>
        <v>3094</v>
      </c>
      <c r="Z379" s="5"/>
      <c r="AA379" s="5">
        <f>VLOOKUP($A379,'ПР 01-02.21'!$A$11:$BB$406,27,FALSE)+VLOOKUP($A379,'ПР 21-22'!$A$11:$BB$406,27,FALSE)-VLOOKUP($A379,'ПР 01-02.22'!$A$11:$BB$378,27,FALSE)</f>
        <v>0</v>
      </c>
      <c r="AB379" s="5">
        <f>VLOOKUP($A379,'ПР 01-02.21'!$A$11:$BB$406,28,FALSE)+VLOOKUP($A379,'ПР 21-22'!$A$11:$BB$406,28,FALSE)-VLOOKUP($A379,'ПР 01-02.22'!$A$11:$BB$378,28,FALSE)</f>
        <v>3148</v>
      </c>
      <c r="AC379" s="5">
        <f>VLOOKUP($A379,'ПР 01-02.21'!$A$11:$BB$406,29,FALSE)+VLOOKUP($A379,'ПР 21-22'!$A$11:$BB$406,29,FALSE)-VLOOKUP($A379,'ПР 01-02.22'!$A$11:$BB$378,29,FALSE)</f>
        <v>647</v>
      </c>
      <c r="AD379" s="5">
        <f>VLOOKUP($A379,'ПР 01-02.21'!$A$11:$BB$406,30,FALSE)+VLOOKUP($A379,'ПР 21-22'!$A$11:$BB$406,30,FALSE)-VLOOKUP($A379,'ПР 01-02.22'!$A$11:$BB$378,30,FALSE)</f>
        <v>1087.3499999999999</v>
      </c>
      <c r="AE379" s="5">
        <f>VLOOKUP($A379,'ПР 01-02.21'!$A$11:$BB$406,31,FALSE)+VLOOKUP($A379,'ПР 21-22'!$A$11:$BB$406,31,FALSE)-VLOOKUP($A379,'ПР 01-02.22'!$A$11:$BB$378,31,FALSE)</f>
        <v>2248.3356240720741</v>
      </c>
      <c r="AF379" s="5">
        <f>VLOOKUP($A379,'ПР 01-02.21'!$A$11:$BB$406,32,FALSE)+VLOOKUP($A379,'ПР 21-22'!$A$11:$BB$406,32,FALSE)-VLOOKUP($A379,'ПР 01-02.22'!$A$11:$BB$378,32,FALSE)</f>
        <v>829</v>
      </c>
      <c r="AG379" s="40"/>
      <c r="AH379" s="5">
        <f>VLOOKUP($A379,'ПР 01-02.21'!$A$11:$BB$406,34,FALSE)+VLOOKUP($A379,'ПР 21-22'!$A$11:$BB$406,34,FALSE)-VLOOKUP($A379,'ПР 01-02.22'!$A$11:$BB$378,34,FALSE)</f>
        <v>2322.1056256293623</v>
      </c>
      <c r="AI379" s="5">
        <f>VLOOKUP($A379,'ПР 01-02.21'!$A$11:$BB$406,35,FALSE)+VLOOKUP($A379,'ПР 21-22'!$A$11:$BB$406,35,FALSE)-VLOOKUP($A379,'ПР 01-02.22'!$A$11:$BB$378,35,FALSE)</f>
        <v>0</v>
      </c>
      <c r="AJ379" s="40"/>
      <c r="AK379" s="5">
        <f>VLOOKUP($A379,'ПР 01-02.21'!$A$11:$BB$406,37,FALSE)+VLOOKUP($A379,'ПР 21-22'!$A$11:$BB$406,37,FALSE)-VLOOKUP($A379,'ПР 01-02.22'!$A$11:$BB$378,37,FALSE)</f>
        <v>2134.8822171088741</v>
      </c>
      <c r="AL379" s="5">
        <f>VLOOKUP($A379,'ПР 01-02.21'!$A$11:$BB$406,38,FALSE)+VLOOKUP($A379,'ПР 21-22'!$A$11:$BB$406,38,FALSE)-VLOOKUP($A379,'ПР 01-02.22'!$A$11:$BB$378,38,FALSE)</f>
        <v>0</v>
      </c>
      <c r="AM379" s="40"/>
      <c r="AN379" s="5">
        <f>VLOOKUP($A379,'ПР 01-02.21'!$A$11:$BB$406,40,FALSE)+VLOOKUP($A379,'ПР 21-22'!$A$11:$BB$406,40,FALSE)-VLOOKUP($A379,'ПР 01-02.22'!$A$11:$BB$378,40,FALSE)</f>
        <v>2876.9870692529062</v>
      </c>
      <c r="AO379" s="5">
        <f>VLOOKUP($A379,'ПР 01-02.21'!$A$11:$BB$406,41,FALSE)+VLOOKUP($A379,'ПР 21-22'!$A$11:$BB$406,41,FALSE)-VLOOKUP($A379,'ПР 01-02.22'!$A$11:$BB$378,41,FALSE)</f>
        <v>0</v>
      </c>
      <c r="AP379" s="40"/>
      <c r="AQ379" s="5">
        <f>VLOOKUP($A379,'ПР 01-02.21'!$A$11:$BB$406,43,FALSE)+VLOOKUP($A379,'ПР 21-22'!$A$11:$BB$406,43,FALSE)-VLOOKUP($A379,'ПР 01-02.22'!$A$11:$BB$378,43,FALSE)</f>
        <v>1275.715225914171</v>
      </c>
      <c r="AR379" s="5">
        <f>VLOOKUP($A379,'ПР 01-02.21'!$A$11:$BB$406,44,FALSE)+VLOOKUP($A379,'ПР 21-22'!$A$11:$BB$406,44,FALSE)-VLOOKUP($A379,'ПР 01-02.22'!$A$11:$BB$378,44,FALSE)</f>
        <v>8274.5</v>
      </c>
      <c r="AS379" s="40"/>
      <c r="AT379" s="5">
        <f>VLOOKUP($A379,'ПР 01-02.21'!$A$11:$BB$406,46,FALSE)+VLOOKUP($A379,'ПР 21-22'!$A$11:$BB$406,46,FALSE)-VLOOKUP($A379,'ПР 01-02.22'!$A$11:$BB$378,46,FALSE)</f>
        <v>2412.1031475630821</v>
      </c>
      <c r="AU379" s="5">
        <f>VLOOKUP($A379,'ПР 01-02.21'!$A$11:$BB$406,47,FALSE)+VLOOKUP($A379,'ПР 21-22'!$A$11:$BB$406,47,FALSE)-VLOOKUP($A379,'ПР 01-02.22'!$A$11:$BB$378,47,FALSE)</f>
        <v>479</v>
      </c>
      <c r="AV379" s="40"/>
      <c r="AW379" s="5">
        <f>VLOOKUP($A379,'ПР 01-02.21'!$A$11:$BB$406,49,FALSE)+VLOOKUP($A379,'ПР 21-22'!$A$11:$BB$406,49,FALSE)-VLOOKUP($A379,'ПР 01-02.22'!$A$11:$BB$378,49,FALSE)</f>
        <v>203.93200000000002</v>
      </c>
      <c r="AX379" s="5">
        <f>VLOOKUP($A379,'ПР 01-02.21'!$A$11:$BB$406,50,FALSE)+VLOOKUP($A379,'ПР 21-22'!$A$11:$BB$406,50,FALSE)-VLOOKUP($A379,'ПР 01-02.22'!$A$11:$BB$378,50,FALSE)</f>
        <v>0</v>
      </c>
      <c r="AY379" s="40"/>
      <c r="AZ379" s="40">
        <f t="shared" si="25"/>
        <v>13474.060909540471</v>
      </c>
      <c r="BA379" s="40">
        <f t="shared" si="25"/>
        <v>9582.5</v>
      </c>
      <c r="BB379" s="55">
        <f t="shared" si="24"/>
        <v>-3891.5609095404707</v>
      </c>
      <c r="BD379" s="2">
        <v>3</v>
      </c>
      <c r="BF379" s="325">
        <v>150000903</v>
      </c>
    </row>
    <row r="380" spans="1:58" ht="26.25" customHeight="1" x14ac:dyDescent="0.3">
      <c r="A380" s="325">
        <v>150000904</v>
      </c>
      <c r="B380" s="445" t="s">
        <v>406</v>
      </c>
      <c r="C380" s="27">
        <v>9</v>
      </c>
      <c r="D380" s="101" t="s">
        <v>455</v>
      </c>
      <c r="E380" s="279">
        <f>'побудинковий звіт'!E378</f>
        <v>4387.3</v>
      </c>
      <c r="F380" s="441">
        <f>'побудинковий звіт'!AS378</f>
        <v>55435.016768563029</v>
      </c>
      <c r="G380" s="441">
        <f t="shared" si="22"/>
        <v>54781.69</v>
      </c>
      <c r="H380" s="73">
        <f t="shared" si="23"/>
        <v>-653.32676856302714</v>
      </c>
      <c r="I380" s="5">
        <f>VLOOKUP($A380,'ПР 01-02.21'!$A$11:$BB$406,9,FALSE)+VLOOKUP($A380,'ПР 21-22'!$A$11:$BB$406,9,FALSE)-VLOOKUP($A380,'ПР 01-02.22'!$A$11:$BB$378,9,FALSE)</f>
        <v>47.3</v>
      </c>
      <c r="J380" s="5">
        <f>VLOOKUP($A380,'ПР 01-02.21'!$A$11:$BB$406,10,FALSE)+VLOOKUP($A380,'ПР 21-22'!$A$11:$BB$406,10,FALSE)-VLOOKUP($A380,'ПР 01-02.22'!$A$11:$BB$378,10,FALSE)</f>
        <v>39714</v>
      </c>
      <c r="K380" s="446"/>
      <c r="L380" s="5">
        <f>VLOOKUP($A380,'ПР 01-02.21'!$A$11:$BB$406,12,FALSE)+VLOOKUP($A380,'ПР 21-22'!$A$11:$BB$406,12,FALSE)-VLOOKUP($A380,'ПР 01-02.22'!$A$11:$BB$378,12,FALSE)</f>
        <v>0</v>
      </c>
      <c r="M380" s="5">
        <f>VLOOKUP($A380,'ПР 01-02.21'!$A$11:$BB$406,13,FALSE)+VLOOKUP($A380,'ПР 21-22'!$A$11:$BB$406,13,FALSE)-VLOOKUP($A380,'ПР 01-02.22'!$A$11:$BB$378,13,FALSE)</f>
        <v>2089.69</v>
      </c>
      <c r="N380" s="38"/>
      <c r="O380" s="5">
        <f>VLOOKUP($A380,'ПР 01-02.21'!$A$11:$BB$406,15,FALSE)+VLOOKUP($A380,'ПР 21-22'!$A$11:$BB$406,15,FALSE)-VLOOKUP($A380,'ПР 01-02.22'!$A$11:$BB$378,15,FALSE)</f>
        <v>0</v>
      </c>
      <c r="P380" s="5">
        <f>VLOOKUP($A380,'ПР 01-02.21'!$A$11:$BB$406,16,FALSE)+VLOOKUP($A380,'ПР 21-22'!$A$11:$BB$406,16,FALSE)-VLOOKUP($A380,'ПР 01-02.22'!$A$11:$BB$378,16,FALSE)</f>
        <v>0</v>
      </c>
      <c r="Q380" s="443"/>
      <c r="R380" s="5">
        <f>VLOOKUP($A380,'ПР 01-02.21'!$A$11:$BB$406,18,FALSE)+VLOOKUP($A380,'ПР 21-22'!$A$11:$BB$406,18,FALSE)-VLOOKUP($A380,'ПР 01-02.22'!$A$11:$BB$378,18,FALSE)</f>
        <v>2</v>
      </c>
      <c r="S380" s="5">
        <f>VLOOKUP($A380,'ПР 01-02.21'!$A$11:$BB$406,19,FALSE)+VLOOKUP($A380,'ПР 21-22'!$A$11:$BB$406,19,FALSE)-VLOOKUP($A380,'ПР 01-02.22'!$A$11:$BB$378,19,FALSE)</f>
        <v>757</v>
      </c>
      <c r="T380" s="444"/>
      <c r="U380" s="5">
        <f>VLOOKUP($A380,'ПР 01-02.21'!$A$11:$BB$406,21,FALSE)+VLOOKUP($A380,'ПР 21-22'!$A$11:$BB$406,21,FALSE)-VLOOKUP($A380,'ПР 01-02.22'!$A$11:$BB$378,21,FALSE)</f>
        <v>0</v>
      </c>
      <c r="V380" s="5"/>
      <c r="W380" s="5">
        <f>VLOOKUP($A380,'ПР 01-02.21'!$A$11:$BB$406,23,FALSE)+VLOOKUP($A380,'ПР 21-22'!$A$11:$BB$406,23,FALSE)-VLOOKUP($A380,'ПР 01-02.22'!$A$11:$BB$378,23,FALSE)</f>
        <v>0</v>
      </c>
      <c r="X380" s="5">
        <f>VLOOKUP($A380,'ПР 01-02.21'!$A$11:$BB$406,24,FALSE)+VLOOKUP($A380,'ПР 21-22'!$A$11:$BB$406,24,FALSE)-VLOOKUP($A380,'ПР 01-02.22'!$A$11:$BB$378,24,FALSE)</f>
        <v>0</v>
      </c>
      <c r="Y380" s="5">
        <f>VLOOKUP($A380,'ПР 01-02.21'!$A$11:$BB$406,25,FALSE)+VLOOKUP($A380,'ПР 21-22'!$A$11:$BB$406,25,FALSE)-VLOOKUP($A380,'ПР 01-02.22'!$A$11:$BB$378,25,FALSE)</f>
        <v>0</v>
      </c>
      <c r="Z380" s="5"/>
      <c r="AA380" s="5">
        <f>VLOOKUP($A380,'ПР 01-02.21'!$A$11:$BB$406,27,FALSE)+VLOOKUP($A380,'ПР 21-22'!$A$11:$BB$406,27,FALSE)-VLOOKUP($A380,'ПР 01-02.22'!$A$11:$BB$378,27,FALSE)</f>
        <v>0</v>
      </c>
      <c r="AB380" s="5">
        <f>VLOOKUP($A380,'ПР 01-02.21'!$A$11:$BB$406,28,FALSE)+VLOOKUP($A380,'ПР 21-22'!$A$11:$BB$406,28,FALSE)-VLOOKUP($A380,'ПР 01-02.22'!$A$11:$BB$378,28,FALSE)</f>
        <v>132</v>
      </c>
      <c r="AC380" s="5">
        <f>VLOOKUP($A380,'ПР 01-02.21'!$A$11:$BB$406,29,FALSE)+VLOOKUP($A380,'ПР 21-22'!$A$11:$BB$406,29,FALSE)-VLOOKUP($A380,'ПР 01-02.22'!$A$11:$BB$378,29,FALSE)</f>
        <v>10422</v>
      </c>
      <c r="AD380" s="5">
        <f>VLOOKUP($A380,'ПР 01-02.21'!$A$11:$BB$406,30,FALSE)+VLOOKUP($A380,'ПР 21-22'!$A$11:$BB$406,30,FALSE)-VLOOKUP($A380,'ПР 01-02.22'!$A$11:$BB$378,30,FALSE)</f>
        <v>1667</v>
      </c>
      <c r="AE380" s="5">
        <f>VLOOKUP($A380,'ПР 01-02.21'!$A$11:$BB$406,31,FALSE)+VLOOKUP($A380,'ПР 21-22'!$A$11:$BB$406,31,FALSE)-VLOOKUP($A380,'ПР 01-02.22'!$A$11:$BB$378,31,FALSE)</f>
        <v>3248.2833693222819</v>
      </c>
      <c r="AF380" s="5">
        <f>VLOOKUP($A380,'ПР 01-02.21'!$A$11:$BB$406,32,FALSE)+VLOOKUP($A380,'ПР 21-22'!$A$11:$BB$406,32,FALSE)-VLOOKUP($A380,'ПР 01-02.22'!$A$11:$BB$378,32,FALSE)</f>
        <v>1472</v>
      </c>
      <c r="AG380" s="40"/>
      <c r="AH380" s="5">
        <f>VLOOKUP($A380,'ПР 01-02.21'!$A$11:$BB$406,34,FALSE)+VLOOKUP($A380,'ПР 21-22'!$A$11:$BB$406,34,FALSE)-VLOOKUP($A380,'ПР 01-02.22'!$A$11:$BB$378,34,FALSE)</f>
        <v>4063.2402809903615</v>
      </c>
      <c r="AI380" s="5">
        <f>VLOOKUP($A380,'ПР 01-02.21'!$A$11:$BB$406,35,FALSE)+VLOOKUP($A380,'ПР 21-22'!$A$11:$BB$406,35,FALSE)-VLOOKUP($A380,'ПР 01-02.22'!$A$11:$BB$378,35,FALSE)</f>
        <v>0</v>
      </c>
      <c r="AJ380" s="40"/>
      <c r="AK380" s="5">
        <f>VLOOKUP($A380,'ПР 01-02.21'!$A$11:$BB$406,37,FALSE)+VLOOKUP($A380,'ПР 21-22'!$A$11:$BB$406,37,FALSE)-VLOOKUP($A380,'ПР 01-02.22'!$A$11:$BB$378,37,FALSE)</f>
        <v>2396.8468242689378</v>
      </c>
      <c r="AL380" s="5">
        <f>VLOOKUP($A380,'ПР 01-02.21'!$A$11:$BB$406,38,FALSE)+VLOOKUP($A380,'ПР 21-22'!$A$11:$BB$406,38,FALSE)-VLOOKUP($A380,'ПР 01-02.22'!$A$11:$BB$378,38,FALSE)</f>
        <v>403</v>
      </c>
      <c r="AM380" s="40"/>
      <c r="AN380" s="5">
        <f>VLOOKUP($A380,'ПР 01-02.21'!$A$11:$BB$406,40,FALSE)+VLOOKUP($A380,'ПР 21-22'!$A$11:$BB$406,40,FALSE)-VLOOKUP($A380,'ПР 01-02.22'!$A$11:$BB$378,40,FALSE)</f>
        <v>2882.9684318531358</v>
      </c>
      <c r="AO380" s="5">
        <f>VLOOKUP($A380,'ПР 01-02.21'!$A$11:$BB$406,41,FALSE)+VLOOKUP($A380,'ПР 21-22'!$A$11:$BB$406,41,FALSE)-VLOOKUP($A380,'ПР 01-02.22'!$A$11:$BB$378,41,FALSE)</f>
        <v>1953</v>
      </c>
      <c r="AP380" s="40"/>
      <c r="AQ380" s="5">
        <f>VLOOKUP($A380,'ПР 01-02.21'!$A$11:$BB$406,43,FALSE)+VLOOKUP($A380,'ПР 21-22'!$A$11:$BB$406,43,FALSE)-VLOOKUP($A380,'ПР 01-02.22'!$A$11:$BB$378,43,FALSE)</f>
        <v>1275.715225914171</v>
      </c>
      <c r="AR380" s="5">
        <f>VLOOKUP($A380,'ПР 01-02.21'!$A$11:$BB$406,44,FALSE)+VLOOKUP($A380,'ПР 21-22'!$A$11:$BB$406,44,FALSE)-VLOOKUP($A380,'ПР 01-02.22'!$A$11:$BB$378,44,FALSE)</f>
        <v>0</v>
      </c>
      <c r="AS380" s="40"/>
      <c r="AT380" s="5">
        <f>VLOOKUP($A380,'ПР 01-02.21'!$A$11:$BB$406,46,FALSE)+VLOOKUP($A380,'ПР 21-22'!$A$11:$BB$406,46,FALSE)-VLOOKUP($A380,'ПР 01-02.22'!$A$11:$BB$378,46,FALSE)</f>
        <v>1820.6886293402417</v>
      </c>
      <c r="AU380" s="5">
        <f>VLOOKUP($A380,'ПР 01-02.21'!$A$11:$BB$406,47,FALSE)+VLOOKUP($A380,'ПР 21-22'!$A$11:$BB$406,47,FALSE)-VLOOKUP($A380,'ПР 01-02.22'!$A$11:$BB$378,47,FALSE)</f>
        <v>371</v>
      </c>
      <c r="AV380" s="40"/>
      <c r="AW380" s="5">
        <f>VLOOKUP($A380,'ПР 01-02.21'!$A$11:$BB$406,49,FALSE)+VLOOKUP($A380,'ПР 21-22'!$A$11:$BB$406,49,FALSE)-VLOOKUP($A380,'ПР 01-02.22'!$A$11:$BB$378,49,FALSE)</f>
        <v>219.49200000000002</v>
      </c>
      <c r="AX380" s="5">
        <f>VLOOKUP($A380,'ПР 01-02.21'!$A$11:$BB$406,50,FALSE)+VLOOKUP($A380,'ПР 21-22'!$A$11:$BB$406,50,FALSE)-VLOOKUP($A380,'ПР 01-02.22'!$A$11:$BB$378,50,FALSE)</f>
        <v>0</v>
      </c>
      <c r="AY380" s="40"/>
      <c r="AZ380" s="40">
        <f t="shared" si="25"/>
        <v>15907.234761689131</v>
      </c>
      <c r="BA380" s="40">
        <f t="shared" si="25"/>
        <v>4199</v>
      </c>
      <c r="BB380" s="55">
        <f t="shared" si="24"/>
        <v>-11708.234761689131</v>
      </c>
      <c r="BD380" s="2">
        <v>3</v>
      </c>
      <c r="BF380" s="325">
        <v>150000904</v>
      </c>
    </row>
    <row r="381" spans="1:58" ht="24.9" customHeight="1" x14ac:dyDescent="0.3">
      <c r="A381" s="325">
        <v>150000905</v>
      </c>
      <c r="B381" s="445" t="s">
        <v>427</v>
      </c>
      <c r="C381" s="27">
        <v>14</v>
      </c>
      <c r="D381" s="101" t="s">
        <v>455</v>
      </c>
      <c r="E381" s="279">
        <f>'побудинковий звіт'!E379</f>
        <v>5222.9000000000005</v>
      </c>
      <c r="F381" s="441">
        <f>'побудинковий звіт'!AS379</f>
        <v>58811.88604028416</v>
      </c>
      <c r="G381" s="441">
        <f t="shared" si="22"/>
        <v>59190.250000000007</v>
      </c>
      <c r="H381" s="73">
        <f t="shared" si="23"/>
        <v>378.36395971584716</v>
      </c>
      <c r="I381" s="5">
        <f>VLOOKUP($A381,'ПР 01-02.21'!$A$11:$BB$406,9,FALSE)+VLOOKUP($A381,'ПР 21-22'!$A$11:$BB$406,9,FALSE)-VLOOKUP($A381,'ПР 01-02.22'!$A$11:$BB$378,9,FALSE)</f>
        <v>0</v>
      </c>
      <c r="J381" s="5">
        <f>VLOOKUP($A381,'ПР 01-02.21'!$A$11:$BB$406,10,FALSE)+VLOOKUP($A381,'ПР 21-22'!$A$11:$BB$406,10,FALSE)-VLOOKUP($A381,'ПР 01-02.22'!$A$11:$BB$378,10,FALSE)</f>
        <v>0</v>
      </c>
      <c r="K381" s="446"/>
      <c r="L381" s="5">
        <f>VLOOKUP($A381,'ПР 01-02.21'!$A$11:$BB$406,12,FALSE)+VLOOKUP($A381,'ПР 21-22'!$A$11:$BB$406,12,FALSE)-VLOOKUP($A381,'ПР 01-02.22'!$A$11:$BB$378,12,FALSE)</f>
        <v>0</v>
      </c>
      <c r="M381" s="5">
        <f>VLOOKUP($A381,'ПР 01-02.21'!$A$11:$BB$406,13,FALSE)+VLOOKUP($A381,'ПР 21-22'!$A$11:$BB$406,13,FALSE)-VLOOKUP($A381,'ПР 01-02.22'!$A$11:$BB$378,13,FALSE)</f>
        <v>20354</v>
      </c>
      <c r="N381" s="38"/>
      <c r="O381" s="5">
        <f>VLOOKUP($A381,'ПР 01-02.21'!$A$11:$BB$406,15,FALSE)+VLOOKUP($A381,'ПР 21-22'!$A$11:$BB$406,15,FALSE)-VLOOKUP($A381,'ПР 01-02.22'!$A$11:$BB$378,15,FALSE)</f>
        <v>0</v>
      </c>
      <c r="P381" s="5">
        <f>VLOOKUP($A381,'ПР 01-02.21'!$A$11:$BB$406,16,FALSE)+VLOOKUP($A381,'ПР 21-22'!$A$11:$BB$406,16,FALSE)-VLOOKUP($A381,'ПР 01-02.22'!$A$11:$BB$378,16,FALSE)</f>
        <v>0</v>
      </c>
      <c r="Q381" s="443"/>
      <c r="R381" s="5">
        <f>VLOOKUP($A381,'ПР 01-02.21'!$A$11:$BB$406,18,FALSE)+VLOOKUP($A381,'ПР 21-22'!$A$11:$BB$406,18,FALSE)-VLOOKUP($A381,'ПР 01-02.22'!$A$11:$BB$378,18,FALSE)</f>
        <v>4</v>
      </c>
      <c r="S381" s="5">
        <f>VLOOKUP($A381,'ПР 01-02.21'!$A$11:$BB$406,19,FALSE)+VLOOKUP($A381,'ПР 21-22'!$A$11:$BB$406,19,FALSE)-VLOOKUP($A381,'ПР 01-02.22'!$A$11:$BB$378,19,FALSE)</f>
        <v>33790.270000000004</v>
      </c>
      <c r="T381" s="444"/>
      <c r="U381" s="5">
        <f>VLOOKUP($A381,'ПР 01-02.21'!$A$11:$BB$406,21,FALSE)+VLOOKUP($A381,'ПР 21-22'!$A$11:$BB$406,21,FALSE)-VLOOKUP($A381,'ПР 01-02.22'!$A$11:$BB$378,21,FALSE)</f>
        <v>0</v>
      </c>
      <c r="V381" s="5"/>
      <c r="W381" s="5">
        <f>VLOOKUP($A381,'ПР 01-02.21'!$A$11:$BB$406,23,FALSE)+VLOOKUP($A381,'ПР 21-22'!$A$11:$BB$406,23,FALSE)-VLOOKUP($A381,'ПР 01-02.22'!$A$11:$BB$378,23,FALSE)</f>
        <v>0</v>
      </c>
      <c r="X381" s="5">
        <f>VLOOKUP($A381,'ПР 01-02.21'!$A$11:$BB$406,24,FALSE)+VLOOKUP($A381,'ПР 21-22'!$A$11:$BB$406,24,FALSE)-VLOOKUP($A381,'ПР 01-02.22'!$A$11:$BB$378,24,FALSE)</f>
        <v>0</v>
      </c>
      <c r="Y381" s="5">
        <f>VLOOKUP($A381,'ПР 01-02.21'!$A$11:$BB$406,25,FALSE)+VLOOKUP($A381,'ПР 21-22'!$A$11:$BB$406,25,FALSE)-VLOOKUP($A381,'ПР 01-02.22'!$A$11:$BB$378,25,FALSE)</f>
        <v>0</v>
      </c>
      <c r="Z381" s="5"/>
      <c r="AA381" s="5">
        <f>VLOOKUP($A381,'ПР 01-02.21'!$A$11:$BB$406,27,FALSE)+VLOOKUP($A381,'ПР 21-22'!$A$11:$BB$406,27,FALSE)-VLOOKUP($A381,'ПР 01-02.22'!$A$11:$BB$378,27,FALSE)</f>
        <v>0</v>
      </c>
      <c r="AB381" s="5">
        <f>VLOOKUP($A381,'ПР 01-02.21'!$A$11:$BB$406,28,FALSE)+VLOOKUP($A381,'ПР 21-22'!$A$11:$BB$406,28,FALSE)-VLOOKUP($A381,'ПР 01-02.22'!$A$11:$BB$378,28,FALSE)</f>
        <v>0</v>
      </c>
      <c r="AC381" s="5">
        <f>VLOOKUP($A381,'ПР 01-02.21'!$A$11:$BB$406,29,FALSE)+VLOOKUP($A381,'ПР 21-22'!$A$11:$BB$406,29,FALSE)-VLOOKUP($A381,'ПР 01-02.22'!$A$11:$BB$378,29,FALSE)</f>
        <v>3012.98</v>
      </c>
      <c r="AD381" s="5">
        <f>VLOOKUP($A381,'ПР 01-02.21'!$A$11:$BB$406,30,FALSE)+VLOOKUP($A381,'ПР 21-22'!$A$11:$BB$406,30,FALSE)-VLOOKUP($A381,'ПР 01-02.22'!$A$11:$BB$378,30,FALSE)</f>
        <v>2033</v>
      </c>
      <c r="AE381" s="5">
        <f>VLOOKUP($A381,'ПР 01-02.21'!$A$11:$BB$406,31,FALSE)+VLOOKUP($A381,'ПР 21-22'!$A$11:$BB$406,31,FALSE)-VLOOKUP($A381,'ПР 01-02.22'!$A$11:$BB$378,31,FALSE)</f>
        <v>2675.4960287978047</v>
      </c>
      <c r="AF381" s="5">
        <f>VLOOKUP($A381,'ПР 01-02.21'!$A$11:$BB$406,32,FALSE)+VLOOKUP($A381,'ПР 21-22'!$A$11:$BB$406,32,FALSE)-VLOOKUP($A381,'ПР 01-02.22'!$A$11:$BB$378,32,FALSE)</f>
        <v>0</v>
      </c>
      <c r="AG381" s="40"/>
      <c r="AH381" s="5">
        <f>VLOOKUP($A381,'ПР 01-02.21'!$A$11:$BB$406,34,FALSE)+VLOOKUP($A381,'ПР 21-22'!$A$11:$BB$406,34,FALSE)-VLOOKUP($A381,'ПР 01-02.22'!$A$11:$BB$378,34,FALSE)</f>
        <v>2927.43920014063</v>
      </c>
      <c r="AI381" s="5">
        <f>VLOOKUP($A381,'ПР 01-02.21'!$A$11:$BB$406,35,FALSE)+VLOOKUP($A381,'ПР 21-22'!$A$11:$BB$406,35,FALSE)-VLOOKUP($A381,'ПР 01-02.22'!$A$11:$BB$378,35,FALSE)</f>
        <v>0</v>
      </c>
      <c r="AJ381" s="40"/>
      <c r="AK381" s="5">
        <f>VLOOKUP($A381,'ПР 01-02.21'!$A$11:$BB$406,37,FALSE)+VLOOKUP($A381,'ПР 21-22'!$A$11:$BB$406,37,FALSE)-VLOOKUP($A381,'ПР 01-02.22'!$A$11:$BB$378,37,FALSE)</f>
        <v>3157.3520446778793</v>
      </c>
      <c r="AL381" s="5">
        <f>VLOOKUP($A381,'ПР 01-02.21'!$A$11:$BB$406,38,FALSE)+VLOOKUP($A381,'ПР 21-22'!$A$11:$BB$406,38,FALSE)-VLOOKUP($A381,'ПР 01-02.22'!$A$11:$BB$378,38,FALSE)</f>
        <v>540</v>
      </c>
      <c r="AM381" s="40"/>
      <c r="AN381" s="5">
        <f>VLOOKUP($A381,'ПР 01-02.21'!$A$11:$BB$406,40,FALSE)+VLOOKUP($A381,'ПР 21-22'!$A$11:$BB$406,40,FALSE)-VLOOKUP($A381,'ПР 01-02.22'!$A$11:$BB$378,40,FALSE)</f>
        <v>3247.587287392937</v>
      </c>
      <c r="AO381" s="5">
        <f>VLOOKUP($A381,'ПР 01-02.21'!$A$11:$BB$406,41,FALSE)+VLOOKUP($A381,'ПР 21-22'!$A$11:$BB$406,41,FALSE)-VLOOKUP($A381,'ПР 01-02.22'!$A$11:$BB$378,41,FALSE)</f>
        <v>1176</v>
      </c>
      <c r="AP381" s="40"/>
      <c r="AQ381" s="5">
        <f>VLOOKUP($A381,'ПР 01-02.21'!$A$11:$BB$406,43,FALSE)+VLOOKUP($A381,'ПР 21-22'!$A$11:$BB$406,43,FALSE)-VLOOKUP($A381,'ПР 01-02.22'!$A$11:$BB$378,43,FALSE)</f>
        <v>1304.9760242041066</v>
      </c>
      <c r="AR381" s="5">
        <f>VLOOKUP($A381,'ПР 01-02.21'!$A$11:$BB$406,44,FALSE)+VLOOKUP($A381,'ПР 21-22'!$A$11:$BB$406,44,FALSE)-VLOOKUP($A381,'ПР 01-02.22'!$A$11:$BB$378,44,FALSE)</f>
        <v>0</v>
      </c>
      <c r="AS381" s="40"/>
      <c r="AT381" s="5">
        <f>VLOOKUP($A381,'ПР 01-02.21'!$A$11:$BB$406,46,FALSE)+VLOOKUP($A381,'ПР 21-22'!$A$11:$BB$406,46,FALSE)-VLOOKUP($A381,'ПР 01-02.22'!$A$11:$BB$378,46,FALSE)</f>
        <v>2026.8417605212583</v>
      </c>
      <c r="AU381" s="5">
        <f>VLOOKUP($A381,'ПР 01-02.21'!$A$11:$BB$406,47,FALSE)+VLOOKUP($A381,'ПР 21-22'!$A$11:$BB$406,47,FALSE)-VLOOKUP($A381,'ПР 01-02.22'!$A$11:$BB$378,47,FALSE)</f>
        <v>0</v>
      </c>
      <c r="AV381" s="40"/>
      <c r="AW381" s="5">
        <f>VLOOKUP($A381,'ПР 01-02.21'!$A$11:$BB$406,49,FALSE)+VLOOKUP($A381,'ПР 21-22'!$A$11:$BB$406,49,FALSE)-VLOOKUP($A381,'ПР 01-02.22'!$A$11:$BB$378,49,FALSE)</f>
        <v>0</v>
      </c>
      <c r="AX381" s="5">
        <f>VLOOKUP($A381,'ПР 01-02.21'!$A$11:$BB$406,50,FALSE)+VLOOKUP($A381,'ПР 21-22'!$A$11:$BB$406,50,FALSE)-VLOOKUP($A381,'ПР 01-02.22'!$A$11:$BB$378,50,FALSE)</f>
        <v>0</v>
      </c>
      <c r="AY381" s="40"/>
      <c r="AZ381" s="40">
        <f t="shared" si="25"/>
        <v>15339.692345734617</v>
      </c>
      <c r="BA381" s="40">
        <f t="shared" si="25"/>
        <v>1716</v>
      </c>
      <c r="BB381" s="55">
        <f t="shared" si="24"/>
        <v>-13623.692345734617</v>
      </c>
      <c r="BD381" s="2">
        <v>3</v>
      </c>
      <c r="BF381" s="325">
        <v>150000905</v>
      </c>
    </row>
    <row r="382" spans="1:58" ht="24.9" customHeight="1" x14ac:dyDescent="0.3">
      <c r="A382" s="325">
        <v>150000906</v>
      </c>
      <c r="B382" s="445" t="s">
        <v>407</v>
      </c>
      <c r="C382" s="27">
        <v>9</v>
      </c>
      <c r="D382" s="101" t="s">
        <v>455</v>
      </c>
      <c r="E382" s="279">
        <f>'побудинковий звіт'!E380</f>
        <v>3936.36</v>
      </c>
      <c r="F382" s="441">
        <f>'побудинковий звіт'!AS380</f>
        <v>60925.565638463384</v>
      </c>
      <c r="G382" s="441">
        <f t="shared" si="22"/>
        <v>11843</v>
      </c>
      <c r="H382" s="73">
        <f t="shared" si="23"/>
        <v>-49082.565638463384</v>
      </c>
      <c r="I382" s="5">
        <f>VLOOKUP($A382,'ПР 01-02.21'!$A$11:$BB$406,9,FALSE)+VLOOKUP($A382,'ПР 21-22'!$A$11:$BB$406,9,FALSE)-VLOOKUP($A382,'ПР 01-02.22'!$A$11:$BB$378,9,FALSE)</f>
        <v>0</v>
      </c>
      <c r="J382" s="5">
        <f>VLOOKUP($A382,'ПР 01-02.21'!$A$11:$BB$406,10,FALSE)+VLOOKUP($A382,'ПР 21-22'!$A$11:$BB$406,10,FALSE)-VLOOKUP($A382,'ПР 01-02.22'!$A$11:$BB$378,10,FALSE)</f>
        <v>0</v>
      </c>
      <c r="K382" s="446"/>
      <c r="L382" s="5">
        <f>VLOOKUP($A382,'ПР 01-02.21'!$A$11:$BB$406,12,FALSE)+VLOOKUP($A382,'ПР 21-22'!$A$11:$BB$406,12,FALSE)-VLOOKUP($A382,'ПР 01-02.22'!$A$11:$BB$378,12,FALSE)</f>
        <v>0</v>
      </c>
      <c r="M382" s="5">
        <f>VLOOKUP($A382,'ПР 01-02.21'!$A$11:$BB$406,13,FALSE)+VLOOKUP($A382,'ПР 21-22'!$A$11:$BB$406,13,FALSE)-VLOOKUP($A382,'ПР 01-02.22'!$A$11:$BB$378,13,FALSE)</f>
        <v>0</v>
      </c>
      <c r="N382" s="38"/>
      <c r="O382" s="5">
        <f>VLOOKUP($A382,'ПР 01-02.21'!$A$11:$BB$406,15,FALSE)+VLOOKUP($A382,'ПР 21-22'!$A$11:$BB$406,15,FALSE)-VLOOKUP($A382,'ПР 01-02.22'!$A$11:$BB$378,15,FALSE)</f>
        <v>0</v>
      </c>
      <c r="P382" s="5">
        <f>VLOOKUP($A382,'ПР 01-02.21'!$A$11:$BB$406,16,FALSE)+VLOOKUP($A382,'ПР 21-22'!$A$11:$BB$406,16,FALSE)-VLOOKUP($A382,'ПР 01-02.22'!$A$11:$BB$378,16,FALSE)</f>
        <v>0</v>
      </c>
      <c r="Q382" s="443"/>
      <c r="R382" s="5">
        <f>VLOOKUP($A382,'ПР 01-02.21'!$A$11:$BB$406,18,FALSE)+VLOOKUP($A382,'ПР 21-22'!$A$11:$BB$406,18,FALSE)-VLOOKUP($A382,'ПР 01-02.22'!$A$11:$BB$378,18,FALSE)</f>
        <v>2</v>
      </c>
      <c r="S382" s="5">
        <f>VLOOKUP($A382,'ПР 01-02.21'!$A$11:$BB$406,19,FALSE)+VLOOKUP($A382,'ПР 21-22'!$A$11:$BB$406,19,FALSE)-VLOOKUP($A382,'ПР 01-02.22'!$A$11:$BB$378,19,FALSE)</f>
        <v>6780</v>
      </c>
      <c r="T382" s="444"/>
      <c r="U382" s="5">
        <f>VLOOKUP($A382,'ПР 01-02.21'!$A$11:$BB$406,21,FALSE)+VLOOKUP($A382,'ПР 21-22'!$A$11:$BB$406,21,FALSE)-VLOOKUP($A382,'ПР 01-02.22'!$A$11:$BB$378,21,FALSE)</f>
        <v>0</v>
      </c>
      <c r="V382" s="5"/>
      <c r="W382" s="5">
        <f>VLOOKUP($A382,'ПР 01-02.21'!$A$11:$BB$406,23,FALSE)+VLOOKUP($A382,'ПР 21-22'!$A$11:$BB$406,23,FALSE)-VLOOKUP($A382,'ПР 01-02.22'!$A$11:$BB$378,23,FALSE)</f>
        <v>0</v>
      </c>
      <c r="X382" s="5">
        <f>VLOOKUP($A382,'ПР 01-02.21'!$A$11:$BB$406,24,FALSE)+VLOOKUP($A382,'ПР 21-22'!$A$11:$BB$406,24,FALSE)-VLOOKUP($A382,'ПР 01-02.22'!$A$11:$BB$378,24,FALSE)</f>
        <v>0</v>
      </c>
      <c r="Y382" s="5">
        <f>VLOOKUP($A382,'ПР 01-02.21'!$A$11:$BB$406,25,FALSE)+VLOOKUP($A382,'ПР 21-22'!$A$11:$BB$406,25,FALSE)-VLOOKUP($A382,'ПР 01-02.22'!$A$11:$BB$378,25,FALSE)</f>
        <v>1858</v>
      </c>
      <c r="Z382" s="5"/>
      <c r="AA382" s="5">
        <f>VLOOKUP($A382,'ПР 01-02.21'!$A$11:$BB$406,27,FALSE)+VLOOKUP($A382,'ПР 21-22'!$A$11:$BB$406,27,FALSE)-VLOOKUP($A382,'ПР 01-02.22'!$A$11:$BB$378,27,FALSE)</f>
        <v>0</v>
      </c>
      <c r="AB382" s="5">
        <f>VLOOKUP($A382,'ПР 01-02.21'!$A$11:$BB$406,28,FALSE)+VLOOKUP($A382,'ПР 21-22'!$A$11:$BB$406,28,FALSE)-VLOOKUP($A382,'ПР 01-02.22'!$A$11:$BB$378,28,FALSE)</f>
        <v>0</v>
      </c>
      <c r="AC382" s="5">
        <f>VLOOKUP($A382,'ПР 01-02.21'!$A$11:$BB$406,29,FALSE)+VLOOKUP($A382,'ПР 21-22'!$A$11:$BB$406,29,FALSE)-VLOOKUP($A382,'ПР 01-02.22'!$A$11:$BB$378,29,FALSE)</f>
        <v>1861</v>
      </c>
      <c r="AD382" s="5">
        <f>VLOOKUP($A382,'ПР 01-02.21'!$A$11:$BB$406,30,FALSE)+VLOOKUP($A382,'ПР 21-22'!$A$11:$BB$406,30,FALSE)-VLOOKUP($A382,'ПР 01-02.22'!$A$11:$BB$378,30,FALSE)</f>
        <v>1344</v>
      </c>
      <c r="AE382" s="5">
        <f>VLOOKUP($A382,'ПР 01-02.21'!$A$11:$BB$406,31,FALSE)+VLOOKUP($A382,'ПР 21-22'!$A$11:$BB$406,31,FALSE)-VLOOKUP($A382,'ПР 01-02.22'!$A$11:$BB$378,31,FALSE)</f>
        <v>1859.1999325903996</v>
      </c>
      <c r="AF382" s="5">
        <f>VLOOKUP($A382,'ПР 01-02.21'!$A$11:$BB$406,32,FALSE)+VLOOKUP($A382,'ПР 21-22'!$A$11:$BB$406,32,FALSE)-VLOOKUP($A382,'ПР 01-02.22'!$A$11:$BB$378,32,FALSE)</f>
        <v>831</v>
      </c>
      <c r="AG382" s="40"/>
      <c r="AH382" s="5">
        <f>VLOOKUP($A382,'ПР 01-02.21'!$A$11:$BB$406,34,FALSE)+VLOOKUP($A382,'ПР 21-22'!$A$11:$BB$406,34,FALSE)-VLOOKUP($A382,'ПР 01-02.22'!$A$11:$BB$378,34,FALSE)</f>
        <v>3584.8584162372886</v>
      </c>
      <c r="AI382" s="5">
        <f>VLOOKUP($A382,'ПР 01-02.21'!$A$11:$BB$406,35,FALSE)+VLOOKUP($A382,'ПР 21-22'!$A$11:$BB$406,35,FALSE)-VLOOKUP($A382,'ПР 01-02.22'!$A$11:$BB$378,35,FALSE)</f>
        <v>0</v>
      </c>
      <c r="AJ382" s="40"/>
      <c r="AK382" s="5">
        <f>VLOOKUP($A382,'ПР 01-02.21'!$A$11:$BB$406,37,FALSE)+VLOOKUP($A382,'ПР 21-22'!$A$11:$BB$406,37,FALSE)-VLOOKUP($A382,'ПР 01-02.22'!$A$11:$BB$378,37,FALSE)</f>
        <v>1604.4530556907725</v>
      </c>
      <c r="AL382" s="5">
        <f>VLOOKUP($A382,'ПР 01-02.21'!$A$11:$BB$406,38,FALSE)+VLOOKUP($A382,'ПР 21-22'!$A$11:$BB$406,38,FALSE)-VLOOKUP($A382,'ПР 01-02.22'!$A$11:$BB$378,38,FALSE)</f>
        <v>0</v>
      </c>
      <c r="AM382" s="40"/>
      <c r="AN382" s="5">
        <f>VLOOKUP($A382,'ПР 01-02.21'!$A$11:$BB$406,40,FALSE)+VLOOKUP($A382,'ПР 21-22'!$A$11:$BB$406,40,FALSE)-VLOOKUP($A382,'ПР 01-02.22'!$A$11:$BB$378,40,FALSE)</f>
        <v>2407.0403475708931</v>
      </c>
      <c r="AO382" s="5">
        <f>VLOOKUP($A382,'ПР 01-02.21'!$A$11:$BB$406,41,FALSE)+VLOOKUP($A382,'ПР 21-22'!$A$11:$BB$406,41,FALSE)-VLOOKUP($A382,'ПР 01-02.22'!$A$11:$BB$378,41,FALSE)</f>
        <v>0</v>
      </c>
      <c r="AP382" s="40"/>
      <c r="AQ382" s="5">
        <f>VLOOKUP($A382,'ПР 01-02.21'!$A$11:$BB$406,43,FALSE)+VLOOKUP($A382,'ПР 21-22'!$A$11:$BB$406,43,FALSE)-VLOOKUP($A382,'ПР 01-02.22'!$A$11:$BB$378,43,FALSE)</f>
        <v>1183.3694964726358</v>
      </c>
      <c r="AR382" s="5">
        <f>VLOOKUP($A382,'ПР 01-02.21'!$A$11:$BB$406,44,FALSE)+VLOOKUP($A382,'ПР 21-22'!$A$11:$BB$406,44,FALSE)-VLOOKUP($A382,'ПР 01-02.22'!$A$11:$BB$378,44,FALSE)</f>
        <v>4296</v>
      </c>
      <c r="AS382" s="40"/>
      <c r="AT382" s="5">
        <f>VLOOKUP($A382,'ПР 01-02.21'!$A$11:$BB$406,46,FALSE)+VLOOKUP($A382,'ПР 21-22'!$A$11:$BB$406,46,FALSE)-VLOOKUP($A382,'ПР 01-02.22'!$A$11:$BB$378,46,FALSE)</f>
        <v>2383.6357932847527</v>
      </c>
      <c r="AU382" s="5">
        <f>VLOOKUP($A382,'ПР 01-02.21'!$A$11:$BB$406,47,FALSE)+VLOOKUP($A382,'ПР 21-22'!$A$11:$BB$406,47,FALSE)-VLOOKUP($A382,'ПР 01-02.22'!$A$11:$BB$378,47,FALSE)</f>
        <v>130</v>
      </c>
      <c r="AV382" s="40"/>
      <c r="AW382" s="5">
        <f>VLOOKUP($A382,'ПР 01-02.21'!$A$11:$BB$406,49,FALSE)+VLOOKUP($A382,'ПР 21-22'!$A$11:$BB$406,49,FALSE)-VLOOKUP($A382,'ПР 01-02.22'!$A$11:$BB$378,49,FALSE)</f>
        <v>196.4256</v>
      </c>
      <c r="AX382" s="5">
        <f>VLOOKUP($A382,'ПР 01-02.21'!$A$11:$BB$406,50,FALSE)+VLOOKUP($A382,'ПР 21-22'!$A$11:$BB$406,50,FALSE)-VLOOKUP($A382,'ПР 01-02.22'!$A$11:$BB$378,50,FALSE)</f>
        <v>0</v>
      </c>
      <c r="AY382" s="40"/>
      <c r="AZ382" s="40">
        <f t="shared" si="25"/>
        <v>13218.982641846744</v>
      </c>
      <c r="BA382" s="40">
        <f t="shared" si="25"/>
        <v>5257</v>
      </c>
      <c r="BB382" s="55">
        <f t="shared" si="24"/>
        <v>-7961.9826418467437</v>
      </c>
      <c r="BD382" s="2">
        <v>3</v>
      </c>
      <c r="BF382" s="325">
        <v>150000906</v>
      </c>
    </row>
    <row r="383" spans="1:58" ht="24.9" customHeight="1" x14ac:dyDescent="0.3">
      <c r="A383" s="325">
        <v>150000907</v>
      </c>
      <c r="B383" s="445" t="s">
        <v>408</v>
      </c>
      <c r="C383" s="27">
        <v>9</v>
      </c>
      <c r="D383" s="101" t="s">
        <v>455</v>
      </c>
      <c r="E383" s="279">
        <f>'побудинковий звіт'!E381</f>
        <v>6307.74</v>
      </c>
      <c r="F383" s="441">
        <f>'побудинковий звіт'!AS381</f>
        <v>88984.767551864235</v>
      </c>
      <c r="G383" s="441">
        <f t="shared" si="22"/>
        <v>79445.428239935165</v>
      </c>
      <c r="H383" s="73">
        <f t="shared" si="23"/>
        <v>-9539.3393119290704</v>
      </c>
      <c r="I383" s="5">
        <f>VLOOKUP($A383,'ПР 01-02.21'!$A$11:$BB$406,9,FALSE)+VLOOKUP($A383,'ПР 21-22'!$A$11:$BB$406,9,FALSE)-VLOOKUP($A383,'ПР 01-02.22'!$A$11:$BB$378,9,FALSE)</f>
        <v>17.399999999999999</v>
      </c>
      <c r="J383" s="5">
        <f>VLOOKUP($A383,'ПР 01-02.21'!$A$11:$BB$406,10,FALSE)+VLOOKUP($A383,'ПР 21-22'!$A$11:$BB$406,10,FALSE)-VLOOKUP($A383,'ПР 01-02.22'!$A$11:$BB$378,10,FALSE)</f>
        <v>4073.45</v>
      </c>
      <c r="K383" s="446"/>
      <c r="L383" s="5">
        <f>VLOOKUP($A383,'ПР 01-02.21'!$A$11:$BB$406,12,FALSE)+VLOOKUP($A383,'ПР 21-22'!$A$11:$BB$406,12,FALSE)-VLOOKUP($A383,'ПР 01-02.22'!$A$11:$BB$378,12,FALSE)</f>
        <v>0</v>
      </c>
      <c r="M383" s="5">
        <f>VLOOKUP($A383,'ПР 01-02.21'!$A$11:$BB$406,13,FALSE)+VLOOKUP($A383,'ПР 21-22'!$A$11:$BB$406,13,FALSE)-VLOOKUP($A383,'ПР 01-02.22'!$A$11:$BB$378,13,FALSE)</f>
        <v>3234.28</v>
      </c>
      <c r="N383" s="38"/>
      <c r="O383" s="5">
        <f>VLOOKUP($A383,'ПР 01-02.21'!$A$11:$BB$406,15,FALSE)+VLOOKUP($A383,'ПР 21-22'!$A$11:$BB$406,15,FALSE)-VLOOKUP($A383,'ПР 01-02.22'!$A$11:$BB$378,15,FALSE)</f>
        <v>0</v>
      </c>
      <c r="P383" s="5">
        <f>VLOOKUP($A383,'ПР 01-02.21'!$A$11:$BB$406,16,FALSE)+VLOOKUP($A383,'ПР 21-22'!$A$11:$BB$406,16,FALSE)-VLOOKUP($A383,'ПР 01-02.22'!$A$11:$BB$378,16,FALSE)</f>
        <v>0</v>
      </c>
      <c r="Q383" s="443"/>
      <c r="R383" s="5">
        <f>VLOOKUP($A383,'ПР 01-02.21'!$A$11:$BB$406,18,FALSE)+VLOOKUP($A383,'ПР 21-22'!$A$11:$BB$406,18,FALSE)-VLOOKUP($A383,'ПР 01-02.22'!$A$11:$BB$378,18,FALSE)</f>
        <v>6</v>
      </c>
      <c r="S383" s="5">
        <f>VLOOKUP($A383,'ПР 01-02.21'!$A$11:$BB$406,19,FALSE)+VLOOKUP($A383,'ПР 21-22'!$A$11:$BB$406,19,FALSE)-VLOOKUP($A383,'ПР 01-02.22'!$A$11:$BB$378,19,FALSE)</f>
        <v>16707.34</v>
      </c>
      <c r="T383" s="444"/>
      <c r="U383" s="5">
        <f>VLOOKUP($A383,'ПР 01-02.21'!$A$11:$BB$406,21,FALSE)+VLOOKUP($A383,'ПР 21-22'!$A$11:$BB$406,21,FALSE)-VLOOKUP($A383,'ПР 01-02.22'!$A$11:$BB$378,21,FALSE)</f>
        <v>0</v>
      </c>
      <c r="V383" s="5"/>
      <c r="W383" s="5">
        <f>VLOOKUP($A383,'ПР 01-02.21'!$A$11:$BB$406,23,FALSE)+VLOOKUP($A383,'ПР 21-22'!$A$11:$BB$406,23,FALSE)-VLOOKUP($A383,'ПР 01-02.22'!$A$11:$BB$378,23,FALSE)</f>
        <v>5</v>
      </c>
      <c r="X383" s="5">
        <f>VLOOKUP($A383,'ПР 01-02.21'!$A$11:$BB$406,24,FALSE)+VLOOKUP($A383,'ПР 21-22'!$A$11:$BB$406,24,FALSE)-VLOOKUP($A383,'ПР 01-02.22'!$A$11:$BB$378,24,FALSE)</f>
        <v>7140.3582399351708</v>
      </c>
      <c r="Y383" s="5">
        <f>VLOOKUP($A383,'ПР 01-02.21'!$A$11:$BB$406,25,FALSE)+VLOOKUP($A383,'ПР 21-22'!$A$11:$BB$406,25,FALSE)-VLOOKUP($A383,'ПР 01-02.22'!$A$11:$BB$378,25,FALSE)</f>
        <v>33142</v>
      </c>
      <c r="Z383" s="5"/>
      <c r="AA383" s="5">
        <f>VLOOKUP($A383,'ПР 01-02.21'!$A$11:$BB$406,27,FALSE)+VLOOKUP($A383,'ПР 21-22'!$A$11:$BB$406,27,FALSE)-VLOOKUP($A383,'ПР 01-02.22'!$A$11:$BB$378,27,FALSE)</f>
        <v>0</v>
      </c>
      <c r="AB383" s="5">
        <f>VLOOKUP($A383,'ПР 01-02.21'!$A$11:$BB$406,28,FALSE)+VLOOKUP($A383,'ПР 21-22'!$A$11:$BB$406,28,FALSE)-VLOOKUP($A383,'ПР 01-02.22'!$A$11:$BB$378,28,FALSE)</f>
        <v>357</v>
      </c>
      <c r="AC383" s="5">
        <f>VLOOKUP($A383,'ПР 01-02.21'!$A$11:$BB$406,29,FALSE)+VLOOKUP($A383,'ПР 21-22'!$A$11:$BB$406,29,FALSE)-VLOOKUP($A383,'ПР 01-02.22'!$A$11:$BB$378,29,FALSE)</f>
        <v>0</v>
      </c>
      <c r="AD383" s="5">
        <f>VLOOKUP($A383,'ПР 01-02.21'!$A$11:$BB$406,30,FALSE)+VLOOKUP($A383,'ПР 21-22'!$A$11:$BB$406,30,FALSE)-VLOOKUP($A383,'ПР 01-02.22'!$A$11:$BB$378,30,FALSE)</f>
        <v>14791</v>
      </c>
      <c r="AE383" s="5">
        <f>VLOOKUP($A383,'ПР 01-02.21'!$A$11:$BB$406,31,FALSE)+VLOOKUP($A383,'ПР 21-22'!$A$11:$BB$406,31,FALSE)-VLOOKUP($A383,'ПР 01-02.22'!$A$11:$BB$378,31,FALSE)</f>
        <v>5246.9708487479329</v>
      </c>
      <c r="AF383" s="5">
        <f>VLOOKUP($A383,'ПР 01-02.21'!$A$11:$BB$406,32,FALSE)+VLOOKUP($A383,'ПР 21-22'!$A$11:$BB$406,32,FALSE)-VLOOKUP($A383,'ПР 01-02.22'!$A$11:$BB$378,32,FALSE)</f>
        <v>759.95</v>
      </c>
      <c r="AG383" s="40"/>
      <c r="AH383" s="5">
        <f>VLOOKUP($A383,'ПР 01-02.21'!$A$11:$BB$406,34,FALSE)+VLOOKUP($A383,'ПР 21-22'!$A$11:$BB$406,34,FALSE)-VLOOKUP($A383,'ПР 01-02.22'!$A$11:$BB$378,34,FALSE)</f>
        <v>6090.104898465268</v>
      </c>
      <c r="AI383" s="5">
        <f>VLOOKUP($A383,'ПР 01-02.21'!$A$11:$BB$406,35,FALSE)+VLOOKUP($A383,'ПР 21-22'!$A$11:$BB$406,35,FALSE)-VLOOKUP($A383,'ПР 01-02.22'!$A$11:$BB$378,35,FALSE)</f>
        <v>16657.34</v>
      </c>
      <c r="AJ383" s="40"/>
      <c r="AK383" s="5">
        <f>VLOOKUP($A383,'ПР 01-02.21'!$A$11:$BB$406,37,FALSE)+VLOOKUP($A383,'ПР 21-22'!$A$11:$BB$406,37,FALSE)-VLOOKUP($A383,'ПР 01-02.22'!$A$11:$BB$378,37,FALSE)</f>
        <v>5479.7915122116246</v>
      </c>
      <c r="AL383" s="5">
        <f>VLOOKUP($A383,'ПР 01-02.21'!$A$11:$BB$406,38,FALSE)+VLOOKUP($A383,'ПР 21-22'!$A$11:$BB$406,38,FALSE)-VLOOKUP($A383,'ПР 01-02.22'!$A$11:$BB$378,38,FALSE)</f>
        <v>8069</v>
      </c>
      <c r="AM383" s="40"/>
      <c r="AN383" s="5">
        <f>VLOOKUP($A383,'ПР 01-02.21'!$A$11:$BB$406,40,FALSE)+VLOOKUP($A383,'ПР 21-22'!$A$11:$BB$406,40,FALSE)-VLOOKUP($A383,'ПР 01-02.22'!$A$11:$BB$378,40,FALSE)</f>
        <v>4684.8692947416957</v>
      </c>
      <c r="AO383" s="5">
        <f>VLOOKUP($A383,'ПР 01-02.21'!$A$11:$BB$406,41,FALSE)+VLOOKUP($A383,'ПР 21-22'!$A$11:$BB$406,41,FALSE)-VLOOKUP($A383,'ПР 01-02.22'!$A$11:$BB$378,41,FALSE)</f>
        <v>1266</v>
      </c>
      <c r="AP383" s="40"/>
      <c r="AQ383" s="5">
        <f>VLOOKUP($A383,'ПР 01-02.21'!$A$11:$BB$406,43,FALSE)+VLOOKUP($A383,'ПР 21-22'!$A$11:$BB$406,43,FALSE)-VLOOKUP($A383,'ПР 01-02.22'!$A$11:$BB$378,43,FALSE)</f>
        <v>1913.1150136490437</v>
      </c>
      <c r="AR383" s="5">
        <f>VLOOKUP($A383,'ПР 01-02.21'!$A$11:$BB$406,44,FALSE)+VLOOKUP($A383,'ПР 21-22'!$A$11:$BB$406,44,FALSE)-VLOOKUP($A383,'ПР 01-02.22'!$A$11:$BB$378,44,FALSE)</f>
        <v>15</v>
      </c>
      <c r="AS383" s="40"/>
      <c r="AT383" s="5">
        <f>VLOOKUP($A383,'ПР 01-02.21'!$A$11:$BB$406,46,FALSE)+VLOOKUP($A383,'ПР 21-22'!$A$11:$BB$406,46,FALSE)-VLOOKUP($A383,'ПР 01-02.22'!$A$11:$BB$378,46,FALSE)</f>
        <v>3429.6685453074952</v>
      </c>
      <c r="AU383" s="5">
        <f>VLOOKUP($A383,'ПР 01-02.21'!$A$11:$BB$406,47,FALSE)+VLOOKUP($A383,'ПР 21-22'!$A$11:$BB$406,47,FALSE)-VLOOKUP($A383,'ПР 01-02.22'!$A$11:$BB$378,47,FALSE)</f>
        <v>1732</v>
      </c>
      <c r="AV383" s="40"/>
      <c r="AW383" s="5">
        <f>VLOOKUP($A383,'ПР 01-02.21'!$A$11:$BB$406,49,FALSE)+VLOOKUP($A383,'ПР 21-22'!$A$11:$BB$406,49,FALSE)-VLOOKUP($A383,'ПР 01-02.22'!$A$11:$BB$378,49,FALSE)</f>
        <v>315.32400000000001</v>
      </c>
      <c r="AX383" s="5">
        <f>VLOOKUP($A383,'ПР 01-02.21'!$A$11:$BB$406,50,FALSE)+VLOOKUP($A383,'ПР 21-22'!$A$11:$BB$406,50,FALSE)-VLOOKUP($A383,'ПР 01-02.22'!$A$11:$BB$378,50,FALSE)</f>
        <v>0</v>
      </c>
      <c r="AY383" s="40"/>
      <c r="AZ383" s="40">
        <f t="shared" si="25"/>
        <v>27159.844113123065</v>
      </c>
      <c r="BA383" s="40">
        <f t="shared" si="25"/>
        <v>28499.29</v>
      </c>
      <c r="BB383" s="55">
        <f t="shared" si="24"/>
        <v>1339.4458868769361</v>
      </c>
      <c r="BD383" s="2">
        <v>3</v>
      </c>
      <c r="BF383" s="325">
        <v>150000907</v>
      </c>
    </row>
    <row r="384" spans="1:58" ht="24.9" customHeight="1" x14ac:dyDescent="0.3">
      <c r="A384" s="325">
        <v>150000908</v>
      </c>
      <c r="B384" s="445" t="s">
        <v>409</v>
      </c>
      <c r="C384" s="27">
        <v>9</v>
      </c>
      <c r="D384" s="101" t="s">
        <v>455</v>
      </c>
      <c r="E384" s="279">
        <f>'побудинковий звіт'!E382</f>
        <v>6324.72</v>
      </c>
      <c r="F384" s="441">
        <f>'побудинковий звіт'!AS382</f>
        <v>87887.257921460594</v>
      </c>
      <c r="G384" s="441">
        <f t="shared" si="22"/>
        <v>52803.791200827865</v>
      </c>
      <c r="H384" s="73">
        <f t="shared" si="23"/>
        <v>-35083.466720632729</v>
      </c>
      <c r="I384" s="5">
        <f>VLOOKUP($A384,'ПР 01-02.21'!$A$11:$BB$406,9,FALSE)+VLOOKUP($A384,'ПР 21-22'!$A$11:$BB$406,9,FALSE)-VLOOKUP($A384,'ПР 01-02.22'!$A$11:$BB$378,9,FALSE)</f>
        <v>57.900000000000006</v>
      </c>
      <c r="J384" s="5">
        <f>VLOOKUP($A384,'ПР 01-02.21'!$A$11:$BB$406,10,FALSE)+VLOOKUP($A384,'ПР 21-22'!$A$11:$BB$406,10,FALSE)-VLOOKUP($A384,'ПР 01-02.22'!$A$11:$BB$378,10,FALSE)</f>
        <v>14948.41</v>
      </c>
      <c r="K384" s="446"/>
      <c r="L384" s="5">
        <f>VLOOKUP($A384,'ПР 01-02.21'!$A$11:$BB$406,12,FALSE)+VLOOKUP($A384,'ПР 21-22'!$A$11:$BB$406,12,FALSE)-VLOOKUP($A384,'ПР 01-02.22'!$A$11:$BB$378,12,FALSE)</f>
        <v>0</v>
      </c>
      <c r="M384" s="5">
        <f>VLOOKUP($A384,'ПР 01-02.21'!$A$11:$BB$406,13,FALSE)+VLOOKUP($A384,'ПР 21-22'!$A$11:$BB$406,13,FALSE)-VLOOKUP($A384,'ПР 01-02.22'!$A$11:$BB$378,13,FALSE)</f>
        <v>0</v>
      </c>
      <c r="N384" s="38"/>
      <c r="O384" s="5">
        <f>VLOOKUP($A384,'ПР 01-02.21'!$A$11:$BB$406,15,FALSE)+VLOOKUP($A384,'ПР 21-22'!$A$11:$BB$406,15,FALSE)-VLOOKUP($A384,'ПР 01-02.22'!$A$11:$BB$378,15,FALSE)</f>
        <v>0</v>
      </c>
      <c r="P384" s="5">
        <f>VLOOKUP($A384,'ПР 01-02.21'!$A$11:$BB$406,16,FALSE)+VLOOKUP($A384,'ПР 21-22'!$A$11:$BB$406,16,FALSE)-VLOOKUP($A384,'ПР 01-02.22'!$A$11:$BB$378,16,FALSE)</f>
        <v>0</v>
      </c>
      <c r="Q384" s="443"/>
      <c r="R384" s="5">
        <f>VLOOKUP($A384,'ПР 01-02.21'!$A$11:$BB$406,18,FALSE)+VLOOKUP($A384,'ПР 21-22'!$A$11:$BB$406,18,FALSE)-VLOOKUP($A384,'ПР 01-02.22'!$A$11:$BB$378,18,FALSE)</f>
        <v>4</v>
      </c>
      <c r="S384" s="5">
        <f>VLOOKUP($A384,'ПР 01-02.21'!$A$11:$BB$406,19,FALSE)+VLOOKUP($A384,'ПР 21-22'!$A$11:$BB$406,19,FALSE)-VLOOKUP($A384,'ПР 01-02.22'!$A$11:$BB$378,19,FALSE)</f>
        <v>20932.29</v>
      </c>
      <c r="T384" s="444"/>
      <c r="U384" s="5">
        <f>VLOOKUP($A384,'ПР 01-02.21'!$A$11:$BB$406,21,FALSE)+VLOOKUP($A384,'ПР 21-22'!$A$11:$BB$406,21,FALSE)-VLOOKUP($A384,'ПР 01-02.22'!$A$11:$BB$378,21,FALSE)</f>
        <v>0</v>
      </c>
      <c r="V384" s="5"/>
      <c r="W384" s="5">
        <f>VLOOKUP($A384,'ПР 01-02.21'!$A$11:$BB$406,23,FALSE)+VLOOKUP($A384,'ПР 21-22'!$A$11:$BB$406,23,FALSE)-VLOOKUP($A384,'ПР 01-02.22'!$A$11:$BB$378,23,FALSE)</f>
        <v>7</v>
      </c>
      <c r="X384" s="5">
        <f>VLOOKUP($A384,'ПР 01-02.21'!$A$11:$BB$406,24,FALSE)+VLOOKUP($A384,'ПР 21-22'!$A$11:$BB$406,24,FALSE)-VLOOKUP($A384,'ПР 01-02.22'!$A$11:$BB$378,24,FALSE)</f>
        <v>6462.0912008278692</v>
      </c>
      <c r="Y384" s="5">
        <f>VLOOKUP($A384,'ПР 01-02.21'!$A$11:$BB$406,25,FALSE)+VLOOKUP($A384,'ПР 21-22'!$A$11:$BB$406,25,FALSE)-VLOOKUP($A384,'ПР 01-02.22'!$A$11:$BB$378,25,FALSE)</f>
        <v>3529</v>
      </c>
      <c r="Z384" s="5"/>
      <c r="AA384" s="5">
        <f>VLOOKUP($A384,'ПР 01-02.21'!$A$11:$BB$406,27,FALSE)+VLOOKUP($A384,'ПР 21-22'!$A$11:$BB$406,27,FALSE)-VLOOKUP($A384,'ПР 01-02.22'!$A$11:$BB$378,27,FALSE)</f>
        <v>0</v>
      </c>
      <c r="AB384" s="5">
        <f>VLOOKUP($A384,'ПР 01-02.21'!$A$11:$BB$406,28,FALSE)+VLOOKUP($A384,'ПР 21-22'!$A$11:$BB$406,28,FALSE)-VLOOKUP($A384,'ПР 01-02.22'!$A$11:$BB$378,28,FALSE)</f>
        <v>0</v>
      </c>
      <c r="AC384" s="5">
        <f>VLOOKUP($A384,'ПР 01-02.21'!$A$11:$BB$406,29,FALSE)+VLOOKUP($A384,'ПР 21-22'!$A$11:$BB$406,29,FALSE)-VLOOKUP($A384,'ПР 01-02.22'!$A$11:$BB$378,29,FALSE)</f>
        <v>4587</v>
      </c>
      <c r="AD384" s="5">
        <f>VLOOKUP($A384,'ПР 01-02.21'!$A$11:$BB$406,30,FALSE)+VLOOKUP($A384,'ПР 21-22'!$A$11:$BB$406,30,FALSE)-VLOOKUP($A384,'ПР 01-02.22'!$A$11:$BB$378,30,FALSE)</f>
        <v>2345</v>
      </c>
      <c r="AE384" s="5">
        <f>VLOOKUP($A384,'ПР 01-02.21'!$A$11:$BB$406,31,FALSE)+VLOOKUP($A384,'ПР 21-22'!$A$11:$BB$406,31,FALSE)-VLOOKUP($A384,'ПР 01-02.22'!$A$11:$BB$378,31,FALSE)</f>
        <v>5254.5655848299357</v>
      </c>
      <c r="AF384" s="5">
        <f>VLOOKUP($A384,'ПР 01-02.21'!$A$11:$BB$406,32,FALSE)+VLOOKUP($A384,'ПР 21-22'!$A$11:$BB$406,32,FALSE)-VLOOKUP($A384,'ПР 01-02.22'!$A$11:$BB$378,32,FALSE)</f>
        <v>71</v>
      </c>
      <c r="AG384" s="40"/>
      <c r="AH384" s="5">
        <f>VLOOKUP($A384,'ПР 01-02.21'!$A$11:$BB$406,34,FALSE)+VLOOKUP($A384,'ПР 21-22'!$A$11:$BB$406,34,FALSE)-VLOOKUP($A384,'ПР 01-02.22'!$A$11:$BB$378,34,FALSE)</f>
        <v>6102.6246567082144</v>
      </c>
      <c r="AI384" s="5">
        <f>VLOOKUP($A384,'ПР 01-02.21'!$A$11:$BB$406,35,FALSE)+VLOOKUP($A384,'ПР 21-22'!$A$11:$BB$406,35,FALSE)-VLOOKUP($A384,'ПР 01-02.22'!$A$11:$BB$378,35,FALSE)</f>
        <v>0</v>
      </c>
      <c r="AJ384" s="40"/>
      <c r="AK384" s="5">
        <f>VLOOKUP($A384,'ПР 01-02.21'!$A$11:$BB$406,37,FALSE)+VLOOKUP($A384,'ПР 21-22'!$A$11:$BB$406,37,FALSE)-VLOOKUP($A384,'ПР 01-02.22'!$A$11:$BB$378,37,FALSE)</f>
        <v>5334.8364097241838</v>
      </c>
      <c r="AL384" s="5">
        <f>VLOOKUP($A384,'ПР 01-02.21'!$A$11:$BB$406,38,FALSE)+VLOOKUP($A384,'ПР 21-22'!$A$11:$BB$406,38,FALSE)-VLOOKUP($A384,'ПР 01-02.22'!$A$11:$BB$378,38,FALSE)</f>
        <v>934</v>
      </c>
      <c r="AM384" s="40"/>
      <c r="AN384" s="5">
        <f>VLOOKUP($A384,'ПР 01-02.21'!$A$11:$BB$406,40,FALSE)+VLOOKUP($A384,'ПР 21-22'!$A$11:$BB$406,40,FALSE)-VLOOKUP($A384,'ПР 01-02.22'!$A$11:$BB$378,40,FALSE)</f>
        <v>4686.8049509063376</v>
      </c>
      <c r="AO384" s="5">
        <f>VLOOKUP($A384,'ПР 01-02.21'!$A$11:$BB$406,41,FALSE)+VLOOKUP($A384,'ПР 21-22'!$A$11:$BB$406,41,FALSE)-VLOOKUP($A384,'ПР 01-02.22'!$A$11:$BB$378,41,FALSE)</f>
        <v>0</v>
      </c>
      <c r="AP384" s="40"/>
      <c r="AQ384" s="5">
        <f>VLOOKUP($A384,'ПР 01-02.21'!$A$11:$BB$406,43,FALSE)+VLOOKUP($A384,'ПР 21-22'!$A$11:$BB$406,43,FALSE)-VLOOKUP($A384,'ПР 01-02.22'!$A$11:$BB$378,43,FALSE)</f>
        <v>1913.1150136490437</v>
      </c>
      <c r="AR384" s="5">
        <f>VLOOKUP($A384,'ПР 01-02.21'!$A$11:$BB$406,44,FALSE)+VLOOKUP($A384,'ПР 21-22'!$A$11:$BB$406,44,FALSE)-VLOOKUP($A384,'ПР 01-02.22'!$A$11:$BB$378,44,FALSE)</f>
        <v>16</v>
      </c>
      <c r="AS384" s="40"/>
      <c r="AT384" s="5">
        <f>VLOOKUP($A384,'ПР 01-02.21'!$A$11:$BB$406,46,FALSE)+VLOOKUP($A384,'ПР 21-22'!$A$11:$BB$406,46,FALSE)-VLOOKUP($A384,'ПР 01-02.22'!$A$11:$BB$378,46,FALSE)</f>
        <v>3458.7299544631387</v>
      </c>
      <c r="AU384" s="5">
        <f>VLOOKUP($A384,'ПР 01-02.21'!$A$11:$BB$406,47,FALSE)+VLOOKUP($A384,'ПР 21-22'!$A$11:$BB$406,47,FALSE)-VLOOKUP($A384,'ПР 01-02.22'!$A$11:$BB$378,47,FALSE)</f>
        <v>459</v>
      </c>
      <c r="AV384" s="40"/>
      <c r="AW384" s="5">
        <f>VLOOKUP($A384,'ПР 01-02.21'!$A$11:$BB$406,49,FALSE)+VLOOKUP($A384,'ПР 21-22'!$A$11:$BB$406,49,FALSE)-VLOOKUP($A384,'ПР 01-02.22'!$A$11:$BB$378,49,FALSE)</f>
        <v>315.67320000000001</v>
      </c>
      <c r="AX384" s="5">
        <f>VLOOKUP($A384,'ПР 01-02.21'!$A$11:$BB$406,50,FALSE)+VLOOKUP($A384,'ПР 21-22'!$A$11:$BB$406,50,FALSE)-VLOOKUP($A384,'ПР 01-02.22'!$A$11:$BB$378,50,FALSE)</f>
        <v>0</v>
      </c>
      <c r="AY384" s="40"/>
      <c r="AZ384" s="40">
        <f t="shared" si="25"/>
        <v>27066.349770280856</v>
      </c>
      <c r="BA384" s="40">
        <f t="shared" si="25"/>
        <v>1480</v>
      </c>
      <c r="BB384" s="55">
        <f t="shared" si="24"/>
        <v>-25586.349770280856</v>
      </c>
      <c r="BD384" s="2">
        <v>3</v>
      </c>
      <c r="BF384" s="325">
        <v>150000908</v>
      </c>
    </row>
    <row r="385" spans="1:58" ht="24.9" customHeight="1" x14ac:dyDescent="0.3">
      <c r="A385" s="325">
        <v>150000909</v>
      </c>
      <c r="B385" s="445" t="s">
        <v>410</v>
      </c>
      <c r="C385" s="27">
        <v>9</v>
      </c>
      <c r="D385" s="101" t="s">
        <v>455</v>
      </c>
      <c r="E385" s="279">
        <f>'побудинковий звіт'!E383</f>
        <v>6335.19</v>
      </c>
      <c r="F385" s="441">
        <f>'побудинковий звіт'!AS383</f>
        <v>87672.760521467309</v>
      </c>
      <c r="G385" s="441">
        <f t="shared" si="22"/>
        <v>82108.713959886154</v>
      </c>
      <c r="H385" s="73">
        <f t="shared" si="23"/>
        <v>-5564.0465615811554</v>
      </c>
      <c r="I385" s="5">
        <f>VLOOKUP($A385,'ПР 01-02.21'!$A$11:$BB$406,9,FALSE)+VLOOKUP($A385,'ПР 21-22'!$A$11:$BB$406,9,FALSE)-VLOOKUP($A385,'ПР 01-02.22'!$A$11:$BB$378,9,FALSE)</f>
        <v>223.7</v>
      </c>
      <c r="J385" s="5">
        <f>VLOOKUP($A385,'ПР 01-02.21'!$A$11:$BB$406,10,FALSE)+VLOOKUP($A385,'ПР 21-22'!$A$11:$BB$406,10,FALSE)-VLOOKUP($A385,'ПР 01-02.22'!$A$11:$BB$378,10,FALSE)</f>
        <v>45978.16</v>
      </c>
      <c r="K385" s="453"/>
      <c r="L385" s="5">
        <f>VLOOKUP($A385,'ПР 01-02.21'!$A$11:$BB$406,12,FALSE)+VLOOKUP($A385,'ПР 21-22'!$A$11:$BB$406,12,FALSE)-VLOOKUP($A385,'ПР 01-02.22'!$A$11:$BB$378,12,FALSE)</f>
        <v>0</v>
      </c>
      <c r="M385" s="5">
        <f>VLOOKUP($A385,'ПР 01-02.21'!$A$11:$BB$406,13,FALSE)+VLOOKUP($A385,'ПР 21-22'!$A$11:$BB$406,13,FALSE)-VLOOKUP($A385,'ПР 01-02.22'!$A$11:$BB$378,13,FALSE)</f>
        <v>0</v>
      </c>
      <c r="N385" s="38"/>
      <c r="O385" s="5">
        <f>VLOOKUP($A385,'ПР 01-02.21'!$A$11:$BB$406,15,FALSE)+VLOOKUP($A385,'ПР 21-22'!$A$11:$BB$406,15,FALSE)-VLOOKUP($A385,'ПР 01-02.22'!$A$11:$BB$378,15,FALSE)</f>
        <v>0</v>
      </c>
      <c r="P385" s="5">
        <f>VLOOKUP($A385,'ПР 01-02.21'!$A$11:$BB$406,16,FALSE)+VLOOKUP($A385,'ПР 21-22'!$A$11:$BB$406,16,FALSE)-VLOOKUP($A385,'ПР 01-02.22'!$A$11:$BB$378,16,FALSE)</f>
        <v>0</v>
      </c>
      <c r="Q385" s="443"/>
      <c r="R385" s="5">
        <f>VLOOKUP($A385,'ПР 01-02.21'!$A$11:$BB$406,18,FALSE)+VLOOKUP($A385,'ПР 21-22'!$A$11:$BB$406,18,FALSE)-VLOOKUP($A385,'ПР 01-02.22'!$A$11:$BB$378,18,FALSE)</f>
        <v>2</v>
      </c>
      <c r="S385" s="5">
        <f>VLOOKUP($A385,'ПР 01-02.21'!$A$11:$BB$406,19,FALSE)+VLOOKUP($A385,'ПР 21-22'!$A$11:$BB$406,19,FALSE)-VLOOKUP($A385,'ПР 01-02.22'!$A$11:$BB$378,19,FALSE)</f>
        <v>19285.54</v>
      </c>
      <c r="T385" s="444"/>
      <c r="U385" s="5">
        <f>VLOOKUP($A385,'ПР 01-02.21'!$A$11:$BB$406,21,FALSE)+VLOOKUP($A385,'ПР 21-22'!$A$11:$BB$406,21,FALSE)-VLOOKUP($A385,'ПР 01-02.22'!$A$11:$BB$378,21,FALSE)</f>
        <v>0</v>
      </c>
      <c r="V385" s="5"/>
      <c r="W385" s="5">
        <f>VLOOKUP($A385,'ПР 01-02.21'!$A$11:$BB$406,23,FALSE)+VLOOKUP($A385,'ПР 21-22'!$A$11:$BB$406,23,FALSE)-VLOOKUP($A385,'ПР 01-02.22'!$A$11:$BB$378,23,FALSE)</f>
        <v>9.35</v>
      </c>
      <c r="X385" s="5">
        <f>VLOOKUP($A385,'ПР 01-02.21'!$A$11:$BB$406,24,FALSE)+VLOOKUP($A385,'ПР 21-22'!$A$11:$BB$406,24,FALSE)-VLOOKUP($A385,'ПР 01-02.22'!$A$11:$BB$378,24,FALSE)</f>
        <v>7929.0139598861515</v>
      </c>
      <c r="Y385" s="5">
        <f>VLOOKUP($A385,'ПР 01-02.21'!$A$11:$BB$406,25,FALSE)+VLOOKUP($A385,'ПР 21-22'!$A$11:$BB$406,25,FALSE)-VLOOKUP($A385,'ПР 01-02.22'!$A$11:$BB$378,25,FALSE)</f>
        <v>5820</v>
      </c>
      <c r="Z385" s="5"/>
      <c r="AA385" s="5">
        <f>VLOOKUP($A385,'ПР 01-02.21'!$A$11:$BB$406,27,FALSE)+VLOOKUP($A385,'ПР 21-22'!$A$11:$BB$406,27,FALSE)-VLOOKUP($A385,'ПР 01-02.22'!$A$11:$BB$378,27,FALSE)</f>
        <v>0</v>
      </c>
      <c r="AB385" s="5">
        <f>VLOOKUP($A385,'ПР 01-02.21'!$A$11:$BB$406,28,FALSE)+VLOOKUP($A385,'ПР 21-22'!$A$11:$BB$406,28,FALSE)-VLOOKUP($A385,'ПР 01-02.22'!$A$11:$BB$378,28,FALSE)</f>
        <v>289</v>
      </c>
      <c r="AC385" s="5">
        <f>VLOOKUP($A385,'ПР 01-02.21'!$A$11:$BB$406,29,FALSE)+VLOOKUP($A385,'ПР 21-22'!$A$11:$BB$406,29,FALSE)-VLOOKUP($A385,'ПР 01-02.22'!$A$11:$BB$378,29,FALSE)</f>
        <v>612</v>
      </c>
      <c r="AD385" s="5">
        <f>VLOOKUP($A385,'ПР 01-02.21'!$A$11:$BB$406,30,FALSE)+VLOOKUP($A385,'ПР 21-22'!$A$11:$BB$406,30,FALSE)-VLOOKUP($A385,'ПР 01-02.22'!$A$11:$BB$378,30,FALSE)</f>
        <v>2195</v>
      </c>
      <c r="AE385" s="5">
        <f>VLOOKUP($A385,'ПР 01-02.21'!$A$11:$BB$406,31,FALSE)+VLOOKUP($A385,'ПР 21-22'!$A$11:$BB$406,31,FALSE)-VLOOKUP($A385,'ПР 01-02.22'!$A$11:$BB$378,31,FALSE)</f>
        <v>5220.0589165795873</v>
      </c>
      <c r="AF385" s="5">
        <f>VLOOKUP($A385,'ПР 01-02.21'!$A$11:$BB$406,32,FALSE)+VLOOKUP($A385,'ПР 21-22'!$A$11:$BB$406,32,FALSE)-VLOOKUP($A385,'ПР 01-02.22'!$A$11:$BB$378,32,FALSE)</f>
        <v>308.95000000000005</v>
      </c>
      <c r="AG385" s="40"/>
      <c r="AH385" s="5">
        <f>VLOOKUP($A385,'ПР 01-02.21'!$A$11:$BB$406,34,FALSE)+VLOOKUP($A385,'ПР 21-22'!$A$11:$BB$406,34,FALSE)-VLOOKUP($A385,'ПР 01-02.22'!$A$11:$BB$378,34,FALSE)</f>
        <v>6069.3281934747019</v>
      </c>
      <c r="AI385" s="5">
        <f>VLOOKUP($A385,'ПР 01-02.21'!$A$11:$BB$406,35,FALSE)+VLOOKUP($A385,'ПР 21-22'!$A$11:$BB$406,35,FALSE)-VLOOKUP($A385,'ПР 01-02.22'!$A$11:$BB$378,35,FALSE)</f>
        <v>3133.6</v>
      </c>
      <c r="AJ385" s="40"/>
      <c r="AK385" s="5">
        <f>VLOOKUP($A385,'ПР 01-02.21'!$A$11:$BB$406,37,FALSE)+VLOOKUP($A385,'ПР 21-22'!$A$11:$BB$406,37,FALSE)-VLOOKUP($A385,'ПР 01-02.22'!$A$11:$BB$378,37,FALSE)</f>
        <v>5511.5992710568626</v>
      </c>
      <c r="AL385" s="5">
        <f>VLOOKUP($A385,'ПР 01-02.21'!$A$11:$BB$406,38,FALSE)+VLOOKUP($A385,'ПР 21-22'!$A$11:$BB$406,38,FALSE)-VLOOKUP($A385,'ПР 01-02.22'!$A$11:$BB$378,38,FALSE)</f>
        <v>4456</v>
      </c>
      <c r="AM385" s="40"/>
      <c r="AN385" s="5">
        <f>VLOOKUP($A385,'ПР 01-02.21'!$A$11:$BB$406,40,FALSE)+VLOOKUP($A385,'ПР 21-22'!$A$11:$BB$406,40,FALSE)-VLOOKUP($A385,'ПР 01-02.22'!$A$11:$BB$378,40,FALSE)</f>
        <v>4745.6815637388754</v>
      </c>
      <c r="AO385" s="5">
        <f>VLOOKUP($A385,'ПР 01-02.21'!$A$11:$BB$406,41,FALSE)+VLOOKUP($A385,'ПР 21-22'!$A$11:$BB$406,41,FALSE)-VLOOKUP($A385,'ПР 01-02.22'!$A$11:$BB$378,41,FALSE)</f>
        <v>5509.27</v>
      </c>
      <c r="AP385" s="40"/>
      <c r="AQ385" s="5">
        <f>VLOOKUP($A385,'ПР 01-02.21'!$A$11:$BB$406,43,FALSE)+VLOOKUP($A385,'ПР 21-22'!$A$11:$BB$406,43,FALSE)-VLOOKUP($A385,'ПР 01-02.22'!$A$11:$BB$378,43,FALSE)</f>
        <v>1913.1150136490437</v>
      </c>
      <c r="AR385" s="5">
        <f>VLOOKUP($A385,'ПР 01-02.21'!$A$11:$BB$406,44,FALSE)+VLOOKUP($A385,'ПР 21-22'!$A$11:$BB$406,44,FALSE)-VLOOKUP($A385,'ПР 01-02.22'!$A$11:$BB$378,44,FALSE)</f>
        <v>32.5</v>
      </c>
      <c r="AS385" s="40"/>
      <c r="AT385" s="5">
        <f>VLOOKUP($A385,'ПР 01-02.21'!$A$11:$BB$406,46,FALSE)+VLOOKUP($A385,'ПР 21-22'!$A$11:$BB$406,46,FALSE)-VLOOKUP($A385,'ПР 01-02.22'!$A$11:$BB$378,46,FALSE)</f>
        <v>3379.6534359090033</v>
      </c>
      <c r="AU385" s="5">
        <f>VLOOKUP($A385,'ПР 01-02.21'!$A$11:$BB$406,47,FALSE)+VLOOKUP($A385,'ПР 21-22'!$A$11:$BB$406,47,FALSE)-VLOOKUP($A385,'ПР 01-02.22'!$A$11:$BB$378,47,FALSE)</f>
        <v>0</v>
      </c>
      <c r="AV385" s="40"/>
      <c r="AW385" s="5">
        <f>VLOOKUP($A385,'ПР 01-02.21'!$A$11:$BB$406,49,FALSE)+VLOOKUP($A385,'ПР 21-22'!$A$11:$BB$406,49,FALSE)-VLOOKUP($A385,'ПР 01-02.22'!$A$11:$BB$378,49,FALSE)</f>
        <v>316.42079999999999</v>
      </c>
      <c r="AX385" s="5">
        <f>VLOOKUP($A385,'ПР 01-02.21'!$A$11:$BB$406,50,FALSE)+VLOOKUP($A385,'ПР 21-22'!$A$11:$BB$406,50,FALSE)-VLOOKUP($A385,'ПР 01-02.22'!$A$11:$BB$378,50,FALSE)</f>
        <v>0</v>
      </c>
      <c r="AY385" s="40"/>
      <c r="AZ385" s="40">
        <f t="shared" si="25"/>
        <v>27155.857194408072</v>
      </c>
      <c r="BA385" s="40">
        <f t="shared" si="25"/>
        <v>13440.32</v>
      </c>
      <c r="BB385" s="55">
        <f t="shared" si="24"/>
        <v>-13715.537194408073</v>
      </c>
      <c r="BD385" s="2">
        <v>3</v>
      </c>
      <c r="BF385" s="325">
        <v>150000909</v>
      </c>
    </row>
    <row r="386" spans="1:58" ht="24.9" customHeight="1" x14ac:dyDescent="0.3">
      <c r="A386" s="325">
        <v>150000910</v>
      </c>
      <c r="B386" s="445" t="s">
        <v>411</v>
      </c>
      <c r="C386" s="27">
        <v>9</v>
      </c>
      <c r="D386" s="101" t="s">
        <v>455</v>
      </c>
      <c r="E386" s="279">
        <f>'побудинковий звіт'!E384</f>
        <v>6347.35</v>
      </c>
      <c r="F386" s="441">
        <f>'побудинковий звіт'!AS384</f>
        <v>87583.336708528368</v>
      </c>
      <c r="G386" s="441">
        <f t="shared" si="22"/>
        <v>47642.107259448232</v>
      </c>
      <c r="H386" s="73">
        <f t="shared" si="23"/>
        <v>-39941.229449080136</v>
      </c>
      <c r="I386" s="5">
        <f>VLOOKUP($A386,'ПР 01-02.21'!$A$11:$BB$406,9,FALSE)+VLOOKUP($A386,'ПР 21-22'!$A$11:$BB$406,9,FALSE)-VLOOKUP($A386,'ПР 01-02.22'!$A$11:$BB$378,9,FALSE)</f>
        <v>8.6999999999999993</v>
      </c>
      <c r="J386" s="5">
        <f>VLOOKUP($A386,'ПР 01-02.21'!$A$11:$BB$406,10,FALSE)+VLOOKUP($A386,'ПР 21-22'!$A$11:$BB$406,10,FALSE)-VLOOKUP($A386,'ПР 01-02.22'!$A$11:$BB$378,10,FALSE)</f>
        <v>2502.4499999999998</v>
      </c>
      <c r="K386" s="446"/>
      <c r="L386" s="5">
        <f>VLOOKUP($A386,'ПР 01-02.21'!$A$11:$BB$406,12,FALSE)+VLOOKUP($A386,'ПР 21-22'!$A$11:$BB$406,12,FALSE)-VLOOKUP($A386,'ПР 01-02.22'!$A$11:$BB$378,12,FALSE)</f>
        <v>0</v>
      </c>
      <c r="M386" s="5">
        <f>VLOOKUP($A386,'ПР 01-02.21'!$A$11:$BB$406,13,FALSE)+VLOOKUP($A386,'ПР 21-22'!$A$11:$BB$406,13,FALSE)-VLOOKUP($A386,'ПР 01-02.22'!$A$11:$BB$378,13,FALSE)</f>
        <v>0</v>
      </c>
      <c r="N386" s="38"/>
      <c r="O386" s="5">
        <f>VLOOKUP($A386,'ПР 01-02.21'!$A$11:$BB$406,15,FALSE)+VLOOKUP($A386,'ПР 21-22'!$A$11:$BB$406,15,FALSE)-VLOOKUP($A386,'ПР 01-02.22'!$A$11:$BB$378,15,FALSE)</f>
        <v>0</v>
      </c>
      <c r="P386" s="5">
        <f>VLOOKUP($A386,'ПР 01-02.21'!$A$11:$BB$406,16,FALSE)+VLOOKUP($A386,'ПР 21-22'!$A$11:$BB$406,16,FALSE)-VLOOKUP($A386,'ПР 01-02.22'!$A$11:$BB$378,16,FALSE)</f>
        <v>0</v>
      </c>
      <c r="Q386" s="443"/>
      <c r="R386" s="5">
        <f>VLOOKUP($A386,'ПР 01-02.21'!$A$11:$BB$406,18,FALSE)+VLOOKUP($A386,'ПР 21-22'!$A$11:$BB$406,18,FALSE)-VLOOKUP($A386,'ПР 01-02.22'!$A$11:$BB$378,18,FALSE)</f>
        <v>8</v>
      </c>
      <c r="S386" s="5">
        <f>VLOOKUP($A386,'ПР 01-02.21'!$A$11:$BB$406,19,FALSE)+VLOOKUP($A386,'ПР 21-22'!$A$11:$BB$406,19,FALSE)-VLOOKUP($A386,'ПР 01-02.22'!$A$11:$BB$378,19,FALSE)</f>
        <v>40755.020000000004</v>
      </c>
      <c r="T386" s="444"/>
      <c r="U386" s="5">
        <f>VLOOKUP($A386,'ПР 01-02.21'!$A$11:$BB$406,21,FALSE)+VLOOKUP($A386,'ПР 21-22'!$A$11:$BB$406,21,FALSE)-VLOOKUP($A386,'ПР 01-02.22'!$A$11:$BB$378,21,FALSE)</f>
        <v>0</v>
      </c>
      <c r="V386" s="5"/>
      <c r="W386" s="5">
        <f>VLOOKUP($A386,'ПР 01-02.21'!$A$11:$BB$406,23,FALSE)+VLOOKUP($A386,'ПР 21-22'!$A$11:$BB$406,23,FALSE)-VLOOKUP($A386,'ПР 01-02.22'!$A$11:$BB$378,23,FALSE)</f>
        <v>0</v>
      </c>
      <c r="X386" s="5">
        <f>VLOOKUP($A386,'ПР 01-02.21'!$A$11:$BB$406,24,FALSE)+VLOOKUP($A386,'ПР 21-22'!$A$11:$BB$406,24,FALSE)-VLOOKUP($A386,'ПР 01-02.22'!$A$11:$BB$378,24,FALSE)</f>
        <v>1234.6372594482293</v>
      </c>
      <c r="Y386" s="5">
        <f>VLOOKUP($A386,'ПР 01-02.21'!$A$11:$BB$406,25,FALSE)+VLOOKUP($A386,'ПР 21-22'!$A$11:$BB$406,25,FALSE)-VLOOKUP($A386,'ПР 01-02.22'!$A$11:$BB$378,25,FALSE)</f>
        <v>0</v>
      </c>
      <c r="Z386" s="5"/>
      <c r="AA386" s="5">
        <f>VLOOKUP($A386,'ПР 01-02.21'!$A$11:$BB$406,27,FALSE)+VLOOKUP($A386,'ПР 21-22'!$A$11:$BB$406,27,FALSE)-VLOOKUP($A386,'ПР 01-02.22'!$A$11:$BB$378,27,FALSE)</f>
        <v>0</v>
      </c>
      <c r="AB386" s="5">
        <f>VLOOKUP($A386,'ПР 01-02.21'!$A$11:$BB$406,28,FALSE)+VLOOKUP($A386,'ПР 21-22'!$A$11:$BB$406,28,FALSE)-VLOOKUP($A386,'ПР 01-02.22'!$A$11:$BB$378,28,FALSE)</f>
        <v>0</v>
      </c>
      <c r="AC386" s="5">
        <f>VLOOKUP($A386,'ПР 01-02.21'!$A$11:$BB$406,29,FALSE)+VLOOKUP($A386,'ПР 21-22'!$A$11:$BB$406,29,FALSE)-VLOOKUP($A386,'ПР 01-02.22'!$A$11:$BB$378,29,FALSE)</f>
        <v>0</v>
      </c>
      <c r="AD386" s="5">
        <f>VLOOKUP($A386,'ПР 01-02.21'!$A$11:$BB$406,30,FALSE)+VLOOKUP($A386,'ПР 21-22'!$A$11:$BB$406,30,FALSE)-VLOOKUP($A386,'ПР 01-02.22'!$A$11:$BB$378,30,FALSE)</f>
        <v>3150</v>
      </c>
      <c r="AE386" s="5">
        <f>VLOOKUP($A386,'ПР 01-02.21'!$A$11:$BB$406,31,FALSE)+VLOOKUP($A386,'ПР 21-22'!$A$11:$BB$406,31,FALSE)-VLOOKUP($A386,'ПР 01-02.22'!$A$11:$BB$378,31,FALSE)</f>
        <v>5212.4434314197733</v>
      </c>
      <c r="AF386" s="5">
        <f>VLOOKUP($A386,'ПР 01-02.21'!$A$11:$BB$406,32,FALSE)+VLOOKUP($A386,'ПР 21-22'!$A$11:$BB$406,32,FALSE)-VLOOKUP($A386,'ПР 01-02.22'!$A$11:$BB$378,32,FALSE)</f>
        <v>6644.62</v>
      </c>
      <c r="AG386" s="40"/>
      <c r="AH386" s="5">
        <f>VLOOKUP($A386,'ПР 01-02.21'!$A$11:$BB$406,34,FALSE)+VLOOKUP($A386,'ПР 21-22'!$A$11:$BB$406,34,FALSE)-VLOOKUP($A386,'ПР 01-02.22'!$A$11:$BB$378,34,FALSE)</f>
        <v>6079.3014581532652</v>
      </c>
      <c r="AI386" s="5">
        <f>VLOOKUP($A386,'ПР 01-02.21'!$A$11:$BB$406,35,FALSE)+VLOOKUP($A386,'ПР 21-22'!$A$11:$BB$406,35,FALSE)-VLOOKUP($A386,'ПР 01-02.22'!$A$11:$BB$378,35,FALSE)</f>
        <v>12474.33</v>
      </c>
      <c r="AJ386" s="40"/>
      <c r="AK386" s="5">
        <f>VLOOKUP($A386,'ПР 01-02.21'!$A$11:$BB$406,37,FALSE)+VLOOKUP($A386,'ПР 21-22'!$A$11:$BB$406,37,FALSE)-VLOOKUP($A386,'ПР 01-02.22'!$A$11:$BB$378,37,FALSE)</f>
        <v>5511.5992710568626</v>
      </c>
      <c r="AL386" s="5">
        <f>VLOOKUP($A386,'ПР 01-02.21'!$A$11:$BB$406,38,FALSE)+VLOOKUP($A386,'ПР 21-22'!$A$11:$BB$406,38,FALSE)-VLOOKUP($A386,'ПР 01-02.22'!$A$11:$BB$378,38,FALSE)</f>
        <v>3075</v>
      </c>
      <c r="AM386" s="40"/>
      <c r="AN386" s="5">
        <f>VLOOKUP($A386,'ПР 01-02.21'!$A$11:$BB$406,40,FALSE)+VLOOKUP($A386,'ПР 21-22'!$A$11:$BB$406,40,FALSE)-VLOOKUP($A386,'ПР 01-02.22'!$A$11:$BB$378,40,FALSE)</f>
        <v>4717.0680961577827</v>
      </c>
      <c r="AO386" s="5">
        <f>VLOOKUP($A386,'ПР 01-02.21'!$A$11:$BB$406,41,FALSE)+VLOOKUP($A386,'ПР 21-22'!$A$11:$BB$406,41,FALSE)-VLOOKUP($A386,'ПР 01-02.22'!$A$11:$BB$378,41,FALSE)</f>
        <v>12383.4</v>
      </c>
      <c r="AP386" s="40"/>
      <c r="AQ386" s="5">
        <f>VLOOKUP($A386,'ПР 01-02.21'!$A$11:$BB$406,43,FALSE)+VLOOKUP($A386,'ПР 21-22'!$A$11:$BB$406,43,FALSE)-VLOOKUP($A386,'ПР 01-02.22'!$A$11:$BB$378,43,FALSE)</f>
        <v>1913.1150136490437</v>
      </c>
      <c r="AR386" s="5">
        <f>VLOOKUP($A386,'ПР 01-02.21'!$A$11:$BB$406,44,FALSE)+VLOOKUP($A386,'ПР 21-22'!$A$11:$BB$406,44,FALSE)-VLOOKUP($A386,'ПР 01-02.22'!$A$11:$BB$378,44,FALSE)</f>
        <v>0</v>
      </c>
      <c r="AS386" s="40"/>
      <c r="AT386" s="5">
        <f>VLOOKUP($A386,'ПР 01-02.21'!$A$11:$BB$406,46,FALSE)+VLOOKUP($A386,'ПР 21-22'!$A$11:$BB$406,46,FALSE)-VLOOKUP($A386,'ПР 01-02.22'!$A$11:$BB$378,46,FALSE)</f>
        <v>3404.5586892070423</v>
      </c>
      <c r="AU386" s="5">
        <f>VLOOKUP($A386,'ПР 01-02.21'!$A$11:$BB$406,47,FALSE)+VLOOKUP($A386,'ПР 21-22'!$A$11:$BB$406,47,FALSE)-VLOOKUP($A386,'ПР 01-02.22'!$A$11:$BB$378,47,FALSE)</f>
        <v>2919</v>
      </c>
      <c r="AV386" s="40"/>
      <c r="AW386" s="5">
        <f>VLOOKUP($A386,'ПР 01-02.21'!$A$11:$BB$406,49,FALSE)+VLOOKUP($A386,'ПР 21-22'!$A$11:$BB$406,49,FALSE)-VLOOKUP($A386,'ПР 01-02.22'!$A$11:$BB$378,49,FALSE)</f>
        <v>316.89</v>
      </c>
      <c r="AX386" s="5">
        <f>VLOOKUP($A386,'ПР 01-02.21'!$A$11:$BB$406,50,FALSE)+VLOOKUP($A386,'ПР 21-22'!$A$11:$BB$406,50,FALSE)-VLOOKUP($A386,'ПР 01-02.22'!$A$11:$BB$378,50,FALSE)</f>
        <v>0</v>
      </c>
      <c r="AY386" s="40"/>
      <c r="AZ386" s="40">
        <f t="shared" si="25"/>
        <v>27154.975959643769</v>
      </c>
      <c r="BA386" s="40">
        <f t="shared" si="25"/>
        <v>37496.35</v>
      </c>
      <c r="BB386" s="55">
        <f t="shared" si="24"/>
        <v>10341.37404035623</v>
      </c>
      <c r="BD386" s="2">
        <v>3</v>
      </c>
      <c r="BF386" s="325">
        <v>150000910</v>
      </c>
    </row>
    <row r="387" spans="1:58" ht="24.9" customHeight="1" x14ac:dyDescent="0.3">
      <c r="A387" s="325">
        <v>150000911</v>
      </c>
      <c r="B387" s="445" t="s">
        <v>319</v>
      </c>
      <c r="C387" s="27">
        <v>5</v>
      </c>
      <c r="D387" s="101" t="s">
        <v>455</v>
      </c>
      <c r="E387" s="279">
        <f>'побудинковий звіт'!E385</f>
        <v>5864.08</v>
      </c>
      <c r="F387" s="441">
        <f>'побудинковий звіт'!AS385</f>
        <v>85179.625983137812</v>
      </c>
      <c r="G387" s="441">
        <f t="shared" si="22"/>
        <v>87270.392198933798</v>
      </c>
      <c r="H387" s="73">
        <f t="shared" si="23"/>
        <v>2090.7662157959858</v>
      </c>
      <c r="I387" s="5">
        <f>VLOOKUP($A387,'ПР 01-02.21'!$A$11:$BB$406,9,FALSE)+VLOOKUP($A387,'ПР 21-22'!$A$11:$BB$406,9,FALSE)-VLOOKUP($A387,'ПР 01-02.22'!$A$11:$BB$378,9,FALSE)</f>
        <v>0</v>
      </c>
      <c r="J387" s="5">
        <f>VLOOKUP($A387,'ПР 01-02.21'!$A$11:$BB$406,10,FALSE)+VLOOKUP($A387,'ПР 21-22'!$A$11:$BB$406,10,FALSE)-VLOOKUP($A387,'ПР 01-02.22'!$A$11:$BB$378,10,FALSE)</f>
        <v>0</v>
      </c>
      <c r="K387" s="446"/>
      <c r="L387" s="5">
        <f>VLOOKUP($A387,'ПР 01-02.21'!$A$11:$BB$406,12,FALSE)+VLOOKUP($A387,'ПР 21-22'!$A$11:$BB$406,12,FALSE)-VLOOKUP($A387,'ПР 01-02.22'!$A$11:$BB$378,12,FALSE)</f>
        <v>0</v>
      </c>
      <c r="M387" s="5">
        <f>VLOOKUP($A387,'ПР 01-02.21'!$A$11:$BB$406,13,FALSE)+VLOOKUP($A387,'ПР 21-22'!$A$11:$BB$406,13,FALSE)-VLOOKUP($A387,'ПР 01-02.22'!$A$11:$BB$378,13,FALSE)</f>
        <v>52747</v>
      </c>
      <c r="N387" s="38"/>
      <c r="O387" s="5">
        <f>VLOOKUP($A387,'ПР 01-02.21'!$A$11:$BB$406,15,FALSE)+VLOOKUP($A387,'ПР 21-22'!$A$11:$BB$406,15,FALSE)-VLOOKUP($A387,'ПР 01-02.22'!$A$11:$BB$378,15,FALSE)</f>
        <v>14</v>
      </c>
      <c r="P387" s="5">
        <f>VLOOKUP($A387,'ПР 01-02.21'!$A$11:$BB$406,16,FALSE)+VLOOKUP($A387,'ПР 21-22'!$A$11:$BB$406,16,FALSE)-VLOOKUP($A387,'ПР 01-02.22'!$A$11:$BB$378,16,FALSE)</f>
        <v>2569</v>
      </c>
      <c r="Q387" s="443"/>
      <c r="R387" s="5">
        <f>VLOOKUP($A387,'ПР 01-02.21'!$A$11:$BB$406,18,FALSE)+VLOOKUP($A387,'ПР 21-22'!$A$11:$BB$406,18,FALSE)-VLOOKUP($A387,'ПР 01-02.22'!$A$11:$BB$378,18,FALSE)</f>
        <v>0</v>
      </c>
      <c r="S387" s="5">
        <f>VLOOKUP($A387,'ПР 01-02.21'!$A$11:$BB$406,19,FALSE)+VLOOKUP($A387,'ПР 21-22'!$A$11:$BB$406,19,FALSE)-VLOOKUP($A387,'ПР 01-02.22'!$A$11:$BB$378,19,FALSE)</f>
        <v>0</v>
      </c>
      <c r="T387" s="444"/>
      <c r="U387" s="5">
        <f>VLOOKUP($A387,'ПР 01-02.21'!$A$11:$BB$406,21,FALSE)+VLOOKUP($A387,'ПР 21-22'!$A$11:$BB$406,21,FALSE)-VLOOKUP($A387,'ПР 01-02.22'!$A$11:$BB$378,21,FALSE)</f>
        <v>0</v>
      </c>
      <c r="V387" s="5"/>
      <c r="W387" s="5">
        <f>VLOOKUP($A387,'ПР 01-02.21'!$A$11:$BB$406,23,FALSE)+VLOOKUP($A387,'ПР 21-22'!$A$11:$BB$406,23,FALSE)-VLOOKUP($A387,'ПР 01-02.22'!$A$11:$BB$378,23,FALSE)</f>
        <v>26</v>
      </c>
      <c r="X387" s="5">
        <f>VLOOKUP($A387,'ПР 01-02.21'!$A$11:$BB$406,24,FALSE)+VLOOKUP($A387,'ПР 21-22'!$A$11:$BB$406,24,FALSE)-VLOOKUP($A387,'ПР 01-02.22'!$A$11:$BB$378,24,FALSE)</f>
        <v>15662.232198933794</v>
      </c>
      <c r="Y387" s="5">
        <f>VLOOKUP($A387,'ПР 01-02.21'!$A$11:$BB$406,25,FALSE)+VLOOKUP($A387,'ПР 21-22'!$A$11:$BB$406,25,FALSE)-VLOOKUP($A387,'ПР 01-02.22'!$A$11:$BB$378,25,FALSE)</f>
        <v>1975</v>
      </c>
      <c r="Z387" s="5"/>
      <c r="AA387" s="5">
        <f>VLOOKUP($A387,'ПР 01-02.21'!$A$11:$BB$406,27,FALSE)+VLOOKUP($A387,'ПР 21-22'!$A$11:$BB$406,27,FALSE)-VLOOKUP($A387,'ПР 01-02.22'!$A$11:$BB$378,27,FALSE)</f>
        <v>0</v>
      </c>
      <c r="AB387" s="5">
        <f>VLOOKUP($A387,'ПР 01-02.21'!$A$11:$BB$406,28,FALSE)+VLOOKUP($A387,'ПР 21-22'!$A$11:$BB$406,28,FALSE)-VLOOKUP($A387,'ПР 01-02.22'!$A$11:$BB$378,28,FALSE)</f>
        <v>4966.67</v>
      </c>
      <c r="AC387" s="5">
        <f>VLOOKUP($A387,'ПР 01-02.21'!$A$11:$BB$406,29,FALSE)+VLOOKUP($A387,'ПР 21-22'!$A$11:$BB$406,29,FALSE)-VLOOKUP($A387,'ПР 01-02.22'!$A$11:$BB$378,29,FALSE)</f>
        <v>1278</v>
      </c>
      <c r="AD387" s="5">
        <f>VLOOKUP($A387,'ПР 01-02.21'!$A$11:$BB$406,30,FALSE)+VLOOKUP($A387,'ПР 21-22'!$A$11:$BB$406,30,FALSE)-VLOOKUP($A387,'ПР 01-02.22'!$A$11:$BB$378,30,FALSE)</f>
        <v>8072.49</v>
      </c>
      <c r="AE387" s="5">
        <f>VLOOKUP($A387,'ПР 01-02.21'!$A$11:$BB$406,31,FALSE)+VLOOKUP($A387,'ПР 21-22'!$A$11:$BB$406,31,FALSE)-VLOOKUP($A387,'ПР 01-02.22'!$A$11:$BB$378,31,FALSE)</f>
        <v>5216.4427027996453</v>
      </c>
      <c r="AF387" s="5">
        <f>VLOOKUP($A387,'ПР 01-02.21'!$A$11:$BB$406,32,FALSE)+VLOOKUP($A387,'ПР 21-22'!$A$11:$BB$406,32,FALSE)-VLOOKUP($A387,'ПР 01-02.22'!$A$11:$BB$378,32,FALSE)</f>
        <v>6827</v>
      </c>
      <c r="AG387" s="40"/>
      <c r="AH387" s="5">
        <f>VLOOKUP($A387,'ПР 01-02.21'!$A$11:$BB$406,34,FALSE)+VLOOKUP($A387,'ПР 21-22'!$A$11:$BB$406,34,FALSE)-VLOOKUP($A387,'ПР 01-02.22'!$A$11:$BB$378,34,FALSE)</f>
        <v>7341.4915815033883</v>
      </c>
      <c r="AI387" s="5">
        <f>VLOOKUP($A387,'ПР 01-02.21'!$A$11:$BB$406,35,FALSE)+VLOOKUP($A387,'ПР 21-22'!$A$11:$BB$406,35,FALSE)-VLOOKUP($A387,'ПР 01-02.22'!$A$11:$BB$378,35,FALSE)</f>
        <v>7539</v>
      </c>
      <c r="AJ387" s="40"/>
      <c r="AK387" s="5">
        <f>VLOOKUP($A387,'ПР 01-02.21'!$A$11:$BB$406,37,FALSE)+VLOOKUP($A387,'ПР 21-22'!$A$11:$BB$406,37,FALSE)-VLOOKUP($A387,'ПР 01-02.22'!$A$11:$BB$378,37,FALSE)</f>
        <v>2825.5050781468362</v>
      </c>
      <c r="AL387" s="5">
        <f>VLOOKUP($A387,'ПР 01-02.21'!$A$11:$BB$406,38,FALSE)+VLOOKUP($A387,'ПР 21-22'!$A$11:$BB$406,38,FALSE)-VLOOKUP($A387,'ПР 01-02.22'!$A$11:$BB$378,38,FALSE)</f>
        <v>981</v>
      </c>
      <c r="AM387" s="40"/>
      <c r="AN387" s="5">
        <f>VLOOKUP($A387,'ПР 01-02.21'!$A$11:$BB$406,40,FALSE)+VLOOKUP($A387,'ПР 21-22'!$A$11:$BB$406,40,FALSE)-VLOOKUP($A387,'ПР 01-02.22'!$A$11:$BB$378,40,FALSE)</f>
        <v>0</v>
      </c>
      <c r="AO387" s="5">
        <f>VLOOKUP($A387,'ПР 01-02.21'!$A$11:$BB$406,41,FALSE)+VLOOKUP($A387,'ПР 21-22'!$A$11:$BB$406,41,FALSE)-VLOOKUP($A387,'ПР 01-02.22'!$A$11:$BB$378,41,FALSE)</f>
        <v>0</v>
      </c>
      <c r="AP387" s="40"/>
      <c r="AQ387" s="5">
        <f>VLOOKUP($A387,'ПР 01-02.21'!$A$11:$BB$406,43,FALSE)+VLOOKUP($A387,'ПР 21-22'!$A$11:$BB$406,43,FALSE)-VLOOKUP($A387,'ПР 01-02.22'!$A$11:$BB$378,43,FALSE)</f>
        <v>3869.5334694266958</v>
      </c>
      <c r="AR387" s="5">
        <f>VLOOKUP($A387,'ПР 01-02.21'!$A$11:$BB$406,44,FALSE)+VLOOKUP($A387,'ПР 21-22'!$A$11:$BB$406,44,FALSE)-VLOOKUP($A387,'ПР 01-02.22'!$A$11:$BB$378,44,FALSE)</f>
        <v>0</v>
      </c>
      <c r="AS387" s="40"/>
      <c r="AT387" s="5">
        <f>VLOOKUP($A387,'ПР 01-02.21'!$A$11:$BB$406,46,FALSE)+VLOOKUP($A387,'ПР 21-22'!$A$11:$BB$406,46,FALSE)-VLOOKUP($A387,'ПР 01-02.22'!$A$11:$BB$378,46,FALSE)</f>
        <v>6279.1476649841452</v>
      </c>
      <c r="AU387" s="5">
        <f>VLOOKUP($A387,'ПР 01-02.21'!$A$11:$BB$406,47,FALSE)+VLOOKUP($A387,'ПР 21-22'!$A$11:$BB$406,47,FALSE)-VLOOKUP($A387,'ПР 01-02.22'!$A$11:$BB$378,47,FALSE)</f>
        <v>231</v>
      </c>
      <c r="AV387" s="40"/>
      <c r="AW387" s="5">
        <f>VLOOKUP($A387,'ПР 01-02.21'!$A$11:$BB$406,49,FALSE)+VLOOKUP($A387,'ПР 21-22'!$A$11:$BB$406,49,FALSE)-VLOOKUP($A387,'ПР 01-02.22'!$A$11:$BB$378,49,FALSE)</f>
        <v>293.56319999999999</v>
      </c>
      <c r="AX387" s="5">
        <f>VLOOKUP($A387,'ПР 01-02.21'!$A$11:$BB$406,50,FALSE)+VLOOKUP($A387,'ПР 21-22'!$A$11:$BB$406,50,FALSE)-VLOOKUP($A387,'ПР 01-02.22'!$A$11:$BB$378,50,FALSE)</f>
        <v>1087.03</v>
      </c>
      <c r="AY387" s="40"/>
      <c r="AZ387" s="40">
        <f t="shared" si="25"/>
        <v>25825.683696860713</v>
      </c>
      <c r="BA387" s="40">
        <f t="shared" si="25"/>
        <v>16665.03</v>
      </c>
      <c r="BB387" s="55">
        <f t="shared" si="24"/>
        <v>-9160.6536968607143</v>
      </c>
      <c r="BD387" s="2">
        <v>3</v>
      </c>
      <c r="BF387" s="325">
        <v>150000911</v>
      </c>
    </row>
    <row r="388" spans="1:58" ht="24.9" customHeight="1" x14ac:dyDescent="0.3">
      <c r="A388" s="325">
        <v>150000912</v>
      </c>
      <c r="B388" s="445" t="s">
        <v>320</v>
      </c>
      <c r="C388" s="27">
        <v>5</v>
      </c>
      <c r="D388" s="101" t="s">
        <v>455</v>
      </c>
      <c r="E388" s="279">
        <f>'побудинковий звіт'!E386</f>
        <v>4467.5200000000004</v>
      </c>
      <c r="F388" s="441">
        <f>'побудинковий звіт'!AS386</f>
        <v>67426.943377910313</v>
      </c>
      <c r="G388" s="441">
        <f t="shared" si="22"/>
        <v>75514.144838964916</v>
      </c>
      <c r="H388" s="73">
        <f t="shared" si="23"/>
        <v>8087.201461054603</v>
      </c>
      <c r="I388" s="5">
        <f>VLOOKUP($A388,'ПР 01-02.21'!$A$11:$BB$406,9,FALSE)+VLOOKUP($A388,'ПР 21-22'!$A$11:$BB$406,9,FALSE)-VLOOKUP($A388,'ПР 01-02.22'!$A$11:$BB$378,9,FALSE)</f>
        <v>59.7</v>
      </c>
      <c r="J388" s="5">
        <f>VLOOKUP($A388,'ПР 01-02.21'!$A$11:$BB$406,10,FALSE)+VLOOKUP($A388,'ПР 21-22'!$A$11:$BB$406,10,FALSE)-VLOOKUP($A388,'ПР 01-02.22'!$A$11:$BB$378,10,FALSE)</f>
        <v>11136</v>
      </c>
      <c r="K388" s="446"/>
      <c r="L388" s="5">
        <f>VLOOKUP($A388,'ПР 01-02.21'!$A$11:$BB$406,12,FALSE)+VLOOKUP($A388,'ПР 21-22'!$A$11:$BB$406,12,FALSE)-VLOOKUP($A388,'ПР 01-02.22'!$A$11:$BB$378,12,FALSE)</f>
        <v>0</v>
      </c>
      <c r="M388" s="5">
        <f>VLOOKUP($A388,'ПР 01-02.21'!$A$11:$BB$406,13,FALSE)+VLOOKUP($A388,'ПР 21-22'!$A$11:$BB$406,13,FALSE)-VLOOKUP($A388,'ПР 01-02.22'!$A$11:$BB$378,13,FALSE)</f>
        <v>0</v>
      </c>
      <c r="N388" s="38"/>
      <c r="O388" s="5">
        <f>VLOOKUP($A388,'ПР 01-02.21'!$A$11:$BB$406,15,FALSE)+VLOOKUP($A388,'ПР 21-22'!$A$11:$BB$406,15,FALSE)-VLOOKUP($A388,'ПР 01-02.22'!$A$11:$BB$378,15,FALSE)</f>
        <v>0</v>
      </c>
      <c r="P388" s="5">
        <f>VLOOKUP($A388,'ПР 01-02.21'!$A$11:$BB$406,16,FALSE)+VLOOKUP($A388,'ПР 21-22'!$A$11:$BB$406,16,FALSE)-VLOOKUP($A388,'ПР 01-02.22'!$A$11:$BB$378,16,FALSE)</f>
        <v>0</v>
      </c>
      <c r="Q388" s="443"/>
      <c r="R388" s="5">
        <f>VLOOKUP($A388,'ПР 01-02.21'!$A$11:$BB$406,18,FALSE)+VLOOKUP($A388,'ПР 21-22'!$A$11:$BB$406,18,FALSE)-VLOOKUP($A388,'ПР 01-02.22'!$A$11:$BB$378,18,FALSE)</f>
        <v>0</v>
      </c>
      <c r="S388" s="5">
        <f>VLOOKUP($A388,'ПР 01-02.21'!$A$11:$BB$406,19,FALSE)+VLOOKUP($A388,'ПР 21-22'!$A$11:$BB$406,19,FALSE)-VLOOKUP($A388,'ПР 01-02.22'!$A$11:$BB$378,19,FALSE)</f>
        <v>0</v>
      </c>
      <c r="T388" s="444"/>
      <c r="U388" s="5">
        <f>VLOOKUP($A388,'ПР 01-02.21'!$A$11:$BB$406,21,FALSE)+VLOOKUP($A388,'ПР 21-22'!$A$11:$BB$406,21,FALSE)-VLOOKUP($A388,'ПР 01-02.22'!$A$11:$BB$378,21,FALSE)</f>
        <v>0</v>
      </c>
      <c r="V388" s="5"/>
      <c r="W388" s="5">
        <f>VLOOKUP($A388,'ПР 01-02.21'!$A$11:$BB$406,23,FALSE)+VLOOKUP($A388,'ПР 21-22'!$A$11:$BB$406,23,FALSE)-VLOOKUP($A388,'ПР 01-02.22'!$A$11:$BB$378,23,FALSE)</f>
        <v>20.6</v>
      </c>
      <c r="X388" s="5">
        <f>VLOOKUP($A388,'ПР 01-02.21'!$A$11:$BB$406,24,FALSE)+VLOOKUP($A388,'ПР 21-22'!$A$11:$BB$406,24,FALSE)-VLOOKUP($A388,'ПР 01-02.22'!$A$11:$BB$378,24,FALSE)</f>
        <v>19773.404838964914</v>
      </c>
      <c r="Y388" s="5">
        <f>VLOOKUP($A388,'ПР 01-02.21'!$A$11:$BB$406,25,FALSE)+VLOOKUP($A388,'ПР 21-22'!$A$11:$BB$406,25,FALSE)-VLOOKUP($A388,'ПР 01-02.22'!$A$11:$BB$378,25,FALSE)</f>
        <v>22437.379999999997</v>
      </c>
      <c r="Z388" s="5"/>
      <c r="AA388" s="5">
        <f>VLOOKUP($A388,'ПР 01-02.21'!$A$11:$BB$406,27,FALSE)+VLOOKUP($A388,'ПР 21-22'!$A$11:$BB$406,27,FALSE)-VLOOKUP($A388,'ПР 01-02.22'!$A$11:$BB$378,27,FALSE)</f>
        <v>0</v>
      </c>
      <c r="AB388" s="5">
        <f>VLOOKUP($A388,'ПР 01-02.21'!$A$11:$BB$406,28,FALSE)+VLOOKUP($A388,'ПР 21-22'!$A$11:$BB$406,28,FALSE)-VLOOKUP($A388,'ПР 01-02.22'!$A$11:$BB$378,28,FALSE)</f>
        <v>4756</v>
      </c>
      <c r="AC388" s="5">
        <f>VLOOKUP($A388,'ПР 01-02.21'!$A$11:$BB$406,29,FALSE)+VLOOKUP($A388,'ПР 21-22'!$A$11:$BB$406,29,FALSE)-VLOOKUP($A388,'ПР 01-02.22'!$A$11:$BB$378,29,FALSE)</f>
        <v>3832</v>
      </c>
      <c r="AD388" s="5">
        <f>VLOOKUP($A388,'ПР 01-02.21'!$A$11:$BB$406,30,FALSE)+VLOOKUP($A388,'ПР 21-22'!$A$11:$BB$406,30,FALSE)-VLOOKUP($A388,'ПР 01-02.22'!$A$11:$BB$378,30,FALSE)</f>
        <v>13579.36</v>
      </c>
      <c r="AE388" s="5">
        <f>VLOOKUP($A388,'ПР 01-02.21'!$A$11:$BB$406,31,FALSE)+VLOOKUP($A388,'ПР 21-22'!$A$11:$BB$406,31,FALSE)-VLOOKUP($A388,'ПР 01-02.22'!$A$11:$BB$378,31,FALSE)</f>
        <v>4161.2230966949537</v>
      </c>
      <c r="AF388" s="5">
        <f>VLOOKUP($A388,'ПР 01-02.21'!$A$11:$BB$406,32,FALSE)+VLOOKUP($A388,'ПР 21-22'!$A$11:$BB$406,32,FALSE)-VLOOKUP($A388,'ПР 01-02.22'!$A$11:$BB$378,32,FALSE)</f>
        <v>2905</v>
      </c>
      <c r="AG388" s="40"/>
      <c r="AH388" s="5">
        <f>VLOOKUP($A388,'ПР 01-02.21'!$A$11:$BB$406,34,FALSE)+VLOOKUP($A388,'ПР 21-22'!$A$11:$BB$406,34,FALSE)-VLOOKUP($A388,'ПР 01-02.22'!$A$11:$BB$378,34,FALSE)</f>
        <v>5512.5954561358958</v>
      </c>
      <c r="AI388" s="5">
        <f>VLOOKUP($A388,'ПР 01-02.21'!$A$11:$BB$406,35,FALSE)+VLOOKUP($A388,'ПР 21-22'!$A$11:$BB$406,35,FALSE)-VLOOKUP($A388,'ПР 01-02.22'!$A$11:$BB$378,35,FALSE)</f>
        <v>0</v>
      </c>
      <c r="AJ388" s="40"/>
      <c r="AK388" s="5">
        <f>VLOOKUP($A388,'ПР 01-02.21'!$A$11:$BB$406,37,FALSE)+VLOOKUP($A388,'ПР 21-22'!$A$11:$BB$406,37,FALSE)-VLOOKUP($A388,'ПР 01-02.22'!$A$11:$BB$378,37,FALSE)</f>
        <v>2183.7062485783213</v>
      </c>
      <c r="AL388" s="5">
        <f>VLOOKUP($A388,'ПР 01-02.21'!$A$11:$BB$406,38,FALSE)+VLOOKUP($A388,'ПР 21-22'!$A$11:$BB$406,38,FALSE)-VLOOKUP($A388,'ПР 01-02.22'!$A$11:$BB$378,38,FALSE)</f>
        <v>0</v>
      </c>
      <c r="AM388" s="40"/>
      <c r="AN388" s="5">
        <f>VLOOKUP($A388,'ПР 01-02.21'!$A$11:$BB$406,40,FALSE)+VLOOKUP($A388,'ПР 21-22'!$A$11:$BB$406,40,FALSE)-VLOOKUP($A388,'ПР 01-02.22'!$A$11:$BB$378,40,FALSE)</f>
        <v>0</v>
      </c>
      <c r="AO388" s="5">
        <f>VLOOKUP($A388,'ПР 01-02.21'!$A$11:$BB$406,41,FALSE)+VLOOKUP($A388,'ПР 21-22'!$A$11:$BB$406,41,FALSE)-VLOOKUP($A388,'ПР 01-02.22'!$A$11:$BB$378,41,FALSE)</f>
        <v>0</v>
      </c>
      <c r="AP388" s="40"/>
      <c r="AQ388" s="5">
        <f>VLOOKUP($A388,'ПР 01-02.21'!$A$11:$BB$406,43,FALSE)+VLOOKUP($A388,'ПР 21-22'!$A$11:$BB$406,43,FALSE)-VLOOKUP($A388,'ПР 01-02.22'!$A$11:$BB$378,43,FALSE)</f>
        <v>1848.495256354521</v>
      </c>
      <c r="AR388" s="5">
        <f>VLOOKUP($A388,'ПР 01-02.21'!$A$11:$BB$406,44,FALSE)+VLOOKUP($A388,'ПР 21-22'!$A$11:$BB$406,44,FALSE)-VLOOKUP($A388,'ПР 01-02.22'!$A$11:$BB$378,44,FALSE)</f>
        <v>0</v>
      </c>
      <c r="AS388" s="40"/>
      <c r="AT388" s="5">
        <f>VLOOKUP($A388,'ПР 01-02.21'!$A$11:$BB$406,46,FALSE)+VLOOKUP($A388,'ПР 21-22'!$A$11:$BB$406,46,FALSE)-VLOOKUP($A388,'ПР 01-02.22'!$A$11:$BB$378,46,FALSE)</f>
        <v>3841.3699790388264</v>
      </c>
      <c r="AU388" s="5">
        <f>VLOOKUP($A388,'ПР 01-02.21'!$A$11:$BB$406,47,FALSE)+VLOOKUP($A388,'ПР 21-22'!$A$11:$BB$406,47,FALSE)-VLOOKUP($A388,'ПР 01-02.22'!$A$11:$BB$378,47,FALSE)</f>
        <v>0</v>
      </c>
      <c r="AV388" s="40"/>
      <c r="AW388" s="5">
        <f>VLOOKUP($A388,'ПР 01-02.21'!$A$11:$BB$406,49,FALSE)+VLOOKUP($A388,'ПР 21-22'!$A$11:$BB$406,49,FALSE)-VLOOKUP($A388,'ПР 01-02.22'!$A$11:$BB$378,49,FALSE)</f>
        <v>223.6968</v>
      </c>
      <c r="AX388" s="5">
        <f>VLOOKUP($A388,'ПР 01-02.21'!$A$11:$BB$406,50,FALSE)+VLOOKUP($A388,'ПР 21-22'!$A$11:$BB$406,50,FALSE)-VLOOKUP($A388,'ПР 01-02.22'!$A$11:$BB$378,50,FALSE)</f>
        <v>0</v>
      </c>
      <c r="AY388" s="40"/>
      <c r="AZ388" s="40">
        <f t="shared" si="25"/>
        <v>17771.086836802519</v>
      </c>
      <c r="BA388" s="40">
        <f t="shared" si="25"/>
        <v>2905</v>
      </c>
      <c r="BB388" s="55">
        <f t="shared" si="24"/>
        <v>-14866.086836802519</v>
      </c>
      <c r="BD388" s="2">
        <v>3</v>
      </c>
      <c r="BF388" s="325">
        <v>150000912</v>
      </c>
    </row>
    <row r="389" spans="1:58" ht="24.9" customHeight="1" x14ac:dyDescent="0.3">
      <c r="A389" s="325">
        <v>150000913</v>
      </c>
      <c r="B389" s="445" t="s">
        <v>321</v>
      </c>
      <c r="C389" s="27">
        <v>5</v>
      </c>
      <c r="D389" s="101" t="s">
        <v>455</v>
      </c>
      <c r="E389" s="279">
        <f>'побудинковий звіт'!E387</f>
        <v>2779.82</v>
      </c>
      <c r="F389" s="441">
        <f>'побудинковий звіт'!AS387</f>
        <v>43380.77816675014</v>
      </c>
      <c r="G389" s="441">
        <f t="shared" si="22"/>
        <v>22570.497177755155</v>
      </c>
      <c r="H389" s="73">
        <f t="shared" si="23"/>
        <v>-20810.280988994986</v>
      </c>
      <c r="I389" s="5">
        <f>VLOOKUP($A389,'ПР 01-02.21'!$A$11:$BB$406,9,FALSE)+VLOOKUP($A389,'ПР 21-22'!$A$11:$BB$406,9,FALSE)-VLOOKUP($A389,'ПР 01-02.22'!$A$11:$BB$378,9,FALSE)</f>
        <v>73.099999999999994</v>
      </c>
      <c r="J389" s="5">
        <f>VLOOKUP($A389,'ПР 01-02.21'!$A$11:$BB$406,10,FALSE)+VLOOKUP($A389,'ПР 21-22'!$A$11:$BB$406,10,FALSE)-VLOOKUP($A389,'ПР 01-02.22'!$A$11:$BB$378,10,FALSE)</f>
        <v>14961</v>
      </c>
      <c r="K389" s="446"/>
      <c r="L389" s="5">
        <f>VLOOKUP($A389,'ПР 01-02.21'!$A$11:$BB$406,12,FALSE)+VLOOKUP($A389,'ПР 21-22'!$A$11:$BB$406,12,FALSE)-VLOOKUP($A389,'ПР 01-02.22'!$A$11:$BB$378,12,FALSE)</f>
        <v>0</v>
      </c>
      <c r="M389" s="5">
        <f>VLOOKUP($A389,'ПР 01-02.21'!$A$11:$BB$406,13,FALSE)+VLOOKUP($A389,'ПР 21-22'!$A$11:$BB$406,13,FALSE)-VLOOKUP($A389,'ПР 01-02.22'!$A$11:$BB$378,13,FALSE)</f>
        <v>0</v>
      </c>
      <c r="N389" s="38"/>
      <c r="O389" s="5">
        <f>VLOOKUP($A389,'ПР 01-02.21'!$A$11:$BB$406,15,FALSE)+VLOOKUP($A389,'ПР 21-22'!$A$11:$BB$406,15,FALSE)-VLOOKUP($A389,'ПР 01-02.22'!$A$11:$BB$378,15,FALSE)</f>
        <v>0</v>
      </c>
      <c r="P389" s="5">
        <f>VLOOKUP($A389,'ПР 01-02.21'!$A$11:$BB$406,16,FALSE)+VLOOKUP($A389,'ПР 21-22'!$A$11:$BB$406,16,FALSE)-VLOOKUP($A389,'ПР 01-02.22'!$A$11:$BB$378,16,FALSE)</f>
        <v>0</v>
      </c>
      <c r="Q389" s="443"/>
      <c r="R389" s="5">
        <f>VLOOKUP($A389,'ПР 01-02.21'!$A$11:$BB$406,18,FALSE)+VLOOKUP($A389,'ПР 21-22'!$A$11:$BB$406,18,FALSE)-VLOOKUP($A389,'ПР 01-02.22'!$A$11:$BB$378,18,FALSE)</f>
        <v>0</v>
      </c>
      <c r="S389" s="5">
        <f>VLOOKUP($A389,'ПР 01-02.21'!$A$11:$BB$406,19,FALSE)+VLOOKUP($A389,'ПР 21-22'!$A$11:$BB$406,19,FALSE)-VLOOKUP($A389,'ПР 01-02.22'!$A$11:$BB$378,19,FALSE)</f>
        <v>0</v>
      </c>
      <c r="T389" s="444"/>
      <c r="U389" s="5">
        <f>VLOOKUP($A389,'ПР 01-02.21'!$A$11:$BB$406,21,FALSE)+VLOOKUP($A389,'ПР 21-22'!$A$11:$BB$406,21,FALSE)-VLOOKUP($A389,'ПР 01-02.22'!$A$11:$BB$378,21,FALSE)</f>
        <v>0</v>
      </c>
      <c r="V389" s="5"/>
      <c r="W389" s="5">
        <f>VLOOKUP($A389,'ПР 01-02.21'!$A$11:$BB$406,23,FALSE)+VLOOKUP($A389,'ПР 21-22'!$A$11:$BB$406,23,FALSE)-VLOOKUP($A389,'ПР 01-02.22'!$A$11:$BB$378,23,FALSE)</f>
        <v>0</v>
      </c>
      <c r="X389" s="5">
        <f>VLOOKUP($A389,'ПР 01-02.21'!$A$11:$BB$406,24,FALSE)+VLOOKUP($A389,'ПР 21-22'!$A$11:$BB$406,24,FALSE)-VLOOKUP($A389,'ПР 01-02.22'!$A$11:$BB$378,24,FALSE)</f>
        <v>163.49717775515711</v>
      </c>
      <c r="Y389" s="5">
        <f>VLOOKUP($A389,'ПР 01-02.21'!$A$11:$BB$406,25,FALSE)+VLOOKUP($A389,'ПР 21-22'!$A$11:$BB$406,25,FALSE)-VLOOKUP($A389,'ПР 01-02.22'!$A$11:$BB$378,25,FALSE)</f>
        <v>4222</v>
      </c>
      <c r="Z389" s="5"/>
      <c r="AA389" s="5">
        <f>VLOOKUP($A389,'ПР 01-02.21'!$A$11:$BB$406,27,FALSE)+VLOOKUP($A389,'ПР 21-22'!$A$11:$BB$406,27,FALSE)-VLOOKUP($A389,'ПР 01-02.22'!$A$11:$BB$378,27,FALSE)</f>
        <v>0</v>
      </c>
      <c r="AB389" s="5">
        <f>VLOOKUP($A389,'ПР 01-02.21'!$A$11:$BB$406,28,FALSE)+VLOOKUP($A389,'ПР 21-22'!$A$11:$BB$406,28,FALSE)-VLOOKUP($A389,'ПР 01-02.22'!$A$11:$BB$378,28,FALSE)</f>
        <v>1306</v>
      </c>
      <c r="AC389" s="5">
        <f>VLOOKUP($A389,'ПР 01-02.21'!$A$11:$BB$406,29,FALSE)+VLOOKUP($A389,'ПР 21-22'!$A$11:$BB$406,29,FALSE)-VLOOKUP($A389,'ПР 01-02.22'!$A$11:$BB$378,29,FALSE)</f>
        <v>692</v>
      </c>
      <c r="AD389" s="5">
        <f>VLOOKUP($A389,'ПР 01-02.21'!$A$11:$BB$406,30,FALSE)+VLOOKUP($A389,'ПР 21-22'!$A$11:$BB$406,30,FALSE)-VLOOKUP($A389,'ПР 01-02.22'!$A$11:$BB$378,30,FALSE)</f>
        <v>1226</v>
      </c>
      <c r="AE389" s="5">
        <f>VLOOKUP($A389,'ПР 01-02.21'!$A$11:$BB$406,31,FALSE)+VLOOKUP($A389,'ПР 21-22'!$A$11:$BB$406,31,FALSE)-VLOOKUP($A389,'ПР 01-02.22'!$A$11:$BB$378,31,FALSE)</f>
        <v>2763.9483045170332</v>
      </c>
      <c r="AF389" s="5">
        <f>VLOOKUP($A389,'ПР 01-02.21'!$A$11:$BB$406,32,FALSE)+VLOOKUP($A389,'ПР 21-22'!$A$11:$BB$406,32,FALSE)-VLOOKUP($A389,'ПР 01-02.22'!$A$11:$BB$378,32,FALSE)</f>
        <v>505</v>
      </c>
      <c r="AG389" s="40"/>
      <c r="AH389" s="5">
        <f>VLOOKUP($A389,'ПР 01-02.21'!$A$11:$BB$406,34,FALSE)+VLOOKUP($A389,'ПР 21-22'!$A$11:$BB$406,34,FALSE)-VLOOKUP($A389,'ПР 01-02.22'!$A$11:$BB$378,34,FALSE)</f>
        <v>3642.9928788840521</v>
      </c>
      <c r="AI389" s="5">
        <f>VLOOKUP($A389,'ПР 01-02.21'!$A$11:$BB$406,35,FALSE)+VLOOKUP($A389,'ПР 21-22'!$A$11:$BB$406,35,FALSE)-VLOOKUP($A389,'ПР 01-02.22'!$A$11:$BB$378,35,FALSE)</f>
        <v>3795</v>
      </c>
      <c r="AJ389" s="40"/>
      <c r="AK389" s="5">
        <f>VLOOKUP($A389,'ПР 01-02.21'!$A$11:$BB$406,37,FALSE)+VLOOKUP($A389,'ПР 21-22'!$A$11:$BB$406,37,FALSE)-VLOOKUP($A389,'ПР 01-02.22'!$A$11:$BB$378,37,FALSE)</f>
        <v>1294.1908339190568</v>
      </c>
      <c r="AL389" s="5">
        <f>VLOOKUP($A389,'ПР 01-02.21'!$A$11:$BB$406,38,FALSE)+VLOOKUP($A389,'ПР 21-22'!$A$11:$BB$406,38,FALSE)-VLOOKUP($A389,'ПР 01-02.22'!$A$11:$BB$378,38,FALSE)</f>
        <v>4329</v>
      </c>
      <c r="AM389" s="40"/>
      <c r="AN389" s="5">
        <f>VLOOKUP($A389,'ПР 01-02.21'!$A$11:$BB$406,40,FALSE)+VLOOKUP($A389,'ПР 21-22'!$A$11:$BB$406,40,FALSE)-VLOOKUP($A389,'ПР 01-02.22'!$A$11:$BB$378,40,FALSE)</f>
        <v>0</v>
      </c>
      <c r="AO389" s="5">
        <f>VLOOKUP($A389,'ПР 01-02.21'!$A$11:$BB$406,41,FALSE)+VLOOKUP($A389,'ПР 21-22'!$A$11:$BB$406,41,FALSE)-VLOOKUP($A389,'ПР 01-02.22'!$A$11:$BB$378,41,FALSE)</f>
        <v>0</v>
      </c>
      <c r="AP389" s="40"/>
      <c r="AQ389" s="5">
        <f>VLOOKUP($A389,'ПР 01-02.21'!$A$11:$BB$406,43,FALSE)+VLOOKUP($A389,'ПР 21-22'!$A$11:$BB$406,43,FALSE)-VLOOKUP($A389,'ПР 01-02.22'!$A$11:$BB$378,43,FALSE)</f>
        <v>1848.495256354521</v>
      </c>
      <c r="AR389" s="5">
        <f>VLOOKUP($A389,'ПР 01-02.21'!$A$11:$BB$406,44,FALSE)+VLOOKUP($A389,'ПР 21-22'!$A$11:$BB$406,44,FALSE)-VLOOKUP($A389,'ПР 01-02.22'!$A$11:$BB$378,44,FALSE)</f>
        <v>0</v>
      </c>
      <c r="AS389" s="40"/>
      <c r="AT389" s="5">
        <f>VLOOKUP($A389,'ПР 01-02.21'!$A$11:$BB$406,46,FALSE)+VLOOKUP($A389,'ПР 21-22'!$A$11:$BB$406,46,FALSE)-VLOOKUP($A389,'ПР 01-02.22'!$A$11:$BB$378,46,FALSE)</f>
        <v>1897.463402470481</v>
      </c>
      <c r="AU389" s="5">
        <f>VLOOKUP($A389,'ПР 01-02.21'!$A$11:$BB$406,47,FALSE)+VLOOKUP($A389,'ПР 21-22'!$A$11:$BB$406,47,FALSE)-VLOOKUP($A389,'ПР 01-02.22'!$A$11:$BB$378,47,FALSE)</f>
        <v>1901</v>
      </c>
      <c r="AV389" s="40"/>
      <c r="AW389" s="5">
        <f>VLOOKUP($A389,'ПР 01-02.21'!$A$11:$BB$406,49,FALSE)+VLOOKUP($A389,'ПР 21-22'!$A$11:$BB$406,49,FALSE)-VLOOKUP($A389,'ПР 01-02.22'!$A$11:$BB$378,49,FALSE)</f>
        <v>139.1848</v>
      </c>
      <c r="AX389" s="5">
        <f>VLOOKUP($A389,'ПР 01-02.21'!$A$11:$BB$406,50,FALSE)+VLOOKUP($A389,'ПР 21-22'!$A$11:$BB$406,50,FALSE)-VLOOKUP($A389,'ПР 01-02.22'!$A$11:$BB$378,50,FALSE)</f>
        <v>3505.16</v>
      </c>
      <c r="AY389" s="40"/>
      <c r="AZ389" s="40">
        <f t="shared" si="25"/>
        <v>11586.275476145143</v>
      </c>
      <c r="BA389" s="40">
        <f t="shared" si="25"/>
        <v>14035.16</v>
      </c>
      <c r="BB389" s="55">
        <f t="shared" si="24"/>
        <v>2448.8845238548565</v>
      </c>
      <c r="BD389" s="2">
        <v>3</v>
      </c>
      <c r="BF389" s="325">
        <v>150000913</v>
      </c>
    </row>
    <row r="390" spans="1:58" ht="24.9" customHeight="1" x14ac:dyDescent="0.3">
      <c r="A390" s="325">
        <v>150000914</v>
      </c>
      <c r="B390" s="445" t="s">
        <v>322</v>
      </c>
      <c r="C390" s="27">
        <v>5</v>
      </c>
      <c r="D390" s="101" t="s">
        <v>455</v>
      </c>
      <c r="E390" s="279">
        <f>'побудинковий звіт'!E388</f>
        <v>2762.3</v>
      </c>
      <c r="F390" s="441">
        <f>'побудинковий звіт'!AS388</f>
        <v>43518.044092066266</v>
      </c>
      <c r="G390" s="441">
        <f t="shared" si="22"/>
        <v>24041.977880247683</v>
      </c>
      <c r="H390" s="73">
        <f t="shared" si="23"/>
        <v>-19476.066211818583</v>
      </c>
      <c r="I390" s="5">
        <f>VLOOKUP($A390,'ПР 01-02.21'!$A$11:$BB$406,9,FALSE)+VLOOKUP($A390,'ПР 21-22'!$A$11:$BB$406,9,FALSE)-VLOOKUP($A390,'ПР 01-02.22'!$A$11:$BB$378,9,FALSE)</f>
        <v>104.42</v>
      </c>
      <c r="J390" s="5">
        <f>VLOOKUP($A390,'ПР 01-02.21'!$A$11:$BB$406,10,FALSE)+VLOOKUP($A390,'ПР 21-22'!$A$11:$BB$406,10,FALSE)-VLOOKUP($A390,'ПР 01-02.22'!$A$11:$BB$378,10,FALSE)</f>
        <v>18350</v>
      </c>
      <c r="K390" s="446"/>
      <c r="L390" s="5">
        <f>VLOOKUP($A390,'ПР 01-02.21'!$A$11:$BB$406,12,FALSE)+VLOOKUP($A390,'ПР 21-22'!$A$11:$BB$406,12,FALSE)-VLOOKUP($A390,'ПР 01-02.22'!$A$11:$BB$378,12,FALSE)</f>
        <v>0</v>
      </c>
      <c r="M390" s="5">
        <f>VLOOKUP($A390,'ПР 01-02.21'!$A$11:$BB$406,13,FALSE)+VLOOKUP($A390,'ПР 21-22'!$A$11:$BB$406,13,FALSE)-VLOOKUP($A390,'ПР 01-02.22'!$A$11:$BB$378,13,FALSE)</f>
        <v>0</v>
      </c>
      <c r="N390" s="38"/>
      <c r="O390" s="5">
        <f>VLOOKUP($A390,'ПР 01-02.21'!$A$11:$BB$406,15,FALSE)+VLOOKUP($A390,'ПР 21-22'!$A$11:$BB$406,15,FALSE)-VLOOKUP($A390,'ПР 01-02.22'!$A$11:$BB$378,15,FALSE)</f>
        <v>6</v>
      </c>
      <c r="P390" s="5">
        <f>VLOOKUP($A390,'ПР 01-02.21'!$A$11:$BB$406,16,FALSE)+VLOOKUP($A390,'ПР 21-22'!$A$11:$BB$406,16,FALSE)-VLOOKUP($A390,'ПР 01-02.22'!$A$11:$BB$378,16,FALSE)</f>
        <v>1742</v>
      </c>
      <c r="Q390" s="443"/>
      <c r="R390" s="5">
        <f>VLOOKUP($A390,'ПР 01-02.21'!$A$11:$BB$406,18,FALSE)+VLOOKUP($A390,'ПР 21-22'!$A$11:$BB$406,18,FALSE)-VLOOKUP($A390,'ПР 01-02.22'!$A$11:$BB$378,18,FALSE)</f>
        <v>0</v>
      </c>
      <c r="S390" s="5">
        <f>VLOOKUP($A390,'ПР 01-02.21'!$A$11:$BB$406,19,FALSE)+VLOOKUP($A390,'ПР 21-22'!$A$11:$BB$406,19,FALSE)-VLOOKUP($A390,'ПР 01-02.22'!$A$11:$BB$378,19,FALSE)</f>
        <v>0</v>
      </c>
      <c r="T390" s="444"/>
      <c r="U390" s="5">
        <f>VLOOKUP($A390,'ПР 01-02.21'!$A$11:$BB$406,21,FALSE)+VLOOKUP($A390,'ПР 21-22'!$A$11:$BB$406,21,FALSE)-VLOOKUP($A390,'ПР 01-02.22'!$A$11:$BB$378,21,FALSE)</f>
        <v>0</v>
      </c>
      <c r="V390" s="5"/>
      <c r="W390" s="5">
        <f>VLOOKUP($A390,'ПР 01-02.21'!$A$11:$BB$406,23,FALSE)+VLOOKUP($A390,'ПР 21-22'!$A$11:$BB$406,23,FALSE)-VLOOKUP($A390,'ПР 01-02.22'!$A$11:$BB$378,23,FALSE)</f>
        <v>18</v>
      </c>
      <c r="X390" s="5">
        <f>VLOOKUP($A390,'ПР 01-02.21'!$A$11:$BB$406,24,FALSE)+VLOOKUP($A390,'ПР 21-22'!$A$11:$BB$406,24,FALSE)-VLOOKUP($A390,'ПР 01-02.22'!$A$11:$BB$378,24,FALSE)</f>
        <v>1103.9778802476842</v>
      </c>
      <c r="Y390" s="5">
        <f>VLOOKUP($A390,'ПР 01-02.21'!$A$11:$BB$406,25,FALSE)+VLOOKUP($A390,'ПР 21-22'!$A$11:$BB$406,25,FALSE)-VLOOKUP($A390,'ПР 01-02.22'!$A$11:$BB$378,25,FALSE)</f>
        <v>0</v>
      </c>
      <c r="Z390" s="5"/>
      <c r="AA390" s="5">
        <f>VLOOKUP($A390,'ПР 01-02.21'!$A$11:$BB$406,27,FALSE)+VLOOKUP($A390,'ПР 21-22'!$A$11:$BB$406,27,FALSE)-VLOOKUP($A390,'ПР 01-02.22'!$A$11:$BB$378,27,FALSE)</f>
        <v>0</v>
      </c>
      <c r="AB390" s="5">
        <f>VLOOKUP($A390,'ПР 01-02.21'!$A$11:$BB$406,28,FALSE)+VLOOKUP($A390,'ПР 21-22'!$A$11:$BB$406,28,FALSE)-VLOOKUP($A390,'ПР 01-02.22'!$A$11:$BB$378,28,FALSE)</f>
        <v>782</v>
      </c>
      <c r="AC390" s="5">
        <f>VLOOKUP($A390,'ПР 01-02.21'!$A$11:$BB$406,29,FALSE)+VLOOKUP($A390,'ПР 21-22'!$A$11:$BB$406,29,FALSE)-VLOOKUP($A390,'ПР 01-02.22'!$A$11:$BB$378,29,FALSE)</f>
        <v>1351</v>
      </c>
      <c r="AD390" s="5">
        <f>VLOOKUP($A390,'ПР 01-02.21'!$A$11:$BB$406,30,FALSE)+VLOOKUP($A390,'ПР 21-22'!$A$11:$BB$406,30,FALSE)-VLOOKUP($A390,'ПР 01-02.22'!$A$11:$BB$378,30,FALSE)</f>
        <v>713</v>
      </c>
      <c r="AE390" s="5">
        <f>VLOOKUP($A390,'ПР 01-02.21'!$A$11:$BB$406,31,FALSE)+VLOOKUP($A390,'ПР 21-22'!$A$11:$BB$406,31,FALSE)-VLOOKUP($A390,'ПР 01-02.22'!$A$11:$BB$378,31,FALSE)</f>
        <v>2763.9483045170332</v>
      </c>
      <c r="AF390" s="5">
        <f>VLOOKUP($A390,'ПР 01-02.21'!$A$11:$BB$406,32,FALSE)+VLOOKUP($A390,'ПР 21-22'!$A$11:$BB$406,32,FALSE)-VLOOKUP($A390,'ПР 01-02.22'!$A$11:$BB$378,32,FALSE)</f>
        <v>0</v>
      </c>
      <c r="AG390" s="40"/>
      <c r="AH390" s="5">
        <f>VLOOKUP($A390,'ПР 01-02.21'!$A$11:$BB$406,34,FALSE)+VLOOKUP($A390,'ПР 21-22'!$A$11:$BB$406,34,FALSE)-VLOOKUP($A390,'ПР 01-02.22'!$A$11:$BB$378,34,FALSE)</f>
        <v>3642.9928788840521</v>
      </c>
      <c r="AI390" s="5">
        <f>VLOOKUP($A390,'ПР 01-02.21'!$A$11:$BB$406,35,FALSE)+VLOOKUP($A390,'ПР 21-22'!$A$11:$BB$406,35,FALSE)-VLOOKUP($A390,'ПР 01-02.22'!$A$11:$BB$378,35,FALSE)</f>
        <v>4203</v>
      </c>
      <c r="AJ390" s="40"/>
      <c r="AK390" s="5">
        <f>VLOOKUP($A390,'ПР 01-02.21'!$A$11:$BB$406,37,FALSE)+VLOOKUP($A390,'ПР 21-22'!$A$11:$BB$406,37,FALSE)-VLOOKUP($A390,'ПР 01-02.22'!$A$11:$BB$378,37,FALSE)</f>
        <v>1294.1908339190568</v>
      </c>
      <c r="AL390" s="5">
        <f>VLOOKUP($A390,'ПР 01-02.21'!$A$11:$BB$406,38,FALSE)+VLOOKUP($A390,'ПР 21-22'!$A$11:$BB$406,38,FALSE)-VLOOKUP($A390,'ПР 01-02.22'!$A$11:$BB$378,38,FALSE)</f>
        <v>0</v>
      </c>
      <c r="AM390" s="40"/>
      <c r="AN390" s="5">
        <f>VLOOKUP($A390,'ПР 01-02.21'!$A$11:$BB$406,40,FALSE)+VLOOKUP($A390,'ПР 21-22'!$A$11:$BB$406,40,FALSE)-VLOOKUP($A390,'ПР 01-02.22'!$A$11:$BB$378,40,FALSE)</f>
        <v>0</v>
      </c>
      <c r="AO390" s="5">
        <f>VLOOKUP($A390,'ПР 01-02.21'!$A$11:$BB$406,41,FALSE)+VLOOKUP($A390,'ПР 21-22'!$A$11:$BB$406,41,FALSE)-VLOOKUP($A390,'ПР 01-02.22'!$A$11:$BB$378,41,FALSE)</f>
        <v>0</v>
      </c>
      <c r="AP390" s="40"/>
      <c r="AQ390" s="5">
        <f>VLOOKUP($A390,'ПР 01-02.21'!$A$11:$BB$406,43,FALSE)+VLOOKUP($A390,'ПР 21-22'!$A$11:$BB$406,43,FALSE)-VLOOKUP($A390,'ПР 01-02.22'!$A$11:$BB$378,43,FALSE)</f>
        <v>1848.495256354521</v>
      </c>
      <c r="AR390" s="5">
        <f>VLOOKUP($A390,'ПР 01-02.21'!$A$11:$BB$406,44,FALSE)+VLOOKUP($A390,'ПР 21-22'!$A$11:$BB$406,44,FALSE)-VLOOKUP($A390,'ПР 01-02.22'!$A$11:$BB$378,44,FALSE)</f>
        <v>0</v>
      </c>
      <c r="AS390" s="40"/>
      <c r="AT390" s="5">
        <f>VLOOKUP($A390,'ПР 01-02.21'!$A$11:$BB$406,46,FALSE)+VLOOKUP($A390,'ПР 21-22'!$A$11:$BB$406,46,FALSE)-VLOOKUP($A390,'ПР 01-02.22'!$A$11:$BB$378,46,FALSE)</f>
        <v>1897.463402470481</v>
      </c>
      <c r="AU390" s="5">
        <f>VLOOKUP($A390,'ПР 01-02.21'!$A$11:$BB$406,47,FALSE)+VLOOKUP($A390,'ПР 21-22'!$A$11:$BB$406,47,FALSE)-VLOOKUP($A390,'ПР 01-02.22'!$A$11:$BB$378,47,FALSE)</f>
        <v>0</v>
      </c>
      <c r="AV390" s="40"/>
      <c r="AW390" s="5">
        <f>VLOOKUP($A390,'ПР 01-02.21'!$A$11:$BB$406,49,FALSE)+VLOOKUP($A390,'ПР 21-22'!$A$11:$BB$406,49,FALSE)-VLOOKUP($A390,'ПР 01-02.22'!$A$11:$BB$378,49,FALSE)</f>
        <v>138.49200000000002</v>
      </c>
      <c r="AX390" s="5">
        <f>VLOOKUP($A390,'ПР 01-02.21'!$A$11:$BB$406,50,FALSE)+VLOOKUP($A390,'ПР 21-22'!$A$11:$BB$406,50,FALSE)-VLOOKUP($A390,'ПР 01-02.22'!$A$11:$BB$378,50,FALSE)</f>
        <v>3397.65</v>
      </c>
      <c r="AY390" s="40"/>
      <c r="AZ390" s="40">
        <f t="shared" si="25"/>
        <v>11585.582676145144</v>
      </c>
      <c r="BA390" s="40">
        <f t="shared" si="25"/>
        <v>7600.65</v>
      </c>
      <c r="BB390" s="55">
        <f t="shared" si="24"/>
        <v>-3984.9326761451448</v>
      </c>
      <c r="BD390" s="2">
        <v>3</v>
      </c>
      <c r="BF390" s="325">
        <v>150000914</v>
      </c>
    </row>
    <row r="391" spans="1:58" ht="24.9" customHeight="1" x14ac:dyDescent="0.3">
      <c r="A391" s="325">
        <v>150000915</v>
      </c>
      <c r="B391" s="445" t="s">
        <v>323</v>
      </c>
      <c r="C391" s="27">
        <v>5</v>
      </c>
      <c r="D391" s="101" t="s">
        <v>455</v>
      </c>
      <c r="E391" s="279">
        <f>'побудинковий звіт'!E389</f>
        <v>2743.4</v>
      </c>
      <c r="F391" s="441">
        <f>'побудинковий звіт'!AS389</f>
        <v>39156.422053976683</v>
      </c>
      <c r="G391" s="441">
        <f t="shared" si="22"/>
        <v>19795.404838964918</v>
      </c>
      <c r="H391" s="73">
        <f t="shared" si="23"/>
        <v>-19361.017215011765</v>
      </c>
      <c r="I391" s="5">
        <f>VLOOKUP($A391,'ПР 01-02.21'!$A$11:$BB$406,9,FALSE)+VLOOKUP($A391,'ПР 21-22'!$A$11:$BB$406,9,FALSE)-VLOOKUP($A391,'ПР 01-02.22'!$A$11:$BB$378,9,FALSE)</f>
        <v>34.799999999999997</v>
      </c>
      <c r="J391" s="5">
        <f>VLOOKUP($A391,'ПР 01-02.21'!$A$11:$BB$406,10,FALSE)+VLOOKUP($A391,'ПР 21-22'!$A$11:$BB$406,10,FALSE)-VLOOKUP($A391,'ПР 01-02.22'!$A$11:$BB$378,10,FALSE)</f>
        <v>5901</v>
      </c>
      <c r="K391" s="446"/>
      <c r="L391" s="5">
        <f>VLOOKUP($A391,'ПР 01-02.21'!$A$11:$BB$406,12,FALSE)+VLOOKUP($A391,'ПР 21-22'!$A$11:$BB$406,12,FALSE)-VLOOKUP($A391,'ПР 01-02.22'!$A$11:$BB$378,12,FALSE)</f>
        <v>0</v>
      </c>
      <c r="M391" s="5">
        <f>VLOOKUP($A391,'ПР 01-02.21'!$A$11:$BB$406,13,FALSE)+VLOOKUP($A391,'ПР 21-22'!$A$11:$BB$406,13,FALSE)-VLOOKUP($A391,'ПР 01-02.22'!$A$11:$BB$378,13,FALSE)</f>
        <v>8297</v>
      </c>
      <c r="N391" s="38"/>
      <c r="O391" s="5">
        <f>VLOOKUP($A391,'ПР 01-02.21'!$A$11:$BB$406,15,FALSE)+VLOOKUP($A391,'ПР 21-22'!$A$11:$BB$406,15,FALSE)-VLOOKUP($A391,'ПР 01-02.22'!$A$11:$BB$378,15,FALSE)</f>
        <v>0</v>
      </c>
      <c r="P391" s="5">
        <f>VLOOKUP($A391,'ПР 01-02.21'!$A$11:$BB$406,16,FALSE)+VLOOKUP($A391,'ПР 21-22'!$A$11:$BB$406,16,FALSE)-VLOOKUP($A391,'ПР 01-02.22'!$A$11:$BB$378,16,FALSE)</f>
        <v>0</v>
      </c>
      <c r="Q391" s="443"/>
      <c r="R391" s="5">
        <f>VLOOKUP($A391,'ПР 01-02.21'!$A$11:$BB$406,18,FALSE)+VLOOKUP($A391,'ПР 21-22'!$A$11:$BB$406,18,FALSE)-VLOOKUP($A391,'ПР 01-02.22'!$A$11:$BB$378,18,FALSE)</f>
        <v>0</v>
      </c>
      <c r="S391" s="5">
        <f>VLOOKUP($A391,'ПР 01-02.21'!$A$11:$BB$406,19,FALSE)+VLOOKUP($A391,'ПР 21-22'!$A$11:$BB$406,19,FALSE)-VLOOKUP($A391,'ПР 01-02.22'!$A$11:$BB$378,19,FALSE)</f>
        <v>0</v>
      </c>
      <c r="T391" s="444"/>
      <c r="U391" s="5">
        <f>VLOOKUP($A391,'ПР 01-02.21'!$A$11:$BB$406,21,FALSE)+VLOOKUP($A391,'ПР 21-22'!$A$11:$BB$406,21,FALSE)-VLOOKUP($A391,'ПР 01-02.22'!$A$11:$BB$378,21,FALSE)</f>
        <v>0</v>
      </c>
      <c r="V391" s="5"/>
      <c r="W391" s="5">
        <f>VLOOKUP($A391,'ПР 01-02.21'!$A$11:$BB$406,23,FALSE)+VLOOKUP($A391,'ПР 21-22'!$A$11:$BB$406,23,FALSE)-VLOOKUP($A391,'ПР 01-02.22'!$A$11:$BB$378,23,FALSE)</f>
        <v>0</v>
      </c>
      <c r="X391" s="5">
        <f>VLOOKUP($A391,'ПР 01-02.21'!$A$11:$BB$406,24,FALSE)+VLOOKUP($A391,'ПР 21-22'!$A$11:$BB$406,24,FALSE)-VLOOKUP($A391,'ПР 01-02.22'!$A$11:$BB$378,24,FALSE)</f>
        <v>2450.4048389649174</v>
      </c>
      <c r="Y391" s="5">
        <f>VLOOKUP($A391,'ПР 01-02.21'!$A$11:$BB$406,25,FALSE)+VLOOKUP($A391,'ПР 21-22'!$A$11:$BB$406,25,FALSE)-VLOOKUP($A391,'ПР 01-02.22'!$A$11:$BB$378,25,FALSE)</f>
        <v>0</v>
      </c>
      <c r="Z391" s="5"/>
      <c r="AA391" s="5">
        <f>VLOOKUP($A391,'ПР 01-02.21'!$A$11:$BB$406,27,FALSE)+VLOOKUP($A391,'ПР 21-22'!$A$11:$BB$406,27,FALSE)-VLOOKUP($A391,'ПР 01-02.22'!$A$11:$BB$378,27,FALSE)</f>
        <v>0</v>
      </c>
      <c r="AB391" s="5">
        <f>VLOOKUP($A391,'ПР 01-02.21'!$A$11:$BB$406,28,FALSE)+VLOOKUP($A391,'ПР 21-22'!$A$11:$BB$406,28,FALSE)-VLOOKUP($A391,'ПР 01-02.22'!$A$11:$BB$378,28,FALSE)</f>
        <v>0</v>
      </c>
      <c r="AC391" s="5">
        <f>VLOOKUP($A391,'ПР 01-02.21'!$A$11:$BB$406,29,FALSE)+VLOOKUP($A391,'ПР 21-22'!$A$11:$BB$406,29,FALSE)-VLOOKUP($A391,'ПР 01-02.22'!$A$11:$BB$378,29,FALSE)</f>
        <v>1991</v>
      </c>
      <c r="AD391" s="5">
        <f>VLOOKUP($A391,'ПР 01-02.21'!$A$11:$BB$406,30,FALSE)+VLOOKUP($A391,'ПР 21-22'!$A$11:$BB$406,30,FALSE)-VLOOKUP($A391,'ПР 01-02.22'!$A$11:$BB$378,30,FALSE)</f>
        <v>1156</v>
      </c>
      <c r="AE391" s="5">
        <f>VLOOKUP($A391,'ПР 01-02.21'!$A$11:$BB$406,31,FALSE)+VLOOKUP($A391,'ПР 21-22'!$A$11:$BB$406,31,FALSE)-VLOOKUP($A391,'ПР 01-02.22'!$A$11:$BB$378,31,FALSE)</f>
        <v>2763.5077174197863</v>
      </c>
      <c r="AF391" s="5">
        <f>VLOOKUP($A391,'ПР 01-02.21'!$A$11:$BB$406,32,FALSE)+VLOOKUP($A391,'ПР 21-22'!$A$11:$BB$406,32,FALSE)-VLOOKUP($A391,'ПР 01-02.22'!$A$11:$BB$378,32,FALSE)</f>
        <v>1476.3600000000001</v>
      </c>
      <c r="AG391" s="40"/>
      <c r="AH391" s="5">
        <f>VLOOKUP($A391,'ПР 01-02.21'!$A$11:$BB$406,34,FALSE)+VLOOKUP($A391,'ПР 21-22'!$A$11:$BB$406,34,FALSE)-VLOOKUP($A391,'ПР 01-02.22'!$A$11:$BB$378,34,FALSE)</f>
        <v>3642.9928788840521</v>
      </c>
      <c r="AI391" s="5">
        <f>VLOOKUP($A391,'ПР 01-02.21'!$A$11:$BB$406,35,FALSE)+VLOOKUP($A391,'ПР 21-22'!$A$11:$BB$406,35,FALSE)-VLOOKUP($A391,'ПР 01-02.22'!$A$11:$BB$378,35,FALSE)</f>
        <v>1953.72</v>
      </c>
      <c r="AJ391" s="40"/>
      <c r="AK391" s="5">
        <f>VLOOKUP($A391,'ПР 01-02.21'!$A$11:$BB$406,37,FALSE)+VLOOKUP($A391,'ПР 21-22'!$A$11:$BB$406,37,FALSE)-VLOOKUP($A391,'ПР 01-02.22'!$A$11:$BB$378,37,FALSE)</f>
        <v>1294.1908339190568</v>
      </c>
      <c r="AL391" s="5">
        <f>VLOOKUP($A391,'ПР 01-02.21'!$A$11:$BB$406,38,FALSE)+VLOOKUP($A391,'ПР 21-22'!$A$11:$BB$406,38,FALSE)-VLOOKUP($A391,'ПР 01-02.22'!$A$11:$BB$378,38,FALSE)</f>
        <v>0</v>
      </c>
      <c r="AM391" s="40"/>
      <c r="AN391" s="5">
        <f>VLOOKUP($A391,'ПР 01-02.21'!$A$11:$BB$406,40,FALSE)+VLOOKUP($A391,'ПР 21-22'!$A$11:$BB$406,40,FALSE)-VLOOKUP($A391,'ПР 01-02.22'!$A$11:$BB$378,40,FALSE)</f>
        <v>0</v>
      </c>
      <c r="AO391" s="5">
        <f>VLOOKUP($A391,'ПР 01-02.21'!$A$11:$BB$406,41,FALSE)+VLOOKUP($A391,'ПР 21-22'!$A$11:$BB$406,41,FALSE)-VLOOKUP($A391,'ПР 01-02.22'!$A$11:$BB$378,41,FALSE)</f>
        <v>0</v>
      </c>
      <c r="AP391" s="40"/>
      <c r="AQ391" s="5">
        <f>VLOOKUP($A391,'ПР 01-02.21'!$A$11:$BB$406,43,FALSE)+VLOOKUP($A391,'ПР 21-22'!$A$11:$BB$406,43,FALSE)-VLOOKUP($A391,'ПР 01-02.22'!$A$11:$BB$378,43,FALSE)</f>
        <v>1848.495256354521</v>
      </c>
      <c r="AR391" s="5">
        <f>VLOOKUP($A391,'ПР 01-02.21'!$A$11:$BB$406,44,FALSE)+VLOOKUP($A391,'ПР 21-22'!$A$11:$BB$406,44,FALSE)-VLOOKUP($A391,'ПР 01-02.22'!$A$11:$BB$378,44,FALSE)</f>
        <v>0</v>
      </c>
      <c r="AS391" s="40"/>
      <c r="AT391" s="5">
        <f>VLOOKUP($A391,'ПР 01-02.21'!$A$11:$BB$406,46,FALSE)+VLOOKUP($A391,'ПР 21-22'!$A$11:$BB$406,46,FALSE)-VLOOKUP($A391,'ПР 01-02.22'!$A$11:$BB$378,46,FALSE)</f>
        <v>1897.0654475527433</v>
      </c>
      <c r="AU391" s="5">
        <f>VLOOKUP($A391,'ПР 01-02.21'!$A$11:$BB$406,47,FALSE)+VLOOKUP($A391,'ПР 21-22'!$A$11:$BB$406,47,FALSE)-VLOOKUP($A391,'ПР 01-02.22'!$A$11:$BB$378,47,FALSE)</f>
        <v>939</v>
      </c>
      <c r="AV391" s="40"/>
      <c r="AW391" s="5">
        <f>VLOOKUP($A391,'ПР 01-02.21'!$A$11:$BB$406,49,FALSE)+VLOOKUP($A391,'ПР 21-22'!$A$11:$BB$406,49,FALSE)-VLOOKUP($A391,'ПР 01-02.22'!$A$11:$BB$378,49,FALSE)</f>
        <v>136.73599999999999</v>
      </c>
      <c r="AX391" s="5">
        <f>VLOOKUP($A391,'ПР 01-02.21'!$A$11:$BB$406,50,FALSE)+VLOOKUP($A391,'ПР 21-22'!$A$11:$BB$406,50,FALSE)-VLOOKUP($A391,'ПР 01-02.22'!$A$11:$BB$378,50,FALSE)</f>
        <v>3532</v>
      </c>
      <c r="AY391" s="40"/>
      <c r="AZ391" s="40">
        <f t="shared" si="25"/>
        <v>11582.988134130159</v>
      </c>
      <c r="BA391" s="40">
        <f t="shared" si="25"/>
        <v>7901.08</v>
      </c>
      <c r="BB391" s="55">
        <f t="shared" si="24"/>
        <v>-3681.9081341301589</v>
      </c>
      <c r="BD391" s="2">
        <v>3</v>
      </c>
      <c r="BF391" s="325">
        <v>150000915</v>
      </c>
    </row>
    <row r="392" spans="1:58" ht="24.9" customHeight="1" x14ac:dyDescent="0.3">
      <c r="A392" s="325">
        <v>150000916</v>
      </c>
      <c r="B392" s="445" t="s">
        <v>324</v>
      </c>
      <c r="C392" s="27">
        <v>5</v>
      </c>
      <c r="D392" s="101" t="s">
        <v>455</v>
      </c>
      <c r="E392" s="279">
        <f>'побудинковий звіт'!E390</f>
        <v>5790.5899999999992</v>
      </c>
      <c r="F392" s="441">
        <f>'побудинковий звіт'!AS390</f>
        <v>86040.618414322133</v>
      </c>
      <c r="G392" s="441">
        <f t="shared" si="22"/>
        <v>39134.092643147014</v>
      </c>
      <c r="H392" s="73">
        <f t="shared" si="23"/>
        <v>-46906.525771175118</v>
      </c>
      <c r="I392" s="5">
        <f>VLOOKUP($A392,'ПР 01-02.21'!$A$11:$BB$406,9,FALSE)+VLOOKUP($A392,'ПР 21-22'!$A$11:$BB$406,9,FALSE)-VLOOKUP($A392,'ПР 01-02.22'!$A$11:$BB$378,9,FALSE)</f>
        <v>8.6999999999999993</v>
      </c>
      <c r="J392" s="5">
        <f>VLOOKUP($A392,'ПР 01-02.21'!$A$11:$BB$406,10,FALSE)+VLOOKUP($A392,'ПР 21-22'!$A$11:$BB$406,10,FALSE)-VLOOKUP($A392,'ПР 01-02.22'!$A$11:$BB$378,10,FALSE)</f>
        <v>2937.4700000000003</v>
      </c>
      <c r="K392" s="446"/>
      <c r="L392" s="5">
        <f>VLOOKUP($A392,'ПР 01-02.21'!$A$11:$BB$406,12,FALSE)+VLOOKUP($A392,'ПР 21-22'!$A$11:$BB$406,12,FALSE)-VLOOKUP($A392,'ПР 01-02.22'!$A$11:$BB$378,12,FALSE)</f>
        <v>0</v>
      </c>
      <c r="M392" s="5">
        <f>VLOOKUP($A392,'ПР 01-02.21'!$A$11:$BB$406,13,FALSE)+VLOOKUP($A392,'ПР 21-22'!$A$11:$BB$406,13,FALSE)-VLOOKUP($A392,'ПР 01-02.22'!$A$11:$BB$378,13,FALSE)</f>
        <v>0</v>
      </c>
      <c r="N392" s="38"/>
      <c r="O392" s="5">
        <f>VLOOKUP($A392,'ПР 01-02.21'!$A$11:$BB$406,15,FALSE)+VLOOKUP($A392,'ПР 21-22'!$A$11:$BB$406,15,FALSE)-VLOOKUP($A392,'ПР 01-02.22'!$A$11:$BB$378,15,FALSE)</f>
        <v>0</v>
      </c>
      <c r="P392" s="5">
        <f>VLOOKUP($A392,'ПР 01-02.21'!$A$11:$BB$406,16,FALSE)+VLOOKUP($A392,'ПР 21-22'!$A$11:$BB$406,16,FALSE)-VLOOKUP($A392,'ПР 01-02.22'!$A$11:$BB$378,16,FALSE)</f>
        <v>0</v>
      </c>
      <c r="Q392" s="443"/>
      <c r="R392" s="5">
        <f>VLOOKUP($A392,'ПР 01-02.21'!$A$11:$BB$406,18,FALSE)+VLOOKUP($A392,'ПР 21-22'!$A$11:$BB$406,18,FALSE)-VLOOKUP($A392,'ПР 01-02.22'!$A$11:$BB$378,18,FALSE)</f>
        <v>0</v>
      </c>
      <c r="S392" s="5">
        <f>VLOOKUP($A392,'ПР 01-02.21'!$A$11:$BB$406,19,FALSE)+VLOOKUP($A392,'ПР 21-22'!$A$11:$BB$406,19,FALSE)-VLOOKUP($A392,'ПР 01-02.22'!$A$11:$BB$378,19,FALSE)</f>
        <v>0</v>
      </c>
      <c r="T392" s="444"/>
      <c r="U392" s="5">
        <f>VLOOKUP($A392,'ПР 01-02.21'!$A$11:$BB$406,21,FALSE)+VLOOKUP($A392,'ПР 21-22'!$A$11:$BB$406,21,FALSE)-VLOOKUP($A392,'ПР 01-02.22'!$A$11:$BB$378,21,FALSE)</f>
        <v>0</v>
      </c>
      <c r="V392" s="5"/>
      <c r="W392" s="5">
        <f>VLOOKUP($A392,'ПР 01-02.21'!$A$11:$BB$406,23,FALSE)+VLOOKUP($A392,'ПР 21-22'!$A$11:$BB$406,23,FALSE)-VLOOKUP($A392,'ПР 01-02.22'!$A$11:$BB$378,23,FALSE)</f>
        <v>3</v>
      </c>
      <c r="X392" s="5">
        <f>VLOOKUP($A392,'ПР 01-02.21'!$A$11:$BB$406,24,FALSE)+VLOOKUP($A392,'ПР 21-22'!$A$11:$BB$406,24,FALSE)-VLOOKUP($A392,'ПР 01-02.22'!$A$11:$BB$378,24,FALSE)</f>
        <v>14997.66264314701</v>
      </c>
      <c r="Y392" s="5">
        <f>VLOOKUP($A392,'ПР 01-02.21'!$A$11:$BB$406,25,FALSE)+VLOOKUP($A392,'ПР 21-22'!$A$11:$BB$406,25,FALSE)-VLOOKUP($A392,'ПР 01-02.22'!$A$11:$BB$378,25,FALSE)</f>
        <v>5912</v>
      </c>
      <c r="Z392" s="5"/>
      <c r="AA392" s="5">
        <f>VLOOKUP($A392,'ПР 01-02.21'!$A$11:$BB$406,27,FALSE)+VLOOKUP($A392,'ПР 21-22'!$A$11:$BB$406,27,FALSE)-VLOOKUP($A392,'ПР 01-02.22'!$A$11:$BB$378,27,FALSE)</f>
        <v>0</v>
      </c>
      <c r="AB392" s="5">
        <f>VLOOKUP($A392,'ПР 01-02.21'!$A$11:$BB$406,28,FALSE)+VLOOKUP($A392,'ПР 21-22'!$A$11:$BB$406,28,FALSE)-VLOOKUP($A392,'ПР 01-02.22'!$A$11:$BB$378,28,FALSE)</f>
        <v>2809</v>
      </c>
      <c r="AC392" s="5">
        <f>VLOOKUP($A392,'ПР 01-02.21'!$A$11:$BB$406,29,FALSE)+VLOOKUP($A392,'ПР 21-22'!$A$11:$BB$406,29,FALSE)-VLOOKUP($A392,'ПР 01-02.22'!$A$11:$BB$378,29,FALSE)</f>
        <v>2272.96</v>
      </c>
      <c r="AD392" s="5">
        <f>VLOOKUP($A392,'ПР 01-02.21'!$A$11:$BB$406,30,FALSE)+VLOOKUP($A392,'ПР 21-22'!$A$11:$BB$406,30,FALSE)-VLOOKUP($A392,'ПР 01-02.22'!$A$11:$BB$378,30,FALSE)</f>
        <v>10205</v>
      </c>
      <c r="AE392" s="5">
        <f>VLOOKUP($A392,'ПР 01-02.21'!$A$11:$BB$406,31,FALSE)+VLOOKUP($A392,'ПР 21-22'!$A$11:$BB$406,31,FALSE)-VLOOKUP($A392,'ПР 01-02.22'!$A$11:$BB$378,31,FALSE)</f>
        <v>5478.5482935222299</v>
      </c>
      <c r="AF392" s="5">
        <f>VLOOKUP($A392,'ПР 01-02.21'!$A$11:$BB$406,32,FALSE)+VLOOKUP($A392,'ПР 21-22'!$A$11:$BB$406,32,FALSE)-VLOOKUP($A392,'ПР 01-02.22'!$A$11:$BB$378,32,FALSE)</f>
        <v>1785.05</v>
      </c>
      <c r="AG392" s="40"/>
      <c r="AH392" s="5">
        <f>VLOOKUP($A392,'ПР 01-02.21'!$A$11:$BB$406,34,FALSE)+VLOOKUP($A392,'ПР 21-22'!$A$11:$BB$406,34,FALSE)-VLOOKUP($A392,'ПР 01-02.22'!$A$11:$BB$378,34,FALSE)</f>
        <v>7339.486158243627</v>
      </c>
      <c r="AI392" s="5">
        <f>VLOOKUP($A392,'ПР 01-02.21'!$A$11:$BB$406,35,FALSE)+VLOOKUP($A392,'ПР 21-22'!$A$11:$BB$406,35,FALSE)-VLOOKUP($A392,'ПР 01-02.22'!$A$11:$BB$378,35,FALSE)</f>
        <v>2114.0300000000002</v>
      </c>
      <c r="AJ392" s="40"/>
      <c r="AK392" s="5">
        <f>VLOOKUP($A392,'ПР 01-02.21'!$A$11:$BB$406,37,FALSE)+VLOOKUP($A392,'ПР 21-22'!$A$11:$BB$406,37,FALSE)-VLOOKUP($A392,'ПР 01-02.22'!$A$11:$BB$378,37,FALSE)</f>
        <v>2814.3899574674351</v>
      </c>
      <c r="AL392" s="5">
        <f>VLOOKUP($A392,'ПР 01-02.21'!$A$11:$BB$406,38,FALSE)+VLOOKUP($A392,'ПР 21-22'!$A$11:$BB$406,38,FALSE)-VLOOKUP($A392,'ПР 01-02.22'!$A$11:$BB$378,38,FALSE)</f>
        <v>7432</v>
      </c>
      <c r="AM392" s="40"/>
      <c r="AN392" s="5">
        <f>VLOOKUP($A392,'ПР 01-02.21'!$A$11:$BB$406,40,FALSE)+VLOOKUP($A392,'ПР 21-22'!$A$11:$BB$406,40,FALSE)-VLOOKUP($A392,'ПР 01-02.22'!$A$11:$BB$378,40,FALSE)</f>
        <v>0</v>
      </c>
      <c r="AO392" s="5">
        <f>VLOOKUP($A392,'ПР 01-02.21'!$A$11:$BB$406,41,FALSE)+VLOOKUP($A392,'ПР 21-22'!$A$11:$BB$406,41,FALSE)-VLOOKUP($A392,'ПР 01-02.22'!$A$11:$BB$378,41,FALSE)</f>
        <v>0</v>
      </c>
      <c r="AP392" s="40"/>
      <c r="AQ392" s="5">
        <f>VLOOKUP($A392,'ПР 01-02.21'!$A$11:$BB$406,43,FALSE)+VLOOKUP($A392,'ПР 21-22'!$A$11:$BB$406,43,FALSE)-VLOOKUP($A392,'ПР 01-02.22'!$A$11:$BB$378,43,FALSE)</f>
        <v>3869.5334694266958</v>
      </c>
      <c r="AR392" s="5">
        <f>VLOOKUP($A392,'ПР 01-02.21'!$A$11:$BB$406,44,FALSE)+VLOOKUP($A392,'ПР 21-22'!$A$11:$BB$406,44,FALSE)-VLOOKUP($A392,'ПР 01-02.22'!$A$11:$BB$378,44,FALSE)</f>
        <v>0</v>
      </c>
      <c r="AS392" s="40"/>
      <c r="AT392" s="5">
        <f>VLOOKUP($A392,'ПР 01-02.21'!$A$11:$BB$406,46,FALSE)+VLOOKUP($A392,'ПР 21-22'!$A$11:$BB$406,46,FALSE)-VLOOKUP($A392,'ПР 01-02.22'!$A$11:$BB$378,46,FALSE)</f>
        <v>6272.367060610216</v>
      </c>
      <c r="AU392" s="5">
        <f>VLOOKUP($A392,'ПР 01-02.21'!$A$11:$BB$406,47,FALSE)+VLOOKUP($A392,'ПР 21-22'!$A$11:$BB$406,47,FALSE)-VLOOKUP($A392,'ПР 01-02.22'!$A$11:$BB$378,47,FALSE)</f>
        <v>0</v>
      </c>
      <c r="AV392" s="40"/>
      <c r="AW392" s="5">
        <f>VLOOKUP($A392,'ПР 01-02.21'!$A$11:$BB$406,49,FALSE)+VLOOKUP($A392,'ПР 21-22'!$A$11:$BB$406,49,FALSE)-VLOOKUP($A392,'ПР 01-02.22'!$A$11:$BB$378,49,FALSE)</f>
        <v>293.108</v>
      </c>
      <c r="AX392" s="5">
        <f>VLOOKUP($A392,'ПР 01-02.21'!$A$11:$BB$406,50,FALSE)+VLOOKUP($A392,'ПР 21-22'!$A$11:$BB$406,50,FALSE)-VLOOKUP($A392,'ПР 01-02.22'!$A$11:$BB$378,50,FALSE)</f>
        <v>0</v>
      </c>
      <c r="AY392" s="40"/>
      <c r="AZ392" s="40">
        <f t="shared" si="25"/>
        <v>26067.432939270206</v>
      </c>
      <c r="BA392" s="40">
        <f t="shared" si="25"/>
        <v>11331.08</v>
      </c>
      <c r="BB392" s="55">
        <f t="shared" si="24"/>
        <v>-14736.352939270206</v>
      </c>
      <c r="BD392" s="2">
        <v>3</v>
      </c>
      <c r="BF392" s="325">
        <v>150000916</v>
      </c>
    </row>
    <row r="393" spans="1:58" ht="24.9" customHeight="1" x14ac:dyDescent="0.3">
      <c r="A393" s="325">
        <v>150000917</v>
      </c>
      <c r="B393" s="445" t="s">
        <v>325</v>
      </c>
      <c r="C393" s="27">
        <v>5</v>
      </c>
      <c r="D393" s="101" t="s">
        <v>455</v>
      </c>
      <c r="E393" s="279">
        <f>'побудинковий звіт'!E391</f>
        <v>4445.5</v>
      </c>
      <c r="F393" s="441">
        <f>'побудинковий звіт'!AS391</f>
        <v>60813.608729000523</v>
      </c>
      <c r="G393" s="441">
        <f t="shared" ref="G393:G405" si="26">J393+M393+P393+S393+U393+X393+Y393+AA393+AB393+AC393+AD393</f>
        <v>36258.94</v>
      </c>
      <c r="H393" s="73">
        <f t="shared" ref="H393:H405" si="27">G393-F393</f>
        <v>-24554.668729000521</v>
      </c>
      <c r="I393" s="5">
        <f>VLOOKUP($A393,'ПР 01-02.21'!$A$11:$BB$406,9,FALSE)+VLOOKUP($A393,'ПР 21-22'!$A$11:$BB$406,9,FALSE)-VLOOKUP($A393,'ПР 01-02.22'!$A$11:$BB$378,9,FALSE)</f>
        <v>67</v>
      </c>
      <c r="J393" s="5">
        <f>VLOOKUP($A393,'ПР 01-02.21'!$A$11:$BB$406,10,FALSE)+VLOOKUP($A393,'ПР 21-22'!$A$11:$BB$406,10,FALSE)-VLOOKUP($A393,'ПР 01-02.22'!$A$11:$BB$378,10,FALSE)</f>
        <v>12764</v>
      </c>
      <c r="K393" s="450"/>
      <c r="L393" s="5">
        <f>VLOOKUP($A393,'ПР 01-02.21'!$A$11:$BB$406,12,FALSE)+VLOOKUP($A393,'ПР 21-22'!$A$11:$BB$406,12,FALSE)-VLOOKUP($A393,'ПР 01-02.22'!$A$11:$BB$378,12,FALSE)</f>
        <v>0</v>
      </c>
      <c r="M393" s="5">
        <f>VLOOKUP($A393,'ПР 01-02.21'!$A$11:$BB$406,13,FALSE)+VLOOKUP($A393,'ПР 21-22'!$A$11:$BB$406,13,FALSE)-VLOOKUP($A393,'ПР 01-02.22'!$A$11:$BB$378,13,FALSE)</f>
        <v>0</v>
      </c>
      <c r="N393" s="38"/>
      <c r="O393" s="5">
        <f>VLOOKUP($A393,'ПР 01-02.21'!$A$11:$BB$406,15,FALSE)+VLOOKUP($A393,'ПР 21-22'!$A$11:$BB$406,15,FALSE)-VLOOKUP($A393,'ПР 01-02.22'!$A$11:$BB$378,15,FALSE)</f>
        <v>0</v>
      </c>
      <c r="P393" s="5">
        <f>VLOOKUP($A393,'ПР 01-02.21'!$A$11:$BB$406,16,FALSE)+VLOOKUP($A393,'ПР 21-22'!$A$11:$BB$406,16,FALSE)-VLOOKUP($A393,'ПР 01-02.22'!$A$11:$BB$378,16,FALSE)</f>
        <v>0</v>
      </c>
      <c r="Q393" s="443"/>
      <c r="R393" s="5">
        <f>VLOOKUP($A393,'ПР 01-02.21'!$A$11:$BB$406,18,FALSE)+VLOOKUP($A393,'ПР 21-22'!$A$11:$BB$406,18,FALSE)-VLOOKUP($A393,'ПР 01-02.22'!$A$11:$BB$378,18,FALSE)</f>
        <v>0</v>
      </c>
      <c r="S393" s="5">
        <f>VLOOKUP($A393,'ПР 01-02.21'!$A$11:$BB$406,19,FALSE)+VLOOKUP($A393,'ПР 21-22'!$A$11:$BB$406,19,FALSE)-VLOOKUP($A393,'ПР 01-02.22'!$A$11:$BB$378,19,FALSE)</f>
        <v>0</v>
      </c>
      <c r="T393" s="444"/>
      <c r="U393" s="5">
        <f>VLOOKUP($A393,'ПР 01-02.21'!$A$11:$BB$406,21,FALSE)+VLOOKUP($A393,'ПР 21-22'!$A$11:$BB$406,21,FALSE)-VLOOKUP($A393,'ПР 01-02.22'!$A$11:$BB$378,21,FALSE)</f>
        <v>0</v>
      </c>
      <c r="V393" s="5"/>
      <c r="W393" s="5">
        <f>VLOOKUP($A393,'ПР 01-02.21'!$A$11:$BB$406,23,FALSE)+VLOOKUP($A393,'ПР 21-22'!$A$11:$BB$406,23,FALSE)-VLOOKUP($A393,'ПР 01-02.22'!$A$11:$BB$378,23,FALSE)</f>
        <v>0</v>
      </c>
      <c r="X393" s="5">
        <f>VLOOKUP($A393,'ПР 01-02.21'!$A$11:$BB$406,24,FALSE)+VLOOKUP($A393,'ПР 21-22'!$A$11:$BB$406,24,FALSE)-VLOOKUP($A393,'ПР 01-02.22'!$A$11:$BB$378,24,FALSE)</f>
        <v>0</v>
      </c>
      <c r="Y393" s="5">
        <f>VLOOKUP($A393,'ПР 01-02.21'!$A$11:$BB$406,25,FALSE)+VLOOKUP($A393,'ПР 21-22'!$A$11:$BB$406,25,FALSE)-VLOOKUP($A393,'ПР 01-02.22'!$A$11:$BB$378,25,FALSE)</f>
        <v>17519.29</v>
      </c>
      <c r="Z393" s="5"/>
      <c r="AA393" s="5">
        <f>VLOOKUP($A393,'ПР 01-02.21'!$A$11:$BB$406,27,FALSE)+VLOOKUP($A393,'ПР 21-22'!$A$11:$BB$406,27,FALSE)-VLOOKUP($A393,'ПР 01-02.22'!$A$11:$BB$378,27,FALSE)</f>
        <v>0</v>
      </c>
      <c r="AB393" s="5">
        <f>VLOOKUP($A393,'ПР 01-02.21'!$A$11:$BB$406,28,FALSE)+VLOOKUP($A393,'ПР 21-22'!$A$11:$BB$406,28,FALSE)-VLOOKUP($A393,'ПР 01-02.22'!$A$11:$BB$378,28,FALSE)</f>
        <v>580.70000000000005</v>
      </c>
      <c r="AC393" s="5">
        <f>VLOOKUP($A393,'ПР 01-02.21'!$A$11:$BB$406,29,FALSE)+VLOOKUP($A393,'ПР 21-22'!$A$11:$BB$406,29,FALSE)-VLOOKUP($A393,'ПР 01-02.22'!$A$11:$BB$378,29,FALSE)</f>
        <v>835.79</v>
      </c>
      <c r="AD393" s="5">
        <f>VLOOKUP($A393,'ПР 01-02.21'!$A$11:$BB$406,30,FALSE)+VLOOKUP($A393,'ПР 21-22'!$A$11:$BB$406,30,FALSE)-VLOOKUP($A393,'ПР 01-02.22'!$A$11:$BB$378,30,FALSE)</f>
        <v>4559.16</v>
      </c>
      <c r="AE393" s="5">
        <f>VLOOKUP($A393,'ПР 01-02.21'!$A$11:$BB$406,31,FALSE)+VLOOKUP($A393,'ПР 21-22'!$A$11:$BB$406,31,FALSE)-VLOOKUP($A393,'ПР 01-02.22'!$A$11:$BB$378,31,FALSE)</f>
        <v>4170.105916229596</v>
      </c>
      <c r="AF393" s="5">
        <f>VLOOKUP($A393,'ПР 01-02.21'!$A$11:$BB$406,32,FALSE)+VLOOKUP($A393,'ПР 21-22'!$A$11:$BB$406,32,FALSE)-VLOOKUP($A393,'ПР 01-02.22'!$A$11:$BB$378,32,FALSE)</f>
        <v>3114</v>
      </c>
      <c r="AG393" s="40"/>
      <c r="AH393" s="5">
        <f>VLOOKUP($A393,'ПР 01-02.21'!$A$11:$BB$406,34,FALSE)+VLOOKUP($A393,'ПР 21-22'!$A$11:$BB$406,34,FALSE)-VLOOKUP($A393,'ПР 01-02.22'!$A$11:$BB$378,34,FALSE)</f>
        <v>5519.0361467799949</v>
      </c>
      <c r="AI393" s="5">
        <f>VLOOKUP($A393,'ПР 01-02.21'!$A$11:$BB$406,35,FALSE)+VLOOKUP($A393,'ПР 21-22'!$A$11:$BB$406,35,FALSE)-VLOOKUP($A393,'ПР 01-02.22'!$A$11:$BB$378,35,FALSE)</f>
        <v>2590</v>
      </c>
      <c r="AJ393" s="40"/>
      <c r="AK393" s="5">
        <f>VLOOKUP($A393,'ПР 01-02.21'!$A$11:$BB$406,37,FALSE)+VLOOKUP($A393,'ПР 21-22'!$A$11:$BB$406,37,FALSE)-VLOOKUP($A393,'ПР 01-02.22'!$A$11:$BB$378,37,FALSE)</f>
        <v>2171.4675331380272</v>
      </c>
      <c r="AL393" s="5">
        <f>VLOOKUP($A393,'ПР 01-02.21'!$A$11:$BB$406,38,FALSE)+VLOOKUP($A393,'ПР 21-22'!$A$11:$BB$406,38,FALSE)-VLOOKUP($A393,'ПР 01-02.22'!$A$11:$BB$378,38,FALSE)</f>
        <v>0</v>
      </c>
      <c r="AM393" s="40"/>
      <c r="AN393" s="5">
        <f>VLOOKUP($A393,'ПР 01-02.21'!$A$11:$BB$406,40,FALSE)+VLOOKUP($A393,'ПР 21-22'!$A$11:$BB$406,40,FALSE)-VLOOKUP($A393,'ПР 01-02.22'!$A$11:$BB$378,40,FALSE)</f>
        <v>0</v>
      </c>
      <c r="AO393" s="5">
        <f>VLOOKUP($A393,'ПР 01-02.21'!$A$11:$BB$406,41,FALSE)+VLOOKUP($A393,'ПР 21-22'!$A$11:$BB$406,41,FALSE)-VLOOKUP($A393,'ПР 01-02.22'!$A$11:$BB$378,41,FALSE)</f>
        <v>0</v>
      </c>
      <c r="AP393" s="40"/>
      <c r="AQ393" s="5">
        <f>VLOOKUP($A393,'ПР 01-02.21'!$A$11:$BB$406,43,FALSE)+VLOOKUP($A393,'ПР 21-22'!$A$11:$BB$406,43,FALSE)-VLOOKUP($A393,'ПР 01-02.22'!$A$11:$BB$378,43,FALSE)</f>
        <v>2499.7849063102835</v>
      </c>
      <c r="AR393" s="5">
        <f>VLOOKUP($A393,'ПР 01-02.21'!$A$11:$BB$406,44,FALSE)+VLOOKUP($A393,'ПР 21-22'!$A$11:$BB$406,44,FALSE)-VLOOKUP($A393,'ПР 01-02.22'!$A$11:$BB$378,44,FALSE)</f>
        <v>16.5</v>
      </c>
      <c r="AS393" s="40"/>
      <c r="AT393" s="5">
        <f>VLOOKUP($A393,'ПР 01-02.21'!$A$11:$BB$406,46,FALSE)+VLOOKUP($A393,'ПР 21-22'!$A$11:$BB$406,46,FALSE)-VLOOKUP($A393,'ПР 01-02.22'!$A$11:$BB$378,46,FALSE)</f>
        <v>3863.4450671035061</v>
      </c>
      <c r="AU393" s="5">
        <f>VLOOKUP($A393,'ПР 01-02.21'!$A$11:$BB$406,47,FALSE)+VLOOKUP($A393,'ПР 21-22'!$A$11:$BB$406,47,FALSE)-VLOOKUP($A393,'ПР 01-02.22'!$A$11:$BB$378,47,FALSE)</f>
        <v>459</v>
      </c>
      <c r="AV393" s="40"/>
      <c r="AW393" s="5">
        <f>VLOOKUP($A393,'ПР 01-02.21'!$A$11:$BB$406,49,FALSE)+VLOOKUP($A393,'ПР 21-22'!$A$11:$BB$406,49,FALSE)-VLOOKUP($A393,'ПР 01-02.22'!$A$11:$BB$378,49,FALSE)</f>
        <v>221.828</v>
      </c>
      <c r="AX393" s="5">
        <f>VLOOKUP($A393,'ПР 01-02.21'!$A$11:$BB$406,50,FALSE)+VLOOKUP($A393,'ПР 21-22'!$A$11:$BB$406,50,FALSE)-VLOOKUP($A393,'ПР 01-02.22'!$A$11:$BB$378,50,FALSE)</f>
        <v>5059.13</v>
      </c>
      <c r="AY393" s="40"/>
      <c r="AZ393" s="40">
        <f t="shared" si="25"/>
        <v>18445.66756956141</v>
      </c>
      <c r="BA393" s="40">
        <f t="shared" si="25"/>
        <v>11238.630000000001</v>
      </c>
      <c r="BB393" s="55">
        <f t="shared" ref="BB393:BB406" si="28">BA393-AZ393</f>
        <v>-7207.0375695614093</v>
      </c>
      <c r="BD393" s="2">
        <v>3</v>
      </c>
      <c r="BF393" s="325">
        <v>150000917</v>
      </c>
    </row>
    <row r="394" spans="1:58" ht="24.9" customHeight="1" x14ac:dyDescent="0.3">
      <c r="A394" s="325">
        <v>150000918</v>
      </c>
      <c r="B394" s="445" t="s">
        <v>326</v>
      </c>
      <c r="C394" s="27">
        <v>5</v>
      </c>
      <c r="D394" s="101" t="s">
        <v>455</v>
      </c>
      <c r="E394" s="279">
        <f>'побудинковий звіт'!E392</f>
        <v>4591.2</v>
      </c>
      <c r="F394" s="441">
        <f>'побудинковий звіт'!AS392</f>
        <v>51061.281786497333</v>
      </c>
      <c r="G394" s="441">
        <f t="shared" si="26"/>
        <v>100127.98131483185</v>
      </c>
      <c r="H394" s="73">
        <f t="shared" si="27"/>
        <v>49066.699528334517</v>
      </c>
      <c r="I394" s="5">
        <f>VLOOKUP($A394,'ПР 01-02.21'!$A$11:$BB$406,9,FALSE)+VLOOKUP($A394,'ПР 21-22'!$A$11:$BB$406,9,FALSE)-VLOOKUP($A394,'ПР 01-02.22'!$A$11:$BB$378,9,FALSE)</f>
        <v>13.7</v>
      </c>
      <c r="J394" s="5">
        <f>VLOOKUP($A394,'ПР 01-02.21'!$A$11:$BB$406,10,FALSE)+VLOOKUP($A394,'ПР 21-22'!$A$11:$BB$406,10,FALSE)-VLOOKUP($A394,'ПР 01-02.22'!$A$11:$BB$378,10,FALSE)</f>
        <v>2428</v>
      </c>
      <c r="K394" s="446"/>
      <c r="L394" s="5">
        <f>VLOOKUP($A394,'ПР 01-02.21'!$A$11:$BB$406,12,FALSE)+VLOOKUP($A394,'ПР 21-22'!$A$11:$BB$406,12,FALSE)-VLOOKUP($A394,'ПР 01-02.22'!$A$11:$BB$378,12,FALSE)</f>
        <v>1</v>
      </c>
      <c r="M394" s="5">
        <f>VLOOKUP($A394,'ПР 01-02.21'!$A$11:$BB$406,13,FALSE)+VLOOKUP($A394,'ПР 21-22'!$A$11:$BB$406,13,FALSE)-VLOOKUP($A394,'ПР 01-02.22'!$A$11:$BB$378,13,FALSE)</f>
        <v>39030</v>
      </c>
      <c r="N394" s="38"/>
      <c r="O394" s="5">
        <f>VLOOKUP($A394,'ПР 01-02.21'!$A$11:$BB$406,15,FALSE)+VLOOKUP($A394,'ПР 21-22'!$A$11:$BB$406,15,FALSE)-VLOOKUP($A394,'ПР 01-02.22'!$A$11:$BB$378,15,FALSE)</f>
        <v>0</v>
      </c>
      <c r="P394" s="5">
        <f>VLOOKUP($A394,'ПР 01-02.21'!$A$11:$BB$406,16,FALSE)+VLOOKUP($A394,'ПР 21-22'!$A$11:$BB$406,16,FALSE)-VLOOKUP($A394,'ПР 01-02.22'!$A$11:$BB$378,16,FALSE)</f>
        <v>0</v>
      </c>
      <c r="Q394" s="443"/>
      <c r="R394" s="5">
        <f>VLOOKUP($A394,'ПР 01-02.21'!$A$11:$BB$406,18,FALSE)+VLOOKUP($A394,'ПР 21-22'!$A$11:$BB$406,18,FALSE)-VLOOKUP($A394,'ПР 01-02.22'!$A$11:$BB$378,18,FALSE)</f>
        <v>0</v>
      </c>
      <c r="S394" s="5">
        <f>VLOOKUP($A394,'ПР 01-02.21'!$A$11:$BB$406,19,FALSE)+VLOOKUP($A394,'ПР 21-22'!$A$11:$BB$406,19,FALSE)-VLOOKUP($A394,'ПР 01-02.22'!$A$11:$BB$378,19,FALSE)</f>
        <v>0</v>
      </c>
      <c r="T394" s="444"/>
      <c r="U394" s="5">
        <f>VLOOKUP($A394,'ПР 01-02.21'!$A$11:$BB$406,21,FALSE)+VLOOKUP($A394,'ПР 21-22'!$A$11:$BB$406,21,FALSE)-VLOOKUP($A394,'ПР 01-02.22'!$A$11:$BB$378,21,FALSE)</f>
        <v>0</v>
      </c>
      <c r="V394" s="5"/>
      <c r="W394" s="5">
        <f>VLOOKUP($A394,'ПР 01-02.21'!$A$11:$BB$406,23,FALSE)+VLOOKUP($A394,'ПР 21-22'!$A$11:$BB$406,23,FALSE)-VLOOKUP($A394,'ПР 01-02.22'!$A$11:$BB$378,23,FALSE)</f>
        <v>0</v>
      </c>
      <c r="X394" s="5">
        <f>VLOOKUP($A394,'ПР 01-02.21'!$A$11:$BB$406,24,FALSE)+VLOOKUP($A394,'ПР 21-22'!$A$11:$BB$406,24,FALSE)-VLOOKUP($A394,'ПР 01-02.22'!$A$11:$BB$378,24,FALSE)</f>
        <v>1366.9813148318426</v>
      </c>
      <c r="Y394" s="5">
        <f>VLOOKUP($A394,'ПР 01-02.21'!$A$11:$BB$406,25,FALSE)+VLOOKUP($A394,'ПР 21-22'!$A$11:$BB$406,25,FALSE)-VLOOKUP($A394,'ПР 01-02.22'!$A$11:$BB$378,25,FALSE)</f>
        <v>35258</v>
      </c>
      <c r="Z394" s="5"/>
      <c r="AA394" s="5">
        <f>VLOOKUP($A394,'ПР 01-02.21'!$A$11:$BB$406,27,FALSE)+VLOOKUP($A394,'ПР 21-22'!$A$11:$BB$406,27,FALSE)-VLOOKUP($A394,'ПР 01-02.22'!$A$11:$BB$378,27,FALSE)</f>
        <v>0</v>
      </c>
      <c r="AB394" s="5">
        <f>VLOOKUP($A394,'ПР 01-02.21'!$A$11:$BB$406,28,FALSE)+VLOOKUP($A394,'ПР 21-22'!$A$11:$BB$406,28,FALSE)-VLOOKUP($A394,'ПР 01-02.22'!$A$11:$BB$378,28,FALSE)</f>
        <v>2357</v>
      </c>
      <c r="AC394" s="5">
        <f>VLOOKUP($A394,'ПР 01-02.21'!$A$11:$BB$406,29,FALSE)+VLOOKUP($A394,'ПР 21-22'!$A$11:$BB$406,29,FALSE)-VLOOKUP($A394,'ПР 01-02.22'!$A$11:$BB$378,29,FALSE)</f>
        <v>13548</v>
      </c>
      <c r="AD394" s="5">
        <f>VLOOKUP($A394,'ПР 01-02.21'!$A$11:$BB$406,30,FALSE)+VLOOKUP($A394,'ПР 21-22'!$A$11:$BB$406,30,FALSE)-VLOOKUP($A394,'ПР 01-02.22'!$A$11:$BB$378,30,FALSE)</f>
        <v>6140</v>
      </c>
      <c r="AE394" s="5">
        <f>VLOOKUP($A394,'ПР 01-02.21'!$A$11:$BB$406,31,FALSE)+VLOOKUP($A394,'ПР 21-22'!$A$11:$BB$406,31,FALSE)-VLOOKUP($A394,'ПР 01-02.22'!$A$11:$BB$378,31,FALSE)</f>
        <v>4263.9449682416816</v>
      </c>
      <c r="AF394" s="5">
        <f>VLOOKUP($A394,'ПР 01-02.21'!$A$11:$BB$406,32,FALSE)+VLOOKUP($A394,'ПР 21-22'!$A$11:$BB$406,32,FALSE)-VLOOKUP($A394,'ПР 01-02.22'!$A$11:$BB$378,32,FALSE)</f>
        <v>1459</v>
      </c>
      <c r="AG394" s="40"/>
      <c r="AH394" s="5">
        <f>VLOOKUP($A394,'ПР 01-02.21'!$A$11:$BB$406,34,FALSE)+VLOOKUP($A394,'ПР 21-22'!$A$11:$BB$406,34,FALSE)-VLOOKUP($A394,'ПР 01-02.22'!$A$11:$BB$378,34,FALSE)</f>
        <v>6210.3345609312155</v>
      </c>
      <c r="AI394" s="5">
        <f>VLOOKUP($A394,'ПР 01-02.21'!$A$11:$BB$406,35,FALSE)+VLOOKUP($A394,'ПР 21-22'!$A$11:$BB$406,35,FALSE)-VLOOKUP($A394,'ПР 01-02.22'!$A$11:$BB$378,35,FALSE)</f>
        <v>9201.9500000000007</v>
      </c>
      <c r="AJ394" s="40"/>
      <c r="AK394" s="5">
        <f>VLOOKUP($A394,'ПР 01-02.21'!$A$11:$BB$406,37,FALSE)+VLOOKUP($A394,'ПР 21-22'!$A$11:$BB$406,37,FALSE)-VLOOKUP($A394,'ПР 01-02.22'!$A$11:$BB$378,37,FALSE)</f>
        <v>2265.1960346290825</v>
      </c>
      <c r="AL394" s="5">
        <f>VLOOKUP($A394,'ПР 01-02.21'!$A$11:$BB$406,38,FALSE)+VLOOKUP($A394,'ПР 21-22'!$A$11:$BB$406,38,FALSE)-VLOOKUP($A394,'ПР 01-02.22'!$A$11:$BB$378,38,FALSE)</f>
        <v>4176</v>
      </c>
      <c r="AM394" s="40"/>
      <c r="AN394" s="5">
        <f>VLOOKUP($A394,'ПР 01-02.21'!$A$11:$BB$406,40,FALSE)+VLOOKUP($A394,'ПР 21-22'!$A$11:$BB$406,40,FALSE)-VLOOKUP($A394,'ПР 01-02.22'!$A$11:$BB$378,40,FALSE)</f>
        <v>0</v>
      </c>
      <c r="AO394" s="5">
        <f>VLOOKUP($A394,'ПР 01-02.21'!$A$11:$BB$406,41,FALSE)+VLOOKUP($A394,'ПР 21-22'!$A$11:$BB$406,41,FALSE)-VLOOKUP($A394,'ПР 01-02.22'!$A$11:$BB$378,41,FALSE)</f>
        <v>0</v>
      </c>
      <c r="AP394" s="40"/>
      <c r="AQ394" s="5">
        <f>VLOOKUP($A394,'ПР 01-02.21'!$A$11:$BB$406,43,FALSE)+VLOOKUP($A394,'ПР 21-22'!$A$11:$BB$406,43,FALSE)-VLOOKUP($A394,'ПР 01-02.22'!$A$11:$BB$378,43,FALSE)</f>
        <v>2499.7849063102835</v>
      </c>
      <c r="AR394" s="5">
        <f>VLOOKUP($A394,'ПР 01-02.21'!$A$11:$BB$406,44,FALSE)+VLOOKUP($A394,'ПР 21-22'!$A$11:$BB$406,44,FALSE)-VLOOKUP($A394,'ПР 01-02.22'!$A$11:$BB$378,44,FALSE)</f>
        <v>16.5</v>
      </c>
      <c r="AS394" s="40"/>
      <c r="AT394" s="5">
        <f>VLOOKUP($A394,'ПР 01-02.21'!$A$11:$BB$406,46,FALSE)+VLOOKUP($A394,'ПР 21-22'!$A$11:$BB$406,46,FALSE)-VLOOKUP($A394,'ПР 01-02.22'!$A$11:$BB$378,46,FALSE)</f>
        <v>4000.5223468081972</v>
      </c>
      <c r="AU394" s="5">
        <f>VLOOKUP($A394,'ПР 01-02.21'!$A$11:$BB$406,47,FALSE)+VLOOKUP($A394,'ПР 21-22'!$A$11:$BB$406,47,FALSE)-VLOOKUP($A394,'ПР 01-02.22'!$A$11:$BB$378,47,FALSE)</f>
        <v>1069</v>
      </c>
      <c r="AV394" s="40"/>
      <c r="AW394" s="5">
        <f>VLOOKUP($A394,'ПР 01-02.21'!$A$11:$BB$406,49,FALSE)+VLOOKUP($A394,'ПР 21-22'!$A$11:$BB$406,49,FALSE)-VLOOKUP($A394,'ПР 01-02.22'!$A$11:$BB$378,49,FALSE)</f>
        <v>229.54400000000001</v>
      </c>
      <c r="AX394" s="5">
        <f>VLOOKUP($A394,'ПР 01-02.21'!$A$11:$BB$406,50,FALSE)+VLOOKUP($A394,'ПР 21-22'!$A$11:$BB$406,50,FALSE)-VLOOKUP($A394,'ПР 01-02.22'!$A$11:$BB$378,50,FALSE)</f>
        <v>0</v>
      </c>
      <c r="AY394" s="40"/>
      <c r="AZ394" s="40">
        <f t="shared" si="25"/>
        <v>19469.326816920464</v>
      </c>
      <c r="BA394" s="40">
        <f t="shared" si="25"/>
        <v>15922.45</v>
      </c>
      <c r="BB394" s="55">
        <f t="shared" si="28"/>
        <v>-3546.8768169204632</v>
      </c>
      <c r="BD394" s="2">
        <v>3</v>
      </c>
      <c r="BF394" s="325">
        <v>150000918</v>
      </c>
    </row>
    <row r="395" spans="1:58" ht="24.9" customHeight="1" x14ac:dyDescent="0.3">
      <c r="A395" s="325">
        <v>150000919</v>
      </c>
      <c r="B395" s="445" t="s">
        <v>327</v>
      </c>
      <c r="C395" s="27">
        <v>5</v>
      </c>
      <c r="D395" s="101" t="s">
        <v>455</v>
      </c>
      <c r="E395" s="279">
        <f>'побудинковий звіт'!E393</f>
        <v>4566.7</v>
      </c>
      <c r="F395" s="441">
        <f>'побудинковий звіт'!AS393</f>
        <v>50952.612069860545</v>
      </c>
      <c r="G395" s="441">
        <f t="shared" si="26"/>
        <v>65251.384419905458</v>
      </c>
      <c r="H395" s="73">
        <f t="shared" si="27"/>
        <v>14298.772350044914</v>
      </c>
      <c r="I395" s="5">
        <f>VLOOKUP($A395,'ПР 01-02.21'!$A$11:$BB$406,9,FALSE)+VLOOKUP($A395,'ПР 21-22'!$A$11:$BB$406,9,FALSE)-VLOOKUP($A395,'ПР 01-02.22'!$A$11:$BB$378,9,FALSE)</f>
        <v>15.7</v>
      </c>
      <c r="J395" s="5">
        <f>VLOOKUP($A395,'ПР 01-02.21'!$A$11:$BB$406,10,FALSE)+VLOOKUP($A395,'ПР 21-22'!$A$11:$BB$406,10,FALSE)-VLOOKUP($A395,'ПР 01-02.22'!$A$11:$BB$378,10,FALSE)</f>
        <v>3095.33</v>
      </c>
      <c r="K395" s="446"/>
      <c r="L395" s="5">
        <f>VLOOKUP($A395,'ПР 01-02.21'!$A$11:$BB$406,12,FALSE)+VLOOKUP($A395,'ПР 21-22'!$A$11:$BB$406,12,FALSE)-VLOOKUP($A395,'ПР 01-02.22'!$A$11:$BB$378,12,FALSE)</f>
        <v>1</v>
      </c>
      <c r="M395" s="5">
        <f>VLOOKUP($A395,'ПР 01-02.21'!$A$11:$BB$406,13,FALSE)+VLOOKUP($A395,'ПР 21-22'!$A$11:$BB$406,13,FALSE)-VLOOKUP($A395,'ПР 01-02.22'!$A$11:$BB$378,13,FALSE)</f>
        <v>36562.559999999998</v>
      </c>
      <c r="N395" s="38"/>
      <c r="O395" s="5">
        <f>VLOOKUP($A395,'ПР 01-02.21'!$A$11:$BB$406,15,FALSE)+VLOOKUP($A395,'ПР 21-22'!$A$11:$BB$406,15,FALSE)-VLOOKUP($A395,'ПР 01-02.22'!$A$11:$BB$378,15,FALSE)</f>
        <v>0</v>
      </c>
      <c r="P395" s="5">
        <f>VLOOKUP($A395,'ПР 01-02.21'!$A$11:$BB$406,16,FALSE)+VLOOKUP($A395,'ПР 21-22'!$A$11:$BB$406,16,FALSE)-VLOOKUP($A395,'ПР 01-02.22'!$A$11:$BB$378,16,FALSE)</f>
        <v>0</v>
      </c>
      <c r="Q395" s="443"/>
      <c r="R395" s="5">
        <f>VLOOKUP($A395,'ПР 01-02.21'!$A$11:$BB$406,18,FALSE)+VLOOKUP($A395,'ПР 21-22'!$A$11:$BB$406,18,FALSE)-VLOOKUP($A395,'ПР 01-02.22'!$A$11:$BB$378,18,FALSE)</f>
        <v>0</v>
      </c>
      <c r="S395" s="5">
        <f>VLOOKUP($A395,'ПР 01-02.21'!$A$11:$BB$406,19,FALSE)+VLOOKUP($A395,'ПР 21-22'!$A$11:$BB$406,19,FALSE)-VLOOKUP($A395,'ПР 01-02.22'!$A$11:$BB$378,19,FALSE)</f>
        <v>0</v>
      </c>
      <c r="T395" s="444"/>
      <c r="U395" s="5">
        <f>VLOOKUP($A395,'ПР 01-02.21'!$A$11:$BB$406,21,FALSE)+VLOOKUP($A395,'ПР 21-22'!$A$11:$BB$406,21,FALSE)-VLOOKUP($A395,'ПР 01-02.22'!$A$11:$BB$378,21,FALSE)</f>
        <v>0</v>
      </c>
      <c r="V395" s="5"/>
      <c r="W395" s="5">
        <f>VLOOKUP($A395,'ПР 01-02.21'!$A$11:$BB$406,23,FALSE)+VLOOKUP($A395,'ПР 21-22'!$A$11:$BB$406,23,FALSE)-VLOOKUP($A395,'ПР 01-02.22'!$A$11:$BB$378,23,FALSE)</f>
        <v>0</v>
      </c>
      <c r="X395" s="5">
        <f>VLOOKUP($A395,'ПР 01-02.21'!$A$11:$BB$406,24,FALSE)+VLOOKUP($A395,'ПР 21-22'!$A$11:$BB$406,24,FALSE)-VLOOKUP($A395,'ПР 01-02.22'!$A$11:$BB$378,24,FALSE)</f>
        <v>27.694419905465384</v>
      </c>
      <c r="Y395" s="5">
        <f>VLOOKUP($A395,'ПР 01-02.21'!$A$11:$BB$406,25,FALSE)+VLOOKUP($A395,'ПР 21-22'!$A$11:$BB$406,25,FALSE)-VLOOKUP($A395,'ПР 01-02.22'!$A$11:$BB$378,25,FALSE)</f>
        <v>5800</v>
      </c>
      <c r="Z395" s="5"/>
      <c r="AA395" s="5">
        <f>VLOOKUP($A395,'ПР 01-02.21'!$A$11:$BB$406,27,FALSE)+VLOOKUP($A395,'ПР 21-22'!$A$11:$BB$406,27,FALSE)-VLOOKUP($A395,'ПР 01-02.22'!$A$11:$BB$378,27,FALSE)</f>
        <v>0</v>
      </c>
      <c r="AB395" s="5">
        <f>VLOOKUP($A395,'ПР 01-02.21'!$A$11:$BB$406,28,FALSE)+VLOOKUP($A395,'ПР 21-22'!$A$11:$BB$406,28,FALSE)-VLOOKUP($A395,'ПР 01-02.22'!$A$11:$BB$378,28,FALSE)</f>
        <v>0</v>
      </c>
      <c r="AC395" s="5">
        <f>VLOOKUP($A395,'ПР 01-02.21'!$A$11:$BB$406,29,FALSE)+VLOOKUP($A395,'ПР 21-22'!$A$11:$BB$406,29,FALSE)-VLOOKUP($A395,'ПР 01-02.22'!$A$11:$BB$378,29,FALSE)</f>
        <v>2868</v>
      </c>
      <c r="AD395" s="5">
        <f>VLOOKUP($A395,'ПР 01-02.21'!$A$11:$BB$406,30,FALSE)+VLOOKUP($A395,'ПР 21-22'!$A$11:$BB$406,30,FALSE)-VLOOKUP($A395,'ПР 01-02.22'!$A$11:$BB$378,30,FALSE)</f>
        <v>16897.8</v>
      </c>
      <c r="AE395" s="5">
        <f>VLOOKUP($A395,'ПР 01-02.21'!$A$11:$BB$406,31,FALSE)+VLOOKUP($A395,'ПР 21-22'!$A$11:$BB$406,31,FALSE)-VLOOKUP($A395,'ПР 01-02.22'!$A$11:$BB$378,31,FALSE)</f>
        <v>4272.6092703794939</v>
      </c>
      <c r="AF395" s="5">
        <f>VLOOKUP($A395,'ПР 01-02.21'!$A$11:$BB$406,32,FALSE)+VLOOKUP($A395,'ПР 21-22'!$A$11:$BB$406,32,FALSE)-VLOOKUP($A395,'ПР 01-02.22'!$A$11:$BB$378,32,FALSE)</f>
        <v>410</v>
      </c>
      <c r="AG395" s="40"/>
      <c r="AH395" s="5">
        <f>VLOOKUP($A395,'ПР 01-02.21'!$A$11:$BB$406,34,FALSE)+VLOOKUP($A395,'ПР 21-22'!$A$11:$BB$406,34,FALSE)-VLOOKUP($A395,'ПР 01-02.22'!$A$11:$BB$378,34,FALSE)</f>
        <v>6209.2468423169157</v>
      </c>
      <c r="AI395" s="5">
        <f>VLOOKUP($A395,'ПР 01-02.21'!$A$11:$BB$406,35,FALSE)+VLOOKUP($A395,'ПР 21-22'!$A$11:$BB$406,35,FALSE)-VLOOKUP($A395,'ПР 01-02.22'!$A$11:$BB$378,35,FALSE)</f>
        <v>1151</v>
      </c>
      <c r="AJ395" s="40"/>
      <c r="AK395" s="5">
        <f>VLOOKUP($A395,'ПР 01-02.21'!$A$11:$BB$406,37,FALSE)+VLOOKUP($A395,'ПР 21-22'!$A$11:$BB$406,37,FALSE)-VLOOKUP($A395,'ПР 01-02.22'!$A$11:$BB$378,37,FALSE)</f>
        <v>2253.9135682380929</v>
      </c>
      <c r="AL395" s="5">
        <f>VLOOKUP($A395,'ПР 01-02.21'!$A$11:$BB$406,38,FALSE)+VLOOKUP($A395,'ПР 21-22'!$A$11:$BB$406,38,FALSE)-VLOOKUP($A395,'ПР 01-02.22'!$A$11:$BB$378,38,FALSE)</f>
        <v>7374</v>
      </c>
      <c r="AM395" s="40"/>
      <c r="AN395" s="5">
        <f>VLOOKUP($A395,'ПР 01-02.21'!$A$11:$BB$406,40,FALSE)+VLOOKUP($A395,'ПР 21-22'!$A$11:$BB$406,40,FALSE)-VLOOKUP($A395,'ПР 01-02.22'!$A$11:$BB$378,40,FALSE)</f>
        <v>0</v>
      </c>
      <c r="AO395" s="5">
        <f>VLOOKUP($A395,'ПР 01-02.21'!$A$11:$BB$406,41,FALSE)+VLOOKUP($A395,'ПР 21-22'!$A$11:$BB$406,41,FALSE)-VLOOKUP($A395,'ПР 01-02.22'!$A$11:$BB$378,41,FALSE)</f>
        <v>0</v>
      </c>
      <c r="AP395" s="40"/>
      <c r="AQ395" s="5">
        <f>VLOOKUP($A395,'ПР 01-02.21'!$A$11:$BB$406,43,FALSE)+VLOOKUP($A395,'ПР 21-22'!$A$11:$BB$406,43,FALSE)-VLOOKUP($A395,'ПР 01-02.22'!$A$11:$BB$378,43,FALSE)</f>
        <v>2499.7849063102835</v>
      </c>
      <c r="AR395" s="5">
        <f>VLOOKUP($A395,'ПР 01-02.21'!$A$11:$BB$406,44,FALSE)+VLOOKUP($A395,'ПР 21-22'!$A$11:$BB$406,44,FALSE)-VLOOKUP($A395,'ПР 01-02.22'!$A$11:$BB$378,44,FALSE)</f>
        <v>0</v>
      </c>
      <c r="AS395" s="40"/>
      <c r="AT395" s="5">
        <f>VLOOKUP($A395,'ПР 01-02.21'!$A$11:$BB$406,46,FALSE)+VLOOKUP($A395,'ПР 21-22'!$A$11:$BB$406,46,FALSE)-VLOOKUP($A395,'ПР 01-02.22'!$A$11:$BB$378,46,FALSE)</f>
        <v>3998.1253977821334</v>
      </c>
      <c r="AU395" s="5">
        <f>VLOOKUP($A395,'ПР 01-02.21'!$A$11:$BB$406,47,FALSE)+VLOOKUP($A395,'ПР 21-22'!$A$11:$BB$406,47,FALSE)-VLOOKUP($A395,'ПР 01-02.22'!$A$11:$BB$378,47,FALSE)</f>
        <v>142</v>
      </c>
      <c r="AV395" s="40"/>
      <c r="AW395" s="5">
        <f>VLOOKUP($A395,'ПР 01-02.21'!$A$11:$BB$406,49,FALSE)+VLOOKUP($A395,'ПР 21-22'!$A$11:$BB$406,49,FALSE)-VLOOKUP($A395,'ПР 01-02.22'!$A$11:$BB$378,49,FALSE)</f>
        <v>228.67599999999999</v>
      </c>
      <c r="AX395" s="5">
        <f>VLOOKUP($A395,'ПР 01-02.21'!$A$11:$BB$406,50,FALSE)+VLOOKUP($A395,'ПР 21-22'!$A$11:$BB$406,50,FALSE)-VLOOKUP($A395,'ПР 01-02.22'!$A$11:$BB$378,50,FALSE)</f>
        <v>4627.84</v>
      </c>
      <c r="AY395" s="40"/>
      <c r="AZ395" s="40">
        <f t="shared" si="25"/>
        <v>19462.355985026919</v>
      </c>
      <c r="BA395" s="40">
        <f t="shared" si="25"/>
        <v>13704.84</v>
      </c>
      <c r="BB395" s="55">
        <f t="shared" si="28"/>
        <v>-5757.5159850269192</v>
      </c>
      <c r="BD395" s="2">
        <v>3</v>
      </c>
      <c r="BF395" s="325">
        <v>150000919</v>
      </c>
    </row>
    <row r="396" spans="1:58" ht="24.9" customHeight="1" x14ac:dyDescent="0.3">
      <c r="A396" s="325">
        <v>150000920</v>
      </c>
      <c r="B396" s="445" t="s">
        <v>328</v>
      </c>
      <c r="C396" s="27">
        <v>5</v>
      </c>
      <c r="D396" s="101" t="s">
        <v>455</v>
      </c>
      <c r="E396" s="279">
        <f>'побудинковий звіт'!E394</f>
        <v>4553.8</v>
      </c>
      <c r="F396" s="441">
        <f>'побудинковий звіт'!AS394</f>
        <v>58545.465503361964</v>
      </c>
      <c r="G396" s="441">
        <f t="shared" si="26"/>
        <v>82058.335985670652</v>
      </c>
      <c r="H396" s="73">
        <f t="shared" si="27"/>
        <v>23512.870482308688</v>
      </c>
      <c r="I396" s="5">
        <f>VLOOKUP($A396,'ПР 01-02.21'!$A$11:$BB$406,9,FALSE)+VLOOKUP($A396,'ПР 21-22'!$A$11:$BB$406,9,FALSE)-VLOOKUP($A396,'ПР 01-02.22'!$A$11:$BB$378,9,FALSE)</f>
        <v>13</v>
      </c>
      <c r="J396" s="5">
        <f>VLOOKUP($A396,'ПР 01-02.21'!$A$11:$BB$406,10,FALSE)+VLOOKUP($A396,'ПР 21-22'!$A$11:$BB$406,10,FALSE)-VLOOKUP($A396,'ПР 01-02.22'!$A$11:$BB$378,10,FALSE)</f>
        <v>1937</v>
      </c>
      <c r="K396" s="446"/>
      <c r="L396" s="5">
        <f>VLOOKUP($A396,'ПР 01-02.21'!$A$11:$BB$406,12,FALSE)+VLOOKUP($A396,'ПР 21-22'!$A$11:$BB$406,12,FALSE)-VLOOKUP($A396,'ПР 01-02.22'!$A$11:$BB$378,12,FALSE)</f>
        <v>2</v>
      </c>
      <c r="M396" s="5">
        <f>VLOOKUP($A396,'ПР 01-02.21'!$A$11:$BB$406,13,FALSE)+VLOOKUP($A396,'ПР 21-22'!$A$11:$BB$406,13,FALSE)-VLOOKUP($A396,'ПР 01-02.22'!$A$11:$BB$378,13,FALSE)</f>
        <v>50997</v>
      </c>
      <c r="N396" s="38"/>
      <c r="O396" s="5">
        <f>VLOOKUP($A396,'ПР 01-02.21'!$A$11:$BB$406,15,FALSE)+VLOOKUP($A396,'ПР 21-22'!$A$11:$BB$406,15,FALSE)-VLOOKUP($A396,'ПР 01-02.22'!$A$11:$BB$378,15,FALSE)</f>
        <v>0</v>
      </c>
      <c r="P396" s="5">
        <f>VLOOKUP($A396,'ПР 01-02.21'!$A$11:$BB$406,16,FALSE)+VLOOKUP($A396,'ПР 21-22'!$A$11:$BB$406,16,FALSE)-VLOOKUP($A396,'ПР 01-02.22'!$A$11:$BB$378,16,FALSE)</f>
        <v>0</v>
      </c>
      <c r="Q396" s="443"/>
      <c r="R396" s="5">
        <f>VLOOKUP($A396,'ПР 01-02.21'!$A$11:$BB$406,18,FALSE)+VLOOKUP($A396,'ПР 21-22'!$A$11:$BB$406,18,FALSE)-VLOOKUP($A396,'ПР 01-02.22'!$A$11:$BB$378,18,FALSE)</f>
        <v>0</v>
      </c>
      <c r="S396" s="5">
        <f>VLOOKUP($A396,'ПР 01-02.21'!$A$11:$BB$406,19,FALSE)+VLOOKUP($A396,'ПР 21-22'!$A$11:$BB$406,19,FALSE)-VLOOKUP($A396,'ПР 01-02.22'!$A$11:$BB$378,19,FALSE)</f>
        <v>0</v>
      </c>
      <c r="T396" s="444"/>
      <c r="U396" s="5">
        <f>VLOOKUP($A396,'ПР 01-02.21'!$A$11:$BB$406,21,FALSE)+VLOOKUP($A396,'ПР 21-22'!$A$11:$BB$406,21,FALSE)-VLOOKUP($A396,'ПР 01-02.22'!$A$11:$BB$378,21,FALSE)</f>
        <v>0</v>
      </c>
      <c r="V396" s="5"/>
      <c r="W396" s="5">
        <f>VLOOKUP($A396,'ПР 01-02.21'!$A$11:$BB$406,23,FALSE)+VLOOKUP($A396,'ПР 21-22'!$A$11:$BB$406,23,FALSE)-VLOOKUP($A396,'ПР 01-02.22'!$A$11:$BB$378,23,FALSE)</f>
        <v>0</v>
      </c>
      <c r="X396" s="5">
        <f>VLOOKUP($A396,'ПР 01-02.21'!$A$11:$BB$406,24,FALSE)+VLOOKUP($A396,'ПР 21-22'!$A$11:$BB$406,24,FALSE)-VLOOKUP($A396,'ПР 01-02.22'!$A$11:$BB$378,24,FALSE)</f>
        <v>315.3159856706601</v>
      </c>
      <c r="Y396" s="5">
        <f>VLOOKUP($A396,'ПР 01-02.21'!$A$11:$BB$406,25,FALSE)+VLOOKUP($A396,'ПР 21-22'!$A$11:$BB$406,25,FALSE)-VLOOKUP($A396,'ПР 01-02.22'!$A$11:$BB$378,25,FALSE)</f>
        <v>12090.73</v>
      </c>
      <c r="Z396" s="5"/>
      <c r="AA396" s="5">
        <f>VLOOKUP($A396,'ПР 01-02.21'!$A$11:$BB$406,27,FALSE)+VLOOKUP($A396,'ПР 21-22'!$A$11:$BB$406,27,FALSE)-VLOOKUP($A396,'ПР 01-02.22'!$A$11:$BB$378,27,FALSE)</f>
        <v>0</v>
      </c>
      <c r="AB396" s="5">
        <f>VLOOKUP($A396,'ПР 01-02.21'!$A$11:$BB$406,28,FALSE)+VLOOKUP($A396,'ПР 21-22'!$A$11:$BB$406,28,FALSE)-VLOOKUP($A396,'ПР 01-02.22'!$A$11:$BB$378,28,FALSE)</f>
        <v>0</v>
      </c>
      <c r="AC396" s="5">
        <f>VLOOKUP($A396,'ПР 01-02.21'!$A$11:$BB$406,29,FALSE)+VLOOKUP($A396,'ПР 21-22'!$A$11:$BB$406,29,FALSE)-VLOOKUP($A396,'ПР 01-02.22'!$A$11:$BB$378,29,FALSE)</f>
        <v>8674</v>
      </c>
      <c r="AD396" s="5">
        <f>VLOOKUP($A396,'ПР 01-02.21'!$A$11:$BB$406,30,FALSE)+VLOOKUP($A396,'ПР 21-22'!$A$11:$BB$406,30,FALSE)-VLOOKUP($A396,'ПР 01-02.22'!$A$11:$BB$378,30,FALSE)</f>
        <v>8044.29</v>
      </c>
      <c r="AE396" s="5">
        <f>VLOOKUP($A396,'ПР 01-02.21'!$A$11:$BB$406,31,FALSE)+VLOOKUP($A396,'ПР 21-22'!$A$11:$BB$406,31,FALSE)-VLOOKUP($A396,'ПР 01-02.22'!$A$11:$BB$378,31,FALSE)</f>
        <v>4274.6286654008945</v>
      </c>
      <c r="AF396" s="5">
        <f>VLOOKUP($A396,'ПР 01-02.21'!$A$11:$BB$406,32,FALSE)+VLOOKUP($A396,'ПР 21-22'!$A$11:$BB$406,32,FALSE)-VLOOKUP($A396,'ПР 01-02.22'!$A$11:$BB$378,32,FALSE)</f>
        <v>0</v>
      </c>
      <c r="AG396" s="40"/>
      <c r="AH396" s="5">
        <f>VLOOKUP($A396,'ПР 01-02.21'!$A$11:$BB$406,34,FALSE)+VLOOKUP($A396,'ПР 21-22'!$A$11:$BB$406,34,FALSE)-VLOOKUP($A396,'ПР 01-02.22'!$A$11:$BB$378,34,FALSE)</f>
        <v>6210.3345609312155</v>
      </c>
      <c r="AI396" s="5">
        <f>VLOOKUP($A396,'ПР 01-02.21'!$A$11:$BB$406,35,FALSE)+VLOOKUP($A396,'ПР 21-22'!$A$11:$BB$406,35,FALSE)-VLOOKUP($A396,'ПР 01-02.22'!$A$11:$BB$378,35,FALSE)</f>
        <v>2020</v>
      </c>
      <c r="AJ396" s="40"/>
      <c r="AK396" s="5">
        <f>VLOOKUP($A396,'ПР 01-02.21'!$A$11:$BB$406,37,FALSE)+VLOOKUP($A396,'ПР 21-22'!$A$11:$BB$406,37,FALSE)-VLOOKUP($A396,'ПР 01-02.22'!$A$11:$BB$378,37,FALSE)</f>
        <v>2315.5929938716954</v>
      </c>
      <c r="AL396" s="5">
        <f>VLOOKUP($A396,'ПР 01-02.21'!$A$11:$BB$406,38,FALSE)+VLOOKUP($A396,'ПР 21-22'!$A$11:$BB$406,38,FALSE)-VLOOKUP($A396,'ПР 01-02.22'!$A$11:$BB$378,38,FALSE)</f>
        <v>2190.89</v>
      </c>
      <c r="AM396" s="40"/>
      <c r="AN396" s="5">
        <f>VLOOKUP($A396,'ПР 01-02.21'!$A$11:$BB$406,40,FALSE)+VLOOKUP($A396,'ПР 21-22'!$A$11:$BB$406,40,FALSE)-VLOOKUP($A396,'ПР 01-02.22'!$A$11:$BB$378,40,FALSE)</f>
        <v>0</v>
      </c>
      <c r="AO396" s="5">
        <f>VLOOKUP($A396,'ПР 01-02.21'!$A$11:$BB$406,41,FALSE)+VLOOKUP($A396,'ПР 21-22'!$A$11:$BB$406,41,FALSE)-VLOOKUP($A396,'ПР 01-02.22'!$A$11:$BB$378,41,FALSE)</f>
        <v>0</v>
      </c>
      <c r="AP396" s="40"/>
      <c r="AQ396" s="5">
        <f>VLOOKUP($A396,'ПР 01-02.21'!$A$11:$BB$406,43,FALSE)+VLOOKUP($A396,'ПР 21-22'!$A$11:$BB$406,43,FALSE)-VLOOKUP($A396,'ПР 01-02.22'!$A$11:$BB$378,43,FALSE)</f>
        <v>2499.7849063102835</v>
      </c>
      <c r="AR396" s="5">
        <f>VLOOKUP($A396,'ПР 01-02.21'!$A$11:$BB$406,44,FALSE)+VLOOKUP($A396,'ПР 21-22'!$A$11:$BB$406,44,FALSE)-VLOOKUP($A396,'ПР 01-02.22'!$A$11:$BB$378,44,FALSE)</f>
        <v>0</v>
      </c>
      <c r="AS396" s="40"/>
      <c r="AT396" s="5">
        <f>VLOOKUP($A396,'ПР 01-02.21'!$A$11:$BB$406,46,FALSE)+VLOOKUP($A396,'ПР 21-22'!$A$11:$BB$406,46,FALSE)-VLOOKUP($A396,'ПР 01-02.22'!$A$11:$BB$378,46,FALSE)</f>
        <v>4001.870645469789</v>
      </c>
      <c r="AU396" s="5">
        <f>VLOOKUP($A396,'ПР 01-02.21'!$A$11:$BB$406,47,FALSE)+VLOOKUP($A396,'ПР 21-22'!$A$11:$BB$406,47,FALSE)-VLOOKUP($A396,'ПР 01-02.22'!$A$11:$BB$378,47,FALSE)</f>
        <v>0</v>
      </c>
      <c r="AV396" s="40"/>
      <c r="AW396" s="5">
        <f>VLOOKUP($A396,'ПР 01-02.21'!$A$11:$BB$406,49,FALSE)+VLOOKUP($A396,'ПР 21-22'!$A$11:$BB$406,49,FALSE)-VLOOKUP($A396,'ПР 01-02.22'!$A$11:$BB$378,49,FALSE)</f>
        <v>228.15599999999998</v>
      </c>
      <c r="AX396" s="5">
        <f>VLOOKUP($A396,'ПР 01-02.21'!$A$11:$BB$406,50,FALSE)+VLOOKUP($A396,'ПР 21-22'!$A$11:$BB$406,50,FALSE)-VLOOKUP($A396,'ПР 01-02.22'!$A$11:$BB$378,50,FALSE)</f>
        <v>0</v>
      </c>
      <c r="AY396" s="40"/>
      <c r="AZ396" s="40">
        <f t="shared" si="25"/>
        <v>19530.367771983878</v>
      </c>
      <c r="BA396" s="40">
        <f t="shared" si="25"/>
        <v>4210.8899999999994</v>
      </c>
      <c r="BB396" s="55">
        <f t="shared" si="28"/>
        <v>-15319.477771983878</v>
      </c>
      <c r="BD396" s="2">
        <v>3</v>
      </c>
      <c r="BF396" s="325">
        <v>150000920</v>
      </c>
    </row>
    <row r="397" spans="1:58" ht="24.9" customHeight="1" x14ac:dyDescent="0.3">
      <c r="A397" s="325">
        <v>150000921</v>
      </c>
      <c r="B397" s="445" t="s">
        <v>329</v>
      </c>
      <c r="C397" s="27">
        <v>5</v>
      </c>
      <c r="D397" s="101" t="s">
        <v>455</v>
      </c>
      <c r="E397" s="279">
        <f>'побудинковий звіт'!E395</f>
        <v>6174.2300000000005</v>
      </c>
      <c r="F397" s="441">
        <f>'побудинковий звіт'!AS395</f>
        <v>52258.304296541181</v>
      </c>
      <c r="G397" s="441">
        <f t="shared" si="26"/>
        <v>33204.130000000005</v>
      </c>
      <c r="H397" s="73">
        <f t="shared" si="27"/>
        <v>-19054.174296541176</v>
      </c>
      <c r="I397" s="5">
        <f>VLOOKUP($A397,'ПР 01-02.21'!$A$11:$BB$406,9,FALSE)+VLOOKUP($A397,'ПР 21-22'!$A$11:$BB$406,9,FALSE)-VLOOKUP($A397,'ПР 01-02.22'!$A$11:$BB$378,9,FALSE)</f>
        <v>26</v>
      </c>
      <c r="J397" s="5">
        <f>VLOOKUP($A397,'ПР 01-02.21'!$A$11:$BB$406,10,FALSE)+VLOOKUP($A397,'ПР 21-22'!$A$11:$BB$406,10,FALSE)-VLOOKUP($A397,'ПР 01-02.22'!$A$11:$BB$378,10,FALSE)</f>
        <v>8889</v>
      </c>
      <c r="K397" s="446"/>
      <c r="L397" s="5">
        <f>VLOOKUP($A397,'ПР 01-02.21'!$A$11:$BB$406,12,FALSE)+VLOOKUP($A397,'ПР 21-22'!$A$11:$BB$406,12,FALSE)-VLOOKUP($A397,'ПР 01-02.22'!$A$11:$BB$378,12,FALSE)</f>
        <v>0</v>
      </c>
      <c r="M397" s="5">
        <f>VLOOKUP($A397,'ПР 01-02.21'!$A$11:$BB$406,13,FALSE)+VLOOKUP($A397,'ПР 21-22'!$A$11:$BB$406,13,FALSE)-VLOOKUP($A397,'ПР 01-02.22'!$A$11:$BB$378,13,FALSE)</f>
        <v>2478.9499999999998</v>
      </c>
      <c r="N397" s="38"/>
      <c r="O397" s="5">
        <f>VLOOKUP($A397,'ПР 01-02.21'!$A$11:$BB$406,15,FALSE)+VLOOKUP($A397,'ПР 21-22'!$A$11:$BB$406,15,FALSE)-VLOOKUP($A397,'ПР 01-02.22'!$A$11:$BB$378,15,FALSE)</f>
        <v>0</v>
      </c>
      <c r="P397" s="5">
        <f>VLOOKUP($A397,'ПР 01-02.21'!$A$11:$BB$406,16,FALSE)+VLOOKUP($A397,'ПР 21-22'!$A$11:$BB$406,16,FALSE)-VLOOKUP($A397,'ПР 01-02.22'!$A$11:$BB$378,16,FALSE)</f>
        <v>0</v>
      </c>
      <c r="Q397" s="443"/>
      <c r="R397" s="5">
        <f>VLOOKUP($A397,'ПР 01-02.21'!$A$11:$BB$406,18,FALSE)+VLOOKUP($A397,'ПР 21-22'!$A$11:$BB$406,18,FALSE)-VLOOKUP($A397,'ПР 01-02.22'!$A$11:$BB$378,18,FALSE)</f>
        <v>0</v>
      </c>
      <c r="S397" s="5">
        <f>VLOOKUP($A397,'ПР 01-02.21'!$A$11:$BB$406,19,FALSE)+VLOOKUP($A397,'ПР 21-22'!$A$11:$BB$406,19,FALSE)-VLOOKUP($A397,'ПР 01-02.22'!$A$11:$BB$378,19,FALSE)</f>
        <v>0</v>
      </c>
      <c r="T397" s="444"/>
      <c r="U397" s="5">
        <f>VLOOKUP($A397,'ПР 01-02.21'!$A$11:$BB$406,21,FALSE)+VLOOKUP($A397,'ПР 21-22'!$A$11:$BB$406,21,FALSE)-VLOOKUP($A397,'ПР 01-02.22'!$A$11:$BB$378,21,FALSE)</f>
        <v>0</v>
      </c>
      <c r="V397" s="5"/>
      <c r="W397" s="5">
        <f>VLOOKUP($A397,'ПР 01-02.21'!$A$11:$BB$406,23,FALSE)+VLOOKUP($A397,'ПР 21-22'!$A$11:$BB$406,23,FALSE)-VLOOKUP($A397,'ПР 01-02.22'!$A$11:$BB$378,23,FALSE)</f>
        <v>0</v>
      </c>
      <c r="X397" s="5">
        <f>VLOOKUP($A397,'ПР 01-02.21'!$A$11:$BB$406,24,FALSE)+VLOOKUP($A397,'ПР 21-22'!$A$11:$BB$406,24,FALSE)-VLOOKUP($A397,'ПР 01-02.22'!$A$11:$BB$378,24,FALSE)</f>
        <v>0</v>
      </c>
      <c r="Y397" s="5">
        <f>VLOOKUP($A397,'ПР 01-02.21'!$A$11:$BB$406,25,FALSE)+VLOOKUP($A397,'ПР 21-22'!$A$11:$BB$406,25,FALSE)-VLOOKUP($A397,'ПР 01-02.22'!$A$11:$BB$378,25,FALSE)</f>
        <v>13160.39</v>
      </c>
      <c r="Z397" s="5"/>
      <c r="AA397" s="5">
        <f>VLOOKUP($A397,'ПР 01-02.21'!$A$11:$BB$406,27,FALSE)+VLOOKUP($A397,'ПР 21-22'!$A$11:$BB$406,27,FALSE)-VLOOKUP($A397,'ПР 01-02.22'!$A$11:$BB$378,27,FALSE)</f>
        <v>0</v>
      </c>
      <c r="AB397" s="5">
        <f>VLOOKUP($A397,'ПР 01-02.21'!$A$11:$BB$406,28,FALSE)+VLOOKUP($A397,'ПР 21-22'!$A$11:$BB$406,28,FALSE)-VLOOKUP($A397,'ПР 01-02.22'!$A$11:$BB$378,28,FALSE)</f>
        <v>0</v>
      </c>
      <c r="AC397" s="5">
        <f>VLOOKUP($A397,'ПР 01-02.21'!$A$11:$BB$406,29,FALSE)+VLOOKUP($A397,'ПР 21-22'!$A$11:$BB$406,29,FALSE)-VLOOKUP($A397,'ПР 01-02.22'!$A$11:$BB$378,29,FALSE)</f>
        <v>2617.79</v>
      </c>
      <c r="AD397" s="5">
        <f>VLOOKUP($A397,'ПР 01-02.21'!$A$11:$BB$406,30,FALSE)+VLOOKUP($A397,'ПР 21-22'!$A$11:$BB$406,30,FALSE)-VLOOKUP($A397,'ПР 01-02.22'!$A$11:$BB$378,30,FALSE)</f>
        <v>6058</v>
      </c>
      <c r="AE397" s="5">
        <f>VLOOKUP($A397,'ПР 01-02.21'!$A$11:$BB$406,31,FALSE)+VLOOKUP($A397,'ПР 21-22'!$A$11:$BB$406,31,FALSE)-VLOOKUP($A397,'ПР 01-02.22'!$A$11:$BB$378,31,FALSE)</f>
        <v>5657.8884984930464</v>
      </c>
      <c r="AF397" s="5">
        <f>VLOOKUP($A397,'ПР 01-02.21'!$A$11:$BB$406,32,FALSE)+VLOOKUP($A397,'ПР 21-22'!$A$11:$BB$406,32,FALSE)-VLOOKUP($A397,'ПР 01-02.22'!$A$11:$BB$378,32,FALSE)</f>
        <v>1090.67</v>
      </c>
      <c r="AG397" s="40"/>
      <c r="AH397" s="5">
        <f>VLOOKUP($A397,'ПР 01-02.21'!$A$11:$BB$406,34,FALSE)+VLOOKUP($A397,'ПР 21-22'!$A$11:$BB$406,34,FALSE)-VLOOKUP($A397,'ПР 01-02.22'!$A$11:$BB$378,34,FALSE)</f>
        <v>8292.6788012560646</v>
      </c>
      <c r="AI397" s="5">
        <f>VLOOKUP($A397,'ПР 01-02.21'!$A$11:$BB$406,35,FALSE)+VLOOKUP($A397,'ПР 21-22'!$A$11:$BB$406,35,FALSE)-VLOOKUP($A397,'ПР 01-02.22'!$A$11:$BB$378,35,FALSE)</f>
        <v>185.96</v>
      </c>
      <c r="AJ397" s="40"/>
      <c r="AK397" s="5">
        <f>VLOOKUP($A397,'ПР 01-02.21'!$A$11:$BB$406,37,FALSE)+VLOOKUP($A397,'ПР 21-22'!$A$11:$BB$406,37,FALSE)-VLOOKUP($A397,'ПР 01-02.22'!$A$11:$BB$378,37,FALSE)</f>
        <v>2986.4513478226845</v>
      </c>
      <c r="AL397" s="5">
        <f>VLOOKUP($A397,'ПР 01-02.21'!$A$11:$BB$406,38,FALSE)+VLOOKUP($A397,'ПР 21-22'!$A$11:$BB$406,38,FALSE)-VLOOKUP($A397,'ПР 01-02.22'!$A$11:$BB$378,38,FALSE)</f>
        <v>0</v>
      </c>
      <c r="AM397" s="40"/>
      <c r="AN397" s="5">
        <f>VLOOKUP($A397,'ПР 01-02.21'!$A$11:$BB$406,40,FALSE)+VLOOKUP($A397,'ПР 21-22'!$A$11:$BB$406,40,FALSE)-VLOOKUP($A397,'ПР 01-02.22'!$A$11:$BB$378,40,FALSE)</f>
        <v>0</v>
      </c>
      <c r="AO397" s="5">
        <f>VLOOKUP($A397,'ПР 01-02.21'!$A$11:$BB$406,41,FALSE)+VLOOKUP($A397,'ПР 21-22'!$A$11:$BB$406,41,FALSE)-VLOOKUP($A397,'ПР 01-02.22'!$A$11:$BB$378,41,FALSE)</f>
        <v>0</v>
      </c>
      <c r="AP397" s="40"/>
      <c r="AQ397" s="5">
        <f>VLOOKUP($A397,'ПР 01-02.21'!$A$11:$BB$406,43,FALSE)+VLOOKUP($A397,'ПР 21-22'!$A$11:$BB$406,43,FALSE)-VLOOKUP($A397,'ПР 01-02.22'!$A$11:$BB$378,43,FALSE)</f>
        <v>3869.5334694266958</v>
      </c>
      <c r="AR397" s="5">
        <f>VLOOKUP($A397,'ПР 01-02.21'!$A$11:$BB$406,44,FALSE)+VLOOKUP($A397,'ПР 21-22'!$A$11:$BB$406,44,FALSE)-VLOOKUP($A397,'ПР 01-02.22'!$A$11:$BB$378,44,FALSE)</f>
        <v>0</v>
      </c>
      <c r="AS397" s="40"/>
      <c r="AT397" s="5">
        <f>VLOOKUP($A397,'ПР 01-02.21'!$A$11:$BB$406,46,FALSE)+VLOOKUP($A397,'ПР 21-22'!$A$11:$BB$406,46,FALSE)-VLOOKUP($A397,'ПР 01-02.22'!$A$11:$BB$378,46,FALSE)</f>
        <v>6765.2163408438873</v>
      </c>
      <c r="AU397" s="5">
        <f>VLOOKUP($A397,'ПР 01-02.21'!$A$11:$BB$406,47,FALSE)+VLOOKUP($A397,'ПР 21-22'!$A$11:$BB$406,47,FALSE)-VLOOKUP($A397,'ПР 01-02.22'!$A$11:$BB$378,47,FALSE)</f>
        <v>943</v>
      </c>
      <c r="AV397" s="40"/>
      <c r="AW397" s="5">
        <f>VLOOKUP($A397,'ПР 01-02.21'!$A$11:$BB$406,49,FALSE)+VLOOKUP($A397,'ПР 21-22'!$A$11:$BB$406,49,FALSE)-VLOOKUP($A397,'ПР 01-02.22'!$A$11:$BB$378,49,FALSE)</f>
        <v>308.95320000000004</v>
      </c>
      <c r="AX397" s="5">
        <f>VLOOKUP($A397,'ПР 01-02.21'!$A$11:$BB$406,50,FALSE)+VLOOKUP($A397,'ПР 21-22'!$A$11:$BB$406,50,FALSE)-VLOOKUP($A397,'ПР 01-02.22'!$A$11:$BB$378,50,FALSE)</f>
        <v>0</v>
      </c>
      <c r="AY397" s="40"/>
      <c r="AZ397" s="40">
        <f t="shared" si="25"/>
        <v>27880.721657842379</v>
      </c>
      <c r="BA397" s="40">
        <f t="shared" si="25"/>
        <v>2219.63</v>
      </c>
      <c r="BB397" s="55">
        <f t="shared" si="28"/>
        <v>-25661.091657842378</v>
      </c>
      <c r="BD397" s="2">
        <v>3</v>
      </c>
      <c r="BF397" s="325">
        <v>150000921</v>
      </c>
    </row>
    <row r="398" spans="1:58" ht="24.9" customHeight="1" x14ac:dyDescent="0.3">
      <c r="A398" s="325">
        <v>150000878</v>
      </c>
      <c r="B398" s="445" t="s">
        <v>237</v>
      </c>
      <c r="C398" s="27">
        <v>4</v>
      </c>
      <c r="D398" s="101" t="s">
        <v>455</v>
      </c>
      <c r="E398" s="279">
        <f>'побудинковий звіт'!E396</f>
        <v>2396.4899999999998</v>
      </c>
      <c r="F398" s="441">
        <f>'побудинковий звіт'!AS396</f>
        <v>18602.736086781362</v>
      </c>
      <c r="G398" s="441">
        <f t="shared" si="26"/>
        <v>31730.810372472108</v>
      </c>
      <c r="H398" s="73">
        <f t="shared" si="27"/>
        <v>13128.074285690745</v>
      </c>
      <c r="I398" s="5">
        <f>VLOOKUP($A398,'ПР 01-02.21'!$A$11:$BB$406,9,FALSE)+VLOOKUP($A398,'ПР 21-22'!$A$11:$BB$406,9,FALSE)-VLOOKUP($A398,'ПР 01-02.22'!$A$11:$BB$378,9,FALSE)</f>
        <v>40</v>
      </c>
      <c r="J398" s="5">
        <f>VLOOKUP($A398,'ПР 01-02.21'!$A$11:$BB$406,10,FALSE)+VLOOKUP($A398,'ПР 21-22'!$A$11:$BB$406,10,FALSE)-VLOOKUP($A398,'ПР 01-02.22'!$A$11:$BB$378,10,FALSE)</f>
        <v>15710</v>
      </c>
      <c r="K398" s="446"/>
      <c r="L398" s="5">
        <f>VLOOKUP($A398,'ПР 01-02.21'!$A$11:$BB$406,12,FALSE)+VLOOKUP($A398,'ПР 21-22'!$A$11:$BB$406,12,FALSE)-VLOOKUP($A398,'ПР 01-02.22'!$A$11:$BB$378,12,FALSE)</f>
        <v>0</v>
      </c>
      <c r="M398" s="5">
        <f>VLOOKUP($A398,'ПР 01-02.21'!$A$11:$BB$406,13,FALSE)+VLOOKUP($A398,'ПР 21-22'!$A$11:$BB$406,13,FALSE)-VLOOKUP($A398,'ПР 01-02.22'!$A$11:$BB$378,13,FALSE)</f>
        <v>609</v>
      </c>
      <c r="N398" s="38"/>
      <c r="O398" s="5">
        <f>VLOOKUP($A398,'ПР 01-02.21'!$A$11:$BB$406,15,FALSE)+VLOOKUP($A398,'ПР 21-22'!$A$11:$BB$406,15,FALSE)-VLOOKUP($A398,'ПР 01-02.22'!$A$11:$BB$378,15,FALSE)</f>
        <v>0</v>
      </c>
      <c r="P398" s="5">
        <f>VLOOKUP($A398,'ПР 01-02.21'!$A$11:$BB$406,16,FALSE)+VLOOKUP($A398,'ПР 21-22'!$A$11:$BB$406,16,FALSE)-VLOOKUP($A398,'ПР 01-02.22'!$A$11:$BB$378,16,FALSE)</f>
        <v>0</v>
      </c>
      <c r="Q398" s="443"/>
      <c r="R398" s="5">
        <f>VLOOKUP($A398,'ПР 01-02.21'!$A$11:$BB$406,18,FALSE)+VLOOKUP($A398,'ПР 21-22'!$A$11:$BB$406,18,FALSE)-VLOOKUP($A398,'ПР 01-02.22'!$A$11:$BB$378,18,FALSE)</f>
        <v>0</v>
      </c>
      <c r="S398" s="5">
        <f>VLOOKUP($A398,'ПР 01-02.21'!$A$11:$BB$406,19,FALSE)+VLOOKUP($A398,'ПР 21-22'!$A$11:$BB$406,19,FALSE)-VLOOKUP($A398,'ПР 01-02.22'!$A$11:$BB$378,19,FALSE)</f>
        <v>0</v>
      </c>
      <c r="T398" s="444"/>
      <c r="U398" s="5">
        <f>VLOOKUP($A398,'ПР 01-02.21'!$A$11:$BB$406,21,FALSE)+VLOOKUP($A398,'ПР 21-22'!$A$11:$BB$406,21,FALSE)-VLOOKUP($A398,'ПР 01-02.22'!$A$11:$BB$378,21,FALSE)</f>
        <v>0</v>
      </c>
      <c r="V398" s="5"/>
      <c r="W398" s="5">
        <f>VLOOKUP($A398,'ПР 01-02.21'!$A$11:$BB$406,23,FALSE)+VLOOKUP($A398,'ПР 21-22'!$A$11:$BB$406,23,FALSE)-VLOOKUP($A398,'ПР 01-02.22'!$A$11:$BB$378,23,FALSE)</f>
        <v>0</v>
      </c>
      <c r="X398" s="5">
        <f>VLOOKUP($A398,'ПР 01-02.21'!$A$11:$BB$406,24,FALSE)+VLOOKUP($A398,'ПР 21-22'!$A$11:$BB$406,24,FALSE)-VLOOKUP($A398,'ПР 01-02.22'!$A$11:$BB$378,24,FALSE)</f>
        <v>652.32037247210621</v>
      </c>
      <c r="Y398" s="5">
        <f>VLOOKUP($A398,'ПР 01-02.21'!$A$11:$BB$406,25,FALSE)+VLOOKUP($A398,'ПР 21-22'!$A$11:$BB$406,25,FALSE)-VLOOKUP($A398,'ПР 01-02.22'!$A$11:$BB$378,25,FALSE)</f>
        <v>9457</v>
      </c>
      <c r="Z398" s="5"/>
      <c r="AA398" s="5">
        <f>VLOOKUP($A398,'ПР 01-02.21'!$A$11:$BB$406,27,FALSE)+VLOOKUP($A398,'ПР 21-22'!$A$11:$BB$406,27,FALSE)-VLOOKUP($A398,'ПР 01-02.22'!$A$11:$BB$378,27,FALSE)</f>
        <v>0</v>
      </c>
      <c r="AB398" s="5">
        <f>VLOOKUP($A398,'ПР 01-02.21'!$A$11:$BB$406,28,FALSE)+VLOOKUP($A398,'ПР 21-22'!$A$11:$BB$406,28,FALSE)-VLOOKUP($A398,'ПР 01-02.22'!$A$11:$BB$378,28,FALSE)</f>
        <v>1610</v>
      </c>
      <c r="AC398" s="5">
        <f>VLOOKUP($A398,'ПР 01-02.21'!$A$11:$BB$406,29,FALSE)+VLOOKUP($A398,'ПР 21-22'!$A$11:$BB$406,29,FALSE)-VLOOKUP($A398,'ПР 01-02.22'!$A$11:$BB$378,29,FALSE)</f>
        <v>0</v>
      </c>
      <c r="AD398" s="5">
        <f>VLOOKUP($A398,'ПР 01-02.21'!$A$11:$BB$406,30,FALSE)+VLOOKUP($A398,'ПР 21-22'!$A$11:$BB$406,30,FALSE)-VLOOKUP($A398,'ПР 01-02.22'!$A$11:$BB$378,30,FALSE)</f>
        <v>3692.49</v>
      </c>
      <c r="AE398" s="5">
        <f>VLOOKUP($A398,'ПР 01-02.21'!$A$11:$BB$406,31,FALSE)+VLOOKUP($A398,'ПР 21-22'!$A$11:$BB$406,31,FALSE)-VLOOKUP($A398,'ПР 01-02.22'!$A$11:$BB$378,31,FALSE)</f>
        <v>1944.8816608021598</v>
      </c>
      <c r="AF398" s="5">
        <f>VLOOKUP($A398,'ПР 01-02.21'!$A$11:$BB$406,32,FALSE)+VLOOKUP($A398,'ПР 21-22'!$A$11:$BB$406,32,FALSE)-VLOOKUP($A398,'ПР 01-02.22'!$A$11:$BB$378,32,FALSE)</f>
        <v>184</v>
      </c>
      <c r="AG398" s="40"/>
      <c r="AH398" s="5">
        <f>VLOOKUP($A398,'ПР 01-02.21'!$A$11:$BB$406,34,FALSE)+VLOOKUP($A398,'ПР 21-22'!$A$11:$BB$406,34,FALSE)-VLOOKUP($A398,'ПР 01-02.22'!$A$11:$BB$378,34,FALSE)</f>
        <v>2011.0385661914047</v>
      </c>
      <c r="AI398" s="5">
        <f>VLOOKUP($A398,'ПР 01-02.21'!$A$11:$BB$406,35,FALSE)+VLOOKUP($A398,'ПР 21-22'!$A$11:$BB$406,35,FALSE)-VLOOKUP($A398,'ПР 01-02.22'!$A$11:$BB$378,35,FALSE)</f>
        <v>0</v>
      </c>
      <c r="AJ398" s="40"/>
      <c r="AK398" s="5">
        <f>VLOOKUP($A398,'ПР 01-02.21'!$A$11:$BB$406,37,FALSE)+VLOOKUP($A398,'ПР 21-22'!$A$11:$BB$406,37,FALSE)-VLOOKUP($A398,'ПР 01-02.22'!$A$11:$BB$378,37,FALSE)</f>
        <v>1614.2671375886894</v>
      </c>
      <c r="AL398" s="5">
        <f>VLOOKUP($A398,'ПР 01-02.21'!$A$11:$BB$406,38,FALSE)+VLOOKUP($A398,'ПР 21-22'!$A$11:$BB$406,38,FALSE)-VLOOKUP($A398,'ПР 01-02.22'!$A$11:$BB$378,38,FALSE)</f>
        <v>1153</v>
      </c>
      <c r="AM398" s="40"/>
      <c r="AN398" s="5">
        <f>VLOOKUP($A398,'ПР 01-02.21'!$A$11:$BB$406,40,FALSE)+VLOOKUP($A398,'ПР 21-22'!$A$11:$BB$406,40,FALSE)-VLOOKUP($A398,'ПР 01-02.22'!$A$11:$BB$378,40,FALSE)</f>
        <v>0</v>
      </c>
      <c r="AO398" s="5">
        <f>VLOOKUP($A398,'ПР 01-02.21'!$A$11:$BB$406,41,FALSE)+VLOOKUP($A398,'ПР 21-22'!$A$11:$BB$406,41,FALSE)-VLOOKUP($A398,'ПР 01-02.22'!$A$11:$BB$378,41,FALSE)</f>
        <v>0</v>
      </c>
      <c r="AP398" s="40"/>
      <c r="AQ398" s="5">
        <f>VLOOKUP($A398,'ПР 01-02.21'!$A$11:$BB$406,43,FALSE)+VLOOKUP($A398,'ПР 21-22'!$A$11:$BB$406,43,FALSE)-VLOOKUP($A398,'ПР 01-02.22'!$A$11:$BB$378,43,FALSE)</f>
        <v>0</v>
      </c>
      <c r="AR398" s="5">
        <f>VLOOKUP($A398,'ПР 01-02.21'!$A$11:$BB$406,44,FALSE)+VLOOKUP($A398,'ПР 21-22'!$A$11:$BB$406,44,FALSE)-VLOOKUP($A398,'ПР 01-02.22'!$A$11:$BB$378,44,FALSE)</f>
        <v>0</v>
      </c>
      <c r="AS398" s="40"/>
      <c r="AT398" s="5">
        <f>VLOOKUP($A398,'ПР 01-02.21'!$A$11:$BB$406,46,FALSE)+VLOOKUP($A398,'ПР 21-22'!$A$11:$BB$406,46,FALSE)-VLOOKUP($A398,'ПР 01-02.22'!$A$11:$BB$378,46,FALSE)</f>
        <v>1238.3634379691086</v>
      </c>
      <c r="AU398" s="5">
        <f>VLOOKUP($A398,'ПР 01-02.21'!$A$11:$BB$406,47,FALSE)+VLOOKUP($A398,'ПР 21-22'!$A$11:$BB$406,47,FALSE)-VLOOKUP($A398,'ПР 01-02.22'!$A$11:$BB$378,47,FALSE)</f>
        <v>0</v>
      </c>
      <c r="AV398" s="40"/>
      <c r="AW398" s="5">
        <f>VLOOKUP($A398,'ПР 01-02.21'!$A$11:$BB$406,49,FALSE)+VLOOKUP($A398,'ПР 21-22'!$A$11:$BB$406,49,FALSE)-VLOOKUP($A398,'ПР 01-02.22'!$A$11:$BB$378,49,FALSE)</f>
        <v>121.1464</v>
      </c>
      <c r="AX398" s="5">
        <f>VLOOKUP($A398,'ПР 01-02.21'!$A$11:$BB$406,50,FALSE)+VLOOKUP($A398,'ПР 21-22'!$A$11:$BB$406,50,FALSE)-VLOOKUP($A398,'ПР 01-02.22'!$A$11:$BB$378,50,FALSE)</f>
        <v>0</v>
      </c>
      <c r="AY398" s="40"/>
      <c r="AZ398" s="40">
        <f t="shared" si="25"/>
        <v>6929.6972025513624</v>
      </c>
      <c r="BA398" s="40">
        <f t="shared" si="25"/>
        <v>1337</v>
      </c>
      <c r="BB398" s="55">
        <f t="shared" si="28"/>
        <v>-5592.6972025513624</v>
      </c>
      <c r="BD398" s="2">
        <v>2</v>
      </c>
      <c r="BF398" s="325">
        <v>150000878</v>
      </c>
    </row>
    <row r="399" spans="1:58" ht="24.9" customHeight="1" x14ac:dyDescent="0.3">
      <c r="A399" s="325">
        <v>150000879</v>
      </c>
      <c r="B399" s="445" t="s">
        <v>330</v>
      </c>
      <c r="C399" s="27">
        <v>5</v>
      </c>
      <c r="D399" s="101" t="s">
        <v>455</v>
      </c>
      <c r="E399" s="279">
        <f>'побудинковий звіт'!E397</f>
        <v>4494.13</v>
      </c>
      <c r="F399" s="441">
        <f>'побудинковий звіт'!AS397</f>
        <v>31795.495528373041</v>
      </c>
      <c r="G399" s="441">
        <f t="shared" si="26"/>
        <v>14109.51</v>
      </c>
      <c r="H399" s="73">
        <f t="shared" si="27"/>
        <v>-17685.985528373043</v>
      </c>
      <c r="I399" s="5">
        <f>VLOOKUP($A399,'ПР 01-02.21'!$A$11:$BB$406,9,FALSE)+VLOOKUP($A399,'ПР 21-22'!$A$11:$BB$406,9,FALSE)-VLOOKUP($A399,'ПР 01-02.22'!$A$11:$BB$378,9,FALSE)</f>
        <v>1</v>
      </c>
      <c r="J399" s="5">
        <f>VLOOKUP($A399,'ПР 01-02.21'!$A$11:$BB$406,10,FALSE)+VLOOKUP($A399,'ПР 21-22'!$A$11:$BB$406,10,FALSE)-VLOOKUP($A399,'ПР 01-02.22'!$A$11:$BB$378,10,FALSE)</f>
        <v>266</v>
      </c>
      <c r="K399" s="446"/>
      <c r="L399" s="5">
        <f>VLOOKUP($A399,'ПР 01-02.21'!$A$11:$BB$406,12,FALSE)+VLOOKUP($A399,'ПР 21-22'!$A$11:$BB$406,12,FALSE)-VLOOKUP($A399,'ПР 01-02.22'!$A$11:$BB$378,12,FALSE)</f>
        <v>0</v>
      </c>
      <c r="M399" s="5">
        <f>VLOOKUP($A399,'ПР 01-02.21'!$A$11:$BB$406,13,FALSE)+VLOOKUP($A399,'ПР 21-22'!$A$11:$BB$406,13,FALSE)-VLOOKUP($A399,'ПР 01-02.22'!$A$11:$BB$378,13,FALSE)</f>
        <v>0</v>
      </c>
      <c r="N399" s="38"/>
      <c r="O399" s="5">
        <f>VLOOKUP($A399,'ПР 01-02.21'!$A$11:$BB$406,15,FALSE)+VLOOKUP($A399,'ПР 21-22'!$A$11:$BB$406,15,FALSE)-VLOOKUP($A399,'ПР 01-02.22'!$A$11:$BB$378,15,FALSE)</f>
        <v>0</v>
      </c>
      <c r="P399" s="5">
        <f>VLOOKUP($A399,'ПР 01-02.21'!$A$11:$BB$406,16,FALSE)+VLOOKUP($A399,'ПР 21-22'!$A$11:$BB$406,16,FALSE)-VLOOKUP($A399,'ПР 01-02.22'!$A$11:$BB$378,16,FALSE)</f>
        <v>0</v>
      </c>
      <c r="Q399" s="443"/>
      <c r="R399" s="5">
        <f>VLOOKUP($A399,'ПР 01-02.21'!$A$11:$BB$406,18,FALSE)+VLOOKUP($A399,'ПР 21-22'!$A$11:$BB$406,18,FALSE)-VLOOKUP($A399,'ПР 01-02.22'!$A$11:$BB$378,18,FALSE)</f>
        <v>0</v>
      </c>
      <c r="S399" s="5">
        <f>VLOOKUP($A399,'ПР 01-02.21'!$A$11:$BB$406,19,FALSE)+VLOOKUP($A399,'ПР 21-22'!$A$11:$BB$406,19,FALSE)-VLOOKUP($A399,'ПР 01-02.22'!$A$11:$BB$378,19,FALSE)</f>
        <v>0</v>
      </c>
      <c r="T399" s="444"/>
      <c r="U399" s="5">
        <f>VLOOKUP($A399,'ПР 01-02.21'!$A$11:$BB$406,21,FALSE)+VLOOKUP($A399,'ПР 21-22'!$A$11:$BB$406,21,FALSE)-VLOOKUP($A399,'ПР 01-02.22'!$A$11:$BB$378,21,FALSE)</f>
        <v>0</v>
      </c>
      <c r="V399" s="5"/>
      <c r="W399" s="5">
        <f>VLOOKUP($A399,'ПР 01-02.21'!$A$11:$BB$406,23,FALSE)+VLOOKUP($A399,'ПР 21-22'!$A$11:$BB$406,23,FALSE)-VLOOKUP($A399,'ПР 01-02.22'!$A$11:$BB$378,23,FALSE)</f>
        <v>19</v>
      </c>
      <c r="X399" s="5">
        <f>VLOOKUP($A399,'ПР 01-02.21'!$A$11:$BB$406,24,FALSE)+VLOOKUP($A399,'ПР 21-22'!$A$11:$BB$406,24,FALSE)-VLOOKUP($A399,'ПР 01-02.22'!$A$11:$BB$378,24,FALSE)</f>
        <v>8870.51</v>
      </c>
      <c r="Y399" s="5">
        <f>VLOOKUP($A399,'ПР 01-02.21'!$A$11:$BB$406,25,FALSE)+VLOOKUP($A399,'ПР 21-22'!$A$11:$BB$406,25,FALSE)-VLOOKUP($A399,'ПР 01-02.22'!$A$11:$BB$378,25,FALSE)</f>
        <v>2690</v>
      </c>
      <c r="Z399" s="5"/>
      <c r="AA399" s="5">
        <f>VLOOKUP($A399,'ПР 01-02.21'!$A$11:$BB$406,27,FALSE)+VLOOKUP($A399,'ПР 21-22'!$A$11:$BB$406,27,FALSE)-VLOOKUP($A399,'ПР 01-02.22'!$A$11:$BB$378,27,FALSE)</f>
        <v>0</v>
      </c>
      <c r="AB399" s="5">
        <f>VLOOKUP($A399,'ПР 01-02.21'!$A$11:$BB$406,28,FALSE)+VLOOKUP($A399,'ПР 21-22'!$A$11:$BB$406,28,FALSE)-VLOOKUP($A399,'ПР 01-02.22'!$A$11:$BB$378,28,FALSE)</f>
        <v>0</v>
      </c>
      <c r="AC399" s="5">
        <f>VLOOKUP($A399,'ПР 01-02.21'!$A$11:$BB$406,29,FALSE)+VLOOKUP($A399,'ПР 21-22'!$A$11:$BB$406,29,FALSE)-VLOOKUP($A399,'ПР 01-02.22'!$A$11:$BB$378,29,FALSE)</f>
        <v>0</v>
      </c>
      <c r="AD399" s="5">
        <f>VLOOKUP($A399,'ПР 01-02.21'!$A$11:$BB$406,30,FALSE)+VLOOKUP($A399,'ПР 21-22'!$A$11:$BB$406,30,FALSE)-VLOOKUP($A399,'ПР 01-02.22'!$A$11:$BB$378,30,FALSE)</f>
        <v>2283</v>
      </c>
      <c r="AE399" s="5">
        <f>VLOOKUP($A399,'ПР 01-02.21'!$A$11:$BB$406,31,FALSE)+VLOOKUP($A399,'ПР 21-22'!$A$11:$BB$406,31,FALSE)-VLOOKUP($A399,'ПР 01-02.22'!$A$11:$BB$378,31,FALSE)</f>
        <v>3292.7312496145614</v>
      </c>
      <c r="AF399" s="5">
        <f>VLOOKUP($A399,'ПР 01-02.21'!$A$11:$BB$406,32,FALSE)+VLOOKUP($A399,'ПР 21-22'!$A$11:$BB$406,32,FALSE)-VLOOKUP($A399,'ПР 01-02.22'!$A$11:$BB$378,32,FALSE)</f>
        <v>2596</v>
      </c>
      <c r="AG399" s="40"/>
      <c r="AH399" s="5">
        <f>VLOOKUP($A399,'ПР 01-02.21'!$A$11:$BB$406,34,FALSE)+VLOOKUP($A399,'ПР 21-22'!$A$11:$BB$406,34,FALSE)-VLOOKUP($A399,'ПР 01-02.22'!$A$11:$BB$378,34,FALSE)</f>
        <v>4396.1532432989079</v>
      </c>
      <c r="AI399" s="5">
        <f>VLOOKUP($A399,'ПР 01-02.21'!$A$11:$BB$406,35,FALSE)+VLOOKUP($A399,'ПР 21-22'!$A$11:$BB$406,35,FALSE)-VLOOKUP($A399,'ПР 01-02.22'!$A$11:$BB$378,35,FALSE)</f>
        <v>0</v>
      </c>
      <c r="AJ399" s="40"/>
      <c r="AK399" s="5">
        <f>VLOOKUP($A399,'ПР 01-02.21'!$A$11:$BB$406,37,FALSE)+VLOOKUP($A399,'ПР 21-22'!$A$11:$BB$406,37,FALSE)-VLOOKUP($A399,'ПР 01-02.22'!$A$11:$BB$378,37,FALSE)</f>
        <v>2328.1914727314816</v>
      </c>
      <c r="AL399" s="5">
        <f>VLOOKUP($A399,'ПР 01-02.21'!$A$11:$BB$406,38,FALSE)+VLOOKUP($A399,'ПР 21-22'!$A$11:$BB$406,38,FALSE)-VLOOKUP($A399,'ПР 01-02.22'!$A$11:$BB$378,38,FALSE)</f>
        <v>0</v>
      </c>
      <c r="AM399" s="40"/>
      <c r="AN399" s="5">
        <f>VLOOKUP($A399,'ПР 01-02.21'!$A$11:$BB$406,40,FALSE)+VLOOKUP($A399,'ПР 21-22'!$A$11:$BB$406,40,FALSE)-VLOOKUP($A399,'ПР 01-02.22'!$A$11:$BB$378,40,FALSE)</f>
        <v>0</v>
      </c>
      <c r="AO399" s="5">
        <f>VLOOKUP($A399,'ПР 01-02.21'!$A$11:$BB$406,41,FALSE)+VLOOKUP($A399,'ПР 21-22'!$A$11:$BB$406,41,FALSE)-VLOOKUP($A399,'ПР 01-02.22'!$A$11:$BB$378,41,FALSE)</f>
        <v>0</v>
      </c>
      <c r="AP399" s="40"/>
      <c r="AQ399" s="5">
        <f>VLOOKUP($A399,'ПР 01-02.21'!$A$11:$BB$406,43,FALSE)+VLOOKUP($A399,'ПР 21-22'!$A$11:$BB$406,43,FALSE)-VLOOKUP($A399,'ПР 01-02.22'!$A$11:$BB$378,43,FALSE)</f>
        <v>0</v>
      </c>
      <c r="AR399" s="5">
        <f>VLOOKUP($A399,'ПР 01-02.21'!$A$11:$BB$406,44,FALSE)+VLOOKUP($A399,'ПР 21-22'!$A$11:$BB$406,44,FALSE)-VLOOKUP($A399,'ПР 01-02.22'!$A$11:$BB$378,44,FALSE)</f>
        <v>0</v>
      </c>
      <c r="AS399" s="40"/>
      <c r="AT399" s="5">
        <f>VLOOKUP($A399,'ПР 01-02.21'!$A$11:$BB$406,46,FALSE)+VLOOKUP($A399,'ПР 21-22'!$A$11:$BB$406,46,FALSE)-VLOOKUP($A399,'ПР 01-02.22'!$A$11:$BB$378,46,FALSE)</f>
        <v>2944.211514890429</v>
      </c>
      <c r="AU399" s="5">
        <f>VLOOKUP($A399,'ПР 01-02.21'!$A$11:$BB$406,47,FALSE)+VLOOKUP($A399,'ПР 21-22'!$A$11:$BB$406,47,FALSE)-VLOOKUP($A399,'ПР 01-02.22'!$A$11:$BB$378,47,FALSE)</f>
        <v>0</v>
      </c>
      <c r="AV399" s="40"/>
      <c r="AW399" s="5">
        <f>VLOOKUP($A399,'ПР 01-02.21'!$A$11:$BB$406,49,FALSE)+VLOOKUP($A399,'ПР 21-22'!$A$11:$BB$406,49,FALSE)-VLOOKUP($A399,'ПР 01-02.22'!$A$11:$BB$378,49,FALSE)</f>
        <v>228.16920000000002</v>
      </c>
      <c r="AX399" s="5">
        <f>VLOOKUP($A399,'ПР 01-02.21'!$A$11:$BB$406,50,FALSE)+VLOOKUP($A399,'ПР 21-22'!$A$11:$BB$406,50,FALSE)-VLOOKUP($A399,'ПР 01-02.22'!$A$11:$BB$378,50,FALSE)</f>
        <v>0</v>
      </c>
      <c r="AY399" s="40"/>
      <c r="AZ399" s="40">
        <f t="shared" si="25"/>
        <v>13189.456680535381</v>
      </c>
      <c r="BA399" s="40">
        <f t="shared" si="25"/>
        <v>2596</v>
      </c>
      <c r="BB399" s="55">
        <f t="shared" si="28"/>
        <v>-10593.456680535381</v>
      </c>
      <c r="BD399" s="2">
        <v>2</v>
      </c>
      <c r="BF399" s="325">
        <v>150000879</v>
      </c>
    </row>
    <row r="400" spans="1:58" ht="24.9" customHeight="1" x14ac:dyDescent="0.3">
      <c r="A400" s="325">
        <v>150000880</v>
      </c>
      <c r="B400" s="445" t="s">
        <v>238</v>
      </c>
      <c r="C400" s="27">
        <v>4</v>
      </c>
      <c r="D400" s="101" t="s">
        <v>455</v>
      </c>
      <c r="E400" s="279">
        <f>'побудинковий звіт'!E398</f>
        <v>2726.35</v>
      </c>
      <c r="F400" s="441">
        <f>'побудинковий звіт'!AS398</f>
        <v>24210.164364034263</v>
      </c>
      <c r="G400" s="441">
        <f t="shared" si="26"/>
        <v>1891.5297539954236</v>
      </c>
      <c r="H400" s="73">
        <f t="shared" si="27"/>
        <v>-22318.63461003884</v>
      </c>
      <c r="I400" s="5">
        <f>VLOOKUP($A400,'ПР 01-02.21'!$A$11:$BB$406,9,FALSE)+VLOOKUP($A400,'ПР 21-22'!$A$11:$BB$406,9,FALSE)-VLOOKUP($A400,'ПР 01-02.22'!$A$11:$BB$378,9,FALSE)</f>
        <v>0</v>
      </c>
      <c r="J400" s="5">
        <f>VLOOKUP($A400,'ПР 01-02.21'!$A$11:$BB$406,10,FALSE)+VLOOKUP($A400,'ПР 21-22'!$A$11:$BB$406,10,FALSE)-VLOOKUP($A400,'ПР 01-02.22'!$A$11:$BB$378,10,FALSE)</f>
        <v>0</v>
      </c>
      <c r="K400" s="446"/>
      <c r="L400" s="5">
        <f>VLOOKUP($A400,'ПР 01-02.21'!$A$11:$BB$406,12,FALSE)+VLOOKUP($A400,'ПР 21-22'!$A$11:$BB$406,12,FALSE)-VLOOKUP($A400,'ПР 01-02.22'!$A$11:$BB$378,12,FALSE)</f>
        <v>0</v>
      </c>
      <c r="M400" s="5">
        <f>VLOOKUP($A400,'ПР 01-02.21'!$A$11:$BB$406,13,FALSE)+VLOOKUP($A400,'ПР 21-22'!$A$11:$BB$406,13,FALSE)-VLOOKUP($A400,'ПР 01-02.22'!$A$11:$BB$378,13,FALSE)</f>
        <v>0</v>
      </c>
      <c r="N400" s="38"/>
      <c r="O400" s="5">
        <f>VLOOKUP($A400,'ПР 01-02.21'!$A$11:$BB$406,15,FALSE)+VLOOKUP($A400,'ПР 21-22'!$A$11:$BB$406,15,FALSE)-VLOOKUP($A400,'ПР 01-02.22'!$A$11:$BB$378,15,FALSE)</f>
        <v>0</v>
      </c>
      <c r="P400" s="5">
        <f>VLOOKUP($A400,'ПР 01-02.21'!$A$11:$BB$406,16,FALSE)+VLOOKUP($A400,'ПР 21-22'!$A$11:$BB$406,16,FALSE)-VLOOKUP($A400,'ПР 01-02.22'!$A$11:$BB$378,16,FALSE)</f>
        <v>0</v>
      </c>
      <c r="Q400" s="443"/>
      <c r="R400" s="5">
        <f>VLOOKUP($A400,'ПР 01-02.21'!$A$11:$BB$406,18,FALSE)+VLOOKUP($A400,'ПР 21-22'!$A$11:$BB$406,18,FALSE)-VLOOKUP($A400,'ПР 01-02.22'!$A$11:$BB$378,18,FALSE)</f>
        <v>0</v>
      </c>
      <c r="S400" s="5">
        <f>VLOOKUP($A400,'ПР 01-02.21'!$A$11:$BB$406,19,FALSE)+VLOOKUP($A400,'ПР 21-22'!$A$11:$BB$406,19,FALSE)-VLOOKUP($A400,'ПР 01-02.22'!$A$11:$BB$378,19,FALSE)</f>
        <v>0</v>
      </c>
      <c r="T400" s="444"/>
      <c r="U400" s="5">
        <f>VLOOKUP($A400,'ПР 01-02.21'!$A$11:$BB$406,21,FALSE)+VLOOKUP($A400,'ПР 21-22'!$A$11:$BB$406,21,FALSE)-VLOOKUP($A400,'ПР 01-02.22'!$A$11:$BB$378,21,FALSE)</f>
        <v>0</v>
      </c>
      <c r="V400" s="5"/>
      <c r="W400" s="5">
        <f>VLOOKUP($A400,'ПР 01-02.21'!$A$11:$BB$406,23,FALSE)+VLOOKUP($A400,'ПР 21-22'!$A$11:$BB$406,23,FALSE)-VLOOKUP($A400,'ПР 01-02.22'!$A$11:$BB$378,23,FALSE)</f>
        <v>0</v>
      </c>
      <c r="X400" s="5">
        <f>VLOOKUP($A400,'ПР 01-02.21'!$A$11:$BB$406,24,FALSE)+VLOOKUP($A400,'ПР 21-22'!$A$11:$BB$406,24,FALSE)-VLOOKUP($A400,'ПР 01-02.22'!$A$11:$BB$378,24,FALSE)</f>
        <v>262.52975399542368</v>
      </c>
      <c r="Y400" s="5">
        <f>VLOOKUP($A400,'ПР 01-02.21'!$A$11:$BB$406,25,FALSE)+VLOOKUP($A400,'ПР 21-22'!$A$11:$BB$406,25,FALSE)-VLOOKUP($A400,'ПР 01-02.22'!$A$11:$BB$378,25,FALSE)</f>
        <v>1060</v>
      </c>
      <c r="Z400" s="5"/>
      <c r="AA400" s="5">
        <f>VLOOKUP($A400,'ПР 01-02.21'!$A$11:$BB$406,27,FALSE)+VLOOKUP($A400,'ПР 21-22'!$A$11:$BB$406,27,FALSE)-VLOOKUP($A400,'ПР 01-02.22'!$A$11:$BB$378,27,FALSE)</f>
        <v>0</v>
      </c>
      <c r="AB400" s="5">
        <f>VLOOKUP($A400,'ПР 01-02.21'!$A$11:$BB$406,28,FALSE)+VLOOKUP($A400,'ПР 21-22'!$A$11:$BB$406,28,FALSE)-VLOOKUP($A400,'ПР 01-02.22'!$A$11:$BB$378,28,FALSE)</f>
        <v>0</v>
      </c>
      <c r="AC400" s="5">
        <f>VLOOKUP($A400,'ПР 01-02.21'!$A$11:$BB$406,29,FALSE)+VLOOKUP($A400,'ПР 21-22'!$A$11:$BB$406,29,FALSE)-VLOOKUP($A400,'ПР 01-02.22'!$A$11:$BB$378,29,FALSE)</f>
        <v>0</v>
      </c>
      <c r="AD400" s="5">
        <f>VLOOKUP($A400,'ПР 01-02.21'!$A$11:$BB$406,30,FALSE)+VLOOKUP($A400,'ПР 21-22'!$A$11:$BB$406,30,FALSE)-VLOOKUP($A400,'ПР 01-02.22'!$A$11:$BB$378,30,FALSE)</f>
        <v>569</v>
      </c>
      <c r="AE400" s="5">
        <f>VLOOKUP($A400,'ПР 01-02.21'!$A$11:$BB$406,31,FALSE)+VLOOKUP($A400,'ПР 21-22'!$A$11:$BB$406,31,FALSE)-VLOOKUP($A400,'ПР 01-02.22'!$A$11:$BB$378,31,FALSE)</f>
        <v>2697.8432364415025</v>
      </c>
      <c r="AF400" s="5">
        <f>VLOOKUP($A400,'ПР 01-02.21'!$A$11:$BB$406,32,FALSE)+VLOOKUP($A400,'ПР 21-22'!$A$11:$BB$406,32,FALSE)-VLOOKUP($A400,'ПР 01-02.22'!$A$11:$BB$378,32,FALSE)</f>
        <v>93</v>
      </c>
      <c r="AG400" s="40"/>
      <c r="AH400" s="5">
        <f>VLOOKUP($A400,'ПР 01-02.21'!$A$11:$BB$406,34,FALSE)+VLOOKUP($A400,'ПР 21-22'!$A$11:$BB$406,34,FALSE)-VLOOKUP($A400,'ПР 01-02.22'!$A$11:$BB$378,34,FALSE)</f>
        <v>3111.938446653201</v>
      </c>
      <c r="AI400" s="5">
        <f>VLOOKUP($A400,'ПР 01-02.21'!$A$11:$BB$406,35,FALSE)+VLOOKUP($A400,'ПР 21-22'!$A$11:$BB$406,35,FALSE)-VLOOKUP($A400,'ПР 01-02.22'!$A$11:$BB$378,35,FALSE)</f>
        <v>0</v>
      </c>
      <c r="AJ400" s="40"/>
      <c r="AK400" s="5">
        <f>VLOOKUP($A400,'ПР 01-02.21'!$A$11:$BB$406,37,FALSE)+VLOOKUP($A400,'ПР 21-22'!$A$11:$BB$406,37,FALSE)-VLOOKUP($A400,'ПР 01-02.22'!$A$11:$BB$378,37,FALSE)</f>
        <v>1500.3509668952752</v>
      </c>
      <c r="AL400" s="5">
        <f>VLOOKUP($A400,'ПР 01-02.21'!$A$11:$BB$406,38,FALSE)+VLOOKUP($A400,'ПР 21-22'!$A$11:$BB$406,38,FALSE)-VLOOKUP($A400,'ПР 01-02.22'!$A$11:$BB$378,38,FALSE)</f>
        <v>0</v>
      </c>
      <c r="AM400" s="40"/>
      <c r="AN400" s="5">
        <f>VLOOKUP($A400,'ПР 01-02.21'!$A$11:$BB$406,40,FALSE)+VLOOKUP($A400,'ПР 21-22'!$A$11:$BB$406,40,FALSE)-VLOOKUP($A400,'ПР 01-02.22'!$A$11:$BB$378,40,FALSE)</f>
        <v>0</v>
      </c>
      <c r="AO400" s="5">
        <f>VLOOKUP($A400,'ПР 01-02.21'!$A$11:$BB$406,41,FALSE)+VLOOKUP($A400,'ПР 21-22'!$A$11:$BB$406,41,FALSE)-VLOOKUP($A400,'ПР 01-02.22'!$A$11:$BB$378,41,FALSE)</f>
        <v>0</v>
      </c>
      <c r="AP400" s="40"/>
      <c r="AQ400" s="5">
        <f>VLOOKUP($A400,'ПР 01-02.21'!$A$11:$BB$406,43,FALSE)+VLOOKUP($A400,'ПР 21-22'!$A$11:$BB$406,43,FALSE)-VLOOKUP($A400,'ПР 01-02.22'!$A$11:$BB$378,43,FALSE)</f>
        <v>0</v>
      </c>
      <c r="AR400" s="5">
        <f>VLOOKUP($A400,'ПР 01-02.21'!$A$11:$BB$406,44,FALSE)+VLOOKUP($A400,'ПР 21-22'!$A$11:$BB$406,44,FALSE)-VLOOKUP($A400,'ПР 01-02.22'!$A$11:$BB$378,44,FALSE)</f>
        <v>0</v>
      </c>
      <c r="AS400" s="40"/>
      <c r="AT400" s="5">
        <f>VLOOKUP($A400,'ПР 01-02.21'!$A$11:$BB$406,46,FALSE)+VLOOKUP($A400,'ПР 21-22'!$A$11:$BB$406,46,FALSE)-VLOOKUP($A400,'ПР 01-02.22'!$A$11:$BB$378,46,FALSE)</f>
        <v>2096.4123452180147</v>
      </c>
      <c r="AU400" s="5">
        <f>VLOOKUP($A400,'ПР 01-02.21'!$A$11:$BB$406,47,FALSE)+VLOOKUP($A400,'ПР 21-22'!$A$11:$BB$406,47,FALSE)-VLOOKUP($A400,'ПР 01-02.22'!$A$11:$BB$378,47,FALSE)</f>
        <v>624</v>
      </c>
      <c r="AV400" s="40"/>
      <c r="AW400" s="5">
        <f>VLOOKUP($A400,'ПР 01-02.21'!$A$11:$BB$406,49,FALSE)+VLOOKUP($A400,'ПР 21-22'!$A$11:$BB$406,49,FALSE)-VLOOKUP($A400,'ПР 01-02.22'!$A$11:$BB$378,49,FALSE)</f>
        <v>136.054</v>
      </c>
      <c r="AX400" s="5">
        <f>VLOOKUP($A400,'ПР 01-02.21'!$A$11:$BB$406,50,FALSE)+VLOOKUP($A400,'ПР 21-22'!$A$11:$BB$406,50,FALSE)-VLOOKUP($A400,'ПР 01-02.22'!$A$11:$BB$378,50,FALSE)</f>
        <v>0</v>
      </c>
      <c r="AY400" s="40"/>
      <c r="AZ400" s="40">
        <f t="shared" si="25"/>
        <v>9542.5989952079944</v>
      </c>
      <c r="BA400" s="40">
        <f t="shared" si="25"/>
        <v>717</v>
      </c>
      <c r="BB400" s="55">
        <f t="shared" si="28"/>
        <v>-8825.5989952079944</v>
      </c>
      <c r="BD400" s="2">
        <v>2</v>
      </c>
      <c r="BF400" s="325">
        <v>150000880</v>
      </c>
    </row>
    <row r="401" spans="1:59" ht="24.9" customHeight="1" x14ac:dyDescent="0.3">
      <c r="A401" s="325">
        <v>150000881</v>
      </c>
      <c r="B401" s="445" t="s">
        <v>412</v>
      </c>
      <c r="C401" s="27">
        <v>9</v>
      </c>
      <c r="D401" s="101" t="s">
        <v>455</v>
      </c>
      <c r="E401" s="279">
        <f>'побудинковий звіт'!E399</f>
        <v>2405.4</v>
      </c>
      <c r="F401" s="441">
        <f>'побудинковий звіт'!AS399</f>
        <v>24590.888851448639</v>
      </c>
      <c r="G401" s="441">
        <f t="shared" si="26"/>
        <v>6755</v>
      </c>
      <c r="H401" s="73">
        <f t="shared" si="27"/>
        <v>-17835.888851448639</v>
      </c>
      <c r="I401" s="5">
        <f>VLOOKUP($A401,'ПР 01-02.21'!$A$11:$BB$406,9,FALSE)+VLOOKUP($A401,'ПР 21-22'!$A$11:$BB$406,9,FALSE)-VLOOKUP($A401,'ПР 01-02.22'!$A$11:$BB$378,9,FALSE)</f>
        <v>0</v>
      </c>
      <c r="J401" s="5">
        <f>VLOOKUP($A401,'ПР 01-02.21'!$A$11:$BB$406,10,FALSE)+VLOOKUP($A401,'ПР 21-22'!$A$11:$BB$406,10,FALSE)-VLOOKUP($A401,'ПР 01-02.22'!$A$11:$BB$378,10,FALSE)</f>
        <v>0</v>
      </c>
      <c r="K401" s="446"/>
      <c r="L401" s="5">
        <f>VLOOKUP($A401,'ПР 01-02.21'!$A$11:$BB$406,12,FALSE)+VLOOKUP($A401,'ПР 21-22'!$A$11:$BB$406,12,FALSE)-VLOOKUP($A401,'ПР 01-02.22'!$A$11:$BB$378,12,FALSE)</f>
        <v>0</v>
      </c>
      <c r="M401" s="5">
        <f>VLOOKUP($A401,'ПР 01-02.21'!$A$11:$BB$406,13,FALSE)+VLOOKUP($A401,'ПР 21-22'!$A$11:$BB$406,13,FALSE)-VLOOKUP($A401,'ПР 01-02.22'!$A$11:$BB$378,13,FALSE)</f>
        <v>0</v>
      </c>
      <c r="N401" s="38"/>
      <c r="O401" s="5">
        <f>VLOOKUP($A401,'ПР 01-02.21'!$A$11:$BB$406,15,FALSE)+VLOOKUP($A401,'ПР 21-22'!$A$11:$BB$406,15,FALSE)-VLOOKUP($A401,'ПР 01-02.22'!$A$11:$BB$378,15,FALSE)</f>
        <v>0</v>
      </c>
      <c r="P401" s="5">
        <f>VLOOKUP($A401,'ПР 01-02.21'!$A$11:$BB$406,16,FALSE)+VLOOKUP($A401,'ПР 21-22'!$A$11:$BB$406,16,FALSE)-VLOOKUP($A401,'ПР 01-02.22'!$A$11:$BB$378,16,FALSE)</f>
        <v>0</v>
      </c>
      <c r="Q401" s="443"/>
      <c r="R401" s="5">
        <f>VLOOKUP($A401,'ПР 01-02.21'!$A$11:$BB$406,18,FALSE)+VLOOKUP($A401,'ПР 21-22'!$A$11:$BB$406,18,FALSE)-VLOOKUP($A401,'ПР 01-02.22'!$A$11:$BB$378,18,FALSE)</f>
        <v>3</v>
      </c>
      <c r="S401" s="5">
        <f>VLOOKUP($A401,'ПР 01-02.21'!$A$11:$BB$406,19,FALSE)+VLOOKUP($A401,'ПР 21-22'!$A$11:$BB$406,19,FALSE)-VLOOKUP($A401,'ПР 01-02.22'!$A$11:$BB$378,19,FALSE)</f>
        <v>3793</v>
      </c>
      <c r="T401" s="444"/>
      <c r="U401" s="5">
        <f>VLOOKUP($A401,'ПР 01-02.21'!$A$11:$BB$406,21,FALSE)+VLOOKUP($A401,'ПР 21-22'!$A$11:$BB$406,21,FALSE)-VLOOKUP($A401,'ПР 01-02.22'!$A$11:$BB$378,21,FALSE)</f>
        <v>0</v>
      </c>
      <c r="V401" s="5"/>
      <c r="W401" s="5">
        <f>VLOOKUP($A401,'ПР 01-02.21'!$A$11:$BB$406,23,FALSE)+VLOOKUP($A401,'ПР 21-22'!$A$11:$BB$406,23,FALSE)-VLOOKUP($A401,'ПР 01-02.22'!$A$11:$BB$378,23,FALSE)</f>
        <v>0</v>
      </c>
      <c r="X401" s="5">
        <f>VLOOKUP($A401,'ПР 01-02.21'!$A$11:$BB$406,24,FALSE)+VLOOKUP($A401,'ПР 21-22'!$A$11:$BB$406,24,FALSE)-VLOOKUP($A401,'ПР 01-02.22'!$A$11:$BB$378,24,FALSE)</f>
        <v>0</v>
      </c>
      <c r="Y401" s="5">
        <f>VLOOKUP($A401,'ПР 01-02.21'!$A$11:$BB$406,25,FALSE)+VLOOKUP($A401,'ПР 21-22'!$A$11:$BB$406,25,FALSE)-VLOOKUP($A401,'ПР 01-02.22'!$A$11:$BB$378,25,FALSE)</f>
        <v>739</v>
      </c>
      <c r="Z401" s="5"/>
      <c r="AA401" s="5">
        <f>VLOOKUP($A401,'ПР 01-02.21'!$A$11:$BB$406,27,FALSE)+VLOOKUP($A401,'ПР 21-22'!$A$11:$BB$406,27,FALSE)-VLOOKUP($A401,'ПР 01-02.22'!$A$11:$BB$378,27,FALSE)</f>
        <v>0</v>
      </c>
      <c r="AB401" s="5">
        <f>VLOOKUP($A401,'ПР 01-02.21'!$A$11:$BB$406,28,FALSE)+VLOOKUP($A401,'ПР 21-22'!$A$11:$BB$406,28,FALSE)-VLOOKUP($A401,'ПР 01-02.22'!$A$11:$BB$378,28,FALSE)</f>
        <v>0</v>
      </c>
      <c r="AC401" s="5">
        <f>VLOOKUP($A401,'ПР 01-02.21'!$A$11:$BB$406,29,FALSE)+VLOOKUP($A401,'ПР 21-22'!$A$11:$BB$406,29,FALSE)-VLOOKUP($A401,'ПР 01-02.22'!$A$11:$BB$378,29,FALSE)</f>
        <v>0</v>
      </c>
      <c r="AD401" s="5">
        <f>VLOOKUP($A401,'ПР 01-02.21'!$A$11:$BB$406,30,FALSE)+VLOOKUP($A401,'ПР 21-22'!$A$11:$BB$406,30,FALSE)-VLOOKUP($A401,'ПР 01-02.22'!$A$11:$BB$378,30,FALSE)</f>
        <v>2223</v>
      </c>
      <c r="AE401" s="5">
        <f>VLOOKUP($A401,'ПР 01-02.21'!$A$11:$BB$406,31,FALSE)+VLOOKUP($A401,'ПР 21-22'!$A$11:$BB$406,31,FALSE)-VLOOKUP($A401,'ПР 01-02.22'!$A$11:$BB$378,31,FALSE)</f>
        <v>1175.723237445517</v>
      </c>
      <c r="AF401" s="5">
        <f>VLOOKUP($A401,'ПР 01-02.21'!$A$11:$BB$406,32,FALSE)+VLOOKUP($A401,'ПР 21-22'!$A$11:$BB$406,32,FALSE)-VLOOKUP($A401,'ПР 01-02.22'!$A$11:$BB$378,32,FALSE)</f>
        <v>0</v>
      </c>
      <c r="AG401" s="40"/>
      <c r="AH401" s="5">
        <f>VLOOKUP($A401,'ПР 01-02.21'!$A$11:$BB$406,34,FALSE)+VLOOKUP($A401,'ПР 21-22'!$A$11:$BB$406,34,FALSE)-VLOOKUP($A401,'ПР 01-02.22'!$A$11:$BB$378,34,FALSE)</f>
        <v>1240.3447222048171</v>
      </c>
      <c r="AI401" s="5">
        <f>VLOOKUP($A401,'ПР 01-02.21'!$A$11:$BB$406,35,FALSE)+VLOOKUP($A401,'ПР 21-22'!$A$11:$BB$406,35,FALSE)-VLOOKUP($A401,'ПР 01-02.22'!$A$11:$BB$378,35,FALSE)</f>
        <v>0</v>
      </c>
      <c r="AJ401" s="40"/>
      <c r="AK401" s="5">
        <f>VLOOKUP($A401,'ПР 01-02.21'!$A$11:$BB$406,37,FALSE)+VLOOKUP($A401,'ПР 21-22'!$A$11:$BB$406,37,FALSE)-VLOOKUP($A401,'ПР 01-02.22'!$A$11:$BB$378,37,FALSE)</f>
        <v>628.57568118815163</v>
      </c>
      <c r="AL401" s="5">
        <f>VLOOKUP($A401,'ПР 01-02.21'!$A$11:$BB$406,38,FALSE)+VLOOKUP($A401,'ПР 21-22'!$A$11:$BB$406,38,FALSE)-VLOOKUP($A401,'ПР 01-02.22'!$A$11:$BB$378,38,FALSE)</f>
        <v>1953</v>
      </c>
      <c r="AM401" s="40"/>
      <c r="AN401" s="5">
        <f>VLOOKUP($A401,'ПР 01-02.21'!$A$11:$BB$406,40,FALSE)+VLOOKUP($A401,'ПР 21-22'!$A$11:$BB$406,40,FALSE)-VLOOKUP($A401,'ПР 01-02.22'!$A$11:$BB$378,40,FALSE)</f>
        <v>1377.099687712466</v>
      </c>
      <c r="AO401" s="5">
        <f>VLOOKUP($A401,'ПР 01-02.21'!$A$11:$BB$406,41,FALSE)+VLOOKUP($A401,'ПР 21-22'!$A$11:$BB$406,41,FALSE)-VLOOKUP($A401,'ПР 01-02.22'!$A$11:$BB$378,41,FALSE)</f>
        <v>0</v>
      </c>
      <c r="AP401" s="40"/>
      <c r="AQ401" s="5">
        <f>VLOOKUP($A401,'ПР 01-02.21'!$A$11:$BB$406,43,FALSE)+VLOOKUP($A401,'ПР 21-22'!$A$11:$BB$406,43,FALSE)-VLOOKUP($A401,'ПР 01-02.22'!$A$11:$BB$378,43,FALSE)</f>
        <v>568.14063361235844</v>
      </c>
      <c r="AR401" s="5">
        <f>VLOOKUP($A401,'ПР 01-02.21'!$A$11:$BB$406,44,FALSE)+VLOOKUP($A401,'ПР 21-22'!$A$11:$BB$406,44,FALSE)-VLOOKUP($A401,'ПР 01-02.22'!$A$11:$BB$378,44,FALSE)</f>
        <v>0</v>
      </c>
      <c r="AS401" s="40"/>
      <c r="AT401" s="5">
        <f>VLOOKUP($A401,'ПР 01-02.21'!$A$11:$BB$406,46,FALSE)+VLOOKUP($A401,'ПР 21-22'!$A$11:$BB$406,46,FALSE)-VLOOKUP($A401,'ПР 01-02.22'!$A$11:$BB$378,46,FALSE)</f>
        <v>533.06021028073678</v>
      </c>
      <c r="AU401" s="5">
        <f>VLOOKUP($A401,'ПР 01-02.21'!$A$11:$BB$406,47,FALSE)+VLOOKUP($A401,'ПР 21-22'!$A$11:$BB$406,47,FALSE)-VLOOKUP($A401,'ПР 01-02.22'!$A$11:$BB$378,47,FALSE)</f>
        <v>8899</v>
      </c>
      <c r="AV401" s="40"/>
      <c r="AW401" s="5">
        <f>VLOOKUP($A401,'ПР 01-02.21'!$A$11:$BB$406,49,FALSE)+VLOOKUP($A401,'ПР 21-22'!$A$11:$BB$406,49,FALSE)-VLOOKUP($A401,'ПР 01-02.22'!$A$11:$BB$378,49,FALSE)</f>
        <v>120.21600000000001</v>
      </c>
      <c r="AX401" s="5">
        <f>VLOOKUP($A401,'ПР 01-02.21'!$A$11:$BB$406,50,FALSE)+VLOOKUP($A401,'ПР 21-22'!$A$11:$BB$406,50,FALSE)-VLOOKUP($A401,'ПР 01-02.22'!$A$11:$BB$378,50,FALSE)</f>
        <v>0</v>
      </c>
      <c r="AY401" s="40"/>
      <c r="AZ401" s="40">
        <f t="shared" si="25"/>
        <v>5643.160172444047</v>
      </c>
      <c r="BA401" s="40">
        <f t="shared" si="25"/>
        <v>10852</v>
      </c>
      <c r="BB401" s="55">
        <f t="shared" si="28"/>
        <v>5208.839827555953</v>
      </c>
      <c r="BD401" s="2">
        <v>2</v>
      </c>
      <c r="BF401" s="325">
        <v>150000881</v>
      </c>
    </row>
    <row r="402" spans="1:59" ht="24.9" customHeight="1" x14ac:dyDescent="0.3">
      <c r="A402" s="325">
        <v>150000882</v>
      </c>
      <c r="B402" s="445" t="s">
        <v>331</v>
      </c>
      <c r="C402" s="27">
        <v>5</v>
      </c>
      <c r="D402" s="101" t="s">
        <v>455</v>
      </c>
      <c r="E402" s="279">
        <f>'побудинковий звіт'!E400</f>
        <v>3009.77</v>
      </c>
      <c r="F402" s="441">
        <f>'побудинковий звіт'!AS400</f>
        <v>25819.308471426477</v>
      </c>
      <c r="G402" s="441">
        <f t="shared" si="26"/>
        <v>3148.7645880315645</v>
      </c>
      <c r="H402" s="73">
        <f t="shared" si="27"/>
        <v>-22670.543883394912</v>
      </c>
      <c r="I402" s="5">
        <f>VLOOKUP($A402,'ПР 01-02.21'!$A$11:$BB$406,9,FALSE)+VLOOKUP($A402,'ПР 21-22'!$A$11:$BB$406,9,FALSE)-VLOOKUP($A402,'ПР 01-02.22'!$A$11:$BB$378,9,FALSE)</f>
        <v>0</v>
      </c>
      <c r="J402" s="5">
        <f>VLOOKUP($A402,'ПР 01-02.21'!$A$11:$BB$406,10,FALSE)+VLOOKUP($A402,'ПР 21-22'!$A$11:$BB$406,10,FALSE)-VLOOKUP($A402,'ПР 01-02.22'!$A$11:$BB$378,10,FALSE)</f>
        <v>2402</v>
      </c>
      <c r="K402" s="446"/>
      <c r="L402" s="5">
        <f>VLOOKUP($A402,'ПР 01-02.21'!$A$11:$BB$406,12,FALSE)+VLOOKUP($A402,'ПР 21-22'!$A$11:$BB$406,12,FALSE)-VLOOKUP($A402,'ПР 01-02.22'!$A$11:$BB$378,12,FALSE)</f>
        <v>0</v>
      </c>
      <c r="M402" s="5">
        <f>VLOOKUP($A402,'ПР 01-02.21'!$A$11:$BB$406,13,FALSE)+VLOOKUP($A402,'ПР 21-22'!$A$11:$BB$406,13,FALSE)-VLOOKUP($A402,'ПР 01-02.22'!$A$11:$BB$378,13,FALSE)</f>
        <v>400</v>
      </c>
      <c r="N402" s="38"/>
      <c r="O402" s="5">
        <f>VLOOKUP($A402,'ПР 01-02.21'!$A$11:$BB$406,15,FALSE)+VLOOKUP($A402,'ПР 21-22'!$A$11:$BB$406,15,FALSE)-VLOOKUP($A402,'ПР 01-02.22'!$A$11:$BB$378,15,FALSE)</f>
        <v>0</v>
      </c>
      <c r="P402" s="5">
        <f>VLOOKUP($A402,'ПР 01-02.21'!$A$11:$BB$406,16,FALSE)+VLOOKUP($A402,'ПР 21-22'!$A$11:$BB$406,16,FALSE)-VLOOKUP($A402,'ПР 01-02.22'!$A$11:$BB$378,16,FALSE)</f>
        <v>0</v>
      </c>
      <c r="Q402" s="443"/>
      <c r="R402" s="5">
        <f>VLOOKUP($A402,'ПР 01-02.21'!$A$11:$BB$406,18,FALSE)+VLOOKUP($A402,'ПР 21-22'!$A$11:$BB$406,18,FALSE)-VLOOKUP($A402,'ПР 01-02.22'!$A$11:$BB$378,18,FALSE)</f>
        <v>0</v>
      </c>
      <c r="S402" s="5">
        <f>VLOOKUP($A402,'ПР 01-02.21'!$A$11:$BB$406,19,FALSE)+VLOOKUP($A402,'ПР 21-22'!$A$11:$BB$406,19,FALSE)-VLOOKUP($A402,'ПР 01-02.22'!$A$11:$BB$378,19,FALSE)</f>
        <v>0</v>
      </c>
      <c r="T402" s="444"/>
      <c r="U402" s="5">
        <f>VLOOKUP($A402,'ПР 01-02.21'!$A$11:$BB$406,21,FALSE)+VLOOKUP($A402,'ПР 21-22'!$A$11:$BB$406,21,FALSE)-VLOOKUP($A402,'ПР 01-02.22'!$A$11:$BB$378,21,FALSE)</f>
        <v>0</v>
      </c>
      <c r="V402" s="5"/>
      <c r="W402" s="5">
        <f>VLOOKUP($A402,'ПР 01-02.21'!$A$11:$BB$406,23,FALSE)+VLOOKUP($A402,'ПР 21-22'!$A$11:$BB$406,23,FALSE)-VLOOKUP($A402,'ПР 01-02.22'!$A$11:$BB$378,23,FALSE)</f>
        <v>0</v>
      </c>
      <c r="X402" s="5">
        <f>VLOOKUP($A402,'ПР 01-02.21'!$A$11:$BB$406,24,FALSE)+VLOOKUP($A402,'ПР 21-22'!$A$11:$BB$406,24,FALSE)-VLOOKUP($A402,'ПР 01-02.22'!$A$11:$BB$378,24,FALSE)</f>
        <v>230.76458803156453</v>
      </c>
      <c r="Y402" s="5">
        <f>VLOOKUP($A402,'ПР 01-02.21'!$A$11:$BB$406,25,FALSE)+VLOOKUP($A402,'ПР 21-22'!$A$11:$BB$406,25,FALSE)-VLOOKUP($A402,'ПР 01-02.22'!$A$11:$BB$378,25,FALSE)</f>
        <v>0</v>
      </c>
      <c r="Z402" s="5"/>
      <c r="AA402" s="5">
        <f>VLOOKUP($A402,'ПР 01-02.21'!$A$11:$BB$406,27,FALSE)+VLOOKUP($A402,'ПР 21-22'!$A$11:$BB$406,27,FALSE)-VLOOKUP($A402,'ПР 01-02.22'!$A$11:$BB$378,27,FALSE)</f>
        <v>0</v>
      </c>
      <c r="AB402" s="5">
        <f>VLOOKUP($A402,'ПР 01-02.21'!$A$11:$BB$406,28,FALSE)+VLOOKUP($A402,'ПР 21-22'!$A$11:$BB$406,28,FALSE)-VLOOKUP($A402,'ПР 01-02.22'!$A$11:$BB$378,28,FALSE)</f>
        <v>0</v>
      </c>
      <c r="AC402" s="5">
        <f>VLOOKUP($A402,'ПР 01-02.21'!$A$11:$BB$406,29,FALSE)+VLOOKUP($A402,'ПР 21-22'!$A$11:$BB$406,29,FALSE)-VLOOKUP($A402,'ПР 01-02.22'!$A$11:$BB$378,29,FALSE)</f>
        <v>0</v>
      </c>
      <c r="AD402" s="5">
        <f>VLOOKUP($A402,'ПР 01-02.21'!$A$11:$BB$406,30,FALSE)+VLOOKUP($A402,'ПР 21-22'!$A$11:$BB$406,30,FALSE)-VLOOKUP($A402,'ПР 01-02.22'!$A$11:$BB$378,30,FALSE)</f>
        <v>116</v>
      </c>
      <c r="AE402" s="5">
        <f>VLOOKUP($A402,'ПР 01-02.21'!$A$11:$BB$406,31,FALSE)+VLOOKUP($A402,'ПР 21-22'!$A$11:$BB$406,31,FALSE)-VLOOKUP($A402,'ПР 01-02.22'!$A$11:$BB$378,31,FALSE)</f>
        <v>2285.5154291524905</v>
      </c>
      <c r="AF402" s="5">
        <f>VLOOKUP($A402,'ПР 01-02.21'!$A$11:$BB$406,32,FALSE)+VLOOKUP($A402,'ПР 21-22'!$A$11:$BB$406,32,FALSE)-VLOOKUP($A402,'ПР 01-02.22'!$A$11:$BB$378,32,FALSE)</f>
        <v>389</v>
      </c>
      <c r="AG402" s="40"/>
      <c r="AH402" s="5">
        <f>VLOOKUP($A402,'ПР 01-02.21'!$A$11:$BB$406,34,FALSE)+VLOOKUP($A402,'ПР 21-22'!$A$11:$BB$406,34,FALSE)-VLOOKUP($A402,'ПР 01-02.22'!$A$11:$BB$378,34,FALSE)</f>
        <v>3189.4276073105739</v>
      </c>
      <c r="AI402" s="5">
        <f>VLOOKUP($A402,'ПР 01-02.21'!$A$11:$BB$406,35,FALSE)+VLOOKUP($A402,'ПР 21-22'!$A$11:$BB$406,35,FALSE)-VLOOKUP($A402,'ПР 01-02.22'!$A$11:$BB$378,35,FALSE)</f>
        <v>26</v>
      </c>
      <c r="AJ402" s="40"/>
      <c r="AK402" s="5">
        <f>VLOOKUP($A402,'ПР 01-02.21'!$A$11:$BB$406,37,FALSE)+VLOOKUP($A402,'ПР 21-22'!$A$11:$BB$406,37,FALSE)-VLOOKUP($A402,'ПР 01-02.22'!$A$11:$BB$378,37,FALSE)</f>
        <v>1808.5227036136409</v>
      </c>
      <c r="AL402" s="5">
        <f>VLOOKUP($A402,'ПР 01-02.21'!$A$11:$BB$406,38,FALSE)+VLOOKUP($A402,'ПР 21-22'!$A$11:$BB$406,38,FALSE)-VLOOKUP($A402,'ПР 01-02.22'!$A$11:$BB$378,38,FALSE)</f>
        <v>2811</v>
      </c>
      <c r="AM402" s="40"/>
      <c r="AN402" s="5">
        <f>VLOOKUP($A402,'ПР 01-02.21'!$A$11:$BB$406,40,FALSE)+VLOOKUP($A402,'ПР 21-22'!$A$11:$BB$406,40,FALSE)-VLOOKUP($A402,'ПР 01-02.22'!$A$11:$BB$378,40,FALSE)</f>
        <v>0</v>
      </c>
      <c r="AO402" s="5">
        <f>VLOOKUP($A402,'ПР 01-02.21'!$A$11:$BB$406,41,FALSE)+VLOOKUP($A402,'ПР 21-22'!$A$11:$BB$406,41,FALSE)-VLOOKUP($A402,'ПР 01-02.22'!$A$11:$BB$378,41,FALSE)</f>
        <v>0</v>
      </c>
      <c r="AP402" s="40"/>
      <c r="AQ402" s="5">
        <f>VLOOKUP($A402,'ПР 01-02.21'!$A$11:$BB$406,43,FALSE)+VLOOKUP($A402,'ПР 21-22'!$A$11:$BB$406,43,FALSE)-VLOOKUP($A402,'ПР 01-02.22'!$A$11:$BB$378,43,FALSE)</f>
        <v>0</v>
      </c>
      <c r="AR402" s="5">
        <f>VLOOKUP($A402,'ПР 01-02.21'!$A$11:$BB$406,44,FALSE)+VLOOKUP($A402,'ПР 21-22'!$A$11:$BB$406,44,FALSE)-VLOOKUP($A402,'ПР 01-02.22'!$A$11:$BB$378,44,FALSE)</f>
        <v>0</v>
      </c>
      <c r="AS402" s="40"/>
      <c r="AT402" s="5">
        <f>VLOOKUP($A402,'ПР 01-02.21'!$A$11:$BB$406,46,FALSE)+VLOOKUP($A402,'ПР 21-22'!$A$11:$BB$406,46,FALSE)-VLOOKUP($A402,'ПР 01-02.22'!$A$11:$BB$378,46,FALSE)</f>
        <v>1354.9732360683718</v>
      </c>
      <c r="AU402" s="5">
        <f>VLOOKUP($A402,'ПР 01-02.21'!$A$11:$BB$406,47,FALSE)+VLOOKUP($A402,'ПР 21-22'!$A$11:$BB$406,47,FALSE)-VLOOKUP($A402,'ПР 01-02.22'!$A$11:$BB$378,47,FALSE)</f>
        <v>727</v>
      </c>
      <c r="AV402" s="40"/>
      <c r="AW402" s="5">
        <f>VLOOKUP($A402,'ПР 01-02.21'!$A$11:$BB$406,49,FALSE)+VLOOKUP($A402,'ПР 21-22'!$A$11:$BB$406,49,FALSE)-VLOOKUP($A402,'ПР 01-02.22'!$A$11:$BB$378,49,FALSE)</f>
        <v>153.5428</v>
      </c>
      <c r="AX402" s="5">
        <f>VLOOKUP($A402,'ПР 01-02.21'!$A$11:$BB$406,50,FALSE)+VLOOKUP($A402,'ПР 21-22'!$A$11:$BB$406,50,FALSE)-VLOOKUP($A402,'ПР 01-02.22'!$A$11:$BB$378,50,FALSE)</f>
        <v>0</v>
      </c>
      <c r="AY402" s="40"/>
      <c r="AZ402" s="40">
        <f t="shared" si="25"/>
        <v>8791.9817761450759</v>
      </c>
      <c r="BA402" s="40">
        <f t="shared" si="25"/>
        <v>3953</v>
      </c>
      <c r="BB402" s="55">
        <f t="shared" si="28"/>
        <v>-4838.9817761450759</v>
      </c>
      <c r="BD402" s="2">
        <v>2</v>
      </c>
      <c r="BF402" s="325">
        <v>150000882</v>
      </c>
    </row>
    <row r="403" spans="1:59" ht="24.9" customHeight="1" x14ac:dyDescent="0.3">
      <c r="A403" s="325">
        <v>150000883</v>
      </c>
      <c r="B403" s="445" t="s">
        <v>332</v>
      </c>
      <c r="C403" s="27">
        <v>5</v>
      </c>
      <c r="D403" s="101" t="s">
        <v>455</v>
      </c>
      <c r="E403" s="279">
        <f>'побудинковий звіт'!E401</f>
        <v>1851.94</v>
      </c>
      <c r="F403" s="441">
        <f>'побудинковий звіт'!AS401</f>
        <v>15779.108119876275</v>
      </c>
      <c r="G403" s="441">
        <f t="shared" si="26"/>
        <v>1016.62</v>
      </c>
      <c r="H403" s="73">
        <f t="shared" si="27"/>
        <v>-14762.488119876274</v>
      </c>
      <c r="I403" s="5">
        <f>VLOOKUP($A403,'ПР 01-02.21'!$A$11:$BB$406,9,FALSE)+VLOOKUP($A403,'ПР 21-22'!$A$11:$BB$406,9,FALSE)-VLOOKUP($A403,'ПР 01-02.22'!$A$11:$BB$378,9,FALSE)</f>
        <v>0</v>
      </c>
      <c r="J403" s="5">
        <f>VLOOKUP($A403,'ПР 01-02.21'!$A$11:$BB$406,10,FALSE)+VLOOKUP($A403,'ПР 21-22'!$A$11:$BB$406,10,FALSE)-VLOOKUP($A403,'ПР 01-02.22'!$A$11:$BB$378,10,FALSE)</f>
        <v>0</v>
      </c>
      <c r="K403" s="450"/>
      <c r="L403" s="5">
        <f>VLOOKUP($A403,'ПР 01-02.21'!$A$11:$BB$406,12,FALSE)+VLOOKUP($A403,'ПР 21-22'!$A$11:$BB$406,12,FALSE)-VLOOKUP($A403,'ПР 01-02.22'!$A$11:$BB$378,12,FALSE)</f>
        <v>0</v>
      </c>
      <c r="M403" s="5">
        <f>VLOOKUP($A403,'ПР 01-02.21'!$A$11:$BB$406,13,FALSE)+VLOOKUP($A403,'ПР 21-22'!$A$11:$BB$406,13,FALSE)-VLOOKUP($A403,'ПР 01-02.22'!$A$11:$BB$378,13,FALSE)</f>
        <v>0</v>
      </c>
      <c r="N403" s="38"/>
      <c r="O403" s="5">
        <f>VLOOKUP($A403,'ПР 01-02.21'!$A$11:$BB$406,15,FALSE)+VLOOKUP($A403,'ПР 21-22'!$A$11:$BB$406,15,FALSE)-VLOOKUP($A403,'ПР 01-02.22'!$A$11:$BB$378,15,FALSE)</f>
        <v>0</v>
      </c>
      <c r="P403" s="5">
        <f>VLOOKUP($A403,'ПР 01-02.21'!$A$11:$BB$406,16,FALSE)+VLOOKUP($A403,'ПР 21-22'!$A$11:$BB$406,16,FALSE)-VLOOKUP($A403,'ПР 01-02.22'!$A$11:$BB$378,16,FALSE)</f>
        <v>0</v>
      </c>
      <c r="Q403" s="443"/>
      <c r="R403" s="5">
        <f>VLOOKUP($A403,'ПР 01-02.21'!$A$11:$BB$406,18,FALSE)+VLOOKUP($A403,'ПР 21-22'!$A$11:$BB$406,18,FALSE)-VLOOKUP($A403,'ПР 01-02.22'!$A$11:$BB$378,18,FALSE)</f>
        <v>0</v>
      </c>
      <c r="S403" s="5">
        <f>VLOOKUP($A403,'ПР 01-02.21'!$A$11:$BB$406,19,FALSE)+VLOOKUP($A403,'ПР 21-22'!$A$11:$BB$406,19,FALSE)-VLOOKUP($A403,'ПР 01-02.22'!$A$11:$BB$378,19,FALSE)</f>
        <v>0</v>
      </c>
      <c r="T403" s="444"/>
      <c r="U403" s="5">
        <f>VLOOKUP($A403,'ПР 01-02.21'!$A$11:$BB$406,21,FALSE)+VLOOKUP($A403,'ПР 21-22'!$A$11:$BB$406,21,FALSE)-VLOOKUP($A403,'ПР 01-02.22'!$A$11:$BB$378,21,FALSE)</f>
        <v>0</v>
      </c>
      <c r="V403" s="5"/>
      <c r="W403" s="5">
        <f>VLOOKUP($A403,'ПР 01-02.21'!$A$11:$BB$406,23,FALSE)+VLOOKUP($A403,'ПР 21-22'!$A$11:$BB$406,23,FALSE)-VLOOKUP($A403,'ПР 01-02.22'!$A$11:$BB$378,23,FALSE)</f>
        <v>0</v>
      </c>
      <c r="X403" s="5">
        <f>VLOOKUP($A403,'ПР 01-02.21'!$A$11:$BB$406,24,FALSE)+VLOOKUP($A403,'ПР 21-22'!$A$11:$BB$406,24,FALSE)-VLOOKUP($A403,'ПР 01-02.22'!$A$11:$BB$378,24,FALSE)</f>
        <v>0</v>
      </c>
      <c r="Y403" s="5">
        <f>VLOOKUP($A403,'ПР 01-02.21'!$A$11:$BB$406,25,FALSE)+VLOOKUP($A403,'ПР 21-22'!$A$11:$BB$406,25,FALSE)-VLOOKUP($A403,'ПР 01-02.22'!$A$11:$BB$378,25,FALSE)</f>
        <v>0</v>
      </c>
      <c r="Z403" s="5"/>
      <c r="AA403" s="5">
        <f>VLOOKUP($A403,'ПР 01-02.21'!$A$11:$BB$406,27,FALSE)+VLOOKUP($A403,'ПР 21-22'!$A$11:$BB$406,27,FALSE)-VLOOKUP($A403,'ПР 01-02.22'!$A$11:$BB$378,27,FALSE)</f>
        <v>0</v>
      </c>
      <c r="AB403" s="5">
        <f>VLOOKUP($A403,'ПР 01-02.21'!$A$11:$BB$406,28,FALSE)+VLOOKUP($A403,'ПР 21-22'!$A$11:$BB$406,28,FALSE)-VLOOKUP($A403,'ПР 01-02.22'!$A$11:$BB$378,28,FALSE)</f>
        <v>595.62</v>
      </c>
      <c r="AC403" s="5">
        <f>VLOOKUP($A403,'ПР 01-02.21'!$A$11:$BB$406,29,FALSE)+VLOOKUP($A403,'ПР 21-22'!$A$11:$BB$406,29,FALSE)-VLOOKUP($A403,'ПР 01-02.22'!$A$11:$BB$378,29,FALSE)</f>
        <v>0</v>
      </c>
      <c r="AD403" s="5">
        <f>VLOOKUP($A403,'ПР 01-02.21'!$A$11:$BB$406,30,FALSE)+VLOOKUP($A403,'ПР 21-22'!$A$11:$BB$406,30,FALSE)-VLOOKUP($A403,'ПР 01-02.22'!$A$11:$BB$378,30,FALSE)</f>
        <v>421</v>
      </c>
      <c r="AE403" s="5">
        <f>VLOOKUP($A403,'ПР 01-02.21'!$A$11:$BB$406,31,FALSE)+VLOOKUP($A403,'ПР 21-22'!$A$11:$BB$406,31,FALSE)-VLOOKUP($A403,'ПР 01-02.22'!$A$11:$BB$378,31,FALSE)</f>
        <v>1571.0783109683214</v>
      </c>
      <c r="AF403" s="5">
        <f>VLOOKUP($A403,'ПР 01-02.21'!$A$11:$BB$406,32,FALSE)+VLOOKUP($A403,'ПР 21-22'!$A$11:$BB$406,32,FALSE)-VLOOKUP($A403,'ПР 01-02.22'!$A$11:$BB$378,32,FALSE)</f>
        <v>1148</v>
      </c>
      <c r="AG403" s="40"/>
      <c r="AH403" s="5">
        <f>VLOOKUP($A403,'ПР 01-02.21'!$A$11:$BB$406,34,FALSE)+VLOOKUP($A403,'ПР 21-22'!$A$11:$BB$406,34,FALSE)-VLOOKUP($A403,'ПР 01-02.22'!$A$11:$BB$378,34,FALSE)</f>
        <v>1896.9388862037329</v>
      </c>
      <c r="AI403" s="5">
        <f>VLOOKUP($A403,'ПР 01-02.21'!$A$11:$BB$406,35,FALSE)+VLOOKUP($A403,'ПР 21-22'!$A$11:$BB$406,35,FALSE)-VLOOKUP($A403,'ПР 01-02.22'!$A$11:$BB$378,35,FALSE)</f>
        <v>0</v>
      </c>
      <c r="AJ403" s="40"/>
      <c r="AK403" s="5">
        <f>VLOOKUP($A403,'ПР 01-02.21'!$A$11:$BB$406,37,FALSE)+VLOOKUP($A403,'ПР 21-22'!$A$11:$BB$406,37,FALSE)-VLOOKUP($A403,'ПР 01-02.22'!$A$11:$BB$378,37,FALSE)</f>
        <v>1016.9780188597018</v>
      </c>
      <c r="AL403" s="5">
        <f>VLOOKUP($A403,'ПР 01-02.21'!$A$11:$BB$406,38,FALSE)+VLOOKUP($A403,'ПР 21-22'!$A$11:$BB$406,38,FALSE)-VLOOKUP($A403,'ПР 01-02.22'!$A$11:$BB$378,38,FALSE)</f>
        <v>2186</v>
      </c>
      <c r="AM403" s="40"/>
      <c r="AN403" s="5">
        <f>VLOOKUP($A403,'ПР 01-02.21'!$A$11:$BB$406,40,FALSE)+VLOOKUP($A403,'ПР 21-22'!$A$11:$BB$406,40,FALSE)-VLOOKUP($A403,'ПР 01-02.22'!$A$11:$BB$378,40,FALSE)</f>
        <v>0</v>
      </c>
      <c r="AO403" s="5">
        <f>VLOOKUP($A403,'ПР 01-02.21'!$A$11:$BB$406,41,FALSE)+VLOOKUP($A403,'ПР 21-22'!$A$11:$BB$406,41,FALSE)-VLOOKUP($A403,'ПР 01-02.22'!$A$11:$BB$378,41,FALSE)</f>
        <v>0</v>
      </c>
      <c r="AP403" s="40"/>
      <c r="AQ403" s="5">
        <f>VLOOKUP($A403,'ПР 01-02.21'!$A$11:$BB$406,43,FALSE)+VLOOKUP($A403,'ПР 21-22'!$A$11:$BB$406,43,FALSE)-VLOOKUP($A403,'ПР 01-02.22'!$A$11:$BB$378,43,FALSE)</f>
        <v>0</v>
      </c>
      <c r="AR403" s="5">
        <f>VLOOKUP($A403,'ПР 01-02.21'!$A$11:$BB$406,44,FALSE)+VLOOKUP($A403,'ПР 21-22'!$A$11:$BB$406,44,FALSE)-VLOOKUP($A403,'ПР 01-02.22'!$A$11:$BB$378,44,FALSE)</f>
        <v>0</v>
      </c>
      <c r="AS403" s="40"/>
      <c r="AT403" s="5">
        <f>VLOOKUP($A403,'ПР 01-02.21'!$A$11:$BB$406,46,FALSE)+VLOOKUP($A403,'ПР 21-22'!$A$11:$BB$406,46,FALSE)-VLOOKUP($A403,'ПР 01-02.22'!$A$11:$BB$378,46,FALSE)</f>
        <v>636.28826972257752</v>
      </c>
      <c r="AU403" s="5">
        <f>VLOOKUP($A403,'ПР 01-02.21'!$A$11:$BB$406,47,FALSE)+VLOOKUP($A403,'ПР 21-22'!$A$11:$BB$406,47,FALSE)-VLOOKUP($A403,'ПР 01-02.22'!$A$11:$BB$378,47,FALSE)</f>
        <v>709</v>
      </c>
      <c r="AV403" s="40"/>
      <c r="AW403" s="5">
        <f>VLOOKUP($A403,'ПР 01-02.21'!$A$11:$BB$406,49,FALSE)+VLOOKUP($A403,'ПР 21-22'!$A$11:$BB$406,49,FALSE)-VLOOKUP($A403,'ПР 01-02.22'!$A$11:$BB$378,49,FALSE)</f>
        <v>93.077600000000004</v>
      </c>
      <c r="AX403" s="5">
        <f>VLOOKUP($A403,'ПР 01-02.21'!$A$11:$BB$406,50,FALSE)+VLOOKUP($A403,'ПР 21-22'!$A$11:$BB$406,50,FALSE)-VLOOKUP($A403,'ПР 01-02.22'!$A$11:$BB$378,50,FALSE)</f>
        <v>0</v>
      </c>
      <c r="AY403" s="40"/>
      <c r="AZ403" s="40">
        <f t="shared" si="25"/>
        <v>5214.3610857543335</v>
      </c>
      <c r="BA403" s="40">
        <f t="shared" si="25"/>
        <v>4043</v>
      </c>
      <c r="BB403" s="55">
        <f t="shared" si="28"/>
        <v>-1171.3610857543335</v>
      </c>
      <c r="BD403" s="2">
        <v>2</v>
      </c>
      <c r="BF403" s="325">
        <v>150000883</v>
      </c>
    </row>
    <row r="404" spans="1:59" ht="24.9" customHeight="1" x14ac:dyDescent="0.3">
      <c r="A404" s="325">
        <v>150000884</v>
      </c>
      <c r="B404" s="445" t="s">
        <v>333</v>
      </c>
      <c r="C404" s="27">
        <v>5</v>
      </c>
      <c r="D404" s="101" t="s">
        <v>455</v>
      </c>
      <c r="E404" s="279">
        <f>'побудинковий звіт'!E402</f>
        <v>3400.35</v>
      </c>
      <c r="F404" s="441">
        <f>'побудинковий звіт'!AS402</f>
        <v>33277.355703075329</v>
      </c>
      <c r="G404" s="441">
        <f>J404+M404+P404+S404+U404+X404+Y404+AA404+AB404+AC404+AD404</f>
        <v>120525.49</v>
      </c>
      <c r="H404" s="73">
        <f t="shared" si="27"/>
        <v>87248.134296924676</v>
      </c>
      <c r="I404" s="5">
        <f>VLOOKUP($A404,'ПР 01-02.21'!$A$11:$BB$406,9,FALSE)+VLOOKUP($A404,'ПР 21-22'!$A$11:$BB$406,9,FALSE)-VLOOKUP($A404,'ПР 01-02.22'!$A$11:$BB$378,9,FALSE)</f>
        <v>1</v>
      </c>
      <c r="J404" s="5">
        <f>VLOOKUP($A404,'ПР 01-02.21'!$A$11:$BB$406,10,FALSE)+VLOOKUP($A404,'ПР 21-22'!$A$11:$BB$406,10,FALSE)-VLOOKUP($A404,'ПР 01-02.22'!$A$11:$BB$378,10,FALSE)</f>
        <v>1019</v>
      </c>
      <c r="K404" s="446"/>
      <c r="L404" s="5">
        <f>VLOOKUP($A404,'ПР 01-02.21'!$A$11:$BB$406,12,FALSE)+VLOOKUP($A404,'ПР 21-22'!$A$11:$BB$406,12,FALSE)-VLOOKUP($A404,'ПР 01-02.22'!$A$11:$BB$378,12,FALSE)</f>
        <v>2</v>
      </c>
      <c r="M404" s="5">
        <f>VLOOKUP($A404,'ПР 01-02.21'!$A$11:$BB$406,13,FALSE)+VLOOKUP($A404,'ПР 21-22'!$A$11:$BB$406,13,FALSE)-VLOOKUP($A404,'ПР 01-02.22'!$A$11:$BB$378,13,FALSE)</f>
        <v>115801</v>
      </c>
      <c r="N404" s="38"/>
      <c r="O404" s="5">
        <f>VLOOKUP($A404,'ПР 01-02.21'!$A$11:$BB$406,15,FALSE)+VLOOKUP($A404,'ПР 21-22'!$A$11:$BB$406,15,FALSE)-VLOOKUP($A404,'ПР 01-02.22'!$A$11:$BB$378,15,FALSE)</f>
        <v>0</v>
      </c>
      <c r="P404" s="5">
        <f>VLOOKUP($A404,'ПР 01-02.21'!$A$11:$BB$406,16,FALSE)+VLOOKUP($A404,'ПР 21-22'!$A$11:$BB$406,16,FALSE)-VLOOKUP($A404,'ПР 01-02.22'!$A$11:$BB$378,16,FALSE)</f>
        <v>0</v>
      </c>
      <c r="Q404" s="443"/>
      <c r="R404" s="5">
        <f>VLOOKUP($A404,'ПР 01-02.21'!$A$11:$BB$406,18,FALSE)+VLOOKUP($A404,'ПР 21-22'!$A$11:$BB$406,18,FALSE)-VLOOKUP($A404,'ПР 01-02.22'!$A$11:$BB$378,18,FALSE)</f>
        <v>0</v>
      </c>
      <c r="S404" s="5">
        <f>VLOOKUP($A404,'ПР 01-02.21'!$A$11:$BB$406,19,FALSE)+VLOOKUP($A404,'ПР 21-22'!$A$11:$BB$406,19,FALSE)-VLOOKUP($A404,'ПР 01-02.22'!$A$11:$BB$378,19,FALSE)</f>
        <v>0</v>
      </c>
      <c r="T404" s="444"/>
      <c r="U404" s="5">
        <f>VLOOKUP($A404,'ПР 01-02.21'!$A$11:$BB$406,21,FALSE)+VLOOKUP($A404,'ПР 21-22'!$A$11:$BB$406,21,FALSE)-VLOOKUP($A404,'ПР 01-02.22'!$A$11:$BB$378,21,FALSE)</f>
        <v>0</v>
      </c>
      <c r="V404" s="5"/>
      <c r="W404" s="5">
        <f>VLOOKUP($A404,'ПР 01-02.21'!$A$11:$BB$406,23,FALSE)+VLOOKUP($A404,'ПР 21-22'!$A$11:$BB$406,23,FALSE)-VLOOKUP($A404,'ПР 01-02.22'!$A$11:$BB$378,23,FALSE)</f>
        <v>0</v>
      </c>
      <c r="X404" s="5">
        <f>VLOOKUP($A404,'ПР 01-02.21'!$A$11:$BB$406,24,FALSE)+VLOOKUP($A404,'ПР 21-22'!$A$11:$BB$406,24,FALSE)-VLOOKUP($A404,'ПР 01-02.22'!$A$11:$BB$378,24,FALSE)</f>
        <v>742.49</v>
      </c>
      <c r="Y404" s="5">
        <f>VLOOKUP($A404,'ПР 01-02.21'!$A$11:$BB$406,25,FALSE)+VLOOKUP($A404,'ПР 21-22'!$A$11:$BB$406,25,FALSE)-VLOOKUP($A404,'ПР 01-02.22'!$A$11:$BB$378,25,FALSE)</f>
        <v>0</v>
      </c>
      <c r="Z404" s="5"/>
      <c r="AA404" s="5">
        <f>VLOOKUP($A404,'ПР 01-02.21'!$A$11:$BB$406,27,FALSE)+VLOOKUP($A404,'ПР 21-22'!$A$11:$BB$406,27,FALSE)-VLOOKUP($A404,'ПР 01-02.22'!$A$11:$BB$378,27,FALSE)</f>
        <v>0</v>
      </c>
      <c r="AB404" s="5">
        <f>VLOOKUP($A404,'ПР 01-02.21'!$A$11:$BB$406,28,FALSE)+VLOOKUP($A404,'ПР 21-22'!$A$11:$BB$406,28,FALSE)-VLOOKUP($A404,'ПР 01-02.22'!$A$11:$BB$378,28,FALSE)</f>
        <v>0</v>
      </c>
      <c r="AC404" s="5">
        <f>VLOOKUP($A404,'ПР 01-02.21'!$A$11:$BB$406,29,FALSE)+VLOOKUP($A404,'ПР 21-22'!$A$11:$BB$406,29,FALSE)-VLOOKUP($A404,'ПР 01-02.22'!$A$11:$BB$378,29,FALSE)</f>
        <v>2578</v>
      </c>
      <c r="AD404" s="5">
        <f>VLOOKUP($A404,'ПР 01-02.21'!$A$11:$BB$406,30,FALSE)+VLOOKUP($A404,'ПР 21-22'!$A$11:$BB$406,30,FALSE)-VLOOKUP($A404,'ПР 01-02.22'!$A$11:$BB$378,30,FALSE)</f>
        <v>385</v>
      </c>
      <c r="AE404" s="5">
        <f>VLOOKUP($A404,'ПР 01-02.21'!$A$11:$BB$406,31,FALSE)+VLOOKUP($A404,'ПР 21-22'!$A$11:$BB$406,31,FALSE)-VLOOKUP($A404,'ПР 01-02.22'!$A$11:$BB$378,31,FALSE)</f>
        <v>2915.6787601052906</v>
      </c>
      <c r="AF404" s="5">
        <f>VLOOKUP($A404,'ПР 01-02.21'!$A$11:$BB$406,32,FALSE)+VLOOKUP($A404,'ПР 21-22'!$A$11:$BB$406,32,FALSE)-VLOOKUP($A404,'ПР 01-02.22'!$A$11:$BB$378,32,FALSE)</f>
        <v>976</v>
      </c>
      <c r="AG404" s="40"/>
      <c r="AH404" s="5">
        <f>VLOOKUP($A404,'ПР 01-02.21'!$A$11:$BB$406,34,FALSE)+VLOOKUP($A404,'ПР 21-22'!$A$11:$BB$406,34,FALSE)-VLOOKUP($A404,'ПР 01-02.22'!$A$11:$BB$378,34,FALSE)</f>
        <v>4179.3155263990011</v>
      </c>
      <c r="AI404" s="5">
        <f>VLOOKUP($A404,'ПР 01-02.21'!$A$11:$BB$406,35,FALSE)+VLOOKUP($A404,'ПР 21-22'!$A$11:$BB$406,35,FALSE)-VLOOKUP($A404,'ПР 01-02.22'!$A$11:$BB$378,35,FALSE)</f>
        <v>13</v>
      </c>
      <c r="AJ404" s="40"/>
      <c r="AK404" s="5">
        <f>VLOOKUP($A404,'ПР 01-02.21'!$A$11:$BB$406,37,FALSE)+VLOOKUP($A404,'ПР 21-22'!$A$11:$BB$406,37,FALSE)-VLOOKUP($A404,'ПР 01-02.22'!$A$11:$BB$378,37,FALSE)</f>
        <v>1867.2593930450726</v>
      </c>
      <c r="AL404" s="5">
        <f>VLOOKUP($A404,'ПР 01-02.21'!$A$11:$BB$406,38,FALSE)+VLOOKUP($A404,'ПР 21-22'!$A$11:$BB$406,38,FALSE)-VLOOKUP($A404,'ПР 01-02.22'!$A$11:$BB$378,38,FALSE)</f>
        <v>0</v>
      </c>
      <c r="AM404" s="40"/>
      <c r="AN404" s="5">
        <f>VLOOKUP($A404,'ПР 01-02.21'!$A$11:$BB$406,40,FALSE)+VLOOKUP($A404,'ПР 21-22'!$A$11:$BB$406,40,FALSE)-VLOOKUP($A404,'ПР 01-02.22'!$A$11:$BB$378,40,FALSE)</f>
        <v>0</v>
      </c>
      <c r="AO404" s="5">
        <f>VLOOKUP($A404,'ПР 01-02.21'!$A$11:$BB$406,41,FALSE)+VLOOKUP($A404,'ПР 21-22'!$A$11:$BB$406,41,FALSE)-VLOOKUP($A404,'ПР 01-02.22'!$A$11:$BB$378,41,FALSE)</f>
        <v>0</v>
      </c>
      <c r="AP404" s="40"/>
      <c r="AQ404" s="5">
        <f>VLOOKUP($A404,'ПР 01-02.21'!$A$11:$BB$406,43,FALSE)+VLOOKUP($A404,'ПР 21-22'!$A$11:$BB$406,43,FALSE)-VLOOKUP($A404,'ПР 01-02.22'!$A$11:$BB$378,43,FALSE)</f>
        <v>0</v>
      </c>
      <c r="AR404" s="5">
        <f>VLOOKUP($A404,'ПР 01-02.21'!$A$11:$BB$406,44,FALSE)+VLOOKUP($A404,'ПР 21-22'!$A$11:$BB$406,44,FALSE)-VLOOKUP($A404,'ПР 01-02.22'!$A$11:$BB$378,44,FALSE)</f>
        <v>0</v>
      </c>
      <c r="AS404" s="40"/>
      <c r="AT404" s="5">
        <f>VLOOKUP($A404,'ПР 01-02.21'!$A$11:$BB$406,46,FALSE)+VLOOKUP($A404,'ПР 21-22'!$A$11:$BB$406,46,FALSE)-VLOOKUP($A404,'ПР 01-02.22'!$A$11:$BB$378,46,FALSE)</f>
        <v>2038.6252501733138</v>
      </c>
      <c r="AU404" s="5">
        <f>VLOOKUP($A404,'ПР 01-02.21'!$A$11:$BB$406,47,FALSE)+VLOOKUP($A404,'ПР 21-22'!$A$11:$BB$406,47,FALSE)-VLOOKUP($A404,'ПР 01-02.22'!$A$11:$BB$378,47,FALSE)</f>
        <v>334</v>
      </c>
      <c r="AV404" s="40"/>
      <c r="AW404" s="5">
        <f>VLOOKUP($A404,'ПР 01-02.21'!$A$11:$BB$406,49,FALSE)+VLOOKUP($A404,'ПР 21-22'!$A$11:$BB$406,49,FALSE)-VLOOKUP($A404,'ПР 01-02.22'!$A$11:$BB$378,49,FALSE)</f>
        <v>169.99</v>
      </c>
      <c r="AX404" s="5">
        <f>VLOOKUP($A404,'ПР 01-02.21'!$A$11:$BB$406,50,FALSE)+VLOOKUP($A404,'ПР 21-22'!$A$11:$BB$406,50,FALSE)-VLOOKUP($A404,'ПР 01-02.22'!$A$11:$BB$378,50,FALSE)</f>
        <v>0</v>
      </c>
      <c r="AY404" s="40"/>
      <c r="AZ404" s="40">
        <f t="shared" si="25"/>
        <v>11170.868929722679</v>
      </c>
      <c r="BA404" s="40">
        <f t="shared" si="25"/>
        <v>1323</v>
      </c>
      <c r="BB404" s="55">
        <f t="shared" si="28"/>
        <v>-9847.8689297226792</v>
      </c>
      <c r="BD404" s="2">
        <v>2</v>
      </c>
      <c r="BF404" s="325">
        <v>150000884</v>
      </c>
    </row>
    <row r="405" spans="1:59" ht="24.9" customHeight="1" thickBot="1" x14ac:dyDescent="0.35">
      <c r="A405" s="325">
        <v>150000885</v>
      </c>
      <c r="B405" s="445" t="s">
        <v>239</v>
      </c>
      <c r="C405" s="27">
        <v>4</v>
      </c>
      <c r="D405" s="101" t="s">
        <v>455</v>
      </c>
      <c r="E405" s="279">
        <f>'побудинковий звіт'!E403</f>
        <v>1494.6000000000001</v>
      </c>
      <c r="F405" s="441">
        <f>'побудинковий звіт'!AS403</f>
        <v>15611.942439641887</v>
      </c>
      <c r="G405" s="468">
        <f t="shared" si="26"/>
        <v>1516</v>
      </c>
      <c r="H405" s="469">
        <f t="shared" si="27"/>
        <v>-14095.942439641887</v>
      </c>
      <c r="I405" s="5">
        <f>VLOOKUP($A405,'ПР 01-02.21'!$A$11:$BB$406,9,FALSE)+VLOOKUP($A405,'ПР 21-22'!$A$11:$BB$406,9,FALSE)-VLOOKUP($A405,'ПР 01-02.22'!$A$11:$BB$378,9,FALSE)</f>
        <v>0</v>
      </c>
      <c r="J405" s="5">
        <f>VLOOKUP($A405,'ПР 01-02.21'!$A$11:$BB$406,10,FALSE)+VLOOKUP($A405,'ПР 21-22'!$A$11:$BB$406,10,FALSE)-VLOOKUP($A405,'ПР 01-02.22'!$A$11:$BB$378,10,FALSE)</f>
        <v>0</v>
      </c>
      <c r="K405" s="470"/>
      <c r="L405" s="5">
        <f>VLOOKUP($A405,'ПР 01-02.21'!$A$11:$BB$406,12,FALSE)+VLOOKUP($A405,'ПР 21-22'!$A$11:$BB$406,12,FALSE)-VLOOKUP($A405,'ПР 01-02.22'!$A$11:$BB$378,12,FALSE)</f>
        <v>0</v>
      </c>
      <c r="M405" s="5">
        <f>VLOOKUP($A405,'ПР 01-02.21'!$A$11:$BB$406,13,FALSE)+VLOOKUP($A405,'ПР 21-22'!$A$11:$BB$406,13,FALSE)-VLOOKUP($A405,'ПР 01-02.22'!$A$11:$BB$378,13,FALSE)</f>
        <v>673</v>
      </c>
      <c r="N405" s="38"/>
      <c r="O405" s="5">
        <f>VLOOKUP($A405,'ПР 01-02.21'!$A$11:$BB$406,15,FALSE)+VLOOKUP($A405,'ПР 21-22'!$A$11:$BB$406,15,FALSE)-VLOOKUP($A405,'ПР 01-02.22'!$A$11:$BB$378,15,FALSE)</f>
        <v>0</v>
      </c>
      <c r="P405" s="5">
        <f>VLOOKUP($A405,'ПР 01-02.21'!$A$11:$BB$406,16,FALSE)+VLOOKUP($A405,'ПР 21-22'!$A$11:$BB$406,16,FALSE)-VLOOKUP($A405,'ПР 01-02.22'!$A$11:$BB$378,16,FALSE)</f>
        <v>0</v>
      </c>
      <c r="Q405" s="443"/>
      <c r="R405" s="5">
        <f>VLOOKUP($A405,'ПР 01-02.21'!$A$11:$BB$406,18,FALSE)+VLOOKUP($A405,'ПР 21-22'!$A$11:$BB$406,18,FALSE)-VLOOKUP($A405,'ПР 01-02.22'!$A$11:$BB$378,18,FALSE)</f>
        <v>0</v>
      </c>
      <c r="S405" s="5">
        <f>VLOOKUP($A405,'ПР 01-02.21'!$A$11:$BB$406,19,FALSE)+VLOOKUP($A405,'ПР 21-22'!$A$11:$BB$406,19,FALSE)-VLOOKUP($A405,'ПР 01-02.22'!$A$11:$BB$378,19,FALSE)</f>
        <v>0</v>
      </c>
      <c r="T405" s="444"/>
      <c r="U405" s="5">
        <f>VLOOKUP($A405,'ПР 01-02.21'!$A$11:$BB$406,21,FALSE)+VLOOKUP($A405,'ПР 21-22'!$A$11:$BB$406,21,FALSE)-VLOOKUP($A405,'ПР 01-02.22'!$A$11:$BB$378,21,FALSE)</f>
        <v>0</v>
      </c>
      <c r="V405" s="5"/>
      <c r="W405" s="5">
        <f>VLOOKUP($A405,'ПР 01-02.21'!$A$11:$BB$406,23,FALSE)+VLOOKUP($A405,'ПР 21-22'!$A$11:$BB$406,23,FALSE)-VLOOKUP($A405,'ПР 01-02.22'!$A$11:$BB$378,23,FALSE)</f>
        <v>0</v>
      </c>
      <c r="X405" s="5">
        <f>VLOOKUP($A405,'ПР 01-02.21'!$A$11:$BB$406,24,FALSE)+VLOOKUP($A405,'ПР 21-22'!$A$11:$BB$406,24,FALSE)-VLOOKUP($A405,'ПР 01-02.22'!$A$11:$BB$378,24,FALSE)</f>
        <v>0</v>
      </c>
      <c r="Y405" s="5">
        <f>VLOOKUP($A405,'ПР 01-02.21'!$A$11:$BB$406,25,FALSE)+VLOOKUP($A405,'ПР 21-22'!$A$11:$BB$406,25,FALSE)-VLOOKUP($A405,'ПР 01-02.22'!$A$11:$BB$378,25,FALSE)</f>
        <v>0</v>
      </c>
      <c r="Z405" s="5"/>
      <c r="AA405" s="5">
        <f>VLOOKUP($A405,'ПР 01-02.21'!$A$11:$BB$406,27,FALSE)+VLOOKUP($A405,'ПР 21-22'!$A$11:$BB$406,27,FALSE)-VLOOKUP($A405,'ПР 01-02.22'!$A$11:$BB$378,27,FALSE)</f>
        <v>0</v>
      </c>
      <c r="AB405" s="5">
        <f>VLOOKUP($A405,'ПР 01-02.21'!$A$11:$BB$406,28,FALSE)+VLOOKUP($A405,'ПР 21-22'!$A$11:$BB$406,28,FALSE)-VLOOKUP($A405,'ПР 01-02.22'!$A$11:$BB$378,28,FALSE)</f>
        <v>0</v>
      </c>
      <c r="AC405" s="5">
        <f>VLOOKUP($A405,'ПР 01-02.21'!$A$11:$BB$406,29,FALSE)+VLOOKUP($A405,'ПР 21-22'!$A$11:$BB$406,29,FALSE)-VLOOKUP($A405,'ПР 01-02.22'!$A$11:$BB$378,29,FALSE)</f>
        <v>0</v>
      </c>
      <c r="AD405" s="5">
        <f>VLOOKUP($A405,'ПР 01-02.21'!$A$11:$BB$406,30,FALSE)+VLOOKUP($A405,'ПР 21-22'!$A$11:$BB$406,30,FALSE)-VLOOKUP($A405,'ПР 01-02.22'!$A$11:$BB$378,30,FALSE)</f>
        <v>843</v>
      </c>
      <c r="AE405" s="5">
        <f>VLOOKUP($A405,'ПР 01-02.21'!$A$11:$BB$406,31,FALSE)+VLOOKUP($A405,'ПР 21-22'!$A$11:$BB$406,31,FALSE)-VLOOKUP($A405,'ПР 01-02.22'!$A$11:$BB$378,31,FALSE)</f>
        <v>1384.0134189708028</v>
      </c>
      <c r="AF405" s="5">
        <f>VLOOKUP($A405,'ПР 01-02.21'!$A$11:$BB$406,32,FALSE)+VLOOKUP($A405,'ПР 21-22'!$A$11:$BB$406,32,FALSE)-VLOOKUP($A405,'ПР 01-02.22'!$A$11:$BB$378,32,FALSE)</f>
        <v>1761.88</v>
      </c>
      <c r="AG405" s="40"/>
      <c r="AH405" s="5">
        <f>VLOOKUP($A405,'ПР 01-02.21'!$A$11:$BB$406,34,FALSE)+VLOOKUP($A405,'ПР 21-22'!$A$11:$BB$406,34,FALSE)-VLOOKUP($A405,'ПР 01-02.22'!$A$11:$BB$378,34,FALSE)</f>
        <v>1700.0819235619138</v>
      </c>
      <c r="AI405" s="5">
        <f>VLOOKUP($A405,'ПР 01-02.21'!$A$11:$BB$406,35,FALSE)+VLOOKUP($A405,'ПР 21-22'!$A$11:$BB$406,35,FALSE)-VLOOKUP($A405,'ПР 01-02.22'!$A$11:$BB$378,35,FALSE)</f>
        <v>0</v>
      </c>
      <c r="AJ405" s="40"/>
      <c r="AK405" s="5">
        <f>VLOOKUP($A405,'ПР 01-02.21'!$A$11:$BB$406,37,FALSE)+VLOOKUP($A405,'ПР 21-22'!$A$11:$BB$406,37,FALSE)-VLOOKUP($A405,'ПР 01-02.22'!$A$11:$BB$378,37,FALSE)</f>
        <v>768.31427635832335</v>
      </c>
      <c r="AL405" s="5">
        <f>VLOOKUP($A405,'ПР 01-02.21'!$A$11:$BB$406,38,FALSE)+VLOOKUP($A405,'ПР 21-22'!$A$11:$BB$406,38,FALSE)-VLOOKUP($A405,'ПР 01-02.22'!$A$11:$BB$378,38,FALSE)</f>
        <v>0</v>
      </c>
      <c r="AM405" s="40"/>
      <c r="AN405" s="5">
        <f>VLOOKUP($A405,'ПР 01-02.21'!$A$11:$BB$406,40,FALSE)+VLOOKUP($A405,'ПР 21-22'!$A$11:$BB$406,40,FALSE)-VLOOKUP($A405,'ПР 01-02.22'!$A$11:$BB$378,40,FALSE)</f>
        <v>0</v>
      </c>
      <c r="AO405" s="5">
        <f>VLOOKUP($A405,'ПР 01-02.21'!$A$11:$BB$406,41,FALSE)+VLOOKUP($A405,'ПР 21-22'!$A$11:$BB$406,41,FALSE)-VLOOKUP($A405,'ПР 01-02.22'!$A$11:$BB$378,41,FALSE)</f>
        <v>0</v>
      </c>
      <c r="AP405" s="40"/>
      <c r="AQ405" s="5">
        <f>VLOOKUP($A405,'ПР 01-02.21'!$A$11:$BB$406,43,FALSE)+VLOOKUP($A405,'ПР 21-22'!$A$11:$BB$406,43,FALSE)-VLOOKUP($A405,'ПР 01-02.22'!$A$11:$BB$378,43,FALSE)</f>
        <v>0</v>
      </c>
      <c r="AR405" s="5">
        <f>VLOOKUP($A405,'ПР 01-02.21'!$A$11:$BB$406,44,FALSE)+VLOOKUP($A405,'ПР 21-22'!$A$11:$BB$406,44,FALSE)-VLOOKUP($A405,'ПР 01-02.22'!$A$11:$BB$378,44,FALSE)</f>
        <v>0</v>
      </c>
      <c r="AS405" s="40"/>
      <c r="AT405" s="5">
        <f>VLOOKUP($A405,'ПР 01-02.21'!$A$11:$BB$406,46,FALSE)+VLOOKUP($A405,'ПР 21-22'!$A$11:$BB$406,46,FALSE)-VLOOKUP($A405,'ПР 01-02.22'!$A$11:$BB$378,46,FALSE)</f>
        <v>629.90046567146101</v>
      </c>
      <c r="AU405" s="5">
        <f>VLOOKUP($A405,'ПР 01-02.21'!$A$11:$BB$406,47,FALSE)+VLOOKUP($A405,'ПР 21-22'!$A$11:$BB$406,47,FALSE)-VLOOKUP($A405,'ПР 01-02.22'!$A$11:$BB$378,47,FALSE)</f>
        <v>0</v>
      </c>
      <c r="AV405" s="40"/>
      <c r="AW405" s="5">
        <f>VLOOKUP($A405,'ПР 01-02.21'!$A$11:$BB$406,49,FALSE)+VLOOKUP($A405,'ПР 21-22'!$A$11:$BB$406,49,FALSE)-VLOOKUP($A405,'ПР 01-02.22'!$A$11:$BB$378,49,FALSE)</f>
        <v>74.784000000000006</v>
      </c>
      <c r="AX405" s="5">
        <f>VLOOKUP($A405,'ПР 01-02.21'!$A$11:$BB$406,50,FALSE)+VLOOKUP($A405,'ПР 21-22'!$A$11:$BB$406,50,FALSE)-VLOOKUP($A405,'ПР 01-02.22'!$A$11:$BB$378,50,FALSE)</f>
        <v>0</v>
      </c>
      <c r="AY405" s="40"/>
      <c r="AZ405" s="67">
        <f t="shared" si="25"/>
        <v>4557.0940845625009</v>
      </c>
      <c r="BA405" s="67">
        <f t="shared" si="25"/>
        <v>1761.88</v>
      </c>
      <c r="BB405" s="70">
        <f t="shared" si="28"/>
        <v>-2795.2140845625008</v>
      </c>
      <c r="BD405" s="2">
        <v>2</v>
      </c>
      <c r="BF405" s="325">
        <v>150000885</v>
      </c>
    </row>
    <row r="406" spans="1:59" s="31" customFormat="1" ht="24.9" customHeight="1" thickBot="1" x14ac:dyDescent="0.35">
      <c r="A406" s="280"/>
      <c r="B406" s="281" t="s">
        <v>853</v>
      </c>
      <c r="C406" s="281"/>
      <c r="D406" s="282"/>
      <c r="E406" s="473">
        <f t="shared" ref="E406:J406" si="29">SUM(E11:E405)</f>
        <v>1015028.5299999997</v>
      </c>
      <c r="F406" s="474">
        <f t="shared" si="29"/>
        <v>11805093.420223631</v>
      </c>
      <c r="G406" s="475">
        <f t="shared" si="29"/>
        <v>11711511.293233572</v>
      </c>
      <c r="H406" s="474">
        <f t="shared" si="29"/>
        <v>-93582.126990063625</v>
      </c>
      <c r="I406" s="476">
        <f t="shared" si="29"/>
        <v>7084.7999999999965</v>
      </c>
      <c r="J406" s="477">
        <f t="shared" si="29"/>
        <v>1651542.6600000001</v>
      </c>
      <c r="K406" s="478"/>
      <c r="L406" s="479">
        <f>SUM(L11:L405)</f>
        <v>55</v>
      </c>
      <c r="M406" s="480">
        <f>SUM(M11:M405)</f>
        <v>3099208.34</v>
      </c>
      <c r="N406" s="481"/>
      <c r="O406" s="482">
        <f>SUM(O11:O405)</f>
        <v>2029.5</v>
      </c>
      <c r="P406" s="480">
        <f>SUM(P11:P405)</f>
        <v>458047.9</v>
      </c>
      <c r="Q406" s="483"/>
      <c r="R406" s="479">
        <f>SUM(R11:R405)</f>
        <v>270</v>
      </c>
      <c r="S406" s="480">
        <f>SUM(S11:S405)</f>
        <v>1750414.8800000004</v>
      </c>
      <c r="T406" s="481"/>
      <c r="U406" s="482">
        <f>SUM(U11:U405)</f>
        <v>49570</v>
      </c>
      <c r="V406" s="484"/>
      <c r="W406" s="479">
        <f>SUM(W11:W405)</f>
        <v>806.94999999999993</v>
      </c>
      <c r="X406" s="481">
        <f>SUM(X11:X405)</f>
        <v>462810.54323356616</v>
      </c>
      <c r="Y406" s="482">
        <f>SUM(Y11:Y405)</f>
        <v>1895797.4699999995</v>
      </c>
      <c r="Z406" s="484"/>
      <c r="AA406" s="485">
        <f t="shared" ref="AA406:AF406" si="30">SUM(AA11:AA405)</f>
        <v>144352</v>
      </c>
      <c r="AB406" s="474">
        <f t="shared" si="30"/>
        <v>249117.82</v>
      </c>
      <c r="AC406" s="485">
        <f t="shared" si="30"/>
        <v>988893.48999999987</v>
      </c>
      <c r="AD406" s="474">
        <f t="shared" si="30"/>
        <v>961756.19000000018</v>
      </c>
      <c r="AE406" s="486">
        <f t="shared" si="30"/>
        <v>747504.50598320749</v>
      </c>
      <c r="AF406" s="487">
        <f t="shared" si="30"/>
        <v>320547.19</v>
      </c>
      <c r="AG406" s="480">
        <f>AF406-AE406</f>
        <v>-426957.31598320749</v>
      </c>
      <c r="AH406" s="480">
        <f>SUM(AH11:AH405)</f>
        <v>965715.05606054852</v>
      </c>
      <c r="AI406" s="487">
        <f>SUM(AI11:AI405)</f>
        <v>618835.73999999987</v>
      </c>
      <c r="AJ406" s="480">
        <f>AI406-AH406</f>
        <v>-346879.31606054865</v>
      </c>
      <c r="AK406" s="480">
        <f>SUM(AK11:AK405)</f>
        <v>455974.73065836768</v>
      </c>
      <c r="AL406" s="487">
        <f>SUM(AL11:AL405)</f>
        <v>344778.66000000003</v>
      </c>
      <c r="AM406" s="480">
        <f>AL406-AK406</f>
        <v>-111196.07065836765</v>
      </c>
      <c r="AN406" s="480">
        <f>SUM(AN11:AN405)</f>
        <v>373053.26258478692</v>
      </c>
      <c r="AO406" s="487">
        <f>SUM(AO11:AO405)</f>
        <v>225877.69999999998</v>
      </c>
      <c r="AP406" s="480">
        <f>AO406-AN406</f>
        <v>-147175.56258478694</v>
      </c>
      <c r="AQ406" s="480">
        <f>SUM(AQ11:AQ405)</f>
        <v>263687.50479971978</v>
      </c>
      <c r="AR406" s="487">
        <f>SUM(AR11:AR405)</f>
        <v>54428</v>
      </c>
      <c r="AS406" s="480">
        <f>AR406-AQ406</f>
        <v>-209259.50479971978</v>
      </c>
      <c r="AT406" s="480">
        <f>SUM(AT11:AT405)</f>
        <v>562894.35207112378</v>
      </c>
      <c r="AU406" s="487">
        <f>SUM(AU11:AU405)</f>
        <v>224951</v>
      </c>
      <c r="AV406" s="480">
        <f>AU406-AT406</f>
        <v>-337943.35207112378</v>
      </c>
      <c r="AW406" s="480">
        <f>SUM(AW11:AW405)</f>
        <v>73375.217895762049</v>
      </c>
      <c r="AX406" s="487">
        <f>SUM(AX11:AX405)</f>
        <v>67786.349999999991</v>
      </c>
      <c r="AY406" s="480"/>
      <c r="AZ406" s="480">
        <f>SUM(AZ11:AZ405)</f>
        <v>3442204.6300535174</v>
      </c>
      <c r="BA406" s="480">
        <f>SUM(BA11:BA405)</f>
        <v>1857204.64</v>
      </c>
      <c r="BB406" s="60">
        <f t="shared" si="28"/>
        <v>-1584999.9900535175</v>
      </c>
      <c r="BD406" s="168"/>
    </row>
    <row r="407" spans="1:59" x14ac:dyDescent="0.3">
      <c r="BG407" s="94"/>
    </row>
    <row r="408" spans="1:59" x14ac:dyDescent="0.3">
      <c r="F408" s="7">
        <f>'побудинковий звіт'!AS404</f>
        <v>11805093.420223631</v>
      </c>
      <c r="G408" s="7">
        <f>'побудинковий звіт'!AT404</f>
        <v>11711511.293233572</v>
      </c>
      <c r="AZ408" s="7">
        <f>'побудинковий звіт'!BQ404</f>
        <v>3442206.6824210295</v>
      </c>
      <c r="BA408" s="7">
        <f>'побудинковий звіт'!BR404</f>
        <v>1857204.64</v>
      </c>
      <c r="BG408" s="94"/>
    </row>
    <row r="409" spans="1:59" x14ac:dyDescent="0.3">
      <c r="BG409" s="94"/>
    </row>
    <row r="411" spans="1:59" ht="15.6" x14ac:dyDescent="0.3">
      <c r="A411" s="3"/>
      <c r="B411" s="488" t="s">
        <v>986</v>
      </c>
      <c r="C411" s="489"/>
      <c r="D411" s="490"/>
      <c r="E411" s="3"/>
      <c r="F411" s="5">
        <f>F20+F21+F22+F23+F57+F58+F59+F74+F75+F76+F77+F78+F79+F80+F81+F82+F83+F84+F85+F86+F87+F88+F92+F93+F94+F95+F96+F97+F98+F99+F100+F104+F105+F106+F107+F108+F109+F110+F111+F112+F113+F114+F115+F116+F150+F151+F161+F171+F173+F174+F175+F176+F177+F178+F179+F180+F181+F182+F183+F184+F185+F186+F187+F215+F216+F225+F226+F227+F229+F231+F232+F233+F234+F235+F237+F238+F239+F240+F241+F242+F243+F244+F245+F246+F283+F284+F285+F303+F306+F307+F308+F309+F310+F311+F312+F315+F316+F355+F356+F357+F358+F359</f>
        <v>4213947.8406477896</v>
      </c>
      <c r="G411" s="5">
        <f>G20+G21+G22+G23+G57+G58+G59+G74+G75+G76+G77+G78+G79+G80+G81+G82+G83+G84+G85+G86+G87+G88+G92+G93+G94+G95+G96+G97+G98+G99+G100+G104+G105+G106+G107+G108+G109+G110+G111+G112+G113+G114+G115+G116+G150+G151+G161+G171+G173+G174+G175+G176+G177+G178+G179+G180+G181+G182+G183+G184+G185+G186+G187+G215+G216+G225+G226+G227+G229+G231+G232+G233+G234+G235+G237+G238+G239+G240+G241+G242+G243+G244+G245+G246+G283+G284+G285+G303+G306+G307+G308+G309+G310+G311+G312+G315+G316+G355+G356+G357+G358+G359</f>
        <v>4847174.6277279919</v>
      </c>
      <c r="H411" s="5">
        <f>H20+H21+H22+H23+H57+H58+H59+H74+H75+H76+H77+H78+H79+H80+H81+H82+H83+H84+H85+H86+H87+H88+H92+H93+H94+H95+H96+H97+H98+H99+H100+H104+H105+H106+H107+H108+H109+H110+H111+H112+H113+H114+H115+H116+H150+H151+H161+H171+H173+H174+H175+H176+H177+H178+H179+H180+H181+H182+H183+H184+H185+H186+H187+H215+H216+H225+H226+H227+H229+H231+H232+H233+H234+H235+H237+H238+H239+H240+H241+H242+H243+H244+H245+H246+H283+H284+H285+H303+H306+H307+H308+H309+H310+H311+H312+H315+H316+H355+H356+H357+H358+H359</f>
        <v>633226.78708020155</v>
      </c>
      <c r="I411" s="5">
        <f>I20+I21+I22+I23+I57+I58+I59+I74+I75+I76+I77+I78+I79+I80+I81+I82+I83+I84+I85+I86+I87+I88+I92+I93+I94+I95+I96+I97+I98+I99+I100+I104+I105+I106+I107+I108+I109+I110+I111+I112+I113+I114+I115+I116+I150+I151+I161+I171+I173+I174+I175+I176+I177+I178+I179+I180+I181+I182+I183+I184+I185+I186+I187+I215+I216+I225+I226+I227+I229+I231+I232+I233+I234+I235+I237+I238+I239+I240+I241+I242+I243+I244+I245+I246+I283+I284+I285+I303+I306+I307+I308+I309+I310+I311+I312+I315+I316+I355+I356+I357+I358+I359</f>
        <v>2020.65</v>
      </c>
      <c r="J411" s="5">
        <f>J20+J21+J22+J23+J57+J58+J59+J74+J75+J76+J77+J78+J79+J80+J81+J82+J83+J84+J85+J86+J87+J88+J92+J93+J94+J95+J96+J97+J98+J99+J100+J104+J105+J106+J107+J108+J109+J110+J111+J112+J113+J114+J115+J116+J150+J151+J161+J171+J173+J174+J175+J176+J177+J178+J179+J180+J181+J182+J183+J184+J185+J186+J187+J215+J216+J225+J226+J227+J229+J231+J232+J233+J234+J235+J237+J238+J239+J240+J241+J242+J243+J244+J245+J246+J283+J284+J285+J303+J306+J307+J308+J309+J310+J311+J312+J315+J316+J355+J356+J357+J358+J359</f>
        <v>379001.11000000004</v>
      </c>
      <c r="K411" s="5"/>
      <c r="L411" s="5">
        <f>L20+L21+L22+L23+L57+L58+L59+L74+L75+L76+L77+L78+L79+L80+L81+L82+L83+L84+L85+L86+L87+L88+L92+L93+L94+L95+L96+L97+L98+L99+L100+L104+L105+L106+L107+L108+L109+L110+L111+L112+L113+L114+L115+L116+L150+L151+L161+L171+L173+L174+L175+L176+L177+L178+L179+L180+L181+L182+L183+L184+L185+L186+L187+L215+L216+L225+L226+L227+L229+L231+L232+L233+L234+L235+L237+L238+L239+L240+L241+L242+L243+L244+L245+L246+L283+L284+L285+L303+L306+L307+L308+L309+L310+L311+L312+L315+L316+L355+L356+L357+L358+L359</f>
        <v>16</v>
      </c>
      <c r="M411" s="5">
        <f>M20+M21+M22+M23+M57+M58+M59+M74+M75+M76+M77+M78+M79+M80+M81+M82+M83+M84+M85+M86+M87+M88+M92+M93+M94+M95+M96+M97+M98+M99+M100+M104+M105+M106+M107+M108+M109+M110+M111+M112+M113+M114+M115+M116+M150+M151+M161+M171+M173+M174+M175+M176+M177+M178+M179+M180+M181+M182+M183+M184+M185+M186+M187+M215+M216+M225+M226+M227+M229+M231+M232+M233+M234+M235+M237+M238+M239+M240+M241+M242+M243+M244+M245+M246+M283+M284+M285+M303+M306+M307+M308+M309+M310+M311+M312+M315+M316+M355+M356+M357+M358+M359</f>
        <v>1036116.96</v>
      </c>
      <c r="N411" s="5"/>
      <c r="O411" s="5">
        <f>O20+O21+O22+O23+O57+O58+O59+O74+O75+O76+O77+O78+O79+O80+O81+O82+O83+O84+O85+O86+O87+O88+O92+O93+O94+O95+O96+O97+O98+O99+O100+O104+O105+O106+O107+O108+O109+O110+O111+O112+O113+O114+O115+O116+O150+O151+O161+O171+O173+O174+O175+O176+O177+O178+O179+O180+O181+O182+O183+O184+O185+O186+O187+O215+O216+O225+O226+O227+O229+O231+O232+O233+O234+O235+O237+O238+O239+O240+O241+O242+O243+O244+O245+O246+O283+O284+O285+O303+O306+O307+O308+O309+O310+O311+O312+O315+O316+O355+O356+O357+O358+O359</f>
        <v>1718.1</v>
      </c>
      <c r="P411" s="5">
        <f>P20+P21+P22+P23+P57+P58+P59+P74+P75+P76+P77+P78+P79+P80+P81+P82+P83+P84+P85+P86+P87+P88+P92+P93+P94+P95+P96+P97+P98+P99+P100+P104+P105+P106+P107+P108+P109+P110+P111+P112+P113+P114+P115+P116+P150+P151+P161+P171+P173+P174+P175+P176+P177+P178+P179+P180+P181+P182+P183+P184+P185+P186+P187+P215+P216+P225+P226+P227+P229+P231+P232+P233+P234+P235+P237+P238+P239+P240+P241+P242+P243+P244+P245+P246+P283+P284+P285+P303+P306+P307+P308+P309+P310+P311+P312+P315+P316+P355+P356+P357+P358+P359</f>
        <v>391822.06</v>
      </c>
      <c r="Q411" s="5"/>
      <c r="R411" s="5">
        <f>R20+R21+R22+R23+R57+R58+R59+R74+R75+R76+R77+R78+R79+R80+R81+R82+R83+R84+R85+R86+R87+R88+R92+R93+R94+R95+R96+R97+R98+R99+R100+R104+R105+R106+R107+R108+R109+R110+R111+R112+R113+R114+R115+R116+R150+R151+R161+R171+R173+R174+R175+R176+R177+R178+R179+R180+R181+R182+R183+R184+R185+R186+R187+R215+R216+R225+R226+R227+R229+R231+R232+R233+R234+R235+R237+R238+R239+R240+R241+R242+R243+R244+R245+R246+R283+R284+R285+R303+R306+R307+R308+R309+R310+R311+R312+R315+R316+R355+R356+R357+R358+R359</f>
        <v>135</v>
      </c>
      <c r="S411" s="5">
        <f>S20+S21+S22+S23+S57+S58+S59+S74+S75+S76+S77+S78+S79+S80+S81+S82+S83+S84+S85+S86+S87+S88+S92+S93+S94+S95+S96+S97+S98+S99+S100+S104+S105+S106+S107+S108+S109+S110+S111+S112+S113+S114+S115+S116+S150+S151+S161+S171+S173+S174+S175+S176+S177+S178+S179+S180+S181+S182+S183+S184+S185+S186+S187+S215+S216+S225+S226+S227+S229+S231+S232+S233+S234+S235+S237+S238+S239+S240+S241+S242+S243+S244+S245+S246+S283+S284+S285+S303+S306+S307+S308+S309+S310+S311+S312+S315+S316+S355+S356+S357+S358+S359</f>
        <v>1152378.42</v>
      </c>
      <c r="T411" s="5"/>
      <c r="U411" s="5">
        <f>U20+U21+U22+U23+U57+U58+U59+U74+U75+U76+U77+U78+U79+U80+U81+U82+U83+U84+U85+U86+U87+U88+U92+U93+U94+U95+U96+U97+U98+U99+U100+U104+U105+U106+U107+U108+U109+U110+U111+U112+U113+U114+U115+U116+U150+U151+U161+U171+U173+U174+U175+U176+U177+U178+U179+U180+U181+U182+U183+U184+U185+U186+U187+U215+U216+U225+U226+U227+U229+U231+U232+U233+U234+U235+U237+U238+U239+U240+U241+U242+U243+U244+U245+U246+U283+U284+U285+U303+U306+U307+U308+U309+U310+U311+U312+U315+U316+U355+U356+U357+U358+U359</f>
        <v>49570</v>
      </c>
      <c r="V411" s="5"/>
      <c r="W411" s="5">
        <f>W20+W21+W22+W23+W57+W58+W59+W74+W75+W76+W77+W78+W79+W80+W81+W82+W83+W84+W85+W86+W87+W88+W92+W93+W94+W95+W96+W97+W98+W99+W100+W104+W105+W106+W107+W108+W109+W110+W111+W112+W113+W114+W115+W116+W150+W151+W161+W171+W173+W174+W175+W176+W177+W178+W179+W180+W181+W182+W183+W184+W185+W186+W187+W215+W216+W225+W226+W227+W229+W231+W232+W233+W234+W235+W237+W238+W239+W240+W241+W242+W243+W244+W245+W246+W283+W284+W285+W303+W306+W307+W308+W309+W310+W311+W312+W315+W316+W355+W356+W357+W358+W359</f>
        <v>200</v>
      </c>
      <c r="X411" s="5">
        <f>X20+X21+X22+X23+X57+X58+X59+X74+X75+X76+X77+X78+X79+X80+X81+X82+X83+X84+X85+X86+X87+X88+X92+X93+X94+X95+X96+X97+X98+X99+X100+X104+X105+X106+X107+X108+X109+X110+X111+X112+X113+X114+X115+X116+X150+X151+X161+X171+X173+X174+X175+X176+X177+X178+X179+X180+X181+X182+X183+X184+X185+X186+X187+X215+X216+X225+X226+X227+X229+X231+X232+X233+X234+X235+X237+X238+X239+X240+X241+X242+X243+X244+X245+X246+X283+X284+X285+X303+X306+X307+X308+X309+X310+X311+X312+X315+X316+X355+X356+X357+X358+X359</f>
        <v>85029.637727992711</v>
      </c>
      <c r="Y411" s="5">
        <f>Y20+Y21+Y22+Y23+Y57+Y58+Y59+Y74+Y75+Y76+Y77+Y78+Y79+Y80+Y81+Y82+Y83+Y84+Y85+Y86+Y87+Y88+Y92+Y93+Y94+Y95+Y96+Y97+Y98+Y99+Y100+Y104+Y105+Y106+Y107+Y108+Y109+Y110+Y111+Y112+Y113+Y114+Y115+Y116+Y150+Y151+Y161+Y171+Y173+Y174+Y175+Y176+Y177+Y178+Y179+Y180+Y181+Y182+Y183+Y184+Y185+Y186+Y187+Y215+Y216+Y225+Y226+Y227+Y229+Y231+Y232+Y233+Y234+Y235+Y237+Y238+Y239+Y240+Y241+Y242+Y243+Y244+Y245+Y246+Y283+Y284+Y285+Y303+Y306+Y307+Y308+Y309+Y310+Y311+Y312+Y315+Y316+Y355+Y356+Y357+Y358+Y359</f>
        <v>478800.02</v>
      </c>
      <c r="Z411" s="5"/>
      <c r="AA411" s="5">
        <f t="shared" ref="AA411:AF411" si="31">AA20+AA21+AA22+AA23+AA57+AA58+AA59+AA74+AA75+AA76+AA77+AA78+AA79+AA80+AA81+AA82+AA83+AA84+AA85+AA86+AA87+AA88+AA92+AA93+AA94+AA95+AA96+AA97+AA98+AA99+AA100+AA104+AA105+AA106+AA107+AA108+AA109+AA110+AA111+AA112+AA113+AA114+AA115+AA116+AA150+AA151+AA161+AA171+AA173+AA174+AA175+AA176+AA177+AA178+AA179+AA180+AA181+AA182+AA183+AA184+AA185+AA186+AA187+AA215+AA216+AA225+AA226+AA227+AA229+AA231+AA232+AA233+AA234+AA235+AA237+AA238+AA239+AA240+AA241+AA242+AA243+AA244+AA245+AA246+AA283+AA284+AA285+AA303+AA306+AA307+AA308+AA309+AA310+AA311+AA312+AA315+AA316+AA355+AA356+AA357+AA358+AA359</f>
        <v>126705</v>
      </c>
      <c r="AB411" s="5">
        <f t="shared" si="31"/>
        <v>101668.73999999999</v>
      </c>
      <c r="AC411" s="5">
        <f t="shared" si="31"/>
        <v>648416.38</v>
      </c>
      <c r="AD411" s="5">
        <f t="shared" si="31"/>
        <v>397666.3</v>
      </c>
      <c r="AE411" s="5">
        <f t="shared" si="31"/>
        <v>207174.4678347047</v>
      </c>
      <c r="AF411" s="5">
        <f t="shared" si="31"/>
        <v>98716.37</v>
      </c>
      <c r="AG411" s="5"/>
      <c r="AH411" s="5">
        <f>AH20+AH21+AH22+AH23+AH57+AH58+AH59+AH74+AH75+AH76+AH77+AH78+AH79+AH80+AH81+AH82+AH83+AH84+AH85+AH86+AH87+AH88+AH92+AH93+AH94+AH95+AH96+AH97+AH98+AH99+AH100+AH104+AH105+AH106+AH107+AH108+AH109+AH110+AH111+AH112+AH113+AH114+AH115+AH116+AH150+AH151+AH161+AH171+AH173+AH174+AH175+AH176+AH177+AH178+AH179+AH180+AH181+AH182+AH183+AH184+AH185+AH186+AH187+AH215+AH216+AH225+AH226+AH227+AH229+AH231+AH232+AH233+AH234+AH235+AH237+AH238+AH239+AH240+AH241+AH242+AH243+AH244+AH245+AH246+AH283+AH284+AH285+AH303+AH306+AH307+AH308+AH309+AH310+AH311+AH312+AH315+AH316+AH355+AH356+AH357+AH358+AH359</f>
        <v>256284.11317875344</v>
      </c>
      <c r="AI411" s="5">
        <f>AI20+AI21+AI22+AI23+AI57+AI58+AI59+AI74+AI75+AI76+AI77+AI78+AI79+AI80+AI81+AI82+AI83+AI84+AI85+AI86+AI87+AI88+AI92+AI93+AI94+AI95+AI96+AI97+AI98+AI99+AI100+AI104+AI105+AI106+AI107+AI108+AI109+AI110+AI111+AI112+AI113+AI114+AI115+AI116+AI150+AI151+AI161+AI171+AI173+AI174+AI175+AI176+AI177+AI178+AI179+AI180+AI181+AI182+AI183+AI184+AI185+AI186+AI187+AI215+AI216+AI225+AI226+AI227+AI229+AI231+AI232+AI233+AI234+AI235+AI237+AI238+AI239+AI240+AI241+AI242+AI243+AI244+AI245+AI246+AI283+AI284+AI285+AI303+AI306+AI307+AI308+AI309+AI310+AI311+AI312+AI315+AI316+AI355+AI356+AI357+AI358+AI359</f>
        <v>313643.89999999997</v>
      </c>
      <c r="AJ411" s="5"/>
      <c r="AK411" s="5">
        <f>AK20+AK21+AK22+AK23+AK57+AK58+AK59+AK74+AK75+AK76+AK77+AK78+AK79+AK80+AK81+AK82+AK83+AK84+AK85+AK86+AK87+AK88+AK92+AK93+AK94+AK95+AK96+AK97+AK98+AK99+AK100+AK104+AK105+AK106+AK107+AK108+AK109+AK110+AK111+AK112+AK113+AK114+AK115+AK116+AK150+AK151+AK161+AK171+AK173+AK174+AK175+AK176+AK177+AK178+AK179+AK180+AK181+AK182+AK183+AK184+AK185+AK186+AK187+AK215+AK216+AK225+AK226+AK227+AK229+AK231+AK232+AK233+AK234+AK235+AK237+AK238+AK239+AK240+AK241+AK242+AK243+AK244+AK245+AK246+AK283+AK284+AK285+AK303+AK306+AK307+AK308+AK309+AK310+AK311+AK312+AK315+AK316+AK355+AK356+AK357+AK358+AK359</f>
        <v>118177.73807654221</v>
      </c>
      <c r="AL411" s="5">
        <f>AL20+AL21+AL22+AL23+AL57+AL58+AL59+AL74+AL75+AL76+AL77+AL78+AL79+AL80+AL81+AL82+AL83+AL84+AL85+AL86+AL87+AL88+AL92+AL93+AL94+AL95+AL96+AL97+AL98+AL99+AL100+AL104+AL105+AL106+AL107+AL108+AL109+AL110+AL111+AL112+AL113+AL114+AL115+AL116+AL150+AL151+AL161+AL171+AL173+AL174+AL175+AL176+AL177+AL178+AL179+AL180+AL181+AL182+AL183+AL184+AL185+AL186+AL187+AL215+AL216+AL225+AL226+AL227+AL229+AL231+AL232+AL233+AL234+AL235+AL237+AL238+AL239+AL240+AL241+AL242+AL243+AL244+AL245+AL246+AL283+AL284+AL285+AL303+AL306+AL307+AL308+AL309+AL310+AL311+AL312+AL315+AL316+AL355+AL356+AL357+AL358+AL359</f>
        <v>82567.77</v>
      </c>
      <c r="AM411" s="5"/>
      <c r="AN411" s="5">
        <f>AN20+AN21+AN22+AN23+AN57+AN58+AN59+AN74+AN75+AN76+AN77+AN78+AN79+AN80+AN81+AN82+AN83+AN84+AN85+AN86+AN87+AN88+AN92+AN93+AN94+AN95+AN96+AN97+AN98+AN99+AN100+AN104+AN105+AN106+AN107+AN108+AN109+AN110+AN111+AN112+AN113+AN114+AN115+AN116+AN150+AN151+AN161+AN171+AN173+AN174+AN175+AN176+AN177+AN178+AN179+AN180+AN181+AN182+AN183+AN184+AN185+AN186+AN187+AN215+AN216+AN225+AN226+AN227+AN229+AN231+AN232+AN233+AN234+AN235+AN237+AN238+AN239+AN240+AN241+AN242+AN243+AN244+AN245+AN246+AN283+AN284+AN285+AN303+AN306+AN307+AN308+AN309+AN310+AN311+AN312+AN315+AN316+AN355+AN356+AN357+AN358+AN359</f>
        <v>186675.80640771598</v>
      </c>
      <c r="AO411" s="5">
        <f>AO20+AO21+AO22+AO23+AO57+AO58+AO59+AO74+AO75+AO76+AO77+AO78+AO79+AO80+AO81+AO82+AO83+AO84+AO85+AO86+AO87+AO88+AO92+AO93+AO94+AO95+AO96+AO97+AO98+AO99+AO100+AO104+AO105+AO106+AO107+AO108+AO109+AO110+AO111+AO112+AO113+AO114+AO115+AO116+AO150+AO151+AO161+AO171+AO173+AO174+AO175+AO176+AO177+AO178+AO179+AO180+AO181+AO182+AO183+AO184+AO185+AO186+AO187+AO215+AO216+AO225+AO226+AO227+AO229+AO231+AO232+AO233+AO234+AO235+AO237+AO238+AO239+AO240+AO241+AO242+AO243+AO244+AO245+AO246+AO283+AO284+AO285+AO303+AO306+AO307+AO308+AO309+AO310+AO311+AO312+AO315+AO316+AO355+AO356+AO357+AO358+AO359</f>
        <v>181169.03</v>
      </c>
      <c r="AP411" s="5"/>
      <c r="AQ411" s="5">
        <f>AQ20+AQ21+AQ22+AQ23+AQ57+AQ58+AQ59+AQ74+AQ75+AQ76+AQ77+AQ78+AQ79+AQ80+AQ81+AQ82+AQ83+AQ84+AQ85+AQ86+AQ87+AQ88+AQ92+AQ93+AQ94+AQ95+AQ96+AQ97+AQ98+AQ99+AQ100+AQ104+AQ105+AQ106+AQ107+AQ108+AQ109+AQ110+AQ111+AQ112+AQ113+AQ114+AQ115+AQ116+AQ150+AQ151+AQ161+AQ171+AQ173+AQ174+AQ175+AQ176+AQ177+AQ178+AQ179+AQ180+AQ181+AQ182+AQ183+AQ184+AQ185+AQ186+AQ187+AQ215+AQ216+AQ225+AQ226+AQ227+AQ229+AQ231+AQ232+AQ233+AQ234+AQ235+AQ237+AQ238+AQ239+AQ240+AQ241+AQ242+AQ243+AQ244+AQ245+AQ246+AQ283+AQ284+AQ285+AQ303+AQ306+AQ307+AQ308+AQ309+AQ310+AQ311+AQ312+AQ315+AQ316+AQ355+AQ356+AQ357+AQ358+AQ359</f>
        <v>136902.19161853823</v>
      </c>
      <c r="AR411" s="5">
        <f>AR20+AR21+AR22+AR23+AR57+AR58+AR59+AR74+AR75+AR76+AR77+AR78+AR79+AR80+AR81+AR82+AR83+AR84+AR85+AR86+AR87+AR88+AR92+AR93+AR94+AR95+AR96+AR97+AR98+AR99+AR100+AR104+AR105+AR106+AR107+AR108+AR109+AR110+AR111+AR112+AR113+AR114+AR115+AR116+AR150+AR151+AR161+AR171+AR173+AR174+AR175+AR176+AR177+AR178+AR179+AR180+AR181+AR182+AR183+AR184+AR185+AR186+AR187+AR215+AR216+AR225+AR226+AR227+AR229+AR231+AR232+AR233+AR234+AR235+AR237+AR238+AR239+AR240+AR241+AR242+AR243+AR244+AR245+AR246+AR283+AR284+AR285+AR303+AR306+AR307+AR308+AR309+AR310+AR311+AR312+AR315+AR316+AR355+AR356+AR357+AR358+AR359</f>
        <v>27619</v>
      </c>
      <c r="AS411" s="5"/>
      <c r="AT411" s="5">
        <f>AT20+AT21+AT22+AT23+AT57+AT58+AT59+AT74+AT75+AT76+AT77+AT78+AT79+AT80+AT81+AT82+AT83+AT84+AT85+AT86+AT87+AT88+AT92+AT93+AT94+AT95+AT96+AT97+AT98+AT99+AT100+AT104+AT105+AT106+AT107+AT108+AT109+AT110+AT111+AT112+AT113+AT114+AT115+AT116+AT150+AT151+AT161+AT171+AT173+AT174+AT175+AT176+AT177+AT178+AT179+AT180+AT181+AT182+AT183+AT184+AT185+AT186+AT187+AT215+AT216+AT225+AT226+AT227+AT229+AT231+AT232+AT233+AT234+AT235+AT237+AT238+AT239+AT240+AT241+AT242+AT243+AT244+AT245+AT246+AT283+AT284+AT285+AT303+AT306+AT307+AT308+AT309+AT310+AT311+AT312+AT315+AT316+AT355+AT356+AT357+AT358+AT359</f>
        <v>175360.45640043143</v>
      </c>
      <c r="AU411" s="5">
        <f>AU20+AU21+AU22+AU23+AU57+AU58+AU59+AU74+AU75+AU76+AU77+AU78+AU79+AU80+AU81+AU82+AU83+AU84+AU85+AU86+AU87+AU88+AU92+AU93+AU94+AU95+AU96+AU97+AU98+AU99+AU100+AU104+AU105+AU106+AU107+AU108+AU109+AU110+AU111+AU112+AU113+AU114+AU115+AU116+AU150+AU151+AU161+AU171+AU173+AU174+AU175+AU176+AU177+AU178+AU179+AU180+AU181+AU182+AU183+AU184+AU185+AU186+AU187+AU215+AU216+AU225+AU226+AU227+AU229+AU231+AU232+AU233+AU234+AU235+AU237+AU238+AU239+AU240+AU241+AU242+AU243+AU244+AU245+AU246+AU283+AU284+AU285+AU303+AU306+AU307+AU308+AU309+AU310+AU311+AU312+AU315+AU316+AU355+AU356+AU357+AU358+AU359</f>
        <v>41632</v>
      </c>
      <c r="AV411" s="5"/>
      <c r="AW411" s="5">
        <f>AW20+AW21+AW22+AW23+AW57+AW58+AW59+AW74+AW75+AW76+AW77+AW78+AW79+AW80+AW81+AW82+AW83+AW84+AW85+AW86+AW87+AW88+AW92+AW93+AW94+AW95+AW96+AW97+AW98+AW99+AW100+AW104+AW105+AW106+AW107+AW108+AW109+AW110+AW111+AW112+AW113+AW114+AW115+AW116+AW150+AW151+AW161+AW171+AW173+AW174+AW175+AW176+AW177+AW178+AW179+AW180+AW181+AW182+AW183+AW184+AW185+AW186+AW187+AW215+AW216+AW225+AW226+AW227+AW229+AW231+AW232+AW233+AW234+AW235+AW237+AW238+AW239+AW240+AW241+AW242+AW243+AW244+AW245+AW246+AW283+AW284+AW285+AW303+AW306+AW307+AW308+AW309+AW310+AW311+AW312+AW315+AW316+AW355+AW356+AW357+AW358+AW359</f>
        <v>39247.537120173183</v>
      </c>
      <c r="AX411" s="5">
        <f>AX20+AX21+AX22+AX23+AX57+AX58+AX59+AX74+AX75+AX76+AX77+AX78+AX79+AX80+AX81+AX82+AX83+AX84+AX85+AX86+AX87+AX88+AX92+AX93+AX94+AX95+AX96+AX97+AX98+AX99+AX100+AX104+AX105+AX106+AX107+AX108+AX109+AX110+AX111+AX112+AX113+AX114+AX115+AX116+AX150+AX151+AX161+AX171+AX173+AX174+AX175+AX176+AX177+AX178+AX179+AX180+AX181+AX182+AX183+AX184+AX185+AX186+AX187+AX215+AX216+AX225+AX226+AX227+AX229+AX231+AX232+AX233+AX234+AX235+AX237+AX238+AX239+AX240+AX241+AX242+AX243+AX244+AX245+AX246+AX283+AX284+AX285+AX303+AX306+AX307+AX308+AX309+AX310+AX311+AX312+AX315+AX316+AX355+AX356+AX357+AX358+AX359</f>
        <v>32418.539999999997</v>
      </c>
      <c r="AY411" s="5"/>
      <c r="AZ411" s="5">
        <f>AZ20+AZ21+AZ22+AZ23+AZ57+AZ58+AZ59+AZ74+AZ75+AZ76+AZ77+AZ78+AZ79+AZ80+AZ81+AZ82+AZ83+AZ84+AZ85+AZ86+AZ87+AZ88+AZ92+AZ93+AZ94+AZ95+AZ96+AZ97+AZ98+AZ99+AZ100+AZ104+AZ105+AZ106+AZ107+AZ108+AZ109+AZ110+AZ111+AZ112+AZ113+AZ114+AZ115+AZ116+AZ150+AZ151+AZ161+AZ171+AZ173+AZ174+AZ175+AZ176+AZ177+AZ178+AZ179+AZ180+AZ181+AZ182+AZ183+AZ184+AZ185+AZ186+AZ187+AZ215+AZ216+AZ225+AZ226+AZ227+AZ229+AZ231+AZ232+AZ233+AZ234+AZ235+AZ237+AZ238+AZ239+AZ240+AZ241+AZ242+AZ243+AZ244+AZ245+AZ246+AZ283+AZ284+AZ285+AZ303+AZ306+AZ307+AZ308+AZ309+AZ310+AZ311+AZ312+AZ315+AZ316+AZ355+AZ356+AZ357+AZ358+AZ359</f>
        <v>1119822.3106368587</v>
      </c>
      <c r="BA411" s="5">
        <f>BA20+BA21+BA22+BA23+BA57+BA58+BA59+BA74+BA75+BA76+BA77+BA78+BA79+BA80+BA81+BA82+BA83+BA84+BA85+BA86+BA87+BA88+BA92+BA93+BA94+BA95+BA96+BA97+BA98+BA99+BA100+BA104+BA105+BA106+BA107+BA108+BA109+BA110+BA111+BA112+BA113+BA114+BA115+BA116+BA150+BA151+BA161+BA171+BA173+BA174+BA175+BA176+BA177+BA178+BA179+BA180+BA181+BA182+BA183+BA184+BA185+BA186+BA187+BA215+BA216+BA225+BA226+BA227+BA229+BA231+BA232+BA233+BA234+BA235+BA237+BA238+BA239+BA240+BA241+BA242+BA243+BA244+BA245+BA246+BA283+BA284+BA285+BA303+BA306+BA307+BA308+BA309+BA310+BA311+BA312+BA315+BA316+BA355+BA356+BA357+BA358+BA359</f>
        <v>777766.61</v>
      </c>
      <c r="BB411" s="5">
        <f>BB20+BB21+BB22+BB23+BB57+BB58+BB59+BB74+BB75+BB76+BB77+BB78+BB79+BB80+BB81+BB82+BB83+BB84+BB85+BB86+BB87+BB88+BB92+BB93+BB94+BB95+BB96+BB97+BB98+BB99+BB100+BB104+BB105+BB106+BB107+BB108+BB109+BB110+BB111+BB112+BB113+BB114+BB115+BB116+BB150+BB151+BB161+BB171+BB173+BB174+BB175+BB176+BB177+BB178+BB179+BB180+BB181+BB182+BB183+BB184+BB185+BB186+BB187+BB215+BB216+BB225+BB226+BB227+BB229+BB231+BB232+BB233+BB234+BB235+BB237+BB238+BB239+BB240+BB241+BB242+BB243+BB244+BB245+BB246+BB283+BB284+BB285+BB303+BB306+BB307+BB308+BB309+BB310+BB311+BB312+BB315+BB316+BB355+BB356+BB357+BB358+BB359</f>
        <v>-342055.70063685917</v>
      </c>
    </row>
    <row r="412" spans="1:59" ht="15.6" x14ac:dyDescent="0.3">
      <c r="A412" s="3"/>
      <c r="B412" s="488" t="s">
        <v>987</v>
      </c>
      <c r="C412" s="489"/>
      <c r="D412" s="490"/>
      <c r="E412" s="3"/>
      <c r="F412" s="5">
        <f>F12+F13+F24+F26+F27+F39+F40+F41+F42+F43+F44+F45+F46+F47+F48+F54+F60+F61+F62+F63+F64+F65+F66+F67+F68+F69+F70+F71+F72+F73+F117+F118+F119+F120+F121+F122+F123+F124+F125+F126+F127+F128+F129+F130+F131+F132+F133+F134+F135+F136+F160+F162+F163+F164+F165+F166+F167+F168+F169+F170+F172+F188+F189+F190+F198+F206+F214+F217+F218+F219+F220+F221+F222+F223+F224+F228+F230+F236+F247+F248+F249+F250+F251+F252+F253+F254+F255+F256+F257+F258+F259+F260+F261+F262+F263+F264+F265+F266+F267+F268+F269+F270+F271+F286+F287+F288+F289+F290+F291+F292+F293+F294+F295+F296+F297+F298+F299+F300+F301+F302+F313+F314+F317+F320+F322+F323+F324+F325+F327+F329+F330+F331+F332+F333+F334+F335+F337+F338+F339+F340+F347+F348+F349+F350+F351+F352+F353+F354+F360+F361+F362+F363+F364+F365+F366+F367+F398+F399+F400+F401+F402+F403+F404+F405</f>
        <v>3696037.2610306884</v>
      </c>
      <c r="G412" s="5">
        <f>G12+G13+G24+G26+G27+G39+G40+G41+G42+G43+G44+G45+G46+G47+G48+G54+G60+G61+G62+G63+G64+G65+G66+G67+G68+G69+G70+G71+G72+G73+G117+G118+G119+G120+G121+G122+G123+G124+G125+G126+G127+G128+G129+G130+G131+G132+G133+G134+G135+G136+G160+G162+G163+G164+G165+G166+G167+G168+G169+G170+G172+G188+G189+G190+G198+G206+G214+G217+G218+G219+G220+G221+G222+G223+G224+G228+G230+G236+G247+G248+G249+G250+G251+G252+G253+G254+G255+G256+G257+G258+G259+G260+G261+G262+G263+G264+G265+G266+G267+G268+G269+G270+G271+G286+G287+G288+G289+G290+G291+G292+G293+G294+G295+G296+G297+G298+G299+G300+G301+G302+G313+G314+G317+G320+G322+G323+G324+G325+G327+G329+G330+G331+G332+G333+G334+G335+G337+G338+G339+G340+G347+G348+G349+G350+G351+G352+G353+G354+G360+G361+G362+G363+G364+G365+G366+G367+G398+G399+G400+G401+G402+G403+G404+G405</f>
        <v>3788059.8963923575</v>
      </c>
      <c r="H412" s="5">
        <f>H12+H13+H24+H26+H27+H39+H40+H41+H42+H43+H44+H45+H46+H47+H48+H54+H60+H61+H62+H63+H64+H65+H66+H67+H68+H69+H70+H71+H72+H73+H117+H118+H119+H120+H121+H122+H123+H124+H125+H126+H127+H128+H129+H130+H131+H132+H133+H134+H135+H136+H160+H162+H163+H164+H165+H166+H167+H168+H169+H170+H172+H188+H189+H190+H198+H206+H214+H217+H218+H219+H220+H221+H222+H223+H224+H228+H230+H236+H247+H248+H249+H250+H251+H252+H253+H254+H255+H256+H257+H258+H259+H260+H261+H262+H263+H264+H265+H266+H267+H268+H269+H270+H271+H286+H287+H288+H289+H290+H291+H292+H293+H294+H295+H296+H297+H298+H299+H300+H301+H302+H313+H314+H317+H320+H322+H323+H324+H325+H327+H329+H330+H331+H332+H333+H334+H335+H337+H338+H339+H340+H347+H348+H349+H350+H351+H352+H353+H354+H360+H361+H362+H363+H364+H365+H366+H367+H398+H399+H400+H401+H402+H403+H404+H405</f>
        <v>92022.635361666718</v>
      </c>
      <c r="I412" s="5">
        <f>I12+I13+I24+I26+I27+I39+I40+I41+I42+I43+I44+I45+I46+I47+I48+I54+I60+I61+I62+I63+I64+I65+I66+I67+I68+I69+I70+I71+I72+I73+I117+I118+I119+I120+I121+I122+I123+I124+I125+I126+I127+I128+I129+I130+I131+I132+I133+I134+I135+I136+I160+I162+I163+I164+I165+I166+I167+I168+I169+I170+I172+I188+I189+I190+I198+I206+I214+I217+I218+I219+I220+I221+I222+I223+I224+I228+I230+I236+I247+I248+I249+I250+I251+I252+I253+I254+I255+I256+I257+I258+I259+I260+I261+I262+I263+I264+I265+I266+I267+I268+I269+I270+I271+I286+I287+I288+I289+I290+I291+I292+I293+I294+I295+I296+I297+I298+I299+I300+I301+I302+I313+I314+I317+I320+I322+I323+I324+I325+I327+I329+I330+I331+I332+I333+I334+I335+I337+I338+I339+I340+I347+I348+I349+I350+I351+I352+I353+I354+I360+I361+I362+I363+I364+I365+I366+I367+I398+I399+I400+I401+I402+I403+I404+I405</f>
        <v>1437.2</v>
      </c>
      <c r="J412" s="5">
        <f>J12+J13+J24+J26+J27+J39+J40+J41+J42+J43+J44+J45+J46+J47+J48+J54+J60+J61+J62+J63+J64+J65+J66+J67+J68+J69+J70+J71+J72+J73+J117+J118+J119+J120+J121+J122+J123+J124+J125+J126+J127+J128+J129+J130+J131+J132+J133+J134+J135+J136+J160+J162+J163+J164+J165+J166+J167+J168+J169+J170+J172+J188+J189+J190+J198+J206+J214+J217+J218+J219+J220+J221+J222+J223+J224+J228+J230+J236+J247+J248+J249+J250+J251+J252+J253+J254+J255+J256+J257+J258+J259+J260+J261+J262+J263+J264+J265+J266+J267+J268+J269+J270+J271+J286+J287+J288+J289+J290+J291+J292+J293+J294+J295+J296+J297+J298+J299+J300+J301+J302+J313+J314+J317+J320+J322+J323+J324+J325+J327+J329+J330+J331+J332+J333+J334+J335+J337+J338+J339+J340+J347+J348+J349+J350+J351+J352+J353+J354+J360+J361+J362+J363+J364+J365+J366+J367+J398+J399+J400+J401+J402+J403+J404+J405</f>
        <v>399660.05000000005</v>
      </c>
      <c r="K412" s="5"/>
      <c r="L412" s="5">
        <f>L12+L13+L24+L26+L27+L39+L40+L41+L42+L43+L44+L45+L46+L47+L48+L54+L60+L61+L62+L63+L64+L65+L66+L67+L68+L69+L70+L71+L72+L73+L117+L118+L119+L120+L121+L122+L123+L124+L125+L126+L127+L128+L129+L130+L131+L132+L133+L134+L135+L136+L160+L162+L163+L164+L165+L166+L167+L168+L169+L170+L172+L188+L189+L190+L198+L206+L214+L217+L218+L219+L220+L221+L222+L223+L224+L228+L230+L236+L247+L248+L249+L250+L251+L252+L253+L254+L255+L256+L257+L258+L259+L260+L261+L262+L263+L264+L265+L266+L267+L268+L269+L270+L271+L286+L287+L288+L289+L290+L291+L292+L293+L294+L295+L296+L297+L298+L299+L300+L301+L302+L313+L314+L317+L320+L322+L323+L324+L325+L327+L329+L330+L331+L332+L333+L334+L335+L337+L338+L339+L340+L347+L348+L349+L350+L351+L352+L353+L354+L360+L361+L362+L363+L364+L365+L366+L367+L398+L399+L400+L401+L402+L403+L404+L405</f>
        <v>29</v>
      </c>
      <c r="M412" s="5">
        <f>M12+M13+M24+M26+M27+M39+M40+M41+M42+M43+M44+M45+M46+M47+M48+M54+M60+M61+M62+M63+M64+M65+M66+M67+M68+M69+M70+M71+M72+M73+M117+M118+M119+M120+M121+M122+M123+M124+M125+M126+M127+M128+M129+M130+M131+M132+M133+M134+M135+M136+M160+M162+M163+M164+M165+M166+M167+M168+M169+M170+M172+M188+M189+M190+M198+M206+M214+M217+M218+M219+M220+M221+M222+M223+M224+M228+M230+M236+M247+M248+M249+M250+M251+M252+M253+M254+M255+M256+M257+M258+M259+M260+M261+M262+M263+M264+M265+M266+M267+M268+M269+M270+M271+M286+M287+M288+M289+M290+M291+M292+M293+M294+M295+M296+M297+M298+M299+M300+M301+M302+M313+M314+M317+M320+M322+M323+M324+M325+M327+M329+M330+M331+M332+M333+M334+M335+M337+M338+M339+M340+M347+M348+M349+M350+M351+M352+M353+M354+M360+M361+M362+M363+M364+M365+M366+M367+M398+M399+M400+M401+M402+M403+M404+M405</f>
        <v>1641102.19</v>
      </c>
      <c r="N412" s="5"/>
      <c r="O412" s="5">
        <f>O12+O13+O24+O26+O27+O39+O40+O41+O42+O43+O44+O45+O46+O47+O48+O54+O60+O61+O62+O63+O64+O65+O66+O67+O68+O69+O70+O71+O72+O73+O117+O118+O119+O120+O121+O122+O123+O124+O125+O126+O127+O128+O129+O130+O131+O132+O133+O134+O135+O136+O160+O162+O163+O164+O165+O166+O167+O168+O169+O170+O172+O188+O189+O190+O198+O206+O214+O217+O218+O219+O220+O221+O222+O223+O224+O228+O230+O236+O247+O248+O249+O250+O251+O252+O253+O254+O255+O256+O257+O258+O259+O260+O261+O262+O263+O264+O265+O266+O267+O268+O269+O270+O271+O286+O287+O288+O289+O290+O291+O292+O293+O294+O295+O296+O297+O298+O299+O300+O301+O302+O313+O314+O317+O320+O322+O323+O324+O325+O327+O329+O330+O331+O332+O333+O334+O335+O337+O338+O339+O340+O347+O348+O349+O350+O351+O352+O353+O354+O360+O361+O362+O363+O364+O365+O366+O367+O398+O399+O400+O401+O402+O403+O404+O405</f>
        <v>217</v>
      </c>
      <c r="P412" s="5">
        <f>P12+P13+P24+P26+P27+P39+P40+P41+P42+P43+P44+P45+P46+P47+P48+P54+P60+P61+P62+P63+P64+P65+P66+P67+P68+P69+P70+P71+P72+P73+P117+P118+P119+P120+P121+P122+P123+P124+P125+P126+P127+P128+P129+P130+P131+P132+P133+P134+P135+P136+P160+P162+P163+P164+P165+P166+P167+P168+P169+P170+P172+P188+P189+P190+P198+P206+P214+P217+P218+P219+P220+P221+P222+P223+P224+P228+P230+P236+P247+P248+P249+P250+P251+P252+P253+P254+P255+P256+P257+P258+P259+P260+P261+P262+P263+P264+P265+P266+P267+P268+P269+P270+P271+P286+P287+P288+P289+P290+P291+P292+P293+P294+P295+P296+P297+P298+P299+P300+P301+P302+P313+P314+P317+P320+P322+P323+P324+P325+P327+P329+P330+P331+P332+P333+P334+P335+P337+P338+P339+P340+P347+P348+P349+P350+P351+P352+P353+P354+P360+P361+P362+P363+P364+P365+P366+P367+P398+P399+P400+P401+P402+P403+P404+P405</f>
        <v>46785</v>
      </c>
      <c r="Q412" s="5"/>
      <c r="R412" s="5">
        <f>R12+R13+R24+R26+R27+R39+R40+R41+R42+R43+R44+R45+R46+R47+R48+R54+R60+R61+R62+R63+R64+R65+R66+R67+R68+R69+R70+R71+R72+R73+R117+R118+R119+R120+R121+R122+R123+R124+R125+R126+R127+R128+R129+R130+R131+R132+R133+R134+R135+R136+R160+R162+R163+R164+R165+R166+R167+R168+R169+R170+R172+R188+R189+R190+R198+R206+R214+R217+R218+R219+R220+R221+R222+R223+R224+R228+R230+R236+R247+R248+R249+R250+R251+R252+R253+R254+R255+R256+R257+R258+R259+R260+R261+R262+R263+R264+R265+R266+R267+R268+R269+R270+R271+R286+R287+R288+R289+R290+R291+R292+R293+R294+R295+R296+R297+R298+R299+R300+R301+R302+R313+R314+R317+R320+R322+R323+R324+R325+R327+R329+R330+R331+R332+R333+R334+R335+R337+R338+R339+R340+R347+R348+R349+R350+R351+R352+R353+R354+R360+R361+R362+R363+R364+R365+R366+R367+R398+R399+R400+R401+R402+R403+R404+R405</f>
        <v>36</v>
      </c>
      <c r="S412" s="5">
        <f>S12+S13+S24+S26+S27+S39+S40+S41+S42+S43+S44+S45+S46+S47+S48+S54+S60+S61+S62+S63+S64+S65+S66+S67+S68+S69+S70+S71+S72+S73+S117+S118+S119+S120+S121+S122+S123+S124+S125+S126+S127+S128+S129+S130+S131+S132+S133+S134+S135+S136+S160+S162+S163+S164+S165+S166+S167+S168+S169+S170+S172+S188+S189+S190+S198+S206+S214+S217+S218+S219+S220+S221+S222+S223+S224+S228+S230+S236+S247+S248+S249+S250+S251+S252+S253+S254+S255+S256+S257+S258+S259+S260+S261+S262+S263+S264+S265+S266+S267+S268+S269+S270+S271+S286+S287+S288+S289+S290+S291+S292+S293+S294+S295+S296+S297+S298+S299+S300+S301+S302+S313+S314+S317+S320+S322+S323+S324+S325+S327+S329+S330+S331+S332+S333+S334+S335+S337+S338+S339+S340+S347+S348+S349+S350+S351+S352+S353+S354+S360+S361+S362+S363+S364+S365+S366+S367+S398+S399+S400+S401+S402+S403+S404+S405</f>
        <v>140624.28999999998</v>
      </c>
      <c r="T412" s="5"/>
      <c r="U412" s="5">
        <f>U12+U13+U24+U26+U27+U39+U40+U41+U42+U43+U44+U45+U46+U47+U48+U54+U60+U61+U62+U63+U64+U65+U66+U67+U68+U69+U70+U71+U72+U73+U117+U118+U119+U120+U121+U122+U123+U124+U125+U126+U127+U128+U129+U130+U131+U132+U133+U134+U135+U136+U160+U162+U163+U164+U165+U166+U167+U168+U169+U170+U172+U188+U189+U190+U198+U206+U214+U217+U218+U219+U220+U221+U222+U223+U224+U228+U230+U236+U247+U248+U249+U250+U251+U252+U253+U254+U255+U256+U257+U258+U259+U260+U261+U262+U263+U264+U265+U266+U267+U268+U269+U270+U271+U286+U287+U288+U289+U290+U291+U292+U293+U294+U295+U296+U297+U298+U299+U300+U301+U302+U313+U314+U317+U320+U322+U323+U324+U325+U327+U329+U330+U331+U332+U333+U334+U335+U337+U338+U339+U340+U347+U348+U349+U350+U351+U352+U353+U354+U360+U361+U362+U363+U364+U365+U366+U367+U398+U399+U400+U401+U402+U403+U404+U405</f>
        <v>0</v>
      </c>
      <c r="V412" s="5"/>
      <c r="W412" s="5">
        <f>W12+W13+W24+W26+W27+W39+W40+W41+W42+W43+W44+W45+W46+W47+W48+W54+W60+W61+W62+W63+W64+W65+W66+W67+W68+W69+W70+W71+W72+W73+W117+W118+W119+W120+W121+W122+W123+W124+W125+W126+W127+W128+W129+W130+W131+W132+W133+W134+W135+W136+W160+W162+W163+W164+W165+W166+W167+W168+W169+W170+W172+W188+W189+W190+W198+W206+W214+W217+W218+W219+W220+W221+W222+W223+W224+W228+W230+W236+W247+W248+W249+W250+W251+W252+W253+W254+W255+W256+W257+W258+W259+W260+W261+W262+W263+W264+W265+W266+W267+W268+W269+W270+W271+W286+W287+W288+W289+W290+W291+W292+W293+W294+W295+W296+W297+W298+W299+W300+W301+W302+W313+W314+W317+W320+W322+W323+W324+W325+W327+W329+W330+W331+W332+W333+W334+W335+W337+W338+W339+W340+W347+W348+W349+W350+W351+W352+W353+W354+W360+W361+W362+W363+W364+W365+W366+W367+W398+W399+W400+W401+W402+W403+W404+W405</f>
        <v>307</v>
      </c>
      <c r="X412" s="5">
        <f>X12+X13+X24+X26+X27+X39+X40+X41+X42+X43+X44+X45+X46+X47+X48+X54+X60+X61+X62+X63+X64+X65+X66+X67+X68+X69+X70+X71+X72+X73+X117+X118+X119+X120+X121+X122+X123+X124+X125+X126+X127+X128+X129+X130+X131+X132+X133+X134+X135+X136+X160+X162+X163+X164+X165+X166+X167+X168+X169+X170+X172+X188+X189+X190+X198+X206+X214+X217+X218+X219+X220+X221+X222+X223+X224+X228+X230+X236+X247+X248+X249+X250+X251+X252+X253+X254+X255+X256+X257+X258+X259+X260+X261+X262+X263+X264+X265+X266+X267+X268+X269+X270+X271+X286+X287+X288+X289+X290+X291+X292+X293+X294+X295+X296+X297+X298+X299+X300+X301+X302+X313+X314+X317+X320+X322+X323+X324+X325+X327+X329+X330+X331+X332+X333+X334+X335+X337+X338+X339+X340+X347+X348+X349+X350+X351+X352+X353+X354+X360+X361+X362+X363+X364+X365+X366+X367+X398+X399+X400+X401+X402+X403+X404+X405</f>
        <v>249469.95639235689</v>
      </c>
      <c r="Y412" s="5">
        <f>Y12+Y13+Y24+Y26+Y27+Y39+Y40+Y41+Y42+Y43+Y44+Y45+Y46+Y47+Y48+Y54+Y60+Y61+Y62+Y63+Y64+Y65+Y66+Y67+Y68+Y69+Y70+Y71+Y72+Y73+Y117+Y118+Y119+Y120+Y121+Y122+Y123+Y124+Y125+Y126+Y127+Y128+Y129+Y130+Y131+Y132+Y133+Y134+Y135+Y136+Y160+Y162+Y163+Y164+Y165+Y166+Y167+Y168+Y169+Y170+Y172+Y188+Y189+Y190+Y198+Y206+Y214+Y217+Y218+Y219+Y220+Y221+Y222+Y223+Y224+Y228+Y230+Y236+Y247+Y248+Y249+Y250+Y251+Y252+Y253+Y254+Y255+Y256+Y257+Y258+Y259+Y260+Y261+Y262+Y263+Y264+Y265+Y266+Y267+Y268+Y269+Y270+Y271+Y286+Y287+Y288+Y289+Y290+Y291+Y292+Y293+Y294+Y295+Y296+Y297+Y298+Y299+Y300+Y301+Y302+Y313+Y314+Y317+Y320+Y322+Y323+Y324+Y325+Y327+Y329+Y330+Y331+Y332+Y333+Y334+Y335+Y337+Y338+Y339+Y340+Y347+Y348+Y349+Y350+Y351+Y352+Y353+Y354+Y360+Y361+Y362+Y363+Y364+Y365+Y366+Y367+Y398+Y399+Y400+Y401+Y402+Y403+Y404+Y405</f>
        <v>837015.88000000012</v>
      </c>
      <c r="Z412" s="5"/>
      <c r="AA412" s="5">
        <f t="shared" ref="AA412:AF412" si="32">AA12+AA13+AA24+AA26+AA27+AA39+AA40+AA41+AA42+AA43+AA44+AA45+AA46+AA47+AA48+AA54+AA60+AA61+AA62+AA63+AA64+AA65+AA66+AA67+AA68+AA69+AA70+AA71+AA72+AA73+AA117+AA118+AA119+AA120+AA121+AA122+AA123+AA124+AA125+AA126+AA127+AA128+AA129+AA130+AA131+AA132+AA133+AA134+AA135+AA136+AA160+AA162+AA163+AA164+AA165+AA166+AA167+AA168+AA169+AA170+AA172+AA188+AA189+AA190+AA198+AA206+AA214+AA217+AA218+AA219+AA220+AA221+AA222+AA223+AA224+AA228+AA230+AA236+AA247+AA248+AA249+AA250+AA251+AA252+AA253+AA254+AA255+AA256+AA257+AA258+AA259+AA260+AA261+AA262+AA263+AA264+AA265+AA266+AA267+AA268+AA269+AA270+AA271+AA286+AA287+AA288+AA289+AA290+AA291+AA292+AA293+AA294+AA295+AA296+AA297+AA298+AA299+AA300+AA301+AA302+AA313+AA314+AA317+AA320+AA322+AA323+AA324+AA325+AA327+AA329+AA330+AA331+AA332+AA333+AA334+AA335+AA337+AA338+AA339+AA340+AA347+AA348+AA349+AA350+AA351+AA352+AA353+AA354+AA360+AA361+AA362+AA363+AA364+AA365+AA366+AA367+AA398+AA399+AA400+AA401+AA402+AA403+AA404+AA405</f>
        <v>10841</v>
      </c>
      <c r="AB412" s="5">
        <f t="shared" si="32"/>
        <v>32543.269999999993</v>
      </c>
      <c r="AC412" s="5">
        <f t="shared" si="32"/>
        <v>141402.77000000002</v>
      </c>
      <c r="AD412" s="5">
        <f t="shared" si="32"/>
        <v>288615.49</v>
      </c>
      <c r="AE412" s="5">
        <f t="shared" si="32"/>
        <v>294196.48459134501</v>
      </c>
      <c r="AF412" s="5">
        <f t="shared" si="32"/>
        <v>133447.67999999999</v>
      </c>
      <c r="AG412" s="5"/>
      <c r="AH412" s="5">
        <f>AH12+AH13+AH24+AH26+AH27+AH39+AH40+AH41+AH42+AH43+AH44+AH45+AH46+AH47+AH48+AH54+AH60+AH61+AH62+AH63+AH64+AH65+AH66+AH67+AH68+AH69+AH70+AH71+AH72+AH73+AH117+AH118+AH119+AH120+AH121+AH122+AH123+AH124+AH125+AH126+AH127+AH128+AH129+AH130+AH131+AH132+AH133+AH134+AH135+AH136+AH160+AH162+AH163+AH164+AH165+AH166+AH167+AH168+AH169+AH170+AH172+AH188+AH189+AH190+AH198+AH206+AH214+AH217+AH218+AH219+AH220+AH221+AH222+AH223+AH224+AH228+AH230+AH236+AH247+AH248+AH249+AH250+AH251+AH252+AH253+AH254+AH255+AH256+AH257+AH258+AH259+AH260+AH261+AH262+AH263+AH264+AH265+AH266+AH267+AH268+AH269+AH270+AH271+AH286+AH287+AH288+AH289+AH290+AH291+AH292+AH293+AH294+AH295+AH296+AH297+AH298+AH299+AH300+AH301+AH302+AH313+AH314+AH317+AH320+AH322+AH323+AH324+AH325+AH327+AH329+AH330+AH331+AH332+AH333+AH334+AH335+AH337+AH338+AH339+AH340+AH347+AH348+AH349+AH350+AH351+AH352+AH353+AH354+AH360+AH361+AH362+AH363+AH364+AH365+AH366+AH367+AH398+AH399+AH400+AH401+AH402+AH403+AH404+AH405</f>
        <v>391182.59504761553</v>
      </c>
      <c r="AI412" s="5">
        <f>AI12+AI13+AI24+AI26+AI27+AI39+AI40+AI41+AI42+AI43+AI44+AI45+AI46+AI47+AI48+AI54+AI60+AI61+AI62+AI63+AI64+AI65+AI66+AI67+AI68+AI69+AI70+AI71+AI72+AI73+AI117+AI118+AI119+AI120+AI121+AI122+AI123+AI124+AI125+AI126+AI127+AI128+AI129+AI130+AI131+AI132+AI133+AI134+AI135+AI136+AI160+AI162+AI163+AI164+AI165+AI166+AI167+AI168+AI169+AI170+AI172+AI188+AI189+AI190+AI198+AI206+AI214+AI217+AI218+AI219+AI220+AI221+AI222+AI223+AI224+AI228+AI230+AI236+AI247+AI248+AI249+AI250+AI251+AI252+AI253+AI254+AI255+AI256+AI257+AI258+AI259+AI260+AI261+AI262+AI263+AI264+AI265+AI266+AI267+AI268+AI269+AI270+AI271+AI286+AI287+AI288+AI289+AI290+AI291+AI292+AI293+AI294+AI295+AI296+AI297+AI298+AI299+AI300+AI301+AI302+AI313+AI314+AI317+AI320+AI322+AI323+AI324+AI325+AI327+AI329+AI330+AI331+AI332+AI333+AI334+AI335+AI337+AI338+AI339+AI340+AI347+AI348+AI349+AI350+AI351+AI352+AI353+AI354+AI360+AI361+AI362+AI363+AI364+AI365+AI366+AI367+AI398+AI399+AI400+AI401+AI402+AI403+AI404+AI405</f>
        <v>96305.11</v>
      </c>
      <c r="AJ412" s="5"/>
      <c r="AK412" s="5">
        <f>AK12+AK13+AK24+AK26+AK27+AK39+AK40+AK41+AK42+AK43+AK44+AK45+AK46+AK47+AK48+AK54+AK60+AK61+AK62+AK63+AK64+AK65+AK66+AK67+AK68+AK69+AK70+AK71+AK72+AK73+AK117+AK118+AK119+AK120+AK121+AK122+AK123+AK124+AK125+AK126+AK127+AK128+AK129+AK130+AK131+AK132+AK133+AK134+AK135+AK136+AK160+AK162+AK163+AK164+AK165+AK166+AK167+AK168+AK169+AK170+AK172+AK188+AK189+AK190+AK198+AK206+AK214+AK217+AK218+AK219+AK220+AK221+AK222+AK223+AK224+AK228+AK230+AK236+AK247+AK248+AK249+AK250+AK251+AK252+AK253+AK254+AK255+AK256+AK257+AK258+AK259+AK260+AK261+AK262+AK263+AK264+AK265+AK266+AK267+AK268+AK269+AK270+AK271+AK286+AK287+AK288+AK289+AK290+AK291+AK292+AK293+AK294+AK295+AK296+AK297+AK298+AK299+AK300+AK301+AK302+AK313+AK314+AK317+AK320+AK322+AK323+AK324+AK325+AK327+AK329+AK330+AK331+AK332+AK333+AK334+AK335+AK337+AK338+AK339+AK340+AK347+AK348+AK349+AK350+AK351+AK352+AK353+AK354+AK360+AK361+AK362+AK363+AK364+AK365+AK366+AK367+AK398+AK399+AK400+AK401+AK402+AK403+AK404+AK405</f>
        <v>183187.17386187532</v>
      </c>
      <c r="AL412" s="5">
        <f>AL12+AL13+AL24+AL26+AL27+AL39+AL40+AL41+AL42+AL43+AL44+AL45+AL46+AL47+AL48+AL54+AL60+AL61+AL62+AL63+AL64+AL65+AL66+AL67+AL68+AL69+AL70+AL71+AL72+AL73+AL117+AL118+AL119+AL120+AL121+AL122+AL123+AL124+AL125+AL126+AL127+AL128+AL129+AL130+AL131+AL132+AL133+AL134+AL135+AL136+AL160+AL162+AL163+AL164+AL165+AL166+AL167+AL168+AL169+AL170+AL172+AL188+AL189+AL190+AL198+AL206+AL214+AL217+AL218+AL219+AL220+AL221+AL222+AL223+AL224+AL228+AL230+AL236+AL247+AL248+AL249+AL250+AL251+AL252+AL253+AL254+AL255+AL256+AL257+AL258+AL259+AL260+AL261+AL262+AL263+AL264+AL265+AL266+AL267+AL268+AL269+AL270+AL271+AL286+AL287+AL288+AL289+AL290+AL291+AL292+AL293+AL294+AL295+AL296+AL297+AL298+AL299+AL300+AL301+AL302+AL313+AL314+AL317+AL320+AL322+AL323+AL324+AL325+AL327+AL329+AL330+AL331+AL332+AL333+AL334+AL335+AL337+AL338+AL339+AL340+AL347+AL348+AL349+AL350+AL351+AL352+AL353+AL354+AL360+AL361+AL362+AL363+AL364+AL365+AL366+AL367+AL398+AL399+AL400+AL401+AL402+AL403+AL404+AL405</f>
        <v>101108</v>
      </c>
      <c r="AM412" s="5"/>
      <c r="AN412" s="5">
        <f>AN12+AN13+AN24+AN26+AN27+AN39+AN40+AN41+AN42+AN43+AN44+AN45+AN46+AN47+AN48+AN54+AN60+AN61+AN62+AN63+AN64+AN65+AN66+AN67+AN68+AN69+AN70+AN71+AN72+AN73+AN117+AN118+AN119+AN120+AN121+AN122+AN123+AN124+AN125+AN126+AN127+AN128+AN129+AN130+AN131+AN132+AN133+AN134+AN135+AN136+AN160+AN162+AN163+AN164+AN165+AN166+AN167+AN168+AN169+AN170+AN172+AN188+AN189+AN190+AN198+AN206+AN214+AN217+AN218+AN219+AN220+AN221+AN222+AN223+AN224+AN228+AN230+AN236+AN247+AN248+AN249+AN250+AN251+AN252+AN253+AN254+AN255+AN256+AN257+AN258+AN259+AN260+AN261+AN262+AN263+AN264+AN265+AN266+AN267+AN268+AN269+AN270+AN271+AN286+AN287+AN288+AN289+AN290+AN291+AN292+AN293+AN294+AN295+AN296+AN297+AN298+AN299+AN300+AN301+AN302+AN313+AN314+AN317+AN320+AN322+AN323+AN324+AN325+AN327+AN329+AN330+AN331+AN332+AN333+AN334+AN335+AN337+AN338+AN339+AN340+AN347+AN348+AN349+AN350+AN351+AN352+AN353+AN354+AN360+AN361+AN362+AN363+AN364+AN365+AN366+AN367+AN398+AN399+AN400+AN401+AN402+AN403+AN404+AN405</f>
        <v>69401.866017043227</v>
      </c>
      <c r="AO412" s="5">
        <f>AO12+AO13+AO24+AO26+AO27+AO39+AO40+AO41+AO42+AO43+AO44+AO45+AO46+AO47+AO48+AO54+AO60+AO61+AO62+AO63+AO64+AO65+AO66+AO67+AO68+AO69+AO70+AO71+AO72+AO73+AO117+AO118+AO119+AO120+AO121+AO122+AO123+AO124+AO125+AO126+AO127+AO128+AO129+AO130+AO131+AO132+AO133+AO134+AO135+AO136+AO160+AO162+AO163+AO164+AO165+AO166+AO167+AO168+AO169+AO170+AO172+AO188+AO189+AO190+AO198+AO206+AO214+AO217+AO218+AO219+AO220+AO221+AO222+AO223+AO224+AO228+AO230+AO236+AO247+AO248+AO249+AO250+AO251+AO252+AO253+AO254+AO255+AO256+AO257+AO258+AO259+AO260+AO261+AO262+AO263+AO264+AO265+AO266+AO267+AO268+AO269+AO270+AO271+AO286+AO287+AO288+AO289+AO290+AO291+AO292+AO293+AO294+AO295+AO296+AO297+AO298+AO299+AO300+AO301+AO302+AO313+AO314+AO317+AO320+AO322+AO323+AO324+AO325+AO327+AO329+AO330+AO331+AO332+AO333+AO334+AO335+AO337+AO338+AO339+AO340+AO347+AO348+AO349+AO350+AO351+AO352+AO353+AO354+AO360+AO361+AO362+AO363+AO364+AO365+AO366+AO367+AO398+AO399+AO400+AO401+AO402+AO403+AO404+AO405</f>
        <v>3796</v>
      </c>
      <c r="AP412" s="5"/>
      <c r="AQ412" s="5">
        <f>AQ12+AQ13+AQ24+AQ26+AQ27+AQ39+AQ40+AQ41+AQ42+AQ43+AQ44+AQ45+AQ46+AQ47+AQ48+AQ54+AQ60+AQ61+AQ62+AQ63+AQ64+AQ65+AQ66+AQ67+AQ68+AQ69+AQ70+AQ71+AQ72+AQ73+AQ117+AQ118+AQ119+AQ120+AQ121+AQ122+AQ123+AQ124+AQ125+AQ126+AQ127+AQ128+AQ129+AQ130+AQ131+AQ132+AQ133+AQ134+AQ135+AQ136+AQ160+AQ162+AQ163+AQ164+AQ165+AQ166+AQ167+AQ168+AQ169+AQ170+AQ172+AQ188+AQ189+AQ190+AQ198+AQ206+AQ214+AQ217+AQ218+AQ219+AQ220+AQ221+AQ222+AQ223+AQ224+AQ228+AQ230+AQ236+AQ247+AQ248+AQ249+AQ250+AQ251+AQ252+AQ253+AQ254+AQ255+AQ256+AQ257+AQ258+AQ259+AQ260+AQ261+AQ262+AQ263+AQ264+AQ265+AQ266+AQ267+AQ268+AQ269+AQ270+AQ271+AQ286+AQ287+AQ288+AQ289+AQ290+AQ291+AQ292+AQ293+AQ294+AQ295+AQ296+AQ297+AQ298+AQ299+AQ300+AQ301+AQ302+AQ313+AQ314+AQ317+AQ320+AQ322+AQ323+AQ324+AQ325+AQ327+AQ329+AQ330+AQ331+AQ332+AQ333+AQ334+AQ335+AQ337+AQ338+AQ339+AQ340+AQ347+AQ348+AQ349+AQ350+AQ351+AQ352+AQ353+AQ354+AQ360+AQ361+AQ362+AQ363+AQ364+AQ365+AQ366+AQ367+AQ398+AQ399+AQ400+AQ401+AQ402+AQ403+AQ404+AQ405</f>
        <v>26537.02130347526</v>
      </c>
      <c r="AR412" s="5">
        <f>AR12+AR13+AR24+AR26+AR27+AR39+AR40+AR41+AR42+AR43+AR44+AR45+AR46+AR47+AR48+AR54+AR60+AR61+AR62+AR63+AR64+AR65+AR66+AR67+AR68+AR69+AR70+AR71+AR72+AR73+AR117+AR118+AR119+AR120+AR121+AR122+AR123+AR124+AR125+AR126+AR127+AR128+AR129+AR130+AR131+AR132+AR133+AR134+AR135+AR136+AR160+AR162+AR163+AR164+AR165+AR166+AR167+AR168+AR169+AR170+AR172+AR188+AR189+AR190+AR198+AR206+AR214+AR217+AR218+AR219+AR220+AR221+AR222+AR223+AR224+AR228+AR230+AR236+AR247+AR248+AR249+AR250+AR251+AR252+AR253+AR254+AR255+AR256+AR257+AR258+AR259+AR260+AR261+AR262+AR263+AR264+AR265+AR266+AR267+AR268+AR269+AR270+AR271+AR286+AR287+AR288+AR289+AR290+AR291+AR292+AR293+AR294+AR295+AR296+AR297+AR298+AR299+AR300+AR301+AR302+AR313+AR314+AR317+AR320+AR322+AR323+AR324+AR325+AR327+AR329+AR330+AR331+AR332+AR333+AR334+AR335+AR337+AR338+AR339+AR340+AR347+AR348+AR349+AR350+AR351+AR352+AR353+AR354+AR360+AR361+AR362+AR363+AR364+AR365+AR366+AR367+AR398+AR399+AR400+AR401+AR402+AR403+AR404+AR405</f>
        <v>6744</v>
      </c>
      <c r="AS412" s="5"/>
      <c r="AT412" s="5">
        <f>AT12+AT13+AT24+AT26+AT27+AT39+AT40+AT41+AT42+AT43+AT44+AT45+AT46+AT47+AT48+AT54+AT60+AT61+AT62+AT63+AT64+AT65+AT66+AT67+AT68+AT69+AT70+AT71+AT72+AT73+AT117+AT118+AT119+AT120+AT121+AT122+AT123+AT124+AT125+AT126+AT127+AT128+AT129+AT130+AT131+AT132+AT133+AT134+AT135+AT136+AT160+AT162+AT163+AT164+AT165+AT166+AT167+AT168+AT169+AT170+AT172+AT188+AT189+AT190+AT198+AT206+AT214+AT217+AT218+AT219+AT220+AT221+AT222+AT223+AT224+AT228+AT230+AT236+AT247+AT248+AT249+AT250+AT251+AT252+AT253+AT254+AT255+AT256+AT257+AT258+AT259+AT260+AT261+AT262+AT263+AT264+AT265+AT266+AT267+AT268+AT269+AT270+AT271+AT286+AT287+AT288+AT289+AT290+AT291+AT292+AT293+AT294+AT295+AT296+AT297+AT298+AT299+AT300+AT301+AT302+AT313+AT314+AT317+AT320+AT322+AT323+AT324+AT325+AT327+AT329+AT330+AT331+AT332+AT333+AT334+AT335+AT337+AT338+AT339+AT340+AT347+AT348+AT349+AT350+AT351+AT352+AT353+AT354+AT360+AT361+AT362+AT363+AT364+AT365+AT366+AT367+AT398+AT399+AT400+AT401+AT402+AT403+AT404+AT405</f>
        <v>199160.03318845903</v>
      </c>
      <c r="AU412" s="5">
        <f>AU12+AU13+AU24+AU26+AU27+AU39+AU40+AU41+AU42+AU43+AU44+AU45+AU46+AU47+AU48+AU54+AU60+AU61+AU62+AU63+AU64+AU65+AU66+AU67+AU68+AU69+AU70+AU71+AU72+AU73+AU117+AU118+AU119+AU120+AU121+AU122+AU123+AU124+AU125+AU126+AU127+AU128+AU129+AU130+AU131+AU132+AU133+AU134+AU135+AU136+AU160+AU162+AU163+AU164+AU165+AU166+AU167+AU168+AU169+AU170+AU172+AU188+AU189+AU190+AU198+AU206+AU214+AU217+AU218+AU219+AU220+AU221+AU222+AU223+AU224+AU228+AU230+AU236+AU247+AU248+AU249+AU250+AU251+AU252+AU253+AU254+AU255+AU256+AU257+AU258+AU259+AU260+AU261+AU262+AU263+AU264+AU265+AU266+AU267+AU268+AU269+AU270+AU271+AU286+AU287+AU288+AU289+AU290+AU291+AU292+AU293+AU294+AU295+AU296+AU297+AU298+AU299+AU300+AU301+AU302+AU313+AU314+AU317+AU320+AU322+AU323+AU324+AU325+AU327+AU329+AU330+AU331+AU332+AU333+AU334+AU335+AU337+AU338+AU339+AU340+AU347+AU348+AU349+AU350+AU351+AU352+AU353+AU354+AU360+AU361+AU362+AU363+AU364+AU365+AU366+AU367+AU398+AU399+AU400+AU401+AU402+AU403+AU404+AU405</f>
        <v>128566</v>
      </c>
      <c r="AV412" s="5"/>
      <c r="AW412" s="5">
        <f>AW12+AW13+AW24+AW26+AW27+AW39+AW40+AW41+AW42+AW43+AW44+AW45+AW46+AW47+AW48+AW54+AW60+AW61+AW62+AW63+AW64+AW65+AW66+AW67+AW68+AW69+AW70+AW71+AW72+AW73+AW117+AW118+AW119+AW120+AW121+AW122+AW123+AW124+AW125+AW126+AW127+AW128+AW129+AW130+AW131+AW132+AW133+AW134+AW135+AW136+AW160+AW162+AW163+AW164+AW165+AW166+AW167+AW168+AW169+AW170+AW172+AW188+AW189+AW190+AW198+AW206+AW214+AW217+AW218+AW219+AW220+AW221+AW222+AW223+AW224+AW228+AW230+AW236+AW247+AW248+AW249+AW250+AW251+AW252+AW253+AW254+AW255+AW256+AW257+AW258+AW259+AW260+AW261+AW262+AW263+AW264+AW265+AW266+AW267+AW268+AW269+AW270+AW271+AW286+AW287+AW288+AW289+AW290+AW291+AW292+AW293+AW294+AW295+AW296+AW297+AW298+AW299+AW300+AW301+AW302+AW313+AW314+AW317+AW320+AW322+AW323+AW324+AW325+AW327+AW329+AW330+AW331+AW332+AW333+AW334+AW335+AW337+AW338+AW339+AW340+AW347+AW348+AW349+AW350+AW351+AW352+AW353+AW354+AW360+AW361+AW362+AW363+AW364+AW365+AW366+AW367+AW398+AW399+AW400+AW401+AW402+AW403+AW404+AW405</f>
        <v>18919.339502426828</v>
      </c>
      <c r="AX412" s="5">
        <f>AX12+AX13+AX24+AX26+AX27+AX39+AX40+AX41+AX42+AX43+AX44+AX45+AX46+AX47+AX48+AX54+AX60+AX61+AX62+AX63+AX64+AX65+AX66+AX67+AX68+AX69+AX70+AX71+AX72+AX73+AX117+AX118+AX119+AX120+AX121+AX122+AX123+AX124+AX125+AX126+AX127+AX128+AX129+AX130+AX131+AX132+AX133+AX134+AX135+AX136+AX160+AX162+AX163+AX164+AX165+AX166+AX167+AX168+AX169+AX170+AX172+AX188+AX189+AX190+AX198+AX206+AX214+AX217+AX218+AX219+AX220+AX221+AX222+AX223+AX224+AX228+AX230+AX236+AX247+AX248+AX249+AX250+AX251+AX252+AX253+AX254+AX255+AX256+AX257+AX258+AX259+AX260+AX261+AX262+AX263+AX264+AX265+AX266+AX267+AX268+AX269+AX270+AX271+AX286+AX287+AX288+AX289+AX290+AX291+AX292+AX293+AX294+AX295+AX296+AX297+AX298+AX299+AX300+AX301+AX302+AX313+AX314+AX317+AX320+AX322+AX323+AX324+AX325+AX327+AX329+AX330+AX331+AX332+AX333+AX334+AX335+AX337+AX338+AX339+AX340+AX347+AX348+AX349+AX350+AX351+AX352+AX353+AX354+AX360+AX361+AX362+AX363+AX364+AX365+AX366+AX367+AX398+AX399+AX400+AX401+AX402+AX403+AX404+AX405</f>
        <v>13564</v>
      </c>
      <c r="AY412" s="5"/>
      <c r="AZ412" s="5">
        <f>AZ12+AZ13+AZ24+AZ26+AZ27+AZ39+AZ40+AZ41+AZ42+AZ43+AZ44+AZ45+AZ46+AZ47+AZ48+AZ54+AZ60+AZ61+AZ62+AZ63+AZ64+AZ65+AZ66+AZ67+AZ68+AZ69+AZ70+AZ71+AZ72+AZ73+AZ117+AZ118+AZ119+AZ120+AZ121+AZ122+AZ123+AZ124+AZ125+AZ126+AZ127+AZ128+AZ129+AZ130+AZ131+AZ132+AZ133+AZ134+AZ135+AZ136+AZ160+AZ162+AZ163+AZ164+AZ165+AZ166+AZ167+AZ168+AZ169+AZ170+AZ172+AZ188+AZ189+AZ190+AZ198+AZ206+AZ214+AZ217+AZ218+AZ219+AZ220+AZ221+AZ222+AZ223+AZ224+AZ228+AZ230+AZ236+AZ247+AZ248+AZ249+AZ250+AZ251+AZ252+AZ253+AZ254+AZ255+AZ256+AZ257+AZ258+AZ259+AZ260+AZ261+AZ262+AZ263+AZ264+AZ265+AZ266+AZ267+AZ268+AZ269+AZ270+AZ271+AZ286+AZ287+AZ288+AZ289+AZ290+AZ291+AZ292+AZ293+AZ294+AZ295+AZ296+AZ297+AZ298+AZ299+AZ300+AZ301+AZ302+AZ313+AZ314+AZ317+AZ320+AZ322+AZ323+AZ324+AZ325+AZ327+AZ329+AZ330+AZ331+AZ332+AZ333+AZ334+AZ335+AZ337+AZ338+AZ339+AZ340+AZ347+AZ348+AZ349+AZ350+AZ351+AZ352+AZ353+AZ354+AZ360+AZ361+AZ362+AZ363+AZ364+AZ365+AZ366+AZ367+AZ398+AZ399+AZ400+AZ401+AZ402+AZ403+AZ404+AZ405</f>
        <v>1182584.5135122405</v>
      </c>
      <c r="BA412" s="5">
        <f>BA12+BA13+BA24+BA26+BA27+BA39+BA40+BA41+BA42+BA43+BA44+BA45+BA46+BA47+BA48+BA54+BA60+BA61+BA62+BA63+BA64+BA65+BA66+BA67+BA68+BA69+BA70+BA71+BA72+BA73+BA117+BA118+BA119+BA120+BA121+BA122+BA123+BA124+BA125+BA126+BA127+BA128+BA129+BA130+BA131+BA132+BA133+BA134+BA135+BA136+BA160+BA162+BA163+BA164+BA165+BA166+BA167+BA168+BA169+BA170+BA172+BA188+BA189+BA190+BA198+BA206+BA214+BA217+BA218+BA219+BA220+BA221+BA222+BA223+BA224+BA228+BA230+BA236+BA247+BA248+BA249+BA250+BA251+BA252+BA253+BA254+BA255+BA256+BA257+BA258+BA259+BA260+BA261+BA262+BA263+BA264+BA265+BA266+BA267+BA268+BA269+BA270+BA271+BA286+BA287+BA288+BA289+BA290+BA291+BA292+BA293+BA294+BA295+BA296+BA297+BA298+BA299+BA300+BA301+BA302+BA313+BA314+BA317+BA320+BA322+BA323+BA324+BA325+BA327+BA329+BA330+BA331+BA332+BA333+BA334+BA335+BA337+BA338+BA339+BA340+BA347+BA348+BA349+BA350+BA351+BA352+BA353+BA354+BA360+BA361+BA362+BA363+BA364+BA365+BA366+BA367+BA398+BA399+BA400+BA401+BA402+BA403+BA404+BA405</f>
        <v>483530.79</v>
      </c>
      <c r="BB412" s="5">
        <f>BB12+BB13+BB24+BB26+BB27+BB39+BB40+BB41+BB42+BB43+BB44+BB45+BB46+BB47+BB48+BB54+BB60+BB61+BB62+BB63+BB64+BB65+BB66+BB67+BB68+BB69+BB70+BB71+BB72+BB73+BB117+BB118+BB119+BB120+BB121+BB122+BB123+BB124+BB125+BB126+BB127+BB128+BB129+BB130+BB131+BB132+BB133+BB134+BB135+BB136+BB160+BB162+BB163+BB164+BB165+BB166+BB167+BB168+BB169+BB170+BB172+BB188+BB189+BB190+BB198+BB206+BB214+BB217+BB218+BB219+BB220+BB221+BB222+BB223+BB224+BB228+BB230+BB236+BB247+BB248+BB249+BB250+BB251+BB252+BB253+BB254+BB255+BB256+BB257+BB258+BB259+BB260+BB261+BB262+BB263+BB264+BB265+BB266+BB267+BB268+BB269+BB270+BB271+BB286+BB287+BB288+BB289+BB290+BB291+BB292+BB293+BB294+BB295+BB296+BB297+BB298+BB299+BB300+BB301+BB302+BB313+BB314+BB317+BB320+BB322+BB323+BB324+BB325+BB327+BB329+BB330+BB331+BB332+BB333+BB334+BB335+BB337+BB338+BB339+BB340+BB347+BB348+BB349+BB350+BB351+BB352+BB353+BB354+BB360+BB361+BB362+BB363+BB364+BB365+BB366+BB367+BB398+BB399+BB400+BB401+BB402+BB403+BB404+BB405</f>
        <v>-699053.72351224022</v>
      </c>
    </row>
    <row r="413" spans="1:59" ht="15.6" x14ac:dyDescent="0.3">
      <c r="A413" s="3"/>
      <c r="B413" s="488" t="s">
        <v>988</v>
      </c>
      <c r="C413" s="489"/>
      <c r="D413" s="490"/>
      <c r="E413" s="3"/>
      <c r="F413" s="5">
        <f>F11+F14+F15+F16+F17+F18+F19+F25+F28+F29+F30+F31+F32+F33+F34+F35+F36+F37+F38+F49+F50+F51+F52+F53+F55+F56+F89+F90+F91+F101+F102+F103+F137+F138+F139+F140+F141+F142+F143+F144+F145+F146+F147+F148+F149+F152+F153+F154+F155+F156+F157+F158+F159+F191+F192+F193+F194+F195+F196+F197+F199+F200+F201+F202+F203+F204+F205+F207+F208+F209+F210+F211+F212+F213+F272+F273+F274+F275+F276+F277+F278+F279+F280+F281+F282+F304+F305+F318+F319+F321+F326+F328+F336+F341+F342+F343+F344+F345+F346+F368+F369+F370+F371+F372+F373+F374+F375+F376+F377+F378+F379+F380+F381+F382+F383+F384+F385+F386+F387+F388+F389+F390+F391+F392+F393+F394+F395+F396+F397</f>
        <v>3895108.3185451473</v>
      </c>
      <c r="G413" s="5">
        <f t="shared" ref="G413:BB413" si="33">G11+G14+G15+G16+G17+G18+G19+G25+G28+G29+G30+G31+G32+G33+G34+G35+G36+G37+G38+G49+G50+G51+G52+G53+G55+G56+G89+G90+G91+G101+G102+G103+G137+G138+G139+G140+G141+G142+G143+G144+G145+G146+G147+G148+G149+G152+G153+G154+G155+G156+G157+G158+G159+G191+G192+G193+G194+G195+G196+G197+G199+G200+G201+G202+G203+G204+G205+G207+G208+G209+G210+G211+G212+G213+G272+G273+G274+G275+G276+G277+G278+G279+G280+G281+G282+G304+G305+G318+G319+G321+G326+G328+G336+G341+G342+G343+G344+G345+G346+G368+G369+G370+G371+G372+G373+G374+G375+G376+G377+G378+G379+G380+G381+G382+G383+G384+G385+G386+G387+G388+G389+G390+G391+G392+G393+G394+G395+G396+G397</f>
        <v>3076276.7691132156</v>
      </c>
      <c r="H413" s="5">
        <f t="shared" si="33"/>
        <v>-818831.54943193146</v>
      </c>
      <c r="I413" s="5">
        <f t="shared" si="33"/>
        <v>3626.9499999999994</v>
      </c>
      <c r="J413" s="5">
        <f t="shared" si="33"/>
        <v>872881.49999999988</v>
      </c>
      <c r="K413" s="5">
        <f t="shared" si="33"/>
        <v>0</v>
      </c>
      <c r="L413" s="5">
        <f t="shared" si="33"/>
        <v>10</v>
      </c>
      <c r="M413" s="5">
        <f t="shared" si="33"/>
        <v>421989.19</v>
      </c>
      <c r="N413" s="5">
        <f t="shared" si="33"/>
        <v>0</v>
      </c>
      <c r="O413" s="5">
        <f t="shared" si="33"/>
        <v>94.4</v>
      </c>
      <c r="P413" s="5">
        <f t="shared" si="33"/>
        <v>19440.84</v>
      </c>
      <c r="Q413" s="5">
        <f t="shared" si="33"/>
        <v>0</v>
      </c>
      <c r="R413" s="5">
        <f t="shared" si="33"/>
        <v>99</v>
      </c>
      <c r="S413" s="5">
        <f t="shared" si="33"/>
        <v>457412.17000000004</v>
      </c>
      <c r="T413" s="5">
        <f t="shared" si="33"/>
        <v>0</v>
      </c>
      <c r="U413" s="5">
        <f t="shared" si="33"/>
        <v>0</v>
      </c>
      <c r="V413" s="5">
        <f t="shared" si="33"/>
        <v>0</v>
      </c>
      <c r="W413" s="5">
        <f t="shared" si="33"/>
        <v>299.95000000000005</v>
      </c>
      <c r="X413" s="5">
        <f t="shared" si="33"/>
        <v>128310.94911321635</v>
      </c>
      <c r="Y413" s="5">
        <f t="shared" si="33"/>
        <v>579981.56999999995</v>
      </c>
      <c r="Z413" s="5">
        <f t="shared" si="33"/>
        <v>0</v>
      </c>
      <c r="AA413" s="5">
        <f t="shared" si="33"/>
        <v>6806</v>
      </c>
      <c r="AB413" s="5">
        <f t="shared" si="33"/>
        <v>114905.80999999998</v>
      </c>
      <c r="AC413" s="5">
        <f t="shared" si="33"/>
        <v>199074.34000000003</v>
      </c>
      <c r="AD413" s="5">
        <f t="shared" si="33"/>
        <v>275474.40000000002</v>
      </c>
      <c r="AE413" s="5">
        <f t="shared" si="33"/>
        <v>246133.5535571574</v>
      </c>
      <c r="AF413" s="5">
        <f t="shared" si="33"/>
        <v>88383.14</v>
      </c>
      <c r="AG413" s="5">
        <f t="shared" si="33"/>
        <v>0</v>
      </c>
      <c r="AH413" s="5">
        <f t="shared" si="33"/>
        <v>318248.34783417993</v>
      </c>
      <c r="AI413" s="5">
        <f t="shared" si="33"/>
        <v>208886.73</v>
      </c>
      <c r="AJ413" s="5">
        <f t="shared" si="33"/>
        <v>0</v>
      </c>
      <c r="AK413" s="5">
        <f t="shared" si="33"/>
        <v>154609.81871995018</v>
      </c>
      <c r="AL413" s="5">
        <f t="shared" si="33"/>
        <v>161102.89000000001</v>
      </c>
      <c r="AM413" s="5">
        <f t="shared" si="33"/>
        <v>0</v>
      </c>
      <c r="AN413" s="5">
        <f t="shared" si="33"/>
        <v>116975.59016002771</v>
      </c>
      <c r="AO413" s="5">
        <f t="shared" si="33"/>
        <v>40912.67</v>
      </c>
      <c r="AP413" s="5">
        <f t="shared" si="33"/>
        <v>0</v>
      </c>
      <c r="AQ413" s="5">
        <f t="shared" si="33"/>
        <v>100248.29187770629</v>
      </c>
      <c r="AR413" s="5">
        <f t="shared" si="33"/>
        <v>20065</v>
      </c>
      <c r="AS413" s="5">
        <f t="shared" si="33"/>
        <v>0</v>
      </c>
      <c r="AT413" s="5">
        <f t="shared" si="33"/>
        <v>188373.8624822337</v>
      </c>
      <c r="AU413" s="5">
        <f t="shared" si="33"/>
        <v>54753</v>
      </c>
      <c r="AV413" s="5">
        <f t="shared" si="33"/>
        <v>0</v>
      </c>
      <c r="AW413" s="5">
        <f t="shared" si="33"/>
        <v>15208.341273161972</v>
      </c>
      <c r="AX413" s="5">
        <f t="shared" si="33"/>
        <v>21803.81</v>
      </c>
      <c r="AY413" s="5">
        <f t="shared" si="33"/>
        <v>0</v>
      </c>
      <c r="AZ413" s="5">
        <f t="shared" si="33"/>
        <v>1139797.8059044164</v>
      </c>
      <c r="BA413" s="5">
        <f t="shared" si="33"/>
        <v>595907.23999999976</v>
      </c>
      <c r="BB413" s="5">
        <f t="shared" si="33"/>
        <v>-543890.56590441696</v>
      </c>
    </row>
    <row r="414" spans="1:59" ht="15.6" x14ac:dyDescent="0.3">
      <c r="B414" s="273"/>
      <c r="C414" s="9"/>
      <c r="D414" s="103"/>
      <c r="F414" s="8">
        <f>F411+F412+F413</f>
        <v>11805093.420223625</v>
      </c>
      <c r="G414" s="8">
        <f t="shared" ref="G414:Y414" si="34">G411+G412+G413</f>
        <v>11711511.293233566</v>
      </c>
      <c r="H414" s="8">
        <f t="shared" si="34"/>
        <v>-93582.126990063232</v>
      </c>
      <c r="I414" s="8">
        <f t="shared" si="34"/>
        <v>7084.7999999999993</v>
      </c>
      <c r="J414" s="8">
        <f t="shared" si="34"/>
        <v>1651542.6600000001</v>
      </c>
      <c r="K414" s="8"/>
      <c r="L414" s="8">
        <f t="shared" si="34"/>
        <v>55</v>
      </c>
      <c r="M414" s="8">
        <f t="shared" si="34"/>
        <v>3099208.34</v>
      </c>
      <c r="N414" s="8"/>
      <c r="O414" s="8">
        <f t="shared" si="34"/>
        <v>2029.5</v>
      </c>
      <c r="P414" s="8">
        <f t="shared" si="34"/>
        <v>458047.9</v>
      </c>
      <c r="Q414" s="8"/>
      <c r="R414" s="8">
        <f t="shared" si="34"/>
        <v>270</v>
      </c>
      <c r="S414" s="8">
        <f t="shared" si="34"/>
        <v>1750414.88</v>
      </c>
      <c r="T414" s="8"/>
      <c r="U414" s="8">
        <f t="shared" si="34"/>
        <v>49570</v>
      </c>
      <c r="V414" s="8"/>
      <c r="W414" s="8">
        <f t="shared" si="34"/>
        <v>806.95</v>
      </c>
      <c r="X414" s="8">
        <f t="shared" si="34"/>
        <v>462810.54323356599</v>
      </c>
      <c r="Y414" s="8">
        <f t="shared" si="34"/>
        <v>1895797.4700000002</v>
      </c>
      <c r="Z414" s="8"/>
      <c r="AA414" s="8">
        <f t="shared" ref="AA414:BB414" si="35">AA411+AA412+AA413</f>
        <v>144352</v>
      </c>
      <c r="AB414" s="8">
        <f t="shared" si="35"/>
        <v>249117.81999999995</v>
      </c>
      <c r="AC414" s="8">
        <f t="shared" si="35"/>
        <v>988893.49</v>
      </c>
      <c r="AD414" s="8">
        <f t="shared" si="35"/>
        <v>961756.19000000006</v>
      </c>
      <c r="AE414" s="8">
        <f t="shared" si="35"/>
        <v>747504.50598320714</v>
      </c>
      <c r="AF414" s="8">
        <f t="shared" si="35"/>
        <v>320547.19</v>
      </c>
      <c r="AG414" s="8"/>
      <c r="AH414" s="8">
        <f t="shared" si="35"/>
        <v>965715.05606054887</v>
      </c>
      <c r="AI414" s="8">
        <f t="shared" si="35"/>
        <v>618835.74</v>
      </c>
      <c r="AJ414" s="8"/>
      <c r="AK414" s="8">
        <f t="shared" si="35"/>
        <v>455974.73065836774</v>
      </c>
      <c r="AL414" s="8">
        <f t="shared" si="35"/>
        <v>344778.66000000003</v>
      </c>
      <c r="AM414" s="8"/>
      <c r="AN414" s="8">
        <f t="shared" si="35"/>
        <v>373053.26258478692</v>
      </c>
      <c r="AO414" s="8">
        <f t="shared" si="35"/>
        <v>225877.7</v>
      </c>
      <c r="AP414" s="8"/>
      <c r="AQ414" s="8">
        <f t="shared" si="35"/>
        <v>263687.50479971978</v>
      </c>
      <c r="AR414" s="8">
        <f t="shared" si="35"/>
        <v>54428</v>
      </c>
      <c r="AS414" s="8"/>
      <c r="AT414" s="8">
        <f t="shared" si="35"/>
        <v>562894.35207112413</v>
      </c>
      <c r="AU414" s="8">
        <f t="shared" si="35"/>
        <v>224951</v>
      </c>
      <c r="AV414" s="8"/>
      <c r="AW414" s="8">
        <f t="shared" si="35"/>
        <v>73375.217895761991</v>
      </c>
      <c r="AX414" s="8">
        <f t="shared" si="35"/>
        <v>67786.349999999991</v>
      </c>
      <c r="AY414" s="8"/>
      <c r="AZ414" s="8">
        <f t="shared" si="35"/>
        <v>3442204.6300535155</v>
      </c>
      <c r="BA414" s="8">
        <f t="shared" si="35"/>
        <v>1857204.6399999997</v>
      </c>
      <c r="BB414" s="8">
        <f t="shared" si="35"/>
        <v>-1584999.9900535163</v>
      </c>
      <c r="BD414" s="1"/>
    </row>
    <row r="416" spans="1:59" x14ac:dyDescent="0.3">
      <c r="C416" s="395"/>
      <c r="D416" s="395"/>
    </row>
  </sheetData>
  <autoFilter ref="A10:BG406" xr:uid="{00000000-0009-0000-0000-000003000000}"/>
  <mergeCells count="26">
    <mergeCell ref="D7:D10"/>
    <mergeCell ref="C7:C10"/>
    <mergeCell ref="B7:B10"/>
    <mergeCell ref="A7:A10"/>
    <mergeCell ref="U9:V9"/>
    <mergeCell ref="F8:F10"/>
    <mergeCell ref="E7:E10"/>
    <mergeCell ref="G8:G10"/>
    <mergeCell ref="F7:AD7"/>
    <mergeCell ref="I8:AD8"/>
    <mergeCell ref="H8:H10"/>
    <mergeCell ref="I9:K9"/>
    <mergeCell ref="L9:N9"/>
    <mergeCell ref="O9:Q9"/>
    <mergeCell ref="W9:X9"/>
    <mergeCell ref="R9:T9"/>
    <mergeCell ref="Y9:Z9"/>
    <mergeCell ref="AW8:AY9"/>
    <mergeCell ref="AZ8:BB9"/>
    <mergeCell ref="AE7:BB7"/>
    <mergeCell ref="AE8:AG9"/>
    <mergeCell ref="AH8:AJ9"/>
    <mergeCell ref="AK8:AM9"/>
    <mergeCell ref="AN8:AP9"/>
    <mergeCell ref="AQ8:AS9"/>
    <mergeCell ref="AT8:AV9"/>
  </mergeCells>
  <conditionalFormatting sqref="A165">
    <cfRule type="duplicateValues" dxfId="8" priority="1"/>
  </conditionalFormatting>
  <conditionalFormatting sqref="BF165">
    <cfRule type="duplicateValues" dxfId="7" priority="2"/>
  </conditionalFormatting>
  <pageMargins left="0" right="0" top="0.19685039370078741" bottom="0.15748031496062992" header="0.31496062992125984" footer="0.31496062992125984"/>
  <pageSetup paperSize="9" scale="60" orientation="landscape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56762-9F07-4C94-9F1C-0879390F71F8}">
  <dimension ref="A1:BH419"/>
  <sheetViews>
    <sheetView topLeftCell="AJ388" workbookViewId="0">
      <selection activeCell="A6" sqref="A6:XFD6"/>
    </sheetView>
  </sheetViews>
  <sheetFormatPr defaultColWidth="8.6640625" defaultRowHeight="13.8" x14ac:dyDescent="0.3"/>
  <cols>
    <col min="1" max="1" width="27.6640625" style="1" customWidth="1"/>
    <col min="2" max="2" width="33.88671875" style="272" customWidth="1"/>
    <col min="3" max="3" width="8.6640625" style="1"/>
    <col min="4" max="4" width="12.5546875" style="99" customWidth="1"/>
    <col min="5" max="5" width="15.44140625" style="1" customWidth="1"/>
    <col min="6" max="8" width="13.33203125" style="7" customWidth="1"/>
    <col min="9" max="9" width="12.33203125" style="7" customWidth="1"/>
    <col min="10" max="10" width="19.88671875" style="7" customWidth="1"/>
    <col min="11" max="11" width="15.6640625" style="148" customWidth="1"/>
    <col min="12" max="12" width="7.109375" style="7" customWidth="1"/>
    <col min="13" max="13" width="8.44140625" style="7" customWidth="1"/>
    <col min="14" max="14" width="15.33203125" style="7" customWidth="1"/>
    <col min="15" max="15" width="6.33203125" style="7" customWidth="1"/>
    <col min="16" max="16" width="9.33203125" style="7" customWidth="1"/>
    <col min="17" max="17" width="14.6640625" style="332" customWidth="1"/>
    <col min="18" max="18" width="6.33203125" style="7" customWidth="1"/>
    <col min="19" max="19" width="8.6640625" style="7"/>
    <col min="20" max="20" width="16" style="146" customWidth="1"/>
    <col min="21" max="21" width="8.6640625" style="7"/>
    <col min="22" max="22" width="12.88671875" style="7" customWidth="1"/>
    <col min="23" max="23" width="6.33203125" style="7" customWidth="1"/>
    <col min="24" max="24" width="9.44140625" style="7" customWidth="1"/>
    <col min="25" max="25" width="9.109375" style="7" customWidth="1"/>
    <col min="26" max="26" width="11.33203125" style="7" customWidth="1"/>
    <col min="27" max="27" width="8.33203125" style="7" customWidth="1"/>
    <col min="28" max="28" width="11.33203125" style="7" customWidth="1"/>
    <col min="29" max="29" width="9.44140625" style="7" customWidth="1"/>
    <col min="30" max="32" width="8.6640625" style="7"/>
    <col min="33" max="33" width="12.109375" style="7" customWidth="1"/>
    <col min="34" max="35" width="8.6640625" style="7"/>
    <col min="36" max="36" width="16" style="7" customWidth="1"/>
    <col min="37" max="38" width="8.6640625" style="7"/>
    <col min="39" max="39" width="14" style="7" customWidth="1"/>
    <col min="40" max="41" width="8.6640625" style="7"/>
    <col min="42" max="42" width="9.88671875" style="7" customWidth="1"/>
    <col min="43" max="44" width="8.6640625" style="7"/>
    <col min="45" max="45" width="11.33203125" style="7" customWidth="1"/>
    <col min="46" max="47" width="8.6640625" style="7"/>
    <col min="48" max="48" width="11.5546875" style="7" customWidth="1"/>
    <col min="49" max="50" width="8.6640625" style="7"/>
    <col min="51" max="51" width="12" style="7" customWidth="1"/>
    <col min="52" max="52" width="9.88671875" style="7" customWidth="1"/>
    <col min="53" max="53" width="10.6640625" style="7" customWidth="1"/>
    <col min="54" max="54" width="10.88671875" style="7" customWidth="1"/>
    <col min="55" max="55" width="8.6640625" style="1"/>
    <col min="56" max="56" width="8.6640625" style="2"/>
    <col min="57" max="57" width="8.6640625" style="1"/>
    <col min="58" max="58" width="26.88671875" style="1" customWidth="1"/>
    <col min="59" max="59" width="11" style="1" customWidth="1"/>
    <col min="60" max="16384" width="8.6640625" style="1"/>
  </cols>
  <sheetData>
    <row r="1" spans="1:59" x14ac:dyDescent="0.3">
      <c r="A1" s="1" t="s">
        <v>0</v>
      </c>
    </row>
    <row r="3" spans="1:59" ht="17.399999999999999" x14ac:dyDescent="0.3">
      <c r="A3" s="25" t="s">
        <v>1025</v>
      </c>
      <c r="J3" s="50" t="s">
        <v>1091</v>
      </c>
      <c r="K3" s="773" t="s">
        <v>1092</v>
      </c>
    </row>
    <row r="4" spans="1:59" x14ac:dyDescent="0.3">
      <c r="AF4" s="149"/>
      <c r="AI4" s="149"/>
      <c r="AR4" s="158"/>
      <c r="AU4" s="158"/>
    </row>
    <row r="5" spans="1:59" x14ac:dyDescent="0.3">
      <c r="AA5" s="774" t="s">
        <v>1125</v>
      </c>
      <c r="AC5" s="774" t="s">
        <v>1126</v>
      </c>
    </row>
    <row r="6" spans="1:59" s="804" customFormat="1" ht="15.6" x14ac:dyDescent="0.3">
      <c r="A6" s="804">
        <v>1</v>
      </c>
      <c r="B6" s="805">
        <f>A6+1</f>
        <v>2</v>
      </c>
      <c r="C6" s="805">
        <f t="shared" ref="C6:BB6" si="0">B6+1</f>
        <v>3</v>
      </c>
      <c r="D6" s="805">
        <f t="shared" si="0"/>
        <v>4</v>
      </c>
      <c r="E6" s="805">
        <f t="shared" si="0"/>
        <v>5</v>
      </c>
      <c r="F6" s="805">
        <f t="shared" si="0"/>
        <v>6</v>
      </c>
      <c r="G6" s="805">
        <f t="shared" si="0"/>
        <v>7</v>
      </c>
      <c r="H6" s="805">
        <f t="shared" si="0"/>
        <v>8</v>
      </c>
      <c r="I6" s="805">
        <f t="shared" si="0"/>
        <v>9</v>
      </c>
      <c r="J6" s="805">
        <f t="shared" si="0"/>
        <v>10</v>
      </c>
      <c r="K6" s="805">
        <f t="shared" si="0"/>
        <v>11</v>
      </c>
      <c r="L6" s="805">
        <f t="shared" si="0"/>
        <v>12</v>
      </c>
      <c r="M6" s="805">
        <f t="shared" si="0"/>
        <v>13</v>
      </c>
      <c r="N6" s="805">
        <f t="shared" si="0"/>
        <v>14</v>
      </c>
      <c r="O6" s="805">
        <f t="shared" si="0"/>
        <v>15</v>
      </c>
      <c r="P6" s="805">
        <f t="shared" si="0"/>
        <v>16</v>
      </c>
      <c r="Q6" s="805">
        <f t="shared" si="0"/>
        <v>17</v>
      </c>
      <c r="R6" s="805">
        <f t="shared" si="0"/>
        <v>18</v>
      </c>
      <c r="S6" s="805">
        <f t="shared" si="0"/>
        <v>19</v>
      </c>
      <c r="T6" s="805">
        <f t="shared" si="0"/>
        <v>20</v>
      </c>
      <c r="U6" s="805">
        <f t="shared" si="0"/>
        <v>21</v>
      </c>
      <c r="V6" s="805">
        <f t="shared" si="0"/>
        <v>22</v>
      </c>
      <c r="W6" s="805">
        <f t="shared" si="0"/>
        <v>23</v>
      </c>
      <c r="X6" s="805">
        <f t="shared" si="0"/>
        <v>24</v>
      </c>
      <c r="Y6" s="805">
        <f t="shared" si="0"/>
        <v>25</v>
      </c>
      <c r="Z6" s="805">
        <f t="shared" si="0"/>
        <v>26</v>
      </c>
      <c r="AA6" s="805">
        <f t="shared" si="0"/>
        <v>27</v>
      </c>
      <c r="AB6" s="805">
        <f t="shared" si="0"/>
        <v>28</v>
      </c>
      <c r="AC6" s="805">
        <f t="shared" si="0"/>
        <v>29</v>
      </c>
      <c r="AD6" s="805">
        <f t="shared" si="0"/>
        <v>30</v>
      </c>
      <c r="AE6" s="805">
        <f t="shared" si="0"/>
        <v>31</v>
      </c>
      <c r="AF6" s="805">
        <f t="shared" si="0"/>
        <v>32</v>
      </c>
      <c r="AG6" s="805">
        <f t="shared" si="0"/>
        <v>33</v>
      </c>
      <c r="AH6" s="805">
        <f t="shared" si="0"/>
        <v>34</v>
      </c>
      <c r="AI6" s="805">
        <f t="shared" si="0"/>
        <v>35</v>
      </c>
      <c r="AJ6" s="805">
        <f t="shared" si="0"/>
        <v>36</v>
      </c>
      <c r="AK6" s="805">
        <f t="shared" si="0"/>
        <v>37</v>
      </c>
      <c r="AL6" s="805">
        <f t="shared" si="0"/>
        <v>38</v>
      </c>
      <c r="AM6" s="805">
        <f t="shared" si="0"/>
        <v>39</v>
      </c>
      <c r="AN6" s="805">
        <f t="shared" si="0"/>
        <v>40</v>
      </c>
      <c r="AO6" s="805">
        <f t="shared" si="0"/>
        <v>41</v>
      </c>
      <c r="AP6" s="805">
        <f t="shared" si="0"/>
        <v>42</v>
      </c>
      <c r="AQ6" s="805">
        <f t="shared" si="0"/>
        <v>43</v>
      </c>
      <c r="AR6" s="805">
        <f t="shared" si="0"/>
        <v>44</v>
      </c>
      <c r="AS6" s="805">
        <f t="shared" si="0"/>
        <v>45</v>
      </c>
      <c r="AT6" s="805">
        <f t="shared" si="0"/>
        <v>46</v>
      </c>
      <c r="AU6" s="805">
        <f t="shared" si="0"/>
        <v>47</v>
      </c>
      <c r="AV6" s="805">
        <f t="shared" si="0"/>
        <v>48</v>
      </c>
      <c r="AW6" s="805">
        <f t="shared" si="0"/>
        <v>49</v>
      </c>
      <c r="AX6" s="805">
        <f t="shared" si="0"/>
        <v>50</v>
      </c>
      <c r="AY6" s="805">
        <f t="shared" si="0"/>
        <v>51</v>
      </c>
      <c r="AZ6" s="805">
        <f t="shared" si="0"/>
        <v>52</v>
      </c>
      <c r="BA6" s="805">
        <f t="shared" si="0"/>
        <v>53</v>
      </c>
      <c r="BB6" s="805">
        <f t="shared" si="0"/>
        <v>54</v>
      </c>
    </row>
    <row r="7" spans="1:59" ht="26.85" customHeight="1" thickBot="1" x14ac:dyDescent="0.35">
      <c r="A7" s="402" t="s">
        <v>457</v>
      </c>
      <c r="B7" s="633" t="s">
        <v>1</v>
      </c>
      <c r="C7" s="402" t="s">
        <v>2</v>
      </c>
      <c r="D7" s="638" t="s">
        <v>456</v>
      </c>
      <c r="E7" s="302" t="s">
        <v>431</v>
      </c>
      <c r="F7" s="775" t="s">
        <v>957</v>
      </c>
      <c r="G7" s="776"/>
      <c r="H7" s="776"/>
      <c r="I7" s="776"/>
      <c r="J7" s="776"/>
      <c r="K7" s="776"/>
      <c r="L7" s="776"/>
      <c r="M7" s="776"/>
      <c r="N7" s="776"/>
      <c r="O7" s="776"/>
      <c r="P7" s="776"/>
      <c r="Q7" s="776"/>
      <c r="R7" s="776"/>
      <c r="S7" s="776"/>
      <c r="T7" s="776"/>
      <c r="U7" s="776"/>
      <c r="V7" s="776"/>
      <c r="W7" s="776"/>
      <c r="X7" s="776"/>
      <c r="Y7" s="776"/>
      <c r="Z7" s="776"/>
      <c r="AA7" s="776"/>
      <c r="AB7" s="776"/>
      <c r="AC7" s="776"/>
      <c r="AD7" s="776"/>
      <c r="AE7" s="775" t="s">
        <v>974</v>
      </c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777"/>
      <c r="AS7" s="777"/>
      <c r="AT7" s="777"/>
      <c r="AU7" s="777"/>
      <c r="AV7" s="777"/>
      <c r="AW7" s="777"/>
      <c r="AX7" s="777"/>
      <c r="AY7" s="777"/>
      <c r="AZ7" s="777"/>
      <c r="BA7" s="777"/>
      <c r="BB7" s="777"/>
    </row>
    <row r="8" spans="1:59" ht="22.2" customHeight="1" x14ac:dyDescent="0.3">
      <c r="A8" s="402"/>
      <c r="B8" s="633"/>
      <c r="C8" s="402"/>
      <c r="D8" s="638"/>
      <c r="E8" s="302"/>
      <c r="F8" s="404" t="s">
        <v>972</v>
      </c>
      <c r="G8" s="404" t="s">
        <v>973</v>
      </c>
      <c r="H8" s="404" t="s">
        <v>976</v>
      </c>
      <c r="I8" s="404" t="s">
        <v>977</v>
      </c>
      <c r="J8" s="634"/>
      <c r="K8" s="634"/>
      <c r="L8" s="634"/>
      <c r="M8" s="634"/>
      <c r="N8" s="634"/>
      <c r="O8" s="634"/>
      <c r="P8" s="634"/>
      <c r="Q8" s="634"/>
      <c r="R8" s="634"/>
      <c r="S8" s="634"/>
      <c r="T8" s="634"/>
      <c r="U8" s="634"/>
      <c r="V8" s="634"/>
      <c r="W8" s="634"/>
      <c r="X8" s="634"/>
      <c r="Y8" s="634"/>
      <c r="Z8" s="634"/>
      <c r="AA8" s="634"/>
      <c r="AB8" s="634"/>
      <c r="AC8" s="634"/>
      <c r="AD8" s="634"/>
      <c r="AE8" s="404" t="s">
        <v>989</v>
      </c>
      <c r="AF8" s="634"/>
      <c r="AG8" s="634"/>
      <c r="AH8" s="404" t="s">
        <v>990</v>
      </c>
      <c r="AI8" s="634"/>
      <c r="AJ8" s="634"/>
      <c r="AK8" s="404" t="s">
        <v>991</v>
      </c>
      <c r="AL8" s="634"/>
      <c r="AM8" s="634"/>
      <c r="AN8" s="404" t="s">
        <v>992</v>
      </c>
      <c r="AO8" s="634"/>
      <c r="AP8" s="634"/>
      <c r="AQ8" s="404" t="s">
        <v>993</v>
      </c>
      <c r="AR8" s="634"/>
      <c r="AS8" s="634"/>
      <c r="AT8" s="404" t="s">
        <v>994</v>
      </c>
      <c r="AU8" s="634"/>
      <c r="AV8" s="634"/>
      <c r="AW8" s="404" t="s">
        <v>30</v>
      </c>
      <c r="AX8" s="634"/>
      <c r="AY8" s="634"/>
      <c r="AZ8" s="404" t="s">
        <v>975</v>
      </c>
      <c r="BA8" s="634"/>
      <c r="BB8" s="636"/>
      <c r="BD8" s="96" t="s">
        <v>1017</v>
      </c>
      <c r="BF8" s="778" t="s">
        <v>1127</v>
      </c>
    </row>
    <row r="9" spans="1:59" ht="36.6" customHeight="1" x14ac:dyDescent="0.3">
      <c r="A9" s="402"/>
      <c r="B9" s="633"/>
      <c r="C9" s="402"/>
      <c r="D9" s="638"/>
      <c r="E9" s="302"/>
      <c r="F9" s="634"/>
      <c r="G9" s="634"/>
      <c r="H9" s="634"/>
      <c r="I9" s="779" t="s">
        <v>960</v>
      </c>
      <c r="J9" s="780"/>
      <c r="K9" s="780"/>
      <c r="L9" s="779" t="s">
        <v>961</v>
      </c>
      <c r="M9" s="780"/>
      <c r="N9" s="780"/>
      <c r="O9" s="779" t="s">
        <v>963</v>
      </c>
      <c r="P9" s="780"/>
      <c r="Q9" s="780"/>
      <c r="R9" s="779" t="s">
        <v>969</v>
      </c>
      <c r="S9" s="780"/>
      <c r="T9" s="780"/>
      <c r="U9" s="779" t="s">
        <v>970</v>
      </c>
      <c r="V9" s="780"/>
      <c r="W9" s="779" t="s">
        <v>965</v>
      </c>
      <c r="X9" s="780"/>
      <c r="Y9" s="779" t="s">
        <v>1052</v>
      </c>
      <c r="Z9" s="780"/>
      <c r="AA9" s="780" t="s">
        <v>955</v>
      </c>
      <c r="AB9" s="467" t="s">
        <v>980</v>
      </c>
      <c r="AC9" s="779" t="s">
        <v>967</v>
      </c>
      <c r="AD9" s="779" t="s">
        <v>971</v>
      </c>
      <c r="AE9" s="634"/>
      <c r="AF9" s="634"/>
      <c r="AG9" s="634"/>
      <c r="AH9" s="634"/>
      <c r="AI9" s="634"/>
      <c r="AJ9" s="634"/>
      <c r="AK9" s="634"/>
      <c r="AL9" s="634"/>
      <c r="AM9" s="634"/>
      <c r="AN9" s="634"/>
      <c r="AO9" s="634"/>
      <c r="AP9" s="634"/>
      <c r="AQ9" s="634"/>
      <c r="AR9" s="634"/>
      <c r="AS9" s="634"/>
      <c r="AT9" s="634"/>
      <c r="AU9" s="634"/>
      <c r="AV9" s="634"/>
      <c r="AW9" s="634"/>
      <c r="AX9" s="634"/>
      <c r="AY9" s="634"/>
      <c r="AZ9" s="634"/>
      <c r="BA9" s="634"/>
      <c r="BB9" s="636"/>
      <c r="BD9" s="96" t="s">
        <v>1018</v>
      </c>
      <c r="BF9" s="781"/>
    </row>
    <row r="10" spans="1:59" ht="33.9" customHeight="1" x14ac:dyDescent="0.3">
      <c r="A10" s="635"/>
      <c r="B10" s="782"/>
      <c r="C10" s="635"/>
      <c r="D10" s="783"/>
      <c r="E10" s="637"/>
      <c r="F10" s="634"/>
      <c r="G10" s="634"/>
      <c r="H10" s="634"/>
      <c r="I10" s="784" t="s">
        <v>958</v>
      </c>
      <c r="J10" s="784" t="s">
        <v>959</v>
      </c>
      <c r="K10" s="461" t="s">
        <v>968</v>
      </c>
      <c r="L10" s="784" t="s">
        <v>962</v>
      </c>
      <c r="M10" s="784" t="s">
        <v>959</v>
      </c>
      <c r="N10" s="463" t="s">
        <v>968</v>
      </c>
      <c r="O10" s="784" t="s">
        <v>964</v>
      </c>
      <c r="P10" s="784" t="s">
        <v>959</v>
      </c>
      <c r="Q10" s="463" t="s">
        <v>968</v>
      </c>
      <c r="R10" s="784" t="s">
        <v>962</v>
      </c>
      <c r="S10" s="784" t="s">
        <v>959</v>
      </c>
      <c r="T10" s="454" t="s">
        <v>968</v>
      </c>
      <c r="U10" s="784" t="s">
        <v>959</v>
      </c>
      <c r="V10" s="461" t="s">
        <v>968</v>
      </c>
      <c r="W10" s="784" t="s">
        <v>966</v>
      </c>
      <c r="X10" s="784" t="s">
        <v>959</v>
      </c>
      <c r="Y10" s="784" t="s">
        <v>959</v>
      </c>
      <c r="Z10" s="461" t="s">
        <v>968</v>
      </c>
      <c r="AA10" s="784" t="s">
        <v>959</v>
      </c>
      <c r="AB10" s="784" t="s">
        <v>959</v>
      </c>
      <c r="AC10" s="784" t="s">
        <v>959</v>
      </c>
      <c r="AD10" s="784" t="s">
        <v>959</v>
      </c>
      <c r="AE10" s="784" t="s">
        <v>440</v>
      </c>
      <c r="AF10" s="784" t="s">
        <v>441</v>
      </c>
      <c r="AG10" s="784" t="s">
        <v>968</v>
      </c>
      <c r="AH10" s="784" t="s">
        <v>440</v>
      </c>
      <c r="AI10" s="784" t="s">
        <v>441</v>
      </c>
      <c r="AJ10" s="784" t="s">
        <v>968</v>
      </c>
      <c r="AK10" s="784" t="s">
        <v>440</v>
      </c>
      <c r="AL10" s="784" t="s">
        <v>441</v>
      </c>
      <c r="AM10" s="784" t="s">
        <v>968</v>
      </c>
      <c r="AN10" s="784" t="s">
        <v>440</v>
      </c>
      <c r="AO10" s="784" t="s">
        <v>441</v>
      </c>
      <c r="AP10" s="784" t="s">
        <v>968</v>
      </c>
      <c r="AQ10" s="784" t="s">
        <v>440</v>
      </c>
      <c r="AR10" s="784" t="s">
        <v>441</v>
      </c>
      <c r="AS10" s="784" t="s">
        <v>968</v>
      </c>
      <c r="AT10" s="784" t="s">
        <v>440</v>
      </c>
      <c r="AU10" s="784" t="s">
        <v>441</v>
      </c>
      <c r="AV10" s="784" t="s">
        <v>968</v>
      </c>
      <c r="AW10" s="784" t="s">
        <v>440</v>
      </c>
      <c r="AX10" s="784" t="s">
        <v>441</v>
      </c>
      <c r="AY10" s="784" t="s">
        <v>968</v>
      </c>
      <c r="AZ10" s="784" t="s">
        <v>440</v>
      </c>
      <c r="BA10" s="784" t="s">
        <v>441</v>
      </c>
      <c r="BB10" s="784" t="s">
        <v>442</v>
      </c>
      <c r="BD10" s="96"/>
      <c r="BF10" s="785"/>
    </row>
    <row r="11" spans="1:59" ht="24.9" customHeight="1" x14ac:dyDescent="0.3">
      <c r="A11" s="325">
        <v>150001053</v>
      </c>
      <c r="B11" s="445" t="s">
        <v>147</v>
      </c>
      <c r="C11" s="27">
        <v>2</v>
      </c>
      <c r="D11" s="101" t="s">
        <v>455</v>
      </c>
      <c r="E11" s="786">
        <v>372.8</v>
      </c>
      <c r="F11" s="5">
        <v>349</v>
      </c>
      <c r="G11" s="5">
        <v>0</v>
      </c>
      <c r="H11" s="5">
        <v>-349</v>
      </c>
      <c r="I11" s="5">
        <v>0</v>
      </c>
      <c r="J11" s="5">
        <v>0</v>
      </c>
      <c r="K11" s="153"/>
      <c r="L11" s="5">
        <v>0</v>
      </c>
      <c r="M11" s="5">
        <v>0</v>
      </c>
      <c r="N11" s="5"/>
      <c r="O11" s="5">
        <v>0</v>
      </c>
      <c r="P11" s="5">
        <v>0</v>
      </c>
      <c r="Q11" s="784"/>
      <c r="R11" s="5">
        <v>0</v>
      </c>
      <c r="S11" s="5">
        <v>0</v>
      </c>
      <c r="T11" s="628"/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/>
      <c r="AA11" s="5">
        <v>0</v>
      </c>
      <c r="AB11" s="5">
        <v>0</v>
      </c>
      <c r="AC11" s="5">
        <v>0</v>
      </c>
      <c r="AD11" s="5">
        <v>0</v>
      </c>
      <c r="AE11" s="5">
        <v>147.85612880706469</v>
      </c>
      <c r="AF11" s="5">
        <v>0</v>
      </c>
      <c r="AG11" s="5"/>
      <c r="AH11" s="5">
        <v>147.66358273198188</v>
      </c>
      <c r="AI11" s="5">
        <v>0</v>
      </c>
      <c r="AJ11" s="5"/>
      <c r="AK11" s="5">
        <v>27.670732609641668</v>
      </c>
      <c r="AL11" s="5">
        <v>0</v>
      </c>
      <c r="AM11" s="5"/>
      <c r="AN11" s="5">
        <v>0</v>
      </c>
      <c r="AO11" s="5">
        <v>0</v>
      </c>
      <c r="AP11" s="5"/>
      <c r="AQ11" s="5">
        <v>0</v>
      </c>
      <c r="AR11" s="5">
        <v>0</v>
      </c>
      <c r="AS11" s="5"/>
      <c r="AT11" s="5">
        <v>18.39000725305516</v>
      </c>
      <c r="AU11" s="5">
        <v>0</v>
      </c>
      <c r="AV11" s="5"/>
      <c r="AW11" s="5">
        <v>7.7279999999999998</v>
      </c>
      <c r="AX11" s="5">
        <v>0</v>
      </c>
      <c r="AY11" s="5"/>
      <c r="AZ11" s="5">
        <v>174</v>
      </c>
      <c r="BA11" s="5">
        <v>0</v>
      </c>
      <c r="BB11" s="5">
        <v>-174</v>
      </c>
      <c r="BD11" s="2">
        <v>3</v>
      </c>
      <c r="BF11" s="787">
        <v>1.46</v>
      </c>
      <c r="BG11" s="325">
        <v>150001053</v>
      </c>
    </row>
    <row r="12" spans="1:59" ht="24.9" customHeight="1" x14ac:dyDescent="0.3">
      <c r="A12" s="325">
        <v>150000753</v>
      </c>
      <c r="B12" s="445" t="s">
        <v>240</v>
      </c>
      <c r="C12" s="27">
        <v>5</v>
      </c>
      <c r="D12" s="101" t="s">
        <v>455</v>
      </c>
      <c r="E12" s="786">
        <v>1840.7</v>
      </c>
      <c r="F12" s="5">
        <v>1093</v>
      </c>
      <c r="G12" s="5">
        <v>0</v>
      </c>
      <c r="H12" s="5">
        <v>-1093</v>
      </c>
      <c r="I12" s="5">
        <v>0</v>
      </c>
      <c r="J12" s="5">
        <v>0</v>
      </c>
      <c r="K12" s="153"/>
      <c r="L12" s="5">
        <v>0</v>
      </c>
      <c r="M12" s="5">
        <v>0</v>
      </c>
      <c r="N12" s="5"/>
      <c r="O12" s="5">
        <v>0</v>
      </c>
      <c r="P12" s="5">
        <v>0</v>
      </c>
      <c r="Q12" s="784"/>
      <c r="R12" s="5">
        <v>0</v>
      </c>
      <c r="S12" s="5">
        <v>0</v>
      </c>
      <c r="T12" s="628"/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/>
      <c r="AA12" s="5">
        <v>0</v>
      </c>
      <c r="AB12" s="5">
        <v>0</v>
      </c>
      <c r="AC12" s="5">
        <v>0</v>
      </c>
      <c r="AD12" s="5">
        <v>0</v>
      </c>
      <c r="AE12" s="5">
        <v>503.76227279283358</v>
      </c>
      <c r="AF12" s="5">
        <v>1889</v>
      </c>
      <c r="AG12" s="5"/>
      <c r="AH12" s="5">
        <v>714.46684149479404</v>
      </c>
      <c r="AI12" s="5">
        <v>0</v>
      </c>
      <c r="AJ12" s="5"/>
      <c r="AK12" s="5">
        <v>124.4469361380517</v>
      </c>
      <c r="AL12" s="5">
        <v>0</v>
      </c>
      <c r="AM12" s="5"/>
      <c r="AN12" s="5">
        <v>0</v>
      </c>
      <c r="AO12" s="5">
        <v>0</v>
      </c>
      <c r="AP12" s="5"/>
      <c r="AQ12" s="5">
        <v>0</v>
      </c>
      <c r="AR12" s="5">
        <v>0</v>
      </c>
      <c r="AS12" s="5"/>
      <c r="AT12" s="5">
        <v>303.6196173823995</v>
      </c>
      <c r="AU12" s="5">
        <v>0</v>
      </c>
      <c r="AV12" s="8"/>
      <c r="AW12" s="5">
        <v>47.602650784477177</v>
      </c>
      <c r="AX12" s="5">
        <v>0</v>
      </c>
      <c r="AY12" s="5"/>
      <c r="AZ12" s="5">
        <v>847</v>
      </c>
      <c r="BA12" s="5">
        <v>0</v>
      </c>
      <c r="BB12" s="5">
        <v>-847</v>
      </c>
      <c r="BD12" s="2">
        <v>2</v>
      </c>
      <c r="BF12" s="787">
        <v>1.79</v>
      </c>
      <c r="BG12" s="325">
        <v>150000753</v>
      </c>
    </row>
    <row r="13" spans="1:59" ht="24.9" customHeight="1" x14ac:dyDescent="0.3">
      <c r="A13" s="325">
        <v>150000754</v>
      </c>
      <c r="B13" s="445" t="s">
        <v>241</v>
      </c>
      <c r="C13" s="27">
        <v>5</v>
      </c>
      <c r="D13" s="101" t="s">
        <v>455</v>
      </c>
      <c r="E13" s="786">
        <v>2806.48</v>
      </c>
      <c r="F13" s="5">
        <v>3027</v>
      </c>
      <c r="G13" s="5">
        <v>0</v>
      </c>
      <c r="H13" s="5">
        <v>-3027</v>
      </c>
      <c r="I13" s="5">
        <v>0</v>
      </c>
      <c r="J13" s="5">
        <v>0</v>
      </c>
      <c r="K13" s="153"/>
      <c r="L13" s="5">
        <v>0</v>
      </c>
      <c r="M13" s="5">
        <v>0</v>
      </c>
      <c r="N13" s="5"/>
      <c r="O13" s="5">
        <v>0</v>
      </c>
      <c r="P13" s="5">
        <v>0</v>
      </c>
      <c r="Q13" s="784"/>
      <c r="R13" s="5">
        <v>0</v>
      </c>
      <c r="S13" s="5">
        <v>0</v>
      </c>
      <c r="T13" s="628"/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/>
      <c r="AA13" s="5">
        <v>0</v>
      </c>
      <c r="AB13" s="5">
        <v>0</v>
      </c>
      <c r="AC13" s="5">
        <v>0</v>
      </c>
      <c r="AD13" s="5">
        <v>0</v>
      </c>
      <c r="AE13" s="5">
        <v>683.92771147943017</v>
      </c>
      <c r="AF13" s="5">
        <v>0</v>
      </c>
      <c r="AG13" s="5"/>
      <c r="AH13" s="5">
        <v>849.64272915532752</v>
      </c>
      <c r="AI13" s="5">
        <v>0</v>
      </c>
      <c r="AJ13" s="5"/>
      <c r="AK13" s="5">
        <v>192.04285238487</v>
      </c>
      <c r="AL13" s="5">
        <v>0</v>
      </c>
      <c r="AM13" s="5"/>
      <c r="AN13" s="5">
        <v>0</v>
      </c>
      <c r="AO13" s="5">
        <v>0</v>
      </c>
      <c r="AP13" s="5"/>
      <c r="AQ13" s="5">
        <v>379.96224504488214</v>
      </c>
      <c r="AR13" s="5">
        <v>0</v>
      </c>
      <c r="AS13" s="5"/>
      <c r="AT13" s="5">
        <v>482.12694846095911</v>
      </c>
      <c r="AU13" s="5">
        <v>0</v>
      </c>
      <c r="AV13" s="5"/>
      <c r="AW13" s="5">
        <v>56.087800000000001</v>
      </c>
      <c r="AX13" s="5">
        <v>0</v>
      </c>
      <c r="AY13" s="5"/>
      <c r="AZ13" s="5">
        <v>1322</v>
      </c>
      <c r="BA13" s="5">
        <v>0</v>
      </c>
      <c r="BB13" s="5">
        <v>-1322</v>
      </c>
      <c r="BD13" s="2">
        <v>2</v>
      </c>
      <c r="BF13" s="787">
        <v>2.74</v>
      </c>
      <c r="BG13" s="325">
        <v>150000754</v>
      </c>
    </row>
    <row r="14" spans="1:59" ht="24.9" customHeight="1" x14ac:dyDescent="0.3">
      <c r="A14" s="325">
        <v>150000702</v>
      </c>
      <c r="B14" s="445" t="s">
        <v>339</v>
      </c>
      <c r="C14" s="27">
        <v>9</v>
      </c>
      <c r="D14" s="101" t="s">
        <v>455</v>
      </c>
      <c r="E14" s="786">
        <v>6095.49</v>
      </c>
      <c r="F14" s="5">
        <v>3717</v>
      </c>
      <c r="G14" s="5">
        <v>2245</v>
      </c>
      <c r="H14" s="5">
        <v>-2938</v>
      </c>
      <c r="I14" s="5">
        <v>0</v>
      </c>
      <c r="J14" s="5">
        <v>0</v>
      </c>
      <c r="K14" s="153"/>
      <c r="L14" s="5">
        <v>0</v>
      </c>
      <c r="M14" s="5">
        <v>0</v>
      </c>
      <c r="N14" s="788"/>
      <c r="O14" s="5">
        <v>0</v>
      </c>
      <c r="P14" s="5">
        <v>0</v>
      </c>
      <c r="Q14" s="784"/>
      <c r="R14" s="5">
        <v>0</v>
      </c>
      <c r="S14" s="5">
        <v>779</v>
      </c>
      <c r="T14" s="628"/>
      <c r="U14" s="5">
        <v>0</v>
      </c>
      <c r="V14" s="8">
        <v>0</v>
      </c>
      <c r="W14" s="5">
        <v>0</v>
      </c>
      <c r="X14" s="5">
        <v>0</v>
      </c>
      <c r="Y14" s="5">
        <v>0</v>
      </c>
      <c r="Z14" s="5"/>
      <c r="AA14" s="5">
        <v>0</v>
      </c>
      <c r="AB14" s="5">
        <v>0</v>
      </c>
      <c r="AC14" s="5">
        <v>0</v>
      </c>
      <c r="AD14" s="5">
        <v>1466</v>
      </c>
      <c r="AE14" s="5">
        <v>1561.9667310776717</v>
      </c>
      <c r="AF14" s="5">
        <v>0</v>
      </c>
      <c r="AG14" s="5"/>
      <c r="AH14" s="5">
        <v>1801.6783401909936</v>
      </c>
      <c r="AI14" s="5">
        <v>0</v>
      </c>
      <c r="AJ14" s="5"/>
      <c r="AK14" s="5">
        <v>553.98807051716494</v>
      </c>
      <c r="AL14" s="5">
        <v>0</v>
      </c>
      <c r="AM14" s="5"/>
      <c r="AN14" s="5">
        <v>1336.3966872231349</v>
      </c>
      <c r="AO14" s="5">
        <v>0</v>
      </c>
      <c r="AP14" s="5"/>
      <c r="AQ14" s="5">
        <v>626.45466780048014</v>
      </c>
      <c r="AR14" s="5">
        <v>16.5</v>
      </c>
      <c r="AS14" s="5"/>
      <c r="AT14" s="5">
        <v>1189.9448608885637</v>
      </c>
      <c r="AU14" s="5">
        <v>0</v>
      </c>
      <c r="AV14" s="5"/>
      <c r="AW14" s="5">
        <v>121.95490000000001</v>
      </c>
      <c r="AX14" s="5">
        <v>0</v>
      </c>
      <c r="AY14" s="5"/>
      <c r="AZ14" s="5">
        <v>3596</v>
      </c>
      <c r="BA14" s="5">
        <v>0</v>
      </c>
      <c r="BB14" s="5">
        <v>-3596</v>
      </c>
      <c r="BD14" s="2">
        <v>3</v>
      </c>
      <c r="BF14" s="787">
        <v>23.89</v>
      </c>
      <c r="BG14" s="325">
        <v>150000702</v>
      </c>
    </row>
    <row r="15" spans="1:59" ht="24.9" customHeight="1" x14ac:dyDescent="0.3">
      <c r="A15" s="325">
        <v>150000703</v>
      </c>
      <c r="B15" s="445" t="s">
        <v>340</v>
      </c>
      <c r="C15" s="27">
        <v>9</v>
      </c>
      <c r="D15" s="101" t="s">
        <v>455</v>
      </c>
      <c r="E15" s="786">
        <v>6316</v>
      </c>
      <c r="F15" s="5">
        <v>3919</v>
      </c>
      <c r="G15" s="5">
        <v>0</v>
      </c>
      <c r="H15" s="5">
        <v>-3919</v>
      </c>
      <c r="I15" s="5">
        <v>0</v>
      </c>
      <c r="J15" s="5">
        <v>0</v>
      </c>
      <c r="K15" s="593"/>
      <c r="L15" s="5">
        <v>0</v>
      </c>
      <c r="M15" s="5">
        <v>0</v>
      </c>
      <c r="N15" s="5"/>
      <c r="O15" s="5">
        <v>0</v>
      </c>
      <c r="P15" s="5">
        <v>0</v>
      </c>
      <c r="Q15" s="784"/>
      <c r="R15" s="5">
        <v>0</v>
      </c>
      <c r="S15" s="5">
        <v>0</v>
      </c>
      <c r="T15" s="789"/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/>
      <c r="AA15" s="5">
        <v>0</v>
      </c>
      <c r="AB15" s="5">
        <v>0</v>
      </c>
      <c r="AC15" s="5">
        <v>0</v>
      </c>
      <c r="AD15" s="5">
        <v>0</v>
      </c>
      <c r="AE15" s="5">
        <v>1532.404536282178</v>
      </c>
      <c r="AF15" s="5">
        <v>0</v>
      </c>
      <c r="AG15" s="8"/>
      <c r="AH15" s="5">
        <v>1779.8484572123034</v>
      </c>
      <c r="AI15" s="5">
        <v>3532</v>
      </c>
      <c r="AJ15" s="8"/>
      <c r="AK15" s="5">
        <v>589.92598224809603</v>
      </c>
      <c r="AL15" s="5">
        <v>0</v>
      </c>
      <c r="AM15" s="5"/>
      <c r="AN15" s="5">
        <v>1353.8180845905331</v>
      </c>
      <c r="AO15" s="5">
        <v>0</v>
      </c>
      <c r="AP15" s="452"/>
      <c r="AQ15" s="5">
        <v>626.45466780048014</v>
      </c>
      <c r="AR15" s="5">
        <v>0</v>
      </c>
      <c r="AS15" s="8"/>
      <c r="AT15" s="5">
        <v>1112.4055263361645</v>
      </c>
      <c r="AU15" s="5">
        <v>0</v>
      </c>
      <c r="AV15" s="5"/>
      <c r="AW15" s="5">
        <v>126.166</v>
      </c>
      <c r="AX15" s="5">
        <v>0</v>
      </c>
      <c r="AY15" s="5"/>
      <c r="AZ15" s="5">
        <v>3561</v>
      </c>
      <c r="BA15" s="5">
        <v>3532</v>
      </c>
      <c r="BB15" s="5">
        <v>-29</v>
      </c>
      <c r="BD15" s="2">
        <v>3</v>
      </c>
      <c r="BF15" s="787">
        <v>24.76</v>
      </c>
      <c r="BG15" s="325">
        <v>150000703</v>
      </c>
    </row>
    <row r="16" spans="1:59" ht="24.9" customHeight="1" x14ac:dyDescent="0.3">
      <c r="A16" s="325">
        <v>150000781</v>
      </c>
      <c r="B16" s="445" t="s">
        <v>34</v>
      </c>
      <c r="C16" s="27">
        <v>1</v>
      </c>
      <c r="D16" s="101" t="s">
        <v>455</v>
      </c>
      <c r="E16" s="786">
        <v>263.3</v>
      </c>
      <c r="F16" s="5">
        <v>156</v>
      </c>
      <c r="G16" s="5">
        <v>0</v>
      </c>
      <c r="H16" s="5">
        <v>-156</v>
      </c>
      <c r="I16" s="5">
        <v>0</v>
      </c>
      <c r="J16" s="5">
        <v>0</v>
      </c>
      <c r="K16" s="153"/>
      <c r="L16" s="5">
        <v>0</v>
      </c>
      <c r="M16" s="5">
        <v>0</v>
      </c>
      <c r="N16" s="5"/>
      <c r="O16" s="5">
        <v>0</v>
      </c>
      <c r="P16" s="5">
        <v>0</v>
      </c>
      <c r="Q16" s="784"/>
      <c r="R16" s="5">
        <v>0</v>
      </c>
      <c r="S16" s="5">
        <v>0</v>
      </c>
      <c r="T16" s="628"/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/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/>
      <c r="AH16" s="5">
        <v>0</v>
      </c>
      <c r="AI16" s="5">
        <v>0</v>
      </c>
      <c r="AJ16" s="5"/>
      <c r="AK16" s="5">
        <v>0</v>
      </c>
      <c r="AL16" s="5">
        <v>0</v>
      </c>
      <c r="AM16" s="5"/>
      <c r="AN16" s="5">
        <v>0</v>
      </c>
      <c r="AO16" s="5">
        <v>0</v>
      </c>
      <c r="AP16" s="5"/>
      <c r="AQ16" s="5">
        <v>0</v>
      </c>
      <c r="AR16" s="5">
        <v>0</v>
      </c>
      <c r="AS16" s="5"/>
      <c r="AT16" s="5">
        <v>0</v>
      </c>
      <c r="AU16" s="5">
        <v>0</v>
      </c>
      <c r="AV16" s="5"/>
      <c r="AW16" s="5">
        <v>5.633</v>
      </c>
      <c r="AX16" s="5">
        <v>0</v>
      </c>
      <c r="AY16" s="5"/>
      <c r="AZ16" s="5">
        <v>3</v>
      </c>
      <c r="BA16" s="5">
        <v>0</v>
      </c>
      <c r="BB16" s="5">
        <v>-3</v>
      </c>
      <c r="BD16" s="2">
        <v>3</v>
      </c>
      <c r="BF16" s="787">
        <v>0</v>
      </c>
      <c r="BG16" s="325">
        <v>150000781</v>
      </c>
    </row>
    <row r="17" spans="1:59" ht="24.9" customHeight="1" x14ac:dyDescent="0.3">
      <c r="A17" s="325">
        <v>150000488</v>
      </c>
      <c r="B17" s="445" t="s">
        <v>35</v>
      </c>
      <c r="C17" s="27">
        <v>1</v>
      </c>
      <c r="D17" s="101" t="s">
        <v>455</v>
      </c>
      <c r="E17" s="786">
        <v>317.88</v>
      </c>
      <c r="F17" s="5">
        <v>186</v>
      </c>
      <c r="G17" s="5">
        <v>0</v>
      </c>
      <c r="H17" s="5">
        <v>-186</v>
      </c>
      <c r="I17" s="5">
        <v>0</v>
      </c>
      <c r="J17" s="5">
        <v>0</v>
      </c>
      <c r="K17" s="153"/>
      <c r="L17" s="5">
        <v>0</v>
      </c>
      <c r="M17" s="5">
        <v>0</v>
      </c>
      <c r="N17" s="5"/>
      <c r="O17" s="5">
        <v>0</v>
      </c>
      <c r="P17" s="5">
        <v>0</v>
      </c>
      <c r="Q17" s="784"/>
      <c r="R17" s="5">
        <v>0</v>
      </c>
      <c r="S17" s="5">
        <v>0</v>
      </c>
      <c r="T17" s="628"/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/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/>
      <c r="AH17" s="5">
        <v>0</v>
      </c>
      <c r="AI17" s="5">
        <v>0</v>
      </c>
      <c r="AJ17" s="5"/>
      <c r="AK17" s="5">
        <v>0</v>
      </c>
      <c r="AL17" s="5">
        <v>0</v>
      </c>
      <c r="AM17" s="5"/>
      <c r="AN17" s="5">
        <v>0</v>
      </c>
      <c r="AO17" s="5">
        <v>0</v>
      </c>
      <c r="AP17" s="5"/>
      <c r="AQ17" s="5">
        <v>0</v>
      </c>
      <c r="AR17" s="5">
        <v>0</v>
      </c>
      <c r="AS17" s="5"/>
      <c r="AT17" s="5">
        <v>0</v>
      </c>
      <c r="AU17" s="5">
        <v>0</v>
      </c>
      <c r="AV17" s="5"/>
      <c r="AW17" s="5">
        <v>6.1787999999999998</v>
      </c>
      <c r="AX17" s="5">
        <v>0</v>
      </c>
      <c r="AY17" s="5"/>
      <c r="AZ17" s="5">
        <v>3</v>
      </c>
      <c r="BA17" s="5">
        <v>0</v>
      </c>
      <c r="BB17" s="5">
        <v>-3</v>
      </c>
      <c r="BD17" s="2">
        <v>3</v>
      </c>
      <c r="BF17" s="787">
        <v>0</v>
      </c>
      <c r="BG17" s="325">
        <v>150000488</v>
      </c>
    </row>
    <row r="18" spans="1:59" ht="24.9" customHeight="1" x14ac:dyDescent="0.3">
      <c r="A18" s="325">
        <v>150000492</v>
      </c>
      <c r="B18" s="445" t="s">
        <v>36</v>
      </c>
      <c r="C18" s="27">
        <v>1</v>
      </c>
      <c r="D18" s="101" t="s">
        <v>455</v>
      </c>
      <c r="E18" s="786">
        <v>95.5</v>
      </c>
      <c r="F18" s="5">
        <v>46</v>
      </c>
      <c r="G18" s="5">
        <v>0</v>
      </c>
      <c r="H18" s="5">
        <v>-46</v>
      </c>
      <c r="I18" s="5">
        <v>0</v>
      </c>
      <c r="J18" s="5">
        <v>0</v>
      </c>
      <c r="K18" s="153"/>
      <c r="L18" s="5">
        <v>0</v>
      </c>
      <c r="M18" s="5">
        <v>0</v>
      </c>
      <c r="N18" s="5"/>
      <c r="O18" s="5">
        <v>0</v>
      </c>
      <c r="P18" s="5">
        <v>0</v>
      </c>
      <c r="Q18" s="784"/>
      <c r="R18" s="5">
        <v>0</v>
      </c>
      <c r="S18" s="5">
        <v>0</v>
      </c>
      <c r="T18" s="628"/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/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/>
      <c r="AH18" s="5">
        <v>0</v>
      </c>
      <c r="AI18" s="5">
        <v>0</v>
      </c>
      <c r="AJ18" s="5"/>
      <c r="AK18" s="5">
        <v>0</v>
      </c>
      <c r="AL18" s="5">
        <v>0</v>
      </c>
      <c r="AM18" s="5"/>
      <c r="AN18" s="5">
        <v>0</v>
      </c>
      <c r="AO18" s="5">
        <v>0</v>
      </c>
      <c r="AP18" s="5"/>
      <c r="AQ18" s="5">
        <v>0</v>
      </c>
      <c r="AR18" s="5">
        <v>0</v>
      </c>
      <c r="AS18" s="5"/>
      <c r="AT18" s="5">
        <v>0</v>
      </c>
      <c r="AU18" s="5">
        <v>0</v>
      </c>
      <c r="AV18" s="5"/>
      <c r="AW18" s="5">
        <v>1.9550000000000001</v>
      </c>
      <c r="AX18" s="5">
        <v>0</v>
      </c>
      <c r="AY18" s="5"/>
      <c r="AZ18" s="5">
        <v>1</v>
      </c>
      <c r="BA18" s="5">
        <v>0</v>
      </c>
      <c r="BB18" s="5">
        <v>-1</v>
      </c>
      <c r="BD18" s="2">
        <v>3</v>
      </c>
      <c r="BF18" s="787">
        <v>0</v>
      </c>
      <c r="BG18" s="325">
        <v>150000492</v>
      </c>
    </row>
    <row r="19" spans="1:59" ht="24.9" customHeight="1" x14ac:dyDescent="0.3">
      <c r="A19" s="325">
        <v>150000490</v>
      </c>
      <c r="B19" s="445" t="s">
        <v>37</v>
      </c>
      <c r="C19" s="27">
        <v>1</v>
      </c>
      <c r="D19" s="101" t="s">
        <v>455</v>
      </c>
      <c r="E19" s="786">
        <v>147.5</v>
      </c>
      <c r="F19" s="5">
        <v>124</v>
      </c>
      <c r="G19" s="5">
        <v>0</v>
      </c>
      <c r="H19" s="5">
        <v>-124</v>
      </c>
      <c r="I19" s="5">
        <v>0</v>
      </c>
      <c r="J19" s="5">
        <v>0</v>
      </c>
      <c r="K19" s="153"/>
      <c r="L19" s="5">
        <v>0</v>
      </c>
      <c r="M19" s="5">
        <v>0</v>
      </c>
      <c r="N19" s="5"/>
      <c r="O19" s="5">
        <v>0</v>
      </c>
      <c r="P19" s="5">
        <v>0</v>
      </c>
      <c r="Q19" s="784"/>
      <c r="R19" s="5">
        <v>0</v>
      </c>
      <c r="S19" s="5">
        <v>0</v>
      </c>
      <c r="T19" s="628"/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/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/>
      <c r="AH19" s="5">
        <v>0</v>
      </c>
      <c r="AI19" s="5">
        <v>0</v>
      </c>
      <c r="AJ19" s="5"/>
      <c r="AK19" s="5">
        <v>0</v>
      </c>
      <c r="AL19" s="5">
        <v>0</v>
      </c>
      <c r="AM19" s="5"/>
      <c r="AN19" s="5">
        <v>0</v>
      </c>
      <c r="AO19" s="5">
        <v>0</v>
      </c>
      <c r="AP19" s="5"/>
      <c r="AQ19" s="5">
        <v>0</v>
      </c>
      <c r="AR19" s="5">
        <v>0</v>
      </c>
      <c r="AS19" s="5"/>
      <c r="AT19" s="5">
        <v>0</v>
      </c>
      <c r="AU19" s="5">
        <v>0</v>
      </c>
      <c r="AV19" s="5"/>
      <c r="AW19" s="5">
        <v>2.4750000000000001</v>
      </c>
      <c r="AX19" s="5">
        <v>0</v>
      </c>
      <c r="AY19" s="5"/>
      <c r="AZ19" s="5">
        <v>1</v>
      </c>
      <c r="BA19" s="5">
        <v>0</v>
      </c>
      <c r="BB19" s="5">
        <v>-1</v>
      </c>
      <c r="BD19" s="2">
        <v>3</v>
      </c>
      <c r="BF19" s="787">
        <v>0</v>
      </c>
      <c r="BG19" s="325">
        <v>150000490</v>
      </c>
    </row>
    <row r="20" spans="1:59" ht="24.9" customHeight="1" x14ac:dyDescent="0.3">
      <c r="A20" s="325">
        <v>150000497</v>
      </c>
      <c r="B20" s="445" t="s">
        <v>341</v>
      </c>
      <c r="C20" s="27">
        <v>9</v>
      </c>
      <c r="D20" s="101" t="s">
        <v>455</v>
      </c>
      <c r="E20" s="786">
        <v>4162.7</v>
      </c>
      <c r="F20" s="5">
        <v>2569</v>
      </c>
      <c r="G20" s="5">
        <v>0</v>
      </c>
      <c r="H20" s="5">
        <v>-2569</v>
      </c>
      <c r="I20" s="5">
        <v>0</v>
      </c>
      <c r="J20" s="5">
        <v>0</v>
      </c>
      <c r="K20" s="467"/>
      <c r="L20" s="5">
        <v>0</v>
      </c>
      <c r="M20" s="5">
        <v>0</v>
      </c>
      <c r="N20" s="5"/>
      <c r="O20" s="5">
        <v>0</v>
      </c>
      <c r="P20" s="5">
        <v>0</v>
      </c>
      <c r="Q20" s="784"/>
      <c r="R20" s="5">
        <v>0</v>
      </c>
      <c r="S20" s="5">
        <v>0</v>
      </c>
      <c r="T20" s="628"/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/>
      <c r="AA20" s="5">
        <v>0</v>
      </c>
      <c r="AB20" s="5">
        <v>0</v>
      </c>
      <c r="AC20" s="5">
        <v>0</v>
      </c>
      <c r="AD20" s="5">
        <v>0</v>
      </c>
      <c r="AE20" s="5">
        <v>891.71953975393467</v>
      </c>
      <c r="AF20" s="5">
        <v>0</v>
      </c>
      <c r="AG20" s="5"/>
      <c r="AH20" s="5">
        <v>934.41948231030221</v>
      </c>
      <c r="AI20" s="5">
        <v>0</v>
      </c>
      <c r="AJ20" s="5"/>
      <c r="AK20" s="5">
        <v>281.535388513535</v>
      </c>
      <c r="AL20" s="5">
        <v>0</v>
      </c>
      <c r="AM20" s="5"/>
      <c r="AN20" s="5">
        <v>765.68685025882701</v>
      </c>
      <c r="AO20" s="5">
        <v>0</v>
      </c>
      <c r="AP20" s="5"/>
      <c r="AQ20" s="5">
        <v>417.96272557758289</v>
      </c>
      <c r="AR20" s="5">
        <v>0</v>
      </c>
      <c r="AS20" s="5"/>
      <c r="AT20" s="5">
        <v>283.5827377727278</v>
      </c>
      <c r="AU20" s="5">
        <v>0</v>
      </c>
      <c r="AV20" s="5"/>
      <c r="AW20" s="5">
        <v>37.924261394576931</v>
      </c>
      <c r="AX20" s="5">
        <v>0</v>
      </c>
      <c r="AY20" s="5"/>
      <c r="AZ20" s="5">
        <v>1806</v>
      </c>
      <c r="BA20" s="5">
        <v>0</v>
      </c>
      <c r="BB20" s="5">
        <v>-1806</v>
      </c>
      <c r="BD20" s="2">
        <v>1</v>
      </c>
      <c r="BF20" s="787">
        <v>23.41</v>
      </c>
      <c r="BG20" s="325">
        <v>150000497</v>
      </c>
    </row>
    <row r="21" spans="1:59" ht="24.9" customHeight="1" x14ac:dyDescent="0.3">
      <c r="A21" s="325">
        <v>150000495</v>
      </c>
      <c r="B21" s="445" t="s">
        <v>148</v>
      </c>
      <c r="C21" s="27">
        <v>2</v>
      </c>
      <c r="D21" s="101" t="s">
        <v>455</v>
      </c>
      <c r="E21" s="786">
        <v>409.93</v>
      </c>
      <c r="F21" s="5">
        <v>291</v>
      </c>
      <c r="G21" s="5">
        <v>1345</v>
      </c>
      <c r="H21" s="5">
        <v>1053</v>
      </c>
      <c r="I21" s="5">
        <v>0</v>
      </c>
      <c r="J21" s="5">
        <v>0</v>
      </c>
      <c r="K21" s="593"/>
      <c r="L21" s="5">
        <v>0</v>
      </c>
      <c r="M21" s="5">
        <v>0</v>
      </c>
      <c r="N21" s="5"/>
      <c r="O21" s="5">
        <v>0</v>
      </c>
      <c r="P21" s="5">
        <v>0</v>
      </c>
      <c r="Q21" s="784"/>
      <c r="R21" s="5">
        <v>0</v>
      </c>
      <c r="S21" s="5">
        <v>0</v>
      </c>
      <c r="T21" s="628"/>
      <c r="U21" s="5">
        <v>0</v>
      </c>
      <c r="V21" s="8">
        <v>0</v>
      </c>
      <c r="W21" s="5">
        <v>0</v>
      </c>
      <c r="X21" s="5">
        <v>0</v>
      </c>
      <c r="Y21" s="5">
        <v>0</v>
      </c>
      <c r="Z21" s="5"/>
      <c r="AA21" s="5">
        <v>0</v>
      </c>
      <c r="AB21" s="5">
        <v>0</v>
      </c>
      <c r="AC21" s="5">
        <v>0</v>
      </c>
      <c r="AD21" s="5">
        <v>1345</v>
      </c>
      <c r="AE21" s="5">
        <v>153.98510704112192</v>
      </c>
      <c r="AF21" s="5">
        <v>0</v>
      </c>
      <c r="AG21" s="5"/>
      <c r="AH21" s="5">
        <v>182.36785352390035</v>
      </c>
      <c r="AI21" s="5">
        <v>0</v>
      </c>
      <c r="AJ21" s="5"/>
      <c r="AK21" s="5">
        <v>19.630831119191669</v>
      </c>
      <c r="AL21" s="5">
        <v>0</v>
      </c>
      <c r="AM21" s="5"/>
      <c r="AN21" s="5">
        <v>0</v>
      </c>
      <c r="AO21" s="5">
        <v>0</v>
      </c>
      <c r="AP21" s="5"/>
      <c r="AQ21" s="5">
        <v>0</v>
      </c>
      <c r="AR21" s="5">
        <v>0</v>
      </c>
      <c r="AS21" s="5"/>
      <c r="AT21" s="5">
        <v>14.042517664827926</v>
      </c>
      <c r="AU21" s="5">
        <v>0</v>
      </c>
      <c r="AV21" s="5"/>
      <c r="AW21" s="5">
        <v>19.820413231539384</v>
      </c>
      <c r="AX21" s="5">
        <v>0</v>
      </c>
      <c r="AY21" s="5"/>
      <c r="AZ21" s="5">
        <v>195</v>
      </c>
      <c r="BA21" s="5">
        <v>0</v>
      </c>
      <c r="BB21" s="5">
        <v>-195</v>
      </c>
      <c r="BD21" s="2">
        <v>1</v>
      </c>
      <c r="BF21" s="787">
        <v>2.31</v>
      </c>
      <c r="BG21" s="325">
        <v>150000495</v>
      </c>
    </row>
    <row r="22" spans="1:59" ht="24.9" customHeight="1" x14ac:dyDescent="0.3">
      <c r="A22" s="325">
        <v>150000496</v>
      </c>
      <c r="B22" s="445" t="s">
        <v>149</v>
      </c>
      <c r="C22" s="27">
        <v>2</v>
      </c>
      <c r="D22" s="101" t="s">
        <v>455</v>
      </c>
      <c r="E22" s="786">
        <v>403.93</v>
      </c>
      <c r="F22" s="5">
        <v>273</v>
      </c>
      <c r="G22" s="5">
        <v>1379</v>
      </c>
      <c r="H22" s="5">
        <v>1106</v>
      </c>
      <c r="I22" s="5">
        <v>0</v>
      </c>
      <c r="J22" s="5">
        <v>0</v>
      </c>
      <c r="K22" s="153"/>
      <c r="L22" s="5">
        <v>0</v>
      </c>
      <c r="M22" s="5">
        <v>0</v>
      </c>
      <c r="N22" s="5"/>
      <c r="O22" s="5">
        <v>0</v>
      </c>
      <c r="P22" s="5">
        <v>0</v>
      </c>
      <c r="Q22" s="784"/>
      <c r="R22" s="5">
        <v>0</v>
      </c>
      <c r="S22" s="5">
        <v>0</v>
      </c>
      <c r="T22" s="628"/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/>
      <c r="AA22" s="5">
        <v>0</v>
      </c>
      <c r="AB22" s="5">
        <v>0</v>
      </c>
      <c r="AC22" s="5">
        <v>0</v>
      </c>
      <c r="AD22" s="5">
        <v>1379</v>
      </c>
      <c r="AE22" s="5">
        <v>153.98510704112192</v>
      </c>
      <c r="AF22" s="5">
        <v>0</v>
      </c>
      <c r="AG22" s="5"/>
      <c r="AH22" s="5">
        <v>182.36785352390035</v>
      </c>
      <c r="AI22" s="5">
        <v>0</v>
      </c>
      <c r="AJ22" s="5"/>
      <c r="AK22" s="5">
        <v>18.327843082678328</v>
      </c>
      <c r="AL22" s="5">
        <v>0</v>
      </c>
      <c r="AM22" s="5"/>
      <c r="AN22" s="5">
        <v>0</v>
      </c>
      <c r="AO22" s="5">
        <v>0</v>
      </c>
      <c r="AP22" s="5"/>
      <c r="AQ22" s="5">
        <v>0</v>
      </c>
      <c r="AR22" s="5">
        <v>0</v>
      </c>
      <c r="AS22" s="5"/>
      <c r="AT22" s="5">
        <v>14.042517664827926</v>
      </c>
      <c r="AU22" s="5">
        <v>0</v>
      </c>
      <c r="AV22" s="5"/>
      <c r="AW22" s="5">
        <v>19.588611164776246</v>
      </c>
      <c r="AX22" s="5">
        <v>0</v>
      </c>
      <c r="AY22" s="5"/>
      <c r="AZ22" s="5">
        <v>194</v>
      </c>
      <c r="BA22" s="5">
        <v>0</v>
      </c>
      <c r="BB22" s="5">
        <v>-194</v>
      </c>
      <c r="BD22" s="2">
        <v>1</v>
      </c>
      <c r="BF22" s="787">
        <v>2.27</v>
      </c>
      <c r="BG22" s="325">
        <v>150000496</v>
      </c>
    </row>
    <row r="23" spans="1:59" ht="24.9" customHeight="1" x14ac:dyDescent="0.3">
      <c r="A23" s="325">
        <v>150000498</v>
      </c>
      <c r="B23" s="445" t="s">
        <v>242</v>
      </c>
      <c r="C23" s="27">
        <v>5</v>
      </c>
      <c r="D23" s="101" t="s">
        <v>455</v>
      </c>
      <c r="E23" s="786">
        <v>4893.7</v>
      </c>
      <c r="F23" s="5">
        <v>2150</v>
      </c>
      <c r="G23" s="5">
        <v>0</v>
      </c>
      <c r="H23" s="5">
        <v>-2150</v>
      </c>
      <c r="I23" s="5">
        <v>0</v>
      </c>
      <c r="J23" s="5">
        <v>0</v>
      </c>
      <c r="K23" s="593"/>
      <c r="L23" s="5">
        <v>0</v>
      </c>
      <c r="M23" s="5">
        <v>0</v>
      </c>
      <c r="N23" s="5"/>
      <c r="O23" s="5">
        <v>0</v>
      </c>
      <c r="P23" s="5">
        <v>0</v>
      </c>
      <c r="Q23" s="784"/>
      <c r="R23" s="5">
        <v>0</v>
      </c>
      <c r="S23" s="5">
        <v>0</v>
      </c>
      <c r="T23" s="628"/>
      <c r="U23" s="5">
        <v>0</v>
      </c>
      <c r="V23" s="8">
        <v>0</v>
      </c>
      <c r="W23" s="5">
        <v>0</v>
      </c>
      <c r="X23" s="5">
        <v>0</v>
      </c>
      <c r="Y23" s="5">
        <v>0</v>
      </c>
      <c r="Z23" s="5"/>
      <c r="AA23" s="5">
        <v>0</v>
      </c>
      <c r="AB23" s="5">
        <v>0</v>
      </c>
      <c r="AC23" s="5">
        <v>0</v>
      </c>
      <c r="AD23" s="5">
        <v>0</v>
      </c>
      <c r="AE23" s="5">
        <v>1093.9855553233224</v>
      </c>
      <c r="AF23" s="5">
        <v>246</v>
      </c>
      <c r="AG23" s="454"/>
      <c r="AH23" s="5">
        <v>1467.7680779326615</v>
      </c>
      <c r="AI23" s="5">
        <v>0</v>
      </c>
      <c r="AJ23" s="5"/>
      <c r="AK23" s="5">
        <v>273.73015487233158</v>
      </c>
      <c r="AL23" s="5">
        <v>0</v>
      </c>
      <c r="AM23" s="5"/>
      <c r="AN23" s="5">
        <v>0</v>
      </c>
      <c r="AO23" s="5">
        <v>0</v>
      </c>
      <c r="AP23" s="5"/>
      <c r="AQ23" s="5">
        <v>0</v>
      </c>
      <c r="AR23" s="5">
        <v>0</v>
      </c>
      <c r="AS23" s="5"/>
      <c r="AT23" s="5">
        <v>1155.9075442834373</v>
      </c>
      <c r="AU23" s="5">
        <v>0</v>
      </c>
      <c r="AV23" s="5"/>
      <c r="AW23" s="5">
        <v>112.30914973199187</v>
      </c>
      <c r="AX23" s="5">
        <v>0</v>
      </c>
      <c r="AY23" s="5"/>
      <c r="AZ23" s="5">
        <v>2052</v>
      </c>
      <c r="BA23" s="5">
        <v>0</v>
      </c>
      <c r="BB23" s="5">
        <v>-2052</v>
      </c>
      <c r="BD23" s="2">
        <v>1</v>
      </c>
      <c r="BF23" s="787">
        <v>27.52</v>
      </c>
      <c r="BG23" s="325">
        <v>150000498</v>
      </c>
    </row>
    <row r="24" spans="1:59" ht="24.9" customHeight="1" x14ac:dyDescent="0.3">
      <c r="A24" s="325">
        <v>150000969</v>
      </c>
      <c r="B24" s="445" t="s">
        <v>193</v>
      </c>
      <c r="C24" s="27">
        <v>3</v>
      </c>
      <c r="D24" s="101" t="s">
        <v>455</v>
      </c>
      <c r="E24" s="786">
        <v>752</v>
      </c>
      <c r="F24" s="5">
        <v>442</v>
      </c>
      <c r="G24" s="5">
        <v>0</v>
      </c>
      <c r="H24" s="5">
        <v>-442</v>
      </c>
      <c r="I24" s="5">
        <v>0</v>
      </c>
      <c r="J24" s="5">
        <v>0</v>
      </c>
      <c r="K24" s="153"/>
      <c r="L24" s="5">
        <v>0</v>
      </c>
      <c r="M24" s="5">
        <v>0</v>
      </c>
      <c r="N24" s="5"/>
      <c r="O24" s="5">
        <v>0</v>
      </c>
      <c r="P24" s="5">
        <v>0</v>
      </c>
      <c r="Q24" s="784"/>
      <c r="R24" s="5">
        <v>0</v>
      </c>
      <c r="S24" s="5">
        <v>0</v>
      </c>
      <c r="T24" s="628"/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/>
      <c r="AA24" s="5">
        <v>0</v>
      </c>
      <c r="AB24" s="5">
        <v>0</v>
      </c>
      <c r="AC24" s="5">
        <v>0</v>
      </c>
      <c r="AD24" s="5">
        <v>0</v>
      </c>
      <c r="AE24" s="5">
        <v>237.9569656444493</v>
      </c>
      <c r="AF24" s="5">
        <v>0</v>
      </c>
      <c r="AG24" s="5"/>
      <c r="AH24" s="5">
        <v>326.06426810725799</v>
      </c>
      <c r="AI24" s="5">
        <v>0</v>
      </c>
      <c r="AJ24" s="5"/>
      <c r="AK24" s="5">
        <v>39.693628029359999</v>
      </c>
      <c r="AL24" s="5">
        <v>0</v>
      </c>
      <c r="AM24" s="5"/>
      <c r="AN24" s="5">
        <v>0</v>
      </c>
      <c r="AO24" s="5">
        <v>0</v>
      </c>
      <c r="AP24" s="5"/>
      <c r="AQ24" s="5">
        <v>0</v>
      </c>
      <c r="AR24" s="5">
        <v>0</v>
      </c>
      <c r="AS24" s="5"/>
      <c r="AT24" s="5">
        <v>88.439732446385875</v>
      </c>
      <c r="AU24" s="5">
        <v>0</v>
      </c>
      <c r="AV24" s="5"/>
      <c r="AW24" s="5">
        <v>15.52</v>
      </c>
      <c r="AX24" s="5">
        <v>0</v>
      </c>
      <c r="AY24" s="5"/>
      <c r="AZ24" s="5">
        <v>354</v>
      </c>
      <c r="BA24" s="5">
        <v>0</v>
      </c>
      <c r="BB24" s="5">
        <v>-354</v>
      </c>
      <c r="BD24" s="2">
        <v>2</v>
      </c>
      <c r="BF24" s="787">
        <v>0.73</v>
      </c>
      <c r="BG24" s="325">
        <v>150000969</v>
      </c>
    </row>
    <row r="25" spans="1:59" ht="24.9" customHeight="1" x14ac:dyDescent="0.3">
      <c r="A25" s="325">
        <v>150000989</v>
      </c>
      <c r="B25" s="445" t="s">
        <v>38</v>
      </c>
      <c r="C25" s="27">
        <v>1</v>
      </c>
      <c r="D25" s="101" t="s">
        <v>455</v>
      </c>
      <c r="E25" s="786">
        <v>256.91000000000003</v>
      </c>
      <c r="F25" s="5">
        <v>96</v>
      </c>
      <c r="G25" s="5">
        <v>0</v>
      </c>
      <c r="H25" s="5">
        <v>-96</v>
      </c>
      <c r="I25" s="5">
        <v>0</v>
      </c>
      <c r="J25" s="5">
        <v>0</v>
      </c>
      <c r="K25" s="153"/>
      <c r="L25" s="5">
        <v>0</v>
      </c>
      <c r="M25" s="5">
        <v>0</v>
      </c>
      <c r="N25" s="5"/>
      <c r="O25" s="5">
        <v>0</v>
      </c>
      <c r="P25" s="5">
        <v>0</v>
      </c>
      <c r="Q25" s="784"/>
      <c r="R25" s="5">
        <v>0</v>
      </c>
      <c r="S25" s="5">
        <v>0</v>
      </c>
      <c r="T25" s="628"/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/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/>
      <c r="AH25" s="5">
        <v>0</v>
      </c>
      <c r="AI25" s="5">
        <v>0</v>
      </c>
      <c r="AJ25" s="5"/>
      <c r="AK25" s="5">
        <v>0</v>
      </c>
      <c r="AL25" s="5">
        <v>0</v>
      </c>
      <c r="AM25" s="5"/>
      <c r="AN25" s="5">
        <v>0</v>
      </c>
      <c r="AO25" s="5">
        <v>0</v>
      </c>
      <c r="AP25" s="5"/>
      <c r="AQ25" s="5">
        <v>0</v>
      </c>
      <c r="AR25" s="5">
        <v>0</v>
      </c>
      <c r="AS25" s="5"/>
      <c r="AT25" s="5">
        <v>0</v>
      </c>
      <c r="AU25" s="5">
        <v>0</v>
      </c>
      <c r="AV25" s="5"/>
      <c r="AW25" s="5">
        <v>5.5691000000000006</v>
      </c>
      <c r="AX25" s="5">
        <v>0</v>
      </c>
      <c r="AY25" s="5"/>
      <c r="AZ25" s="5">
        <v>3</v>
      </c>
      <c r="BA25" s="5">
        <v>0</v>
      </c>
      <c r="BB25" s="5">
        <v>-3</v>
      </c>
      <c r="BD25" s="2">
        <v>3</v>
      </c>
      <c r="BF25" s="787">
        <v>0</v>
      </c>
      <c r="BG25" s="325">
        <v>150000989</v>
      </c>
    </row>
    <row r="26" spans="1:59" ht="24.9" customHeight="1" x14ac:dyDescent="0.3">
      <c r="A26" s="325">
        <v>150000970</v>
      </c>
      <c r="B26" s="445" t="s">
        <v>243</v>
      </c>
      <c r="C26" s="27">
        <v>5</v>
      </c>
      <c r="D26" s="101" t="s">
        <v>455</v>
      </c>
      <c r="E26" s="786">
        <v>2947.6</v>
      </c>
      <c r="F26" s="5">
        <v>1184</v>
      </c>
      <c r="G26" s="5">
        <v>0</v>
      </c>
      <c r="H26" s="5">
        <v>-1184</v>
      </c>
      <c r="I26" s="5">
        <v>0</v>
      </c>
      <c r="J26" s="5">
        <v>0</v>
      </c>
      <c r="K26" s="153"/>
      <c r="L26" s="5">
        <v>0</v>
      </c>
      <c r="M26" s="5">
        <v>0</v>
      </c>
      <c r="N26" s="5"/>
      <c r="O26" s="5">
        <v>0</v>
      </c>
      <c r="P26" s="5">
        <v>0</v>
      </c>
      <c r="Q26" s="784"/>
      <c r="R26" s="5">
        <v>0</v>
      </c>
      <c r="S26" s="5">
        <v>0</v>
      </c>
      <c r="T26" s="628"/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/>
      <c r="AA26" s="5">
        <v>0</v>
      </c>
      <c r="AB26" s="5">
        <v>0</v>
      </c>
      <c r="AC26" s="5">
        <v>0</v>
      </c>
      <c r="AD26" s="5">
        <v>0</v>
      </c>
      <c r="AE26" s="5">
        <v>551.8738770603785</v>
      </c>
      <c r="AF26" s="5">
        <v>0</v>
      </c>
      <c r="AG26" s="5"/>
      <c r="AH26" s="5">
        <v>729.77033074086489</v>
      </c>
      <c r="AI26" s="5">
        <v>0</v>
      </c>
      <c r="AJ26" s="5"/>
      <c r="AK26" s="5">
        <v>204.42169134337331</v>
      </c>
      <c r="AL26" s="5">
        <v>0</v>
      </c>
      <c r="AM26" s="5"/>
      <c r="AN26" s="5">
        <v>0</v>
      </c>
      <c r="AO26" s="5">
        <v>0</v>
      </c>
      <c r="AP26" s="5"/>
      <c r="AQ26" s="5">
        <v>0</v>
      </c>
      <c r="AR26" s="5">
        <v>0</v>
      </c>
      <c r="AS26" s="5"/>
      <c r="AT26" s="5">
        <v>331.69418926834328</v>
      </c>
      <c r="AU26" s="5">
        <v>0</v>
      </c>
      <c r="AV26" s="5"/>
      <c r="AW26" s="5">
        <v>58.471000000000004</v>
      </c>
      <c r="AX26" s="5">
        <v>0</v>
      </c>
      <c r="AY26" s="5"/>
      <c r="AZ26" s="5">
        <v>938</v>
      </c>
      <c r="BA26" s="5">
        <v>0</v>
      </c>
      <c r="BB26" s="5">
        <v>-938</v>
      </c>
      <c r="BD26" s="2">
        <v>2</v>
      </c>
      <c r="BF26" s="787">
        <v>2.87</v>
      </c>
      <c r="BG26" s="325">
        <v>150000970</v>
      </c>
    </row>
    <row r="27" spans="1:59" ht="24.9" customHeight="1" x14ac:dyDescent="0.3">
      <c r="A27" s="325">
        <v>150000971</v>
      </c>
      <c r="B27" s="445" t="s">
        <v>194</v>
      </c>
      <c r="C27" s="27">
        <v>3</v>
      </c>
      <c r="D27" s="101" t="s">
        <v>455</v>
      </c>
      <c r="E27" s="786">
        <v>1469.03</v>
      </c>
      <c r="F27" s="5">
        <v>950</v>
      </c>
      <c r="G27" s="5">
        <v>0</v>
      </c>
      <c r="H27" s="5">
        <v>-950</v>
      </c>
      <c r="I27" s="5">
        <v>0</v>
      </c>
      <c r="J27" s="5">
        <v>0</v>
      </c>
      <c r="K27" s="153"/>
      <c r="L27" s="5">
        <v>0</v>
      </c>
      <c r="M27" s="5">
        <v>0</v>
      </c>
      <c r="N27" s="5"/>
      <c r="O27" s="5">
        <v>0</v>
      </c>
      <c r="P27" s="5">
        <v>0</v>
      </c>
      <c r="Q27" s="784"/>
      <c r="R27" s="5">
        <v>0</v>
      </c>
      <c r="S27" s="5">
        <v>0</v>
      </c>
      <c r="T27" s="628"/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/>
      <c r="AA27" s="5">
        <v>0</v>
      </c>
      <c r="AB27" s="5">
        <v>0</v>
      </c>
      <c r="AC27" s="5">
        <v>0</v>
      </c>
      <c r="AD27" s="5">
        <v>0</v>
      </c>
      <c r="AE27" s="5">
        <v>383.66194581266103</v>
      </c>
      <c r="AF27" s="5">
        <v>0</v>
      </c>
      <c r="AG27" s="5"/>
      <c r="AH27" s="5">
        <v>508.13901115926359</v>
      </c>
      <c r="AI27" s="5">
        <v>0</v>
      </c>
      <c r="AJ27" s="5"/>
      <c r="AK27" s="5">
        <v>83.909569114636597</v>
      </c>
      <c r="AL27" s="5">
        <v>0</v>
      </c>
      <c r="AM27" s="5"/>
      <c r="AN27" s="5">
        <v>0</v>
      </c>
      <c r="AO27" s="5">
        <v>0</v>
      </c>
      <c r="AP27" s="5"/>
      <c r="AQ27" s="5">
        <v>0</v>
      </c>
      <c r="AR27" s="5">
        <v>0</v>
      </c>
      <c r="AS27" s="5"/>
      <c r="AT27" s="5">
        <v>282.30624853404959</v>
      </c>
      <c r="AU27" s="5">
        <v>0</v>
      </c>
      <c r="AV27" s="8"/>
      <c r="AW27" s="5">
        <v>28.131300000000003</v>
      </c>
      <c r="AX27" s="5">
        <v>0</v>
      </c>
      <c r="AY27" s="5"/>
      <c r="AZ27" s="5">
        <v>643</v>
      </c>
      <c r="BA27" s="5">
        <v>0</v>
      </c>
      <c r="BB27" s="5">
        <v>-643</v>
      </c>
      <c r="BD27" s="2">
        <v>2</v>
      </c>
      <c r="BF27" s="787">
        <v>1.38</v>
      </c>
      <c r="BG27" s="325">
        <v>150000971</v>
      </c>
    </row>
    <row r="28" spans="1:59" ht="24.9" customHeight="1" x14ac:dyDescent="0.3">
      <c r="A28" s="325">
        <v>150000991</v>
      </c>
      <c r="B28" s="445" t="s">
        <v>342</v>
      </c>
      <c r="C28" s="27">
        <v>9</v>
      </c>
      <c r="D28" s="101" t="s">
        <v>455</v>
      </c>
      <c r="E28" s="786">
        <v>4082.7</v>
      </c>
      <c r="F28" s="5">
        <v>2555</v>
      </c>
      <c r="G28" s="5">
        <v>1560</v>
      </c>
      <c r="H28" s="5">
        <v>-995</v>
      </c>
      <c r="I28" s="5">
        <v>0</v>
      </c>
      <c r="J28" s="5">
        <v>0</v>
      </c>
      <c r="K28" s="153"/>
      <c r="L28" s="5">
        <v>0</v>
      </c>
      <c r="M28" s="5">
        <v>0</v>
      </c>
      <c r="N28" s="5"/>
      <c r="O28" s="5">
        <v>0</v>
      </c>
      <c r="P28" s="5">
        <v>0</v>
      </c>
      <c r="Q28" s="784"/>
      <c r="R28" s="5">
        <v>0</v>
      </c>
      <c r="S28" s="5">
        <v>0</v>
      </c>
      <c r="T28" s="628"/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/>
      <c r="AA28" s="5">
        <v>0</v>
      </c>
      <c r="AB28" s="5">
        <v>0</v>
      </c>
      <c r="AC28" s="5">
        <v>954</v>
      </c>
      <c r="AD28" s="5">
        <v>606</v>
      </c>
      <c r="AE28" s="5">
        <v>417.73212133319328</v>
      </c>
      <c r="AF28" s="5">
        <v>0</v>
      </c>
      <c r="AG28" s="5"/>
      <c r="AH28" s="5">
        <v>401.60592733285353</v>
      </c>
      <c r="AI28" s="5">
        <v>0</v>
      </c>
      <c r="AJ28" s="5"/>
      <c r="AK28" s="5">
        <v>83.686183736381594</v>
      </c>
      <c r="AL28" s="5">
        <v>0</v>
      </c>
      <c r="AM28" s="5"/>
      <c r="AN28" s="5">
        <v>306.38266485794077</v>
      </c>
      <c r="AO28" s="5">
        <v>0</v>
      </c>
      <c r="AP28" s="5"/>
      <c r="AQ28" s="5">
        <v>208.49194222289759</v>
      </c>
      <c r="AR28" s="5">
        <v>16.5</v>
      </c>
      <c r="AS28" s="5"/>
      <c r="AT28" s="5">
        <v>275.59556611141232</v>
      </c>
      <c r="AU28" s="5">
        <v>0</v>
      </c>
      <c r="AV28" s="5"/>
      <c r="AW28" s="5">
        <v>40.397000000000006</v>
      </c>
      <c r="AX28" s="5">
        <v>0</v>
      </c>
      <c r="AY28" s="5"/>
      <c r="AZ28" s="5">
        <v>867</v>
      </c>
      <c r="BA28" s="5">
        <v>0</v>
      </c>
      <c r="BB28" s="5">
        <v>-867</v>
      </c>
      <c r="BD28" s="2">
        <v>3</v>
      </c>
      <c r="BF28" s="787">
        <v>7.99</v>
      </c>
      <c r="BG28" s="325">
        <v>150000991</v>
      </c>
    </row>
    <row r="29" spans="1:59" ht="24.9" customHeight="1" x14ac:dyDescent="0.3">
      <c r="A29" s="325">
        <v>150000992</v>
      </c>
      <c r="B29" s="445" t="s">
        <v>40</v>
      </c>
      <c r="C29" s="27">
        <v>1</v>
      </c>
      <c r="D29" s="101" t="s">
        <v>455</v>
      </c>
      <c r="E29" s="786">
        <v>263.39999999999998</v>
      </c>
      <c r="F29" s="5">
        <v>124</v>
      </c>
      <c r="G29" s="5">
        <v>575</v>
      </c>
      <c r="H29" s="5">
        <v>451</v>
      </c>
      <c r="I29" s="5">
        <v>0</v>
      </c>
      <c r="J29" s="5">
        <v>0</v>
      </c>
      <c r="K29" s="153"/>
      <c r="L29" s="5">
        <v>0</v>
      </c>
      <c r="M29" s="5">
        <v>0</v>
      </c>
      <c r="N29" s="5"/>
      <c r="O29" s="5">
        <v>0</v>
      </c>
      <c r="P29" s="5">
        <v>0</v>
      </c>
      <c r="Q29" s="784"/>
      <c r="R29" s="5">
        <v>0</v>
      </c>
      <c r="S29" s="5">
        <v>0</v>
      </c>
      <c r="T29" s="628"/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/>
      <c r="AA29" s="5">
        <v>0</v>
      </c>
      <c r="AB29" s="5">
        <v>0</v>
      </c>
      <c r="AC29" s="5">
        <v>0</v>
      </c>
      <c r="AD29" s="5">
        <v>575</v>
      </c>
      <c r="AE29" s="5">
        <v>0</v>
      </c>
      <c r="AF29" s="5">
        <v>0</v>
      </c>
      <c r="AG29" s="5"/>
      <c r="AH29" s="5">
        <v>0</v>
      </c>
      <c r="AI29" s="5">
        <v>0</v>
      </c>
      <c r="AJ29" s="5"/>
      <c r="AK29" s="5">
        <v>0</v>
      </c>
      <c r="AL29" s="5">
        <v>0</v>
      </c>
      <c r="AM29" s="5"/>
      <c r="AN29" s="5">
        <v>0</v>
      </c>
      <c r="AO29" s="5">
        <v>0</v>
      </c>
      <c r="AP29" s="5"/>
      <c r="AQ29" s="5">
        <v>0</v>
      </c>
      <c r="AR29" s="5">
        <v>0</v>
      </c>
      <c r="AS29" s="5"/>
      <c r="AT29" s="5">
        <v>0</v>
      </c>
      <c r="AU29" s="5">
        <v>0</v>
      </c>
      <c r="AV29" s="5"/>
      <c r="AW29" s="5">
        <v>5.6340000000000003</v>
      </c>
      <c r="AX29" s="5">
        <v>0</v>
      </c>
      <c r="AY29" s="5"/>
      <c r="AZ29" s="5">
        <v>3</v>
      </c>
      <c r="BA29" s="5">
        <v>0</v>
      </c>
      <c r="BB29" s="5">
        <v>-3</v>
      </c>
      <c r="BD29" s="2">
        <v>3</v>
      </c>
      <c r="BF29" s="787">
        <v>0</v>
      </c>
      <c r="BG29" s="325">
        <v>150000992</v>
      </c>
    </row>
    <row r="30" spans="1:59" ht="24.9" customHeight="1" x14ac:dyDescent="0.3">
      <c r="A30" s="325">
        <v>150000999</v>
      </c>
      <c r="B30" s="445" t="s">
        <v>41</v>
      </c>
      <c r="C30" s="27">
        <v>1</v>
      </c>
      <c r="D30" s="101" t="s">
        <v>455</v>
      </c>
      <c r="E30" s="786">
        <v>298.60000000000002</v>
      </c>
      <c r="F30" s="5">
        <v>130</v>
      </c>
      <c r="G30" s="5">
        <v>0</v>
      </c>
      <c r="H30" s="5">
        <v>-130</v>
      </c>
      <c r="I30" s="5">
        <v>0</v>
      </c>
      <c r="J30" s="5">
        <v>0</v>
      </c>
      <c r="K30" s="153"/>
      <c r="L30" s="5">
        <v>0</v>
      </c>
      <c r="M30" s="5">
        <v>0</v>
      </c>
      <c r="N30" s="5"/>
      <c r="O30" s="5">
        <v>0</v>
      </c>
      <c r="P30" s="5">
        <v>0</v>
      </c>
      <c r="Q30" s="784"/>
      <c r="R30" s="5">
        <v>0</v>
      </c>
      <c r="S30" s="5">
        <v>0</v>
      </c>
      <c r="T30" s="628"/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/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/>
      <c r="AH30" s="5">
        <v>0</v>
      </c>
      <c r="AI30" s="5">
        <v>0</v>
      </c>
      <c r="AJ30" s="5"/>
      <c r="AK30" s="5">
        <v>0</v>
      </c>
      <c r="AL30" s="5">
        <v>0</v>
      </c>
      <c r="AM30" s="5"/>
      <c r="AN30" s="5">
        <v>0</v>
      </c>
      <c r="AO30" s="5">
        <v>0</v>
      </c>
      <c r="AP30" s="5"/>
      <c r="AQ30" s="5">
        <v>0</v>
      </c>
      <c r="AR30" s="5">
        <v>0</v>
      </c>
      <c r="AS30" s="5"/>
      <c r="AT30" s="5">
        <v>0</v>
      </c>
      <c r="AU30" s="5">
        <v>0</v>
      </c>
      <c r="AV30" s="5"/>
      <c r="AW30" s="5">
        <v>5.9860000000000007</v>
      </c>
      <c r="AX30" s="5">
        <v>0</v>
      </c>
      <c r="AY30" s="5"/>
      <c r="AZ30" s="5">
        <v>3</v>
      </c>
      <c r="BA30" s="5">
        <v>0</v>
      </c>
      <c r="BB30" s="5">
        <v>-3</v>
      </c>
      <c r="BD30" s="2">
        <v>3</v>
      </c>
      <c r="BF30" s="787">
        <v>0</v>
      </c>
      <c r="BG30" s="325">
        <v>150000999</v>
      </c>
    </row>
    <row r="31" spans="1:59" ht="24.9" customHeight="1" x14ac:dyDescent="0.3">
      <c r="A31" s="325">
        <v>150000993</v>
      </c>
      <c r="B31" s="445" t="s">
        <v>42</v>
      </c>
      <c r="C31" s="27">
        <v>1</v>
      </c>
      <c r="D31" s="101" t="s">
        <v>455</v>
      </c>
      <c r="E31" s="786">
        <v>298.39999999999998</v>
      </c>
      <c r="F31" s="5">
        <v>126</v>
      </c>
      <c r="G31" s="5">
        <v>575</v>
      </c>
      <c r="H31" s="5">
        <v>449</v>
      </c>
      <c r="I31" s="5">
        <v>0</v>
      </c>
      <c r="J31" s="5">
        <v>0</v>
      </c>
      <c r="K31" s="153"/>
      <c r="L31" s="5">
        <v>0</v>
      </c>
      <c r="M31" s="5">
        <v>0</v>
      </c>
      <c r="N31" s="5"/>
      <c r="O31" s="5">
        <v>0</v>
      </c>
      <c r="P31" s="5">
        <v>0</v>
      </c>
      <c r="Q31" s="784"/>
      <c r="R31" s="5">
        <v>0</v>
      </c>
      <c r="S31" s="5">
        <v>0</v>
      </c>
      <c r="T31" s="628"/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/>
      <c r="AA31" s="5">
        <v>0</v>
      </c>
      <c r="AB31" s="5">
        <v>0</v>
      </c>
      <c r="AC31" s="5">
        <v>0</v>
      </c>
      <c r="AD31" s="5">
        <v>575</v>
      </c>
      <c r="AE31" s="5">
        <v>0</v>
      </c>
      <c r="AF31" s="5">
        <v>0</v>
      </c>
      <c r="AG31" s="5"/>
      <c r="AH31" s="5">
        <v>0</v>
      </c>
      <c r="AI31" s="5">
        <v>0</v>
      </c>
      <c r="AJ31" s="5"/>
      <c r="AK31" s="5">
        <v>0</v>
      </c>
      <c r="AL31" s="5">
        <v>0</v>
      </c>
      <c r="AM31" s="5"/>
      <c r="AN31" s="5">
        <v>0</v>
      </c>
      <c r="AO31" s="5">
        <v>0</v>
      </c>
      <c r="AP31" s="5"/>
      <c r="AQ31" s="5">
        <v>0</v>
      </c>
      <c r="AR31" s="5">
        <v>0</v>
      </c>
      <c r="AS31" s="5"/>
      <c r="AT31" s="5">
        <v>0</v>
      </c>
      <c r="AU31" s="5">
        <v>0</v>
      </c>
      <c r="AV31" s="5"/>
      <c r="AW31" s="5">
        <v>5.984</v>
      </c>
      <c r="AX31" s="5">
        <v>0</v>
      </c>
      <c r="AY31" s="5"/>
      <c r="AZ31" s="5">
        <v>3</v>
      </c>
      <c r="BA31" s="5">
        <v>0</v>
      </c>
      <c r="BB31" s="5">
        <v>-3</v>
      </c>
      <c r="BD31" s="2">
        <v>3</v>
      </c>
      <c r="BF31" s="787">
        <v>0</v>
      </c>
      <c r="BG31" s="325">
        <v>150000993</v>
      </c>
    </row>
    <row r="32" spans="1:59" ht="24.9" customHeight="1" x14ac:dyDescent="0.3">
      <c r="A32" s="325">
        <v>150001000</v>
      </c>
      <c r="B32" s="445" t="s">
        <v>43</v>
      </c>
      <c r="C32" s="27">
        <v>1</v>
      </c>
      <c r="D32" s="101" t="s">
        <v>455</v>
      </c>
      <c r="E32" s="786">
        <v>236.7</v>
      </c>
      <c r="F32" s="5">
        <v>117</v>
      </c>
      <c r="G32" s="5">
        <v>0</v>
      </c>
      <c r="H32" s="5">
        <v>-117</v>
      </c>
      <c r="I32" s="5">
        <v>0</v>
      </c>
      <c r="J32" s="5">
        <v>0</v>
      </c>
      <c r="K32" s="153"/>
      <c r="L32" s="5">
        <v>0</v>
      </c>
      <c r="M32" s="5">
        <v>0</v>
      </c>
      <c r="N32" s="5"/>
      <c r="O32" s="5">
        <v>0</v>
      </c>
      <c r="P32" s="5">
        <v>0</v>
      </c>
      <c r="Q32" s="784"/>
      <c r="R32" s="5">
        <v>0</v>
      </c>
      <c r="S32" s="5">
        <v>0</v>
      </c>
      <c r="T32" s="628"/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/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/>
      <c r="AH32" s="5">
        <v>0</v>
      </c>
      <c r="AI32" s="5">
        <v>0</v>
      </c>
      <c r="AJ32" s="5"/>
      <c r="AK32" s="5">
        <v>0</v>
      </c>
      <c r="AL32" s="5">
        <v>0</v>
      </c>
      <c r="AM32" s="5"/>
      <c r="AN32" s="5">
        <v>0</v>
      </c>
      <c r="AO32" s="5">
        <v>0</v>
      </c>
      <c r="AP32" s="5"/>
      <c r="AQ32" s="5">
        <v>0</v>
      </c>
      <c r="AR32" s="5">
        <v>0</v>
      </c>
      <c r="AS32" s="5"/>
      <c r="AT32" s="5">
        <v>0</v>
      </c>
      <c r="AU32" s="5">
        <v>0</v>
      </c>
      <c r="AV32" s="5"/>
      <c r="AW32" s="5">
        <v>4.367</v>
      </c>
      <c r="AX32" s="5">
        <v>0</v>
      </c>
      <c r="AY32" s="5"/>
      <c r="AZ32" s="5">
        <v>2</v>
      </c>
      <c r="BA32" s="5">
        <v>0</v>
      </c>
      <c r="BB32" s="5">
        <v>-2</v>
      </c>
      <c r="BD32" s="2">
        <v>3</v>
      </c>
      <c r="BF32" s="787">
        <v>0</v>
      </c>
      <c r="BG32" s="325">
        <v>150001000</v>
      </c>
    </row>
    <row r="33" spans="1:59" ht="24.9" customHeight="1" x14ac:dyDescent="0.3">
      <c r="A33" s="325">
        <v>150001004</v>
      </c>
      <c r="B33" s="445" t="s">
        <v>44</v>
      </c>
      <c r="C33" s="27">
        <v>1</v>
      </c>
      <c r="D33" s="101" t="s">
        <v>455</v>
      </c>
      <c r="E33" s="786">
        <v>315.7</v>
      </c>
      <c r="F33" s="5">
        <v>131</v>
      </c>
      <c r="G33" s="5">
        <v>0</v>
      </c>
      <c r="H33" s="5">
        <v>-131</v>
      </c>
      <c r="I33" s="5">
        <v>0</v>
      </c>
      <c r="J33" s="5">
        <v>0</v>
      </c>
      <c r="K33" s="153"/>
      <c r="L33" s="5">
        <v>0</v>
      </c>
      <c r="M33" s="5">
        <v>0</v>
      </c>
      <c r="N33" s="5"/>
      <c r="O33" s="5">
        <v>0</v>
      </c>
      <c r="P33" s="5">
        <v>0</v>
      </c>
      <c r="Q33" s="784"/>
      <c r="R33" s="5">
        <v>0</v>
      </c>
      <c r="S33" s="5">
        <v>0</v>
      </c>
      <c r="T33" s="628"/>
      <c r="U33" s="5">
        <v>0</v>
      </c>
      <c r="V33" s="8">
        <v>0</v>
      </c>
      <c r="W33" s="5">
        <v>0</v>
      </c>
      <c r="X33" s="5">
        <v>0</v>
      </c>
      <c r="Y33" s="5">
        <v>0</v>
      </c>
      <c r="Z33" s="5"/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/>
      <c r="AH33" s="5">
        <v>0</v>
      </c>
      <c r="AI33" s="5">
        <v>0</v>
      </c>
      <c r="AJ33" s="5"/>
      <c r="AK33" s="5">
        <v>0</v>
      </c>
      <c r="AL33" s="5">
        <v>0</v>
      </c>
      <c r="AM33" s="5"/>
      <c r="AN33" s="5">
        <v>0</v>
      </c>
      <c r="AO33" s="5">
        <v>0</v>
      </c>
      <c r="AP33" s="5"/>
      <c r="AQ33" s="5">
        <v>0</v>
      </c>
      <c r="AR33" s="5">
        <v>0</v>
      </c>
      <c r="AS33" s="5"/>
      <c r="AT33" s="5">
        <v>0</v>
      </c>
      <c r="AU33" s="5">
        <v>0</v>
      </c>
      <c r="AV33" s="5"/>
      <c r="AW33" s="5">
        <v>6.0960000000000001</v>
      </c>
      <c r="AX33" s="5">
        <v>0</v>
      </c>
      <c r="AY33" s="5"/>
      <c r="AZ33" s="5">
        <v>3</v>
      </c>
      <c r="BA33" s="5">
        <v>0</v>
      </c>
      <c r="BB33" s="5">
        <v>-3</v>
      </c>
      <c r="BD33" s="2">
        <v>3</v>
      </c>
      <c r="BF33" s="787">
        <v>0</v>
      </c>
      <c r="BG33" s="325">
        <v>150001004</v>
      </c>
    </row>
    <row r="34" spans="1:59" ht="24.9" customHeight="1" x14ac:dyDescent="0.3">
      <c r="A34" s="325">
        <v>150000994</v>
      </c>
      <c r="B34" s="445" t="s">
        <v>45</v>
      </c>
      <c r="C34" s="27">
        <v>1</v>
      </c>
      <c r="D34" s="101" t="s">
        <v>455</v>
      </c>
      <c r="E34" s="786">
        <v>239.9</v>
      </c>
      <c r="F34" s="5">
        <v>112</v>
      </c>
      <c r="G34" s="5">
        <v>575</v>
      </c>
      <c r="H34" s="5">
        <v>463</v>
      </c>
      <c r="I34" s="5">
        <v>0</v>
      </c>
      <c r="J34" s="5">
        <v>0</v>
      </c>
      <c r="K34" s="153"/>
      <c r="L34" s="5">
        <v>0</v>
      </c>
      <c r="M34" s="5">
        <v>0</v>
      </c>
      <c r="N34" s="5"/>
      <c r="O34" s="5">
        <v>0</v>
      </c>
      <c r="P34" s="5">
        <v>0</v>
      </c>
      <c r="Q34" s="784"/>
      <c r="R34" s="5">
        <v>0</v>
      </c>
      <c r="S34" s="5">
        <v>0</v>
      </c>
      <c r="T34" s="628"/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/>
      <c r="AA34" s="5">
        <v>0</v>
      </c>
      <c r="AB34" s="5">
        <v>0</v>
      </c>
      <c r="AC34" s="5">
        <v>0</v>
      </c>
      <c r="AD34" s="5">
        <v>575</v>
      </c>
      <c r="AE34" s="5">
        <v>0</v>
      </c>
      <c r="AF34" s="5">
        <v>0</v>
      </c>
      <c r="AG34" s="5"/>
      <c r="AH34" s="5">
        <v>0</v>
      </c>
      <c r="AI34" s="5">
        <v>0</v>
      </c>
      <c r="AJ34" s="5"/>
      <c r="AK34" s="5">
        <v>0</v>
      </c>
      <c r="AL34" s="5">
        <v>0</v>
      </c>
      <c r="AM34" s="5"/>
      <c r="AN34" s="5">
        <v>0</v>
      </c>
      <c r="AO34" s="5">
        <v>0</v>
      </c>
      <c r="AP34" s="5"/>
      <c r="AQ34" s="5">
        <v>0</v>
      </c>
      <c r="AR34" s="5">
        <v>0</v>
      </c>
      <c r="AS34" s="5"/>
      <c r="AT34" s="5">
        <v>0</v>
      </c>
      <c r="AU34" s="5">
        <v>0</v>
      </c>
      <c r="AV34" s="5"/>
      <c r="AW34" s="5">
        <v>4.399</v>
      </c>
      <c r="AX34" s="5">
        <v>0</v>
      </c>
      <c r="AY34" s="5"/>
      <c r="AZ34" s="5">
        <v>2</v>
      </c>
      <c r="BA34" s="5">
        <v>0</v>
      </c>
      <c r="BB34" s="5">
        <v>-2</v>
      </c>
      <c r="BD34" s="2">
        <v>3</v>
      </c>
      <c r="BF34" s="787">
        <v>0</v>
      </c>
      <c r="BG34" s="325">
        <v>150000994</v>
      </c>
    </row>
    <row r="35" spans="1:59" ht="24.9" customHeight="1" x14ac:dyDescent="0.3">
      <c r="A35" s="325">
        <v>150001001</v>
      </c>
      <c r="B35" s="445" t="s">
        <v>46</v>
      </c>
      <c r="C35" s="27">
        <v>1</v>
      </c>
      <c r="D35" s="101" t="s">
        <v>455</v>
      </c>
      <c r="E35" s="786">
        <v>239.8</v>
      </c>
      <c r="F35" s="5">
        <v>115</v>
      </c>
      <c r="G35" s="5">
        <v>0</v>
      </c>
      <c r="H35" s="5">
        <v>-115</v>
      </c>
      <c r="I35" s="5">
        <v>0</v>
      </c>
      <c r="J35" s="5">
        <v>0</v>
      </c>
      <c r="K35" s="153"/>
      <c r="L35" s="5">
        <v>0</v>
      </c>
      <c r="M35" s="5">
        <v>0</v>
      </c>
      <c r="N35" s="5"/>
      <c r="O35" s="5">
        <v>0</v>
      </c>
      <c r="P35" s="5">
        <v>0</v>
      </c>
      <c r="Q35" s="784"/>
      <c r="R35" s="5">
        <v>0</v>
      </c>
      <c r="S35" s="5">
        <v>0</v>
      </c>
      <c r="T35" s="628"/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/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/>
      <c r="AH35" s="5">
        <v>0</v>
      </c>
      <c r="AI35" s="5">
        <v>0</v>
      </c>
      <c r="AJ35" s="5"/>
      <c r="AK35" s="5">
        <v>0</v>
      </c>
      <c r="AL35" s="5">
        <v>0</v>
      </c>
      <c r="AM35" s="5"/>
      <c r="AN35" s="5">
        <v>0</v>
      </c>
      <c r="AO35" s="5">
        <v>0</v>
      </c>
      <c r="AP35" s="5"/>
      <c r="AQ35" s="5">
        <v>0</v>
      </c>
      <c r="AR35" s="5">
        <v>0</v>
      </c>
      <c r="AS35" s="5"/>
      <c r="AT35" s="5">
        <v>0</v>
      </c>
      <c r="AU35" s="5">
        <v>0</v>
      </c>
      <c r="AV35" s="5"/>
      <c r="AW35" s="5">
        <v>4.3877000000000006</v>
      </c>
      <c r="AX35" s="5">
        <v>0</v>
      </c>
      <c r="AY35" s="5"/>
      <c r="AZ35" s="5">
        <v>2</v>
      </c>
      <c r="BA35" s="5">
        <v>0</v>
      </c>
      <c r="BB35" s="5">
        <v>-2</v>
      </c>
      <c r="BD35" s="2">
        <v>3</v>
      </c>
      <c r="BF35" s="787">
        <v>0</v>
      </c>
      <c r="BG35" s="325">
        <v>150001001</v>
      </c>
    </row>
    <row r="36" spans="1:59" ht="24.9" customHeight="1" x14ac:dyDescent="0.3">
      <c r="A36" s="325">
        <v>150001005</v>
      </c>
      <c r="B36" s="445" t="s">
        <v>47</v>
      </c>
      <c r="C36" s="27">
        <v>1</v>
      </c>
      <c r="D36" s="101" t="s">
        <v>455</v>
      </c>
      <c r="E36" s="786">
        <v>242.2</v>
      </c>
      <c r="F36" s="5">
        <v>133</v>
      </c>
      <c r="G36" s="5">
        <v>0</v>
      </c>
      <c r="H36" s="5">
        <v>-133</v>
      </c>
      <c r="I36" s="5">
        <v>0</v>
      </c>
      <c r="J36" s="5">
        <v>0</v>
      </c>
      <c r="K36" s="153"/>
      <c r="L36" s="5">
        <v>0</v>
      </c>
      <c r="M36" s="5">
        <v>0</v>
      </c>
      <c r="N36" s="5"/>
      <c r="O36" s="5">
        <v>0</v>
      </c>
      <c r="P36" s="5">
        <v>0</v>
      </c>
      <c r="Q36" s="784"/>
      <c r="R36" s="5">
        <v>0</v>
      </c>
      <c r="S36" s="5">
        <v>0</v>
      </c>
      <c r="T36" s="628"/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/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/>
      <c r="AH36" s="5">
        <v>0</v>
      </c>
      <c r="AI36" s="5">
        <v>0</v>
      </c>
      <c r="AJ36" s="5"/>
      <c r="AK36" s="5">
        <v>0</v>
      </c>
      <c r="AL36" s="5">
        <v>0</v>
      </c>
      <c r="AM36" s="5"/>
      <c r="AN36" s="5">
        <v>0</v>
      </c>
      <c r="AO36" s="5">
        <v>0</v>
      </c>
      <c r="AP36" s="5"/>
      <c r="AQ36" s="5">
        <v>0</v>
      </c>
      <c r="AR36" s="5">
        <v>0</v>
      </c>
      <c r="AS36" s="5"/>
      <c r="AT36" s="5">
        <v>0</v>
      </c>
      <c r="AU36" s="5">
        <v>0</v>
      </c>
      <c r="AV36" s="5"/>
      <c r="AW36" s="5">
        <v>4.4220000000000006</v>
      </c>
      <c r="AX36" s="5">
        <v>0</v>
      </c>
      <c r="AY36" s="5"/>
      <c r="AZ36" s="5">
        <v>2</v>
      </c>
      <c r="BA36" s="5">
        <v>0</v>
      </c>
      <c r="BB36" s="5">
        <v>-2</v>
      </c>
      <c r="BD36" s="2">
        <v>3</v>
      </c>
      <c r="BF36" s="787">
        <v>0</v>
      </c>
      <c r="BG36" s="325">
        <v>150001005</v>
      </c>
    </row>
    <row r="37" spans="1:59" ht="24.9" customHeight="1" x14ac:dyDescent="0.3">
      <c r="A37" s="325">
        <v>150000995</v>
      </c>
      <c r="B37" s="445" t="s">
        <v>48</v>
      </c>
      <c r="C37" s="27">
        <v>1</v>
      </c>
      <c r="D37" s="101" t="s">
        <v>455</v>
      </c>
      <c r="E37" s="786">
        <v>135.6</v>
      </c>
      <c r="F37" s="5">
        <v>70</v>
      </c>
      <c r="G37" s="5">
        <v>0</v>
      </c>
      <c r="H37" s="5">
        <v>-70</v>
      </c>
      <c r="I37" s="5">
        <v>0</v>
      </c>
      <c r="J37" s="5">
        <v>0</v>
      </c>
      <c r="K37" s="153"/>
      <c r="L37" s="5">
        <v>0</v>
      </c>
      <c r="M37" s="5">
        <v>0</v>
      </c>
      <c r="N37" s="5"/>
      <c r="O37" s="5">
        <v>0</v>
      </c>
      <c r="P37" s="5">
        <v>0</v>
      </c>
      <c r="Q37" s="784"/>
      <c r="R37" s="5">
        <v>0</v>
      </c>
      <c r="S37" s="5">
        <v>0</v>
      </c>
      <c r="T37" s="628"/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/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/>
      <c r="AH37" s="5">
        <v>0</v>
      </c>
      <c r="AI37" s="5">
        <v>0</v>
      </c>
      <c r="AJ37" s="5"/>
      <c r="AK37" s="5">
        <v>0</v>
      </c>
      <c r="AL37" s="5">
        <v>0</v>
      </c>
      <c r="AM37" s="5"/>
      <c r="AN37" s="5">
        <v>0</v>
      </c>
      <c r="AO37" s="5">
        <v>0</v>
      </c>
      <c r="AP37" s="5"/>
      <c r="AQ37" s="5">
        <v>0</v>
      </c>
      <c r="AR37" s="5">
        <v>0</v>
      </c>
      <c r="AS37" s="5"/>
      <c r="AT37" s="5">
        <v>0</v>
      </c>
      <c r="AU37" s="5">
        <v>0</v>
      </c>
      <c r="AV37" s="5"/>
      <c r="AW37" s="5">
        <v>2.3559999999999999</v>
      </c>
      <c r="AX37" s="5">
        <v>0</v>
      </c>
      <c r="AY37" s="5"/>
      <c r="AZ37" s="5">
        <v>1</v>
      </c>
      <c r="BA37" s="5">
        <v>0</v>
      </c>
      <c r="BB37" s="5">
        <v>-1</v>
      </c>
      <c r="BD37" s="2">
        <v>3</v>
      </c>
      <c r="BF37" s="787">
        <v>0</v>
      </c>
      <c r="BG37" s="325">
        <v>150000995</v>
      </c>
    </row>
    <row r="38" spans="1:59" ht="24.9" customHeight="1" x14ac:dyDescent="0.3">
      <c r="A38" s="325">
        <v>150001002</v>
      </c>
      <c r="B38" s="445" t="s">
        <v>49</v>
      </c>
      <c r="C38" s="27">
        <v>1</v>
      </c>
      <c r="D38" s="101" t="s">
        <v>455</v>
      </c>
      <c r="E38" s="786">
        <v>229.9</v>
      </c>
      <c r="F38" s="5">
        <v>113</v>
      </c>
      <c r="G38" s="5">
        <v>0</v>
      </c>
      <c r="H38" s="5">
        <v>-113</v>
      </c>
      <c r="I38" s="5">
        <v>0</v>
      </c>
      <c r="J38" s="5">
        <v>0</v>
      </c>
      <c r="K38" s="153"/>
      <c r="L38" s="5">
        <v>0</v>
      </c>
      <c r="M38" s="5">
        <v>0</v>
      </c>
      <c r="N38" s="5"/>
      <c r="O38" s="5">
        <v>0</v>
      </c>
      <c r="P38" s="5">
        <v>0</v>
      </c>
      <c r="Q38" s="784"/>
      <c r="R38" s="5">
        <v>0</v>
      </c>
      <c r="S38" s="5">
        <v>0</v>
      </c>
      <c r="T38" s="628"/>
      <c r="U38" s="5">
        <v>0</v>
      </c>
      <c r="V38" s="8">
        <v>0</v>
      </c>
      <c r="W38" s="5">
        <v>0</v>
      </c>
      <c r="X38" s="5">
        <v>0</v>
      </c>
      <c r="Y38" s="5">
        <v>0</v>
      </c>
      <c r="Z38" s="5"/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/>
      <c r="AH38" s="5">
        <v>0</v>
      </c>
      <c r="AI38" s="5">
        <v>0</v>
      </c>
      <c r="AJ38" s="5"/>
      <c r="AK38" s="5">
        <v>0</v>
      </c>
      <c r="AL38" s="5">
        <v>0</v>
      </c>
      <c r="AM38" s="5"/>
      <c r="AN38" s="5">
        <v>0</v>
      </c>
      <c r="AO38" s="5">
        <v>0</v>
      </c>
      <c r="AP38" s="5"/>
      <c r="AQ38" s="5">
        <v>0</v>
      </c>
      <c r="AR38" s="5">
        <v>0</v>
      </c>
      <c r="AS38" s="5"/>
      <c r="AT38" s="5">
        <v>0</v>
      </c>
      <c r="AU38" s="5">
        <v>0</v>
      </c>
      <c r="AV38" s="5"/>
      <c r="AW38" s="5">
        <v>4.2989999999999995</v>
      </c>
      <c r="AX38" s="5">
        <v>0</v>
      </c>
      <c r="AY38" s="5"/>
      <c r="AZ38" s="5">
        <v>2</v>
      </c>
      <c r="BA38" s="5">
        <v>0</v>
      </c>
      <c r="BB38" s="5">
        <v>-2</v>
      </c>
      <c r="BD38" s="2">
        <v>3</v>
      </c>
      <c r="BF38" s="787">
        <v>0</v>
      </c>
      <c r="BG38" s="325">
        <v>150001002</v>
      </c>
    </row>
    <row r="39" spans="1:59" ht="24.9" customHeight="1" x14ac:dyDescent="0.3">
      <c r="A39" s="325">
        <v>150000972</v>
      </c>
      <c r="B39" s="445" t="s">
        <v>202</v>
      </c>
      <c r="C39" s="27">
        <v>4</v>
      </c>
      <c r="D39" s="101" t="s">
        <v>455</v>
      </c>
      <c r="E39" s="786">
        <v>2167.6</v>
      </c>
      <c r="F39" s="5">
        <v>1116</v>
      </c>
      <c r="G39" s="5">
        <v>1628</v>
      </c>
      <c r="H39" s="5">
        <v>-1116</v>
      </c>
      <c r="I39" s="5">
        <v>0</v>
      </c>
      <c r="J39" s="5">
        <v>1628</v>
      </c>
      <c r="K39" s="153"/>
      <c r="L39" s="5">
        <v>0</v>
      </c>
      <c r="M39" s="5">
        <v>0</v>
      </c>
      <c r="N39" s="628"/>
      <c r="O39" s="5">
        <v>0</v>
      </c>
      <c r="P39" s="5">
        <v>0</v>
      </c>
      <c r="Q39" s="784"/>
      <c r="R39" s="5">
        <v>0</v>
      </c>
      <c r="S39" s="5">
        <v>0</v>
      </c>
      <c r="T39" s="628"/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/>
      <c r="AA39" s="5">
        <v>0</v>
      </c>
      <c r="AB39" s="5">
        <v>0</v>
      </c>
      <c r="AC39" s="5">
        <v>0</v>
      </c>
      <c r="AD39" s="5">
        <v>0</v>
      </c>
      <c r="AE39" s="5">
        <v>546.34506961271995</v>
      </c>
      <c r="AF39" s="5">
        <v>0</v>
      </c>
      <c r="AG39" s="5"/>
      <c r="AH39" s="5">
        <v>590.19820381707882</v>
      </c>
      <c r="AI39" s="5">
        <v>0</v>
      </c>
      <c r="AJ39" s="5"/>
      <c r="AK39" s="5">
        <v>166.26736421427</v>
      </c>
      <c r="AL39" s="5">
        <v>0</v>
      </c>
      <c r="AM39" s="5"/>
      <c r="AN39" s="5">
        <v>0</v>
      </c>
      <c r="AO39" s="5">
        <v>0</v>
      </c>
      <c r="AP39" s="5"/>
      <c r="AQ39" s="5">
        <v>0</v>
      </c>
      <c r="AR39" s="5">
        <v>0</v>
      </c>
      <c r="AS39" s="5"/>
      <c r="AT39" s="5">
        <v>325.51064117837188</v>
      </c>
      <c r="AU39" s="5">
        <v>0</v>
      </c>
      <c r="AV39" s="5"/>
      <c r="AW39" s="5">
        <v>45.993000000000002</v>
      </c>
      <c r="AX39" s="5">
        <v>0</v>
      </c>
      <c r="AY39" s="5"/>
      <c r="AZ39" s="5">
        <v>837</v>
      </c>
      <c r="BA39" s="5">
        <v>0</v>
      </c>
      <c r="BB39" s="5">
        <v>-837</v>
      </c>
      <c r="BD39" s="2">
        <v>2</v>
      </c>
      <c r="BF39" s="787">
        <v>2.2400000000000002</v>
      </c>
      <c r="BG39" s="325">
        <v>150000972</v>
      </c>
    </row>
    <row r="40" spans="1:59" ht="24.9" customHeight="1" x14ac:dyDescent="0.3">
      <c r="A40" s="325">
        <v>150000973</v>
      </c>
      <c r="B40" s="445" t="s">
        <v>50</v>
      </c>
      <c r="C40" s="27">
        <v>1</v>
      </c>
      <c r="D40" s="101" t="s">
        <v>455</v>
      </c>
      <c r="E40" s="786">
        <v>132.19999999999999</v>
      </c>
      <c r="F40" s="5">
        <v>99</v>
      </c>
      <c r="G40" s="5">
        <v>0</v>
      </c>
      <c r="H40" s="5">
        <v>-99</v>
      </c>
      <c r="I40" s="5">
        <v>0</v>
      </c>
      <c r="J40" s="5">
        <v>0</v>
      </c>
      <c r="K40" s="153"/>
      <c r="L40" s="5">
        <v>0</v>
      </c>
      <c r="M40" s="5">
        <v>0</v>
      </c>
      <c r="N40" s="5"/>
      <c r="O40" s="5">
        <v>0</v>
      </c>
      <c r="P40" s="5">
        <v>0</v>
      </c>
      <c r="Q40" s="784"/>
      <c r="R40" s="5">
        <v>0</v>
      </c>
      <c r="S40" s="5">
        <v>0</v>
      </c>
      <c r="T40" s="628"/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/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/>
      <c r="AH40" s="5">
        <v>0</v>
      </c>
      <c r="AI40" s="5">
        <v>0</v>
      </c>
      <c r="AJ40" s="5"/>
      <c r="AK40" s="5">
        <v>0</v>
      </c>
      <c r="AL40" s="5">
        <v>0</v>
      </c>
      <c r="AM40" s="5"/>
      <c r="AN40" s="5">
        <v>0</v>
      </c>
      <c r="AO40" s="5">
        <v>0</v>
      </c>
      <c r="AP40" s="5"/>
      <c r="AQ40" s="5">
        <v>0</v>
      </c>
      <c r="AR40" s="5">
        <v>0</v>
      </c>
      <c r="AS40" s="5"/>
      <c r="AT40" s="5">
        <v>0</v>
      </c>
      <c r="AU40" s="5">
        <v>0</v>
      </c>
      <c r="AV40" s="5"/>
      <c r="AW40" s="5">
        <v>2.3220000000000001</v>
      </c>
      <c r="AX40" s="5">
        <v>0</v>
      </c>
      <c r="AY40" s="5"/>
      <c r="AZ40" s="5">
        <v>1</v>
      </c>
      <c r="BA40" s="5">
        <v>0</v>
      </c>
      <c r="BB40" s="5">
        <v>-1</v>
      </c>
      <c r="BD40" s="2">
        <v>2</v>
      </c>
      <c r="BF40" s="787">
        <v>0</v>
      </c>
      <c r="BG40" s="325">
        <v>150000973</v>
      </c>
    </row>
    <row r="41" spans="1:59" ht="24.9" customHeight="1" x14ac:dyDescent="0.3">
      <c r="A41" s="325">
        <v>150000974</v>
      </c>
      <c r="B41" s="445" t="s">
        <v>203</v>
      </c>
      <c r="C41" s="27">
        <v>4</v>
      </c>
      <c r="D41" s="101" t="s">
        <v>455</v>
      </c>
      <c r="E41" s="786">
        <v>2315.5700000000002</v>
      </c>
      <c r="F41" s="5">
        <v>1282</v>
      </c>
      <c r="G41" s="5">
        <v>0</v>
      </c>
      <c r="H41" s="5">
        <v>-1282</v>
      </c>
      <c r="I41" s="5">
        <v>0</v>
      </c>
      <c r="J41" s="5">
        <v>0</v>
      </c>
      <c r="K41" s="153"/>
      <c r="L41" s="5">
        <v>0</v>
      </c>
      <c r="M41" s="5">
        <v>0</v>
      </c>
      <c r="N41" s="5"/>
      <c r="O41" s="5">
        <v>0</v>
      </c>
      <c r="P41" s="5">
        <v>0</v>
      </c>
      <c r="Q41" s="784"/>
      <c r="R41" s="5">
        <v>0</v>
      </c>
      <c r="S41" s="5">
        <v>0</v>
      </c>
      <c r="T41" s="628"/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/>
      <c r="AA41" s="5">
        <v>0</v>
      </c>
      <c r="AB41" s="5">
        <v>0</v>
      </c>
      <c r="AC41" s="5">
        <v>0</v>
      </c>
      <c r="AD41" s="5">
        <v>0</v>
      </c>
      <c r="AE41" s="5">
        <v>441.72335710397556</v>
      </c>
      <c r="AF41" s="5">
        <v>0</v>
      </c>
      <c r="AG41" s="454"/>
      <c r="AH41" s="5">
        <v>404.40708535191862</v>
      </c>
      <c r="AI41" s="5">
        <v>0</v>
      </c>
      <c r="AJ41" s="454"/>
      <c r="AK41" s="5">
        <v>171.748862082145</v>
      </c>
      <c r="AL41" s="5">
        <v>0</v>
      </c>
      <c r="AM41" s="5"/>
      <c r="AN41" s="5">
        <v>555.92205279057498</v>
      </c>
      <c r="AO41" s="5">
        <v>0</v>
      </c>
      <c r="AP41" s="5"/>
      <c r="AQ41" s="5">
        <v>0</v>
      </c>
      <c r="AR41" s="5">
        <v>0</v>
      </c>
      <c r="AS41" s="5"/>
      <c r="AT41" s="5">
        <v>302.20720049976421</v>
      </c>
      <c r="AU41" s="5">
        <v>0</v>
      </c>
      <c r="AV41" s="5"/>
      <c r="AW41" s="5">
        <v>46.155700000000003</v>
      </c>
      <c r="AX41" s="5">
        <v>0</v>
      </c>
      <c r="AY41" s="5"/>
      <c r="AZ41" s="5">
        <v>961</v>
      </c>
      <c r="BA41" s="5">
        <v>0</v>
      </c>
      <c r="BB41" s="5">
        <v>-961</v>
      </c>
      <c r="BD41" s="2">
        <v>2</v>
      </c>
      <c r="BF41" s="787">
        <v>2.2599999999999998</v>
      </c>
      <c r="BG41" s="325">
        <v>150000974</v>
      </c>
    </row>
    <row r="42" spans="1:59" ht="24.9" customHeight="1" x14ac:dyDescent="0.3">
      <c r="A42" s="325">
        <v>150000975</v>
      </c>
      <c r="B42" s="445" t="s">
        <v>204</v>
      </c>
      <c r="C42" s="27">
        <v>4</v>
      </c>
      <c r="D42" s="101" t="s">
        <v>455</v>
      </c>
      <c r="E42" s="786">
        <v>3253.33</v>
      </c>
      <c r="F42" s="5">
        <v>1428</v>
      </c>
      <c r="G42" s="5">
        <v>4561</v>
      </c>
      <c r="H42" s="5">
        <v>1171</v>
      </c>
      <c r="I42" s="5">
        <v>0</v>
      </c>
      <c r="J42" s="5">
        <v>1962</v>
      </c>
      <c r="K42" s="153"/>
      <c r="L42" s="5">
        <v>0</v>
      </c>
      <c r="M42" s="5">
        <v>0</v>
      </c>
      <c r="N42" s="5"/>
      <c r="O42" s="5">
        <v>0</v>
      </c>
      <c r="P42" s="5">
        <v>0</v>
      </c>
      <c r="Q42" s="784"/>
      <c r="R42" s="5">
        <v>0</v>
      </c>
      <c r="S42" s="5">
        <v>0</v>
      </c>
      <c r="T42" s="628"/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/>
      <c r="AA42" s="5">
        <v>0</v>
      </c>
      <c r="AB42" s="5">
        <v>0</v>
      </c>
      <c r="AC42" s="5">
        <v>0</v>
      </c>
      <c r="AD42" s="5">
        <v>2599</v>
      </c>
      <c r="AE42" s="5">
        <v>655.93685645987432</v>
      </c>
      <c r="AF42" s="5">
        <v>0</v>
      </c>
      <c r="AG42" s="5"/>
      <c r="AH42" s="5">
        <v>833.77417783368014</v>
      </c>
      <c r="AI42" s="5">
        <v>0</v>
      </c>
      <c r="AJ42" s="5"/>
      <c r="AK42" s="5">
        <v>249.9698316739383</v>
      </c>
      <c r="AL42" s="5">
        <v>0</v>
      </c>
      <c r="AM42" s="5"/>
      <c r="AN42" s="5">
        <v>0</v>
      </c>
      <c r="AO42" s="5">
        <v>0</v>
      </c>
      <c r="AP42" s="5"/>
      <c r="AQ42" s="5">
        <v>0</v>
      </c>
      <c r="AR42" s="5">
        <v>0</v>
      </c>
      <c r="AS42" s="5"/>
      <c r="AT42" s="5">
        <v>667.59055754222936</v>
      </c>
      <c r="AU42" s="5">
        <v>0</v>
      </c>
      <c r="AV42" s="5"/>
      <c r="AW42" s="5">
        <v>65.536300000000011</v>
      </c>
      <c r="AX42" s="5">
        <v>0</v>
      </c>
      <c r="AY42" s="5"/>
      <c r="AZ42" s="5">
        <v>1236</v>
      </c>
      <c r="BA42" s="5">
        <v>0</v>
      </c>
      <c r="BB42" s="5">
        <v>-1236</v>
      </c>
      <c r="BD42" s="2">
        <v>2</v>
      </c>
      <c r="BF42" s="787">
        <v>3.17</v>
      </c>
      <c r="BG42" s="325">
        <v>150000975</v>
      </c>
    </row>
    <row r="43" spans="1:59" ht="24.9" customHeight="1" x14ac:dyDescent="0.3">
      <c r="A43" s="325">
        <v>150000976</v>
      </c>
      <c r="B43" s="445" t="s">
        <v>150</v>
      </c>
      <c r="C43" s="27">
        <v>2</v>
      </c>
      <c r="D43" s="101" t="s">
        <v>455</v>
      </c>
      <c r="E43" s="786">
        <v>924.5</v>
      </c>
      <c r="F43" s="5">
        <v>741</v>
      </c>
      <c r="G43" s="5">
        <v>0</v>
      </c>
      <c r="H43" s="5">
        <v>-741</v>
      </c>
      <c r="I43" s="5">
        <v>0</v>
      </c>
      <c r="J43" s="5">
        <v>0</v>
      </c>
      <c r="K43" s="153"/>
      <c r="L43" s="5">
        <v>0</v>
      </c>
      <c r="M43" s="5">
        <v>0</v>
      </c>
      <c r="N43" s="5"/>
      <c r="O43" s="5">
        <v>0</v>
      </c>
      <c r="P43" s="5">
        <v>0</v>
      </c>
      <c r="Q43" s="784"/>
      <c r="R43" s="5">
        <v>0</v>
      </c>
      <c r="S43" s="5">
        <v>0</v>
      </c>
      <c r="T43" s="628"/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/>
      <c r="AA43" s="5">
        <v>0</v>
      </c>
      <c r="AB43" s="5">
        <v>0</v>
      </c>
      <c r="AC43" s="5">
        <v>0</v>
      </c>
      <c r="AD43" s="5">
        <v>0</v>
      </c>
      <c r="AE43" s="5">
        <v>318.38348204618967</v>
      </c>
      <c r="AF43" s="5">
        <v>0</v>
      </c>
      <c r="AG43" s="5"/>
      <c r="AH43" s="5">
        <v>356.2363389931881</v>
      </c>
      <c r="AI43" s="5">
        <v>0</v>
      </c>
      <c r="AJ43" s="5"/>
      <c r="AK43" s="5">
        <v>51.838393659236701</v>
      </c>
      <c r="AL43" s="5">
        <v>0</v>
      </c>
      <c r="AM43" s="5"/>
      <c r="AN43" s="5">
        <v>206.47803078414921</v>
      </c>
      <c r="AO43" s="5">
        <v>0</v>
      </c>
      <c r="AP43" s="5"/>
      <c r="AQ43" s="5">
        <v>0</v>
      </c>
      <c r="AR43" s="5">
        <v>0</v>
      </c>
      <c r="AS43" s="5"/>
      <c r="AT43" s="5">
        <v>21.563748559140471</v>
      </c>
      <c r="AU43" s="5">
        <v>0</v>
      </c>
      <c r="AV43" s="5"/>
      <c r="AW43" s="5">
        <v>41.774561926145751</v>
      </c>
      <c r="AX43" s="5">
        <v>0</v>
      </c>
      <c r="AY43" s="5"/>
      <c r="AZ43" s="5">
        <v>498</v>
      </c>
      <c r="BA43" s="5">
        <v>0</v>
      </c>
      <c r="BB43" s="5">
        <v>-498</v>
      </c>
      <c r="BD43" s="2">
        <v>2</v>
      </c>
      <c r="BF43" s="787">
        <v>1.02</v>
      </c>
      <c r="BG43" s="325">
        <v>150000976</v>
      </c>
    </row>
    <row r="44" spans="1:59" ht="24.9" customHeight="1" x14ac:dyDescent="0.3">
      <c r="A44" s="325">
        <v>150000977</v>
      </c>
      <c r="B44" s="445" t="s">
        <v>151</v>
      </c>
      <c r="C44" s="27">
        <v>2</v>
      </c>
      <c r="D44" s="101" t="s">
        <v>455</v>
      </c>
      <c r="E44" s="786">
        <v>909.2</v>
      </c>
      <c r="F44" s="5">
        <v>728</v>
      </c>
      <c r="G44" s="5">
        <v>0</v>
      </c>
      <c r="H44" s="5">
        <v>-728</v>
      </c>
      <c r="I44" s="5">
        <v>0</v>
      </c>
      <c r="J44" s="5">
        <v>0</v>
      </c>
      <c r="K44" s="153"/>
      <c r="L44" s="5">
        <v>0</v>
      </c>
      <c r="M44" s="5">
        <v>0</v>
      </c>
      <c r="N44" s="5"/>
      <c r="O44" s="5">
        <v>0</v>
      </c>
      <c r="P44" s="5">
        <v>0</v>
      </c>
      <c r="Q44" s="784"/>
      <c r="R44" s="5">
        <v>0</v>
      </c>
      <c r="S44" s="5">
        <v>0</v>
      </c>
      <c r="T44" s="628"/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/>
      <c r="AA44" s="5">
        <v>0</v>
      </c>
      <c r="AB44" s="5">
        <v>0</v>
      </c>
      <c r="AC44" s="5">
        <v>0</v>
      </c>
      <c r="AD44" s="5">
        <v>0</v>
      </c>
      <c r="AE44" s="5">
        <v>315.66765535328369</v>
      </c>
      <c r="AF44" s="5">
        <v>0</v>
      </c>
      <c r="AG44" s="5"/>
      <c r="AH44" s="5">
        <v>356.2363389931881</v>
      </c>
      <c r="AI44" s="5">
        <v>0</v>
      </c>
      <c r="AJ44" s="5"/>
      <c r="AK44" s="5">
        <v>56.248616987191596</v>
      </c>
      <c r="AL44" s="5">
        <v>0</v>
      </c>
      <c r="AM44" s="5"/>
      <c r="AN44" s="5">
        <v>0</v>
      </c>
      <c r="AO44" s="5">
        <v>0</v>
      </c>
      <c r="AP44" s="5"/>
      <c r="AQ44" s="5">
        <v>0</v>
      </c>
      <c r="AR44" s="5">
        <v>0</v>
      </c>
      <c r="AS44" s="5"/>
      <c r="AT44" s="5">
        <v>21.563748559140471</v>
      </c>
      <c r="AU44" s="5">
        <v>0</v>
      </c>
      <c r="AV44" s="5"/>
      <c r="AW44" s="5">
        <v>18.053000000000001</v>
      </c>
      <c r="AX44" s="5">
        <v>0</v>
      </c>
      <c r="AY44" s="5"/>
      <c r="AZ44" s="5">
        <v>384</v>
      </c>
      <c r="BA44" s="5">
        <v>0</v>
      </c>
      <c r="BB44" s="5">
        <v>-384</v>
      </c>
      <c r="BD44" s="2">
        <v>2</v>
      </c>
      <c r="BF44" s="787">
        <v>0.88</v>
      </c>
      <c r="BG44" s="325">
        <v>150000977</v>
      </c>
    </row>
    <row r="45" spans="1:59" ht="24.9" customHeight="1" x14ac:dyDescent="0.3">
      <c r="A45" s="325">
        <v>150000978</v>
      </c>
      <c r="B45" s="445" t="s">
        <v>244</v>
      </c>
      <c r="C45" s="27">
        <v>5</v>
      </c>
      <c r="D45" s="101" t="s">
        <v>455</v>
      </c>
      <c r="E45" s="786">
        <v>1867.1</v>
      </c>
      <c r="F45" s="5">
        <v>812</v>
      </c>
      <c r="G45" s="5">
        <v>428</v>
      </c>
      <c r="H45" s="5">
        <v>-812</v>
      </c>
      <c r="I45" s="5">
        <v>0</v>
      </c>
      <c r="J45" s="5">
        <v>0</v>
      </c>
      <c r="K45" s="153"/>
      <c r="L45" s="5">
        <v>0</v>
      </c>
      <c r="M45" s="5">
        <v>0</v>
      </c>
      <c r="N45" s="5"/>
      <c r="O45" s="5">
        <v>0</v>
      </c>
      <c r="P45" s="5">
        <v>0</v>
      </c>
      <c r="Q45" s="784"/>
      <c r="R45" s="5">
        <v>0</v>
      </c>
      <c r="S45" s="5">
        <v>0</v>
      </c>
      <c r="T45" s="628"/>
      <c r="U45" s="5">
        <v>0</v>
      </c>
      <c r="V45" s="5">
        <v>0</v>
      </c>
      <c r="W45" s="5">
        <v>0</v>
      </c>
      <c r="X45" s="5">
        <v>0</v>
      </c>
      <c r="Y45" s="5">
        <v>428</v>
      </c>
      <c r="Z45" s="5"/>
      <c r="AA45" s="5">
        <v>0</v>
      </c>
      <c r="AB45" s="5">
        <v>0</v>
      </c>
      <c r="AC45" s="5">
        <v>0</v>
      </c>
      <c r="AD45" s="5">
        <v>0</v>
      </c>
      <c r="AE45" s="5">
        <v>394.41166374081263</v>
      </c>
      <c r="AF45" s="5">
        <v>0</v>
      </c>
      <c r="AG45" s="5"/>
      <c r="AH45" s="5">
        <v>450.33293610318651</v>
      </c>
      <c r="AI45" s="5">
        <v>0</v>
      </c>
      <c r="AJ45" s="5"/>
      <c r="AK45" s="5">
        <v>127.59397588195</v>
      </c>
      <c r="AL45" s="5">
        <v>0</v>
      </c>
      <c r="AM45" s="5"/>
      <c r="AN45" s="5">
        <v>0</v>
      </c>
      <c r="AO45" s="5">
        <v>0</v>
      </c>
      <c r="AP45" s="5"/>
      <c r="AQ45" s="5">
        <v>0</v>
      </c>
      <c r="AR45" s="5">
        <v>0</v>
      </c>
      <c r="AS45" s="5"/>
      <c r="AT45" s="5">
        <v>167.86772633980405</v>
      </c>
      <c r="AU45" s="5">
        <v>0</v>
      </c>
      <c r="AV45" s="5"/>
      <c r="AW45" s="5">
        <v>37.670999999999999</v>
      </c>
      <c r="AX45" s="5">
        <v>0</v>
      </c>
      <c r="AY45" s="5"/>
      <c r="AZ45" s="5">
        <v>589</v>
      </c>
      <c r="BA45" s="5">
        <v>0</v>
      </c>
      <c r="BB45" s="5">
        <v>-589</v>
      </c>
      <c r="BD45" s="2">
        <v>2</v>
      </c>
      <c r="BF45" s="787">
        <v>1.82</v>
      </c>
      <c r="BG45" s="325">
        <v>150000978</v>
      </c>
    </row>
    <row r="46" spans="1:59" ht="24.9" customHeight="1" x14ac:dyDescent="0.3">
      <c r="A46" s="325">
        <v>150000966</v>
      </c>
      <c r="B46" s="445" t="s">
        <v>205</v>
      </c>
      <c r="C46" s="27">
        <v>4</v>
      </c>
      <c r="D46" s="101" t="s">
        <v>455</v>
      </c>
      <c r="E46" s="786">
        <v>1172.81</v>
      </c>
      <c r="F46" s="5">
        <v>529</v>
      </c>
      <c r="G46" s="5">
        <v>0</v>
      </c>
      <c r="H46" s="5">
        <v>-529</v>
      </c>
      <c r="I46" s="5">
        <v>0</v>
      </c>
      <c r="J46" s="5">
        <v>0</v>
      </c>
      <c r="K46" s="153"/>
      <c r="L46" s="5">
        <v>0</v>
      </c>
      <c r="M46" s="5">
        <v>0</v>
      </c>
      <c r="N46" s="5"/>
      <c r="O46" s="5">
        <v>0</v>
      </c>
      <c r="P46" s="5">
        <v>0</v>
      </c>
      <c r="Q46" s="784"/>
      <c r="R46" s="5">
        <v>0</v>
      </c>
      <c r="S46" s="5">
        <v>0</v>
      </c>
      <c r="T46" s="628"/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/>
      <c r="AA46" s="5">
        <v>0</v>
      </c>
      <c r="AB46" s="5">
        <v>0</v>
      </c>
      <c r="AC46" s="5">
        <v>0</v>
      </c>
      <c r="AD46" s="5">
        <v>0</v>
      </c>
      <c r="AE46" s="5">
        <v>313.68219522326046</v>
      </c>
      <c r="AF46" s="5">
        <v>0</v>
      </c>
      <c r="AG46" s="5"/>
      <c r="AH46" s="5">
        <v>387.70152035101285</v>
      </c>
      <c r="AI46" s="5">
        <v>0</v>
      </c>
      <c r="AJ46" s="5"/>
      <c r="AK46" s="5">
        <v>79.653979064165</v>
      </c>
      <c r="AL46" s="5">
        <v>0</v>
      </c>
      <c r="AM46" s="5"/>
      <c r="AN46" s="5">
        <v>0</v>
      </c>
      <c r="AO46" s="5">
        <v>0</v>
      </c>
      <c r="AP46" s="5"/>
      <c r="AQ46" s="5">
        <v>0</v>
      </c>
      <c r="AR46" s="5">
        <v>0</v>
      </c>
      <c r="AS46" s="5"/>
      <c r="AT46" s="5">
        <v>153.68816583418189</v>
      </c>
      <c r="AU46" s="5">
        <v>0</v>
      </c>
      <c r="AV46" s="5"/>
      <c r="AW46" s="5">
        <v>23.7761</v>
      </c>
      <c r="AX46" s="5">
        <v>0</v>
      </c>
      <c r="AY46" s="5"/>
      <c r="AZ46" s="5">
        <v>479</v>
      </c>
      <c r="BA46" s="5">
        <v>0</v>
      </c>
      <c r="BB46" s="5">
        <v>-479</v>
      </c>
      <c r="BD46" s="2">
        <v>2</v>
      </c>
      <c r="BF46" s="787">
        <v>1.1499999999999999</v>
      </c>
      <c r="BG46" s="325">
        <v>150000966</v>
      </c>
    </row>
    <row r="47" spans="1:59" ht="24.9" customHeight="1" x14ac:dyDescent="0.3">
      <c r="A47" s="325">
        <v>150000967</v>
      </c>
      <c r="B47" s="445" t="s">
        <v>206</v>
      </c>
      <c r="C47" s="27">
        <v>4</v>
      </c>
      <c r="D47" s="101" t="s">
        <v>455</v>
      </c>
      <c r="E47" s="786">
        <v>1353.5</v>
      </c>
      <c r="F47" s="5">
        <v>834</v>
      </c>
      <c r="G47" s="5">
        <v>0</v>
      </c>
      <c r="H47" s="5">
        <v>-834</v>
      </c>
      <c r="I47" s="5">
        <v>0</v>
      </c>
      <c r="J47" s="5">
        <v>0</v>
      </c>
      <c r="K47" s="153"/>
      <c r="L47" s="5">
        <v>0</v>
      </c>
      <c r="M47" s="5">
        <v>0</v>
      </c>
      <c r="N47" s="628"/>
      <c r="O47" s="5">
        <v>0</v>
      </c>
      <c r="P47" s="5">
        <v>0</v>
      </c>
      <c r="Q47" s="784"/>
      <c r="R47" s="5">
        <v>0</v>
      </c>
      <c r="S47" s="5">
        <v>0</v>
      </c>
      <c r="T47" s="628"/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/>
      <c r="AA47" s="5">
        <v>0</v>
      </c>
      <c r="AB47" s="5">
        <v>0</v>
      </c>
      <c r="AC47" s="5">
        <v>0</v>
      </c>
      <c r="AD47" s="5">
        <v>0</v>
      </c>
      <c r="AE47" s="5">
        <v>341.95222706259096</v>
      </c>
      <c r="AF47" s="5">
        <v>0</v>
      </c>
      <c r="AG47" s="5"/>
      <c r="AH47" s="5">
        <v>400.03203527509004</v>
      </c>
      <c r="AI47" s="5">
        <v>0</v>
      </c>
      <c r="AJ47" s="5"/>
      <c r="AK47" s="5">
        <v>107.94064127092091</v>
      </c>
      <c r="AL47" s="5">
        <v>0</v>
      </c>
      <c r="AM47" s="5"/>
      <c r="AN47" s="5">
        <v>0</v>
      </c>
      <c r="AO47" s="5">
        <v>0</v>
      </c>
      <c r="AP47" s="5"/>
      <c r="AQ47" s="5">
        <v>0</v>
      </c>
      <c r="AR47" s="5">
        <v>0</v>
      </c>
      <c r="AS47" s="5"/>
      <c r="AT47" s="5">
        <v>167.92597839956272</v>
      </c>
      <c r="AU47" s="5">
        <v>0</v>
      </c>
      <c r="AV47" s="5"/>
      <c r="AW47" s="5">
        <v>29.942</v>
      </c>
      <c r="AX47" s="5">
        <v>0</v>
      </c>
      <c r="AY47" s="5"/>
      <c r="AZ47" s="5">
        <v>524</v>
      </c>
      <c r="BA47" s="5">
        <v>0</v>
      </c>
      <c r="BB47" s="5">
        <v>-524</v>
      </c>
      <c r="BD47" s="2">
        <v>2</v>
      </c>
      <c r="BF47" s="787">
        <v>1.46</v>
      </c>
      <c r="BG47" s="325">
        <v>150000967</v>
      </c>
    </row>
    <row r="48" spans="1:59" ht="24.9" customHeight="1" x14ac:dyDescent="0.3">
      <c r="A48" s="325">
        <v>150000968</v>
      </c>
      <c r="B48" s="445" t="s">
        <v>245</v>
      </c>
      <c r="C48" s="27">
        <v>5</v>
      </c>
      <c r="D48" s="101" t="s">
        <v>455</v>
      </c>
      <c r="E48" s="786">
        <v>2117.4</v>
      </c>
      <c r="F48" s="5">
        <v>802</v>
      </c>
      <c r="G48" s="5">
        <v>0</v>
      </c>
      <c r="H48" s="5">
        <v>-802</v>
      </c>
      <c r="I48" s="5">
        <v>0</v>
      </c>
      <c r="J48" s="5">
        <v>0</v>
      </c>
      <c r="K48" s="153"/>
      <c r="L48" s="5">
        <v>0</v>
      </c>
      <c r="M48" s="5">
        <v>0</v>
      </c>
      <c r="N48" s="5"/>
      <c r="O48" s="5">
        <v>0</v>
      </c>
      <c r="P48" s="5">
        <v>0</v>
      </c>
      <c r="Q48" s="784"/>
      <c r="R48" s="5">
        <v>0</v>
      </c>
      <c r="S48" s="5">
        <v>0</v>
      </c>
      <c r="T48" s="628"/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/>
      <c r="AA48" s="5">
        <v>0</v>
      </c>
      <c r="AB48" s="5">
        <v>0</v>
      </c>
      <c r="AC48" s="5">
        <v>0</v>
      </c>
      <c r="AD48" s="5">
        <v>0</v>
      </c>
      <c r="AE48" s="5">
        <v>394.41166374081263</v>
      </c>
      <c r="AF48" s="5">
        <v>0</v>
      </c>
      <c r="AG48" s="5"/>
      <c r="AH48" s="5">
        <v>450.33293610318651</v>
      </c>
      <c r="AI48" s="5">
        <v>1292</v>
      </c>
      <c r="AJ48" s="5"/>
      <c r="AK48" s="5">
        <v>138.44519136314671</v>
      </c>
      <c r="AL48" s="5">
        <v>0</v>
      </c>
      <c r="AM48" s="5"/>
      <c r="AN48" s="5">
        <v>0</v>
      </c>
      <c r="AO48" s="5">
        <v>0</v>
      </c>
      <c r="AP48" s="5"/>
      <c r="AQ48" s="5">
        <v>0</v>
      </c>
      <c r="AR48" s="5">
        <v>0</v>
      </c>
      <c r="AS48" s="5"/>
      <c r="AT48" s="5">
        <v>190.26262929013564</v>
      </c>
      <c r="AU48" s="5">
        <v>0</v>
      </c>
      <c r="AV48" s="5"/>
      <c r="AW48" s="5">
        <v>45.978999999999999</v>
      </c>
      <c r="AX48" s="5">
        <v>0</v>
      </c>
      <c r="AY48" s="5"/>
      <c r="AZ48" s="5">
        <v>610</v>
      </c>
      <c r="BA48" s="5">
        <v>0</v>
      </c>
      <c r="BB48" s="5">
        <v>-610</v>
      </c>
      <c r="BD48" s="2">
        <v>2</v>
      </c>
      <c r="BF48" s="787">
        <v>2.2400000000000002</v>
      </c>
      <c r="BG48" s="325">
        <v>150000968</v>
      </c>
    </row>
    <row r="49" spans="1:59" ht="24.9" customHeight="1" x14ac:dyDescent="0.3">
      <c r="A49" s="325">
        <v>150000981</v>
      </c>
      <c r="B49" s="445" t="s">
        <v>343</v>
      </c>
      <c r="C49" s="27">
        <v>9</v>
      </c>
      <c r="D49" s="101" t="s">
        <v>455</v>
      </c>
      <c r="E49" s="786">
        <v>2214.37</v>
      </c>
      <c r="F49" s="5">
        <v>1093</v>
      </c>
      <c r="G49" s="5">
        <v>1736</v>
      </c>
      <c r="H49" s="5">
        <v>643</v>
      </c>
      <c r="I49" s="5">
        <v>0</v>
      </c>
      <c r="J49" s="5">
        <v>910</v>
      </c>
      <c r="K49" s="153"/>
      <c r="L49" s="5">
        <v>0</v>
      </c>
      <c r="M49" s="5">
        <v>0</v>
      </c>
      <c r="N49" s="5"/>
      <c r="O49" s="5">
        <v>0</v>
      </c>
      <c r="P49" s="5">
        <v>0</v>
      </c>
      <c r="Q49" s="784"/>
      <c r="R49" s="5">
        <v>0</v>
      </c>
      <c r="S49" s="5">
        <v>0</v>
      </c>
      <c r="T49" s="628"/>
      <c r="U49" s="5">
        <v>0</v>
      </c>
      <c r="V49" s="5">
        <v>910</v>
      </c>
      <c r="W49" s="5">
        <v>0</v>
      </c>
      <c r="X49" s="5">
        <v>0</v>
      </c>
      <c r="Y49" s="5">
        <v>0</v>
      </c>
      <c r="Z49" s="5"/>
      <c r="AA49" s="5">
        <v>0</v>
      </c>
      <c r="AB49" s="5">
        <v>0</v>
      </c>
      <c r="AC49" s="5">
        <v>0</v>
      </c>
      <c r="AD49" s="5">
        <v>826</v>
      </c>
      <c r="AE49" s="5">
        <v>532.36537860343481</v>
      </c>
      <c r="AF49" s="5">
        <v>0</v>
      </c>
      <c r="AG49" s="5"/>
      <c r="AH49" s="5">
        <v>599.70637153566554</v>
      </c>
      <c r="AI49" s="5">
        <v>0</v>
      </c>
      <c r="AJ49" s="454"/>
      <c r="AK49" s="5">
        <v>190.1000245215667</v>
      </c>
      <c r="AL49" s="5">
        <v>0</v>
      </c>
      <c r="AM49" s="8"/>
      <c r="AN49" s="5">
        <v>514.28012598656005</v>
      </c>
      <c r="AO49" s="5">
        <v>0</v>
      </c>
      <c r="AP49" s="5"/>
      <c r="AQ49" s="5">
        <v>208.49194222289759</v>
      </c>
      <c r="AR49" s="5">
        <v>0</v>
      </c>
      <c r="AS49" s="5"/>
      <c r="AT49" s="5">
        <v>320.34960594429322</v>
      </c>
      <c r="AU49" s="5">
        <v>0</v>
      </c>
      <c r="AV49" s="5"/>
      <c r="AW49" s="5">
        <v>44.143699999999995</v>
      </c>
      <c r="AX49" s="5">
        <v>0</v>
      </c>
      <c r="AY49" s="5"/>
      <c r="AZ49" s="5">
        <v>1205</v>
      </c>
      <c r="BA49" s="5">
        <v>0</v>
      </c>
      <c r="BB49" s="5">
        <v>-1205</v>
      </c>
      <c r="BD49" s="2">
        <v>3</v>
      </c>
      <c r="BF49" s="787">
        <v>8.68</v>
      </c>
      <c r="BG49" s="325">
        <v>150000981</v>
      </c>
    </row>
    <row r="50" spans="1:59" ht="24.9" customHeight="1" x14ac:dyDescent="0.3">
      <c r="A50" s="325">
        <v>150000982</v>
      </c>
      <c r="B50" s="445" t="s">
        <v>344</v>
      </c>
      <c r="C50" s="27">
        <v>9</v>
      </c>
      <c r="D50" s="101" t="s">
        <v>455</v>
      </c>
      <c r="E50" s="786">
        <v>5953.01</v>
      </c>
      <c r="F50" s="5">
        <v>3908</v>
      </c>
      <c r="G50" s="5">
        <v>2267</v>
      </c>
      <c r="H50" s="5">
        <v>-1641</v>
      </c>
      <c r="I50" s="5">
        <v>0</v>
      </c>
      <c r="J50" s="5">
        <v>2267</v>
      </c>
      <c r="K50" s="467"/>
      <c r="L50" s="5">
        <v>0</v>
      </c>
      <c r="M50" s="5">
        <v>0</v>
      </c>
      <c r="N50" s="5"/>
      <c r="O50" s="5">
        <v>0</v>
      </c>
      <c r="P50" s="5">
        <v>0</v>
      </c>
      <c r="Q50" s="790"/>
      <c r="R50" s="5">
        <v>0</v>
      </c>
      <c r="S50" s="5">
        <v>0</v>
      </c>
      <c r="T50" s="630"/>
      <c r="U50" s="5">
        <v>0</v>
      </c>
      <c r="V50" s="5">
        <v>2267</v>
      </c>
      <c r="W50" s="5">
        <v>0</v>
      </c>
      <c r="X50" s="5">
        <v>0</v>
      </c>
      <c r="Y50" s="5">
        <v>0</v>
      </c>
      <c r="Z50" s="5"/>
      <c r="AA50" s="5">
        <v>0</v>
      </c>
      <c r="AB50" s="5">
        <v>0</v>
      </c>
      <c r="AC50" s="5">
        <v>0</v>
      </c>
      <c r="AD50" s="5">
        <v>0</v>
      </c>
      <c r="AE50" s="5">
        <v>955.9356432468137</v>
      </c>
      <c r="AF50" s="5">
        <v>831</v>
      </c>
      <c r="AG50" s="454"/>
      <c r="AH50" s="5">
        <v>1790.1848086279624</v>
      </c>
      <c r="AI50" s="5">
        <v>4109</v>
      </c>
      <c r="AJ50" s="5"/>
      <c r="AK50" s="5">
        <v>541.69484754388998</v>
      </c>
      <c r="AL50" s="5">
        <v>1943</v>
      </c>
      <c r="AM50" s="8"/>
      <c r="AN50" s="5">
        <v>1320.2880581180889</v>
      </c>
      <c r="AO50" s="5">
        <v>472</v>
      </c>
      <c r="AP50" s="5"/>
      <c r="AQ50" s="5">
        <v>626.45466780048014</v>
      </c>
      <c r="AR50" s="5">
        <v>22</v>
      </c>
      <c r="AS50" s="454"/>
      <c r="AT50" s="5">
        <v>996.46425728523377</v>
      </c>
      <c r="AU50" s="5">
        <v>0</v>
      </c>
      <c r="AV50" s="5"/>
      <c r="AW50" s="5">
        <v>119.52629999999999</v>
      </c>
      <c r="AX50" s="5">
        <v>0</v>
      </c>
      <c r="AY50" s="5"/>
      <c r="AZ50" s="5">
        <v>3176</v>
      </c>
      <c r="BA50" s="5">
        <v>2437</v>
      </c>
      <c r="BB50" s="5">
        <v>-739</v>
      </c>
      <c r="BD50" s="2">
        <v>3</v>
      </c>
      <c r="BF50" s="787">
        <v>160.9</v>
      </c>
      <c r="BG50" s="325">
        <v>150000982</v>
      </c>
    </row>
    <row r="51" spans="1:59" ht="24.9" customHeight="1" x14ac:dyDescent="0.3">
      <c r="A51" s="325">
        <v>150000983</v>
      </c>
      <c r="B51" s="445" t="s">
        <v>345</v>
      </c>
      <c r="C51" s="27">
        <v>9</v>
      </c>
      <c r="D51" s="101" t="s">
        <v>455</v>
      </c>
      <c r="E51" s="786">
        <v>3858.4</v>
      </c>
      <c r="F51" s="5">
        <v>2936</v>
      </c>
      <c r="G51" s="5">
        <v>0</v>
      </c>
      <c r="H51" s="5">
        <v>-2936</v>
      </c>
      <c r="I51" s="5">
        <v>0</v>
      </c>
      <c r="J51" s="5">
        <v>0</v>
      </c>
      <c r="K51" s="153"/>
      <c r="L51" s="5">
        <v>0</v>
      </c>
      <c r="M51" s="5">
        <v>0</v>
      </c>
      <c r="N51" s="5"/>
      <c r="O51" s="5">
        <v>0</v>
      </c>
      <c r="P51" s="5">
        <v>0</v>
      </c>
      <c r="Q51" s="784"/>
      <c r="R51" s="5">
        <v>0</v>
      </c>
      <c r="S51" s="5">
        <v>0</v>
      </c>
      <c r="T51" s="789"/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/>
      <c r="AA51" s="5">
        <v>0</v>
      </c>
      <c r="AB51" s="5">
        <v>0</v>
      </c>
      <c r="AC51" s="5">
        <v>0</v>
      </c>
      <c r="AD51" s="5">
        <v>0</v>
      </c>
      <c r="AE51" s="5">
        <v>624.41909795911147</v>
      </c>
      <c r="AF51" s="5">
        <v>0</v>
      </c>
      <c r="AG51" s="454"/>
      <c r="AH51" s="5">
        <v>673.70412755389839</v>
      </c>
      <c r="AI51" s="5">
        <v>0</v>
      </c>
      <c r="AJ51" s="5"/>
      <c r="AK51" s="5">
        <v>344.14793794297998</v>
      </c>
      <c r="AL51" s="5">
        <v>0</v>
      </c>
      <c r="AM51" s="5"/>
      <c r="AN51" s="5">
        <v>903.5134646867059</v>
      </c>
      <c r="AO51" s="5">
        <v>0</v>
      </c>
      <c r="AP51" s="5"/>
      <c r="AQ51" s="5">
        <v>417.96272557758289</v>
      </c>
      <c r="AR51" s="5">
        <v>22</v>
      </c>
      <c r="AS51" s="454"/>
      <c r="AT51" s="5">
        <v>590.16753628172069</v>
      </c>
      <c r="AU51" s="5">
        <v>0</v>
      </c>
      <c r="AV51" s="5"/>
      <c r="AW51" s="5">
        <v>77.584000000000003</v>
      </c>
      <c r="AX51" s="5">
        <v>0</v>
      </c>
      <c r="AY51" s="5"/>
      <c r="AZ51" s="5">
        <v>1815</v>
      </c>
      <c r="BA51" s="5">
        <v>22</v>
      </c>
      <c r="BB51" s="5">
        <v>-1794</v>
      </c>
      <c r="BD51" s="2">
        <v>3</v>
      </c>
      <c r="BF51" s="787">
        <v>152.69</v>
      </c>
      <c r="BG51" s="325">
        <v>150000983</v>
      </c>
    </row>
    <row r="52" spans="1:59" ht="24.9" customHeight="1" x14ac:dyDescent="0.3">
      <c r="A52" s="325">
        <v>150000984</v>
      </c>
      <c r="B52" s="445" t="s">
        <v>346</v>
      </c>
      <c r="C52" s="27">
        <v>9</v>
      </c>
      <c r="D52" s="101" t="s">
        <v>455</v>
      </c>
      <c r="E52" s="786">
        <v>9788.74</v>
      </c>
      <c r="F52" s="5">
        <v>6202</v>
      </c>
      <c r="G52" s="5">
        <v>8104</v>
      </c>
      <c r="H52" s="5">
        <v>-6202</v>
      </c>
      <c r="I52" s="5">
        <v>0</v>
      </c>
      <c r="J52" s="5">
        <v>0</v>
      </c>
      <c r="K52" s="153"/>
      <c r="L52" s="5">
        <v>0</v>
      </c>
      <c r="M52" s="5">
        <v>0</v>
      </c>
      <c r="N52" s="5"/>
      <c r="O52" s="5">
        <v>0</v>
      </c>
      <c r="P52" s="5">
        <v>0</v>
      </c>
      <c r="Q52" s="790"/>
      <c r="R52" s="5">
        <v>2</v>
      </c>
      <c r="S52" s="5">
        <v>7460</v>
      </c>
      <c r="T52" s="789"/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/>
      <c r="AA52" s="5">
        <v>0</v>
      </c>
      <c r="AB52" s="5">
        <v>0</v>
      </c>
      <c r="AC52" s="5">
        <v>0</v>
      </c>
      <c r="AD52" s="5">
        <v>644</v>
      </c>
      <c r="AE52" s="5">
        <v>1693.8466941433426</v>
      </c>
      <c r="AF52" s="5">
        <v>0</v>
      </c>
      <c r="AG52" s="5"/>
      <c r="AH52" s="5">
        <v>1851.7072894154076</v>
      </c>
      <c r="AI52" s="5">
        <v>0</v>
      </c>
      <c r="AJ52" s="5"/>
      <c r="AK52" s="5">
        <v>930.30114608312601</v>
      </c>
      <c r="AL52" s="5">
        <v>1943</v>
      </c>
      <c r="AM52" s="5"/>
      <c r="AN52" s="5">
        <v>2080.3450257622962</v>
      </c>
      <c r="AO52" s="5">
        <v>0</v>
      </c>
      <c r="AP52" s="5"/>
      <c r="AQ52" s="5">
        <v>626.45466780048014</v>
      </c>
      <c r="AR52" s="5">
        <v>22</v>
      </c>
      <c r="AS52" s="5"/>
      <c r="AT52" s="5">
        <v>1410.2221459394934</v>
      </c>
      <c r="AU52" s="5">
        <v>0</v>
      </c>
      <c r="AV52" s="5"/>
      <c r="AW52" s="5">
        <v>195.88740000000001</v>
      </c>
      <c r="AX52" s="5">
        <v>0</v>
      </c>
      <c r="AY52" s="5"/>
      <c r="AZ52" s="5">
        <v>4395</v>
      </c>
      <c r="BA52" s="5">
        <v>1965</v>
      </c>
      <c r="BB52" s="5">
        <v>-2430</v>
      </c>
      <c r="BD52" s="2">
        <v>3</v>
      </c>
      <c r="BF52" s="787">
        <v>175.94</v>
      </c>
      <c r="BG52" s="325">
        <v>150000984</v>
      </c>
    </row>
    <row r="53" spans="1:59" ht="24.9" customHeight="1" x14ac:dyDescent="0.3">
      <c r="A53" s="325">
        <v>150000986</v>
      </c>
      <c r="B53" s="445" t="s">
        <v>347</v>
      </c>
      <c r="C53" s="27">
        <v>9</v>
      </c>
      <c r="D53" s="101" t="s">
        <v>455</v>
      </c>
      <c r="E53" s="786">
        <v>6584.7</v>
      </c>
      <c r="F53" s="5">
        <v>6306</v>
      </c>
      <c r="G53" s="5">
        <v>13424</v>
      </c>
      <c r="H53" s="5">
        <v>-6306</v>
      </c>
      <c r="I53" s="5">
        <v>0</v>
      </c>
      <c r="J53" s="5">
        <v>0</v>
      </c>
      <c r="K53" s="467"/>
      <c r="L53" s="5">
        <v>0</v>
      </c>
      <c r="M53" s="5">
        <v>0</v>
      </c>
      <c r="N53" s="5"/>
      <c r="O53" s="5">
        <v>0</v>
      </c>
      <c r="P53" s="5">
        <v>0</v>
      </c>
      <c r="Q53" s="790"/>
      <c r="R53" s="5">
        <v>2</v>
      </c>
      <c r="S53" s="5">
        <v>13424</v>
      </c>
      <c r="T53" s="628"/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/>
      <c r="AA53" s="5">
        <v>0</v>
      </c>
      <c r="AB53" s="5">
        <v>0</v>
      </c>
      <c r="AC53" s="5">
        <v>0</v>
      </c>
      <c r="AD53" s="5">
        <v>0</v>
      </c>
      <c r="AE53" s="5">
        <v>1129.5609172368502</v>
      </c>
      <c r="AF53" s="5">
        <v>0</v>
      </c>
      <c r="AG53" s="5"/>
      <c r="AH53" s="5">
        <v>1237.5909584705296</v>
      </c>
      <c r="AI53" s="5">
        <v>0</v>
      </c>
      <c r="AJ53" s="5"/>
      <c r="AK53" s="5">
        <v>615.61624364144302</v>
      </c>
      <c r="AL53" s="5">
        <v>1972</v>
      </c>
      <c r="AM53" s="5"/>
      <c r="AN53" s="5">
        <v>1407.8732317379531</v>
      </c>
      <c r="AO53" s="5">
        <v>0</v>
      </c>
      <c r="AP53" s="5"/>
      <c r="AQ53" s="5">
        <v>417.96272557758289</v>
      </c>
      <c r="AR53" s="5">
        <v>0</v>
      </c>
      <c r="AS53" s="5"/>
      <c r="AT53" s="5">
        <v>867.87694708670551</v>
      </c>
      <c r="AU53" s="5">
        <v>0</v>
      </c>
      <c r="AV53" s="5"/>
      <c r="AW53" s="5">
        <v>131.84699999999998</v>
      </c>
      <c r="AX53" s="5">
        <v>0</v>
      </c>
      <c r="AY53" s="5"/>
      <c r="AZ53" s="5">
        <v>2903</v>
      </c>
      <c r="BA53" s="5">
        <v>1972</v>
      </c>
      <c r="BB53" s="5">
        <v>-931</v>
      </c>
      <c r="BD53" s="2">
        <v>3</v>
      </c>
      <c r="BF53" s="787">
        <v>25.81</v>
      </c>
      <c r="BG53" s="325">
        <v>150000986</v>
      </c>
    </row>
    <row r="54" spans="1:59" ht="24.9" customHeight="1" x14ac:dyDescent="0.3">
      <c r="A54" s="325">
        <v>150000996</v>
      </c>
      <c r="B54" s="445" t="s">
        <v>246</v>
      </c>
      <c r="C54" s="27">
        <v>5</v>
      </c>
      <c r="D54" s="101" t="s">
        <v>455</v>
      </c>
      <c r="E54" s="786">
        <v>3446.87</v>
      </c>
      <c r="F54" s="5">
        <v>2250</v>
      </c>
      <c r="G54" s="5">
        <v>0</v>
      </c>
      <c r="H54" s="5">
        <v>-2250</v>
      </c>
      <c r="I54" s="5">
        <v>0</v>
      </c>
      <c r="J54" s="5">
        <v>0</v>
      </c>
      <c r="K54" s="791"/>
      <c r="L54" s="5">
        <v>0</v>
      </c>
      <c r="M54" s="5">
        <v>0</v>
      </c>
      <c r="N54" s="5"/>
      <c r="O54" s="5">
        <v>0</v>
      </c>
      <c r="P54" s="5">
        <v>0</v>
      </c>
      <c r="Q54" s="784"/>
      <c r="R54" s="5">
        <v>0</v>
      </c>
      <c r="S54" s="5">
        <v>0</v>
      </c>
      <c r="T54" s="628"/>
      <c r="U54" s="5">
        <v>0</v>
      </c>
      <c r="V54" s="8">
        <v>0</v>
      </c>
      <c r="W54" s="5">
        <v>0</v>
      </c>
      <c r="X54" s="5">
        <v>0</v>
      </c>
      <c r="Y54" s="5">
        <v>0</v>
      </c>
      <c r="Z54" s="5"/>
      <c r="AA54" s="5">
        <v>0</v>
      </c>
      <c r="AB54" s="5">
        <v>0</v>
      </c>
      <c r="AC54" s="5">
        <v>0</v>
      </c>
      <c r="AD54" s="5">
        <v>0</v>
      </c>
      <c r="AE54" s="5">
        <v>736.04580432123112</v>
      </c>
      <c r="AF54" s="5">
        <v>0</v>
      </c>
      <c r="AG54" s="5"/>
      <c r="AH54" s="5">
        <v>877.99897554842414</v>
      </c>
      <c r="AI54" s="5">
        <v>0</v>
      </c>
      <c r="AJ54" s="5"/>
      <c r="AK54" s="5">
        <v>226.21477656294999</v>
      </c>
      <c r="AL54" s="5">
        <v>0</v>
      </c>
      <c r="AM54" s="5"/>
      <c r="AN54" s="5">
        <v>0</v>
      </c>
      <c r="AO54" s="5">
        <v>0</v>
      </c>
      <c r="AP54" s="5"/>
      <c r="AQ54" s="5">
        <v>0</v>
      </c>
      <c r="AR54" s="5">
        <v>0</v>
      </c>
      <c r="AS54" s="5"/>
      <c r="AT54" s="5">
        <v>520.35047522325567</v>
      </c>
      <c r="AU54" s="5">
        <v>0</v>
      </c>
      <c r="AV54" s="5"/>
      <c r="AW54" s="5">
        <v>68.466700000000003</v>
      </c>
      <c r="AX54" s="5">
        <v>0</v>
      </c>
      <c r="AY54" s="5"/>
      <c r="AZ54" s="5">
        <v>1215</v>
      </c>
      <c r="BA54" s="5">
        <v>0</v>
      </c>
      <c r="BB54" s="5">
        <v>-1215</v>
      </c>
      <c r="BD54" s="2">
        <v>2</v>
      </c>
      <c r="BF54" s="787">
        <v>3.36</v>
      </c>
      <c r="BG54" s="325">
        <v>150000996</v>
      </c>
    </row>
    <row r="55" spans="1:59" ht="24.9" customHeight="1" x14ac:dyDescent="0.3">
      <c r="A55" s="325">
        <v>150000987</v>
      </c>
      <c r="B55" s="445" t="s">
        <v>51</v>
      </c>
      <c r="C55" s="27">
        <v>1</v>
      </c>
      <c r="D55" s="101" t="s">
        <v>455</v>
      </c>
      <c r="E55" s="786">
        <v>244.2</v>
      </c>
      <c r="F55" s="5">
        <v>5</v>
      </c>
      <c r="G55" s="5">
        <v>0</v>
      </c>
      <c r="H55" s="5">
        <v>-5</v>
      </c>
      <c r="I55" s="5">
        <v>0</v>
      </c>
      <c r="J55" s="5">
        <v>0</v>
      </c>
      <c r="K55" s="153"/>
      <c r="L55" s="5">
        <v>0</v>
      </c>
      <c r="M55" s="5">
        <v>0</v>
      </c>
      <c r="N55" s="5"/>
      <c r="O55" s="5">
        <v>0</v>
      </c>
      <c r="P55" s="5">
        <v>0</v>
      </c>
      <c r="Q55" s="784"/>
      <c r="R55" s="5">
        <v>0</v>
      </c>
      <c r="S55" s="5">
        <v>0</v>
      </c>
      <c r="T55" s="628"/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/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/>
      <c r="AH55" s="5">
        <v>0</v>
      </c>
      <c r="AI55" s="5">
        <v>0</v>
      </c>
      <c r="AJ55" s="5"/>
      <c r="AK55" s="5">
        <v>0</v>
      </c>
      <c r="AL55" s="5">
        <v>0</v>
      </c>
      <c r="AM55" s="5"/>
      <c r="AN55" s="5">
        <v>0</v>
      </c>
      <c r="AO55" s="5">
        <v>0</v>
      </c>
      <c r="AP55" s="5"/>
      <c r="AQ55" s="5">
        <v>0</v>
      </c>
      <c r="AR55" s="5">
        <v>0</v>
      </c>
      <c r="AS55" s="5"/>
      <c r="AT55" s="5">
        <v>0</v>
      </c>
      <c r="AU55" s="5">
        <v>0</v>
      </c>
      <c r="AV55" s="5"/>
      <c r="AW55" s="5">
        <v>4.4350000000000005</v>
      </c>
      <c r="AX55" s="5">
        <v>0</v>
      </c>
      <c r="AY55" s="5"/>
      <c r="AZ55" s="5">
        <v>2</v>
      </c>
      <c r="BA55" s="5">
        <v>0</v>
      </c>
      <c r="BB55" s="5">
        <v>-2</v>
      </c>
      <c r="BD55" s="2">
        <v>3</v>
      </c>
      <c r="BF55" s="787">
        <v>0</v>
      </c>
      <c r="BG55" s="325">
        <v>150000987</v>
      </c>
    </row>
    <row r="56" spans="1:59" ht="24.9" customHeight="1" x14ac:dyDescent="0.3">
      <c r="A56" s="325">
        <v>150000988</v>
      </c>
      <c r="B56" s="445" t="s">
        <v>52</v>
      </c>
      <c r="C56" s="27">
        <v>1</v>
      </c>
      <c r="D56" s="101" t="s">
        <v>455</v>
      </c>
      <c r="E56" s="786">
        <v>323.7</v>
      </c>
      <c r="F56" s="5">
        <v>126</v>
      </c>
      <c r="G56" s="5">
        <v>0</v>
      </c>
      <c r="H56" s="5">
        <v>-126</v>
      </c>
      <c r="I56" s="5">
        <v>0</v>
      </c>
      <c r="J56" s="5">
        <v>0</v>
      </c>
      <c r="K56" s="153"/>
      <c r="L56" s="5">
        <v>0</v>
      </c>
      <c r="M56" s="5">
        <v>0</v>
      </c>
      <c r="N56" s="5"/>
      <c r="O56" s="5">
        <v>0</v>
      </c>
      <c r="P56" s="5">
        <v>0</v>
      </c>
      <c r="Q56" s="784"/>
      <c r="R56" s="5">
        <v>0</v>
      </c>
      <c r="S56" s="5">
        <v>0</v>
      </c>
      <c r="T56" s="628"/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/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/>
      <c r="AH56" s="5">
        <v>0</v>
      </c>
      <c r="AI56" s="5">
        <v>0</v>
      </c>
      <c r="AJ56" s="5"/>
      <c r="AK56" s="5">
        <v>0</v>
      </c>
      <c r="AL56" s="5">
        <v>0</v>
      </c>
      <c r="AM56" s="5"/>
      <c r="AN56" s="5">
        <v>0</v>
      </c>
      <c r="AO56" s="5">
        <v>0</v>
      </c>
      <c r="AP56" s="5"/>
      <c r="AQ56" s="5">
        <v>0</v>
      </c>
      <c r="AR56" s="5">
        <v>0</v>
      </c>
      <c r="AS56" s="5"/>
      <c r="AT56" s="5">
        <v>0</v>
      </c>
      <c r="AU56" s="5">
        <v>0</v>
      </c>
      <c r="AV56" s="5"/>
      <c r="AW56" s="5">
        <v>6.1280000000000001</v>
      </c>
      <c r="AX56" s="5">
        <v>0</v>
      </c>
      <c r="AY56" s="5"/>
      <c r="AZ56" s="5">
        <v>3</v>
      </c>
      <c r="BA56" s="5">
        <v>0</v>
      </c>
      <c r="BB56" s="5">
        <v>-3</v>
      </c>
      <c r="BD56" s="2">
        <v>3</v>
      </c>
      <c r="BF56" s="787">
        <v>0</v>
      </c>
      <c r="BG56" s="325">
        <v>150000988</v>
      </c>
    </row>
    <row r="57" spans="1:59" ht="24.9" customHeight="1" x14ac:dyDescent="0.3">
      <c r="A57" s="325">
        <v>150000548</v>
      </c>
      <c r="B57" s="445" t="s">
        <v>247</v>
      </c>
      <c r="C57" s="27">
        <v>5</v>
      </c>
      <c r="D57" s="101" t="s">
        <v>455</v>
      </c>
      <c r="E57" s="786">
        <v>2189.9</v>
      </c>
      <c r="F57" s="5">
        <v>1351</v>
      </c>
      <c r="G57" s="5">
        <v>0</v>
      </c>
      <c r="H57" s="5">
        <v>-1351</v>
      </c>
      <c r="I57" s="5">
        <v>0</v>
      </c>
      <c r="J57" s="5">
        <v>0</v>
      </c>
      <c r="K57" s="467"/>
      <c r="L57" s="5">
        <v>0</v>
      </c>
      <c r="M57" s="5">
        <v>0</v>
      </c>
      <c r="N57" s="5"/>
      <c r="O57" s="5">
        <v>0</v>
      </c>
      <c r="P57" s="5">
        <v>0</v>
      </c>
      <c r="Q57" s="784"/>
      <c r="R57" s="5">
        <v>0</v>
      </c>
      <c r="S57" s="5">
        <v>0</v>
      </c>
      <c r="T57" s="628"/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/>
      <c r="AA57" s="5">
        <v>0</v>
      </c>
      <c r="AB57" s="5">
        <v>0</v>
      </c>
      <c r="AC57" s="5">
        <v>0</v>
      </c>
      <c r="AD57" s="5">
        <v>0</v>
      </c>
      <c r="AE57" s="5">
        <v>551.7511319831566</v>
      </c>
      <c r="AF57" s="5">
        <v>0</v>
      </c>
      <c r="AG57" s="5"/>
      <c r="AH57" s="5">
        <v>725.9453943135336</v>
      </c>
      <c r="AI57" s="5">
        <v>0</v>
      </c>
      <c r="AJ57" s="5"/>
      <c r="AK57" s="5">
        <v>127.8129004486683</v>
      </c>
      <c r="AL57" s="5">
        <v>0</v>
      </c>
      <c r="AM57" s="5"/>
      <c r="AN57" s="5">
        <v>381.51902456920089</v>
      </c>
      <c r="AO57" s="5">
        <v>0</v>
      </c>
      <c r="AP57" s="5"/>
      <c r="AQ57" s="5">
        <v>284.47168378366155</v>
      </c>
      <c r="AR57" s="5">
        <v>0</v>
      </c>
      <c r="AS57" s="5"/>
      <c r="AT57" s="5">
        <v>374.32065056586532</v>
      </c>
      <c r="AU57" s="5">
        <v>0</v>
      </c>
      <c r="AV57" s="5"/>
      <c r="AW57" s="5">
        <v>83.578514725576525</v>
      </c>
      <c r="AX57" s="5">
        <v>0</v>
      </c>
      <c r="AY57" s="5"/>
      <c r="AZ57" s="5">
        <v>1264</v>
      </c>
      <c r="BA57" s="5">
        <v>0</v>
      </c>
      <c r="BB57" s="5">
        <v>-1264</v>
      </c>
      <c r="BD57" s="2">
        <v>1</v>
      </c>
      <c r="BF57" s="787">
        <v>12.32</v>
      </c>
      <c r="BG57" s="325">
        <v>150000548</v>
      </c>
    </row>
    <row r="58" spans="1:59" ht="24.9" customHeight="1" x14ac:dyDescent="0.3">
      <c r="A58" s="325">
        <v>150000549</v>
      </c>
      <c r="B58" s="445" t="s">
        <v>207</v>
      </c>
      <c r="C58" s="27">
        <v>4</v>
      </c>
      <c r="D58" s="101" t="s">
        <v>455</v>
      </c>
      <c r="E58" s="786">
        <v>1171.78</v>
      </c>
      <c r="F58" s="5">
        <v>600</v>
      </c>
      <c r="G58" s="5">
        <v>1558</v>
      </c>
      <c r="H58" s="5">
        <v>958</v>
      </c>
      <c r="I58" s="5">
        <v>0</v>
      </c>
      <c r="J58" s="5">
        <v>0</v>
      </c>
      <c r="K58" s="153"/>
      <c r="L58" s="5">
        <v>0</v>
      </c>
      <c r="M58" s="5">
        <v>0</v>
      </c>
      <c r="N58" s="5"/>
      <c r="O58" s="5">
        <v>0</v>
      </c>
      <c r="P58" s="5">
        <v>0</v>
      </c>
      <c r="Q58" s="784"/>
      <c r="R58" s="5">
        <v>0</v>
      </c>
      <c r="S58" s="5">
        <v>0</v>
      </c>
      <c r="T58" s="628"/>
      <c r="U58" s="5">
        <v>0</v>
      </c>
      <c r="V58" s="5">
        <v>0</v>
      </c>
      <c r="W58" s="5">
        <v>5</v>
      </c>
      <c r="X58" s="5">
        <v>1558</v>
      </c>
      <c r="Y58" s="5">
        <v>0</v>
      </c>
      <c r="Z58" s="5"/>
      <c r="AA58" s="5">
        <v>0</v>
      </c>
      <c r="AB58" s="5">
        <v>0</v>
      </c>
      <c r="AC58" s="5">
        <v>0</v>
      </c>
      <c r="AD58" s="5">
        <v>0</v>
      </c>
      <c r="AE58" s="5">
        <v>309.87502604457552</v>
      </c>
      <c r="AF58" s="5">
        <v>0</v>
      </c>
      <c r="AG58" s="5"/>
      <c r="AH58" s="5">
        <v>551.77942842467314</v>
      </c>
      <c r="AI58" s="5">
        <v>0</v>
      </c>
      <c r="AJ58" s="5"/>
      <c r="AK58" s="5">
        <v>49.709259360656702</v>
      </c>
      <c r="AL58" s="5">
        <v>0</v>
      </c>
      <c r="AM58" s="5"/>
      <c r="AN58" s="5">
        <v>200.12747077474</v>
      </c>
      <c r="AO58" s="5">
        <v>0</v>
      </c>
      <c r="AP58" s="5"/>
      <c r="AQ58" s="5">
        <v>0</v>
      </c>
      <c r="AR58" s="5">
        <v>0</v>
      </c>
      <c r="AS58" s="5"/>
      <c r="AT58" s="5">
        <v>158.03563153265659</v>
      </c>
      <c r="AU58" s="5">
        <v>0</v>
      </c>
      <c r="AV58" s="5"/>
      <c r="AW58" s="5">
        <v>38.156063461340068</v>
      </c>
      <c r="AX58" s="5">
        <v>0</v>
      </c>
      <c r="AY58" s="5"/>
      <c r="AZ58" s="5">
        <v>654</v>
      </c>
      <c r="BA58" s="5">
        <v>0</v>
      </c>
      <c r="BB58" s="5">
        <v>-654</v>
      </c>
      <c r="BD58" s="2">
        <v>1</v>
      </c>
      <c r="BF58" s="787">
        <v>6.58</v>
      </c>
      <c r="BG58" s="325">
        <v>150000549</v>
      </c>
    </row>
    <row r="59" spans="1:59" ht="24.9" customHeight="1" x14ac:dyDescent="0.3">
      <c r="A59" s="325">
        <v>150000547</v>
      </c>
      <c r="B59" s="445" t="s">
        <v>248</v>
      </c>
      <c r="C59" s="27">
        <v>5</v>
      </c>
      <c r="D59" s="101" t="s">
        <v>455</v>
      </c>
      <c r="E59" s="786">
        <v>2743.2</v>
      </c>
      <c r="F59" s="5">
        <v>2778</v>
      </c>
      <c r="G59" s="5">
        <v>0</v>
      </c>
      <c r="H59" s="5">
        <v>-2778</v>
      </c>
      <c r="I59" s="5">
        <v>0</v>
      </c>
      <c r="J59" s="5">
        <v>0</v>
      </c>
      <c r="K59" s="153"/>
      <c r="L59" s="5">
        <v>0</v>
      </c>
      <c r="M59" s="5">
        <v>0</v>
      </c>
      <c r="N59" s="5"/>
      <c r="O59" s="5">
        <v>0</v>
      </c>
      <c r="P59" s="5">
        <v>0</v>
      </c>
      <c r="Q59" s="784"/>
      <c r="R59" s="5">
        <v>0</v>
      </c>
      <c r="S59" s="5">
        <v>0</v>
      </c>
      <c r="T59" s="628"/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/>
      <c r="AA59" s="5">
        <v>0</v>
      </c>
      <c r="AB59" s="5">
        <v>0</v>
      </c>
      <c r="AC59" s="5">
        <v>0</v>
      </c>
      <c r="AD59" s="5">
        <v>0</v>
      </c>
      <c r="AE59" s="5">
        <v>702.20794508091603</v>
      </c>
      <c r="AF59" s="5">
        <v>0</v>
      </c>
      <c r="AG59" s="5"/>
      <c r="AH59" s="5">
        <v>863.53833647319414</v>
      </c>
      <c r="AI59" s="5">
        <v>0</v>
      </c>
      <c r="AJ59" s="5"/>
      <c r="AK59" s="5">
        <v>150.47048844972329</v>
      </c>
      <c r="AL59" s="5">
        <v>0</v>
      </c>
      <c r="AM59" s="5"/>
      <c r="AN59" s="5">
        <v>514.19942183572402</v>
      </c>
      <c r="AO59" s="5">
        <v>0</v>
      </c>
      <c r="AP59" s="5"/>
      <c r="AQ59" s="5">
        <v>379.96224504488214</v>
      </c>
      <c r="AR59" s="5">
        <v>0</v>
      </c>
      <c r="AS59" s="5"/>
      <c r="AT59" s="5">
        <v>533.50669378349517</v>
      </c>
      <c r="AU59" s="5">
        <v>0</v>
      </c>
      <c r="AV59" s="5"/>
      <c r="AW59" s="5">
        <v>28.01131583015178</v>
      </c>
      <c r="AX59" s="5">
        <v>0</v>
      </c>
      <c r="AY59" s="5"/>
      <c r="AZ59" s="5">
        <v>1586</v>
      </c>
      <c r="BA59" s="5">
        <v>0</v>
      </c>
      <c r="BB59" s="5">
        <v>-1586</v>
      </c>
      <c r="BD59" s="2">
        <v>1</v>
      </c>
      <c r="BF59" s="787">
        <v>15.43</v>
      </c>
      <c r="BG59" s="325">
        <v>150000547</v>
      </c>
    </row>
    <row r="60" spans="1:59" ht="24.9" customHeight="1" x14ac:dyDescent="0.3">
      <c r="A60" s="325">
        <v>150000509</v>
      </c>
      <c r="B60" s="445" t="s">
        <v>53</v>
      </c>
      <c r="C60" s="27">
        <v>1</v>
      </c>
      <c r="D60" s="101" t="s">
        <v>455</v>
      </c>
      <c r="E60" s="786">
        <v>249.8</v>
      </c>
      <c r="F60" s="5">
        <v>118</v>
      </c>
      <c r="G60" s="5">
        <v>0</v>
      </c>
      <c r="H60" s="5">
        <v>-118</v>
      </c>
      <c r="I60" s="5">
        <v>0</v>
      </c>
      <c r="J60" s="5">
        <v>0</v>
      </c>
      <c r="K60" s="153"/>
      <c r="L60" s="5">
        <v>0</v>
      </c>
      <c r="M60" s="5">
        <v>0</v>
      </c>
      <c r="N60" s="5"/>
      <c r="O60" s="5">
        <v>0</v>
      </c>
      <c r="P60" s="5">
        <v>0</v>
      </c>
      <c r="Q60" s="784"/>
      <c r="R60" s="5">
        <v>0</v>
      </c>
      <c r="S60" s="5">
        <v>0</v>
      </c>
      <c r="T60" s="628"/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/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/>
      <c r="AH60" s="5">
        <v>0</v>
      </c>
      <c r="AI60" s="5">
        <v>0</v>
      </c>
      <c r="AJ60" s="5"/>
      <c r="AK60" s="5">
        <v>0</v>
      </c>
      <c r="AL60" s="5">
        <v>0</v>
      </c>
      <c r="AM60" s="5"/>
      <c r="AN60" s="5">
        <v>0</v>
      </c>
      <c r="AO60" s="5">
        <v>0</v>
      </c>
      <c r="AP60" s="5"/>
      <c r="AQ60" s="5">
        <v>0</v>
      </c>
      <c r="AR60" s="5">
        <v>0</v>
      </c>
      <c r="AS60" s="5"/>
      <c r="AT60" s="5">
        <v>0</v>
      </c>
      <c r="AU60" s="5">
        <v>0</v>
      </c>
      <c r="AV60" s="5"/>
      <c r="AW60" s="5">
        <v>4.4980000000000002</v>
      </c>
      <c r="AX60" s="5">
        <v>0</v>
      </c>
      <c r="AY60" s="5"/>
      <c r="AZ60" s="5">
        <v>2</v>
      </c>
      <c r="BA60" s="5">
        <v>0</v>
      </c>
      <c r="BB60" s="5">
        <v>-2</v>
      </c>
      <c r="BD60" s="2">
        <v>2</v>
      </c>
      <c r="BF60" s="787">
        <v>0</v>
      </c>
      <c r="BG60" s="325">
        <v>150000509</v>
      </c>
    </row>
    <row r="61" spans="1:59" ht="24.9" customHeight="1" x14ac:dyDescent="0.3">
      <c r="A61" s="325">
        <v>150000510</v>
      </c>
      <c r="B61" s="445" t="s">
        <v>249</v>
      </c>
      <c r="C61" s="27">
        <v>5</v>
      </c>
      <c r="D61" s="101" t="s">
        <v>455</v>
      </c>
      <c r="E61" s="786">
        <v>2889.06</v>
      </c>
      <c r="F61" s="5">
        <v>1144</v>
      </c>
      <c r="G61" s="5">
        <v>0</v>
      </c>
      <c r="H61" s="5">
        <v>-1144</v>
      </c>
      <c r="I61" s="5">
        <v>0</v>
      </c>
      <c r="J61" s="5">
        <v>0</v>
      </c>
      <c r="K61" s="153"/>
      <c r="L61" s="5">
        <v>0</v>
      </c>
      <c r="M61" s="5">
        <v>0</v>
      </c>
      <c r="N61" s="5"/>
      <c r="O61" s="5">
        <v>0</v>
      </c>
      <c r="P61" s="5">
        <v>0</v>
      </c>
      <c r="Q61" s="784"/>
      <c r="R61" s="5">
        <v>0</v>
      </c>
      <c r="S61" s="5">
        <v>0</v>
      </c>
      <c r="T61" s="628"/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/>
      <c r="AA61" s="5">
        <v>0</v>
      </c>
      <c r="AB61" s="5">
        <v>0</v>
      </c>
      <c r="AC61" s="5">
        <v>0</v>
      </c>
      <c r="AD61" s="5">
        <v>0</v>
      </c>
      <c r="AE61" s="5">
        <v>470.08847345677827</v>
      </c>
      <c r="AF61" s="5">
        <v>0</v>
      </c>
      <c r="AG61" s="5"/>
      <c r="AH61" s="5">
        <v>531.96302732815923</v>
      </c>
      <c r="AI61" s="5">
        <v>0</v>
      </c>
      <c r="AJ61" s="5"/>
      <c r="AK61" s="5">
        <v>216.03964296676</v>
      </c>
      <c r="AL61" s="5">
        <v>1402</v>
      </c>
      <c r="AM61" s="5"/>
      <c r="AN61" s="5">
        <v>0</v>
      </c>
      <c r="AO61" s="5">
        <v>0</v>
      </c>
      <c r="AP61" s="5"/>
      <c r="AQ61" s="5">
        <v>0</v>
      </c>
      <c r="AR61" s="5">
        <v>0</v>
      </c>
      <c r="AS61" s="5"/>
      <c r="AT61" s="5">
        <v>378.32100436268718</v>
      </c>
      <c r="AU61" s="5">
        <v>0</v>
      </c>
      <c r="AV61" s="8"/>
      <c r="AW61" s="5">
        <v>57.900999999999996</v>
      </c>
      <c r="AX61" s="5">
        <v>0</v>
      </c>
      <c r="AY61" s="5"/>
      <c r="AZ61" s="5">
        <v>827</v>
      </c>
      <c r="BA61" s="5">
        <v>1402</v>
      </c>
      <c r="BB61" s="5">
        <v>574</v>
      </c>
      <c r="BD61" s="2">
        <v>2</v>
      </c>
      <c r="BF61" s="787">
        <v>2.82</v>
      </c>
      <c r="BG61" s="325">
        <v>150000510</v>
      </c>
    </row>
    <row r="62" spans="1:59" ht="24.9" customHeight="1" x14ac:dyDescent="0.3">
      <c r="A62" s="325">
        <v>150000511</v>
      </c>
      <c r="B62" s="445" t="s">
        <v>250</v>
      </c>
      <c r="C62" s="27">
        <v>5</v>
      </c>
      <c r="D62" s="101" t="s">
        <v>455</v>
      </c>
      <c r="E62" s="786">
        <v>3219.5</v>
      </c>
      <c r="F62" s="5">
        <v>1493</v>
      </c>
      <c r="G62" s="5">
        <v>0</v>
      </c>
      <c r="H62" s="5">
        <v>-1493</v>
      </c>
      <c r="I62" s="5">
        <v>0</v>
      </c>
      <c r="J62" s="5">
        <v>0</v>
      </c>
      <c r="K62" s="153"/>
      <c r="L62" s="5">
        <v>0</v>
      </c>
      <c r="M62" s="5">
        <v>0</v>
      </c>
      <c r="N62" s="5"/>
      <c r="O62" s="5">
        <v>0</v>
      </c>
      <c r="P62" s="5">
        <v>0</v>
      </c>
      <c r="Q62" s="784"/>
      <c r="R62" s="5">
        <v>0</v>
      </c>
      <c r="S62" s="5">
        <v>0</v>
      </c>
      <c r="T62" s="628"/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/>
      <c r="AA62" s="5">
        <v>0</v>
      </c>
      <c r="AB62" s="5">
        <v>0</v>
      </c>
      <c r="AC62" s="5">
        <v>0</v>
      </c>
      <c r="AD62" s="5">
        <v>0</v>
      </c>
      <c r="AE62" s="5">
        <v>748.31938268777719</v>
      </c>
      <c r="AF62" s="5">
        <v>0</v>
      </c>
      <c r="AG62" s="5"/>
      <c r="AH62" s="5">
        <v>981.86686199850419</v>
      </c>
      <c r="AI62" s="5">
        <v>0</v>
      </c>
      <c r="AJ62" s="5"/>
      <c r="AK62" s="5">
        <v>231.91574819855001</v>
      </c>
      <c r="AL62" s="5">
        <v>1051</v>
      </c>
      <c r="AM62" s="5"/>
      <c r="AN62" s="5">
        <v>0</v>
      </c>
      <c r="AO62" s="5">
        <v>0</v>
      </c>
      <c r="AP62" s="5"/>
      <c r="AQ62" s="5">
        <v>0</v>
      </c>
      <c r="AR62" s="5">
        <v>0</v>
      </c>
      <c r="AS62" s="5"/>
      <c r="AT62" s="5">
        <v>565.61971795143086</v>
      </c>
      <c r="AU62" s="5">
        <v>0</v>
      </c>
      <c r="AV62" s="5"/>
      <c r="AW62" s="5">
        <v>64.194999999999993</v>
      </c>
      <c r="AX62" s="5">
        <v>0</v>
      </c>
      <c r="AY62" s="5"/>
      <c r="AZ62" s="5">
        <v>1296</v>
      </c>
      <c r="BA62" s="5">
        <v>1051</v>
      </c>
      <c r="BB62" s="5">
        <v>-245</v>
      </c>
      <c r="BD62" s="2">
        <v>2</v>
      </c>
      <c r="BF62" s="787">
        <v>3.14</v>
      </c>
      <c r="BG62" s="325">
        <v>150000511</v>
      </c>
    </row>
    <row r="63" spans="1:59" ht="24.9" customHeight="1" x14ac:dyDescent="0.3">
      <c r="A63" s="325">
        <v>150000512</v>
      </c>
      <c r="B63" s="445" t="s">
        <v>251</v>
      </c>
      <c r="C63" s="27">
        <v>5</v>
      </c>
      <c r="D63" s="101" t="s">
        <v>455</v>
      </c>
      <c r="E63" s="786">
        <v>1871.7</v>
      </c>
      <c r="F63" s="5">
        <v>794</v>
      </c>
      <c r="G63" s="5">
        <v>0</v>
      </c>
      <c r="H63" s="5">
        <v>-794</v>
      </c>
      <c r="I63" s="5">
        <v>0</v>
      </c>
      <c r="J63" s="5">
        <v>0</v>
      </c>
      <c r="K63" s="153"/>
      <c r="L63" s="5">
        <v>0</v>
      </c>
      <c r="M63" s="5">
        <v>0</v>
      </c>
      <c r="N63" s="5"/>
      <c r="O63" s="5">
        <v>0</v>
      </c>
      <c r="P63" s="5">
        <v>0</v>
      </c>
      <c r="Q63" s="784"/>
      <c r="R63" s="5">
        <v>0</v>
      </c>
      <c r="S63" s="5">
        <v>0</v>
      </c>
      <c r="T63" s="628"/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/>
      <c r="AA63" s="5">
        <v>0</v>
      </c>
      <c r="AB63" s="5">
        <v>0</v>
      </c>
      <c r="AC63" s="5">
        <v>0</v>
      </c>
      <c r="AD63" s="5">
        <v>0</v>
      </c>
      <c r="AE63" s="5">
        <v>325.64323273748892</v>
      </c>
      <c r="AF63" s="5">
        <v>0</v>
      </c>
      <c r="AG63" s="5"/>
      <c r="AH63" s="5">
        <v>502.33485964959351</v>
      </c>
      <c r="AI63" s="5">
        <v>0</v>
      </c>
      <c r="AJ63" s="5"/>
      <c r="AK63" s="5">
        <v>118.3905511774383</v>
      </c>
      <c r="AL63" s="5">
        <v>0</v>
      </c>
      <c r="AM63" s="5"/>
      <c r="AN63" s="5">
        <v>0</v>
      </c>
      <c r="AO63" s="5">
        <v>0</v>
      </c>
      <c r="AP63" s="5"/>
      <c r="AQ63" s="5">
        <v>0</v>
      </c>
      <c r="AR63" s="5">
        <v>0</v>
      </c>
      <c r="AS63" s="5"/>
      <c r="AT63" s="5">
        <v>190.2908190479597</v>
      </c>
      <c r="AU63" s="5">
        <v>0</v>
      </c>
      <c r="AV63" s="5"/>
      <c r="AW63" s="5">
        <v>36.283000000000001</v>
      </c>
      <c r="AX63" s="5">
        <v>0</v>
      </c>
      <c r="AY63" s="5"/>
      <c r="AZ63" s="5">
        <v>587</v>
      </c>
      <c r="BA63" s="5">
        <v>0</v>
      </c>
      <c r="BB63" s="5">
        <v>-587</v>
      </c>
      <c r="BD63" s="2">
        <v>2</v>
      </c>
      <c r="BF63" s="787">
        <v>1.78</v>
      </c>
      <c r="BG63" s="325">
        <v>150000512</v>
      </c>
    </row>
    <row r="64" spans="1:59" ht="24.9" customHeight="1" x14ac:dyDescent="0.3">
      <c r="A64" s="325">
        <v>150000513</v>
      </c>
      <c r="B64" s="445" t="s">
        <v>334</v>
      </c>
      <c r="C64" s="27">
        <v>6</v>
      </c>
      <c r="D64" s="101" t="s">
        <v>455</v>
      </c>
      <c r="E64" s="786">
        <v>3630</v>
      </c>
      <c r="F64" s="5">
        <v>1939</v>
      </c>
      <c r="G64" s="5">
        <v>0</v>
      </c>
      <c r="H64" s="5">
        <v>-1939</v>
      </c>
      <c r="I64" s="5">
        <v>0</v>
      </c>
      <c r="J64" s="5">
        <v>0</v>
      </c>
      <c r="K64" s="153"/>
      <c r="L64" s="5">
        <v>0</v>
      </c>
      <c r="M64" s="5">
        <v>0</v>
      </c>
      <c r="N64" s="5"/>
      <c r="O64" s="5">
        <v>0</v>
      </c>
      <c r="P64" s="5">
        <v>0</v>
      </c>
      <c r="Q64" s="784"/>
      <c r="R64" s="5">
        <v>0</v>
      </c>
      <c r="S64" s="5">
        <v>0</v>
      </c>
      <c r="T64" s="628"/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/>
      <c r="AA64" s="5">
        <v>0</v>
      </c>
      <c r="AB64" s="5">
        <v>0</v>
      </c>
      <c r="AC64" s="5">
        <v>0</v>
      </c>
      <c r="AD64" s="5">
        <v>0</v>
      </c>
      <c r="AE64" s="5">
        <v>606.15603080200685</v>
      </c>
      <c r="AF64" s="5">
        <v>0</v>
      </c>
      <c r="AG64" s="5"/>
      <c r="AH64" s="5">
        <v>695.63115234273664</v>
      </c>
      <c r="AI64" s="5">
        <v>0</v>
      </c>
      <c r="AJ64" s="5"/>
      <c r="AK64" s="5">
        <v>273.63167016235832</v>
      </c>
      <c r="AL64" s="5">
        <v>0</v>
      </c>
      <c r="AM64" s="5"/>
      <c r="AN64" s="5">
        <v>686.14676874536804</v>
      </c>
      <c r="AO64" s="5">
        <v>0</v>
      </c>
      <c r="AP64" s="5"/>
      <c r="AQ64" s="5">
        <v>218.2367877981261</v>
      </c>
      <c r="AR64" s="5">
        <v>0</v>
      </c>
      <c r="AS64" s="5"/>
      <c r="AT64" s="5">
        <v>180.01360636433685</v>
      </c>
      <c r="AU64" s="5">
        <v>0</v>
      </c>
      <c r="AV64" s="5"/>
      <c r="AW64" s="5">
        <v>71.954000000000008</v>
      </c>
      <c r="AX64" s="5">
        <v>0</v>
      </c>
      <c r="AY64" s="5"/>
      <c r="AZ64" s="5">
        <v>1366</v>
      </c>
      <c r="BA64" s="5">
        <v>0</v>
      </c>
      <c r="BB64" s="5">
        <v>-1366</v>
      </c>
      <c r="BD64" s="2">
        <v>2</v>
      </c>
      <c r="BF64" s="787">
        <v>3.5</v>
      </c>
      <c r="BG64" s="325">
        <v>150000513</v>
      </c>
    </row>
    <row r="65" spans="1:59" ht="24.9" customHeight="1" x14ac:dyDescent="0.3">
      <c r="A65" s="325">
        <v>150000538</v>
      </c>
      <c r="B65" s="445" t="s">
        <v>208</v>
      </c>
      <c r="C65" s="27">
        <v>4</v>
      </c>
      <c r="D65" s="101" t="s">
        <v>455</v>
      </c>
      <c r="E65" s="786">
        <v>1469.3</v>
      </c>
      <c r="F65" s="5">
        <v>604</v>
      </c>
      <c r="G65" s="5">
        <v>0</v>
      </c>
      <c r="H65" s="5">
        <v>-604</v>
      </c>
      <c r="I65" s="5">
        <v>0</v>
      </c>
      <c r="J65" s="5">
        <v>0</v>
      </c>
      <c r="K65" s="153"/>
      <c r="L65" s="5">
        <v>0</v>
      </c>
      <c r="M65" s="5">
        <v>0</v>
      </c>
      <c r="N65" s="5"/>
      <c r="O65" s="5">
        <v>0</v>
      </c>
      <c r="P65" s="5">
        <v>0</v>
      </c>
      <c r="Q65" s="784"/>
      <c r="R65" s="5">
        <v>0</v>
      </c>
      <c r="S65" s="5">
        <v>0</v>
      </c>
      <c r="T65" s="628"/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/>
      <c r="AA65" s="5">
        <v>0</v>
      </c>
      <c r="AB65" s="5">
        <v>0</v>
      </c>
      <c r="AC65" s="5">
        <v>0</v>
      </c>
      <c r="AD65" s="5">
        <v>0</v>
      </c>
      <c r="AE65" s="5">
        <v>286.04958889924092</v>
      </c>
      <c r="AF65" s="5">
        <v>0</v>
      </c>
      <c r="AG65" s="5"/>
      <c r="AH65" s="5">
        <v>307.63649120161597</v>
      </c>
      <c r="AI65" s="5">
        <v>0</v>
      </c>
      <c r="AJ65" s="5"/>
      <c r="AK65" s="5">
        <v>105.73215019566919</v>
      </c>
      <c r="AL65" s="5">
        <v>0</v>
      </c>
      <c r="AM65" s="5"/>
      <c r="AN65" s="5">
        <v>0</v>
      </c>
      <c r="AO65" s="5">
        <v>0</v>
      </c>
      <c r="AP65" s="5"/>
      <c r="AQ65" s="5">
        <v>0</v>
      </c>
      <c r="AR65" s="5">
        <v>0</v>
      </c>
      <c r="AS65" s="5"/>
      <c r="AT65" s="5">
        <v>167.92597839956272</v>
      </c>
      <c r="AU65" s="5">
        <v>0</v>
      </c>
      <c r="AV65" s="5"/>
      <c r="AW65" s="5">
        <v>29.692999999999998</v>
      </c>
      <c r="AX65" s="5">
        <v>0</v>
      </c>
      <c r="AY65" s="5"/>
      <c r="AZ65" s="5">
        <v>448</v>
      </c>
      <c r="BA65" s="5">
        <v>0</v>
      </c>
      <c r="BB65" s="5">
        <v>-448</v>
      </c>
      <c r="BD65" s="2">
        <v>2</v>
      </c>
      <c r="BF65" s="787">
        <v>1.43</v>
      </c>
      <c r="BG65" s="325">
        <v>150000538</v>
      </c>
    </row>
    <row r="66" spans="1:59" ht="24.9" customHeight="1" x14ac:dyDescent="0.3">
      <c r="A66" s="325">
        <v>150000514</v>
      </c>
      <c r="B66" s="445" t="s">
        <v>152</v>
      </c>
      <c r="C66" s="27">
        <v>2</v>
      </c>
      <c r="D66" s="101" t="s">
        <v>455</v>
      </c>
      <c r="E66" s="786">
        <v>253.5</v>
      </c>
      <c r="F66" s="5">
        <v>185</v>
      </c>
      <c r="G66" s="5">
        <v>0</v>
      </c>
      <c r="H66" s="5">
        <v>-185</v>
      </c>
      <c r="I66" s="5">
        <v>0</v>
      </c>
      <c r="J66" s="5">
        <v>0</v>
      </c>
      <c r="K66" s="153"/>
      <c r="L66" s="5">
        <v>0</v>
      </c>
      <c r="M66" s="5">
        <v>0</v>
      </c>
      <c r="N66" s="5"/>
      <c r="O66" s="5">
        <v>0</v>
      </c>
      <c r="P66" s="5">
        <v>0</v>
      </c>
      <c r="Q66" s="784"/>
      <c r="R66" s="5">
        <v>0</v>
      </c>
      <c r="S66" s="5">
        <v>0</v>
      </c>
      <c r="T66" s="628"/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/>
      <c r="AA66" s="5">
        <v>0</v>
      </c>
      <c r="AB66" s="5">
        <v>0</v>
      </c>
      <c r="AC66" s="5">
        <v>0</v>
      </c>
      <c r="AD66" s="5">
        <v>0</v>
      </c>
      <c r="AE66" s="5">
        <v>115.83845308615932</v>
      </c>
      <c r="AF66" s="5">
        <v>0</v>
      </c>
      <c r="AG66" s="5"/>
      <c r="AH66" s="5">
        <v>123.56761495940425</v>
      </c>
      <c r="AI66" s="5">
        <v>0</v>
      </c>
      <c r="AJ66" s="5"/>
      <c r="AK66" s="5">
        <v>6.2628220338416698</v>
      </c>
      <c r="AL66" s="5">
        <v>0</v>
      </c>
      <c r="AM66" s="5"/>
      <c r="AN66" s="5">
        <v>0</v>
      </c>
      <c r="AO66" s="5">
        <v>0</v>
      </c>
      <c r="AP66" s="5"/>
      <c r="AQ66" s="5">
        <v>0</v>
      </c>
      <c r="AR66" s="5">
        <v>0</v>
      </c>
      <c r="AS66" s="5"/>
      <c r="AT66" s="5">
        <v>24.172905057991901</v>
      </c>
      <c r="AU66" s="5">
        <v>0</v>
      </c>
      <c r="AV66" s="5"/>
      <c r="AW66" s="5">
        <v>5.5350000000000001</v>
      </c>
      <c r="AX66" s="5">
        <v>0</v>
      </c>
      <c r="AY66" s="5"/>
      <c r="AZ66" s="5">
        <v>137</v>
      </c>
      <c r="BA66" s="5">
        <v>0</v>
      </c>
      <c r="BB66" s="5">
        <v>-137</v>
      </c>
      <c r="BD66" s="2">
        <v>2</v>
      </c>
      <c r="BF66" s="787">
        <v>0.25</v>
      </c>
      <c r="BG66" s="325">
        <v>150000514</v>
      </c>
    </row>
    <row r="67" spans="1:59" ht="24.9" customHeight="1" x14ac:dyDescent="0.3">
      <c r="A67" s="325">
        <v>150000515</v>
      </c>
      <c r="B67" s="445" t="s">
        <v>54</v>
      </c>
      <c r="C67" s="27">
        <v>1</v>
      </c>
      <c r="D67" s="101" t="s">
        <v>455</v>
      </c>
      <c r="E67" s="786">
        <v>200.6</v>
      </c>
      <c r="F67" s="5">
        <v>111</v>
      </c>
      <c r="G67" s="5">
        <v>0</v>
      </c>
      <c r="H67" s="5">
        <v>-111</v>
      </c>
      <c r="I67" s="5">
        <v>0</v>
      </c>
      <c r="J67" s="5">
        <v>0</v>
      </c>
      <c r="K67" s="153"/>
      <c r="L67" s="5">
        <v>0</v>
      </c>
      <c r="M67" s="5">
        <v>0</v>
      </c>
      <c r="N67" s="5"/>
      <c r="O67" s="5">
        <v>0</v>
      </c>
      <c r="P67" s="5">
        <v>0</v>
      </c>
      <c r="Q67" s="784"/>
      <c r="R67" s="5">
        <v>0</v>
      </c>
      <c r="S67" s="5">
        <v>0</v>
      </c>
      <c r="T67" s="628"/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/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/>
      <c r="AH67" s="5">
        <v>0</v>
      </c>
      <c r="AI67" s="5">
        <v>0</v>
      </c>
      <c r="AJ67" s="5"/>
      <c r="AK67" s="5">
        <v>0</v>
      </c>
      <c r="AL67" s="5">
        <v>0</v>
      </c>
      <c r="AM67" s="5"/>
      <c r="AN67" s="5">
        <v>0</v>
      </c>
      <c r="AO67" s="5">
        <v>0</v>
      </c>
      <c r="AP67" s="5"/>
      <c r="AQ67" s="5">
        <v>0</v>
      </c>
      <c r="AR67" s="5">
        <v>0</v>
      </c>
      <c r="AS67" s="5"/>
      <c r="AT67" s="5">
        <v>0</v>
      </c>
      <c r="AU67" s="5">
        <v>0</v>
      </c>
      <c r="AV67" s="5"/>
      <c r="AW67" s="5">
        <v>4.0060000000000002</v>
      </c>
      <c r="AX67" s="5">
        <v>0</v>
      </c>
      <c r="AY67" s="5"/>
      <c r="AZ67" s="5">
        <v>2</v>
      </c>
      <c r="BA67" s="5">
        <v>0</v>
      </c>
      <c r="BB67" s="5">
        <v>-2</v>
      </c>
      <c r="BD67" s="2">
        <v>2</v>
      </c>
      <c r="BF67" s="787">
        <v>0</v>
      </c>
      <c r="BG67" s="325">
        <v>150000515</v>
      </c>
    </row>
    <row r="68" spans="1:59" ht="24.9" customHeight="1" x14ac:dyDescent="0.3">
      <c r="A68" s="325">
        <v>150000539</v>
      </c>
      <c r="B68" s="445" t="s">
        <v>55</v>
      </c>
      <c r="C68" s="27">
        <v>1</v>
      </c>
      <c r="D68" s="101" t="s">
        <v>455</v>
      </c>
      <c r="E68" s="786">
        <v>83.8</v>
      </c>
      <c r="F68" s="5">
        <v>48</v>
      </c>
      <c r="G68" s="5">
        <v>0</v>
      </c>
      <c r="H68" s="5">
        <v>-48</v>
      </c>
      <c r="I68" s="5">
        <v>0</v>
      </c>
      <c r="J68" s="5">
        <v>0</v>
      </c>
      <c r="K68" s="153"/>
      <c r="L68" s="5">
        <v>0</v>
      </c>
      <c r="M68" s="5">
        <v>0</v>
      </c>
      <c r="N68" s="5"/>
      <c r="O68" s="5">
        <v>0</v>
      </c>
      <c r="P68" s="5">
        <v>0</v>
      </c>
      <c r="Q68" s="784"/>
      <c r="R68" s="5">
        <v>0</v>
      </c>
      <c r="S68" s="5">
        <v>0</v>
      </c>
      <c r="T68" s="628"/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/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/>
      <c r="AH68" s="5">
        <v>0</v>
      </c>
      <c r="AI68" s="5">
        <v>0</v>
      </c>
      <c r="AJ68" s="5"/>
      <c r="AK68" s="5">
        <v>0</v>
      </c>
      <c r="AL68" s="5">
        <v>0</v>
      </c>
      <c r="AM68" s="5"/>
      <c r="AN68" s="5">
        <v>0</v>
      </c>
      <c r="AO68" s="5">
        <v>0</v>
      </c>
      <c r="AP68" s="5"/>
      <c r="AQ68" s="5">
        <v>0</v>
      </c>
      <c r="AR68" s="5">
        <v>0</v>
      </c>
      <c r="AS68" s="5"/>
      <c r="AT68" s="5">
        <v>0</v>
      </c>
      <c r="AU68" s="5">
        <v>0</v>
      </c>
      <c r="AV68" s="5"/>
      <c r="AW68" s="5">
        <v>1.8380000000000001</v>
      </c>
      <c r="AX68" s="5">
        <v>0</v>
      </c>
      <c r="AY68" s="5"/>
      <c r="AZ68" s="5">
        <v>1</v>
      </c>
      <c r="BA68" s="5">
        <v>0</v>
      </c>
      <c r="BB68" s="5">
        <v>-1</v>
      </c>
      <c r="BD68" s="2">
        <v>2</v>
      </c>
      <c r="BF68" s="787">
        <v>0</v>
      </c>
      <c r="BG68" s="325">
        <v>150000539</v>
      </c>
    </row>
    <row r="69" spans="1:59" ht="24.9" customHeight="1" x14ac:dyDescent="0.3">
      <c r="A69" s="325">
        <v>150000516</v>
      </c>
      <c r="B69" s="445" t="s">
        <v>56</v>
      </c>
      <c r="C69" s="27">
        <v>1</v>
      </c>
      <c r="D69" s="101" t="s">
        <v>455</v>
      </c>
      <c r="E69" s="786">
        <v>323.10000000000002</v>
      </c>
      <c r="F69" s="5">
        <v>149</v>
      </c>
      <c r="G69" s="5">
        <v>0</v>
      </c>
      <c r="H69" s="5">
        <v>-149</v>
      </c>
      <c r="I69" s="5">
        <v>0</v>
      </c>
      <c r="J69" s="5">
        <v>0</v>
      </c>
      <c r="K69" s="153"/>
      <c r="L69" s="5">
        <v>0</v>
      </c>
      <c r="M69" s="5">
        <v>0</v>
      </c>
      <c r="N69" s="5"/>
      <c r="O69" s="5">
        <v>0</v>
      </c>
      <c r="P69" s="5">
        <v>0</v>
      </c>
      <c r="Q69" s="784"/>
      <c r="R69" s="5">
        <v>0</v>
      </c>
      <c r="S69" s="5">
        <v>0</v>
      </c>
      <c r="T69" s="628"/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/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/>
      <c r="AH69" s="5">
        <v>0</v>
      </c>
      <c r="AI69" s="5">
        <v>0</v>
      </c>
      <c r="AJ69" s="5"/>
      <c r="AK69" s="5">
        <v>0</v>
      </c>
      <c r="AL69" s="5">
        <v>0</v>
      </c>
      <c r="AM69" s="5"/>
      <c r="AN69" s="5">
        <v>0</v>
      </c>
      <c r="AO69" s="5">
        <v>0</v>
      </c>
      <c r="AP69" s="5"/>
      <c r="AQ69" s="5">
        <v>0</v>
      </c>
      <c r="AR69" s="5">
        <v>0</v>
      </c>
      <c r="AS69" s="5"/>
      <c r="AT69" s="5">
        <v>0</v>
      </c>
      <c r="AU69" s="5">
        <v>0</v>
      </c>
      <c r="AV69" s="5"/>
      <c r="AW69" s="5">
        <v>6.2309999999999999</v>
      </c>
      <c r="AX69" s="5">
        <v>0</v>
      </c>
      <c r="AY69" s="5"/>
      <c r="AZ69" s="5">
        <v>3</v>
      </c>
      <c r="BA69" s="5">
        <v>0</v>
      </c>
      <c r="BB69" s="5">
        <v>-3</v>
      </c>
      <c r="BD69" s="2">
        <v>2</v>
      </c>
      <c r="BF69" s="787">
        <v>0</v>
      </c>
      <c r="BG69" s="325">
        <v>150000516</v>
      </c>
    </row>
    <row r="70" spans="1:59" ht="24.9" customHeight="1" x14ac:dyDescent="0.3">
      <c r="A70" s="325">
        <v>150000517</v>
      </c>
      <c r="B70" s="445" t="s">
        <v>252</v>
      </c>
      <c r="C70" s="27">
        <v>5</v>
      </c>
      <c r="D70" s="101" t="s">
        <v>455</v>
      </c>
      <c r="E70" s="786">
        <v>1854</v>
      </c>
      <c r="F70" s="5">
        <v>821</v>
      </c>
      <c r="G70" s="5">
        <v>68620</v>
      </c>
      <c r="H70" s="5">
        <v>-821</v>
      </c>
      <c r="I70" s="5">
        <v>0</v>
      </c>
      <c r="J70" s="5">
        <v>0</v>
      </c>
      <c r="K70" s="153"/>
      <c r="L70" s="5">
        <v>1</v>
      </c>
      <c r="M70" s="5">
        <v>67831</v>
      </c>
      <c r="N70" s="5"/>
      <c r="O70" s="5">
        <v>0</v>
      </c>
      <c r="P70" s="5">
        <v>0</v>
      </c>
      <c r="Q70" s="784"/>
      <c r="R70" s="5">
        <v>0</v>
      </c>
      <c r="S70" s="5">
        <v>0</v>
      </c>
      <c r="T70" s="628"/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/>
      <c r="AA70" s="5">
        <v>0</v>
      </c>
      <c r="AB70" s="5">
        <v>0</v>
      </c>
      <c r="AC70" s="5">
        <v>789</v>
      </c>
      <c r="AD70" s="5">
        <v>0</v>
      </c>
      <c r="AE70" s="5">
        <v>403.87597691596022</v>
      </c>
      <c r="AF70" s="5">
        <v>0</v>
      </c>
      <c r="AG70" s="8"/>
      <c r="AH70" s="5">
        <v>501.63380661306957</v>
      </c>
      <c r="AI70" s="5">
        <v>0</v>
      </c>
      <c r="AJ70" s="5"/>
      <c r="AK70" s="5">
        <v>122.135270958825</v>
      </c>
      <c r="AL70" s="5">
        <v>0</v>
      </c>
      <c r="AM70" s="5"/>
      <c r="AN70" s="5">
        <v>0</v>
      </c>
      <c r="AO70" s="5">
        <v>0</v>
      </c>
      <c r="AP70" s="5"/>
      <c r="AQ70" s="5">
        <v>0</v>
      </c>
      <c r="AR70" s="5">
        <v>0</v>
      </c>
      <c r="AS70" s="5"/>
      <c r="AT70" s="5">
        <v>167.86769197998808</v>
      </c>
      <c r="AU70" s="5">
        <v>0</v>
      </c>
      <c r="AV70" s="5"/>
      <c r="AW70" s="5">
        <v>38.216000000000001</v>
      </c>
      <c r="AX70" s="5">
        <v>0</v>
      </c>
      <c r="AY70" s="5"/>
      <c r="AZ70" s="5">
        <v>617</v>
      </c>
      <c r="BA70" s="5">
        <v>0</v>
      </c>
      <c r="BB70" s="5">
        <v>-617</v>
      </c>
      <c r="BD70" s="2">
        <v>2</v>
      </c>
      <c r="BF70" s="787">
        <v>36.85</v>
      </c>
      <c r="BG70" s="325">
        <v>150000517</v>
      </c>
    </row>
    <row r="71" spans="1:59" ht="24.9" customHeight="1" x14ac:dyDescent="0.3">
      <c r="A71" s="325">
        <v>150000518</v>
      </c>
      <c r="B71" s="445" t="s">
        <v>195</v>
      </c>
      <c r="C71" s="27">
        <v>3</v>
      </c>
      <c r="D71" s="101" t="s">
        <v>455</v>
      </c>
      <c r="E71" s="786">
        <v>847.5</v>
      </c>
      <c r="F71" s="5">
        <v>552</v>
      </c>
      <c r="G71" s="5">
        <v>1580</v>
      </c>
      <c r="H71" s="5">
        <v>-552</v>
      </c>
      <c r="I71" s="5">
        <v>0</v>
      </c>
      <c r="J71" s="5">
        <v>0</v>
      </c>
      <c r="K71" s="153"/>
      <c r="L71" s="5">
        <v>0</v>
      </c>
      <c r="M71" s="5">
        <v>1580</v>
      </c>
      <c r="N71" s="5"/>
      <c r="O71" s="5">
        <v>0</v>
      </c>
      <c r="P71" s="5">
        <v>0</v>
      </c>
      <c r="Q71" s="784"/>
      <c r="R71" s="5">
        <v>0</v>
      </c>
      <c r="S71" s="5">
        <v>0</v>
      </c>
      <c r="T71" s="628"/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/>
      <c r="AA71" s="5">
        <v>0</v>
      </c>
      <c r="AB71" s="5">
        <v>0</v>
      </c>
      <c r="AC71" s="5">
        <v>0</v>
      </c>
      <c r="AD71" s="5">
        <v>0</v>
      </c>
      <c r="AE71" s="5">
        <v>243.63951268643888</v>
      </c>
      <c r="AF71" s="5">
        <v>0</v>
      </c>
      <c r="AG71" s="5"/>
      <c r="AH71" s="5">
        <v>342.49791182269416</v>
      </c>
      <c r="AI71" s="5">
        <v>0</v>
      </c>
      <c r="AJ71" s="5"/>
      <c r="AK71" s="5">
        <v>48.212128019733299</v>
      </c>
      <c r="AL71" s="5">
        <v>0</v>
      </c>
      <c r="AM71" s="5"/>
      <c r="AN71" s="5">
        <v>0</v>
      </c>
      <c r="AO71" s="5">
        <v>0</v>
      </c>
      <c r="AP71" s="5"/>
      <c r="AQ71" s="5">
        <v>0</v>
      </c>
      <c r="AR71" s="5">
        <v>0</v>
      </c>
      <c r="AS71" s="5"/>
      <c r="AT71" s="5">
        <v>101.55209412918092</v>
      </c>
      <c r="AU71" s="5">
        <v>0</v>
      </c>
      <c r="AV71" s="5"/>
      <c r="AW71" s="5">
        <v>16.475000000000001</v>
      </c>
      <c r="AX71" s="5">
        <v>0</v>
      </c>
      <c r="AY71" s="5"/>
      <c r="AZ71" s="5">
        <v>376</v>
      </c>
      <c r="BA71" s="5">
        <v>0</v>
      </c>
      <c r="BB71" s="5">
        <v>-376</v>
      </c>
      <c r="BD71" s="2">
        <v>2</v>
      </c>
      <c r="BF71" s="787">
        <v>0.83</v>
      </c>
      <c r="BG71" s="325">
        <v>150000518</v>
      </c>
    </row>
    <row r="72" spans="1:59" ht="24.9" customHeight="1" x14ac:dyDescent="0.3">
      <c r="A72" s="325">
        <v>150000519</v>
      </c>
      <c r="B72" s="445" t="s">
        <v>413</v>
      </c>
      <c r="C72" s="27">
        <v>10</v>
      </c>
      <c r="D72" s="101" t="s">
        <v>455</v>
      </c>
      <c r="E72" s="786">
        <v>2697.3</v>
      </c>
      <c r="F72" s="5">
        <v>1660</v>
      </c>
      <c r="G72" s="5">
        <v>0</v>
      </c>
      <c r="H72" s="5">
        <v>-1660</v>
      </c>
      <c r="I72" s="5">
        <v>0</v>
      </c>
      <c r="J72" s="5">
        <v>0</v>
      </c>
      <c r="K72" s="153"/>
      <c r="L72" s="5">
        <v>0</v>
      </c>
      <c r="M72" s="5">
        <v>0</v>
      </c>
      <c r="N72" s="467"/>
      <c r="O72" s="5">
        <v>0</v>
      </c>
      <c r="P72" s="5">
        <v>0</v>
      </c>
      <c r="Q72" s="784"/>
      <c r="R72" s="5">
        <v>0</v>
      </c>
      <c r="S72" s="5">
        <v>0</v>
      </c>
      <c r="T72" s="628"/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/>
      <c r="AA72" s="5">
        <v>0</v>
      </c>
      <c r="AB72" s="5">
        <v>0</v>
      </c>
      <c r="AC72" s="5">
        <v>0</v>
      </c>
      <c r="AD72" s="5">
        <v>0</v>
      </c>
      <c r="AE72" s="5">
        <v>498.20323771374461</v>
      </c>
      <c r="AF72" s="5">
        <v>0</v>
      </c>
      <c r="AG72" s="454"/>
      <c r="AH72" s="5">
        <v>560.30691451701773</v>
      </c>
      <c r="AI72" s="5">
        <v>0</v>
      </c>
      <c r="AJ72" s="5"/>
      <c r="AK72" s="5">
        <v>197.78881672580002</v>
      </c>
      <c r="AL72" s="5">
        <v>0</v>
      </c>
      <c r="AM72" s="5"/>
      <c r="AN72" s="5">
        <v>632.11458601771699</v>
      </c>
      <c r="AO72" s="5">
        <v>0</v>
      </c>
      <c r="AP72" s="5"/>
      <c r="AQ72" s="5">
        <v>223.60918026752762</v>
      </c>
      <c r="AR72" s="5">
        <v>0</v>
      </c>
      <c r="AS72" s="5"/>
      <c r="AT72" s="5">
        <v>252.3194363825134</v>
      </c>
      <c r="AU72" s="5">
        <v>0</v>
      </c>
      <c r="AV72" s="5"/>
      <c r="AW72" s="5">
        <v>53.972999999999999</v>
      </c>
      <c r="AX72" s="5">
        <v>0</v>
      </c>
      <c r="AY72" s="5"/>
      <c r="AZ72" s="5">
        <v>1209</v>
      </c>
      <c r="BA72" s="5">
        <v>0</v>
      </c>
      <c r="BB72" s="5">
        <v>-1209</v>
      </c>
      <c r="BD72" s="2">
        <v>2</v>
      </c>
      <c r="BF72" s="787">
        <v>2.63</v>
      </c>
      <c r="BG72" s="325">
        <v>150000519</v>
      </c>
    </row>
    <row r="73" spans="1:59" ht="24.9" customHeight="1" x14ac:dyDescent="0.3">
      <c r="A73" s="325">
        <v>150000521</v>
      </c>
      <c r="B73" s="445" t="s">
        <v>253</v>
      </c>
      <c r="C73" s="27">
        <v>5</v>
      </c>
      <c r="D73" s="101" t="s">
        <v>455</v>
      </c>
      <c r="E73" s="786">
        <v>1766.9</v>
      </c>
      <c r="F73" s="5">
        <v>862</v>
      </c>
      <c r="G73" s="5">
        <v>644</v>
      </c>
      <c r="H73" s="5">
        <v>-218</v>
      </c>
      <c r="I73" s="5">
        <v>0</v>
      </c>
      <c r="J73" s="5">
        <v>0</v>
      </c>
      <c r="K73" s="153"/>
      <c r="L73" s="5">
        <v>0</v>
      </c>
      <c r="M73" s="5">
        <v>0</v>
      </c>
      <c r="N73" s="5"/>
      <c r="O73" s="5">
        <v>0</v>
      </c>
      <c r="P73" s="5">
        <v>0</v>
      </c>
      <c r="Q73" s="784"/>
      <c r="R73" s="5">
        <v>0</v>
      </c>
      <c r="S73" s="5">
        <v>0</v>
      </c>
      <c r="T73" s="628"/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/>
      <c r="AA73" s="5">
        <v>0</v>
      </c>
      <c r="AB73" s="5">
        <v>0</v>
      </c>
      <c r="AC73" s="5">
        <v>0</v>
      </c>
      <c r="AD73" s="5">
        <v>644</v>
      </c>
      <c r="AE73" s="5">
        <v>348.2945571350545</v>
      </c>
      <c r="AF73" s="5">
        <v>0</v>
      </c>
      <c r="AG73" s="454"/>
      <c r="AH73" s="5">
        <v>501.63380661306957</v>
      </c>
      <c r="AI73" s="5">
        <v>0</v>
      </c>
      <c r="AJ73" s="5"/>
      <c r="AK73" s="5">
        <v>121.514982219785</v>
      </c>
      <c r="AL73" s="5">
        <v>0</v>
      </c>
      <c r="AM73" s="5"/>
      <c r="AN73" s="5">
        <v>0</v>
      </c>
      <c r="AO73" s="5">
        <v>0</v>
      </c>
      <c r="AP73" s="5"/>
      <c r="AQ73" s="5">
        <v>0</v>
      </c>
      <c r="AR73" s="5">
        <v>0</v>
      </c>
      <c r="AS73" s="5"/>
      <c r="AT73" s="5">
        <v>188.3975805662364</v>
      </c>
      <c r="AU73" s="5">
        <v>0</v>
      </c>
      <c r="AV73" s="5"/>
      <c r="AW73" s="5">
        <v>37.867599999999996</v>
      </c>
      <c r="AX73" s="5">
        <v>0</v>
      </c>
      <c r="AY73" s="5"/>
      <c r="AZ73" s="5">
        <v>599</v>
      </c>
      <c r="BA73" s="5">
        <v>0</v>
      </c>
      <c r="BB73" s="5">
        <v>-599</v>
      </c>
      <c r="BD73" s="2">
        <v>2</v>
      </c>
      <c r="BF73" s="787">
        <v>6.44</v>
      </c>
      <c r="BG73" s="325">
        <v>150000521</v>
      </c>
    </row>
    <row r="74" spans="1:59" ht="24.9" customHeight="1" x14ac:dyDescent="0.3">
      <c r="A74" s="325">
        <v>150000522</v>
      </c>
      <c r="B74" s="445" t="s">
        <v>57</v>
      </c>
      <c r="C74" s="27">
        <v>1</v>
      </c>
      <c r="D74" s="101" t="s">
        <v>455</v>
      </c>
      <c r="E74" s="786">
        <v>269.89999999999998</v>
      </c>
      <c r="F74" s="5">
        <v>145</v>
      </c>
      <c r="G74" s="5">
        <v>0</v>
      </c>
      <c r="H74" s="5">
        <v>-145</v>
      </c>
      <c r="I74" s="5">
        <v>0</v>
      </c>
      <c r="J74" s="5">
        <v>0</v>
      </c>
      <c r="K74" s="153"/>
      <c r="L74" s="5">
        <v>0</v>
      </c>
      <c r="M74" s="5">
        <v>0</v>
      </c>
      <c r="N74" s="5"/>
      <c r="O74" s="5">
        <v>0</v>
      </c>
      <c r="P74" s="5">
        <v>0</v>
      </c>
      <c r="Q74" s="784"/>
      <c r="R74" s="5">
        <v>0</v>
      </c>
      <c r="S74" s="5">
        <v>0</v>
      </c>
      <c r="T74" s="628"/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/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/>
      <c r="AH74" s="5">
        <v>0</v>
      </c>
      <c r="AI74" s="5">
        <v>0</v>
      </c>
      <c r="AJ74" s="5"/>
      <c r="AK74" s="5">
        <v>0</v>
      </c>
      <c r="AL74" s="5">
        <v>0</v>
      </c>
      <c r="AM74" s="5"/>
      <c r="AN74" s="5">
        <v>0</v>
      </c>
      <c r="AO74" s="5">
        <v>0</v>
      </c>
      <c r="AP74" s="5"/>
      <c r="AQ74" s="5">
        <v>0</v>
      </c>
      <c r="AR74" s="5">
        <v>0</v>
      </c>
      <c r="AS74" s="5"/>
      <c r="AT74" s="5">
        <v>0</v>
      </c>
      <c r="AU74" s="5">
        <v>0</v>
      </c>
      <c r="AV74" s="5"/>
      <c r="AW74" s="5">
        <v>6.367608558741729</v>
      </c>
      <c r="AX74" s="5">
        <v>0</v>
      </c>
      <c r="AY74" s="5"/>
      <c r="AZ74" s="5">
        <v>3</v>
      </c>
      <c r="BA74" s="5">
        <v>0</v>
      </c>
      <c r="BB74" s="5">
        <v>-3</v>
      </c>
      <c r="BD74" s="2">
        <v>1</v>
      </c>
      <c r="BF74" s="787">
        <v>0</v>
      </c>
      <c r="BG74" s="325">
        <v>150000522</v>
      </c>
    </row>
    <row r="75" spans="1:59" ht="24.9" customHeight="1" x14ac:dyDescent="0.3">
      <c r="A75" s="325">
        <v>150000523</v>
      </c>
      <c r="B75" s="445" t="s">
        <v>58</v>
      </c>
      <c r="C75" s="27">
        <v>1</v>
      </c>
      <c r="D75" s="101" t="s">
        <v>455</v>
      </c>
      <c r="E75" s="786">
        <v>299.60000000000002</v>
      </c>
      <c r="F75" s="5">
        <v>150</v>
      </c>
      <c r="G75" s="5">
        <v>2298</v>
      </c>
      <c r="H75" s="5">
        <v>2149</v>
      </c>
      <c r="I75" s="5">
        <v>0</v>
      </c>
      <c r="J75" s="5">
        <v>0</v>
      </c>
      <c r="K75" s="153"/>
      <c r="L75" s="5">
        <v>0</v>
      </c>
      <c r="M75" s="5">
        <v>0</v>
      </c>
      <c r="N75" s="5"/>
      <c r="O75" s="5">
        <v>0</v>
      </c>
      <c r="P75" s="5">
        <v>0</v>
      </c>
      <c r="Q75" s="784"/>
      <c r="R75" s="5">
        <v>0</v>
      </c>
      <c r="S75" s="5">
        <v>0</v>
      </c>
      <c r="T75" s="628"/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/>
      <c r="AA75" s="5">
        <v>0</v>
      </c>
      <c r="AB75" s="5">
        <v>0</v>
      </c>
      <c r="AC75" s="5">
        <v>0</v>
      </c>
      <c r="AD75" s="5">
        <v>2298</v>
      </c>
      <c r="AE75" s="5">
        <v>0</v>
      </c>
      <c r="AF75" s="5">
        <v>0</v>
      </c>
      <c r="AG75" s="5"/>
      <c r="AH75" s="5">
        <v>0</v>
      </c>
      <c r="AI75" s="5">
        <v>0</v>
      </c>
      <c r="AJ75" s="5"/>
      <c r="AK75" s="5">
        <v>0</v>
      </c>
      <c r="AL75" s="5">
        <v>0</v>
      </c>
      <c r="AM75" s="5"/>
      <c r="AN75" s="5">
        <v>0</v>
      </c>
      <c r="AO75" s="5">
        <v>0</v>
      </c>
      <c r="AP75" s="5"/>
      <c r="AQ75" s="5">
        <v>0</v>
      </c>
      <c r="AR75" s="5">
        <v>0</v>
      </c>
      <c r="AS75" s="5"/>
      <c r="AT75" s="5">
        <v>0</v>
      </c>
      <c r="AU75" s="5">
        <v>0</v>
      </c>
      <c r="AV75" s="5"/>
      <c r="AW75" s="5">
        <v>8.3180488543811659</v>
      </c>
      <c r="AX75" s="5">
        <v>0</v>
      </c>
      <c r="AY75" s="5"/>
      <c r="AZ75" s="5">
        <v>4</v>
      </c>
      <c r="BA75" s="5">
        <v>0</v>
      </c>
      <c r="BB75" s="5">
        <v>-4</v>
      </c>
      <c r="BD75" s="2">
        <v>1</v>
      </c>
      <c r="BF75" s="787">
        <v>0</v>
      </c>
      <c r="BG75" s="325">
        <v>150000523</v>
      </c>
    </row>
    <row r="76" spans="1:59" ht="24.9" customHeight="1" x14ac:dyDescent="0.3">
      <c r="A76" s="325">
        <v>150000524</v>
      </c>
      <c r="B76" s="445" t="s">
        <v>59</v>
      </c>
      <c r="C76" s="27">
        <v>1</v>
      </c>
      <c r="D76" s="101" t="s">
        <v>455</v>
      </c>
      <c r="E76" s="786">
        <v>214.7</v>
      </c>
      <c r="F76" s="5">
        <v>146</v>
      </c>
      <c r="G76" s="5">
        <v>3218</v>
      </c>
      <c r="H76" s="5">
        <v>3072</v>
      </c>
      <c r="I76" s="5">
        <v>0</v>
      </c>
      <c r="J76" s="5">
        <v>0</v>
      </c>
      <c r="K76" s="153"/>
      <c r="L76" s="5">
        <v>0</v>
      </c>
      <c r="M76" s="5">
        <v>0</v>
      </c>
      <c r="N76" s="5"/>
      <c r="O76" s="5">
        <v>0</v>
      </c>
      <c r="P76" s="5">
        <v>0</v>
      </c>
      <c r="Q76" s="784"/>
      <c r="R76" s="5">
        <v>0</v>
      </c>
      <c r="S76" s="5">
        <v>0</v>
      </c>
      <c r="T76" s="628"/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/>
      <c r="AA76" s="5">
        <v>0</v>
      </c>
      <c r="AB76" s="5">
        <v>0</v>
      </c>
      <c r="AC76" s="5">
        <v>0</v>
      </c>
      <c r="AD76" s="5">
        <v>3218</v>
      </c>
      <c r="AE76" s="5">
        <v>0</v>
      </c>
      <c r="AF76" s="5">
        <v>0</v>
      </c>
      <c r="AG76" s="5"/>
      <c r="AH76" s="5">
        <v>0</v>
      </c>
      <c r="AI76" s="5">
        <v>0</v>
      </c>
      <c r="AJ76" s="5"/>
      <c r="AK76" s="5">
        <v>0</v>
      </c>
      <c r="AL76" s="5">
        <v>0</v>
      </c>
      <c r="AM76" s="5"/>
      <c r="AN76" s="5">
        <v>0</v>
      </c>
      <c r="AO76" s="5">
        <v>0</v>
      </c>
      <c r="AP76" s="5"/>
      <c r="AQ76" s="5">
        <v>0</v>
      </c>
      <c r="AR76" s="5">
        <v>0</v>
      </c>
      <c r="AS76" s="5"/>
      <c r="AT76" s="5">
        <v>0</v>
      </c>
      <c r="AU76" s="5">
        <v>0</v>
      </c>
      <c r="AV76" s="5"/>
      <c r="AW76" s="5">
        <v>6.4708721567489329</v>
      </c>
      <c r="AX76" s="5">
        <v>0</v>
      </c>
      <c r="AY76" s="5"/>
      <c r="AZ76" s="5">
        <v>3</v>
      </c>
      <c r="BA76" s="5">
        <v>0</v>
      </c>
      <c r="BB76" s="5">
        <v>-3</v>
      </c>
      <c r="BD76" s="2">
        <v>1</v>
      </c>
      <c r="BF76" s="787">
        <v>0</v>
      </c>
      <c r="BG76" s="325">
        <v>150000524</v>
      </c>
    </row>
    <row r="77" spans="1:59" ht="24.9" customHeight="1" x14ac:dyDescent="0.3">
      <c r="A77" s="325">
        <v>150000541</v>
      </c>
      <c r="B77" s="445" t="s">
        <v>60</v>
      </c>
      <c r="C77" s="27">
        <v>1</v>
      </c>
      <c r="D77" s="101" t="s">
        <v>455</v>
      </c>
      <c r="E77" s="786">
        <v>150.19999999999999</v>
      </c>
      <c r="F77" s="5">
        <v>127</v>
      </c>
      <c r="G77" s="5">
        <v>0</v>
      </c>
      <c r="H77" s="5">
        <v>-127</v>
      </c>
      <c r="I77" s="5">
        <v>0</v>
      </c>
      <c r="J77" s="5">
        <v>0</v>
      </c>
      <c r="K77" s="153"/>
      <c r="L77" s="5">
        <v>0</v>
      </c>
      <c r="M77" s="5">
        <v>0</v>
      </c>
      <c r="N77" s="5"/>
      <c r="O77" s="5">
        <v>0</v>
      </c>
      <c r="P77" s="5">
        <v>0</v>
      </c>
      <c r="Q77" s="784"/>
      <c r="R77" s="5">
        <v>0</v>
      </c>
      <c r="S77" s="5">
        <v>0</v>
      </c>
      <c r="T77" s="628"/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/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/>
      <c r="AH77" s="5">
        <v>0</v>
      </c>
      <c r="AI77" s="5">
        <v>0</v>
      </c>
      <c r="AJ77" s="5"/>
      <c r="AK77" s="5">
        <v>0</v>
      </c>
      <c r="AL77" s="5">
        <v>0</v>
      </c>
      <c r="AM77" s="5"/>
      <c r="AN77" s="5">
        <v>0</v>
      </c>
      <c r="AO77" s="5">
        <v>0</v>
      </c>
      <c r="AP77" s="5"/>
      <c r="AQ77" s="5">
        <v>0</v>
      </c>
      <c r="AR77" s="5">
        <v>0</v>
      </c>
      <c r="AS77" s="5"/>
      <c r="AT77" s="5">
        <v>0</v>
      </c>
      <c r="AU77" s="5">
        <v>0</v>
      </c>
      <c r="AV77" s="5"/>
      <c r="AW77" s="5">
        <v>3.7976473114842699</v>
      </c>
      <c r="AX77" s="5">
        <v>0</v>
      </c>
      <c r="AY77" s="5"/>
      <c r="AZ77" s="5">
        <v>2</v>
      </c>
      <c r="BA77" s="5">
        <v>0</v>
      </c>
      <c r="BB77" s="5">
        <v>-2</v>
      </c>
      <c r="BD77" s="2">
        <v>1</v>
      </c>
      <c r="BF77" s="787">
        <v>0</v>
      </c>
      <c r="BG77" s="325">
        <v>150000541</v>
      </c>
    </row>
    <row r="78" spans="1:59" ht="24.9" customHeight="1" x14ac:dyDescent="0.3">
      <c r="A78" s="325">
        <v>150000527</v>
      </c>
      <c r="B78" s="445" t="s">
        <v>61</v>
      </c>
      <c r="C78" s="27">
        <v>1</v>
      </c>
      <c r="D78" s="101" t="s">
        <v>455</v>
      </c>
      <c r="E78" s="786">
        <v>293.5</v>
      </c>
      <c r="F78" s="5">
        <v>172</v>
      </c>
      <c r="G78" s="5">
        <v>2298</v>
      </c>
      <c r="H78" s="5">
        <v>2126</v>
      </c>
      <c r="I78" s="5">
        <v>0</v>
      </c>
      <c r="J78" s="5">
        <v>0</v>
      </c>
      <c r="K78" s="153"/>
      <c r="L78" s="5">
        <v>0</v>
      </c>
      <c r="M78" s="5">
        <v>0</v>
      </c>
      <c r="N78" s="5"/>
      <c r="O78" s="5">
        <v>0</v>
      </c>
      <c r="P78" s="5">
        <v>0</v>
      </c>
      <c r="Q78" s="784"/>
      <c r="R78" s="5">
        <v>0</v>
      </c>
      <c r="S78" s="5">
        <v>0</v>
      </c>
      <c r="T78" s="628"/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/>
      <c r="AA78" s="5">
        <v>0</v>
      </c>
      <c r="AB78" s="5">
        <v>0</v>
      </c>
      <c r="AC78" s="5">
        <v>0</v>
      </c>
      <c r="AD78" s="5">
        <v>2298</v>
      </c>
      <c r="AE78" s="5">
        <v>0</v>
      </c>
      <c r="AF78" s="5">
        <v>0</v>
      </c>
      <c r="AG78" s="5"/>
      <c r="AH78" s="5">
        <v>0</v>
      </c>
      <c r="AI78" s="5">
        <v>0</v>
      </c>
      <c r="AJ78" s="5"/>
      <c r="AK78" s="5">
        <v>0</v>
      </c>
      <c r="AL78" s="5">
        <v>0</v>
      </c>
      <c r="AM78" s="5"/>
      <c r="AN78" s="5">
        <v>0</v>
      </c>
      <c r="AO78" s="5">
        <v>0</v>
      </c>
      <c r="AP78" s="5"/>
      <c r="AQ78" s="5">
        <v>0</v>
      </c>
      <c r="AR78" s="5">
        <v>0</v>
      </c>
      <c r="AS78" s="5"/>
      <c r="AT78" s="5">
        <v>0</v>
      </c>
      <c r="AU78" s="5">
        <v>0</v>
      </c>
      <c r="AV78" s="5"/>
      <c r="AW78" s="5">
        <v>6.367608558741729</v>
      </c>
      <c r="AX78" s="5">
        <v>0</v>
      </c>
      <c r="AY78" s="5"/>
      <c r="AZ78" s="5">
        <v>3</v>
      </c>
      <c r="BA78" s="5">
        <v>0</v>
      </c>
      <c r="BB78" s="5">
        <v>-3</v>
      </c>
      <c r="BD78" s="2">
        <v>1</v>
      </c>
      <c r="BF78" s="787">
        <v>0</v>
      </c>
      <c r="BG78" s="325">
        <v>150000527</v>
      </c>
    </row>
    <row r="79" spans="1:59" ht="24.9" customHeight="1" x14ac:dyDescent="0.3">
      <c r="A79" s="325">
        <v>150000542</v>
      </c>
      <c r="B79" s="445" t="s">
        <v>62</v>
      </c>
      <c r="C79" s="27">
        <v>1</v>
      </c>
      <c r="D79" s="101" t="s">
        <v>455</v>
      </c>
      <c r="E79" s="786">
        <v>164.7</v>
      </c>
      <c r="F79" s="5">
        <v>154</v>
      </c>
      <c r="G79" s="5">
        <v>208</v>
      </c>
      <c r="H79" s="5">
        <v>-154</v>
      </c>
      <c r="I79" s="5">
        <v>0</v>
      </c>
      <c r="J79" s="5">
        <v>208</v>
      </c>
      <c r="K79" s="153"/>
      <c r="L79" s="5">
        <v>0</v>
      </c>
      <c r="M79" s="5">
        <v>0</v>
      </c>
      <c r="N79" s="5"/>
      <c r="O79" s="5">
        <v>0</v>
      </c>
      <c r="P79" s="5">
        <v>0</v>
      </c>
      <c r="Q79" s="784"/>
      <c r="R79" s="5">
        <v>0</v>
      </c>
      <c r="S79" s="5">
        <v>0</v>
      </c>
      <c r="T79" s="628"/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/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/>
      <c r="AH79" s="5">
        <v>0</v>
      </c>
      <c r="AI79" s="5">
        <v>0</v>
      </c>
      <c r="AJ79" s="5"/>
      <c r="AK79" s="5">
        <v>0</v>
      </c>
      <c r="AL79" s="5">
        <v>0</v>
      </c>
      <c r="AM79" s="5"/>
      <c r="AN79" s="5">
        <v>0</v>
      </c>
      <c r="AO79" s="5">
        <v>0</v>
      </c>
      <c r="AP79" s="5"/>
      <c r="AQ79" s="5">
        <v>0</v>
      </c>
      <c r="AR79" s="5">
        <v>0</v>
      </c>
      <c r="AS79" s="5"/>
      <c r="AT79" s="5">
        <v>0</v>
      </c>
      <c r="AU79" s="5">
        <v>0</v>
      </c>
      <c r="AV79" s="5"/>
      <c r="AW79" s="5">
        <v>6.4708721567489329</v>
      </c>
      <c r="AX79" s="5">
        <v>0</v>
      </c>
      <c r="AY79" s="5"/>
      <c r="AZ79" s="5">
        <v>3</v>
      </c>
      <c r="BA79" s="5">
        <v>0</v>
      </c>
      <c r="BB79" s="5">
        <v>-3</v>
      </c>
      <c r="BD79" s="2">
        <v>1</v>
      </c>
      <c r="BF79" s="787">
        <v>0</v>
      </c>
      <c r="BG79" s="325">
        <v>150000542</v>
      </c>
    </row>
    <row r="80" spans="1:59" ht="24.9" customHeight="1" x14ac:dyDescent="0.3">
      <c r="A80" s="325">
        <v>150000529</v>
      </c>
      <c r="B80" s="445" t="s">
        <v>348</v>
      </c>
      <c r="C80" s="27">
        <v>9</v>
      </c>
      <c r="D80" s="101" t="s">
        <v>455</v>
      </c>
      <c r="E80" s="786">
        <v>8441.4500000000007</v>
      </c>
      <c r="F80" s="5">
        <v>5933</v>
      </c>
      <c r="G80" s="5">
        <v>7091</v>
      </c>
      <c r="H80" s="5">
        <v>583</v>
      </c>
      <c r="I80" s="5">
        <v>0</v>
      </c>
      <c r="J80" s="5">
        <v>0</v>
      </c>
      <c r="K80" s="153"/>
      <c r="L80" s="5">
        <v>0</v>
      </c>
      <c r="M80" s="5">
        <v>0</v>
      </c>
      <c r="N80" s="5"/>
      <c r="O80" s="5">
        <v>0</v>
      </c>
      <c r="P80" s="5">
        <v>0</v>
      </c>
      <c r="Q80" s="784"/>
      <c r="R80" s="5">
        <v>0</v>
      </c>
      <c r="S80" s="5">
        <v>5925</v>
      </c>
      <c r="T80" s="630"/>
      <c r="U80" s="5">
        <v>0</v>
      </c>
      <c r="V80" s="5">
        <v>0</v>
      </c>
      <c r="W80" s="5">
        <v>1</v>
      </c>
      <c r="X80" s="5">
        <v>283</v>
      </c>
      <c r="Y80" s="5">
        <v>0</v>
      </c>
      <c r="Z80" s="630"/>
      <c r="AA80" s="5">
        <v>0</v>
      </c>
      <c r="AB80" s="5">
        <v>0</v>
      </c>
      <c r="AC80" s="5">
        <v>0</v>
      </c>
      <c r="AD80" s="5">
        <v>883</v>
      </c>
      <c r="AE80" s="5">
        <v>947.6694723176895</v>
      </c>
      <c r="AF80" s="5">
        <v>0</v>
      </c>
      <c r="AG80" s="454"/>
      <c r="AH80" s="5">
        <v>1036.2125686403963</v>
      </c>
      <c r="AI80" s="5">
        <v>2572</v>
      </c>
      <c r="AJ80" s="5"/>
      <c r="AK80" s="5">
        <v>671.53826431109997</v>
      </c>
      <c r="AL80" s="5">
        <v>0</v>
      </c>
      <c r="AM80" s="5"/>
      <c r="AN80" s="5">
        <v>1790.2595064274549</v>
      </c>
      <c r="AO80" s="5">
        <v>0</v>
      </c>
      <c r="AP80" s="5"/>
      <c r="AQ80" s="5">
        <v>1234.3985462187165</v>
      </c>
      <c r="AR80" s="5">
        <v>0</v>
      </c>
      <c r="AS80" s="5"/>
      <c r="AT80" s="5">
        <v>1534.3166859742396</v>
      </c>
      <c r="AU80" s="5">
        <v>0</v>
      </c>
      <c r="AV80" s="5"/>
      <c r="AW80" s="5">
        <v>163.79016034476098</v>
      </c>
      <c r="AX80" s="5">
        <v>0</v>
      </c>
      <c r="AY80" s="5"/>
      <c r="AZ80" s="5">
        <v>3689</v>
      </c>
      <c r="BA80" s="5">
        <v>2572</v>
      </c>
      <c r="BB80" s="5">
        <v>-1117</v>
      </c>
      <c r="BD80" s="2">
        <v>1</v>
      </c>
      <c r="BF80" s="787">
        <v>142.65</v>
      </c>
      <c r="BG80" s="325">
        <v>150000529</v>
      </c>
    </row>
    <row r="81" spans="1:59" ht="24.9" customHeight="1" x14ac:dyDescent="0.3">
      <c r="A81" s="325">
        <v>150000530</v>
      </c>
      <c r="B81" s="445" t="s">
        <v>63</v>
      </c>
      <c r="C81" s="27">
        <v>1</v>
      </c>
      <c r="D81" s="101" t="s">
        <v>455</v>
      </c>
      <c r="E81" s="786">
        <v>174.9</v>
      </c>
      <c r="F81" s="5">
        <v>149</v>
      </c>
      <c r="G81" s="5">
        <v>2298</v>
      </c>
      <c r="H81" s="5">
        <v>2150</v>
      </c>
      <c r="I81" s="5">
        <v>0</v>
      </c>
      <c r="J81" s="5">
        <v>0</v>
      </c>
      <c r="K81" s="153"/>
      <c r="L81" s="5">
        <v>0</v>
      </c>
      <c r="M81" s="5">
        <v>0</v>
      </c>
      <c r="N81" s="5"/>
      <c r="O81" s="5">
        <v>0</v>
      </c>
      <c r="P81" s="5">
        <v>0</v>
      </c>
      <c r="Q81" s="784"/>
      <c r="R81" s="5">
        <v>0</v>
      </c>
      <c r="S81" s="5">
        <v>0</v>
      </c>
      <c r="T81" s="628"/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/>
      <c r="AA81" s="5">
        <v>0</v>
      </c>
      <c r="AB81" s="5">
        <v>0</v>
      </c>
      <c r="AC81" s="5">
        <v>0</v>
      </c>
      <c r="AD81" s="5">
        <v>2298</v>
      </c>
      <c r="AE81" s="5">
        <v>0</v>
      </c>
      <c r="AF81" s="5">
        <v>0</v>
      </c>
      <c r="AG81" s="5"/>
      <c r="AH81" s="5">
        <v>0</v>
      </c>
      <c r="AI81" s="5">
        <v>0</v>
      </c>
      <c r="AJ81" s="5"/>
      <c r="AK81" s="5">
        <v>0</v>
      </c>
      <c r="AL81" s="5">
        <v>0</v>
      </c>
      <c r="AM81" s="5"/>
      <c r="AN81" s="5">
        <v>0</v>
      </c>
      <c r="AO81" s="5">
        <v>0</v>
      </c>
      <c r="AP81" s="5"/>
      <c r="AQ81" s="5">
        <v>0</v>
      </c>
      <c r="AR81" s="5">
        <v>0</v>
      </c>
      <c r="AS81" s="5"/>
      <c r="AT81" s="5">
        <v>0</v>
      </c>
      <c r="AU81" s="5">
        <v>0</v>
      </c>
      <c r="AV81" s="5"/>
      <c r="AW81" s="5">
        <v>7.5741054365435394</v>
      </c>
      <c r="AX81" s="5">
        <v>0</v>
      </c>
      <c r="AY81" s="5"/>
      <c r="AZ81" s="5">
        <v>4</v>
      </c>
      <c r="BA81" s="5">
        <v>0</v>
      </c>
      <c r="BB81" s="5">
        <v>-4</v>
      </c>
      <c r="BD81" s="2">
        <v>1</v>
      </c>
      <c r="BF81" s="787">
        <v>0</v>
      </c>
      <c r="BG81" s="325">
        <v>150000530</v>
      </c>
    </row>
    <row r="82" spans="1:59" ht="24.9" customHeight="1" x14ac:dyDescent="0.3">
      <c r="A82" s="325">
        <v>150000543</v>
      </c>
      <c r="B82" s="445" t="s">
        <v>64</v>
      </c>
      <c r="C82" s="27">
        <v>1</v>
      </c>
      <c r="D82" s="101" t="s">
        <v>455</v>
      </c>
      <c r="E82" s="786">
        <v>121.2</v>
      </c>
      <c r="F82" s="5">
        <v>71</v>
      </c>
      <c r="G82" s="5">
        <v>0</v>
      </c>
      <c r="H82" s="5">
        <v>-71</v>
      </c>
      <c r="I82" s="5">
        <v>0</v>
      </c>
      <c r="J82" s="5">
        <v>0</v>
      </c>
      <c r="K82" s="153"/>
      <c r="L82" s="5">
        <v>0</v>
      </c>
      <c r="M82" s="5">
        <v>0</v>
      </c>
      <c r="N82" s="5"/>
      <c r="O82" s="5">
        <v>0</v>
      </c>
      <c r="P82" s="5">
        <v>0</v>
      </c>
      <c r="Q82" s="784"/>
      <c r="R82" s="5">
        <v>0</v>
      </c>
      <c r="S82" s="5">
        <v>0</v>
      </c>
      <c r="T82" s="628"/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/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/>
      <c r="AH82" s="5">
        <v>0</v>
      </c>
      <c r="AI82" s="5">
        <v>0</v>
      </c>
      <c r="AJ82" s="5"/>
      <c r="AK82" s="5">
        <v>0</v>
      </c>
      <c r="AL82" s="5">
        <v>0</v>
      </c>
      <c r="AM82" s="5"/>
      <c r="AN82" s="5">
        <v>0</v>
      </c>
      <c r="AO82" s="5">
        <v>0</v>
      </c>
      <c r="AP82" s="5"/>
      <c r="AQ82" s="5">
        <v>0</v>
      </c>
      <c r="AR82" s="5">
        <v>0</v>
      </c>
      <c r="AS82" s="5"/>
      <c r="AT82" s="5">
        <v>0</v>
      </c>
      <c r="AU82" s="5">
        <v>0</v>
      </c>
      <c r="AV82" s="5"/>
      <c r="AW82" s="5">
        <v>4.0041441892860785</v>
      </c>
      <c r="AX82" s="5">
        <v>0</v>
      </c>
      <c r="AY82" s="5"/>
      <c r="AZ82" s="5">
        <v>2</v>
      </c>
      <c r="BA82" s="5">
        <v>0</v>
      </c>
      <c r="BB82" s="5">
        <v>-2</v>
      </c>
      <c r="BD82" s="2">
        <v>1</v>
      </c>
      <c r="BF82" s="787">
        <v>0</v>
      </c>
      <c r="BG82" s="325">
        <v>150000543</v>
      </c>
    </row>
    <row r="83" spans="1:59" ht="24.9" customHeight="1" x14ac:dyDescent="0.3">
      <c r="A83" s="325">
        <v>150000544</v>
      </c>
      <c r="B83" s="445" t="s">
        <v>65</v>
      </c>
      <c r="C83" s="27">
        <v>1</v>
      </c>
      <c r="D83" s="101" t="s">
        <v>455</v>
      </c>
      <c r="E83" s="786">
        <v>136.9</v>
      </c>
      <c r="F83" s="5">
        <v>81</v>
      </c>
      <c r="G83" s="5">
        <v>0</v>
      </c>
      <c r="H83" s="5">
        <v>-81</v>
      </c>
      <c r="I83" s="5">
        <v>0</v>
      </c>
      <c r="J83" s="5">
        <v>0</v>
      </c>
      <c r="K83" s="153"/>
      <c r="L83" s="5">
        <v>0</v>
      </c>
      <c r="M83" s="5">
        <v>0</v>
      </c>
      <c r="N83" s="5"/>
      <c r="O83" s="5">
        <v>0</v>
      </c>
      <c r="P83" s="5">
        <v>0</v>
      </c>
      <c r="Q83" s="784"/>
      <c r="R83" s="5">
        <v>0</v>
      </c>
      <c r="S83" s="5">
        <v>0</v>
      </c>
      <c r="T83" s="628"/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/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/>
      <c r="AH83" s="5">
        <v>0</v>
      </c>
      <c r="AI83" s="5">
        <v>0</v>
      </c>
      <c r="AJ83" s="5"/>
      <c r="AK83" s="5">
        <v>0</v>
      </c>
      <c r="AL83" s="5">
        <v>0</v>
      </c>
      <c r="AM83" s="5"/>
      <c r="AN83" s="5">
        <v>0</v>
      </c>
      <c r="AO83" s="5">
        <v>0</v>
      </c>
      <c r="AP83" s="5"/>
      <c r="AQ83" s="5">
        <v>0</v>
      </c>
      <c r="AR83" s="5">
        <v>0</v>
      </c>
      <c r="AS83" s="5"/>
      <c r="AT83" s="5">
        <v>0</v>
      </c>
      <c r="AU83" s="5">
        <v>0</v>
      </c>
      <c r="AV83" s="5"/>
      <c r="AW83" s="5">
        <v>4.2106410670878844</v>
      </c>
      <c r="AX83" s="5">
        <v>0</v>
      </c>
      <c r="AY83" s="5"/>
      <c r="AZ83" s="5">
        <v>2</v>
      </c>
      <c r="BA83" s="5">
        <v>0</v>
      </c>
      <c r="BB83" s="5">
        <v>-2</v>
      </c>
      <c r="BD83" s="2">
        <v>1</v>
      </c>
      <c r="BF83" s="787">
        <v>0</v>
      </c>
      <c r="BG83" s="325">
        <v>150000544</v>
      </c>
    </row>
    <row r="84" spans="1:59" ht="24.9" customHeight="1" x14ac:dyDescent="0.3">
      <c r="A84" s="325">
        <v>150000531</v>
      </c>
      <c r="B84" s="445" t="s">
        <v>349</v>
      </c>
      <c r="C84" s="27">
        <v>9</v>
      </c>
      <c r="D84" s="101" t="s">
        <v>455</v>
      </c>
      <c r="E84" s="786">
        <v>7614.5</v>
      </c>
      <c r="F84" s="5">
        <v>4665</v>
      </c>
      <c r="G84" s="5">
        <v>1173</v>
      </c>
      <c r="H84" s="5">
        <v>-4183</v>
      </c>
      <c r="I84" s="5">
        <v>0</v>
      </c>
      <c r="J84" s="5">
        <v>0</v>
      </c>
      <c r="K84" s="467"/>
      <c r="L84" s="5">
        <v>0</v>
      </c>
      <c r="M84" s="5">
        <v>0</v>
      </c>
      <c r="N84" s="5"/>
      <c r="O84" s="5">
        <v>0</v>
      </c>
      <c r="P84" s="5">
        <v>0</v>
      </c>
      <c r="Q84" s="779"/>
      <c r="R84" s="5">
        <v>0</v>
      </c>
      <c r="S84" s="5">
        <v>968</v>
      </c>
      <c r="T84" s="630"/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/>
      <c r="AA84" s="5">
        <v>0</v>
      </c>
      <c r="AB84" s="5">
        <v>0</v>
      </c>
      <c r="AC84" s="5">
        <v>0</v>
      </c>
      <c r="AD84" s="5">
        <v>205</v>
      </c>
      <c r="AE84" s="5">
        <v>1243.6874324487753</v>
      </c>
      <c r="AF84" s="5">
        <v>0</v>
      </c>
      <c r="AG84" s="5"/>
      <c r="AH84" s="5">
        <v>1378.1153992189031</v>
      </c>
      <c r="AI84" s="5">
        <v>0</v>
      </c>
      <c r="AJ84" s="5"/>
      <c r="AK84" s="5">
        <v>601.53487705098303</v>
      </c>
      <c r="AL84" s="5">
        <v>3264</v>
      </c>
      <c r="AM84" s="5"/>
      <c r="AN84" s="5">
        <v>1570.163569207723</v>
      </c>
      <c r="AO84" s="5">
        <v>0</v>
      </c>
      <c r="AP84" s="5"/>
      <c r="AQ84" s="5">
        <v>1852.1083987621814</v>
      </c>
      <c r="AR84" s="5">
        <v>0</v>
      </c>
      <c r="AS84" s="5"/>
      <c r="AT84" s="5">
        <v>1189.9500609622378</v>
      </c>
      <c r="AU84" s="5">
        <v>0</v>
      </c>
      <c r="AV84" s="5"/>
      <c r="AW84" s="5">
        <v>99.906925118904326</v>
      </c>
      <c r="AX84" s="5">
        <v>0</v>
      </c>
      <c r="AY84" s="5"/>
      <c r="AZ84" s="5">
        <v>3967</v>
      </c>
      <c r="BA84" s="5">
        <v>1945</v>
      </c>
      <c r="BB84" s="5">
        <v>-2022</v>
      </c>
      <c r="BD84" s="2">
        <v>1</v>
      </c>
      <c r="BF84" s="787">
        <v>42.84</v>
      </c>
      <c r="BG84" s="325">
        <v>150000531</v>
      </c>
    </row>
    <row r="85" spans="1:59" ht="24.9" customHeight="1" x14ac:dyDescent="0.3">
      <c r="A85" s="325">
        <v>150000532</v>
      </c>
      <c r="B85" s="445" t="s">
        <v>254</v>
      </c>
      <c r="C85" s="27">
        <v>5</v>
      </c>
      <c r="D85" s="101" t="s">
        <v>455</v>
      </c>
      <c r="E85" s="786">
        <v>2489.87</v>
      </c>
      <c r="F85" s="5">
        <v>1477</v>
      </c>
      <c r="G85" s="5">
        <v>50577</v>
      </c>
      <c r="H85" s="5">
        <v>6853</v>
      </c>
      <c r="I85" s="5">
        <v>0</v>
      </c>
      <c r="J85" s="5">
        <v>196</v>
      </c>
      <c r="K85" s="153"/>
      <c r="L85" s="5">
        <v>1</v>
      </c>
      <c r="M85" s="5">
        <v>42525</v>
      </c>
      <c r="N85" s="5"/>
      <c r="O85" s="5">
        <v>0</v>
      </c>
      <c r="P85" s="5">
        <v>0</v>
      </c>
      <c r="Q85" s="784"/>
      <c r="R85" s="5">
        <v>0</v>
      </c>
      <c r="S85" s="5">
        <v>0</v>
      </c>
      <c r="T85" s="628"/>
      <c r="U85" s="5">
        <v>0</v>
      </c>
      <c r="V85" s="5">
        <v>196</v>
      </c>
      <c r="W85" s="5">
        <v>0</v>
      </c>
      <c r="X85" s="5">
        <v>0</v>
      </c>
      <c r="Y85" s="5">
        <v>7856</v>
      </c>
      <c r="Z85" s="5"/>
      <c r="AA85" s="5">
        <v>0</v>
      </c>
      <c r="AB85" s="5">
        <v>0</v>
      </c>
      <c r="AC85" s="5">
        <v>0</v>
      </c>
      <c r="AD85" s="5">
        <v>0</v>
      </c>
      <c r="AE85" s="5">
        <v>540.46698239078273</v>
      </c>
      <c r="AF85" s="5">
        <v>0</v>
      </c>
      <c r="AG85" s="5"/>
      <c r="AH85" s="5">
        <v>704.49868101511049</v>
      </c>
      <c r="AI85" s="5">
        <v>697</v>
      </c>
      <c r="AJ85" s="5"/>
      <c r="AK85" s="5">
        <v>56.436538744700002</v>
      </c>
      <c r="AL85" s="5">
        <v>0</v>
      </c>
      <c r="AM85" s="5"/>
      <c r="AN85" s="5">
        <v>462.14913192382596</v>
      </c>
      <c r="AO85" s="5">
        <v>0</v>
      </c>
      <c r="AP85" s="5"/>
      <c r="AQ85" s="5">
        <v>284.47168378366155</v>
      </c>
      <c r="AR85" s="5">
        <v>0</v>
      </c>
      <c r="AS85" s="5"/>
      <c r="AT85" s="5">
        <v>333.87325577513178</v>
      </c>
      <c r="AU85" s="5">
        <v>0</v>
      </c>
      <c r="AV85" s="5"/>
      <c r="AW85" s="5">
        <v>85.966603336606227</v>
      </c>
      <c r="AX85" s="5">
        <v>0</v>
      </c>
      <c r="AY85" s="5"/>
      <c r="AZ85" s="5">
        <v>1235</v>
      </c>
      <c r="BA85" s="5">
        <v>0</v>
      </c>
      <c r="BB85" s="5">
        <v>-1235</v>
      </c>
      <c r="BD85" s="2">
        <v>1</v>
      </c>
      <c r="BF85" s="787">
        <v>14.01</v>
      </c>
      <c r="BG85" s="325">
        <v>150000532</v>
      </c>
    </row>
    <row r="86" spans="1:59" ht="24.9" customHeight="1" x14ac:dyDescent="0.3">
      <c r="A86" s="325">
        <v>150000533</v>
      </c>
      <c r="B86" s="445" t="s">
        <v>350</v>
      </c>
      <c r="C86" s="27">
        <v>9</v>
      </c>
      <c r="D86" s="101" t="s">
        <v>455</v>
      </c>
      <c r="E86" s="786">
        <v>11377.55</v>
      </c>
      <c r="F86" s="5">
        <v>6519</v>
      </c>
      <c r="G86" s="5">
        <v>731</v>
      </c>
      <c r="H86" s="5">
        <v>-6072</v>
      </c>
      <c r="I86" s="5">
        <v>0</v>
      </c>
      <c r="J86" s="5">
        <v>0</v>
      </c>
      <c r="K86" s="153"/>
      <c r="L86" s="5">
        <v>0</v>
      </c>
      <c r="M86" s="5">
        <v>0</v>
      </c>
      <c r="N86" s="5"/>
      <c r="O86" s="5">
        <v>0</v>
      </c>
      <c r="P86" s="5">
        <v>0</v>
      </c>
      <c r="Q86" s="784"/>
      <c r="R86" s="5">
        <v>0</v>
      </c>
      <c r="S86" s="5">
        <v>0</v>
      </c>
      <c r="T86" s="630"/>
      <c r="U86" s="5">
        <v>0</v>
      </c>
      <c r="V86" s="5">
        <v>0</v>
      </c>
      <c r="W86" s="5">
        <v>3</v>
      </c>
      <c r="X86" s="5">
        <v>731</v>
      </c>
      <c r="Y86" s="5">
        <v>0</v>
      </c>
      <c r="Z86" s="467"/>
      <c r="AA86" s="5">
        <v>0</v>
      </c>
      <c r="AB86" s="5">
        <v>0</v>
      </c>
      <c r="AC86" s="5">
        <v>0</v>
      </c>
      <c r="AD86" s="5">
        <v>0</v>
      </c>
      <c r="AE86" s="5">
        <v>2062.2339696912509</v>
      </c>
      <c r="AF86" s="5">
        <v>0</v>
      </c>
      <c r="AG86" s="8"/>
      <c r="AH86" s="5">
        <v>2322.1866851069217</v>
      </c>
      <c r="AI86" s="5">
        <v>0</v>
      </c>
      <c r="AJ86" s="5"/>
      <c r="AK86" s="5">
        <v>548.496538910759</v>
      </c>
      <c r="AL86" s="5">
        <v>0</v>
      </c>
      <c r="AM86" s="5"/>
      <c r="AN86" s="5">
        <v>2396.336246078808</v>
      </c>
      <c r="AO86" s="5">
        <v>0</v>
      </c>
      <c r="AP86" s="5"/>
      <c r="AQ86" s="5">
        <v>3087.5069146626856</v>
      </c>
      <c r="AR86" s="5">
        <v>0</v>
      </c>
      <c r="AS86" s="5"/>
      <c r="AT86" s="5">
        <v>2697.9719229714228</v>
      </c>
      <c r="AU86" s="5">
        <v>0</v>
      </c>
      <c r="AV86" s="5"/>
      <c r="AW86" s="5">
        <v>160.40210205194379</v>
      </c>
      <c r="AX86" s="5">
        <v>0</v>
      </c>
      <c r="AY86" s="5"/>
      <c r="AZ86" s="5">
        <v>6638</v>
      </c>
      <c r="BA86" s="5">
        <v>0</v>
      </c>
      <c r="BB86" s="5">
        <v>-6638</v>
      </c>
      <c r="BD86" s="2">
        <v>1</v>
      </c>
      <c r="BF86" s="787">
        <v>75.11</v>
      </c>
      <c r="BG86" s="325">
        <v>150000533</v>
      </c>
    </row>
    <row r="87" spans="1:59" ht="24.9" customHeight="1" x14ac:dyDescent="0.3">
      <c r="A87" s="325">
        <v>150000534</v>
      </c>
      <c r="B87" s="445" t="s">
        <v>255</v>
      </c>
      <c r="C87" s="27">
        <v>5</v>
      </c>
      <c r="D87" s="101" t="s">
        <v>455</v>
      </c>
      <c r="E87" s="786">
        <v>2481.46</v>
      </c>
      <c r="F87" s="5">
        <v>1498</v>
      </c>
      <c r="G87" s="5">
        <v>906</v>
      </c>
      <c r="H87" s="5">
        <v>-1498</v>
      </c>
      <c r="I87" s="5">
        <v>0</v>
      </c>
      <c r="J87" s="5">
        <v>0</v>
      </c>
      <c r="K87" s="153"/>
      <c r="L87" s="5">
        <v>0</v>
      </c>
      <c r="M87" s="5">
        <v>0</v>
      </c>
      <c r="N87" s="788"/>
      <c r="O87" s="5">
        <v>0</v>
      </c>
      <c r="P87" s="5">
        <v>0</v>
      </c>
      <c r="Q87" s="784"/>
      <c r="R87" s="5">
        <v>0</v>
      </c>
      <c r="S87" s="5">
        <v>0</v>
      </c>
      <c r="T87" s="628"/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/>
      <c r="AA87" s="5">
        <v>0</v>
      </c>
      <c r="AB87" s="5">
        <v>0</v>
      </c>
      <c r="AC87" s="5">
        <v>906</v>
      </c>
      <c r="AD87" s="5">
        <v>0</v>
      </c>
      <c r="AE87" s="5">
        <v>547.64852445896781</v>
      </c>
      <c r="AF87" s="5">
        <v>267</v>
      </c>
      <c r="AG87" s="5"/>
      <c r="AH87" s="5">
        <v>704.49868101511049</v>
      </c>
      <c r="AI87" s="5">
        <v>0</v>
      </c>
      <c r="AJ87" s="8"/>
      <c r="AK87" s="5">
        <v>145.756643291985</v>
      </c>
      <c r="AL87" s="5">
        <v>0</v>
      </c>
      <c r="AM87" s="5"/>
      <c r="AN87" s="5">
        <v>473.72364732001097</v>
      </c>
      <c r="AO87" s="5">
        <v>0</v>
      </c>
      <c r="AP87" s="5"/>
      <c r="AQ87" s="5">
        <v>284.47168378366155</v>
      </c>
      <c r="AR87" s="5">
        <v>0</v>
      </c>
      <c r="AS87" s="5"/>
      <c r="AT87" s="5">
        <v>333.87325577513178</v>
      </c>
      <c r="AU87" s="5">
        <v>0</v>
      </c>
      <c r="AV87" s="5"/>
      <c r="AW87" s="5">
        <v>85.966603336606227</v>
      </c>
      <c r="AX87" s="5">
        <v>0</v>
      </c>
      <c r="AY87" s="5"/>
      <c r="AZ87" s="5">
        <v>1288</v>
      </c>
      <c r="BA87" s="5">
        <v>267</v>
      </c>
      <c r="BB87" s="5">
        <v>-1021</v>
      </c>
      <c r="BD87" s="2">
        <v>1</v>
      </c>
      <c r="BF87" s="787">
        <v>13.96</v>
      </c>
      <c r="BG87" s="325">
        <v>150000534</v>
      </c>
    </row>
    <row r="88" spans="1:59" ht="24.9" customHeight="1" x14ac:dyDescent="0.3">
      <c r="A88" s="325">
        <v>150000535</v>
      </c>
      <c r="B88" s="445" t="s">
        <v>351</v>
      </c>
      <c r="C88" s="27">
        <v>9</v>
      </c>
      <c r="D88" s="101" t="s">
        <v>455</v>
      </c>
      <c r="E88" s="786">
        <v>11456.45</v>
      </c>
      <c r="F88" s="5">
        <v>4879</v>
      </c>
      <c r="G88" s="5">
        <v>10517</v>
      </c>
      <c r="H88" s="5">
        <v>1570</v>
      </c>
      <c r="I88" s="5">
        <v>0</v>
      </c>
      <c r="J88" s="5">
        <v>0</v>
      </c>
      <c r="K88" s="467"/>
      <c r="L88" s="5">
        <v>0</v>
      </c>
      <c r="M88" s="5">
        <v>0</v>
      </c>
      <c r="N88" s="5"/>
      <c r="O88" s="5">
        <v>0</v>
      </c>
      <c r="P88" s="5">
        <v>0</v>
      </c>
      <c r="Q88" s="779"/>
      <c r="R88" s="5">
        <v>0</v>
      </c>
      <c r="S88" s="5">
        <v>6005</v>
      </c>
      <c r="T88" s="630"/>
      <c r="U88" s="5">
        <v>0</v>
      </c>
      <c r="V88" s="5">
        <v>0</v>
      </c>
      <c r="W88" s="5">
        <v>2</v>
      </c>
      <c r="X88" s="5">
        <v>1009</v>
      </c>
      <c r="Y88" s="5">
        <v>0</v>
      </c>
      <c r="Z88" s="467"/>
      <c r="AA88" s="5">
        <v>0</v>
      </c>
      <c r="AB88" s="5">
        <v>0</v>
      </c>
      <c r="AC88" s="5">
        <v>0</v>
      </c>
      <c r="AD88" s="5">
        <v>3503</v>
      </c>
      <c r="AE88" s="5">
        <v>2064.392000489614</v>
      </c>
      <c r="AF88" s="5">
        <v>0</v>
      </c>
      <c r="AG88" s="454"/>
      <c r="AH88" s="5">
        <v>2322.1866851069217</v>
      </c>
      <c r="AI88" s="5">
        <v>0</v>
      </c>
      <c r="AJ88" s="8"/>
      <c r="AK88" s="5">
        <v>838.08537375600702</v>
      </c>
      <c r="AL88" s="5">
        <v>0</v>
      </c>
      <c r="AM88" s="5"/>
      <c r="AN88" s="5">
        <v>2405.9803523368628</v>
      </c>
      <c r="AO88" s="5">
        <v>0</v>
      </c>
      <c r="AP88" s="5"/>
      <c r="AQ88" s="5">
        <v>3087.5069146626856</v>
      </c>
      <c r="AR88" s="5">
        <v>0</v>
      </c>
      <c r="AS88" s="5"/>
      <c r="AT88" s="5">
        <v>2697.9719229714228</v>
      </c>
      <c r="AU88" s="5">
        <v>0</v>
      </c>
      <c r="AV88" s="5"/>
      <c r="AW88" s="5">
        <v>163.79016034476098</v>
      </c>
      <c r="AX88" s="5">
        <v>0</v>
      </c>
      <c r="AY88" s="5"/>
      <c r="AZ88" s="5">
        <v>6790</v>
      </c>
      <c r="BA88" s="5">
        <v>0</v>
      </c>
      <c r="BB88" s="5">
        <v>-6790</v>
      </c>
      <c r="BD88" s="2">
        <v>1</v>
      </c>
      <c r="BF88" s="787">
        <v>75.540000000000006</v>
      </c>
      <c r="BG88" s="325">
        <v>150000535</v>
      </c>
    </row>
    <row r="89" spans="1:59" ht="24.9" customHeight="1" x14ac:dyDescent="0.3">
      <c r="A89" s="325">
        <v>150000645</v>
      </c>
      <c r="B89" s="445" t="s">
        <v>66</v>
      </c>
      <c r="C89" s="27">
        <v>1</v>
      </c>
      <c r="D89" s="101" t="s">
        <v>455</v>
      </c>
      <c r="E89" s="786">
        <v>216</v>
      </c>
      <c r="F89" s="5">
        <v>141</v>
      </c>
      <c r="G89" s="5">
        <v>0</v>
      </c>
      <c r="H89" s="5">
        <v>-141</v>
      </c>
      <c r="I89" s="5">
        <v>0</v>
      </c>
      <c r="J89" s="5">
        <v>0</v>
      </c>
      <c r="K89" s="153"/>
      <c r="L89" s="5">
        <v>0</v>
      </c>
      <c r="M89" s="5">
        <v>0</v>
      </c>
      <c r="N89" s="5"/>
      <c r="O89" s="5">
        <v>0</v>
      </c>
      <c r="P89" s="5">
        <v>0</v>
      </c>
      <c r="Q89" s="784"/>
      <c r="R89" s="5">
        <v>0</v>
      </c>
      <c r="S89" s="5">
        <v>0</v>
      </c>
      <c r="T89" s="628"/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/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/>
      <c r="AH89" s="5">
        <v>0</v>
      </c>
      <c r="AI89" s="5">
        <v>0</v>
      </c>
      <c r="AJ89" s="5"/>
      <c r="AK89" s="5">
        <v>0</v>
      </c>
      <c r="AL89" s="5">
        <v>0</v>
      </c>
      <c r="AM89" s="5"/>
      <c r="AN89" s="5">
        <v>0</v>
      </c>
      <c r="AO89" s="5">
        <v>0</v>
      </c>
      <c r="AP89" s="5"/>
      <c r="AQ89" s="5">
        <v>0</v>
      </c>
      <c r="AR89" s="5">
        <v>0</v>
      </c>
      <c r="AS89" s="5"/>
      <c r="AT89" s="5">
        <v>0</v>
      </c>
      <c r="AU89" s="5">
        <v>0</v>
      </c>
      <c r="AV89" s="5"/>
      <c r="AW89" s="5">
        <v>4.1440000000000001</v>
      </c>
      <c r="AX89" s="5">
        <v>0</v>
      </c>
      <c r="AY89" s="5"/>
      <c r="AZ89" s="5">
        <v>2</v>
      </c>
      <c r="BA89" s="5">
        <v>0</v>
      </c>
      <c r="BB89" s="5">
        <v>-2</v>
      </c>
      <c r="BD89" s="2">
        <v>3</v>
      </c>
      <c r="BF89" s="787">
        <v>0</v>
      </c>
      <c r="BG89" s="325">
        <v>150000645</v>
      </c>
    </row>
    <row r="90" spans="1:59" ht="24.9" customHeight="1" x14ac:dyDescent="0.3">
      <c r="A90" s="325">
        <v>150000643</v>
      </c>
      <c r="B90" s="445" t="s">
        <v>67</v>
      </c>
      <c r="C90" s="27">
        <v>1</v>
      </c>
      <c r="D90" s="101" t="s">
        <v>455</v>
      </c>
      <c r="E90" s="786">
        <v>216.8</v>
      </c>
      <c r="F90" s="5">
        <v>116</v>
      </c>
      <c r="G90" s="5">
        <v>0</v>
      </c>
      <c r="H90" s="5">
        <v>-116</v>
      </c>
      <c r="I90" s="5">
        <v>0</v>
      </c>
      <c r="J90" s="5">
        <v>0</v>
      </c>
      <c r="K90" s="153"/>
      <c r="L90" s="5">
        <v>0</v>
      </c>
      <c r="M90" s="5">
        <v>0</v>
      </c>
      <c r="N90" s="5"/>
      <c r="O90" s="5">
        <v>0</v>
      </c>
      <c r="P90" s="5">
        <v>0</v>
      </c>
      <c r="Q90" s="784"/>
      <c r="R90" s="5">
        <v>0</v>
      </c>
      <c r="S90" s="5">
        <v>0</v>
      </c>
      <c r="T90" s="628"/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/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/>
      <c r="AH90" s="5">
        <v>0</v>
      </c>
      <c r="AI90" s="5">
        <v>0</v>
      </c>
      <c r="AJ90" s="5"/>
      <c r="AK90" s="5">
        <v>0</v>
      </c>
      <c r="AL90" s="5">
        <v>0</v>
      </c>
      <c r="AM90" s="5"/>
      <c r="AN90" s="5">
        <v>0</v>
      </c>
      <c r="AO90" s="5">
        <v>0</v>
      </c>
      <c r="AP90" s="5"/>
      <c r="AQ90" s="5">
        <v>0</v>
      </c>
      <c r="AR90" s="5">
        <v>0</v>
      </c>
      <c r="AS90" s="5"/>
      <c r="AT90" s="5">
        <v>0</v>
      </c>
      <c r="AU90" s="5">
        <v>0</v>
      </c>
      <c r="AV90" s="5"/>
      <c r="AW90" s="5">
        <v>4.1680000000000001</v>
      </c>
      <c r="AX90" s="5">
        <v>0</v>
      </c>
      <c r="AY90" s="5"/>
      <c r="AZ90" s="5">
        <v>2</v>
      </c>
      <c r="BA90" s="5">
        <v>0</v>
      </c>
      <c r="BB90" s="5">
        <v>-2</v>
      </c>
      <c r="BD90" s="2">
        <v>3</v>
      </c>
      <c r="BF90" s="787">
        <v>0</v>
      </c>
      <c r="BG90" s="325">
        <v>150000643</v>
      </c>
    </row>
    <row r="91" spans="1:59" ht="24.9" customHeight="1" x14ac:dyDescent="0.3">
      <c r="A91" s="325">
        <v>150000644</v>
      </c>
      <c r="B91" s="445" t="s">
        <v>68</v>
      </c>
      <c r="C91" s="27">
        <v>1</v>
      </c>
      <c r="D91" s="101" t="s">
        <v>455</v>
      </c>
      <c r="E91" s="786">
        <v>214.7</v>
      </c>
      <c r="F91" s="5">
        <v>106</v>
      </c>
      <c r="G91" s="5">
        <v>0</v>
      </c>
      <c r="H91" s="5">
        <v>-106</v>
      </c>
      <c r="I91" s="5">
        <v>0</v>
      </c>
      <c r="J91" s="5">
        <v>0</v>
      </c>
      <c r="K91" s="153"/>
      <c r="L91" s="5">
        <v>0</v>
      </c>
      <c r="M91" s="5">
        <v>0</v>
      </c>
      <c r="N91" s="5"/>
      <c r="O91" s="5">
        <v>0</v>
      </c>
      <c r="P91" s="5">
        <v>0</v>
      </c>
      <c r="Q91" s="784"/>
      <c r="R91" s="5">
        <v>0</v>
      </c>
      <c r="S91" s="5">
        <v>0</v>
      </c>
      <c r="T91" s="628"/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/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/>
      <c r="AH91" s="5">
        <v>0</v>
      </c>
      <c r="AI91" s="5">
        <v>0</v>
      </c>
      <c r="AJ91" s="5"/>
      <c r="AK91" s="5">
        <v>10.088284626645001</v>
      </c>
      <c r="AL91" s="5">
        <v>0</v>
      </c>
      <c r="AM91" s="5"/>
      <c r="AN91" s="5">
        <v>0</v>
      </c>
      <c r="AO91" s="5">
        <v>0</v>
      </c>
      <c r="AP91" s="5"/>
      <c r="AQ91" s="5">
        <v>0</v>
      </c>
      <c r="AR91" s="5">
        <v>0</v>
      </c>
      <c r="AS91" s="5"/>
      <c r="AT91" s="5">
        <v>0</v>
      </c>
      <c r="AU91" s="5">
        <v>0</v>
      </c>
      <c r="AV91" s="5"/>
      <c r="AW91" s="5">
        <v>4.1470000000000002</v>
      </c>
      <c r="AX91" s="5">
        <v>0</v>
      </c>
      <c r="AY91" s="5"/>
      <c r="AZ91" s="5">
        <v>7</v>
      </c>
      <c r="BA91" s="5">
        <v>0</v>
      </c>
      <c r="BB91" s="5">
        <v>-7</v>
      </c>
      <c r="BD91" s="2">
        <v>3</v>
      </c>
      <c r="BF91" s="787">
        <v>0</v>
      </c>
      <c r="BG91" s="325">
        <v>150000644</v>
      </c>
    </row>
    <row r="92" spans="1:59" ht="24.9" customHeight="1" x14ac:dyDescent="0.3">
      <c r="A92" s="325">
        <v>150000566</v>
      </c>
      <c r="B92" s="445" t="s">
        <v>69</v>
      </c>
      <c r="C92" s="27">
        <v>1</v>
      </c>
      <c r="D92" s="101" t="s">
        <v>455</v>
      </c>
      <c r="E92" s="786">
        <v>397.8</v>
      </c>
      <c r="F92" s="5">
        <v>234</v>
      </c>
      <c r="G92" s="5">
        <v>0</v>
      </c>
      <c r="H92" s="5">
        <v>-234</v>
      </c>
      <c r="I92" s="5">
        <v>0</v>
      </c>
      <c r="J92" s="5">
        <v>0</v>
      </c>
      <c r="K92" s="153"/>
      <c r="L92" s="5">
        <v>0</v>
      </c>
      <c r="M92" s="5">
        <v>0</v>
      </c>
      <c r="N92" s="5"/>
      <c r="O92" s="5">
        <v>0</v>
      </c>
      <c r="P92" s="5">
        <v>0</v>
      </c>
      <c r="Q92" s="784"/>
      <c r="R92" s="5">
        <v>0</v>
      </c>
      <c r="S92" s="5">
        <v>0</v>
      </c>
      <c r="T92" s="628"/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/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/>
      <c r="AH92" s="5">
        <v>0</v>
      </c>
      <c r="AI92" s="5">
        <v>0</v>
      </c>
      <c r="AJ92" s="5"/>
      <c r="AK92" s="5">
        <v>0</v>
      </c>
      <c r="AL92" s="5">
        <v>0</v>
      </c>
      <c r="AM92" s="5"/>
      <c r="AN92" s="5">
        <v>0</v>
      </c>
      <c r="AO92" s="5">
        <v>0</v>
      </c>
      <c r="AP92" s="5"/>
      <c r="AQ92" s="5">
        <v>0</v>
      </c>
      <c r="AR92" s="5">
        <v>0</v>
      </c>
      <c r="AS92" s="5"/>
      <c r="AT92" s="5">
        <v>0</v>
      </c>
      <c r="AU92" s="5">
        <v>0</v>
      </c>
      <c r="AV92" s="5"/>
      <c r="AW92" s="5">
        <v>6.4708721567489329</v>
      </c>
      <c r="AX92" s="5">
        <v>0</v>
      </c>
      <c r="AY92" s="5"/>
      <c r="AZ92" s="5">
        <v>3</v>
      </c>
      <c r="BA92" s="5">
        <v>0</v>
      </c>
      <c r="BB92" s="5">
        <v>-3</v>
      </c>
      <c r="BD92" s="2">
        <v>1</v>
      </c>
      <c r="BF92" s="787">
        <v>0</v>
      </c>
      <c r="BG92" s="325">
        <v>150000566</v>
      </c>
    </row>
    <row r="93" spans="1:59" ht="24.9" customHeight="1" x14ac:dyDescent="0.3">
      <c r="A93" s="325">
        <v>150000571</v>
      </c>
      <c r="B93" s="445" t="s">
        <v>70</v>
      </c>
      <c r="C93" s="27">
        <v>1</v>
      </c>
      <c r="D93" s="101" t="s">
        <v>455</v>
      </c>
      <c r="E93" s="786">
        <v>238.6</v>
      </c>
      <c r="F93" s="5">
        <v>183</v>
      </c>
      <c r="G93" s="5">
        <v>0</v>
      </c>
      <c r="H93" s="5">
        <v>-183</v>
      </c>
      <c r="I93" s="5">
        <v>0</v>
      </c>
      <c r="J93" s="5">
        <v>0</v>
      </c>
      <c r="K93" s="153"/>
      <c r="L93" s="5">
        <v>0</v>
      </c>
      <c r="M93" s="5">
        <v>0</v>
      </c>
      <c r="N93" s="5"/>
      <c r="O93" s="5">
        <v>0</v>
      </c>
      <c r="P93" s="5">
        <v>0</v>
      </c>
      <c r="Q93" s="784"/>
      <c r="R93" s="5">
        <v>0</v>
      </c>
      <c r="S93" s="5">
        <v>0</v>
      </c>
      <c r="T93" s="628"/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/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/>
      <c r="AH93" s="5">
        <v>0</v>
      </c>
      <c r="AI93" s="5">
        <v>0</v>
      </c>
      <c r="AJ93" s="5"/>
      <c r="AK93" s="5">
        <v>0</v>
      </c>
      <c r="AL93" s="5">
        <v>0</v>
      </c>
      <c r="AM93" s="5"/>
      <c r="AN93" s="5">
        <v>0</v>
      </c>
      <c r="AO93" s="5">
        <v>0</v>
      </c>
      <c r="AP93" s="5"/>
      <c r="AQ93" s="5">
        <v>0</v>
      </c>
      <c r="AR93" s="5">
        <v>0</v>
      </c>
      <c r="AS93" s="5"/>
      <c r="AT93" s="5">
        <v>0</v>
      </c>
      <c r="AU93" s="5">
        <v>0</v>
      </c>
      <c r="AV93" s="5"/>
      <c r="AW93" s="5">
        <v>5.954614803138111</v>
      </c>
      <c r="AX93" s="5">
        <v>0</v>
      </c>
      <c r="AY93" s="5"/>
      <c r="AZ93" s="5">
        <v>3</v>
      </c>
      <c r="BA93" s="5">
        <v>0</v>
      </c>
      <c r="BB93" s="5">
        <v>-3</v>
      </c>
      <c r="BD93" s="2">
        <v>1</v>
      </c>
      <c r="BF93" s="787">
        <v>0</v>
      </c>
      <c r="BG93" s="325">
        <v>150000571</v>
      </c>
    </row>
    <row r="94" spans="1:59" ht="24.9" customHeight="1" x14ac:dyDescent="0.3">
      <c r="A94" s="325">
        <v>150000567</v>
      </c>
      <c r="B94" s="445" t="s">
        <v>71</v>
      </c>
      <c r="C94" s="27">
        <v>1</v>
      </c>
      <c r="D94" s="101" t="s">
        <v>455</v>
      </c>
      <c r="E94" s="786">
        <v>134</v>
      </c>
      <c r="F94" s="5">
        <v>54</v>
      </c>
      <c r="G94" s="5">
        <v>0</v>
      </c>
      <c r="H94" s="5">
        <v>-54</v>
      </c>
      <c r="I94" s="5">
        <v>0</v>
      </c>
      <c r="J94" s="5">
        <v>0</v>
      </c>
      <c r="K94" s="153"/>
      <c r="L94" s="5">
        <v>0</v>
      </c>
      <c r="M94" s="5">
        <v>0</v>
      </c>
      <c r="N94" s="5"/>
      <c r="O94" s="5">
        <v>0</v>
      </c>
      <c r="P94" s="5">
        <v>0</v>
      </c>
      <c r="Q94" s="784"/>
      <c r="R94" s="5">
        <v>0</v>
      </c>
      <c r="S94" s="5">
        <v>0</v>
      </c>
      <c r="T94" s="628"/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/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/>
      <c r="AH94" s="5">
        <v>0</v>
      </c>
      <c r="AI94" s="5">
        <v>0</v>
      </c>
      <c r="AJ94" s="5"/>
      <c r="AK94" s="5">
        <v>0</v>
      </c>
      <c r="AL94" s="5">
        <v>0</v>
      </c>
      <c r="AM94" s="5"/>
      <c r="AN94" s="5">
        <v>0</v>
      </c>
      <c r="AO94" s="5">
        <v>0</v>
      </c>
      <c r="AP94" s="5"/>
      <c r="AQ94" s="5">
        <v>0</v>
      </c>
      <c r="AR94" s="5">
        <v>0</v>
      </c>
      <c r="AS94" s="5"/>
      <c r="AT94" s="5">
        <v>0</v>
      </c>
      <c r="AU94" s="5">
        <v>0</v>
      </c>
      <c r="AV94" s="5"/>
      <c r="AW94" s="5">
        <v>4.4171682631022904</v>
      </c>
      <c r="AX94" s="5">
        <v>0</v>
      </c>
      <c r="AY94" s="5"/>
      <c r="AZ94" s="5">
        <v>2</v>
      </c>
      <c r="BA94" s="5">
        <v>0</v>
      </c>
      <c r="BB94" s="5">
        <v>-2</v>
      </c>
      <c r="BD94" s="2">
        <v>1</v>
      </c>
      <c r="BF94" s="787">
        <v>0</v>
      </c>
      <c r="BG94" s="325">
        <v>150000567</v>
      </c>
    </row>
    <row r="95" spans="1:59" ht="24.9" customHeight="1" x14ac:dyDescent="0.3">
      <c r="A95" s="325">
        <v>150000561</v>
      </c>
      <c r="B95" s="445" t="s">
        <v>72</v>
      </c>
      <c r="C95" s="27">
        <v>1</v>
      </c>
      <c r="D95" s="101" t="s">
        <v>455</v>
      </c>
      <c r="E95" s="786">
        <v>128.1</v>
      </c>
      <c r="F95" s="5">
        <v>63</v>
      </c>
      <c r="G95" s="5">
        <v>0</v>
      </c>
      <c r="H95" s="5">
        <v>-63</v>
      </c>
      <c r="I95" s="5">
        <v>0</v>
      </c>
      <c r="J95" s="5">
        <v>0</v>
      </c>
      <c r="K95" s="153"/>
      <c r="L95" s="5">
        <v>0</v>
      </c>
      <c r="M95" s="5">
        <v>0</v>
      </c>
      <c r="N95" s="5"/>
      <c r="O95" s="5">
        <v>0</v>
      </c>
      <c r="P95" s="5">
        <v>0</v>
      </c>
      <c r="Q95" s="784"/>
      <c r="R95" s="5">
        <v>0</v>
      </c>
      <c r="S95" s="5">
        <v>0</v>
      </c>
      <c r="T95" s="628"/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/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/>
      <c r="AH95" s="5">
        <v>0</v>
      </c>
      <c r="AI95" s="5">
        <v>0</v>
      </c>
      <c r="AJ95" s="5"/>
      <c r="AK95" s="5">
        <v>0</v>
      </c>
      <c r="AL95" s="5">
        <v>0</v>
      </c>
      <c r="AM95" s="5"/>
      <c r="AN95" s="5">
        <v>0</v>
      </c>
      <c r="AO95" s="5">
        <v>0</v>
      </c>
      <c r="AP95" s="5"/>
      <c r="AQ95" s="5">
        <v>0</v>
      </c>
      <c r="AR95" s="5">
        <v>0</v>
      </c>
      <c r="AS95" s="5"/>
      <c r="AT95" s="5">
        <v>0</v>
      </c>
      <c r="AU95" s="5">
        <v>0</v>
      </c>
      <c r="AV95" s="5"/>
      <c r="AW95" s="5">
        <v>3.6731945270520652</v>
      </c>
      <c r="AX95" s="5">
        <v>0</v>
      </c>
      <c r="AY95" s="5"/>
      <c r="AZ95" s="5">
        <v>2</v>
      </c>
      <c r="BA95" s="5">
        <v>0</v>
      </c>
      <c r="BB95" s="5">
        <v>-2</v>
      </c>
      <c r="BD95" s="2">
        <v>1</v>
      </c>
      <c r="BF95" s="787">
        <v>0</v>
      </c>
      <c r="BG95" s="325">
        <v>150000561</v>
      </c>
    </row>
    <row r="96" spans="1:59" ht="24.9" customHeight="1" x14ac:dyDescent="0.3">
      <c r="A96" s="325">
        <v>150000569</v>
      </c>
      <c r="B96" s="445" t="s">
        <v>73</v>
      </c>
      <c r="C96" s="27">
        <v>1</v>
      </c>
      <c r="D96" s="101" t="s">
        <v>455</v>
      </c>
      <c r="E96" s="786">
        <v>245.6</v>
      </c>
      <c r="F96" s="5">
        <v>162</v>
      </c>
      <c r="G96" s="5">
        <v>0</v>
      </c>
      <c r="H96" s="5">
        <v>-162</v>
      </c>
      <c r="I96" s="5">
        <v>0</v>
      </c>
      <c r="J96" s="5">
        <v>0</v>
      </c>
      <c r="K96" s="153"/>
      <c r="L96" s="5">
        <v>0</v>
      </c>
      <c r="M96" s="5">
        <v>0</v>
      </c>
      <c r="N96" s="5"/>
      <c r="O96" s="5">
        <v>0</v>
      </c>
      <c r="P96" s="5">
        <v>0</v>
      </c>
      <c r="Q96" s="784"/>
      <c r="R96" s="5">
        <v>0</v>
      </c>
      <c r="S96" s="5">
        <v>0</v>
      </c>
      <c r="T96" s="628"/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/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/>
      <c r="AH96" s="5">
        <v>0</v>
      </c>
      <c r="AI96" s="5">
        <v>0</v>
      </c>
      <c r="AJ96" s="5"/>
      <c r="AK96" s="5">
        <v>0</v>
      </c>
      <c r="AL96" s="5">
        <v>0</v>
      </c>
      <c r="AM96" s="5"/>
      <c r="AN96" s="5">
        <v>0</v>
      </c>
      <c r="AO96" s="5">
        <v>0</v>
      </c>
      <c r="AP96" s="5"/>
      <c r="AQ96" s="5">
        <v>0</v>
      </c>
      <c r="AR96" s="5">
        <v>0</v>
      </c>
      <c r="AS96" s="5"/>
      <c r="AT96" s="5">
        <v>0</v>
      </c>
      <c r="AU96" s="5">
        <v>0</v>
      </c>
      <c r="AV96" s="5"/>
      <c r="AW96" s="5">
        <v>5.8301620187059076</v>
      </c>
      <c r="AX96" s="5">
        <v>0</v>
      </c>
      <c r="AY96" s="5"/>
      <c r="AZ96" s="5">
        <v>3</v>
      </c>
      <c r="BA96" s="5">
        <v>0</v>
      </c>
      <c r="BB96" s="5">
        <v>-3</v>
      </c>
      <c r="BD96" s="2">
        <v>1</v>
      </c>
      <c r="BF96" s="787">
        <v>0</v>
      </c>
      <c r="BG96" s="325">
        <v>150000569</v>
      </c>
    </row>
    <row r="97" spans="1:59" ht="24.9" customHeight="1" x14ac:dyDescent="0.3">
      <c r="A97" s="325">
        <v>150000562</v>
      </c>
      <c r="B97" s="445" t="s">
        <v>74</v>
      </c>
      <c r="C97" s="27">
        <v>1</v>
      </c>
      <c r="D97" s="101" t="s">
        <v>455</v>
      </c>
      <c r="E97" s="786">
        <v>325.08</v>
      </c>
      <c r="F97" s="5">
        <v>135</v>
      </c>
      <c r="G97" s="5">
        <v>1839</v>
      </c>
      <c r="H97" s="5">
        <v>1704</v>
      </c>
      <c r="I97" s="5">
        <v>0</v>
      </c>
      <c r="J97" s="5">
        <v>0</v>
      </c>
      <c r="K97" s="153"/>
      <c r="L97" s="5">
        <v>0</v>
      </c>
      <c r="M97" s="5">
        <v>0</v>
      </c>
      <c r="N97" s="5"/>
      <c r="O97" s="5">
        <v>0</v>
      </c>
      <c r="P97" s="5">
        <v>0</v>
      </c>
      <c r="Q97" s="784"/>
      <c r="R97" s="5">
        <v>0</v>
      </c>
      <c r="S97" s="5">
        <v>0</v>
      </c>
      <c r="T97" s="628"/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/>
      <c r="AA97" s="5">
        <v>0</v>
      </c>
      <c r="AB97" s="5">
        <v>0</v>
      </c>
      <c r="AC97" s="5">
        <v>0</v>
      </c>
      <c r="AD97" s="5">
        <v>1839</v>
      </c>
      <c r="AE97" s="5">
        <v>0</v>
      </c>
      <c r="AF97" s="5">
        <v>0</v>
      </c>
      <c r="AG97" s="5"/>
      <c r="AH97" s="5">
        <v>0</v>
      </c>
      <c r="AI97" s="5">
        <v>0</v>
      </c>
      <c r="AJ97" s="5"/>
      <c r="AK97" s="5">
        <v>0</v>
      </c>
      <c r="AL97" s="5">
        <v>0</v>
      </c>
      <c r="AM97" s="5"/>
      <c r="AN97" s="5">
        <v>0</v>
      </c>
      <c r="AO97" s="5">
        <v>0</v>
      </c>
      <c r="AP97" s="5"/>
      <c r="AQ97" s="5">
        <v>0</v>
      </c>
      <c r="AR97" s="5">
        <v>0</v>
      </c>
      <c r="AS97" s="5"/>
      <c r="AT97" s="5">
        <v>0</v>
      </c>
      <c r="AU97" s="5">
        <v>0</v>
      </c>
      <c r="AV97" s="5"/>
      <c r="AW97" s="5">
        <v>7.9871295103597522</v>
      </c>
      <c r="AX97" s="5">
        <v>0</v>
      </c>
      <c r="AY97" s="5"/>
      <c r="AZ97" s="5">
        <v>4</v>
      </c>
      <c r="BA97" s="5">
        <v>0</v>
      </c>
      <c r="BB97" s="5">
        <v>-4</v>
      </c>
      <c r="BD97" s="2">
        <v>1</v>
      </c>
      <c r="BF97" s="787">
        <v>0</v>
      </c>
      <c r="BG97" s="325">
        <v>150000562</v>
      </c>
    </row>
    <row r="98" spans="1:59" ht="24.9" customHeight="1" x14ac:dyDescent="0.3">
      <c r="A98" s="325">
        <v>150000570</v>
      </c>
      <c r="B98" s="445" t="s">
        <v>75</v>
      </c>
      <c r="C98" s="27">
        <v>1</v>
      </c>
      <c r="D98" s="101" t="s">
        <v>455</v>
      </c>
      <c r="E98" s="786">
        <v>282.8</v>
      </c>
      <c r="F98" s="5">
        <v>135</v>
      </c>
      <c r="G98" s="5">
        <v>0</v>
      </c>
      <c r="H98" s="5">
        <v>-135</v>
      </c>
      <c r="I98" s="5">
        <v>0</v>
      </c>
      <c r="J98" s="5">
        <v>0</v>
      </c>
      <c r="K98" s="153"/>
      <c r="L98" s="5">
        <v>0</v>
      </c>
      <c r="M98" s="5">
        <v>0</v>
      </c>
      <c r="N98" s="5"/>
      <c r="O98" s="5">
        <v>0</v>
      </c>
      <c r="P98" s="5">
        <v>0</v>
      </c>
      <c r="Q98" s="784"/>
      <c r="R98" s="5">
        <v>0</v>
      </c>
      <c r="S98" s="5">
        <v>0</v>
      </c>
      <c r="T98" s="628"/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/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/>
      <c r="AH98" s="5">
        <v>0</v>
      </c>
      <c r="AI98" s="5">
        <v>0</v>
      </c>
      <c r="AJ98" s="5"/>
      <c r="AK98" s="5">
        <v>0</v>
      </c>
      <c r="AL98" s="5">
        <v>0</v>
      </c>
      <c r="AM98" s="5"/>
      <c r="AN98" s="5">
        <v>0</v>
      </c>
      <c r="AO98" s="5">
        <v>0</v>
      </c>
      <c r="AP98" s="5"/>
      <c r="AQ98" s="5">
        <v>0</v>
      </c>
      <c r="AR98" s="5">
        <v>0</v>
      </c>
      <c r="AS98" s="5"/>
      <c r="AT98" s="5">
        <v>0</v>
      </c>
      <c r="AU98" s="5">
        <v>0</v>
      </c>
      <c r="AV98" s="5"/>
      <c r="AW98" s="5">
        <v>6.367608558741729</v>
      </c>
      <c r="AX98" s="5">
        <v>0</v>
      </c>
      <c r="AY98" s="5"/>
      <c r="AZ98" s="5">
        <v>3</v>
      </c>
      <c r="BA98" s="5">
        <v>0</v>
      </c>
      <c r="BB98" s="5">
        <v>-3</v>
      </c>
      <c r="BD98" s="2">
        <v>1</v>
      </c>
      <c r="BF98" s="787">
        <v>0</v>
      </c>
      <c r="BG98" s="325">
        <v>150000570</v>
      </c>
    </row>
    <row r="99" spans="1:59" ht="24.9" customHeight="1" x14ac:dyDescent="0.3">
      <c r="A99" s="325">
        <v>150000572</v>
      </c>
      <c r="B99" s="445" t="s">
        <v>153</v>
      </c>
      <c r="C99" s="27">
        <v>2</v>
      </c>
      <c r="D99" s="101" t="s">
        <v>455</v>
      </c>
      <c r="E99" s="786">
        <v>171.6</v>
      </c>
      <c r="F99" s="5">
        <v>149</v>
      </c>
      <c r="G99" s="5">
        <v>0</v>
      </c>
      <c r="H99" s="5">
        <v>-149</v>
      </c>
      <c r="I99" s="5">
        <v>0</v>
      </c>
      <c r="J99" s="5">
        <v>0</v>
      </c>
      <c r="K99" s="153"/>
      <c r="L99" s="5">
        <v>0</v>
      </c>
      <c r="M99" s="5">
        <v>0</v>
      </c>
      <c r="N99" s="5"/>
      <c r="O99" s="5">
        <v>0</v>
      </c>
      <c r="P99" s="5">
        <v>0</v>
      </c>
      <c r="Q99" s="784"/>
      <c r="R99" s="5">
        <v>0</v>
      </c>
      <c r="S99" s="5">
        <v>0</v>
      </c>
      <c r="T99" s="628"/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/>
      <c r="AA99" s="5">
        <v>0</v>
      </c>
      <c r="AB99" s="5">
        <v>0</v>
      </c>
      <c r="AC99" s="5">
        <v>0</v>
      </c>
      <c r="AD99" s="5">
        <v>0</v>
      </c>
      <c r="AE99" s="5">
        <v>81.773729026344654</v>
      </c>
      <c r="AF99" s="5">
        <v>0</v>
      </c>
      <c r="AG99" s="5"/>
      <c r="AH99" s="5">
        <v>87.570203377378647</v>
      </c>
      <c r="AI99" s="5">
        <v>0</v>
      </c>
      <c r="AJ99" s="5"/>
      <c r="AK99" s="5">
        <v>0</v>
      </c>
      <c r="AL99" s="5">
        <v>0</v>
      </c>
      <c r="AM99" s="5"/>
      <c r="AN99" s="5">
        <v>0</v>
      </c>
      <c r="AO99" s="5">
        <v>0</v>
      </c>
      <c r="AP99" s="5"/>
      <c r="AQ99" s="5">
        <v>0</v>
      </c>
      <c r="AR99" s="5">
        <v>0</v>
      </c>
      <c r="AS99" s="5"/>
      <c r="AT99" s="5">
        <v>0</v>
      </c>
      <c r="AU99" s="5">
        <v>0</v>
      </c>
      <c r="AV99" s="5"/>
      <c r="AW99" s="5">
        <v>6.4708721567489329</v>
      </c>
      <c r="AX99" s="5">
        <v>0</v>
      </c>
      <c r="AY99" s="5"/>
      <c r="AZ99" s="5">
        <v>88</v>
      </c>
      <c r="BA99" s="5">
        <v>0</v>
      </c>
      <c r="BB99" s="5">
        <v>-88</v>
      </c>
      <c r="BD99" s="2">
        <v>1</v>
      </c>
      <c r="BF99" s="787">
        <v>0.97</v>
      </c>
      <c r="BG99" s="325">
        <v>150000572</v>
      </c>
    </row>
    <row r="100" spans="1:59" ht="24.9" customHeight="1" x14ac:dyDescent="0.3">
      <c r="A100" s="325">
        <v>150000573</v>
      </c>
      <c r="B100" s="445" t="s">
        <v>76</v>
      </c>
      <c r="C100" s="27">
        <v>1</v>
      </c>
      <c r="D100" s="101" t="s">
        <v>455</v>
      </c>
      <c r="E100" s="786">
        <v>151.6</v>
      </c>
      <c r="F100" s="5">
        <v>80</v>
      </c>
      <c r="G100" s="5">
        <v>0</v>
      </c>
      <c r="H100" s="5">
        <v>-80</v>
      </c>
      <c r="I100" s="5">
        <v>0</v>
      </c>
      <c r="J100" s="5">
        <v>0</v>
      </c>
      <c r="K100" s="153"/>
      <c r="L100" s="5">
        <v>0</v>
      </c>
      <c r="M100" s="5">
        <v>0</v>
      </c>
      <c r="N100" s="5"/>
      <c r="O100" s="5">
        <v>0</v>
      </c>
      <c r="P100" s="5">
        <v>0</v>
      </c>
      <c r="Q100" s="784"/>
      <c r="R100" s="5">
        <v>0</v>
      </c>
      <c r="S100" s="5">
        <v>0</v>
      </c>
      <c r="T100" s="628"/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/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/>
      <c r="AH100" s="5">
        <v>0</v>
      </c>
      <c r="AI100" s="5">
        <v>0</v>
      </c>
      <c r="AJ100" s="5"/>
      <c r="AK100" s="5">
        <v>0</v>
      </c>
      <c r="AL100" s="5">
        <v>0</v>
      </c>
      <c r="AM100" s="5"/>
      <c r="AN100" s="5">
        <v>0</v>
      </c>
      <c r="AO100" s="5">
        <v>0</v>
      </c>
      <c r="AP100" s="5"/>
      <c r="AQ100" s="5">
        <v>0</v>
      </c>
      <c r="AR100" s="5">
        <v>0</v>
      </c>
      <c r="AS100" s="5"/>
      <c r="AT100" s="5">
        <v>0</v>
      </c>
      <c r="AU100" s="5">
        <v>0</v>
      </c>
      <c r="AV100" s="5"/>
      <c r="AW100" s="5">
        <v>4.0041441892860785</v>
      </c>
      <c r="AX100" s="5">
        <v>0</v>
      </c>
      <c r="AY100" s="5"/>
      <c r="AZ100" s="5">
        <v>2</v>
      </c>
      <c r="BA100" s="5">
        <v>0</v>
      </c>
      <c r="BB100" s="5">
        <v>-2</v>
      </c>
      <c r="BD100" s="2">
        <v>1</v>
      </c>
      <c r="BF100" s="787">
        <v>0</v>
      </c>
      <c r="BG100" s="325">
        <v>150000573</v>
      </c>
    </row>
    <row r="101" spans="1:59" ht="24.9" customHeight="1" x14ac:dyDescent="0.3">
      <c r="A101" s="325">
        <v>150000658</v>
      </c>
      <c r="B101" s="445" t="s">
        <v>352</v>
      </c>
      <c r="C101" s="27">
        <v>9</v>
      </c>
      <c r="D101" s="101" t="s">
        <v>455</v>
      </c>
      <c r="E101" s="786">
        <v>5047.8</v>
      </c>
      <c r="F101" s="5">
        <v>3093</v>
      </c>
      <c r="G101" s="5">
        <v>0</v>
      </c>
      <c r="H101" s="5">
        <v>-3093</v>
      </c>
      <c r="I101" s="5">
        <v>0</v>
      </c>
      <c r="J101" s="5">
        <v>0</v>
      </c>
      <c r="K101" s="467"/>
      <c r="L101" s="5">
        <v>0</v>
      </c>
      <c r="M101" s="5">
        <v>0</v>
      </c>
      <c r="N101" s="5"/>
      <c r="O101" s="5">
        <v>0</v>
      </c>
      <c r="P101" s="5">
        <v>0</v>
      </c>
      <c r="Q101" s="790"/>
      <c r="R101" s="5">
        <v>0</v>
      </c>
      <c r="S101" s="5">
        <v>0</v>
      </c>
      <c r="T101" s="628"/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/>
      <c r="AA101" s="5">
        <v>0</v>
      </c>
      <c r="AB101" s="5">
        <v>0</v>
      </c>
      <c r="AC101" s="5">
        <v>0</v>
      </c>
      <c r="AD101" s="5">
        <v>0</v>
      </c>
      <c r="AE101" s="5">
        <v>1086.0161194416048</v>
      </c>
      <c r="AF101" s="5">
        <v>0</v>
      </c>
      <c r="AG101" s="5"/>
      <c r="AH101" s="5">
        <v>1219.8134942989684</v>
      </c>
      <c r="AI101" s="5">
        <v>0</v>
      </c>
      <c r="AJ101" s="5"/>
      <c r="AK101" s="5">
        <v>465.61203092542002</v>
      </c>
      <c r="AL101" s="5">
        <v>1682</v>
      </c>
      <c r="AM101" s="5"/>
      <c r="AN101" s="5">
        <v>1090.1777290150201</v>
      </c>
      <c r="AO101" s="5">
        <v>0</v>
      </c>
      <c r="AP101" s="5"/>
      <c r="AQ101" s="5">
        <v>417.96272557758289</v>
      </c>
      <c r="AR101" s="5">
        <v>0</v>
      </c>
      <c r="AS101" s="5"/>
      <c r="AT101" s="5">
        <v>748.41396807530657</v>
      </c>
      <c r="AU101" s="5">
        <v>0</v>
      </c>
      <c r="AV101" s="5"/>
      <c r="AW101" s="5">
        <v>100.47800000000001</v>
      </c>
      <c r="AX101" s="5">
        <v>0</v>
      </c>
      <c r="AY101" s="5"/>
      <c r="AZ101" s="5">
        <v>2564</v>
      </c>
      <c r="BA101" s="5">
        <v>1682</v>
      </c>
      <c r="BB101" s="5">
        <v>-882</v>
      </c>
      <c r="BD101" s="2">
        <v>3</v>
      </c>
      <c r="BF101" s="787">
        <v>19.78</v>
      </c>
      <c r="BG101" s="325">
        <v>150000658</v>
      </c>
    </row>
    <row r="102" spans="1:59" ht="24.9" customHeight="1" x14ac:dyDescent="0.3">
      <c r="A102" s="325">
        <v>150000659</v>
      </c>
      <c r="B102" s="445" t="s">
        <v>414</v>
      </c>
      <c r="C102" s="27">
        <v>10</v>
      </c>
      <c r="D102" s="101" t="s">
        <v>455</v>
      </c>
      <c r="E102" s="786">
        <v>2605.5</v>
      </c>
      <c r="F102" s="5">
        <v>1365</v>
      </c>
      <c r="G102" s="5">
        <v>0</v>
      </c>
      <c r="H102" s="5">
        <v>-1365</v>
      </c>
      <c r="I102" s="5">
        <v>0</v>
      </c>
      <c r="J102" s="5">
        <v>0</v>
      </c>
      <c r="K102" s="153"/>
      <c r="L102" s="5">
        <v>0</v>
      </c>
      <c r="M102" s="5">
        <v>0</v>
      </c>
      <c r="N102" s="5"/>
      <c r="O102" s="5">
        <v>0</v>
      </c>
      <c r="P102" s="5">
        <v>0</v>
      </c>
      <c r="Q102" s="784"/>
      <c r="R102" s="5">
        <v>0</v>
      </c>
      <c r="S102" s="5">
        <v>0</v>
      </c>
      <c r="T102" s="628"/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/>
      <c r="AA102" s="5">
        <v>0</v>
      </c>
      <c r="AB102" s="5">
        <v>0</v>
      </c>
      <c r="AC102" s="5">
        <v>0</v>
      </c>
      <c r="AD102" s="5">
        <v>0</v>
      </c>
      <c r="AE102" s="5">
        <v>570.49853978594297</v>
      </c>
      <c r="AF102" s="5">
        <v>0</v>
      </c>
      <c r="AG102" s="454"/>
      <c r="AH102" s="5">
        <v>659.79972057205703</v>
      </c>
      <c r="AI102" s="5">
        <v>0</v>
      </c>
      <c r="AJ102" s="5"/>
      <c r="AK102" s="5">
        <v>228.138347414165</v>
      </c>
      <c r="AL102" s="5">
        <v>0</v>
      </c>
      <c r="AM102" s="5"/>
      <c r="AN102" s="5">
        <v>574.07101603196293</v>
      </c>
      <c r="AO102" s="5">
        <v>0</v>
      </c>
      <c r="AP102" s="5"/>
      <c r="AQ102" s="5">
        <v>142.23585705093711</v>
      </c>
      <c r="AR102" s="5">
        <v>0</v>
      </c>
      <c r="AS102" s="454"/>
      <c r="AT102" s="5">
        <v>177.76839782305282</v>
      </c>
      <c r="AU102" s="5">
        <v>0</v>
      </c>
      <c r="AV102" s="5"/>
      <c r="AW102" s="5">
        <v>52.061</v>
      </c>
      <c r="AX102" s="5">
        <v>0</v>
      </c>
      <c r="AY102" s="5"/>
      <c r="AZ102" s="5">
        <v>1203</v>
      </c>
      <c r="BA102" s="5">
        <v>0</v>
      </c>
      <c r="BB102" s="5">
        <v>-1203</v>
      </c>
      <c r="BD102" s="2">
        <v>3</v>
      </c>
      <c r="BF102" s="787">
        <v>10.210000000000001</v>
      </c>
      <c r="BG102" s="325">
        <v>150000659</v>
      </c>
    </row>
    <row r="103" spans="1:59" ht="24.9" customHeight="1" x14ac:dyDescent="0.3">
      <c r="A103" s="325">
        <v>150000660</v>
      </c>
      <c r="B103" s="445" t="s">
        <v>415</v>
      </c>
      <c r="C103" s="27">
        <v>10</v>
      </c>
      <c r="D103" s="101" t="s">
        <v>455</v>
      </c>
      <c r="E103" s="786">
        <v>4661.7</v>
      </c>
      <c r="F103" s="5">
        <v>2651</v>
      </c>
      <c r="G103" s="5">
        <v>12483</v>
      </c>
      <c r="H103" s="5">
        <v>3139</v>
      </c>
      <c r="I103" s="5">
        <v>0</v>
      </c>
      <c r="J103" s="5">
        <v>720</v>
      </c>
      <c r="K103" s="153"/>
      <c r="L103" s="5">
        <v>0</v>
      </c>
      <c r="M103" s="5">
        <v>0</v>
      </c>
      <c r="N103" s="5"/>
      <c r="O103" s="5">
        <v>0</v>
      </c>
      <c r="P103" s="5">
        <v>0</v>
      </c>
      <c r="Q103" s="784"/>
      <c r="R103" s="5">
        <v>1</v>
      </c>
      <c r="S103" s="5">
        <v>11763</v>
      </c>
      <c r="T103" s="628"/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/>
      <c r="AA103" s="5">
        <v>0</v>
      </c>
      <c r="AB103" s="5">
        <v>0</v>
      </c>
      <c r="AC103" s="5">
        <v>0</v>
      </c>
      <c r="AD103" s="5">
        <v>0</v>
      </c>
      <c r="AE103" s="5">
        <v>975.82655593649781</v>
      </c>
      <c r="AF103" s="5">
        <v>0</v>
      </c>
      <c r="AG103" s="5"/>
      <c r="AH103" s="5">
        <v>1292.3733492203828</v>
      </c>
      <c r="AI103" s="5">
        <v>0</v>
      </c>
      <c r="AJ103" s="5"/>
      <c r="AK103" s="5">
        <v>423.71015965721801</v>
      </c>
      <c r="AL103" s="5">
        <v>1595</v>
      </c>
      <c r="AM103" s="5"/>
      <c r="AN103" s="5">
        <v>1051.60474624372</v>
      </c>
      <c r="AO103" s="5">
        <v>0</v>
      </c>
      <c r="AP103" s="5"/>
      <c r="AQ103" s="5">
        <v>446.2183605350553</v>
      </c>
      <c r="AR103" s="5">
        <v>0</v>
      </c>
      <c r="AS103" s="5"/>
      <c r="AT103" s="5">
        <v>470.12685544266151</v>
      </c>
      <c r="AU103" s="5">
        <v>0</v>
      </c>
      <c r="AV103" s="5"/>
      <c r="AW103" s="5">
        <v>93.61699999999999</v>
      </c>
      <c r="AX103" s="5">
        <v>0</v>
      </c>
      <c r="AY103" s="5"/>
      <c r="AZ103" s="5">
        <v>2376</v>
      </c>
      <c r="BA103" s="5">
        <v>1595</v>
      </c>
      <c r="BB103" s="5">
        <v>-781</v>
      </c>
      <c r="BD103" s="2">
        <v>3</v>
      </c>
      <c r="BF103" s="787">
        <v>18.27</v>
      </c>
      <c r="BG103" s="325">
        <v>150000660</v>
      </c>
    </row>
    <row r="104" spans="1:59" ht="24.9" customHeight="1" x14ac:dyDescent="0.3">
      <c r="A104" s="325">
        <v>150000597</v>
      </c>
      <c r="B104" s="445" t="s">
        <v>353</v>
      </c>
      <c r="C104" s="27">
        <v>9</v>
      </c>
      <c r="D104" s="101" t="s">
        <v>455</v>
      </c>
      <c r="E104" s="786">
        <v>4715.25</v>
      </c>
      <c r="F104" s="5">
        <v>3988</v>
      </c>
      <c r="G104" s="5">
        <v>7288</v>
      </c>
      <c r="H104" s="5">
        <v>-3988</v>
      </c>
      <c r="I104" s="5">
        <v>0</v>
      </c>
      <c r="J104" s="5">
        <v>0</v>
      </c>
      <c r="K104" s="153"/>
      <c r="L104" s="5">
        <v>0</v>
      </c>
      <c r="M104" s="5">
        <v>0</v>
      </c>
      <c r="N104" s="5"/>
      <c r="O104" s="5">
        <v>0</v>
      </c>
      <c r="P104" s="5">
        <v>0</v>
      </c>
      <c r="Q104" s="784"/>
      <c r="R104" s="5">
        <v>1</v>
      </c>
      <c r="S104" s="5">
        <v>7199</v>
      </c>
      <c r="T104" s="628"/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/>
      <c r="AA104" s="5">
        <v>0</v>
      </c>
      <c r="AB104" s="5">
        <v>0</v>
      </c>
      <c r="AC104" s="5">
        <v>0</v>
      </c>
      <c r="AD104" s="5">
        <v>89</v>
      </c>
      <c r="AE104" s="5">
        <v>857.88681255727727</v>
      </c>
      <c r="AF104" s="5">
        <v>0</v>
      </c>
      <c r="AG104" s="5"/>
      <c r="AH104" s="5">
        <v>950.3045388305311</v>
      </c>
      <c r="AI104" s="5">
        <v>0</v>
      </c>
      <c r="AJ104" s="8"/>
      <c r="AK104" s="5">
        <v>230.0298814191633</v>
      </c>
      <c r="AL104" s="5">
        <v>0</v>
      </c>
      <c r="AM104" s="5"/>
      <c r="AN104" s="5">
        <v>1032.2534799220989</v>
      </c>
      <c r="AO104" s="5">
        <v>0</v>
      </c>
      <c r="AP104" s="5"/>
      <c r="AQ104" s="5">
        <v>417.96272557758289</v>
      </c>
      <c r="AR104" s="5">
        <v>0</v>
      </c>
      <c r="AS104" s="5"/>
      <c r="AT104" s="5">
        <v>783.80606144055457</v>
      </c>
      <c r="AU104" s="5">
        <v>0</v>
      </c>
      <c r="AV104" s="5"/>
      <c r="AW104" s="5">
        <v>66.090101829833273</v>
      </c>
      <c r="AX104" s="5">
        <v>0</v>
      </c>
      <c r="AY104" s="5"/>
      <c r="AZ104" s="5">
        <v>2169</v>
      </c>
      <c r="BA104" s="5">
        <v>0</v>
      </c>
      <c r="BB104" s="5">
        <v>-2169</v>
      </c>
      <c r="BD104" s="2">
        <v>1</v>
      </c>
      <c r="BF104" s="787">
        <v>26.51</v>
      </c>
      <c r="BG104" s="325">
        <v>150000597</v>
      </c>
    </row>
    <row r="105" spans="1:59" ht="24.9" customHeight="1" x14ac:dyDescent="0.3">
      <c r="A105" s="325">
        <v>150000598</v>
      </c>
      <c r="B105" s="445" t="s">
        <v>77</v>
      </c>
      <c r="C105" s="27">
        <v>1</v>
      </c>
      <c r="D105" s="101" t="s">
        <v>455</v>
      </c>
      <c r="E105" s="786">
        <v>258.5</v>
      </c>
      <c r="F105" s="5">
        <v>141</v>
      </c>
      <c r="G105" s="5">
        <v>4137</v>
      </c>
      <c r="H105" s="5">
        <v>3997</v>
      </c>
      <c r="I105" s="5">
        <v>0</v>
      </c>
      <c r="J105" s="5">
        <v>0</v>
      </c>
      <c r="K105" s="153"/>
      <c r="L105" s="5">
        <v>0</v>
      </c>
      <c r="M105" s="5">
        <v>0</v>
      </c>
      <c r="N105" s="5"/>
      <c r="O105" s="5">
        <v>0</v>
      </c>
      <c r="P105" s="5">
        <v>0</v>
      </c>
      <c r="Q105" s="784"/>
      <c r="R105" s="5">
        <v>0</v>
      </c>
      <c r="S105" s="5">
        <v>0</v>
      </c>
      <c r="T105" s="628"/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/>
      <c r="AA105" s="5">
        <v>0</v>
      </c>
      <c r="AB105" s="5">
        <v>0</v>
      </c>
      <c r="AC105" s="5">
        <v>0</v>
      </c>
      <c r="AD105" s="5">
        <v>4137</v>
      </c>
      <c r="AE105" s="5">
        <v>0</v>
      </c>
      <c r="AF105" s="5">
        <v>0</v>
      </c>
      <c r="AG105" s="5"/>
      <c r="AH105" s="5">
        <v>0</v>
      </c>
      <c r="AI105" s="5">
        <v>0</v>
      </c>
      <c r="AJ105" s="5"/>
      <c r="AK105" s="5">
        <v>0</v>
      </c>
      <c r="AL105" s="5">
        <v>0</v>
      </c>
      <c r="AM105" s="5"/>
      <c r="AN105" s="5">
        <v>0</v>
      </c>
      <c r="AO105" s="5">
        <v>0</v>
      </c>
      <c r="AP105" s="5"/>
      <c r="AQ105" s="5">
        <v>0</v>
      </c>
      <c r="AR105" s="5">
        <v>0</v>
      </c>
      <c r="AS105" s="5"/>
      <c r="AT105" s="5">
        <v>0</v>
      </c>
      <c r="AU105" s="5">
        <v>0</v>
      </c>
      <c r="AV105" s="5"/>
      <c r="AW105" s="5">
        <v>7.9871295103597522</v>
      </c>
      <c r="AX105" s="5">
        <v>0</v>
      </c>
      <c r="AY105" s="5"/>
      <c r="AZ105" s="5">
        <v>4</v>
      </c>
      <c r="BA105" s="5">
        <v>0</v>
      </c>
      <c r="BB105" s="5">
        <v>-4</v>
      </c>
      <c r="BD105" s="2">
        <v>1</v>
      </c>
      <c r="BF105" s="787">
        <v>0</v>
      </c>
      <c r="BG105" s="325">
        <v>150000598</v>
      </c>
    </row>
    <row r="106" spans="1:59" ht="24.9" customHeight="1" x14ac:dyDescent="0.3">
      <c r="A106" s="325">
        <v>150000592</v>
      </c>
      <c r="B106" s="445" t="s">
        <v>354</v>
      </c>
      <c r="C106" s="27">
        <v>9</v>
      </c>
      <c r="D106" s="101" t="s">
        <v>455</v>
      </c>
      <c r="E106" s="786">
        <v>9699.7999999999993</v>
      </c>
      <c r="F106" s="5">
        <v>6223</v>
      </c>
      <c r="G106" s="5">
        <v>2996</v>
      </c>
      <c r="H106" s="5">
        <v>-5260</v>
      </c>
      <c r="I106" s="5">
        <v>0</v>
      </c>
      <c r="J106" s="5">
        <v>1054</v>
      </c>
      <c r="K106" s="467"/>
      <c r="L106" s="5">
        <v>0</v>
      </c>
      <c r="M106" s="5">
        <v>0</v>
      </c>
      <c r="N106" s="5"/>
      <c r="O106" s="5">
        <v>0</v>
      </c>
      <c r="P106" s="5">
        <v>0</v>
      </c>
      <c r="Q106" s="784"/>
      <c r="R106" s="5">
        <v>1</v>
      </c>
      <c r="S106" s="5">
        <v>979</v>
      </c>
      <c r="T106" s="628"/>
      <c r="U106" s="5">
        <v>0</v>
      </c>
      <c r="V106" s="5">
        <v>0</v>
      </c>
      <c r="W106" s="5">
        <v>1</v>
      </c>
      <c r="X106" s="5">
        <v>283</v>
      </c>
      <c r="Y106" s="5">
        <v>0</v>
      </c>
      <c r="Z106" s="8"/>
      <c r="AA106" s="5">
        <v>0</v>
      </c>
      <c r="AB106" s="5">
        <v>0</v>
      </c>
      <c r="AC106" s="5">
        <v>0</v>
      </c>
      <c r="AD106" s="5">
        <v>680</v>
      </c>
      <c r="AE106" s="5">
        <v>1604.2279913709604</v>
      </c>
      <c r="AF106" s="5">
        <v>246</v>
      </c>
      <c r="AG106" s="5"/>
      <c r="AH106" s="5">
        <v>1795.7470580207753</v>
      </c>
      <c r="AI106" s="5">
        <v>2572</v>
      </c>
      <c r="AJ106" s="5"/>
      <c r="AK106" s="5">
        <v>714.42265976730801</v>
      </c>
      <c r="AL106" s="5">
        <v>0</v>
      </c>
      <c r="AM106" s="5"/>
      <c r="AN106" s="5">
        <v>1999.563475490937</v>
      </c>
      <c r="AO106" s="5">
        <v>0</v>
      </c>
      <c r="AP106" s="5"/>
      <c r="AQ106" s="5">
        <v>2469.7970621192221</v>
      </c>
      <c r="AR106" s="5">
        <v>2653</v>
      </c>
      <c r="AS106" s="5"/>
      <c r="AT106" s="5">
        <v>1898.1186816625634</v>
      </c>
      <c r="AU106" s="5">
        <v>342</v>
      </c>
      <c r="AV106" s="5"/>
      <c r="AW106" s="5">
        <v>131.84854273183265</v>
      </c>
      <c r="AX106" s="5">
        <v>0</v>
      </c>
      <c r="AY106" s="5"/>
      <c r="AZ106" s="5">
        <v>5307</v>
      </c>
      <c r="BA106" s="5">
        <v>5568</v>
      </c>
      <c r="BB106" s="5">
        <v>261</v>
      </c>
      <c r="BD106" s="2">
        <v>1</v>
      </c>
      <c r="BF106" s="787">
        <v>141.69999999999999</v>
      </c>
      <c r="BG106" s="325">
        <v>150000592</v>
      </c>
    </row>
    <row r="107" spans="1:59" ht="24.9" customHeight="1" x14ac:dyDescent="0.3">
      <c r="A107" s="325">
        <v>150000599</v>
      </c>
      <c r="B107" s="445" t="s">
        <v>78</v>
      </c>
      <c r="C107" s="27">
        <v>1</v>
      </c>
      <c r="D107" s="101" t="s">
        <v>455</v>
      </c>
      <c r="E107" s="786">
        <v>250.4</v>
      </c>
      <c r="F107" s="5">
        <v>195</v>
      </c>
      <c r="G107" s="5">
        <v>2297</v>
      </c>
      <c r="H107" s="5">
        <v>2102</v>
      </c>
      <c r="I107" s="5">
        <v>0</v>
      </c>
      <c r="J107" s="5">
        <v>0</v>
      </c>
      <c r="K107" s="153"/>
      <c r="L107" s="5">
        <v>0</v>
      </c>
      <c r="M107" s="5">
        <v>0</v>
      </c>
      <c r="N107" s="5"/>
      <c r="O107" s="5">
        <v>0</v>
      </c>
      <c r="P107" s="5">
        <v>0</v>
      </c>
      <c r="Q107" s="784"/>
      <c r="R107" s="5">
        <v>0</v>
      </c>
      <c r="S107" s="5">
        <v>0</v>
      </c>
      <c r="T107" s="628"/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/>
      <c r="AA107" s="5">
        <v>0</v>
      </c>
      <c r="AB107" s="5">
        <v>0</v>
      </c>
      <c r="AC107" s="5">
        <v>0</v>
      </c>
      <c r="AD107" s="5">
        <v>2297</v>
      </c>
      <c r="AE107" s="5">
        <v>0</v>
      </c>
      <c r="AF107" s="5">
        <v>0</v>
      </c>
      <c r="AG107" s="5"/>
      <c r="AH107" s="5">
        <v>0</v>
      </c>
      <c r="AI107" s="5">
        <v>0</v>
      </c>
      <c r="AJ107" s="5"/>
      <c r="AK107" s="5">
        <v>0</v>
      </c>
      <c r="AL107" s="5">
        <v>0</v>
      </c>
      <c r="AM107" s="5"/>
      <c r="AN107" s="5">
        <v>0</v>
      </c>
      <c r="AO107" s="5">
        <v>0</v>
      </c>
      <c r="AP107" s="5"/>
      <c r="AQ107" s="5">
        <v>0</v>
      </c>
      <c r="AR107" s="5">
        <v>0</v>
      </c>
      <c r="AS107" s="5"/>
      <c r="AT107" s="5">
        <v>0</v>
      </c>
      <c r="AU107" s="5">
        <v>0</v>
      </c>
      <c r="AV107" s="5"/>
      <c r="AW107" s="5">
        <v>8.0903627901543551</v>
      </c>
      <c r="AX107" s="5">
        <v>0</v>
      </c>
      <c r="AY107" s="5"/>
      <c r="AZ107" s="5">
        <v>4</v>
      </c>
      <c r="BA107" s="5">
        <v>0</v>
      </c>
      <c r="BB107" s="5">
        <v>-4</v>
      </c>
      <c r="BD107" s="2">
        <v>1</v>
      </c>
      <c r="BF107" s="787">
        <v>0</v>
      </c>
      <c r="BG107" s="325">
        <v>150000599</v>
      </c>
    </row>
    <row r="108" spans="1:59" ht="24.9" customHeight="1" x14ac:dyDescent="0.3">
      <c r="A108" s="325">
        <v>150000601</v>
      </c>
      <c r="B108" s="445" t="s">
        <v>79</v>
      </c>
      <c r="C108" s="27">
        <v>1</v>
      </c>
      <c r="D108" s="101" t="s">
        <v>455</v>
      </c>
      <c r="E108" s="786">
        <v>232.7</v>
      </c>
      <c r="F108" s="5">
        <v>146</v>
      </c>
      <c r="G108" s="5">
        <v>1839</v>
      </c>
      <c r="H108" s="5">
        <v>1693</v>
      </c>
      <c r="I108" s="5">
        <v>0</v>
      </c>
      <c r="J108" s="5">
        <v>0</v>
      </c>
      <c r="K108" s="153"/>
      <c r="L108" s="5">
        <v>0</v>
      </c>
      <c r="M108" s="5">
        <v>0</v>
      </c>
      <c r="N108" s="5"/>
      <c r="O108" s="5">
        <v>0</v>
      </c>
      <c r="P108" s="5">
        <v>0</v>
      </c>
      <c r="Q108" s="784"/>
      <c r="R108" s="5">
        <v>0</v>
      </c>
      <c r="S108" s="5">
        <v>0</v>
      </c>
      <c r="T108" s="628"/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/>
      <c r="AA108" s="5">
        <v>0</v>
      </c>
      <c r="AB108" s="5">
        <v>0</v>
      </c>
      <c r="AC108" s="5">
        <v>0</v>
      </c>
      <c r="AD108" s="5">
        <v>1839</v>
      </c>
      <c r="AE108" s="5">
        <v>0</v>
      </c>
      <c r="AF108" s="5">
        <v>0</v>
      </c>
      <c r="AG108" s="5"/>
      <c r="AH108" s="5">
        <v>0</v>
      </c>
      <c r="AI108" s="5">
        <v>0</v>
      </c>
      <c r="AJ108" s="5"/>
      <c r="AK108" s="5">
        <v>0</v>
      </c>
      <c r="AL108" s="5">
        <v>0</v>
      </c>
      <c r="AM108" s="5"/>
      <c r="AN108" s="5">
        <v>0</v>
      </c>
      <c r="AO108" s="5">
        <v>0</v>
      </c>
      <c r="AP108" s="5"/>
      <c r="AQ108" s="5">
        <v>0</v>
      </c>
      <c r="AR108" s="5">
        <v>0</v>
      </c>
      <c r="AS108" s="5"/>
      <c r="AT108" s="5">
        <v>0</v>
      </c>
      <c r="AU108" s="5">
        <v>0</v>
      </c>
      <c r="AV108" s="5"/>
      <c r="AW108" s="5">
        <v>4.4171682631022904</v>
      </c>
      <c r="AX108" s="5">
        <v>0</v>
      </c>
      <c r="AY108" s="5"/>
      <c r="AZ108" s="5">
        <v>2</v>
      </c>
      <c r="BA108" s="5">
        <v>0</v>
      </c>
      <c r="BB108" s="5">
        <v>-2</v>
      </c>
      <c r="BD108" s="2">
        <v>1</v>
      </c>
      <c r="BF108" s="787">
        <v>0</v>
      </c>
      <c r="BG108" s="325">
        <v>150000601</v>
      </c>
    </row>
    <row r="109" spans="1:59" ht="24.9" customHeight="1" x14ac:dyDescent="0.3">
      <c r="A109" s="325">
        <v>150000593</v>
      </c>
      <c r="B109" s="445" t="s">
        <v>256</v>
      </c>
      <c r="C109" s="27">
        <v>5</v>
      </c>
      <c r="D109" s="101" t="s">
        <v>455</v>
      </c>
      <c r="E109" s="786">
        <v>1899.07</v>
      </c>
      <c r="F109" s="5">
        <v>801</v>
      </c>
      <c r="G109" s="5">
        <v>2920</v>
      </c>
      <c r="H109" s="5">
        <v>2119</v>
      </c>
      <c r="I109" s="5">
        <v>0</v>
      </c>
      <c r="J109" s="5">
        <v>0</v>
      </c>
      <c r="K109" s="153"/>
      <c r="L109" s="5">
        <v>0</v>
      </c>
      <c r="M109" s="5">
        <v>0</v>
      </c>
      <c r="N109" s="788"/>
      <c r="O109" s="5">
        <v>0</v>
      </c>
      <c r="P109" s="5">
        <v>0</v>
      </c>
      <c r="Q109" s="784"/>
      <c r="R109" s="5">
        <v>0</v>
      </c>
      <c r="S109" s="5">
        <v>0</v>
      </c>
      <c r="T109" s="628"/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/>
      <c r="AA109" s="5">
        <v>0</v>
      </c>
      <c r="AB109" s="5">
        <v>0</v>
      </c>
      <c r="AC109" s="5">
        <v>0</v>
      </c>
      <c r="AD109" s="5">
        <v>2920</v>
      </c>
      <c r="AE109" s="5">
        <v>405.56082862437563</v>
      </c>
      <c r="AF109" s="5">
        <v>0</v>
      </c>
      <c r="AG109" s="5"/>
      <c r="AH109" s="5">
        <v>503.6067809350626</v>
      </c>
      <c r="AI109" s="5">
        <v>0</v>
      </c>
      <c r="AJ109" s="5"/>
      <c r="AK109" s="5">
        <v>46.361208248798299</v>
      </c>
      <c r="AL109" s="5">
        <v>0</v>
      </c>
      <c r="AM109" s="5"/>
      <c r="AN109" s="5">
        <v>0</v>
      </c>
      <c r="AO109" s="5">
        <v>0</v>
      </c>
      <c r="AP109" s="5"/>
      <c r="AQ109" s="5">
        <v>0</v>
      </c>
      <c r="AR109" s="5">
        <v>0</v>
      </c>
      <c r="AS109" s="5"/>
      <c r="AT109" s="5">
        <v>191.65657723715083</v>
      </c>
      <c r="AU109" s="5">
        <v>0</v>
      </c>
      <c r="AV109" s="5"/>
      <c r="AW109" s="5">
        <v>55.71899971098015</v>
      </c>
      <c r="AX109" s="5">
        <v>0</v>
      </c>
      <c r="AY109" s="5"/>
      <c r="AZ109" s="5">
        <v>601</v>
      </c>
      <c r="BA109" s="5">
        <v>0</v>
      </c>
      <c r="BB109" s="5">
        <v>-601</v>
      </c>
      <c r="BD109" s="2">
        <v>1</v>
      </c>
      <c r="BF109" s="787">
        <v>10.68</v>
      </c>
      <c r="BG109" s="325">
        <v>150000593</v>
      </c>
    </row>
    <row r="110" spans="1:59" ht="24.9" customHeight="1" x14ac:dyDescent="0.3">
      <c r="A110" s="325">
        <v>150000594</v>
      </c>
      <c r="B110" s="445" t="s">
        <v>355</v>
      </c>
      <c r="C110" s="27">
        <v>9</v>
      </c>
      <c r="D110" s="101" t="s">
        <v>455</v>
      </c>
      <c r="E110" s="786">
        <v>9278.5499999999993</v>
      </c>
      <c r="F110" s="5">
        <v>5915</v>
      </c>
      <c r="G110" s="5">
        <v>1515</v>
      </c>
      <c r="H110" s="5">
        <v>-5433</v>
      </c>
      <c r="I110" s="5">
        <v>0</v>
      </c>
      <c r="J110" s="5">
        <v>0</v>
      </c>
      <c r="K110" s="153"/>
      <c r="L110" s="5">
        <v>0</v>
      </c>
      <c r="M110" s="5">
        <v>0</v>
      </c>
      <c r="N110" s="5"/>
      <c r="O110" s="5">
        <v>0</v>
      </c>
      <c r="P110" s="5">
        <v>0</v>
      </c>
      <c r="Q110" s="779"/>
      <c r="R110" s="5">
        <v>0</v>
      </c>
      <c r="S110" s="5">
        <v>968</v>
      </c>
      <c r="T110" s="630"/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/>
      <c r="AA110" s="5">
        <v>0</v>
      </c>
      <c r="AB110" s="5">
        <v>0</v>
      </c>
      <c r="AC110" s="5">
        <v>0</v>
      </c>
      <c r="AD110" s="5">
        <v>547</v>
      </c>
      <c r="AE110" s="5">
        <v>1598.3753533843296</v>
      </c>
      <c r="AF110" s="5">
        <v>0</v>
      </c>
      <c r="AG110" s="5"/>
      <c r="AH110" s="5">
        <v>1795.7470580207753</v>
      </c>
      <c r="AI110" s="5">
        <v>0</v>
      </c>
      <c r="AJ110" s="5"/>
      <c r="AK110" s="5">
        <v>669.93177327259605</v>
      </c>
      <c r="AL110" s="5">
        <v>0</v>
      </c>
      <c r="AM110" s="5"/>
      <c r="AN110" s="5">
        <v>1908.2014642850691</v>
      </c>
      <c r="AO110" s="5">
        <v>0</v>
      </c>
      <c r="AP110" s="5"/>
      <c r="AQ110" s="5">
        <v>2469.7970621192221</v>
      </c>
      <c r="AR110" s="5">
        <v>0</v>
      </c>
      <c r="AS110" s="5"/>
      <c r="AT110" s="5">
        <v>1898.1186816625634</v>
      </c>
      <c r="AU110" s="5">
        <v>0</v>
      </c>
      <c r="AV110" s="5"/>
      <c r="AW110" s="5">
        <v>131.84854273183265</v>
      </c>
      <c r="AX110" s="5">
        <v>0</v>
      </c>
      <c r="AY110" s="5"/>
      <c r="AZ110" s="5">
        <v>5236</v>
      </c>
      <c r="BA110" s="5">
        <v>0</v>
      </c>
      <c r="BB110" s="5">
        <v>-5236</v>
      </c>
      <c r="BD110" s="2">
        <v>1</v>
      </c>
      <c r="BF110" s="787">
        <v>52.19</v>
      </c>
      <c r="BG110" s="325">
        <v>150000594</v>
      </c>
    </row>
    <row r="111" spans="1:59" ht="24.9" customHeight="1" x14ac:dyDescent="0.3">
      <c r="A111" s="325">
        <v>150000834</v>
      </c>
      <c r="B111" s="445" t="s">
        <v>80</v>
      </c>
      <c r="C111" s="27">
        <v>1</v>
      </c>
      <c r="D111" s="101" t="s">
        <v>455</v>
      </c>
      <c r="E111" s="786">
        <v>198.8</v>
      </c>
      <c r="F111" s="5">
        <v>111</v>
      </c>
      <c r="G111" s="5">
        <v>0</v>
      </c>
      <c r="H111" s="5">
        <v>-111</v>
      </c>
      <c r="I111" s="5">
        <v>0</v>
      </c>
      <c r="J111" s="5">
        <v>0</v>
      </c>
      <c r="K111" s="153"/>
      <c r="L111" s="5">
        <v>0</v>
      </c>
      <c r="M111" s="5">
        <v>0</v>
      </c>
      <c r="N111" s="5"/>
      <c r="O111" s="5">
        <v>0</v>
      </c>
      <c r="P111" s="5">
        <v>0</v>
      </c>
      <c r="Q111" s="784"/>
      <c r="R111" s="5">
        <v>0</v>
      </c>
      <c r="S111" s="5">
        <v>0</v>
      </c>
      <c r="T111" s="628"/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/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/>
      <c r="AH111" s="5">
        <v>0</v>
      </c>
      <c r="AI111" s="5">
        <v>0</v>
      </c>
      <c r="AJ111" s="5"/>
      <c r="AK111" s="5">
        <v>0</v>
      </c>
      <c r="AL111" s="5">
        <v>0</v>
      </c>
      <c r="AM111" s="5"/>
      <c r="AN111" s="5">
        <v>0</v>
      </c>
      <c r="AO111" s="5">
        <v>0</v>
      </c>
      <c r="AP111" s="5"/>
      <c r="AQ111" s="5">
        <v>0</v>
      </c>
      <c r="AR111" s="5">
        <v>0</v>
      </c>
      <c r="AS111" s="5"/>
      <c r="AT111" s="5">
        <v>0</v>
      </c>
      <c r="AU111" s="5">
        <v>0</v>
      </c>
      <c r="AV111" s="5"/>
      <c r="AW111" s="5">
        <v>6.4708721567489329</v>
      </c>
      <c r="AX111" s="5">
        <v>0</v>
      </c>
      <c r="AY111" s="5"/>
      <c r="AZ111" s="5">
        <v>3</v>
      </c>
      <c r="BA111" s="5">
        <v>0</v>
      </c>
      <c r="BB111" s="5">
        <v>-3</v>
      </c>
      <c r="BD111" s="2">
        <v>1</v>
      </c>
      <c r="BF111" s="787">
        <v>0</v>
      </c>
      <c r="BG111" s="325">
        <v>150000834</v>
      </c>
    </row>
    <row r="112" spans="1:59" ht="24.9" customHeight="1" x14ac:dyDescent="0.3">
      <c r="A112" s="325">
        <v>150000627</v>
      </c>
      <c r="B112" s="445" t="s">
        <v>356</v>
      </c>
      <c r="C112" s="27">
        <v>9</v>
      </c>
      <c r="D112" s="101" t="s">
        <v>455</v>
      </c>
      <c r="E112" s="786">
        <v>3777.29</v>
      </c>
      <c r="F112" s="5">
        <v>2456</v>
      </c>
      <c r="G112" s="5">
        <v>63190</v>
      </c>
      <c r="H112" s="5">
        <v>-2456</v>
      </c>
      <c r="I112" s="5">
        <v>0</v>
      </c>
      <c r="J112" s="5">
        <v>0</v>
      </c>
      <c r="K112" s="153"/>
      <c r="L112" s="5">
        <v>1</v>
      </c>
      <c r="M112" s="5">
        <v>63190</v>
      </c>
      <c r="N112" s="5"/>
      <c r="O112" s="5">
        <v>0</v>
      </c>
      <c r="P112" s="5">
        <v>0</v>
      </c>
      <c r="Q112" s="784"/>
      <c r="R112" s="5">
        <v>0</v>
      </c>
      <c r="S112" s="5">
        <v>0</v>
      </c>
      <c r="T112" s="789"/>
      <c r="U112" s="5">
        <v>0</v>
      </c>
      <c r="V112" s="8">
        <v>0</v>
      </c>
      <c r="W112" s="5">
        <v>0</v>
      </c>
      <c r="X112" s="5">
        <v>0</v>
      </c>
      <c r="Y112" s="5">
        <v>0</v>
      </c>
      <c r="Z112" s="5"/>
      <c r="AA112" s="5">
        <v>0</v>
      </c>
      <c r="AB112" s="5">
        <v>0</v>
      </c>
      <c r="AC112" s="5">
        <v>0</v>
      </c>
      <c r="AD112" s="5">
        <v>0</v>
      </c>
      <c r="AE112" s="5">
        <v>651.65815363095089</v>
      </c>
      <c r="AF112" s="5">
        <v>246</v>
      </c>
      <c r="AG112" s="5"/>
      <c r="AH112" s="5">
        <v>806.16184721626485</v>
      </c>
      <c r="AI112" s="5">
        <v>2681</v>
      </c>
      <c r="AJ112" s="454"/>
      <c r="AK112" s="5">
        <v>263.59909744848341</v>
      </c>
      <c r="AL112" s="5">
        <v>0</v>
      </c>
      <c r="AM112" s="5"/>
      <c r="AN112" s="5">
        <v>736.37929466356297</v>
      </c>
      <c r="AO112" s="5">
        <v>0</v>
      </c>
      <c r="AP112" s="5"/>
      <c r="AQ112" s="5">
        <v>417.96272557758289</v>
      </c>
      <c r="AR112" s="5">
        <v>0</v>
      </c>
      <c r="AS112" s="5"/>
      <c r="AT112" s="5">
        <v>646.30083201320281</v>
      </c>
      <c r="AU112" s="5">
        <v>0</v>
      </c>
      <c r="AV112" s="5"/>
      <c r="AW112" s="5">
        <v>45.907244584187751</v>
      </c>
      <c r="AX112" s="5">
        <v>0</v>
      </c>
      <c r="AY112" s="5"/>
      <c r="AZ112" s="5">
        <v>1784</v>
      </c>
      <c r="BA112" s="5">
        <v>2681</v>
      </c>
      <c r="BB112" s="5">
        <v>897</v>
      </c>
      <c r="BD112" s="2">
        <v>1</v>
      </c>
      <c r="BF112" s="787">
        <v>21.24</v>
      </c>
      <c r="BG112" s="325">
        <v>150000627</v>
      </c>
    </row>
    <row r="113" spans="1:59" ht="24.9" customHeight="1" x14ac:dyDescent="0.3">
      <c r="A113" s="325">
        <v>150000628</v>
      </c>
      <c r="B113" s="445" t="s">
        <v>357</v>
      </c>
      <c r="C113" s="27">
        <v>9</v>
      </c>
      <c r="D113" s="101" t="s">
        <v>455</v>
      </c>
      <c r="E113" s="786">
        <v>4652.96</v>
      </c>
      <c r="F113" s="5">
        <v>2830</v>
      </c>
      <c r="G113" s="5">
        <v>6960</v>
      </c>
      <c r="H113" s="5">
        <v>-2126</v>
      </c>
      <c r="I113" s="5">
        <v>0</v>
      </c>
      <c r="J113" s="5">
        <v>0</v>
      </c>
      <c r="K113" s="153"/>
      <c r="L113" s="5">
        <v>0</v>
      </c>
      <c r="M113" s="5">
        <v>0</v>
      </c>
      <c r="N113" s="5"/>
      <c r="O113" s="5">
        <v>0</v>
      </c>
      <c r="P113" s="5">
        <v>0</v>
      </c>
      <c r="Q113" s="784"/>
      <c r="R113" s="5">
        <v>1</v>
      </c>
      <c r="S113" s="5">
        <v>704</v>
      </c>
      <c r="T113" s="789"/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/>
      <c r="AA113" s="5">
        <v>0</v>
      </c>
      <c r="AB113" s="5">
        <v>0</v>
      </c>
      <c r="AC113" s="5">
        <v>6256</v>
      </c>
      <c r="AD113" s="5">
        <v>0</v>
      </c>
      <c r="AE113" s="5">
        <v>964.46480871711356</v>
      </c>
      <c r="AF113" s="5">
        <v>0</v>
      </c>
      <c r="AG113" s="5"/>
      <c r="AH113" s="5">
        <v>1003.5283203177921</v>
      </c>
      <c r="AI113" s="5">
        <v>0</v>
      </c>
      <c r="AJ113" s="454"/>
      <c r="AK113" s="5">
        <v>301.87508314084829</v>
      </c>
      <c r="AL113" s="5">
        <v>0</v>
      </c>
      <c r="AM113" s="5"/>
      <c r="AN113" s="5">
        <v>904.32282536663297</v>
      </c>
      <c r="AO113" s="5">
        <v>0</v>
      </c>
      <c r="AP113" s="5"/>
      <c r="AQ113" s="5">
        <v>417.96272557758289</v>
      </c>
      <c r="AR113" s="5">
        <v>0</v>
      </c>
      <c r="AS113" s="5"/>
      <c r="AT113" s="5">
        <v>457.95558853015137</v>
      </c>
      <c r="AU113" s="5">
        <v>0</v>
      </c>
      <c r="AV113" s="5"/>
      <c r="AW113" s="5">
        <v>46.139046650950888</v>
      </c>
      <c r="AX113" s="5">
        <v>0</v>
      </c>
      <c r="AY113" s="5"/>
      <c r="AZ113" s="5">
        <v>2048</v>
      </c>
      <c r="BA113" s="5">
        <v>0</v>
      </c>
      <c r="BB113" s="5">
        <v>-2048</v>
      </c>
      <c r="BD113" s="2">
        <v>1</v>
      </c>
      <c r="BF113" s="787">
        <v>26.16</v>
      </c>
      <c r="BG113" s="325">
        <v>150000628</v>
      </c>
    </row>
    <row r="114" spans="1:59" ht="24.9" customHeight="1" x14ac:dyDescent="0.3">
      <c r="A114" s="325">
        <v>150000625</v>
      </c>
      <c r="B114" s="445" t="s">
        <v>416</v>
      </c>
      <c r="C114" s="27">
        <v>10</v>
      </c>
      <c r="D114" s="101" t="s">
        <v>455</v>
      </c>
      <c r="E114" s="786">
        <v>4850.6499999999996</v>
      </c>
      <c r="F114" s="5">
        <v>2896</v>
      </c>
      <c r="G114" s="5">
        <v>0</v>
      </c>
      <c r="H114" s="5">
        <v>-2896</v>
      </c>
      <c r="I114" s="5">
        <v>0</v>
      </c>
      <c r="J114" s="5">
        <v>0</v>
      </c>
      <c r="K114" s="153"/>
      <c r="L114" s="5">
        <v>0</v>
      </c>
      <c r="M114" s="5">
        <v>0</v>
      </c>
      <c r="N114" s="5"/>
      <c r="O114" s="5">
        <v>0</v>
      </c>
      <c r="P114" s="5">
        <v>0</v>
      </c>
      <c r="Q114" s="784"/>
      <c r="R114" s="5">
        <v>0</v>
      </c>
      <c r="S114" s="5">
        <v>0</v>
      </c>
      <c r="T114" s="628"/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/>
      <c r="AA114" s="5">
        <v>0</v>
      </c>
      <c r="AB114" s="5">
        <v>0</v>
      </c>
      <c r="AC114" s="5">
        <v>0</v>
      </c>
      <c r="AD114" s="5">
        <v>0</v>
      </c>
      <c r="AE114" s="5">
        <v>1062.2310020979221</v>
      </c>
      <c r="AF114" s="5">
        <v>0</v>
      </c>
      <c r="AG114" s="5"/>
      <c r="AH114" s="5">
        <v>1090.2688893701061</v>
      </c>
      <c r="AI114" s="5">
        <v>0</v>
      </c>
      <c r="AJ114" s="460"/>
      <c r="AK114" s="5">
        <v>322.01562686142171</v>
      </c>
      <c r="AL114" s="5">
        <v>0</v>
      </c>
      <c r="AM114" s="5"/>
      <c r="AN114" s="5">
        <v>963.76699962459702</v>
      </c>
      <c r="AO114" s="5">
        <v>9502</v>
      </c>
      <c r="AP114" s="5"/>
      <c r="AQ114" s="5">
        <v>446.2183605350553</v>
      </c>
      <c r="AR114" s="5">
        <v>0</v>
      </c>
      <c r="AS114" s="5"/>
      <c r="AT114" s="5">
        <v>495.94714340133731</v>
      </c>
      <c r="AU114" s="5">
        <v>0</v>
      </c>
      <c r="AV114" s="8"/>
      <c r="AW114" s="5">
        <v>37.924261394576931</v>
      </c>
      <c r="AX114" s="5">
        <v>0</v>
      </c>
      <c r="AY114" s="5"/>
      <c r="AZ114" s="5">
        <v>2209</v>
      </c>
      <c r="BA114" s="5">
        <v>5825</v>
      </c>
      <c r="BB114" s="5">
        <v>3616</v>
      </c>
      <c r="BD114" s="2">
        <v>1</v>
      </c>
      <c r="BF114" s="787">
        <v>27.28</v>
      </c>
      <c r="BG114" s="325">
        <v>150000625</v>
      </c>
    </row>
    <row r="115" spans="1:59" ht="24.9" customHeight="1" x14ac:dyDescent="0.3">
      <c r="A115" s="325">
        <v>150000629</v>
      </c>
      <c r="B115" s="445" t="s">
        <v>358</v>
      </c>
      <c r="C115" s="27">
        <v>9</v>
      </c>
      <c r="D115" s="101" t="s">
        <v>455</v>
      </c>
      <c r="E115" s="786">
        <v>9553.74</v>
      </c>
      <c r="F115" s="5">
        <v>5726</v>
      </c>
      <c r="G115" s="5">
        <v>0</v>
      </c>
      <c r="H115" s="5">
        <v>-5726</v>
      </c>
      <c r="I115" s="5">
        <v>0</v>
      </c>
      <c r="J115" s="5">
        <v>0</v>
      </c>
      <c r="K115" s="593"/>
      <c r="L115" s="5">
        <v>0</v>
      </c>
      <c r="M115" s="5">
        <v>0</v>
      </c>
      <c r="N115" s="788"/>
      <c r="O115" s="5">
        <v>0</v>
      </c>
      <c r="P115" s="5">
        <v>0</v>
      </c>
      <c r="Q115" s="784"/>
      <c r="R115" s="5">
        <v>0</v>
      </c>
      <c r="S115" s="5">
        <v>0</v>
      </c>
      <c r="T115" s="630"/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/>
      <c r="AA115" s="5">
        <v>0</v>
      </c>
      <c r="AB115" s="5">
        <v>0</v>
      </c>
      <c r="AC115" s="5">
        <v>0</v>
      </c>
      <c r="AD115" s="5">
        <v>0</v>
      </c>
      <c r="AE115" s="5">
        <v>1538.1269987050498</v>
      </c>
      <c r="AF115" s="5">
        <v>0</v>
      </c>
      <c r="AG115" s="5"/>
      <c r="AH115" s="5">
        <v>1744.4461571926788</v>
      </c>
      <c r="AI115" s="5">
        <v>0</v>
      </c>
      <c r="AJ115" s="5"/>
      <c r="AK115" s="5">
        <v>799.80419566610999</v>
      </c>
      <c r="AL115" s="5">
        <v>0</v>
      </c>
      <c r="AM115" s="5"/>
      <c r="AN115" s="5">
        <v>2064.4705093644998</v>
      </c>
      <c r="AO115" s="5">
        <v>0</v>
      </c>
      <c r="AP115" s="5"/>
      <c r="AQ115" s="5">
        <v>2469.7970621192221</v>
      </c>
      <c r="AR115" s="5">
        <v>0</v>
      </c>
      <c r="AS115" s="5"/>
      <c r="AT115" s="5">
        <v>1495.8328465070913</v>
      </c>
      <c r="AU115" s="5">
        <v>0</v>
      </c>
      <c r="AV115" s="8"/>
      <c r="AW115" s="5">
        <v>131.51211517228768</v>
      </c>
      <c r="AX115" s="5">
        <v>0</v>
      </c>
      <c r="AY115" s="5"/>
      <c r="AZ115" s="5">
        <v>5122</v>
      </c>
      <c r="BA115" s="5">
        <v>0</v>
      </c>
      <c r="BB115" s="5">
        <v>-5122</v>
      </c>
      <c r="BD115" s="2">
        <v>1</v>
      </c>
      <c r="BF115" s="787">
        <v>53.7</v>
      </c>
      <c r="BG115" s="325">
        <v>150000629</v>
      </c>
    </row>
    <row r="116" spans="1:59" ht="24.9" customHeight="1" x14ac:dyDescent="0.3">
      <c r="A116" s="325">
        <v>150000626</v>
      </c>
      <c r="B116" s="445" t="s">
        <v>359</v>
      </c>
      <c r="C116" s="27">
        <v>9</v>
      </c>
      <c r="D116" s="101" t="s">
        <v>455</v>
      </c>
      <c r="E116" s="786">
        <v>7508.77</v>
      </c>
      <c r="F116" s="5">
        <v>4405</v>
      </c>
      <c r="G116" s="5">
        <v>14194</v>
      </c>
      <c r="H116" s="5">
        <v>7101</v>
      </c>
      <c r="I116" s="5">
        <v>0</v>
      </c>
      <c r="J116" s="5">
        <v>0</v>
      </c>
      <c r="K116" s="153"/>
      <c r="L116" s="5">
        <v>0</v>
      </c>
      <c r="M116" s="5">
        <v>0</v>
      </c>
      <c r="N116" s="5"/>
      <c r="O116" s="5">
        <v>0</v>
      </c>
      <c r="P116" s="5">
        <v>0</v>
      </c>
      <c r="Q116" s="784"/>
      <c r="R116" s="5">
        <v>0</v>
      </c>
      <c r="S116" s="5">
        <v>10879</v>
      </c>
      <c r="T116" s="630"/>
      <c r="U116" s="5">
        <v>0</v>
      </c>
      <c r="V116" s="5">
        <v>0</v>
      </c>
      <c r="W116" s="5">
        <v>0</v>
      </c>
      <c r="X116" s="5">
        <v>0</v>
      </c>
      <c r="Y116" s="5">
        <v>2688</v>
      </c>
      <c r="Z116" s="5"/>
      <c r="AA116" s="5">
        <v>0</v>
      </c>
      <c r="AB116" s="5">
        <v>0</v>
      </c>
      <c r="AC116" s="5">
        <v>0</v>
      </c>
      <c r="AD116" s="5">
        <v>627</v>
      </c>
      <c r="AE116" s="5">
        <v>1283.7484701289727</v>
      </c>
      <c r="AF116" s="5">
        <v>2728</v>
      </c>
      <c r="AG116" s="5"/>
      <c r="AH116" s="5">
        <v>1651.6431110681765</v>
      </c>
      <c r="AI116" s="5">
        <v>10176</v>
      </c>
      <c r="AJ116" s="5"/>
      <c r="AK116" s="5">
        <v>568.30782833151807</v>
      </c>
      <c r="AL116" s="5">
        <v>0</v>
      </c>
      <c r="AM116" s="5"/>
      <c r="AN116" s="5">
        <v>1484.2012893671081</v>
      </c>
      <c r="AO116" s="5">
        <v>1890</v>
      </c>
      <c r="AP116" s="5"/>
      <c r="AQ116" s="5">
        <v>1234.3985462187165</v>
      </c>
      <c r="AR116" s="5">
        <v>0</v>
      </c>
      <c r="AS116" s="5"/>
      <c r="AT116" s="5">
        <v>1651.7257648334744</v>
      </c>
      <c r="AU116" s="5">
        <v>0</v>
      </c>
      <c r="AV116" s="5"/>
      <c r="AW116" s="5">
        <v>89.634319966347363</v>
      </c>
      <c r="AX116" s="5">
        <v>0</v>
      </c>
      <c r="AY116" s="5"/>
      <c r="AZ116" s="5">
        <v>3982</v>
      </c>
      <c r="BA116" s="5">
        <v>3142</v>
      </c>
      <c r="BB116" s="5">
        <v>-840</v>
      </c>
      <c r="BD116" s="2">
        <v>1</v>
      </c>
      <c r="BF116" s="787">
        <v>126.28</v>
      </c>
      <c r="BG116" s="325">
        <v>150000626</v>
      </c>
    </row>
    <row r="117" spans="1:59" ht="24.9" customHeight="1" x14ac:dyDescent="0.3">
      <c r="A117" s="325">
        <v>150000603</v>
      </c>
      <c r="B117" s="445" t="s">
        <v>154</v>
      </c>
      <c r="C117" s="27">
        <v>2</v>
      </c>
      <c r="D117" s="101" t="s">
        <v>455</v>
      </c>
      <c r="E117" s="786">
        <v>506.9</v>
      </c>
      <c r="F117" s="5">
        <v>379</v>
      </c>
      <c r="G117" s="5">
        <v>0</v>
      </c>
      <c r="H117" s="5">
        <v>-379</v>
      </c>
      <c r="I117" s="5">
        <v>0</v>
      </c>
      <c r="J117" s="5">
        <v>0</v>
      </c>
      <c r="K117" s="153"/>
      <c r="L117" s="5">
        <v>0</v>
      </c>
      <c r="M117" s="5">
        <v>0</v>
      </c>
      <c r="N117" s="5"/>
      <c r="O117" s="5">
        <v>0</v>
      </c>
      <c r="P117" s="5">
        <v>0</v>
      </c>
      <c r="Q117" s="784"/>
      <c r="R117" s="5">
        <v>0</v>
      </c>
      <c r="S117" s="5">
        <v>0</v>
      </c>
      <c r="T117" s="628"/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/>
      <c r="AA117" s="5">
        <v>0</v>
      </c>
      <c r="AB117" s="5">
        <v>0</v>
      </c>
      <c r="AC117" s="5">
        <v>0</v>
      </c>
      <c r="AD117" s="5">
        <v>0</v>
      </c>
      <c r="AE117" s="5">
        <v>148.19836341043143</v>
      </c>
      <c r="AF117" s="5">
        <v>0</v>
      </c>
      <c r="AG117" s="5"/>
      <c r="AH117" s="5">
        <v>150.20161912955189</v>
      </c>
      <c r="AI117" s="5">
        <v>0</v>
      </c>
      <c r="AJ117" s="5"/>
      <c r="AK117" s="5">
        <v>26.030091069241671</v>
      </c>
      <c r="AL117" s="5">
        <v>0</v>
      </c>
      <c r="AM117" s="5"/>
      <c r="AN117" s="5">
        <v>0</v>
      </c>
      <c r="AO117" s="5">
        <v>0</v>
      </c>
      <c r="AP117" s="5"/>
      <c r="AQ117" s="5">
        <v>0</v>
      </c>
      <c r="AR117" s="5">
        <v>0</v>
      </c>
      <c r="AS117" s="5"/>
      <c r="AT117" s="5">
        <v>25.510521697148292</v>
      </c>
      <c r="AU117" s="5">
        <v>0</v>
      </c>
      <c r="AV117" s="5"/>
      <c r="AW117" s="5">
        <v>10.069000000000001</v>
      </c>
      <c r="AX117" s="5">
        <v>0</v>
      </c>
      <c r="AY117" s="5"/>
      <c r="AZ117" s="5">
        <v>180</v>
      </c>
      <c r="BA117" s="5">
        <v>0</v>
      </c>
      <c r="BB117" s="5">
        <v>-180</v>
      </c>
      <c r="BD117" s="2">
        <v>2</v>
      </c>
      <c r="BF117" s="787">
        <v>0.49</v>
      </c>
      <c r="BG117" s="325">
        <v>150000603</v>
      </c>
    </row>
    <row r="118" spans="1:59" ht="24.9" customHeight="1" x14ac:dyDescent="0.3">
      <c r="A118" s="325">
        <v>150001562</v>
      </c>
      <c r="B118" s="445" t="s">
        <v>209</v>
      </c>
      <c r="C118" s="27">
        <v>4</v>
      </c>
      <c r="D118" s="101" t="s">
        <v>455</v>
      </c>
      <c r="E118" s="786">
        <v>2431.3000000000002</v>
      </c>
      <c r="F118" s="5">
        <v>2398</v>
      </c>
      <c r="G118" s="5">
        <v>0</v>
      </c>
      <c r="H118" s="5">
        <v>-2398</v>
      </c>
      <c r="I118" s="5">
        <v>0</v>
      </c>
      <c r="J118" s="5">
        <v>0</v>
      </c>
      <c r="K118" s="153"/>
      <c r="L118" s="5">
        <v>0</v>
      </c>
      <c r="M118" s="5">
        <v>0</v>
      </c>
      <c r="N118" s="5"/>
      <c r="O118" s="5">
        <v>0</v>
      </c>
      <c r="P118" s="5">
        <v>0</v>
      </c>
      <c r="Q118" s="784"/>
      <c r="R118" s="5">
        <v>0</v>
      </c>
      <c r="S118" s="5">
        <v>0</v>
      </c>
      <c r="T118" s="628"/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/>
      <c r="AA118" s="5">
        <v>0</v>
      </c>
      <c r="AB118" s="5">
        <v>0</v>
      </c>
      <c r="AC118" s="5">
        <v>0</v>
      </c>
      <c r="AD118" s="5">
        <v>0</v>
      </c>
      <c r="AE118" s="5">
        <v>660.16416972043044</v>
      </c>
      <c r="AF118" s="5">
        <v>0</v>
      </c>
      <c r="AG118" s="5"/>
      <c r="AH118" s="5">
        <v>404.40708535191862</v>
      </c>
      <c r="AI118" s="5">
        <v>0</v>
      </c>
      <c r="AJ118" s="5"/>
      <c r="AK118" s="5">
        <v>0</v>
      </c>
      <c r="AL118" s="5">
        <v>0</v>
      </c>
      <c r="AM118" s="5"/>
      <c r="AN118" s="5">
        <v>0</v>
      </c>
      <c r="AO118" s="5">
        <v>0</v>
      </c>
      <c r="AP118" s="5"/>
      <c r="AQ118" s="5">
        <v>0</v>
      </c>
      <c r="AR118" s="5">
        <v>0</v>
      </c>
      <c r="AS118" s="5"/>
      <c r="AT118" s="5">
        <v>159.59426827974889</v>
      </c>
      <c r="AU118" s="5">
        <v>0</v>
      </c>
      <c r="AV118" s="5"/>
      <c r="AW118" s="5">
        <v>48.35</v>
      </c>
      <c r="AX118" s="5">
        <v>0</v>
      </c>
      <c r="AY118" s="5"/>
      <c r="AZ118" s="5">
        <v>637</v>
      </c>
      <c r="BA118" s="5">
        <v>0</v>
      </c>
      <c r="BB118" s="5">
        <v>-637</v>
      </c>
      <c r="BD118" s="2">
        <v>2</v>
      </c>
      <c r="BF118" s="787">
        <v>2.37</v>
      </c>
      <c r="BG118" s="325">
        <v>150001562</v>
      </c>
    </row>
    <row r="119" spans="1:59" ht="24.9" customHeight="1" x14ac:dyDescent="0.3">
      <c r="A119" s="325">
        <v>150000604</v>
      </c>
      <c r="B119" s="445" t="s">
        <v>155</v>
      </c>
      <c r="C119" s="27">
        <v>2</v>
      </c>
      <c r="D119" s="101" t="s">
        <v>455</v>
      </c>
      <c r="E119" s="786">
        <v>452.07</v>
      </c>
      <c r="F119" s="5">
        <v>339</v>
      </c>
      <c r="G119" s="5">
        <v>0</v>
      </c>
      <c r="H119" s="5">
        <v>-339</v>
      </c>
      <c r="I119" s="5">
        <v>0</v>
      </c>
      <c r="J119" s="5">
        <v>0</v>
      </c>
      <c r="K119" s="153"/>
      <c r="L119" s="5">
        <v>0</v>
      </c>
      <c r="M119" s="5">
        <v>0</v>
      </c>
      <c r="N119" s="5"/>
      <c r="O119" s="5">
        <v>0</v>
      </c>
      <c r="P119" s="5">
        <v>0</v>
      </c>
      <c r="Q119" s="784"/>
      <c r="R119" s="5">
        <v>0</v>
      </c>
      <c r="S119" s="5">
        <v>0</v>
      </c>
      <c r="T119" s="628"/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/>
      <c r="AA119" s="5">
        <v>0</v>
      </c>
      <c r="AB119" s="5">
        <v>0</v>
      </c>
      <c r="AC119" s="5">
        <v>0</v>
      </c>
      <c r="AD119" s="5">
        <v>0</v>
      </c>
      <c r="AE119" s="5">
        <v>138.03949141536435</v>
      </c>
      <c r="AF119" s="5">
        <v>0</v>
      </c>
      <c r="AG119" s="5"/>
      <c r="AH119" s="5">
        <v>148.22864480755845</v>
      </c>
      <c r="AI119" s="5">
        <v>0</v>
      </c>
      <c r="AJ119" s="5"/>
      <c r="AK119" s="5">
        <v>21.578860296835</v>
      </c>
      <c r="AL119" s="5">
        <v>0</v>
      </c>
      <c r="AM119" s="5"/>
      <c r="AN119" s="5">
        <v>0</v>
      </c>
      <c r="AO119" s="5">
        <v>0</v>
      </c>
      <c r="AP119" s="5"/>
      <c r="AQ119" s="5">
        <v>0</v>
      </c>
      <c r="AR119" s="5">
        <v>0</v>
      </c>
      <c r="AS119" s="5"/>
      <c r="AT119" s="5">
        <v>24.405009219721329</v>
      </c>
      <c r="AU119" s="5">
        <v>0</v>
      </c>
      <c r="AV119" s="5"/>
      <c r="AW119" s="5">
        <v>9.5210000000000008</v>
      </c>
      <c r="AX119" s="5">
        <v>0</v>
      </c>
      <c r="AY119" s="5"/>
      <c r="AZ119" s="5">
        <v>171</v>
      </c>
      <c r="BA119" s="5">
        <v>0</v>
      </c>
      <c r="BB119" s="5">
        <v>-171</v>
      </c>
      <c r="BD119" s="2">
        <v>2</v>
      </c>
      <c r="BF119" s="787">
        <v>0.44</v>
      </c>
      <c r="BG119" s="325">
        <v>150000604</v>
      </c>
    </row>
    <row r="120" spans="1:59" ht="24.9" customHeight="1" x14ac:dyDescent="0.3">
      <c r="A120" s="325">
        <v>150000605</v>
      </c>
      <c r="B120" s="445" t="s">
        <v>156</v>
      </c>
      <c r="C120" s="27">
        <v>2</v>
      </c>
      <c r="D120" s="101" t="s">
        <v>455</v>
      </c>
      <c r="E120" s="786">
        <v>379</v>
      </c>
      <c r="F120" s="5">
        <v>276</v>
      </c>
      <c r="G120" s="5">
        <v>0</v>
      </c>
      <c r="H120" s="5">
        <v>-276</v>
      </c>
      <c r="I120" s="5">
        <v>0</v>
      </c>
      <c r="J120" s="5">
        <v>0</v>
      </c>
      <c r="K120" s="153"/>
      <c r="L120" s="5">
        <v>0</v>
      </c>
      <c r="M120" s="5">
        <v>0</v>
      </c>
      <c r="N120" s="788"/>
      <c r="O120" s="5">
        <v>0</v>
      </c>
      <c r="P120" s="5">
        <v>0</v>
      </c>
      <c r="Q120" s="784"/>
      <c r="R120" s="5">
        <v>0</v>
      </c>
      <c r="S120" s="5">
        <v>0</v>
      </c>
      <c r="T120" s="628"/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/>
      <c r="AA120" s="5">
        <v>0</v>
      </c>
      <c r="AB120" s="5">
        <v>0</v>
      </c>
      <c r="AC120" s="5">
        <v>0</v>
      </c>
      <c r="AD120" s="5">
        <v>0</v>
      </c>
      <c r="AE120" s="5">
        <v>140.21140581536287</v>
      </c>
      <c r="AF120" s="5">
        <v>0</v>
      </c>
      <c r="AG120" s="5"/>
      <c r="AH120" s="5">
        <v>175.86264897770619</v>
      </c>
      <c r="AI120" s="5">
        <v>0</v>
      </c>
      <c r="AJ120" s="5"/>
      <c r="AK120" s="5">
        <v>13.98833712506333</v>
      </c>
      <c r="AL120" s="5">
        <v>0</v>
      </c>
      <c r="AM120" s="5"/>
      <c r="AN120" s="5">
        <v>0</v>
      </c>
      <c r="AO120" s="5">
        <v>0</v>
      </c>
      <c r="AP120" s="5"/>
      <c r="AQ120" s="5">
        <v>0</v>
      </c>
      <c r="AR120" s="5">
        <v>0</v>
      </c>
      <c r="AS120" s="5"/>
      <c r="AT120" s="5">
        <v>7.5212628660311616</v>
      </c>
      <c r="AU120" s="5">
        <v>0</v>
      </c>
      <c r="AV120" s="5"/>
      <c r="AW120" s="5">
        <v>7.79</v>
      </c>
      <c r="AX120" s="5">
        <v>0</v>
      </c>
      <c r="AY120" s="5"/>
      <c r="AZ120" s="5">
        <v>172</v>
      </c>
      <c r="BA120" s="5">
        <v>0</v>
      </c>
      <c r="BB120" s="5">
        <v>-172</v>
      </c>
      <c r="BD120" s="2">
        <v>2</v>
      </c>
      <c r="BF120" s="787">
        <v>0.37</v>
      </c>
      <c r="BG120" s="325">
        <v>150000605</v>
      </c>
    </row>
    <row r="121" spans="1:59" ht="24.9" customHeight="1" x14ac:dyDescent="0.3">
      <c r="A121" s="325">
        <v>150000606</v>
      </c>
      <c r="B121" s="445" t="s">
        <v>157</v>
      </c>
      <c r="C121" s="27">
        <v>2</v>
      </c>
      <c r="D121" s="101" t="s">
        <v>455</v>
      </c>
      <c r="E121" s="786">
        <v>765.8</v>
      </c>
      <c r="F121" s="5">
        <v>531</v>
      </c>
      <c r="G121" s="5">
        <v>0</v>
      </c>
      <c r="H121" s="5">
        <v>-531</v>
      </c>
      <c r="I121" s="5">
        <v>0</v>
      </c>
      <c r="J121" s="5">
        <v>0</v>
      </c>
      <c r="K121" s="153"/>
      <c r="L121" s="5">
        <v>0</v>
      </c>
      <c r="M121" s="5">
        <v>0</v>
      </c>
      <c r="N121" s="5"/>
      <c r="O121" s="5">
        <v>0</v>
      </c>
      <c r="P121" s="5">
        <v>0</v>
      </c>
      <c r="Q121" s="784"/>
      <c r="R121" s="5">
        <v>0</v>
      </c>
      <c r="S121" s="5">
        <v>0</v>
      </c>
      <c r="T121" s="628"/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/>
      <c r="AA121" s="5">
        <v>0</v>
      </c>
      <c r="AB121" s="5">
        <v>0</v>
      </c>
      <c r="AC121" s="5">
        <v>0</v>
      </c>
      <c r="AD121" s="5">
        <v>0</v>
      </c>
      <c r="AE121" s="5">
        <v>302.44031582591742</v>
      </c>
      <c r="AF121" s="5">
        <v>0</v>
      </c>
      <c r="AG121" s="5"/>
      <c r="AH121" s="5">
        <v>316.13582893801595</v>
      </c>
      <c r="AI121" s="5">
        <v>0</v>
      </c>
      <c r="AJ121" s="5"/>
      <c r="AK121" s="5">
        <v>36.200363491055001</v>
      </c>
      <c r="AL121" s="5">
        <v>0</v>
      </c>
      <c r="AM121" s="5"/>
      <c r="AN121" s="5">
        <v>0</v>
      </c>
      <c r="AO121" s="5">
        <v>0</v>
      </c>
      <c r="AP121" s="5"/>
      <c r="AQ121" s="5">
        <v>0</v>
      </c>
      <c r="AR121" s="5">
        <v>0</v>
      </c>
      <c r="AS121" s="5"/>
      <c r="AT121" s="5">
        <v>21.563759074280178</v>
      </c>
      <c r="AU121" s="5">
        <v>0</v>
      </c>
      <c r="AV121" s="5"/>
      <c r="AW121" s="5">
        <v>15.657999999999999</v>
      </c>
      <c r="AX121" s="5">
        <v>0</v>
      </c>
      <c r="AY121" s="5"/>
      <c r="AZ121" s="5">
        <v>346</v>
      </c>
      <c r="BA121" s="5">
        <v>0</v>
      </c>
      <c r="BB121" s="5">
        <v>-346</v>
      </c>
      <c r="BD121" s="2">
        <v>2</v>
      </c>
      <c r="BF121" s="787">
        <v>0.75</v>
      </c>
      <c r="BG121" s="325">
        <v>150000606</v>
      </c>
    </row>
    <row r="122" spans="1:59" ht="24.9" customHeight="1" x14ac:dyDescent="0.3">
      <c r="A122" s="325">
        <v>150000607</v>
      </c>
      <c r="B122" s="445" t="s">
        <v>158</v>
      </c>
      <c r="C122" s="27">
        <v>2</v>
      </c>
      <c r="D122" s="101" t="s">
        <v>455</v>
      </c>
      <c r="E122" s="786">
        <v>994.8</v>
      </c>
      <c r="F122" s="5">
        <v>827</v>
      </c>
      <c r="G122" s="5">
        <v>0</v>
      </c>
      <c r="H122" s="5">
        <v>-827</v>
      </c>
      <c r="I122" s="5">
        <v>0</v>
      </c>
      <c r="J122" s="5">
        <v>0</v>
      </c>
      <c r="K122" s="153"/>
      <c r="L122" s="5">
        <v>0</v>
      </c>
      <c r="M122" s="5">
        <v>0</v>
      </c>
      <c r="N122" s="5"/>
      <c r="O122" s="5">
        <v>0</v>
      </c>
      <c r="P122" s="5">
        <v>0</v>
      </c>
      <c r="Q122" s="784"/>
      <c r="R122" s="5">
        <v>0</v>
      </c>
      <c r="S122" s="5">
        <v>0</v>
      </c>
      <c r="T122" s="628"/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/>
      <c r="AA122" s="5">
        <v>0</v>
      </c>
      <c r="AB122" s="5">
        <v>0</v>
      </c>
      <c r="AC122" s="5">
        <v>0</v>
      </c>
      <c r="AD122" s="5">
        <v>0</v>
      </c>
      <c r="AE122" s="5">
        <v>320.00507169198568</v>
      </c>
      <c r="AF122" s="5">
        <v>0</v>
      </c>
      <c r="AG122" s="5"/>
      <c r="AH122" s="5">
        <v>379.76724469018927</v>
      </c>
      <c r="AI122" s="5">
        <v>0</v>
      </c>
      <c r="AJ122" s="5"/>
      <c r="AK122" s="5">
        <v>59.945441985956698</v>
      </c>
      <c r="AL122" s="5">
        <v>0</v>
      </c>
      <c r="AM122" s="5"/>
      <c r="AN122" s="5">
        <v>0</v>
      </c>
      <c r="AO122" s="5">
        <v>0</v>
      </c>
      <c r="AP122" s="5"/>
      <c r="AQ122" s="5">
        <v>0</v>
      </c>
      <c r="AR122" s="5">
        <v>0</v>
      </c>
      <c r="AS122" s="5"/>
      <c r="AT122" s="5">
        <v>21.563759074280178</v>
      </c>
      <c r="AU122" s="5">
        <v>0</v>
      </c>
      <c r="AV122" s="5"/>
      <c r="AW122" s="5">
        <v>19.948</v>
      </c>
      <c r="AX122" s="5">
        <v>0</v>
      </c>
      <c r="AY122" s="5"/>
      <c r="AZ122" s="5">
        <v>400</v>
      </c>
      <c r="BA122" s="5">
        <v>0</v>
      </c>
      <c r="BB122" s="5">
        <v>-400</v>
      </c>
      <c r="BD122" s="2">
        <v>2</v>
      </c>
      <c r="BF122" s="787">
        <v>5.57</v>
      </c>
      <c r="BG122" s="325">
        <v>150000607</v>
      </c>
    </row>
    <row r="123" spans="1:59" ht="24.9" customHeight="1" x14ac:dyDescent="0.3">
      <c r="A123" s="325">
        <v>150000608</v>
      </c>
      <c r="B123" s="445" t="s">
        <v>159</v>
      </c>
      <c r="C123" s="27">
        <v>2</v>
      </c>
      <c r="D123" s="101" t="s">
        <v>455</v>
      </c>
      <c r="E123" s="786">
        <v>598.30999999999995</v>
      </c>
      <c r="F123" s="5">
        <v>544</v>
      </c>
      <c r="G123" s="5">
        <v>668</v>
      </c>
      <c r="H123" s="5">
        <v>124</v>
      </c>
      <c r="I123" s="5">
        <v>0</v>
      </c>
      <c r="J123" s="5">
        <v>0</v>
      </c>
      <c r="K123" s="153"/>
      <c r="L123" s="5">
        <v>0</v>
      </c>
      <c r="M123" s="5">
        <v>0</v>
      </c>
      <c r="N123" s="5"/>
      <c r="O123" s="5">
        <v>0</v>
      </c>
      <c r="P123" s="5">
        <v>0</v>
      </c>
      <c r="Q123" s="784"/>
      <c r="R123" s="5">
        <v>0</v>
      </c>
      <c r="S123" s="5">
        <v>0</v>
      </c>
      <c r="T123" s="628"/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/>
      <c r="AA123" s="5">
        <v>0</v>
      </c>
      <c r="AB123" s="5">
        <v>0</v>
      </c>
      <c r="AC123" s="5">
        <v>0</v>
      </c>
      <c r="AD123" s="5">
        <v>668</v>
      </c>
      <c r="AE123" s="5">
        <v>242.29919375675718</v>
      </c>
      <c r="AF123" s="5">
        <v>0</v>
      </c>
      <c r="AG123" s="5"/>
      <c r="AH123" s="5">
        <v>317.83688197453989</v>
      </c>
      <c r="AI123" s="5">
        <v>0</v>
      </c>
      <c r="AJ123" s="5"/>
      <c r="AK123" s="5">
        <v>21.88137366368333</v>
      </c>
      <c r="AL123" s="5">
        <v>0</v>
      </c>
      <c r="AM123" s="5"/>
      <c r="AN123" s="5">
        <v>0</v>
      </c>
      <c r="AO123" s="5">
        <v>0</v>
      </c>
      <c r="AP123" s="5"/>
      <c r="AQ123" s="5">
        <v>0</v>
      </c>
      <c r="AR123" s="5">
        <v>0</v>
      </c>
      <c r="AS123" s="5"/>
      <c r="AT123" s="5">
        <v>14.04250219252391</v>
      </c>
      <c r="AU123" s="5">
        <v>0</v>
      </c>
      <c r="AV123" s="5"/>
      <c r="AW123" s="5">
        <v>11.8771</v>
      </c>
      <c r="AX123" s="5">
        <v>0</v>
      </c>
      <c r="AY123" s="5"/>
      <c r="AZ123" s="5">
        <v>304</v>
      </c>
      <c r="BA123" s="5">
        <v>0</v>
      </c>
      <c r="BB123" s="5">
        <v>-304</v>
      </c>
      <c r="BD123" s="2">
        <v>2</v>
      </c>
      <c r="BF123" s="787">
        <v>0.56999999999999995</v>
      </c>
      <c r="BG123" s="325">
        <v>150000608</v>
      </c>
    </row>
    <row r="124" spans="1:59" ht="24.9" customHeight="1" x14ac:dyDescent="0.3">
      <c r="A124" s="325">
        <v>150000609</v>
      </c>
      <c r="B124" s="445" t="s">
        <v>160</v>
      </c>
      <c r="C124" s="27">
        <v>2</v>
      </c>
      <c r="D124" s="101" t="s">
        <v>455</v>
      </c>
      <c r="E124" s="786">
        <v>466</v>
      </c>
      <c r="F124" s="5">
        <v>456</v>
      </c>
      <c r="G124" s="5">
        <v>0</v>
      </c>
      <c r="H124" s="5">
        <v>-456</v>
      </c>
      <c r="I124" s="5">
        <v>0</v>
      </c>
      <c r="J124" s="5">
        <v>0</v>
      </c>
      <c r="K124" s="153"/>
      <c r="L124" s="5">
        <v>0</v>
      </c>
      <c r="M124" s="5">
        <v>0</v>
      </c>
      <c r="N124" s="5"/>
      <c r="O124" s="5">
        <v>0</v>
      </c>
      <c r="P124" s="5">
        <v>0</v>
      </c>
      <c r="Q124" s="784"/>
      <c r="R124" s="5">
        <v>0</v>
      </c>
      <c r="S124" s="5">
        <v>0</v>
      </c>
      <c r="T124" s="628"/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/>
      <c r="AA124" s="5">
        <v>0</v>
      </c>
      <c r="AB124" s="5">
        <v>0</v>
      </c>
      <c r="AC124" s="5">
        <v>0</v>
      </c>
      <c r="AD124" s="5">
        <v>0</v>
      </c>
      <c r="AE124" s="5">
        <v>170.36440222429195</v>
      </c>
      <c r="AF124" s="5">
        <v>0</v>
      </c>
      <c r="AG124" s="5"/>
      <c r="AH124" s="5">
        <v>305.50636705046281</v>
      </c>
      <c r="AI124" s="5">
        <v>0</v>
      </c>
      <c r="AJ124" s="5"/>
      <c r="AK124" s="5">
        <v>20.329080789365001</v>
      </c>
      <c r="AL124" s="5">
        <v>0</v>
      </c>
      <c r="AM124" s="5"/>
      <c r="AN124" s="5">
        <v>0</v>
      </c>
      <c r="AO124" s="5">
        <v>0</v>
      </c>
      <c r="AP124" s="5"/>
      <c r="AQ124" s="5">
        <v>0</v>
      </c>
      <c r="AR124" s="5">
        <v>0</v>
      </c>
      <c r="AS124" s="5"/>
      <c r="AT124" s="5">
        <v>14.04250219252391</v>
      </c>
      <c r="AU124" s="5">
        <v>0</v>
      </c>
      <c r="AV124" s="5"/>
      <c r="AW124" s="5">
        <v>9.6464999999999996</v>
      </c>
      <c r="AX124" s="5">
        <v>0</v>
      </c>
      <c r="AY124" s="5"/>
      <c r="AZ124" s="5">
        <v>260</v>
      </c>
      <c r="BA124" s="5">
        <v>0</v>
      </c>
      <c r="BB124" s="5">
        <v>-260</v>
      </c>
      <c r="BD124" s="2">
        <v>2</v>
      </c>
      <c r="BF124" s="787">
        <v>0.45</v>
      </c>
      <c r="BG124" s="325">
        <v>150000609</v>
      </c>
    </row>
    <row r="125" spans="1:59" ht="24.9" customHeight="1" x14ac:dyDescent="0.3">
      <c r="A125" s="325">
        <v>150000610</v>
      </c>
      <c r="B125" s="445" t="s">
        <v>161</v>
      </c>
      <c r="C125" s="27">
        <v>2</v>
      </c>
      <c r="D125" s="101" t="s">
        <v>455</v>
      </c>
      <c r="E125" s="786">
        <v>475.2</v>
      </c>
      <c r="F125" s="5">
        <v>387</v>
      </c>
      <c r="G125" s="5">
        <v>0</v>
      </c>
      <c r="H125" s="5">
        <v>-387</v>
      </c>
      <c r="I125" s="5">
        <v>0</v>
      </c>
      <c r="J125" s="5">
        <v>0</v>
      </c>
      <c r="K125" s="593"/>
      <c r="L125" s="5">
        <v>0</v>
      </c>
      <c r="M125" s="5">
        <v>0</v>
      </c>
      <c r="N125" s="5"/>
      <c r="O125" s="5">
        <v>0</v>
      </c>
      <c r="P125" s="5">
        <v>0</v>
      </c>
      <c r="Q125" s="784"/>
      <c r="R125" s="5">
        <v>0</v>
      </c>
      <c r="S125" s="5">
        <v>0</v>
      </c>
      <c r="T125" s="628"/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/>
      <c r="AA125" s="5">
        <v>0</v>
      </c>
      <c r="AB125" s="5">
        <v>0</v>
      </c>
      <c r="AC125" s="5">
        <v>0</v>
      </c>
      <c r="AD125" s="5">
        <v>0</v>
      </c>
      <c r="AE125" s="5">
        <v>238.47364276844422</v>
      </c>
      <c r="AF125" s="5">
        <v>0</v>
      </c>
      <c r="AG125" s="5"/>
      <c r="AH125" s="5">
        <v>254.20546622236662</v>
      </c>
      <c r="AI125" s="5">
        <v>0</v>
      </c>
      <c r="AJ125" s="5"/>
      <c r="AK125" s="5">
        <v>20.387917558438332</v>
      </c>
      <c r="AL125" s="5">
        <v>0</v>
      </c>
      <c r="AM125" s="5"/>
      <c r="AN125" s="5">
        <v>0</v>
      </c>
      <c r="AO125" s="5">
        <v>0</v>
      </c>
      <c r="AP125" s="5"/>
      <c r="AQ125" s="5">
        <v>0</v>
      </c>
      <c r="AR125" s="5">
        <v>0</v>
      </c>
      <c r="AS125" s="5"/>
      <c r="AT125" s="5">
        <v>14.042517664827926</v>
      </c>
      <c r="AU125" s="5">
        <v>0</v>
      </c>
      <c r="AV125" s="153"/>
      <c r="AW125" s="5">
        <v>9.7519999999999989</v>
      </c>
      <c r="AX125" s="5">
        <v>0</v>
      </c>
      <c r="AY125" s="5"/>
      <c r="AZ125" s="5">
        <v>269</v>
      </c>
      <c r="BA125" s="5">
        <v>0</v>
      </c>
      <c r="BB125" s="5">
        <v>-269</v>
      </c>
      <c r="BD125" s="2">
        <v>2</v>
      </c>
      <c r="BF125" s="787">
        <v>0.46</v>
      </c>
      <c r="BG125" s="325">
        <v>150000610</v>
      </c>
    </row>
    <row r="126" spans="1:59" ht="24.9" customHeight="1" x14ac:dyDescent="0.3">
      <c r="A126" s="325">
        <v>150000611</v>
      </c>
      <c r="B126" s="445" t="s">
        <v>196</v>
      </c>
      <c r="C126" s="27">
        <v>3</v>
      </c>
      <c r="D126" s="101" t="s">
        <v>455</v>
      </c>
      <c r="E126" s="786">
        <v>1162.5</v>
      </c>
      <c r="F126" s="5">
        <v>614</v>
      </c>
      <c r="G126" s="5">
        <v>0</v>
      </c>
      <c r="H126" s="5">
        <v>-614</v>
      </c>
      <c r="I126" s="5">
        <v>0</v>
      </c>
      <c r="J126" s="5">
        <v>0</v>
      </c>
      <c r="K126" s="153"/>
      <c r="L126" s="5">
        <v>0</v>
      </c>
      <c r="M126" s="5">
        <v>0</v>
      </c>
      <c r="N126" s="5"/>
      <c r="O126" s="5">
        <v>0</v>
      </c>
      <c r="P126" s="5">
        <v>0</v>
      </c>
      <c r="Q126" s="784"/>
      <c r="R126" s="5">
        <v>0</v>
      </c>
      <c r="S126" s="5">
        <v>0</v>
      </c>
      <c r="T126" s="628"/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467"/>
      <c r="AA126" s="5">
        <v>0</v>
      </c>
      <c r="AB126" s="5">
        <v>0</v>
      </c>
      <c r="AC126" s="5">
        <v>0</v>
      </c>
      <c r="AD126" s="5">
        <v>0</v>
      </c>
      <c r="AE126" s="5">
        <v>296.31309330948852</v>
      </c>
      <c r="AF126" s="5">
        <v>0</v>
      </c>
      <c r="AG126" s="5"/>
      <c r="AH126" s="5">
        <v>419.86775474536137</v>
      </c>
      <c r="AI126" s="5">
        <v>0</v>
      </c>
      <c r="AJ126" s="5"/>
      <c r="AK126" s="5">
        <v>53.895763583529998</v>
      </c>
      <c r="AL126" s="5">
        <v>963</v>
      </c>
      <c r="AM126" s="5"/>
      <c r="AN126" s="5">
        <v>0</v>
      </c>
      <c r="AO126" s="5">
        <v>0</v>
      </c>
      <c r="AP126" s="5"/>
      <c r="AQ126" s="5">
        <v>0</v>
      </c>
      <c r="AR126" s="5">
        <v>0</v>
      </c>
      <c r="AS126" s="5"/>
      <c r="AT126" s="5">
        <v>69.929886847413627</v>
      </c>
      <c r="AU126" s="5">
        <v>0</v>
      </c>
      <c r="AV126" s="5"/>
      <c r="AW126" s="5">
        <v>22.08</v>
      </c>
      <c r="AX126" s="5">
        <v>0</v>
      </c>
      <c r="AY126" s="5"/>
      <c r="AZ126" s="5">
        <v>431</v>
      </c>
      <c r="BA126" s="5">
        <v>963</v>
      </c>
      <c r="BB126" s="5">
        <v>532</v>
      </c>
      <c r="BD126" s="2">
        <v>2</v>
      </c>
      <c r="BF126" s="787">
        <v>1.08</v>
      </c>
      <c r="BG126" s="325">
        <v>150000611</v>
      </c>
    </row>
    <row r="127" spans="1:59" ht="24.9" customHeight="1" x14ac:dyDescent="0.3">
      <c r="A127" s="325">
        <v>150000623</v>
      </c>
      <c r="B127" s="445" t="s">
        <v>210</v>
      </c>
      <c r="C127" s="27">
        <v>4</v>
      </c>
      <c r="D127" s="101" t="s">
        <v>455</v>
      </c>
      <c r="E127" s="786">
        <v>1471.2</v>
      </c>
      <c r="F127" s="5">
        <v>689</v>
      </c>
      <c r="G127" s="5">
        <v>0</v>
      </c>
      <c r="H127" s="5">
        <v>-689</v>
      </c>
      <c r="I127" s="5">
        <v>0</v>
      </c>
      <c r="J127" s="5">
        <v>0</v>
      </c>
      <c r="K127" s="153"/>
      <c r="L127" s="5">
        <v>0</v>
      </c>
      <c r="M127" s="5">
        <v>0</v>
      </c>
      <c r="N127" s="5"/>
      <c r="O127" s="5">
        <v>0</v>
      </c>
      <c r="P127" s="5">
        <v>0</v>
      </c>
      <c r="Q127" s="784"/>
      <c r="R127" s="5">
        <v>0</v>
      </c>
      <c r="S127" s="5">
        <v>0</v>
      </c>
      <c r="T127" s="628"/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/>
      <c r="AA127" s="5">
        <v>0</v>
      </c>
      <c r="AB127" s="5">
        <v>0</v>
      </c>
      <c r="AC127" s="5">
        <v>0</v>
      </c>
      <c r="AD127" s="5">
        <v>0</v>
      </c>
      <c r="AE127" s="5">
        <v>347.52002414536264</v>
      </c>
      <c r="AF127" s="5">
        <v>0</v>
      </c>
      <c r="AG127" s="8"/>
      <c r="AH127" s="5">
        <v>402.0050095970833</v>
      </c>
      <c r="AI127" s="5">
        <v>0</v>
      </c>
      <c r="AJ127" s="5"/>
      <c r="AK127" s="5">
        <v>100.04191451970669</v>
      </c>
      <c r="AL127" s="5">
        <v>0</v>
      </c>
      <c r="AM127" s="5"/>
      <c r="AN127" s="5">
        <v>0</v>
      </c>
      <c r="AO127" s="5">
        <v>0</v>
      </c>
      <c r="AP127" s="5"/>
      <c r="AQ127" s="5">
        <v>0</v>
      </c>
      <c r="AR127" s="5">
        <v>0</v>
      </c>
      <c r="AS127" s="5"/>
      <c r="AT127" s="5">
        <v>170.14282838179156</v>
      </c>
      <c r="AU127" s="5">
        <v>0</v>
      </c>
      <c r="AV127" s="5"/>
      <c r="AW127" s="5">
        <v>29.712000000000003</v>
      </c>
      <c r="AX127" s="5">
        <v>0</v>
      </c>
      <c r="AY127" s="5"/>
      <c r="AZ127" s="5">
        <v>524</v>
      </c>
      <c r="BA127" s="5">
        <v>0</v>
      </c>
      <c r="BB127" s="5">
        <v>-524</v>
      </c>
      <c r="BD127" s="2">
        <v>2</v>
      </c>
      <c r="BF127" s="787">
        <v>1.43</v>
      </c>
      <c r="BG127" s="325">
        <v>150000623</v>
      </c>
    </row>
    <row r="128" spans="1:59" ht="24.9" customHeight="1" x14ac:dyDescent="0.3">
      <c r="A128" s="325">
        <v>150000612</v>
      </c>
      <c r="B128" s="445" t="s">
        <v>162</v>
      </c>
      <c r="C128" s="27">
        <v>2</v>
      </c>
      <c r="D128" s="101" t="s">
        <v>455</v>
      </c>
      <c r="E128" s="786">
        <v>498.78</v>
      </c>
      <c r="F128" s="5">
        <v>438</v>
      </c>
      <c r="G128" s="5">
        <v>0</v>
      </c>
      <c r="H128" s="5">
        <v>-438</v>
      </c>
      <c r="I128" s="5">
        <v>0</v>
      </c>
      <c r="J128" s="5">
        <v>0</v>
      </c>
      <c r="K128" s="153"/>
      <c r="L128" s="5">
        <v>0</v>
      </c>
      <c r="M128" s="5">
        <v>0</v>
      </c>
      <c r="N128" s="5"/>
      <c r="O128" s="5">
        <v>0</v>
      </c>
      <c r="P128" s="5">
        <v>0</v>
      </c>
      <c r="Q128" s="784"/>
      <c r="R128" s="5">
        <v>0</v>
      </c>
      <c r="S128" s="5">
        <v>0</v>
      </c>
      <c r="T128" s="628"/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/>
      <c r="AA128" s="5">
        <v>0</v>
      </c>
      <c r="AB128" s="5">
        <v>0</v>
      </c>
      <c r="AC128" s="5">
        <v>0</v>
      </c>
      <c r="AD128" s="5">
        <v>0</v>
      </c>
      <c r="AE128" s="5">
        <v>152.36628214045572</v>
      </c>
      <c r="AF128" s="5">
        <v>0</v>
      </c>
      <c r="AG128" s="5"/>
      <c r="AH128" s="5">
        <v>296.30013978595719</v>
      </c>
      <c r="AI128" s="5">
        <v>0</v>
      </c>
      <c r="AJ128" s="5"/>
      <c r="AK128" s="5">
        <v>12.05817124225833</v>
      </c>
      <c r="AL128" s="5">
        <v>0</v>
      </c>
      <c r="AM128" s="5"/>
      <c r="AN128" s="5">
        <v>0</v>
      </c>
      <c r="AO128" s="5">
        <v>0</v>
      </c>
      <c r="AP128" s="5"/>
      <c r="AQ128" s="5">
        <v>0</v>
      </c>
      <c r="AR128" s="5">
        <v>0</v>
      </c>
      <c r="AS128" s="5"/>
      <c r="AT128" s="5">
        <v>14.04250219252391</v>
      </c>
      <c r="AU128" s="5">
        <v>0</v>
      </c>
      <c r="AV128" s="5"/>
      <c r="AW128" s="5">
        <v>9.9878</v>
      </c>
      <c r="AX128" s="5">
        <v>0</v>
      </c>
      <c r="AY128" s="5"/>
      <c r="AZ128" s="5">
        <v>243</v>
      </c>
      <c r="BA128" s="5">
        <v>0</v>
      </c>
      <c r="BB128" s="5">
        <v>-243</v>
      </c>
      <c r="BD128" s="2">
        <v>2</v>
      </c>
      <c r="BF128" s="787">
        <v>0.49</v>
      </c>
      <c r="BG128" s="325">
        <v>150000612</v>
      </c>
    </row>
    <row r="129" spans="1:59" ht="24.9" customHeight="1" x14ac:dyDescent="0.3">
      <c r="A129" s="325">
        <v>150000613</v>
      </c>
      <c r="B129" s="445" t="s">
        <v>211</v>
      </c>
      <c r="C129" s="27">
        <v>4</v>
      </c>
      <c r="D129" s="101" t="s">
        <v>455</v>
      </c>
      <c r="E129" s="786">
        <v>1482.8</v>
      </c>
      <c r="F129" s="5">
        <v>762</v>
      </c>
      <c r="G129" s="5">
        <v>43088</v>
      </c>
      <c r="H129" s="5">
        <v>-762</v>
      </c>
      <c r="I129" s="5">
        <v>0</v>
      </c>
      <c r="J129" s="5">
        <v>0</v>
      </c>
      <c r="K129" s="153"/>
      <c r="L129" s="5">
        <v>1</v>
      </c>
      <c r="M129" s="5">
        <v>42211</v>
      </c>
      <c r="N129" s="5"/>
      <c r="O129" s="5">
        <v>0</v>
      </c>
      <c r="P129" s="5">
        <v>0</v>
      </c>
      <c r="Q129" s="784"/>
      <c r="R129" s="5">
        <v>0</v>
      </c>
      <c r="S129" s="5">
        <v>0</v>
      </c>
      <c r="T129" s="628"/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/>
      <c r="AA129" s="5">
        <v>0</v>
      </c>
      <c r="AB129" s="5">
        <v>0</v>
      </c>
      <c r="AC129" s="5">
        <v>877</v>
      </c>
      <c r="AD129" s="5">
        <v>0</v>
      </c>
      <c r="AE129" s="5">
        <v>340.373181345197</v>
      </c>
      <c r="AF129" s="5">
        <v>0</v>
      </c>
      <c r="AG129" s="5"/>
      <c r="AH129" s="5">
        <v>400.03203527509004</v>
      </c>
      <c r="AI129" s="5">
        <v>0</v>
      </c>
      <c r="AJ129" s="5"/>
      <c r="AK129" s="5">
        <v>104.0859344701267</v>
      </c>
      <c r="AL129" s="5">
        <v>1579</v>
      </c>
      <c r="AM129" s="5"/>
      <c r="AN129" s="5">
        <v>0</v>
      </c>
      <c r="AO129" s="5">
        <v>0</v>
      </c>
      <c r="AP129" s="5"/>
      <c r="AQ129" s="5">
        <v>0</v>
      </c>
      <c r="AR129" s="5">
        <v>0</v>
      </c>
      <c r="AS129" s="5"/>
      <c r="AT129" s="5">
        <v>167.92598809311585</v>
      </c>
      <c r="AU129" s="5">
        <v>0</v>
      </c>
      <c r="AV129" s="5"/>
      <c r="AW129" s="5">
        <v>29.821800000000003</v>
      </c>
      <c r="AX129" s="5">
        <v>0</v>
      </c>
      <c r="AY129" s="5"/>
      <c r="AZ129" s="5">
        <v>521</v>
      </c>
      <c r="BA129" s="5">
        <v>1579</v>
      </c>
      <c r="BB129" s="5">
        <v>1057</v>
      </c>
      <c r="BD129" s="2">
        <v>2</v>
      </c>
      <c r="BF129" s="787">
        <v>36.42</v>
      </c>
      <c r="BG129" s="325">
        <v>150000613</v>
      </c>
    </row>
    <row r="130" spans="1:59" ht="24.9" customHeight="1" x14ac:dyDescent="0.3">
      <c r="A130" s="325">
        <v>150000614</v>
      </c>
      <c r="B130" s="445" t="s">
        <v>163</v>
      </c>
      <c r="C130" s="27">
        <v>2</v>
      </c>
      <c r="D130" s="101" t="s">
        <v>455</v>
      </c>
      <c r="E130" s="786">
        <v>626.29999999999995</v>
      </c>
      <c r="F130" s="5">
        <v>485</v>
      </c>
      <c r="G130" s="5">
        <v>0</v>
      </c>
      <c r="H130" s="5">
        <v>-485</v>
      </c>
      <c r="I130" s="5">
        <v>0</v>
      </c>
      <c r="J130" s="5">
        <v>0</v>
      </c>
      <c r="K130" s="153"/>
      <c r="L130" s="5">
        <v>0</v>
      </c>
      <c r="M130" s="5">
        <v>0</v>
      </c>
      <c r="N130" s="5"/>
      <c r="O130" s="5">
        <v>0</v>
      </c>
      <c r="P130" s="5">
        <v>0</v>
      </c>
      <c r="Q130" s="784"/>
      <c r="R130" s="5">
        <v>0</v>
      </c>
      <c r="S130" s="5">
        <v>0</v>
      </c>
      <c r="T130" s="628"/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/>
      <c r="AA130" s="5">
        <v>0</v>
      </c>
      <c r="AB130" s="5">
        <v>0</v>
      </c>
      <c r="AC130" s="5">
        <v>0</v>
      </c>
      <c r="AD130" s="5">
        <v>0</v>
      </c>
      <c r="AE130" s="5">
        <v>217.91074130911031</v>
      </c>
      <c r="AF130" s="5">
        <v>0</v>
      </c>
      <c r="AG130" s="5"/>
      <c r="AH130" s="5">
        <v>235.79887850314969</v>
      </c>
      <c r="AI130" s="5">
        <v>0</v>
      </c>
      <c r="AJ130" s="5"/>
      <c r="AK130" s="5">
        <v>22.304522292266668</v>
      </c>
      <c r="AL130" s="5">
        <v>0</v>
      </c>
      <c r="AM130" s="5"/>
      <c r="AN130" s="5">
        <v>0</v>
      </c>
      <c r="AO130" s="5">
        <v>0</v>
      </c>
      <c r="AP130" s="5"/>
      <c r="AQ130" s="5">
        <v>0</v>
      </c>
      <c r="AR130" s="5">
        <v>0</v>
      </c>
      <c r="AS130" s="5"/>
      <c r="AT130" s="5">
        <v>94.114495095407094</v>
      </c>
      <c r="AU130" s="5">
        <v>0</v>
      </c>
      <c r="AV130" s="5"/>
      <c r="AW130" s="5">
        <v>12.263</v>
      </c>
      <c r="AX130" s="5">
        <v>0</v>
      </c>
      <c r="AY130" s="5"/>
      <c r="AZ130" s="5">
        <v>291</v>
      </c>
      <c r="BA130" s="5">
        <v>0</v>
      </c>
      <c r="BB130" s="5">
        <v>-291</v>
      </c>
      <c r="BD130" s="2">
        <v>2</v>
      </c>
      <c r="BF130" s="787">
        <v>0.61</v>
      </c>
      <c r="BG130" s="325">
        <v>150000614</v>
      </c>
    </row>
    <row r="131" spans="1:59" ht="24.9" customHeight="1" x14ac:dyDescent="0.3">
      <c r="A131" s="325">
        <v>150000615</v>
      </c>
      <c r="B131" s="445" t="s">
        <v>257</v>
      </c>
      <c r="C131" s="27">
        <v>5</v>
      </c>
      <c r="D131" s="101" t="s">
        <v>455</v>
      </c>
      <c r="E131" s="786">
        <v>2636.91</v>
      </c>
      <c r="F131" s="5">
        <v>1148</v>
      </c>
      <c r="G131" s="5">
        <v>0</v>
      </c>
      <c r="H131" s="5">
        <v>-1148</v>
      </c>
      <c r="I131" s="5">
        <v>0</v>
      </c>
      <c r="J131" s="5">
        <v>0</v>
      </c>
      <c r="K131" s="153"/>
      <c r="L131" s="5">
        <v>0</v>
      </c>
      <c r="M131" s="5">
        <v>0</v>
      </c>
      <c r="N131" s="5"/>
      <c r="O131" s="5">
        <v>0</v>
      </c>
      <c r="P131" s="5">
        <v>0</v>
      </c>
      <c r="Q131" s="784"/>
      <c r="R131" s="5">
        <v>0</v>
      </c>
      <c r="S131" s="5">
        <v>0</v>
      </c>
      <c r="T131" s="628"/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/>
      <c r="AA131" s="5">
        <v>0</v>
      </c>
      <c r="AB131" s="5">
        <v>0</v>
      </c>
      <c r="AC131" s="5">
        <v>0</v>
      </c>
      <c r="AD131" s="5">
        <v>0</v>
      </c>
      <c r="AE131" s="5">
        <v>573.71225551389659</v>
      </c>
      <c r="AF131" s="5">
        <v>0</v>
      </c>
      <c r="AG131" s="5"/>
      <c r="AH131" s="5">
        <v>742.10084566494265</v>
      </c>
      <c r="AI131" s="5">
        <v>0</v>
      </c>
      <c r="AJ131" s="5"/>
      <c r="AK131" s="5">
        <v>166.21154755412999</v>
      </c>
      <c r="AL131" s="5">
        <v>1402</v>
      </c>
      <c r="AM131" s="5"/>
      <c r="AN131" s="5">
        <v>0</v>
      </c>
      <c r="AO131" s="5">
        <v>0</v>
      </c>
      <c r="AP131" s="5"/>
      <c r="AQ131" s="5">
        <v>0</v>
      </c>
      <c r="AR131" s="5">
        <v>0</v>
      </c>
      <c r="AS131" s="5"/>
      <c r="AT131" s="5">
        <v>348.4330286992203</v>
      </c>
      <c r="AU131" s="5">
        <v>0</v>
      </c>
      <c r="AV131" s="5"/>
      <c r="AW131" s="5">
        <v>52.371099999999998</v>
      </c>
      <c r="AX131" s="5">
        <v>0</v>
      </c>
      <c r="AY131" s="5"/>
      <c r="AZ131" s="5">
        <v>942</v>
      </c>
      <c r="BA131" s="5">
        <v>1402</v>
      </c>
      <c r="BB131" s="5">
        <v>460</v>
      </c>
      <c r="BD131" s="2">
        <v>2</v>
      </c>
      <c r="BF131" s="787">
        <v>2.57</v>
      </c>
      <c r="BG131" s="325">
        <v>150000615</v>
      </c>
    </row>
    <row r="132" spans="1:59" ht="24.9" customHeight="1" x14ac:dyDescent="0.3">
      <c r="A132" s="325">
        <v>150000616</v>
      </c>
      <c r="B132" s="445" t="s">
        <v>258</v>
      </c>
      <c r="C132" s="27">
        <v>5</v>
      </c>
      <c r="D132" s="101" t="s">
        <v>455</v>
      </c>
      <c r="E132" s="786">
        <v>1804.3</v>
      </c>
      <c r="F132" s="5">
        <v>793</v>
      </c>
      <c r="G132" s="5">
        <v>4186</v>
      </c>
      <c r="H132" s="5">
        <v>3393</v>
      </c>
      <c r="I132" s="5">
        <v>0</v>
      </c>
      <c r="J132" s="5">
        <v>0</v>
      </c>
      <c r="K132" s="153"/>
      <c r="L132" s="5">
        <v>0</v>
      </c>
      <c r="M132" s="5">
        <v>0</v>
      </c>
      <c r="N132" s="5"/>
      <c r="O132" s="5">
        <v>0</v>
      </c>
      <c r="P132" s="5">
        <v>0</v>
      </c>
      <c r="Q132" s="784"/>
      <c r="R132" s="5">
        <v>0</v>
      </c>
      <c r="S132" s="5">
        <v>0</v>
      </c>
      <c r="T132" s="628"/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/>
      <c r="AA132" s="5">
        <v>0</v>
      </c>
      <c r="AB132" s="5">
        <v>0</v>
      </c>
      <c r="AC132" s="5">
        <v>0</v>
      </c>
      <c r="AD132" s="5">
        <v>4186</v>
      </c>
      <c r="AE132" s="5">
        <v>395.9694596353562</v>
      </c>
      <c r="AF132" s="5">
        <v>0</v>
      </c>
      <c r="AG132" s="5"/>
      <c r="AH132" s="5">
        <v>501.63380661306957</v>
      </c>
      <c r="AI132" s="5">
        <v>0</v>
      </c>
      <c r="AJ132" s="5"/>
      <c r="AK132" s="5">
        <v>112.3118145503484</v>
      </c>
      <c r="AL132" s="5">
        <v>0</v>
      </c>
      <c r="AM132" s="5"/>
      <c r="AN132" s="5">
        <v>0</v>
      </c>
      <c r="AO132" s="5">
        <v>0</v>
      </c>
      <c r="AP132" s="5"/>
      <c r="AQ132" s="5">
        <v>0</v>
      </c>
      <c r="AR132" s="5">
        <v>0</v>
      </c>
      <c r="AS132" s="5"/>
      <c r="AT132" s="5">
        <v>188.39755127502207</v>
      </c>
      <c r="AU132" s="5">
        <v>0</v>
      </c>
      <c r="AV132" s="5"/>
      <c r="AW132" s="5">
        <v>37.927999999999997</v>
      </c>
      <c r="AX132" s="5">
        <v>0</v>
      </c>
      <c r="AY132" s="5"/>
      <c r="AZ132" s="5">
        <v>618</v>
      </c>
      <c r="BA132" s="5">
        <v>0</v>
      </c>
      <c r="BB132" s="5">
        <v>-618</v>
      </c>
      <c r="BD132" s="2">
        <v>2</v>
      </c>
      <c r="BF132" s="787">
        <v>78.67</v>
      </c>
      <c r="BG132" s="325">
        <v>150000616</v>
      </c>
    </row>
    <row r="133" spans="1:59" ht="24.9" customHeight="1" x14ac:dyDescent="0.3">
      <c r="A133" s="325">
        <v>150000618</v>
      </c>
      <c r="B133" s="445" t="s">
        <v>417</v>
      </c>
      <c r="C133" s="27">
        <v>10</v>
      </c>
      <c r="D133" s="101" t="s">
        <v>455</v>
      </c>
      <c r="E133" s="786">
        <v>2744.2</v>
      </c>
      <c r="F133" s="5">
        <v>1620</v>
      </c>
      <c r="G133" s="5">
        <v>213</v>
      </c>
      <c r="H133" s="5">
        <v>-1620</v>
      </c>
      <c r="I133" s="5">
        <v>0</v>
      </c>
      <c r="J133" s="5">
        <v>0</v>
      </c>
      <c r="K133" s="153"/>
      <c r="L133" s="5">
        <v>0</v>
      </c>
      <c r="M133" s="5">
        <v>0</v>
      </c>
      <c r="N133" s="5"/>
      <c r="O133" s="5">
        <v>0</v>
      </c>
      <c r="P133" s="5">
        <v>0</v>
      </c>
      <c r="Q133" s="784"/>
      <c r="R133" s="5">
        <v>0</v>
      </c>
      <c r="S133" s="5">
        <v>0</v>
      </c>
      <c r="T133" s="628"/>
      <c r="U133" s="5">
        <v>0</v>
      </c>
      <c r="V133" s="5">
        <v>0</v>
      </c>
      <c r="W133" s="5">
        <v>0</v>
      </c>
      <c r="X133" s="5">
        <v>0</v>
      </c>
      <c r="Y133" s="5">
        <v>213</v>
      </c>
      <c r="Z133" s="5"/>
      <c r="AA133" s="5">
        <v>0</v>
      </c>
      <c r="AB133" s="5">
        <v>0</v>
      </c>
      <c r="AC133" s="5">
        <v>0</v>
      </c>
      <c r="AD133" s="5">
        <v>0</v>
      </c>
      <c r="AE133" s="5">
        <v>490.48923510936049</v>
      </c>
      <c r="AF133" s="5">
        <v>0</v>
      </c>
      <c r="AG133" s="5"/>
      <c r="AH133" s="5">
        <v>554.2096222172413</v>
      </c>
      <c r="AI133" s="5">
        <v>0</v>
      </c>
      <c r="AJ133" s="5"/>
      <c r="AK133" s="5">
        <v>231.55510488957339</v>
      </c>
      <c r="AL133" s="5">
        <v>0</v>
      </c>
      <c r="AM133" s="5"/>
      <c r="AN133" s="5">
        <v>497.75442415277797</v>
      </c>
      <c r="AO133" s="5">
        <v>0</v>
      </c>
      <c r="AP133" s="5"/>
      <c r="AQ133" s="5">
        <v>223.60918026752762</v>
      </c>
      <c r="AR133" s="5">
        <v>0</v>
      </c>
      <c r="AS133" s="5"/>
      <c r="AT133" s="5">
        <v>224.2608155689316</v>
      </c>
      <c r="AU133" s="5">
        <v>0</v>
      </c>
      <c r="AV133" s="5"/>
      <c r="AW133" s="5">
        <v>54.442</v>
      </c>
      <c r="AX133" s="5">
        <v>0</v>
      </c>
      <c r="AY133" s="5"/>
      <c r="AZ133" s="5">
        <v>1138</v>
      </c>
      <c r="BA133" s="5">
        <v>0</v>
      </c>
      <c r="BB133" s="5">
        <v>-1138</v>
      </c>
      <c r="BD133" s="2">
        <v>2</v>
      </c>
      <c r="BF133" s="787">
        <v>2.67</v>
      </c>
      <c r="BG133" s="325">
        <v>150000618</v>
      </c>
    </row>
    <row r="134" spans="1:59" ht="24.9" customHeight="1" x14ac:dyDescent="0.3">
      <c r="A134" s="325">
        <v>150000619</v>
      </c>
      <c r="B134" s="445" t="s">
        <v>360</v>
      </c>
      <c r="C134" s="27">
        <v>9</v>
      </c>
      <c r="D134" s="101" t="s">
        <v>455</v>
      </c>
      <c r="E134" s="786">
        <v>4254.2</v>
      </c>
      <c r="F134" s="5">
        <v>2347</v>
      </c>
      <c r="G134" s="5">
        <v>2297</v>
      </c>
      <c r="H134" s="5">
        <v>-49</v>
      </c>
      <c r="I134" s="5">
        <v>0</v>
      </c>
      <c r="J134" s="5">
        <v>0</v>
      </c>
      <c r="K134" s="153"/>
      <c r="L134" s="5">
        <v>0</v>
      </c>
      <c r="M134" s="5">
        <v>0</v>
      </c>
      <c r="N134" s="788"/>
      <c r="O134" s="5">
        <v>0</v>
      </c>
      <c r="P134" s="5">
        <v>0</v>
      </c>
      <c r="Q134" s="784"/>
      <c r="R134" s="5">
        <v>0</v>
      </c>
      <c r="S134" s="5">
        <v>0</v>
      </c>
      <c r="T134" s="628"/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/>
      <c r="AA134" s="5">
        <v>0</v>
      </c>
      <c r="AB134" s="5">
        <v>0</v>
      </c>
      <c r="AC134" s="5">
        <v>0</v>
      </c>
      <c r="AD134" s="5">
        <v>2297</v>
      </c>
      <c r="AE134" s="5">
        <v>976.09126541587807</v>
      </c>
      <c r="AF134" s="5">
        <v>0</v>
      </c>
      <c r="AG134" s="5"/>
      <c r="AH134" s="5">
        <v>1043.6788937175802</v>
      </c>
      <c r="AI134" s="5">
        <v>0</v>
      </c>
      <c r="AJ134" s="5"/>
      <c r="AK134" s="5">
        <v>362.08675452418498</v>
      </c>
      <c r="AL134" s="5">
        <v>0</v>
      </c>
      <c r="AM134" s="5"/>
      <c r="AN134" s="5">
        <v>885.518159481628</v>
      </c>
      <c r="AO134" s="5">
        <v>0</v>
      </c>
      <c r="AP134" s="5"/>
      <c r="AQ134" s="5">
        <v>417.96272557758289</v>
      </c>
      <c r="AR134" s="5">
        <v>0</v>
      </c>
      <c r="AS134" s="5"/>
      <c r="AT134" s="5">
        <v>537.57310916947119</v>
      </c>
      <c r="AU134" s="5">
        <v>0</v>
      </c>
      <c r="AV134" s="5"/>
      <c r="AW134" s="5">
        <v>85.542000000000002</v>
      </c>
      <c r="AX134" s="5">
        <v>0</v>
      </c>
      <c r="AY134" s="5"/>
      <c r="AZ134" s="5">
        <v>2153</v>
      </c>
      <c r="BA134" s="5">
        <v>0</v>
      </c>
      <c r="BB134" s="5">
        <v>-2153</v>
      </c>
      <c r="BD134" s="2">
        <v>2</v>
      </c>
      <c r="BF134" s="787">
        <v>28.25</v>
      </c>
      <c r="BG134" s="325">
        <v>150000619</v>
      </c>
    </row>
    <row r="135" spans="1:59" ht="24.9" customHeight="1" x14ac:dyDescent="0.3">
      <c r="A135" s="325">
        <v>150000621</v>
      </c>
      <c r="B135" s="445" t="s">
        <v>81</v>
      </c>
      <c r="C135" s="27">
        <v>1</v>
      </c>
      <c r="D135" s="101" t="s">
        <v>455</v>
      </c>
      <c r="E135" s="786">
        <v>130.1</v>
      </c>
      <c r="F135" s="5">
        <v>79</v>
      </c>
      <c r="G135" s="5">
        <v>0</v>
      </c>
      <c r="H135" s="5">
        <v>-79</v>
      </c>
      <c r="I135" s="5">
        <v>0</v>
      </c>
      <c r="J135" s="5">
        <v>0</v>
      </c>
      <c r="K135" s="153"/>
      <c r="L135" s="5">
        <v>0</v>
      </c>
      <c r="M135" s="5">
        <v>0</v>
      </c>
      <c r="N135" s="5"/>
      <c r="O135" s="5">
        <v>0</v>
      </c>
      <c r="P135" s="5">
        <v>0</v>
      </c>
      <c r="Q135" s="784"/>
      <c r="R135" s="5">
        <v>0</v>
      </c>
      <c r="S135" s="5">
        <v>0</v>
      </c>
      <c r="T135" s="628"/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/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/>
      <c r="AH135" s="5">
        <v>0</v>
      </c>
      <c r="AI135" s="5">
        <v>0</v>
      </c>
      <c r="AJ135" s="5"/>
      <c r="AK135" s="5">
        <v>0</v>
      </c>
      <c r="AL135" s="5">
        <v>0</v>
      </c>
      <c r="AM135" s="5"/>
      <c r="AN135" s="5">
        <v>0</v>
      </c>
      <c r="AO135" s="5">
        <v>0</v>
      </c>
      <c r="AP135" s="5"/>
      <c r="AQ135" s="5">
        <v>0</v>
      </c>
      <c r="AR135" s="5">
        <v>0</v>
      </c>
      <c r="AS135" s="5"/>
      <c r="AT135" s="5">
        <v>0</v>
      </c>
      <c r="AU135" s="5">
        <v>0</v>
      </c>
      <c r="AV135" s="5"/>
      <c r="AW135" s="5">
        <v>2.3010000000000002</v>
      </c>
      <c r="AX135" s="5">
        <v>0</v>
      </c>
      <c r="AY135" s="5"/>
      <c r="AZ135" s="5">
        <v>1</v>
      </c>
      <c r="BA135" s="5">
        <v>0</v>
      </c>
      <c r="BB135" s="5">
        <v>-1</v>
      </c>
      <c r="BD135" s="2">
        <v>2</v>
      </c>
      <c r="BF135" s="787">
        <v>0</v>
      </c>
      <c r="BG135" s="325">
        <v>150000621</v>
      </c>
    </row>
    <row r="136" spans="1:59" ht="24.9" customHeight="1" x14ac:dyDescent="0.3">
      <c r="A136" s="325">
        <v>150000622</v>
      </c>
      <c r="B136" s="445" t="s">
        <v>82</v>
      </c>
      <c r="C136" s="27">
        <v>1</v>
      </c>
      <c r="D136" s="101" t="s">
        <v>455</v>
      </c>
      <c r="E136" s="786">
        <v>132.69999999999999</v>
      </c>
      <c r="F136" s="5">
        <v>78</v>
      </c>
      <c r="G136" s="5">
        <v>0</v>
      </c>
      <c r="H136" s="5">
        <v>-78</v>
      </c>
      <c r="I136" s="5">
        <v>0</v>
      </c>
      <c r="J136" s="5">
        <v>0</v>
      </c>
      <c r="K136" s="153"/>
      <c r="L136" s="5">
        <v>0</v>
      </c>
      <c r="M136" s="5">
        <v>0</v>
      </c>
      <c r="N136" s="5"/>
      <c r="O136" s="5">
        <v>0</v>
      </c>
      <c r="P136" s="5">
        <v>0</v>
      </c>
      <c r="Q136" s="784"/>
      <c r="R136" s="5">
        <v>0</v>
      </c>
      <c r="S136" s="5">
        <v>0</v>
      </c>
      <c r="T136" s="628"/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/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/>
      <c r="AH136" s="5">
        <v>0</v>
      </c>
      <c r="AI136" s="5">
        <v>0</v>
      </c>
      <c r="AJ136" s="5"/>
      <c r="AK136" s="5">
        <v>0</v>
      </c>
      <c r="AL136" s="5">
        <v>0</v>
      </c>
      <c r="AM136" s="5"/>
      <c r="AN136" s="5">
        <v>0</v>
      </c>
      <c r="AO136" s="5">
        <v>0</v>
      </c>
      <c r="AP136" s="5"/>
      <c r="AQ136" s="5">
        <v>0</v>
      </c>
      <c r="AR136" s="5">
        <v>0</v>
      </c>
      <c r="AS136" s="5"/>
      <c r="AT136" s="5">
        <v>0</v>
      </c>
      <c r="AU136" s="5">
        <v>0</v>
      </c>
      <c r="AV136" s="5"/>
      <c r="AW136" s="5">
        <v>2.327</v>
      </c>
      <c r="AX136" s="5">
        <v>0</v>
      </c>
      <c r="AY136" s="5"/>
      <c r="AZ136" s="5">
        <v>1</v>
      </c>
      <c r="BA136" s="5">
        <v>0</v>
      </c>
      <c r="BB136" s="5">
        <v>-1</v>
      </c>
      <c r="BD136" s="2">
        <v>2</v>
      </c>
      <c r="BF136" s="787">
        <v>0</v>
      </c>
      <c r="BG136" s="325">
        <v>150000622</v>
      </c>
    </row>
    <row r="137" spans="1:59" ht="24.9" customHeight="1" x14ac:dyDescent="0.3">
      <c r="A137" s="325">
        <v>150000587</v>
      </c>
      <c r="B137" s="445" t="s">
        <v>83</v>
      </c>
      <c r="C137" s="27">
        <v>1</v>
      </c>
      <c r="D137" s="101" t="s">
        <v>455</v>
      </c>
      <c r="E137" s="786">
        <v>121</v>
      </c>
      <c r="F137" s="5">
        <v>77</v>
      </c>
      <c r="G137" s="5">
        <v>0</v>
      </c>
      <c r="H137" s="5">
        <v>-77</v>
      </c>
      <c r="I137" s="5">
        <v>0</v>
      </c>
      <c r="J137" s="5">
        <v>0</v>
      </c>
      <c r="K137" s="153"/>
      <c r="L137" s="5">
        <v>0</v>
      </c>
      <c r="M137" s="5">
        <v>0</v>
      </c>
      <c r="N137" s="5"/>
      <c r="O137" s="5">
        <v>0</v>
      </c>
      <c r="P137" s="5">
        <v>0</v>
      </c>
      <c r="Q137" s="784"/>
      <c r="R137" s="5">
        <v>0</v>
      </c>
      <c r="S137" s="5">
        <v>0</v>
      </c>
      <c r="T137" s="628"/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/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/>
      <c r="AH137" s="5">
        <v>0</v>
      </c>
      <c r="AI137" s="5">
        <v>0</v>
      </c>
      <c r="AJ137" s="5"/>
      <c r="AK137" s="5">
        <v>0</v>
      </c>
      <c r="AL137" s="5">
        <v>0</v>
      </c>
      <c r="AM137" s="5"/>
      <c r="AN137" s="5">
        <v>0</v>
      </c>
      <c r="AO137" s="5">
        <v>0</v>
      </c>
      <c r="AP137" s="5"/>
      <c r="AQ137" s="5">
        <v>0</v>
      </c>
      <c r="AR137" s="5">
        <v>0</v>
      </c>
      <c r="AS137" s="5"/>
      <c r="AT137" s="5">
        <v>0</v>
      </c>
      <c r="AU137" s="5">
        <v>0</v>
      </c>
      <c r="AV137" s="5"/>
      <c r="AW137" s="5">
        <v>2.21</v>
      </c>
      <c r="AX137" s="5">
        <v>0</v>
      </c>
      <c r="AY137" s="5"/>
      <c r="AZ137" s="5">
        <v>1</v>
      </c>
      <c r="BA137" s="5">
        <v>0</v>
      </c>
      <c r="BB137" s="5">
        <v>-1</v>
      </c>
      <c r="BD137" s="2">
        <v>3</v>
      </c>
      <c r="BF137" s="787">
        <v>0</v>
      </c>
      <c r="BG137" s="325">
        <v>150000587</v>
      </c>
    </row>
    <row r="138" spans="1:59" ht="24.9" customHeight="1" x14ac:dyDescent="0.3">
      <c r="A138" s="325">
        <v>150000590</v>
      </c>
      <c r="B138" s="445" t="s">
        <v>164</v>
      </c>
      <c r="C138" s="27">
        <v>2</v>
      </c>
      <c r="D138" s="101" t="s">
        <v>455</v>
      </c>
      <c r="E138" s="786">
        <v>373.5</v>
      </c>
      <c r="F138" s="5">
        <v>189</v>
      </c>
      <c r="G138" s="5">
        <v>1509</v>
      </c>
      <c r="H138" s="5">
        <v>1320</v>
      </c>
      <c r="I138" s="5">
        <v>8</v>
      </c>
      <c r="J138" s="5">
        <v>1509</v>
      </c>
      <c r="K138" s="153"/>
      <c r="L138" s="5">
        <v>0</v>
      </c>
      <c r="M138" s="5">
        <v>0</v>
      </c>
      <c r="N138" s="5"/>
      <c r="O138" s="5">
        <v>0</v>
      </c>
      <c r="P138" s="5">
        <v>0</v>
      </c>
      <c r="Q138" s="784"/>
      <c r="R138" s="5">
        <v>0</v>
      </c>
      <c r="S138" s="5">
        <v>0</v>
      </c>
      <c r="T138" s="628"/>
      <c r="U138" s="5">
        <v>0</v>
      </c>
      <c r="V138" s="5">
        <v>1509</v>
      </c>
      <c r="W138" s="5">
        <v>0</v>
      </c>
      <c r="X138" s="5">
        <v>0</v>
      </c>
      <c r="Y138" s="5">
        <v>0</v>
      </c>
      <c r="Z138" s="467"/>
      <c r="AA138" s="5">
        <v>0</v>
      </c>
      <c r="AB138" s="5">
        <v>0</v>
      </c>
      <c r="AC138" s="5">
        <v>0</v>
      </c>
      <c r="AD138" s="5">
        <v>0</v>
      </c>
      <c r="AE138" s="5">
        <v>146.43948000592746</v>
      </c>
      <c r="AF138" s="5">
        <v>0</v>
      </c>
      <c r="AG138" s="5"/>
      <c r="AH138" s="5">
        <v>180.23769905453469</v>
      </c>
      <c r="AI138" s="5">
        <v>0</v>
      </c>
      <c r="AJ138" s="5"/>
      <c r="AK138" s="5">
        <v>0</v>
      </c>
      <c r="AL138" s="5">
        <v>0</v>
      </c>
      <c r="AM138" s="5"/>
      <c r="AN138" s="5">
        <v>0</v>
      </c>
      <c r="AO138" s="5">
        <v>0</v>
      </c>
      <c r="AP138" s="5"/>
      <c r="AQ138" s="5">
        <v>0</v>
      </c>
      <c r="AR138" s="5">
        <v>0</v>
      </c>
      <c r="AS138" s="5"/>
      <c r="AT138" s="5">
        <v>35.722650192599701</v>
      </c>
      <c r="AU138" s="5">
        <v>0</v>
      </c>
      <c r="AV138" s="5"/>
      <c r="AW138" s="5">
        <v>7.7370000000000001</v>
      </c>
      <c r="AX138" s="5">
        <v>0</v>
      </c>
      <c r="AY138" s="5"/>
      <c r="AZ138" s="5">
        <v>185</v>
      </c>
      <c r="BA138" s="5">
        <v>0</v>
      </c>
      <c r="BB138" s="5">
        <v>-185</v>
      </c>
      <c r="BD138" s="2">
        <v>3</v>
      </c>
      <c r="BF138" s="787">
        <v>1.46</v>
      </c>
      <c r="BG138" s="325">
        <v>150000590</v>
      </c>
    </row>
    <row r="139" spans="1:59" ht="24.9" customHeight="1" x14ac:dyDescent="0.3">
      <c r="A139" s="325">
        <v>150000578</v>
      </c>
      <c r="B139" s="445" t="s">
        <v>84</v>
      </c>
      <c r="C139" s="27">
        <v>1</v>
      </c>
      <c r="D139" s="101" t="s">
        <v>455</v>
      </c>
      <c r="E139" s="786">
        <v>173.75</v>
      </c>
      <c r="F139" s="5">
        <v>105</v>
      </c>
      <c r="G139" s="5">
        <v>0</v>
      </c>
      <c r="H139" s="5">
        <v>-105</v>
      </c>
      <c r="I139" s="5">
        <v>0</v>
      </c>
      <c r="J139" s="5">
        <v>0</v>
      </c>
      <c r="K139" s="153"/>
      <c r="L139" s="5">
        <v>0</v>
      </c>
      <c r="M139" s="5">
        <v>0</v>
      </c>
      <c r="N139" s="5"/>
      <c r="O139" s="5">
        <v>0</v>
      </c>
      <c r="P139" s="5">
        <v>0</v>
      </c>
      <c r="Q139" s="784"/>
      <c r="R139" s="5">
        <v>0</v>
      </c>
      <c r="S139" s="5">
        <v>0</v>
      </c>
      <c r="T139" s="628"/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/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/>
      <c r="AH139" s="5">
        <v>0</v>
      </c>
      <c r="AI139" s="5">
        <v>0</v>
      </c>
      <c r="AJ139" s="5"/>
      <c r="AK139" s="5">
        <v>0</v>
      </c>
      <c r="AL139" s="5">
        <v>0</v>
      </c>
      <c r="AM139" s="5"/>
      <c r="AN139" s="5">
        <v>0</v>
      </c>
      <c r="AO139" s="5">
        <v>0</v>
      </c>
      <c r="AP139" s="5"/>
      <c r="AQ139" s="5">
        <v>0</v>
      </c>
      <c r="AR139" s="5">
        <v>0</v>
      </c>
      <c r="AS139" s="5"/>
      <c r="AT139" s="5">
        <v>0</v>
      </c>
      <c r="AU139" s="5">
        <v>0</v>
      </c>
      <c r="AV139" s="5"/>
      <c r="AW139" s="5">
        <v>3.7374999999999998</v>
      </c>
      <c r="AX139" s="5">
        <v>0</v>
      </c>
      <c r="AY139" s="5"/>
      <c r="AZ139" s="5">
        <v>2</v>
      </c>
      <c r="BA139" s="5">
        <v>0</v>
      </c>
      <c r="BB139" s="5">
        <v>-2</v>
      </c>
      <c r="BD139" s="2">
        <v>3</v>
      </c>
      <c r="BF139" s="787">
        <v>0</v>
      </c>
      <c r="BG139" s="325">
        <v>150000578</v>
      </c>
    </row>
    <row r="140" spans="1:59" ht="24.9" customHeight="1" x14ac:dyDescent="0.3">
      <c r="A140" s="325">
        <v>150000580</v>
      </c>
      <c r="B140" s="445" t="s">
        <v>85</v>
      </c>
      <c r="C140" s="27">
        <v>1</v>
      </c>
      <c r="D140" s="101" t="s">
        <v>455</v>
      </c>
      <c r="E140" s="786">
        <v>188.4</v>
      </c>
      <c r="F140" s="5">
        <v>82</v>
      </c>
      <c r="G140" s="5">
        <v>0</v>
      </c>
      <c r="H140" s="5">
        <v>-82</v>
      </c>
      <c r="I140" s="5">
        <v>0</v>
      </c>
      <c r="J140" s="5">
        <v>0</v>
      </c>
      <c r="K140" s="153"/>
      <c r="L140" s="5">
        <v>0</v>
      </c>
      <c r="M140" s="5">
        <v>0</v>
      </c>
      <c r="N140" s="5"/>
      <c r="O140" s="5">
        <v>0</v>
      </c>
      <c r="P140" s="5">
        <v>0</v>
      </c>
      <c r="Q140" s="784"/>
      <c r="R140" s="5">
        <v>0</v>
      </c>
      <c r="S140" s="5">
        <v>0</v>
      </c>
      <c r="T140" s="628"/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/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/>
      <c r="AH140" s="5">
        <v>0</v>
      </c>
      <c r="AI140" s="5">
        <v>0</v>
      </c>
      <c r="AJ140" s="5"/>
      <c r="AK140" s="5">
        <v>0</v>
      </c>
      <c r="AL140" s="5">
        <v>0</v>
      </c>
      <c r="AM140" s="5"/>
      <c r="AN140" s="5">
        <v>0</v>
      </c>
      <c r="AO140" s="5">
        <v>0</v>
      </c>
      <c r="AP140" s="5"/>
      <c r="AQ140" s="5">
        <v>0</v>
      </c>
      <c r="AR140" s="5">
        <v>0</v>
      </c>
      <c r="AS140" s="5"/>
      <c r="AT140" s="5">
        <v>0</v>
      </c>
      <c r="AU140" s="5">
        <v>0</v>
      </c>
      <c r="AV140" s="5"/>
      <c r="AW140" s="5">
        <v>3.8840000000000003</v>
      </c>
      <c r="AX140" s="5">
        <v>0</v>
      </c>
      <c r="AY140" s="5"/>
      <c r="AZ140" s="5">
        <v>2</v>
      </c>
      <c r="BA140" s="5">
        <v>0</v>
      </c>
      <c r="BB140" s="5">
        <v>-2</v>
      </c>
      <c r="BD140" s="2">
        <v>3</v>
      </c>
      <c r="BF140" s="787">
        <v>0</v>
      </c>
      <c r="BG140" s="325">
        <v>150000580</v>
      </c>
    </row>
    <row r="141" spans="1:59" ht="24.9" customHeight="1" x14ac:dyDescent="0.3">
      <c r="A141" s="325">
        <v>150001054</v>
      </c>
      <c r="B141" s="445" t="s">
        <v>86</v>
      </c>
      <c r="C141" s="27">
        <v>1</v>
      </c>
      <c r="D141" s="101" t="s">
        <v>455</v>
      </c>
      <c r="E141" s="786">
        <v>195.6</v>
      </c>
      <c r="F141" s="5">
        <v>93</v>
      </c>
      <c r="G141" s="5">
        <v>0</v>
      </c>
      <c r="H141" s="5">
        <v>-93</v>
      </c>
      <c r="I141" s="5">
        <v>0</v>
      </c>
      <c r="J141" s="5">
        <v>0</v>
      </c>
      <c r="K141" s="153"/>
      <c r="L141" s="5">
        <v>0</v>
      </c>
      <c r="M141" s="5">
        <v>0</v>
      </c>
      <c r="N141" s="5"/>
      <c r="O141" s="5">
        <v>0</v>
      </c>
      <c r="P141" s="5">
        <v>0</v>
      </c>
      <c r="Q141" s="784"/>
      <c r="R141" s="5">
        <v>0</v>
      </c>
      <c r="S141" s="5">
        <v>0</v>
      </c>
      <c r="T141" s="628"/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/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/>
      <c r="AH141" s="5">
        <v>0</v>
      </c>
      <c r="AI141" s="5">
        <v>0</v>
      </c>
      <c r="AJ141" s="5"/>
      <c r="AK141" s="5">
        <v>0</v>
      </c>
      <c r="AL141" s="5">
        <v>0</v>
      </c>
      <c r="AM141" s="5"/>
      <c r="AN141" s="5">
        <v>0</v>
      </c>
      <c r="AO141" s="5">
        <v>0</v>
      </c>
      <c r="AP141" s="5"/>
      <c r="AQ141" s="5">
        <v>0</v>
      </c>
      <c r="AR141" s="5">
        <v>0</v>
      </c>
      <c r="AS141" s="5"/>
      <c r="AT141" s="5">
        <v>0</v>
      </c>
      <c r="AU141" s="5">
        <v>0</v>
      </c>
      <c r="AV141" s="5"/>
      <c r="AW141" s="5">
        <v>3.956</v>
      </c>
      <c r="AX141" s="5">
        <v>0</v>
      </c>
      <c r="AY141" s="5"/>
      <c r="AZ141" s="5">
        <v>2</v>
      </c>
      <c r="BA141" s="5">
        <v>0</v>
      </c>
      <c r="BB141" s="5">
        <v>-2</v>
      </c>
      <c r="BD141" s="2">
        <v>3</v>
      </c>
      <c r="BF141" s="787">
        <v>0</v>
      </c>
      <c r="BG141" s="325">
        <v>150001054</v>
      </c>
    </row>
    <row r="142" spans="1:59" ht="24.9" customHeight="1" x14ac:dyDescent="0.3">
      <c r="A142" s="325">
        <v>150000634</v>
      </c>
      <c r="B142" s="445" t="s">
        <v>87</v>
      </c>
      <c r="C142" s="27">
        <v>1</v>
      </c>
      <c r="D142" s="101" t="s">
        <v>455</v>
      </c>
      <c r="E142" s="786">
        <v>196.35</v>
      </c>
      <c r="F142" s="5">
        <v>126</v>
      </c>
      <c r="G142" s="5">
        <v>0</v>
      </c>
      <c r="H142" s="5">
        <v>-126</v>
      </c>
      <c r="I142" s="5">
        <v>0</v>
      </c>
      <c r="J142" s="5">
        <v>0</v>
      </c>
      <c r="K142" s="153"/>
      <c r="L142" s="5">
        <v>0</v>
      </c>
      <c r="M142" s="5">
        <v>0</v>
      </c>
      <c r="N142" s="5"/>
      <c r="O142" s="5">
        <v>0</v>
      </c>
      <c r="P142" s="5">
        <v>0</v>
      </c>
      <c r="Q142" s="784"/>
      <c r="R142" s="5">
        <v>0</v>
      </c>
      <c r="S142" s="5">
        <v>0</v>
      </c>
      <c r="T142" s="628"/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/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/>
      <c r="AH142" s="5">
        <v>0</v>
      </c>
      <c r="AI142" s="5">
        <v>0</v>
      </c>
      <c r="AJ142" s="5"/>
      <c r="AK142" s="5">
        <v>0</v>
      </c>
      <c r="AL142" s="5">
        <v>0</v>
      </c>
      <c r="AM142" s="5"/>
      <c r="AN142" s="5">
        <v>0</v>
      </c>
      <c r="AO142" s="5">
        <v>0</v>
      </c>
      <c r="AP142" s="5"/>
      <c r="AQ142" s="5">
        <v>0</v>
      </c>
      <c r="AR142" s="5">
        <v>0</v>
      </c>
      <c r="AS142" s="5"/>
      <c r="AT142" s="5">
        <v>0</v>
      </c>
      <c r="AU142" s="5">
        <v>0</v>
      </c>
      <c r="AV142" s="5"/>
      <c r="AW142" s="5">
        <v>3.9634999999999998</v>
      </c>
      <c r="AX142" s="5">
        <v>0</v>
      </c>
      <c r="AY142" s="5"/>
      <c r="AZ142" s="5">
        <v>2</v>
      </c>
      <c r="BA142" s="5">
        <v>0</v>
      </c>
      <c r="BB142" s="5">
        <v>-2</v>
      </c>
      <c r="BD142" s="2">
        <v>3</v>
      </c>
      <c r="BF142" s="787">
        <v>0</v>
      </c>
      <c r="BG142" s="325">
        <v>150000634</v>
      </c>
    </row>
    <row r="143" spans="1:59" ht="24.9" customHeight="1" x14ac:dyDescent="0.3">
      <c r="A143" s="325">
        <v>150000636</v>
      </c>
      <c r="B143" s="445" t="s">
        <v>259</v>
      </c>
      <c r="C143" s="27">
        <v>5</v>
      </c>
      <c r="D143" s="101" t="s">
        <v>455</v>
      </c>
      <c r="E143" s="786">
        <v>3175.77</v>
      </c>
      <c r="F143" s="5">
        <v>1931</v>
      </c>
      <c r="G143" s="5">
        <v>0</v>
      </c>
      <c r="H143" s="5">
        <v>-1931</v>
      </c>
      <c r="I143" s="5">
        <v>0</v>
      </c>
      <c r="J143" s="5">
        <v>0</v>
      </c>
      <c r="K143" s="153"/>
      <c r="L143" s="5">
        <v>0</v>
      </c>
      <c r="M143" s="5">
        <v>0</v>
      </c>
      <c r="N143" s="628"/>
      <c r="O143" s="5">
        <v>0</v>
      </c>
      <c r="P143" s="5">
        <v>0</v>
      </c>
      <c r="Q143" s="784"/>
      <c r="R143" s="5">
        <v>0</v>
      </c>
      <c r="S143" s="5">
        <v>0</v>
      </c>
      <c r="T143" s="628"/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/>
      <c r="AA143" s="5">
        <v>0</v>
      </c>
      <c r="AB143" s="5">
        <v>0</v>
      </c>
      <c r="AC143" s="5">
        <v>0</v>
      </c>
      <c r="AD143" s="5">
        <v>0</v>
      </c>
      <c r="AE143" s="5">
        <v>690.37181140880807</v>
      </c>
      <c r="AF143" s="5">
        <v>831</v>
      </c>
      <c r="AG143" s="5"/>
      <c r="AH143" s="5">
        <v>959.90101837707925</v>
      </c>
      <c r="AI143" s="5">
        <v>0</v>
      </c>
      <c r="AJ143" s="5"/>
      <c r="AK143" s="5">
        <v>199.73340867983671</v>
      </c>
      <c r="AL143" s="5">
        <v>0</v>
      </c>
      <c r="AM143" s="452"/>
      <c r="AN143" s="5">
        <v>0</v>
      </c>
      <c r="AO143" s="5">
        <v>0</v>
      </c>
      <c r="AP143" s="5"/>
      <c r="AQ143" s="5">
        <v>379.96224504488214</v>
      </c>
      <c r="AR143" s="5">
        <v>0</v>
      </c>
      <c r="AS143" s="5"/>
      <c r="AT143" s="5">
        <v>544.3075801583866</v>
      </c>
      <c r="AU143" s="5">
        <v>0</v>
      </c>
      <c r="AV143" s="461"/>
      <c r="AW143" s="5">
        <v>63.7577</v>
      </c>
      <c r="AX143" s="5">
        <v>0</v>
      </c>
      <c r="AY143" s="5"/>
      <c r="AZ143" s="5">
        <v>1419</v>
      </c>
      <c r="BA143" s="5">
        <v>0</v>
      </c>
      <c r="BB143" s="5">
        <v>-1419</v>
      </c>
      <c r="BD143" s="2">
        <v>3</v>
      </c>
      <c r="BF143" s="787">
        <v>12.45</v>
      </c>
      <c r="BG143" s="325">
        <v>150000636</v>
      </c>
    </row>
    <row r="144" spans="1:59" ht="24.9" customHeight="1" x14ac:dyDescent="0.3">
      <c r="A144" s="325">
        <v>150000637</v>
      </c>
      <c r="B144" s="445" t="s">
        <v>88</v>
      </c>
      <c r="C144" s="27">
        <v>1</v>
      </c>
      <c r="D144" s="101" t="s">
        <v>455</v>
      </c>
      <c r="E144" s="786">
        <v>164.45</v>
      </c>
      <c r="F144" s="5">
        <v>112</v>
      </c>
      <c r="G144" s="5">
        <v>0</v>
      </c>
      <c r="H144" s="5">
        <v>-112</v>
      </c>
      <c r="I144" s="5">
        <v>0</v>
      </c>
      <c r="J144" s="5">
        <v>0</v>
      </c>
      <c r="K144" s="153"/>
      <c r="L144" s="5">
        <v>0</v>
      </c>
      <c r="M144" s="5">
        <v>0</v>
      </c>
      <c r="N144" s="5"/>
      <c r="O144" s="5">
        <v>0</v>
      </c>
      <c r="P144" s="5">
        <v>0</v>
      </c>
      <c r="Q144" s="784"/>
      <c r="R144" s="5">
        <v>0</v>
      </c>
      <c r="S144" s="5">
        <v>0</v>
      </c>
      <c r="T144" s="628"/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/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/>
      <c r="AH144" s="5">
        <v>0</v>
      </c>
      <c r="AI144" s="5">
        <v>0</v>
      </c>
      <c r="AJ144" s="5"/>
      <c r="AK144" s="5">
        <v>0</v>
      </c>
      <c r="AL144" s="5">
        <v>0</v>
      </c>
      <c r="AM144" s="5"/>
      <c r="AN144" s="5">
        <v>0</v>
      </c>
      <c r="AO144" s="5">
        <v>0</v>
      </c>
      <c r="AP144" s="5"/>
      <c r="AQ144" s="5">
        <v>0</v>
      </c>
      <c r="AR144" s="5">
        <v>0</v>
      </c>
      <c r="AS144" s="5"/>
      <c r="AT144" s="5">
        <v>0</v>
      </c>
      <c r="AU144" s="5">
        <v>0</v>
      </c>
      <c r="AV144" s="5"/>
      <c r="AW144" s="5">
        <v>3.6444999999999999</v>
      </c>
      <c r="AX144" s="5">
        <v>0</v>
      </c>
      <c r="AY144" s="5"/>
      <c r="AZ144" s="5">
        <v>2</v>
      </c>
      <c r="BA144" s="5">
        <v>0</v>
      </c>
      <c r="BB144" s="5">
        <v>-2</v>
      </c>
      <c r="BD144" s="2">
        <v>3</v>
      </c>
      <c r="BF144" s="787">
        <v>0</v>
      </c>
      <c r="BG144" s="325">
        <v>150000637</v>
      </c>
    </row>
    <row r="145" spans="1:59" ht="24.9" customHeight="1" x14ac:dyDescent="0.3">
      <c r="A145" s="325">
        <v>150000555</v>
      </c>
      <c r="B145" s="445" t="s">
        <v>89</v>
      </c>
      <c r="C145" s="27">
        <v>1</v>
      </c>
      <c r="D145" s="101" t="s">
        <v>455</v>
      </c>
      <c r="E145" s="786">
        <v>175.5</v>
      </c>
      <c r="F145" s="5">
        <v>121</v>
      </c>
      <c r="G145" s="5">
        <v>0</v>
      </c>
      <c r="H145" s="5">
        <v>-121</v>
      </c>
      <c r="I145" s="5">
        <v>0</v>
      </c>
      <c r="J145" s="5">
        <v>0</v>
      </c>
      <c r="K145" s="153"/>
      <c r="L145" s="5">
        <v>0</v>
      </c>
      <c r="M145" s="5">
        <v>0</v>
      </c>
      <c r="N145" s="5"/>
      <c r="O145" s="5">
        <v>0</v>
      </c>
      <c r="P145" s="5">
        <v>0</v>
      </c>
      <c r="Q145" s="784"/>
      <c r="R145" s="5">
        <v>0</v>
      </c>
      <c r="S145" s="5">
        <v>0</v>
      </c>
      <c r="T145" s="628"/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/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/>
      <c r="AH145" s="5">
        <v>0</v>
      </c>
      <c r="AI145" s="5">
        <v>0</v>
      </c>
      <c r="AJ145" s="5"/>
      <c r="AK145" s="5">
        <v>0</v>
      </c>
      <c r="AL145" s="5">
        <v>0</v>
      </c>
      <c r="AM145" s="5"/>
      <c r="AN145" s="5">
        <v>0</v>
      </c>
      <c r="AO145" s="5">
        <v>0</v>
      </c>
      <c r="AP145" s="5"/>
      <c r="AQ145" s="5">
        <v>0</v>
      </c>
      <c r="AR145" s="5">
        <v>0</v>
      </c>
      <c r="AS145" s="5"/>
      <c r="AT145" s="5">
        <v>0</v>
      </c>
      <c r="AU145" s="5">
        <v>0</v>
      </c>
      <c r="AV145" s="5"/>
      <c r="AW145" s="5">
        <v>3.7549999999999999</v>
      </c>
      <c r="AX145" s="5">
        <v>0</v>
      </c>
      <c r="AY145" s="5"/>
      <c r="AZ145" s="5">
        <v>2</v>
      </c>
      <c r="BA145" s="5">
        <v>0</v>
      </c>
      <c r="BB145" s="5">
        <v>-2</v>
      </c>
      <c r="BD145" s="2">
        <v>3</v>
      </c>
      <c r="BF145" s="787">
        <v>0</v>
      </c>
      <c r="BG145" s="325">
        <v>150000555</v>
      </c>
    </row>
    <row r="146" spans="1:59" ht="24.9" customHeight="1" x14ac:dyDescent="0.3">
      <c r="A146" s="325">
        <v>150000556</v>
      </c>
      <c r="B146" s="445" t="s">
        <v>90</v>
      </c>
      <c r="C146" s="27">
        <v>1</v>
      </c>
      <c r="D146" s="101" t="s">
        <v>455</v>
      </c>
      <c r="E146" s="786">
        <v>181.9</v>
      </c>
      <c r="F146" s="5">
        <v>108</v>
      </c>
      <c r="G146" s="5">
        <v>0</v>
      </c>
      <c r="H146" s="5">
        <v>-108</v>
      </c>
      <c r="I146" s="5">
        <v>0</v>
      </c>
      <c r="J146" s="5">
        <v>0</v>
      </c>
      <c r="K146" s="153"/>
      <c r="L146" s="5">
        <v>0</v>
      </c>
      <c r="M146" s="5">
        <v>0</v>
      </c>
      <c r="N146" s="5"/>
      <c r="O146" s="5">
        <v>0</v>
      </c>
      <c r="P146" s="5">
        <v>0</v>
      </c>
      <c r="Q146" s="784"/>
      <c r="R146" s="5">
        <v>0</v>
      </c>
      <c r="S146" s="5">
        <v>0</v>
      </c>
      <c r="T146" s="628"/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/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/>
      <c r="AH146" s="5">
        <v>0</v>
      </c>
      <c r="AI146" s="5">
        <v>0</v>
      </c>
      <c r="AJ146" s="5"/>
      <c r="AK146" s="5">
        <v>0</v>
      </c>
      <c r="AL146" s="5">
        <v>0</v>
      </c>
      <c r="AM146" s="5"/>
      <c r="AN146" s="5">
        <v>0</v>
      </c>
      <c r="AO146" s="5">
        <v>0</v>
      </c>
      <c r="AP146" s="5"/>
      <c r="AQ146" s="5">
        <v>0</v>
      </c>
      <c r="AR146" s="5">
        <v>0</v>
      </c>
      <c r="AS146" s="5"/>
      <c r="AT146" s="5">
        <v>0</v>
      </c>
      <c r="AU146" s="5">
        <v>0</v>
      </c>
      <c r="AV146" s="5"/>
      <c r="AW146" s="5">
        <v>3.819</v>
      </c>
      <c r="AX146" s="5">
        <v>0</v>
      </c>
      <c r="AY146" s="5"/>
      <c r="AZ146" s="5">
        <v>2</v>
      </c>
      <c r="BA146" s="5">
        <v>0</v>
      </c>
      <c r="BB146" s="5">
        <v>-2</v>
      </c>
      <c r="BD146" s="2">
        <v>3</v>
      </c>
      <c r="BF146" s="787">
        <v>0</v>
      </c>
      <c r="BG146" s="325">
        <v>150000556</v>
      </c>
    </row>
    <row r="147" spans="1:59" ht="24.9" customHeight="1" x14ac:dyDescent="0.3">
      <c r="A147" s="325">
        <v>150000557</v>
      </c>
      <c r="B147" s="445" t="s">
        <v>91</v>
      </c>
      <c r="C147" s="27">
        <v>1</v>
      </c>
      <c r="D147" s="101" t="s">
        <v>455</v>
      </c>
      <c r="E147" s="786">
        <v>110.2</v>
      </c>
      <c r="F147" s="5">
        <v>72</v>
      </c>
      <c r="G147" s="5">
        <v>0</v>
      </c>
      <c r="H147" s="5">
        <v>-72</v>
      </c>
      <c r="I147" s="5">
        <v>0</v>
      </c>
      <c r="J147" s="5">
        <v>0</v>
      </c>
      <c r="K147" s="153"/>
      <c r="L147" s="5">
        <v>0</v>
      </c>
      <c r="M147" s="5">
        <v>0</v>
      </c>
      <c r="N147" s="5"/>
      <c r="O147" s="5">
        <v>0</v>
      </c>
      <c r="P147" s="5">
        <v>0</v>
      </c>
      <c r="Q147" s="784"/>
      <c r="R147" s="5">
        <v>0</v>
      </c>
      <c r="S147" s="5">
        <v>0</v>
      </c>
      <c r="T147" s="628"/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/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/>
      <c r="AH147" s="5">
        <v>0</v>
      </c>
      <c r="AI147" s="5">
        <v>0</v>
      </c>
      <c r="AJ147" s="5"/>
      <c r="AK147" s="5">
        <v>0</v>
      </c>
      <c r="AL147" s="5">
        <v>0</v>
      </c>
      <c r="AM147" s="5"/>
      <c r="AN147" s="5">
        <v>0</v>
      </c>
      <c r="AO147" s="5">
        <v>0</v>
      </c>
      <c r="AP147" s="5"/>
      <c r="AQ147" s="5">
        <v>0</v>
      </c>
      <c r="AR147" s="5">
        <v>0</v>
      </c>
      <c r="AS147" s="5"/>
      <c r="AT147" s="5">
        <v>0</v>
      </c>
      <c r="AU147" s="5">
        <v>0</v>
      </c>
      <c r="AV147" s="5"/>
      <c r="AW147" s="5">
        <v>2.1020000000000003</v>
      </c>
      <c r="AX147" s="5">
        <v>0</v>
      </c>
      <c r="AY147" s="5"/>
      <c r="AZ147" s="5">
        <v>1</v>
      </c>
      <c r="BA147" s="5">
        <v>0</v>
      </c>
      <c r="BB147" s="5">
        <v>-1</v>
      </c>
      <c r="BD147" s="2">
        <v>3</v>
      </c>
      <c r="BF147" s="787">
        <v>0</v>
      </c>
      <c r="BG147" s="325">
        <v>150000557</v>
      </c>
    </row>
    <row r="148" spans="1:59" ht="24.9" customHeight="1" x14ac:dyDescent="0.3">
      <c r="A148" s="325">
        <v>150000552</v>
      </c>
      <c r="B148" s="445" t="s">
        <v>92</v>
      </c>
      <c r="C148" s="27">
        <v>1</v>
      </c>
      <c r="D148" s="101" t="s">
        <v>455</v>
      </c>
      <c r="E148" s="786">
        <v>100.2</v>
      </c>
      <c r="F148" s="5">
        <v>67</v>
      </c>
      <c r="G148" s="5">
        <v>0</v>
      </c>
      <c r="H148" s="5">
        <v>-67</v>
      </c>
      <c r="I148" s="5">
        <v>0</v>
      </c>
      <c r="J148" s="5">
        <v>0</v>
      </c>
      <c r="K148" s="153"/>
      <c r="L148" s="5">
        <v>0</v>
      </c>
      <c r="M148" s="5">
        <v>0</v>
      </c>
      <c r="N148" s="5"/>
      <c r="O148" s="5">
        <v>0</v>
      </c>
      <c r="P148" s="5">
        <v>0</v>
      </c>
      <c r="Q148" s="784"/>
      <c r="R148" s="5">
        <v>0</v>
      </c>
      <c r="S148" s="5">
        <v>0</v>
      </c>
      <c r="T148" s="628"/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/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/>
      <c r="AH148" s="5">
        <v>0</v>
      </c>
      <c r="AI148" s="5">
        <v>0</v>
      </c>
      <c r="AJ148" s="5"/>
      <c r="AK148" s="5">
        <v>0</v>
      </c>
      <c r="AL148" s="5">
        <v>0</v>
      </c>
      <c r="AM148" s="5"/>
      <c r="AN148" s="5">
        <v>0</v>
      </c>
      <c r="AO148" s="5">
        <v>0</v>
      </c>
      <c r="AP148" s="5"/>
      <c r="AQ148" s="5">
        <v>0</v>
      </c>
      <c r="AR148" s="5">
        <v>0</v>
      </c>
      <c r="AS148" s="5"/>
      <c r="AT148" s="5">
        <v>0</v>
      </c>
      <c r="AU148" s="5">
        <v>0</v>
      </c>
      <c r="AV148" s="5"/>
      <c r="AW148" s="5">
        <v>2.0019999999999998</v>
      </c>
      <c r="AX148" s="5">
        <v>0</v>
      </c>
      <c r="AY148" s="5"/>
      <c r="AZ148" s="5">
        <v>1</v>
      </c>
      <c r="BA148" s="5">
        <v>0</v>
      </c>
      <c r="BB148" s="5">
        <v>-1</v>
      </c>
      <c r="BD148" s="2">
        <v>3</v>
      </c>
      <c r="BF148" s="787">
        <v>0</v>
      </c>
      <c r="BG148" s="325">
        <v>150000552</v>
      </c>
    </row>
    <row r="149" spans="1:59" ht="24.9" customHeight="1" x14ac:dyDescent="0.3">
      <c r="A149" s="325">
        <v>150000553</v>
      </c>
      <c r="B149" s="445" t="s">
        <v>260</v>
      </c>
      <c r="C149" s="27">
        <v>5</v>
      </c>
      <c r="D149" s="101" t="s">
        <v>455</v>
      </c>
      <c r="E149" s="786">
        <v>3167.3</v>
      </c>
      <c r="F149" s="5">
        <v>1897</v>
      </c>
      <c r="G149" s="5">
        <v>0</v>
      </c>
      <c r="H149" s="5">
        <v>-1897</v>
      </c>
      <c r="I149" s="5">
        <v>0</v>
      </c>
      <c r="J149" s="5">
        <v>0</v>
      </c>
      <c r="K149" s="153"/>
      <c r="L149" s="5">
        <v>0</v>
      </c>
      <c r="M149" s="5">
        <v>0</v>
      </c>
      <c r="N149" s="5"/>
      <c r="O149" s="5">
        <v>0</v>
      </c>
      <c r="P149" s="5">
        <v>0</v>
      </c>
      <c r="Q149" s="784"/>
      <c r="R149" s="5">
        <v>0</v>
      </c>
      <c r="S149" s="5">
        <v>0</v>
      </c>
      <c r="T149" s="628"/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/>
      <c r="AA149" s="5">
        <v>0</v>
      </c>
      <c r="AB149" s="5">
        <v>0</v>
      </c>
      <c r="AC149" s="5">
        <v>0</v>
      </c>
      <c r="AD149" s="5">
        <v>0</v>
      </c>
      <c r="AE149" s="5">
        <v>733.84940701900132</v>
      </c>
      <c r="AF149" s="5">
        <v>0</v>
      </c>
      <c r="AG149" s="5"/>
      <c r="AH149" s="5">
        <v>980.43776056566162</v>
      </c>
      <c r="AI149" s="5">
        <v>0</v>
      </c>
      <c r="AJ149" s="8"/>
      <c r="AK149" s="5">
        <v>190.27056177646</v>
      </c>
      <c r="AL149" s="5">
        <v>0</v>
      </c>
      <c r="AM149" s="8"/>
      <c r="AN149" s="5">
        <v>0</v>
      </c>
      <c r="AO149" s="5">
        <v>0</v>
      </c>
      <c r="AP149" s="5"/>
      <c r="AQ149" s="5">
        <v>0</v>
      </c>
      <c r="AR149" s="5">
        <v>0</v>
      </c>
      <c r="AS149" s="5"/>
      <c r="AT149" s="5">
        <v>623.99070406598059</v>
      </c>
      <c r="AU149" s="5">
        <v>0</v>
      </c>
      <c r="AV149" s="461"/>
      <c r="AW149" s="5">
        <v>69.772999999999996</v>
      </c>
      <c r="AX149" s="5">
        <v>0</v>
      </c>
      <c r="AY149" s="5"/>
      <c r="AZ149" s="5">
        <v>1299</v>
      </c>
      <c r="BA149" s="5">
        <v>0</v>
      </c>
      <c r="BB149" s="5">
        <v>-1299</v>
      </c>
      <c r="BD149" s="2">
        <v>3</v>
      </c>
      <c r="BF149" s="787">
        <v>13.63</v>
      </c>
      <c r="BG149" s="325">
        <v>150000553</v>
      </c>
    </row>
    <row r="150" spans="1:59" ht="24.9" customHeight="1" x14ac:dyDescent="0.3">
      <c r="A150" s="325">
        <v>150000493</v>
      </c>
      <c r="B150" s="445" t="s">
        <v>418</v>
      </c>
      <c r="C150" s="27">
        <v>10</v>
      </c>
      <c r="D150" s="101" t="s">
        <v>455</v>
      </c>
      <c r="E150" s="786">
        <v>7111.44</v>
      </c>
      <c r="F150" s="5">
        <v>4298</v>
      </c>
      <c r="G150" s="5">
        <v>3685</v>
      </c>
      <c r="H150" s="5">
        <v>-3235</v>
      </c>
      <c r="I150" s="5">
        <v>0</v>
      </c>
      <c r="J150" s="5">
        <v>0</v>
      </c>
      <c r="K150" s="153"/>
      <c r="L150" s="5">
        <v>0</v>
      </c>
      <c r="M150" s="5">
        <v>0</v>
      </c>
      <c r="N150" s="5"/>
      <c r="O150" s="5">
        <v>0</v>
      </c>
      <c r="P150" s="5">
        <v>0</v>
      </c>
      <c r="Q150" s="784"/>
      <c r="R150" s="5">
        <v>1</v>
      </c>
      <c r="S150" s="5">
        <v>3685</v>
      </c>
      <c r="T150" s="628"/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/>
      <c r="AA150" s="5">
        <v>0</v>
      </c>
      <c r="AB150" s="5">
        <v>0</v>
      </c>
      <c r="AC150" s="5">
        <v>0</v>
      </c>
      <c r="AD150" s="5">
        <v>0</v>
      </c>
      <c r="AE150" s="5">
        <v>1556.4552039433993</v>
      </c>
      <c r="AF150" s="5">
        <v>221</v>
      </c>
      <c r="AG150" s="5"/>
      <c r="AH150" s="5">
        <v>1606.2814921011072</v>
      </c>
      <c r="AI150" s="5">
        <v>0</v>
      </c>
      <c r="AJ150" s="5"/>
      <c r="AK150" s="5">
        <v>476.28882321086496</v>
      </c>
      <c r="AL150" s="5">
        <v>0</v>
      </c>
      <c r="AM150" s="5"/>
      <c r="AN150" s="5">
        <v>1465.6785353633979</v>
      </c>
      <c r="AO150" s="5">
        <v>0</v>
      </c>
      <c r="AP150" s="5"/>
      <c r="AQ150" s="5">
        <v>669.8275408025828</v>
      </c>
      <c r="AR150" s="5">
        <v>0</v>
      </c>
      <c r="AS150" s="5"/>
      <c r="AT150" s="5">
        <v>885.82070392608944</v>
      </c>
      <c r="AU150" s="5">
        <v>0</v>
      </c>
      <c r="AV150" s="5"/>
      <c r="AW150" s="5">
        <v>56.028079239401876</v>
      </c>
      <c r="AX150" s="5">
        <v>0</v>
      </c>
      <c r="AY150" s="5"/>
      <c r="AZ150" s="5">
        <v>3358</v>
      </c>
      <c r="BA150" s="5">
        <v>221</v>
      </c>
      <c r="BB150" s="5">
        <v>-3138</v>
      </c>
      <c r="BD150" s="2">
        <v>1</v>
      </c>
      <c r="BF150" s="787">
        <v>39.99</v>
      </c>
      <c r="BG150" s="325">
        <v>150000493</v>
      </c>
    </row>
    <row r="151" spans="1:59" ht="24.9" customHeight="1" x14ac:dyDescent="0.3">
      <c r="A151" s="325">
        <v>150000494</v>
      </c>
      <c r="B151" s="445" t="s">
        <v>419</v>
      </c>
      <c r="C151" s="27">
        <v>10</v>
      </c>
      <c r="D151" s="101" t="s">
        <v>455</v>
      </c>
      <c r="E151" s="786">
        <v>9469.1</v>
      </c>
      <c r="F151" s="5">
        <v>5411</v>
      </c>
      <c r="G151" s="5">
        <v>627</v>
      </c>
      <c r="H151" s="5">
        <v>-4784</v>
      </c>
      <c r="I151" s="5">
        <v>0</v>
      </c>
      <c r="J151" s="5">
        <v>0</v>
      </c>
      <c r="K151" s="153"/>
      <c r="L151" s="5">
        <v>0</v>
      </c>
      <c r="M151" s="5">
        <v>0</v>
      </c>
      <c r="N151" s="788"/>
      <c r="O151" s="5">
        <v>0</v>
      </c>
      <c r="P151" s="5">
        <v>0</v>
      </c>
      <c r="Q151" s="784"/>
      <c r="R151" s="5">
        <v>0</v>
      </c>
      <c r="S151" s="5">
        <v>0</v>
      </c>
      <c r="T151" s="630"/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/>
      <c r="AA151" s="5">
        <v>0</v>
      </c>
      <c r="AB151" s="5">
        <v>0</v>
      </c>
      <c r="AC151" s="5">
        <v>0</v>
      </c>
      <c r="AD151" s="5">
        <v>627</v>
      </c>
      <c r="AE151" s="5">
        <v>1752.0933855170815</v>
      </c>
      <c r="AF151" s="5">
        <v>366</v>
      </c>
      <c r="AG151" s="454"/>
      <c r="AH151" s="5">
        <v>1873.9450543223015</v>
      </c>
      <c r="AI151" s="5">
        <v>0</v>
      </c>
      <c r="AJ151" s="5"/>
      <c r="AK151" s="5">
        <v>796.11264940215096</v>
      </c>
      <c r="AL151" s="5">
        <v>0</v>
      </c>
      <c r="AM151" s="452"/>
      <c r="AN151" s="5">
        <v>1907.5758026920901</v>
      </c>
      <c r="AO151" s="5">
        <v>0</v>
      </c>
      <c r="AP151" s="5"/>
      <c r="AQ151" s="5">
        <v>669.8275408025828</v>
      </c>
      <c r="AR151" s="5">
        <v>0</v>
      </c>
      <c r="AS151" s="454"/>
      <c r="AT151" s="5">
        <v>923.91064648334077</v>
      </c>
      <c r="AU151" s="5">
        <v>1193</v>
      </c>
      <c r="AV151" s="5"/>
      <c r="AW151" s="5">
        <v>57.7446746261163</v>
      </c>
      <c r="AX151" s="5">
        <v>0</v>
      </c>
      <c r="AY151" s="5"/>
      <c r="AZ151" s="5">
        <v>3990</v>
      </c>
      <c r="BA151" s="5">
        <v>1193</v>
      </c>
      <c r="BB151" s="5">
        <v>-2797</v>
      </c>
      <c r="BD151" s="2">
        <v>1</v>
      </c>
      <c r="BF151" s="787">
        <v>150.83000000000001</v>
      </c>
      <c r="BG151" s="325">
        <v>150000494</v>
      </c>
    </row>
    <row r="152" spans="1:59" ht="24.9" customHeight="1" x14ac:dyDescent="0.3">
      <c r="A152" s="325">
        <v>150000688</v>
      </c>
      <c r="B152" s="445" t="s">
        <v>93</v>
      </c>
      <c r="C152" s="27">
        <v>1</v>
      </c>
      <c r="D152" s="101" t="s">
        <v>455</v>
      </c>
      <c r="E152" s="786">
        <v>241.1</v>
      </c>
      <c r="F152" s="5">
        <v>147</v>
      </c>
      <c r="G152" s="5">
        <v>0</v>
      </c>
      <c r="H152" s="5">
        <v>-147</v>
      </c>
      <c r="I152" s="5">
        <v>0</v>
      </c>
      <c r="J152" s="5">
        <v>0</v>
      </c>
      <c r="K152" s="153"/>
      <c r="L152" s="5">
        <v>0</v>
      </c>
      <c r="M152" s="5">
        <v>0</v>
      </c>
      <c r="N152" s="5"/>
      <c r="O152" s="5">
        <v>0</v>
      </c>
      <c r="P152" s="5">
        <v>0</v>
      </c>
      <c r="Q152" s="784"/>
      <c r="R152" s="5">
        <v>0</v>
      </c>
      <c r="S152" s="5">
        <v>0</v>
      </c>
      <c r="T152" s="628"/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/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/>
      <c r="AH152" s="5">
        <v>0</v>
      </c>
      <c r="AI152" s="5">
        <v>0</v>
      </c>
      <c r="AJ152" s="5"/>
      <c r="AK152" s="5">
        <v>0</v>
      </c>
      <c r="AL152" s="5">
        <v>0</v>
      </c>
      <c r="AM152" s="5"/>
      <c r="AN152" s="5">
        <v>0</v>
      </c>
      <c r="AO152" s="5">
        <v>0</v>
      </c>
      <c r="AP152" s="5"/>
      <c r="AQ152" s="5">
        <v>0</v>
      </c>
      <c r="AR152" s="5">
        <v>0</v>
      </c>
      <c r="AS152" s="5"/>
      <c r="AT152" s="5">
        <v>0</v>
      </c>
      <c r="AU152" s="5">
        <v>0</v>
      </c>
      <c r="AV152" s="5"/>
      <c r="AW152" s="5">
        <v>4.4109999999999996</v>
      </c>
      <c r="AX152" s="5">
        <v>0</v>
      </c>
      <c r="AY152" s="5"/>
      <c r="AZ152" s="5">
        <v>2</v>
      </c>
      <c r="BA152" s="5">
        <v>0</v>
      </c>
      <c r="BB152" s="5">
        <v>-2</v>
      </c>
      <c r="BD152" s="2">
        <v>3</v>
      </c>
      <c r="BF152" s="787">
        <v>0</v>
      </c>
      <c r="BG152" s="325">
        <v>150000688</v>
      </c>
    </row>
    <row r="153" spans="1:59" ht="24.9" customHeight="1" x14ac:dyDescent="0.3">
      <c r="A153" s="325">
        <v>150000689</v>
      </c>
      <c r="B153" s="445" t="s">
        <v>94</v>
      </c>
      <c r="C153" s="27">
        <v>1</v>
      </c>
      <c r="D153" s="101" t="s">
        <v>455</v>
      </c>
      <c r="E153" s="786">
        <v>188.9</v>
      </c>
      <c r="F153" s="5">
        <v>86</v>
      </c>
      <c r="G153" s="5">
        <v>0</v>
      </c>
      <c r="H153" s="5">
        <v>-86</v>
      </c>
      <c r="I153" s="5">
        <v>0</v>
      </c>
      <c r="J153" s="5">
        <v>0</v>
      </c>
      <c r="K153" s="153"/>
      <c r="L153" s="5">
        <v>0</v>
      </c>
      <c r="M153" s="5">
        <v>0</v>
      </c>
      <c r="N153" s="5"/>
      <c r="O153" s="5">
        <v>0</v>
      </c>
      <c r="P153" s="5">
        <v>0</v>
      </c>
      <c r="Q153" s="784"/>
      <c r="R153" s="5">
        <v>0</v>
      </c>
      <c r="S153" s="5">
        <v>0</v>
      </c>
      <c r="T153" s="628"/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/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/>
      <c r="AH153" s="5">
        <v>0</v>
      </c>
      <c r="AI153" s="5">
        <v>0</v>
      </c>
      <c r="AJ153" s="5"/>
      <c r="AK153" s="5">
        <v>0</v>
      </c>
      <c r="AL153" s="5">
        <v>0</v>
      </c>
      <c r="AM153" s="5"/>
      <c r="AN153" s="5">
        <v>0</v>
      </c>
      <c r="AO153" s="5">
        <v>0</v>
      </c>
      <c r="AP153" s="5"/>
      <c r="AQ153" s="5">
        <v>0</v>
      </c>
      <c r="AR153" s="5">
        <v>0</v>
      </c>
      <c r="AS153" s="5"/>
      <c r="AT153" s="5">
        <v>0</v>
      </c>
      <c r="AU153" s="5">
        <v>0</v>
      </c>
      <c r="AV153" s="5"/>
      <c r="AW153" s="5">
        <v>3.8570000000000002</v>
      </c>
      <c r="AX153" s="5">
        <v>0</v>
      </c>
      <c r="AY153" s="5"/>
      <c r="AZ153" s="5">
        <v>2</v>
      </c>
      <c r="BA153" s="5">
        <v>0</v>
      </c>
      <c r="BB153" s="5">
        <v>-2</v>
      </c>
      <c r="BD153" s="2">
        <v>3</v>
      </c>
      <c r="BF153" s="787">
        <v>0</v>
      </c>
      <c r="BG153" s="325">
        <v>150000689</v>
      </c>
    </row>
    <row r="154" spans="1:59" ht="24.9" customHeight="1" x14ac:dyDescent="0.3">
      <c r="A154" s="325">
        <v>150000693</v>
      </c>
      <c r="B154" s="445" t="s">
        <v>95</v>
      </c>
      <c r="C154" s="27">
        <v>1</v>
      </c>
      <c r="D154" s="101" t="s">
        <v>455</v>
      </c>
      <c r="E154" s="786">
        <v>165.8</v>
      </c>
      <c r="F154" s="5">
        <v>79</v>
      </c>
      <c r="G154" s="5">
        <v>0</v>
      </c>
      <c r="H154" s="5">
        <v>-79</v>
      </c>
      <c r="I154" s="5">
        <v>0</v>
      </c>
      <c r="J154" s="5">
        <v>0</v>
      </c>
      <c r="K154" s="153"/>
      <c r="L154" s="5">
        <v>0</v>
      </c>
      <c r="M154" s="5">
        <v>0</v>
      </c>
      <c r="N154" s="5"/>
      <c r="O154" s="5">
        <v>0</v>
      </c>
      <c r="P154" s="5">
        <v>0</v>
      </c>
      <c r="Q154" s="784"/>
      <c r="R154" s="5">
        <v>0</v>
      </c>
      <c r="S154" s="5">
        <v>0</v>
      </c>
      <c r="T154" s="628"/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/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/>
      <c r="AH154" s="5">
        <v>0</v>
      </c>
      <c r="AI154" s="5">
        <v>0</v>
      </c>
      <c r="AJ154" s="5"/>
      <c r="AK154" s="5">
        <v>0</v>
      </c>
      <c r="AL154" s="5">
        <v>0</v>
      </c>
      <c r="AM154" s="5"/>
      <c r="AN154" s="5">
        <v>0</v>
      </c>
      <c r="AO154" s="5">
        <v>0</v>
      </c>
      <c r="AP154" s="5"/>
      <c r="AQ154" s="5">
        <v>0</v>
      </c>
      <c r="AR154" s="5">
        <v>0</v>
      </c>
      <c r="AS154" s="5"/>
      <c r="AT154" s="5">
        <v>0</v>
      </c>
      <c r="AU154" s="5">
        <v>0</v>
      </c>
      <c r="AV154" s="5"/>
      <c r="AW154" s="5">
        <v>3.6580000000000004</v>
      </c>
      <c r="AX154" s="5">
        <v>0</v>
      </c>
      <c r="AY154" s="5"/>
      <c r="AZ154" s="5">
        <v>2</v>
      </c>
      <c r="BA154" s="5">
        <v>0</v>
      </c>
      <c r="BB154" s="5">
        <v>-2</v>
      </c>
      <c r="BD154" s="2">
        <v>3</v>
      </c>
      <c r="BF154" s="787">
        <v>0</v>
      </c>
      <c r="BG154" s="325">
        <v>150000693</v>
      </c>
    </row>
    <row r="155" spans="1:59" ht="24.9" customHeight="1" x14ac:dyDescent="0.3">
      <c r="A155" s="325">
        <v>150000690</v>
      </c>
      <c r="B155" s="445" t="s">
        <v>96</v>
      </c>
      <c r="C155" s="27">
        <v>1</v>
      </c>
      <c r="D155" s="101" t="s">
        <v>455</v>
      </c>
      <c r="E155" s="786">
        <v>142.1</v>
      </c>
      <c r="F155" s="5">
        <v>66</v>
      </c>
      <c r="G155" s="5">
        <v>0</v>
      </c>
      <c r="H155" s="5">
        <v>-66</v>
      </c>
      <c r="I155" s="5">
        <v>0</v>
      </c>
      <c r="J155" s="5">
        <v>0</v>
      </c>
      <c r="K155" s="153"/>
      <c r="L155" s="5">
        <v>0</v>
      </c>
      <c r="M155" s="5">
        <v>0</v>
      </c>
      <c r="N155" s="5"/>
      <c r="O155" s="5">
        <v>0</v>
      </c>
      <c r="P155" s="5">
        <v>0</v>
      </c>
      <c r="Q155" s="784"/>
      <c r="R155" s="5">
        <v>0</v>
      </c>
      <c r="S155" s="5">
        <v>0</v>
      </c>
      <c r="T155" s="628"/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/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/>
      <c r="AH155" s="5">
        <v>0</v>
      </c>
      <c r="AI155" s="5">
        <v>0</v>
      </c>
      <c r="AJ155" s="5"/>
      <c r="AK155" s="5">
        <v>0</v>
      </c>
      <c r="AL155" s="5">
        <v>0</v>
      </c>
      <c r="AM155" s="5"/>
      <c r="AN155" s="5">
        <v>0</v>
      </c>
      <c r="AO155" s="5">
        <v>0</v>
      </c>
      <c r="AP155" s="5"/>
      <c r="AQ155" s="5">
        <v>0</v>
      </c>
      <c r="AR155" s="5">
        <v>0</v>
      </c>
      <c r="AS155" s="5"/>
      <c r="AT155" s="5">
        <v>0</v>
      </c>
      <c r="AU155" s="5">
        <v>0</v>
      </c>
      <c r="AV155" s="5"/>
      <c r="AW155" s="5">
        <v>2.4210000000000003</v>
      </c>
      <c r="AX155" s="5">
        <v>0</v>
      </c>
      <c r="AY155" s="5"/>
      <c r="AZ155" s="5">
        <v>1</v>
      </c>
      <c r="BA155" s="5">
        <v>0</v>
      </c>
      <c r="BB155" s="5">
        <v>-1</v>
      </c>
      <c r="BD155" s="2">
        <v>3</v>
      </c>
      <c r="BF155" s="787">
        <v>0</v>
      </c>
      <c r="BG155" s="325">
        <v>150000690</v>
      </c>
    </row>
    <row r="156" spans="1:59" ht="24.9" customHeight="1" x14ac:dyDescent="0.3">
      <c r="A156" s="325">
        <v>150000648</v>
      </c>
      <c r="B156" s="445" t="s">
        <v>362</v>
      </c>
      <c r="C156" s="27">
        <v>9</v>
      </c>
      <c r="D156" s="101" t="s">
        <v>455</v>
      </c>
      <c r="E156" s="786">
        <v>3815</v>
      </c>
      <c r="F156" s="5">
        <v>1891</v>
      </c>
      <c r="G156" s="5">
        <v>0</v>
      </c>
      <c r="H156" s="5">
        <v>-1891</v>
      </c>
      <c r="I156" s="5">
        <v>0</v>
      </c>
      <c r="J156" s="5">
        <v>0</v>
      </c>
      <c r="K156" s="153"/>
      <c r="L156" s="5">
        <v>0</v>
      </c>
      <c r="M156" s="5">
        <v>0</v>
      </c>
      <c r="N156" s="5"/>
      <c r="O156" s="5">
        <v>0</v>
      </c>
      <c r="P156" s="5">
        <v>0</v>
      </c>
      <c r="Q156" s="784"/>
      <c r="R156" s="5">
        <v>0</v>
      </c>
      <c r="S156" s="5">
        <v>0</v>
      </c>
      <c r="T156" s="628"/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/>
      <c r="AA156" s="5">
        <v>0</v>
      </c>
      <c r="AB156" s="5">
        <v>0</v>
      </c>
      <c r="AC156" s="5">
        <v>0</v>
      </c>
      <c r="AD156" s="5">
        <v>0</v>
      </c>
      <c r="AE156" s="5">
        <v>592.37744189846921</v>
      </c>
      <c r="AF156" s="5">
        <v>0</v>
      </c>
      <c r="AG156" s="5"/>
      <c r="AH156" s="5">
        <v>603.53754872334366</v>
      </c>
      <c r="AI156" s="5">
        <v>0</v>
      </c>
      <c r="AJ156" s="5"/>
      <c r="AK156" s="5">
        <v>337.53657295275343</v>
      </c>
      <c r="AL156" s="5">
        <v>0</v>
      </c>
      <c r="AM156" s="5"/>
      <c r="AN156" s="5">
        <v>827.67639330224097</v>
      </c>
      <c r="AO156" s="5">
        <v>0</v>
      </c>
      <c r="AP156" s="5"/>
      <c r="AQ156" s="5">
        <v>208.49194222289759</v>
      </c>
      <c r="AR156" s="5">
        <v>0</v>
      </c>
      <c r="AS156" s="5"/>
      <c r="AT156" s="5">
        <v>158.08461696981038</v>
      </c>
      <c r="AU156" s="5">
        <v>0</v>
      </c>
      <c r="AV156" s="5"/>
      <c r="AW156" s="5">
        <v>76.150000000000006</v>
      </c>
      <c r="AX156" s="5">
        <v>0</v>
      </c>
      <c r="AY156" s="5"/>
      <c r="AZ156" s="5">
        <v>1402</v>
      </c>
      <c r="BA156" s="5">
        <v>0</v>
      </c>
      <c r="BB156" s="5">
        <v>-1402</v>
      </c>
      <c r="BD156" s="2">
        <v>3</v>
      </c>
      <c r="BF156" s="787">
        <v>14.95</v>
      </c>
      <c r="BG156" s="325">
        <v>150000648</v>
      </c>
    </row>
    <row r="157" spans="1:59" ht="24.9" customHeight="1" x14ac:dyDescent="0.3">
      <c r="A157" s="325">
        <v>150000647</v>
      </c>
      <c r="B157" s="445" t="s">
        <v>97</v>
      </c>
      <c r="C157" s="27">
        <v>1</v>
      </c>
      <c r="D157" s="101" t="s">
        <v>455</v>
      </c>
      <c r="E157" s="786">
        <v>278.14999999999998</v>
      </c>
      <c r="F157" s="5">
        <v>192</v>
      </c>
      <c r="G157" s="5">
        <v>0</v>
      </c>
      <c r="H157" s="5">
        <v>-192</v>
      </c>
      <c r="I157" s="5">
        <v>0</v>
      </c>
      <c r="J157" s="5">
        <v>0</v>
      </c>
      <c r="K157" s="153"/>
      <c r="L157" s="5">
        <v>0</v>
      </c>
      <c r="M157" s="5">
        <v>0</v>
      </c>
      <c r="N157" s="5"/>
      <c r="O157" s="5">
        <v>0</v>
      </c>
      <c r="P157" s="5">
        <v>0</v>
      </c>
      <c r="Q157" s="784"/>
      <c r="R157" s="5">
        <v>0</v>
      </c>
      <c r="S157" s="5">
        <v>0</v>
      </c>
      <c r="T157" s="628"/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/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/>
      <c r="AH157" s="5">
        <v>0</v>
      </c>
      <c r="AI157" s="5">
        <v>0</v>
      </c>
      <c r="AJ157" s="5"/>
      <c r="AK157" s="5">
        <v>0</v>
      </c>
      <c r="AL157" s="5">
        <v>0</v>
      </c>
      <c r="AM157" s="5"/>
      <c r="AN157" s="5">
        <v>0</v>
      </c>
      <c r="AO157" s="5">
        <v>0</v>
      </c>
      <c r="AP157" s="5"/>
      <c r="AQ157" s="5">
        <v>0</v>
      </c>
      <c r="AR157" s="5">
        <v>0</v>
      </c>
      <c r="AS157" s="5"/>
      <c r="AT157" s="5">
        <v>0</v>
      </c>
      <c r="AU157" s="5">
        <v>0</v>
      </c>
      <c r="AV157" s="5"/>
      <c r="AW157" s="5">
        <v>5.7814999999999994</v>
      </c>
      <c r="AX157" s="5">
        <v>0</v>
      </c>
      <c r="AY157" s="5"/>
      <c r="AZ157" s="5">
        <v>3</v>
      </c>
      <c r="BA157" s="5">
        <v>0</v>
      </c>
      <c r="BB157" s="5">
        <v>-3</v>
      </c>
      <c r="BD157" s="2">
        <v>3</v>
      </c>
      <c r="BF157" s="787">
        <v>0</v>
      </c>
      <c r="BG157" s="325">
        <v>150000647</v>
      </c>
    </row>
    <row r="158" spans="1:59" ht="24.9" customHeight="1" x14ac:dyDescent="0.3">
      <c r="A158" s="325">
        <v>150000686</v>
      </c>
      <c r="B158" s="445" t="s">
        <v>98</v>
      </c>
      <c r="C158" s="27">
        <v>1</v>
      </c>
      <c r="D158" s="101" t="s">
        <v>455</v>
      </c>
      <c r="E158" s="786">
        <v>214.9</v>
      </c>
      <c r="F158" s="5">
        <v>96</v>
      </c>
      <c r="G158" s="5">
        <v>0</v>
      </c>
      <c r="H158" s="5">
        <v>-96</v>
      </c>
      <c r="I158" s="5">
        <v>0</v>
      </c>
      <c r="J158" s="5">
        <v>0</v>
      </c>
      <c r="K158" s="153"/>
      <c r="L158" s="5">
        <v>0</v>
      </c>
      <c r="M158" s="5">
        <v>0</v>
      </c>
      <c r="N158" s="5"/>
      <c r="O158" s="5">
        <v>0</v>
      </c>
      <c r="P158" s="5">
        <v>0</v>
      </c>
      <c r="Q158" s="784"/>
      <c r="R158" s="5">
        <v>0</v>
      </c>
      <c r="S158" s="5">
        <v>0</v>
      </c>
      <c r="T158" s="628"/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/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/>
      <c r="AH158" s="5">
        <v>0</v>
      </c>
      <c r="AI158" s="5">
        <v>0</v>
      </c>
      <c r="AJ158" s="5"/>
      <c r="AK158" s="5">
        <v>0</v>
      </c>
      <c r="AL158" s="5">
        <v>0</v>
      </c>
      <c r="AM158" s="5"/>
      <c r="AN158" s="5">
        <v>0</v>
      </c>
      <c r="AO158" s="5">
        <v>0</v>
      </c>
      <c r="AP158" s="5"/>
      <c r="AQ158" s="5">
        <v>0</v>
      </c>
      <c r="AR158" s="5">
        <v>0</v>
      </c>
      <c r="AS158" s="5"/>
      <c r="AT158" s="5">
        <v>0</v>
      </c>
      <c r="AU158" s="5">
        <v>0</v>
      </c>
      <c r="AV158" s="5"/>
      <c r="AW158" s="5">
        <v>4.149</v>
      </c>
      <c r="AX158" s="5">
        <v>0</v>
      </c>
      <c r="AY158" s="5"/>
      <c r="AZ158" s="5">
        <v>2</v>
      </c>
      <c r="BA158" s="5">
        <v>0</v>
      </c>
      <c r="BB158" s="5">
        <v>-2</v>
      </c>
      <c r="BD158" s="2">
        <v>3</v>
      </c>
      <c r="BF158" s="787">
        <v>0</v>
      </c>
      <c r="BG158" s="325">
        <v>150000686</v>
      </c>
    </row>
    <row r="159" spans="1:59" ht="24.9" customHeight="1" x14ac:dyDescent="0.3">
      <c r="A159" s="325">
        <v>150000796</v>
      </c>
      <c r="B159" s="445" t="s">
        <v>99</v>
      </c>
      <c r="C159" s="27">
        <v>1</v>
      </c>
      <c r="D159" s="101" t="s">
        <v>455</v>
      </c>
      <c r="E159" s="786">
        <v>180.98</v>
      </c>
      <c r="F159" s="5">
        <v>78</v>
      </c>
      <c r="G159" s="5">
        <v>0</v>
      </c>
      <c r="H159" s="5">
        <v>-78</v>
      </c>
      <c r="I159" s="5">
        <v>0</v>
      </c>
      <c r="J159" s="5">
        <v>0</v>
      </c>
      <c r="K159" s="153"/>
      <c r="L159" s="5">
        <v>0</v>
      </c>
      <c r="M159" s="5">
        <v>0</v>
      </c>
      <c r="N159" s="5"/>
      <c r="O159" s="5">
        <v>0</v>
      </c>
      <c r="P159" s="5">
        <v>0</v>
      </c>
      <c r="Q159" s="784"/>
      <c r="R159" s="5">
        <v>0</v>
      </c>
      <c r="S159" s="5">
        <v>0</v>
      </c>
      <c r="T159" s="628"/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/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/>
      <c r="AH159" s="5">
        <v>0</v>
      </c>
      <c r="AI159" s="5">
        <v>0</v>
      </c>
      <c r="AJ159" s="5"/>
      <c r="AK159" s="5">
        <v>6.0159453553883298</v>
      </c>
      <c r="AL159" s="5">
        <v>0</v>
      </c>
      <c r="AM159" s="5"/>
      <c r="AN159" s="5">
        <v>0</v>
      </c>
      <c r="AO159" s="5">
        <v>0</v>
      </c>
      <c r="AP159" s="5"/>
      <c r="AQ159" s="5">
        <v>0</v>
      </c>
      <c r="AR159" s="5">
        <v>0</v>
      </c>
      <c r="AS159" s="5"/>
      <c r="AT159" s="5">
        <v>0</v>
      </c>
      <c r="AU159" s="5">
        <v>0</v>
      </c>
      <c r="AV159" s="5"/>
      <c r="AW159" s="5">
        <v>3.8098000000000001</v>
      </c>
      <c r="AX159" s="5">
        <v>0</v>
      </c>
      <c r="AY159" s="5"/>
      <c r="AZ159" s="5">
        <v>5</v>
      </c>
      <c r="BA159" s="5">
        <v>0</v>
      </c>
      <c r="BB159" s="5">
        <v>-5</v>
      </c>
      <c r="BD159" s="2">
        <v>3</v>
      </c>
      <c r="BF159" s="787">
        <v>0</v>
      </c>
      <c r="BG159" s="325">
        <v>150000796</v>
      </c>
    </row>
    <row r="160" spans="1:59" ht="24.9" customHeight="1" x14ac:dyDescent="0.3">
      <c r="A160" s="325">
        <v>150001008</v>
      </c>
      <c r="B160" s="445" t="s">
        <v>212</v>
      </c>
      <c r="C160" s="27">
        <v>4</v>
      </c>
      <c r="D160" s="101" t="s">
        <v>455</v>
      </c>
      <c r="E160" s="786">
        <v>1485.6</v>
      </c>
      <c r="F160" s="5">
        <v>692</v>
      </c>
      <c r="G160" s="5">
        <v>0</v>
      </c>
      <c r="H160" s="5">
        <v>-692</v>
      </c>
      <c r="I160" s="5">
        <v>0</v>
      </c>
      <c r="J160" s="5">
        <v>0</v>
      </c>
      <c r="K160" s="153"/>
      <c r="L160" s="5">
        <v>0</v>
      </c>
      <c r="M160" s="5">
        <v>0</v>
      </c>
      <c r="N160" s="5"/>
      <c r="O160" s="5">
        <v>0</v>
      </c>
      <c r="P160" s="5">
        <v>0</v>
      </c>
      <c r="Q160" s="784"/>
      <c r="R160" s="5">
        <v>0</v>
      </c>
      <c r="S160" s="5">
        <v>0</v>
      </c>
      <c r="T160" s="628"/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/>
      <c r="AA160" s="5">
        <v>0</v>
      </c>
      <c r="AB160" s="5">
        <v>0</v>
      </c>
      <c r="AC160" s="5">
        <v>0</v>
      </c>
      <c r="AD160" s="5">
        <v>0</v>
      </c>
      <c r="AE160" s="5">
        <v>332.38625406834109</v>
      </c>
      <c r="AF160" s="5">
        <v>1195</v>
      </c>
      <c r="AG160" s="5"/>
      <c r="AH160" s="5">
        <v>391.80461882415943</v>
      </c>
      <c r="AI160" s="5">
        <v>0</v>
      </c>
      <c r="AJ160" s="5"/>
      <c r="AK160" s="5">
        <v>111.5853147083233</v>
      </c>
      <c r="AL160" s="5">
        <v>0</v>
      </c>
      <c r="AM160" s="5"/>
      <c r="AN160" s="5">
        <v>0</v>
      </c>
      <c r="AO160" s="5">
        <v>0</v>
      </c>
      <c r="AP160" s="5"/>
      <c r="AQ160" s="5">
        <v>0</v>
      </c>
      <c r="AR160" s="5">
        <v>0</v>
      </c>
      <c r="AS160" s="5"/>
      <c r="AT160" s="5">
        <v>158.10072357924906</v>
      </c>
      <c r="AU160" s="5">
        <v>0</v>
      </c>
      <c r="AV160" s="5"/>
      <c r="AW160" s="5">
        <v>29.856000000000002</v>
      </c>
      <c r="AX160" s="5">
        <v>0</v>
      </c>
      <c r="AY160" s="5"/>
      <c r="AZ160" s="5">
        <v>512</v>
      </c>
      <c r="BA160" s="5">
        <v>1195</v>
      </c>
      <c r="BB160" s="5">
        <v>683</v>
      </c>
      <c r="BD160" s="2">
        <v>2</v>
      </c>
      <c r="BF160" s="787">
        <v>1.45</v>
      </c>
      <c r="BG160" s="325">
        <v>150001008</v>
      </c>
    </row>
    <row r="161" spans="1:59" ht="24.9" customHeight="1" x14ac:dyDescent="0.3">
      <c r="A161" s="325">
        <v>150001033</v>
      </c>
      <c r="B161" s="445" t="s">
        <v>363</v>
      </c>
      <c r="C161" s="27">
        <v>9</v>
      </c>
      <c r="D161" s="101" t="s">
        <v>455</v>
      </c>
      <c r="E161" s="786">
        <v>4024.2</v>
      </c>
      <c r="F161" s="5">
        <v>2255</v>
      </c>
      <c r="G161" s="5">
        <v>486</v>
      </c>
      <c r="H161" s="5">
        <v>-2255</v>
      </c>
      <c r="I161" s="5">
        <v>0</v>
      </c>
      <c r="J161" s="5">
        <v>0</v>
      </c>
      <c r="K161" s="153"/>
      <c r="L161" s="5">
        <v>0</v>
      </c>
      <c r="M161" s="5">
        <v>0</v>
      </c>
      <c r="N161" s="5"/>
      <c r="O161" s="5">
        <v>0</v>
      </c>
      <c r="P161" s="5">
        <v>0</v>
      </c>
      <c r="Q161" s="784"/>
      <c r="R161" s="5">
        <v>0</v>
      </c>
      <c r="S161" s="5">
        <v>486</v>
      </c>
      <c r="T161" s="630"/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/>
      <c r="AA161" s="5">
        <v>0</v>
      </c>
      <c r="AB161" s="5">
        <v>0</v>
      </c>
      <c r="AC161" s="5">
        <v>0</v>
      </c>
      <c r="AD161" s="5">
        <v>0</v>
      </c>
      <c r="AE161" s="5">
        <v>764.13472816678939</v>
      </c>
      <c r="AF161" s="5">
        <v>0</v>
      </c>
      <c r="AG161" s="5"/>
      <c r="AH161" s="5">
        <v>849.7027674925514</v>
      </c>
      <c r="AI161" s="5">
        <v>0</v>
      </c>
      <c r="AJ161" s="5"/>
      <c r="AK161" s="5">
        <v>290.41512533786999</v>
      </c>
      <c r="AL161" s="5">
        <v>0</v>
      </c>
      <c r="AM161" s="5"/>
      <c r="AN161" s="5">
        <v>756.12967838669499</v>
      </c>
      <c r="AO161" s="5">
        <v>0</v>
      </c>
      <c r="AP161" s="5"/>
      <c r="AQ161" s="5">
        <v>417.96272557758289</v>
      </c>
      <c r="AR161" s="5">
        <v>0</v>
      </c>
      <c r="AS161" s="5"/>
      <c r="AT161" s="5">
        <v>652.21281927452856</v>
      </c>
      <c r="AU161" s="5">
        <v>0</v>
      </c>
      <c r="AV161" s="5"/>
      <c r="AW161" s="5">
        <v>46.139046650950888</v>
      </c>
      <c r="AX161" s="5">
        <v>0</v>
      </c>
      <c r="AY161" s="5"/>
      <c r="AZ161" s="5">
        <v>1889</v>
      </c>
      <c r="BA161" s="5">
        <v>0</v>
      </c>
      <c r="BB161" s="5">
        <v>-1889</v>
      </c>
      <c r="BD161" s="2">
        <v>1</v>
      </c>
      <c r="BF161" s="787">
        <v>33.74</v>
      </c>
      <c r="BG161" s="325">
        <v>150001033</v>
      </c>
    </row>
    <row r="162" spans="1:59" ht="24.9" customHeight="1" x14ac:dyDescent="0.3">
      <c r="A162" s="325">
        <v>150001009</v>
      </c>
      <c r="B162" s="445" t="s">
        <v>213</v>
      </c>
      <c r="C162" s="27">
        <v>4</v>
      </c>
      <c r="D162" s="101" t="s">
        <v>455</v>
      </c>
      <c r="E162" s="786">
        <v>1485.8</v>
      </c>
      <c r="F162" s="5">
        <v>746</v>
      </c>
      <c r="G162" s="5">
        <v>0</v>
      </c>
      <c r="H162" s="5">
        <v>-746</v>
      </c>
      <c r="I162" s="5">
        <v>0</v>
      </c>
      <c r="J162" s="5">
        <v>0</v>
      </c>
      <c r="K162" s="593"/>
      <c r="L162" s="5">
        <v>0</v>
      </c>
      <c r="M162" s="5">
        <v>0</v>
      </c>
      <c r="N162" s="5"/>
      <c r="O162" s="5">
        <v>0</v>
      </c>
      <c r="P162" s="5">
        <v>0</v>
      </c>
      <c r="Q162" s="784"/>
      <c r="R162" s="5">
        <v>0</v>
      </c>
      <c r="S162" s="5">
        <v>0</v>
      </c>
      <c r="T162" s="628"/>
      <c r="U162" s="5">
        <v>0</v>
      </c>
      <c r="V162" s="8">
        <v>0</v>
      </c>
      <c r="W162" s="5">
        <v>0</v>
      </c>
      <c r="X162" s="5">
        <v>0</v>
      </c>
      <c r="Y162" s="5">
        <v>0</v>
      </c>
      <c r="Z162" s="5"/>
      <c r="AA162" s="5">
        <v>0</v>
      </c>
      <c r="AB162" s="5">
        <v>0</v>
      </c>
      <c r="AC162" s="5">
        <v>0</v>
      </c>
      <c r="AD162" s="5">
        <v>0</v>
      </c>
      <c r="AE162" s="5">
        <v>331.80723866915991</v>
      </c>
      <c r="AF162" s="5">
        <v>0</v>
      </c>
      <c r="AG162" s="5"/>
      <c r="AH162" s="5">
        <v>391.80461882415943</v>
      </c>
      <c r="AI162" s="5">
        <v>0</v>
      </c>
      <c r="AJ162" s="5"/>
      <c r="AK162" s="5">
        <v>107.7883377379067</v>
      </c>
      <c r="AL162" s="5">
        <v>0</v>
      </c>
      <c r="AM162" s="5"/>
      <c r="AN162" s="5">
        <v>0</v>
      </c>
      <c r="AO162" s="5">
        <v>0</v>
      </c>
      <c r="AP162" s="5"/>
      <c r="AQ162" s="5">
        <v>0</v>
      </c>
      <c r="AR162" s="5">
        <v>0</v>
      </c>
      <c r="AS162" s="5"/>
      <c r="AT162" s="5">
        <v>158.10072357924906</v>
      </c>
      <c r="AU162" s="5">
        <v>0</v>
      </c>
      <c r="AV162" s="5"/>
      <c r="AW162" s="5">
        <v>29.846999999999998</v>
      </c>
      <c r="AX162" s="5">
        <v>0</v>
      </c>
      <c r="AY162" s="5"/>
      <c r="AZ162" s="5">
        <v>509</v>
      </c>
      <c r="BA162" s="5">
        <v>0</v>
      </c>
      <c r="BB162" s="5">
        <v>-509</v>
      </c>
      <c r="BD162" s="2">
        <v>2</v>
      </c>
      <c r="BF162" s="787">
        <v>1.45</v>
      </c>
      <c r="BG162" s="325">
        <v>150001009</v>
      </c>
    </row>
    <row r="163" spans="1:59" ht="24.9" customHeight="1" x14ac:dyDescent="0.3">
      <c r="A163" s="325">
        <v>150001010</v>
      </c>
      <c r="B163" s="445" t="s">
        <v>165</v>
      </c>
      <c r="C163" s="27">
        <v>2</v>
      </c>
      <c r="D163" s="101" t="s">
        <v>455</v>
      </c>
      <c r="E163" s="786">
        <v>731.9</v>
      </c>
      <c r="F163" s="5">
        <v>502</v>
      </c>
      <c r="G163" s="5">
        <v>0</v>
      </c>
      <c r="H163" s="5">
        <v>-502</v>
      </c>
      <c r="I163" s="5">
        <v>0</v>
      </c>
      <c r="J163" s="5">
        <v>0</v>
      </c>
      <c r="K163" s="153"/>
      <c r="L163" s="5">
        <v>0</v>
      </c>
      <c r="M163" s="5">
        <v>0</v>
      </c>
      <c r="N163" s="628"/>
      <c r="O163" s="5">
        <v>0</v>
      </c>
      <c r="P163" s="5">
        <v>0</v>
      </c>
      <c r="Q163" s="784"/>
      <c r="R163" s="5">
        <v>0</v>
      </c>
      <c r="S163" s="5">
        <v>0</v>
      </c>
      <c r="T163" s="628"/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/>
      <c r="AA163" s="5">
        <v>0</v>
      </c>
      <c r="AB163" s="5">
        <v>0</v>
      </c>
      <c r="AC163" s="5">
        <v>0</v>
      </c>
      <c r="AD163" s="5">
        <v>0</v>
      </c>
      <c r="AE163" s="5">
        <v>230.48277783083029</v>
      </c>
      <c r="AF163" s="5">
        <v>0</v>
      </c>
      <c r="AG163" s="5"/>
      <c r="AH163" s="5">
        <v>298.43026393711034</v>
      </c>
      <c r="AI163" s="5">
        <v>0</v>
      </c>
      <c r="AJ163" s="5"/>
      <c r="AK163" s="5">
        <v>44.121672341281702</v>
      </c>
      <c r="AL163" s="5">
        <v>0</v>
      </c>
      <c r="AM163" s="5"/>
      <c r="AN163" s="5">
        <v>0</v>
      </c>
      <c r="AO163" s="5">
        <v>0</v>
      </c>
      <c r="AP163" s="5"/>
      <c r="AQ163" s="5">
        <v>0</v>
      </c>
      <c r="AR163" s="5">
        <v>0</v>
      </c>
      <c r="AS163" s="5"/>
      <c r="AT163" s="5">
        <v>126.00391017245686</v>
      </c>
      <c r="AU163" s="5">
        <v>0</v>
      </c>
      <c r="AV163" s="5"/>
      <c r="AW163" s="5">
        <v>15.667999999999999</v>
      </c>
      <c r="AX163" s="5">
        <v>0</v>
      </c>
      <c r="AY163" s="5"/>
      <c r="AZ163" s="5">
        <v>358</v>
      </c>
      <c r="BA163" s="5">
        <v>0</v>
      </c>
      <c r="BB163" s="5">
        <v>-358</v>
      </c>
      <c r="BD163" s="2">
        <v>2</v>
      </c>
      <c r="BF163" s="787">
        <v>0.75</v>
      </c>
      <c r="BG163" s="325">
        <v>150001010</v>
      </c>
    </row>
    <row r="164" spans="1:59" ht="24.9" customHeight="1" x14ac:dyDescent="0.3">
      <c r="A164" s="325">
        <v>150001011</v>
      </c>
      <c r="B164" s="445" t="s">
        <v>166</v>
      </c>
      <c r="C164" s="27">
        <v>2</v>
      </c>
      <c r="D164" s="101" t="s">
        <v>455</v>
      </c>
      <c r="E164" s="786">
        <v>422.9</v>
      </c>
      <c r="F164" s="5">
        <v>299</v>
      </c>
      <c r="G164" s="5">
        <v>0</v>
      </c>
      <c r="H164" s="5">
        <v>-299</v>
      </c>
      <c r="I164" s="5">
        <v>0</v>
      </c>
      <c r="J164" s="5">
        <v>0</v>
      </c>
      <c r="K164" s="153"/>
      <c r="L164" s="5">
        <v>0</v>
      </c>
      <c r="M164" s="5">
        <v>0</v>
      </c>
      <c r="N164" s="5"/>
      <c r="O164" s="5">
        <v>0</v>
      </c>
      <c r="P164" s="5">
        <v>0</v>
      </c>
      <c r="Q164" s="784"/>
      <c r="R164" s="5">
        <v>0</v>
      </c>
      <c r="S164" s="5">
        <v>0</v>
      </c>
      <c r="T164" s="628"/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/>
      <c r="AA164" s="5">
        <v>0</v>
      </c>
      <c r="AB164" s="5">
        <v>0</v>
      </c>
      <c r="AC164" s="5">
        <v>0</v>
      </c>
      <c r="AD164" s="5">
        <v>0</v>
      </c>
      <c r="AE164" s="5">
        <v>141.7864835537863</v>
      </c>
      <c r="AF164" s="5">
        <v>0</v>
      </c>
      <c r="AG164" s="5"/>
      <c r="AH164" s="5">
        <v>144.10435714798695</v>
      </c>
      <c r="AI164" s="5">
        <v>0</v>
      </c>
      <c r="AJ164" s="5"/>
      <c r="AK164" s="5">
        <v>23.934989845198331</v>
      </c>
      <c r="AL164" s="5">
        <v>0</v>
      </c>
      <c r="AM164" s="5"/>
      <c r="AN164" s="5">
        <v>0</v>
      </c>
      <c r="AO164" s="5">
        <v>0</v>
      </c>
      <c r="AP164" s="5"/>
      <c r="AQ164" s="5">
        <v>0</v>
      </c>
      <c r="AR164" s="5">
        <v>0</v>
      </c>
      <c r="AS164" s="5"/>
      <c r="AT164" s="5">
        <v>24.172905057991901</v>
      </c>
      <c r="AU164" s="5">
        <v>0</v>
      </c>
      <c r="AV164" s="5"/>
      <c r="AW164" s="5">
        <v>8.2289999999999992</v>
      </c>
      <c r="AX164" s="5">
        <v>0</v>
      </c>
      <c r="AY164" s="5"/>
      <c r="AZ164" s="5">
        <v>171</v>
      </c>
      <c r="BA164" s="5">
        <v>0</v>
      </c>
      <c r="BB164" s="5">
        <v>-171</v>
      </c>
      <c r="BD164" s="2">
        <v>2</v>
      </c>
      <c r="BF164" s="787">
        <v>0.41</v>
      </c>
      <c r="BG164" s="325">
        <v>150001011</v>
      </c>
    </row>
    <row r="165" spans="1:59" ht="24.9" customHeight="1" x14ac:dyDescent="0.3">
      <c r="A165" s="391">
        <v>150001013</v>
      </c>
      <c r="B165" s="445" t="s">
        <v>261</v>
      </c>
      <c r="C165" s="27">
        <v>5</v>
      </c>
      <c r="D165" s="101" t="s">
        <v>455</v>
      </c>
      <c r="E165" s="786">
        <v>3416.83</v>
      </c>
      <c r="F165" s="5">
        <v>1502</v>
      </c>
      <c r="G165" s="5">
        <v>668</v>
      </c>
      <c r="H165" s="5">
        <v>-835</v>
      </c>
      <c r="I165" s="5">
        <v>0</v>
      </c>
      <c r="J165" s="5">
        <v>0</v>
      </c>
      <c r="K165" s="593"/>
      <c r="L165" s="5">
        <v>0</v>
      </c>
      <c r="M165" s="5">
        <v>0</v>
      </c>
      <c r="N165" s="5"/>
      <c r="O165" s="5">
        <v>0</v>
      </c>
      <c r="P165" s="5">
        <v>0</v>
      </c>
      <c r="Q165" s="784"/>
      <c r="R165" s="5">
        <v>0</v>
      </c>
      <c r="S165" s="5">
        <v>0</v>
      </c>
      <c r="T165" s="628"/>
      <c r="U165" s="5">
        <v>0</v>
      </c>
      <c r="V165" s="8">
        <v>0</v>
      </c>
      <c r="W165" s="5">
        <v>0</v>
      </c>
      <c r="X165" s="5">
        <v>0</v>
      </c>
      <c r="Y165" s="5">
        <v>0</v>
      </c>
      <c r="Z165" s="5"/>
      <c r="AA165" s="5">
        <v>0</v>
      </c>
      <c r="AB165" s="5">
        <v>0</v>
      </c>
      <c r="AC165" s="5">
        <v>0</v>
      </c>
      <c r="AD165" s="5">
        <v>668</v>
      </c>
      <c r="AE165" s="5">
        <v>730.4661213252831</v>
      </c>
      <c r="AF165" s="5">
        <v>299</v>
      </c>
      <c r="AG165" s="8"/>
      <c r="AH165" s="5">
        <v>981.57372120839659</v>
      </c>
      <c r="AI165" s="5">
        <v>0</v>
      </c>
      <c r="AJ165" s="5"/>
      <c r="AK165" s="5">
        <v>265.7952831200584</v>
      </c>
      <c r="AL165" s="5">
        <v>1577</v>
      </c>
      <c r="AM165" s="5"/>
      <c r="AN165" s="5">
        <v>0</v>
      </c>
      <c r="AO165" s="5">
        <v>0</v>
      </c>
      <c r="AP165" s="5"/>
      <c r="AQ165" s="5">
        <v>0</v>
      </c>
      <c r="AR165" s="5">
        <v>0</v>
      </c>
      <c r="AS165" s="5"/>
      <c r="AT165" s="5">
        <v>564.05696697420933</v>
      </c>
      <c r="AU165" s="5">
        <v>0</v>
      </c>
      <c r="AV165" s="5"/>
      <c r="AW165" s="5">
        <v>69.655100000000004</v>
      </c>
      <c r="AX165" s="5">
        <v>0</v>
      </c>
      <c r="AY165" s="5"/>
      <c r="AZ165" s="5">
        <v>1306</v>
      </c>
      <c r="BA165" s="5">
        <v>1577</v>
      </c>
      <c r="BB165" s="5">
        <v>271</v>
      </c>
      <c r="BD165" s="2">
        <v>2</v>
      </c>
      <c r="BF165" s="787">
        <v>3.38</v>
      </c>
      <c r="BG165" s="391">
        <v>150001013</v>
      </c>
    </row>
    <row r="166" spans="1:59" ht="24.9" customHeight="1" x14ac:dyDescent="0.3">
      <c r="A166" s="325">
        <v>150001014</v>
      </c>
      <c r="B166" s="445" t="s">
        <v>167</v>
      </c>
      <c r="C166" s="27">
        <v>2</v>
      </c>
      <c r="D166" s="101" t="s">
        <v>455</v>
      </c>
      <c r="E166" s="786">
        <v>339.3</v>
      </c>
      <c r="F166" s="5">
        <v>322</v>
      </c>
      <c r="G166" s="5">
        <v>0</v>
      </c>
      <c r="H166" s="5">
        <v>-322</v>
      </c>
      <c r="I166" s="5">
        <v>0</v>
      </c>
      <c r="J166" s="5">
        <v>0</v>
      </c>
      <c r="K166" s="153"/>
      <c r="L166" s="5">
        <v>0</v>
      </c>
      <c r="M166" s="5">
        <v>0</v>
      </c>
      <c r="N166" s="5"/>
      <c r="O166" s="5">
        <v>0</v>
      </c>
      <c r="P166" s="5">
        <v>0</v>
      </c>
      <c r="Q166" s="784"/>
      <c r="R166" s="5">
        <v>0</v>
      </c>
      <c r="S166" s="5">
        <v>0</v>
      </c>
      <c r="T166" s="628"/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/>
      <c r="AA166" s="5">
        <v>0</v>
      </c>
      <c r="AB166" s="5">
        <v>0</v>
      </c>
      <c r="AC166" s="5">
        <v>0</v>
      </c>
      <c r="AD166" s="5">
        <v>0</v>
      </c>
      <c r="AE166" s="5">
        <v>112.33038539773364</v>
      </c>
      <c r="AF166" s="5">
        <v>0</v>
      </c>
      <c r="AG166" s="5"/>
      <c r="AH166" s="5">
        <v>120.43746049003856</v>
      </c>
      <c r="AI166" s="5">
        <v>0</v>
      </c>
      <c r="AJ166" s="5"/>
      <c r="AK166" s="5">
        <v>15.687635708306001</v>
      </c>
      <c r="AL166" s="5">
        <v>0</v>
      </c>
      <c r="AM166" s="5"/>
      <c r="AN166" s="5">
        <v>0</v>
      </c>
      <c r="AO166" s="5">
        <v>0</v>
      </c>
      <c r="AP166" s="5"/>
      <c r="AQ166" s="5">
        <v>0</v>
      </c>
      <c r="AR166" s="5">
        <v>0</v>
      </c>
      <c r="AS166" s="5"/>
      <c r="AT166" s="5">
        <v>21.872522434180702</v>
      </c>
      <c r="AU166" s="5">
        <v>0</v>
      </c>
      <c r="AV166" s="5"/>
      <c r="AW166" s="5">
        <v>6.3930000000000007</v>
      </c>
      <c r="AX166" s="5">
        <v>0</v>
      </c>
      <c r="AY166" s="5"/>
      <c r="AZ166" s="5">
        <v>139</v>
      </c>
      <c r="BA166" s="5">
        <v>0</v>
      </c>
      <c r="BB166" s="5">
        <v>-139</v>
      </c>
      <c r="BD166" s="2">
        <v>2</v>
      </c>
      <c r="BF166" s="787">
        <v>0.33</v>
      </c>
      <c r="BG166" s="325">
        <v>150001014</v>
      </c>
    </row>
    <row r="167" spans="1:59" ht="24.9" customHeight="1" x14ac:dyDescent="0.3">
      <c r="A167" s="325">
        <v>150001015</v>
      </c>
      <c r="B167" s="445" t="s">
        <v>100</v>
      </c>
      <c r="C167" s="27">
        <v>1</v>
      </c>
      <c r="D167" s="101" t="s">
        <v>455</v>
      </c>
      <c r="E167" s="786">
        <v>293.8</v>
      </c>
      <c r="F167" s="5">
        <v>106</v>
      </c>
      <c r="G167" s="5">
        <v>0</v>
      </c>
      <c r="H167" s="5">
        <v>-106</v>
      </c>
      <c r="I167" s="5">
        <v>0</v>
      </c>
      <c r="J167" s="5">
        <v>0</v>
      </c>
      <c r="K167" s="153"/>
      <c r="L167" s="5">
        <v>0</v>
      </c>
      <c r="M167" s="5">
        <v>0</v>
      </c>
      <c r="N167" s="5"/>
      <c r="O167" s="5">
        <v>0</v>
      </c>
      <c r="P167" s="5">
        <v>0</v>
      </c>
      <c r="Q167" s="784"/>
      <c r="R167" s="5">
        <v>0</v>
      </c>
      <c r="S167" s="5">
        <v>0</v>
      </c>
      <c r="T167" s="628"/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/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/>
      <c r="AH167" s="5">
        <v>0</v>
      </c>
      <c r="AI167" s="5">
        <v>0</v>
      </c>
      <c r="AJ167" s="5"/>
      <c r="AK167" s="5">
        <v>20.459248618901661</v>
      </c>
      <c r="AL167" s="5">
        <v>0</v>
      </c>
      <c r="AM167" s="5"/>
      <c r="AN167" s="5">
        <v>0</v>
      </c>
      <c r="AO167" s="5">
        <v>0</v>
      </c>
      <c r="AP167" s="5"/>
      <c r="AQ167" s="5">
        <v>0</v>
      </c>
      <c r="AR167" s="5">
        <v>0</v>
      </c>
      <c r="AS167" s="5"/>
      <c r="AT167" s="5">
        <v>0</v>
      </c>
      <c r="AU167" s="5">
        <v>0</v>
      </c>
      <c r="AV167" s="5"/>
      <c r="AW167" s="5">
        <v>7.98</v>
      </c>
      <c r="AX167" s="5">
        <v>0</v>
      </c>
      <c r="AY167" s="5"/>
      <c r="AZ167" s="5">
        <v>14</v>
      </c>
      <c r="BA167" s="5">
        <v>0</v>
      </c>
      <c r="BB167" s="5">
        <v>-14</v>
      </c>
      <c r="BD167" s="2">
        <v>2</v>
      </c>
      <c r="BF167" s="787">
        <v>0</v>
      </c>
      <c r="BG167" s="325">
        <v>150001015</v>
      </c>
    </row>
    <row r="168" spans="1:59" ht="24.9" customHeight="1" x14ac:dyDescent="0.3">
      <c r="A168" s="325">
        <v>150001016</v>
      </c>
      <c r="B168" s="445" t="s">
        <v>262</v>
      </c>
      <c r="C168" s="27">
        <v>5</v>
      </c>
      <c r="D168" s="101" t="s">
        <v>455</v>
      </c>
      <c r="E168" s="786">
        <v>2958.19</v>
      </c>
      <c r="F168" s="5">
        <v>2142</v>
      </c>
      <c r="G168" s="5">
        <v>1932</v>
      </c>
      <c r="H168" s="5">
        <v>-210</v>
      </c>
      <c r="I168" s="5">
        <v>0</v>
      </c>
      <c r="J168" s="5">
        <v>0</v>
      </c>
      <c r="K168" s="153"/>
      <c r="L168" s="5">
        <v>0</v>
      </c>
      <c r="M168" s="5">
        <v>0</v>
      </c>
      <c r="N168" s="788"/>
      <c r="O168" s="5">
        <v>0</v>
      </c>
      <c r="P168" s="5">
        <v>0</v>
      </c>
      <c r="Q168" s="784"/>
      <c r="R168" s="5">
        <v>0</v>
      </c>
      <c r="S168" s="5">
        <v>0</v>
      </c>
      <c r="T168" s="628"/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/>
      <c r="AA168" s="5">
        <v>0</v>
      </c>
      <c r="AB168" s="5">
        <v>0</v>
      </c>
      <c r="AC168" s="5">
        <v>0</v>
      </c>
      <c r="AD168" s="5">
        <v>1932</v>
      </c>
      <c r="AE168" s="5">
        <v>442.3876129608239</v>
      </c>
      <c r="AF168" s="5">
        <v>0</v>
      </c>
      <c r="AG168" s="5"/>
      <c r="AH168" s="5">
        <v>516.36639729198191</v>
      </c>
      <c r="AI168" s="5">
        <v>0</v>
      </c>
      <c r="AJ168" s="5"/>
      <c r="AK168" s="5">
        <v>195.73591187878162</v>
      </c>
      <c r="AL168" s="5">
        <v>525</v>
      </c>
      <c r="AM168" s="5"/>
      <c r="AN168" s="5">
        <v>854.02726570675804</v>
      </c>
      <c r="AO168" s="5">
        <v>0</v>
      </c>
      <c r="AP168" s="5"/>
      <c r="AQ168" s="5">
        <v>0</v>
      </c>
      <c r="AR168" s="5">
        <v>0</v>
      </c>
      <c r="AS168" s="5"/>
      <c r="AT168" s="5">
        <v>369.76300342462253</v>
      </c>
      <c r="AU168" s="5">
        <v>0</v>
      </c>
      <c r="AV168" s="5"/>
      <c r="AW168" s="5">
        <v>64.179299999999998</v>
      </c>
      <c r="AX168" s="5">
        <v>0</v>
      </c>
      <c r="AY168" s="5"/>
      <c r="AZ168" s="5">
        <v>1221</v>
      </c>
      <c r="BA168" s="5">
        <v>525</v>
      </c>
      <c r="BB168" s="5">
        <v>-696</v>
      </c>
      <c r="BD168" s="2">
        <v>2</v>
      </c>
      <c r="BF168" s="787">
        <v>7.74</v>
      </c>
      <c r="BG168" s="325">
        <v>150001016</v>
      </c>
    </row>
    <row r="169" spans="1:59" ht="24.9" customHeight="1" x14ac:dyDescent="0.3">
      <c r="A169" s="325">
        <v>150001007</v>
      </c>
      <c r="B169" s="445" t="s">
        <v>214</v>
      </c>
      <c r="C169" s="27">
        <v>4</v>
      </c>
      <c r="D169" s="101" t="s">
        <v>455</v>
      </c>
      <c r="E169" s="786">
        <v>2046.2</v>
      </c>
      <c r="F169" s="5">
        <v>1008</v>
      </c>
      <c r="G169" s="5">
        <v>1932</v>
      </c>
      <c r="H169" s="5">
        <v>923</v>
      </c>
      <c r="I169" s="5">
        <v>0</v>
      </c>
      <c r="J169" s="5">
        <v>0</v>
      </c>
      <c r="K169" s="153"/>
      <c r="L169" s="5">
        <v>0</v>
      </c>
      <c r="M169" s="5">
        <v>0</v>
      </c>
      <c r="N169" s="5"/>
      <c r="O169" s="5">
        <v>0</v>
      </c>
      <c r="P169" s="5">
        <v>0</v>
      </c>
      <c r="Q169" s="784"/>
      <c r="R169" s="5">
        <v>0</v>
      </c>
      <c r="S169" s="5">
        <v>0</v>
      </c>
      <c r="T169" s="628"/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/>
      <c r="AA169" s="5">
        <v>0</v>
      </c>
      <c r="AB169" s="5">
        <v>0</v>
      </c>
      <c r="AC169" s="5">
        <v>0</v>
      </c>
      <c r="AD169" s="5">
        <v>1932</v>
      </c>
      <c r="AE169" s="5">
        <v>489.94551343306421</v>
      </c>
      <c r="AF169" s="5">
        <v>0</v>
      </c>
      <c r="AG169" s="5"/>
      <c r="AH169" s="5">
        <v>624.06546092973917</v>
      </c>
      <c r="AI169" s="5">
        <v>0</v>
      </c>
      <c r="AJ169" s="5"/>
      <c r="AK169" s="5">
        <v>123.71336503252159</v>
      </c>
      <c r="AL169" s="5">
        <v>0</v>
      </c>
      <c r="AM169" s="5"/>
      <c r="AN169" s="5">
        <v>0</v>
      </c>
      <c r="AO169" s="5">
        <v>0</v>
      </c>
      <c r="AP169" s="5"/>
      <c r="AQ169" s="5">
        <v>0</v>
      </c>
      <c r="AR169" s="5">
        <v>0</v>
      </c>
      <c r="AS169" s="5"/>
      <c r="AT169" s="5">
        <v>232.41786068997669</v>
      </c>
      <c r="AU169" s="5">
        <v>0</v>
      </c>
      <c r="AV169" s="5"/>
      <c r="AW169" s="5">
        <v>40.462000000000003</v>
      </c>
      <c r="AX169" s="5">
        <v>0</v>
      </c>
      <c r="AY169" s="5"/>
      <c r="AZ169" s="5">
        <v>756</v>
      </c>
      <c r="BA169" s="5">
        <v>0</v>
      </c>
      <c r="BB169" s="5">
        <v>-756</v>
      </c>
      <c r="BD169" s="2">
        <v>2</v>
      </c>
      <c r="BF169" s="787">
        <v>1.99</v>
      </c>
      <c r="BG169" s="325">
        <v>150001007</v>
      </c>
    </row>
    <row r="170" spans="1:59" ht="24.9" customHeight="1" x14ac:dyDescent="0.3">
      <c r="A170" s="325">
        <v>150001018</v>
      </c>
      <c r="B170" s="462" t="s">
        <v>430</v>
      </c>
      <c r="C170" s="29">
        <v>5</v>
      </c>
      <c r="D170" s="102" t="s">
        <v>851</v>
      </c>
      <c r="E170" s="786">
        <v>2811.57</v>
      </c>
      <c r="F170" s="5">
        <v>1295</v>
      </c>
      <c r="G170" s="5">
        <v>0</v>
      </c>
      <c r="H170" s="5">
        <v>-1295</v>
      </c>
      <c r="I170" s="5">
        <v>0</v>
      </c>
      <c r="J170" s="5">
        <v>0</v>
      </c>
      <c r="K170" s="153"/>
      <c r="L170" s="5">
        <v>0</v>
      </c>
      <c r="M170" s="5">
        <v>0</v>
      </c>
      <c r="N170" s="5"/>
      <c r="O170" s="5">
        <v>0</v>
      </c>
      <c r="P170" s="5">
        <v>0</v>
      </c>
      <c r="Q170" s="784"/>
      <c r="R170" s="5">
        <v>0</v>
      </c>
      <c r="S170" s="5">
        <v>0</v>
      </c>
      <c r="T170" s="628"/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8"/>
      <c r="AA170" s="5">
        <v>0</v>
      </c>
      <c r="AB170" s="5">
        <v>0</v>
      </c>
      <c r="AC170" s="5">
        <v>0</v>
      </c>
      <c r="AD170" s="5">
        <v>0</v>
      </c>
      <c r="AE170" s="5">
        <v>434.1</v>
      </c>
      <c r="AF170" s="5">
        <v>2403</v>
      </c>
      <c r="AG170" s="8"/>
      <c r="AH170" s="5">
        <v>552.21</v>
      </c>
      <c r="AI170" s="5">
        <v>0</v>
      </c>
      <c r="AJ170" s="5"/>
      <c r="AK170" s="5">
        <v>173.93</v>
      </c>
      <c r="AL170" s="5">
        <v>0</v>
      </c>
      <c r="AM170" s="5"/>
      <c r="AN170" s="5">
        <v>759.68000000000006</v>
      </c>
      <c r="AO170" s="5">
        <v>0</v>
      </c>
      <c r="AP170" s="5"/>
      <c r="AQ170" s="5">
        <v>0</v>
      </c>
      <c r="AR170" s="5">
        <v>0</v>
      </c>
      <c r="AS170" s="5"/>
      <c r="AT170" s="5">
        <v>355.95</v>
      </c>
      <c r="AU170" s="5">
        <v>0</v>
      </c>
      <c r="AV170" s="5"/>
      <c r="AW170" s="5">
        <v>55.5</v>
      </c>
      <c r="AX170" s="5">
        <v>0</v>
      </c>
      <c r="AY170" s="5"/>
      <c r="AZ170" s="5">
        <v>1165</v>
      </c>
      <c r="BA170" s="5">
        <v>2403</v>
      </c>
      <c r="BB170" s="5">
        <v>1238</v>
      </c>
      <c r="BD170" s="2">
        <v>2</v>
      </c>
      <c r="BF170" s="787">
        <v>2.74</v>
      </c>
      <c r="BG170" s="325">
        <v>150001018</v>
      </c>
    </row>
    <row r="171" spans="1:59" ht="24.9" customHeight="1" x14ac:dyDescent="0.3">
      <c r="A171" s="325">
        <v>150001019</v>
      </c>
      <c r="B171" s="445" t="s">
        <v>420</v>
      </c>
      <c r="C171" s="27">
        <v>10</v>
      </c>
      <c r="D171" s="101" t="s">
        <v>455</v>
      </c>
      <c r="E171" s="786">
        <v>6921.8</v>
      </c>
      <c r="F171" s="5">
        <v>4243</v>
      </c>
      <c r="G171" s="5">
        <v>11868</v>
      </c>
      <c r="H171" s="5">
        <v>-4243</v>
      </c>
      <c r="I171" s="5">
        <v>0</v>
      </c>
      <c r="J171" s="5">
        <v>0</v>
      </c>
      <c r="K171" s="593"/>
      <c r="L171" s="5">
        <v>0</v>
      </c>
      <c r="M171" s="5">
        <v>0</v>
      </c>
      <c r="N171" s="788"/>
      <c r="O171" s="5">
        <v>0</v>
      </c>
      <c r="P171" s="5">
        <v>0</v>
      </c>
      <c r="Q171" s="784"/>
      <c r="R171" s="5">
        <v>1</v>
      </c>
      <c r="S171" s="5">
        <v>11868</v>
      </c>
      <c r="T171" s="628"/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467"/>
      <c r="AA171" s="5">
        <v>0</v>
      </c>
      <c r="AB171" s="5">
        <v>0</v>
      </c>
      <c r="AC171" s="5">
        <v>0</v>
      </c>
      <c r="AD171" s="5">
        <v>0</v>
      </c>
      <c r="AE171" s="5">
        <v>1554.318392649674</v>
      </c>
      <c r="AF171" s="5">
        <v>0</v>
      </c>
      <c r="AG171" s="5"/>
      <c r="AH171" s="5">
        <v>1601.9512852458752</v>
      </c>
      <c r="AI171" s="5">
        <v>0</v>
      </c>
      <c r="AJ171" s="5"/>
      <c r="AK171" s="5">
        <v>504.45766479544801</v>
      </c>
      <c r="AL171" s="5">
        <v>0</v>
      </c>
      <c r="AM171" s="5"/>
      <c r="AN171" s="5">
        <v>1398.1402545277679</v>
      </c>
      <c r="AO171" s="5">
        <v>0</v>
      </c>
      <c r="AP171" s="5"/>
      <c r="AQ171" s="5">
        <v>669.8275408025828</v>
      </c>
      <c r="AR171" s="5">
        <v>0</v>
      </c>
      <c r="AS171" s="5"/>
      <c r="AT171" s="5">
        <v>885.82067314067751</v>
      </c>
      <c r="AU171" s="5">
        <v>0</v>
      </c>
      <c r="AV171" s="8"/>
      <c r="AW171" s="5">
        <v>83.578514725576525</v>
      </c>
      <c r="AX171" s="5">
        <v>0</v>
      </c>
      <c r="AY171" s="5"/>
      <c r="AZ171" s="5">
        <v>3349</v>
      </c>
      <c r="BA171" s="5">
        <v>0</v>
      </c>
      <c r="BB171" s="5">
        <v>-3349</v>
      </c>
      <c r="BD171" s="2">
        <v>1</v>
      </c>
      <c r="BF171" s="787">
        <v>38.93</v>
      </c>
      <c r="BG171" s="325">
        <v>150001019</v>
      </c>
    </row>
    <row r="172" spans="1:59" ht="24.9" customHeight="1" x14ac:dyDescent="0.3">
      <c r="A172" s="325">
        <v>150001020</v>
      </c>
      <c r="B172" s="445" t="s">
        <v>101</v>
      </c>
      <c r="C172" s="27">
        <v>1</v>
      </c>
      <c r="D172" s="101" t="s">
        <v>455</v>
      </c>
      <c r="E172" s="786">
        <v>320.5</v>
      </c>
      <c r="F172" s="5">
        <v>165</v>
      </c>
      <c r="G172" s="5">
        <v>0</v>
      </c>
      <c r="H172" s="5">
        <v>-165</v>
      </c>
      <c r="I172" s="5">
        <v>0</v>
      </c>
      <c r="J172" s="5">
        <v>0</v>
      </c>
      <c r="K172" s="153"/>
      <c r="L172" s="5">
        <v>0</v>
      </c>
      <c r="M172" s="5">
        <v>0</v>
      </c>
      <c r="N172" s="5"/>
      <c r="O172" s="5">
        <v>0</v>
      </c>
      <c r="P172" s="5">
        <v>0</v>
      </c>
      <c r="Q172" s="784"/>
      <c r="R172" s="5">
        <v>0</v>
      </c>
      <c r="S172" s="5">
        <v>0</v>
      </c>
      <c r="T172" s="628"/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/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/>
      <c r="AH172" s="5">
        <v>0</v>
      </c>
      <c r="AI172" s="5">
        <v>0</v>
      </c>
      <c r="AJ172" s="5"/>
      <c r="AK172" s="5">
        <v>0</v>
      </c>
      <c r="AL172" s="5">
        <v>0</v>
      </c>
      <c r="AM172" s="5"/>
      <c r="AN172" s="5">
        <v>0</v>
      </c>
      <c r="AO172" s="5">
        <v>0</v>
      </c>
      <c r="AP172" s="5"/>
      <c r="AQ172" s="5">
        <v>0</v>
      </c>
      <c r="AR172" s="5">
        <v>0</v>
      </c>
      <c r="AS172" s="5"/>
      <c r="AT172" s="5">
        <v>0</v>
      </c>
      <c r="AU172" s="5">
        <v>0</v>
      </c>
      <c r="AV172" s="5"/>
      <c r="AW172" s="5">
        <v>6.2050000000000001</v>
      </c>
      <c r="AX172" s="5">
        <v>0</v>
      </c>
      <c r="AY172" s="5"/>
      <c r="AZ172" s="5">
        <v>3</v>
      </c>
      <c r="BA172" s="5">
        <v>0</v>
      </c>
      <c r="BB172" s="5">
        <v>-3</v>
      </c>
      <c r="BD172" s="2">
        <v>2</v>
      </c>
      <c r="BF172" s="787">
        <v>0</v>
      </c>
      <c r="BG172" s="325">
        <v>150001020</v>
      </c>
    </row>
    <row r="173" spans="1:59" ht="24.9" customHeight="1" x14ac:dyDescent="0.3">
      <c r="A173" s="325">
        <v>150001021</v>
      </c>
      <c r="B173" s="445" t="s">
        <v>364</v>
      </c>
      <c r="C173" s="27">
        <v>9</v>
      </c>
      <c r="D173" s="101" t="s">
        <v>455</v>
      </c>
      <c r="E173" s="786">
        <v>11582.02</v>
      </c>
      <c r="F173" s="5">
        <v>6990</v>
      </c>
      <c r="G173" s="5">
        <v>2455</v>
      </c>
      <c r="H173" s="5">
        <v>-4535</v>
      </c>
      <c r="I173" s="5">
        <v>0</v>
      </c>
      <c r="J173" s="5">
        <v>0</v>
      </c>
      <c r="K173" s="467"/>
      <c r="L173" s="5">
        <v>0</v>
      </c>
      <c r="M173" s="5">
        <v>0</v>
      </c>
      <c r="N173" s="5"/>
      <c r="O173" s="5">
        <v>0</v>
      </c>
      <c r="P173" s="5">
        <v>0</v>
      </c>
      <c r="Q173" s="784"/>
      <c r="R173" s="5">
        <v>0</v>
      </c>
      <c r="S173" s="5">
        <v>832</v>
      </c>
      <c r="T173" s="789"/>
      <c r="U173" s="5">
        <v>0</v>
      </c>
      <c r="V173" s="5">
        <v>0</v>
      </c>
      <c r="W173" s="5">
        <v>3</v>
      </c>
      <c r="X173" s="5">
        <v>1203</v>
      </c>
      <c r="Y173" s="5">
        <v>0</v>
      </c>
      <c r="Z173" s="5"/>
      <c r="AA173" s="5">
        <v>0</v>
      </c>
      <c r="AB173" s="5">
        <v>0</v>
      </c>
      <c r="AC173" s="5">
        <v>0</v>
      </c>
      <c r="AD173" s="5">
        <v>420</v>
      </c>
      <c r="AE173" s="5">
        <v>1949.9682680409189</v>
      </c>
      <c r="AF173" s="5">
        <v>740</v>
      </c>
      <c r="AG173" s="8"/>
      <c r="AH173" s="5">
        <v>3443.9196613713239</v>
      </c>
      <c r="AI173" s="5">
        <v>25005</v>
      </c>
      <c r="AJ173" s="454"/>
      <c r="AK173" s="5">
        <v>742.05731615541004</v>
      </c>
      <c r="AL173" s="5">
        <v>0</v>
      </c>
      <c r="AM173" s="5"/>
      <c r="AN173" s="5">
        <v>2181.9750410967099</v>
      </c>
      <c r="AO173" s="5">
        <v>0</v>
      </c>
      <c r="AP173" s="5"/>
      <c r="AQ173" s="5">
        <v>1852.1083987621814</v>
      </c>
      <c r="AR173" s="5">
        <v>0</v>
      </c>
      <c r="AS173" s="5"/>
      <c r="AT173" s="5">
        <v>1793.6728582859291</v>
      </c>
      <c r="AU173" s="5">
        <v>0</v>
      </c>
      <c r="AV173" s="5"/>
      <c r="AW173" s="5">
        <v>131.89776089676815</v>
      </c>
      <c r="AX173" s="5">
        <v>0</v>
      </c>
      <c r="AY173" s="5"/>
      <c r="AZ173" s="5">
        <v>6048</v>
      </c>
      <c r="BA173" s="5">
        <v>11588</v>
      </c>
      <c r="BB173" s="5">
        <v>5540</v>
      </c>
      <c r="BD173" s="2">
        <v>1</v>
      </c>
      <c r="BF173" s="787">
        <v>76.25</v>
      </c>
      <c r="BG173" s="325">
        <v>150001021</v>
      </c>
    </row>
    <row r="174" spans="1:59" ht="24.9" customHeight="1" x14ac:dyDescent="0.3">
      <c r="A174" s="325">
        <v>150001035</v>
      </c>
      <c r="B174" s="445" t="s">
        <v>263</v>
      </c>
      <c r="C174" s="27">
        <v>5</v>
      </c>
      <c r="D174" s="101" t="s">
        <v>455</v>
      </c>
      <c r="E174" s="786">
        <v>2850.7</v>
      </c>
      <c r="F174" s="5">
        <v>2863</v>
      </c>
      <c r="G174" s="5">
        <v>903</v>
      </c>
      <c r="H174" s="5">
        <v>-2863</v>
      </c>
      <c r="I174" s="5">
        <v>0</v>
      </c>
      <c r="J174" s="5">
        <v>0</v>
      </c>
      <c r="K174" s="593"/>
      <c r="L174" s="5">
        <v>0</v>
      </c>
      <c r="M174" s="5">
        <v>0</v>
      </c>
      <c r="N174" s="788"/>
      <c r="O174" s="5">
        <v>0</v>
      </c>
      <c r="P174" s="5">
        <v>0</v>
      </c>
      <c r="Q174" s="784"/>
      <c r="R174" s="5">
        <v>0</v>
      </c>
      <c r="S174" s="5">
        <v>0</v>
      </c>
      <c r="T174" s="628"/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/>
      <c r="AA174" s="5">
        <v>0</v>
      </c>
      <c r="AB174" s="5">
        <v>0</v>
      </c>
      <c r="AC174" s="5">
        <v>903</v>
      </c>
      <c r="AD174" s="5">
        <v>0</v>
      </c>
      <c r="AE174" s="5">
        <v>701.62895999994794</v>
      </c>
      <c r="AF174" s="5">
        <v>0</v>
      </c>
      <c r="AG174" s="5"/>
      <c r="AH174" s="5">
        <v>863.53833647319414</v>
      </c>
      <c r="AI174" s="5">
        <v>0</v>
      </c>
      <c r="AJ174" s="5"/>
      <c r="AK174" s="5">
        <v>199.6150044906</v>
      </c>
      <c r="AL174" s="5">
        <v>0</v>
      </c>
      <c r="AM174" s="5"/>
      <c r="AN174" s="5">
        <v>551.78547920121991</v>
      </c>
      <c r="AO174" s="5">
        <v>0</v>
      </c>
      <c r="AP174" s="5"/>
      <c r="AQ174" s="5">
        <v>379.96224504488214</v>
      </c>
      <c r="AR174" s="5">
        <v>0</v>
      </c>
      <c r="AS174" s="5"/>
      <c r="AT174" s="5">
        <v>518.46418108882176</v>
      </c>
      <c r="AU174" s="5">
        <v>0</v>
      </c>
      <c r="AV174" s="5"/>
      <c r="AW174" s="5">
        <v>163.79016034476098</v>
      </c>
      <c r="AX174" s="5">
        <v>0</v>
      </c>
      <c r="AY174" s="5"/>
      <c r="AZ174" s="5">
        <v>1689</v>
      </c>
      <c r="BA174" s="5">
        <v>0</v>
      </c>
      <c r="BB174" s="5">
        <v>-1689</v>
      </c>
      <c r="BD174" s="2">
        <v>1</v>
      </c>
      <c r="BF174" s="787">
        <v>16.03</v>
      </c>
      <c r="BG174" s="325">
        <v>150001035</v>
      </c>
    </row>
    <row r="175" spans="1:59" ht="24.9" customHeight="1" x14ac:dyDescent="0.3">
      <c r="A175" s="325">
        <v>150001022</v>
      </c>
      <c r="B175" s="445" t="s">
        <v>365</v>
      </c>
      <c r="C175" s="27">
        <v>9</v>
      </c>
      <c r="D175" s="101" t="s">
        <v>455</v>
      </c>
      <c r="E175" s="786">
        <v>3771.47</v>
      </c>
      <c r="F175" s="5">
        <v>2182</v>
      </c>
      <c r="G175" s="5">
        <v>214</v>
      </c>
      <c r="H175" s="5">
        <v>-2182</v>
      </c>
      <c r="I175" s="5">
        <v>0</v>
      </c>
      <c r="J175" s="5">
        <v>0</v>
      </c>
      <c r="K175" s="153"/>
      <c r="L175" s="5">
        <v>0</v>
      </c>
      <c r="M175" s="5">
        <v>0</v>
      </c>
      <c r="N175" s="788"/>
      <c r="O175" s="5">
        <v>0</v>
      </c>
      <c r="P175" s="5">
        <v>0</v>
      </c>
      <c r="Q175" s="784"/>
      <c r="R175" s="5">
        <v>0</v>
      </c>
      <c r="S175" s="5">
        <v>0</v>
      </c>
      <c r="T175" s="628"/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/>
      <c r="AA175" s="5">
        <v>0</v>
      </c>
      <c r="AB175" s="5">
        <v>0</v>
      </c>
      <c r="AC175" s="5">
        <v>214</v>
      </c>
      <c r="AD175" s="5">
        <v>0</v>
      </c>
      <c r="AE175" s="5">
        <v>652.03253273981409</v>
      </c>
      <c r="AF175" s="5">
        <v>0</v>
      </c>
      <c r="AG175" s="5"/>
      <c r="AH175" s="5">
        <v>911.51652604831133</v>
      </c>
      <c r="AI175" s="5">
        <v>0</v>
      </c>
      <c r="AJ175" s="5"/>
      <c r="AK175" s="5">
        <v>201.87072424653161</v>
      </c>
      <c r="AL175" s="5">
        <v>0</v>
      </c>
      <c r="AM175" s="454"/>
      <c r="AN175" s="5">
        <v>736.24255182507204</v>
      </c>
      <c r="AO175" s="5">
        <v>0</v>
      </c>
      <c r="AP175" s="5"/>
      <c r="AQ175" s="5">
        <v>389.72827980653551</v>
      </c>
      <c r="AR175" s="5">
        <v>0</v>
      </c>
      <c r="AS175" s="5"/>
      <c r="AT175" s="5">
        <v>490.40782884012549</v>
      </c>
      <c r="AU175" s="5">
        <v>0</v>
      </c>
      <c r="AV175" s="5"/>
      <c r="AW175" s="5">
        <v>45.907244584187751</v>
      </c>
      <c r="AX175" s="5">
        <v>0</v>
      </c>
      <c r="AY175" s="5"/>
      <c r="AZ175" s="5">
        <v>1714</v>
      </c>
      <c r="BA175" s="5">
        <v>0</v>
      </c>
      <c r="BB175" s="5">
        <v>-1714</v>
      </c>
      <c r="BD175" s="2">
        <v>1</v>
      </c>
      <c r="BF175" s="787">
        <v>21.21</v>
      </c>
      <c r="BG175" s="325">
        <v>150001022</v>
      </c>
    </row>
    <row r="176" spans="1:59" ht="24.9" customHeight="1" x14ac:dyDescent="0.3">
      <c r="A176" s="325">
        <v>150001023</v>
      </c>
      <c r="B176" s="445" t="s">
        <v>366</v>
      </c>
      <c r="C176" s="27">
        <v>9</v>
      </c>
      <c r="D176" s="101" t="s">
        <v>455</v>
      </c>
      <c r="E176" s="786">
        <v>3767.85</v>
      </c>
      <c r="F176" s="5">
        <v>2350</v>
      </c>
      <c r="G176" s="5">
        <v>60897</v>
      </c>
      <c r="H176" s="5">
        <v>56756</v>
      </c>
      <c r="I176" s="5">
        <v>0</v>
      </c>
      <c r="J176" s="5">
        <v>0</v>
      </c>
      <c r="K176" s="153"/>
      <c r="L176" s="5">
        <v>1</v>
      </c>
      <c r="M176" s="5">
        <v>49363</v>
      </c>
      <c r="N176" s="628"/>
      <c r="O176" s="5">
        <v>0</v>
      </c>
      <c r="P176" s="5">
        <v>0</v>
      </c>
      <c r="Q176" s="784"/>
      <c r="R176" s="5">
        <v>1</v>
      </c>
      <c r="S176" s="5">
        <v>1995</v>
      </c>
      <c r="T176" s="630"/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/>
      <c r="AA176" s="5">
        <v>0</v>
      </c>
      <c r="AB176" s="5">
        <v>0</v>
      </c>
      <c r="AC176" s="5">
        <v>6883</v>
      </c>
      <c r="AD176" s="5">
        <v>2656</v>
      </c>
      <c r="AE176" s="5">
        <v>652.03253273981409</v>
      </c>
      <c r="AF176" s="5">
        <v>0</v>
      </c>
      <c r="AG176" s="5"/>
      <c r="AH176" s="5">
        <v>911.51652604831133</v>
      </c>
      <c r="AI176" s="5">
        <v>0</v>
      </c>
      <c r="AJ176" s="8"/>
      <c r="AK176" s="5">
        <v>310.29583954845168</v>
      </c>
      <c r="AL176" s="5">
        <v>0</v>
      </c>
      <c r="AM176" s="5"/>
      <c r="AN176" s="5">
        <v>825.815469251693</v>
      </c>
      <c r="AO176" s="5">
        <v>0</v>
      </c>
      <c r="AP176" s="5"/>
      <c r="AQ176" s="5">
        <v>389.72827980653551</v>
      </c>
      <c r="AR176" s="5">
        <v>0</v>
      </c>
      <c r="AS176" s="5"/>
      <c r="AT176" s="5">
        <v>544.46714633375132</v>
      </c>
      <c r="AU176" s="5">
        <v>0</v>
      </c>
      <c r="AV176" s="5"/>
      <c r="AW176" s="5">
        <v>44.190649197473334</v>
      </c>
      <c r="AX176" s="5">
        <v>0</v>
      </c>
      <c r="AY176" s="5"/>
      <c r="AZ176" s="5">
        <v>1839</v>
      </c>
      <c r="BA176" s="5">
        <v>0</v>
      </c>
      <c r="BB176" s="5">
        <v>-1839</v>
      </c>
      <c r="BD176" s="2">
        <v>1</v>
      </c>
      <c r="BF176" s="787">
        <v>32.299999999999997</v>
      </c>
      <c r="BG176" s="325">
        <v>150001023</v>
      </c>
    </row>
    <row r="177" spans="1:59" ht="24.9" customHeight="1" x14ac:dyDescent="0.3">
      <c r="A177" s="325">
        <v>150001024</v>
      </c>
      <c r="B177" s="445" t="s">
        <v>367</v>
      </c>
      <c r="C177" s="27">
        <v>9</v>
      </c>
      <c r="D177" s="101" t="s">
        <v>455</v>
      </c>
      <c r="E177" s="786">
        <v>4293.32</v>
      </c>
      <c r="F177" s="5">
        <v>2793</v>
      </c>
      <c r="G177" s="5">
        <v>1249</v>
      </c>
      <c r="H177" s="5">
        <v>-2166</v>
      </c>
      <c r="I177" s="5">
        <v>0</v>
      </c>
      <c r="J177" s="5">
        <v>0</v>
      </c>
      <c r="K177" s="153"/>
      <c r="L177" s="5">
        <v>0</v>
      </c>
      <c r="M177" s="5">
        <v>0</v>
      </c>
      <c r="N177" s="5"/>
      <c r="O177" s="5">
        <v>0</v>
      </c>
      <c r="P177" s="5">
        <v>0</v>
      </c>
      <c r="Q177" s="784"/>
      <c r="R177" s="5">
        <v>1</v>
      </c>
      <c r="S177" s="5">
        <v>566</v>
      </c>
      <c r="T177" s="628"/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/>
      <c r="AA177" s="5">
        <v>0</v>
      </c>
      <c r="AB177" s="5">
        <v>0</v>
      </c>
      <c r="AC177" s="5">
        <v>0</v>
      </c>
      <c r="AD177" s="5">
        <v>683</v>
      </c>
      <c r="AE177" s="5">
        <v>977.78009426928952</v>
      </c>
      <c r="AF177" s="5">
        <v>0</v>
      </c>
      <c r="AG177" s="5"/>
      <c r="AH177" s="5">
        <v>1013.977346459262</v>
      </c>
      <c r="AI177" s="5">
        <v>0</v>
      </c>
      <c r="AJ177" s="5"/>
      <c r="AK177" s="5">
        <v>283.84238004532159</v>
      </c>
      <c r="AL177" s="5">
        <v>0</v>
      </c>
      <c r="AM177" s="5"/>
      <c r="AN177" s="5">
        <v>996.43029202212006</v>
      </c>
      <c r="AO177" s="5">
        <v>0</v>
      </c>
      <c r="AP177" s="5"/>
      <c r="AQ177" s="5">
        <v>417.96272557758289</v>
      </c>
      <c r="AR177" s="5">
        <v>0</v>
      </c>
      <c r="AS177" s="5"/>
      <c r="AT177" s="5">
        <v>474.41731197530709</v>
      </c>
      <c r="AU177" s="5">
        <v>0</v>
      </c>
      <c r="AV177" s="5"/>
      <c r="AW177" s="5">
        <v>44.422451264236472</v>
      </c>
      <c r="AX177" s="5">
        <v>0</v>
      </c>
      <c r="AY177" s="5"/>
      <c r="AZ177" s="5">
        <v>2105</v>
      </c>
      <c r="BA177" s="5">
        <v>0</v>
      </c>
      <c r="BB177" s="5">
        <v>-2105</v>
      </c>
      <c r="BD177" s="2">
        <v>1</v>
      </c>
      <c r="BF177" s="787">
        <v>24.14</v>
      </c>
      <c r="BG177" s="325">
        <v>150001024</v>
      </c>
    </row>
    <row r="178" spans="1:59" ht="24.9" customHeight="1" x14ac:dyDescent="0.3">
      <c r="A178" s="325">
        <v>150001025</v>
      </c>
      <c r="B178" s="445" t="s">
        <v>421</v>
      </c>
      <c r="C178" s="27">
        <v>10</v>
      </c>
      <c r="D178" s="101" t="s">
        <v>455</v>
      </c>
      <c r="E178" s="786">
        <v>5265.4</v>
      </c>
      <c r="F178" s="5">
        <v>3268</v>
      </c>
      <c r="G178" s="5">
        <v>845</v>
      </c>
      <c r="H178" s="5">
        <v>-2479</v>
      </c>
      <c r="I178" s="5">
        <v>0</v>
      </c>
      <c r="J178" s="5">
        <v>0</v>
      </c>
      <c r="K178" s="153"/>
      <c r="L178" s="5">
        <v>0</v>
      </c>
      <c r="M178" s="5">
        <v>0</v>
      </c>
      <c r="N178" s="788"/>
      <c r="O178" s="5">
        <v>0</v>
      </c>
      <c r="P178" s="5">
        <v>0</v>
      </c>
      <c r="Q178" s="784"/>
      <c r="R178" s="5">
        <v>0</v>
      </c>
      <c r="S178" s="5">
        <v>0</v>
      </c>
      <c r="T178" s="628"/>
      <c r="U178" s="5">
        <v>0</v>
      </c>
      <c r="V178" s="8">
        <v>0</v>
      </c>
      <c r="W178" s="5">
        <v>0</v>
      </c>
      <c r="X178" s="5">
        <v>0</v>
      </c>
      <c r="Y178" s="5">
        <v>0</v>
      </c>
      <c r="Z178" s="5"/>
      <c r="AA178" s="5">
        <v>0</v>
      </c>
      <c r="AB178" s="5">
        <v>0</v>
      </c>
      <c r="AC178" s="5">
        <v>0</v>
      </c>
      <c r="AD178" s="5">
        <v>845</v>
      </c>
      <c r="AE178" s="5">
        <v>1206.473410471398</v>
      </c>
      <c r="AF178" s="5">
        <v>302</v>
      </c>
      <c r="AG178" s="5"/>
      <c r="AH178" s="5">
        <v>1245.9561022855332</v>
      </c>
      <c r="AI178" s="5">
        <v>0</v>
      </c>
      <c r="AJ178" s="5"/>
      <c r="AK178" s="5">
        <v>361.96825451602331</v>
      </c>
      <c r="AL178" s="5">
        <v>0</v>
      </c>
      <c r="AM178" s="5"/>
      <c r="AN178" s="5">
        <v>1104.1067610191599</v>
      </c>
      <c r="AO178" s="5">
        <v>0</v>
      </c>
      <c r="AP178" s="5"/>
      <c r="AQ178" s="5">
        <v>446.2183605350553</v>
      </c>
      <c r="AR178" s="5">
        <v>0</v>
      </c>
      <c r="AS178" s="5"/>
      <c r="AT178" s="5">
        <v>509.96838447089448</v>
      </c>
      <c r="AU178" s="5">
        <v>0</v>
      </c>
      <c r="AV178" s="5"/>
      <c r="AW178" s="5">
        <v>56.413044016494979</v>
      </c>
      <c r="AX178" s="5">
        <v>0</v>
      </c>
      <c r="AY178" s="5"/>
      <c r="AZ178" s="5">
        <v>2466</v>
      </c>
      <c r="BA178" s="5">
        <v>0</v>
      </c>
      <c r="BB178" s="5">
        <v>-2466</v>
      </c>
      <c r="BD178" s="2">
        <v>1</v>
      </c>
      <c r="BF178" s="787">
        <v>225.27</v>
      </c>
      <c r="BG178" s="325">
        <v>150001025</v>
      </c>
    </row>
    <row r="179" spans="1:59" ht="24.9" customHeight="1" x14ac:dyDescent="0.3">
      <c r="A179" s="325">
        <v>150001026</v>
      </c>
      <c r="B179" s="445" t="s">
        <v>335</v>
      </c>
      <c r="C179" s="27">
        <v>8</v>
      </c>
      <c r="D179" s="101" t="s">
        <v>455</v>
      </c>
      <c r="E179" s="786">
        <v>7052.84</v>
      </c>
      <c r="F179" s="5">
        <v>4158</v>
      </c>
      <c r="G179" s="5">
        <v>6666</v>
      </c>
      <c r="H179" s="5">
        <v>-614</v>
      </c>
      <c r="I179" s="5">
        <v>0</v>
      </c>
      <c r="J179" s="5">
        <v>0</v>
      </c>
      <c r="K179" s="153"/>
      <c r="L179" s="5">
        <v>0</v>
      </c>
      <c r="M179" s="5">
        <v>0</v>
      </c>
      <c r="N179" s="5"/>
      <c r="O179" s="5">
        <v>0</v>
      </c>
      <c r="P179" s="5">
        <v>0</v>
      </c>
      <c r="Q179" s="779"/>
      <c r="R179" s="5">
        <v>0</v>
      </c>
      <c r="S179" s="5">
        <v>4030</v>
      </c>
      <c r="T179" s="630"/>
      <c r="U179" s="5">
        <v>0</v>
      </c>
      <c r="V179" s="5">
        <v>0</v>
      </c>
      <c r="W179" s="5">
        <v>0</v>
      </c>
      <c r="X179" s="5">
        <v>0</v>
      </c>
      <c r="Y179" s="5">
        <v>2636</v>
      </c>
      <c r="Z179" s="467"/>
      <c r="AA179" s="5">
        <v>0</v>
      </c>
      <c r="AB179" s="5">
        <v>0</v>
      </c>
      <c r="AC179" s="5">
        <v>0</v>
      </c>
      <c r="AD179" s="5">
        <v>0</v>
      </c>
      <c r="AE179" s="5">
        <v>744.1471211333494</v>
      </c>
      <c r="AF179" s="5">
        <v>0</v>
      </c>
      <c r="AG179" s="454"/>
      <c r="AH179" s="5">
        <v>1652.2493423717081</v>
      </c>
      <c r="AI179" s="5">
        <v>0</v>
      </c>
      <c r="AJ179" s="454"/>
      <c r="AK179" s="5">
        <v>506.287279944695</v>
      </c>
      <c r="AL179" s="5">
        <v>0</v>
      </c>
      <c r="AM179" s="5"/>
      <c r="AN179" s="5">
        <v>1491.5335536022781</v>
      </c>
      <c r="AO179" s="5">
        <v>0</v>
      </c>
      <c r="AP179" s="5"/>
      <c r="AQ179" s="5">
        <v>1206.142880943032</v>
      </c>
      <c r="AR179" s="5">
        <v>0</v>
      </c>
      <c r="AS179" s="5"/>
      <c r="AT179" s="5">
        <v>1374.4752602213439</v>
      </c>
      <c r="AU179" s="5">
        <v>0</v>
      </c>
      <c r="AV179" s="463"/>
      <c r="AW179" s="5">
        <v>131.51211517228768</v>
      </c>
      <c r="AX179" s="5">
        <v>0</v>
      </c>
      <c r="AY179" s="5"/>
      <c r="AZ179" s="5">
        <v>3553</v>
      </c>
      <c r="BA179" s="5">
        <v>0</v>
      </c>
      <c r="BB179" s="5">
        <v>-3553</v>
      </c>
      <c r="BD179" s="2">
        <v>1</v>
      </c>
      <c r="BF179" s="787">
        <v>39.659999999999997</v>
      </c>
      <c r="BG179" s="325">
        <v>150001026</v>
      </c>
    </row>
    <row r="180" spans="1:59" ht="24.9" customHeight="1" x14ac:dyDescent="0.3">
      <c r="A180" s="325">
        <v>150001027</v>
      </c>
      <c r="B180" s="445" t="s">
        <v>368</v>
      </c>
      <c r="C180" s="27">
        <v>9</v>
      </c>
      <c r="D180" s="101" t="s">
        <v>455</v>
      </c>
      <c r="E180" s="786">
        <v>10262.19</v>
      </c>
      <c r="F180" s="5">
        <v>6292</v>
      </c>
      <c r="G180" s="5">
        <v>693</v>
      </c>
      <c r="H180" s="5">
        <v>-6196</v>
      </c>
      <c r="I180" s="5">
        <v>0</v>
      </c>
      <c r="J180" s="5">
        <v>0</v>
      </c>
      <c r="K180" s="153"/>
      <c r="L180" s="5">
        <v>0</v>
      </c>
      <c r="M180" s="5">
        <v>0</v>
      </c>
      <c r="N180" s="5"/>
      <c r="O180" s="5">
        <v>0</v>
      </c>
      <c r="P180" s="5">
        <v>0</v>
      </c>
      <c r="Q180" s="784"/>
      <c r="R180" s="5">
        <v>0</v>
      </c>
      <c r="S180" s="5">
        <v>486</v>
      </c>
      <c r="T180" s="789"/>
      <c r="U180" s="5">
        <v>0</v>
      </c>
      <c r="V180" s="5">
        <v>0</v>
      </c>
      <c r="W180" s="5">
        <v>1</v>
      </c>
      <c r="X180" s="5">
        <v>97</v>
      </c>
      <c r="Y180" s="5">
        <v>0</v>
      </c>
      <c r="Z180" s="5"/>
      <c r="AA180" s="5">
        <v>0</v>
      </c>
      <c r="AB180" s="5">
        <v>0</v>
      </c>
      <c r="AC180" s="5">
        <v>0</v>
      </c>
      <c r="AD180" s="5">
        <v>110</v>
      </c>
      <c r="AE180" s="5">
        <v>1738.3714677426378</v>
      </c>
      <c r="AF180" s="5">
        <v>1503</v>
      </c>
      <c r="AG180" s="5"/>
      <c r="AH180" s="5">
        <v>1922.0098592069098</v>
      </c>
      <c r="AI180" s="5">
        <v>3114</v>
      </c>
      <c r="AJ180" s="8"/>
      <c r="AK180" s="5">
        <v>747.94770179112004</v>
      </c>
      <c r="AL180" s="5">
        <v>0</v>
      </c>
      <c r="AM180" s="454"/>
      <c r="AN180" s="5">
        <v>2508.3710674992431</v>
      </c>
      <c r="AO180" s="5">
        <v>0</v>
      </c>
      <c r="AP180" s="5"/>
      <c r="AQ180" s="5">
        <v>2469.7970621192221</v>
      </c>
      <c r="AR180" s="5">
        <v>459</v>
      </c>
      <c r="AS180" s="5"/>
      <c r="AT180" s="5">
        <v>2091.883424939881</v>
      </c>
      <c r="AU180" s="5">
        <v>511</v>
      </c>
      <c r="AV180" s="5"/>
      <c r="AW180" s="5">
        <v>89.634319966347363</v>
      </c>
      <c r="AX180" s="5">
        <v>0</v>
      </c>
      <c r="AY180" s="5"/>
      <c r="AZ180" s="5">
        <v>5784</v>
      </c>
      <c r="BA180" s="5">
        <v>2473</v>
      </c>
      <c r="BB180" s="5">
        <v>-3311</v>
      </c>
      <c r="BD180" s="2">
        <v>1</v>
      </c>
      <c r="BF180" s="787">
        <v>69.510000000000005</v>
      </c>
      <c r="BG180" s="325">
        <v>150001027</v>
      </c>
    </row>
    <row r="181" spans="1:59" ht="24.9" customHeight="1" x14ac:dyDescent="0.3">
      <c r="A181" s="325">
        <v>150001028</v>
      </c>
      <c r="B181" s="445" t="s">
        <v>102</v>
      </c>
      <c r="C181" s="27">
        <v>1</v>
      </c>
      <c r="D181" s="101" t="s">
        <v>455</v>
      </c>
      <c r="E181" s="786">
        <v>110.7</v>
      </c>
      <c r="F181" s="5">
        <v>106</v>
      </c>
      <c r="G181" s="5">
        <v>2298</v>
      </c>
      <c r="H181" s="5">
        <v>2193</v>
      </c>
      <c r="I181" s="5">
        <v>0</v>
      </c>
      <c r="J181" s="5">
        <v>0</v>
      </c>
      <c r="K181" s="153"/>
      <c r="L181" s="5">
        <v>0</v>
      </c>
      <c r="M181" s="5">
        <v>0</v>
      </c>
      <c r="N181" s="5"/>
      <c r="O181" s="5">
        <v>0</v>
      </c>
      <c r="P181" s="5">
        <v>0</v>
      </c>
      <c r="Q181" s="784"/>
      <c r="R181" s="5">
        <v>0</v>
      </c>
      <c r="S181" s="5">
        <v>0</v>
      </c>
      <c r="T181" s="628"/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/>
      <c r="AA181" s="5">
        <v>0</v>
      </c>
      <c r="AB181" s="5">
        <v>0</v>
      </c>
      <c r="AC181" s="5">
        <v>0</v>
      </c>
      <c r="AD181" s="5">
        <v>2298</v>
      </c>
      <c r="AE181" s="5">
        <v>0</v>
      </c>
      <c r="AF181" s="5">
        <v>0</v>
      </c>
      <c r="AG181" s="5"/>
      <c r="AH181" s="5">
        <v>0</v>
      </c>
      <c r="AI181" s="5">
        <v>0</v>
      </c>
      <c r="AJ181" s="5"/>
      <c r="AK181" s="5">
        <v>0</v>
      </c>
      <c r="AL181" s="5">
        <v>0</v>
      </c>
      <c r="AM181" s="5"/>
      <c r="AN181" s="5">
        <v>0</v>
      </c>
      <c r="AO181" s="5">
        <v>0</v>
      </c>
      <c r="AP181" s="5"/>
      <c r="AQ181" s="5">
        <v>0</v>
      </c>
      <c r="AR181" s="5">
        <v>0</v>
      </c>
      <c r="AS181" s="5"/>
      <c r="AT181" s="5">
        <v>0</v>
      </c>
      <c r="AU181" s="5">
        <v>0</v>
      </c>
      <c r="AV181" s="5"/>
      <c r="AW181" s="5">
        <v>4.4171682631022904</v>
      </c>
      <c r="AX181" s="5">
        <v>0</v>
      </c>
      <c r="AY181" s="5"/>
      <c r="AZ181" s="5">
        <v>2</v>
      </c>
      <c r="BA181" s="5">
        <v>0</v>
      </c>
      <c r="BB181" s="5">
        <v>-2</v>
      </c>
      <c r="BD181" s="2">
        <v>1</v>
      </c>
      <c r="BF181" s="787">
        <v>0</v>
      </c>
      <c r="BG181" s="325">
        <v>150001028</v>
      </c>
    </row>
    <row r="182" spans="1:59" ht="24.9" customHeight="1" x14ac:dyDescent="0.3">
      <c r="A182" s="325">
        <v>150001036</v>
      </c>
      <c r="B182" s="445" t="s">
        <v>103</v>
      </c>
      <c r="C182" s="27">
        <v>1</v>
      </c>
      <c r="D182" s="101" t="s">
        <v>455</v>
      </c>
      <c r="E182" s="786">
        <v>211.4</v>
      </c>
      <c r="F182" s="5">
        <v>158</v>
      </c>
      <c r="G182" s="5">
        <v>0</v>
      </c>
      <c r="H182" s="5">
        <v>-158</v>
      </c>
      <c r="I182" s="5">
        <v>0</v>
      </c>
      <c r="J182" s="5">
        <v>0</v>
      </c>
      <c r="K182" s="153"/>
      <c r="L182" s="5">
        <v>0</v>
      </c>
      <c r="M182" s="5">
        <v>0</v>
      </c>
      <c r="N182" s="5"/>
      <c r="O182" s="5">
        <v>0</v>
      </c>
      <c r="P182" s="5">
        <v>0</v>
      </c>
      <c r="Q182" s="784"/>
      <c r="R182" s="5">
        <v>0</v>
      </c>
      <c r="S182" s="5">
        <v>0</v>
      </c>
      <c r="T182" s="628"/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/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/>
      <c r="AH182" s="5">
        <v>0</v>
      </c>
      <c r="AI182" s="5">
        <v>0</v>
      </c>
      <c r="AJ182" s="5"/>
      <c r="AK182" s="5">
        <v>0</v>
      </c>
      <c r="AL182" s="5">
        <v>0</v>
      </c>
      <c r="AM182" s="5"/>
      <c r="AN182" s="5">
        <v>0</v>
      </c>
      <c r="AO182" s="5">
        <v>0</v>
      </c>
      <c r="AP182" s="5"/>
      <c r="AQ182" s="5">
        <v>0</v>
      </c>
      <c r="AR182" s="5">
        <v>0</v>
      </c>
      <c r="AS182" s="5"/>
      <c r="AT182" s="5">
        <v>0</v>
      </c>
      <c r="AU182" s="5">
        <v>0</v>
      </c>
      <c r="AV182" s="5"/>
      <c r="AW182" s="5">
        <v>5.5204015428968987</v>
      </c>
      <c r="AX182" s="5">
        <v>0</v>
      </c>
      <c r="AY182" s="5"/>
      <c r="AZ182" s="5">
        <v>3</v>
      </c>
      <c r="BA182" s="5">
        <v>0</v>
      </c>
      <c r="BB182" s="5">
        <v>-3</v>
      </c>
      <c r="BD182" s="2">
        <v>1</v>
      </c>
      <c r="BF182" s="787">
        <v>0</v>
      </c>
      <c r="BG182" s="325">
        <v>150001036</v>
      </c>
    </row>
    <row r="183" spans="1:59" ht="24.9" customHeight="1" x14ac:dyDescent="0.3">
      <c r="A183" s="325">
        <v>150001029</v>
      </c>
      <c r="B183" s="445" t="s">
        <v>369</v>
      </c>
      <c r="C183" s="27">
        <v>9</v>
      </c>
      <c r="D183" s="101" t="s">
        <v>455</v>
      </c>
      <c r="E183" s="786">
        <v>7425.45</v>
      </c>
      <c r="F183" s="5">
        <v>4574</v>
      </c>
      <c r="G183" s="5">
        <v>3448</v>
      </c>
      <c r="H183" s="5">
        <v>-1126</v>
      </c>
      <c r="I183" s="5">
        <v>0</v>
      </c>
      <c r="J183" s="5">
        <v>0</v>
      </c>
      <c r="K183" s="153"/>
      <c r="L183" s="5">
        <v>0</v>
      </c>
      <c r="M183" s="5">
        <v>0</v>
      </c>
      <c r="N183" s="5"/>
      <c r="O183" s="5">
        <v>0</v>
      </c>
      <c r="P183" s="5">
        <v>0</v>
      </c>
      <c r="Q183" s="784"/>
      <c r="R183" s="5">
        <v>0</v>
      </c>
      <c r="S183" s="5">
        <v>0</v>
      </c>
      <c r="T183" s="630"/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/>
      <c r="AA183" s="5">
        <v>0</v>
      </c>
      <c r="AB183" s="5">
        <v>0</v>
      </c>
      <c r="AC183" s="5">
        <v>0</v>
      </c>
      <c r="AD183" s="5">
        <v>3448</v>
      </c>
      <c r="AE183" s="5">
        <v>1361.9419416751521</v>
      </c>
      <c r="AF183" s="5">
        <v>0</v>
      </c>
      <c r="AG183" s="5"/>
      <c r="AH183" s="5">
        <v>1534.1423590445504</v>
      </c>
      <c r="AI183" s="5">
        <v>5133</v>
      </c>
      <c r="AJ183" s="454"/>
      <c r="AK183" s="5">
        <v>552.23116742463594</v>
      </c>
      <c r="AL183" s="5">
        <v>0</v>
      </c>
      <c r="AM183" s="5"/>
      <c r="AN183" s="5">
        <v>1507.7309723702319</v>
      </c>
      <c r="AO183" s="5">
        <v>0</v>
      </c>
      <c r="AP183" s="5"/>
      <c r="AQ183" s="5">
        <v>1852.1083987621814</v>
      </c>
      <c r="AR183" s="5">
        <v>0</v>
      </c>
      <c r="AS183" s="5"/>
      <c r="AT183" s="5">
        <v>1143.590679155637</v>
      </c>
      <c r="AU183" s="5">
        <v>0</v>
      </c>
      <c r="AV183" s="5"/>
      <c r="AW183" s="5">
        <v>100.24335267844927</v>
      </c>
      <c r="AX183" s="5">
        <v>0</v>
      </c>
      <c r="AY183" s="5"/>
      <c r="AZ183" s="5">
        <v>4026</v>
      </c>
      <c r="BA183" s="5">
        <v>2794</v>
      </c>
      <c r="BB183" s="5">
        <v>-1232</v>
      </c>
      <c r="BD183" s="2">
        <v>1</v>
      </c>
      <c r="BF183" s="787">
        <v>41.77</v>
      </c>
      <c r="BG183" s="325">
        <v>150001029</v>
      </c>
    </row>
    <row r="184" spans="1:59" ht="24.9" customHeight="1" x14ac:dyDescent="0.3">
      <c r="A184" s="325">
        <v>150001030</v>
      </c>
      <c r="B184" s="445" t="s">
        <v>336</v>
      </c>
      <c r="C184" s="27">
        <v>8</v>
      </c>
      <c r="D184" s="101" t="s">
        <v>455</v>
      </c>
      <c r="E184" s="786">
        <v>6125.65</v>
      </c>
      <c r="F184" s="5">
        <v>3990</v>
      </c>
      <c r="G184" s="5">
        <v>948</v>
      </c>
      <c r="H184" s="5">
        <v>-3131</v>
      </c>
      <c r="I184" s="5">
        <v>0</v>
      </c>
      <c r="J184" s="5">
        <v>0</v>
      </c>
      <c r="K184" s="153"/>
      <c r="L184" s="5">
        <v>0</v>
      </c>
      <c r="M184" s="5">
        <v>0</v>
      </c>
      <c r="N184" s="5"/>
      <c r="O184" s="5">
        <v>0</v>
      </c>
      <c r="P184" s="5">
        <v>0</v>
      </c>
      <c r="Q184" s="784"/>
      <c r="R184" s="5">
        <v>0</v>
      </c>
      <c r="S184" s="5">
        <v>0</v>
      </c>
      <c r="T184" s="628"/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/>
      <c r="AA184" s="5">
        <v>0</v>
      </c>
      <c r="AB184" s="5">
        <v>0</v>
      </c>
      <c r="AC184" s="5">
        <v>0</v>
      </c>
      <c r="AD184" s="5">
        <v>948</v>
      </c>
      <c r="AE184" s="5">
        <v>682.08089673356267</v>
      </c>
      <c r="AF184" s="5">
        <v>335</v>
      </c>
      <c r="AG184" s="5"/>
      <c r="AH184" s="5">
        <v>1205.8303594184395</v>
      </c>
      <c r="AI184" s="5">
        <v>0</v>
      </c>
      <c r="AJ184" s="5"/>
      <c r="AK184" s="5">
        <v>456.27969027858501</v>
      </c>
      <c r="AL184" s="5">
        <v>0</v>
      </c>
      <c r="AM184" s="5"/>
      <c r="AN184" s="5">
        <v>1247.5150440483781</v>
      </c>
      <c r="AO184" s="5">
        <v>0</v>
      </c>
      <c r="AP184" s="5"/>
      <c r="AQ184" s="5">
        <v>584.0817947983785</v>
      </c>
      <c r="AR184" s="5">
        <v>0</v>
      </c>
      <c r="AS184" s="5"/>
      <c r="AT184" s="5">
        <v>772.23443410116727</v>
      </c>
      <c r="AU184" s="5">
        <v>513</v>
      </c>
      <c r="AV184" s="5"/>
      <c r="AW184" s="5">
        <v>129.81878213237277</v>
      </c>
      <c r="AX184" s="5">
        <v>0</v>
      </c>
      <c r="AY184" s="5"/>
      <c r="AZ184" s="5">
        <v>2539</v>
      </c>
      <c r="BA184" s="5">
        <v>849</v>
      </c>
      <c r="BB184" s="5">
        <v>-1690</v>
      </c>
      <c r="BD184" s="2">
        <v>1</v>
      </c>
      <c r="BF184" s="787">
        <v>45.57</v>
      </c>
      <c r="BG184" s="325">
        <v>150001030</v>
      </c>
    </row>
    <row r="185" spans="1:59" ht="24.9" customHeight="1" x14ac:dyDescent="0.3">
      <c r="A185" s="325">
        <v>150001031</v>
      </c>
      <c r="B185" s="445" t="s">
        <v>104</v>
      </c>
      <c r="C185" s="27">
        <v>1</v>
      </c>
      <c r="D185" s="101" t="s">
        <v>455</v>
      </c>
      <c r="E185" s="786">
        <v>159.9</v>
      </c>
      <c r="F185" s="5">
        <v>148</v>
      </c>
      <c r="G185" s="5">
        <v>2069</v>
      </c>
      <c r="H185" s="5">
        <v>1921</v>
      </c>
      <c r="I185" s="5">
        <v>0</v>
      </c>
      <c r="J185" s="5">
        <v>0</v>
      </c>
      <c r="K185" s="153"/>
      <c r="L185" s="5">
        <v>0</v>
      </c>
      <c r="M185" s="5">
        <v>0</v>
      </c>
      <c r="N185" s="5"/>
      <c r="O185" s="5">
        <v>0</v>
      </c>
      <c r="P185" s="5">
        <v>0</v>
      </c>
      <c r="Q185" s="784"/>
      <c r="R185" s="5">
        <v>0</v>
      </c>
      <c r="S185" s="5">
        <v>0</v>
      </c>
      <c r="T185" s="628"/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/>
      <c r="AA185" s="5">
        <v>0</v>
      </c>
      <c r="AB185" s="5">
        <v>0</v>
      </c>
      <c r="AC185" s="5">
        <v>0</v>
      </c>
      <c r="AD185" s="5">
        <v>2069</v>
      </c>
      <c r="AE185" s="5">
        <v>0</v>
      </c>
      <c r="AF185" s="5">
        <v>0</v>
      </c>
      <c r="AG185" s="5"/>
      <c r="AH185" s="5">
        <v>0</v>
      </c>
      <c r="AI185" s="5">
        <v>0</v>
      </c>
      <c r="AJ185" s="5"/>
      <c r="AK185" s="5">
        <v>0</v>
      </c>
      <c r="AL185" s="5">
        <v>0</v>
      </c>
      <c r="AM185" s="5"/>
      <c r="AN185" s="5">
        <v>0</v>
      </c>
      <c r="AO185" s="5">
        <v>0</v>
      </c>
      <c r="AP185" s="5"/>
      <c r="AQ185" s="5">
        <v>0</v>
      </c>
      <c r="AR185" s="5">
        <v>0</v>
      </c>
      <c r="AS185" s="5"/>
      <c r="AT185" s="5">
        <v>0</v>
      </c>
      <c r="AU185" s="5">
        <v>0</v>
      </c>
      <c r="AV185" s="5"/>
      <c r="AW185" s="5">
        <v>5.5204015428968987</v>
      </c>
      <c r="AX185" s="5">
        <v>0</v>
      </c>
      <c r="AY185" s="5"/>
      <c r="AZ185" s="5">
        <v>3</v>
      </c>
      <c r="BA185" s="5">
        <v>0</v>
      </c>
      <c r="BB185" s="5">
        <v>-3</v>
      </c>
      <c r="BD185" s="2">
        <v>1</v>
      </c>
      <c r="BF185" s="787">
        <v>0</v>
      </c>
      <c r="BG185" s="325">
        <v>150001031</v>
      </c>
    </row>
    <row r="186" spans="1:59" ht="24.9" customHeight="1" x14ac:dyDescent="0.3">
      <c r="A186" s="325">
        <v>150001037</v>
      </c>
      <c r="B186" s="445" t="s">
        <v>105</v>
      </c>
      <c r="C186" s="27">
        <v>1</v>
      </c>
      <c r="D186" s="101" t="s">
        <v>455</v>
      </c>
      <c r="E186" s="786">
        <v>161.4</v>
      </c>
      <c r="F186" s="5">
        <v>130</v>
      </c>
      <c r="G186" s="5">
        <v>0</v>
      </c>
      <c r="H186" s="5">
        <v>-130</v>
      </c>
      <c r="I186" s="5">
        <v>0</v>
      </c>
      <c r="J186" s="5">
        <v>0</v>
      </c>
      <c r="K186" s="153"/>
      <c r="L186" s="5">
        <v>0</v>
      </c>
      <c r="M186" s="5">
        <v>0</v>
      </c>
      <c r="N186" s="5"/>
      <c r="O186" s="5">
        <v>0</v>
      </c>
      <c r="P186" s="5">
        <v>0</v>
      </c>
      <c r="Q186" s="784"/>
      <c r="R186" s="5">
        <v>0</v>
      </c>
      <c r="S186" s="5">
        <v>0</v>
      </c>
      <c r="T186" s="628"/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/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/>
      <c r="AH186" s="5">
        <v>0</v>
      </c>
      <c r="AI186" s="5">
        <v>0</v>
      </c>
      <c r="AJ186" s="5"/>
      <c r="AK186" s="5">
        <v>0</v>
      </c>
      <c r="AL186" s="5">
        <v>0</v>
      </c>
      <c r="AM186" s="5"/>
      <c r="AN186" s="5">
        <v>0</v>
      </c>
      <c r="AO186" s="5">
        <v>0</v>
      </c>
      <c r="AP186" s="5"/>
      <c r="AQ186" s="5">
        <v>0</v>
      </c>
      <c r="AR186" s="5">
        <v>0</v>
      </c>
      <c r="AS186" s="5"/>
      <c r="AT186" s="5">
        <v>0</v>
      </c>
      <c r="AU186" s="5">
        <v>0</v>
      </c>
      <c r="AV186" s="5"/>
      <c r="AW186" s="5">
        <v>5.8301620187059076</v>
      </c>
      <c r="AX186" s="5">
        <v>0</v>
      </c>
      <c r="AY186" s="5"/>
      <c r="AZ186" s="5">
        <v>3</v>
      </c>
      <c r="BA186" s="5">
        <v>0</v>
      </c>
      <c r="BB186" s="5">
        <v>-3</v>
      </c>
      <c r="BD186" s="2">
        <v>1</v>
      </c>
      <c r="BF186" s="787">
        <v>0</v>
      </c>
      <c r="BG186" s="325">
        <v>150001037</v>
      </c>
    </row>
    <row r="187" spans="1:59" ht="24.9" customHeight="1" x14ac:dyDescent="0.3">
      <c r="A187" s="325">
        <v>150001032</v>
      </c>
      <c r="B187" s="445" t="s">
        <v>370</v>
      </c>
      <c r="C187" s="27">
        <v>9</v>
      </c>
      <c r="D187" s="101" t="s">
        <v>455</v>
      </c>
      <c r="E187" s="786">
        <v>6020</v>
      </c>
      <c r="F187" s="5">
        <v>3973</v>
      </c>
      <c r="G187" s="5">
        <v>929</v>
      </c>
      <c r="H187" s="5">
        <v>-3134</v>
      </c>
      <c r="I187" s="5">
        <v>0</v>
      </c>
      <c r="J187" s="5">
        <v>0</v>
      </c>
      <c r="K187" s="153"/>
      <c r="L187" s="5">
        <v>0</v>
      </c>
      <c r="M187" s="5">
        <v>0</v>
      </c>
      <c r="N187" s="628"/>
      <c r="O187" s="5">
        <v>0</v>
      </c>
      <c r="P187" s="5">
        <v>0</v>
      </c>
      <c r="Q187" s="784"/>
      <c r="R187" s="5">
        <v>0</v>
      </c>
      <c r="S187" s="5">
        <v>0</v>
      </c>
      <c r="T187" s="789"/>
      <c r="U187" s="5">
        <v>0</v>
      </c>
      <c r="V187" s="8">
        <v>0</v>
      </c>
      <c r="W187" s="5">
        <v>0</v>
      </c>
      <c r="X187" s="5">
        <v>0</v>
      </c>
      <c r="Y187" s="5">
        <v>0</v>
      </c>
      <c r="Z187" s="5"/>
      <c r="AA187" s="5">
        <v>0</v>
      </c>
      <c r="AB187" s="5">
        <v>0</v>
      </c>
      <c r="AC187" s="5">
        <v>0</v>
      </c>
      <c r="AD187" s="5">
        <v>929</v>
      </c>
      <c r="AE187" s="5">
        <v>791.98747406322423</v>
      </c>
      <c r="AF187" s="5">
        <v>2084</v>
      </c>
      <c r="AG187" s="5"/>
      <c r="AH187" s="5">
        <v>819.81147819248929</v>
      </c>
      <c r="AI187" s="5">
        <v>0</v>
      </c>
      <c r="AJ187" s="5"/>
      <c r="AK187" s="5">
        <v>423.92155533531673</v>
      </c>
      <c r="AL187" s="5">
        <v>996</v>
      </c>
      <c r="AM187" s="5"/>
      <c r="AN187" s="5">
        <v>1202.3106283746799</v>
      </c>
      <c r="AO187" s="5">
        <v>996</v>
      </c>
      <c r="AP187" s="5"/>
      <c r="AQ187" s="5">
        <v>926.043589628772</v>
      </c>
      <c r="AR187" s="5">
        <v>0</v>
      </c>
      <c r="AS187" s="5"/>
      <c r="AT187" s="5">
        <v>1150.4874767986482</v>
      </c>
      <c r="AU187" s="5">
        <v>0</v>
      </c>
      <c r="AV187" s="8"/>
      <c r="AW187" s="5">
        <v>129.81878213237277</v>
      </c>
      <c r="AX187" s="5">
        <v>0</v>
      </c>
      <c r="AY187" s="5"/>
      <c r="AZ187" s="5">
        <v>2722</v>
      </c>
      <c r="BA187" s="5">
        <v>1838</v>
      </c>
      <c r="BB187" s="5">
        <v>-885</v>
      </c>
      <c r="BD187" s="2">
        <v>1</v>
      </c>
      <c r="BF187" s="787">
        <v>33.86</v>
      </c>
      <c r="BG187" s="325">
        <v>150001032</v>
      </c>
    </row>
    <row r="188" spans="1:59" ht="24.9" customHeight="1" x14ac:dyDescent="0.3">
      <c r="A188" s="325">
        <v>150000537</v>
      </c>
      <c r="B188" s="445" t="s">
        <v>106</v>
      </c>
      <c r="C188" s="27">
        <v>1</v>
      </c>
      <c r="D188" s="101" t="s">
        <v>455</v>
      </c>
      <c r="E188" s="786">
        <v>108.3</v>
      </c>
      <c r="F188" s="5">
        <v>4</v>
      </c>
      <c r="G188" s="5">
        <v>0</v>
      </c>
      <c r="H188" s="5">
        <v>-4</v>
      </c>
      <c r="I188" s="5">
        <v>0</v>
      </c>
      <c r="J188" s="5">
        <v>0</v>
      </c>
      <c r="K188" s="153"/>
      <c r="L188" s="5">
        <v>0</v>
      </c>
      <c r="M188" s="5">
        <v>0</v>
      </c>
      <c r="N188" s="5"/>
      <c r="O188" s="5">
        <v>0</v>
      </c>
      <c r="P188" s="5">
        <v>0</v>
      </c>
      <c r="Q188" s="784"/>
      <c r="R188" s="5">
        <v>0</v>
      </c>
      <c r="S188" s="5">
        <v>0</v>
      </c>
      <c r="T188" s="628"/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/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/>
      <c r="AH188" s="5">
        <v>0</v>
      </c>
      <c r="AI188" s="5">
        <v>0</v>
      </c>
      <c r="AJ188" s="5"/>
      <c r="AK188" s="5">
        <v>0</v>
      </c>
      <c r="AL188" s="5">
        <v>0</v>
      </c>
      <c r="AM188" s="5"/>
      <c r="AN188" s="5">
        <v>0</v>
      </c>
      <c r="AO188" s="5">
        <v>0</v>
      </c>
      <c r="AP188" s="5"/>
      <c r="AQ188" s="5">
        <v>0</v>
      </c>
      <c r="AR188" s="5">
        <v>0</v>
      </c>
      <c r="AS188" s="5"/>
      <c r="AT188" s="5">
        <v>0</v>
      </c>
      <c r="AU188" s="5">
        <v>0</v>
      </c>
      <c r="AV188" s="5"/>
      <c r="AW188" s="5">
        <v>2.0830000000000002</v>
      </c>
      <c r="AX188" s="5">
        <v>0</v>
      </c>
      <c r="AY188" s="5"/>
      <c r="AZ188" s="5">
        <v>1</v>
      </c>
      <c r="BA188" s="5">
        <v>0</v>
      </c>
      <c r="BB188" s="5">
        <v>-1</v>
      </c>
      <c r="BD188" s="2">
        <v>2</v>
      </c>
      <c r="BF188" s="787">
        <v>0</v>
      </c>
      <c r="BG188" s="325">
        <v>150000537</v>
      </c>
    </row>
    <row r="189" spans="1:59" ht="24.9" customHeight="1" x14ac:dyDescent="0.3">
      <c r="A189" s="325">
        <v>150000545</v>
      </c>
      <c r="B189" s="445" t="s">
        <v>107</v>
      </c>
      <c r="C189" s="27">
        <v>1</v>
      </c>
      <c r="D189" s="101" t="s">
        <v>455</v>
      </c>
      <c r="E189" s="786">
        <v>95</v>
      </c>
      <c r="F189" s="5">
        <v>43</v>
      </c>
      <c r="G189" s="5">
        <v>0</v>
      </c>
      <c r="H189" s="5">
        <v>-43</v>
      </c>
      <c r="I189" s="5">
        <v>0</v>
      </c>
      <c r="J189" s="5">
        <v>0</v>
      </c>
      <c r="K189" s="153"/>
      <c r="L189" s="5">
        <v>0</v>
      </c>
      <c r="M189" s="5">
        <v>0</v>
      </c>
      <c r="N189" s="5"/>
      <c r="O189" s="5">
        <v>0</v>
      </c>
      <c r="P189" s="5">
        <v>0</v>
      </c>
      <c r="Q189" s="784"/>
      <c r="R189" s="5">
        <v>0</v>
      </c>
      <c r="S189" s="5">
        <v>0</v>
      </c>
      <c r="T189" s="628"/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/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/>
      <c r="AH189" s="5">
        <v>0</v>
      </c>
      <c r="AI189" s="5">
        <v>0</v>
      </c>
      <c r="AJ189" s="5"/>
      <c r="AK189" s="5">
        <v>0</v>
      </c>
      <c r="AL189" s="5">
        <v>0</v>
      </c>
      <c r="AM189" s="5"/>
      <c r="AN189" s="5">
        <v>0</v>
      </c>
      <c r="AO189" s="5">
        <v>0</v>
      </c>
      <c r="AP189" s="5"/>
      <c r="AQ189" s="5">
        <v>0</v>
      </c>
      <c r="AR189" s="5">
        <v>0</v>
      </c>
      <c r="AS189" s="5"/>
      <c r="AT189" s="5">
        <v>0</v>
      </c>
      <c r="AU189" s="5">
        <v>0</v>
      </c>
      <c r="AV189" s="5"/>
      <c r="AW189" s="5">
        <v>1.9500000000000002</v>
      </c>
      <c r="AX189" s="5">
        <v>0</v>
      </c>
      <c r="AY189" s="5"/>
      <c r="AZ189" s="5">
        <v>1</v>
      </c>
      <c r="BA189" s="5">
        <v>0</v>
      </c>
      <c r="BB189" s="5">
        <v>-1</v>
      </c>
      <c r="BD189" s="2">
        <v>2</v>
      </c>
      <c r="BF189" s="787">
        <v>0</v>
      </c>
      <c r="BG189" s="325">
        <v>150000545</v>
      </c>
    </row>
    <row r="190" spans="1:59" ht="24.9" customHeight="1" x14ac:dyDescent="0.3">
      <c r="A190" s="325">
        <v>150000546</v>
      </c>
      <c r="B190" s="445" t="s">
        <v>108</v>
      </c>
      <c r="C190" s="27">
        <v>1</v>
      </c>
      <c r="D190" s="101" t="s">
        <v>455</v>
      </c>
      <c r="E190" s="786">
        <v>131.15</v>
      </c>
      <c r="F190" s="5">
        <v>58</v>
      </c>
      <c r="G190" s="5">
        <v>0</v>
      </c>
      <c r="H190" s="5">
        <v>-58</v>
      </c>
      <c r="I190" s="5">
        <v>0</v>
      </c>
      <c r="J190" s="5">
        <v>0</v>
      </c>
      <c r="K190" s="153"/>
      <c r="L190" s="5">
        <v>0</v>
      </c>
      <c r="M190" s="5">
        <v>0</v>
      </c>
      <c r="N190" s="5"/>
      <c r="O190" s="5">
        <v>0</v>
      </c>
      <c r="P190" s="5">
        <v>0</v>
      </c>
      <c r="Q190" s="784"/>
      <c r="R190" s="5">
        <v>0</v>
      </c>
      <c r="S190" s="5">
        <v>0</v>
      </c>
      <c r="T190" s="628"/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/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/>
      <c r="AH190" s="5">
        <v>0</v>
      </c>
      <c r="AI190" s="5">
        <v>0</v>
      </c>
      <c r="AJ190" s="5"/>
      <c r="AK190" s="5">
        <v>0</v>
      </c>
      <c r="AL190" s="5">
        <v>0</v>
      </c>
      <c r="AM190" s="5"/>
      <c r="AN190" s="5">
        <v>0</v>
      </c>
      <c r="AO190" s="5">
        <v>0</v>
      </c>
      <c r="AP190" s="5"/>
      <c r="AQ190" s="5">
        <v>0</v>
      </c>
      <c r="AR190" s="5">
        <v>0</v>
      </c>
      <c r="AS190" s="5"/>
      <c r="AT190" s="5">
        <v>0</v>
      </c>
      <c r="AU190" s="5">
        <v>0</v>
      </c>
      <c r="AV190" s="5"/>
      <c r="AW190" s="5">
        <v>2.3115000000000001</v>
      </c>
      <c r="AX190" s="5">
        <v>0</v>
      </c>
      <c r="AY190" s="5"/>
      <c r="AZ190" s="5">
        <v>1</v>
      </c>
      <c r="BA190" s="5">
        <v>0</v>
      </c>
      <c r="BB190" s="5">
        <v>-1</v>
      </c>
      <c r="BD190" s="2">
        <v>2</v>
      </c>
      <c r="BF190" s="787">
        <v>0</v>
      </c>
      <c r="BG190" s="325">
        <v>150000546</v>
      </c>
    </row>
    <row r="191" spans="1:59" ht="24.9" customHeight="1" x14ac:dyDescent="0.3">
      <c r="A191" s="325">
        <v>150000502</v>
      </c>
      <c r="B191" s="445" t="s">
        <v>109</v>
      </c>
      <c r="C191" s="27">
        <v>1</v>
      </c>
      <c r="D191" s="101" t="s">
        <v>455</v>
      </c>
      <c r="E191" s="786">
        <v>137.30000000000001</v>
      </c>
      <c r="F191" s="5">
        <v>81</v>
      </c>
      <c r="G191" s="5">
        <v>0</v>
      </c>
      <c r="H191" s="5">
        <v>-81</v>
      </c>
      <c r="I191" s="5">
        <v>0</v>
      </c>
      <c r="J191" s="5">
        <v>0</v>
      </c>
      <c r="K191" s="153"/>
      <c r="L191" s="5">
        <v>0</v>
      </c>
      <c r="M191" s="5">
        <v>0</v>
      </c>
      <c r="N191" s="5"/>
      <c r="O191" s="5">
        <v>0</v>
      </c>
      <c r="P191" s="5">
        <v>0</v>
      </c>
      <c r="Q191" s="784"/>
      <c r="R191" s="5">
        <v>0</v>
      </c>
      <c r="S191" s="5">
        <v>0</v>
      </c>
      <c r="T191" s="628"/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/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/>
      <c r="AH191" s="5">
        <v>0</v>
      </c>
      <c r="AI191" s="5">
        <v>0</v>
      </c>
      <c r="AJ191" s="5"/>
      <c r="AK191" s="5">
        <v>0</v>
      </c>
      <c r="AL191" s="5">
        <v>0</v>
      </c>
      <c r="AM191" s="5"/>
      <c r="AN191" s="5">
        <v>0</v>
      </c>
      <c r="AO191" s="5">
        <v>0</v>
      </c>
      <c r="AP191" s="5"/>
      <c r="AQ191" s="5">
        <v>0</v>
      </c>
      <c r="AR191" s="5">
        <v>0</v>
      </c>
      <c r="AS191" s="5"/>
      <c r="AT191" s="5">
        <v>0</v>
      </c>
      <c r="AU191" s="5">
        <v>0</v>
      </c>
      <c r="AV191" s="5"/>
      <c r="AW191" s="5">
        <v>2.3730000000000002</v>
      </c>
      <c r="AX191" s="5">
        <v>0</v>
      </c>
      <c r="AY191" s="5"/>
      <c r="AZ191" s="5">
        <v>1</v>
      </c>
      <c r="BA191" s="5">
        <v>0</v>
      </c>
      <c r="BB191" s="5">
        <v>-1</v>
      </c>
      <c r="BD191" s="2">
        <v>3</v>
      </c>
      <c r="BF191" s="787">
        <v>0</v>
      </c>
      <c r="BG191" s="325">
        <v>150000502</v>
      </c>
    </row>
    <row r="192" spans="1:59" ht="24.9" customHeight="1" x14ac:dyDescent="0.3">
      <c r="A192" s="325">
        <v>150000503</v>
      </c>
      <c r="B192" s="445" t="s">
        <v>110</v>
      </c>
      <c r="C192" s="27">
        <v>1</v>
      </c>
      <c r="D192" s="101" t="s">
        <v>455</v>
      </c>
      <c r="E192" s="786">
        <v>211.6</v>
      </c>
      <c r="F192" s="5">
        <v>108</v>
      </c>
      <c r="G192" s="5">
        <v>0</v>
      </c>
      <c r="H192" s="5">
        <v>-108</v>
      </c>
      <c r="I192" s="5">
        <v>0</v>
      </c>
      <c r="J192" s="5">
        <v>0</v>
      </c>
      <c r="K192" s="153"/>
      <c r="L192" s="5">
        <v>0</v>
      </c>
      <c r="M192" s="5">
        <v>0</v>
      </c>
      <c r="N192" s="5"/>
      <c r="O192" s="5">
        <v>0</v>
      </c>
      <c r="P192" s="5">
        <v>0</v>
      </c>
      <c r="Q192" s="784"/>
      <c r="R192" s="5">
        <v>0</v>
      </c>
      <c r="S192" s="5">
        <v>0</v>
      </c>
      <c r="T192" s="628"/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/>
      <c r="AA192" s="5">
        <v>0</v>
      </c>
      <c r="AB192" s="5">
        <v>0</v>
      </c>
      <c r="AC192" s="5">
        <v>0</v>
      </c>
      <c r="AD192" s="5">
        <v>0</v>
      </c>
      <c r="AE192" s="5">
        <v>3.9935229879236268E-3</v>
      </c>
      <c r="AF192" s="5">
        <v>0</v>
      </c>
      <c r="AG192" s="5"/>
      <c r="AH192" s="5">
        <v>0</v>
      </c>
      <c r="AI192" s="5">
        <v>0</v>
      </c>
      <c r="AJ192" s="5"/>
      <c r="AK192" s="5">
        <v>0</v>
      </c>
      <c r="AL192" s="5">
        <v>0</v>
      </c>
      <c r="AM192" s="5"/>
      <c r="AN192" s="5">
        <v>0</v>
      </c>
      <c r="AO192" s="5">
        <v>0</v>
      </c>
      <c r="AP192" s="5"/>
      <c r="AQ192" s="5">
        <v>0</v>
      </c>
      <c r="AR192" s="5">
        <v>0</v>
      </c>
      <c r="AS192" s="5"/>
      <c r="AT192" s="5">
        <v>14.145952939484779</v>
      </c>
      <c r="AU192" s="5">
        <v>0</v>
      </c>
      <c r="AV192" s="5"/>
      <c r="AW192" s="5">
        <v>4.1520000000000001</v>
      </c>
      <c r="AX192" s="5">
        <v>0</v>
      </c>
      <c r="AY192" s="5"/>
      <c r="AZ192" s="5">
        <v>9</v>
      </c>
      <c r="BA192" s="5">
        <v>0</v>
      </c>
      <c r="BB192" s="5">
        <v>-9</v>
      </c>
      <c r="BD192" s="2">
        <v>3</v>
      </c>
      <c r="BF192" s="787">
        <v>0</v>
      </c>
      <c r="BG192" s="325">
        <v>150000503</v>
      </c>
    </row>
    <row r="193" spans="1:59" ht="24.9" customHeight="1" x14ac:dyDescent="0.3">
      <c r="A193" s="325">
        <v>150000504</v>
      </c>
      <c r="B193" s="445" t="s">
        <v>111</v>
      </c>
      <c r="C193" s="27">
        <v>1</v>
      </c>
      <c r="D193" s="101" t="s">
        <v>455</v>
      </c>
      <c r="E193" s="786">
        <v>180.6</v>
      </c>
      <c r="F193" s="5">
        <v>110</v>
      </c>
      <c r="G193" s="5">
        <v>0</v>
      </c>
      <c r="H193" s="5">
        <v>-110</v>
      </c>
      <c r="I193" s="5">
        <v>0</v>
      </c>
      <c r="J193" s="5">
        <v>0</v>
      </c>
      <c r="K193" s="153"/>
      <c r="L193" s="5">
        <v>0</v>
      </c>
      <c r="M193" s="5">
        <v>0</v>
      </c>
      <c r="N193" s="5"/>
      <c r="O193" s="5">
        <v>0</v>
      </c>
      <c r="P193" s="5">
        <v>0</v>
      </c>
      <c r="Q193" s="784"/>
      <c r="R193" s="5">
        <v>0</v>
      </c>
      <c r="S193" s="5">
        <v>0</v>
      </c>
      <c r="T193" s="628"/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/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/>
      <c r="AH193" s="5">
        <v>0</v>
      </c>
      <c r="AI193" s="5">
        <v>0</v>
      </c>
      <c r="AJ193" s="5"/>
      <c r="AK193" s="5">
        <v>0</v>
      </c>
      <c r="AL193" s="5">
        <v>0</v>
      </c>
      <c r="AM193" s="5"/>
      <c r="AN193" s="5">
        <v>0</v>
      </c>
      <c r="AO193" s="5">
        <v>0</v>
      </c>
      <c r="AP193" s="5"/>
      <c r="AQ193" s="5">
        <v>0</v>
      </c>
      <c r="AR193" s="5">
        <v>0</v>
      </c>
      <c r="AS193" s="5"/>
      <c r="AT193" s="5">
        <v>0</v>
      </c>
      <c r="AU193" s="5">
        <v>0</v>
      </c>
      <c r="AV193" s="5"/>
      <c r="AW193" s="5">
        <v>3.806</v>
      </c>
      <c r="AX193" s="5">
        <v>0</v>
      </c>
      <c r="AY193" s="5"/>
      <c r="AZ193" s="5">
        <v>2</v>
      </c>
      <c r="BA193" s="5">
        <v>0</v>
      </c>
      <c r="BB193" s="5">
        <v>-2</v>
      </c>
      <c r="BD193" s="2">
        <v>3</v>
      </c>
      <c r="BF193" s="787">
        <v>0</v>
      </c>
      <c r="BG193" s="325">
        <v>150000504</v>
      </c>
    </row>
    <row r="194" spans="1:59" ht="24.9" customHeight="1" x14ac:dyDescent="0.3">
      <c r="A194" s="325">
        <v>150000506</v>
      </c>
      <c r="B194" s="445" t="s">
        <v>112</v>
      </c>
      <c r="C194" s="27">
        <v>1</v>
      </c>
      <c r="D194" s="101" t="s">
        <v>455</v>
      </c>
      <c r="E194" s="786">
        <v>102.4</v>
      </c>
      <c r="F194" s="5">
        <v>77</v>
      </c>
      <c r="G194" s="5">
        <v>0</v>
      </c>
      <c r="H194" s="5">
        <v>-77</v>
      </c>
      <c r="I194" s="5">
        <v>0</v>
      </c>
      <c r="J194" s="5">
        <v>0</v>
      </c>
      <c r="K194" s="153"/>
      <c r="L194" s="5">
        <v>0</v>
      </c>
      <c r="M194" s="5">
        <v>0</v>
      </c>
      <c r="N194" s="5"/>
      <c r="O194" s="5">
        <v>0</v>
      </c>
      <c r="P194" s="5">
        <v>0</v>
      </c>
      <c r="Q194" s="784"/>
      <c r="R194" s="5">
        <v>0</v>
      </c>
      <c r="S194" s="5">
        <v>0</v>
      </c>
      <c r="T194" s="628"/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/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/>
      <c r="AH194" s="5">
        <v>0</v>
      </c>
      <c r="AI194" s="5">
        <v>0</v>
      </c>
      <c r="AJ194" s="5"/>
      <c r="AK194" s="5">
        <v>0</v>
      </c>
      <c r="AL194" s="5">
        <v>0</v>
      </c>
      <c r="AM194" s="5"/>
      <c r="AN194" s="5">
        <v>0</v>
      </c>
      <c r="AO194" s="5">
        <v>0</v>
      </c>
      <c r="AP194" s="5"/>
      <c r="AQ194" s="5">
        <v>0</v>
      </c>
      <c r="AR194" s="5">
        <v>0</v>
      </c>
      <c r="AS194" s="5"/>
      <c r="AT194" s="5">
        <v>0</v>
      </c>
      <c r="AU194" s="5">
        <v>0</v>
      </c>
      <c r="AV194" s="5"/>
      <c r="AW194" s="5">
        <v>2.024</v>
      </c>
      <c r="AX194" s="5">
        <v>0</v>
      </c>
      <c r="AY194" s="5"/>
      <c r="AZ194" s="5">
        <v>1</v>
      </c>
      <c r="BA194" s="5">
        <v>0</v>
      </c>
      <c r="BB194" s="5">
        <v>-1</v>
      </c>
      <c r="BD194" s="2">
        <v>3</v>
      </c>
      <c r="BF194" s="787">
        <v>0</v>
      </c>
      <c r="BG194" s="325">
        <v>150000506</v>
      </c>
    </row>
    <row r="195" spans="1:59" ht="24.9" customHeight="1" x14ac:dyDescent="0.3">
      <c r="A195" s="325">
        <v>150000505</v>
      </c>
      <c r="B195" s="445" t="s">
        <v>113</v>
      </c>
      <c r="C195" s="27">
        <v>1</v>
      </c>
      <c r="D195" s="101" t="s">
        <v>455</v>
      </c>
      <c r="E195" s="786">
        <v>180.22</v>
      </c>
      <c r="F195" s="5">
        <v>113</v>
      </c>
      <c r="G195" s="5">
        <v>0</v>
      </c>
      <c r="H195" s="5">
        <v>-113</v>
      </c>
      <c r="I195" s="5">
        <v>0</v>
      </c>
      <c r="J195" s="5">
        <v>0</v>
      </c>
      <c r="K195" s="153"/>
      <c r="L195" s="5">
        <v>0</v>
      </c>
      <c r="M195" s="5">
        <v>0</v>
      </c>
      <c r="N195" s="5"/>
      <c r="O195" s="5">
        <v>0</v>
      </c>
      <c r="P195" s="5">
        <v>0</v>
      </c>
      <c r="Q195" s="784"/>
      <c r="R195" s="5">
        <v>0</v>
      </c>
      <c r="S195" s="5">
        <v>0</v>
      </c>
      <c r="T195" s="628"/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/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/>
      <c r="AH195" s="5">
        <v>0</v>
      </c>
      <c r="AI195" s="5">
        <v>0</v>
      </c>
      <c r="AJ195" s="5"/>
      <c r="AK195" s="5">
        <v>0</v>
      </c>
      <c r="AL195" s="5">
        <v>0</v>
      </c>
      <c r="AM195" s="5"/>
      <c r="AN195" s="5">
        <v>0</v>
      </c>
      <c r="AO195" s="5">
        <v>0</v>
      </c>
      <c r="AP195" s="5"/>
      <c r="AQ195" s="5">
        <v>0</v>
      </c>
      <c r="AR195" s="5">
        <v>0</v>
      </c>
      <c r="AS195" s="5"/>
      <c r="AT195" s="5">
        <v>0</v>
      </c>
      <c r="AU195" s="5">
        <v>0</v>
      </c>
      <c r="AV195" s="5"/>
      <c r="AW195" s="5">
        <v>3.8022</v>
      </c>
      <c r="AX195" s="5">
        <v>0</v>
      </c>
      <c r="AY195" s="5"/>
      <c r="AZ195" s="5">
        <v>2</v>
      </c>
      <c r="BA195" s="5">
        <v>0</v>
      </c>
      <c r="BB195" s="5">
        <v>-2</v>
      </c>
      <c r="BD195" s="2">
        <v>3</v>
      </c>
      <c r="BF195" s="787">
        <v>0</v>
      </c>
      <c r="BG195" s="325">
        <v>150000505</v>
      </c>
    </row>
    <row r="196" spans="1:59" ht="24.9" customHeight="1" x14ac:dyDescent="0.3">
      <c r="A196" s="325">
        <v>150000507</v>
      </c>
      <c r="B196" s="445" t="s">
        <v>114</v>
      </c>
      <c r="C196" s="27">
        <v>1</v>
      </c>
      <c r="D196" s="101" t="s">
        <v>455</v>
      </c>
      <c r="E196" s="786">
        <v>329.7</v>
      </c>
      <c r="F196" s="5">
        <v>151</v>
      </c>
      <c r="G196" s="5">
        <v>0</v>
      </c>
      <c r="H196" s="5">
        <v>-151</v>
      </c>
      <c r="I196" s="5">
        <v>0</v>
      </c>
      <c r="J196" s="5">
        <v>0</v>
      </c>
      <c r="K196" s="153"/>
      <c r="L196" s="5">
        <v>0</v>
      </c>
      <c r="M196" s="5">
        <v>0</v>
      </c>
      <c r="N196" s="5"/>
      <c r="O196" s="5">
        <v>0</v>
      </c>
      <c r="P196" s="5">
        <v>0</v>
      </c>
      <c r="Q196" s="784"/>
      <c r="R196" s="5">
        <v>0</v>
      </c>
      <c r="S196" s="5">
        <v>0</v>
      </c>
      <c r="T196" s="628"/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/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/>
      <c r="AH196" s="5">
        <v>0</v>
      </c>
      <c r="AI196" s="5">
        <v>0</v>
      </c>
      <c r="AJ196" s="5"/>
      <c r="AK196" s="5">
        <v>0</v>
      </c>
      <c r="AL196" s="5">
        <v>0</v>
      </c>
      <c r="AM196" s="5"/>
      <c r="AN196" s="5">
        <v>0</v>
      </c>
      <c r="AO196" s="5">
        <v>0</v>
      </c>
      <c r="AP196" s="5"/>
      <c r="AQ196" s="5">
        <v>0</v>
      </c>
      <c r="AR196" s="5">
        <v>0</v>
      </c>
      <c r="AS196" s="5"/>
      <c r="AT196" s="5">
        <v>0</v>
      </c>
      <c r="AU196" s="5">
        <v>0</v>
      </c>
      <c r="AV196" s="5"/>
      <c r="AW196" s="5">
        <v>6.2059999999999995</v>
      </c>
      <c r="AX196" s="5">
        <v>0</v>
      </c>
      <c r="AY196" s="5"/>
      <c r="AZ196" s="5">
        <v>3</v>
      </c>
      <c r="BA196" s="5">
        <v>0</v>
      </c>
      <c r="BB196" s="5">
        <v>-3</v>
      </c>
      <c r="BD196" s="2">
        <v>3</v>
      </c>
      <c r="BF196" s="787">
        <v>0</v>
      </c>
      <c r="BG196" s="325">
        <v>150000507</v>
      </c>
    </row>
    <row r="197" spans="1:59" ht="24.9" customHeight="1" x14ac:dyDescent="0.3">
      <c r="A197" s="325">
        <v>150000508</v>
      </c>
      <c r="B197" s="445" t="s">
        <v>115</v>
      </c>
      <c r="C197" s="27">
        <v>1</v>
      </c>
      <c r="D197" s="101" t="s">
        <v>455</v>
      </c>
      <c r="E197" s="786">
        <v>151.80000000000001</v>
      </c>
      <c r="F197" s="5">
        <v>61</v>
      </c>
      <c r="G197" s="5">
        <v>0</v>
      </c>
      <c r="H197" s="5">
        <v>-61</v>
      </c>
      <c r="I197" s="5">
        <v>0</v>
      </c>
      <c r="J197" s="5">
        <v>0</v>
      </c>
      <c r="K197" s="153"/>
      <c r="L197" s="5">
        <v>0</v>
      </c>
      <c r="M197" s="5">
        <v>0</v>
      </c>
      <c r="N197" s="5"/>
      <c r="O197" s="5">
        <v>0</v>
      </c>
      <c r="P197" s="5">
        <v>0</v>
      </c>
      <c r="Q197" s="784"/>
      <c r="R197" s="5">
        <v>0</v>
      </c>
      <c r="S197" s="5">
        <v>0</v>
      </c>
      <c r="T197" s="628"/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/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/>
      <c r="AH197" s="5">
        <v>0</v>
      </c>
      <c r="AI197" s="5">
        <v>0</v>
      </c>
      <c r="AJ197" s="5"/>
      <c r="AK197" s="5">
        <v>0</v>
      </c>
      <c r="AL197" s="5">
        <v>0</v>
      </c>
      <c r="AM197" s="5"/>
      <c r="AN197" s="5">
        <v>0</v>
      </c>
      <c r="AO197" s="5">
        <v>0</v>
      </c>
      <c r="AP197" s="5"/>
      <c r="AQ197" s="5">
        <v>0</v>
      </c>
      <c r="AR197" s="5">
        <v>0</v>
      </c>
      <c r="AS197" s="5"/>
      <c r="AT197" s="5">
        <v>0</v>
      </c>
      <c r="AU197" s="5">
        <v>0</v>
      </c>
      <c r="AV197" s="5"/>
      <c r="AW197" s="5">
        <v>3.5180000000000002</v>
      </c>
      <c r="AX197" s="5">
        <v>0</v>
      </c>
      <c r="AY197" s="5"/>
      <c r="AZ197" s="5">
        <v>2</v>
      </c>
      <c r="BA197" s="5">
        <v>0</v>
      </c>
      <c r="BB197" s="5">
        <v>-2</v>
      </c>
      <c r="BD197" s="2">
        <v>3</v>
      </c>
      <c r="BF197" s="787">
        <v>0</v>
      </c>
      <c r="BG197" s="325">
        <v>150000508</v>
      </c>
    </row>
    <row r="198" spans="1:59" ht="24.9" customHeight="1" x14ac:dyDescent="0.3">
      <c r="A198" s="325">
        <v>150000501</v>
      </c>
      <c r="B198" s="464" t="s">
        <v>264</v>
      </c>
      <c r="C198" s="27">
        <v>5</v>
      </c>
      <c r="D198" s="101" t="s">
        <v>455</v>
      </c>
      <c r="E198" s="786">
        <v>4529.63</v>
      </c>
      <c r="F198" s="5">
        <v>2211</v>
      </c>
      <c r="G198" s="5">
        <v>382</v>
      </c>
      <c r="H198" s="5">
        <v>-2211</v>
      </c>
      <c r="I198" s="5">
        <v>0</v>
      </c>
      <c r="J198" s="5">
        <v>0</v>
      </c>
      <c r="K198" s="593"/>
      <c r="L198" s="5">
        <v>0</v>
      </c>
      <c r="M198" s="5">
        <v>382</v>
      </c>
      <c r="N198" s="5"/>
      <c r="O198" s="5">
        <v>0</v>
      </c>
      <c r="P198" s="5">
        <v>0</v>
      </c>
      <c r="Q198" s="784"/>
      <c r="R198" s="5">
        <v>0</v>
      </c>
      <c r="S198" s="5">
        <v>0</v>
      </c>
      <c r="T198" s="628"/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/>
      <c r="AA198" s="5">
        <v>0</v>
      </c>
      <c r="AB198" s="5">
        <v>0</v>
      </c>
      <c r="AC198" s="5">
        <v>0</v>
      </c>
      <c r="AD198" s="5">
        <v>0</v>
      </c>
      <c r="AE198" s="5">
        <v>1078.3915202176818</v>
      </c>
      <c r="AF198" s="5">
        <v>0</v>
      </c>
      <c r="AG198" s="5"/>
      <c r="AH198" s="5">
        <v>1483.9085808579903</v>
      </c>
      <c r="AI198" s="5">
        <v>0</v>
      </c>
      <c r="AJ198" s="5"/>
      <c r="AK198" s="5">
        <v>316.16908906537833</v>
      </c>
      <c r="AL198" s="5">
        <v>0</v>
      </c>
      <c r="AM198" s="5"/>
      <c r="AN198" s="5">
        <v>0</v>
      </c>
      <c r="AO198" s="5">
        <v>0</v>
      </c>
      <c r="AP198" s="5"/>
      <c r="AQ198" s="5">
        <v>0</v>
      </c>
      <c r="AR198" s="5">
        <v>0</v>
      </c>
      <c r="AS198" s="5"/>
      <c r="AT198" s="5">
        <v>1155.6017704620233</v>
      </c>
      <c r="AU198" s="5">
        <v>0</v>
      </c>
      <c r="AV198" s="5"/>
      <c r="AW198" s="5">
        <v>90.423699999999997</v>
      </c>
      <c r="AX198" s="5">
        <v>0</v>
      </c>
      <c r="AY198" s="5"/>
      <c r="AZ198" s="5">
        <v>2062</v>
      </c>
      <c r="BA198" s="5">
        <v>0</v>
      </c>
      <c r="BB198" s="5">
        <v>-2062</v>
      </c>
      <c r="BD198" s="2">
        <v>2</v>
      </c>
      <c r="BF198" s="787">
        <v>4.43</v>
      </c>
      <c r="BG198" s="325">
        <v>150000501</v>
      </c>
    </row>
    <row r="199" spans="1:59" ht="24.9" customHeight="1" x14ac:dyDescent="0.3">
      <c r="A199" s="325">
        <v>150000778</v>
      </c>
      <c r="B199" s="464" t="s">
        <v>215</v>
      </c>
      <c r="C199" s="27">
        <v>4</v>
      </c>
      <c r="D199" s="101" t="s">
        <v>455</v>
      </c>
      <c r="E199" s="786">
        <v>2055.6</v>
      </c>
      <c r="F199" s="5">
        <v>951</v>
      </c>
      <c r="G199" s="5">
        <v>6964</v>
      </c>
      <c r="H199" s="5">
        <v>6013</v>
      </c>
      <c r="I199" s="5">
        <v>16</v>
      </c>
      <c r="J199" s="5">
        <v>6964</v>
      </c>
      <c r="K199" s="153"/>
      <c r="L199" s="5">
        <v>0</v>
      </c>
      <c r="M199" s="5">
        <v>0</v>
      </c>
      <c r="N199" s="5"/>
      <c r="O199" s="5">
        <v>0</v>
      </c>
      <c r="P199" s="5">
        <v>0</v>
      </c>
      <c r="Q199" s="784"/>
      <c r="R199" s="5">
        <v>0</v>
      </c>
      <c r="S199" s="5">
        <v>0</v>
      </c>
      <c r="T199" s="628"/>
      <c r="U199" s="5">
        <v>0</v>
      </c>
      <c r="V199" s="5">
        <v>6964</v>
      </c>
      <c r="W199" s="5">
        <v>0</v>
      </c>
      <c r="X199" s="5">
        <v>0</v>
      </c>
      <c r="Y199" s="5">
        <v>0</v>
      </c>
      <c r="Z199" s="630"/>
      <c r="AA199" s="5">
        <v>0</v>
      </c>
      <c r="AB199" s="5">
        <v>0</v>
      </c>
      <c r="AC199" s="5">
        <v>0</v>
      </c>
      <c r="AD199" s="5">
        <v>0</v>
      </c>
      <c r="AE199" s="5">
        <v>444.00313785112075</v>
      </c>
      <c r="AF199" s="5">
        <v>0</v>
      </c>
      <c r="AG199" s="5"/>
      <c r="AH199" s="5">
        <v>581.83482672341302</v>
      </c>
      <c r="AI199" s="5">
        <v>0</v>
      </c>
      <c r="AJ199" s="5"/>
      <c r="AK199" s="5">
        <v>128.16209374243169</v>
      </c>
      <c r="AL199" s="5">
        <v>0</v>
      </c>
      <c r="AM199" s="5"/>
      <c r="AN199" s="5">
        <v>398.47136446142088</v>
      </c>
      <c r="AO199" s="5">
        <v>0</v>
      </c>
      <c r="AP199" s="5"/>
      <c r="AQ199" s="5">
        <v>0</v>
      </c>
      <c r="AR199" s="5">
        <v>0</v>
      </c>
      <c r="AS199" s="5"/>
      <c r="AT199" s="5">
        <v>383.69258797676997</v>
      </c>
      <c r="AU199" s="5">
        <v>0</v>
      </c>
      <c r="AV199" s="5"/>
      <c r="AW199" s="5">
        <v>41.865000000000002</v>
      </c>
      <c r="AX199" s="5">
        <v>0</v>
      </c>
      <c r="AY199" s="5"/>
      <c r="AZ199" s="5">
        <v>989</v>
      </c>
      <c r="BA199" s="5">
        <v>0</v>
      </c>
      <c r="BB199" s="5">
        <v>-989</v>
      </c>
      <c r="BD199" s="2">
        <v>3</v>
      </c>
      <c r="BF199" s="787">
        <v>8.18</v>
      </c>
      <c r="BG199" s="325">
        <v>150000778</v>
      </c>
    </row>
    <row r="200" spans="1:59" ht="24.9" customHeight="1" x14ac:dyDescent="0.3">
      <c r="A200" s="325">
        <v>150001071</v>
      </c>
      <c r="B200" s="464" t="s">
        <v>168</v>
      </c>
      <c r="C200" s="27">
        <v>2</v>
      </c>
      <c r="D200" s="101" t="s">
        <v>455</v>
      </c>
      <c r="E200" s="786">
        <v>373.83</v>
      </c>
      <c r="F200" s="5">
        <v>202</v>
      </c>
      <c r="G200" s="5">
        <v>0</v>
      </c>
      <c r="H200" s="5">
        <v>-202</v>
      </c>
      <c r="I200" s="5">
        <v>0</v>
      </c>
      <c r="J200" s="5">
        <v>0</v>
      </c>
      <c r="K200" s="593"/>
      <c r="L200" s="5">
        <v>0</v>
      </c>
      <c r="M200" s="5">
        <v>0</v>
      </c>
      <c r="N200" s="5"/>
      <c r="O200" s="5">
        <v>0</v>
      </c>
      <c r="P200" s="5">
        <v>0</v>
      </c>
      <c r="Q200" s="784"/>
      <c r="R200" s="5">
        <v>0</v>
      </c>
      <c r="S200" s="5">
        <v>0</v>
      </c>
      <c r="T200" s="628"/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/>
      <c r="AA200" s="5">
        <v>0</v>
      </c>
      <c r="AB200" s="5">
        <v>0</v>
      </c>
      <c r="AC200" s="5">
        <v>0</v>
      </c>
      <c r="AD200" s="5">
        <v>0</v>
      </c>
      <c r="AE200" s="5">
        <v>112.29734648336512</v>
      </c>
      <c r="AF200" s="5">
        <v>0</v>
      </c>
      <c r="AG200" s="5"/>
      <c r="AH200" s="5">
        <v>123.99671639224603</v>
      </c>
      <c r="AI200" s="5">
        <v>0</v>
      </c>
      <c r="AJ200" s="5"/>
      <c r="AK200" s="5">
        <v>21.986459587803331</v>
      </c>
      <c r="AL200" s="5">
        <v>0</v>
      </c>
      <c r="AM200" s="5"/>
      <c r="AN200" s="5">
        <v>0</v>
      </c>
      <c r="AO200" s="5">
        <v>0</v>
      </c>
      <c r="AP200" s="5"/>
      <c r="AQ200" s="5">
        <v>0</v>
      </c>
      <c r="AR200" s="5">
        <v>0</v>
      </c>
      <c r="AS200" s="5"/>
      <c r="AT200" s="5">
        <v>52.311589058443239</v>
      </c>
      <c r="AU200" s="5">
        <v>0</v>
      </c>
      <c r="AV200" s="5"/>
      <c r="AW200" s="5">
        <v>12.374381727865718</v>
      </c>
      <c r="AX200" s="5">
        <v>0</v>
      </c>
      <c r="AY200" s="5"/>
      <c r="AZ200" s="5">
        <v>162</v>
      </c>
      <c r="BA200" s="5">
        <v>0</v>
      </c>
      <c r="BB200" s="5">
        <v>-162</v>
      </c>
      <c r="BD200" s="2">
        <v>3</v>
      </c>
      <c r="BF200" s="787">
        <v>1.47</v>
      </c>
      <c r="BG200" s="325">
        <v>150001071</v>
      </c>
    </row>
    <row r="201" spans="1:59" ht="24.9" customHeight="1" x14ac:dyDescent="0.3">
      <c r="A201" s="325">
        <v>150000768</v>
      </c>
      <c r="B201" s="464" t="s">
        <v>117</v>
      </c>
      <c r="C201" s="27">
        <v>1</v>
      </c>
      <c r="D201" s="101" t="s">
        <v>455</v>
      </c>
      <c r="E201" s="786">
        <v>119.3</v>
      </c>
      <c r="F201" s="5">
        <v>91</v>
      </c>
      <c r="G201" s="5">
        <v>0</v>
      </c>
      <c r="H201" s="5">
        <v>-91</v>
      </c>
      <c r="I201" s="5">
        <v>0</v>
      </c>
      <c r="J201" s="5">
        <v>0</v>
      </c>
      <c r="K201" s="153"/>
      <c r="L201" s="5">
        <v>0</v>
      </c>
      <c r="M201" s="5">
        <v>0</v>
      </c>
      <c r="N201" s="5"/>
      <c r="O201" s="5">
        <v>0</v>
      </c>
      <c r="P201" s="5">
        <v>0</v>
      </c>
      <c r="Q201" s="784"/>
      <c r="R201" s="5">
        <v>0</v>
      </c>
      <c r="S201" s="5">
        <v>0</v>
      </c>
      <c r="T201" s="628"/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/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/>
      <c r="AH201" s="5">
        <v>0</v>
      </c>
      <c r="AI201" s="5">
        <v>0</v>
      </c>
      <c r="AJ201" s="5"/>
      <c r="AK201" s="5">
        <v>0</v>
      </c>
      <c r="AL201" s="5">
        <v>0</v>
      </c>
      <c r="AM201" s="5"/>
      <c r="AN201" s="5">
        <v>0</v>
      </c>
      <c r="AO201" s="5">
        <v>0</v>
      </c>
      <c r="AP201" s="5"/>
      <c r="AQ201" s="5">
        <v>0</v>
      </c>
      <c r="AR201" s="5">
        <v>0</v>
      </c>
      <c r="AS201" s="5"/>
      <c r="AT201" s="5">
        <v>0</v>
      </c>
      <c r="AU201" s="5">
        <v>0</v>
      </c>
      <c r="AV201" s="5"/>
      <c r="AW201" s="5">
        <v>2.1798999999999999</v>
      </c>
      <c r="AX201" s="5">
        <v>0</v>
      </c>
      <c r="AY201" s="5"/>
      <c r="AZ201" s="5">
        <v>1</v>
      </c>
      <c r="BA201" s="5">
        <v>0</v>
      </c>
      <c r="BB201" s="5">
        <v>-1</v>
      </c>
      <c r="BD201" s="2">
        <v>3</v>
      </c>
      <c r="BF201" s="787">
        <v>0</v>
      </c>
      <c r="BG201" s="325">
        <v>150000768</v>
      </c>
    </row>
    <row r="202" spans="1:59" ht="24.9" customHeight="1" x14ac:dyDescent="0.3">
      <c r="A202" s="325">
        <v>150000763</v>
      </c>
      <c r="B202" s="464" t="s">
        <v>118</v>
      </c>
      <c r="C202" s="27">
        <v>1</v>
      </c>
      <c r="D202" s="101" t="s">
        <v>455</v>
      </c>
      <c r="E202" s="786">
        <v>182.8</v>
      </c>
      <c r="F202" s="5">
        <v>107</v>
      </c>
      <c r="G202" s="5">
        <v>0</v>
      </c>
      <c r="H202" s="5">
        <v>-107</v>
      </c>
      <c r="I202" s="5">
        <v>0</v>
      </c>
      <c r="J202" s="5">
        <v>0</v>
      </c>
      <c r="K202" s="153"/>
      <c r="L202" s="5">
        <v>0</v>
      </c>
      <c r="M202" s="5">
        <v>0</v>
      </c>
      <c r="N202" s="5"/>
      <c r="O202" s="5">
        <v>0</v>
      </c>
      <c r="P202" s="5">
        <v>0</v>
      </c>
      <c r="Q202" s="784"/>
      <c r="R202" s="5">
        <v>0</v>
      </c>
      <c r="S202" s="5">
        <v>0</v>
      </c>
      <c r="T202" s="628"/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/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/>
      <c r="AH202" s="5">
        <v>0</v>
      </c>
      <c r="AI202" s="5">
        <v>0</v>
      </c>
      <c r="AJ202" s="5"/>
      <c r="AK202" s="5">
        <v>0</v>
      </c>
      <c r="AL202" s="5">
        <v>0</v>
      </c>
      <c r="AM202" s="5"/>
      <c r="AN202" s="5">
        <v>0</v>
      </c>
      <c r="AO202" s="5">
        <v>0</v>
      </c>
      <c r="AP202" s="5"/>
      <c r="AQ202" s="5">
        <v>0</v>
      </c>
      <c r="AR202" s="5">
        <v>0</v>
      </c>
      <c r="AS202" s="5"/>
      <c r="AT202" s="5">
        <v>0</v>
      </c>
      <c r="AU202" s="5">
        <v>0</v>
      </c>
      <c r="AV202" s="5"/>
      <c r="AW202" s="5">
        <v>3.8280000000000003</v>
      </c>
      <c r="AX202" s="5">
        <v>0</v>
      </c>
      <c r="AY202" s="5"/>
      <c r="AZ202" s="5">
        <v>2</v>
      </c>
      <c r="BA202" s="5">
        <v>0</v>
      </c>
      <c r="BB202" s="5">
        <v>-2</v>
      </c>
      <c r="BD202" s="2">
        <v>3</v>
      </c>
      <c r="BF202" s="787">
        <v>0</v>
      </c>
      <c r="BG202" s="325">
        <v>150000763</v>
      </c>
    </row>
    <row r="203" spans="1:59" ht="24.9" customHeight="1" x14ac:dyDescent="0.3">
      <c r="A203" s="325">
        <v>150000764</v>
      </c>
      <c r="B203" s="464" t="s">
        <v>119</v>
      </c>
      <c r="C203" s="27">
        <v>1</v>
      </c>
      <c r="D203" s="101" t="s">
        <v>455</v>
      </c>
      <c r="E203" s="786">
        <v>229</v>
      </c>
      <c r="F203" s="5">
        <v>131</v>
      </c>
      <c r="G203" s="5">
        <v>0</v>
      </c>
      <c r="H203" s="5">
        <v>-131</v>
      </c>
      <c r="I203" s="5">
        <v>0</v>
      </c>
      <c r="J203" s="5">
        <v>0</v>
      </c>
      <c r="K203" s="153"/>
      <c r="L203" s="5">
        <v>0</v>
      </c>
      <c r="M203" s="5">
        <v>0</v>
      </c>
      <c r="N203" s="5"/>
      <c r="O203" s="5">
        <v>0</v>
      </c>
      <c r="P203" s="5">
        <v>0</v>
      </c>
      <c r="Q203" s="784"/>
      <c r="R203" s="5">
        <v>0</v>
      </c>
      <c r="S203" s="5">
        <v>0</v>
      </c>
      <c r="T203" s="628"/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/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/>
      <c r="AH203" s="5">
        <v>0</v>
      </c>
      <c r="AI203" s="5">
        <v>0</v>
      </c>
      <c r="AJ203" s="5"/>
      <c r="AK203" s="5">
        <v>0</v>
      </c>
      <c r="AL203" s="5">
        <v>0</v>
      </c>
      <c r="AM203" s="5"/>
      <c r="AN203" s="5">
        <v>0</v>
      </c>
      <c r="AO203" s="5">
        <v>0</v>
      </c>
      <c r="AP203" s="5"/>
      <c r="AQ203" s="5">
        <v>0</v>
      </c>
      <c r="AR203" s="5">
        <v>0</v>
      </c>
      <c r="AS203" s="5"/>
      <c r="AT203" s="5">
        <v>0</v>
      </c>
      <c r="AU203" s="5">
        <v>0</v>
      </c>
      <c r="AV203" s="5"/>
      <c r="AW203" s="5">
        <v>4.29</v>
      </c>
      <c r="AX203" s="5">
        <v>0</v>
      </c>
      <c r="AY203" s="5"/>
      <c r="AZ203" s="5">
        <v>2</v>
      </c>
      <c r="BA203" s="5">
        <v>0</v>
      </c>
      <c r="BB203" s="5">
        <v>-2</v>
      </c>
      <c r="BD203" s="2">
        <v>3</v>
      </c>
      <c r="BF203" s="787">
        <v>0</v>
      </c>
      <c r="BG203" s="325">
        <v>150000764</v>
      </c>
    </row>
    <row r="204" spans="1:59" ht="24.9" customHeight="1" x14ac:dyDescent="0.3">
      <c r="A204" s="325">
        <v>150000770</v>
      </c>
      <c r="B204" s="464" t="s">
        <v>120</v>
      </c>
      <c r="C204" s="27">
        <v>1</v>
      </c>
      <c r="D204" s="101" t="s">
        <v>455</v>
      </c>
      <c r="E204" s="786">
        <v>144.5</v>
      </c>
      <c r="F204" s="5">
        <v>100</v>
      </c>
      <c r="G204" s="5">
        <v>0</v>
      </c>
      <c r="H204" s="5">
        <v>-100</v>
      </c>
      <c r="I204" s="5">
        <v>0</v>
      </c>
      <c r="J204" s="5">
        <v>0</v>
      </c>
      <c r="K204" s="153"/>
      <c r="L204" s="5">
        <v>0</v>
      </c>
      <c r="M204" s="5">
        <v>0</v>
      </c>
      <c r="N204" s="5"/>
      <c r="O204" s="5">
        <v>0</v>
      </c>
      <c r="P204" s="5">
        <v>0</v>
      </c>
      <c r="Q204" s="784"/>
      <c r="R204" s="5">
        <v>0</v>
      </c>
      <c r="S204" s="5">
        <v>0</v>
      </c>
      <c r="T204" s="628"/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/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/>
      <c r="AH204" s="5">
        <v>0</v>
      </c>
      <c r="AI204" s="5">
        <v>0</v>
      </c>
      <c r="AJ204" s="5"/>
      <c r="AK204" s="5">
        <v>0</v>
      </c>
      <c r="AL204" s="5">
        <v>0</v>
      </c>
      <c r="AM204" s="5"/>
      <c r="AN204" s="5">
        <v>0</v>
      </c>
      <c r="AO204" s="5">
        <v>0</v>
      </c>
      <c r="AP204" s="5"/>
      <c r="AQ204" s="5">
        <v>0</v>
      </c>
      <c r="AR204" s="5">
        <v>0</v>
      </c>
      <c r="AS204" s="5"/>
      <c r="AT204" s="5">
        <v>0</v>
      </c>
      <c r="AU204" s="5">
        <v>0</v>
      </c>
      <c r="AV204" s="5"/>
      <c r="AW204" s="5">
        <v>2.4450000000000003</v>
      </c>
      <c r="AX204" s="5">
        <v>0</v>
      </c>
      <c r="AY204" s="5"/>
      <c r="AZ204" s="5">
        <v>1</v>
      </c>
      <c r="BA204" s="5">
        <v>0</v>
      </c>
      <c r="BB204" s="5">
        <v>-1</v>
      </c>
      <c r="BD204" s="2">
        <v>3</v>
      </c>
      <c r="BF204" s="787">
        <v>0</v>
      </c>
      <c r="BG204" s="325">
        <v>150000770</v>
      </c>
    </row>
    <row r="205" spans="1:59" ht="24.9" customHeight="1" x14ac:dyDescent="0.3">
      <c r="A205" s="325">
        <v>150000777</v>
      </c>
      <c r="B205" s="464" t="s">
        <v>169</v>
      </c>
      <c r="C205" s="27">
        <v>2</v>
      </c>
      <c r="D205" s="101" t="s">
        <v>455</v>
      </c>
      <c r="E205" s="786">
        <v>393</v>
      </c>
      <c r="F205" s="5">
        <v>248</v>
      </c>
      <c r="G205" s="5">
        <v>127</v>
      </c>
      <c r="H205" s="5">
        <v>-120</v>
      </c>
      <c r="I205" s="5">
        <v>0</v>
      </c>
      <c r="J205" s="5">
        <v>0</v>
      </c>
      <c r="K205" s="153"/>
      <c r="L205" s="5">
        <v>0</v>
      </c>
      <c r="M205" s="5">
        <v>0</v>
      </c>
      <c r="N205" s="5"/>
      <c r="O205" s="5">
        <v>0</v>
      </c>
      <c r="P205" s="5">
        <v>0</v>
      </c>
      <c r="Q205" s="784"/>
      <c r="R205" s="5">
        <v>0</v>
      </c>
      <c r="S205" s="5">
        <v>0</v>
      </c>
      <c r="T205" s="628"/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/>
      <c r="AA205" s="5">
        <v>0</v>
      </c>
      <c r="AB205" s="5">
        <v>0</v>
      </c>
      <c r="AC205" s="5">
        <v>127</v>
      </c>
      <c r="AD205" s="5">
        <v>0</v>
      </c>
      <c r="AE205" s="5">
        <v>100.30694210985627</v>
      </c>
      <c r="AF205" s="5">
        <v>0</v>
      </c>
      <c r="AG205" s="5"/>
      <c r="AH205" s="5">
        <v>97.927774297674944</v>
      </c>
      <c r="AI205" s="5">
        <v>0</v>
      </c>
      <c r="AJ205" s="5"/>
      <c r="AK205" s="5">
        <v>11.836102587525829</v>
      </c>
      <c r="AL205" s="5">
        <v>0</v>
      </c>
      <c r="AM205" s="5"/>
      <c r="AN205" s="5">
        <v>72.200568544352507</v>
      </c>
      <c r="AO205" s="5">
        <v>0</v>
      </c>
      <c r="AP205" s="5"/>
      <c r="AQ205" s="5">
        <v>0</v>
      </c>
      <c r="AR205" s="5">
        <v>0</v>
      </c>
      <c r="AS205" s="5"/>
      <c r="AT205" s="5">
        <v>23.947858081221749</v>
      </c>
      <c r="AU205" s="5">
        <v>0</v>
      </c>
      <c r="AV205" s="5"/>
      <c r="AW205" s="5">
        <v>7.93</v>
      </c>
      <c r="AX205" s="5">
        <v>0</v>
      </c>
      <c r="AY205" s="5"/>
      <c r="AZ205" s="5">
        <v>157</v>
      </c>
      <c r="BA205" s="5">
        <v>0</v>
      </c>
      <c r="BB205" s="5">
        <v>-157</v>
      </c>
      <c r="BD205" s="2">
        <v>3</v>
      </c>
      <c r="BF205" s="787">
        <v>1.54</v>
      </c>
      <c r="BG205" s="325">
        <v>150000777</v>
      </c>
    </row>
    <row r="206" spans="1:59" ht="24.9" customHeight="1" x14ac:dyDescent="0.3">
      <c r="A206" s="325">
        <v>150000765</v>
      </c>
      <c r="B206" s="464" t="s">
        <v>265</v>
      </c>
      <c r="C206" s="27">
        <v>5</v>
      </c>
      <c r="D206" s="101" t="s">
        <v>455</v>
      </c>
      <c r="E206" s="786">
        <v>4524.01</v>
      </c>
      <c r="F206" s="5">
        <v>2618</v>
      </c>
      <c r="G206" s="5">
        <v>1288</v>
      </c>
      <c r="H206" s="5">
        <v>-1331</v>
      </c>
      <c r="I206" s="5">
        <v>0</v>
      </c>
      <c r="J206" s="5">
        <v>0</v>
      </c>
      <c r="K206" s="593"/>
      <c r="L206" s="5">
        <v>0</v>
      </c>
      <c r="M206" s="5">
        <v>0</v>
      </c>
      <c r="N206" s="5"/>
      <c r="O206" s="5">
        <v>0</v>
      </c>
      <c r="P206" s="5">
        <v>0</v>
      </c>
      <c r="Q206" s="784"/>
      <c r="R206" s="5">
        <v>0</v>
      </c>
      <c r="S206" s="5">
        <v>0</v>
      </c>
      <c r="T206" s="628"/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/>
      <c r="AA206" s="5">
        <v>0</v>
      </c>
      <c r="AB206" s="5">
        <v>0</v>
      </c>
      <c r="AC206" s="5">
        <v>0</v>
      </c>
      <c r="AD206" s="5">
        <v>1288</v>
      </c>
      <c r="AE206" s="5">
        <v>1008.1267272462082</v>
      </c>
      <c r="AF206" s="5">
        <v>0</v>
      </c>
      <c r="AG206" s="5"/>
      <c r="AH206" s="5">
        <v>1410.0768046511057</v>
      </c>
      <c r="AI206" s="5">
        <v>0</v>
      </c>
      <c r="AJ206" s="5"/>
      <c r="AK206" s="5">
        <v>320.1387754329017</v>
      </c>
      <c r="AL206" s="5">
        <v>0</v>
      </c>
      <c r="AM206" s="5"/>
      <c r="AN206" s="5">
        <v>0</v>
      </c>
      <c r="AO206" s="5">
        <v>0</v>
      </c>
      <c r="AP206" s="5"/>
      <c r="AQ206" s="5">
        <v>693.6895941042286</v>
      </c>
      <c r="AR206" s="5">
        <v>0</v>
      </c>
      <c r="AS206" s="5"/>
      <c r="AT206" s="5">
        <v>980.06527649695204</v>
      </c>
      <c r="AU206" s="5">
        <v>0</v>
      </c>
      <c r="AV206" s="5"/>
      <c r="AW206" s="5">
        <v>90.236199999999997</v>
      </c>
      <c r="AX206" s="5">
        <v>0</v>
      </c>
      <c r="AY206" s="5"/>
      <c r="AZ206" s="5">
        <v>2251</v>
      </c>
      <c r="BA206" s="5">
        <v>0</v>
      </c>
      <c r="BB206" s="5">
        <v>-2251</v>
      </c>
      <c r="BD206" s="2">
        <v>2</v>
      </c>
      <c r="BF206" s="787">
        <v>4.41</v>
      </c>
      <c r="BG206" s="325">
        <v>150000765</v>
      </c>
    </row>
    <row r="207" spans="1:59" ht="24.9" customHeight="1" x14ac:dyDescent="0.3">
      <c r="A207" s="325">
        <v>150000683</v>
      </c>
      <c r="B207" s="445" t="s">
        <v>116</v>
      </c>
      <c r="C207" s="27">
        <v>1</v>
      </c>
      <c r="D207" s="101" t="s">
        <v>455</v>
      </c>
      <c r="E207" s="786">
        <v>256.60000000000002</v>
      </c>
      <c r="F207" s="5">
        <v>170</v>
      </c>
      <c r="G207" s="5">
        <v>0</v>
      </c>
      <c r="H207" s="5">
        <v>-170</v>
      </c>
      <c r="I207" s="5">
        <v>0</v>
      </c>
      <c r="J207" s="5">
        <v>0</v>
      </c>
      <c r="K207" s="593"/>
      <c r="L207" s="5">
        <v>0</v>
      </c>
      <c r="M207" s="5">
        <v>0</v>
      </c>
      <c r="N207" s="5"/>
      <c r="O207" s="5">
        <v>0</v>
      </c>
      <c r="P207" s="5">
        <v>0</v>
      </c>
      <c r="Q207" s="784"/>
      <c r="R207" s="5">
        <v>0</v>
      </c>
      <c r="S207" s="5">
        <v>0</v>
      </c>
      <c r="T207" s="628"/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/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/>
      <c r="AH207" s="5">
        <v>0</v>
      </c>
      <c r="AI207" s="5">
        <v>0</v>
      </c>
      <c r="AJ207" s="5"/>
      <c r="AK207" s="5">
        <v>0</v>
      </c>
      <c r="AL207" s="5">
        <v>0</v>
      </c>
      <c r="AM207" s="5"/>
      <c r="AN207" s="5">
        <v>0</v>
      </c>
      <c r="AO207" s="5">
        <v>0</v>
      </c>
      <c r="AP207" s="5"/>
      <c r="AQ207" s="5">
        <v>0</v>
      </c>
      <c r="AR207" s="5">
        <v>0</v>
      </c>
      <c r="AS207" s="5"/>
      <c r="AT207" s="5">
        <v>0</v>
      </c>
      <c r="AU207" s="5">
        <v>0</v>
      </c>
      <c r="AV207" s="5"/>
      <c r="AW207" s="5">
        <v>5.5660000000000007</v>
      </c>
      <c r="AX207" s="5">
        <v>0</v>
      </c>
      <c r="AY207" s="5"/>
      <c r="AZ207" s="5">
        <v>3</v>
      </c>
      <c r="BA207" s="5">
        <v>0</v>
      </c>
      <c r="BB207" s="5">
        <v>-3</v>
      </c>
      <c r="BD207" s="2">
        <v>3</v>
      </c>
      <c r="BF207" s="787">
        <v>0</v>
      </c>
      <c r="BG207" s="325">
        <v>150000683</v>
      </c>
    </row>
    <row r="208" spans="1:59" ht="24.9" customHeight="1" x14ac:dyDescent="0.3">
      <c r="A208" s="325">
        <v>150000696</v>
      </c>
      <c r="B208" s="445" t="s">
        <v>371</v>
      </c>
      <c r="C208" s="27">
        <v>9</v>
      </c>
      <c r="D208" s="101" t="s">
        <v>455</v>
      </c>
      <c r="E208" s="786">
        <v>6305.17</v>
      </c>
      <c r="F208" s="5">
        <v>3764</v>
      </c>
      <c r="G208" s="5">
        <v>314</v>
      </c>
      <c r="H208" s="5">
        <v>-3764</v>
      </c>
      <c r="I208" s="5">
        <v>0</v>
      </c>
      <c r="J208" s="5">
        <v>0</v>
      </c>
      <c r="K208" s="153"/>
      <c r="L208" s="5">
        <v>0</v>
      </c>
      <c r="M208" s="5">
        <v>196</v>
      </c>
      <c r="N208" s="788"/>
      <c r="O208" s="5">
        <v>0</v>
      </c>
      <c r="P208" s="5">
        <v>0</v>
      </c>
      <c r="Q208" s="784"/>
      <c r="R208" s="5">
        <v>0</v>
      </c>
      <c r="S208" s="5">
        <v>0</v>
      </c>
      <c r="T208" s="628"/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/>
      <c r="AA208" s="5">
        <v>0</v>
      </c>
      <c r="AB208" s="5">
        <v>0</v>
      </c>
      <c r="AC208" s="5">
        <v>118</v>
      </c>
      <c r="AD208" s="5">
        <v>0</v>
      </c>
      <c r="AE208" s="5">
        <v>1553.8366204547065</v>
      </c>
      <c r="AF208" s="5">
        <v>0</v>
      </c>
      <c r="AG208" s="5"/>
      <c r="AH208" s="5">
        <v>1792.3149630973289</v>
      </c>
      <c r="AI208" s="5">
        <v>0</v>
      </c>
      <c r="AJ208" s="5"/>
      <c r="AK208" s="5">
        <v>547.82011058776902</v>
      </c>
      <c r="AL208" s="5">
        <v>1185</v>
      </c>
      <c r="AM208" s="454"/>
      <c r="AN208" s="5">
        <v>1404.4403533335089</v>
      </c>
      <c r="AO208" s="5">
        <v>0</v>
      </c>
      <c r="AP208" s="5"/>
      <c r="AQ208" s="5">
        <v>626.45466780048014</v>
      </c>
      <c r="AR208" s="5">
        <v>0</v>
      </c>
      <c r="AS208" s="5"/>
      <c r="AT208" s="5">
        <v>1165.576708357411</v>
      </c>
      <c r="AU208" s="5">
        <v>0</v>
      </c>
      <c r="AV208" s="5"/>
      <c r="AW208" s="5">
        <v>126.0395</v>
      </c>
      <c r="AX208" s="5">
        <v>0</v>
      </c>
      <c r="AY208" s="5"/>
      <c r="AZ208" s="5">
        <v>3608</v>
      </c>
      <c r="BA208" s="5">
        <v>0</v>
      </c>
      <c r="BB208" s="5">
        <v>-3608</v>
      </c>
      <c r="BD208" s="2">
        <v>3</v>
      </c>
      <c r="BF208" s="787">
        <v>24.71</v>
      </c>
      <c r="BG208" s="325">
        <v>150000696</v>
      </c>
    </row>
    <row r="209" spans="1:59" ht="24.9" customHeight="1" x14ac:dyDescent="0.3">
      <c r="A209" s="325">
        <v>150000697</v>
      </c>
      <c r="B209" s="445" t="s">
        <v>266</v>
      </c>
      <c r="C209" s="27">
        <v>5</v>
      </c>
      <c r="D209" s="101" t="s">
        <v>455</v>
      </c>
      <c r="E209" s="786">
        <v>2744.3</v>
      </c>
      <c r="F209" s="5">
        <v>2586</v>
      </c>
      <c r="G209" s="5">
        <v>206</v>
      </c>
      <c r="H209" s="5">
        <v>-2380</v>
      </c>
      <c r="I209" s="5">
        <v>0</v>
      </c>
      <c r="J209" s="5">
        <v>0</v>
      </c>
      <c r="K209" s="153"/>
      <c r="L209" s="5">
        <v>0</v>
      </c>
      <c r="M209" s="5">
        <v>0</v>
      </c>
      <c r="N209" s="5"/>
      <c r="O209" s="5">
        <v>0</v>
      </c>
      <c r="P209" s="5">
        <v>0</v>
      </c>
      <c r="Q209" s="784"/>
      <c r="R209" s="5">
        <v>0</v>
      </c>
      <c r="S209" s="5">
        <v>0</v>
      </c>
      <c r="T209" s="628"/>
      <c r="U209" s="5">
        <v>0</v>
      </c>
      <c r="V209" s="8">
        <v>0</v>
      </c>
      <c r="W209" s="5">
        <v>0</v>
      </c>
      <c r="X209" s="5">
        <v>0</v>
      </c>
      <c r="Y209" s="5">
        <v>0</v>
      </c>
      <c r="Z209" s="5"/>
      <c r="AA209" s="5">
        <v>0</v>
      </c>
      <c r="AB209" s="5">
        <v>0</v>
      </c>
      <c r="AC209" s="5">
        <v>206</v>
      </c>
      <c r="AD209" s="5">
        <v>0</v>
      </c>
      <c r="AE209" s="5">
        <v>704.16738081749133</v>
      </c>
      <c r="AF209" s="5">
        <v>0</v>
      </c>
      <c r="AG209" s="454"/>
      <c r="AH209" s="5">
        <v>1147.5079310168612</v>
      </c>
      <c r="AI209" s="5">
        <v>0</v>
      </c>
      <c r="AJ209" s="5"/>
      <c r="AK209" s="5">
        <v>164.47414262586</v>
      </c>
      <c r="AL209" s="5">
        <v>0</v>
      </c>
      <c r="AM209" s="5"/>
      <c r="AN209" s="5">
        <v>583.54994272497697</v>
      </c>
      <c r="AO209" s="5">
        <v>0</v>
      </c>
      <c r="AP209" s="5" t="s">
        <v>981</v>
      </c>
      <c r="AQ209" s="5">
        <v>379.96224504488214</v>
      </c>
      <c r="AR209" s="5">
        <v>0</v>
      </c>
      <c r="AS209" s="5"/>
      <c r="AT209" s="5">
        <v>532.07936576591351</v>
      </c>
      <c r="AU209" s="5">
        <v>0</v>
      </c>
      <c r="AV209" s="5"/>
      <c r="AW209" s="5">
        <v>54.444000000000003</v>
      </c>
      <c r="AX209" s="5">
        <v>0</v>
      </c>
      <c r="AY209" s="5"/>
      <c r="AZ209" s="5">
        <v>1783</v>
      </c>
      <c r="BA209" s="5">
        <v>0</v>
      </c>
      <c r="BB209" s="5">
        <v>-1783</v>
      </c>
      <c r="BD209" s="2">
        <v>3</v>
      </c>
      <c r="BF209" s="787">
        <v>10.76</v>
      </c>
      <c r="BG209" s="325">
        <v>150000697</v>
      </c>
    </row>
    <row r="210" spans="1:59" ht="24.9" customHeight="1" x14ac:dyDescent="0.3">
      <c r="A210" s="325">
        <v>150000694</v>
      </c>
      <c r="B210" s="445" t="s">
        <v>372</v>
      </c>
      <c r="C210" s="27">
        <v>9</v>
      </c>
      <c r="D210" s="101" t="s">
        <v>455</v>
      </c>
      <c r="E210" s="786">
        <v>6138.38</v>
      </c>
      <c r="F210" s="5">
        <v>2090</v>
      </c>
      <c r="G210" s="5">
        <v>12316</v>
      </c>
      <c r="H210" s="5">
        <v>-2090</v>
      </c>
      <c r="I210" s="5">
        <v>0</v>
      </c>
      <c r="J210" s="5">
        <v>0</v>
      </c>
      <c r="K210" s="153"/>
      <c r="L210" s="5">
        <v>1</v>
      </c>
      <c r="M210" s="5">
        <v>10024</v>
      </c>
      <c r="N210" s="788"/>
      <c r="O210" s="5">
        <v>0</v>
      </c>
      <c r="P210" s="5">
        <v>0</v>
      </c>
      <c r="Q210" s="784"/>
      <c r="R210" s="5">
        <v>1</v>
      </c>
      <c r="S210" s="5">
        <v>2292</v>
      </c>
      <c r="T210" s="630"/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/>
      <c r="AA210" s="5">
        <v>0</v>
      </c>
      <c r="AB210" s="5">
        <v>0</v>
      </c>
      <c r="AC210" s="5">
        <v>0</v>
      </c>
      <c r="AD210" s="5">
        <v>0</v>
      </c>
      <c r="AE210" s="5">
        <v>1552.3569025864181</v>
      </c>
      <c r="AF210" s="5">
        <v>0</v>
      </c>
      <c r="AG210" s="454"/>
      <c r="AH210" s="5">
        <v>1791.9070508509126</v>
      </c>
      <c r="AI210" s="5">
        <v>2744</v>
      </c>
      <c r="AJ210" s="5"/>
      <c r="AK210" s="5">
        <v>531.62564026776704</v>
      </c>
      <c r="AL210" s="5">
        <v>0</v>
      </c>
      <c r="AM210" s="5"/>
      <c r="AN210" s="5">
        <v>1347.773349123448</v>
      </c>
      <c r="AO210" s="5">
        <v>0</v>
      </c>
      <c r="AP210" s="5"/>
      <c r="AQ210" s="5">
        <v>626.45466780048014</v>
      </c>
      <c r="AR210" s="5">
        <v>0</v>
      </c>
      <c r="AS210" s="454"/>
      <c r="AT210" s="5">
        <v>1155.7329658885635</v>
      </c>
      <c r="AU210" s="5">
        <v>0</v>
      </c>
      <c r="AV210" s="8"/>
      <c r="AW210" s="5">
        <v>122.38380000000001</v>
      </c>
      <c r="AX210" s="5">
        <v>0</v>
      </c>
      <c r="AY210" s="5"/>
      <c r="AZ210" s="5">
        <v>3564</v>
      </c>
      <c r="BA210" s="5">
        <v>0</v>
      </c>
      <c r="BB210" s="5">
        <v>-3564</v>
      </c>
      <c r="BD210" s="2">
        <v>3</v>
      </c>
      <c r="BF210" s="787">
        <v>24.06</v>
      </c>
      <c r="BG210" s="325">
        <v>150000694</v>
      </c>
    </row>
    <row r="211" spans="1:59" ht="24.9" customHeight="1" x14ac:dyDescent="0.3">
      <c r="A211" s="325">
        <v>150000695</v>
      </c>
      <c r="B211" s="445" t="s">
        <v>373</v>
      </c>
      <c r="C211" s="27">
        <v>9</v>
      </c>
      <c r="D211" s="101" t="s">
        <v>455</v>
      </c>
      <c r="E211" s="786">
        <v>6304.32</v>
      </c>
      <c r="F211" s="5">
        <v>2927</v>
      </c>
      <c r="G211" s="5">
        <v>1203</v>
      </c>
      <c r="H211" s="5">
        <v>-1871</v>
      </c>
      <c r="I211" s="5">
        <v>0</v>
      </c>
      <c r="J211" s="5">
        <v>0</v>
      </c>
      <c r="K211" s="153"/>
      <c r="L211" s="5">
        <v>0</v>
      </c>
      <c r="M211" s="5">
        <v>146</v>
      </c>
      <c r="N211" s="5"/>
      <c r="O211" s="5">
        <v>0</v>
      </c>
      <c r="P211" s="5">
        <v>0</v>
      </c>
      <c r="Q211" s="788"/>
      <c r="R211" s="5">
        <v>0</v>
      </c>
      <c r="S211" s="5">
        <v>1057</v>
      </c>
      <c r="T211" s="630"/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/>
      <c r="AA211" s="5">
        <v>0</v>
      </c>
      <c r="AB211" s="5">
        <v>0</v>
      </c>
      <c r="AC211" s="5">
        <v>0</v>
      </c>
      <c r="AD211" s="5">
        <v>0</v>
      </c>
      <c r="AE211" s="5">
        <v>1555.7036301218907</v>
      </c>
      <c r="AF211" s="5">
        <v>0</v>
      </c>
      <c r="AG211" s="5"/>
      <c r="AH211" s="5">
        <v>1701.6740389247741</v>
      </c>
      <c r="AI211" s="5">
        <v>3532</v>
      </c>
      <c r="AJ211" s="8"/>
      <c r="AK211" s="5">
        <v>547.82011058776902</v>
      </c>
      <c r="AL211" s="5">
        <v>0</v>
      </c>
      <c r="AM211" s="5"/>
      <c r="AN211" s="5">
        <v>1404.4403533335089</v>
      </c>
      <c r="AO211" s="5">
        <v>0</v>
      </c>
      <c r="AP211" s="5"/>
      <c r="AQ211" s="5">
        <v>626.45466780048014</v>
      </c>
      <c r="AR211" s="5">
        <v>0</v>
      </c>
      <c r="AS211" s="5"/>
      <c r="AT211" s="5">
        <v>1167.7451244503936</v>
      </c>
      <c r="AU211" s="5">
        <v>0</v>
      </c>
      <c r="AV211" s="5"/>
      <c r="AW211" s="5">
        <v>126.0432</v>
      </c>
      <c r="AX211" s="5">
        <v>0</v>
      </c>
      <c r="AY211" s="5"/>
      <c r="AZ211" s="5">
        <v>3565</v>
      </c>
      <c r="BA211" s="5">
        <v>3532</v>
      </c>
      <c r="BB211" s="5">
        <v>-33</v>
      </c>
      <c r="BD211" s="2">
        <v>3</v>
      </c>
      <c r="BF211" s="787">
        <v>24.71</v>
      </c>
      <c r="BG211" s="325">
        <v>150000695</v>
      </c>
    </row>
    <row r="212" spans="1:59" ht="24.9" customHeight="1" x14ac:dyDescent="0.3">
      <c r="A212" s="325">
        <v>150000698</v>
      </c>
      <c r="B212" s="445" t="s">
        <v>121</v>
      </c>
      <c r="C212" s="27">
        <v>1</v>
      </c>
      <c r="D212" s="101" t="s">
        <v>455</v>
      </c>
      <c r="E212" s="786">
        <v>180</v>
      </c>
      <c r="F212" s="5">
        <v>114</v>
      </c>
      <c r="G212" s="5">
        <v>0</v>
      </c>
      <c r="H212" s="5">
        <v>-114</v>
      </c>
      <c r="I212" s="5">
        <v>0</v>
      </c>
      <c r="J212" s="5">
        <v>0</v>
      </c>
      <c r="K212" s="153"/>
      <c r="L212" s="5">
        <v>0</v>
      </c>
      <c r="M212" s="5">
        <v>0</v>
      </c>
      <c r="N212" s="5"/>
      <c r="O212" s="5">
        <v>0</v>
      </c>
      <c r="P212" s="5">
        <v>0</v>
      </c>
      <c r="Q212" s="784"/>
      <c r="R212" s="5">
        <v>0</v>
      </c>
      <c r="S212" s="5">
        <v>0</v>
      </c>
      <c r="T212" s="628"/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/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/>
      <c r="AH212" s="5">
        <v>0</v>
      </c>
      <c r="AI212" s="5">
        <v>0</v>
      </c>
      <c r="AJ212" s="5"/>
      <c r="AK212" s="5">
        <v>0</v>
      </c>
      <c r="AL212" s="5">
        <v>0</v>
      </c>
      <c r="AM212" s="5"/>
      <c r="AN212" s="5">
        <v>0</v>
      </c>
      <c r="AO212" s="5">
        <v>0</v>
      </c>
      <c r="AP212" s="5"/>
      <c r="AQ212" s="5">
        <v>0</v>
      </c>
      <c r="AR212" s="5">
        <v>0</v>
      </c>
      <c r="AS212" s="5"/>
      <c r="AT212" s="5">
        <v>0</v>
      </c>
      <c r="AU212" s="5">
        <v>0</v>
      </c>
      <c r="AV212" s="5"/>
      <c r="AW212" s="5">
        <v>3.8</v>
      </c>
      <c r="AX212" s="5">
        <v>0</v>
      </c>
      <c r="AY212" s="5"/>
      <c r="AZ212" s="5">
        <v>2</v>
      </c>
      <c r="BA212" s="5">
        <v>0</v>
      </c>
      <c r="BB212" s="5">
        <v>-2</v>
      </c>
      <c r="BD212" s="2">
        <v>3</v>
      </c>
      <c r="BF212" s="787">
        <v>0</v>
      </c>
      <c r="BG212" s="325">
        <v>150000698</v>
      </c>
    </row>
    <row r="213" spans="1:59" ht="24.9" customHeight="1" x14ac:dyDescent="0.3">
      <c r="A213" s="325">
        <v>150000699</v>
      </c>
      <c r="B213" s="445" t="s">
        <v>374</v>
      </c>
      <c r="C213" s="27">
        <v>9</v>
      </c>
      <c r="D213" s="101" t="s">
        <v>455</v>
      </c>
      <c r="E213" s="786">
        <v>4191.3</v>
      </c>
      <c r="F213" s="5">
        <v>2232</v>
      </c>
      <c r="G213" s="5">
        <v>2539</v>
      </c>
      <c r="H213" s="5">
        <v>-671</v>
      </c>
      <c r="I213" s="5">
        <v>0</v>
      </c>
      <c r="J213" s="5">
        <v>0</v>
      </c>
      <c r="K213" s="153"/>
      <c r="L213" s="5">
        <v>0</v>
      </c>
      <c r="M213" s="5">
        <v>0</v>
      </c>
      <c r="N213" s="5"/>
      <c r="O213" s="5">
        <v>0</v>
      </c>
      <c r="P213" s="5">
        <v>0</v>
      </c>
      <c r="Q213" s="784"/>
      <c r="R213" s="5">
        <v>1</v>
      </c>
      <c r="S213" s="5">
        <v>979</v>
      </c>
      <c r="T213" s="630"/>
      <c r="U213" s="5">
        <v>0</v>
      </c>
      <c r="V213" s="5">
        <v>0</v>
      </c>
      <c r="W213" s="5">
        <v>0</v>
      </c>
      <c r="X213" s="5">
        <v>0</v>
      </c>
      <c r="Y213" s="5">
        <v>1560</v>
      </c>
      <c r="Z213" s="467"/>
      <c r="AA213" s="5">
        <v>0</v>
      </c>
      <c r="AB213" s="5">
        <v>0</v>
      </c>
      <c r="AC213" s="5">
        <v>0</v>
      </c>
      <c r="AD213" s="5">
        <v>0</v>
      </c>
      <c r="AE213" s="5">
        <v>815.87144028439616</v>
      </c>
      <c r="AF213" s="5">
        <v>3130</v>
      </c>
      <c r="AG213" s="454"/>
      <c r="AH213" s="5">
        <v>753.73916785289589</v>
      </c>
      <c r="AI213" s="5">
        <v>6960</v>
      </c>
      <c r="AJ213" s="5"/>
      <c r="AK213" s="5">
        <v>349.61286121565502</v>
      </c>
      <c r="AL213" s="5">
        <v>540</v>
      </c>
      <c r="AM213" s="454"/>
      <c r="AN213" s="5">
        <v>908.29146535405198</v>
      </c>
      <c r="AO213" s="5">
        <v>0</v>
      </c>
      <c r="AP213" s="5"/>
      <c r="AQ213" s="5">
        <v>417.96272557758289</v>
      </c>
      <c r="AR213" s="5">
        <v>0</v>
      </c>
      <c r="AS213" s="454"/>
      <c r="AT213" s="5">
        <v>367.74808473169088</v>
      </c>
      <c r="AU213" s="5">
        <v>0</v>
      </c>
      <c r="AV213" s="5"/>
      <c r="AW213" s="5">
        <v>83.906000000000006</v>
      </c>
      <c r="AX213" s="5">
        <v>0</v>
      </c>
      <c r="AY213" s="5"/>
      <c r="AZ213" s="5">
        <v>1848</v>
      </c>
      <c r="BA213" s="5">
        <v>540</v>
      </c>
      <c r="BB213" s="5">
        <v>-1308</v>
      </c>
      <c r="BD213" s="2">
        <v>3</v>
      </c>
      <c r="BF213" s="787">
        <v>16.43</v>
      </c>
      <c r="BG213" s="325">
        <v>150000699</v>
      </c>
    </row>
    <row r="214" spans="1:59" ht="24.9" customHeight="1" x14ac:dyDescent="0.3">
      <c r="A214" s="325">
        <v>150000928</v>
      </c>
      <c r="B214" s="445" t="s">
        <v>170</v>
      </c>
      <c r="C214" s="27">
        <v>2</v>
      </c>
      <c r="D214" s="101" t="s">
        <v>455</v>
      </c>
      <c r="E214" s="786">
        <v>479.2</v>
      </c>
      <c r="F214" s="5">
        <v>357</v>
      </c>
      <c r="G214" s="5">
        <v>0</v>
      </c>
      <c r="H214" s="5">
        <v>-357</v>
      </c>
      <c r="I214" s="5">
        <v>0</v>
      </c>
      <c r="J214" s="5">
        <v>0</v>
      </c>
      <c r="K214" s="153"/>
      <c r="L214" s="5">
        <v>0</v>
      </c>
      <c r="M214" s="5">
        <v>0</v>
      </c>
      <c r="N214" s="5"/>
      <c r="O214" s="5">
        <v>0</v>
      </c>
      <c r="P214" s="5">
        <v>0</v>
      </c>
      <c r="Q214" s="784"/>
      <c r="R214" s="5">
        <v>0</v>
      </c>
      <c r="S214" s="5">
        <v>0</v>
      </c>
      <c r="T214" s="628"/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/>
      <c r="AA214" s="5">
        <v>0</v>
      </c>
      <c r="AB214" s="5">
        <v>0</v>
      </c>
      <c r="AC214" s="5">
        <v>0</v>
      </c>
      <c r="AD214" s="5">
        <v>0</v>
      </c>
      <c r="AE214" s="5">
        <v>190.15688487762787</v>
      </c>
      <c r="AF214" s="5">
        <v>0</v>
      </c>
      <c r="AG214" s="5"/>
      <c r="AH214" s="5">
        <v>241.89614048471461</v>
      </c>
      <c r="AI214" s="5">
        <v>0</v>
      </c>
      <c r="AJ214" s="5"/>
      <c r="AK214" s="5">
        <v>28.007959510641658</v>
      </c>
      <c r="AL214" s="5">
        <v>0</v>
      </c>
      <c r="AM214" s="5"/>
      <c r="AN214" s="5">
        <v>0</v>
      </c>
      <c r="AO214" s="5">
        <v>0</v>
      </c>
      <c r="AP214" s="5"/>
      <c r="AQ214" s="5">
        <v>0</v>
      </c>
      <c r="AR214" s="5">
        <v>0</v>
      </c>
      <c r="AS214" s="5"/>
      <c r="AT214" s="5">
        <v>14.042517664827926</v>
      </c>
      <c r="AU214" s="5">
        <v>0</v>
      </c>
      <c r="AV214" s="5"/>
      <c r="AW214" s="5">
        <v>9.8060000000000009</v>
      </c>
      <c r="AX214" s="5">
        <v>0</v>
      </c>
      <c r="AY214" s="5"/>
      <c r="AZ214" s="5">
        <v>242</v>
      </c>
      <c r="BA214" s="5">
        <v>0</v>
      </c>
      <c r="BB214" s="5">
        <v>-242</v>
      </c>
      <c r="BD214" s="2">
        <v>2</v>
      </c>
      <c r="BF214" s="787">
        <v>0.47</v>
      </c>
      <c r="BG214" s="325">
        <v>150000928</v>
      </c>
    </row>
    <row r="215" spans="1:59" ht="24.9" customHeight="1" x14ac:dyDescent="0.3">
      <c r="A215" s="325">
        <v>150000951</v>
      </c>
      <c r="B215" s="445" t="s">
        <v>171</v>
      </c>
      <c r="C215" s="27">
        <v>2</v>
      </c>
      <c r="D215" s="101" t="s">
        <v>455</v>
      </c>
      <c r="E215" s="786">
        <v>553.20000000000005</v>
      </c>
      <c r="F215" s="5">
        <v>286</v>
      </c>
      <c r="G215" s="5">
        <v>0</v>
      </c>
      <c r="H215" s="5">
        <v>-286</v>
      </c>
      <c r="I215" s="5">
        <v>0</v>
      </c>
      <c r="J215" s="5">
        <v>0</v>
      </c>
      <c r="K215" s="153"/>
      <c r="L215" s="5">
        <v>0</v>
      </c>
      <c r="M215" s="5">
        <v>0</v>
      </c>
      <c r="N215" s="5"/>
      <c r="O215" s="5">
        <v>0</v>
      </c>
      <c r="P215" s="5">
        <v>0</v>
      </c>
      <c r="Q215" s="784"/>
      <c r="R215" s="5">
        <v>0</v>
      </c>
      <c r="S215" s="5">
        <v>0</v>
      </c>
      <c r="T215" s="628"/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/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/>
      <c r="AH215" s="5">
        <v>0</v>
      </c>
      <c r="AI215" s="5">
        <v>0</v>
      </c>
      <c r="AJ215" s="5"/>
      <c r="AK215" s="5">
        <v>0</v>
      </c>
      <c r="AL215" s="5">
        <v>0</v>
      </c>
      <c r="AM215" s="5"/>
      <c r="AN215" s="5">
        <v>0</v>
      </c>
      <c r="AO215" s="5">
        <v>0</v>
      </c>
      <c r="AP215" s="5"/>
      <c r="AQ215" s="5">
        <v>0</v>
      </c>
      <c r="AR215" s="5">
        <v>0</v>
      </c>
      <c r="AS215" s="5"/>
      <c r="AT215" s="5">
        <v>17.57859311334883</v>
      </c>
      <c r="AU215" s="5">
        <v>0</v>
      </c>
      <c r="AV215" s="5"/>
      <c r="AW215" s="5">
        <v>13.631953519476259</v>
      </c>
      <c r="AX215" s="5">
        <v>0</v>
      </c>
      <c r="AY215" s="5"/>
      <c r="AZ215" s="5">
        <v>15</v>
      </c>
      <c r="BA215" s="5">
        <v>0</v>
      </c>
      <c r="BB215" s="5">
        <v>-15</v>
      </c>
      <c r="BD215" s="2">
        <v>1</v>
      </c>
      <c r="BF215" s="787">
        <v>3.11</v>
      </c>
      <c r="BG215" s="325">
        <v>150000951</v>
      </c>
    </row>
    <row r="216" spans="1:59" ht="24.9" customHeight="1" x14ac:dyDescent="0.3">
      <c r="A216" s="325">
        <v>150000954</v>
      </c>
      <c r="B216" s="445" t="s">
        <v>172</v>
      </c>
      <c r="C216" s="27">
        <v>2</v>
      </c>
      <c r="D216" s="101" t="s">
        <v>455</v>
      </c>
      <c r="E216" s="786">
        <v>358.84</v>
      </c>
      <c r="F216" s="5">
        <v>174</v>
      </c>
      <c r="G216" s="5">
        <v>0</v>
      </c>
      <c r="H216" s="5">
        <v>-174</v>
      </c>
      <c r="I216" s="5">
        <v>0</v>
      </c>
      <c r="J216" s="5">
        <v>0</v>
      </c>
      <c r="K216" s="153"/>
      <c r="L216" s="5">
        <v>0</v>
      </c>
      <c r="M216" s="5">
        <v>0</v>
      </c>
      <c r="N216" s="5"/>
      <c r="O216" s="5">
        <v>0</v>
      </c>
      <c r="P216" s="5">
        <v>0</v>
      </c>
      <c r="Q216" s="784"/>
      <c r="R216" s="5">
        <v>0</v>
      </c>
      <c r="S216" s="5">
        <v>0</v>
      </c>
      <c r="T216" s="628"/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/>
      <c r="AA216" s="5">
        <v>0</v>
      </c>
      <c r="AB216" s="5">
        <v>0</v>
      </c>
      <c r="AC216" s="5">
        <v>0</v>
      </c>
      <c r="AD216" s="5">
        <v>0</v>
      </c>
      <c r="AE216" s="5">
        <v>97.713786288752857</v>
      </c>
      <c r="AF216" s="5">
        <v>0</v>
      </c>
      <c r="AG216" s="5"/>
      <c r="AH216" s="5">
        <v>104.00384709281488</v>
      </c>
      <c r="AI216" s="5">
        <v>0</v>
      </c>
      <c r="AJ216" s="5"/>
      <c r="AK216" s="5">
        <v>25.511866889840832</v>
      </c>
      <c r="AL216" s="5">
        <v>0</v>
      </c>
      <c r="AM216" s="5"/>
      <c r="AN216" s="5">
        <v>0</v>
      </c>
      <c r="AO216" s="5">
        <v>0</v>
      </c>
      <c r="AP216" s="5"/>
      <c r="AQ216" s="5">
        <v>0</v>
      </c>
      <c r="AR216" s="5">
        <v>0</v>
      </c>
      <c r="AS216" s="5"/>
      <c r="AT216" s="5">
        <v>43.655186704456483</v>
      </c>
      <c r="AU216" s="5">
        <v>0</v>
      </c>
      <c r="AV216" s="5"/>
      <c r="AW216" s="5">
        <v>19.820413231539384</v>
      </c>
      <c r="AX216" s="5">
        <v>0</v>
      </c>
      <c r="AY216" s="5"/>
      <c r="AZ216" s="5">
        <v>145</v>
      </c>
      <c r="BA216" s="5">
        <v>0</v>
      </c>
      <c r="BB216" s="5">
        <v>-145</v>
      </c>
      <c r="BD216" s="2">
        <v>1</v>
      </c>
      <c r="BF216" s="787">
        <v>2.02</v>
      </c>
      <c r="BG216" s="325">
        <v>150000954</v>
      </c>
    </row>
    <row r="217" spans="1:59" ht="24.9" customHeight="1" x14ac:dyDescent="0.3">
      <c r="A217" s="325">
        <v>150000929</v>
      </c>
      <c r="B217" s="445" t="s">
        <v>1034</v>
      </c>
      <c r="C217" s="27">
        <v>2</v>
      </c>
      <c r="D217" s="101" t="s">
        <v>455</v>
      </c>
      <c r="E217" s="786">
        <v>488.8</v>
      </c>
      <c r="F217" s="5">
        <v>464</v>
      </c>
      <c r="G217" s="5">
        <v>0</v>
      </c>
      <c r="H217" s="5">
        <v>-464</v>
      </c>
      <c r="I217" s="5">
        <v>0</v>
      </c>
      <c r="J217" s="5">
        <v>0</v>
      </c>
      <c r="K217" s="153"/>
      <c r="L217" s="5">
        <v>0</v>
      </c>
      <c r="M217" s="5">
        <v>0</v>
      </c>
      <c r="N217" s="5"/>
      <c r="O217" s="5">
        <v>0</v>
      </c>
      <c r="P217" s="5">
        <v>0</v>
      </c>
      <c r="Q217" s="784"/>
      <c r="R217" s="5">
        <v>0</v>
      </c>
      <c r="S217" s="5">
        <v>0</v>
      </c>
      <c r="T217" s="628"/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/>
      <c r="AA217" s="5">
        <v>0</v>
      </c>
      <c r="AB217" s="5">
        <v>0</v>
      </c>
      <c r="AC217" s="5">
        <v>0</v>
      </c>
      <c r="AD217" s="5">
        <v>0</v>
      </c>
      <c r="AE217" s="5">
        <v>216.06</v>
      </c>
      <c r="AF217" s="5">
        <v>0</v>
      </c>
      <c r="AG217" s="5"/>
      <c r="AH217" s="5">
        <v>241.9</v>
      </c>
      <c r="AI217" s="5">
        <v>0</v>
      </c>
      <c r="AJ217" s="5"/>
      <c r="AK217" s="5">
        <v>0</v>
      </c>
      <c r="AL217" s="5">
        <v>0</v>
      </c>
      <c r="AM217" s="5"/>
      <c r="AN217" s="5">
        <v>0</v>
      </c>
      <c r="AO217" s="5">
        <v>0</v>
      </c>
      <c r="AP217" s="5"/>
      <c r="AQ217" s="5">
        <v>0</v>
      </c>
      <c r="AR217" s="5">
        <v>0</v>
      </c>
      <c r="AS217" s="5"/>
      <c r="AT217" s="5">
        <v>14.04</v>
      </c>
      <c r="AU217" s="5">
        <v>0</v>
      </c>
      <c r="AV217" s="5"/>
      <c r="AW217" s="5">
        <v>9.89</v>
      </c>
      <c r="AX217" s="5">
        <v>0</v>
      </c>
      <c r="AY217" s="5"/>
      <c r="AZ217" s="5">
        <v>241</v>
      </c>
      <c r="BA217" s="5">
        <v>0</v>
      </c>
      <c r="BB217" s="5">
        <v>-241</v>
      </c>
      <c r="BD217" s="2">
        <v>2</v>
      </c>
      <c r="BF217" s="787">
        <v>0.48</v>
      </c>
      <c r="BG217" s="325">
        <v>150000929</v>
      </c>
    </row>
    <row r="218" spans="1:59" ht="24.9" customHeight="1" x14ac:dyDescent="0.3">
      <c r="A218" s="325">
        <v>150000930</v>
      </c>
      <c r="B218" s="445" t="s">
        <v>173</v>
      </c>
      <c r="C218" s="27">
        <v>2</v>
      </c>
      <c r="D218" s="101" t="s">
        <v>455</v>
      </c>
      <c r="E218" s="786">
        <v>327.9</v>
      </c>
      <c r="F218" s="5">
        <v>261</v>
      </c>
      <c r="G218" s="5">
        <v>0</v>
      </c>
      <c r="H218" s="5">
        <v>-261</v>
      </c>
      <c r="I218" s="5">
        <v>0</v>
      </c>
      <c r="J218" s="5">
        <v>0</v>
      </c>
      <c r="K218" s="153"/>
      <c r="L218" s="5">
        <v>0</v>
      </c>
      <c r="M218" s="5">
        <v>0</v>
      </c>
      <c r="N218" s="5"/>
      <c r="O218" s="5">
        <v>0</v>
      </c>
      <c r="P218" s="5">
        <v>0</v>
      </c>
      <c r="Q218" s="784"/>
      <c r="R218" s="5">
        <v>0</v>
      </c>
      <c r="S218" s="5">
        <v>0</v>
      </c>
      <c r="T218" s="628"/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/>
      <c r="AA218" s="5">
        <v>0</v>
      </c>
      <c r="AB218" s="5">
        <v>0</v>
      </c>
      <c r="AC218" s="5">
        <v>0</v>
      </c>
      <c r="AD218" s="5">
        <v>0</v>
      </c>
      <c r="AE218" s="5">
        <v>123.55176827259638</v>
      </c>
      <c r="AF218" s="5">
        <v>0</v>
      </c>
      <c r="AG218" s="5"/>
      <c r="AH218" s="5">
        <v>146.09852065640541</v>
      </c>
      <c r="AI218" s="5">
        <v>0</v>
      </c>
      <c r="AJ218" s="5"/>
      <c r="AK218" s="5">
        <v>21.52892900055333</v>
      </c>
      <c r="AL218" s="5">
        <v>0</v>
      </c>
      <c r="AM218" s="5"/>
      <c r="AN218" s="5">
        <v>0</v>
      </c>
      <c r="AO218" s="5">
        <v>0</v>
      </c>
      <c r="AP218" s="5"/>
      <c r="AQ218" s="5">
        <v>0</v>
      </c>
      <c r="AR218" s="5">
        <v>0</v>
      </c>
      <c r="AS218" s="5"/>
      <c r="AT218" s="5">
        <v>7.5212628660311616</v>
      </c>
      <c r="AU218" s="5">
        <v>0</v>
      </c>
      <c r="AV218" s="5"/>
      <c r="AW218" s="5">
        <v>6.2389999999999999</v>
      </c>
      <c r="AX218" s="5">
        <v>0</v>
      </c>
      <c r="AY218" s="5"/>
      <c r="AZ218" s="5">
        <v>152</v>
      </c>
      <c r="BA218" s="5">
        <v>0</v>
      </c>
      <c r="BB218" s="5">
        <v>-152</v>
      </c>
      <c r="BD218" s="2">
        <v>2</v>
      </c>
      <c r="BF218" s="787">
        <v>0.32</v>
      </c>
      <c r="BG218" s="325">
        <v>150000930</v>
      </c>
    </row>
    <row r="219" spans="1:59" ht="24.9" customHeight="1" x14ac:dyDescent="0.3">
      <c r="A219" s="325">
        <v>150000931</v>
      </c>
      <c r="B219" s="445" t="s">
        <v>267</v>
      </c>
      <c r="C219" s="27">
        <v>5</v>
      </c>
      <c r="D219" s="101" t="s">
        <v>455</v>
      </c>
      <c r="E219" s="786">
        <v>2292.33</v>
      </c>
      <c r="F219" s="5">
        <v>1428</v>
      </c>
      <c r="G219" s="5">
        <v>0</v>
      </c>
      <c r="H219" s="5">
        <v>-1428</v>
      </c>
      <c r="I219" s="5">
        <v>0</v>
      </c>
      <c r="J219" s="5">
        <v>0</v>
      </c>
      <c r="K219" s="153"/>
      <c r="L219" s="5">
        <v>0</v>
      </c>
      <c r="M219" s="5">
        <v>0</v>
      </c>
      <c r="N219" s="5"/>
      <c r="O219" s="5">
        <v>0</v>
      </c>
      <c r="P219" s="5">
        <v>0</v>
      </c>
      <c r="Q219" s="784"/>
      <c r="R219" s="5">
        <v>0</v>
      </c>
      <c r="S219" s="5">
        <v>0</v>
      </c>
      <c r="T219" s="628"/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/>
      <c r="AA219" s="5">
        <v>0</v>
      </c>
      <c r="AB219" s="5">
        <v>0</v>
      </c>
      <c r="AC219" s="5">
        <v>0</v>
      </c>
      <c r="AD219" s="5">
        <v>0</v>
      </c>
      <c r="AE219" s="5">
        <v>555.7086439578278</v>
      </c>
      <c r="AF219" s="5">
        <v>1810</v>
      </c>
      <c r="AG219" s="454"/>
      <c r="AH219" s="5">
        <v>710.36374302164779</v>
      </c>
      <c r="AI219" s="5">
        <v>1964</v>
      </c>
      <c r="AJ219" s="8"/>
      <c r="AK219" s="5">
        <v>144.49977011924659</v>
      </c>
      <c r="AL219" s="5">
        <v>0</v>
      </c>
      <c r="AM219" s="5"/>
      <c r="AN219" s="5">
        <v>523.68244234778001</v>
      </c>
      <c r="AO219" s="5">
        <v>0</v>
      </c>
      <c r="AP219" s="5"/>
      <c r="AQ219" s="5">
        <v>284.47168378366155</v>
      </c>
      <c r="AR219" s="5">
        <v>0</v>
      </c>
      <c r="AS219" s="5"/>
      <c r="AT219" s="5">
        <v>417.61485058338837</v>
      </c>
      <c r="AU219" s="5">
        <v>0</v>
      </c>
      <c r="AV219" s="5"/>
      <c r="AW219" s="5">
        <v>45.923299999999998</v>
      </c>
      <c r="AX219" s="5">
        <v>0</v>
      </c>
      <c r="AY219" s="5"/>
      <c r="AZ219" s="5">
        <v>1341</v>
      </c>
      <c r="BA219" s="5">
        <v>3774</v>
      </c>
      <c r="BB219" s="5">
        <v>2433</v>
      </c>
      <c r="BD219" s="2">
        <v>2</v>
      </c>
      <c r="BF219" s="787">
        <v>2.23</v>
      </c>
      <c r="BG219" s="325">
        <v>150000931</v>
      </c>
    </row>
    <row r="220" spans="1:59" ht="24.9" customHeight="1" x14ac:dyDescent="0.3">
      <c r="A220" s="325">
        <v>150000932</v>
      </c>
      <c r="B220" s="445" t="s">
        <v>174</v>
      </c>
      <c r="C220" s="27">
        <v>2</v>
      </c>
      <c r="D220" s="101" t="s">
        <v>455</v>
      </c>
      <c r="E220" s="786">
        <v>354.3</v>
      </c>
      <c r="F220" s="5">
        <v>64</v>
      </c>
      <c r="G220" s="5">
        <v>0</v>
      </c>
      <c r="H220" s="5">
        <v>-64</v>
      </c>
      <c r="I220" s="5">
        <v>0</v>
      </c>
      <c r="J220" s="5">
        <v>0</v>
      </c>
      <c r="K220" s="153"/>
      <c r="L220" s="5">
        <v>0</v>
      </c>
      <c r="M220" s="5">
        <v>0</v>
      </c>
      <c r="N220" s="5"/>
      <c r="O220" s="5">
        <v>0</v>
      </c>
      <c r="P220" s="5">
        <v>0</v>
      </c>
      <c r="Q220" s="784"/>
      <c r="R220" s="5">
        <v>0</v>
      </c>
      <c r="S220" s="5">
        <v>0</v>
      </c>
      <c r="T220" s="628"/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/>
      <c r="AA220" s="5">
        <v>0</v>
      </c>
      <c r="AB220" s="5">
        <v>0</v>
      </c>
      <c r="AC220" s="5">
        <v>0</v>
      </c>
      <c r="AD220" s="5">
        <v>0</v>
      </c>
      <c r="AE220" s="5">
        <v>111.77529149434849</v>
      </c>
      <c r="AF220" s="5">
        <v>0</v>
      </c>
      <c r="AG220" s="5"/>
      <c r="AH220" s="5">
        <v>104.00384709281488</v>
      </c>
      <c r="AI220" s="5">
        <v>0</v>
      </c>
      <c r="AJ220" s="5"/>
      <c r="AK220" s="5">
        <v>22.332257360819661</v>
      </c>
      <c r="AL220" s="5">
        <v>0</v>
      </c>
      <c r="AM220" s="5"/>
      <c r="AN220" s="5">
        <v>0</v>
      </c>
      <c r="AO220" s="5">
        <v>0</v>
      </c>
      <c r="AP220" s="5"/>
      <c r="AQ220" s="5">
        <v>0</v>
      </c>
      <c r="AR220" s="5">
        <v>0</v>
      </c>
      <c r="AS220" s="5"/>
      <c r="AT220" s="5">
        <v>1.7878126537077623</v>
      </c>
      <c r="AU220" s="5">
        <v>0</v>
      </c>
      <c r="AV220" s="5"/>
      <c r="AW220" s="5">
        <v>7.5430000000000001</v>
      </c>
      <c r="AX220" s="5">
        <v>0</v>
      </c>
      <c r="AY220" s="5"/>
      <c r="AZ220" s="5">
        <v>123</v>
      </c>
      <c r="BA220" s="5">
        <v>0</v>
      </c>
      <c r="BB220" s="5">
        <v>-123</v>
      </c>
      <c r="BD220" s="2">
        <v>2</v>
      </c>
      <c r="BF220" s="787">
        <v>0.35</v>
      </c>
      <c r="BG220" s="325">
        <v>150000932</v>
      </c>
    </row>
    <row r="221" spans="1:59" ht="24.9" customHeight="1" x14ac:dyDescent="0.3">
      <c r="A221" s="325">
        <v>150000924</v>
      </c>
      <c r="B221" s="445" t="s">
        <v>175</v>
      </c>
      <c r="C221" s="27">
        <v>2</v>
      </c>
      <c r="D221" s="101" t="s">
        <v>455</v>
      </c>
      <c r="E221" s="786">
        <v>474.3</v>
      </c>
      <c r="F221" s="5">
        <v>351</v>
      </c>
      <c r="G221" s="5">
        <v>0</v>
      </c>
      <c r="H221" s="5">
        <v>-351</v>
      </c>
      <c r="I221" s="5">
        <v>0</v>
      </c>
      <c r="J221" s="5">
        <v>0</v>
      </c>
      <c r="K221" s="153"/>
      <c r="L221" s="5">
        <v>0</v>
      </c>
      <c r="M221" s="5">
        <v>0</v>
      </c>
      <c r="N221" s="5"/>
      <c r="O221" s="5">
        <v>0</v>
      </c>
      <c r="P221" s="5">
        <v>0</v>
      </c>
      <c r="Q221" s="784"/>
      <c r="R221" s="5">
        <v>0</v>
      </c>
      <c r="S221" s="5">
        <v>0</v>
      </c>
      <c r="T221" s="628"/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/>
      <c r="AA221" s="5">
        <v>0</v>
      </c>
      <c r="AB221" s="5">
        <v>0</v>
      </c>
      <c r="AC221" s="5">
        <v>0</v>
      </c>
      <c r="AD221" s="5">
        <v>0</v>
      </c>
      <c r="AE221" s="5">
        <v>164.40358211497582</v>
      </c>
      <c r="AF221" s="5">
        <v>0</v>
      </c>
      <c r="AG221" s="5"/>
      <c r="AH221" s="5">
        <v>281.99665053988667</v>
      </c>
      <c r="AI221" s="5">
        <v>0</v>
      </c>
      <c r="AJ221" s="5"/>
      <c r="AK221" s="5">
        <v>27.987534273248329</v>
      </c>
      <c r="AL221" s="5">
        <v>0</v>
      </c>
      <c r="AM221" s="5"/>
      <c r="AN221" s="5">
        <v>0</v>
      </c>
      <c r="AO221" s="5">
        <v>0</v>
      </c>
      <c r="AP221" s="5"/>
      <c r="AQ221" s="5">
        <v>0</v>
      </c>
      <c r="AR221" s="5">
        <v>0</v>
      </c>
      <c r="AS221" s="5"/>
      <c r="AT221" s="5">
        <v>14.04250219252391</v>
      </c>
      <c r="AU221" s="5">
        <v>0</v>
      </c>
      <c r="AV221" s="5"/>
      <c r="AW221" s="5">
        <v>9.7429999999999986</v>
      </c>
      <c r="AX221" s="5">
        <v>0</v>
      </c>
      <c r="AY221" s="5"/>
      <c r="AZ221" s="5">
        <v>249</v>
      </c>
      <c r="BA221" s="5">
        <v>0</v>
      </c>
      <c r="BB221" s="5">
        <v>-249</v>
      </c>
      <c r="BD221" s="2">
        <v>2</v>
      </c>
      <c r="BF221" s="787">
        <v>0.46</v>
      </c>
      <c r="BG221" s="325">
        <v>150000924</v>
      </c>
    </row>
    <row r="222" spans="1:59" ht="24.9" customHeight="1" x14ac:dyDescent="0.3">
      <c r="A222" s="325">
        <v>150000933</v>
      </c>
      <c r="B222" s="445" t="s">
        <v>268</v>
      </c>
      <c r="C222" s="27">
        <v>5</v>
      </c>
      <c r="D222" s="101" t="s">
        <v>455</v>
      </c>
      <c r="E222" s="786">
        <v>4735.07</v>
      </c>
      <c r="F222" s="5">
        <v>2053</v>
      </c>
      <c r="G222" s="5">
        <v>1897</v>
      </c>
      <c r="H222" s="5">
        <v>-2053</v>
      </c>
      <c r="I222" s="5">
        <v>0</v>
      </c>
      <c r="J222" s="5">
        <v>1897</v>
      </c>
      <c r="K222" s="153"/>
      <c r="L222" s="5">
        <v>0</v>
      </c>
      <c r="M222" s="5">
        <v>0</v>
      </c>
      <c r="N222" s="5"/>
      <c r="O222" s="5">
        <v>0</v>
      </c>
      <c r="P222" s="5">
        <v>0</v>
      </c>
      <c r="Q222" s="784"/>
      <c r="R222" s="5">
        <v>0</v>
      </c>
      <c r="S222" s="5">
        <v>0</v>
      </c>
      <c r="T222" s="628"/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/>
      <c r="AA222" s="5">
        <v>0</v>
      </c>
      <c r="AB222" s="5">
        <v>0</v>
      </c>
      <c r="AC222" s="5">
        <v>0</v>
      </c>
      <c r="AD222" s="5">
        <v>0</v>
      </c>
      <c r="AE222" s="5">
        <v>926.07718115667785</v>
      </c>
      <c r="AF222" s="5">
        <v>0</v>
      </c>
      <c r="AG222" s="5"/>
      <c r="AH222" s="5">
        <v>1241.604528126858</v>
      </c>
      <c r="AI222" s="5">
        <v>0</v>
      </c>
      <c r="AJ222" s="5"/>
      <c r="AK222" s="5">
        <v>356.38883545942662</v>
      </c>
      <c r="AL222" s="5">
        <v>0</v>
      </c>
      <c r="AM222" s="5"/>
      <c r="AN222" s="5">
        <v>1021.556078629457</v>
      </c>
      <c r="AO222" s="5">
        <v>0</v>
      </c>
      <c r="AP222" s="5"/>
      <c r="AQ222" s="5">
        <v>474.45283662431558</v>
      </c>
      <c r="AR222" s="5">
        <v>0</v>
      </c>
      <c r="AS222" s="5"/>
      <c r="AT222" s="5">
        <v>887.99902062790215</v>
      </c>
      <c r="AU222" s="5">
        <v>0</v>
      </c>
      <c r="AV222" s="5"/>
      <c r="AW222" s="5">
        <v>94.159700000000001</v>
      </c>
      <c r="AX222" s="5">
        <v>0</v>
      </c>
      <c r="AY222" s="5"/>
      <c r="AZ222" s="5">
        <v>2501</v>
      </c>
      <c r="BA222" s="5">
        <v>0</v>
      </c>
      <c r="BB222" s="5">
        <v>-2501</v>
      </c>
      <c r="BD222" s="2">
        <v>2</v>
      </c>
      <c r="BF222" s="787">
        <v>4.5999999999999996</v>
      </c>
      <c r="BG222" s="325">
        <v>150000933</v>
      </c>
    </row>
    <row r="223" spans="1:59" ht="24.9" customHeight="1" x14ac:dyDescent="0.3">
      <c r="A223" s="325">
        <v>150000934</v>
      </c>
      <c r="B223" s="445" t="s">
        <v>216</v>
      </c>
      <c r="C223" s="27">
        <v>4</v>
      </c>
      <c r="D223" s="101" t="s">
        <v>455</v>
      </c>
      <c r="E223" s="786">
        <v>1981.17</v>
      </c>
      <c r="F223" s="5">
        <v>1004</v>
      </c>
      <c r="G223" s="5">
        <v>0</v>
      </c>
      <c r="H223" s="5">
        <v>-1004</v>
      </c>
      <c r="I223" s="5">
        <v>0</v>
      </c>
      <c r="J223" s="5">
        <v>0</v>
      </c>
      <c r="K223" s="153"/>
      <c r="L223" s="5">
        <v>0</v>
      </c>
      <c r="M223" s="5">
        <v>0</v>
      </c>
      <c r="N223" s="5"/>
      <c r="O223" s="5">
        <v>0</v>
      </c>
      <c r="P223" s="5">
        <v>0</v>
      </c>
      <c r="Q223" s="784"/>
      <c r="R223" s="5">
        <v>0</v>
      </c>
      <c r="S223" s="5">
        <v>0</v>
      </c>
      <c r="T223" s="628"/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/>
      <c r="AA223" s="5">
        <v>0</v>
      </c>
      <c r="AB223" s="5">
        <v>0</v>
      </c>
      <c r="AC223" s="5">
        <v>0</v>
      </c>
      <c r="AD223" s="5">
        <v>0</v>
      </c>
      <c r="AE223" s="5">
        <v>440.13081853546396</v>
      </c>
      <c r="AF223" s="5">
        <v>0</v>
      </c>
      <c r="AG223" s="8"/>
      <c r="AH223" s="5">
        <v>402.43411102992519</v>
      </c>
      <c r="AI223" s="5">
        <v>0</v>
      </c>
      <c r="AJ223" s="5"/>
      <c r="AK223" s="5">
        <v>133.88848709573</v>
      </c>
      <c r="AL223" s="5">
        <v>0</v>
      </c>
      <c r="AM223" s="5"/>
      <c r="AN223" s="5">
        <v>0</v>
      </c>
      <c r="AO223" s="5">
        <v>0</v>
      </c>
      <c r="AP223" s="5"/>
      <c r="AQ223" s="5">
        <v>0</v>
      </c>
      <c r="AR223" s="5">
        <v>0</v>
      </c>
      <c r="AS223" s="5"/>
      <c r="AT223" s="5">
        <v>298.4206461454886</v>
      </c>
      <c r="AU223" s="5">
        <v>896</v>
      </c>
      <c r="AV223" s="5"/>
      <c r="AW223" s="5">
        <v>39.811700000000002</v>
      </c>
      <c r="AX223" s="5">
        <v>0</v>
      </c>
      <c r="AY223" s="5"/>
      <c r="AZ223" s="5">
        <v>658</v>
      </c>
      <c r="BA223" s="5">
        <v>896</v>
      </c>
      <c r="BB223" s="5">
        <v>239</v>
      </c>
      <c r="BD223" s="2">
        <v>2</v>
      </c>
      <c r="BF223" s="787">
        <v>1.93</v>
      </c>
      <c r="BG223" s="325">
        <v>150000934</v>
      </c>
    </row>
    <row r="224" spans="1:59" ht="24.9" customHeight="1" x14ac:dyDescent="0.3">
      <c r="A224" s="325">
        <v>150000935</v>
      </c>
      <c r="B224" s="445" t="s">
        <v>176</v>
      </c>
      <c r="C224" s="27">
        <v>2</v>
      </c>
      <c r="D224" s="101" t="s">
        <v>455</v>
      </c>
      <c r="E224" s="786">
        <v>286.2</v>
      </c>
      <c r="F224" s="5">
        <v>191</v>
      </c>
      <c r="G224" s="5">
        <v>0</v>
      </c>
      <c r="H224" s="5">
        <v>-191</v>
      </c>
      <c r="I224" s="5">
        <v>0</v>
      </c>
      <c r="J224" s="5">
        <v>0</v>
      </c>
      <c r="K224" s="153"/>
      <c r="L224" s="5">
        <v>0</v>
      </c>
      <c r="M224" s="5">
        <v>0</v>
      </c>
      <c r="N224" s="5"/>
      <c r="O224" s="5">
        <v>0</v>
      </c>
      <c r="P224" s="5">
        <v>0</v>
      </c>
      <c r="Q224" s="784"/>
      <c r="R224" s="5">
        <v>0</v>
      </c>
      <c r="S224" s="5">
        <v>0</v>
      </c>
      <c r="T224" s="628"/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630"/>
      <c r="AA224" s="5">
        <v>0</v>
      </c>
      <c r="AB224" s="5">
        <v>0</v>
      </c>
      <c r="AC224" s="5">
        <v>0</v>
      </c>
      <c r="AD224" s="5">
        <v>0</v>
      </c>
      <c r="AE224" s="5">
        <v>137.59400558349859</v>
      </c>
      <c r="AF224" s="5">
        <v>0</v>
      </c>
      <c r="AG224" s="5"/>
      <c r="AH224" s="5">
        <v>120.165539204569</v>
      </c>
      <c r="AI224" s="5">
        <v>0</v>
      </c>
      <c r="AJ224" s="5"/>
      <c r="AK224" s="5">
        <v>13.522182942446671</v>
      </c>
      <c r="AL224" s="5">
        <v>0</v>
      </c>
      <c r="AM224" s="5"/>
      <c r="AN224" s="5">
        <v>0</v>
      </c>
      <c r="AO224" s="5">
        <v>0</v>
      </c>
      <c r="AP224" s="5"/>
      <c r="AQ224" s="5">
        <v>0</v>
      </c>
      <c r="AR224" s="5">
        <v>0</v>
      </c>
      <c r="AS224" s="5"/>
      <c r="AT224" s="5">
        <v>7.5212656031610985</v>
      </c>
      <c r="AU224" s="5">
        <v>0</v>
      </c>
      <c r="AV224" s="5"/>
      <c r="AW224" s="5">
        <v>5.8620000000000001</v>
      </c>
      <c r="AX224" s="5">
        <v>0</v>
      </c>
      <c r="AY224" s="5"/>
      <c r="AZ224" s="5">
        <v>142</v>
      </c>
      <c r="BA224" s="5">
        <v>0</v>
      </c>
      <c r="BB224" s="5">
        <v>-142</v>
      </c>
      <c r="BD224" s="2">
        <v>2</v>
      </c>
      <c r="BF224" s="787">
        <v>0.28000000000000003</v>
      </c>
      <c r="BG224" s="325">
        <v>150000935</v>
      </c>
    </row>
    <row r="225" spans="1:59" ht="24.9" customHeight="1" x14ac:dyDescent="0.3">
      <c r="A225" s="325">
        <v>150000936</v>
      </c>
      <c r="B225" s="445" t="s">
        <v>122</v>
      </c>
      <c r="C225" s="27">
        <v>1</v>
      </c>
      <c r="D225" s="101" t="s">
        <v>455</v>
      </c>
      <c r="E225" s="786">
        <v>341.75</v>
      </c>
      <c r="F225" s="5">
        <v>121</v>
      </c>
      <c r="G225" s="5">
        <v>2069</v>
      </c>
      <c r="H225" s="5">
        <v>1947</v>
      </c>
      <c r="I225" s="5">
        <v>0</v>
      </c>
      <c r="J225" s="5">
        <v>0</v>
      </c>
      <c r="K225" s="153"/>
      <c r="L225" s="5">
        <v>0</v>
      </c>
      <c r="M225" s="5">
        <v>0</v>
      </c>
      <c r="N225" s="5"/>
      <c r="O225" s="5">
        <v>0</v>
      </c>
      <c r="P225" s="5">
        <v>0</v>
      </c>
      <c r="Q225" s="784"/>
      <c r="R225" s="5">
        <v>0</v>
      </c>
      <c r="S225" s="5">
        <v>0</v>
      </c>
      <c r="T225" s="628"/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/>
      <c r="AA225" s="5">
        <v>0</v>
      </c>
      <c r="AB225" s="5">
        <v>0</v>
      </c>
      <c r="AC225" s="5">
        <v>0</v>
      </c>
      <c r="AD225" s="5">
        <v>2069</v>
      </c>
      <c r="AE225" s="5">
        <v>0</v>
      </c>
      <c r="AF225" s="5">
        <v>0</v>
      </c>
      <c r="AG225" s="5"/>
      <c r="AH225" s="5">
        <v>0</v>
      </c>
      <c r="AI225" s="5">
        <v>0</v>
      </c>
      <c r="AJ225" s="5"/>
      <c r="AK225" s="5">
        <v>0</v>
      </c>
      <c r="AL225" s="5">
        <v>0</v>
      </c>
      <c r="AM225" s="5"/>
      <c r="AN225" s="5">
        <v>0</v>
      </c>
      <c r="AO225" s="5">
        <v>0</v>
      </c>
      <c r="AP225" s="5"/>
      <c r="AQ225" s="5">
        <v>0</v>
      </c>
      <c r="AR225" s="5">
        <v>0</v>
      </c>
      <c r="AS225" s="5"/>
      <c r="AT225" s="5">
        <v>0</v>
      </c>
      <c r="AU225" s="5">
        <v>0</v>
      </c>
      <c r="AV225" s="5"/>
      <c r="AW225" s="5">
        <v>7.9871295103597522</v>
      </c>
      <c r="AX225" s="5">
        <v>0</v>
      </c>
      <c r="AY225" s="5"/>
      <c r="AZ225" s="5">
        <v>4</v>
      </c>
      <c r="BA225" s="5">
        <v>0</v>
      </c>
      <c r="BB225" s="5">
        <v>-4</v>
      </c>
      <c r="BD225" s="2">
        <v>1</v>
      </c>
      <c r="BF225" s="787">
        <v>0</v>
      </c>
      <c r="BG225" s="325">
        <v>150000936</v>
      </c>
    </row>
    <row r="226" spans="1:59" ht="24.9" customHeight="1" x14ac:dyDescent="0.3">
      <c r="A226" s="325">
        <v>150000937</v>
      </c>
      <c r="B226" s="445" t="s">
        <v>375</v>
      </c>
      <c r="C226" s="27">
        <v>9</v>
      </c>
      <c r="D226" s="101" t="s">
        <v>455</v>
      </c>
      <c r="E226" s="786">
        <v>3813.3</v>
      </c>
      <c r="F226" s="5">
        <v>2137</v>
      </c>
      <c r="G226" s="5">
        <v>627</v>
      </c>
      <c r="H226" s="5">
        <v>-1510</v>
      </c>
      <c r="I226" s="5">
        <v>0</v>
      </c>
      <c r="J226" s="5">
        <v>0</v>
      </c>
      <c r="K226" s="153"/>
      <c r="L226" s="5">
        <v>0</v>
      </c>
      <c r="M226" s="5">
        <v>0</v>
      </c>
      <c r="N226" s="5"/>
      <c r="O226" s="5">
        <v>0</v>
      </c>
      <c r="P226" s="5">
        <v>0</v>
      </c>
      <c r="Q226" s="784"/>
      <c r="R226" s="5">
        <v>0</v>
      </c>
      <c r="S226" s="5">
        <v>0</v>
      </c>
      <c r="T226" s="628"/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467"/>
      <c r="AA226" s="5">
        <v>0</v>
      </c>
      <c r="AB226" s="5">
        <v>0</v>
      </c>
      <c r="AC226" s="5">
        <v>0</v>
      </c>
      <c r="AD226" s="5">
        <v>627</v>
      </c>
      <c r="AE226" s="5">
        <v>489.79934611292083</v>
      </c>
      <c r="AF226" s="5">
        <v>0</v>
      </c>
      <c r="AG226" s="5"/>
      <c r="AH226" s="5">
        <v>909.52236253989213</v>
      </c>
      <c r="AI226" s="5">
        <v>0</v>
      </c>
      <c r="AJ226" s="5"/>
      <c r="AK226" s="5">
        <v>229.79398820969001</v>
      </c>
      <c r="AL226" s="5">
        <v>0</v>
      </c>
      <c r="AM226" s="5"/>
      <c r="AN226" s="5">
        <v>876.35228012877599</v>
      </c>
      <c r="AO226" s="5">
        <v>582</v>
      </c>
      <c r="AP226" s="5"/>
      <c r="AQ226" s="5">
        <v>617.70985254346465</v>
      </c>
      <c r="AR226" s="5">
        <v>0</v>
      </c>
      <c r="AS226" s="5"/>
      <c r="AT226" s="5">
        <v>640.36772200340397</v>
      </c>
      <c r="AU226" s="5">
        <v>0</v>
      </c>
      <c r="AV226" s="5"/>
      <c r="AW226" s="5">
        <v>67.965337824188595</v>
      </c>
      <c r="AX226" s="5">
        <v>0</v>
      </c>
      <c r="AY226" s="5"/>
      <c r="AZ226" s="5">
        <v>1916</v>
      </c>
      <c r="BA226" s="5">
        <v>0</v>
      </c>
      <c r="BB226" s="5">
        <v>-1916</v>
      </c>
      <c r="BD226" s="2">
        <v>1</v>
      </c>
      <c r="BF226" s="787">
        <v>21.45</v>
      </c>
      <c r="BG226" s="325">
        <v>150000937</v>
      </c>
    </row>
    <row r="227" spans="1:59" ht="24.9" customHeight="1" x14ac:dyDescent="0.3">
      <c r="A227" s="325">
        <v>150000938</v>
      </c>
      <c r="B227" s="445" t="s">
        <v>376</v>
      </c>
      <c r="C227" s="27">
        <v>9</v>
      </c>
      <c r="D227" s="101" t="s">
        <v>455</v>
      </c>
      <c r="E227" s="786">
        <v>15291.6</v>
      </c>
      <c r="F227" s="5">
        <v>8768</v>
      </c>
      <c r="G227" s="5">
        <v>15148</v>
      </c>
      <c r="H227" s="5">
        <v>-1186</v>
      </c>
      <c r="I227" s="5">
        <v>0</v>
      </c>
      <c r="J227" s="5">
        <v>0</v>
      </c>
      <c r="K227" s="153"/>
      <c r="L227" s="5">
        <v>0</v>
      </c>
      <c r="M227" s="5">
        <v>0</v>
      </c>
      <c r="N227" s="788"/>
      <c r="O227" s="5">
        <v>0</v>
      </c>
      <c r="P227" s="5">
        <v>0</v>
      </c>
      <c r="Q227" s="784"/>
      <c r="R227" s="5">
        <v>2</v>
      </c>
      <c r="S227" s="5">
        <v>13260</v>
      </c>
      <c r="T227" s="630"/>
      <c r="U227" s="5">
        <v>0</v>
      </c>
      <c r="V227" s="5">
        <v>0</v>
      </c>
      <c r="W227" s="5">
        <v>0</v>
      </c>
      <c r="X227" s="5">
        <v>0</v>
      </c>
      <c r="Y227" s="5">
        <v>500</v>
      </c>
      <c r="Z227" s="8"/>
      <c r="AA227" s="5">
        <v>0</v>
      </c>
      <c r="AB227" s="5">
        <v>0</v>
      </c>
      <c r="AC227" s="5">
        <v>599</v>
      </c>
      <c r="AD227" s="5">
        <v>789</v>
      </c>
      <c r="AE227" s="5">
        <v>3269.5993125815121</v>
      </c>
      <c r="AF227" s="5">
        <v>267</v>
      </c>
      <c r="AG227" s="454"/>
      <c r="AH227" s="5">
        <v>3453.8879119378362</v>
      </c>
      <c r="AI227" s="5">
        <v>2185</v>
      </c>
      <c r="AJ227" s="454"/>
      <c r="AK227" s="5">
        <v>1018.480790379237</v>
      </c>
      <c r="AL227" s="5">
        <v>0</v>
      </c>
      <c r="AM227" s="454"/>
      <c r="AN227" s="5">
        <v>3428.1961197757701</v>
      </c>
      <c r="AO227" s="5">
        <v>1324</v>
      </c>
      <c r="AP227" s="5"/>
      <c r="AQ227" s="5">
        <v>1462.3801189556461</v>
      </c>
      <c r="AR227" s="5">
        <v>0</v>
      </c>
      <c r="AS227" s="454"/>
      <c r="AT227" s="5">
        <v>3723.5078952602539</v>
      </c>
      <c r="AU227" s="5">
        <v>1705</v>
      </c>
      <c r="AV227" s="5"/>
      <c r="AW227" s="5">
        <v>165.84179107803322</v>
      </c>
      <c r="AX227" s="5">
        <v>0</v>
      </c>
      <c r="AY227" s="5"/>
      <c r="AZ227" s="5">
        <v>8261</v>
      </c>
      <c r="BA227" s="5">
        <v>1972</v>
      </c>
      <c r="BB227" s="5">
        <v>-6289</v>
      </c>
      <c r="BD227" s="2">
        <v>1</v>
      </c>
      <c r="BF227" s="787">
        <v>86.78</v>
      </c>
      <c r="BG227" s="325">
        <v>150000938</v>
      </c>
    </row>
    <row r="228" spans="1:59" ht="24.9" customHeight="1" x14ac:dyDescent="0.3">
      <c r="A228" s="325">
        <v>150000925</v>
      </c>
      <c r="B228" s="445" t="s">
        <v>177</v>
      </c>
      <c r="C228" s="27">
        <v>2</v>
      </c>
      <c r="D228" s="101" t="s">
        <v>455</v>
      </c>
      <c r="E228" s="786">
        <v>479.1</v>
      </c>
      <c r="F228" s="5">
        <v>493</v>
      </c>
      <c r="G228" s="5">
        <v>0</v>
      </c>
      <c r="H228" s="5">
        <v>-493</v>
      </c>
      <c r="I228" s="5">
        <v>0</v>
      </c>
      <c r="J228" s="5">
        <v>0</v>
      </c>
      <c r="K228" s="153"/>
      <c r="L228" s="5">
        <v>0</v>
      </c>
      <c r="M228" s="5">
        <v>0</v>
      </c>
      <c r="N228" s="5"/>
      <c r="O228" s="5">
        <v>0</v>
      </c>
      <c r="P228" s="5">
        <v>0</v>
      </c>
      <c r="Q228" s="784"/>
      <c r="R228" s="5">
        <v>0</v>
      </c>
      <c r="S228" s="5">
        <v>0</v>
      </c>
      <c r="T228" s="628"/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/>
      <c r="AA228" s="5">
        <v>0</v>
      </c>
      <c r="AB228" s="5">
        <v>0</v>
      </c>
      <c r="AC228" s="5">
        <v>0</v>
      </c>
      <c r="AD228" s="5">
        <v>0</v>
      </c>
      <c r="AE228" s="5">
        <v>176.02311480060638</v>
      </c>
      <c r="AF228" s="5">
        <v>0</v>
      </c>
      <c r="AG228" s="8"/>
      <c r="AH228" s="5">
        <v>231.6957497117906</v>
      </c>
      <c r="AI228" s="5">
        <v>0</v>
      </c>
      <c r="AJ228" s="5"/>
      <c r="AK228" s="5">
        <v>29.876819082219999</v>
      </c>
      <c r="AL228" s="5">
        <v>0</v>
      </c>
      <c r="AM228" s="5"/>
      <c r="AN228" s="5">
        <v>0</v>
      </c>
      <c r="AO228" s="5">
        <v>0</v>
      </c>
      <c r="AP228" s="5"/>
      <c r="AQ228" s="5">
        <v>0</v>
      </c>
      <c r="AR228" s="5">
        <v>0</v>
      </c>
      <c r="AS228" s="5"/>
      <c r="AT228" s="5">
        <v>14.042517664827926</v>
      </c>
      <c r="AU228" s="5">
        <v>0</v>
      </c>
      <c r="AV228" s="5"/>
      <c r="AW228" s="5">
        <v>8.2480000000000011</v>
      </c>
      <c r="AX228" s="5">
        <v>0</v>
      </c>
      <c r="AY228" s="5"/>
      <c r="AZ228" s="5">
        <v>230</v>
      </c>
      <c r="BA228" s="5">
        <v>0</v>
      </c>
      <c r="BB228" s="5">
        <v>-230</v>
      </c>
      <c r="BD228" s="2">
        <v>2</v>
      </c>
      <c r="BF228" s="787">
        <v>0.41</v>
      </c>
      <c r="BG228" s="325">
        <v>150000925</v>
      </c>
    </row>
    <row r="229" spans="1:59" ht="24.9" customHeight="1" x14ac:dyDescent="0.3">
      <c r="A229" s="325">
        <v>150000939</v>
      </c>
      <c r="B229" s="445" t="s">
        <v>337</v>
      </c>
      <c r="C229" s="27">
        <v>8</v>
      </c>
      <c r="D229" s="101" t="s">
        <v>455</v>
      </c>
      <c r="E229" s="786">
        <v>5141.3999999999996</v>
      </c>
      <c r="F229" s="5">
        <v>3051</v>
      </c>
      <c r="G229" s="5">
        <v>0</v>
      </c>
      <c r="H229" s="5">
        <v>-3051</v>
      </c>
      <c r="I229" s="5">
        <v>0</v>
      </c>
      <c r="J229" s="5">
        <v>0</v>
      </c>
      <c r="K229" s="153"/>
      <c r="L229" s="5">
        <v>0</v>
      </c>
      <c r="M229" s="5">
        <v>0</v>
      </c>
      <c r="N229" s="5"/>
      <c r="O229" s="5">
        <v>0</v>
      </c>
      <c r="P229" s="5">
        <v>0</v>
      </c>
      <c r="Q229" s="784"/>
      <c r="R229" s="5">
        <v>0</v>
      </c>
      <c r="S229" s="5">
        <v>0</v>
      </c>
      <c r="T229" s="628"/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/>
      <c r="AA229" s="5">
        <v>0</v>
      </c>
      <c r="AB229" s="5">
        <v>0</v>
      </c>
      <c r="AC229" s="5">
        <v>0</v>
      </c>
      <c r="AD229" s="5">
        <v>0</v>
      </c>
      <c r="AE229" s="5">
        <v>871.9977470128531</v>
      </c>
      <c r="AF229" s="5">
        <v>0</v>
      </c>
      <c r="AG229" s="5"/>
      <c r="AH229" s="5">
        <v>986.25472948464676</v>
      </c>
      <c r="AI229" s="5">
        <v>0</v>
      </c>
      <c r="AJ229" s="5"/>
      <c r="AK229" s="5">
        <v>412.45199543165</v>
      </c>
      <c r="AL229" s="5">
        <v>0</v>
      </c>
      <c r="AM229" s="5"/>
      <c r="AN229" s="5">
        <v>1068.006060341427</v>
      </c>
      <c r="AO229" s="5">
        <v>0</v>
      </c>
      <c r="AP229" s="5"/>
      <c r="AQ229" s="5">
        <v>1206.142880943032</v>
      </c>
      <c r="AR229" s="5">
        <v>0</v>
      </c>
      <c r="AS229" s="5"/>
      <c r="AT229" s="5">
        <v>453.90881041821592</v>
      </c>
      <c r="AU229" s="5">
        <v>0</v>
      </c>
      <c r="AV229" s="5"/>
      <c r="AW229" s="5">
        <v>69.659351811490851</v>
      </c>
      <c r="AX229" s="5">
        <v>0</v>
      </c>
      <c r="AY229" s="5"/>
      <c r="AZ229" s="5">
        <v>2534</v>
      </c>
      <c r="BA229" s="5">
        <v>0</v>
      </c>
      <c r="BB229" s="5">
        <v>-2534</v>
      </c>
      <c r="BD229" s="2">
        <v>1</v>
      </c>
      <c r="BF229" s="787">
        <v>28.91</v>
      </c>
      <c r="BG229" s="325">
        <v>150000939</v>
      </c>
    </row>
    <row r="230" spans="1:59" ht="24.9" customHeight="1" x14ac:dyDescent="0.3">
      <c r="A230" s="325">
        <v>150000926</v>
      </c>
      <c r="B230" s="445" t="s">
        <v>178</v>
      </c>
      <c r="C230" s="27">
        <v>2</v>
      </c>
      <c r="D230" s="101" t="s">
        <v>455</v>
      </c>
      <c r="E230" s="786">
        <v>404.5</v>
      </c>
      <c r="F230" s="5">
        <v>387</v>
      </c>
      <c r="G230" s="5">
        <v>0</v>
      </c>
      <c r="H230" s="5">
        <v>-387</v>
      </c>
      <c r="I230" s="5">
        <v>0</v>
      </c>
      <c r="J230" s="5">
        <v>0</v>
      </c>
      <c r="K230" s="153"/>
      <c r="L230" s="5">
        <v>0</v>
      </c>
      <c r="M230" s="5">
        <v>0</v>
      </c>
      <c r="N230" s="5"/>
      <c r="O230" s="5">
        <v>0</v>
      </c>
      <c r="P230" s="5">
        <v>0</v>
      </c>
      <c r="Q230" s="784"/>
      <c r="R230" s="5">
        <v>0</v>
      </c>
      <c r="S230" s="5">
        <v>0</v>
      </c>
      <c r="T230" s="628"/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/>
      <c r="AA230" s="5">
        <v>0</v>
      </c>
      <c r="AB230" s="5">
        <v>0</v>
      </c>
      <c r="AC230" s="5">
        <v>0</v>
      </c>
      <c r="AD230" s="5">
        <v>0</v>
      </c>
      <c r="AE230" s="5">
        <v>119.77000213943836</v>
      </c>
      <c r="AF230" s="5">
        <v>0</v>
      </c>
      <c r="AG230" s="5"/>
      <c r="AH230" s="5">
        <v>231.6957497117906</v>
      </c>
      <c r="AI230" s="5">
        <v>0</v>
      </c>
      <c r="AJ230" s="5"/>
      <c r="AK230" s="5">
        <v>0</v>
      </c>
      <c r="AL230" s="5">
        <v>0</v>
      </c>
      <c r="AM230" s="5"/>
      <c r="AN230" s="5">
        <v>0</v>
      </c>
      <c r="AO230" s="5">
        <v>0</v>
      </c>
      <c r="AP230" s="5"/>
      <c r="AQ230" s="5">
        <v>0</v>
      </c>
      <c r="AR230" s="5">
        <v>0</v>
      </c>
      <c r="AS230" s="5"/>
      <c r="AT230" s="5">
        <v>14.042517664827926</v>
      </c>
      <c r="AU230" s="5">
        <v>0</v>
      </c>
      <c r="AV230" s="5"/>
      <c r="AW230" s="5">
        <v>8.0489999999999995</v>
      </c>
      <c r="AX230" s="5">
        <v>0</v>
      </c>
      <c r="AY230" s="5"/>
      <c r="AZ230" s="5">
        <v>187</v>
      </c>
      <c r="BA230" s="5">
        <v>0</v>
      </c>
      <c r="BB230" s="5">
        <v>-187</v>
      </c>
      <c r="BD230" s="2">
        <v>2</v>
      </c>
      <c r="BF230" s="787">
        <v>0.39</v>
      </c>
      <c r="BG230" s="325">
        <v>150000926</v>
      </c>
    </row>
    <row r="231" spans="1:59" ht="24.9" customHeight="1" x14ac:dyDescent="0.3">
      <c r="A231" s="325">
        <v>150000940</v>
      </c>
      <c r="B231" s="445" t="s">
        <v>377</v>
      </c>
      <c r="C231" s="27">
        <v>9</v>
      </c>
      <c r="D231" s="101" t="s">
        <v>455</v>
      </c>
      <c r="E231" s="786">
        <v>7453.85</v>
      </c>
      <c r="F231" s="5">
        <v>4651</v>
      </c>
      <c r="G231" s="5">
        <v>553</v>
      </c>
      <c r="H231" s="5">
        <v>-4651</v>
      </c>
      <c r="I231" s="5">
        <v>0</v>
      </c>
      <c r="J231" s="5">
        <v>0</v>
      </c>
      <c r="K231" s="153"/>
      <c r="L231" s="5">
        <v>0</v>
      </c>
      <c r="M231" s="5">
        <v>184</v>
      </c>
      <c r="N231" s="788"/>
      <c r="O231" s="5">
        <v>0</v>
      </c>
      <c r="P231" s="5">
        <v>0</v>
      </c>
      <c r="Q231" s="784"/>
      <c r="R231" s="5">
        <v>0</v>
      </c>
      <c r="S231" s="5">
        <v>0</v>
      </c>
      <c r="T231" s="789"/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/>
      <c r="AA231" s="5">
        <v>0</v>
      </c>
      <c r="AB231" s="5">
        <v>0</v>
      </c>
      <c r="AC231" s="5">
        <v>0</v>
      </c>
      <c r="AD231" s="5">
        <v>369</v>
      </c>
      <c r="AE231" s="5">
        <v>1360.3629262759714</v>
      </c>
      <c r="AF231" s="5">
        <v>740</v>
      </c>
      <c r="AG231" s="5"/>
      <c r="AH231" s="5">
        <v>1534.1423590445504</v>
      </c>
      <c r="AI231" s="5">
        <v>0</v>
      </c>
      <c r="AJ231" s="5"/>
      <c r="AK231" s="5">
        <v>574.12665859343497</v>
      </c>
      <c r="AL231" s="5">
        <v>0</v>
      </c>
      <c r="AM231" s="5"/>
      <c r="AN231" s="5">
        <v>1509.6140587053101</v>
      </c>
      <c r="AO231" s="5">
        <v>0</v>
      </c>
      <c r="AP231" s="5"/>
      <c r="AQ231" s="5">
        <v>626.45466780048014</v>
      </c>
      <c r="AR231" s="5">
        <v>1608</v>
      </c>
      <c r="AS231" s="5"/>
      <c r="AT231" s="5">
        <v>1269.9308514021532</v>
      </c>
      <c r="AU231" s="5">
        <v>0</v>
      </c>
      <c r="AV231" s="5"/>
      <c r="AW231" s="5">
        <v>100.24335267844927</v>
      </c>
      <c r="AX231" s="5">
        <v>0</v>
      </c>
      <c r="AY231" s="5"/>
      <c r="AZ231" s="5">
        <v>3488</v>
      </c>
      <c r="BA231" s="5">
        <v>2348</v>
      </c>
      <c r="BB231" s="5">
        <v>-1140</v>
      </c>
      <c r="BD231" s="2">
        <v>1</v>
      </c>
      <c r="BF231" s="787">
        <v>41.92</v>
      </c>
      <c r="BG231" s="325">
        <v>150000940</v>
      </c>
    </row>
    <row r="232" spans="1:59" ht="24.9" customHeight="1" x14ac:dyDescent="0.3">
      <c r="A232" s="325">
        <v>150000941</v>
      </c>
      <c r="B232" s="445" t="s">
        <v>338</v>
      </c>
      <c r="C232" s="27">
        <v>8</v>
      </c>
      <c r="D232" s="101" t="s">
        <v>455</v>
      </c>
      <c r="E232" s="786">
        <v>6120.35</v>
      </c>
      <c r="F232" s="5">
        <v>5349</v>
      </c>
      <c r="G232" s="5">
        <v>8182</v>
      </c>
      <c r="H232" s="5">
        <v>-5349</v>
      </c>
      <c r="I232" s="5">
        <v>0</v>
      </c>
      <c r="J232" s="5">
        <v>0</v>
      </c>
      <c r="K232" s="153"/>
      <c r="L232" s="5">
        <v>0</v>
      </c>
      <c r="M232" s="5">
        <v>0</v>
      </c>
      <c r="N232" s="5"/>
      <c r="O232" s="5">
        <v>0</v>
      </c>
      <c r="P232" s="5">
        <v>0</v>
      </c>
      <c r="Q232" s="784"/>
      <c r="R232" s="5">
        <v>1</v>
      </c>
      <c r="S232" s="5">
        <v>6712</v>
      </c>
      <c r="T232" s="630"/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/>
      <c r="AA232" s="5">
        <v>0</v>
      </c>
      <c r="AB232" s="5">
        <v>0</v>
      </c>
      <c r="AC232" s="5">
        <v>1101</v>
      </c>
      <c r="AD232" s="5">
        <v>369</v>
      </c>
      <c r="AE232" s="5">
        <v>682.08089673356267</v>
      </c>
      <c r="AF232" s="5">
        <v>267</v>
      </c>
      <c r="AG232" s="5"/>
      <c r="AH232" s="5">
        <v>1205.8303594184395</v>
      </c>
      <c r="AI232" s="5">
        <v>0</v>
      </c>
      <c r="AJ232" s="5"/>
      <c r="AK232" s="5">
        <v>457.79216558416698</v>
      </c>
      <c r="AL232" s="5">
        <v>0</v>
      </c>
      <c r="AM232" s="5"/>
      <c r="AN232" s="5">
        <v>1278.3720192865799</v>
      </c>
      <c r="AO232" s="5">
        <v>0</v>
      </c>
      <c r="AP232" s="5"/>
      <c r="AQ232" s="5">
        <v>584.0817947983785</v>
      </c>
      <c r="AR232" s="5">
        <v>0</v>
      </c>
      <c r="AS232" s="5"/>
      <c r="AT232" s="5">
        <v>899.57465914468958</v>
      </c>
      <c r="AU232" s="5">
        <v>0</v>
      </c>
      <c r="AV232" s="5"/>
      <c r="AW232" s="5">
        <v>126.48266579404036</v>
      </c>
      <c r="AX232" s="5">
        <v>0</v>
      </c>
      <c r="AY232" s="5"/>
      <c r="AZ232" s="5">
        <v>2617</v>
      </c>
      <c r="BA232" s="5">
        <v>267</v>
      </c>
      <c r="BB232" s="5">
        <v>-2350</v>
      </c>
      <c r="BD232" s="2">
        <v>1</v>
      </c>
      <c r="BF232" s="787">
        <v>34.42</v>
      </c>
      <c r="BG232" s="325">
        <v>150000941</v>
      </c>
    </row>
    <row r="233" spans="1:59" ht="24.9" customHeight="1" x14ac:dyDescent="0.3">
      <c r="A233" s="325">
        <v>150000957</v>
      </c>
      <c r="B233" s="445" t="s">
        <v>378</v>
      </c>
      <c r="C233" s="27">
        <v>9</v>
      </c>
      <c r="D233" s="101" t="s">
        <v>455</v>
      </c>
      <c r="E233" s="786">
        <v>2163.8200000000002</v>
      </c>
      <c r="F233" s="5">
        <v>1335</v>
      </c>
      <c r="G233" s="5">
        <v>0</v>
      </c>
      <c r="H233" s="5">
        <v>-1335</v>
      </c>
      <c r="I233" s="5">
        <v>0</v>
      </c>
      <c r="J233" s="5">
        <v>0</v>
      </c>
      <c r="K233" s="153"/>
      <c r="L233" s="5">
        <v>0</v>
      </c>
      <c r="M233" s="5">
        <v>0</v>
      </c>
      <c r="N233" s="5"/>
      <c r="O233" s="5">
        <v>0</v>
      </c>
      <c r="P233" s="5">
        <v>0</v>
      </c>
      <c r="Q233" s="784"/>
      <c r="R233" s="5">
        <v>0</v>
      </c>
      <c r="S233" s="5">
        <v>0</v>
      </c>
      <c r="T233" s="628"/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/>
      <c r="AA233" s="5">
        <v>0</v>
      </c>
      <c r="AB233" s="5">
        <v>0</v>
      </c>
      <c r="AC233" s="5">
        <v>0</v>
      </c>
      <c r="AD233" s="5">
        <v>0</v>
      </c>
      <c r="AE233" s="5">
        <v>498.1913821187822</v>
      </c>
      <c r="AF233" s="5">
        <v>0</v>
      </c>
      <c r="AG233" s="454"/>
      <c r="AH233" s="5">
        <v>522.33652861299902</v>
      </c>
      <c r="AI233" s="5">
        <v>0</v>
      </c>
      <c r="AJ233" s="454"/>
      <c r="AK233" s="5">
        <v>112.265240558115</v>
      </c>
      <c r="AL233" s="5">
        <v>0</v>
      </c>
      <c r="AM233" s="5"/>
      <c r="AN233" s="5">
        <v>503.655522390763</v>
      </c>
      <c r="AO233" s="5">
        <v>0</v>
      </c>
      <c r="AP233" s="5"/>
      <c r="AQ233" s="5">
        <v>208.49194222289759</v>
      </c>
      <c r="AR233" s="5">
        <v>0</v>
      </c>
      <c r="AS233" s="5"/>
      <c r="AT233" s="5">
        <v>160.40693987805309</v>
      </c>
      <c r="AU233" s="5">
        <v>0</v>
      </c>
      <c r="AV233" s="8"/>
      <c r="AW233" s="5">
        <v>27.523087455051471</v>
      </c>
      <c r="AX233" s="5">
        <v>0</v>
      </c>
      <c r="AY233" s="5"/>
      <c r="AZ233" s="5">
        <v>1017</v>
      </c>
      <c r="BA233" s="5">
        <v>0</v>
      </c>
      <c r="BB233" s="5">
        <v>-1017</v>
      </c>
      <c r="BD233" s="2">
        <v>1</v>
      </c>
      <c r="BF233" s="787">
        <v>12.18</v>
      </c>
      <c r="BG233" s="325">
        <v>150000957</v>
      </c>
    </row>
    <row r="234" spans="1:59" ht="24.9" customHeight="1" x14ac:dyDescent="0.3">
      <c r="A234" s="325">
        <v>150000960</v>
      </c>
      <c r="B234" s="445" t="s">
        <v>379</v>
      </c>
      <c r="C234" s="27">
        <v>9</v>
      </c>
      <c r="D234" s="101" t="s">
        <v>455</v>
      </c>
      <c r="E234" s="786">
        <v>4314.34</v>
      </c>
      <c r="F234" s="5">
        <v>2585</v>
      </c>
      <c r="G234" s="5">
        <v>870</v>
      </c>
      <c r="H234" s="5">
        <v>-1716</v>
      </c>
      <c r="I234" s="5">
        <v>0</v>
      </c>
      <c r="J234" s="5">
        <v>0</v>
      </c>
      <c r="K234" s="153"/>
      <c r="L234" s="5">
        <v>0</v>
      </c>
      <c r="M234" s="5">
        <v>0</v>
      </c>
      <c r="N234" s="5"/>
      <c r="O234" s="5">
        <v>0</v>
      </c>
      <c r="P234" s="5">
        <v>0</v>
      </c>
      <c r="Q234" s="784"/>
      <c r="R234" s="5">
        <v>0</v>
      </c>
      <c r="S234" s="5">
        <v>0</v>
      </c>
      <c r="T234" s="789"/>
      <c r="U234" s="5">
        <v>0</v>
      </c>
      <c r="V234" s="5">
        <v>0</v>
      </c>
      <c r="W234" s="5">
        <v>0</v>
      </c>
      <c r="X234" s="5">
        <v>0</v>
      </c>
      <c r="Y234" s="5">
        <v>870</v>
      </c>
      <c r="Z234" s="5"/>
      <c r="AA234" s="5">
        <v>0</v>
      </c>
      <c r="AB234" s="5">
        <v>0</v>
      </c>
      <c r="AC234" s="5">
        <v>0</v>
      </c>
      <c r="AD234" s="5">
        <v>0</v>
      </c>
      <c r="AE234" s="5">
        <v>976.46173718219688</v>
      </c>
      <c r="AF234" s="5">
        <v>0</v>
      </c>
      <c r="AG234" s="8"/>
      <c r="AH234" s="5">
        <v>1045.673057225998</v>
      </c>
      <c r="AI234" s="5">
        <v>2478</v>
      </c>
      <c r="AJ234" s="8"/>
      <c r="AK234" s="5">
        <v>243.58250039425502</v>
      </c>
      <c r="AL234" s="5">
        <v>0</v>
      </c>
      <c r="AM234" s="454"/>
      <c r="AN234" s="5">
        <v>922.014282456822</v>
      </c>
      <c r="AO234" s="5">
        <v>0</v>
      </c>
      <c r="AP234" s="5"/>
      <c r="AQ234" s="5">
        <v>417.96272557758289</v>
      </c>
      <c r="AR234" s="5">
        <v>0</v>
      </c>
      <c r="AS234" s="5"/>
      <c r="AT234" s="5">
        <v>431.7202028913</v>
      </c>
      <c r="AU234" s="5">
        <v>0</v>
      </c>
      <c r="AV234" s="5"/>
      <c r="AW234" s="5">
        <v>56.076616456950092</v>
      </c>
      <c r="AX234" s="5">
        <v>0</v>
      </c>
      <c r="AY234" s="5"/>
      <c r="AZ234" s="5">
        <v>2046</v>
      </c>
      <c r="BA234" s="5">
        <v>0</v>
      </c>
      <c r="BB234" s="5">
        <v>-2046</v>
      </c>
      <c r="BD234" s="2">
        <v>1</v>
      </c>
      <c r="BF234" s="787">
        <v>24.26</v>
      </c>
      <c r="BG234" s="325">
        <v>150000960</v>
      </c>
    </row>
    <row r="235" spans="1:59" ht="24.9" customHeight="1" x14ac:dyDescent="0.3">
      <c r="A235" s="325">
        <v>150000963</v>
      </c>
      <c r="B235" s="445" t="s">
        <v>380</v>
      </c>
      <c r="C235" s="27">
        <v>9</v>
      </c>
      <c r="D235" s="101" t="s">
        <v>455</v>
      </c>
      <c r="E235" s="786">
        <v>2140.7399999999998</v>
      </c>
      <c r="F235" s="5">
        <v>1316</v>
      </c>
      <c r="G235" s="5">
        <v>1415</v>
      </c>
      <c r="H235" s="5">
        <v>-1316</v>
      </c>
      <c r="I235" s="5">
        <v>0</v>
      </c>
      <c r="J235" s="5">
        <v>0</v>
      </c>
      <c r="K235" s="593"/>
      <c r="L235" s="5">
        <v>0</v>
      </c>
      <c r="M235" s="5">
        <v>0</v>
      </c>
      <c r="N235" s="5"/>
      <c r="O235" s="5">
        <v>0</v>
      </c>
      <c r="P235" s="5">
        <v>0</v>
      </c>
      <c r="Q235" s="784"/>
      <c r="R235" s="5">
        <v>0</v>
      </c>
      <c r="S235" s="5">
        <v>0</v>
      </c>
      <c r="T235" s="628"/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467"/>
      <c r="AA235" s="5">
        <v>0</v>
      </c>
      <c r="AB235" s="5">
        <v>0</v>
      </c>
      <c r="AC235" s="5">
        <v>0</v>
      </c>
      <c r="AD235" s="5">
        <v>1415</v>
      </c>
      <c r="AE235" s="5">
        <v>498.1913821187822</v>
      </c>
      <c r="AF235" s="5">
        <v>0</v>
      </c>
      <c r="AG235" s="5"/>
      <c r="AH235" s="5">
        <v>522.33652861299902</v>
      </c>
      <c r="AI235" s="5">
        <v>0</v>
      </c>
      <c r="AJ235" s="5"/>
      <c r="AK235" s="5">
        <v>110.4452437817866</v>
      </c>
      <c r="AL235" s="5">
        <v>0</v>
      </c>
      <c r="AM235" s="5"/>
      <c r="AN235" s="5">
        <v>475.68213785635169</v>
      </c>
      <c r="AO235" s="5">
        <v>0</v>
      </c>
      <c r="AP235" s="5"/>
      <c r="AQ235" s="5">
        <v>208.49194222289759</v>
      </c>
      <c r="AR235" s="5">
        <v>0</v>
      </c>
      <c r="AS235" s="5"/>
      <c r="AT235" s="5">
        <v>160.40693987805309</v>
      </c>
      <c r="AU235" s="5">
        <v>0</v>
      </c>
      <c r="AV235" s="5"/>
      <c r="AW235" s="5">
        <v>19.820413231539384</v>
      </c>
      <c r="AX235" s="5">
        <v>0</v>
      </c>
      <c r="AY235" s="5"/>
      <c r="AZ235" s="5">
        <v>998</v>
      </c>
      <c r="BA235" s="5">
        <v>0</v>
      </c>
      <c r="BB235" s="5">
        <v>-998</v>
      </c>
      <c r="BD235" s="2">
        <v>1</v>
      </c>
      <c r="BF235" s="787">
        <v>185.67</v>
      </c>
      <c r="BG235" s="325">
        <v>150000963</v>
      </c>
    </row>
    <row r="236" spans="1:59" ht="24.9" customHeight="1" x14ac:dyDescent="0.3">
      <c r="A236" s="325">
        <v>150000927</v>
      </c>
      <c r="B236" s="445" t="s">
        <v>179</v>
      </c>
      <c r="C236" s="27">
        <v>2</v>
      </c>
      <c r="D236" s="101" t="s">
        <v>455</v>
      </c>
      <c r="E236" s="786">
        <v>602.9</v>
      </c>
      <c r="F236" s="5">
        <v>490</v>
      </c>
      <c r="G236" s="5">
        <v>0</v>
      </c>
      <c r="H236" s="5">
        <v>-490</v>
      </c>
      <c r="I236" s="5">
        <v>0</v>
      </c>
      <c r="J236" s="5">
        <v>0</v>
      </c>
      <c r="K236" s="153"/>
      <c r="L236" s="5">
        <v>0</v>
      </c>
      <c r="M236" s="5">
        <v>0</v>
      </c>
      <c r="N236" s="5"/>
      <c r="O236" s="5">
        <v>0</v>
      </c>
      <c r="P236" s="5">
        <v>0</v>
      </c>
      <c r="Q236" s="784"/>
      <c r="R236" s="5">
        <v>0</v>
      </c>
      <c r="S236" s="5">
        <v>0</v>
      </c>
      <c r="T236" s="628"/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/>
      <c r="AA236" s="5">
        <v>0</v>
      </c>
      <c r="AB236" s="5">
        <v>0</v>
      </c>
      <c r="AC236" s="5">
        <v>0</v>
      </c>
      <c r="AD236" s="5">
        <v>0</v>
      </c>
      <c r="AE236" s="5">
        <v>211.50619802683562</v>
      </c>
      <c r="AF236" s="5">
        <v>0</v>
      </c>
      <c r="AG236" s="5"/>
      <c r="AH236" s="5">
        <v>305.93543816509202</v>
      </c>
      <c r="AI236" s="5">
        <v>0</v>
      </c>
      <c r="AJ236" s="5"/>
      <c r="AK236" s="5">
        <v>44.469424884044997</v>
      </c>
      <c r="AL236" s="5">
        <v>0</v>
      </c>
      <c r="AM236" s="5"/>
      <c r="AN236" s="5">
        <v>0</v>
      </c>
      <c r="AO236" s="5">
        <v>0</v>
      </c>
      <c r="AP236" s="5"/>
      <c r="AQ236" s="5">
        <v>0</v>
      </c>
      <c r="AR236" s="5">
        <v>0</v>
      </c>
      <c r="AS236" s="5"/>
      <c r="AT236" s="5">
        <v>14.04250219252391</v>
      </c>
      <c r="AU236" s="5">
        <v>0</v>
      </c>
      <c r="AV236" s="5"/>
      <c r="AW236" s="5">
        <v>14.094999999999999</v>
      </c>
      <c r="AX236" s="5">
        <v>0</v>
      </c>
      <c r="AY236" s="5"/>
      <c r="AZ236" s="5">
        <v>295</v>
      </c>
      <c r="BA236" s="5">
        <v>0</v>
      </c>
      <c r="BB236" s="5">
        <v>-295</v>
      </c>
      <c r="BD236" s="2">
        <v>2</v>
      </c>
      <c r="BF236" s="787">
        <v>0.69</v>
      </c>
      <c r="BG236" s="325">
        <v>150000927</v>
      </c>
    </row>
    <row r="237" spans="1:59" ht="24.9" customHeight="1" x14ac:dyDescent="0.3">
      <c r="A237" s="325">
        <v>150000958</v>
      </c>
      <c r="B237" s="445" t="s">
        <v>381</v>
      </c>
      <c r="C237" s="27">
        <v>9</v>
      </c>
      <c r="D237" s="101" t="s">
        <v>455</v>
      </c>
      <c r="E237" s="786">
        <v>2136</v>
      </c>
      <c r="F237" s="5">
        <v>1343</v>
      </c>
      <c r="G237" s="5">
        <v>0</v>
      </c>
      <c r="H237" s="5">
        <v>-1343</v>
      </c>
      <c r="I237" s="5">
        <v>0</v>
      </c>
      <c r="J237" s="5">
        <v>0</v>
      </c>
      <c r="K237" s="153"/>
      <c r="L237" s="5">
        <v>0</v>
      </c>
      <c r="M237" s="5">
        <v>0</v>
      </c>
      <c r="N237" s="5"/>
      <c r="O237" s="5">
        <v>0</v>
      </c>
      <c r="P237" s="5">
        <v>0</v>
      </c>
      <c r="Q237" s="784"/>
      <c r="R237" s="5">
        <v>0</v>
      </c>
      <c r="S237" s="5">
        <v>0</v>
      </c>
      <c r="T237" s="628"/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/>
      <c r="AA237" s="5">
        <v>0</v>
      </c>
      <c r="AB237" s="5">
        <v>0</v>
      </c>
      <c r="AC237" s="5">
        <v>0</v>
      </c>
      <c r="AD237" s="5">
        <v>0</v>
      </c>
      <c r="AE237" s="5">
        <v>498.1913821187822</v>
      </c>
      <c r="AF237" s="5">
        <v>501</v>
      </c>
      <c r="AG237" s="5"/>
      <c r="AH237" s="5">
        <v>522.33652861299902</v>
      </c>
      <c r="AI237" s="5">
        <v>0</v>
      </c>
      <c r="AJ237" s="5"/>
      <c r="AK237" s="5">
        <v>108.15007715683001</v>
      </c>
      <c r="AL237" s="5">
        <v>0</v>
      </c>
      <c r="AM237" s="5"/>
      <c r="AN237" s="5">
        <v>469.84866044350997</v>
      </c>
      <c r="AO237" s="5">
        <v>445</v>
      </c>
      <c r="AP237" s="5"/>
      <c r="AQ237" s="5">
        <v>208.49194222289759</v>
      </c>
      <c r="AR237" s="5">
        <v>0</v>
      </c>
      <c r="AS237" s="5"/>
      <c r="AT237" s="5">
        <v>160.40693987805309</v>
      </c>
      <c r="AU237" s="5">
        <v>0</v>
      </c>
      <c r="AV237" s="5"/>
      <c r="AW237" s="5">
        <v>36.203550005326164</v>
      </c>
      <c r="AX237" s="5">
        <v>0</v>
      </c>
      <c r="AY237" s="5"/>
      <c r="AZ237" s="5">
        <v>1003</v>
      </c>
      <c r="BA237" s="5">
        <v>946</v>
      </c>
      <c r="BB237" s="5">
        <v>-57</v>
      </c>
      <c r="BD237" s="2">
        <v>1</v>
      </c>
      <c r="BF237" s="787">
        <v>12.01</v>
      </c>
      <c r="BG237" s="325">
        <v>150000958</v>
      </c>
    </row>
    <row r="238" spans="1:59" ht="24.9" customHeight="1" x14ac:dyDescent="0.3">
      <c r="A238" s="325">
        <v>150000961</v>
      </c>
      <c r="B238" s="445" t="s">
        <v>382</v>
      </c>
      <c r="C238" s="27">
        <v>9</v>
      </c>
      <c r="D238" s="101" t="s">
        <v>455</v>
      </c>
      <c r="E238" s="786">
        <v>4349.8999999999996</v>
      </c>
      <c r="F238" s="5">
        <v>2616</v>
      </c>
      <c r="G238" s="5">
        <v>0</v>
      </c>
      <c r="H238" s="5">
        <v>-2616</v>
      </c>
      <c r="I238" s="5">
        <v>0</v>
      </c>
      <c r="J238" s="5">
        <v>0</v>
      </c>
      <c r="K238" s="153"/>
      <c r="L238" s="5">
        <v>0</v>
      </c>
      <c r="M238" s="5">
        <v>0</v>
      </c>
      <c r="N238" s="789"/>
      <c r="O238" s="5">
        <v>0</v>
      </c>
      <c r="P238" s="5">
        <v>0</v>
      </c>
      <c r="Q238" s="784"/>
      <c r="R238" s="5">
        <v>0</v>
      </c>
      <c r="S238" s="5">
        <v>0</v>
      </c>
      <c r="T238" s="789"/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/>
      <c r="AA238" s="5">
        <v>0</v>
      </c>
      <c r="AB238" s="5">
        <v>0</v>
      </c>
      <c r="AC238" s="5">
        <v>0</v>
      </c>
      <c r="AD238" s="5">
        <v>0</v>
      </c>
      <c r="AE238" s="5">
        <v>975.88275210122742</v>
      </c>
      <c r="AF238" s="5">
        <v>626</v>
      </c>
      <c r="AG238" s="5"/>
      <c r="AH238" s="5">
        <v>1045.673057225998</v>
      </c>
      <c r="AI238" s="5">
        <v>0</v>
      </c>
      <c r="AJ238" s="5"/>
      <c r="AK238" s="5">
        <v>250.04729934661168</v>
      </c>
      <c r="AL238" s="5">
        <v>0</v>
      </c>
      <c r="AM238" s="454"/>
      <c r="AN238" s="5">
        <v>924.41236397171201</v>
      </c>
      <c r="AO238" s="5">
        <v>556</v>
      </c>
      <c r="AP238" s="5"/>
      <c r="AQ238" s="5">
        <v>417.96272557758289</v>
      </c>
      <c r="AR238" s="5">
        <v>0</v>
      </c>
      <c r="AS238" s="5"/>
      <c r="AT238" s="5">
        <v>432.31104555917057</v>
      </c>
      <c r="AU238" s="5">
        <v>0</v>
      </c>
      <c r="AV238" s="5"/>
      <c r="AW238" s="5">
        <v>38.387865528103234</v>
      </c>
      <c r="AX238" s="5">
        <v>0</v>
      </c>
      <c r="AY238" s="5"/>
      <c r="AZ238" s="5">
        <v>2043</v>
      </c>
      <c r="BA238" s="5">
        <v>1182</v>
      </c>
      <c r="BB238" s="5">
        <v>-861</v>
      </c>
      <c r="BD238" s="2">
        <v>1</v>
      </c>
      <c r="BF238" s="787">
        <v>24.46</v>
      </c>
      <c r="BG238" s="325">
        <v>150000961</v>
      </c>
    </row>
    <row r="239" spans="1:59" ht="24.9" customHeight="1" x14ac:dyDescent="0.3">
      <c r="A239" s="325">
        <v>150000964</v>
      </c>
      <c r="B239" s="445" t="s">
        <v>383</v>
      </c>
      <c r="C239" s="27">
        <v>9</v>
      </c>
      <c r="D239" s="101" t="s">
        <v>455</v>
      </c>
      <c r="E239" s="786">
        <v>2131.85</v>
      </c>
      <c r="F239" s="5">
        <v>1322</v>
      </c>
      <c r="G239" s="5">
        <v>0</v>
      </c>
      <c r="H239" s="5">
        <v>-1322</v>
      </c>
      <c r="I239" s="5">
        <v>0</v>
      </c>
      <c r="J239" s="5">
        <v>0</v>
      </c>
      <c r="K239" s="153"/>
      <c r="L239" s="5">
        <v>0</v>
      </c>
      <c r="M239" s="5">
        <v>0</v>
      </c>
      <c r="N239" s="5"/>
      <c r="O239" s="5">
        <v>0</v>
      </c>
      <c r="P239" s="5">
        <v>0</v>
      </c>
      <c r="Q239" s="784"/>
      <c r="R239" s="5">
        <v>0</v>
      </c>
      <c r="S239" s="5">
        <v>0</v>
      </c>
      <c r="T239" s="628"/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/>
      <c r="AA239" s="5">
        <v>0</v>
      </c>
      <c r="AB239" s="5">
        <v>0</v>
      </c>
      <c r="AC239" s="5">
        <v>0</v>
      </c>
      <c r="AD239" s="5">
        <v>0</v>
      </c>
      <c r="AE239" s="5">
        <v>498.1913821187822</v>
      </c>
      <c r="AF239" s="5">
        <v>626</v>
      </c>
      <c r="AG239" s="5"/>
      <c r="AH239" s="5">
        <v>522.33652861299902</v>
      </c>
      <c r="AI239" s="5">
        <v>0</v>
      </c>
      <c r="AJ239" s="5"/>
      <c r="AK239" s="5">
        <v>137.85465104074501</v>
      </c>
      <c r="AL239" s="5">
        <v>0</v>
      </c>
      <c r="AM239" s="5"/>
      <c r="AN239" s="5">
        <v>466.33771077904669</v>
      </c>
      <c r="AO239" s="5">
        <v>556</v>
      </c>
      <c r="AP239" s="5"/>
      <c r="AQ239" s="5">
        <v>208.49194222289759</v>
      </c>
      <c r="AR239" s="5">
        <v>0</v>
      </c>
      <c r="AS239" s="5"/>
      <c r="AT239" s="5">
        <v>160.40693987805309</v>
      </c>
      <c r="AU239" s="5">
        <v>0</v>
      </c>
      <c r="AV239" s="5"/>
      <c r="AW239" s="5">
        <v>19.820413231539384</v>
      </c>
      <c r="AX239" s="5">
        <v>0</v>
      </c>
      <c r="AY239" s="5"/>
      <c r="AZ239" s="5">
        <v>1007</v>
      </c>
      <c r="BA239" s="5">
        <v>1182</v>
      </c>
      <c r="BB239" s="5">
        <v>174</v>
      </c>
      <c r="BD239" s="2">
        <v>1</v>
      </c>
      <c r="BF239" s="787">
        <v>11.99</v>
      </c>
      <c r="BG239" s="325">
        <v>150000964</v>
      </c>
    </row>
    <row r="240" spans="1:59" ht="24.9" customHeight="1" x14ac:dyDescent="0.3">
      <c r="A240" s="325">
        <v>150000943</v>
      </c>
      <c r="B240" s="445" t="s">
        <v>123</v>
      </c>
      <c r="C240" s="27">
        <v>1</v>
      </c>
      <c r="D240" s="101" t="s">
        <v>455</v>
      </c>
      <c r="E240" s="786">
        <v>105</v>
      </c>
      <c r="F240" s="5">
        <v>71</v>
      </c>
      <c r="G240" s="5">
        <v>1379</v>
      </c>
      <c r="H240" s="5">
        <v>1308</v>
      </c>
      <c r="I240" s="5">
        <v>0</v>
      </c>
      <c r="J240" s="5">
        <v>0</v>
      </c>
      <c r="K240" s="153"/>
      <c r="L240" s="5">
        <v>0</v>
      </c>
      <c r="M240" s="5">
        <v>0</v>
      </c>
      <c r="N240" s="5"/>
      <c r="O240" s="5">
        <v>0</v>
      </c>
      <c r="P240" s="5">
        <v>0</v>
      </c>
      <c r="Q240" s="784"/>
      <c r="R240" s="5">
        <v>0</v>
      </c>
      <c r="S240" s="5">
        <v>0</v>
      </c>
      <c r="T240" s="628"/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/>
      <c r="AA240" s="5">
        <v>0</v>
      </c>
      <c r="AB240" s="5">
        <v>0</v>
      </c>
      <c r="AC240" s="5">
        <v>0</v>
      </c>
      <c r="AD240" s="5">
        <v>1379</v>
      </c>
      <c r="AE240" s="5">
        <v>0</v>
      </c>
      <c r="AF240" s="5">
        <v>0</v>
      </c>
      <c r="AG240" s="5"/>
      <c r="AH240" s="5">
        <v>0</v>
      </c>
      <c r="AI240" s="5">
        <v>0</v>
      </c>
      <c r="AJ240" s="5"/>
      <c r="AK240" s="5">
        <v>0</v>
      </c>
      <c r="AL240" s="5">
        <v>0</v>
      </c>
      <c r="AM240" s="5"/>
      <c r="AN240" s="5">
        <v>0</v>
      </c>
      <c r="AO240" s="5">
        <v>0</v>
      </c>
      <c r="AP240" s="5"/>
      <c r="AQ240" s="5">
        <v>0</v>
      </c>
      <c r="AR240" s="5">
        <v>0</v>
      </c>
      <c r="AS240" s="5"/>
      <c r="AT240" s="5">
        <v>0</v>
      </c>
      <c r="AU240" s="5">
        <v>0</v>
      </c>
      <c r="AV240" s="5"/>
      <c r="AW240" s="5">
        <v>5.5204015428968987</v>
      </c>
      <c r="AX240" s="5">
        <v>0</v>
      </c>
      <c r="AY240" s="5"/>
      <c r="AZ240" s="5">
        <v>3</v>
      </c>
      <c r="BA240" s="5">
        <v>0</v>
      </c>
      <c r="BB240" s="5">
        <v>-3</v>
      </c>
      <c r="BD240" s="2">
        <v>1</v>
      </c>
      <c r="BF240" s="787">
        <v>0</v>
      </c>
      <c r="BG240" s="325">
        <v>150000943</v>
      </c>
    </row>
    <row r="241" spans="1:59" ht="24.9" customHeight="1" x14ac:dyDescent="0.3">
      <c r="A241" s="325">
        <v>150000944</v>
      </c>
      <c r="B241" s="445" t="s">
        <v>124</v>
      </c>
      <c r="C241" s="27">
        <v>1</v>
      </c>
      <c r="D241" s="101" t="s">
        <v>455</v>
      </c>
      <c r="E241" s="786">
        <v>140.69999999999999</v>
      </c>
      <c r="F241" s="5">
        <v>127</v>
      </c>
      <c r="G241" s="5">
        <v>1379</v>
      </c>
      <c r="H241" s="5">
        <v>1252</v>
      </c>
      <c r="I241" s="5">
        <v>0</v>
      </c>
      <c r="J241" s="5">
        <v>0</v>
      </c>
      <c r="K241" s="153"/>
      <c r="L241" s="5">
        <v>0</v>
      </c>
      <c r="M241" s="5">
        <v>0</v>
      </c>
      <c r="N241" s="5"/>
      <c r="O241" s="5">
        <v>0</v>
      </c>
      <c r="P241" s="5">
        <v>0</v>
      </c>
      <c r="Q241" s="784"/>
      <c r="R241" s="5">
        <v>0</v>
      </c>
      <c r="S241" s="5">
        <v>0</v>
      </c>
      <c r="T241" s="628"/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/>
      <c r="AA241" s="5">
        <v>0</v>
      </c>
      <c r="AB241" s="5">
        <v>0</v>
      </c>
      <c r="AC241" s="5">
        <v>0</v>
      </c>
      <c r="AD241" s="5">
        <v>1379</v>
      </c>
      <c r="AE241" s="5">
        <v>0</v>
      </c>
      <c r="AF241" s="5">
        <v>0</v>
      </c>
      <c r="AG241" s="5"/>
      <c r="AH241" s="5">
        <v>0</v>
      </c>
      <c r="AI241" s="5">
        <v>0</v>
      </c>
      <c r="AJ241" s="5"/>
      <c r="AK241" s="5">
        <v>0</v>
      </c>
      <c r="AL241" s="5">
        <v>0</v>
      </c>
      <c r="AM241" s="5"/>
      <c r="AN241" s="5">
        <v>0</v>
      </c>
      <c r="AO241" s="5">
        <v>0</v>
      </c>
      <c r="AP241" s="5"/>
      <c r="AQ241" s="5">
        <v>0</v>
      </c>
      <c r="AR241" s="5">
        <v>0</v>
      </c>
      <c r="AS241" s="5"/>
      <c r="AT241" s="5">
        <v>0</v>
      </c>
      <c r="AU241" s="5">
        <v>0</v>
      </c>
      <c r="AV241" s="5"/>
      <c r="AW241" s="5">
        <v>6.4708721567489329</v>
      </c>
      <c r="AX241" s="5">
        <v>0</v>
      </c>
      <c r="AY241" s="5"/>
      <c r="AZ241" s="5">
        <v>3</v>
      </c>
      <c r="BA241" s="5">
        <v>0</v>
      </c>
      <c r="BB241" s="5">
        <v>-3</v>
      </c>
      <c r="BD241" s="2">
        <v>1</v>
      </c>
      <c r="BF241" s="787">
        <v>0</v>
      </c>
      <c r="BG241" s="325">
        <v>150000944</v>
      </c>
    </row>
    <row r="242" spans="1:59" ht="24.9" customHeight="1" x14ac:dyDescent="0.3">
      <c r="A242" s="325">
        <v>150000945</v>
      </c>
      <c r="B242" s="445" t="s">
        <v>422</v>
      </c>
      <c r="C242" s="27">
        <v>10</v>
      </c>
      <c r="D242" s="101" t="s">
        <v>455</v>
      </c>
      <c r="E242" s="786">
        <v>6743.51</v>
      </c>
      <c r="F242" s="5">
        <v>3667</v>
      </c>
      <c r="G242" s="5">
        <v>486</v>
      </c>
      <c r="H242" s="5">
        <v>-3667</v>
      </c>
      <c r="I242" s="5">
        <v>0</v>
      </c>
      <c r="J242" s="5">
        <v>0</v>
      </c>
      <c r="K242" s="593"/>
      <c r="L242" s="5">
        <v>0</v>
      </c>
      <c r="M242" s="5">
        <v>0</v>
      </c>
      <c r="N242" s="5"/>
      <c r="O242" s="5">
        <v>0</v>
      </c>
      <c r="P242" s="5">
        <v>0</v>
      </c>
      <c r="Q242" s="784"/>
      <c r="R242" s="5">
        <v>0</v>
      </c>
      <c r="S242" s="5">
        <v>486</v>
      </c>
      <c r="T242" s="628"/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/>
      <c r="AA242" s="5">
        <v>0</v>
      </c>
      <c r="AB242" s="5">
        <v>0</v>
      </c>
      <c r="AC242" s="5">
        <v>0</v>
      </c>
      <c r="AD242" s="5">
        <v>0</v>
      </c>
      <c r="AE242" s="5">
        <v>1551.6025659567686</v>
      </c>
      <c r="AF242" s="5">
        <v>432</v>
      </c>
      <c r="AG242" s="5"/>
      <c r="AH242" s="5">
        <v>1621.6321979092299</v>
      </c>
      <c r="AI242" s="5">
        <v>0</v>
      </c>
      <c r="AJ242" s="5"/>
      <c r="AK242" s="5">
        <v>515.92400376315504</v>
      </c>
      <c r="AL242" s="5">
        <v>0</v>
      </c>
      <c r="AM242" s="5"/>
      <c r="AN242" s="5">
        <v>1481.790364567345</v>
      </c>
      <c r="AO242" s="5">
        <v>0</v>
      </c>
      <c r="AP242" s="5"/>
      <c r="AQ242" s="5">
        <v>669.8275408025828</v>
      </c>
      <c r="AR242" s="5">
        <v>363</v>
      </c>
      <c r="AS242" s="5"/>
      <c r="AT242" s="5">
        <v>864.27810880154129</v>
      </c>
      <c r="AU242" s="5">
        <v>1441</v>
      </c>
      <c r="AV242" s="463"/>
      <c r="AW242" s="5">
        <v>83.93613147154646</v>
      </c>
      <c r="AX242" s="5">
        <v>0</v>
      </c>
      <c r="AY242" s="5"/>
      <c r="AZ242" s="5">
        <v>3394</v>
      </c>
      <c r="BA242" s="5">
        <v>363</v>
      </c>
      <c r="BB242" s="5">
        <v>-3031</v>
      </c>
      <c r="BD242" s="2">
        <v>1</v>
      </c>
      <c r="BF242" s="787">
        <v>37.92</v>
      </c>
      <c r="BG242" s="325">
        <v>150000945</v>
      </c>
    </row>
    <row r="243" spans="1:59" ht="24.9" customHeight="1" x14ac:dyDescent="0.3">
      <c r="A243" s="325">
        <v>150000946</v>
      </c>
      <c r="B243" s="445" t="s">
        <v>125</v>
      </c>
      <c r="C243" s="27">
        <v>1</v>
      </c>
      <c r="D243" s="101" t="s">
        <v>455</v>
      </c>
      <c r="E243" s="786">
        <v>100.2</v>
      </c>
      <c r="F243" s="5">
        <v>68</v>
      </c>
      <c r="G243" s="5">
        <v>3218</v>
      </c>
      <c r="H243" s="5">
        <v>3150</v>
      </c>
      <c r="I243" s="5">
        <v>0</v>
      </c>
      <c r="J243" s="5">
        <v>0</v>
      </c>
      <c r="K243" s="153"/>
      <c r="L243" s="5">
        <v>0</v>
      </c>
      <c r="M243" s="5">
        <v>0</v>
      </c>
      <c r="N243" s="5"/>
      <c r="O243" s="5">
        <v>0</v>
      </c>
      <c r="P243" s="5">
        <v>0</v>
      </c>
      <c r="Q243" s="784"/>
      <c r="R243" s="5">
        <v>0</v>
      </c>
      <c r="S243" s="5">
        <v>0</v>
      </c>
      <c r="T243" s="628"/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/>
      <c r="AA243" s="5">
        <v>0</v>
      </c>
      <c r="AB243" s="5">
        <v>0</v>
      </c>
      <c r="AC243" s="5">
        <v>0</v>
      </c>
      <c r="AD243" s="5">
        <v>3218</v>
      </c>
      <c r="AE243" s="5">
        <v>0</v>
      </c>
      <c r="AF243" s="5">
        <v>0</v>
      </c>
      <c r="AG243" s="5"/>
      <c r="AH243" s="5">
        <v>0</v>
      </c>
      <c r="AI243" s="5">
        <v>0</v>
      </c>
      <c r="AJ243" s="5"/>
      <c r="AK243" s="5">
        <v>0</v>
      </c>
      <c r="AL243" s="5">
        <v>0</v>
      </c>
      <c r="AM243" s="5"/>
      <c r="AN243" s="5">
        <v>0</v>
      </c>
      <c r="AO243" s="5">
        <v>0</v>
      </c>
      <c r="AP243" s="5"/>
      <c r="AQ243" s="5">
        <v>0</v>
      </c>
      <c r="AR243" s="5">
        <v>0</v>
      </c>
      <c r="AS243" s="5"/>
      <c r="AT243" s="5">
        <v>0</v>
      </c>
      <c r="AU243" s="5">
        <v>0</v>
      </c>
      <c r="AV243" s="5"/>
      <c r="AW243" s="5">
        <v>4.4171682631022904</v>
      </c>
      <c r="AX243" s="5">
        <v>0</v>
      </c>
      <c r="AY243" s="5"/>
      <c r="AZ243" s="5">
        <v>2</v>
      </c>
      <c r="BA243" s="5">
        <v>0</v>
      </c>
      <c r="BB243" s="5">
        <v>-2</v>
      </c>
      <c r="BD243" s="2">
        <v>1</v>
      </c>
      <c r="BF243" s="787">
        <v>0</v>
      </c>
      <c r="BG243" s="325">
        <v>150000946</v>
      </c>
    </row>
    <row r="244" spans="1:59" ht="24.9" customHeight="1" x14ac:dyDescent="0.3">
      <c r="A244" s="325">
        <v>150000947</v>
      </c>
      <c r="B244" s="445" t="s">
        <v>269</v>
      </c>
      <c r="C244" s="27">
        <v>5</v>
      </c>
      <c r="D244" s="101" t="s">
        <v>455</v>
      </c>
      <c r="E244" s="786">
        <v>3267.3</v>
      </c>
      <c r="F244" s="5">
        <v>2151</v>
      </c>
      <c r="G244" s="5">
        <v>10146</v>
      </c>
      <c r="H244" s="5">
        <v>5187</v>
      </c>
      <c r="I244" s="5">
        <v>10</v>
      </c>
      <c r="J244" s="5">
        <v>10146</v>
      </c>
      <c r="K244" s="153"/>
      <c r="L244" s="5">
        <v>0</v>
      </c>
      <c r="M244" s="5">
        <v>0</v>
      </c>
      <c r="N244" s="5"/>
      <c r="O244" s="5">
        <v>0</v>
      </c>
      <c r="P244" s="5">
        <v>0</v>
      </c>
      <c r="Q244" s="784"/>
      <c r="R244" s="5">
        <v>0</v>
      </c>
      <c r="S244" s="5">
        <v>0</v>
      </c>
      <c r="T244" s="628"/>
      <c r="U244" s="5">
        <v>0</v>
      </c>
      <c r="V244" s="5">
        <v>7338</v>
      </c>
      <c r="W244" s="5">
        <v>0</v>
      </c>
      <c r="X244" s="5">
        <v>0</v>
      </c>
      <c r="Y244" s="5">
        <v>0</v>
      </c>
      <c r="Z244" s="5"/>
      <c r="AA244" s="5">
        <v>0</v>
      </c>
      <c r="AB244" s="5">
        <v>0</v>
      </c>
      <c r="AC244" s="5">
        <v>0</v>
      </c>
      <c r="AD244" s="5">
        <v>0</v>
      </c>
      <c r="AE244" s="5">
        <v>765.90337827076269</v>
      </c>
      <c r="AF244" s="5">
        <v>246</v>
      </c>
      <c r="AG244" s="5"/>
      <c r="AH244" s="5">
        <v>1006.2347813747635</v>
      </c>
      <c r="AI244" s="5">
        <v>0</v>
      </c>
      <c r="AJ244" s="5"/>
      <c r="AK244" s="5">
        <v>232.0336942641633</v>
      </c>
      <c r="AL244" s="5">
        <v>0</v>
      </c>
      <c r="AM244" s="5"/>
      <c r="AN244" s="5">
        <v>718.29283708233697</v>
      </c>
      <c r="AO244" s="5">
        <v>0</v>
      </c>
      <c r="AP244" s="5"/>
      <c r="AQ244" s="5">
        <v>379.96224504488214</v>
      </c>
      <c r="AR244" s="5">
        <v>0</v>
      </c>
      <c r="AS244" s="5"/>
      <c r="AT244" s="5">
        <v>631.94612876236465</v>
      </c>
      <c r="AU244" s="5">
        <v>0</v>
      </c>
      <c r="AV244" s="5"/>
      <c r="AW244" s="5">
        <v>75.848492470941238</v>
      </c>
      <c r="AX244" s="5">
        <v>0</v>
      </c>
      <c r="AY244" s="5"/>
      <c r="AZ244" s="5">
        <v>1905</v>
      </c>
      <c r="BA244" s="5">
        <v>0</v>
      </c>
      <c r="BB244" s="5">
        <v>-1905</v>
      </c>
      <c r="BD244" s="2">
        <v>1</v>
      </c>
      <c r="BF244" s="787">
        <v>18.37</v>
      </c>
      <c r="BG244" s="325">
        <v>150000947</v>
      </c>
    </row>
    <row r="245" spans="1:59" ht="24.9" customHeight="1" x14ac:dyDescent="0.3">
      <c r="A245" s="325">
        <v>150000948</v>
      </c>
      <c r="B245" s="445" t="s">
        <v>384</v>
      </c>
      <c r="C245" s="27">
        <v>9</v>
      </c>
      <c r="D245" s="101" t="s">
        <v>455</v>
      </c>
      <c r="E245" s="786">
        <v>6607.75</v>
      </c>
      <c r="F245" s="5">
        <v>3962</v>
      </c>
      <c r="G245" s="5">
        <v>2984</v>
      </c>
      <c r="H245" s="5">
        <v>-3481</v>
      </c>
      <c r="I245" s="5">
        <v>0</v>
      </c>
      <c r="J245" s="5">
        <v>0</v>
      </c>
      <c r="K245" s="153"/>
      <c r="L245" s="5">
        <v>0</v>
      </c>
      <c r="M245" s="5">
        <v>592</v>
      </c>
      <c r="N245" s="5"/>
      <c r="O245" s="5">
        <v>0</v>
      </c>
      <c r="P245" s="5">
        <v>0</v>
      </c>
      <c r="Q245" s="784"/>
      <c r="R245" s="5">
        <v>0</v>
      </c>
      <c r="S245" s="5">
        <v>482</v>
      </c>
      <c r="T245" s="630"/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630"/>
      <c r="AA245" s="5">
        <v>0</v>
      </c>
      <c r="AB245" s="5">
        <v>0</v>
      </c>
      <c r="AC245" s="5">
        <v>1910</v>
      </c>
      <c r="AD245" s="5">
        <v>0</v>
      </c>
      <c r="AE245" s="5">
        <v>1113.7110457702363</v>
      </c>
      <c r="AF245" s="5">
        <v>0</v>
      </c>
      <c r="AG245" s="8"/>
      <c r="AH245" s="5">
        <v>1412.3558394160823</v>
      </c>
      <c r="AI245" s="5">
        <v>0</v>
      </c>
      <c r="AJ245" s="5"/>
      <c r="AK245" s="5">
        <v>461.89876285036001</v>
      </c>
      <c r="AL245" s="5">
        <v>0</v>
      </c>
      <c r="AM245" s="454"/>
      <c r="AN245" s="5">
        <v>1345.7036598208119</v>
      </c>
      <c r="AO245" s="5">
        <v>2112</v>
      </c>
      <c r="AP245" s="5"/>
      <c r="AQ245" s="5">
        <v>465.70799104908679</v>
      </c>
      <c r="AR245" s="5">
        <v>0</v>
      </c>
      <c r="AS245" s="5"/>
      <c r="AT245" s="5">
        <v>1158.384105533823</v>
      </c>
      <c r="AU245" s="5">
        <v>0</v>
      </c>
      <c r="AV245" s="463"/>
      <c r="AW245" s="5">
        <v>99.570527877571976</v>
      </c>
      <c r="AX245" s="5">
        <v>0</v>
      </c>
      <c r="AY245" s="5"/>
      <c r="AZ245" s="5">
        <v>3028</v>
      </c>
      <c r="BA245" s="5">
        <v>2112</v>
      </c>
      <c r="BB245" s="5">
        <v>-916</v>
      </c>
      <c r="BD245" s="2">
        <v>1</v>
      </c>
      <c r="BF245" s="787">
        <v>37.15</v>
      </c>
      <c r="BG245" s="325">
        <v>150000948</v>
      </c>
    </row>
    <row r="246" spans="1:59" ht="24.9" customHeight="1" x14ac:dyDescent="0.3">
      <c r="A246" s="325">
        <v>150000949</v>
      </c>
      <c r="B246" s="445" t="s">
        <v>385</v>
      </c>
      <c r="C246" s="27">
        <v>9</v>
      </c>
      <c r="D246" s="101" t="s">
        <v>455</v>
      </c>
      <c r="E246" s="786">
        <v>9390.7800000000007</v>
      </c>
      <c r="F246" s="5">
        <v>5824</v>
      </c>
      <c r="G246" s="5">
        <v>7840</v>
      </c>
      <c r="H246" s="5">
        <v>-232</v>
      </c>
      <c r="I246" s="5">
        <v>0</v>
      </c>
      <c r="J246" s="5">
        <v>0</v>
      </c>
      <c r="K246" s="153"/>
      <c r="L246" s="5">
        <v>0</v>
      </c>
      <c r="M246" s="5">
        <v>0</v>
      </c>
      <c r="N246" s="5"/>
      <c r="O246" s="5">
        <v>0</v>
      </c>
      <c r="P246" s="5">
        <v>0</v>
      </c>
      <c r="Q246" s="784"/>
      <c r="R246" s="5">
        <v>0</v>
      </c>
      <c r="S246" s="5">
        <v>0</v>
      </c>
      <c r="T246" s="630"/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/>
      <c r="AA246" s="5">
        <v>0</v>
      </c>
      <c r="AB246" s="5">
        <v>0</v>
      </c>
      <c r="AC246" s="5">
        <v>1685</v>
      </c>
      <c r="AD246" s="5">
        <v>6155</v>
      </c>
      <c r="AE246" s="5">
        <v>1568.0845078416801</v>
      </c>
      <c r="AF246" s="5">
        <v>1818</v>
      </c>
      <c r="AG246" s="5"/>
      <c r="AH246" s="5">
        <v>1991.616672303081</v>
      </c>
      <c r="AI246" s="5">
        <v>2185</v>
      </c>
      <c r="AJ246" s="5"/>
      <c r="AK246" s="5">
        <v>656.23870531203306</v>
      </c>
      <c r="AL246" s="5">
        <v>0</v>
      </c>
      <c r="AM246" s="454"/>
      <c r="AN246" s="5">
        <v>1955.6947446603879</v>
      </c>
      <c r="AO246" s="5">
        <v>2805</v>
      </c>
      <c r="AP246" s="5"/>
      <c r="AQ246" s="5">
        <v>1543.7534724904499</v>
      </c>
      <c r="AR246" s="5">
        <v>0</v>
      </c>
      <c r="AS246" s="5"/>
      <c r="AT246" s="5">
        <v>2159.8607566828919</v>
      </c>
      <c r="AU246" s="5">
        <v>254</v>
      </c>
      <c r="AV246" s="5"/>
      <c r="AW246" s="5">
        <v>110.15013939817618</v>
      </c>
      <c r="AX246" s="5">
        <v>0</v>
      </c>
      <c r="AY246" s="5"/>
      <c r="AZ246" s="5">
        <v>4992</v>
      </c>
      <c r="BA246" s="5">
        <v>3476</v>
      </c>
      <c r="BB246" s="5">
        <v>-1517</v>
      </c>
      <c r="BD246" s="2">
        <v>1</v>
      </c>
      <c r="BF246" s="787">
        <v>52.81</v>
      </c>
      <c r="BG246" s="325">
        <v>150000949</v>
      </c>
    </row>
    <row r="247" spans="1:59" ht="24.9" customHeight="1" x14ac:dyDescent="0.3">
      <c r="A247" s="325">
        <v>150001044</v>
      </c>
      <c r="B247" s="445" t="s">
        <v>270</v>
      </c>
      <c r="C247" s="27">
        <v>5</v>
      </c>
      <c r="D247" s="101" t="s">
        <v>455</v>
      </c>
      <c r="E247" s="786">
        <v>3506</v>
      </c>
      <c r="F247" s="5">
        <v>1418</v>
      </c>
      <c r="G247" s="5">
        <v>0</v>
      </c>
      <c r="H247" s="5">
        <v>-1418</v>
      </c>
      <c r="I247" s="5">
        <v>0</v>
      </c>
      <c r="J247" s="5">
        <v>0</v>
      </c>
      <c r="K247" s="153"/>
      <c r="L247" s="5">
        <v>0</v>
      </c>
      <c r="M247" s="5">
        <v>0</v>
      </c>
      <c r="N247" s="5"/>
      <c r="O247" s="5">
        <v>0</v>
      </c>
      <c r="P247" s="5">
        <v>0</v>
      </c>
      <c r="Q247" s="784"/>
      <c r="R247" s="5">
        <v>0</v>
      </c>
      <c r="S247" s="5">
        <v>0</v>
      </c>
      <c r="T247" s="628"/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/>
      <c r="AA247" s="5">
        <v>0</v>
      </c>
      <c r="AB247" s="5">
        <v>0</v>
      </c>
      <c r="AC247" s="5">
        <v>0</v>
      </c>
      <c r="AD247" s="5">
        <v>0</v>
      </c>
      <c r="AE247" s="5">
        <v>754.42065630110551</v>
      </c>
      <c r="AF247" s="5">
        <v>0</v>
      </c>
      <c r="AG247" s="5"/>
      <c r="AH247" s="5">
        <v>986.10595143259775</v>
      </c>
      <c r="AI247" s="5">
        <v>0</v>
      </c>
      <c r="AJ247" s="5"/>
      <c r="AK247" s="5">
        <v>223.53246182750499</v>
      </c>
      <c r="AL247" s="5">
        <v>0</v>
      </c>
      <c r="AM247" s="5"/>
      <c r="AN247" s="5">
        <v>0</v>
      </c>
      <c r="AO247" s="5">
        <v>0</v>
      </c>
      <c r="AP247" s="5"/>
      <c r="AQ247" s="5">
        <v>0</v>
      </c>
      <c r="AR247" s="5">
        <v>0</v>
      </c>
      <c r="AS247" s="5"/>
      <c r="AT247" s="5">
        <v>577.72514999089208</v>
      </c>
      <c r="AU247" s="5">
        <v>0</v>
      </c>
      <c r="AV247" s="5"/>
      <c r="AW247" s="5">
        <v>70.062999999999988</v>
      </c>
      <c r="AX247" s="5">
        <v>0</v>
      </c>
      <c r="AY247" s="5"/>
      <c r="AZ247" s="5">
        <v>1306</v>
      </c>
      <c r="BA247" s="5">
        <v>0</v>
      </c>
      <c r="BB247" s="5">
        <v>-1306</v>
      </c>
      <c r="BD247" s="2">
        <v>2</v>
      </c>
      <c r="BF247" s="787">
        <v>3.42</v>
      </c>
      <c r="BG247" s="325">
        <v>150001044</v>
      </c>
    </row>
    <row r="248" spans="1:59" ht="24.9" customHeight="1" x14ac:dyDescent="0.3">
      <c r="A248" s="325">
        <v>150001050</v>
      </c>
      <c r="B248" s="445" t="s">
        <v>271</v>
      </c>
      <c r="C248" s="27">
        <v>5</v>
      </c>
      <c r="D248" s="101" t="s">
        <v>455</v>
      </c>
      <c r="E248" s="786">
        <v>3563.6</v>
      </c>
      <c r="F248" s="5">
        <v>3414</v>
      </c>
      <c r="G248" s="5">
        <v>901</v>
      </c>
      <c r="H248" s="5">
        <v>-3414</v>
      </c>
      <c r="I248" s="5">
        <v>0</v>
      </c>
      <c r="J248" s="5">
        <v>0</v>
      </c>
      <c r="K248" s="153"/>
      <c r="L248" s="5">
        <v>0</v>
      </c>
      <c r="M248" s="5">
        <v>0</v>
      </c>
      <c r="N248" s="5"/>
      <c r="O248" s="5">
        <v>0</v>
      </c>
      <c r="P248" s="5">
        <v>0</v>
      </c>
      <c r="Q248" s="784"/>
      <c r="R248" s="5">
        <v>0</v>
      </c>
      <c r="S248" s="5">
        <v>0</v>
      </c>
      <c r="T248" s="628"/>
      <c r="U248" s="5">
        <v>0</v>
      </c>
      <c r="V248" s="5">
        <v>0</v>
      </c>
      <c r="W248" s="5">
        <v>0</v>
      </c>
      <c r="X248" s="5">
        <v>0</v>
      </c>
      <c r="Y248" s="5">
        <v>204</v>
      </c>
      <c r="Z248" s="5"/>
      <c r="AA248" s="5">
        <v>0</v>
      </c>
      <c r="AB248" s="5">
        <v>0</v>
      </c>
      <c r="AC248" s="5">
        <v>0</v>
      </c>
      <c r="AD248" s="5">
        <v>697</v>
      </c>
      <c r="AE248" s="5">
        <v>761.91384736104101</v>
      </c>
      <c r="AF248" s="5">
        <v>0</v>
      </c>
      <c r="AG248" s="5"/>
      <c r="AH248" s="5">
        <v>890.03638000060664</v>
      </c>
      <c r="AI248" s="5">
        <v>5982</v>
      </c>
      <c r="AJ248" s="5"/>
      <c r="AK248" s="5">
        <v>257.86361128164162</v>
      </c>
      <c r="AL248" s="5">
        <v>0</v>
      </c>
      <c r="AM248" s="5"/>
      <c r="AN248" s="5">
        <v>0</v>
      </c>
      <c r="AO248" s="5">
        <v>0</v>
      </c>
      <c r="AP248" s="5"/>
      <c r="AQ248" s="5">
        <v>0</v>
      </c>
      <c r="AR248" s="5">
        <v>0</v>
      </c>
      <c r="AS248" s="5"/>
      <c r="AT248" s="5">
        <v>591.66741348011692</v>
      </c>
      <c r="AU248" s="5">
        <v>1680</v>
      </c>
      <c r="AV248" s="5"/>
      <c r="AW248" s="5">
        <v>71.634999999999991</v>
      </c>
      <c r="AX248" s="5">
        <v>0</v>
      </c>
      <c r="AY248" s="5"/>
      <c r="AZ248" s="5">
        <v>1286</v>
      </c>
      <c r="BA248" s="5">
        <v>0</v>
      </c>
      <c r="BB248" s="5">
        <v>-1286</v>
      </c>
      <c r="BD248" s="2">
        <v>2</v>
      </c>
      <c r="BF248" s="787">
        <v>75.69</v>
      </c>
      <c r="BG248" s="325">
        <v>150001050</v>
      </c>
    </row>
    <row r="249" spans="1:59" ht="24.9" customHeight="1" x14ac:dyDescent="0.3">
      <c r="A249" s="325">
        <v>150001045</v>
      </c>
      <c r="B249" s="445" t="s">
        <v>272</v>
      </c>
      <c r="C249" s="27">
        <v>5</v>
      </c>
      <c r="D249" s="101" t="s">
        <v>455</v>
      </c>
      <c r="E249" s="786">
        <v>3571.4</v>
      </c>
      <c r="F249" s="5">
        <v>3500</v>
      </c>
      <c r="G249" s="5">
        <v>0</v>
      </c>
      <c r="H249" s="5">
        <v>-3500</v>
      </c>
      <c r="I249" s="5">
        <v>0</v>
      </c>
      <c r="J249" s="5">
        <v>0</v>
      </c>
      <c r="K249" s="791"/>
      <c r="L249" s="5">
        <v>0</v>
      </c>
      <c r="M249" s="5">
        <v>0</v>
      </c>
      <c r="N249" s="5"/>
      <c r="O249" s="5">
        <v>0</v>
      </c>
      <c r="P249" s="5">
        <v>0</v>
      </c>
      <c r="Q249" s="788"/>
      <c r="R249" s="5">
        <v>0</v>
      </c>
      <c r="S249" s="5">
        <v>0</v>
      </c>
      <c r="T249" s="628"/>
      <c r="U249" s="5">
        <v>0</v>
      </c>
      <c r="V249" s="8">
        <v>0</v>
      </c>
      <c r="W249" s="5">
        <v>0</v>
      </c>
      <c r="X249" s="5">
        <v>0</v>
      </c>
      <c r="Y249" s="5">
        <v>0</v>
      </c>
      <c r="Z249" s="5"/>
      <c r="AA249" s="5">
        <v>0</v>
      </c>
      <c r="AB249" s="5">
        <v>0</v>
      </c>
      <c r="AC249" s="5">
        <v>0</v>
      </c>
      <c r="AD249" s="5">
        <v>0</v>
      </c>
      <c r="AE249" s="5">
        <v>726.19713679096276</v>
      </c>
      <c r="AF249" s="5">
        <v>1590</v>
      </c>
      <c r="AG249" s="454"/>
      <c r="AH249" s="5">
        <v>890.03638000060664</v>
      </c>
      <c r="AI249" s="5">
        <v>1814</v>
      </c>
      <c r="AJ249" s="5"/>
      <c r="AK249" s="5">
        <v>281.72660246337841</v>
      </c>
      <c r="AL249" s="5">
        <v>0</v>
      </c>
      <c r="AM249" s="5"/>
      <c r="AN249" s="5">
        <v>0</v>
      </c>
      <c r="AO249" s="5">
        <v>0</v>
      </c>
      <c r="AP249" s="5"/>
      <c r="AQ249" s="5">
        <v>0</v>
      </c>
      <c r="AR249" s="5">
        <v>0</v>
      </c>
      <c r="AS249" s="5"/>
      <c r="AT249" s="5">
        <v>591.66741348011692</v>
      </c>
      <c r="AU249" s="5">
        <v>0</v>
      </c>
      <c r="AV249" s="5"/>
      <c r="AW249" s="5">
        <v>71.715000000000003</v>
      </c>
      <c r="AX249" s="5">
        <v>0</v>
      </c>
      <c r="AY249" s="5"/>
      <c r="AZ249" s="5">
        <v>1280</v>
      </c>
      <c r="BA249" s="5">
        <v>634</v>
      </c>
      <c r="BB249" s="5">
        <v>-646</v>
      </c>
      <c r="BD249" s="2">
        <v>2</v>
      </c>
      <c r="BF249" s="787">
        <v>3.48</v>
      </c>
      <c r="BG249" s="325">
        <v>150001045</v>
      </c>
    </row>
    <row r="250" spans="1:59" ht="24.9" customHeight="1" x14ac:dyDescent="0.3">
      <c r="A250" s="325">
        <v>150001046</v>
      </c>
      <c r="B250" s="445" t="s">
        <v>273</v>
      </c>
      <c r="C250" s="27">
        <v>5</v>
      </c>
      <c r="D250" s="101" t="s">
        <v>455</v>
      </c>
      <c r="E250" s="786">
        <v>2471.5</v>
      </c>
      <c r="F250" s="5">
        <v>1123</v>
      </c>
      <c r="G250" s="5">
        <v>0</v>
      </c>
      <c r="H250" s="5">
        <v>-1123</v>
      </c>
      <c r="I250" s="5">
        <v>0</v>
      </c>
      <c r="J250" s="5">
        <v>0</v>
      </c>
      <c r="K250" s="791"/>
      <c r="L250" s="5">
        <v>0</v>
      </c>
      <c r="M250" s="5">
        <v>0</v>
      </c>
      <c r="N250" s="5"/>
      <c r="O250" s="5">
        <v>0</v>
      </c>
      <c r="P250" s="5">
        <v>0</v>
      </c>
      <c r="Q250" s="784"/>
      <c r="R250" s="5">
        <v>0</v>
      </c>
      <c r="S250" s="5">
        <v>0</v>
      </c>
      <c r="T250" s="628"/>
      <c r="U250" s="5">
        <v>0</v>
      </c>
      <c r="V250" s="8">
        <v>0</v>
      </c>
      <c r="W250" s="5">
        <v>0</v>
      </c>
      <c r="X250" s="5">
        <v>0</v>
      </c>
      <c r="Y250" s="5">
        <v>0</v>
      </c>
      <c r="Z250" s="5"/>
      <c r="AA250" s="5">
        <v>0</v>
      </c>
      <c r="AB250" s="5">
        <v>0</v>
      </c>
      <c r="AC250" s="5">
        <v>0</v>
      </c>
      <c r="AD250" s="5">
        <v>0</v>
      </c>
      <c r="AE250" s="5">
        <v>531.89178118008044</v>
      </c>
      <c r="AF250" s="5">
        <v>0</v>
      </c>
      <c r="AG250" s="8"/>
      <c r="AH250" s="5">
        <v>775.96810277760187</v>
      </c>
      <c r="AI250" s="5">
        <v>104</v>
      </c>
      <c r="AJ250" s="5"/>
      <c r="AK250" s="5">
        <v>156.27850831913838</v>
      </c>
      <c r="AL250" s="5">
        <v>1402</v>
      </c>
      <c r="AM250" s="5"/>
      <c r="AN250" s="5">
        <v>0</v>
      </c>
      <c r="AO250" s="5">
        <v>0</v>
      </c>
      <c r="AP250" s="5"/>
      <c r="AQ250" s="5">
        <v>0</v>
      </c>
      <c r="AR250" s="5">
        <v>0</v>
      </c>
      <c r="AS250" s="5"/>
      <c r="AT250" s="5">
        <v>421.66173993850123</v>
      </c>
      <c r="AU250" s="5">
        <v>0</v>
      </c>
      <c r="AV250" s="5"/>
      <c r="AW250" s="5">
        <v>52.420999999999999</v>
      </c>
      <c r="AX250" s="5">
        <v>0</v>
      </c>
      <c r="AY250" s="5"/>
      <c r="AZ250" s="5">
        <v>969</v>
      </c>
      <c r="BA250" s="5">
        <v>1506</v>
      </c>
      <c r="BB250" s="5">
        <v>537</v>
      </c>
      <c r="BD250" s="2">
        <v>2</v>
      </c>
      <c r="BF250" s="787">
        <v>2.57</v>
      </c>
      <c r="BG250" s="325">
        <v>150001046</v>
      </c>
    </row>
    <row r="251" spans="1:59" ht="23.1" customHeight="1" x14ac:dyDescent="0.3">
      <c r="A251" s="325">
        <v>150001040</v>
      </c>
      <c r="B251" s="445" t="s">
        <v>217</v>
      </c>
      <c r="C251" s="27">
        <v>4</v>
      </c>
      <c r="D251" s="101" t="s">
        <v>455</v>
      </c>
      <c r="E251" s="786">
        <v>2482.6</v>
      </c>
      <c r="F251" s="5">
        <v>1379</v>
      </c>
      <c r="G251" s="5">
        <v>4531</v>
      </c>
      <c r="H251" s="5">
        <v>3152</v>
      </c>
      <c r="I251" s="5">
        <v>0</v>
      </c>
      <c r="J251" s="5">
        <v>0</v>
      </c>
      <c r="K251" s="153"/>
      <c r="L251" s="5">
        <v>0</v>
      </c>
      <c r="M251" s="5">
        <v>0</v>
      </c>
      <c r="N251" s="5"/>
      <c r="O251" s="5">
        <v>0</v>
      </c>
      <c r="P251" s="5">
        <v>0</v>
      </c>
      <c r="Q251" s="784"/>
      <c r="R251" s="5">
        <v>0</v>
      </c>
      <c r="S251" s="5">
        <v>0</v>
      </c>
      <c r="T251" s="628"/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/>
      <c r="AA251" s="5">
        <v>0</v>
      </c>
      <c r="AB251" s="5">
        <v>0</v>
      </c>
      <c r="AC251" s="5">
        <v>0</v>
      </c>
      <c r="AD251" s="5">
        <v>4531</v>
      </c>
      <c r="AE251" s="5">
        <v>637.91781846199046</v>
      </c>
      <c r="AF251" s="5">
        <v>0</v>
      </c>
      <c r="AG251" s="8"/>
      <c r="AH251" s="5">
        <v>979.60074688640361</v>
      </c>
      <c r="AI251" s="5">
        <v>0</v>
      </c>
      <c r="AJ251" s="5"/>
      <c r="AK251" s="5">
        <v>126.36232738179</v>
      </c>
      <c r="AL251" s="5">
        <v>5306</v>
      </c>
      <c r="AM251" s="5"/>
      <c r="AN251" s="5">
        <v>0</v>
      </c>
      <c r="AO251" s="5">
        <v>0</v>
      </c>
      <c r="AP251" s="5"/>
      <c r="AQ251" s="5">
        <v>0</v>
      </c>
      <c r="AR251" s="5">
        <v>0</v>
      </c>
      <c r="AS251" s="5"/>
      <c r="AT251" s="5">
        <v>806.24236825454636</v>
      </c>
      <c r="AU251" s="5">
        <v>0</v>
      </c>
      <c r="AV251" s="5"/>
      <c r="AW251" s="5">
        <v>48.0642</v>
      </c>
      <c r="AX251" s="5">
        <v>0</v>
      </c>
      <c r="AY251" s="5"/>
      <c r="AZ251" s="5">
        <v>1299</v>
      </c>
      <c r="BA251" s="5">
        <v>5306</v>
      </c>
      <c r="BB251" s="5">
        <v>4006</v>
      </c>
      <c r="BD251" s="2">
        <v>2</v>
      </c>
      <c r="BF251" s="787">
        <v>6.94</v>
      </c>
      <c r="BG251" s="325">
        <v>150001040</v>
      </c>
    </row>
    <row r="252" spans="1:59" ht="24.9" customHeight="1" x14ac:dyDescent="0.3">
      <c r="A252" s="325">
        <v>150001047</v>
      </c>
      <c r="B252" s="445" t="s">
        <v>180</v>
      </c>
      <c r="C252" s="27">
        <v>2</v>
      </c>
      <c r="D252" s="101" t="s">
        <v>455</v>
      </c>
      <c r="E252" s="786">
        <v>762.81</v>
      </c>
      <c r="F252" s="5">
        <v>268</v>
      </c>
      <c r="G252" s="5">
        <v>0</v>
      </c>
      <c r="H252" s="5">
        <v>-268</v>
      </c>
      <c r="I252" s="5">
        <v>0</v>
      </c>
      <c r="J252" s="5">
        <v>0</v>
      </c>
      <c r="K252" s="153"/>
      <c r="L252" s="5">
        <v>0</v>
      </c>
      <c r="M252" s="5">
        <v>0</v>
      </c>
      <c r="N252" s="5"/>
      <c r="O252" s="5">
        <v>0</v>
      </c>
      <c r="P252" s="5">
        <v>0</v>
      </c>
      <c r="Q252" s="784"/>
      <c r="R252" s="5">
        <v>0</v>
      </c>
      <c r="S252" s="5">
        <v>0</v>
      </c>
      <c r="T252" s="628"/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/>
      <c r="AA252" s="5">
        <v>0</v>
      </c>
      <c r="AB252" s="5">
        <v>0</v>
      </c>
      <c r="AC252" s="5">
        <v>0</v>
      </c>
      <c r="AD252" s="5">
        <v>0</v>
      </c>
      <c r="AE252" s="5">
        <v>189.93388672952381</v>
      </c>
      <c r="AF252" s="5">
        <v>0</v>
      </c>
      <c r="AG252" s="5"/>
      <c r="AH252" s="5">
        <v>182.2318625629531</v>
      </c>
      <c r="AI252" s="5">
        <v>0</v>
      </c>
      <c r="AJ252" s="5"/>
      <c r="AK252" s="5">
        <v>50.022317791784999</v>
      </c>
      <c r="AL252" s="5">
        <v>0</v>
      </c>
      <c r="AM252" s="5"/>
      <c r="AN252" s="5">
        <v>0</v>
      </c>
      <c r="AO252" s="5">
        <v>0</v>
      </c>
      <c r="AP252" s="5"/>
      <c r="AQ252" s="5">
        <v>0</v>
      </c>
      <c r="AR252" s="5">
        <v>0</v>
      </c>
      <c r="AS252" s="5"/>
      <c r="AT252" s="5">
        <v>30.450673437845388</v>
      </c>
      <c r="AU252" s="5">
        <v>0</v>
      </c>
      <c r="AV252" s="8"/>
      <c r="AW252" s="5">
        <v>15.6281</v>
      </c>
      <c r="AX252" s="5">
        <v>0</v>
      </c>
      <c r="AY252" s="5"/>
      <c r="AZ252" s="5">
        <v>234</v>
      </c>
      <c r="BA252" s="5">
        <v>0</v>
      </c>
      <c r="BB252" s="5">
        <v>-234</v>
      </c>
      <c r="BD252" s="2">
        <v>2</v>
      </c>
      <c r="BF252" s="787">
        <v>5.34</v>
      </c>
      <c r="BG252" s="325">
        <v>150001047</v>
      </c>
    </row>
    <row r="253" spans="1:59" ht="24.9" customHeight="1" x14ac:dyDescent="0.3">
      <c r="A253" s="325">
        <v>150001048</v>
      </c>
      <c r="B253" s="445" t="s">
        <v>126</v>
      </c>
      <c r="C253" s="27">
        <v>1</v>
      </c>
      <c r="D253" s="101" t="s">
        <v>455</v>
      </c>
      <c r="E253" s="786">
        <v>63</v>
      </c>
      <c r="F253" s="5">
        <v>49</v>
      </c>
      <c r="G253" s="5">
        <v>0</v>
      </c>
      <c r="H253" s="5">
        <v>-49</v>
      </c>
      <c r="I253" s="5">
        <v>0</v>
      </c>
      <c r="J253" s="5">
        <v>0</v>
      </c>
      <c r="K253" s="153"/>
      <c r="L253" s="5">
        <v>0</v>
      </c>
      <c r="M253" s="5">
        <v>0</v>
      </c>
      <c r="N253" s="5"/>
      <c r="O253" s="5">
        <v>0</v>
      </c>
      <c r="P253" s="5">
        <v>0</v>
      </c>
      <c r="Q253" s="784"/>
      <c r="R253" s="5">
        <v>0</v>
      </c>
      <c r="S253" s="5">
        <v>0</v>
      </c>
      <c r="T253" s="628"/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/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/>
      <c r="AH253" s="5">
        <v>0</v>
      </c>
      <c r="AI253" s="5">
        <v>0</v>
      </c>
      <c r="AJ253" s="5"/>
      <c r="AK253" s="5">
        <v>0</v>
      </c>
      <c r="AL253" s="5">
        <v>0</v>
      </c>
      <c r="AM253" s="5"/>
      <c r="AN253" s="5">
        <v>0</v>
      </c>
      <c r="AO253" s="5">
        <v>0</v>
      </c>
      <c r="AP253" s="5"/>
      <c r="AQ253" s="5">
        <v>0</v>
      </c>
      <c r="AR253" s="5">
        <v>0</v>
      </c>
      <c r="AS253" s="5"/>
      <c r="AT253" s="5">
        <v>0</v>
      </c>
      <c r="AU253" s="5">
        <v>0</v>
      </c>
      <c r="AV253" s="5"/>
      <c r="AW253" s="5">
        <v>1.63</v>
      </c>
      <c r="AX253" s="5">
        <v>0</v>
      </c>
      <c r="AY253" s="5"/>
      <c r="AZ253" s="5">
        <v>1</v>
      </c>
      <c r="BA253" s="5">
        <v>0</v>
      </c>
      <c r="BB253" s="5">
        <v>-1</v>
      </c>
      <c r="BD253" s="2">
        <v>2</v>
      </c>
      <c r="BF253" s="787">
        <v>0</v>
      </c>
      <c r="BG253" s="325">
        <v>150001048</v>
      </c>
    </row>
    <row r="254" spans="1:59" ht="24.9" customHeight="1" x14ac:dyDescent="0.3">
      <c r="A254" s="325">
        <v>150001049</v>
      </c>
      <c r="B254" s="445" t="s">
        <v>181</v>
      </c>
      <c r="C254" s="27">
        <v>2</v>
      </c>
      <c r="D254" s="101" t="s">
        <v>455</v>
      </c>
      <c r="E254" s="786">
        <v>253.7</v>
      </c>
      <c r="F254" s="5">
        <v>205</v>
      </c>
      <c r="G254" s="5">
        <v>0</v>
      </c>
      <c r="H254" s="5">
        <v>-205</v>
      </c>
      <c r="I254" s="5">
        <v>0</v>
      </c>
      <c r="J254" s="5">
        <v>0</v>
      </c>
      <c r="K254" s="153"/>
      <c r="L254" s="5">
        <v>0</v>
      </c>
      <c r="M254" s="5">
        <v>0</v>
      </c>
      <c r="N254" s="5"/>
      <c r="O254" s="5">
        <v>0</v>
      </c>
      <c r="P254" s="5">
        <v>0</v>
      </c>
      <c r="Q254" s="784"/>
      <c r="R254" s="5">
        <v>0</v>
      </c>
      <c r="S254" s="5">
        <v>0</v>
      </c>
      <c r="T254" s="628"/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/>
      <c r="AA254" s="5">
        <v>0</v>
      </c>
      <c r="AB254" s="5">
        <v>0</v>
      </c>
      <c r="AC254" s="5">
        <v>0</v>
      </c>
      <c r="AD254" s="5">
        <v>0</v>
      </c>
      <c r="AE254" s="5">
        <v>103.85280589352658</v>
      </c>
      <c r="AF254" s="5">
        <v>0</v>
      </c>
      <c r="AG254" s="5"/>
      <c r="AH254" s="5">
        <v>99.900748619668406</v>
      </c>
      <c r="AI254" s="5">
        <v>0</v>
      </c>
      <c r="AJ254" s="5"/>
      <c r="AK254" s="5">
        <v>0</v>
      </c>
      <c r="AL254" s="5">
        <v>0</v>
      </c>
      <c r="AM254" s="5"/>
      <c r="AN254" s="5">
        <v>0</v>
      </c>
      <c r="AO254" s="5">
        <v>0</v>
      </c>
      <c r="AP254" s="5"/>
      <c r="AQ254" s="5">
        <v>0</v>
      </c>
      <c r="AR254" s="5">
        <v>0</v>
      </c>
      <c r="AS254" s="5"/>
      <c r="AT254" s="5">
        <v>7.5212573531297391</v>
      </c>
      <c r="AU254" s="5">
        <v>0</v>
      </c>
      <c r="AV254" s="5"/>
      <c r="AW254" s="5">
        <v>5.5369999999999999</v>
      </c>
      <c r="AX254" s="5">
        <v>0</v>
      </c>
      <c r="AY254" s="5"/>
      <c r="AZ254" s="5">
        <v>108</v>
      </c>
      <c r="BA254" s="5">
        <v>0</v>
      </c>
      <c r="BB254" s="5">
        <v>-108</v>
      </c>
      <c r="BD254" s="2">
        <v>2</v>
      </c>
      <c r="BF254" s="787">
        <v>0.25</v>
      </c>
      <c r="BG254" s="325">
        <v>150001049</v>
      </c>
    </row>
    <row r="255" spans="1:59" ht="24.9" customHeight="1" x14ac:dyDescent="0.3">
      <c r="A255" s="325">
        <v>150001041</v>
      </c>
      <c r="B255" s="445" t="s">
        <v>197</v>
      </c>
      <c r="C255" s="27">
        <v>3</v>
      </c>
      <c r="D255" s="101" t="s">
        <v>455</v>
      </c>
      <c r="E255" s="786">
        <v>601.4</v>
      </c>
      <c r="F255" s="5">
        <v>341</v>
      </c>
      <c r="G255" s="5">
        <v>0</v>
      </c>
      <c r="H255" s="5">
        <v>-341</v>
      </c>
      <c r="I255" s="5">
        <v>0</v>
      </c>
      <c r="J255" s="5">
        <v>0</v>
      </c>
      <c r="K255" s="153"/>
      <c r="L255" s="5">
        <v>0</v>
      </c>
      <c r="M255" s="5">
        <v>0</v>
      </c>
      <c r="N255" s="5"/>
      <c r="O255" s="5">
        <v>0</v>
      </c>
      <c r="P255" s="5">
        <v>0</v>
      </c>
      <c r="Q255" s="784"/>
      <c r="R255" s="5">
        <v>0</v>
      </c>
      <c r="S255" s="5">
        <v>0</v>
      </c>
      <c r="T255" s="628"/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/>
      <c r="AA255" s="5">
        <v>0</v>
      </c>
      <c r="AB255" s="5">
        <v>0</v>
      </c>
      <c r="AC255" s="5">
        <v>0</v>
      </c>
      <c r="AD255" s="5">
        <v>0</v>
      </c>
      <c r="AE255" s="5">
        <v>168.20958831647363</v>
      </c>
      <c r="AF255" s="5">
        <v>0</v>
      </c>
      <c r="AG255" s="5"/>
      <c r="AH255" s="5">
        <v>158.27188575132274</v>
      </c>
      <c r="AI255" s="5">
        <v>0</v>
      </c>
      <c r="AJ255" s="5"/>
      <c r="AK255" s="5">
        <v>40.335514572536695</v>
      </c>
      <c r="AL255" s="5">
        <v>0</v>
      </c>
      <c r="AM255" s="5"/>
      <c r="AN255" s="5">
        <v>0</v>
      </c>
      <c r="AO255" s="5">
        <v>0</v>
      </c>
      <c r="AP255" s="5"/>
      <c r="AQ255" s="5">
        <v>0</v>
      </c>
      <c r="AR255" s="5">
        <v>0</v>
      </c>
      <c r="AS255" s="5"/>
      <c r="AT255" s="5">
        <v>17.88720411458716</v>
      </c>
      <c r="AU255" s="5">
        <v>0</v>
      </c>
      <c r="AV255" s="5"/>
      <c r="AW255" s="5">
        <v>12.013999999999999</v>
      </c>
      <c r="AX255" s="5">
        <v>0</v>
      </c>
      <c r="AY255" s="5"/>
      <c r="AZ255" s="5">
        <v>199</v>
      </c>
      <c r="BA255" s="5">
        <v>0</v>
      </c>
      <c r="BB255" s="5">
        <v>-199</v>
      </c>
      <c r="BD255" s="2">
        <v>2</v>
      </c>
      <c r="BF255" s="787">
        <v>0.59</v>
      </c>
      <c r="BG255" s="325">
        <v>150001041</v>
      </c>
    </row>
    <row r="256" spans="1:59" ht="24.9" customHeight="1" x14ac:dyDescent="0.3">
      <c r="A256" s="325">
        <v>150001042</v>
      </c>
      <c r="B256" s="445" t="s">
        <v>182</v>
      </c>
      <c r="C256" s="27">
        <v>2</v>
      </c>
      <c r="D256" s="101" t="s">
        <v>455</v>
      </c>
      <c r="E256" s="786">
        <v>427.1</v>
      </c>
      <c r="F256" s="5">
        <v>277</v>
      </c>
      <c r="G256" s="5">
        <v>0</v>
      </c>
      <c r="H256" s="5">
        <v>-277</v>
      </c>
      <c r="I256" s="5">
        <v>0</v>
      </c>
      <c r="J256" s="5">
        <v>0</v>
      </c>
      <c r="K256" s="153"/>
      <c r="L256" s="5">
        <v>0</v>
      </c>
      <c r="M256" s="5">
        <v>0</v>
      </c>
      <c r="N256" s="467"/>
      <c r="O256" s="5">
        <v>0</v>
      </c>
      <c r="P256" s="5">
        <v>0</v>
      </c>
      <c r="Q256" s="784"/>
      <c r="R256" s="5">
        <v>0</v>
      </c>
      <c r="S256" s="5">
        <v>0</v>
      </c>
      <c r="T256" s="628"/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/>
      <c r="AA256" s="5">
        <v>0</v>
      </c>
      <c r="AB256" s="5">
        <v>0</v>
      </c>
      <c r="AC256" s="5">
        <v>0</v>
      </c>
      <c r="AD256" s="5">
        <v>0</v>
      </c>
      <c r="AE256" s="5">
        <v>163.70696242423406</v>
      </c>
      <c r="AF256" s="5">
        <v>0</v>
      </c>
      <c r="AG256" s="5"/>
      <c r="AH256" s="5">
        <v>179.53667633622342</v>
      </c>
      <c r="AI256" s="5">
        <v>0</v>
      </c>
      <c r="AJ256" s="5"/>
      <c r="AK256" s="5">
        <v>26.04377728484166</v>
      </c>
      <c r="AL256" s="5">
        <v>0</v>
      </c>
      <c r="AM256" s="5"/>
      <c r="AN256" s="5">
        <v>0</v>
      </c>
      <c r="AO256" s="5">
        <v>0</v>
      </c>
      <c r="AP256" s="5"/>
      <c r="AQ256" s="5">
        <v>0</v>
      </c>
      <c r="AR256" s="5">
        <v>0</v>
      </c>
      <c r="AS256" s="5"/>
      <c r="AT256" s="5">
        <v>14.042517664827926</v>
      </c>
      <c r="AU256" s="5">
        <v>0</v>
      </c>
      <c r="AV256" s="5"/>
      <c r="AW256" s="5">
        <v>8.2710000000000008</v>
      </c>
      <c r="AX256" s="5">
        <v>0</v>
      </c>
      <c r="AY256" s="5"/>
      <c r="AZ256" s="5">
        <v>196</v>
      </c>
      <c r="BA256" s="5">
        <v>0</v>
      </c>
      <c r="BB256" s="5">
        <v>-196</v>
      </c>
      <c r="BD256" s="2">
        <v>2</v>
      </c>
      <c r="BF256" s="787">
        <v>0.42</v>
      </c>
      <c r="BG256" s="325">
        <v>150001042</v>
      </c>
    </row>
    <row r="257" spans="1:59" ht="24.9" customHeight="1" x14ac:dyDescent="0.3">
      <c r="A257" s="325">
        <v>150001043</v>
      </c>
      <c r="B257" s="445" t="s">
        <v>218</v>
      </c>
      <c r="C257" s="27">
        <v>4</v>
      </c>
      <c r="D257" s="101" t="s">
        <v>455</v>
      </c>
      <c r="E257" s="786">
        <v>1282.0999999999999</v>
      </c>
      <c r="F257" s="5">
        <v>668</v>
      </c>
      <c r="G257" s="5">
        <v>0</v>
      </c>
      <c r="H257" s="5">
        <v>-668</v>
      </c>
      <c r="I257" s="5">
        <v>0</v>
      </c>
      <c r="J257" s="5">
        <v>0</v>
      </c>
      <c r="K257" s="593"/>
      <c r="L257" s="5">
        <v>0</v>
      </c>
      <c r="M257" s="5">
        <v>0</v>
      </c>
      <c r="N257" s="5"/>
      <c r="O257" s="5">
        <v>0</v>
      </c>
      <c r="P257" s="5">
        <v>0</v>
      </c>
      <c r="Q257" s="784"/>
      <c r="R257" s="5">
        <v>0</v>
      </c>
      <c r="S257" s="5">
        <v>0</v>
      </c>
      <c r="T257" s="628"/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/>
      <c r="AA257" s="5">
        <v>0</v>
      </c>
      <c r="AB257" s="5">
        <v>0</v>
      </c>
      <c r="AC257" s="5">
        <v>0</v>
      </c>
      <c r="AD257" s="5">
        <v>0</v>
      </c>
      <c r="AE257" s="5">
        <v>322.25999349426013</v>
      </c>
      <c r="AF257" s="5">
        <v>0</v>
      </c>
      <c r="AG257" s="5"/>
      <c r="AH257" s="5">
        <v>391.80461882415943</v>
      </c>
      <c r="AI257" s="5">
        <v>0</v>
      </c>
      <c r="AJ257" s="5"/>
      <c r="AK257" s="5">
        <v>91.787309554713303</v>
      </c>
      <c r="AL257" s="5">
        <v>0</v>
      </c>
      <c r="AM257" s="5"/>
      <c r="AN257" s="5">
        <v>0</v>
      </c>
      <c r="AO257" s="5">
        <v>0</v>
      </c>
      <c r="AP257" s="5"/>
      <c r="AQ257" s="5">
        <v>0</v>
      </c>
      <c r="AR257" s="5">
        <v>0</v>
      </c>
      <c r="AS257" s="5"/>
      <c r="AT257" s="5">
        <v>158.10073335606734</v>
      </c>
      <c r="AU257" s="5">
        <v>0</v>
      </c>
      <c r="AV257" s="5"/>
      <c r="AW257" s="5">
        <v>25.820999999999998</v>
      </c>
      <c r="AX257" s="5">
        <v>0</v>
      </c>
      <c r="AY257" s="5"/>
      <c r="AZ257" s="5">
        <v>495</v>
      </c>
      <c r="BA257" s="5">
        <v>0</v>
      </c>
      <c r="BB257" s="5">
        <v>-495</v>
      </c>
      <c r="BD257" s="2">
        <v>2</v>
      </c>
      <c r="BF257" s="787">
        <v>1.25</v>
      </c>
      <c r="BG257" s="325">
        <v>150001043</v>
      </c>
    </row>
    <row r="258" spans="1:59" ht="24.9" customHeight="1" x14ac:dyDescent="0.3">
      <c r="A258" s="325">
        <v>150000672</v>
      </c>
      <c r="B258" s="462" t="s">
        <v>429</v>
      </c>
      <c r="C258" s="29">
        <v>5</v>
      </c>
      <c r="D258" s="102" t="s">
        <v>851</v>
      </c>
      <c r="E258" s="786">
        <v>3173.9</v>
      </c>
      <c r="F258" s="5">
        <v>1681</v>
      </c>
      <c r="G258" s="5">
        <v>0</v>
      </c>
      <c r="H258" s="5">
        <v>-1681</v>
      </c>
      <c r="I258" s="5">
        <v>0</v>
      </c>
      <c r="J258" s="5">
        <v>0</v>
      </c>
      <c r="K258" s="153"/>
      <c r="L258" s="5">
        <v>0</v>
      </c>
      <c r="M258" s="5">
        <v>0</v>
      </c>
      <c r="N258" s="5"/>
      <c r="O258" s="5">
        <v>0</v>
      </c>
      <c r="P258" s="5">
        <v>0</v>
      </c>
      <c r="Q258" s="784"/>
      <c r="R258" s="5">
        <v>0</v>
      </c>
      <c r="S258" s="5">
        <v>0</v>
      </c>
      <c r="T258" s="628"/>
      <c r="U258" s="5">
        <v>0</v>
      </c>
      <c r="V258" s="8">
        <v>0</v>
      </c>
      <c r="W258" s="5">
        <v>0</v>
      </c>
      <c r="X258" s="5">
        <v>0</v>
      </c>
      <c r="Y258" s="5">
        <v>0</v>
      </c>
      <c r="Z258" s="5"/>
      <c r="AA258" s="5">
        <v>0</v>
      </c>
      <c r="AB258" s="5">
        <v>0</v>
      </c>
      <c r="AC258" s="5">
        <v>0</v>
      </c>
      <c r="AD258" s="5">
        <v>0</v>
      </c>
      <c r="AE258" s="5">
        <v>795.81999999999994</v>
      </c>
      <c r="AF258" s="5">
        <v>0</v>
      </c>
      <c r="AG258" s="8"/>
      <c r="AH258" s="5">
        <v>1107.8400000000001</v>
      </c>
      <c r="AI258" s="5">
        <v>0</v>
      </c>
      <c r="AJ258" s="5"/>
      <c r="AK258" s="5">
        <v>217.73000000000002</v>
      </c>
      <c r="AL258" s="5">
        <v>2811</v>
      </c>
      <c r="AM258" s="5"/>
      <c r="AN258" s="5">
        <v>0</v>
      </c>
      <c r="AO258" s="5">
        <v>0</v>
      </c>
      <c r="AP258" s="5"/>
      <c r="AQ258" s="5">
        <v>0</v>
      </c>
      <c r="AR258" s="5">
        <v>0</v>
      </c>
      <c r="AS258" s="5"/>
      <c r="AT258" s="5">
        <v>564.05999999999995</v>
      </c>
      <c r="AU258" s="5">
        <v>0</v>
      </c>
      <c r="AV258" s="5"/>
      <c r="AW258" s="5">
        <v>141.57999999999998</v>
      </c>
      <c r="AX258" s="5">
        <v>0</v>
      </c>
      <c r="AY258" s="5"/>
      <c r="AZ258" s="5">
        <v>1413</v>
      </c>
      <c r="BA258" s="5">
        <v>2811</v>
      </c>
      <c r="BB258" s="5">
        <v>1398</v>
      </c>
      <c r="BD258" s="2">
        <v>2</v>
      </c>
      <c r="BF258" s="787">
        <v>3.13</v>
      </c>
      <c r="BG258" s="325">
        <v>150000672</v>
      </c>
    </row>
    <row r="259" spans="1:59" ht="24.9" customHeight="1" x14ac:dyDescent="0.3">
      <c r="A259" s="325">
        <v>150000673</v>
      </c>
      <c r="B259" s="445" t="s">
        <v>183</v>
      </c>
      <c r="C259" s="27">
        <v>2</v>
      </c>
      <c r="D259" s="101" t="s">
        <v>455</v>
      </c>
      <c r="E259" s="786">
        <v>603.29999999999995</v>
      </c>
      <c r="F259" s="5">
        <v>481</v>
      </c>
      <c r="G259" s="5">
        <v>499</v>
      </c>
      <c r="H259" s="5">
        <v>18</v>
      </c>
      <c r="I259" s="5">
        <v>0</v>
      </c>
      <c r="J259" s="5">
        <v>0</v>
      </c>
      <c r="K259" s="593"/>
      <c r="L259" s="5">
        <v>0</v>
      </c>
      <c r="M259" s="5">
        <v>0</v>
      </c>
      <c r="N259" s="5"/>
      <c r="O259" s="5">
        <v>0</v>
      </c>
      <c r="P259" s="5">
        <v>0</v>
      </c>
      <c r="Q259" s="784"/>
      <c r="R259" s="5">
        <v>0</v>
      </c>
      <c r="S259" s="5">
        <v>0</v>
      </c>
      <c r="T259" s="628"/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/>
      <c r="AA259" s="5">
        <v>0</v>
      </c>
      <c r="AB259" s="5">
        <v>0</v>
      </c>
      <c r="AC259" s="5">
        <v>0</v>
      </c>
      <c r="AD259" s="5">
        <v>499</v>
      </c>
      <c r="AE259" s="5">
        <v>256.02512738229223</v>
      </c>
      <c r="AF259" s="5">
        <v>0</v>
      </c>
      <c r="AG259" s="5"/>
      <c r="AH259" s="5">
        <v>265.5630068244505</v>
      </c>
      <c r="AI259" s="5">
        <v>0</v>
      </c>
      <c r="AJ259" s="5"/>
      <c r="AK259" s="5">
        <v>38.052574643974999</v>
      </c>
      <c r="AL259" s="5">
        <v>0</v>
      </c>
      <c r="AM259" s="5"/>
      <c r="AN259" s="5">
        <v>0</v>
      </c>
      <c r="AO259" s="5">
        <v>0</v>
      </c>
      <c r="AP259" s="5"/>
      <c r="AQ259" s="5">
        <v>0</v>
      </c>
      <c r="AR259" s="5">
        <v>0</v>
      </c>
      <c r="AS259" s="5"/>
      <c r="AT259" s="5">
        <v>14.04250219252391</v>
      </c>
      <c r="AU259" s="5">
        <v>0</v>
      </c>
      <c r="AV259" s="5"/>
      <c r="AW259" s="5">
        <v>12.032999999999999</v>
      </c>
      <c r="AX259" s="5">
        <v>0</v>
      </c>
      <c r="AY259" s="5"/>
      <c r="AZ259" s="5">
        <v>293</v>
      </c>
      <c r="BA259" s="5">
        <v>0</v>
      </c>
      <c r="BB259" s="5">
        <v>-293</v>
      </c>
      <c r="BD259" s="2">
        <v>2</v>
      </c>
      <c r="BF259" s="787">
        <v>0.59</v>
      </c>
      <c r="BG259" s="325">
        <v>150000673</v>
      </c>
    </row>
    <row r="260" spans="1:59" ht="24.9" customHeight="1" x14ac:dyDescent="0.3">
      <c r="A260" s="325">
        <v>150000670</v>
      </c>
      <c r="B260" s="445" t="s">
        <v>127</v>
      </c>
      <c r="C260" s="27">
        <v>1</v>
      </c>
      <c r="D260" s="101" t="s">
        <v>455</v>
      </c>
      <c r="E260" s="786">
        <v>211.6</v>
      </c>
      <c r="F260" s="5">
        <v>129</v>
      </c>
      <c r="G260" s="5">
        <v>0</v>
      </c>
      <c r="H260" s="5">
        <v>-129</v>
      </c>
      <c r="I260" s="5">
        <v>0</v>
      </c>
      <c r="J260" s="5">
        <v>0</v>
      </c>
      <c r="K260" s="153"/>
      <c r="L260" s="5">
        <v>0</v>
      </c>
      <c r="M260" s="5">
        <v>0</v>
      </c>
      <c r="N260" s="5"/>
      <c r="O260" s="5">
        <v>0</v>
      </c>
      <c r="P260" s="5">
        <v>0</v>
      </c>
      <c r="Q260" s="784"/>
      <c r="R260" s="5">
        <v>0</v>
      </c>
      <c r="S260" s="5">
        <v>0</v>
      </c>
      <c r="T260" s="628"/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/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/>
      <c r="AH260" s="5">
        <v>0</v>
      </c>
      <c r="AI260" s="5">
        <v>0</v>
      </c>
      <c r="AJ260" s="5"/>
      <c r="AK260" s="5">
        <v>0</v>
      </c>
      <c r="AL260" s="5">
        <v>0</v>
      </c>
      <c r="AM260" s="5"/>
      <c r="AN260" s="5">
        <v>0</v>
      </c>
      <c r="AO260" s="5">
        <v>0</v>
      </c>
      <c r="AP260" s="5"/>
      <c r="AQ260" s="5">
        <v>0</v>
      </c>
      <c r="AR260" s="5">
        <v>0</v>
      </c>
      <c r="AS260" s="5"/>
      <c r="AT260" s="5">
        <v>0</v>
      </c>
      <c r="AU260" s="5">
        <v>0</v>
      </c>
      <c r="AV260" s="5"/>
      <c r="AW260" s="5">
        <v>4.0950000000000006</v>
      </c>
      <c r="AX260" s="5">
        <v>0</v>
      </c>
      <c r="AY260" s="5"/>
      <c r="AZ260" s="5">
        <v>2</v>
      </c>
      <c r="BA260" s="5">
        <v>0</v>
      </c>
      <c r="BB260" s="5">
        <v>-2</v>
      </c>
      <c r="BD260" s="2">
        <v>2</v>
      </c>
      <c r="BF260" s="787">
        <v>0</v>
      </c>
      <c r="BG260" s="325">
        <v>150000670</v>
      </c>
    </row>
    <row r="261" spans="1:59" ht="24.9" customHeight="1" x14ac:dyDescent="0.3">
      <c r="A261" s="325">
        <v>150000676</v>
      </c>
      <c r="B261" s="445" t="s">
        <v>386</v>
      </c>
      <c r="C261" s="27">
        <v>9</v>
      </c>
      <c r="D261" s="101" t="s">
        <v>455</v>
      </c>
      <c r="E261" s="786">
        <v>4198.3</v>
      </c>
      <c r="F261" s="5">
        <v>2408</v>
      </c>
      <c r="G261" s="5">
        <v>0</v>
      </c>
      <c r="H261" s="5">
        <v>-2408</v>
      </c>
      <c r="I261" s="5">
        <v>0</v>
      </c>
      <c r="J261" s="5">
        <v>0</v>
      </c>
      <c r="K261" s="153"/>
      <c r="L261" s="5">
        <v>0</v>
      </c>
      <c r="M261" s="5">
        <v>0</v>
      </c>
      <c r="N261" s="5"/>
      <c r="O261" s="5">
        <v>0</v>
      </c>
      <c r="P261" s="5">
        <v>0</v>
      </c>
      <c r="Q261" s="784"/>
      <c r="R261" s="5">
        <v>0</v>
      </c>
      <c r="S261" s="5">
        <v>0</v>
      </c>
      <c r="T261" s="630"/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/>
      <c r="AA261" s="5">
        <v>0</v>
      </c>
      <c r="AB261" s="5">
        <v>0</v>
      </c>
      <c r="AC261" s="5">
        <v>0</v>
      </c>
      <c r="AD261" s="5">
        <v>0</v>
      </c>
      <c r="AE261" s="5">
        <v>961.9574953388576</v>
      </c>
      <c r="AF261" s="5">
        <v>0</v>
      </c>
      <c r="AG261" s="454"/>
      <c r="AH261" s="5">
        <v>1032.3425423019214</v>
      </c>
      <c r="AI261" s="5">
        <v>0</v>
      </c>
      <c r="AJ261" s="5"/>
      <c r="AK261" s="5">
        <v>350.46629583460003</v>
      </c>
      <c r="AL261" s="5">
        <v>0</v>
      </c>
      <c r="AM261" s="5"/>
      <c r="AN261" s="5">
        <v>1049.9634738862869</v>
      </c>
      <c r="AO261" s="5">
        <v>0</v>
      </c>
      <c r="AP261" s="5"/>
      <c r="AQ261" s="5">
        <v>417.96272557758289</v>
      </c>
      <c r="AR261" s="5">
        <v>0</v>
      </c>
      <c r="AS261" s="5"/>
      <c r="AT261" s="5">
        <v>520.09024312959696</v>
      </c>
      <c r="AU261" s="5">
        <v>0</v>
      </c>
      <c r="AV261" s="5"/>
      <c r="AW261" s="5">
        <v>83.983000000000004</v>
      </c>
      <c r="AX261" s="5">
        <v>0</v>
      </c>
      <c r="AY261" s="5"/>
      <c r="AZ261" s="5">
        <v>2209</v>
      </c>
      <c r="BA261" s="5">
        <v>0</v>
      </c>
      <c r="BB261" s="5">
        <v>-2209</v>
      </c>
      <c r="BD261" s="2">
        <v>2</v>
      </c>
      <c r="BF261" s="787">
        <v>4.09</v>
      </c>
      <c r="BG261" s="325">
        <v>150000676</v>
      </c>
    </row>
    <row r="262" spans="1:59" ht="24.9" customHeight="1" x14ac:dyDescent="0.3">
      <c r="A262" s="325">
        <v>150000671</v>
      </c>
      <c r="B262" s="445" t="s">
        <v>128</v>
      </c>
      <c r="C262" s="27">
        <v>1</v>
      </c>
      <c r="D262" s="101" t="s">
        <v>455</v>
      </c>
      <c r="E262" s="786">
        <v>226.9</v>
      </c>
      <c r="F262" s="5">
        <v>157</v>
      </c>
      <c r="G262" s="5">
        <v>0</v>
      </c>
      <c r="H262" s="5">
        <v>-157</v>
      </c>
      <c r="I262" s="5">
        <v>0</v>
      </c>
      <c r="J262" s="5">
        <v>0</v>
      </c>
      <c r="K262" s="153"/>
      <c r="L262" s="5">
        <v>0</v>
      </c>
      <c r="M262" s="5">
        <v>0</v>
      </c>
      <c r="N262" s="5"/>
      <c r="O262" s="5">
        <v>0</v>
      </c>
      <c r="P262" s="5">
        <v>0</v>
      </c>
      <c r="Q262" s="784"/>
      <c r="R262" s="5">
        <v>0</v>
      </c>
      <c r="S262" s="5">
        <v>0</v>
      </c>
      <c r="T262" s="628"/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/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/>
      <c r="AH262" s="5">
        <v>0</v>
      </c>
      <c r="AI262" s="5">
        <v>0</v>
      </c>
      <c r="AJ262" s="5"/>
      <c r="AK262" s="5">
        <v>0</v>
      </c>
      <c r="AL262" s="5">
        <v>0</v>
      </c>
      <c r="AM262" s="5"/>
      <c r="AN262" s="5">
        <v>0</v>
      </c>
      <c r="AO262" s="5">
        <v>0</v>
      </c>
      <c r="AP262" s="5"/>
      <c r="AQ262" s="5">
        <v>0</v>
      </c>
      <c r="AR262" s="5">
        <v>0</v>
      </c>
      <c r="AS262" s="5"/>
      <c r="AT262" s="5">
        <v>0</v>
      </c>
      <c r="AU262" s="5">
        <v>0</v>
      </c>
      <c r="AV262" s="5"/>
      <c r="AW262" s="5">
        <v>4.2690000000000001</v>
      </c>
      <c r="AX262" s="5">
        <v>0</v>
      </c>
      <c r="AY262" s="5"/>
      <c r="AZ262" s="5">
        <v>2</v>
      </c>
      <c r="BA262" s="5">
        <v>0</v>
      </c>
      <c r="BB262" s="5">
        <v>-2</v>
      </c>
      <c r="BD262" s="2">
        <v>2</v>
      </c>
      <c r="BF262" s="787">
        <v>0</v>
      </c>
      <c r="BG262" s="325">
        <v>150000671</v>
      </c>
    </row>
    <row r="263" spans="1:59" ht="24.9" customHeight="1" x14ac:dyDescent="0.3">
      <c r="A263" s="325">
        <v>150000726</v>
      </c>
      <c r="B263" s="445" t="s">
        <v>184</v>
      </c>
      <c r="C263" s="27">
        <v>2</v>
      </c>
      <c r="D263" s="101" t="s">
        <v>455</v>
      </c>
      <c r="E263" s="786">
        <v>409.7</v>
      </c>
      <c r="F263" s="5">
        <v>262</v>
      </c>
      <c r="G263" s="5">
        <v>0</v>
      </c>
      <c r="H263" s="5">
        <v>-262</v>
      </c>
      <c r="I263" s="5">
        <v>0</v>
      </c>
      <c r="J263" s="5">
        <v>0</v>
      </c>
      <c r="K263" s="153"/>
      <c r="L263" s="5">
        <v>0</v>
      </c>
      <c r="M263" s="5">
        <v>0</v>
      </c>
      <c r="N263" s="5"/>
      <c r="O263" s="5">
        <v>0</v>
      </c>
      <c r="P263" s="5">
        <v>0</v>
      </c>
      <c r="Q263" s="784"/>
      <c r="R263" s="5">
        <v>0</v>
      </c>
      <c r="S263" s="5">
        <v>0</v>
      </c>
      <c r="T263" s="628"/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/>
      <c r="AA263" s="5">
        <v>0</v>
      </c>
      <c r="AB263" s="5">
        <v>0</v>
      </c>
      <c r="AC263" s="5">
        <v>0</v>
      </c>
      <c r="AD263" s="5">
        <v>0</v>
      </c>
      <c r="AE263" s="5">
        <v>131.94561739237034</v>
      </c>
      <c r="AF263" s="5">
        <v>0</v>
      </c>
      <c r="AG263" s="5"/>
      <c r="AH263" s="5">
        <v>144.10435714798695</v>
      </c>
      <c r="AI263" s="5">
        <v>0</v>
      </c>
      <c r="AJ263" s="5"/>
      <c r="AK263" s="5">
        <v>26.261932151350003</v>
      </c>
      <c r="AL263" s="5">
        <v>0</v>
      </c>
      <c r="AM263" s="5"/>
      <c r="AN263" s="5">
        <v>0</v>
      </c>
      <c r="AO263" s="5">
        <v>0</v>
      </c>
      <c r="AP263" s="5"/>
      <c r="AQ263" s="5">
        <v>0</v>
      </c>
      <c r="AR263" s="5">
        <v>0</v>
      </c>
      <c r="AS263" s="5"/>
      <c r="AT263" s="5">
        <v>24.172905057991901</v>
      </c>
      <c r="AU263" s="5">
        <v>0</v>
      </c>
      <c r="AV263" s="5"/>
      <c r="AW263" s="5">
        <v>8.0869999999999997</v>
      </c>
      <c r="AX263" s="5">
        <v>0</v>
      </c>
      <c r="AY263" s="5"/>
      <c r="AZ263" s="5">
        <v>168</v>
      </c>
      <c r="BA263" s="5">
        <v>0</v>
      </c>
      <c r="BB263" s="5">
        <v>-168</v>
      </c>
      <c r="BD263" s="2">
        <v>2</v>
      </c>
      <c r="BF263" s="787">
        <v>0.4</v>
      </c>
      <c r="BG263" s="325">
        <v>150000726</v>
      </c>
    </row>
    <row r="264" spans="1:59" ht="24.9" customHeight="1" x14ac:dyDescent="0.3">
      <c r="A264" s="325">
        <v>150000727</v>
      </c>
      <c r="B264" s="445" t="s">
        <v>129</v>
      </c>
      <c r="C264" s="27">
        <v>1</v>
      </c>
      <c r="D264" s="101" t="s">
        <v>455</v>
      </c>
      <c r="E264" s="786">
        <v>188.44</v>
      </c>
      <c r="F264" s="5">
        <v>113</v>
      </c>
      <c r="G264" s="5">
        <v>0</v>
      </c>
      <c r="H264" s="5">
        <v>-113</v>
      </c>
      <c r="I264" s="5">
        <v>0</v>
      </c>
      <c r="J264" s="5">
        <v>0</v>
      </c>
      <c r="K264" s="153"/>
      <c r="L264" s="5">
        <v>0</v>
      </c>
      <c r="M264" s="5">
        <v>0</v>
      </c>
      <c r="N264" s="5"/>
      <c r="O264" s="5">
        <v>0</v>
      </c>
      <c r="P264" s="5">
        <v>0</v>
      </c>
      <c r="Q264" s="784"/>
      <c r="R264" s="5">
        <v>0</v>
      </c>
      <c r="S264" s="5">
        <v>0</v>
      </c>
      <c r="T264" s="628"/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/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/>
      <c r="AH264" s="5">
        <v>0</v>
      </c>
      <c r="AI264" s="5">
        <v>0</v>
      </c>
      <c r="AJ264" s="5"/>
      <c r="AK264" s="5">
        <v>0</v>
      </c>
      <c r="AL264" s="5">
        <v>0</v>
      </c>
      <c r="AM264" s="5"/>
      <c r="AN264" s="5">
        <v>0</v>
      </c>
      <c r="AO264" s="5">
        <v>0</v>
      </c>
      <c r="AP264" s="5"/>
      <c r="AQ264" s="5">
        <v>0</v>
      </c>
      <c r="AR264" s="5">
        <v>0</v>
      </c>
      <c r="AS264" s="5"/>
      <c r="AT264" s="5">
        <v>0</v>
      </c>
      <c r="AU264" s="5">
        <v>0</v>
      </c>
      <c r="AV264" s="5"/>
      <c r="AW264" s="5">
        <v>3.8844000000000003</v>
      </c>
      <c r="AX264" s="5">
        <v>0</v>
      </c>
      <c r="AY264" s="5"/>
      <c r="AZ264" s="5">
        <v>2</v>
      </c>
      <c r="BA264" s="5">
        <v>0</v>
      </c>
      <c r="BB264" s="5">
        <v>-2</v>
      </c>
      <c r="BD264" s="2">
        <v>2</v>
      </c>
      <c r="BF264" s="787">
        <v>0</v>
      </c>
      <c r="BG264" s="325">
        <v>150000727</v>
      </c>
    </row>
    <row r="265" spans="1:59" ht="24.9" customHeight="1" x14ac:dyDescent="0.3">
      <c r="A265" s="325">
        <v>150000728</v>
      </c>
      <c r="B265" s="445" t="s">
        <v>185</v>
      </c>
      <c r="C265" s="27">
        <v>2</v>
      </c>
      <c r="D265" s="101" t="s">
        <v>455</v>
      </c>
      <c r="E265" s="786">
        <v>450.6</v>
      </c>
      <c r="F265" s="5">
        <v>312</v>
      </c>
      <c r="G265" s="5">
        <v>0</v>
      </c>
      <c r="H265" s="5">
        <v>-312</v>
      </c>
      <c r="I265" s="5">
        <v>0</v>
      </c>
      <c r="J265" s="5">
        <v>0</v>
      </c>
      <c r="K265" s="153"/>
      <c r="L265" s="5">
        <v>0</v>
      </c>
      <c r="M265" s="5">
        <v>0</v>
      </c>
      <c r="N265" s="5"/>
      <c r="O265" s="5">
        <v>0</v>
      </c>
      <c r="P265" s="5">
        <v>0</v>
      </c>
      <c r="Q265" s="784"/>
      <c r="R265" s="5">
        <v>0</v>
      </c>
      <c r="S265" s="5">
        <v>0</v>
      </c>
      <c r="T265" s="628"/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/>
      <c r="AA265" s="5">
        <v>0</v>
      </c>
      <c r="AB265" s="5">
        <v>0</v>
      </c>
      <c r="AC265" s="5">
        <v>0</v>
      </c>
      <c r="AD265" s="5">
        <v>0</v>
      </c>
      <c r="AE265" s="5">
        <v>140.00286218250014</v>
      </c>
      <c r="AF265" s="5">
        <v>0</v>
      </c>
      <c r="AG265" s="5"/>
      <c r="AH265" s="5">
        <v>144.10435714798695</v>
      </c>
      <c r="AI265" s="5">
        <v>0</v>
      </c>
      <c r="AJ265" s="5"/>
      <c r="AK265" s="5">
        <v>30.22917010290492</v>
      </c>
      <c r="AL265" s="5">
        <v>0</v>
      </c>
      <c r="AM265" s="5"/>
      <c r="AN265" s="5">
        <v>0</v>
      </c>
      <c r="AO265" s="5">
        <v>0</v>
      </c>
      <c r="AP265" s="5"/>
      <c r="AQ265" s="5">
        <v>0</v>
      </c>
      <c r="AR265" s="5">
        <v>0</v>
      </c>
      <c r="AS265" s="5"/>
      <c r="AT265" s="5">
        <v>24.172905057991901</v>
      </c>
      <c r="AU265" s="5">
        <v>0</v>
      </c>
      <c r="AV265" s="5"/>
      <c r="AW265" s="5">
        <v>9.5060000000000002</v>
      </c>
      <c r="AX265" s="5">
        <v>0</v>
      </c>
      <c r="AY265" s="5"/>
      <c r="AZ265" s="5">
        <v>174</v>
      </c>
      <c r="BA265" s="5">
        <v>0</v>
      </c>
      <c r="BB265" s="5">
        <v>-174</v>
      </c>
      <c r="BD265" s="2">
        <v>2</v>
      </c>
      <c r="BF265" s="787">
        <v>0.44</v>
      </c>
      <c r="BG265" s="325">
        <v>150000728</v>
      </c>
    </row>
    <row r="266" spans="1:59" ht="24.9" customHeight="1" x14ac:dyDescent="0.3">
      <c r="A266" s="325">
        <v>150000729</v>
      </c>
      <c r="B266" s="445" t="s">
        <v>274</v>
      </c>
      <c r="C266" s="27">
        <v>5</v>
      </c>
      <c r="D266" s="101" t="s">
        <v>455</v>
      </c>
      <c r="E266" s="786">
        <v>2102.6</v>
      </c>
      <c r="F266" s="5">
        <v>1162</v>
      </c>
      <c r="G266" s="5">
        <v>0</v>
      </c>
      <c r="H266" s="5">
        <v>-1162</v>
      </c>
      <c r="I266" s="5">
        <v>0</v>
      </c>
      <c r="J266" s="5">
        <v>0</v>
      </c>
      <c r="K266" s="791"/>
      <c r="L266" s="5">
        <v>0</v>
      </c>
      <c r="M266" s="5">
        <v>0</v>
      </c>
      <c r="N266" s="5"/>
      <c r="O266" s="5">
        <v>0</v>
      </c>
      <c r="P266" s="5">
        <v>0</v>
      </c>
      <c r="Q266" s="784"/>
      <c r="R266" s="5">
        <v>0</v>
      </c>
      <c r="S266" s="5">
        <v>0</v>
      </c>
      <c r="T266" s="628"/>
      <c r="U266" s="5">
        <v>0</v>
      </c>
      <c r="V266" s="8">
        <v>0</v>
      </c>
      <c r="W266" s="5">
        <v>0</v>
      </c>
      <c r="X266" s="5">
        <v>0</v>
      </c>
      <c r="Y266" s="5">
        <v>0</v>
      </c>
      <c r="Z266" s="5"/>
      <c r="AA266" s="5">
        <v>0</v>
      </c>
      <c r="AB266" s="5">
        <v>0</v>
      </c>
      <c r="AC266" s="5">
        <v>0</v>
      </c>
      <c r="AD266" s="5">
        <v>0</v>
      </c>
      <c r="AE266" s="5">
        <v>591.8722022767837</v>
      </c>
      <c r="AF266" s="5">
        <v>0</v>
      </c>
      <c r="AG266" s="8"/>
      <c r="AH266" s="5">
        <v>771.86500430445574</v>
      </c>
      <c r="AI266" s="5">
        <v>0</v>
      </c>
      <c r="AJ266" s="5"/>
      <c r="AK266" s="5">
        <v>138.09271812085501</v>
      </c>
      <c r="AL266" s="5">
        <v>2186</v>
      </c>
      <c r="AM266" s="5"/>
      <c r="AN266" s="5">
        <v>0</v>
      </c>
      <c r="AO266" s="5">
        <v>0</v>
      </c>
      <c r="AP266" s="5"/>
      <c r="AQ266" s="5">
        <v>0</v>
      </c>
      <c r="AR266" s="5">
        <v>0</v>
      </c>
      <c r="AS266" s="5"/>
      <c r="AT266" s="5">
        <v>413.56794368073156</v>
      </c>
      <c r="AU266" s="5">
        <v>0</v>
      </c>
      <c r="AV266" s="5"/>
      <c r="AW266" s="5">
        <v>42.057000000000002</v>
      </c>
      <c r="AX266" s="5">
        <v>0</v>
      </c>
      <c r="AY266" s="5"/>
      <c r="AZ266" s="5">
        <v>978</v>
      </c>
      <c r="BA266" s="5">
        <v>2186</v>
      </c>
      <c r="BB266" s="5">
        <v>1208</v>
      </c>
      <c r="BD266" s="2">
        <v>2</v>
      </c>
      <c r="BF266" s="787">
        <v>2.0499999999999998</v>
      </c>
      <c r="BG266" s="325">
        <v>150000729</v>
      </c>
    </row>
    <row r="267" spans="1:59" ht="24.9" customHeight="1" x14ac:dyDescent="0.3">
      <c r="A267" s="325">
        <v>150000721</v>
      </c>
      <c r="B267" s="445" t="s">
        <v>219</v>
      </c>
      <c r="C267" s="27">
        <v>4</v>
      </c>
      <c r="D267" s="101" t="s">
        <v>455</v>
      </c>
      <c r="E267" s="786">
        <v>2790</v>
      </c>
      <c r="F267" s="5">
        <v>1808</v>
      </c>
      <c r="G267" s="5">
        <v>3219</v>
      </c>
      <c r="H267" s="5">
        <v>1412</v>
      </c>
      <c r="I267" s="5">
        <v>0</v>
      </c>
      <c r="J267" s="5">
        <v>0</v>
      </c>
      <c r="K267" s="153"/>
      <c r="L267" s="5">
        <v>0</v>
      </c>
      <c r="M267" s="5">
        <v>0</v>
      </c>
      <c r="N267" s="5"/>
      <c r="O267" s="5">
        <v>0</v>
      </c>
      <c r="P267" s="5">
        <v>0</v>
      </c>
      <c r="Q267" s="784"/>
      <c r="R267" s="5">
        <v>0</v>
      </c>
      <c r="S267" s="5">
        <v>0</v>
      </c>
      <c r="T267" s="628"/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/>
      <c r="AA267" s="5">
        <v>0</v>
      </c>
      <c r="AB267" s="5">
        <v>0</v>
      </c>
      <c r="AC267" s="5">
        <v>0</v>
      </c>
      <c r="AD267" s="5">
        <v>3219</v>
      </c>
      <c r="AE267" s="5">
        <v>649.54092897094893</v>
      </c>
      <c r="AF267" s="5">
        <v>0</v>
      </c>
      <c r="AG267" s="5"/>
      <c r="AH267" s="5">
        <v>638.09699857212752</v>
      </c>
      <c r="AI267" s="5">
        <v>0</v>
      </c>
      <c r="AJ267" s="5"/>
      <c r="AK267" s="5">
        <v>184.38598292967998</v>
      </c>
      <c r="AL267" s="5">
        <v>0</v>
      </c>
      <c r="AM267" s="5"/>
      <c r="AN267" s="5">
        <v>0</v>
      </c>
      <c r="AO267" s="5">
        <v>0</v>
      </c>
      <c r="AP267" s="5"/>
      <c r="AQ267" s="5">
        <v>0</v>
      </c>
      <c r="AR267" s="5">
        <v>0</v>
      </c>
      <c r="AS267" s="5"/>
      <c r="AT267" s="5">
        <v>238.2232031809842</v>
      </c>
      <c r="AU267" s="5">
        <v>0</v>
      </c>
      <c r="AV267" s="5"/>
      <c r="AW267" s="5">
        <v>55.894999999999996</v>
      </c>
      <c r="AX267" s="5">
        <v>0</v>
      </c>
      <c r="AY267" s="5"/>
      <c r="AZ267" s="5">
        <v>883</v>
      </c>
      <c r="BA267" s="5">
        <v>0</v>
      </c>
      <c r="BB267" s="5">
        <v>-883</v>
      </c>
      <c r="BD267" s="2">
        <v>2</v>
      </c>
      <c r="BF267" s="787">
        <v>2.72</v>
      </c>
      <c r="BG267" s="325">
        <v>150000721</v>
      </c>
    </row>
    <row r="268" spans="1:59" ht="24.9" customHeight="1" x14ac:dyDescent="0.3">
      <c r="A268" s="325">
        <v>150000722</v>
      </c>
      <c r="B268" s="445" t="s">
        <v>275</v>
      </c>
      <c r="C268" s="27">
        <v>5</v>
      </c>
      <c r="D268" s="101" t="s">
        <v>455</v>
      </c>
      <c r="E268" s="786">
        <v>3559.5</v>
      </c>
      <c r="F268" s="5">
        <v>3389</v>
      </c>
      <c r="G268" s="5">
        <v>1196</v>
      </c>
      <c r="H268" s="5">
        <v>-2890</v>
      </c>
      <c r="I268" s="5">
        <v>0</v>
      </c>
      <c r="J268" s="5">
        <v>0</v>
      </c>
      <c r="K268" s="153"/>
      <c r="L268" s="5">
        <v>0</v>
      </c>
      <c r="M268" s="5">
        <v>0</v>
      </c>
      <c r="N268" s="5"/>
      <c r="O268" s="5">
        <v>0</v>
      </c>
      <c r="P268" s="5">
        <v>0</v>
      </c>
      <c r="Q268" s="788"/>
      <c r="R268" s="5">
        <v>0</v>
      </c>
      <c r="S268" s="5">
        <v>0</v>
      </c>
      <c r="T268" s="628"/>
      <c r="U268" s="5">
        <v>0</v>
      </c>
      <c r="V268" s="8">
        <v>0</v>
      </c>
      <c r="W268" s="5">
        <v>0</v>
      </c>
      <c r="X268" s="5">
        <v>0</v>
      </c>
      <c r="Y268" s="5">
        <v>0</v>
      </c>
      <c r="Z268" s="630"/>
      <c r="AA268" s="5">
        <v>0</v>
      </c>
      <c r="AB268" s="5">
        <v>0</v>
      </c>
      <c r="AC268" s="5">
        <v>0</v>
      </c>
      <c r="AD268" s="5">
        <v>1196</v>
      </c>
      <c r="AE268" s="5">
        <v>761.88430958895992</v>
      </c>
      <c r="AF268" s="5">
        <v>0</v>
      </c>
      <c r="AG268" s="5"/>
      <c r="AH268" s="5">
        <v>890.03638000060664</v>
      </c>
      <c r="AI268" s="5">
        <v>0</v>
      </c>
      <c r="AJ268" s="5"/>
      <c r="AK268" s="5">
        <v>250.39132464714169</v>
      </c>
      <c r="AL268" s="5">
        <v>0</v>
      </c>
      <c r="AM268" s="5"/>
      <c r="AN268" s="5">
        <v>0</v>
      </c>
      <c r="AO268" s="5">
        <v>0</v>
      </c>
      <c r="AP268" s="5"/>
      <c r="AQ268" s="5">
        <v>0</v>
      </c>
      <c r="AR268" s="5">
        <v>0</v>
      </c>
      <c r="AS268" s="5"/>
      <c r="AT268" s="5">
        <v>591.60417276106887</v>
      </c>
      <c r="AU268" s="5">
        <v>0</v>
      </c>
      <c r="AV268" s="5"/>
      <c r="AW268" s="5">
        <v>71.594999999999999</v>
      </c>
      <c r="AX268" s="5">
        <v>0</v>
      </c>
      <c r="AY268" s="5"/>
      <c r="AZ268" s="5">
        <v>1283</v>
      </c>
      <c r="BA268" s="5">
        <v>0</v>
      </c>
      <c r="BB268" s="5">
        <v>-1283</v>
      </c>
      <c r="BD268" s="2">
        <v>2</v>
      </c>
      <c r="BF268" s="787">
        <v>75.69</v>
      </c>
      <c r="BG268" s="325">
        <v>150000722</v>
      </c>
    </row>
    <row r="269" spans="1:59" ht="24.9" customHeight="1" x14ac:dyDescent="0.3">
      <c r="A269" s="325">
        <v>150000723</v>
      </c>
      <c r="B269" s="445" t="s">
        <v>276</v>
      </c>
      <c r="C269" s="27">
        <v>5</v>
      </c>
      <c r="D269" s="101" t="s">
        <v>455</v>
      </c>
      <c r="E269" s="786">
        <v>3575.4</v>
      </c>
      <c r="F269" s="5">
        <v>3397</v>
      </c>
      <c r="G269" s="5">
        <v>0</v>
      </c>
      <c r="H269" s="5">
        <v>-3397</v>
      </c>
      <c r="I269" s="5">
        <v>0</v>
      </c>
      <c r="J269" s="5">
        <v>0</v>
      </c>
      <c r="K269" s="153"/>
      <c r="L269" s="5">
        <v>0</v>
      </c>
      <c r="M269" s="5">
        <v>0</v>
      </c>
      <c r="N269" s="5"/>
      <c r="O269" s="5">
        <v>0</v>
      </c>
      <c r="P269" s="5">
        <v>0</v>
      </c>
      <c r="Q269" s="788"/>
      <c r="R269" s="5">
        <v>0</v>
      </c>
      <c r="S269" s="5">
        <v>0</v>
      </c>
      <c r="T269" s="628"/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/>
      <c r="AA269" s="5">
        <v>0</v>
      </c>
      <c r="AB269" s="5">
        <v>0</v>
      </c>
      <c r="AC269" s="5">
        <v>0</v>
      </c>
      <c r="AD269" s="5">
        <v>0</v>
      </c>
      <c r="AE269" s="5">
        <v>761.91802165386969</v>
      </c>
      <c r="AF269" s="5">
        <v>2355</v>
      </c>
      <c r="AG269" s="8"/>
      <c r="AH269" s="5">
        <v>890.03638000060664</v>
      </c>
      <c r="AI269" s="5">
        <v>0</v>
      </c>
      <c r="AJ269" s="5"/>
      <c r="AK269" s="5">
        <v>252.3406266170567</v>
      </c>
      <c r="AL269" s="5">
        <v>0</v>
      </c>
      <c r="AM269" s="5"/>
      <c r="AN269" s="5">
        <v>0</v>
      </c>
      <c r="AO269" s="5">
        <v>0</v>
      </c>
      <c r="AP269" s="5"/>
      <c r="AQ269" s="5">
        <v>0</v>
      </c>
      <c r="AR269" s="5">
        <v>0</v>
      </c>
      <c r="AS269" s="5"/>
      <c r="AT269" s="5">
        <v>591.66741348011692</v>
      </c>
      <c r="AU269" s="5">
        <v>0</v>
      </c>
      <c r="AV269" s="5"/>
      <c r="AW269" s="5">
        <v>71.754000000000005</v>
      </c>
      <c r="AX269" s="5">
        <v>0</v>
      </c>
      <c r="AY269" s="5"/>
      <c r="AZ269" s="5">
        <v>1284</v>
      </c>
      <c r="BA269" s="5">
        <v>0</v>
      </c>
      <c r="BB269" s="5">
        <v>-1284</v>
      </c>
      <c r="BD269" s="2">
        <v>2</v>
      </c>
      <c r="BF269" s="787">
        <v>3.48</v>
      </c>
      <c r="BG269" s="325">
        <v>150000723</v>
      </c>
    </row>
    <row r="270" spans="1:59" ht="24.9" customHeight="1" x14ac:dyDescent="0.3">
      <c r="A270" s="325">
        <v>150000724</v>
      </c>
      <c r="B270" s="445" t="s">
        <v>277</v>
      </c>
      <c r="C270" s="27">
        <v>5</v>
      </c>
      <c r="D270" s="101" t="s">
        <v>455</v>
      </c>
      <c r="E270" s="786">
        <v>3565</v>
      </c>
      <c r="F270" s="5">
        <v>3400</v>
      </c>
      <c r="G270" s="5">
        <v>1196</v>
      </c>
      <c r="H270" s="5">
        <v>-2901</v>
      </c>
      <c r="I270" s="5">
        <v>0</v>
      </c>
      <c r="J270" s="5">
        <v>0</v>
      </c>
      <c r="K270" s="153"/>
      <c r="L270" s="5">
        <v>0</v>
      </c>
      <c r="M270" s="5">
        <v>0</v>
      </c>
      <c r="N270" s="5"/>
      <c r="O270" s="5">
        <v>0</v>
      </c>
      <c r="P270" s="5">
        <v>0</v>
      </c>
      <c r="Q270" s="788"/>
      <c r="R270" s="5">
        <v>0</v>
      </c>
      <c r="S270" s="5">
        <v>0</v>
      </c>
      <c r="T270" s="628"/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/>
      <c r="AA270" s="5">
        <v>0</v>
      </c>
      <c r="AB270" s="5">
        <v>0</v>
      </c>
      <c r="AC270" s="5">
        <v>0</v>
      </c>
      <c r="AD270" s="5">
        <v>1196</v>
      </c>
      <c r="AE270" s="5">
        <v>761.91384736104101</v>
      </c>
      <c r="AF270" s="5">
        <v>484</v>
      </c>
      <c r="AG270" s="5"/>
      <c r="AH270" s="5">
        <v>890.03638000060664</v>
      </c>
      <c r="AI270" s="5">
        <v>64</v>
      </c>
      <c r="AJ270" s="5"/>
      <c r="AK270" s="5">
        <v>252.3406266170567</v>
      </c>
      <c r="AL270" s="5">
        <v>0</v>
      </c>
      <c r="AM270" s="5"/>
      <c r="AN270" s="5">
        <v>0</v>
      </c>
      <c r="AO270" s="5">
        <v>0</v>
      </c>
      <c r="AP270" s="5"/>
      <c r="AQ270" s="5">
        <v>0</v>
      </c>
      <c r="AR270" s="5">
        <v>0</v>
      </c>
      <c r="AS270" s="5"/>
      <c r="AT270" s="5">
        <v>591.66741348011692</v>
      </c>
      <c r="AU270" s="5">
        <v>0</v>
      </c>
      <c r="AV270" s="5"/>
      <c r="AW270" s="5">
        <v>71.650000000000006</v>
      </c>
      <c r="AX270" s="5">
        <v>0</v>
      </c>
      <c r="AY270" s="5"/>
      <c r="AZ270" s="5">
        <v>1284</v>
      </c>
      <c r="BA270" s="5">
        <v>549</v>
      </c>
      <c r="BB270" s="5">
        <v>-735</v>
      </c>
      <c r="BD270" s="2">
        <v>2</v>
      </c>
      <c r="BF270" s="787">
        <v>75.7</v>
      </c>
      <c r="BG270" s="325">
        <v>150000724</v>
      </c>
    </row>
    <row r="271" spans="1:59" ht="24.9" customHeight="1" x14ac:dyDescent="0.3">
      <c r="A271" s="325">
        <v>150000725</v>
      </c>
      <c r="B271" s="445" t="s">
        <v>278</v>
      </c>
      <c r="C271" s="27">
        <v>5</v>
      </c>
      <c r="D271" s="101" t="s">
        <v>455</v>
      </c>
      <c r="E271" s="786">
        <v>3572.16</v>
      </c>
      <c r="F271" s="5">
        <v>3386</v>
      </c>
      <c r="G271" s="5">
        <v>0</v>
      </c>
      <c r="H271" s="5">
        <v>-3386</v>
      </c>
      <c r="I271" s="5">
        <v>0</v>
      </c>
      <c r="J271" s="5">
        <v>0</v>
      </c>
      <c r="K271" s="153"/>
      <c r="L271" s="5">
        <v>0</v>
      </c>
      <c r="M271" s="5">
        <v>0</v>
      </c>
      <c r="N271" s="5"/>
      <c r="O271" s="5">
        <v>0</v>
      </c>
      <c r="P271" s="5">
        <v>0</v>
      </c>
      <c r="Q271" s="784"/>
      <c r="R271" s="5">
        <v>0</v>
      </c>
      <c r="S271" s="5">
        <v>0</v>
      </c>
      <c r="T271" s="628"/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/>
      <c r="AA271" s="5">
        <v>0</v>
      </c>
      <c r="AB271" s="5">
        <v>0</v>
      </c>
      <c r="AC271" s="5">
        <v>0</v>
      </c>
      <c r="AD271" s="5">
        <v>0</v>
      </c>
      <c r="AE271" s="5">
        <v>761.91384736104101</v>
      </c>
      <c r="AF271" s="5">
        <v>220</v>
      </c>
      <c r="AG271" s="5"/>
      <c r="AH271" s="5">
        <v>890.03638000060664</v>
      </c>
      <c r="AI271" s="5">
        <v>0</v>
      </c>
      <c r="AJ271" s="5"/>
      <c r="AK271" s="5">
        <v>250.19660060639171</v>
      </c>
      <c r="AL271" s="5">
        <v>0</v>
      </c>
      <c r="AM271" s="5"/>
      <c r="AN271" s="5">
        <v>0</v>
      </c>
      <c r="AO271" s="5">
        <v>0</v>
      </c>
      <c r="AP271" s="5"/>
      <c r="AQ271" s="5">
        <v>0</v>
      </c>
      <c r="AR271" s="5">
        <v>0</v>
      </c>
      <c r="AS271" s="5"/>
      <c r="AT271" s="5">
        <v>591.66741348011692</v>
      </c>
      <c r="AU271" s="5">
        <v>0</v>
      </c>
      <c r="AV271" s="5"/>
      <c r="AW271" s="5">
        <v>71.721599999999995</v>
      </c>
      <c r="AX271" s="5">
        <v>0</v>
      </c>
      <c r="AY271" s="5"/>
      <c r="AZ271" s="5">
        <v>1283</v>
      </c>
      <c r="BA271" s="5">
        <v>220</v>
      </c>
      <c r="BB271" s="5">
        <v>-1062</v>
      </c>
      <c r="BD271" s="2">
        <v>2</v>
      </c>
      <c r="BF271" s="787">
        <v>3.48</v>
      </c>
      <c r="BG271" s="325">
        <v>150000725</v>
      </c>
    </row>
    <row r="272" spans="1:59" ht="24.9" customHeight="1" x14ac:dyDescent="0.3">
      <c r="A272" s="325">
        <v>150000710</v>
      </c>
      <c r="B272" s="445" t="s">
        <v>279</v>
      </c>
      <c r="C272" s="27">
        <v>5</v>
      </c>
      <c r="D272" s="101" t="s">
        <v>455</v>
      </c>
      <c r="E272" s="786">
        <v>4471.5</v>
      </c>
      <c r="F272" s="5">
        <v>1915</v>
      </c>
      <c r="G272" s="5">
        <v>2177</v>
      </c>
      <c r="H272" s="5">
        <v>-1915</v>
      </c>
      <c r="I272" s="5">
        <v>0</v>
      </c>
      <c r="J272" s="5">
        <v>0</v>
      </c>
      <c r="K272" s="153"/>
      <c r="L272" s="5">
        <v>0</v>
      </c>
      <c r="M272" s="5">
        <v>0</v>
      </c>
      <c r="N272" s="5"/>
      <c r="O272" s="5">
        <v>0</v>
      </c>
      <c r="P272" s="5">
        <v>0</v>
      </c>
      <c r="Q272" s="784"/>
      <c r="R272" s="5">
        <v>0</v>
      </c>
      <c r="S272" s="5">
        <v>0</v>
      </c>
      <c r="T272" s="628"/>
      <c r="U272" s="5">
        <v>0</v>
      </c>
      <c r="V272" s="5">
        <v>0</v>
      </c>
      <c r="W272" s="5">
        <v>0</v>
      </c>
      <c r="X272" s="5">
        <v>0</v>
      </c>
      <c r="Y272" s="5">
        <v>1875</v>
      </c>
      <c r="Z272" s="5"/>
      <c r="AA272" s="5">
        <v>0</v>
      </c>
      <c r="AB272" s="5">
        <v>302</v>
      </c>
      <c r="AC272" s="5">
        <v>0</v>
      </c>
      <c r="AD272" s="5">
        <v>0</v>
      </c>
      <c r="AE272" s="5">
        <v>1074.3835588343431</v>
      </c>
      <c r="AF272" s="5">
        <v>0</v>
      </c>
      <c r="AG272" s="8"/>
      <c r="AH272" s="5">
        <v>1461.534824990149</v>
      </c>
      <c r="AI272" s="5">
        <v>0</v>
      </c>
      <c r="AJ272" s="8"/>
      <c r="AK272" s="5">
        <v>278.28878126312327</v>
      </c>
      <c r="AL272" s="5">
        <v>1225</v>
      </c>
      <c r="AM272" s="5"/>
      <c r="AN272" s="5">
        <v>0</v>
      </c>
      <c r="AO272" s="5">
        <v>0</v>
      </c>
      <c r="AP272" s="5"/>
      <c r="AQ272" s="5">
        <v>0</v>
      </c>
      <c r="AR272" s="5">
        <v>0</v>
      </c>
      <c r="AS272" s="5"/>
      <c r="AT272" s="5">
        <v>1133.5813084291804</v>
      </c>
      <c r="AU272" s="5">
        <v>0</v>
      </c>
      <c r="AV272" s="5"/>
      <c r="AW272" s="5">
        <v>91.552999999999997</v>
      </c>
      <c r="AX272" s="5">
        <v>0</v>
      </c>
      <c r="AY272" s="5"/>
      <c r="AZ272" s="5">
        <v>2019</v>
      </c>
      <c r="BA272" s="5">
        <v>0</v>
      </c>
      <c r="BB272" s="5">
        <v>-2019</v>
      </c>
      <c r="BD272" s="2">
        <v>3</v>
      </c>
      <c r="BF272" s="787">
        <v>17.850000000000001</v>
      </c>
      <c r="BG272" s="325">
        <v>150000710</v>
      </c>
    </row>
    <row r="273" spans="1:59" ht="24.9" customHeight="1" x14ac:dyDescent="0.3">
      <c r="A273" s="325">
        <v>150000711</v>
      </c>
      <c r="B273" s="445" t="s">
        <v>280</v>
      </c>
      <c r="C273" s="27">
        <v>5</v>
      </c>
      <c r="D273" s="101" t="s">
        <v>455</v>
      </c>
      <c r="E273" s="786">
        <v>4577.8</v>
      </c>
      <c r="F273" s="5">
        <v>2879</v>
      </c>
      <c r="G273" s="5">
        <v>1437</v>
      </c>
      <c r="H273" s="5">
        <v>-1442</v>
      </c>
      <c r="I273" s="5">
        <v>0</v>
      </c>
      <c r="J273" s="5">
        <v>0</v>
      </c>
      <c r="K273" s="153"/>
      <c r="L273" s="5">
        <v>0</v>
      </c>
      <c r="M273" s="5">
        <v>0</v>
      </c>
      <c r="N273" s="5"/>
      <c r="O273" s="5">
        <v>0</v>
      </c>
      <c r="P273" s="5">
        <v>0</v>
      </c>
      <c r="Q273" s="784"/>
      <c r="R273" s="5">
        <v>0</v>
      </c>
      <c r="S273" s="5">
        <v>0</v>
      </c>
      <c r="T273" s="628"/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/>
      <c r="AA273" s="5">
        <v>0</v>
      </c>
      <c r="AB273" s="5">
        <v>0</v>
      </c>
      <c r="AC273" s="5">
        <v>0</v>
      </c>
      <c r="AD273" s="5">
        <v>1437</v>
      </c>
      <c r="AE273" s="5">
        <v>1075.5312476947502</v>
      </c>
      <c r="AF273" s="5">
        <v>0</v>
      </c>
      <c r="AG273" s="5"/>
      <c r="AH273" s="5">
        <v>1461.6708159510963</v>
      </c>
      <c r="AI273" s="5">
        <v>0</v>
      </c>
      <c r="AJ273" s="5"/>
      <c r="AK273" s="5">
        <v>287.67986912503</v>
      </c>
      <c r="AL273" s="5">
        <v>3066</v>
      </c>
      <c r="AM273" s="5"/>
      <c r="AN273" s="5">
        <v>0</v>
      </c>
      <c r="AO273" s="5">
        <v>0</v>
      </c>
      <c r="AP273" s="5"/>
      <c r="AQ273" s="5">
        <v>693.6895941042286</v>
      </c>
      <c r="AR273" s="5">
        <v>0</v>
      </c>
      <c r="AS273" s="5"/>
      <c r="AT273" s="5">
        <v>1134.108759751427</v>
      </c>
      <c r="AU273" s="5">
        <v>0</v>
      </c>
      <c r="AV273" s="5"/>
      <c r="AW273" s="5">
        <v>91.771999999999991</v>
      </c>
      <c r="AX273" s="5">
        <v>0</v>
      </c>
      <c r="AY273" s="5"/>
      <c r="AZ273" s="5">
        <v>2371</v>
      </c>
      <c r="BA273" s="5">
        <v>0</v>
      </c>
      <c r="BB273" s="5">
        <v>-2371</v>
      </c>
      <c r="BD273" s="2">
        <v>3</v>
      </c>
      <c r="BF273" s="787">
        <v>17.940000000000001</v>
      </c>
      <c r="BG273" s="325">
        <v>150000711</v>
      </c>
    </row>
    <row r="274" spans="1:59" ht="24.9" customHeight="1" x14ac:dyDescent="0.3">
      <c r="A274" s="325">
        <v>150000712</v>
      </c>
      <c r="B274" s="445" t="s">
        <v>281</v>
      </c>
      <c r="C274" s="27">
        <v>5</v>
      </c>
      <c r="D274" s="101" t="s">
        <v>455</v>
      </c>
      <c r="E274" s="786">
        <v>3208.93</v>
      </c>
      <c r="F274" s="5">
        <v>1982</v>
      </c>
      <c r="G274" s="5">
        <v>46236</v>
      </c>
      <c r="H274" s="5">
        <v>44254</v>
      </c>
      <c r="I274" s="5">
        <v>0</v>
      </c>
      <c r="J274" s="5">
        <v>0</v>
      </c>
      <c r="K274" s="153"/>
      <c r="L274" s="5">
        <v>1</v>
      </c>
      <c r="M274" s="5">
        <v>44277</v>
      </c>
      <c r="N274" s="5"/>
      <c r="O274" s="5">
        <v>0</v>
      </c>
      <c r="P274" s="5">
        <v>0</v>
      </c>
      <c r="Q274" s="784"/>
      <c r="R274" s="5">
        <v>0</v>
      </c>
      <c r="S274" s="5">
        <v>0</v>
      </c>
      <c r="T274" s="628"/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/>
      <c r="AA274" s="5">
        <v>0</v>
      </c>
      <c r="AB274" s="5">
        <v>0</v>
      </c>
      <c r="AC274" s="5">
        <v>1959</v>
      </c>
      <c r="AD274" s="5">
        <v>0</v>
      </c>
      <c r="AE274" s="5">
        <v>736.31875931191507</v>
      </c>
      <c r="AF274" s="5">
        <v>0</v>
      </c>
      <c r="AG274" s="454"/>
      <c r="AH274" s="5">
        <v>981.57372120839659</v>
      </c>
      <c r="AI274" s="5">
        <v>0</v>
      </c>
      <c r="AJ274" s="8"/>
      <c r="AK274" s="5">
        <v>201.858329085885</v>
      </c>
      <c r="AL274" s="5">
        <v>2044</v>
      </c>
      <c r="AM274" s="5"/>
      <c r="AN274" s="5">
        <v>0</v>
      </c>
      <c r="AO274" s="5">
        <v>0</v>
      </c>
      <c r="AP274" s="452"/>
      <c r="AQ274" s="5">
        <v>0</v>
      </c>
      <c r="AR274" s="5">
        <v>0</v>
      </c>
      <c r="AS274" s="5"/>
      <c r="AT274" s="5">
        <v>573.75197359446679</v>
      </c>
      <c r="AU274" s="5">
        <v>0</v>
      </c>
      <c r="AV274" s="5"/>
      <c r="AW274" s="5">
        <v>64.089300000000009</v>
      </c>
      <c r="AX274" s="5">
        <v>0</v>
      </c>
      <c r="AY274" s="5"/>
      <c r="AZ274" s="5">
        <v>1279</v>
      </c>
      <c r="BA274" s="5">
        <v>0</v>
      </c>
      <c r="BB274" s="5">
        <v>-1279</v>
      </c>
      <c r="BD274" s="2">
        <v>3</v>
      </c>
      <c r="BF274" s="787">
        <v>12.58</v>
      </c>
      <c r="BG274" s="325">
        <v>150000712</v>
      </c>
    </row>
    <row r="275" spans="1:59" ht="24.9" customHeight="1" x14ac:dyDescent="0.3">
      <c r="A275" s="325">
        <v>150000713</v>
      </c>
      <c r="B275" s="445" t="s">
        <v>282</v>
      </c>
      <c r="C275" s="27">
        <v>5</v>
      </c>
      <c r="D275" s="101" t="s">
        <v>455</v>
      </c>
      <c r="E275" s="786">
        <v>5977.7</v>
      </c>
      <c r="F275" s="5">
        <v>3963</v>
      </c>
      <c r="G275" s="5">
        <v>10343</v>
      </c>
      <c r="H275" s="5">
        <v>6380</v>
      </c>
      <c r="I275" s="5">
        <v>0</v>
      </c>
      <c r="J275" s="5">
        <v>0</v>
      </c>
      <c r="K275" s="153"/>
      <c r="L275" s="5">
        <v>0</v>
      </c>
      <c r="M275" s="5">
        <v>0</v>
      </c>
      <c r="N275" s="5"/>
      <c r="O275" s="5">
        <v>0</v>
      </c>
      <c r="P275" s="5">
        <v>0</v>
      </c>
      <c r="Q275" s="784"/>
      <c r="R275" s="5">
        <v>0</v>
      </c>
      <c r="S275" s="5">
        <v>0</v>
      </c>
      <c r="T275" s="628"/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/>
      <c r="AA275" s="5">
        <v>0</v>
      </c>
      <c r="AB275" s="5">
        <v>0</v>
      </c>
      <c r="AC275" s="5">
        <v>0</v>
      </c>
      <c r="AD275" s="5">
        <v>10343</v>
      </c>
      <c r="AE275" s="5">
        <v>1422.1508240054682</v>
      </c>
      <c r="AF275" s="5">
        <v>0</v>
      </c>
      <c r="AG275" s="5"/>
      <c r="AH275" s="5">
        <v>1950.1100682828242</v>
      </c>
      <c r="AI275" s="5">
        <v>0</v>
      </c>
      <c r="AJ275" s="454"/>
      <c r="AK275" s="5">
        <v>370.18708178420002</v>
      </c>
      <c r="AL275" s="5">
        <v>2044</v>
      </c>
      <c r="AM275" s="5"/>
      <c r="AN275" s="5">
        <v>0</v>
      </c>
      <c r="AO275" s="5">
        <v>0</v>
      </c>
      <c r="AP275" s="5"/>
      <c r="AQ275" s="5">
        <v>1073.6730586537483</v>
      </c>
      <c r="AR275" s="5">
        <v>0</v>
      </c>
      <c r="AS275" s="5"/>
      <c r="AT275" s="5">
        <v>1926.3552709331068</v>
      </c>
      <c r="AU275" s="5">
        <v>0</v>
      </c>
      <c r="AV275" s="5"/>
      <c r="AW275" s="5">
        <v>124.03999999999999</v>
      </c>
      <c r="AX275" s="5">
        <v>0</v>
      </c>
      <c r="AY275" s="5"/>
      <c r="AZ275" s="5">
        <v>3434</v>
      </c>
      <c r="BA275" s="5">
        <v>0</v>
      </c>
      <c r="BB275" s="5">
        <v>-3434</v>
      </c>
      <c r="BD275" s="2">
        <v>3</v>
      </c>
      <c r="BF275" s="787">
        <v>24.32</v>
      </c>
      <c r="BG275" s="325">
        <v>150000713</v>
      </c>
    </row>
    <row r="276" spans="1:59" ht="24.9" customHeight="1" x14ac:dyDescent="0.3">
      <c r="A276" s="325">
        <v>150000714</v>
      </c>
      <c r="B276" s="445" t="s">
        <v>283</v>
      </c>
      <c r="C276" s="27">
        <v>5</v>
      </c>
      <c r="D276" s="101" t="s">
        <v>455</v>
      </c>
      <c r="E276" s="786">
        <v>2767.8</v>
      </c>
      <c r="F276" s="5">
        <v>2020</v>
      </c>
      <c r="G276" s="5">
        <v>516</v>
      </c>
      <c r="H276" s="5">
        <v>-2020</v>
      </c>
      <c r="I276" s="5">
        <v>0</v>
      </c>
      <c r="J276" s="5">
        <v>0</v>
      </c>
      <c r="K276" s="153"/>
      <c r="L276" s="5">
        <v>0</v>
      </c>
      <c r="M276" s="5">
        <v>0</v>
      </c>
      <c r="N276" s="5"/>
      <c r="O276" s="5">
        <v>0</v>
      </c>
      <c r="P276" s="5">
        <v>0</v>
      </c>
      <c r="Q276" s="784"/>
      <c r="R276" s="5">
        <v>0</v>
      </c>
      <c r="S276" s="5">
        <v>0</v>
      </c>
      <c r="T276" s="628"/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/>
      <c r="AA276" s="5">
        <v>0</v>
      </c>
      <c r="AB276" s="5">
        <v>0</v>
      </c>
      <c r="AC276" s="5">
        <v>0</v>
      </c>
      <c r="AD276" s="5">
        <v>516</v>
      </c>
      <c r="AE276" s="5">
        <v>694.06264625596987</v>
      </c>
      <c r="AF276" s="5">
        <v>0</v>
      </c>
      <c r="AG276" s="454"/>
      <c r="AH276" s="5">
        <v>958.19999565876878</v>
      </c>
      <c r="AI276" s="5">
        <v>0</v>
      </c>
      <c r="AJ276" s="5"/>
      <c r="AK276" s="5">
        <v>166.40298401696168</v>
      </c>
      <c r="AL276" s="5">
        <v>1079</v>
      </c>
      <c r="AM276" s="5"/>
      <c r="AN276" s="5">
        <v>0</v>
      </c>
      <c r="AO276" s="5">
        <v>0</v>
      </c>
      <c r="AP276" s="5"/>
      <c r="AQ276" s="5">
        <v>0</v>
      </c>
      <c r="AR276" s="5">
        <v>0</v>
      </c>
      <c r="AS276" s="5"/>
      <c r="AT276" s="5">
        <v>512.19685389039205</v>
      </c>
      <c r="AU276" s="5">
        <v>0</v>
      </c>
      <c r="AV276" s="5"/>
      <c r="AW276" s="5">
        <v>55.661999999999999</v>
      </c>
      <c r="AX276" s="5">
        <v>0</v>
      </c>
      <c r="AY276" s="5"/>
      <c r="AZ276" s="5">
        <v>1194</v>
      </c>
      <c r="BA276" s="5">
        <v>1079</v>
      </c>
      <c r="BB276" s="5">
        <v>-114</v>
      </c>
      <c r="BD276" s="2">
        <v>3</v>
      </c>
      <c r="BF276" s="787">
        <v>10.84</v>
      </c>
      <c r="BG276" s="325">
        <v>150000714</v>
      </c>
    </row>
    <row r="277" spans="1:59" ht="24.9" customHeight="1" x14ac:dyDescent="0.3">
      <c r="A277" s="325">
        <v>150000715</v>
      </c>
      <c r="B277" s="445" t="s">
        <v>284</v>
      </c>
      <c r="C277" s="27">
        <v>5</v>
      </c>
      <c r="D277" s="101" t="s">
        <v>455</v>
      </c>
      <c r="E277" s="786">
        <v>4580.3</v>
      </c>
      <c r="F277" s="5">
        <v>2888</v>
      </c>
      <c r="G277" s="5">
        <v>3448</v>
      </c>
      <c r="H277" s="5">
        <v>560</v>
      </c>
      <c r="I277" s="5">
        <v>0</v>
      </c>
      <c r="J277" s="5">
        <v>0</v>
      </c>
      <c r="K277" s="153"/>
      <c r="L277" s="5">
        <v>0</v>
      </c>
      <c r="M277" s="5">
        <v>0</v>
      </c>
      <c r="N277" s="5"/>
      <c r="O277" s="5">
        <v>0</v>
      </c>
      <c r="P277" s="5">
        <v>0</v>
      </c>
      <c r="Q277" s="784"/>
      <c r="R277" s="5">
        <v>0</v>
      </c>
      <c r="S277" s="5">
        <v>0</v>
      </c>
      <c r="T277" s="628"/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/>
      <c r="AA277" s="5">
        <v>0</v>
      </c>
      <c r="AB277" s="5">
        <v>0</v>
      </c>
      <c r="AC277" s="5">
        <v>0</v>
      </c>
      <c r="AD277" s="5">
        <v>3448</v>
      </c>
      <c r="AE277" s="5">
        <v>1077.8145749416028</v>
      </c>
      <c r="AF277" s="5">
        <v>1200</v>
      </c>
      <c r="AG277" s="5"/>
      <c r="AH277" s="5">
        <v>1463.507799312142</v>
      </c>
      <c r="AI277" s="5">
        <v>0</v>
      </c>
      <c r="AJ277" s="5"/>
      <c r="AK277" s="5">
        <v>291.74736026631831</v>
      </c>
      <c r="AL277" s="5">
        <v>1811</v>
      </c>
      <c r="AM277" s="466"/>
      <c r="AN277" s="5">
        <v>0</v>
      </c>
      <c r="AO277" s="5">
        <v>0</v>
      </c>
      <c r="AP277" s="5"/>
      <c r="AQ277" s="5">
        <v>707.82802133528287</v>
      </c>
      <c r="AR277" s="5">
        <v>0</v>
      </c>
      <c r="AS277" s="5"/>
      <c r="AT277" s="5">
        <v>1141.81553920223</v>
      </c>
      <c r="AU277" s="5">
        <v>0</v>
      </c>
      <c r="AV277" s="8"/>
      <c r="AW277" s="5">
        <v>91.802999999999997</v>
      </c>
      <c r="AX277" s="5">
        <v>0</v>
      </c>
      <c r="AY277" s="5"/>
      <c r="AZ277" s="5">
        <v>2387</v>
      </c>
      <c r="BA277" s="5">
        <v>0</v>
      </c>
      <c r="BB277" s="5">
        <v>-2387</v>
      </c>
      <c r="BD277" s="2">
        <v>3</v>
      </c>
      <c r="BF277" s="787">
        <v>17.95</v>
      </c>
      <c r="BG277" s="325">
        <v>150000715</v>
      </c>
    </row>
    <row r="278" spans="1:59" ht="24.9" customHeight="1" x14ac:dyDescent="0.3">
      <c r="A278" s="325">
        <v>150000719</v>
      </c>
      <c r="B278" s="445" t="s">
        <v>285</v>
      </c>
      <c r="C278" s="27">
        <v>5</v>
      </c>
      <c r="D278" s="101" t="s">
        <v>455</v>
      </c>
      <c r="E278" s="786">
        <v>6211.1</v>
      </c>
      <c r="F278" s="5">
        <v>2610</v>
      </c>
      <c r="G278" s="5">
        <v>296</v>
      </c>
      <c r="H278" s="5">
        <v>-2610</v>
      </c>
      <c r="I278" s="5">
        <v>0</v>
      </c>
      <c r="J278" s="5">
        <v>0</v>
      </c>
      <c r="K278" s="153"/>
      <c r="L278" s="5">
        <v>0</v>
      </c>
      <c r="M278" s="5">
        <v>0</v>
      </c>
      <c r="N278" s="789"/>
      <c r="O278" s="5">
        <v>0</v>
      </c>
      <c r="P278" s="5">
        <v>0</v>
      </c>
      <c r="Q278" s="784"/>
      <c r="R278" s="5">
        <v>0</v>
      </c>
      <c r="S278" s="5">
        <v>0</v>
      </c>
      <c r="T278" s="628"/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467"/>
      <c r="AA278" s="5">
        <v>0</v>
      </c>
      <c r="AB278" s="5">
        <v>0</v>
      </c>
      <c r="AC278" s="5">
        <v>0</v>
      </c>
      <c r="AD278" s="5">
        <v>296</v>
      </c>
      <c r="AE278" s="5">
        <v>1424.1616794616991</v>
      </c>
      <c r="AF278" s="5">
        <v>0</v>
      </c>
      <c r="AG278" s="8"/>
      <c r="AH278" s="5">
        <v>1951.8110910011346</v>
      </c>
      <c r="AI278" s="5">
        <v>0</v>
      </c>
      <c r="AJ278" s="8"/>
      <c r="AK278" s="5">
        <v>381.60090135717002</v>
      </c>
      <c r="AL278" s="5">
        <v>456</v>
      </c>
      <c r="AM278" s="5"/>
      <c r="AN278" s="5">
        <v>0</v>
      </c>
      <c r="AO278" s="5">
        <v>0</v>
      </c>
      <c r="AP278" s="5"/>
      <c r="AQ278" s="5">
        <v>1073.6730586537483</v>
      </c>
      <c r="AR278" s="5">
        <v>0</v>
      </c>
      <c r="AS278" s="5"/>
      <c r="AT278" s="5">
        <v>1948.4916166498576</v>
      </c>
      <c r="AU278" s="5">
        <v>0</v>
      </c>
      <c r="AV278" s="8"/>
      <c r="AW278" s="5">
        <v>124.11</v>
      </c>
      <c r="AX278" s="5">
        <v>0</v>
      </c>
      <c r="AY278" s="5"/>
      <c r="AZ278" s="5">
        <v>3452</v>
      </c>
      <c r="BA278" s="5">
        <v>0</v>
      </c>
      <c r="BB278" s="5">
        <v>-3452</v>
      </c>
      <c r="BD278" s="2">
        <v>3</v>
      </c>
      <c r="BF278" s="787">
        <v>24.34</v>
      </c>
      <c r="BG278" s="325">
        <v>150000719</v>
      </c>
    </row>
    <row r="279" spans="1:59" ht="24.9" customHeight="1" x14ac:dyDescent="0.3">
      <c r="A279" s="325">
        <v>150000716</v>
      </c>
      <c r="B279" s="445" t="s">
        <v>286</v>
      </c>
      <c r="C279" s="27">
        <v>5</v>
      </c>
      <c r="D279" s="101" t="s">
        <v>455</v>
      </c>
      <c r="E279" s="786">
        <v>3171.42</v>
      </c>
      <c r="F279" s="5">
        <v>2001</v>
      </c>
      <c r="G279" s="5">
        <v>3075</v>
      </c>
      <c r="H279" s="5">
        <v>585</v>
      </c>
      <c r="I279" s="5">
        <v>0</v>
      </c>
      <c r="J279" s="5">
        <v>0</v>
      </c>
      <c r="K279" s="153"/>
      <c r="L279" s="5">
        <v>0</v>
      </c>
      <c r="M279" s="5">
        <v>0</v>
      </c>
      <c r="N279" s="5"/>
      <c r="O279" s="5">
        <v>0</v>
      </c>
      <c r="P279" s="5">
        <v>0</v>
      </c>
      <c r="Q279" s="784"/>
      <c r="R279" s="5">
        <v>0</v>
      </c>
      <c r="S279" s="5">
        <v>0</v>
      </c>
      <c r="T279" s="628"/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/>
      <c r="AA279" s="5">
        <v>0</v>
      </c>
      <c r="AB279" s="5">
        <v>0</v>
      </c>
      <c r="AC279" s="5">
        <v>0</v>
      </c>
      <c r="AD279" s="5">
        <v>3075</v>
      </c>
      <c r="AE279" s="5">
        <v>872.40895054260409</v>
      </c>
      <c r="AF279" s="5">
        <v>0</v>
      </c>
      <c r="AG279" s="5"/>
      <c r="AH279" s="5">
        <v>980.43776056566162</v>
      </c>
      <c r="AI279" s="5">
        <v>0</v>
      </c>
      <c r="AJ279" s="5"/>
      <c r="AK279" s="5">
        <v>197.6032808220983</v>
      </c>
      <c r="AL279" s="5">
        <v>0</v>
      </c>
      <c r="AM279" s="5"/>
      <c r="AN279" s="5">
        <v>0</v>
      </c>
      <c r="AO279" s="5">
        <v>0</v>
      </c>
      <c r="AP279" s="5"/>
      <c r="AQ279" s="5">
        <v>0</v>
      </c>
      <c r="AR279" s="5">
        <v>0</v>
      </c>
      <c r="AS279" s="5"/>
      <c r="AT279" s="5">
        <v>581.88430184009746</v>
      </c>
      <c r="AU279" s="5">
        <v>0</v>
      </c>
      <c r="AV279" s="5"/>
      <c r="AW279" s="5">
        <v>64.013200000000012</v>
      </c>
      <c r="AX279" s="5">
        <v>0</v>
      </c>
      <c r="AY279" s="5"/>
      <c r="AZ279" s="5">
        <v>1348</v>
      </c>
      <c r="BA279" s="5">
        <v>0</v>
      </c>
      <c r="BB279" s="5">
        <v>-1348</v>
      </c>
      <c r="BD279" s="2">
        <v>3</v>
      </c>
      <c r="BF279" s="787">
        <v>12.55</v>
      </c>
      <c r="BG279" s="325">
        <v>150000716</v>
      </c>
    </row>
    <row r="280" spans="1:59" ht="24.9" customHeight="1" x14ac:dyDescent="0.3">
      <c r="A280" s="325">
        <v>150000717</v>
      </c>
      <c r="B280" s="445" t="s">
        <v>287</v>
      </c>
      <c r="C280" s="27">
        <v>5</v>
      </c>
      <c r="D280" s="101" t="s">
        <v>455</v>
      </c>
      <c r="E280" s="786">
        <v>3165.33</v>
      </c>
      <c r="F280" s="5">
        <v>1966</v>
      </c>
      <c r="G280" s="5">
        <v>0</v>
      </c>
      <c r="H280" s="5">
        <v>-1966</v>
      </c>
      <c r="I280" s="5">
        <v>0</v>
      </c>
      <c r="J280" s="5">
        <v>0</v>
      </c>
      <c r="K280" s="153"/>
      <c r="L280" s="5">
        <v>0</v>
      </c>
      <c r="M280" s="5">
        <v>0</v>
      </c>
      <c r="N280" s="5"/>
      <c r="O280" s="5">
        <v>0</v>
      </c>
      <c r="P280" s="5">
        <v>0</v>
      </c>
      <c r="Q280" s="784"/>
      <c r="R280" s="5">
        <v>0</v>
      </c>
      <c r="S280" s="5">
        <v>0</v>
      </c>
      <c r="T280" s="628"/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/>
      <c r="AA280" s="5">
        <v>0</v>
      </c>
      <c r="AB280" s="5">
        <v>0</v>
      </c>
      <c r="AC280" s="5">
        <v>0</v>
      </c>
      <c r="AD280" s="5">
        <v>0</v>
      </c>
      <c r="AE280" s="5">
        <v>868.2870103385485</v>
      </c>
      <c r="AF280" s="5">
        <v>0</v>
      </c>
      <c r="AG280" s="454"/>
      <c r="AH280" s="5">
        <v>980.43776056566162</v>
      </c>
      <c r="AI280" s="5">
        <v>2744</v>
      </c>
      <c r="AJ280" s="5"/>
      <c r="AK280" s="5">
        <v>196.46834968320502</v>
      </c>
      <c r="AL280" s="5">
        <v>0</v>
      </c>
      <c r="AM280" s="5"/>
      <c r="AN280" s="5">
        <v>0</v>
      </c>
      <c r="AO280" s="5">
        <v>0</v>
      </c>
      <c r="AP280" s="5"/>
      <c r="AQ280" s="5">
        <v>0</v>
      </c>
      <c r="AR280" s="5">
        <v>0</v>
      </c>
      <c r="AS280" s="5"/>
      <c r="AT280" s="5">
        <v>582.05991890460177</v>
      </c>
      <c r="AU280" s="5">
        <v>0</v>
      </c>
      <c r="AV280" s="5"/>
      <c r="AW280" s="5">
        <v>63.653300000000002</v>
      </c>
      <c r="AX280" s="5">
        <v>0</v>
      </c>
      <c r="AY280" s="5"/>
      <c r="AZ280" s="5">
        <v>1346</v>
      </c>
      <c r="BA280" s="5">
        <v>0</v>
      </c>
      <c r="BB280" s="5">
        <v>-1346</v>
      </c>
      <c r="BD280" s="2">
        <v>3</v>
      </c>
      <c r="BF280" s="787">
        <v>12.41</v>
      </c>
      <c r="BG280" s="325">
        <v>150000717</v>
      </c>
    </row>
    <row r="281" spans="1:59" ht="24.9" customHeight="1" x14ac:dyDescent="0.3">
      <c r="A281" s="325">
        <v>150000718</v>
      </c>
      <c r="B281" s="445" t="s">
        <v>288</v>
      </c>
      <c r="C281" s="27">
        <v>5</v>
      </c>
      <c r="D281" s="101" t="s">
        <v>455</v>
      </c>
      <c r="E281" s="786">
        <v>4456.7</v>
      </c>
      <c r="F281" s="5">
        <v>2892</v>
      </c>
      <c r="G281" s="5">
        <v>5382</v>
      </c>
      <c r="H281" s="5">
        <v>-2892</v>
      </c>
      <c r="I281" s="5">
        <v>0</v>
      </c>
      <c r="J281" s="5">
        <v>0</v>
      </c>
      <c r="K281" s="153"/>
      <c r="L281" s="5">
        <v>0</v>
      </c>
      <c r="M281" s="5">
        <v>0</v>
      </c>
      <c r="N281" s="5"/>
      <c r="O281" s="5">
        <v>0</v>
      </c>
      <c r="P281" s="5">
        <v>0</v>
      </c>
      <c r="Q281" s="784"/>
      <c r="R281" s="5">
        <v>0</v>
      </c>
      <c r="S281" s="5">
        <v>0</v>
      </c>
      <c r="T281" s="628"/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/>
      <c r="AA281" s="5">
        <v>0</v>
      </c>
      <c r="AB281" s="5">
        <v>0</v>
      </c>
      <c r="AC281" s="5">
        <v>5382</v>
      </c>
      <c r="AD281" s="5">
        <v>0</v>
      </c>
      <c r="AE281" s="5">
        <v>1049.6922319626779</v>
      </c>
      <c r="AF281" s="5">
        <v>0</v>
      </c>
      <c r="AG281" s="5"/>
      <c r="AH281" s="5">
        <v>1450.3344645354375</v>
      </c>
      <c r="AI281" s="5">
        <v>0</v>
      </c>
      <c r="AJ281" s="5"/>
      <c r="AK281" s="5">
        <v>276.31754397996338</v>
      </c>
      <c r="AL281" s="5">
        <v>0</v>
      </c>
      <c r="AM281" s="5"/>
      <c r="AN281" s="5">
        <v>0</v>
      </c>
      <c r="AO281" s="5">
        <v>0</v>
      </c>
      <c r="AP281" s="5"/>
      <c r="AQ281" s="5">
        <v>693.6895941042286</v>
      </c>
      <c r="AR281" s="5">
        <v>0</v>
      </c>
      <c r="AS281" s="5"/>
      <c r="AT281" s="5">
        <v>1090.3742075633006</v>
      </c>
      <c r="AU281" s="5">
        <v>0</v>
      </c>
      <c r="AV281" s="5"/>
      <c r="AW281" s="5">
        <v>89.567000000000007</v>
      </c>
      <c r="AX281" s="5">
        <v>0</v>
      </c>
      <c r="AY281" s="5"/>
      <c r="AZ281" s="5">
        <v>2325</v>
      </c>
      <c r="BA281" s="5">
        <v>0</v>
      </c>
      <c r="BB281" s="5">
        <v>-2325</v>
      </c>
      <c r="BD281" s="2">
        <v>3</v>
      </c>
      <c r="BF281" s="787">
        <v>17.47</v>
      </c>
      <c r="BG281" s="325">
        <v>150000718</v>
      </c>
    </row>
    <row r="282" spans="1:59" ht="24.9" customHeight="1" x14ac:dyDescent="0.3">
      <c r="A282" s="325">
        <v>150000720</v>
      </c>
      <c r="B282" s="445" t="s">
        <v>289</v>
      </c>
      <c r="C282" s="27">
        <v>5</v>
      </c>
      <c r="D282" s="101" t="s">
        <v>455</v>
      </c>
      <c r="E282" s="786">
        <v>3670.1</v>
      </c>
      <c r="F282" s="5">
        <v>1223</v>
      </c>
      <c r="G282" s="5">
        <v>2955</v>
      </c>
      <c r="H282" s="5">
        <v>1363</v>
      </c>
      <c r="I282" s="5">
        <v>0</v>
      </c>
      <c r="J282" s="5">
        <v>0</v>
      </c>
      <c r="K282" s="593"/>
      <c r="L282" s="5">
        <v>0</v>
      </c>
      <c r="M282" s="5">
        <v>0</v>
      </c>
      <c r="N282" s="5"/>
      <c r="O282" s="5">
        <v>0</v>
      </c>
      <c r="P282" s="5">
        <v>0</v>
      </c>
      <c r="Q282" s="784"/>
      <c r="R282" s="5">
        <v>0</v>
      </c>
      <c r="S282" s="5">
        <v>0</v>
      </c>
      <c r="T282" s="628"/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/>
      <c r="AA282" s="5">
        <v>0</v>
      </c>
      <c r="AB282" s="5">
        <v>0</v>
      </c>
      <c r="AC282" s="5">
        <v>0</v>
      </c>
      <c r="AD282" s="5">
        <v>2955</v>
      </c>
      <c r="AE282" s="5">
        <v>721.93842094199954</v>
      </c>
      <c r="AF282" s="5">
        <v>0</v>
      </c>
      <c r="AG282" s="5"/>
      <c r="AH282" s="5">
        <v>940.47324147143718</v>
      </c>
      <c r="AI282" s="5">
        <v>0</v>
      </c>
      <c r="AJ282" s="5"/>
      <c r="AK282" s="5">
        <v>229.51613313447169</v>
      </c>
      <c r="AL282" s="5">
        <v>0</v>
      </c>
      <c r="AM282" s="5"/>
      <c r="AN282" s="5">
        <v>825.62557426544595</v>
      </c>
      <c r="AO282" s="5">
        <v>0</v>
      </c>
      <c r="AP282" s="5"/>
      <c r="AQ282" s="5">
        <v>0</v>
      </c>
      <c r="AR282" s="5">
        <v>0</v>
      </c>
      <c r="AS282" s="5"/>
      <c r="AT282" s="5">
        <v>336.1817586616279</v>
      </c>
      <c r="AU282" s="5">
        <v>0</v>
      </c>
      <c r="AV282" s="5"/>
      <c r="AW282" s="5">
        <v>73.700999999999993</v>
      </c>
      <c r="AX282" s="5">
        <v>0</v>
      </c>
      <c r="AY282" s="5"/>
      <c r="AZ282" s="5">
        <v>1563</v>
      </c>
      <c r="BA282" s="5">
        <v>0</v>
      </c>
      <c r="BB282" s="5">
        <v>-1563</v>
      </c>
      <c r="BD282" s="2">
        <v>3</v>
      </c>
      <c r="BF282" s="787">
        <v>14.38</v>
      </c>
      <c r="BG282" s="325">
        <v>150000720</v>
      </c>
    </row>
    <row r="283" spans="1:59" ht="24.9" customHeight="1" x14ac:dyDescent="0.3">
      <c r="A283" s="325">
        <v>150000750</v>
      </c>
      <c r="B283" s="445" t="s">
        <v>130</v>
      </c>
      <c r="C283" s="27">
        <v>1</v>
      </c>
      <c r="D283" s="101" t="s">
        <v>455</v>
      </c>
      <c r="E283" s="786">
        <v>275.8</v>
      </c>
      <c r="F283" s="5">
        <v>204</v>
      </c>
      <c r="G283" s="5">
        <v>2298</v>
      </c>
      <c r="H283" s="5">
        <v>2094</v>
      </c>
      <c r="I283" s="5">
        <v>0</v>
      </c>
      <c r="J283" s="5">
        <v>0</v>
      </c>
      <c r="K283" s="153"/>
      <c r="L283" s="5">
        <v>0</v>
      </c>
      <c r="M283" s="5">
        <v>0</v>
      </c>
      <c r="N283" s="5"/>
      <c r="O283" s="5">
        <v>0</v>
      </c>
      <c r="P283" s="5">
        <v>0</v>
      </c>
      <c r="Q283" s="784"/>
      <c r="R283" s="5">
        <v>0</v>
      </c>
      <c r="S283" s="5">
        <v>0</v>
      </c>
      <c r="T283" s="628"/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/>
      <c r="AA283" s="5">
        <v>0</v>
      </c>
      <c r="AB283" s="5">
        <v>0</v>
      </c>
      <c r="AC283" s="5">
        <v>0</v>
      </c>
      <c r="AD283" s="5">
        <v>2298</v>
      </c>
      <c r="AE283" s="5">
        <v>0</v>
      </c>
      <c r="AF283" s="5">
        <v>0</v>
      </c>
      <c r="AG283" s="5"/>
      <c r="AH283" s="5">
        <v>0</v>
      </c>
      <c r="AI283" s="5">
        <v>0</v>
      </c>
      <c r="AJ283" s="5"/>
      <c r="AK283" s="5">
        <v>0</v>
      </c>
      <c r="AL283" s="5">
        <v>0</v>
      </c>
      <c r="AM283" s="5"/>
      <c r="AN283" s="5">
        <v>0</v>
      </c>
      <c r="AO283" s="5">
        <v>0</v>
      </c>
      <c r="AP283" s="5"/>
      <c r="AQ283" s="5">
        <v>0</v>
      </c>
      <c r="AR283" s="5">
        <v>0</v>
      </c>
      <c r="AS283" s="5"/>
      <c r="AT283" s="5">
        <v>0</v>
      </c>
      <c r="AU283" s="5">
        <v>0</v>
      </c>
      <c r="AV283" s="5"/>
      <c r="AW283" s="5">
        <v>9.5245457321829736</v>
      </c>
      <c r="AX283" s="5">
        <v>0</v>
      </c>
      <c r="AY283" s="5"/>
      <c r="AZ283" s="5">
        <v>5</v>
      </c>
      <c r="BA283" s="5">
        <v>0</v>
      </c>
      <c r="BB283" s="5">
        <v>-5</v>
      </c>
      <c r="BD283" s="2">
        <v>1</v>
      </c>
      <c r="BF283" s="787">
        <v>0</v>
      </c>
      <c r="BG283" s="325">
        <v>150000750</v>
      </c>
    </row>
    <row r="284" spans="1:59" ht="24.9" customHeight="1" x14ac:dyDescent="0.3">
      <c r="A284" s="325">
        <v>150000751</v>
      </c>
      <c r="B284" s="445" t="s">
        <v>131</v>
      </c>
      <c r="C284" s="27">
        <v>1</v>
      </c>
      <c r="D284" s="101" t="s">
        <v>455</v>
      </c>
      <c r="E284" s="786">
        <v>146.1</v>
      </c>
      <c r="F284" s="5">
        <v>88</v>
      </c>
      <c r="G284" s="5">
        <v>1839</v>
      </c>
      <c r="H284" s="5">
        <v>1751</v>
      </c>
      <c r="I284" s="5">
        <v>0</v>
      </c>
      <c r="J284" s="5">
        <v>0</v>
      </c>
      <c r="K284" s="153"/>
      <c r="L284" s="5">
        <v>0</v>
      </c>
      <c r="M284" s="5">
        <v>0</v>
      </c>
      <c r="N284" s="5"/>
      <c r="O284" s="5">
        <v>0</v>
      </c>
      <c r="P284" s="5">
        <v>0</v>
      </c>
      <c r="Q284" s="784"/>
      <c r="R284" s="5">
        <v>0</v>
      </c>
      <c r="S284" s="5">
        <v>0</v>
      </c>
      <c r="T284" s="628"/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/>
      <c r="AA284" s="5">
        <v>0</v>
      </c>
      <c r="AB284" s="5">
        <v>0</v>
      </c>
      <c r="AC284" s="5">
        <v>0</v>
      </c>
      <c r="AD284" s="5">
        <v>1839</v>
      </c>
      <c r="AE284" s="5">
        <v>0</v>
      </c>
      <c r="AF284" s="5">
        <v>0</v>
      </c>
      <c r="AG284" s="5"/>
      <c r="AH284" s="5">
        <v>0</v>
      </c>
      <c r="AI284" s="5">
        <v>0</v>
      </c>
      <c r="AJ284" s="5"/>
      <c r="AK284" s="5">
        <v>0</v>
      </c>
      <c r="AL284" s="5">
        <v>0</v>
      </c>
      <c r="AM284" s="5"/>
      <c r="AN284" s="5">
        <v>0</v>
      </c>
      <c r="AO284" s="5">
        <v>0</v>
      </c>
      <c r="AP284" s="5"/>
      <c r="AQ284" s="5">
        <v>0</v>
      </c>
      <c r="AR284" s="5">
        <v>0</v>
      </c>
      <c r="AS284" s="5"/>
      <c r="AT284" s="5">
        <v>0</v>
      </c>
      <c r="AU284" s="5">
        <v>0</v>
      </c>
      <c r="AV284" s="5"/>
      <c r="AW284" s="5">
        <v>3.900910909491472</v>
      </c>
      <c r="AX284" s="5">
        <v>0</v>
      </c>
      <c r="AY284" s="5"/>
      <c r="AZ284" s="5">
        <v>2</v>
      </c>
      <c r="BA284" s="5">
        <v>0</v>
      </c>
      <c r="BB284" s="5">
        <v>-2</v>
      </c>
      <c r="BD284" s="2">
        <v>1</v>
      </c>
      <c r="BF284" s="787">
        <v>0</v>
      </c>
      <c r="BG284" s="325">
        <v>150000751</v>
      </c>
    </row>
    <row r="285" spans="1:59" ht="24.9" customHeight="1" x14ac:dyDescent="0.3">
      <c r="A285" s="325">
        <v>150000752</v>
      </c>
      <c r="B285" s="445" t="s">
        <v>387</v>
      </c>
      <c r="C285" s="27">
        <v>9</v>
      </c>
      <c r="D285" s="101" t="s">
        <v>455</v>
      </c>
      <c r="E285" s="786">
        <v>3990.7</v>
      </c>
      <c r="F285" s="5">
        <v>2706</v>
      </c>
      <c r="G285" s="5">
        <v>0</v>
      </c>
      <c r="H285" s="5">
        <v>-2706</v>
      </c>
      <c r="I285" s="5">
        <v>0</v>
      </c>
      <c r="J285" s="5">
        <v>0</v>
      </c>
      <c r="K285" s="153"/>
      <c r="L285" s="5">
        <v>0</v>
      </c>
      <c r="M285" s="5">
        <v>0</v>
      </c>
      <c r="N285" s="5"/>
      <c r="O285" s="5">
        <v>0</v>
      </c>
      <c r="P285" s="5">
        <v>0</v>
      </c>
      <c r="Q285" s="784"/>
      <c r="R285" s="5">
        <v>0</v>
      </c>
      <c r="S285" s="5">
        <v>0</v>
      </c>
      <c r="T285" s="630"/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/>
      <c r="AA285" s="5">
        <v>0</v>
      </c>
      <c r="AB285" s="5">
        <v>0</v>
      </c>
      <c r="AC285" s="5">
        <v>0</v>
      </c>
      <c r="AD285" s="5">
        <v>0</v>
      </c>
      <c r="AE285" s="5">
        <v>759.56693108401691</v>
      </c>
      <c r="AF285" s="5">
        <v>4864</v>
      </c>
      <c r="AG285" s="5"/>
      <c r="AH285" s="5">
        <v>847.57264334139836</v>
      </c>
      <c r="AI285" s="5">
        <v>0</v>
      </c>
      <c r="AJ285" s="5"/>
      <c r="AK285" s="5">
        <v>338.28978257749418</v>
      </c>
      <c r="AL285" s="5">
        <v>0</v>
      </c>
      <c r="AM285" s="5"/>
      <c r="AN285" s="5">
        <v>818.38789431413102</v>
      </c>
      <c r="AO285" s="5">
        <v>0</v>
      </c>
      <c r="AP285" s="5"/>
      <c r="AQ285" s="5">
        <v>417.96272557758289</v>
      </c>
      <c r="AR285" s="5">
        <v>0</v>
      </c>
      <c r="AS285" s="8"/>
      <c r="AT285" s="5">
        <v>511.93301359009706</v>
      </c>
      <c r="AU285" s="5">
        <v>0</v>
      </c>
      <c r="AV285" s="5"/>
      <c r="AW285" s="5">
        <v>66.090101829833273</v>
      </c>
      <c r="AX285" s="5">
        <v>0</v>
      </c>
      <c r="AY285" s="5"/>
      <c r="AZ285" s="5">
        <v>1880</v>
      </c>
      <c r="BA285" s="5">
        <v>4864</v>
      </c>
      <c r="BB285" s="5">
        <v>2985</v>
      </c>
      <c r="BD285" s="2">
        <v>1</v>
      </c>
      <c r="BF285" s="787">
        <v>22.44</v>
      </c>
      <c r="BG285" s="325">
        <v>150000752</v>
      </c>
    </row>
    <row r="286" spans="1:59" ht="24.9" customHeight="1" x14ac:dyDescent="0.3">
      <c r="A286" s="325">
        <v>150000760</v>
      </c>
      <c r="B286" s="445" t="s">
        <v>388</v>
      </c>
      <c r="C286" s="27">
        <v>9</v>
      </c>
      <c r="D286" s="101" t="s">
        <v>455</v>
      </c>
      <c r="E286" s="786">
        <v>11337.72</v>
      </c>
      <c r="F286" s="5">
        <v>7737</v>
      </c>
      <c r="G286" s="5">
        <v>7334</v>
      </c>
      <c r="H286" s="5">
        <v>-6476</v>
      </c>
      <c r="I286" s="5">
        <v>0</v>
      </c>
      <c r="J286" s="5">
        <v>0</v>
      </c>
      <c r="K286" s="153"/>
      <c r="L286" s="5">
        <v>0</v>
      </c>
      <c r="M286" s="5">
        <v>0</v>
      </c>
      <c r="N286" s="5"/>
      <c r="O286" s="5">
        <v>0</v>
      </c>
      <c r="P286" s="5">
        <v>0</v>
      </c>
      <c r="Q286" s="788"/>
      <c r="R286" s="5">
        <v>2</v>
      </c>
      <c r="S286" s="5">
        <v>7334</v>
      </c>
      <c r="T286" s="630"/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/>
      <c r="AA286" s="5">
        <v>0</v>
      </c>
      <c r="AB286" s="5">
        <v>0</v>
      </c>
      <c r="AC286" s="5">
        <v>0</v>
      </c>
      <c r="AD286" s="5">
        <v>0</v>
      </c>
      <c r="AE286" s="5">
        <v>1687.6752009143781</v>
      </c>
      <c r="AF286" s="5">
        <v>0</v>
      </c>
      <c r="AG286" s="454"/>
      <c r="AH286" s="5">
        <v>3528.2529525714199</v>
      </c>
      <c r="AI286" s="5">
        <v>0</v>
      </c>
      <c r="AJ286" s="5"/>
      <c r="AK286" s="5">
        <v>842.26117514183602</v>
      </c>
      <c r="AL286" s="5">
        <v>0</v>
      </c>
      <c r="AM286" s="5"/>
      <c r="AN286" s="5">
        <v>2337.694261929737</v>
      </c>
      <c r="AO286" s="5">
        <v>477</v>
      </c>
      <c r="AP286" s="5"/>
      <c r="AQ286" s="5">
        <v>626.45466780048014</v>
      </c>
      <c r="AR286" s="5">
        <v>0</v>
      </c>
      <c r="AS286" s="8"/>
      <c r="AT286" s="5">
        <v>2425.831529843847</v>
      </c>
      <c r="AU286" s="5">
        <v>0</v>
      </c>
      <c r="AV286" s="5"/>
      <c r="AW286" s="5">
        <v>226.37720000000002</v>
      </c>
      <c r="AX286" s="5">
        <v>0</v>
      </c>
      <c r="AY286" s="5"/>
      <c r="AZ286" s="5">
        <v>5838</v>
      </c>
      <c r="BA286" s="5">
        <v>0</v>
      </c>
      <c r="BB286" s="5">
        <v>-5838</v>
      </c>
      <c r="BD286" s="2">
        <v>2</v>
      </c>
      <c r="BF286" s="787">
        <v>11.05</v>
      </c>
      <c r="BG286" s="325">
        <v>150000760</v>
      </c>
    </row>
    <row r="287" spans="1:59" ht="24.9" customHeight="1" x14ac:dyDescent="0.3">
      <c r="A287" s="325">
        <v>150000758</v>
      </c>
      <c r="B287" s="445" t="s">
        <v>389</v>
      </c>
      <c r="C287" s="27">
        <v>9</v>
      </c>
      <c r="D287" s="101" t="s">
        <v>455</v>
      </c>
      <c r="E287" s="786">
        <v>13218.32</v>
      </c>
      <c r="F287" s="5">
        <v>8413</v>
      </c>
      <c r="G287" s="5">
        <v>1748</v>
      </c>
      <c r="H287" s="5">
        <v>-7250</v>
      </c>
      <c r="I287" s="5">
        <v>0</v>
      </c>
      <c r="J287" s="5">
        <v>0</v>
      </c>
      <c r="K287" s="593"/>
      <c r="L287" s="5">
        <v>0</v>
      </c>
      <c r="M287" s="5">
        <v>0</v>
      </c>
      <c r="N287" s="5"/>
      <c r="O287" s="5">
        <v>0</v>
      </c>
      <c r="P287" s="5">
        <v>0</v>
      </c>
      <c r="Q287" s="788"/>
      <c r="R287" s="5">
        <v>1</v>
      </c>
      <c r="S287" s="5">
        <v>1748</v>
      </c>
      <c r="T287" s="630"/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/>
      <c r="AA287" s="5">
        <v>0</v>
      </c>
      <c r="AB287" s="5">
        <v>0</v>
      </c>
      <c r="AC287" s="5">
        <v>0</v>
      </c>
      <c r="AD287" s="5">
        <v>0</v>
      </c>
      <c r="AE287" s="5">
        <v>2192.4331111742331</v>
      </c>
      <c r="AF287" s="5">
        <v>0</v>
      </c>
      <c r="AG287" s="8"/>
      <c r="AH287" s="5">
        <v>4116.1938712585879</v>
      </c>
      <c r="AI287" s="5">
        <v>0</v>
      </c>
      <c r="AJ287" s="8"/>
      <c r="AK287" s="5">
        <v>946.15082600211599</v>
      </c>
      <c r="AL287" s="5">
        <v>1259</v>
      </c>
      <c r="AM287" s="8"/>
      <c r="AN287" s="5">
        <v>2535.8472474487971</v>
      </c>
      <c r="AO287" s="5">
        <v>0</v>
      </c>
      <c r="AP287" s="5"/>
      <c r="AQ287" s="5">
        <v>731.69007463692981</v>
      </c>
      <c r="AR287" s="5">
        <v>0</v>
      </c>
      <c r="AS287" s="5"/>
      <c r="AT287" s="5">
        <v>2132.0128073063079</v>
      </c>
      <c r="AU287" s="5">
        <v>0</v>
      </c>
      <c r="AV287" s="8"/>
      <c r="AW287" s="5">
        <v>264.09299999999996</v>
      </c>
      <c r="AX287" s="5">
        <v>0</v>
      </c>
      <c r="AY287" s="5"/>
      <c r="AZ287" s="5">
        <v>6459</v>
      </c>
      <c r="BA287" s="5">
        <v>1259</v>
      </c>
      <c r="BB287" s="5">
        <v>-5200</v>
      </c>
      <c r="BD287" s="2">
        <v>2</v>
      </c>
      <c r="BF287" s="787">
        <v>12.87</v>
      </c>
      <c r="BG287" s="325">
        <v>150000758</v>
      </c>
    </row>
    <row r="288" spans="1:59" ht="24.9" customHeight="1" x14ac:dyDescent="0.3">
      <c r="A288" s="325">
        <v>150000759</v>
      </c>
      <c r="B288" s="445" t="s">
        <v>390</v>
      </c>
      <c r="C288" s="27">
        <v>9</v>
      </c>
      <c r="D288" s="101" t="s">
        <v>455</v>
      </c>
      <c r="E288" s="786">
        <v>5689.68</v>
      </c>
      <c r="F288" s="5">
        <v>4049</v>
      </c>
      <c r="G288" s="5">
        <v>9121</v>
      </c>
      <c r="H288" s="5">
        <v>-3567</v>
      </c>
      <c r="I288" s="5">
        <v>0</v>
      </c>
      <c r="J288" s="5">
        <v>0</v>
      </c>
      <c r="K288" s="153"/>
      <c r="L288" s="5">
        <v>0</v>
      </c>
      <c r="M288" s="5">
        <v>0</v>
      </c>
      <c r="N288" s="5"/>
      <c r="O288" s="5">
        <v>0</v>
      </c>
      <c r="P288" s="5">
        <v>0</v>
      </c>
      <c r="Q288" s="784"/>
      <c r="R288" s="5">
        <v>0</v>
      </c>
      <c r="S288" s="5">
        <v>482</v>
      </c>
      <c r="T288" s="789"/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630"/>
      <c r="AA288" s="5">
        <v>0</v>
      </c>
      <c r="AB288" s="5">
        <v>0</v>
      </c>
      <c r="AC288" s="5">
        <v>556</v>
      </c>
      <c r="AD288" s="5">
        <v>8083</v>
      </c>
      <c r="AE288" s="5">
        <v>967.91973875667395</v>
      </c>
      <c r="AF288" s="5">
        <v>495</v>
      </c>
      <c r="AG288" s="8"/>
      <c r="AH288" s="5">
        <v>1017.7759314343562</v>
      </c>
      <c r="AI288" s="5">
        <v>32</v>
      </c>
      <c r="AJ288" s="467"/>
      <c r="AK288" s="5">
        <v>446.01051104526198</v>
      </c>
      <c r="AL288" s="5">
        <v>0</v>
      </c>
      <c r="AM288" s="5"/>
      <c r="AN288" s="5">
        <v>1325.9499897383409</v>
      </c>
      <c r="AO288" s="5">
        <v>0</v>
      </c>
      <c r="AP288" s="5"/>
      <c r="AQ288" s="5">
        <v>313.72734905934647</v>
      </c>
      <c r="AR288" s="5">
        <v>0</v>
      </c>
      <c r="AS288" s="5"/>
      <c r="AT288" s="5">
        <v>1138.3544256896807</v>
      </c>
      <c r="AU288" s="5">
        <v>0</v>
      </c>
      <c r="AV288" s="5"/>
      <c r="AW288" s="5">
        <v>113.8758</v>
      </c>
      <c r="AX288" s="5">
        <v>0</v>
      </c>
      <c r="AY288" s="5"/>
      <c r="AZ288" s="5">
        <v>2662</v>
      </c>
      <c r="BA288" s="5">
        <v>528</v>
      </c>
      <c r="BB288" s="5">
        <v>-2134</v>
      </c>
      <c r="BD288" s="2">
        <v>2</v>
      </c>
      <c r="BF288" s="787">
        <v>5.54</v>
      </c>
      <c r="BG288" s="325">
        <v>150000759</v>
      </c>
    </row>
    <row r="289" spans="1:59" ht="24.9" customHeight="1" x14ac:dyDescent="0.3">
      <c r="A289" s="325">
        <v>150000761</v>
      </c>
      <c r="B289" s="445" t="s">
        <v>391</v>
      </c>
      <c r="C289" s="27">
        <v>9</v>
      </c>
      <c r="D289" s="101" t="s">
        <v>455</v>
      </c>
      <c r="E289" s="786">
        <v>6815.39</v>
      </c>
      <c r="F289" s="5">
        <v>3604</v>
      </c>
      <c r="G289" s="5">
        <v>1329</v>
      </c>
      <c r="H289" s="5">
        <v>-3122</v>
      </c>
      <c r="I289" s="5">
        <v>0</v>
      </c>
      <c r="J289" s="5">
        <v>0</v>
      </c>
      <c r="K289" s="593"/>
      <c r="L289" s="5">
        <v>0</v>
      </c>
      <c r="M289" s="5">
        <v>0</v>
      </c>
      <c r="N289" s="5"/>
      <c r="O289" s="5">
        <v>0</v>
      </c>
      <c r="P289" s="5">
        <v>0</v>
      </c>
      <c r="Q289" s="784"/>
      <c r="R289" s="5">
        <v>1</v>
      </c>
      <c r="S289" s="5">
        <v>1329</v>
      </c>
      <c r="T289" s="628"/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/>
      <c r="AA289" s="5">
        <v>0</v>
      </c>
      <c r="AB289" s="5">
        <v>0</v>
      </c>
      <c r="AC289" s="5">
        <v>0</v>
      </c>
      <c r="AD289" s="5">
        <v>0</v>
      </c>
      <c r="AE289" s="5">
        <v>962.36167917008504</v>
      </c>
      <c r="AF289" s="5">
        <v>661</v>
      </c>
      <c r="AG289" s="5"/>
      <c r="AH289" s="5">
        <v>1034.4726967712868</v>
      </c>
      <c r="AI289" s="5">
        <v>0</v>
      </c>
      <c r="AJ289" s="5"/>
      <c r="AK289" s="5">
        <v>552.47645764682898</v>
      </c>
      <c r="AL289" s="5">
        <v>2521</v>
      </c>
      <c r="AM289" s="8"/>
      <c r="AN289" s="5">
        <v>1264.4754627638631</v>
      </c>
      <c r="AO289" s="5">
        <v>0</v>
      </c>
      <c r="AP289" s="5"/>
      <c r="AQ289" s="5">
        <v>417.96272557758289</v>
      </c>
      <c r="AR289" s="5">
        <v>0</v>
      </c>
      <c r="AS289" s="5"/>
      <c r="AT289" s="5">
        <v>490.43025015345103</v>
      </c>
      <c r="AU289" s="5">
        <v>0</v>
      </c>
      <c r="AV289" s="5"/>
      <c r="AW289" s="5">
        <v>134.2079</v>
      </c>
      <c r="AX289" s="5">
        <v>0</v>
      </c>
      <c r="AY289" s="5"/>
      <c r="AZ289" s="5">
        <v>2429</v>
      </c>
      <c r="BA289" s="5">
        <v>3182</v>
      </c>
      <c r="BB289" s="5">
        <v>753</v>
      </c>
      <c r="BD289" s="2">
        <v>2</v>
      </c>
      <c r="BF289" s="787">
        <v>6.55</v>
      </c>
      <c r="BG289" s="325">
        <v>150000761</v>
      </c>
    </row>
    <row r="290" spans="1:59" ht="24.9" customHeight="1" x14ac:dyDescent="0.3">
      <c r="A290" s="325">
        <v>150000762</v>
      </c>
      <c r="B290" s="445" t="s">
        <v>392</v>
      </c>
      <c r="C290" s="27">
        <v>9</v>
      </c>
      <c r="D290" s="101" t="s">
        <v>455</v>
      </c>
      <c r="E290" s="786">
        <v>2823.8</v>
      </c>
      <c r="F290" s="5">
        <v>1365</v>
      </c>
      <c r="G290" s="5">
        <v>0</v>
      </c>
      <c r="H290" s="5">
        <v>-1365</v>
      </c>
      <c r="I290" s="5">
        <v>0</v>
      </c>
      <c r="J290" s="5">
        <v>0</v>
      </c>
      <c r="K290" s="153"/>
      <c r="L290" s="5">
        <v>0</v>
      </c>
      <c r="M290" s="5">
        <v>0</v>
      </c>
      <c r="N290" s="5"/>
      <c r="O290" s="5">
        <v>0</v>
      </c>
      <c r="P290" s="5">
        <v>0</v>
      </c>
      <c r="Q290" s="784"/>
      <c r="R290" s="5">
        <v>0</v>
      </c>
      <c r="S290" s="5">
        <v>0</v>
      </c>
      <c r="T290" s="628"/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/>
      <c r="AA290" s="5">
        <v>0</v>
      </c>
      <c r="AB290" s="5">
        <v>0</v>
      </c>
      <c r="AC290" s="5">
        <v>0</v>
      </c>
      <c r="AD290" s="5">
        <v>0</v>
      </c>
      <c r="AE290" s="5">
        <v>558.04454974096188</v>
      </c>
      <c r="AF290" s="5">
        <v>0</v>
      </c>
      <c r="AG290" s="5"/>
      <c r="AH290" s="5">
        <v>602.10844729050109</v>
      </c>
      <c r="AI290" s="5">
        <v>0</v>
      </c>
      <c r="AJ290" s="5"/>
      <c r="AK290" s="5">
        <v>0</v>
      </c>
      <c r="AL290" s="5">
        <v>0</v>
      </c>
      <c r="AM290" s="5"/>
      <c r="AN290" s="5">
        <v>0</v>
      </c>
      <c r="AO290" s="5">
        <v>0</v>
      </c>
      <c r="AP290" s="5"/>
      <c r="AQ290" s="5">
        <v>208.49194222289759</v>
      </c>
      <c r="AR290" s="5">
        <v>0</v>
      </c>
      <c r="AS290" s="5"/>
      <c r="AT290" s="5">
        <v>209.59055261696841</v>
      </c>
      <c r="AU290" s="5">
        <v>0</v>
      </c>
      <c r="AV290" s="5"/>
      <c r="AW290" s="5">
        <v>56.238</v>
      </c>
      <c r="AX290" s="5">
        <v>0</v>
      </c>
      <c r="AY290" s="5"/>
      <c r="AZ290" s="5">
        <v>817</v>
      </c>
      <c r="BA290" s="5">
        <v>0</v>
      </c>
      <c r="BB290" s="5">
        <v>-817</v>
      </c>
      <c r="BD290" s="2">
        <v>2</v>
      </c>
      <c r="BF290" s="787">
        <v>2.75</v>
      </c>
      <c r="BG290" s="325">
        <v>150000762</v>
      </c>
    </row>
    <row r="291" spans="1:59" ht="24.9" customHeight="1" x14ac:dyDescent="0.3">
      <c r="A291" s="325">
        <v>150000638</v>
      </c>
      <c r="B291" s="445" t="s">
        <v>132</v>
      </c>
      <c r="C291" s="27">
        <v>1</v>
      </c>
      <c r="D291" s="101" t="s">
        <v>455</v>
      </c>
      <c r="E291" s="786">
        <v>90.7</v>
      </c>
      <c r="F291" s="5">
        <v>69</v>
      </c>
      <c r="G291" s="5">
        <v>0</v>
      </c>
      <c r="H291" s="5">
        <v>-69</v>
      </c>
      <c r="I291" s="5">
        <v>0</v>
      </c>
      <c r="J291" s="5">
        <v>0</v>
      </c>
      <c r="K291" s="153"/>
      <c r="L291" s="5">
        <v>0</v>
      </c>
      <c r="M291" s="5">
        <v>0</v>
      </c>
      <c r="N291" s="5"/>
      <c r="O291" s="5">
        <v>0</v>
      </c>
      <c r="P291" s="5">
        <v>0</v>
      </c>
      <c r="Q291" s="784"/>
      <c r="R291" s="5">
        <v>0</v>
      </c>
      <c r="S291" s="5">
        <v>0</v>
      </c>
      <c r="T291" s="628"/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/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/>
      <c r="AH291" s="5">
        <v>0</v>
      </c>
      <c r="AI291" s="5">
        <v>0</v>
      </c>
      <c r="AJ291" s="5"/>
      <c r="AK291" s="5">
        <v>0</v>
      </c>
      <c r="AL291" s="5">
        <v>0</v>
      </c>
      <c r="AM291" s="5"/>
      <c r="AN291" s="5">
        <v>0</v>
      </c>
      <c r="AO291" s="5">
        <v>0</v>
      </c>
      <c r="AP291" s="5"/>
      <c r="AQ291" s="5">
        <v>0</v>
      </c>
      <c r="AR291" s="5">
        <v>0</v>
      </c>
      <c r="AS291" s="5"/>
      <c r="AT291" s="5">
        <v>0</v>
      </c>
      <c r="AU291" s="5">
        <v>0</v>
      </c>
      <c r="AV291" s="5"/>
      <c r="AW291" s="5">
        <v>1.907</v>
      </c>
      <c r="AX291" s="5">
        <v>0</v>
      </c>
      <c r="AY291" s="5"/>
      <c r="AZ291" s="5">
        <v>1</v>
      </c>
      <c r="BA291" s="5">
        <v>0</v>
      </c>
      <c r="BB291" s="5">
        <v>-1</v>
      </c>
      <c r="BD291" s="2">
        <v>2</v>
      </c>
      <c r="BF291" s="787">
        <v>0</v>
      </c>
      <c r="BG291" s="325">
        <v>150000638</v>
      </c>
    </row>
    <row r="292" spans="1:59" ht="24.9" customHeight="1" x14ac:dyDescent="0.3">
      <c r="A292" s="325">
        <v>150000639</v>
      </c>
      <c r="B292" s="445" t="s">
        <v>133</v>
      </c>
      <c r="C292" s="27">
        <v>1</v>
      </c>
      <c r="D292" s="101" t="s">
        <v>455</v>
      </c>
      <c r="E292" s="786">
        <v>171</v>
      </c>
      <c r="F292" s="5">
        <v>87</v>
      </c>
      <c r="G292" s="5">
        <v>0</v>
      </c>
      <c r="H292" s="5">
        <v>-87</v>
      </c>
      <c r="I292" s="5">
        <v>0</v>
      </c>
      <c r="J292" s="5">
        <v>0</v>
      </c>
      <c r="K292" s="153"/>
      <c r="L292" s="5">
        <v>0</v>
      </c>
      <c r="M292" s="5">
        <v>0</v>
      </c>
      <c r="N292" s="5"/>
      <c r="O292" s="5">
        <v>0</v>
      </c>
      <c r="P292" s="5">
        <v>0</v>
      </c>
      <c r="Q292" s="784"/>
      <c r="R292" s="5">
        <v>0</v>
      </c>
      <c r="S292" s="5">
        <v>0</v>
      </c>
      <c r="T292" s="628"/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/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/>
      <c r="AH292" s="5">
        <v>0</v>
      </c>
      <c r="AI292" s="5">
        <v>0</v>
      </c>
      <c r="AJ292" s="5"/>
      <c r="AK292" s="5">
        <v>0</v>
      </c>
      <c r="AL292" s="5">
        <v>0</v>
      </c>
      <c r="AM292" s="5"/>
      <c r="AN292" s="5">
        <v>0</v>
      </c>
      <c r="AO292" s="5">
        <v>0</v>
      </c>
      <c r="AP292" s="5"/>
      <c r="AQ292" s="5">
        <v>0</v>
      </c>
      <c r="AR292" s="5">
        <v>0</v>
      </c>
      <c r="AS292" s="5"/>
      <c r="AT292" s="5">
        <v>0</v>
      </c>
      <c r="AU292" s="5">
        <v>0</v>
      </c>
      <c r="AV292" s="5"/>
      <c r="AW292" s="5">
        <v>3.71</v>
      </c>
      <c r="AX292" s="5">
        <v>0</v>
      </c>
      <c r="AY292" s="5"/>
      <c r="AZ292" s="5">
        <v>2</v>
      </c>
      <c r="BA292" s="5">
        <v>0</v>
      </c>
      <c r="BB292" s="5">
        <v>-2</v>
      </c>
      <c r="BD292" s="2">
        <v>2</v>
      </c>
      <c r="BF292" s="787">
        <v>0</v>
      </c>
      <c r="BG292" s="325">
        <v>150000639</v>
      </c>
    </row>
    <row r="293" spans="1:59" ht="24.9" customHeight="1" x14ac:dyDescent="0.3">
      <c r="A293" s="325">
        <v>150000736</v>
      </c>
      <c r="B293" s="445" t="s">
        <v>220</v>
      </c>
      <c r="C293" s="27">
        <v>4</v>
      </c>
      <c r="D293" s="101" t="s">
        <v>455</v>
      </c>
      <c r="E293" s="786">
        <v>2846.9</v>
      </c>
      <c r="F293" s="5">
        <v>1409</v>
      </c>
      <c r="G293" s="5">
        <v>1340</v>
      </c>
      <c r="H293" s="5">
        <v>-1409</v>
      </c>
      <c r="I293" s="5">
        <v>0</v>
      </c>
      <c r="J293" s="5">
        <v>1340</v>
      </c>
      <c r="K293" s="153"/>
      <c r="L293" s="5">
        <v>0</v>
      </c>
      <c r="M293" s="5">
        <v>0</v>
      </c>
      <c r="N293" s="788"/>
      <c r="O293" s="5">
        <v>0</v>
      </c>
      <c r="P293" s="5">
        <v>0</v>
      </c>
      <c r="Q293" s="784"/>
      <c r="R293" s="5">
        <v>0</v>
      </c>
      <c r="S293" s="5">
        <v>0</v>
      </c>
      <c r="T293" s="628"/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/>
      <c r="AA293" s="5">
        <v>0</v>
      </c>
      <c r="AB293" s="5">
        <v>0</v>
      </c>
      <c r="AC293" s="5">
        <v>0</v>
      </c>
      <c r="AD293" s="5">
        <v>0</v>
      </c>
      <c r="AE293" s="5">
        <v>531.94532757048319</v>
      </c>
      <c r="AF293" s="5">
        <v>0</v>
      </c>
      <c r="AG293" s="5"/>
      <c r="AH293" s="5">
        <v>786.16849355052659</v>
      </c>
      <c r="AI293" s="5">
        <v>0</v>
      </c>
      <c r="AJ293" s="5"/>
      <c r="AK293" s="5">
        <v>198.3614959958966</v>
      </c>
      <c r="AL293" s="5">
        <v>1405</v>
      </c>
      <c r="AM293" s="5"/>
      <c r="AN293" s="5">
        <v>0</v>
      </c>
      <c r="AO293" s="5">
        <v>0</v>
      </c>
      <c r="AP293" s="5"/>
      <c r="AQ293" s="5">
        <v>0</v>
      </c>
      <c r="AR293" s="5">
        <v>0</v>
      </c>
      <c r="AS293" s="5"/>
      <c r="AT293" s="5">
        <v>543.67160199681621</v>
      </c>
      <c r="AU293" s="5">
        <v>0</v>
      </c>
      <c r="AV293" s="5"/>
      <c r="AW293" s="5">
        <v>56.468999999999994</v>
      </c>
      <c r="AX293" s="5">
        <v>0</v>
      </c>
      <c r="AY293" s="5"/>
      <c r="AZ293" s="5">
        <v>1059</v>
      </c>
      <c r="BA293" s="5">
        <v>1405</v>
      </c>
      <c r="BB293" s="5">
        <v>346</v>
      </c>
      <c r="BD293" s="2">
        <v>2</v>
      </c>
      <c r="BF293" s="787">
        <v>2.77</v>
      </c>
      <c r="BG293" s="325">
        <v>150000736</v>
      </c>
    </row>
    <row r="294" spans="1:59" ht="24.9" customHeight="1" x14ac:dyDescent="0.3">
      <c r="A294" s="325">
        <v>150000743</v>
      </c>
      <c r="B294" s="445" t="s">
        <v>221</v>
      </c>
      <c r="C294" s="27">
        <v>4</v>
      </c>
      <c r="D294" s="101" t="s">
        <v>455</v>
      </c>
      <c r="E294" s="786">
        <v>2296.6999999999998</v>
      </c>
      <c r="F294" s="5">
        <v>944</v>
      </c>
      <c r="G294" s="5">
        <v>0</v>
      </c>
      <c r="H294" s="5">
        <v>-944</v>
      </c>
      <c r="I294" s="5">
        <v>0</v>
      </c>
      <c r="J294" s="5">
        <v>0</v>
      </c>
      <c r="K294" s="153"/>
      <c r="L294" s="5">
        <v>0</v>
      </c>
      <c r="M294" s="5">
        <v>0</v>
      </c>
      <c r="N294" s="5"/>
      <c r="O294" s="5">
        <v>0</v>
      </c>
      <c r="P294" s="5">
        <v>0</v>
      </c>
      <c r="Q294" s="784"/>
      <c r="R294" s="5">
        <v>0</v>
      </c>
      <c r="S294" s="5">
        <v>0</v>
      </c>
      <c r="T294" s="628"/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/>
      <c r="AA294" s="5">
        <v>0</v>
      </c>
      <c r="AB294" s="5">
        <v>0</v>
      </c>
      <c r="AC294" s="5">
        <v>0</v>
      </c>
      <c r="AD294" s="5">
        <v>0</v>
      </c>
      <c r="AE294" s="5">
        <v>490.21677987230078</v>
      </c>
      <c r="AF294" s="5">
        <v>0</v>
      </c>
      <c r="AG294" s="5"/>
      <c r="AH294" s="5">
        <v>588.20404030866075</v>
      </c>
      <c r="AI294" s="5">
        <v>0</v>
      </c>
      <c r="AJ294" s="5"/>
      <c r="AK294" s="5">
        <v>114.139407239145</v>
      </c>
      <c r="AL294" s="5">
        <v>0</v>
      </c>
      <c r="AM294" s="5"/>
      <c r="AN294" s="5">
        <v>0</v>
      </c>
      <c r="AO294" s="5">
        <v>0</v>
      </c>
      <c r="AP294" s="5"/>
      <c r="AQ294" s="5">
        <v>0</v>
      </c>
      <c r="AR294" s="5">
        <v>0</v>
      </c>
      <c r="AS294" s="5"/>
      <c r="AT294" s="5">
        <v>321.72404831333449</v>
      </c>
      <c r="AU294" s="5">
        <v>985</v>
      </c>
      <c r="AV294" s="5"/>
      <c r="AW294" s="5">
        <v>45.966999999999999</v>
      </c>
      <c r="AX294" s="5">
        <v>1409</v>
      </c>
      <c r="AY294" s="5"/>
      <c r="AZ294" s="5">
        <v>780</v>
      </c>
      <c r="BA294" s="5">
        <v>2394</v>
      </c>
      <c r="BB294" s="5">
        <v>1614</v>
      </c>
      <c r="BD294" s="2">
        <v>2</v>
      </c>
      <c r="BF294" s="787">
        <v>2.2400000000000002</v>
      </c>
      <c r="BG294" s="325">
        <v>150000743</v>
      </c>
    </row>
    <row r="295" spans="1:59" ht="24.9" customHeight="1" x14ac:dyDescent="0.3">
      <c r="A295" s="325">
        <v>150000737</v>
      </c>
      <c r="B295" s="445" t="s">
        <v>222</v>
      </c>
      <c r="C295" s="27">
        <v>4</v>
      </c>
      <c r="D295" s="101" t="s">
        <v>455</v>
      </c>
      <c r="E295" s="786">
        <v>2573.4</v>
      </c>
      <c r="F295" s="5">
        <v>1425</v>
      </c>
      <c r="G295" s="5">
        <v>0</v>
      </c>
      <c r="H295" s="5">
        <v>-1425</v>
      </c>
      <c r="I295" s="5">
        <v>0</v>
      </c>
      <c r="J295" s="5">
        <v>0</v>
      </c>
      <c r="K295" s="593"/>
      <c r="L295" s="5">
        <v>0</v>
      </c>
      <c r="M295" s="5">
        <v>0</v>
      </c>
      <c r="N295" s="788"/>
      <c r="O295" s="5">
        <v>0</v>
      </c>
      <c r="P295" s="5">
        <v>0</v>
      </c>
      <c r="Q295" s="784"/>
      <c r="R295" s="5">
        <v>0</v>
      </c>
      <c r="S295" s="5">
        <v>0</v>
      </c>
      <c r="T295" s="628"/>
      <c r="U295" s="5">
        <v>0</v>
      </c>
      <c r="V295" s="8">
        <v>0</v>
      </c>
      <c r="W295" s="5">
        <v>0</v>
      </c>
      <c r="X295" s="5">
        <v>0</v>
      </c>
      <c r="Y295" s="5">
        <v>0</v>
      </c>
      <c r="Z295" s="5"/>
      <c r="AA295" s="5">
        <v>0</v>
      </c>
      <c r="AB295" s="5">
        <v>0</v>
      </c>
      <c r="AC295" s="5">
        <v>0</v>
      </c>
      <c r="AD295" s="5">
        <v>0</v>
      </c>
      <c r="AE295" s="5">
        <v>639.70587182485235</v>
      </c>
      <c r="AF295" s="5">
        <v>0</v>
      </c>
      <c r="AG295" s="5"/>
      <c r="AH295" s="5">
        <v>779.66331932254491</v>
      </c>
      <c r="AI295" s="5">
        <v>0</v>
      </c>
      <c r="AJ295" s="5"/>
      <c r="AK295" s="5">
        <v>162.17538981127001</v>
      </c>
      <c r="AL295" s="5">
        <v>1577</v>
      </c>
      <c r="AM295" s="5"/>
      <c r="AN295" s="5">
        <v>0</v>
      </c>
      <c r="AO295" s="5">
        <v>0</v>
      </c>
      <c r="AP295" s="5"/>
      <c r="AQ295" s="5">
        <v>0</v>
      </c>
      <c r="AR295" s="5">
        <v>0</v>
      </c>
      <c r="AS295" s="5"/>
      <c r="AT295" s="5">
        <v>524.35878741020099</v>
      </c>
      <c r="AU295" s="5">
        <v>0</v>
      </c>
      <c r="AV295" s="5"/>
      <c r="AW295" s="5">
        <v>51.741</v>
      </c>
      <c r="AX295" s="5">
        <v>0</v>
      </c>
      <c r="AY295" s="5"/>
      <c r="AZ295" s="5">
        <v>1079</v>
      </c>
      <c r="BA295" s="5">
        <v>1577</v>
      </c>
      <c r="BB295" s="5">
        <v>498</v>
      </c>
      <c r="BD295" s="2">
        <v>2</v>
      </c>
      <c r="BF295" s="787">
        <v>2.5099999999999998</v>
      </c>
      <c r="BG295" s="325">
        <v>150000737</v>
      </c>
    </row>
    <row r="296" spans="1:59" ht="24.9" customHeight="1" x14ac:dyDescent="0.3">
      <c r="A296" s="325">
        <v>150000738</v>
      </c>
      <c r="B296" s="445" t="s">
        <v>290</v>
      </c>
      <c r="C296" s="27">
        <v>5</v>
      </c>
      <c r="D296" s="101" t="s">
        <v>455</v>
      </c>
      <c r="E296" s="786">
        <v>3568.1</v>
      </c>
      <c r="F296" s="5">
        <v>3292</v>
      </c>
      <c r="G296" s="5">
        <v>1196</v>
      </c>
      <c r="H296" s="5">
        <v>-2793</v>
      </c>
      <c r="I296" s="5">
        <v>0</v>
      </c>
      <c r="J296" s="5">
        <v>0</v>
      </c>
      <c r="K296" s="153"/>
      <c r="L296" s="5">
        <v>0</v>
      </c>
      <c r="M296" s="5">
        <v>0</v>
      </c>
      <c r="N296" s="788"/>
      <c r="O296" s="5">
        <v>0</v>
      </c>
      <c r="P296" s="5">
        <v>0</v>
      </c>
      <c r="Q296" s="784"/>
      <c r="R296" s="5">
        <v>0</v>
      </c>
      <c r="S296" s="5">
        <v>0</v>
      </c>
      <c r="T296" s="628"/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/>
      <c r="AA296" s="5">
        <v>0</v>
      </c>
      <c r="AB296" s="5">
        <v>0</v>
      </c>
      <c r="AC296" s="5">
        <v>0</v>
      </c>
      <c r="AD296" s="5">
        <v>1196</v>
      </c>
      <c r="AE296" s="5">
        <v>761.97691642819109</v>
      </c>
      <c r="AF296" s="5">
        <v>0</v>
      </c>
      <c r="AG296" s="5"/>
      <c r="AH296" s="5">
        <v>890.1723406433407</v>
      </c>
      <c r="AI296" s="5">
        <v>0</v>
      </c>
      <c r="AJ296" s="5"/>
      <c r="AK296" s="5">
        <v>265.90547647371159</v>
      </c>
      <c r="AL296" s="5">
        <v>0</v>
      </c>
      <c r="AM296" s="5"/>
      <c r="AN296" s="5">
        <v>0</v>
      </c>
      <c r="AO296" s="5">
        <v>0</v>
      </c>
      <c r="AP296" s="5"/>
      <c r="AQ296" s="5">
        <v>0</v>
      </c>
      <c r="AR296" s="5">
        <v>0</v>
      </c>
      <c r="AS296" s="5"/>
      <c r="AT296" s="5">
        <v>591.80104612843968</v>
      </c>
      <c r="AU296" s="5">
        <v>0</v>
      </c>
      <c r="AV296" s="463"/>
      <c r="AW296" s="5">
        <v>71.680999999999997</v>
      </c>
      <c r="AX296" s="5">
        <v>0</v>
      </c>
      <c r="AY296" s="5"/>
      <c r="AZ296" s="5">
        <v>1291</v>
      </c>
      <c r="BA296" s="5">
        <v>0</v>
      </c>
      <c r="BB296" s="5">
        <v>-1291</v>
      </c>
      <c r="BD296" s="2">
        <v>2</v>
      </c>
      <c r="BF296" s="787">
        <v>75.7</v>
      </c>
      <c r="BG296" s="325">
        <v>150000738</v>
      </c>
    </row>
    <row r="297" spans="1:59" ht="24.9" customHeight="1" x14ac:dyDescent="0.3">
      <c r="A297" s="325">
        <v>150000739</v>
      </c>
      <c r="B297" s="445" t="s">
        <v>223</v>
      </c>
      <c r="C297" s="27">
        <v>4</v>
      </c>
      <c r="D297" s="101" t="s">
        <v>455</v>
      </c>
      <c r="E297" s="786">
        <v>3631.9</v>
      </c>
      <c r="F297" s="5">
        <v>1755</v>
      </c>
      <c r="G297" s="5">
        <v>0</v>
      </c>
      <c r="H297" s="5">
        <v>-1755</v>
      </c>
      <c r="I297" s="5">
        <v>0</v>
      </c>
      <c r="J297" s="5">
        <v>0</v>
      </c>
      <c r="K297" s="153"/>
      <c r="L297" s="5">
        <v>0</v>
      </c>
      <c r="M297" s="5">
        <v>0</v>
      </c>
      <c r="N297" s="5"/>
      <c r="O297" s="5">
        <v>0</v>
      </c>
      <c r="P297" s="5">
        <v>0</v>
      </c>
      <c r="Q297" s="784"/>
      <c r="R297" s="5">
        <v>0</v>
      </c>
      <c r="S297" s="5">
        <v>0</v>
      </c>
      <c r="T297" s="628"/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/>
      <c r="AA297" s="5">
        <v>0</v>
      </c>
      <c r="AB297" s="5">
        <v>0</v>
      </c>
      <c r="AC297" s="5">
        <v>0</v>
      </c>
      <c r="AD297" s="5">
        <v>0</v>
      </c>
      <c r="AE297" s="5">
        <v>818.04342293710533</v>
      </c>
      <c r="AF297" s="5">
        <v>0</v>
      </c>
      <c r="AG297" s="8"/>
      <c r="AH297" s="5">
        <v>990.07308926300982</v>
      </c>
      <c r="AI297" s="5">
        <v>0</v>
      </c>
      <c r="AJ297" s="5"/>
      <c r="AK297" s="5">
        <v>255.63153973863001</v>
      </c>
      <c r="AL297" s="5">
        <v>0</v>
      </c>
      <c r="AM297" s="5"/>
      <c r="AN297" s="5">
        <v>0</v>
      </c>
      <c r="AO297" s="5">
        <v>0</v>
      </c>
      <c r="AP297" s="5"/>
      <c r="AQ297" s="5">
        <v>0</v>
      </c>
      <c r="AR297" s="5">
        <v>0</v>
      </c>
      <c r="AS297" s="5"/>
      <c r="AT297" s="5">
        <v>842.34742482646152</v>
      </c>
      <c r="AU297" s="5">
        <v>0</v>
      </c>
      <c r="AV297" s="5"/>
      <c r="AW297" s="5">
        <v>72.152000000000001</v>
      </c>
      <c r="AX297" s="5">
        <v>0</v>
      </c>
      <c r="AY297" s="5"/>
      <c r="AZ297" s="5">
        <v>1489</v>
      </c>
      <c r="BA297" s="5">
        <v>0</v>
      </c>
      <c r="BB297" s="5">
        <v>-1489</v>
      </c>
      <c r="BD297" s="2">
        <v>2</v>
      </c>
      <c r="BF297" s="787">
        <v>3.52</v>
      </c>
      <c r="BG297" s="325">
        <v>150000739</v>
      </c>
    </row>
    <row r="298" spans="1:59" ht="24.9" customHeight="1" x14ac:dyDescent="0.3">
      <c r="A298" s="325">
        <v>150000740</v>
      </c>
      <c r="B298" s="445" t="s">
        <v>198</v>
      </c>
      <c r="C298" s="27">
        <v>3</v>
      </c>
      <c r="D298" s="101" t="s">
        <v>455</v>
      </c>
      <c r="E298" s="786">
        <v>1366.1</v>
      </c>
      <c r="F298" s="5">
        <v>818</v>
      </c>
      <c r="G298" s="5">
        <v>0</v>
      </c>
      <c r="H298" s="5">
        <v>-818</v>
      </c>
      <c r="I298" s="5">
        <v>0</v>
      </c>
      <c r="J298" s="5">
        <v>0</v>
      </c>
      <c r="K298" s="153"/>
      <c r="L298" s="5">
        <v>0</v>
      </c>
      <c r="M298" s="5">
        <v>0</v>
      </c>
      <c r="N298" s="5"/>
      <c r="O298" s="5">
        <v>0</v>
      </c>
      <c r="P298" s="5">
        <v>0</v>
      </c>
      <c r="Q298" s="784"/>
      <c r="R298" s="5">
        <v>0</v>
      </c>
      <c r="S298" s="5">
        <v>0</v>
      </c>
      <c r="T298" s="628"/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/>
      <c r="AA298" s="5">
        <v>0</v>
      </c>
      <c r="AB298" s="5">
        <v>0</v>
      </c>
      <c r="AC298" s="5">
        <v>0</v>
      </c>
      <c r="AD298" s="5">
        <v>0</v>
      </c>
      <c r="AE298" s="5">
        <v>392.36592280978039</v>
      </c>
      <c r="AF298" s="5">
        <v>0</v>
      </c>
      <c r="AG298" s="5"/>
      <c r="AH298" s="5">
        <v>600.39859459000354</v>
      </c>
      <c r="AI298" s="5">
        <v>0</v>
      </c>
      <c r="AJ298" s="5"/>
      <c r="AK298" s="5">
        <v>99.683751280213301</v>
      </c>
      <c r="AL298" s="5">
        <v>2499</v>
      </c>
      <c r="AM298" s="5"/>
      <c r="AN298" s="5">
        <v>0</v>
      </c>
      <c r="AO298" s="5">
        <v>0</v>
      </c>
      <c r="AP298" s="5"/>
      <c r="AQ298" s="5">
        <v>0</v>
      </c>
      <c r="AR298" s="5">
        <v>0</v>
      </c>
      <c r="AS298" s="5"/>
      <c r="AT298" s="5">
        <v>243.82257601543847</v>
      </c>
      <c r="AU298" s="5">
        <v>0</v>
      </c>
      <c r="AV298" s="5"/>
      <c r="AW298" s="5">
        <v>27.661000000000001</v>
      </c>
      <c r="AX298" s="5">
        <v>0</v>
      </c>
      <c r="AY298" s="5"/>
      <c r="AZ298" s="5">
        <v>682</v>
      </c>
      <c r="BA298" s="5">
        <v>2499</v>
      </c>
      <c r="BB298" s="5">
        <v>1817</v>
      </c>
      <c r="BD298" s="2">
        <v>2</v>
      </c>
      <c r="BF298" s="787">
        <v>1.33</v>
      </c>
      <c r="BG298" s="325">
        <v>150000740</v>
      </c>
    </row>
    <row r="299" spans="1:59" ht="24.9" customHeight="1" x14ac:dyDescent="0.3">
      <c r="A299" s="325">
        <v>150000744</v>
      </c>
      <c r="B299" s="445" t="s">
        <v>224</v>
      </c>
      <c r="C299" s="27">
        <v>4</v>
      </c>
      <c r="D299" s="101" t="s">
        <v>455</v>
      </c>
      <c r="E299" s="786">
        <v>1504.4</v>
      </c>
      <c r="F299" s="5">
        <v>730</v>
      </c>
      <c r="G299" s="5">
        <v>404</v>
      </c>
      <c r="H299" s="5">
        <v>-730</v>
      </c>
      <c r="I299" s="5">
        <v>0</v>
      </c>
      <c r="J299" s="5">
        <v>0</v>
      </c>
      <c r="K299" s="153"/>
      <c r="L299" s="5">
        <v>0</v>
      </c>
      <c r="M299" s="5">
        <v>404</v>
      </c>
      <c r="N299" s="5"/>
      <c r="O299" s="5">
        <v>0</v>
      </c>
      <c r="P299" s="5">
        <v>0</v>
      </c>
      <c r="Q299" s="784"/>
      <c r="R299" s="5">
        <v>0</v>
      </c>
      <c r="S299" s="5">
        <v>0</v>
      </c>
      <c r="T299" s="628"/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/>
      <c r="AA299" s="5">
        <v>0</v>
      </c>
      <c r="AB299" s="5">
        <v>0</v>
      </c>
      <c r="AC299" s="5">
        <v>0</v>
      </c>
      <c r="AD299" s="5">
        <v>0</v>
      </c>
      <c r="AE299" s="5">
        <v>370.49750460656912</v>
      </c>
      <c r="AF299" s="5">
        <v>0</v>
      </c>
      <c r="AG299" s="5"/>
      <c r="AH299" s="5">
        <v>468.03850110409178</v>
      </c>
      <c r="AI299" s="5">
        <v>0</v>
      </c>
      <c r="AJ299" s="5"/>
      <c r="AK299" s="5">
        <v>108.199466296935</v>
      </c>
      <c r="AL299" s="5">
        <v>1226</v>
      </c>
      <c r="AM299" s="5"/>
      <c r="AN299" s="5">
        <v>0</v>
      </c>
      <c r="AO299" s="5">
        <v>0</v>
      </c>
      <c r="AP299" s="5"/>
      <c r="AQ299" s="5">
        <v>0</v>
      </c>
      <c r="AR299" s="5">
        <v>0</v>
      </c>
      <c r="AS299" s="5"/>
      <c r="AT299" s="5">
        <v>139.81602676862269</v>
      </c>
      <c r="AU299" s="5">
        <v>0</v>
      </c>
      <c r="AV299" s="5"/>
      <c r="AW299" s="5">
        <v>30.045999999999999</v>
      </c>
      <c r="AX299" s="5">
        <v>0</v>
      </c>
      <c r="AY299" s="5"/>
      <c r="AZ299" s="5">
        <v>559</v>
      </c>
      <c r="BA299" s="5">
        <v>1226</v>
      </c>
      <c r="BB299" s="5">
        <v>668</v>
      </c>
      <c r="BD299" s="2">
        <v>2</v>
      </c>
      <c r="BF299" s="787">
        <v>1.47</v>
      </c>
      <c r="BG299" s="325">
        <v>150000744</v>
      </c>
    </row>
    <row r="300" spans="1:59" ht="24.9" customHeight="1" x14ac:dyDescent="0.3">
      <c r="A300" s="325">
        <v>150000741</v>
      </c>
      <c r="B300" s="445" t="s">
        <v>225</v>
      </c>
      <c r="C300" s="27">
        <v>4</v>
      </c>
      <c r="D300" s="101" t="s">
        <v>455</v>
      </c>
      <c r="E300" s="786">
        <v>2597.3000000000002</v>
      </c>
      <c r="F300" s="5">
        <v>1891</v>
      </c>
      <c r="G300" s="5">
        <v>4507</v>
      </c>
      <c r="H300" s="5">
        <v>2617</v>
      </c>
      <c r="I300" s="5">
        <v>0</v>
      </c>
      <c r="J300" s="5">
        <v>0</v>
      </c>
      <c r="K300" s="153"/>
      <c r="L300" s="5">
        <v>0</v>
      </c>
      <c r="M300" s="5">
        <v>0</v>
      </c>
      <c r="N300" s="628"/>
      <c r="O300" s="5">
        <v>0</v>
      </c>
      <c r="P300" s="5">
        <v>0</v>
      </c>
      <c r="Q300" s="784"/>
      <c r="R300" s="5">
        <v>0</v>
      </c>
      <c r="S300" s="5">
        <v>0</v>
      </c>
      <c r="T300" s="628"/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/>
      <c r="AA300" s="5">
        <v>0</v>
      </c>
      <c r="AB300" s="5">
        <v>0</v>
      </c>
      <c r="AC300" s="5">
        <v>0</v>
      </c>
      <c r="AD300" s="5">
        <v>4507</v>
      </c>
      <c r="AE300" s="5">
        <v>638.18923273167366</v>
      </c>
      <c r="AF300" s="5">
        <v>454</v>
      </c>
      <c r="AG300" s="5"/>
      <c r="AH300" s="5">
        <v>678.04035879814035</v>
      </c>
      <c r="AI300" s="5">
        <v>0</v>
      </c>
      <c r="AJ300" s="5"/>
      <c r="AK300" s="5">
        <v>156.29160466798169</v>
      </c>
      <c r="AL300" s="5">
        <v>0</v>
      </c>
      <c r="AM300" s="5"/>
      <c r="AN300" s="5">
        <v>0</v>
      </c>
      <c r="AO300" s="5">
        <v>0</v>
      </c>
      <c r="AP300" s="5"/>
      <c r="AQ300" s="5">
        <v>0</v>
      </c>
      <c r="AR300" s="5">
        <v>0</v>
      </c>
      <c r="AS300" s="5"/>
      <c r="AT300" s="5">
        <v>486.20567496934808</v>
      </c>
      <c r="AU300" s="5">
        <v>0</v>
      </c>
      <c r="AV300" s="5"/>
      <c r="AW300" s="5">
        <v>55.736000000000004</v>
      </c>
      <c r="AX300" s="5">
        <v>0</v>
      </c>
      <c r="AY300" s="5"/>
      <c r="AZ300" s="5">
        <v>1007</v>
      </c>
      <c r="BA300" s="5">
        <v>454</v>
      </c>
      <c r="BB300" s="5">
        <v>-554</v>
      </c>
      <c r="BD300" s="2">
        <v>2</v>
      </c>
      <c r="BF300" s="787">
        <v>2.7</v>
      </c>
      <c r="BG300" s="325">
        <v>150000741</v>
      </c>
    </row>
    <row r="301" spans="1:59" ht="24.9" customHeight="1" x14ac:dyDescent="0.3">
      <c r="A301" s="325">
        <v>150000742</v>
      </c>
      <c r="B301" s="445" t="s">
        <v>291</v>
      </c>
      <c r="C301" s="27">
        <v>5</v>
      </c>
      <c r="D301" s="101" t="s">
        <v>455</v>
      </c>
      <c r="E301" s="786">
        <v>1869.5</v>
      </c>
      <c r="F301" s="5">
        <v>842</v>
      </c>
      <c r="G301" s="5">
        <v>0</v>
      </c>
      <c r="H301" s="5">
        <v>-842</v>
      </c>
      <c r="I301" s="5">
        <v>0</v>
      </c>
      <c r="J301" s="5">
        <v>0</v>
      </c>
      <c r="K301" s="593"/>
      <c r="L301" s="5">
        <v>0</v>
      </c>
      <c r="M301" s="5">
        <v>0</v>
      </c>
      <c r="N301" s="5"/>
      <c r="O301" s="5">
        <v>0</v>
      </c>
      <c r="P301" s="5">
        <v>0</v>
      </c>
      <c r="Q301" s="784"/>
      <c r="R301" s="5">
        <v>0</v>
      </c>
      <c r="S301" s="5">
        <v>0</v>
      </c>
      <c r="T301" s="628"/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/>
      <c r="AA301" s="5">
        <v>0</v>
      </c>
      <c r="AB301" s="5">
        <v>0</v>
      </c>
      <c r="AC301" s="5">
        <v>0</v>
      </c>
      <c r="AD301" s="5">
        <v>0</v>
      </c>
      <c r="AE301" s="5">
        <v>397.50810259617879</v>
      </c>
      <c r="AF301" s="5">
        <v>0</v>
      </c>
      <c r="AG301" s="5"/>
      <c r="AH301" s="5">
        <v>502.0629080459122</v>
      </c>
      <c r="AI301" s="5">
        <v>0</v>
      </c>
      <c r="AJ301" s="5"/>
      <c r="AK301" s="5">
        <v>113.50279733418171</v>
      </c>
      <c r="AL301" s="5">
        <v>0</v>
      </c>
      <c r="AM301" s="5"/>
      <c r="AN301" s="5">
        <v>0</v>
      </c>
      <c r="AO301" s="5">
        <v>0</v>
      </c>
      <c r="AP301" s="5"/>
      <c r="AQ301" s="5">
        <v>0</v>
      </c>
      <c r="AR301" s="5">
        <v>0</v>
      </c>
      <c r="AS301" s="5"/>
      <c r="AT301" s="5">
        <v>189.92508833226751</v>
      </c>
      <c r="AU301" s="5">
        <v>0</v>
      </c>
      <c r="AV301" s="5"/>
      <c r="AW301" s="5">
        <v>35.888000000000005</v>
      </c>
      <c r="AX301" s="5">
        <v>0</v>
      </c>
      <c r="AY301" s="5"/>
      <c r="AZ301" s="5">
        <v>619</v>
      </c>
      <c r="BA301" s="5">
        <v>0</v>
      </c>
      <c r="BB301" s="5">
        <v>-619</v>
      </c>
      <c r="BD301" s="2">
        <v>2</v>
      </c>
      <c r="BF301" s="787">
        <v>1.74</v>
      </c>
      <c r="BG301" s="325">
        <v>150000742</v>
      </c>
    </row>
    <row r="302" spans="1:59" ht="24.9" customHeight="1" x14ac:dyDescent="0.3">
      <c r="A302" s="325">
        <v>150000745</v>
      </c>
      <c r="B302" s="445" t="s">
        <v>134</v>
      </c>
      <c r="C302" s="27">
        <v>1</v>
      </c>
      <c r="D302" s="101" t="s">
        <v>455</v>
      </c>
      <c r="E302" s="786">
        <v>275.3</v>
      </c>
      <c r="F302" s="5">
        <v>112</v>
      </c>
      <c r="G302" s="5">
        <v>0</v>
      </c>
      <c r="H302" s="5">
        <v>-112</v>
      </c>
      <c r="I302" s="5">
        <v>0</v>
      </c>
      <c r="J302" s="5">
        <v>0</v>
      </c>
      <c r="K302" s="153"/>
      <c r="L302" s="5">
        <v>0</v>
      </c>
      <c r="M302" s="5">
        <v>0</v>
      </c>
      <c r="N302" s="5"/>
      <c r="O302" s="5">
        <v>0</v>
      </c>
      <c r="P302" s="5">
        <v>0</v>
      </c>
      <c r="Q302" s="784"/>
      <c r="R302" s="5">
        <v>0</v>
      </c>
      <c r="S302" s="5">
        <v>0</v>
      </c>
      <c r="T302" s="628"/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/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/>
      <c r="AH302" s="5">
        <v>0</v>
      </c>
      <c r="AI302" s="5">
        <v>0</v>
      </c>
      <c r="AJ302" s="5"/>
      <c r="AK302" s="5">
        <v>0</v>
      </c>
      <c r="AL302" s="5">
        <v>0</v>
      </c>
      <c r="AM302" s="5"/>
      <c r="AN302" s="5">
        <v>0</v>
      </c>
      <c r="AO302" s="5">
        <v>0</v>
      </c>
      <c r="AP302" s="5"/>
      <c r="AQ302" s="5">
        <v>0</v>
      </c>
      <c r="AR302" s="5">
        <v>0</v>
      </c>
      <c r="AS302" s="5"/>
      <c r="AT302" s="5">
        <v>0</v>
      </c>
      <c r="AU302" s="5">
        <v>0</v>
      </c>
      <c r="AV302" s="5"/>
      <c r="AW302" s="5">
        <v>5.7530000000000001</v>
      </c>
      <c r="AX302" s="5">
        <v>0</v>
      </c>
      <c r="AY302" s="5"/>
      <c r="AZ302" s="5">
        <v>3</v>
      </c>
      <c r="BA302" s="5">
        <v>0</v>
      </c>
      <c r="BB302" s="5">
        <v>-3</v>
      </c>
      <c r="BD302" s="2">
        <v>2</v>
      </c>
      <c r="BF302" s="787">
        <v>0</v>
      </c>
      <c r="BG302" s="325">
        <v>150000745</v>
      </c>
    </row>
    <row r="303" spans="1:59" ht="24.9" customHeight="1" x14ac:dyDescent="0.3">
      <c r="A303" s="325">
        <v>150001094</v>
      </c>
      <c r="B303" s="464" t="s">
        <v>186</v>
      </c>
      <c r="C303" s="27">
        <v>2</v>
      </c>
      <c r="D303" s="101" t="s">
        <v>455</v>
      </c>
      <c r="E303" s="786">
        <v>304.89999999999998</v>
      </c>
      <c r="F303" s="5">
        <v>302</v>
      </c>
      <c r="G303" s="5">
        <v>0</v>
      </c>
      <c r="H303" s="5">
        <v>-302</v>
      </c>
      <c r="I303" s="5">
        <v>0</v>
      </c>
      <c r="J303" s="5">
        <v>0</v>
      </c>
      <c r="K303" s="153"/>
      <c r="L303" s="5">
        <v>0</v>
      </c>
      <c r="M303" s="5">
        <v>0</v>
      </c>
      <c r="N303" s="5"/>
      <c r="O303" s="5">
        <v>0</v>
      </c>
      <c r="P303" s="5">
        <v>0</v>
      </c>
      <c r="Q303" s="784"/>
      <c r="R303" s="5">
        <v>0</v>
      </c>
      <c r="S303" s="5">
        <v>0</v>
      </c>
      <c r="T303" s="628"/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/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/>
      <c r="AH303" s="5">
        <v>0</v>
      </c>
      <c r="AI303" s="5">
        <v>0</v>
      </c>
      <c r="AJ303" s="5"/>
      <c r="AK303" s="5">
        <v>0</v>
      </c>
      <c r="AL303" s="5">
        <v>0</v>
      </c>
      <c r="AM303" s="5"/>
      <c r="AN303" s="5">
        <v>0</v>
      </c>
      <c r="AO303" s="5">
        <v>0</v>
      </c>
      <c r="AP303" s="5"/>
      <c r="AQ303" s="5">
        <v>0</v>
      </c>
      <c r="AR303" s="5">
        <v>0</v>
      </c>
      <c r="AS303" s="5"/>
      <c r="AT303" s="5">
        <v>16.216243382853619</v>
      </c>
      <c r="AU303" s="5">
        <v>0</v>
      </c>
      <c r="AV303" s="5"/>
      <c r="AW303" s="5">
        <v>6.0500000000000007</v>
      </c>
      <c r="AX303" s="5">
        <v>0</v>
      </c>
      <c r="AY303" s="5"/>
      <c r="AZ303" s="5">
        <v>11</v>
      </c>
      <c r="BA303" s="5">
        <v>0</v>
      </c>
      <c r="BB303" s="5">
        <v>-11</v>
      </c>
      <c r="BD303" s="2">
        <v>1</v>
      </c>
      <c r="BF303" s="787">
        <v>1.72</v>
      </c>
      <c r="BG303" s="325">
        <v>150001094</v>
      </c>
    </row>
    <row r="304" spans="1:59" ht="24.9" customHeight="1" x14ac:dyDescent="0.3">
      <c r="A304" s="325">
        <v>150000851</v>
      </c>
      <c r="B304" s="445" t="s">
        <v>135</v>
      </c>
      <c r="C304" s="27">
        <v>1</v>
      </c>
      <c r="D304" s="101" t="s">
        <v>455</v>
      </c>
      <c r="E304" s="786">
        <v>168.1</v>
      </c>
      <c r="F304" s="5">
        <v>76</v>
      </c>
      <c r="G304" s="5">
        <v>0</v>
      </c>
      <c r="H304" s="5">
        <v>-76</v>
      </c>
      <c r="I304" s="5">
        <v>0</v>
      </c>
      <c r="J304" s="5">
        <v>0</v>
      </c>
      <c r="K304" s="153"/>
      <c r="L304" s="5">
        <v>0</v>
      </c>
      <c r="M304" s="5">
        <v>0</v>
      </c>
      <c r="N304" s="5"/>
      <c r="O304" s="5">
        <v>0</v>
      </c>
      <c r="P304" s="5">
        <v>0</v>
      </c>
      <c r="Q304" s="784"/>
      <c r="R304" s="5">
        <v>0</v>
      </c>
      <c r="S304" s="5">
        <v>0</v>
      </c>
      <c r="T304" s="628"/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/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/>
      <c r="AH304" s="5">
        <v>0</v>
      </c>
      <c r="AI304" s="5">
        <v>0</v>
      </c>
      <c r="AJ304" s="5"/>
      <c r="AK304" s="5">
        <v>0</v>
      </c>
      <c r="AL304" s="5">
        <v>0</v>
      </c>
      <c r="AM304" s="5"/>
      <c r="AN304" s="5">
        <v>0</v>
      </c>
      <c r="AO304" s="5">
        <v>0</v>
      </c>
      <c r="AP304" s="5"/>
      <c r="AQ304" s="5">
        <v>0</v>
      </c>
      <c r="AR304" s="5">
        <v>0</v>
      </c>
      <c r="AS304" s="5"/>
      <c r="AT304" s="5">
        <v>0</v>
      </c>
      <c r="AU304" s="5">
        <v>0</v>
      </c>
      <c r="AV304" s="5"/>
      <c r="AW304" s="5">
        <v>3.681</v>
      </c>
      <c r="AX304" s="5">
        <v>0</v>
      </c>
      <c r="AY304" s="5"/>
      <c r="AZ304" s="5">
        <v>2</v>
      </c>
      <c r="BA304" s="5">
        <v>0</v>
      </c>
      <c r="BB304" s="5">
        <v>-2</v>
      </c>
      <c r="BD304" s="2">
        <v>3</v>
      </c>
      <c r="BF304" s="787">
        <v>0</v>
      </c>
      <c r="BG304" s="325">
        <v>150000851</v>
      </c>
    </row>
    <row r="305" spans="1:59" ht="24.9" customHeight="1" x14ac:dyDescent="0.3">
      <c r="A305" s="325">
        <v>150000795</v>
      </c>
      <c r="B305" s="445" t="s">
        <v>292</v>
      </c>
      <c r="C305" s="27">
        <v>5</v>
      </c>
      <c r="D305" s="101" t="s">
        <v>455</v>
      </c>
      <c r="E305" s="786">
        <v>2762.24</v>
      </c>
      <c r="F305" s="5">
        <v>2347</v>
      </c>
      <c r="G305" s="5">
        <v>0</v>
      </c>
      <c r="H305" s="5">
        <v>-2347</v>
      </c>
      <c r="I305" s="5">
        <v>0</v>
      </c>
      <c r="J305" s="5">
        <v>0</v>
      </c>
      <c r="K305" s="153"/>
      <c r="L305" s="5">
        <v>0</v>
      </c>
      <c r="M305" s="5">
        <v>0</v>
      </c>
      <c r="N305" s="5"/>
      <c r="O305" s="5">
        <v>0</v>
      </c>
      <c r="P305" s="5">
        <v>0</v>
      </c>
      <c r="Q305" s="784"/>
      <c r="R305" s="5">
        <v>0</v>
      </c>
      <c r="S305" s="5">
        <v>0</v>
      </c>
      <c r="T305" s="628"/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/>
      <c r="AA305" s="5">
        <v>0</v>
      </c>
      <c r="AB305" s="5">
        <v>0</v>
      </c>
      <c r="AC305" s="5">
        <v>0</v>
      </c>
      <c r="AD305" s="5">
        <v>0</v>
      </c>
      <c r="AE305" s="5">
        <v>694.12538410165234</v>
      </c>
      <c r="AF305" s="5">
        <v>0</v>
      </c>
      <c r="AG305" s="5"/>
      <c r="AH305" s="5">
        <v>857.59822432078909</v>
      </c>
      <c r="AI305" s="5">
        <v>0</v>
      </c>
      <c r="AJ305" s="5"/>
      <c r="AK305" s="5">
        <v>0</v>
      </c>
      <c r="AL305" s="5">
        <v>0</v>
      </c>
      <c r="AM305" s="5"/>
      <c r="AN305" s="5">
        <v>0</v>
      </c>
      <c r="AO305" s="5">
        <v>0</v>
      </c>
      <c r="AP305" s="5"/>
      <c r="AQ305" s="5">
        <v>0</v>
      </c>
      <c r="AR305" s="5">
        <v>0</v>
      </c>
      <c r="AS305" s="5"/>
      <c r="AT305" s="5">
        <v>575.77551638998352</v>
      </c>
      <c r="AU305" s="5">
        <v>0</v>
      </c>
      <c r="AV305" s="5"/>
      <c r="AW305" s="5">
        <v>55.622399999999999</v>
      </c>
      <c r="AX305" s="5">
        <v>0</v>
      </c>
      <c r="AY305" s="5"/>
      <c r="AZ305" s="5">
        <v>1091</v>
      </c>
      <c r="BA305" s="5">
        <v>0</v>
      </c>
      <c r="BB305" s="5">
        <v>-1091</v>
      </c>
      <c r="BD305" s="2">
        <v>3</v>
      </c>
      <c r="BF305" s="787">
        <v>10.83</v>
      </c>
      <c r="BG305" s="325">
        <v>150000795</v>
      </c>
    </row>
    <row r="306" spans="1:59" ht="24.9" customHeight="1" x14ac:dyDescent="0.3">
      <c r="A306" s="325">
        <v>150000832</v>
      </c>
      <c r="B306" s="445" t="s">
        <v>423</v>
      </c>
      <c r="C306" s="27">
        <v>10</v>
      </c>
      <c r="D306" s="101" t="s">
        <v>455</v>
      </c>
      <c r="E306" s="786">
        <v>4396.8</v>
      </c>
      <c r="F306" s="5">
        <v>2621</v>
      </c>
      <c r="G306" s="5">
        <v>0</v>
      </c>
      <c r="H306" s="5">
        <v>-2621</v>
      </c>
      <c r="I306" s="5">
        <v>0</v>
      </c>
      <c r="J306" s="5">
        <v>0</v>
      </c>
      <c r="K306" s="153"/>
      <c r="L306" s="5">
        <v>0</v>
      </c>
      <c r="M306" s="5">
        <v>0</v>
      </c>
      <c r="N306" s="5"/>
      <c r="O306" s="5">
        <v>0</v>
      </c>
      <c r="P306" s="5">
        <v>0</v>
      </c>
      <c r="Q306" s="784"/>
      <c r="R306" s="5">
        <v>0</v>
      </c>
      <c r="S306" s="5">
        <v>0</v>
      </c>
      <c r="T306" s="630"/>
      <c r="U306" s="5">
        <v>0</v>
      </c>
      <c r="V306" s="8">
        <v>0</v>
      </c>
      <c r="W306" s="5">
        <v>0</v>
      </c>
      <c r="X306" s="5">
        <v>0</v>
      </c>
      <c r="Y306" s="5">
        <v>0</v>
      </c>
      <c r="Z306" s="8"/>
      <c r="AA306" s="5">
        <v>0</v>
      </c>
      <c r="AB306" s="5">
        <v>0</v>
      </c>
      <c r="AC306" s="5">
        <v>0</v>
      </c>
      <c r="AD306" s="5">
        <v>0</v>
      </c>
      <c r="AE306" s="5">
        <v>1012.1157802171122</v>
      </c>
      <c r="AF306" s="5">
        <v>0</v>
      </c>
      <c r="AG306" s="5"/>
      <c r="AH306" s="5">
        <v>1018.0080165386138</v>
      </c>
      <c r="AI306" s="5">
        <v>0</v>
      </c>
      <c r="AJ306" s="5"/>
      <c r="AK306" s="5">
        <v>302.43391243215501</v>
      </c>
      <c r="AL306" s="5">
        <v>0</v>
      </c>
      <c r="AM306" s="5"/>
      <c r="AN306" s="5">
        <v>943.79592593694804</v>
      </c>
      <c r="AO306" s="5">
        <v>0</v>
      </c>
      <c r="AP306" s="5"/>
      <c r="AQ306" s="5">
        <v>284.47168378366155</v>
      </c>
      <c r="AR306" s="5">
        <v>0</v>
      </c>
      <c r="AS306" s="5"/>
      <c r="AT306" s="5">
        <v>446.44270124439413</v>
      </c>
      <c r="AU306" s="5">
        <v>1695</v>
      </c>
      <c r="AV306" s="5"/>
      <c r="AW306" s="5">
        <v>56.076616456950092</v>
      </c>
      <c r="AX306" s="5">
        <v>0</v>
      </c>
      <c r="AY306" s="5"/>
      <c r="AZ306" s="5">
        <v>2032</v>
      </c>
      <c r="BA306" s="5">
        <v>0</v>
      </c>
      <c r="BB306" s="5">
        <v>-2032</v>
      </c>
      <c r="BD306" s="2">
        <v>1</v>
      </c>
      <c r="BF306" s="787">
        <v>25.38</v>
      </c>
      <c r="BG306" s="325">
        <v>150000832</v>
      </c>
    </row>
    <row r="307" spans="1:59" ht="24.9" customHeight="1" x14ac:dyDescent="0.3">
      <c r="A307" s="325">
        <v>150000833</v>
      </c>
      <c r="B307" s="445" t="s">
        <v>393</v>
      </c>
      <c r="C307" s="27">
        <v>9</v>
      </c>
      <c r="D307" s="101" t="s">
        <v>455</v>
      </c>
      <c r="E307" s="786">
        <v>4752.1000000000004</v>
      </c>
      <c r="F307" s="5">
        <v>2792</v>
      </c>
      <c r="G307" s="5">
        <v>904</v>
      </c>
      <c r="H307" s="5">
        <v>-2792</v>
      </c>
      <c r="I307" s="5">
        <v>0</v>
      </c>
      <c r="J307" s="5">
        <v>0</v>
      </c>
      <c r="K307" s="593"/>
      <c r="L307" s="5">
        <v>0</v>
      </c>
      <c r="M307" s="5">
        <v>0</v>
      </c>
      <c r="N307" s="5"/>
      <c r="O307" s="5">
        <v>0</v>
      </c>
      <c r="P307" s="5">
        <v>0</v>
      </c>
      <c r="Q307" s="784"/>
      <c r="R307" s="5">
        <v>0</v>
      </c>
      <c r="S307" s="5">
        <v>0</v>
      </c>
      <c r="T307" s="630"/>
      <c r="U307" s="5">
        <v>0</v>
      </c>
      <c r="V307" s="5">
        <v>0</v>
      </c>
      <c r="W307" s="5">
        <v>1</v>
      </c>
      <c r="X307" s="5">
        <v>904</v>
      </c>
      <c r="Y307" s="5">
        <v>0</v>
      </c>
      <c r="Z307" s="467"/>
      <c r="AA307" s="5">
        <v>0</v>
      </c>
      <c r="AB307" s="5">
        <v>0</v>
      </c>
      <c r="AC307" s="5">
        <v>0</v>
      </c>
      <c r="AD307" s="5">
        <v>0</v>
      </c>
      <c r="AE307" s="5">
        <v>1012.1157802171122</v>
      </c>
      <c r="AF307" s="5">
        <v>221</v>
      </c>
      <c r="AG307" s="5"/>
      <c r="AH307" s="5">
        <v>941.71644330955758</v>
      </c>
      <c r="AI307" s="5">
        <v>2162</v>
      </c>
      <c r="AJ307" s="5"/>
      <c r="AK307" s="5">
        <v>342.25818168084334</v>
      </c>
      <c r="AL307" s="5">
        <v>0</v>
      </c>
      <c r="AM307" s="5"/>
      <c r="AN307" s="5">
        <v>1026.0476462743359</v>
      </c>
      <c r="AO307" s="5">
        <v>0</v>
      </c>
      <c r="AP307" s="5"/>
      <c r="AQ307" s="5">
        <v>446.2183605350553</v>
      </c>
      <c r="AR307" s="5">
        <v>0</v>
      </c>
      <c r="AS307" s="5"/>
      <c r="AT307" s="5">
        <v>427.96812775008499</v>
      </c>
      <c r="AU307" s="5">
        <v>0</v>
      </c>
      <c r="AV307" s="5"/>
      <c r="AW307" s="5">
        <v>55.71899971098015</v>
      </c>
      <c r="AX307" s="5">
        <v>0</v>
      </c>
      <c r="AY307" s="5"/>
      <c r="AZ307" s="5">
        <v>2126</v>
      </c>
      <c r="BA307" s="5">
        <v>2383</v>
      </c>
      <c r="BB307" s="5">
        <v>257</v>
      </c>
      <c r="BD307" s="2">
        <v>1</v>
      </c>
      <c r="BF307" s="787">
        <v>26.73</v>
      </c>
      <c r="BG307" s="325">
        <v>150000833</v>
      </c>
    </row>
    <row r="308" spans="1:59" ht="24.9" customHeight="1" x14ac:dyDescent="0.3">
      <c r="A308" s="325">
        <v>150000836</v>
      </c>
      <c r="B308" s="445" t="s">
        <v>199</v>
      </c>
      <c r="C308" s="27">
        <v>3</v>
      </c>
      <c r="D308" s="101" t="s">
        <v>455</v>
      </c>
      <c r="E308" s="786">
        <v>1578.7</v>
      </c>
      <c r="F308" s="5">
        <v>1587</v>
      </c>
      <c r="G308" s="5">
        <v>0</v>
      </c>
      <c r="H308" s="5">
        <v>-1587</v>
      </c>
      <c r="I308" s="5">
        <v>0</v>
      </c>
      <c r="J308" s="5">
        <v>0</v>
      </c>
      <c r="K308" s="153"/>
      <c r="L308" s="5">
        <v>0</v>
      </c>
      <c r="M308" s="5">
        <v>0</v>
      </c>
      <c r="N308" s="5"/>
      <c r="O308" s="5">
        <v>0</v>
      </c>
      <c r="P308" s="5">
        <v>0</v>
      </c>
      <c r="Q308" s="784"/>
      <c r="R308" s="5">
        <v>0</v>
      </c>
      <c r="S308" s="5">
        <v>0</v>
      </c>
      <c r="T308" s="628"/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/>
      <c r="AA308" s="5">
        <v>0</v>
      </c>
      <c r="AB308" s="5">
        <v>0</v>
      </c>
      <c r="AC308" s="5">
        <v>0</v>
      </c>
      <c r="AD308" s="5">
        <v>0</v>
      </c>
      <c r="AE308" s="5">
        <v>463.66975738177979</v>
      </c>
      <c r="AF308" s="5">
        <v>0</v>
      </c>
      <c r="AG308" s="5"/>
      <c r="AH308" s="5">
        <v>589.93384362022903</v>
      </c>
      <c r="AI308" s="5">
        <v>0</v>
      </c>
      <c r="AJ308" s="5"/>
      <c r="AK308" s="5">
        <v>92.002472330351594</v>
      </c>
      <c r="AL308" s="5">
        <v>0</v>
      </c>
      <c r="AM308" s="5"/>
      <c r="AN308" s="5">
        <v>342.44082336101167</v>
      </c>
      <c r="AO308" s="5">
        <v>0</v>
      </c>
      <c r="AP308" s="5"/>
      <c r="AQ308" s="5">
        <v>113.98019177525207</v>
      </c>
      <c r="AR308" s="5">
        <v>0</v>
      </c>
      <c r="AS308" s="5"/>
      <c r="AT308" s="5">
        <v>65.84379604342972</v>
      </c>
      <c r="AU308" s="5">
        <v>0</v>
      </c>
      <c r="AV308" s="5"/>
      <c r="AW308" s="5">
        <v>22.211225632118229</v>
      </c>
      <c r="AX308" s="5">
        <v>0</v>
      </c>
      <c r="AY308" s="5"/>
      <c r="AZ308" s="5">
        <v>845</v>
      </c>
      <c r="BA308" s="5">
        <v>0</v>
      </c>
      <c r="BB308" s="5">
        <v>-845</v>
      </c>
      <c r="BD308" s="2">
        <v>1</v>
      </c>
      <c r="BF308" s="787">
        <v>8.8800000000000008</v>
      </c>
      <c r="BG308" s="325">
        <v>150000836</v>
      </c>
    </row>
    <row r="309" spans="1:59" ht="24.9" customHeight="1" x14ac:dyDescent="0.3">
      <c r="A309" s="325">
        <v>150000837</v>
      </c>
      <c r="B309" s="445" t="s">
        <v>200</v>
      </c>
      <c r="C309" s="27">
        <v>3</v>
      </c>
      <c r="D309" s="101" t="s">
        <v>455</v>
      </c>
      <c r="E309" s="786">
        <v>631.1</v>
      </c>
      <c r="F309" s="5">
        <v>348</v>
      </c>
      <c r="G309" s="5">
        <v>690</v>
      </c>
      <c r="H309" s="5">
        <v>342</v>
      </c>
      <c r="I309" s="5">
        <v>0</v>
      </c>
      <c r="J309" s="5">
        <v>0</v>
      </c>
      <c r="K309" s="593"/>
      <c r="L309" s="5">
        <v>0</v>
      </c>
      <c r="M309" s="5">
        <v>0</v>
      </c>
      <c r="N309" s="788"/>
      <c r="O309" s="5">
        <v>0</v>
      </c>
      <c r="P309" s="5">
        <v>0</v>
      </c>
      <c r="Q309" s="784"/>
      <c r="R309" s="5">
        <v>0</v>
      </c>
      <c r="S309" s="5">
        <v>0</v>
      </c>
      <c r="T309" s="628"/>
      <c r="U309" s="5">
        <v>0</v>
      </c>
      <c r="V309" s="8">
        <v>0</v>
      </c>
      <c r="W309" s="5">
        <v>0</v>
      </c>
      <c r="X309" s="5">
        <v>0</v>
      </c>
      <c r="Y309" s="5">
        <v>0</v>
      </c>
      <c r="Z309" s="5"/>
      <c r="AA309" s="5">
        <v>0</v>
      </c>
      <c r="AB309" s="5">
        <v>0</v>
      </c>
      <c r="AC309" s="5">
        <v>0</v>
      </c>
      <c r="AD309" s="5">
        <v>690</v>
      </c>
      <c r="AE309" s="5">
        <v>211.81664176550771</v>
      </c>
      <c r="AF309" s="5">
        <v>0</v>
      </c>
      <c r="AG309" s="5"/>
      <c r="AH309" s="5">
        <v>186.19900039336483</v>
      </c>
      <c r="AI309" s="5">
        <v>0</v>
      </c>
      <c r="AJ309" s="5"/>
      <c r="AK309" s="5">
        <v>28.437220713470001</v>
      </c>
      <c r="AL309" s="5">
        <v>0</v>
      </c>
      <c r="AM309" s="5"/>
      <c r="AN309" s="5">
        <v>0</v>
      </c>
      <c r="AO309" s="5">
        <v>0</v>
      </c>
      <c r="AP309" s="5"/>
      <c r="AQ309" s="5">
        <v>0</v>
      </c>
      <c r="AR309" s="5">
        <v>0</v>
      </c>
      <c r="AS309" s="5"/>
      <c r="AT309" s="5">
        <v>54.44215359400107</v>
      </c>
      <c r="AU309" s="5">
        <v>0</v>
      </c>
      <c r="AV309" s="5"/>
      <c r="AW309" s="5">
        <v>10.373825908402269</v>
      </c>
      <c r="AX309" s="5">
        <v>0</v>
      </c>
      <c r="AY309" s="5"/>
      <c r="AZ309" s="5">
        <v>246</v>
      </c>
      <c r="BA309" s="5">
        <v>0</v>
      </c>
      <c r="BB309" s="5">
        <v>-246</v>
      </c>
      <c r="BD309" s="2">
        <v>1</v>
      </c>
      <c r="BF309" s="787">
        <v>3.8</v>
      </c>
      <c r="BG309" s="325">
        <v>150000837</v>
      </c>
    </row>
    <row r="310" spans="1:59" ht="24.9" customHeight="1" x14ac:dyDescent="0.3">
      <c r="A310" s="325">
        <v>150000839</v>
      </c>
      <c r="B310" s="445" t="s">
        <v>136</v>
      </c>
      <c r="C310" s="27">
        <v>1</v>
      </c>
      <c r="D310" s="101" t="s">
        <v>455</v>
      </c>
      <c r="E310" s="786">
        <v>128.19999999999999</v>
      </c>
      <c r="F310" s="5">
        <v>121</v>
      </c>
      <c r="G310" s="5">
        <v>0</v>
      </c>
      <c r="H310" s="5">
        <v>-121</v>
      </c>
      <c r="I310" s="5">
        <v>0</v>
      </c>
      <c r="J310" s="5">
        <v>0</v>
      </c>
      <c r="K310" s="153"/>
      <c r="L310" s="5">
        <v>0</v>
      </c>
      <c r="M310" s="5">
        <v>0</v>
      </c>
      <c r="N310" s="5"/>
      <c r="O310" s="5">
        <v>0</v>
      </c>
      <c r="P310" s="5">
        <v>0</v>
      </c>
      <c r="Q310" s="784"/>
      <c r="R310" s="5">
        <v>0</v>
      </c>
      <c r="S310" s="5">
        <v>0</v>
      </c>
      <c r="T310" s="628"/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/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/>
      <c r="AH310" s="5">
        <v>0</v>
      </c>
      <c r="AI310" s="5">
        <v>0</v>
      </c>
      <c r="AJ310" s="5"/>
      <c r="AK310" s="5">
        <v>0</v>
      </c>
      <c r="AL310" s="5">
        <v>0</v>
      </c>
      <c r="AM310" s="5"/>
      <c r="AN310" s="5">
        <v>0</v>
      </c>
      <c r="AO310" s="5">
        <v>0</v>
      </c>
      <c r="AP310" s="5"/>
      <c r="AQ310" s="5">
        <v>0</v>
      </c>
      <c r="AR310" s="5">
        <v>0</v>
      </c>
      <c r="AS310" s="5"/>
      <c r="AT310" s="5">
        <v>0</v>
      </c>
      <c r="AU310" s="5">
        <v>0</v>
      </c>
      <c r="AV310" s="5"/>
      <c r="AW310" s="5">
        <v>3.900910909491472</v>
      </c>
      <c r="AX310" s="5">
        <v>0</v>
      </c>
      <c r="AY310" s="5"/>
      <c r="AZ310" s="5">
        <v>2</v>
      </c>
      <c r="BA310" s="5">
        <v>0</v>
      </c>
      <c r="BB310" s="5">
        <v>-2</v>
      </c>
      <c r="BD310" s="2">
        <v>1</v>
      </c>
      <c r="BF310" s="787">
        <v>0</v>
      </c>
      <c r="BG310" s="325">
        <v>150000839</v>
      </c>
    </row>
    <row r="311" spans="1:59" ht="24.9" customHeight="1" x14ac:dyDescent="0.3">
      <c r="A311" s="325">
        <v>150000840</v>
      </c>
      <c r="B311" s="445" t="s">
        <v>394</v>
      </c>
      <c r="C311" s="27">
        <v>9</v>
      </c>
      <c r="D311" s="101" t="s">
        <v>455</v>
      </c>
      <c r="E311" s="786">
        <v>4215.9399999999996</v>
      </c>
      <c r="F311" s="5">
        <v>2557</v>
      </c>
      <c r="G311" s="5">
        <v>0</v>
      </c>
      <c r="H311" s="5">
        <v>-2557</v>
      </c>
      <c r="I311" s="5">
        <v>0</v>
      </c>
      <c r="J311" s="5">
        <v>0</v>
      </c>
      <c r="K311" s="593"/>
      <c r="L311" s="5">
        <v>0</v>
      </c>
      <c r="M311" s="5">
        <v>0</v>
      </c>
      <c r="N311" s="5"/>
      <c r="O311" s="5">
        <v>0</v>
      </c>
      <c r="P311" s="5">
        <v>0</v>
      </c>
      <c r="Q311" s="784"/>
      <c r="R311" s="5">
        <v>0</v>
      </c>
      <c r="S311" s="5">
        <v>0</v>
      </c>
      <c r="T311" s="630"/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/>
      <c r="AA311" s="5">
        <v>0</v>
      </c>
      <c r="AB311" s="5">
        <v>0</v>
      </c>
      <c r="AC311" s="5">
        <v>0</v>
      </c>
      <c r="AD311" s="5">
        <v>0</v>
      </c>
      <c r="AE311" s="5">
        <v>976.46173718219688</v>
      </c>
      <c r="AF311" s="5">
        <v>0</v>
      </c>
      <c r="AG311" s="5"/>
      <c r="AH311" s="5">
        <v>1013.977346459262</v>
      </c>
      <c r="AI311" s="5">
        <v>0</v>
      </c>
      <c r="AJ311" s="8"/>
      <c r="AK311" s="5">
        <v>332.14978359883503</v>
      </c>
      <c r="AL311" s="5">
        <v>0</v>
      </c>
      <c r="AM311" s="5"/>
      <c r="AN311" s="5">
        <v>862.48281400681503</v>
      </c>
      <c r="AO311" s="5">
        <v>0</v>
      </c>
      <c r="AP311" s="5"/>
      <c r="AQ311" s="5">
        <v>417.96272557758289</v>
      </c>
      <c r="AR311" s="5">
        <v>0</v>
      </c>
      <c r="AS311" s="5"/>
      <c r="AT311" s="5">
        <v>474.41734143839506</v>
      </c>
      <c r="AU311" s="5">
        <v>0</v>
      </c>
      <c r="AV311" s="5"/>
      <c r="AW311" s="5">
        <v>71.968801066087366</v>
      </c>
      <c r="AX311" s="5">
        <v>0</v>
      </c>
      <c r="AY311" s="5"/>
      <c r="AZ311" s="5">
        <v>2075</v>
      </c>
      <c r="BA311" s="5">
        <v>0</v>
      </c>
      <c r="BB311" s="5">
        <v>-2075</v>
      </c>
      <c r="BD311" s="2">
        <v>1</v>
      </c>
      <c r="BF311" s="787">
        <v>23.71</v>
      </c>
      <c r="BG311" s="325">
        <v>150000840</v>
      </c>
    </row>
    <row r="312" spans="1:59" ht="24.9" customHeight="1" x14ac:dyDescent="0.3">
      <c r="A312" s="325">
        <v>150000841</v>
      </c>
      <c r="B312" s="445" t="s">
        <v>137</v>
      </c>
      <c r="C312" s="27">
        <v>1</v>
      </c>
      <c r="D312" s="101" t="s">
        <v>455</v>
      </c>
      <c r="E312" s="786">
        <v>172.4</v>
      </c>
      <c r="F312" s="5">
        <v>108</v>
      </c>
      <c r="G312" s="5">
        <v>0</v>
      </c>
      <c r="H312" s="5">
        <v>-108</v>
      </c>
      <c r="I312" s="5">
        <v>0</v>
      </c>
      <c r="J312" s="5">
        <v>0</v>
      </c>
      <c r="K312" s="153"/>
      <c r="L312" s="5">
        <v>0</v>
      </c>
      <c r="M312" s="5">
        <v>0</v>
      </c>
      <c r="N312" s="5"/>
      <c r="O312" s="5">
        <v>0</v>
      </c>
      <c r="P312" s="5">
        <v>0</v>
      </c>
      <c r="Q312" s="784"/>
      <c r="R312" s="5">
        <v>0</v>
      </c>
      <c r="S312" s="5">
        <v>0</v>
      </c>
      <c r="T312" s="628"/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/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/>
      <c r="AH312" s="5">
        <v>0</v>
      </c>
      <c r="AI312" s="5">
        <v>0</v>
      </c>
      <c r="AJ312" s="5"/>
      <c r="AK312" s="5">
        <v>0</v>
      </c>
      <c r="AL312" s="5">
        <v>0</v>
      </c>
      <c r="AM312" s="5"/>
      <c r="AN312" s="5">
        <v>0</v>
      </c>
      <c r="AO312" s="5">
        <v>0</v>
      </c>
      <c r="AP312" s="5"/>
      <c r="AQ312" s="5">
        <v>0</v>
      </c>
      <c r="AR312" s="5">
        <v>0</v>
      </c>
      <c r="AS312" s="5"/>
      <c r="AT312" s="5">
        <v>0</v>
      </c>
      <c r="AU312" s="5">
        <v>0</v>
      </c>
      <c r="AV312" s="5"/>
      <c r="AW312" s="5">
        <v>5.5204015428968987</v>
      </c>
      <c r="AX312" s="5">
        <v>0</v>
      </c>
      <c r="AY312" s="5"/>
      <c r="AZ312" s="5">
        <v>3</v>
      </c>
      <c r="BA312" s="5">
        <v>0</v>
      </c>
      <c r="BB312" s="5">
        <v>-3</v>
      </c>
      <c r="BD312" s="2">
        <v>1</v>
      </c>
      <c r="BF312" s="787">
        <v>0</v>
      </c>
      <c r="BG312" s="325">
        <v>150000841</v>
      </c>
    </row>
    <row r="313" spans="1:59" ht="24.9" customHeight="1" x14ac:dyDescent="0.3">
      <c r="A313" s="325">
        <v>150000848</v>
      </c>
      <c r="B313" s="445" t="s">
        <v>187</v>
      </c>
      <c r="C313" s="27">
        <v>2</v>
      </c>
      <c r="D313" s="101" t="s">
        <v>455</v>
      </c>
      <c r="E313" s="786">
        <v>261.2</v>
      </c>
      <c r="F313" s="5">
        <v>221</v>
      </c>
      <c r="G313" s="5">
        <v>0</v>
      </c>
      <c r="H313" s="5">
        <v>-221</v>
      </c>
      <c r="I313" s="5">
        <v>0</v>
      </c>
      <c r="J313" s="5">
        <v>0</v>
      </c>
      <c r="K313" s="153"/>
      <c r="L313" s="5">
        <v>0</v>
      </c>
      <c r="M313" s="5">
        <v>0</v>
      </c>
      <c r="N313" s="5"/>
      <c r="O313" s="5">
        <v>0</v>
      </c>
      <c r="P313" s="5">
        <v>0</v>
      </c>
      <c r="Q313" s="784"/>
      <c r="R313" s="5">
        <v>0</v>
      </c>
      <c r="S313" s="5">
        <v>0</v>
      </c>
      <c r="T313" s="628"/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/>
      <c r="AA313" s="5">
        <v>0</v>
      </c>
      <c r="AB313" s="5">
        <v>0</v>
      </c>
      <c r="AC313" s="5">
        <v>0</v>
      </c>
      <c r="AD313" s="5">
        <v>0</v>
      </c>
      <c r="AE313" s="5">
        <v>77.873044165367901</v>
      </c>
      <c r="AF313" s="5">
        <v>0</v>
      </c>
      <c r="AG313" s="5"/>
      <c r="AH313" s="5">
        <v>97.927774297674944</v>
      </c>
      <c r="AI313" s="5">
        <v>0</v>
      </c>
      <c r="AJ313" s="5"/>
      <c r="AK313" s="5">
        <v>13.59110047470867</v>
      </c>
      <c r="AL313" s="5">
        <v>0</v>
      </c>
      <c r="AM313" s="5"/>
      <c r="AN313" s="5">
        <v>0</v>
      </c>
      <c r="AO313" s="5">
        <v>0</v>
      </c>
      <c r="AP313" s="5"/>
      <c r="AQ313" s="5">
        <v>0</v>
      </c>
      <c r="AR313" s="5">
        <v>0</v>
      </c>
      <c r="AS313" s="5"/>
      <c r="AT313" s="5">
        <v>7.5212628660311616</v>
      </c>
      <c r="AU313" s="5">
        <v>0</v>
      </c>
      <c r="AV313" s="5"/>
      <c r="AW313" s="5">
        <v>5.6120000000000001</v>
      </c>
      <c r="AX313" s="5">
        <v>0</v>
      </c>
      <c r="AY313" s="5"/>
      <c r="AZ313" s="5">
        <v>101</v>
      </c>
      <c r="BA313" s="5">
        <v>0</v>
      </c>
      <c r="BB313" s="5">
        <v>-101</v>
      </c>
      <c r="BD313" s="2">
        <v>2</v>
      </c>
      <c r="BF313" s="787">
        <v>0.25</v>
      </c>
      <c r="BG313" s="325">
        <v>150000848</v>
      </c>
    </row>
    <row r="314" spans="1:59" ht="24.9" customHeight="1" x14ac:dyDescent="0.3">
      <c r="A314" s="325">
        <v>150000835</v>
      </c>
      <c r="B314" s="445" t="s">
        <v>138</v>
      </c>
      <c r="C314" s="27">
        <v>1</v>
      </c>
      <c r="D314" s="101" t="s">
        <v>455</v>
      </c>
      <c r="E314" s="786">
        <v>128.6</v>
      </c>
      <c r="F314" s="5">
        <v>84</v>
      </c>
      <c r="G314" s="5">
        <v>0</v>
      </c>
      <c r="H314" s="5">
        <v>-84</v>
      </c>
      <c r="I314" s="5">
        <v>0</v>
      </c>
      <c r="J314" s="5">
        <v>0</v>
      </c>
      <c r="K314" s="153"/>
      <c r="L314" s="5">
        <v>0</v>
      </c>
      <c r="M314" s="5">
        <v>0</v>
      </c>
      <c r="N314" s="5"/>
      <c r="O314" s="5">
        <v>0</v>
      </c>
      <c r="P314" s="5">
        <v>0</v>
      </c>
      <c r="Q314" s="784"/>
      <c r="R314" s="5">
        <v>0</v>
      </c>
      <c r="S314" s="5">
        <v>0</v>
      </c>
      <c r="T314" s="628"/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/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/>
      <c r="AH314" s="5">
        <v>0</v>
      </c>
      <c r="AI314" s="5">
        <v>0</v>
      </c>
      <c r="AJ314" s="5"/>
      <c r="AK314" s="5">
        <v>0</v>
      </c>
      <c r="AL314" s="5">
        <v>0</v>
      </c>
      <c r="AM314" s="5"/>
      <c r="AN314" s="5">
        <v>0</v>
      </c>
      <c r="AO314" s="5">
        <v>0</v>
      </c>
      <c r="AP314" s="5"/>
      <c r="AQ314" s="5">
        <v>0</v>
      </c>
      <c r="AR314" s="5">
        <v>0</v>
      </c>
      <c r="AS314" s="5"/>
      <c r="AT314" s="5">
        <v>0</v>
      </c>
      <c r="AU314" s="5">
        <v>0</v>
      </c>
      <c r="AV314" s="5"/>
      <c r="AW314" s="5">
        <v>2.286</v>
      </c>
      <c r="AX314" s="5">
        <v>0</v>
      </c>
      <c r="AY314" s="5"/>
      <c r="AZ314" s="5">
        <v>1</v>
      </c>
      <c r="BA314" s="5">
        <v>0</v>
      </c>
      <c r="BB314" s="5">
        <v>-1</v>
      </c>
      <c r="BD314" s="2">
        <v>2</v>
      </c>
      <c r="BF314" s="787">
        <v>0</v>
      </c>
      <c r="BG314" s="325">
        <v>150000835</v>
      </c>
    </row>
    <row r="315" spans="1:59" ht="24.9" customHeight="1" x14ac:dyDescent="0.3">
      <c r="A315" s="325">
        <v>150000845</v>
      </c>
      <c r="B315" s="445" t="s">
        <v>139</v>
      </c>
      <c r="C315" s="27">
        <v>1</v>
      </c>
      <c r="D315" s="101" t="s">
        <v>455</v>
      </c>
      <c r="E315" s="786">
        <v>252.8</v>
      </c>
      <c r="F315" s="5">
        <v>185</v>
      </c>
      <c r="G315" s="5">
        <v>0</v>
      </c>
      <c r="H315" s="5">
        <v>-185</v>
      </c>
      <c r="I315" s="5">
        <v>0</v>
      </c>
      <c r="J315" s="5">
        <v>0</v>
      </c>
      <c r="K315" s="153"/>
      <c r="L315" s="5">
        <v>0</v>
      </c>
      <c r="M315" s="5">
        <v>0</v>
      </c>
      <c r="N315" s="5"/>
      <c r="O315" s="5">
        <v>0</v>
      </c>
      <c r="P315" s="5">
        <v>0</v>
      </c>
      <c r="Q315" s="784"/>
      <c r="R315" s="5">
        <v>0</v>
      </c>
      <c r="S315" s="5">
        <v>0</v>
      </c>
      <c r="T315" s="628"/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/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/>
      <c r="AH315" s="5">
        <v>0</v>
      </c>
      <c r="AI315" s="5">
        <v>0</v>
      </c>
      <c r="AJ315" s="5"/>
      <c r="AK315" s="5">
        <v>0</v>
      </c>
      <c r="AL315" s="5">
        <v>0</v>
      </c>
      <c r="AM315" s="5"/>
      <c r="AN315" s="5">
        <v>0</v>
      </c>
      <c r="AO315" s="5">
        <v>0</v>
      </c>
      <c r="AP315" s="5"/>
      <c r="AQ315" s="5">
        <v>0</v>
      </c>
      <c r="AR315" s="5">
        <v>0</v>
      </c>
      <c r="AS315" s="5"/>
      <c r="AT315" s="5">
        <v>0</v>
      </c>
      <c r="AU315" s="5">
        <v>0</v>
      </c>
      <c r="AV315" s="5"/>
      <c r="AW315" s="5">
        <v>7.6773690345507397</v>
      </c>
      <c r="AX315" s="5">
        <v>0</v>
      </c>
      <c r="AY315" s="5"/>
      <c r="AZ315" s="5">
        <v>4</v>
      </c>
      <c r="BA315" s="5">
        <v>0</v>
      </c>
      <c r="BB315" s="5">
        <v>-4</v>
      </c>
      <c r="BD315" s="2">
        <v>1</v>
      </c>
      <c r="BF315" s="787">
        <v>0</v>
      </c>
      <c r="BG315" s="325">
        <v>150000845</v>
      </c>
    </row>
    <row r="316" spans="1:59" ht="24.9" customHeight="1" x14ac:dyDescent="0.3">
      <c r="A316" s="325">
        <v>150000846</v>
      </c>
      <c r="B316" s="445" t="s">
        <v>140</v>
      </c>
      <c r="C316" s="27">
        <v>1</v>
      </c>
      <c r="D316" s="101" t="s">
        <v>455</v>
      </c>
      <c r="E316" s="786">
        <v>126.2</v>
      </c>
      <c r="F316" s="5">
        <v>84</v>
      </c>
      <c r="G316" s="5">
        <v>0</v>
      </c>
      <c r="H316" s="5">
        <v>-84</v>
      </c>
      <c r="I316" s="5">
        <v>0</v>
      </c>
      <c r="J316" s="5">
        <v>0</v>
      </c>
      <c r="K316" s="153"/>
      <c r="L316" s="5">
        <v>0</v>
      </c>
      <c r="M316" s="5">
        <v>0</v>
      </c>
      <c r="N316" s="5"/>
      <c r="O316" s="5">
        <v>0</v>
      </c>
      <c r="P316" s="5">
        <v>0</v>
      </c>
      <c r="Q316" s="784"/>
      <c r="R316" s="5">
        <v>0</v>
      </c>
      <c r="S316" s="5">
        <v>0</v>
      </c>
      <c r="T316" s="628"/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/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/>
      <c r="AH316" s="5">
        <v>0</v>
      </c>
      <c r="AI316" s="5">
        <v>0</v>
      </c>
      <c r="AJ316" s="5"/>
      <c r="AK316" s="5">
        <v>0</v>
      </c>
      <c r="AL316" s="5">
        <v>0</v>
      </c>
      <c r="AM316" s="5"/>
      <c r="AN316" s="5">
        <v>0</v>
      </c>
      <c r="AO316" s="5">
        <v>0</v>
      </c>
      <c r="AP316" s="5"/>
      <c r="AQ316" s="5">
        <v>0</v>
      </c>
      <c r="AR316" s="5">
        <v>0</v>
      </c>
      <c r="AS316" s="5"/>
      <c r="AT316" s="5">
        <v>0</v>
      </c>
      <c r="AU316" s="5">
        <v>0</v>
      </c>
      <c r="AV316" s="5"/>
      <c r="AW316" s="5">
        <v>4.0041441892860785</v>
      </c>
      <c r="AX316" s="5">
        <v>0</v>
      </c>
      <c r="AY316" s="5"/>
      <c r="AZ316" s="5">
        <v>2</v>
      </c>
      <c r="BA316" s="5">
        <v>0</v>
      </c>
      <c r="BB316" s="5">
        <v>-2</v>
      </c>
      <c r="BD316" s="2">
        <v>1</v>
      </c>
      <c r="BF316" s="787">
        <v>0</v>
      </c>
      <c r="BG316" s="325">
        <v>150000846</v>
      </c>
    </row>
    <row r="317" spans="1:59" ht="24.9" customHeight="1" x14ac:dyDescent="0.3">
      <c r="A317" s="325">
        <v>150000798</v>
      </c>
      <c r="B317" s="445" t="s">
        <v>226</v>
      </c>
      <c r="C317" s="27">
        <v>4</v>
      </c>
      <c r="D317" s="101" t="s">
        <v>455</v>
      </c>
      <c r="E317" s="786">
        <v>1317.9</v>
      </c>
      <c r="F317" s="5">
        <v>801</v>
      </c>
      <c r="G317" s="5">
        <v>113421</v>
      </c>
      <c r="H317" s="5">
        <v>55687</v>
      </c>
      <c r="I317" s="5">
        <v>0</v>
      </c>
      <c r="J317" s="5">
        <v>0</v>
      </c>
      <c r="K317" s="153"/>
      <c r="L317" s="5">
        <v>2</v>
      </c>
      <c r="M317" s="5">
        <v>110790</v>
      </c>
      <c r="N317" s="5"/>
      <c r="O317" s="5">
        <v>0</v>
      </c>
      <c r="P317" s="5">
        <v>0</v>
      </c>
      <c r="Q317" s="784"/>
      <c r="R317" s="5">
        <v>0</v>
      </c>
      <c r="S317" s="5">
        <v>0</v>
      </c>
      <c r="T317" s="628"/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/>
      <c r="AA317" s="5">
        <v>0</v>
      </c>
      <c r="AB317" s="5">
        <v>0</v>
      </c>
      <c r="AC317" s="5">
        <v>1343</v>
      </c>
      <c r="AD317" s="5">
        <v>1288</v>
      </c>
      <c r="AE317" s="5">
        <v>296.41656937095462</v>
      </c>
      <c r="AF317" s="5">
        <v>0</v>
      </c>
      <c r="AG317" s="5"/>
      <c r="AH317" s="5">
        <v>303.53339272846949</v>
      </c>
      <c r="AI317" s="5">
        <v>0</v>
      </c>
      <c r="AJ317" s="5"/>
      <c r="AK317" s="5">
        <v>90.401582935959198</v>
      </c>
      <c r="AL317" s="5">
        <v>2186</v>
      </c>
      <c r="AM317" s="5"/>
      <c r="AN317" s="5">
        <v>0</v>
      </c>
      <c r="AO317" s="5">
        <v>0</v>
      </c>
      <c r="AP317" s="5"/>
      <c r="AQ317" s="5">
        <v>0</v>
      </c>
      <c r="AR317" s="5">
        <v>0</v>
      </c>
      <c r="AS317" s="5"/>
      <c r="AT317" s="5">
        <v>163.51327960253226</v>
      </c>
      <c r="AU317" s="5">
        <v>0</v>
      </c>
      <c r="AV317" s="5"/>
      <c r="AW317" s="5">
        <v>26.234000000000002</v>
      </c>
      <c r="AX317" s="5">
        <v>0</v>
      </c>
      <c r="AY317" s="5"/>
      <c r="AZ317" s="5">
        <v>440</v>
      </c>
      <c r="BA317" s="5">
        <v>2186</v>
      </c>
      <c r="BB317" s="5">
        <v>1746</v>
      </c>
      <c r="BD317" s="2">
        <v>2</v>
      </c>
      <c r="BF317" s="787">
        <v>70.09</v>
      </c>
      <c r="BG317" s="325">
        <v>150000798</v>
      </c>
    </row>
    <row r="318" spans="1:59" ht="24.9" customHeight="1" x14ac:dyDescent="0.3">
      <c r="A318" s="325">
        <v>150000819</v>
      </c>
      <c r="B318" s="445" t="s">
        <v>424</v>
      </c>
      <c r="C318" s="27">
        <v>10</v>
      </c>
      <c r="D318" s="101" t="s">
        <v>455</v>
      </c>
      <c r="E318" s="786">
        <v>6771.65</v>
      </c>
      <c r="F318" s="5">
        <v>3825</v>
      </c>
      <c r="G318" s="5">
        <v>48516</v>
      </c>
      <c r="H318" s="5">
        <v>43689</v>
      </c>
      <c r="I318" s="5">
        <v>0</v>
      </c>
      <c r="J318" s="5">
        <v>0</v>
      </c>
      <c r="K318" s="153"/>
      <c r="L318" s="5">
        <v>0</v>
      </c>
      <c r="M318" s="5">
        <v>0</v>
      </c>
      <c r="N318" s="467"/>
      <c r="O318" s="5">
        <v>0</v>
      </c>
      <c r="P318" s="5">
        <v>0</v>
      </c>
      <c r="Q318" s="784"/>
      <c r="R318" s="5">
        <v>1</v>
      </c>
      <c r="S318" s="5">
        <v>47572</v>
      </c>
      <c r="T318" s="628"/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/>
      <c r="AA318" s="5">
        <v>0</v>
      </c>
      <c r="AB318" s="5">
        <v>0</v>
      </c>
      <c r="AC318" s="5">
        <v>944</v>
      </c>
      <c r="AD318" s="5">
        <v>0</v>
      </c>
      <c r="AE318" s="5">
        <v>1688.3341310656645</v>
      </c>
      <c r="AF318" s="5">
        <v>0</v>
      </c>
      <c r="AG318" s="5"/>
      <c r="AH318" s="5">
        <v>1948.0487821328686</v>
      </c>
      <c r="AI318" s="5">
        <v>0</v>
      </c>
      <c r="AJ318" s="5"/>
      <c r="AK318" s="5">
        <v>604.390998550174</v>
      </c>
      <c r="AL318" s="5">
        <v>0</v>
      </c>
      <c r="AM318" s="5"/>
      <c r="AN318" s="5">
        <v>1514.1879457340051</v>
      </c>
      <c r="AO318" s="5">
        <v>0</v>
      </c>
      <c r="AP318" s="5"/>
      <c r="AQ318" s="5">
        <v>669.8275408025828</v>
      </c>
      <c r="AR318" s="5">
        <v>0</v>
      </c>
      <c r="AS318" s="5"/>
      <c r="AT318" s="5">
        <v>758.4067212236406</v>
      </c>
      <c r="AU318" s="5">
        <v>0</v>
      </c>
      <c r="AV318" s="5"/>
      <c r="AW318" s="5">
        <v>135.7225</v>
      </c>
      <c r="AX318" s="5">
        <v>0</v>
      </c>
      <c r="AY318" s="5"/>
      <c r="AZ318" s="5">
        <v>3660</v>
      </c>
      <c r="BA318" s="5">
        <v>0</v>
      </c>
      <c r="BB318" s="5">
        <v>-3660</v>
      </c>
      <c r="BD318" s="2">
        <v>3</v>
      </c>
      <c r="BF318" s="787">
        <v>26.54</v>
      </c>
      <c r="BG318" s="325">
        <v>150000819</v>
      </c>
    </row>
    <row r="319" spans="1:59" ht="24.9" customHeight="1" x14ac:dyDescent="0.3">
      <c r="A319" s="325">
        <v>150000820</v>
      </c>
      <c r="B319" s="445" t="s">
        <v>395</v>
      </c>
      <c r="C319" s="27">
        <v>9</v>
      </c>
      <c r="D319" s="101" t="s">
        <v>455</v>
      </c>
      <c r="E319" s="786">
        <v>4188.63</v>
      </c>
      <c r="F319" s="5">
        <v>2561</v>
      </c>
      <c r="G319" s="5">
        <v>613</v>
      </c>
      <c r="H319" s="5">
        <v>-2336</v>
      </c>
      <c r="I319" s="5">
        <v>0</v>
      </c>
      <c r="J319" s="5">
        <v>0</v>
      </c>
      <c r="K319" s="153"/>
      <c r="L319" s="5">
        <v>0</v>
      </c>
      <c r="M319" s="5">
        <v>0</v>
      </c>
      <c r="N319" s="788"/>
      <c r="O319" s="5">
        <v>0</v>
      </c>
      <c r="P319" s="5">
        <v>0</v>
      </c>
      <c r="Q319" s="784"/>
      <c r="R319" s="5">
        <v>0</v>
      </c>
      <c r="S319" s="5">
        <v>0</v>
      </c>
      <c r="T319" s="630"/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/>
      <c r="AA319" s="5">
        <v>0</v>
      </c>
      <c r="AB319" s="5">
        <v>0</v>
      </c>
      <c r="AC319" s="5">
        <v>613</v>
      </c>
      <c r="AD319" s="5">
        <v>0</v>
      </c>
      <c r="AE319" s="5">
        <v>845.85498824430101</v>
      </c>
      <c r="AF319" s="5">
        <v>0</v>
      </c>
      <c r="AG319" s="5"/>
      <c r="AH319" s="5">
        <v>1194.3096142799739</v>
      </c>
      <c r="AI319" s="5">
        <v>5837</v>
      </c>
      <c r="AJ319" s="5"/>
      <c r="AK319" s="5">
        <v>380.48061312481002</v>
      </c>
      <c r="AL319" s="5">
        <v>0</v>
      </c>
      <c r="AM319" s="5"/>
      <c r="AN319" s="5">
        <v>1064.0382978775251</v>
      </c>
      <c r="AO319" s="5">
        <v>0</v>
      </c>
      <c r="AP319" s="5"/>
      <c r="AQ319" s="5">
        <v>417.96272557758289</v>
      </c>
      <c r="AR319" s="5">
        <v>0</v>
      </c>
      <c r="AS319" s="5"/>
      <c r="AT319" s="5">
        <v>368.3126588778419</v>
      </c>
      <c r="AU319" s="5">
        <v>0</v>
      </c>
      <c r="AV319" s="5"/>
      <c r="AW319" s="5">
        <v>83.906499999999994</v>
      </c>
      <c r="AX319" s="5">
        <v>0</v>
      </c>
      <c r="AY319" s="5"/>
      <c r="AZ319" s="5">
        <v>2178</v>
      </c>
      <c r="BA319" s="5">
        <v>5837</v>
      </c>
      <c r="BB319" s="5">
        <v>3659</v>
      </c>
      <c r="BD319" s="2">
        <v>3</v>
      </c>
      <c r="BF319" s="787">
        <v>16.43</v>
      </c>
      <c r="BG319" s="325">
        <v>150000820</v>
      </c>
    </row>
    <row r="320" spans="1:59" ht="24.9" customHeight="1" x14ac:dyDescent="0.3">
      <c r="A320" s="325">
        <v>150000799</v>
      </c>
      <c r="B320" s="445" t="s">
        <v>293</v>
      </c>
      <c r="C320" s="27">
        <v>5</v>
      </c>
      <c r="D320" s="101" t="s">
        <v>455</v>
      </c>
      <c r="E320" s="786">
        <v>2066.5</v>
      </c>
      <c r="F320" s="5">
        <v>799</v>
      </c>
      <c r="G320" s="5">
        <v>938</v>
      </c>
      <c r="H320" s="5">
        <v>-799</v>
      </c>
      <c r="I320" s="5">
        <v>0</v>
      </c>
      <c r="J320" s="5">
        <v>938</v>
      </c>
      <c r="K320" s="153"/>
      <c r="L320" s="5">
        <v>0</v>
      </c>
      <c r="M320" s="5">
        <v>0</v>
      </c>
      <c r="N320" s="5"/>
      <c r="O320" s="5">
        <v>0</v>
      </c>
      <c r="P320" s="5">
        <v>0</v>
      </c>
      <c r="Q320" s="784"/>
      <c r="R320" s="5">
        <v>0</v>
      </c>
      <c r="S320" s="5">
        <v>0</v>
      </c>
      <c r="T320" s="628"/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/>
      <c r="AA320" s="5">
        <v>0</v>
      </c>
      <c r="AB320" s="5">
        <v>0</v>
      </c>
      <c r="AC320" s="5">
        <v>0</v>
      </c>
      <c r="AD320" s="5">
        <v>0</v>
      </c>
      <c r="AE320" s="5">
        <v>450.38891783614247</v>
      </c>
      <c r="AF320" s="5">
        <v>0</v>
      </c>
      <c r="AG320" s="5"/>
      <c r="AH320" s="5">
        <v>543.70729099023549</v>
      </c>
      <c r="AI320" s="5">
        <v>0</v>
      </c>
      <c r="AJ320" s="467"/>
      <c r="AK320" s="5">
        <v>127.55774137986501</v>
      </c>
      <c r="AL320" s="5">
        <v>0</v>
      </c>
      <c r="AM320" s="5"/>
      <c r="AN320" s="5">
        <v>0</v>
      </c>
      <c r="AO320" s="5">
        <v>0</v>
      </c>
      <c r="AP320" s="5"/>
      <c r="AQ320" s="5">
        <v>0</v>
      </c>
      <c r="AR320" s="5">
        <v>0</v>
      </c>
      <c r="AS320" s="5"/>
      <c r="AT320" s="5">
        <v>239.73346027623941</v>
      </c>
      <c r="AU320" s="5">
        <v>0</v>
      </c>
      <c r="AV320" s="5"/>
      <c r="AW320" s="5">
        <v>41.853999999999999</v>
      </c>
      <c r="AX320" s="5">
        <v>0</v>
      </c>
      <c r="AY320" s="5"/>
      <c r="AZ320" s="5">
        <v>701</v>
      </c>
      <c r="BA320" s="5">
        <v>0</v>
      </c>
      <c r="BB320" s="5">
        <v>-701</v>
      </c>
      <c r="BD320" s="2">
        <v>2</v>
      </c>
      <c r="BF320" s="787">
        <v>2.0299999999999998</v>
      </c>
      <c r="BG320" s="325">
        <v>150000799</v>
      </c>
    </row>
    <row r="321" spans="1:59" ht="24.9" customHeight="1" x14ac:dyDescent="0.3">
      <c r="A321" s="325">
        <v>150000830</v>
      </c>
      <c r="B321" s="445" t="s">
        <v>294</v>
      </c>
      <c r="C321" s="27">
        <v>5</v>
      </c>
      <c r="D321" s="101" t="s">
        <v>455</v>
      </c>
      <c r="E321" s="786">
        <v>5961.3</v>
      </c>
      <c r="F321" s="5">
        <v>3042</v>
      </c>
      <c r="G321" s="5">
        <v>0</v>
      </c>
      <c r="H321" s="5">
        <v>-3042</v>
      </c>
      <c r="I321" s="5">
        <v>0</v>
      </c>
      <c r="J321" s="5">
        <v>0</v>
      </c>
      <c r="K321" s="153"/>
      <c r="L321" s="5">
        <v>0</v>
      </c>
      <c r="M321" s="5">
        <v>0</v>
      </c>
      <c r="N321" s="5"/>
      <c r="O321" s="5">
        <v>0</v>
      </c>
      <c r="P321" s="5">
        <v>0</v>
      </c>
      <c r="Q321" s="784"/>
      <c r="R321" s="5">
        <v>0</v>
      </c>
      <c r="S321" s="5">
        <v>0</v>
      </c>
      <c r="T321" s="628"/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/>
      <c r="AA321" s="5">
        <v>0</v>
      </c>
      <c r="AB321" s="5">
        <v>0</v>
      </c>
      <c r="AC321" s="5">
        <v>0</v>
      </c>
      <c r="AD321" s="5">
        <v>0</v>
      </c>
      <c r="AE321" s="5">
        <v>1084.3900882045268</v>
      </c>
      <c r="AF321" s="5">
        <v>0</v>
      </c>
      <c r="AG321" s="5"/>
      <c r="AH321" s="5">
        <v>1460.1057235573076</v>
      </c>
      <c r="AI321" s="5">
        <v>0</v>
      </c>
      <c r="AJ321" s="5"/>
      <c r="AK321" s="5">
        <v>296.4637522268066</v>
      </c>
      <c r="AL321" s="5">
        <v>0</v>
      </c>
      <c r="AM321" s="452"/>
      <c r="AN321" s="5">
        <v>0</v>
      </c>
      <c r="AO321" s="5">
        <v>0</v>
      </c>
      <c r="AP321" s="5"/>
      <c r="AQ321" s="5">
        <v>693.6895941042286</v>
      </c>
      <c r="AR321" s="5">
        <v>0</v>
      </c>
      <c r="AS321" s="5"/>
      <c r="AT321" s="5">
        <v>1130.2658169297674</v>
      </c>
      <c r="AU321" s="5">
        <v>0</v>
      </c>
      <c r="AV321" s="5"/>
      <c r="AW321" s="5">
        <v>119.613</v>
      </c>
      <c r="AX321" s="5">
        <v>0</v>
      </c>
      <c r="AY321" s="5"/>
      <c r="AZ321" s="5">
        <v>2393</v>
      </c>
      <c r="BA321" s="5">
        <v>0</v>
      </c>
      <c r="BB321" s="5">
        <v>-2393</v>
      </c>
      <c r="BD321" s="2">
        <v>3</v>
      </c>
      <c r="BF321" s="787">
        <v>23.37</v>
      </c>
      <c r="BG321" s="325">
        <v>150000830</v>
      </c>
    </row>
    <row r="322" spans="1:59" ht="24.9" customHeight="1" x14ac:dyDescent="0.3">
      <c r="A322" s="325">
        <v>150000800</v>
      </c>
      <c r="B322" s="445" t="s">
        <v>227</v>
      </c>
      <c r="C322" s="27">
        <v>4</v>
      </c>
      <c r="D322" s="101" t="s">
        <v>455</v>
      </c>
      <c r="E322" s="786">
        <v>1452.8</v>
      </c>
      <c r="F322" s="5">
        <v>736</v>
      </c>
      <c r="G322" s="5">
        <v>0</v>
      </c>
      <c r="H322" s="5">
        <v>-736</v>
      </c>
      <c r="I322" s="5">
        <v>0</v>
      </c>
      <c r="J322" s="5">
        <v>0</v>
      </c>
      <c r="K322" s="153"/>
      <c r="L322" s="5">
        <v>0</v>
      </c>
      <c r="M322" s="5">
        <v>0</v>
      </c>
      <c r="N322" s="5"/>
      <c r="O322" s="5">
        <v>0</v>
      </c>
      <c r="P322" s="5">
        <v>0</v>
      </c>
      <c r="Q322" s="784"/>
      <c r="R322" s="5">
        <v>0</v>
      </c>
      <c r="S322" s="5">
        <v>0</v>
      </c>
      <c r="T322" s="628"/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/>
      <c r="AA322" s="5">
        <v>0</v>
      </c>
      <c r="AB322" s="5">
        <v>0</v>
      </c>
      <c r="AC322" s="5">
        <v>0</v>
      </c>
      <c r="AD322" s="5">
        <v>0</v>
      </c>
      <c r="AE322" s="5">
        <v>286.04958889924092</v>
      </c>
      <c r="AF322" s="5">
        <v>0</v>
      </c>
      <c r="AG322" s="5"/>
      <c r="AH322" s="5">
        <v>307.63649120161597</v>
      </c>
      <c r="AI322" s="5">
        <v>0</v>
      </c>
      <c r="AJ322" s="5"/>
      <c r="AK322" s="5">
        <v>101.72296417393</v>
      </c>
      <c r="AL322" s="5">
        <v>1874</v>
      </c>
      <c r="AM322" s="5"/>
      <c r="AN322" s="5">
        <v>0</v>
      </c>
      <c r="AO322" s="5">
        <v>0</v>
      </c>
      <c r="AP322" s="5"/>
      <c r="AQ322" s="5">
        <v>0</v>
      </c>
      <c r="AR322" s="5">
        <v>0</v>
      </c>
      <c r="AS322" s="5"/>
      <c r="AT322" s="5">
        <v>167.92597839956272</v>
      </c>
      <c r="AU322" s="5">
        <v>0</v>
      </c>
      <c r="AV322" s="5"/>
      <c r="AW322" s="5">
        <v>29.527999999999999</v>
      </c>
      <c r="AX322" s="5">
        <v>0</v>
      </c>
      <c r="AY322" s="5"/>
      <c r="AZ322" s="5">
        <v>446</v>
      </c>
      <c r="BA322" s="5">
        <v>1874</v>
      </c>
      <c r="BB322" s="5">
        <v>1428</v>
      </c>
      <c r="BD322" s="2">
        <v>2</v>
      </c>
      <c r="BF322" s="787">
        <v>1.42</v>
      </c>
      <c r="BG322" s="325">
        <v>150000800</v>
      </c>
    </row>
    <row r="323" spans="1:59" ht="24.9" customHeight="1" x14ac:dyDescent="0.3">
      <c r="A323" s="325">
        <v>150000801</v>
      </c>
      <c r="B323" s="445" t="s">
        <v>295</v>
      </c>
      <c r="C323" s="27">
        <v>5</v>
      </c>
      <c r="D323" s="101" t="s">
        <v>455</v>
      </c>
      <c r="E323" s="786">
        <v>4012.8</v>
      </c>
      <c r="F323" s="5">
        <v>2050</v>
      </c>
      <c r="G323" s="5">
        <v>0</v>
      </c>
      <c r="H323" s="5">
        <v>-2050</v>
      </c>
      <c r="I323" s="5">
        <v>0</v>
      </c>
      <c r="J323" s="5">
        <v>0</v>
      </c>
      <c r="K323" s="153"/>
      <c r="L323" s="5">
        <v>0</v>
      </c>
      <c r="M323" s="5">
        <v>0</v>
      </c>
      <c r="N323" s="5"/>
      <c r="O323" s="5">
        <v>0</v>
      </c>
      <c r="P323" s="5">
        <v>0</v>
      </c>
      <c r="Q323" s="784"/>
      <c r="R323" s="5">
        <v>0</v>
      </c>
      <c r="S323" s="5">
        <v>0</v>
      </c>
      <c r="T323" s="628"/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/>
      <c r="AA323" s="5">
        <v>0</v>
      </c>
      <c r="AB323" s="5">
        <v>0</v>
      </c>
      <c r="AC323" s="5">
        <v>0</v>
      </c>
      <c r="AD323" s="5">
        <v>0</v>
      </c>
      <c r="AE323" s="5">
        <v>922.06036838048772</v>
      </c>
      <c r="AF323" s="5">
        <v>0</v>
      </c>
      <c r="AG323" s="5"/>
      <c r="AH323" s="5">
        <v>1225.6000161624765</v>
      </c>
      <c r="AI323" s="5">
        <v>90</v>
      </c>
      <c r="AJ323" s="5"/>
      <c r="AK323" s="5">
        <v>237.76774880621829</v>
      </c>
      <c r="AL323" s="5">
        <v>1051</v>
      </c>
      <c r="AM323" s="5"/>
      <c r="AN323" s="5">
        <v>0</v>
      </c>
      <c r="AO323" s="5">
        <v>0</v>
      </c>
      <c r="AP323" s="5"/>
      <c r="AQ323" s="5">
        <v>0</v>
      </c>
      <c r="AR323" s="5">
        <v>0</v>
      </c>
      <c r="AS323" s="5"/>
      <c r="AT323" s="5">
        <v>837.7685187544804</v>
      </c>
      <c r="AU323" s="5">
        <v>0</v>
      </c>
      <c r="AV323" s="5"/>
      <c r="AW323" s="5">
        <v>84.224099999999993</v>
      </c>
      <c r="AX323" s="5">
        <v>0</v>
      </c>
      <c r="AY323" s="5"/>
      <c r="AZ323" s="5">
        <v>1653</v>
      </c>
      <c r="BA323" s="5">
        <v>1141</v>
      </c>
      <c r="BB323" s="5">
        <v>-512</v>
      </c>
      <c r="BD323" s="2">
        <v>2</v>
      </c>
      <c r="BF323" s="787">
        <v>4.1100000000000003</v>
      </c>
      <c r="BG323" s="325">
        <v>150000801</v>
      </c>
    </row>
    <row r="324" spans="1:59" ht="24.9" customHeight="1" x14ac:dyDescent="0.3">
      <c r="A324" s="325">
        <v>150000802</v>
      </c>
      <c r="B324" s="445" t="s">
        <v>296</v>
      </c>
      <c r="C324" s="27">
        <v>5</v>
      </c>
      <c r="D324" s="101" t="s">
        <v>455</v>
      </c>
      <c r="E324" s="786">
        <v>3203.6</v>
      </c>
      <c r="F324" s="5">
        <v>1473</v>
      </c>
      <c r="G324" s="5">
        <v>1910</v>
      </c>
      <c r="H324" s="5">
        <v>-479</v>
      </c>
      <c r="I324" s="5">
        <v>0</v>
      </c>
      <c r="J324" s="5">
        <v>916</v>
      </c>
      <c r="K324" s="153"/>
      <c r="L324" s="5">
        <v>0</v>
      </c>
      <c r="M324" s="5">
        <v>0</v>
      </c>
      <c r="N324" s="5"/>
      <c r="O324" s="5">
        <v>0</v>
      </c>
      <c r="P324" s="5">
        <v>0</v>
      </c>
      <c r="Q324" s="784"/>
      <c r="R324" s="5">
        <v>0</v>
      </c>
      <c r="S324" s="5">
        <v>0</v>
      </c>
      <c r="T324" s="628"/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/>
      <c r="AA324" s="5">
        <v>0</v>
      </c>
      <c r="AB324" s="5">
        <v>0</v>
      </c>
      <c r="AC324" s="5">
        <v>0</v>
      </c>
      <c r="AD324" s="5">
        <v>994</v>
      </c>
      <c r="AE324" s="5">
        <v>748.02403528517766</v>
      </c>
      <c r="AF324" s="5">
        <v>2107</v>
      </c>
      <c r="AG324" s="5"/>
      <c r="AH324" s="5">
        <v>981.57372120839659</v>
      </c>
      <c r="AI324" s="5">
        <v>0</v>
      </c>
      <c r="AJ324" s="5"/>
      <c r="AK324" s="5">
        <v>184.06930204201171</v>
      </c>
      <c r="AL324" s="5">
        <v>788</v>
      </c>
      <c r="AM324" s="5"/>
      <c r="AN324" s="5">
        <v>0</v>
      </c>
      <c r="AO324" s="5">
        <v>0</v>
      </c>
      <c r="AP324" s="5"/>
      <c r="AQ324" s="5">
        <v>0</v>
      </c>
      <c r="AR324" s="5">
        <v>0</v>
      </c>
      <c r="AS324" s="5"/>
      <c r="AT324" s="5">
        <v>564.05700878435664</v>
      </c>
      <c r="AU324" s="5">
        <v>0</v>
      </c>
      <c r="AV324" s="5"/>
      <c r="AW324" s="5">
        <v>64.049000000000007</v>
      </c>
      <c r="AX324" s="5">
        <v>0</v>
      </c>
      <c r="AY324" s="5"/>
      <c r="AZ324" s="5">
        <v>1271</v>
      </c>
      <c r="BA324" s="5">
        <v>2895</v>
      </c>
      <c r="BB324" s="5">
        <v>1624</v>
      </c>
      <c r="BD324" s="2">
        <v>2</v>
      </c>
      <c r="BF324" s="787">
        <v>75.349999999999994</v>
      </c>
      <c r="BG324" s="325">
        <v>150000802</v>
      </c>
    </row>
    <row r="325" spans="1:59" ht="24.9" customHeight="1" x14ac:dyDescent="0.3">
      <c r="A325" s="325">
        <v>150000803</v>
      </c>
      <c r="B325" s="445" t="s">
        <v>228</v>
      </c>
      <c r="C325" s="27">
        <v>4</v>
      </c>
      <c r="D325" s="101" t="s">
        <v>455</v>
      </c>
      <c r="E325" s="786">
        <v>1435.4</v>
      </c>
      <c r="F325" s="5">
        <v>809</v>
      </c>
      <c r="G325" s="5">
        <v>0</v>
      </c>
      <c r="H325" s="5">
        <v>-809</v>
      </c>
      <c r="I325" s="5">
        <v>0</v>
      </c>
      <c r="J325" s="5">
        <v>0</v>
      </c>
      <c r="K325" s="153"/>
      <c r="L325" s="5">
        <v>0</v>
      </c>
      <c r="M325" s="5">
        <v>0</v>
      </c>
      <c r="N325" s="5"/>
      <c r="O325" s="5">
        <v>0</v>
      </c>
      <c r="P325" s="5">
        <v>0</v>
      </c>
      <c r="Q325" s="784"/>
      <c r="R325" s="5">
        <v>0</v>
      </c>
      <c r="S325" s="5">
        <v>0</v>
      </c>
      <c r="T325" s="628"/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/>
      <c r="AA325" s="5">
        <v>0</v>
      </c>
      <c r="AB325" s="5">
        <v>0</v>
      </c>
      <c r="AC325" s="5">
        <v>0</v>
      </c>
      <c r="AD325" s="5">
        <v>0</v>
      </c>
      <c r="AE325" s="5">
        <v>319.74273714959492</v>
      </c>
      <c r="AF325" s="5">
        <v>0</v>
      </c>
      <c r="AG325" s="5"/>
      <c r="AH325" s="5">
        <v>382.16932044502448</v>
      </c>
      <c r="AI325" s="5">
        <v>0</v>
      </c>
      <c r="AJ325" s="5"/>
      <c r="AK325" s="5">
        <v>90.220226436743303</v>
      </c>
      <c r="AL325" s="5">
        <v>0</v>
      </c>
      <c r="AM325" s="5"/>
      <c r="AN325" s="5">
        <v>0</v>
      </c>
      <c r="AO325" s="5">
        <v>0</v>
      </c>
      <c r="AP325" s="5"/>
      <c r="AQ325" s="5">
        <v>0</v>
      </c>
      <c r="AR325" s="5">
        <v>0</v>
      </c>
      <c r="AS325" s="5"/>
      <c r="AT325" s="5">
        <v>147.90978519835198</v>
      </c>
      <c r="AU325" s="5">
        <v>0</v>
      </c>
      <c r="AV325" s="5"/>
      <c r="AW325" s="5">
        <v>32.329000000000001</v>
      </c>
      <c r="AX325" s="5">
        <v>0</v>
      </c>
      <c r="AY325" s="5"/>
      <c r="AZ325" s="5">
        <v>486</v>
      </c>
      <c r="BA325" s="5">
        <v>0</v>
      </c>
      <c r="BB325" s="5">
        <v>-486</v>
      </c>
      <c r="BD325" s="2">
        <v>2</v>
      </c>
      <c r="BF325" s="787">
        <v>1.59</v>
      </c>
      <c r="BG325" s="325">
        <v>150000803</v>
      </c>
    </row>
    <row r="326" spans="1:59" ht="24.9" customHeight="1" x14ac:dyDescent="0.3">
      <c r="A326" s="325">
        <v>150000805</v>
      </c>
      <c r="B326" s="445" t="s">
        <v>297</v>
      </c>
      <c r="C326" s="27">
        <v>5</v>
      </c>
      <c r="D326" s="101" t="s">
        <v>455</v>
      </c>
      <c r="E326" s="786">
        <v>3709.94</v>
      </c>
      <c r="F326" s="5">
        <v>1384</v>
      </c>
      <c r="G326" s="5">
        <v>5942</v>
      </c>
      <c r="H326" s="5">
        <v>4558</v>
      </c>
      <c r="I326" s="5">
        <v>14</v>
      </c>
      <c r="J326" s="5">
        <v>5942</v>
      </c>
      <c r="K326" s="153"/>
      <c r="L326" s="5">
        <v>0</v>
      </c>
      <c r="M326" s="5">
        <v>0</v>
      </c>
      <c r="N326" s="5"/>
      <c r="O326" s="5">
        <v>0</v>
      </c>
      <c r="P326" s="5">
        <v>0</v>
      </c>
      <c r="Q326" s="784"/>
      <c r="R326" s="5">
        <v>0</v>
      </c>
      <c r="S326" s="5">
        <v>0</v>
      </c>
      <c r="T326" s="628"/>
      <c r="U326" s="5">
        <v>0</v>
      </c>
      <c r="V326" s="5">
        <v>5942</v>
      </c>
      <c r="W326" s="5">
        <v>0</v>
      </c>
      <c r="X326" s="5">
        <v>0</v>
      </c>
      <c r="Y326" s="5">
        <v>0</v>
      </c>
      <c r="Z326" s="5"/>
      <c r="AA326" s="5">
        <v>0</v>
      </c>
      <c r="AB326" s="5">
        <v>0</v>
      </c>
      <c r="AC326" s="5">
        <v>0</v>
      </c>
      <c r="AD326" s="5">
        <v>0</v>
      </c>
      <c r="AE326" s="5">
        <v>745.61174699726826</v>
      </c>
      <c r="AF326" s="5">
        <v>0</v>
      </c>
      <c r="AG326" s="5"/>
      <c r="AH326" s="5">
        <v>987.67101350817416</v>
      </c>
      <c r="AI326" s="5">
        <v>0</v>
      </c>
      <c r="AJ326" s="5"/>
      <c r="AK326" s="5">
        <v>229.59684341771001</v>
      </c>
      <c r="AL326" s="5">
        <v>0</v>
      </c>
      <c r="AM326" s="5"/>
      <c r="AN326" s="5">
        <v>0</v>
      </c>
      <c r="AO326" s="5">
        <v>0</v>
      </c>
      <c r="AP326" s="5"/>
      <c r="AQ326" s="5">
        <v>0</v>
      </c>
      <c r="AR326" s="5">
        <v>0</v>
      </c>
      <c r="AS326" s="5"/>
      <c r="AT326" s="5">
        <v>618.23526525155899</v>
      </c>
      <c r="AU326" s="5">
        <v>0</v>
      </c>
      <c r="AV326" s="461"/>
      <c r="AW326" s="5">
        <v>72.070400000000006</v>
      </c>
      <c r="AX326" s="5">
        <v>0</v>
      </c>
      <c r="AY326" s="5"/>
      <c r="AZ326" s="5">
        <v>1326</v>
      </c>
      <c r="BA326" s="5">
        <v>0</v>
      </c>
      <c r="BB326" s="5">
        <v>-1326</v>
      </c>
      <c r="BD326" s="2">
        <v>3</v>
      </c>
      <c r="BF326" s="787">
        <v>14.14</v>
      </c>
      <c r="BG326" s="325">
        <v>150000805</v>
      </c>
    </row>
    <row r="327" spans="1:59" ht="24.9" customHeight="1" x14ac:dyDescent="0.3">
      <c r="A327" s="325">
        <v>150000806</v>
      </c>
      <c r="B327" s="445" t="s">
        <v>229</v>
      </c>
      <c r="C327" s="27">
        <v>4</v>
      </c>
      <c r="D327" s="101" t="s">
        <v>455</v>
      </c>
      <c r="E327" s="786">
        <v>2716.7</v>
      </c>
      <c r="F327" s="5">
        <v>1336</v>
      </c>
      <c r="G327" s="5">
        <v>1288</v>
      </c>
      <c r="H327" s="5">
        <v>-48</v>
      </c>
      <c r="I327" s="5">
        <v>0</v>
      </c>
      <c r="J327" s="5">
        <v>0</v>
      </c>
      <c r="K327" s="153"/>
      <c r="L327" s="5">
        <v>0</v>
      </c>
      <c r="M327" s="5">
        <v>0</v>
      </c>
      <c r="N327" s="5"/>
      <c r="O327" s="5">
        <v>0</v>
      </c>
      <c r="P327" s="5">
        <v>0</v>
      </c>
      <c r="Q327" s="784"/>
      <c r="R327" s="5">
        <v>0</v>
      </c>
      <c r="S327" s="5">
        <v>0</v>
      </c>
      <c r="T327" s="628"/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/>
      <c r="AA327" s="5">
        <v>0</v>
      </c>
      <c r="AB327" s="5">
        <v>0</v>
      </c>
      <c r="AC327" s="5">
        <v>0</v>
      </c>
      <c r="AD327" s="5">
        <v>1288</v>
      </c>
      <c r="AE327" s="5">
        <v>589.96258736674031</v>
      </c>
      <c r="AF327" s="5">
        <v>0</v>
      </c>
      <c r="AG327" s="5"/>
      <c r="AH327" s="5">
        <v>735.57448225053486</v>
      </c>
      <c r="AI327" s="5">
        <v>0</v>
      </c>
      <c r="AJ327" s="5"/>
      <c r="AK327" s="5">
        <v>139.779081504825</v>
      </c>
      <c r="AL327" s="5">
        <v>1489</v>
      </c>
      <c r="AM327" s="5"/>
      <c r="AN327" s="5">
        <v>0</v>
      </c>
      <c r="AO327" s="5">
        <v>0</v>
      </c>
      <c r="AP327" s="5"/>
      <c r="AQ327" s="5">
        <v>0</v>
      </c>
      <c r="AR327" s="5">
        <v>0</v>
      </c>
      <c r="AS327" s="5"/>
      <c r="AT327" s="5">
        <v>600.41889677028007</v>
      </c>
      <c r="AU327" s="5">
        <v>0</v>
      </c>
      <c r="AV327" s="5"/>
      <c r="AW327" s="5">
        <v>48.499000000000002</v>
      </c>
      <c r="AX327" s="5">
        <v>0</v>
      </c>
      <c r="AY327" s="5"/>
      <c r="AZ327" s="5">
        <v>1057</v>
      </c>
      <c r="BA327" s="5">
        <v>1489</v>
      </c>
      <c r="BB327" s="5">
        <v>432</v>
      </c>
      <c r="BD327" s="2">
        <v>2</v>
      </c>
      <c r="BF327" s="787">
        <v>2.39</v>
      </c>
      <c r="BG327" s="325">
        <v>150000806</v>
      </c>
    </row>
    <row r="328" spans="1:59" ht="24.9" customHeight="1" x14ac:dyDescent="0.3">
      <c r="A328" s="325">
        <v>150000807</v>
      </c>
      <c r="B328" s="445" t="s">
        <v>188</v>
      </c>
      <c r="C328" s="27">
        <v>2</v>
      </c>
      <c r="D328" s="101" t="s">
        <v>455</v>
      </c>
      <c r="E328" s="786">
        <v>300.7</v>
      </c>
      <c r="F328" s="5">
        <v>242</v>
      </c>
      <c r="G328" s="5">
        <v>575</v>
      </c>
      <c r="H328" s="5">
        <v>333</v>
      </c>
      <c r="I328" s="5">
        <v>0</v>
      </c>
      <c r="J328" s="5">
        <v>0</v>
      </c>
      <c r="K328" s="153"/>
      <c r="L328" s="5">
        <v>0</v>
      </c>
      <c r="M328" s="5">
        <v>0</v>
      </c>
      <c r="N328" s="5"/>
      <c r="O328" s="5">
        <v>0</v>
      </c>
      <c r="P328" s="5">
        <v>0</v>
      </c>
      <c r="Q328" s="784"/>
      <c r="R328" s="5">
        <v>0</v>
      </c>
      <c r="S328" s="5">
        <v>0</v>
      </c>
      <c r="T328" s="628"/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/>
      <c r="AA328" s="5">
        <v>0</v>
      </c>
      <c r="AB328" s="5">
        <v>0</v>
      </c>
      <c r="AC328" s="5">
        <v>0</v>
      </c>
      <c r="AD328" s="5">
        <v>575</v>
      </c>
      <c r="AE328" s="5">
        <v>140.21089535102041</v>
      </c>
      <c r="AF328" s="5">
        <v>0</v>
      </c>
      <c r="AG328" s="5"/>
      <c r="AH328" s="5">
        <v>143.83240554430495</v>
      </c>
      <c r="AI328" s="5">
        <v>0</v>
      </c>
      <c r="AJ328" s="5"/>
      <c r="AK328" s="5">
        <v>0</v>
      </c>
      <c r="AL328" s="5">
        <v>0</v>
      </c>
      <c r="AM328" s="5"/>
      <c r="AN328" s="5">
        <v>0</v>
      </c>
      <c r="AO328" s="5">
        <v>0</v>
      </c>
      <c r="AP328" s="5"/>
      <c r="AQ328" s="5">
        <v>0</v>
      </c>
      <c r="AR328" s="5">
        <v>0</v>
      </c>
      <c r="AS328" s="5"/>
      <c r="AT328" s="5">
        <v>7.5212575213804955</v>
      </c>
      <c r="AU328" s="5">
        <v>0</v>
      </c>
      <c r="AV328" s="5"/>
      <c r="AW328" s="5">
        <v>6.0069999999999997</v>
      </c>
      <c r="AX328" s="5">
        <v>0</v>
      </c>
      <c r="AY328" s="5"/>
      <c r="AZ328" s="5">
        <v>149</v>
      </c>
      <c r="BA328" s="5">
        <v>0</v>
      </c>
      <c r="BB328" s="5">
        <v>-149</v>
      </c>
      <c r="BD328" s="2">
        <v>3</v>
      </c>
      <c r="BF328" s="787">
        <v>1.18</v>
      </c>
      <c r="BG328" s="325">
        <v>150000807</v>
      </c>
    </row>
    <row r="329" spans="1:59" ht="24.9" customHeight="1" x14ac:dyDescent="0.3">
      <c r="A329" s="325">
        <v>150000808</v>
      </c>
      <c r="B329" s="445" t="s">
        <v>298</v>
      </c>
      <c r="C329" s="27">
        <v>5</v>
      </c>
      <c r="D329" s="101" t="s">
        <v>455</v>
      </c>
      <c r="E329" s="786">
        <v>1950.8</v>
      </c>
      <c r="F329" s="5">
        <v>812</v>
      </c>
      <c r="G329" s="5">
        <v>1592</v>
      </c>
      <c r="H329" s="5">
        <v>-812</v>
      </c>
      <c r="I329" s="5">
        <v>0</v>
      </c>
      <c r="J329" s="5">
        <v>164</v>
      </c>
      <c r="K329" s="153"/>
      <c r="L329" s="5">
        <v>0</v>
      </c>
      <c r="M329" s="5">
        <v>0</v>
      </c>
      <c r="N329" s="628"/>
      <c r="O329" s="5">
        <v>0</v>
      </c>
      <c r="P329" s="5">
        <v>0</v>
      </c>
      <c r="Q329" s="784"/>
      <c r="R329" s="5">
        <v>0</v>
      </c>
      <c r="S329" s="5">
        <v>0</v>
      </c>
      <c r="T329" s="628"/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/>
      <c r="AA329" s="5">
        <v>0</v>
      </c>
      <c r="AB329" s="5">
        <v>0</v>
      </c>
      <c r="AC329" s="5">
        <v>0</v>
      </c>
      <c r="AD329" s="5">
        <v>1428</v>
      </c>
      <c r="AE329" s="5">
        <v>395.9694596353562</v>
      </c>
      <c r="AF329" s="5">
        <v>0</v>
      </c>
      <c r="AG329" s="5"/>
      <c r="AH329" s="5">
        <v>501.63380661306957</v>
      </c>
      <c r="AI329" s="5">
        <v>90</v>
      </c>
      <c r="AJ329" s="5"/>
      <c r="AK329" s="5">
        <v>150.3946788029034</v>
      </c>
      <c r="AL329" s="5">
        <v>0</v>
      </c>
      <c r="AM329" s="5"/>
      <c r="AN329" s="5">
        <v>0</v>
      </c>
      <c r="AO329" s="5">
        <v>0</v>
      </c>
      <c r="AP329" s="5"/>
      <c r="AQ329" s="5">
        <v>0</v>
      </c>
      <c r="AR329" s="5">
        <v>0</v>
      </c>
      <c r="AS329" s="5"/>
      <c r="AT329" s="5">
        <v>188.39754137037778</v>
      </c>
      <c r="AU329" s="5">
        <v>0</v>
      </c>
      <c r="AV329" s="5"/>
      <c r="AW329" s="5">
        <v>39.522000000000006</v>
      </c>
      <c r="AX329" s="5">
        <v>0</v>
      </c>
      <c r="AY329" s="5"/>
      <c r="AZ329" s="5">
        <v>638</v>
      </c>
      <c r="BA329" s="5">
        <v>90</v>
      </c>
      <c r="BB329" s="5">
        <v>-548</v>
      </c>
      <c r="BD329" s="2">
        <v>2</v>
      </c>
      <c r="BF329" s="787">
        <v>1.9</v>
      </c>
      <c r="BG329" s="325">
        <v>150000808</v>
      </c>
    </row>
    <row r="330" spans="1:59" ht="24.9" customHeight="1" x14ac:dyDescent="0.3">
      <c r="A330" s="325">
        <v>150000827</v>
      </c>
      <c r="B330" s="445" t="s">
        <v>299</v>
      </c>
      <c r="C330" s="27">
        <v>5</v>
      </c>
      <c r="D330" s="101" t="s">
        <v>455</v>
      </c>
      <c r="E330" s="786">
        <v>4380.2</v>
      </c>
      <c r="F330" s="5">
        <v>2003</v>
      </c>
      <c r="G330" s="5">
        <v>0</v>
      </c>
      <c r="H330" s="5">
        <v>-2003</v>
      </c>
      <c r="I330" s="5">
        <v>0</v>
      </c>
      <c r="J330" s="5">
        <v>0</v>
      </c>
      <c r="K330" s="153"/>
      <c r="L330" s="5">
        <v>0</v>
      </c>
      <c r="M330" s="5">
        <v>0</v>
      </c>
      <c r="N330" s="5"/>
      <c r="O330" s="5">
        <v>0</v>
      </c>
      <c r="P330" s="5">
        <v>0</v>
      </c>
      <c r="Q330" s="784"/>
      <c r="R330" s="5">
        <v>0</v>
      </c>
      <c r="S330" s="5">
        <v>0</v>
      </c>
      <c r="T330" s="628"/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/>
      <c r="AA330" s="5">
        <v>0</v>
      </c>
      <c r="AB330" s="5">
        <v>0</v>
      </c>
      <c r="AC330" s="5">
        <v>0</v>
      </c>
      <c r="AD330" s="5">
        <v>0</v>
      </c>
      <c r="AE330" s="5">
        <v>922.06036838048772</v>
      </c>
      <c r="AF330" s="5">
        <v>221</v>
      </c>
      <c r="AG330" s="454"/>
      <c r="AH330" s="5">
        <v>1226.3010388807884</v>
      </c>
      <c r="AI330" s="5">
        <v>0</v>
      </c>
      <c r="AJ330" s="5"/>
      <c r="AK330" s="5">
        <v>293.74203580775497</v>
      </c>
      <c r="AL330" s="5">
        <v>0</v>
      </c>
      <c r="AM330" s="5"/>
      <c r="AN330" s="5">
        <v>0</v>
      </c>
      <c r="AO330" s="5">
        <v>0</v>
      </c>
      <c r="AP330" s="5"/>
      <c r="AQ330" s="5">
        <v>0</v>
      </c>
      <c r="AR330" s="5">
        <v>0</v>
      </c>
      <c r="AS330" s="5"/>
      <c r="AT330" s="5">
        <v>837.7684421426012</v>
      </c>
      <c r="AU330" s="5">
        <v>0</v>
      </c>
      <c r="AV330" s="5"/>
      <c r="AW330" s="5">
        <v>88.044000000000011</v>
      </c>
      <c r="AX330" s="5">
        <v>0</v>
      </c>
      <c r="AY330" s="5"/>
      <c r="AZ330" s="5">
        <v>1684</v>
      </c>
      <c r="BA330" s="5">
        <v>0</v>
      </c>
      <c r="BB330" s="5">
        <v>-1684</v>
      </c>
      <c r="BD330" s="2">
        <v>2</v>
      </c>
      <c r="BF330" s="787">
        <v>4.29</v>
      </c>
      <c r="BG330" s="325">
        <v>150000827</v>
      </c>
    </row>
    <row r="331" spans="1:59" ht="24.9" customHeight="1" x14ac:dyDescent="0.3">
      <c r="A331" s="325">
        <v>150000809</v>
      </c>
      <c r="B331" s="445" t="s">
        <v>300</v>
      </c>
      <c r="C331" s="27">
        <v>5</v>
      </c>
      <c r="D331" s="101" t="s">
        <v>455</v>
      </c>
      <c r="E331" s="786">
        <v>2543.14</v>
      </c>
      <c r="F331" s="5">
        <v>1730</v>
      </c>
      <c r="G331" s="5">
        <v>1288</v>
      </c>
      <c r="H331" s="5">
        <v>-443</v>
      </c>
      <c r="I331" s="5">
        <v>0</v>
      </c>
      <c r="J331" s="5">
        <v>0</v>
      </c>
      <c r="K331" s="153"/>
      <c r="L331" s="5">
        <v>0</v>
      </c>
      <c r="M331" s="5">
        <v>0</v>
      </c>
      <c r="N331" s="5"/>
      <c r="O331" s="5">
        <v>0</v>
      </c>
      <c r="P331" s="5">
        <v>0</v>
      </c>
      <c r="Q331" s="784"/>
      <c r="R331" s="5">
        <v>0</v>
      </c>
      <c r="S331" s="5">
        <v>0</v>
      </c>
      <c r="T331" s="628"/>
      <c r="U331" s="5">
        <v>0</v>
      </c>
      <c r="V331" s="8">
        <v>0</v>
      </c>
      <c r="W331" s="5">
        <v>0</v>
      </c>
      <c r="X331" s="5">
        <v>0</v>
      </c>
      <c r="Y331" s="5">
        <v>0</v>
      </c>
      <c r="Z331" s="5"/>
      <c r="AA331" s="5">
        <v>0</v>
      </c>
      <c r="AB331" s="5">
        <v>0</v>
      </c>
      <c r="AC331" s="5">
        <v>0</v>
      </c>
      <c r="AD331" s="5">
        <v>1288</v>
      </c>
      <c r="AE331" s="5">
        <v>552.01853039901107</v>
      </c>
      <c r="AF331" s="5">
        <v>0</v>
      </c>
      <c r="AG331" s="5"/>
      <c r="AH331" s="5">
        <v>660.33479379723485</v>
      </c>
      <c r="AI331" s="5">
        <v>0</v>
      </c>
      <c r="AJ331" s="5"/>
      <c r="AK331" s="5">
        <v>162.08917251878501</v>
      </c>
      <c r="AL331" s="5">
        <v>0</v>
      </c>
      <c r="AM331" s="5"/>
      <c r="AN331" s="5">
        <v>0</v>
      </c>
      <c r="AO331" s="5">
        <v>0</v>
      </c>
      <c r="AP331" s="5"/>
      <c r="AQ331" s="5">
        <v>0</v>
      </c>
      <c r="AR331" s="5">
        <v>0</v>
      </c>
      <c r="AS331" s="5"/>
      <c r="AT331" s="5">
        <v>316.06956545281133</v>
      </c>
      <c r="AU331" s="5">
        <v>0</v>
      </c>
      <c r="AV331" s="5"/>
      <c r="AW331" s="5">
        <v>51.552</v>
      </c>
      <c r="AX331" s="5">
        <v>0</v>
      </c>
      <c r="AY331" s="5"/>
      <c r="AZ331" s="5">
        <v>871</v>
      </c>
      <c r="BA331" s="5">
        <v>0</v>
      </c>
      <c r="BB331" s="5">
        <v>-871</v>
      </c>
      <c r="BD331" s="2">
        <v>2</v>
      </c>
      <c r="BF331" s="787">
        <v>2.4900000000000002</v>
      </c>
      <c r="BG331" s="325">
        <v>150000809</v>
      </c>
    </row>
    <row r="332" spans="1:59" ht="24.9" customHeight="1" x14ac:dyDescent="0.3">
      <c r="A332" s="325">
        <v>150000810</v>
      </c>
      <c r="B332" s="445" t="s">
        <v>301</v>
      </c>
      <c r="C332" s="27">
        <v>5</v>
      </c>
      <c r="D332" s="101" t="s">
        <v>455</v>
      </c>
      <c r="E332" s="786">
        <v>2998.76</v>
      </c>
      <c r="F332" s="5">
        <v>1400</v>
      </c>
      <c r="G332" s="5">
        <v>428</v>
      </c>
      <c r="H332" s="5">
        <v>-1400</v>
      </c>
      <c r="I332" s="5">
        <v>0</v>
      </c>
      <c r="J332" s="5">
        <v>0</v>
      </c>
      <c r="K332" s="153"/>
      <c r="L332" s="5">
        <v>0</v>
      </c>
      <c r="M332" s="5">
        <v>0</v>
      </c>
      <c r="N332" s="5"/>
      <c r="O332" s="5">
        <v>0</v>
      </c>
      <c r="P332" s="5">
        <v>0</v>
      </c>
      <c r="Q332" s="784"/>
      <c r="R332" s="5">
        <v>0</v>
      </c>
      <c r="S332" s="5">
        <v>0</v>
      </c>
      <c r="T332" s="628"/>
      <c r="U332" s="5">
        <v>0</v>
      </c>
      <c r="V332" s="5">
        <v>0</v>
      </c>
      <c r="W332" s="5">
        <v>0</v>
      </c>
      <c r="X332" s="5">
        <v>0</v>
      </c>
      <c r="Y332" s="5">
        <v>428</v>
      </c>
      <c r="Z332" s="5"/>
      <c r="AA332" s="5">
        <v>0</v>
      </c>
      <c r="AB332" s="5">
        <v>0</v>
      </c>
      <c r="AC332" s="5">
        <v>0</v>
      </c>
      <c r="AD332" s="5">
        <v>0</v>
      </c>
      <c r="AE332" s="5">
        <v>631.98323043000198</v>
      </c>
      <c r="AF332" s="5">
        <v>0</v>
      </c>
      <c r="AG332" s="5"/>
      <c r="AH332" s="5">
        <v>849.64272915532752</v>
      </c>
      <c r="AI332" s="5">
        <v>0</v>
      </c>
      <c r="AJ332" s="5"/>
      <c r="AK332" s="5">
        <v>162.09612541518169</v>
      </c>
      <c r="AL332" s="5">
        <v>0</v>
      </c>
      <c r="AM332" s="5"/>
      <c r="AN332" s="5">
        <v>0</v>
      </c>
      <c r="AO332" s="5">
        <v>0</v>
      </c>
      <c r="AP332" s="5"/>
      <c r="AQ332" s="5">
        <v>0</v>
      </c>
      <c r="AR332" s="5">
        <v>0</v>
      </c>
      <c r="AS332" s="5"/>
      <c r="AT332" s="5">
        <v>449.60445866488499</v>
      </c>
      <c r="AU332" s="5">
        <v>0</v>
      </c>
      <c r="AV332" s="5"/>
      <c r="AW332" s="5">
        <v>59.991500000000002</v>
      </c>
      <c r="AX332" s="5">
        <v>0</v>
      </c>
      <c r="AY332" s="5"/>
      <c r="AZ332" s="5">
        <v>1076</v>
      </c>
      <c r="BA332" s="5">
        <v>0</v>
      </c>
      <c r="BB332" s="5">
        <v>-1076</v>
      </c>
      <c r="BD332" s="2">
        <v>2</v>
      </c>
      <c r="BF332" s="787">
        <v>2.92</v>
      </c>
      <c r="BG332" s="325">
        <v>150000810</v>
      </c>
    </row>
    <row r="333" spans="1:59" ht="24.9" customHeight="1" x14ac:dyDescent="0.3">
      <c r="A333" s="325">
        <v>150000811</v>
      </c>
      <c r="B333" s="445" t="s">
        <v>302</v>
      </c>
      <c r="C333" s="27">
        <v>5</v>
      </c>
      <c r="D333" s="101" t="s">
        <v>455</v>
      </c>
      <c r="E333" s="786">
        <v>2599.8000000000002</v>
      </c>
      <c r="F333" s="5">
        <v>2262</v>
      </c>
      <c r="G333" s="5">
        <v>1654</v>
      </c>
      <c r="H333" s="5">
        <v>-974</v>
      </c>
      <c r="I333" s="5">
        <v>0</v>
      </c>
      <c r="J333" s="5">
        <v>0</v>
      </c>
      <c r="K333" s="153"/>
      <c r="L333" s="5">
        <v>0</v>
      </c>
      <c r="M333" s="5">
        <v>0</v>
      </c>
      <c r="N333" s="5"/>
      <c r="O333" s="5">
        <v>0</v>
      </c>
      <c r="P333" s="5">
        <v>0</v>
      </c>
      <c r="Q333" s="784"/>
      <c r="R333" s="5">
        <v>0</v>
      </c>
      <c r="S333" s="5">
        <v>0</v>
      </c>
      <c r="T333" s="628"/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/>
      <c r="AA333" s="5">
        <v>0</v>
      </c>
      <c r="AB333" s="5">
        <v>366</v>
      </c>
      <c r="AC333" s="5">
        <v>0</v>
      </c>
      <c r="AD333" s="5">
        <v>1288</v>
      </c>
      <c r="AE333" s="5">
        <v>572.42843553872217</v>
      </c>
      <c r="AF333" s="5">
        <v>0</v>
      </c>
      <c r="AG333" s="5"/>
      <c r="AH333" s="5">
        <v>665.57385291311516</v>
      </c>
      <c r="AI333" s="5">
        <v>0</v>
      </c>
      <c r="AJ333" s="5"/>
      <c r="AK333" s="5">
        <v>178.19273017882171</v>
      </c>
      <c r="AL333" s="5">
        <v>0</v>
      </c>
      <c r="AM333" s="5"/>
      <c r="AN333" s="5">
        <v>0</v>
      </c>
      <c r="AO333" s="5">
        <v>0</v>
      </c>
      <c r="AP333" s="5"/>
      <c r="AQ333" s="5">
        <v>0</v>
      </c>
      <c r="AR333" s="5">
        <v>0</v>
      </c>
      <c r="AS333" s="5"/>
      <c r="AT333" s="5">
        <v>353.73039634182646</v>
      </c>
      <c r="AU333" s="5">
        <v>828</v>
      </c>
      <c r="AV333" s="5"/>
      <c r="AW333" s="5">
        <v>51.998000000000005</v>
      </c>
      <c r="AX333" s="5">
        <v>0</v>
      </c>
      <c r="AY333" s="5"/>
      <c r="AZ333" s="5">
        <v>911</v>
      </c>
      <c r="BA333" s="5">
        <v>0</v>
      </c>
      <c r="BB333" s="5">
        <v>-911</v>
      </c>
      <c r="BD333" s="2">
        <v>2</v>
      </c>
      <c r="BF333" s="787">
        <v>2.5299999999999998</v>
      </c>
      <c r="BG333" s="325">
        <v>150000811</v>
      </c>
    </row>
    <row r="334" spans="1:59" ht="24.9" customHeight="1" x14ac:dyDescent="0.3">
      <c r="A334" s="325">
        <v>150000812</v>
      </c>
      <c r="B334" s="445" t="s">
        <v>303</v>
      </c>
      <c r="C334" s="27">
        <v>5</v>
      </c>
      <c r="D334" s="101" t="s">
        <v>455</v>
      </c>
      <c r="E334" s="786">
        <v>2777</v>
      </c>
      <c r="F334" s="5">
        <v>1514</v>
      </c>
      <c r="G334" s="5">
        <v>6844</v>
      </c>
      <c r="H334" s="5">
        <v>5330</v>
      </c>
      <c r="I334" s="5">
        <v>0</v>
      </c>
      <c r="J334" s="5">
        <v>0</v>
      </c>
      <c r="K334" s="593"/>
      <c r="L334" s="5">
        <v>0</v>
      </c>
      <c r="M334" s="5">
        <v>2337</v>
      </c>
      <c r="N334" s="628"/>
      <c r="O334" s="5">
        <v>0</v>
      </c>
      <c r="P334" s="5">
        <v>0</v>
      </c>
      <c r="Q334" s="784"/>
      <c r="R334" s="5">
        <v>0</v>
      </c>
      <c r="S334" s="5">
        <v>0</v>
      </c>
      <c r="T334" s="628"/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/>
      <c r="AA334" s="5">
        <v>0</v>
      </c>
      <c r="AB334" s="5">
        <v>0</v>
      </c>
      <c r="AC334" s="5">
        <v>0</v>
      </c>
      <c r="AD334" s="5">
        <v>4507</v>
      </c>
      <c r="AE334" s="5">
        <v>423.84555993818691</v>
      </c>
      <c r="AF334" s="5">
        <v>0</v>
      </c>
      <c r="AG334" s="5"/>
      <c r="AH334" s="5">
        <v>499.9327838947579</v>
      </c>
      <c r="AI334" s="5">
        <v>0</v>
      </c>
      <c r="AJ334" s="5"/>
      <c r="AK334" s="5">
        <v>215.77710127233669</v>
      </c>
      <c r="AL334" s="5">
        <v>0</v>
      </c>
      <c r="AM334" s="5"/>
      <c r="AN334" s="5">
        <v>0</v>
      </c>
      <c r="AO334" s="5">
        <v>0</v>
      </c>
      <c r="AP334" s="5"/>
      <c r="AQ334" s="5">
        <v>0</v>
      </c>
      <c r="AR334" s="5">
        <v>0</v>
      </c>
      <c r="AS334" s="5"/>
      <c r="AT334" s="5">
        <v>340.16071783578991</v>
      </c>
      <c r="AU334" s="5">
        <v>0</v>
      </c>
      <c r="AV334" s="5"/>
      <c r="AW334" s="5">
        <v>61.561</v>
      </c>
      <c r="AX334" s="5">
        <v>0</v>
      </c>
      <c r="AY334" s="5"/>
      <c r="AZ334" s="5">
        <v>770</v>
      </c>
      <c r="BA334" s="5">
        <v>0</v>
      </c>
      <c r="BB334" s="5">
        <v>-770</v>
      </c>
      <c r="BD334" s="2">
        <v>2</v>
      </c>
      <c r="BF334" s="787">
        <v>2.98</v>
      </c>
      <c r="BG334" s="325">
        <v>150000812</v>
      </c>
    </row>
    <row r="335" spans="1:59" ht="24.9" customHeight="1" x14ac:dyDescent="0.3">
      <c r="A335" s="325">
        <v>150000828</v>
      </c>
      <c r="B335" s="445" t="s">
        <v>304</v>
      </c>
      <c r="C335" s="27">
        <v>5</v>
      </c>
      <c r="D335" s="101" t="s">
        <v>455</v>
      </c>
      <c r="E335" s="786">
        <v>2595.52</v>
      </c>
      <c r="F335" s="5">
        <v>2385</v>
      </c>
      <c r="G335" s="5">
        <v>0</v>
      </c>
      <c r="H335" s="5">
        <v>-2385</v>
      </c>
      <c r="I335" s="5">
        <v>0</v>
      </c>
      <c r="J335" s="5">
        <v>0</v>
      </c>
      <c r="K335" s="153"/>
      <c r="L335" s="5">
        <v>0</v>
      </c>
      <c r="M335" s="5">
        <v>0</v>
      </c>
      <c r="N335" s="5"/>
      <c r="O335" s="5">
        <v>0</v>
      </c>
      <c r="P335" s="5">
        <v>0</v>
      </c>
      <c r="Q335" s="784"/>
      <c r="R335" s="5">
        <v>0</v>
      </c>
      <c r="S335" s="5">
        <v>0</v>
      </c>
      <c r="T335" s="628"/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/>
      <c r="AA335" s="5">
        <v>0</v>
      </c>
      <c r="AB335" s="5">
        <v>0</v>
      </c>
      <c r="AC335" s="5">
        <v>0</v>
      </c>
      <c r="AD335" s="5">
        <v>0</v>
      </c>
      <c r="AE335" s="5">
        <v>572.42843553872217</v>
      </c>
      <c r="AF335" s="5">
        <v>278</v>
      </c>
      <c r="AG335" s="454"/>
      <c r="AH335" s="5">
        <v>665.57385291311516</v>
      </c>
      <c r="AI335" s="5">
        <v>0</v>
      </c>
      <c r="AJ335" s="5"/>
      <c r="AK335" s="5">
        <v>178.07995775639171</v>
      </c>
      <c r="AL335" s="5">
        <v>0</v>
      </c>
      <c r="AM335" s="5"/>
      <c r="AN335" s="5">
        <v>0</v>
      </c>
      <c r="AO335" s="5">
        <v>0</v>
      </c>
      <c r="AP335" s="5"/>
      <c r="AQ335" s="5">
        <v>0</v>
      </c>
      <c r="AR335" s="5">
        <v>0</v>
      </c>
      <c r="AS335" s="5"/>
      <c r="AT335" s="5">
        <v>353.7304186898379</v>
      </c>
      <c r="AU335" s="5">
        <v>0</v>
      </c>
      <c r="AV335" s="8"/>
      <c r="AW335" s="5">
        <v>51.955200000000005</v>
      </c>
      <c r="AX335" s="5">
        <v>0</v>
      </c>
      <c r="AY335" s="5"/>
      <c r="AZ335" s="5">
        <v>911</v>
      </c>
      <c r="BA335" s="5">
        <v>278</v>
      </c>
      <c r="BB335" s="5">
        <v>-632</v>
      </c>
      <c r="BD335" s="2">
        <v>2</v>
      </c>
      <c r="BF335" s="787">
        <v>2.5299999999999998</v>
      </c>
      <c r="BG335" s="325">
        <v>150000828</v>
      </c>
    </row>
    <row r="336" spans="1:59" ht="24.9" customHeight="1" x14ac:dyDescent="0.3">
      <c r="A336" s="325">
        <v>150000813</v>
      </c>
      <c r="B336" s="445" t="s">
        <v>189</v>
      </c>
      <c r="C336" s="27">
        <v>2</v>
      </c>
      <c r="D336" s="101" t="s">
        <v>455</v>
      </c>
      <c r="E336" s="786">
        <v>373.3</v>
      </c>
      <c r="F336" s="5">
        <v>245</v>
      </c>
      <c r="G336" s="5">
        <v>74</v>
      </c>
      <c r="H336" s="5">
        <v>-245</v>
      </c>
      <c r="I336" s="5">
        <v>0</v>
      </c>
      <c r="J336" s="5">
        <v>0</v>
      </c>
      <c r="K336" s="153"/>
      <c r="L336" s="5">
        <v>0</v>
      </c>
      <c r="M336" s="5">
        <v>0</v>
      </c>
      <c r="N336" s="5"/>
      <c r="O336" s="5">
        <v>0</v>
      </c>
      <c r="P336" s="5">
        <v>0</v>
      </c>
      <c r="Q336" s="784"/>
      <c r="R336" s="5">
        <v>0</v>
      </c>
      <c r="S336" s="5">
        <v>0</v>
      </c>
      <c r="T336" s="628"/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/>
      <c r="AA336" s="5">
        <v>0</v>
      </c>
      <c r="AB336" s="5">
        <v>0</v>
      </c>
      <c r="AC336" s="5">
        <v>74</v>
      </c>
      <c r="AD336" s="5">
        <v>0</v>
      </c>
      <c r="AE336" s="5">
        <v>138.12327037706922</v>
      </c>
      <c r="AF336" s="5">
        <v>0</v>
      </c>
      <c r="AG336" s="5"/>
      <c r="AH336" s="5">
        <v>146.37044194187487</v>
      </c>
      <c r="AI336" s="5">
        <v>0</v>
      </c>
      <c r="AJ336" s="5"/>
      <c r="AK336" s="5">
        <v>0</v>
      </c>
      <c r="AL336" s="5">
        <v>0</v>
      </c>
      <c r="AM336" s="5"/>
      <c r="AN336" s="5">
        <v>0</v>
      </c>
      <c r="AO336" s="5">
        <v>0</v>
      </c>
      <c r="AP336" s="5"/>
      <c r="AQ336" s="5">
        <v>0</v>
      </c>
      <c r="AR336" s="5">
        <v>0</v>
      </c>
      <c r="AS336" s="5"/>
      <c r="AT336" s="5">
        <v>31.82783313769751</v>
      </c>
      <c r="AU336" s="5">
        <v>0</v>
      </c>
      <c r="AV336" s="5"/>
      <c r="AW336" s="5">
        <v>7.7330000000000005</v>
      </c>
      <c r="AX336" s="5">
        <v>0</v>
      </c>
      <c r="AY336" s="5"/>
      <c r="AZ336" s="5">
        <v>162</v>
      </c>
      <c r="BA336" s="5">
        <v>0</v>
      </c>
      <c r="BB336" s="5">
        <v>-162</v>
      </c>
      <c r="BD336" s="2">
        <v>3</v>
      </c>
      <c r="BF336" s="787">
        <v>1.46</v>
      </c>
      <c r="BG336" s="325">
        <v>150000813</v>
      </c>
    </row>
    <row r="337" spans="1:59" ht="24.9" customHeight="1" x14ac:dyDescent="0.3">
      <c r="A337" s="325">
        <v>150000814</v>
      </c>
      <c r="B337" s="445" t="s">
        <v>305</v>
      </c>
      <c r="C337" s="27">
        <v>5</v>
      </c>
      <c r="D337" s="101" t="s">
        <v>455</v>
      </c>
      <c r="E337" s="786">
        <v>3608.6</v>
      </c>
      <c r="F337" s="5">
        <v>1439</v>
      </c>
      <c r="G337" s="5">
        <v>0</v>
      </c>
      <c r="H337" s="5">
        <v>-1439</v>
      </c>
      <c r="I337" s="5">
        <v>0</v>
      </c>
      <c r="J337" s="5">
        <v>0</v>
      </c>
      <c r="K337" s="153"/>
      <c r="L337" s="5">
        <v>0</v>
      </c>
      <c r="M337" s="5">
        <v>0</v>
      </c>
      <c r="N337" s="5"/>
      <c r="O337" s="5">
        <v>0</v>
      </c>
      <c r="P337" s="5">
        <v>0</v>
      </c>
      <c r="Q337" s="784"/>
      <c r="R337" s="5">
        <v>0</v>
      </c>
      <c r="S337" s="5">
        <v>0</v>
      </c>
      <c r="T337" s="628"/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/>
      <c r="AA337" s="5">
        <v>0</v>
      </c>
      <c r="AB337" s="5">
        <v>0</v>
      </c>
      <c r="AC337" s="5">
        <v>0</v>
      </c>
      <c r="AD337" s="5">
        <v>0</v>
      </c>
      <c r="AE337" s="5">
        <v>681.64507393979488</v>
      </c>
      <c r="AF337" s="5">
        <v>0</v>
      </c>
      <c r="AG337" s="5"/>
      <c r="AH337" s="5">
        <v>945.73348977374349</v>
      </c>
      <c r="AI337" s="5">
        <v>0</v>
      </c>
      <c r="AJ337" s="5"/>
      <c r="AK337" s="5">
        <v>177.92960316017002</v>
      </c>
      <c r="AL337" s="5">
        <v>0</v>
      </c>
      <c r="AM337" s="5"/>
      <c r="AN337" s="5">
        <v>0</v>
      </c>
      <c r="AO337" s="5">
        <v>0</v>
      </c>
      <c r="AP337" s="5"/>
      <c r="AQ337" s="5">
        <v>0</v>
      </c>
      <c r="AR337" s="5">
        <v>0</v>
      </c>
      <c r="AS337" s="5"/>
      <c r="AT337" s="5">
        <v>468.057852563501</v>
      </c>
      <c r="AU337" s="5">
        <v>0</v>
      </c>
      <c r="AV337" s="5"/>
      <c r="AW337" s="5">
        <v>64.323999999999998</v>
      </c>
      <c r="AX337" s="5">
        <v>0</v>
      </c>
      <c r="AY337" s="5"/>
      <c r="AZ337" s="5">
        <v>1169</v>
      </c>
      <c r="BA337" s="5">
        <v>0</v>
      </c>
      <c r="BB337" s="5">
        <v>-1169</v>
      </c>
      <c r="BD337" s="2">
        <v>2</v>
      </c>
      <c r="BF337" s="787">
        <v>3.15</v>
      </c>
      <c r="BG337" s="325">
        <v>150000814</v>
      </c>
    </row>
    <row r="338" spans="1:59" ht="24.9" customHeight="1" x14ac:dyDescent="0.3">
      <c r="A338" s="325">
        <v>150000816</v>
      </c>
      <c r="B338" s="445" t="s">
        <v>230</v>
      </c>
      <c r="C338" s="27">
        <v>4</v>
      </c>
      <c r="D338" s="101" t="s">
        <v>455</v>
      </c>
      <c r="E338" s="786">
        <v>2384.2199999999998</v>
      </c>
      <c r="F338" s="5">
        <v>1200</v>
      </c>
      <c r="G338" s="5">
        <v>6439</v>
      </c>
      <c r="H338" s="5">
        <v>87</v>
      </c>
      <c r="I338" s="5">
        <v>0</v>
      </c>
      <c r="J338" s="5">
        <v>0</v>
      </c>
      <c r="K338" s="593"/>
      <c r="L338" s="5">
        <v>0</v>
      </c>
      <c r="M338" s="5">
        <v>0</v>
      </c>
      <c r="N338" s="5"/>
      <c r="O338" s="5">
        <v>0</v>
      </c>
      <c r="P338" s="5">
        <v>0</v>
      </c>
      <c r="Q338" s="784"/>
      <c r="R338" s="5">
        <v>0</v>
      </c>
      <c r="S338" s="5">
        <v>0</v>
      </c>
      <c r="T338" s="628"/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/>
      <c r="AA338" s="5">
        <v>0</v>
      </c>
      <c r="AB338" s="5">
        <v>0</v>
      </c>
      <c r="AC338" s="5">
        <v>0</v>
      </c>
      <c r="AD338" s="5">
        <v>6439</v>
      </c>
      <c r="AE338" s="5">
        <v>590.13541733634474</v>
      </c>
      <c r="AF338" s="5">
        <v>0</v>
      </c>
      <c r="AG338" s="5"/>
      <c r="AH338" s="5">
        <v>646.03127423295075</v>
      </c>
      <c r="AI338" s="5">
        <v>0</v>
      </c>
      <c r="AJ338" s="5"/>
      <c r="AK338" s="5">
        <v>164.4571229655466</v>
      </c>
      <c r="AL338" s="5">
        <v>0</v>
      </c>
      <c r="AM338" s="5"/>
      <c r="AN338" s="5">
        <v>531.51989328528794</v>
      </c>
      <c r="AO338" s="5">
        <v>0</v>
      </c>
      <c r="AP338" s="5"/>
      <c r="AQ338" s="5">
        <v>0</v>
      </c>
      <c r="AR338" s="5">
        <v>0</v>
      </c>
      <c r="AS338" s="5"/>
      <c r="AT338" s="5">
        <v>408.0832023033409</v>
      </c>
      <c r="AU338" s="5">
        <v>0</v>
      </c>
      <c r="AV338" s="5"/>
      <c r="AW338" s="5">
        <v>48.4726</v>
      </c>
      <c r="AX338" s="5">
        <v>0</v>
      </c>
      <c r="AY338" s="5"/>
      <c r="AZ338" s="5">
        <v>1195</v>
      </c>
      <c r="BA338" s="5">
        <v>0</v>
      </c>
      <c r="BB338" s="5">
        <v>-1195</v>
      </c>
      <c r="BD338" s="2">
        <v>2</v>
      </c>
      <c r="BF338" s="787">
        <v>2.38</v>
      </c>
      <c r="BG338" s="325">
        <v>150000816</v>
      </c>
    </row>
    <row r="339" spans="1:59" ht="24.9" customHeight="1" x14ac:dyDescent="0.3">
      <c r="A339" s="325">
        <v>150000829</v>
      </c>
      <c r="B339" s="445" t="s">
        <v>231</v>
      </c>
      <c r="C339" s="27">
        <v>4</v>
      </c>
      <c r="D339" s="101" t="s">
        <v>455</v>
      </c>
      <c r="E339" s="786">
        <v>2581.1999999999998</v>
      </c>
      <c r="F339" s="5">
        <v>1106</v>
      </c>
      <c r="G339" s="5">
        <v>885</v>
      </c>
      <c r="H339" s="5">
        <v>-221</v>
      </c>
      <c r="I339" s="5">
        <v>0</v>
      </c>
      <c r="J339" s="5">
        <v>0</v>
      </c>
      <c r="K339" s="153"/>
      <c r="L339" s="5">
        <v>0</v>
      </c>
      <c r="M339" s="5">
        <v>0</v>
      </c>
      <c r="N339" s="5"/>
      <c r="O339" s="5">
        <v>0</v>
      </c>
      <c r="P339" s="5">
        <v>0</v>
      </c>
      <c r="Q339" s="784"/>
      <c r="R339" s="5">
        <v>0</v>
      </c>
      <c r="S339" s="5">
        <v>0</v>
      </c>
      <c r="T339" s="628"/>
      <c r="U339" s="5">
        <v>0</v>
      </c>
      <c r="V339" s="5">
        <v>0</v>
      </c>
      <c r="W339" s="5">
        <v>0</v>
      </c>
      <c r="X339" s="5">
        <v>0</v>
      </c>
      <c r="Y339" s="5">
        <v>885</v>
      </c>
      <c r="Z339" s="5"/>
      <c r="AA339" s="5">
        <v>0</v>
      </c>
      <c r="AB339" s="5">
        <v>0</v>
      </c>
      <c r="AC339" s="5">
        <v>0</v>
      </c>
      <c r="AD339" s="5">
        <v>0</v>
      </c>
      <c r="AE339" s="5">
        <v>599.69301703139172</v>
      </c>
      <c r="AF339" s="5">
        <v>0</v>
      </c>
      <c r="AG339" s="5"/>
      <c r="AH339" s="5">
        <v>648.2973893450511</v>
      </c>
      <c r="AI339" s="5">
        <v>0</v>
      </c>
      <c r="AJ339" s="5"/>
      <c r="AK339" s="5">
        <v>181.6485732603133</v>
      </c>
      <c r="AL339" s="5">
        <v>0</v>
      </c>
      <c r="AM339" s="5"/>
      <c r="AN339" s="5">
        <v>0</v>
      </c>
      <c r="AO339" s="5">
        <v>0</v>
      </c>
      <c r="AP339" s="5"/>
      <c r="AQ339" s="5">
        <v>0</v>
      </c>
      <c r="AR339" s="5">
        <v>0</v>
      </c>
      <c r="AS339" s="5"/>
      <c r="AT339" s="5">
        <v>410.11022012397689</v>
      </c>
      <c r="AU339" s="5">
        <v>0</v>
      </c>
      <c r="AV339" s="5"/>
      <c r="AW339" s="5">
        <v>51.823999999999998</v>
      </c>
      <c r="AX339" s="5">
        <v>0</v>
      </c>
      <c r="AY339" s="5"/>
      <c r="AZ339" s="5">
        <v>946</v>
      </c>
      <c r="BA339" s="5">
        <v>0</v>
      </c>
      <c r="BB339" s="5">
        <v>-946</v>
      </c>
      <c r="BD339" s="2">
        <v>2</v>
      </c>
      <c r="BF339" s="787">
        <v>2.52</v>
      </c>
      <c r="BG339" s="325">
        <v>150000829</v>
      </c>
    </row>
    <row r="340" spans="1:59" ht="24.9" customHeight="1" x14ac:dyDescent="0.3">
      <c r="A340" s="325">
        <v>150000797</v>
      </c>
      <c r="B340" s="445" t="s">
        <v>232</v>
      </c>
      <c r="C340" s="27">
        <v>4</v>
      </c>
      <c r="D340" s="101" t="s">
        <v>455</v>
      </c>
      <c r="E340" s="786">
        <v>4960.1000000000004</v>
      </c>
      <c r="F340" s="5">
        <v>2436</v>
      </c>
      <c r="G340" s="5">
        <v>2477</v>
      </c>
      <c r="H340" s="5">
        <v>-1148</v>
      </c>
      <c r="I340" s="5">
        <v>3.7</v>
      </c>
      <c r="J340" s="5">
        <v>555</v>
      </c>
      <c r="K340" s="153"/>
      <c r="L340" s="5">
        <v>0</v>
      </c>
      <c r="M340" s="5">
        <v>0</v>
      </c>
      <c r="N340" s="5"/>
      <c r="O340" s="5">
        <v>0</v>
      </c>
      <c r="P340" s="5">
        <v>0</v>
      </c>
      <c r="Q340" s="784"/>
      <c r="R340" s="5">
        <v>0</v>
      </c>
      <c r="S340" s="5">
        <v>0</v>
      </c>
      <c r="T340" s="628"/>
      <c r="U340" s="5">
        <v>0</v>
      </c>
      <c r="V340" s="5">
        <v>0</v>
      </c>
      <c r="W340" s="5">
        <v>0</v>
      </c>
      <c r="X340" s="5">
        <v>0</v>
      </c>
      <c r="Y340" s="5">
        <v>634</v>
      </c>
      <c r="Z340" s="5"/>
      <c r="AA340" s="5">
        <v>0</v>
      </c>
      <c r="AB340" s="5">
        <v>0</v>
      </c>
      <c r="AC340" s="5">
        <v>0</v>
      </c>
      <c r="AD340" s="5">
        <v>1288</v>
      </c>
      <c r="AE340" s="5">
        <v>1219.6700975574558</v>
      </c>
      <c r="AF340" s="5">
        <v>142</v>
      </c>
      <c r="AG340" s="5"/>
      <c r="AH340" s="5">
        <v>1589.9065914592234</v>
      </c>
      <c r="AI340" s="5">
        <v>104</v>
      </c>
      <c r="AJ340" s="5"/>
      <c r="AK340" s="5">
        <v>280.347841676825</v>
      </c>
      <c r="AL340" s="5">
        <v>0</v>
      </c>
      <c r="AM340" s="5"/>
      <c r="AN340" s="5">
        <v>0</v>
      </c>
      <c r="AO340" s="5">
        <v>0</v>
      </c>
      <c r="AP340" s="5"/>
      <c r="AQ340" s="5">
        <v>0</v>
      </c>
      <c r="AR340" s="5">
        <v>0</v>
      </c>
      <c r="AS340" s="5"/>
      <c r="AT340" s="5">
        <v>2074.0987607501729</v>
      </c>
      <c r="AU340" s="5">
        <v>0</v>
      </c>
      <c r="AV340" s="5"/>
      <c r="AW340" s="5">
        <v>90.438999999999993</v>
      </c>
      <c r="AX340" s="5">
        <v>0</v>
      </c>
      <c r="AY340" s="5"/>
      <c r="AZ340" s="5">
        <v>2627</v>
      </c>
      <c r="BA340" s="5">
        <v>247</v>
      </c>
      <c r="BB340" s="5">
        <v>-2381</v>
      </c>
      <c r="BD340" s="2">
        <v>2</v>
      </c>
      <c r="BF340" s="787">
        <v>4.43</v>
      </c>
      <c r="BG340" s="325">
        <v>150000797</v>
      </c>
    </row>
    <row r="341" spans="1:59" ht="24.9" customHeight="1" x14ac:dyDescent="0.3">
      <c r="A341" s="325">
        <v>150000705</v>
      </c>
      <c r="B341" s="445" t="s">
        <v>142</v>
      </c>
      <c r="C341" s="27">
        <v>1</v>
      </c>
      <c r="D341" s="101" t="s">
        <v>455</v>
      </c>
      <c r="E341" s="786">
        <v>240.6</v>
      </c>
      <c r="F341" s="5">
        <v>109</v>
      </c>
      <c r="G341" s="5">
        <v>0</v>
      </c>
      <c r="H341" s="5">
        <v>-109</v>
      </c>
      <c r="I341" s="5">
        <v>0</v>
      </c>
      <c r="J341" s="5">
        <v>0</v>
      </c>
      <c r="K341" s="153"/>
      <c r="L341" s="5">
        <v>0</v>
      </c>
      <c r="M341" s="5">
        <v>0</v>
      </c>
      <c r="N341" s="5"/>
      <c r="O341" s="5">
        <v>0</v>
      </c>
      <c r="P341" s="5">
        <v>0</v>
      </c>
      <c r="Q341" s="784"/>
      <c r="R341" s="5">
        <v>0</v>
      </c>
      <c r="S341" s="5">
        <v>0</v>
      </c>
      <c r="T341" s="628"/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/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/>
      <c r="AH341" s="5">
        <v>0</v>
      </c>
      <c r="AI341" s="5">
        <v>0</v>
      </c>
      <c r="AJ341" s="5"/>
      <c r="AK341" s="5">
        <v>0</v>
      </c>
      <c r="AL341" s="5">
        <v>0</v>
      </c>
      <c r="AM341" s="5"/>
      <c r="AN341" s="5">
        <v>0</v>
      </c>
      <c r="AO341" s="5">
        <v>0</v>
      </c>
      <c r="AP341" s="5"/>
      <c r="AQ341" s="5">
        <v>0</v>
      </c>
      <c r="AR341" s="5">
        <v>0</v>
      </c>
      <c r="AS341" s="5"/>
      <c r="AT341" s="5">
        <v>0</v>
      </c>
      <c r="AU341" s="5">
        <v>0</v>
      </c>
      <c r="AV341" s="5"/>
      <c r="AW341" s="5">
        <v>4.4060000000000006</v>
      </c>
      <c r="AX341" s="5">
        <v>0</v>
      </c>
      <c r="AY341" s="5"/>
      <c r="AZ341" s="5">
        <v>2</v>
      </c>
      <c r="BA341" s="5">
        <v>0</v>
      </c>
      <c r="BB341" s="5">
        <v>-2</v>
      </c>
      <c r="BD341" s="2">
        <v>3</v>
      </c>
      <c r="BF341" s="787">
        <v>0</v>
      </c>
      <c r="BG341" s="325">
        <v>150000705</v>
      </c>
    </row>
    <row r="342" spans="1:59" ht="24.9" customHeight="1" x14ac:dyDescent="0.3">
      <c r="A342" s="325">
        <v>150000709</v>
      </c>
      <c r="B342" s="445" t="s">
        <v>143</v>
      </c>
      <c r="C342" s="27">
        <v>1</v>
      </c>
      <c r="D342" s="101" t="s">
        <v>455</v>
      </c>
      <c r="E342" s="786">
        <v>201.1</v>
      </c>
      <c r="F342" s="5">
        <v>102</v>
      </c>
      <c r="G342" s="5">
        <v>0</v>
      </c>
      <c r="H342" s="5">
        <v>-102</v>
      </c>
      <c r="I342" s="5">
        <v>0</v>
      </c>
      <c r="J342" s="5">
        <v>0</v>
      </c>
      <c r="K342" s="153"/>
      <c r="L342" s="5">
        <v>0</v>
      </c>
      <c r="M342" s="5">
        <v>0</v>
      </c>
      <c r="N342" s="5"/>
      <c r="O342" s="5">
        <v>0</v>
      </c>
      <c r="P342" s="5">
        <v>0</v>
      </c>
      <c r="Q342" s="784"/>
      <c r="R342" s="5">
        <v>0</v>
      </c>
      <c r="S342" s="5">
        <v>0</v>
      </c>
      <c r="T342" s="628"/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/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/>
      <c r="AH342" s="5">
        <v>0</v>
      </c>
      <c r="AI342" s="5">
        <v>0</v>
      </c>
      <c r="AJ342" s="5"/>
      <c r="AK342" s="5">
        <v>0</v>
      </c>
      <c r="AL342" s="5">
        <v>0</v>
      </c>
      <c r="AM342" s="5"/>
      <c r="AN342" s="5">
        <v>0</v>
      </c>
      <c r="AO342" s="5">
        <v>0</v>
      </c>
      <c r="AP342" s="5"/>
      <c r="AQ342" s="5">
        <v>0</v>
      </c>
      <c r="AR342" s="5">
        <v>0</v>
      </c>
      <c r="AS342" s="5"/>
      <c r="AT342" s="5">
        <v>0</v>
      </c>
      <c r="AU342" s="5">
        <v>0</v>
      </c>
      <c r="AV342" s="5"/>
      <c r="AW342" s="5">
        <v>4.0110000000000001</v>
      </c>
      <c r="AX342" s="5">
        <v>0</v>
      </c>
      <c r="AY342" s="5"/>
      <c r="AZ342" s="5">
        <v>2</v>
      </c>
      <c r="BA342" s="5">
        <v>0</v>
      </c>
      <c r="BB342" s="5">
        <v>-2</v>
      </c>
      <c r="BD342" s="2">
        <v>3</v>
      </c>
      <c r="BF342" s="787">
        <v>0</v>
      </c>
      <c r="BG342" s="325">
        <v>150000709</v>
      </c>
    </row>
    <row r="343" spans="1:59" ht="24.9" customHeight="1" x14ac:dyDescent="0.3">
      <c r="A343" s="325">
        <v>150000706</v>
      </c>
      <c r="B343" s="445" t="s">
        <v>144</v>
      </c>
      <c r="C343" s="27">
        <v>1</v>
      </c>
      <c r="D343" s="101" t="s">
        <v>455</v>
      </c>
      <c r="E343" s="786">
        <v>243.32</v>
      </c>
      <c r="F343" s="5">
        <v>113</v>
      </c>
      <c r="G343" s="5">
        <v>0</v>
      </c>
      <c r="H343" s="5">
        <v>-113</v>
      </c>
      <c r="I343" s="5">
        <v>0</v>
      </c>
      <c r="J343" s="5">
        <v>0</v>
      </c>
      <c r="K343" s="153"/>
      <c r="L343" s="5">
        <v>0</v>
      </c>
      <c r="M343" s="5">
        <v>0</v>
      </c>
      <c r="N343" s="5"/>
      <c r="O343" s="5">
        <v>0</v>
      </c>
      <c r="P343" s="5">
        <v>0</v>
      </c>
      <c r="Q343" s="784"/>
      <c r="R343" s="5">
        <v>0</v>
      </c>
      <c r="S343" s="5">
        <v>0</v>
      </c>
      <c r="T343" s="628"/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/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/>
      <c r="AH343" s="5">
        <v>0</v>
      </c>
      <c r="AI343" s="5">
        <v>0</v>
      </c>
      <c r="AJ343" s="5"/>
      <c r="AK343" s="5">
        <v>0</v>
      </c>
      <c r="AL343" s="5">
        <v>0</v>
      </c>
      <c r="AM343" s="5"/>
      <c r="AN343" s="5">
        <v>0</v>
      </c>
      <c r="AO343" s="5">
        <v>0</v>
      </c>
      <c r="AP343" s="5"/>
      <c r="AQ343" s="5">
        <v>0</v>
      </c>
      <c r="AR343" s="5">
        <v>0</v>
      </c>
      <c r="AS343" s="5"/>
      <c r="AT343" s="5">
        <v>0</v>
      </c>
      <c r="AU343" s="5">
        <v>0</v>
      </c>
      <c r="AV343" s="5"/>
      <c r="AW343" s="5">
        <v>4.4331999999999994</v>
      </c>
      <c r="AX343" s="5">
        <v>0</v>
      </c>
      <c r="AY343" s="5"/>
      <c r="AZ343" s="5">
        <v>2</v>
      </c>
      <c r="BA343" s="5">
        <v>0</v>
      </c>
      <c r="BB343" s="5">
        <v>-2</v>
      </c>
      <c r="BD343" s="2">
        <v>3</v>
      </c>
      <c r="BF343" s="787">
        <v>0</v>
      </c>
      <c r="BG343" s="325">
        <v>150000706</v>
      </c>
    </row>
    <row r="344" spans="1:59" ht="24.9" customHeight="1" x14ac:dyDescent="0.3">
      <c r="A344" s="325">
        <v>150000707</v>
      </c>
      <c r="B344" s="445" t="s">
        <v>145</v>
      </c>
      <c r="C344" s="27">
        <v>1</v>
      </c>
      <c r="D344" s="101" t="s">
        <v>455</v>
      </c>
      <c r="E344" s="786">
        <v>326.10000000000002</v>
      </c>
      <c r="F344" s="5">
        <v>169</v>
      </c>
      <c r="G344" s="5">
        <v>0</v>
      </c>
      <c r="H344" s="5">
        <v>-169</v>
      </c>
      <c r="I344" s="5">
        <v>0</v>
      </c>
      <c r="J344" s="5">
        <v>0</v>
      </c>
      <c r="K344" s="153"/>
      <c r="L344" s="5">
        <v>0</v>
      </c>
      <c r="M344" s="5">
        <v>0</v>
      </c>
      <c r="N344" s="5"/>
      <c r="O344" s="5">
        <v>0</v>
      </c>
      <c r="P344" s="5">
        <v>0</v>
      </c>
      <c r="Q344" s="784"/>
      <c r="R344" s="5">
        <v>0</v>
      </c>
      <c r="S344" s="5">
        <v>0</v>
      </c>
      <c r="T344" s="628"/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/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/>
      <c r="AH344" s="5">
        <v>0</v>
      </c>
      <c r="AI344" s="5">
        <v>0</v>
      </c>
      <c r="AJ344" s="5"/>
      <c r="AK344" s="5">
        <v>0</v>
      </c>
      <c r="AL344" s="5">
        <v>0</v>
      </c>
      <c r="AM344" s="5"/>
      <c r="AN344" s="5">
        <v>0</v>
      </c>
      <c r="AO344" s="5">
        <v>0</v>
      </c>
      <c r="AP344" s="5"/>
      <c r="AQ344" s="5">
        <v>0</v>
      </c>
      <c r="AR344" s="5">
        <v>0</v>
      </c>
      <c r="AS344" s="5"/>
      <c r="AT344" s="5">
        <v>0</v>
      </c>
      <c r="AU344" s="5">
        <v>0</v>
      </c>
      <c r="AV344" s="5"/>
      <c r="AW344" s="5">
        <v>6.2610000000000001</v>
      </c>
      <c r="AX344" s="5">
        <v>0</v>
      </c>
      <c r="AY344" s="5"/>
      <c r="AZ344" s="5">
        <v>3</v>
      </c>
      <c r="BA344" s="5">
        <v>0</v>
      </c>
      <c r="BB344" s="5">
        <v>-3</v>
      </c>
      <c r="BD344" s="2">
        <v>3</v>
      </c>
      <c r="BF344" s="787">
        <v>0</v>
      </c>
      <c r="BG344" s="325">
        <v>150000707</v>
      </c>
    </row>
    <row r="345" spans="1:59" ht="24.9" customHeight="1" x14ac:dyDescent="0.3">
      <c r="A345" s="325">
        <v>150000708</v>
      </c>
      <c r="B345" s="445" t="s">
        <v>146</v>
      </c>
      <c r="C345" s="27">
        <v>1</v>
      </c>
      <c r="D345" s="101" t="s">
        <v>455</v>
      </c>
      <c r="E345" s="786">
        <v>241.4</v>
      </c>
      <c r="F345" s="5">
        <v>113</v>
      </c>
      <c r="G345" s="5">
        <v>0</v>
      </c>
      <c r="H345" s="5">
        <v>-113</v>
      </c>
      <c r="I345" s="5">
        <v>0</v>
      </c>
      <c r="J345" s="5">
        <v>0</v>
      </c>
      <c r="K345" s="153"/>
      <c r="L345" s="5">
        <v>0</v>
      </c>
      <c r="M345" s="5">
        <v>0</v>
      </c>
      <c r="N345" s="5"/>
      <c r="O345" s="5">
        <v>0</v>
      </c>
      <c r="P345" s="5">
        <v>0</v>
      </c>
      <c r="Q345" s="784"/>
      <c r="R345" s="5">
        <v>0</v>
      </c>
      <c r="S345" s="5">
        <v>0</v>
      </c>
      <c r="T345" s="628"/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/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/>
      <c r="AH345" s="5">
        <v>0</v>
      </c>
      <c r="AI345" s="5">
        <v>0</v>
      </c>
      <c r="AJ345" s="5"/>
      <c r="AK345" s="5">
        <v>0</v>
      </c>
      <c r="AL345" s="5">
        <v>0</v>
      </c>
      <c r="AM345" s="5"/>
      <c r="AN345" s="5">
        <v>0</v>
      </c>
      <c r="AO345" s="5">
        <v>0</v>
      </c>
      <c r="AP345" s="5"/>
      <c r="AQ345" s="5">
        <v>0</v>
      </c>
      <c r="AR345" s="5">
        <v>0</v>
      </c>
      <c r="AS345" s="5"/>
      <c r="AT345" s="5">
        <v>0</v>
      </c>
      <c r="AU345" s="5">
        <v>0</v>
      </c>
      <c r="AV345" s="5"/>
      <c r="AW345" s="5">
        <v>4.4139999999999997</v>
      </c>
      <c r="AX345" s="5">
        <v>0</v>
      </c>
      <c r="AY345" s="5"/>
      <c r="AZ345" s="5">
        <v>2</v>
      </c>
      <c r="BA345" s="5">
        <v>0</v>
      </c>
      <c r="BB345" s="5">
        <v>-2</v>
      </c>
      <c r="BD345" s="2">
        <v>3</v>
      </c>
      <c r="BF345" s="787">
        <v>0</v>
      </c>
      <c r="BG345" s="325">
        <v>150000708</v>
      </c>
    </row>
    <row r="346" spans="1:59" ht="24.9" customHeight="1" x14ac:dyDescent="0.3">
      <c r="A346" s="325">
        <v>150000591</v>
      </c>
      <c r="B346" s="445" t="s">
        <v>192</v>
      </c>
      <c r="C346" s="27">
        <v>2</v>
      </c>
      <c r="D346" s="101" t="s">
        <v>455</v>
      </c>
      <c r="E346" s="786">
        <v>148.4</v>
      </c>
      <c r="F346" s="5">
        <v>126</v>
      </c>
      <c r="G346" s="5">
        <v>0</v>
      </c>
      <c r="H346" s="5">
        <v>-126</v>
      </c>
      <c r="I346" s="5">
        <v>0</v>
      </c>
      <c r="J346" s="5">
        <v>0</v>
      </c>
      <c r="K346" s="153"/>
      <c r="L346" s="5">
        <v>0</v>
      </c>
      <c r="M346" s="5">
        <v>0</v>
      </c>
      <c r="N346" s="5"/>
      <c r="O346" s="5">
        <v>0</v>
      </c>
      <c r="P346" s="5">
        <v>0</v>
      </c>
      <c r="Q346" s="784"/>
      <c r="R346" s="5">
        <v>0</v>
      </c>
      <c r="S346" s="5">
        <v>0</v>
      </c>
      <c r="T346" s="628"/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/>
      <c r="AA346" s="5">
        <v>0</v>
      </c>
      <c r="AB346" s="5">
        <v>0</v>
      </c>
      <c r="AC346" s="5">
        <v>0</v>
      </c>
      <c r="AD346" s="5">
        <v>0</v>
      </c>
      <c r="AE346" s="5">
        <v>73.668707802852794</v>
      </c>
      <c r="AF346" s="5">
        <v>0</v>
      </c>
      <c r="AG346" s="5"/>
      <c r="AH346" s="5">
        <v>70.136589980154966</v>
      </c>
      <c r="AI346" s="5">
        <v>0</v>
      </c>
      <c r="AJ346" s="5"/>
      <c r="AK346" s="5">
        <v>6.10455502789</v>
      </c>
      <c r="AL346" s="5">
        <v>0</v>
      </c>
      <c r="AM346" s="5"/>
      <c r="AN346" s="5">
        <v>48.112520866358402</v>
      </c>
      <c r="AO346" s="5">
        <v>0</v>
      </c>
      <c r="AP346" s="5"/>
      <c r="AQ346" s="5">
        <v>0</v>
      </c>
      <c r="AR346" s="5">
        <v>0</v>
      </c>
      <c r="AS346" s="5"/>
      <c r="AT346" s="5">
        <v>7.5212542491884617</v>
      </c>
      <c r="AU346" s="5">
        <v>0</v>
      </c>
      <c r="AV346" s="5"/>
      <c r="AW346" s="5">
        <v>2.484</v>
      </c>
      <c r="AX346" s="5">
        <v>0</v>
      </c>
      <c r="AY346" s="5"/>
      <c r="AZ346" s="5">
        <v>104</v>
      </c>
      <c r="BA346" s="5">
        <v>0</v>
      </c>
      <c r="BB346" s="5">
        <v>-104</v>
      </c>
      <c r="BD346" s="2">
        <v>3</v>
      </c>
      <c r="BF346" s="787">
        <v>0.57999999999999996</v>
      </c>
      <c r="BG346" s="325">
        <v>150000591</v>
      </c>
    </row>
    <row r="347" spans="1:59" ht="24.9" customHeight="1" x14ac:dyDescent="0.3">
      <c r="A347" s="325">
        <v>150000861</v>
      </c>
      <c r="B347" s="445" t="s">
        <v>233</v>
      </c>
      <c r="C347" s="27">
        <v>4</v>
      </c>
      <c r="D347" s="101" t="s">
        <v>455</v>
      </c>
      <c r="E347" s="786">
        <v>3144.7</v>
      </c>
      <c r="F347" s="5">
        <v>1879</v>
      </c>
      <c r="G347" s="5">
        <v>1932</v>
      </c>
      <c r="H347" s="5">
        <v>53</v>
      </c>
      <c r="I347" s="5">
        <v>0</v>
      </c>
      <c r="J347" s="5">
        <v>0</v>
      </c>
      <c r="K347" s="593"/>
      <c r="L347" s="5">
        <v>0</v>
      </c>
      <c r="M347" s="5">
        <v>0</v>
      </c>
      <c r="N347" s="5"/>
      <c r="O347" s="5">
        <v>0</v>
      </c>
      <c r="P347" s="5">
        <v>0</v>
      </c>
      <c r="Q347" s="784"/>
      <c r="R347" s="5">
        <v>0</v>
      </c>
      <c r="S347" s="5">
        <v>0</v>
      </c>
      <c r="T347" s="628"/>
      <c r="U347" s="5">
        <v>0</v>
      </c>
      <c r="V347" s="8">
        <v>0</v>
      </c>
      <c r="W347" s="5">
        <v>0</v>
      </c>
      <c r="X347" s="5">
        <v>0</v>
      </c>
      <c r="Y347" s="5">
        <v>0</v>
      </c>
      <c r="Z347" s="5"/>
      <c r="AA347" s="5">
        <v>0</v>
      </c>
      <c r="AB347" s="5">
        <v>0</v>
      </c>
      <c r="AC347" s="5">
        <v>0</v>
      </c>
      <c r="AD347" s="5">
        <v>1932</v>
      </c>
      <c r="AE347" s="5">
        <v>864.03706131176136</v>
      </c>
      <c r="AF347" s="5">
        <v>625</v>
      </c>
      <c r="AG347" s="5"/>
      <c r="AH347" s="5">
        <v>1049.7373368665587</v>
      </c>
      <c r="AI347" s="5">
        <v>0</v>
      </c>
      <c r="AJ347" s="5"/>
      <c r="AK347" s="5">
        <v>230.45747356530171</v>
      </c>
      <c r="AL347" s="5">
        <v>4320</v>
      </c>
      <c r="AM347" s="5"/>
      <c r="AN347" s="5">
        <v>0</v>
      </c>
      <c r="AO347" s="5">
        <v>0</v>
      </c>
      <c r="AP347" s="5"/>
      <c r="AQ347" s="5">
        <v>0</v>
      </c>
      <c r="AR347" s="5">
        <v>0</v>
      </c>
      <c r="AS347" s="5"/>
      <c r="AT347" s="5">
        <v>1041.9186287061248</v>
      </c>
      <c r="AU347" s="5">
        <v>0</v>
      </c>
      <c r="AV347" s="5"/>
      <c r="AW347" s="5">
        <v>66.091000000000008</v>
      </c>
      <c r="AX347" s="5">
        <v>0</v>
      </c>
      <c r="AY347" s="5"/>
      <c r="AZ347" s="5">
        <v>1626</v>
      </c>
      <c r="BA347" s="5">
        <v>4320</v>
      </c>
      <c r="BB347" s="5">
        <v>2694</v>
      </c>
      <c r="BD347" s="2">
        <v>2</v>
      </c>
      <c r="BF347" s="787">
        <v>3.22</v>
      </c>
      <c r="BG347" s="325">
        <v>150000861</v>
      </c>
    </row>
    <row r="348" spans="1:59" ht="24.9" customHeight="1" x14ac:dyDescent="0.3">
      <c r="A348" s="325">
        <v>150000872</v>
      </c>
      <c r="B348" s="445" t="s">
        <v>234</v>
      </c>
      <c r="C348" s="27">
        <v>4</v>
      </c>
      <c r="D348" s="101" t="s">
        <v>455</v>
      </c>
      <c r="E348" s="786">
        <v>1210.4000000000001</v>
      </c>
      <c r="F348" s="5">
        <v>596</v>
      </c>
      <c r="G348" s="5">
        <v>0</v>
      </c>
      <c r="H348" s="5">
        <v>-596</v>
      </c>
      <c r="I348" s="5">
        <v>0</v>
      </c>
      <c r="J348" s="5">
        <v>0</v>
      </c>
      <c r="K348" s="153"/>
      <c r="L348" s="5">
        <v>0</v>
      </c>
      <c r="M348" s="5">
        <v>0</v>
      </c>
      <c r="N348" s="5"/>
      <c r="O348" s="5">
        <v>0</v>
      </c>
      <c r="P348" s="5">
        <v>0</v>
      </c>
      <c r="Q348" s="784"/>
      <c r="R348" s="5">
        <v>0</v>
      </c>
      <c r="S348" s="5">
        <v>0</v>
      </c>
      <c r="T348" s="628"/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/>
      <c r="AA348" s="5">
        <v>0</v>
      </c>
      <c r="AB348" s="5">
        <v>0</v>
      </c>
      <c r="AC348" s="5">
        <v>0</v>
      </c>
      <c r="AD348" s="5">
        <v>0</v>
      </c>
      <c r="AE348" s="5">
        <v>579.9796749373437</v>
      </c>
      <c r="AF348" s="5">
        <v>0</v>
      </c>
      <c r="AG348" s="5"/>
      <c r="AH348" s="5">
        <v>803.60213726596294</v>
      </c>
      <c r="AI348" s="5">
        <v>0</v>
      </c>
      <c r="AJ348" s="5"/>
      <c r="AK348" s="5">
        <v>85.5583058774791</v>
      </c>
      <c r="AL348" s="5">
        <v>1402</v>
      </c>
      <c r="AM348" s="5"/>
      <c r="AN348" s="5">
        <v>250.20726775773829</v>
      </c>
      <c r="AO348" s="5">
        <v>0</v>
      </c>
      <c r="AP348" s="5"/>
      <c r="AQ348" s="5">
        <v>0</v>
      </c>
      <c r="AR348" s="5">
        <v>0</v>
      </c>
      <c r="AS348" s="5"/>
      <c r="AT348" s="5">
        <v>151.85810523177094</v>
      </c>
      <c r="AU348" s="5">
        <v>0</v>
      </c>
      <c r="AV348" s="5"/>
      <c r="AW348" s="5">
        <v>24.093900000000001</v>
      </c>
      <c r="AX348" s="5">
        <v>0</v>
      </c>
      <c r="AY348" s="5"/>
      <c r="AZ348" s="5">
        <v>947</v>
      </c>
      <c r="BA348" s="5">
        <v>1402</v>
      </c>
      <c r="BB348" s="5">
        <v>454</v>
      </c>
      <c r="BD348" s="2">
        <v>2</v>
      </c>
      <c r="BF348" s="787">
        <v>1.18</v>
      </c>
      <c r="BG348" s="325">
        <v>150000872</v>
      </c>
    </row>
    <row r="349" spans="1:59" ht="24.9" customHeight="1" x14ac:dyDescent="0.3">
      <c r="A349" s="325">
        <v>150000862</v>
      </c>
      <c r="B349" s="445" t="s">
        <v>235</v>
      </c>
      <c r="C349" s="27">
        <v>4</v>
      </c>
      <c r="D349" s="101" t="s">
        <v>455</v>
      </c>
      <c r="E349" s="786">
        <v>4154.6000000000004</v>
      </c>
      <c r="F349" s="5">
        <v>2081</v>
      </c>
      <c r="G349" s="5">
        <v>1288</v>
      </c>
      <c r="H349" s="5">
        <v>-793</v>
      </c>
      <c r="I349" s="5">
        <v>0</v>
      </c>
      <c r="J349" s="5">
        <v>0</v>
      </c>
      <c r="K349" s="153"/>
      <c r="L349" s="5">
        <v>0</v>
      </c>
      <c r="M349" s="5">
        <v>0</v>
      </c>
      <c r="N349" s="5"/>
      <c r="O349" s="5">
        <v>0</v>
      </c>
      <c r="P349" s="5">
        <v>0</v>
      </c>
      <c r="Q349" s="784"/>
      <c r="R349" s="5">
        <v>0</v>
      </c>
      <c r="S349" s="5">
        <v>0</v>
      </c>
      <c r="T349" s="628"/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/>
      <c r="AA349" s="5">
        <v>0</v>
      </c>
      <c r="AB349" s="5">
        <v>0</v>
      </c>
      <c r="AC349" s="5">
        <v>0</v>
      </c>
      <c r="AD349" s="5">
        <v>1288</v>
      </c>
      <c r="AE349" s="5">
        <v>1005.8103518103098</v>
      </c>
      <c r="AF349" s="5">
        <v>0</v>
      </c>
      <c r="AG349" s="454"/>
      <c r="AH349" s="5">
        <v>1231.6760889576167</v>
      </c>
      <c r="AI349" s="5">
        <v>0</v>
      </c>
      <c r="AJ349" s="5"/>
      <c r="AK349" s="5">
        <v>247.923960603175</v>
      </c>
      <c r="AL349" s="5">
        <v>1405</v>
      </c>
      <c r="AM349" s="5"/>
      <c r="AN349" s="5">
        <v>0</v>
      </c>
      <c r="AO349" s="5">
        <v>0</v>
      </c>
      <c r="AP349" s="5"/>
      <c r="AQ349" s="5">
        <v>0</v>
      </c>
      <c r="AR349" s="5">
        <v>0</v>
      </c>
      <c r="AS349" s="5"/>
      <c r="AT349" s="5">
        <v>1362.3565028001958</v>
      </c>
      <c r="AU349" s="5">
        <v>0</v>
      </c>
      <c r="AV349" s="5"/>
      <c r="AW349" s="5">
        <v>87.510999999999996</v>
      </c>
      <c r="AX349" s="5">
        <v>0</v>
      </c>
      <c r="AY349" s="5"/>
      <c r="AZ349" s="5">
        <v>1967</v>
      </c>
      <c r="BA349" s="5">
        <v>1405</v>
      </c>
      <c r="BB349" s="5">
        <v>-562</v>
      </c>
      <c r="BD349" s="2">
        <v>2</v>
      </c>
      <c r="BF349" s="787">
        <v>4.24</v>
      </c>
      <c r="BG349" s="325">
        <v>150000862</v>
      </c>
    </row>
    <row r="350" spans="1:59" ht="24.9" customHeight="1" x14ac:dyDescent="0.3">
      <c r="A350" s="325">
        <v>150000863</v>
      </c>
      <c r="B350" s="445" t="s">
        <v>236</v>
      </c>
      <c r="C350" s="27">
        <v>4</v>
      </c>
      <c r="D350" s="101" t="s">
        <v>455</v>
      </c>
      <c r="E350" s="786">
        <v>3164</v>
      </c>
      <c r="F350" s="5">
        <v>1685</v>
      </c>
      <c r="G350" s="5">
        <v>2576</v>
      </c>
      <c r="H350" s="5">
        <v>890</v>
      </c>
      <c r="I350" s="5">
        <v>0</v>
      </c>
      <c r="J350" s="5">
        <v>0</v>
      </c>
      <c r="K350" s="153"/>
      <c r="L350" s="5">
        <v>0</v>
      </c>
      <c r="M350" s="5">
        <v>0</v>
      </c>
      <c r="N350" s="5"/>
      <c r="O350" s="5">
        <v>0</v>
      </c>
      <c r="P350" s="5">
        <v>0</v>
      </c>
      <c r="Q350" s="784"/>
      <c r="R350" s="5">
        <v>0</v>
      </c>
      <c r="S350" s="5">
        <v>0</v>
      </c>
      <c r="T350" s="628"/>
      <c r="U350" s="5">
        <v>0</v>
      </c>
      <c r="V350" s="5">
        <v>0</v>
      </c>
      <c r="W350" s="5">
        <v>0</v>
      </c>
      <c r="X350" s="5">
        <v>0</v>
      </c>
      <c r="Y350" s="5">
        <v>0</v>
      </c>
      <c r="Z350" s="5"/>
      <c r="AA350" s="5">
        <v>0</v>
      </c>
      <c r="AB350" s="5">
        <v>0</v>
      </c>
      <c r="AC350" s="5">
        <v>0</v>
      </c>
      <c r="AD350" s="5">
        <v>2576</v>
      </c>
      <c r="AE350" s="5">
        <v>796.37572042959471</v>
      </c>
      <c r="AF350" s="5">
        <v>0</v>
      </c>
      <c r="AG350" s="8"/>
      <c r="AH350" s="5">
        <v>987.80697415090935</v>
      </c>
      <c r="AI350" s="5">
        <v>0</v>
      </c>
      <c r="AJ350" s="5"/>
      <c r="AK350" s="5">
        <v>195.73962454772339</v>
      </c>
      <c r="AL350" s="5">
        <v>712</v>
      </c>
      <c r="AM350" s="5"/>
      <c r="AN350" s="5">
        <v>734.34159732069998</v>
      </c>
      <c r="AO350" s="5">
        <v>0</v>
      </c>
      <c r="AP350" s="5"/>
      <c r="AQ350" s="5">
        <v>0</v>
      </c>
      <c r="AR350" s="5">
        <v>0</v>
      </c>
      <c r="AS350" s="5"/>
      <c r="AT350" s="5">
        <v>900.05260641080054</v>
      </c>
      <c r="AU350" s="5">
        <v>0</v>
      </c>
      <c r="AV350" s="5"/>
      <c r="AW350" s="5">
        <v>64.047499999999999</v>
      </c>
      <c r="AX350" s="5">
        <v>0</v>
      </c>
      <c r="AY350" s="5"/>
      <c r="AZ350" s="5">
        <v>1839</v>
      </c>
      <c r="BA350" s="5">
        <v>712</v>
      </c>
      <c r="BB350" s="5">
        <v>-1128</v>
      </c>
      <c r="BD350" s="2">
        <v>2</v>
      </c>
      <c r="BF350" s="787">
        <v>3.12</v>
      </c>
      <c r="BG350" s="325">
        <v>150000863</v>
      </c>
    </row>
    <row r="351" spans="1:59" ht="24.9" customHeight="1" x14ac:dyDescent="0.3">
      <c r="A351" s="325">
        <v>150000864</v>
      </c>
      <c r="B351" s="445" t="s">
        <v>201</v>
      </c>
      <c r="C351" s="27">
        <v>3</v>
      </c>
      <c r="D351" s="101" t="s">
        <v>455</v>
      </c>
      <c r="E351" s="786">
        <v>3973.06</v>
      </c>
      <c r="F351" s="5">
        <v>2007</v>
      </c>
      <c r="G351" s="5">
        <v>0</v>
      </c>
      <c r="H351" s="5">
        <v>-2007</v>
      </c>
      <c r="I351" s="5">
        <v>0</v>
      </c>
      <c r="J351" s="5">
        <v>0</v>
      </c>
      <c r="K351" s="153"/>
      <c r="L351" s="5">
        <v>0</v>
      </c>
      <c r="M351" s="5">
        <v>0</v>
      </c>
      <c r="N351" s="5"/>
      <c r="O351" s="5">
        <v>0</v>
      </c>
      <c r="P351" s="5">
        <v>0</v>
      </c>
      <c r="Q351" s="784"/>
      <c r="R351" s="5">
        <v>0</v>
      </c>
      <c r="S351" s="5">
        <v>0</v>
      </c>
      <c r="T351" s="628"/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/>
      <c r="AA351" s="5">
        <v>0</v>
      </c>
      <c r="AB351" s="5">
        <v>0</v>
      </c>
      <c r="AC351" s="5">
        <v>0</v>
      </c>
      <c r="AD351" s="5">
        <v>0</v>
      </c>
      <c r="AE351" s="5">
        <v>732.10312052090069</v>
      </c>
      <c r="AF351" s="5">
        <v>0</v>
      </c>
      <c r="AG351" s="5"/>
      <c r="AH351" s="5">
        <v>858.14209720993949</v>
      </c>
      <c r="AI351" s="5">
        <v>0</v>
      </c>
      <c r="AJ351" s="5"/>
      <c r="AK351" s="5">
        <v>230.2625706291667</v>
      </c>
      <c r="AL351" s="5">
        <v>0</v>
      </c>
      <c r="AM351" s="5"/>
      <c r="AN351" s="5">
        <v>0</v>
      </c>
      <c r="AO351" s="5">
        <v>0</v>
      </c>
      <c r="AP351" s="5"/>
      <c r="AQ351" s="5">
        <v>0</v>
      </c>
      <c r="AR351" s="5">
        <v>0</v>
      </c>
      <c r="AS351" s="5"/>
      <c r="AT351" s="5">
        <v>1323.6601330869521</v>
      </c>
      <c r="AU351" s="5">
        <v>0</v>
      </c>
      <c r="AV351" s="5"/>
      <c r="AW351" s="5">
        <v>78.076599999999999</v>
      </c>
      <c r="AX351" s="5">
        <v>0</v>
      </c>
      <c r="AY351" s="5"/>
      <c r="AZ351" s="5">
        <v>1611</v>
      </c>
      <c r="BA351" s="5">
        <v>0</v>
      </c>
      <c r="BB351" s="5">
        <v>-1611</v>
      </c>
      <c r="BD351" s="2">
        <v>2</v>
      </c>
      <c r="BF351" s="787">
        <v>3.81</v>
      </c>
      <c r="BG351" s="325">
        <v>150000864</v>
      </c>
    </row>
    <row r="352" spans="1:59" ht="24.9" customHeight="1" x14ac:dyDescent="0.3">
      <c r="A352" s="325">
        <v>150000865</v>
      </c>
      <c r="B352" s="445" t="s">
        <v>306</v>
      </c>
      <c r="C352" s="27">
        <v>5</v>
      </c>
      <c r="D352" s="101" t="s">
        <v>455</v>
      </c>
      <c r="E352" s="786">
        <v>8958.1</v>
      </c>
      <c r="F352" s="5">
        <v>3821</v>
      </c>
      <c r="G352" s="5">
        <v>2576</v>
      </c>
      <c r="H352" s="5">
        <v>-1245</v>
      </c>
      <c r="I352" s="5">
        <v>0</v>
      </c>
      <c r="J352" s="5">
        <v>0</v>
      </c>
      <c r="K352" s="153"/>
      <c r="L352" s="5">
        <v>0</v>
      </c>
      <c r="M352" s="5">
        <v>0</v>
      </c>
      <c r="N352" s="5"/>
      <c r="O352" s="5">
        <v>0</v>
      </c>
      <c r="P352" s="5">
        <v>0</v>
      </c>
      <c r="Q352" s="784"/>
      <c r="R352" s="5">
        <v>0</v>
      </c>
      <c r="S352" s="5">
        <v>0</v>
      </c>
      <c r="T352" s="628"/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/>
      <c r="AA352" s="5">
        <v>0</v>
      </c>
      <c r="AB352" s="5">
        <v>0</v>
      </c>
      <c r="AC352" s="5">
        <v>0</v>
      </c>
      <c r="AD352" s="5">
        <v>2576</v>
      </c>
      <c r="AE352" s="5">
        <v>1809.8871422113784</v>
      </c>
      <c r="AF352" s="5">
        <v>0</v>
      </c>
      <c r="AG352" s="8"/>
      <c r="AH352" s="5">
        <v>2459.6781505567169</v>
      </c>
      <c r="AI352" s="5">
        <v>0</v>
      </c>
      <c r="AJ352" s="5"/>
      <c r="AK352" s="5">
        <v>571.55887262667693</v>
      </c>
      <c r="AL352" s="5">
        <v>731</v>
      </c>
      <c r="AM352" s="5"/>
      <c r="AN352" s="5">
        <v>0</v>
      </c>
      <c r="AO352" s="5">
        <v>0</v>
      </c>
      <c r="AP352" s="5"/>
      <c r="AQ352" s="5">
        <v>0</v>
      </c>
      <c r="AR352" s="5">
        <v>0</v>
      </c>
      <c r="AS352" s="5"/>
      <c r="AT352" s="5">
        <v>3044.0791462527659</v>
      </c>
      <c r="AU352" s="5">
        <v>0</v>
      </c>
      <c r="AV352" s="5"/>
      <c r="AW352" s="5">
        <v>183.70439999999999</v>
      </c>
      <c r="AX352" s="5">
        <v>0</v>
      </c>
      <c r="AY352" s="5"/>
      <c r="AZ352" s="5">
        <v>4034</v>
      </c>
      <c r="BA352" s="5">
        <v>731</v>
      </c>
      <c r="BB352" s="5">
        <v>-3303</v>
      </c>
      <c r="BD352" s="2">
        <v>2</v>
      </c>
      <c r="BF352" s="787">
        <v>13.54</v>
      </c>
      <c r="BG352" s="325">
        <v>150000865</v>
      </c>
    </row>
    <row r="353" spans="1:59" ht="24.9" customHeight="1" x14ac:dyDescent="0.3">
      <c r="A353" s="325">
        <v>150000873</v>
      </c>
      <c r="B353" s="445" t="s">
        <v>307</v>
      </c>
      <c r="C353" s="27">
        <v>5</v>
      </c>
      <c r="D353" s="101" t="s">
        <v>455</v>
      </c>
      <c r="E353" s="786">
        <v>2609.52</v>
      </c>
      <c r="F353" s="5">
        <v>1126</v>
      </c>
      <c r="G353" s="5">
        <v>0</v>
      </c>
      <c r="H353" s="5">
        <v>-1126</v>
      </c>
      <c r="I353" s="5">
        <v>0</v>
      </c>
      <c r="J353" s="5">
        <v>0</v>
      </c>
      <c r="K353" s="153"/>
      <c r="L353" s="5">
        <v>0</v>
      </c>
      <c r="M353" s="5">
        <v>0</v>
      </c>
      <c r="N353" s="5"/>
      <c r="O353" s="5">
        <v>0</v>
      </c>
      <c r="P353" s="5">
        <v>0</v>
      </c>
      <c r="Q353" s="784"/>
      <c r="R353" s="5">
        <v>0</v>
      </c>
      <c r="S353" s="5">
        <v>0</v>
      </c>
      <c r="T353" s="628"/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/>
      <c r="AA353" s="5">
        <v>0</v>
      </c>
      <c r="AB353" s="5">
        <v>0</v>
      </c>
      <c r="AC353" s="5">
        <v>0</v>
      </c>
      <c r="AD353" s="5">
        <v>0</v>
      </c>
      <c r="AE353" s="5">
        <v>572.15442930114023</v>
      </c>
      <c r="AF353" s="5">
        <v>0</v>
      </c>
      <c r="AG353" s="5"/>
      <c r="AH353" s="5">
        <v>742.10084566494265</v>
      </c>
      <c r="AI353" s="5">
        <v>0</v>
      </c>
      <c r="AJ353" s="5"/>
      <c r="AK353" s="5">
        <v>160.47395360937</v>
      </c>
      <c r="AL353" s="5">
        <v>756</v>
      </c>
      <c r="AM353" s="5"/>
      <c r="AN353" s="5">
        <v>0</v>
      </c>
      <c r="AO353" s="5">
        <v>0</v>
      </c>
      <c r="AP353" s="5"/>
      <c r="AQ353" s="5">
        <v>0</v>
      </c>
      <c r="AR353" s="5">
        <v>0</v>
      </c>
      <c r="AS353" s="5"/>
      <c r="AT353" s="5">
        <v>355.95424280461259</v>
      </c>
      <c r="AU353" s="5">
        <v>0</v>
      </c>
      <c r="AV353" s="5"/>
      <c r="AW353" s="5">
        <v>52.0946</v>
      </c>
      <c r="AX353" s="5">
        <v>0</v>
      </c>
      <c r="AY353" s="5"/>
      <c r="AZ353" s="5">
        <v>942</v>
      </c>
      <c r="BA353" s="5">
        <v>756</v>
      </c>
      <c r="BB353" s="5">
        <v>-185</v>
      </c>
      <c r="BD353" s="2">
        <v>2</v>
      </c>
      <c r="BF353" s="787">
        <v>2.54</v>
      </c>
      <c r="BG353" s="325">
        <v>150000873</v>
      </c>
    </row>
    <row r="354" spans="1:59" ht="24.9" customHeight="1" x14ac:dyDescent="0.3">
      <c r="A354" s="325">
        <v>150000874</v>
      </c>
      <c r="B354" s="445" t="s">
        <v>308</v>
      </c>
      <c r="C354" s="27">
        <v>5</v>
      </c>
      <c r="D354" s="101" t="s">
        <v>455</v>
      </c>
      <c r="E354" s="786">
        <v>2619.3000000000002</v>
      </c>
      <c r="F354" s="5">
        <v>1110</v>
      </c>
      <c r="G354" s="5">
        <v>1626</v>
      </c>
      <c r="H354" s="5">
        <v>-1110</v>
      </c>
      <c r="I354" s="5">
        <v>10</v>
      </c>
      <c r="J354" s="5">
        <v>1626</v>
      </c>
      <c r="K354" s="153"/>
      <c r="L354" s="5">
        <v>0</v>
      </c>
      <c r="M354" s="5">
        <v>0</v>
      </c>
      <c r="N354" s="5"/>
      <c r="O354" s="5">
        <v>0</v>
      </c>
      <c r="P354" s="5">
        <v>0</v>
      </c>
      <c r="Q354" s="784"/>
      <c r="R354" s="5">
        <v>0</v>
      </c>
      <c r="S354" s="5">
        <v>0</v>
      </c>
      <c r="T354" s="628"/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/>
      <c r="AA354" s="5">
        <v>0</v>
      </c>
      <c r="AB354" s="5">
        <v>0</v>
      </c>
      <c r="AC354" s="5">
        <v>0</v>
      </c>
      <c r="AD354" s="5">
        <v>0</v>
      </c>
      <c r="AE354" s="5">
        <v>555.59654565945971</v>
      </c>
      <c r="AF354" s="5">
        <v>0</v>
      </c>
      <c r="AG354" s="5"/>
      <c r="AH354" s="5">
        <v>742.10084566494265</v>
      </c>
      <c r="AI354" s="5">
        <v>0</v>
      </c>
      <c r="AJ354" s="5"/>
      <c r="AK354" s="5">
        <v>146.45494658457</v>
      </c>
      <c r="AL354" s="5">
        <v>0</v>
      </c>
      <c r="AM354" s="5"/>
      <c r="AN354" s="5">
        <v>475.70937916535399</v>
      </c>
      <c r="AO354" s="5">
        <v>0</v>
      </c>
      <c r="AP354" s="5"/>
      <c r="AQ354" s="5">
        <v>284.47168378366155</v>
      </c>
      <c r="AR354" s="5">
        <v>0</v>
      </c>
      <c r="AS354" s="5"/>
      <c r="AT354" s="5">
        <v>355.95424898960528</v>
      </c>
      <c r="AU354" s="5">
        <v>0</v>
      </c>
      <c r="AV354" s="5"/>
      <c r="AW354" s="5">
        <v>45.790999999999997</v>
      </c>
      <c r="AX354" s="5">
        <v>0</v>
      </c>
      <c r="AY354" s="5"/>
      <c r="AZ354" s="5">
        <v>1303</v>
      </c>
      <c r="BA354" s="5">
        <v>0</v>
      </c>
      <c r="BB354" s="5">
        <v>-1303</v>
      </c>
      <c r="BD354" s="2">
        <v>2</v>
      </c>
      <c r="BF354" s="787">
        <v>2.2200000000000002</v>
      </c>
      <c r="BG354" s="325">
        <v>150000874</v>
      </c>
    </row>
    <row r="355" spans="1:59" ht="24.9" customHeight="1" x14ac:dyDescent="0.3">
      <c r="A355" s="325">
        <v>150000866</v>
      </c>
      <c r="B355" s="445" t="s">
        <v>309</v>
      </c>
      <c r="C355" s="27">
        <v>5</v>
      </c>
      <c r="D355" s="101" t="s">
        <v>455</v>
      </c>
      <c r="E355" s="786">
        <v>5026.5</v>
      </c>
      <c r="F355" s="5">
        <v>2196</v>
      </c>
      <c r="G355" s="5">
        <v>6023</v>
      </c>
      <c r="H355" s="5">
        <v>3828</v>
      </c>
      <c r="I355" s="5">
        <v>0</v>
      </c>
      <c r="J355" s="5">
        <v>0</v>
      </c>
      <c r="K355" s="153"/>
      <c r="L355" s="5">
        <v>0</v>
      </c>
      <c r="M355" s="5">
        <v>0</v>
      </c>
      <c r="N355" s="788"/>
      <c r="O355" s="5">
        <v>0</v>
      </c>
      <c r="P355" s="5">
        <v>0</v>
      </c>
      <c r="Q355" s="784"/>
      <c r="R355" s="5">
        <v>0</v>
      </c>
      <c r="S355" s="5">
        <v>0</v>
      </c>
      <c r="T355" s="628"/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/>
      <c r="AA355" s="5">
        <v>0</v>
      </c>
      <c r="AB355" s="5">
        <v>0</v>
      </c>
      <c r="AC355" s="5">
        <v>0</v>
      </c>
      <c r="AD355" s="5">
        <v>6023</v>
      </c>
      <c r="AE355" s="5">
        <v>1221.6925154153973</v>
      </c>
      <c r="AF355" s="5">
        <v>0</v>
      </c>
      <c r="AG355" s="5"/>
      <c r="AH355" s="5">
        <v>1471.8711764058075</v>
      </c>
      <c r="AI355" s="5">
        <v>0</v>
      </c>
      <c r="AJ355" s="5"/>
      <c r="AK355" s="5">
        <v>287.81059909407332</v>
      </c>
      <c r="AL355" s="5">
        <v>0</v>
      </c>
      <c r="AM355" s="5"/>
      <c r="AN355" s="5">
        <v>0</v>
      </c>
      <c r="AO355" s="5">
        <v>0</v>
      </c>
      <c r="AP355" s="5"/>
      <c r="AQ355" s="5">
        <v>0</v>
      </c>
      <c r="AR355" s="5">
        <v>0</v>
      </c>
      <c r="AS355" s="5"/>
      <c r="AT355" s="5">
        <v>1163.9696978329785</v>
      </c>
      <c r="AU355" s="5">
        <v>0</v>
      </c>
      <c r="AV355" s="5"/>
      <c r="AW355" s="5">
        <v>167.51464619712294</v>
      </c>
      <c r="AX355" s="5">
        <v>0</v>
      </c>
      <c r="AY355" s="5"/>
      <c r="AZ355" s="5">
        <v>2156</v>
      </c>
      <c r="BA355" s="5">
        <v>0</v>
      </c>
      <c r="BB355" s="5">
        <v>-2156</v>
      </c>
      <c r="BD355" s="2">
        <v>1</v>
      </c>
      <c r="BF355" s="787">
        <v>28.27</v>
      </c>
      <c r="BG355" s="325">
        <v>150000866</v>
      </c>
    </row>
    <row r="356" spans="1:59" ht="24.9" customHeight="1" x14ac:dyDescent="0.3">
      <c r="A356" s="325">
        <v>150000867</v>
      </c>
      <c r="B356" s="445" t="s">
        <v>310</v>
      </c>
      <c r="C356" s="27">
        <v>5</v>
      </c>
      <c r="D356" s="101" t="s">
        <v>455</v>
      </c>
      <c r="E356" s="786">
        <v>2840.51</v>
      </c>
      <c r="F356" s="5">
        <v>1126</v>
      </c>
      <c r="G356" s="5">
        <v>1724</v>
      </c>
      <c r="H356" s="5">
        <v>597</v>
      </c>
      <c r="I356" s="5">
        <v>0</v>
      </c>
      <c r="J356" s="5">
        <v>0</v>
      </c>
      <c r="K356" s="153"/>
      <c r="L356" s="5">
        <v>0</v>
      </c>
      <c r="M356" s="5">
        <v>0</v>
      </c>
      <c r="N356" s="5"/>
      <c r="O356" s="5">
        <v>0</v>
      </c>
      <c r="P356" s="5">
        <v>0</v>
      </c>
      <c r="Q356" s="784"/>
      <c r="R356" s="5">
        <v>0</v>
      </c>
      <c r="S356" s="5">
        <v>0</v>
      </c>
      <c r="T356" s="628"/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/>
      <c r="AA356" s="5">
        <v>0</v>
      </c>
      <c r="AB356" s="5">
        <v>0</v>
      </c>
      <c r="AC356" s="5">
        <v>0</v>
      </c>
      <c r="AD356" s="5">
        <v>1724</v>
      </c>
      <c r="AE356" s="5">
        <v>585.73208828846259</v>
      </c>
      <c r="AF356" s="5">
        <v>412</v>
      </c>
      <c r="AG356" s="5"/>
      <c r="AH356" s="5">
        <v>754.4313605890195</v>
      </c>
      <c r="AI356" s="5">
        <v>0</v>
      </c>
      <c r="AJ356" s="5"/>
      <c r="AK356" s="5">
        <v>186.44981505766</v>
      </c>
      <c r="AL356" s="5">
        <v>0</v>
      </c>
      <c r="AM356" s="5"/>
      <c r="AN356" s="5">
        <v>0</v>
      </c>
      <c r="AO356" s="5">
        <v>0</v>
      </c>
      <c r="AP356" s="5"/>
      <c r="AQ356" s="5">
        <v>0</v>
      </c>
      <c r="AR356" s="5">
        <v>0</v>
      </c>
      <c r="AS356" s="5"/>
      <c r="AT356" s="5">
        <v>380.21424134425069</v>
      </c>
      <c r="AU356" s="5">
        <v>0</v>
      </c>
      <c r="AV356" s="5"/>
      <c r="AW356" s="5">
        <v>83.93613147154646</v>
      </c>
      <c r="AX356" s="5">
        <v>0</v>
      </c>
      <c r="AY356" s="5"/>
      <c r="AZ356" s="5">
        <v>996</v>
      </c>
      <c r="BA356" s="5">
        <v>412</v>
      </c>
      <c r="BB356" s="5">
        <v>-584</v>
      </c>
      <c r="BD356" s="2">
        <v>1</v>
      </c>
      <c r="BF356" s="787">
        <v>15.97</v>
      </c>
      <c r="BG356" s="325">
        <v>150000867</v>
      </c>
    </row>
    <row r="357" spans="1:59" ht="24.9" customHeight="1" x14ac:dyDescent="0.3">
      <c r="A357" s="325">
        <v>150000868</v>
      </c>
      <c r="B357" s="445" t="s">
        <v>311</v>
      </c>
      <c r="C357" s="27">
        <v>5</v>
      </c>
      <c r="D357" s="101" t="s">
        <v>455</v>
      </c>
      <c r="E357" s="786">
        <v>3295.38</v>
      </c>
      <c r="F357" s="5">
        <v>1496</v>
      </c>
      <c r="G357" s="5">
        <v>973</v>
      </c>
      <c r="H357" s="5">
        <v>-1496</v>
      </c>
      <c r="I357" s="5">
        <v>0</v>
      </c>
      <c r="J357" s="5">
        <v>973</v>
      </c>
      <c r="K357" s="153"/>
      <c r="L357" s="5">
        <v>0</v>
      </c>
      <c r="M357" s="5">
        <v>0</v>
      </c>
      <c r="N357" s="5"/>
      <c r="O357" s="5">
        <v>0</v>
      </c>
      <c r="P357" s="5">
        <v>0</v>
      </c>
      <c r="Q357" s="784"/>
      <c r="R357" s="5">
        <v>0</v>
      </c>
      <c r="S357" s="5">
        <v>0</v>
      </c>
      <c r="T357" s="628"/>
      <c r="U357" s="5">
        <v>0</v>
      </c>
      <c r="V357" s="8">
        <v>0</v>
      </c>
      <c r="W357" s="5">
        <v>0</v>
      </c>
      <c r="X357" s="5">
        <v>0</v>
      </c>
      <c r="Y357" s="5">
        <v>0</v>
      </c>
      <c r="Z357" s="5"/>
      <c r="AA357" s="5">
        <v>0</v>
      </c>
      <c r="AB357" s="5">
        <v>0</v>
      </c>
      <c r="AC357" s="5">
        <v>0</v>
      </c>
      <c r="AD357" s="5">
        <v>0</v>
      </c>
      <c r="AE357" s="5">
        <v>741.90946070416942</v>
      </c>
      <c r="AF357" s="5">
        <v>0</v>
      </c>
      <c r="AG357" s="5"/>
      <c r="AH357" s="5">
        <v>985.69803918618118</v>
      </c>
      <c r="AI357" s="5">
        <v>0</v>
      </c>
      <c r="AJ357" s="454"/>
      <c r="AK357" s="5">
        <v>195.69263374017828</v>
      </c>
      <c r="AL357" s="5">
        <v>0</v>
      </c>
      <c r="AM357" s="5"/>
      <c r="AN357" s="5">
        <v>0</v>
      </c>
      <c r="AO357" s="5">
        <v>0</v>
      </c>
      <c r="AP357" s="5"/>
      <c r="AQ357" s="5">
        <v>0</v>
      </c>
      <c r="AR357" s="5">
        <v>0</v>
      </c>
      <c r="AS357" s="5"/>
      <c r="AT357" s="5">
        <v>575.7051752724019</v>
      </c>
      <c r="AU357" s="5">
        <v>0</v>
      </c>
      <c r="AV357" s="463"/>
      <c r="AW357" s="5">
        <v>75.616690404178101</v>
      </c>
      <c r="AX357" s="5">
        <v>0</v>
      </c>
      <c r="AY357" s="5"/>
      <c r="AZ357" s="5">
        <v>1287</v>
      </c>
      <c r="BA357" s="5">
        <v>0</v>
      </c>
      <c r="BB357" s="5">
        <v>-1287</v>
      </c>
      <c r="BD357" s="2">
        <v>1</v>
      </c>
      <c r="BF357" s="787">
        <v>18.54</v>
      </c>
      <c r="BG357" s="325">
        <v>150000868</v>
      </c>
    </row>
    <row r="358" spans="1:59" ht="24.9" customHeight="1" x14ac:dyDescent="0.3">
      <c r="A358" s="325">
        <v>150000869</v>
      </c>
      <c r="B358" s="445" t="s">
        <v>312</v>
      </c>
      <c r="C358" s="27">
        <v>5</v>
      </c>
      <c r="D358" s="101" t="s">
        <v>455</v>
      </c>
      <c r="E358" s="786">
        <v>5715.29</v>
      </c>
      <c r="F358" s="5">
        <v>3689</v>
      </c>
      <c r="G358" s="5">
        <v>0</v>
      </c>
      <c r="H358" s="5">
        <v>-3689</v>
      </c>
      <c r="I358" s="5">
        <v>0</v>
      </c>
      <c r="J358" s="5">
        <v>0</v>
      </c>
      <c r="K358" s="153"/>
      <c r="L358" s="5">
        <v>0</v>
      </c>
      <c r="M358" s="5">
        <v>0</v>
      </c>
      <c r="N358" s="467"/>
      <c r="O358" s="5">
        <v>0</v>
      </c>
      <c r="P358" s="5">
        <v>0</v>
      </c>
      <c r="Q358" s="784"/>
      <c r="R358" s="5">
        <v>0</v>
      </c>
      <c r="S358" s="5">
        <v>0</v>
      </c>
      <c r="T358" s="628"/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/>
      <c r="AA358" s="5">
        <v>0</v>
      </c>
      <c r="AB358" s="5">
        <v>0</v>
      </c>
      <c r="AC358" s="5">
        <v>0</v>
      </c>
      <c r="AD358" s="5">
        <v>0</v>
      </c>
      <c r="AE358" s="5">
        <v>1265.877241967924</v>
      </c>
      <c r="AF358" s="5">
        <v>412</v>
      </c>
      <c r="AG358" s="5"/>
      <c r="AH358" s="5">
        <v>1725.705948589135</v>
      </c>
      <c r="AI358" s="5">
        <v>0</v>
      </c>
      <c r="AJ358" s="454"/>
      <c r="AK358" s="5">
        <v>318.41725887520499</v>
      </c>
      <c r="AL358" s="5">
        <v>0</v>
      </c>
      <c r="AM358" s="5"/>
      <c r="AN358" s="5">
        <v>1057.798907153383</v>
      </c>
      <c r="AO358" s="5">
        <v>0</v>
      </c>
      <c r="AP358" s="5"/>
      <c r="AQ358" s="5">
        <v>664.45514833318111</v>
      </c>
      <c r="AR358" s="5">
        <v>1318</v>
      </c>
      <c r="AS358" s="5"/>
      <c r="AT358" s="5">
        <v>1636.0837698558898</v>
      </c>
      <c r="AU358" s="5">
        <v>0</v>
      </c>
      <c r="AV358" s="8"/>
      <c r="AW358" s="5">
        <v>163.5344149838111</v>
      </c>
      <c r="AX358" s="5">
        <v>0</v>
      </c>
      <c r="AY358" s="5"/>
      <c r="AZ358" s="5">
        <v>3416</v>
      </c>
      <c r="BA358" s="5">
        <v>1730</v>
      </c>
      <c r="BB358" s="5">
        <v>-1686</v>
      </c>
      <c r="BD358" s="2">
        <v>1</v>
      </c>
      <c r="BF358" s="787">
        <v>32.409999999999997</v>
      </c>
      <c r="BG358" s="325">
        <v>150000869</v>
      </c>
    </row>
    <row r="359" spans="1:59" ht="24.9" customHeight="1" x14ac:dyDescent="0.3">
      <c r="A359" s="325">
        <v>150000875</v>
      </c>
      <c r="B359" s="445" t="s">
        <v>313</v>
      </c>
      <c r="C359" s="27">
        <v>5</v>
      </c>
      <c r="D359" s="101" t="s">
        <v>455</v>
      </c>
      <c r="E359" s="786">
        <v>3190.1</v>
      </c>
      <c r="F359" s="5">
        <v>892</v>
      </c>
      <c r="G359" s="5">
        <v>1423</v>
      </c>
      <c r="H359" s="5">
        <v>-892</v>
      </c>
      <c r="I359" s="5">
        <v>0</v>
      </c>
      <c r="J359" s="5">
        <v>329</v>
      </c>
      <c r="K359" s="153"/>
      <c r="L359" s="5">
        <v>0</v>
      </c>
      <c r="M359" s="5">
        <v>0</v>
      </c>
      <c r="N359" s="5"/>
      <c r="O359" s="5">
        <v>0</v>
      </c>
      <c r="P359" s="5">
        <v>0</v>
      </c>
      <c r="Q359" s="784"/>
      <c r="R359" s="5">
        <v>0</v>
      </c>
      <c r="S359" s="5">
        <v>0</v>
      </c>
      <c r="T359" s="628"/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/>
      <c r="AA359" s="5">
        <v>0</v>
      </c>
      <c r="AB359" s="5">
        <v>0</v>
      </c>
      <c r="AC359" s="5">
        <v>288</v>
      </c>
      <c r="AD359" s="5">
        <v>806</v>
      </c>
      <c r="AE359" s="5">
        <v>788.0978671149735</v>
      </c>
      <c r="AF359" s="5">
        <v>0</v>
      </c>
      <c r="AG359" s="5"/>
      <c r="AH359" s="5">
        <v>1107.836552712743</v>
      </c>
      <c r="AI359" s="5">
        <v>0</v>
      </c>
      <c r="AJ359" s="5"/>
      <c r="AK359" s="5">
        <v>213.85964645731332</v>
      </c>
      <c r="AL359" s="5">
        <v>0</v>
      </c>
      <c r="AM359" s="5"/>
      <c r="AN359" s="5">
        <v>0</v>
      </c>
      <c r="AO359" s="5">
        <v>0</v>
      </c>
      <c r="AP359" s="5"/>
      <c r="AQ359" s="5">
        <v>0</v>
      </c>
      <c r="AR359" s="5">
        <v>0</v>
      </c>
      <c r="AS359" s="5"/>
      <c r="AT359" s="5">
        <v>564.05700268246233</v>
      </c>
      <c r="AU359" s="5">
        <v>0</v>
      </c>
      <c r="AV359" s="5"/>
      <c r="AW359" s="5">
        <v>141.58029660741727</v>
      </c>
      <c r="AX359" s="5">
        <v>0</v>
      </c>
      <c r="AY359" s="5"/>
      <c r="AZ359" s="5">
        <v>1407</v>
      </c>
      <c r="BA359" s="5">
        <v>0</v>
      </c>
      <c r="BB359" s="5">
        <v>-1407</v>
      </c>
      <c r="BD359" s="2">
        <v>1</v>
      </c>
      <c r="BF359" s="787">
        <v>17.940000000000001</v>
      </c>
      <c r="BG359" s="325">
        <v>150000875</v>
      </c>
    </row>
    <row r="360" spans="1:59" ht="24.9" customHeight="1" x14ac:dyDescent="0.3">
      <c r="A360" s="325">
        <v>150000871</v>
      </c>
      <c r="B360" s="445" t="s">
        <v>141</v>
      </c>
      <c r="C360" s="27">
        <v>1</v>
      </c>
      <c r="D360" s="101" t="s">
        <v>455</v>
      </c>
      <c r="E360" s="786">
        <v>152.6</v>
      </c>
      <c r="F360" s="5">
        <v>84</v>
      </c>
      <c r="G360" s="5">
        <v>0</v>
      </c>
      <c r="H360" s="5">
        <v>-84</v>
      </c>
      <c r="I360" s="5">
        <v>0</v>
      </c>
      <c r="J360" s="5">
        <v>0</v>
      </c>
      <c r="K360" s="153"/>
      <c r="L360" s="5">
        <v>0</v>
      </c>
      <c r="M360" s="5">
        <v>0</v>
      </c>
      <c r="N360" s="5"/>
      <c r="O360" s="5">
        <v>0</v>
      </c>
      <c r="P360" s="5">
        <v>0</v>
      </c>
      <c r="Q360" s="784"/>
      <c r="R360" s="5">
        <v>0</v>
      </c>
      <c r="S360" s="5">
        <v>0</v>
      </c>
      <c r="T360" s="628"/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/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/>
      <c r="AH360" s="5">
        <v>0</v>
      </c>
      <c r="AI360" s="5">
        <v>0</v>
      </c>
      <c r="AJ360" s="5"/>
      <c r="AK360" s="5">
        <v>0</v>
      </c>
      <c r="AL360" s="5">
        <v>0</v>
      </c>
      <c r="AM360" s="5"/>
      <c r="AN360" s="5">
        <v>0</v>
      </c>
      <c r="AO360" s="5">
        <v>0</v>
      </c>
      <c r="AP360" s="5"/>
      <c r="AQ360" s="5">
        <v>0</v>
      </c>
      <c r="AR360" s="5">
        <v>0</v>
      </c>
      <c r="AS360" s="5"/>
      <c r="AT360" s="5">
        <v>0</v>
      </c>
      <c r="AU360" s="5">
        <v>0</v>
      </c>
      <c r="AV360" s="5"/>
      <c r="AW360" s="5">
        <v>2.48</v>
      </c>
      <c r="AX360" s="5">
        <v>0</v>
      </c>
      <c r="AY360" s="5"/>
      <c r="AZ360" s="5">
        <v>1</v>
      </c>
      <c r="BA360" s="5">
        <v>0</v>
      </c>
      <c r="BB360" s="5">
        <v>-1</v>
      </c>
      <c r="BD360" s="2">
        <v>2</v>
      </c>
      <c r="BF360" s="787">
        <v>0</v>
      </c>
      <c r="BG360" s="325">
        <v>150000871</v>
      </c>
    </row>
    <row r="361" spans="1:59" ht="24.9" customHeight="1" x14ac:dyDescent="0.3">
      <c r="A361" s="325">
        <v>150000886</v>
      </c>
      <c r="B361" s="445" t="s">
        <v>397</v>
      </c>
      <c r="C361" s="27">
        <v>9</v>
      </c>
      <c r="D361" s="101" t="s">
        <v>455</v>
      </c>
      <c r="E361" s="786">
        <v>2133.27</v>
      </c>
      <c r="F361" s="5">
        <v>1402</v>
      </c>
      <c r="G361" s="5">
        <v>4306</v>
      </c>
      <c r="H361" s="5">
        <v>-1402</v>
      </c>
      <c r="I361" s="5">
        <v>0</v>
      </c>
      <c r="J361" s="5">
        <v>0</v>
      </c>
      <c r="K361" s="153"/>
      <c r="L361" s="5">
        <v>0</v>
      </c>
      <c r="M361" s="5">
        <v>0</v>
      </c>
      <c r="N361" s="5"/>
      <c r="O361" s="5">
        <v>0</v>
      </c>
      <c r="P361" s="5">
        <v>0</v>
      </c>
      <c r="Q361" s="784"/>
      <c r="R361" s="5">
        <v>1</v>
      </c>
      <c r="S361" s="5">
        <v>879</v>
      </c>
      <c r="T361" s="789"/>
      <c r="U361" s="5">
        <v>0</v>
      </c>
      <c r="V361" s="5">
        <v>0</v>
      </c>
      <c r="W361" s="5">
        <v>0</v>
      </c>
      <c r="X361" s="5">
        <v>0</v>
      </c>
      <c r="Y361" s="5">
        <v>3427</v>
      </c>
      <c r="Z361" s="5"/>
      <c r="AA361" s="5">
        <v>0</v>
      </c>
      <c r="AB361" s="5">
        <v>0</v>
      </c>
      <c r="AC361" s="5">
        <v>0</v>
      </c>
      <c r="AD361" s="5">
        <v>0</v>
      </c>
      <c r="AE361" s="5">
        <v>419.86724230063817</v>
      </c>
      <c r="AF361" s="5">
        <v>0</v>
      </c>
      <c r="AG361" s="454"/>
      <c r="AH361" s="5">
        <v>425.88227108289789</v>
      </c>
      <c r="AI361" s="5">
        <v>1153</v>
      </c>
      <c r="AJ361" s="454"/>
      <c r="AK361" s="5">
        <v>155.83806897577671</v>
      </c>
      <c r="AL361" s="5">
        <v>0</v>
      </c>
      <c r="AM361" s="5"/>
      <c r="AN361" s="5">
        <v>497.81304290334197</v>
      </c>
      <c r="AO361" s="5">
        <v>0</v>
      </c>
      <c r="AP361" s="5"/>
      <c r="AQ361" s="5">
        <v>208.49194222289759</v>
      </c>
      <c r="AR361" s="5">
        <v>0</v>
      </c>
      <c r="AS361" s="5"/>
      <c r="AT361" s="5">
        <v>190.39038601534469</v>
      </c>
      <c r="AU361" s="5">
        <v>0</v>
      </c>
      <c r="AV361" s="5"/>
      <c r="AW361" s="5">
        <v>42.332700000000003</v>
      </c>
      <c r="AX361" s="5">
        <v>0</v>
      </c>
      <c r="AY361" s="5"/>
      <c r="AZ361" s="5">
        <v>971</v>
      </c>
      <c r="BA361" s="5">
        <v>0</v>
      </c>
      <c r="BB361" s="5">
        <v>-971</v>
      </c>
      <c r="BD361" s="2">
        <v>2</v>
      </c>
      <c r="BF361" s="787">
        <v>2.08</v>
      </c>
      <c r="BG361" s="325">
        <v>150000886</v>
      </c>
    </row>
    <row r="362" spans="1:59" ht="24.9" customHeight="1" x14ac:dyDescent="0.3">
      <c r="A362" s="325">
        <v>150000887</v>
      </c>
      <c r="B362" s="445" t="s">
        <v>398</v>
      </c>
      <c r="C362" s="27">
        <v>9</v>
      </c>
      <c r="D362" s="101" t="s">
        <v>455</v>
      </c>
      <c r="E362" s="786">
        <v>6420.63</v>
      </c>
      <c r="F362" s="5">
        <v>3908</v>
      </c>
      <c r="G362" s="5">
        <v>968</v>
      </c>
      <c r="H362" s="5">
        <v>-3426</v>
      </c>
      <c r="I362" s="5">
        <v>0</v>
      </c>
      <c r="J362" s="5">
        <v>0</v>
      </c>
      <c r="K362" s="593"/>
      <c r="L362" s="5">
        <v>0</v>
      </c>
      <c r="M362" s="5">
        <v>0</v>
      </c>
      <c r="N362" s="788"/>
      <c r="O362" s="5">
        <v>0</v>
      </c>
      <c r="P362" s="5">
        <v>0</v>
      </c>
      <c r="Q362" s="784"/>
      <c r="R362" s="5">
        <v>1</v>
      </c>
      <c r="S362" s="5">
        <v>968</v>
      </c>
      <c r="T362" s="628"/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/>
      <c r="AA362" s="5">
        <v>0</v>
      </c>
      <c r="AB362" s="5">
        <v>0</v>
      </c>
      <c r="AC362" s="5">
        <v>0</v>
      </c>
      <c r="AD362" s="5">
        <v>0</v>
      </c>
      <c r="AE362" s="5">
        <v>1450.2405924338377</v>
      </c>
      <c r="AF362" s="5">
        <v>0</v>
      </c>
      <c r="AG362" s="8"/>
      <c r="AH362" s="5">
        <v>1566.0154526487916</v>
      </c>
      <c r="AI362" s="5">
        <v>0</v>
      </c>
      <c r="AJ362" s="8"/>
      <c r="AK362" s="5">
        <v>500.23104434358902</v>
      </c>
      <c r="AL362" s="5">
        <v>0</v>
      </c>
      <c r="AM362" s="8"/>
      <c r="AN362" s="5">
        <v>1341.7216803315659</v>
      </c>
      <c r="AO362" s="5">
        <v>0</v>
      </c>
      <c r="AP362" s="5"/>
      <c r="AQ362" s="5">
        <v>626.45466780048014</v>
      </c>
      <c r="AR362" s="5">
        <v>0</v>
      </c>
      <c r="AS362" s="8"/>
      <c r="AT362" s="5">
        <v>917.68367555726718</v>
      </c>
      <c r="AU362" s="5">
        <v>0</v>
      </c>
      <c r="AV362" s="5"/>
      <c r="AW362" s="5">
        <v>128.21559999999999</v>
      </c>
      <c r="AX362" s="5">
        <v>0</v>
      </c>
      <c r="AY362" s="5"/>
      <c r="AZ362" s="5">
        <v>3266</v>
      </c>
      <c r="BA362" s="5">
        <v>0</v>
      </c>
      <c r="BB362" s="5">
        <v>-3266</v>
      </c>
      <c r="BD362" s="2">
        <v>2</v>
      </c>
      <c r="BF362" s="787">
        <v>6.26</v>
      </c>
      <c r="BG362" s="325">
        <v>150000887</v>
      </c>
    </row>
    <row r="363" spans="1:59" ht="24.9" customHeight="1" x14ac:dyDescent="0.3">
      <c r="A363" s="325">
        <v>150000888</v>
      </c>
      <c r="B363" s="445" t="s">
        <v>314</v>
      </c>
      <c r="C363" s="27">
        <v>5</v>
      </c>
      <c r="D363" s="101" t="s">
        <v>455</v>
      </c>
      <c r="E363" s="786">
        <v>3374.56</v>
      </c>
      <c r="F363" s="5">
        <v>1574</v>
      </c>
      <c r="G363" s="5">
        <v>110991</v>
      </c>
      <c r="H363" s="5">
        <v>109416</v>
      </c>
      <c r="I363" s="5">
        <v>0</v>
      </c>
      <c r="J363" s="5">
        <v>0</v>
      </c>
      <c r="K363" s="153"/>
      <c r="L363" s="5">
        <v>2</v>
      </c>
      <c r="M363" s="5">
        <v>107565</v>
      </c>
      <c r="N363" s="5"/>
      <c r="O363" s="5">
        <v>0</v>
      </c>
      <c r="P363" s="5">
        <v>0</v>
      </c>
      <c r="Q363" s="784"/>
      <c r="R363" s="5">
        <v>0</v>
      </c>
      <c r="S363" s="5">
        <v>0</v>
      </c>
      <c r="T363" s="628"/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/>
      <c r="AA363" s="5">
        <v>0</v>
      </c>
      <c r="AB363" s="5">
        <v>0</v>
      </c>
      <c r="AC363" s="5">
        <v>2905</v>
      </c>
      <c r="AD363" s="5">
        <v>521</v>
      </c>
      <c r="AE363" s="5">
        <v>729.90832543074077</v>
      </c>
      <c r="AF363" s="5">
        <v>0</v>
      </c>
      <c r="AG363" s="5"/>
      <c r="AH363" s="5">
        <v>981.57372120839659</v>
      </c>
      <c r="AI363" s="5">
        <v>0</v>
      </c>
      <c r="AJ363" s="5"/>
      <c r="AK363" s="5">
        <v>245.93064006668658</v>
      </c>
      <c r="AL363" s="5">
        <v>1665</v>
      </c>
      <c r="AM363" s="5"/>
      <c r="AN363" s="5">
        <v>0</v>
      </c>
      <c r="AO363" s="5">
        <v>0</v>
      </c>
      <c r="AP363" s="5"/>
      <c r="AQ363" s="5">
        <v>0</v>
      </c>
      <c r="AR363" s="5">
        <v>0</v>
      </c>
      <c r="AS363" s="5"/>
      <c r="AT363" s="5">
        <v>564.05700243465208</v>
      </c>
      <c r="AU363" s="5">
        <v>0</v>
      </c>
      <c r="AV363" s="8"/>
      <c r="AW363" s="5">
        <v>67.749500000000012</v>
      </c>
      <c r="AX363" s="5">
        <v>0</v>
      </c>
      <c r="AY363" s="5"/>
      <c r="AZ363" s="5">
        <v>1294</v>
      </c>
      <c r="BA363" s="5">
        <v>1665</v>
      </c>
      <c r="BB363" s="5">
        <v>370</v>
      </c>
      <c r="BD363" s="2">
        <v>2</v>
      </c>
      <c r="BF363" s="787">
        <v>109.34</v>
      </c>
      <c r="BG363" s="325">
        <v>150000888</v>
      </c>
    </row>
    <row r="364" spans="1:59" ht="24.9" customHeight="1" x14ac:dyDescent="0.3">
      <c r="A364" s="325">
        <v>150000889</v>
      </c>
      <c r="B364" s="445" t="s">
        <v>428</v>
      </c>
      <c r="C364" s="27">
        <v>16</v>
      </c>
      <c r="D364" s="101" t="s">
        <v>455</v>
      </c>
      <c r="E364" s="786">
        <v>5256.18</v>
      </c>
      <c r="F364" s="5">
        <v>2588</v>
      </c>
      <c r="G364" s="5">
        <v>482</v>
      </c>
      <c r="H364" s="5">
        <v>-2107</v>
      </c>
      <c r="I364" s="5">
        <v>0</v>
      </c>
      <c r="J364" s="5">
        <v>0</v>
      </c>
      <c r="K364" s="153"/>
      <c r="L364" s="5">
        <v>0</v>
      </c>
      <c r="M364" s="5">
        <v>0</v>
      </c>
      <c r="N364" s="5"/>
      <c r="O364" s="5">
        <v>0</v>
      </c>
      <c r="P364" s="5">
        <v>0</v>
      </c>
      <c r="Q364" s="784"/>
      <c r="R364" s="5">
        <v>0</v>
      </c>
      <c r="S364" s="5">
        <v>482</v>
      </c>
      <c r="T364" s="630"/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/>
      <c r="AA364" s="5">
        <v>0</v>
      </c>
      <c r="AB364" s="5">
        <v>0</v>
      </c>
      <c r="AC364" s="5">
        <v>0</v>
      </c>
      <c r="AD364" s="5">
        <v>0</v>
      </c>
      <c r="AE364" s="5">
        <v>1426.2184979217848</v>
      </c>
      <c r="AF364" s="5">
        <v>0</v>
      </c>
      <c r="AG364" s="8"/>
      <c r="AH364" s="5">
        <v>1520.2775588475731</v>
      </c>
      <c r="AI364" s="5">
        <v>0</v>
      </c>
      <c r="AJ364" s="5"/>
      <c r="AK364" s="5">
        <v>441.701940246471</v>
      </c>
      <c r="AL364" s="5">
        <v>2186</v>
      </c>
      <c r="AM364" s="8"/>
      <c r="AN364" s="5">
        <v>1130.0814836214849</v>
      </c>
      <c r="AO364" s="5">
        <v>0</v>
      </c>
      <c r="AP364" s="5"/>
      <c r="AQ364" s="5">
        <v>474.45283662431558</v>
      </c>
      <c r="AR364" s="5">
        <v>0</v>
      </c>
      <c r="AS364" s="5"/>
      <c r="AT364" s="5">
        <v>605.85669730147492</v>
      </c>
      <c r="AU364" s="5">
        <v>0</v>
      </c>
      <c r="AV364" s="5"/>
      <c r="AW364" s="5">
        <v>0</v>
      </c>
      <c r="AX364" s="5">
        <v>0</v>
      </c>
      <c r="AY364" s="5"/>
      <c r="AZ364" s="5">
        <v>2800</v>
      </c>
      <c r="BA364" s="5">
        <v>2186</v>
      </c>
      <c r="BB364" s="5">
        <v>-614</v>
      </c>
      <c r="BD364" s="2">
        <v>2</v>
      </c>
      <c r="BF364" s="787">
        <v>5.12</v>
      </c>
      <c r="BG364" s="325">
        <v>150000889</v>
      </c>
    </row>
    <row r="365" spans="1:59" ht="24.9" customHeight="1" x14ac:dyDescent="0.3">
      <c r="A365" s="325">
        <v>150000890</v>
      </c>
      <c r="B365" s="445" t="s">
        <v>399</v>
      </c>
      <c r="C365" s="27">
        <v>9</v>
      </c>
      <c r="D365" s="101" t="s">
        <v>455</v>
      </c>
      <c r="E365" s="786">
        <v>8449.7000000000007</v>
      </c>
      <c r="F365" s="5">
        <v>5093</v>
      </c>
      <c r="G365" s="5">
        <v>19296</v>
      </c>
      <c r="H365" s="5">
        <v>8287</v>
      </c>
      <c r="I365" s="5">
        <v>0</v>
      </c>
      <c r="J365" s="5">
        <v>0</v>
      </c>
      <c r="K365" s="153"/>
      <c r="L365" s="5">
        <v>0</v>
      </c>
      <c r="M365" s="5">
        <v>0</v>
      </c>
      <c r="N365" s="788"/>
      <c r="O365" s="5">
        <v>0</v>
      </c>
      <c r="P365" s="5">
        <v>0</v>
      </c>
      <c r="Q365" s="784"/>
      <c r="R365" s="5">
        <v>1</v>
      </c>
      <c r="S365" s="5">
        <v>16366</v>
      </c>
      <c r="T365" s="628"/>
      <c r="U365" s="5">
        <v>0</v>
      </c>
      <c r="V365" s="5">
        <v>0</v>
      </c>
      <c r="W365" s="5">
        <v>0</v>
      </c>
      <c r="X365" s="5">
        <v>0</v>
      </c>
      <c r="Y365" s="5">
        <v>428</v>
      </c>
      <c r="Z365" s="5"/>
      <c r="AA365" s="5">
        <v>0</v>
      </c>
      <c r="AB365" s="5">
        <v>0</v>
      </c>
      <c r="AC365" s="5">
        <v>0</v>
      </c>
      <c r="AD365" s="5">
        <v>2502</v>
      </c>
      <c r="AE365" s="5">
        <v>1362.1651059821002</v>
      </c>
      <c r="AF365" s="5">
        <v>0</v>
      </c>
      <c r="AG365" s="8"/>
      <c r="AH365" s="5">
        <v>1778.0202735152327</v>
      </c>
      <c r="AI365" s="5">
        <v>0</v>
      </c>
      <c r="AJ365" s="5"/>
      <c r="AK365" s="5">
        <v>661.50456576125998</v>
      </c>
      <c r="AL365" s="5">
        <v>0</v>
      </c>
      <c r="AM365" s="5"/>
      <c r="AN365" s="5">
        <v>2027.6971880806491</v>
      </c>
      <c r="AO365" s="5">
        <v>0</v>
      </c>
      <c r="AP365" s="5"/>
      <c r="AQ365" s="5">
        <v>835.92545115516486</v>
      </c>
      <c r="AR365" s="5">
        <v>0</v>
      </c>
      <c r="AS365" s="5"/>
      <c r="AT365" s="5">
        <v>1420.1791500829077</v>
      </c>
      <c r="AU365" s="5">
        <v>0</v>
      </c>
      <c r="AV365" s="5"/>
      <c r="AW365" s="5">
        <v>166.22660000000002</v>
      </c>
      <c r="AX365" s="5">
        <v>0</v>
      </c>
      <c r="AY365" s="5"/>
      <c r="AZ365" s="5">
        <v>4126</v>
      </c>
      <c r="BA365" s="5">
        <v>0</v>
      </c>
      <c r="BB365" s="5">
        <v>-4126</v>
      </c>
      <c r="BD365" s="2">
        <v>2</v>
      </c>
      <c r="BF365" s="787">
        <v>80.33</v>
      </c>
      <c r="BG365" s="325">
        <v>150000890</v>
      </c>
    </row>
    <row r="366" spans="1:59" ht="24.9" customHeight="1" x14ac:dyDescent="0.3">
      <c r="A366" s="325">
        <v>150000891</v>
      </c>
      <c r="B366" s="445" t="s">
        <v>190</v>
      </c>
      <c r="C366" s="27">
        <v>2</v>
      </c>
      <c r="D366" s="101" t="s">
        <v>455</v>
      </c>
      <c r="E366" s="786">
        <v>294.26</v>
      </c>
      <c r="F366" s="5">
        <v>319</v>
      </c>
      <c r="G366" s="5">
        <v>0</v>
      </c>
      <c r="H366" s="5">
        <v>-319</v>
      </c>
      <c r="I366" s="5">
        <v>0</v>
      </c>
      <c r="J366" s="5">
        <v>0</v>
      </c>
      <c r="K366" s="153"/>
      <c r="L366" s="5">
        <v>0</v>
      </c>
      <c r="M366" s="5">
        <v>0</v>
      </c>
      <c r="N366" s="5"/>
      <c r="O366" s="5">
        <v>0</v>
      </c>
      <c r="P366" s="5">
        <v>0</v>
      </c>
      <c r="Q366" s="784"/>
      <c r="R366" s="5">
        <v>0</v>
      </c>
      <c r="S366" s="5">
        <v>0</v>
      </c>
      <c r="T366" s="628"/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/>
      <c r="AA366" s="5">
        <v>0</v>
      </c>
      <c r="AB366" s="5">
        <v>0</v>
      </c>
      <c r="AC366" s="5">
        <v>0</v>
      </c>
      <c r="AD366" s="5">
        <v>0</v>
      </c>
      <c r="AE366" s="5">
        <v>133.91529132407973</v>
      </c>
      <c r="AF366" s="5">
        <v>0</v>
      </c>
      <c r="AG366" s="5"/>
      <c r="AH366" s="5">
        <v>131.79503141033487</v>
      </c>
      <c r="AI366" s="5">
        <v>0</v>
      </c>
      <c r="AJ366" s="5"/>
      <c r="AK366" s="5">
        <v>0</v>
      </c>
      <c r="AL366" s="5">
        <v>0</v>
      </c>
      <c r="AM366" s="5"/>
      <c r="AN366" s="5">
        <v>0</v>
      </c>
      <c r="AO366" s="5">
        <v>0</v>
      </c>
      <c r="AP366" s="5"/>
      <c r="AQ366" s="5">
        <v>0</v>
      </c>
      <c r="AR366" s="5">
        <v>0</v>
      </c>
      <c r="AS366" s="5"/>
      <c r="AT366" s="5">
        <v>33.944541317419208</v>
      </c>
      <c r="AU366" s="5">
        <v>0</v>
      </c>
      <c r="AV366" s="5"/>
      <c r="AW366" s="5">
        <v>14.210599999999999</v>
      </c>
      <c r="AX366" s="5">
        <v>0</v>
      </c>
      <c r="AY366" s="5"/>
      <c r="AZ366" s="5">
        <v>157</v>
      </c>
      <c r="BA366" s="5">
        <v>0</v>
      </c>
      <c r="BB366" s="5">
        <v>-157</v>
      </c>
      <c r="BD366" s="2">
        <v>2</v>
      </c>
      <c r="BF366" s="787">
        <v>0.7</v>
      </c>
      <c r="BG366" s="325">
        <v>150000891</v>
      </c>
    </row>
    <row r="367" spans="1:59" ht="24.9" customHeight="1" x14ac:dyDescent="0.3">
      <c r="A367" s="325">
        <v>150001561</v>
      </c>
      <c r="B367" s="445" t="s">
        <v>400</v>
      </c>
      <c r="C367" s="27">
        <v>9</v>
      </c>
      <c r="D367" s="101" t="s">
        <v>455</v>
      </c>
      <c r="E367" s="786">
        <v>3511.2</v>
      </c>
      <c r="F367" s="5">
        <v>1459</v>
      </c>
      <c r="G367" s="5">
        <v>0</v>
      </c>
      <c r="H367" s="5">
        <v>-1459</v>
      </c>
      <c r="I367" s="5">
        <v>0</v>
      </c>
      <c r="J367" s="5">
        <v>0</v>
      </c>
      <c r="K367" s="153"/>
      <c r="L367" s="5">
        <v>0</v>
      </c>
      <c r="M367" s="5">
        <v>0</v>
      </c>
      <c r="N367" s="5"/>
      <c r="O367" s="5">
        <v>0</v>
      </c>
      <c r="P367" s="5">
        <v>0</v>
      </c>
      <c r="Q367" s="784"/>
      <c r="R367" s="5">
        <v>0</v>
      </c>
      <c r="S367" s="5">
        <v>0</v>
      </c>
      <c r="T367" s="628"/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/>
      <c r="AA367" s="5">
        <v>0</v>
      </c>
      <c r="AB367" s="5">
        <v>0</v>
      </c>
      <c r="AC367" s="5">
        <v>0</v>
      </c>
      <c r="AD367" s="5">
        <v>0</v>
      </c>
      <c r="AE367" s="5">
        <v>1207.623906544055</v>
      </c>
      <c r="AF367" s="5">
        <v>348</v>
      </c>
      <c r="AG367" s="5"/>
      <c r="AH367" s="5">
        <v>1332.2990494820215</v>
      </c>
      <c r="AI367" s="5">
        <v>0</v>
      </c>
      <c r="AJ367" s="5"/>
      <c r="AK367" s="5">
        <v>0</v>
      </c>
      <c r="AL367" s="5">
        <v>0</v>
      </c>
      <c r="AM367" s="5"/>
      <c r="AN367" s="5">
        <v>0</v>
      </c>
      <c r="AO367" s="5">
        <v>0</v>
      </c>
      <c r="AP367" s="5"/>
      <c r="AQ367" s="5">
        <v>142.23585705093711</v>
      </c>
      <c r="AR367" s="5">
        <v>0</v>
      </c>
      <c r="AS367" s="5"/>
      <c r="AT367" s="5">
        <v>110.12389760126823</v>
      </c>
      <c r="AU367" s="5">
        <v>0</v>
      </c>
      <c r="AV367" s="5"/>
      <c r="AW367" s="5">
        <v>70.111999999999995</v>
      </c>
      <c r="AX367" s="5">
        <v>0</v>
      </c>
      <c r="AY367" s="5"/>
      <c r="AZ367" s="5">
        <v>1431</v>
      </c>
      <c r="BA367" s="5">
        <v>348</v>
      </c>
      <c r="BB367" s="5">
        <v>-1083</v>
      </c>
      <c r="BD367" s="2">
        <v>2</v>
      </c>
      <c r="BF367" s="787">
        <v>3.42</v>
      </c>
      <c r="BG367" s="325">
        <v>150001561</v>
      </c>
    </row>
    <row r="368" spans="1:59" ht="24.9" customHeight="1" x14ac:dyDescent="0.3">
      <c r="A368" s="325">
        <v>150000892</v>
      </c>
      <c r="B368" s="445" t="s">
        <v>401</v>
      </c>
      <c r="C368" s="27">
        <v>9</v>
      </c>
      <c r="D368" s="101" t="s">
        <v>455</v>
      </c>
      <c r="E368" s="786">
        <v>4153.8999999999996</v>
      </c>
      <c r="F368" s="5">
        <v>1419</v>
      </c>
      <c r="G368" s="5">
        <v>3856</v>
      </c>
      <c r="H368" s="5">
        <v>1667</v>
      </c>
      <c r="I368" s="5">
        <v>0</v>
      </c>
      <c r="J368" s="5">
        <v>0</v>
      </c>
      <c r="K368" s="153"/>
      <c r="L368" s="5">
        <v>0</v>
      </c>
      <c r="M368" s="5">
        <v>0</v>
      </c>
      <c r="N368" s="5"/>
      <c r="O368" s="5">
        <v>0</v>
      </c>
      <c r="P368" s="5">
        <v>0</v>
      </c>
      <c r="Q368" s="784"/>
      <c r="R368" s="5">
        <v>0</v>
      </c>
      <c r="S368" s="5">
        <v>416</v>
      </c>
      <c r="T368" s="628"/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/>
      <c r="AA368" s="5">
        <v>0</v>
      </c>
      <c r="AB368" s="5">
        <v>2670</v>
      </c>
      <c r="AC368" s="5">
        <v>0</v>
      </c>
      <c r="AD368" s="5">
        <v>770</v>
      </c>
      <c r="AE368" s="5">
        <v>1065.6479493368536</v>
      </c>
      <c r="AF368" s="5">
        <v>0</v>
      </c>
      <c r="AG368" s="5"/>
      <c r="AH368" s="5">
        <v>1182.2722401460032</v>
      </c>
      <c r="AI368" s="5">
        <v>0</v>
      </c>
      <c r="AJ368" s="5"/>
      <c r="AK368" s="5">
        <v>376.37228250951</v>
      </c>
      <c r="AL368" s="5">
        <v>0</v>
      </c>
      <c r="AM368" s="5"/>
      <c r="AN368" s="5">
        <v>917.85487661207208</v>
      </c>
      <c r="AO368" s="5">
        <v>0</v>
      </c>
      <c r="AP368" s="5"/>
      <c r="AQ368" s="5">
        <v>417.96272557758289</v>
      </c>
      <c r="AR368" s="5">
        <v>22</v>
      </c>
      <c r="AS368" s="5"/>
      <c r="AT368" s="5">
        <v>428.45713657025908</v>
      </c>
      <c r="AU368" s="5">
        <v>0</v>
      </c>
      <c r="AV368" s="5"/>
      <c r="AW368" s="5">
        <v>83.538999999999987</v>
      </c>
      <c r="AX368" s="5">
        <v>0</v>
      </c>
      <c r="AY368" s="5"/>
      <c r="AZ368" s="5">
        <v>2236</v>
      </c>
      <c r="BA368" s="5">
        <v>22</v>
      </c>
      <c r="BB368" s="5">
        <v>-2214</v>
      </c>
      <c r="BD368" s="2">
        <v>3</v>
      </c>
      <c r="BF368" s="787">
        <v>153.85</v>
      </c>
      <c r="BG368" s="325">
        <v>150000892</v>
      </c>
    </row>
    <row r="369" spans="1:59" ht="24.9" customHeight="1" x14ac:dyDescent="0.3">
      <c r="A369" s="325">
        <v>150000893</v>
      </c>
      <c r="B369" s="445" t="s">
        <v>315</v>
      </c>
      <c r="C369" s="27">
        <v>5</v>
      </c>
      <c r="D369" s="101" t="s">
        <v>455</v>
      </c>
      <c r="E369" s="786">
        <v>2749.1</v>
      </c>
      <c r="F369" s="5">
        <v>2581</v>
      </c>
      <c r="G369" s="5">
        <v>0</v>
      </c>
      <c r="H369" s="5">
        <v>-2581</v>
      </c>
      <c r="I369" s="5">
        <v>0</v>
      </c>
      <c r="J369" s="5">
        <v>0</v>
      </c>
      <c r="K369" s="153"/>
      <c r="L369" s="5">
        <v>0</v>
      </c>
      <c r="M369" s="5">
        <v>0</v>
      </c>
      <c r="N369" s="5"/>
      <c r="O369" s="5">
        <v>0</v>
      </c>
      <c r="P369" s="5">
        <v>0</v>
      </c>
      <c r="Q369" s="784"/>
      <c r="R369" s="5">
        <v>0</v>
      </c>
      <c r="S369" s="5">
        <v>0</v>
      </c>
      <c r="T369" s="628"/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/>
      <c r="AA369" s="5">
        <v>0</v>
      </c>
      <c r="AB369" s="5">
        <v>0</v>
      </c>
      <c r="AC369" s="5">
        <v>0</v>
      </c>
      <c r="AD369" s="5">
        <v>0</v>
      </c>
      <c r="AE369" s="5">
        <v>694.24320396850953</v>
      </c>
      <c r="AF369" s="5">
        <v>0</v>
      </c>
      <c r="AG369" s="5"/>
      <c r="AH369" s="5">
        <v>857.59822432078909</v>
      </c>
      <c r="AI369" s="5">
        <v>0</v>
      </c>
      <c r="AJ369" s="5"/>
      <c r="AK369" s="5">
        <v>172.0832881547266</v>
      </c>
      <c r="AL369" s="5">
        <v>0</v>
      </c>
      <c r="AM369" s="5"/>
      <c r="AN369" s="5">
        <v>0</v>
      </c>
      <c r="AO369" s="5">
        <v>0</v>
      </c>
      <c r="AP369" s="5"/>
      <c r="AQ369" s="5">
        <v>379.96224504488214</v>
      </c>
      <c r="AR369" s="5">
        <v>0</v>
      </c>
      <c r="AS369" s="5"/>
      <c r="AT369" s="5">
        <v>517.67792853363869</v>
      </c>
      <c r="AU369" s="5">
        <v>0</v>
      </c>
      <c r="AV369" s="5"/>
      <c r="AW369" s="5">
        <v>54.497</v>
      </c>
      <c r="AX369" s="5">
        <v>0</v>
      </c>
      <c r="AY369" s="5"/>
      <c r="AZ369" s="5">
        <v>1338</v>
      </c>
      <c r="BA369" s="5">
        <v>0</v>
      </c>
      <c r="BB369" s="5">
        <v>-1338</v>
      </c>
      <c r="BD369" s="2">
        <v>3</v>
      </c>
      <c r="BF369" s="787">
        <v>10.78</v>
      </c>
      <c r="BG369" s="325">
        <v>150000893</v>
      </c>
    </row>
    <row r="370" spans="1:59" ht="24.9" customHeight="1" x14ac:dyDescent="0.3">
      <c r="A370" s="325">
        <v>150000894</v>
      </c>
      <c r="B370" s="445" t="s">
        <v>316</v>
      </c>
      <c r="C370" s="27">
        <v>5</v>
      </c>
      <c r="D370" s="101" t="s">
        <v>455</v>
      </c>
      <c r="E370" s="786">
        <v>3890.5</v>
      </c>
      <c r="F370" s="5">
        <v>2407</v>
      </c>
      <c r="G370" s="5">
        <v>0</v>
      </c>
      <c r="H370" s="5">
        <v>-2407</v>
      </c>
      <c r="I370" s="5">
        <v>0</v>
      </c>
      <c r="J370" s="5">
        <v>0</v>
      </c>
      <c r="K370" s="153"/>
      <c r="L370" s="5">
        <v>0</v>
      </c>
      <c r="M370" s="5">
        <v>0</v>
      </c>
      <c r="N370" s="467"/>
      <c r="O370" s="5">
        <v>0</v>
      </c>
      <c r="P370" s="5">
        <v>0</v>
      </c>
      <c r="Q370" s="784"/>
      <c r="R370" s="5">
        <v>0</v>
      </c>
      <c r="S370" s="5">
        <v>0</v>
      </c>
      <c r="T370" s="628"/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/>
      <c r="AA370" s="5">
        <v>0</v>
      </c>
      <c r="AB370" s="5">
        <v>0</v>
      </c>
      <c r="AC370" s="5">
        <v>0</v>
      </c>
      <c r="AD370" s="5">
        <v>0</v>
      </c>
      <c r="AE370" s="5">
        <v>1037.7096163807364</v>
      </c>
      <c r="AF370" s="5">
        <v>0</v>
      </c>
      <c r="AG370" s="5"/>
      <c r="AH370" s="5">
        <v>1461.9427372365665</v>
      </c>
      <c r="AI370" s="5">
        <v>0</v>
      </c>
      <c r="AJ370" s="5"/>
      <c r="AK370" s="5">
        <v>227.79913920207332</v>
      </c>
      <c r="AL370" s="5">
        <v>0</v>
      </c>
      <c r="AM370" s="5"/>
      <c r="AN370" s="5">
        <v>0</v>
      </c>
      <c r="AO370" s="5">
        <v>0</v>
      </c>
      <c r="AP370" s="5"/>
      <c r="AQ370" s="5">
        <v>569.96458707196041</v>
      </c>
      <c r="AR370" s="5">
        <v>0</v>
      </c>
      <c r="AS370" s="5"/>
      <c r="AT370" s="5">
        <v>1132.3791078806921</v>
      </c>
      <c r="AU370" s="5">
        <v>0</v>
      </c>
      <c r="AV370" s="5"/>
      <c r="AW370" s="5">
        <v>83.755899999999997</v>
      </c>
      <c r="AX370" s="5">
        <v>0</v>
      </c>
      <c r="AY370" s="5"/>
      <c r="AZ370" s="5">
        <v>2257</v>
      </c>
      <c r="BA370" s="5">
        <v>0</v>
      </c>
      <c r="BB370" s="5">
        <v>-2257</v>
      </c>
      <c r="BD370" s="2">
        <v>3</v>
      </c>
      <c r="BF370" s="787">
        <v>16.37</v>
      </c>
      <c r="BG370" s="325">
        <v>150000894</v>
      </c>
    </row>
    <row r="371" spans="1:59" ht="24.9" customHeight="1" x14ac:dyDescent="0.3">
      <c r="A371" s="325">
        <v>150000895</v>
      </c>
      <c r="B371" s="445" t="s">
        <v>317</v>
      </c>
      <c r="C371" s="27">
        <v>5</v>
      </c>
      <c r="D371" s="101" t="s">
        <v>455</v>
      </c>
      <c r="E371" s="786">
        <v>2741.4</v>
      </c>
      <c r="F371" s="5">
        <v>2521</v>
      </c>
      <c r="G371" s="5">
        <v>0</v>
      </c>
      <c r="H371" s="5">
        <v>-2521</v>
      </c>
      <c r="I371" s="5">
        <v>0</v>
      </c>
      <c r="J371" s="5">
        <v>0</v>
      </c>
      <c r="K371" s="153"/>
      <c r="L371" s="5">
        <v>0</v>
      </c>
      <c r="M371" s="5">
        <v>0</v>
      </c>
      <c r="N371" s="5"/>
      <c r="O371" s="5">
        <v>0</v>
      </c>
      <c r="P371" s="5">
        <v>0</v>
      </c>
      <c r="Q371" s="784"/>
      <c r="R371" s="5">
        <v>0</v>
      </c>
      <c r="S371" s="5">
        <v>0</v>
      </c>
      <c r="T371" s="628"/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/>
      <c r="AA371" s="5">
        <v>0</v>
      </c>
      <c r="AB371" s="5">
        <v>0</v>
      </c>
      <c r="AC371" s="5">
        <v>0</v>
      </c>
      <c r="AD371" s="5">
        <v>0</v>
      </c>
      <c r="AE371" s="5">
        <v>686.15101315497554</v>
      </c>
      <c r="AF371" s="5">
        <v>0</v>
      </c>
      <c r="AG371" s="5"/>
      <c r="AH371" s="5">
        <v>847.94170643701591</v>
      </c>
      <c r="AI371" s="5">
        <v>2605</v>
      </c>
      <c r="AJ371" s="5"/>
      <c r="AK371" s="5">
        <v>163.5013166070467</v>
      </c>
      <c r="AL371" s="5">
        <v>0</v>
      </c>
      <c r="AM371" s="5"/>
      <c r="AN371" s="5">
        <v>0</v>
      </c>
      <c r="AO371" s="5">
        <v>0</v>
      </c>
      <c r="AP371" s="5"/>
      <c r="AQ371" s="5">
        <v>0</v>
      </c>
      <c r="AR371" s="5">
        <v>0</v>
      </c>
      <c r="AS371" s="5"/>
      <c r="AT371" s="5">
        <v>492.22801677307507</v>
      </c>
      <c r="AU371" s="5">
        <v>0</v>
      </c>
      <c r="AV371" s="8"/>
      <c r="AW371" s="5">
        <v>54.414999999999999</v>
      </c>
      <c r="AX371" s="5">
        <v>0</v>
      </c>
      <c r="AY371" s="5"/>
      <c r="AZ371" s="5">
        <v>1122</v>
      </c>
      <c r="BA371" s="5">
        <v>0</v>
      </c>
      <c r="BB371" s="5">
        <v>-1122</v>
      </c>
      <c r="BD371" s="2">
        <v>3</v>
      </c>
      <c r="BF371" s="787">
        <v>10.75</v>
      </c>
      <c r="BG371" s="325">
        <v>150000895</v>
      </c>
    </row>
    <row r="372" spans="1:59" ht="24.9" customHeight="1" x14ac:dyDescent="0.3">
      <c r="A372" s="325">
        <v>150000922</v>
      </c>
      <c r="B372" s="445" t="s">
        <v>402</v>
      </c>
      <c r="C372" s="27">
        <v>9</v>
      </c>
      <c r="D372" s="101" t="s">
        <v>455</v>
      </c>
      <c r="E372" s="786">
        <v>4247.05</v>
      </c>
      <c r="F372" s="5">
        <v>2540</v>
      </c>
      <c r="G372" s="5">
        <v>0</v>
      </c>
      <c r="H372" s="5">
        <v>-2540</v>
      </c>
      <c r="I372" s="5">
        <v>0</v>
      </c>
      <c r="J372" s="5">
        <v>0</v>
      </c>
      <c r="K372" s="593"/>
      <c r="L372" s="5">
        <v>0</v>
      </c>
      <c r="M372" s="5">
        <v>0</v>
      </c>
      <c r="N372" s="5"/>
      <c r="O372" s="5">
        <v>0</v>
      </c>
      <c r="P372" s="5">
        <v>0</v>
      </c>
      <c r="Q372" s="784"/>
      <c r="R372" s="5">
        <v>0</v>
      </c>
      <c r="S372" s="5">
        <v>0</v>
      </c>
      <c r="T372" s="630"/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/>
      <c r="AA372" s="5">
        <v>0</v>
      </c>
      <c r="AB372" s="5">
        <v>0</v>
      </c>
      <c r="AC372" s="5">
        <v>0</v>
      </c>
      <c r="AD372" s="5">
        <v>0</v>
      </c>
      <c r="AE372" s="5">
        <v>1075.9402347327973</v>
      </c>
      <c r="AF372" s="5">
        <v>0</v>
      </c>
      <c r="AG372" s="5"/>
      <c r="AH372" s="5">
        <v>1191.6356172396693</v>
      </c>
      <c r="AI372" s="5">
        <v>0</v>
      </c>
      <c r="AJ372" s="5"/>
      <c r="AK372" s="5">
        <v>386.14051516280199</v>
      </c>
      <c r="AL372" s="5">
        <v>0</v>
      </c>
      <c r="AM372" s="5"/>
      <c r="AN372" s="5">
        <v>945.62050165380504</v>
      </c>
      <c r="AO372" s="5">
        <v>0</v>
      </c>
      <c r="AP372" s="5"/>
      <c r="AQ372" s="5">
        <v>417.96272557758289</v>
      </c>
      <c r="AR372" s="5">
        <v>22</v>
      </c>
      <c r="AS372" s="5"/>
      <c r="AT372" s="5">
        <v>419.65498917652252</v>
      </c>
      <c r="AU372" s="5">
        <v>0</v>
      </c>
      <c r="AV372" s="5"/>
      <c r="AW372" s="5">
        <v>86.1845</v>
      </c>
      <c r="AX372" s="5">
        <v>0</v>
      </c>
      <c r="AY372" s="5"/>
      <c r="AZ372" s="5">
        <v>2261</v>
      </c>
      <c r="BA372" s="5">
        <v>22</v>
      </c>
      <c r="BB372" s="5">
        <v>-2239</v>
      </c>
      <c r="BD372" s="2">
        <v>3</v>
      </c>
      <c r="BF372" s="787">
        <v>154.49</v>
      </c>
      <c r="BG372" s="325">
        <v>150000922</v>
      </c>
    </row>
    <row r="373" spans="1:59" ht="24.9" customHeight="1" x14ac:dyDescent="0.3">
      <c r="A373" s="325">
        <v>150000896</v>
      </c>
      <c r="B373" s="445" t="s">
        <v>318</v>
      </c>
      <c r="C373" s="27">
        <v>5</v>
      </c>
      <c r="D373" s="101" t="s">
        <v>455</v>
      </c>
      <c r="E373" s="786">
        <v>2712.05</v>
      </c>
      <c r="F373" s="5">
        <v>2475</v>
      </c>
      <c r="G373" s="5">
        <v>0</v>
      </c>
      <c r="H373" s="5">
        <v>-2475</v>
      </c>
      <c r="I373" s="5">
        <v>0</v>
      </c>
      <c r="J373" s="5">
        <v>0</v>
      </c>
      <c r="K373" s="153"/>
      <c r="L373" s="5">
        <v>0</v>
      </c>
      <c r="M373" s="5">
        <v>0</v>
      </c>
      <c r="N373" s="5"/>
      <c r="O373" s="5">
        <v>0</v>
      </c>
      <c r="P373" s="5">
        <v>0</v>
      </c>
      <c r="Q373" s="784"/>
      <c r="R373" s="5">
        <v>0</v>
      </c>
      <c r="S373" s="5">
        <v>0</v>
      </c>
      <c r="T373" s="628"/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/>
      <c r="AA373" s="5">
        <v>0</v>
      </c>
      <c r="AB373" s="5">
        <v>0</v>
      </c>
      <c r="AC373" s="5">
        <v>0</v>
      </c>
      <c r="AD373" s="5">
        <v>0</v>
      </c>
      <c r="AE373" s="5">
        <v>698.29977292811543</v>
      </c>
      <c r="AF373" s="5">
        <v>0</v>
      </c>
      <c r="AG373" s="5"/>
      <c r="AH373" s="5">
        <v>857.59822432078909</v>
      </c>
      <c r="AI373" s="5">
        <v>4606</v>
      </c>
      <c r="AJ373" s="5"/>
      <c r="AK373" s="5">
        <v>198.44186607918999</v>
      </c>
      <c r="AL373" s="5">
        <v>0</v>
      </c>
      <c r="AM373" s="5"/>
      <c r="AN373" s="5">
        <v>0</v>
      </c>
      <c r="AO373" s="5">
        <v>0</v>
      </c>
      <c r="AP373" s="5"/>
      <c r="AQ373" s="5">
        <v>0</v>
      </c>
      <c r="AR373" s="5">
        <v>0</v>
      </c>
      <c r="AS373" s="5"/>
      <c r="AT373" s="5">
        <v>540.25369531963884</v>
      </c>
      <c r="AU373" s="5">
        <v>0</v>
      </c>
      <c r="AV373" s="5"/>
      <c r="AW373" s="5">
        <v>54.121499999999997</v>
      </c>
      <c r="AX373" s="5">
        <v>0</v>
      </c>
      <c r="AY373" s="5"/>
      <c r="AZ373" s="5">
        <v>1175</v>
      </c>
      <c r="BA373" s="5">
        <v>4606</v>
      </c>
      <c r="BB373" s="5">
        <v>3432</v>
      </c>
      <c r="BD373" s="2">
        <v>3</v>
      </c>
      <c r="BF373" s="787">
        <v>10.63</v>
      </c>
      <c r="BG373" s="325">
        <v>150000896</v>
      </c>
    </row>
    <row r="374" spans="1:59" ht="24.9" customHeight="1" x14ac:dyDescent="0.3">
      <c r="A374" s="325">
        <v>150000898</v>
      </c>
      <c r="B374" s="445" t="s">
        <v>191</v>
      </c>
      <c r="C374" s="27">
        <v>2</v>
      </c>
      <c r="D374" s="101" t="s">
        <v>455</v>
      </c>
      <c r="E374" s="786">
        <v>472.1</v>
      </c>
      <c r="F374" s="5">
        <v>408</v>
      </c>
      <c r="G374" s="5">
        <v>0</v>
      </c>
      <c r="H374" s="5">
        <v>-408</v>
      </c>
      <c r="I374" s="5">
        <v>0</v>
      </c>
      <c r="J374" s="5">
        <v>0</v>
      </c>
      <c r="K374" s="153"/>
      <c r="L374" s="5">
        <v>0</v>
      </c>
      <c r="M374" s="5">
        <v>0</v>
      </c>
      <c r="N374" s="5"/>
      <c r="O374" s="5">
        <v>0</v>
      </c>
      <c r="P374" s="5">
        <v>0</v>
      </c>
      <c r="Q374" s="784"/>
      <c r="R374" s="5">
        <v>0</v>
      </c>
      <c r="S374" s="5">
        <v>0</v>
      </c>
      <c r="T374" s="628"/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/>
      <c r="AA374" s="5">
        <v>0</v>
      </c>
      <c r="AB374" s="5">
        <v>0</v>
      </c>
      <c r="AC374" s="5">
        <v>0</v>
      </c>
      <c r="AD374" s="5">
        <v>0</v>
      </c>
      <c r="AE374" s="5">
        <v>135.86330891487233</v>
      </c>
      <c r="AF374" s="5">
        <v>0</v>
      </c>
      <c r="AG374" s="5"/>
      <c r="AH374" s="5">
        <v>189.7370671091474</v>
      </c>
      <c r="AI374" s="5">
        <v>0</v>
      </c>
      <c r="AJ374" s="5"/>
      <c r="AK374" s="5">
        <v>19.630831119191669</v>
      </c>
      <c r="AL374" s="5">
        <v>0</v>
      </c>
      <c r="AM374" s="5"/>
      <c r="AN374" s="5">
        <v>0</v>
      </c>
      <c r="AO374" s="5">
        <v>0</v>
      </c>
      <c r="AP374" s="5"/>
      <c r="AQ374" s="5">
        <v>0</v>
      </c>
      <c r="AR374" s="5">
        <v>0</v>
      </c>
      <c r="AS374" s="5"/>
      <c r="AT374" s="5">
        <v>7.521266556997622</v>
      </c>
      <c r="AU374" s="5">
        <v>0</v>
      </c>
      <c r="AV374" s="5"/>
      <c r="AW374" s="5">
        <v>9.7210000000000001</v>
      </c>
      <c r="AX374" s="5">
        <v>0</v>
      </c>
      <c r="AY374" s="5"/>
      <c r="AZ374" s="5">
        <v>180</v>
      </c>
      <c r="BA374" s="5">
        <v>0</v>
      </c>
      <c r="BB374" s="5">
        <v>-180</v>
      </c>
      <c r="BD374" s="2">
        <v>3</v>
      </c>
      <c r="BF374" s="787">
        <v>1.85</v>
      </c>
      <c r="BG374" s="325">
        <v>150000898</v>
      </c>
    </row>
    <row r="375" spans="1:59" ht="24.9" customHeight="1" x14ac:dyDescent="0.3">
      <c r="A375" s="325">
        <v>150000899</v>
      </c>
      <c r="B375" s="445" t="s">
        <v>403</v>
      </c>
      <c r="C375" s="27">
        <v>9</v>
      </c>
      <c r="D375" s="101" t="s">
        <v>455</v>
      </c>
      <c r="E375" s="786">
        <v>6212.05</v>
      </c>
      <c r="F375" s="5">
        <v>3499</v>
      </c>
      <c r="G375" s="5">
        <v>649</v>
      </c>
      <c r="H375" s="5">
        <v>-2971</v>
      </c>
      <c r="I375" s="5">
        <v>0</v>
      </c>
      <c r="J375" s="5">
        <v>0</v>
      </c>
      <c r="K375" s="153"/>
      <c r="L375" s="5">
        <v>0</v>
      </c>
      <c r="M375" s="5">
        <v>0</v>
      </c>
      <c r="N375" s="5"/>
      <c r="O375" s="5">
        <v>0</v>
      </c>
      <c r="P375" s="5">
        <v>0</v>
      </c>
      <c r="Q375" s="784"/>
      <c r="R375" s="5">
        <v>0</v>
      </c>
      <c r="S375" s="5">
        <v>0</v>
      </c>
      <c r="T375" s="630"/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/>
      <c r="AA375" s="5">
        <v>0</v>
      </c>
      <c r="AB375" s="5">
        <v>0</v>
      </c>
      <c r="AC375" s="5">
        <v>528</v>
      </c>
      <c r="AD375" s="5">
        <v>121</v>
      </c>
      <c r="AE375" s="5">
        <v>1622.0465766435123</v>
      </c>
      <c r="AF375" s="5">
        <v>0</v>
      </c>
      <c r="AG375" s="5"/>
      <c r="AH375" s="5">
        <v>1794.1731659630127</v>
      </c>
      <c r="AI375" s="5">
        <v>0</v>
      </c>
      <c r="AJ375" s="454"/>
      <c r="AK375" s="5">
        <v>557.73854490811004</v>
      </c>
      <c r="AL375" s="5">
        <v>0</v>
      </c>
      <c r="AM375" s="5"/>
      <c r="AN375" s="5">
        <v>1355.6533014315939</v>
      </c>
      <c r="AO375" s="5">
        <v>0</v>
      </c>
      <c r="AP375" s="5"/>
      <c r="AQ375" s="5">
        <v>626.45466780048014</v>
      </c>
      <c r="AR375" s="5">
        <v>0</v>
      </c>
      <c r="AS375" s="5"/>
      <c r="AT375" s="5">
        <v>733.53815735798003</v>
      </c>
      <c r="AU375" s="5">
        <v>0</v>
      </c>
      <c r="AV375" s="8"/>
      <c r="AW375" s="5">
        <v>124.1095</v>
      </c>
      <c r="AX375" s="5">
        <v>0</v>
      </c>
      <c r="AY375" s="5"/>
      <c r="AZ375" s="5">
        <v>3407</v>
      </c>
      <c r="BA375" s="5">
        <v>0</v>
      </c>
      <c r="BB375" s="5">
        <v>-3407</v>
      </c>
      <c r="BD375" s="2">
        <v>3</v>
      </c>
      <c r="BF375" s="787">
        <v>24.34</v>
      </c>
      <c r="BG375" s="325">
        <v>150000899</v>
      </c>
    </row>
    <row r="376" spans="1:59" ht="24.9" customHeight="1" x14ac:dyDescent="0.3">
      <c r="A376" s="325">
        <v>150000900</v>
      </c>
      <c r="B376" s="445" t="s">
        <v>426</v>
      </c>
      <c r="C376" s="27">
        <v>14</v>
      </c>
      <c r="D376" s="101" t="s">
        <v>455</v>
      </c>
      <c r="E376" s="786">
        <v>4010.71</v>
      </c>
      <c r="F376" s="5">
        <v>1946</v>
      </c>
      <c r="G376" s="5">
        <v>0</v>
      </c>
      <c r="H376" s="5">
        <v>-1946</v>
      </c>
      <c r="I376" s="5">
        <v>0</v>
      </c>
      <c r="J376" s="5">
        <v>0</v>
      </c>
      <c r="K376" s="153"/>
      <c r="L376" s="5">
        <v>0</v>
      </c>
      <c r="M376" s="5">
        <v>0</v>
      </c>
      <c r="N376" s="5"/>
      <c r="O376" s="5">
        <v>0</v>
      </c>
      <c r="P376" s="5">
        <v>0</v>
      </c>
      <c r="Q376" s="784"/>
      <c r="R376" s="5">
        <v>0</v>
      </c>
      <c r="S376" s="5">
        <v>0</v>
      </c>
      <c r="T376" s="628"/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/>
      <c r="AA376" s="5">
        <v>0</v>
      </c>
      <c r="AB376" s="5">
        <v>0</v>
      </c>
      <c r="AC376" s="5">
        <v>0</v>
      </c>
      <c r="AD376" s="5">
        <v>0</v>
      </c>
      <c r="AE376" s="5">
        <v>1344.2497546457291</v>
      </c>
      <c r="AF376" s="5">
        <v>0</v>
      </c>
      <c r="AG376" s="5"/>
      <c r="AH376" s="5">
        <v>589.76940050849294</v>
      </c>
      <c r="AI376" s="5">
        <v>0</v>
      </c>
      <c r="AJ376" s="5"/>
      <c r="AK376" s="5">
        <v>355.81485140675829</v>
      </c>
      <c r="AL376" s="5">
        <v>2321</v>
      </c>
      <c r="AM376" s="8"/>
      <c r="AN376" s="5">
        <v>926.314498168515</v>
      </c>
      <c r="AO376" s="5">
        <v>0</v>
      </c>
      <c r="AP376" s="5"/>
      <c r="AQ376" s="5">
        <v>427.70754083459872</v>
      </c>
      <c r="AR376" s="5">
        <v>16.5</v>
      </c>
      <c r="AS376" s="5"/>
      <c r="AT376" s="5">
        <v>290.24389949105489</v>
      </c>
      <c r="AU376" s="5">
        <v>0</v>
      </c>
      <c r="AV376" s="5"/>
      <c r="AW376" s="5">
        <v>0</v>
      </c>
      <c r="AX376" s="5">
        <v>0</v>
      </c>
      <c r="AY376" s="5"/>
      <c r="AZ376" s="5">
        <v>1967</v>
      </c>
      <c r="BA376" s="5">
        <v>2321</v>
      </c>
      <c r="BB376" s="5">
        <v>354</v>
      </c>
      <c r="BD376" s="2">
        <v>3</v>
      </c>
      <c r="BF376" s="787">
        <v>17.02</v>
      </c>
      <c r="BG376" s="325">
        <v>150000900</v>
      </c>
    </row>
    <row r="377" spans="1:59" ht="24.9" customHeight="1" x14ac:dyDescent="0.3">
      <c r="A377" s="325">
        <v>150000901</v>
      </c>
      <c r="B377" s="445" t="s">
        <v>425</v>
      </c>
      <c r="C377" s="27">
        <v>10</v>
      </c>
      <c r="D377" s="101" t="s">
        <v>455</v>
      </c>
      <c r="E377" s="786">
        <v>9173.1</v>
      </c>
      <c r="F377" s="5">
        <v>5059</v>
      </c>
      <c r="G377" s="5">
        <v>121</v>
      </c>
      <c r="H377" s="5">
        <v>-5059</v>
      </c>
      <c r="I377" s="5">
        <v>0</v>
      </c>
      <c r="J377" s="5">
        <v>0</v>
      </c>
      <c r="K377" s="153"/>
      <c r="L377" s="5">
        <v>0</v>
      </c>
      <c r="M377" s="5">
        <v>0</v>
      </c>
      <c r="N377" s="5"/>
      <c r="O377" s="5">
        <v>0</v>
      </c>
      <c r="P377" s="5">
        <v>0</v>
      </c>
      <c r="Q377" s="784"/>
      <c r="R377" s="5">
        <v>0</v>
      </c>
      <c r="S377" s="5">
        <v>0</v>
      </c>
      <c r="T377" s="630"/>
      <c r="U377" s="5">
        <v>0</v>
      </c>
      <c r="V377" s="8">
        <v>0</v>
      </c>
      <c r="W377" s="5">
        <v>0</v>
      </c>
      <c r="X377" s="5">
        <v>0</v>
      </c>
      <c r="Y377" s="5">
        <v>0</v>
      </c>
      <c r="Z377" s="5"/>
      <c r="AA377" s="5">
        <v>0</v>
      </c>
      <c r="AB377" s="5">
        <v>0</v>
      </c>
      <c r="AC377" s="5">
        <v>0</v>
      </c>
      <c r="AD377" s="5">
        <v>121</v>
      </c>
      <c r="AE377" s="5">
        <v>2280.4146389879243</v>
      </c>
      <c r="AF377" s="5">
        <v>4335</v>
      </c>
      <c r="AG377" s="454"/>
      <c r="AH377" s="5">
        <v>2597.7841028929492</v>
      </c>
      <c r="AI377" s="5">
        <v>0</v>
      </c>
      <c r="AJ377" s="8"/>
      <c r="AK377" s="5">
        <v>777.90561864280301</v>
      </c>
      <c r="AL377" s="5">
        <v>2296</v>
      </c>
      <c r="AM377" s="8"/>
      <c r="AN377" s="5">
        <v>2006.4933369274779</v>
      </c>
      <c r="AO377" s="5">
        <v>0</v>
      </c>
      <c r="AP377" s="5"/>
      <c r="AQ377" s="5">
        <v>892.43675138832305</v>
      </c>
      <c r="AR377" s="5">
        <v>16.5</v>
      </c>
      <c r="AS377" s="454"/>
      <c r="AT377" s="5">
        <v>1176.4045941629959</v>
      </c>
      <c r="AU377" s="5">
        <v>0</v>
      </c>
      <c r="AV377" s="5"/>
      <c r="AW377" s="5">
        <v>198.21600000000001</v>
      </c>
      <c r="AX377" s="5">
        <v>0</v>
      </c>
      <c r="AY377" s="5"/>
      <c r="AZ377" s="5">
        <v>4966</v>
      </c>
      <c r="BA377" s="5">
        <v>6277</v>
      </c>
      <c r="BB377" s="5">
        <v>1312</v>
      </c>
      <c r="BD377" s="2">
        <v>3</v>
      </c>
      <c r="BF377" s="787">
        <v>38.89</v>
      </c>
      <c r="BG377" s="325">
        <v>150000901</v>
      </c>
    </row>
    <row r="378" spans="1:59" ht="24.9" customHeight="1" x14ac:dyDescent="0.3">
      <c r="A378" s="325">
        <v>150000902</v>
      </c>
      <c r="B378" s="445" t="s">
        <v>404</v>
      </c>
      <c r="C378" s="27">
        <v>9</v>
      </c>
      <c r="D378" s="101" t="s">
        <v>455</v>
      </c>
      <c r="E378" s="786">
        <v>3581.3</v>
      </c>
      <c r="F378" s="5">
        <v>2204</v>
      </c>
      <c r="G378" s="5">
        <v>0</v>
      </c>
      <c r="H378" s="5">
        <v>-2204</v>
      </c>
      <c r="I378" s="5">
        <v>0</v>
      </c>
      <c r="J378" s="5">
        <v>0</v>
      </c>
      <c r="K378" s="153"/>
      <c r="L378" s="5">
        <v>0</v>
      </c>
      <c r="M378" s="5">
        <v>0</v>
      </c>
      <c r="N378" s="5"/>
      <c r="O378" s="5">
        <v>0</v>
      </c>
      <c r="P378" s="5">
        <v>0</v>
      </c>
      <c r="Q378" s="784"/>
      <c r="R378" s="5">
        <v>0</v>
      </c>
      <c r="S378" s="5">
        <v>0</v>
      </c>
      <c r="T378" s="628"/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/>
      <c r="AA378" s="5">
        <v>0</v>
      </c>
      <c r="AB378" s="5">
        <v>0</v>
      </c>
      <c r="AC378" s="5">
        <v>0</v>
      </c>
      <c r="AD378" s="5">
        <v>0</v>
      </c>
      <c r="AE378" s="5">
        <v>686.09858262278351</v>
      </c>
      <c r="AF378" s="5">
        <v>0</v>
      </c>
      <c r="AG378" s="454"/>
      <c r="AH378" s="5">
        <v>1183.9732628643142</v>
      </c>
      <c r="AI378" s="5">
        <v>0</v>
      </c>
      <c r="AJ378" s="5"/>
      <c r="AK378" s="5">
        <v>314.07391328195001</v>
      </c>
      <c r="AL378" s="5">
        <v>0</v>
      </c>
      <c r="AM378" s="8"/>
      <c r="AN378" s="5">
        <v>790.32999145910708</v>
      </c>
      <c r="AO378" s="5">
        <v>0</v>
      </c>
      <c r="AP378" s="5"/>
      <c r="AQ378" s="5">
        <v>417.96272557758289</v>
      </c>
      <c r="AR378" s="5">
        <v>22</v>
      </c>
      <c r="AS378" s="454"/>
      <c r="AT378" s="5">
        <v>743.83134840375783</v>
      </c>
      <c r="AU378" s="5">
        <v>0</v>
      </c>
      <c r="AV378" s="8"/>
      <c r="AW378" s="5">
        <v>71.813000000000002</v>
      </c>
      <c r="AX378" s="5">
        <v>0</v>
      </c>
      <c r="AY378" s="5"/>
      <c r="AZ378" s="5">
        <v>2104</v>
      </c>
      <c r="BA378" s="5">
        <v>22</v>
      </c>
      <c r="BB378" s="5">
        <v>-2082</v>
      </c>
      <c r="BD378" s="2">
        <v>3</v>
      </c>
      <c r="BF378" s="787">
        <v>151.6</v>
      </c>
      <c r="BG378" s="325">
        <v>150000902</v>
      </c>
    </row>
    <row r="379" spans="1:59" ht="24.9" customHeight="1" x14ac:dyDescent="0.3">
      <c r="A379" s="325">
        <v>150000903</v>
      </c>
      <c r="B379" s="445" t="s">
        <v>405</v>
      </c>
      <c r="C379" s="27">
        <v>9</v>
      </c>
      <c r="D379" s="101" t="s">
        <v>455</v>
      </c>
      <c r="E379" s="786">
        <v>4073.8</v>
      </c>
      <c r="F379" s="5">
        <v>2630</v>
      </c>
      <c r="G379" s="5">
        <v>513</v>
      </c>
      <c r="H379" s="5">
        <v>-2630</v>
      </c>
      <c r="I379" s="5">
        <v>0</v>
      </c>
      <c r="J379" s="5">
        <v>0</v>
      </c>
      <c r="K379" s="153"/>
      <c r="L379" s="5">
        <v>0</v>
      </c>
      <c r="M379" s="5">
        <v>0</v>
      </c>
      <c r="N379" s="5"/>
      <c r="O379" s="5">
        <v>0</v>
      </c>
      <c r="P379" s="5">
        <v>0</v>
      </c>
      <c r="Q379" s="784"/>
      <c r="R379" s="5">
        <v>0</v>
      </c>
      <c r="S379" s="5">
        <v>0</v>
      </c>
      <c r="T379" s="789"/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/>
      <c r="AA379" s="5">
        <v>0</v>
      </c>
      <c r="AB379" s="5">
        <v>0</v>
      </c>
      <c r="AC379" s="5">
        <v>0</v>
      </c>
      <c r="AD379" s="5">
        <v>513</v>
      </c>
      <c r="AE379" s="5">
        <v>693.68023654733497</v>
      </c>
      <c r="AF379" s="5">
        <v>0</v>
      </c>
      <c r="AG379" s="5"/>
      <c r="AH379" s="5">
        <v>683.61140785492694</v>
      </c>
      <c r="AI379" s="5">
        <v>0</v>
      </c>
      <c r="AJ379" s="5"/>
      <c r="AK379" s="5">
        <v>354.25112254537669</v>
      </c>
      <c r="AL379" s="5">
        <v>0</v>
      </c>
      <c r="AM379" s="8"/>
      <c r="AN379" s="5">
        <v>965.97282251861702</v>
      </c>
      <c r="AO379" s="5">
        <v>0</v>
      </c>
      <c r="AP379" s="5"/>
      <c r="AQ379" s="5">
        <v>417.96272557758289</v>
      </c>
      <c r="AR379" s="5">
        <v>16.5</v>
      </c>
      <c r="AS379" s="5"/>
      <c r="AT379" s="5">
        <v>711.74202015779565</v>
      </c>
      <c r="AU379" s="5">
        <v>0</v>
      </c>
      <c r="AV379" s="5"/>
      <c r="AW379" s="5">
        <v>81.733000000000004</v>
      </c>
      <c r="AX379" s="5">
        <v>0</v>
      </c>
      <c r="AY379" s="5"/>
      <c r="AZ379" s="5">
        <v>1954</v>
      </c>
      <c r="BA379" s="5">
        <v>0</v>
      </c>
      <c r="BB379" s="5">
        <v>-1954</v>
      </c>
      <c r="BD379" s="2">
        <v>3</v>
      </c>
      <c r="BF379" s="787">
        <v>15.97</v>
      </c>
      <c r="BG379" s="325">
        <v>150000903</v>
      </c>
    </row>
    <row r="380" spans="1:59" ht="26.25" customHeight="1" x14ac:dyDescent="0.3">
      <c r="A380" s="325">
        <v>150000904</v>
      </c>
      <c r="B380" s="445" t="s">
        <v>406</v>
      </c>
      <c r="C380" s="27">
        <v>9</v>
      </c>
      <c r="D380" s="101" t="s">
        <v>455</v>
      </c>
      <c r="E380" s="786">
        <v>4387.3</v>
      </c>
      <c r="F380" s="5">
        <v>3016</v>
      </c>
      <c r="G380" s="5">
        <v>0</v>
      </c>
      <c r="H380" s="5">
        <v>-3016</v>
      </c>
      <c r="I380" s="5">
        <v>0</v>
      </c>
      <c r="J380" s="5">
        <v>0</v>
      </c>
      <c r="K380" s="153"/>
      <c r="L380" s="5">
        <v>0</v>
      </c>
      <c r="M380" s="5">
        <v>0</v>
      </c>
      <c r="N380" s="5"/>
      <c r="O380" s="5">
        <v>0</v>
      </c>
      <c r="P380" s="5">
        <v>0</v>
      </c>
      <c r="Q380" s="784"/>
      <c r="R380" s="5">
        <v>0</v>
      </c>
      <c r="S380" s="5">
        <v>0</v>
      </c>
      <c r="T380" s="628"/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467"/>
      <c r="AA380" s="5">
        <v>0</v>
      </c>
      <c r="AB380" s="5">
        <v>0</v>
      </c>
      <c r="AC380" s="5">
        <v>0</v>
      </c>
      <c r="AD380" s="5">
        <v>0</v>
      </c>
      <c r="AE380" s="5">
        <v>1002.2821561202198</v>
      </c>
      <c r="AF380" s="5">
        <v>0</v>
      </c>
      <c r="AG380" s="5"/>
      <c r="AH380" s="5">
        <v>1199.5698929004925</v>
      </c>
      <c r="AI380" s="5">
        <v>0</v>
      </c>
      <c r="AJ380" s="5"/>
      <c r="AK380" s="5">
        <v>400.26412688579001</v>
      </c>
      <c r="AL380" s="5">
        <v>403</v>
      </c>
      <c r="AM380" s="5"/>
      <c r="AN380" s="5">
        <v>967.71164011342</v>
      </c>
      <c r="AO380" s="5">
        <v>0</v>
      </c>
      <c r="AP380" s="5"/>
      <c r="AQ380" s="5">
        <v>417.96272557758289</v>
      </c>
      <c r="AR380" s="5">
        <v>0</v>
      </c>
      <c r="AS380" s="5"/>
      <c r="AT380" s="5">
        <v>502.31739753378577</v>
      </c>
      <c r="AU380" s="5">
        <v>0</v>
      </c>
      <c r="AV380" s="5"/>
      <c r="AW380" s="5">
        <v>87.873000000000005</v>
      </c>
      <c r="AX380" s="5">
        <v>0</v>
      </c>
      <c r="AY380" s="5"/>
      <c r="AZ380" s="5">
        <v>2289</v>
      </c>
      <c r="BA380" s="5">
        <v>0</v>
      </c>
      <c r="BB380" s="5">
        <v>-2289</v>
      </c>
      <c r="BD380" s="2">
        <v>3</v>
      </c>
      <c r="BF380" s="787">
        <v>17.2</v>
      </c>
      <c r="BG380" s="325">
        <v>150000904</v>
      </c>
    </row>
    <row r="381" spans="1:59" ht="24.9" customHeight="1" x14ac:dyDescent="0.3">
      <c r="A381" s="325">
        <v>150000905</v>
      </c>
      <c r="B381" s="445" t="s">
        <v>427</v>
      </c>
      <c r="C381" s="27">
        <v>14</v>
      </c>
      <c r="D381" s="101" t="s">
        <v>455</v>
      </c>
      <c r="E381" s="786">
        <v>5142.8999999999996</v>
      </c>
      <c r="F381" s="5">
        <v>2901</v>
      </c>
      <c r="G381" s="5">
        <v>16087</v>
      </c>
      <c r="H381" s="5">
        <v>11637</v>
      </c>
      <c r="I381" s="5">
        <v>0</v>
      </c>
      <c r="J381" s="5">
        <v>0</v>
      </c>
      <c r="K381" s="153"/>
      <c r="L381" s="5">
        <v>0</v>
      </c>
      <c r="M381" s="5">
        <v>14537</v>
      </c>
      <c r="N381" s="5"/>
      <c r="O381" s="5">
        <v>0</v>
      </c>
      <c r="P381" s="5">
        <v>0</v>
      </c>
      <c r="Q381" s="784"/>
      <c r="R381" s="5">
        <v>0</v>
      </c>
      <c r="S381" s="5">
        <v>0</v>
      </c>
      <c r="T381" s="628"/>
      <c r="U381" s="5">
        <v>0</v>
      </c>
      <c r="V381" s="8">
        <v>0</v>
      </c>
      <c r="W381" s="5">
        <v>0</v>
      </c>
      <c r="X381" s="5">
        <v>0</v>
      </c>
      <c r="Y381" s="5">
        <v>0</v>
      </c>
      <c r="Z381" s="5"/>
      <c r="AA381" s="5">
        <v>0</v>
      </c>
      <c r="AB381" s="5">
        <v>0</v>
      </c>
      <c r="AC381" s="5">
        <v>1550</v>
      </c>
      <c r="AD381" s="5">
        <v>0</v>
      </c>
      <c r="AE381" s="5">
        <v>813.65371827354113</v>
      </c>
      <c r="AF381" s="5">
        <v>0</v>
      </c>
      <c r="AG381" s="5"/>
      <c r="AH381" s="5">
        <v>865.54316457878929</v>
      </c>
      <c r="AI381" s="5">
        <v>0</v>
      </c>
      <c r="AJ381" s="5"/>
      <c r="AK381" s="5">
        <v>532.08483316788306</v>
      </c>
      <c r="AL381" s="5">
        <v>540</v>
      </c>
      <c r="AM381" s="5"/>
      <c r="AN381" s="5">
        <v>1096.4210133998299</v>
      </c>
      <c r="AO381" s="5">
        <v>0</v>
      </c>
      <c r="AP381" s="5"/>
      <c r="AQ381" s="5">
        <v>427.70754083459872</v>
      </c>
      <c r="AR381" s="5">
        <v>0</v>
      </c>
      <c r="AS381" s="5"/>
      <c r="AT381" s="5">
        <v>610.40483184112713</v>
      </c>
      <c r="AU381" s="5">
        <v>0</v>
      </c>
      <c r="AV381" s="5"/>
      <c r="AW381" s="5">
        <v>0</v>
      </c>
      <c r="AX381" s="5">
        <v>0</v>
      </c>
      <c r="AY381" s="5"/>
      <c r="AZ381" s="5">
        <v>2173</v>
      </c>
      <c r="BA381" s="5">
        <v>540</v>
      </c>
      <c r="BB381" s="5">
        <v>-1633</v>
      </c>
      <c r="BD381" s="2">
        <v>3</v>
      </c>
      <c r="BF381" s="787">
        <v>20.47</v>
      </c>
      <c r="BG381" s="325">
        <v>150000905</v>
      </c>
    </row>
    <row r="382" spans="1:59" ht="24.9" customHeight="1" x14ac:dyDescent="0.3">
      <c r="A382" s="325">
        <v>150000906</v>
      </c>
      <c r="B382" s="445" t="s">
        <v>407</v>
      </c>
      <c r="C382" s="27">
        <v>9</v>
      </c>
      <c r="D382" s="101" t="s">
        <v>455</v>
      </c>
      <c r="E382" s="786">
        <v>3935.64</v>
      </c>
      <c r="F382" s="5">
        <v>2915</v>
      </c>
      <c r="G382" s="5">
        <v>0</v>
      </c>
      <c r="H382" s="5">
        <v>-2915</v>
      </c>
      <c r="I382" s="5">
        <v>0</v>
      </c>
      <c r="J382" s="5">
        <v>0</v>
      </c>
      <c r="K382" s="153"/>
      <c r="L382" s="5">
        <v>0</v>
      </c>
      <c r="M382" s="5">
        <v>0</v>
      </c>
      <c r="N382" s="5"/>
      <c r="O382" s="5">
        <v>0</v>
      </c>
      <c r="P382" s="5">
        <v>0</v>
      </c>
      <c r="Q382" s="790"/>
      <c r="R382" s="5">
        <v>0</v>
      </c>
      <c r="S382" s="5">
        <v>0</v>
      </c>
      <c r="T382" s="628"/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/>
      <c r="AA382" s="5">
        <v>0</v>
      </c>
      <c r="AB382" s="5">
        <v>0</v>
      </c>
      <c r="AC382" s="5">
        <v>0</v>
      </c>
      <c r="AD382" s="5">
        <v>0</v>
      </c>
      <c r="AE382" s="5">
        <v>630.28158000154735</v>
      </c>
      <c r="AF382" s="5">
        <v>831</v>
      </c>
      <c r="AG382" s="454"/>
      <c r="AH382" s="5">
        <v>1181.9790993558972</v>
      </c>
      <c r="AI382" s="5">
        <v>0</v>
      </c>
      <c r="AJ382" s="5"/>
      <c r="AK382" s="5">
        <v>342.09806706541502</v>
      </c>
      <c r="AL382" s="5">
        <v>0</v>
      </c>
      <c r="AM382" s="5"/>
      <c r="AN382" s="5">
        <v>862.341485069957</v>
      </c>
      <c r="AO382" s="5">
        <v>0</v>
      </c>
      <c r="AP382" s="5"/>
      <c r="AQ382" s="5">
        <v>417.96272557758289</v>
      </c>
      <c r="AR382" s="5">
        <v>0</v>
      </c>
      <c r="AS382" s="460"/>
      <c r="AT382" s="5">
        <v>761.76955237236461</v>
      </c>
      <c r="AU382" s="5">
        <v>0</v>
      </c>
      <c r="AV382" s="5"/>
      <c r="AW382" s="5">
        <v>78.356400000000008</v>
      </c>
      <c r="AX382" s="5">
        <v>0</v>
      </c>
      <c r="AY382" s="5"/>
      <c r="AZ382" s="5">
        <v>2138</v>
      </c>
      <c r="BA382" s="5">
        <v>0</v>
      </c>
      <c r="BB382" s="5">
        <v>-2138</v>
      </c>
      <c r="BD382" s="2">
        <v>3</v>
      </c>
      <c r="BF382" s="787">
        <v>15.43</v>
      </c>
      <c r="BG382" s="325">
        <v>150000906</v>
      </c>
    </row>
    <row r="383" spans="1:59" ht="24.9" customHeight="1" x14ac:dyDescent="0.3">
      <c r="A383" s="325">
        <v>150000907</v>
      </c>
      <c r="B383" s="445" t="s">
        <v>408</v>
      </c>
      <c r="C383" s="27">
        <v>9</v>
      </c>
      <c r="D383" s="101" t="s">
        <v>455</v>
      </c>
      <c r="E383" s="786">
        <v>6307.7</v>
      </c>
      <c r="F383" s="5">
        <v>3821</v>
      </c>
      <c r="G383" s="5">
        <v>7563</v>
      </c>
      <c r="H383" s="5">
        <v>-3821</v>
      </c>
      <c r="I383" s="5">
        <v>0</v>
      </c>
      <c r="J383" s="5">
        <v>0</v>
      </c>
      <c r="K383" s="153"/>
      <c r="L383" s="5">
        <v>0</v>
      </c>
      <c r="M383" s="5">
        <v>0</v>
      </c>
      <c r="N383" s="5"/>
      <c r="O383" s="5">
        <v>0</v>
      </c>
      <c r="P383" s="5">
        <v>0</v>
      </c>
      <c r="Q383" s="784"/>
      <c r="R383" s="5">
        <v>1</v>
      </c>
      <c r="S383" s="5">
        <v>5652</v>
      </c>
      <c r="T383" s="630"/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630"/>
      <c r="AA383" s="5">
        <v>0</v>
      </c>
      <c r="AB383" s="5">
        <v>0</v>
      </c>
      <c r="AC383" s="5">
        <v>0</v>
      </c>
      <c r="AD383" s="5">
        <v>1911</v>
      </c>
      <c r="AE383" s="5">
        <v>1621.8982283941014</v>
      </c>
      <c r="AF383" s="5">
        <v>0</v>
      </c>
      <c r="AG383" s="5"/>
      <c r="AH383" s="5">
        <v>1797.7112023605825</v>
      </c>
      <c r="AI383" s="5">
        <v>0</v>
      </c>
      <c r="AJ383" s="5"/>
      <c r="AK383" s="5">
        <v>581.55288385929896</v>
      </c>
      <c r="AL383" s="5">
        <v>0</v>
      </c>
      <c r="AM383" s="466"/>
      <c r="AN383" s="5">
        <v>1362.3483673665</v>
      </c>
      <c r="AO383" s="5">
        <v>0</v>
      </c>
      <c r="AP383" s="5"/>
      <c r="AQ383" s="5">
        <v>626.45466780048014</v>
      </c>
      <c r="AR383" s="5">
        <v>0</v>
      </c>
      <c r="AS383" s="5"/>
      <c r="AT383" s="5">
        <v>820.41964906954331</v>
      </c>
      <c r="AU383" s="5">
        <v>0</v>
      </c>
      <c r="AV383" s="5"/>
      <c r="AW383" s="5">
        <v>126.081</v>
      </c>
      <c r="AX383" s="5">
        <v>0</v>
      </c>
      <c r="AY383" s="5"/>
      <c r="AZ383" s="5">
        <v>3468</v>
      </c>
      <c r="BA383" s="5">
        <v>0</v>
      </c>
      <c r="BB383" s="5">
        <v>-3468</v>
      </c>
      <c r="BD383" s="2">
        <v>3</v>
      </c>
      <c r="BF383" s="787">
        <v>24.72</v>
      </c>
      <c r="BG383" s="325">
        <v>150000907</v>
      </c>
    </row>
    <row r="384" spans="1:59" ht="24.9" customHeight="1" x14ac:dyDescent="0.3">
      <c r="A384" s="325">
        <v>150000908</v>
      </c>
      <c r="B384" s="445" t="s">
        <v>409</v>
      </c>
      <c r="C384" s="27">
        <v>9</v>
      </c>
      <c r="D384" s="101" t="s">
        <v>455</v>
      </c>
      <c r="E384" s="786">
        <v>6324.72</v>
      </c>
      <c r="F384" s="5">
        <v>3826</v>
      </c>
      <c r="G384" s="5">
        <v>1948</v>
      </c>
      <c r="H384" s="5">
        <v>-3345</v>
      </c>
      <c r="I384" s="5">
        <v>0</v>
      </c>
      <c r="J384" s="5">
        <v>0</v>
      </c>
      <c r="K384" s="153"/>
      <c r="L384" s="5">
        <v>0</v>
      </c>
      <c r="M384" s="5">
        <v>0</v>
      </c>
      <c r="N384" s="5"/>
      <c r="O384" s="5">
        <v>0</v>
      </c>
      <c r="P384" s="5">
        <v>0</v>
      </c>
      <c r="Q384" s="784"/>
      <c r="R384" s="5">
        <v>0</v>
      </c>
      <c r="S384" s="5">
        <v>482</v>
      </c>
      <c r="T384" s="630"/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630"/>
      <c r="AA384" s="5">
        <v>0</v>
      </c>
      <c r="AB384" s="5">
        <v>0</v>
      </c>
      <c r="AC384" s="5">
        <v>0</v>
      </c>
      <c r="AD384" s="5">
        <v>1466</v>
      </c>
      <c r="AE384" s="5">
        <v>1624.1772021052504</v>
      </c>
      <c r="AF384" s="5">
        <v>0</v>
      </c>
      <c r="AG384" s="5"/>
      <c r="AH384" s="5">
        <v>1801.5423795482595</v>
      </c>
      <c r="AI384" s="5">
        <v>0</v>
      </c>
      <c r="AJ384" s="5"/>
      <c r="AK384" s="5">
        <v>567.63225666972903</v>
      </c>
      <c r="AL384" s="5">
        <v>0</v>
      </c>
      <c r="AM384" s="454"/>
      <c r="AN384" s="5">
        <v>1363.520054593236</v>
      </c>
      <c r="AO384" s="5">
        <v>0</v>
      </c>
      <c r="AP384" s="5"/>
      <c r="AQ384" s="5">
        <v>626.45466780048014</v>
      </c>
      <c r="AR384" s="5">
        <v>0</v>
      </c>
      <c r="AS384" s="5"/>
      <c r="AT384" s="5">
        <v>829.92124929939416</v>
      </c>
      <c r="AU384" s="5">
        <v>0</v>
      </c>
      <c r="AV384" s="5"/>
      <c r="AW384" s="5">
        <v>126.1683</v>
      </c>
      <c r="AX384" s="5">
        <v>0</v>
      </c>
      <c r="AY384" s="5"/>
      <c r="AZ384" s="5">
        <v>3469</v>
      </c>
      <c r="BA384" s="5">
        <v>0</v>
      </c>
      <c r="BB384" s="5">
        <v>-3469</v>
      </c>
      <c r="BD384" s="2">
        <v>3</v>
      </c>
      <c r="BF384" s="787">
        <v>24.76</v>
      </c>
      <c r="BG384" s="325">
        <v>150000908</v>
      </c>
    </row>
    <row r="385" spans="1:59" ht="24.9" customHeight="1" x14ac:dyDescent="0.3">
      <c r="A385" s="325">
        <v>150000909</v>
      </c>
      <c r="B385" s="445" t="s">
        <v>410</v>
      </c>
      <c r="C385" s="27">
        <v>9</v>
      </c>
      <c r="D385" s="101" t="s">
        <v>455</v>
      </c>
      <c r="E385" s="786">
        <v>6335.43</v>
      </c>
      <c r="F385" s="5">
        <v>3842</v>
      </c>
      <c r="G385" s="5">
        <v>2078</v>
      </c>
      <c r="H385" s="5">
        <v>-3842</v>
      </c>
      <c r="I385" s="5">
        <v>0</v>
      </c>
      <c r="J385" s="5">
        <v>0</v>
      </c>
      <c r="K385" s="467"/>
      <c r="L385" s="5">
        <v>0</v>
      </c>
      <c r="M385" s="5">
        <v>0</v>
      </c>
      <c r="N385" s="5"/>
      <c r="O385" s="5">
        <v>0</v>
      </c>
      <c r="P385" s="5">
        <v>0</v>
      </c>
      <c r="Q385" s="784"/>
      <c r="R385" s="5">
        <v>0</v>
      </c>
      <c r="S385" s="5">
        <v>0</v>
      </c>
      <c r="T385" s="789"/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630"/>
      <c r="AA385" s="5">
        <v>0</v>
      </c>
      <c r="AB385" s="5">
        <v>0</v>
      </c>
      <c r="AC385" s="5">
        <v>612</v>
      </c>
      <c r="AD385" s="5">
        <v>1466</v>
      </c>
      <c r="AE385" s="5">
        <v>1613.6853246694945</v>
      </c>
      <c r="AF385" s="5">
        <v>0</v>
      </c>
      <c r="AG385" s="8"/>
      <c r="AH385" s="5">
        <v>1791.6139100608038</v>
      </c>
      <c r="AI385" s="5">
        <v>0</v>
      </c>
      <c r="AJ385" s="8"/>
      <c r="AK385" s="5">
        <v>584.30832548194098</v>
      </c>
      <c r="AL385" s="5">
        <v>4456</v>
      </c>
      <c r="AM385" s="466"/>
      <c r="AN385" s="5">
        <v>1382.358807858657</v>
      </c>
      <c r="AO385" s="5">
        <v>0</v>
      </c>
      <c r="AP385" s="5"/>
      <c r="AQ385" s="5">
        <v>626.45466780048014</v>
      </c>
      <c r="AR385" s="5">
        <v>16.5</v>
      </c>
      <c r="AS385" s="5"/>
      <c r="AT385" s="5">
        <v>804.49249273788018</v>
      </c>
      <c r="AU385" s="5">
        <v>0</v>
      </c>
      <c r="AV385" s="463"/>
      <c r="AW385" s="5">
        <v>126.3552</v>
      </c>
      <c r="AX385" s="5">
        <v>0</v>
      </c>
      <c r="AY385" s="5"/>
      <c r="AZ385" s="5">
        <v>3465</v>
      </c>
      <c r="BA385" s="5">
        <v>2021</v>
      </c>
      <c r="BB385" s="5">
        <v>-1444</v>
      </c>
      <c r="BD385" s="2">
        <v>3</v>
      </c>
      <c r="BF385" s="787">
        <v>24.83</v>
      </c>
      <c r="BG385" s="325">
        <v>150000909</v>
      </c>
    </row>
    <row r="386" spans="1:59" ht="24.9" customHeight="1" x14ac:dyDescent="0.3">
      <c r="A386" s="325">
        <v>150000910</v>
      </c>
      <c r="B386" s="445" t="s">
        <v>411</v>
      </c>
      <c r="C386" s="27">
        <v>9</v>
      </c>
      <c r="D386" s="101" t="s">
        <v>455</v>
      </c>
      <c r="E386" s="786">
        <v>6347.35</v>
      </c>
      <c r="F386" s="5">
        <v>3775</v>
      </c>
      <c r="G386" s="5">
        <v>2563</v>
      </c>
      <c r="H386" s="5">
        <v>-2678</v>
      </c>
      <c r="I386" s="5">
        <v>0</v>
      </c>
      <c r="J386" s="5">
        <v>0</v>
      </c>
      <c r="K386" s="153"/>
      <c r="L386" s="5">
        <v>0</v>
      </c>
      <c r="M386" s="5">
        <v>0</v>
      </c>
      <c r="N386" s="5"/>
      <c r="O386" s="5">
        <v>0</v>
      </c>
      <c r="P386" s="5">
        <v>0</v>
      </c>
      <c r="Q386" s="784"/>
      <c r="R386" s="5">
        <v>0</v>
      </c>
      <c r="S386" s="5">
        <v>0</v>
      </c>
      <c r="T386" s="628"/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630"/>
      <c r="AA386" s="5">
        <v>0</v>
      </c>
      <c r="AB386" s="5">
        <v>0</v>
      </c>
      <c r="AC386" s="5">
        <v>0</v>
      </c>
      <c r="AD386" s="5">
        <v>2563</v>
      </c>
      <c r="AE386" s="5">
        <v>1611.5273241893456</v>
      </c>
      <c r="AF386" s="5">
        <v>0</v>
      </c>
      <c r="AG386" s="5"/>
      <c r="AH386" s="5">
        <v>1794.1731659630127</v>
      </c>
      <c r="AI386" s="5">
        <v>0</v>
      </c>
      <c r="AJ386" s="5"/>
      <c r="AK386" s="5">
        <v>584.30832548194098</v>
      </c>
      <c r="AL386" s="5">
        <v>0</v>
      </c>
      <c r="AM386" s="5"/>
      <c r="AN386" s="5">
        <v>1372.3298281766019</v>
      </c>
      <c r="AO386" s="5">
        <v>0</v>
      </c>
      <c r="AP386" s="5"/>
      <c r="AQ386" s="5">
        <v>626.45466780048014</v>
      </c>
      <c r="AR386" s="5">
        <v>0</v>
      </c>
      <c r="AS386" s="5"/>
      <c r="AT386" s="5">
        <v>812.43147022706069</v>
      </c>
      <c r="AU386" s="5">
        <v>0</v>
      </c>
      <c r="AV386" s="5"/>
      <c r="AW386" s="5">
        <v>126.4725</v>
      </c>
      <c r="AX386" s="5">
        <v>0</v>
      </c>
      <c r="AY386" s="5"/>
      <c r="AZ386" s="5">
        <v>3465</v>
      </c>
      <c r="BA386" s="5">
        <v>0</v>
      </c>
      <c r="BB386" s="5">
        <v>-3465</v>
      </c>
      <c r="BD386" s="2">
        <v>3</v>
      </c>
      <c r="BF386" s="787">
        <v>24.88</v>
      </c>
      <c r="BG386" s="325">
        <v>150000910</v>
      </c>
    </row>
    <row r="387" spans="1:59" ht="24.9" customHeight="1" x14ac:dyDescent="0.3">
      <c r="A387" s="325">
        <v>150000911</v>
      </c>
      <c r="B387" s="445" t="s">
        <v>319</v>
      </c>
      <c r="C387" s="27">
        <v>5</v>
      </c>
      <c r="D387" s="101" t="s">
        <v>455</v>
      </c>
      <c r="E387" s="786">
        <v>5864.08</v>
      </c>
      <c r="F387" s="5">
        <v>6014</v>
      </c>
      <c r="G387" s="5">
        <v>14947</v>
      </c>
      <c r="H387" s="5">
        <v>-5719</v>
      </c>
      <c r="I387" s="5">
        <v>0</v>
      </c>
      <c r="J387" s="5">
        <v>0</v>
      </c>
      <c r="K387" s="153"/>
      <c r="L387" s="5">
        <v>0</v>
      </c>
      <c r="M387" s="5">
        <v>0</v>
      </c>
      <c r="N387" s="5"/>
      <c r="O387" s="5">
        <v>0</v>
      </c>
      <c r="P387" s="5">
        <v>0</v>
      </c>
      <c r="Q387" s="784"/>
      <c r="R387" s="5">
        <v>0</v>
      </c>
      <c r="S387" s="5">
        <v>0</v>
      </c>
      <c r="T387" s="628"/>
      <c r="U387" s="5">
        <v>0</v>
      </c>
      <c r="V387" s="5">
        <v>0</v>
      </c>
      <c r="W387" s="5">
        <v>16</v>
      </c>
      <c r="X387" s="5">
        <v>10742</v>
      </c>
      <c r="Y387" s="5">
        <v>0</v>
      </c>
      <c r="Z387" s="5"/>
      <c r="AA387" s="5">
        <v>0</v>
      </c>
      <c r="AB387" s="5">
        <v>0</v>
      </c>
      <c r="AC387" s="5">
        <v>296</v>
      </c>
      <c r="AD387" s="5">
        <v>3909</v>
      </c>
      <c r="AE387" s="5">
        <v>1313.6715189947704</v>
      </c>
      <c r="AF387" s="5">
        <v>0</v>
      </c>
      <c r="AG387" s="454"/>
      <c r="AH387" s="5">
        <v>1727.777695664699</v>
      </c>
      <c r="AI387" s="5">
        <v>0</v>
      </c>
      <c r="AJ387" s="5"/>
      <c r="AK387" s="5">
        <v>360.35110746093</v>
      </c>
      <c r="AL387" s="5">
        <v>0</v>
      </c>
      <c r="AM387" s="5"/>
      <c r="AN387" s="5">
        <v>0</v>
      </c>
      <c r="AO387" s="5">
        <v>0</v>
      </c>
      <c r="AP387" s="5"/>
      <c r="AQ387" s="5">
        <v>1073.6730586537483</v>
      </c>
      <c r="AR387" s="5">
        <v>0</v>
      </c>
      <c r="AS387" s="5"/>
      <c r="AT387" s="5">
        <v>1811.7409730522716</v>
      </c>
      <c r="AU387" s="5">
        <v>0</v>
      </c>
      <c r="AV387" s="5"/>
      <c r="AW387" s="5">
        <v>117.6408</v>
      </c>
      <c r="AX387" s="5">
        <v>0</v>
      </c>
      <c r="AY387" s="5"/>
      <c r="AZ387" s="5">
        <v>3202</v>
      </c>
      <c r="BA387" s="5">
        <v>0</v>
      </c>
      <c r="BB387" s="5">
        <v>-3202</v>
      </c>
      <c r="BD387" s="2">
        <v>3</v>
      </c>
      <c r="BF387" s="787">
        <v>22.98</v>
      </c>
      <c r="BG387" s="325">
        <v>150000911</v>
      </c>
    </row>
    <row r="388" spans="1:59" ht="24.9" customHeight="1" x14ac:dyDescent="0.3">
      <c r="A388" s="325">
        <v>150000912</v>
      </c>
      <c r="B388" s="445" t="s">
        <v>320</v>
      </c>
      <c r="C388" s="27">
        <v>5</v>
      </c>
      <c r="D388" s="101" t="s">
        <v>455</v>
      </c>
      <c r="E388" s="786">
        <v>4467.42</v>
      </c>
      <c r="F388" s="5">
        <v>4539</v>
      </c>
      <c r="G388" s="5">
        <v>10717</v>
      </c>
      <c r="H388" s="5">
        <v>-4539</v>
      </c>
      <c r="I388" s="5">
        <v>0</v>
      </c>
      <c r="J388" s="5">
        <v>0</v>
      </c>
      <c r="K388" s="153"/>
      <c r="L388" s="5">
        <v>0</v>
      </c>
      <c r="M388" s="5">
        <v>0</v>
      </c>
      <c r="N388" s="788"/>
      <c r="O388" s="5">
        <v>0</v>
      </c>
      <c r="P388" s="5">
        <v>0</v>
      </c>
      <c r="Q388" s="784"/>
      <c r="R388" s="5">
        <v>0</v>
      </c>
      <c r="S388" s="5">
        <v>0</v>
      </c>
      <c r="T388" s="628"/>
      <c r="U388" s="5">
        <v>0</v>
      </c>
      <c r="V388" s="5">
        <v>0</v>
      </c>
      <c r="W388" s="5">
        <v>15</v>
      </c>
      <c r="X388" s="5">
        <v>10075</v>
      </c>
      <c r="Y388" s="5">
        <v>0</v>
      </c>
      <c r="Z388" s="5"/>
      <c r="AA388" s="5">
        <v>0</v>
      </c>
      <c r="AB388" s="5">
        <v>0</v>
      </c>
      <c r="AC388" s="5">
        <v>0</v>
      </c>
      <c r="AD388" s="5">
        <v>642</v>
      </c>
      <c r="AE388" s="5">
        <v>1047.6190002004464</v>
      </c>
      <c r="AF388" s="5">
        <v>1653</v>
      </c>
      <c r="AG388" s="8"/>
      <c r="AH388" s="5">
        <v>1297.5735895036782</v>
      </c>
      <c r="AI388" s="5">
        <v>0</v>
      </c>
      <c r="AJ388" s="8"/>
      <c r="AK388" s="5">
        <v>263.65949632436332</v>
      </c>
      <c r="AL388" s="5">
        <v>0</v>
      </c>
      <c r="AM388" s="5"/>
      <c r="AN388" s="5">
        <v>0</v>
      </c>
      <c r="AO388" s="5">
        <v>0</v>
      </c>
      <c r="AP388" s="5"/>
      <c r="AQ388" s="5">
        <v>512.45328683880348</v>
      </c>
      <c r="AR388" s="5">
        <v>0</v>
      </c>
      <c r="AS388" s="5"/>
      <c r="AT388" s="5">
        <v>1083.8713088443974</v>
      </c>
      <c r="AU388" s="5">
        <v>0</v>
      </c>
      <c r="AV388" s="5"/>
      <c r="AW388" s="5">
        <v>89.674199999999999</v>
      </c>
      <c r="AX388" s="5">
        <v>0</v>
      </c>
      <c r="AY388" s="5"/>
      <c r="AZ388" s="5">
        <v>2147</v>
      </c>
      <c r="BA388" s="5">
        <v>1653</v>
      </c>
      <c r="BB388" s="5">
        <v>-493</v>
      </c>
      <c r="BD388" s="2">
        <v>3</v>
      </c>
      <c r="BF388" s="787">
        <v>17.510000000000002</v>
      </c>
      <c r="BG388" s="325">
        <v>150000912</v>
      </c>
    </row>
    <row r="389" spans="1:59" ht="24.9" customHeight="1" x14ac:dyDescent="0.3">
      <c r="A389" s="325">
        <v>150000913</v>
      </c>
      <c r="B389" s="445" t="s">
        <v>321</v>
      </c>
      <c r="C389" s="27">
        <v>5</v>
      </c>
      <c r="D389" s="101" t="s">
        <v>455</v>
      </c>
      <c r="E389" s="786">
        <v>2779.82</v>
      </c>
      <c r="F389" s="5">
        <v>2773</v>
      </c>
      <c r="G389" s="5">
        <v>17190</v>
      </c>
      <c r="H389" s="5">
        <v>-2773</v>
      </c>
      <c r="I389" s="5">
        <v>73.099999999999994</v>
      </c>
      <c r="J389" s="5">
        <v>14961</v>
      </c>
      <c r="K389" s="153"/>
      <c r="L389" s="5">
        <v>0</v>
      </c>
      <c r="M389" s="5">
        <v>0</v>
      </c>
      <c r="N389" s="628"/>
      <c r="O389" s="5">
        <v>0</v>
      </c>
      <c r="P389" s="5">
        <v>0</v>
      </c>
      <c r="Q389" s="784"/>
      <c r="R389" s="5">
        <v>0</v>
      </c>
      <c r="S389" s="5">
        <v>0</v>
      </c>
      <c r="T389" s="628"/>
      <c r="U389" s="5">
        <v>0</v>
      </c>
      <c r="V389" s="5">
        <v>0</v>
      </c>
      <c r="W389" s="5">
        <v>0</v>
      </c>
      <c r="X389" s="5">
        <v>0</v>
      </c>
      <c r="Y389" s="5">
        <v>1716</v>
      </c>
      <c r="Z389" s="630"/>
      <c r="AA389" s="5">
        <v>0</v>
      </c>
      <c r="AB389" s="5">
        <v>0</v>
      </c>
      <c r="AC389" s="5">
        <v>0</v>
      </c>
      <c r="AD389" s="5">
        <v>513</v>
      </c>
      <c r="AE389" s="5">
        <v>694.20964235522752</v>
      </c>
      <c r="AF389" s="5">
        <v>0</v>
      </c>
      <c r="AG389" s="5"/>
      <c r="AH389" s="5">
        <v>857.59822432078909</v>
      </c>
      <c r="AI389" s="5">
        <v>2586</v>
      </c>
      <c r="AJ389" s="454"/>
      <c r="AK389" s="5">
        <v>168.2346426383684</v>
      </c>
      <c r="AL389" s="5">
        <v>4329</v>
      </c>
      <c r="AM389" s="5"/>
      <c r="AN389" s="5">
        <v>0</v>
      </c>
      <c r="AO389" s="5">
        <v>0</v>
      </c>
      <c r="AP389" s="5"/>
      <c r="AQ389" s="5">
        <v>512.45328683880348</v>
      </c>
      <c r="AR389" s="5">
        <v>0</v>
      </c>
      <c r="AS389" s="5"/>
      <c r="AT389" s="5">
        <v>512.260260181077</v>
      </c>
      <c r="AU389" s="5">
        <v>0</v>
      </c>
      <c r="AV389" s="5"/>
      <c r="AW389" s="5">
        <v>55.796199999999999</v>
      </c>
      <c r="AX389" s="5">
        <v>0</v>
      </c>
      <c r="AY389" s="5"/>
      <c r="AZ389" s="5">
        <v>1401</v>
      </c>
      <c r="BA389" s="5">
        <v>0</v>
      </c>
      <c r="BB389" s="5">
        <v>-1401</v>
      </c>
      <c r="BD389" s="2">
        <v>3</v>
      </c>
      <c r="BF389" s="787">
        <v>10.89</v>
      </c>
      <c r="BG389" s="325">
        <v>150000913</v>
      </c>
    </row>
    <row r="390" spans="1:59" ht="24.9" customHeight="1" x14ac:dyDescent="0.3">
      <c r="A390" s="325">
        <v>150000914</v>
      </c>
      <c r="B390" s="445" t="s">
        <v>322</v>
      </c>
      <c r="C390" s="27">
        <v>5</v>
      </c>
      <c r="D390" s="101" t="s">
        <v>455</v>
      </c>
      <c r="E390" s="786">
        <v>2762.3</v>
      </c>
      <c r="F390" s="5">
        <v>2775</v>
      </c>
      <c r="G390" s="5">
        <v>0</v>
      </c>
      <c r="H390" s="5">
        <v>-2775</v>
      </c>
      <c r="I390" s="5">
        <v>0</v>
      </c>
      <c r="J390" s="5">
        <v>0</v>
      </c>
      <c r="K390" s="153"/>
      <c r="L390" s="5">
        <v>0</v>
      </c>
      <c r="M390" s="5">
        <v>0</v>
      </c>
      <c r="N390" s="5"/>
      <c r="O390" s="5">
        <v>0</v>
      </c>
      <c r="P390" s="5">
        <v>0</v>
      </c>
      <c r="Q390" s="784"/>
      <c r="R390" s="5">
        <v>0</v>
      </c>
      <c r="S390" s="5">
        <v>0</v>
      </c>
      <c r="T390" s="628"/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/>
      <c r="AA390" s="5">
        <v>0</v>
      </c>
      <c r="AB390" s="5">
        <v>0</v>
      </c>
      <c r="AC390" s="5">
        <v>0</v>
      </c>
      <c r="AD390" s="5">
        <v>0</v>
      </c>
      <c r="AE390" s="5">
        <v>694.20964235522752</v>
      </c>
      <c r="AF390" s="5">
        <v>0</v>
      </c>
      <c r="AG390" s="5"/>
      <c r="AH390" s="5">
        <v>857.59822432078909</v>
      </c>
      <c r="AI390" s="5">
        <v>0</v>
      </c>
      <c r="AJ390" s="5"/>
      <c r="AK390" s="5">
        <v>168.2346426383684</v>
      </c>
      <c r="AL390" s="5">
        <v>0</v>
      </c>
      <c r="AM390" s="5"/>
      <c r="AN390" s="5">
        <v>0</v>
      </c>
      <c r="AO390" s="5">
        <v>0</v>
      </c>
      <c r="AP390" s="5"/>
      <c r="AQ390" s="5">
        <v>512.45328683880348</v>
      </c>
      <c r="AR390" s="5">
        <v>0</v>
      </c>
      <c r="AS390" s="5"/>
      <c r="AT390" s="5">
        <v>512.260260181077</v>
      </c>
      <c r="AU390" s="5">
        <v>0</v>
      </c>
      <c r="AV390" s="5"/>
      <c r="AW390" s="5">
        <v>55.623000000000005</v>
      </c>
      <c r="AX390" s="5">
        <v>0</v>
      </c>
      <c r="AY390" s="5"/>
      <c r="AZ390" s="5">
        <v>1400</v>
      </c>
      <c r="BA390" s="5">
        <v>0</v>
      </c>
      <c r="BB390" s="5">
        <v>-1400</v>
      </c>
      <c r="BD390" s="2">
        <v>3</v>
      </c>
      <c r="BF390" s="787">
        <v>10.83</v>
      </c>
      <c r="BG390" s="325">
        <v>150000914</v>
      </c>
    </row>
    <row r="391" spans="1:59" ht="24.9" customHeight="1" x14ac:dyDescent="0.3">
      <c r="A391" s="325">
        <v>150000915</v>
      </c>
      <c r="B391" s="445" t="s">
        <v>323</v>
      </c>
      <c r="C391" s="27">
        <v>5</v>
      </c>
      <c r="D391" s="101" t="s">
        <v>455</v>
      </c>
      <c r="E391" s="786">
        <v>2743.4</v>
      </c>
      <c r="F391" s="5">
        <v>2176</v>
      </c>
      <c r="G391" s="5">
        <v>7957</v>
      </c>
      <c r="H391" s="5">
        <v>-1839</v>
      </c>
      <c r="I391" s="5">
        <v>34.799999999999997</v>
      </c>
      <c r="J391" s="5">
        <v>5901</v>
      </c>
      <c r="K391" s="153"/>
      <c r="L391" s="5">
        <v>0</v>
      </c>
      <c r="M391" s="5">
        <v>337</v>
      </c>
      <c r="N391" s="467"/>
      <c r="O391" s="5">
        <v>0</v>
      </c>
      <c r="P391" s="5">
        <v>0</v>
      </c>
      <c r="Q391" s="784"/>
      <c r="R391" s="5">
        <v>0</v>
      </c>
      <c r="S391" s="5">
        <v>0</v>
      </c>
      <c r="T391" s="628"/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/>
      <c r="AA391" s="5">
        <v>0</v>
      </c>
      <c r="AB391" s="5">
        <v>0</v>
      </c>
      <c r="AC391" s="5">
        <v>1276</v>
      </c>
      <c r="AD391" s="5">
        <v>443</v>
      </c>
      <c r="AE391" s="5">
        <v>694.15074758090532</v>
      </c>
      <c r="AF391" s="5">
        <v>0</v>
      </c>
      <c r="AG391" s="5"/>
      <c r="AH391" s="5">
        <v>857.59822432078909</v>
      </c>
      <c r="AI391" s="5">
        <v>0</v>
      </c>
      <c r="AJ391" s="5"/>
      <c r="AK391" s="5">
        <v>168.2346426383684</v>
      </c>
      <c r="AL391" s="5">
        <v>0</v>
      </c>
      <c r="AM391" s="5"/>
      <c r="AN391" s="5">
        <v>0</v>
      </c>
      <c r="AO391" s="5">
        <v>0</v>
      </c>
      <c r="AP391" s="5"/>
      <c r="AQ391" s="5">
        <v>512.45328683880348</v>
      </c>
      <c r="AR391" s="5">
        <v>0</v>
      </c>
      <c r="AS391" s="5"/>
      <c r="AT391" s="5">
        <v>512.16867048256552</v>
      </c>
      <c r="AU391" s="5">
        <v>0</v>
      </c>
      <c r="AV391" s="463"/>
      <c r="AW391" s="5">
        <v>54.433999999999997</v>
      </c>
      <c r="AX391" s="5">
        <v>0</v>
      </c>
      <c r="AY391" s="5"/>
      <c r="AZ391" s="5">
        <v>1400</v>
      </c>
      <c r="BA391" s="5">
        <v>0</v>
      </c>
      <c r="BB391" s="5">
        <v>-1400</v>
      </c>
      <c r="BD391" s="2">
        <v>3</v>
      </c>
      <c r="BF391" s="787">
        <v>10.75</v>
      </c>
      <c r="BG391" s="325">
        <v>150000915</v>
      </c>
    </row>
    <row r="392" spans="1:59" ht="24.9" customHeight="1" x14ac:dyDescent="0.3">
      <c r="A392" s="325">
        <v>150000916</v>
      </c>
      <c r="B392" s="445" t="s">
        <v>324</v>
      </c>
      <c r="C392" s="27">
        <v>5</v>
      </c>
      <c r="D392" s="101" t="s">
        <v>455</v>
      </c>
      <c r="E392" s="786">
        <v>5790.5</v>
      </c>
      <c r="F392" s="5">
        <v>5963</v>
      </c>
      <c r="G392" s="5">
        <v>2578</v>
      </c>
      <c r="H392" s="5">
        <v>-4047</v>
      </c>
      <c r="I392" s="5">
        <v>0</v>
      </c>
      <c r="J392" s="5">
        <v>0</v>
      </c>
      <c r="K392" s="153"/>
      <c r="L392" s="5">
        <v>0</v>
      </c>
      <c r="M392" s="5">
        <v>0</v>
      </c>
      <c r="N392" s="5"/>
      <c r="O392" s="5">
        <v>0</v>
      </c>
      <c r="P392" s="5">
        <v>0</v>
      </c>
      <c r="Q392" s="784"/>
      <c r="R392" s="5">
        <v>0</v>
      </c>
      <c r="S392" s="5">
        <v>0</v>
      </c>
      <c r="T392" s="628"/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630"/>
      <c r="AA392" s="5">
        <v>0</v>
      </c>
      <c r="AB392" s="5">
        <v>1054</v>
      </c>
      <c r="AC392" s="5">
        <v>435</v>
      </c>
      <c r="AD392" s="5">
        <v>1089</v>
      </c>
      <c r="AE392" s="5">
        <v>1380.2479913072195</v>
      </c>
      <c r="AF392" s="5">
        <v>0</v>
      </c>
      <c r="AG392" s="8"/>
      <c r="AH392" s="5">
        <v>1727.5057440610153</v>
      </c>
      <c r="AI392" s="5">
        <v>0</v>
      </c>
      <c r="AJ392" s="8"/>
      <c r="AK392" s="5">
        <v>363.93646607066</v>
      </c>
      <c r="AL392" s="5">
        <v>3494</v>
      </c>
      <c r="AM392" s="5"/>
      <c r="AN392" s="5">
        <v>0</v>
      </c>
      <c r="AO392" s="5">
        <v>0</v>
      </c>
      <c r="AP392" s="5"/>
      <c r="AQ392" s="5">
        <v>1073.6730586537483</v>
      </c>
      <c r="AR392" s="5">
        <v>0</v>
      </c>
      <c r="AS392" s="5"/>
      <c r="AT392" s="5">
        <v>1809.6577339376515</v>
      </c>
      <c r="AU392" s="5">
        <v>0</v>
      </c>
      <c r="AV392" s="463"/>
      <c r="AW392" s="5">
        <v>117.527</v>
      </c>
      <c r="AX392" s="5">
        <v>0</v>
      </c>
      <c r="AY392" s="5"/>
      <c r="AZ392" s="5">
        <v>3236</v>
      </c>
      <c r="BA392" s="5">
        <v>540</v>
      </c>
      <c r="BB392" s="5">
        <v>-2696</v>
      </c>
      <c r="BD392" s="2">
        <v>3</v>
      </c>
      <c r="BF392" s="787">
        <v>22.94</v>
      </c>
      <c r="BG392" s="325">
        <v>150000916</v>
      </c>
    </row>
    <row r="393" spans="1:59" ht="24.9" customHeight="1" x14ac:dyDescent="0.3">
      <c r="A393" s="325">
        <v>150000917</v>
      </c>
      <c r="B393" s="445" t="s">
        <v>325</v>
      </c>
      <c r="C393" s="27">
        <v>5</v>
      </c>
      <c r="D393" s="101" t="s">
        <v>455</v>
      </c>
      <c r="E393" s="786">
        <v>4445.5</v>
      </c>
      <c r="F393" s="5">
        <v>3897</v>
      </c>
      <c r="G393" s="5">
        <v>0</v>
      </c>
      <c r="H393" s="5">
        <v>-3897</v>
      </c>
      <c r="I393" s="5">
        <v>0</v>
      </c>
      <c r="J393" s="5">
        <v>0</v>
      </c>
      <c r="K393" s="593"/>
      <c r="L393" s="5">
        <v>0</v>
      </c>
      <c r="M393" s="5">
        <v>0</v>
      </c>
      <c r="N393" s="5"/>
      <c r="O393" s="5">
        <v>0</v>
      </c>
      <c r="P393" s="5">
        <v>0</v>
      </c>
      <c r="Q393" s="784"/>
      <c r="R393" s="5">
        <v>0</v>
      </c>
      <c r="S393" s="5">
        <v>0</v>
      </c>
      <c r="T393" s="628"/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/>
      <c r="AA393" s="5">
        <v>0</v>
      </c>
      <c r="AB393" s="5">
        <v>0</v>
      </c>
      <c r="AC393" s="5">
        <v>0</v>
      </c>
      <c r="AD393" s="5">
        <v>0</v>
      </c>
      <c r="AE393" s="5">
        <v>1049.7764902162539</v>
      </c>
      <c r="AF393" s="5">
        <v>0</v>
      </c>
      <c r="AG393" s="5"/>
      <c r="AH393" s="5">
        <v>1298.4106031829363</v>
      </c>
      <c r="AI393" s="5">
        <v>0</v>
      </c>
      <c r="AJ393" s="5"/>
      <c r="AK393" s="5">
        <v>270.42214394588331</v>
      </c>
      <c r="AL393" s="5">
        <v>0</v>
      </c>
      <c r="AM393" s="5"/>
      <c r="AN393" s="5">
        <v>0</v>
      </c>
      <c r="AO393" s="5">
        <v>0</v>
      </c>
      <c r="AP393" s="5"/>
      <c r="AQ393" s="5">
        <v>693.6895941042286</v>
      </c>
      <c r="AR393" s="5">
        <v>16.5</v>
      </c>
      <c r="AS393" s="5"/>
      <c r="AT393" s="5">
        <v>1090.47264472078</v>
      </c>
      <c r="AU393" s="5">
        <v>0</v>
      </c>
      <c r="AV393" s="5"/>
      <c r="AW393" s="5">
        <v>88.456999999999994</v>
      </c>
      <c r="AX393" s="5">
        <v>0</v>
      </c>
      <c r="AY393" s="5"/>
      <c r="AZ393" s="5">
        <v>2246</v>
      </c>
      <c r="BA393" s="5">
        <v>0</v>
      </c>
      <c r="BB393" s="5">
        <v>-2246</v>
      </c>
      <c r="BD393" s="2">
        <v>3</v>
      </c>
      <c r="BF393" s="787">
        <v>17.420000000000002</v>
      </c>
      <c r="BG393" s="325">
        <v>150000917</v>
      </c>
    </row>
    <row r="394" spans="1:59" ht="24.9" customHeight="1" x14ac:dyDescent="0.3">
      <c r="A394" s="325">
        <v>150000918</v>
      </c>
      <c r="B394" s="445" t="s">
        <v>326</v>
      </c>
      <c r="C394" s="27">
        <v>5</v>
      </c>
      <c r="D394" s="101" t="s">
        <v>455</v>
      </c>
      <c r="E394" s="786">
        <v>4590.1000000000004</v>
      </c>
      <c r="F394" s="5">
        <v>2866</v>
      </c>
      <c r="G394" s="5">
        <v>5308</v>
      </c>
      <c r="H394" s="5">
        <v>1433</v>
      </c>
      <c r="I394" s="5">
        <v>0</v>
      </c>
      <c r="J394" s="5">
        <v>0</v>
      </c>
      <c r="K394" s="153"/>
      <c r="L394" s="5">
        <v>0</v>
      </c>
      <c r="M394" s="5">
        <v>0</v>
      </c>
      <c r="N394" s="5"/>
      <c r="O394" s="5">
        <v>0</v>
      </c>
      <c r="P394" s="5">
        <v>0</v>
      </c>
      <c r="Q394" s="784"/>
      <c r="R394" s="5">
        <v>0</v>
      </c>
      <c r="S394" s="5">
        <v>0</v>
      </c>
      <c r="T394" s="628"/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/>
      <c r="AA394" s="5">
        <v>0</v>
      </c>
      <c r="AB394" s="5">
        <v>0</v>
      </c>
      <c r="AC394" s="5">
        <v>238</v>
      </c>
      <c r="AD394" s="5">
        <v>5070</v>
      </c>
      <c r="AE394" s="5">
        <v>1072.3944667192372</v>
      </c>
      <c r="AF394" s="5">
        <v>0</v>
      </c>
      <c r="AG394" s="5"/>
      <c r="AH394" s="5">
        <v>1461.6708159510963</v>
      </c>
      <c r="AI394" s="5">
        <v>0</v>
      </c>
      <c r="AJ394" s="5"/>
      <c r="AK394" s="5">
        <v>283.61771176513173</v>
      </c>
      <c r="AL394" s="5">
        <v>2495</v>
      </c>
      <c r="AM394" s="5"/>
      <c r="AN394" s="5">
        <v>0</v>
      </c>
      <c r="AO394" s="5">
        <v>0</v>
      </c>
      <c r="AP394" s="5"/>
      <c r="AQ394" s="5">
        <v>693.6895941042286</v>
      </c>
      <c r="AR394" s="5">
        <v>16.5</v>
      </c>
      <c r="AS394" s="5"/>
      <c r="AT394" s="5">
        <v>1134.1087532341708</v>
      </c>
      <c r="AU394" s="5">
        <v>0</v>
      </c>
      <c r="AV394" s="5"/>
      <c r="AW394" s="5">
        <v>91.885999999999996</v>
      </c>
      <c r="AX394" s="5">
        <v>0</v>
      </c>
      <c r="AY394" s="5"/>
      <c r="AZ394" s="5">
        <v>2368</v>
      </c>
      <c r="BA394" s="5">
        <v>346</v>
      </c>
      <c r="BB394" s="5">
        <v>-2022</v>
      </c>
      <c r="BD394" s="2">
        <v>3</v>
      </c>
      <c r="BF394" s="787">
        <v>17.98</v>
      </c>
      <c r="BG394" s="325">
        <v>150000918</v>
      </c>
    </row>
    <row r="395" spans="1:59" ht="24.9" customHeight="1" x14ac:dyDescent="0.3">
      <c r="A395" s="325">
        <v>150000919</v>
      </c>
      <c r="B395" s="445" t="s">
        <v>327</v>
      </c>
      <c r="C395" s="27">
        <v>5</v>
      </c>
      <c r="D395" s="101" t="s">
        <v>455</v>
      </c>
      <c r="E395" s="786">
        <v>4566.8</v>
      </c>
      <c r="F395" s="5">
        <v>2871</v>
      </c>
      <c r="G395" s="5">
        <v>3215</v>
      </c>
      <c r="H395" s="5">
        <v>-172</v>
      </c>
      <c r="I395" s="5">
        <v>0</v>
      </c>
      <c r="J395" s="5">
        <v>0</v>
      </c>
      <c r="K395" s="153"/>
      <c r="L395" s="5">
        <v>0</v>
      </c>
      <c r="M395" s="5">
        <v>0</v>
      </c>
      <c r="N395" s="5"/>
      <c r="O395" s="5">
        <v>0</v>
      </c>
      <c r="P395" s="5">
        <v>0</v>
      </c>
      <c r="Q395" s="784"/>
      <c r="R395" s="5">
        <v>0</v>
      </c>
      <c r="S395" s="5">
        <v>0</v>
      </c>
      <c r="T395" s="628"/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/>
      <c r="AA395" s="5">
        <v>0</v>
      </c>
      <c r="AB395" s="5">
        <v>0</v>
      </c>
      <c r="AC395" s="5">
        <v>0</v>
      </c>
      <c r="AD395" s="5">
        <v>3215</v>
      </c>
      <c r="AE395" s="5">
        <v>1074.3835588343431</v>
      </c>
      <c r="AF395" s="5">
        <v>0</v>
      </c>
      <c r="AG395" s="5"/>
      <c r="AH395" s="5">
        <v>1461.534824990149</v>
      </c>
      <c r="AI395" s="5">
        <v>0</v>
      </c>
      <c r="AJ395" s="5"/>
      <c r="AK395" s="5">
        <v>278.24478619351999</v>
      </c>
      <c r="AL395" s="5">
        <v>0</v>
      </c>
      <c r="AM395" s="8"/>
      <c r="AN395" s="5">
        <v>0</v>
      </c>
      <c r="AO395" s="5">
        <v>0</v>
      </c>
      <c r="AP395" s="5"/>
      <c r="AQ395" s="5">
        <v>693.6895941042286</v>
      </c>
      <c r="AR395" s="5">
        <v>0</v>
      </c>
      <c r="AS395" s="5"/>
      <c r="AT395" s="5">
        <v>1133.6797404810491</v>
      </c>
      <c r="AU395" s="5">
        <v>0</v>
      </c>
      <c r="AV395" s="5"/>
      <c r="AW395" s="5">
        <v>91.668999999999997</v>
      </c>
      <c r="AX395" s="5">
        <v>0</v>
      </c>
      <c r="AY395" s="5"/>
      <c r="AZ395" s="5">
        <v>2366</v>
      </c>
      <c r="BA395" s="5">
        <v>0</v>
      </c>
      <c r="BB395" s="5">
        <v>-2366</v>
      </c>
      <c r="BD395" s="2">
        <v>3</v>
      </c>
      <c r="BF395" s="787">
        <v>17.899999999999999</v>
      </c>
      <c r="BG395" s="325">
        <v>150000919</v>
      </c>
    </row>
    <row r="396" spans="1:59" ht="24.9" customHeight="1" x14ac:dyDescent="0.3">
      <c r="A396" s="325">
        <v>150000920</v>
      </c>
      <c r="B396" s="445" t="s">
        <v>328</v>
      </c>
      <c r="C396" s="27">
        <v>5</v>
      </c>
      <c r="D396" s="101" t="s">
        <v>455</v>
      </c>
      <c r="E396" s="786">
        <v>4553.8</v>
      </c>
      <c r="F396" s="5">
        <v>2874</v>
      </c>
      <c r="G396" s="5">
        <v>6708</v>
      </c>
      <c r="H396" s="5">
        <v>3317</v>
      </c>
      <c r="I396" s="5">
        <v>0</v>
      </c>
      <c r="J396" s="5">
        <v>0</v>
      </c>
      <c r="K396" s="153"/>
      <c r="L396" s="5">
        <v>0</v>
      </c>
      <c r="M396" s="5">
        <v>2765</v>
      </c>
      <c r="N396" s="5"/>
      <c r="O396" s="5">
        <v>0</v>
      </c>
      <c r="P396" s="5">
        <v>0</v>
      </c>
      <c r="Q396" s="784"/>
      <c r="R396" s="5">
        <v>0</v>
      </c>
      <c r="S396" s="5">
        <v>0</v>
      </c>
      <c r="T396" s="628"/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/>
      <c r="AA396" s="5">
        <v>0</v>
      </c>
      <c r="AB396" s="5">
        <v>0</v>
      </c>
      <c r="AC396" s="5">
        <v>1703</v>
      </c>
      <c r="AD396" s="5">
        <v>2240</v>
      </c>
      <c r="AE396" s="5">
        <v>1075.5312476947502</v>
      </c>
      <c r="AF396" s="5">
        <v>0</v>
      </c>
      <c r="AG396" s="5"/>
      <c r="AH396" s="5">
        <v>1461.6708159510963</v>
      </c>
      <c r="AI396" s="5">
        <v>0</v>
      </c>
      <c r="AJ396" s="5"/>
      <c r="AK396" s="5">
        <v>282.2390815529767</v>
      </c>
      <c r="AL396" s="5">
        <v>0</v>
      </c>
      <c r="AM396" s="8"/>
      <c r="AN396" s="5">
        <v>0</v>
      </c>
      <c r="AO396" s="5">
        <v>0</v>
      </c>
      <c r="AP396" s="5"/>
      <c r="AQ396" s="5">
        <v>693.6895941042286</v>
      </c>
      <c r="AR396" s="5">
        <v>0</v>
      </c>
      <c r="AS396" s="5"/>
      <c r="AT396" s="5">
        <v>1134.3761023867714</v>
      </c>
      <c r="AU396" s="5">
        <v>0</v>
      </c>
      <c r="AV396" s="5"/>
      <c r="AW396" s="5">
        <v>91.538999999999987</v>
      </c>
      <c r="AX396" s="5">
        <v>0</v>
      </c>
      <c r="AY396" s="5"/>
      <c r="AZ396" s="5">
        <v>2369</v>
      </c>
      <c r="BA396" s="5">
        <v>0</v>
      </c>
      <c r="BB396" s="5">
        <v>-2369</v>
      </c>
      <c r="BD396" s="2">
        <v>3</v>
      </c>
      <c r="BF396" s="787">
        <v>17.850000000000001</v>
      </c>
      <c r="BG396" s="325">
        <v>150000920</v>
      </c>
    </row>
    <row r="397" spans="1:59" ht="24.9" customHeight="1" x14ac:dyDescent="0.3">
      <c r="A397" s="325">
        <v>150000921</v>
      </c>
      <c r="B397" s="445" t="s">
        <v>329</v>
      </c>
      <c r="C397" s="27">
        <v>5</v>
      </c>
      <c r="D397" s="101" t="s">
        <v>455</v>
      </c>
      <c r="E397" s="786">
        <v>6174.23</v>
      </c>
      <c r="F397" s="5">
        <v>2513</v>
      </c>
      <c r="G397" s="5">
        <v>6095</v>
      </c>
      <c r="H397" s="5">
        <v>3582</v>
      </c>
      <c r="I397" s="5">
        <v>14</v>
      </c>
      <c r="J397" s="5">
        <v>6095</v>
      </c>
      <c r="K397" s="153"/>
      <c r="L397" s="5">
        <v>0</v>
      </c>
      <c r="M397" s="5">
        <v>0</v>
      </c>
      <c r="N397" s="5"/>
      <c r="O397" s="5">
        <v>0</v>
      </c>
      <c r="P397" s="5">
        <v>0</v>
      </c>
      <c r="Q397" s="784"/>
      <c r="R397" s="5">
        <v>0</v>
      </c>
      <c r="S397" s="5">
        <v>0</v>
      </c>
      <c r="T397" s="628"/>
      <c r="U397" s="5">
        <v>0</v>
      </c>
      <c r="V397" s="5">
        <v>6095</v>
      </c>
      <c r="W397" s="5">
        <v>0</v>
      </c>
      <c r="X397" s="5">
        <v>0</v>
      </c>
      <c r="Y397" s="5">
        <v>0</v>
      </c>
      <c r="Z397" s="630"/>
      <c r="AA397" s="5">
        <v>0</v>
      </c>
      <c r="AB397" s="5">
        <v>0</v>
      </c>
      <c r="AC397" s="5">
        <v>0</v>
      </c>
      <c r="AD397" s="5">
        <v>0</v>
      </c>
      <c r="AE397" s="5">
        <v>1424.4460099012149</v>
      </c>
      <c r="AF397" s="5">
        <v>0</v>
      </c>
      <c r="AG397" s="454"/>
      <c r="AH397" s="5">
        <v>1951.6751303583997</v>
      </c>
      <c r="AI397" s="5">
        <v>0</v>
      </c>
      <c r="AJ397" s="5"/>
      <c r="AK397" s="5">
        <v>385.9279866906283</v>
      </c>
      <c r="AL397" s="5">
        <v>0</v>
      </c>
      <c r="AM397" s="454"/>
      <c r="AN397" s="5">
        <v>0</v>
      </c>
      <c r="AO397" s="5">
        <v>0</v>
      </c>
      <c r="AP397" s="5"/>
      <c r="AQ397" s="5">
        <v>1073.6730586537483</v>
      </c>
      <c r="AR397" s="5">
        <v>0</v>
      </c>
      <c r="AS397" s="5"/>
      <c r="AT397" s="5">
        <v>1946.3450058065246</v>
      </c>
      <c r="AU397" s="5">
        <v>0</v>
      </c>
      <c r="AV397" s="5"/>
      <c r="AW397" s="5">
        <v>123.73830000000001</v>
      </c>
      <c r="AX397" s="5">
        <v>0</v>
      </c>
      <c r="AY397" s="5"/>
      <c r="AZ397" s="5">
        <v>3453</v>
      </c>
      <c r="BA397" s="5">
        <v>0</v>
      </c>
      <c r="BB397" s="5">
        <v>-3453</v>
      </c>
      <c r="BD397" s="2">
        <v>3</v>
      </c>
      <c r="BF397" s="787">
        <v>24.19</v>
      </c>
      <c r="BG397" s="325">
        <v>150000921</v>
      </c>
    </row>
    <row r="398" spans="1:59" ht="24.9" customHeight="1" x14ac:dyDescent="0.3">
      <c r="A398" s="325">
        <v>150000878</v>
      </c>
      <c r="B398" s="445" t="s">
        <v>237</v>
      </c>
      <c r="C398" s="27">
        <v>4</v>
      </c>
      <c r="D398" s="101" t="s">
        <v>455</v>
      </c>
      <c r="E398" s="786">
        <v>2116.4899999999998</v>
      </c>
      <c r="F398" s="5">
        <v>1142</v>
      </c>
      <c r="G398" s="5">
        <v>0</v>
      </c>
      <c r="H398" s="5">
        <v>-1142</v>
      </c>
      <c r="I398" s="5">
        <v>0</v>
      </c>
      <c r="J398" s="5">
        <v>0</v>
      </c>
      <c r="K398" s="153"/>
      <c r="L398" s="5">
        <v>0</v>
      </c>
      <c r="M398" s="5">
        <v>0</v>
      </c>
      <c r="N398" s="5"/>
      <c r="O398" s="5">
        <v>0</v>
      </c>
      <c r="P398" s="5">
        <v>0</v>
      </c>
      <c r="Q398" s="784"/>
      <c r="R398" s="5">
        <v>0</v>
      </c>
      <c r="S398" s="5">
        <v>0</v>
      </c>
      <c r="T398" s="628"/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/>
      <c r="AA398" s="5">
        <v>0</v>
      </c>
      <c r="AB398" s="5">
        <v>0</v>
      </c>
      <c r="AC398" s="5">
        <v>0</v>
      </c>
      <c r="AD398" s="5">
        <v>0</v>
      </c>
      <c r="AE398" s="5">
        <v>488.22218890191311</v>
      </c>
      <c r="AF398" s="5">
        <v>0</v>
      </c>
      <c r="AG398" s="5"/>
      <c r="AH398" s="5">
        <v>473.57070101008048</v>
      </c>
      <c r="AI398" s="5">
        <v>0</v>
      </c>
      <c r="AJ398" s="5"/>
      <c r="AK398" s="5">
        <v>195.77518766179</v>
      </c>
      <c r="AL398" s="5">
        <v>718</v>
      </c>
      <c r="AM398" s="5"/>
      <c r="AN398" s="5">
        <v>0</v>
      </c>
      <c r="AO398" s="5">
        <v>0</v>
      </c>
      <c r="AP398" s="5"/>
      <c r="AQ398" s="5">
        <v>0</v>
      </c>
      <c r="AR398" s="5">
        <v>0</v>
      </c>
      <c r="AS398" s="5"/>
      <c r="AT398" s="5">
        <v>344.44949306250339</v>
      </c>
      <c r="AU398" s="5">
        <v>0</v>
      </c>
      <c r="AV398" s="5"/>
      <c r="AW398" s="5">
        <v>48.2866</v>
      </c>
      <c r="AX398" s="5">
        <v>0</v>
      </c>
      <c r="AY398" s="5"/>
      <c r="AZ398" s="5">
        <v>775</v>
      </c>
      <c r="BA398" s="5">
        <v>718</v>
      </c>
      <c r="BB398" s="5">
        <v>-57</v>
      </c>
      <c r="BD398" s="2">
        <v>2</v>
      </c>
      <c r="BF398" s="787">
        <v>2.37</v>
      </c>
      <c r="BG398" s="325">
        <v>150000878</v>
      </c>
    </row>
    <row r="399" spans="1:59" ht="24.9" customHeight="1" x14ac:dyDescent="0.3">
      <c r="A399" s="325">
        <v>150000879</v>
      </c>
      <c r="B399" s="445" t="s">
        <v>330</v>
      </c>
      <c r="C399" s="27">
        <v>5</v>
      </c>
      <c r="D399" s="101" t="s">
        <v>455</v>
      </c>
      <c r="E399" s="786">
        <v>4400.68</v>
      </c>
      <c r="F399" s="5">
        <v>1310</v>
      </c>
      <c r="G399" s="5">
        <v>1932</v>
      </c>
      <c r="H399" s="5">
        <v>622</v>
      </c>
      <c r="I399" s="5">
        <v>0</v>
      </c>
      <c r="J399" s="5">
        <v>0</v>
      </c>
      <c r="K399" s="153"/>
      <c r="L399" s="5">
        <v>0</v>
      </c>
      <c r="M399" s="5">
        <v>0</v>
      </c>
      <c r="N399" s="5"/>
      <c r="O399" s="5">
        <v>0</v>
      </c>
      <c r="P399" s="5">
        <v>0</v>
      </c>
      <c r="Q399" s="784"/>
      <c r="R399" s="5">
        <v>0</v>
      </c>
      <c r="S399" s="5">
        <v>0</v>
      </c>
      <c r="T399" s="628"/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/>
      <c r="AA399" s="5">
        <v>0</v>
      </c>
      <c r="AB399" s="5">
        <v>0</v>
      </c>
      <c r="AC399" s="5">
        <v>0</v>
      </c>
      <c r="AD399" s="5">
        <v>1932</v>
      </c>
      <c r="AE399" s="5">
        <v>823.58182591138268</v>
      </c>
      <c r="AF399" s="5">
        <v>0</v>
      </c>
      <c r="AG399" s="5"/>
      <c r="AH399" s="5">
        <v>1034.2978869777526</v>
      </c>
      <c r="AI399" s="5">
        <v>0</v>
      </c>
      <c r="AJ399" s="5"/>
      <c r="AK399" s="5">
        <v>298.180462157085</v>
      </c>
      <c r="AL399" s="5">
        <v>0</v>
      </c>
      <c r="AM399" s="5"/>
      <c r="AN399" s="5">
        <v>0</v>
      </c>
      <c r="AO399" s="5">
        <v>0</v>
      </c>
      <c r="AP399" s="5"/>
      <c r="AQ399" s="5">
        <v>0</v>
      </c>
      <c r="AR399" s="5">
        <v>0</v>
      </c>
      <c r="AS399" s="5"/>
      <c r="AT399" s="5">
        <v>837.76850032614311</v>
      </c>
      <c r="AU399" s="5">
        <v>0</v>
      </c>
      <c r="AV399" s="5"/>
      <c r="AW399" s="5">
        <v>91.542300000000012</v>
      </c>
      <c r="AX399" s="5">
        <v>0</v>
      </c>
      <c r="AY399" s="5"/>
      <c r="AZ399" s="5">
        <v>1542</v>
      </c>
      <c r="BA399" s="5">
        <v>0</v>
      </c>
      <c r="BB399" s="5">
        <v>-1542</v>
      </c>
      <c r="BD399" s="2">
        <v>2</v>
      </c>
      <c r="BF399" s="787">
        <v>9.0299999999999994</v>
      </c>
      <c r="BG399" s="325">
        <v>150000879</v>
      </c>
    </row>
    <row r="400" spans="1:59" ht="24.9" customHeight="1" x14ac:dyDescent="0.3">
      <c r="A400" s="325">
        <v>150000880</v>
      </c>
      <c r="B400" s="445" t="s">
        <v>238</v>
      </c>
      <c r="C400" s="27">
        <v>4</v>
      </c>
      <c r="D400" s="101" t="s">
        <v>455</v>
      </c>
      <c r="E400" s="786">
        <v>2726.35</v>
      </c>
      <c r="F400" s="5">
        <v>1287</v>
      </c>
      <c r="G400" s="5">
        <v>0</v>
      </c>
      <c r="H400" s="5">
        <v>-1287</v>
      </c>
      <c r="I400" s="5">
        <v>0</v>
      </c>
      <c r="J400" s="5">
        <v>0</v>
      </c>
      <c r="K400" s="153"/>
      <c r="L400" s="5">
        <v>0</v>
      </c>
      <c r="M400" s="5">
        <v>0</v>
      </c>
      <c r="N400" s="5"/>
      <c r="O400" s="5">
        <v>0</v>
      </c>
      <c r="P400" s="5">
        <v>0</v>
      </c>
      <c r="Q400" s="784"/>
      <c r="R400" s="5">
        <v>0</v>
      </c>
      <c r="S400" s="5">
        <v>0</v>
      </c>
      <c r="T400" s="628"/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/>
      <c r="AA400" s="5">
        <v>0</v>
      </c>
      <c r="AB400" s="5">
        <v>0</v>
      </c>
      <c r="AC400" s="5">
        <v>0</v>
      </c>
      <c r="AD400" s="5">
        <v>0</v>
      </c>
      <c r="AE400" s="5">
        <v>680.01822818034702</v>
      </c>
      <c r="AF400" s="5">
        <v>0</v>
      </c>
      <c r="AG400" s="5"/>
      <c r="AH400" s="5">
        <v>732.17240649570033</v>
      </c>
      <c r="AI400" s="5">
        <v>0</v>
      </c>
      <c r="AJ400" s="5"/>
      <c r="AK400" s="5">
        <v>187.57547060843001</v>
      </c>
      <c r="AL400" s="5">
        <v>0</v>
      </c>
      <c r="AM400" s="5"/>
      <c r="AN400" s="5">
        <v>0</v>
      </c>
      <c r="AO400" s="5">
        <v>0</v>
      </c>
      <c r="AP400" s="5"/>
      <c r="AQ400" s="5">
        <v>0</v>
      </c>
      <c r="AR400" s="5">
        <v>0</v>
      </c>
      <c r="AS400" s="5"/>
      <c r="AT400" s="5">
        <v>600.41891556945393</v>
      </c>
      <c r="AU400" s="5">
        <v>0</v>
      </c>
      <c r="AV400" s="5"/>
      <c r="AW400" s="5">
        <v>54.263500000000001</v>
      </c>
      <c r="AX400" s="5">
        <v>0</v>
      </c>
      <c r="AY400" s="5"/>
      <c r="AZ400" s="5">
        <v>1127</v>
      </c>
      <c r="BA400" s="5">
        <v>0</v>
      </c>
      <c r="BB400" s="5">
        <v>-1127</v>
      </c>
      <c r="BD400" s="2">
        <v>2</v>
      </c>
      <c r="BF400" s="787">
        <v>2.65</v>
      </c>
      <c r="BG400" s="325">
        <v>150000880</v>
      </c>
    </row>
    <row r="401" spans="1:60" ht="24.9" customHeight="1" x14ac:dyDescent="0.3">
      <c r="A401" s="325">
        <v>150000881</v>
      </c>
      <c r="B401" s="445" t="s">
        <v>412</v>
      </c>
      <c r="C401" s="27">
        <v>9</v>
      </c>
      <c r="D401" s="101" t="s">
        <v>455</v>
      </c>
      <c r="E401" s="786">
        <v>2263.9</v>
      </c>
      <c r="F401" s="5">
        <v>1225</v>
      </c>
      <c r="G401" s="5">
        <v>2223</v>
      </c>
      <c r="H401" s="5">
        <v>998</v>
      </c>
      <c r="I401" s="5">
        <v>0</v>
      </c>
      <c r="J401" s="5">
        <v>0</v>
      </c>
      <c r="K401" s="153"/>
      <c r="L401" s="5">
        <v>0</v>
      </c>
      <c r="M401" s="5">
        <v>0</v>
      </c>
      <c r="N401" s="5"/>
      <c r="O401" s="5">
        <v>0</v>
      </c>
      <c r="P401" s="5">
        <v>0</v>
      </c>
      <c r="Q401" s="784"/>
      <c r="R401" s="5">
        <v>0</v>
      </c>
      <c r="S401" s="5">
        <v>0</v>
      </c>
      <c r="T401" s="628"/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/>
      <c r="AA401" s="5">
        <v>0</v>
      </c>
      <c r="AB401" s="5">
        <v>0</v>
      </c>
      <c r="AC401" s="5">
        <v>0</v>
      </c>
      <c r="AD401" s="5">
        <v>2223</v>
      </c>
      <c r="AE401" s="5">
        <v>419.86724230063817</v>
      </c>
      <c r="AF401" s="5">
        <v>0</v>
      </c>
      <c r="AG401" s="5"/>
      <c r="AH401" s="5">
        <v>434.06527219909623</v>
      </c>
      <c r="AI401" s="5">
        <v>0</v>
      </c>
      <c r="AJ401" s="5"/>
      <c r="AK401" s="5">
        <v>172.32486078993671</v>
      </c>
      <c r="AL401" s="5">
        <v>788</v>
      </c>
      <c r="AM401" s="5"/>
      <c r="AN401" s="5">
        <v>510.31247804987601</v>
      </c>
      <c r="AO401" s="5">
        <v>0</v>
      </c>
      <c r="AP401" s="5"/>
      <c r="AQ401" s="5">
        <v>208.49194222289759</v>
      </c>
      <c r="AR401" s="5">
        <v>0</v>
      </c>
      <c r="AS401" s="5"/>
      <c r="AT401" s="5">
        <v>176.48324361749746</v>
      </c>
      <c r="AU401" s="5">
        <v>0</v>
      </c>
      <c r="AV401" s="5"/>
      <c r="AW401" s="5">
        <v>48.054000000000002</v>
      </c>
      <c r="AX401" s="5">
        <v>0</v>
      </c>
      <c r="AY401" s="5"/>
      <c r="AZ401" s="5">
        <v>986</v>
      </c>
      <c r="BA401" s="5">
        <v>788</v>
      </c>
      <c r="BB401" s="5">
        <v>-197</v>
      </c>
      <c r="BD401" s="2">
        <v>2</v>
      </c>
      <c r="BF401" s="787">
        <v>74.56</v>
      </c>
      <c r="BG401" s="325">
        <v>150000881</v>
      </c>
    </row>
    <row r="402" spans="1:60" ht="24.9" customHeight="1" x14ac:dyDescent="0.3">
      <c r="A402" s="325">
        <v>150000882</v>
      </c>
      <c r="B402" s="445" t="s">
        <v>331</v>
      </c>
      <c r="C402" s="27">
        <v>5</v>
      </c>
      <c r="D402" s="101" t="s">
        <v>455</v>
      </c>
      <c r="E402" s="786">
        <v>2966.17</v>
      </c>
      <c r="F402" s="5">
        <v>1345</v>
      </c>
      <c r="G402" s="5">
        <v>400</v>
      </c>
      <c r="H402" s="5">
        <v>-1345</v>
      </c>
      <c r="I402" s="5">
        <v>0</v>
      </c>
      <c r="J402" s="5">
        <v>0</v>
      </c>
      <c r="K402" s="153"/>
      <c r="L402" s="5">
        <v>0</v>
      </c>
      <c r="M402" s="5">
        <v>400</v>
      </c>
      <c r="N402" s="5"/>
      <c r="O402" s="5">
        <v>0</v>
      </c>
      <c r="P402" s="5">
        <v>0</v>
      </c>
      <c r="Q402" s="784"/>
      <c r="R402" s="5">
        <v>0</v>
      </c>
      <c r="S402" s="5">
        <v>0</v>
      </c>
      <c r="T402" s="628"/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/>
      <c r="AA402" s="5">
        <v>0</v>
      </c>
      <c r="AB402" s="5">
        <v>0</v>
      </c>
      <c r="AC402" s="5">
        <v>0</v>
      </c>
      <c r="AD402" s="5">
        <v>0</v>
      </c>
      <c r="AE402" s="5">
        <v>573.73095301503417</v>
      </c>
      <c r="AF402" s="5">
        <v>0</v>
      </c>
      <c r="AG402" s="454"/>
      <c r="AH402" s="5">
        <v>750.3070729294484</v>
      </c>
      <c r="AI402" s="5">
        <v>0</v>
      </c>
      <c r="AJ402" s="5"/>
      <c r="AK402" s="5">
        <v>223.76393485256159</v>
      </c>
      <c r="AL402" s="5">
        <v>2811</v>
      </c>
      <c r="AM402" s="5"/>
      <c r="AN402" s="5">
        <v>0</v>
      </c>
      <c r="AO402" s="5">
        <v>0</v>
      </c>
      <c r="AP402" s="5"/>
      <c r="AQ402" s="5">
        <v>0</v>
      </c>
      <c r="AR402" s="5">
        <v>0</v>
      </c>
      <c r="AS402" s="5"/>
      <c r="AT402" s="5">
        <v>372.12045798223897</v>
      </c>
      <c r="AU402" s="5">
        <v>0</v>
      </c>
      <c r="AV402" s="5"/>
      <c r="AW402" s="5">
        <v>61.6357</v>
      </c>
      <c r="AX402" s="5">
        <v>0</v>
      </c>
      <c r="AY402" s="5"/>
      <c r="AZ402" s="5">
        <v>991</v>
      </c>
      <c r="BA402" s="5">
        <v>2811</v>
      </c>
      <c r="BB402" s="5">
        <v>1820</v>
      </c>
      <c r="BD402" s="2">
        <v>2</v>
      </c>
      <c r="BF402" s="787">
        <v>7.59</v>
      </c>
      <c r="BG402" s="325">
        <v>150000882</v>
      </c>
    </row>
    <row r="403" spans="1:60" ht="24.9" customHeight="1" x14ac:dyDescent="0.3">
      <c r="A403" s="325">
        <v>150000883</v>
      </c>
      <c r="B403" s="445" t="s">
        <v>332</v>
      </c>
      <c r="C403" s="27">
        <v>5</v>
      </c>
      <c r="D403" s="101" t="s">
        <v>455</v>
      </c>
      <c r="E403" s="786">
        <v>1851.91</v>
      </c>
      <c r="F403" s="5">
        <v>740</v>
      </c>
      <c r="G403" s="5">
        <v>0</v>
      </c>
      <c r="H403" s="5">
        <v>-740</v>
      </c>
      <c r="I403" s="5">
        <v>0</v>
      </c>
      <c r="J403" s="5">
        <v>0</v>
      </c>
      <c r="K403" s="593"/>
      <c r="L403" s="5">
        <v>0</v>
      </c>
      <c r="M403" s="5">
        <v>0</v>
      </c>
      <c r="N403" s="5"/>
      <c r="O403" s="5">
        <v>0</v>
      </c>
      <c r="P403" s="5">
        <v>0</v>
      </c>
      <c r="Q403" s="784"/>
      <c r="R403" s="5">
        <v>0</v>
      </c>
      <c r="S403" s="5">
        <v>0</v>
      </c>
      <c r="T403" s="628"/>
      <c r="U403" s="5">
        <v>0</v>
      </c>
      <c r="V403" s="8">
        <v>0</v>
      </c>
      <c r="W403" s="5">
        <v>0</v>
      </c>
      <c r="X403" s="5">
        <v>0</v>
      </c>
      <c r="Y403" s="5">
        <v>0</v>
      </c>
      <c r="Z403" s="467"/>
      <c r="AA403" s="5">
        <v>0</v>
      </c>
      <c r="AB403" s="5">
        <v>0</v>
      </c>
      <c r="AC403" s="5">
        <v>0</v>
      </c>
      <c r="AD403" s="5">
        <v>0</v>
      </c>
      <c r="AE403" s="5">
        <v>392.26548853741258</v>
      </c>
      <c r="AF403" s="5">
        <v>0</v>
      </c>
      <c r="AG403" s="5"/>
      <c r="AH403" s="5">
        <v>446.22980731182702</v>
      </c>
      <c r="AI403" s="5">
        <v>0</v>
      </c>
      <c r="AJ403" s="5"/>
      <c r="AK403" s="5">
        <v>127.6882984277</v>
      </c>
      <c r="AL403" s="5">
        <v>2186</v>
      </c>
      <c r="AM403" s="5"/>
      <c r="AN403" s="5">
        <v>0</v>
      </c>
      <c r="AO403" s="5">
        <v>0</v>
      </c>
      <c r="AP403" s="5"/>
      <c r="AQ403" s="5">
        <v>0</v>
      </c>
      <c r="AR403" s="5">
        <v>0</v>
      </c>
      <c r="AS403" s="5"/>
      <c r="AT403" s="5">
        <v>163.74365773035032</v>
      </c>
      <c r="AU403" s="5">
        <v>0</v>
      </c>
      <c r="AV403" s="5"/>
      <c r="AW403" s="5">
        <v>37.519400000000005</v>
      </c>
      <c r="AX403" s="5">
        <v>0</v>
      </c>
      <c r="AY403" s="5"/>
      <c r="AZ403" s="5">
        <v>583</v>
      </c>
      <c r="BA403" s="5">
        <v>2186</v>
      </c>
      <c r="BB403" s="5">
        <v>1603</v>
      </c>
      <c r="BD403" s="2">
        <v>2</v>
      </c>
      <c r="BF403" s="787">
        <v>1.8</v>
      </c>
      <c r="BG403" s="325">
        <v>150000883</v>
      </c>
    </row>
    <row r="404" spans="1:60" ht="24.9" customHeight="1" x14ac:dyDescent="0.3">
      <c r="A404" s="325">
        <v>150000884</v>
      </c>
      <c r="B404" s="445" t="s">
        <v>333</v>
      </c>
      <c r="C404" s="27">
        <v>5</v>
      </c>
      <c r="D404" s="101" t="s">
        <v>455</v>
      </c>
      <c r="E404" s="786">
        <v>3342.35</v>
      </c>
      <c r="F404" s="5">
        <v>1586</v>
      </c>
      <c r="G404" s="5">
        <v>0</v>
      </c>
      <c r="H404" s="5">
        <v>-1586</v>
      </c>
      <c r="I404" s="5">
        <v>0</v>
      </c>
      <c r="J404" s="5">
        <v>0</v>
      </c>
      <c r="K404" s="153"/>
      <c r="L404" s="5">
        <v>0</v>
      </c>
      <c r="M404" s="5">
        <v>0</v>
      </c>
      <c r="N404" s="5"/>
      <c r="O404" s="5">
        <v>0</v>
      </c>
      <c r="P404" s="5">
        <v>0</v>
      </c>
      <c r="Q404" s="784"/>
      <c r="R404" s="5">
        <v>0</v>
      </c>
      <c r="S404" s="5">
        <v>0</v>
      </c>
      <c r="T404" s="628"/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/>
      <c r="AA404" s="5">
        <v>0</v>
      </c>
      <c r="AB404" s="5">
        <v>0</v>
      </c>
      <c r="AC404" s="5">
        <v>0</v>
      </c>
      <c r="AD404" s="5">
        <v>0</v>
      </c>
      <c r="AE404" s="5">
        <v>732.33931121978708</v>
      </c>
      <c r="AF404" s="5">
        <v>0</v>
      </c>
      <c r="AG404" s="8"/>
      <c r="AH404" s="5">
        <v>983.70387567776208</v>
      </c>
      <c r="AI404" s="5">
        <v>0</v>
      </c>
      <c r="AJ404" s="5"/>
      <c r="AK404" s="5">
        <v>234.3637494993134</v>
      </c>
      <c r="AL404" s="5">
        <v>0</v>
      </c>
      <c r="AM404" s="5"/>
      <c r="AN404" s="5">
        <v>0</v>
      </c>
      <c r="AO404" s="5">
        <v>0</v>
      </c>
      <c r="AP404" s="5"/>
      <c r="AQ404" s="5">
        <v>0</v>
      </c>
      <c r="AR404" s="5">
        <v>0</v>
      </c>
      <c r="AS404" s="5"/>
      <c r="AT404" s="5">
        <v>569.87047640173489</v>
      </c>
      <c r="AU404" s="5">
        <v>0</v>
      </c>
      <c r="AV404" s="5"/>
      <c r="AW404" s="5">
        <v>67.997500000000002</v>
      </c>
      <c r="AX404" s="5">
        <v>0</v>
      </c>
      <c r="AY404" s="5"/>
      <c r="AZ404" s="5">
        <v>1294</v>
      </c>
      <c r="BA404" s="5">
        <v>0</v>
      </c>
      <c r="BB404" s="5">
        <v>-1294</v>
      </c>
      <c r="BD404" s="2">
        <v>2</v>
      </c>
      <c r="BF404" s="787">
        <v>3.31</v>
      </c>
      <c r="BG404" s="325">
        <v>150000884</v>
      </c>
    </row>
    <row r="405" spans="1:60" ht="24.9" customHeight="1" thickBot="1" x14ac:dyDescent="0.35">
      <c r="A405" s="325">
        <v>150000885</v>
      </c>
      <c r="B405" s="445" t="s">
        <v>239</v>
      </c>
      <c r="C405" s="27">
        <v>4</v>
      </c>
      <c r="D405" s="101" t="s">
        <v>455</v>
      </c>
      <c r="E405" s="786">
        <v>1494.66</v>
      </c>
      <c r="F405" s="5">
        <v>767</v>
      </c>
      <c r="G405" s="5">
        <v>479</v>
      </c>
      <c r="H405" s="5">
        <v>-767</v>
      </c>
      <c r="I405" s="5">
        <v>0</v>
      </c>
      <c r="J405" s="5">
        <v>0</v>
      </c>
      <c r="K405" s="153"/>
      <c r="L405" s="5">
        <v>0</v>
      </c>
      <c r="M405" s="5">
        <v>0</v>
      </c>
      <c r="N405" s="5"/>
      <c r="O405" s="5">
        <v>0</v>
      </c>
      <c r="P405" s="5">
        <v>0</v>
      </c>
      <c r="Q405" s="784"/>
      <c r="R405" s="5">
        <v>0</v>
      </c>
      <c r="S405" s="5">
        <v>0</v>
      </c>
      <c r="T405" s="628"/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/>
      <c r="AA405" s="5">
        <v>0</v>
      </c>
      <c r="AB405" s="5">
        <v>0</v>
      </c>
      <c r="AC405" s="5">
        <v>0</v>
      </c>
      <c r="AD405" s="5">
        <v>479</v>
      </c>
      <c r="AE405" s="5">
        <v>345.66802343728443</v>
      </c>
      <c r="AF405" s="5">
        <v>0</v>
      </c>
      <c r="AG405" s="5"/>
      <c r="AH405" s="5">
        <v>400.03203527509004</v>
      </c>
      <c r="AI405" s="5">
        <v>0</v>
      </c>
      <c r="AJ405" s="5"/>
      <c r="AK405" s="5">
        <v>95.820511347151694</v>
      </c>
      <c r="AL405" s="5">
        <v>0</v>
      </c>
      <c r="AM405" s="5"/>
      <c r="AN405" s="5">
        <v>0</v>
      </c>
      <c r="AO405" s="5">
        <v>0</v>
      </c>
      <c r="AP405" s="5"/>
      <c r="AQ405" s="5">
        <v>0</v>
      </c>
      <c r="AR405" s="5">
        <v>0</v>
      </c>
      <c r="AS405" s="5"/>
      <c r="AT405" s="5">
        <v>167.92596783361216</v>
      </c>
      <c r="AU405" s="5">
        <v>0</v>
      </c>
      <c r="AV405" s="463"/>
      <c r="AW405" s="5">
        <v>29.946000000000002</v>
      </c>
      <c r="AX405" s="5">
        <v>0</v>
      </c>
      <c r="AY405" s="5"/>
      <c r="AZ405" s="5">
        <v>519</v>
      </c>
      <c r="BA405" s="5">
        <v>0</v>
      </c>
      <c r="BB405" s="5">
        <v>-519</v>
      </c>
      <c r="BD405" s="2">
        <v>2</v>
      </c>
      <c r="BF405" s="792">
        <v>1.46</v>
      </c>
      <c r="BG405" s="325">
        <v>150000885</v>
      </c>
    </row>
    <row r="406" spans="1:60" s="31" customFormat="1" ht="24.9" customHeight="1" thickBot="1" x14ac:dyDescent="0.35">
      <c r="A406" s="793"/>
      <c r="B406" s="629" t="s">
        <v>853</v>
      </c>
      <c r="C406" s="629"/>
      <c r="D406" s="490"/>
      <c r="E406" s="794">
        <v>1013793.93</v>
      </c>
      <c r="F406" s="630">
        <v>611335</v>
      </c>
      <c r="G406" s="630">
        <v>1142394</v>
      </c>
      <c r="H406" s="630">
        <v>13239</v>
      </c>
      <c r="I406" s="630">
        <v>183.60000000000002</v>
      </c>
      <c r="J406" s="630">
        <v>69201</v>
      </c>
      <c r="K406" s="593"/>
      <c r="L406" s="630">
        <v>11</v>
      </c>
      <c r="M406" s="630">
        <v>561636</v>
      </c>
      <c r="N406" s="630"/>
      <c r="O406" s="630">
        <v>0</v>
      </c>
      <c r="P406" s="630">
        <v>0</v>
      </c>
      <c r="Q406" s="788"/>
      <c r="R406" s="630">
        <v>26</v>
      </c>
      <c r="S406" s="630">
        <v>199979</v>
      </c>
      <c r="T406" s="630"/>
      <c r="U406" s="630">
        <v>0</v>
      </c>
      <c r="V406" s="630">
        <v>31221</v>
      </c>
      <c r="W406" s="630">
        <v>48</v>
      </c>
      <c r="X406" s="630">
        <v>26885</v>
      </c>
      <c r="Y406" s="630">
        <v>11906</v>
      </c>
      <c r="Z406" s="630"/>
      <c r="AA406" s="630">
        <v>0</v>
      </c>
      <c r="AB406" s="630">
        <v>4392</v>
      </c>
      <c r="AC406" s="630">
        <v>44230</v>
      </c>
      <c r="AD406" s="630">
        <v>209723</v>
      </c>
      <c r="AE406" s="630">
        <v>105067</v>
      </c>
      <c r="AF406" s="795">
        <v>36472</v>
      </c>
      <c r="AG406" s="630">
        <v>-68594</v>
      </c>
      <c r="AH406" s="630">
        <v>128751</v>
      </c>
      <c r="AI406" s="795">
        <v>47618</v>
      </c>
      <c r="AJ406" s="630">
        <v>-81133</v>
      </c>
      <c r="AK406" s="630">
        <v>34735</v>
      </c>
      <c r="AL406" s="795">
        <v>78165</v>
      </c>
      <c r="AM406" s="630">
        <v>43430</v>
      </c>
      <c r="AN406" s="630">
        <v>63305</v>
      </c>
      <c r="AO406" s="795">
        <v>14079</v>
      </c>
      <c r="AP406" s="630">
        <v>-49226</v>
      </c>
      <c r="AQ406" s="630">
        <v>42724</v>
      </c>
      <c r="AR406" s="795">
        <v>6532</v>
      </c>
      <c r="AS406" s="630">
        <v>-36193</v>
      </c>
      <c r="AT406" s="630">
        <v>82711</v>
      </c>
      <c r="AU406" s="795">
        <v>6147</v>
      </c>
      <c r="AV406" s="630">
        <v>-76565</v>
      </c>
      <c r="AW406" s="630">
        <v>9364</v>
      </c>
      <c r="AX406" s="795">
        <v>1409</v>
      </c>
      <c r="AY406" s="630"/>
      <c r="AZ406" s="630">
        <v>466657</v>
      </c>
      <c r="BA406" s="630">
        <v>190422</v>
      </c>
      <c r="BB406" s="8">
        <v>-276236</v>
      </c>
      <c r="BD406" s="168"/>
      <c r="BF406" s="796">
        <v>5951.06</v>
      </c>
    </row>
    <row r="407" spans="1:60" x14ac:dyDescent="0.3">
      <c r="BF407" s="797">
        <v>2690.94</v>
      </c>
      <c r="BH407" s="94"/>
    </row>
    <row r="408" spans="1:60" x14ac:dyDescent="0.3">
      <c r="F408" s="7">
        <v>611335</v>
      </c>
      <c r="G408" s="7">
        <v>1142394</v>
      </c>
      <c r="AZ408" s="7">
        <v>466657</v>
      </c>
      <c r="BF408" s="797">
        <v>1231.83</v>
      </c>
      <c r="BH408" s="94"/>
    </row>
    <row r="409" spans="1:60" x14ac:dyDescent="0.3">
      <c r="BF409" s="797">
        <v>2028.29</v>
      </c>
      <c r="BH409" s="94"/>
    </row>
    <row r="410" spans="1:60" x14ac:dyDescent="0.3">
      <c r="BF410" s="798">
        <v>5951.06</v>
      </c>
    </row>
    <row r="411" spans="1:60" ht="15.6" x14ac:dyDescent="0.3">
      <c r="A411" s="178"/>
      <c r="B411" s="799" t="s">
        <v>986</v>
      </c>
      <c r="C411" s="800"/>
      <c r="D411" s="801"/>
      <c r="E411" s="178"/>
      <c r="F411" s="147">
        <v>207408</v>
      </c>
      <c r="G411" s="147">
        <v>184237</v>
      </c>
      <c r="H411" s="147">
        <v>-23171</v>
      </c>
      <c r="I411" s="147">
        <v>10</v>
      </c>
      <c r="J411" s="147">
        <v>7533</v>
      </c>
      <c r="K411" s="147"/>
      <c r="L411" s="147">
        <v>1</v>
      </c>
      <c r="M411" s="147">
        <v>49501</v>
      </c>
      <c r="N411" s="147"/>
      <c r="O411" s="147">
        <v>0</v>
      </c>
      <c r="P411" s="147">
        <v>0</v>
      </c>
      <c r="Q411" s="147"/>
      <c r="R411" s="147">
        <v>1</v>
      </c>
      <c r="S411" s="147">
        <v>36620</v>
      </c>
      <c r="T411" s="147"/>
      <c r="U411" s="147">
        <v>0</v>
      </c>
      <c r="V411" s="147"/>
      <c r="W411" s="147">
        <v>14</v>
      </c>
      <c r="X411" s="147">
        <v>4881</v>
      </c>
      <c r="Y411" s="147">
        <v>8726</v>
      </c>
      <c r="Z411" s="147"/>
      <c r="AA411" s="147">
        <v>0</v>
      </c>
      <c r="AB411" s="147">
        <v>0</v>
      </c>
      <c r="AC411" s="147">
        <v>6883</v>
      </c>
      <c r="AD411" s="147">
        <v>70093</v>
      </c>
      <c r="AE411" s="147">
        <v>31576</v>
      </c>
      <c r="AF411" s="147">
        <v>16345</v>
      </c>
      <c r="AG411" s="147"/>
      <c r="AH411" s="147">
        <v>37654</v>
      </c>
      <c r="AI411" s="147">
        <v>23630</v>
      </c>
      <c r="AJ411" s="147"/>
      <c r="AK411" s="147">
        <v>11370</v>
      </c>
      <c r="AL411" s="147">
        <v>1945</v>
      </c>
      <c r="AM411" s="147"/>
      <c r="AN411" s="147">
        <v>32206</v>
      </c>
      <c r="AO411" s="147">
        <v>13607</v>
      </c>
      <c r="AP411" s="147"/>
      <c r="AQ411" s="147">
        <v>23086</v>
      </c>
      <c r="AR411" s="147">
        <v>6400</v>
      </c>
      <c r="AS411" s="147"/>
      <c r="AT411" s="147">
        <v>27371</v>
      </c>
      <c r="AU411" s="147">
        <v>4265</v>
      </c>
      <c r="AV411" s="147"/>
      <c r="AW411" s="147">
        <v>2704</v>
      </c>
      <c r="AX411" s="147">
        <v>0</v>
      </c>
      <c r="AY411" s="147"/>
      <c r="AZ411" s="147">
        <v>165967</v>
      </c>
      <c r="BA411" s="147">
        <v>66192</v>
      </c>
      <c r="BB411" s="147">
        <v>-99774</v>
      </c>
      <c r="BF411" s="802"/>
    </row>
    <row r="412" spans="1:60" ht="15.6" x14ac:dyDescent="0.3">
      <c r="A412" s="178"/>
      <c r="B412" s="799" t="s">
        <v>987</v>
      </c>
      <c r="C412" s="800"/>
      <c r="D412" s="801"/>
      <c r="E412" s="178"/>
      <c r="F412" s="147">
        <v>204240</v>
      </c>
      <c r="G412" s="147">
        <v>243362</v>
      </c>
      <c r="H412" s="147">
        <v>39122</v>
      </c>
      <c r="I412" s="147">
        <v>0</v>
      </c>
      <c r="J412" s="147">
        <v>0</v>
      </c>
      <c r="K412" s="147"/>
      <c r="L412" s="147">
        <v>3</v>
      </c>
      <c r="M412" s="147">
        <v>164417</v>
      </c>
      <c r="N412" s="147"/>
      <c r="O412" s="147">
        <v>0</v>
      </c>
      <c r="P412" s="147">
        <v>0</v>
      </c>
      <c r="Q412" s="147"/>
      <c r="R412" s="147">
        <v>0</v>
      </c>
      <c r="S412" s="147">
        <v>15229</v>
      </c>
      <c r="T412" s="147"/>
      <c r="U412" s="147">
        <v>0</v>
      </c>
      <c r="V412" s="147"/>
      <c r="W412" s="147">
        <v>0</v>
      </c>
      <c r="X412" s="147">
        <v>0</v>
      </c>
      <c r="Y412" s="147">
        <v>885</v>
      </c>
      <c r="Z412" s="147"/>
      <c r="AA412" s="147">
        <v>0</v>
      </c>
      <c r="AB412" s="147">
        <v>0</v>
      </c>
      <c r="AC412" s="147">
        <v>3590</v>
      </c>
      <c r="AD412" s="147">
        <v>59242</v>
      </c>
      <c r="AE412" s="147">
        <v>38512</v>
      </c>
      <c r="AF412" s="147">
        <v>11165</v>
      </c>
      <c r="AG412" s="147"/>
      <c r="AH412" s="147">
        <v>48313</v>
      </c>
      <c r="AI412" s="147">
        <v>2518</v>
      </c>
      <c r="AJ412" s="147"/>
      <c r="AK412" s="147">
        <v>11718</v>
      </c>
      <c r="AL412" s="147">
        <v>57756</v>
      </c>
      <c r="AM412" s="147"/>
      <c r="AN412" s="147">
        <v>11317</v>
      </c>
      <c r="AO412" s="147">
        <v>0</v>
      </c>
      <c r="AP412" s="147"/>
      <c r="AQ412" s="147">
        <v>4208</v>
      </c>
      <c r="AR412" s="147">
        <v>0</v>
      </c>
      <c r="AS412" s="147"/>
      <c r="AT412" s="147">
        <v>28204</v>
      </c>
      <c r="AU412" s="147">
        <v>1881</v>
      </c>
      <c r="AV412" s="147"/>
      <c r="AW412" s="147">
        <v>3567</v>
      </c>
      <c r="AX412" s="147">
        <v>1409</v>
      </c>
      <c r="AY412" s="147"/>
      <c r="AZ412" s="147">
        <v>145838</v>
      </c>
      <c r="BA412" s="147">
        <v>74730</v>
      </c>
      <c r="BB412" s="147">
        <v>-71108</v>
      </c>
    </row>
    <row r="413" spans="1:60" ht="15.6" x14ac:dyDescent="0.3">
      <c r="A413" s="178"/>
      <c r="B413" s="799" t="s">
        <v>988</v>
      </c>
      <c r="C413" s="800"/>
      <c r="D413" s="801"/>
      <c r="E413" s="178"/>
      <c r="F413" s="147">
        <v>199687</v>
      </c>
      <c r="G413" s="147">
        <v>196974</v>
      </c>
      <c r="H413" s="147">
        <v>-2712</v>
      </c>
      <c r="I413" s="147">
        <v>81</v>
      </c>
      <c r="J413" s="147">
        <v>32193</v>
      </c>
      <c r="K413" s="147"/>
      <c r="L413" s="147">
        <v>1</v>
      </c>
      <c r="M413" s="147">
        <v>61917</v>
      </c>
      <c r="N413" s="147"/>
      <c r="O413" s="147">
        <v>0</v>
      </c>
      <c r="P413" s="147">
        <v>0</v>
      </c>
      <c r="Q413" s="147"/>
      <c r="R413" s="147">
        <v>0</v>
      </c>
      <c r="S413" s="147">
        <v>55093</v>
      </c>
      <c r="T413" s="147"/>
      <c r="U413" s="147">
        <v>0</v>
      </c>
      <c r="V413" s="147"/>
      <c r="W413" s="147">
        <v>0</v>
      </c>
      <c r="X413" s="147">
        <v>0</v>
      </c>
      <c r="Y413" s="147">
        <v>2295</v>
      </c>
      <c r="Z413" s="147"/>
      <c r="AA413" s="147">
        <v>0</v>
      </c>
      <c r="AB413" s="147">
        <v>3724</v>
      </c>
      <c r="AC413" s="147">
        <v>6942</v>
      </c>
      <c r="AD413" s="147">
        <v>34811</v>
      </c>
      <c r="AE413" s="147">
        <v>34979</v>
      </c>
      <c r="AF413" s="147">
        <v>8963</v>
      </c>
      <c r="AG413" s="147"/>
      <c r="AH413" s="147">
        <v>42784</v>
      </c>
      <c r="AI413" s="147">
        <v>21470</v>
      </c>
      <c r="AJ413" s="147"/>
      <c r="AK413" s="147">
        <v>11647</v>
      </c>
      <c r="AL413" s="147">
        <v>18464</v>
      </c>
      <c r="AM413" s="147"/>
      <c r="AN413" s="147">
        <v>19783</v>
      </c>
      <c r="AO413" s="147">
        <v>472</v>
      </c>
      <c r="AP413" s="147"/>
      <c r="AQ413" s="147">
        <v>15430</v>
      </c>
      <c r="AR413" s="147">
        <v>131</v>
      </c>
      <c r="AS413" s="147"/>
      <c r="AT413" s="147">
        <v>27137</v>
      </c>
      <c r="AU413" s="147">
        <v>0</v>
      </c>
      <c r="AV413" s="147"/>
      <c r="AW413" s="147">
        <v>3094</v>
      </c>
      <c r="AX413" s="147">
        <v>0</v>
      </c>
      <c r="AY413" s="147"/>
      <c r="AZ413" s="147">
        <v>154853</v>
      </c>
      <c r="BA413" s="147">
        <v>49499</v>
      </c>
      <c r="BB413" s="147">
        <v>-105354</v>
      </c>
    </row>
    <row r="414" spans="1:60" ht="15.6" x14ac:dyDescent="0.3">
      <c r="B414" s="273"/>
      <c r="C414" s="9"/>
      <c r="D414" s="103"/>
      <c r="F414" s="8">
        <v>611335</v>
      </c>
      <c r="G414" s="8">
        <v>624574</v>
      </c>
      <c r="H414" s="8">
        <v>13239</v>
      </c>
      <c r="I414" s="8">
        <v>91</v>
      </c>
      <c r="J414" s="8">
        <v>39726</v>
      </c>
      <c r="K414" s="8">
        <v>0</v>
      </c>
      <c r="L414" s="8">
        <v>5</v>
      </c>
      <c r="M414" s="8">
        <v>275835</v>
      </c>
      <c r="N414" s="8">
        <v>0</v>
      </c>
      <c r="O414" s="8">
        <v>0</v>
      </c>
      <c r="P414" s="8">
        <v>0</v>
      </c>
      <c r="Q414" s="8">
        <v>0</v>
      </c>
      <c r="R414" s="8">
        <v>1</v>
      </c>
      <c r="S414" s="8">
        <v>106942</v>
      </c>
      <c r="T414" s="8">
        <v>0</v>
      </c>
      <c r="U414" s="8">
        <v>0</v>
      </c>
      <c r="V414" s="8">
        <v>0</v>
      </c>
      <c r="W414" s="8">
        <v>14</v>
      </c>
      <c r="X414" s="8">
        <v>4881</v>
      </c>
      <c r="Y414" s="8">
        <v>11906</v>
      </c>
      <c r="Z414" s="8"/>
      <c r="AA414" s="8">
        <v>0</v>
      </c>
      <c r="AB414" s="8">
        <v>3724</v>
      </c>
      <c r="AC414" s="8">
        <v>17415</v>
      </c>
      <c r="AD414" s="8">
        <v>164145</v>
      </c>
      <c r="AE414" s="8">
        <v>105067</v>
      </c>
      <c r="AF414" s="8">
        <v>36472</v>
      </c>
      <c r="AG414" s="8">
        <v>0</v>
      </c>
      <c r="AH414" s="8">
        <v>128751</v>
      </c>
      <c r="AI414" s="8">
        <v>47618</v>
      </c>
      <c r="AJ414" s="8">
        <v>0</v>
      </c>
      <c r="AK414" s="8">
        <v>34735</v>
      </c>
      <c r="AL414" s="8">
        <v>78165</v>
      </c>
      <c r="AM414" s="8">
        <v>0</v>
      </c>
      <c r="AN414" s="8">
        <v>63305</v>
      </c>
      <c r="AO414" s="8">
        <v>14079</v>
      </c>
      <c r="AP414" s="8">
        <v>0</v>
      </c>
      <c r="AQ414" s="8">
        <v>42724</v>
      </c>
      <c r="AR414" s="8">
        <v>6532</v>
      </c>
      <c r="AS414" s="8">
        <v>0</v>
      </c>
      <c r="AT414" s="8">
        <v>82711</v>
      </c>
      <c r="AU414" s="8">
        <v>6147</v>
      </c>
      <c r="AV414" s="8">
        <v>0</v>
      </c>
      <c r="AW414" s="8">
        <v>9364</v>
      </c>
      <c r="AX414" s="8">
        <v>1409</v>
      </c>
      <c r="AY414" s="8">
        <v>0</v>
      </c>
      <c r="AZ414" s="8">
        <v>466657</v>
      </c>
      <c r="BA414" s="8">
        <v>190422</v>
      </c>
      <c r="BB414" s="8">
        <v>-276236</v>
      </c>
      <c r="BD414" s="1"/>
    </row>
    <row r="417" spans="3:5" x14ac:dyDescent="0.3">
      <c r="C417" s="32">
        <v>645885</v>
      </c>
      <c r="D417" s="32">
        <v>109864</v>
      </c>
      <c r="E417" s="32">
        <v>755749</v>
      </c>
    </row>
    <row r="418" spans="3:5" x14ac:dyDescent="0.3">
      <c r="C418" s="803">
        <v>775062</v>
      </c>
      <c r="D418" s="803">
        <v>131836</v>
      </c>
      <c r="E418" s="803">
        <v>906899</v>
      </c>
    </row>
    <row r="419" spans="3:5" x14ac:dyDescent="0.3">
      <c r="C419" s="395">
        <v>0.85499999999999998</v>
      </c>
      <c r="D419" s="395">
        <v>0.14499999999999999</v>
      </c>
    </row>
  </sheetData>
  <conditionalFormatting sqref="A165">
    <cfRule type="duplicateValues" dxfId="6" priority="1"/>
  </conditionalFormatting>
  <conditionalFormatting sqref="BG165">
    <cfRule type="duplicateValues" dxfId="5" priority="2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9A632-F1EE-4073-9A8F-1DE0C9227718}">
  <dimension ref="A1:BG416"/>
  <sheetViews>
    <sheetView topLeftCell="AJ388" workbookViewId="0">
      <selection activeCell="H17" sqref="H17"/>
    </sheetView>
  </sheetViews>
  <sheetFormatPr defaultColWidth="8.77734375" defaultRowHeight="13.8" x14ac:dyDescent="0.3"/>
  <cols>
    <col min="1" max="1" width="26.21875" style="1" customWidth="1"/>
    <col min="2" max="2" width="33.77734375" style="272" customWidth="1"/>
    <col min="3" max="3" width="8.77734375" style="1"/>
    <col min="4" max="4" width="12.5546875" style="99" customWidth="1"/>
    <col min="5" max="5" width="15.44140625" style="1" customWidth="1"/>
    <col min="6" max="8" width="13.21875" style="7" customWidth="1"/>
    <col min="9" max="9" width="12.21875" style="7" customWidth="1"/>
    <col min="10" max="10" width="10.77734375" style="7" customWidth="1"/>
    <col min="11" max="11" width="15.77734375" style="148" customWidth="1"/>
    <col min="12" max="12" width="7.21875" style="7" customWidth="1"/>
    <col min="13" max="13" width="9.77734375" style="7" customWidth="1"/>
    <col min="14" max="14" width="15.21875" style="7" customWidth="1"/>
    <col min="15" max="15" width="6.21875" style="7" customWidth="1"/>
    <col min="16" max="16" width="9.21875" style="7" customWidth="1"/>
    <col min="17" max="17" width="14.77734375" style="332" customWidth="1"/>
    <col min="18" max="18" width="6.21875" style="7" customWidth="1"/>
    <col min="19" max="19" width="8.77734375" style="7"/>
    <col min="20" max="20" width="16" style="146" customWidth="1"/>
    <col min="21" max="21" width="8.77734375" style="7"/>
    <col min="22" max="22" width="12.77734375" style="7" customWidth="1"/>
    <col min="23" max="23" width="6.21875" style="7" customWidth="1"/>
    <col min="24" max="24" width="9.44140625" style="7" customWidth="1"/>
    <col min="25" max="25" width="11" style="7" customWidth="1"/>
    <col min="26" max="26" width="11.21875" style="7" customWidth="1"/>
    <col min="27" max="27" width="8.21875" style="7" customWidth="1"/>
    <col min="28" max="28" width="11.21875" style="7" customWidth="1"/>
    <col min="29" max="29" width="9.44140625" style="7" customWidth="1"/>
    <col min="30" max="32" width="8.77734375" style="7"/>
    <col min="33" max="33" width="12.21875" style="7" customWidth="1"/>
    <col min="34" max="35" width="8.77734375" style="7"/>
    <col min="36" max="36" width="16" style="7" customWidth="1"/>
    <col min="37" max="38" width="8.77734375" style="7"/>
    <col min="39" max="39" width="14" style="7" customWidth="1"/>
    <col min="40" max="41" width="8.77734375" style="7"/>
    <col min="42" max="42" width="9.77734375" style="7" customWidth="1"/>
    <col min="43" max="44" width="8.77734375" style="7"/>
    <col min="45" max="45" width="11.21875" style="7" customWidth="1"/>
    <col min="46" max="47" width="8.77734375" style="7"/>
    <col min="48" max="48" width="11.5546875" style="7" customWidth="1"/>
    <col min="49" max="50" width="8.77734375" style="7"/>
    <col min="51" max="51" width="12" style="7" customWidth="1"/>
    <col min="52" max="52" width="9.77734375" style="7" customWidth="1"/>
    <col min="53" max="54" width="10.77734375" style="7" customWidth="1"/>
    <col min="55" max="55" width="8.77734375" style="1"/>
    <col min="56" max="56" width="10.44140625" style="2" customWidth="1"/>
    <col min="57" max="57" width="8.77734375" style="1"/>
    <col min="58" max="58" width="11" style="1" customWidth="1"/>
    <col min="59" max="16384" width="8.77734375" style="1"/>
  </cols>
  <sheetData>
    <row r="1" spans="1:58" x14ac:dyDescent="0.3">
      <c r="A1" s="1" t="s">
        <v>0</v>
      </c>
    </row>
    <row r="3" spans="1:58" ht="17.399999999999999" x14ac:dyDescent="0.3">
      <c r="A3" s="25" t="s">
        <v>1025</v>
      </c>
      <c r="J3" s="406" t="s">
        <v>1102</v>
      </c>
    </row>
    <row r="4" spans="1:58" x14ac:dyDescent="0.3">
      <c r="AF4" s="149"/>
      <c r="AI4" s="149"/>
      <c r="AR4" s="158"/>
      <c r="AU4" s="158"/>
    </row>
    <row r="6" spans="1:58" ht="14.4" thickBot="1" x14ac:dyDescent="0.35">
      <c r="A6" s="1">
        <v>1</v>
      </c>
      <c r="B6" s="806">
        <v>2</v>
      </c>
      <c r="C6" s="806">
        <v>3</v>
      </c>
      <c r="D6" s="806">
        <v>4</v>
      </c>
      <c r="E6" s="806">
        <v>5</v>
      </c>
      <c r="F6" s="806">
        <v>6</v>
      </c>
      <c r="G6" s="806">
        <v>7</v>
      </c>
      <c r="H6" s="806">
        <v>8</v>
      </c>
      <c r="I6" s="806">
        <v>9</v>
      </c>
      <c r="J6" s="806">
        <v>10</v>
      </c>
      <c r="K6" s="806">
        <v>11</v>
      </c>
      <c r="L6" s="806">
        <v>12</v>
      </c>
      <c r="M6" s="806">
        <v>13</v>
      </c>
      <c r="N6" s="806">
        <v>14</v>
      </c>
      <c r="O6" s="806">
        <v>15</v>
      </c>
      <c r="P6" s="806">
        <v>16</v>
      </c>
      <c r="Q6" s="806">
        <v>17</v>
      </c>
      <c r="R6" s="806">
        <v>18</v>
      </c>
      <c r="S6" s="806">
        <v>19</v>
      </c>
      <c r="T6" s="806">
        <v>20</v>
      </c>
      <c r="U6" s="806">
        <v>21</v>
      </c>
      <c r="V6" s="806">
        <v>22</v>
      </c>
      <c r="W6" s="806">
        <v>23</v>
      </c>
      <c r="X6" s="806">
        <v>24</v>
      </c>
      <c r="Y6" s="806">
        <v>25</v>
      </c>
      <c r="Z6" s="806">
        <v>26</v>
      </c>
      <c r="AA6" s="806">
        <v>27</v>
      </c>
      <c r="AB6" s="806">
        <v>28</v>
      </c>
      <c r="AC6" s="806">
        <v>29</v>
      </c>
      <c r="AD6" s="806">
        <v>30</v>
      </c>
      <c r="AE6" s="806">
        <v>31</v>
      </c>
      <c r="AF6" s="806">
        <v>32</v>
      </c>
      <c r="AG6" s="806">
        <v>33</v>
      </c>
      <c r="AH6" s="806">
        <v>34</v>
      </c>
      <c r="AI6" s="806">
        <v>35</v>
      </c>
      <c r="AJ6" s="806">
        <v>36</v>
      </c>
      <c r="AK6" s="806">
        <v>37</v>
      </c>
      <c r="AL6" s="806">
        <v>38</v>
      </c>
      <c r="AM6" s="806">
        <v>39</v>
      </c>
      <c r="AN6" s="806">
        <v>40</v>
      </c>
      <c r="AO6" s="806">
        <v>41</v>
      </c>
      <c r="AP6" s="806">
        <v>42</v>
      </c>
      <c r="AQ6" s="806">
        <v>43</v>
      </c>
      <c r="AR6" s="806">
        <v>44</v>
      </c>
      <c r="AS6" s="806">
        <v>45</v>
      </c>
      <c r="AT6" s="806">
        <v>46</v>
      </c>
      <c r="AU6" s="806">
        <v>47</v>
      </c>
      <c r="AV6" s="806">
        <v>48</v>
      </c>
      <c r="AW6" s="806">
        <v>49</v>
      </c>
      <c r="AX6" s="806">
        <v>50</v>
      </c>
      <c r="AY6" s="806">
        <v>51</v>
      </c>
      <c r="AZ6" s="806">
        <v>52</v>
      </c>
      <c r="BA6" s="806">
        <v>53</v>
      </c>
      <c r="BB6" s="806">
        <v>54</v>
      </c>
    </row>
    <row r="7" spans="1:58" ht="26.85" customHeight="1" thickBot="1" x14ac:dyDescent="0.35">
      <c r="A7" s="1042" t="s">
        <v>457</v>
      </c>
      <c r="B7" s="1134" t="s">
        <v>1</v>
      </c>
      <c r="C7" s="1045" t="s">
        <v>2</v>
      </c>
      <c r="D7" s="1131" t="s">
        <v>456</v>
      </c>
      <c r="E7" s="1139" t="s">
        <v>431</v>
      </c>
      <c r="F7" s="1143" t="s">
        <v>957</v>
      </c>
      <c r="G7" s="1144"/>
      <c r="H7" s="1144"/>
      <c r="I7" s="1144"/>
      <c r="J7" s="1144"/>
      <c r="K7" s="1144"/>
      <c r="L7" s="1144"/>
      <c r="M7" s="1144"/>
      <c r="N7" s="1144"/>
      <c r="O7" s="1144"/>
      <c r="P7" s="1144"/>
      <c r="Q7" s="1144"/>
      <c r="R7" s="1144"/>
      <c r="S7" s="1144"/>
      <c r="T7" s="1144"/>
      <c r="U7" s="1144"/>
      <c r="V7" s="1144"/>
      <c r="W7" s="1144"/>
      <c r="X7" s="1144"/>
      <c r="Y7" s="1144"/>
      <c r="Z7" s="1144"/>
      <c r="AA7" s="1144"/>
      <c r="AB7" s="1144"/>
      <c r="AC7" s="1144"/>
      <c r="AD7" s="1145"/>
      <c r="AE7" s="1123" t="s">
        <v>974</v>
      </c>
      <c r="AF7" s="1124"/>
      <c r="AG7" s="1124"/>
      <c r="AH7" s="1124"/>
      <c r="AI7" s="1124"/>
      <c r="AJ7" s="1124"/>
      <c r="AK7" s="1124"/>
      <c r="AL7" s="1124"/>
      <c r="AM7" s="1124"/>
      <c r="AN7" s="1124"/>
      <c r="AO7" s="1124"/>
      <c r="AP7" s="1124"/>
      <c r="AQ7" s="1124"/>
      <c r="AR7" s="1124"/>
      <c r="AS7" s="1124"/>
      <c r="AT7" s="1124"/>
      <c r="AU7" s="1124"/>
      <c r="AV7" s="1124"/>
      <c r="AW7" s="1124"/>
      <c r="AX7" s="1124"/>
      <c r="AY7" s="1124"/>
      <c r="AZ7" s="1124"/>
      <c r="BA7" s="1124"/>
      <c r="BB7" s="1125"/>
    </row>
    <row r="8" spans="1:58" ht="22.2" customHeight="1" thickBot="1" x14ac:dyDescent="0.35">
      <c r="A8" s="1043"/>
      <c r="B8" s="948"/>
      <c r="C8" s="1046"/>
      <c r="D8" s="1132"/>
      <c r="E8" s="1140"/>
      <c r="F8" s="1136" t="s">
        <v>972</v>
      </c>
      <c r="G8" s="1142" t="s">
        <v>973</v>
      </c>
      <c r="H8" s="1136" t="s">
        <v>976</v>
      </c>
      <c r="I8" s="1146" t="s">
        <v>977</v>
      </c>
      <c r="J8" s="1147"/>
      <c r="K8" s="1147"/>
      <c r="L8" s="1147"/>
      <c r="M8" s="1147"/>
      <c r="N8" s="1147"/>
      <c r="O8" s="1147"/>
      <c r="P8" s="1147"/>
      <c r="Q8" s="1147"/>
      <c r="R8" s="1147"/>
      <c r="S8" s="1147"/>
      <c r="T8" s="1147"/>
      <c r="U8" s="1147"/>
      <c r="V8" s="1147"/>
      <c r="W8" s="1147"/>
      <c r="X8" s="1147"/>
      <c r="Y8" s="1147"/>
      <c r="Z8" s="1147"/>
      <c r="AA8" s="1147"/>
      <c r="AB8" s="1147"/>
      <c r="AC8" s="1147"/>
      <c r="AD8" s="1148"/>
      <c r="AE8" s="1126" t="s">
        <v>989</v>
      </c>
      <c r="AF8" s="1076"/>
      <c r="AG8" s="1127"/>
      <c r="AH8" s="1084" t="s">
        <v>990</v>
      </c>
      <c r="AI8" s="1120"/>
      <c r="AJ8" s="1120"/>
      <c r="AK8" s="1084" t="s">
        <v>991</v>
      </c>
      <c r="AL8" s="1120"/>
      <c r="AM8" s="1120"/>
      <c r="AN8" s="1084" t="s">
        <v>992</v>
      </c>
      <c r="AO8" s="1120"/>
      <c r="AP8" s="1120"/>
      <c r="AQ8" s="1084" t="s">
        <v>993</v>
      </c>
      <c r="AR8" s="1120"/>
      <c r="AS8" s="1120"/>
      <c r="AT8" s="1084" t="s">
        <v>994</v>
      </c>
      <c r="AU8" s="1120"/>
      <c r="AV8" s="1120"/>
      <c r="AW8" s="1084" t="s">
        <v>30</v>
      </c>
      <c r="AX8" s="1120"/>
      <c r="AY8" s="1120"/>
      <c r="AZ8" s="1084" t="s">
        <v>975</v>
      </c>
      <c r="BA8" s="1120"/>
      <c r="BB8" s="1121"/>
      <c r="BD8" s="96" t="s">
        <v>1017</v>
      </c>
    </row>
    <row r="9" spans="1:58" ht="36.6" customHeight="1" x14ac:dyDescent="0.3">
      <c r="A9" s="1043"/>
      <c r="B9" s="948"/>
      <c r="C9" s="1046"/>
      <c r="D9" s="1132"/>
      <c r="E9" s="1140"/>
      <c r="F9" s="1137"/>
      <c r="G9" s="1137"/>
      <c r="H9" s="1137"/>
      <c r="I9" s="1083" t="s">
        <v>960</v>
      </c>
      <c r="J9" s="1149"/>
      <c r="K9" s="1119"/>
      <c r="L9" s="1150" t="s">
        <v>961</v>
      </c>
      <c r="M9" s="1149"/>
      <c r="N9" s="1151"/>
      <c r="O9" s="1083" t="s">
        <v>963</v>
      </c>
      <c r="P9" s="1149"/>
      <c r="Q9" s="1119"/>
      <c r="R9" s="1150" t="s">
        <v>969</v>
      </c>
      <c r="S9" s="1149"/>
      <c r="T9" s="1151"/>
      <c r="U9" s="1083" t="s">
        <v>970</v>
      </c>
      <c r="V9" s="1119"/>
      <c r="W9" s="1150" t="s">
        <v>965</v>
      </c>
      <c r="X9" s="1151"/>
      <c r="Y9" s="1083" t="s">
        <v>1052</v>
      </c>
      <c r="Z9" s="1119"/>
      <c r="AA9" s="425" t="s">
        <v>955</v>
      </c>
      <c r="AB9" s="426" t="s">
        <v>980</v>
      </c>
      <c r="AC9" s="427" t="s">
        <v>967</v>
      </c>
      <c r="AD9" s="428" t="s">
        <v>971</v>
      </c>
      <c r="AE9" s="1128"/>
      <c r="AF9" s="1129"/>
      <c r="AG9" s="1130"/>
      <c r="AH9" s="1070"/>
      <c r="AI9" s="1070"/>
      <c r="AJ9" s="1070"/>
      <c r="AK9" s="1070"/>
      <c r="AL9" s="1070"/>
      <c r="AM9" s="1070"/>
      <c r="AN9" s="1070"/>
      <c r="AO9" s="1070"/>
      <c r="AP9" s="1070"/>
      <c r="AQ9" s="1070"/>
      <c r="AR9" s="1070"/>
      <c r="AS9" s="1070"/>
      <c r="AT9" s="1070"/>
      <c r="AU9" s="1070"/>
      <c r="AV9" s="1070"/>
      <c r="AW9" s="1070"/>
      <c r="AX9" s="1070"/>
      <c r="AY9" s="1070"/>
      <c r="AZ9" s="1070"/>
      <c r="BA9" s="1070"/>
      <c r="BB9" s="1122"/>
      <c r="BD9" s="96" t="s">
        <v>1018</v>
      </c>
    </row>
    <row r="10" spans="1:58" ht="34.049999999999997" customHeight="1" thickBot="1" x14ac:dyDescent="0.35">
      <c r="A10" s="943"/>
      <c r="B10" s="1135"/>
      <c r="C10" s="945"/>
      <c r="D10" s="1133"/>
      <c r="E10" s="1141"/>
      <c r="F10" s="1138"/>
      <c r="G10" s="1138"/>
      <c r="H10" s="1138"/>
      <c r="I10" s="429" t="s">
        <v>958</v>
      </c>
      <c r="J10" s="430" t="s">
        <v>959</v>
      </c>
      <c r="K10" s="431" t="s">
        <v>968</v>
      </c>
      <c r="L10" s="432" t="s">
        <v>962</v>
      </c>
      <c r="M10" s="433" t="s">
        <v>959</v>
      </c>
      <c r="N10" s="90" t="s">
        <v>968</v>
      </c>
      <c r="O10" s="434" t="s">
        <v>964</v>
      </c>
      <c r="P10" s="433" t="s">
        <v>959</v>
      </c>
      <c r="Q10" s="83" t="s">
        <v>968</v>
      </c>
      <c r="R10" s="432" t="s">
        <v>962</v>
      </c>
      <c r="S10" s="433" t="s">
        <v>959</v>
      </c>
      <c r="T10" s="435" t="s">
        <v>968</v>
      </c>
      <c r="U10" s="434" t="s">
        <v>959</v>
      </c>
      <c r="V10" s="431" t="s">
        <v>968</v>
      </c>
      <c r="W10" s="432" t="s">
        <v>966</v>
      </c>
      <c r="X10" s="436" t="s">
        <v>959</v>
      </c>
      <c r="Y10" s="434" t="s">
        <v>959</v>
      </c>
      <c r="Z10" s="431" t="s">
        <v>968</v>
      </c>
      <c r="AA10" s="437" t="s">
        <v>959</v>
      </c>
      <c r="AB10" s="438" t="s">
        <v>959</v>
      </c>
      <c r="AC10" s="437" t="s">
        <v>959</v>
      </c>
      <c r="AD10" s="438" t="s">
        <v>959</v>
      </c>
      <c r="AE10" s="434" t="s">
        <v>440</v>
      </c>
      <c r="AF10" s="433" t="s">
        <v>441</v>
      </c>
      <c r="AG10" s="433" t="s">
        <v>968</v>
      </c>
      <c r="AH10" s="433" t="s">
        <v>440</v>
      </c>
      <c r="AI10" s="433" t="s">
        <v>441</v>
      </c>
      <c r="AJ10" s="433" t="s">
        <v>968</v>
      </c>
      <c r="AK10" s="433" t="s">
        <v>440</v>
      </c>
      <c r="AL10" s="433" t="s">
        <v>441</v>
      </c>
      <c r="AM10" s="433" t="s">
        <v>968</v>
      </c>
      <c r="AN10" s="433" t="s">
        <v>440</v>
      </c>
      <c r="AO10" s="433" t="s">
        <v>441</v>
      </c>
      <c r="AP10" s="433" t="s">
        <v>968</v>
      </c>
      <c r="AQ10" s="433" t="s">
        <v>440</v>
      </c>
      <c r="AR10" s="433" t="s">
        <v>441</v>
      </c>
      <c r="AS10" s="433" t="s">
        <v>968</v>
      </c>
      <c r="AT10" s="433" t="s">
        <v>440</v>
      </c>
      <c r="AU10" s="433" t="s">
        <v>441</v>
      </c>
      <c r="AV10" s="433" t="s">
        <v>968</v>
      </c>
      <c r="AW10" s="433" t="s">
        <v>440</v>
      </c>
      <c r="AX10" s="433" t="s">
        <v>441</v>
      </c>
      <c r="AY10" s="433" t="s">
        <v>968</v>
      </c>
      <c r="AZ10" s="433" t="s">
        <v>440</v>
      </c>
      <c r="BA10" s="433" t="s">
        <v>441</v>
      </c>
      <c r="BB10" s="439" t="s">
        <v>442</v>
      </c>
      <c r="BD10" s="96"/>
    </row>
    <row r="11" spans="1:58" ht="25.05" customHeight="1" x14ac:dyDescent="0.3">
      <c r="A11" s="325">
        <v>150001053</v>
      </c>
      <c r="B11" s="440" t="s">
        <v>147</v>
      </c>
      <c r="C11" s="37">
        <v>2</v>
      </c>
      <c r="D11" s="100" t="s">
        <v>455</v>
      </c>
      <c r="E11" s="279">
        <v>372.8</v>
      </c>
      <c r="F11" s="441">
        <v>5871.5368266313508</v>
      </c>
      <c r="G11" s="441">
        <v>27013.37</v>
      </c>
      <c r="H11" s="73">
        <v>21141.83317336865</v>
      </c>
      <c r="I11" s="5">
        <v>0</v>
      </c>
      <c r="J11" s="5">
        <v>0</v>
      </c>
      <c r="K11" s="442"/>
      <c r="L11" s="5">
        <v>1</v>
      </c>
      <c r="M11" s="5">
        <v>26835</v>
      </c>
      <c r="N11" s="38"/>
      <c r="O11" s="5">
        <v>0</v>
      </c>
      <c r="P11" s="5">
        <v>0</v>
      </c>
      <c r="Q11" s="443"/>
      <c r="R11" s="5">
        <v>0</v>
      </c>
      <c r="S11" s="5">
        <v>0</v>
      </c>
      <c r="T11" s="444"/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178.37</v>
      </c>
      <c r="AE11" s="5">
        <v>516.98190546215483</v>
      </c>
      <c r="AF11" s="5">
        <v>0</v>
      </c>
      <c r="AG11" s="40"/>
      <c r="AH11" s="5">
        <v>552.42123096814862</v>
      </c>
      <c r="AI11" s="5">
        <v>0</v>
      </c>
      <c r="AJ11" s="40"/>
      <c r="AK11" s="5">
        <v>236.96442018148048</v>
      </c>
      <c r="AL11" s="5">
        <v>633</v>
      </c>
      <c r="AM11" s="40"/>
      <c r="AN11" s="5">
        <v>0</v>
      </c>
      <c r="AO11" s="5">
        <v>0</v>
      </c>
      <c r="AP11" s="40"/>
      <c r="AQ11" s="5">
        <v>0</v>
      </c>
      <c r="AR11" s="5">
        <v>0</v>
      </c>
      <c r="AS11" s="40"/>
      <c r="AT11" s="5">
        <v>146.72508297593654</v>
      </c>
      <c r="AU11" s="5">
        <v>0</v>
      </c>
      <c r="AV11" s="40"/>
      <c r="AW11" s="5">
        <v>11.184000000000001</v>
      </c>
      <c r="AX11" s="5">
        <v>0</v>
      </c>
      <c r="AY11" s="40"/>
      <c r="AZ11" s="40">
        <v>1464.2766395877206</v>
      </c>
      <c r="BA11" s="40">
        <v>633</v>
      </c>
      <c r="BB11" s="55">
        <v>-831.27663958772064</v>
      </c>
      <c r="BD11" s="2">
        <v>3</v>
      </c>
      <c r="BF11" s="325">
        <v>150001053</v>
      </c>
    </row>
    <row r="12" spans="1:58" ht="25.05" customHeight="1" x14ac:dyDescent="0.3">
      <c r="A12" s="325">
        <v>150000753</v>
      </c>
      <c r="B12" s="445" t="s">
        <v>240</v>
      </c>
      <c r="C12" s="27">
        <v>5</v>
      </c>
      <c r="D12" s="101" t="s">
        <v>455</v>
      </c>
      <c r="E12" s="279">
        <v>1840.7</v>
      </c>
      <c r="F12" s="441">
        <v>23459.614395143137</v>
      </c>
      <c r="G12" s="441">
        <v>569</v>
      </c>
      <c r="H12" s="73">
        <v>-22890.614395143137</v>
      </c>
      <c r="I12" s="5">
        <v>0</v>
      </c>
      <c r="J12" s="5">
        <v>0</v>
      </c>
      <c r="K12" s="446"/>
      <c r="L12" s="5">
        <v>0</v>
      </c>
      <c r="M12" s="5">
        <v>0</v>
      </c>
      <c r="N12" s="35"/>
      <c r="O12" s="5">
        <v>0</v>
      </c>
      <c r="P12" s="5">
        <v>0</v>
      </c>
      <c r="Q12" s="447"/>
      <c r="R12" s="5">
        <v>0</v>
      </c>
      <c r="S12" s="5">
        <v>0</v>
      </c>
      <c r="T12" s="448"/>
      <c r="U12" s="5">
        <v>0</v>
      </c>
      <c r="V12" s="5">
        <v>0</v>
      </c>
      <c r="W12" s="5">
        <v>0</v>
      </c>
      <c r="X12" s="5">
        <v>0</v>
      </c>
      <c r="Y12" s="5">
        <v>167</v>
      </c>
      <c r="Z12" s="5">
        <v>0</v>
      </c>
      <c r="AA12" s="5">
        <v>0</v>
      </c>
      <c r="AB12" s="5">
        <v>0</v>
      </c>
      <c r="AC12" s="5">
        <v>89</v>
      </c>
      <c r="AD12" s="5">
        <v>313</v>
      </c>
      <c r="AE12" s="5">
        <v>1712.0469343468433</v>
      </c>
      <c r="AF12" s="5">
        <v>1664</v>
      </c>
      <c r="AG12" s="5"/>
      <c r="AH12" s="5">
        <v>2680.5205029883023</v>
      </c>
      <c r="AI12" s="5">
        <v>33</v>
      </c>
      <c r="AJ12" s="5"/>
      <c r="AK12" s="5">
        <v>1278.8136500027638</v>
      </c>
      <c r="AL12" s="5">
        <v>0</v>
      </c>
      <c r="AM12" s="5"/>
      <c r="AN12" s="5">
        <v>0</v>
      </c>
      <c r="AO12" s="5">
        <v>0</v>
      </c>
      <c r="AP12" s="5"/>
      <c r="AQ12" s="5">
        <v>0</v>
      </c>
      <c r="AR12" s="5">
        <v>0</v>
      </c>
      <c r="AS12" s="5"/>
      <c r="AT12" s="5">
        <v>942.24486432531387</v>
      </c>
      <c r="AU12" s="5">
        <v>0</v>
      </c>
      <c r="AV12" s="8"/>
      <c r="AW12" s="5">
        <v>372.97886066839845</v>
      </c>
      <c r="AX12" s="5">
        <v>0</v>
      </c>
      <c r="AY12" s="5"/>
      <c r="AZ12" s="40">
        <v>6986.6048123316223</v>
      </c>
      <c r="BA12" s="40">
        <v>1697</v>
      </c>
      <c r="BB12" s="55">
        <v>-5289.6048123316223</v>
      </c>
      <c r="BD12" s="2">
        <v>2</v>
      </c>
      <c r="BF12" s="325">
        <v>150000753</v>
      </c>
    </row>
    <row r="13" spans="1:58" ht="25.05" customHeight="1" x14ac:dyDescent="0.3">
      <c r="A13" s="325">
        <v>150000754</v>
      </c>
      <c r="B13" s="445" t="s">
        <v>241</v>
      </c>
      <c r="C13" s="27">
        <v>5</v>
      </c>
      <c r="D13" s="101" t="s">
        <v>455</v>
      </c>
      <c r="E13" s="279">
        <v>2805.68</v>
      </c>
      <c r="F13" s="441">
        <v>46007.290770198451</v>
      </c>
      <c r="G13" s="441">
        <v>81272.051019970109</v>
      </c>
      <c r="H13" s="73">
        <v>35264.760249771658</v>
      </c>
      <c r="I13" s="5">
        <v>0</v>
      </c>
      <c r="J13" s="5">
        <v>0</v>
      </c>
      <c r="K13" s="446"/>
      <c r="L13" s="5">
        <v>1</v>
      </c>
      <c r="M13" s="5">
        <v>49648</v>
      </c>
      <c r="N13" s="35"/>
      <c r="O13" s="5">
        <v>0</v>
      </c>
      <c r="P13" s="5">
        <v>0</v>
      </c>
      <c r="Q13" s="447"/>
      <c r="R13" s="5">
        <v>0</v>
      </c>
      <c r="S13" s="5">
        <v>0</v>
      </c>
      <c r="T13" s="448"/>
      <c r="U13" s="5">
        <v>0</v>
      </c>
      <c r="V13" s="5">
        <v>0</v>
      </c>
      <c r="W13" s="5">
        <v>41</v>
      </c>
      <c r="X13" s="5">
        <v>22605.051019970106</v>
      </c>
      <c r="Y13" s="5">
        <v>7899</v>
      </c>
      <c r="Z13" s="5">
        <v>0</v>
      </c>
      <c r="AA13" s="5">
        <v>0</v>
      </c>
      <c r="AB13" s="5">
        <v>0</v>
      </c>
      <c r="AC13" s="5">
        <v>0</v>
      </c>
      <c r="AD13" s="5">
        <v>1120</v>
      </c>
      <c r="AE13" s="5">
        <v>2328.1587231093076</v>
      </c>
      <c r="AF13" s="5">
        <v>883</v>
      </c>
      <c r="AG13" s="5"/>
      <c r="AH13" s="5">
        <v>3184.3734628698135</v>
      </c>
      <c r="AI13" s="5">
        <v>0</v>
      </c>
      <c r="AJ13" s="5"/>
      <c r="AK13" s="5">
        <v>1794.246737950939</v>
      </c>
      <c r="AL13" s="5">
        <v>0</v>
      </c>
      <c r="AM13" s="5"/>
      <c r="AN13" s="5">
        <v>0</v>
      </c>
      <c r="AO13" s="5">
        <v>0</v>
      </c>
      <c r="AP13" s="5"/>
      <c r="AQ13" s="5">
        <v>1109.648866209001</v>
      </c>
      <c r="AR13" s="5">
        <v>0</v>
      </c>
      <c r="AS13" s="5"/>
      <c r="AT13" s="5">
        <v>1439.1536835975535</v>
      </c>
      <c r="AU13" s="5">
        <v>0</v>
      </c>
      <c r="AV13" s="5"/>
      <c r="AW13" s="5">
        <v>84.263400000000004</v>
      </c>
      <c r="AX13" s="5">
        <v>0</v>
      </c>
      <c r="AY13" s="5"/>
      <c r="AZ13" s="40">
        <v>9939.8448737366143</v>
      </c>
      <c r="BA13" s="40">
        <v>883</v>
      </c>
      <c r="BB13" s="55">
        <v>-9056.8448737366143</v>
      </c>
      <c r="BD13" s="2">
        <v>2</v>
      </c>
      <c r="BF13" s="325">
        <v>150000754</v>
      </c>
    </row>
    <row r="14" spans="1:58" ht="25.05" customHeight="1" x14ac:dyDescent="0.3">
      <c r="A14" s="325">
        <v>150000702</v>
      </c>
      <c r="B14" s="445" t="s">
        <v>339</v>
      </c>
      <c r="C14" s="27">
        <v>9</v>
      </c>
      <c r="D14" s="101" t="s">
        <v>455</v>
      </c>
      <c r="E14" s="279">
        <v>6095.61</v>
      </c>
      <c r="F14" s="441">
        <v>103518.04216664133</v>
      </c>
      <c r="G14" s="441">
        <v>14679</v>
      </c>
      <c r="H14" s="73">
        <v>-88839.042166641331</v>
      </c>
      <c r="I14" s="5">
        <v>3</v>
      </c>
      <c r="J14" s="5">
        <v>1616</v>
      </c>
      <c r="K14" s="446"/>
      <c r="L14" s="5">
        <v>0</v>
      </c>
      <c r="M14" s="5">
        <v>5281</v>
      </c>
      <c r="N14" s="449"/>
      <c r="O14" s="5">
        <v>0</v>
      </c>
      <c r="P14" s="5">
        <v>0</v>
      </c>
      <c r="Q14" s="447"/>
      <c r="R14" s="5">
        <v>0</v>
      </c>
      <c r="S14" s="5">
        <v>0</v>
      </c>
      <c r="T14" s="448"/>
      <c r="U14" s="5">
        <v>0</v>
      </c>
      <c r="V14" s="5">
        <v>0</v>
      </c>
      <c r="W14" s="5">
        <v>22.5</v>
      </c>
      <c r="X14" s="5">
        <v>1559</v>
      </c>
      <c r="Y14" s="5">
        <v>339</v>
      </c>
      <c r="Z14" s="5">
        <v>0</v>
      </c>
      <c r="AA14" s="5">
        <v>0</v>
      </c>
      <c r="AB14" s="5">
        <v>227</v>
      </c>
      <c r="AC14" s="5">
        <v>2069</v>
      </c>
      <c r="AD14" s="5">
        <v>3588</v>
      </c>
      <c r="AE14" s="5">
        <v>3221.2408843025137</v>
      </c>
      <c r="AF14" s="5">
        <v>0</v>
      </c>
      <c r="AG14" s="5"/>
      <c r="AH14" s="5">
        <v>3936.1101471247403</v>
      </c>
      <c r="AI14" s="5">
        <v>0</v>
      </c>
      <c r="AJ14" s="5"/>
      <c r="AK14" s="5">
        <v>2320.9734024476097</v>
      </c>
      <c r="AL14" s="5">
        <v>0</v>
      </c>
      <c r="AM14" s="5"/>
      <c r="AN14" s="5">
        <v>2489.8659039868508</v>
      </c>
      <c r="AO14" s="5">
        <v>0</v>
      </c>
      <c r="AP14" s="5"/>
      <c r="AQ14" s="5">
        <v>1207.5068961463626</v>
      </c>
      <c r="AR14" s="5">
        <v>0</v>
      </c>
      <c r="AS14" s="5"/>
      <c r="AT14" s="5">
        <v>2413.8249899557422</v>
      </c>
      <c r="AU14" s="5">
        <v>1183</v>
      </c>
      <c r="AV14" s="5"/>
      <c r="AW14" s="5">
        <v>182.8647</v>
      </c>
      <c r="AX14" s="5">
        <v>0</v>
      </c>
      <c r="AY14" s="5"/>
      <c r="AZ14" s="40">
        <v>15772.386923963817</v>
      </c>
      <c r="BA14" s="40">
        <v>1183</v>
      </c>
      <c r="BB14" s="55">
        <v>-14589.386923963817</v>
      </c>
      <c r="BD14" s="2">
        <v>3</v>
      </c>
      <c r="BF14" s="325">
        <v>150000702</v>
      </c>
    </row>
    <row r="15" spans="1:58" ht="25.05" customHeight="1" x14ac:dyDescent="0.3">
      <c r="A15" s="325">
        <v>150000703</v>
      </c>
      <c r="B15" s="445" t="s">
        <v>340</v>
      </c>
      <c r="C15" s="27">
        <v>9</v>
      </c>
      <c r="D15" s="101" t="s">
        <v>455</v>
      </c>
      <c r="E15" s="279">
        <v>6316</v>
      </c>
      <c r="F15" s="441">
        <v>104229.47859246536</v>
      </c>
      <c r="G15" s="441">
        <v>50335.617064696919</v>
      </c>
      <c r="H15" s="73">
        <v>-53893.861527768437</v>
      </c>
      <c r="I15" s="5">
        <v>0</v>
      </c>
      <c r="J15" s="5">
        <v>0</v>
      </c>
      <c r="K15" s="450"/>
      <c r="L15" s="5">
        <v>0</v>
      </c>
      <c r="M15" s="5">
        <v>0</v>
      </c>
      <c r="N15" s="35"/>
      <c r="O15" s="5">
        <v>0</v>
      </c>
      <c r="P15" s="5">
        <v>0</v>
      </c>
      <c r="Q15" s="447"/>
      <c r="R15" s="5">
        <v>3</v>
      </c>
      <c r="S15" s="5">
        <v>29730</v>
      </c>
      <c r="T15" s="451"/>
      <c r="U15" s="5">
        <v>0</v>
      </c>
      <c r="V15" s="5">
        <v>0</v>
      </c>
      <c r="W15" s="5">
        <v>27</v>
      </c>
      <c r="X15" s="5">
        <v>4437.26706469692</v>
      </c>
      <c r="Y15" s="5">
        <v>4680</v>
      </c>
      <c r="Z15" s="5">
        <v>0</v>
      </c>
      <c r="AA15" s="5">
        <v>0</v>
      </c>
      <c r="AB15" s="5">
        <v>3528</v>
      </c>
      <c r="AC15" s="5">
        <v>7011.35</v>
      </c>
      <c r="AD15" s="5">
        <v>949</v>
      </c>
      <c r="AE15" s="5">
        <v>3161.4423035952855</v>
      </c>
      <c r="AF15" s="5">
        <v>71</v>
      </c>
      <c r="AG15" s="8"/>
      <c r="AH15" s="5">
        <v>3889.041717378941</v>
      </c>
      <c r="AI15" s="5">
        <v>1427</v>
      </c>
      <c r="AJ15" s="8"/>
      <c r="AK15" s="5">
        <v>2448.8177298232235</v>
      </c>
      <c r="AL15" s="5">
        <v>0</v>
      </c>
      <c r="AM15" s="5"/>
      <c r="AN15" s="5">
        <v>2519.7778900083895</v>
      </c>
      <c r="AO15" s="5">
        <v>0</v>
      </c>
      <c r="AP15" s="452"/>
      <c r="AQ15" s="5">
        <v>1207.5068961463626</v>
      </c>
      <c r="AR15" s="5">
        <v>15</v>
      </c>
      <c r="AS15" s="8"/>
      <c r="AT15" s="5">
        <v>2282.4908595012994</v>
      </c>
      <c r="AU15" s="5">
        <v>2760</v>
      </c>
      <c r="AV15" s="5"/>
      <c r="AW15" s="5">
        <v>189.49800000000002</v>
      </c>
      <c r="AX15" s="5">
        <v>0</v>
      </c>
      <c r="AY15" s="5"/>
      <c r="AZ15" s="40">
        <v>15698.575396453503</v>
      </c>
      <c r="BA15" s="40">
        <v>4273</v>
      </c>
      <c r="BB15" s="55">
        <v>-11425.575396453503</v>
      </c>
      <c r="BD15" s="2">
        <v>3</v>
      </c>
      <c r="BF15" s="325">
        <v>150000703</v>
      </c>
    </row>
    <row r="16" spans="1:58" ht="25.05" customHeight="1" x14ac:dyDescent="0.3">
      <c r="A16" s="325">
        <v>150000781</v>
      </c>
      <c r="B16" s="445" t="s">
        <v>34</v>
      </c>
      <c r="C16" s="27">
        <v>1</v>
      </c>
      <c r="D16" s="101" t="s">
        <v>455</v>
      </c>
      <c r="E16" s="279">
        <v>263.3</v>
      </c>
      <c r="F16" s="441">
        <v>3288.8972921955615</v>
      </c>
      <c r="G16" s="441">
        <v>0</v>
      </c>
      <c r="H16" s="73">
        <v>-3288.8972921955615</v>
      </c>
      <c r="I16" s="5">
        <v>0</v>
      </c>
      <c r="J16" s="5">
        <v>0</v>
      </c>
      <c r="K16" s="446"/>
      <c r="L16" s="5">
        <v>0</v>
      </c>
      <c r="M16" s="5">
        <v>0</v>
      </c>
      <c r="N16" s="35"/>
      <c r="O16" s="5">
        <v>0</v>
      </c>
      <c r="P16" s="5">
        <v>0</v>
      </c>
      <c r="Q16" s="447"/>
      <c r="R16" s="5">
        <v>0</v>
      </c>
      <c r="S16" s="5">
        <v>0</v>
      </c>
      <c r="T16" s="448"/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/>
      <c r="AH16" s="5">
        <v>0</v>
      </c>
      <c r="AI16" s="5">
        <v>0</v>
      </c>
      <c r="AJ16" s="5"/>
      <c r="AK16" s="5">
        <v>0</v>
      </c>
      <c r="AL16" s="5">
        <v>0</v>
      </c>
      <c r="AM16" s="5"/>
      <c r="AN16" s="5">
        <v>0</v>
      </c>
      <c r="AO16" s="5">
        <v>0</v>
      </c>
      <c r="AP16" s="5"/>
      <c r="AQ16" s="5">
        <v>0</v>
      </c>
      <c r="AR16" s="5">
        <v>0</v>
      </c>
      <c r="AS16" s="5"/>
      <c r="AT16" s="5">
        <v>0</v>
      </c>
      <c r="AU16" s="5">
        <v>0</v>
      </c>
      <c r="AV16" s="5"/>
      <c r="AW16" s="5">
        <v>7.899</v>
      </c>
      <c r="AX16" s="5">
        <v>0</v>
      </c>
      <c r="AY16" s="5"/>
      <c r="AZ16" s="40">
        <v>7.899</v>
      </c>
      <c r="BA16" s="40">
        <v>0</v>
      </c>
      <c r="BB16" s="55">
        <v>-7.899</v>
      </c>
      <c r="BD16" s="2">
        <v>3</v>
      </c>
      <c r="BF16" s="325">
        <v>150000781</v>
      </c>
    </row>
    <row r="17" spans="1:58" ht="25.05" customHeight="1" x14ac:dyDescent="0.3">
      <c r="A17" s="325">
        <v>150000488</v>
      </c>
      <c r="B17" s="445" t="s">
        <v>35</v>
      </c>
      <c r="C17" s="27">
        <v>1</v>
      </c>
      <c r="D17" s="101" t="s">
        <v>455</v>
      </c>
      <c r="E17" s="279">
        <v>317.88</v>
      </c>
      <c r="F17" s="441">
        <v>3297.9783358273571</v>
      </c>
      <c r="G17" s="441">
        <v>0</v>
      </c>
      <c r="H17" s="73">
        <v>-3297.9783358273571</v>
      </c>
      <c r="I17" s="5">
        <v>0</v>
      </c>
      <c r="J17" s="5">
        <v>0</v>
      </c>
      <c r="K17" s="446"/>
      <c r="L17" s="5">
        <v>0</v>
      </c>
      <c r="M17" s="5">
        <v>0</v>
      </c>
      <c r="N17" s="35"/>
      <c r="O17" s="5">
        <v>0</v>
      </c>
      <c r="P17" s="5">
        <v>0</v>
      </c>
      <c r="Q17" s="447"/>
      <c r="R17" s="5">
        <v>0</v>
      </c>
      <c r="S17" s="5">
        <v>0</v>
      </c>
      <c r="T17" s="448"/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/>
      <c r="AH17" s="5">
        <v>0</v>
      </c>
      <c r="AI17" s="5">
        <v>0</v>
      </c>
      <c r="AJ17" s="5"/>
      <c r="AK17" s="5">
        <v>0</v>
      </c>
      <c r="AL17" s="5">
        <v>0</v>
      </c>
      <c r="AM17" s="5"/>
      <c r="AN17" s="5">
        <v>0</v>
      </c>
      <c r="AO17" s="5">
        <v>0</v>
      </c>
      <c r="AP17" s="5"/>
      <c r="AQ17" s="5">
        <v>0</v>
      </c>
      <c r="AR17" s="5">
        <v>0</v>
      </c>
      <c r="AS17" s="5"/>
      <c r="AT17" s="5">
        <v>0</v>
      </c>
      <c r="AU17" s="5">
        <v>0</v>
      </c>
      <c r="AV17" s="5"/>
      <c r="AW17" s="5">
        <v>9.5364000000000004</v>
      </c>
      <c r="AX17" s="5">
        <v>0</v>
      </c>
      <c r="AY17" s="5"/>
      <c r="AZ17" s="40">
        <v>9.5364000000000004</v>
      </c>
      <c r="BA17" s="40">
        <v>0</v>
      </c>
      <c r="BB17" s="55">
        <v>-9.5364000000000004</v>
      </c>
      <c r="BD17" s="2">
        <v>3</v>
      </c>
      <c r="BF17" s="325">
        <v>150000488</v>
      </c>
    </row>
    <row r="18" spans="1:58" ht="25.05" customHeight="1" x14ac:dyDescent="0.3">
      <c r="A18" s="325">
        <v>150000492</v>
      </c>
      <c r="B18" s="445" t="s">
        <v>36</v>
      </c>
      <c r="C18" s="27">
        <v>1</v>
      </c>
      <c r="D18" s="101" t="s">
        <v>455</v>
      </c>
      <c r="E18" s="279">
        <v>95.5</v>
      </c>
      <c r="F18" s="441">
        <v>856.16848187528103</v>
      </c>
      <c r="G18" s="441">
        <v>0</v>
      </c>
      <c r="H18" s="73">
        <v>-856.16848187528103</v>
      </c>
      <c r="I18" s="5">
        <v>0</v>
      </c>
      <c r="J18" s="5">
        <v>0</v>
      </c>
      <c r="K18" s="446"/>
      <c r="L18" s="5">
        <v>0</v>
      </c>
      <c r="M18" s="5">
        <v>0</v>
      </c>
      <c r="N18" s="35"/>
      <c r="O18" s="5">
        <v>0</v>
      </c>
      <c r="P18" s="5">
        <v>0</v>
      </c>
      <c r="Q18" s="447"/>
      <c r="R18" s="5">
        <v>0</v>
      </c>
      <c r="S18" s="5">
        <v>0</v>
      </c>
      <c r="T18" s="448"/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/>
      <c r="AH18" s="5">
        <v>0</v>
      </c>
      <c r="AI18" s="5">
        <v>0</v>
      </c>
      <c r="AJ18" s="5"/>
      <c r="AK18" s="5">
        <v>0</v>
      </c>
      <c r="AL18" s="5">
        <v>0</v>
      </c>
      <c r="AM18" s="5"/>
      <c r="AN18" s="5">
        <v>0</v>
      </c>
      <c r="AO18" s="5">
        <v>0</v>
      </c>
      <c r="AP18" s="5"/>
      <c r="AQ18" s="5">
        <v>0</v>
      </c>
      <c r="AR18" s="5">
        <v>0</v>
      </c>
      <c r="AS18" s="5"/>
      <c r="AT18" s="5">
        <v>0</v>
      </c>
      <c r="AU18" s="5">
        <v>0</v>
      </c>
      <c r="AV18" s="5"/>
      <c r="AW18" s="5">
        <v>2.8650000000000002</v>
      </c>
      <c r="AX18" s="5">
        <v>0</v>
      </c>
      <c r="AY18" s="5"/>
      <c r="AZ18" s="40">
        <v>2.8650000000000002</v>
      </c>
      <c r="BA18" s="40">
        <v>0</v>
      </c>
      <c r="BB18" s="55">
        <v>-2.8650000000000002</v>
      </c>
      <c r="BD18" s="2">
        <v>3</v>
      </c>
      <c r="BF18" s="325">
        <v>150000492</v>
      </c>
    </row>
    <row r="19" spans="1:58" ht="25.05" customHeight="1" x14ac:dyDescent="0.3">
      <c r="A19" s="325">
        <v>150000490</v>
      </c>
      <c r="B19" s="445" t="s">
        <v>37</v>
      </c>
      <c r="C19" s="27">
        <v>1</v>
      </c>
      <c r="D19" s="101" t="s">
        <v>455</v>
      </c>
      <c r="E19" s="279">
        <v>147.5</v>
      </c>
      <c r="F19" s="441">
        <v>1810.3457751369569</v>
      </c>
      <c r="G19" s="441">
        <v>0</v>
      </c>
      <c r="H19" s="73">
        <v>-1810.3457751369569</v>
      </c>
      <c r="I19" s="5">
        <v>0</v>
      </c>
      <c r="J19" s="5">
        <v>0</v>
      </c>
      <c r="K19" s="446"/>
      <c r="L19" s="5">
        <v>0</v>
      </c>
      <c r="M19" s="5">
        <v>0</v>
      </c>
      <c r="N19" s="35"/>
      <c r="O19" s="5">
        <v>0</v>
      </c>
      <c r="P19" s="5">
        <v>0</v>
      </c>
      <c r="Q19" s="447"/>
      <c r="R19" s="5">
        <v>0</v>
      </c>
      <c r="S19" s="5">
        <v>0</v>
      </c>
      <c r="T19" s="448"/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/>
      <c r="AH19" s="5">
        <v>0</v>
      </c>
      <c r="AI19" s="5">
        <v>0</v>
      </c>
      <c r="AJ19" s="5"/>
      <c r="AK19" s="5">
        <v>0</v>
      </c>
      <c r="AL19" s="5">
        <v>0</v>
      </c>
      <c r="AM19" s="5"/>
      <c r="AN19" s="5">
        <v>0</v>
      </c>
      <c r="AO19" s="5">
        <v>0</v>
      </c>
      <c r="AP19" s="5"/>
      <c r="AQ19" s="5">
        <v>0</v>
      </c>
      <c r="AR19" s="5">
        <v>0</v>
      </c>
      <c r="AS19" s="5"/>
      <c r="AT19" s="5">
        <v>0</v>
      </c>
      <c r="AU19" s="5">
        <v>0</v>
      </c>
      <c r="AV19" s="5"/>
      <c r="AW19" s="5">
        <v>4.4250000000000007</v>
      </c>
      <c r="AX19" s="5">
        <v>0</v>
      </c>
      <c r="AY19" s="5"/>
      <c r="AZ19" s="40">
        <v>4.4250000000000007</v>
      </c>
      <c r="BA19" s="40">
        <v>0</v>
      </c>
      <c r="BB19" s="55">
        <v>-4.4250000000000007</v>
      </c>
      <c r="BD19" s="2">
        <v>3</v>
      </c>
      <c r="BF19" s="325">
        <v>150000490</v>
      </c>
    </row>
    <row r="20" spans="1:58" ht="25.05" customHeight="1" x14ac:dyDescent="0.3">
      <c r="A20" s="325">
        <v>150000497</v>
      </c>
      <c r="B20" s="445" t="s">
        <v>341</v>
      </c>
      <c r="C20" s="27">
        <v>9</v>
      </c>
      <c r="D20" s="101" t="s">
        <v>455</v>
      </c>
      <c r="E20" s="279">
        <v>4163.4000000000005</v>
      </c>
      <c r="F20" s="441">
        <v>53722.312956608395</v>
      </c>
      <c r="G20" s="441">
        <v>20888.47</v>
      </c>
      <c r="H20" s="73">
        <v>-32833.842956608394</v>
      </c>
      <c r="I20" s="5">
        <v>0</v>
      </c>
      <c r="J20" s="5">
        <v>0</v>
      </c>
      <c r="K20" s="453"/>
      <c r="L20" s="5">
        <v>0</v>
      </c>
      <c r="M20" s="5">
        <v>0</v>
      </c>
      <c r="N20" s="35"/>
      <c r="O20" s="5">
        <v>0</v>
      </c>
      <c r="P20" s="5">
        <v>0</v>
      </c>
      <c r="Q20" s="447"/>
      <c r="R20" s="5">
        <v>3</v>
      </c>
      <c r="S20" s="5">
        <v>14140</v>
      </c>
      <c r="T20" s="448"/>
      <c r="U20" s="5">
        <v>0</v>
      </c>
      <c r="V20" s="5">
        <v>0</v>
      </c>
      <c r="W20" s="5">
        <v>11</v>
      </c>
      <c r="X20" s="5">
        <v>2548</v>
      </c>
      <c r="Y20" s="5">
        <v>944</v>
      </c>
      <c r="Z20" s="5">
        <v>0</v>
      </c>
      <c r="AA20" s="5">
        <v>0</v>
      </c>
      <c r="AB20" s="5">
        <v>188</v>
      </c>
      <c r="AC20" s="5">
        <v>105</v>
      </c>
      <c r="AD20" s="5">
        <v>2963.4700000000003</v>
      </c>
      <c r="AE20" s="5">
        <v>2191.1662931757355</v>
      </c>
      <c r="AF20" s="5">
        <v>1404</v>
      </c>
      <c r="AG20" s="5"/>
      <c r="AH20" s="5">
        <v>2430.3914207943353</v>
      </c>
      <c r="AI20" s="5">
        <v>0</v>
      </c>
      <c r="AJ20" s="5"/>
      <c r="AK20" s="5">
        <v>1433.2638094353456</v>
      </c>
      <c r="AL20" s="5">
        <v>0</v>
      </c>
      <c r="AM20" s="5"/>
      <c r="AN20" s="5">
        <v>1622.5040348163097</v>
      </c>
      <c r="AO20" s="5">
        <v>730</v>
      </c>
      <c r="AP20" s="5"/>
      <c r="AQ20" s="5">
        <v>923.71373565197098</v>
      </c>
      <c r="AR20" s="5">
        <v>0</v>
      </c>
      <c r="AS20" s="5"/>
      <c r="AT20" s="5">
        <v>955.06791238057144</v>
      </c>
      <c r="AU20" s="5">
        <v>0</v>
      </c>
      <c r="AV20" s="5"/>
      <c r="AW20" s="5">
        <v>299.15320585630519</v>
      </c>
      <c r="AX20" s="5">
        <v>0</v>
      </c>
      <c r="AY20" s="5"/>
      <c r="AZ20" s="40">
        <v>9855.2604121105724</v>
      </c>
      <c r="BA20" s="40">
        <v>2134</v>
      </c>
      <c r="BB20" s="55">
        <v>-7721.2604121105724</v>
      </c>
      <c r="BD20" s="2">
        <v>1</v>
      </c>
      <c r="BF20" s="325">
        <v>150000497</v>
      </c>
    </row>
    <row r="21" spans="1:58" ht="25.05" customHeight="1" x14ac:dyDescent="0.3">
      <c r="A21" s="325">
        <v>150000495</v>
      </c>
      <c r="B21" s="445" t="s">
        <v>148</v>
      </c>
      <c r="C21" s="27">
        <v>2</v>
      </c>
      <c r="D21" s="101" t="s">
        <v>455</v>
      </c>
      <c r="E21" s="279">
        <v>409.93</v>
      </c>
      <c r="F21" s="441">
        <v>4830.9562374483576</v>
      </c>
      <c r="G21" s="441">
        <v>2624.3449251113534</v>
      </c>
      <c r="H21" s="73">
        <v>-2206.6113123370042</v>
      </c>
      <c r="I21" s="5">
        <v>0</v>
      </c>
      <c r="J21" s="5">
        <v>1642</v>
      </c>
      <c r="K21" s="450"/>
      <c r="L21" s="5">
        <v>0</v>
      </c>
      <c r="M21" s="5">
        <v>348</v>
      </c>
      <c r="N21" s="35"/>
      <c r="O21" s="5">
        <v>0</v>
      </c>
      <c r="P21" s="5">
        <v>0</v>
      </c>
      <c r="Q21" s="447"/>
      <c r="R21" s="5">
        <v>0</v>
      </c>
      <c r="S21" s="5">
        <v>0</v>
      </c>
      <c r="T21" s="448"/>
      <c r="U21" s="5">
        <v>0</v>
      </c>
      <c r="V21" s="5">
        <v>0</v>
      </c>
      <c r="W21" s="5">
        <v>0.5</v>
      </c>
      <c r="X21" s="5">
        <v>206.34492511135352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428</v>
      </c>
      <c r="AE21" s="5">
        <v>535.58870847211983</v>
      </c>
      <c r="AF21" s="5">
        <v>0</v>
      </c>
      <c r="AG21" s="5"/>
      <c r="AH21" s="5">
        <v>685.11407161147292</v>
      </c>
      <c r="AI21" s="5">
        <v>0</v>
      </c>
      <c r="AJ21" s="5"/>
      <c r="AK21" s="5">
        <v>170.65177968749666</v>
      </c>
      <c r="AL21" s="5">
        <v>745</v>
      </c>
      <c r="AM21" s="5"/>
      <c r="AN21" s="5">
        <v>0</v>
      </c>
      <c r="AO21" s="5">
        <v>0</v>
      </c>
      <c r="AP21" s="5"/>
      <c r="AQ21" s="5">
        <v>0</v>
      </c>
      <c r="AR21" s="5">
        <v>0</v>
      </c>
      <c r="AS21" s="5"/>
      <c r="AT21" s="5">
        <v>110.09829986336118</v>
      </c>
      <c r="AU21" s="5">
        <v>0</v>
      </c>
      <c r="AV21" s="5"/>
      <c r="AW21" s="5">
        <v>155.04303146868628</v>
      </c>
      <c r="AX21" s="5">
        <v>0</v>
      </c>
      <c r="AY21" s="5"/>
      <c r="AZ21" s="40">
        <v>1656.4958911031367</v>
      </c>
      <c r="BA21" s="40">
        <v>745</v>
      </c>
      <c r="BB21" s="55">
        <v>-911.49589110313673</v>
      </c>
      <c r="BD21" s="2">
        <v>1</v>
      </c>
      <c r="BF21" s="325">
        <v>150000495</v>
      </c>
    </row>
    <row r="22" spans="1:58" ht="25.05" customHeight="1" x14ac:dyDescent="0.3">
      <c r="A22" s="325">
        <v>150000496</v>
      </c>
      <c r="B22" s="445" t="s">
        <v>149</v>
      </c>
      <c r="C22" s="27">
        <v>2</v>
      </c>
      <c r="D22" s="101" t="s">
        <v>455</v>
      </c>
      <c r="E22" s="279">
        <v>403.93</v>
      </c>
      <c r="F22" s="441">
        <v>4639.8621762468274</v>
      </c>
      <c r="G22" s="441">
        <v>2611.3449251113534</v>
      </c>
      <c r="H22" s="73">
        <v>-2028.517251135474</v>
      </c>
      <c r="I22" s="5">
        <v>0</v>
      </c>
      <c r="J22" s="5">
        <v>1642</v>
      </c>
      <c r="K22" s="446"/>
      <c r="L22" s="5">
        <v>0</v>
      </c>
      <c r="M22" s="5">
        <v>0</v>
      </c>
      <c r="N22" s="35"/>
      <c r="O22" s="5">
        <v>0</v>
      </c>
      <c r="P22" s="5">
        <v>0</v>
      </c>
      <c r="Q22" s="447"/>
      <c r="R22" s="5">
        <v>0</v>
      </c>
      <c r="S22" s="5">
        <v>0</v>
      </c>
      <c r="T22" s="448"/>
      <c r="U22" s="5">
        <v>0</v>
      </c>
      <c r="V22" s="5">
        <v>0</v>
      </c>
      <c r="W22" s="5">
        <v>0</v>
      </c>
      <c r="X22" s="5">
        <v>74.344925111353518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895</v>
      </c>
      <c r="AE22" s="5">
        <v>535.58870847211983</v>
      </c>
      <c r="AF22" s="5">
        <v>0</v>
      </c>
      <c r="AG22" s="5"/>
      <c r="AH22" s="5">
        <v>685.11407161147292</v>
      </c>
      <c r="AI22" s="5">
        <v>0</v>
      </c>
      <c r="AJ22" s="5"/>
      <c r="AK22" s="5">
        <v>165.75602232864102</v>
      </c>
      <c r="AL22" s="5">
        <v>0</v>
      </c>
      <c r="AM22" s="5"/>
      <c r="AN22" s="5">
        <v>0</v>
      </c>
      <c r="AO22" s="5">
        <v>0</v>
      </c>
      <c r="AP22" s="5"/>
      <c r="AQ22" s="5">
        <v>0</v>
      </c>
      <c r="AR22" s="5">
        <v>0</v>
      </c>
      <c r="AS22" s="5"/>
      <c r="AT22" s="5">
        <v>110.09829986336118</v>
      </c>
      <c r="AU22" s="5">
        <v>0</v>
      </c>
      <c r="AV22" s="5"/>
      <c r="AW22" s="5">
        <v>151.34721602375529</v>
      </c>
      <c r="AX22" s="5">
        <v>0</v>
      </c>
      <c r="AY22" s="5"/>
      <c r="AZ22" s="40">
        <v>1647.9043182993501</v>
      </c>
      <c r="BA22" s="40">
        <v>0</v>
      </c>
      <c r="BB22" s="55">
        <v>-1647.9043182993501</v>
      </c>
      <c r="BD22" s="2">
        <v>1</v>
      </c>
      <c r="BF22" s="325">
        <v>150000496</v>
      </c>
    </row>
    <row r="23" spans="1:58" ht="25.05" customHeight="1" x14ac:dyDescent="0.3">
      <c r="A23" s="325">
        <v>150000498</v>
      </c>
      <c r="B23" s="445" t="s">
        <v>242</v>
      </c>
      <c r="C23" s="27">
        <v>5</v>
      </c>
      <c r="D23" s="101" t="s">
        <v>455</v>
      </c>
      <c r="E23" s="279">
        <v>4890.7</v>
      </c>
      <c r="F23" s="441">
        <v>39753.086361362293</v>
      </c>
      <c r="G23" s="441">
        <v>141484.07139008056</v>
      </c>
      <c r="H23" s="73">
        <v>101730.98502871826</v>
      </c>
      <c r="I23" s="5">
        <v>34.700000000000003</v>
      </c>
      <c r="J23" s="5">
        <v>8471</v>
      </c>
      <c r="K23" s="450"/>
      <c r="L23" s="5">
        <v>0</v>
      </c>
      <c r="M23" s="5">
        <v>926</v>
      </c>
      <c r="N23" s="35"/>
      <c r="O23" s="5">
        <v>0</v>
      </c>
      <c r="P23" s="5">
        <v>0</v>
      </c>
      <c r="Q23" s="447"/>
      <c r="R23" s="5">
        <v>0</v>
      </c>
      <c r="S23" s="5">
        <v>0</v>
      </c>
      <c r="T23" s="448"/>
      <c r="U23" s="5">
        <v>0</v>
      </c>
      <c r="V23" s="5">
        <v>0</v>
      </c>
      <c r="W23" s="5">
        <v>0</v>
      </c>
      <c r="X23" s="5">
        <v>468.07139008055026</v>
      </c>
      <c r="Y23" s="5">
        <v>1972</v>
      </c>
      <c r="Z23" s="5">
        <v>0</v>
      </c>
      <c r="AA23" s="5">
        <v>126705</v>
      </c>
      <c r="AB23" s="5">
        <v>0</v>
      </c>
      <c r="AC23" s="5">
        <v>0</v>
      </c>
      <c r="AD23" s="5">
        <v>2942</v>
      </c>
      <c r="AE23" s="5">
        <v>3767.4657091205227</v>
      </c>
      <c r="AF23" s="5">
        <v>1920</v>
      </c>
      <c r="AG23" s="454"/>
      <c r="AH23" s="5">
        <v>5502.2809935676487</v>
      </c>
      <c r="AI23" s="5">
        <v>1329</v>
      </c>
      <c r="AJ23" s="5"/>
      <c r="AK23" s="5">
        <v>2396.227960867172</v>
      </c>
      <c r="AL23" s="5">
        <v>4578.05</v>
      </c>
      <c r="AM23" s="5"/>
      <c r="AN23" s="5">
        <v>0</v>
      </c>
      <c r="AO23" s="5">
        <v>0</v>
      </c>
      <c r="AP23" s="5"/>
      <c r="AQ23" s="5">
        <v>0</v>
      </c>
      <c r="AR23" s="5">
        <v>0</v>
      </c>
      <c r="AS23" s="5"/>
      <c r="AT23" s="5">
        <v>3224.1598234264252</v>
      </c>
      <c r="AU23" s="5">
        <v>10612</v>
      </c>
      <c r="AV23" s="5"/>
      <c r="AW23" s="5">
        <v>890.06789572441573</v>
      </c>
      <c r="AX23" s="5">
        <v>0</v>
      </c>
      <c r="AY23" s="5"/>
      <c r="AZ23" s="40">
        <v>15780.202382706186</v>
      </c>
      <c r="BA23" s="40">
        <v>18439.05</v>
      </c>
      <c r="BB23" s="55">
        <v>2658.8476172938135</v>
      </c>
      <c r="BD23" s="2">
        <v>1</v>
      </c>
      <c r="BF23" s="325">
        <v>150000498</v>
      </c>
    </row>
    <row r="24" spans="1:58" ht="25.05" customHeight="1" x14ac:dyDescent="0.3">
      <c r="A24" s="325">
        <v>150000969</v>
      </c>
      <c r="B24" s="445" t="s">
        <v>193</v>
      </c>
      <c r="C24" s="27">
        <v>3</v>
      </c>
      <c r="D24" s="101" t="s">
        <v>455</v>
      </c>
      <c r="E24" s="279">
        <v>753.3</v>
      </c>
      <c r="F24" s="441">
        <v>8605.5722344097467</v>
      </c>
      <c r="G24" s="441">
        <v>8099.75</v>
      </c>
      <c r="H24" s="73">
        <v>-505.82223440974667</v>
      </c>
      <c r="I24" s="5">
        <v>0</v>
      </c>
      <c r="J24" s="5">
        <v>0</v>
      </c>
      <c r="K24" s="446"/>
      <c r="L24" s="5">
        <v>0</v>
      </c>
      <c r="M24" s="5">
        <v>0</v>
      </c>
      <c r="N24" s="35"/>
      <c r="O24" s="5">
        <v>0</v>
      </c>
      <c r="P24" s="5">
        <v>0</v>
      </c>
      <c r="Q24" s="447"/>
      <c r="R24" s="5">
        <v>0</v>
      </c>
      <c r="S24" s="5">
        <v>0</v>
      </c>
      <c r="T24" s="448"/>
      <c r="U24" s="5">
        <v>0</v>
      </c>
      <c r="V24" s="5">
        <v>0</v>
      </c>
      <c r="W24" s="5">
        <v>0</v>
      </c>
      <c r="X24" s="5">
        <v>1199.75</v>
      </c>
      <c r="Y24" s="5">
        <v>5172</v>
      </c>
      <c r="Z24" s="5">
        <v>0</v>
      </c>
      <c r="AA24" s="5">
        <v>0</v>
      </c>
      <c r="AB24" s="5">
        <v>0</v>
      </c>
      <c r="AC24" s="5">
        <v>0</v>
      </c>
      <c r="AD24" s="5">
        <v>1728</v>
      </c>
      <c r="AE24" s="5">
        <v>823.90115713627574</v>
      </c>
      <c r="AF24" s="5">
        <v>0</v>
      </c>
      <c r="AG24" s="5"/>
      <c r="AH24" s="5">
        <v>1222.7188433059059</v>
      </c>
      <c r="AI24" s="5">
        <v>0</v>
      </c>
      <c r="AJ24" s="5"/>
      <c r="AK24" s="5">
        <v>380.50909994130683</v>
      </c>
      <c r="AL24" s="5">
        <v>0</v>
      </c>
      <c r="AM24" s="5"/>
      <c r="AN24" s="5">
        <v>0</v>
      </c>
      <c r="AO24" s="5">
        <v>0</v>
      </c>
      <c r="AP24" s="5"/>
      <c r="AQ24" s="5">
        <v>0</v>
      </c>
      <c r="AR24" s="5">
        <v>0</v>
      </c>
      <c r="AS24" s="5"/>
      <c r="AT24" s="5">
        <v>311.18837484172639</v>
      </c>
      <c r="AU24" s="5">
        <v>711</v>
      </c>
      <c r="AV24" s="5"/>
      <c r="AW24" s="5">
        <v>22.560000000000002</v>
      </c>
      <c r="AX24" s="5">
        <v>0</v>
      </c>
      <c r="AY24" s="5"/>
      <c r="AZ24" s="40">
        <v>2760.8774752252148</v>
      </c>
      <c r="BA24" s="40">
        <v>711</v>
      </c>
      <c r="BB24" s="55">
        <v>-2049.8774752252148</v>
      </c>
      <c r="BD24" s="2">
        <v>2</v>
      </c>
      <c r="BF24" s="325">
        <v>150000969</v>
      </c>
    </row>
    <row r="25" spans="1:58" ht="25.05" customHeight="1" x14ac:dyDescent="0.3">
      <c r="A25" s="325">
        <v>150000989</v>
      </c>
      <c r="B25" s="445" t="s">
        <v>38</v>
      </c>
      <c r="C25" s="27">
        <v>1</v>
      </c>
      <c r="D25" s="101" t="s">
        <v>455</v>
      </c>
      <c r="E25" s="279">
        <v>256.91000000000003</v>
      </c>
      <c r="F25" s="441">
        <v>2377.2926744278893</v>
      </c>
      <c r="G25" s="441">
        <v>2126</v>
      </c>
      <c r="H25" s="73">
        <v>-251.29267442788932</v>
      </c>
      <c r="I25" s="5">
        <v>10</v>
      </c>
      <c r="J25" s="5">
        <v>2126</v>
      </c>
      <c r="K25" s="446"/>
      <c r="L25" s="5">
        <v>0</v>
      </c>
      <c r="M25" s="5">
        <v>0</v>
      </c>
      <c r="N25" s="35"/>
      <c r="O25" s="5">
        <v>0</v>
      </c>
      <c r="P25" s="5">
        <v>0</v>
      </c>
      <c r="Q25" s="447"/>
      <c r="R25" s="5">
        <v>0</v>
      </c>
      <c r="S25" s="5">
        <v>0</v>
      </c>
      <c r="T25" s="448"/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/>
      <c r="AH25" s="5">
        <v>0</v>
      </c>
      <c r="AI25" s="5">
        <v>0</v>
      </c>
      <c r="AJ25" s="5"/>
      <c r="AK25" s="5">
        <v>0</v>
      </c>
      <c r="AL25" s="5">
        <v>0</v>
      </c>
      <c r="AM25" s="5"/>
      <c r="AN25" s="5">
        <v>0</v>
      </c>
      <c r="AO25" s="5">
        <v>0</v>
      </c>
      <c r="AP25" s="5"/>
      <c r="AQ25" s="5">
        <v>0</v>
      </c>
      <c r="AR25" s="5">
        <v>0</v>
      </c>
      <c r="AS25" s="5"/>
      <c r="AT25" s="5">
        <v>0</v>
      </c>
      <c r="AU25" s="5">
        <v>0</v>
      </c>
      <c r="AV25" s="5"/>
      <c r="AW25" s="5">
        <v>7.7073</v>
      </c>
      <c r="AX25" s="5">
        <v>0</v>
      </c>
      <c r="AY25" s="5"/>
      <c r="AZ25" s="40">
        <v>7.7073</v>
      </c>
      <c r="BA25" s="40">
        <v>0</v>
      </c>
      <c r="BB25" s="55">
        <v>-7.7073</v>
      </c>
      <c r="BD25" s="2">
        <v>3</v>
      </c>
      <c r="BF25" s="325">
        <v>150000989</v>
      </c>
    </row>
    <row r="26" spans="1:58" ht="25.05" customHeight="1" x14ac:dyDescent="0.3">
      <c r="A26" s="325">
        <v>150000970</v>
      </c>
      <c r="B26" s="445" t="s">
        <v>243</v>
      </c>
      <c r="C26" s="27">
        <v>5</v>
      </c>
      <c r="D26" s="101" t="s">
        <v>455</v>
      </c>
      <c r="E26" s="279">
        <v>2947.6</v>
      </c>
      <c r="F26" s="441">
        <v>27032.242060542048</v>
      </c>
      <c r="G26" s="441">
        <v>3120</v>
      </c>
      <c r="H26" s="73">
        <v>-23912.242060542048</v>
      </c>
      <c r="I26" s="5">
        <v>0</v>
      </c>
      <c r="J26" s="5">
        <v>0</v>
      </c>
      <c r="K26" s="446"/>
      <c r="L26" s="5">
        <v>0</v>
      </c>
      <c r="M26" s="5">
        <v>0</v>
      </c>
      <c r="N26" s="35"/>
      <c r="O26" s="5">
        <v>0</v>
      </c>
      <c r="P26" s="5">
        <v>0</v>
      </c>
      <c r="Q26" s="447"/>
      <c r="R26" s="5">
        <v>0</v>
      </c>
      <c r="S26" s="5">
        <v>0</v>
      </c>
      <c r="T26" s="448"/>
      <c r="U26" s="5">
        <v>0</v>
      </c>
      <c r="V26" s="5">
        <v>0</v>
      </c>
      <c r="W26" s="5">
        <v>0</v>
      </c>
      <c r="X26" s="5">
        <v>0</v>
      </c>
      <c r="Y26" s="5">
        <v>1538</v>
      </c>
      <c r="Z26" s="5">
        <v>0</v>
      </c>
      <c r="AA26" s="5">
        <v>0</v>
      </c>
      <c r="AB26" s="5">
        <v>922</v>
      </c>
      <c r="AC26" s="5">
        <v>269</v>
      </c>
      <c r="AD26" s="5">
        <v>391</v>
      </c>
      <c r="AE26" s="5">
        <v>1885.4386122993662</v>
      </c>
      <c r="AF26" s="5">
        <v>858</v>
      </c>
      <c r="AG26" s="5"/>
      <c r="AH26" s="5">
        <v>2735.2943369323934</v>
      </c>
      <c r="AI26" s="5">
        <v>1427</v>
      </c>
      <c r="AJ26" s="5"/>
      <c r="AK26" s="5">
        <v>1816.63832773883</v>
      </c>
      <c r="AL26" s="5">
        <v>10519</v>
      </c>
      <c r="AM26" s="5"/>
      <c r="AN26" s="5">
        <v>0</v>
      </c>
      <c r="AO26" s="5">
        <v>0</v>
      </c>
      <c r="AP26" s="5"/>
      <c r="AQ26" s="5">
        <v>0</v>
      </c>
      <c r="AR26" s="5">
        <v>0</v>
      </c>
      <c r="AS26" s="5"/>
      <c r="AT26" s="5">
        <v>1008.3119661150819</v>
      </c>
      <c r="AU26" s="5">
        <v>13340</v>
      </c>
      <c r="AV26" s="5"/>
      <c r="AW26" s="5">
        <v>88.412999999999997</v>
      </c>
      <c r="AX26" s="5">
        <v>0</v>
      </c>
      <c r="AY26" s="5"/>
      <c r="AZ26" s="40">
        <v>7534.0962430856707</v>
      </c>
      <c r="BA26" s="40">
        <v>26144</v>
      </c>
      <c r="BB26" s="55">
        <v>18609.903756914329</v>
      </c>
      <c r="BD26" s="2">
        <v>2</v>
      </c>
      <c r="BF26" s="325">
        <v>150000970</v>
      </c>
    </row>
    <row r="27" spans="1:58" ht="25.05" customHeight="1" x14ac:dyDescent="0.3">
      <c r="A27" s="325">
        <v>150000971</v>
      </c>
      <c r="B27" s="445" t="s">
        <v>194</v>
      </c>
      <c r="C27" s="27">
        <v>3</v>
      </c>
      <c r="D27" s="101" t="s">
        <v>455</v>
      </c>
      <c r="E27" s="279">
        <v>1469.5300000000002</v>
      </c>
      <c r="F27" s="441">
        <v>19536.492761909303</v>
      </c>
      <c r="G27" s="441">
        <v>19093.57</v>
      </c>
      <c r="H27" s="73">
        <v>-442.92276190930352</v>
      </c>
      <c r="I27" s="5">
        <v>0</v>
      </c>
      <c r="J27" s="5">
        <v>0</v>
      </c>
      <c r="K27" s="446"/>
      <c r="L27" s="5">
        <v>0</v>
      </c>
      <c r="M27" s="5">
        <v>0</v>
      </c>
      <c r="N27" s="35"/>
      <c r="O27" s="5">
        <v>0</v>
      </c>
      <c r="P27" s="5">
        <v>0</v>
      </c>
      <c r="Q27" s="447"/>
      <c r="R27" s="5">
        <v>0</v>
      </c>
      <c r="S27" s="5">
        <v>0</v>
      </c>
      <c r="T27" s="448"/>
      <c r="U27" s="5">
        <v>0</v>
      </c>
      <c r="V27" s="5">
        <v>0</v>
      </c>
      <c r="W27" s="5">
        <v>0</v>
      </c>
      <c r="X27" s="5">
        <v>0</v>
      </c>
      <c r="Y27" s="5">
        <v>16293</v>
      </c>
      <c r="Z27" s="5">
        <v>0</v>
      </c>
      <c r="AA27" s="5">
        <v>0</v>
      </c>
      <c r="AB27" s="5">
        <v>0</v>
      </c>
      <c r="AC27" s="5">
        <v>0</v>
      </c>
      <c r="AD27" s="5">
        <v>2800.57</v>
      </c>
      <c r="AE27" s="5">
        <v>1314.889583491442</v>
      </c>
      <c r="AF27" s="5">
        <v>207</v>
      </c>
      <c r="AG27" s="5"/>
      <c r="AH27" s="5">
        <v>1905.7737904152364</v>
      </c>
      <c r="AI27" s="5">
        <v>3215</v>
      </c>
      <c r="AJ27" s="5"/>
      <c r="AK27" s="5">
        <v>797.23802789051638</v>
      </c>
      <c r="AL27" s="5">
        <v>0</v>
      </c>
      <c r="AM27" s="5"/>
      <c r="AN27" s="5">
        <v>0</v>
      </c>
      <c r="AO27" s="5">
        <v>0</v>
      </c>
      <c r="AP27" s="5"/>
      <c r="AQ27" s="5">
        <v>0</v>
      </c>
      <c r="AR27" s="5">
        <v>0</v>
      </c>
      <c r="AS27" s="5"/>
      <c r="AT27" s="5">
        <v>816.93793230578956</v>
      </c>
      <c r="AU27" s="5">
        <v>1175</v>
      </c>
      <c r="AV27" s="8"/>
      <c r="AW27" s="5">
        <v>42.393900000000002</v>
      </c>
      <c r="AX27" s="5">
        <v>0</v>
      </c>
      <c r="AY27" s="5"/>
      <c r="AZ27" s="40">
        <v>4877.2332341029842</v>
      </c>
      <c r="BA27" s="40">
        <v>4597</v>
      </c>
      <c r="BB27" s="55">
        <v>-280.23323410298417</v>
      </c>
      <c r="BD27" s="2">
        <v>2</v>
      </c>
      <c r="BF27" s="325">
        <v>150000971</v>
      </c>
    </row>
    <row r="28" spans="1:58" ht="25.05" customHeight="1" x14ac:dyDescent="0.3">
      <c r="A28" s="325">
        <v>150000991</v>
      </c>
      <c r="B28" s="445" t="s">
        <v>342</v>
      </c>
      <c r="C28" s="27">
        <v>9</v>
      </c>
      <c r="D28" s="101" t="s">
        <v>455</v>
      </c>
      <c r="E28" s="279">
        <v>4082.7</v>
      </c>
      <c r="F28" s="441">
        <v>54546.655199763882</v>
      </c>
      <c r="G28" s="441">
        <v>17739</v>
      </c>
      <c r="H28" s="73">
        <v>-36807.655199763882</v>
      </c>
      <c r="I28" s="5">
        <v>0</v>
      </c>
      <c r="J28" s="5">
        <v>0</v>
      </c>
      <c r="K28" s="446"/>
      <c r="L28" s="5">
        <v>0</v>
      </c>
      <c r="M28" s="5">
        <v>247</v>
      </c>
      <c r="N28" s="35"/>
      <c r="O28" s="5">
        <v>0</v>
      </c>
      <c r="P28" s="5">
        <v>0</v>
      </c>
      <c r="Q28" s="447"/>
      <c r="R28" s="5">
        <v>1</v>
      </c>
      <c r="S28" s="5">
        <v>5970</v>
      </c>
      <c r="T28" s="448"/>
      <c r="U28" s="5">
        <v>0</v>
      </c>
      <c r="V28" s="5">
        <v>0</v>
      </c>
      <c r="W28" s="5">
        <v>0</v>
      </c>
      <c r="X28" s="5">
        <v>0</v>
      </c>
      <c r="Y28" s="5">
        <v>8306</v>
      </c>
      <c r="Z28" s="5">
        <v>0</v>
      </c>
      <c r="AA28" s="5">
        <v>0</v>
      </c>
      <c r="AB28" s="5">
        <v>0</v>
      </c>
      <c r="AC28" s="5">
        <v>327</v>
      </c>
      <c r="AD28" s="5">
        <v>2889</v>
      </c>
      <c r="AE28" s="5">
        <v>1425.0274035996279</v>
      </c>
      <c r="AF28" s="5">
        <v>71</v>
      </c>
      <c r="AG28" s="5"/>
      <c r="AH28" s="5">
        <v>1503.767688056744</v>
      </c>
      <c r="AI28" s="5">
        <v>4001</v>
      </c>
      <c r="AJ28" s="5"/>
      <c r="AK28" s="5">
        <v>893.11921605303291</v>
      </c>
      <c r="AL28" s="5">
        <v>0</v>
      </c>
      <c r="AM28" s="5"/>
      <c r="AN28" s="5">
        <v>915.43094697870663</v>
      </c>
      <c r="AO28" s="5">
        <v>4424</v>
      </c>
      <c r="AP28" s="5"/>
      <c r="AQ28" s="5">
        <v>610.30138558791521</v>
      </c>
      <c r="AR28" s="5">
        <v>15</v>
      </c>
      <c r="AS28" s="5"/>
      <c r="AT28" s="5">
        <v>1351.2192206660102</v>
      </c>
      <c r="AU28" s="5">
        <v>0</v>
      </c>
      <c r="AV28" s="5"/>
      <c r="AW28" s="5">
        <v>61.191000000000003</v>
      </c>
      <c r="AX28" s="5">
        <v>0</v>
      </c>
      <c r="AY28" s="5"/>
      <c r="AZ28" s="40">
        <v>6760.056860942037</v>
      </c>
      <c r="BA28" s="40">
        <v>8511</v>
      </c>
      <c r="BB28" s="55">
        <v>1750.943139057963</v>
      </c>
      <c r="BD28" s="2">
        <v>3</v>
      </c>
      <c r="BF28" s="325">
        <v>150000991</v>
      </c>
    </row>
    <row r="29" spans="1:58" ht="25.05" customHeight="1" x14ac:dyDescent="0.3">
      <c r="A29" s="325">
        <v>150000992</v>
      </c>
      <c r="B29" s="445" t="s">
        <v>40</v>
      </c>
      <c r="C29" s="27">
        <v>1</v>
      </c>
      <c r="D29" s="101" t="s">
        <v>455</v>
      </c>
      <c r="E29" s="279">
        <v>263.39999999999998</v>
      </c>
      <c r="F29" s="441">
        <v>2669.2331541557642</v>
      </c>
      <c r="G29" s="441">
        <v>1571.5700000000002</v>
      </c>
      <c r="H29" s="73">
        <v>-1097.663154155764</v>
      </c>
      <c r="I29" s="5">
        <v>8</v>
      </c>
      <c r="J29" s="5">
        <v>1571.5700000000002</v>
      </c>
      <c r="K29" s="446"/>
      <c r="L29" s="5">
        <v>0</v>
      </c>
      <c r="M29" s="5">
        <v>0</v>
      </c>
      <c r="N29" s="35"/>
      <c r="O29" s="5">
        <v>0</v>
      </c>
      <c r="P29" s="5">
        <v>0</v>
      </c>
      <c r="Q29" s="447"/>
      <c r="R29" s="5">
        <v>0</v>
      </c>
      <c r="S29" s="5">
        <v>0</v>
      </c>
      <c r="T29" s="448"/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/>
      <c r="AH29" s="5">
        <v>0</v>
      </c>
      <c r="AI29" s="5">
        <v>0</v>
      </c>
      <c r="AJ29" s="5"/>
      <c r="AK29" s="5">
        <v>0</v>
      </c>
      <c r="AL29" s="5">
        <v>0</v>
      </c>
      <c r="AM29" s="5"/>
      <c r="AN29" s="5">
        <v>0</v>
      </c>
      <c r="AO29" s="5">
        <v>0</v>
      </c>
      <c r="AP29" s="5"/>
      <c r="AQ29" s="5">
        <v>0</v>
      </c>
      <c r="AR29" s="5">
        <v>0</v>
      </c>
      <c r="AS29" s="5"/>
      <c r="AT29" s="5">
        <v>0</v>
      </c>
      <c r="AU29" s="5">
        <v>0</v>
      </c>
      <c r="AV29" s="5"/>
      <c r="AW29" s="5">
        <v>7.9019999999999992</v>
      </c>
      <c r="AX29" s="5">
        <v>0</v>
      </c>
      <c r="AY29" s="5"/>
      <c r="AZ29" s="40">
        <v>7.9019999999999992</v>
      </c>
      <c r="BA29" s="40">
        <v>0</v>
      </c>
      <c r="BB29" s="55">
        <v>-7.9019999999999992</v>
      </c>
      <c r="BD29" s="2">
        <v>3</v>
      </c>
      <c r="BF29" s="325">
        <v>150000992</v>
      </c>
    </row>
    <row r="30" spans="1:58" ht="25.05" customHeight="1" x14ac:dyDescent="0.3">
      <c r="A30" s="325">
        <v>150000999</v>
      </c>
      <c r="B30" s="445" t="s">
        <v>41</v>
      </c>
      <c r="C30" s="27">
        <v>1</v>
      </c>
      <c r="D30" s="101" t="s">
        <v>455</v>
      </c>
      <c r="E30" s="279">
        <v>298.60000000000002</v>
      </c>
      <c r="F30" s="441">
        <v>2976.8107288765968</v>
      </c>
      <c r="G30" s="441">
        <v>1205</v>
      </c>
      <c r="H30" s="73">
        <v>-1771.8107288765968</v>
      </c>
      <c r="I30" s="5">
        <v>8</v>
      </c>
      <c r="J30" s="5">
        <v>1205</v>
      </c>
      <c r="K30" s="446"/>
      <c r="L30" s="5">
        <v>0</v>
      </c>
      <c r="M30" s="5">
        <v>0</v>
      </c>
      <c r="N30" s="35"/>
      <c r="O30" s="5">
        <v>0</v>
      </c>
      <c r="P30" s="5">
        <v>0</v>
      </c>
      <c r="Q30" s="447"/>
      <c r="R30" s="5">
        <v>0</v>
      </c>
      <c r="S30" s="5">
        <v>0</v>
      </c>
      <c r="T30" s="448"/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/>
      <c r="AH30" s="5">
        <v>0</v>
      </c>
      <c r="AI30" s="5">
        <v>0</v>
      </c>
      <c r="AJ30" s="5"/>
      <c r="AK30" s="5">
        <v>0</v>
      </c>
      <c r="AL30" s="5">
        <v>0</v>
      </c>
      <c r="AM30" s="5"/>
      <c r="AN30" s="5">
        <v>0</v>
      </c>
      <c r="AO30" s="5">
        <v>0</v>
      </c>
      <c r="AP30" s="5"/>
      <c r="AQ30" s="5">
        <v>0</v>
      </c>
      <c r="AR30" s="5">
        <v>0</v>
      </c>
      <c r="AS30" s="5"/>
      <c r="AT30" s="5">
        <v>0</v>
      </c>
      <c r="AU30" s="5">
        <v>0</v>
      </c>
      <c r="AV30" s="5"/>
      <c r="AW30" s="5">
        <v>8.9580000000000002</v>
      </c>
      <c r="AX30" s="5">
        <v>0</v>
      </c>
      <c r="AY30" s="5"/>
      <c r="AZ30" s="40">
        <v>8.9580000000000002</v>
      </c>
      <c r="BA30" s="40">
        <v>0</v>
      </c>
      <c r="BB30" s="55">
        <v>-8.9580000000000002</v>
      </c>
      <c r="BD30" s="2">
        <v>3</v>
      </c>
      <c r="BF30" s="325">
        <v>150000999</v>
      </c>
    </row>
    <row r="31" spans="1:58" ht="25.05" customHeight="1" x14ac:dyDescent="0.3">
      <c r="A31" s="325">
        <v>150000993</v>
      </c>
      <c r="B31" s="445" t="s">
        <v>42</v>
      </c>
      <c r="C31" s="27">
        <v>1</v>
      </c>
      <c r="D31" s="101" t="s">
        <v>455</v>
      </c>
      <c r="E31" s="279">
        <v>298.39999999999998</v>
      </c>
      <c r="F31" s="441">
        <v>2944.419421144034</v>
      </c>
      <c r="G31" s="441">
        <v>0</v>
      </c>
      <c r="H31" s="73">
        <v>-2944.419421144034</v>
      </c>
      <c r="I31" s="5">
        <v>0</v>
      </c>
      <c r="J31" s="5">
        <v>0</v>
      </c>
      <c r="K31" s="446"/>
      <c r="L31" s="5">
        <v>0</v>
      </c>
      <c r="M31" s="5">
        <v>0</v>
      </c>
      <c r="N31" s="35"/>
      <c r="O31" s="5">
        <v>0</v>
      </c>
      <c r="P31" s="5">
        <v>0</v>
      </c>
      <c r="Q31" s="447"/>
      <c r="R31" s="5">
        <v>0</v>
      </c>
      <c r="S31" s="5">
        <v>0</v>
      </c>
      <c r="T31" s="448"/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/>
      <c r="AH31" s="5">
        <v>0</v>
      </c>
      <c r="AI31" s="5">
        <v>0</v>
      </c>
      <c r="AJ31" s="5"/>
      <c r="AK31" s="5">
        <v>0</v>
      </c>
      <c r="AL31" s="5">
        <v>0</v>
      </c>
      <c r="AM31" s="5"/>
      <c r="AN31" s="5">
        <v>0</v>
      </c>
      <c r="AO31" s="5">
        <v>0</v>
      </c>
      <c r="AP31" s="5"/>
      <c r="AQ31" s="5">
        <v>0</v>
      </c>
      <c r="AR31" s="5">
        <v>0</v>
      </c>
      <c r="AS31" s="5"/>
      <c r="AT31" s="5">
        <v>0</v>
      </c>
      <c r="AU31" s="5">
        <v>0</v>
      </c>
      <c r="AV31" s="5"/>
      <c r="AW31" s="5">
        <v>8.952</v>
      </c>
      <c r="AX31" s="5">
        <v>0</v>
      </c>
      <c r="AY31" s="5"/>
      <c r="AZ31" s="40">
        <v>8.952</v>
      </c>
      <c r="BA31" s="40">
        <v>0</v>
      </c>
      <c r="BB31" s="55">
        <v>-8.952</v>
      </c>
      <c r="BD31" s="2">
        <v>3</v>
      </c>
      <c r="BF31" s="325">
        <v>150000993</v>
      </c>
    </row>
    <row r="32" spans="1:58" ht="25.05" customHeight="1" x14ac:dyDescent="0.3">
      <c r="A32" s="325">
        <v>150001000</v>
      </c>
      <c r="B32" s="445" t="s">
        <v>43</v>
      </c>
      <c r="C32" s="27">
        <v>1</v>
      </c>
      <c r="D32" s="101" t="s">
        <v>455</v>
      </c>
      <c r="E32" s="279">
        <v>236.7</v>
      </c>
      <c r="F32" s="441">
        <v>2827.6264087822847</v>
      </c>
      <c r="G32" s="441">
        <v>847</v>
      </c>
      <c r="H32" s="73">
        <v>-1980.6264087822847</v>
      </c>
      <c r="I32" s="5">
        <v>1.2</v>
      </c>
      <c r="J32" s="5">
        <v>847</v>
      </c>
      <c r="K32" s="446"/>
      <c r="L32" s="5">
        <v>0</v>
      </c>
      <c r="M32" s="5">
        <v>0</v>
      </c>
      <c r="N32" s="35"/>
      <c r="O32" s="5">
        <v>0</v>
      </c>
      <c r="P32" s="5">
        <v>0</v>
      </c>
      <c r="Q32" s="447"/>
      <c r="R32" s="5">
        <v>0</v>
      </c>
      <c r="S32" s="5">
        <v>0</v>
      </c>
      <c r="T32" s="448"/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/>
      <c r="AH32" s="5">
        <v>0</v>
      </c>
      <c r="AI32" s="5">
        <v>0</v>
      </c>
      <c r="AJ32" s="5"/>
      <c r="AK32" s="5">
        <v>0</v>
      </c>
      <c r="AL32" s="5">
        <v>0</v>
      </c>
      <c r="AM32" s="5"/>
      <c r="AN32" s="5">
        <v>0</v>
      </c>
      <c r="AO32" s="5">
        <v>0</v>
      </c>
      <c r="AP32" s="5"/>
      <c r="AQ32" s="5">
        <v>0</v>
      </c>
      <c r="AR32" s="5">
        <v>0</v>
      </c>
      <c r="AS32" s="5"/>
      <c r="AT32" s="5">
        <v>0</v>
      </c>
      <c r="AU32" s="5">
        <v>0</v>
      </c>
      <c r="AV32" s="5"/>
      <c r="AW32" s="5">
        <v>7.101</v>
      </c>
      <c r="AX32" s="5">
        <v>0</v>
      </c>
      <c r="AY32" s="5"/>
      <c r="AZ32" s="40">
        <v>7.101</v>
      </c>
      <c r="BA32" s="40">
        <v>0</v>
      </c>
      <c r="BB32" s="55">
        <v>-7.101</v>
      </c>
      <c r="BD32" s="2">
        <v>3</v>
      </c>
      <c r="BF32" s="325">
        <v>150001000</v>
      </c>
    </row>
    <row r="33" spans="1:58" ht="25.05" customHeight="1" x14ac:dyDescent="0.3">
      <c r="A33" s="325">
        <v>150001004</v>
      </c>
      <c r="B33" s="445" t="s">
        <v>44</v>
      </c>
      <c r="C33" s="27">
        <v>1</v>
      </c>
      <c r="D33" s="101" t="s">
        <v>455</v>
      </c>
      <c r="E33" s="279">
        <v>315.7</v>
      </c>
      <c r="F33" s="441">
        <v>3101.7974447064762</v>
      </c>
      <c r="G33" s="441">
        <v>0</v>
      </c>
      <c r="H33" s="73">
        <v>-3101.7974447064762</v>
      </c>
      <c r="I33" s="5">
        <v>0</v>
      </c>
      <c r="J33" s="5">
        <v>0</v>
      </c>
      <c r="K33" s="446"/>
      <c r="L33" s="5">
        <v>0</v>
      </c>
      <c r="M33" s="5">
        <v>0</v>
      </c>
      <c r="N33" s="35"/>
      <c r="O33" s="5">
        <v>0</v>
      </c>
      <c r="P33" s="5">
        <v>0</v>
      </c>
      <c r="Q33" s="447"/>
      <c r="R33" s="5">
        <v>0</v>
      </c>
      <c r="S33" s="5">
        <v>0</v>
      </c>
      <c r="T33" s="448"/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/>
      <c r="AH33" s="5">
        <v>0</v>
      </c>
      <c r="AI33" s="5">
        <v>0</v>
      </c>
      <c r="AJ33" s="5"/>
      <c r="AK33" s="5">
        <v>0</v>
      </c>
      <c r="AL33" s="5">
        <v>0</v>
      </c>
      <c r="AM33" s="5"/>
      <c r="AN33" s="5">
        <v>0</v>
      </c>
      <c r="AO33" s="5">
        <v>0</v>
      </c>
      <c r="AP33" s="5"/>
      <c r="AQ33" s="5">
        <v>0</v>
      </c>
      <c r="AR33" s="5">
        <v>0</v>
      </c>
      <c r="AS33" s="5"/>
      <c r="AT33" s="5">
        <v>0</v>
      </c>
      <c r="AU33" s="5">
        <v>0</v>
      </c>
      <c r="AV33" s="5"/>
      <c r="AW33" s="5">
        <v>9.2880000000000003</v>
      </c>
      <c r="AX33" s="5">
        <v>0</v>
      </c>
      <c r="AY33" s="5"/>
      <c r="AZ33" s="40">
        <v>9.2880000000000003</v>
      </c>
      <c r="BA33" s="40">
        <v>0</v>
      </c>
      <c r="BB33" s="55">
        <v>-9.2880000000000003</v>
      </c>
      <c r="BD33" s="2">
        <v>3</v>
      </c>
      <c r="BF33" s="325">
        <v>150001004</v>
      </c>
    </row>
    <row r="34" spans="1:58" ht="25.05" customHeight="1" x14ac:dyDescent="0.3">
      <c r="A34" s="325">
        <v>150000994</v>
      </c>
      <c r="B34" s="445" t="s">
        <v>45</v>
      </c>
      <c r="C34" s="27">
        <v>1</v>
      </c>
      <c r="D34" s="101" t="s">
        <v>455</v>
      </c>
      <c r="E34" s="279">
        <v>239.9</v>
      </c>
      <c r="F34" s="441">
        <v>2714.6497498618401</v>
      </c>
      <c r="G34" s="441">
        <v>904</v>
      </c>
      <c r="H34" s="73">
        <v>-1810.6497498618401</v>
      </c>
      <c r="I34" s="5">
        <v>6</v>
      </c>
      <c r="J34" s="5">
        <v>904</v>
      </c>
      <c r="K34" s="446"/>
      <c r="L34" s="5">
        <v>0</v>
      </c>
      <c r="M34" s="5">
        <v>0</v>
      </c>
      <c r="N34" s="35"/>
      <c r="O34" s="5">
        <v>0</v>
      </c>
      <c r="P34" s="5">
        <v>0</v>
      </c>
      <c r="Q34" s="447"/>
      <c r="R34" s="5">
        <v>0</v>
      </c>
      <c r="S34" s="5">
        <v>0</v>
      </c>
      <c r="T34" s="448"/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/>
      <c r="AH34" s="5">
        <v>0</v>
      </c>
      <c r="AI34" s="5">
        <v>0</v>
      </c>
      <c r="AJ34" s="5"/>
      <c r="AK34" s="5">
        <v>0</v>
      </c>
      <c r="AL34" s="5">
        <v>0</v>
      </c>
      <c r="AM34" s="5"/>
      <c r="AN34" s="5">
        <v>0</v>
      </c>
      <c r="AO34" s="5">
        <v>0</v>
      </c>
      <c r="AP34" s="5"/>
      <c r="AQ34" s="5">
        <v>0</v>
      </c>
      <c r="AR34" s="5">
        <v>0</v>
      </c>
      <c r="AS34" s="5"/>
      <c r="AT34" s="5">
        <v>0</v>
      </c>
      <c r="AU34" s="5">
        <v>0</v>
      </c>
      <c r="AV34" s="5"/>
      <c r="AW34" s="5">
        <v>7.1970000000000001</v>
      </c>
      <c r="AX34" s="5">
        <v>0</v>
      </c>
      <c r="AY34" s="5"/>
      <c r="AZ34" s="40">
        <v>7.1970000000000001</v>
      </c>
      <c r="BA34" s="40">
        <v>0</v>
      </c>
      <c r="BB34" s="55">
        <v>-7.1970000000000001</v>
      </c>
      <c r="BD34" s="2">
        <v>3</v>
      </c>
      <c r="BF34" s="325">
        <v>150000994</v>
      </c>
    </row>
    <row r="35" spans="1:58" ht="25.05" customHeight="1" x14ac:dyDescent="0.3">
      <c r="A35" s="325">
        <v>150001001</v>
      </c>
      <c r="B35" s="445" t="s">
        <v>46</v>
      </c>
      <c r="C35" s="27">
        <v>1</v>
      </c>
      <c r="D35" s="101" t="s">
        <v>455</v>
      </c>
      <c r="E35" s="279">
        <v>239.8</v>
      </c>
      <c r="F35" s="441">
        <v>2113.2444442552714</v>
      </c>
      <c r="G35" s="441">
        <v>0</v>
      </c>
      <c r="H35" s="73">
        <v>-2113.2444442552714</v>
      </c>
      <c r="I35" s="5">
        <v>0</v>
      </c>
      <c r="J35" s="5">
        <v>0</v>
      </c>
      <c r="K35" s="446"/>
      <c r="L35" s="5">
        <v>0</v>
      </c>
      <c r="M35" s="5">
        <v>0</v>
      </c>
      <c r="N35" s="35"/>
      <c r="O35" s="5">
        <v>0</v>
      </c>
      <c r="P35" s="5">
        <v>0</v>
      </c>
      <c r="Q35" s="447"/>
      <c r="R35" s="5">
        <v>0</v>
      </c>
      <c r="S35" s="5">
        <v>0</v>
      </c>
      <c r="T35" s="448"/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/>
      <c r="AH35" s="5">
        <v>0</v>
      </c>
      <c r="AI35" s="5">
        <v>0</v>
      </c>
      <c r="AJ35" s="5"/>
      <c r="AK35" s="5">
        <v>0</v>
      </c>
      <c r="AL35" s="5">
        <v>0</v>
      </c>
      <c r="AM35" s="5"/>
      <c r="AN35" s="5">
        <v>0</v>
      </c>
      <c r="AO35" s="5">
        <v>0</v>
      </c>
      <c r="AP35" s="5"/>
      <c r="AQ35" s="5">
        <v>0</v>
      </c>
      <c r="AR35" s="5">
        <v>0</v>
      </c>
      <c r="AS35" s="5"/>
      <c r="AT35" s="5">
        <v>0</v>
      </c>
      <c r="AU35" s="5">
        <v>0</v>
      </c>
      <c r="AV35" s="5"/>
      <c r="AW35" s="5">
        <v>7.1631</v>
      </c>
      <c r="AX35" s="5">
        <v>0</v>
      </c>
      <c r="AY35" s="5"/>
      <c r="AZ35" s="40">
        <v>7.1631</v>
      </c>
      <c r="BA35" s="40">
        <v>0</v>
      </c>
      <c r="BB35" s="55">
        <v>-7.1631</v>
      </c>
      <c r="BD35" s="2">
        <v>3</v>
      </c>
      <c r="BF35" s="325">
        <v>150001001</v>
      </c>
    </row>
    <row r="36" spans="1:58" ht="25.05" customHeight="1" x14ac:dyDescent="0.3">
      <c r="A36" s="325">
        <v>150001005</v>
      </c>
      <c r="B36" s="445" t="s">
        <v>47</v>
      </c>
      <c r="C36" s="27">
        <v>1</v>
      </c>
      <c r="D36" s="101" t="s">
        <v>455</v>
      </c>
      <c r="E36" s="279">
        <v>242.2</v>
      </c>
      <c r="F36" s="441">
        <v>2291.8806732863754</v>
      </c>
      <c r="G36" s="441">
        <v>0</v>
      </c>
      <c r="H36" s="73">
        <v>-2291.8806732863754</v>
      </c>
      <c r="I36" s="5">
        <v>0</v>
      </c>
      <c r="J36" s="5">
        <v>0</v>
      </c>
      <c r="K36" s="446"/>
      <c r="L36" s="5">
        <v>0</v>
      </c>
      <c r="M36" s="5">
        <v>0</v>
      </c>
      <c r="N36" s="35"/>
      <c r="O36" s="5">
        <v>0</v>
      </c>
      <c r="P36" s="5">
        <v>0</v>
      </c>
      <c r="Q36" s="447"/>
      <c r="R36" s="5">
        <v>0</v>
      </c>
      <c r="S36" s="5">
        <v>0</v>
      </c>
      <c r="T36" s="448"/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/>
      <c r="AH36" s="5">
        <v>0</v>
      </c>
      <c r="AI36" s="5">
        <v>0</v>
      </c>
      <c r="AJ36" s="5"/>
      <c r="AK36" s="5">
        <v>0</v>
      </c>
      <c r="AL36" s="5">
        <v>0</v>
      </c>
      <c r="AM36" s="5"/>
      <c r="AN36" s="5">
        <v>0</v>
      </c>
      <c r="AO36" s="5">
        <v>0</v>
      </c>
      <c r="AP36" s="5"/>
      <c r="AQ36" s="5">
        <v>0</v>
      </c>
      <c r="AR36" s="5">
        <v>0</v>
      </c>
      <c r="AS36" s="5"/>
      <c r="AT36" s="5">
        <v>0</v>
      </c>
      <c r="AU36" s="5">
        <v>0</v>
      </c>
      <c r="AV36" s="5"/>
      <c r="AW36" s="5">
        <v>7.266</v>
      </c>
      <c r="AX36" s="5">
        <v>0</v>
      </c>
      <c r="AY36" s="5"/>
      <c r="AZ36" s="40">
        <v>7.266</v>
      </c>
      <c r="BA36" s="40">
        <v>0</v>
      </c>
      <c r="BB36" s="55">
        <v>-7.266</v>
      </c>
      <c r="BD36" s="2">
        <v>3</v>
      </c>
      <c r="BF36" s="325">
        <v>150001005</v>
      </c>
    </row>
    <row r="37" spans="1:58" ht="25.05" customHeight="1" x14ac:dyDescent="0.3">
      <c r="A37" s="325">
        <v>150000995</v>
      </c>
      <c r="B37" s="445" t="s">
        <v>48</v>
      </c>
      <c r="C37" s="27">
        <v>1</v>
      </c>
      <c r="D37" s="101" t="s">
        <v>455</v>
      </c>
      <c r="E37" s="279">
        <v>135.6</v>
      </c>
      <c r="F37" s="441">
        <v>1769.2976855332156</v>
      </c>
      <c r="G37" s="441">
        <v>0</v>
      </c>
      <c r="H37" s="73">
        <v>-1769.2976855332156</v>
      </c>
      <c r="I37" s="5">
        <v>0</v>
      </c>
      <c r="J37" s="5">
        <v>0</v>
      </c>
      <c r="K37" s="446"/>
      <c r="L37" s="5">
        <v>0</v>
      </c>
      <c r="M37" s="5">
        <v>0</v>
      </c>
      <c r="N37" s="35"/>
      <c r="O37" s="5">
        <v>0</v>
      </c>
      <c r="P37" s="5">
        <v>0</v>
      </c>
      <c r="Q37" s="447"/>
      <c r="R37" s="5">
        <v>0</v>
      </c>
      <c r="S37" s="5">
        <v>0</v>
      </c>
      <c r="T37" s="448"/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/>
      <c r="AH37" s="5">
        <v>0</v>
      </c>
      <c r="AI37" s="5">
        <v>0</v>
      </c>
      <c r="AJ37" s="5"/>
      <c r="AK37" s="5">
        <v>0</v>
      </c>
      <c r="AL37" s="5">
        <v>0</v>
      </c>
      <c r="AM37" s="5"/>
      <c r="AN37" s="5">
        <v>0</v>
      </c>
      <c r="AO37" s="5">
        <v>0</v>
      </c>
      <c r="AP37" s="5"/>
      <c r="AQ37" s="5">
        <v>0</v>
      </c>
      <c r="AR37" s="5">
        <v>0</v>
      </c>
      <c r="AS37" s="5"/>
      <c r="AT37" s="5">
        <v>0</v>
      </c>
      <c r="AU37" s="5">
        <v>0</v>
      </c>
      <c r="AV37" s="5"/>
      <c r="AW37" s="5">
        <v>4.0679999999999996</v>
      </c>
      <c r="AX37" s="5">
        <v>0</v>
      </c>
      <c r="AY37" s="5"/>
      <c r="AZ37" s="40">
        <v>4.0679999999999996</v>
      </c>
      <c r="BA37" s="40">
        <v>0</v>
      </c>
      <c r="BB37" s="55">
        <v>-4.0679999999999996</v>
      </c>
      <c r="BD37" s="2">
        <v>3</v>
      </c>
      <c r="BF37" s="325">
        <v>150000995</v>
      </c>
    </row>
    <row r="38" spans="1:58" ht="25.05" customHeight="1" x14ac:dyDescent="0.3">
      <c r="A38" s="325">
        <v>150001002</v>
      </c>
      <c r="B38" s="445" t="s">
        <v>49</v>
      </c>
      <c r="C38" s="27">
        <v>1</v>
      </c>
      <c r="D38" s="101" t="s">
        <v>455</v>
      </c>
      <c r="E38" s="279">
        <v>229.9</v>
      </c>
      <c r="F38" s="441">
        <v>2742.1756664612949</v>
      </c>
      <c r="G38" s="441">
        <v>1970</v>
      </c>
      <c r="H38" s="73">
        <v>-772.1756664612949</v>
      </c>
      <c r="I38" s="5">
        <v>0</v>
      </c>
      <c r="J38" s="5">
        <v>0</v>
      </c>
      <c r="K38" s="446"/>
      <c r="L38" s="5">
        <v>0</v>
      </c>
      <c r="M38" s="5">
        <v>0</v>
      </c>
      <c r="N38" s="35"/>
      <c r="O38" s="5">
        <v>0</v>
      </c>
      <c r="P38" s="5">
        <v>0</v>
      </c>
      <c r="Q38" s="447"/>
      <c r="R38" s="5">
        <v>0</v>
      </c>
      <c r="S38" s="5">
        <v>0</v>
      </c>
      <c r="T38" s="448"/>
      <c r="U38" s="5">
        <v>0</v>
      </c>
      <c r="V38" s="5">
        <v>0</v>
      </c>
      <c r="W38" s="5">
        <v>0</v>
      </c>
      <c r="X38" s="5">
        <v>0</v>
      </c>
      <c r="Y38" s="5">
        <v>1970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/>
      <c r="AH38" s="5">
        <v>0</v>
      </c>
      <c r="AI38" s="5">
        <v>0</v>
      </c>
      <c r="AJ38" s="5"/>
      <c r="AK38" s="5">
        <v>0</v>
      </c>
      <c r="AL38" s="5">
        <v>0</v>
      </c>
      <c r="AM38" s="5"/>
      <c r="AN38" s="5">
        <v>0</v>
      </c>
      <c r="AO38" s="5">
        <v>0</v>
      </c>
      <c r="AP38" s="5"/>
      <c r="AQ38" s="5">
        <v>0</v>
      </c>
      <c r="AR38" s="5">
        <v>0</v>
      </c>
      <c r="AS38" s="5"/>
      <c r="AT38" s="5">
        <v>0</v>
      </c>
      <c r="AU38" s="5">
        <v>0</v>
      </c>
      <c r="AV38" s="5"/>
      <c r="AW38" s="5">
        <v>6.8970000000000002</v>
      </c>
      <c r="AX38" s="5">
        <v>0</v>
      </c>
      <c r="AY38" s="5"/>
      <c r="AZ38" s="40">
        <v>6.8970000000000002</v>
      </c>
      <c r="BA38" s="40">
        <v>0</v>
      </c>
      <c r="BB38" s="55">
        <v>-6.8970000000000002</v>
      </c>
      <c r="BD38" s="2">
        <v>3</v>
      </c>
      <c r="BF38" s="325">
        <v>150001002</v>
      </c>
    </row>
    <row r="39" spans="1:58" ht="25.05" customHeight="1" x14ac:dyDescent="0.3">
      <c r="A39" s="325">
        <v>150000972</v>
      </c>
      <c r="B39" s="445" t="s">
        <v>202</v>
      </c>
      <c r="C39" s="27">
        <v>4</v>
      </c>
      <c r="D39" s="101" t="s">
        <v>455</v>
      </c>
      <c r="E39" s="279">
        <v>2167.6</v>
      </c>
      <c r="F39" s="441">
        <v>17931.792006114534</v>
      </c>
      <c r="G39" s="441">
        <v>2656.356881292143</v>
      </c>
      <c r="H39" s="73">
        <v>-15275.43512482239</v>
      </c>
      <c r="I39" s="5">
        <v>0</v>
      </c>
      <c r="J39" s="5">
        <v>0</v>
      </c>
      <c r="K39" s="446"/>
      <c r="L39" s="5">
        <v>0</v>
      </c>
      <c r="M39" s="5">
        <v>0</v>
      </c>
      <c r="N39" s="448"/>
      <c r="O39" s="5">
        <v>0</v>
      </c>
      <c r="P39" s="5">
        <v>0</v>
      </c>
      <c r="Q39" s="447"/>
      <c r="R39" s="5">
        <v>0</v>
      </c>
      <c r="S39" s="5">
        <v>0</v>
      </c>
      <c r="T39" s="448"/>
      <c r="U39" s="5">
        <v>0</v>
      </c>
      <c r="V39" s="5">
        <v>0</v>
      </c>
      <c r="W39" s="5">
        <v>0</v>
      </c>
      <c r="X39" s="5">
        <v>217.35688129214333</v>
      </c>
      <c r="Y39" s="5">
        <v>0</v>
      </c>
      <c r="Z39" s="5">
        <v>0</v>
      </c>
      <c r="AA39" s="5">
        <v>0</v>
      </c>
      <c r="AB39" s="5">
        <v>1740</v>
      </c>
      <c r="AC39" s="5">
        <v>0</v>
      </c>
      <c r="AD39" s="5">
        <v>699</v>
      </c>
      <c r="AE39" s="5">
        <v>1867.1916857118808</v>
      </c>
      <c r="AF39" s="5">
        <v>98</v>
      </c>
      <c r="AG39" s="5"/>
      <c r="AH39" s="5">
        <v>2213.6764963208893</v>
      </c>
      <c r="AI39" s="5">
        <v>0</v>
      </c>
      <c r="AJ39" s="5"/>
      <c r="AK39" s="5">
        <v>1535.7376672261257</v>
      </c>
      <c r="AL39" s="5">
        <v>0</v>
      </c>
      <c r="AM39" s="5"/>
      <c r="AN39" s="5">
        <v>0</v>
      </c>
      <c r="AO39" s="5">
        <v>0</v>
      </c>
      <c r="AP39" s="5"/>
      <c r="AQ39" s="5">
        <v>0</v>
      </c>
      <c r="AR39" s="5">
        <v>0</v>
      </c>
      <c r="AS39" s="5"/>
      <c r="AT39" s="5">
        <v>954.78343975908228</v>
      </c>
      <c r="AU39" s="5">
        <v>727</v>
      </c>
      <c r="AV39" s="5"/>
      <c r="AW39" s="5">
        <v>68.979000000000013</v>
      </c>
      <c r="AX39" s="5">
        <v>473</v>
      </c>
      <c r="AY39" s="5"/>
      <c r="AZ39" s="40">
        <v>6640.3682890179789</v>
      </c>
      <c r="BA39" s="40">
        <v>1298</v>
      </c>
      <c r="BB39" s="55">
        <v>-5342.3682890179789</v>
      </c>
      <c r="BD39" s="2">
        <v>2</v>
      </c>
      <c r="BF39" s="325">
        <v>150000972</v>
      </c>
    </row>
    <row r="40" spans="1:58" ht="25.05" customHeight="1" x14ac:dyDescent="0.3">
      <c r="A40" s="325">
        <v>150000973</v>
      </c>
      <c r="B40" s="445" t="s">
        <v>50</v>
      </c>
      <c r="C40" s="27">
        <v>1</v>
      </c>
      <c r="D40" s="101" t="s">
        <v>455</v>
      </c>
      <c r="E40" s="279">
        <v>132.19999999999999</v>
      </c>
      <c r="F40" s="441">
        <v>1572.1881468712984</v>
      </c>
      <c r="G40" s="441">
        <v>0</v>
      </c>
      <c r="H40" s="73">
        <v>-1572.1881468712984</v>
      </c>
      <c r="I40" s="5">
        <v>0</v>
      </c>
      <c r="J40" s="5">
        <v>0</v>
      </c>
      <c r="K40" s="446"/>
      <c r="L40" s="5">
        <v>0</v>
      </c>
      <c r="M40" s="5">
        <v>0</v>
      </c>
      <c r="N40" s="35"/>
      <c r="O40" s="5">
        <v>0</v>
      </c>
      <c r="P40" s="5">
        <v>0</v>
      </c>
      <c r="Q40" s="447"/>
      <c r="R40" s="5">
        <v>0</v>
      </c>
      <c r="S40" s="5">
        <v>0</v>
      </c>
      <c r="T40" s="448"/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/>
      <c r="AH40" s="5">
        <v>0</v>
      </c>
      <c r="AI40" s="5">
        <v>0</v>
      </c>
      <c r="AJ40" s="5"/>
      <c r="AK40" s="5">
        <v>0</v>
      </c>
      <c r="AL40" s="5">
        <v>0</v>
      </c>
      <c r="AM40" s="5"/>
      <c r="AN40" s="5">
        <v>0</v>
      </c>
      <c r="AO40" s="5">
        <v>0</v>
      </c>
      <c r="AP40" s="5"/>
      <c r="AQ40" s="5">
        <v>0</v>
      </c>
      <c r="AR40" s="5">
        <v>0</v>
      </c>
      <c r="AS40" s="5"/>
      <c r="AT40" s="5">
        <v>0</v>
      </c>
      <c r="AU40" s="5">
        <v>0</v>
      </c>
      <c r="AV40" s="5"/>
      <c r="AW40" s="5">
        <v>3.9659999999999993</v>
      </c>
      <c r="AX40" s="5">
        <v>0</v>
      </c>
      <c r="AY40" s="5"/>
      <c r="AZ40" s="40">
        <v>3.9659999999999993</v>
      </c>
      <c r="BA40" s="40">
        <v>0</v>
      </c>
      <c r="BB40" s="55">
        <v>-3.9659999999999993</v>
      </c>
      <c r="BD40" s="2">
        <v>2</v>
      </c>
      <c r="BF40" s="325">
        <v>150000973</v>
      </c>
    </row>
    <row r="41" spans="1:58" ht="25.05" customHeight="1" x14ac:dyDescent="0.3">
      <c r="A41" s="325">
        <v>150000974</v>
      </c>
      <c r="B41" s="445" t="s">
        <v>203</v>
      </c>
      <c r="C41" s="27">
        <v>4</v>
      </c>
      <c r="D41" s="101" t="s">
        <v>455</v>
      </c>
      <c r="E41" s="279">
        <v>2315.5700000000002</v>
      </c>
      <c r="F41" s="441">
        <v>23589.935626774575</v>
      </c>
      <c r="G41" s="441">
        <v>9580.23</v>
      </c>
      <c r="H41" s="73">
        <v>-14009.705626774576</v>
      </c>
      <c r="I41" s="5">
        <v>12</v>
      </c>
      <c r="J41" s="5">
        <v>9189.23</v>
      </c>
      <c r="K41" s="446"/>
      <c r="L41" s="5">
        <v>0</v>
      </c>
      <c r="M41" s="5">
        <v>0</v>
      </c>
      <c r="N41" s="35"/>
      <c r="O41" s="5">
        <v>0</v>
      </c>
      <c r="P41" s="5">
        <v>0</v>
      </c>
      <c r="Q41" s="447"/>
      <c r="R41" s="5">
        <v>0</v>
      </c>
      <c r="S41" s="5">
        <v>0</v>
      </c>
      <c r="T41" s="448"/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391</v>
      </c>
      <c r="AE41" s="5">
        <v>1490.5639215806648</v>
      </c>
      <c r="AF41" s="5">
        <v>0</v>
      </c>
      <c r="AG41" s="454"/>
      <c r="AH41" s="5">
        <v>1517.7376288386351</v>
      </c>
      <c r="AI41" s="5">
        <v>0</v>
      </c>
      <c r="AJ41" s="454"/>
      <c r="AK41" s="5">
        <v>1510.1632766872958</v>
      </c>
      <c r="AL41" s="5">
        <v>0</v>
      </c>
      <c r="AM41" s="5"/>
      <c r="AN41" s="5">
        <v>1582.4726135606547</v>
      </c>
      <c r="AO41" s="5">
        <v>0</v>
      </c>
      <c r="AP41" s="5"/>
      <c r="AQ41" s="5">
        <v>0</v>
      </c>
      <c r="AR41" s="5">
        <v>0</v>
      </c>
      <c r="AS41" s="5"/>
      <c r="AT41" s="5">
        <v>901.729136538592</v>
      </c>
      <c r="AU41" s="5">
        <v>0</v>
      </c>
      <c r="AV41" s="5"/>
      <c r="AW41" s="5">
        <v>69.467100000000016</v>
      </c>
      <c r="AX41" s="5">
        <v>0</v>
      </c>
      <c r="AY41" s="5"/>
      <c r="AZ41" s="40">
        <v>7072.1336772058421</v>
      </c>
      <c r="BA41" s="40">
        <v>0</v>
      </c>
      <c r="BB41" s="55">
        <v>-7072.1336772058421</v>
      </c>
      <c r="BD41" s="2">
        <v>2</v>
      </c>
      <c r="BF41" s="325">
        <v>150000974</v>
      </c>
    </row>
    <row r="42" spans="1:58" ht="25.05" customHeight="1" x14ac:dyDescent="0.3">
      <c r="A42" s="325">
        <v>150000975</v>
      </c>
      <c r="B42" s="445" t="s">
        <v>204</v>
      </c>
      <c r="C42" s="27">
        <v>4</v>
      </c>
      <c r="D42" s="101" t="s">
        <v>455</v>
      </c>
      <c r="E42" s="279">
        <v>3253.33</v>
      </c>
      <c r="F42" s="441">
        <v>23742.149994469797</v>
      </c>
      <c r="G42" s="441">
        <v>27235.4</v>
      </c>
      <c r="H42" s="73">
        <v>3493.2500055302044</v>
      </c>
      <c r="I42" s="5">
        <v>0</v>
      </c>
      <c r="J42" s="5">
        <v>6470</v>
      </c>
      <c r="K42" s="446"/>
      <c r="L42" s="5">
        <v>0</v>
      </c>
      <c r="M42" s="5">
        <v>0</v>
      </c>
      <c r="N42" s="35"/>
      <c r="O42" s="5">
        <v>0</v>
      </c>
      <c r="P42" s="5">
        <v>0</v>
      </c>
      <c r="Q42" s="447"/>
      <c r="R42" s="5">
        <v>0</v>
      </c>
      <c r="S42" s="5">
        <v>0</v>
      </c>
      <c r="T42" s="448"/>
      <c r="U42" s="5">
        <v>0</v>
      </c>
      <c r="V42" s="5">
        <v>0</v>
      </c>
      <c r="W42" s="5">
        <v>0</v>
      </c>
      <c r="X42" s="5">
        <v>0</v>
      </c>
      <c r="Y42" s="5">
        <v>20093.400000000001</v>
      </c>
      <c r="Z42" s="5">
        <v>0</v>
      </c>
      <c r="AA42" s="5">
        <v>0</v>
      </c>
      <c r="AB42" s="5">
        <v>0</v>
      </c>
      <c r="AC42" s="5">
        <v>151</v>
      </c>
      <c r="AD42" s="5">
        <v>521</v>
      </c>
      <c r="AE42" s="5">
        <v>2233.8959956415438</v>
      </c>
      <c r="AF42" s="5">
        <v>999.31</v>
      </c>
      <c r="AG42" s="5"/>
      <c r="AH42" s="5">
        <v>3125.3260554518647</v>
      </c>
      <c r="AI42" s="5">
        <v>0</v>
      </c>
      <c r="AJ42" s="5"/>
      <c r="AK42" s="5">
        <v>2195.891246843315</v>
      </c>
      <c r="AL42" s="5">
        <v>0</v>
      </c>
      <c r="AM42" s="5"/>
      <c r="AN42" s="5">
        <v>0</v>
      </c>
      <c r="AO42" s="5">
        <v>0</v>
      </c>
      <c r="AP42" s="5"/>
      <c r="AQ42" s="5">
        <v>0</v>
      </c>
      <c r="AR42" s="5">
        <v>0</v>
      </c>
      <c r="AS42" s="5"/>
      <c r="AT42" s="5">
        <v>1821.6008994206197</v>
      </c>
      <c r="AU42" s="5">
        <v>0</v>
      </c>
      <c r="AV42" s="5"/>
      <c r="AW42" s="5">
        <v>97.608900000000006</v>
      </c>
      <c r="AX42" s="5">
        <v>0</v>
      </c>
      <c r="AY42" s="5"/>
      <c r="AZ42" s="40">
        <v>9474.3230973573427</v>
      </c>
      <c r="BA42" s="40">
        <v>999.31</v>
      </c>
      <c r="BB42" s="55">
        <v>-8475.0130973573432</v>
      </c>
      <c r="BD42" s="2">
        <v>2</v>
      </c>
      <c r="BF42" s="325">
        <v>150000975</v>
      </c>
    </row>
    <row r="43" spans="1:58" ht="25.05" customHeight="1" x14ac:dyDescent="0.3">
      <c r="A43" s="325">
        <v>150000976</v>
      </c>
      <c r="B43" s="445" t="s">
        <v>150</v>
      </c>
      <c r="C43" s="27">
        <v>2</v>
      </c>
      <c r="D43" s="101" t="s">
        <v>455</v>
      </c>
      <c r="E43" s="279">
        <v>924.5</v>
      </c>
      <c r="F43" s="441">
        <v>9480.3899859147223</v>
      </c>
      <c r="G43" s="441">
        <v>722</v>
      </c>
      <c r="H43" s="73">
        <v>-8758.3899859147223</v>
      </c>
      <c r="I43" s="5">
        <v>0</v>
      </c>
      <c r="J43" s="5">
        <v>0</v>
      </c>
      <c r="K43" s="446"/>
      <c r="L43" s="5">
        <v>0</v>
      </c>
      <c r="M43" s="5">
        <v>0</v>
      </c>
      <c r="N43" s="35"/>
      <c r="O43" s="5">
        <v>0</v>
      </c>
      <c r="P43" s="5">
        <v>0</v>
      </c>
      <c r="Q43" s="447"/>
      <c r="R43" s="5">
        <v>0</v>
      </c>
      <c r="S43" s="5">
        <v>0</v>
      </c>
      <c r="T43" s="448"/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722</v>
      </c>
      <c r="AE43" s="5">
        <v>1093.1728419489414</v>
      </c>
      <c r="AF43" s="5">
        <v>0</v>
      </c>
      <c r="AG43" s="5"/>
      <c r="AH43" s="5">
        <v>1336.5401756225824</v>
      </c>
      <c r="AI43" s="5">
        <v>0</v>
      </c>
      <c r="AJ43" s="5"/>
      <c r="AK43" s="5">
        <v>492.54244938410943</v>
      </c>
      <c r="AL43" s="5">
        <v>0</v>
      </c>
      <c r="AM43" s="5"/>
      <c r="AN43" s="5">
        <v>588.07134115991789</v>
      </c>
      <c r="AO43" s="5">
        <v>0</v>
      </c>
      <c r="AP43" s="5"/>
      <c r="AQ43" s="5">
        <v>0</v>
      </c>
      <c r="AR43" s="5">
        <v>0</v>
      </c>
      <c r="AS43" s="5"/>
      <c r="AT43" s="5">
        <v>165.03851446783483</v>
      </c>
      <c r="AU43" s="5">
        <v>0</v>
      </c>
      <c r="AV43" s="5"/>
      <c r="AW43" s="5">
        <v>328.23281427540473</v>
      </c>
      <c r="AX43" s="5">
        <v>0</v>
      </c>
      <c r="AY43" s="5"/>
      <c r="AZ43" s="40">
        <v>4003.5981368587909</v>
      </c>
      <c r="BA43" s="40">
        <v>0</v>
      </c>
      <c r="BB43" s="55">
        <v>-4003.5981368587909</v>
      </c>
      <c r="BD43" s="2">
        <v>2</v>
      </c>
      <c r="BF43" s="325">
        <v>150000976</v>
      </c>
    </row>
    <row r="44" spans="1:58" ht="25.05" customHeight="1" x14ac:dyDescent="0.3">
      <c r="A44" s="325">
        <v>150000977</v>
      </c>
      <c r="B44" s="445" t="s">
        <v>151</v>
      </c>
      <c r="C44" s="27">
        <v>2</v>
      </c>
      <c r="D44" s="101" t="s">
        <v>455</v>
      </c>
      <c r="E44" s="279">
        <v>909.2</v>
      </c>
      <c r="F44" s="441">
        <v>11987.842984309151</v>
      </c>
      <c r="G44" s="441">
        <v>691.61</v>
      </c>
      <c r="H44" s="73">
        <v>-11296.23298430915</v>
      </c>
      <c r="I44" s="5">
        <v>0</v>
      </c>
      <c r="J44" s="5">
        <v>0</v>
      </c>
      <c r="K44" s="446"/>
      <c r="L44" s="5">
        <v>0</v>
      </c>
      <c r="M44" s="5">
        <v>0</v>
      </c>
      <c r="N44" s="35"/>
      <c r="O44" s="5">
        <v>0</v>
      </c>
      <c r="P44" s="5">
        <v>0</v>
      </c>
      <c r="Q44" s="447"/>
      <c r="R44" s="5">
        <v>0</v>
      </c>
      <c r="S44" s="5">
        <v>0</v>
      </c>
      <c r="T44" s="448"/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691.61</v>
      </c>
      <c r="AE44" s="5">
        <v>1080.1563501955254</v>
      </c>
      <c r="AF44" s="5">
        <v>1991</v>
      </c>
      <c r="AG44" s="5"/>
      <c r="AH44" s="5">
        <v>1336.5401756225824</v>
      </c>
      <c r="AI44" s="5">
        <v>0</v>
      </c>
      <c r="AJ44" s="5"/>
      <c r="AK44" s="5">
        <v>560.72334696612927</v>
      </c>
      <c r="AL44" s="5">
        <v>0</v>
      </c>
      <c r="AM44" s="5"/>
      <c r="AN44" s="5">
        <v>0</v>
      </c>
      <c r="AO44" s="5">
        <v>0</v>
      </c>
      <c r="AP44" s="5"/>
      <c r="AQ44" s="5">
        <v>0</v>
      </c>
      <c r="AR44" s="5">
        <v>0</v>
      </c>
      <c r="AS44" s="5"/>
      <c r="AT44" s="5">
        <v>165.03851446783483</v>
      </c>
      <c r="AU44" s="5">
        <v>0</v>
      </c>
      <c r="AV44" s="5"/>
      <c r="AW44" s="5">
        <v>27.159000000000002</v>
      </c>
      <c r="AX44" s="5">
        <v>0</v>
      </c>
      <c r="AY44" s="5"/>
      <c r="AZ44" s="40">
        <v>3169.6173872520721</v>
      </c>
      <c r="BA44" s="40">
        <v>1991</v>
      </c>
      <c r="BB44" s="55">
        <v>-1178.6173872520721</v>
      </c>
      <c r="BD44" s="2">
        <v>2</v>
      </c>
      <c r="BF44" s="325">
        <v>150000977</v>
      </c>
    </row>
    <row r="45" spans="1:58" ht="25.05" customHeight="1" x14ac:dyDescent="0.3">
      <c r="A45" s="325">
        <v>150000978</v>
      </c>
      <c r="B45" s="445" t="s">
        <v>244</v>
      </c>
      <c r="C45" s="27">
        <v>5</v>
      </c>
      <c r="D45" s="101" t="s">
        <v>455</v>
      </c>
      <c r="E45" s="279">
        <v>1867.1</v>
      </c>
      <c r="F45" s="441">
        <v>19610.859627041125</v>
      </c>
      <c r="G45" s="441">
        <v>22011</v>
      </c>
      <c r="H45" s="73">
        <v>2400.1403729588747</v>
      </c>
      <c r="I45" s="5">
        <v>0</v>
      </c>
      <c r="J45" s="5">
        <v>0</v>
      </c>
      <c r="K45" s="446"/>
      <c r="L45" s="5">
        <v>1</v>
      </c>
      <c r="M45" s="5">
        <v>8371</v>
      </c>
      <c r="N45" s="35"/>
      <c r="O45" s="5">
        <v>0</v>
      </c>
      <c r="P45" s="5">
        <v>0</v>
      </c>
      <c r="Q45" s="447"/>
      <c r="R45" s="5">
        <v>0</v>
      </c>
      <c r="S45" s="5">
        <v>0</v>
      </c>
      <c r="T45" s="448"/>
      <c r="U45" s="5">
        <v>0</v>
      </c>
      <c r="V45" s="5">
        <v>0</v>
      </c>
      <c r="W45" s="5">
        <v>0</v>
      </c>
      <c r="X45" s="5">
        <v>10129</v>
      </c>
      <c r="Y45" s="5">
        <v>3123</v>
      </c>
      <c r="Z45" s="5">
        <v>0</v>
      </c>
      <c r="AA45" s="5">
        <v>0</v>
      </c>
      <c r="AB45" s="5">
        <v>0</v>
      </c>
      <c r="AC45" s="5">
        <v>127</v>
      </c>
      <c r="AD45" s="5">
        <v>261</v>
      </c>
      <c r="AE45" s="5">
        <v>1353.7417082435709</v>
      </c>
      <c r="AF45" s="5">
        <v>471</v>
      </c>
      <c r="AG45" s="5"/>
      <c r="AH45" s="5">
        <v>1689.7810067863211</v>
      </c>
      <c r="AI45" s="5">
        <v>1487.64</v>
      </c>
      <c r="AJ45" s="5"/>
      <c r="AK45" s="5">
        <v>1077.5120600473863</v>
      </c>
      <c r="AL45" s="5">
        <v>0</v>
      </c>
      <c r="AM45" s="5"/>
      <c r="AN45" s="5">
        <v>0</v>
      </c>
      <c r="AO45" s="5">
        <v>0</v>
      </c>
      <c r="AP45" s="5"/>
      <c r="AQ45" s="5">
        <v>0</v>
      </c>
      <c r="AR45" s="5">
        <v>0</v>
      </c>
      <c r="AS45" s="5"/>
      <c r="AT45" s="5">
        <v>547.36825645481713</v>
      </c>
      <c r="AU45" s="5">
        <v>711</v>
      </c>
      <c r="AV45" s="5"/>
      <c r="AW45" s="5">
        <v>56.012999999999998</v>
      </c>
      <c r="AX45" s="5">
        <v>0</v>
      </c>
      <c r="AY45" s="5"/>
      <c r="AZ45" s="40">
        <v>4724.4160315320951</v>
      </c>
      <c r="BA45" s="40">
        <v>2669.6400000000003</v>
      </c>
      <c r="BB45" s="55">
        <v>-2054.7760315320947</v>
      </c>
      <c r="BD45" s="2">
        <v>2</v>
      </c>
      <c r="BF45" s="325">
        <v>150000978</v>
      </c>
    </row>
    <row r="46" spans="1:58" ht="25.05" customHeight="1" x14ac:dyDescent="0.3">
      <c r="A46" s="325">
        <v>150000966</v>
      </c>
      <c r="B46" s="445" t="s">
        <v>205</v>
      </c>
      <c r="C46" s="27">
        <v>4</v>
      </c>
      <c r="D46" s="101" t="s">
        <v>455</v>
      </c>
      <c r="E46" s="279">
        <v>1172.81</v>
      </c>
      <c r="F46" s="441">
        <v>11528.6061001245</v>
      </c>
      <c r="G46" s="441">
        <v>261</v>
      </c>
      <c r="H46" s="73">
        <v>-11267.6061001245</v>
      </c>
      <c r="I46" s="5">
        <v>0</v>
      </c>
      <c r="J46" s="5">
        <v>0</v>
      </c>
      <c r="K46" s="446"/>
      <c r="L46" s="5">
        <v>0</v>
      </c>
      <c r="M46" s="5">
        <v>0</v>
      </c>
      <c r="N46" s="35"/>
      <c r="O46" s="5">
        <v>0</v>
      </c>
      <c r="P46" s="5">
        <v>0</v>
      </c>
      <c r="Q46" s="447"/>
      <c r="R46" s="5">
        <v>0</v>
      </c>
      <c r="S46" s="5">
        <v>0</v>
      </c>
      <c r="T46" s="448"/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261</v>
      </c>
      <c r="AE46" s="5">
        <v>1073.7718762406091</v>
      </c>
      <c r="AF46" s="5">
        <v>0</v>
      </c>
      <c r="AG46" s="5"/>
      <c r="AH46" s="5">
        <v>1452.4210000493254</v>
      </c>
      <c r="AI46" s="5">
        <v>0</v>
      </c>
      <c r="AJ46" s="5"/>
      <c r="AK46" s="5">
        <v>723.28940922064169</v>
      </c>
      <c r="AL46" s="5">
        <v>0</v>
      </c>
      <c r="AM46" s="5"/>
      <c r="AN46" s="5">
        <v>0</v>
      </c>
      <c r="AO46" s="5">
        <v>0</v>
      </c>
      <c r="AP46" s="5"/>
      <c r="AQ46" s="5">
        <v>0</v>
      </c>
      <c r="AR46" s="5">
        <v>0</v>
      </c>
      <c r="AS46" s="5"/>
      <c r="AT46" s="5">
        <v>488.07203624047673</v>
      </c>
      <c r="AU46" s="5">
        <v>0</v>
      </c>
      <c r="AV46" s="5"/>
      <c r="AW46" s="5">
        <v>35.328299999999999</v>
      </c>
      <c r="AX46" s="5">
        <v>0</v>
      </c>
      <c r="AY46" s="5"/>
      <c r="AZ46" s="40">
        <v>3772.8826217510527</v>
      </c>
      <c r="BA46" s="40">
        <v>0</v>
      </c>
      <c r="BB46" s="55">
        <v>-3772.8826217510527</v>
      </c>
      <c r="BD46" s="2">
        <v>2</v>
      </c>
      <c r="BF46" s="325">
        <v>150000966</v>
      </c>
    </row>
    <row r="47" spans="1:58" ht="25.05" customHeight="1" x14ac:dyDescent="0.3">
      <c r="A47" s="325">
        <v>150000967</v>
      </c>
      <c r="B47" s="445" t="s">
        <v>206</v>
      </c>
      <c r="C47" s="27">
        <v>4</v>
      </c>
      <c r="D47" s="101" t="s">
        <v>455</v>
      </c>
      <c r="E47" s="279">
        <v>1448.3</v>
      </c>
      <c r="F47" s="441">
        <v>12335.215505350456</v>
      </c>
      <c r="G47" s="441">
        <v>658.78040672954114</v>
      </c>
      <c r="H47" s="73">
        <v>-11676.435098620914</v>
      </c>
      <c r="I47" s="5">
        <v>0</v>
      </c>
      <c r="J47" s="5">
        <v>0</v>
      </c>
      <c r="K47" s="446"/>
      <c r="L47" s="5">
        <v>0</v>
      </c>
      <c r="M47" s="5">
        <v>0</v>
      </c>
      <c r="N47" s="448"/>
      <c r="O47" s="5">
        <v>0</v>
      </c>
      <c r="P47" s="5">
        <v>0</v>
      </c>
      <c r="Q47" s="447"/>
      <c r="R47" s="5">
        <v>0</v>
      </c>
      <c r="S47" s="5">
        <v>0</v>
      </c>
      <c r="T47" s="448"/>
      <c r="U47" s="5">
        <v>0</v>
      </c>
      <c r="V47" s="5">
        <v>0</v>
      </c>
      <c r="W47" s="5">
        <v>0</v>
      </c>
      <c r="X47" s="5">
        <v>170.78040672954117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488</v>
      </c>
      <c r="AE47" s="5">
        <v>1173.9979447980736</v>
      </c>
      <c r="AF47" s="5">
        <v>232</v>
      </c>
      <c r="AG47" s="5"/>
      <c r="AH47" s="5">
        <v>1500.0366832758391</v>
      </c>
      <c r="AI47" s="5">
        <v>0</v>
      </c>
      <c r="AJ47" s="5"/>
      <c r="AK47" s="5">
        <v>1022.952987535195</v>
      </c>
      <c r="AL47" s="5">
        <v>0</v>
      </c>
      <c r="AM47" s="5"/>
      <c r="AN47" s="5">
        <v>0</v>
      </c>
      <c r="AO47" s="5">
        <v>0</v>
      </c>
      <c r="AP47" s="5"/>
      <c r="AQ47" s="5">
        <v>0</v>
      </c>
      <c r="AR47" s="5">
        <v>0</v>
      </c>
      <c r="AS47" s="5"/>
      <c r="AT47" s="5">
        <v>522.03056588983156</v>
      </c>
      <c r="AU47" s="5">
        <v>0</v>
      </c>
      <c r="AV47" s="5"/>
      <c r="AW47" s="5">
        <v>44.826000000000001</v>
      </c>
      <c r="AX47" s="5">
        <v>0</v>
      </c>
      <c r="AY47" s="5"/>
      <c r="AZ47" s="40">
        <v>4263.8441814989392</v>
      </c>
      <c r="BA47" s="40">
        <v>232</v>
      </c>
      <c r="BB47" s="55">
        <v>-4031.8441814989392</v>
      </c>
      <c r="BD47" s="2">
        <v>2</v>
      </c>
      <c r="BF47" s="325">
        <v>150000967</v>
      </c>
    </row>
    <row r="48" spans="1:58" ht="25.05" customHeight="1" x14ac:dyDescent="0.3">
      <c r="A48" s="325">
        <v>150000968</v>
      </c>
      <c r="B48" s="445" t="s">
        <v>245</v>
      </c>
      <c r="C48" s="27">
        <v>5</v>
      </c>
      <c r="D48" s="101" t="s">
        <v>455</v>
      </c>
      <c r="E48" s="279">
        <v>2117.4</v>
      </c>
      <c r="F48" s="441">
        <v>12847.411927262803</v>
      </c>
      <c r="G48" s="441">
        <v>2662.7523728130104</v>
      </c>
      <c r="H48" s="73">
        <v>-10184.659554449792</v>
      </c>
      <c r="I48" s="5">
        <v>0</v>
      </c>
      <c r="J48" s="5">
        <v>0</v>
      </c>
      <c r="K48" s="446"/>
      <c r="L48" s="5">
        <v>0</v>
      </c>
      <c r="M48" s="5">
        <v>0</v>
      </c>
      <c r="N48" s="35"/>
      <c r="O48" s="5">
        <v>0</v>
      </c>
      <c r="P48" s="5">
        <v>0</v>
      </c>
      <c r="Q48" s="447"/>
      <c r="R48" s="5">
        <v>0</v>
      </c>
      <c r="S48" s="5">
        <v>0</v>
      </c>
      <c r="T48" s="448"/>
      <c r="U48" s="5">
        <v>0</v>
      </c>
      <c r="V48" s="5">
        <v>0</v>
      </c>
      <c r="W48" s="5">
        <v>2</v>
      </c>
      <c r="X48" s="5">
        <v>1149.7523728130104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1513</v>
      </c>
      <c r="AE48" s="5">
        <v>1353.7417082435709</v>
      </c>
      <c r="AF48" s="5">
        <v>1341</v>
      </c>
      <c r="AG48" s="5"/>
      <c r="AH48" s="5">
        <v>1689.7810067863211</v>
      </c>
      <c r="AI48" s="5">
        <v>0</v>
      </c>
      <c r="AJ48" s="5"/>
      <c r="AK48" s="5">
        <v>1444.5035983713478</v>
      </c>
      <c r="AL48" s="5">
        <v>0</v>
      </c>
      <c r="AM48" s="5"/>
      <c r="AN48" s="5">
        <v>0</v>
      </c>
      <c r="AO48" s="5">
        <v>0</v>
      </c>
      <c r="AP48" s="5"/>
      <c r="AQ48" s="5">
        <v>0</v>
      </c>
      <c r="AR48" s="5">
        <v>0</v>
      </c>
      <c r="AS48" s="5"/>
      <c r="AT48" s="5">
        <v>600.95515581207007</v>
      </c>
      <c r="AU48" s="5">
        <v>711</v>
      </c>
      <c r="AV48" s="5"/>
      <c r="AW48" s="5">
        <v>68.937000000000012</v>
      </c>
      <c r="AX48" s="5">
        <v>0</v>
      </c>
      <c r="AY48" s="5"/>
      <c r="AZ48" s="40">
        <v>5157.9184692133103</v>
      </c>
      <c r="BA48" s="40">
        <v>2052</v>
      </c>
      <c r="BB48" s="55">
        <v>-3105.9184692133103</v>
      </c>
      <c r="BD48" s="2">
        <v>2</v>
      </c>
      <c r="BF48" s="325">
        <v>150000968</v>
      </c>
    </row>
    <row r="49" spans="1:58" ht="25.05" customHeight="1" x14ac:dyDescent="0.3">
      <c r="A49" s="325">
        <v>150000981</v>
      </c>
      <c r="B49" s="445" t="s">
        <v>343</v>
      </c>
      <c r="C49" s="27">
        <v>9</v>
      </c>
      <c r="D49" s="101" t="s">
        <v>455</v>
      </c>
      <c r="E49" s="279">
        <v>2214.37</v>
      </c>
      <c r="F49" s="441">
        <v>32061.304516714492</v>
      </c>
      <c r="G49" s="441">
        <v>16660.337661123744</v>
      </c>
      <c r="H49" s="73">
        <v>-15400.966855590748</v>
      </c>
      <c r="I49" s="5">
        <v>0</v>
      </c>
      <c r="J49" s="5">
        <v>0</v>
      </c>
      <c r="K49" s="446"/>
      <c r="L49" s="5">
        <v>0</v>
      </c>
      <c r="M49" s="5">
        <v>0</v>
      </c>
      <c r="N49" s="35"/>
      <c r="O49" s="5">
        <v>0</v>
      </c>
      <c r="P49" s="5">
        <v>0</v>
      </c>
      <c r="Q49" s="447"/>
      <c r="R49" s="5">
        <v>1</v>
      </c>
      <c r="S49" s="5">
        <v>259</v>
      </c>
      <c r="T49" s="448"/>
      <c r="U49" s="5">
        <v>0</v>
      </c>
      <c r="V49" s="5">
        <v>0</v>
      </c>
      <c r="W49" s="5">
        <v>0</v>
      </c>
      <c r="X49" s="5">
        <v>296.13766112374469</v>
      </c>
      <c r="Y49" s="5">
        <v>9552</v>
      </c>
      <c r="Z49" s="5">
        <v>0</v>
      </c>
      <c r="AA49" s="5">
        <v>0</v>
      </c>
      <c r="AB49" s="5">
        <v>0</v>
      </c>
      <c r="AC49" s="5">
        <v>0</v>
      </c>
      <c r="AD49" s="5">
        <v>6553.2</v>
      </c>
      <c r="AE49" s="5">
        <v>1001.2577698355998</v>
      </c>
      <c r="AF49" s="5">
        <v>0</v>
      </c>
      <c r="AG49" s="5"/>
      <c r="AH49" s="5">
        <v>1172.9180861830041</v>
      </c>
      <c r="AI49" s="5">
        <v>0</v>
      </c>
      <c r="AJ49" s="454"/>
      <c r="AK49" s="5">
        <v>630.4215681876924</v>
      </c>
      <c r="AL49" s="5">
        <v>0</v>
      </c>
      <c r="AM49" s="8"/>
      <c r="AN49" s="5">
        <v>907.25790190944929</v>
      </c>
      <c r="AO49" s="5">
        <v>0</v>
      </c>
      <c r="AP49" s="5"/>
      <c r="AQ49" s="5">
        <v>372.8409384525375</v>
      </c>
      <c r="AR49" s="5">
        <v>0</v>
      </c>
      <c r="AS49" s="5"/>
      <c r="AT49" s="5">
        <v>637.92469532719815</v>
      </c>
      <c r="AU49" s="5">
        <v>0</v>
      </c>
      <c r="AV49" s="5"/>
      <c r="AW49" s="5">
        <v>66.431100000000001</v>
      </c>
      <c r="AX49" s="5">
        <v>0</v>
      </c>
      <c r="AY49" s="5"/>
      <c r="AZ49" s="40">
        <v>4789.0520598954809</v>
      </c>
      <c r="BA49" s="40">
        <v>0</v>
      </c>
      <c r="BB49" s="55">
        <v>-4789.0520598954809</v>
      </c>
      <c r="BD49" s="2">
        <v>3</v>
      </c>
      <c r="BF49" s="325">
        <v>150000981</v>
      </c>
    </row>
    <row r="50" spans="1:58" ht="25.05" customHeight="1" x14ac:dyDescent="0.3">
      <c r="A50" s="325">
        <v>150000982</v>
      </c>
      <c r="B50" s="445" t="s">
        <v>344</v>
      </c>
      <c r="C50" s="27">
        <v>9</v>
      </c>
      <c r="D50" s="101" t="s">
        <v>455</v>
      </c>
      <c r="E50" s="279">
        <v>5953.29</v>
      </c>
      <c r="F50" s="441">
        <v>93681.216841992486</v>
      </c>
      <c r="G50" s="441">
        <v>30273.92726491543</v>
      </c>
      <c r="H50" s="73">
        <v>-63407.289577077056</v>
      </c>
      <c r="I50" s="5">
        <v>10.43</v>
      </c>
      <c r="J50" s="5">
        <v>5318</v>
      </c>
      <c r="K50" s="453"/>
      <c r="L50" s="5">
        <v>0</v>
      </c>
      <c r="M50" s="5">
        <v>0</v>
      </c>
      <c r="N50" s="35"/>
      <c r="O50" s="5">
        <v>0</v>
      </c>
      <c r="P50" s="5">
        <v>0</v>
      </c>
      <c r="Q50" s="455"/>
      <c r="R50" s="5">
        <v>3</v>
      </c>
      <c r="S50" s="5">
        <v>8857</v>
      </c>
      <c r="T50" s="456"/>
      <c r="U50" s="5">
        <v>0</v>
      </c>
      <c r="V50" s="5">
        <v>0</v>
      </c>
      <c r="W50" s="5">
        <v>24</v>
      </c>
      <c r="X50" s="5">
        <v>2239.9272649154318</v>
      </c>
      <c r="Y50" s="5">
        <v>3025</v>
      </c>
      <c r="Z50" s="5">
        <v>0</v>
      </c>
      <c r="AA50" s="5">
        <v>0</v>
      </c>
      <c r="AB50" s="5">
        <v>3237</v>
      </c>
      <c r="AC50" s="5">
        <v>3535</v>
      </c>
      <c r="AD50" s="5">
        <v>4062</v>
      </c>
      <c r="AE50" s="5">
        <v>1799.316333689351</v>
      </c>
      <c r="AF50" s="5">
        <v>184</v>
      </c>
      <c r="AG50" s="454"/>
      <c r="AH50" s="5">
        <v>3503.3416719875163</v>
      </c>
      <c r="AI50" s="5">
        <v>3814</v>
      </c>
      <c r="AJ50" s="5"/>
      <c r="AK50" s="5">
        <v>1764.4079798083619</v>
      </c>
      <c r="AL50" s="5">
        <v>0</v>
      </c>
      <c r="AM50" s="8"/>
      <c r="AN50" s="5">
        <v>2300.5302124888362</v>
      </c>
      <c r="AO50" s="5">
        <v>556</v>
      </c>
      <c r="AP50" s="5"/>
      <c r="AQ50" s="5">
        <v>1118.4592652313891</v>
      </c>
      <c r="AR50" s="5">
        <v>0</v>
      </c>
      <c r="AS50" s="454"/>
      <c r="AT50" s="5">
        <v>1715.3149867826266</v>
      </c>
      <c r="AU50" s="5">
        <v>0</v>
      </c>
      <c r="AV50" s="5"/>
      <c r="AW50" s="5">
        <v>178.5789</v>
      </c>
      <c r="AX50" s="5">
        <v>0</v>
      </c>
      <c r="AY50" s="5"/>
      <c r="AZ50" s="40">
        <v>12379.949349988083</v>
      </c>
      <c r="BA50" s="40">
        <v>4554</v>
      </c>
      <c r="BB50" s="55">
        <v>-7825.9493499880828</v>
      </c>
      <c r="BD50" s="2">
        <v>3</v>
      </c>
      <c r="BF50" s="325">
        <v>150000982</v>
      </c>
    </row>
    <row r="51" spans="1:58" ht="25.05" customHeight="1" x14ac:dyDescent="0.3">
      <c r="A51" s="325">
        <v>150000983</v>
      </c>
      <c r="B51" s="445" t="s">
        <v>345</v>
      </c>
      <c r="C51" s="27">
        <v>9</v>
      </c>
      <c r="D51" s="101" t="s">
        <v>455</v>
      </c>
      <c r="E51" s="279">
        <v>3858.65</v>
      </c>
      <c r="F51" s="441">
        <v>60424.461580630377</v>
      </c>
      <c r="G51" s="441">
        <v>18602.489999999998</v>
      </c>
      <c r="H51" s="73">
        <v>-41821.971580630379</v>
      </c>
      <c r="I51" s="5">
        <v>0</v>
      </c>
      <c r="J51" s="5">
        <v>0</v>
      </c>
      <c r="K51" s="446"/>
      <c r="L51" s="5">
        <v>0</v>
      </c>
      <c r="M51" s="5">
        <v>0</v>
      </c>
      <c r="N51" s="35"/>
      <c r="O51" s="5">
        <v>1</v>
      </c>
      <c r="P51" s="5">
        <v>955</v>
      </c>
      <c r="Q51" s="447"/>
      <c r="R51" s="5">
        <v>2</v>
      </c>
      <c r="S51" s="5">
        <v>2686</v>
      </c>
      <c r="T51" s="451"/>
      <c r="U51" s="5">
        <v>0</v>
      </c>
      <c r="V51" s="5">
        <v>0</v>
      </c>
      <c r="W51" s="5">
        <v>0</v>
      </c>
      <c r="X51" s="5">
        <v>0</v>
      </c>
      <c r="Y51" s="5">
        <v>7507</v>
      </c>
      <c r="Z51" s="5">
        <v>0</v>
      </c>
      <c r="AA51" s="5">
        <v>0</v>
      </c>
      <c r="AB51" s="5">
        <v>2697.49</v>
      </c>
      <c r="AC51" s="5">
        <v>1991</v>
      </c>
      <c r="AD51" s="5">
        <v>2766</v>
      </c>
      <c r="AE51" s="5">
        <v>1177.5951506193021</v>
      </c>
      <c r="AF51" s="5">
        <v>5875</v>
      </c>
      <c r="AG51" s="454"/>
      <c r="AH51" s="5">
        <v>1321.2951236309177</v>
      </c>
      <c r="AI51" s="5">
        <v>0</v>
      </c>
      <c r="AJ51" s="5"/>
      <c r="AK51" s="5">
        <v>1134.8728079449741</v>
      </c>
      <c r="AL51" s="5">
        <v>0</v>
      </c>
      <c r="AM51" s="5"/>
      <c r="AN51" s="5">
        <v>1585.338280020437</v>
      </c>
      <c r="AO51" s="5">
        <v>586</v>
      </c>
      <c r="AP51" s="5"/>
      <c r="AQ51" s="5">
        <v>745.618400300438</v>
      </c>
      <c r="AR51" s="5">
        <v>17</v>
      </c>
      <c r="AS51" s="454"/>
      <c r="AT51" s="5">
        <v>1087.966290710677</v>
      </c>
      <c r="AU51" s="5">
        <v>0</v>
      </c>
      <c r="AV51" s="5"/>
      <c r="AW51" s="5">
        <v>115.75200000000001</v>
      </c>
      <c r="AX51" s="5">
        <v>0</v>
      </c>
      <c r="AY51" s="5"/>
      <c r="AZ51" s="40">
        <v>7168.438053226746</v>
      </c>
      <c r="BA51" s="40">
        <v>6478</v>
      </c>
      <c r="BB51" s="55">
        <v>-690.43805322674598</v>
      </c>
      <c r="BD51" s="2">
        <v>3</v>
      </c>
      <c r="BF51" s="325">
        <v>150000983</v>
      </c>
    </row>
    <row r="52" spans="1:58" ht="25.05" customHeight="1" x14ac:dyDescent="0.3">
      <c r="A52" s="325">
        <v>150000984</v>
      </c>
      <c r="B52" s="445" t="s">
        <v>346</v>
      </c>
      <c r="C52" s="27">
        <v>9</v>
      </c>
      <c r="D52" s="101" t="s">
        <v>455</v>
      </c>
      <c r="E52" s="279">
        <v>9788.74</v>
      </c>
      <c r="F52" s="441">
        <v>143743.69495819887</v>
      </c>
      <c r="G52" s="441">
        <v>132612.23000000001</v>
      </c>
      <c r="H52" s="73">
        <v>-11131.464958198863</v>
      </c>
      <c r="I52" s="5">
        <v>360.2</v>
      </c>
      <c r="J52" s="5">
        <v>91057</v>
      </c>
      <c r="K52" s="446"/>
      <c r="L52" s="5">
        <v>0</v>
      </c>
      <c r="M52" s="5">
        <v>38.450000000000003</v>
      </c>
      <c r="N52" s="35"/>
      <c r="O52" s="5">
        <v>12</v>
      </c>
      <c r="P52" s="5">
        <v>2033</v>
      </c>
      <c r="Q52" s="455"/>
      <c r="R52" s="5">
        <v>7</v>
      </c>
      <c r="S52" s="5">
        <v>23399.19</v>
      </c>
      <c r="T52" s="451"/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979</v>
      </c>
      <c r="AC52" s="5">
        <v>1208</v>
      </c>
      <c r="AD52" s="5">
        <v>13897.59</v>
      </c>
      <c r="AE52" s="5">
        <v>4139.5609525314912</v>
      </c>
      <c r="AF52" s="5">
        <v>91</v>
      </c>
      <c r="AG52" s="5"/>
      <c r="AH52" s="5">
        <v>4890.2444759983955</v>
      </c>
      <c r="AI52" s="5">
        <v>2922</v>
      </c>
      <c r="AJ52" s="5"/>
      <c r="AK52" s="5">
        <v>5534.6764450520159</v>
      </c>
      <c r="AL52" s="5">
        <v>329</v>
      </c>
      <c r="AM52" s="5"/>
      <c r="AN52" s="5">
        <v>4337.1965709915676</v>
      </c>
      <c r="AO52" s="5">
        <v>3101</v>
      </c>
      <c r="AP52" s="5"/>
      <c r="AQ52" s="5">
        <v>1385.6021579763128</v>
      </c>
      <c r="AR52" s="5">
        <v>3617</v>
      </c>
      <c r="AS52" s="5"/>
      <c r="AT52" s="5">
        <v>3353.4817467436133</v>
      </c>
      <c r="AU52" s="5">
        <v>134</v>
      </c>
      <c r="AV52" s="5"/>
      <c r="AW52" s="5">
        <v>293.66219999999998</v>
      </c>
      <c r="AX52" s="5">
        <v>0</v>
      </c>
      <c r="AY52" s="5"/>
      <c r="AZ52" s="40">
        <v>23934.424549293399</v>
      </c>
      <c r="BA52" s="40">
        <v>10194</v>
      </c>
      <c r="BB52" s="55">
        <v>-13740.424549293399</v>
      </c>
      <c r="BD52" s="2">
        <v>3</v>
      </c>
      <c r="BF52" s="325">
        <v>150000984</v>
      </c>
    </row>
    <row r="53" spans="1:58" ht="25.05" customHeight="1" x14ac:dyDescent="0.3">
      <c r="A53" s="325">
        <v>150000986</v>
      </c>
      <c r="B53" s="445" t="s">
        <v>347</v>
      </c>
      <c r="C53" s="27">
        <v>9</v>
      </c>
      <c r="D53" s="101" t="s">
        <v>455</v>
      </c>
      <c r="E53" s="279">
        <v>6581.9</v>
      </c>
      <c r="F53" s="441">
        <v>117914.43443211507</v>
      </c>
      <c r="G53" s="441">
        <v>42159.014458656457</v>
      </c>
      <c r="H53" s="73">
        <v>-75755.419973458615</v>
      </c>
      <c r="I53" s="5">
        <v>7</v>
      </c>
      <c r="J53" s="5">
        <v>3974.06</v>
      </c>
      <c r="K53" s="453"/>
      <c r="L53" s="5">
        <v>0</v>
      </c>
      <c r="M53" s="5">
        <v>51.26</v>
      </c>
      <c r="N53" s="35"/>
      <c r="O53" s="5">
        <v>24</v>
      </c>
      <c r="P53" s="5">
        <v>4547.84</v>
      </c>
      <c r="Q53" s="455"/>
      <c r="R53" s="5">
        <v>6</v>
      </c>
      <c r="S53" s="5">
        <v>23657.07</v>
      </c>
      <c r="T53" s="448"/>
      <c r="U53" s="5">
        <v>0</v>
      </c>
      <c r="V53" s="5">
        <v>0</v>
      </c>
      <c r="W53" s="5">
        <v>6</v>
      </c>
      <c r="X53" s="5">
        <v>1302.7844586564597</v>
      </c>
      <c r="Y53" s="5">
        <v>404</v>
      </c>
      <c r="Z53" s="5">
        <v>0</v>
      </c>
      <c r="AA53" s="5">
        <v>0</v>
      </c>
      <c r="AB53" s="5">
        <v>2289</v>
      </c>
      <c r="AC53" s="5">
        <v>4623</v>
      </c>
      <c r="AD53" s="5">
        <v>1310</v>
      </c>
      <c r="AE53" s="5">
        <v>2763.0300406383408</v>
      </c>
      <c r="AF53" s="5">
        <v>301</v>
      </c>
      <c r="AG53" s="5"/>
      <c r="AH53" s="5">
        <v>3266.5013887594368</v>
      </c>
      <c r="AI53" s="5">
        <v>0</v>
      </c>
      <c r="AJ53" s="5"/>
      <c r="AK53" s="5">
        <v>3662.5956447287845</v>
      </c>
      <c r="AL53" s="5">
        <v>0</v>
      </c>
      <c r="AM53" s="5"/>
      <c r="AN53" s="5">
        <v>2948.1357904116121</v>
      </c>
      <c r="AO53" s="5">
        <v>0</v>
      </c>
      <c r="AP53" s="5"/>
      <c r="AQ53" s="5">
        <v>923.71373565197098</v>
      </c>
      <c r="AR53" s="5">
        <v>17</v>
      </c>
      <c r="AS53" s="5"/>
      <c r="AT53" s="5">
        <v>2310.088206701244</v>
      </c>
      <c r="AU53" s="5">
        <v>0</v>
      </c>
      <c r="AV53" s="5"/>
      <c r="AW53" s="5">
        <v>197.541</v>
      </c>
      <c r="AX53" s="5">
        <v>0</v>
      </c>
      <c r="AY53" s="5"/>
      <c r="AZ53" s="40">
        <v>16071.605806891388</v>
      </c>
      <c r="BA53" s="40">
        <v>318</v>
      </c>
      <c r="BB53" s="55">
        <v>-15753.605806891388</v>
      </c>
      <c r="BD53" s="2">
        <v>3</v>
      </c>
      <c r="BF53" s="325">
        <v>150000986</v>
      </c>
    </row>
    <row r="54" spans="1:58" ht="25.05" customHeight="1" x14ac:dyDescent="0.3">
      <c r="A54" s="325">
        <v>150000996</v>
      </c>
      <c r="B54" s="445" t="s">
        <v>246</v>
      </c>
      <c r="C54" s="27">
        <v>5</v>
      </c>
      <c r="D54" s="101" t="s">
        <v>455</v>
      </c>
      <c r="E54" s="279">
        <v>3446.77</v>
      </c>
      <c r="F54" s="441">
        <v>39221.647582614954</v>
      </c>
      <c r="G54" s="441">
        <v>87798.75</v>
      </c>
      <c r="H54" s="73">
        <v>48577.102417385046</v>
      </c>
      <c r="I54" s="5">
        <v>0</v>
      </c>
      <c r="J54" s="5">
        <v>0</v>
      </c>
      <c r="K54" s="457"/>
      <c r="L54" s="5">
        <v>2</v>
      </c>
      <c r="M54" s="5">
        <v>68768</v>
      </c>
      <c r="N54" s="35"/>
      <c r="O54" s="5">
        <v>0</v>
      </c>
      <c r="P54" s="5">
        <v>0</v>
      </c>
      <c r="Q54" s="447"/>
      <c r="R54" s="5">
        <v>0</v>
      </c>
      <c r="S54" s="5">
        <v>0</v>
      </c>
      <c r="T54" s="448"/>
      <c r="U54" s="5">
        <v>0</v>
      </c>
      <c r="V54" s="5">
        <v>0</v>
      </c>
      <c r="W54" s="5">
        <v>21</v>
      </c>
      <c r="X54" s="5">
        <v>8756.75</v>
      </c>
      <c r="Y54" s="5">
        <v>8501</v>
      </c>
      <c r="Z54" s="5">
        <v>0</v>
      </c>
      <c r="AA54" s="5">
        <v>0</v>
      </c>
      <c r="AB54" s="5">
        <v>0</v>
      </c>
      <c r="AC54" s="5">
        <v>1252</v>
      </c>
      <c r="AD54" s="5">
        <v>521</v>
      </c>
      <c r="AE54" s="5">
        <v>2508.5390153642174</v>
      </c>
      <c r="AF54" s="5">
        <v>0</v>
      </c>
      <c r="AG54" s="5"/>
      <c r="AH54" s="5">
        <v>3291.9887737664767</v>
      </c>
      <c r="AI54" s="5">
        <v>0</v>
      </c>
      <c r="AJ54" s="5"/>
      <c r="AK54" s="5">
        <v>2222.3486999232837</v>
      </c>
      <c r="AL54" s="5">
        <v>0</v>
      </c>
      <c r="AM54" s="5"/>
      <c r="AN54" s="5">
        <v>0</v>
      </c>
      <c r="AO54" s="5">
        <v>0</v>
      </c>
      <c r="AP54" s="5"/>
      <c r="AQ54" s="5">
        <v>0</v>
      </c>
      <c r="AR54" s="5">
        <v>0</v>
      </c>
      <c r="AS54" s="5"/>
      <c r="AT54" s="5">
        <v>1529.2095312644929</v>
      </c>
      <c r="AU54" s="5">
        <v>0</v>
      </c>
      <c r="AV54" s="5"/>
      <c r="AW54" s="5">
        <v>103.40010000000001</v>
      </c>
      <c r="AX54" s="5">
        <v>0</v>
      </c>
      <c r="AY54" s="5"/>
      <c r="AZ54" s="40">
        <v>9655.4861203184719</v>
      </c>
      <c r="BA54" s="40">
        <v>0</v>
      </c>
      <c r="BB54" s="55">
        <v>-9655.4861203184719</v>
      </c>
      <c r="BD54" s="2">
        <v>2</v>
      </c>
      <c r="BF54" s="325">
        <v>150000996</v>
      </c>
    </row>
    <row r="55" spans="1:58" ht="25.05" customHeight="1" x14ac:dyDescent="0.3">
      <c r="A55" s="325">
        <v>150000987</v>
      </c>
      <c r="B55" s="445" t="s">
        <v>51</v>
      </c>
      <c r="C55" s="27">
        <v>1</v>
      </c>
      <c r="D55" s="101" t="s">
        <v>455</v>
      </c>
      <c r="E55" s="279">
        <v>244.2</v>
      </c>
      <c r="F55" s="441">
        <v>73.356003651661439</v>
      </c>
      <c r="G55" s="441">
        <v>0</v>
      </c>
      <c r="H55" s="73">
        <v>-73.356003651661439</v>
      </c>
      <c r="I55" s="5">
        <v>0</v>
      </c>
      <c r="J55" s="5">
        <v>0</v>
      </c>
      <c r="K55" s="446"/>
      <c r="L55" s="5">
        <v>0</v>
      </c>
      <c r="M55" s="5">
        <v>0</v>
      </c>
      <c r="N55" s="35"/>
      <c r="O55" s="5">
        <v>0</v>
      </c>
      <c r="P55" s="5">
        <v>0</v>
      </c>
      <c r="Q55" s="447"/>
      <c r="R55" s="5">
        <v>0</v>
      </c>
      <c r="S55" s="5">
        <v>0</v>
      </c>
      <c r="T55" s="448"/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/>
      <c r="AH55" s="5">
        <v>0</v>
      </c>
      <c r="AI55" s="5">
        <v>0</v>
      </c>
      <c r="AJ55" s="5"/>
      <c r="AK55" s="5">
        <v>0</v>
      </c>
      <c r="AL55" s="5">
        <v>0</v>
      </c>
      <c r="AM55" s="5"/>
      <c r="AN55" s="5">
        <v>0</v>
      </c>
      <c r="AO55" s="5">
        <v>0</v>
      </c>
      <c r="AP55" s="5"/>
      <c r="AQ55" s="5">
        <v>0</v>
      </c>
      <c r="AR55" s="5">
        <v>0</v>
      </c>
      <c r="AS55" s="5"/>
      <c r="AT55" s="5">
        <v>0</v>
      </c>
      <c r="AU55" s="5">
        <v>0</v>
      </c>
      <c r="AV55" s="5"/>
      <c r="AW55" s="5">
        <v>7.3049999999999997</v>
      </c>
      <c r="AX55" s="5">
        <v>0</v>
      </c>
      <c r="AY55" s="5"/>
      <c r="AZ55" s="40">
        <v>7.3049999999999997</v>
      </c>
      <c r="BA55" s="40">
        <v>0</v>
      </c>
      <c r="BB55" s="55">
        <v>-7.3049999999999997</v>
      </c>
      <c r="BD55" s="2">
        <v>3</v>
      </c>
      <c r="BF55" s="325">
        <v>150000987</v>
      </c>
    </row>
    <row r="56" spans="1:58" ht="25.05" customHeight="1" x14ac:dyDescent="0.3">
      <c r="A56" s="325">
        <v>150000988</v>
      </c>
      <c r="B56" s="445" t="s">
        <v>52</v>
      </c>
      <c r="C56" s="27">
        <v>1</v>
      </c>
      <c r="D56" s="101" t="s">
        <v>455</v>
      </c>
      <c r="E56" s="279">
        <v>323.7</v>
      </c>
      <c r="F56" s="441">
        <v>3133.2346023142591</v>
      </c>
      <c r="G56" s="441">
        <v>0</v>
      </c>
      <c r="H56" s="73">
        <v>-3133.2346023142591</v>
      </c>
      <c r="I56" s="5">
        <v>0</v>
      </c>
      <c r="J56" s="5">
        <v>0</v>
      </c>
      <c r="K56" s="446"/>
      <c r="L56" s="5">
        <v>0</v>
      </c>
      <c r="M56" s="5">
        <v>0</v>
      </c>
      <c r="N56" s="35"/>
      <c r="O56" s="5">
        <v>0</v>
      </c>
      <c r="P56" s="5">
        <v>0</v>
      </c>
      <c r="Q56" s="447"/>
      <c r="R56" s="5">
        <v>0</v>
      </c>
      <c r="S56" s="5">
        <v>0</v>
      </c>
      <c r="T56" s="448"/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/>
      <c r="AH56" s="5">
        <v>0</v>
      </c>
      <c r="AI56" s="5">
        <v>0</v>
      </c>
      <c r="AJ56" s="5"/>
      <c r="AK56" s="5">
        <v>0</v>
      </c>
      <c r="AL56" s="5">
        <v>0</v>
      </c>
      <c r="AM56" s="5"/>
      <c r="AN56" s="5">
        <v>0</v>
      </c>
      <c r="AO56" s="5">
        <v>0</v>
      </c>
      <c r="AP56" s="5"/>
      <c r="AQ56" s="5">
        <v>0</v>
      </c>
      <c r="AR56" s="5">
        <v>0</v>
      </c>
      <c r="AS56" s="5"/>
      <c r="AT56" s="5">
        <v>0</v>
      </c>
      <c r="AU56" s="5">
        <v>0</v>
      </c>
      <c r="AV56" s="5"/>
      <c r="AW56" s="5">
        <v>9.3840000000000003</v>
      </c>
      <c r="AX56" s="5">
        <v>0</v>
      </c>
      <c r="AY56" s="5"/>
      <c r="AZ56" s="40">
        <v>9.3840000000000003</v>
      </c>
      <c r="BA56" s="40">
        <v>0</v>
      </c>
      <c r="BB56" s="55">
        <v>-9.3840000000000003</v>
      </c>
      <c r="BD56" s="2">
        <v>3</v>
      </c>
      <c r="BF56" s="325">
        <v>150000988</v>
      </c>
    </row>
    <row r="57" spans="1:58" ht="25.05" customHeight="1" x14ac:dyDescent="0.3">
      <c r="A57" s="325">
        <v>150000548</v>
      </c>
      <c r="B57" s="445" t="s">
        <v>247</v>
      </c>
      <c r="C57" s="27">
        <v>5</v>
      </c>
      <c r="D57" s="101" t="s">
        <v>455</v>
      </c>
      <c r="E57" s="279">
        <v>2189.9</v>
      </c>
      <c r="F57" s="441">
        <v>25998.222450554942</v>
      </c>
      <c r="G57" s="441">
        <v>9640</v>
      </c>
      <c r="H57" s="73">
        <v>-16358.222450554942</v>
      </c>
      <c r="I57" s="5">
        <v>0</v>
      </c>
      <c r="J57" s="5">
        <v>0</v>
      </c>
      <c r="K57" s="453"/>
      <c r="L57" s="5">
        <v>0</v>
      </c>
      <c r="M57" s="5">
        <v>0</v>
      </c>
      <c r="N57" s="35"/>
      <c r="O57" s="5">
        <v>0</v>
      </c>
      <c r="P57" s="5">
        <v>0</v>
      </c>
      <c r="Q57" s="447"/>
      <c r="R57" s="5">
        <v>0</v>
      </c>
      <c r="S57" s="5">
        <v>0</v>
      </c>
      <c r="T57" s="448"/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9640</v>
      </c>
      <c r="AE57" s="5">
        <v>1911.6454051566102</v>
      </c>
      <c r="AF57" s="5">
        <v>0</v>
      </c>
      <c r="AG57" s="5"/>
      <c r="AH57" s="5">
        <v>2671.3193374959424</v>
      </c>
      <c r="AI57" s="5">
        <v>2799</v>
      </c>
      <c r="AJ57" s="5"/>
      <c r="AK57" s="5">
        <v>1061.1265209297883</v>
      </c>
      <c r="AL57" s="5">
        <v>0</v>
      </c>
      <c r="AM57" s="5"/>
      <c r="AN57" s="5">
        <v>1055.5055139933077</v>
      </c>
      <c r="AO57" s="5">
        <v>0</v>
      </c>
      <c r="AP57" s="5"/>
      <c r="AQ57" s="5">
        <v>832.23664965675107</v>
      </c>
      <c r="AR57" s="5">
        <v>0</v>
      </c>
      <c r="AS57" s="5"/>
      <c r="AT57" s="5">
        <v>1148.0713206532096</v>
      </c>
      <c r="AU57" s="5">
        <v>0</v>
      </c>
      <c r="AV57" s="5"/>
      <c r="AW57" s="5">
        <v>657.28523718570466</v>
      </c>
      <c r="AX57" s="5">
        <v>0</v>
      </c>
      <c r="AY57" s="5"/>
      <c r="AZ57" s="40">
        <v>9337.1899850713125</v>
      </c>
      <c r="BA57" s="40">
        <v>2799</v>
      </c>
      <c r="BB57" s="55">
        <v>-6538.1899850713125</v>
      </c>
      <c r="BD57" s="2">
        <v>1</v>
      </c>
      <c r="BF57" s="325">
        <v>150000548</v>
      </c>
    </row>
    <row r="58" spans="1:58" ht="25.05" customHeight="1" x14ac:dyDescent="0.3">
      <c r="A58" s="325">
        <v>150000549</v>
      </c>
      <c r="B58" s="445" t="s">
        <v>207</v>
      </c>
      <c r="C58" s="27">
        <v>4</v>
      </c>
      <c r="D58" s="101" t="s">
        <v>455</v>
      </c>
      <c r="E58" s="279">
        <v>1173.1199999999999</v>
      </c>
      <c r="F58" s="441">
        <v>12367.617790373288</v>
      </c>
      <c r="G58" s="441">
        <v>39836.800000000003</v>
      </c>
      <c r="H58" s="73">
        <v>27469.182209626713</v>
      </c>
      <c r="I58" s="5">
        <v>0</v>
      </c>
      <c r="J58" s="5">
        <v>4141</v>
      </c>
      <c r="K58" s="446"/>
      <c r="L58" s="5">
        <v>1</v>
      </c>
      <c r="M58" s="5">
        <v>31373.58</v>
      </c>
      <c r="N58" s="35"/>
      <c r="O58" s="5">
        <v>0</v>
      </c>
      <c r="P58" s="5">
        <v>0</v>
      </c>
      <c r="Q58" s="447"/>
      <c r="R58" s="5">
        <v>0</v>
      </c>
      <c r="S58" s="5">
        <v>0</v>
      </c>
      <c r="T58" s="448"/>
      <c r="U58" s="5">
        <v>0</v>
      </c>
      <c r="V58" s="5">
        <v>0</v>
      </c>
      <c r="W58" s="5">
        <v>0</v>
      </c>
      <c r="X58" s="5">
        <v>0</v>
      </c>
      <c r="Y58" s="5">
        <v>1955</v>
      </c>
      <c r="Z58" s="5">
        <v>0</v>
      </c>
      <c r="AA58" s="5">
        <v>0</v>
      </c>
      <c r="AB58" s="5">
        <v>0</v>
      </c>
      <c r="AC58" s="5">
        <v>1386</v>
      </c>
      <c r="AD58" s="5">
        <v>981.22</v>
      </c>
      <c r="AE58" s="5">
        <v>1074.8639643045985</v>
      </c>
      <c r="AF58" s="5">
        <v>0</v>
      </c>
      <c r="AG58" s="5"/>
      <c r="AH58" s="5">
        <v>2019.1385851751529</v>
      </c>
      <c r="AI58" s="5">
        <v>6.5</v>
      </c>
      <c r="AJ58" s="5"/>
      <c r="AK58" s="5">
        <v>427.88506608041666</v>
      </c>
      <c r="AL58" s="5">
        <v>0</v>
      </c>
      <c r="AM58" s="5"/>
      <c r="AN58" s="5">
        <v>664.23008871025343</v>
      </c>
      <c r="AO58" s="5">
        <v>0</v>
      </c>
      <c r="AP58" s="5"/>
      <c r="AQ58" s="5">
        <v>0</v>
      </c>
      <c r="AR58" s="5">
        <v>0</v>
      </c>
      <c r="AS58" s="5"/>
      <c r="AT58" s="5">
        <v>524.69856921262146</v>
      </c>
      <c r="AU58" s="5">
        <v>0</v>
      </c>
      <c r="AV58" s="5"/>
      <c r="AW58" s="5">
        <v>302.84902130123618</v>
      </c>
      <c r="AX58" s="5">
        <v>0</v>
      </c>
      <c r="AY58" s="5"/>
      <c r="AZ58" s="40">
        <v>5013.6652947842804</v>
      </c>
      <c r="BA58" s="40">
        <v>6.5</v>
      </c>
      <c r="BB58" s="55">
        <v>-5007.1652947842804</v>
      </c>
      <c r="BD58" s="2">
        <v>1</v>
      </c>
      <c r="BF58" s="325">
        <v>150000549</v>
      </c>
    </row>
    <row r="59" spans="1:58" ht="25.05" customHeight="1" x14ac:dyDescent="0.3">
      <c r="A59" s="325">
        <v>150000547</v>
      </c>
      <c r="B59" s="445" t="s">
        <v>248</v>
      </c>
      <c r="C59" s="27">
        <v>5</v>
      </c>
      <c r="D59" s="101" t="s">
        <v>455</v>
      </c>
      <c r="E59" s="279">
        <v>2743.1</v>
      </c>
      <c r="F59" s="441">
        <v>51426.762294184438</v>
      </c>
      <c r="G59" s="441">
        <v>66555.350000000006</v>
      </c>
      <c r="H59" s="73">
        <v>15128.587705815567</v>
      </c>
      <c r="I59" s="5">
        <v>0</v>
      </c>
      <c r="J59" s="5">
        <v>0</v>
      </c>
      <c r="K59" s="446"/>
      <c r="L59" s="5">
        <v>0</v>
      </c>
      <c r="M59" s="5">
        <v>0</v>
      </c>
      <c r="N59" s="35"/>
      <c r="O59" s="5">
        <v>12</v>
      </c>
      <c r="P59" s="5">
        <v>2848.35</v>
      </c>
      <c r="Q59" s="447"/>
      <c r="R59" s="5">
        <v>0</v>
      </c>
      <c r="S59" s="5">
        <v>0</v>
      </c>
      <c r="T59" s="448"/>
      <c r="U59" s="5">
        <v>0</v>
      </c>
      <c r="V59" s="5">
        <v>0</v>
      </c>
      <c r="W59" s="5">
        <v>0</v>
      </c>
      <c r="X59" s="5">
        <v>0</v>
      </c>
      <c r="Y59" s="5">
        <v>2350</v>
      </c>
      <c r="Z59" s="5">
        <v>0</v>
      </c>
      <c r="AA59" s="5">
        <v>0</v>
      </c>
      <c r="AB59" s="5">
        <v>0</v>
      </c>
      <c r="AC59" s="5">
        <v>60150</v>
      </c>
      <c r="AD59" s="5">
        <v>1207</v>
      </c>
      <c r="AE59" s="5">
        <v>2390.0082274338965</v>
      </c>
      <c r="AF59" s="5">
        <v>1698</v>
      </c>
      <c r="AG59" s="5"/>
      <c r="AH59" s="5">
        <v>3236.0443770585362</v>
      </c>
      <c r="AI59" s="5">
        <v>2389.5</v>
      </c>
      <c r="AJ59" s="5"/>
      <c r="AK59" s="5">
        <v>1240.0720236525501</v>
      </c>
      <c r="AL59" s="5">
        <v>0</v>
      </c>
      <c r="AM59" s="5"/>
      <c r="AN59" s="5">
        <v>1374.672724998009</v>
      </c>
      <c r="AO59" s="5">
        <v>0</v>
      </c>
      <c r="AP59" s="5"/>
      <c r="AQ59" s="5">
        <v>1109.648866209001</v>
      </c>
      <c r="AR59" s="5">
        <v>0</v>
      </c>
      <c r="AS59" s="5"/>
      <c r="AT59" s="5">
        <v>1635.1066299366507</v>
      </c>
      <c r="AU59" s="5">
        <v>0</v>
      </c>
      <c r="AV59" s="5"/>
      <c r="AW59" s="5">
        <v>221.37966127098227</v>
      </c>
      <c r="AX59" s="5">
        <v>0</v>
      </c>
      <c r="AY59" s="5"/>
      <c r="AZ59" s="40">
        <v>11206.932510559627</v>
      </c>
      <c r="BA59" s="40">
        <v>4087.5</v>
      </c>
      <c r="BB59" s="55">
        <v>-7119.4325105596272</v>
      </c>
      <c r="BD59" s="2">
        <v>1</v>
      </c>
      <c r="BF59" s="325">
        <v>150000547</v>
      </c>
    </row>
    <row r="60" spans="1:58" ht="25.05" customHeight="1" x14ac:dyDescent="0.3">
      <c r="A60" s="325">
        <v>150000509</v>
      </c>
      <c r="B60" s="445" t="s">
        <v>53</v>
      </c>
      <c r="C60" s="27">
        <v>1</v>
      </c>
      <c r="D60" s="101" t="s">
        <v>455</v>
      </c>
      <c r="E60" s="279">
        <v>249.8</v>
      </c>
      <c r="F60" s="441">
        <v>2790.0211513389468</v>
      </c>
      <c r="G60" s="441">
        <v>0</v>
      </c>
      <c r="H60" s="73">
        <v>-2790.0211513389468</v>
      </c>
      <c r="I60" s="5">
        <v>0</v>
      </c>
      <c r="J60" s="5">
        <v>0</v>
      </c>
      <c r="K60" s="446"/>
      <c r="L60" s="5">
        <v>0</v>
      </c>
      <c r="M60" s="5">
        <v>0</v>
      </c>
      <c r="N60" s="35"/>
      <c r="O60" s="5">
        <v>0</v>
      </c>
      <c r="P60" s="5">
        <v>0</v>
      </c>
      <c r="Q60" s="447"/>
      <c r="R60" s="5">
        <v>0</v>
      </c>
      <c r="S60" s="5">
        <v>0</v>
      </c>
      <c r="T60" s="448"/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/>
      <c r="AH60" s="5">
        <v>0</v>
      </c>
      <c r="AI60" s="5">
        <v>0</v>
      </c>
      <c r="AJ60" s="5"/>
      <c r="AK60" s="5">
        <v>0</v>
      </c>
      <c r="AL60" s="5">
        <v>0</v>
      </c>
      <c r="AM60" s="5"/>
      <c r="AN60" s="5">
        <v>0</v>
      </c>
      <c r="AO60" s="5">
        <v>0</v>
      </c>
      <c r="AP60" s="5"/>
      <c r="AQ60" s="5">
        <v>0</v>
      </c>
      <c r="AR60" s="5">
        <v>0</v>
      </c>
      <c r="AS60" s="5"/>
      <c r="AT60" s="5">
        <v>0</v>
      </c>
      <c r="AU60" s="5">
        <v>0</v>
      </c>
      <c r="AV60" s="5"/>
      <c r="AW60" s="5">
        <v>7.4940000000000007</v>
      </c>
      <c r="AX60" s="5">
        <v>0</v>
      </c>
      <c r="AY60" s="5"/>
      <c r="AZ60" s="40">
        <v>7.4940000000000007</v>
      </c>
      <c r="BA60" s="40">
        <v>0</v>
      </c>
      <c r="BB60" s="55">
        <v>-7.4940000000000007</v>
      </c>
      <c r="BD60" s="2">
        <v>2</v>
      </c>
      <c r="BF60" s="325">
        <v>150000509</v>
      </c>
    </row>
    <row r="61" spans="1:58" ht="25.05" customHeight="1" x14ac:dyDescent="0.3">
      <c r="A61" s="325">
        <v>150000510</v>
      </c>
      <c r="B61" s="445" t="s">
        <v>249</v>
      </c>
      <c r="C61" s="27">
        <v>5</v>
      </c>
      <c r="D61" s="101" t="s">
        <v>455</v>
      </c>
      <c r="E61" s="279">
        <v>2889.06</v>
      </c>
      <c r="F61" s="441">
        <v>21292.559798595583</v>
      </c>
      <c r="G61" s="441">
        <v>701.40786433387802</v>
      </c>
      <c r="H61" s="73">
        <v>-20591.151934261703</v>
      </c>
      <c r="I61" s="5">
        <v>0</v>
      </c>
      <c r="J61" s="5">
        <v>0</v>
      </c>
      <c r="K61" s="446"/>
      <c r="L61" s="5">
        <v>0</v>
      </c>
      <c r="M61" s="5">
        <v>0</v>
      </c>
      <c r="N61" s="35"/>
      <c r="O61" s="5">
        <v>0</v>
      </c>
      <c r="P61" s="5">
        <v>0</v>
      </c>
      <c r="Q61" s="447"/>
      <c r="R61" s="5">
        <v>0</v>
      </c>
      <c r="S61" s="5">
        <v>0</v>
      </c>
      <c r="T61" s="448"/>
      <c r="U61" s="5">
        <v>0</v>
      </c>
      <c r="V61" s="5">
        <v>0</v>
      </c>
      <c r="W61" s="5">
        <v>0</v>
      </c>
      <c r="X61" s="5">
        <v>248.40786433387808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453</v>
      </c>
      <c r="AE61" s="5">
        <v>1602.1203903871778</v>
      </c>
      <c r="AF61" s="5">
        <v>1633</v>
      </c>
      <c r="AG61" s="5"/>
      <c r="AH61" s="5">
        <v>1994.2990685643276</v>
      </c>
      <c r="AI61" s="5">
        <v>1171</v>
      </c>
      <c r="AJ61" s="5"/>
      <c r="AK61" s="5">
        <v>1850.0512971426181</v>
      </c>
      <c r="AL61" s="5">
        <v>792</v>
      </c>
      <c r="AM61" s="5"/>
      <c r="AN61" s="5">
        <v>0</v>
      </c>
      <c r="AO61" s="5">
        <v>0</v>
      </c>
      <c r="AP61" s="5"/>
      <c r="AQ61" s="5">
        <v>0</v>
      </c>
      <c r="AR61" s="5">
        <v>0</v>
      </c>
      <c r="AS61" s="5"/>
      <c r="AT61" s="5">
        <v>1119.093497103911</v>
      </c>
      <c r="AU61" s="5">
        <v>798</v>
      </c>
      <c r="AV61" s="8"/>
      <c r="AW61" s="5">
        <v>86.703000000000003</v>
      </c>
      <c r="AX61" s="5">
        <v>0</v>
      </c>
      <c r="AY61" s="5"/>
      <c r="AZ61" s="40">
        <v>6652.2672531980343</v>
      </c>
      <c r="BA61" s="40">
        <v>4394</v>
      </c>
      <c r="BB61" s="55">
        <v>-2258.2672531980343</v>
      </c>
      <c r="BD61" s="2">
        <v>2</v>
      </c>
      <c r="BF61" s="325">
        <v>150000510</v>
      </c>
    </row>
    <row r="62" spans="1:58" ht="25.05" customHeight="1" x14ac:dyDescent="0.3">
      <c r="A62" s="325">
        <v>150000511</v>
      </c>
      <c r="B62" s="445" t="s">
        <v>250</v>
      </c>
      <c r="C62" s="27">
        <v>5</v>
      </c>
      <c r="D62" s="101" t="s">
        <v>455</v>
      </c>
      <c r="E62" s="279">
        <v>3219.5</v>
      </c>
      <c r="F62" s="441">
        <v>26767.932480824904</v>
      </c>
      <c r="G62" s="441">
        <v>5634</v>
      </c>
      <c r="H62" s="73">
        <v>-21133.932480824904</v>
      </c>
      <c r="I62" s="5">
        <v>0</v>
      </c>
      <c r="J62" s="5">
        <v>0</v>
      </c>
      <c r="K62" s="446"/>
      <c r="L62" s="5">
        <v>0</v>
      </c>
      <c r="M62" s="5">
        <v>0</v>
      </c>
      <c r="N62" s="35"/>
      <c r="O62" s="5">
        <v>0</v>
      </c>
      <c r="P62" s="5">
        <v>0</v>
      </c>
      <c r="Q62" s="447"/>
      <c r="R62" s="5">
        <v>0</v>
      </c>
      <c r="S62" s="5">
        <v>0</v>
      </c>
      <c r="T62" s="448"/>
      <c r="U62" s="5">
        <v>0</v>
      </c>
      <c r="V62" s="5">
        <v>0</v>
      </c>
      <c r="W62" s="5">
        <v>0</v>
      </c>
      <c r="X62" s="5">
        <v>3986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1648</v>
      </c>
      <c r="AE62" s="5">
        <v>2554.3643601128497</v>
      </c>
      <c r="AF62" s="5">
        <v>884</v>
      </c>
      <c r="AG62" s="5"/>
      <c r="AH62" s="5">
        <v>3680.9138646892934</v>
      </c>
      <c r="AI62" s="5">
        <v>0</v>
      </c>
      <c r="AJ62" s="5"/>
      <c r="AK62" s="5">
        <v>1994.2272690868281</v>
      </c>
      <c r="AL62" s="5">
        <v>263</v>
      </c>
      <c r="AM62" s="5"/>
      <c r="AN62" s="5">
        <v>0</v>
      </c>
      <c r="AO62" s="5">
        <v>0</v>
      </c>
      <c r="AP62" s="5"/>
      <c r="AQ62" s="5">
        <v>0</v>
      </c>
      <c r="AR62" s="5">
        <v>0</v>
      </c>
      <c r="AS62" s="5"/>
      <c r="AT62" s="5">
        <v>1633.688479566307</v>
      </c>
      <c r="AU62" s="5">
        <v>711</v>
      </c>
      <c r="AV62" s="5"/>
      <c r="AW62" s="5">
        <v>96.585000000000008</v>
      </c>
      <c r="AX62" s="5">
        <v>0</v>
      </c>
      <c r="AY62" s="5"/>
      <c r="AZ62" s="40">
        <v>9959.7789734552771</v>
      </c>
      <c r="BA62" s="40">
        <v>1858</v>
      </c>
      <c r="BB62" s="55">
        <v>-8101.7789734552771</v>
      </c>
      <c r="BD62" s="2">
        <v>2</v>
      </c>
      <c r="BF62" s="325">
        <v>150000511</v>
      </c>
    </row>
    <row r="63" spans="1:58" ht="25.05" customHeight="1" x14ac:dyDescent="0.3">
      <c r="A63" s="325">
        <v>150000512</v>
      </c>
      <c r="B63" s="445" t="s">
        <v>251</v>
      </c>
      <c r="C63" s="27">
        <v>5</v>
      </c>
      <c r="D63" s="101" t="s">
        <v>455</v>
      </c>
      <c r="E63" s="279">
        <v>1871.6999999999998</v>
      </c>
      <c r="F63" s="441">
        <v>16796.993408971153</v>
      </c>
      <c r="G63" s="441">
        <v>2802</v>
      </c>
      <c r="H63" s="73">
        <v>-13994.993408971153</v>
      </c>
      <c r="I63" s="5">
        <v>0</v>
      </c>
      <c r="J63" s="5">
        <v>0</v>
      </c>
      <c r="K63" s="446"/>
      <c r="L63" s="5">
        <v>0</v>
      </c>
      <c r="M63" s="5">
        <v>0</v>
      </c>
      <c r="N63" s="35"/>
      <c r="O63" s="5">
        <v>0</v>
      </c>
      <c r="P63" s="5">
        <v>0</v>
      </c>
      <c r="Q63" s="447"/>
      <c r="R63" s="5">
        <v>0</v>
      </c>
      <c r="S63" s="5">
        <v>0</v>
      </c>
      <c r="T63" s="448"/>
      <c r="U63" s="5">
        <v>0</v>
      </c>
      <c r="V63" s="5">
        <v>0</v>
      </c>
      <c r="W63" s="5">
        <v>0</v>
      </c>
      <c r="X63" s="5">
        <v>2500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302</v>
      </c>
      <c r="AE63" s="5">
        <v>1123.2907681857992</v>
      </c>
      <c r="AF63" s="5">
        <v>0</v>
      </c>
      <c r="AG63" s="5"/>
      <c r="AH63" s="5">
        <v>1884.6878331168734</v>
      </c>
      <c r="AI63" s="5">
        <v>0</v>
      </c>
      <c r="AJ63" s="5"/>
      <c r="AK63" s="5">
        <v>1253.295752048414</v>
      </c>
      <c r="AL63" s="5">
        <v>0</v>
      </c>
      <c r="AM63" s="5"/>
      <c r="AN63" s="5">
        <v>0</v>
      </c>
      <c r="AO63" s="5">
        <v>0</v>
      </c>
      <c r="AP63" s="5"/>
      <c r="AQ63" s="5">
        <v>0</v>
      </c>
      <c r="AR63" s="5">
        <v>0</v>
      </c>
      <c r="AS63" s="5"/>
      <c r="AT63" s="5">
        <v>601.0497385288146</v>
      </c>
      <c r="AU63" s="5">
        <v>1745</v>
      </c>
      <c r="AV63" s="5"/>
      <c r="AW63" s="5">
        <v>54.849000000000004</v>
      </c>
      <c r="AX63" s="5">
        <v>0</v>
      </c>
      <c r="AY63" s="5"/>
      <c r="AZ63" s="40">
        <v>4917.1730918799012</v>
      </c>
      <c r="BA63" s="40">
        <v>1745</v>
      </c>
      <c r="BB63" s="55">
        <v>-3172.1730918799012</v>
      </c>
      <c r="BD63" s="2">
        <v>2</v>
      </c>
      <c r="BF63" s="325">
        <v>150000512</v>
      </c>
    </row>
    <row r="64" spans="1:58" ht="25.05" customHeight="1" x14ac:dyDescent="0.3">
      <c r="A64" s="325">
        <v>150000513</v>
      </c>
      <c r="B64" s="445" t="s">
        <v>334</v>
      </c>
      <c r="C64" s="27">
        <v>6</v>
      </c>
      <c r="D64" s="101" t="s">
        <v>455</v>
      </c>
      <c r="E64" s="279">
        <v>3630</v>
      </c>
      <c r="F64" s="441">
        <v>41515.495385728376</v>
      </c>
      <c r="G64" s="441">
        <v>302</v>
      </c>
      <c r="H64" s="73">
        <v>-41213.495385728376</v>
      </c>
      <c r="I64" s="5">
        <v>0</v>
      </c>
      <c r="J64" s="5">
        <v>0</v>
      </c>
      <c r="K64" s="446"/>
      <c r="L64" s="5">
        <v>0</v>
      </c>
      <c r="M64" s="5">
        <v>0</v>
      </c>
      <c r="N64" s="35"/>
      <c r="O64" s="5">
        <v>0</v>
      </c>
      <c r="P64" s="5">
        <v>0</v>
      </c>
      <c r="Q64" s="447"/>
      <c r="R64" s="5">
        <v>0</v>
      </c>
      <c r="S64" s="5">
        <v>0</v>
      </c>
      <c r="T64" s="448"/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302</v>
      </c>
      <c r="AE64" s="5">
        <v>2054.1181131110166</v>
      </c>
      <c r="AF64" s="5">
        <v>59</v>
      </c>
      <c r="AG64" s="5"/>
      <c r="AH64" s="5">
        <v>2606.6567272512793</v>
      </c>
      <c r="AI64" s="5">
        <v>33</v>
      </c>
      <c r="AJ64" s="5"/>
      <c r="AK64" s="5">
        <v>2338.8257524910146</v>
      </c>
      <c r="AL64" s="5">
        <v>0</v>
      </c>
      <c r="AM64" s="5"/>
      <c r="AN64" s="5">
        <v>1767.9597679858423</v>
      </c>
      <c r="AO64" s="5">
        <v>0</v>
      </c>
      <c r="AP64" s="5"/>
      <c r="AQ64" s="5">
        <v>638.11701812984256</v>
      </c>
      <c r="AR64" s="5">
        <v>0</v>
      </c>
      <c r="AS64" s="5"/>
      <c r="AT64" s="5">
        <v>601.93006920454627</v>
      </c>
      <c r="AU64" s="5">
        <v>142</v>
      </c>
      <c r="AV64" s="5"/>
      <c r="AW64" s="5">
        <v>107.86199999999999</v>
      </c>
      <c r="AX64" s="5">
        <v>0</v>
      </c>
      <c r="AY64" s="5"/>
      <c r="AZ64" s="40">
        <v>10115.469448173541</v>
      </c>
      <c r="BA64" s="40">
        <v>234</v>
      </c>
      <c r="BB64" s="55">
        <v>-9881.4694481735405</v>
      </c>
      <c r="BD64" s="2">
        <v>2</v>
      </c>
      <c r="BF64" s="325">
        <v>150000513</v>
      </c>
    </row>
    <row r="65" spans="1:58" ht="25.05" customHeight="1" x14ac:dyDescent="0.3">
      <c r="A65" s="325">
        <v>150000538</v>
      </c>
      <c r="B65" s="445" t="s">
        <v>208</v>
      </c>
      <c r="C65" s="27">
        <v>4</v>
      </c>
      <c r="D65" s="101" t="s">
        <v>455</v>
      </c>
      <c r="E65" s="279">
        <v>1469.3</v>
      </c>
      <c r="F65" s="441">
        <v>13386.460746842282</v>
      </c>
      <c r="G65" s="441">
        <v>91895</v>
      </c>
      <c r="H65" s="73">
        <v>78508.539253157724</v>
      </c>
      <c r="I65" s="5">
        <v>0</v>
      </c>
      <c r="J65" s="5">
        <v>0</v>
      </c>
      <c r="K65" s="446"/>
      <c r="L65" s="5">
        <v>2</v>
      </c>
      <c r="M65" s="5">
        <v>87229</v>
      </c>
      <c r="N65" s="35"/>
      <c r="O65" s="5">
        <v>0</v>
      </c>
      <c r="P65" s="5">
        <v>0</v>
      </c>
      <c r="Q65" s="447"/>
      <c r="R65" s="5">
        <v>0</v>
      </c>
      <c r="S65" s="5">
        <v>0</v>
      </c>
      <c r="T65" s="448"/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2397</v>
      </c>
      <c r="AD65" s="5">
        <v>2269</v>
      </c>
      <c r="AE65" s="5">
        <v>989.71656030432064</v>
      </c>
      <c r="AF65" s="5">
        <v>0</v>
      </c>
      <c r="AG65" s="5"/>
      <c r="AH65" s="5">
        <v>1152.1761441372496</v>
      </c>
      <c r="AI65" s="5">
        <v>0</v>
      </c>
      <c r="AJ65" s="5"/>
      <c r="AK65" s="5">
        <v>1001.4878539630618</v>
      </c>
      <c r="AL65" s="5">
        <v>0</v>
      </c>
      <c r="AM65" s="5"/>
      <c r="AN65" s="5">
        <v>0</v>
      </c>
      <c r="AO65" s="5">
        <v>0</v>
      </c>
      <c r="AP65" s="5"/>
      <c r="AQ65" s="5">
        <v>0</v>
      </c>
      <c r="AR65" s="5">
        <v>0</v>
      </c>
      <c r="AS65" s="5"/>
      <c r="AT65" s="5">
        <v>522.03056588983156</v>
      </c>
      <c r="AU65" s="5">
        <v>291</v>
      </c>
      <c r="AV65" s="5"/>
      <c r="AW65" s="5">
        <v>44.079000000000001</v>
      </c>
      <c r="AX65" s="5">
        <v>0</v>
      </c>
      <c r="AY65" s="5"/>
      <c r="AZ65" s="40">
        <v>3709.4901242944638</v>
      </c>
      <c r="BA65" s="40">
        <v>291</v>
      </c>
      <c r="BB65" s="55">
        <v>-3418.4901242944638</v>
      </c>
      <c r="BD65" s="2">
        <v>2</v>
      </c>
      <c r="BF65" s="325">
        <v>150000538</v>
      </c>
    </row>
    <row r="66" spans="1:58" ht="25.05" customHeight="1" x14ac:dyDescent="0.3">
      <c r="A66" s="325">
        <v>150000514</v>
      </c>
      <c r="B66" s="445" t="s">
        <v>152</v>
      </c>
      <c r="C66" s="27">
        <v>2</v>
      </c>
      <c r="D66" s="101" t="s">
        <v>455</v>
      </c>
      <c r="E66" s="279">
        <v>253.5</v>
      </c>
      <c r="F66" s="441">
        <v>4339.4678067498608</v>
      </c>
      <c r="G66" s="441">
        <v>151</v>
      </c>
      <c r="H66" s="73">
        <v>-4188.4678067498608</v>
      </c>
      <c r="I66" s="5">
        <v>0</v>
      </c>
      <c r="J66" s="5">
        <v>0</v>
      </c>
      <c r="K66" s="446"/>
      <c r="L66" s="5">
        <v>0</v>
      </c>
      <c r="M66" s="5">
        <v>0</v>
      </c>
      <c r="N66" s="35"/>
      <c r="O66" s="5">
        <v>0</v>
      </c>
      <c r="P66" s="5">
        <v>0</v>
      </c>
      <c r="Q66" s="447"/>
      <c r="R66" s="5">
        <v>0</v>
      </c>
      <c r="S66" s="5">
        <v>0</v>
      </c>
      <c r="T66" s="448"/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151</v>
      </c>
      <c r="AE66" s="5">
        <v>406.5904380129669</v>
      </c>
      <c r="AF66" s="5">
        <v>0</v>
      </c>
      <c r="AG66" s="5"/>
      <c r="AH66" s="5">
        <v>461.68150384734167</v>
      </c>
      <c r="AI66" s="5">
        <v>0</v>
      </c>
      <c r="AJ66" s="5"/>
      <c r="AK66" s="5">
        <v>64.254942139013295</v>
      </c>
      <c r="AL66" s="5">
        <v>0</v>
      </c>
      <c r="AM66" s="5"/>
      <c r="AN66" s="5">
        <v>0</v>
      </c>
      <c r="AO66" s="5">
        <v>0</v>
      </c>
      <c r="AP66" s="5"/>
      <c r="AQ66" s="5">
        <v>0</v>
      </c>
      <c r="AR66" s="5">
        <v>0</v>
      </c>
      <c r="AS66" s="5"/>
      <c r="AT66" s="5">
        <v>95.609109999152707</v>
      </c>
      <c r="AU66" s="5">
        <v>711</v>
      </c>
      <c r="AV66" s="5"/>
      <c r="AW66" s="5">
        <v>7.6050000000000004</v>
      </c>
      <c r="AX66" s="5">
        <v>0</v>
      </c>
      <c r="AY66" s="5"/>
      <c r="AZ66" s="40">
        <v>1035.7409939984746</v>
      </c>
      <c r="BA66" s="40">
        <v>711</v>
      </c>
      <c r="BB66" s="55">
        <v>-324.74099399847455</v>
      </c>
      <c r="BD66" s="2">
        <v>2</v>
      </c>
      <c r="BF66" s="325">
        <v>150000514</v>
      </c>
    </row>
    <row r="67" spans="1:58" ht="25.05" customHeight="1" x14ac:dyDescent="0.3">
      <c r="A67" s="325">
        <v>150000515</v>
      </c>
      <c r="B67" s="445" t="s">
        <v>54</v>
      </c>
      <c r="C67" s="27">
        <v>1</v>
      </c>
      <c r="D67" s="101" t="s">
        <v>455</v>
      </c>
      <c r="E67" s="279">
        <v>200.6</v>
      </c>
      <c r="F67" s="441">
        <v>2355.5435788810373</v>
      </c>
      <c r="G67" s="441">
        <v>0</v>
      </c>
      <c r="H67" s="73">
        <v>-2355.5435788810373</v>
      </c>
      <c r="I67" s="5">
        <v>0</v>
      </c>
      <c r="J67" s="5">
        <v>0</v>
      </c>
      <c r="K67" s="446"/>
      <c r="L67" s="5">
        <v>0</v>
      </c>
      <c r="M67" s="5">
        <v>0</v>
      </c>
      <c r="N67" s="35"/>
      <c r="O67" s="5">
        <v>0</v>
      </c>
      <c r="P67" s="5">
        <v>0</v>
      </c>
      <c r="Q67" s="447"/>
      <c r="R67" s="5">
        <v>0</v>
      </c>
      <c r="S67" s="5">
        <v>0</v>
      </c>
      <c r="T67" s="448"/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/>
      <c r="AH67" s="5">
        <v>0</v>
      </c>
      <c r="AI67" s="5">
        <v>0</v>
      </c>
      <c r="AJ67" s="5"/>
      <c r="AK67" s="5">
        <v>0</v>
      </c>
      <c r="AL67" s="5">
        <v>0</v>
      </c>
      <c r="AM67" s="5"/>
      <c r="AN67" s="5">
        <v>0</v>
      </c>
      <c r="AO67" s="5">
        <v>0</v>
      </c>
      <c r="AP67" s="5"/>
      <c r="AQ67" s="5">
        <v>0</v>
      </c>
      <c r="AR67" s="5">
        <v>0</v>
      </c>
      <c r="AS67" s="5"/>
      <c r="AT67" s="5">
        <v>0</v>
      </c>
      <c r="AU67" s="5">
        <v>0</v>
      </c>
      <c r="AV67" s="5"/>
      <c r="AW67" s="5">
        <v>6.0179999999999989</v>
      </c>
      <c r="AX67" s="5">
        <v>0</v>
      </c>
      <c r="AY67" s="5"/>
      <c r="AZ67" s="40">
        <v>6.0179999999999989</v>
      </c>
      <c r="BA67" s="40">
        <v>0</v>
      </c>
      <c r="BB67" s="55">
        <v>-6.0179999999999989</v>
      </c>
      <c r="BD67" s="2">
        <v>2</v>
      </c>
      <c r="BF67" s="325">
        <v>150000515</v>
      </c>
    </row>
    <row r="68" spans="1:58" ht="25.05" customHeight="1" x14ac:dyDescent="0.3">
      <c r="A68" s="325">
        <v>150000539</v>
      </c>
      <c r="B68" s="445" t="s">
        <v>55</v>
      </c>
      <c r="C68" s="27">
        <v>1</v>
      </c>
      <c r="D68" s="101" t="s">
        <v>455</v>
      </c>
      <c r="E68" s="279">
        <v>83.8</v>
      </c>
      <c r="F68" s="441">
        <v>1002.2562130687713</v>
      </c>
      <c r="G68" s="441">
        <v>0</v>
      </c>
      <c r="H68" s="73">
        <v>-1002.2562130687713</v>
      </c>
      <c r="I68" s="5">
        <v>0</v>
      </c>
      <c r="J68" s="5">
        <v>0</v>
      </c>
      <c r="K68" s="446"/>
      <c r="L68" s="5">
        <v>0</v>
      </c>
      <c r="M68" s="5">
        <v>0</v>
      </c>
      <c r="N68" s="35"/>
      <c r="O68" s="5">
        <v>0</v>
      </c>
      <c r="P68" s="5">
        <v>0</v>
      </c>
      <c r="Q68" s="447"/>
      <c r="R68" s="5">
        <v>0</v>
      </c>
      <c r="S68" s="5">
        <v>0</v>
      </c>
      <c r="T68" s="448"/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/>
      <c r="AH68" s="5">
        <v>0</v>
      </c>
      <c r="AI68" s="5">
        <v>0</v>
      </c>
      <c r="AJ68" s="5"/>
      <c r="AK68" s="5">
        <v>0</v>
      </c>
      <c r="AL68" s="5">
        <v>0</v>
      </c>
      <c r="AM68" s="5"/>
      <c r="AN68" s="5">
        <v>0</v>
      </c>
      <c r="AO68" s="5">
        <v>0</v>
      </c>
      <c r="AP68" s="5"/>
      <c r="AQ68" s="5">
        <v>0</v>
      </c>
      <c r="AR68" s="5">
        <v>0</v>
      </c>
      <c r="AS68" s="5"/>
      <c r="AT68" s="5">
        <v>0</v>
      </c>
      <c r="AU68" s="5">
        <v>0</v>
      </c>
      <c r="AV68" s="5"/>
      <c r="AW68" s="5">
        <v>2.5139999999999998</v>
      </c>
      <c r="AX68" s="5">
        <v>0</v>
      </c>
      <c r="AY68" s="5"/>
      <c r="AZ68" s="40">
        <v>2.5139999999999998</v>
      </c>
      <c r="BA68" s="40">
        <v>0</v>
      </c>
      <c r="BB68" s="55">
        <v>-2.5139999999999998</v>
      </c>
      <c r="BD68" s="2">
        <v>2</v>
      </c>
      <c r="BF68" s="325">
        <v>150000539</v>
      </c>
    </row>
    <row r="69" spans="1:58" ht="25.05" customHeight="1" x14ac:dyDescent="0.3">
      <c r="A69" s="325">
        <v>150000516</v>
      </c>
      <c r="B69" s="445" t="s">
        <v>56</v>
      </c>
      <c r="C69" s="27">
        <v>1</v>
      </c>
      <c r="D69" s="101" t="s">
        <v>455</v>
      </c>
      <c r="E69" s="279">
        <v>323.10000000000002</v>
      </c>
      <c r="F69" s="441">
        <v>2831.2932232131689</v>
      </c>
      <c r="G69" s="441">
        <v>0</v>
      </c>
      <c r="H69" s="73">
        <v>-2831.2932232131689</v>
      </c>
      <c r="I69" s="5">
        <v>0</v>
      </c>
      <c r="J69" s="5">
        <v>0</v>
      </c>
      <c r="K69" s="446"/>
      <c r="L69" s="5">
        <v>0</v>
      </c>
      <c r="M69" s="5">
        <v>0</v>
      </c>
      <c r="N69" s="35"/>
      <c r="O69" s="5">
        <v>0</v>
      </c>
      <c r="P69" s="5">
        <v>0</v>
      </c>
      <c r="Q69" s="447"/>
      <c r="R69" s="5">
        <v>0</v>
      </c>
      <c r="S69" s="5">
        <v>0</v>
      </c>
      <c r="T69" s="448"/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/>
      <c r="AH69" s="5">
        <v>0</v>
      </c>
      <c r="AI69" s="5">
        <v>0</v>
      </c>
      <c r="AJ69" s="5"/>
      <c r="AK69" s="5">
        <v>0</v>
      </c>
      <c r="AL69" s="5">
        <v>0</v>
      </c>
      <c r="AM69" s="5"/>
      <c r="AN69" s="5">
        <v>0</v>
      </c>
      <c r="AO69" s="5">
        <v>0</v>
      </c>
      <c r="AP69" s="5"/>
      <c r="AQ69" s="5">
        <v>0</v>
      </c>
      <c r="AR69" s="5">
        <v>0</v>
      </c>
      <c r="AS69" s="5"/>
      <c r="AT69" s="5">
        <v>0</v>
      </c>
      <c r="AU69" s="5">
        <v>0</v>
      </c>
      <c r="AV69" s="5"/>
      <c r="AW69" s="5">
        <v>9.6930000000000014</v>
      </c>
      <c r="AX69" s="5">
        <v>0</v>
      </c>
      <c r="AY69" s="5"/>
      <c r="AZ69" s="40">
        <v>9.6930000000000014</v>
      </c>
      <c r="BA69" s="40">
        <v>0</v>
      </c>
      <c r="BB69" s="55">
        <v>-9.6930000000000014</v>
      </c>
      <c r="BD69" s="2">
        <v>2</v>
      </c>
      <c r="BF69" s="325">
        <v>150000516</v>
      </c>
    </row>
    <row r="70" spans="1:58" ht="25.05" customHeight="1" x14ac:dyDescent="0.3">
      <c r="A70" s="325">
        <v>150000517</v>
      </c>
      <c r="B70" s="445" t="s">
        <v>252</v>
      </c>
      <c r="C70" s="27">
        <v>5</v>
      </c>
      <c r="D70" s="101" t="s">
        <v>455</v>
      </c>
      <c r="E70" s="279">
        <v>1894.8000000000002</v>
      </c>
      <c r="F70" s="441">
        <v>19555.475370877211</v>
      </c>
      <c r="G70" s="441">
        <v>1697.7216929360295</v>
      </c>
      <c r="H70" s="73">
        <v>-17857.753677941182</v>
      </c>
      <c r="I70" s="5">
        <v>0</v>
      </c>
      <c r="J70" s="5">
        <v>0</v>
      </c>
      <c r="K70" s="446"/>
      <c r="L70" s="5">
        <v>0</v>
      </c>
      <c r="M70" s="5">
        <v>0</v>
      </c>
      <c r="N70" s="35"/>
      <c r="O70" s="5">
        <v>0</v>
      </c>
      <c r="P70" s="5">
        <v>0</v>
      </c>
      <c r="Q70" s="447"/>
      <c r="R70" s="5">
        <v>0</v>
      </c>
      <c r="S70" s="5">
        <v>0</v>
      </c>
      <c r="T70" s="448"/>
      <c r="U70" s="5">
        <v>0</v>
      </c>
      <c r="V70" s="5">
        <v>0</v>
      </c>
      <c r="W70" s="5">
        <v>0</v>
      </c>
      <c r="X70" s="5">
        <v>143.72169293602946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1554</v>
      </c>
      <c r="AE70" s="5">
        <v>1384.0227751046389</v>
      </c>
      <c r="AF70" s="5">
        <v>0</v>
      </c>
      <c r="AG70" s="8"/>
      <c r="AH70" s="5">
        <v>1879.5256069500886</v>
      </c>
      <c r="AI70" s="5">
        <v>0</v>
      </c>
      <c r="AJ70" s="5"/>
      <c r="AK70" s="5">
        <v>1289.6216588513171</v>
      </c>
      <c r="AL70" s="5">
        <v>546</v>
      </c>
      <c r="AM70" s="5"/>
      <c r="AN70" s="5">
        <v>0</v>
      </c>
      <c r="AO70" s="5">
        <v>0</v>
      </c>
      <c r="AP70" s="5"/>
      <c r="AQ70" s="5">
        <v>0</v>
      </c>
      <c r="AR70" s="5">
        <v>0</v>
      </c>
      <c r="AS70" s="5"/>
      <c r="AT70" s="5">
        <v>547.3681850458413</v>
      </c>
      <c r="AU70" s="5">
        <v>711</v>
      </c>
      <c r="AV70" s="5"/>
      <c r="AW70" s="5">
        <v>57.648000000000003</v>
      </c>
      <c r="AX70" s="5">
        <v>0</v>
      </c>
      <c r="AY70" s="5"/>
      <c r="AZ70" s="40">
        <v>5158.1862259518866</v>
      </c>
      <c r="BA70" s="40">
        <v>1257</v>
      </c>
      <c r="BB70" s="55">
        <v>-3901.1862259518866</v>
      </c>
      <c r="BD70" s="2">
        <v>2</v>
      </c>
      <c r="BF70" s="325">
        <v>150000517</v>
      </c>
    </row>
    <row r="71" spans="1:58" ht="25.05" customHeight="1" x14ac:dyDescent="0.3">
      <c r="A71" s="325">
        <v>150000518</v>
      </c>
      <c r="B71" s="445" t="s">
        <v>195</v>
      </c>
      <c r="C71" s="27">
        <v>3</v>
      </c>
      <c r="D71" s="101" t="s">
        <v>455</v>
      </c>
      <c r="E71" s="279">
        <v>847.5</v>
      </c>
      <c r="F71" s="441">
        <v>9230.4047494442948</v>
      </c>
      <c r="G71" s="441">
        <v>4859.2904367468545</v>
      </c>
      <c r="H71" s="73">
        <v>-4371.1143126974403</v>
      </c>
      <c r="I71" s="5">
        <v>0</v>
      </c>
      <c r="J71" s="5">
        <v>0</v>
      </c>
      <c r="K71" s="446"/>
      <c r="L71" s="5">
        <v>0</v>
      </c>
      <c r="M71" s="5">
        <v>1529</v>
      </c>
      <c r="N71" s="35"/>
      <c r="O71" s="5">
        <v>0</v>
      </c>
      <c r="P71" s="5">
        <v>0</v>
      </c>
      <c r="Q71" s="447"/>
      <c r="R71" s="5">
        <v>0</v>
      </c>
      <c r="S71" s="5">
        <v>0</v>
      </c>
      <c r="T71" s="448"/>
      <c r="U71" s="5">
        <v>0</v>
      </c>
      <c r="V71" s="5">
        <v>0</v>
      </c>
      <c r="W71" s="5">
        <v>0</v>
      </c>
      <c r="X71" s="5">
        <v>194.29043674685462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3136</v>
      </c>
      <c r="AE71" s="5">
        <v>839.68268045753496</v>
      </c>
      <c r="AF71" s="5">
        <v>0</v>
      </c>
      <c r="AG71" s="5"/>
      <c r="AH71" s="5">
        <v>1286.0399151523502</v>
      </c>
      <c r="AI71" s="5">
        <v>0</v>
      </c>
      <c r="AJ71" s="5"/>
      <c r="AK71" s="5">
        <v>466.51073246474198</v>
      </c>
      <c r="AL71" s="5">
        <v>0</v>
      </c>
      <c r="AM71" s="5"/>
      <c r="AN71" s="5">
        <v>0</v>
      </c>
      <c r="AO71" s="5">
        <v>0</v>
      </c>
      <c r="AP71" s="5"/>
      <c r="AQ71" s="5">
        <v>0</v>
      </c>
      <c r="AR71" s="5">
        <v>0</v>
      </c>
      <c r="AS71" s="5"/>
      <c r="AT71" s="5">
        <v>339.66107999878056</v>
      </c>
      <c r="AU71" s="5">
        <v>0</v>
      </c>
      <c r="AV71" s="5"/>
      <c r="AW71" s="5">
        <v>25.424999999999997</v>
      </c>
      <c r="AX71" s="5">
        <v>0</v>
      </c>
      <c r="AY71" s="5"/>
      <c r="AZ71" s="40">
        <v>2957.3194080734079</v>
      </c>
      <c r="BA71" s="40">
        <v>0</v>
      </c>
      <c r="BB71" s="55">
        <v>-2957.3194080734079</v>
      </c>
      <c r="BD71" s="2">
        <v>2</v>
      </c>
      <c r="BF71" s="325">
        <v>150000518</v>
      </c>
    </row>
    <row r="72" spans="1:58" ht="25.05" customHeight="1" x14ac:dyDescent="0.3">
      <c r="A72" s="325">
        <v>150000519</v>
      </c>
      <c r="B72" s="445" t="s">
        <v>413</v>
      </c>
      <c r="C72" s="27">
        <v>10</v>
      </c>
      <c r="D72" s="101" t="s">
        <v>455</v>
      </c>
      <c r="E72" s="279">
        <v>2696.4</v>
      </c>
      <c r="F72" s="441">
        <v>34480.725636706804</v>
      </c>
      <c r="G72" s="441">
        <v>151</v>
      </c>
      <c r="H72" s="73">
        <v>-34329.725636706804</v>
      </c>
      <c r="I72" s="5">
        <v>0</v>
      </c>
      <c r="J72" s="5">
        <v>0</v>
      </c>
      <c r="K72" s="446"/>
      <c r="L72" s="5">
        <v>0</v>
      </c>
      <c r="M72" s="5">
        <v>0</v>
      </c>
      <c r="N72" s="458"/>
      <c r="O72" s="5">
        <v>0</v>
      </c>
      <c r="P72" s="5">
        <v>0</v>
      </c>
      <c r="Q72" s="447"/>
      <c r="R72" s="5">
        <v>0</v>
      </c>
      <c r="S72" s="5">
        <v>0</v>
      </c>
      <c r="T72" s="448"/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151</v>
      </c>
      <c r="AE72" s="5">
        <v>1227.8821952958922</v>
      </c>
      <c r="AF72" s="5">
        <v>0</v>
      </c>
      <c r="AG72" s="454"/>
      <c r="AH72" s="5">
        <v>1481.7605774865947</v>
      </c>
      <c r="AI72" s="5">
        <v>0</v>
      </c>
      <c r="AJ72" s="5"/>
      <c r="AK72" s="5">
        <v>982.35815302368383</v>
      </c>
      <c r="AL72" s="5">
        <v>0</v>
      </c>
      <c r="AM72" s="5"/>
      <c r="AN72" s="5">
        <v>1337.0797175270268</v>
      </c>
      <c r="AO72" s="5">
        <v>0</v>
      </c>
      <c r="AP72" s="5"/>
      <c r="AQ72" s="5">
        <v>493.31729299915651</v>
      </c>
      <c r="AR72" s="5">
        <v>0</v>
      </c>
      <c r="AS72" s="5"/>
      <c r="AT72" s="5">
        <v>844.9976822127237</v>
      </c>
      <c r="AU72" s="5">
        <v>0</v>
      </c>
      <c r="AV72" s="5"/>
      <c r="AW72" s="5">
        <v>80.919000000000011</v>
      </c>
      <c r="AX72" s="5">
        <v>0</v>
      </c>
      <c r="AY72" s="5"/>
      <c r="AZ72" s="40">
        <v>6448.3146185450778</v>
      </c>
      <c r="BA72" s="40">
        <v>0</v>
      </c>
      <c r="BB72" s="55">
        <v>-6448.3146185450778</v>
      </c>
      <c r="BD72" s="2">
        <v>2</v>
      </c>
      <c r="BF72" s="325">
        <v>150000519</v>
      </c>
    </row>
    <row r="73" spans="1:58" ht="25.05" customHeight="1" x14ac:dyDescent="0.3">
      <c r="A73" s="325">
        <v>150000521</v>
      </c>
      <c r="B73" s="445" t="s">
        <v>253</v>
      </c>
      <c r="C73" s="27">
        <v>5</v>
      </c>
      <c r="D73" s="101" t="s">
        <v>455</v>
      </c>
      <c r="E73" s="279">
        <v>1861.1999999999998</v>
      </c>
      <c r="F73" s="441">
        <v>19603.733052719494</v>
      </c>
      <c r="G73" s="441">
        <v>2014</v>
      </c>
      <c r="H73" s="73">
        <v>-17589.733052719494</v>
      </c>
      <c r="I73" s="5">
        <v>0</v>
      </c>
      <c r="J73" s="5">
        <v>1863</v>
      </c>
      <c r="K73" s="446"/>
      <c r="L73" s="5">
        <v>0</v>
      </c>
      <c r="M73" s="5">
        <v>0</v>
      </c>
      <c r="N73" s="35"/>
      <c r="O73" s="5">
        <v>0</v>
      </c>
      <c r="P73" s="5">
        <v>0</v>
      </c>
      <c r="Q73" s="447"/>
      <c r="R73" s="5">
        <v>0</v>
      </c>
      <c r="S73" s="5">
        <v>0</v>
      </c>
      <c r="T73" s="448"/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151</v>
      </c>
      <c r="AE73" s="5">
        <v>1197.7208673902896</v>
      </c>
      <c r="AF73" s="5">
        <v>0</v>
      </c>
      <c r="AG73" s="454"/>
      <c r="AH73" s="5">
        <v>1879.5256069500886</v>
      </c>
      <c r="AI73" s="5">
        <v>0</v>
      </c>
      <c r="AJ73" s="5"/>
      <c r="AK73" s="5">
        <v>1033.0554241308637</v>
      </c>
      <c r="AL73" s="5">
        <v>0</v>
      </c>
      <c r="AM73" s="5"/>
      <c r="AN73" s="5">
        <v>0</v>
      </c>
      <c r="AO73" s="5">
        <v>0</v>
      </c>
      <c r="AP73" s="5"/>
      <c r="AQ73" s="5">
        <v>0</v>
      </c>
      <c r="AR73" s="5">
        <v>0</v>
      </c>
      <c r="AS73" s="5"/>
      <c r="AT73" s="5">
        <v>596.81722449802839</v>
      </c>
      <c r="AU73" s="5">
        <v>949</v>
      </c>
      <c r="AV73" s="5"/>
      <c r="AW73" s="5">
        <v>56.602800000000002</v>
      </c>
      <c r="AX73" s="5">
        <v>0</v>
      </c>
      <c r="AY73" s="5"/>
      <c r="AZ73" s="40">
        <v>4763.7219229692701</v>
      </c>
      <c r="BA73" s="40">
        <v>949</v>
      </c>
      <c r="BB73" s="55">
        <v>-3814.7219229692701</v>
      </c>
      <c r="BD73" s="2">
        <v>2</v>
      </c>
      <c r="BF73" s="325">
        <v>150000521</v>
      </c>
    </row>
    <row r="74" spans="1:58" ht="25.05" customHeight="1" x14ac:dyDescent="0.3">
      <c r="A74" s="325">
        <v>150000522</v>
      </c>
      <c r="B74" s="445" t="s">
        <v>57</v>
      </c>
      <c r="C74" s="27">
        <v>1</v>
      </c>
      <c r="D74" s="101" t="s">
        <v>455</v>
      </c>
      <c r="E74" s="279">
        <v>269.89999999999998</v>
      </c>
      <c r="F74" s="441">
        <v>3273.7974829696091</v>
      </c>
      <c r="G74" s="441">
        <v>0</v>
      </c>
      <c r="H74" s="73">
        <v>-3273.7974829696091</v>
      </c>
      <c r="I74" s="5">
        <v>0</v>
      </c>
      <c r="J74" s="5">
        <v>0</v>
      </c>
      <c r="K74" s="446"/>
      <c r="L74" s="5">
        <v>0</v>
      </c>
      <c r="M74" s="5">
        <v>0</v>
      </c>
      <c r="N74" s="35"/>
      <c r="O74" s="5">
        <v>0</v>
      </c>
      <c r="P74" s="5">
        <v>0</v>
      </c>
      <c r="Q74" s="447"/>
      <c r="R74" s="5">
        <v>0</v>
      </c>
      <c r="S74" s="5">
        <v>0</v>
      </c>
      <c r="T74" s="448"/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/>
      <c r="AH74" s="5">
        <v>0</v>
      </c>
      <c r="AI74" s="5">
        <v>0</v>
      </c>
      <c r="AJ74" s="5"/>
      <c r="AK74" s="5">
        <v>0</v>
      </c>
      <c r="AL74" s="5">
        <v>0</v>
      </c>
      <c r="AM74" s="5"/>
      <c r="AN74" s="5">
        <v>0</v>
      </c>
      <c r="AO74" s="5">
        <v>0</v>
      </c>
      <c r="AP74" s="5"/>
      <c r="AQ74" s="5">
        <v>0</v>
      </c>
      <c r="AR74" s="5">
        <v>0</v>
      </c>
      <c r="AS74" s="5"/>
      <c r="AT74" s="5">
        <v>0</v>
      </c>
      <c r="AU74" s="5">
        <v>0</v>
      </c>
      <c r="AV74" s="5"/>
      <c r="AW74" s="5">
        <v>10.102825676225185</v>
      </c>
      <c r="AX74" s="5">
        <v>0</v>
      </c>
      <c r="AY74" s="5"/>
      <c r="AZ74" s="40">
        <v>10.102825676225185</v>
      </c>
      <c r="BA74" s="40">
        <v>0</v>
      </c>
      <c r="BB74" s="55">
        <v>-10.102825676225185</v>
      </c>
      <c r="BD74" s="2">
        <v>1</v>
      </c>
      <c r="BF74" s="325">
        <v>150000522</v>
      </c>
    </row>
    <row r="75" spans="1:58" ht="25.05" customHeight="1" x14ac:dyDescent="0.3">
      <c r="A75" s="325">
        <v>150000523</v>
      </c>
      <c r="B75" s="445" t="s">
        <v>58</v>
      </c>
      <c r="C75" s="27">
        <v>1</v>
      </c>
      <c r="D75" s="101" t="s">
        <v>455</v>
      </c>
      <c r="E75" s="279">
        <v>300.7</v>
      </c>
      <c r="F75" s="441">
        <v>3485.3311388554457</v>
      </c>
      <c r="G75" s="441">
        <v>3265</v>
      </c>
      <c r="H75" s="73">
        <v>-220.33113885544572</v>
      </c>
      <c r="I75" s="5">
        <v>0</v>
      </c>
      <c r="J75" s="5">
        <v>3265</v>
      </c>
      <c r="K75" s="446"/>
      <c r="L75" s="5">
        <v>0</v>
      </c>
      <c r="M75" s="5">
        <v>0</v>
      </c>
      <c r="N75" s="35"/>
      <c r="O75" s="5">
        <v>0</v>
      </c>
      <c r="P75" s="5">
        <v>0</v>
      </c>
      <c r="Q75" s="447"/>
      <c r="R75" s="5">
        <v>0</v>
      </c>
      <c r="S75" s="5">
        <v>0</v>
      </c>
      <c r="T75" s="448"/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/>
      <c r="AH75" s="5">
        <v>0</v>
      </c>
      <c r="AI75" s="5">
        <v>0</v>
      </c>
      <c r="AJ75" s="5"/>
      <c r="AK75" s="5">
        <v>0</v>
      </c>
      <c r="AL75" s="5">
        <v>0</v>
      </c>
      <c r="AM75" s="5"/>
      <c r="AN75" s="5">
        <v>0</v>
      </c>
      <c r="AO75" s="5">
        <v>0</v>
      </c>
      <c r="AP75" s="5"/>
      <c r="AQ75" s="5">
        <v>0</v>
      </c>
      <c r="AR75" s="5">
        <v>0</v>
      </c>
      <c r="AS75" s="5"/>
      <c r="AT75" s="5">
        <v>0</v>
      </c>
      <c r="AU75" s="5">
        <v>0</v>
      </c>
      <c r="AV75" s="5"/>
      <c r="AW75" s="5">
        <v>12.954146563143498</v>
      </c>
      <c r="AX75" s="5">
        <v>0</v>
      </c>
      <c r="AY75" s="5"/>
      <c r="AZ75" s="40">
        <v>12.954146563143498</v>
      </c>
      <c r="BA75" s="40">
        <v>0</v>
      </c>
      <c r="BB75" s="55">
        <v>-12.954146563143498</v>
      </c>
      <c r="BD75" s="2">
        <v>1</v>
      </c>
      <c r="BF75" s="325">
        <v>150000523</v>
      </c>
    </row>
    <row r="76" spans="1:58" ht="25.05" customHeight="1" x14ac:dyDescent="0.3">
      <c r="A76" s="325">
        <v>150000524</v>
      </c>
      <c r="B76" s="445" t="s">
        <v>59</v>
      </c>
      <c r="C76" s="27">
        <v>1</v>
      </c>
      <c r="D76" s="101" t="s">
        <v>455</v>
      </c>
      <c r="E76" s="279">
        <v>214.7</v>
      </c>
      <c r="F76" s="441">
        <v>2002.1014081254598</v>
      </c>
      <c r="G76" s="441">
        <v>1901</v>
      </c>
      <c r="H76" s="73">
        <v>-101.10140812545978</v>
      </c>
      <c r="I76" s="5">
        <v>0</v>
      </c>
      <c r="J76" s="5">
        <v>0</v>
      </c>
      <c r="K76" s="446"/>
      <c r="L76" s="5">
        <v>0</v>
      </c>
      <c r="M76" s="5">
        <v>0</v>
      </c>
      <c r="N76" s="35"/>
      <c r="O76" s="5">
        <v>0</v>
      </c>
      <c r="P76" s="5">
        <v>0</v>
      </c>
      <c r="Q76" s="447"/>
      <c r="R76" s="5">
        <v>0</v>
      </c>
      <c r="S76" s="5">
        <v>0</v>
      </c>
      <c r="T76" s="448"/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1901</v>
      </c>
      <c r="AE76" s="5">
        <v>0</v>
      </c>
      <c r="AF76" s="5">
        <v>0</v>
      </c>
      <c r="AG76" s="5"/>
      <c r="AH76" s="5">
        <v>0</v>
      </c>
      <c r="AI76" s="5">
        <v>0</v>
      </c>
      <c r="AJ76" s="5"/>
      <c r="AK76" s="5">
        <v>0</v>
      </c>
      <c r="AL76" s="5">
        <v>0</v>
      </c>
      <c r="AM76" s="5"/>
      <c r="AN76" s="5">
        <v>0</v>
      </c>
      <c r="AO76" s="5">
        <v>0</v>
      </c>
      <c r="AP76" s="5"/>
      <c r="AQ76" s="5">
        <v>0</v>
      </c>
      <c r="AR76" s="5">
        <v>0</v>
      </c>
      <c r="AS76" s="5"/>
      <c r="AT76" s="5">
        <v>0</v>
      </c>
      <c r="AU76" s="5">
        <v>0</v>
      </c>
      <c r="AV76" s="5"/>
      <c r="AW76" s="5">
        <v>10.4126164702468</v>
      </c>
      <c r="AX76" s="5">
        <v>0</v>
      </c>
      <c r="AY76" s="5"/>
      <c r="AZ76" s="40">
        <v>10.4126164702468</v>
      </c>
      <c r="BA76" s="40">
        <v>0</v>
      </c>
      <c r="BB76" s="55">
        <v>-10.4126164702468</v>
      </c>
      <c r="BD76" s="2">
        <v>1</v>
      </c>
      <c r="BF76" s="325">
        <v>150000524</v>
      </c>
    </row>
    <row r="77" spans="1:58" ht="25.05" customHeight="1" x14ac:dyDescent="0.3">
      <c r="A77" s="325">
        <v>150000541</v>
      </c>
      <c r="B77" s="445" t="s">
        <v>60</v>
      </c>
      <c r="C77" s="27">
        <v>1</v>
      </c>
      <c r="D77" s="101" t="s">
        <v>455</v>
      </c>
      <c r="E77" s="279">
        <v>150.19999999999999</v>
      </c>
      <c r="F77" s="441">
        <v>2042.796034830692</v>
      </c>
      <c r="G77" s="441">
        <v>0</v>
      </c>
      <c r="H77" s="73">
        <v>-2042.796034830692</v>
      </c>
      <c r="I77" s="5">
        <v>0</v>
      </c>
      <c r="J77" s="5">
        <v>0</v>
      </c>
      <c r="K77" s="446"/>
      <c r="L77" s="5">
        <v>0</v>
      </c>
      <c r="M77" s="5">
        <v>0</v>
      </c>
      <c r="N77" s="35"/>
      <c r="O77" s="5">
        <v>0</v>
      </c>
      <c r="P77" s="5">
        <v>0</v>
      </c>
      <c r="Q77" s="447"/>
      <c r="R77" s="5">
        <v>0</v>
      </c>
      <c r="S77" s="5">
        <v>0</v>
      </c>
      <c r="T77" s="448"/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/>
      <c r="AH77" s="5">
        <v>0</v>
      </c>
      <c r="AI77" s="5">
        <v>0</v>
      </c>
      <c r="AJ77" s="5"/>
      <c r="AK77" s="5">
        <v>0</v>
      </c>
      <c r="AL77" s="5">
        <v>0</v>
      </c>
      <c r="AM77" s="5"/>
      <c r="AN77" s="5">
        <v>0</v>
      </c>
      <c r="AO77" s="5">
        <v>0</v>
      </c>
      <c r="AP77" s="5"/>
      <c r="AQ77" s="5">
        <v>0</v>
      </c>
      <c r="AR77" s="5">
        <v>0</v>
      </c>
      <c r="AS77" s="5"/>
      <c r="AT77" s="5">
        <v>0</v>
      </c>
      <c r="AU77" s="5">
        <v>0</v>
      </c>
      <c r="AV77" s="5"/>
      <c r="AW77" s="5">
        <v>5.3929419344528098</v>
      </c>
      <c r="AX77" s="5">
        <v>0</v>
      </c>
      <c r="AY77" s="5"/>
      <c r="AZ77" s="40">
        <v>5.3929419344528098</v>
      </c>
      <c r="BA77" s="40">
        <v>0</v>
      </c>
      <c r="BB77" s="55">
        <v>-5.3929419344528098</v>
      </c>
      <c r="BD77" s="2">
        <v>1</v>
      </c>
      <c r="BF77" s="325">
        <v>150000541</v>
      </c>
    </row>
    <row r="78" spans="1:58" ht="25.05" customHeight="1" x14ac:dyDescent="0.3">
      <c r="A78" s="325">
        <v>150000527</v>
      </c>
      <c r="B78" s="445" t="s">
        <v>61</v>
      </c>
      <c r="C78" s="27">
        <v>1</v>
      </c>
      <c r="D78" s="101" t="s">
        <v>455</v>
      </c>
      <c r="E78" s="279">
        <v>293.5</v>
      </c>
      <c r="F78" s="441">
        <v>3800.8661495030919</v>
      </c>
      <c r="G78" s="441">
        <v>809</v>
      </c>
      <c r="H78" s="73">
        <v>-2991.8661495030919</v>
      </c>
      <c r="I78" s="5">
        <v>0</v>
      </c>
      <c r="J78" s="5">
        <v>809</v>
      </c>
      <c r="K78" s="446"/>
      <c r="L78" s="5">
        <v>0</v>
      </c>
      <c r="M78" s="5">
        <v>0</v>
      </c>
      <c r="N78" s="35"/>
      <c r="O78" s="5">
        <v>0</v>
      </c>
      <c r="P78" s="5">
        <v>0</v>
      </c>
      <c r="Q78" s="447"/>
      <c r="R78" s="5">
        <v>0</v>
      </c>
      <c r="S78" s="5">
        <v>0</v>
      </c>
      <c r="T78" s="448"/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/>
      <c r="AH78" s="5">
        <v>0</v>
      </c>
      <c r="AI78" s="5">
        <v>0</v>
      </c>
      <c r="AJ78" s="5"/>
      <c r="AK78" s="5">
        <v>0</v>
      </c>
      <c r="AL78" s="5">
        <v>0</v>
      </c>
      <c r="AM78" s="5"/>
      <c r="AN78" s="5">
        <v>0</v>
      </c>
      <c r="AO78" s="5">
        <v>0</v>
      </c>
      <c r="AP78" s="5"/>
      <c r="AQ78" s="5">
        <v>0</v>
      </c>
      <c r="AR78" s="5">
        <v>0</v>
      </c>
      <c r="AS78" s="5"/>
      <c r="AT78" s="5">
        <v>0</v>
      </c>
      <c r="AU78" s="5">
        <v>0</v>
      </c>
      <c r="AV78" s="5"/>
      <c r="AW78" s="5">
        <v>10.102825676225185</v>
      </c>
      <c r="AX78" s="5">
        <v>0</v>
      </c>
      <c r="AY78" s="5"/>
      <c r="AZ78" s="40">
        <v>10.102825676225185</v>
      </c>
      <c r="BA78" s="40">
        <v>0</v>
      </c>
      <c r="BB78" s="55">
        <v>-10.102825676225185</v>
      </c>
      <c r="BD78" s="2">
        <v>1</v>
      </c>
      <c r="BF78" s="325">
        <v>150000527</v>
      </c>
    </row>
    <row r="79" spans="1:58" ht="25.05" customHeight="1" x14ac:dyDescent="0.3">
      <c r="A79" s="325">
        <v>150000542</v>
      </c>
      <c r="B79" s="445" t="s">
        <v>62</v>
      </c>
      <c r="C79" s="27">
        <v>1</v>
      </c>
      <c r="D79" s="101" t="s">
        <v>455</v>
      </c>
      <c r="E79" s="279">
        <v>164.7</v>
      </c>
      <c r="F79" s="441">
        <v>2435.6783818810777</v>
      </c>
      <c r="G79" s="441">
        <v>0</v>
      </c>
      <c r="H79" s="73">
        <v>-2435.6783818810777</v>
      </c>
      <c r="I79" s="5">
        <v>0</v>
      </c>
      <c r="J79" s="5">
        <v>0</v>
      </c>
      <c r="K79" s="446"/>
      <c r="L79" s="5">
        <v>0</v>
      </c>
      <c r="M79" s="5">
        <v>0</v>
      </c>
      <c r="N79" s="35"/>
      <c r="O79" s="5">
        <v>0</v>
      </c>
      <c r="P79" s="5">
        <v>0</v>
      </c>
      <c r="Q79" s="447"/>
      <c r="R79" s="5">
        <v>0</v>
      </c>
      <c r="S79" s="5">
        <v>0</v>
      </c>
      <c r="T79" s="448"/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/>
      <c r="AH79" s="5">
        <v>0</v>
      </c>
      <c r="AI79" s="5">
        <v>0</v>
      </c>
      <c r="AJ79" s="5"/>
      <c r="AK79" s="5">
        <v>0</v>
      </c>
      <c r="AL79" s="5">
        <v>0</v>
      </c>
      <c r="AM79" s="5"/>
      <c r="AN79" s="5">
        <v>0</v>
      </c>
      <c r="AO79" s="5">
        <v>0</v>
      </c>
      <c r="AP79" s="5"/>
      <c r="AQ79" s="5">
        <v>0</v>
      </c>
      <c r="AR79" s="5">
        <v>0</v>
      </c>
      <c r="AS79" s="5"/>
      <c r="AT79" s="5">
        <v>0</v>
      </c>
      <c r="AU79" s="5">
        <v>0</v>
      </c>
      <c r="AV79" s="5"/>
      <c r="AW79" s="5">
        <v>10.4126164702468</v>
      </c>
      <c r="AX79" s="5">
        <v>0</v>
      </c>
      <c r="AY79" s="5"/>
      <c r="AZ79" s="40">
        <v>10.4126164702468</v>
      </c>
      <c r="BA79" s="40">
        <v>0</v>
      </c>
      <c r="BB79" s="55">
        <v>-10.4126164702468</v>
      </c>
      <c r="BD79" s="2">
        <v>1</v>
      </c>
      <c r="BF79" s="325">
        <v>150000542</v>
      </c>
    </row>
    <row r="80" spans="1:58" ht="25.05" customHeight="1" x14ac:dyDescent="0.3">
      <c r="A80" s="325">
        <v>150000529</v>
      </c>
      <c r="B80" s="445" t="s">
        <v>348</v>
      </c>
      <c r="C80" s="27">
        <v>9</v>
      </c>
      <c r="D80" s="101" t="s">
        <v>455</v>
      </c>
      <c r="E80" s="279">
        <v>8443.0499999999993</v>
      </c>
      <c r="F80" s="441">
        <v>143325.59785317405</v>
      </c>
      <c r="G80" s="441">
        <v>338820.90157647699</v>
      </c>
      <c r="H80" s="73">
        <v>195495.30372330293</v>
      </c>
      <c r="I80" s="5">
        <v>0</v>
      </c>
      <c r="J80" s="5">
        <v>0</v>
      </c>
      <c r="K80" s="446"/>
      <c r="L80" s="5">
        <v>2</v>
      </c>
      <c r="M80" s="5">
        <v>135302</v>
      </c>
      <c r="N80" s="35"/>
      <c r="O80" s="5">
        <v>631.1</v>
      </c>
      <c r="P80" s="5">
        <v>139175</v>
      </c>
      <c r="Q80" s="447"/>
      <c r="R80" s="5">
        <v>7</v>
      </c>
      <c r="S80" s="5">
        <v>30779</v>
      </c>
      <c r="T80" s="456"/>
      <c r="U80" s="5">
        <v>0</v>
      </c>
      <c r="V80" s="5">
        <v>0</v>
      </c>
      <c r="W80" s="5">
        <v>4</v>
      </c>
      <c r="X80" s="5">
        <v>3195.1315764769433</v>
      </c>
      <c r="Y80" s="5">
        <v>9817.77</v>
      </c>
      <c r="Z80" s="5">
        <v>0</v>
      </c>
      <c r="AA80" s="5">
        <v>0</v>
      </c>
      <c r="AB80" s="5">
        <v>689</v>
      </c>
      <c r="AC80" s="5">
        <v>10347</v>
      </c>
      <c r="AD80" s="5">
        <v>9516</v>
      </c>
      <c r="AE80" s="5">
        <v>1779.5160742169971</v>
      </c>
      <c r="AF80" s="5">
        <v>2752.34</v>
      </c>
      <c r="AG80" s="454"/>
      <c r="AH80" s="5">
        <v>2037.342644060154</v>
      </c>
      <c r="AI80" s="5">
        <v>11428</v>
      </c>
      <c r="AJ80" s="5"/>
      <c r="AK80" s="5">
        <v>1994.6969228917205</v>
      </c>
      <c r="AL80" s="5">
        <v>0</v>
      </c>
      <c r="AM80" s="5"/>
      <c r="AN80" s="5">
        <v>3092.2922879735424</v>
      </c>
      <c r="AO80" s="5">
        <v>0</v>
      </c>
      <c r="AP80" s="5"/>
      <c r="AQ80" s="5">
        <v>2202.9973371612227</v>
      </c>
      <c r="AR80" s="5">
        <v>0</v>
      </c>
      <c r="AS80" s="5"/>
      <c r="AT80" s="5">
        <v>2859.1348781422416</v>
      </c>
      <c r="AU80" s="5">
        <v>575</v>
      </c>
      <c r="AV80" s="5"/>
      <c r="AW80" s="5">
        <v>1292.7104883735483</v>
      </c>
      <c r="AX80" s="5">
        <v>0</v>
      </c>
      <c r="AY80" s="5"/>
      <c r="AZ80" s="40">
        <v>15258.690632819429</v>
      </c>
      <c r="BA80" s="40">
        <v>14755.34</v>
      </c>
      <c r="BB80" s="55">
        <v>-503.35063281942894</v>
      </c>
      <c r="BD80" s="2">
        <v>1</v>
      </c>
      <c r="BF80" s="325">
        <v>150000529</v>
      </c>
    </row>
    <row r="81" spans="1:58" ht="25.05" customHeight="1" x14ac:dyDescent="0.3">
      <c r="A81" s="325">
        <v>150000530</v>
      </c>
      <c r="B81" s="445" t="s">
        <v>63</v>
      </c>
      <c r="C81" s="27">
        <v>1</v>
      </c>
      <c r="D81" s="101" t="s">
        <v>455</v>
      </c>
      <c r="E81" s="279">
        <v>174.9</v>
      </c>
      <c r="F81" s="441">
        <v>2891.76720455743</v>
      </c>
      <c r="G81" s="441">
        <v>809</v>
      </c>
      <c r="H81" s="73">
        <v>-2082.76720455743</v>
      </c>
      <c r="I81" s="5">
        <v>0</v>
      </c>
      <c r="J81" s="5">
        <v>809</v>
      </c>
      <c r="K81" s="446"/>
      <c r="L81" s="5">
        <v>0</v>
      </c>
      <c r="M81" s="5">
        <v>0</v>
      </c>
      <c r="N81" s="35"/>
      <c r="O81" s="5">
        <v>0</v>
      </c>
      <c r="P81" s="5">
        <v>0</v>
      </c>
      <c r="Q81" s="447"/>
      <c r="R81" s="5">
        <v>0</v>
      </c>
      <c r="S81" s="5">
        <v>0</v>
      </c>
      <c r="T81" s="448"/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/>
      <c r="AH81" s="5">
        <v>0</v>
      </c>
      <c r="AI81" s="5">
        <v>0</v>
      </c>
      <c r="AJ81" s="5"/>
      <c r="AK81" s="5">
        <v>0</v>
      </c>
      <c r="AL81" s="5">
        <v>0</v>
      </c>
      <c r="AM81" s="5"/>
      <c r="AN81" s="5">
        <v>0</v>
      </c>
      <c r="AO81" s="5">
        <v>0</v>
      </c>
      <c r="AP81" s="5"/>
      <c r="AQ81" s="5">
        <v>0</v>
      </c>
      <c r="AR81" s="5">
        <v>0</v>
      </c>
      <c r="AS81" s="5"/>
      <c r="AT81" s="5">
        <v>0</v>
      </c>
      <c r="AU81" s="5">
        <v>0</v>
      </c>
      <c r="AV81" s="5"/>
      <c r="AW81" s="5">
        <v>10.722316309630617</v>
      </c>
      <c r="AX81" s="5">
        <v>0</v>
      </c>
      <c r="AY81" s="5"/>
      <c r="AZ81" s="40">
        <v>10.722316309630617</v>
      </c>
      <c r="BA81" s="40">
        <v>0</v>
      </c>
      <c r="BB81" s="55">
        <v>-10.722316309630617</v>
      </c>
      <c r="BD81" s="2">
        <v>1</v>
      </c>
      <c r="BF81" s="325">
        <v>150000530</v>
      </c>
    </row>
    <row r="82" spans="1:58" ht="25.05" customHeight="1" x14ac:dyDescent="0.3">
      <c r="A82" s="325">
        <v>150000543</v>
      </c>
      <c r="B82" s="445" t="s">
        <v>64</v>
      </c>
      <c r="C82" s="27">
        <v>1</v>
      </c>
      <c r="D82" s="101" t="s">
        <v>455</v>
      </c>
      <c r="E82" s="279">
        <v>121.2</v>
      </c>
      <c r="F82" s="441">
        <v>1257.5945634728457</v>
      </c>
      <c r="G82" s="441">
        <v>0</v>
      </c>
      <c r="H82" s="73">
        <v>-1257.5945634728457</v>
      </c>
      <c r="I82" s="5">
        <v>0</v>
      </c>
      <c r="J82" s="5">
        <v>0</v>
      </c>
      <c r="K82" s="446"/>
      <c r="L82" s="5">
        <v>0</v>
      </c>
      <c r="M82" s="5">
        <v>0</v>
      </c>
      <c r="N82" s="35"/>
      <c r="O82" s="5">
        <v>0</v>
      </c>
      <c r="P82" s="5">
        <v>0</v>
      </c>
      <c r="Q82" s="447"/>
      <c r="R82" s="5">
        <v>0</v>
      </c>
      <c r="S82" s="5">
        <v>0</v>
      </c>
      <c r="T82" s="448"/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/>
      <c r="AH82" s="5">
        <v>0</v>
      </c>
      <c r="AI82" s="5">
        <v>0</v>
      </c>
      <c r="AJ82" s="5"/>
      <c r="AK82" s="5">
        <v>0</v>
      </c>
      <c r="AL82" s="5">
        <v>0</v>
      </c>
      <c r="AM82" s="5"/>
      <c r="AN82" s="5">
        <v>0</v>
      </c>
      <c r="AO82" s="5">
        <v>0</v>
      </c>
      <c r="AP82" s="5"/>
      <c r="AQ82" s="5">
        <v>0</v>
      </c>
      <c r="AR82" s="5">
        <v>0</v>
      </c>
      <c r="AS82" s="5"/>
      <c r="AT82" s="5">
        <v>0</v>
      </c>
      <c r="AU82" s="5">
        <v>0</v>
      </c>
      <c r="AV82" s="5"/>
      <c r="AW82" s="5">
        <v>6.0124325678582338</v>
      </c>
      <c r="AX82" s="5">
        <v>0</v>
      </c>
      <c r="AY82" s="5"/>
      <c r="AZ82" s="40">
        <v>6.0124325678582338</v>
      </c>
      <c r="BA82" s="40">
        <v>0</v>
      </c>
      <c r="BB82" s="55">
        <v>-6.0124325678582338</v>
      </c>
      <c r="BD82" s="2">
        <v>1</v>
      </c>
      <c r="BF82" s="325">
        <v>150000543</v>
      </c>
    </row>
    <row r="83" spans="1:58" ht="25.05" customHeight="1" x14ac:dyDescent="0.3">
      <c r="A83" s="325">
        <v>150000544</v>
      </c>
      <c r="B83" s="445" t="s">
        <v>65</v>
      </c>
      <c r="C83" s="27">
        <v>1</v>
      </c>
      <c r="D83" s="101" t="s">
        <v>455</v>
      </c>
      <c r="E83" s="279">
        <v>136.9</v>
      </c>
      <c r="F83" s="441">
        <v>1769.4158067549849</v>
      </c>
      <c r="G83" s="441">
        <v>0</v>
      </c>
      <c r="H83" s="73">
        <v>-1769.4158067549849</v>
      </c>
      <c r="I83" s="5">
        <v>0</v>
      </c>
      <c r="J83" s="5">
        <v>0</v>
      </c>
      <c r="K83" s="446"/>
      <c r="L83" s="5">
        <v>0</v>
      </c>
      <c r="M83" s="5">
        <v>0</v>
      </c>
      <c r="N83" s="35"/>
      <c r="O83" s="5">
        <v>0</v>
      </c>
      <c r="P83" s="5">
        <v>0</v>
      </c>
      <c r="Q83" s="447"/>
      <c r="R83" s="5">
        <v>0</v>
      </c>
      <c r="S83" s="5">
        <v>0</v>
      </c>
      <c r="T83" s="448"/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/>
      <c r="AH83" s="5">
        <v>0</v>
      </c>
      <c r="AI83" s="5">
        <v>0</v>
      </c>
      <c r="AJ83" s="5"/>
      <c r="AK83" s="5">
        <v>0</v>
      </c>
      <c r="AL83" s="5">
        <v>0</v>
      </c>
      <c r="AM83" s="5"/>
      <c r="AN83" s="5">
        <v>0</v>
      </c>
      <c r="AO83" s="5">
        <v>0</v>
      </c>
      <c r="AP83" s="5"/>
      <c r="AQ83" s="5">
        <v>0</v>
      </c>
      <c r="AR83" s="5">
        <v>0</v>
      </c>
      <c r="AS83" s="5"/>
      <c r="AT83" s="5">
        <v>0</v>
      </c>
      <c r="AU83" s="5">
        <v>0</v>
      </c>
      <c r="AV83" s="5"/>
      <c r="AW83" s="5">
        <v>6.6319232012636551</v>
      </c>
      <c r="AX83" s="5">
        <v>0</v>
      </c>
      <c r="AY83" s="5"/>
      <c r="AZ83" s="40">
        <v>6.6319232012636551</v>
      </c>
      <c r="BA83" s="40">
        <v>0</v>
      </c>
      <c r="BB83" s="55">
        <v>-6.6319232012636551</v>
      </c>
      <c r="BD83" s="2">
        <v>1</v>
      </c>
      <c r="BF83" s="325">
        <v>150000544</v>
      </c>
    </row>
    <row r="84" spans="1:58" ht="25.05" customHeight="1" x14ac:dyDescent="0.3">
      <c r="A84" s="325">
        <v>150000531</v>
      </c>
      <c r="B84" s="445" t="s">
        <v>349</v>
      </c>
      <c r="C84" s="27">
        <v>9</v>
      </c>
      <c r="D84" s="101" t="s">
        <v>455</v>
      </c>
      <c r="E84" s="279">
        <v>7614.5</v>
      </c>
      <c r="F84" s="441">
        <v>108399.97652240848</v>
      </c>
      <c r="G84" s="441">
        <v>187307.73491520868</v>
      </c>
      <c r="H84" s="73">
        <v>78907.758392800199</v>
      </c>
      <c r="I84" s="5">
        <v>8.5</v>
      </c>
      <c r="J84" s="5">
        <v>1579</v>
      </c>
      <c r="K84" s="453"/>
      <c r="L84" s="5">
        <v>1</v>
      </c>
      <c r="M84" s="5">
        <v>127340</v>
      </c>
      <c r="N84" s="35"/>
      <c r="O84" s="5">
        <v>0</v>
      </c>
      <c r="P84" s="5">
        <v>0</v>
      </c>
      <c r="Q84" s="459"/>
      <c r="R84" s="5">
        <v>4</v>
      </c>
      <c r="S84" s="5">
        <v>26496</v>
      </c>
      <c r="T84" s="456"/>
      <c r="U84" s="5">
        <v>0</v>
      </c>
      <c r="V84" s="5">
        <v>0</v>
      </c>
      <c r="W84" s="5">
        <v>4</v>
      </c>
      <c r="X84" s="5">
        <v>2857.2549152086735</v>
      </c>
      <c r="Y84" s="5">
        <v>22340</v>
      </c>
      <c r="Z84" s="5">
        <v>0</v>
      </c>
      <c r="AA84" s="5">
        <v>0</v>
      </c>
      <c r="AB84" s="5">
        <v>0</v>
      </c>
      <c r="AC84" s="5">
        <v>2685</v>
      </c>
      <c r="AD84" s="5">
        <v>4010.48</v>
      </c>
      <c r="AE84" s="5">
        <v>3041.6715479078994</v>
      </c>
      <c r="AF84" s="5">
        <v>2355</v>
      </c>
      <c r="AG84" s="5"/>
      <c r="AH84" s="5">
        <v>3648.2310682397247</v>
      </c>
      <c r="AI84" s="5">
        <v>7712</v>
      </c>
      <c r="AJ84" s="5"/>
      <c r="AK84" s="5">
        <v>3078.2959070304996</v>
      </c>
      <c r="AL84" s="5">
        <v>2794</v>
      </c>
      <c r="AM84" s="5"/>
      <c r="AN84" s="5">
        <v>3190.8648248768313</v>
      </c>
      <c r="AO84" s="5">
        <v>0</v>
      </c>
      <c r="AP84" s="5"/>
      <c r="AQ84" s="5">
        <v>4093.7770492159775</v>
      </c>
      <c r="AR84" s="5">
        <v>1799</v>
      </c>
      <c r="AS84" s="5"/>
      <c r="AT84" s="5">
        <v>2846.047977264981</v>
      </c>
      <c r="AU84" s="5">
        <v>1385</v>
      </c>
      <c r="AV84" s="5"/>
      <c r="AW84" s="5">
        <v>788.82379957440105</v>
      </c>
      <c r="AX84" s="5">
        <v>0</v>
      </c>
      <c r="AY84" s="5"/>
      <c r="AZ84" s="40">
        <v>20687.712174110315</v>
      </c>
      <c r="BA84" s="40">
        <v>16045</v>
      </c>
      <c r="BB84" s="55">
        <v>-4642.7121741103147</v>
      </c>
      <c r="BD84" s="2">
        <v>1</v>
      </c>
      <c r="BF84" s="325">
        <v>150000531</v>
      </c>
    </row>
    <row r="85" spans="1:58" ht="25.05" customHeight="1" x14ac:dyDescent="0.3">
      <c r="A85" s="325">
        <v>150000532</v>
      </c>
      <c r="B85" s="445" t="s">
        <v>254</v>
      </c>
      <c r="C85" s="27">
        <v>5</v>
      </c>
      <c r="D85" s="101" t="s">
        <v>455</v>
      </c>
      <c r="E85" s="279">
        <v>2489.87</v>
      </c>
      <c r="F85" s="441">
        <v>22872.988024314294</v>
      </c>
      <c r="G85" s="441">
        <v>29271.52</v>
      </c>
      <c r="H85" s="73">
        <v>6398.5319756857061</v>
      </c>
      <c r="I85" s="5">
        <v>61.599999999999994</v>
      </c>
      <c r="J85" s="5">
        <v>10313.74</v>
      </c>
      <c r="K85" s="446"/>
      <c r="L85" s="5">
        <v>0</v>
      </c>
      <c r="M85" s="5">
        <v>0</v>
      </c>
      <c r="N85" s="35"/>
      <c r="O85" s="5">
        <v>0</v>
      </c>
      <c r="P85" s="5">
        <v>0</v>
      </c>
      <c r="Q85" s="447"/>
      <c r="R85" s="5">
        <v>0</v>
      </c>
      <c r="S85" s="5">
        <v>0</v>
      </c>
      <c r="T85" s="448"/>
      <c r="U85" s="5">
        <v>0</v>
      </c>
      <c r="V85" s="5">
        <v>0</v>
      </c>
      <c r="W85" s="5">
        <v>0</v>
      </c>
      <c r="X85" s="5">
        <v>0</v>
      </c>
      <c r="Y85" s="5">
        <v>6382.78</v>
      </c>
      <c r="Z85" s="5">
        <v>0</v>
      </c>
      <c r="AA85" s="5">
        <v>0</v>
      </c>
      <c r="AB85" s="5">
        <v>0</v>
      </c>
      <c r="AC85" s="5">
        <v>238</v>
      </c>
      <c r="AD85" s="5">
        <v>12337</v>
      </c>
      <c r="AE85" s="5">
        <v>1900.8274378619019</v>
      </c>
      <c r="AF85" s="5">
        <v>60</v>
      </c>
      <c r="AG85" s="5"/>
      <c r="AH85" s="5">
        <v>2593.3346133926639</v>
      </c>
      <c r="AI85" s="5">
        <v>12758</v>
      </c>
      <c r="AJ85" s="5"/>
      <c r="AK85" s="5">
        <v>526.2800876461572</v>
      </c>
      <c r="AL85" s="5">
        <v>0</v>
      </c>
      <c r="AM85" s="5"/>
      <c r="AN85" s="5">
        <v>1209.8431575690411</v>
      </c>
      <c r="AO85" s="5">
        <v>0</v>
      </c>
      <c r="AP85" s="5"/>
      <c r="AQ85" s="5">
        <v>832.23664965675107</v>
      </c>
      <c r="AR85" s="5">
        <v>0</v>
      </c>
      <c r="AS85" s="5"/>
      <c r="AT85" s="5">
        <v>1052.18399021236</v>
      </c>
      <c r="AU85" s="5">
        <v>0</v>
      </c>
      <c r="AV85" s="5"/>
      <c r="AW85" s="5">
        <v>679.20814648162968</v>
      </c>
      <c r="AX85" s="5">
        <v>0</v>
      </c>
      <c r="AY85" s="5"/>
      <c r="AZ85" s="40">
        <v>8793.9140828205054</v>
      </c>
      <c r="BA85" s="40">
        <v>12818</v>
      </c>
      <c r="BB85" s="55">
        <v>4024.0859171794946</v>
      </c>
      <c r="BD85" s="2">
        <v>1</v>
      </c>
      <c r="BF85" s="325">
        <v>150000532</v>
      </c>
    </row>
    <row r="86" spans="1:58" ht="25.05" customHeight="1" x14ac:dyDescent="0.3">
      <c r="A86" s="325">
        <v>150000533</v>
      </c>
      <c r="B86" s="445" t="s">
        <v>350</v>
      </c>
      <c r="C86" s="27">
        <v>9</v>
      </c>
      <c r="D86" s="101" t="s">
        <v>455</v>
      </c>
      <c r="E86" s="279">
        <v>11377.55</v>
      </c>
      <c r="F86" s="441">
        <v>166758.02111017756</v>
      </c>
      <c r="G86" s="441">
        <v>383796.78631457331</v>
      </c>
      <c r="H86" s="73">
        <v>217038.76520439575</v>
      </c>
      <c r="I86" s="5">
        <v>78.7</v>
      </c>
      <c r="J86" s="5">
        <v>15468</v>
      </c>
      <c r="K86" s="446"/>
      <c r="L86" s="5">
        <v>2</v>
      </c>
      <c r="M86" s="5">
        <v>255080</v>
      </c>
      <c r="N86" s="35"/>
      <c r="O86" s="5">
        <v>206</v>
      </c>
      <c r="P86" s="5">
        <v>45717.1</v>
      </c>
      <c r="Q86" s="447"/>
      <c r="R86" s="5">
        <v>6</v>
      </c>
      <c r="S86" s="5">
        <v>21471</v>
      </c>
      <c r="T86" s="456"/>
      <c r="U86" s="5">
        <v>0</v>
      </c>
      <c r="V86" s="5">
        <v>0</v>
      </c>
      <c r="W86" s="5">
        <v>4.5</v>
      </c>
      <c r="X86" s="5">
        <v>2723.3263145733549</v>
      </c>
      <c r="Y86" s="5">
        <v>406</v>
      </c>
      <c r="Z86" s="5">
        <v>0</v>
      </c>
      <c r="AA86" s="5">
        <v>0</v>
      </c>
      <c r="AB86" s="5">
        <v>4984.6099999999997</v>
      </c>
      <c r="AC86" s="5">
        <v>28788</v>
      </c>
      <c r="AD86" s="5">
        <v>9158.75</v>
      </c>
      <c r="AE86" s="5">
        <v>3870.622239021719</v>
      </c>
      <c r="AF86" s="5">
        <v>226</v>
      </c>
      <c r="AG86" s="8"/>
      <c r="AH86" s="5">
        <v>4548.9183955267363</v>
      </c>
      <c r="AI86" s="5">
        <v>0</v>
      </c>
      <c r="AJ86" s="5"/>
      <c r="AK86" s="5">
        <v>1654.3981722498954</v>
      </c>
      <c r="AL86" s="5">
        <v>0</v>
      </c>
      <c r="AM86" s="5"/>
      <c r="AN86" s="5">
        <v>4113.9934286823118</v>
      </c>
      <c r="AO86" s="5">
        <v>0</v>
      </c>
      <c r="AP86" s="5"/>
      <c r="AQ86" s="5">
        <v>5507.4594969716445</v>
      </c>
      <c r="AR86" s="5">
        <v>0</v>
      </c>
      <c r="AS86" s="5"/>
      <c r="AT86" s="5">
        <v>5106.1813363061374</v>
      </c>
      <c r="AU86" s="5">
        <v>0</v>
      </c>
      <c r="AV86" s="5"/>
      <c r="AW86" s="5">
        <v>1271.0057358906242</v>
      </c>
      <c r="AX86" s="5">
        <v>0</v>
      </c>
      <c r="AY86" s="5"/>
      <c r="AZ86" s="40">
        <v>26072.578804649067</v>
      </c>
      <c r="BA86" s="40">
        <v>226</v>
      </c>
      <c r="BB86" s="55">
        <v>-25846.578804649067</v>
      </c>
      <c r="BD86" s="2">
        <v>1</v>
      </c>
      <c r="BF86" s="325">
        <v>150000533</v>
      </c>
    </row>
    <row r="87" spans="1:58" ht="25.05" customHeight="1" x14ac:dyDescent="0.3">
      <c r="A87" s="325">
        <v>150000534</v>
      </c>
      <c r="B87" s="445" t="s">
        <v>255</v>
      </c>
      <c r="C87" s="27">
        <v>5</v>
      </c>
      <c r="D87" s="101" t="s">
        <v>455</v>
      </c>
      <c r="E87" s="279">
        <v>2481.4</v>
      </c>
      <c r="F87" s="441">
        <v>37783.318200917187</v>
      </c>
      <c r="G87" s="441">
        <v>3117.74</v>
      </c>
      <c r="H87" s="73">
        <v>-34665.578200917189</v>
      </c>
      <c r="I87" s="5">
        <v>0</v>
      </c>
      <c r="J87" s="5">
        <v>0</v>
      </c>
      <c r="K87" s="446"/>
      <c r="L87" s="5">
        <v>0</v>
      </c>
      <c r="M87" s="5">
        <v>0</v>
      </c>
      <c r="N87" s="449"/>
      <c r="O87" s="5">
        <v>0</v>
      </c>
      <c r="P87" s="5">
        <v>0</v>
      </c>
      <c r="Q87" s="447"/>
      <c r="R87" s="5">
        <v>0</v>
      </c>
      <c r="S87" s="5">
        <v>0</v>
      </c>
      <c r="T87" s="448"/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2473.7399999999998</v>
      </c>
      <c r="AC87" s="5">
        <v>0</v>
      </c>
      <c r="AD87" s="5">
        <v>644</v>
      </c>
      <c r="AE87" s="5">
        <v>1978.2671385360425</v>
      </c>
      <c r="AF87" s="5">
        <v>560</v>
      </c>
      <c r="AG87" s="5"/>
      <c r="AH87" s="5">
        <v>2593.3346133926639</v>
      </c>
      <c r="AI87" s="5">
        <v>1300</v>
      </c>
      <c r="AJ87" s="8"/>
      <c r="AK87" s="5">
        <v>1290.2202136940009</v>
      </c>
      <c r="AL87" s="5">
        <v>0</v>
      </c>
      <c r="AM87" s="5"/>
      <c r="AN87" s="5">
        <v>1239.9001519832998</v>
      </c>
      <c r="AO87" s="5">
        <v>0</v>
      </c>
      <c r="AP87" s="5"/>
      <c r="AQ87" s="5">
        <v>832.23664965675107</v>
      </c>
      <c r="AR87" s="5">
        <v>0</v>
      </c>
      <c r="AS87" s="5"/>
      <c r="AT87" s="5">
        <v>1052.18399021236</v>
      </c>
      <c r="AU87" s="5">
        <v>827</v>
      </c>
      <c r="AV87" s="5"/>
      <c r="AW87" s="5">
        <v>679.20814648162968</v>
      </c>
      <c r="AX87" s="5">
        <v>0</v>
      </c>
      <c r="AY87" s="5"/>
      <c r="AZ87" s="40">
        <v>9665.3509039567471</v>
      </c>
      <c r="BA87" s="40">
        <v>2687</v>
      </c>
      <c r="BB87" s="55">
        <v>-6978.3509039567471</v>
      </c>
      <c r="BD87" s="2">
        <v>1</v>
      </c>
      <c r="BF87" s="325">
        <v>150000534</v>
      </c>
    </row>
    <row r="88" spans="1:58" ht="25.05" customHeight="1" x14ac:dyDescent="0.3">
      <c r="A88" s="325">
        <v>150000535</v>
      </c>
      <c r="B88" s="445" t="s">
        <v>351</v>
      </c>
      <c r="C88" s="27">
        <v>9</v>
      </c>
      <c r="D88" s="101" t="s">
        <v>455</v>
      </c>
      <c r="E88" s="279">
        <v>11456.45</v>
      </c>
      <c r="F88" s="441">
        <v>162611.77331487118</v>
      </c>
      <c r="G88" s="441">
        <v>117455.34999999999</v>
      </c>
      <c r="H88" s="73">
        <v>-45156.423314871194</v>
      </c>
      <c r="I88" s="5">
        <v>0</v>
      </c>
      <c r="J88" s="5">
        <v>0</v>
      </c>
      <c r="K88" s="453"/>
      <c r="L88" s="5">
        <v>0</v>
      </c>
      <c r="M88" s="5">
        <v>1070.29</v>
      </c>
      <c r="N88" s="35"/>
      <c r="O88" s="5">
        <v>165</v>
      </c>
      <c r="P88" s="5">
        <v>40909.61</v>
      </c>
      <c r="Q88" s="459"/>
      <c r="R88" s="5">
        <v>4</v>
      </c>
      <c r="S88" s="5">
        <v>12991</v>
      </c>
      <c r="T88" s="456"/>
      <c r="U88" s="5">
        <v>0</v>
      </c>
      <c r="V88" s="5">
        <v>0</v>
      </c>
      <c r="W88" s="5">
        <v>2</v>
      </c>
      <c r="X88" s="5">
        <v>578</v>
      </c>
      <c r="Y88" s="5">
        <v>20337</v>
      </c>
      <c r="Z88" s="5">
        <v>0</v>
      </c>
      <c r="AA88" s="5">
        <v>0</v>
      </c>
      <c r="AB88" s="5">
        <v>1089.28</v>
      </c>
      <c r="AC88" s="5">
        <v>18213.61</v>
      </c>
      <c r="AD88" s="5">
        <v>22266.559999999998</v>
      </c>
      <c r="AE88" s="5">
        <v>5042.136235808036</v>
      </c>
      <c r="AF88" s="5">
        <v>2004</v>
      </c>
      <c r="AG88" s="454"/>
      <c r="AH88" s="5">
        <v>6146.9559058356917</v>
      </c>
      <c r="AI88" s="5">
        <v>4890.3099999999995</v>
      </c>
      <c r="AJ88" s="8"/>
      <c r="AK88" s="5">
        <v>4363.4793651413611</v>
      </c>
      <c r="AL88" s="5">
        <v>0</v>
      </c>
      <c r="AM88" s="5"/>
      <c r="AN88" s="5">
        <v>4913.4139616832654</v>
      </c>
      <c r="AO88" s="5">
        <v>0</v>
      </c>
      <c r="AP88" s="5"/>
      <c r="AQ88" s="5">
        <v>6822.8676264470369</v>
      </c>
      <c r="AR88" s="5">
        <v>0</v>
      </c>
      <c r="AS88" s="5"/>
      <c r="AT88" s="5">
        <v>6695.0796873939435</v>
      </c>
      <c r="AU88" s="5">
        <v>142</v>
      </c>
      <c r="AV88" s="5"/>
      <c r="AW88" s="5">
        <v>1292.7104883735483</v>
      </c>
      <c r="AX88" s="5">
        <v>0</v>
      </c>
      <c r="AY88" s="5"/>
      <c r="AZ88" s="40">
        <v>35276.643270682878</v>
      </c>
      <c r="BA88" s="40">
        <v>7036.3099999999995</v>
      </c>
      <c r="BB88" s="55">
        <v>-28240.333270682881</v>
      </c>
      <c r="BD88" s="2">
        <v>1</v>
      </c>
      <c r="BF88" s="325">
        <v>150000535</v>
      </c>
    </row>
    <row r="89" spans="1:58" ht="25.05" customHeight="1" x14ac:dyDescent="0.3">
      <c r="A89" s="325">
        <v>150000645</v>
      </c>
      <c r="B89" s="445" t="s">
        <v>66</v>
      </c>
      <c r="C89" s="27">
        <v>1</v>
      </c>
      <c r="D89" s="101" t="s">
        <v>455</v>
      </c>
      <c r="E89" s="279">
        <v>216</v>
      </c>
      <c r="F89" s="441">
        <v>2983.9836058469295</v>
      </c>
      <c r="G89" s="441">
        <v>0</v>
      </c>
      <c r="H89" s="73">
        <v>-2983.9836058469295</v>
      </c>
      <c r="I89" s="5">
        <v>0</v>
      </c>
      <c r="J89" s="5">
        <v>0</v>
      </c>
      <c r="K89" s="446"/>
      <c r="L89" s="5">
        <v>0</v>
      </c>
      <c r="M89" s="5">
        <v>0</v>
      </c>
      <c r="N89" s="35"/>
      <c r="O89" s="5">
        <v>0</v>
      </c>
      <c r="P89" s="5">
        <v>0</v>
      </c>
      <c r="Q89" s="447"/>
      <c r="R89" s="5">
        <v>0</v>
      </c>
      <c r="S89" s="5">
        <v>0</v>
      </c>
      <c r="T89" s="448"/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/>
      <c r="AH89" s="5">
        <v>0</v>
      </c>
      <c r="AI89" s="5">
        <v>0</v>
      </c>
      <c r="AJ89" s="5"/>
      <c r="AK89" s="5">
        <v>0</v>
      </c>
      <c r="AL89" s="5">
        <v>0</v>
      </c>
      <c r="AM89" s="5"/>
      <c r="AN89" s="5">
        <v>0</v>
      </c>
      <c r="AO89" s="5">
        <v>0</v>
      </c>
      <c r="AP89" s="5"/>
      <c r="AQ89" s="5">
        <v>0</v>
      </c>
      <c r="AR89" s="5">
        <v>0</v>
      </c>
      <c r="AS89" s="5"/>
      <c r="AT89" s="5">
        <v>0</v>
      </c>
      <c r="AU89" s="5">
        <v>0</v>
      </c>
      <c r="AV89" s="5"/>
      <c r="AW89" s="5">
        <v>6.4320000000000004</v>
      </c>
      <c r="AX89" s="5">
        <v>0</v>
      </c>
      <c r="AY89" s="5"/>
      <c r="AZ89" s="40">
        <v>6.4320000000000004</v>
      </c>
      <c r="BA89" s="40">
        <v>0</v>
      </c>
      <c r="BB89" s="55">
        <v>-6.4320000000000004</v>
      </c>
      <c r="BD89" s="2">
        <v>3</v>
      </c>
      <c r="BF89" s="325">
        <v>150000645</v>
      </c>
    </row>
    <row r="90" spans="1:58" ht="25.05" customHeight="1" x14ac:dyDescent="0.3">
      <c r="A90" s="325">
        <v>150000643</v>
      </c>
      <c r="B90" s="445" t="s">
        <v>67</v>
      </c>
      <c r="C90" s="27">
        <v>1</v>
      </c>
      <c r="D90" s="101" t="s">
        <v>455</v>
      </c>
      <c r="E90" s="279">
        <v>216.8</v>
      </c>
      <c r="F90" s="441">
        <v>2522.3798284677996</v>
      </c>
      <c r="G90" s="441">
        <v>0</v>
      </c>
      <c r="H90" s="73">
        <v>-2522.3798284677996</v>
      </c>
      <c r="I90" s="5">
        <v>0</v>
      </c>
      <c r="J90" s="5">
        <v>0</v>
      </c>
      <c r="K90" s="446"/>
      <c r="L90" s="5">
        <v>0</v>
      </c>
      <c r="M90" s="5">
        <v>0</v>
      </c>
      <c r="N90" s="35"/>
      <c r="O90" s="5">
        <v>0</v>
      </c>
      <c r="P90" s="5">
        <v>0</v>
      </c>
      <c r="Q90" s="447"/>
      <c r="R90" s="5">
        <v>0</v>
      </c>
      <c r="S90" s="5">
        <v>0</v>
      </c>
      <c r="T90" s="448"/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/>
      <c r="AH90" s="5">
        <v>0</v>
      </c>
      <c r="AI90" s="5">
        <v>0</v>
      </c>
      <c r="AJ90" s="5"/>
      <c r="AK90" s="5">
        <v>0</v>
      </c>
      <c r="AL90" s="5">
        <v>0</v>
      </c>
      <c r="AM90" s="5"/>
      <c r="AN90" s="5">
        <v>0</v>
      </c>
      <c r="AO90" s="5">
        <v>0</v>
      </c>
      <c r="AP90" s="5"/>
      <c r="AQ90" s="5">
        <v>0</v>
      </c>
      <c r="AR90" s="5">
        <v>0</v>
      </c>
      <c r="AS90" s="5"/>
      <c r="AT90" s="5">
        <v>0</v>
      </c>
      <c r="AU90" s="5">
        <v>0</v>
      </c>
      <c r="AV90" s="5"/>
      <c r="AW90" s="5">
        <v>6.5040000000000004</v>
      </c>
      <c r="AX90" s="5">
        <v>0</v>
      </c>
      <c r="AY90" s="5"/>
      <c r="AZ90" s="40">
        <v>6.5040000000000004</v>
      </c>
      <c r="BA90" s="40">
        <v>0</v>
      </c>
      <c r="BB90" s="55">
        <v>-6.5040000000000004</v>
      </c>
      <c r="BD90" s="2">
        <v>3</v>
      </c>
      <c r="BF90" s="325">
        <v>150000643</v>
      </c>
    </row>
    <row r="91" spans="1:58" ht="25.05" customHeight="1" x14ac:dyDescent="0.3">
      <c r="A91" s="325">
        <v>150000644</v>
      </c>
      <c r="B91" s="445" t="s">
        <v>68</v>
      </c>
      <c r="C91" s="27">
        <v>1</v>
      </c>
      <c r="D91" s="101" t="s">
        <v>455</v>
      </c>
      <c r="E91" s="279">
        <v>214.7</v>
      </c>
      <c r="F91" s="441">
        <v>2540.5556958913467</v>
      </c>
      <c r="G91" s="441">
        <v>992</v>
      </c>
      <c r="H91" s="73">
        <v>-1548.5556958913467</v>
      </c>
      <c r="I91" s="5">
        <v>0</v>
      </c>
      <c r="J91" s="5">
        <v>0</v>
      </c>
      <c r="K91" s="446"/>
      <c r="L91" s="5">
        <v>0</v>
      </c>
      <c r="M91" s="5">
        <v>0</v>
      </c>
      <c r="N91" s="35"/>
      <c r="O91" s="5">
        <v>0</v>
      </c>
      <c r="P91" s="5">
        <v>0</v>
      </c>
      <c r="Q91" s="447"/>
      <c r="R91" s="5">
        <v>0</v>
      </c>
      <c r="S91" s="5">
        <v>0</v>
      </c>
      <c r="T91" s="448"/>
      <c r="U91" s="5">
        <v>0</v>
      </c>
      <c r="V91" s="5">
        <v>0</v>
      </c>
      <c r="W91" s="5">
        <v>0</v>
      </c>
      <c r="X91" s="5">
        <v>0</v>
      </c>
      <c r="Y91" s="5">
        <v>992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/>
      <c r="AH91" s="5">
        <v>0</v>
      </c>
      <c r="AI91" s="5">
        <v>0</v>
      </c>
      <c r="AJ91" s="5"/>
      <c r="AK91" s="5">
        <v>90.704997144707391</v>
      </c>
      <c r="AL91" s="5">
        <v>0</v>
      </c>
      <c r="AM91" s="5"/>
      <c r="AN91" s="5">
        <v>0</v>
      </c>
      <c r="AO91" s="5">
        <v>0</v>
      </c>
      <c r="AP91" s="5"/>
      <c r="AQ91" s="5">
        <v>0</v>
      </c>
      <c r="AR91" s="5">
        <v>0</v>
      </c>
      <c r="AS91" s="5"/>
      <c r="AT91" s="5">
        <v>0</v>
      </c>
      <c r="AU91" s="5">
        <v>0</v>
      </c>
      <c r="AV91" s="5"/>
      <c r="AW91" s="5">
        <v>6.4409999999999989</v>
      </c>
      <c r="AX91" s="5">
        <v>0</v>
      </c>
      <c r="AY91" s="5"/>
      <c r="AZ91" s="40">
        <v>97.145997144707394</v>
      </c>
      <c r="BA91" s="40">
        <v>0</v>
      </c>
      <c r="BB91" s="55">
        <v>-97.145997144707394</v>
      </c>
      <c r="BD91" s="2">
        <v>3</v>
      </c>
      <c r="BF91" s="325">
        <v>150000644</v>
      </c>
    </row>
    <row r="92" spans="1:58" ht="25.05" customHeight="1" x14ac:dyDescent="0.3">
      <c r="A92" s="325">
        <v>150000566</v>
      </c>
      <c r="B92" s="445" t="s">
        <v>69</v>
      </c>
      <c r="C92" s="27">
        <v>1</v>
      </c>
      <c r="D92" s="101" t="s">
        <v>455</v>
      </c>
      <c r="E92" s="279">
        <v>397.8</v>
      </c>
      <c r="F92" s="441">
        <v>5539.057361039153</v>
      </c>
      <c r="G92" s="441">
        <v>0</v>
      </c>
      <c r="H92" s="73">
        <v>-5539.057361039153</v>
      </c>
      <c r="I92" s="5">
        <v>0</v>
      </c>
      <c r="J92" s="5">
        <v>0</v>
      </c>
      <c r="K92" s="446"/>
      <c r="L92" s="5">
        <v>0</v>
      </c>
      <c r="M92" s="5">
        <v>0</v>
      </c>
      <c r="N92" s="35"/>
      <c r="O92" s="5">
        <v>0</v>
      </c>
      <c r="P92" s="5">
        <v>0</v>
      </c>
      <c r="Q92" s="447"/>
      <c r="R92" s="5">
        <v>0</v>
      </c>
      <c r="S92" s="5">
        <v>0</v>
      </c>
      <c r="T92" s="448"/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/>
      <c r="AH92" s="5">
        <v>0</v>
      </c>
      <c r="AI92" s="5">
        <v>0</v>
      </c>
      <c r="AJ92" s="5"/>
      <c r="AK92" s="5">
        <v>0</v>
      </c>
      <c r="AL92" s="5">
        <v>0</v>
      </c>
      <c r="AM92" s="5"/>
      <c r="AN92" s="5">
        <v>0</v>
      </c>
      <c r="AO92" s="5">
        <v>0</v>
      </c>
      <c r="AP92" s="5"/>
      <c r="AQ92" s="5">
        <v>0</v>
      </c>
      <c r="AR92" s="5">
        <v>0</v>
      </c>
      <c r="AS92" s="5"/>
      <c r="AT92" s="5">
        <v>0</v>
      </c>
      <c r="AU92" s="5">
        <v>0</v>
      </c>
      <c r="AV92" s="5"/>
      <c r="AW92" s="5">
        <v>10.4126164702468</v>
      </c>
      <c r="AX92" s="5">
        <v>0</v>
      </c>
      <c r="AY92" s="5"/>
      <c r="AZ92" s="40">
        <v>10.4126164702468</v>
      </c>
      <c r="BA92" s="40">
        <v>0</v>
      </c>
      <c r="BB92" s="55">
        <v>-10.4126164702468</v>
      </c>
      <c r="BD92" s="2">
        <v>1</v>
      </c>
      <c r="BF92" s="325">
        <v>150000566</v>
      </c>
    </row>
    <row r="93" spans="1:58" ht="25.05" customHeight="1" x14ac:dyDescent="0.3">
      <c r="A93" s="325">
        <v>150000571</v>
      </c>
      <c r="B93" s="445" t="s">
        <v>70</v>
      </c>
      <c r="C93" s="27">
        <v>1</v>
      </c>
      <c r="D93" s="101" t="s">
        <v>455</v>
      </c>
      <c r="E93" s="279">
        <v>238.6</v>
      </c>
      <c r="F93" s="441">
        <v>2971.0552117587881</v>
      </c>
      <c r="G93" s="441">
        <v>0</v>
      </c>
      <c r="H93" s="73">
        <v>-2971.0552117587881</v>
      </c>
      <c r="I93" s="5">
        <v>0</v>
      </c>
      <c r="J93" s="5">
        <v>0</v>
      </c>
      <c r="K93" s="446"/>
      <c r="L93" s="5">
        <v>0</v>
      </c>
      <c r="M93" s="5">
        <v>0</v>
      </c>
      <c r="N93" s="35"/>
      <c r="O93" s="5">
        <v>0</v>
      </c>
      <c r="P93" s="5">
        <v>0</v>
      </c>
      <c r="Q93" s="447"/>
      <c r="R93" s="5">
        <v>0</v>
      </c>
      <c r="S93" s="5">
        <v>0</v>
      </c>
      <c r="T93" s="448"/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/>
      <c r="AH93" s="5">
        <v>0</v>
      </c>
      <c r="AI93" s="5">
        <v>0</v>
      </c>
      <c r="AJ93" s="5"/>
      <c r="AK93" s="5">
        <v>0</v>
      </c>
      <c r="AL93" s="5">
        <v>0</v>
      </c>
      <c r="AM93" s="5"/>
      <c r="AN93" s="5">
        <v>0</v>
      </c>
      <c r="AO93" s="5">
        <v>0</v>
      </c>
      <c r="AP93" s="5"/>
      <c r="AQ93" s="5">
        <v>0</v>
      </c>
      <c r="AR93" s="5">
        <v>0</v>
      </c>
      <c r="AS93" s="5"/>
      <c r="AT93" s="5">
        <v>0</v>
      </c>
      <c r="AU93" s="5">
        <v>0</v>
      </c>
      <c r="AV93" s="5"/>
      <c r="AW93" s="5">
        <v>8.8638444094143338</v>
      </c>
      <c r="AX93" s="5">
        <v>0</v>
      </c>
      <c r="AY93" s="5"/>
      <c r="AZ93" s="40">
        <v>8.8638444094143338</v>
      </c>
      <c r="BA93" s="40">
        <v>0</v>
      </c>
      <c r="BB93" s="55">
        <v>-8.8638444094143338</v>
      </c>
      <c r="BD93" s="2">
        <v>1</v>
      </c>
      <c r="BF93" s="325">
        <v>150000571</v>
      </c>
    </row>
    <row r="94" spans="1:58" ht="25.05" customHeight="1" x14ac:dyDescent="0.3">
      <c r="A94" s="325">
        <v>150000567</v>
      </c>
      <c r="B94" s="445" t="s">
        <v>71</v>
      </c>
      <c r="C94" s="27">
        <v>1</v>
      </c>
      <c r="D94" s="101" t="s">
        <v>455</v>
      </c>
      <c r="E94" s="279">
        <v>134</v>
      </c>
      <c r="F94" s="441">
        <v>1120.145023428696</v>
      </c>
      <c r="G94" s="441">
        <v>0</v>
      </c>
      <c r="H94" s="73">
        <v>-1120.145023428696</v>
      </c>
      <c r="I94" s="5">
        <v>0</v>
      </c>
      <c r="J94" s="5">
        <v>0</v>
      </c>
      <c r="K94" s="446"/>
      <c r="L94" s="5">
        <v>0</v>
      </c>
      <c r="M94" s="5">
        <v>0</v>
      </c>
      <c r="N94" s="35"/>
      <c r="O94" s="5">
        <v>0</v>
      </c>
      <c r="P94" s="5">
        <v>0</v>
      </c>
      <c r="Q94" s="447"/>
      <c r="R94" s="5">
        <v>0</v>
      </c>
      <c r="S94" s="5">
        <v>0</v>
      </c>
      <c r="T94" s="448"/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/>
      <c r="AH94" s="5">
        <v>0</v>
      </c>
      <c r="AI94" s="5">
        <v>0</v>
      </c>
      <c r="AJ94" s="5"/>
      <c r="AK94" s="5">
        <v>0</v>
      </c>
      <c r="AL94" s="5">
        <v>0</v>
      </c>
      <c r="AM94" s="5"/>
      <c r="AN94" s="5">
        <v>0</v>
      </c>
      <c r="AO94" s="5">
        <v>0</v>
      </c>
      <c r="AP94" s="5"/>
      <c r="AQ94" s="5">
        <v>0</v>
      </c>
      <c r="AR94" s="5">
        <v>0</v>
      </c>
      <c r="AS94" s="5"/>
      <c r="AT94" s="5">
        <v>0</v>
      </c>
      <c r="AU94" s="5">
        <v>0</v>
      </c>
      <c r="AV94" s="5"/>
      <c r="AW94" s="5">
        <v>7.2515047893068729</v>
      </c>
      <c r="AX94" s="5">
        <v>0</v>
      </c>
      <c r="AY94" s="5"/>
      <c r="AZ94" s="40">
        <v>7.2515047893068729</v>
      </c>
      <c r="BA94" s="40">
        <v>0</v>
      </c>
      <c r="BB94" s="55">
        <v>-7.2515047893068729</v>
      </c>
      <c r="BD94" s="2">
        <v>1</v>
      </c>
      <c r="BF94" s="325">
        <v>150000567</v>
      </c>
    </row>
    <row r="95" spans="1:58" ht="25.05" customHeight="1" x14ac:dyDescent="0.3">
      <c r="A95" s="325">
        <v>150000561</v>
      </c>
      <c r="B95" s="445" t="s">
        <v>72</v>
      </c>
      <c r="C95" s="27">
        <v>1</v>
      </c>
      <c r="D95" s="101" t="s">
        <v>455</v>
      </c>
      <c r="E95" s="279">
        <v>128.1</v>
      </c>
      <c r="F95" s="441">
        <v>1222.990333717059</v>
      </c>
      <c r="G95" s="441">
        <v>0</v>
      </c>
      <c r="H95" s="73">
        <v>-1222.990333717059</v>
      </c>
      <c r="I95" s="5">
        <v>0</v>
      </c>
      <c r="J95" s="5">
        <v>0</v>
      </c>
      <c r="K95" s="446"/>
      <c r="L95" s="5">
        <v>0</v>
      </c>
      <c r="M95" s="5">
        <v>0</v>
      </c>
      <c r="N95" s="35"/>
      <c r="O95" s="5">
        <v>0</v>
      </c>
      <c r="P95" s="5">
        <v>0</v>
      </c>
      <c r="Q95" s="447"/>
      <c r="R95" s="5">
        <v>0</v>
      </c>
      <c r="S95" s="5">
        <v>0</v>
      </c>
      <c r="T95" s="448"/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/>
      <c r="AH95" s="5">
        <v>0</v>
      </c>
      <c r="AI95" s="5">
        <v>0</v>
      </c>
      <c r="AJ95" s="5"/>
      <c r="AK95" s="5">
        <v>0</v>
      </c>
      <c r="AL95" s="5">
        <v>0</v>
      </c>
      <c r="AM95" s="5"/>
      <c r="AN95" s="5">
        <v>0</v>
      </c>
      <c r="AO95" s="5">
        <v>0</v>
      </c>
      <c r="AP95" s="5"/>
      <c r="AQ95" s="5">
        <v>0</v>
      </c>
      <c r="AR95" s="5">
        <v>0</v>
      </c>
      <c r="AS95" s="5"/>
      <c r="AT95" s="5">
        <v>0</v>
      </c>
      <c r="AU95" s="5">
        <v>0</v>
      </c>
      <c r="AV95" s="5"/>
      <c r="AW95" s="5">
        <v>5.019583581156196</v>
      </c>
      <c r="AX95" s="5">
        <v>0</v>
      </c>
      <c r="AY95" s="5"/>
      <c r="AZ95" s="40">
        <v>5.019583581156196</v>
      </c>
      <c r="BA95" s="40">
        <v>0</v>
      </c>
      <c r="BB95" s="55">
        <v>-5.019583581156196</v>
      </c>
      <c r="BD95" s="2">
        <v>1</v>
      </c>
      <c r="BF95" s="325">
        <v>150000561</v>
      </c>
    </row>
    <row r="96" spans="1:58" ht="25.05" customHeight="1" x14ac:dyDescent="0.3">
      <c r="A96" s="325">
        <v>150000569</v>
      </c>
      <c r="B96" s="445" t="s">
        <v>73</v>
      </c>
      <c r="C96" s="27">
        <v>1</v>
      </c>
      <c r="D96" s="101" t="s">
        <v>455</v>
      </c>
      <c r="E96" s="279">
        <v>245.6</v>
      </c>
      <c r="F96" s="441">
        <v>3302.4547197721249</v>
      </c>
      <c r="G96" s="441">
        <v>13968.28</v>
      </c>
      <c r="H96" s="73">
        <v>10665.825280227877</v>
      </c>
      <c r="I96" s="5">
        <v>0</v>
      </c>
      <c r="J96" s="5">
        <v>0</v>
      </c>
      <c r="K96" s="446"/>
      <c r="L96" s="5">
        <v>0</v>
      </c>
      <c r="M96" s="5">
        <v>0</v>
      </c>
      <c r="N96" s="35"/>
      <c r="O96" s="5">
        <v>0</v>
      </c>
      <c r="P96" s="5">
        <v>0</v>
      </c>
      <c r="Q96" s="447"/>
      <c r="R96" s="5">
        <v>0</v>
      </c>
      <c r="S96" s="5">
        <v>0</v>
      </c>
      <c r="T96" s="448"/>
      <c r="U96" s="5">
        <v>0</v>
      </c>
      <c r="V96" s="5">
        <v>0</v>
      </c>
      <c r="W96" s="5">
        <v>34</v>
      </c>
      <c r="X96" s="5">
        <v>13968.28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/>
      <c r="AH96" s="5">
        <v>0</v>
      </c>
      <c r="AI96" s="5">
        <v>0</v>
      </c>
      <c r="AJ96" s="5"/>
      <c r="AK96" s="5">
        <v>0</v>
      </c>
      <c r="AL96" s="5">
        <v>0</v>
      </c>
      <c r="AM96" s="5"/>
      <c r="AN96" s="5">
        <v>0</v>
      </c>
      <c r="AO96" s="5">
        <v>0</v>
      </c>
      <c r="AP96" s="5"/>
      <c r="AQ96" s="5">
        <v>0</v>
      </c>
      <c r="AR96" s="5">
        <v>0</v>
      </c>
      <c r="AS96" s="5"/>
      <c r="AT96" s="5">
        <v>0</v>
      </c>
      <c r="AU96" s="5">
        <v>0</v>
      </c>
      <c r="AV96" s="5"/>
      <c r="AW96" s="5">
        <v>8.4904860561177244</v>
      </c>
      <c r="AX96" s="5">
        <v>0</v>
      </c>
      <c r="AY96" s="5"/>
      <c r="AZ96" s="40">
        <v>8.4904860561177244</v>
      </c>
      <c r="BA96" s="40">
        <v>0</v>
      </c>
      <c r="BB96" s="55">
        <v>-8.4904860561177244</v>
      </c>
      <c r="BD96" s="2">
        <v>1</v>
      </c>
      <c r="BF96" s="325">
        <v>150000569</v>
      </c>
    </row>
    <row r="97" spans="1:58" ht="25.05" customHeight="1" x14ac:dyDescent="0.3">
      <c r="A97" s="325">
        <v>150000562</v>
      </c>
      <c r="B97" s="445" t="s">
        <v>74</v>
      </c>
      <c r="C97" s="27">
        <v>1</v>
      </c>
      <c r="D97" s="101" t="s">
        <v>455</v>
      </c>
      <c r="E97" s="279">
        <v>325.08</v>
      </c>
      <c r="F97" s="441">
        <v>2651.2887836479717</v>
      </c>
      <c r="G97" s="441">
        <v>0</v>
      </c>
      <c r="H97" s="73">
        <v>-2651.2887836479717</v>
      </c>
      <c r="I97" s="5">
        <v>0</v>
      </c>
      <c r="J97" s="5">
        <v>0</v>
      </c>
      <c r="K97" s="446"/>
      <c r="L97" s="5">
        <v>0</v>
      </c>
      <c r="M97" s="5">
        <v>0</v>
      </c>
      <c r="N97" s="35"/>
      <c r="O97" s="5">
        <v>0</v>
      </c>
      <c r="P97" s="5">
        <v>0</v>
      </c>
      <c r="Q97" s="447"/>
      <c r="R97" s="5">
        <v>0</v>
      </c>
      <c r="S97" s="5">
        <v>0</v>
      </c>
      <c r="T97" s="448"/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/>
      <c r="AH97" s="5">
        <v>0</v>
      </c>
      <c r="AI97" s="5">
        <v>0</v>
      </c>
      <c r="AJ97" s="5"/>
      <c r="AK97" s="5">
        <v>0</v>
      </c>
      <c r="AL97" s="5">
        <v>0</v>
      </c>
      <c r="AM97" s="5"/>
      <c r="AN97" s="5">
        <v>0</v>
      </c>
      <c r="AO97" s="5">
        <v>0</v>
      </c>
      <c r="AP97" s="5"/>
      <c r="AQ97" s="5">
        <v>0</v>
      </c>
      <c r="AR97" s="5">
        <v>0</v>
      </c>
      <c r="AS97" s="5"/>
      <c r="AT97" s="5">
        <v>0</v>
      </c>
      <c r="AU97" s="5">
        <v>0</v>
      </c>
      <c r="AV97" s="5"/>
      <c r="AW97" s="5">
        <v>11.961388531079258</v>
      </c>
      <c r="AX97" s="5">
        <v>0</v>
      </c>
      <c r="AY97" s="5"/>
      <c r="AZ97" s="40">
        <v>11.961388531079258</v>
      </c>
      <c r="BA97" s="40">
        <v>0</v>
      </c>
      <c r="BB97" s="55">
        <v>-11.961388531079258</v>
      </c>
      <c r="BD97" s="2">
        <v>1</v>
      </c>
      <c r="BF97" s="325">
        <v>150000562</v>
      </c>
    </row>
    <row r="98" spans="1:58" ht="25.05" customHeight="1" x14ac:dyDescent="0.3">
      <c r="A98" s="325">
        <v>150000570</v>
      </c>
      <c r="B98" s="445" t="s">
        <v>75</v>
      </c>
      <c r="C98" s="27">
        <v>1</v>
      </c>
      <c r="D98" s="101" t="s">
        <v>455</v>
      </c>
      <c r="E98" s="279">
        <v>282.8</v>
      </c>
      <c r="F98" s="441">
        <v>2545.3216622269269</v>
      </c>
      <c r="G98" s="441">
        <v>0</v>
      </c>
      <c r="H98" s="73">
        <v>-2545.3216622269269</v>
      </c>
      <c r="I98" s="5">
        <v>0</v>
      </c>
      <c r="J98" s="5">
        <v>0</v>
      </c>
      <c r="K98" s="446"/>
      <c r="L98" s="5">
        <v>0</v>
      </c>
      <c r="M98" s="5">
        <v>0</v>
      </c>
      <c r="N98" s="35"/>
      <c r="O98" s="5">
        <v>0</v>
      </c>
      <c r="P98" s="5">
        <v>0</v>
      </c>
      <c r="Q98" s="447"/>
      <c r="R98" s="5">
        <v>0</v>
      </c>
      <c r="S98" s="5">
        <v>0</v>
      </c>
      <c r="T98" s="448"/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/>
      <c r="AH98" s="5">
        <v>0</v>
      </c>
      <c r="AI98" s="5">
        <v>0</v>
      </c>
      <c r="AJ98" s="5"/>
      <c r="AK98" s="5">
        <v>0</v>
      </c>
      <c r="AL98" s="5">
        <v>0</v>
      </c>
      <c r="AM98" s="5"/>
      <c r="AN98" s="5">
        <v>0</v>
      </c>
      <c r="AO98" s="5">
        <v>0</v>
      </c>
      <c r="AP98" s="5"/>
      <c r="AQ98" s="5">
        <v>0</v>
      </c>
      <c r="AR98" s="5">
        <v>0</v>
      </c>
      <c r="AS98" s="5"/>
      <c r="AT98" s="5">
        <v>0</v>
      </c>
      <c r="AU98" s="5">
        <v>0</v>
      </c>
      <c r="AV98" s="5"/>
      <c r="AW98" s="5">
        <v>10.102825676225185</v>
      </c>
      <c r="AX98" s="5">
        <v>0</v>
      </c>
      <c r="AY98" s="5"/>
      <c r="AZ98" s="40">
        <v>10.102825676225185</v>
      </c>
      <c r="BA98" s="40">
        <v>0</v>
      </c>
      <c r="BB98" s="55">
        <v>-10.102825676225185</v>
      </c>
      <c r="BD98" s="2">
        <v>1</v>
      </c>
      <c r="BF98" s="325">
        <v>150000570</v>
      </c>
    </row>
    <row r="99" spans="1:58" ht="25.05" customHeight="1" x14ac:dyDescent="0.3">
      <c r="A99" s="325">
        <v>150000572</v>
      </c>
      <c r="B99" s="445" t="s">
        <v>153</v>
      </c>
      <c r="C99" s="27">
        <v>2</v>
      </c>
      <c r="D99" s="101" t="s">
        <v>455</v>
      </c>
      <c r="E99" s="279">
        <v>171.6</v>
      </c>
      <c r="F99" s="441">
        <v>2796.8763804514069</v>
      </c>
      <c r="G99" s="441">
        <v>0</v>
      </c>
      <c r="H99" s="73">
        <v>-2796.8763804514069</v>
      </c>
      <c r="I99" s="5">
        <v>0</v>
      </c>
      <c r="J99" s="5">
        <v>0</v>
      </c>
      <c r="K99" s="446"/>
      <c r="L99" s="5">
        <v>0</v>
      </c>
      <c r="M99" s="5">
        <v>0</v>
      </c>
      <c r="N99" s="35"/>
      <c r="O99" s="5">
        <v>0</v>
      </c>
      <c r="P99" s="5">
        <v>0</v>
      </c>
      <c r="Q99" s="447"/>
      <c r="R99" s="5">
        <v>0</v>
      </c>
      <c r="S99" s="5">
        <v>0</v>
      </c>
      <c r="T99" s="448"/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274.02798070673418</v>
      </c>
      <c r="AF99" s="5">
        <v>0</v>
      </c>
      <c r="AG99" s="5"/>
      <c r="AH99" s="5">
        <v>326.71101428095028</v>
      </c>
      <c r="AI99" s="5">
        <v>0</v>
      </c>
      <c r="AJ99" s="5"/>
      <c r="AK99" s="5">
        <v>0</v>
      </c>
      <c r="AL99" s="5">
        <v>0</v>
      </c>
      <c r="AM99" s="5"/>
      <c r="AN99" s="5">
        <v>0</v>
      </c>
      <c r="AO99" s="5">
        <v>0</v>
      </c>
      <c r="AP99" s="5"/>
      <c r="AQ99" s="5">
        <v>0</v>
      </c>
      <c r="AR99" s="5">
        <v>0</v>
      </c>
      <c r="AS99" s="5"/>
      <c r="AT99" s="5">
        <v>0</v>
      </c>
      <c r="AU99" s="5">
        <v>0</v>
      </c>
      <c r="AV99" s="5"/>
      <c r="AW99" s="5">
        <v>54.925521711010575</v>
      </c>
      <c r="AX99" s="5">
        <v>0</v>
      </c>
      <c r="AY99" s="5"/>
      <c r="AZ99" s="40">
        <v>655.66451669869502</v>
      </c>
      <c r="BA99" s="40">
        <v>0</v>
      </c>
      <c r="BB99" s="55">
        <v>-655.66451669869502</v>
      </c>
      <c r="BD99" s="2">
        <v>1</v>
      </c>
      <c r="BF99" s="325">
        <v>150000572</v>
      </c>
    </row>
    <row r="100" spans="1:58" ht="25.05" customHeight="1" x14ac:dyDescent="0.3">
      <c r="A100" s="325">
        <v>150000573</v>
      </c>
      <c r="B100" s="445" t="s">
        <v>76</v>
      </c>
      <c r="C100" s="27">
        <v>1</v>
      </c>
      <c r="D100" s="101" t="s">
        <v>455</v>
      </c>
      <c r="E100" s="279">
        <v>151.6</v>
      </c>
      <c r="F100" s="441">
        <v>1409.2107798190468</v>
      </c>
      <c r="G100" s="441">
        <v>0</v>
      </c>
      <c r="H100" s="73">
        <v>-1409.2107798190468</v>
      </c>
      <c r="I100" s="5">
        <v>0</v>
      </c>
      <c r="J100" s="5">
        <v>0</v>
      </c>
      <c r="K100" s="446"/>
      <c r="L100" s="5">
        <v>0</v>
      </c>
      <c r="M100" s="5">
        <v>0</v>
      </c>
      <c r="N100" s="35"/>
      <c r="O100" s="5">
        <v>0</v>
      </c>
      <c r="P100" s="5">
        <v>0</v>
      </c>
      <c r="Q100" s="447"/>
      <c r="R100" s="5">
        <v>0</v>
      </c>
      <c r="S100" s="5">
        <v>0</v>
      </c>
      <c r="T100" s="448"/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/>
      <c r="AH100" s="5">
        <v>0</v>
      </c>
      <c r="AI100" s="5">
        <v>0</v>
      </c>
      <c r="AJ100" s="5"/>
      <c r="AK100" s="5">
        <v>0</v>
      </c>
      <c r="AL100" s="5">
        <v>0</v>
      </c>
      <c r="AM100" s="5"/>
      <c r="AN100" s="5">
        <v>0</v>
      </c>
      <c r="AO100" s="5">
        <v>0</v>
      </c>
      <c r="AP100" s="5"/>
      <c r="AQ100" s="5">
        <v>0</v>
      </c>
      <c r="AR100" s="5">
        <v>0</v>
      </c>
      <c r="AS100" s="5"/>
      <c r="AT100" s="5">
        <v>0</v>
      </c>
      <c r="AU100" s="5">
        <v>0</v>
      </c>
      <c r="AV100" s="5"/>
      <c r="AW100" s="5">
        <v>6.0124325678582338</v>
      </c>
      <c r="AX100" s="5">
        <v>0</v>
      </c>
      <c r="AY100" s="5"/>
      <c r="AZ100" s="40">
        <v>6.0124325678582338</v>
      </c>
      <c r="BA100" s="40">
        <v>0</v>
      </c>
      <c r="BB100" s="55">
        <v>-6.0124325678582338</v>
      </c>
      <c r="BD100" s="2">
        <v>1</v>
      </c>
      <c r="BF100" s="325">
        <v>150000573</v>
      </c>
    </row>
    <row r="101" spans="1:58" ht="25.05" customHeight="1" x14ac:dyDescent="0.3">
      <c r="A101" s="325">
        <v>150000658</v>
      </c>
      <c r="B101" s="445" t="s">
        <v>352</v>
      </c>
      <c r="C101" s="27">
        <v>9</v>
      </c>
      <c r="D101" s="101" t="s">
        <v>455</v>
      </c>
      <c r="E101" s="279">
        <v>5047.8</v>
      </c>
      <c r="F101" s="441">
        <v>83412.572606744507</v>
      </c>
      <c r="G101" s="441">
        <v>32711.813542251137</v>
      </c>
      <c r="H101" s="73">
        <v>-50700.759064493366</v>
      </c>
      <c r="I101" s="5">
        <v>0</v>
      </c>
      <c r="J101" s="5">
        <v>0</v>
      </c>
      <c r="K101" s="453"/>
      <c r="L101" s="5">
        <v>0</v>
      </c>
      <c r="M101" s="5">
        <v>0</v>
      </c>
      <c r="N101" s="35"/>
      <c r="O101" s="5">
        <v>0</v>
      </c>
      <c r="P101" s="5">
        <v>0</v>
      </c>
      <c r="Q101" s="455"/>
      <c r="R101" s="5">
        <v>2</v>
      </c>
      <c r="S101" s="5">
        <v>22387</v>
      </c>
      <c r="T101" s="448"/>
      <c r="U101" s="5">
        <v>0</v>
      </c>
      <c r="V101" s="5">
        <v>0</v>
      </c>
      <c r="W101" s="5">
        <v>0</v>
      </c>
      <c r="X101" s="5">
        <v>84.813542251138372</v>
      </c>
      <c r="Y101" s="5">
        <v>0</v>
      </c>
      <c r="Z101" s="5">
        <v>0</v>
      </c>
      <c r="AA101" s="5">
        <v>0</v>
      </c>
      <c r="AB101" s="5">
        <v>0</v>
      </c>
      <c r="AC101" s="5">
        <v>1749</v>
      </c>
      <c r="AD101" s="5">
        <v>8491</v>
      </c>
      <c r="AE101" s="5">
        <v>2447.4346814376545</v>
      </c>
      <c r="AF101" s="5">
        <v>322</v>
      </c>
      <c r="AG101" s="5"/>
      <c r="AH101" s="5">
        <v>2943.2358076822629</v>
      </c>
      <c r="AI101" s="5">
        <v>4693</v>
      </c>
      <c r="AJ101" s="5"/>
      <c r="AK101" s="5">
        <v>1536.5111379650914</v>
      </c>
      <c r="AL101" s="5">
        <v>1171</v>
      </c>
      <c r="AM101" s="5"/>
      <c r="AN101" s="5">
        <v>2163.0535851983927</v>
      </c>
      <c r="AO101" s="5">
        <v>0</v>
      </c>
      <c r="AP101" s="5"/>
      <c r="AQ101" s="5">
        <v>864.34862386812631</v>
      </c>
      <c r="AR101" s="5">
        <v>16</v>
      </c>
      <c r="AS101" s="5"/>
      <c r="AT101" s="5">
        <v>1684.4591259793071</v>
      </c>
      <c r="AU101" s="5">
        <v>1364</v>
      </c>
      <c r="AV101" s="5"/>
      <c r="AW101" s="5">
        <v>151.434</v>
      </c>
      <c r="AX101" s="5">
        <v>0</v>
      </c>
      <c r="AY101" s="5"/>
      <c r="AZ101" s="40">
        <v>11790.476962130835</v>
      </c>
      <c r="BA101" s="40">
        <v>7566</v>
      </c>
      <c r="BB101" s="55">
        <v>-4224.4769621308351</v>
      </c>
      <c r="BD101" s="2">
        <v>3</v>
      </c>
      <c r="BF101" s="325">
        <v>150000658</v>
      </c>
    </row>
    <row r="102" spans="1:58" ht="25.05" customHeight="1" x14ac:dyDescent="0.3">
      <c r="A102" s="325">
        <v>150000659</v>
      </c>
      <c r="B102" s="445" t="s">
        <v>414</v>
      </c>
      <c r="C102" s="27">
        <v>10</v>
      </c>
      <c r="D102" s="101" t="s">
        <v>455</v>
      </c>
      <c r="E102" s="279">
        <v>2605.5</v>
      </c>
      <c r="F102" s="441">
        <v>34838.107100112691</v>
      </c>
      <c r="G102" s="441">
        <v>14780</v>
      </c>
      <c r="H102" s="73">
        <v>-20058.107100112691</v>
      </c>
      <c r="I102" s="5">
        <v>371</v>
      </c>
      <c r="J102" s="5">
        <v>10422</v>
      </c>
      <c r="K102" s="446"/>
      <c r="L102" s="5">
        <v>0</v>
      </c>
      <c r="M102" s="5">
        <v>0</v>
      </c>
      <c r="N102" s="35"/>
      <c r="O102" s="5">
        <v>0</v>
      </c>
      <c r="P102" s="5">
        <v>0</v>
      </c>
      <c r="Q102" s="447"/>
      <c r="R102" s="5">
        <v>2</v>
      </c>
      <c r="S102" s="5">
        <v>2685</v>
      </c>
      <c r="T102" s="448"/>
      <c r="U102" s="5">
        <v>0</v>
      </c>
      <c r="V102" s="5">
        <v>0</v>
      </c>
      <c r="W102" s="5">
        <v>0</v>
      </c>
      <c r="X102" s="5">
        <v>0</v>
      </c>
      <c r="Y102" s="5">
        <v>1002</v>
      </c>
      <c r="Z102" s="5">
        <v>0</v>
      </c>
      <c r="AA102" s="5">
        <v>0</v>
      </c>
      <c r="AB102" s="5">
        <v>0</v>
      </c>
      <c r="AC102" s="5">
        <v>107</v>
      </c>
      <c r="AD102" s="5">
        <v>564</v>
      </c>
      <c r="AE102" s="5">
        <v>1400.1141608049118</v>
      </c>
      <c r="AF102" s="5">
        <v>0</v>
      </c>
      <c r="AG102" s="454"/>
      <c r="AH102" s="5">
        <v>1741.5025970387023</v>
      </c>
      <c r="AI102" s="5">
        <v>2863</v>
      </c>
      <c r="AJ102" s="5"/>
      <c r="AK102" s="5">
        <v>1368.0545269190568</v>
      </c>
      <c r="AL102" s="5">
        <v>5032</v>
      </c>
      <c r="AM102" s="5"/>
      <c r="AN102" s="5">
        <v>1215.3880328867665</v>
      </c>
      <c r="AO102" s="5">
        <v>0</v>
      </c>
      <c r="AP102" s="5"/>
      <c r="AQ102" s="5">
        <v>314.91287882727175</v>
      </c>
      <c r="AR102" s="5">
        <v>0</v>
      </c>
      <c r="AS102" s="454"/>
      <c r="AT102" s="5">
        <v>482.45832881448081</v>
      </c>
      <c r="AU102" s="5">
        <v>1226</v>
      </c>
      <c r="AV102" s="5"/>
      <c r="AW102" s="5">
        <v>78.182999999999993</v>
      </c>
      <c r="AX102" s="5">
        <v>0</v>
      </c>
      <c r="AY102" s="5"/>
      <c r="AZ102" s="40">
        <v>6600.6135252911899</v>
      </c>
      <c r="BA102" s="40">
        <v>9121</v>
      </c>
      <c r="BB102" s="55">
        <v>2520.3864747088101</v>
      </c>
      <c r="BD102" s="2">
        <v>3</v>
      </c>
      <c r="BF102" s="325">
        <v>150000659</v>
      </c>
    </row>
    <row r="103" spans="1:58" ht="25.05" customHeight="1" x14ac:dyDescent="0.3">
      <c r="A103" s="325">
        <v>150000660</v>
      </c>
      <c r="B103" s="445" t="s">
        <v>415</v>
      </c>
      <c r="C103" s="27">
        <v>10</v>
      </c>
      <c r="D103" s="101" t="s">
        <v>455</v>
      </c>
      <c r="E103" s="279">
        <v>4661.7</v>
      </c>
      <c r="F103" s="441">
        <v>63746.737360298081</v>
      </c>
      <c r="G103" s="441">
        <v>12996</v>
      </c>
      <c r="H103" s="73">
        <v>-50750.737360298081</v>
      </c>
      <c r="I103" s="5">
        <v>51.4</v>
      </c>
      <c r="J103" s="5">
        <v>10241</v>
      </c>
      <c r="K103" s="446"/>
      <c r="L103" s="5">
        <v>0</v>
      </c>
      <c r="M103" s="5">
        <v>0</v>
      </c>
      <c r="N103" s="35"/>
      <c r="O103" s="5">
        <v>0</v>
      </c>
      <c r="P103" s="5">
        <v>0</v>
      </c>
      <c r="Q103" s="447"/>
      <c r="R103" s="5">
        <v>1</v>
      </c>
      <c r="S103" s="5">
        <v>1037</v>
      </c>
      <c r="T103" s="448"/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1007</v>
      </c>
      <c r="AD103" s="5">
        <v>711</v>
      </c>
      <c r="AE103" s="5">
        <v>2390.2133832758223</v>
      </c>
      <c r="AF103" s="5">
        <v>1110</v>
      </c>
      <c r="AG103" s="5"/>
      <c r="AH103" s="5">
        <v>3413.6316520867231</v>
      </c>
      <c r="AI103" s="5">
        <v>1079</v>
      </c>
      <c r="AJ103" s="5"/>
      <c r="AK103" s="5">
        <v>2557.1411948780378</v>
      </c>
      <c r="AL103" s="5">
        <v>0</v>
      </c>
      <c r="AM103" s="5"/>
      <c r="AN103" s="5">
        <v>2218.5102973274265</v>
      </c>
      <c r="AO103" s="5">
        <v>1126</v>
      </c>
      <c r="AP103" s="5"/>
      <c r="AQ103" s="5">
        <v>986.74343512353164</v>
      </c>
      <c r="AR103" s="5">
        <v>0</v>
      </c>
      <c r="AS103" s="5"/>
      <c r="AT103" s="5">
        <v>1308.3707855596954</v>
      </c>
      <c r="AU103" s="5">
        <v>0</v>
      </c>
      <c r="AV103" s="5"/>
      <c r="AW103" s="5">
        <v>139.851</v>
      </c>
      <c r="AX103" s="5">
        <v>0</v>
      </c>
      <c r="AY103" s="5"/>
      <c r="AZ103" s="40">
        <v>13014.461748251235</v>
      </c>
      <c r="BA103" s="40">
        <v>3315</v>
      </c>
      <c r="BB103" s="55">
        <v>-9699.4617482512349</v>
      </c>
      <c r="BD103" s="2">
        <v>3</v>
      </c>
      <c r="BF103" s="325">
        <v>150000660</v>
      </c>
    </row>
    <row r="104" spans="1:58" ht="25.05" customHeight="1" x14ac:dyDescent="0.3">
      <c r="A104" s="325">
        <v>150000597</v>
      </c>
      <c r="B104" s="445" t="s">
        <v>353</v>
      </c>
      <c r="C104" s="27">
        <v>9</v>
      </c>
      <c r="D104" s="101" t="s">
        <v>455</v>
      </c>
      <c r="E104" s="279">
        <v>4715.25</v>
      </c>
      <c r="F104" s="441">
        <v>81287.157430571664</v>
      </c>
      <c r="G104" s="441">
        <v>11632.02</v>
      </c>
      <c r="H104" s="73">
        <v>-69655.13743057166</v>
      </c>
      <c r="I104" s="5">
        <v>0</v>
      </c>
      <c r="J104" s="5">
        <v>0</v>
      </c>
      <c r="K104" s="446"/>
      <c r="L104" s="5">
        <v>0</v>
      </c>
      <c r="M104" s="5">
        <v>0</v>
      </c>
      <c r="N104" s="35"/>
      <c r="O104" s="5">
        <v>0</v>
      </c>
      <c r="P104" s="5">
        <v>0</v>
      </c>
      <c r="Q104" s="447"/>
      <c r="R104" s="5">
        <v>3</v>
      </c>
      <c r="S104" s="5">
        <v>8732.02</v>
      </c>
      <c r="T104" s="448"/>
      <c r="U104" s="5">
        <v>0</v>
      </c>
      <c r="V104" s="5">
        <v>0</v>
      </c>
      <c r="W104" s="5">
        <v>0</v>
      </c>
      <c r="X104" s="5">
        <v>0</v>
      </c>
      <c r="Y104" s="5">
        <v>209</v>
      </c>
      <c r="Z104" s="5">
        <v>0</v>
      </c>
      <c r="AA104" s="5">
        <v>0</v>
      </c>
      <c r="AB104" s="5">
        <v>0</v>
      </c>
      <c r="AC104" s="5">
        <v>330</v>
      </c>
      <c r="AD104" s="5">
        <v>2361</v>
      </c>
      <c r="AE104" s="5">
        <v>1611.865207770478</v>
      </c>
      <c r="AF104" s="5">
        <v>1280</v>
      </c>
      <c r="AG104" s="5"/>
      <c r="AH104" s="5">
        <v>1861.7848771191225</v>
      </c>
      <c r="AI104" s="5">
        <v>6.5</v>
      </c>
      <c r="AJ104" s="8"/>
      <c r="AK104" s="5">
        <v>700.52223684049363</v>
      </c>
      <c r="AL104" s="5">
        <v>1044</v>
      </c>
      <c r="AM104" s="5"/>
      <c r="AN104" s="5">
        <v>1793.392012852903</v>
      </c>
      <c r="AO104" s="5">
        <v>0</v>
      </c>
      <c r="AP104" s="5"/>
      <c r="AQ104" s="5">
        <v>745.618400300438</v>
      </c>
      <c r="AR104" s="5">
        <v>0</v>
      </c>
      <c r="AS104" s="5"/>
      <c r="AT104" s="5">
        <v>1549.1441368650733</v>
      </c>
      <c r="AU104" s="5">
        <v>0</v>
      </c>
      <c r="AV104" s="5"/>
      <c r="AW104" s="5">
        <v>522.99695884431208</v>
      </c>
      <c r="AX104" s="5">
        <v>0</v>
      </c>
      <c r="AY104" s="5"/>
      <c r="AZ104" s="40">
        <v>8785.3238305928226</v>
      </c>
      <c r="BA104" s="40">
        <v>2330.5</v>
      </c>
      <c r="BB104" s="55">
        <v>-6454.8238305928226</v>
      </c>
      <c r="BD104" s="2">
        <v>1</v>
      </c>
      <c r="BF104" s="325">
        <v>150000597</v>
      </c>
    </row>
    <row r="105" spans="1:58" ht="25.05" customHeight="1" x14ac:dyDescent="0.3">
      <c r="A105" s="325">
        <v>150000598</v>
      </c>
      <c r="B105" s="445" t="s">
        <v>77</v>
      </c>
      <c r="C105" s="27">
        <v>1</v>
      </c>
      <c r="D105" s="101" t="s">
        <v>455</v>
      </c>
      <c r="E105" s="279">
        <v>258.5</v>
      </c>
      <c r="F105" s="441">
        <v>2451.2546840614232</v>
      </c>
      <c r="G105" s="441">
        <v>1214</v>
      </c>
      <c r="H105" s="73">
        <v>-1237.2546840614232</v>
      </c>
      <c r="I105" s="5">
        <v>0</v>
      </c>
      <c r="J105" s="5">
        <v>1214</v>
      </c>
      <c r="K105" s="446"/>
      <c r="L105" s="5">
        <v>0</v>
      </c>
      <c r="M105" s="5">
        <v>0</v>
      </c>
      <c r="N105" s="35"/>
      <c r="O105" s="5">
        <v>0</v>
      </c>
      <c r="P105" s="5">
        <v>0</v>
      </c>
      <c r="Q105" s="447"/>
      <c r="R105" s="5">
        <v>0</v>
      </c>
      <c r="S105" s="5">
        <v>0</v>
      </c>
      <c r="T105" s="448"/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18.827142691550073</v>
      </c>
      <c r="AF105" s="5">
        <v>0</v>
      </c>
      <c r="AG105" s="5"/>
      <c r="AH105" s="5">
        <v>0</v>
      </c>
      <c r="AI105" s="5">
        <v>0</v>
      </c>
      <c r="AJ105" s="5"/>
      <c r="AK105" s="5">
        <v>0</v>
      </c>
      <c r="AL105" s="5">
        <v>0</v>
      </c>
      <c r="AM105" s="5"/>
      <c r="AN105" s="5">
        <v>0</v>
      </c>
      <c r="AO105" s="5">
        <v>0</v>
      </c>
      <c r="AP105" s="5"/>
      <c r="AQ105" s="5">
        <v>0</v>
      </c>
      <c r="AR105" s="5">
        <v>0</v>
      </c>
      <c r="AS105" s="5"/>
      <c r="AT105" s="5">
        <v>0</v>
      </c>
      <c r="AU105" s="5">
        <v>0</v>
      </c>
      <c r="AV105" s="5"/>
      <c r="AW105" s="5">
        <v>11.961388531079258</v>
      </c>
      <c r="AX105" s="5">
        <v>0</v>
      </c>
      <c r="AY105" s="5"/>
      <c r="AZ105" s="40">
        <v>30.788531222629331</v>
      </c>
      <c r="BA105" s="40">
        <v>0</v>
      </c>
      <c r="BB105" s="55">
        <v>-30.788531222629331</v>
      </c>
      <c r="BD105" s="2">
        <v>1</v>
      </c>
      <c r="BF105" s="325">
        <v>150000598</v>
      </c>
    </row>
    <row r="106" spans="1:58" ht="25.05" customHeight="1" x14ac:dyDescent="0.3">
      <c r="A106" s="325">
        <v>150000592</v>
      </c>
      <c r="B106" s="445" t="s">
        <v>354</v>
      </c>
      <c r="C106" s="27">
        <v>9</v>
      </c>
      <c r="D106" s="101" t="s">
        <v>455</v>
      </c>
      <c r="E106" s="279">
        <v>9737.7999999999993</v>
      </c>
      <c r="F106" s="441">
        <v>152615.65505715759</v>
      </c>
      <c r="G106" s="441">
        <v>142446.62057362986</v>
      </c>
      <c r="H106" s="73">
        <v>-10169.034483527736</v>
      </c>
      <c r="I106" s="5">
        <v>86.7</v>
      </c>
      <c r="J106" s="5">
        <v>16324</v>
      </c>
      <c r="K106" s="453"/>
      <c r="L106" s="5">
        <v>0</v>
      </c>
      <c r="M106" s="5">
        <v>0</v>
      </c>
      <c r="N106" s="35"/>
      <c r="O106" s="5">
        <v>132</v>
      </c>
      <c r="P106" s="5">
        <v>29045</v>
      </c>
      <c r="Q106" s="447"/>
      <c r="R106" s="5">
        <v>4</v>
      </c>
      <c r="S106" s="5">
        <v>73572</v>
      </c>
      <c r="T106" s="448"/>
      <c r="U106" s="5">
        <v>0</v>
      </c>
      <c r="V106" s="5">
        <v>0</v>
      </c>
      <c r="W106" s="5">
        <v>12</v>
      </c>
      <c r="X106" s="5">
        <v>2902.9905736298488</v>
      </c>
      <c r="Y106" s="5">
        <v>3040</v>
      </c>
      <c r="Z106" s="5">
        <v>0</v>
      </c>
      <c r="AA106" s="5">
        <v>0</v>
      </c>
      <c r="AB106" s="5">
        <v>2740</v>
      </c>
      <c r="AC106" s="5">
        <v>2696</v>
      </c>
      <c r="AD106" s="5">
        <v>12126.630000000001</v>
      </c>
      <c r="AE106" s="5">
        <v>3315.9985513394654</v>
      </c>
      <c r="AF106" s="5">
        <v>1599.58</v>
      </c>
      <c r="AG106" s="5"/>
      <c r="AH106" s="5">
        <v>3929.521338390151</v>
      </c>
      <c r="AI106" s="5">
        <v>10850</v>
      </c>
      <c r="AJ106" s="5"/>
      <c r="AK106" s="5">
        <v>2607.6032494459987</v>
      </c>
      <c r="AL106" s="5">
        <v>323</v>
      </c>
      <c r="AM106" s="5"/>
      <c r="AN106" s="5">
        <v>3638.0625583336478</v>
      </c>
      <c r="AO106" s="5">
        <v>0</v>
      </c>
      <c r="AP106" s="5"/>
      <c r="AQ106" s="5">
        <v>4756.7307518330008</v>
      </c>
      <c r="AR106" s="5">
        <v>150</v>
      </c>
      <c r="AS106" s="5"/>
      <c r="AT106" s="5">
        <v>4052.5297682412033</v>
      </c>
      <c r="AU106" s="5">
        <v>511</v>
      </c>
      <c r="AV106" s="5"/>
      <c r="AW106" s="5">
        <v>1040.7671439739747</v>
      </c>
      <c r="AX106" s="5">
        <v>0</v>
      </c>
      <c r="AY106" s="5"/>
      <c r="AZ106" s="40">
        <v>23341.213361557442</v>
      </c>
      <c r="BA106" s="40">
        <v>13433.58</v>
      </c>
      <c r="BB106" s="55">
        <v>-9907.6333615574422</v>
      </c>
      <c r="BD106" s="2">
        <v>1</v>
      </c>
      <c r="BF106" s="325">
        <v>150000592</v>
      </c>
    </row>
    <row r="107" spans="1:58" ht="25.05" customHeight="1" x14ac:dyDescent="0.3">
      <c r="A107" s="325">
        <v>150000599</v>
      </c>
      <c r="B107" s="445" t="s">
        <v>78</v>
      </c>
      <c r="C107" s="27">
        <v>1</v>
      </c>
      <c r="D107" s="101" t="s">
        <v>455</v>
      </c>
      <c r="E107" s="279">
        <v>250.4</v>
      </c>
      <c r="F107" s="441">
        <v>2818.5489287532428</v>
      </c>
      <c r="G107" s="441">
        <v>2023</v>
      </c>
      <c r="H107" s="73">
        <v>-795.54892875324276</v>
      </c>
      <c r="I107" s="5">
        <v>0</v>
      </c>
      <c r="J107" s="5">
        <v>2023</v>
      </c>
      <c r="K107" s="446"/>
      <c r="L107" s="5">
        <v>0</v>
      </c>
      <c r="M107" s="5">
        <v>0</v>
      </c>
      <c r="N107" s="35"/>
      <c r="O107" s="5">
        <v>0</v>
      </c>
      <c r="P107" s="5">
        <v>0</v>
      </c>
      <c r="Q107" s="447"/>
      <c r="R107" s="5">
        <v>0</v>
      </c>
      <c r="S107" s="5">
        <v>0</v>
      </c>
      <c r="T107" s="448"/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/>
      <c r="AH107" s="5">
        <v>0</v>
      </c>
      <c r="AI107" s="5">
        <v>0</v>
      </c>
      <c r="AJ107" s="5"/>
      <c r="AK107" s="5">
        <v>0</v>
      </c>
      <c r="AL107" s="5">
        <v>0</v>
      </c>
      <c r="AM107" s="5"/>
      <c r="AN107" s="5">
        <v>0</v>
      </c>
      <c r="AO107" s="5">
        <v>0</v>
      </c>
      <c r="AP107" s="5"/>
      <c r="AQ107" s="5">
        <v>0</v>
      </c>
      <c r="AR107" s="5">
        <v>0</v>
      </c>
      <c r="AS107" s="5"/>
      <c r="AT107" s="5">
        <v>0</v>
      </c>
      <c r="AU107" s="5">
        <v>0</v>
      </c>
      <c r="AV107" s="5"/>
      <c r="AW107" s="5">
        <v>12.271088370463069</v>
      </c>
      <c r="AX107" s="5">
        <v>0</v>
      </c>
      <c r="AY107" s="5"/>
      <c r="AZ107" s="40">
        <v>12.271088370463069</v>
      </c>
      <c r="BA107" s="40">
        <v>0</v>
      </c>
      <c r="BB107" s="55">
        <v>-12.271088370463069</v>
      </c>
      <c r="BD107" s="2">
        <v>1</v>
      </c>
      <c r="BF107" s="325">
        <v>150000599</v>
      </c>
    </row>
    <row r="108" spans="1:58" ht="25.05" customHeight="1" x14ac:dyDescent="0.3">
      <c r="A108" s="325">
        <v>150000601</v>
      </c>
      <c r="B108" s="445" t="s">
        <v>79</v>
      </c>
      <c r="C108" s="27">
        <v>1</v>
      </c>
      <c r="D108" s="101" t="s">
        <v>455</v>
      </c>
      <c r="E108" s="279">
        <v>232.7</v>
      </c>
      <c r="F108" s="441">
        <v>1862.3351344298719</v>
      </c>
      <c r="G108" s="441">
        <v>0</v>
      </c>
      <c r="H108" s="73">
        <v>-1862.3351344298719</v>
      </c>
      <c r="I108" s="5">
        <v>0</v>
      </c>
      <c r="J108" s="5">
        <v>0</v>
      </c>
      <c r="K108" s="446"/>
      <c r="L108" s="5">
        <v>0</v>
      </c>
      <c r="M108" s="5">
        <v>0</v>
      </c>
      <c r="N108" s="35"/>
      <c r="O108" s="5">
        <v>0</v>
      </c>
      <c r="P108" s="5">
        <v>0</v>
      </c>
      <c r="Q108" s="447"/>
      <c r="R108" s="5">
        <v>0</v>
      </c>
      <c r="S108" s="5">
        <v>0</v>
      </c>
      <c r="T108" s="448"/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/>
      <c r="AH108" s="5">
        <v>0</v>
      </c>
      <c r="AI108" s="5">
        <v>0</v>
      </c>
      <c r="AJ108" s="5"/>
      <c r="AK108" s="5">
        <v>0</v>
      </c>
      <c r="AL108" s="5">
        <v>0</v>
      </c>
      <c r="AM108" s="5"/>
      <c r="AN108" s="5">
        <v>0</v>
      </c>
      <c r="AO108" s="5">
        <v>0</v>
      </c>
      <c r="AP108" s="5"/>
      <c r="AQ108" s="5">
        <v>0</v>
      </c>
      <c r="AR108" s="5">
        <v>0</v>
      </c>
      <c r="AS108" s="5"/>
      <c r="AT108" s="5">
        <v>0</v>
      </c>
      <c r="AU108" s="5">
        <v>0</v>
      </c>
      <c r="AV108" s="5"/>
      <c r="AW108" s="5">
        <v>7.2515047893068729</v>
      </c>
      <c r="AX108" s="5">
        <v>0</v>
      </c>
      <c r="AY108" s="5"/>
      <c r="AZ108" s="40">
        <v>7.2515047893068729</v>
      </c>
      <c r="BA108" s="40">
        <v>0</v>
      </c>
      <c r="BB108" s="55">
        <v>-7.2515047893068729</v>
      </c>
      <c r="BD108" s="2">
        <v>1</v>
      </c>
      <c r="BF108" s="325">
        <v>150000601</v>
      </c>
    </row>
    <row r="109" spans="1:58" ht="25.05" customHeight="1" x14ac:dyDescent="0.3">
      <c r="A109" s="325">
        <v>150000593</v>
      </c>
      <c r="B109" s="445" t="s">
        <v>256</v>
      </c>
      <c r="C109" s="27">
        <v>5</v>
      </c>
      <c r="D109" s="101" t="s">
        <v>455</v>
      </c>
      <c r="E109" s="279">
        <v>1899.07</v>
      </c>
      <c r="F109" s="441">
        <v>14684.871390839573</v>
      </c>
      <c r="G109" s="441">
        <v>86145.368663970847</v>
      </c>
      <c r="H109" s="73">
        <v>71460.497273131274</v>
      </c>
      <c r="I109" s="5">
        <v>11.4</v>
      </c>
      <c r="J109" s="5">
        <v>10276</v>
      </c>
      <c r="K109" s="446"/>
      <c r="L109" s="5">
        <v>0</v>
      </c>
      <c r="M109" s="5">
        <v>27765</v>
      </c>
      <c r="N109" s="449"/>
      <c r="O109" s="5">
        <v>0</v>
      </c>
      <c r="P109" s="5">
        <v>0</v>
      </c>
      <c r="Q109" s="447"/>
      <c r="R109" s="5">
        <v>0</v>
      </c>
      <c r="S109" s="5">
        <v>0</v>
      </c>
      <c r="T109" s="448"/>
      <c r="U109" s="5">
        <v>0</v>
      </c>
      <c r="V109" s="5">
        <v>0</v>
      </c>
      <c r="W109" s="5">
        <v>0</v>
      </c>
      <c r="X109" s="5">
        <v>165.36866397083884</v>
      </c>
      <c r="Y109" s="5">
        <v>0</v>
      </c>
      <c r="Z109" s="5">
        <v>0</v>
      </c>
      <c r="AA109" s="5">
        <v>0</v>
      </c>
      <c r="AB109" s="5">
        <v>0</v>
      </c>
      <c r="AC109" s="5">
        <v>47511</v>
      </c>
      <c r="AD109" s="5">
        <v>428</v>
      </c>
      <c r="AE109" s="5">
        <v>1444.9168883313228</v>
      </c>
      <c r="AF109" s="5">
        <v>2540</v>
      </c>
      <c r="AG109" s="5"/>
      <c r="AH109" s="5">
        <v>1886.6837576676633</v>
      </c>
      <c r="AI109" s="5">
        <v>0</v>
      </c>
      <c r="AJ109" s="5"/>
      <c r="AK109" s="5">
        <v>408.91422489452191</v>
      </c>
      <c r="AL109" s="5">
        <v>0</v>
      </c>
      <c r="AM109" s="5"/>
      <c r="AN109" s="5">
        <v>0</v>
      </c>
      <c r="AO109" s="5">
        <v>0</v>
      </c>
      <c r="AP109" s="5"/>
      <c r="AQ109" s="5">
        <v>0</v>
      </c>
      <c r="AR109" s="5">
        <v>0</v>
      </c>
      <c r="AS109" s="5"/>
      <c r="AT109" s="5">
        <v>602.77427562736091</v>
      </c>
      <c r="AU109" s="5">
        <v>0</v>
      </c>
      <c r="AV109" s="5"/>
      <c r="AW109" s="5">
        <v>438.11731665016134</v>
      </c>
      <c r="AX109" s="5">
        <v>0</v>
      </c>
      <c r="AY109" s="5"/>
      <c r="AZ109" s="40">
        <v>4781.4064631710298</v>
      </c>
      <c r="BA109" s="40">
        <v>2540</v>
      </c>
      <c r="BB109" s="55">
        <v>-2241.4064631710298</v>
      </c>
      <c r="BD109" s="2">
        <v>1</v>
      </c>
      <c r="BF109" s="325">
        <v>150000593</v>
      </c>
    </row>
    <row r="110" spans="1:58" ht="25.05" customHeight="1" x14ac:dyDescent="0.3">
      <c r="A110" s="325">
        <v>150000594</v>
      </c>
      <c r="B110" s="445" t="s">
        <v>355</v>
      </c>
      <c r="C110" s="27">
        <v>9</v>
      </c>
      <c r="D110" s="101" t="s">
        <v>455</v>
      </c>
      <c r="E110" s="279">
        <v>9277.65</v>
      </c>
      <c r="F110" s="441">
        <v>141812.90127387823</v>
      </c>
      <c r="G110" s="441">
        <v>80576.41</v>
      </c>
      <c r="H110" s="73">
        <v>-61236.49127387823</v>
      </c>
      <c r="I110" s="5">
        <v>33</v>
      </c>
      <c r="J110" s="5">
        <v>5776</v>
      </c>
      <c r="K110" s="446"/>
      <c r="L110" s="5">
        <v>0</v>
      </c>
      <c r="M110" s="5">
        <v>674.84</v>
      </c>
      <c r="N110" s="35"/>
      <c r="O110" s="5">
        <v>44</v>
      </c>
      <c r="P110" s="5">
        <v>10276</v>
      </c>
      <c r="Q110" s="459"/>
      <c r="R110" s="5">
        <v>5</v>
      </c>
      <c r="S110" s="5">
        <v>51581</v>
      </c>
      <c r="T110" s="456"/>
      <c r="U110" s="5">
        <v>0</v>
      </c>
      <c r="V110" s="5">
        <v>0</v>
      </c>
      <c r="W110" s="5">
        <v>0</v>
      </c>
      <c r="X110" s="5">
        <v>601</v>
      </c>
      <c r="Y110" s="5">
        <v>2173</v>
      </c>
      <c r="Z110" s="5">
        <v>0</v>
      </c>
      <c r="AA110" s="5">
        <v>0</v>
      </c>
      <c r="AB110" s="5">
        <v>821.08</v>
      </c>
      <c r="AC110" s="5">
        <v>1682</v>
      </c>
      <c r="AD110" s="5">
        <v>6991.49</v>
      </c>
      <c r="AE110" s="5">
        <v>3001.7418988746504</v>
      </c>
      <c r="AF110" s="5">
        <v>1669</v>
      </c>
      <c r="AG110" s="5"/>
      <c r="AH110" s="5">
        <v>3517.4279502808758</v>
      </c>
      <c r="AI110" s="5">
        <v>3523</v>
      </c>
      <c r="AJ110" s="5"/>
      <c r="AK110" s="5">
        <v>1962.3356260489104</v>
      </c>
      <c r="AL110" s="5">
        <v>0</v>
      </c>
      <c r="AM110" s="5"/>
      <c r="AN110" s="5">
        <v>3270.9215442905829</v>
      </c>
      <c r="AO110" s="5">
        <v>0</v>
      </c>
      <c r="AP110" s="5"/>
      <c r="AQ110" s="5">
        <v>4405.9508966745552</v>
      </c>
      <c r="AR110" s="5">
        <v>0</v>
      </c>
      <c r="AS110" s="5"/>
      <c r="AT110" s="5">
        <v>3650.8051938233671</v>
      </c>
      <c r="AU110" s="5">
        <v>698</v>
      </c>
      <c r="AV110" s="5"/>
      <c r="AW110" s="5">
        <v>1040.7671439739747</v>
      </c>
      <c r="AX110" s="5">
        <v>0</v>
      </c>
      <c r="AY110" s="5"/>
      <c r="AZ110" s="40">
        <v>20849.950253966916</v>
      </c>
      <c r="BA110" s="40">
        <v>5890</v>
      </c>
      <c r="BB110" s="55">
        <v>-14959.950253966916</v>
      </c>
      <c r="BD110" s="2">
        <v>1</v>
      </c>
      <c r="BF110" s="325">
        <v>150000594</v>
      </c>
    </row>
    <row r="111" spans="1:58" ht="25.05" customHeight="1" x14ac:dyDescent="0.3">
      <c r="A111" s="325">
        <v>150000834</v>
      </c>
      <c r="B111" s="445" t="s">
        <v>80</v>
      </c>
      <c r="C111" s="27">
        <v>1</v>
      </c>
      <c r="D111" s="101" t="s">
        <v>455</v>
      </c>
      <c r="E111" s="279">
        <v>198.8</v>
      </c>
      <c r="F111" s="441">
        <v>1997.3735086166448</v>
      </c>
      <c r="G111" s="441">
        <v>0</v>
      </c>
      <c r="H111" s="73">
        <v>-1997.3735086166448</v>
      </c>
      <c r="I111" s="5">
        <v>0</v>
      </c>
      <c r="J111" s="5">
        <v>0</v>
      </c>
      <c r="K111" s="446"/>
      <c r="L111" s="5">
        <v>0</v>
      </c>
      <c r="M111" s="5">
        <v>0</v>
      </c>
      <c r="N111" s="35"/>
      <c r="O111" s="5">
        <v>0</v>
      </c>
      <c r="P111" s="5">
        <v>0</v>
      </c>
      <c r="Q111" s="447"/>
      <c r="R111" s="5">
        <v>0</v>
      </c>
      <c r="S111" s="5">
        <v>0</v>
      </c>
      <c r="T111" s="448"/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/>
      <c r="AH111" s="5">
        <v>0</v>
      </c>
      <c r="AI111" s="5">
        <v>0</v>
      </c>
      <c r="AJ111" s="5"/>
      <c r="AK111" s="5">
        <v>0</v>
      </c>
      <c r="AL111" s="5">
        <v>0</v>
      </c>
      <c r="AM111" s="5"/>
      <c r="AN111" s="5">
        <v>0</v>
      </c>
      <c r="AO111" s="5">
        <v>0</v>
      </c>
      <c r="AP111" s="5"/>
      <c r="AQ111" s="5">
        <v>0</v>
      </c>
      <c r="AR111" s="5">
        <v>0</v>
      </c>
      <c r="AS111" s="5"/>
      <c r="AT111" s="5">
        <v>0</v>
      </c>
      <c r="AU111" s="5">
        <v>0</v>
      </c>
      <c r="AV111" s="5"/>
      <c r="AW111" s="5">
        <v>10.4126164702468</v>
      </c>
      <c r="AX111" s="5">
        <v>0</v>
      </c>
      <c r="AY111" s="5"/>
      <c r="AZ111" s="40">
        <v>10.4126164702468</v>
      </c>
      <c r="BA111" s="40">
        <v>0</v>
      </c>
      <c r="BB111" s="55">
        <v>-10.4126164702468</v>
      </c>
      <c r="BD111" s="2">
        <v>1</v>
      </c>
      <c r="BF111" s="325">
        <v>150000834</v>
      </c>
    </row>
    <row r="112" spans="1:58" ht="25.05" customHeight="1" x14ac:dyDescent="0.3">
      <c r="A112" s="325">
        <v>150000627</v>
      </c>
      <c r="B112" s="445" t="s">
        <v>356</v>
      </c>
      <c r="C112" s="27">
        <v>9</v>
      </c>
      <c r="D112" s="101" t="s">
        <v>455</v>
      </c>
      <c r="E112" s="279">
        <v>3777.3500000000004</v>
      </c>
      <c r="F112" s="441">
        <v>53308.198994305654</v>
      </c>
      <c r="G112" s="441">
        <v>16976</v>
      </c>
      <c r="H112" s="73">
        <v>-36332.198994305654</v>
      </c>
      <c r="I112" s="5">
        <v>0</v>
      </c>
      <c r="J112" s="5">
        <v>0</v>
      </c>
      <c r="K112" s="446"/>
      <c r="L112" s="5">
        <v>0</v>
      </c>
      <c r="M112" s="5">
        <v>11728</v>
      </c>
      <c r="N112" s="35"/>
      <c r="O112" s="5">
        <v>0</v>
      </c>
      <c r="P112" s="5">
        <v>0</v>
      </c>
      <c r="Q112" s="447"/>
      <c r="R112" s="5">
        <v>0</v>
      </c>
      <c r="S112" s="5">
        <v>0</v>
      </c>
      <c r="T112" s="451"/>
      <c r="U112" s="5">
        <v>0</v>
      </c>
      <c r="V112" s="5">
        <v>0</v>
      </c>
      <c r="W112" s="5">
        <v>0</v>
      </c>
      <c r="X112" s="5">
        <v>0</v>
      </c>
      <c r="Y112" s="5">
        <v>821</v>
      </c>
      <c r="Z112" s="5">
        <v>0</v>
      </c>
      <c r="AA112" s="5">
        <v>0</v>
      </c>
      <c r="AB112" s="5">
        <v>0</v>
      </c>
      <c r="AC112" s="5">
        <v>1889</v>
      </c>
      <c r="AD112" s="5">
        <v>2538</v>
      </c>
      <c r="AE112" s="5">
        <v>1597.244338215766</v>
      </c>
      <c r="AF112" s="5">
        <v>627</v>
      </c>
      <c r="AG112" s="5"/>
      <c r="AH112" s="5">
        <v>2092.775485512509</v>
      </c>
      <c r="AI112" s="5">
        <v>8830.5</v>
      </c>
      <c r="AJ112" s="454"/>
      <c r="AK112" s="5">
        <v>1356.4615881392456</v>
      </c>
      <c r="AL112" s="5">
        <v>0</v>
      </c>
      <c r="AM112" s="5"/>
      <c r="AN112" s="5">
        <v>1528.1907684576356</v>
      </c>
      <c r="AO112" s="5">
        <v>0</v>
      </c>
      <c r="AP112" s="5"/>
      <c r="AQ112" s="5">
        <v>923.71373565197098</v>
      </c>
      <c r="AR112" s="5">
        <v>0</v>
      </c>
      <c r="AS112" s="5"/>
      <c r="AT112" s="5">
        <v>1615.3619353307868</v>
      </c>
      <c r="AU112" s="5">
        <v>0</v>
      </c>
      <c r="AV112" s="5"/>
      <c r="AW112" s="5">
        <v>361.89141433360572</v>
      </c>
      <c r="AX112" s="5">
        <v>0</v>
      </c>
      <c r="AY112" s="5"/>
      <c r="AZ112" s="40">
        <v>9475.6392656415192</v>
      </c>
      <c r="BA112" s="40">
        <v>9457.5</v>
      </c>
      <c r="BB112" s="55">
        <v>-18.13926564151916</v>
      </c>
      <c r="BD112" s="2">
        <v>1</v>
      </c>
      <c r="BF112" s="325">
        <v>150000627</v>
      </c>
    </row>
    <row r="113" spans="1:58" ht="25.05" customHeight="1" x14ac:dyDescent="0.3">
      <c r="A113" s="325">
        <v>150000628</v>
      </c>
      <c r="B113" s="445" t="s">
        <v>357</v>
      </c>
      <c r="C113" s="27">
        <v>9</v>
      </c>
      <c r="D113" s="101" t="s">
        <v>455</v>
      </c>
      <c r="E113" s="279">
        <v>4652.96</v>
      </c>
      <c r="F113" s="441">
        <v>60580.839552683909</v>
      </c>
      <c r="G113" s="441">
        <v>21013.796474562601</v>
      </c>
      <c r="H113" s="73">
        <v>-39567.043078121307</v>
      </c>
      <c r="I113" s="5">
        <v>0</v>
      </c>
      <c r="J113" s="5">
        <v>0</v>
      </c>
      <c r="K113" s="446"/>
      <c r="L113" s="5">
        <v>0</v>
      </c>
      <c r="M113" s="5">
        <v>0</v>
      </c>
      <c r="N113" s="35"/>
      <c r="O113" s="5">
        <v>0</v>
      </c>
      <c r="P113" s="5">
        <v>0</v>
      </c>
      <c r="Q113" s="447"/>
      <c r="R113" s="5">
        <v>4</v>
      </c>
      <c r="S113" s="5">
        <v>14585</v>
      </c>
      <c r="T113" s="451"/>
      <c r="U113" s="5">
        <v>0</v>
      </c>
      <c r="V113" s="5">
        <v>0</v>
      </c>
      <c r="W113" s="5">
        <v>0</v>
      </c>
      <c r="X113" s="5">
        <v>46.576474562602129</v>
      </c>
      <c r="Y113" s="5">
        <v>170</v>
      </c>
      <c r="Z113" s="5">
        <v>0</v>
      </c>
      <c r="AA113" s="5">
        <v>0</v>
      </c>
      <c r="AB113" s="5">
        <v>0</v>
      </c>
      <c r="AC113" s="5">
        <v>1328</v>
      </c>
      <c r="AD113" s="5">
        <v>4884.22</v>
      </c>
      <c r="AE113" s="5">
        <v>2367.2854032470091</v>
      </c>
      <c r="AF113" s="5">
        <v>975.55</v>
      </c>
      <c r="AG113" s="5"/>
      <c r="AH113" s="5">
        <v>2616.1386272262234</v>
      </c>
      <c r="AI113" s="5">
        <v>2980</v>
      </c>
      <c r="AJ113" s="454"/>
      <c r="AK113" s="5">
        <v>1542.6907010745967</v>
      </c>
      <c r="AL113" s="5">
        <v>0</v>
      </c>
      <c r="AM113" s="5"/>
      <c r="AN113" s="5">
        <v>1861.9100639421215</v>
      </c>
      <c r="AO113" s="5">
        <v>0</v>
      </c>
      <c r="AP113" s="5"/>
      <c r="AQ113" s="5">
        <v>923.71373565197098</v>
      </c>
      <c r="AR113" s="5">
        <v>3374</v>
      </c>
      <c r="AS113" s="5"/>
      <c r="AT113" s="5">
        <v>1252.5780642237216</v>
      </c>
      <c r="AU113" s="5">
        <v>411</v>
      </c>
      <c r="AV113" s="5"/>
      <c r="AW113" s="5">
        <v>365.58722977853665</v>
      </c>
      <c r="AX113" s="5">
        <v>0</v>
      </c>
      <c r="AY113" s="5"/>
      <c r="AZ113" s="40">
        <v>10929.90382514418</v>
      </c>
      <c r="BA113" s="40">
        <v>7740.55</v>
      </c>
      <c r="BB113" s="55">
        <v>-3189.3538251441796</v>
      </c>
      <c r="BD113" s="2">
        <v>1</v>
      </c>
      <c r="BF113" s="325">
        <v>150000628</v>
      </c>
    </row>
    <row r="114" spans="1:58" ht="25.05" customHeight="1" x14ac:dyDescent="0.3">
      <c r="A114" s="325">
        <v>150000625</v>
      </c>
      <c r="B114" s="445" t="s">
        <v>416</v>
      </c>
      <c r="C114" s="27">
        <v>10</v>
      </c>
      <c r="D114" s="101" t="s">
        <v>455</v>
      </c>
      <c r="E114" s="279">
        <v>4850.6500000000005</v>
      </c>
      <c r="F114" s="441">
        <v>62543.457150637892</v>
      </c>
      <c r="G114" s="441">
        <v>57138.192852471475</v>
      </c>
      <c r="H114" s="73">
        <v>-5405.2642981664176</v>
      </c>
      <c r="I114" s="5">
        <v>0</v>
      </c>
      <c r="J114" s="5">
        <v>0</v>
      </c>
      <c r="K114" s="446"/>
      <c r="L114" s="5">
        <v>0</v>
      </c>
      <c r="M114" s="5">
        <v>4174</v>
      </c>
      <c r="N114" s="35"/>
      <c r="O114" s="5">
        <v>0</v>
      </c>
      <c r="P114" s="5">
        <v>0</v>
      </c>
      <c r="Q114" s="447"/>
      <c r="R114" s="5">
        <v>4</v>
      </c>
      <c r="S114" s="5">
        <v>36342</v>
      </c>
      <c r="T114" s="448"/>
      <c r="U114" s="5">
        <v>5604</v>
      </c>
      <c r="V114" s="5">
        <v>0</v>
      </c>
      <c r="W114" s="5">
        <v>23</v>
      </c>
      <c r="X114" s="5">
        <v>2945.8928524714775</v>
      </c>
      <c r="Y114" s="5">
        <v>1528</v>
      </c>
      <c r="Z114" s="5">
        <v>0</v>
      </c>
      <c r="AA114" s="5">
        <v>0</v>
      </c>
      <c r="AB114" s="5">
        <v>1111.22</v>
      </c>
      <c r="AC114" s="5">
        <v>4345.74</v>
      </c>
      <c r="AD114" s="5">
        <v>1087.3400000000001</v>
      </c>
      <c r="AE114" s="5">
        <v>2604.575451695629</v>
      </c>
      <c r="AF114" s="5">
        <v>0</v>
      </c>
      <c r="AG114" s="5"/>
      <c r="AH114" s="5">
        <v>2838.5371644439751</v>
      </c>
      <c r="AI114" s="5">
        <v>5027</v>
      </c>
      <c r="AJ114" s="460"/>
      <c r="AK114" s="5">
        <v>1606.9086076227807</v>
      </c>
      <c r="AL114" s="5">
        <v>0</v>
      </c>
      <c r="AM114" s="5"/>
      <c r="AN114" s="5">
        <v>1970.7439657682621</v>
      </c>
      <c r="AO114" s="5">
        <v>0</v>
      </c>
      <c r="AP114" s="5"/>
      <c r="AQ114" s="5">
        <v>986.74343512353164</v>
      </c>
      <c r="AR114" s="5">
        <v>0</v>
      </c>
      <c r="AS114" s="5"/>
      <c r="AT114" s="5">
        <v>1325.5761358292957</v>
      </c>
      <c r="AU114" s="5">
        <v>316</v>
      </c>
      <c r="AV114" s="8"/>
      <c r="AW114" s="5">
        <v>299.15320585630519</v>
      </c>
      <c r="AX114" s="5">
        <v>0</v>
      </c>
      <c r="AY114" s="5"/>
      <c r="AZ114" s="40">
        <v>11632.237966339779</v>
      </c>
      <c r="BA114" s="40">
        <v>5343</v>
      </c>
      <c r="BB114" s="55">
        <v>-6289.2379663397787</v>
      </c>
      <c r="BD114" s="2">
        <v>1</v>
      </c>
      <c r="BF114" s="325">
        <v>150000625</v>
      </c>
    </row>
    <row r="115" spans="1:58" ht="25.05" customHeight="1" x14ac:dyDescent="0.3">
      <c r="A115" s="325">
        <v>150000629</v>
      </c>
      <c r="B115" s="445" t="s">
        <v>358</v>
      </c>
      <c r="C115" s="27">
        <v>9</v>
      </c>
      <c r="D115" s="101" t="s">
        <v>455</v>
      </c>
      <c r="E115" s="279">
        <v>9553.74</v>
      </c>
      <c r="F115" s="441">
        <v>153929.60875794286</v>
      </c>
      <c r="G115" s="441">
        <v>97914.532852471471</v>
      </c>
      <c r="H115" s="73">
        <v>-56015.075905471385</v>
      </c>
      <c r="I115" s="5">
        <v>77.599999999999994</v>
      </c>
      <c r="J115" s="5">
        <v>14036</v>
      </c>
      <c r="K115" s="450"/>
      <c r="L115" s="5">
        <v>0</v>
      </c>
      <c r="M115" s="5">
        <v>199.24</v>
      </c>
      <c r="N115" s="449"/>
      <c r="O115" s="5">
        <v>190</v>
      </c>
      <c r="P115" s="5">
        <v>44354</v>
      </c>
      <c r="Q115" s="447"/>
      <c r="R115" s="5">
        <v>1</v>
      </c>
      <c r="S115" s="5">
        <v>3064</v>
      </c>
      <c r="T115" s="456"/>
      <c r="U115" s="5">
        <v>0</v>
      </c>
      <c r="V115" s="5">
        <v>0</v>
      </c>
      <c r="W115" s="5">
        <v>0</v>
      </c>
      <c r="X115" s="5">
        <v>76.562852471477427</v>
      </c>
      <c r="Y115" s="5">
        <v>13525.59</v>
      </c>
      <c r="Z115" s="5">
        <v>0</v>
      </c>
      <c r="AA115" s="5">
        <v>0</v>
      </c>
      <c r="AB115" s="5">
        <v>303.83</v>
      </c>
      <c r="AC115" s="5">
        <v>15579</v>
      </c>
      <c r="AD115" s="5">
        <v>6776.3099999999995</v>
      </c>
      <c r="AE115" s="5">
        <v>3762.3933804364201</v>
      </c>
      <c r="AF115" s="5">
        <v>732.14</v>
      </c>
      <c r="AG115" s="5"/>
      <c r="AH115" s="5">
        <v>4620.8846016113166</v>
      </c>
      <c r="AI115" s="5">
        <v>10675</v>
      </c>
      <c r="AJ115" s="5"/>
      <c r="AK115" s="5">
        <v>4384.0480670918514</v>
      </c>
      <c r="AL115" s="5">
        <v>1959</v>
      </c>
      <c r="AM115" s="5"/>
      <c r="AN115" s="5">
        <v>4265.3688178176271</v>
      </c>
      <c r="AO115" s="5">
        <v>0</v>
      </c>
      <c r="AP115" s="5"/>
      <c r="AQ115" s="5">
        <v>5458.2904621498892</v>
      </c>
      <c r="AR115" s="5">
        <v>0</v>
      </c>
      <c r="AS115" s="5"/>
      <c r="AT115" s="5">
        <v>3619.9845636883792</v>
      </c>
      <c r="AU115" s="5">
        <v>0</v>
      </c>
      <c r="AV115" s="8"/>
      <c r="AW115" s="5">
        <v>1035.4816579214221</v>
      </c>
      <c r="AX115" s="5">
        <v>0</v>
      </c>
      <c r="AY115" s="5"/>
      <c r="AZ115" s="40">
        <v>27146.451550716905</v>
      </c>
      <c r="BA115" s="40">
        <v>13366.14</v>
      </c>
      <c r="BB115" s="55">
        <v>-13780.311550716906</v>
      </c>
      <c r="BD115" s="2">
        <v>1</v>
      </c>
      <c r="BF115" s="325">
        <v>150000629</v>
      </c>
    </row>
    <row r="116" spans="1:58" ht="25.05" customHeight="1" x14ac:dyDescent="0.3">
      <c r="A116" s="325">
        <v>150000626</v>
      </c>
      <c r="B116" s="445" t="s">
        <v>359</v>
      </c>
      <c r="C116" s="27">
        <v>9</v>
      </c>
      <c r="D116" s="101" t="s">
        <v>455</v>
      </c>
      <c r="E116" s="279">
        <v>7507.43</v>
      </c>
      <c r="F116" s="441">
        <v>107013.31923099831</v>
      </c>
      <c r="G116" s="441">
        <v>102806.4265015883</v>
      </c>
      <c r="H116" s="73">
        <v>-4206.892729410014</v>
      </c>
      <c r="I116" s="5">
        <v>210.5</v>
      </c>
      <c r="J116" s="5">
        <v>36656.839999999997</v>
      </c>
      <c r="K116" s="446"/>
      <c r="L116" s="5">
        <v>0</v>
      </c>
      <c r="M116" s="5">
        <v>288.42</v>
      </c>
      <c r="N116" s="35"/>
      <c r="O116" s="5">
        <v>0</v>
      </c>
      <c r="P116" s="5">
        <v>0</v>
      </c>
      <c r="Q116" s="447"/>
      <c r="R116" s="5">
        <v>5</v>
      </c>
      <c r="S116" s="5">
        <v>44721</v>
      </c>
      <c r="T116" s="456"/>
      <c r="U116" s="5">
        <v>0</v>
      </c>
      <c r="V116" s="5">
        <v>0</v>
      </c>
      <c r="W116" s="5">
        <v>0</v>
      </c>
      <c r="X116" s="5">
        <v>955.87650158829672</v>
      </c>
      <c r="Y116" s="5">
        <v>6718</v>
      </c>
      <c r="Z116" s="5">
        <v>0</v>
      </c>
      <c r="AA116" s="5">
        <v>0</v>
      </c>
      <c r="AB116" s="5">
        <v>3575.28</v>
      </c>
      <c r="AC116" s="5">
        <v>2604.77</v>
      </c>
      <c r="AD116" s="5">
        <v>7286.24</v>
      </c>
      <c r="AE116" s="5">
        <v>3138.7930674855334</v>
      </c>
      <c r="AF116" s="5">
        <v>922</v>
      </c>
      <c r="AG116" s="5"/>
      <c r="AH116" s="5">
        <v>4323.0673114470792</v>
      </c>
      <c r="AI116" s="5">
        <v>16178</v>
      </c>
      <c r="AJ116" s="5"/>
      <c r="AK116" s="5">
        <v>2927.4421414991621</v>
      </c>
      <c r="AL116" s="5">
        <v>0</v>
      </c>
      <c r="AM116" s="5"/>
      <c r="AN116" s="5">
        <v>3058.6919075111209</v>
      </c>
      <c r="AO116" s="5">
        <v>665</v>
      </c>
      <c r="AP116" s="5"/>
      <c r="AQ116" s="5">
        <v>2729.199884918833</v>
      </c>
      <c r="AR116" s="5">
        <v>54</v>
      </c>
      <c r="AS116" s="5"/>
      <c r="AT116" s="5">
        <v>3919.5679150514416</v>
      </c>
      <c r="AU116" s="5">
        <v>0</v>
      </c>
      <c r="AV116" s="5"/>
      <c r="AW116" s="5">
        <v>705.45797308835722</v>
      </c>
      <c r="AX116" s="5">
        <v>0</v>
      </c>
      <c r="AY116" s="5"/>
      <c r="AZ116" s="40">
        <v>20802.220201001528</v>
      </c>
      <c r="BA116" s="40">
        <v>17819</v>
      </c>
      <c r="BB116" s="55">
        <v>-2983.220201001528</v>
      </c>
      <c r="BD116" s="2">
        <v>1</v>
      </c>
      <c r="BF116" s="325">
        <v>150000626</v>
      </c>
    </row>
    <row r="117" spans="1:58" ht="25.05" customHeight="1" x14ac:dyDescent="0.3">
      <c r="A117" s="325">
        <v>150000603</v>
      </c>
      <c r="B117" s="445" t="s">
        <v>154</v>
      </c>
      <c r="C117" s="27">
        <v>2</v>
      </c>
      <c r="D117" s="101" t="s">
        <v>455</v>
      </c>
      <c r="E117" s="279">
        <v>506.90000000000003</v>
      </c>
      <c r="F117" s="441">
        <v>6558.7546576293344</v>
      </c>
      <c r="G117" s="441">
        <v>251</v>
      </c>
      <c r="H117" s="73">
        <v>-6307.7546576293344</v>
      </c>
      <c r="I117" s="5">
        <v>0</v>
      </c>
      <c r="J117" s="5">
        <v>0</v>
      </c>
      <c r="K117" s="446"/>
      <c r="L117" s="5">
        <v>0</v>
      </c>
      <c r="M117" s="5">
        <v>0</v>
      </c>
      <c r="N117" s="35"/>
      <c r="O117" s="5">
        <v>0</v>
      </c>
      <c r="P117" s="5">
        <v>0</v>
      </c>
      <c r="Q117" s="447"/>
      <c r="R117" s="5">
        <v>0</v>
      </c>
      <c r="S117" s="5">
        <v>0</v>
      </c>
      <c r="T117" s="448"/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251</v>
      </c>
      <c r="AE117" s="5">
        <v>517.66750475589504</v>
      </c>
      <c r="AF117" s="5">
        <v>0</v>
      </c>
      <c r="AG117" s="5"/>
      <c r="AH117" s="5">
        <v>563.85295515958273</v>
      </c>
      <c r="AI117" s="5">
        <v>0</v>
      </c>
      <c r="AJ117" s="5"/>
      <c r="AK117" s="5">
        <v>245.38891837872438</v>
      </c>
      <c r="AL117" s="5">
        <v>0</v>
      </c>
      <c r="AM117" s="5"/>
      <c r="AN117" s="5">
        <v>0</v>
      </c>
      <c r="AO117" s="5">
        <v>0</v>
      </c>
      <c r="AP117" s="5"/>
      <c r="AQ117" s="5">
        <v>0</v>
      </c>
      <c r="AR117" s="5">
        <v>0</v>
      </c>
      <c r="AS117" s="5"/>
      <c r="AT117" s="5">
        <v>97.238948524906107</v>
      </c>
      <c r="AU117" s="5">
        <v>0</v>
      </c>
      <c r="AV117" s="5"/>
      <c r="AW117" s="5">
        <v>15.207000000000003</v>
      </c>
      <c r="AX117" s="5">
        <v>0</v>
      </c>
      <c r="AY117" s="5"/>
      <c r="AZ117" s="40">
        <v>1439.3553268191083</v>
      </c>
      <c r="BA117" s="40">
        <v>0</v>
      </c>
      <c r="BB117" s="55">
        <v>-1439.3553268191083</v>
      </c>
      <c r="BD117" s="2">
        <v>2</v>
      </c>
      <c r="BF117" s="325">
        <v>150000603</v>
      </c>
    </row>
    <row r="118" spans="1:58" ht="25.05" customHeight="1" x14ac:dyDescent="0.3">
      <c r="A118" s="325">
        <v>150001562</v>
      </c>
      <c r="B118" s="445" t="s">
        <v>209</v>
      </c>
      <c r="C118" s="27">
        <v>4</v>
      </c>
      <c r="D118" s="101" t="s">
        <v>455</v>
      </c>
      <c r="E118" s="279">
        <v>2425.9</v>
      </c>
      <c r="F118" s="441">
        <v>43796.784289440227</v>
      </c>
      <c r="G118" s="441">
        <v>9605</v>
      </c>
      <c r="H118" s="73">
        <v>-34191.784289440227</v>
      </c>
      <c r="I118" s="5">
        <v>0</v>
      </c>
      <c r="J118" s="5">
        <v>0</v>
      </c>
      <c r="K118" s="446"/>
      <c r="L118" s="5">
        <v>0</v>
      </c>
      <c r="M118" s="5">
        <v>0</v>
      </c>
      <c r="N118" s="35"/>
      <c r="O118" s="5">
        <v>0</v>
      </c>
      <c r="P118" s="5">
        <v>0</v>
      </c>
      <c r="Q118" s="447"/>
      <c r="R118" s="5">
        <v>0</v>
      </c>
      <c r="S118" s="5">
        <v>0</v>
      </c>
      <c r="T118" s="448"/>
      <c r="U118" s="5">
        <v>0</v>
      </c>
      <c r="V118" s="5">
        <v>0</v>
      </c>
      <c r="W118" s="5">
        <v>0</v>
      </c>
      <c r="X118" s="5">
        <v>0</v>
      </c>
      <c r="Y118" s="5">
        <v>9354</v>
      </c>
      <c r="Z118" s="5">
        <v>0</v>
      </c>
      <c r="AA118" s="5">
        <v>0</v>
      </c>
      <c r="AB118" s="5">
        <v>0</v>
      </c>
      <c r="AC118" s="5">
        <v>0</v>
      </c>
      <c r="AD118" s="5">
        <v>251</v>
      </c>
      <c r="AE118" s="5">
        <v>2242.7810536227453</v>
      </c>
      <c r="AF118" s="5">
        <v>0</v>
      </c>
      <c r="AG118" s="5"/>
      <c r="AH118" s="5">
        <v>1517.7376288386351</v>
      </c>
      <c r="AI118" s="5">
        <v>0</v>
      </c>
      <c r="AJ118" s="5"/>
      <c r="AK118" s="5">
        <v>0</v>
      </c>
      <c r="AL118" s="5">
        <v>0</v>
      </c>
      <c r="AM118" s="5"/>
      <c r="AN118" s="5">
        <v>0</v>
      </c>
      <c r="AO118" s="5">
        <v>0</v>
      </c>
      <c r="AP118" s="5"/>
      <c r="AQ118" s="5">
        <v>0</v>
      </c>
      <c r="AR118" s="5">
        <v>0</v>
      </c>
      <c r="AS118" s="5"/>
      <c r="AT118" s="5">
        <v>784.0057962948182</v>
      </c>
      <c r="AU118" s="5">
        <v>0</v>
      </c>
      <c r="AV118" s="5"/>
      <c r="AW118" s="5">
        <v>73.050000000000011</v>
      </c>
      <c r="AX118" s="5">
        <v>0</v>
      </c>
      <c r="AY118" s="5"/>
      <c r="AZ118" s="40">
        <v>4617.5744787561989</v>
      </c>
      <c r="BA118" s="40">
        <v>0</v>
      </c>
      <c r="BB118" s="55">
        <v>-4617.5744787561989</v>
      </c>
      <c r="BD118" s="2">
        <v>2</v>
      </c>
      <c r="BF118" s="325">
        <v>150001562</v>
      </c>
    </row>
    <row r="119" spans="1:58" ht="25.05" customHeight="1" x14ac:dyDescent="0.3">
      <c r="A119" s="325">
        <v>150000604</v>
      </c>
      <c r="B119" s="445" t="s">
        <v>155</v>
      </c>
      <c r="C119" s="27">
        <v>2</v>
      </c>
      <c r="D119" s="101" t="s">
        <v>455</v>
      </c>
      <c r="E119" s="279">
        <v>452.1</v>
      </c>
      <c r="F119" s="441">
        <v>4568.3939203110485</v>
      </c>
      <c r="G119" s="441">
        <v>125</v>
      </c>
      <c r="H119" s="73">
        <v>-4443.3939203110485</v>
      </c>
      <c r="I119" s="5">
        <v>0</v>
      </c>
      <c r="J119" s="5">
        <v>0</v>
      </c>
      <c r="K119" s="446"/>
      <c r="L119" s="5">
        <v>0</v>
      </c>
      <c r="M119" s="5">
        <v>0</v>
      </c>
      <c r="N119" s="35"/>
      <c r="O119" s="5">
        <v>0</v>
      </c>
      <c r="P119" s="5">
        <v>0</v>
      </c>
      <c r="Q119" s="447"/>
      <c r="R119" s="5">
        <v>0</v>
      </c>
      <c r="S119" s="5">
        <v>0</v>
      </c>
      <c r="T119" s="448"/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125</v>
      </c>
      <c r="AE119" s="5">
        <v>484.53042420805116</v>
      </c>
      <c r="AF119" s="5">
        <v>0</v>
      </c>
      <c r="AG119" s="5"/>
      <c r="AH119" s="5">
        <v>556.69480444200644</v>
      </c>
      <c r="AI119" s="5">
        <v>0</v>
      </c>
      <c r="AJ119" s="5"/>
      <c r="AK119" s="5">
        <v>200.40246333643128</v>
      </c>
      <c r="AL119" s="5">
        <v>0</v>
      </c>
      <c r="AM119" s="5"/>
      <c r="AN119" s="5">
        <v>0</v>
      </c>
      <c r="AO119" s="5">
        <v>0</v>
      </c>
      <c r="AP119" s="5"/>
      <c r="AQ119" s="5">
        <v>0</v>
      </c>
      <c r="AR119" s="5">
        <v>0</v>
      </c>
      <c r="AS119" s="5"/>
      <c r="AT119" s="5">
        <v>96.644028156818351</v>
      </c>
      <c r="AU119" s="5">
        <v>709</v>
      </c>
      <c r="AV119" s="5"/>
      <c r="AW119" s="5">
        <v>13.562999999999999</v>
      </c>
      <c r="AX119" s="5">
        <v>0</v>
      </c>
      <c r="AY119" s="5"/>
      <c r="AZ119" s="40">
        <v>1351.8347201433073</v>
      </c>
      <c r="BA119" s="40">
        <v>709</v>
      </c>
      <c r="BB119" s="55">
        <v>-642.83472014330732</v>
      </c>
      <c r="BD119" s="2">
        <v>2</v>
      </c>
      <c r="BF119" s="325">
        <v>150000604</v>
      </c>
    </row>
    <row r="120" spans="1:58" ht="25.05" customHeight="1" x14ac:dyDescent="0.3">
      <c r="A120" s="325">
        <v>150000605</v>
      </c>
      <c r="B120" s="445" t="s">
        <v>156</v>
      </c>
      <c r="C120" s="27">
        <v>2</v>
      </c>
      <c r="D120" s="101" t="s">
        <v>455</v>
      </c>
      <c r="E120" s="279">
        <v>379</v>
      </c>
      <c r="F120" s="441">
        <v>5289.3884812499473</v>
      </c>
      <c r="G120" s="441">
        <v>125</v>
      </c>
      <c r="H120" s="73">
        <v>-5164.3884812499473</v>
      </c>
      <c r="I120" s="5">
        <v>0</v>
      </c>
      <c r="J120" s="5">
        <v>0</v>
      </c>
      <c r="K120" s="446"/>
      <c r="L120" s="5">
        <v>0</v>
      </c>
      <c r="M120" s="5">
        <v>0</v>
      </c>
      <c r="N120" s="449"/>
      <c r="O120" s="5">
        <v>0</v>
      </c>
      <c r="P120" s="5">
        <v>0</v>
      </c>
      <c r="Q120" s="447"/>
      <c r="R120" s="5">
        <v>0</v>
      </c>
      <c r="S120" s="5">
        <v>0</v>
      </c>
      <c r="T120" s="448"/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125</v>
      </c>
      <c r="AE120" s="5">
        <v>492.44633832794858</v>
      </c>
      <c r="AF120" s="5">
        <v>0</v>
      </c>
      <c r="AG120" s="5"/>
      <c r="AH120" s="5">
        <v>658.86588814632375</v>
      </c>
      <c r="AI120" s="5">
        <v>0</v>
      </c>
      <c r="AJ120" s="5"/>
      <c r="AK120" s="5">
        <v>142.14869690125977</v>
      </c>
      <c r="AL120" s="5">
        <v>0</v>
      </c>
      <c r="AM120" s="5"/>
      <c r="AN120" s="5">
        <v>0</v>
      </c>
      <c r="AO120" s="5">
        <v>0</v>
      </c>
      <c r="AP120" s="5"/>
      <c r="AQ120" s="5">
        <v>0</v>
      </c>
      <c r="AR120" s="5">
        <v>0</v>
      </c>
      <c r="AS120" s="5"/>
      <c r="AT120" s="5">
        <v>54.940202430438077</v>
      </c>
      <c r="AU120" s="5">
        <v>709</v>
      </c>
      <c r="AV120" s="5"/>
      <c r="AW120" s="5">
        <v>11.370000000000001</v>
      </c>
      <c r="AX120" s="5">
        <v>0</v>
      </c>
      <c r="AY120" s="5"/>
      <c r="AZ120" s="40">
        <v>1359.7711258059703</v>
      </c>
      <c r="BA120" s="40">
        <v>709</v>
      </c>
      <c r="BB120" s="55">
        <v>-650.77112580597031</v>
      </c>
      <c r="BD120" s="2">
        <v>2</v>
      </c>
      <c r="BF120" s="325">
        <v>150000605</v>
      </c>
    </row>
    <row r="121" spans="1:58" ht="25.05" customHeight="1" x14ac:dyDescent="0.3">
      <c r="A121" s="325">
        <v>150000606</v>
      </c>
      <c r="B121" s="445" t="s">
        <v>157</v>
      </c>
      <c r="C121" s="27">
        <v>2</v>
      </c>
      <c r="D121" s="101" t="s">
        <v>455</v>
      </c>
      <c r="E121" s="279">
        <v>766.3</v>
      </c>
      <c r="F121" s="441">
        <v>11580.515404791779</v>
      </c>
      <c r="G121" s="441">
        <v>3372</v>
      </c>
      <c r="H121" s="73">
        <v>-8208.5154047917786</v>
      </c>
      <c r="I121" s="5">
        <v>0</v>
      </c>
      <c r="J121" s="5">
        <v>2996</v>
      </c>
      <c r="K121" s="446"/>
      <c r="L121" s="5">
        <v>0</v>
      </c>
      <c r="M121" s="5">
        <v>0</v>
      </c>
      <c r="N121" s="35"/>
      <c r="O121" s="5">
        <v>0</v>
      </c>
      <c r="P121" s="5">
        <v>0</v>
      </c>
      <c r="Q121" s="447"/>
      <c r="R121" s="5">
        <v>0</v>
      </c>
      <c r="S121" s="5">
        <v>0</v>
      </c>
      <c r="T121" s="448"/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376</v>
      </c>
      <c r="AE121" s="5">
        <v>1038.5590504649974</v>
      </c>
      <c r="AF121" s="5">
        <v>0</v>
      </c>
      <c r="AG121" s="5"/>
      <c r="AH121" s="5">
        <v>1185.8643883908994</v>
      </c>
      <c r="AI121" s="5">
        <v>0</v>
      </c>
      <c r="AJ121" s="5"/>
      <c r="AK121" s="5">
        <v>343.14089080591748</v>
      </c>
      <c r="AL121" s="5">
        <v>0</v>
      </c>
      <c r="AM121" s="5"/>
      <c r="AN121" s="5">
        <v>0</v>
      </c>
      <c r="AO121" s="5">
        <v>0</v>
      </c>
      <c r="AP121" s="5"/>
      <c r="AQ121" s="5">
        <v>0</v>
      </c>
      <c r="AR121" s="5">
        <v>0</v>
      </c>
      <c r="AS121" s="5"/>
      <c r="AT121" s="5">
        <v>165.03853143918238</v>
      </c>
      <c r="AU121" s="5">
        <v>0</v>
      </c>
      <c r="AV121" s="5"/>
      <c r="AW121" s="5">
        <v>22.973999999999997</v>
      </c>
      <c r="AX121" s="5">
        <v>0</v>
      </c>
      <c r="AY121" s="5"/>
      <c r="AZ121" s="40">
        <v>2755.5768611009971</v>
      </c>
      <c r="BA121" s="40">
        <v>0</v>
      </c>
      <c r="BB121" s="55">
        <v>-2755.5768611009971</v>
      </c>
      <c r="BD121" s="2">
        <v>2</v>
      </c>
      <c r="BF121" s="325">
        <v>150000606</v>
      </c>
    </row>
    <row r="122" spans="1:58" ht="25.05" customHeight="1" x14ac:dyDescent="0.3">
      <c r="A122" s="325">
        <v>150000607</v>
      </c>
      <c r="B122" s="445" t="s">
        <v>158</v>
      </c>
      <c r="C122" s="27">
        <v>2</v>
      </c>
      <c r="D122" s="101" t="s">
        <v>455</v>
      </c>
      <c r="E122" s="279">
        <v>994.8</v>
      </c>
      <c r="F122" s="441">
        <v>10549.757901564157</v>
      </c>
      <c r="G122" s="441">
        <v>2834</v>
      </c>
      <c r="H122" s="73">
        <v>-7715.7579015641568</v>
      </c>
      <c r="I122" s="5">
        <v>0</v>
      </c>
      <c r="J122" s="5">
        <v>0</v>
      </c>
      <c r="K122" s="446"/>
      <c r="L122" s="5">
        <v>0</v>
      </c>
      <c r="M122" s="5">
        <v>0</v>
      </c>
      <c r="N122" s="35"/>
      <c r="O122" s="5">
        <v>0</v>
      </c>
      <c r="P122" s="5">
        <v>0</v>
      </c>
      <c r="Q122" s="447"/>
      <c r="R122" s="5">
        <v>0</v>
      </c>
      <c r="S122" s="5">
        <v>0</v>
      </c>
      <c r="T122" s="448"/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2834</v>
      </c>
      <c r="AE122" s="5">
        <v>1095.9481950591714</v>
      </c>
      <c r="AF122" s="5">
        <v>0</v>
      </c>
      <c r="AG122" s="5"/>
      <c r="AH122" s="5">
        <v>1423.0063292695322</v>
      </c>
      <c r="AI122" s="5">
        <v>0</v>
      </c>
      <c r="AJ122" s="5"/>
      <c r="AK122" s="5">
        <v>552.85319931075344</v>
      </c>
      <c r="AL122" s="5">
        <v>0</v>
      </c>
      <c r="AM122" s="5"/>
      <c r="AN122" s="5">
        <v>0</v>
      </c>
      <c r="AO122" s="5">
        <v>0</v>
      </c>
      <c r="AP122" s="5"/>
      <c r="AQ122" s="5">
        <v>0</v>
      </c>
      <c r="AR122" s="5">
        <v>0</v>
      </c>
      <c r="AS122" s="5"/>
      <c r="AT122" s="5">
        <v>165.03853143918238</v>
      </c>
      <c r="AU122" s="5">
        <v>0</v>
      </c>
      <c r="AV122" s="5"/>
      <c r="AW122" s="5">
        <v>29.844000000000001</v>
      </c>
      <c r="AX122" s="5">
        <v>0</v>
      </c>
      <c r="AY122" s="5"/>
      <c r="AZ122" s="40">
        <v>3266.6902550786399</v>
      </c>
      <c r="BA122" s="40">
        <v>0</v>
      </c>
      <c r="BB122" s="55">
        <v>-3266.6902550786399</v>
      </c>
      <c r="BD122" s="2">
        <v>2</v>
      </c>
      <c r="BF122" s="325">
        <v>150000607</v>
      </c>
    </row>
    <row r="123" spans="1:58" ht="25.05" customHeight="1" x14ac:dyDescent="0.3">
      <c r="A123" s="325">
        <v>150000608</v>
      </c>
      <c r="B123" s="445" t="s">
        <v>159</v>
      </c>
      <c r="C123" s="27">
        <v>2</v>
      </c>
      <c r="D123" s="101" t="s">
        <v>455</v>
      </c>
      <c r="E123" s="279">
        <v>598.30999999999995</v>
      </c>
      <c r="F123" s="441">
        <v>7979.5218965193963</v>
      </c>
      <c r="G123" s="441">
        <v>251</v>
      </c>
      <c r="H123" s="73">
        <v>-7728.5218965193963</v>
      </c>
      <c r="I123" s="5">
        <v>0</v>
      </c>
      <c r="J123" s="5">
        <v>0</v>
      </c>
      <c r="K123" s="446"/>
      <c r="L123" s="5">
        <v>0</v>
      </c>
      <c r="M123" s="5">
        <v>0</v>
      </c>
      <c r="N123" s="35"/>
      <c r="O123" s="5">
        <v>0</v>
      </c>
      <c r="P123" s="5">
        <v>0</v>
      </c>
      <c r="Q123" s="447"/>
      <c r="R123" s="5">
        <v>0</v>
      </c>
      <c r="S123" s="5">
        <v>0</v>
      </c>
      <c r="T123" s="448"/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251</v>
      </c>
      <c r="AE123" s="5">
        <v>835.21174720100146</v>
      </c>
      <c r="AF123" s="5">
        <v>0</v>
      </c>
      <c r="AG123" s="5"/>
      <c r="AH123" s="5">
        <v>1191.0266145576848</v>
      </c>
      <c r="AI123" s="5">
        <v>0</v>
      </c>
      <c r="AJ123" s="5"/>
      <c r="AK123" s="5">
        <v>208.16077361544862</v>
      </c>
      <c r="AL123" s="5">
        <v>0</v>
      </c>
      <c r="AM123" s="5"/>
      <c r="AN123" s="5">
        <v>0</v>
      </c>
      <c r="AO123" s="5">
        <v>0</v>
      </c>
      <c r="AP123" s="5"/>
      <c r="AQ123" s="5">
        <v>0</v>
      </c>
      <c r="AR123" s="5">
        <v>0</v>
      </c>
      <c r="AS123" s="5"/>
      <c r="AT123" s="5">
        <v>110.09836158969283</v>
      </c>
      <c r="AU123" s="5">
        <v>711</v>
      </c>
      <c r="AV123" s="5"/>
      <c r="AW123" s="5">
        <v>17.631300000000003</v>
      </c>
      <c r="AX123" s="5">
        <v>0</v>
      </c>
      <c r="AY123" s="5"/>
      <c r="AZ123" s="40">
        <v>2362.1287969638279</v>
      </c>
      <c r="BA123" s="40">
        <v>711</v>
      </c>
      <c r="BB123" s="55">
        <v>-1651.1287969638279</v>
      </c>
      <c r="BD123" s="2">
        <v>2</v>
      </c>
      <c r="BF123" s="325">
        <v>150000608</v>
      </c>
    </row>
    <row r="124" spans="1:58" ht="25.05" customHeight="1" x14ac:dyDescent="0.3">
      <c r="A124" s="325">
        <v>150000609</v>
      </c>
      <c r="B124" s="445" t="s">
        <v>160</v>
      </c>
      <c r="C124" s="27">
        <v>2</v>
      </c>
      <c r="D124" s="101" t="s">
        <v>455</v>
      </c>
      <c r="E124" s="279">
        <v>465.59999999999997</v>
      </c>
      <c r="F124" s="441">
        <v>6910.302937654018</v>
      </c>
      <c r="G124" s="441">
        <v>251</v>
      </c>
      <c r="H124" s="73">
        <v>-6659.302937654018</v>
      </c>
      <c r="I124" s="5">
        <v>0</v>
      </c>
      <c r="J124" s="5">
        <v>0</v>
      </c>
      <c r="K124" s="446"/>
      <c r="L124" s="5">
        <v>0</v>
      </c>
      <c r="M124" s="5">
        <v>0</v>
      </c>
      <c r="N124" s="35"/>
      <c r="O124" s="5">
        <v>0</v>
      </c>
      <c r="P124" s="5">
        <v>0</v>
      </c>
      <c r="Q124" s="447"/>
      <c r="R124" s="5">
        <v>0</v>
      </c>
      <c r="S124" s="5">
        <v>0</v>
      </c>
      <c r="T124" s="448"/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251</v>
      </c>
      <c r="AE124" s="5">
        <v>590.79985252250162</v>
      </c>
      <c r="AF124" s="5">
        <v>0</v>
      </c>
      <c r="AG124" s="5"/>
      <c r="AH124" s="5">
        <v>1143.6293647974578</v>
      </c>
      <c r="AI124" s="5">
        <v>0</v>
      </c>
      <c r="AJ124" s="5"/>
      <c r="AK124" s="5">
        <v>198.85140913520485</v>
      </c>
      <c r="AL124" s="5">
        <v>0</v>
      </c>
      <c r="AM124" s="5"/>
      <c r="AN124" s="5">
        <v>0</v>
      </c>
      <c r="AO124" s="5">
        <v>0</v>
      </c>
      <c r="AP124" s="5"/>
      <c r="AQ124" s="5">
        <v>0</v>
      </c>
      <c r="AR124" s="5">
        <v>0</v>
      </c>
      <c r="AS124" s="5"/>
      <c r="AT124" s="5">
        <v>110.09836158969283</v>
      </c>
      <c r="AU124" s="5">
        <v>711</v>
      </c>
      <c r="AV124" s="5"/>
      <c r="AW124" s="5">
        <v>13.939499999999999</v>
      </c>
      <c r="AX124" s="5">
        <v>2329</v>
      </c>
      <c r="AY124" s="5"/>
      <c r="AZ124" s="40">
        <v>2057.3184880448571</v>
      </c>
      <c r="BA124" s="40">
        <v>3040</v>
      </c>
      <c r="BB124" s="55">
        <v>982.68151195514292</v>
      </c>
      <c r="BD124" s="2">
        <v>2</v>
      </c>
      <c r="BF124" s="325">
        <v>150000609</v>
      </c>
    </row>
    <row r="125" spans="1:58" ht="25.05" customHeight="1" x14ac:dyDescent="0.3">
      <c r="A125" s="325">
        <v>150000610</v>
      </c>
      <c r="B125" s="445" t="s">
        <v>161</v>
      </c>
      <c r="C125" s="27">
        <v>2</v>
      </c>
      <c r="D125" s="101" t="s">
        <v>455</v>
      </c>
      <c r="E125" s="279">
        <v>475.2</v>
      </c>
      <c r="F125" s="441">
        <v>6379.9214108898523</v>
      </c>
      <c r="G125" s="441">
        <v>251</v>
      </c>
      <c r="H125" s="73">
        <v>-6128.9214108898523</v>
      </c>
      <c r="I125" s="5">
        <v>0</v>
      </c>
      <c r="J125" s="5">
        <v>0</v>
      </c>
      <c r="K125" s="450"/>
      <c r="L125" s="5">
        <v>0</v>
      </c>
      <c r="M125" s="5">
        <v>0</v>
      </c>
      <c r="N125" s="35"/>
      <c r="O125" s="5">
        <v>0</v>
      </c>
      <c r="P125" s="5">
        <v>0</v>
      </c>
      <c r="Q125" s="447"/>
      <c r="R125" s="5">
        <v>0</v>
      </c>
      <c r="S125" s="5">
        <v>0</v>
      </c>
      <c r="T125" s="448"/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251</v>
      </c>
      <c r="AE125" s="5">
        <v>821.92647328353132</v>
      </c>
      <c r="AF125" s="5">
        <v>0</v>
      </c>
      <c r="AG125" s="5"/>
      <c r="AH125" s="5">
        <v>953.88467367905241</v>
      </c>
      <c r="AI125" s="5">
        <v>0</v>
      </c>
      <c r="AJ125" s="5"/>
      <c r="AK125" s="5">
        <v>197.12997404979251</v>
      </c>
      <c r="AL125" s="5">
        <v>0</v>
      </c>
      <c r="AM125" s="5"/>
      <c r="AN125" s="5">
        <v>0</v>
      </c>
      <c r="AO125" s="5">
        <v>0</v>
      </c>
      <c r="AP125" s="5"/>
      <c r="AQ125" s="5">
        <v>0</v>
      </c>
      <c r="AR125" s="5">
        <v>0</v>
      </c>
      <c r="AS125" s="5"/>
      <c r="AT125" s="5">
        <v>110.09829986336118</v>
      </c>
      <c r="AU125" s="5">
        <v>711</v>
      </c>
      <c r="AV125" s="153"/>
      <c r="AW125" s="5">
        <v>14.256</v>
      </c>
      <c r="AX125" s="5">
        <v>0</v>
      </c>
      <c r="AY125" s="5"/>
      <c r="AZ125" s="40">
        <v>2097.2954208757374</v>
      </c>
      <c r="BA125" s="40">
        <v>711</v>
      </c>
      <c r="BB125" s="55">
        <v>-1386.2954208757374</v>
      </c>
      <c r="BD125" s="2">
        <v>2</v>
      </c>
      <c r="BF125" s="325">
        <v>150000610</v>
      </c>
    </row>
    <row r="126" spans="1:58" ht="25.05" customHeight="1" x14ac:dyDescent="0.3">
      <c r="A126" s="325">
        <v>150000611</v>
      </c>
      <c r="B126" s="445" t="s">
        <v>196</v>
      </c>
      <c r="C126" s="27">
        <v>3</v>
      </c>
      <c r="D126" s="101" t="s">
        <v>455</v>
      </c>
      <c r="E126" s="279">
        <v>1108</v>
      </c>
      <c r="F126" s="441">
        <v>10433.182937520767</v>
      </c>
      <c r="G126" s="441">
        <v>37249.39</v>
      </c>
      <c r="H126" s="73">
        <v>26816.207062479232</v>
      </c>
      <c r="I126" s="5">
        <v>0</v>
      </c>
      <c r="J126" s="5">
        <v>0</v>
      </c>
      <c r="K126" s="446"/>
      <c r="L126" s="5">
        <v>1</v>
      </c>
      <c r="M126" s="5">
        <v>34669</v>
      </c>
      <c r="N126" s="35"/>
      <c r="O126" s="5">
        <v>0</v>
      </c>
      <c r="P126" s="5">
        <v>0</v>
      </c>
      <c r="Q126" s="447"/>
      <c r="R126" s="5">
        <v>0</v>
      </c>
      <c r="S126" s="5">
        <v>0</v>
      </c>
      <c r="T126" s="448"/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440</v>
      </c>
      <c r="AD126" s="5">
        <v>2140.3900000000003</v>
      </c>
      <c r="AE126" s="5">
        <v>1021.3769315414789</v>
      </c>
      <c r="AF126" s="5">
        <v>0</v>
      </c>
      <c r="AG126" s="5"/>
      <c r="AH126" s="5">
        <v>1573.6821165012148</v>
      </c>
      <c r="AI126" s="5">
        <v>0</v>
      </c>
      <c r="AJ126" s="5"/>
      <c r="AK126" s="5">
        <v>676.26991336526714</v>
      </c>
      <c r="AL126" s="5">
        <v>0</v>
      </c>
      <c r="AM126" s="5"/>
      <c r="AN126" s="5">
        <v>0</v>
      </c>
      <c r="AO126" s="5">
        <v>0</v>
      </c>
      <c r="AP126" s="5"/>
      <c r="AQ126" s="5">
        <v>0</v>
      </c>
      <c r="AR126" s="5">
        <v>0</v>
      </c>
      <c r="AS126" s="5"/>
      <c r="AT126" s="5">
        <v>266.41254209005297</v>
      </c>
      <c r="AU126" s="5">
        <v>142</v>
      </c>
      <c r="AV126" s="5"/>
      <c r="AW126" s="5">
        <v>33.24</v>
      </c>
      <c r="AX126" s="5">
        <v>0</v>
      </c>
      <c r="AY126" s="5"/>
      <c r="AZ126" s="40">
        <v>3570.9815034980138</v>
      </c>
      <c r="BA126" s="40">
        <v>142</v>
      </c>
      <c r="BB126" s="55">
        <v>-3428.9815034980138</v>
      </c>
      <c r="BD126" s="2">
        <v>2</v>
      </c>
      <c r="BF126" s="325">
        <v>150000611</v>
      </c>
    </row>
    <row r="127" spans="1:58" ht="25.05" customHeight="1" x14ac:dyDescent="0.3">
      <c r="A127" s="325">
        <v>150000623</v>
      </c>
      <c r="B127" s="445" t="s">
        <v>210</v>
      </c>
      <c r="C127" s="27">
        <v>4</v>
      </c>
      <c r="D127" s="101" t="s">
        <v>455</v>
      </c>
      <c r="E127" s="279">
        <v>1472.6</v>
      </c>
      <c r="F127" s="441">
        <v>16262.517903381053</v>
      </c>
      <c r="G127" s="441">
        <v>2141.3599999999997</v>
      </c>
      <c r="H127" s="73">
        <v>-14121.157903381052</v>
      </c>
      <c r="I127" s="5">
        <v>0</v>
      </c>
      <c r="J127" s="5">
        <v>0</v>
      </c>
      <c r="K127" s="446"/>
      <c r="L127" s="5">
        <v>0</v>
      </c>
      <c r="M127" s="5">
        <v>0</v>
      </c>
      <c r="N127" s="35"/>
      <c r="O127" s="5">
        <v>0</v>
      </c>
      <c r="P127" s="5">
        <v>0</v>
      </c>
      <c r="Q127" s="447"/>
      <c r="R127" s="5">
        <v>0</v>
      </c>
      <c r="S127" s="5">
        <v>0</v>
      </c>
      <c r="T127" s="448"/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2141.3599999999997</v>
      </c>
      <c r="AE127" s="5">
        <v>1192.3022056083655</v>
      </c>
      <c r="AF127" s="5">
        <v>1467</v>
      </c>
      <c r="AG127" s="8"/>
      <c r="AH127" s="5">
        <v>1507.4128998517783</v>
      </c>
      <c r="AI127" s="5">
        <v>0</v>
      </c>
      <c r="AJ127" s="5"/>
      <c r="AK127" s="5">
        <v>900.28436959385613</v>
      </c>
      <c r="AL127" s="5">
        <v>0</v>
      </c>
      <c r="AM127" s="5"/>
      <c r="AN127" s="5">
        <v>0</v>
      </c>
      <c r="AO127" s="5">
        <v>0</v>
      </c>
      <c r="AP127" s="5"/>
      <c r="AQ127" s="5">
        <v>0</v>
      </c>
      <c r="AR127" s="5">
        <v>0</v>
      </c>
      <c r="AS127" s="5"/>
      <c r="AT127" s="5">
        <v>527.61272826651918</v>
      </c>
      <c r="AU127" s="5">
        <v>622</v>
      </c>
      <c r="AV127" s="5"/>
      <c r="AW127" s="5">
        <v>44.136000000000003</v>
      </c>
      <c r="AX127" s="5">
        <v>0</v>
      </c>
      <c r="AY127" s="5"/>
      <c r="AZ127" s="40">
        <v>4171.7482033205197</v>
      </c>
      <c r="BA127" s="40">
        <v>2089</v>
      </c>
      <c r="BB127" s="55">
        <v>-2082.7482033205197</v>
      </c>
      <c r="BD127" s="2">
        <v>2</v>
      </c>
      <c r="BF127" s="325">
        <v>150000623</v>
      </c>
    </row>
    <row r="128" spans="1:58" ht="25.05" customHeight="1" x14ac:dyDescent="0.3">
      <c r="A128" s="325">
        <v>150000612</v>
      </c>
      <c r="B128" s="445" t="s">
        <v>162</v>
      </c>
      <c r="C128" s="27">
        <v>2</v>
      </c>
      <c r="D128" s="101" t="s">
        <v>455</v>
      </c>
      <c r="E128" s="279">
        <v>498.78</v>
      </c>
      <c r="F128" s="441">
        <v>8854.3199507362624</v>
      </c>
      <c r="G128" s="441">
        <v>251</v>
      </c>
      <c r="H128" s="73">
        <v>-8603.3199507362624</v>
      </c>
      <c r="I128" s="5">
        <v>0</v>
      </c>
      <c r="J128" s="5">
        <v>0</v>
      </c>
      <c r="K128" s="446"/>
      <c r="L128" s="5">
        <v>0</v>
      </c>
      <c r="M128" s="5">
        <v>0</v>
      </c>
      <c r="N128" s="35"/>
      <c r="O128" s="5">
        <v>0</v>
      </c>
      <c r="P128" s="5">
        <v>0</v>
      </c>
      <c r="Q128" s="447"/>
      <c r="R128" s="5">
        <v>0</v>
      </c>
      <c r="S128" s="5">
        <v>0</v>
      </c>
      <c r="T128" s="448"/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251</v>
      </c>
      <c r="AE128" s="5">
        <v>529.67088326355497</v>
      </c>
      <c r="AF128" s="5">
        <v>0</v>
      </c>
      <c r="AG128" s="5"/>
      <c r="AH128" s="5">
        <v>1112.000612653874</v>
      </c>
      <c r="AI128" s="5">
        <v>0</v>
      </c>
      <c r="AJ128" s="5"/>
      <c r="AK128" s="5">
        <v>142.58384286744084</v>
      </c>
      <c r="AL128" s="5">
        <v>0</v>
      </c>
      <c r="AM128" s="5"/>
      <c r="AN128" s="5">
        <v>0</v>
      </c>
      <c r="AO128" s="5">
        <v>0</v>
      </c>
      <c r="AP128" s="5"/>
      <c r="AQ128" s="5">
        <v>0</v>
      </c>
      <c r="AR128" s="5">
        <v>0</v>
      </c>
      <c r="AS128" s="5"/>
      <c r="AT128" s="5">
        <v>110.09836158969283</v>
      </c>
      <c r="AU128" s="5">
        <v>0</v>
      </c>
      <c r="AV128" s="5"/>
      <c r="AW128" s="5">
        <v>14.9634</v>
      </c>
      <c r="AX128" s="5">
        <v>0</v>
      </c>
      <c r="AY128" s="5"/>
      <c r="AZ128" s="40">
        <v>1909.3171003745626</v>
      </c>
      <c r="BA128" s="40">
        <v>0</v>
      </c>
      <c r="BB128" s="55">
        <v>-1909.3171003745626</v>
      </c>
      <c r="BD128" s="2">
        <v>2</v>
      </c>
      <c r="BF128" s="325">
        <v>150000612</v>
      </c>
    </row>
    <row r="129" spans="1:58" ht="25.05" customHeight="1" x14ac:dyDescent="0.3">
      <c r="A129" s="325">
        <v>150000613</v>
      </c>
      <c r="B129" s="445" t="s">
        <v>211</v>
      </c>
      <c r="C129" s="27">
        <v>4</v>
      </c>
      <c r="D129" s="101" t="s">
        <v>455</v>
      </c>
      <c r="E129" s="279">
        <v>1482.22</v>
      </c>
      <c r="F129" s="441">
        <v>13578.855263734211</v>
      </c>
      <c r="G129" s="441">
        <v>1320.77</v>
      </c>
      <c r="H129" s="73">
        <v>-12258.08526373421</v>
      </c>
      <c r="I129" s="5">
        <v>0</v>
      </c>
      <c r="J129" s="5">
        <v>0</v>
      </c>
      <c r="K129" s="446"/>
      <c r="L129" s="5">
        <v>0</v>
      </c>
      <c r="M129" s="5">
        <v>0</v>
      </c>
      <c r="N129" s="35"/>
      <c r="O129" s="5">
        <v>0</v>
      </c>
      <c r="P129" s="5">
        <v>0</v>
      </c>
      <c r="Q129" s="447"/>
      <c r="R129" s="5">
        <v>0</v>
      </c>
      <c r="S129" s="5">
        <v>0</v>
      </c>
      <c r="T129" s="448"/>
      <c r="U129" s="5">
        <v>0</v>
      </c>
      <c r="V129" s="5">
        <v>0</v>
      </c>
      <c r="W129" s="5">
        <v>0</v>
      </c>
      <c r="X129" s="5">
        <v>0</v>
      </c>
      <c r="Y129" s="5">
        <v>1069.77</v>
      </c>
      <c r="Z129" s="5">
        <v>0</v>
      </c>
      <c r="AA129" s="5">
        <v>0</v>
      </c>
      <c r="AB129" s="5">
        <v>0</v>
      </c>
      <c r="AC129" s="5">
        <v>0</v>
      </c>
      <c r="AD129" s="5">
        <v>251</v>
      </c>
      <c r="AE129" s="5">
        <v>1169.7106149097549</v>
      </c>
      <c r="AF129" s="5">
        <v>0</v>
      </c>
      <c r="AG129" s="5"/>
      <c r="AH129" s="5">
        <v>1500.0366832758391</v>
      </c>
      <c r="AI129" s="5">
        <v>1132</v>
      </c>
      <c r="AJ129" s="5"/>
      <c r="AK129" s="5">
        <v>896.61565944145809</v>
      </c>
      <c r="AL129" s="5">
        <v>0</v>
      </c>
      <c r="AM129" s="5"/>
      <c r="AN129" s="5">
        <v>0</v>
      </c>
      <c r="AO129" s="5">
        <v>0</v>
      </c>
      <c r="AP129" s="5"/>
      <c r="AQ129" s="5">
        <v>0</v>
      </c>
      <c r="AR129" s="5">
        <v>0</v>
      </c>
      <c r="AS129" s="5"/>
      <c r="AT129" s="5">
        <v>522.03062884346468</v>
      </c>
      <c r="AU129" s="5">
        <v>0</v>
      </c>
      <c r="AV129" s="5"/>
      <c r="AW129" s="5">
        <v>44.465400000000002</v>
      </c>
      <c r="AX129" s="5">
        <v>0</v>
      </c>
      <c r="AY129" s="5"/>
      <c r="AZ129" s="40">
        <v>4132.8589864705173</v>
      </c>
      <c r="BA129" s="40">
        <v>1132</v>
      </c>
      <c r="BB129" s="55">
        <v>-3000.8589864705173</v>
      </c>
      <c r="BD129" s="2">
        <v>2</v>
      </c>
      <c r="BF129" s="325">
        <v>150000613</v>
      </c>
    </row>
    <row r="130" spans="1:58" ht="25.05" customHeight="1" x14ac:dyDescent="0.3">
      <c r="A130" s="325">
        <v>150000614</v>
      </c>
      <c r="B130" s="445" t="s">
        <v>163</v>
      </c>
      <c r="C130" s="27">
        <v>2</v>
      </c>
      <c r="D130" s="101" t="s">
        <v>455</v>
      </c>
      <c r="E130" s="279">
        <v>626.29999999999995</v>
      </c>
      <c r="F130" s="441">
        <v>8613.3649124443582</v>
      </c>
      <c r="G130" s="441">
        <v>8470.99</v>
      </c>
      <c r="H130" s="73">
        <v>-142.37491244435842</v>
      </c>
      <c r="I130" s="5">
        <v>0</v>
      </c>
      <c r="J130" s="5">
        <v>4268</v>
      </c>
      <c r="K130" s="446"/>
      <c r="L130" s="5">
        <v>0</v>
      </c>
      <c r="M130" s="5">
        <v>0</v>
      </c>
      <c r="N130" s="35"/>
      <c r="O130" s="5">
        <v>0</v>
      </c>
      <c r="P130" s="5">
        <v>0</v>
      </c>
      <c r="Q130" s="447"/>
      <c r="R130" s="5">
        <v>0</v>
      </c>
      <c r="S130" s="5">
        <v>0</v>
      </c>
      <c r="T130" s="448"/>
      <c r="U130" s="5">
        <v>0</v>
      </c>
      <c r="V130" s="5">
        <v>0</v>
      </c>
      <c r="W130" s="5">
        <v>8</v>
      </c>
      <c r="X130" s="5">
        <v>3951.99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251</v>
      </c>
      <c r="AE130" s="5">
        <v>753.33327509266121</v>
      </c>
      <c r="AF130" s="5">
        <v>99</v>
      </c>
      <c r="AG130" s="5"/>
      <c r="AH130" s="5">
        <v>883.40554206967045</v>
      </c>
      <c r="AI130" s="5">
        <v>0</v>
      </c>
      <c r="AJ130" s="5"/>
      <c r="AK130" s="5">
        <v>257.51018174356949</v>
      </c>
      <c r="AL130" s="5">
        <v>0</v>
      </c>
      <c r="AM130" s="5"/>
      <c r="AN130" s="5">
        <v>0</v>
      </c>
      <c r="AO130" s="5">
        <v>0</v>
      </c>
      <c r="AP130" s="5"/>
      <c r="AQ130" s="5">
        <v>0</v>
      </c>
      <c r="AR130" s="5">
        <v>0</v>
      </c>
      <c r="AS130" s="5"/>
      <c r="AT130" s="5">
        <v>298.11053063330093</v>
      </c>
      <c r="AU130" s="5">
        <v>0</v>
      </c>
      <c r="AV130" s="5"/>
      <c r="AW130" s="5">
        <v>18.789000000000001</v>
      </c>
      <c r="AX130" s="5">
        <v>0</v>
      </c>
      <c r="AY130" s="5"/>
      <c r="AZ130" s="40">
        <v>2211.1485295392022</v>
      </c>
      <c r="BA130" s="40">
        <v>99</v>
      </c>
      <c r="BB130" s="55">
        <v>-2112.1485295392022</v>
      </c>
      <c r="BD130" s="2">
        <v>2</v>
      </c>
      <c r="BF130" s="325">
        <v>150000614</v>
      </c>
    </row>
    <row r="131" spans="1:58" ht="25.05" customHeight="1" x14ac:dyDescent="0.3">
      <c r="A131" s="325">
        <v>150000615</v>
      </c>
      <c r="B131" s="445" t="s">
        <v>257</v>
      </c>
      <c r="C131" s="27">
        <v>5</v>
      </c>
      <c r="D131" s="101" t="s">
        <v>455</v>
      </c>
      <c r="E131" s="279">
        <v>2636.9100000000003</v>
      </c>
      <c r="F131" s="441">
        <v>19013.763523907412</v>
      </c>
      <c r="G131" s="441">
        <v>10984.49</v>
      </c>
      <c r="H131" s="73">
        <v>-8029.2735239074118</v>
      </c>
      <c r="I131" s="5">
        <v>3</v>
      </c>
      <c r="J131" s="5">
        <v>845</v>
      </c>
      <c r="K131" s="446"/>
      <c r="L131" s="5">
        <v>0</v>
      </c>
      <c r="M131" s="5">
        <v>0</v>
      </c>
      <c r="N131" s="35"/>
      <c r="O131" s="5">
        <v>0</v>
      </c>
      <c r="P131" s="5">
        <v>0</v>
      </c>
      <c r="Q131" s="447"/>
      <c r="R131" s="5">
        <v>0</v>
      </c>
      <c r="S131" s="5">
        <v>0</v>
      </c>
      <c r="T131" s="448"/>
      <c r="U131" s="5">
        <v>0</v>
      </c>
      <c r="V131" s="5">
        <v>0</v>
      </c>
      <c r="W131" s="5">
        <v>0</v>
      </c>
      <c r="X131" s="5">
        <v>0</v>
      </c>
      <c r="Y131" s="5">
        <v>4658</v>
      </c>
      <c r="Z131" s="5">
        <v>0</v>
      </c>
      <c r="AA131" s="5">
        <v>0</v>
      </c>
      <c r="AB131" s="5">
        <v>0</v>
      </c>
      <c r="AC131" s="5">
        <v>0</v>
      </c>
      <c r="AD131" s="5">
        <v>5481.49</v>
      </c>
      <c r="AE131" s="5">
        <v>1960.0674614587988</v>
      </c>
      <c r="AF131" s="5">
        <v>0</v>
      </c>
      <c r="AG131" s="5"/>
      <c r="AH131" s="5">
        <v>2782.6919543005465</v>
      </c>
      <c r="AI131" s="5">
        <v>1730</v>
      </c>
      <c r="AJ131" s="5"/>
      <c r="AK131" s="5">
        <v>1661.1348954652037</v>
      </c>
      <c r="AL131" s="5">
        <v>490</v>
      </c>
      <c r="AM131" s="5"/>
      <c r="AN131" s="5">
        <v>0</v>
      </c>
      <c r="AO131" s="5">
        <v>0</v>
      </c>
      <c r="AP131" s="5"/>
      <c r="AQ131" s="5">
        <v>0</v>
      </c>
      <c r="AR131" s="5">
        <v>0</v>
      </c>
      <c r="AS131" s="5"/>
      <c r="AT131" s="5">
        <v>1010.6611974543408</v>
      </c>
      <c r="AU131" s="5">
        <v>0</v>
      </c>
      <c r="AV131" s="5"/>
      <c r="AW131" s="5">
        <v>79.11330000000001</v>
      </c>
      <c r="AX131" s="5">
        <v>0</v>
      </c>
      <c r="AY131" s="5"/>
      <c r="AZ131" s="40">
        <v>7493.6688086788899</v>
      </c>
      <c r="BA131" s="40">
        <v>2220</v>
      </c>
      <c r="BB131" s="55">
        <v>-5273.6688086788899</v>
      </c>
      <c r="BD131" s="2">
        <v>2</v>
      </c>
      <c r="BF131" s="325">
        <v>150000615</v>
      </c>
    </row>
    <row r="132" spans="1:58" ht="25.05" customHeight="1" x14ac:dyDescent="0.3">
      <c r="A132" s="325">
        <v>150000616</v>
      </c>
      <c r="B132" s="445" t="s">
        <v>258</v>
      </c>
      <c r="C132" s="27">
        <v>5</v>
      </c>
      <c r="D132" s="101" t="s">
        <v>455</v>
      </c>
      <c r="E132" s="279">
        <v>1804.3</v>
      </c>
      <c r="F132" s="441">
        <v>17416.577226059675</v>
      </c>
      <c r="G132" s="441">
        <v>10245.152949125204</v>
      </c>
      <c r="H132" s="73">
        <v>-7171.424276934471</v>
      </c>
      <c r="I132" s="5">
        <v>0</v>
      </c>
      <c r="J132" s="5">
        <v>0</v>
      </c>
      <c r="K132" s="446"/>
      <c r="L132" s="5">
        <v>0</v>
      </c>
      <c r="M132" s="5">
        <v>900</v>
      </c>
      <c r="N132" s="35"/>
      <c r="O132" s="5">
        <v>0</v>
      </c>
      <c r="P132" s="5">
        <v>0</v>
      </c>
      <c r="Q132" s="447"/>
      <c r="R132" s="5">
        <v>0</v>
      </c>
      <c r="S132" s="5">
        <v>0</v>
      </c>
      <c r="T132" s="448"/>
      <c r="U132" s="5">
        <v>0</v>
      </c>
      <c r="V132" s="5">
        <v>0</v>
      </c>
      <c r="W132" s="5">
        <v>0</v>
      </c>
      <c r="X132" s="5">
        <v>93.152949125204259</v>
      </c>
      <c r="Y132" s="5">
        <v>0</v>
      </c>
      <c r="Z132" s="5">
        <v>0</v>
      </c>
      <c r="AA132" s="5">
        <v>0</v>
      </c>
      <c r="AB132" s="5">
        <v>0</v>
      </c>
      <c r="AC132" s="5">
        <v>9001</v>
      </c>
      <c r="AD132" s="5">
        <v>251</v>
      </c>
      <c r="AE132" s="5">
        <v>1357.9652886633385</v>
      </c>
      <c r="AF132" s="5">
        <v>4960</v>
      </c>
      <c r="AG132" s="5"/>
      <c r="AH132" s="5">
        <v>1879.5256069500886</v>
      </c>
      <c r="AI132" s="5">
        <v>0</v>
      </c>
      <c r="AJ132" s="5"/>
      <c r="AK132" s="5">
        <v>1251.9238819437342</v>
      </c>
      <c r="AL132" s="5">
        <v>0</v>
      </c>
      <c r="AM132" s="5"/>
      <c r="AN132" s="5">
        <v>0</v>
      </c>
      <c r="AO132" s="5">
        <v>0</v>
      </c>
      <c r="AP132" s="5"/>
      <c r="AQ132" s="5">
        <v>0</v>
      </c>
      <c r="AR132" s="5">
        <v>0</v>
      </c>
      <c r="AS132" s="5"/>
      <c r="AT132" s="5">
        <v>596.81720529775157</v>
      </c>
      <c r="AU132" s="5">
        <v>995</v>
      </c>
      <c r="AV132" s="5"/>
      <c r="AW132" s="5">
        <v>56.784000000000006</v>
      </c>
      <c r="AX132" s="5">
        <v>0</v>
      </c>
      <c r="AY132" s="5"/>
      <c r="AZ132" s="40">
        <v>5143.0159828549122</v>
      </c>
      <c r="BA132" s="40">
        <v>5955</v>
      </c>
      <c r="BB132" s="55">
        <v>811.98401714508782</v>
      </c>
      <c r="BD132" s="2">
        <v>2</v>
      </c>
      <c r="BF132" s="325">
        <v>150000616</v>
      </c>
    </row>
    <row r="133" spans="1:58" ht="25.05" customHeight="1" x14ac:dyDescent="0.3">
      <c r="A133" s="325">
        <v>150000618</v>
      </c>
      <c r="B133" s="445" t="s">
        <v>417</v>
      </c>
      <c r="C133" s="27">
        <v>10</v>
      </c>
      <c r="D133" s="101" t="s">
        <v>455</v>
      </c>
      <c r="E133" s="279">
        <v>2744.2</v>
      </c>
      <c r="F133" s="441">
        <v>34505.449733285575</v>
      </c>
      <c r="G133" s="441">
        <v>7443</v>
      </c>
      <c r="H133" s="73">
        <v>-27062.449733285575</v>
      </c>
      <c r="I133" s="5">
        <v>0</v>
      </c>
      <c r="J133" s="5">
        <v>0</v>
      </c>
      <c r="K133" s="446"/>
      <c r="L133" s="5">
        <v>0</v>
      </c>
      <c r="M133" s="5">
        <v>0</v>
      </c>
      <c r="N133" s="35"/>
      <c r="O133" s="5">
        <v>0</v>
      </c>
      <c r="P133" s="5">
        <v>0</v>
      </c>
      <c r="Q133" s="447"/>
      <c r="R133" s="5">
        <v>1</v>
      </c>
      <c r="S133" s="5">
        <v>5891</v>
      </c>
      <c r="T133" s="448"/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198</v>
      </c>
      <c r="AD133" s="5">
        <v>1354</v>
      </c>
      <c r="AE133" s="5">
        <v>1210.2006894329782</v>
      </c>
      <c r="AF133" s="5">
        <v>1108</v>
      </c>
      <c r="AG133" s="5"/>
      <c r="AH133" s="5">
        <v>1465.4330197301776</v>
      </c>
      <c r="AI133" s="5">
        <v>0</v>
      </c>
      <c r="AJ133" s="5"/>
      <c r="AK133" s="5">
        <v>1123.0502833436212</v>
      </c>
      <c r="AL133" s="5">
        <v>0</v>
      </c>
      <c r="AM133" s="5"/>
      <c r="AN133" s="5">
        <v>1025.4007576749066</v>
      </c>
      <c r="AO133" s="5">
        <v>0</v>
      </c>
      <c r="AP133" s="5"/>
      <c r="AQ133" s="5">
        <v>493.31729299915651</v>
      </c>
      <c r="AR133" s="5">
        <v>0</v>
      </c>
      <c r="AS133" s="5"/>
      <c r="AT133" s="5">
        <v>726.84053568116178</v>
      </c>
      <c r="AU133" s="5">
        <v>142</v>
      </c>
      <c r="AV133" s="5"/>
      <c r="AW133" s="5">
        <v>82.325999999999993</v>
      </c>
      <c r="AX133" s="5">
        <v>0</v>
      </c>
      <c r="AY133" s="5"/>
      <c r="AZ133" s="40">
        <v>6126.5685788620021</v>
      </c>
      <c r="BA133" s="40">
        <v>1250</v>
      </c>
      <c r="BB133" s="55">
        <v>-4876.5685788620021</v>
      </c>
      <c r="BD133" s="2">
        <v>2</v>
      </c>
      <c r="BF133" s="325">
        <v>150000618</v>
      </c>
    </row>
    <row r="134" spans="1:58" ht="25.05" customHeight="1" x14ac:dyDescent="0.3">
      <c r="A134" s="325">
        <v>150000619</v>
      </c>
      <c r="B134" s="445" t="s">
        <v>360</v>
      </c>
      <c r="C134" s="27">
        <v>9</v>
      </c>
      <c r="D134" s="101" t="s">
        <v>455</v>
      </c>
      <c r="E134" s="279">
        <v>4254.1000000000004</v>
      </c>
      <c r="F134" s="441">
        <v>57073.952842414721</v>
      </c>
      <c r="G134" s="441">
        <v>20190.02</v>
      </c>
      <c r="H134" s="73">
        <v>-36883.932842414724</v>
      </c>
      <c r="I134" s="5">
        <v>0</v>
      </c>
      <c r="J134" s="5">
        <v>0</v>
      </c>
      <c r="K134" s="446"/>
      <c r="L134" s="5">
        <v>0</v>
      </c>
      <c r="M134" s="5">
        <v>0</v>
      </c>
      <c r="N134" s="449"/>
      <c r="O134" s="5">
        <v>0</v>
      </c>
      <c r="P134" s="5">
        <v>0</v>
      </c>
      <c r="Q134" s="447"/>
      <c r="R134" s="5">
        <v>4</v>
      </c>
      <c r="S134" s="5">
        <v>19977.02</v>
      </c>
      <c r="T134" s="448"/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213</v>
      </c>
      <c r="AE134" s="5">
        <v>2403.3498855758703</v>
      </c>
      <c r="AF134" s="5">
        <v>1490.8600000000001</v>
      </c>
      <c r="AG134" s="5"/>
      <c r="AH134" s="5">
        <v>2759.0516023766831</v>
      </c>
      <c r="AI134" s="5">
        <v>0</v>
      </c>
      <c r="AJ134" s="5"/>
      <c r="AK134" s="5">
        <v>1776.474849195939</v>
      </c>
      <c r="AL134" s="5">
        <v>0</v>
      </c>
      <c r="AM134" s="5"/>
      <c r="AN134" s="5">
        <v>1842.2084964733979</v>
      </c>
      <c r="AO134" s="5">
        <v>245</v>
      </c>
      <c r="AP134" s="5"/>
      <c r="AQ134" s="5">
        <v>923.71373565197098</v>
      </c>
      <c r="AR134" s="5">
        <v>0</v>
      </c>
      <c r="AS134" s="5"/>
      <c r="AT134" s="5">
        <v>1584.5225782514265</v>
      </c>
      <c r="AU134" s="5">
        <v>0</v>
      </c>
      <c r="AV134" s="5"/>
      <c r="AW134" s="5">
        <v>127.626</v>
      </c>
      <c r="AX134" s="5">
        <v>0</v>
      </c>
      <c r="AY134" s="5"/>
      <c r="AZ134" s="40">
        <v>11416.947147525287</v>
      </c>
      <c r="BA134" s="40">
        <v>1735.8600000000001</v>
      </c>
      <c r="BB134" s="55">
        <v>-9681.0871475252861</v>
      </c>
      <c r="BD134" s="2">
        <v>2</v>
      </c>
      <c r="BF134" s="325">
        <v>150000619</v>
      </c>
    </row>
    <row r="135" spans="1:58" ht="25.05" customHeight="1" x14ac:dyDescent="0.3">
      <c r="A135" s="325">
        <v>150000621</v>
      </c>
      <c r="B135" s="445" t="s">
        <v>81</v>
      </c>
      <c r="C135" s="27">
        <v>1</v>
      </c>
      <c r="D135" s="101" t="s">
        <v>455</v>
      </c>
      <c r="E135" s="279">
        <v>130.1</v>
      </c>
      <c r="F135" s="441">
        <v>1555.2538932573407</v>
      </c>
      <c r="G135" s="441">
        <v>0</v>
      </c>
      <c r="H135" s="73">
        <v>-1555.2538932573407</v>
      </c>
      <c r="I135" s="5">
        <v>0</v>
      </c>
      <c r="J135" s="5">
        <v>0</v>
      </c>
      <c r="K135" s="446"/>
      <c r="L135" s="5">
        <v>0</v>
      </c>
      <c r="M135" s="5">
        <v>0</v>
      </c>
      <c r="N135" s="35"/>
      <c r="O135" s="5">
        <v>0</v>
      </c>
      <c r="P135" s="5">
        <v>0</v>
      </c>
      <c r="Q135" s="447"/>
      <c r="R135" s="5">
        <v>0</v>
      </c>
      <c r="S135" s="5">
        <v>0</v>
      </c>
      <c r="T135" s="448"/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/>
      <c r="AH135" s="5">
        <v>0</v>
      </c>
      <c r="AI135" s="5">
        <v>0</v>
      </c>
      <c r="AJ135" s="5"/>
      <c r="AK135" s="5">
        <v>0</v>
      </c>
      <c r="AL135" s="5">
        <v>0</v>
      </c>
      <c r="AM135" s="5"/>
      <c r="AN135" s="5">
        <v>0</v>
      </c>
      <c r="AO135" s="5">
        <v>0</v>
      </c>
      <c r="AP135" s="5"/>
      <c r="AQ135" s="5">
        <v>0</v>
      </c>
      <c r="AR135" s="5">
        <v>0</v>
      </c>
      <c r="AS135" s="5"/>
      <c r="AT135" s="5">
        <v>0</v>
      </c>
      <c r="AU135" s="5">
        <v>0</v>
      </c>
      <c r="AV135" s="5"/>
      <c r="AW135" s="5">
        <v>3.9029999999999996</v>
      </c>
      <c r="AX135" s="5">
        <v>0</v>
      </c>
      <c r="AY135" s="5"/>
      <c r="AZ135" s="40">
        <v>3.9029999999999996</v>
      </c>
      <c r="BA135" s="40">
        <v>0</v>
      </c>
      <c r="BB135" s="55">
        <v>-3.9029999999999996</v>
      </c>
      <c r="BD135" s="2">
        <v>2</v>
      </c>
      <c r="BF135" s="325">
        <v>150000621</v>
      </c>
    </row>
    <row r="136" spans="1:58" ht="25.05" customHeight="1" x14ac:dyDescent="0.3">
      <c r="A136" s="325">
        <v>150000622</v>
      </c>
      <c r="B136" s="445" t="s">
        <v>82</v>
      </c>
      <c r="C136" s="27">
        <v>1</v>
      </c>
      <c r="D136" s="101" t="s">
        <v>455</v>
      </c>
      <c r="E136" s="279">
        <v>132.69999999999999</v>
      </c>
      <c r="F136" s="441">
        <v>1189.2572209654093</v>
      </c>
      <c r="G136" s="441">
        <v>0</v>
      </c>
      <c r="H136" s="73">
        <v>-1189.2572209654093</v>
      </c>
      <c r="I136" s="5">
        <v>0</v>
      </c>
      <c r="J136" s="5">
        <v>0</v>
      </c>
      <c r="K136" s="446"/>
      <c r="L136" s="5">
        <v>0</v>
      </c>
      <c r="M136" s="5">
        <v>0</v>
      </c>
      <c r="N136" s="35"/>
      <c r="O136" s="5">
        <v>0</v>
      </c>
      <c r="P136" s="5">
        <v>0</v>
      </c>
      <c r="Q136" s="447"/>
      <c r="R136" s="5">
        <v>0</v>
      </c>
      <c r="S136" s="5">
        <v>0</v>
      </c>
      <c r="T136" s="448"/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/>
      <c r="AH136" s="5">
        <v>0</v>
      </c>
      <c r="AI136" s="5">
        <v>0</v>
      </c>
      <c r="AJ136" s="5"/>
      <c r="AK136" s="5">
        <v>0</v>
      </c>
      <c r="AL136" s="5">
        <v>0</v>
      </c>
      <c r="AM136" s="5"/>
      <c r="AN136" s="5">
        <v>0</v>
      </c>
      <c r="AO136" s="5">
        <v>0</v>
      </c>
      <c r="AP136" s="5"/>
      <c r="AQ136" s="5">
        <v>0</v>
      </c>
      <c r="AR136" s="5">
        <v>0</v>
      </c>
      <c r="AS136" s="5"/>
      <c r="AT136" s="5">
        <v>0</v>
      </c>
      <c r="AU136" s="5">
        <v>0</v>
      </c>
      <c r="AV136" s="5"/>
      <c r="AW136" s="5">
        <v>3.9809999999999999</v>
      </c>
      <c r="AX136" s="5">
        <v>0</v>
      </c>
      <c r="AY136" s="5"/>
      <c r="AZ136" s="40">
        <v>3.9809999999999999</v>
      </c>
      <c r="BA136" s="40">
        <v>0</v>
      </c>
      <c r="BB136" s="55">
        <v>-3.9809999999999999</v>
      </c>
      <c r="BD136" s="2">
        <v>2</v>
      </c>
      <c r="BF136" s="325">
        <v>150000622</v>
      </c>
    </row>
    <row r="137" spans="1:58" ht="25.05" customHeight="1" x14ac:dyDescent="0.3">
      <c r="A137" s="325">
        <v>150000587</v>
      </c>
      <c r="B137" s="445" t="s">
        <v>83</v>
      </c>
      <c r="C137" s="27">
        <v>1</v>
      </c>
      <c r="D137" s="101" t="s">
        <v>455</v>
      </c>
      <c r="E137" s="279">
        <v>121</v>
      </c>
      <c r="F137" s="441">
        <v>1212.176732557868</v>
      </c>
      <c r="G137" s="441">
        <v>0</v>
      </c>
      <c r="H137" s="73">
        <v>-1212.176732557868</v>
      </c>
      <c r="I137" s="5">
        <v>0</v>
      </c>
      <c r="J137" s="5">
        <v>0</v>
      </c>
      <c r="K137" s="446"/>
      <c r="L137" s="5">
        <v>0</v>
      </c>
      <c r="M137" s="5">
        <v>0</v>
      </c>
      <c r="N137" s="35"/>
      <c r="O137" s="5">
        <v>0</v>
      </c>
      <c r="P137" s="5">
        <v>0</v>
      </c>
      <c r="Q137" s="447"/>
      <c r="R137" s="5">
        <v>0</v>
      </c>
      <c r="S137" s="5">
        <v>0</v>
      </c>
      <c r="T137" s="448"/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/>
      <c r="AH137" s="5">
        <v>0</v>
      </c>
      <c r="AI137" s="5">
        <v>0</v>
      </c>
      <c r="AJ137" s="5"/>
      <c r="AK137" s="5">
        <v>0</v>
      </c>
      <c r="AL137" s="5">
        <v>0</v>
      </c>
      <c r="AM137" s="5"/>
      <c r="AN137" s="5">
        <v>0</v>
      </c>
      <c r="AO137" s="5">
        <v>0</v>
      </c>
      <c r="AP137" s="5"/>
      <c r="AQ137" s="5">
        <v>0</v>
      </c>
      <c r="AR137" s="5">
        <v>0</v>
      </c>
      <c r="AS137" s="5"/>
      <c r="AT137" s="5">
        <v>0</v>
      </c>
      <c r="AU137" s="5">
        <v>0</v>
      </c>
      <c r="AV137" s="5"/>
      <c r="AW137" s="5">
        <v>3.63</v>
      </c>
      <c r="AX137" s="5">
        <v>0</v>
      </c>
      <c r="AY137" s="5"/>
      <c r="AZ137" s="40">
        <v>3.63</v>
      </c>
      <c r="BA137" s="40">
        <v>0</v>
      </c>
      <c r="BB137" s="55">
        <v>-3.63</v>
      </c>
      <c r="BD137" s="2">
        <v>3</v>
      </c>
      <c r="BF137" s="325">
        <v>150000587</v>
      </c>
    </row>
    <row r="138" spans="1:58" ht="25.05" customHeight="1" x14ac:dyDescent="0.3">
      <c r="A138" s="325">
        <v>150000590</v>
      </c>
      <c r="B138" s="445" t="s">
        <v>164</v>
      </c>
      <c r="C138" s="27">
        <v>2</v>
      </c>
      <c r="D138" s="101" t="s">
        <v>455</v>
      </c>
      <c r="E138" s="279">
        <v>373.5</v>
      </c>
      <c r="F138" s="441">
        <v>4133.7917309545992</v>
      </c>
      <c r="G138" s="441">
        <v>178</v>
      </c>
      <c r="H138" s="73">
        <v>-3955.7917309545992</v>
      </c>
      <c r="I138" s="5">
        <v>0</v>
      </c>
      <c r="J138" s="5">
        <v>0</v>
      </c>
      <c r="K138" s="446"/>
      <c r="L138" s="5">
        <v>0</v>
      </c>
      <c r="M138" s="5">
        <v>0</v>
      </c>
      <c r="N138" s="35"/>
      <c r="O138" s="5">
        <v>0</v>
      </c>
      <c r="P138" s="5">
        <v>0</v>
      </c>
      <c r="Q138" s="447"/>
      <c r="R138" s="5">
        <v>0</v>
      </c>
      <c r="S138" s="5">
        <v>0</v>
      </c>
      <c r="T138" s="448"/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178</v>
      </c>
      <c r="AE138" s="5">
        <v>514.09353202802788</v>
      </c>
      <c r="AF138" s="5">
        <v>0</v>
      </c>
      <c r="AG138" s="5"/>
      <c r="AH138" s="5">
        <v>676.78526717540683</v>
      </c>
      <c r="AI138" s="5">
        <v>0</v>
      </c>
      <c r="AJ138" s="5"/>
      <c r="AK138" s="5">
        <v>0</v>
      </c>
      <c r="AL138" s="5">
        <v>0</v>
      </c>
      <c r="AM138" s="5"/>
      <c r="AN138" s="5">
        <v>0</v>
      </c>
      <c r="AO138" s="5">
        <v>0</v>
      </c>
      <c r="AP138" s="5"/>
      <c r="AQ138" s="5">
        <v>0</v>
      </c>
      <c r="AR138" s="5">
        <v>0</v>
      </c>
      <c r="AS138" s="5"/>
      <c r="AT138" s="5">
        <v>121.66566369998588</v>
      </c>
      <c r="AU138" s="5">
        <v>0</v>
      </c>
      <c r="AV138" s="5"/>
      <c r="AW138" s="5">
        <v>11.211</v>
      </c>
      <c r="AX138" s="5">
        <v>0</v>
      </c>
      <c r="AY138" s="5"/>
      <c r="AZ138" s="40">
        <v>1323.7554629034205</v>
      </c>
      <c r="BA138" s="40">
        <v>0</v>
      </c>
      <c r="BB138" s="55">
        <v>-1323.7554629034205</v>
      </c>
      <c r="BD138" s="2">
        <v>3</v>
      </c>
      <c r="BF138" s="325">
        <v>150000590</v>
      </c>
    </row>
    <row r="139" spans="1:58" ht="25.05" customHeight="1" x14ac:dyDescent="0.3">
      <c r="A139" s="325">
        <v>150000578</v>
      </c>
      <c r="B139" s="445" t="s">
        <v>84</v>
      </c>
      <c r="C139" s="27">
        <v>1</v>
      </c>
      <c r="D139" s="101" t="s">
        <v>455</v>
      </c>
      <c r="E139" s="279">
        <v>173.75</v>
      </c>
      <c r="F139" s="441">
        <v>2182.8181592081996</v>
      </c>
      <c r="G139" s="441">
        <v>0</v>
      </c>
      <c r="H139" s="73">
        <v>-2182.8181592081996</v>
      </c>
      <c r="I139" s="5">
        <v>0</v>
      </c>
      <c r="J139" s="5">
        <v>0</v>
      </c>
      <c r="K139" s="446"/>
      <c r="L139" s="5">
        <v>0</v>
      </c>
      <c r="M139" s="5">
        <v>0</v>
      </c>
      <c r="N139" s="35"/>
      <c r="O139" s="5">
        <v>0</v>
      </c>
      <c r="P139" s="5">
        <v>0</v>
      </c>
      <c r="Q139" s="447"/>
      <c r="R139" s="5">
        <v>0</v>
      </c>
      <c r="S139" s="5">
        <v>0</v>
      </c>
      <c r="T139" s="448"/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/>
      <c r="AH139" s="5">
        <v>0</v>
      </c>
      <c r="AI139" s="5">
        <v>0</v>
      </c>
      <c r="AJ139" s="5"/>
      <c r="AK139" s="5">
        <v>0</v>
      </c>
      <c r="AL139" s="5">
        <v>0</v>
      </c>
      <c r="AM139" s="5"/>
      <c r="AN139" s="5">
        <v>0</v>
      </c>
      <c r="AO139" s="5">
        <v>0</v>
      </c>
      <c r="AP139" s="5"/>
      <c r="AQ139" s="5">
        <v>0</v>
      </c>
      <c r="AR139" s="5">
        <v>0</v>
      </c>
      <c r="AS139" s="5"/>
      <c r="AT139" s="5">
        <v>0</v>
      </c>
      <c r="AU139" s="5">
        <v>0</v>
      </c>
      <c r="AV139" s="5"/>
      <c r="AW139" s="5">
        <v>5.2125000000000004</v>
      </c>
      <c r="AX139" s="5">
        <v>0</v>
      </c>
      <c r="AY139" s="5"/>
      <c r="AZ139" s="40">
        <v>5.2125000000000004</v>
      </c>
      <c r="BA139" s="40">
        <v>0</v>
      </c>
      <c r="BB139" s="55">
        <v>-5.2125000000000004</v>
      </c>
      <c r="BD139" s="2">
        <v>3</v>
      </c>
      <c r="BF139" s="325">
        <v>150000578</v>
      </c>
    </row>
    <row r="140" spans="1:58" ht="25.05" customHeight="1" x14ac:dyDescent="0.3">
      <c r="A140" s="325">
        <v>150000580</v>
      </c>
      <c r="B140" s="445" t="s">
        <v>85</v>
      </c>
      <c r="C140" s="27">
        <v>1</v>
      </c>
      <c r="D140" s="101" t="s">
        <v>455</v>
      </c>
      <c r="E140" s="279">
        <v>188.4</v>
      </c>
      <c r="F140" s="441">
        <v>1822.3780410846682</v>
      </c>
      <c r="G140" s="441">
        <v>0</v>
      </c>
      <c r="H140" s="73">
        <v>-1822.3780410846682</v>
      </c>
      <c r="I140" s="5">
        <v>0</v>
      </c>
      <c r="J140" s="5">
        <v>0</v>
      </c>
      <c r="K140" s="446"/>
      <c r="L140" s="5">
        <v>0</v>
      </c>
      <c r="M140" s="5">
        <v>0</v>
      </c>
      <c r="N140" s="35"/>
      <c r="O140" s="5">
        <v>0</v>
      </c>
      <c r="P140" s="5">
        <v>0</v>
      </c>
      <c r="Q140" s="447"/>
      <c r="R140" s="5">
        <v>0</v>
      </c>
      <c r="S140" s="5">
        <v>0</v>
      </c>
      <c r="T140" s="448"/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/>
      <c r="AH140" s="5">
        <v>0</v>
      </c>
      <c r="AI140" s="5">
        <v>0</v>
      </c>
      <c r="AJ140" s="5"/>
      <c r="AK140" s="5">
        <v>0</v>
      </c>
      <c r="AL140" s="5">
        <v>0</v>
      </c>
      <c r="AM140" s="5"/>
      <c r="AN140" s="5">
        <v>0</v>
      </c>
      <c r="AO140" s="5">
        <v>0</v>
      </c>
      <c r="AP140" s="5"/>
      <c r="AQ140" s="5">
        <v>0</v>
      </c>
      <c r="AR140" s="5">
        <v>0</v>
      </c>
      <c r="AS140" s="5"/>
      <c r="AT140" s="5">
        <v>0</v>
      </c>
      <c r="AU140" s="5">
        <v>0</v>
      </c>
      <c r="AV140" s="5"/>
      <c r="AW140" s="5">
        <v>5.6520000000000001</v>
      </c>
      <c r="AX140" s="5">
        <v>0</v>
      </c>
      <c r="AY140" s="5"/>
      <c r="AZ140" s="40">
        <v>5.6520000000000001</v>
      </c>
      <c r="BA140" s="40">
        <v>0</v>
      </c>
      <c r="BB140" s="55">
        <v>-5.6520000000000001</v>
      </c>
      <c r="BD140" s="2">
        <v>3</v>
      </c>
      <c r="BF140" s="325">
        <v>150000580</v>
      </c>
    </row>
    <row r="141" spans="1:58" ht="25.05" customHeight="1" x14ac:dyDescent="0.3">
      <c r="A141" s="325">
        <v>150001054</v>
      </c>
      <c r="B141" s="445" t="s">
        <v>86</v>
      </c>
      <c r="C141" s="27">
        <v>1</v>
      </c>
      <c r="D141" s="101" t="s">
        <v>455</v>
      </c>
      <c r="E141" s="279">
        <v>195.6</v>
      </c>
      <c r="F141" s="441">
        <v>1980.1919985252521</v>
      </c>
      <c r="G141" s="441">
        <v>0</v>
      </c>
      <c r="H141" s="73">
        <v>-1980.1919985252521</v>
      </c>
      <c r="I141" s="5">
        <v>0</v>
      </c>
      <c r="J141" s="5">
        <v>0</v>
      </c>
      <c r="K141" s="446"/>
      <c r="L141" s="5">
        <v>0</v>
      </c>
      <c r="M141" s="5">
        <v>0</v>
      </c>
      <c r="N141" s="35"/>
      <c r="O141" s="5">
        <v>0</v>
      </c>
      <c r="P141" s="5">
        <v>0</v>
      </c>
      <c r="Q141" s="447"/>
      <c r="R141" s="5">
        <v>0</v>
      </c>
      <c r="S141" s="5">
        <v>0</v>
      </c>
      <c r="T141" s="448"/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/>
      <c r="AH141" s="5">
        <v>0</v>
      </c>
      <c r="AI141" s="5">
        <v>0</v>
      </c>
      <c r="AJ141" s="5"/>
      <c r="AK141" s="5">
        <v>0</v>
      </c>
      <c r="AL141" s="5">
        <v>0</v>
      </c>
      <c r="AM141" s="5"/>
      <c r="AN141" s="5">
        <v>0</v>
      </c>
      <c r="AO141" s="5">
        <v>0</v>
      </c>
      <c r="AP141" s="5"/>
      <c r="AQ141" s="5">
        <v>0</v>
      </c>
      <c r="AR141" s="5">
        <v>0</v>
      </c>
      <c r="AS141" s="5"/>
      <c r="AT141" s="5">
        <v>0</v>
      </c>
      <c r="AU141" s="5">
        <v>0</v>
      </c>
      <c r="AV141" s="5"/>
      <c r="AW141" s="5">
        <v>5.8680000000000003</v>
      </c>
      <c r="AX141" s="5">
        <v>0</v>
      </c>
      <c r="AY141" s="5"/>
      <c r="AZ141" s="40">
        <v>5.8680000000000003</v>
      </c>
      <c r="BA141" s="40">
        <v>0</v>
      </c>
      <c r="BB141" s="55">
        <v>-5.8680000000000003</v>
      </c>
      <c r="BD141" s="2">
        <v>3</v>
      </c>
      <c r="BF141" s="325">
        <v>150001054</v>
      </c>
    </row>
    <row r="142" spans="1:58" ht="25.05" customHeight="1" x14ac:dyDescent="0.3">
      <c r="A142" s="325">
        <v>150000634</v>
      </c>
      <c r="B142" s="445" t="s">
        <v>87</v>
      </c>
      <c r="C142" s="27">
        <v>1</v>
      </c>
      <c r="D142" s="101" t="s">
        <v>455</v>
      </c>
      <c r="E142" s="279">
        <v>196.35</v>
      </c>
      <c r="F142" s="441">
        <v>2454.5618842690692</v>
      </c>
      <c r="G142" s="441">
        <v>707</v>
      </c>
      <c r="H142" s="73">
        <v>-1747.5618842690692</v>
      </c>
      <c r="I142" s="5">
        <v>4</v>
      </c>
      <c r="J142" s="5">
        <v>707</v>
      </c>
      <c r="K142" s="446"/>
      <c r="L142" s="5">
        <v>0</v>
      </c>
      <c r="M142" s="5">
        <v>0</v>
      </c>
      <c r="N142" s="35"/>
      <c r="O142" s="5">
        <v>0</v>
      </c>
      <c r="P142" s="5">
        <v>0</v>
      </c>
      <c r="Q142" s="447"/>
      <c r="R142" s="5">
        <v>0</v>
      </c>
      <c r="S142" s="5">
        <v>0</v>
      </c>
      <c r="T142" s="448"/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/>
      <c r="AH142" s="5">
        <v>0</v>
      </c>
      <c r="AI142" s="5">
        <v>0</v>
      </c>
      <c r="AJ142" s="5"/>
      <c r="AK142" s="5">
        <v>0</v>
      </c>
      <c r="AL142" s="5">
        <v>0</v>
      </c>
      <c r="AM142" s="5"/>
      <c r="AN142" s="5">
        <v>0</v>
      </c>
      <c r="AO142" s="5">
        <v>0</v>
      </c>
      <c r="AP142" s="5"/>
      <c r="AQ142" s="5">
        <v>0</v>
      </c>
      <c r="AR142" s="5">
        <v>0</v>
      </c>
      <c r="AS142" s="5"/>
      <c r="AT142" s="5">
        <v>0</v>
      </c>
      <c r="AU142" s="5">
        <v>0</v>
      </c>
      <c r="AV142" s="5"/>
      <c r="AW142" s="5">
        <v>5.8905000000000003</v>
      </c>
      <c r="AX142" s="5">
        <v>0</v>
      </c>
      <c r="AY142" s="5"/>
      <c r="AZ142" s="40">
        <v>5.8905000000000003</v>
      </c>
      <c r="BA142" s="40">
        <v>0</v>
      </c>
      <c r="BB142" s="55">
        <v>-5.8905000000000003</v>
      </c>
      <c r="BD142" s="2">
        <v>3</v>
      </c>
      <c r="BF142" s="325">
        <v>150000634</v>
      </c>
    </row>
    <row r="143" spans="1:58" ht="25.05" customHeight="1" x14ac:dyDescent="0.3">
      <c r="A143" s="325">
        <v>150000636</v>
      </c>
      <c r="B143" s="445" t="s">
        <v>259</v>
      </c>
      <c r="C143" s="27">
        <v>5</v>
      </c>
      <c r="D143" s="101" t="s">
        <v>455</v>
      </c>
      <c r="E143" s="279">
        <v>3175.8</v>
      </c>
      <c r="F143" s="441">
        <v>36117.615618882694</v>
      </c>
      <c r="G143" s="441">
        <v>6686</v>
      </c>
      <c r="H143" s="73">
        <v>-29431.615618882694</v>
      </c>
      <c r="I143" s="5">
        <v>0</v>
      </c>
      <c r="J143" s="5">
        <v>0</v>
      </c>
      <c r="K143" s="446"/>
      <c r="L143" s="5">
        <v>0</v>
      </c>
      <c r="M143" s="5">
        <v>0</v>
      </c>
      <c r="N143" s="448"/>
      <c r="O143" s="5">
        <v>0</v>
      </c>
      <c r="P143" s="5">
        <v>0</v>
      </c>
      <c r="Q143" s="447"/>
      <c r="R143" s="5">
        <v>0</v>
      </c>
      <c r="S143" s="5">
        <v>0</v>
      </c>
      <c r="T143" s="448"/>
      <c r="U143" s="5">
        <v>0</v>
      </c>
      <c r="V143" s="5">
        <v>0</v>
      </c>
      <c r="W143" s="5">
        <v>6</v>
      </c>
      <c r="X143" s="5">
        <v>418</v>
      </c>
      <c r="Y143" s="5">
        <v>5555</v>
      </c>
      <c r="Z143" s="5">
        <v>0</v>
      </c>
      <c r="AA143" s="5">
        <v>0</v>
      </c>
      <c r="AB143" s="5">
        <v>0</v>
      </c>
      <c r="AC143" s="5">
        <v>0</v>
      </c>
      <c r="AD143" s="5">
        <v>713</v>
      </c>
      <c r="AE143" s="5">
        <v>2356.4950882152316</v>
      </c>
      <c r="AF143" s="5">
        <v>852</v>
      </c>
      <c r="AG143" s="5"/>
      <c r="AH143" s="5">
        <v>3598.7212845162012</v>
      </c>
      <c r="AI143" s="5">
        <v>4065</v>
      </c>
      <c r="AJ143" s="5"/>
      <c r="AK143" s="5">
        <v>1644.1551819724586</v>
      </c>
      <c r="AL143" s="5">
        <v>624</v>
      </c>
      <c r="AM143" s="452"/>
      <c r="AN143" s="5">
        <v>0</v>
      </c>
      <c r="AO143" s="5">
        <v>0</v>
      </c>
      <c r="AP143" s="5"/>
      <c r="AQ143" s="5">
        <v>1109.648866209001</v>
      </c>
      <c r="AR143" s="5">
        <v>0</v>
      </c>
      <c r="AS143" s="5"/>
      <c r="AT143" s="5">
        <v>1790.6137251016567</v>
      </c>
      <c r="AU143" s="5">
        <v>0</v>
      </c>
      <c r="AV143" s="461"/>
      <c r="AW143" s="5">
        <v>95.273099999999999</v>
      </c>
      <c r="AX143" s="5">
        <v>0</v>
      </c>
      <c r="AY143" s="5"/>
      <c r="AZ143" s="40">
        <v>10594.907246014551</v>
      </c>
      <c r="BA143" s="40">
        <v>5541</v>
      </c>
      <c r="BB143" s="55">
        <v>-5053.9072460145508</v>
      </c>
      <c r="BD143" s="2">
        <v>3</v>
      </c>
      <c r="BF143" s="325">
        <v>150000636</v>
      </c>
    </row>
    <row r="144" spans="1:58" ht="25.05" customHeight="1" x14ac:dyDescent="0.3">
      <c r="A144" s="325">
        <v>150000637</v>
      </c>
      <c r="B144" s="445" t="s">
        <v>88</v>
      </c>
      <c r="C144" s="27">
        <v>1</v>
      </c>
      <c r="D144" s="101" t="s">
        <v>455</v>
      </c>
      <c r="E144" s="279">
        <v>164.45</v>
      </c>
      <c r="F144" s="441">
        <v>1758.8155355864988</v>
      </c>
      <c r="G144" s="441">
        <v>0</v>
      </c>
      <c r="H144" s="73">
        <v>-1758.8155355864988</v>
      </c>
      <c r="I144" s="5">
        <v>0</v>
      </c>
      <c r="J144" s="5">
        <v>0</v>
      </c>
      <c r="K144" s="446"/>
      <c r="L144" s="5">
        <v>0</v>
      </c>
      <c r="M144" s="5">
        <v>0</v>
      </c>
      <c r="N144" s="35"/>
      <c r="O144" s="5">
        <v>0</v>
      </c>
      <c r="P144" s="5">
        <v>0</v>
      </c>
      <c r="Q144" s="447"/>
      <c r="R144" s="5">
        <v>0</v>
      </c>
      <c r="S144" s="5">
        <v>0</v>
      </c>
      <c r="T144" s="448"/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/>
      <c r="AH144" s="5">
        <v>0</v>
      </c>
      <c r="AI144" s="5">
        <v>0</v>
      </c>
      <c r="AJ144" s="5"/>
      <c r="AK144" s="5">
        <v>0</v>
      </c>
      <c r="AL144" s="5">
        <v>0</v>
      </c>
      <c r="AM144" s="5"/>
      <c r="AN144" s="5">
        <v>0</v>
      </c>
      <c r="AO144" s="5">
        <v>0</v>
      </c>
      <c r="AP144" s="5"/>
      <c r="AQ144" s="5">
        <v>0</v>
      </c>
      <c r="AR144" s="5">
        <v>0</v>
      </c>
      <c r="AS144" s="5"/>
      <c r="AT144" s="5">
        <v>0</v>
      </c>
      <c r="AU144" s="5">
        <v>0</v>
      </c>
      <c r="AV144" s="5"/>
      <c r="AW144" s="5">
        <v>4.9334999999999996</v>
      </c>
      <c r="AX144" s="5">
        <v>0</v>
      </c>
      <c r="AY144" s="5"/>
      <c r="AZ144" s="40">
        <v>4.9334999999999996</v>
      </c>
      <c r="BA144" s="40">
        <v>0</v>
      </c>
      <c r="BB144" s="55">
        <v>-4.9334999999999996</v>
      </c>
      <c r="BD144" s="2">
        <v>3</v>
      </c>
      <c r="BF144" s="325">
        <v>150000637</v>
      </c>
    </row>
    <row r="145" spans="1:58" ht="25.05" customHeight="1" x14ac:dyDescent="0.3">
      <c r="A145" s="325">
        <v>150000555</v>
      </c>
      <c r="B145" s="445" t="s">
        <v>89</v>
      </c>
      <c r="C145" s="27">
        <v>1</v>
      </c>
      <c r="D145" s="101" t="s">
        <v>455</v>
      </c>
      <c r="E145" s="279">
        <v>175.5</v>
      </c>
      <c r="F145" s="441">
        <v>2377.6215586793305</v>
      </c>
      <c r="G145" s="441">
        <v>0</v>
      </c>
      <c r="H145" s="73">
        <v>-2377.6215586793305</v>
      </c>
      <c r="I145" s="5">
        <v>0</v>
      </c>
      <c r="J145" s="5">
        <v>0</v>
      </c>
      <c r="K145" s="446"/>
      <c r="L145" s="5">
        <v>0</v>
      </c>
      <c r="M145" s="5">
        <v>0</v>
      </c>
      <c r="N145" s="35"/>
      <c r="O145" s="5">
        <v>0</v>
      </c>
      <c r="P145" s="5">
        <v>0</v>
      </c>
      <c r="Q145" s="447"/>
      <c r="R145" s="5">
        <v>0</v>
      </c>
      <c r="S145" s="5">
        <v>0</v>
      </c>
      <c r="T145" s="448"/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/>
      <c r="AH145" s="5">
        <v>0</v>
      </c>
      <c r="AI145" s="5">
        <v>0</v>
      </c>
      <c r="AJ145" s="5"/>
      <c r="AK145" s="5">
        <v>0</v>
      </c>
      <c r="AL145" s="5">
        <v>0</v>
      </c>
      <c r="AM145" s="5"/>
      <c r="AN145" s="5">
        <v>0</v>
      </c>
      <c r="AO145" s="5">
        <v>0</v>
      </c>
      <c r="AP145" s="5"/>
      <c r="AQ145" s="5">
        <v>0</v>
      </c>
      <c r="AR145" s="5">
        <v>0</v>
      </c>
      <c r="AS145" s="5"/>
      <c r="AT145" s="5">
        <v>0</v>
      </c>
      <c r="AU145" s="5">
        <v>0</v>
      </c>
      <c r="AV145" s="5"/>
      <c r="AW145" s="5">
        <v>5.2650000000000006</v>
      </c>
      <c r="AX145" s="5">
        <v>0</v>
      </c>
      <c r="AY145" s="5"/>
      <c r="AZ145" s="40">
        <v>5.2650000000000006</v>
      </c>
      <c r="BA145" s="40">
        <v>0</v>
      </c>
      <c r="BB145" s="55">
        <v>-5.2650000000000006</v>
      </c>
      <c r="BD145" s="2">
        <v>3</v>
      </c>
      <c r="BF145" s="325">
        <v>150000555</v>
      </c>
    </row>
    <row r="146" spans="1:58" ht="25.05" customHeight="1" x14ac:dyDescent="0.3">
      <c r="A146" s="325">
        <v>150000556</v>
      </c>
      <c r="B146" s="445" t="s">
        <v>90</v>
      </c>
      <c r="C146" s="27">
        <v>1</v>
      </c>
      <c r="D146" s="101" t="s">
        <v>455</v>
      </c>
      <c r="E146" s="279">
        <v>181.9</v>
      </c>
      <c r="F146" s="441">
        <v>2239.3798365605635</v>
      </c>
      <c r="G146" s="441">
        <v>0</v>
      </c>
      <c r="H146" s="73">
        <v>-2239.3798365605635</v>
      </c>
      <c r="I146" s="5">
        <v>0</v>
      </c>
      <c r="J146" s="5">
        <v>0</v>
      </c>
      <c r="K146" s="446"/>
      <c r="L146" s="5">
        <v>0</v>
      </c>
      <c r="M146" s="5">
        <v>0</v>
      </c>
      <c r="N146" s="35"/>
      <c r="O146" s="5">
        <v>0</v>
      </c>
      <c r="P146" s="5">
        <v>0</v>
      </c>
      <c r="Q146" s="447"/>
      <c r="R146" s="5">
        <v>0</v>
      </c>
      <c r="S146" s="5">
        <v>0</v>
      </c>
      <c r="T146" s="448"/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/>
      <c r="AH146" s="5">
        <v>0</v>
      </c>
      <c r="AI146" s="5">
        <v>0</v>
      </c>
      <c r="AJ146" s="5"/>
      <c r="AK146" s="5">
        <v>0</v>
      </c>
      <c r="AL146" s="5">
        <v>0</v>
      </c>
      <c r="AM146" s="5"/>
      <c r="AN146" s="5">
        <v>0</v>
      </c>
      <c r="AO146" s="5">
        <v>0</v>
      </c>
      <c r="AP146" s="5"/>
      <c r="AQ146" s="5">
        <v>0</v>
      </c>
      <c r="AR146" s="5">
        <v>0</v>
      </c>
      <c r="AS146" s="5"/>
      <c r="AT146" s="5">
        <v>0</v>
      </c>
      <c r="AU146" s="5">
        <v>0</v>
      </c>
      <c r="AV146" s="5"/>
      <c r="AW146" s="5">
        <v>5.4570000000000007</v>
      </c>
      <c r="AX146" s="5">
        <v>0</v>
      </c>
      <c r="AY146" s="5"/>
      <c r="AZ146" s="40">
        <v>5.4570000000000007</v>
      </c>
      <c r="BA146" s="40">
        <v>0</v>
      </c>
      <c r="BB146" s="55">
        <v>-5.4570000000000007</v>
      </c>
      <c r="BD146" s="2">
        <v>3</v>
      </c>
      <c r="BF146" s="325">
        <v>150000556</v>
      </c>
    </row>
    <row r="147" spans="1:58" ht="25.05" customHeight="1" x14ac:dyDescent="0.3">
      <c r="A147" s="325">
        <v>150000557</v>
      </c>
      <c r="B147" s="445" t="s">
        <v>91</v>
      </c>
      <c r="C147" s="27">
        <v>1</v>
      </c>
      <c r="D147" s="101" t="s">
        <v>455</v>
      </c>
      <c r="E147" s="279">
        <v>110.2</v>
      </c>
      <c r="F147" s="441">
        <v>1460.8982901132135</v>
      </c>
      <c r="G147" s="441">
        <v>0</v>
      </c>
      <c r="H147" s="73">
        <v>-1460.8982901132135</v>
      </c>
      <c r="I147" s="5">
        <v>0</v>
      </c>
      <c r="J147" s="5">
        <v>0</v>
      </c>
      <c r="K147" s="446"/>
      <c r="L147" s="5">
        <v>0</v>
      </c>
      <c r="M147" s="5">
        <v>0</v>
      </c>
      <c r="N147" s="35"/>
      <c r="O147" s="5">
        <v>0</v>
      </c>
      <c r="P147" s="5">
        <v>0</v>
      </c>
      <c r="Q147" s="447"/>
      <c r="R147" s="5">
        <v>0</v>
      </c>
      <c r="S147" s="5">
        <v>0</v>
      </c>
      <c r="T147" s="448"/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/>
      <c r="AH147" s="5">
        <v>0</v>
      </c>
      <c r="AI147" s="5">
        <v>0</v>
      </c>
      <c r="AJ147" s="5"/>
      <c r="AK147" s="5">
        <v>0</v>
      </c>
      <c r="AL147" s="5">
        <v>0</v>
      </c>
      <c r="AM147" s="5"/>
      <c r="AN147" s="5">
        <v>0</v>
      </c>
      <c r="AO147" s="5">
        <v>0</v>
      </c>
      <c r="AP147" s="5"/>
      <c r="AQ147" s="5">
        <v>0</v>
      </c>
      <c r="AR147" s="5">
        <v>0</v>
      </c>
      <c r="AS147" s="5"/>
      <c r="AT147" s="5">
        <v>0</v>
      </c>
      <c r="AU147" s="5">
        <v>0</v>
      </c>
      <c r="AV147" s="5"/>
      <c r="AW147" s="5">
        <v>3.306</v>
      </c>
      <c r="AX147" s="5">
        <v>0</v>
      </c>
      <c r="AY147" s="5"/>
      <c r="AZ147" s="40">
        <v>3.306</v>
      </c>
      <c r="BA147" s="40">
        <v>0</v>
      </c>
      <c r="BB147" s="55">
        <v>-3.306</v>
      </c>
      <c r="BD147" s="2">
        <v>3</v>
      </c>
      <c r="BF147" s="325">
        <v>150000557</v>
      </c>
    </row>
    <row r="148" spans="1:58" ht="25.05" customHeight="1" x14ac:dyDescent="0.3">
      <c r="A148" s="325">
        <v>150000552</v>
      </c>
      <c r="B148" s="445" t="s">
        <v>92</v>
      </c>
      <c r="C148" s="27">
        <v>1</v>
      </c>
      <c r="D148" s="101" t="s">
        <v>455</v>
      </c>
      <c r="E148" s="279">
        <v>100.2</v>
      </c>
      <c r="F148" s="441">
        <v>1384.7998478603358</v>
      </c>
      <c r="G148" s="441">
        <v>0</v>
      </c>
      <c r="H148" s="73">
        <v>-1384.7998478603358</v>
      </c>
      <c r="I148" s="5">
        <v>0</v>
      </c>
      <c r="J148" s="5">
        <v>0</v>
      </c>
      <c r="K148" s="446"/>
      <c r="L148" s="5">
        <v>0</v>
      </c>
      <c r="M148" s="5">
        <v>0</v>
      </c>
      <c r="N148" s="35"/>
      <c r="O148" s="5">
        <v>0</v>
      </c>
      <c r="P148" s="5">
        <v>0</v>
      </c>
      <c r="Q148" s="447"/>
      <c r="R148" s="5">
        <v>0</v>
      </c>
      <c r="S148" s="5">
        <v>0</v>
      </c>
      <c r="T148" s="448"/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/>
      <c r="AH148" s="5">
        <v>0</v>
      </c>
      <c r="AI148" s="5">
        <v>0</v>
      </c>
      <c r="AJ148" s="5"/>
      <c r="AK148" s="5">
        <v>0</v>
      </c>
      <c r="AL148" s="5">
        <v>0</v>
      </c>
      <c r="AM148" s="5"/>
      <c r="AN148" s="5">
        <v>0</v>
      </c>
      <c r="AO148" s="5">
        <v>0</v>
      </c>
      <c r="AP148" s="5"/>
      <c r="AQ148" s="5">
        <v>0</v>
      </c>
      <c r="AR148" s="5">
        <v>0</v>
      </c>
      <c r="AS148" s="5"/>
      <c r="AT148" s="5">
        <v>0</v>
      </c>
      <c r="AU148" s="5">
        <v>0</v>
      </c>
      <c r="AV148" s="5"/>
      <c r="AW148" s="5">
        <v>3.0060000000000002</v>
      </c>
      <c r="AX148" s="5">
        <v>0</v>
      </c>
      <c r="AY148" s="5"/>
      <c r="AZ148" s="40">
        <v>3.0060000000000002</v>
      </c>
      <c r="BA148" s="40">
        <v>0</v>
      </c>
      <c r="BB148" s="55">
        <v>-3.0060000000000002</v>
      </c>
      <c r="BD148" s="2">
        <v>3</v>
      </c>
      <c r="BF148" s="325">
        <v>150000552</v>
      </c>
    </row>
    <row r="149" spans="1:58" ht="25.05" customHeight="1" x14ac:dyDescent="0.3">
      <c r="A149" s="325">
        <v>150000553</v>
      </c>
      <c r="B149" s="445" t="s">
        <v>260</v>
      </c>
      <c r="C149" s="27">
        <v>5</v>
      </c>
      <c r="D149" s="101" t="s">
        <v>455</v>
      </c>
      <c r="E149" s="279">
        <v>3380.05</v>
      </c>
      <c r="F149" s="441">
        <v>37314.725517570092</v>
      </c>
      <c r="G149" s="441">
        <v>33493.344915208669</v>
      </c>
      <c r="H149" s="73">
        <v>-3821.3806023614234</v>
      </c>
      <c r="I149" s="5">
        <v>130.85</v>
      </c>
      <c r="J149" s="5">
        <v>21538.09</v>
      </c>
      <c r="K149" s="446"/>
      <c r="L149" s="5">
        <v>0</v>
      </c>
      <c r="M149" s="5">
        <v>0</v>
      </c>
      <c r="N149" s="35"/>
      <c r="O149" s="5">
        <v>0</v>
      </c>
      <c r="P149" s="5">
        <v>0</v>
      </c>
      <c r="Q149" s="447"/>
      <c r="R149" s="5">
        <v>0</v>
      </c>
      <c r="S149" s="5">
        <v>0</v>
      </c>
      <c r="T149" s="448"/>
      <c r="U149" s="5">
        <v>0</v>
      </c>
      <c r="V149" s="5">
        <v>0</v>
      </c>
      <c r="W149" s="5">
        <v>20.7</v>
      </c>
      <c r="X149" s="5">
        <v>5566.2549152086731</v>
      </c>
      <c r="Y149" s="5">
        <v>231</v>
      </c>
      <c r="Z149" s="5">
        <v>0</v>
      </c>
      <c r="AA149" s="5">
        <v>0</v>
      </c>
      <c r="AB149" s="5">
        <v>5087</v>
      </c>
      <c r="AC149" s="5">
        <v>358</v>
      </c>
      <c r="AD149" s="5">
        <v>713</v>
      </c>
      <c r="AE149" s="5">
        <v>2498.6666558479892</v>
      </c>
      <c r="AF149" s="5">
        <v>0</v>
      </c>
      <c r="AG149" s="5"/>
      <c r="AH149" s="5">
        <v>3677.7472864200122</v>
      </c>
      <c r="AI149" s="5">
        <v>0</v>
      </c>
      <c r="AJ149" s="8"/>
      <c r="AK149" s="5">
        <v>1631.1659844206176</v>
      </c>
      <c r="AL149" s="5">
        <v>5118</v>
      </c>
      <c r="AM149" s="8"/>
      <c r="AN149" s="5">
        <v>0</v>
      </c>
      <c r="AO149" s="5">
        <v>0</v>
      </c>
      <c r="AP149" s="5"/>
      <c r="AQ149" s="5">
        <v>0</v>
      </c>
      <c r="AR149" s="5">
        <v>0</v>
      </c>
      <c r="AS149" s="5"/>
      <c r="AT149" s="5">
        <v>2105.1593736805139</v>
      </c>
      <c r="AU149" s="5">
        <v>727</v>
      </c>
      <c r="AV149" s="461"/>
      <c r="AW149" s="5">
        <v>104.31899999999999</v>
      </c>
      <c r="AX149" s="5">
        <v>0</v>
      </c>
      <c r="AY149" s="5"/>
      <c r="AZ149" s="40">
        <v>10017.058300369134</v>
      </c>
      <c r="BA149" s="40">
        <v>5845</v>
      </c>
      <c r="BB149" s="55">
        <v>-4172.0583003691336</v>
      </c>
      <c r="BD149" s="2">
        <v>3</v>
      </c>
      <c r="BF149" s="325">
        <v>150000553</v>
      </c>
    </row>
    <row r="150" spans="1:58" ht="25.05" customHeight="1" x14ac:dyDescent="0.3">
      <c r="A150" s="325">
        <v>150000493</v>
      </c>
      <c r="B150" s="445" t="s">
        <v>418</v>
      </c>
      <c r="C150" s="27">
        <v>10</v>
      </c>
      <c r="D150" s="101" t="s">
        <v>455</v>
      </c>
      <c r="E150" s="279">
        <v>7111.44</v>
      </c>
      <c r="F150" s="441">
        <v>91424.747480982958</v>
      </c>
      <c r="G150" s="441">
        <v>212548.15999999997</v>
      </c>
      <c r="H150" s="73">
        <v>121123.41251901702</v>
      </c>
      <c r="I150" s="5">
        <v>0</v>
      </c>
      <c r="J150" s="5">
        <v>0</v>
      </c>
      <c r="K150" s="446"/>
      <c r="L150" s="5">
        <v>0</v>
      </c>
      <c r="M150" s="5">
        <v>667</v>
      </c>
      <c r="N150" s="35"/>
      <c r="O150" s="5">
        <v>0</v>
      </c>
      <c r="P150" s="5">
        <v>0</v>
      </c>
      <c r="Q150" s="447"/>
      <c r="R150" s="5">
        <v>5</v>
      </c>
      <c r="S150" s="5">
        <v>181786</v>
      </c>
      <c r="T150" s="448"/>
      <c r="U150" s="5">
        <v>12354</v>
      </c>
      <c r="V150" s="5">
        <v>0</v>
      </c>
      <c r="W150" s="5">
        <v>0</v>
      </c>
      <c r="X150" s="5">
        <v>0</v>
      </c>
      <c r="Y150" s="5">
        <v>951.9</v>
      </c>
      <c r="Z150" s="5">
        <v>0</v>
      </c>
      <c r="AA150" s="5">
        <v>0</v>
      </c>
      <c r="AB150" s="5">
        <v>12511.99</v>
      </c>
      <c r="AC150" s="5">
        <v>0</v>
      </c>
      <c r="AD150" s="5">
        <v>4277.2700000000004</v>
      </c>
      <c r="AE150" s="5">
        <v>3813.4475629494086</v>
      </c>
      <c r="AF150" s="5">
        <v>1263</v>
      </c>
      <c r="AG150" s="5"/>
      <c r="AH150" s="5">
        <v>4174.6547137317684</v>
      </c>
      <c r="AI150" s="5">
        <v>3159.2</v>
      </c>
      <c r="AJ150" s="5"/>
      <c r="AK150" s="5">
        <v>2388.8812150565386</v>
      </c>
      <c r="AL150" s="5">
        <v>0</v>
      </c>
      <c r="AM150" s="5"/>
      <c r="AN150" s="5">
        <v>3050.6836368638928</v>
      </c>
      <c r="AO150" s="5">
        <v>0</v>
      </c>
      <c r="AP150" s="5"/>
      <c r="AQ150" s="5">
        <v>1480.0607281226878</v>
      </c>
      <c r="AR150" s="5">
        <v>0</v>
      </c>
      <c r="AS150" s="5"/>
      <c r="AT150" s="5">
        <v>2318.8144601211829</v>
      </c>
      <c r="AU150" s="5">
        <v>4396</v>
      </c>
      <c r="AV150" s="5"/>
      <c r="AW150" s="5">
        <v>443.04522343092356</v>
      </c>
      <c r="AX150" s="5">
        <v>0</v>
      </c>
      <c r="AY150" s="5"/>
      <c r="AZ150" s="40">
        <v>17669.587540276403</v>
      </c>
      <c r="BA150" s="40">
        <v>8818.2000000000007</v>
      </c>
      <c r="BB150" s="55">
        <v>-8851.3875402764024</v>
      </c>
      <c r="BD150" s="2">
        <v>1</v>
      </c>
      <c r="BF150" s="325">
        <v>150000493</v>
      </c>
    </row>
    <row r="151" spans="1:58" ht="25.05" customHeight="1" x14ac:dyDescent="0.3">
      <c r="A151" s="325">
        <v>150000494</v>
      </c>
      <c r="B151" s="445" t="s">
        <v>419</v>
      </c>
      <c r="C151" s="27">
        <v>10</v>
      </c>
      <c r="D151" s="101" t="s">
        <v>455</v>
      </c>
      <c r="E151" s="279">
        <v>9469.1</v>
      </c>
      <c r="F151" s="441">
        <v>114019.59621192902</v>
      </c>
      <c r="G151" s="441">
        <v>49101.450000000004</v>
      </c>
      <c r="H151" s="73">
        <v>-64918.146211929015</v>
      </c>
      <c r="I151" s="5">
        <v>49.900000000000006</v>
      </c>
      <c r="J151" s="5">
        <v>10163.86</v>
      </c>
      <c r="K151" s="446"/>
      <c r="L151" s="5">
        <v>0</v>
      </c>
      <c r="M151" s="5">
        <v>0</v>
      </c>
      <c r="N151" s="449"/>
      <c r="O151" s="5">
        <v>0</v>
      </c>
      <c r="P151" s="5">
        <v>0</v>
      </c>
      <c r="Q151" s="447"/>
      <c r="R151" s="5">
        <v>3</v>
      </c>
      <c r="S151" s="5">
        <v>20732</v>
      </c>
      <c r="T151" s="456"/>
      <c r="U151" s="5">
        <v>0</v>
      </c>
      <c r="V151" s="5">
        <v>0</v>
      </c>
      <c r="W151" s="5">
        <v>8</v>
      </c>
      <c r="X151" s="5">
        <v>3482.91</v>
      </c>
      <c r="Y151" s="5">
        <v>1380.86</v>
      </c>
      <c r="Z151" s="5">
        <v>0</v>
      </c>
      <c r="AA151" s="5">
        <v>0</v>
      </c>
      <c r="AB151" s="5">
        <v>1931.61</v>
      </c>
      <c r="AC151" s="5">
        <v>5236</v>
      </c>
      <c r="AD151" s="5">
        <v>6174.21</v>
      </c>
      <c r="AE151" s="5">
        <v>4290.9136844546847</v>
      </c>
      <c r="AF151" s="5">
        <v>360</v>
      </c>
      <c r="AG151" s="454"/>
      <c r="AH151" s="5">
        <v>4949.1953757206848</v>
      </c>
      <c r="AI151" s="5">
        <v>1958.5</v>
      </c>
      <c r="AJ151" s="5"/>
      <c r="AK151" s="5">
        <v>4145.7801219417661</v>
      </c>
      <c r="AL151" s="5">
        <v>703</v>
      </c>
      <c r="AM151" s="452"/>
      <c r="AN151" s="5">
        <v>3933.920949626332</v>
      </c>
      <c r="AO151" s="5">
        <v>354</v>
      </c>
      <c r="AP151" s="5"/>
      <c r="AQ151" s="5">
        <v>1480.0607281226878</v>
      </c>
      <c r="AR151" s="5">
        <v>0</v>
      </c>
      <c r="AS151" s="454"/>
      <c r="AT151" s="5">
        <v>2392.1325861621935</v>
      </c>
      <c r="AU151" s="5">
        <v>384</v>
      </c>
      <c r="AV151" s="5"/>
      <c r="AW151" s="5">
        <v>454.1962373249915</v>
      </c>
      <c r="AX151" s="5">
        <v>0</v>
      </c>
      <c r="AY151" s="5"/>
      <c r="AZ151" s="40">
        <v>21646.199683353341</v>
      </c>
      <c r="BA151" s="40">
        <v>3759.5</v>
      </c>
      <c r="BB151" s="55">
        <v>-17886.699683353341</v>
      </c>
      <c r="BD151" s="2">
        <v>1</v>
      </c>
      <c r="BF151" s="325">
        <v>150000494</v>
      </c>
    </row>
    <row r="152" spans="1:58" ht="25.05" customHeight="1" x14ac:dyDescent="0.3">
      <c r="A152" s="325">
        <v>150000688</v>
      </c>
      <c r="B152" s="445" t="s">
        <v>93</v>
      </c>
      <c r="C152" s="27">
        <v>1</v>
      </c>
      <c r="D152" s="101" t="s">
        <v>455</v>
      </c>
      <c r="E152" s="279">
        <v>241.1</v>
      </c>
      <c r="F152" s="441">
        <v>3002.0042586841028</v>
      </c>
      <c r="G152" s="441">
        <v>0</v>
      </c>
      <c r="H152" s="73">
        <v>-3002.0042586841028</v>
      </c>
      <c r="I152" s="5">
        <v>0</v>
      </c>
      <c r="J152" s="5">
        <v>0</v>
      </c>
      <c r="K152" s="446"/>
      <c r="L152" s="5">
        <v>0</v>
      </c>
      <c r="M152" s="5">
        <v>0</v>
      </c>
      <c r="N152" s="35"/>
      <c r="O152" s="5">
        <v>0</v>
      </c>
      <c r="P152" s="5">
        <v>0</v>
      </c>
      <c r="Q152" s="447"/>
      <c r="R152" s="5">
        <v>0</v>
      </c>
      <c r="S152" s="5">
        <v>0</v>
      </c>
      <c r="T152" s="448"/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/>
      <c r="AH152" s="5">
        <v>0</v>
      </c>
      <c r="AI152" s="5">
        <v>0</v>
      </c>
      <c r="AJ152" s="5"/>
      <c r="AK152" s="5">
        <v>0</v>
      </c>
      <c r="AL152" s="5">
        <v>0</v>
      </c>
      <c r="AM152" s="5"/>
      <c r="AN152" s="5">
        <v>0</v>
      </c>
      <c r="AO152" s="5">
        <v>0</v>
      </c>
      <c r="AP152" s="5"/>
      <c r="AQ152" s="5">
        <v>0</v>
      </c>
      <c r="AR152" s="5">
        <v>0</v>
      </c>
      <c r="AS152" s="5"/>
      <c r="AT152" s="5">
        <v>0</v>
      </c>
      <c r="AU152" s="5">
        <v>0</v>
      </c>
      <c r="AV152" s="5"/>
      <c r="AW152" s="5">
        <v>7.2330000000000005</v>
      </c>
      <c r="AX152" s="5">
        <v>0</v>
      </c>
      <c r="AY152" s="5"/>
      <c r="AZ152" s="40">
        <v>7.2330000000000005</v>
      </c>
      <c r="BA152" s="40">
        <v>0</v>
      </c>
      <c r="BB152" s="55">
        <v>-7.2330000000000005</v>
      </c>
      <c r="BD152" s="2">
        <v>3</v>
      </c>
      <c r="BF152" s="325">
        <v>150000688</v>
      </c>
    </row>
    <row r="153" spans="1:58" ht="25.05" customHeight="1" x14ac:dyDescent="0.3">
      <c r="A153" s="325">
        <v>150000689</v>
      </c>
      <c r="B153" s="445" t="s">
        <v>94</v>
      </c>
      <c r="C153" s="27">
        <v>1</v>
      </c>
      <c r="D153" s="101" t="s">
        <v>455</v>
      </c>
      <c r="E153" s="279">
        <v>188.9</v>
      </c>
      <c r="F153" s="441">
        <v>1975.2182096258166</v>
      </c>
      <c r="G153" s="441">
        <v>0</v>
      </c>
      <c r="H153" s="73">
        <v>-1975.2182096258166</v>
      </c>
      <c r="I153" s="5">
        <v>0</v>
      </c>
      <c r="J153" s="5">
        <v>0</v>
      </c>
      <c r="K153" s="446"/>
      <c r="L153" s="5">
        <v>0</v>
      </c>
      <c r="M153" s="5">
        <v>0</v>
      </c>
      <c r="N153" s="35"/>
      <c r="O153" s="5">
        <v>0</v>
      </c>
      <c r="P153" s="5">
        <v>0</v>
      </c>
      <c r="Q153" s="447"/>
      <c r="R153" s="5">
        <v>0</v>
      </c>
      <c r="S153" s="5">
        <v>0</v>
      </c>
      <c r="T153" s="448"/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/>
      <c r="AH153" s="5">
        <v>0</v>
      </c>
      <c r="AI153" s="5">
        <v>0</v>
      </c>
      <c r="AJ153" s="5"/>
      <c r="AK153" s="5">
        <v>0</v>
      </c>
      <c r="AL153" s="5">
        <v>0</v>
      </c>
      <c r="AM153" s="5"/>
      <c r="AN153" s="5">
        <v>0</v>
      </c>
      <c r="AO153" s="5">
        <v>0</v>
      </c>
      <c r="AP153" s="5"/>
      <c r="AQ153" s="5">
        <v>0</v>
      </c>
      <c r="AR153" s="5">
        <v>0</v>
      </c>
      <c r="AS153" s="5"/>
      <c r="AT153" s="5">
        <v>0</v>
      </c>
      <c r="AU153" s="5">
        <v>0</v>
      </c>
      <c r="AV153" s="5"/>
      <c r="AW153" s="5">
        <v>5.5709999999999997</v>
      </c>
      <c r="AX153" s="5">
        <v>0</v>
      </c>
      <c r="AY153" s="5"/>
      <c r="AZ153" s="40">
        <v>5.5709999999999997</v>
      </c>
      <c r="BA153" s="40">
        <v>0</v>
      </c>
      <c r="BB153" s="55">
        <v>-5.5709999999999997</v>
      </c>
      <c r="BD153" s="2">
        <v>3</v>
      </c>
      <c r="BF153" s="325">
        <v>150000689</v>
      </c>
    </row>
    <row r="154" spans="1:58" ht="25.05" customHeight="1" x14ac:dyDescent="0.3">
      <c r="A154" s="325">
        <v>150000693</v>
      </c>
      <c r="B154" s="445" t="s">
        <v>95</v>
      </c>
      <c r="C154" s="27">
        <v>1</v>
      </c>
      <c r="D154" s="101" t="s">
        <v>455</v>
      </c>
      <c r="E154" s="279">
        <v>165.8</v>
      </c>
      <c r="F154" s="441">
        <v>1447.9770443342516</v>
      </c>
      <c r="G154" s="441">
        <v>0</v>
      </c>
      <c r="H154" s="73">
        <v>-1447.9770443342516</v>
      </c>
      <c r="I154" s="5">
        <v>0</v>
      </c>
      <c r="J154" s="5">
        <v>0</v>
      </c>
      <c r="K154" s="446"/>
      <c r="L154" s="5">
        <v>0</v>
      </c>
      <c r="M154" s="5">
        <v>0</v>
      </c>
      <c r="N154" s="35"/>
      <c r="O154" s="5">
        <v>0</v>
      </c>
      <c r="P154" s="5">
        <v>0</v>
      </c>
      <c r="Q154" s="447"/>
      <c r="R154" s="5">
        <v>0</v>
      </c>
      <c r="S154" s="5">
        <v>0</v>
      </c>
      <c r="T154" s="448"/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/>
      <c r="AH154" s="5">
        <v>0</v>
      </c>
      <c r="AI154" s="5">
        <v>0</v>
      </c>
      <c r="AJ154" s="5"/>
      <c r="AK154" s="5">
        <v>0</v>
      </c>
      <c r="AL154" s="5">
        <v>0</v>
      </c>
      <c r="AM154" s="5"/>
      <c r="AN154" s="5">
        <v>0</v>
      </c>
      <c r="AO154" s="5">
        <v>0</v>
      </c>
      <c r="AP154" s="5"/>
      <c r="AQ154" s="5">
        <v>0</v>
      </c>
      <c r="AR154" s="5">
        <v>0</v>
      </c>
      <c r="AS154" s="5"/>
      <c r="AT154" s="5">
        <v>0</v>
      </c>
      <c r="AU154" s="5">
        <v>0</v>
      </c>
      <c r="AV154" s="5"/>
      <c r="AW154" s="5">
        <v>4.9740000000000002</v>
      </c>
      <c r="AX154" s="5">
        <v>0</v>
      </c>
      <c r="AY154" s="5"/>
      <c r="AZ154" s="40">
        <v>4.9740000000000002</v>
      </c>
      <c r="BA154" s="40">
        <v>0</v>
      </c>
      <c r="BB154" s="55">
        <v>-4.9740000000000002</v>
      </c>
      <c r="BD154" s="2">
        <v>3</v>
      </c>
      <c r="BF154" s="325">
        <v>150000693</v>
      </c>
    </row>
    <row r="155" spans="1:58" ht="25.05" customHeight="1" x14ac:dyDescent="0.3">
      <c r="A155" s="325">
        <v>150000690</v>
      </c>
      <c r="B155" s="445" t="s">
        <v>96</v>
      </c>
      <c r="C155" s="27">
        <v>1</v>
      </c>
      <c r="D155" s="101" t="s">
        <v>455</v>
      </c>
      <c r="E155" s="279">
        <v>142.1</v>
      </c>
      <c r="F155" s="441">
        <v>1590.1835215258702</v>
      </c>
      <c r="G155" s="441">
        <v>355</v>
      </c>
      <c r="H155" s="73">
        <v>-1235.1835215258702</v>
      </c>
      <c r="I155" s="5">
        <v>2</v>
      </c>
      <c r="J155" s="5">
        <v>355</v>
      </c>
      <c r="K155" s="446"/>
      <c r="L155" s="5">
        <v>0</v>
      </c>
      <c r="M155" s="5">
        <v>0</v>
      </c>
      <c r="N155" s="35"/>
      <c r="O155" s="5">
        <v>0</v>
      </c>
      <c r="P155" s="5">
        <v>0</v>
      </c>
      <c r="Q155" s="447"/>
      <c r="R155" s="5">
        <v>0</v>
      </c>
      <c r="S155" s="5">
        <v>0</v>
      </c>
      <c r="T155" s="448"/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/>
      <c r="AH155" s="5">
        <v>0</v>
      </c>
      <c r="AI155" s="5">
        <v>0</v>
      </c>
      <c r="AJ155" s="5"/>
      <c r="AK155" s="5">
        <v>0</v>
      </c>
      <c r="AL155" s="5">
        <v>0</v>
      </c>
      <c r="AM155" s="5"/>
      <c r="AN155" s="5">
        <v>0</v>
      </c>
      <c r="AO155" s="5">
        <v>0</v>
      </c>
      <c r="AP155" s="5"/>
      <c r="AQ155" s="5">
        <v>0</v>
      </c>
      <c r="AR155" s="5">
        <v>0</v>
      </c>
      <c r="AS155" s="5"/>
      <c r="AT155" s="5">
        <v>0</v>
      </c>
      <c r="AU155" s="5">
        <v>0</v>
      </c>
      <c r="AV155" s="5"/>
      <c r="AW155" s="5">
        <v>4.2629999999999999</v>
      </c>
      <c r="AX155" s="5">
        <v>0</v>
      </c>
      <c r="AY155" s="5"/>
      <c r="AZ155" s="40">
        <v>4.2629999999999999</v>
      </c>
      <c r="BA155" s="40">
        <v>0</v>
      </c>
      <c r="BB155" s="55">
        <v>-4.2629999999999999</v>
      </c>
      <c r="BD155" s="2">
        <v>3</v>
      </c>
      <c r="BF155" s="325">
        <v>150000690</v>
      </c>
    </row>
    <row r="156" spans="1:58" ht="25.05" customHeight="1" x14ac:dyDescent="0.3">
      <c r="A156" s="325">
        <v>150000648</v>
      </c>
      <c r="B156" s="445" t="s">
        <v>362</v>
      </c>
      <c r="C156" s="27">
        <v>9</v>
      </c>
      <c r="D156" s="101" t="s">
        <v>455</v>
      </c>
      <c r="E156" s="279">
        <v>3815</v>
      </c>
      <c r="F156" s="441">
        <v>41129.742247003596</v>
      </c>
      <c r="G156" s="441">
        <v>26840</v>
      </c>
      <c r="H156" s="73">
        <v>-14289.742247003596</v>
      </c>
      <c r="I156" s="5">
        <v>0</v>
      </c>
      <c r="J156" s="5">
        <v>0</v>
      </c>
      <c r="K156" s="446"/>
      <c r="L156" s="5">
        <v>0</v>
      </c>
      <c r="M156" s="5">
        <v>0</v>
      </c>
      <c r="N156" s="35"/>
      <c r="O156" s="5">
        <v>0</v>
      </c>
      <c r="P156" s="5">
        <v>0</v>
      </c>
      <c r="Q156" s="447"/>
      <c r="R156" s="5">
        <v>1</v>
      </c>
      <c r="S156" s="5">
        <v>841</v>
      </c>
      <c r="T156" s="448"/>
      <c r="U156" s="5">
        <v>0</v>
      </c>
      <c r="V156" s="5">
        <v>0</v>
      </c>
      <c r="W156" s="5">
        <v>0</v>
      </c>
      <c r="X156" s="5">
        <v>0</v>
      </c>
      <c r="Y156" s="5">
        <v>25821</v>
      </c>
      <c r="Z156" s="5">
        <v>0</v>
      </c>
      <c r="AA156" s="5">
        <v>0</v>
      </c>
      <c r="AB156" s="5">
        <v>0</v>
      </c>
      <c r="AC156" s="5">
        <v>0</v>
      </c>
      <c r="AD156" s="5">
        <v>178</v>
      </c>
      <c r="AE156" s="5">
        <v>1451.6120411163531</v>
      </c>
      <c r="AF156" s="5">
        <v>0</v>
      </c>
      <c r="AG156" s="5"/>
      <c r="AH156" s="5">
        <v>1593.2179958857837</v>
      </c>
      <c r="AI156" s="5">
        <v>0</v>
      </c>
      <c r="AJ156" s="5"/>
      <c r="AK156" s="5">
        <v>2017.1420542360104</v>
      </c>
      <c r="AL156" s="5">
        <v>0</v>
      </c>
      <c r="AM156" s="5"/>
      <c r="AN156" s="5">
        <v>1743.1980189307712</v>
      </c>
      <c r="AO156" s="5">
        <v>0</v>
      </c>
      <c r="AP156" s="5"/>
      <c r="AQ156" s="5">
        <v>461.88860612830399</v>
      </c>
      <c r="AR156" s="5">
        <v>0</v>
      </c>
      <c r="AS156" s="5"/>
      <c r="AT156" s="5">
        <v>432.4674211645135</v>
      </c>
      <c r="AU156" s="5">
        <v>0</v>
      </c>
      <c r="AV156" s="5"/>
      <c r="AW156" s="5">
        <v>114.44999999999999</v>
      </c>
      <c r="AX156" s="5">
        <v>0</v>
      </c>
      <c r="AY156" s="5"/>
      <c r="AZ156" s="40">
        <v>7813.9761374617356</v>
      </c>
      <c r="BA156" s="40">
        <v>0</v>
      </c>
      <c r="BB156" s="55">
        <v>-7813.9761374617356</v>
      </c>
      <c r="BD156" s="2">
        <v>3</v>
      </c>
      <c r="BF156" s="325">
        <v>150000648</v>
      </c>
    </row>
    <row r="157" spans="1:58" ht="25.05" customHeight="1" x14ac:dyDescent="0.3">
      <c r="A157" s="325">
        <v>150000647</v>
      </c>
      <c r="B157" s="445" t="s">
        <v>97</v>
      </c>
      <c r="C157" s="27">
        <v>1</v>
      </c>
      <c r="D157" s="101" t="s">
        <v>455</v>
      </c>
      <c r="E157" s="279">
        <v>278.14999999999998</v>
      </c>
      <c r="F157" s="441">
        <v>3285.0408001944552</v>
      </c>
      <c r="G157" s="441">
        <v>1550</v>
      </c>
      <c r="H157" s="73">
        <v>-1735.0408001944552</v>
      </c>
      <c r="I157" s="5">
        <v>0</v>
      </c>
      <c r="J157" s="5">
        <v>0</v>
      </c>
      <c r="K157" s="446"/>
      <c r="L157" s="5">
        <v>0</v>
      </c>
      <c r="M157" s="5">
        <v>0</v>
      </c>
      <c r="N157" s="35"/>
      <c r="O157" s="5">
        <v>0</v>
      </c>
      <c r="P157" s="5">
        <v>0</v>
      </c>
      <c r="Q157" s="447"/>
      <c r="R157" s="5">
        <v>0</v>
      </c>
      <c r="S157" s="5">
        <v>0</v>
      </c>
      <c r="T157" s="448"/>
      <c r="U157" s="5">
        <v>0</v>
      </c>
      <c r="V157" s="5">
        <v>0</v>
      </c>
      <c r="W157" s="5">
        <v>0</v>
      </c>
      <c r="X157" s="5">
        <v>0</v>
      </c>
      <c r="Y157" s="5">
        <v>1550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/>
      <c r="AH157" s="5">
        <v>0</v>
      </c>
      <c r="AI157" s="5">
        <v>0</v>
      </c>
      <c r="AJ157" s="5"/>
      <c r="AK157" s="5">
        <v>0</v>
      </c>
      <c r="AL157" s="5">
        <v>0</v>
      </c>
      <c r="AM157" s="5"/>
      <c r="AN157" s="5">
        <v>0</v>
      </c>
      <c r="AO157" s="5">
        <v>0</v>
      </c>
      <c r="AP157" s="5"/>
      <c r="AQ157" s="5">
        <v>0</v>
      </c>
      <c r="AR157" s="5">
        <v>0</v>
      </c>
      <c r="AS157" s="5"/>
      <c r="AT157" s="5">
        <v>0</v>
      </c>
      <c r="AU157" s="5">
        <v>0</v>
      </c>
      <c r="AV157" s="5"/>
      <c r="AW157" s="5">
        <v>8.3445</v>
      </c>
      <c r="AX157" s="5">
        <v>0</v>
      </c>
      <c r="AY157" s="5"/>
      <c r="AZ157" s="40">
        <v>8.3445</v>
      </c>
      <c r="BA157" s="40">
        <v>0</v>
      </c>
      <c r="BB157" s="55">
        <v>-8.3445</v>
      </c>
      <c r="BD157" s="2">
        <v>3</v>
      </c>
      <c r="BF157" s="325">
        <v>150000647</v>
      </c>
    </row>
    <row r="158" spans="1:58" ht="25.05" customHeight="1" x14ac:dyDescent="0.3">
      <c r="A158" s="325">
        <v>150000686</v>
      </c>
      <c r="B158" s="445" t="s">
        <v>98</v>
      </c>
      <c r="C158" s="27">
        <v>1</v>
      </c>
      <c r="D158" s="101" t="s">
        <v>455</v>
      </c>
      <c r="E158" s="279">
        <v>214.9</v>
      </c>
      <c r="F158" s="441">
        <v>1922.1712258614416</v>
      </c>
      <c r="G158" s="441">
        <v>0</v>
      </c>
      <c r="H158" s="73">
        <v>-1922.1712258614416</v>
      </c>
      <c r="I158" s="5">
        <v>0</v>
      </c>
      <c r="J158" s="5">
        <v>0</v>
      </c>
      <c r="K158" s="446"/>
      <c r="L158" s="5">
        <v>0</v>
      </c>
      <c r="M158" s="5">
        <v>0</v>
      </c>
      <c r="N158" s="35"/>
      <c r="O158" s="5">
        <v>0</v>
      </c>
      <c r="P158" s="5">
        <v>0</v>
      </c>
      <c r="Q158" s="447"/>
      <c r="R158" s="5">
        <v>0</v>
      </c>
      <c r="S158" s="5">
        <v>0</v>
      </c>
      <c r="T158" s="448"/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/>
      <c r="AH158" s="5">
        <v>0</v>
      </c>
      <c r="AI158" s="5">
        <v>0</v>
      </c>
      <c r="AJ158" s="5"/>
      <c r="AK158" s="5">
        <v>0</v>
      </c>
      <c r="AL158" s="5">
        <v>0</v>
      </c>
      <c r="AM158" s="5"/>
      <c r="AN158" s="5">
        <v>0</v>
      </c>
      <c r="AO158" s="5">
        <v>0</v>
      </c>
      <c r="AP158" s="5"/>
      <c r="AQ158" s="5">
        <v>0</v>
      </c>
      <c r="AR158" s="5">
        <v>0</v>
      </c>
      <c r="AS158" s="5"/>
      <c r="AT158" s="5">
        <v>0</v>
      </c>
      <c r="AU158" s="5">
        <v>0</v>
      </c>
      <c r="AV158" s="5"/>
      <c r="AW158" s="5">
        <v>6.4470000000000001</v>
      </c>
      <c r="AX158" s="5">
        <v>0</v>
      </c>
      <c r="AY158" s="5"/>
      <c r="AZ158" s="40">
        <v>6.4470000000000001</v>
      </c>
      <c r="BA158" s="40">
        <v>0</v>
      </c>
      <c r="BB158" s="55">
        <v>-6.4470000000000001</v>
      </c>
      <c r="BD158" s="2">
        <v>3</v>
      </c>
      <c r="BF158" s="325">
        <v>150000686</v>
      </c>
    </row>
    <row r="159" spans="1:58" ht="25.05" customHeight="1" x14ac:dyDescent="0.3">
      <c r="A159" s="325">
        <v>150000796</v>
      </c>
      <c r="B159" s="445" t="s">
        <v>99</v>
      </c>
      <c r="C159" s="27">
        <v>1</v>
      </c>
      <c r="D159" s="101" t="s">
        <v>455</v>
      </c>
      <c r="E159" s="279">
        <v>181.38</v>
      </c>
      <c r="F159" s="441">
        <v>1926.553063093485</v>
      </c>
      <c r="G159" s="441">
        <v>880</v>
      </c>
      <c r="H159" s="73">
        <v>-1046.553063093485</v>
      </c>
      <c r="I159" s="5">
        <v>6</v>
      </c>
      <c r="J159" s="5">
        <v>493</v>
      </c>
      <c r="K159" s="446"/>
      <c r="L159" s="5">
        <v>0</v>
      </c>
      <c r="M159" s="5">
        <v>0</v>
      </c>
      <c r="N159" s="35"/>
      <c r="O159" s="5">
        <v>0</v>
      </c>
      <c r="P159" s="5">
        <v>0</v>
      </c>
      <c r="Q159" s="447"/>
      <c r="R159" s="5">
        <v>0</v>
      </c>
      <c r="S159" s="5">
        <v>0</v>
      </c>
      <c r="T159" s="448"/>
      <c r="U159" s="5">
        <v>0</v>
      </c>
      <c r="V159" s="5">
        <v>0</v>
      </c>
      <c r="W159" s="5">
        <v>0</v>
      </c>
      <c r="X159" s="5">
        <v>0</v>
      </c>
      <c r="Y159" s="5">
        <v>387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/>
      <c r="AH159" s="5">
        <v>0</v>
      </c>
      <c r="AI159" s="5">
        <v>0</v>
      </c>
      <c r="AJ159" s="5"/>
      <c r="AK159" s="5">
        <v>57.83408559832499</v>
      </c>
      <c r="AL159" s="5">
        <v>0</v>
      </c>
      <c r="AM159" s="5"/>
      <c r="AN159" s="5">
        <v>0</v>
      </c>
      <c r="AO159" s="5">
        <v>0</v>
      </c>
      <c r="AP159" s="5"/>
      <c r="AQ159" s="5">
        <v>0</v>
      </c>
      <c r="AR159" s="5">
        <v>0</v>
      </c>
      <c r="AS159" s="5"/>
      <c r="AT159" s="5">
        <v>0</v>
      </c>
      <c r="AU159" s="5">
        <v>0</v>
      </c>
      <c r="AV159" s="5"/>
      <c r="AW159" s="5">
        <v>5.4293999999999993</v>
      </c>
      <c r="AX159" s="5">
        <v>0</v>
      </c>
      <c r="AY159" s="5"/>
      <c r="AZ159" s="40">
        <v>63.263485598324991</v>
      </c>
      <c r="BA159" s="40">
        <v>0</v>
      </c>
      <c r="BB159" s="55">
        <v>-63.263485598324991</v>
      </c>
      <c r="BD159" s="2">
        <v>3</v>
      </c>
      <c r="BF159" s="325">
        <v>150000796</v>
      </c>
    </row>
    <row r="160" spans="1:58" ht="25.05" customHeight="1" x14ac:dyDescent="0.3">
      <c r="A160" s="325">
        <v>150001008</v>
      </c>
      <c r="B160" s="445" t="s">
        <v>212</v>
      </c>
      <c r="C160" s="27">
        <v>4</v>
      </c>
      <c r="D160" s="101" t="s">
        <v>455</v>
      </c>
      <c r="E160" s="279">
        <v>1485.6</v>
      </c>
      <c r="F160" s="441">
        <v>13046.559308362172</v>
      </c>
      <c r="G160" s="441">
        <v>5292.2601445137279</v>
      </c>
      <c r="H160" s="73">
        <v>-7754.2991638484436</v>
      </c>
      <c r="I160" s="5">
        <v>0</v>
      </c>
      <c r="J160" s="5">
        <v>0</v>
      </c>
      <c r="K160" s="446"/>
      <c r="L160" s="5">
        <v>0</v>
      </c>
      <c r="M160" s="5">
        <v>0</v>
      </c>
      <c r="N160" s="35"/>
      <c r="O160" s="5">
        <v>0</v>
      </c>
      <c r="P160" s="5">
        <v>0</v>
      </c>
      <c r="Q160" s="447"/>
      <c r="R160" s="5">
        <v>0</v>
      </c>
      <c r="S160" s="5">
        <v>0</v>
      </c>
      <c r="T160" s="448"/>
      <c r="U160" s="5">
        <v>0</v>
      </c>
      <c r="V160" s="5">
        <v>0</v>
      </c>
      <c r="W160" s="5">
        <v>0</v>
      </c>
      <c r="X160" s="5">
        <v>4869.2601445137279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423</v>
      </c>
      <c r="AE160" s="5">
        <v>1144.4888042205976</v>
      </c>
      <c r="AF160" s="5">
        <v>622</v>
      </c>
      <c r="AG160" s="5"/>
      <c r="AH160" s="5">
        <v>1468.34436357298</v>
      </c>
      <c r="AI160" s="5">
        <v>0</v>
      </c>
      <c r="AJ160" s="5"/>
      <c r="AK160" s="5">
        <v>1047.9941724137218</v>
      </c>
      <c r="AL160" s="5">
        <v>0</v>
      </c>
      <c r="AM160" s="5"/>
      <c r="AN160" s="5">
        <v>0</v>
      </c>
      <c r="AO160" s="5">
        <v>0</v>
      </c>
      <c r="AP160" s="5"/>
      <c r="AQ160" s="5">
        <v>0</v>
      </c>
      <c r="AR160" s="5">
        <v>0</v>
      </c>
      <c r="AS160" s="5"/>
      <c r="AT160" s="5">
        <v>499.39167411585498</v>
      </c>
      <c r="AU160" s="5">
        <v>174</v>
      </c>
      <c r="AV160" s="5"/>
      <c r="AW160" s="5">
        <v>44.567999999999998</v>
      </c>
      <c r="AX160" s="5">
        <v>0</v>
      </c>
      <c r="AY160" s="5"/>
      <c r="AZ160" s="40">
        <v>4204.7870143231539</v>
      </c>
      <c r="BA160" s="40">
        <v>796</v>
      </c>
      <c r="BB160" s="55">
        <v>-3408.7870143231539</v>
      </c>
      <c r="BD160" s="2">
        <v>2</v>
      </c>
      <c r="BF160" s="325">
        <v>150001008</v>
      </c>
    </row>
    <row r="161" spans="1:58" ht="25.05" customHeight="1" x14ac:dyDescent="0.3">
      <c r="A161" s="325">
        <v>150001033</v>
      </c>
      <c r="B161" s="445" t="s">
        <v>363</v>
      </c>
      <c r="C161" s="27">
        <v>9</v>
      </c>
      <c r="D161" s="101" t="s">
        <v>455</v>
      </c>
      <c r="E161" s="279">
        <v>4024.2</v>
      </c>
      <c r="F161" s="441">
        <v>62609.054968842982</v>
      </c>
      <c r="G161" s="441">
        <v>42049.075368459991</v>
      </c>
      <c r="H161" s="73">
        <v>-20559.979600382991</v>
      </c>
      <c r="I161" s="5">
        <v>0</v>
      </c>
      <c r="J161" s="5">
        <v>0</v>
      </c>
      <c r="K161" s="446"/>
      <c r="L161" s="5">
        <v>0</v>
      </c>
      <c r="M161" s="5">
        <v>0</v>
      </c>
      <c r="N161" s="35"/>
      <c r="O161" s="5">
        <v>94</v>
      </c>
      <c r="P161" s="5">
        <v>22050</v>
      </c>
      <c r="Q161" s="447"/>
      <c r="R161" s="5">
        <v>2</v>
      </c>
      <c r="S161" s="5">
        <v>974</v>
      </c>
      <c r="T161" s="456"/>
      <c r="U161" s="5">
        <v>0</v>
      </c>
      <c r="V161" s="5">
        <v>0</v>
      </c>
      <c r="W161" s="5">
        <v>4</v>
      </c>
      <c r="X161" s="5">
        <v>2092.6953684599948</v>
      </c>
      <c r="Y161" s="5">
        <v>14556.03</v>
      </c>
      <c r="Z161" s="5">
        <v>0</v>
      </c>
      <c r="AA161" s="5">
        <v>0</v>
      </c>
      <c r="AB161" s="5">
        <v>263</v>
      </c>
      <c r="AC161" s="5">
        <v>0</v>
      </c>
      <c r="AD161" s="5">
        <v>2113.35</v>
      </c>
      <c r="AE161" s="5">
        <v>1872.8661367575455</v>
      </c>
      <c r="AF161" s="5">
        <v>505.58000000000004</v>
      </c>
      <c r="AG161" s="5"/>
      <c r="AH161" s="5">
        <v>2249.9446492163197</v>
      </c>
      <c r="AI161" s="5">
        <v>0</v>
      </c>
      <c r="AJ161" s="5"/>
      <c r="AK161" s="5">
        <v>1539.3829576745318</v>
      </c>
      <c r="AL161" s="5">
        <v>916.05</v>
      </c>
      <c r="AM161" s="5"/>
      <c r="AN161" s="5">
        <v>1582.1574636236958</v>
      </c>
      <c r="AO161" s="5">
        <v>0</v>
      </c>
      <c r="AP161" s="5"/>
      <c r="AQ161" s="5">
        <v>923.71373565197098</v>
      </c>
      <c r="AR161" s="5">
        <v>0</v>
      </c>
      <c r="AS161" s="5"/>
      <c r="AT161" s="5">
        <v>1626.5963799764424</v>
      </c>
      <c r="AU161" s="5">
        <v>0</v>
      </c>
      <c r="AV161" s="5"/>
      <c r="AW161" s="5">
        <v>365.58722977853665</v>
      </c>
      <c r="AX161" s="5">
        <v>4002.46</v>
      </c>
      <c r="AY161" s="5"/>
      <c r="AZ161" s="40">
        <v>10160.248552679042</v>
      </c>
      <c r="BA161" s="40">
        <v>5424.09</v>
      </c>
      <c r="BB161" s="55">
        <v>-4736.1585526790423</v>
      </c>
      <c r="BD161" s="2">
        <v>1</v>
      </c>
      <c r="BF161" s="325">
        <v>150001033</v>
      </c>
    </row>
    <row r="162" spans="1:58" ht="25.05" customHeight="1" x14ac:dyDescent="0.3">
      <c r="A162" s="325">
        <v>150001009</v>
      </c>
      <c r="B162" s="445" t="s">
        <v>213</v>
      </c>
      <c r="C162" s="27">
        <v>4</v>
      </c>
      <c r="D162" s="101" t="s">
        <v>455</v>
      </c>
      <c r="E162" s="279">
        <v>1485</v>
      </c>
      <c r="F162" s="441">
        <v>16040.390141678161</v>
      </c>
      <c r="G162" s="441">
        <v>4290.1900000000005</v>
      </c>
      <c r="H162" s="73">
        <v>-11750.20014167816</v>
      </c>
      <c r="I162" s="5">
        <v>0</v>
      </c>
      <c r="J162" s="5">
        <v>3867.19</v>
      </c>
      <c r="K162" s="450"/>
      <c r="L162" s="5">
        <v>0</v>
      </c>
      <c r="M162" s="5">
        <v>0</v>
      </c>
      <c r="N162" s="35"/>
      <c r="O162" s="5">
        <v>0</v>
      </c>
      <c r="P162" s="5">
        <v>0</v>
      </c>
      <c r="Q162" s="447"/>
      <c r="R162" s="5">
        <v>0</v>
      </c>
      <c r="S162" s="5">
        <v>0</v>
      </c>
      <c r="T162" s="448"/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423</v>
      </c>
      <c r="AE162" s="5">
        <v>1140.2015652869165</v>
      </c>
      <c r="AF162" s="5">
        <v>0</v>
      </c>
      <c r="AG162" s="5"/>
      <c r="AH162" s="5">
        <v>1468.34436357298</v>
      </c>
      <c r="AI162" s="5">
        <v>2510</v>
      </c>
      <c r="AJ162" s="5"/>
      <c r="AK162" s="5">
        <v>997.89054463904165</v>
      </c>
      <c r="AL162" s="5">
        <v>0</v>
      </c>
      <c r="AM162" s="5"/>
      <c r="AN162" s="5">
        <v>0</v>
      </c>
      <c r="AO162" s="5">
        <v>0</v>
      </c>
      <c r="AP162" s="5"/>
      <c r="AQ162" s="5">
        <v>0</v>
      </c>
      <c r="AR162" s="5">
        <v>0</v>
      </c>
      <c r="AS162" s="5"/>
      <c r="AT162" s="5">
        <v>499.39167411585498</v>
      </c>
      <c r="AU162" s="5">
        <v>0</v>
      </c>
      <c r="AV162" s="5"/>
      <c r="AW162" s="5">
        <v>44.540999999999997</v>
      </c>
      <c r="AX162" s="5">
        <v>0</v>
      </c>
      <c r="AY162" s="5"/>
      <c r="AZ162" s="40">
        <v>4150.3691476147933</v>
      </c>
      <c r="BA162" s="40">
        <v>2510</v>
      </c>
      <c r="BB162" s="55">
        <v>-1640.3691476147933</v>
      </c>
      <c r="BD162" s="2">
        <v>2</v>
      </c>
      <c r="BF162" s="325">
        <v>150001009</v>
      </c>
    </row>
    <row r="163" spans="1:58" ht="25.05" customHeight="1" x14ac:dyDescent="0.3">
      <c r="A163" s="325">
        <v>150001010</v>
      </c>
      <c r="B163" s="445" t="s">
        <v>165</v>
      </c>
      <c r="C163" s="27">
        <v>2</v>
      </c>
      <c r="D163" s="101" t="s">
        <v>455</v>
      </c>
      <c r="E163" s="279">
        <v>744.59999999999991</v>
      </c>
      <c r="F163" s="441">
        <v>8291.706536063095</v>
      </c>
      <c r="G163" s="441">
        <v>213</v>
      </c>
      <c r="H163" s="73">
        <v>-8078.706536063095</v>
      </c>
      <c r="I163" s="5">
        <v>0</v>
      </c>
      <c r="J163" s="5">
        <v>0</v>
      </c>
      <c r="K163" s="446"/>
      <c r="L163" s="5">
        <v>0</v>
      </c>
      <c r="M163" s="5">
        <v>0</v>
      </c>
      <c r="N163" s="448"/>
      <c r="O163" s="5">
        <v>0</v>
      </c>
      <c r="P163" s="5">
        <v>0</v>
      </c>
      <c r="Q163" s="447"/>
      <c r="R163" s="5">
        <v>0</v>
      </c>
      <c r="S163" s="5">
        <v>0</v>
      </c>
      <c r="T163" s="448"/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213</v>
      </c>
      <c r="AE163" s="5">
        <v>777.99671726650877</v>
      </c>
      <c r="AF163" s="5">
        <v>0</v>
      </c>
      <c r="AG163" s="5"/>
      <c r="AH163" s="5">
        <v>1120.5473919936649</v>
      </c>
      <c r="AI163" s="5">
        <v>0</v>
      </c>
      <c r="AJ163" s="5"/>
      <c r="AK163" s="5">
        <v>408.28169569086634</v>
      </c>
      <c r="AL163" s="5">
        <v>0</v>
      </c>
      <c r="AM163" s="5"/>
      <c r="AN163" s="5">
        <v>0</v>
      </c>
      <c r="AO163" s="5">
        <v>0</v>
      </c>
      <c r="AP163" s="5"/>
      <c r="AQ163" s="5">
        <v>0</v>
      </c>
      <c r="AR163" s="5">
        <v>0</v>
      </c>
      <c r="AS163" s="5"/>
      <c r="AT163" s="5">
        <v>372.51960231308652</v>
      </c>
      <c r="AU163" s="5">
        <v>0</v>
      </c>
      <c r="AV163" s="5"/>
      <c r="AW163" s="5">
        <v>23.003999999999998</v>
      </c>
      <c r="AX163" s="5">
        <v>0</v>
      </c>
      <c r="AY163" s="5"/>
      <c r="AZ163" s="40">
        <v>2702.3494072641265</v>
      </c>
      <c r="BA163" s="40">
        <v>0</v>
      </c>
      <c r="BB163" s="55">
        <v>-2702.3494072641265</v>
      </c>
      <c r="BD163" s="2">
        <v>2</v>
      </c>
      <c r="BF163" s="325">
        <v>150001010</v>
      </c>
    </row>
    <row r="164" spans="1:58" ht="25.05" customHeight="1" x14ac:dyDescent="0.3">
      <c r="A164" s="325">
        <v>150001011</v>
      </c>
      <c r="B164" s="445" t="s">
        <v>166</v>
      </c>
      <c r="C164" s="27">
        <v>2</v>
      </c>
      <c r="D164" s="101" t="s">
        <v>455</v>
      </c>
      <c r="E164" s="279">
        <v>422.9</v>
      </c>
      <c r="F164" s="441">
        <v>5463.833067195882</v>
      </c>
      <c r="G164" s="441">
        <v>6052</v>
      </c>
      <c r="H164" s="73">
        <v>588.16693280411801</v>
      </c>
      <c r="I164" s="5">
        <v>0</v>
      </c>
      <c r="J164" s="5">
        <v>5109</v>
      </c>
      <c r="K164" s="446"/>
      <c r="L164" s="5">
        <v>0</v>
      </c>
      <c r="M164" s="5">
        <v>0</v>
      </c>
      <c r="N164" s="35"/>
      <c r="O164" s="5">
        <v>0</v>
      </c>
      <c r="P164" s="5">
        <v>0</v>
      </c>
      <c r="Q164" s="447"/>
      <c r="R164" s="5">
        <v>0</v>
      </c>
      <c r="S164" s="5">
        <v>0</v>
      </c>
      <c r="T164" s="448"/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943</v>
      </c>
      <c r="AE164" s="5">
        <v>478.24333018420259</v>
      </c>
      <c r="AF164" s="5">
        <v>0</v>
      </c>
      <c r="AG164" s="5"/>
      <c r="AH164" s="5">
        <v>540.7078733590771</v>
      </c>
      <c r="AI164" s="5">
        <v>0</v>
      </c>
      <c r="AJ164" s="5"/>
      <c r="AK164" s="5">
        <v>234.74588260494488</v>
      </c>
      <c r="AL164" s="5">
        <v>0</v>
      </c>
      <c r="AM164" s="5"/>
      <c r="AN164" s="5">
        <v>0</v>
      </c>
      <c r="AO164" s="5">
        <v>0</v>
      </c>
      <c r="AP164" s="5"/>
      <c r="AQ164" s="5">
        <v>0</v>
      </c>
      <c r="AR164" s="5">
        <v>0</v>
      </c>
      <c r="AS164" s="5"/>
      <c r="AT164" s="5">
        <v>95.609109999152707</v>
      </c>
      <c r="AU164" s="5">
        <v>0</v>
      </c>
      <c r="AV164" s="5"/>
      <c r="AW164" s="5">
        <v>12.687000000000001</v>
      </c>
      <c r="AX164" s="5">
        <v>0</v>
      </c>
      <c r="AY164" s="5"/>
      <c r="AZ164" s="40">
        <v>1361.9931961473771</v>
      </c>
      <c r="BA164" s="40">
        <v>0</v>
      </c>
      <c r="BB164" s="55">
        <v>-1361.9931961473771</v>
      </c>
      <c r="BD164" s="2">
        <v>2</v>
      </c>
      <c r="BF164" s="325">
        <v>150001011</v>
      </c>
    </row>
    <row r="165" spans="1:58" ht="25.05" customHeight="1" x14ac:dyDescent="0.3">
      <c r="A165" s="391">
        <v>150001013</v>
      </c>
      <c r="B165" s="445" t="s">
        <v>261</v>
      </c>
      <c r="C165" s="27">
        <v>5</v>
      </c>
      <c r="D165" s="101" t="s">
        <v>455</v>
      </c>
      <c r="E165" s="279">
        <v>3476.23</v>
      </c>
      <c r="F165" s="441">
        <v>28964.180674635936</v>
      </c>
      <c r="G165" s="441">
        <v>22527</v>
      </c>
      <c r="H165" s="73">
        <v>-6437.1806746359362</v>
      </c>
      <c r="I165" s="5">
        <v>0</v>
      </c>
      <c r="J165" s="5">
        <v>9236</v>
      </c>
      <c r="K165" s="450"/>
      <c r="L165" s="5">
        <v>0</v>
      </c>
      <c r="M165" s="5">
        <v>0</v>
      </c>
      <c r="N165" s="35"/>
      <c r="O165" s="5">
        <v>0</v>
      </c>
      <c r="P165" s="5">
        <v>0</v>
      </c>
      <c r="Q165" s="447"/>
      <c r="R165" s="5">
        <v>0</v>
      </c>
      <c r="S165" s="5">
        <v>0</v>
      </c>
      <c r="T165" s="448"/>
      <c r="U165" s="5">
        <v>0</v>
      </c>
      <c r="V165" s="5">
        <v>0</v>
      </c>
      <c r="W165" s="5">
        <v>14</v>
      </c>
      <c r="X165" s="5">
        <v>9581</v>
      </c>
      <c r="Y165" s="5">
        <v>2544</v>
      </c>
      <c r="Z165" s="5">
        <v>0</v>
      </c>
      <c r="AA165" s="5">
        <v>0</v>
      </c>
      <c r="AB165" s="5">
        <v>0</v>
      </c>
      <c r="AC165" s="5">
        <v>0</v>
      </c>
      <c r="AD165" s="5">
        <v>1166</v>
      </c>
      <c r="AE165" s="5">
        <v>2488.011866772621</v>
      </c>
      <c r="AF165" s="5">
        <v>1954.18</v>
      </c>
      <c r="AG165" s="8"/>
      <c r="AH165" s="5">
        <v>3678.6362157662265</v>
      </c>
      <c r="AI165" s="5">
        <v>33</v>
      </c>
      <c r="AJ165" s="5"/>
      <c r="AK165" s="5">
        <v>2337.1654946633939</v>
      </c>
      <c r="AL165" s="5">
        <v>509</v>
      </c>
      <c r="AM165" s="5"/>
      <c r="AN165" s="5">
        <v>0</v>
      </c>
      <c r="AO165" s="5">
        <v>0</v>
      </c>
      <c r="AP165" s="5"/>
      <c r="AQ165" s="5">
        <v>0</v>
      </c>
      <c r="AR165" s="5">
        <v>0</v>
      </c>
      <c r="AS165" s="5"/>
      <c r="AT165" s="5">
        <v>1631.0546898242278</v>
      </c>
      <c r="AU165" s="5">
        <v>403</v>
      </c>
      <c r="AV165" s="5"/>
      <c r="AW165" s="5">
        <v>103.96529999999998</v>
      </c>
      <c r="AX165" s="5">
        <v>0</v>
      </c>
      <c r="AY165" s="5"/>
      <c r="AZ165" s="40">
        <v>10238.83356702647</v>
      </c>
      <c r="BA165" s="40">
        <v>2899.1800000000003</v>
      </c>
      <c r="BB165" s="55">
        <v>-7339.6535670264693</v>
      </c>
      <c r="BD165" s="2">
        <v>2</v>
      </c>
      <c r="BF165" s="391">
        <v>150001013</v>
      </c>
    </row>
    <row r="166" spans="1:58" ht="25.05" customHeight="1" x14ac:dyDescent="0.3">
      <c r="A166" s="325">
        <v>150001014</v>
      </c>
      <c r="B166" s="445" t="s">
        <v>167</v>
      </c>
      <c r="C166" s="27">
        <v>2</v>
      </c>
      <c r="D166" s="101" t="s">
        <v>455</v>
      </c>
      <c r="E166" s="279">
        <v>339.3</v>
      </c>
      <c r="F166" s="441">
        <v>4408.8921371687275</v>
      </c>
      <c r="G166" s="441">
        <v>125</v>
      </c>
      <c r="H166" s="73">
        <v>-4283.8921371687275</v>
      </c>
      <c r="I166" s="5">
        <v>0</v>
      </c>
      <c r="J166" s="5">
        <v>0</v>
      </c>
      <c r="K166" s="446"/>
      <c r="L166" s="5">
        <v>0</v>
      </c>
      <c r="M166" s="5">
        <v>0</v>
      </c>
      <c r="N166" s="35"/>
      <c r="O166" s="5">
        <v>0</v>
      </c>
      <c r="P166" s="5">
        <v>0</v>
      </c>
      <c r="Q166" s="447"/>
      <c r="R166" s="5">
        <v>0</v>
      </c>
      <c r="S166" s="5">
        <v>0</v>
      </c>
      <c r="T166" s="448"/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125</v>
      </c>
      <c r="AE166" s="5">
        <v>380.75805025537517</v>
      </c>
      <c r="AF166" s="5">
        <v>0</v>
      </c>
      <c r="AG166" s="5"/>
      <c r="AH166" s="5">
        <v>453.13463355291282</v>
      </c>
      <c r="AI166" s="5">
        <v>0</v>
      </c>
      <c r="AJ166" s="5"/>
      <c r="AK166" s="5">
        <v>157.60877676897891</v>
      </c>
      <c r="AL166" s="5">
        <v>0</v>
      </c>
      <c r="AM166" s="5"/>
      <c r="AN166" s="5">
        <v>0</v>
      </c>
      <c r="AO166" s="5">
        <v>0</v>
      </c>
      <c r="AP166" s="5"/>
      <c r="AQ166" s="5">
        <v>0</v>
      </c>
      <c r="AR166" s="5">
        <v>0</v>
      </c>
      <c r="AS166" s="5"/>
      <c r="AT166" s="5">
        <v>76.637035677811468</v>
      </c>
      <c r="AU166" s="5">
        <v>0</v>
      </c>
      <c r="AV166" s="5"/>
      <c r="AW166" s="5">
        <v>10.179</v>
      </c>
      <c r="AX166" s="5">
        <v>0</v>
      </c>
      <c r="AY166" s="5"/>
      <c r="AZ166" s="40">
        <v>1078.3174962550784</v>
      </c>
      <c r="BA166" s="40">
        <v>0</v>
      </c>
      <c r="BB166" s="55">
        <v>-1078.3174962550784</v>
      </c>
      <c r="BD166" s="2">
        <v>2</v>
      </c>
      <c r="BF166" s="325">
        <v>150001014</v>
      </c>
    </row>
    <row r="167" spans="1:58" ht="25.05" customHeight="1" x14ac:dyDescent="0.3">
      <c r="A167" s="325">
        <v>150001015</v>
      </c>
      <c r="B167" s="445" t="s">
        <v>100</v>
      </c>
      <c r="C167" s="27">
        <v>1</v>
      </c>
      <c r="D167" s="101" t="s">
        <v>455</v>
      </c>
      <c r="E167" s="279">
        <v>346.4</v>
      </c>
      <c r="F167" s="441">
        <v>2661.4591221638334</v>
      </c>
      <c r="G167" s="441">
        <v>687</v>
      </c>
      <c r="H167" s="73">
        <v>-1974.4591221638334</v>
      </c>
      <c r="I167" s="5">
        <v>1.75</v>
      </c>
      <c r="J167" s="5">
        <v>346</v>
      </c>
      <c r="K167" s="446"/>
      <c r="L167" s="5">
        <v>0</v>
      </c>
      <c r="M167" s="5">
        <v>0</v>
      </c>
      <c r="N167" s="35"/>
      <c r="O167" s="5">
        <v>0</v>
      </c>
      <c r="P167" s="5">
        <v>0</v>
      </c>
      <c r="Q167" s="447"/>
      <c r="R167" s="5">
        <v>0</v>
      </c>
      <c r="S167" s="5">
        <v>0</v>
      </c>
      <c r="T167" s="448"/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341</v>
      </c>
      <c r="AE167" s="5">
        <v>0</v>
      </c>
      <c r="AF167" s="5">
        <v>0</v>
      </c>
      <c r="AG167" s="5"/>
      <c r="AH167" s="5">
        <v>0</v>
      </c>
      <c r="AI167" s="5">
        <v>0</v>
      </c>
      <c r="AJ167" s="5"/>
      <c r="AK167" s="5">
        <v>200.16657580500578</v>
      </c>
      <c r="AL167" s="5">
        <v>0</v>
      </c>
      <c r="AM167" s="5"/>
      <c r="AN167" s="5">
        <v>0</v>
      </c>
      <c r="AO167" s="5">
        <v>0</v>
      </c>
      <c r="AP167" s="5"/>
      <c r="AQ167" s="5">
        <v>0</v>
      </c>
      <c r="AR167" s="5">
        <v>0</v>
      </c>
      <c r="AS167" s="5"/>
      <c r="AT167" s="5">
        <v>0</v>
      </c>
      <c r="AU167" s="5">
        <v>0</v>
      </c>
      <c r="AV167" s="5"/>
      <c r="AW167" s="5">
        <v>11.94</v>
      </c>
      <c r="AX167" s="5">
        <v>0</v>
      </c>
      <c r="AY167" s="5"/>
      <c r="AZ167" s="40">
        <v>212.10657580500578</v>
      </c>
      <c r="BA167" s="40">
        <v>0</v>
      </c>
      <c r="BB167" s="55">
        <v>-212.10657580500578</v>
      </c>
      <c r="BD167" s="2">
        <v>2</v>
      </c>
      <c r="BF167" s="325">
        <v>150001015</v>
      </c>
    </row>
    <row r="168" spans="1:58" ht="25.05" customHeight="1" x14ac:dyDescent="0.3">
      <c r="A168" s="325">
        <v>150001016</v>
      </c>
      <c r="B168" s="445" t="s">
        <v>262</v>
      </c>
      <c r="C168" s="27">
        <v>5</v>
      </c>
      <c r="D168" s="101" t="s">
        <v>455</v>
      </c>
      <c r="E168" s="279">
        <v>3298.2799999999997</v>
      </c>
      <c r="F168" s="441">
        <v>36403.063027426528</v>
      </c>
      <c r="G168" s="441">
        <v>85573.06</v>
      </c>
      <c r="H168" s="73">
        <v>49169.99697257347</v>
      </c>
      <c r="I168" s="5">
        <v>20</v>
      </c>
      <c r="J168" s="5">
        <v>14900</v>
      </c>
      <c r="K168" s="446"/>
      <c r="L168" s="5">
        <v>0</v>
      </c>
      <c r="M168" s="5">
        <v>0</v>
      </c>
      <c r="N168" s="449"/>
      <c r="O168" s="5">
        <v>0</v>
      </c>
      <c r="P168" s="5">
        <v>0</v>
      </c>
      <c r="Q168" s="447"/>
      <c r="R168" s="5">
        <v>0</v>
      </c>
      <c r="S168" s="5">
        <v>0</v>
      </c>
      <c r="T168" s="448"/>
      <c r="U168" s="5">
        <v>0</v>
      </c>
      <c r="V168" s="5">
        <v>0</v>
      </c>
      <c r="W168" s="5">
        <v>0</v>
      </c>
      <c r="X168" s="5">
        <v>1659.06</v>
      </c>
      <c r="Y168" s="5">
        <v>68638</v>
      </c>
      <c r="Z168" s="5">
        <v>0</v>
      </c>
      <c r="AA168" s="5">
        <v>0</v>
      </c>
      <c r="AB168" s="5">
        <v>0</v>
      </c>
      <c r="AC168" s="5">
        <v>0</v>
      </c>
      <c r="AD168" s="5">
        <v>376</v>
      </c>
      <c r="AE168" s="5">
        <v>1507.6388193077348</v>
      </c>
      <c r="AF168" s="5">
        <v>856</v>
      </c>
      <c r="AG168" s="5"/>
      <c r="AH168" s="5">
        <v>1937.4660191634598</v>
      </c>
      <c r="AI168" s="5">
        <v>780</v>
      </c>
      <c r="AJ168" s="5"/>
      <c r="AK168" s="5">
        <v>2172.078768122145</v>
      </c>
      <c r="AL168" s="5">
        <v>0</v>
      </c>
      <c r="AM168" s="5"/>
      <c r="AN168" s="5">
        <v>2338.2266488596674</v>
      </c>
      <c r="AO168" s="5">
        <v>0</v>
      </c>
      <c r="AP168" s="5"/>
      <c r="AQ168" s="5">
        <v>0</v>
      </c>
      <c r="AR168" s="5">
        <v>0</v>
      </c>
      <c r="AS168" s="5"/>
      <c r="AT168" s="5">
        <v>1097.6153255859092</v>
      </c>
      <c r="AU168" s="5">
        <v>0</v>
      </c>
      <c r="AV168" s="5"/>
      <c r="AW168" s="5">
        <v>96.537899999999993</v>
      </c>
      <c r="AX168" s="5">
        <v>0</v>
      </c>
      <c r="AY168" s="5"/>
      <c r="AZ168" s="40">
        <v>9149.5634810389165</v>
      </c>
      <c r="BA168" s="40">
        <v>1636</v>
      </c>
      <c r="BB168" s="55">
        <v>-7513.5634810389165</v>
      </c>
      <c r="BD168" s="2">
        <v>2</v>
      </c>
      <c r="BF168" s="325">
        <v>150001016</v>
      </c>
    </row>
    <row r="169" spans="1:58" ht="25.05" customHeight="1" x14ac:dyDescent="0.3">
      <c r="A169" s="325">
        <v>150001007</v>
      </c>
      <c r="B169" s="445" t="s">
        <v>214</v>
      </c>
      <c r="C169" s="27">
        <v>4</v>
      </c>
      <c r="D169" s="101" t="s">
        <v>455</v>
      </c>
      <c r="E169" s="279">
        <v>2046.1999999999998</v>
      </c>
      <c r="F169" s="441">
        <v>22546.156891823961</v>
      </c>
      <c r="G169" s="441">
        <v>25000</v>
      </c>
      <c r="H169" s="73">
        <v>2453.8431081760391</v>
      </c>
      <c r="I169" s="5">
        <v>0</v>
      </c>
      <c r="J169" s="5">
        <v>21560</v>
      </c>
      <c r="K169" s="446"/>
      <c r="L169" s="5">
        <v>0</v>
      </c>
      <c r="M169" s="5">
        <v>0</v>
      </c>
      <c r="N169" s="35"/>
      <c r="O169" s="5">
        <v>0</v>
      </c>
      <c r="P169" s="5">
        <v>0</v>
      </c>
      <c r="Q169" s="447"/>
      <c r="R169" s="5">
        <v>0</v>
      </c>
      <c r="S169" s="5">
        <v>0</v>
      </c>
      <c r="T169" s="448"/>
      <c r="U169" s="5">
        <v>0</v>
      </c>
      <c r="V169" s="5">
        <v>0</v>
      </c>
      <c r="W169" s="5">
        <v>0</v>
      </c>
      <c r="X169" s="5">
        <v>0</v>
      </c>
      <c r="Y169" s="5">
        <v>3064</v>
      </c>
      <c r="Z169" s="5">
        <v>0</v>
      </c>
      <c r="AA169" s="5">
        <v>0</v>
      </c>
      <c r="AB169" s="5">
        <v>0</v>
      </c>
      <c r="AC169" s="5">
        <v>0</v>
      </c>
      <c r="AD169" s="5">
        <v>376</v>
      </c>
      <c r="AE169" s="5">
        <v>1678.4240044567275</v>
      </c>
      <c r="AF169" s="5">
        <v>0</v>
      </c>
      <c r="AG169" s="5"/>
      <c r="AH169" s="5">
        <v>2340.1001155928529</v>
      </c>
      <c r="AI169" s="5">
        <v>0</v>
      </c>
      <c r="AJ169" s="5"/>
      <c r="AK169" s="5">
        <v>1245.8318706625034</v>
      </c>
      <c r="AL169" s="5">
        <v>0</v>
      </c>
      <c r="AM169" s="5"/>
      <c r="AN169" s="5">
        <v>0</v>
      </c>
      <c r="AO169" s="5">
        <v>0</v>
      </c>
      <c r="AP169" s="5"/>
      <c r="AQ169" s="5">
        <v>0</v>
      </c>
      <c r="AR169" s="5">
        <v>0</v>
      </c>
      <c r="AS169" s="5"/>
      <c r="AT169" s="5">
        <v>738.61415356212558</v>
      </c>
      <c r="AU169" s="5">
        <v>1454</v>
      </c>
      <c r="AV169" s="5"/>
      <c r="AW169" s="5">
        <v>61.385999999999996</v>
      </c>
      <c r="AX169" s="5">
        <v>0</v>
      </c>
      <c r="AY169" s="5"/>
      <c r="AZ169" s="40">
        <v>6064.3561442742093</v>
      </c>
      <c r="BA169" s="40">
        <v>1454</v>
      </c>
      <c r="BB169" s="55">
        <v>-4610.3561442742093</v>
      </c>
      <c r="BD169" s="2">
        <v>2</v>
      </c>
      <c r="BF169" s="325">
        <v>150001007</v>
      </c>
    </row>
    <row r="170" spans="1:58" ht="25.05" customHeight="1" x14ac:dyDescent="0.3">
      <c r="A170" s="325">
        <v>150001018</v>
      </c>
      <c r="B170" s="462" t="s">
        <v>430</v>
      </c>
      <c r="C170" s="29">
        <v>5</v>
      </c>
      <c r="D170" s="102" t="s">
        <v>851</v>
      </c>
      <c r="E170" s="279">
        <v>2816.07</v>
      </c>
      <c r="F170" s="441">
        <v>31040.743838557893</v>
      </c>
      <c r="G170" s="441">
        <v>508.01103647457523</v>
      </c>
      <c r="H170" s="73">
        <v>-30532.732802083319</v>
      </c>
      <c r="I170" s="5">
        <v>0</v>
      </c>
      <c r="J170" s="5">
        <v>0</v>
      </c>
      <c r="K170" s="446"/>
      <c r="L170" s="5">
        <v>0</v>
      </c>
      <c r="M170" s="5">
        <v>0</v>
      </c>
      <c r="N170" s="35"/>
      <c r="O170" s="5">
        <v>0</v>
      </c>
      <c r="P170" s="5">
        <v>0</v>
      </c>
      <c r="Q170" s="447"/>
      <c r="R170" s="5">
        <v>0</v>
      </c>
      <c r="S170" s="5">
        <v>0</v>
      </c>
      <c r="T170" s="448"/>
      <c r="U170" s="5">
        <v>0</v>
      </c>
      <c r="V170" s="5">
        <v>0</v>
      </c>
      <c r="W170" s="5">
        <v>0</v>
      </c>
      <c r="X170" s="5">
        <v>132.01103647457523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376</v>
      </c>
      <c r="AE170" s="5">
        <v>1483.956280566108</v>
      </c>
      <c r="AF170" s="5">
        <v>0</v>
      </c>
      <c r="AG170" s="8"/>
      <c r="AH170" s="5">
        <v>2071.2759688314545</v>
      </c>
      <c r="AI170" s="5">
        <v>1643</v>
      </c>
      <c r="AJ170" s="5"/>
      <c r="AK170" s="5">
        <v>1929.9816794178382</v>
      </c>
      <c r="AL170" s="5">
        <v>245</v>
      </c>
      <c r="AM170" s="5"/>
      <c r="AN170" s="5">
        <v>2099.6502374411339</v>
      </c>
      <c r="AO170" s="5">
        <v>0</v>
      </c>
      <c r="AP170" s="5"/>
      <c r="AQ170" s="5">
        <v>0</v>
      </c>
      <c r="AR170" s="5">
        <v>0</v>
      </c>
      <c r="AS170" s="5"/>
      <c r="AT170" s="5">
        <v>1065.8065425794296</v>
      </c>
      <c r="AU170" s="5">
        <v>0</v>
      </c>
      <c r="AV170" s="5"/>
      <c r="AW170" s="5">
        <v>82.5</v>
      </c>
      <c r="AX170" s="5">
        <v>0</v>
      </c>
      <c r="AY170" s="5"/>
      <c r="AZ170" s="40">
        <v>8733.1707088359653</v>
      </c>
      <c r="BA170" s="40">
        <v>1888</v>
      </c>
      <c r="BB170" s="55">
        <v>-6845.1707088359653</v>
      </c>
      <c r="BD170" s="2">
        <v>2</v>
      </c>
      <c r="BF170" s="325">
        <v>150001018</v>
      </c>
    </row>
    <row r="171" spans="1:58" ht="25.05" customHeight="1" x14ac:dyDescent="0.3">
      <c r="A171" s="325">
        <v>150001019</v>
      </c>
      <c r="B171" s="445" t="s">
        <v>420</v>
      </c>
      <c r="C171" s="27">
        <v>10</v>
      </c>
      <c r="D171" s="101" t="s">
        <v>455</v>
      </c>
      <c r="E171" s="279">
        <v>6921.8</v>
      </c>
      <c r="F171" s="441">
        <v>89925.777895357722</v>
      </c>
      <c r="G171" s="441">
        <v>189789.02</v>
      </c>
      <c r="H171" s="73">
        <v>99863.242104642268</v>
      </c>
      <c r="I171" s="5">
        <v>0</v>
      </c>
      <c r="J171" s="5">
        <v>0</v>
      </c>
      <c r="K171" s="450"/>
      <c r="L171" s="5">
        <v>0</v>
      </c>
      <c r="M171" s="5">
        <v>0</v>
      </c>
      <c r="N171" s="449"/>
      <c r="O171" s="5">
        <v>0</v>
      </c>
      <c r="P171" s="5">
        <v>0</v>
      </c>
      <c r="Q171" s="447"/>
      <c r="R171" s="5">
        <v>3</v>
      </c>
      <c r="S171" s="5">
        <v>21645</v>
      </c>
      <c r="T171" s="448"/>
      <c r="U171" s="5">
        <v>0</v>
      </c>
      <c r="V171" s="5">
        <v>0</v>
      </c>
      <c r="W171" s="5">
        <v>7</v>
      </c>
      <c r="X171" s="5">
        <v>2072.44</v>
      </c>
      <c r="Y171" s="5">
        <v>1131</v>
      </c>
      <c r="Z171" s="5">
        <v>0</v>
      </c>
      <c r="AA171" s="5">
        <v>0</v>
      </c>
      <c r="AB171" s="5">
        <v>133.25</v>
      </c>
      <c r="AC171" s="5">
        <v>160432</v>
      </c>
      <c r="AD171" s="5">
        <v>4375.33</v>
      </c>
      <c r="AE171" s="5">
        <v>3807.4869363320963</v>
      </c>
      <c r="AF171" s="5">
        <v>2522</v>
      </c>
      <c r="AG171" s="5"/>
      <c r="AH171" s="5">
        <v>4158.1867710400766</v>
      </c>
      <c r="AI171" s="5">
        <v>0</v>
      </c>
      <c r="AJ171" s="5"/>
      <c r="AK171" s="5">
        <v>2660.7947620307186</v>
      </c>
      <c r="AL171" s="5">
        <v>0</v>
      </c>
      <c r="AM171" s="5"/>
      <c r="AN171" s="5">
        <v>2907.3016402613152</v>
      </c>
      <c r="AO171" s="5">
        <v>0</v>
      </c>
      <c r="AP171" s="5"/>
      <c r="AQ171" s="5">
        <v>1480.0607281226878</v>
      </c>
      <c r="AR171" s="5">
        <v>0</v>
      </c>
      <c r="AS171" s="5"/>
      <c r="AT171" s="5">
        <v>2318.8143612142917</v>
      </c>
      <c r="AU171" s="5">
        <v>0</v>
      </c>
      <c r="AV171" s="8"/>
      <c r="AW171" s="5">
        <v>657.28523718570466</v>
      </c>
      <c r="AX171" s="5">
        <v>0</v>
      </c>
      <c r="AY171" s="5"/>
      <c r="AZ171" s="40">
        <v>17989.930436186889</v>
      </c>
      <c r="BA171" s="40">
        <v>2522</v>
      </c>
      <c r="BB171" s="55">
        <v>-15467.930436186889</v>
      </c>
      <c r="BD171" s="2">
        <v>1</v>
      </c>
      <c r="BF171" s="325">
        <v>150001019</v>
      </c>
    </row>
    <row r="172" spans="1:58" ht="25.05" customHeight="1" x14ac:dyDescent="0.3">
      <c r="A172" s="325">
        <v>150001020</v>
      </c>
      <c r="B172" s="445" t="s">
        <v>101</v>
      </c>
      <c r="C172" s="27">
        <v>1</v>
      </c>
      <c r="D172" s="101" t="s">
        <v>455</v>
      </c>
      <c r="E172" s="279">
        <v>320.5</v>
      </c>
      <c r="F172" s="441">
        <v>3204.5221630568772</v>
      </c>
      <c r="G172" s="441">
        <v>0</v>
      </c>
      <c r="H172" s="73">
        <v>-3204.5221630568772</v>
      </c>
      <c r="I172" s="5">
        <v>0</v>
      </c>
      <c r="J172" s="5">
        <v>0</v>
      </c>
      <c r="K172" s="446"/>
      <c r="L172" s="5">
        <v>0</v>
      </c>
      <c r="M172" s="5">
        <v>0</v>
      </c>
      <c r="N172" s="35"/>
      <c r="O172" s="5">
        <v>0</v>
      </c>
      <c r="P172" s="5">
        <v>0</v>
      </c>
      <c r="Q172" s="447"/>
      <c r="R172" s="5">
        <v>0</v>
      </c>
      <c r="S172" s="5">
        <v>0</v>
      </c>
      <c r="T172" s="448"/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/>
      <c r="AH172" s="5">
        <v>0</v>
      </c>
      <c r="AI172" s="5">
        <v>0</v>
      </c>
      <c r="AJ172" s="5"/>
      <c r="AK172" s="5">
        <v>0</v>
      </c>
      <c r="AL172" s="5">
        <v>0</v>
      </c>
      <c r="AM172" s="5"/>
      <c r="AN172" s="5">
        <v>0</v>
      </c>
      <c r="AO172" s="5">
        <v>0</v>
      </c>
      <c r="AP172" s="5"/>
      <c r="AQ172" s="5">
        <v>0</v>
      </c>
      <c r="AR172" s="5">
        <v>0</v>
      </c>
      <c r="AS172" s="5"/>
      <c r="AT172" s="5">
        <v>0</v>
      </c>
      <c r="AU172" s="5">
        <v>0</v>
      </c>
      <c r="AV172" s="5"/>
      <c r="AW172" s="5">
        <v>9.6150000000000002</v>
      </c>
      <c r="AX172" s="5">
        <v>0</v>
      </c>
      <c r="AY172" s="5"/>
      <c r="AZ172" s="40">
        <v>9.6150000000000002</v>
      </c>
      <c r="BA172" s="40">
        <v>0</v>
      </c>
      <c r="BB172" s="55">
        <v>-9.6150000000000002</v>
      </c>
      <c r="BD172" s="2">
        <v>2</v>
      </c>
      <c r="BF172" s="325">
        <v>150001020</v>
      </c>
    </row>
    <row r="173" spans="1:58" ht="25.05" customHeight="1" x14ac:dyDescent="0.3">
      <c r="A173" s="325">
        <v>150001021</v>
      </c>
      <c r="B173" s="445" t="s">
        <v>364</v>
      </c>
      <c r="C173" s="27">
        <v>9</v>
      </c>
      <c r="D173" s="101" t="s">
        <v>455</v>
      </c>
      <c r="E173" s="279">
        <v>11582.12</v>
      </c>
      <c r="F173" s="441">
        <v>179120.97617171638</v>
      </c>
      <c r="G173" s="441">
        <v>239329.84000000003</v>
      </c>
      <c r="H173" s="73">
        <v>60208.863828283647</v>
      </c>
      <c r="I173" s="5">
        <v>70.8</v>
      </c>
      <c r="J173" s="5">
        <v>12287.619999999999</v>
      </c>
      <c r="K173" s="453"/>
      <c r="L173" s="5">
        <v>0</v>
      </c>
      <c r="M173" s="5">
        <v>0</v>
      </c>
      <c r="N173" s="35"/>
      <c r="O173" s="5">
        <v>0</v>
      </c>
      <c r="P173" s="5">
        <v>0</v>
      </c>
      <c r="Q173" s="447"/>
      <c r="R173" s="5">
        <v>9</v>
      </c>
      <c r="S173" s="5">
        <v>111944</v>
      </c>
      <c r="T173" s="451"/>
      <c r="U173" s="5">
        <v>6984</v>
      </c>
      <c r="V173" s="5">
        <v>0</v>
      </c>
      <c r="W173" s="5">
        <v>5</v>
      </c>
      <c r="X173" s="5">
        <v>3071.73</v>
      </c>
      <c r="Y173" s="5">
        <v>2794.39</v>
      </c>
      <c r="Z173" s="5">
        <v>0</v>
      </c>
      <c r="AA173" s="5">
        <v>0</v>
      </c>
      <c r="AB173" s="5">
        <v>7014</v>
      </c>
      <c r="AC173" s="5">
        <v>88094</v>
      </c>
      <c r="AD173" s="5">
        <v>7140.1</v>
      </c>
      <c r="AE173" s="5">
        <v>3660.2254827627694</v>
      </c>
      <c r="AF173" s="5">
        <v>6393</v>
      </c>
      <c r="AG173" s="8"/>
      <c r="AH173" s="5">
        <v>6681.5082118730525</v>
      </c>
      <c r="AI173" s="5">
        <v>13367.05</v>
      </c>
      <c r="AJ173" s="454"/>
      <c r="AK173" s="5">
        <v>2214.4360257762328</v>
      </c>
      <c r="AL173" s="5">
        <v>5486.41</v>
      </c>
      <c r="AM173" s="5"/>
      <c r="AN173" s="5">
        <v>3736.5452041679891</v>
      </c>
      <c r="AO173" s="5">
        <v>5506.04</v>
      </c>
      <c r="AP173" s="5"/>
      <c r="AQ173" s="5">
        <v>3304.5059374583157</v>
      </c>
      <c r="AR173" s="5">
        <v>2215</v>
      </c>
      <c r="AS173" s="5"/>
      <c r="AT173" s="5">
        <v>3439.781123789227</v>
      </c>
      <c r="AU173" s="5">
        <v>1000</v>
      </c>
      <c r="AV173" s="5"/>
      <c r="AW173" s="5">
        <v>1041.4151117481717</v>
      </c>
      <c r="AX173" s="5">
        <v>0</v>
      </c>
      <c r="AY173" s="5"/>
      <c r="AZ173" s="40">
        <v>24078.417097575759</v>
      </c>
      <c r="BA173" s="40">
        <v>33967.5</v>
      </c>
      <c r="BB173" s="55">
        <v>9889.0829024242412</v>
      </c>
      <c r="BD173" s="2">
        <v>1</v>
      </c>
      <c r="BF173" s="325">
        <v>150001021</v>
      </c>
    </row>
    <row r="174" spans="1:58" ht="25.05" customHeight="1" x14ac:dyDescent="0.3">
      <c r="A174" s="325">
        <v>150001035</v>
      </c>
      <c r="B174" s="445" t="s">
        <v>263</v>
      </c>
      <c r="C174" s="27">
        <v>5</v>
      </c>
      <c r="D174" s="101" t="s">
        <v>455</v>
      </c>
      <c r="E174" s="279">
        <v>2850.7000000000003</v>
      </c>
      <c r="F174" s="441">
        <v>36866.680755236899</v>
      </c>
      <c r="G174" s="441">
        <v>3495</v>
      </c>
      <c r="H174" s="73">
        <v>-33371.680755236899</v>
      </c>
      <c r="I174" s="5">
        <v>0</v>
      </c>
      <c r="J174" s="5">
        <v>0</v>
      </c>
      <c r="K174" s="450"/>
      <c r="L174" s="5">
        <v>0</v>
      </c>
      <c r="M174" s="5">
        <v>513</v>
      </c>
      <c r="N174" s="449"/>
      <c r="O174" s="5">
        <v>12</v>
      </c>
      <c r="P174" s="5">
        <v>2127</v>
      </c>
      <c r="Q174" s="447"/>
      <c r="R174" s="5">
        <v>0</v>
      </c>
      <c r="S174" s="5">
        <v>0</v>
      </c>
      <c r="T174" s="448"/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855</v>
      </c>
      <c r="AE174" s="5">
        <v>2385.721079454856</v>
      </c>
      <c r="AF174" s="5">
        <v>0</v>
      </c>
      <c r="AG174" s="5"/>
      <c r="AH174" s="5">
        <v>3236.0443770585362</v>
      </c>
      <c r="AI174" s="5">
        <v>6.5</v>
      </c>
      <c r="AJ174" s="5"/>
      <c r="AK174" s="5">
        <v>1603.9990043876746</v>
      </c>
      <c r="AL174" s="5">
        <v>836</v>
      </c>
      <c r="AM174" s="5"/>
      <c r="AN174" s="5">
        <v>1476.316398880836</v>
      </c>
      <c r="AO174" s="5">
        <v>0</v>
      </c>
      <c r="AP174" s="5"/>
      <c r="AQ174" s="5">
        <v>1109.648866209001</v>
      </c>
      <c r="AR174" s="5">
        <v>0</v>
      </c>
      <c r="AS174" s="5"/>
      <c r="AT174" s="5">
        <v>1525.0079222419254</v>
      </c>
      <c r="AU174" s="5">
        <v>0</v>
      </c>
      <c r="AV174" s="5"/>
      <c r="AW174" s="5">
        <v>1292.7104883735483</v>
      </c>
      <c r="AX174" s="5">
        <v>0</v>
      </c>
      <c r="AY174" s="5"/>
      <c r="AZ174" s="40">
        <v>12629.448136606377</v>
      </c>
      <c r="BA174" s="40">
        <v>842.5</v>
      </c>
      <c r="BB174" s="55">
        <v>-11786.948136606377</v>
      </c>
      <c r="BD174" s="2">
        <v>1</v>
      </c>
      <c r="BF174" s="325">
        <v>150001035</v>
      </c>
    </row>
    <row r="175" spans="1:58" ht="25.05" customHeight="1" x14ac:dyDescent="0.3">
      <c r="A175" s="325">
        <v>150001022</v>
      </c>
      <c r="B175" s="445" t="s">
        <v>365</v>
      </c>
      <c r="C175" s="27">
        <v>9</v>
      </c>
      <c r="D175" s="101" t="s">
        <v>455</v>
      </c>
      <c r="E175" s="279">
        <v>3771.47</v>
      </c>
      <c r="F175" s="441">
        <v>57898.092642689764</v>
      </c>
      <c r="G175" s="441">
        <v>20184.95</v>
      </c>
      <c r="H175" s="73">
        <v>-37713.142642689767</v>
      </c>
      <c r="I175" s="5">
        <v>0</v>
      </c>
      <c r="J175" s="5">
        <v>0</v>
      </c>
      <c r="K175" s="446"/>
      <c r="L175" s="5">
        <v>0</v>
      </c>
      <c r="M175" s="5">
        <v>645.84</v>
      </c>
      <c r="N175" s="449"/>
      <c r="O175" s="5">
        <v>0</v>
      </c>
      <c r="P175" s="5">
        <v>0</v>
      </c>
      <c r="Q175" s="447"/>
      <c r="R175" s="5">
        <v>4</v>
      </c>
      <c r="S175" s="5">
        <v>13952.11</v>
      </c>
      <c r="T175" s="448"/>
      <c r="U175" s="5">
        <v>0</v>
      </c>
      <c r="V175" s="5">
        <v>0</v>
      </c>
      <c r="W175" s="5">
        <v>0</v>
      </c>
      <c r="X175" s="5">
        <v>0</v>
      </c>
      <c r="Y175" s="5">
        <v>3343</v>
      </c>
      <c r="Z175" s="5">
        <v>0</v>
      </c>
      <c r="AA175" s="5">
        <v>0</v>
      </c>
      <c r="AB175" s="5">
        <v>0</v>
      </c>
      <c r="AC175" s="5">
        <v>1816</v>
      </c>
      <c r="AD175" s="5">
        <v>428</v>
      </c>
      <c r="AE175" s="5">
        <v>1599.0776170035417</v>
      </c>
      <c r="AF175" s="5">
        <v>889</v>
      </c>
      <c r="AG175" s="5"/>
      <c r="AH175" s="5">
        <v>2360.3775711828675</v>
      </c>
      <c r="AI175" s="5">
        <v>6350</v>
      </c>
      <c r="AJ175" s="5"/>
      <c r="AK175" s="5">
        <v>1101.3036147195273</v>
      </c>
      <c r="AL175" s="5">
        <v>5607</v>
      </c>
      <c r="AM175" s="454"/>
      <c r="AN175" s="5">
        <v>1496.935863234107</v>
      </c>
      <c r="AO175" s="5">
        <v>0</v>
      </c>
      <c r="AP175" s="5"/>
      <c r="AQ175" s="5">
        <v>860.74741993572297</v>
      </c>
      <c r="AR175" s="5">
        <v>0</v>
      </c>
      <c r="AS175" s="5"/>
      <c r="AT175" s="5">
        <v>1315.7783506493392</v>
      </c>
      <c r="AU175" s="5">
        <v>166</v>
      </c>
      <c r="AV175" s="5"/>
      <c r="AW175" s="5">
        <v>361.89141433360572</v>
      </c>
      <c r="AX175" s="5">
        <v>0</v>
      </c>
      <c r="AY175" s="5"/>
      <c r="AZ175" s="40">
        <v>9096.1118510587112</v>
      </c>
      <c r="BA175" s="40">
        <v>13012</v>
      </c>
      <c r="BB175" s="55">
        <v>3915.8881489412888</v>
      </c>
      <c r="BD175" s="2">
        <v>1</v>
      </c>
      <c r="BF175" s="325">
        <v>150001022</v>
      </c>
    </row>
    <row r="176" spans="1:58" ht="25.05" customHeight="1" x14ac:dyDescent="0.3">
      <c r="A176" s="325">
        <v>150001023</v>
      </c>
      <c r="B176" s="445" t="s">
        <v>366</v>
      </c>
      <c r="C176" s="27">
        <v>9</v>
      </c>
      <c r="D176" s="101" t="s">
        <v>455</v>
      </c>
      <c r="E176" s="279">
        <v>3767.85</v>
      </c>
      <c r="F176" s="441">
        <v>53679.310688080572</v>
      </c>
      <c r="G176" s="441">
        <v>78821.109387068704</v>
      </c>
      <c r="H176" s="73">
        <v>25141.798698988132</v>
      </c>
      <c r="I176" s="5">
        <v>126.5</v>
      </c>
      <c r="J176" s="5">
        <v>21863</v>
      </c>
      <c r="K176" s="446"/>
      <c r="L176" s="5">
        <v>1</v>
      </c>
      <c r="M176" s="5">
        <v>45778.8</v>
      </c>
      <c r="N176" s="448"/>
      <c r="O176" s="5">
        <v>0</v>
      </c>
      <c r="P176" s="5">
        <v>0</v>
      </c>
      <c r="Q176" s="447"/>
      <c r="R176" s="5">
        <v>0</v>
      </c>
      <c r="S176" s="5">
        <v>0</v>
      </c>
      <c r="T176" s="456"/>
      <c r="U176" s="5">
        <v>0</v>
      </c>
      <c r="V176" s="5">
        <v>0</v>
      </c>
      <c r="W176" s="5">
        <v>1</v>
      </c>
      <c r="X176" s="5">
        <v>586.30938706870643</v>
      </c>
      <c r="Y176" s="5">
        <v>570</v>
      </c>
      <c r="Z176" s="5">
        <v>0</v>
      </c>
      <c r="AA176" s="5">
        <v>0</v>
      </c>
      <c r="AB176" s="5">
        <v>0</v>
      </c>
      <c r="AC176" s="5">
        <v>5929</v>
      </c>
      <c r="AD176" s="5">
        <v>4094</v>
      </c>
      <c r="AE176" s="5">
        <v>1599.0776170035417</v>
      </c>
      <c r="AF176" s="5">
        <v>259</v>
      </c>
      <c r="AG176" s="5"/>
      <c r="AH176" s="5">
        <v>2360.3775711828675</v>
      </c>
      <c r="AI176" s="5">
        <v>4061</v>
      </c>
      <c r="AJ176" s="8"/>
      <c r="AK176" s="5">
        <v>1893.4489585542963</v>
      </c>
      <c r="AL176" s="5">
        <v>0</v>
      </c>
      <c r="AM176" s="5"/>
      <c r="AN176" s="5">
        <v>1733.0796398845084</v>
      </c>
      <c r="AO176" s="5">
        <v>1048</v>
      </c>
      <c r="AP176" s="5"/>
      <c r="AQ176" s="5">
        <v>860.74741993572297</v>
      </c>
      <c r="AR176" s="5">
        <v>0</v>
      </c>
      <c r="AS176" s="5"/>
      <c r="AT176" s="5">
        <v>1419.8635963926952</v>
      </c>
      <c r="AU176" s="5">
        <v>0</v>
      </c>
      <c r="AV176" s="5"/>
      <c r="AW176" s="5">
        <v>350.7404004395375</v>
      </c>
      <c r="AX176" s="5">
        <v>0</v>
      </c>
      <c r="AY176" s="5"/>
      <c r="AZ176" s="40">
        <v>10217.33520339317</v>
      </c>
      <c r="BA176" s="40">
        <v>5368</v>
      </c>
      <c r="BB176" s="55">
        <v>-4849.3352033931696</v>
      </c>
      <c r="BD176" s="2">
        <v>1</v>
      </c>
      <c r="BF176" s="325">
        <v>150001023</v>
      </c>
    </row>
    <row r="177" spans="1:58" ht="25.05" customHeight="1" x14ac:dyDescent="0.3">
      <c r="A177" s="325">
        <v>150001024</v>
      </c>
      <c r="B177" s="445" t="s">
        <v>367</v>
      </c>
      <c r="C177" s="27">
        <v>9</v>
      </c>
      <c r="D177" s="101" t="s">
        <v>455</v>
      </c>
      <c r="E177" s="279">
        <v>4293.3200000000006</v>
      </c>
      <c r="F177" s="441">
        <v>58087.325306785388</v>
      </c>
      <c r="G177" s="441">
        <v>71792.13</v>
      </c>
      <c r="H177" s="73">
        <v>13704.804693214617</v>
      </c>
      <c r="I177" s="5">
        <v>300</v>
      </c>
      <c r="J177" s="5">
        <v>41764</v>
      </c>
      <c r="K177" s="446"/>
      <c r="L177" s="5">
        <v>0</v>
      </c>
      <c r="M177" s="5">
        <v>3697</v>
      </c>
      <c r="N177" s="35"/>
      <c r="O177" s="5">
        <v>0</v>
      </c>
      <c r="P177" s="5">
        <v>0</v>
      </c>
      <c r="Q177" s="447"/>
      <c r="R177" s="5">
        <v>3</v>
      </c>
      <c r="S177" s="5">
        <v>5036</v>
      </c>
      <c r="T177" s="448"/>
      <c r="U177" s="5">
        <v>0</v>
      </c>
      <c r="V177" s="5">
        <v>0</v>
      </c>
      <c r="W177" s="5">
        <v>0</v>
      </c>
      <c r="X177" s="5">
        <v>0</v>
      </c>
      <c r="Y177" s="5">
        <v>2731</v>
      </c>
      <c r="Z177" s="5">
        <v>0</v>
      </c>
      <c r="AA177" s="5">
        <v>0</v>
      </c>
      <c r="AB177" s="5">
        <v>0</v>
      </c>
      <c r="AC177" s="5">
        <v>15441</v>
      </c>
      <c r="AD177" s="5">
        <v>3123.13</v>
      </c>
      <c r="AE177" s="5">
        <v>2396.849651850971</v>
      </c>
      <c r="AF177" s="5">
        <v>11007</v>
      </c>
      <c r="AG177" s="5"/>
      <c r="AH177" s="5">
        <v>2644.6988429234993</v>
      </c>
      <c r="AI177" s="5">
        <v>5303</v>
      </c>
      <c r="AJ177" s="5"/>
      <c r="AK177" s="5">
        <v>1602.9611611766718</v>
      </c>
      <c r="AL177" s="5">
        <v>2242</v>
      </c>
      <c r="AM177" s="5"/>
      <c r="AN177" s="5">
        <v>2108.1213922897687</v>
      </c>
      <c r="AO177" s="5">
        <v>0</v>
      </c>
      <c r="AP177" s="5"/>
      <c r="AQ177" s="5">
        <v>923.71373565197098</v>
      </c>
      <c r="AR177" s="5">
        <v>2859</v>
      </c>
      <c r="AS177" s="5"/>
      <c r="AT177" s="5">
        <v>1285.0570039622303</v>
      </c>
      <c r="AU177" s="5">
        <v>639</v>
      </c>
      <c r="AV177" s="5"/>
      <c r="AW177" s="5">
        <v>354.43621588446871</v>
      </c>
      <c r="AX177" s="5">
        <v>0</v>
      </c>
      <c r="AY177" s="5"/>
      <c r="AZ177" s="40">
        <v>11315.83800373958</v>
      </c>
      <c r="BA177" s="40">
        <v>22050</v>
      </c>
      <c r="BB177" s="55">
        <v>10734.16199626042</v>
      </c>
      <c r="BD177" s="2">
        <v>1</v>
      </c>
      <c r="BF177" s="325">
        <v>150001024</v>
      </c>
    </row>
    <row r="178" spans="1:58" ht="25.05" customHeight="1" x14ac:dyDescent="0.3">
      <c r="A178" s="325">
        <v>150001025</v>
      </c>
      <c r="B178" s="445" t="s">
        <v>421</v>
      </c>
      <c r="C178" s="27">
        <v>10</v>
      </c>
      <c r="D178" s="101" t="s">
        <v>455</v>
      </c>
      <c r="E178" s="279">
        <v>5265.4</v>
      </c>
      <c r="F178" s="441">
        <v>68234.703961902851</v>
      </c>
      <c r="G178" s="441">
        <v>56007.13</v>
      </c>
      <c r="H178" s="73">
        <v>-12227.573961902854</v>
      </c>
      <c r="I178" s="5">
        <v>0</v>
      </c>
      <c r="J178" s="5">
        <v>0</v>
      </c>
      <c r="K178" s="446"/>
      <c r="L178" s="5">
        <v>0</v>
      </c>
      <c r="M178" s="5">
        <v>2018</v>
      </c>
      <c r="N178" s="449"/>
      <c r="O178" s="5">
        <v>0</v>
      </c>
      <c r="P178" s="5">
        <v>0</v>
      </c>
      <c r="Q178" s="447"/>
      <c r="R178" s="5">
        <v>3</v>
      </c>
      <c r="S178" s="5">
        <v>17102</v>
      </c>
      <c r="T178" s="448"/>
      <c r="U178" s="5">
        <v>0</v>
      </c>
      <c r="V178" s="5">
        <v>0</v>
      </c>
      <c r="W178" s="5">
        <v>0</v>
      </c>
      <c r="X178" s="5">
        <v>0</v>
      </c>
      <c r="Y178" s="5">
        <v>2573.14</v>
      </c>
      <c r="Z178" s="5">
        <v>0</v>
      </c>
      <c r="AA178" s="5">
        <v>0</v>
      </c>
      <c r="AB178" s="5">
        <v>3018</v>
      </c>
      <c r="AC178" s="5">
        <v>27053</v>
      </c>
      <c r="AD178" s="5">
        <v>4242.99</v>
      </c>
      <c r="AE178" s="5">
        <v>2952.5004019003595</v>
      </c>
      <c r="AF178" s="5">
        <v>2096.25</v>
      </c>
      <c r="AG178" s="5"/>
      <c r="AH178" s="5">
        <v>3218.2346278866207</v>
      </c>
      <c r="AI178" s="5">
        <v>2520</v>
      </c>
      <c r="AJ178" s="5"/>
      <c r="AK178" s="5">
        <v>1956.8044677882822</v>
      </c>
      <c r="AL178" s="5">
        <v>0</v>
      </c>
      <c r="AM178" s="5"/>
      <c r="AN178" s="5">
        <v>2327.2655100372072</v>
      </c>
      <c r="AO178" s="5">
        <v>440</v>
      </c>
      <c r="AP178" s="5"/>
      <c r="AQ178" s="5">
        <v>986.74343512353164</v>
      </c>
      <c r="AR178" s="5">
        <v>0</v>
      </c>
      <c r="AS178" s="5"/>
      <c r="AT178" s="5">
        <v>1391.0161731161543</v>
      </c>
      <c r="AU178" s="5">
        <v>0</v>
      </c>
      <c r="AV178" s="5"/>
      <c r="AW178" s="5">
        <v>449.18798803126754</v>
      </c>
      <c r="AX178" s="5">
        <v>0</v>
      </c>
      <c r="AY178" s="5"/>
      <c r="AZ178" s="40">
        <v>13281.752603883424</v>
      </c>
      <c r="BA178" s="40">
        <v>5056.25</v>
      </c>
      <c r="BB178" s="55">
        <v>-8225.5026038834239</v>
      </c>
      <c r="BD178" s="2">
        <v>1</v>
      </c>
      <c r="BF178" s="325">
        <v>150001025</v>
      </c>
    </row>
    <row r="179" spans="1:58" ht="25.05" customHeight="1" x14ac:dyDescent="0.3">
      <c r="A179" s="325">
        <v>150001026</v>
      </c>
      <c r="B179" s="445" t="s">
        <v>335</v>
      </c>
      <c r="C179" s="27">
        <v>8</v>
      </c>
      <c r="D179" s="101" t="s">
        <v>455</v>
      </c>
      <c r="E179" s="279">
        <v>7052.84</v>
      </c>
      <c r="F179" s="441">
        <v>118181.03226996228</v>
      </c>
      <c r="G179" s="441">
        <v>38374</v>
      </c>
      <c r="H179" s="73">
        <v>-79807.032269962277</v>
      </c>
      <c r="I179" s="5">
        <v>0</v>
      </c>
      <c r="J179" s="5">
        <v>0</v>
      </c>
      <c r="K179" s="446"/>
      <c r="L179" s="5">
        <v>0</v>
      </c>
      <c r="M179" s="5">
        <v>0</v>
      </c>
      <c r="N179" s="35"/>
      <c r="O179" s="5">
        <v>0</v>
      </c>
      <c r="P179" s="5">
        <v>0</v>
      </c>
      <c r="Q179" s="459"/>
      <c r="R179" s="5">
        <v>2</v>
      </c>
      <c r="S179" s="5">
        <v>21080</v>
      </c>
      <c r="T179" s="456"/>
      <c r="U179" s="5">
        <v>0</v>
      </c>
      <c r="V179" s="5">
        <v>0</v>
      </c>
      <c r="W179" s="5">
        <v>0</v>
      </c>
      <c r="X179" s="5">
        <v>0</v>
      </c>
      <c r="Y179" s="5">
        <v>3169</v>
      </c>
      <c r="Z179" s="5">
        <v>0</v>
      </c>
      <c r="AA179" s="5">
        <v>0</v>
      </c>
      <c r="AB179" s="5">
        <v>0</v>
      </c>
      <c r="AC179" s="5">
        <v>0</v>
      </c>
      <c r="AD179" s="5">
        <v>14125</v>
      </c>
      <c r="AE179" s="5">
        <v>1541.3933870941476</v>
      </c>
      <c r="AF179" s="5">
        <v>1322</v>
      </c>
      <c r="AG179" s="454"/>
      <c r="AH179" s="5">
        <v>3219.878459344191</v>
      </c>
      <c r="AI179" s="5">
        <v>4567</v>
      </c>
      <c r="AJ179" s="454"/>
      <c r="AK179" s="5">
        <v>1144.7134010235029</v>
      </c>
      <c r="AL179" s="5">
        <v>0</v>
      </c>
      <c r="AM179" s="5"/>
      <c r="AN179" s="5">
        <v>2583.8611225688737</v>
      </c>
      <c r="AO179" s="5">
        <v>0</v>
      </c>
      <c r="AP179" s="5"/>
      <c r="AQ179" s="5">
        <v>2323.4734035448423</v>
      </c>
      <c r="AR179" s="5">
        <v>0</v>
      </c>
      <c r="AS179" s="5"/>
      <c r="AT179" s="5">
        <v>2592.611494684561</v>
      </c>
      <c r="AU179" s="5">
        <v>0</v>
      </c>
      <c r="AV179" s="463"/>
      <c r="AW179" s="5">
        <v>1035.4816579214221</v>
      </c>
      <c r="AX179" s="5">
        <v>0</v>
      </c>
      <c r="AY179" s="5"/>
      <c r="AZ179" s="40">
        <v>14441.41292618154</v>
      </c>
      <c r="BA179" s="40">
        <v>5889</v>
      </c>
      <c r="BB179" s="55">
        <v>-8552.4129261815397</v>
      </c>
      <c r="BD179" s="2">
        <v>1</v>
      </c>
      <c r="BF179" s="325">
        <v>150001026</v>
      </c>
    </row>
    <row r="180" spans="1:58" ht="25.05" customHeight="1" x14ac:dyDescent="0.3">
      <c r="A180" s="325">
        <v>150001027</v>
      </c>
      <c r="B180" s="445" t="s">
        <v>368</v>
      </c>
      <c r="C180" s="27">
        <v>9</v>
      </c>
      <c r="D180" s="101" t="s">
        <v>455</v>
      </c>
      <c r="E180" s="279">
        <v>10381.549999999999</v>
      </c>
      <c r="F180" s="441">
        <v>162402.74220370443</v>
      </c>
      <c r="G180" s="441">
        <v>196679.91</v>
      </c>
      <c r="H180" s="73">
        <v>34277.167796295573</v>
      </c>
      <c r="I180" s="5">
        <v>216.6</v>
      </c>
      <c r="J180" s="5">
        <v>34053</v>
      </c>
      <c r="K180" s="446"/>
      <c r="L180" s="5">
        <v>1</v>
      </c>
      <c r="M180" s="5">
        <v>116932</v>
      </c>
      <c r="N180" s="35"/>
      <c r="O180" s="5">
        <v>0</v>
      </c>
      <c r="P180" s="5">
        <v>0</v>
      </c>
      <c r="Q180" s="447"/>
      <c r="R180" s="5">
        <v>6</v>
      </c>
      <c r="S180" s="5">
        <v>6148</v>
      </c>
      <c r="T180" s="451"/>
      <c r="U180" s="5">
        <v>0</v>
      </c>
      <c r="V180" s="5">
        <v>0</v>
      </c>
      <c r="W180" s="5">
        <v>4</v>
      </c>
      <c r="X180" s="5">
        <v>319.18</v>
      </c>
      <c r="Y180" s="5">
        <v>8812</v>
      </c>
      <c r="Z180" s="5">
        <v>0</v>
      </c>
      <c r="AA180" s="5">
        <v>0</v>
      </c>
      <c r="AB180" s="5">
        <v>0</v>
      </c>
      <c r="AC180" s="5">
        <v>10379</v>
      </c>
      <c r="AD180" s="5">
        <v>20036.73</v>
      </c>
      <c r="AE180" s="5">
        <v>3592.8793460029601</v>
      </c>
      <c r="AF180" s="5">
        <v>1951</v>
      </c>
      <c r="AG180" s="5"/>
      <c r="AH180" s="5">
        <v>4204.7238881617059</v>
      </c>
      <c r="AI180" s="5">
        <v>24911.14</v>
      </c>
      <c r="AJ180" s="8"/>
      <c r="AK180" s="5">
        <v>2762.9587952070251</v>
      </c>
      <c r="AL180" s="5">
        <v>3644.52</v>
      </c>
      <c r="AM180" s="454"/>
      <c r="AN180" s="5">
        <v>4664.5119022936979</v>
      </c>
      <c r="AO180" s="5">
        <v>0</v>
      </c>
      <c r="AP180" s="5"/>
      <c r="AQ180" s="5">
        <v>4756.7307518330008</v>
      </c>
      <c r="AR180" s="5">
        <v>0</v>
      </c>
      <c r="AS180" s="5"/>
      <c r="AT180" s="5">
        <v>4391.900473390303</v>
      </c>
      <c r="AU180" s="5">
        <v>513</v>
      </c>
      <c r="AV180" s="5"/>
      <c r="AW180" s="5">
        <v>705.45797308835722</v>
      </c>
      <c r="AX180" s="5">
        <v>0</v>
      </c>
      <c r="AY180" s="5"/>
      <c r="AZ180" s="40">
        <v>25079.163129977049</v>
      </c>
      <c r="BA180" s="40">
        <v>31019.66</v>
      </c>
      <c r="BB180" s="55">
        <v>5940.496870022951</v>
      </c>
      <c r="BD180" s="2">
        <v>1</v>
      </c>
      <c r="BF180" s="325">
        <v>150001027</v>
      </c>
    </row>
    <row r="181" spans="1:58" ht="25.05" customHeight="1" x14ac:dyDescent="0.3">
      <c r="A181" s="325">
        <v>150001028</v>
      </c>
      <c r="B181" s="445" t="s">
        <v>102</v>
      </c>
      <c r="C181" s="27">
        <v>1</v>
      </c>
      <c r="D181" s="101" t="s">
        <v>455</v>
      </c>
      <c r="E181" s="279">
        <v>110.7</v>
      </c>
      <c r="F181" s="441">
        <v>1901.7111345716053</v>
      </c>
      <c r="G181" s="441">
        <v>1214</v>
      </c>
      <c r="H181" s="73">
        <v>-687.71113457160527</v>
      </c>
      <c r="I181" s="5">
        <v>0</v>
      </c>
      <c r="J181" s="5">
        <v>1214</v>
      </c>
      <c r="K181" s="446"/>
      <c r="L181" s="5">
        <v>0</v>
      </c>
      <c r="M181" s="5">
        <v>0</v>
      </c>
      <c r="N181" s="35"/>
      <c r="O181" s="5">
        <v>0</v>
      </c>
      <c r="P181" s="5">
        <v>0</v>
      </c>
      <c r="Q181" s="447"/>
      <c r="R181" s="5">
        <v>0</v>
      </c>
      <c r="S181" s="5">
        <v>0</v>
      </c>
      <c r="T181" s="448"/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/>
      <c r="AH181" s="5">
        <v>0</v>
      </c>
      <c r="AI181" s="5">
        <v>0</v>
      </c>
      <c r="AJ181" s="5"/>
      <c r="AK181" s="5">
        <v>0</v>
      </c>
      <c r="AL181" s="5">
        <v>0</v>
      </c>
      <c r="AM181" s="5"/>
      <c r="AN181" s="5">
        <v>0</v>
      </c>
      <c r="AO181" s="5">
        <v>0</v>
      </c>
      <c r="AP181" s="5"/>
      <c r="AQ181" s="5">
        <v>0</v>
      </c>
      <c r="AR181" s="5">
        <v>0</v>
      </c>
      <c r="AS181" s="5"/>
      <c r="AT181" s="5">
        <v>0</v>
      </c>
      <c r="AU181" s="5">
        <v>0</v>
      </c>
      <c r="AV181" s="5"/>
      <c r="AW181" s="5">
        <v>7.2515047893068729</v>
      </c>
      <c r="AX181" s="5">
        <v>0</v>
      </c>
      <c r="AY181" s="5"/>
      <c r="AZ181" s="40">
        <v>7.2515047893068729</v>
      </c>
      <c r="BA181" s="40">
        <v>0</v>
      </c>
      <c r="BB181" s="55">
        <v>-7.2515047893068729</v>
      </c>
      <c r="BD181" s="2">
        <v>1</v>
      </c>
      <c r="BF181" s="325">
        <v>150001028</v>
      </c>
    </row>
    <row r="182" spans="1:58" ht="25.05" customHeight="1" x14ac:dyDescent="0.3">
      <c r="A182" s="325">
        <v>150001036</v>
      </c>
      <c r="B182" s="445" t="s">
        <v>103</v>
      </c>
      <c r="C182" s="27">
        <v>1</v>
      </c>
      <c r="D182" s="101" t="s">
        <v>455</v>
      </c>
      <c r="E182" s="279">
        <v>211.4</v>
      </c>
      <c r="F182" s="441">
        <v>2463.0999702652935</v>
      </c>
      <c r="G182" s="441">
        <v>0</v>
      </c>
      <c r="H182" s="73">
        <v>-2463.0999702652935</v>
      </c>
      <c r="I182" s="5">
        <v>0</v>
      </c>
      <c r="J182" s="5">
        <v>0</v>
      </c>
      <c r="K182" s="446"/>
      <c r="L182" s="5">
        <v>0</v>
      </c>
      <c r="M182" s="5">
        <v>0</v>
      </c>
      <c r="N182" s="35"/>
      <c r="O182" s="5">
        <v>0</v>
      </c>
      <c r="P182" s="5">
        <v>0</v>
      </c>
      <c r="Q182" s="447"/>
      <c r="R182" s="5">
        <v>0</v>
      </c>
      <c r="S182" s="5">
        <v>0</v>
      </c>
      <c r="T182" s="448"/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/>
      <c r="AH182" s="5">
        <v>0</v>
      </c>
      <c r="AI182" s="5">
        <v>0</v>
      </c>
      <c r="AJ182" s="5"/>
      <c r="AK182" s="5">
        <v>0</v>
      </c>
      <c r="AL182" s="5">
        <v>0</v>
      </c>
      <c r="AM182" s="5"/>
      <c r="AN182" s="5">
        <v>0</v>
      </c>
      <c r="AO182" s="5">
        <v>0</v>
      </c>
      <c r="AP182" s="5"/>
      <c r="AQ182" s="5">
        <v>0</v>
      </c>
      <c r="AR182" s="5">
        <v>0</v>
      </c>
      <c r="AS182" s="5"/>
      <c r="AT182" s="5">
        <v>0</v>
      </c>
      <c r="AU182" s="5">
        <v>0</v>
      </c>
      <c r="AV182" s="5"/>
      <c r="AW182" s="5">
        <v>7.561204628690696</v>
      </c>
      <c r="AX182" s="5">
        <v>0</v>
      </c>
      <c r="AY182" s="5"/>
      <c r="AZ182" s="40">
        <v>7.561204628690696</v>
      </c>
      <c r="BA182" s="40">
        <v>0</v>
      </c>
      <c r="BB182" s="55">
        <v>-7.561204628690696</v>
      </c>
      <c r="BD182" s="2">
        <v>1</v>
      </c>
      <c r="BF182" s="325">
        <v>150001036</v>
      </c>
    </row>
    <row r="183" spans="1:58" ht="25.05" customHeight="1" x14ac:dyDescent="0.3">
      <c r="A183" s="325">
        <v>150001029</v>
      </c>
      <c r="B183" s="445" t="s">
        <v>369</v>
      </c>
      <c r="C183" s="27">
        <v>9</v>
      </c>
      <c r="D183" s="101" t="s">
        <v>455</v>
      </c>
      <c r="E183" s="279">
        <v>7425.1</v>
      </c>
      <c r="F183" s="441">
        <v>111170.57963583851</v>
      </c>
      <c r="G183" s="441">
        <v>99171.54</v>
      </c>
      <c r="H183" s="73">
        <v>-11999.039635838519</v>
      </c>
      <c r="I183" s="5">
        <v>44.8</v>
      </c>
      <c r="J183" s="5">
        <v>8162</v>
      </c>
      <c r="K183" s="446"/>
      <c r="L183" s="5">
        <v>0</v>
      </c>
      <c r="M183" s="5">
        <v>253</v>
      </c>
      <c r="N183" s="35"/>
      <c r="O183" s="5">
        <v>100</v>
      </c>
      <c r="P183" s="5">
        <v>24302</v>
      </c>
      <c r="Q183" s="447"/>
      <c r="R183" s="5">
        <v>2</v>
      </c>
      <c r="S183" s="5">
        <v>25261</v>
      </c>
      <c r="T183" s="456"/>
      <c r="U183" s="5">
        <v>0</v>
      </c>
      <c r="V183" s="5">
        <v>0</v>
      </c>
      <c r="W183" s="5">
        <v>0</v>
      </c>
      <c r="X183" s="5">
        <v>0</v>
      </c>
      <c r="Y183" s="5">
        <v>3022.21</v>
      </c>
      <c r="Z183" s="5">
        <v>0</v>
      </c>
      <c r="AA183" s="5">
        <v>0</v>
      </c>
      <c r="AB183" s="5">
        <v>3886.95</v>
      </c>
      <c r="AC183" s="5">
        <v>28667.230000000003</v>
      </c>
      <c r="AD183" s="5">
        <v>5617.15</v>
      </c>
      <c r="AE183" s="5">
        <v>3328.0523877689348</v>
      </c>
      <c r="AF183" s="5">
        <v>2040.2</v>
      </c>
      <c r="AG183" s="5"/>
      <c r="AH183" s="5">
        <v>4057.8817809159877</v>
      </c>
      <c r="AI183" s="5">
        <v>4781.3599999999997</v>
      </c>
      <c r="AJ183" s="454"/>
      <c r="AK183" s="5">
        <v>2888.7727630518657</v>
      </c>
      <c r="AL183" s="5">
        <v>0</v>
      </c>
      <c r="AM183" s="5"/>
      <c r="AN183" s="5">
        <v>3119.0937251373375</v>
      </c>
      <c r="AO183" s="5">
        <v>0</v>
      </c>
      <c r="AP183" s="5"/>
      <c r="AQ183" s="5">
        <v>4093.7770492159775</v>
      </c>
      <c r="AR183" s="5">
        <v>0</v>
      </c>
      <c r="AS183" s="5"/>
      <c r="AT183" s="5">
        <v>2756.1984953604619</v>
      </c>
      <c r="AU183" s="5">
        <v>0</v>
      </c>
      <c r="AV183" s="5"/>
      <c r="AW183" s="5">
        <v>794.32735148531663</v>
      </c>
      <c r="AX183" s="5">
        <v>0</v>
      </c>
      <c r="AY183" s="5"/>
      <c r="AZ183" s="40">
        <v>21038.103552935881</v>
      </c>
      <c r="BA183" s="40">
        <v>6821.5599999999995</v>
      </c>
      <c r="BB183" s="55">
        <v>-14216.543552935882</v>
      </c>
      <c r="BD183" s="2">
        <v>1</v>
      </c>
      <c r="BF183" s="325">
        <v>150001029</v>
      </c>
    </row>
    <row r="184" spans="1:58" ht="25.05" customHeight="1" x14ac:dyDescent="0.3">
      <c r="A184" s="325">
        <v>150001030</v>
      </c>
      <c r="B184" s="445" t="s">
        <v>336</v>
      </c>
      <c r="C184" s="27">
        <v>8</v>
      </c>
      <c r="D184" s="101" t="s">
        <v>455</v>
      </c>
      <c r="E184" s="279">
        <v>6125.75</v>
      </c>
      <c r="F184" s="441">
        <v>98684.503583703568</v>
      </c>
      <c r="G184" s="441">
        <v>128461.56068977965</v>
      </c>
      <c r="H184" s="73">
        <v>29777.057106076085</v>
      </c>
      <c r="I184" s="5">
        <v>22.4</v>
      </c>
      <c r="J184" s="5">
        <v>3627</v>
      </c>
      <c r="K184" s="446"/>
      <c r="L184" s="5">
        <v>1</v>
      </c>
      <c r="M184" s="5">
        <v>43197</v>
      </c>
      <c r="N184" s="35"/>
      <c r="O184" s="5">
        <v>80</v>
      </c>
      <c r="P184" s="5">
        <v>18453</v>
      </c>
      <c r="Q184" s="447"/>
      <c r="R184" s="5">
        <v>4</v>
      </c>
      <c r="S184" s="5">
        <v>29097</v>
      </c>
      <c r="T184" s="448"/>
      <c r="U184" s="5">
        <v>0</v>
      </c>
      <c r="V184" s="5">
        <v>0</v>
      </c>
      <c r="W184" s="5">
        <v>1</v>
      </c>
      <c r="X184" s="5">
        <v>1142.2506897796609</v>
      </c>
      <c r="Y184" s="5">
        <v>9979</v>
      </c>
      <c r="Z184" s="5">
        <v>0</v>
      </c>
      <c r="AA184" s="5">
        <v>0</v>
      </c>
      <c r="AB184" s="5">
        <v>3079</v>
      </c>
      <c r="AC184" s="5">
        <v>14291</v>
      </c>
      <c r="AD184" s="5">
        <v>5596.3099999999995</v>
      </c>
      <c r="AE184" s="5">
        <v>1412.2363512107238</v>
      </c>
      <c r="AF184" s="5">
        <v>1311.02</v>
      </c>
      <c r="AG184" s="5"/>
      <c r="AH184" s="5">
        <v>2349.1309196686498</v>
      </c>
      <c r="AI184" s="5">
        <v>1515.33</v>
      </c>
      <c r="AJ184" s="5"/>
      <c r="AK184" s="5">
        <v>1035.921425391663</v>
      </c>
      <c r="AL184" s="5">
        <v>0</v>
      </c>
      <c r="AM184" s="5"/>
      <c r="AN184" s="5">
        <v>2158.6150045138706</v>
      </c>
      <c r="AO184" s="5">
        <v>0</v>
      </c>
      <c r="AP184" s="5"/>
      <c r="AQ184" s="5">
        <v>1125.1844167383949</v>
      </c>
      <c r="AR184" s="5">
        <v>0</v>
      </c>
      <c r="AS184" s="5"/>
      <c r="AT184" s="5">
        <v>1512.6044074450083</v>
      </c>
      <c r="AU184" s="5">
        <v>493</v>
      </c>
      <c r="AV184" s="5"/>
      <c r="AW184" s="5">
        <v>1024.4198325797217</v>
      </c>
      <c r="AX184" s="5">
        <v>0</v>
      </c>
      <c r="AY184" s="5"/>
      <c r="AZ184" s="40">
        <v>10618.112357548034</v>
      </c>
      <c r="BA184" s="40">
        <v>3319.35</v>
      </c>
      <c r="BB184" s="55">
        <v>-7298.7623575480338</v>
      </c>
      <c r="BD184" s="2">
        <v>1</v>
      </c>
      <c r="BF184" s="325">
        <v>150001030</v>
      </c>
    </row>
    <row r="185" spans="1:58" ht="25.05" customHeight="1" x14ac:dyDescent="0.3">
      <c r="A185" s="325">
        <v>150001031</v>
      </c>
      <c r="B185" s="445" t="s">
        <v>104</v>
      </c>
      <c r="C185" s="27">
        <v>1</v>
      </c>
      <c r="D185" s="101" t="s">
        <v>455</v>
      </c>
      <c r="E185" s="279">
        <v>159.9</v>
      </c>
      <c r="F185" s="441">
        <v>1970.2813730029084</v>
      </c>
      <c r="G185" s="441">
        <v>1214</v>
      </c>
      <c r="H185" s="73">
        <v>-756.28137300290837</v>
      </c>
      <c r="I185" s="5">
        <v>0</v>
      </c>
      <c r="J185" s="5">
        <v>1214</v>
      </c>
      <c r="K185" s="446"/>
      <c r="L185" s="5">
        <v>0</v>
      </c>
      <c r="M185" s="5">
        <v>0</v>
      </c>
      <c r="N185" s="35"/>
      <c r="O185" s="5">
        <v>0</v>
      </c>
      <c r="P185" s="5">
        <v>0</v>
      </c>
      <c r="Q185" s="447"/>
      <c r="R185" s="5">
        <v>0</v>
      </c>
      <c r="S185" s="5">
        <v>0</v>
      </c>
      <c r="T185" s="448"/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/>
      <c r="AH185" s="5">
        <v>0</v>
      </c>
      <c r="AI185" s="5">
        <v>0</v>
      </c>
      <c r="AJ185" s="5"/>
      <c r="AK185" s="5">
        <v>0</v>
      </c>
      <c r="AL185" s="5">
        <v>0</v>
      </c>
      <c r="AM185" s="5"/>
      <c r="AN185" s="5">
        <v>0</v>
      </c>
      <c r="AO185" s="5">
        <v>0</v>
      </c>
      <c r="AP185" s="5"/>
      <c r="AQ185" s="5">
        <v>0</v>
      </c>
      <c r="AR185" s="5">
        <v>0</v>
      </c>
      <c r="AS185" s="5"/>
      <c r="AT185" s="5">
        <v>0</v>
      </c>
      <c r="AU185" s="5">
        <v>0</v>
      </c>
      <c r="AV185" s="5"/>
      <c r="AW185" s="5">
        <v>7.561204628690696</v>
      </c>
      <c r="AX185" s="5">
        <v>0</v>
      </c>
      <c r="AY185" s="5"/>
      <c r="AZ185" s="40">
        <v>7.561204628690696</v>
      </c>
      <c r="BA185" s="40">
        <v>0</v>
      </c>
      <c r="BB185" s="55">
        <v>-7.561204628690696</v>
      </c>
      <c r="BD185" s="2">
        <v>1</v>
      </c>
      <c r="BF185" s="325">
        <v>150001031</v>
      </c>
    </row>
    <row r="186" spans="1:58" ht="25.05" customHeight="1" x14ac:dyDescent="0.3">
      <c r="A186" s="325">
        <v>150001037</v>
      </c>
      <c r="B186" s="445" t="s">
        <v>105</v>
      </c>
      <c r="C186" s="27">
        <v>1</v>
      </c>
      <c r="D186" s="101" t="s">
        <v>455</v>
      </c>
      <c r="E186" s="279">
        <v>161.4</v>
      </c>
      <c r="F186" s="441">
        <v>1843.4788316734375</v>
      </c>
      <c r="G186" s="441">
        <v>0</v>
      </c>
      <c r="H186" s="73">
        <v>-1843.4788316734375</v>
      </c>
      <c r="I186" s="5">
        <v>0</v>
      </c>
      <c r="J186" s="5">
        <v>0</v>
      </c>
      <c r="K186" s="446"/>
      <c r="L186" s="5">
        <v>0</v>
      </c>
      <c r="M186" s="5">
        <v>0</v>
      </c>
      <c r="N186" s="35"/>
      <c r="O186" s="5">
        <v>0</v>
      </c>
      <c r="P186" s="5">
        <v>0</v>
      </c>
      <c r="Q186" s="447"/>
      <c r="R186" s="5">
        <v>0</v>
      </c>
      <c r="S186" s="5">
        <v>0</v>
      </c>
      <c r="T186" s="448"/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/>
      <c r="AH186" s="5">
        <v>0</v>
      </c>
      <c r="AI186" s="5">
        <v>0</v>
      </c>
      <c r="AJ186" s="5"/>
      <c r="AK186" s="5">
        <v>0</v>
      </c>
      <c r="AL186" s="5">
        <v>0</v>
      </c>
      <c r="AM186" s="5"/>
      <c r="AN186" s="5">
        <v>0</v>
      </c>
      <c r="AO186" s="5">
        <v>0</v>
      </c>
      <c r="AP186" s="5"/>
      <c r="AQ186" s="5">
        <v>0</v>
      </c>
      <c r="AR186" s="5">
        <v>0</v>
      </c>
      <c r="AS186" s="5"/>
      <c r="AT186" s="5">
        <v>0</v>
      </c>
      <c r="AU186" s="5">
        <v>0</v>
      </c>
      <c r="AV186" s="5"/>
      <c r="AW186" s="5">
        <v>8.4904860561177244</v>
      </c>
      <c r="AX186" s="5">
        <v>0</v>
      </c>
      <c r="AY186" s="5"/>
      <c r="AZ186" s="40">
        <v>8.4904860561177244</v>
      </c>
      <c r="BA186" s="40">
        <v>0</v>
      </c>
      <c r="BB186" s="55">
        <v>-8.4904860561177244</v>
      </c>
      <c r="BD186" s="2">
        <v>1</v>
      </c>
      <c r="BF186" s="325">
        <v>150001037</v>
      </c>
    </row>
    <row r="187" spans="1:58" ht="25.05" customHeight="1" x14ac:dyDescent="0.3">
      <c r="A187" s="325">
        <v>150001032</v>
      </c>
      <c r="B187" s="445" t="s">
        <v>370</v>
      </c>
      <c r="C187" s="27">
        <v>9</v>
      </c>
      <c r="D187" s="101" t="s">
        <v>455</v>
      </c>
      <c r="E187" s="279">
        <v>6020</v>
      </c>
      <c r="F187" s="441">
        <v>91288.62688439207</v>
      </c>
      <c r="G187" s="441">
        <v>103699.07999999999</v>
      </c>
      <c r="H187" s="73">
        <v>12410.453115607917</v>
      </c>
      <c r="I187" s="5">
        <v>34.4</v>
      </c>
      <c r="J187" s="5">
        <v>6684</v>
      </c>
      <c r="K187" s="446"/>
      <c r="L187" s="5">
        <v>0</v>
      </c>
      <c r="M187" s="5">
        <v>0</v>
      </c>
      <c r="N187" s="448"/>
      <c r="O187" s="5">
        <v>9</v>
      </c>
      <c r="P187" s="5">
        <v>2298</v>
      </c>
      <c r="Q187" s="447"/>
      <c r="R187" s="5">
        <v>1</v>
      </c>
      <c r="S187" s="5">
        <v>2783</v>
      </c>
      <c r="T187" s="451"/>
      <c r="U187" s="5">
        <v>0</v>
      </c>
      <c r="V187" s="5">
        <v>0</v>
      </c>
      <c r="W187" s="5">
        <v>0</v>
      </c>
      <c r="X187" s="5">
        <v>56</v>
      </c>
      <c r="Y187" s="5">
        <v>75011.62</v>
      </c>
      <c r="Z187" s="5">
        <v>0</v>
      </c>
      <c r="AA187" s="5">
        <v>0</v>
      </c>
      <c r="AB187" s="5">
        <v>1931</v>
      </c>
      <c r="AC187" s="5">
        <v>2241</v>
      </c>
      <c r="AD187" s="5">
        <v>12694.46</v>
      </c>
      <c r="AE187" s="5">
        <v>1952.1213424780274</v>
      </c>
      <c r="AF187" s="5">
        <v>511</v>
      </c>
      <c r="AG187" s="5"/>
      <c r="AH187" s="5">
        <v>2182.0696728168487</v>
      </c>
      <c r="AI187" s="5">
        <v>4887</v>
      </c>
      <c r="AJ187" s="5"/>
      <c r="AK187" s="5">
        <v>2216.3490811309434</v>
      </c>
      <c r="AL187" s="5">
        <v>0</v>
      </c>
      <c r="AM187" s="5"/>
      <c r="AN187" s="5">
        <v>2401.3495149682803</v>
      </c>
      <c r="AO187" s="5">
        <v>0</v>
      </c>
      <c r="AP187" s="5"/>
      <c r="AQ187" s="5">
        <v>2046.8566953510328</v>
      </c>
      <c r="AR187" s="5">
        <v>0</v>
      </c>
      <c r="AS187" s="5"/>
      <c r="AT187" s="5">
        <v>2771.1839139093718</v>
      </c>
      <c r="AU187" s="5">
        <v>657</v>
      </c>
      <c r="AV187" s="8"/>
      <c r="AW187" s="5">
        <v>1024.4198325797217</v>
      </c>
      <c r="AX187" s="5">
        <v>5601.82</v>
      </c>
      <c r="AY187" s="5"/>
      <c r="AZ187" s="40">
        <v>14594.350053234226</v>
      </c>
      <c r="BA187" s="40">
        <v>11656.82</v>
      </c>
      <c r="BB187" s="55">
        <v>-2937.5300532342262</v>
      </c>
      <c r="BD187" s="2">
        <v>1</v>
      </c>
      <c r="BF187" s="325">
        <v>150001032</v>
      </c>
    </row>
    <row r="188" spans="1:58" ht="25.05" customHeight="1" x14ac:dyDescent="0.3">
      <c r="A188" s="325">
        <v>150000537</v>
      </c>
      <c r="B188" s="445" t="s">
        <v>106</v>
      </c>
      <c r="C188" s="27">
        <v>1</v>
      </c>
      <c r="D188" s="101" t="s">
        <v>455</v>
      </c>
      <c r="E188" s="279">
        <v>108.3</v>
      </c>
      <c r="F188" s="441">
        <v>133.09600468182697</v>
      </c>
      <c r="G188" s="441">
        <v>0</v>
      </c>
      <c r="H188" s="73">
        <v>-133.09600468182697</v>
      </c>
      <c r="I188" s="5">
        <v>0</v>
      </c>
      <c r="J188" s="5">
        <v>0</v>
      </c>
      <c r="K188" s="446"/>
      <c r="L188" s="5">
        <v>0</v>
      </c>
      <c r="M188" s="5">
        <v>0</v>
      </c>
      <c r="N188" s="35"/>
      <c r="O188" s="5">
        <v>0</v>
      </c>
      <c r="P188" s="5">
        <v>0</v>
      </c>
      <c r="Q188" s="447"/>
      <c r="R188" s="5">
        <v>0</v>
      </c>
      <c r="S188" s="5">
        <v>0</v>
      </c>
      <c r="T188" s="448"/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/>
      <c r="AH188" s="5">
        <v>0</v>
      </c>
      <c r="AI188" s="5">
        <v>0</v>
      </c>
      <c r="AJ188" s="5"/>
      <c r="AK188" s="5">
        <v>0</v>
      </c>
      <c r="AL188" s="5">
        <v>0</v>
      </c>
      <c r="AM188" s="5"/>
      <c r="AN188" s="5">
        <v>0</v>
      </c>
      <c r="AO188" s="5">
        <v>0</v>
      </c>
      <c r="AP188" s="5"/>
      <c r="AQ188" s="5">
        <v>0</v>
      </c>
      <c r="AR188" s="5">
        <v>0</v>
      </c>
      <c r="AS188" s="5"/>
      <c r="AT188" s="5">
        <v>0</v>
      </c>
      <c r="AU188" s="5">
        <v>0</v>
      </c>
      <c r="AV188" s="5"/>
      <c r="AW188" s="5">
        <v>3.2489999999999997</v>
      </c>
      <c r="AX188" s="5">
        <v>0</v>
      </c>
      <c r="AY188" s="5"/>
      <c r="AZ188" s="40">
        <v>3.2489999999999997</v>
      </c>
      <c r="BA188" s="40">
        <v>0</v>
      </c>
      <c r="BB188" s="55">
        <v>-3.2489999999999997</v>
      </c>
      <c r="BD188" s="2">
        <v>2</v>
      </c>
      <c r="BF188" s="325">
        <v>150000537</v>
      </c>
    </row>
    <row r="189" spans="1:58" ht="25.05" customHeight="1" x14ac:dyDescent="0.3">
      <c r="A189" s="325">
        <v>150000545</v>
      </c>
      <c r="B189" s="445" t="s">
        <v>107</v>
      </c>
      <c r="C189" s="27">
        <v>1</v>
      </c>
      <c r="D189" s="101" t="s">
        <v>455</v>
      </c>
      <c r="E189" s="279">
        <v>95</v>
      </c>
      <c r="F189" s="441">
        <v>1059.5390949209577</v>
      </c>
      <c r="G189" s="441">
        <v>0</v>
      </c>
      <c r="H189" s="73">
        <v>-1059.5390949209577</v>
      </c>
      <c r="I189" s="5">
        <v>0</v>
      </c>
      <c r="J189" s="5">
        <v>0</v>
      </c>
      <c r="K189" s="446"/>
      <c r="L189" s="5">
        <v>0</v>
      </c>
      <c r="M189" s="5">
        <v>0</v>
      </c>
      <c r="N189" s="35"/>
      <c r="O189" s="5">
        <v>0</v>
      </c>
      <c r="P189" s="5">
        <v>0</v>
      </c>
      <c r="Q189" s="447"/>
      <c r="R189" s="5">
        <v>0</v>
      </c>
      <c r="S189" s="5">
        <v>0</v>
      </c>
      <c r="T189" s="448"/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/>
      <c r="AH189" s="5">
        <v>0</v>
      </c>
      <c r="AI189" s="5">
        <v>0</v>
      </c>
      <c r="AJ189" s="5"/>
      <c r="AK189" s="5">
        <v>0</v>
      </c>
      <c r="AL189" s="5">
        <v>0</v>
      </c>
      <c r="AM189" s="5"/>
      <c r="AN189" s="5">
        <v>0</v>
      </c>
      <c r="AO189" s="5">
        <v>0</v>
      </c>
      <c r="AP189" s="5"/>
      <c r="AQ189" s="5">
        <v>0</v>
      </c>
      <c r="AR189" s="5">
        <v>0</v>
      </c>
      <c r="AS189" s="5"/>
      <c r="AT189" s="5">
        <v>0</v>
      </c>
      <c r="AU189" s="5">
        <v>0</v>
      </c>
      <c r="AV189" s="5"/>
      <c r="AW189" s="5">
        <v>2.85</v>
      </c>
      <c r="AX189" s="5">
        <v>0</v>
      </c>
      <c r="AY189" s="5"/>
      <c r="AZ189" s="40">
        <v>2.85</v>
      </c>
      <c r="BA189" s="40">
        <v>0</v>
      </c>
      <c r="BB189" s="55">
        <v>-2.85</v>
      </c>
      <c r="BD189" s="2">
        <v>2</v>
      </c>
      <c r="BF189" s="325">
        <v>150000545</v>
      </c>
    </row>
    <row r="190" spans="1:58" ht="25.05" customHeight="1" x14ac:dyDescent="0.3">
      <c r="A190" s="325">
        <v>150000546</v>
      </c>
      <c r="B190" s="445" t="s">
        <v>108</v>
      </c>
      <c r="C190" s="27">
        <v>1</v>
      </c>
      <c r="D190" s="101" t="s">
        <v>455</v>
      </c>
      <c r="E190" s="279">
        <v>131.30000000000001</v>
      </c>
      <c r="F190" s="441">
        <v>1448.0028274739911</v>
      </c>
      <c r="G190" s="441">
        <v>0</v>
      </c>
      <c r="H190" s="73">
        <v>-1448.0028274739911</v>
      </c>
      <c r="I190" s="5">
        <v>0</v>
      </c>
      <c r="J190" s="5">
        <v>0</v>
      </c>
      <c r="K190" s="446"/>
      <c r="L190" s="5">
        <v>0</v>
      </c>
      <c r="M190" s="5">
        <v>0</v>
      </c>
      <c r="N190" s="35"/>
      <c r="O190" s="5">
        <v>0</v>
      </c>
      <c r="P190" s="5">
        <v>0</v>
      </c>
      <c r="Q190" s="447"/>
      <c r="R190" s="5">
        <v>0</v>
      </c>
      <c r="S190" s="5">
        <v>0</v>
      </c>
      <c r="T190" s="448"/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/>
      <c r="AH190" s="5">
        <v>0</v>
      </c>
      <c r="AI190" s="5">
        <v>0</v>
      </c>
      <c r="AJ190" s="5"/>
      <c r="AK190" s="5">
        <v>0</v>
      </c>
      <c r="AL190" s="5">
        <v>0</v>
      </c>
      <c r="AM190" s="5"/>
      <c r="AN190" s="5">
        <v>0</v>
      </c>
      <c r="AO190" s="5">
        <v>0</v>
      </c>
      <c r="AP190" s="5"/>
      <c r="AQ190" s="5">
        <v>0</v>
      </c>
      <c r="AR190" s="5">
        <v>0</v>
      </c>
      <c r="AS190" s="5"/>
      <c r="AT190" s="5">
        <v>0</v>
      </c>
      <c r="AU190" s="5">
        <v>0</v>
      </c>
      <c r="AV190" s="5"/>
      <c r="AW190" s="5">
        <v>3.9345000000000003</v>
      </c>
      <c r="AX190" s="5">
        <v>0</v>
      </c>
      <c r="AY190" s="5"/>
      <c r="AZ190" s="40">
        <v>3.9345000000000003</v>
      </c>
      <c r="BA190" s="40">
        <v>0</v>
      </c>
      <c r="BB190" s="55">
        <v>-3.9345000000000003</v>
      </c>
      <c r="BD190" s="2">
        <v>2</v>
      </c>
      <c r="BF190" s="325">
        <v>150000546</v>
      </c>
    </row>
    <row r="191" spans="1:58" ht="25.05" customHeight="1" x14ac:dyDescent="0.3">
      <c r="A191" s="325">
        <v>150000502</v>
      </c>
      <c r="B191" s="445" t="s">
        <v>109</v>
      </c>
      <c r="C191" s="27">
        <v>1</v>
      </c>
      <c r="D191" s="101" t="s">
        <v>455</v>
      </c>
      <c r="E191" s="279">
        <v>137.30000000000001</v>
      </c>
      <c r="F191" s="441">
        <v>1728.0599540540254</v>
      </c>
      <c r="G191" s="441">
        <v>446</v>
      </c>
      <c r="H191" s="73">
        <v>-1282.0599540540254</v>
      </c>
      <c r="I191" s="5">
        <v>0</v>
      </c>
      <c r="J191" s="5">
        <v>446</v>
      </c>
      <c r="K191" s="446"/>
      <c r="L191" s="5">
        <v>0</v>
      </c>
      <c r="M191" s="5">
        <v>0</v>
      </c>
      <c r="N191" s="35"/>
      <c r="O191" s="5">
        <v>0</v>
      </c>
      <c r="P191" s="5">
        <v>0</v>
      </c>
      <c r="Q191" s="447"/>
      <c r="R191" s="5">
        <v>0</v>
      </c>
      <c r="S191" s="5">
        <v>0</v>
      </c>
      <c r="T191" s="448"/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/>
      <c r="AH191" s="5">
        <v>0</v>
      </c>
      <c r="AI191" s="5">
        <v>0</v>
      </c>
      <c r="AJ191" s="5"/>
      <c r="AK191" s="5">
        <v>0</v>
      </c>
      <c r="AL191" s="5">
        <v>0</v>
      </c>
      <c r="AM191" s="5"/>
      <c r="AN191" s="5">
        <v>0</v>
      </c>
      <c r="AO191" s="5">
        <v>0</v>
      </c>
      <c r="AP191" s="5"/>
      <c r="AQ191" s="5">
        <v>0</v>
      </c>
      <c r="AR191" s="5">
        <v>0</v>
      </c>
      <c r="AS191" s="5"/>
      <c r="AT191" s="5">
        <v>0</v>
      </c>
      <c r="AU191" s="5">
        <v>0</v>
      </c>
      <c r="AV191" s="5"/>
      <c r="AW191" s="5">
        <v>4.1190000000000007</v>
      </c>
      <c r="AX191" s="5">
        <v>0</v>
      </c>
      <c r="AY191" s="5"/>
      <c r="AZ191" s="40">
        <v>4.1190000000000007</v>
      </c>
      <c r="BA191" s="40">
        <v>0</v>
      </c>
      <c r="BB191" s="55">
        <v>-4.1190000000000007</v>
      </c>
      <c r="BD191" s="2">
        <v>3</v>
      </c>
      <c r="BF191" s="325">
        <v>150000502</v>
      </c>
    </row>
    <row r="192" spans="1:58" ht="25.05" customHeight="1" x14ac:dyDescent="0.3">
      <c r="A192" s="325">
        <v>150000503</v>
      </c>
      <c r="B192" s="445" t="s">
        <v>110</v>
      </c>
      <c r="C192" s="27">
        <v>1</v>
      </c>
      <c r="D192" s="101" t="s">
        <v>455</v>
      </c>
      <c r="E192" s="279">
        <v>211.6</v>
      </c>
      <c r="F192" s="441">
        <v>2533.6416001502421</v>
      </c>
      <c r="G192" s="441">
        <v>3102</v>
      </c>
      <c r="H192" s="73">
        <v>568.35839984975792</v>
      </c>
      <c r="I192" s="5">
        <v>0</v>
      </c>
      <c r="J192" s="5">
        <v>0</v>
      </c>
      <c r="K192" s="446"/>
      <c r="L192" s="5">
        <v>0</v>
      </c>
      <c r="M192" s="5">
        <v>0</v>
      </c>
      <c r="N192" s="35"/>
      <c r="O192" s="5">
        <v>0</v>
      </c>
      <c r="P192" s="5">
        <v>0</v>
      </c>
      <c r="Q192" s="447"/>
      <c r="R192" s="5">
        <v>0</v>
      </c>
      <c r="S192" s="5">
        <v>0</v>
      </c>
      <c r="T192" s="448"/>
      <c r="U192" s="5">
        <v>0</v>
      </c>
      <c r="V192" s="5">
        <v>0</v>
      </c>
      <c r="W192" s="5">
        <v>0</v>
      </c>
      <c r="X192" s="5">
        <v>0</v>
      </c>
      <c r="Y192" s="5">
        <v>3102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2.3113812888097263E-2</v>
      </c>
      <c r="AF192" s="5">
        <v>0</v>
      </c>
      <c r="AG192" s="5"/>
      <c r="AH192" s="5">
        <v>0</v>
      </c>
      <c r="AI192" s="5">
        <v>0</v>
      </c>
      <c r="AJ192" s="5"/>
      <c r="AK192" s="5">
        <v>0</v>
      </c>
      <c r="AL192" s="5">
        <v>0</v>
      </c>
      <c r="AM192" s="5"/>
      <c r="AN192" s="5">
        <v>0</v>
      </c>
      <c r="AO192" s="5">
        <v>0</v>
      </c>
      <c r="AP192" s="5"/>
      <c r="AQ192" s="5">
        <v>0</v>
      </c>
      <c r="AR192" s="5">
        <v>0</v>
      </c>
      <c r="AS192" s="5"/>
      <c r="AT192" s="5">
        <v>21.437858818454341</v>
      </c>
      <c r="AU192" s="5">
        <v>0</v>
      </c>
      <c r="AV192" s="5"/>
      <c r="AW192" s="5">
        <v>6.4560000000000004</v>
      </c>
      <c r="AX192" s="5">
        <v>0</v>
      </c>
      <c r="AY192" s="5"/>
      <c r="AZ192" s="40">
        <v>27.916972631342439</v>
      </c>
      <c r="BA192" s="40">
        <v>0</v>
      </c>
      <c r="BB192" s="55">
        <v>-27.916972631342439</v>
      </c>
      <c r="BD192" s="2">
        <v>3</v>
      </c>
      <c r="BF192" s="325">
        <v>150000503</v>
      </c>
    </row>
    <row r="193" spans="1:58" ht="25.05" customHeight="1" x14ac:dyDescent="0.3">
      <c r="A193" s="325">
        <v>150000504</v>
      </c>
      <c r="B193" s="445" t="s">
        <v>111</v>
      </c>
      <c r="C193" s="27">
        <v>1</v>
      </c>
      <c r="D193" s="101" t="s">
        <v>455</v>
      </c>
      <c r="E193" s="279">
        <v>180.6</v>
      </c>
      <c r="F193" s="441">
        <v>2326.690166247618</v>
      </c>
      <c r="G193" s="441">
        <v>0</v>
      </c>
      <c r="H193" s="73">
        <v>-2326.690166247618</v>
      </c>
      <c r="I193" s="5">
        <v>0</v>
      </c>
      <c r="J193" s="5">
        <v>0</v>
      </c>
      <c r="K193" s="446"/>
      <c r="L193" s="5">
        <v>0</v>
      </c>
      <c r="M193" s="5">
        <v>0</v>
      </c>
      <c r="N193" s="35"/>
      <c r="O193" s="5">
        <v>0</v>
      </c>
      <c r="P193" s="5">
        <v>0</v>
      </c>
      <c r="Q193" s="447"/>
      <c r="R193" s="5">
        <v>0</v>
      </c>
      <c r="S193" s="5">
        <v>0</v>
      </c>
      <c r="T193" s="448"/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/>
      <c r="AH193" s="5">
        <v>0</v>
      </c>
      <c r="AI193" s="5">
        <v>0</v>
      </c>
      <c r="AJ193" s="5"/>
      <c r="AK193" s="5">
        <v>0</v>
      </c>
      <c r="AL193" s="5">
        <v>0</v>
      </c>
      <c r="AM193" s="5"/>
      <c r="AN193" s="5">
        <v>0</v>
      </c>
      <c r="AO193" s="5">
        <v>0</v>
      </c>
      <c r="AP193" s="5"/>
      <c r="AQ193" s="5">
        <v>0</v>
      </c>
      <c r="AR193" s="5">
        <v>0</v>
      </c>
      <c r="AS193" s="5"/>
      <c r="AT193" s="5">
        <v>0</v>
      </c>
      <c r="AU193" s="5">
        <v>0</v>
      </c>
      <c r="AV193" s="5"/>
      <c r="AW193" s="5">
        <v>5.4180000000000001</v>
      </c>
      <c r="AX193" s="5">
        <v>0</v>
      </c>
      <c r="AY193" s="5"/>
      <c r="AZ193" s="40">
        <v>5.4180000000000001</v>
      </c>
      <c r="BA193" s="40">
        <v>0</v>
      </c>
      <c r="BB193" s="55">
        <v>-5.4180000000000001</v>
      </c>
      <c r="BD193" s="2">
        <v>3</v>
      </c>
      <c r="BF193" s="325">
        <v>150000504</v>
      </c>
    </row>
    <row r="194" spans="1:58" ht="25.05" customHeight="1" x14ac:dyDescent="0.3">
      <c r="A194" s="325">
        <v>150000506</v>
      </c>
      <c r="B194" s="445" t="s">
        <v>112</v>
      </c>
      <c r="C194" s="27">
        <v>1</v>
      </c>
      <c r="D194" s="101" t="s">
        <v>455</v>
      </c>
      <c r="E194" s="279">
        <v>102.4</v>
      </c>
      <c r="F194" s="441">
        <v>1520.0125676951029</v>
      </c>
      <c r="G194" s="441">
        <v>0</v>
      </c>
      <c r="H194" s="73">
        <v>-1520.0125676951029</v>
      </c>
      <c r="I194" s="5">
        <v>0</v>
      </c>
      <c r="J194" s="5">
        <v>0</v>
      </c>
      <c r="K194" s="446"/>
      <c r="L194" s="5">
        <v>0</v>
      </c>
      <c r="M194" s="5">
        <v>0</v>
      </c>
      <c r="N194" s="35"/>
      <c r="O194" s="5">
        <v>0</v>
      </c>
      <c r="P194" s="5">
        <v>0</v>
      </c>
      <c r="Q194" s="447"/>
      <c r="R194" s="5">
        <v>0</v>
      </c>
      <c r="S194" s="5">
        <v>0</v>
      </c>
      <c r="T194" s="448"/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/>
      <c r="AH194" s="5">
        <v>0</v>
      </c>
      <c r="AI194" s="5">
        <v>0</v>
      </c>
      <c r="AJ194" s="5"/>
      <c r="AK194" s="5">
        <v>0</v>
      </c>
      <c r="AL194" s="5">
        <v>0</v>
      </c>
      <c r="AM194" s="5"/>
      <c r="AN194" s="5">
        <v>0</v>
      </c>
      <c r="AO194" s="5">
        <v>0</v>
      </c>
      <c r="AP194" s="5"/>
      <c r="AQ194" s="5">
        <v>0</v>
      </c>
      <c r="AR194" s="5">
        <v>0</v>
      </c>
      <c r="AS194" s="5"/>
      <c r="AT194" s="5">
        <v>0</v>
      </c>
      <c r="AU194" s="5">
        <v>0</v>
      </c>
      <c r="AV194" s="5"/>
      <c r="AW194" s="5">
        <v>3.0720000000000001</v>
      </c>
      <c r="AX194" s="5">
        <v>0</v>
      </c>
      <c r="AY194" s="5"/>
      <c r="AZ194" s="40">
        <v>3.0720000000000001</v>
      </c>
      <c r="BA194" s="40">
        <v>0</v>
      </c>
      <c r="BB194" s="55">
        <v>-3.0720000000000001</v>
      </c>
      <c r="BD194" s="2">
        <v>3</v>
      </c>
      <c r="BF194" s="325">
        <v>150000506</v>
      </c>
    </row>
    <row r="195" spans="1:58" ht="25.05" customHeight="1" x14ac:dyDescent="0.3">
      <c r="A195" s="325">
        <v>150000505</v>
      </c>
      <c r="B195" s="445" t="s">
        <v>113</v>
      </c>
      <c r="C195" s="27">
        <v>1</v>
      </c>
      <c r="D195" s="101" t="s">
        <v>455</v>
      </c>
      <c r="E195" s="279">
        <v>180.22</v>
      </c>
      <c r="F195" s="441">
        <v>2369.0344535898726</v>
      </c>
      <c r="G195" s="441">
        <v>0</v>
      </c>
      <c r="H195" s="73">
        <v>-2369.0344535898726</v>
      </c>
      <c r="I195" s="5">
        <v>0</v>
      </c>
      <c r="J195" s="5">
        <v>0</v>
      </c>
      <c r="K195" s="446"/>
      <c r="L195" s="5">
        <v>0</v>
      </c>
      <c r="M195" s="5">
        <v>0</v>
      </c>
      <c r="N195" s="35"/>
      <c r="O195" s="5">
        <v>0</v>
      </c>
      <c r="P195" s="5">
        <v>0</v>
      </c>
      <c r="Q195" s="447"/>
      <c r="R195" s="5">
        <v>0</v>
      </c>
      <c r="S195" s="5">
        <v>0</v>
      </c>
      <c r="T195" s="448"/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/>
      <c r="AH195" s="5">
        <v>0</v>
      </c>
      <c r="AI195" s="5">
        <v>0</v>
      </c>
      <c r="AJ195" s="5"/>
      <c r="AK195" s="5">
        <v>0</v>
      </c>
      <c r="AL195" s="5">
        <v>0</v>
      </c>
      <c r="AM195" s="5"/>
      <c r="AN195" s="5">
        <v>0</v>
      </c>
      <c r="AO195" s="5">
        <v>0</v>
      </c>
      <c r="AP195" s="5"/>
      <c r="AQ195" s="5">
        <v>0</v>
      </c>
      <c r="AR195" s="5">
        <v>0</v>
      </c>
      <c r="AS195" s="5"/>
      <c r="AT195" s="5">
        <v>0</v>
      </c>
      <c r="AU195" s="5">
        <v>0</v>
      </c>
      <c r="AV195" s="5"/>
      <c r="AW195" s="5">
        <v>5.4066000000000001</v>
      </c>
      <c r="AX195" s="5">
        <v>0</v>
      </c>
      <c r="AY195" s="5"/>
      <c r="AZ195" s="40">
        <v>5.4066000000000001</v>
      </c>
      <c r="BA195" s="40">
        <v>0</v>
      </c>
      <c r="BB195" s="55">
        <v>-5.4066000000000001</v>
      </c>
      <c r="BD195" s="2">
        <v>3</v>
      </c>
      <c r="BF195" s="325">
        <v>150000505</v>
      </c>
    </row>
    <row r="196" spans="1:58" ht="25.05" customHeight="1" x14ac:dyDescent="0.3">
      <c r="A196" s="325">
        <v>150000507</v>
      </c>
      <c r="B196" s="445" t="s">
        <v>114</v>
      </c>
      <c r="C196" s="27">
        <v>1</v>
      </c>
      <c r="D196" s="101" t="s">
        <v>455</v>
      </c>
      <c r="E196" s="279">
        <v>329.7</v>
      </c>
      <c r="F196" s="441">
        <v>3601.4652855343711</v>
      </c>
      <c r="G196" s="441">
        <v>0</v>
      </c>
      <c r="H196" s="73">
        <v>-3601.4652855343711</v>
      </c>
      <c r="I196" s="5">
        <v>0</v>
      </c>
      <c r="J196" s="5">
        <v>0</v>
      </c>
      <c r="K196" s="446"/>
      <c r="L196" s="5">
        <v>0</v>
      </c>
      <c r="M196" s="5">
        <v>0</v>
      </c>
      <c r="N196" s="35"/>
      <c r="O196" s="5">
        <v>0</v>
      </c>
      <c r="P196" s="5">
        <v>0</v>
      </c>
      <c r="Q196" s="447"/>
      <c r="R196" s="5">
        <v>0</v>
      </c>
      <c r="S196" s="5">
        <v>0</v>
      </c>
      <c r="T196" s="448"/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/>
      <c r="AH196" s="5">
        <v>0</v>
      </c>
      <c r="AI196" s="5">
        <v>0</v>
      </c>
      <c r="AJ196" s="5"/>
      <c r="AK196" s="5">
        <v>0</v>
      </c>
      <c r="AL196" s="5">
        <v>0</v>
      </c>
      <c r="AM196" s="5"/>
      <c r="AN196" s="5">
        <v>0</v>
      </c>
      <c r="AO196" s="5">
        <v>0</v>
      </c>
      <c r="AP196" s="5"/>
      <c r="AQ196" s="5">
        <v>0</v>
      </c>
      <c r="AR196" s="5">
        <v>0</v>
      </c>
      <c r="AS196" s="5"/>
      <c r="AT196" s="5">
        <v>0</v>
      </c>
      <c r="AU196" s="5">
        <v>0</v>
      </c>
      <c r="AV196" s="5"/>
      <c r="AW196" s="5">
        <v>9.6179999999999986</v>
      </c>
      <c r="AX196" s="5">
        <v>0</v>
      </c>
      <c r="AY196" s="5"/>
      <c r="AZ196" s="40">
        <v>9.6179999999999986</v>
      </c>
      <c r="BA196" s="40">
        <v>0</v>
      </c>
      <c r="BB196" s="55">
        <v>-9.6179999999999986</v>
      </c>
      <c r="BD196" s="2">
        <v>3</v>
      </c>
      <c r="BF196" s="325">
        <v>150000507</v>
      </c>
    </row>
    <row r="197" spans="1:58" ht="25.05" customHeight="1" x14ac:dyDescent="0.3">
      <c r="A197" s="325">
        <v>150000508</v>
      </c>
      <c r="B197" s="445" t="s">
        <v>115</v>
      </c>
      <c r="C197" s="27">
        <v>1</v>
      </c>
      <c r="D197" s="101" t="s">
        <v>455</v>
      </c>
      <c r="E197" s="279">
        <v>151.80000000000001</v>
      </c>
      <c r="F197" s="441">
        <v>1502.3225673021461</v>
      </c>
      <c r="G197" s="441">
        <v>0</v>
      </c>
      <c r="H197" s="73">
        <v>-1502.3225673021461</v>
      </c>
      <c r="I197" s="5">
        <v>0</v>
      </c>
      <c r="J197" s="5">
        <v>0</v>
      </c>
      <c r="K197" s="446"/>
      <c r="L197" s="5">
        <v>0</v>
      </c>
      <c r="M197" s="5">
        <v>0</v>
      </c>
      <c r="N197" s="35"/>
      <c r="O197" s="5">
        <v>0</v>
      </c>
      <c r="P197" s="5">
        <v>0</v>
      </c>
      <c r="Q197" s="447"/>
      <c r="R197" s="5">
        <v>0</v>
      </c>
      <c r="S197" s="5">
        <v>0</v>
      </c>
      <c r="T197" s="448"/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/>
      <c r="AH197" s="5">
        <v>0</v>
      </c>
      <c r="AI197" s="5">
        <v>0</v>
      </c>
      <c r="AJ197" s="5"/>
      <c r="AK197" s="5">
        <v>0</v>
      </c>
      <c r="AL197" s="5">
        <v>0</v>
      </c>
      <c r="AM197" s="5"/>
      <c r="AN197" s="5">
        <v>0</v>
      </c>
      <c r="AO197" s="5">
        <v>0</v>
      </c>
      <c r="AP197" s="5"/>
      <c r="AQ197" s="5">
        <v>0</v>
      </c>
      <c r="AR197" s="5">
        <v>0</v>
      </c>
      <c r="AS197" s="5"/>
      <c r="AT197" s="5">
        <v>0</v>
      </c>
      <c r="AU197" s="5">
        <v>0</v>
      </c>
      <c r="AV197" s="5"/>
      <c r="AW197" s="5">
        <v>4.5540000000000003</v>
      </c>
      <c r="AX197" s="5">
        <v>0</v>
      </c>
      <c r="AY197" s="5"/>
      <c r="AZ197" s="40">
        <v>4.5540000000000003</v>
      </c>
      <c r="BA197" s="40">
        <v>0</v>
      </c>
      <c r="BB197" s="55">
        <v>-4.5540000000000003</v>
      </c>
      <c r="BD197" s="2">
        <v>3</v>
      </c>
      <c r="BF197" s="325">
        <v>150000508</v>
      </c>
    </row>
    <row r="198" spans="1:58" ht="25.05" customHeight="1" x14ac:dyDescent="0.3">
      <c r="A198" s="325">
        <v>150000501</v>
      </c>
      <c r="B198" s="464" t="s">
        <v>264</v>
      </c>
      <c r="C198" s="27">
        <v>5</v>
      </c>
      <c r="D198" s="101" t="s">
        <v>455</v>
      </c>
      <c r="E198" s="279">
        <v>4529.63</v>
      </c>
      <c r="F198" s="441">
        <v>53542.2444002876</v>
      </c>
      <c r="G198" s="441">
        <v>141638.59</v>
      </c>
      <c r="H198" s="73">
        <v>88096.345599712397</v>
      </c>
      <c r="I198" s="5">
        <v>19</v>
      </c>
      <c r="J198" s="5">
        <v>4193.59</v>
      </c>
      <c r="K198" s="450"/>
      <c r="L198" s="5">
        <v>1</v>
      </c>
      <c r="M198" s="5">
        <v>53834</v>
      </c>
      <c r="N198" s="35"/>
      <c r="O198" s="5">
        <v>0</v>
      </c>
      <c r="P198" s="5">
        <v>0</v>
      </c>
      <c r="Q198" s="447"/>
      <c r="R198" s="5">
        <v>0</v>
      </c>
      <c r="S198" s="5">
        <v>0</v>
      </c>
      <c r="T198" s="448"/>
      <c r="U198" s="5">
        <v>0</v>
      </c>
      <c r="V198" s="5">
        <v>0</v>
      </c>
      <c r="W198" s="5">
        <v>0</v>
      </c>
      <c r="X198" s="5">
        <v>0</v>
      </c>
      <c r="Y198" s="5">
        <v>82204</v>
      </c>
      <c r="Z198" s="5">
        <v>0</v>
      </c>
      <c r="AA198" s="5">
        <v>0</v>
      </c>
      <c r="AB198" s="5">
        <v>0</v>
      </c>
      <c r="AC198" s="5">
        <v>655</v>
      </c>
      <c r="AD198" s="5">
        <v>752</v>
      </c>
      <c r="AE198" s="5">
        <v>3664.4194393868902</v>
      </c>
      <c r="AF198" s="5">
        <v>0</v>
      </c>
      <c r="AG198" s="5"/>
      <c r="AH198" s="5">
        <v>5563.3240488831052</v>
      </c>
      <c r="AI198" s="5">
        <v>1960</v>
      </c>
      <c r="AJ198" s="5"/>
      <c r="AK198" s="5">
        <v>3223.2670744905499</v>
      </c>
      <c r="AL198" s="5">
        <v>434</v>
      </c>
      <c r="AM198" s="5"/>
      <c r="AN198" s="5">
        <v>0</v>
      </c>
      <c r="AO198" s="5">
        <v>0</v>
      </c>
      <c r="AP198" s="5"/>
      <c r="AQ198" s="5">
        <v>0</v>
      </c>
      <c r="AR198" s="5">
        <v>0</v>
      </c>
      <c r="AS198" s="5"/>
      <c r="AT198" s="5">
        <v>3171.3514102376735</v>
      </c>
      <c r="AU198" s="5">
        <v>0</v>
      </c>
      <c r="AV198" s="5"/>
      <c r="AW198" s="5">
        <v>136.27109999999999</v>
      </c>
      <c r="AX198" s="5">
        <v>0</v>
      </c>
      <c r="AY198" s="5"/>
      <c r="AZ198" s="40">
        <v>15758.63307299822</v>
      </c>
      <c r="BA198" s="40">
        <v>2394</v>
      </c>
      <c r="BB198" s="55">
        <v>-13364.63307299822</v>
      </c>
      <c r="BD198" s="2">
        <v>2</v>
      </c>
      <c r="BF198" s="325">
        <v>150000501</v>
      </c>
    </row>
    <row r="199" spans="1:58" ht="25.05" customHeight="1" x14ac:dyDescent="0.3">
      <c r="A199" s="325">
        <v>150000778</v>
      </c>
      <c r="B199" s="464" t="s">
        <v>215</v>
      </c>
      <c r="C199" s="27">
        <v>4</v>
      </c>
      <c r="D199" s="101" t="s">
        <v>455</v>
      </c>
      <c r="E199" s="279">
        <v>2055.6</v>
      </c>
      <c r="F199" s="441">
        <v>22227.848739764417</v>
      </c>
      <c r="G199" s="441">
        <v>10102.98</v>
      </c>
      <c r="H199" s="73">
        <v>-12124.868739764417</v>
      </c>
      <c r="I199" s="5">
        <v>4</v>
      </c>
      <c r="J199" s="5">
        <v>856.66</v>
      </c>
      <c r="K199" s="446"/>
      <c r="L199" s="5">
        <v>0</v>
      </c>
      <c r="M199" s="5">
        <v>1035</v>
      </c>
      <c r="N199" s="35"/>
      <c r="O199" s="5">
        <v>0</v>
      </c>
      <c r="P199" s="5">
        <v>0</v>
      </c>
      <c r="Q199" s="447"/>
      <c r="R199" s="5">
        <v>0</v>
      </c>
      <c r="S199" s="5">
        <v>0</v>
      </c>
      <c r="T199" s="448"/>
      <c r="U199" s="5">
        <v>0</v>
      </c>
      <c r="V199" s="5">
        <v>0</v>
      </c>
      <c r="W199" s="5">
        <v>0</v>
      </c>
      <c r="X199" s="5">
        <v>0</v>
      </c>
      <c r="Y199" s="5">
        <v>2262</v>
      </c>
      <c r="Z199" s="5">
        <v>0</v>
      </c>
      <c r="AA199" s="5">
        <v>0</v>
      </c>
      <c r="AB199" s="5">
        <v>0</v>
      </c>
      <c r="AC199" s="5">
        <v>629.31999999999994</v>
      </c>
      <c r="AD199" s="5">
        <v>5320</v>
      </c>
      <c r="AE199" s="5">
        <v>1524.5671739268471</v>
      </c>
      <c r="AF199" s="5">
        <v>884</v>
      </c>
      <c r="AG199" s="5"/>
      <c r="AH199" s="5">
        <v>2180.8771814134525</v>
      </c>
      <c r="AI199" s="5">
        <v>1408</v>
      </c>
      <c r="AJ199" s="5"/>
      <c r="AK199" s="5">
        <v>1111.1860471177408</v>
      </c>
      <c r="AL199" s="5">
        <v>0</v>
      </c>
      <c r="AM199" s="5"/>
      <c r="AN199" s="5">
        <v>1120.6240867188446</v>
      </c>
      <c r="AO199" s="5">
        <v>0</v>
      </c>
      <c r="AP199" s="5"/>
      <c r="AQ199" s="5">
        <v>0</v>
      </c>
      <c r="AR199" s="5">
        <v>0</v>
      </c>
      <c r="AS199" s="5"/>
      <c r="AT199" s="5">
        <v>1412.4885915545458</v>
      </c>
      <c r="AU199" s="5">
        <v>94</v>
      </c>
      <c r="AV199" s="5"/>
      <c r="AW199" s="5">
        <v>62.595000000000006</v>
      </c>
      <c r="AX199" s="5">
        <v>0</v>
      </c>
      <c r="AY199" s="5"/>
      <c r="AZ199" s="40">
        <v>7412.3380807314306</v>
      </c>
      <c r="BA199" s="40">
        <v>2386</v>
      </c>
      <c r="BB199" s="55">
        <v>-5026.3380807314306</v>
      </c>
      <c r="BD199" s="2">
        <v>3</v>
      </c>
      <c r="BF199" s="325">
        <v>150000778</v>
      </c>
    </row>
    <row r="200" spans="1:58" ht="25.05" customHeight="1" x14ac:dyDescent="0.3">
      <c r="A200" s="325">
        <v>150001071</v>
      </c>
      <c r="B200" s="464" t="s">
        <v>168</v>
      </c>
      <c r="C200" s="27">
        <v>2</v>
      </c>
      <c r="D200" s="101" t="s">
        <v>455</v>
      </c>
      <c r="E200" s="279">
        <v>373.83</v>
      </c>
      <c r="F200" s="441">
        <v>4383.0961393509815</v>
      </c>
      <c r="G200" s="441">
        <v>2642.23</v>
      </c>
      <c r="H200" s="73">
        <v>-1740.8661393509815</v>
      </c>
      <c r="I200" s="5">
        <v>0</v>
      </c>
      <c r="J200" s="5">
        <v>0</v>
      </c>
      <c r="K200" s="450"/>
      <c r="L200" s="5">
        <v>0</v>
      </c>
      <c r="M200" s="5">
        <v>0</v>
      </c>
      <c r="N200" s="35"/>
      <c r="O200" s="5">
        <v>0</v>
      </c>
      <c r="P200" s="5">
        <v>0</v>
      </c>
      <c r="Q200" s="447"/>
      <c r="R200" s="5">
        <v>0</v>
      </c>
      <c r="S200" s="5">
        <v>0</v>
      </c>
      <c r="T200" s="448"/>
      <c r="U200" s="5">
        <v>0</v>
      </c>
      <c r="V200" s="5">
        <v>0</v>
      </c>
      <c r="W200" s="5">
        <v>7.9</v>
      </c>
      <c r="X200" s="5">
        <v>2464.23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178</v>
      </c>
      <c r="AE200" s="5">
        <v>399.38289778801897</v>
      </c>
      <c r="AF200" s="5">
        <v>0</v>
      </c>
      <c r="AG200" s="5"/>
      <c r="AH200" s="5">
        <v>464.84808211662204</v>
      </c>
      <c r="AI200" s="5">
        <v>0</v>
      </c>
      <c r="AJ200" s="5"/>
      <c r="AK200" s="5">
        <v>192.40346314111528</v>
      </c>
      <c r="AL200" s="5">
        <v>0</v>
      </c>
      <c r="AM200" s="5"/>
      <c r="AN200" s="5">
        <v>0</v>
      </c>
      <c r="AO200" s="5">
        <v>0</v>
      </c>
      <c r="AP200" s="5"/>
      <c r="AQ200" s="5">
        <v>0</v>
      </c>
      <c r="AR200" s="5">
        <v>0</v>
      </c>
      <c r="AS200" s="5"/>
      <c r="AT200" s="5">
        <v>251.83315801180186</v>
      </c>
      <c r="AU200" s="5">
        <v>709</v>
      </c>
      <c r="AV200" s="5"/>
      <c r="AW200" s="5">
        <v>100.66230464853354</v>
      </c>
      <c r="AX200" s="5">
        <v>0</v>
      </c>
      <c r="AY200" s="5"/>
      <c r="AZ200" s="40">
        <v>1409.1299057060917</v>
      </c>
      <c r="BA200" s="40">
        <v>709</v>
      </c>
      <c r="BB200" s="55">
        <v>-700.12990570609168</v>
      </c>
      <c r="BD200" s="2">
        <v>3</v>
      </c>
      <c r="BF200" s="325">
        <v>150001071</v>
      </c>
    </row>
    <row r="201" spans="1:58" ht="25.05" customHeight="1" x14ac:dyDescent="0.3">
      <c r="A201" s="325">
        <v>150000768</v>
      </c>
      <c r="B201" s="464" t="s">
        <v>117</v>
      </c>
      <c r="C201" s="27">
        <v>1</v>
      </c>
      <c r="D201" s="101" t="s">
        <v>455</v>
      </c>
      <c r="E201" s="279">
        <v>119.3</v>
      </c>
      <c r="F201" s="441">
        <v>1846.8328429600401</v>
      </c>
      <c r="G201" s="441">
        <v>6432</v>
      </c>
      <c r="H201" s="73">
        <v>4585.1671570399594</v>
      </c>
      <c r="I201" s="5">
        <v>0</v>
      </c>
      <c r="J201" s="5">
        <v>0</v>
      </c>
      <c r="K201" s="446"/>
      <c r="L201" s="5">
        <v>0</v>
      </c>
      <c r="M201" s="5">
        <v>0</v>
      </c>
      <c r="N201" s="35"/>
      <c r="O201" s="5">
        <v>0</v>
      </c>
      <c r="P201" s="5">
        <v>0</v>
      </c>
      <c r="Q201" s="447"/>
      <c r="R201" s="5">
        <v>0</v>
      </c>
      <c r="S201" s="5">
        <v>0</v>
      </c>
      <c r="T201" s="448"/>
      <c r="U201" s="5">
        <v>0</v>
      </c>
      <c r="V201" s="5">
        <v>0</v>
      </c>
      <c r="W201" s="5">
        <v>0</v>
      </c>
      <c r="X201" s="5">
        <v>0</v>
      </c>
      <c r="Y201" s="5">
        <v>6432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/>
      <c r="AH201" s="5">
        <v>0</v>
      </c>
      <c r="AI201" s="5">
        <v>0</v>
      </c>
      <c r="AJ201" s="5"/>
      <c r="AK201" s="5">
        <v>0</v>
      </c>
      <c r="AL201" s="5">
        <v>0</v>
      </c>
      <c r="AM201" s="5"/>
      <c r="AN201" s="5">
        <v>0</v>
      </c>
      <c r="AO201" s="5">
        <v>0</v>
      </c>
      <c r="AP201" s="5"/>
      <c r="AQ201" s="5">
        <v>0</v>
      </c>
      <c r="AR201" s="5">
        <v>0</v>
      </c>
      <c r="AS201" s="5"/>
      <c r="AT201" s="5">
        <v>0</v>
      </c>
      <c r="AU201" s="5">
        <v>0</v>
      </c>
      <c r="AV201" s="5"/>
      <c r="AW201" s="5">
        <v>3.5396999999999998</v>
      </c>
      <c r="AX201" s="5">
        <v>0</v>
      </c>
      <c r="AY201" s="5"/>
      <c r="AZ201" s="40">
        <v>3.5396999999999998</v>
      </c>
      <c r="BA201" s="40">
        <v>0</v>
      </c>
      <c r="BB201" s="55">
        <v>-3.5396999999999998</v>
      </c>
      <c r="BD201" s="2">
        <v>3</v>
      </c>
      <c r="BF201" s="325">
        <v>150000768</v>
      </c>
    </row>
    <row r="202" spans="1:58" ht="25.05" customHeight="1" x14ac:dyDescent="0.3">
      <c r="A202" s="325">
        <v>150000763</v>
      </c>
      <c r="B202" s="464" t="s">
        <v>118</v>
      </c>
      <c r="C202" s="27">
        <v>1</v>
      </c>
      <c r="D202" s="101" t="s">
        <v>455</v>
      </c>
      <c r="E202" s="279">
        <v>182.8</v>
      </c>
      <c r="F202" s="441">
        <v>2126.6592703163064</v>
      </c>
      <c r="G202" s="441">
        <v>0</v>
      </c>
      <c r="H202" s="73">
        <v>-2126.6592703163064</v>
      </c>
      <c r="I202" s="5">
        <v>0</v>
      </c>
      <c r="J202" s="5">
        <v>0</v>
      </c>
      <c r="K202" s="446"/>
      <c r="L202" s="5">
        <v>0</v>
      </c>
      <c r="M202" s="5">
        <v>0</v>
      </c>
      <c r="N202" s="35"/>
      <c r="O202" s="5">
        <v>0</v>
      </c>
      <c r="P202" s="5">
        <v>0</v>
      </c>
      <c r="Q202" s="447"/>
      <c r="R202" s="5">
        <v>0</v>
      </c>
      <c r="S202" s="5">
        <v>0</v>
      </c>
      <c r="T202" s="448"/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/>
      <c r="AH202" s="5">
        <v>0</v>
      </c>
      <c r="AI202" s="5">
        <v>0</v>
      </c>
      <c r="AJ202" s="5"/>
      <c r="AK202" s="5">
        <v>0</v>
      </c>
      <c r="AL202" s="5">
        <v>0</v>
      </c>
      <c r="AM202" s="5"/>
      <c r="AN202" s="5">
        <v>0</v>
      </c>
      <c r="AO202" s="5">
        <v>0</v>
      </c>
      <c r="AP202" s="5"/>
      <c r="AQ202" s="5">
        <v>0</v>
      </c>
      <c r="AR202" s="5">
        <v>0</v>
      </c>
      <c r="AS202" s="5"/>
      <c r="AT202" s="5">
        <v>0</v>
      </c>
      <c r="AU202" s="5">
        <v>0</v>
      </c>
      <c r="AV202" s="5"/>
      <c r="AW202" s="5">
        <v>5.484</v>
      </c>
      <c r="AX202" s="5">
        <v>0</v>
      </c>
      <c r="AY202" s="5"/>
      <c r="AZ202" s="40">
        <v>5.484</v>
      </c>
      <c r="BA202" s="40">
        <v>0</v>
      </c>
      <c r="BB202" s="55">
        <v>-5.484</v>
      </c>
      <c r="BD202" s="2">
        <v>3</v>
      </c>
      <c r="BF202" s="325">
        <v>150000763</v>
      </c>
    </row>
    <row r="203" spans="1:58" ht="25.05" customHeight="1" x14ac:dyDescent="0.3">
      <c r="A203" s="325">
        <v>150000764</v>
      </c>
      <c r="B203" s="464" t="s">
        <v>119</v>
      </c>
      <c r="C203" s="27">
        <v>1</v>
      </c>
      <c r="D203" s="101" t="s">
        <v>455</v>
      </c>
      <c r="E203" s="279">
        <v>229</v>
      </c>
      <c r="F203" s="441">
        <v>2727.5520188951418</v>
      </c>
      <c r="G203" s="441">
        <v>0</v>
      </c>
      <c r="H203" s="73">
        <v>-2727.5520188951418</v>
      </c>
      <c r="I203" s="5">
        <v>0</v>
      </c>
      <c r="J203" s="5">
        <v>0</v>
      </c>
      <c r="K203" s="446"/>
      <c r="L203" s="5">
        <v>0</v>
      </c>
      <c r="M203" s="5">
        <v>0</v>
      </c>
      <c r="N203" s="35"/>
      <c r="O203" s="5">
        <v>0</v>
      </c>
      <c r="P203" s="5">
        <v>0</v>
      </c>
      <c r="Q203" s="447"/>
      <c r="R203" s="5">
        <v>0</v>
      </c>
      <c r="S203" s="5">
        <v>0</v>
      </c>
      <c r="T203" s="448"/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/>
      <c r="AH203" s="5">
        <v>0</v>
      </c>
      <c r="AI203" s="5">
        <v>0</v>
      </c>
      <c r="AJ203" s="5"/>
      <c r="AK203" s="5">
        <v>0</v>
      </c>
      <c r="AL203" s="5">
        <v>0</v>
      </c>
      <c r="AM203" s="5"/>
      <c r="AN203" s="5">
        <v>0</v>
      </c>
      <c r="AO203" s="5">
        <v>0</v>
      </c>
      <c r="AP203" s="5"/>
      <c r="AQ203" s="5">
        <v>0</v>
      </c>
      <c r="AR203" s="5">
        <v>0</v>
      </c>
      <c r="AS203" s="5"/>
      <c r="AT203" s="5">
        <v>0</v>
      </c>
      <c r="AU203" s="5">
        <v>0</v>
      </c>
      <c r="AV203" s="5"/>
      <c r="AW203" s="5">
        <v>6.87</v>
      </c>
      <c r="AX203" s="5">
        <v>0</v>
      </c>
      <c r="AY203" s="5"/>
      <c r="AZ203" s="40">
        <v>6.87</v>
      </c>
      <c r="BA203" s="40">
        <v>0</v>
      </c>
      <c r="BB203" s="55">
        <v>-6.87</v>
      </c>
      <c r="BD203" s="2">
        <v>3</v>
      </c>
      <c r="BF203" s="325">
        <v>150000764</v>
      </c>
    </row>
    <row r="204" spans="1:58" ht="25.05" customHeight="1" x14ac:dyDescent="0.3">
      <c r="A204" s="325">
        <v>150000770</v>
      </c>
      <c r="B204" s="464" t="s">
        <v>120</v>
      </c>
      <c r="C204" s="27">
        <v>1</v>
      </c>
      <c r="D204" s="101" t="s">
        <v>455</v>
      </c>
      <c r="E204" s="279">
        <v>144.5</v>
      </c>
      <c r="F204" s="441">
        <v>2061.9652447956814</v>
      </c>
      <c r="G204" s="441">
        <v>0</v>
      </c>
      <c r="H204" s="73">
        <v>-2061.9652447956814</v>
      </c>
      <c r="I204" s="5">
        <v>0</v>
      </c>
      <c r="J204" s="5">
        <v>0</v>
      </c>
      <c r="K204" s="446"/>
      <c r="L204" s="5">
        <v>0</v>
      </c>
      <c r="M204" s="5">
        <v>0</v>
      </c>
      <c r="N204" s="35"/>
      <c r="O204" s="5">
        <v>0</v>
      </c>
      <c r="P204" s="5">
        <v>0</v>
      </c>
      <c r="Q204" s="447"/>
      <c r="R204" s="5">
        <v>0</v>
      </c>
      <c r="S204" s="5">
        <v>0</v>
      </c>
      <c r="T204" s="448"/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/>
      <c r="AH204" s="5">
        <v>0</v>
      </c>
      <c r="AI204" s="5">
        <v>0</v>
      </c>
      <c r="AJ204" s="5"/>
      <c r="AK204" s="5">
        <v>0</v>
      </c>
      <c r="AL204" s="5">
        <v>0</v>
      </c>
      <c r="AM204" s="5"/>
      <c r="AN204" s="5">
        <v>0</v>
      </c>
      <c r="AO204" s="5">
        <v>0</v>
      </c>
      <c r="AP204" s="5"/>
      <c r="AQ204" s="5">
        <v>0</v>
      </c>
      <c r="AR204" s="5">
        <v>0</v>
      </c>
      <c r="AS204" s="5"/>
      <c r="AT204" s="5">
        <v>0</v>
      </c>
      <c r="AU204" s="5">
        <v>0</v>
      </c>
      <c r="AV204" s="5"/>
      <c r="AW204" s="5">
        <v>4.335</v>
      </c>
      <c r="AX204" s="5">
        <v>0</v>
      </c>
      <c r="AY204" s="5"/>
      <c r="AZ204" s="40">
        <v>4.335</v>
      </c>
      <c r="BA204" s="40">
        <v>0</v>
      </c>
      <c r="BB204" s="55">
        <v>-4.335</v>
      </c>
      <c r="BD204" s="2">
        <v>3</v>
      </c>
      <c r="BF204" s="325">
        <v>150000770</v>
      </c>
    </row>
    <row r="205" spans="1:58" ht="25.05" customHeight="1" x14ac:dyDescent="0.3">
      <c r="A205" s="325">
        <v>150000777</v>
      </c>
      <c r="B205" s="464" t="s">
        <v>169</v>
      </c>
      <c r="C205" s="27">
        <v>2</v>
      </c>
      <c r="D205" s="101" t="s">
        <v>455</v>
      </c>
      <c r="E205" s="279">
        <v>393</v>
      </c>
      <c r="F205" s="441">
        <v>4027.3544847872099</v>
      </c>
      <c r="G205" s="441">
        <v>969</v>
      </c>
      <c r="H205" s="73">
        <v>-3058.3544847872099</v>
      </c>
      <c r="I205" s="5">
        <v>3</v>
      </c>
      <c r="J205" s="5">
        <v>791</v>
      </c>
      <c r="K205" s="446"/>
      <c r="L205" s="5">
        <v>0</v>
      </c>
      <c r="M205" s="5">
        <v>0</v>
      </c>
      <c r="N205" s="35"/>
      <c r="O205" s="5">
        <v>0</v>
      </c>
      <c r="P205" s="5">
        <v>0</v>
      </c>
      <c r="Q205" s="447"/>
      <c r="R205" s="5">
        <v>0</v>
      </c>
      <c r="S205" s="5">
        <v>0</v>
      </c>
      <c r="T205" s="448"/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178</v>
      </c>
      <c r="AE205" s="5">
        <v>358.22979503538716</v>
      </c>
      <c r="AF205" s="5">
        <v>0</v>
      </c>
      <c r="AG205" s="5"/>
      <c r="AH205" s="5">
        <v>366.95020427823852</v>
      </c>
      <c r="AI205" s="5">
        <v>0</v>
      </c>
      <c r="AJ205" s="5"/>
      <c r="AK205" s="5">
        <v>117.91994660675466</v>
      </c>
      <c r="AL205" s="5">
        <v>0</v>
      </c>
      <c r="AM205" s="5"/>
      <c r="AN205" s="5">
        <v>237.56701183495886</v>
      </c>
      <c r="AO205" s="5">
        <v>0</v>
      </c>
      <c r="AP205" s="5"/>
      <c r="AQ205" s="5">
        <v>0</v>
      </c>
      <c r="AR205" s="5">
        <v>0</v>
      </c>
      <c r="AS205" s="5"/>
      <c r="AT205" s="5">
        <v>94.604758723962874</v>
      </c>
      <c r="AU205" s="5">
        <v>0</v>
      </c>
      <c r="AV205" s="5"/>
      <c r="AW205" s="5">
        <v>11.790000000000001</v>
      </c>
      <c r="AX205" s="5">
        <v>0</v>
      </c>
      <c r="AY205" s="5"/>
      <c r="AZ205" s="40">
        <v>1187.0617164793023</v>
      </c>
      <c r="BA205" s="40">
        <v>0</v>
      </c>
      <c r="BB205" s="55">
        <v>-1187.0617164793023</v>
      </c>
      <c r="BD205" s="2">
        <v>3</v>
      </c>
      <c r="BF205" s="325">
        <v>150000777</v>
      </c>
    </row>
    <row r="206" spans="1:58" ht="25.05" customHeight="1" x14ac:dyDescent="0.3">
      <c r="A206" s="325">
        <v>150000765</v>
      </c>
      <c r="B206" s="464" t="s">
        <v>265</v>
      </c>
      <c r="C206" s="27">
        <v>5</v>
      </c>
      <c r="D206" s="101" t="s">
        <v>455</v>
      </c>
      <c r="E206" s="279">
        <v>4524.01</v>
      </c>
      <c r="F206" s="441">
        <v>49940.874793916257</v>
      </c>
      <c r="G206" s="441">
        <v>25640.268677792963</v>
      </c>
      <c r="H206" s="73">
        <v>-24300.606116123294</v>
      </c>
      <c r="I206" s="5">
        <v>0</v>
      </c>
      <c r="J206" s="5">
        <v>0</v>
      </c>
      <c r="K206" s="450"/>
      <c r="L206" s="5">
        <v>0</v>
      </c>
      <c r="M206" s="5">
        <v>0</v>
      </c>
      <c r="N206" s="35"/>
      <c r="O206" s="5">
        <v>0</v>
      </c>
      <c r="P206" s="5">
        <v>0</v>
      </c>
      <c r="Q206" s="447"/>
      <c r="R206" s="5">
        <v>0</v>
      </c>
      <c r="S206" s="5">
        <v>0</v>
      </c>
      <c r="T206" s="448"/>
      <c r="U206" s="5">
        <v>0</v>
      </c>
      <c r="V206" s="5">
        <v>0</v>
      </c>
      <c r="W206" s="5">
        <v>20.5</v>
      </c>
      <c r="X206" s="5">
        <v>8794.6486777929622</v>
      </c>
      <c r="Y206" s="5">
        <v>334</v>
      </c>
      <c r="Z206" s="5">
        <v>0</v>
      </c>
      <c r="AA206" s="5">
        <v>0</v>
      </c>
      <c r="AB206" s="5">
        <v>1477.62</v>
      </c>
      <c r="AC206" s="5">
        <v>5303</v>
      </c>
      <c r="AD206" s="5">
        <v>9731</v>
      </c>
      <c r="AE206" s="5">
        <v>3447.7924441742498</v>
      </c>
      <c r="AF206" s="5">
        <v>3731.3</v>
      </c>
      <c r="AG206" s="5"/>
      <c r="AH206" s="5">
        <v>5287.1136626803018</v>
      </c>
      <c r="AI206" s="5">
        <v>0</v>
      </c>
      <c r="AJ206" s="5"/>
      <c r="AK206" s="5">
        <v>3223.5123835178638</v>
      </c>
      <c r="AL206" s="5">
        <v>0</v>
      </c>
      <c r="AM206" s="5"/>
      <c r="AN206" s="5">
        <v>0</v>
      </c>
      <c r="AO206" s="5">
        <v>0</v>
      </c>
      <c r="AP206" s="5"/>
      <c r="AQ206" s="5">
        <v>2024.9600350327316</v>
      </c>
      <c r="AR206" s="5">
        <v>0</v>
      </c>
      <c r="AS206" s="5"/>
      <c r="AT206" s="5">
        <v>2760.833830727086</v>
      </c>
      <c r="AU206" s="5">
        <v>333</v>
      </c>
      <c r="AV206" s="5"/>
      <c r="AW206" s="5">
        <v>135.70859999999999</v>
      </c>
      <c r="AX206" s="5">
        <v>0</v>
      </c>
      <c r="AY206" s="5"/>
      <c r="AZ206" s="40">
        <v>16879.920956132235</v>
      </c>
      <c r="BA206" s="40">
        <v>4064.3</v>
      </c>
      <c r="BB206" s="55">
        <v>-12815.620956132236</v>
      </c>
      <c r="BD206" s="2">
        <v>2</v>
      </c>
      <c r="BF206" s="325">
        <v>150000765</v>
      </c>
    </row>
    <row r="207" spans="1:58" ht="25.05" customHeight="1" x14ac:dyDescent="0.3">
      <c r="A207" s="325">
        <v>150000683</v>
      </c>
      <c r="B207" s="445" t="s">
        <v>116</v>
      </c>
      <c r="C207" s="27">
        <v>1</v>
      </c>
      <c r="D207" s="101" t="s">
        <v>455</v>
      </c>
      <c r="E207" s="279">
        <v>256.60000000000002</v>
      </c>
      <c r="F207" s="441">
        <v>2896.4307838608843</v>
      </c>
      <c r="G207" s="441">
        <v>0</v>
      </c>
      <c r="H207" s="73">
        <v>-2896.4307838608843</v>
      </c>
      <c r="I207" s="5">
        <v>0</v>
      </c>
      <c r="J207" s="5">
        <v>0</v>
      </c>
      <c r="K207" s="450"/>
      <c r="L207" s="5">
        <v>0</v>
      </c>
      <c r="M207" s="5">
        <v>0</v>
      </c>
      <c r="N207" s="35"/>
      <c r="O207" s="5">
        <v>0</v>
      </c>
      <c r="P207" s="5">
        <v>0</v>
      </c>
      <c r="Q207" s="447"/>
      <c r="R207" s="5">
        <v>0</v>
      </c>
      <c r="S207" s="5">
        <v>0</v>
      </c>
      <c r="T207" s="448"/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/>
      <c r="AH207" s="5">
        <v>0</v>
      </c>
      <c r="AI207" s="5">
        <v>0</v>
      </c>
      <c r="AJ207" s="5"/>
      <c r="AK207" s="5">
        <v>0</v>
      </c>
      <c r="AL207" s="5">
        <v>0</v>
      </c>
      <c r="AM207" s="5"/>
      <c r="AN207" s="5">
        <v>0</v>
      </c>
      <c r="AO207" s="5">
        <v>0</v>
      </c>
      <c r="AP207" s="5"/>
      <c r="AQ207" s="5">
        <v>0</v>
      </c>
      <c r="AR207" s="5">
        <v>0</v>
      </c>
      <c r="AS207" s="5"/>
      <c r="AT207" s="5">
        <v>0</v>
      </c>
      <c r="AU207" s="5">
        <v>0</v>
      </c>
      <c r="AV207" s="5"/>
      <c r="AW207" s="5">
        <v>7.6980000000000004</v>
      </c>
      <c r="AX207" s="5">
        <v>0</v>
      </c>
      <c r="AY207" s="5"/>
      <c r="AZ207" s="40">
        <v>7.6980000000000004</v>
      </c>
      <c r="BA207" s="40">
        <v>0</v>
      </c>
      <c r="BB207" s="55">
        <v>-7.6980000000000004</v>
      </c>
      <c r="BD207" s="2">
        <v>3</v>
      </c>
      <c r="BF207" s="325">
        <v>150000683</v>
      </c>
    </row>
    <row r="208" spans="1:58" ht="25.05" customHeight="1" x14ac:dyDescent="0.3">
      <c r="A208" s="325">
        <v>150000696</v>
      </c>
      <c r="B208" s="445" t="s">
        <v>371</v>
      </c>
      <c r="C208" s="27">
        <v>9</v>
      </c>
      <c r="D208" s="101" t="s">
        <v>455</v>
      </c>
      <c r="E208" s="279">
        <v>6306.37</v>
      </c>
      <c r="F208" s="441">
        <v>94958.656479991536</v>
      </c>
      <c r="G208" s="441">
        <v>126650.42456191198</v>
      </c>
      <c r="H208" s="73">
        <v>31691.76808192044</v>
      </c>
      <c r="I208" s="5">
        <v>369.65</v>
      </c>
      <c r="J208" s="5">
        <v>103219.13</v>
      </c>
      <c r="K208" s="446"/>
      <c r="L208" s="5">
        <v>0</v>
      </c>
      <c r="M208" s="5">
        <v>0</v>
      </c>
      <c r="N208" s="449"/>
      <c r="O208" s="5">
        <v>5.4</v>
      </c>
      <c r="P208" s="5">
        <v>1485</v>
      </c>
      <c r="Q208" s="447"/>
      <c r="R208" s="5">
        <v>2</v>
      </c>
      <c r="S208" s="5">
        <v>8731.02</v>
      </c>
      <c r="T208" s="448"/>
      <c r="U208" s="5">
        <v>0</v>
      </c>
      <c r="V208" s="5">
        <v>0</v>
      </c>
      <c r="W208" s="5">
        <v>0</v>
      </c>
      <c r="X208" s="5">
        <v>85.434561911973077</v>
      </c>
      <c r="Y208" s="5">
        <v>8792.5400000000009</v>
      </c>
      <c r="Z208" s="5">
        <v>0</v>
      </c>
      <c r="AA208" s="5">
        <v>0</v>
      </c>
      <c r="AB208" s="5">
        <v>0</v>
      </c>
      <c r="AC208" s="5">
        <v>1836</v>
      </c>
      <c r="AD208" s="5">
        <v>2501.3000000000002</v>
      </c>
      <c r="AE208" s="5">
        <v>3787.5111865677659</v>
      </c>
      <c r="AF208" s="5">
        <v>0</v>
      </c>
      <c r="AG208" s="5"/>
      <c r="AH208" s="5">
        <v>4735.9912079942205</v>
      </c>
      <c r="AI208" s="5">
        <v>3858</v>
      </c>
      <c r="AJ208" s="5"/>
      <c r="AK208" s="5">
        <v>3285.2162665461919</v>
      </c>
      <c r="AL208" s="5">
        <v>2069</v>
      </c>
      <c r="AM208" s="454"/>
      <c r="AN208" s="5">
        <v>2945.3724717521272</v>
      </c>
      <c r="AO208" s="5">
        <v>0</v>
      </c>
      <c r="AP208" s="5"/>
      <c r="AQ208" s="5">
        <v>1385.6021579763128</v>
      </c>
      <c r="AR208" s="5">
        <v>0</v>
      </c>
      <c r="AS208" s="5"/>
      <c r="AT208" s="5">
        <v>2804.86515608941</v>
      </c>
      <c r="AU208" s="5">
        <v>0</v>
      </c>
      <c r="AV208" s="5"/>
      <c r="AW208" s="5">
        <v>189.11849999999998</v>
      </c>
      <c r="AX208" s="5">
        <v>0</v>
      </c>
      <c r="AY208" s="5"/>
      <c r="AZ208" s="40">
        <v>19133.676946926029</v>
      </c>
      <c r="BA208" s="40">
        <v>5927</v>
      </c>
      <c r="BB208" s="55">
        <v>-13206.676946926029</v>
      </c>
      <c r="BD208" s="2">
        <v>3</v>
      </c>
      <c r="BF208" s="325">
        <v>150000696</v>
      </c>
    </row>
    <row r="209" spans="1:58" ht="25.05" customHeight="1" x14ac:dyDescent="0.3">
      <c r="A209" s="325">
        <v>150000697</v>
      </c>
      <c r="B209" s="445" t="s">
        <v>266</v>
      </c>
      <c r="C209" s="27">
        <v>5</v>
      </c>
      <c r="D209" s="101" t="s">
        <v>455</v>
      </c>
      <c r="E209" s="279">
        <v>2744.3</v>
      </c>
      <c r="F209" s="441">
        <v>44621.01415635139</v>
      </c>
      <c r="G209" s="441">
        <v>10284</v>
      </c>
      <c r="H209" s="73">
        <v>-34337.01415635139</v>
      </c>
      <c r="I209" s="5">
        <v>26</v>
      </c>
      <c r="J209" s="5">
        <v>4776</v>
      </c>
      <c r="K209" s="446"/>
      <c r="L209" s="5">
        <v>0</v>
      </c>
      <c r="M209" s="5">
        <v>0</v>
      </c>
      <c r="N209" s="35"/>
      <c r="O209" s="5">
        <v>0</v>
      </c>
      <c r="P209" s="5">
        <v>0</v>
      </c>
      <c r="Q209" s="447"/>
      <c r="R209" s="5">
        <v>0</v>
      </c>
      <c r="S209" s="5">
        <v>0</v>
      </c>
      <c r="T209" s="448"/>
      <c r="U209" s="5">
        <v>0</v>
      </c>
      <c r="V209" s="5">
        <v>0</v>
      </c>
      <c r="W209" s="5">
        <v>3</v>
      </c>
      <c r="X209" s="5">
        <v>733</v>
      </c>
      <c r="Y209" s="5">
        <v>0</v>
      </c>
      <c r="Z209" s="5">
        <v>0</v>
      </c>
      <c r="AA209" s="5">
        <v>0</v>
      </c>
      <c r="AB209" s="5">
        <v>0</v>
      </c>
      <c r="AC209" s="5">
        <v>1420</v>
      </c>
      <c r="AD209" s="5">
        <v>3355</v>
      </c>
      <c r="AE209" s="5">
        <v>2396.4957756243784</v>
      </c>
      <c r="AF209" s="5">
        <v>0</v>
      </c>
      <c r="AG209" s="454"/>
      <c r="AH209" s="5">
        <v>4300.6476489975403</v>
      </c>
      <c r="AI209" s="5">
        <v>0</v>
      </c>
      <c r="AJ209" s="5"/>
      <c r="AK209" s="5">
        <v>1359.0790223040747</v>
      </c>
      <c r="AL209" s="5">
        <v>0</v>
      </c>
      <c r="AM209" s="5"/>
      <c r="AN209" s="5">
        <v>1636.247253391844</v>
      </c>
      <c r="AO209" s="5">
        <v>2881</v>
      </c>
      <c r="AP209" s="5" t="s">
        <v>981</v>
      </c>
      <c r="AQ209" s="5">
        <v>1109.648866209001</v>
      </c>
      <c r="AR209" s="5">
        <v>0</v>
      </c>
      <c r="AS209" s="5"/>
      <c r="AT209" s="5">
        <v>1607.4169296167597</v>
      </c>
      <c r="AU209" s="5">
        <v>0</v>
      </c>
      <c r="AV209" s="5"/>
      <c r="AW209" s="5">
        <v>82.332000000000008</v>
      </c>
      <c r="AX209" s="5">
        <v>0</v>
      </c>
      <c r="AY209" s="5"/>
      <c r="AZ209" s="40">
        <v>12491.867496143599</v>
      </c>
      <c r="BA209" s="40">
        <v>2881</v>
      </c>
      <c r="BB209" s="55">
        <v>-9610.8674961435991</v>
      </c>
      <c r="BD209" s="2">
        <v>3</v>
      </c>
      <c r="BF209" s="325">
        <v>150000697</v>
      </c>
    </row>
    <row r="210" spans="1:58" ht="25.05" customHeight="1" x14ac:dyDescent="0.3">
      <c r="A210" s="325">
        <v>150000694</v>
      </c>
      <c r="B210" s="445" t="s">
        <v>372</v>
      </c>
      <c r="C210" s="27">
        <v>9</v>
      </c>
      <c r="D210" s="101" t="s">
        <v>455</v>
      </c>
      <c r="E210" s="279">
        <v>6138.38</v>
      </c>
      <c r="F210" s="441">
        <v>94058.953549572179</v>
      </c>
      <c r="G210" s="441">
        <v>259888.50983041734</v>
      </c>
      <c r="H210" s="73">
        <v>165829.55628084517</v>
      </c>
      <c r="I210" s="5">
        <v>371.6</v>
      </c>
      <c r="J210" s="5">
        <v>96200</v>
      </c>
      <c r="K210" s="446"/>
      <c r="L210" s="5">
        <v>0</v>
      </c>
      <c r="M210" s="5">
        <v>0</v>
      </c>
      <c r="N210" s="449"/>
      <c r="O210" s="5">
        <v>0</v>
      </c>
      <c r="P210" s="5">
        <v>0</v>
      </c>
      <c r="Q210" s="447"/>
      <c r="R210" s="5">
        <v>4</v>
      </c>
      <c r="S210" s="5">
        <v>22442</v>
      </c>
      <c r="T210" s="456"/>
      <c r="U210" s="5">
        <v>0</v>
      </c>
      <c r="V210" s="5">
        <v>0</v>
      </c>
      <c r="W210" s="5">
        <v>1.5</v>
      </c>
      <c r="X210" s="5">
        <v>1360.5098304173478</v>
      </c>
      <c r="Y210" s="5">
        <v>131813</v>
      </c>
      <c r="Z210" s="5">
        <v>0</v>
      </c>
      <c r="AA210" s="5">
        <v>0</v>
      </c>
      <c r="AB210" s="5">
        <v>3473</v>
      </c>
      <c r="AC210" s="5">
        <v>2219</v>
      </c>
      <c r="AD210" s="5">
        <v>2381</v>
      </c>
      <c r="AE210" s="5">
        <v>3785.2241472803203</v>
      </c>
      <c r="AF210" s="5">
        <v>0</v>
      </c>
      <c r="AG210" s="454"/>
      <c r="AH210" s="5">
        <v>4733.7188013404129</v>
      </c>
      <c r="AI210" s="5">
        <v>4100.5200000000004</v>
      </c>
      <c r="AJ210" s="5"/>
      <c r="AK210" s="5">
        <v>3185.8964937560659</v>
      </c>
      <c r="AL210" s="5">
        <v>10518</v>
      </c>
      <c r="AM210" s="5"/>
      <c r="AN210" s="5">
        <v>2829.1947337647216</v>
      </c>
      <c r="AO210" s="5">
        <v>484</v>
      </c>
      <c r="AP210" s="5"/>
      <c r="AQ210" s="5">
        <v>1385.6021579763128</v>
      </c>
      <c r="AR210" s="5">
        <v>0</v>
      </c>
      <c r="AS210" s="454"/>
      <c r="AT210" s="5">
        <v>2767.0404804327691</v>
      </c>
      <c r="AU210" s="5">
        <v>4700</v>
      </c>
      <c r="AV210" s="8"/>
      <c r="AW210" s="5">
        <v>184.1514</v>
      </c>
      <c r="AX210" s="5">
        <v>595</v>
      </c>
      <c r="AY210" s="5"/>
      <c r="AZ210" s="40">
        <v>18870.828214550602</v>
      </c>
      <c r="BA210" s="40">
        <v>20397.52</v>
      </c>
      <c r="BB210" s="55">
        <v>1526.6917854493986</v>
      </c>
      <c r="BD210" s="2">
        <v>3</v>
      </c>
      <c r="BF210" s="325">
        <v>150000694</v>
      </c>
    </row>
    <row r="211" spans="1:58" ht="25.05" customHeight="1" x14ac:dyDescent="0.3">
      <c r="A211" s="325">
        <v>150000695</v>
      </c>
      <c r="B211" s="445" t="s">
        <v>373</v>
      </c>
      <c r="C211" s="27">
        <v>9</v>
      </c>
      <c r="D211" s="101" t="s">
        <v>455</v>
      </c>
      <c r="E211" s="279">
        <v>6304.12</v>
      </c>
      <c r="F211" s="441">
        <v>93271.046998855803</v>
      </c>
      <c r="G211" s="441">
        <v>64317.955011862403</v>
      </c>
      <c r="H211" s="73">
        <v>-28953.0919869934</v>
      </c>
      <c r="I211" s="5">
        <v>128</v>
      </c>
      <c r="J211" s="5">
        <v>28031</v>
      </c>
      <c r="K211" s="446"/>
      <c r="L211" s="5">
        <v>0</v>
      </c>
      <c r="M211" s="5">
        <v>0</v>
      </c>
      <c r="N211" s="35"/>
      <c r="O211" s="5">
        <v>0</v>
      </c>
      <c r="P211" s="5">
        <v>0</v>
      </c>
      <c r="Q211" s="465"/>
      <c r="R211" s="5">
        <v>3</v>
      </c>
      <c r="S211" s="5">
        <v>7053.02</v>
      </c>
      <c r="T211" s="456"/>
      <c r="U211" s="5">
        <v>0</v>
      </c>
      <c r="V211" s="5">
        <v>0</v>
      </c>
      <c r="W211" s="5">
        <v>10</v>
      </c>
      <c r="X211" s="5">
        <v>2861.1050118624003</v>
      </c>
      <c r="Y211" s="5">
        <v>2810</v>
      </c>
      <c r="Z211" s="5">
        <v>0</v>
      </c>
      <c r="AA211" s="5">
        <v>0</v>
      </c>
      <c r="AB211" s="5">
        <v>15426.83</v>
      </c>
      <c r="AC211" s="5">
        <v>2442</v>
      </c>
      <c r="AD211" s="5">
        <v>5694</v>
      </c>
      <c r="AE211" s="5">
        <v>3500.0365922411102</v>
      </c>
      <c r="AF211" s="5">
        <v>3016</v>
      </c>
      <c r="AG211" s="5"/>
      <c r="AH211" s="5">
        <v>4129.4354841357554</v>
      </c>
      <c r="AI211" s="5">
        <v>6267</v>
      </c>
      <c r="AJ211" s="8"/>
      <c r="AK211" s="5">
        <v>2792.465079589615</v>
      </c>
      <c r="AL211" s="5">
        <v>0</v>
      </c>
      <c r="AM211" s="5"/>
      <c r="AN211" s="5">
        <v>2777.762189401808</v>
      </c>
      <c r="AO211" s="5">
        <v>542</v>
      </c>
      <c r="AP211" s="5"/>
      <c r="AQ211" s="5">
        <v>1296.5545270613377</v>
      </c>
      <c r="AR211" s="5">
        <v>15</v>
      </c>
      <c r="AS211" s="5"/>
      <c r="AT211" s="5">
        <v>2592.5559224553144</v>
      </c>
      <c r="AU211" s="5">
        <v>0</v>
      </c>
      <c r="AV211" s="5"/>
      <c r="AW211" s="5">
        <v>189.12959999999998</v>
      </c>
      <c r="AX211" s="5">
        <v>0</v>
      </c>
      <c r="AY211" s="5"/>
      <c r="AZ211" s="40">
        <v>17277.939394884939</v>
      </c>
      <c r="BA211" s="40">
        <v>9840</v>
      </c>
      <c r="BB211" s="55">
        <v>-7437.9393948849392</v>
      </c>
      <c r="BD211" s="2">
        <v>3</v>
      </c>
      <c r="BF211" s="325">
        <v>150000695</v>
      </c>
    </row>
    <row r="212" spans="1:58" ht="25.05" customHeight="1" x14ac:dyDescent="0.3">
      <c r="A212" s="325">
        <v>150000698</v>
      </c>
      <c r="B212" s="445" t="s">
        <v>121</v>
      </c>
      <c r="C212" s="27">
        <v>1</v>
      </c>
      <c r="D212" s="101" t="s">
        <v>455</v>
      </c>
      <c r="E212" s="279">
        <v>180</v>
      </c>
      <c r="F212" s="441">
        <v>1757.3060592179263</v>
      </c>
      <c r="G212" s="441">
        <v>0</v>
      </c>
      <c r="H212" s="73">
        <v>-1757.3060592179263</v>
      </c>
      <c r="I212" s="5">
        <v>0</v>
      </c>
      <c r="J212" s="5">
        <v>0</v>
      </c>
      <c r="K212" s="446"/>
      <c r="L212" s="5">
        <v>0</v>
      </c>
      <c r="M212" s="5">
        <v>0</v>
      </c>
      <c r="N212" s="35"/>
      <c r="O212" s="5">
        <v>0</v>
      </c>
      <c r="P212" s="5">
        <v>0</v>
      </c>
      <c r="Q212" s="447"/>
      <c r="R212" s="5">
        <v>0</v>
      </c>
      <c r="S212" s="5">
        <v>0</v>
      </c>
      <c r="T212" s="448"/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/>
      <c r="AH212" s="5">
        <v>0</v>
      </c>
      <c r="AI212" s="5">
        <v>0</v>
      </c>
      <c r="AJ212" s="5"/>
      <c r="AK212" s="5">
        <v>0</v>
      </c>
      <c r="AL212" s="5">
        <v>0</v>
      </c>
      <c r="AM212" s="5"/>
      <c r="AN212" s="5">
        <v>0</v>
      </c>
      <c r="AO212" s="5">
        <v>0</v>
      </c>
      <c r="AP212" s="5"/>
      <c r="AQ212" s="5">
        <v>0</v>
      </c>
      <c r="AR212" s="5">
        <v>0</v>
      </c>
      <c r="AS212" s="5"/>
      <c r="AT212" s="5">
        <v>0</v>
      </c>
      <c r="AU212" s="5">
        <v>0</v>
      </c>
      <c r="AV212" s="5"/>
      <c r="AW212" s="5">
        <v>5.4</v>
      </c>
      <c r="AX212" s="5">
        <v>0</v>
      </c>
      <c r="AY212" s="5"/>
      <c r="AZ212" s="40">
        <v>5.4</v>
      </c>
      <c r="BA212" s="40">
        <v>0</v>
      </c>
      <c r="BB212" s="55">
        <v>-5.4</v>
      </c>
      <c r="BD212" s="2">
        <v>3</v>
      </c>
      <c r="BF212" s="325">
        <v>150000698</v>
      </c>
    </row>
    <row r="213" spans="1:58" ht="25.05" customHeight="1" x14ac:dyDescent="0.3">
      <c r="A213" s="325">
        <v>150000699</v>
      </c>
      <c r="B213" s="445" t="s">
        <v>374</v>
      </c>
      <c r="C213" s="27">
        <v>9</v>
      </c>
      <c r="D213" s="101" t="s">
        <v>455</v>
      </c>
      <c r="E213" s="279">
        <v>4191.3999999999996</v>
      </c>
      <c r="F213" s="441">
        <v>51207.876178746439</v>
      </c>
      <c r="G213" s="441">
        <v>26819.686881292146</v>
      </c>
      <c r="H213" s="73">
        <v>-24388.189297454293</v>
      </c>
      <c r="I213" s="5">
        <v>0</v>
      </c>
      <c r="J213" s="5">
        <v>0</v>
      </c>
      <c r="K213" s="446"/>
      <c r="L213" s="5">
        <v>0</v>
      </c>
      <c r="M213" s="5">
        <v>358</v>
      </c>
      <c r="N213" s="35"/>
      <c r="O213" s="5">
        <v>0</v>
      </c>
      <c r="P213" s="5">
        <v>0</v>
      </c>
      <c r="Q213" s="447"/>
      <c r="R213" s="5">
        <v>5</v>
      </c>
      <c r="S213" s="5">
        <v>12186.33</v>
      </c>
      <c r="T213" s="456"/>
      <c r="U213" s="5">
        <v>0</v>
      </c>
      <c r="V213" s="5">
        <v>0</v>
      </c>
      <c r="W213" s="5">
        <v>2</v>
      </c>
      <c r="X213" s="5">
        <v>557.35688129214338</v>
      </c>
      <c r="Y213" s="5">
        <v>752</v>
      </c>
      <c r="Z213" s="5">
        <v>0</v>
      </c>
      <c r="AA213" s="5">
        <v>0</v>
      </c>
      <c r="AB213" s="5">
        <v>0</v>
      </c>
      <c r="AC213" s="5">
        <v>9212</v>
      </c>
      <c r="AD213" s="5">
        <v>3754</v>
      </c>
      <c r="AE213" s="5">
        <v>2002.2277879533867</v>
      </c>
      <c r="AF213" s="5">
        <v>240</v>
      </c>
      <c r="AG213" s="454"/>
      <c r="AH213" s="5">
        <v>1987.9469021599032</v>
      </c>
      <c r="AI213" s="5">
        <v>3574</v>
      </c>
      <c r="AJ213" s="5"/>
      <c r="AK213" s="5">
        <v>2087.9309056707752</v>
      </c>
      <c r="AL213" s="5">
        <v>7232</v>
      </c>
      <c r="AM213" s="454"/>
      <c r="AN213" s="5">
        <v>1972.9489398585372</v>
      </c>
      <c r="AO213" s="5">
        <v>9506</v>
      </c>
      <c r="AP213" s="5"/>
      <c r="AQ213" s="5">
        <v>923.71373565197098</v>
      </c>
      <c r="AR213" s="5">
        <v>0</v>
      </c>
      <c r="AS213" s="454"/>
      <c r="AT213" s="5">
        <v>1283.9652602884621</v>
      </c>
      <c r="AU213" s="5">
        <v>5719</v>
      </c>
      <c r="AV213" s="5"/>
      <c r="AW213" s="5">
        <v>125.71800000000002</v>
      </c>
      <c r="AX213" s="5">
        <v>0</v>
      </c>
      <c r="AY213" s="5"/>
      <c r="AZ213" s="40">
        <v>10384.451531583036</v>
      </c>
      <c r="BA213" s="40">
        <v>26271</v>
      </c>
      <c r="BB213" s="55">
        <v>15886.548468416964</v>
      </c>
      <c r="BD213" s="2">
        <v>3</v>
      </c>
      <c r="BF213" s="325">
        <v>150000699</v>
      </c>
    </row>
    <row r="214" spans="1:58" ht="25.05" customHeight="1" x14ac:dyDescent="0.3">
      <c r="A214" s="325">
        <v>150000928</v>
      </c>
      <c r="B214" s="445" t="s">
        <v>170</v>
      </c>
      <c r="C214" s="27">
        <v>2</v>
      </c>
      <c r="D214" s="101" t="s">
        <v>455</v>
      </c>
      <c r="E214" s="279">
        <v>479.2</v>
      </c>
      <c r="F214" s="441">
        <v>5824.6097320074605</v>
      </c>
      <c r="G214" s="441">
        <v>2527</v>
      </c>
      <c r="H214" s="73">
        <v>-3297.6097320074605</v>
      </c>
      <c r="I214" s="5">
        <v>0</v>
      </c>
      <c r="J214" s="5">
        <v>0</v>
      </c>
      <c r="K214" s="446"/>
      <c r="L214" s="5">
        <v>0</v>
      </c>
      <c r="M214" s="5">
        <v>0</v>
      </c>
      <c r="N214" s="35"/>
      <c r="O214" s="5">
        <v>0</v>
      </c>
      <c r="P214" s="5">
        <v>0</v>
      </c>
      <c r="Q214" s="447"/>
      <c r="R214" s="5">
        <v>0</v>
      </c>
      <c r="S214" s="5">
        <v>0</v>
      </c>
      <c r="T214" s="448"/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2527</v>
      </c>
      <c r="AE214" s="5">
        <v>659.30840719161461</v>
      </c>
      <c r="AF214" s="5">
        <v>0</v>
      </c>
      <c r="AG214" s="5"/>
      <c r="AH214" s="5">
        <v>906.55099147810085</v>
      </c>
      <c r="AI214" s="5">
        <v>0</v>
      </c>
      <c r="AJ214" s="5"/>
      <c r="AK214" s="5">
        <v>268.17409367390701</v>
      </c>
      <c r="AL214" s="5">
        <v>0</v>
      </c>
      <c r="AM214" s="5"/>
      <c r="AN214" s="5">
        <v>0</v>
      </c>
      <c r="AO214" s="5">
        <v>0</v>
      </c>
      <c r="AP214" s="5"/>
      <c r="AQ214" s="5">
        <v>0</v>
      </c>
      <c r="AR214" s="5">
        <v>0</v>
      </c>
      <c r="AS214" s="5"/>
      <c r="AT214" s="5">
        <v>110.09829986336118</v>
      </c>
      <c r="AU214" s="5">
        <v>704</v>
      </c>
      <c r="AV214" s="5"/>
      <c r="AW214" s="5">
        <v>14.417999999999999</v>
      </c>
      <c r="AX214" s="5">
        <v>0</v>
      </c>
      <c r="AY214" s="5"/>
      <c r="AZ214" s="40">
        <v>1958.5497922069837</v>
      </c>
      <c r="BA214" s="40">
        <v>704</v>
      </c>
      <c r="BB214" s="55">
        <v>-1254.5497922069837</v>
      </c>
      <c r="BD214" s="2">
        <v>2</v>
      </c>
      <c r="BF214" s="325">
        <v>150000928</v>
      </c>
    </row>
    <row r="215" spans="1:58" ht="25.05" customHeight="1" x14ac:dyDescent="0.3">
      <c r="A215" s="325">
        <v>150000951</v>
      </c>
      <c r="B215" s="445" t="s">
        <v>171</v>
      </c>
      <c r="C215" s="27">
        <v>2</v>
      </c>
      <c r="D215" s="101" t="s">
        <v>455</v>
      </c>
      <c r="E215" s="279">
        <v>553.20000000000005</v>
      </c>
      <c r="F215" s="441">
        <v>4640.0366546454788</v>
      </c>
      <c r="G215" s="441">
        <v>1681</v>
      </c>
      <c r="H215" s="73">
        <v>-2959.0366546454788</v>
      </c>
      <c r="I215" s="5">
        <v>4</v>
      </c>
      <c r="J215" s="5">
        <v>1681</v>
      </c>
      <c r="K215" s="446"/>
      <c r="L215" s="5">
        <v>0</v>
      </c>
      <c r="M215" s="5">
        <v>0</v>
      </c>
      <c r="N215" s="35"/>
      <c r="O215" s="5">
        <v>0</v>
      </c>
      <c r="P215" s="5">
        <v>0</v>
      </c>
      <c r="Q215" s="447"/>
      <c r="R215" s="5">
        <v>0</v>
      </c>
      <c r="S215" s="5">
        <v>0</v>
      </c>
      <c r="T215" s="448"/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/>
      <c r="AH215" s="5">
        <v>0</v>
      </c>
      <c r="AI215" s="5">
        <v>0</v>
      </c>
      <c r="AJ215" s="5"/>
      <c r="AK215" s="5">
        <v>0</v>
      </c>
      <c r="AL215" s="5">
        <v>0</v>
      </c>
      <c r="AM215" s="5"/>
      <c r="AN215" s="5">
        <v>0</v>
      </c>
      <c r="AO215" s="5">
        <v>0</v>
      </c>
      <c r="AP215" s="5"/>
      <c r="AQ215" s="5">
        <v>0</v>
      </c>
      <c r="AR215" s="5">
        <v>0</v>
      </c>
      <c r="AS215" s="5"/>
      <c r="AT215" s="5">
        <v>78.832358227167092</v>
      </c>
      <c r="AU215" s="5">
        <v>0</v>
      </c>
      <c r="AV215" s="5"/>
      <c r="AW215" s="5">
        <v>104.69622474349049</v>
      </c>
      <c r="AX215" s="5">
        <v>0</v>
      </c>
      <c r="AY215" s="5"/>
      <c r="AZ215" s="40">
        <v>183.52858297065757</v>
      </c>
      <c r="BA215" s="40">
        <v>0</v>
      </c>
      <c r="BB215" s="55">
        <v>-183.52858297065757</v>
      </c>
      <c r="BD215" s="2">
        <v>1</v>
      </c>
      <c r="BF215" s="325">
        <v>150000951</v>
      </c>
    </row>
    <row r="216" spans="1:58" ht="25.05" customHeight="1" x14ac:dyDescent="0.3">
      <c r="A216" s="325">
        <v>150000954</v>
      </c>
      <c r="B216" s="445" t="s">
        <v>172</v>
      </c>
      <c r="C216" s="27">
        <v>2</v>
      </c>
      <c r="D216" s="101" t="s">
        <v>455</v>
      </c>
      <c r="E216" s="279">
        <v>358.84</v>
      </c>
      <c r="F216" s="441">
        <v>6131.9602947271014</v>
      </c>
      <c r="G216" s="441">
        <v>657</v>
      </c>
      <c r="H216" s="73">
        <v>-5474.9602947271014</v>
      </c>
      <c r="I216" s="5">
        <v>0</v>
      </c>
      <c r="J216" s="5">
        <v>0</v>
      </c>
      <c r="K216" s="446"/>
      <c r="L216" s="5">
        <v>0</v>
      </c>
      <c r="M216" s="5">
        <v>0</v>
      </c>
      <c r="N216" s="35"/>
      <c r="O216" s="5">
        <v>0</v>
      </c>
      <c r="P216" s="5">
        <v>0</v>
      </c>
      <c r="Q216" s="447"/>
      <c r="R216" s="5">
        <v>0</v>
      </c>
      <c r="S216" s="5">
        <v>0</v>
      </c>
      <c r="T216" s="448"/>
      <c r="U216" s="5">
        <v>0</v>
      </c>
      <c r="V216" s="5">
        <v>0</v>
      </c>
      <c r="W216" s="5">
        <v>0</v>
      </c>
      <c r="X216" s="5">
        <v>0</v>
      </c>
      <c r="Y216" s="5">
        <v>657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325.4845133868202</v>
      </c>
      <c r="AF216" s="5">
        <v>0</v>
      </c>
      <c r="AG216" s="5"/>
      <c r="AH216" s="5">
        <v>390.03171851946962</v>
      </c>
      <c r="AI216" s="5">
        <v>6.5</v>
      </c>
      <c r="AJ216" s="5"/>
      <c r="AK216" s="5">
        <v>221.6531282609744</v>
      </c>
      <c r="AL216" s="5">
        <v>0</v>
      </c>
      <c r="AM216" s="5"/>
      <c r="AN216" s="5">
        <v>0</v>
      </c>
      <c r="AO216" s="5">
        <v>820</v>
      </c>
      <c r="AP216" s="5"/>
      <c r="AQ216" s="5">
        <v>0</v>
      </c>
      <c r="AR216" s="5">
        <v>0</v>
      </c>
      <c r="AS216" s="5"/>
      <c r="AT216" s="5">
        <v>230.0091300632414</v>
      </c>
      <c r="AU216" s="5">
        <v>0</v>
      </c>
      <c r="AV216" s="5"/>
      <c r="AW216" s="5">
        <v>155.04303146868628</v>
      </c>
      <c r="AX216" s="5">
        <v>0</v>
      </c>
      <c r="AY216" s="5"/>
      <c r="AZ216" s="40">
        <v>1322.221521699192</v>
      </c>
      <c r="BA216" s="40">
        <v>826.5</v>
      </c>
      <c r="BB216" s="55">
        <v>-495.72152169919195</v>
      </c>
      <c r="BD216" s="2">
        <v>1</v>
      </c>
      <c r="BF216" s="325">
        <v>150000954</v>
      </c>
    </row>
    <row r="217" spans="1:58" ht="25.05" customHeight="1" x14ac:dyDescent="0.3">
      <c r="A217" s="325">
        <v>150000929</v>
      </c>
      <c r="B217" s="445" t="s">
        <v>1034</v>
      </c>
      <c r="C217" s="27">
        <v>2</v>
      </c>
      <c r="D217" s="101" t="s">
        <v>455</v>
      </c>
      <c r="E217" s="279">
        <v>488.8</v>
      </c>
      <c r="F217" s="441">
        <v>7492.2886176987058</v>
      </c>
      <c r="G217" s="441">
        <v>2386.6811997647155</v>
      </c>
      <c r="H217" s="73">
        <v>-5105.6074179339903</v>
      </c>
      <c r="I217" s="5">
        <v>0</v>
      </c>
      <c r="J217" s="5">
        <v>0</v>
      </c>
      <c r="K217" s="446"/>
      <c r="L217" s="5">
        <v>0</v>
      </c>
      <c r="M217" s="5">
        <v>0</v>
      </c>
      <c r="N217" s="35"/>
      <c r="O217" s="5">
        <v>0</v>
      </c>
      <c r="P217" s="5">
        <v>0</v>
      </c>
      <c r="Q217" s="447"/>
      <c r="R217" s="5">
        <v>0</v>
      </c>
      <c r="S217" s="5">
        <v>0</v>
      </c>
      <c r="T217" s="448"/>
      <c r="U217" s="5">
        <v>0</v>
      </c>
      <c r="V217" s="5">
        <v>0</v>
      </c>
      <c r="W217" s="5">
        <v>0</v>
      </c>
      <c r="X217" s="5">
        <v>141.68119976471547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2245</v>
      </c>
      <c r="AE217" s="5">
        <v>743.23933669362179</v>
      </c>
      <c r="AF217" s="5">
        <v>0</v>
      </c>
      <c r="AG217" s="5"/>
      <c r="AH217" s="5">
        <v>906.56257002395705</v>
      </c>
      <c r="AI217" s="5">
        <v>0</v>
      </c>
      <c r="AJ217" s="5"/>
      <c r="AK217" s="5">
        <v>0</v>
      </c>
      <c r="AL217" s="5">
        <v>0</v>
      </c>
      <c r="AM217" s="5"/>
      <c r="AN217" s="5">
        <v>0</v>
      </c>
      <c r="AO217" s="5">
        <v>0</v>
      </c>
      <c r="AP217" s="5"/>
      <c r="AQ217" s="5">
        <v>0</v>
      </c>
      <c r="AR217" s="5">
        <v>0</v>
      </c>
      <c r="AS217" s="5"/>
      <c r="AT217" s="5">
        <v>110.0907468688774</v>
      </c>
      <c r="AU217" s="5">
        <v>703</v>
      </c>
      <c r="AV217" s="5"/>
      <c r="AW217" s="5">
        <v>14.669999999999998</v>
      </c>
      <c r="AX217" s="5">
        <v>0</v>
      </c>
      <c r="AY217" s="5"/>
      <c r="AZ217" s="40">
        <v>1774.5626535864562</v>
      </c>
      <c r="BA217" s="40">
        <v>703</v>
      </c>
      <c r="BB217" s="55">
        <v>-1071.5626535864562</v>
      </c>
      <c r="BD217" s="2">
        <v>2</v>
      </c>
      <c r="BF217" s="325">
        <v>150000929</v>
      </c>
    </row>
    <row r="218" spans="1:58" ht="25.05" customHeight="1" x14ac:dyDescent="0.3">
      <c r="A218" s="325">
        <v>150000930</v>
      </c>
      <c r="B218" s="445" t="s">
        <v>173</v>
      </c>
      <c r="C218" s="27">
        <v>2</v>
      </c>
      <c r="D218" s="101" t="s">
        <v>455</v>
      </c>
      <c r="E218" s="279">
        <v>327.9</v>
      </c>
      <c r="F218" s="441">
        <v>3765.7598646516976</v>
      </c>
      <c r="G218" s="441">
        <v>130</v>
      </c>
      <c r="H218" s="73">
        <v>-3635.7598646516976</v>
      </c>
      <c r="I218" s="5">
        <v>0</v>
      </c>
      <c r="J218" s="5">
        <v>0</v>
      </c>
      <c r="K218" s="446"/>
      <c r="L218" s="5">
        <v>0</v>
      </c>
      <c r="M218" s="5">
        <v>0</v>
      </c>
      <c r="N218" s="35"/>
      <c r="O218" s="5">
        <v>0</v>
      </c>
      <c r="P218" s="5">
        <v>0</v>
      </c>
      <c r="Q218" s="447"/>
      <c r="R218" s="5">
        <v>0</v>
      </c>
      <c r="S218" s="5">
        <v>0</v>
      </c>
      <c r="T218" s="448"/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130</v>
      </c>
      <c r="AE218" s="5">
        <v>433.58188055982583</v>
      </c>
      <c r="AF218" s="5">
        <v>0</v>
      </c>
      <c r="AG218" s="5"/>
      <c r="AH218" s="5">
        <v>548.14765749429125</v>
      </c>
      <c r="AI218" s="5">
        <v>0</v>
      </c>
      <c r="AJ218" s="5"/>
      <c r="AK218" s="5">
        <v>208.59222853303288</v>
      </c>
      <c r="AL218" s="5">
        <v>0</v>
      </c>
      <c r="AM218" s="5"/>
      <c r="AN218" s="5">
        <v>0</v>
      </c>
      <c r="AO218" s="5">
        <v>0</v>
      </c>
      <c r="AP218" s="5"/>
      <c r="AQ218" s="5">
        <v>0</v>
      </c>
      <c r="AR218" s="5">
        <v>0</v>
      </c>
      <c r="AS218" s="5"/>
      <c r="AT218" s="5">
        <v>54.940202430438077</v>
      </c>
      <c r="AU218" s="5">
        <v>0</v>
      </c>
      <c r="AV218" s="5"/>
      <c r="AW218" s="5">
        <v>9.7169999999999987</v>
      </c>
      <c r="AX218" s="5">
        <v>0</v>
      </c>
      <c r="AY218" s="5"/>
      <c r="AZ218" s="40">
        <v>1254.978969017588</v>
      </c>
      <c r="BA218" s="40">
        <v>0</v>
      </c>
      <c r="BB218" s="55">
        <v>-1254.978969017588</v>
      </c>
      <c r="BD218" s="2">
        <v>2</v>
      </c>
      <c r="BF218" s="325">
        <v>150000930</v>
      </c>
    </row>
    <row r="219" spans="1:58" ht="25.05" customHeight="1" x14ac:dyDescent="0.3">
      <c r="A219" s="325">
        <v>150000931</v>
      </c>
      <c r="B219" s="445" t="s">
        <v>267</v>
      </c>
      <c r="C219" s="27">
        <v>5</v>
      </c>
      <c r="D219" s="101" t="s">
        <v>455</v>
      </c>
      <c r="E219" s="279">
        <v>2292.33</v>
      </c>
      <c r="F219" s="441">
        <v>21110.208742054379</v>
      </c>
      <c r="G219" s="441">
        <v>19078.739999999998</v>
      </c>
      <c r="H219" s="73">
        <v>-2031.4687420543814</v>
      </c>
      <c r="I219" s="5">
        <v>0</v>
      </c>
      <c r="J219" s="5">
        <v>0</v>
      </c>
      <c r="K219" s="446"/>
      <c r="L219" s="5">
        <v>0</v>
      </c>
      <c r="M219" s="5">
        <v>0</v>
      </c>
      <c r="N219" s="35"/>
      <c r="O219" s="5">
        <v>0</v>
      </c>
      <c r="P219" s="5">
        <v>0</v>
      </c>
      <c r="Q219" s="447"/>
      <c r="R219" s="5">
        <v>0</v>
      </c>
      <c r="S219" s="5">
        <v>0</v>
      </c>
      <c r="T219" s="448"/>
      <c r="U219" s="5">
        <v>0</v>
      </c>
      <c r="V219" s="5">
        <v>0</v>
      </c>
      <c r="W219" s="5">
        <v>4</v>
      </c>
      <c r="X219" s="5">
        <v>1833.74</v>
      </c>
      <c r="Y219" s="5">
        <v>14018</v>
      </c>
      <c r="Z219" s="5">
        <v>0</v>
      </c>
      <c r="AA219" s="5">
        <v>0</v>
      </c>
      <c r="AB219" s="5">
        <v>0</v>
      </c>
      <c r="AC219" s="5">
        <v>2836</v>
      </c>
      <c r="AD219" s="5">
        <v>391</v>
      </c>
      <c r="AE219" s="5">
        <v>1889.8801214538614</v>
      </c>
      <c r="AF219" s="5">
        <v>1464</v>
      </c>
      <c r="AG219" s="454"/>
      <c r="AH219" s="5">
        <v>2664.8152053230101</v>
      </c>
      <c r="AI219" s="5">
        <v>5429</v>
      </c>
      <c r="AJ219" s="8"/>
      <c r="AK219" s="5">
        <v>1530.9792335062084</v>
      </c>
      <c r="AL219" s="5">
        <v>0</v>
      </c>
      <c r="AM219" s="5"/>
      <c r="AN219" s="5">
        <v>1454.444870467292</v>
      </c>
      <c r="AO219" s="5">
        <v>0</v>
      </c>
      <c r="AP219" s="5"/>
      <c r="AQ219" s="5">
        <v>832.23664965675107</v>
      </c>
      <c r="AR219" s="5">
        <v>0</v>
      </c>
      <c r="AS219" s="5"/>
      <c r="AT219" s="5">
        <v>1209.6191606438035</v>
      </c>
      <c r="AU219" s="5">
        <v>0</v>
      </c>
      <c r="AV219" s="5"/>
      <c r="AW219" s="5">
        <v>68.769900000000007</v>
      </c>
      <c r="AX219" s="5">
        <v>0</v>
      </c>
      <c r="AY219" s="5"/>
      <c r="AZ219" s="40">
        <v>9650.7451410509275</v>
      </c>
      <c r="BA219" s="40">
        <v>6893</v>
      </c>
      <c r="BB219" s="55">
        <v>-2757.7451410509275</v>
      </c>
      <c r="BD219" s="2">
        <v>2</v>
      </c>
      <c r="BF219" s="325">
        <v>150000931</v>
      </c>
    </row>
    <row r="220" spans="1:58" ht="25.05" customHeight="1" x14ac:dyDescent="0.3">
      <c r="A220" s="325">
        <v>150000932</v>
      </c>
      <c r="B220" s="445" t="s">
        <v>174</v>
      </c>
      <c r="C220" s="27">
        <v>2</v>
      </c>
      <c r="D220" s="101" t="s">
        <v>455</v>
      </c>
      <c r="E220" s="279">
        <v>354.3</v>
      </c>
      <c r="F220" s="441">
        <v>2209.4543770211658</v>
      </c>
      <c r="G220" s="441">
        <v>5256.27</v>
      </c>
      <c r="H220" s="73">
        <v>3046.8156229788347</v>
      </c>
      <c r="I220" s="5">
        <v>0</v>
      </c>
      <c r="J220" s="5">
        <v>0</v>
      </c>
      <c r="K220" s="446"/>
      <c r="L220" s="5">
        <v>0</v>
      </c>
      <c r="M220" s="5">
        <v>0</v>
      </c>
      <c r="N220" s="35"/>
      <c r="O220" s="5">
        <v>0</v>
      </c>
      <c r="P220" s="5">
        <v>0</v>
      </c>
      <c r="Q220" s="447"/>
      <c r="R220" s="5">
        <v>0</v>
      </c>
      <c r="S220" s="5">
        <v>0</v>
      </c>
      <c r="T220" s="448"/>
      <c r="U220" s="5">
        <v>0</v>
      </c>
      <c r="V220" s="5">
        <v>0</v>
      </c>
      <c r="W220" s="5">
        <v>0</v>
      </c>
      <c r="X220" s="5">
        <v>0</v>
      </c>
      <c r="Y220" s="5">
        <v>1449</v>
      </c>
      <c r="Z220" s="5">
        <v>0</v>
      </c>
      <c r="AA220" s="5">
        <v>0</v>
      </c>
      <c r="AB220" s="5">
        <v>0</v>
      </c>
      <c r="AC220" s="5">
        <v>0</v>
      </c>
      <c r="AD220" s="5">
        <v>3807.27</v>
      </c>
      <c r="AE220" s="5">
        <v>393.93174154794025</v>
      </c>
      <c r="AF220" s="5">
        <v>0</v>
      </c>
      <c r="AG220" s="5"/>
      <c r="AH220" s="5">
        <v>390.03171851946962</v>
      </c>
      <c r="AI220" s="5">
        <v>0</v>
      </c>
      <c r="AJ220" s="5"/>
      <c r="AK220" s="5">
        <v>222.48262703704839</v>
      </c>
      <c r="AL220" s="5">
        <v>0</v>
      </c>
      <c r="AM220" s="5"/>
      <c r="AN220" s="5">
        <v>0</v>
      </c>
      <c r="AO220" s="5">
        <v>0</v>
      </c>
      <c r="AP220" s="5"/>
      <c r="AQ220" s="5">
        <v>0</v>
      </c>
      <c r="AR220" s="5">
        <v>0</v>
      </c>
      <c r="AS220" s="5"/>
      <c r="AT220" s="5">
        <v>3.6379049643158252</v>
      </c>
      <c r="AU220" s="5">
        <v>0</v>
      </c>
      <c r="AV220" s="5"/>
      <c r="AW220" s="5">
        <v>10.629000000000001</v>
      </c>
      <c r="AX220" s="5">
        <v>0</v>
      </c>
      <c r="AY220" s="5"/>
      <c r="AZ220" s="40">
        <v>1020.712992068774</v>
      </c>
      <c r="BA220" s="40">
        <v>0</v>
      </c>
      <c r="BB220" s="55">
        <v>-1020.712992068774</v>
      </c>
      <c r="BD220" s="2">
        <v>2</v>
      </c>
      <c r="BF220" s="325">
        <v>150000932</v>
      </c>
    </row>
    <row r="221" spans="1:58" ht="25.05" customHeight="1" x14ac:dyDescent="0.3">
      <c r="A221" s="325">
        <v>150000924</v>
      </c>
      <c r="B221" s="445" t="s">
        <v>175</v>
      </c>
      <c r="C221" s="27">
        <v>2</v>
      </c>
      <c r="D221" s="101" t="s">
        <v>455</v>
      </c>
      <c r="E221" s="279">
        <v>474.29999999999995</v>
      </c>
      <c r="F221" s="441">
        <v>5331.6359061487256</v>
      </c>
      <c r="G221" s="441">
        <v>39592.19</v>
      </c>
      <c r="H221" s="73">
        <v>34260.554093851279</v>
      </c>
      <c r="I221" s="5">
        <v>0</v>
      </c>
      <c r="J221" s="5">
        <v>0</v>
      </c>
      <c r="K221" s="446"/>
      <c r="L221" s="5">
        <v>1</v>
      </c>
      <c r="M221" s="5">
        <v>24995.4</v>
      </c>
      <c r="N221" s="35"/>
      <c r="O221" s="5">
        <v>0</v>
      </c>
      <c r="P221" s="5">
        <v>0</v>
      </c>
      <c r="Q221" s="447"/>
      <c r="R221" s="5">
        <v>0</v>
      </c>
      <c r="S221" s="5">
        <v>0</v>
      </c>
      <c r="T221" s="448"/>
      <c r="U221" s="5">
        <v>0</v>
      </c>
      <c r="V221" s="5">
        <v>0</v>
      </c>
      <c r="W221" s="5">
        <v>0</v>
      </c>
      <c r="X221" s="5">
        <v>0</v>
      </c>
      <c r="Y221" s="5">
        <v>1370</v>
      </c>
      <c r="Z221" s="5">
        <v>0</v>
      </c>
      <c r="AA221" s="5">
        <v>0</v>
      </c>
      <c r="AB221" s="5">
        <v>0</v>
      </c>
      <c r="AC221" s="5">
        <v>0</v>
      </c>
      <c r="AD221" s="5">
        <v>13226.79</v>
      </c>
      <c r="AE221" s="5">
        <v>556.53123244251401</v>
      </c>
      <c r="AF221" s="5">
        <v>0</v>
      </c>
      <c r="AG221" s="5"/>
      <c r="AH221" s="5">
        <v>1057.226778709784</v>
      </c>
      <c r="AI221" s="5">
        <v>0</v>
      </c>
      <c r="AJ221" s="5"/>
      <c r="AK221" s="5">
        <v>267.26223365321334</v>
      </c>
      <c r="AL221" s="5">
        <v>0</v>
      </c>
      <c r="AM221" s="5"/>
      <c r="AN221" s="5">
        <v>0</v>
      </c>
      <c r="AO221" s="5">
        <v>0</v>
      </c>
      <c r="AP221" s="5"/>
      <c r="AQ221" s="5">
        <v>0</v>
      </c>
      <c r="AR221" s="5">
        <v>0</v>
      </c>
      <c r="AS221" s="5"/>
      <c r="AT221" s="5">
        <v>110.09836158969283</v>
      </c>
      <c r="AU221" s="5">
        <v>2718</v>
      </c>
      <c r="AV221" s="5"/>
      <c r="AW221" s="5">
        <v>14.228999999999999</v>
      </c>
      <c r="AX221" s="5">
        <v>0</v>
      </c>
      <c r="AY221" s="5"/>
      <c r="AZ221" s="40">
        <v>2005.3476063952041</v>
      </c>
      <c r="BA221" s="40">
        <v>2718</v>
      </c>
      <c r="BB221" s="55">
        <v>712.65239360479586</v>
      </c>
      <c r="BD221" s="2">
        <v>2</v>
      </c>
      <c r="BF221" s="325">
        <v>150000924</v>
      </c>
    </row>
    <row r="222" spans="1:58" ht="25.05" customHeight="1" x14ac:dyDescent="0.3">
      <c r="A222" s="325">
        <v>150000933</v>
      </c>
      <c r="B222" s="445" t="s">
        <v>268</v>
      </c>
      <c r="C222" s="27">
        <v>5</v>
      </c>
      <c r="D222" s="101" t="s">
        <v>455</v>
      </c>
      <c r="E222" s="279">
        <v>4735.0700000000006</v>
      </c>
      <c r="F222" s="441">
        <v>45592.144710230248</v>
      </c>
      <c r="G222" s="441">
        <v>3827</v>
      </c>
      <c r="H222" s="73">
        <v>-41765.144710230248</v>
      </c>
      <c r="I222" s="5">
        <v>0</v>
      </c>
      <c r="J222" s="5">
        <v>0</v>
      </c>
      <c r="K222" s="446"/>
      <c r="L222" s="5">
        <v>0</v>
      </c>
      <c r="M222" s="5">
        <v>3175</v>
      </c>
      <c r="N222" s="35"/>
      <c r="O222" s="5">
        <v>0</v>
      </c>
      <c r="P222" s="5">
        <v>0</v>
      </c>
      <c r="Q222" s="447"/>
      <c r="R222" s="5">
        <v>0</v>
      </c>
      <c r="S222" s="5">
        <v>0</v>
      </c>
      <c r="T222" s="448"/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652</v>
      </c>
      <c r="AE222" s="5">
        <v>3145.7546811727402</v>
      </c>
      <c r="AF222" s="5">
        <v>188</v>
      </c>
      <c r="AG222" s="5"/>
      <c r="AH222" s="5">
        <v>4653.6704143029201</v>
      </c>
      <c r="AI222" s="5">
        <v>1215</v>
      </c>
      <c r="AJ222" s="5"/>
      <c r="AK222" s="5">
        <v>3124.6917239272193</v>
      </c>
      <c r="AL222" s="5">
        <v>516</v>
      </c>
      <c r="AM222" s="5"/>
      <c r="AN222" s="5">
        <v>2752.5668686031163</v>
      </c>
      <c r="AO222" s="5">
        <v>0</v>
      </c>
      <c r="AP222" s="5"/>
      <c r="AQ222" s="5">
        <v>1386.8427402496034</v>
      </c>
      <c r="AR222" s="5">
        <v>0</v>
      </c>
      <c r="AS222" s="5"/>
      <c r="AT222" s="5">
        <v>2467.7093709307528</v>
      </c>
      <c r="AU222" s="5">
        <v>82</v>
      </c>
      <c r="AV222" s="5"/>
      <c r="AW222" s="5">
        <v>141.47910000000002</v>
      </c>
      <c r="AX222" s="5">
        <v>0</v>
      </c>
      <c r="AY222" s="5"/>
      <c r="AZ222" s="40">
        <v>17672.714899186354</v>
      </c>
      <c r="BA222" s="40">
        <v>2001</v>
      </c>
      <c r="BB222" s="55">
        <v>-15671.714899186354</v>
      </c>
      <c r="BD222" s="2">
        <v>2</v>
      </c>
      <c r="BF222" s="325">
        <v>150000933</v>
      </c>
    </row>
    <row r="223" spans="1:58" ht="25.05" customHeight="1" x14ac:dyDescent="0.3">
      <c r="A223" s="325">
        <v>150000934</v>
      </c>
      <c r="B223" s="445" t="s">
        <v>216</v>
      </c>
      <c r="C223" s="27">
        <v>4</v>
      </c>
      <c r="D223" s="101" t="s">
        <v>455</v>
      </c>
      <c r="E223" s="279">
        <v>1981.17</v>
      </c>
      <c r="F223" s="441">
        <v>16459.24762953394</v>
      </c>
      <c r="G223" s="441">
        <v>9365.380000000001</v>
      </c>
      <c r="H223" s="73">
        <v>-7093.8676295339392</v>
      </c>
      <c r="I223" s="5">
        <v>15</v>
      </c>
      <c r="J223" s="5">
        <v>8049.38</v>
      </c>
      <c r="K223" s="446"/>
      <c r="L223" s="5">
        <v>0</v>
      </c>
      <c r="M223" s="5">
        <v>0</v>
      </c>
      <c r="N223" s="35"/>
      <c r="O223" s="5">
        <v>0</v>
      </c>
      <c r="P223" s="5">
        <v>0</v>
      </c>
      <c r="Q223" s="447"/>
      <c r="R223" s="5">
        <v>0</v>
      </c>
      <c r="S223" s="5">
        <v>0</v>
      </c>
      <c r="T223" s="448"/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1316</v>
      </c>
      <c r="AE223" s="5">
        <v>1506.1515737049774</v>
      </c>
      <c r="AF223" s="5">
        <v>366</v>
      </c>
      <c r="AG223" s="8"/>
      <c r="AH223" s="5">
        <v>1510.5794781210589</v>
      </c>
      <c r="AI223" s="5">
        <v>0</v>
      </c>
      <c r="AJ223" s="5"/>
      <c r="AK223" s="5">
        <v>1375.822965268459</v>
      </c>
      <c r="AL223" s="5">
        <v>0</v>
      </c>
      <c r="AM223" s="5"/>
      <c r="AN223" s="5">
        <v>0</v>
      </c>
      <c r="AO223" s="5">
        <v>0</v>
      </c>
      <c r="AP223" s="5"/>
      <c r="AQ223" s="5">
        <v>0</v>
      </c>
      <c r="AR223" s="5">
        <v>0</v>
      </c>
      <c r="AS223" s="5"/>
      <c r="AT223" s="5">
        <v>893.4820840473069</v>
      </c>
      <c r="AU223" s="5">
        <v>0</v>
      </c>
      <c r="AV223" s="5"/>
      <c r="AW223" s="5">
        <v>59.435100000000006</v>
      </c>
      <c r="AX223" s="5">
        <v>0</v>
      </c>
      <c r="AY223" s="5"/>
      <c r="AZ223" s="40">
        <v>5345.4712011418014</v>
      </c>
      <c r="BA223" s="40">
        <v>366</v>
      </c>
      <c r="BB223" s="55">
        <v>-4979.4712011418014</v>
      </c>
      <c r="BD223" s="2">
        <v>2</v>
      </c>
      <c r="BF223" s="325">
        <v>150000934</v>
      </c>
    </row>
    <row r="224" spans="1:58" ht="25.05" customHeight="1" x14ac:dyDescent="0.3">
      <c r="A224" s="325">
        <v>150000935</v>
      </c>
      <c r="B224" s="445" t="s">
        <v>176</v>
      </c>
      <c r="C224" s="27">
        <v>2</v>
      </c>
      <c r="D224" s="101" t="s">
        <v>455</v>
      </c>
      <c r="E224" s="279">
        <v>286.2</v>
      </c>
      <c r="F224" s="441">
        <v>3953.1108455566591</v>
      </c>
      <c r="G224" s="441">
        <v>2113</v>
      </c>
      <c r="H224" s="73">
        <v>-1840.1108455566591</v>
      </c>
      <c r="I224" s="5">
        <v>0</v>
      </c>
      <c r="J224" s="5">
        <v>0</v>
      </c>
      <c r="K224" s="446"/>
      <c r="L224" s="5">
        <v>0</v>
      </c>
      <c r="M224" s="5">
        <v>0</v>
      </c>
      <c r="N224" s="35"/>
      <c r="O224" s="5">
        <v>0</v>
      </c>
      <c r="P224" s="5">
        <v>0</v>
      </c>
      <c r="Q224" s="447"/>
      <c r="R224" s="5">
        <v>0</v>
      </c>
      <c r="S224" s="5">
        <v>0</v>
      </c>
      <c r="T224" s="448"/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2113</v>
      </c>
      <c r="AE224" s="5">
        <v>480.66446231297488</v>
      </c>
      <c r="AF224" s="5">
        <v>0</v>
      </c>
      <c r="AG224" s="5"/>
      <c r="AH224" s="5">
        <v>451.13870900212146</v>
      </c>
      <c r="AI224" s="5">
        <v>0</v>
      </c>
      <c r="AJ224" s="5"/>
      <c r="AK224" s="5">
        <v>135.92142226497157</v>
      </c>
      <c r="AL224" s="5">
        <v>0</v>
      </c>
      <c r="AM224" s="5"/>
      <c r="AN224" s="5">
        <v>0</v>
      </c>
      <c r="AO224" s="5">
        <v>0</v>
      </c>
      <c r="AP224" s="5"/>
      <c r="AQ224" s="5">
        <v>0</v>
      </c>
      <c r="AR224" s="5">
        <v>0</v>
      </c>
      <c r="AS224" s="5"/>
      <c r="AT224" s="5">
        <v>54.940141518865744</v>
      </c>
      <c r="AU224" s="5">
        <v>0</v>
      </c>
      <c r="AV224" s="5"/>
      <c r="AW224" s="5">
        <v>8.5860000000000003</v>
      </c>
      <c r="AX224" s="5">
        <v>0</v>
      </c>
      <c r="AY224" s="5"/>
      <c r="AZ224" s="40">
        <v>1131.2507350989338</v>
      </c>
      <c r="BA224" s="40">
        <v>0</v>
      </c>
      <c r="BB224" s="55">
        <v>-1131.2507350989338</v>
      </c>
      <c r="BD224" s="2">
        <v>2</v>
      </c>
      <c r="BF224" s="325">
        <v>150000935</v>
      </c>
    </row>
    <row r="225" spans="1:58" ht="25.05" customHeight="1" x14ac:dyDescent="0.3">
      <c r="A225" s="325">
        <v>150000936</v>
      </c>
      <c r="B225" s="445" t="s">
        <v>122</v>
      </c>
      <c r="C225" s="27">
        <v>1</v>
      </c>
      <c r="D225" s="101" t="s">
        <v>455</v>
      </c>
      <c r="E225" s="279">
        <v>341.75</v>
      </c>
      <c r="F225" s="441">
        <v>3157.0313261971446</v>
      </c>
      <c r="G225" s="441">
        <v>1214</v>
      </c>
      <c r="H225" s="73">
        <v>-1943.0313261971446</v>
      </c>
      <c r="I225" s="5">
        <v>0</v>
      </c>
      <c r="J225" s="5">
        <v>1214</v>
      </c>
      <c r="K225" s="446"/>
      <c r="L225" s="5">
        <v>0</v>
      </c>
      <c r="M225" s="5">
        <v>0</v>
      </c>
      <c r="N225" s="35"/>
      <c r="O225" s="5">
        <v>0</v>
      </c>
      <c r="P225" s="5">
        <v>0</v>
      </c>
      <c r="Q225" s="447"/>
      <c r="R225" s="5">
        <v>0</v>
      </c>
      <c r="S225" s="5">
        <v>0</v>
      </c>
      <c r="T225" s="448"/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/>
      <c r="AH225" s="5">
        <v>0</v>
      </c>
      <c r="AI225" s="5">
        <v>0</v>
      </c>
      <c r="AJ225" s="5"/>
      <c r="AK225" s="5">
        <v>0</v>
      </c>
      <c r="AL225" s="5">
        <v>0</v>
      </c>
      <c r="AM225" s="5"/>
      <c r="AN225" s="5">
        <v>0</v>
      </c>
      <c r="AO225" s="5">
        <v>0</v>
      </c>
      <c r="AP225" s="5"/>
      <c r="AQ225" s="5">
        <v>0</v>
      </c>
      <c r="AR225" s="5">
        <v>0</v>
      </c>
      <c r="AS225" s="5"/>
      <c r="AT225" s="5">
        <v>0</v>
      </c>
      <c r="AU225" s="5">
        <v>0</v>
      </c>
      <c r="AV225" s="5"/>
      <c r="AW225" s="5">
        <v>11.961388531079258</v>
      </c>
      <c r="AX225" s="5">
        <v>0</v>
      </c>
      <c r="AY225" s="5"/>
      <c r="AZ225" s="40">
        <v>11.961388531079258</v>
      </c>
      <c r="BA225" s="40">
        <v>0</v>
      </c>
      <c r="BB225" s="55">
        <v>-11.961388531079258</v>
      </c>
      <c r="BD225" s="2">
        <v>1</v>
      </c>
      <c r="BF225" s="325">
        <v>150000936</v>
      </c>
    </row>
    <row r="226" spans="1:58" ht="25.05" customHeight="1" x14ac:dyDescent="0.3">
      <c r="A226" s="325">
        <v>150000937</v>
      </c>
      <c r="B226" s="445" t="s">
        <v>375</v>
      </c>
      <c r="C226" s="27">
        <v>9</v>
      </c>
      <c r="D226" s="101" t="s">
        <v>455</v>
      </c>
      <c r="E226" s="279">
        <v>3813.3</v>
      </c>
      <c r="F226" s="441">
        <v>52690.303863041881</v>
      </c>
      <c r="G226" s="441">
        <v>46742.079999999994</v>
      </c>
      <c r="H226" s="73">
        <v>-5948.2238630418869</v>
      </c>
      <c r="I226" s="5">
        <v>43.9</v>
      </c>
      <c r="J226" s="5">
        <v>7173.54</v>
      </c>
      <c r="K226" s="446"/>
      <c r="L226" s="5">
        <v>0</v>
      </c>
      <c r="M226" s="5">
        <v>0</v>
      </c>
      <c r="N226" s="35"/>
      <c r="O226" s="5">
        <v>0</v>
      </c>
      <c r="P226" s="5">
        <v>0</v>
      </c>
      <c r="Q226" s="447"/>
      <c r="R226" s="5">
        <v>2</v>
      </c>
      <c r="S226" s="5">
        <v>32405.02</v>
      </c>
      <c r="T226" s="448"/>
      <c r="U226" s="5">
        <v>0</v>
      </c>
      <c r="V226" s="5">
        <v>0</v>
      </c>
      <c r="W226" s="5">
        <v>0</v>
      </c>
      <c r="X226" s="5">
        <v>0</v>
      </c>
      <c r="Y226" s="5">
        <v>170</v>
      </c>
      <c r="Z226" s="5">
        <v>0</v>
      </c>
      <c r="AA226" s="5">
        <v>0</v>
      </c>
      <c r="AB226" s="5">
        <v>0</v>
      </c>
      <c r="AC226" s="5">
        <v>4432</v>
      </c>
      <c r="AD226" s="5">
        <v>2561.52</v>
      </c>
      <c r="AE226" s="5">
        <v>1191.1609758457957</v>
      </c>
      <c r="AF226" s="5">
        <v>2748</v>
      </c>
      <c r="AG226" s="5"/>
      <c r="AH226" s="5">
        <v>2355.1662500486682</v>
      </c>
      <c r="AI226" s="5">
        <v>2063</v>
      </c>
      <c r="AJ226" s="5"/>
      <c r="AK226" s="5">
        <v>1381.2992754289016</v>
      </c>
      <c r="AL226" s="5">
        <v>0</v>
      </c>
      <c r="AM226" s="5"/>
      <c r="AN226" s="5">
        <v>1819.4059068434078</v>
      </c>
      <c r="AO226" s="5">
        <v>6899</v>
      </c>
      <c r="AP226" s="5"/>
      <c r="AQ226" s="5">
        <v>1364.5771642971445</v>
      </c>
      <c r="AR226" s="5">
        <v>0</v>
      </c>
      <c r="AS226" s="5"/>
      <c r="AT226" s="5">
        <v>1604.0637992794479</v>
      </c>
      <c r="AU226" s="5">
        <v>332</v>
      </c>
      <c r="AV226" s="5"/>
      <c r="AW226" s="5">
        <v>536.8805461294653</v>
      </c>
      <c r="AX226" s="5">
        <v>0</v>
      </c>
      <c r="AY226" s="5"/>
      <c r="AZ226" s="40">
        <v>10252.55391787283</v>
      </c>
      <c r="BA226" s="40">
        <v>12042</v>
      </c>
      <c r="BB226" s="55">
        <v>1789.4460821271696</v>
      </c>
      <c r="BD226" s="2">
        <v>1</v>
      </c>
      <c r="BF226" s="325">
        <v>150000937</v>
      </c>
    </row>
    <row r="227" spans="1:58" ht="25.05" customHeight="1" x14ac:dyDescent="0.3">
      <c r="A227" s="325">
        <v>150000938</v>
      </c>
      <c r="B227" s="445" t="s">
        <v>376</v>
      </c>
      <c r="C227" s="27">
        <v>9</v>
      </c>
      <c r="D227" s="101" t="s">
        <v>455</v>
      </c>
      <c r="E227" s="279">
        <v>15432.37</v>
      </c>
      <c r="F227" s="441">
        <v>198814.9784758155</v>
      </c>
      <c r="G227" s="441">
        <v>304075.09714814706</v>
      </c>
      <c r="H227" s="73">
        <v>105260.11867233156</v>
      </c>
      <c r="I227" s="5">
        <v>29.3</v>
      </c>
      <c r="J227" s="5">
        <v>5338.27</v>
      </c>
      <c r="K227" s="446"/>
      <c r="L227" s="5">
        <v>0</v>
      </c>
      <c r="M227" s="5">
        <v>1355.72</v>
      </c>
      <c r="N227" s="449"/>
      <c r="O227" s="5">
        <v>0</v>
      </c>
      <c r="P227" s="5">
        <v>0</v>
      </c>
      <c r="Q227" s="447"/>
      <c r="R227" s="5">
        <v>8</v>
      </c>
      <c r="S227" s="5">
        <v>127204.27</v>
      </c>
      <c r="T227" s="456"/>
      <c r="U227" s="5">
        <v>6544</v>
      </c>
      <c r="V227" s="5">
        <v>0</v>
      </c>
      <c r="W227" s="5">
        <v>3</v>
      </c>
      <c r="X227" s="5">
        <v>8920.5471481470722</v>
      </c>
      <c r="Y227" s="5">
        <v>116367</v>
      </c>
      <c r="Z227" s="5">
        <v>0</v>
      </c>
      <c r="AA227" s="5">
        <v>0</v>
      </c>
      <c r="AB227" s="5">
        <v>14436.48</v>
      </c>
      <c r="AC227" s="5">
        <v>7123.11</v>
      </c>
      <c r="AD227" s="5">
        <v>16785.7</v>
      </c>
      <c r="AE227" s="5">
        <v>7997.8581092359746</v>
      </c>
      <c r="AF227" s="5">
        <v>9249.85</v>
      </c>
      <c r="AG227" s="454"/>
      <c r="AH227" s="5">
        <v>9017.9656830411004</v>
      </c>
      <c r="AI227" s="5">
        <v>12438.76</v>
      </c>
      <c r="AJ227" s="454"/>
      <c r="AK227" s="5">
        <v>5212.1357237959128</v>
      </c>
      <c r="AL227" s="5">
        <v>27765</v>
      </c>
      <c r="AM227" s="454"/>
      <c r="AN227" s="5">
        <v>7178.7275086778473</v>
      </c>
      <c r="AO227" s="5">
        <v>583.79</v>
      </c>
      <c r="AP227" s="5"/>
      <c r="AQ227" s="5">
        <v>3233.0294454762943</v>
      </c>
      <c r="AR227" s="5">
        <v>7255</v>
      </c>
      <c r="AS227" s="454"/>
      <c r="AT227" s="5">
        <v>8864.9145875102731</v>
      </c>
      <c r="AU227" s="5">
        <v>1700</v>
      </c>
      <c r="AV227" s="5"/>
      <c r="AW227" s="5">
        <v>1309.3481882702081</v>
      </c>
      <c r="AX227" s="5">
        <v>0</v>
      </c>
      <c r="AY227" s="5"/>
      <c r="AZ227" s="40">
        <v>42813.979246007613</v>
      </c>
      <c r="BA227" s="40">
        <v>58992.4</v>
      </c>
      <c r="BB227" s="55">
        <v>16178.420753992388</v>
      </c>
      <c r="BD227" s="2">
        <v>1</v>
      </c>
      <c r="BF227" s="325">
        <v>150000938</v>
      </c>
    </row>
    <row r="228" spans="1:58" ht="25.05" customHeight="1" x14ac:dyDescent="0.3">
      <c r="A228" s="325">
        <v>150000925</v>
      </c>
      <c r="B228" s="445" t="s">
        <v>177</v>
      </c>
      <c r="C228" s="27">
        <v>2</v>
      </c>
      <c r="D228" s="101" t="s">
        <v>455</v>
      </c>
      <c r="E228" s="279">
        <v>479.4</v>
      </c>
      <c r="F228" s="441">
        <v>6777.1487621123388</v>
      </c>
      <c r="G228" s="441">
        <v>8601</v>
      </c>
      <c r="H228" s="73">
        <v>1823.8512378876612</v>
      </c>
      <c r="I228" s="5">
        <v>0</v>
      </c>
      <c r="J228" s="5">
        <v>8340</v>
      </c>
      <c r="K228" s="446"/>
      <c r="L228" s="5">
        <v>0</v>
      </c>
      <c r="M228" s="5">
        <v>0</v>
      </c>
      <c r="N228" s="35"/>
      <c r="O228" s="5">
        <v>0</v>
      </c>
      <c r="P228" s="5">
        <v>0</v>
      </c>
      <c r="Q228" s="447"/>
      <c r="R228" s="5">
        <v>0</v>
      </c>
      <c r="S228" s="5">
        <v>0</v>
      </c>
      <c r="T228" s="448"/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261</v>
      </c>
      <c r="AE228" s="5">
        <v>611.71307166220936</v>
      </c>
      <c r="AF228" s="5">
        <v>0</v>
      </c>
      <c r="AG228" s="8"/>
      <c r="AH228" s="5">
        <v>867.48208759137788</v>
      </c>
      <c r="AI228" s="5">
        <v>0</v>
      </c>
      <c r="AJ228" s="5"/>
      <c r="AK228" s="5">
        <v>286.20231864808278</v>
      </c>
      <c r="AL228" s="5">
        <v>0</v>
      </c>
      <c r="AM228" s="5"/>
      <c r="AN228" s="5">
        <v>0</v>
      </c>
      <c r="AO228" s="5">
        <v>0</v>
      </c>
      <c r="AP228" s="5"/>
      <c r="AQ228" s="5">
        <v>0</v>
      </c>
      <c r="AR228" s="5">
        <v>0</v>
      </c>
      <c r="AS228" s="5"/>
      <c r="AT228" s="5">
        <v>110.09829986336118</v>
      </c>
      <c r="AU228" s="5">
        <v>704</v>
      </c>
      <c r="AV228" s="5"/>
      <c r="AW228" s="5">
        <v>12.744</v>
      </c>
      <c r="AX228" s="5">
        <v>0</v>
      </c>
      <c r="AY228" s="5"/>
      <c r="AZ228" s="40">
        <v>1888.2397777650312</v>
      </c>
      <c r="BA228" s="40">
        <v>704</v>
      </c>
      <c r="BB228" s="55">
        <v>-1184.2397777650312</v>
      </c>
      <c r="BD228" s="2">
        <v>2</v>
      </c>
      <c r="BF228" s="325">
        <v>150000925</v>
      </c>
    </row>
    <row r="229" spans="1:58" ht="25.05" customHeight="1" x14ac:dyDescent="0.3">
      <c r="A229" s="325">
        <v>150000939</v>
      </c>
      <c r="B229" s="445" t="s">
        <v>337</v>
      </c>
      <c r="C229" s="27">
        <v>8</v>
      </c>
      <c r="D229" s="101" t="s">
        <v>455</v>
      </c>
      <c r="E229" s="279">
        <v>5138.55</v>
      </c>
      <c r="F229" s="441">
        <v>74315.918716563101</v>
      </c>
      <c r="G229" s="441">
        <v>138654.54999999999</v>
      </c>
      <c r="H229" s="73">
        <v>64338.631283436887</v>
      </c>
      <c r="I229" s="5">
        <v>26</v>
      </c>
      <c r="J229" s="5">
        <v>4178.58</v>
      </c>
      <c r="K229" s="446"/>
      <c r="L229" s="5">
        <v>0</v>
      </c>
      <c r="M229" s="5">
        <v>0</v>
      </c>
      <c r="N229" s="35"/>
      <c r="O229" s="5">
        <v>0</v>
      </c>
      <c r="P229" s="5">
        <v>0</v>
      </c>
      <c r="Q229" s="447"/>
      <c r="R229" s="5">
        <v>4</v>
      </c>
      <c r="S229" s="5">
        <v>33372</v>
      </c>
      <c r="T229" s="448"/>
      <c r="U229" s="5">
        <v>1486</v>
      </c>
      <c r="V229" s="5">
        <v>0</v>
      </c>
      <c r="W229" s="5">
        <v>0</v>
      </c>
      <c r="X229" s="5">
        <v>0</v>
      </c>
      <c r="Y229" s="5">
        <v>1160.74</v>
      </c>
      <c r="Z229" s="5">
        <v>0</v>
      </c>
      <c r="AA229" s="5">
        <v>0</v>
      </c>
      <c r="AB229" s="5">
        <v>0</v>
      </c>
      <c r="AC229" s="5">
        <v>90931.17</v>
      </c>
      <c r="AD229" s="5">
        <v>7526.0599999999995</v>
      </c>
      <c r="AE229" s="5">
        <v>1804.7210270940438</v>
      </c>
      <c r="AF229" s="5">
        <v>604.39</v>
      </c>
      <c r="AG229" s="5"/>
      <c r="AH229" s="5">
        <v>2143.7071831792032</v>
      </c>
      <c r="AI229" s="5">
        <v>4953</v>
      </c>
      <c r="AJ229" s="5"/>
      <c r="AK229" s="5">
        <v>1593.585126323763</v>
      </c>
      <c r="AL229" s="5">
        <v>0</v>
      </c>
      <c r="AM229" s="5"/>
      <c r="AN229" s="5">
        <v>1860.9704809265693</v>
      </c>
      <c r="AO229" s="5">
        <v>440</v>
      </c>
      <c r="AP229" s="5"/>
      <c r="AQ229" s="5">
        <v>2323.4734035448423</v>
      </c>
      <c r="AR229" s="5">
        <v>0</v>
      </c>
      <c r="AS229" s="5"/>
      <c r="AT229" s="5">
        <v>1019.1169759093248</v>
      </c>
      <c r="AU229" s="5">
        <v>0</v>
      </c>
      <c r="AV229" s="5"/>
      <c r="AW229" s="5">
        <v>547.73306069757075</v>
      </c>
      <c r="AX229" s="5">
        <v>0</v>
      </c>
      <c r="AY229" s="5"/>
      <c r="AZ229" s="40">
        <v>11293.307257675317</v>
      </c>
      <c r="BA229" s="40">
        <v>5997.39</v>
      </c>
      <c r="BB229" s="55">
        <v>-5295.9172576753163</v>
      </c>
      <c r="BD229" s="2">
        <v>1</v>
      </c>
      <c r="BF229" s="325">
        <v>150000939</v>
      </c>
    </row>
    <row r="230" spans="1:58" ht="25.05" customHeight="1" x14ac:dyDescent="0.3">
      <c r="A230" s="325">
        <v>150000926</v>
      </c>
      <c r="B230" s="445" t="s">
        <v>178</v>
      </c>
      <c r="C230" s="27">
        <v>2</v>
      </c>
      <c r="D230" s="101" t="s">
        <v>455</v>
      </c>
      <c r="E230" s="279">
        <v>404.5</v>
      </c>
      <c r="F230" s="441">
        <v>6354.6021044243898</v>
      </c>
      <c r="G230" s="441">
        <v>261</v>
      </c>
      <c r="H230" s="73">
        <v>-6093.6021044243898</v>
      </c>
      <c r="I230" s="5">
        <v>0</v>
      </c>
      <c r="J230" s="5">
        <v>0</v>
      </c>
      <c r="K230" s="446"/>
      <c r="L230" s="5">
        <v>0</v>
      </c>
      <c r="M230" s="5">
        <v>0</v>
      </c>
      <c r="N230" s="35"/>
      <c r="O230" s="5">
        <v>0</v>
      </c>
      <c r="P230" s="5">
        <v>0</v>
      </c>
      <c r="Q230" s="447"/>
      <c r="R230" s="5">
        <v>0</v>
      </c>
      <c r="S230" s="5">
        <v>0</v>
      </c>
      <c r="T230" s="448"/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261</v>
      </c>
      <c r="AE230" s="5">
        <v>418.8642711616543</v>
      </c>
      <c r="AF230" s="5">
        <v>0</v>
      </c>
      <c r="AG230" s="5"/>
      <c r="AH230" s="5">
        <v>867.48208759137788</v>
      </c>
      <c r="AI230" s="5">
        <v>0</v>
      </c>
      <c r="AJ230" s="5"/>
      <c r="AK230" s="5">
        <v>0</v>
      </c>
      <c r="AL230" s="5">
        <v>0</v>
      </c>
      <c r="AM230" s="5"/>
      <c r="AN230" s="5">
        <v>0</v>
      </c>
      <c r="AO230" s="5">
        <v>0</v>
      </c>
      <c r="AP230" s="5"/>
      <c r="AQ230" s="5">
        <v>0</v>
      </c>
      <c r="AR230" s="5">
        <v>0</v>
      </c>
      <c r="AS230" s="5"/>
      <c r="AT230" s="5">
        <v>110.09829986336118</v>
      </c>
      <c r="AU230" s="5">
        <v>0</v>
      </c>
      <c r="AV230" s="5"/>
      <c r="AW230" s="5">
        <v>12.147000000000002</v>
      </c>
      <c r="AX230" s="5">
        <v>0</v>
      </c>
      <c r="AY230" s="5"/>
      <c r="AZ230" s="40">
        <v>1408.5916586163935</v>
      </c>
      <c r="BA230" s="40">
        <v>0</v>
      </c>
      <c r="BB230" s="55">
        <v>-1408.5916586163935</v>
      </c>
      <c r="BD230" s="2">
        <v>2</v>
      </c>
      <c r="BF230" s="325">
        <v>150000926</v>
      </c>
    </row>
    <row r="231" spans="1:58" ht="25.05" customHeight="1" x14ac:dyDescent="0.3">
      <c r="A231" s="325">
        <v>150000940</v>
      </c>
      <c r="B231" s="445" t="s">
        <v>377</v>
      </c>
      <c r="C231" s="27">
        <v>9</v>
      </c>
      <c r="D231" s="101" t="s">
        <v>455</v>
      </c>
      <c r="E231" s="279">
        <v>7450.81</v>
      </c>
      <c r="F231" s="441">
        <v>103276.43328330321</v>
      </c>
      <c r="G231" s="441">
        <v>27265.260000000002</v>
      </c>
      <c r="H231" s="73">
        <v>-76011.173283303215</v>
      </c>
      <c r="I231" s="5">
        <v>0</v>
      </c>
      <c r="J231" s="5">
        <v>0</v>
      </c>
      <c r="K231" s="446"/>
      <c r="L231" s="5">
        <v>0</v>
      </c>
      <c r="M231" s="5">
        <v>0</v>
      </c>
      <c r="N231" s="449"/>
      <c r="O231" s="5">
        <v>30</v>
      </c>
      <c r="P231" s="5">
        <v>4960</v>
      </c>
      <c r="Q231" s="447"/>
      <c r="R231" s="5">
        <v>2</v>
      </c>
      <c r="S231" s="5">
        <v>4860</v>
      </c>
      <c r="T231" s="451"/>
      <c r="U231" s="5">
        <v>0</v>
      </c>
      <c r="V231" s="5">
        <v>0</v>
      </c>
      <c r="W231" s="5">
        <v>0</v>
      </c>
      <c r="X231" s="5">
        <v>0</v>
      </c>
      <c r="Y231" s="5">
        <v>9094</v>
      </c>
      <c r="Z231" s="5">
        <v>0</v>
      </c>
      <c r="AA231" s="5">
        <v>0</v>
      </c>
      <c r="AB231" s="5">
        <v>1113</v>
      </c>
      <c r="AC231" s="5">
        <v>2750</v>
      </c>
      <c r="AD231" s="5">
        <v>4488.26</v>
      </c>
      <c r="AE231" s="5">
        <v>3325.0400613993606</v>
      </c>
      <c r="AF231" s="5">
        <v>4234.3</v>
      </c>
      <c r="AG231" s="5"/>
      <c r="AH231" s="5">
        <v>4057.8817809159877</v>
      </c>
      <c r="AI231" s="5">
        <v>7468.02</v>
      </c>
      <c r="AJ231" s="5"/>
      <c r="AK231" s="5">
        <v>3055.1091741112809</v>
      </c>
      <c r="AL231" s="5">
        <v>961</v>
      </c>
      <c r="AM231" s="5"/>
      <c r="AN231" s="5">
        <v>3167.2652089626172</v>
      </c>
      <c r="AO231" s="5">
        <v>6896</v>
      </c>
      <c r="AP231" s="5"/>
      <c r="AQ231" s="5">
        <v>1385.6021579763128</v>
      </c>
      <c r="AR231" s="5">
        <v>2266</v>
      </c>
      <c r="AS231" s="5"/>
      <c r="AT231" s="5">
        <v>3346.2609586105059</v>
      </c>
      <c r="AU231" s="5">
        <v>0</v>
      </c>
      <c r="AV231" s="5"/>
      <c r="AW231" s="5">
        <v>794.32735148531663</v>
      </c>
      <c r="AX231" s="5">
        <v>0</v>
      </c>
      <c r="AY231" s="5"/>
      <c r="AZ231" s="40">
        <v>19131.486693461382</v>
      </c>
      <c r="BA231" s="40">
        <v>21825.32</v>
      </c>
      <c r="BB231" s="55">
        <v>2693.8333065386178</v>
      </c>
      <c r="BD231" s="2">
        <v>1</v>
      </c>
      <c r="BF231" s="325">
        <v>150000940</v>
      </c>
    </row>
    <row r="232" spans="1:58" ht="25.05" customHeight="1" x14ac:dyDescent="0.3">
      <c r="A232" s="325">
        <v>150000941</v>
      </c>
      <c r="B232" s="445" t="s">
        <v>338</v>
      </c>
      <c r="C232" s="27">
        <v>8</v>
      </c>
      <c r="D232" s="101" t="s">
        <v>455</v>
      </c>
      <c r="E232" s="279">
        <v>6120.05</v>
      </c>
      <c r="F232" s="441">
        <v>103567.36916637527</v>
      </c>
      <c r="G232" s="441">
        <v>37180.31</v>
      </c>
      <c r="H232" s="73">
        <v>-66387.059166375271</v>
      </c>
      <c r="I232" s="5">
        <v>0</v>
      </c>
      <c r="J232" s="5">
        <v>0</v>
      </c>
      <c r="K232" s="446"/>
      <c r="L232" s="5">
        <v>0</v>
      </c>
      <c r="M232" s="5">
        <v>0</v>
      </c>
      <c r="N232" s="35"/>
      <c r="O232" s="5">
        <v>0</v>
      </c>
      <c r="P232" s="5">
        <v>0</v>
      </c>
      <c r="Q232" s="447"/>
      <c r="R232" s="5">
        <v>1</v>
      </c>
      <c r="S232" s="5">
        <v>27201</v>
      </c>
      <c r="T232" s="456"/>
      <c r="U232" s="5">
        <v>0</v>
      </c>
      <c r="V232" s="5">
        <v>0</v>
      </c>
      <c r="W232" s="5">
        <v>0</v>
      </c>
      <c r="X232" s="5">
        <v>0</v>
      </c>
      <c r="Y232" s="5">
        <v>3890.5</v>
      </c>
      <c r="Z232" s="5">
        <v>0</v>
      </c>
      <c r="AA232" s="5">
        <v>0</v>
      </c>
      <c r="AB232" s="5">
        <v>830.04</v>
      </c>
      <c r="AC232" s="5">
        <v>0</v>
      </c>
      <c r="AD232" s="5">
        <v>5258.77</v>
      </c>
      <c r="AE232" s="5">
        <v>1412.2363512107238</v>
      </c>
      <c r="AF232" s="5">
        <v>1266</v>
      </c>
      <c r="AG232" s="5"/>
      <c r="AH232" s="5">
        <v>2349.1309196686498</v>
      </c>
      <c r="AI232" s="5">
        <v>12666</v>
      </c>
      <c r="AJ232" s="5"/>
      <c r="AK232" s="5">
        <v>1031.7133295988251</v>
      </c>
      <c r="AL232" s="5">
        <v>0</v>
      </c>
      <c r="AM232" s="5"/>
      <c r="AN232" s="5">
        <v>2239.0876112988994</v>
      </c>
      <c r="AO232" s="5">
        <v>0</v>
      </c>
      <c r="AP232" s="5"/>
      <c r="AQ232" s="5">
        <v>1125.1844167383949</v>
      </c>
      <c r="AR232" s="5">
        <v>0</v>
      </c>
      <c r="AS232" s="5"/>
      <c r="AT232" s="5">
        <v>1862.5981891330657</v>
      </c>
      <c r="AU232" s="5">
        <v>0</v>
      </c>
      <c r="AV232" s="5"/>
      <c r="AW232" s="5">
        <v>1003.3962301704435</v>
      </c>
      <c r="AX232" s="5">
        <v>0</v>
      </c>
      <c r="AY232" s="5"/>
      <c r="AZ232" s="40">
        <v>11023.347047819001</v>
      </c>
      <c r="BA232" s="40">
        <v>13932</v>
      </c>
      <c r="BB232" s="55">
        <v>2908.6529521809989</v>
      </c>
      <c r="BD232" s="2">
        <v>1</v>
      </c>
      <c r="BF232" s="325">
        <v>150000941</v>
      </c>
    </row>
    <row r="233" spans="1:58" ht="25.05" customHeight="1" x14ac:dyDescent="0.3">
      <c r="A233" s="325">
        <v>150000957</v>
      </c>
      <c r="B233" s="445" t="s">
        <v>378</v>
      </c>
      <c r="C233" s="27">
        <v>9</v>
      </c>
      <c r="D233" s="101" t="s">
        <v>455</v>
      </c>
      <c r="E233" s="279">
        <v>2163.8200000000002</v>
      </c>
      <c r="F233" s="441">
        <v>28580.160593725061</v>
      </c>
      <c r="G233" s="441">
        <v>14232.334539114996</v>
      </c>
      <c r="H233" s="73">
        <v>-14347.826054610065</v>
      </c>
      <c r="I233" s="5">
        <v>0</v>
      </c>
      <c r="J233" s="5">
        <v>0</v>
      </c>
      <c r="K233" s="446"/>
      <c r="L233" s="5">
        <v>0</v>
      </c>
      <c r="M233" s="5">
        <v>0</v>
      </c>
      <c r="N233" s="35"/>
      <c r="O233" s="5">
        <v>0</v>
      </c>
      <c r="P233" s="5">
        <v>0</v>
      </c>
      <c r="Q233" s="447"/>
      <c r="R233" s="5">
        <v>0</v>
      </c>
      <c r="S233" s="5">
        <v>0</v>
      </c>
      <c r="T233" s="448"/>
      <c r="U233" s="5">
        <v>0</v>
      </c>
      <c r="V233" s="5">
        <v>0</v>
      </c>
      <c r="W233" s="5">
        <v>0</v>
      </c>
      <c r="X233" s="5">
        <v>540.46453911499475</v>
      </c>
      <c r="Y233" s="5">
        <v>332</v>
      </c>
      <c r="Z233" s="5">
        <v>0</v>
      </c>
      <c r="AA233" s="5">
        <v>0</v>
      </c>
      <c r="AB233" s="5">
        <v>1892.26</v>
      </c>
      <c r="AC233" s="5">
        <v>1147</v>
      </c>
      <c r="AD233" s="5">
        <v>10320.61</v>
      </c>
      <c r="AE233" s="5">
        <v>1226.6443481688591</v>
      </c>
      <c r="AF233" s="5">
        <v>1393.63</v>
      </c>
      <c r="AG233" s="454"/>
      <c r="AH233" s="5">
        <v>1382.1314617554399</v>
      </c>
      <c r="AI233" s="5">
        <v>0</v>
      </c>
      <c r="AJ233" s="454"/>
      <c r="AK233" s="5">
        <v>603.02792112590294</v>
      </c>
      <c r="AL233" s="5">
        <v>1440</v>
      </c>
      <c r="AM233" s="5"/>
      <c r="AN233" s="5">
        <v>1062.3671617176433</v>
      </c>
      <c r="AO233" s="5">
        <v>3349</v>
      </c>
      <c r="AP233" s="5"/>
      <c r="AQ233" s="5">
        <v>461.88860612830399</v>
      </c>
      <c r="AR233" s="5">
        <v>54</v>
      </c>
      <c r="AS233" s="5"/>
      <c r="AT233" s="5">
        <v>437.53913942016555</v>
      </c>
      <c r="AU233" s="5">
        <v>0</v>
      </c>
      <c r="AV233" s="8"/>
      <c r="AW233" s="5">
        <v>213.66436862462791</v>
      </c>
      <c r="AX233" s="5">
        <v>0</v>
      </c>
      <c r="AY233" s="5"/>
      <c r="AZ233" s="40">
        <v>5387.2630069409424</v>
      </c>
      <c r="BA233" s="40">
        <v>6236.63</v>
      </c>
      <c r="BB233" s="55">
        <v>849.36699305905768</v>
      </c>
      <c r="BD233" s="2">
        <v>1</v>
      </c>
      <c r="BF233" s="325">
        <v>150000957</v>
      </c>
    </row>
    <row r="234" spans="1:58" ht="25.05" customHeight="1" x14ac:dyDescent="0.3">
      <c r="A234" s="325">
        <v>150000960</v>
      </c>
      <c r="B234" s="445" t="s">
        <v>379</v>
      </c>
      <c r="C234" s="27">
        <v>9</v>
      </c>
      <c r="D234" s="101" t="s">
        <v>455</v>
      </c>
      <c r="E234" s="279">
        <v>4314</v>
      </c>
      <c r="F234" s="441">
        <v>53454.819867681996</v>
      </c>
      <c r="G234" s="441">
        <v>10050.950720106248</v>
      </c>
      <c r="H234" s="73">
        <v>-43403.869147575751</v>
      </c>
      <c r="I234" s="5">
        <v>0</v>
      </c>
      <c r="J234" s="5">
        <v>0</v>
      </c>
      <c r="K234" s="446"/>
      <c r="L234" s="5">
        <v>0</v>
      </c>
      <c r="M234" s="5">
        <v>0</v>
      </c>
      <c r="N234" s="35"/>
      <c r="O234" s="5">
        <v>0</v>
      </c>
      <c r="P234" s="5">
        <v>0</v>
      </c>
      <c r="Q234" s="447"/>
      <c r="R234" s="5">
        <v>3</v>
      </c>
      <c r="S234" s="5">
        <v>3050</v>
      </c>
      <c r="T234" s="451"/>
      <c r="U234" s="5">
        <v>0</v>
      </c>
      <c r="V234" s="5">
        <v>0</v>
      </c>
      <c r="W234" s="5">
        <v>6</v>
      </c>
      <c r="X234" s="5">
        <v>1533.7107201062486</v>
      </c>
      <c r="Y234" s="5">
        <v>945.84</v>
      </c>
      <c r="Z234" s="5">
        <v>0</v>
      </c>
      <c r="AA234" s="5">
        <v>0</v>
      </c>
      <c r="AB234" s="5">
        <v>1648.35</v>
      </c>
      <c r="AC234" s="5">
        <v>0</v>
      </c>
      <c r="AD234" s="5">
        <v>2873.05</v>
      </c>
      <c r="AE234" s="5">
        <v>2209.7354491535525</v>
      </c>
      <c r="AF234" s="5">
        <v>669</v>
      </c>
      <c r="AG234" s="8"/>
      <c r="AH234" s="5">
        <v>2525.0141731443018</v>
      </c>
      <c r="AI234" s="5">
        <v>4413.8999999999996</v>
      </c>
      <c r="AJ234" s="8"/>
      <c r="AK234" s="5">
        <v>1079.1656890324671</v>
      </c>
      <c r="AL234" s="5">
        <v>1584</v>
      </c>
      <c r="AM234" s="454"/>
      <c r="AN234" s="5">
        <v>1807.4384890784461</v>
      </c>
      <c r="AO234" s="5">
        <v>0</v>
      </c>
      <c r="AP234" s="5"/>
      <c r="AQ234" s="5">
        <v>864.34862386812631</v>
      </c>
      <c r="AR234" s="5">
        <v>0</v>
      </c>
      <c r="AS234" s="5"/>
      <c r="AT234" s="5">
        <v>998.34458454551361</v>
      </c>
      <c r="AU234" s="5">
        <v>0</v>
      </c>
      <c r="AV234" s="5"/>
      <c r="AW234" s="5">
        <v>443.6844361203523</v>
      </c>
      <c r="AX234" s="5">
        <v>0</v>
      </c>
      <c r="AY234" s="5"/>
      <c r="AZ234" s="40">
        <v>9927.7314449427613</v>
      </c>
      <c r="BA234" s="40">
        <v>6666.9</v>
      </c>
      <c r="BB234" s="55">
        <v>-3260.8314449427617</v>
      </c>
      <c r="BD234" s="2">
        <v>1</v>
      </c>
      <c r="BF234" s="325">
        <v>150000960</v>
      </c>
    </row>
    <row r="235" spans="1:58" ht="25.05" customHeight="1" x14ac:dyDescent="0.3">
      <c r="A235" s="325">
        <v>150000963</v>
      </c>
      <c r="B235" s="445" t="s">
        <v>380</v>
      </c>
      <c r="C235" s="27">
        <v>9</v>
      </c>
      <c r="D235" s="101" t="s">
        <v>455</v>
      </c>
      <c r="E235" s="279">
        <v>2140.7399999999998</v>
      </c>
      <c r="F235" s="441">
        <v>30342.340002094694</v>
      </c>
      <c r="G235" s="441">
        <v>19405.592372813011</v>
      </c>
      <c r="H235" s="73">
        <v>-10936.747629281683</v>
      </c>
      <c r="I235" s="5">
        <v>0</v>
      </c>
      <c r="J235" s="5">
        <v>0</v>
      </c>
      <c r="K235" s="450"/>
      <c r="L235" s="5">
        <v>0</v>
      </c>
      <c r="M235" s="5">
        <v>13408</v>
      </c>
      <c r="N235" s="35"/>
      <c r="O235" s="5">
        <v>0</v>
      </c>
      <c r="P235" s="5">
        <v>0</v>
      </c>
      <c r="Q235" s="447"/>
      <c r="R235" s="5">
        <v>0</v>
      </c>
      <c r="S235" s="5">
        <v>0</v>
      </c>
      <c r="T235" s="448"/>
      <c r="U235" s="5">
        <v>0</v>
      </c>
      <c r="V235" s="5">
        <v>0</v>
      </c>
      <c r="W235" s="5">
        <v>5</v>
      </c>
      <c r="X235" s="5">
        <v>1167.7523728130104</v>
      </c>
      <c r="Y235" s="5">
        <v>2203</v>
      </c>
      <c r="Z235" s="5">
        <v>0</v>
      </c>
      <c r="AA235" s="5">
        <v>0</v>
      </c>
      <c r="AB235" s="5">
        <v>1692.11</v>
      </c>
      <c r="AC235" s="5">
        <v>0</v>
      </c>
      <c r="AD235" s="5">
        <v>934.73</v>
      </c>
      <c r="AE235" s="5">
        <v>1226.6443481688591</v>
      </c>
      <c r="AF235" s="5">
        <v>279</v>
      </c>
      <c r="AG235" s="5"/>
      <c r="AH235" s="5">
        <v>1382.1314617554399</v>
      </c>
      <c r="AI235" s="5">
        <v>0</v>
      </c>
      <c r="AJ235" s="5"/>
      <c r="AK235" s="5">
        <v>585.39757384672521</v>
      </c>
      <c r="AL235" s="5">
        <v>0</v>
      </c>
      <c r="AM235" s="5"/>
      <c r="AN235" s="5">
        <v>1003.5979785421306</v>
      </c>
      <c r="AO235" s="5">
        <v>0</v>
      </c>
      <c r="AP235" s="5"/>
      <c r="AQ235" s="5">
        <v>461.88860612830399</v>
      </c>
      <c r="AR235" s="5">
        <v>0</v>
      </c>
      <c r="AS235" s="5"/>
      <c r="AT235" s="5">
        <v>437.53913942016555</v>
      </c>
      <c r="AU235" s="5">
        <v>0</v>
      </c>
      <c r="AV235" s="5"/>
      <c r="AW235" s="5">
        <v>155.04303146868628</v>
      </c>
      <c r="AX235" s="5">
        <v>0</v>
      </c>
      <c r="AY235" s="5"/>
      <c r="AZ235" s="40">
        <v>5252.2421393303102</v>
      </c>
      <c r="BA235" s="40">
        <v>279</v>
      </c>
      <c r="BB235" s="55">
        <v>-4973.2421393303102</v>
      </c>
      <c r="BD235" s="2">
        <v>1</v>
      </c>
      <c r="BF235" s="325">
        <v>150000963</v>
      </c>
    </row>
    <row r="236" spans="1:58" ht="25.05" customHeight="1" x14ac:dyDescent="0.3">
      <c r="A236" s="325">
        <v>150000927</v>
      </c>
      <c r="B236" s="445" t="s">
        <v>179</v>
      </c>
      <c r="C236" s="27">
        <v>2</v>
      </c>
      <c r="D236" s="101" t="s">
        <v>455</v>
      </c>
      <c r="E236" s="279">
        <v>602.9</v>
      </c>
      <c r="F236" s="441">
        <v>7359.6802027392678</v>
      </c>
      <c r="G236" s="441">
        <v>261</v>
      </c>
      <c r="H236" s="73">
        <v>-7098.6802027392678</v>
      </c>
      <c r="I236" s="5">
        <v>0</v>
      </c>
      <c r="J236" s="5">
        <v>0</v>
      </c>
      <c r="K236" s="446"/>
      <c r="L236" s="5">
        <v>0</v>
      </c>
      <c r="M236" s="5">
        <v>0</v>
      </c>
      <c r="N236" s="35"/>
      <c r="O236" s="5">
        <v>0</v>
      </c>
      <c r="P236" s="5">
        <v>0</v>
      </c>
      <c r="Q236" s="447"/>
      <c r="R236" s="5">
        <v>0</v>
      </c>
      <c r="S236" s="5">
        <v>0</v>
      </c>
      <c r="T236" s="448"/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261</v>
      </c>
      <c r="AE236" s="5">
        <v>728.97102432223767</v>
      </c>
      <c r="AF236" s="5">
        <v>0</v>
      </c>
      <c r="AG236" s="5"/>
      <c r="AH236" s="5">
        <v>1146.7958521121011</v>
      </c>
      <c r="AI236" s="5">
        <v>0</v>
      </c>
      <c r="AJ236" s="5"/>
      <c r="AK236" s="5">
        <v>416.50683624201031</v>
      </c>
      <c r="AL236" s="5">
        <v>0</v>
      </c>
      <c r="AM236" s="5"/>
      <c r="AN236" s="5">
        <v>0</v>
      </c>
      <c r="AO236" s="5">
        <v>0</v>
      </c>
      <c r="AP236" s="5"/>
      <c r="AQ236" s="5">
        <v>0</v>
      </c>
      <c r="AR236" s="5">
        <v>0</v>
      </c>
      <c r="AS236" s="5"/>
      <c r="AT236" s="5">
        <v>110.09836158969283</v>
      </c>
      <c r="AU236" s="5">
        <v>0</v>
      </c>
      <c r="AV236" s="5"/>
      <c r="AW236" s="5">
        <v>21.285</v>
      </c>
      <c r="AX236" s="5">
        <v>2668</v>
      </c>
      <c r="AY236" s="5"/>
      <c r="AZ236" s="40">
        <v>2423.6570742660419</v>
      </c>
      <c r="BA236" s="40">
        <v>2668</v>
      </c>
      <c r="BB236" s="55">
        <v>244.34292573395805</v>
      </c>
      <c r="BD236" s="2">
        <v>2</v>
      </c>
      <c r="BF236" s="325">
        <v>150000927</v>
      </c>
    </row>
    <row r="237" spans="1:58" ht="25.05" customHeight="1" x14ac:dyDescent="0.3">
      <c r="A237" s="325">
        <v>150000958</v>
      </c>
      <c r="B237" s="445" t="s">
        <v>381</v>
      </c>
      <c r="C237" s="27">
        <v>9</v>
      </c>
      <c r="D237" s="101" t="s">
        <v>455</v>
      </c>
      <c r="E237" s="279">
        <v>2135.1</v>
      </c>
      <c r="F237" s="441">
        <v>28712.241429687445</v>
      </c>
      <c r="G237" s="441">
        <v>3917.6858982504086</v>
      </c>
      <c r="H237" s="73">
        <v>-24794.555531437036</v>
      </c>
      <c r="I237" s="5">
        <v>0</v>
      </c>
      <c r="J237" s="5">
        <v>0</v>
      </c>
      <c r="K237" s="446"/>
      <c r="L237" s="5">
        <v>0</v>
      </c>
      <c r="M237" s="5">
        <v>0</v>
      </c>
      <c r="N237" s="35"/>
      <c r="O237" s="5">
        <v>0</v>
      </c>
      <c r="P237" s="5">
        <v>0</v>
      </c>
      <c r="Q237" s="447"/>
      <c r="R237" s="5">
        <v>0</v>
      </c>
      <c r="S237" s="5">
        <v>0</v>
      </c>
      <c r="T237" s="448"/>
      <c r="U237" s="5">
        <v>0</v>
      </c>
      <c r="V237" s="5">
        <v>0</v>
      </c>
      <c r="W237" s="5">
        <v>0</v>
      </c>
      <c r="X237" s="5">
        <v>186.30589825040852</v>
      </c>
      <c r="Y237" s="5">
        <v>2747</v>
      </c>
      <c r="Z237" s="5">
        <v>0</v>
      </c>
      <c r="AA237" s="5">
        <v>0</v>
      </c>
      <c r="AB237" s="5">
        <v>171.38</v>
      </c>
      <c r="AC237" s="5">
        <v>0</v>
      </c>
      <c r="AD237" s="5">
        <v>813</v>
      </c>
      <c r="AE237" s="5">
        <v>1226.6443481688591</v>
      </c>
      <c r="AF237" s="5">
        <v>668</v>
      </c>
      <c r="AG237" s="5"/>
      <c r="AH237" s="5">
        <v>1382.1314617554399</v>
      </c>
      <c r="AI237" s="5">
        <v>1263</v>
      </c>
      <c r="AJ237" s="5"/>
      <c r="AK237" s="5">
        <v>573.50085423152507</v>
      </c>
      <c r="AL237" s="5">
        <v>0</v>
      </c>
      <c r="AM237" s="5"/>
      <c r="AN237" s="5">
        <v>973.70682541737551</v>
      </c>
      <c r="AO237" s="5">
        <v>429</v>
      </c>
      <c r="AP237" s="5"/>
      <c r="AQ237" s="5">
        <v>461.88860612830399</v>
      </c>
      <c r="AR237" s="5">
        <v>0</v>
      </c>
      <c r="AS237" s="5"/>
      <c r="AT237" s="5">
        <v>437.53913942016555</v>
      </c>
      <c r="AU237" s="5">
        <v>459</v>
      </c>
      <c r="AV237" s="5"/>
      <c r="AW237" s="5">
        <v>287.73334268025178</v>
      </c>
      <c r="AX237" s="5">
        <v>2092.6</v>
      </c>
      <c r="AY237" s="5"/>
      <c r="AZ237" s="40">
        <v>5343.1445778019206</v>
      </c>
      <c r="BA237" s="40">
        <v>4911.6000000000004</v>
      </c>
      <c r="BB237" s="55">
        <v>-431.54457780192024</v>
      </c>
      <c r="BD237" s="2">
        <v>1</v>
      </c>
      <c r="BF237" s="325">
        <v>150000958</v>
      </c>
    </row>
    <row r="238" spans="1:58" ht="25.05" customHeight="1" x14ac:dyDescent="0.3">
      <c r="A238" s="325">
        <v>150000961</v>
      </c>
      <c r="B238" s="445" t="s">
        <v>382</v>
      </c>
      <c r="C238" s="27">
        <v>9</v>
      </c>
      <c r="D238" s="101" t="s">
        <v>455</v>
      </c>
      <c r="E238" s="279">
        <v>4349.8999999999996</v>
      </c>
      <c r="F238" s="441">
        <v>52237.020617737253</v>
      </c>
      <c r="G238" s="441">
        <v>17247.000739911608</v>
      </c>
      <c r="H238" s="73">
        <v>-34990.019877825645</v>
      </c>
      <c r="I238" s="5">
        <v>17.3</v>
      </c>
      <c r="J238" s="5">
        <v>3315</v>
      </c>
      <c r="K238" s="446"/>
      <c r="L238" s="5">
        <v>0</v>
      </c>
      <c r="M238" s="5">
        <v>0</v>
      </c>
      <c r="N238" s="451"/>
      <c r="O238" s="5">
        <v>0</v>
      </c>
      <c r="P238" s="5">
        <v>0</v>
      </c>
      <c r="Q238" s="447"/>
      <c r="R238" s="5">
        <v>0</v>
      </c>
      <c r="S238" s="5">
        <v>0</v>
      </c>
      <c r="T238" s="451"/>
      <c r="U238" s="5">
        <v>0</v>
      </c>
      <c r="V238" s="5">
        <v>0</v>
      </c>
      <c r="W238" s="5">
        <v>25</v>
      </c>
      <c r="X238" s="5">
        <v>12441.000739911608</v>
      </c>
      <c r="Y238" s="5">
        <v>0</v>
      </c>
      <c r="Z238" s="5">
        <v>0</v>
      </c>
      <c r="AA238" s="5">
        <v>0</v>
      </c>
      <c r="AB238" s="5">
        <v>0</v>
      </c>
      <c r="AC238" s="5">
        <v>1063</v>
      </c>
      <c r="AD238" s="5">
        <v>428</v>
      </c>
      <c r="AE238" s="5">
        <v>2392.8109569443159</v>
      </c>
      <c r="AF238" s="5">
        <v>0</v>
      </c>
      <c r="AG238" s="5"/>
      <c r="AH238" s="5">
        <v>2764.2629235108766</v>
      </c>
      <c r="AI238" s="5">
        <v>0</v>
      </c>
      <c r="AJ238" s="5"/>
      <c r="AK238" s="5">
        <v>1283.8032071505154</v>
      </c>
      <c r="AL238" s="5">
        <v>1584</v>
      </c>
      <c r="AM238" s="454"/>
      <c r="AN238" s="5">
        <v>1882.9548168321096</v>
      </c>
      <c r="AO238" s="5">
        <v>0</v>
      </c>
      <c r="AP238" s="5"/>
      <c r="AQ238" s="5">
        <v>923.71373565197098</v>
      </c>
      <c r="AR238" s="5">
        <v>0</v>
      </c>
      <c r="AS238" s="5"/>
      <c r="AT238" s="5">
        <v>1088.5000157116863</v>
      </c>
      <c r="AU238" s="5">
        <v>0</v>
      </c>
      <c r="AV238" s="5"/>
      <c r="AW238" s="5">
        <v>306.54483674616716</v>
      </c>
      <c r="AX238" s="5">
        <v>4198.8500000000004</v>
      </c>
      <c r="AY238" s="5"/>
      <c r="AZ238" s="40">
        <v>10642.590492547641</v>
      </c>
      <c r="BA238" s="40">
        <v>5782.85</v>
      </c>
      <c r="BB238" s="55">
        <v>-4859.7404925476403</v>
      </c>
      <c r="BD238" s="2">
        <v>1</v>
      </c>
      <c r="BF238" s="325">
        <v>150000961</v>
      </c>
    </row>
    <row r="239" spans="1:58" ht="25.05" customHeight="1" x14ac:dyDescent="0.3">
      <c r="A239" s="325">
        <v>150000964</v>
      </c>
      <c r="B239" s="445" t="s">
        <v>383</v>
      </c>
      <c r="C239" s="27">
        <v>9</v>
      </c>
      <c r="D239" s="101" t="s">
        <v>455</v>
      </c>
      <c r="E239" s="279">
        <v>2131.85</v>
      </c>
      <c r="F239" s="441">
        <v>26357.402274065891</v>
      </c>
      <c r="G239" s="441">
        <v>21751.888773828137</v>
      </c>
      <c r="H239" s="73">
        <v>-4605.5135002377538</v>
      </c>
      <c r="I239" s="5">
        <v>0</v>
      </c>
      <c r="J239" s="5">
        <v>0</v>
      </c>
      <c r="K239" s="446"/>
      <c r="L239" s="5">
        <v>0</v>
      </c>
      <c r="M239" s="5">
        <v>0</v>
      </c>
      <c r="N239" s="35"/>
      <c r="O239" s="5">
        <v>0</v>
      </c>
      <c r="P239" s="5">
        <v>0</v>
      </c>
      <c r="Q239" s="447"/>
      <c r="R239" s="5">
        <v>1</v>
      </c>
      <c r="S239" s="5">
        <v>2467</v>
      </c>
      <c r="T239" s="448"/>
      <c r="U239" s="5">
        <v>0</v>
      </c>
      <c r="V239" s="5">
        <v>0</v>
      </c>
      <c r="W239" s="5">
        <v>0</v>
      </c>
      <c r="X239" s="5">
        <v>74.078773828138637</v>
      </c>
      <c r="Y239" s="5">
        <v>12130.81</v>
      </c>
      <c r="Z239" s="5">
        <v>0</v>
      </c>
      <c r="AA239" s="5">
        <v>0</v>
      </c>
      <c r="AB239" s="5">
        <v>0</v>
      </c>
      <c r="AC239" s="5">
        <v>5963</v>
      </c>
      <c r="AD239" s="5">
        <v>1117</v>
      </c>
      <c r="AE239" s="5">
        <v>939.20222708135123</v>
      </c>
      <c r="AF239" s="5">
        <v>1058.5</v>
      </c>
      <c r="AG239" s="5"/>
      <c r="AH239" s="5">
        <v>1023.2583362055743</v>
      </c>
      <c r="AI239" s="5">
        <v>2182</v>
      </c>
      <c r="AJ239" s="5"/>
      <c r="AK239" s="5">
        <v>404.59295265986242</v>
      </c>
      <c r="AL239" s="5">
        <v>1440</v>
      </c>
      <c r="AM239" s="5"/>
      <c r="AN239" s="5">
        <v>806.16314548270066</v>
      </c>
      <c r="AO239" s="5">
        <v>0</v>
      </c>
      <c r="AP239" s="5"/>
      <c r="AQ239" s="5">
        <v>372.8409384525375</v>
      </c>
      <c r="AR239" s="5">
        <v>0</v>
      </c>
      <c r="AS239" s="5"/>
      <c r="AT239" s="5">
        <v>319.74814754856186</v>
      </c>
      <c r="AU239" s="5">
        <v>0</v>
      </c>
      <c r="AV239" s="5"/>
      <c r="AW239" s="5">
        <v>155.04303146868628</v>
      </c>
      <c r="AX239" s="5">
        <v>2092.6</v>
      </c>
      <c r="AY239" s="5"/>
      <c r="AZ239" s="40">
        <v>4020.8487788992747</v>
      </c>
      <c r="BA239" s="40">
        <v>6773.1</v>
      </c>
      <c r="BB239" s="55">
        <v>2752.2512211007256</v>
      </c>
      <c r="BD239" s="2">
        <v>1</v>
      </c>
      <c r="BF239" s="325">
        <v>150000964</v>
      </c>
    </row>
    <row r="240" spans="1:58" ht="25.05" customHeight="1" x14ac:dyDescent="0.3">
      <c r="A240" s="325">
        <v>150000943</v>
      </c>
      <c r="B240" s="445" t="s">
        <v>123</v>
      </c>
      <c r="C240" s="27">
        <v>1</v>
      </c>
      <c r="D240" s="101" t="s">
        <v>455</v>
      </c>
      <c r="E240" s="279">
        <v>105</v>
      </c>
      <c r="F240" s="441">
        <v>1396.5173658766948</v>
      </c>
      <c r="G240" s="441">
        <v>2023</v>
      </c>
      <c r="H240" s="73">
        <v>626.48263412330516</v>
      </c>
      <c r="I240" s="5">
        <v>0</v>
      </c>
      <c r="J240" s="5">
        <v>2023</v>
      </c>
      <c r="K240" s="446"/>
      <c r="L240" s="5">
        <v>0</v>
      </c>
      <c r="M240" s="5">
        <v>0</v>
      </c>
      <c r="N240" s="35"/>
      <c r="O240" s="5">
        <v>0</v>
      </c>
      <c r="P240" s="5">
        <v>0</v>
      </c>
      <c r="Q240" s="447"/>
      <c r="R240" s="5">
        <v>0</v>
      </c>
      <c r="S240" s="5">
        <v>0</v>
      </c>
      <c r="T240" s="448"/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/>
      <c r="AH240" s="5">
        <v>0</v>
      </c>
      <c r="AI240" s="5">
        <v>0</v>
      </c>
      <c r="AJ240" s="5"/>
      <c r="AK240" s="5">
        <v>0</v>
      </c>
      <c r="AL240" s="5">
        <v>0</v>
      </c>
      <c r="AM240" s="5"/>
      <c r="AN240" s="5">
        <v>0</v>
      </c>
      <c r="AO240" s="5">
        <v>0</v>
      </c>
      <c r="AP240" s="5"/>
      <c r="AQ240" s="5">
        <v>0</v>
      </c>
      <c r="AR240" s="5">
        <v>0</v>
      </c>
      <c r="AS240" s="5"/>
      <c r="AT240" s="5">
        <v>0</v>
      </c>
      <c r="AU240" s="5">
        <v>0</v>
      </c>
      <c r="AV240" s="5"/>
      <c r="AW240" s="5">
        <v>7.561204628690696</v>
      </c>
      <c r="AX240" s="5">
        <v>0</v>
      </c>
      <c r="AY240" s="5"/>
      <c r="AZ240" s="40">
        <v>7.561204628690696</v>
      </c>
      <c r="BA240" s="40">
        <v>0</v>
      </c>
      <c r="BB240" s="55">
        <v>-7.561204628690696</v>
      </c>
      <c r="BD240" s="2">
        <v>1</v>
      </c>
      <c r="BF240" s="325">
        <v>150000943</v>
      </c>
    </row>
    <row r="241" spans="1:58" ht="25.05" customHeight="1" x14ac:dyDescent="0.3">
      <c r="A241" s="325">
        <v>150000944</v>
      </c>
      <c r="B241" s="445" t="s">
        <v>124</v>
      </c>
      <c r="C241" s="27">
        <v>1</v>
      </c>
      <c r="D241" s="101" t="s">
        <v>455</v>
      </c>
      <c r="E241" s="279">
        <v>140.69999999999999</v>
      </c>
      <c r="F241" s="441">
        <v>1698.606964501015</v>
      </c>
      <c r="G241" s="441">
        <v>2023</v>
      </c>
      <c r="H241" s="73">
        <v>324.393035498985</v>
      </c>
      <c r="I241" s="5">
        <v>0</v>
      </c>
      <c r="J241" s="5">
        <v>2023</v>
      </c>
      <c r="K241" s="446"/>
      <c r="L241" s="5">
        <v>0</v>
      </c>
      <c r="M241" s="5">
        <v>0</v>
      </c>
      <c r="N241" s="35"/>
      <c r="O241" s="5">
        <v>0</v>
      </c>
      <c r="P241" s="5">
        <v>0</v>
      </c>
      <c r="Q241" s="447"/>
      <c r="R241" s="5">
        <v>0</v>
      </c>
      <c r="S241" s="5">
        <v>0</v>
      </c>
      <c r="T241" s="448"/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/>
      <c r="AH241" s="5">
        <v>0</v>
      </c>
      <c r="AI241" s="5">
        <v>0</v>
      </c>
      <c r="AJ241" s="5"/>
      <c r="AK241" s="5">
        <v>0</v>
      </c>
      <c r="AL241" s="5">
        <v>0</v>
      </c>
      <c r="AM241" s="5"/>
      <c r="AN241" s="5">
        <v>0</v>
      </c>
      <c r="AO241" s="5">
        <v>0</v>
      </c>
      <c r="AP241" s="5"/>
      <c r="AQ241" s="5">
        <v>0</v>
      </c>
      <c r="AR241" s="5">
        <v>0</v>
      </c>
      <c r="AS241" s="5"/>
      <c r="AT241" s="5">
        <v>0</v>
      </c>
      <c r="AU241" s="5">
        <v>0</v>
      </c>
      <c r="AV241" s="5"/>
      <c r="AW241" s="5">
        <v>10.4126164702468</v>
      </c>
      <c r="AX241" s="5">
        <v>0</v>
      </c>
      <c r="AY241" s="5"/>
      <c r="AZ241" s="40">
        <v>10.4126164702468</v>
      </c>
      <c r="BA241" s="40">
        <v>0</v>
      </c>
      <c r="BB241" s="55">
        <v>-10.4126164702468</v>
      </c>
      <c r="BD241" s="2">
        <v>1</v>
      </c>
      <c r="BF241" s="325">
        <v>150000944</v>
      </c>
    </row>
    <row r="242" spans="1:58" ht="25.05" customHeight="1" x14ac:dyDescent="0.3">
      <c r="A242" s="325">
        <v>150000945</v>
      </c>
      <c r="B242" s="445" t="s">
        <v>422</v>
      </c>
      <c r="C242" s="27">
        <v>10</v>
      </c>
      <c r="D242" s="101" t="s">
        <v>455</v>
      </c>
      <c r="E242" s="279">
        <v>6742.76</v>
      </c>
      <c r="F242" s="441">
        <v>88345.297554164659</v>
      </c>
      <c r="G242" s="441">
        <v>68851.58</v>
      </c>
      <c r="H242" s="73">
        <v>-19493.717554164657</v>
      </c>
      <c r="I242" s="5">
        <v>21.6</v>
      </c>
      <c r="J242" s="5">
        <v>4776.96</v>
      </c>
      <c r="K242" s="450"/>
      <c r="L242" s="5">
        <v>0</v>
      </c>
      <c r="M242" s="5">
        <v>117.2</v>
      </c>
      <c r="N242" s="35"/>
      <c r="O242" s="5">
        <v>0</v>
      </c>
      <c r="P242" s="5">
        <v>0</v>
      </c>
      <c r="Q242" s="447"/>
      <c r="R242" s="5">
        <v>4</v>
      </c>
      <c r="S242" s="5">
        <v>44861</v>
      </c>
      <c r="T242" s="448"/>
      <c r="U242" s="5">
        <v>0</v>
      </c>
      <c r="V242" s="5">
        <v>0</v>
      </c>
      <c r="W242" s="5">
        <v>0</v>
      </c>
      <c r="X242" s="5">
        <v>0</v>
      </c>
      <c r="Y242" s="5">
        <v>2649</v>
      </c>
      <c r="Z242" s="5">
        <v>0</v>
      </c>
      <c r="AA242" s="5">
        <v>0</v>
      </c>
      <c r="AB242" s="5">
        <v>2963.19</v>
      </c>
      <c r="AC242" s="5">
        <v>0</v>
      </c>
      <c r="AD242" s="5">
        <v>13484.23</v>
      </c>
      <c r="AE242" s="5">
        <v>3798.5139833452135</v>
      </c>
      <c r="AF242" s="5">
        <v>2271.7600000000002</v>
      </c>
      <c r="AG242" s="5"/>
      <c r="AH242" s="5">
        <v>4227.0086461896935</v>
      </c>
      <c r="AI242" s="5">
        <v>4896</v>
      </c>
      <c r="AJ242" s="5"/>
      <c r="AK242" s="5">
        <v>2837.7901589186267</v>
      </c>
      <c r="AL242" s="5">
        <v>0</v>
      </c>
      <c r="AM242" s="5"/>
      <c r="AN242" s="5">
        <v>3097.255935171599</v>
      </c>
      <c r="AO242" s="5">
        <v>0</v>
      </c>
      <c r="AP242" s="5"/>
      <c r="AQ242" s="5">
        <v>1480.0607281226878</v>
      </c>
      <c r="AR242" s="5">
        <v>0</v>
      </c>
      <c r="AS242" s="5"/>
      <c r="AT242" s="5">
        <v>2220.5128571206292</v>
      </c>
      <c r="AU242" s="5">
        <v>1026</v>
      </c>
      <c r="AV242" s="463"/>
      <c r="AW242" s="5">
        <v>662.85235665589528</v>
      </c>
      <c r="AX242" s="5">
        <v>0</v>
      </c>
      <c r="AY242" s="5"/>
      <c r="AZ242" s="40">
        <v>18323.994665524344</v>
      </c>
      <c r="BA242" s="40">
        <v>8193.76</v>
      </c>
      <c r="BB242" s="55">
        <v>-10130.234665524344</v>
      </c>
      <c r="BD242" s="2">
        <v>1</v>
      </c>
      <c r="BF242" s="325">
        <v>150000945</v>
      </c>
    </row>
    <row r="243" spans="1:58" ht="25.05" customHeight="1" x14ac:dyDescent="0.3">
      <c r="A243" s="325">
        <v>150000946</v>
      </c>
      <c r="B243" s="445" t="s">
        <v>125</v>
      </c>
      <c r="C243" s="27">
        <v>1</v>
      </c>
      <c r="D243" s="101" t="s">
        <v>455</v>
      </c>
      <c r="E243" s="279">
        <v>100.2</v>
      </c>
      <c r="F243" s="441">
        <v>875.39874182974643</v>
      </c>
      <c r="G243" s="441">
        <v>0</v>
      </c>
      <c r="H243" s="73">
        <v>-875.39874182974643</v>
      </c>
      <c r="I243" s="5">
        <v>0</v>
      </c>
      <c r="J243" s="5">
        <v>0</v>
      </c>
      <c r="K243" s="446"/>
      <c r="L243" s="5">
        <v>0</v>
      </c>
      <c r="M243" s="5">
        <v>0</v>
      </c>
      <c r="N243" s="35"/>
      <c r="O243" s="5">
        <v>0</v>
      </c>
      <c r="P243" s="5">
        <v>0</v>
      </c>
      <c r="Q243" s="447"/>
      <c r="R243" s="5">
        <v>0</v>
      </c>
      <c r="S243" s="5">
        <v>0</v>
      </c>
      <c r="T243" s="448"/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/>
      <c r="AH243" s="5">
        <v>0</v>
      </c>
      <c r="AI243" s="5">
        <v>0</v>
      </c>
      <c r="AJ243" s="5"/>
      <c r="AK243" s="5">
        <v>0</v>
      </c>
      <c r="AL243" s="5">
        <v>0</v>
      </c>
      <c r="AM243" s="5"/>
      <c r="AN243" s="5">
        <v>0</v>
      </c>
      <c r="AO243" s="5">
        <v>0</v>
      </c>
      <c r="AP243" s="5"/>
      <c r="AQ243" s="5">
        <v>0</v>
      </c>
      <c r="AR243" s="5">
        <v>0</v>
      </c>
      <c r="AS243" s="5"/>
      <c r="AT243" s="5">
        <v>0</v>
      </c>
      <c r="AU243" s="5">
        <v>0</v>
      </c>
      <c r="AV243" s="5"/>
      <c r="AW243" s="5">
        <v>7.2515047893068729</v>
      </c>
      <c r="AX243" s="5">
        <v>0</v>
      </c>
      <c r="AY243" s="5"/>
      <c r="AZ243" s="40">
        <v>7.2515047893068729</v>
      </c>
      <c r="BA243" s="40">
        <v>0</v>
      </c>
      <c r="BB243" s="55">
        <v>-7.2515047893068729</v>
      </c>
      <c r="BD243" s="2">
        <v>1</v>
      </c>
      <c r="BF243" s="325">
        <v>150000946</v>
      </c>
    </row>
    <row r="244" spans="1:58" ht="25.05" customHeight="1" x14ac:dyDescent="0.3">
      <c r="A244" s="325">
        <v>150000947</v>
      </c>
      <c r="B244" s="445" t="s">
        <v>269</v>
      </c>
      <c r="C244" s="27">
        <v>5</v>
      </c>
      <c r="D244" s="101" t="s">
        <v>455</v>
      </c>
      <c r="E244" s="279">
        <v>3267.3</v>
      </c>
      <c r="F244" s="441">
        <v>40609.034126837192</v>
      </c>
      <c r="G244" s="441">
        <v>2962.15</v>
      </c>
      <c r="H244" s="73">
        <v>-37646.884126837191</v>
      </c>
      <c r="I244" s="5">
        <v>0</v>
      </c>
      <c r="J244" s="5">
        <v>0</v>
      </c>
      <c r="K244" s="446"/>
      <c r="L244" s="5">
        <v>0</v>
      </c>
      <c r="M244" s="5">
        <v>0</v>
      </c>
      <c r="N244" s="35"/>
      <c r="O244" s="5">
        <v>0</v>
      </c>
      <c r="P244" s="5">
        <v>0</v>
      </c>
      <c r="Q244" s="447"/>
      <c r="R244" s="5">
        <v>0</v>
      </c>
      <c r="S244" s="5">
        <v>0</v>
      </c>
      <c r="T244" s="448"/>
      <c r="U244" s="5">
        <v>0</v>
      </c>
      <c r="V244" s="5">
        <v>0</v>
      </c>
      <c r="W244" s="5">
        <v>0</v>
      </c>
      <c r="X244" s="5">
        <v>0</v>
      </c>
      <c r="Y244" s="5">
        <v>141</v>
      </c>
      <c r="Z244" s="5">
        <v>0</v>
      </c>
      <c r="AA244" s="5">
        <v>0</v>
      </c>
      <c r="AB244" s="5">
        <v>1155.4000000000001</v>
      </c>
      <c r="AC244" s="5">
        <v>697.75</v>
      </c>
      <c r="AD244" s="5">
        <v>968</v>
      </c>
      <c r="AE244" s="5">
        <v>2658.4206354573207</v>
      </c>
      <c r="AF244" s="5">
        <v>0</v>
      </c>
      <c r="AG244" s="5"/>
      <c r="AH244" s="5">
        <v>3773.6492397076036</v>
      </c>
      <c r="AI244" s="5">
        <v>1402</v>
      </c>
      <c r="AJ244" s="5"/>
      <c r="AK244" s="5">
        <v>1921.2261087352422</v>
      </c>
      <c r="AL244" s="5">
        <v>0</v>
      </c>
      <c r="AM244" s="5"/>
      <c r="AN244" s="5">
        <v>1986.3373099819282</v>
      </c>
      <c r="AO244" s="5">
        <v>0</v>
      </c>
      <c r="AP244" s="5"/>
      <c r="AQ244" s="5">
        <v>1109.648866209001</v>
      </c>
      <c r="AR244" s="5">
        <v>0</v>
      </c>
      <c r="AS244" s="5"/>
      <c r="AT244" s="5">
        <v>1790.124713796379</v>
      </c>
      <c r="AU244" s="5">
        <v>248</v>
      </c>
      <c r="AV244" s="5"/>
      <c r="AW244" s="5">
        <v>598.3063207579728</v>
      </c>
      <c r="AX244" s="5">
        <v>0</v>
      </c>
      <c r="AY244" s="5"/>
      <c r="AZ244" s="40">
        <v>13837.713194645448</v>
      </c>
      <c r="BA244" s="40">
        <v>1650</v>
      </c>
      <c r="BB244" s="55">
        <v>-12187.713194645448</v>
      </c>
      <c r="BD244" s="2">
        <v>1</v>
      </c>
      <c r="BF244" s="325">
        <v>150000947</v>
      </c>
    </row>
    <row r="245" spans="1:58" ht="25.05" customHeight="1" x14ac:dyDescent="0.3">
      <c r="A245" s="325">
        <v>150000948</v>
      </c>
      <c r="B245" s="445" t="s">
        <v>384</v>
      </c>
      <c r="C245" s="27">
        <v>9</v>
      </c>
      <c r="D245" s="101" t="s">
        <v>455</v>
      </c>
      <c r="E245" s="279">
        <v>6615</v>
      </c>
      <c r="F245" s="441">
        <v>90432.642849176991</v>
      </c>
      <c r="G245" s="441">
        <v>154083.96675854054</v>
      </c>
      <c r="H245" s="73">
        <v>63651.323909363549</v>
      </c>
      <c r="I245" s="5">
        <v>0</v>
      </c>
      <c r="J245" s="5">
        <v>0</v>
      </c>
      <c r="K245" s="446"/>
      <c r="L245" s="5">
        <v>3</v>
      </c>
      <c r="M245" s="5">
        <v>32969</v>
      </c>
      <c r="N245" s="35"/>
      <c r="O245" s="5">
        <v>13</v>
      </c>
      <c r="P245" s="5">
        <v>5307</v>
      </c>
      <c r="Q245" s="447"/>
      <c r="R245" s="5">
        <v>6</v>
      </c>
      <c r="S245" s="5">
        <v>77891</v>
      </c>
      <c r="T245" s="456"/>
      <c r="U245" s="5">
        <v>0</v>
      </c>
      <c r="V245" s="5">
        <v>0</v>
      </c>
      <c r="W245" s="5">
        <v>4</v>
      </c>
      <c r="X245" s="5">
        <v>3123.7667585405452</v>
      </c>
      <c r="Y245" s="5">
        <v>9304</v>
      </c>
      <c r="Z245" s="5">
        <v>0</v>
      </c>
      <c r="AA245" s="5">
        <v>0</v>
      </c>
      <c r="AB245" s="5">
        <v>707</v>
      </c>
      <c r="AC245" s="5">
        <v>17484</v>
      </c>
      <c r="AD245" s="5">
        <v>7298.2000000000007</v>
      </c>
      <c r="AE245" s="5">
        <v>2724.0304299540562</v>
      </c>
      <c r="AF245" s="5">
        <v>3040</v>
      </c>
      <c r="AG245" s="8"/>
      <c r="AH245" s="5">
        <v>3650.8413786552419</v>
      </c>
      <c r="AI245" s="5">
        <v>27523.759999999998</v>
      </c>
      <c r="AJ245" s="5"/>
      <c r="AK245" s="5">
        <v>2390.6614118330008</v>
      </c>
      <c r="AL245" s="5">
        <v>0</v>
      </c>
      <c r="AM245" s="454"/>
      <c r="AN245" s="5">
        <v>2806.1498843510985</v>
      </c>
      <c r="AO245" s="5">
        <v>5363.2</v>
      </c>
      <c r="AP245" s="5"/>
      <c r="AQ245" s="5">
        <v>1028.6845733566493</v>
      </c>
      <c r="AR245" s="5">
        <v>51</v>
      </c>
      <c r="AS245" s="5"/>
      <c r="AT245" s="5">
        <v>2786.1689824492169</v>
      </c>
      <c r="AU245" s="5">
        <v>309</v>
      </c>
      <c r="AV245" s="463"/>
      <c r="AW245" s="5">
        <v>783.32033861812329</v>
      </c>
      <c r="AX245" s="5">
        <v>5933.8</v>
      </c>
      <c r="AY245" s="5"/>
      <c r="AZ245" s="40">
        <v>16169.856999217387</v>
      </c>
      <c r="BA245" s="40">
        <v>42220.76</v>
      </c>
      <c r="BB245" s="55">
        <v>26050.903000782615</v>
      </c>
      <c r="BD245" s="2">
        <v>1</v>
      </c>
      <c r="BF245" s="325">
        <v>150000948</v>
      </c>
    </row>
    <row r="246" spans="1:58" ht="25.05" customHeight="1" x14ac:dyDescent="0.3">
      <c r="A246" s="325">
        <v>150000949</v>
      </c>
      <c r="B246" s="445" t="s">
        <v>385</v>
      </c>
      <c r="C246" s="27">
        <v>9</v>
      </c>
      <c r="D246" s="101" t="s">
        <v>455</v>
      </c>
      <c r="E246" s="279">
        <v>9392.7999999999993</v>
      </c>
      <c r="F246" s="441">
        <v>145478.45810035634</v>
      </c>
      <c r="G246" s="441">
        <v>55030.713529047571</v>
      </c>
      <c r="H246" s="73">
        <v>-90447.744571308765</v>
      </c>
      <c r="I246" s="5">
        <v>16</v>
      </c>
      <c r="J246" s="5">
        <v>2545</v>
      </c>
      <c r="K246" s="446"/>
      <c r="L246" s="5">
        <v>0</v>
      </c>
      <c r="M246" s="5">
        <v>882</v>
      </c>
      <c r="N246" s="35"/>
      <c r="O246" s="5">
        <v>0</v>
      </c>
      <c r="P246" s="5">
        <v>0</v>
      </c>
      <c r="Q246" s="447"/>
      <c r="R246" s="5">
        <v>5</v>
      </c>
      <c r="S246" s="5">
        <v>21135</v>
      </c>
      <c r="T246" s="456"/>
      <c r="U246" s="5">
        <v>1726</v>
      </c>
      <c r="V246" s="5">
        <v>0</v>
      </c>
      <c r="W246" s="5">
        <v>0</v>
      </c>
      <c r="X246" s="5">
        <v>192.69352904756539</v>
      </c>
      <c r="Y246" s="5">
        <v>11224</v>
      </c>
      <c r="Z246" s="5">
        <v>0</v>
      </c>
      <c r="AA246" s="5">
        <v>0</v>
      </c>
      <c r="AB246" s="5">
        <v>0</v>
      </c>
      <c r="AC246" s="5">
        <v>4831</v>
      </c>
      <c r="AD246" s="5">
        <v>12495.02</v>
      </c>
      <c r="AE246" s="5">
        <v>2944.7285552749304</v>
      </c>
      <c r="AF246" s="5">
        <v>2682</v>
      </c>
      <c r="AG246" s="5"/>
      <c r="AH246" s="5">
        <v>3859.1570947798673</v>
      </c>
      <c r="AI246" s="5">
        <v>16842</v>
      </c>
      <c r="AJ246" s="5"/>
      <c r="AK246" s="5">
        <v>1952.9541943721101</v>
      </c>
      <c r="AL246" s="5">
        <v>0</v>
      </c>
      <c r="AM246" s="454"/>
      <c r="AN246" s="5">
        <v>3389.3463511788259</v>
      </c>
      <c r="AO246" s="5">
        <v>127698</v>
      </c>
      <c r="AP246" s="5"/>
      <c r="AQ246" s="5">
        <v>2753.7298307239362</v>
      </c>
      <c r="AR246" s="5">
        <v>0</v>
      </c>
      <c r="AS246" s="5"/>
      <c r="AT246" s="5">
        <v>3976.8806498283948</v>
      </c>
      <c r="AU246" s="5">
        <v>1067</v>
      </c>
      <c r="AV246" s="5"/>
      <c r="AW246" s="5">
        <v>871.58845089183637</v>
      </c>
      <c r="AX246" s="5">
        <v>8496.41</v>
      </c>
      <c r="AY246" s="5"/>
      <c r="AZ246" s="40">
        <v>19748.3851270499</v>
      </c>
      <c r="BA246" s="40">
        <v>156785.41</v>
      </c>
      <c r="BB246" s="55">
        <v>137037.0248729501</v>
      </c>
      <c r="BD246" s="2">
        <v>1</v>
      </c>
      <c r="BF246" s="325">
        <v>150000949</v>
      </c>
    </row>
    <row r="247" spans="1:58" ht="25.05" customHeight="1" x14ac:dyDescent="0.3">
      <c r="A247" s="325">
        <v>150001044</v>
      </c>
      <c r="B247" s="445" t="s">
        <v>270</v>
      </c>
      <c r="C247" s="27">
        <v>5</v>
      </c>
      <c r="D247" s="101" t="s">
        <v>455</v>
      </c>
      <c r="E247" s="279">
        <v>3505.5</v>
      </c>
      <c r="F247" s="441">
        <v>29349.225060744662</v>
      </c>
      <c r="G247" s="441">
        <v>15317</v>
      </c>
      <c r="H247" s="73">
        <v>-14032.225060744662</v>
      </c>
      <c r="I247" s="5">
        <v>10</v>
      </c>
      <c r="J247" s="5">
        <v>10808</v>
      </c>
      <c r="K247" s="446"/>
      <c r="L247" s="5">
        <v>0</v>
      </c>
      <c r="M247" s="5">
        <v>0</v>
      </c>
      <c r="N247" s="35"/>
      <c r="O247" s="5">
        <v>0</v>
      </c>
      <c r="P247" s="5">
        <v>0</v>
      </c>
      <c r="Q247" s="447"/>
      <c r="R247" s="5">
        <v>0</v>
      </c>
      <c r="S247" s="5">
        <v>0</v>
      </c>
      <c r="T247" s="448"/>
      <c r="U247" s="5">
        <v>0</v>
      </c>
      <c r="V247" s="5">
        <v>0</v>
      </c>
      <c r="W247" s="5">
        <v>0</v>
      </c>
      <c r="X247" s="5">
        <v>0</v>
      </c>
      <c r="Y247" s="5">
        <v>1428</v>
      </c>
      <c r="Z247" s="5">
        <v>0</v>
      </c>
      <c r="AA247" s="5">
        <v>0</v>
      </c>
      <c r="AB247" s="5">
        <v>0</v>
      </c>
      <c r="AC247" s="5">
        <v>0</v>
      </c>
      <c r="AD247" s="5">
        <v>3081</v>
      </c>
      <c r="AE247" s="5">
        <v>2575.0790211887115</v>
      </c>
      <c r="AF247" s="5">
        <v>5576</v>
      </c>
      <c r="AG247" s="5"/>
      <c r="AH247" s="5">
        <v>3697.7262485138008</v>
      </c>
      <c r="AI247" s="5">
        <v>0</v>
      </c>
      <c r="AJ247" s="5"/>
      <c r="AK247" s="5">
        <v>2248.1983498496011</v>
      </c>
      <c r="AL247" s="5">
        <v>0</v>
      </c>
      <c r="AM247" s="5"/>
      <c r="AN247" s="5">
        <v>0</v>
      </c>
      <c r="AO247" s="5">
        <v>0</v>
      </c>
      <c r="AP247" s="5"/>
      <c r="AQ247" s="5">
        <v>0</v>
      </c>
      <c r="AR247" s="5">
        <v>0</v>
      </c>
      <c r="AS247" s="5"/>
      <c r="AT247" s="5">
        <v>1662.3481348941907</v>
      </c>
      <c r="AU247" s="5">
        <v>711</v>
      </c>
      <c r="AV247" s="5"/>
      <c r="AW247" s="5">
        <v>105.18899999999999</v>
      </c>
      <c r="AX247" s="5">
        <v>0</v>
      </c>
      <c r="AY247" s="5"/>
      <c r="AZ247" s="40">
        <v>10288.540754446305</v>
      </c>
      <c r="BA247" s="40">
        <v>6287</v>
      </c>
      <c r="BB247" s="55">
        <v>-4001.5407544463051</v>
      </c>
      <c r="BD247" s="2">
        <v>2</v>
      </c>
      <c r="BF247" s="325">
        <v>150001044</v>
      </c>
    </row>
    <row r="248" spans="1:58" ht="25.05" customHeight="1" x14ac:dyDescent="0.3">
      <c r="A248" s="325">
        <v>150001050</v>
      </c>
      <c r="B248" s="445" t="s">
        <v>271</v>
      </c>
      <c r="C248" s="27">
        <v>5</v>
      </c>
      <c r="D248" s="101" t="s">
        <v>455</v>
      </c>
      <c r="E248" s="279">
        <v>3564.3</v>
      </c>
      <c r="F248" s="441">
        <v>51470.012897149376</v>
      </c>
      <c r="G248" s="441">
        <v>58768.5</v>
      </c>
      <c r="H248" s="73">
        <v>7298.4871028506241</v>
      </c>
      <c r="I248" s="5">
        <v>40</v>
      </c>
      <c r="J248" s="5">
        <v>6269</v>
      </c>
      <c r="K248" s="446"/>
      <c r="L248" s="5">
        <v>0</v>
      </c>
      <c r="M248" s="5">
        <v>0</v>
      </c>
      <c r="N248" s="35"/>
      <c r="O248" s="5">
        <v>50</v>
      </c>
      <c r="P248" s="5">
        <v>11158</v>
      </c>
      <c r="Q248" s="447"/>
      <c r="R248" s="5">
        <v>0</v>
      </c>
      <c r="S248" s="5">
        <v>0</v>
      </c>
      <c r="T248" s="448"/>
      <c r="U248" s="5">
        <v>0</v>
      </c>
      <c r="V248" s="5">
        <v>0</v>
      </c>
      <c r="W248" s="5">
        <v>0</v>
      </c>
      <c r="X248" s="5">
        <v>0</v>
      </c>
      <c r="Y248" s="5">
        <v>34834</v>
      </c>
      <c r="Z248" s="5">
        <v>0</v>
      </c>
      <c r="AA248" s="5">
        <v>0</v>
      </c>
      <c r="AB248" s="5">
        <v>1784</v>
      </c>
      <c r="AC248" s="5">
        <v>981</v>
      </c>
      <c r="AD248" s="5">
        <v>3742.5</v>
      </c>
      <c r="AE248" s="5">
        <v>2598.3807482367702</v>
      </c>
      <c r="AF248" s="5">
        <v>3764</v>
      </c>
      <c r="AG248" s="5"/>
      <c r="AH248" s="5">
        <v>3337.1088331661986</v>
      </c>
      <c r="AI248" s="5">
        <v>1484</v>
      </c>
      <c r="AJ248" s="5"/>
      <c r="AK248" s="5">
        <v>2329.1312870157403</v>
      </c>
      <c r="AL248" s="5">
        <v>0</v>
      </c>
      <c r="AM248" s="5"/>
      <c r="AN248" s="5">
        <v>0</v>
      </c>
      <c r="AO248" s="5">
        <v>0</v>
      </c>
      <c r="AP248" s="5"/>
      <c r="AQ248" s="5">
        <v>0</v>
      </c>
      <c r="AR248" s="5">
        <v>0</v>
      </c>
      <c r="AS248" s="5"/>
      <c r="AT248" s="5">
        <v>1694.8337097692968</v>
      </c>
      <c r="AU248" s="5">
        <v>2975</v>
      </c>
      <c r="AV248" s="5"/>
      <c r="AW248" s="5">
        <v>106.905</v>
      </c>
      <c r="AX248" s="5">
        <v>0</v>
      </c>
      <c r="AY248" s="5"/>
      <c r="AZ248" s="40">
        <v>10066.359578188007</v>
      </c>
      <c r="BA248" s="40">
        <v>8223</v>
      </c>
      <c r="BB248" s="55">
        <v>-1843.3595781880067</v>
      </c>
      <c r="BD248" s="2">
        <v>2</v>
      </c>
      <c r="BF248" s="325">
        <v>150001050</v>
      </c>
    </row>
    <row r="249" spans="1:58" ht="25.05" customHeight="1" x14ac:dyDescent="0.3">
      <c r="A249" s="325">
        <v>150001045</v>
      </c>
      <c r="B249" s="445" t="s">
        <v>272</v>
      </c>
      <c r="C249" s="27">
        <v>5</v>
      </c>
      <c r="D249" s="101" t="s">
        <v>455</v>
      </c>
      <c r="E249" s="279">
        <v>3571.4</v>
      </c>
      <c r="F249" s="441">
        <v>52378.006184767997</v>
      </c>
      <c r="G249" s="441">
        <v>58864</v>
      </c>
      <c r="H249" s="73">
        <v>6485.9938152320028</v>
      </c>
      <c r="I249" s="5">
        <v>17.5</v>
      </c>
      <c r="J249" s="5">
        <v>8137</v>
      </c>
      <c r="K249" s="457"/>
      <c r="L249" s="5">
        <v>1</v>
      </c>
      <c r="M249" s="5">
        <v>47856</v>
      </c>
      <c r="N249" s="35"/>
      <c r="O249" s="5">
        <v>0</v>
      </c>
      <c r="P249" s="5">
        <v>0</v>
      </c>
      <c r="Q249" s="465"/>
      <c r="R249" s="5">
        <v>0</v>
      </c>
      <c r="S249" s="5">
        <v>0</v>
      </c>
      <c r="T249" s="448"/>
      <c r="U249" s="5">
        <v>0</v>
      </c>
      <c r="V249" s="5">
        <v>0</v>
      </c>
      <c r="W249" s="5">
        <v>0</v>
      </c>
      <c r="X249" s="5">
        <v>0</v>
      </c>
      <c r="Y249" s="5">
        <v>1763</v>
      </c>
      <c r="Z249" s="5">
        <v>0</v>
      </c>
      <c r="AA249" s="5">
        <v>0</v>
      </c>
      <c r="AB249" s="5">
        <v>0</v>
      </c>
      <c r="AC249" s="5">
        <v>0</v>
      </c>
      <c r="AD249" s="5">
        <v>1108</v>
      </c>
      <c r="AE249" s="5">
        <v>2481.040536054908</v>
      </c>
      <c r="AF249" s="5">
        <v>1904.69</v>
      </c>
      <c r="AG249" s="454"/>
      <c r="AH249" s="5">
        <v>3337.1088331661986</v>
      </c>
      <c r="AI249" s="5">
        <v>252</v>
      </c>
      <c r="AJ249" s="5"/>
      <c r="AK249" s="5">
        <v>2540.2142437164707</v>
      </c>
      <c r="AL249" s="5">
        <v>0</v>
      </c>
      <c r="AM249" s="5"/>
      <c r="AN249" s="5">
        <v>0</v>
      </c>
      <c r="AO249" s="5">
        <v>0</v>
      </c>
      <c r="AP249" s="5"/>
      <c r="AQ249" s="5">
        <v>0</v>
      </c>
      <c r="AR249" s="5">
        <v>0</v>
      </c>
      <c r="AS249" s="5"/>
      <c r="AT249" s="5">
        <v>1694.8337097692968</v>
      </c>
      <c r="AU249" s="5">
        <v>2975</v>
      </c>
      <c r="AV249" s="5"/>
      <c r="AW249" s="5">
        <v>107.14500000000001</v>
      </c>
      <c r="AX249" s="5">
        <v>0</v>
      </c>
      <c r="AY249" s="5"/>
      <c r="AZ249" s="40">
        <v>10160.342322706874</v>
      </c>
      <c r="BA249" s="40">
        <v>5131.6900000000005</v>
      </c>
      <c r="BB249" s="55">
        <v>-5028.6523227068737</v>
      </c>
      <c r="BD249" s="2">
        <v>2</v>
      </c>
      <c r="BF249" s="325">
        <v>150001045</v>
      </c>
    </row>
    <row r="250" spans="1:58" ht="25.05" customHeight="1" x14ac:dyDescent="0.3">
      <c r="A250" s="325">
        <v>150001046</v>
      </c>
      <c r="B250" s="445" t="s">
        <v>273</v>
      </c>
      <c r="C250" s="27">
        <v>5</v>
      </c>
      <c r="D250" s="101" t="s">
        <v>455</v>
      </c>
      <c r="E250" s="279">
        <v>2681.5</v>
      </c>
      <c r="F250" s="441">
        <v>26206.610886436451</v>
      </c>
      <c r="G250" s="441">
        <v>70868</v>
      </c>
      <c r="H250" s="73">
        <v>44661.389113563549</v>
      </c>
      <c r="I250" s="5">
        <v>0</v>
      </c>
      <c r="J250" s="5">
        <v>0</v>
      </c>
      <c r="K250" s="457"/>
      <c r="L250" s="5">
        <v>1</v>
      </c>
      <c r="M250" s="5">
        <v>63343</v>
      </c>
      <c r="N250" s="35"/>
      <c r="O250" s="5">
        <v>0</v>
      </c>
      <c r="P250" s="5">
        <v>0</v>
      </c>
      <c r="Q250" s="447"/>
      <c r="R250" s="5">
        <v>0</v>
      </c>
      <c r="S250" s="5">
        <v>0</v>
      </c>
      <c r="T250" s="448"/>
      <c r="U250" s="5">
        <v>0</v>
      </c>
      <c r="V250" s="5">
        <v>0</v>
      </c>
      <c r="W250" s="5">
        <v>0</v>
      </c>
      <c r="X250" s="5">
        <v>0</v>
      </c>
      <c r="Y250" s="5">
        <v>3687</v>
      </c>
      <c r="Z250" s="5">
        <v>0</v>
      </c>
      <c r="AA250" s="5">
        <v>0</v>
      </c>
      <c r="AB250" s="5">
        <v>1197</v>
      </c>
      <c r="AC250" s="5">
        <v>2251</v>
      </c>
      <c r="AD250" s="5">
        <v>390</v>
      </c>
      <c r="AE250" s="5">
        <v>1820.1789515882674</v>
      </c>
      <c r="AF250" s="5">
        <v>51</v>
      </c>
      <c r="AG250" s="8"/>
      <c r="AH250" s="5">
        <v>2909.333639430869</v>
      </c>
      <c r="AI250" s="5">
        <v>0</v>
      </c>
      <c r="AJ250" s="5"/>
      <c r="AK250" s="5">
        <v>1580.4616454822312</v>
      </c>
      <c r="AL250" s="5">
        <v>263</v>
      </c>
      <c r="AM250" s="5"/>
      <c r="AN250" s="5">
        <v>0</v>
      </c>
      <c r="AO250" s="5">
        <v>0</v>
      </c>
      <c r="AP250" s="5"/>
      <c r="AQ250" s="5">
        <v>0</v>
      </c>
      <c r="AR250" s="5">
        <v>0</v>
      </c>
      <c r="AS250" s="5"/>
      <c r="AT250" s="5">
        <v>1219.2143147705169</v>
      </c>
      <c r="AU250" s="5">
        <v>711</v>
      </c>
      <c r="AV250" s="5"/>
      <c r="AW250" s="5">
        <v>79.263000000000005</v>
      </c>
      <c r="AX250" s="5">
        <v>0</v>
      </c>
      <c r="AY250" s="5"/>
      <c r="AZ250" s="40">
        <v>7608.4515512718854</v>
      </c>
      <c r="BA250" s="40">
        <v>1025</v>
      </c>
      <c r="BB250" s="55">
        <v>-6583.4515512718854</v>
      </c>
      <c r="BD250" s="2">
        <v>2</v>
      </c>
      <c r="BF250" s="325">
        <v>150001046</v>
      </c>
    </row>
    <row r="251" spans="1:58" ht="23.1" customHeight="1" x14ac:dyDescent="0.3">
      <c r="A251" s="325">
        <v>150001040</v>
      </c>
      <c r="B251" s="445" t="s">
        <v>217</v>
      </c>
      <c r="C251" s="27">
        <v>4</v>
      </c>
      <c r="D251" s="101" t="s">
        <v>455</v>
      </c>
      <c r="E251" s="279">
        <v>2483.1999999999998</v>
      </c>
      <c r="F251" s="441">
        <v>35161.84723323505</v>
      </c>
      <c r="G251" s="441">
        <v>7385</v>
      </c>
      <c r="H251" s="73">
        <v>-27776.84723323505</v>
      </c>
      <c r="I251" s="5">
        <v>0</v>
      </c>
      <c r="J251" s="5">
        <v>6284</v>
      </c>
      <c r="K251" s="446"/>
      <c r="L251" s="5">
        <v>0</v>
      </c>
      <c r="M251" s="5">
        <v>0</v>
      </c>
      <c r="N251" s="35"/>
      <c r="O251" s="5">
        <v>0</v>
      </c>
      <c r="P251" s="5">
        <v>0</v>
      </c>
      <c r="Q251" s="447"/>
      <c r="R251" s="5">
        <v>0</v>
      </c>
      <c r="S251" s="5">
        <v>0</v>
      </c>
      <c r="T251" s="448"/>
      <c r="U251" s="5">
        <v>0</v>
      </c>
      <c r="V251" s="5">
        <v>0</v>
      </c>
      <c r="W251" s="5">
        <v>0</v>
      </c>
      <c r="X251" s="5">
        <v>0</v>
      </c>
      <c r="Y251" s="5">
        <v>449</v>
      </c>
      <c r="Z251" s="5">
        <v>0</v>
      </c>
      <c r="AA251" s="5">
        <v>0</v>
      </c>
      <c r="AB251" s="5">
        <v>0</v>
      </c>
      <c r="AC251" s="5">
        <v>0</v>
      </c>
      <c r="AD251" s="5">
        <v>652</v>
      </c>
      <c r="AE251" s="5">
        <v>2165.6113584053728</v>
      </c>
      <c r="AF251" s="5">
        <v>4572</v>
      </c>
      <c r="AG251" s="8"/>
      <c r="AH251" s="5">
        <v>3671.2596315823639</v>
      </c>
      <c r="AI251" s="5">
        <v>0</v>
      </c>
      <c r="AJ251" s="5"/>
      <c r="AK251" s="5">
        <v>1299.5022114241665</v>
      </c>
      <c r="AL251" s="5">
        <v>1331</v>
      </c>
      <c r="AM251" s="5"/>
      <c r="AN251" s="5">
        <v>0</v>
      </c>
      <c r="AO251" s="5">
        <v>0</v>
      </c>
      <c r="AP251" s="5"/>
      <c r="AQ251" s="5">
        <v>0</v>
      </c>
      <c r="AR251" s="5">
        <v>0</v>
      </c>
      <c r="AS251" s="5"/>
      <c r="AT251" s="5">
        <v>2212.4630940947395</v>
      </c>
      <c r="AU251" s="5">
        <v>0</v>
      </c>
      <c r="AV251" s="5"/>
      <c r="AW251" s="5">
        <v>72.192599999999999</v>
      </c>
      <c r="AX251" s="5">
        <v>0</v>
      </c>
      <c r="AY251" s="5"/>
      <c r="AZ251" s="40">
        <v>9421.0288955066426</v>
      </c>
      <c r="BA251" s="40">
        <v>5903</v>
      </c>
      <c r="BB251" s="55">
        <v>-3518.0288955066426</v>
      </c>
      <c r="BD251" s="2">
        <v>2</v>
      </c>
      <c r="BF251" s="325">
        <v>150001040</v>
      </c>
    </row>
    <row r="252" spans="1:58" ht="25.05" customHeight="1" x14ac:dyDescent="0.3">
      <c r="A252" s="325">
        <v>150001047</v>
      </c>
      <c r="B252" s="445" t="s">
        <v>180</v>
      </c>
      <c r="C252" s="27">
        <v>2</v>
      </c>
      <c r="D252" s="101" t="s">
        <v>455</v>
      </c>
      <c r="E252" s="279">
        <v>762.81000000000006</v>
      </c>
      <c r="F252" s="441">
        <v>8208.992258298229</v>
      </c>
      <c r="G252" s="441">
        <v>130</v>
      </c>
      <c r="H252" s="73">
        <v>-8078.992258298229</v>
      </c>
      <c r="I252" s="5">
        <v>0</v>
      </c>
      <c r="J252" s="5">
        <v>0</v>
      </c>
      <c r="K252" s="446"/>
      <c r="L252" s="5">
        <v>0</v>
      </c>
      <c r="M252" s="5">
        <v>0</v>
      </c>
      <c r="N252" s="35"/>
      <c r="O252" s="5">
        <v>0</v>
      </c>
      <c r="P252" s="5">
        <v>0</v>
      </c>
      <c r="Q252" s="447"/>
      <c r="R252" s="5">
        <v>0</v>
      </c>
      <c r="S252" s="5">
        <v>0</v>
      </c>
      <c r="T252" s="448"/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130</v>
      </c>
      <c r="AE252" s="5">
        <v>656.80637502419052</v>
      </c>
      <c r="AF252" s="5">
        <v>232</v>
      </c>
      <c r="AG252" s="5"/>
      <c r="AH252" s="5">
        <v>684.00698545225862</v>
      </c>
      <c r="AI252" s="5">
        <v>0</v>
      </c>
      <c r="AJ252" s="5"/>
      <c r="AK252" s="5">
        <v>448.59492205638071</v>
      </c>
      <c r="AL252" s="5">
        <v>0</v>
      </c>
      <c r="AM252" s="5"/>
      <c r="AN252" s="5">
        <v>0</v>
      </c>
      <c r="AO252" s="5">
        <v>0</v>
      </c>
      <c r="AP252" s="5"/>
      <c r="AQ252" s="5">
        <v>0</v>
      </c>
      <c r="AR252" s="5">
        <v>0</v>
      </c>
      <c r="AS252" s="5"/>
      <c r="AT252" s="5">
        <v>111.06676157962718</v>
      </c>
      <c r="AU252" s="5">
        <v>0</v>
      </c>
      <c r="AV252" s="8"/>
      <c r="AW252" s="5">
        <v>22.884300000000003</v>
      </c>
      <c r="AX252" s="5">
        <v>0</v>
      </c>
      <c r="AY252" s="5"/>
      <c r="AZ252" s="40">
        <v>1923.3593441124569</v>
      </c>
      <c r="BA252" s="40">
        <v>232</v>
      </c>
      <c r="BB252" s="55">
        <v>-1691.3593441124569</v>
      </c>
      <c r="BD252" s="2">
        <v>2</v>
      </c>
      <c r="BF252" s="325">
        <v>150001047</v>
      </c>
    </row>
    <row r="253" spans="1:58" ht="25.05" customHeight="1" x14ac:dyDescent="0.3">
      <c r="A253" s="325">
        <v>150001048</v>
      </c>
      <c r="B253" s="445" t="s">
        <v>126</v>
      </c>
      <c r="C253" s="27">
        <v>1</v>
      </c>
      <c r="D253" s="101" t="s">
        <v>455</v>
      </c>
      <c r="E253" s="279">
        <v>63</v>
      </c>
      <c r="F253" s="441">
        <v>995.69509449470706</v>
      </c>
      <c r="G253" s="441">
        <v>0</v>
      </c>
      <c r="H253" s="73">
        <v>-995.69509449470706</v>
      </c>
      <c r="I253" s="5">
        <v>0</v>
      </c>
      <c r="J253" s="5">
        <v>0</v>
      </c>
      <c r="K253" s="446"/>
      <c r="L253" s="5">
        <v>0</v>
      </c>
      <c r="M253" s="5">
        <v>0</v>
      </c>
      <c r="N253" s="35"/>
      <c r="O253" s="5">
        <v>0</v>
      </c>
      <c r="P253" s="5">
        <v>0</v>
      </c>
      <c r="Q253" s="447"/>
      <c r="R253" s="5">
        <v>0</v>
      </c>
      <c r="S253" s="5">
        <v>0</v>
      </c>
      <c r="T253" s="448"/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/>
      <c r="AH253" s="5">
        <v>0</v>
      </c>
      <c r="AI253" s="5">
        <v>0</v>
      </c>
      <c r="AJ253" s="5"/>
      <c r="AK253" s="5">
        <v>0</v>
      </c>
      <c r="AL253" s="5">
        <v>0</v>
      </c>
      <c r="AM253" s="5"/>
      <c r="AN253" s="5">
        <v>0</v>
      </c>
      <c r="AO253" s="5">
        <v>0</v>
      </c>
      <c r="AP253" s="5"/>
      <c r="AQ253" s="5">
        <v>0</v>
      </c>
      <c r="AR253" s="5">
        <v>0</v>
      </c>
      <c r="AS253" s="5"/>
      <c r="AT253" s="5">
        <v>0</v>
      </c>
      <c r="AU253" s="5">
        <v>0</v>
      </c>
      <c r="AV253" s="5"/>
      <c r="AW253" s="5">
        <v>1.8900000000000001</v>
      </c>
      <c r="AX253" s="5">
        <v>0</v>
      </c>
      <c r="AY253" s="5"/>
      <c r="AZ253" s="40">
        <v>1.8900000000000001</v>
      </c>
      <c r="BA253" s="40">
        <v>0</v>
      </c>
      <c r="BB253" s="55">
        <v>-1.8900000000000001</v>
      </c>
      <c r="BD253" s="2">
        <v>2</v>
      </c>
      <c r="BF253" s="325">
        <v>150001048</v>
      </c>
    </row>
    <row r="254" spans="1:58" ht="25.05" customHeight="1" x14ac:dyDescent="0.3">
      <c r="A254" s="325">
        <v>150001049</v>
      </c>
      <c r="B254" s="445" t="s">
        <v>181</v>
      </c>
      <c r="C254" s="27">
        <v>2</v>
      </c>
      <c r="D254" s="101" t="s">
        <v>455</v>
      </c>
      <c r="E254" s="279">
        <v>253.7</v>
      </c>
      <c r="F254" s="441">
        <v>3317.5451386623049</v>
      </c>
      <c r="G254" s="441">
        <v>7606.3099999999995</v>
      </c>
      <c r="H254" s="73">
        <v>4288.764861337695</v>
      </c>
      <c r="I254" s="5">
        <v>14</v>
      </c>
      <c r="J254" s="5">
        <v>4056.82</v>
      </c>
      <c r="K254" s="446"/>
      <c r="L254" s="5">
        <v>0</v>
      </c>
      <c r="M254" s="5">
        <v>0</v>
      </c>
      <c r="N254" s="35"/>
      <c r="O254" s="5">
        <v>0</v>
      </c>
      <c r="P254" s="5">
        <v>0</v>
      </c>
      <c r="Q254" s="447"/>
      <c r="R254" s="5">
        <v>0</v>
      </c>
      <c r="S254" s="5">
        <v>0</v>
      </c>
      <c r="T254" s="448"/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3549.49</v>
      </c>
      <c r="AE254" s="5">
        <v>348.82237955402297</v>
      </c>
      <c r="AF254" s="5">
        <v>813</v>
      </c>
      <c r="AG254" s="5"/>
      <c r="AH254" s="5">
        <v>374.10835499581498</v>
      </c>
      <c r="AI254" s="5">
        <v>0</v>
      </c>
      <c r="AJ254" s="5"/>
      <c r="AK254" s="5">
        <v>0</v>
      </c>
      <c r="AL254" s="5">
        <v>0</v>
      </c>
      <c r="AM254" s="5"/>
      <c r="AN254" s="5">
        <v>0</v>
      </c>
      <c r="AO254" s="5">
        <v>0</v>
      </c>
      <c r="AP254" s="5"/>
      <c r="AQ254" s="5">
        <v>0</v>
      </c>
      <c r="AR254" s="5">
        <v>0</v>
      </c>
      <c r="AS254" s="5"/>
      <c r="AT254" s="5">
        <v>54.940106716964408</v>
      </c>
      <c r="AU254" s="5">
        <v>727</v>
      </c>
      <c r="AV254" s="5"/>
      <c r="AW254" s="5">
        <v>7.6109999999999998</v>
      </c>
      <c r="AX254" s="5">
        <v>0</v>
      </c>
      <c r="AY254" s="5"/>
      <c r="AZ254" s="40">
        <v>785.48184126680246</v>
      </c>
      <c r="BA254" s="40">
        <v>1540</v>
      </c>
      <c r="BB254" s="55">
        <v>754.51815873319754</v>
      </c>
      <c r="BD254" s="2">
        <v>2</v>
      </c>
      <c r="BF254" s="325">
        <v>150001049</v>
      </c>
    </row>
    <row r="255" spans="1:58" ht="25.05" customHeight="1" x14ac:dyDescent="0.3">
      <c r="A255" s="325">
        <v>150001041</v>
      </c>
      <c r="B255" s="445" t="s">
        <v>197</v>
      </c>
      <c r="C255" s="27">
        <v>3</v>
      </c>
      <c r="D255" s="101" t="s">
        <v>455</v>
      </c>
      <c r="E255" s="279">
        <v>601.4</v>
      </c>
      <c r="F255" s="441">
        <v>7215.0310058052646</v>
      </c>
      <c r="G255" s="441">
        <v>2231</v>
      </c>
      <c r="H255" s="73">
        <v>-4984.0310058052646</v>
      </c>
      <c r="I255" s="5">
        <v>0</v>
      </c>
      <c r="J255" s="5">
        <v>0</v>
      </c>
      <c r="K255" s="446"/>
      <c r="L255" s="5">
        <v>0</v>
      </c>
      <c r="M255" s="5">
        <v>0</v>
      </c>
      <c r="N255" s="35"/>
      <c r="O255" s="5">
        <v>0</v>
      </c>
      <c r="P255" s="5">
        <v>0</v>
      </c>
      <c r="Q255" s="447"/>
      <c r="R255" s="5">
        <v>0</v>
      </c>
      <c r="S255" s="5">
        <v>0</v>
      </c>
      <c r="T255" s="448"/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2231</v>
      </c>
      <c r="AE255" s="5">
        <v>587.43297572162862</v>
      </c>
      <c r="AF255" s="5">
        <v>3992</v>
      </c>
      <c r="AG255" s="5"/>
      <c r="AH255" s="5">
        <v>594.37471209859007</v>
      </c>
      <c r="AI255" s="5">
        <v>0</v>
      </c>
      <c r="AJ255" s="5"/>
      <c r="AK255" s="5">
        <v>368.27073345178843</v>
      </c>
      <c r="AL255" s="5">
        <v>0</v>
      </c>
      <c r="AM255" s="5"/>
      <c r="AN255" s="5">
        <v>0</v>
      </c>
      <c r="AO255" s="5">
        <v>0</v>
      </c>
      <c r="AP255" s="5"/>
      <c r="AQ255" s="5">
        <v>0</v>
      </c>
      <c r="AR255" s="5">
        <v>0</v>
      </c>
      <c r="AS255" s="5"/>
      <c r="AT255" s="5">
        <v>93.007626038326464</v>
      </c>
      <c r="AU255" s="5">
        <v>0</v>
      </c>
      <c r="AV255" s="5"/>
      <c r="AW255" s="5">
        <v>18.042000000000002</v>
      </c>
      <c r="AX255" s="5">
        <v>0</v>
      </c>
      <c r="AY255" s="5"/>
      <c r="AZ255" s="40">
        <v>1661.1280473103334</v>
      </c>
      <c r="BA255" s="40">
        <v>3992</v>
      </c>
      <c r="BB255" s="55">
        <v>2330.8719526896666</v>
      </c>
      <c r="BD255" s="2">
        <v>2</v>
      </c>
      <c r="BF255" s="325">
        <v>150001041</v>
      </c>
    </row>
    <row r="256" spans="1:58" ht="25.05" customHeight="1" x14ac:dyDescent="0.3">
      <c r="A256" s="325">
        <v>150001042</v>
      </c>
      <c r="B256" s="445" t="s">
        <v>182</v>
      </c>
      <c r="C256" s="27">
        <v>2</v>
      </c>
      <c r="D256" s="101" t="s">
        <v>455</v>
      </c>
      <c r="E256" s="279">
        <v>427.1</v>
      </c>
      <c r="F256" s="441">
        <v>4542.7207090154134</v>
      </c>
      <c r="G256" s="441">
        <v>77088</v>
      </c>
      <c r="H256" s="73">
        <v>72545.279290984588</v>
      </c>
      <c r="I256" s="5">
        <v>14</v>
      </c>
      <c r="J256" s="5">
        <v>4366</v>
      </c>
      <c r="K256" s="446"/>
      <c r="L256" s="5">
        <v>2</v>
      </c>
      <c r="M256" s="5">
        <v>49073</v>
      </c>
      <c r="N256" s="458"/>
      <c r="O256" s="5">
        <v>0</v>
      </c>
      <c r="P256" s="5">
        <v>0</v>
      </c>
      <c r="Q256" s="447"/>
      <c r="R256" s="5">
        <v>0</v>
      </c>
      <c r="S256" s="5">
        <v>0</v>
      </c>
      <c r="T256" s="448"/>
      <c r="U256" s="5">
        <v>0</v>
      </c>
      <c r="V256" s="5">
        <v>0</v>
      </c>
      <c r="W256" s="5">
        <v>0</v>
      </c>
      <c r="X256" s="5">
        <v>0</v>
      </c>
      <c r="Y256" s="5">
        <v>12607</v>
      </c>
      <c r="Z256" s="5">
        <v>0</v>
      </c>
      <c r="AA256" s="5">
        <v>0</v>
      </c>
      <c r="AB256" s="5">
        <v>2684</v>
      </c>
      <c r="AC256" s="5">
        <v>8097</v>
      </c>
      <c r="AD256" s="5">
        <v>261</v>
      </c>
      <c r="AE256" s="5">
        <v>568.94418106476348</v>
      </c>
      <c r="AF256" s="5">
        <v>0</v>
      </c>
      <c r="AG256" s="5"/>
      <c r="AH256" s="5">
        <v>671.40469849697263</v>
      </c>
      <c r="AI256" s="5">
        <v>0</v>
      </c>
      <c r="AJ256" s="5"/>
      <c r="AK256" s="5">
        <v>251.88189472610503</v>
      </c>
      <c r="AL256" s="5">
        <v>0</v>
      </c>
      <c r="AM256" s="5"/>
      <c r="AN256" s="5">
        <v>0</v>
      </c>
      <c r="AO256" s="5">
        <v>0</v>
      </c>
      <c r="AP256" s="5"/>
      <c r="AQ256" s="5">
        <v>0</v>
      </c>
      <c r="AR256" s="5">
        <v>0</v>
      </c>
      <c r="AS256" s="5"/>
      <c r="AT256" s="5">
        <v>110.09829986336118</v>
      </c>
      <c r="AU256" s="5">
        <v>0</v>
      </c>
      <c r="AV256" s="5"/>
      <c r="AW256" s="5">
        <v>12.812999999999999</v>
      </c>
      <c r="AX256" s="5">
        <v>0</v>
      </c>
      <c r="AY256" s="5"/>
      <c r="AZ256" s="40">
        <v>1615.1420741512025</v>
      </c>
      <c r="BA256" s="40">
        <v>0</v>
      </c>
      <c r="BB256" s="55">
        <v>-1615.1420741512025</v>
      </c>
      <c r="BD256" s="2">
        <v>2</v>
      </c>
      <c r="BF256" s="325">
        <v>150001042</v>
      </c>
    </row>
    <row r="257" spans="1:58" ht="25.05" customHeight="1" x14ac:dyDescent="0.3">
      <c r="A257" s="325">
        <v>150001043</v>
      </c>
      <c r="B257" s="445" t="s">
        <v>218</v>
      </c>
      <c r="C257" s="27">
        <v>4</v>
      </c>
      <c r="D257" s="101" t="s">
        <v>455</v>
      </c>
      <c r="E257" s="279">
        <v>1282.0999999999999</v>
      </c>
      <c r="F257" s="441">
        <v>11106.379754882028</v>
      </c>
      <c r="G257" s="441">
        <v>20627.690000000002</v>
      </c>
      <c r="H257" s="73">
        <v>9521.3102451179748</v>
      </c>
      <c r="I257" s="5">
        <v>0</v>
      </c>
      <c r="J257" s="5">
        <v>16338</v>
      </c>
      <c r="K257" s="450"/>
      <c r="L257" s="5">
        <v>0</v>
      </c>
      <c r="M257" s="5">
        <v>0</v>
      </c>
      <c r="N257" s="35"/>
      <c r="O257" s="5">
        <v>0</v>
      </c>
      <c r="P257" s="5">
        <v>0</v>
      </c>
      <c r="Q257" s="447"/>
      <c r="R257" s="5">
        <v>0</v>
      </c>
      <c r="S257" s="5">
        <v>0</v>
      </c>
      <c r="T257" s="448"/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4289.6900000000005</v>
      </c>
      <c r="AE257" s="5">
        <v>1105.9391191909867</v>
      </c>
      <c r="AF257" s="5">
        <v>0</v>
      </c>
      <c r="AG257" s="5"/>
      <c r="AH257" s="5">
        <v>1468.34436357298</v>
      </c>
      <c r="AI257" s="5">
        <v>24</v>
      </c>
      <c r="AJ257" s="5"/>
      <c r="AK257" s="5">
        <v>789.49007918170355</v>
      </c>
      <c r="AL257" s="5">
        <v>0</v>
      </c>
      <c r="AM257" s="5"/>
      <c r="AN257" s="5">
        <v>0</v>
      </c>
      <c r="AO257" s="5">
        <v>0</v>
      </c>
      <c r="AP257" s="5"/>
      <c r="AQ257" s="5">
        <v>0</v>
      </c>
      <c r="AR257" s="5">
        <v>0</v>
      </c>
      <c r="AS257" s="5"/>
      <c r="AT257" s="5">
        <v>499.391569341749</v>
      </c>
      <c r="AU257" s="5">
        <v>0</v>
      </c>
      <c r="AV257" s="5"/>
      <c r="AW257" s="5">
        <v>38.463000000000001</v>
      </c>
      <c r="AX257" s="5">
        <v>0</v>
      </c>
      <c r="AY257" s="5"/>
      <c r="AZ257" s="40">
        <v>3901.6281312874194</v>
      </c>
      <c r="BA257" s="40">
        <v>24</v>
      </c>
      <c r="BB257" s="55">
        <v>-3877.6281312874194</v>
      </c>
      <c r="BD257" s="2">
        <v>2</v>
      </c>
      <c r="BF257" s="325">
        <v>150001043</v>
      </c>
    </row>
    <row r="258" spans="1:58" ht="25.05" customHeight="1" x14ac:dyDescent="0.3">
      <c r="A258" s="325">
        <v>150000672</v>
      </c>
      <c r="B258" s="462" t="s">
        <v>429</v>
      </c>
      <c r="C258" s="29">
        <v>5</v>
      </c>
      <c r="D258" s="102" t="s">
        <v>851</v>
      </c>
      <c r="E258" s="279">
        <v>3174.5</v>
      </c>
      <c r="F258" s="441">
        <v>38050.790416254342</v>
      </c>
      <c r="G258" s="441">
        <v>61338.827288021683</v>
      </c>
      <c r="H258" s="73">
        <v>23288.036871767341</v>
      </c>
      <c r="I258" s="5">
        <v>35</v>
      </c>
      <c r="J258" s="5">
        <v>16969</v>
      </c>
      <c r="K258" s="446"/>
      <c r="L258" s="5">
        <v>0</v>
      </c>
      <c r="M258" s="5">
        <v>1896.07</v>
      </c>
      <c r="N258" s="35"/>
      <c r="O258" s="5">
        <v>0</v>
      </c>
      <c r="P258" s="5">
        <v>0</v>
      </c>
      <c r="Q258" s="447"/>
      <c r="R258" s="5">
        <v>0</v>
      </c>
      <c r="S258" s="5">
        <v>0</v>
      </c>
      <c r="T258" s="448"/>
      <c r="U258" s="5">
        <v>0</v>
      </c>
      <c r="V258" s="5">
        <v>0</v>
      </c>
      <c r="W258" s="5">
        <v>0</v>
      </c>
      <c r="X258" s="5">
        <v>388.13728802168447</v>
      </c>
      <c r="Y258" s="5">
        <v>35811.620000000003</v>
      </c>
      <c r="Z258" s="5">
        <v>0</v>
      </c>
      <c r="AA258" s="5">
        <v>0</v>
      </c>
      <c r="AB258" s="5">
        <v>0</v>
      </c>
      <c r="AC258" s="5">
        <v>0</v>
      </c>
      <c r="AD258" s="5">
        <v>6274</v>
      </c>
      <c r="AE258" s="5">
        <v>2716.0432472636803</v>
      </c>
      <c r="AF258" s="5">
        <v>0</v>
      </c>
      <c r="AG258" s="8"/>
      <c r="AH258" s="5">
        <v>4153.1485052436192</v>
      </c>
      <c r="AI258" s="5">
        <v>0</v>
      </c>
      <c r="AJ258" s="5"/>
      <c r="AK258" s="5">
        <v>2107.4551830952119</v>
      </c>
      <c r="AL258" s="5">
        <v>0</v>
      </c>
      <c r="AM258" s="5"/>
      <c r="AN258" s="5">
        <v>0</v>
      </c>
      <c r="AO258" s="5">
        <v>0</v>
      </c>
      <c r="AP258" s="5"/>
      <c r="AQ258" s="5">
        <v>0</v>
      </c>
      <c r="AR258" s="5">
        <v>0</v>
      </c>
      <c r="AS258" s="5"/>
      <c r="AT258" s="5">
        <v>1631.0637108726523</v>
      </c>
      <c r="AU258" s="5">
        <v>0</v>
      </c>
      <c r="AV258" s="5"/>
      <c r="AW258" s="5">
        <v>1115.7265152250736</v>
      </c>
      <c r="AX258" s="5">
        <v>0</v>
      </c>
      <c r="AY258" s="5"/>
      <c r="AZ258" s="40">
        <v>11723.437161700236</v>
      </c>
      <c r="BA258" s="40">
        <v>0</v>
      </c>
      <c r="BB258" s="55">
        <v>-11723.437161700236</v>
      </c>
      <c r="BD258" s="2">
        <v>2</v>
      </c>
      <c r="BF258" s="325">
        <v>150000672</v>
      </c>
    </row>
    <row r="259" spans="1:58" ht="25.05" customHeight="1" x14ac:dyDescent="0.3">
      <c r="A259" s="325">
        <v>150000673</v>
      </c>
      <c r="B259" s="445" t="s">
        <v>183</v>
      </c>
      <c r="C259" s="27">
        <v>2</v>
      </c>
      <c r="D259" s="101" t="s">
        <v>455</v>
      </c>
      <c r="E259" s="279">
        <v>603.29999999999995</v>
      </c>
      <c r="F259" s="441">
        <v>8251.1666345696685</v>
      </c>
      <c r="G259" s="441">
        <v>23691.33</v>
      </c>
      <c r="H259" s="73">
        <v>15440.163365430333</v>
      </c>
      <c r="I259" s="5">
        <v>0</v>
      </c>
      <c r="J259" s="5">
        <v>0</v>
      </c>
      <c r="K259" s="450"/>
      <c r="L259" s="5">
        <v>0</v>
      </c>
      <c r="M259" s="5">
        <v>0</v>
      </c>
      <c r="N259" s="35"/>
      <c r="O259" s="5">
        <v>0</v>
      </c>
      <c r="P259" s="5">
        <v>0</v>
      </c>
      <c r="Q259" s="447"/>
      <c r="R259" s="5">
        <v>0</v>
      </c>
      <c r="S259" s="5">
        <v>0</v>
      </c>
      <c r="T259" s="448"/>
      <c r="U259" s="5">
        <v>0</v>
      </c>
      <c r="V259" s="5">
        <v>0</v>
      </c>
      <c r="W259" s="5">
        <v>0</v>
      </c>
      <c r="X259" s="5">
        <v>0</v>
      </c>
      <c r="Y259" s="5">
        <v>23430.33</v>
      </c>
      <c r="Z259" s="5">
        <v>0</v>
      </c>
      <c r="AA259" s="5">
        <v>0</v>
      </c>
      <c r="AB259" s="5">
        <v>0</v>
      </c>
      <c r="AC259" s="5">
        <v>0</v>
      </c>
      <c r="AD259" s="5">
        <v>261</v>
      </c>
      <c r="AE259" s="5">
        <v>862.9834972438947</v>
      </c>
      <c r="AF259" s="5">
        <v>0</v>
      </c>
      <c r="AG259" s="5"/>
      <c r="AH259" s="5">
        <v>993.90570686333979</v>
      </c>
      <c r="AI259" s="5">
        <v>0</v>
      </c>
      <c r="AJ259" s="5"/>
      <c r="AK259" s="5">
        <v>356.69204205075624</v>
      </c>
      <c r="AL259" s="5">
        <v>532</v>
      </c>
      <c r="AM259" s="5"/>
      <c r="AN259" s="5">
        <v>0</v>
      </c>
      <c r="AO259" s="5">
        <v>0</v>
      </c>
      <c r="AP259" s="5"/>
      <c r="AQ259" s="5">
        <v>0</v>
      </c>
      <c r="AR259" s="5">
        <v>0</v>
      </c>
      <c r="AS259" s="5"/>
      <c r="AT259" s="5">
        <v>110.09836158969283</v>
      </c>
      <c r="AU259" s="5">
        <v>711</v>
      </c>
      <c r="AV259" s="5"/>
      <c r="AW259" s="5">
        <v>18.098999999999997</v>
      </c>
      <c r="AX259" s="5">
        <v>0</v>
      </c>
      <c r="AY259" s="5"/>
      <c r="AZ259" s="40">
        <v>2341.778607747684</v>
      </c>
      <c r="BA259" s="40">
        <v>1243</v>
      </c>
      <c r="BB259" s="55">
        <v>-1098.778607747684</v>
      </c>
      <c r="BD259" s="2">
        <v>2</v>
      </c>
      <c r="BF259" s="325">
        <v>150000673</v>
      </c>
    </row>
    <row r="260" spans="1:58" ht="25.05" customHeight="1" x14ac:dyDescent="0.3">
      <c r="A260" s="325">
        <v>150000670</v>
      </c>
      <c r="B260" s="445" t="s">
        <v>127</v>
      </c>
      <c r="C260" s="27">
        <v>1</v>
      </c>
      <c r="D260" s="101" t="s">
        <v>455</v>
      </c>
      <c r="E260" s="279">
        <v>211.6</v>
      </c>
      <c r="F260" s="441">
        <v>2089.0237043026241</v>
      </c>
      <c r="G260" s="441">
        <v>0</v>
      </c>
      <c r="H260" s="73">
        <v>-2089.0237043026241</v>
      </c>
      <c r="I260" s="5">
        <v>0</v>
      </c>
      <c r="J260" s="5">
        <v>0</v>
      </c>
      <c r="K260" s="446"/>
      <c r="L260" s="5">
        <v>0</v>
      </c>
      <c r="M260" s="5">
        <v>0</v>
      </c>
      <c r="N260" s="35"/>
      <c r="O260" s="5">
        <v>0</v>
      </c>
      <c r="P260" s="5">
        <v>0</v>
      </c>
      <c r="Q260" s="447"/>
      <c r="R260" s="5">
        <v>0</v>
      </c>
      <c r="S260" s="5">
        <v>0</v>
      </c>
      <c r="T260" s="448"/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  <c r="AG260" s="5"/>
      <c r="AH260" s="5">
        <v>0</v>
      </c>
      <c r="AI260" s="5">
        <v>0</v>
      </c>
      <c r="AJ260" s="5"/>
      <c r="AK260" s="5">
        <v>0</v>
      </c>
      <c r="AL260" s="5">
        <v>0</v>
      </c>
      <c r="AM260" s="5"/>
      <c r="AN260" s="5">
        <v>0</v>
      </c>
      <c r="AO260" s="5">
        <v>0</v>
      </c>
      <c r="AP260" s="5"/>
      <c r="AQ260" s="5">
        <v>0</v>
      </c>
      <c r="AR260" s="5">
        <v>0</v>
      </c>
      <c r="AS260" s="5"/>
      <c r="AT260" s="5">
        <v>0</v>
      </c>
      <c r="AU260" s="5">
        <v>0</v>
      </c>
      <c r="AV260" s="5"/>
      <c r="AW260" s="5">
        <v>6.2850000000000001</v>
      </c>
      <c r="AX260" s="5">
        <v>0</v>
      </c>
      <c r="AY260" s="5"/>
      <c r="AZ260" s="40">
        <v>6.2850000000000001</v>
      </c>
      <c r="BA260" s="40">
        <v>0</v>
      </c>
      <c r="BB260" s="55">
        <v>-6.2850000000000001</v>
      </c>
      <c r="BD260" s="2">
        <v>2</v>
      </c>
      <c r="BF260" s="325">
        <v>150000670</v>
      </c>
    </row>
    <row r="261" spans="1:58" ht="25.05" customHeight="1" x14ac:dyDescent="0.3">
      <c r="A261" s="325">
        <v>150000676</v>
      </c>
      <c r="B261" s="445" t="s">
        <v>386</v>
      </c>
      <c r="C261" s="27">
        <v>9</v>
      </c>
      <c r="D261" s="101" t="s">
        <v>455</v>
      </c>
      <c r="E261" s="279">
        <v>4198.2</v>
      </c>
      <c r="F261" s="441">
        <v>55602.372912976884</v>
      </c>
      <c r="G261" s="441">
        <v>76792.42</v>
      </c>
      <c r="H261" s="73">
        <v>21190.047087023115</v>
      </c>
      <c r="I261" s="5">
        <v>0</v>
      </c>
      <c r="J261" s="5">
        <v>0</v>
      </c>
      <c r="K261" s="446"/>
      <c r="L261" s="5">
        <v>0</v>
      </c>
      <c r="M261" s="5">
        <v>0</v>
      </c>
      <c r="N261" s="35"/>
      <c r="O261" s="5">
        <v>45</v>
      </c>
      <c r="P261" s="5">
        <v>7416</v>
      </c>
      <c r="Q261" s="447"/>
      <c r="R261" s="5">
        <v>2</v>
      </c>
      <c r="S261" s="5">
        <v>3789</v>
      </c>
      <c r="T261" s="456"/>
      <c r="U261" s="5">
        <v>0</v>
      </c>
      <c r="V261" s="5">
        <v>0</v>
      </c>
      <c r="W261" s="5">
        <v>0</v>
      </c>
      <c r="X261" s="5">
        <v>0</v>
      </c>
      <c r="Y261" s="5">
        <v>61696.42</v>
      </c>
      <c r="Z261" s="5">
        <v>0</v>
      </c>
      <c r="AA261" s="5">
        <v>0</v>
      </c>
      <c r="AB261" s="5">
        <v>0</v>
      </c>
      <c r="AC261" s="5">
        <v>438</v>
      </c>
      <c r="AD261" s="5">
        <v>3453</v>
      </c>
      <c r="AE261" s="5">
        <v>2368.8515626956382</v>
      </c>
      <c r="AF261" s="5">
        <v>3078</v>
      </c>
      <c r="AG261" s="454"/>
      <c r="AH261" s="5">
        <v>2731.0683424406884</v>
      </c>
      <c r="AI261" s="5">
        <v>2055</v>
      </c>
      <c r="AJ261" s="5"/>
      <c r="AK261" s="5">
        <v>1718.2472400413299</v>
      </c>
      <c r="AL261" s="5">
        <v>0</v>
      </c>
      <c r="AM261" s="5"/>
      <c r="AN261" s="5">
        <v>2230.6435307291945</v>
      </c>
      <c r="AO261" s="5">
        <v>0</v>
      </c>
      <c r="AP261" s="5"/>
      <c r="AQ261" s="5">
        <v>923.71373565197098</v>
      </c>
      <c r="AR261" s="5">
        <v>2195</v>
      </c>
      <c r="AS261" s="5"/>
      <c r="AT261" s="5">
        <v>1551.8720491295853</v>
      </c>
      <c r="AU261" s="5">
        <v>0</v>
      </c>
      <c r="AV261" s="5"/>
      <c r="AW261" s="5">
        <v>125.94900000000001</v>
      </c>
      <c r="AX261" s="5">
        <v>0</v>
      </c>
      <c r="AY261" s="5"/>
      <c r="AZ261" s="40">
        <v>11650.345460688408</v>
      </c>
      <c r="BA261" s="40">
        <v>7328</v>
      </c>
      <c r="BB261" s="55">
        <v>-4322.3454606884079</v>
      </c>
      <c r="BD261" s="2">
        <v>2</v>
      </c>
      <c r="BF261" s="325">
        <v>150000676</v>
      </c>
    </row>
    <row r="262" spans="1:58" ht="25.05" customHeight="1" x14ac:dyDescent="0.3">
      <c r="A262" s="325">
        <v>150000671</v>
      </c>
      <c r="B262" s="445" t="s">
        <v>128</v>
      </c>
      <c r="C262" s="27">
        <v>1</v>
      </c>
      <c r="D262" s="101" t="s">
        <v>455</v>
      </c>
      <c r="E262" s="279">
        <v>229.7</v>
      </c>
      <c r="F262" s="441">
        <v>2935.8368641734369</v>
      </c>
      <c r="G262" s="441">
        <v>0</v>
      </c>
      <c r="H262" s="73">
        <v>-2935.8368641734369</v>
      </c>
      <c r="I262" s="5">
        <v>0</v>
      </c>
      <c r="J262" s="5">
        <v>0</v>
      </c>
      <c r="K262" s="446"/>
      <c r="L262" s="5">
        <v>0</v>
      </c>
      <c r="M262" s="5">
        <v>0</v>
      </c>
      <c r="N262" s="35"/>
      <c r="O262" s="5">
        <v>0</v>
      </c>
      <c r="P262" s="5">
        <v>0</v>
      </c>
      <c r="Q262" s="447"/>
      <c r="R262" s="5">
        <v>0</v>
      </c>
      <c r="S262" s="5">
        <v>0</v>
      </c>
      <c r="T262" s="448"/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/>
      <c r="AH262" s="5">
        <v>0</v>
      </c>
      <c r="AI262" s="5">
        <v>0</v>
      </c>
      <c r="AJ262" s="5"/>
      <c r="AK262" s="5">
        <v>0</v>
      </c>
      <c r="AL262" s="5">
        <v>0</v>
      </c>
      <c r="AM262" s="5"/>
      <c r="AN262" s="5">
        <v>0</v>
      </c>
      <c r="AO262" s="5">
        <v>0</v>
      </c>
      <c r="AP262" s="5"/>
      <c r="AQ262" s="5">
        <v>0</v>
      </c>
      <c r="AR262" s="5">
        <v>0</v>
      </c>
      <c r="AS262" s="5"/>
      <c r="AT262" s="5">
        <v>0</v>
      </c>
      <c r="AU262" s="5">
        <v>0</v>
      </c>
      <c r="AV262" s="5"/>
      <c r="AW262" s="5">
        <v>6.8070000000000004</v>
      </c>
      <c r="AX262" s="5">
        <v>0</v>
      </c>
      <c r="AY262" s="5"/>
      <c r="AZ262" s="40">
        <v>6.8070000000000004</v>
      </c>
      <c r="BA262" s="40">
        <v>0</v>
      </c>
      <c r="BB262" s="55">
        <v>-6.8070000000000004</v>
      </c>
      <c r="BD262" s="2">
        <v>2</v>
      </c>
      <c r="BF262" s="325">
        <v>150000671</v>
      </c>
    </row>
    <row r="263" spans="1:58" ht="25.05" customHeight="1" x14ac:dyDescent="0.3">
      <c r="A263" s="325">
        <v>150000726</v>
      </c>
      <c r="B263" s="445" t="s">
        <v>184</v>
      </c>
      <c r="C263" s="27">
        <v>2</v>
      </c>
      <c r="D263" s="101" t="s">
        <v>455</v>
      </c>
      <c r="E263" s="279">
        <v>409.7</v>
      </c>
      <c r="F263" s="441">
        <v>4979.6056586710647</v>
      </c>
      <c r="G263" s="441">
        <v>130</v>
      </c>
      <c r="H263" s="73">
        <v>-4849.6056586710647</v>
      </c>
      <c r="I263" s="5">
        <v>0</v>
      </c>
      <c r="J263" s="5">
        <v>0</v>
      </c>
      <c r="K263" s="446"/>
      <c r="L263" s="5">
        <v>0</v>
      </c>
      <c r="M263" s="5">
        <v>0</v>
      </c>
      <c r="N263" s="35"/>
      <c r="O263" s="5">
        <v>0</v>
      </c>
      <c r="P263" s="5">
        <v>0</v>
      </c>
      <c r="Q263" s="447"/>
      <c r="R263" s="5">
        <v>0</v>
      </c>
      <c r="S263" s="5">
        <v>0</v>
      </c>
      <c r="T263" s="448"/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130</v>
      </c>
      <c r="AE263" s="5">
        <v>445.54944474022045</v>
      </c>
      <c r="AF263" s="5">
        <v>0</v>
      </c>
      <c r="AG263" s="5"/>
      <c r="AH263" s="5">
        <v>540.7078733590771</v>
      </c>
      <c r="AI263" s="5">
        <v>0</v>
      </c>
      <c r="AJ263" s="5"/>
      <c r="AK263" s="5">
        <v>254.78429505761719</v>
      </c>
      <c r="AL263" s="5">
        <v>0</v>
      </c>
      <c r="AM263" s="5"/>
      <c r="AN263" s="5">
        <v>0</v>
      </c>
      <c r="AO263" s="5">
        <v>0</v>
      </c>
      <c r="AP263" s="5"/>
      <c r="AQ263" s="5">
        <v>0</v>
      </c>
      <c r="AR263" s="5">
        <v>0</v>
      </c>
      <c r="AS263" s="5"/>
      <c r="AT263" s="5">
        <v>95.609109999152707</v>
      </c>
      <c r="AU263" s="5">
        <v>1162</v>
      </c>
      <c r="AV263" s="5"/>
      <c r="AW263" s="5">
        <v>12.260999999999999</v>
      </c>
      <c r="AX263" s="5">
        <v>0</v>
      </c>
      <c r="AY263" s="5"/>
      <c r="AZ263" s="40">
        <v>1348.9117231560674</v>
      </c>
      <c r="BA263" s="40">
        <v>1162</v>
      </c>
      <c r="BB263" s="55">
        <v>-186.91172315606741</v>
      </c>
      <c r="BD263" s="2">
        <v>2</v>
      </c>
      <c r="BF263" s="325">
        <v>150000726</v>
      </c>
    </row>
    <row r="264" spans="1:58" ht="25.05" customHeight="1" x14ac:dyDescent="0.3">
      <c r="A264" s="325">
        <v>150000727</v>
      </c>
      <c r="B264" s="445" t="s">
        <v>129</v>
      </c>
      <c r="C264" s="27">
        <v>1</v>
      </c>
      <c r="D264" s="101" t="s">
        <v>455</v>
      </c>
      <c r="E264" s="279">
        <v>188.44</v>
      </c>
      <c r="F264" s="441">
        <v>1765.7762681893023</v>
      </c>
      <c r="G264" s="441">
        <v>0</v>
      </c>
      <c r="H264" s="73">
        <v>-1765.7762681893023</v>
      </c>
      <c r="I264" s="5">
        <v>0</v>
      </c>
      <c r="J264" s="5">
        <v>0</v>
      </c>
      <c r="K264" s="446"/>
      <c r="L264" s="5">
        <v>0</v>
      </c>
      <c r="M264" s="5">
        <v>0</v>
      </c>
      <c r="N264" s="35"/>
      <c r="O264" s="5">
        <v>0</v>
      </c>
      <c r="P264" s="5">
        <v>0</v>
      </c>
      <c r="Q264" s="447"/>
      <c r="R264" s="5">
        <v>0</v>
      </c>
      <c r="S264" s="5">
        <v>0</v>
      </c>
      <c r="T264" s="448"/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/>
      <c r="AH264" s="5">
        <v>0</v>
      </c>
      <c r="AI264" s="5">
        <v>0</v>
      </c>
      <c r="AJ264" s="5"/>
      <c r="AK264" s="5">
        <v>0</v>
      </c>
      <c r="AL264" s="5">
        <v>0</v>
      </c>
      <c r="AM264" s="5"/>
      <c r="AN264" s="5">
        <v>0</v>
      </c>
      <c r="AO264" s="5">
        <v>0</v>
      </c>
      <c r="AP264" s="5"/>
      <c r="AQ264" s="5">
        <v>0</v>
      </c>
      <c r="AR264" s="5">
        <v>0</v>
      </c>
      <c r="AS264" s="5"/>
      <c r="AT264" s="5">
        <v>0</v>
      </c>
      <c r="AU264" s="5">
        <v>0</v>
      </c>
      <c r="AV264" s="5"/>
      <c r="AW264" s="5">
        <v>5.6532</v>
      </c>
      <c r="AX264" s="5">
        <v>0</v>
      </c>
      <c r="AY264" s="5"/>
      <c r="AZ264" s="40">
        <v>5.6532</v>
      </c>
      <c r="BA264" s="40">
        <v>0</v>
      </c>
      <c r="BB264" s="55">
        <v>-5.6532</v>
      </c>
      <c r="BD264" s="2">
        <v>2</v>
      </c>
      <c r="BF264" s="325">
        <v>150000727</v>
      </c>
    </row>
    <row r="265" spans="1:58" ht="25.05" customHeight="1" x14ac:dyDescent="0.3">
      <c r="A265" s="325">
        <v>150000728</v>
      </c>
      <c r="B265" s="445" t="s">
        <v>185</v>
      </c>
      <c r="C265" s="27">
        <v>2</v>
      </c>
      <c r="D265" s="101" t="s">
        <v>455</v>
      </c>
      <c r="E265" s="279">
        <v>450.6</v>
      </c>
      <c r="F265" s="441">
        <v>3950.9828276633857</v>
      </c>
      <c r="G265" s="441">
        <v>130</v>
      </c>
      <c r="H265" s="73">
        <v>-3820.9828276633857</v>
      </c>
      <c r="I265" s="5">
        <v>0</v>
      </c>
      <c r="J265" s="5">
        <v>0</v>
      </c>
      <c r="K265" s="446"/>
      <c r="L265" s="5">
        <v>0</v>
      </c>
      <c r="M265" s="5">
        <v>0</v>
      </c>
      <c r="N265" s="35"/>
      <c r="O265" s="5">
        <v>0</v>
      </c>
      <c r="P265" s="5">
        <v>0</v>
      </c>
      <c r="Q265" s="447"/>
      <c r="R265" s="5">
        <v>0</v>
      </c>
      <c r="S265" s="5">
        <v>0</v>
      </c>
      <c r="T265" s="448"/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130</v>
      </c>
      <c r="AE265" s="5">
        <v>471.99356244623243</v>
      </c>
      <c r="AF265" s="5">
        <v>0</v>
      </c>
      <c r="AG265" s="5"/>
      <c r="AH265" s="5">
        <v>540.7078733590771</v>
      </c>
      <c r="AI265" s="5">
        <v>0</v>
      </c>
      <c r="AJ265" s="5"/>
      <c r="AK265" s="5">
        <v>288.06158444694177</v>
      </c>
      <c r="AL265" s="5">
        <v>0</v>
      </c>
      <c r="AM265" s="5"/>
      <c r="AN265" s="5">
        <v>0</v>
      </c>
      <c r="AO265" s="5">
        <v>0</v>
      </c>
      <c r="AP265" s="5"/>
      <c r="AQ265" s="5">
        <v>0</v>
      </c>
      <c r="AR265" s="5">
        <v>0</v>
      </c>
      <c r="AS265" s="5"/>
      <c r="AT265" s="5">
        <v>95.609109999152707</v>
      </c>
      <c r="AU265" s="5">
        <v>709</v>
      </c>
      <c r="AV265" s="5"/>
      <c r="AW265" s="5">
        <v>13.518000000000001</v>
      </c>
      <c r="AX265" s="5">
        <v>0</v>
      </c>
      <c r="AY265" s="5"/>
      <c r="AZ265" s="40">
        <v>1409.8901302514041</v>
      </c>
      <c r="BA265" s="40">
        <v>709</v>
      </c>
      <c r="BB265" s="55">
        <v>-700.89013025140412</v>
      </c>
      <c r="BD265" s="2">
        <v>2</v>
      </c>
      <c r="BF265" s="325">
        <v>150000728</v>
      </c>
    </row>
    <row r="266" spans="1:58" ht="25.05" customHeight="1" x14ac:dyDescent="0.3">
      <c r="A266" s="325">
        <v>150000729</v>
      </c>
      <c r="B266" s="445" t="s">
        <v>274</v>
      </c>
      <c r="C266" s="27">
        <v>5</v>
      </c>
      <c r="D266" s="101" t="s">
        <v>455</v>
      </c>
      <c r="E266" s="279">
        <v>2102.6</v>
      </c>
      <c r="F266" s="441">
        <v>24604.290872176542</v>
      </c>
      <c r="G266" s="441">
        <v>1014</v>
      </c>
      <c r="H266" s="73">
        <v>-23590.290872176542</v>
      </c>
      <c r="I266" s="5">
        <v>0</v>
      </c>
      <c r="J266" s="5">
        <v>0</v>
      </c>
      <c r="K266" s="457"/>
      <c r="L266" s="5">
        <v>0</v>
      </c>
      <c r="M266" s="5">
        <v>0</v>
      </c>
      <c r="N266" s="35"/>
      <c r="O266" s="5">
        <v>0</v>
      </c>
      <c r="P266" s="5">
        <v>0</v>
      </c>
      <c r="Q266" s="447"/>
      <c r="R266" s="5">
        <v>0</v>
      </c>
      <c r="S266" s="5">
        <v>0</v>
      </c>
      <c r="T266" s="448"/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1014</v>
      </c>
      <c r="AE266" s="5">
        <v>2011.7372618098329</v>
      </c>
      <c r="AF266" s="5">
        <v>0</v>
      </c>
      <c r="AG266" s="8"/>
      <c r="AH266" s="5">
        <v>2893.4102759072148</v>
      </c>
      <c r="AI266" s="5">
        <v>0</v>
      </c>
      <c r="AJ266" s="5"/>
      <c r="AK266" s="5">
        <v>1219.9238382948577</v>
      </c>
      <c r="AL266" s="5">
        <v>993</v>
      </c>
      <c r="AM266" s="5"/>
      <c r="AN266" s="5">
        <v>0</v>
      </c>
      <c r="AO266" s="5">
        <v>0</v>
      </c>
      <c r="AP266" s="5"/>
      <c r="AQ266" s="5">
        <v>0</v>
      </c>
      <c r="AR266" s="5">
        <v>0</v>
      </c>
      <c r="AS266" s="5"/>
      <c r="AT266" s="5">
        <v>1200.0239802169494</v>
      </c>
      <c r="AU266" s="5">
        <v>0</v>
      </c>
      <c r="AV266" s="5"/>
      <c r="AW266" s="5">
        <v>63.170999999999992</v>
      </c>
      <c r="AX266" s="5">
        <v>0</v>
      </c>
      <c r="AY266" s="5"/>
      <c r="AZ266" s="40">
        <v>7388.2663562288562</v>
      </c>
      <c r="BA266" s="40">
        <v>993</v>
      </c>
      <c r="BB266" s="55">
        <v>-6395.2663562288562</v>
      </c>
      <c r="BD266" s="2">
        <v>2</v>
      </c>
      <c r="BF266" s="325">
        <v>150000729</v>
      </c>
    </row>
    <row r="267" spans="1:58" ht="25.05" customHeight="1" x14ac:dyDescent="0.3">
      <c r="A267" s="325">
        <v>150000721</v>
      </c>
      <c r="B267" s="445" t="s">
        <v>219</v>
      </c>
      <c r="C267" s="27">
        <v>4</v>
      </c>
      <c r="D267" s="101" t="s">
        <v>455</v>
      </c>
      <c r="E267" s="279">
        <v>2791.9</v>
      </c>
      <c r="F267" s="441">
        <v>29159.586803666236</v>
      </c>
      <c r="G267" s="441">
        <v>99541.974365612899</v>
      </c>
      <c r="H267" s="73">
        <v>70382.387561946671</v>
      </c>
      <c r="I267" s="5">
        <v>0</v>
      </c>
      <c r="J267" s="5">
        <v>0</v>
      </c>
      <c r="K267" s="446"/>
      <c r="L267" s="5">
        <v>0</v>
      </c>
      <c r="M267" s="5">
        <v>0</v>
      </c>
      <c r="N267" s="35"/>
      <c r="O267" s="5">
        <v>0</v>
      </c>
      <c r="P267" s="5">
        <v>0</v>
      </c>
      <c r="Q267" s="447"/>
      <c r="R267" s="5">
        <v>0</v>
      </c>
      <c r="S267" s="5">
        <v>0</v>
      </c>
      <c r="T267" s="448"/>
      <c r="U267" s="5">
        <v>0</v>
      </c>
      <c r="V267" s="5">
        <v>0</v>
      </c>
      <c r="W267" s="5">
        <v>0</v>
      </c>
      <c r="X267" s="5">
        <v>2618.4643656129001</v>
      </c>
      <c r="Y267" s="5">
        <v>85058.51</v>
      </c>
      <c r="Z267" s="5">
        <v>0</v>
      </c>
      <c r="AA267" s="5">
        <v>0</v>
      </c>
      <c r="AB267" s="5">
        <v>0</v>
      </c>
      <c r="AC267" s="5">
        <v>0</v>
      </c>
      <c r="AD267" s="5">
        <v>11865</v>
      </c>
      <c r="AE267" s="5">
        <v>2219.1630585489102</v>
      </c>
      <c r="AF267" s="5">
        <v>1526</v>
      </c>
      <c r="AG267" s="5"/>
      <c r="AH267" s="5">
        <v>2392.877934031515</v>
      </c>
      <c r="AI267" s="5">
        <v>26</v>
      </c>
      <c r="AJ267" s="5"/>
      <c r="AK267" s="5">
        <v>1834.7377037826859</v>
      </c>
      <c r="AL267" s="5">
        <v>531</v>
      </c>
      <c r="AM267" s="5"/>
      <c r="AN267" s="5">
        <v>0</v>
      </c>
      <c r="AO267" s="5">
        <v>0</v>
      </c>
      <c r="AP267" s="5"/>
      <c r="AQ267" s="5">
        <v>0</v>
      </c>
      <c r="AR267" s="5">
        <v>0</v>
      </c>
      <c r="AS267" s="5"/>
      <c r="AT267" s="5">
        <v>867.21611719166538</v>
      </c>
      <c r="AU267" s="5">
        <v>1146</v>
      </c>
      <c r="AV267" s="5"/>
      <c r="AW267" s="5">
        <v>83.685000000000002</v>
      </c>
      <c r="AX267" s="5">
        <v>0</v>
      </c>
      <c r="AY267" s="5"/>
      <c r="AZ267" s="40">
        <v>7397.679813554777</v>
      </c>
      <c r="BA267" s="40">
        <v>3229</v>
      </c>
      <c r="BB267" s="55">
        <v>-4168.679813554777</v>
      </c>
      <c r="BD267" s="2">
        <v>2</v>
      </c>
      <c r="BF267" s="325">
        <v>150000721</v>
      </c>
    </row>
    <row r="268" spans="1:58" ht="25.05" customHeight="1" x14ac:dyDescent="0.3">
      <c r="A268" s="325">
        <v>150000722</v>
      </c>
      <c r="B268" s="445" t="s">
        <v>275</v>
      </c>
      <c r="C268" s="27">
        <v>5</v>
      </c>
      <c r="D268" s="101" t="s">
        <v>455</v>
      </c>
      <c r="E268" s="279">
        <v>3559.5</v>
      </c>
      <c r="F268" s="441">
        <v>53523.557286863259</v>
      </c>
      <c r="G268" s="441">
        <v>87709.41</v>
      </c>
      <c r="H268" s="73">
        <v>34185.852713136745</v>
      </c>
      <c r="I268" s="5">
        <v>273.10000000000002</v>
      </c>
      <c r="J268" s="5">
        <v>64326.19</v>
      </c>
      <c r="K268" s="446"/>
      <c r="L268" s="5">
        <v>0</v>
      </c>
      <c r="M268" s="5">
        <v>0</v>
      </c>
      <c r="N268" s="35"/>
      <c r="O268" s="5">
        <v>20</v>
      </c>
      <c r="P268" s="5">
        <v>6715</v>
      </c>
      <c r="Q268" s="465"/>
      <c r="R268" s="5">
        <v>0</v>
      </c>
      <c r="S268" s="5">
        <v>0</v>
      </c>
      <c r="T268" s="448"/>
      <c r="U268" s="5">
        <v>0</v>
      </c>
      <c r="V268" s="5">
        <v>0</v>
      </c>
      <c r="W268" s="5">
        <v>24</v>
      </c>
      <c r="X268" s="5">
        <v>11837.22</v>
      </c>
      <c r="Y268" s="5">
        <v>897</v>
      </c>
      <c r="Z268" s="5">
        <v>0</v>
      </c>
      <c r="AA268" s="5">
        <v>0</v>
      </c>
      <c r="AB268" s="5">
        <v>2258</v>
      </c>
      <c r="AC268" s="5">
        <v>0</v>
      </c>
      <c r="AD268" s="5">
        <v>1676</v>
      </c>
      <c r="AE268" s="5">
        <v>2598.2692131792278</v>
      </c>
      <c r="AF268" s="5">
        <v>1693.71</v>
      </c>
      <c r="AG268" s="5"/>
      <c r="AH268" s="5">
        <v>3337.1088331661986</v>
      </c>
      <c r="AI268" s="5">
        <v>0</v>
      </c>
      <c r="AJ268" s="5"/>
      <c r="AK268" s="5">
        <v>2491.0533171138895</v>
      </c>
      <c r="AL268" s="5">
        <v>0</v>
      </c>
      <c r="AM268" s="5"/>
      <c r="AN268" s="5">
        <v>0</v>
      </c>
      <c r="AO268" s="5">
        <v>0</v>
      </c>
      <c r="AP268" s="5"/>
      <c r="AQ268" s="5">
        <v>0</v>
      </c>
      <c r="AR268" s="5">
        <v>0</v>
      </c>
      <c r="AS268" s="5"/>
      <c r="AT268" s="5">
        <v>1694.6137292059809</v>
      </c>
      <c r="AU268" s="5">
        <v>19864</v>
      </c>
      <c r="AV268" s="5"/>
      <c r="AW268" s="5">
        <v>106.785</v>
      </c>
      <c r="AX268" s="5">
        <v>0</v>
      </c>
      <c r="AY268" s="5"/>
      <c r="AZ268" s="40">
        <v>10227.830092665297</v>
      </c>
      <c r="BA268" s="40">
        <v>21557.71</v>
      </c>
      <c r="BB268" s="55">
        <v>11329.879907334702</v>
      </c>
      <c r="BD268" s="2">
        <v>2</v>
      </c>
      <c r="BF268" s="325">
        <v>150000722</v>
      </c>
    </row>
    <row r="269" spans="1:58" ht="25.05" customHeight="1" x14ac:dyDescent="0.3">
      <c r="A269" s="325">
        <v>150000723</v>
      </c>
      <c r="B269" s="445" t="s">
        <v>276</v>
      </c>
      <c r="C269" s="27">
        <v>5</v>
      </c>
      <c r="D269" s="101" t="s">
        <v>455</v>
      </c>
      <c r="E269" s="279">
        <v>3575.2</v>
      </c>
      <c r="F269" s="441">
        <v>53629.960361265112</v>
      </c>
      <c r="G269" s="441">
        <v>104471.5342399708</v>
      </c>
      <c r="H269" s="73">
        <v>50841.573878705691</v>
      </c>
      <c r="I269" s="5">
        <v>0</v>
      </c>
      <c r="J269" s="5">
        <v>0</v>
      </c>
      <c r="K269" s="446"/>
      <c r="L269" s="5">
        <v>2</v>
      </c>
      <c r="M269" s="5">
        <v>83132</v>
      </c>
      <c r="N269" s="35"/>
      <c r="O269" s="5">
        <v>0</v>
      </c>
      <c r="P269" s="5">
        <v>0</v>
      </c>
      <c r="Q269" s="465"/>
      <c r="R269" s="5">
        <v>0</v>
      </c>
      <c r="S269" s="5">
        <v>0</v>
      </c>
      <c r="T269" s="448"/>
      <c r="U269" s="5">
        <v>0</v>
      </c>
      <c r="V269" s="5">
        <v>0</v>
      </c>
      <c r="W269" s="5">
        <v>8</v>
      </c>
      <c r="X269" s="5">
        <v>7039.7842399708088</v>
      </c>
      <c r="Y269" s="5">
        <v>7624</v>
      </c>
      <c r="Z269" s="5">
        <v>0</v>
      </c>
      <c r="AA269" s="5">
        <v>0</v>
      </c>
      <c r="AB269" s="5">
        <v>595.62</v>
      </c>
      <c r="AC269" s="5">
        <v>3068</v>
      </c>
      <c r="AD269" s="5">
        <v>3012.13</v>
      </c>
      <c r="AE269" s="5">
        <v>2598.6227978442671</v>
      </c>
      <c r="AF269" s="5">
        <v>165</v>
      </c>
      <c r="AG269" s="8"/>
      <c r="AH269" s="5">
        <v>3337.1088331661986</v>
      </c>
      <c r="AI269" s="5">
        <v>0</v>
      </c>
      <c r="AJ269" s="5"/>
      <c r="AK269" s="5">
        <v>2506.5848226823532</v>
      </c>
      <c r="AL269" s="5">
        <v>184</v>
      </c>
      <c r="AM269" s="5"/>
      <c r="AN269" s="5">
        <v>0</v>
      </c>
      <c r="AO269" s="5">
        <v>0</v>
      </c>
      <c r="AP269" s="5"/>
      <c r="AQ269" s="5">
        <v>0</v>
      </c>
      <c r="AR269" s="5">
        <v>0</v>
      </c>
      <c r="AS269" s="5"/>
      <c r="AT269" s="5">
        <v>1694.8337097692968</v>
      </c>
      <c r="AU269" s="5">
        <v>845</v>
      </c>
      <c r="AV269" s="5"/>
      <c r="AW269" s="5">
        <v>107.26200000000001</v>
      </c>
      <c r="AX269" s="5">
        <v>0</v>
      </c>
      <c r="AY269" s="5"/>
      <c r="AZ269" s="40">
        <v>10244.412163462115</v>
      </c>
      <c r="BA269" s="40">
        <v>1194</v>
      </c>
      <c r="BB269" s="55">
        <v>-9050.4121634621151</v>
      </c>
      <c r="BD269" s="2">
        <v>2</v>
      </c>
      <c r="BF269" s="325">
        <v>150000723</v>
      </c>
    </row>
    <row r="270" spans="1:58" ht="25.05" customHeight="1" x14ac:dyDescent="0.3">
      <c r="A270" s="325">
        <v>150000724</v>
      </c>
      <c r="B270" s="445" t="s">
        <v>277</v>
      </c>
      <c r="C270" s="27">
        <v>5</v>
      </c>
      <c r="D270" s="101" t="s">
        <v>455</v>
      </c>
      <c r="E270" s="279">
        <v>3564.2</v>
      </c>
      <c r="F270" s="441">
        <v>49724.334338707718</v>
      </c>
      <c r="G270" s="441">
        <v>11666.11</v>
      </c>
      <c r="H270" s="73">
        <v>-38058.224338707718</v>
      </c>
      <c r="I270" s="5">
        <v>0</v>
      </c>
      <c r="J270" s="5">
        <v>0</v>
      </c>
      <c r="K270" s="446"/>
      <c r="L270" s="5">
        <v>0</v>
      </c>
      <c r="M270" s="5">
        <v>0</v>
      </c>
      <c r="N270" s="35"/>
      <c r="O270" s="5">
        <v>0</v>
      </c>
      <c r="P270" s="5">
        <v>0</v>
      </c>
      <c r="Q270" s="465"/>
      <c r="R270" s="5">
        <v>0</v>
      </c>
      <c r="S270" s="5">
        <v>0</v>
      </c>
      <c r="T270" s="448"/>
      <c r="U270" s="5">
        <v>0</v>
      </c>
      <c r="V270" s="5">
        <v>0</v>
      </c>
      <c r="W270" s="5">
        <v>0</v>
      </c>
      <c r="X270" s="5">
        <v>0</v>
      </c>
      <c r="Y270" s="5">
        <v>5423.11</v>
      </c>
      <c r="Z270" s="5">
        <v>0</v>
      </c>
      <c r="AA270" s="5">
        <v>0</v>
      </c>
      <c r="AB270" s="5">
        <v>0</v>
      </c>
      <c r="AC270" s="5">
        <v>0</v>
      </c>
      <c r="AD270" s="5">
        <v>6243</v>
      </c>
      <c r="AE270" s="5">
        <v>2598.3807482367702</v>
      </c>
      <c r="AF270" s="5">
        <v>1870</v>
      </c>
      <c r="AG270" s="5"/>
      <c r="AH270" s="5">
        <v>3337.1088331661986</v>
      </c>
      <c r="AI270" s="5">
        <v>33</v>
      </c>
      <c r="AJ270" s="5"/>
      <c r="AK270" s="5">
        <v>2506.5848226823532</v>
      </c>
      <c r="AL270" s="5">
        <v>0</v>
      </c>
      <c r="AM270" s="5"/>
      <c r="AN270" s="5">
        <v>0</v>
      </c>
      <c r="AO270" s="5">
        <v>0</v>
      </c>
      <c r="AP270" s="5"/>
      <c r="AQ270" s="5">
        <v>0</v>
      </c>
      <c r="AR270" s="5">
        <v>0</v>
      </c>
      <c r="AS270" s="5"/>
      <c r="AT270" s="5">
        <v>1694.8337097692968</v>
      </c>
      <c r="AU270" s="5">
        <v>2200</v>
      </c>
      <c r="AV270" s="5"/>
      <c r="AW270" s="5">
        <v>106.94999999999999</v>
      </c>
      <c r="AX270" s="5">
        <v>0</v>
      </c>
      <c r="AY270" s="5"/>
      <c r="AZ270" s="40">
        <v>10243.85811385462</v>
      </c>
      <c r="BA270" s="40">
        <v>4103</v>
      </c>
      <c r="BB270" s="55">
        <v>-6140.8581138546197</v>
      </c>
      <c r="BD270" s="2">
        <v>2</v>
      </c>
      <c r="BF270" s="325">
        <v>150000724</v>
      </c>
    </row>
    <row r="271" spans="1:58" ht="25.05" customHeight="1" x14ac:dyDescent="0.3">
      <c r="A271" s="325">
        <v>150000725</v>
      </c>
      <c r="B271" s="445" t="s">
        <v>278</v>
      </c>
      <c r="C271" s="27">
        <v>5</v>
      </c>
      <c r="D271" s="101" t="s">
        <v>455</v>
      </c>
      <c r="E271" s="279">
        <v>3571.96</v>
      </c>
      <c r="F271" s="441">
        <v>53456.276780156426</v>
      </c>
      <c r="G271" s="441">
        <v>91290.44</v>
      </c>
      <c r="H271" s="73">
        <v>37834.163219843576</v>
      </c>
      <c r="I271" s="5">
        <v>40</v>
      </c>
      <c r="J271" s="5">
        <v>4975.7299999999996</v>
      </c>
      <c r="K271" s="446"/>
      <c r="L271" s="5">
        <v>0</v>
      </c>
      <c r="M271" s="5">
        <v>9387</v>
      </c>
      <c r="N271" s="35"/>
      <c r="O271" s="5">
        <v>2</v>
      </c>
      <c r="P271" s="5">
        <v>303</v>
      </c>
      <c r="Q271" s="447"/>
      <c r="R271" s="5">
        <v>0</v>
      </c>
      <c r="S271" s="5">
        <v>0</v>
      </c>
      <c r="T271" s="448"/>
      <c r="U271" s="5">
        <v>0</v>
      </c>
      <c r="V271" s="5">
        <v>0</v>
      </c>
      <c r="W271" s="5">
        <v>0</v>
      </c>
      <c r="X271" s="5">
        <v>3986</v>
      </c>
      <c r="Y271" s="5">
        <v>2656.71</v>
      </c>
      <c r="Z271" s="5">
        <v>0</v>
      </c>
      <c r="AA271" s="5">
        <v>0</v>
      </c>
      <c r="AB271" s="5">
        <v>0</v>
      </c>
      <c r="AC271" s="5">
        <v>68527</v>
      </c>
      <c r="AD271" s="5">
        <v>1455</v>
      </c>
      <c r="AE271" s="5">
        <v>2598.3807482367702</v>
      </c>
      <c r="AF271" s="5">
        <v>2907.61</v>
      </c>
      <c r="AG271" s="5"/>
      <c r="AH271" s="5">
        <v>3337.1088331661986</v>
      </c>
      <c r="AI271" s="5">
        <v>33</v>
      </c>
      <c r="AJ271" s="5"/>
      <c r="AK271" s="5">
        <v>2487.8892530177327</v>
      </c>
      <c r="AL271" s="5">
        <v>0</v>
      </c>
      <c r="AM271" s="5"/>
      <c r="AN271" s="5">
        <v>0</v>
      </c>
      <c r="AO271" s="5">
        <v>263</v>
      </c>
      <c r="AP271" s="5"/>
      <c r="AQ271" s="5">
        <v>0</v>
      </c>
      <c r="AR271" s="5">
        <v>0</v>
      </c>
      <c r="AS271" s="5"/>
      <c r="AT271" s="5">
        <v>1694.8337097692968</v>
      </c>
      <c r="AU271" s="5">
        <v>2005</v>
      </c>
      <c r="AV271" s="5"/>
      <c r="AW271" s="5">
        <v>107.16480000000001</v>
      </c>
      <c r="AX271" s="5">
        <v>0</v>
      </c>
      <c r="AY271" s="5"/>
      <c r="AZ271" s="40">
        <v>10225.377344189999</v>
      </c>
      <c r="BA271" s="40">
        <v>5208.6100000000006</v>
      </c>
      <c r="BB271" s="55">
        <v>-5016.7673441899988</v>
      </c>
      <c r="BD271" s="2">
        <v>2</v>
      </c>
      <c r="BF271" s="325">
        <v>150000725</v>
      </c>
    </row>
    <row r="272" spans="1:58" ht="25.05" customHeight="1" x14ac:dyDescent="0.3">
      <c r="A272" s="325">
        <v>150000710</v>
      </c>
      <c r="B272" s="445" t="s">
        <v>279</v>
      </c>
      <c r="C272" s="27">
        <v>5</v>
      </c>
      <c r="D272" s="101" t="s">
        <v>455</v>
      </c>
      <c r="E272" s="279">
        <v>4572.3</v>
      </c>
      <c r="F272" s="441">
        <v>50922.185353622794</v>
      </c>
      <c r="G272" s="441">
        <v>15386.85</v>
      </c>
      <c r="H272" s="73">
        <v>-35535.335353622795</v>
      </c>
      <c r="I272" s="5">
        <v>16</v>
      </c>
      <c r="J272" s="5">
        <v>4997</v>
      </c>
      <c r="K272" s="446"/>
      <c r="L272" s="5">
        <v>0</v>
      </c>
      <c r="M272" s="5">
        <v>270</v>
      </c>
      <c r="N272" s="35"/>
      <c r="O272" s="5">
        <v>0</v>
      </c>
      <c r="P272" s="5">
        <v>0</v>
      </c>
      <c r="Q272" s="447"/>
      <c r="R272" s="5">
        <v>0</v>
      </c>
      <c r="S272" s="5">
        <v>0</v>
      </c>
      <c r="T272" s="448"/>
      <c r="U272" s="5">
        <v>0</v>
      </c>
      <c r="V272" s="5">
        <v>0</v>
      </c>
      <c r="W272" s="5">
        <v>0</v>
      </c>
      <c r="X272" s="5">
        <v>0</v>
      </c>
      <c r="Y272" s="5">
        <v>2327.85</v>
      </c>
      <c r="Z272" s="5">
        <v>0</v>
      </c>
      <c r="AA272" s="5">
        <v>0</v>
      </c>
      <c r="AB272" s="5">
        <v>1831</v>
      </c>
      <c r="AC272" s="5">
        <v>2062</v>
      </c>
      <c r="AD272" s="5">
        <v>3899</v>
      </c>
      <c r="AE272" s="5">
        <v>3651.3900072714709</v>
      </c>
      <c r="AF272" s="5">
        <v>10869.68</v>
      </c>
      <c r="AG272" s="8"/>
      <c r="AH272" s="5">
        <v>5478.0284580000016</v>
      </c>
      <c r="AI272" s="5">
        <v>21131</v>
      </c>
      <c r="AJ272" s="8"/>
      <c r="AK272" s="5">
        <v>2280.1208817053234</v>
      </c>
      <c r="AL272" s="5">
        <v>0</v>
      </c>
      <c r="AM272" s="5"/>
      <c r="AN272" s="5">
        <v>0</v>
      </c>
      <c r="AO272" s="5">
        <v>0</v>
      </c>
      <c r="AP272" s="5"/>
      <c r="AQ272" s="5">
        <v>0</v>
      </c>
      <c r="AR272" s="5">
        <v>0</v>
      </c>
      <c r="AS272" s="5"/>
      <c r="AT272" s="5">
        <v>3196.7872418114157</v>
      </c>
      <c r="AU272" s="5">
        <v>0</v>
      </c>
      <c r="AV272" s="5"/>
      <c r="AW272" s="5">
        <v>136.65900000000002</v>
      </c>
      <c r="AX272" s="5">
        <v>0</v>
      </c>
      <c r="AY272" s="5"/>
      <c r="AZ272" s="40">
        <v>14742.985588788211</v>
      </c>
      <c r="BA272" s="40">
        <v>32000.68</v>
      </c>
      <c r="BB272" s="55">
        <v>17257.694411211789</v>
      </c>
      <c r="BD272" s="2">
        <v>3</v>
      </c>
      <c r="BF272" s="325">
        <v>150000710</v>
      </c>
    </row>
    <row r="273" spans="1:58" ht="25.05" customHeight="1" x14ac:dyDescent="0.3">
      <c r="A273" s="325">
        <v>150000711</v>
      </c>
      <c r="B273" s="445" t="s">
        <v>280</v>
      </c>
      <c r="C273" s="27">
        <v>5</v>
      </c>
      <c r="D273" s="101" t="s">
        <v>455</v>
      </c>
      <c r="E273" s="279">
        <v>4577.8</v>
      </c>
      <c r="F273" s="441">
        <v>60161.863255748503</v>
      </c>
      <c r="G273" s="441">
        <v>15220.099999999999</v>
      </c>
      <c r="H273" s="73">
        <v>-44941.763255748505</v>
      </c>
      <c r="I273" s="5">
        <v>0</v>
      </c>
      <c r="J273" s="5">
        <v>0</v>
      </c>
      <c r="K273" s="446"/>
      <c r="L273" s="5">
        <v>0</v>
      </c>
      <c r="M273" s="5">
        <v>1419</v>
      </c>
      <c r="N273" s="35"/>
      <c r="O273" s="5">
        <v>0</v>
      </c>
      <c r="P273" s="5">
        <v>0</v>
      </c>
      <c r="Q273" s="447"/>
      <c r="R273" s="5">
        <v>0</v>
      </c>
      <c r="S273" s="5">
        <v>0</v>
      </c>
      <c r="T273" s="448"/>
      <c r="U273" s="5">
        <v>0</v>
      </c>
      <c r="V273" s="5">
        <v>0</v>
      </c>
      <c r="W273" s="5">
        <v>0</v>
      </c>
      <c r="X273" s="5">
        <v>2539</v>
      </c>
      <c r="Y273" s="5">
        <v>3739.32</v>
      </c>
      <c r="Z273" s="5">
        <v>0</v>
      </c>
      <c r="AA273" s="5">
        <v>0</v>
      </c>
      <c r="AB273" s="5">
        <v>2679</v>
      </c>
      <c r="AC273" s="5">
        <v>3773.7799999999997</v>
      </c>
      <c r="AD273" s="5">
        <v>1070</v>
      </c>
      <c r="AE273" s="5">
        <v>3652.3841818838282</v>
      </c>
      <c r="AF273" s="5">
        <v>1592.8200000000002</v>
      </c>
      <c r="AG273" s="5"/>
      <c r="AH273" s="5">
        <v>5479.1355441592132</v>
      </c>
      <c r="AI273" s="5">
        <v>3160.27</v>
      </c>
      <c r="AJ273" s="5"/>
      <c r="AK273" s="5">
        <v>2280.5654474341268</v>
      </c>
      <c r="AL273" s="5">
        <v>4890</v>
      </c>
      <c r="AM273" s="5"/>
      <c r="AN273" s="5">
        <v>0</v>
      </c>
      <c r="AO273" s="5">
        <v>0</v>
      </c>
      <c r="AP273" s="5"/>
      <c r="AQ273" s="5">
        <v>2024.9600350327316</v>
      </c>
      <c r="AR273" s="5">
        <v>0</v>
      </c>
      <c r="AS273" s="5"/>
      <c r="AT273" s="5">
        <v>3199.2955392923723</v>
      </c>
      <c r="AU273" s="5">
        <v>967</v>
      </c>
      <c r="AV273" s="5"/>
      <c r="AW273" s="5">
        <v>137.316</v>
      </c>
      <c r="AX273" s="5">
        <v>0</v>
      </c>
      <c r="AY273" s="5"/>
      <c r="AZ273" s="40">
        <v>16773.65674780227</v>
      </c>
      <c r="BA273" s="40">
        <v>10610.09</v>
      </c>
      <c r="BB273" s="55">
        <v>-6163.5667478022697</v>
      </c>
      <c r="BD273" s="2">
        <v>3</v>
      </c>
      <c r="BF273" s="325">
        <v>150000711</v>
      </c>
    </row>
    <row r="274" spans="1:58" ht="25.05" customHeight="1" x14ac:dyDescent="0.3">
      <c r="A274" s="325">
        <v>150000712</v>
      </c>
      <c r="B274" s="445" t="s">
        <v>281</v>
      </c>
      <c r="C274" s="27">
        <v>5</v>
      </c>
      <c r="D274" s="101" t="s">
        <v>455</v>
      </c>
      <c r="E274" s="279">
        <v>3208.93</v>
      </c>
      <c r="F274" s="441">
        <v>36749.412068585028</v>
      </c>
      <c r="G274" s="441">
        <v>18828.41</v>
      </c>
      <c r="H274" s="73">
        <v>-17921.002068585029</v>
      </c>
      <c r="I274" s="5">
        <v>0</v>
      </c>
      <c r="J274" s="5">
        <v>0</v>
      </c>
      <c r="K274" s="446"/>
      <c r="L274" s="5">
        <v>0</v>
      </c>
      <c r="M274" s="5">
        <v>0</v>
      </c>
      <c r="N274" s="35"/>
      <c r="O274" s="5">
        <v>0</v>
      </c>
      <c r="P274" s="5">
        <v>0</v>
      </c>
      <c r="Q274" s="447"/>
      <c r="R274" s="5">
        <v>0</v>
      </c>
      <c r="S274" s="5">
        <v>0</v>
      </c>
      <c r="T274" s="448"/>
      <c r="U274" s="5">
        <v>0</v>
      </c>
      <c r="V274" s="5">
        <v>0</v>
      </c>
      <c r="W274" s="5">
        <v>9</v>
      </c>
      <c r="X274" s="5">
        <v>1899</v>
      </c>
      <c r="Y274" s="5">
        <v>11341.41</v>
      </c>
      <c r="Z274" s="5">
        <v>0</v>
      </c>
      <c r="AA274" s="5">
        <v>0</v>
      </c>
      <c r="AB274" s="5">
        <v>260</v>
      </c>
      <c r="AC274" s="5">
        <v>2078</v>
      </c>
      <c r="AD274" s="5">
        <v>3250</v>
      </c>
      <c r="AE274" s="5">
        <v>2509.3211120211245</v>
      </c>
      <c r="AF274" s="5">
        <v>577</v>
      </c>
      <c r="AG274" s="454"/>
      <c r="AH274" s="5">
        <v>3678.6362157662265</v>
      </c>
      <c r="AI274" s="5">
        <v>6615</v>
      </c>
      <c r="AJ274" s="8"/>
      <c r="AK274" s="5">
        <v>1630.2914225806849</v>
      </c>
      <c r="AL274" s="5">
        <v>1095</v>
      </c>
      <c r="AM274" s="5"/>
      <c r="AN274" s="5">
        <v>0</v>
      </c>
      <c r="AO274" s="5">
        <v>0</v>
      </c>
      <c r="AP274" s="452"/>
      <c r="AQ274" s="5">
        <v>0</v>
      </c>
      <c r="AR274" s="5">
        <v>0</v>
      </c>
      <c r="AS274" s="5"/>
      <c r="AT274" s="5">
        <v>1704.3085628616921</v>
      </c>
      <c r="AU274" s="5">
        <v>668</v>
      </c>
      <c r="AV274" s="5"/>
      <c r="AW274" s="5">
        <v>96.267899999999997</v>
      </c>
      <c r="AX274" s="5">
        <v>0</v>
      </c>
      <c r="AY274" s="5"/>
      <c r="AZ274" s="40">
        <v>9618.8252132297293</v>
      </c>
      <c r="BA274" s="40">
        <v>8955</v>
      </c>
      <c r="BB274" s="55">
        <v>-663.82521322972934</v>
      </c>
      <c r="BD274" s="2">
        <v>3</v>
      </c>
      <c r="BF274" s="325">
        <v>150000712</v>
      </c>
    </row>
    <row r="275" spans="1:58" ht="25.05" customHeight="1" x14ac:dyDescent="0.3">
      <c r="A275" s="325">
        <v>150000713</v>
      </c>
      <c r="B275" s="445" t="s">
        <v>282</v>
      </c>
      <c r="C275" s="27">
        <v>5</v>
      </c>
      <c r="D275" s="101" t="s">
        <v>455</v>
      </c>
      <c r="E275" s="279">
        <v>6256.6</v>
      </c>
      <c r="F275" s="441">
        <v>81053.634934057147</v>
      </c>
      <c r="G275" s="441">
        <v>30526.239999999998</v>
      </c>
      <c r="H275" s="73">
        <v>-50527.394934057149</v>
      </c>
      <c r="I275" s="5">
        <v>0</v>
      </c>
      <c r="J275" s="5">
        <v>1169</v>
      </c>
      <c r="K275" s="446"/>
      <c r="L275" s="5">
        <v>0</v>
      </c>
      <c r="M275" s="5">
        <v>3783</v>
      </c>
      <c r="N275" s="35"/>
      <c r="O275" s="5">
        <v>0</v>
      </c>
      <c r="P275" s="5">
        <v>0</v>
      </c>
      <c r="Q275" s="447"/>
      <c r="R275" s="5">
        <v>0</v>
      </c>
      <c r="S275" s="5">
        <v>0</v>
      </c>
      <c r="T275" s="448"/>
      <c r="U275" s="5">
        <v>0</v>
      </c>
      <c r="V275" s="5">
        <v>0</v>
      </c>
      <c r="W275" s="5">
        <v>12</v>
      </c>
      <c r="X275" s="5">
        <v>5628</v>
      </c>
      <c r="Y275" s="5">
        <v>8273.64</v>
      </c>
      <c r="Z275" s="5">
        <v>0</v>
      </c>
      <c r="AA275" s="5">
        <v>0</v>
      </c>
      <c r="AB275" s="5">
        <v>3560.6</v>
      </c>
      <c r="AC275" s="5">
        <v>6520</v>
      </c>
      <c r="AD275" s="5">
        <v>1592</v>
      </c>
      <c r="AE275" s="5">
        <v>4823.1412548506614</v>
      </c>
      <c r="AF275" s="5">
        <v>1489.04</v>
      </c>
      <c r="AG275" s="5"/>
      <c r="AH275" s="5">
        <v>7312.152463087371</v>
      </c>
      <c r="AI275" s="5">
        <v>3461</v>
      </c>
      <c r="AJ275" s="454"/>
      <c r="AK275" s="5">
        <v>3109.834454453443</v>
      </c>
      <c r="AL275" s="5">
        <v>6836</v>
      </c>
      <c r="AM275" s="5"/>
      <c r="AN275" s="5">
        <v>0</v>
      </c>
      <c r="AO275" s="5">
        <v>0</v>
      </c>
      <c r="AP275" s="5"/>
      <c r="AQ275" s="5">
        <v>3134.6721921477197</v>
      </c>
      <c r="AR275" s="5">
        <v>0</v>
      </c>
      <c r="AS275" s="5"/>
      <c r="AT275" s="5">
        <v>5237.656406564688</v>
      </c>
      <c r="AU275" s="5">
        <v>0</v>
      </c>
      <c r="AV275" s="5"/>
      <c r="AW275" s="5">
        <v>186.12</v>
      </c>
      <c r="AX275" s="5">
        <v>0</v>
      </c>
      <c r="AY275" s="5"/>
      <c r="AZ275" s="40">
        <v>23803.576771103882</v>
      </c>
      <c r="BA275" s="40">
        <v>11786.04</v>
      </c>
      <c r="BB275" s="55">
        <v>-12017.536771103882</v>
      </c>
      <c r="BD275" s="2">
        <v>3</v>
      </c>
      <c r="BF275" s="325">
        <v>150000713</v>
      </c>
    </row>
    <row r="276" spans="1:58" ht="25.05" customHeight="1" x14ac:dyDescent="0.3">
      <c r="A276" s="325">
        <v>150000714</v>
      </c>
      <c r="B276" s="445" t="s">
        <v>283</v>
      </c>
      <c r="C276" s="27">
        <v>5</v>
      </c>
      <c r="D276" s="101" t="s">
        <v>455</v>
      </c>
      <c r="E276" s="279">
        <v>2767.8</v>
      </c>
      <c r="F276" s="441">
        <v>41539.96903812579</v>
      </c>
      <c r="G276" s="441">
        <v>8022.9400000000005</v>
      </c>
      <c r="H276" s="73">
        <v>-33517.029038125787</v>
      </c>
      <c r="I276" s="5">
        <v>26.1</v>
      </c>
      <c r="J276" s="5">
        <v>6191</v>
      </c>
      <c r="K276" s="446"/>
      <c r="L276" s="5">
        <v>0</v>
      </c>
      <c r="M276" s="5">
        <v>0</v>
      </c>
      <c r="N276" s="35"/>
      <c r="O276" s="5">
        <v>0</v>
      </c>
      <c r="P276" s="5">
        <v>0</v>
      </c>
      <c r="Q276" s="447"/>
      <c r="R276" s="5">
        <v>0</v>
      </c>
      <c r="S276" s="5">
        <v>0</v>
      </c>
      <c r="T276" s="448"/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1118.94</v>
      </c>
      <c r="AD276" s="5">
        <v>713</v>
      </c>
      <c r="AE276" s="5">
        <v>2362.4942501545347</v>
      </c>
      <c r="AF276" s="5">
        <v>0</v>
      </c>
      <c r="AG276" s="454"/>
      <c r="AH276" s="5">
        <v>3593.3407158377686</v>
      </c>
      <c r="AI276" s="5">
        <v>0</v>
      </c>
      <c r="AJ276" s="5"/>
      <c r="AK276" s="5">
        <v>1383.2496130256654</v>
      </c>
      <c r="AL276" s="5">
        <v>0</v>
      </c>
      <c r="AM276" s="5"/>
      <c r="AN276" s="5">
        <v>0</v>
      </c>
      <c r="AO276" s="5">
        <v>0</v>
      </c>
      <c r="AP276" s="5"/>
      <c r="AQ276" s="5">
        <v>0</v>
      </c>
      <c r="AR276" s="5">
        <v>0</v>
      </c>
      <c r="AS276" s="5"/>
      <c r="AT276" s="5">
        <v>1561.1033849149385</v>
      </c>
      <c r="AU276" s="5">
        <v>3971</v>
      </c>
      <c r="AV276" s="5"/>
      <c r="AW276" s="5">
        <v>82.98599999999999</v>
      </c>
      <c r="AX276" s="5">
        <v>0</v>
      </c>
      <c r="AY276" s="5"/>
      <c r="AZ276" s="40">
        <v>8983.173963932908</v>
      </c>
      <c r="BA276" s="40">
        <v>3971</v>
      </c>
      <c r="BB276" s="55">
        <v>-5012.173963932908</v>
      </c>
      <c r="BD276" s="2">
        <v>3</v>
      </c>
      <c r="BF276" s="325">
        <v>150000714</v>
      </c>
    </row>
    <row r="277" spans="1:58" ht="25.05" customHeight="1" x14ac:dyDescent="0.3">
      <c r="A277" s="325">
        <v>150000715</v>
      </c>
      <c r="B277" s="445" t="s">
        <v>284</v>
      </c>
      <c r="C277" s="27">
        <v>5</v>
      </c>
      <c r="D277" s="101" t="s">
        <v>455</v>
      </c>
      <c r="E277" s="279">
        <v>4580.3</v>
      </c>
      <c r="F277" s="441">
        <v>59488.346750549674</v>
      </c>
      <c r="G277" s="441">
        <v>93765.560000000012</v>
      </c>
      <c r="H277" s="73">
        <v>34277.213249450338</v>
      </c>
      <c r="I277" s="5">
        <v>376.90000000000003</v>
      </c>
      <c r="J277" s="5">
        <v>73029.790000000008</v>
      </c>
      <c r="K277" s="446"/>
      <c r="L277" s="5">
        <v>0</v>
      </c>
      <c r="M277" s="5">
        <v>4639</v>
      </c>
      <c r="N277" s="35"/>
      <c r="O277" s="5">
        <v>0</v>
      </c>
      <c r="P277" s="5">
        <v>0</v>
      </c>
      <c r="Q277" s="447"/>
      <c r="R277" s="5">
        <v>0</v>
      </c>
      <c r="S277" s="5">
        <v>0</v>
      </c>
      <c r="T277" s="448"/>
      <c r="U277" s="5">
        <v>0</v>
      </c>
      <c r="V277" s="5">
        <v>0</v>
      </c>
      <c r="W277" s="5">
        <v>14</v>
      </c>
      <c r="X277" s="5">
        <v>3936.77</v>
      </c>
      <c r="Y277" s="5">
        <v>6116</v>
      </c>
      <c r="Z277" s="5">
        <v>0</v>
      </c>
      <c r="AA277" s="5">
        <v>0</v>
      </c>
      <c r="AB277" s="5">
        <v>0</v>
      </c>
      <c r="AC277" s="5">
        <v>1060</v>
      </c>
      <c r="AD277" s="5">
        <v>4984</v>
      </c>
      <c r="AE277" s="5">
        <v>3660.9654738245904</v>
      </c>
      <c r="AF277" s="5">
        <v>6113</v>
      </c>
      <c r="AG277" s="5"/>
      <c r="AH277" s="5">
        <v>5485.4050421838583</v>
      </c>
      <c r="AI277" s="5">
        <v>3978</v>
      </c>
      <c r="AJ277" s="5"/>
      <c r="AK277" s="5">
        <v>2324.1506769242196</v>
      </c>
      <c r="AL277" s="5">
        <v>7139</v>
      </c>
      <c r="AM277" s="466"/>
      <c r="AN277" s="5">
        <v>0</v>
      </c>
      <c r="AO277" s="5">
        <v>0</v>
      </c>
      <c r="AP277" s="5"/>
      <c r="AQ277" s="5">
        <v>2066.5292621998183</v>
      </c>
      <c r="AR277" s="5">
        <v>0</v>
      </c>
      <c r="AS277" s="5"/>
      <c r="AT277" s="5">
        <v>3216.6977148772112</v>
      </c>
      <c r="AU277" s="5">
        <v>654</v>
      </c>
      <c r="AV277" s="8"/>
      <c r="AW277" s="5">
        <v>137.40900000000002</v>
      </c>
      <c r="AX277" s="5">
        <v>0</v>
      </c>
      <c r="AY277" s="5"/>
      <c r="AZ277" s="40">
        <v>16891.157170009697</v>
      </c>
      <c r="BA277" s="40">
        <v>17884</v>
      </c>
      <c r="BB277" s="55">
        <v>992.84282999030256</v>
      </c>
      <c r="BD277" s="2">
        <v>3</v>
      </c>
      <c r="BF277" s="325">
        <v>150000715</v>
      </c>
    </row>
    <row r="278" spans="1:58" ht="25.05" customHeight="1" x14ac:dyDescent="0.3">
      <c r="A278" s="325">
        <v>150000719</v>
      </c>
      <c r="B278" s="445" t="s">
        <v>285</v>
      </c>
      <c r="C278" s="27">
        <v>5</v>
      </c>
      <c r="D278" s="101" t="s">
        <v>455</v>
      </c>
      <c r="E278" s="279">
        <v>6211.0999999999995</v>
      </c>
      <c r="F278" s="441">
        <v>66143.652544478187</v>
      </c>
      <c r="G278" s="441">
        <v>173717.5</v>
      </c>
      <c r="H278" s="73">
        <v>107573.84745552181</v>
      </c>
      <c r="I278" s="5">
        <v>18</v>
      </c>
      <c r="J278" s="5">
        <v>5571</v>
      </c>
      <c r="K278" s="446"/>
      <c r="L278" s="5">
        <v>3</v>
      </c>
      <c r="M278" s="5">
        <v>114500</v>
      </c>
      <c r="N278" s="451"/>
      <c r="O278" s="5">
        <v>0</v>
      </c>
      <c r="P278" s="5">
        <v>0</v>
      </c>
      <c r="Q278" s="447"/>
      <c r="R278" s="5">
        <v>0</v>
      </c>
      <c r="S278" s="5">
        <v>0</v>
      </c>
      <c r="T278" s="448"/>
      <c r="U278" s="5">
        <v>0</v>
      </c>
      <c r="V278" s="5">
        <v>0</v>
      </c>
      <c r="W278" s="5">
        <v>0</v>
      </c>
      <c r="X278" s="5">
        <v>0</v>
      </c>
      <c r="Y278" s="5">
        <v>14836.01</v>
      </c>
      <c r="Z278" s="5">
        <v>0</v>
      </c>
      <c r="AA278" s="5">
        <v>0</v>
      </c>
      <c r="AB278" s="5">
        <v>16427.489999999998</v>
      </c>
      <c r="AC278" s="5">
        <v>11788</v>
      </c>
      <c r="AD278" s="5">
        <v>10595</v>
      </c>
      <c r="AE278" s="5">
        <v>4830.0260955225167</v>
      </c>
      <c r="AF278" s="5">
        <v>3137</v>
      </c>
      <c r="AG278" s="8"/>
      <c r="AH278" s="5">
        <v>7317.3149659074425</v>
      </c>
      <c r="AI278" s="5">
        <v>1369</v>
      </c>
      <c r="AJ278" s="8"/>
      <c r="AK278" s="5">
        <v>3130.5286164426143</v>
      </c>
      <c r="AL278" s="5">
        <v>6730</v>
      </c>
      <c r="AM278" s="5"/>
      <c r="AN278" s="5">
        <v>0</v>
      </c>
      <c r="AO278" s="5">
        <v>0</v>
      </c>
      <c r="AP278" s="5"/>
      <c r="AQ278" s="5">
        <v>3134.6721921477197</v>
      </c>
      <c r="AR278" s="5">
        <v>0</v>
      </c>
      <c r="AS278" s="5"/>
      <c r="AT278" s="5">
        <v>5366.9456058760452</v>
      </c>
      <c r="AU278" s="5">
        <v>0</v>
      </c>
      <c r="AV278" s="8"/>
      <c r="AW278" s="5">
        <v>186.32999999999998</v>
      </c>
      <c r="AX278" s="5">
        <v>0</v>
      </c>
      <c r="AY278" s="5"/>
      <c r="AZ278" s="40">
        <v>23965.81747589634</v>
      </c>
      <c r="BA278" s="40">
        <v>11236</v>
      </c>
      <c r="BB278" s="55">
        <v>-12729.81747589634</v>
      </c>
      <c r="BD278" s="2">
        <v>3</v>
      </c>
      <c r="BF278" s="325">
        <v>150000719</v>
      </c>
    </row>
    <row r="279" spans="1:58" ht="25.05" customHeight="1" x14ac:dyDescent="0.3">
      <c r="A279" s="325">
        <v>150000716</v>
      </c>
      <c r="B279" s="445" t="s">
        <v>286</v>
      </c>
      <c r="C279" s="27">
        <v>5</v>
      </c>
      <c r="D279" s="101" t="s">
        <v>455</v>
      </c>
      <c r="E279" s="279">
        <v>3171.42</v>
      </c>
      <c r="F279" s="441">
        <v>41294.156282283759</v>
      </c>
      <c r="G279" s="441">
        <v>77398.48000000001</v>
      </c>
      <c r="H279" s="73">
        <v>36104.323717716252</v>
      </c>
      <c r="I279" s="5">
        <v>121.3</v>
      </c>
      <c r="J279" s="5">
        <v>23264</v>
      </c>
      <c r="K279" s="446"/>
      <c r="L279" s="5">
        <v>0</v>
      </c>
      <c r="M279" s="5">
        <v>495</v>
      </c>
      <c r="N279" s="35"/>
      <c r="O279" s="5">
        <v>0</v>
      </c>
      <c r="P279" s="5">
        <v>0</v>
      </c>
      <c r="Q279" s="447"/>
      <c r="R279" s="5">
        <v>0</v>
      </c>
      <c r="S279" s="5">
        <v>0</v>
      </c>
      <c r="T279" s="448"/>
      <c r="U279" s="5">
        <v>0</v>
      </c>
      <c r="V279" s="5">
        <v>0</v>
      </c>
      <c r="W279" s="5">
        <v>0</v>
      </c>
      <c r="X279" s="5">
        <v>0</v>
      </c>
      <c r="Y279" s="5">
        <v>51504.480000000003</v>
      </c>
      <c r="Z279" s="5">
        <v>0</v>
      </c>
      <c r="AA279" s="5">
        <v>0</v>
      </c>
      <c r="AB279" s="5">
        <v>160</v>
      </c>
      <c r="AC279" s="5">
        <v>637</v>
      </c>
      <c r="AD279" s="5">
        <v>1338</v>
      </c>
      <c r="AE279" s="5">
        <v>2956.624478008544</v>
      </c>
      <c r="AF279" s="5">
        <v>1309</v>
      </c>
      <c r="AG279" s="5"/>
      <c r="AH279" s="5">
        <v>3677.7472864200122</v>
      </c>
      <c r="AI279" s="5">
        <v>0</v>
      </c>
      <c r="AJ279" s="5"/>
      <c r="AK279" s="5">
        <v>1681.4247565805881</v>
      </c>
      <c r="AL279" s="5">
        <v>0</v>
      </c>
      <c r="AM279" s="5"/>
      <c r="AN279" s="5">
        <v>0</v>
      </c>
      <c r="AO279" s="5">
        <v>0</v>
      </c>
      <c r="AP279" s="5"/>
      <c r="AQ279" s="5">
        <v>0</v>
      </c>
      <c r="AR279" s="5">
        <v>0</v>
      </c>
      <c r="AS279" s="5"/>
      <c r="AT279" s="5">
        <v>1775.1459896534984</v>
      </c>
      <c r="AU279" s="5">
        <v>88</v>
      </c>
      <c r="AV279" s="5"/>
      <c r="AW279" s="5">
        <v>96.039600000000007</v>
      </c>
      <c r="AX279" s="5">
        <v>0</v>
      </c>
      <c r="AY279" s="5"/>
      <c r="AZ279" s="40">
        <v>10186.982110662642</v>
      </c>
      <c r="BA279" s="40">
        <v>1397</v>
      </c>
      <c r="BB279" s="55">
        <v>-8789.9821106626423</v>
      </c>
      <c r="BD279" s="2">
        <v>3</v>
      </c>
      <c r="BF279" s="325">
        <v>150000716</v>
      </c>
    </row>
    <row r="280" spans="1:58" ht="25.05" customHeight="1" x14ac:dyDescent="0.3">
      <c r="A280" s="325">
        <v>150000717</v>
      </c>
      <c r="B280" s="445" t="s">
        <v>287</v>
      </c>
      <c r="C280" s="27">
        <v>5</v>
      </c>
      <c r="D280" s="101" t="s">
        <v>455</v>
      </c>
      <c r="E280" s="279">
        <v>3165.2999999999997</v>
      </c>
      <c r="F280" s="441">
        <v>38138.067681786415</v>
      </c>
      <c r="G280" s="441">
        <v>2520</v>
      </c>
      <c r="H280" s="73">
        <v>-35618.067681786415</v>
      </c>
      <c r="I280" s="5">
        <v>0</v>
      </c>
      <c r="J280" s="5">
        <v>0</v>
      </c>
      <c r="K280" s="446"/>
      <c r="L280" s="5">
        <v>0</v>
      </c>
      <c r="M280" s="5">
        <v>0</v>
      </c>
      <c r="N280" s="35"/>
      <c r="O280" s="5">
        <v>0</v>
      </c>
      <c r="P280" s="5">
        <v>0</v>
      </c>
      <c r="Q280" s="447"/>
      <c r="R280" s="5">
        <v>0</v>
      </c>
      <c r="S280" s="5">
        <v>0</v>
      </c>
      <c r="T280" s="448"/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169</v>
      </c>
      <c r="AC280" s="5">
        <v>602</v>
      </c>
      <c r="AD280" s="5">
        <v>1749</v>
      </c>
      <c r="AE280" s="5">
        <v>2940.4016942606045</v>
      </c>
      <c r="AF280" s="5">
        <v>0</v>
      </c>
      <c r="AG280" s="454"/>
      <c r="AH280" s="5">
        <v>3677.7472864200122</v>
      </c>
      <c r="AI280" s="5">
        <v>0</v>
      </c>
      <c r="AJ280" s="5"/>
      <c r="AK280" s="5">
        <v>1692.1547363591333</v>
      </c>
      <c r="AL280" s="5">
        <v>3875</v>
      </c>
      <c r="AM280" s="5"/>
      <c r="AN280" s="5">
        <v>0</v>
      </c>
      <c r="AO280" s="5">
        <v>0</v>
      </c>
      <c r="AP280" s="5"/>
      <c r="AQ280" s="5">
        <v>0</v>
      </c>
      <c r="AR280" s="5">
        <v>0</v>
      </c>
      <c r="AS280" s="5"/>
      <c r="AT280" s="5">
        <v>1775.9920456427965</v>
      </c>
      <c r="AU280" s="5">
        <v>0</v>
      </c>
      <c r="AV280" s="5"/>
      <c r="AW280" s="5">
        <v>94.959900000000005</v>
      </c>
      <c r="AX280" s="5">
        <v>0</v>
      </c>
      <c r="AY280" s="5"/>
      <c r="AZ280" s="40">
        <v>10181.255662682546</v>
      </c>
      <c r="BA280" s="40">
        <v>3875</v>
      </c>
      <c r="BB280" s="55">
        <v>-6306.2556626825462</v>
      </c>
      <c r="BD280" s="2">
        <v>3</v>
      </c>
      <c r="BF280" s="325">
        <v>150000717</v>
      </c>
    </row>
    <row r="281" spans="1:58" ht="25.05" customHeight="1" x14ac:dyDescent="0.3">
      <c r="A281" s="325">
        <v>150000718</v>
      </c>
      <c r="B281" s="445" t="s">
        <v>288</v>
      </c>
      <c r="C281" s="27">
        <v>5</v>
      </c>
      <c r="D281" s="101" t="s">
        <v>455</v>
      </c>
      <c r="E281" s="279">
        <v>4456.6000000000004</v>
      </c>
      <c r="F281" s="441">
        <v>54799.749393339611</v>
      </c>
      <c r="G281" s="441">
        <v>121381.98663186951</v>
      </c>
      <c r="H281" s="73">
        <v>66582.237238529895</v>
      </c>
      <c r="I281" s="5">
        <v>157.44</v>
      </c>
      <c r="J281" s="5">
        <v>33790</v>
      </c>
      <c r="K281" s="446"/>
      <c r="L281" s="5">
        <v>2</v>
      </c>
      <c r="M281" s="5">
        <v>66593</v>
      </c>
      <c r="N281" s="35"/>
      <c r="O281" s="5">
        <v>8</v>
      </c>
      <c r="P281" s="5">
        <v>1213</v>
      </c>
      <c r="Q281" s="447"/>
      <c r="R281" s="5">
        <v>0</v>
      </c>
      <c r="S281" s="5">
        <v>0</v>
      </c>
      <c r="T281" s="448"/>
      <c r="U281" s="5">
        <v>0</v>
      </c>
      <c r="V281" s="5">
        <v>0</v>
      </c>
      <c r="W281" s="5">
        <v>5</v>
      </c>
      <c r="X281" s="5">
        <v>1459.6666318695047</v>
      </c>
      <c r="Y281" s="5">
        <v>5096</v>
      </c>
      <c r="Z281" s="5">
        <v>0</v>
      </c>
      <c r="AA281" s="5">
        <v>0</v>
      </c>
      <c r="AB281" s="5">
        <v>3211.32</v>
      </c>
      <c r="AC281" s="5">
        <v>8682</v>
      </c>
      <c r="AD281" s="5">
        <v>1337</v>
      </c>
      <c r="AE281" s="5">
        <v>3561.5158816290418</v>
      </c>
      <c r="AF281" s="5">
        <v>4301</v>
      </c>
      <c r="AG281" s="5"/>
      <c r="AH281" s="5">
        <v>5438.9600126758423</v>
      </c>
      <c r="AI281" s="5">
        <v>2616</v>
      </c>
      <c r="AJ281" s="5"/>
      <c r="AK281" s="5">
        <v>2271.7554793556833</v>
      </c>
      <c r="AL281" s="5">
        <v>8883</v>
      </c>
      <c r="AM281" s="5"/>
      <c r="AN281" s="5">
        <v>0</v>
      </c>
      <c r="AO281" s="5">
        <v>0</v>
      </c>
      <c r="AP281" s="5"/>
      <c r="AQ281" s="5">
        <v>2024.9600350327316</v>
      </c>
      <c r="AR281" s="5">
        <v>0</v>
      </c>
      <c r="AS281" s="5"/>
      <c r="AT281" s="5">
        <v>3097.3567013575421</v>
      </c>
      <c r="AU281" s="5">
        <v>1564</v>
      </c>
      <c r="AV281" s="5"/>
      <c r="AW281" s="5">
        <v>133.70099999999999</v>
      </c>
      <c r="AX281" s="5">
        <v>0</v>
      </c>
      <c r="AY281" s="5"/>
      <c r="AZ281" s="40">
        <v>16528.249110050841</v>
      </c>
      <c r="BA281" s="40">
        <v>17364</v>
      </c>
      <c r="BB281" s="55">
        <v>835.75088994915859</v>
      </c>
      <c r="BD281" s="2">
        <v>3</v>
      </c>
      <c r="BF281" s="325">
        <v>150000718</v>
      </c>
    </row>
    <row r="282" spans="1:58" ht="25.05" customHeight="1" x14ac:dyDescent="0.3">
      <c r="A282" s="325">
        <v>150000720</v>
      </c>
      <c r="B282" s="445" t="s">
        <v>289</v>
      </c>
      <c r="C282" s="27">
        <v>5</v>
      </c>
      <c r="D282" s="101" t="s">
        <v>455</v>
      </c>
      <c r="E282" s="279">
        <v>3670.1</v>
      </c>
      <c r="F282" s="441">
        <v>26665.360878995609</v>
      </c>
      <c r="G282" s="441">
        <v>46605.42</v>
      </c>
      <c r="H282" s="73">
        <v>19940.059121004389</v>
      </c>
      <c r="I282" s="5">
        <v>187</v>
      </c>
      <c r="J282" s="5">
        <v>37565</v>
      </c>
      <c r="K282" s="450"/>
      <c r="L282" s="5">
        <v>0</v>
      </c>
      <c r="M282" s="5">
        <v>495</v>
      </c>
      <c r="N282" s="35"/>
      <c r="O282" s="5">
        <v>0</v>
      </c>
      <c r="P282" s="5">
        <v>0</v>
      </c>
      <c r="Q282" s="447"/>
      <c r="R282" s="5">
        <v>0</v>
      </c>
      <c r="S282" s="5">
        <v>0</v>
      </c>
      <c r="T282" s="448"/>
      <c r="U282" s="5">
        <v>0</v>
      </c>
      <c r="V282" s="5">
        <v>0</v>
      </c>
      <c r="W282" s="5">
        <v>0</v>
      </c>
      <c r="X282" s="5">
        <v>0</v>
      </c>
      <c r="Y282" s="5">
        <v>2422.5</v>
      </c>
      <c r="Z282" s="5">
        <v>0</v>
      </c>
      <c r="AA282" s="5">
        <v>3991</v>
      </c>
      <c r="AB282" s="5">
        <v>1655.92</v>
      </c>
      <c r="AC282" s="5">
        <v>119</v>
      </c>
      <c r="AD282" s="5">
        <v>357</v>
      </c>
      <c r="AE282" s="5">
        <v>2454.1825869271438</v>
      </c>
      <c r="AF282" s="5">
        <v>0</v>
      </c>
      <c r="AG282" s="5"/>
      <c r="AH282" s="5">
        <v>3527.9605194891806</v>
      </c>
      <c r="AI282" s="5">
        <v>0</v>
      </c>
      <c r="AJ282" s="5"/>
      <c r="AK282" s="5">
        <v>2037.8304608637427</v>
      </c>
      <c r="AL282" s="5">
        <v>8731</v>
      </c>
      <c r="AM282" s="5"/>
      <c r="AN282" s="5">
        <v>2254.2259140760693</v>
      </c>
      <c r="AO282" s="5">
        <v>0</v>
      </c>
      <c r="AP282" s="5"/>
      <c r="AQ282" s="5">
        <v>0</v>
      </c>
      <c r="AR282" s="5">
        <v>0</v>
      </c>
      <c r="AS282" s="5"/>
      <c r="AT282" s="5">
        <v>1353.4182102911223</v>
      </c>
      <c r="AU282" s="5">
        <v>14224</v>
      </c>
      <c r="AV282" s="5"/>
      <c r="AW282" s="5">
        <v>110.10300000000001</v>
      </c>
      <c r="AX282" s="5">
        <v>0</v>
      </c>
      <c r="AY282" s="5"/>
      <c r="AZ282" s="40">
        <v>11737.720691647257</v>
      </c>
      <c r="BA282" s="40">
        <v>22955</v>
      </c>
      <c r="BB282" s="55">
        <v>11217.279308352743</v>
      </c>
      <c r="BD282" s="2">
        <v>3</v>
      </c>
      <c r="BF282" s="325">
        <v>150000720</v>
      </c>
    </row>
    <row r="283" spans="1:58" ht="25.05" customHeight="1" x14ac:dyDescent="0.3">
      <c r="A283" s="325">
        <v>150000750</v>
      </c>
      <c r="B283" s="445" t="s">
        <v>130</v>
      </c>
      <c r="C283" s="27">
        <v>1</v>
      </c>
      <c r="D283" s="101" t="s">
        <v>455</v>
      </c>
      <c r="E283" s="279">
        <v>275.8</v>
      </c>
      <c r="F283" s="441">
        <v>3540.4704476858087</v>
      </c>
      <c r="G283" s="441">
        <v>2191</v>
      </c>
      <c r="H283" s="73">
        <v>-1349.4704476858087</v>
      </c>
      <c r="I283" s="5">
        <v>0</v>
      </c>
      <c r="J283" s="5">
        <v>1349</v>
      </c>
      <c r="K283" s="446"/>
      <c r="L283" s="5">
        <v>0</v>
      </c>
      <c r="M283" s="5">
        <v>0</v>
      </c>
      <c r="N283" s="35"/>
      <c r="O283" s="5">
        <v>0</v>
      </c>
      <c r="P283" s="5">
        <v>0</v>
      </c>
      <c r="Q283" s="447"/>
      <c r="R283" s="5">
        <v>0</v>
      </c>
      <c r="S283" s="5">
        <v>0</v>
      </c>
      <c r="T283" s="448"/>
      <c r="U283" s="5">
        <v>0</v>
      </c>
      <c r="V283" s="5">
        <v>0</v>
      </c>
      <c r="W283" s="5">
        <v>2</v>
      </c>
      <c r="X283" s="5">
        <v>842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  <c r="AG283" s="5"/>
      <c r="AH283" s="5">
        <v>0</v>
      </c>
      <c r="AI283" s="5">
        <v>0</v>
      </c>
      <c r="AJ283" s="5"/>
      <c r="AK283" s="5">
        <v>0</v>
      </c>
      <c r="AL283" s="5">
        <v>0</v>
      </c>
      <c r="AM283" s="5"/>
      <c r="AN283" s="5">
        <v>0</v>
      </c>
      <c r="AO283" s="5">
        <v>0</v>
      </c>
      <c r="AP283" s="5"/>
      <c r="AQ283" s="5">
        <v>0</v>
      </c>
      <c r="AR283" s="5">
        <v>0</v>
      </c>
      <c r="AS283" s="5"/>
      <c r="AT283" s="5">
        <v>0</v>
      </c>
      <c r="AU283" s="5">
        <v>0</v>
      </c>
      <c r="AV283" s="5"/>
      <c r="AW283" s="5">
        <v>13.573637196548921</v>
      </c>
      <c r="AX283" s="5">
        <v>0</v>
      </c>
      <c r="AY283" s="5"/>
      <c r="AZ283" s="40">
        <v>13.573637196548921</v>
      </c>
      <c r="BA283" s="40">
        <v>0</v>
      </c>
      <c r="BB283" s="55">
        <v>-13.573637196548921</v>
      </c>
      <c r="BD283" s="2">
        <v>1</v>
      </c>
      <c r="BF283" s="325">
        <v>150000750</v>
      </c>
    </row>
    <row r="284" spans="1:58" ht="25.05" customHeight="1" x14ac:dyDescent="0.3">
      <c r="A284" s="325">
        <v>150000751</v>
      </c>
      <c r="B284" s="445" t="s">
        <v>131</v>
      </c>
      <c r="C284" s="27">
        <v>1</v>
      </c>
      <c r="D284" s="101" t="s">
        <v>455</v>
      </c>
      <c r="E284" s="279">
        <v>146.1</v>
      </c>
      <c r="F284" s="441">
        <v>1623.4605987627403</v>
      </c>
      <c r="G284" s="441">
        <v>1619</v>
      </c>
      <c r="H284" s="73">
        <v>-4.4605987627403465</v>
      </c>
      <c r="I284" s="5">
        <v>0</v>
      </c>
      <c r="J284" s="5">
        <v>1619</v>
      </c>
      <c r="K284" s="446"/>
      <c r="L284" s="5">
        <v>0</v>
      </c>
      <c r="M284" s="5">
        <v>0</v>
      </c>
      <c r="N284" s="35"/>
      <c r="O284" s="5">
        <v>0</v>
      </c>
      <c r="P284" s="5">
        <v>0</v>
      </c>
      <c r="Q284" s="447"/>
      <c r="R284" s="5">
        <v>0</v>
      </c>
      <c r="S284" s="5">
        <v>0</v>
      </c>
      <c r="T284" s="448"/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/>
      <c r="AH284" s="5">
        <v>0</v>
      </c>
      <c r="AI284" s="5">
        <v>0</v>
      </c>
      <c r="AJ284" s="5"/>
      <c r="AK284" s="5">
        <v>0</v>
      </c>
      <c r="AL284" s="5">
        <v>0</v>
      </c>
      <c r="AM284" s="5"/>
      <c r="AN284" s="5">
        <v>0</v>
      </c>
      <c r="AO284" s="5">
        <v>0</v>
      </c>
      <c r="AP284" s="5"/>
      <c r="AQ284" s="5">
        <v>0</v>
      </c>
      <c r="AR284" s="5">
        <v>0</v>
      </c>
      <c r="AS284" s="5"/>
      <c r="AT284" s="5">
        <v>0</v>
      </c>
      <c r="AU284" s="5">
        <v>0</v>
      </c>
      <c r="AV284" s="5"/>
      <c r="AW284" s="5">
        <v>5.702732728474416</v>
      </c>
      <c r="AX284" s="5">
        <v>0</v>
      </c>
      <c r="AY284" s="5"/>
      <c r="AZ284" s="40">
        <v>5.702732728474416</v>
      </c>
      <c r="BA284" s="40">
        <v>0</v>
      </c>
      <c r="BB284" s="55">
        <v>-5.702732728474416</v>
      </c>
      <c r="BD284" s="2">
        <v>1</v>
      </c>
      <c r="BF284" s="325">
        <v>150000751</v>
      </c>
    </row>
    <row r="285" spans="1:58" ht="25.05" customHeight="1" x14ac:dyDescent="0.3">
      <c r="A285" s="325">
        <v>150000752</v>
      </c>
      <c r="B285" s="445" t="s">
        <v>387</v>
      </c>
      <c r="C285" s="27">
        <v>9</v>
      </c>
      <c r="D285" s="101" t="s">
        <v>455</v>
      </c>
      <c r="E285" s="279">
        <v>3990.7000000000003</v>
      </c>
      <c r="F285" s="441">
        <v>64068.863562434606</v>
      </c>
      <c r="G285" s="441">
        <v>143112.47</v>
      </c>
      <c r="H285" s="73">
        <v>79043.606437565395</v>
      </c>
      <c r="I285" s="5">
        <v>0</v>
      </c>
      <c r="J285" s="5">
        <v>0</v>
      </c>
      <c r="K285" s="446"/>
      <c r="L285" s="5">
        <v>1</v>
      </c>
      <c r="M285" s="5">
        <v>108680</v>
      </c>
      <c r="N285" s="35"/>
      <c r="O285" s="5">
        <v>0</v>
      </c>
      <c r="P285" s="5">
        <v>0</v>
      </c>
      <c r="Q285" s="447"/>
      <c r="R285" s="5">
        <v>3</v>
      </c>
      <c r="S285" s="5">
        <v>2383</v>
      </c>
      <c r="T285" s="456"/>
      <c r="U285" s="5">
        <v>0</v>
      </c>
      <c r="V285" s="5">
        <v>0</v>
      </c>
      <c r="W285" s="5">
        <v>5</v>
      </c>
      <c r="X285" s="5">
        <v>2201.0700000000002</v>
      </c>
      <c r="Y285" s="5">
        <v>5530</v>
      </c>
      <c r="Z285" s="5">
        <v>0</v>
      </c>
      <c r="AA285" s="5">
        <v>0</v>
      </c>
      <c r="AB285" s="5">
        <v>0</v>
      </c>
      <c r="AC285" s="5">
        <v>9715</v>
      </c>
      <c r="AD285" s="5">
        <v>14603.4</v>
      </c>
      <c r="AE285" s="5">
        <v>1859.9713436574207</v>
      </c>
      <c r="AF285" s="5">
        <v>3494</v>
      </c>
      <c r="AG285" s="5"/>
      <c r="AH285" s="5">
        <v>2244.0851062488759</v>
      </c>
      <c r="AI285" s="5">
        <v>1507</v>
      </c>
      <c r="AJ285" s="5"/>
      <c r="AK285" s="5">
        <v>1861.5321492183193</v>
      </c>
      <c r="AL285" s="5">
        <v>2305.7399999999998</v>
      </c>
      <c r="AM285" s="5"/>
      <c r="AN285" s="5">
        <v>1720.5356060000649</v>
      </c>
      <c r="AO285" s="5">
        <v>0</v>
      </c>
      <c r="AP285" s="5"/>
      <c r="AQ285" s="5">
        <v>923.71373565197098</v>
      </c>
      <c r="AR285" s="5">
        <v>0</v>
      </c>
      <c r="AS285" s="8"/>
      <c r="AT285" s="5">
        <v>1587.2184353538494</v>
      </c>
      <c r="AU285" s="5">
        <v>13783</v>
      </c>
      <c r="AV285" s="5"/>
      <c r="AW285" s="5">
        <v>522.99695884431208</v>
      </c>
      <c r="AX285" s="5">
        <v>0</v>
      </c>
      <c r="AY285" s="5"/>
      <c r="AZ285" s="40">
        <v>10720.053334974813</v>
      </c>
      <c r="BA285" s="40">
        <v>21089.739999999998</v>
      </c>
      <c r="BB285" s="55">
        <v>10369.686665025185</v>
      </c>
      <c r="BD285" s="2">
        <v>1</v>
      </c>
      <c r="BF285" s="325">
        <v>150000752</v>
      </c>
    </row>
    <row r="286" spans="1:58" ht="25.05" customHeight="1" x14ac:dyDescent="0.3">
      <c r="A286" s="325">
        <v>150000760</v>
      </c>
      <c r="B286" s="445" t="s">
        <v>388</v>
      </c>
      <c r="C286" s="27">
        <v>9</v>
      </c>
      <c r="D286" s="101" t="s">
        <v>455</v>
      </c>
      <c r="E286" s="279">
        <v>11337.62</v>
      </c>
      <c r="F286" s="441">
        <v>172744.13600017261</v>
      </c>
      <c r="G286" s="441">
        <v>149570.81635841279</v>
      </c>
      <c r="H286" s="73">
        <v>-23173.319641759823</v>
      </c>
      <c r="I286" s="5">
        <v>120</v>
      </c>
      <c r="J286" s="5">
        <v>16252</v>
      </c>
      <c r="K286" s="446"/>
      <c r="L286" s="5">
        <v>1</v>
      </c>
      <c r="M286" s="5">
        <v>92718</v>
      </c>
      <c r="N286" s="35"/>
      <c r="O286" s="5">
        <v>0</v>
      </c>
      <c r="P286" s="5">
        <v>0</v>
      </c>
      <c r="Q286" s="465"/>
      <c r="R286" s="5">
        <v>2</v>
      </c>
      <c r="S286" s="5">
        <v>6701.02</v>
      </c>
      <c r="T286" s="456"/>
      <c r="U286" s="5">
        <v>0</v>
      </c>
      <c r="V286" s="5">
        <v>0</v>
      </c>
      <c r="W286" s="5">
        <v>0</v>
      </c>
      <c r="X286" s="5">
        <v>458.04635841279014</v>
      </c>
      <c r="Y286" s="5">
        <v>957</v>
      </c>
      <c r="Z286" s="5">
        <v>0</v>
      </c>
      <c r="AA286" s="5">
        <v>0</v>
      </c>
      <c r="AB286" s="5">
        <v>0</v>
      </c>
      <c r="AC286" s="5">
        <v>11222</v>
      </c>
      <c r="AD286" s="5">
        <v>21262.75</v>
      </c>
      <c r="AE286" s="5">
        <v>4130.0737414201385</v>
      </c>
      <c r="AF286" s="5">
        <v>1561</v>
      </c>
      <c r="AG286" s="454"/>
      <c r="AH286" s="5">
        <v>9322.8948199445767</v>
      </c>
      <c r="AI286" s="5">
        <v>21971</v>
      </c>
      <c r="AJ286" s="5"/>
      <c r="AK286" s="5">
        <v>4618.3677073598892</v>
      </c>
      <c r="AL286" s="5">
        <v>0</v>
      </c>
      <c r="AM286" s="5"/>
      <c r="AN286" s="5">
        <v>4802.6568302125743</v>
      </c>
      <c r="AO286" s="5">
        <v>742</v>
      </c>
      <c r="AP286" s="5"/>
      <c r="AQ286" s="5">
        <v>1385.6021579763128</v>
      </c>
      <c r="AR286" s="5">
        <v>118</v>
      </c>
      <c r="AS286" s="8"/>
      <c r="AT286" s="5">
        <v>5972.7354039469865</v>
      </c>
      <c r="AU286" s="5">
        <v>978</v>
      </c>
      <c r="AV286" s="5"/>
      <c r="AW286" s="5">
        <v>340.13159999999999</v>
      </c>
      <c r="AX286" s="5">
        <v>0</v>
      </c>
      <c r="AY286" s="5"/>
      <c r="AZ286" s="40">
        <v>30572.462260860477</v>
      </c>
      <c r="BA286" s="40">
        <v>25370</v>
      </c>
      <c r="BB286" s="55">
        <v>-5202.4622608604768</v>
      </c>
      <c r="BD286" s="2">
        <v>2</v>
      </c>
      <c r="BF286" s="325">
        <v>150000760</v>
      </c>
    </row>
    <row r="287" spans="1:58" ht="25.05" customHeight="1" x14ac:dyDescent="0.3">
      <c r="A287" s="325">
        <v>150000758</v>
      </c>
      <c r="B287" s="445" t="s">
        <v>389</v>
      </c>
      <c r="C287" s="27">
        <v>9</v>
      </c>
      <c r="D287" s="101" t="s">
        <v>455</v>
      </c>
      <c r="E287" s="279">
        <v>13218.32</v>
      </c>
      <c r="F287" s="441">
        <v>208145.71203412028</v>
      </c>
      <c r="G287" s="441">
        <v>245332.12</v>
      </c>
      <c r="H287" s="73">
        <v>37186.407965879713</v>
      </c>
      <c r="I287" s="5">
        <v>320</v>
      </c>
      <c r="J287" s="5">
        <v>53528.18</v>
      </c>
      <c r="K287" s="450"/>
      <c r="L287" s="5">
        <v>1</v>
      </c>
      <c r="M287" s="5">
        <v>121109</v>
      </c>
      <c r="N287" s="35"/>
      <c r="O287" s="5">
        <v>120</v>
      </c>
      <c r="P287" s="5">
        <v>27908</v>
      </c>
      <c r="Q287" s="465"/>
      <c r="R287" s="5">
        <v>5</v>
      </c>
      <c r="S287" s="5">
        <v>9290.02</v>
      </c>
      <c r="T287" s="456"/>
      <c r="U287" s="5">
        <v>0</v>
      </c>
      <c r="V287" s="5">
        <v>0</v>
      </c>
      <c r="W287" s="5">
        <v>0</v>
      </c>
      <c r="X287" s="5">
        <v>0</v>
      </c>
      <c r="Y287" s="5">
        <v>687</v>
      </c>
      <c r="Z287" s="5">
        <v>0</v>
      </c>
      <c r="AA287" s="5">
        <v>0</v>
      </c>
      <c r="AB287" s="5">
        <v>1197</v>
      </c>
      <c r="AC287" s="5">
        <v>6305.92</v>
      </c>
      <c r="AD287" s="5">
        <v>25307</v>
      </c>
      <c r="AE287" s="5">
        <v>5356.8373426348999</v>
      </c>
      <c r="AF287" s="5">
        <v>965</v>
      </c>
      <c r="AG287" s="8"/>
      <c r="AH287" s="5">
        <v>10876.192129342528</v>
      </c>
      <c r="AI287" s="5">
        <v>19361.82</v>
      </c>
      <c r="AJ287" s="8"/>
      <c r="AK287" s="5">
        <v>5122.2035361956332</v>
      </c>
      <c r="AL287" s="5">
        <v>0</v>
      </c>
      <c r="AM287" s="8"/>
      <c r="AN287" s="5">
        <v>5208.7865901234409</v>
      </c>
      <c r="AO287" s="5">
        <v>0</v>
      </c>
      <c r="AP287" s="5"/>
      <c r="AQ287" s="5">
        <v>1616.4603436528578</v>
      </c>
      <c r="AR287" s="5">
        <v>0</v>
      </c>
      <c r="AS287" s="5"/>
      <c r="AT287" s="5">
        <v>5639.0580109375915</v>
      </c>
      <c r="AU287" s="5">
        <v>2586</v>
      </c>
      <c r="AV287" s="8"/>
      <c r="AW287" s="5">
        <v>396.279</v>
      </c>
      <c r="AX287" s="5">
        <v>0</v>
      </c>
      <c r="AY287" s="5"/>
      <c r="AZ287" s="40">
        <v>34215.816952886955</v>
      </c>
      <c r="BA287" s="40">
        <v>22912.82</v>
      </c>
      <c r="BB287" s="55">
        <v>-11302.996952886955</v>
      </c>
      <c r="BD287" s="2">
        <v>2</v>
      </c>
      <c r="BF287" s="325">
        <v>150000758</v>
      </c>
    </row>
    <row r="288" spans="1:58" ht="25.05" customHeight="1" x14ac:dyDescent="0.3">
      <c r="A288" s="325">
        <v>150000759</v>
      </c>
      <c r="B288" s="445" t="s">
        <v>390</v>
      </c>
      <c r="C288" s="27">
        <v>9</v>
      </c>
      <c r="D288" s="101" t="s">
        <v>455</v>
      </c>
      <c r="E288" s="279">
        <v>5689.68</v>
      </c>
      <c r="F288" s="441">
        <v>91030.80897804792</v>
      </c>
      <c r="G288" s="441">
        <v>122544</v>
      </c>
      <c r="H288" s="73">
        <v>31513.19102195208</v>
      </c>
      <c r="I288" s="5">
        <v>0</v>
      </c>
      <c r="J288" s="5">
        <v>0</v>
      </c>
      <c r="K288" s="446"/>
      <c r="L288" s="5">
        <v>1</v>
      </c>
      <c r="M288" s="5">
        <v>111151</v>
      </c>
      <c r="N288" s="35"/>
      <c r="O288" s="5">
        <v>0</v>
      </c>
      <c r="P288" s="5">
        <v>0</v>
      </c>
      <c r="Q288" s="447"/>
      <c r="R288" s="5">
        <v>1</v>
      </c>
      <c r="S288" s="5">
        <v>573</v>
      </c>
      <c r="T288" s="451"/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2756</v>
      </c>
      <c r="AD288" s="5">
        <v>8064</v>
      </c>
      <c r="AE288" s="5">
        <v>2369.0485658924999</v>
      </c>
      <c r="AF288" s="5">
        <v>380.17</v>
      </c>
      <c r="AG288" s="8"/>
      <c r="AH288" s="5">
        <v>2701.5990844416451</v>
      </c>
      <c r="AI288" s="5">
        <v>0</v>
      </c>
      <c r="AJ288" s="467"/>
      <c r="AK288" s="5">
        <v>2216.0779309749514</v>
      </c>
      <c r="AL288" s="5">
        <v>0</v>
      </c>
      <c r="AM288" s="5"/>
      <c r="AN288" s="5">
        <v>2801.3788199285796</v>
      </c>
      <c r="AO288" s="5">
        <v>0</v>
      </c>
      <c r="AP288" s="5"/>
      <c r="AQ288" s="5">
        <v>692.74660800088429</v>
      </c>
      <c r="AR288" s="5">
        <v>0</v>
      </c>
      <c r="AS288" s="5"/>
      <c r="AT288" s="5">
        <v>2843.8637167473994</v>
      </c>
      <c r="AU288" s="5">
        <v>0</v>
      </c>
      <c r="AV288" s="5"/>
      <c r="AW288" s="5">
        <v>170.62739999999999</v>
      </c>
      <c r="AX288" s="5">
        <v>0</v>
      </c>
      <c r="AY288" s="5"/>
      <c r="AZ288" s="40">
        <v>13795.342125985959</v>
      </c>
      <c r="BA288" s="40">
        <v>380.17</v>
      </c>
      <c r="BB288" s="55">
        <v>-13415.172125985959</v>
      </c>
      <c r="BD288" s="2">
        <v>2</v>
      </c>
      <c r="BF288" s="325">
        <v>150000759</v>
      </c>
    </row>
    <row r="289" spans="1:58" ht="25.05" customHeight="1" x14ac:dyDescent="0.3">
      <c r="A289" s="325">
        <v>150000761</v>
      </c>
      <c r="B289" s="445" t="s">
        <v>391</v>
      </c>
      <c r="C289" s="27">
        <v>9</v>
      </c>
      <c r="D289" s="101" t="s">
        <v>455</v>
      </c>
      <c r="E289" s="279">
        <v>6815.39</v>
      </c>
      <c r="F289" s="441">
        <v>77742.194874725785</v>
      </c>
      <c r="G289" s="441">
        <v>2588.8934092875861</v>
      </c>
      <c r="H289" s="73">
        <v>-75153.301465438199</v>
      </c>
      <c r="I289" s="5">
        <v>0</v>
      </c>
      <c r="J289" s="5">
        <v>0</v>
      </c>
      <c r="K289" s="450"/>
      <c r="L289" s="5">
        <v>0</v>
      </c>
      <c r="M289" s="5">
        <v>0</v>
      </c>
      <c r="N289" s="35"/>
      <c r="O289" s="5">
        <v>0</v>
      </c>
      <c r="P289" s="5">
        <v>0</v>
      </c>
      <c r="Q289" s="447"/>
      <c r="R289" s="5">
        <v>0</v>
      </c>
      <c r="S289" s="5">
        <v>0</v>
      </c>
      <c r="T289" s="448"/>
      <c r="U289" s="5">
        <v>0</v>
      </c>
      <c r="V289" s="5">
        <v>0</v>
      </c>
      <c r="W289" s="5">
        <v>0</v>
      </c>
      <c r="X289" s="5">
        <v>364.89340928758588</v>
      </c>
      <c r="Y289" s="5">
        <v>1950</v>
      </c>
      <c r="Z289" s="5">
        <v>0</v>
      </c>
      <c r="AA289" s="5">
        <v>0</v>
      </c>
      <c r="AB289" s="5">
        <v>0</v>
      </c>
      <c r="AC289" s="5">
        <v>0</v>
      </c>
      <c r="AD289" s="5">
        <v>274</v>
      </c>
      <c r="AE289" s="5">
        <v>1994.4998229095577</v>
      </c>
      <c r="AF289" s="5">
        <v>703</v>
      </c>
      <c r="AG289" s="5"/>
      <c r="AH289" s="5">
        <v>2263.1241322255823</v>
      </c>
      <c r="AI289" s="5">
        <v>1804.65</v>
      </c>
      <c r="AJ289" s="5"/>
      <c r="AK289" s="5">
        <v>2019.1081583008092</v>
      </c>
      <c r="AL289" s="5">
        <v>0</v>
      </c>
      <c r="AM289" s="8"/>
      <c r="AN289" s="5">
        <v>2308.9272556652036</v>
      </c>
      <c r="AO289" s="5">
        <v>578</v>
      </c>
      <c r="AP289" s="5"/>
      <c r="AQ289" s="5">
        <v>804.98351208428267</v>
      </c>
      <c r="AR289" s="5">
        <v>0</v>
      </c>
      <c r="AS289" s="5"/>
      <c r="AT289" s="5">
        <v>1137.9189041292859</v>
      </c>
      <c r="AU289" s="5">
        <v>2962</v>
      </c>
      <c r="AV289" s="5"/>
      <c r="AW289" s="5">
        <v>201.62369999999999</v>
      </c>
      <c r="AX289" s="5">
        <v>0</v>
      </c>
      <c r="AY289" s="5"/>
      <c r="AZ289" s="40">
        <v>10730.185485314722</v>
      </c>
      <c r="BA289" s="40">
        <v>6047.65</v>
      </c>
      <c r="BB289" s="55">
        <v>-4682.5354853147219</v>
      </c>
      <c r="BD289" s="2">
        <v>2</v>
      </c>
      <c r="BF289" s="325">
        <v>150000761</v>
      </c>
    </row>
    <row r="290" spans="1:58" ht="25.05" customHeight="1" x14ac:dyDescent="0.3">
      <c r="A290" s="325">
        <v>150000762</v>
      </c>
      <c r="B290" s="445" t="s">
        <v>392</v>
      </c>
      <c r="C290" s="27">
        <v>9</v>
      </c>
      <c r="D290" s="101" t="s">
        <v>455</v>
      </c>
      <c r="E290" s="279">
        <v>2823.8</v>
      </c>
      <c r="F290" s="441">
        <v>31393.731762401683</v>
      </c>
      <c r="G290" s="441">
        <v>12915</v>
      </c>
      <c r="H290" s="73">
        <v>-18478.731762401683</v>
      </c>
      <c r="I290" s="5">
        <v>0</v>
      </c>
      <c r="J290" s="5">
        <v>0</v>
      </c>
      <c r="K290" s="446"/>
      <c r="L290" s="5">
        <v>0</v>
      </c>
      <c r="M290" s="5">
        <v>0</v>
      </c>
      <c r="N290" s="35"/>
      <c r="O290" s="5">
        <v>0</v>
      </c>
      <c r="P290" s="5">
        <v>0</v>
      </c>
      <c r="Q290" s="447"/>
      <c r="R290" s="5">
        <v>2</v>
      </c>
      <c r="S290" s="5">
        <v>10437</v>
      </c>
      <c r="T290" s="448"/>
      <c r="U290" s="5">
        <v>0</v>
      </c>
      <c r="V290" s="5">
        <v>0</v>
      </c>
      <c r="W290" s="5">
        <v>0</v>
      </c>
      <c r="X290" s="5">
        <v>0</v>
      </c>
      <c r="Y290" s="5">
        <v>2288</v>
      </c>
      <c r="Z290" s="5">
        <v>0</v>
      </c>
      <c r="AA290" s="5">
        <v>0</v>
      </c>
      <c r="AB290" s="5">
        <v>0</v>
      </c>
      <c r="AC290" s="5">
        <v>0</v>
      </c>
      <c r="AD290" s="5">
        <v>190</v>
      </c>
      <c r="AE290" s="5">
        <v>1157.1854836845946</v>
      </c>
      <c r="AF290" s="5">
        <v>103</v>
      </c>
      <c r="AG290" s="5"/>
      <c r="AH290" s="5">
        <v>1315.8593497522199</v>
      </c>
      <c r="AI290" s="5">
        <v>33</v>
      </c>
      <c r="AJ290" s="5"/>
      <c r="AK290" s="5">
        <v>0</v>
      </c>
      <c r="AL290" s="5">
        <v>0</v>
      </c>
      <c r="AM290" s="5"/>
      <c r="AN290" s="5">
        <v>0</v>
      </c>
      <c r="AO290" s="5">
        <v>0</v>
      </c>
      <c r="AP290" s="5"/>
      <c r="AQ290" s="5">
        <v>402.52349434445983</v>
      </c>
      <c r="AR290" s="5">
        <v>0</v>
      </c>
      <c r="AS290" s="5"/>
      <c r="AT290" s="5">
        <v>528.482515501168</v>
      </c>
      <c r="AU290" s="5">
        <v>0</v>
      </c>
      <c r="AV290" s="5"/>
      <c r="AW290" s="5">
        <v>84.714000000000013</v>
      </c>
      <c r="AX290" s="5">
        <v>0</v>
      </c>
      <c r="AY290" s="5"/>
      <c r="AZ290" s="40">
        <v>3488.7648432824426</v>
      </c>
      <c r="BA290" s="40">
        <v>136</v>
      </c>
      <c r="BB290" s="55">
        <v>-3352.7648432824426</v>
      </c>
      <c r="BD290" s="2">
        <v>2</v>
      </c>
      <c r="BF290" s="325">
        <v>150000762</v>
      </c>
    </row>
    <row r="291" spans="1:58" ht="25.05" customHeight="1" x14ac:dyDescent="0.3">
      <c r="A291" s="325">
        <v>150000638</v>
      </c>
      <c r="B291" s="445" t="s">
        <v>132</v>
      </c>
      <c r="C291" s="27">
        <v>1</v>
      </c>
      <c r="D291" s="101" t="s">
        <v>455</v>
      </c>
      <c r="E291" s="279">
        <v>90.7</v>
      </c>
      <c r="F291" s="441">
        <v>1084.9779436846943</v>
      </c>
      <c r="G291" s="441">
        <v>0</v>
      </c>
      <c r="H291" s="73">
        <v>-1084.9779436846943</v>
      </c>
      <c r="I291" s="5">
        <v>0</v>
      </c>
      <c r="J291" s="5">
        <v>0</v>
      </c>
      <c r="K291" s="446"/>
      <c r="L291" s="5">
        <v>0</v>
      </c>
      <c r="M291" s="5">
        <v>0</v>
      </c>
      <c r="N291" s="35"/>
      <c r="O291" s="5">
        <v>0</v>
      </c>
      <c r="P291" s="5">
        <v>0</v>
      </c>
      <c r="Q291" s="447"/>
      <c r="R291" s="5">
        <v>0</v>
      </c>
      <c r="S291" s="5">
        <v>0</v>
      </c>
      <c r="T291" s="448"/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  <c r="AG291" s="5"/>
      <c r="AH291" s="5">
        <v>0</v>
      </c>
      <c r="AI291" s="5">
        <v>0</v>
      </c>
      <c r="AJ291" s="5"/>
      <c r="AK291" s="5">
        <v>0</v>
      </c>
      <c r="AL291" s="5">
        <v>0</v>
      </c>
      <c r="AM291" s="5"/>
      <c r="AN291" s="5">
        <v>0</v>
      </c>
      <c r="AO291" s="5">
        <v>0</v>
      </c>
      <c r="AP291" s="5"/>
      <c r="AQ291" s="5">
        <v>0</v>
      </c>
      <c r="AR291" s="5">
        <v>0</v>
      </c>
      <c r="AS291" s="5"/>
      <c r="AT291" s="5">
        <v>0</v>
      </c>
      <c r="AU291" s="5">
        <v>0</v>
      </c>
      <c r="AV291" s="5"/>
      <c r="AW291" s="5">
        <v>2.7210000000000001</v>
      </c>
      <c r="AX291" s="5">
        <v>0</v>
      </c>
      <c r="AY291" s="5"/>
      <c r="AZ291" s="40">
        <v>2.7210000000000001</v>
      </c>
      <c r="BA291" s="40">
        <v>0</v>
      </c>
      <c r="BB291" s="55">
        <v>-2.7210000000000001</v>
      </c>
      <c r="BD291" s="2">
        <v>2</v>
      </c>
      <c r="BF291" s="325">
        <v>150000638</v>
      </c>
    </row>
    <row r="292" spans="1:58" ht="25.05" customHeight="1" x14ac:dyDescent="0.3">
      <c r="A292" s="325">
        <v>150000639</v>
      </c>
      <c r="B292" s="445" t="s">
        <v>133</v>
      </c>
      <c r="C292" s="27">
        <v>1</v>
      </c>
      <c r="D292" s="101" t="s">
        <v>455</v>
      </c>
      <c r="E292" s="279">
        <v>171</v>
      </c>
      <c r="F292" s="441">
        <v>1538.7956415647079</v>
      </c>
      <c r="G292" s="441">
        <v>0</v>
      </c>
      <c r="H292" s="73">
        <v>-1538.7956415647079</v>
      </c>
      <c r="I292" s="5">
        <v>0</v>
      </c>
      <c r="J292" s="5">
        <v>0</v>
      </c>
      <c r="K292" s="446"/>
      <c r="L292" s="5">
        <v>0</v>
      </c>
      <c r="M292" s="5">
        <v>0</v>
      </c>
      <c r="N292" s="35"/>
      <c r="O292" s="5">
        <v>0</v>
      </c>
      <c r="P292" s="5">
        <v>0</v>
      </c>
      <c r="Q292" s="447"/>
      <c r="R292" s="5">
        <v>0</v>
      </c>
      <c r="S292" s="5">
        <v>0</v>
      </c>
      <c r="T292" s="448"/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/>
      <c r="AH292" s="5">
        <v>0</v>
      </c>
      <c r="AI292" s="5">
        <v>0</v>
      </c>
      <c r="AJ292" s="5"/>
      <c r="AK292" s="5">
        <v>0</v>
      </c>
      <c r="AL292" s="5">
        <v>0</v>
      </c>
      <c r="AM292" s="5"/>
      <c r="AN292" s="5">
        <v>0</v>
      </c>
      <c r="AO292" s="5">
        <v>0</v>
      </c>
      <c r="AP292" s="5"/>
      <c r="AQ292" s="5">
        <v>0</v>
      </c>
      <c r="AR292" s="5">
        <v>0</v>
      </c>
      <c r="AS292" s="5"/>
      <c r="AT292" s="5">
        <v>0</v>
      </c>
      <c r="AU292" s="5">
        <v>0</v>
      </c>
      <c r="AV292" s="5"/>
      <c r="AW292" s="5">
        <v>5.13</v>
      </c>
      <c r="AX292" s="5">
        <v>0</v>
      </c>
      <c r="AY292" s="5"/>
      <c r="AZ292" s="40">
        <v>5.13</v>
      </c>
      <c r="BA292" s="40">
        <v>0</v>
      </c>
      <c r="BB292" s="55">
        <v>-5.13</v>
      </c>
      <c r="BD292" s="2">
        <v>2</v>
      </c>
      <c r="BF292" s="325">
        <v>150000639</v>
      </c>
    </row>
    <row r="293" spans="1:58" ht="25.05" customHeight="1" x14ac:dyDescent="0.3">
      <c r="A293" s="325">
        <v>150000736</v>
      </c>
      <c r="B293" s="445" t="s">
        <v>220</v>
      </c>
      <c r="C293" s="27">
        <v>4</v>
      </c>
      <c r="D293" s="101" t="s">
        <v>455</v>
      </c>
      <c r="E293" s="279">
        <v>2846.8999999999996</v>
      </c>
      <c r="F293" s="441">
        <v>30189.621018215526</v>
      </c>
      <c r="G293" s="441">
        <v>100380.39</v>
      </c>
      <c r="H293" s="73">
        <v>70190.768981784466</v>
      </c>
      <c r="I293" s="5">
        <v>1.75</v>
      </c>
      <c r="J293" s="5">
        <v>507.12</v>
      </c>
      <c r="K293" s="446"/>
      <c r="L293" s="5">
        <v>1</v>
      </c>
      <c r="M293" s="5">
        <v>53614</v>
      </c>
      <c r="N293" s="449"/>
      <c r="O293" s="5">
        <v>0</v>
      </c>
      <c r="P293" s="5">
        <v>0</v>
      </c>
      <c r="Q293" s="447"/>
      <c r="R293" s="5">
        <v>0</v>
      </c>
      <c r="S293" s="5">
        <v>0</v>
      </c>
      <c r="T293" s="448"/>
      <c r="U293" s="5">
        <v>0</v>
      </c>
      <c r="V293" s="5">
        <v>0</v>
      </c>
      <c r="W293" s="5">
        <v>20</v>
      </c>
      <c r="X293" s="5">
        <v>13812</v>
      </c>
      <c r="Y293" s="5">
        <v>29636.27</v>
      </c>
      <c r="Z293" s="5">
        <v>0</v>
      </c>
      <c r="AA293" s="5">
        <v>0</v>
      </c>
      <c r="AB293" s="5">
        <v>0</v>
      </c>
      <c r="AC293" s="5">
        <v>1574</v>
      </c>
      <c r="AD293" s="5">
        <v>1237</v>
      </c>
      <c r="AE293" s="5">
        <v>1824.4066285802191</v>
      </c>
      <c r="AF293" s="5">
        <v>3363</v>
      </c>
      <c r="AG293" s="5"/>
      <c r="AH293" s="5">
        <v>2948.1841098513069</v>
      </c>
      <c r="AI293" s="5">
        <v>4003</v>
      </c>
      <c r="AJ293" s="5"/>
      <c r="AK293" s="5">
        <v>1953.3344161797252</v>
      </c>
      <c r="AL293" s="5">
        <v>0</v>
      </c>
      <c r="AM293" s="5"/>
      <c r="AN293" s="5">
        <v>0</v>
      </c>
      <c r="AO293" s="5">
        <v>0</v>
      </c>
      <c r="AP293" s="5"/>
      <c r="AQ293" s="5">
        <v>0</v>
      </c>
      <c r="AR293" s="5">
        <v>0</v>
      </c>
      <c r="AS293" s="5"/>
      <c r="AT293" s="5">
        <v>1531.0240447027545</v>
      </c>
      <c r="AU293" s="5">
        <v>2301</v>
      </c>
      <c r="AV293" s="5"/>
      <c r="AW293" s="5">
        <v>85.406999999999996</v>
      </c>
      <c r="AX293" s="5">
        <v>0</v>
      </c>
      <c r="AY293" s="5"/>
      <c r="AZ293" s="40">
        <v>8342.3561993140047</v>
      </c>
      <c r="BA293" s="40">
        <v>9667</v>
      </c>
      <c r="BB293" s="55">
        <v>1324.6438006859953</v>
      </c>
      <c r="BD293" s="2">
        <v>2</v>
      </c>
      <c r="BF293" s="325">
        <v>150000736</v>
      </c>
    </row>
    <row r="294" spans="1:58" ht="25.05" customHeight="1" x14ac:dyDescent="0.3">
      <c r="A294" s="325">
        <v>150000743</v>
      </c>
      <c r="B294" s="445" t="s">
        <v>221</v>
      </c>
      <c r="C294" s="27">
        <v>4</v>
      </c>
      <c r="D294" s="101" t="s">
        <v>455</v>
      </c>
      <c r="E294" s="279">
        <v>2296.6999999999998</v>
      </c>
      <c r="F294" s="441">
        <v>21255.166790812022</v>
      </c>
      <c r="G294" s="441">
        <v>7987.8346954940744</v>
      </c>
      <c r="H294" s="73">
        <v>-13267.332095317946</v>
      </c>
      <c r="I294" s="5">
        <v>0</v>
      </c>
      <c r="J294" s="5">
        <v>0</v>
      </c>
      <c r="K294" s="446"/>
      <c r="L294" s="5">
        <v>0</v>
      </c>
      <c r="M294" s="5">
        <v>7080</v>
      </c>
      <c r="N294" s="35"/>
      <c r="O294" s="5">
        <v>0</v>
      </c>
      <c r="P294" s="5">
        <v>0</v>
      </c>
      <c r="Q294" s="447"/>
      <c r="R294" s="5">
        <v>0</v>
      </c>
      <c r="S294" s="5">
        <v>0</v>
      </c>
      <c r="T294" s="448"/>
      <c r="U294" s="5">
        <v>0</v>
      </c>
      <c r="V294" s="5">
        <v>0</v>
      </c>
      <c r="W294" s="5">
        <v>0</v>
      </c>
      <c r="X294" s="5">
        <v>337.83469549407414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570</v>
      </c>
      <c r="AE294" s="5">
        <v>1679.0279389231105</v>
      </c>
      <c r="AF294" s="5">
        <v>733</v>
      </c>
      <c r="AG294" s="5"/>
      <c r="AH294" s="5">
        <v>2206.2363445777514</v>
      </c>
      <c r="AI294" s="5">
        <v>0</v>
      </c>
      <c r="AJ294" s="5"/>
      <c r="AK294" s="5">
        <v>1139.437172474275</v>
      </c>
      <c r="AL294" s="5">
        <v>0</v>
      </c>
      <c r="AM294" s="5"/>
      <c r="AN294" s="5">
        <v>0</v>
      </c>
      <c r="AO294" s="5">
        <v>0</v>
      </c>
      <c r="AP294" s="5"/>
      <c r="AQ294" s="5">
        <v>0</v>
      </c>
      <c r="AR294" s="5">
        <v>0</v>
      </c>
      <c r="AS294" s="5"/>
      <c r="AT294" s="5">
        <v>946.53662132468855</v>
      </c>
      <c r="AU294" s="5">
        <v>0</v>
      </c>
      <c r="AV294" s="5"/>
      <c r="AW294" s="5">
        <v>68.90100000000001</v>
      </c>
      <c r="AX294" s="5">
        <v>0</v>
      </c>
      <c r="AY294" s="5"/>
      <c r="AZ294" s="40">
        <v>6040.1390772998257</v>
      </c>
      <c r="BA294" s="40">
        <v>733</v>
      </c>
      <c r="BB294" s="55">
        <v>-5307.1390772998257</v>
      </c>
      <c r="BD294" s="2">
        <v>2</v>
      </c>
      <c r="BF294" s="325">
        <v>150000743</v>
      </c>
    </row>
    <row r="295" spans="1:58" ht="25.05" customHeight="1" x14ac:dyDescent="0.3">
      <c r="A295" s="325">
        <v>150000737</v>
      </c>
      <c r="B295" s="445" t="s">
        <v>222</v>
      </c>
      <c r="C295" s="27">
        <v>4</v>
      </c>
      <c r="D295" s="101" t="s">
        <v>455</v>
      </c>
      <c r="E295" s="279">
        <v>2573.1</v>
      </c>
      <c r="F295" s="441">
        <v>33417.730468821916</v>
      </c>
      <c r="G295" s="441">
        <v>6643.77</v>
      </c>
      <c r="H295" s="73">
        <v>-26773.960468821915</v>
      </c>
      <c r="I295" s="5">
        <v>18.5</v>
      </c>
      <c r="J295" s="5">
        <v>3668.05</v>
      </c>
      <c r="K295" s="450"/>
      <c r="L295" s="5">
        <v>0</v>
      </c>
      <c r="M295" s="5">
        <v>0</v>
      </c>
      <c r="N295" s="449"/>
      <c r="O295" s="5">
        <v>0</v>
      </c>
      <c r="P295" s="5">
        <v>0</v>
      </c>
      <c r="Q295" s="447"/>
      <c r="R295" s="5">
        <v>0</v>
      </c>
      <c r="S295" s="5">
        <v>0</v>
      </c>
      <c r="T295" s="448"/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1357</v>
      </c>
      <c r="AC295" s="5">
        <v>0</v>
      </c>
      <c r="AD295" s="5">
        <v>1618.72</v>
      </c>
      <c r="AE295" s="5">
        <v>2182.3596731365128</v>
      </c>
      <c r="AF295" s="5">
        <v>2078</v>
      </c>
      <c r="AG295" s="5"/>
      <c r="AH295" s="5">
        <v>2921.9360173407954</v>
      </c>
      <c r="AI295" s="5">
        <v>0</v>
      </c>
      <c r="AJ295" s="5"/>
      <c r="AK295" s="5">
        <v>1321.9156433442436</v>
      </c>
      <c r="AL295" s="5">
        <v>0</v>
      </c>
      <c r="AM295" s="5"/>
      <c r="AN295" s="5">
        <v>0</v>
      </c>
      <c r="AO295" s="5">
        <v>0</v>
      </c>
      <c r="AP295" s="5"/>
      <c r="AQ295" s="5">
        <v>0</v>
      </c>
      <c r="AR295" s="5">
        <v>0</v>
      </c>
      <c r="AS295" s="5"/>
      <c r="AT295" s="5">
        <v>1487.3754171781968</v>
      </c>
      <c r="AU295" s="5">
        <v>0</v>
      </c>
      <c r="AV295" s="5"/>
      <c r="AW295" s="5">
        <v>77.222999999999999</v>
      </c>
      <c r="AX295" s="5">
        <v>0</v>
      </c>
      <c r="AY295" s="5"/>
      <c r="AZ295" s="40">
        <v>7990.8097509997478</v>
      </c>
      <c r="BA295" s="40">
        <v>2078</v>
      </c>
      <c r="BB295" s="55">
        <v>-5912.8097509997478</v>
      </c>
      <c r="BD295" s="2">
        <v>2</v>
      </c>
      <c r="BF295" s="325">
        <v>150000737</v>
      </c>
    </row>
    <row r="296" spans="1:58" ht="25.05" customHeight="1" x14ac:dyDescent="0.3">
      <c r="A296" s="325">
        <v>150000738</v>
      </c>
      <c r="B296" s="445" t="s">
        <v>290</v>
      </c>
      <c r="C296" s="27">
        <v>5</v>
      </c>
      <c r="D296" s="101" t="s">
        <v>455</v>
      </c>
      <c r="E296" s="279">
        <v>3567.9</v>
      </c>
      <c r="F296" s="441">
        <v>52906.169322477333</v>
      </c>
      <c r="G296" s="441">
        <v>63573.46</v>
      </c>
      <c r="H296" s="73">
        <v>10667.290677522666</v>
      </c>
      <c r="I296" s="5">
        <v>170</v>
      </c>
      <c r="J296" s="5">
        <v>21789.46</v>
      </c>
      <c r="K296" s="446"/>
      <c r="L296" s="5">
        <v>0</v>
      </c>
      <c r="M296" s="5">
        <v>0</v>
      </c>
      <c r="N296" s="449"/>
      <c r="O296" s="5">
        <v>0</v>
      </c>
      <c r="P296" s="5">
        <v>0</v>
      </c>
      <c r="Q296" s="447"/>
      <c r="R296" s="5">
        <v>0</v>
      </c>
      <c r="S296" s="5">
        <v>0</v>
      </c>
      <c r="T296" s="448"/>
      <c r="U296" s="5">
        <v>0</v>
      </c>
      <c r="V296" s="5">
        <v>0</v>
      </c>
      <c r="W296" s="5">
        <v>49</v>
      </c>
      <c r="X296" s="5">
        <v>30335</v>
      </c>
      <c r="Y296" s="5">
        <v>0</v>
      </c>
      <c r="Z296" s="5">
        <v>0</v>
      </c>
      <c r="AA296" s="5">
        <v>0</v>
      </c>
      <c r="AB296" s="5">
        <v>2133</v>
      </c>
      <c r="AC296" s="5">
        <v>0</v>
      </c>
      <c r="AD296" s="5">
        <v>9316</v>
      </c>
      <c r="AE296" s="5">
        <v>2598.8449980231017</v>
      </c>
      <c r="AF296" s="5">
        <v>1688</v>
      </c>
      <c r="AG296" s="5"/>
      <c r="AH296" s="5">
        <v>3338.215828370774</v>
      </c>
      <c r="AI296" s="5">
        <v>0</v>
      </c>
      <c r="AJ296" s="5"/>
      <c r="AK296" s="5">
        <v>2405.1240903162288</v>
      </c>
      <c r="AL296" s="5">
        <v>0</v>
      </c>
      <c r="AM296" s="5"/>
      <c r="AN296" s="5">
        <v>0</v>
      </c>
      <c r="AO296" s="5">
        <v>0</v>
      </c>
      <c r="AP296" s="5"/>
      <c r="AQ296" s="5">
        <v>0</v>
      </c>
      <c r="AR296" s="5">
        <v>0</v>
      </c>
      <c r="AS296" s="5"/>
      <c r="AT296" s="5">
        <v>1695.5229724507592</v>
      </c>
      <c r="AU296" s="5">
        <v>33388</v>
      </c>
      <c r="AV296" s="463"/>
      <c r="AW296" s="5">
        <v>107.04299999999999</v>
      </c>
      <c r="AX296" s="5">
        <v>0</v>
      </c>
      <c r="AY296" s="5"/>
      <c r="AZ296" s="40">
        <v>10144.750889160863</v>
      </c>
      <c r="BA296" s="40">
        <v>35076</v>
      </c>
      <c r="BB296" s="55">
        <v>24931.249110839137</v>
      </c>
      <c r="BD296" s="2">
        <v>2</v>
      </c>
      <c r="BF296" s="325">
        <v>150000738</v>
      </c>
    </row>
    <row r="297" spans="1:58" ht="25.05" customHeight="1" x14ac:dyDescent="0.3">
      <c r="A297" s="325">
        <v>150000739</v>
      </c>
      <c r="B297" s="445" t="s">
        <v>223</v>
      </c>
      <c r="C297" s="27">
        <v>4</v>
      </c>
      <c r="D297" s="101" t="s">
        <v>455</v>
      </c>
      <c r="E297" s="279">
        <v>3631.7</v>
      </c>
      <c r="F297" s="441">
        <v>39060.810458283719</v>
      </c>
      <c r="G297" s="441">
        <v>83172.633224437552</v>
      </c>
      <c r="H297" s="73">
        <v>44111.822766153833</v>
      </c>
      <c r="I297" s="5">
        <v>3.5</v>
      </c>
      <c r="J297" s="5">
        <v>1009.02</v>
      </c>
      <c r="K297" s="446"/>
      <c r="L297" s="5">
        <v>0</v>
      </c>
      <c r="M297" s="5">
        <v>0</v>
      </c>
      <c r="N297" s="35"/>
      <c r="O297" s="5">
        <v>0</v>
      </c>
      <c r="P297" s="5">
        <v>0</v>
      </c>
      <c r="Q297" s="447"/>
      <c r="R297" s="5">
        <v>0</v>
      </c>
      <c r="S297" s="5">
        <v>0</v>
      </c>
      <c r="T297" s="448"/>
      <c r="U297" s="5">
        <v>0</v>
      </c>
      <c r="V297" s="5">
        <v>0</v>
      </c>
      <c r="W297" s="5">
        <v>0</v>
      </c>
      <c r="X297" s="5">
        <v>1875.2132244375643</v>
      </c>
      <c r="Y297" s="5">
        <v>78270.399999999994</v>
      </c>
      <c r="Z297" s="5">
        <v>0</v>
      </c>
      <c r="AA297" s="5">
        <v>0</v>
      </c>
      <c r="AB297" s="5">
        <v>0</v>
      </c>
      <c r="AC297" s="5">
        <v>299</v>
      </c>
      <c r="AD297" s="5">
        <v>1719</v>
      </c>
      <c r="AE297" s="5">
        <v>2787.0167287012173</v>
      </c>
      <c r="AF297" s="5">
        <v>536</v>
      </c>
      <c r="AG297" s="8"/>
      <c r="AH297" s="5">
        <v>3712.542616832879</v>
      </c>
      <c r="AI297" s="5">
        <v>33</v>
      </c>
      <c r="AJ297" s="5"/>
      <c r="AK297" s="5">
        <v>2308.4822754185157</v>
      </c>
      <c r="AL297" s="5">
        <v>1569</v>
      </c>
      <c r="AM297" s="5"/>
      <c r="AN297" s="5">
        <v>0</v>
      </c>
      <c r="AO297" s="5">
        <v>0</v>
      </c>
      <c r="AP297" s="5"/>
      <c r="AQ297" s="5">
        <v>0</v>
      </c>
      <c r="AR297" s="5">
        <v>0</v>
      </c>
      <c r="AS297" s="5"/>
      <c r="AT297" s="5">
        <v>2297.2825281272098</v>
      </c>
      <c r="AU297" s="5">
        <v>0</v>
      </c>
      <c r="AV297" s="5"/>
      <c r="AW297" s="5">
        <v>108.456</v>
      </c>
      <c r="AX297" s="5">
        <v>0</v>
      </c>
      <c r="AY297" s="5"/>
      <c r="AZ297" s="40">
        <v>11213.780149079821</v>
      </c>
      <c r="BA297" s="40">
        <v>2138</v>
      </c>
      <c r="BB297" s="55">
        <v>-9075.7801490798211</v>
      </c>
      <c r="BD297" s="2">
        <v>2</v>
      </c>
      <c r="BF297" s="325">
        <v>150000739</v>
      </c>
    </row>
    <row r="298" spans="1:58" ht="25.05" customHeight="1" x14ac:dyDescent="0.3">
      <c r="A298" s="325">
        <v>150000740</v>
      </c>
      <c r="B298" s="445" t="s">
        <v>198</v>
      </c>
      <c r="C298" s="27">
        <v>3</v>
      </c>
      <c r="D298" s="101" t="s">
        <v>455</v>
      </c>
      <c r="E298" s="279">
        <v>1366.1</v>
      </c>
      <c r="F298" s="441">
        <v>14587.946844392973</v>
      </c>
      <c r="G298" s="441">
        <v>18724.739999999998</v>
      </c>
      <c r="H298" s="73">
        <v>4136.7931556070253</v>
      </c>
      <c r="I298" s="5">
        <v>0</v>
      </c>
      <c r="J298" s="5">
        <v>0</v>
      </c>
      <c r="K298" s="446"/>
      <c r="L298" s="5">
        <v>0</v>
      </c>
      <c r="M298" s="5">
        <v>0</v>
      </c>
      <c r="N298" s="35"/>
      <c r="O298" s="5">
        <v>0</v>
      </c>
      <c r="P298" s="5">
        <v>0</v>
      </c>
      <c r="Q298" s="447"/>
      <c r="R298" s="5">
        <v>0</v>
      </c>
      <c r="S298" s="5">
        <v>0</v>
      </c>
      <c r="T298" s="448"/>
      <c r="U298" s="5">
        <v>0</v>
      </c>
      <c r="V298" s="5">
        <v>0</v>
      </c>
      <c r="W298" s="5">
        <v>0</v>
      </c>
      <c r="X298" s="5">
        <v>0</v>
      </c>
      <c r="Y298" s="5">
        <v>17705</v>
      </c>
      <c r="Z298" s="5">
        <v>0</v>
      </c>
      <c r="AA298" s="5">
        <v>0</v>
      </c>
      <c r="AB298" s="5">
        <v>0</v>
      </c>
      <c r="AC298" s="5">
        <v>246.03</v>
      </c>
      <c r="AD298" s="5">
        <v>773.71</v>
      </c>
      <c r="AE298" s="5">
        <v>1340.4320737520893</v>
      </c>
      <c r="AF298" s="5">
        <v>0</v>
      </c>
      <c r="AG298" s="5"/>
      <c r="AH298" s="5">
        <v>2252.5269667413277</v>
      </c>
      <c r="AI298" s="5">
        <v>0</v>
      </c>
      <c r="AJ298" s="5"/>
      <c r="AK298" s="5">
        <v>871.97563106499445</v>
      </c>
      <c r="AL298" s="5">
        <v>1393</v>
      </c>
      <c r="AM298" s="5"/>
      <c r="AN298" s="5">
        <v>0</v>
      </c>
      <c r="AO298" s="5">
        <v>0</v>
      </c>
      <c r="AP298" s="5"/>
      <c r="AQ298" s="5">
        <v>0</v>
      </c>
      <c r="AR298" s="5">
        <v>0</v>
      </c>
      <c r="AS298" s="5"/>
      <c r="AT298" s="5">
        <v>725.53421361626295</v>
      </c>
      <c r="AU298" s="5">
        <v>711</v>
      </c>
      <c r="AV298" s="5"/>
      <c r="AW298" s="5">
        <v>40.982999999999997</v>
      </c>
      <c r="AX298" s="5">
        <v>0</v>
      </c>
      <c r="AY298" s="5"/>
      <c r="AZ298" s="40">
        <v>5231.4518851746743</v>
      </c>
      <c r="BA298" s="40">
        <v>2104</v>
      </c>
      <c r="BB298" s="55">
        <v>-3127.4518851746743</v>
      </c>
      <c r="BD298" s="2">
        <v>2</v>
      </c>
      <c r="BF298" s="325">
        <v>150000740</v>
      </c>
    </row>
    <row r="299" spans="1:58" ht="25.05" customHeight="1" x14ac:dyDescent="0.3">
      <c r="A299" s="325">
        <v>150000744</v>
      </c>
      <c r="B299" s="445" t="s">
        <v>224</v>
      </c>
      <c r="C299" s="27">
        <v>4</v>
      </c>
      <c r="D299" s="101" t="s">
        <v>455</v>
      </c>
      <c r="E299" s="279">
        <v>1504.4</v>
      </c>
      <c r="F299" s="441">
        <v>13515.429397354716</v>
      </c>
      <c r="G299" s="441">
        <v>29315.43</v>
      </c>
      <c r="H299" s="73">
        <v>15800.000602645285</v>
      </c>
      <c r="I299" s="5">
        <v>0</v>
      </c>
      <c r="J299" s="5">
        <v>0</v>
      </c>
      <c r="K299" s="446"/>
      <c r="L299" s="5">
        <v>0</v>
      </c>
      <c r="M299" s="5">
        <v>0</v>
      </c>
      <c r="N299" s="35"/>
      <c r="O299" s="5">
        <v>0</v>
      </c>
      <c r="P299" s="5">
        <v>0</v>
      </c>
      <c r="Q299" s="447"/>
      <c r="R299" s="5">
        <v>0</v>
      </c>
      <c r="S299" s="5">
        <v>0</v>
      </c>
      <c r="T299" s="448"/>
      <c r="U299" s="5">
        <v>0</v>
      </c>
      <c r="V299" s="5">
        <v>0</v>
      </c>
      <c r="W299" s="5">
        <v>0</v>
      </c>
      <c r="X299" s="5">
        <v>3964</v>
      </c>
      <c r="Y299" s="5">
        <v>22606</v>
      </c>
      <c r="Z299" s="5">
        <v>0</v>
      </c>
      <c r="AA299" s="5">
        <v>0</v>
      </c>
      <c r="AB299" s="5">
        <v>2175</v>
      </c>
      <c r="AC299" s="5">
        <v>0</v>
      </c>
      <c r="AD299" s="5">
        <v>570.43000000000006</v>
      </c>
      <c r="AE299" s="5">
        <v>1272.1595612099386</v>
      </c>
      <c r="AF299" s="5">
        <v>1748</v>
      </c>
      <c r="AG299" s="5"/>
      <c r="AH299" s="5">
        <v>1755.0976355756302</v>
      </c>
      <c r="AI299" s="5">
        <v>1885</v>
      </c>
      <c r="AJ299" s="5"/>
      <c r="AK299" s="5">
        <v>939.81961108814312</v>
      </c>
      <c r="AL299" s="5">
        <v>0</v>
      </c>
      <c r="AM299" s="5"/>
      <c r="AN299" s="5">
        <v>0</v>
      </c>
      <c r="AO299" s="5">
        <v>0</v>
      </c>
      <c r="AP299" s="5"/>
      <c r="AQ299" s="5">
        <v>0</v>
      </c>
      <c r="AR299" s="5">
        <v>0</v>
      </c>
      <c r="AS299" s="5"/>
      <c r="AT299" s="5">
        <v>455.83750029967632</v>
      </c>
      <c r="AU299" s="5">
        <v>0</v>
      </c>
      <c r="AV299" s="5"/>
      <c r="AW299" s="5">
        <v>45.137999999999998</v>
      </c>
      <c r="AX299" s="5">
        <v>0</v>
      </c>
      <c r="AY299" s="5"/>
      <c r="AZ299" s="40">
        <v>4468.0523081733882</v>
      </c>
      <c r="BA299" s="40">
        <v>3633</v>
      </c>
      <c r="BB299" s="55">
        <v>-835.05230817338816</v>
      </c>
      <c r="BD299" s="2">
        <v>2</v>
      </c>
      <c r="BF299" s="325">
        <v>150000744</v>
      </c>
    </row>
    <row r="300" spans="1:58" ht="25.05" customHeight="1" x14ac:dyDescent="0.3">
      <c r="A300" s="325">
        <v>150000741</v>
      </c>
      <c r="B300" s="445" t="s">
        <v>225</v>
      </c>
      <c r="C300" s="27">
        <v>4</v>
      </c>
      <c r="D300" s="101" t="s">
        <v>455</v>
      </c>
      <c r="E300" s="279">
        <v>2594.3000000000002</v>
      </c>
      <c r="F300" s="441">
        <v>30381.799157745631</v>
      </c>
      <c r="G300" s="441">
        <v>18938.73</v>
      </c>
      <c r="H300" s="73">
        <v>-11443.069157745631</v>
      </c>
      <c r="I300" s="5">
        <v>0</v>
      </c>
      <c r="J300" s="5">
        <v>9236</v>
      </c>
      <c r="K300" s="446"/>
      <c r="L300" s="5">
        <v>0</v>
      </c>
      <c r="M300" s="5">
        <v>0</v>
      </c>
      <c r="N300" s="448"/>
      <c r="O300" s="5">
        <v>0</v>
      </c>
      <c r="P300" s="5">
        <v>0</v>
      </c>
      <c r="Q300" s="447"/>
      <c r="R300" s="5">
        <v>0</v>
      </c>
      <c r="S300" s="5">
        <v>0</v>
      </c>
      <c r="T300" s="448"/>
      <c r="U300" s="5">
        <v>0</v>
      </c>
      <c r="V300" s="5">
        <v>0</v>
      </c>
      <c r="W300" s="5">
        <v>0</v>
      </c>
      <c r="X300" s="5">
        <v>1705</v>
      </c>
      <c r="Y300" s="5">
        <v>897</v>
      </c>
      <c r="Z300" s="5">
        <v>0</v>
      </c>
      <c r="AA300" s="5">
        <v>0</v>
      </c>
      <c r="AB300" s="5">
        <v>0</v>
      </c>
      <c r="AC300" s="5">
        <v>204</v>
      </c>
      <c r="AD300" s="5">
        <v>6896.73</v>
      </c>
      <c r="AE300" s="5">
        <v>2178.5325599829735</v>
      </c>
      <c r="AF300" s="5">
        <v>2364</v>
      </c>
      <c r="AG300" s="5"/>
      <c r="AH300" s="5">
        <v>2542.3835261072704</v>
      </c>
      <c r="AI300" s="5">
        <v>0</v>
      </c>
      <c r="AJ300" s="5"/>
      <c r="AK300" s="5">
        <v>1582.1855232717558</v>
      </c>
      <c r="AL300" s="5">
        <v>0</v>
      </c>
      <c r="AM300" s="5"/>
      <c r="AN300" s="5">
        <v>0</v>
      </c>
      <c r="AO300" s="5">
        <v>0</v>
      </c>
      <c r="AP300" s="5"/>
      <c r="AQ300" s="5">
        <v>0</v>
      </c>
      <c r="AR300" s="5">
        <v>0</v>
      </c>
      <c r="AS300" s="5"/>
      <c r="AT300" s="5">
        <v>1397.5709649961952</v>
      </c>
      <c r="AU300" s="5">
        <v>993</v>
      </c>
      <c r="AV300" s="5"/>
      <c r="AW300" s="5">
        <v>83.207999999999998</v>
      </c>
      <c r="AX300" s="5">
        <v>0</v>
      </c>
      <c r="AY300" s="5"/>
      <c r="AZ300" s="40">
        <v>7783.8805743581952</v>
      </c>
      <c r="BA300" s="40">
        <v>3357</v>
      </c>
      <c r="BB300" s="55">
        <v>-4426.8805743581952</v>
      </c>
      <c r="BD300" s="2">
        <v>2</v>
      </c>
      <c r="BF300" s="325">
        <v>150000741</v>
      </c>
    </row>
    <row r="301" spans="1:58" ht="25.05" customHeight="1" x14ac:dyDescent="0.3">
      <c r="A301" s="325">
        <v>150000742</v>
      </c>
      <c r="B301" s="445" t="s">
        <v>291</v>
      </c>
      <c r="C301" s="27">
        <v>5</v>
      </c>
      <c r="D301" s="101" t="s">
        <v>455</v>
      </c>
      <c r="E301" s="279">
        <v>1869.4</v>
      </c>
      <c r="F301" s="441">
        <v>19123.338262886646</v>
      </c>
      <c r="G301" s="441">
        <v>380</v>
      </c>
      <c r="H301" s="73">
        <v>-18743.338262886646</v>
      </c>
      <c r="I301" s="5">
        <v>0</v>
      </c>
      <c r="J301" s="5">
        <v>0</v>
      </c>
      <c r="K301" s="450"/>
      <c r="L301" s="5">
        <v>0</v>
      </c>
      <c r="M301" s="5">
        <v>0</v>
      </c>
      <c r="N301" s="35"/>
      <c r="O301" s="5">
        <v>0</v>
      </c>
      <c r="P301" s="5">
        <v>0</v>
      </c>
      <c r="Q301" s="447"/>
      <c r="R301" s="5">
        <v>0</v>
      </c>
      <c r="S301" s="5">
        <v>0</v>
      </c>
      <c r="T301" s="448"/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380</v>
      </c>
      <c r="AE301" s="5">
        <v>1361.5405706251984</v>
      </c>
      <c r="AF301" s="5">
        <v>0</v>
      </c>
      <c r="AG301" s="5"/>
      <c r="AH301" s="5">
        <v>1882.6918176114468</v>
      </c>
      <c r="AI301" s="5">
        <v>0</v>
      </c>
      <c r="AJ301" s="5"/>
      <c r="AK301" s="5">
        <v>1163.0130849421437</v>
      </c>
      <c r="AL301" s="5">
        <v>0</v>
      </c>
      <c r="AM301" s="5"/>
      <c r="AN301" s="5">
        <v>0</v>
      </c>
      <c r="AO301" s="5">
        <v>0</v>
      </c>
      <c r="AP301" s="5"/>
      <c r="AQ301" s="5">
        <v>0</v>
      </c>
      <c r="AR301" s="5">
        <v>0</v>
      </c>
      <c r="AS301" s="5"/>
      <c r="AT301" s="5">
        <v>599.32531556276103</v>
      </c>
      <c r="AU301" s="5">
        <v>1811</v>
      </c>
      <c r="AV301" s="5"/>
      <c r="AW301" s="5">
        <v>53.664000000000001</v>
      </c>
      <c r="AX301" s="5">
        <v>474</v>
      </c>
      <c r="AY301" s="5"/>
      <c r="AZ301" s="40">
        <v>5060.2347887415499</v>
      </c>
      <c r="BA301" s="40">
        <v>2285</v>
      </c>
      <c r="BB301" s="55">
        <v>-2775.2347887415499</v>
      </c>
      <c r="BD301" s="2">
        <v>2</v>
      </c>
      <c r="BF301" s="325">
        <v>150000742</v>
      </c>
    </row>
    <row r="302" spans="1:58" ht="25.05" customHeight="1" x14ac:dyDescent="0.3">
      <c r="A302" s="325">
        <v>150000745</v>
      </c>
      <c r="B302" s="445" t="s">
        <v>134</v>
      </c>
      <c r="C302" s="27">
        <v>1</v>
      </c>
      <c r="D302" s="101" t="s">
        <v>455</v>
      </c>
      <c r="E302" s="279">
        <v>275.3</v>
      </c>
      <c r="F302" s="441">
        <v>2369.603323196744</v>
      </c>
      <c r="G302" s="441">
        <v>0</v>
      </c>
      <c r="H302" s="73">
        <v>-2369.603323196744</v>
      </c>
      <c r="I302" s="5">
        <v>0</v>
      </c>
      <c r="J302" s="5">
        <v>0</v>
      </c>
      <c r="K302" s="446"/>
      <c r="L302" s="5">
        <v>0</v>
      </c>
      <c r="M302" s="5">
        <v>0</v>
      </c>
      <c r="N302" s="35"/>
      <c r="O302" s="5">
        <v>0</v>
      </c>
      <c r="P302" s="5">
        <v>0</v>
      </c>
      <c r="Q302" s="447"/>
      <c r="R302" s="5">
        <v>0</v>
      </c>
      <c r="S302" s="5">
        <v>0</v>
      </c>
      <c r="T302" s="448"/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/>
      <c r="AH302" s="5">
        <v>0</v>
      </c>
      <c r="AI302" s="5">
        <v>0</v>
      </c>
      <c r="AJ302" s="5"/>
      <c r="AK302" s="5">
        <v>0</v>
      </c>
      <c r="AL302" s="5">
        <v>0</v>
      </c>
      <c r="AM302" s="5"/>
      <c r="AN302" s="5">
        <v>0</v>
      </c>
      <c r="AO302" s="5">
        <v>0</v>
      </c>
      <c r="AP302" s="5"/>
      <c r="AQ302" s="5">
        <v>0</v>
      </c>
      <c r="AR302" s="5">
        <v>0</v>
      </c>
      <c r="AS302" s="5"/>
      <c r="AT302" s="5">
        <v>0</v>
      </c>
      <c r="AU302" s="5">
        <v>0</v>
      </c>
      <c r="AV302" s="5"/>
      <c r="AW302" s="5">
        <v>8.2590000000000003</v>
      </c>
      <c r="AX302" s="5">
        <v>0</v>
      </c>
      <c r="AY302" s="5"/>
      <c r="AZ302" s="40">
        <v>8.2590000000000003</v>
      </c>
      <c r="BA302" s="40">
        <v>0</v>
      </c>
      <c r="BB302" s="55">
        <v>-8.2590000000000003</v>
      </c>
      <c r="BD302" s="2">
        <v>2</v>
      </c>
      <c r="BF302" s="325">
        <v>150000745</v>
      </c>
    </row>
    <row r="303" spans="1:58" ht="25.05" customHeight="1" x14ac:dyDescent="0.3">
      <c r="A303" s="325">
        <v>150001094</v>
      </c>
      <c r="B303" s="464" t="s">
        <v>186</v>
      </c>
      <c r="C303" s="27">
        <v>2</v>
      </c>
      <c r="D303" s="101" t="s">
        <v>455</v>
      </c>
      <c r="E303" s="279">
        <v>304.89999999999998</v>
      </c>
      <c r="F303" s="441">
        <v>4717.5878051820346</v>
      </c>
      <c r="G303" s="441">
        <v>0</v>
      </c>
      <c r="H303" s="73">
        <v>-4717.5878051820346</v>
      </c>
      <c r="I303" s="5">
        <v>0</v>
      </c>
      <c r="J303" s="5">
        <v>0</v>
      </c>
      <c r="K303" s="446"/>
      <c r="L303" s="5">
        <v>0</v>
      </c>
      <c r="M303" s="5">
        <v>0</v>
      </c>
      <c r="N303" s="35"/>
      <c r="O303" s="5">
        <v>0</v>
      </c>
      <c r="P303" s="5">
        <v>0</v>
      </c>
      <c r="Q303" s="447"/>
      <c r="R303" s="5">
        <v>0</v>
      </c>
      <c r="S303" s="5">
        <v>0</v>
      </c>
      <c r="T303" s="448"/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/>
      <c r="AH303" s="5">
        <v>0</v>
      </c>
      <c r="AI303" s="5">
        <v>0</v>
      </c>
      <c r="AJ303" s="5"/>
      <c r="AK303" s="5">
        <v>0</v>
      </c>
      <c r="AL303" s="5">
        <v>0</v>
      </c>
      <c r="AM303" s="5"/>
      <c r="AN303" s="5">
        <v>0</v>
      </c>
      <c r="AO303" s="5">
        <v>0</v>
      </c>
      <c r="AP303" s="5"/>
      <c r="AQ303" s="5">
        <v>0</v>
      </c>
      <c r="AR303" s="5">
        <v>0</v>
      </c>
      <c r="AS303" s="5"/>
      <c r="AT303" s="5">
        <v>128.41201808775151</v>
      </c>
      <c r="AU303" s="5">
        <v>0</v>
      </c>
      <c r="AV303" s="5"/>
      <c r="AW303" s="5">
        <v>9.15</v>
      </c>
      <c r="AX303" s="5">
        <v>0</v>
      </c>
      <c r="AY303" s="5"/>
      <c r="AZ303" s="40">
        <v>137.56201808775151</v>
      </c>
      <c r="BA303" s="40">
        <v>0</v>
      </c>
      <c r="BB303" s="55">
        <v>-137.56201808775151</v>
      </c>
      <c r="BD303" s="2">
        <v>1</v>
      </c>
      <c r="BF303" s="325">
        <v>150001094</v>
      </c>
    </row>
    <row r="304" spans="1:58" ht="25.05" customHeight="1" x14ac:dyDescent="0.3">
      <c r="A304" s="325">
        <v>150000851</v>
      </c>
      <c r="B304" s="445" t="s">
        <v>135</v>
      </c>
      <c r="C304" s="27">
        <v>1</v>
      </c>
      <c r="D304" s="101" t="s">
        <v>455</v>
      </c>
      <c r="E304" s="279">
        <v>168.1</v>
      </c>
      <c r="F304" s="441">
        <v>1746.0857874269341</v>
      </c>
      <c r="G304" s="441">
        <v>0</v>
      </c>
      <c r="H304" s="73">
        <v>-1746.0857874269341</v>
      </c>
      <c r="I304" s="5">
        <v>0</v>
      </c>
      <c r="J304" s="5">
        <v>0</v>
      </c>
      <c r="K304" s="446"/>
      <c r="L304" s="5">
        <v>0</v>
      </c>
      <c r="M304" s="5">
        <v>0</v>
      </c>
      <c r="N304" s="35"/>
      <c r="O304" s="5">
        <v>0</v>
      </c>
      <c r="P304" s="5">
        <v>0</v>
      </c>
      <c r="Q304" s="447"/>
      <c r="R304" s="5">
        <v>0</v>
      </c>
      <c r="S304" s="5">
        <v>0</v>
      </c>
      <c r="T304" s="448"/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/>
      <c r="AH304" s="5">
        <v>0</v>
      </c>
      <c r="AI304" s="5">
        <v>0</v>
      </c>
      <c r="AJ304" s="5"/>
      <c r="AK304" s="5">
        <v>0</v>
      </c>
      <c r="AL304" s="5">
        <v>0</v>
      </c>
      <c r="AM304" s="5"/>
      <c r="AN304" s="5">
        <v>0</v>
      </c>
      <c r="AO304" s="5">
        <v>0</v>
      </c>
      <c r="AP304" s="5"/>
      <c r="AQ304" s="5">
        <v>0</v>
      </c>
      <c r="AR304" s="5">
        <v>0</v>
      </c>
      <c r="AS304" s="5"/>
      <c r="AT304" s="5">
        <v>0</v>
      </c>
      <c r="AU304" s="5">
        <v>0</v>
      </c>
      <c r="AV304" s="5"/>
      <c r="AW304" s="5">
        <v>5.0430000000000001</v>
      </c>
      <c r="AX304" s="5">
        <v>0</v>
      </c>
      <c r="AY304" s="5"/>
      <c r="AZ304" s="40">
        <v>5.0430000000000001</v>
      </c>
      <c r="BA304" s="40">
        <v>0</v>
      </c>
      <c r="BB304" s="55">
        <v>-5.0430000000000001</v>
      </c>
      <c r="BD304" s="2">
        <v>3</v>
      </c>
      <c r="BF304" s="325">
        <v>150000851</v>
      </c>
    </row>
    <row r="305" spans="1:58" ht="25.05" customHeight="1" x14ac:dyDescent="0.3">
      <c r="A305" s="325">
        <v>150000795</v>
      </c>
      <c r="B305" s="445" t="s">
        <v>292</v>
      </c>
      <c r="C305" s="27">
        <v>5</v>
      </c>
      <c r="D305" s="101" t="s">
        <v>455</v>
      </c>
      <c r="E305" s="279">
        <v>2762.24</v>
      </c>
      <c r="F305" s="441">
        <v>34882.765230307763</v>
      </c>
      <c r="G305" s="441">
        <v>17689</v>
      </c>
      <c r="H305" s="73">
        <v>-17193.765230307763</v>
      </c>
      <c r="I305" s="5">
        <v>35</v>
      </c>
      <c r="J305" s="5">
        <v>5930</v>
      </c>
      <c r="K305" s="446"/>
      <c r="L305" s="5">
        <v>0</v>
      </c>
      <c r="M305" s="5">
        <v>0</v>
      </c>
      <c r="N305" s="35"/>
      <c r="O305" s="5">
        <v>24</v>
      </c>
      <c r="P305" s="5">
        <v>4896</v>
      </c>
      <c r="Q305" s="447"/>
      <c r="R305" s="5">
        <v>0</v>
      </c>
      <c r="S305" s="5">
        <v>0</v>
      </c>
      <c r="T305" s="448"/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2815</v>
      </c>
      <c r="AB305" s="5">
        <v>0</v>
      </c>
      <c r="AC305" s="5">
        <v>3335</v>
      </c>
      <c r="AD305" s="5">
        <v>713</v>
      </c>
      <c r="AE305" s="5">
        <v>2362.956483415092</v>
      </c>
      <c r="AF305" s="5">
        <v>0</v>
      </c>
      <c r="AG305" s="5"/>
      <c r="AH305" s="5">
        <v>3213.8517921635189</v>
      </c>
      <c r="AI305" s="5">
        <v>2922</v>
      </c>
      <c r="AJ305" s="5"/>
      <c r="AK305" s="5">
        <v>0</v>
      </c>
      <c r="AL305" s="5">
        <v>0</v>
      </c>
      <c r="AM305" s="5"/>
      <c r="AN305" s="5">
        <v>0</v>
      </c>
      <c r="AO305" s="5">
        <v>0</v>
      </c>
      <c r="AP305" s="5"/>
      <c r="AQ305" s="5">
        <v>0</v>
      </c>
      <c r="AR305" s="5">
        <v>0</v>
      </c>
      <c r="AS305" s="5"/>
      <c r="AT305" s="5">
        <v>2055.6230956940608</v>
      </c>
      <c r="AU305" s="5">
        <v>353</v>
      </c>
      <c r="AV305" s="5"/>
      <c r="AW305" s="5">
        <v>82.867199999999997</v>
      </c>
      <c r="AX305" s="5">
        <v>0</v>
      </c>
      <c r="AY305" s="5"/>
      <c r="AZ305" s="40">
        <v>7715.2985712726713</v>
      </c>
      <c r="BA305" s="40">
        <v>3275</v>
      </c>
      <c r="BB305" s="55">
        <v>-4440.2985712726713</v>
      </c>
      <c r="BD305" s="2">
        <v>3</v>
      </c>
      <c r="BF305" s="325">
        <v>150000795</v>
      </c>
    </row>
    <row r="306" spans="1:58" ht="25.05" customHeight="1" x14ac:dyDescent="0.3">
      <c r="A306" s="325">
        <v>150000832</v>
      </c>
      <c r="B306" s="445" t="s">
        <v>423</v>
      </c>
      <c r="C306" s="27">
        <v>10</v>
      </c>
      <c r="D306" s="101" t="s">
        <v>455</v>
      </c>
      <c r="E306" s="279">
        <v>4396.8</v>
      </c>
      <c r="F306" s="441">
        <v>54312.584026190736</v>
      </c>
      <c r="G306" s="441">
        <v>10874.640000000001</v>
      </c>
      <c r="H306" s="73">
        <v>-43437.944026190737</v>
      </c>
      <c r="I306" s="5">
        <v>0</v>
      </c>
      <c r="J306" s="5">
        <v>0</v>
      </c>
      <c r="K306" s="446"/>
      <c r="L306" s="5">
        <v>0</v>
      </c>
      <c r="M306" s="5">
        <v>1848.72</v>
      </c>
      <c r="N306" s="35"/>
      <c r="O306" s="5">
        <v>0</v>
      </c>
      <c r="P306" s="5">
        <v>0</v>
      </c>
      <c r="Q306" s="447"/>
      <c r="R306" s="5">
        <v>1</v>
      </c>
      <c r="S306" s="5">
        <v>482</v>
      </c>
      <c r="T306" s="456"/>
      <c r="U306" s="5">
        <v>0</v>
      </c>
      <c r="V306" s="5">
        <v>0</v>
      </c>
      <c r="W306" s="5">
        <v>2</v>
      </c>
      <c r="X306" s="5">
        <v>241</v>
      </c>
      <c r="Y306" s="5">
        <v>0</v>
      </c>
      <c r="Z306" s="5">
        <v>0</v>
      </c>
      <c r="AA306" s="5">
        <v>0</v>
      </c>
      <c r="AB306" s="5">
        <v>1172.07</v>
      </c>
      <c r="AC306" s="5">
        <v>4842</v>
      </c>
      <c r="AD306" s="5">
        <v>2288.85</v>
      </c>
      <c r="AE306" s="5">
        <v>2483.1811841975637</v>
      </c>
      <c r="AF306" s="5">
        <v>522</v>
      </c>
      <c r="AG306" s="5"/>
      <c r="AH306" s="5">
        <v>2647.8202877334325</v>
      </c>
      <c r="AI306" s="5">
        <v>0</v>
      </c>
      <c r="AJ306" s="5"/>
      <c r="AK306" s="5">
        <v>1474.7987054393657</v>
      </c>
      <c r="AL306" s="5">
        <v>0</v>
      </c>
      <c r="AM306" s="5"/>
      <c r="AN306" s="5">
        <v>1994.4821903436075</v>
      </c>
      <c r="AO306" s="5">
        <v>0</v>
      </c>
      <c r="AP306" s="5"/>
      <c r="AQ306" s="5">
        <v>629.82585050386797</v>
      </c>
      <c r="AR306" s="5">
        <v>0</v>
      </c>
      <c r="AS306" s="5"/>
      <c r="AT306" s="5">
        <v>1269.8679337917697</v>
      </c>
      <c r="AU306" s="5">
        <v>0</v>
      </c>
      <c r="AV306" s="5"/>
      <c r="AW306" s="5">
        <v>443.6844361203523</v>
      </c>
      <c r="AX306" s="5">
        <v>0</v>
      </c>
      <c r="AY306" s="5"/>
      <c r="AZ306" s="40">
        <v>10943.66058812996</v>
      </c>
      <c r="BA306" s="40">
        <v>522</v>
      </c>
      <c r="BB306" s="55">
        <v>-10421.66058812996</v>
      </c>
      <c r="BD306" s="2">
        <v>1</v>
      </c>
      <c r="BF306" s="325">
        <v>150000832</v>
      </c>
    </row>
    <row r="307" spans="1:58" ht="25.05" customHeight="1" x14ac:dyDescent="0.3">
      <c r="A307" s="325">
        <v>150000833</v>
      </c>
      <c r="B307" s="445" t="s">
        <v>393</v>
      </c>
      <c r="C307" s="27">
        <v>9</v>
      </c>
      <c r="D307" s="101" t="s">
        <v>455</v>
      </c>
      <c r="E307" s="279">
        <v>4752.1000000000004</v>
      </c>
      <c r="F307" s="441">
        <v>59971.001908791513</v>
      </c>
      <c r="G307" s="441">
        <v>493898.8</v>
      </c>
      <c r="H307" s="73">
        <v>433927.79809120845</v>
      </c>
      <c r="I307" s="5">
        <v>270.89999999999998</v>
      </c>
      <c r="J307" s="5">
        <v>44456.61</v>
      </c>
      <c r="K307" s="450"/>
      <c r="L307" s="5">
        <v>0</v>
      </c>
      <c r="M307" s="5">
        <v>2731.74</v>
      </c>
      <c r="N307" s="35"/>
      <c r="O307" s="5">
        <v>0</v>
      </c>
      <c r="P307" s="5">
        <v>0</v>
      </c>
      <c r="Q307" s="447"/>
      <c r="R307" s="5">
        <v>3</v>
      </c>
      <c r="S307" s="5">
        <v>420298</v>
      </c>
      <c r="T307" s="456"/>
      <c r="U307" s="5">
        <v>17702</v>
      </c>
      <c r="V307" s="5">
        <v>0</v>
      </c>
      <c r="W307" s="5">
        <v>8</v>
      </c>
      <c r="X307" s="5">
        <v>1970</v>
      </c>
      <c r="Y307" s="5">
        <v>3084</v>
      </c>
      <c r="Z307" s="5">
        <v>0</v>
      </c>
      <c r="AA307" s="5">
        <v>0</v>
      </c>
      <c r="AB307" s="5">
        <v>0</v>
      </c>
      <c r="AC307" s="5">
        <v>322</v>
      </c>
      <c r="AD307" s="5">
        <v>3334.45</v>
      </c>
      <c r="AE307" s="5">
        <v>2290.2144154883176</v>
      </c>
      <c r="AF307" s="5">
        <v>279</v>
      </c>
      <c r="AG307" s="5"/>
      <c r="AH307" s="5">
        <v>2245.7024454925668</v>
      </c>
      <c r="AI307" s="5">
        <v>0</v>
      </c>
      <c r="AJ307" s="5"/>
      <c r="AK307" s="5">
        <v>1548.3735284997765</v>
      </c>
      <c r="AL307" s="5">
        <v>0</v>
      </c>
      <c r="AM307" s="5"/>
      <c r="AN307" s="5">
        <v>2039.3984450286748</v>
      </c>
      <c r="AO307" s="5">
        <v>0</v>
      </c>
      <c r="AP307" s="5"/>
      <c r="AQ307" s="5">
        <v>923.32576441985827</v>
      </c>
      <c r="AR307" s="5">
        <v>9583</v>
      </c>
      <c r="AS307" s="5"/>
      <c r="AT307" s="5">
        <v>1115.1328890477671</v>
      </c>
      <c r="AU307" s="5">
        <v>9612</v>
      </c>
      <c r="AV307" s="5"/>
      <c r="AW307" s="5">
        <v>438.11731665016134</v>
      </c>
      <c r="AX307" s="5">
        <v>0</v>
      </c>
      <c r="AY307" s="5"/>
      <c r="AZ307" s="40">
        <v>10600.264804627122</v>
      </c>
      <c r="BA307" s="40">
        <v>19474</v>
      </c>
      <c r="BB307" s="55">
        <v>8873.7351953728776</v>
      </c>
      <c r="BD307" s="2">
        <v>1</v>
      </c>
      <c r="BF307" s="325">
        <v>150000833</v>
      </c>
    </row>
    <row r="308" spans="1:58" ht="25.05" customHeight="1" x14ac:dyDescent="0.3">
      <c r="A308" s="325">
        <v>150000836</v>
      </c>
      <c r="B308" s="445" t="s">
        <v>199</v>
      </c>
      <c r="C308" s="27">
        <v>3</v>
      </c>
      <c r="D308" s="101" t="s">
        <v>455</v>
      </c>
      <c r="E308" s="279">
        <v>1578.7</v>
      </c>
      <c r="F308" s="441">
        <v>24385.740124095595</v>
      </c>
      <c r="G308" s="441">
        <v>79454.649999999994</v>
      </c>
      <c r="H308" s="73">
        <v>55068.909875904399</v>
      </c>
      <c r="I308" s="5">
        <v>86.65</v>
      </c>
      <c r="J308" s="5">
        <v>13815.09</v>
      </c>
      <c r="K308" s="446"/>
      <c r="L308" s="5">
        <v>0</v>
      </c>
      <c r="M308" s="5">
        <v>0</v>
      </c>
      <c r="N308" s="35"/>
      <c r="O308" s="5">
        <v>0</v>
      </c>
      <c r="P308" s="5">
        <v>0</v>
      </c>
      <c r="Q308" s="447"/>
      <c r="R308" s="5">
        <v>0</v>
      </c>
      <c r="S308" s="5">
        <v>0</v>
      </c>
      <c r="T308" s="448"/>
      <c r="U308" s="5">
        <v>0</v>
      </c>
      <c r="V308" s="5">
        <v>0</v>
      </c>
      <c r="W308" s="5">
        <v>0</v>
      </c>
      <c r="X308" s="5">
        <v>0</v>
      </c>
      <c r="Y308" s="5">
        <v>48128</v>
      </c>
      <c r="Z308" s="5">
        <v>0</v>
      </c>
      <c r="AA308" s="5">
        <v>0</v>
      </c>
      <c r="AB308" s="5">
        <v>15525.86</v>
      </c>
      <c r="AC308" s="5">
        <v>0</v>
      </c>
      <c r="AD308" s="5">
        <v>1985.7</v>
      </c>
      <c r="AE308" s="5">
        <v>1578.1248286491982</v>
      </c>
      <c r="AF308" s="5">
        <v>0</v>
      </c>
      <c r="AG308" s="5"/>
      <c r="AH308" s="5">
        <v>2170.8626420529795</v>
      </c>
      <c r="AI308" s="5">
        <v>852.57</v>
      </c>
      <c r="AJ308" s="5"/>
      <c r="AK308" s="5">
        <v>922.80874544510357</v>
      </c>
      <c r="AL308" s="5">
        <v>1161</v>
      </c>
      <c r="AM308" s="5"/>
      <c r="AN308" s="5">
        <v>993.74491702524563</v>
      </c>
      <c r="AO308" s="5">
        <v>0</v>
      </c>
      <c r="AP308" s="5"/>
      <c r="AQ308" s="5">
        <v>332.82560147639003</v>
      </c>
      <c r="AR308" s="5">
        <v>0</v>
      </c>
      <c r="AS308" s="5"/>
      <c r="AT308" s="5">
        <v>513.36527079593418</v>
      </c>
      <c r="AU308" s="5">
        <v>0</v>
      </c>
      <c r="AV308" s="5"/>
      <c r="AW308" s="5">
        <v>177.21792413827214</v>
      </c>
      <c r="AX308" s="5">
        <v>0</v>
      </c>
      <c r="AY308" s="5"/>
      <c r="AZ308" s="40">
        <v>6688.9499295831238</v>
      </c>
      <c r="BA308" s="40">
        <v>2013.5700000000002</v>
      </c>
      <c r="BB308" s="55">
        <v>-4675.3799295831232</v>
      </c>
      <c r="BD308" s="2">
        <v>1</v>
      </c>
      <c r="BF308" s="325">
        <v>150000836</v>
      </c>
    </row>
    <row r="309" spans="1:58" ht="25.05" customHeight="1" x14ac:dyDescent="0.3">
      <c r="A309" s="325">
        <v>150000837</v>
      </c>
      <c r="B309" s="445" t="s">
        <v>200</v>
      </c>
      <c r="C309" s="27">
        <v>3</v>
      </c>
      <c r="D309" s="101" t="s">
        <v>455</v>
      </c>
      <c r="E309" s="279">
        <v>631.1</v>
      </c>
      <c r="F309" s="441">
        <v>4979.6855785955067</v>
      </c>
      <c r="G309" s="441">
        <v>3391.9700000000003</v>
      </c>
      <c r="H309" s="73">
        <v>-1587.7155785955065</v>
      </c>
      <c r="I309" s="5">
        <v>6</v>
      </c>
      <c r="J309" s="5">
        <v>3049.9700000000003</v>
      </c>
      <c r="K309" s="450"/>
      <c r="L309" s="5">
        <v>0</v>
      </c>
      <c r="M309" s="5">
        <v>0</v>
      </c>
      <c r="N309" s="449"/>
      <c r="O309" s="5">
        <v>0</v>
      </c>
      <c r="P309" s="5">
        <v>0</v>
      </c>
      <c r="Q309" s="447"/>
      <c r="R309" s="5">
        <v>0</v>
      </c>
      <c r="S309" s="5">
        <v>0</v>
      </c>
      <c r="T309" s="448"/>
      <c r="U309" s="5">
        <v>0</v>
      </c>
      <c r="V309" s="5">
        <v>0</v>
      </c>
      <c r="W309" s="5">
        <v>0</v>
      </c>
      <c r="X309" s="5">
        <v>0</v>
      </c>
      <c r="Y309" s="5">
        <v>128</v>
      </c>
      <c r="Z309" s="5">
        <v>0</v>
      </c>
      <c r="AA309" s="5">
        <v>0</v>
      </c>
      <c r="AB309" s="5">
        <v>0</v>
      </c>
      <c r="AC309" s="5">
        <v>0</v>
      </c>
      <c r="AD309" s="5">
        <v>214</v>
      </c>
      <c r="AE309" s="5">
        <v>730.54862540252327</v>
      </c>
      <c r="AF309" s="5">
        <v>0</v>
      </c>
      <c r="AG309" s="5"/>
      <c r="AH309" s="5">
        <v>698.82335377133586</v>
      </c>
      <c r="AI309" s="5">
        <v>0</v>
      </c>
      <c r="AJ309" s="5"/>
      <c r="AK309" s="5">
        <v>348.92221849989437</v>
      </c>
      <c r="AL309" s="5">
        <v>0</v>
      </c>
      <c r="AM309" s="5"/>
      <c r="AN309" s="5">
        <v>0</v>
      </c>
      <c r="AO309" s="5">
        <v>0</v>
      </c>
      <c r="AP309" s="5"/>
      <c r="AQ309" s="5">
        <v>0</v>
      </c>
      <c r="AR309" s="5">
        <v>0</v>
      </c>
      <c r="AS309" s="5"/>
      <c r="AT309" s="5">
        <v>282.65924797058551</v>
      </c>
      <c r="AU309" s="5">
        <v>0</v>
      </c>
      <c r="AV309" s="5"/>
      <c r="AW309" s="5">
        <v>84.913192101523933</v>
      </c>
      <c r="AX309" s="5">
        <v>0</v>
      </c>
      <c r="AY309" s="5"/>
      <c r="AZ309" s="40">
        <v>2145.866637745863</v>
      </c>
      <c r="BA309" s="40">
        <v>0</v>
      </c>
      <c r="BB309" s="55">
        <v>-2145.866637745863</v>
      </c>
      <c r="BD309" s="2">
        <v>1</v>
      </c>
      <c r="BF309" s="325">
        <v>150000837</v>
      </c>
    </row>
    <row r="310" spans="1:58" ht="25.05" customHeight="1" x14ac:dyDescent="0.3">
      <c r="A310" s="325">
        <v>150000839</v>
      </c>
      <c r="B310" s="445" t="s">
        <v>136</v>
      </c>
      <c r="C310" s="27">
        <v>1</v>
      </c>
      <c r="D310" s="101" t="s">
        <v>455</v>
      </c>
      <c r="E310" s="279">
        <v>128.19999999999999</v>
      </c>
      <c r="F310" s="441">
        <v>2154.0606939895661</v>
      </c>
      <c r="G310" s="441">
        <v>0</v>
      </c>
      <c r="H310" s="73">
        <v>-2154.0606939895661</v>
      </c>
      <c r="I310" s="5">
        <v>0</v>
      </c>
      <c r="J310" s="5">
        <v>0</v>
      </c>
      <c r="K310" s="446"/>
      <c r="L310" s="5">
        <v>0</v>
      </c>
      <c r="M310" s="5">
        <v>0</v>
      </c>
      <c r="N310" s="35"/>
      <c r="O310" s="5">
        <v>0</v>
      </c>
      <c r="P310" s="5">
        <v>0</v>
      </c>
      <c r="Q310" s="447"/>
      <c r="R310" s="5">
        <v>0</v>
      </c>
      <c r="S310" s="5">
        <v>0</v>
      </c>
      <c r="T310" s="448"/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/>
      <c r="AH310" s="5">
        <v>0</v>
      </c>
      <c r="AI310" s="5">
        <v>0</v>
      </c>
      <c r="AJ310" s="5"/>
      <c r="AK310" s="5">
        <v>0</v>
      </c>
      <c r="AL310" s="5">
        <v>0</v>
      </c>
      <c r="AM310" s="5"/>
      <c r="AN310" s="5">
        <v>0</v>
      </c>
      <c r="AO310" s="5">
        <v>0</v>
      </c>
      <c r="AP310" s="5"/>
      <c r="AQ310" s="5">
        <v>0</v>
      </c>
      <c r="AR310" s="5">
        <v>0</v>
      </c>
      <c r="AS310" s="5"/>
      <c r="AT310" s="5">
        <v>0</v>
      </c>
      <c r="AU310" s="5">
        <v>0</v>
      </c>
      <c r="AV310" s="5"/>
      <c r="AW310" s="5">
        <v>5.702732728474416</v>
      </c>
      <c r="AX310" s="5">
        <v>0</v>
      </c>
      <c r="AY310" s="5"/>
      <c r="AZ310" s="40">
        <v>5.702732728474416</v>
      </c>
      <c r="BA310" s="40">
        <v>0</v>
      </c>
      <c r="BB310" s="55">
        <v>-5.702732728474416</v>
      </c>
      <c r="BD310" s="2">
        <v>1</v>
      </c>
      <c r="BF310" s="325">
        <v>150000839</v>
      </c>
    </row>
    <row r="311" spans="1:58" ht="25.05" customHeight="1" x14ac:dyDescent="0.3">
      <c r="A311" s="325">
        <v>150000840</v>
      </c>
      <c r="B311" s="445" t="s">
        <v>394</v>
      </c>
      <c r="C311" s="27">
        <v>9</v>
      </c>
      <c r="D311" s="101" t="s">
        <v>455</v>
      </c>
      <c r="E311" s="279">
        <v>4216.5600000000004</v>
      </c>
      <c r="F311" s="441">
        <v>52960.606742423348</v>
      </c>
      <c r="G311" s="441">
        <v>44252.175045238342</v>
      </c>
      <c r="H311" s="73">
        <v>-8708.4316971850058</v>
      </c>
      <c r="I311" s="5">
        <v>0</v>
      </c>
      <c r="J311" s="5">
        <v>0</v>
      </c>
      <c r="K311" s="450"/>
      <c r="L311" s="5">
        <v>1</v>
      </c>
      <c r="M311" s="5">
        <v>30342.57</v>
      </c>
      <c r="N311" s="35"/>
      <c r="O311" s="5">
        <v>0</v>
      </c>
      <c r="P311" s="5">
        <v>0</v>
      </c>
      <c r="Q311" s="447"/>
      <c r="R311" s="5">
        <v>1</v>
      </c>
      <c r="S311" s="5">
        <v>1803</v>
      </c>
      <c r="T311" s="456"/>
      <c r="U311" s="5">
        <v>0</v>
      </c>
      <c r="V311" s="5">
        <v>0</v>
      </c>
      <c r="W311" s="5">
        <v>3</v>
      </c>
      <c r="X311" s="5">
        <v>1485.1850452383462</v>
      </c>
      <c r="Y311" s="5">
        <v>47</v>
      </c>
      <c r="Z311" s="5">
        <v>0</v>
      </c>
      <c r="AA311" s="5">
        <v>0</v>
      </c>
      <c r="AB311" s="5">
        <v>1015.42</v>
      </c>
      <c r="AC311" s="5">
        <v>0</v>
      </c>
      <c r="AD311" s="5">
        <v>9559</v>
      </c>
      <c r="AE311" s="5">
        <v>2395.8230085552932</v>
      </c>
      <c r="AF311" s="5">
        <v>1229.23</v>
      </c>
      <c r="AG311" s="5"/>
      <c r="AH311" s="5">
        <v>2644.6988429234993</v>
      </c>
      <c r="AI311" s="5">
        <v>0</v>
      </c>
      <c r="AJ311" s="8"/>
      <c r="AK311" s="5">
        <v>1904.0538450152812</v>
      </c>
      <c r="AL311" s="5">
        <v>0</v>
      </c>
      <c r="AM311" s="5"/>
      <c r="AN311" s="5">
        <v>1815.2740565956162</v>
      </c>
      <c r="AO311" s="5">
        <v>0</v>
      </c>
      <c r="AP311" s="5"/>
      <c r="AQ311" s="5">
        <v>923.71373565197098</v>
      </c>
      <c r="AR311" s="5">
        <v>0</v>
      </c>
      <c r="AS311" s="5"/>
      <c r="AT311" s="5">
        <v>1285.0570309707175</v>
      </c>
      <c r="AU311" s="5">
        <v>0</v>
      </c>
      <c r="AV311" s="5"/>
      <c r="AW311" s="5">
        <v>568.40747131190187</v>
      </c>
      <c r="AX311" s="5">
        <v>0</v>
      </c>
      <c r="AY311" s="5"/>
      <c r="AZ311" s="40">
        <v>11537.027991024281</v>
      </c>
      <c r="BA311" s="40">
        <v>1229.23</v>
      </c>
      <c r="BB311" s="55">
        <v>-10307.797991024281</v>
      </c>
      <c r="BD311" s="2">
        <v>1</v>
      </c>
      <c r="BF311" s="325">
        <v>150000840</v>
      </c>
    </row>
    <row r="312" spans="1:58" ht="25.05" customHeight="1" x14ac:dyDescent="0.3">
      <c r="A312" s="325">
        <v>150000841</v>
      </c>
      <c r="B312" s="445" t="s">
        <v>137</v>
      </c>
      <c r="C312" s="27">
        <v>1</v>
      </c>
      <c r="D312" s="101" t="s">
        <v>455</v>
      </c>
      <c r="E312" s="279">
        <v>172.4</v>
      </c>
      <c r="F312" s="441">
        <v>1767.7848429065198</v>
      </c>
      <c r="G312" s="441">
        <v>0</v>
      </c>
      <c r="H312" s="73">
        <v>-1767.7848429065198</v>
      </c>
      <c r="I312" s="5">
        <v>0</v>
      </c>
      <c r="J312" s="5">
        <v>0</v>
      </c>
      <c r="K312" s="446"/>
      <c r="L312" s="5">
        <v>0</v>
      </c>
      <c r="M312" s="5">
        <v>0</v>
      </c>
      <c r="N312" s="35"/>
      <c r="O312" s="5">
        <v>0</v>
      </c>
      <c r="P312" s="5">
        <v>0</v>
      </c>
      <c r="Q312" s="447"/>
      <c r="R312" s="5">
        <v>0</v>
      </c>
      <c r="S312" s="5">
        <v>0</v>
      </c>
      <c r="T312" s="448"/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/>
      <c r="AH312" s="5">
        <v>0</v>
      </c>
      <c r="AI312" s="5">
        <v>0</v>
      </c>
      <c r="AJ312" s="5"/>
      <c r="AK312" s="5">
        <v>0</v>
      </c>
      <c r="AL312" s="5">
        <v>0</v>
      </c>
      <c r="AM312" s="5"/>
      <c r="AN312" s="5">
        <v>0</v>
      </c>
      <c r="AO312" s="5">
        <v>0</v>
      </c>
      <c r="AP312" s="5"/>
      <c r="AQ312" s="5">
        <v>0</v>
      </c>
      <c r="AR312" s="5">
        <v>0</v>
      </c>
      <c r="AS312" s="5"/>
      <c r="AT312" s="5">
        <v>0</v>
      </c>
      <c r="AU312" s="5">
        <v>0</v>
      </c>
      <c r="AV312" s="5"/>
      <c r="AW312" s="5">
        <v>7.561204628690696</v>
      </c>
      <c r="AX312" s="5">
        <v>0</v>
      </c>
      <c r="AY312" s="5"/>
      <c r="AZ312" s="40">
        <v>7.561204628690696</v>
      </c>
      <c r="BA312" s="40">
        <v>0</v>
      </c>
      <c r="BB312" s="55">
        <v>-7.561204628690696</v>
      </c>
      <c r="BD312" s="2">
        <v>1</v>
      </c>
      <c r="BF312" s="325">
        <v>150000841</v>
      </c>
    </row>
    <row r="313" spans="1:58" ht="25.05" customHeight="1" x14ac:dyDescent="0.3">
      <c r="A313" s="325">
        <v>150000848</v>
      </c>
      <c r="B313" s="445" t="s">
        <v>187</v>
      </c>
      <c r="C313" s="27">
        <v>2</v>
      </c>
      <c r="D313" s="101" t="s">
        <v>455</v>
      </c>
      <c r="E313" s="279">
        <v>261.2</v>
      </c>
      <c r="F313" s="441">
        <v>3469.8080974477971</v>
      </c>
      <c r="G313" s="441">
        <v>190</v>
      </c>
      <c r="H313" s="73">
        <v>-3279.8080974477971</v>
      </c>
      <c r="I313" s="5">
        <v>0</v>
      </c>
      <c r="J313" s="5">
        <v>0</v>
      </c>
      <c r="K313" s="446"/>
      <c r="L313" s="5">
        <v>0</v>
      </c>
      <c r="M313" s="5">
        <v>0</v>
      </c>
      <c r="N313" s="35"/>
      <c r="O313" s="5">
        <v>0</v>
      </c>
      <c r="P313" s="5">
        <v>0</v>
      </c>
      <c r="Q313" s="447"/>
      <c r="R313" s="5">
        <v>0</v>
      </c>
      <c r="S313" s="5">
        <v>0</v>
      </c>
      <c r="T313" s="448"/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190</v>
      </c>
      <c r="AE313" s="5">
        <v>280.00778493024706</v>
      </c>
      <c r="AF313" s="5">
        <v>0</v>
      </c>
      <c r="AG313" s="5"/>
      <c r="AH313" s="5">
        <v>366.95020427823852</v>
      </c>
      <c r="AI313" s="5">
        <v>0</v>
      </c>
      <c r="AJ313" s="5"/>
      <c r="AK313" s="5">
        <v>133.68739402789905</v>
      </c>
      <c r="AL313" s="5">
        <v>0</v>
      </c>
      <c r="AM313" s="5"/>
      <c r="AN313" s="5">
        <v>0</v>
      </c>
      <c r="AO313" s="5">
        <v>0</v>
      </c>
      <c r="AP313" s="5"/>
      <c r="AQ313" s="5">
        <v>0</v>
      </c>
      <c r="AR313" s="5">
        <v>0</v>
      </c>
      <c r="AS313" s="5"/>
      <c r="AT313" s="5">
        <v>54.940202430438077</v>
      </c>
      <c r="AU313" s="5">
        <v>0</v>
      </c>
      <c r="AV313" s="5"/>
      <c r="AW313" s="5">
        <v>7.8360000000000003</v>
      </c>
      <c r="AX313" s="5">
        <v>0</v>
      </c>
      <c r="AY313" s="5"/>
      <c r="AZ313" s="40">
        <v>843.42158566682258</v>
      </c>
      <c r="BA313" s="40">
        <v>0</v>
      </c>
      <c r="BB313" s="55">
        <v>-843.42158566682258</v>
      </c>
      <c r="BD313" s="2">
        <v>2</v>
      </c>
      <c r="BF313" s="325">
        <v>150000848</v>
      </c>
    </row>
    <row r="314" spans="1:58" ht="25.05" customHeight="1" x14ac:dyDescent="0.3">
      <c r="A314" s="325">
        <v>150000835</v>
      </c>
      <c r="B314" s="445" t="s">
        <v>138</v>
      </c>
      <c r="C314" s="27">
        <v>1</v>
      </c>
      <c r="D314" s="101" t="s">
        <v>455</v>
      </c>
      <c r="E314" s="279">
        <v>128.6</v>
      </c>
      <c r="F314" s="441">
        <v>1690.1585532283934</v>
      </c>
      <c r="G314" s="441">
        <v>0</v>
      </c>
      <c r="H314" s="73">
        <v>-1690.1585532283934</v>
      </c>
      <c r="I314" s="5">
        <v>0</v>
      </c>
      <c r="J314" s="5">
        <v>0</v>
      </c>
      <c r="K314" s="446"/>
      <c r="L314" s="5">
        <v>0</v>
      </c>
      <c r="M314" s="5">
        <v>0</v>
      </c>
      <c r="N314" s="35"/>
      <c r="O314" s="5">
        <v>0</v>
      </c>
      <c r="P314" s="5">
        <v>0</v>
      </c>
      <c r="Q314" s="447"/>
      <c r="R314" s="5">
        <v>0</v>
      </c>
      <c r="S314" s="5">
        <v>0</v>
      </c>
      <c r="T314" s="448"/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/>
      <c r="AH314" s="5">
        <v>0</v>
      </c>
      <c r="AI314" s="5">
        <v>0</v>
      </c>
      <c r="AJ314" s="5"/>
      <c r="AK314" s="5">
        <v>0</v>
      </c>
      <c r="AL314" s="5">
        <v>0</v>
      </c>
      <c r="AM314" s="5"/>
      <c r="AN314" s="5">
        <v>0</v>
      </c>
      <c r="AO314" s="5">
        <v>0</v>
      </c>
      <c r="AP314" s="5"/>
      <c r="AQ314" s="5">
        <v>0</v>
      </c>
      <c r="AR314" s="5">
        <v>0</v>
      </c>
      <c r="AS314" s="5"/>
      <c r="AT314" s="5">
        <v>0</v>
      </c>
      <c r="AU314" s="5">
        <v>0</v>
      </c>
      <c r="AV314" s="5"/>
      <c r="AW314" s="5">
        <v>3.8580000000000001</v>
      </c>
      <c r="AX314" s="5">
        <v>0</v>
      </c>
      <c r="AY314" s="5"/>
      <c r="AZ314" s="40">
        <v>3.8580000000000001</v>
      </c>
      <c r="BA314" s="40">
        <v>0</v>
      </c>
      <c r="BB314" s="55">
        <v>-3.8580000000000001</v>
      </c>
      <c r="BD314" s="2">
        <v>2</v>
      </c>
      <c r="BF314" s="325">
        <v>150000835</v>
      </c>
    </row>
    <row r="315" spans="1:58" ht="25.05" customHeight="1" x14ac:dyDescent="0.3">
      <c r="A315" s="325">
        <v>150000845</v>
      </c>
      <c r="B315" s="445" t="s">
        <v>139</v>
      </c>
      <c r="C315" s="27">
        <v>1</v>
      </c>
      <c r="D315" s="101" t="s">
        <v>455</v>
      </c>
      <c r="E315" s="279">
        <v>252.8</v>
      </c>
      <c r="F315" s="441">
        <v>3685.4651887004638</v>
      </c>
      <c r="G315" s="441">
        <v>0</v>
      </c>
      <c r="H315" s="73">
        <v>-3685.4651887004638</v>
      </c>
      <c r="I315" s="5">
        <v>0</v>
      </c>
      <c r="J315" s="5">
        <v>0</v>
      </c>
      <c r="K315" s="446"/>
      <c r="L315" s="5">
        <v>0</v>
      </c>
      <c r="M315" s="5">
        <v>0</v>
      </c>
      <c r="N315" s="35"/>
      <c r="O315" s="5">
        <v>0</v>
      </c>
      <c r="P315" s="5">
        <v>0</v>
      </c>
      <c r="Q315" s="447"/>
      <c r="R315" s="5">
        <v>0</v>
      </c>
      <c r="S315" s="5">
        <v>0</v>
      </c>
      <c r="T315" s="448"/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/>
      <c r="AH315" s="5">
        <v>0</v>
      </c>
      <c r="AI315" s="5">
        <v>0</v>
      </c>
      <c r="AJ315" s="5"/>
      <c r="AK315" s="5">
        <v>0</v>
      </c>
      <c r="AL315" s="5">
        <v>0</v>
      </c>
      <c r="AM315" s="5"/>
      <c r="AN315" s="5">
        <v>0</v>
      </c>
      <c r="AO315" s="5">
        <v>0</v>
      </c>
      <c r="AP315" s="5"/>
      <c r="AQ315" s="5">
        <v>0</v>
      </c>
      <c r="AR315" s="5">
        <v>0</v>
      </c>
      <c r="AS315" s="5"/>
      <c r="AT315" s="5">
        <v>0</v>
      </c>
      <c r="AU315" s="5">
        <v>0</v>
      </c>
      <c r="AV315" s="5"/>
      <c r="AW315" s="5">
        <v>11.032107103652221</v>
      </c>
      <c r="AX315" s="5">
        <v>0</v>
      </c>
      <c r="AY315" s="5"/>
      <c r="AZ315" s="40">
        <v>11.032107103652221</v>
      </c>
      <c r="BA315" s="40">
        <v>0</v>
      </c>
      <c r="BB315" s="55">
        <v>-11.032107103652221</v>
      </c>
      <c r="BD315" s="2">
        <v>1</v>
      </c>
      <c r="BF315" s="325">
        <v>150000845</v>
      </c>
    </row>
    <row r="316" spans="1:58" ht="25.05" customHeight="1" x14ac:dyDescent="0.3">
      <c r="A316" s="325">
        <v>150000846</v>
      </c>
      <c r="B316" s="445" t="s">
        <v>140</v>
      </c>
      <c r="C316" s="27">
        <v>1</v>
      </c>
      <c r="D316" s="101" t="s">
        <v>455</v>
      </c>
      <c r="E316" s="279">
        <v>126.2</v>
      </c>
      <c r="F316" s="441">
        <v>1752.0658577403092</v>
      </c>
      <c r="G316" s="441">
        <v>0</v>
      </c>
      <c r="H316" s="73">
        <v>-1752.0658577403092</v>
      </c>
      <c r="I316" s="5">
        <v>0</v>
      </c>
      <c r="J316" s="5">
        <v>0</v>
      </c>
      <c r="K316" s="446"/>
      <c r="L316" s="5">
        <v>0</v>
      </c>
      <c r="M316" s="5">
        <v>0</v>
      </c>
      <c r="N316" s="35"/>
      <c r="O316" s="5">
        <v>0</v>
      </c>
      <c r="P316" s="5">
        <v>0</v>
      </c>
      <c r="Q316" s="447"/>
      <c r="R316" s="5">
        <v>0</v>
      </c>
      <c r="S316" s="5">
        <v>0</v>
      </c>
      <c r="T316" s="448"/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/>
      <c r="AH316" s="5">
        <v>0</v>
      </c>
      <c r="AI316" s="5">
        <v>0</v>
      </c>
      <c r="AJ316" s="5"/>
      <c r="AK316" s="5">
        <v>0</v>
      </c>
      <c r="AL316" s="5">
        <v>0</v>
      </c>
      <c r="AM316" s="5"/>
      <c r="AN316" s="5">
        <v>0</v>
      </c>
      <c r="AO316" s="5">
        <v>0</v>
      </c>
      <c r="AP316" s="5"/>
      <c r="AQ316" s="5">
        <v>0</v>
      </c>
      <c r="AR316" s="5">
        <v>0</v>
      </c>
      <c r="AS316" s="5"/>
      <c r="AT316" s="5">
        <v>0</v>
      </c>
      <c r="AU316" s="5">
        <v>0</v>
      </c>
      <c r="AV316" s="5"/>
      <c r="AW316" s="5">
        <v>6.0124325678582338</v>
      </c>
      <c r="AX316" s="5">
        <v>0</v>
      </c>
      <c r="AY316" s="5"/>
      <c r="AZ316" s="40">
        <v>6.0124325678582338</v>
      </c>
      <c r="BA316" s="40">
        <v>0</v>
      </c>
      <c r="BB316" s="55">
        <v>-6.0124325678582338</v>
      </c>
      <c r="BD316" s="2">
        <v>1</v>
      </c>
      <c r="BF316" s="325">
        <v>150000846</v>
      </c>
    </row>
    <row r="317" spans="1:58" ht="25.05" customHeight="1" x14ac:dyDescent="0.3">
      <c r="A317" s="325">
        <v>150000798</v>
      </c>
      <c r="B317" s="445" t="s">
        <v>226</v>
      </c>
      <c r="C317" s="27">
        <v>4</v>
      </c>
      <c r="D317" s="101" t="s">
        <v>455</v>
      </c>
      <c r="E317" s="279">
        <v>1317.9</v>
      </c>
      <c r="F317" s="441">
        <v>14143.470853574287</v>
      </c>
      <c r="G317" s="441">
        <v>2341</v>
      </c>
      <c r="H317" s="73">
        <v>-11802.470853574287</v>
      </c>
      <c r="I317" s="5">
        <v>0</v>
      </c>
      <c r="J317" s="5">
        <v>0</v>
      </c>
      <c r="K317" s="446"/>
      <c r="L317" s="5">
        <v>0</v>
      </c>
      <c r="M317" s="5">
        <v>1961</v>
      </c>
      <c r="N317" s="35"/>
      <c r="O317" s="5">
        <v>0</v>
      </c>
      <c r="P317" s="5">
        <v>0</v>
      </c>
      <c r="Q317" s="447"/>
      <c r="R317" s="5">
        <v>0</v>
      </c>
      <c r="S317" s="5">
        <v>0</v>
      </c>
      <c r="T317" s="448"/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380</v>
      </c>
      <c r="AE317" s="5">
        <v>1015.7668692519799</v>
      </c>
      <c r="AF317" s="5">
        <v>0</v>
      </c>
      <c r="AG317" s="5"/>
      <c r="AH317" s="5">
        <v>1136.2527806135947</v>
      </c>
      <c r="AI317" s="5">
        <v>0</v>
      </c>
      <c r="AJ317" s="5"/>
      <c r="AK317" s="5">
        <v>850.6723138995535</v>
      </c>
      <c r="AL317" s="5">
        <v>3026</v>
      </c>
      <c r="AM317" s="5"/>
      <c r="AN317" s="5">
        <v>0</v>
      </c>
      <c r="AO317" s="5">
        <v>0</v>
      </c>
      <c r="AP317" s="5"/>
      <c r="AQ317" s="5">
        <v>0</v>
      </c>
      <c r="AR317" s="5">
        <v>0</v>
      </c>
      <c r="AS317" s="5"/>
      <c r="AT317" s="5">
        <v>510.71036091506284</v>
      </c>
      <c r="AU317" s="5">
        <v>711</v>
      </c>
      <c r="AV317" s="5"/>
      <c r="AW317" s="5">
        <v>39.702000000000005</v>
      </c>
      <c r="AX317" s="5">
        <v>0</v>
      </c>
      <c r="AY317" s="5"/>
      <c r="AZ317" s="40">
        <v>3553.104324680191</v>
      </c>
      <c r="BA317" s="40">
        <v>3737</v>
      </c>
      <c r="BB317" s="55">
        <v>183.89567531980902</v>
      </c>
      <c r="BD317" s="2">
        <v>2</v>
      </c>
      <c r="BF317" s="325">
        <v>150000798</v>
      </c>
    </row>
    <row r="318" spans="1:58" ht="25.05" customHeight="1" x14ac:dyDescent="0.3">
      <c r="A318" s="325">
        <v>150000819</v>
      </c>
      <c r="B318" s="445" t="s">
        <v>424</v>
      </c>
      <c r="C318" s="27">
        <v>10</v>
      </c>
      <c r="D318" s="101" t="s">
        <v>455</v>
      </c>
      <c r="E318" s="279">
        <v>6770.3499999999995</v>
      </c>
      <c r="F318" s="441">
        <v>88334.734590241089</v>
      </c>
      <c r="G318" s="441">
        <v>63059.020000000004</v>
      </c>
      <c r="H318" s="73">
        <v>-25275.714590241085</v>
      </c>
      <c r="I318" s="5">
        <v>0</v>
      </c>
      <c r="J318" s="5">
        <v>843</v>
      </c>
      <c r="K318" s="446"/>
      <c r="L318" s="5">
        <v>0</v>
      </c>
      <c r="M318" s="5">
        <v>0</v>
      </c>
      <c r="N318" s="458"/>
      <c r="O318" s="5">
        <v>0</v>
      </c>
      <c r="P318" s="5">
        <v>0</v>
      </c>
      <c r="Q318" s="447"/>
      <c r="R318" s="5">
        <v>4</v>
      </c>
      <c r="S318" s="5">
        <v>56430.020000000004</v>
      </c>
      <c r="T318" s="448"/>
      <c r="U318" s="5">
        <v>0</v>
      </c>
      <c r="V318" s="5">
        <v>0</v>
      </c>
      <c r="W318" s="5">
        <v>0</v>
      </c>
      <c r="X318" s="5">
        <v>0</v>
      </c>
      <c r="Y318" s="5">
        <v>759</v>
      </c>
      <c r="Z318" s="5">
        <v>0</v>
      </c>
      <c r="AA318" s="5">
        <v>0</v>
      </c>
      <c r="AB318" s="5">
        <v>627</v>
      </c>
      <c r="AC318" s="5">
        <v>1004</v>
      </c>
      <c r="AD318" s="5">
        <v>3396</v>
      </c>
      <c r="AE318" s="5">
        <v>4128.2765819519491</v>
      </c>
      <c r="AF318" s="5">
        <v>798</v>
      </c>
      <c r="AG318" s="5"/>
      <c r="AH318" s="5">
        <v>5143.9543520946063</v>
      </c>
      <c r="AI318" s="5">
        <v>3647</v>
      </c>
      <c r="AJ318" s="5"/>
      <c r="AK318" s="5">
        <v>3602.6889284897102</v>
      </c>
      <c r="AL318" s="5">
        <v>0</v>
      </c>
      <c r="AM318" s="5"/>
      <c r="AN318" s="5">
        <v>3181.3015002387101</v>
      </c>
      <c r="AO318" s="5">
        <v>590</v>
      </c>
      <c r="AP318" s="5"/>
      <c r="AQ318" s="5">
        <v>1480.0607281226878</v>
      </c>
      <c r="AR318" s="5">
        <v>16</v>
      </c>
      <c r="AS318" s="5"/>
      <c r="AT318" s="5">
        <v>1754.1520257998966</v>
      </c>
      <c r="AU318" s="5">
        <v>299</v>
      </c>
      <c r="AV318" s="5"/>
      <c r="AW318" s="5">
        <v>203.16749999999999</v>
      </c>
      <c r="AX318" s="5">
        <v>0</v>
      </c>
      <c r="AY318" s="5"/>
      <c r="AZ318" s="40">
        <v>19493.601616697557</v>
      </c>
      <c r="BA318" s="40">
        <v>5350</v>
      </c>
      <c r="BB318" s="55">
        <v>-14143.601616697557</v>
      </c>
      <c r="BD318" s="2">
        <v>3</v>
      </c>
      <c r="BF318" s="325">
        <v>150000819</v>
      </c>
    </row>
    <row r="319" spans="1:58" ht="25.05" customHeight="1" x14ac:dyDescent="0.3">
      <c r="A319" s="325">
        <v>150000820</v>
      </c>
      <c r="B319" s="445" t="s">
        <v>395</v>
      </c>
      <c r="C319" s="27">
        <v>9</v>
      </c>
      <c r="D319" s="101" t="s">
        <v>455</v>
      </c>
      <c r="E319" s="279">
        <v>4188.63</v>
      </c>
      <c r="F319" s="441">
        <v>62580.185151601283</v>
      </c>
      <c r="G319" s="441">
        <v>25697.17</v>
      </c>
      <c r="H319" s="73">
        <v>-36883.015151601285</v>
      </c>
      <c r="I319" s="5">
        <v>24.13</v>
      </c>
      <c r="J319" s="5">
        <v>7285.15</v>
      </c>
      <c r="K319" s="446"/>
      <c r="L319" s="5">
        <v>0</v>
      </c>
      <c r="M319" s="5">
        <v>247</v>
      </c>
      <c r="N319" s="449"/>
      <c r="O319" s="5">
        <v>0</v>
      </c>
      <c r="P319" s="5">
        <v>0</v>
      </c>
      <c r="Q319" s="447"/>
      <c r="R319" s="5">
        <v>4</v>
      </c>
      <c r="S319" s="5">
        <v>16189.02</v>
      </c>
      <c r="T319" s="456"/>
      <c r="U319" s="5">
        <v>0</v>
      </c>
      <c r="V319" s="5">
        <v>0</v>
      </c>
      <c r="W319" s="5">
        <v>10</v>
      </c>
      <c r="X319" s="5">
        <v>778</v>
      </c>
      <c r="Y319" s="5">
        <v>0</v>
      </c>
      <c r="Z319" s="5">
        <v>0</v>
      </c>
      <c r="AA319" s="5">
        <v>0</v>
      </c>
      <c r="AB319" s="5">
        <v>0</v>
      </c>
      <c r="AC319" s="5">
        <v>573</v>
      </c>
      <c r="AD319" s="5">
        <v>625</v>
      </c>
      <c r="AE319" s="5">
        <v>2079.8249684883936</v>
      </c>
      <c r="AF319" s="5">
        <v>0</v>
      </c>
      <c r="AG319" s="5"/>
      <c r="AH319" s="5">
        <v>3156.1164828638812</v>
      </c>
      <c r="AI319" s="5">
        <v>1620</v>
      </c>
      <c r="AJ319" s="5"/>
      <c r="AK319" s="5">
        <v>2259.5150616710375</v>
      </c>
      <c r="AL319" s="5">
        <v>0</v>
      </c>
      <c r="AM319" s="5"/>
      <c r="AN319" s="5">
        <v>2263.9310316806364</v>
      </c>
      <c r="AO319" s="5">
        <v>638</v>
      </c>
      <c r="AP319" s="5"/>
      <c r="AQ319" s="5">
        <v>923.71373565197098</v>
      </c>
      <c r="AR319" s="5">
        <v>0</v>
      </c>
      <c r="AS319" s="5"/>
      <c r="AT319" s="5">
        <v>875.56092285678085</v>
      </c>
      <c r="AU319" s="5">
        <v>299</v>
      </c>
      <c r="AV319" s="5"/>
      <c r="AW319" s="5">
        <v>125.71949999999998</v>
      </c>
      <c r="AX319" s="5">
        <v>0</v>
      </c>
      <c r="AY319" s="5"/>
      <c r="AZ319" s="40">
        <v>11684.381703212701</v>
      </c>
      <c r="BA319" s="40">
        <v>2557</v>
      </c>
      <c r="BB319" s="55">
        <v>-9127.3817032127008</v>
      </c>
      <c r="BD319" s="2">
        <v>3</v>
      </c>
      <c r="BF319" s="325">
        <v>150000820</v>
      </c>
    </row>
    <row r="320" spans="1:58" ht="25.05" customHeight="1" x14ac:dyDescent="0.3">
      <c r="A320" s="325">
        <v>150000799</v>
      </c>
      <c r="B320" s="445" t="s">
        <v>293</v>
      </c>
      <c r="C320" s="27">
        <v>5</v>
      </c>
      <c r="D320" s="101" t="s">
        <v>455</v>
      </c>
      <c r="E320" s="279">
        <v>2066.5</v>
      </c>
      <c r="F320" s="441">
        <v>15127.253636769679</v>
      </c>
      <c r="G320" s="441">
        <v>34075.500000000007</v>
      </c>
      <c r="H320" s="73">
        <v>18948.246363230326</v>
      </c>
      <c r="I320" s="5">
        <v>0</v>
      </c>
      <c r="J320" s="5">
        <v>0</v>
      </c>
      <c r="K320" s="446"/>
      <c r="L320" s="5">
        <v>0</v>
      </c>
      <c r="M320" s="5">
        <v>0</v>
      </c>
      <c r="N320" s="35"/>
      <c r="O320" s="5">
        <v>0</v>
      </c>
      <c r="P320" s="5">
        <v>0</v>
      </c>
      <c r="Q320" s="447"/>
      <c r="R320" s="5">
        <v>0</v>
      </c>
      <c r="S320" s="5">
        <v>0</v>
      </c>
      <c r="T320" s="448"/>
      <c r="U320" s="5">
        <v>0</v>
      </c>
      <c r="V320" s="5">
        <v>0</v>
      </c>
      <c r="W320" s="5">
        <v>12</v>
      </c>
      <c r="X320" s="5">
        <v>14317.880000000001</v>
      </c>
      <c r="Y320" s="5">
        <v>7943</v>
      </c>
      <c r="Z320" s="5">
        <v>0</v>
      </c>
      <c r="AA320" s="5">
        <v>10841</v>
      </c>
      <c r="AB320" s="5">
        <v>595.62</v>
      </c>
      <c r="AC320" s="5">
        <v>0</v>
      </c>
      <c r="AD320" s="5">
        <v>378</v>
      </c>
      <c r="AE320" s="5">
        <v>1540.1174448451497</v>
      </c>
      <c r="AF320" s="5">
        <v>0</v>
      </c>
      <c r="AG320" s="5"/>
      <c r="AH320" s="5">
        <v>2037.5776107577115</v>
      </c>
      <c r="AI320" s="5">
        <v>0</v>
      </c>
      <c r="AJ320" s="467"/>
      <c r="AK320" s="5">
        <v>1395.6765429470042</v>
      </c>
      <c r="AL320" s="5">
        <v>0</v>
      </c>
      <c r="AM320" s="5"/>
      <c r="AN320" s="5">
        <v>0</v>
      </c>
      <c r="AO320" s="5">
        <v>0</v>
      </c>
      <c r="AP320" s="5"/>
      <c r="AQ320" s="5">
        <v>0</v>
      </c>
      <c r="AR320" s="5">
        <v>0</v>
      </c>
      <c r="AS320" s="5"/>
      <c r="AT320" s="5">
        <v>715.5643804896431</v>
      </c>
      <c r="AU320" s="5">
        <v>1454</v>
      </c>
      <c r="AV320" s="5"/>
      <c r="AW320" s="5">
        <v>62.562000000000012</v>
      </c>
      <c r="AX320" s="5">
        <v>0</v>
      </c>
      <c r="AY320" s="5"/>
      <c r="AZ320" s="40">
        <v>5751.4979790395082</v>
      </c>
      <c r="BA320" s="40">
        <v>1454</v>
      </c>
      <c r="BB320" s="55">
        <v>-4297.4979790395082</v>
      </c>
      <c r="BD320" s="2">
        <v>2</v>
      </c>
      <c r="BF320" s="325">
        <v>150000799</v>
      </c>
    </row>
    <row r="321" spans="1:58" ht="25.05" customHeight="1" x14ac:dyDescent="0.3">
      <c r="A321" s="325">
        <v>150000830</v>
      </c>
      <c r="B321" s="445" t="s">
        <v>294</v>
      </c>
      <c r="C321" s="27">
        <v>5</v>
      </c>
      <c r="D321" s="101" t="s">
        <v>455</v>
      </c>
      <c r="E321" s="279">
        <v>5961.3</v>
      </c>
      <c r="F321" s="441">
        <v>62519.488189147014</v>
      </c>
      <c r="G321" s="441">
        <v>78969</v>
      </c>
      <c r="H321" s="73">
        <v>16449.511810852986</v>
      </c>
      <c r="I321" s="5">
        <v>147.69999999999999</v>
      </c>
      <c r="J321" s="5">
        <v>30948</v>
      </c>
      <c r="K321" s="446"/>
      <c r="L321" s="5">
        <v>1</v>
      </c>
      <c r="M321" s="5">
        <v>41976</v>
      </c>
      <c r="N321" s="35"/>
      <c r="O321" s="5">
        <v>0</v>
      </c>
      <c r="P321" s="5">
        <v>0</v>
      </c>
      <c r="Q321" s="447"/>
      <c r="R321" s="5">
        <v>0</v>
      </c>
      <c r="S321" s="5">
        <v>0</v>
      </c>
      <c r="T321" s="448"/>
      <c r="U321" s="5">
        <v>0</v>
      </c>
      <c r="V321" s="5">
        <v>0</v>
      </c>
      <c r="W321" s="5">
        <v>0</v>
      </c>
      <c r="X321" s="5">
        <v>0</v>
      </c>
      <c r="Y321" s="5">
        <v>2381</v>
      </c>
      <c r="Z321" s="5">
        <v>0</v>
      </c>
      <c r="AA321" s="5">
        <v>0</v>
      </c>
      <c r="AB321" s="5">
        <v>0</v>
      </c>
      <c r="AC321" s="5">
        <v>2594</v>
      </c>
      <c r="AD321" s="5">
        <v>1070</v>
      </c>
      <c r="AE321" s="5">
        <v>3682.7795272977964</v>
      </c>
      <c r="AF321" s="5">
        <v>3967</v>
      </c>
      <c r="AG321" s="5"/>
      <c r="AH321" s="5">
        <v>5474.8618797307181</v>
      </c>
      <c r="AI321" s="5">
        <v>6819</v>
      </c>
      <c r="AJ321" s="5"/>
      <c r="AK321" s="5">
        <v>2387.4141681018509</v>
      </c>
      <c r="AL321" s="5">
        <v>4875</v>
      </c>
      <c r="AM321" s="452"/>
      <c r="AN321" s="5">
        <v>0</v>
      </c>
      <c r="AO321" s="5">
        <v>0</v>
      </c>
      <c r="AP321" s="5"/>
      <c r="AQ321" s="5">
        <v>2024.9600350327316</v>
      </c>
      <c r="AR321" s="5">
        <v>0</v>
      </c>
      <c r="AS321" s="5"/>
      <c r="AT321" s="5">
        <v>3190.6409136952243</v>
      </c>
      <c r="AU321" s="5">
        <v>1755</v>
      </c>
      <c r="AV321" s="5"/>
      <c r="AW321" s="5">
        <v>178.839</v>
      </c>
      <c r="AX321" s="5">
        <v>0</v>
      </c>
      <c r="AY321" s="5"/>
      <c r="AZ321" s="40">
        <v>16939.495523858321</v>
      </c>
      <c r="BA321" s="40">
        <v>17416</v>
      </c>
      <c r="BB321" s="55">
        <v>476.50447614167933</v>
      </c>
      <c r="BD321" s="2">
        <v>3</v>
      </c>
      <c r="BF321" s="325">
        <v>150000830</v>
      </c>
    </row>
    <row r="322" spans="1:58" ht="25.05" customHeight="1" x14ac:dyDescent="0.3">
      <c r="A322" s="325">
        <v>150000800</v>
      </c>
      <c r="B322" s="445" t="s">
        <v>227</v>
      </c>
      <c r="C322" s="27">
        <v>4</v>
      </c>
      <c r="D322" s="101" t="s">
        <v>455</v>
      </c>
      <c r="E322" s="279">
        <v>1452.8</v>
      </c>
      <c r="F322" s="441">
        <v>14509.6854737952</v>
      </c>
      <c r="G322" s="441">
        <v>5561</v>
      </c>
      <c r="H322" s="73">
        <v>-8948.6854737951999</v>
      </c>
      <c r="I322" s="5">
        <v>0</v>
      </c>
      <c r="J322" s="5">
        <v>0</v>
      </c>
      <c r="K322" s="446"/>
      <c r="L322" s="5">
        <v>0</v>
      </c>
      <c r="M322" s="5">
        <v>0</v>
      </c>
      <c r="N322" s="35"/>
      <c r="O322" s="5">
        <v>0</v>
      </c>
      <c r="P322" s="5">
        <v>0</v>
      </c>
      <c r="Q322" s="447"/>
      <c r="R322" s="5">
        <v>0</v>
      </c>
      <c r="S322" s="5">
        <v>0</v>
      </c>
      <c r="T322" s="448"/>
      <c r="U322" s="5">
        <v>0</v>
      </c>
      <c r="V322" s="5">
        <v>0</v>
      </c>
      <c r="W322" s="5">
        <v>0</v>
      </c>
      <c r="X322" s="5">
        <v>0</v>
      </c>
      <c r="Y322" s="5">
        <v>780</v>
      </c>
      <c r="Z322" s="5">
        <v>0</v>
      </c>
      <c r="AA322" s="5">
        <v>0</v>
      </c>
      <c r="AB322" s="5">
        <v>0</v>
      </c>
      <c r="AC322" s="5">
        <v>0</v>
      </c>
      <c r="AD322" s="5">
        <v>4781</v>
      </c>
      <c r="AE322" s="5">
        <v>989.71656030432064</v>
      </c>
      <c r="AF322" s="5">
        <v>1060</v>
      </c>
      <c r="AG322" s="5"/>
      <c r="AH322" s="5">
        <v>1152.1761441372496</v>
      </c>
      <c r="AI322" s="5">
        <v>0</v>
      </c>
      <c r="AJ322" s="5"/>
      <c r="AK322" s="5">
        <v>928.07215624336072</v>
      </c>
      <c r="AL322" s="5">
        <v>0</v>
      </c>
      <c r="AM322" s="5"/>
      <c r="AN322" s="5">
        <v>0</v>
      </c>
      <c r="AO322" s="5">
        <v>0</v>
      </c>
      <c r="AP322" s="5"/>
      <c r="AQ322" s="5">
        <v>0</v>
      </c>
      <c r="AR322" s="5">
        <v>0</v>
      </c>
      <c r="AS322" s="5"/>
      <c r="AT322" s="5">
        <v>522.03056588983156</v>
      </c>
      <c r="AU322" s="5">
        <v>442</v>
      </c>
      <c r="AV322" s="5"/>
      <c r="AW322" s="5">
        <v>43.584000000000003</v>
      </c>
      <c r="AX322" s="5">
        <v>0</v>
      </c>
      <c r="AY322" s="5"/>
      <c r="AZ322" s="40">
        <v>3635.5794265747627</v>
      </c>
      <c r="BA322" s="40">
        <v>1502</v>
      </c>
      <c r="BB322" s="55">
        <v>-2133.5794265747627</v>
      </c>
      <c r="BD322" s="2">
        <v>2</v>
      </c>
      <c r="BF322" s="325">
        <v>150000800</v>
      </c>
    </row>
    <row r="323" spans="1:58" ht="25.05" customHeight="1" x14ac:dyDescent="0.3">
      <c r="A323" s="325">
        <v>150000801</v>
      </c>
      <c r="B323" s="445" t="s">
        <v>295</v>
      </c>
      <c r="C323" s="27">
        <v>5</v>
      </c>
      <c r="D323" s="101" t="s">
        <v>455</v>
      </c>
      <c r="E323" s="279">
        <v>4212.1099999999997</v>
      </c>
      <c r="F323" s="441">
        <v>45853.71950457256</v>
      </c>
      <c r="G323" s="441">
        <v>147398.5820936423</v>
      </c>
      <c r="H323" s="73">
        <v>101544.86258906973</v>
      </c>
      <c r="I323" s="5">
        <v>0</v>
      </c>
      <c r="J323" s="5">
        <v>0</v>
      </c>
      <c r="K323" s="446"/>
      <c r="L323" s="5">
        <v>2</v>
      </c>
      <c r="M323" s="5">
        <v>128310</v>
      </c>
      <c r="N323" s="35"/>
      <c r="O323" s="5">
        <v>0</v>
      </c>
      <c r="P323" s="5">
        <v>0</v>
      </c>
      <c r="Q323" s="447"/>
      <c r="R323" s="5">
        <v>0</v>
      </c>
      <c r="S323" s="5">
        <v>0</v>
      </c>
      <c r="T323" s="448"/>
      <c r="U323" s="5">
        <v>0</v>
      </c>
      <c r="V323" s="5">
        <v>0</v>
      </c>
      <c r="W323" s="5">
        <v>0</v>
      </c>
      <c r="X323" s="5">
        <v>1210.3520936422999</v>
      </c>
      <c r="Y323" s="5">
        <v>7115</v>
      </c>
      <c r="Z323" s="5">
        <v>0</v>
      </c>
      <c r="AA323" s="5">
        <v>0</v>
      </c>
      <c r="AB323" s="5">
        <v>0</v>
      </c>
      <c r="AC323" s="5">
        <v>3737</v>
      </c>
      <c r="AD323" s="5">
        <v>7026.23</v>
      </c>
      <c r="AE323" s="5">
        <v>3139.085681537485</v>
      </c>
      <c r="AF323" s="5">
        <v>2905</v>
      </c>
      <c r="AG323" s="5"/>
      <c r="AH323" s="5">
        <v>4593.7340775387529</v>
      </c>
      <c r="AI323" s="5">
        <v>0</v>
      </c>
      <c r="AJ323" s="5"/>
      <c r="AK323" s="5">
        <v>2599.7541740145543</v>
      </c>
      <c r="AL323" s="5">
        <v>0</v>
      </c>
      <c r="AM323" s="5"/>
      <c r="AN323" s="5">
        <v>0</v>
      </c>
      <c r="AO323" s="5">
        <v>0</v>
      </c>
      <c r="AP323" s="5"/>
      <c r="AQ323" s="5">
        <v>0</v>
      </c>
      <c r="AR323" s="5">
        <v>0</v>
      </c>
      <c r="AS323" s="5"/>
      <c r="AT323" s="5">
        <v>2349.3397535124295</v>
      </c>
      <c r="AU323" s="5">
        <v>1727</v>
      </c>
      <c r="AV323" s="5"/>
      <c r="AW323" s="5">
        <v>126.67230000000001</v>
      </c>
      <c r="AX323" s="5">
        <v>1787</v>
      </c>
      <c r="AY323" s="5"/>
      <c r="AZ323" s="40">
        <v>12808.585986603222</v>
      </c>
      <c r="BA323" s="40">
        <v>6419</v>
      </c>
      <c r="BB323" s="55">
        <v>-6389.5859866032224</v>
      </c>
      <c r="BD323" s="2">
        <v>2</v>
      </c>
      <c r="BF323" s="325">
        <v>150000801</v>
      </c>
    </row>
    <row r="324" spans="1:58" ht="25.05" customHeight="1" x14ac:dyDescent="0.3">
      <c r="A324" s="325">
        <v>150000802</v>
      </c>
      <c r="B324" s="445" t="s">
        <v>296</v>
      </c>
      <c r="C324" s="27">
        <v>5</v>
      </c>
      <c r="D324" s="101" t="s">
        <v>455</v>
      </c>
      <c r="E324" s="279">
        <v>3203.6</v>
      </c>
      <c r="F324" s="441">
        <v>34424.80284148272</v>
      </c>
      <c r="G324" s="441">
        <v>13351</v>
      </c>
      <c r="H324" s="73">
        <v>-21073.80284148272</v>
      </c>
      <c r="I324" s="5">
        <v>0</v>
      </c>
      <c r="J324" s="5">
        <v>3519</v>
      </c>
      <c r="K324" s="446"/>
      <c r="L324" s="5">
        <v>0</v>
      </c>
      <c r="M324" s="5">
        <v>1269</v>
      </c>
      <c r="N324" s="35"/>
      <c r="O324" s="5">
        <v>0</v>
      </c>
      <c r="P324" s="5">
        <v>0</v>
      </c>
      <c r="Q324" s="447"/>
      <c r="R324" s="5">
        <v>0</v>
      </c>
      <c r="S324" s="5">
        <v>0</v>
      </c>
      <c r="T324" s="448"/>
      <c r="U324" s="5">
        <v>0</v>
      </c>
      <c r="V324" s="5">
        <v>0</v>
      </c>
      <c r="W324" s="5">
        <v>0</v>
      </c>
      <c r="X324" s="5">
        <v>0</v>
      </c>
      <c r="Y324" s="5">
        <v>6390</v>
      </c>
      <c r="Z324" s="5">
        <v>0</v>
      </c>
      <c r="AA324" s="5">
        <v>0</v>
      </c>
      <c r="AB324" s="5">
        <v>0</v>
      </c>
      <c r="AC324" s="5">
        <v>767</v>
      </c>
      <c r="AD324" s="5">
        <v>1406</v>
      </c>
      <c r="AE324" s="5">
        <v>2552.3761018427799</v>
      </c>
      <c r="AF324" s="5">
        <v>4022</v>
      </c>
      <c r="AG324" s="5"/>
      <c r="AH324" s="5">
        <v>3678.6362157662265</v>
      </c>
      <c r="AI324" s="5">
        <v>0</v>
      </c>
      <c r="AJ324" s="5"/>
      <c r="AK324" s="5">
        <v>2235.3197385536187</v>
      </c>
      <c r="AL324" s="5">
        <v>245</v>
      </c>
      <c r="AM324" s="5"/>
      <c r="AN324" s="5">
        <v>0</v>
      </c>
      <c r="AO324" s="5">
        <v>0</v>
      </c>
      <c r="AP324" s="5"/>
      <c r="AQ324" s="5">
        <v>0</v>
      </c>
      <c r="AR324" s="5">
        <v>0</v>
      </c>
      <c r="AS324" s="5"/>
      <c r="AT324" s="5">
        <v>1631.0547372257222</v>
      </c>
      <c r="AU324" s="5">
        <v>711</v>
      </c>
      <c r="AV324" s="5"/>
      <c r="AW324" s="5">
        <v>96.146999999999991</v>
      </c>
      <c r="AX324" s="5">
        <v>0</v>
      </c>
      <c r="AY324" s="5"/>
      <c r="AZ324" s="40">
        <v>10193.533793388347</v>
      </c>
      <c r="BA324" s="40">
        <v>4978</v>
      </c>
      <c r="BB324" s="55">
        <v>-5215.5337933883475</v>
      </c>
      <c r="BD324" s="2">
        <v>2</v>
      </c>
      <c r="BF324" s="325">
        <v>150000802</v>
      </c>
    </row>
    <row r="325" spans="1:58" ht="25.05" customHeight="1" x14ac:dyDescent="0.3">
      <c r="A325" s="325">
        <v>150000803</v>
      </c>
      <c r="B325" s="445" t="s">
        <v>228</v>
      </c>
      <c r="C325" s="27">
        <v>4</v>
      </c>
      <c r="D325" s="101" t="s">
        <v>455</v>
      </c>
      <c r="E325" s="279">
        <v>1607.2</v>
      </c>
      <c r="F325" s="441">
        <v>12852.500863842406</v>
      </c>
      <c r="G325" s="441">
        <v>542</v>
      </c>
      <c r="H325" s="73">
        <v>-12310.500863842406</v>
      </c>
      <c r="I325" s="5">
        <v>1</v>
      </c>
      <c r="J325" s="5">
        <v>266</v>
      </c>
      <c r="K325" s="446"/>
      <c r="L325" s="5">
        <v>0</v>
      </c>
      <c r="M325" s="5">
        <v>0</v>
      </c>
      <c r="N325" s="35"/>
      <c r="O325" s="5">
        <v>0</v>
      </c>
      <c r="P325" s="5">
        <v>0</v>
      </c>
      <c r="Q325" s="447"/>
      <c r="R325" s="5">
        <v>0</v>
      </c>
      <c r="S325" s="5">
        <v>0</v>
      </c>
      <c r="T325" s="448"/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276</v>
      </c>
      <c r="AE325" s="5">
        <v>1099.710107492891</v>
      </c>
      <c r="AF325" s="5">
        <v>963</v>
      </c>
      <c r="AG325" s="5"/>
      <c r="AH325" s="5">
        <v>1433.549124114752</v>
      </c>
      <c r="AI325" s="5">
        <v>0</v>
      </c>
      <c r="AJ325" s="5"/>
      <c r="AK325" s="5">
        <v>877.19602764707327</v>
      </c>
      <c r="AL325" s="5">
        <v>0</v>
      </c>
      <c r="AM325" s="5"/>
      <c r="AN325" s="5">
        <v>0</v>
      </c>
      <c r="AO325" s="5">
        <v>0</v>
      </c>
      <c r="AP325" s="5"/>
      <c r="AQ325" s="5">
        <v>0</v>
      </c>
      <c r="AR325" s="5">
        <v>0</v>
      </c>
      <c r="AS325" s="5"/>
      <c r="AT325" s="5">
        <v>475.02772385431382</v>
      </c>
      <c r="AU325" s="5">
        <v>3128</v>
      </c>
      <c r="AV325" s="5"/>
      <c r="AW325" s="5">
        <v>48.987000000000002</v>
      </c>
      <c r="AX325" s="5">
        <v>0</v>
      </c>
      <c r="AY325" s="5"/>
      <c r="AZ325" s="40">
        <v>3934.4699831090302</v>
      </c>
      <c r="BA325" s="40">
        <v>4091</v>
      </c>
      <c r="BB325" s="55">
        <v>156.53001689096982</v>
      </c>
      <c r="BD325" s="2">
        <v>2</v>
      </c>
      <c r="BF325" s="325">
        <v>150000803</v>
      </c>
    </row>
    <row r="326" spans="1:58" ht="25.05" customHeight="1" x14ac:dyDescent="0.3">
      <c r="A326" s="325">
        <v>150000805</v>
      </c>
      <c r="B326" s="445" t="s">
        <v>297</v>
      </c>
      <c r="C326" s="27">
        <v>5</v>
      </c>
      <c r="D326" s="101" t="s">
        <v>455</v>
      </c>
      <c r="E326" s="279">
        <v>3709.9399999999996</v>
      </c>
      <c r="F326" s="441">
        <v>33808.048645691109</v>
      </c>
      <c r="G326" s="441">
        <v>9365.7852120809148</v>
      </c>
      <c r="H326" s="73">
        <v>-24442.263433610195</v>
      </c>
      <c r="I326" s="5">
        <v>0</v>
      </c>
      <c r="J326" s="5">
        <v>449</v>
      </c>
      <c r="K326" s="446"/>
      <c r="L326" s="5">
        <v>0</v>
      </c>
      <c r="M326" s="5">
        <v>0</v>
      </c>
      <c r="N326" s="35"/>
      <c r="O326" s="5">
        <v>0</v>
      </c>
      <c r="P326" s="5">
        <v>0</v>
      </c>
      <c r="Q326" s="447"/>
      <c r="R326" s="5">
        <v>0</v>
      </c>
      <c r="S326" s="5">
        <v>0</v>
      </c>
      <c r="T326" s="448"/>
      <c r="U326" s="5">
        <v>0</v>
      </c>
      <c r="V326" s="5">
        <v>0</v>
      </c>
      <c r="W326" s="5">
        <v>17.399999999999999</v>
      </c>
      <c r="X326" s="5">
        <v>2374.3252120809152</v>
      </c>
      <c r="Y326" s="5">
        <v>3302.41</v>
      </c>
      <c r="Z326" s="5">
        <v>0</v>
      </c>
      <c r="AA326" s="5">
        <v>0</v>
      </c>
      <c r="AB326" s="5">
        <v>2414.0500000000002</v>
      </c>
      <c r="AC326" s="5">
        <v>113</v>
      </c>
      <c r="AD326" s="5">
        <v>713</v>
      </c>
      <c r="AE326" s="5">
        <v>2538.0476973791306</v>
      </c>
      <c r="AF326" s="5">
        <v>0</v>
      </c>
      <c r="AG326" s="5"/>
      <c r="AH326" s="5">
        <v>3701.999454379732</v>
      </c>
      <c r="AI326" s="5">
        <v>0</v>
      </c>
      <c r="AJ326" s="5"/>
      <c r="AK326" s="5">
        <v>1822.0853861739622</v>
      </c>
      <c r="AL326" s="5">
        <v>671</v>
      </c>
      <c r="AM326" s="5"/>
      <c r="AN326" s="5">
        <v>0</v>
      </c>
      <c r="AO326" s="5">
        <v>0</v>
      </c>
      <c r="AP326" s="5"/>
      <c r="AQ326" s="5">
        <v>0</v>
      </c>
      <c r="AR326" s="5">
        <v>0</v>
      </c>
      <c r="AS326" s="5"/>
      <c r="AT326" s="5">
        <v>1963.8570732749974</v>
      </c>
      <c r="AU326" s="5">
        <v>0</v>
      </c>
      <c r="AV326" s="461"/>
      <c r="AW326" s="5">
        <v>108.21119999999999</v>
      </c>
      <c r="AX326" s="5">
        <v>0</v>
      </c>
      <c r="AY326" s="5"/>
      <c r="AZ326" s="40">
        <v>10134.200811207822</v>
      </c>
      <c r="BA326" s="40">
        <v>671</v>
      </c>
      <c r="BB326" s="55">
        <v>-9463.200811207822</v>
      </c>
      <c r="BD326" s="2">
        <v>3</v>
      </c>
      <c r="BF326" s="325">
        <v>150000805</v>
      </c>
    </row>
    <row r="327" spans="1:58" ht="25.05" customHeight="1" x14ac:dyDescent="0.3">
      <c r="A327" s="325">
        <v>150000806</v>
      </c>
      <c r="B327" s="445" t="s">
        <v>229</v>
      </c>
      <c r="C327" s="27">
        <v>4</v>
      </c>
      <c r="D327" s="101" t="s">
        <v>455</v>
      </c>
      <c r="E327" s="279">
        <v>2716</v>
      </c>
      <c r="F327" s="441">
        <v>26676.802976037361</v>
      </c>
      <c r="G327" s="441">
        <v>23800.58</v>
      </c>
      <c r="H327" s="73">
        <v>-2876.2229760373593</v>
      </c>
      <c r="I327" s="5">
        <v>18</v>
      </c>
      <c r="J327" s="5">
        <v>14007.58</v>
      </c>
      <c r="K327" s="446"/>
      <c r="L327" s="5">
        <v>0</v>
      </c>
      <c r="M327" s="5">
        <v>0</v>
      </c>
      <c r="N327" s="35"/>
      <c r="O327" s="5">
        <v>0</v>
      </c>
      <c r="P327" s="5">
        <v>0</v>
      </c>
      <c r="Q327" s="447"/>
      <c r="R327" s="5">
        <v>0</v>
      </c>
      <c r="S327" s="5">
        <v>0</v>
      </c>
      <c r="T327" s="448"/>
      <c r="U327" s="5">
        <v>0</v>
      </c>
      <c r="V327" s="5">
        <v>0</v>
      </c>
      <c r="W327" s="5">
        <v>0</v>
      </c>
      <c r="X327" s="5">
        <v>0</v>
      </c>
      <c r="Y327" s="5">
        <v>4115</v>
      </c>
      <c r="Z327" s="5">
        <v>0</v>
      </c>
      <c r="AA327" s="5">
        <v>0</v>
      </c>
      <c r="AB327" s="5">
        <v>0</v>
      </c>
      <c r="AC327" s="5">
        <v>0</v>
      </c>
      <c r="AD327" s="5">
        <v>5678</v>
      </c>
      <c r="AE327" s="5">
        <v>2004.7052994646297</v>
      </c>
      <c r="AF327" s="5">
        <v>0</v>
      </c>
      <c r="AG327" s="5"/>
      <c r="AH327" s="5">
        <v>2756.3799266228325</v>
      </c>
      <c r="AI327" s="5">
        <v>0</v>
      </c>
      <c r="AJ327" s="5"/>
      <c r="AK327" s="5">
        <v>1279.8540635847919</v>
      </c>
      <c r="AL327" s="5">
        <v>0</v>
      </c>
      <c r="AM327" s="5"/>
      <c r="AN327" s="5">
        <v>0</v>
      </c>
      <c r="AO327" s="5">
        <v>0</v>
      </c>
      <c r="AP327" s="5"/>
      <c r="AQ327" s="5">
        <v>0</v>
      </c>
      <c r="AR327" s="5">
        <v>0</v>
      </c>
      <c r="AS327" s="5"/>
      <c r="AT327" s="5">
        <v>1665.918063731028</v>
      </c>
      <c r="AU327" s="5">
        <v>1421</v>
      </c>
      <c r="AV327" s="5"/>
      <c r="AW327" s="5">
        <v>73.497000000000014</v>
      </c>
      <c r="AX327" s="5">
        <v>0</v>
      </c>
      <c r="AY327" s="5"/>
      <c r="AZ327" s="40">
        <v>7780.3543534032824</v>
      </c>
      <c r="BA327" s="40">
        <v>1421</v>
      </c>
      <c r="BB327" s="55">
        <v>-6359.3543534032824</v>
      </c>
      <c r="BD327" s="2">
        <v>2</v>
      </c>
      <c r="BF327" s="325">
        <v>150000806</v>
      </c>
    </row>
    <row r="328" spans="1:58" ht="25.05" customHeight="1" x14ac:dyDescent="0.3">
      <c r="A328" s="325">
        <v>150000807</v>
      </c>
      <c r="B328" s="445" t="s">
        <v>188</v>
      </c>
      <c r="C328" s="27">
        <v>2</v>
      </c>
      <c r="D328" s="101" t="s">
        <v>455</v>
      </c>
      <c r="E328" s="279">
        <v>300.7</v>
      </c>
      <c r="F328" s="441">
        <v>3357.0885862707373</v>
      </c>
      <c r="G328" s="441">
        <v>178</v>
      </c>
      <c r="H328" s="73">
        <v>-3179.0885862707373</v>
      </c>
      <c r="I328" s="5">
        <v>0</v>
      </c>
      <c r="J328" s="5">
        <v>0</v>
      </c>
      <c r="K328" s="446"/>
      <c r="L328" s="5">
        <v>0</v>
      </c>
      <c r="M328" s="5">
        <v>0</v>
      </c>
      <c r="N328" s="35"/>
      <c r="O328" s="5">
        <v>0</v>
      </c>
      <c r="P328" s="5">
        <v>0</v>
      </c>
      <c r="Q328" s="447"/>
      <c r="R328" s="5">
        <v>0</v>
      </c>
      <c r="S328" s="5">
        <v>0</v>
      </c>
      <c r="T328" s="448"/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178</v>
      </c>
      <c r="AE328" s="5">
        <v>491.52630174653831</v>
      </c>
      <c r="AF328" s="5">
        <v>0</v>
      </c>
      <c r="AG328" s="5"/>
      <c r="AH328" s="5">
        <v>538.71185785364844</v>
      </c>
      <c r="AI328" s="5">
        <v>0</v>
      </c>
      <c r="AJ328" s="5"/>
      <c r="AK328" s="5">
        <v>0</v>
      </c>
      <c r="AL328" s="5">
        <v>0</v>
      </c>
      <c r="AM328" s="5"/>
      <c r="AN328" s="5">
        <v>0</v>
      </c>
      <c r="AO328" s="5">
        <v>0</v>
      </c>
      <c r="AP328" s="5"/>
      <c r="AQ328" s="5">
        <v>0</v>
      </c>
      <c r="AR328" s="5">
        <v>0</v>
      </c>
      <c r="AS328" s="5"/>
      <c r="AT328" s="5">
        <v>54.940230590659013</v>
      </c>
      <c r="AU328" s="5">
        <v>0</v>
      </c>
      <c r="AV328" s="5"/>
      <c r="AW328" s="5">
        <v>9.0210000000000008</v>
      </c>
      <c r="AX328" s="5">
        <v>0</v>
      </c>
      <c r="AY328" s="5"/>
      <c r="AZ328" s="40">
        <v>1094.1993901908456</v>
      </c>
      <c r="BA328" s="40">
        <v>0</v>
      </c>
      <c r="BB328" s="55">
        <v>-1094.1993901908456</v>
      </c>
      <c r="BD328" s="2">
        <v>3</v>
      </c>
      <c r="BF328" s="325">
        <v>150000807</v>
      </c>
    </row>
    <row r="329" spans="1:58" ht="25.05" customHeight="1" x14ac:dyDescent="0.3">
      <c r="A329" s="325">
        <v>150000808</v>
      </c>
      <c r="B329" s="445" t="s">
        <v>298</v>
      </c>
      <c r="C329" s="27">
        <v>5</v>
      </c>
      <c r="D329" s="101" t="s">
        <v>455</v>
      </c>
      <c r="E329" s="279">
        <v>1950.8</v>
      </c>
      <c r="F329" s="441">
        <v>12660.839282738147</v>
      </c>
      <c r="G329" s="441">
        <v>4590</v>
      </c>
      <c r="H329" s="73">
        <v>-8070.8392827381467</v>
      </c>
      <c r="I329" s="5">
        <v>0</v>
      </c>
      <c r="J329" s="5">
        <v>0</v>
      </c>
      <c r="K329" s="446"/>
      <c r="L329" s="5">
        <v>0</v>
      </c>
      <c r="M329" s="5">
        <v>0</v>
      </c>
      <c r="N329" s="448"/>
      <c r="O329" s="5">
        <v>0</v>
      </c>
      <c r="P329" s="5">
        <v>0</v>
      </c>
      <c r="Q329" s="447"/>
      <c r="R329" s="5">
        <v>0</v>
      </c>
      <c r="S329" s="5">
        <v>0</v>
      </c>
      <c r="T329" s="448"/>
      <c r="U329" s="5">
        <v>0</v>
      </c>
      <c r="V329" s="5">
        <v>0</v>
      </c>
      <c r="W329" s="5">
        <v>0</v>
      </c>
      <c r="X329" s="5">
        <v>0</v>
      </c>
      <c r="Y329" s="5">
        <v>3371</v>
      </c>
      <c r="Z329" s="5">
        <v>0</v>
      </c>
      <c r="AA329" s="5">
        <v>0</v>
      </c>
      <c r="AB329" s="5">
        <v>0</v>
      </c>
      <c r="AC329" s="5">
        <v>0</v>
      </c>
      <c r="AD329" s="5">
        <v>1219</v>
      </c>
      <c r="AE329" s="5">
        <v>1357.9652886633385</v>
      </c>
      <c r="AF329" s="5">
        <v>122</v>
      </c>
      <c r="AG329" s="5"/>
      <c r="AH329" s="5">
        <v>1879.5256069500886</v>
      </c>
      <c r="AI329" s="5">
        <v>0</v>
      </c>
      <c r="AJ329" s="5"/>
      <c r="AK329" s="5">
        <v>1346.1264341550027</v>
      </c>
      <c r="AL329" s="5">
        <v>0</v>
      </c>
      <c r="AM329" s="5"/>
      <c r="AN329" s="5">
        <v>0</v>
      </c>
      <c r="AO329" s="5">
        <v>0</v>
      </c>
      <c r="AP329" s="5"/>
      <c r="AQ329" s="5">
        <v>0</v>
      </c>
      <c r="AR329" s="5">
        <v>0</v>
      </c>
      <c r="AS329" s="5"/>
      <c r="AT329" s="5">
        <v>596.8171385500043</v>
      </c>
      <c r="AU329" s="5">
        <v>0</v>
      </c>
      <c r="AV329" s="5"/>
      <c r="AW329" s="5">
        <v>58.566000000000003</v>
      </c>
      <c r="AX329" s="5">
        <v>0</v>
      </c>
      <c r="AY329" s="5"/>
      <c r="AZ329" s="40">
        <v>5239.0004683184334</v>
      </c>
      <c r="BA329" s="40">
        <v>122</v>
      </c>
      <c r="BB329" s="55">
        <v>-5117.0004683184334</v>
      </c>
      <c r="BD329" s="2">
        <v>2</v>
      </c>
      <c r="BF329" s="325">
        <v>150000808</v>
      </c>
    </row>
    <row r="330" spans="1:58" ht="25.05" customHeight="1" x14ac:dyDescent="0.3">
      <c r="A330" s="325">
        <v>150000827</v>
      </c>
      <c r="B330" s="445" t="s">
        <v>299</v>
      </c>
      <c r="C330" s="27">
        <v>5</v>
      </c>
      <c r="D330" s="101" t="s">
        <v>455</v>
      </c>
      <c r="E330" s="279">
        <v>4420.7</v>
      </c>
      <c r="F330" s="441">
        <v>41721.40182635231</v>
      </c>
      <c r="G330" s="441">
        <v>114986.09</v>
      </c>
      <c r="H330" s="73">
        <v>73264.688173647679</v>
      </c>
      <c r="I330" s="5">
        <v>0</v>
      </c>
      <c r="J330" s="5">
        <v>0</v>
      </c>
      <c r="K330" s="446"/>
      <c r="L330" s="5">
        <v>2</v>
      </c>
      <c r="M330" s="5">
        <v>108952</v>
      </c>
      <c r="N330" s="35"/>
      <c r="O330" s="5">
        <v>0</v>
      </c>
      <c r="P330" s="5">
        <v>0</v>
      </c>
      <c r="Q330" s="447"/>
      <c r="R330" s="5">
        <v>0</v>
      </c>
      <c r="S330" s="5">
        <v>0</v>
      </c>
      <c r="T330" s="448"/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3870</v>
      </c>
      <c r="AD330" s="5">
        <v>2164.09</v>
      </c>
      <c r="AE330" s="5">
        <v>3139.085681537485</v>
      </c>
      <c r="AF330" s="5">
        <v>1355</v>
      </c>
      <c r="AG330" s="454"/>
      <c r="AH330" s="5">
        <v>4598.8965803588317</v>
      </c>
      <c r="AI330" s="5">
        <v>33</v>
      </c>
      <c r="AJ330" s="5"/>
      <c r="AK330" s="5">
        <v>2537.0354933568392</v>
      </c>
      <c r="AL330" s="5">
        <v>0</v>
      </c>
      <c r="AM330" s="5"/>
      <c r="AN330" s="5">
        <v>0</v>
      </c>
      <c r="AO330" s="5">
        <v>0</v>
      </c>
      <c r="AP330" s="5"/>
      <c r="AQ330" s="5">
        <v>0</v>
      </c>
      <c r="AR330" s="5">
        <v>0</v>
      </c>
      <c r="AS330" s="5"/>
      <c r="AT330" s="5">
        <v>2349.339414403586</v>
      </c>
      <c r="AU330" s="5">
        <v>841</v>
      </c>
      <c r="AV330" s="5"/>
      <c r="AW330" s="5">
        <v>132.13200000000001</v>
      </c>
      <c r="AX330" s="5">
        <v>0</v>
      </c>
      <c r="AY330" s="5"/>
      <c r="AZ330" s="40">
        <v>12756.489169656743</v>
      </c>
      <c r="BA330" s="40">
        <v>2229</v>
      </c>
      <c r="BB330" s="55">
        <v>-10527.489169656743</v>
      </c>
      <c r="BD330" s="2">
        <v>2</v>
      </c>
      <c r="BF330" s="325">
        <v>150000827</v>
      </c>
    </row>
    <row r="331" spans="1:58" ht="25.05" customHeight="1" x14ac:dyDescent="0.3">
      <c r="A331" s="325">
        <v>150000809</v>
      </c>
      <c r="B331" s="445" t="s">
        <v>300</v>
      </c>
      <c r="C331" s="27">
        <v>5</v>
      </c>
      <c r="D331" s="101" t="s">
        <v>455</v>
      </c>
      <c r="E331" s="279">
        <v>2543.14</v>
      </c>
      <c r="F331" s="441">
        <v>32848.117839436702</v>
      </c>
      <c r="G331" s="441">
        <v>21078.18</v>
      </c>
      <c r="H331" s="73">
        <v>-11769.937839436701</v>
      </c>
      <c r="I331" s="5">
        <v>56</v>
      </c>
      <c r="J331" s="5">
        <v>12783.26</v>
      </c>
      <c r="K331" s="446"/>
      <c r="L331" s="5">
        <v>0</v>
      </c>
      <c r="M331" s="5">
        <v>0</v>
      </c>
      <c r="N331" s="35"/>
      <c r="O331" s="5">
        <v>0</v>
      </c>
      <c r="P331" s="5">
        <v>0</v>
      </c>
      <c r="Q331" s="447"/>
      <c r="R331" s="5">
        <v>0</v>
      </c>
      <c r="S331" s="5">
        <v>0</v>
      </c>
      <c r="T331" s="448"/>
      <c r="U331" s="5">
        <v>0</v>
      </c>
      <c r="V331" s="5">
        <v>0</v>
      </c>
      <c r="W331" s="5">
        <v>0</v>
      </c>
      <c r="X331" s="5">
        <v>0</v>
      </c>
      <c r="Y331" s="5">
        <v>7026.92</v>
      </c>
      <c r="Z331" s="5">
        <v>0</v>
      </c>
      <c r="AA331" s="5">
        <v>0</v>
      </c>
      <c r="AB331" s="5">
        <v>0</v>
      </c>
      <c r="AC331" s="5">
        <v>0</v>
      </c>
      <c r="AD331" s="5">
        <v>1268</v>
      </c>
      <c r="AE331" s="5">
        <v>1882.5292603662353</v>
      </c>
      <c r="AF331" s="5">
        <v>832</v>
      </c>
      <c r="AG331" s="5"/>
      <c r="AH331" s="5">
        <v>2477.0665297100377</v>
      </c>
      <c r="AI331" s="5">
        <v>639</v>
      </c>
      <c r="AJ331" s="5"/>
      <c r="AK331" s="5">
        <v>1569.1735109050467</v>
      </c>
      <c r="AL331" s="5">
        <v>0</v>
      </c>
      <c r="AM331" s="5"/>
      <c r="AN331" s="5">
        <v>0</v>
      </c>
      <c r="AO331" s="5">
        <v>0</v>
      </c>
      <c r="AP331" s="5"/>
      <c r="AQ331" s="5">
        <v>0</v>
      </c>
      <c r="AR331" s="5">
        <v>0</v>
      </c>
      <c r="AS331" s="5"/>
      <c r="AT331" s="5">
        <v>972.56580327420443</v>
      </c>
      <c r="AU331" s="5">
        <v>278</v>
      </c>
      <c r="AV331" s="5"/>
      <c r="AW331" s="5">
        <v>76.656000000000006</v>
      </c>
      <c r="AX331" s="5">
        <v>0</v>
      </c>
      <c r="AY331" s="5"/>
      <c r="AZ331" s="40">
        <v>6977.9911042555241</v>
      </c>
      <c r="BA331" s="40">
        <v>1749</v>
      </c>
      <c r="BB331" s="55">
        <v>-5228.9911042555241</v>
      </c>
      <c r="BD331" s="2">
        <v>2</v>
      </c>
      <c r="BF331" s="325">
        <v>150000809</v>
      </c>
    </row>
    <row r="332" spans="1:58" ht="25.05" customHeight="1" x14ac:dyDescent="0.3">
      <c r="A332" s="325">
        <v>150000810</v>
      </c>
      <c r="B332" s="445" t="s">
        <v>301</v>
      </c>
      <c r="C332" s="27">
        <v>5</v>
      </c>
      <c r="D332" s="101" t="s">
        <v>455</v>
      </c>
      <c r="E332" s="279">
        <v>2998.76</v>
      </c>
      <c r="F332" s="441">
        <v>29595.841783209089</v>
      </c>
      <c r="G332" s="441">
        <v>52652.163985599778</v>
      </c>
      <c r="H332" s="73">
        <v>23056.322202390689</v>
      </c>
      <c r="I332" s="5">
        <v>0</v>
      </c>
      <c r="J332" s="5">
        <v>6927</v>
      </c>
      <c r="K332" s="446"/>
      <c r="L332" s="5">
        <v>1</v>
      </c>
      <c r="M332" s="5">
        <v>42726</v>
      </c>
      <c r="N332" s="35"/>
      <c r="O332" s="5">
        <v>0</v>
      </c>
      <c r="P332" s="5">
        <v>0</v>
      </c>
      <c r="Q332" s="447"/>
      <c r="R332" s="5">
        <v>0</v>
      </c>
      <c r="S332" s="5">
        <v>0</v>
      </c>
      <c r="T332" s="448"/>
      <c r="U332" s="5">
        <v>0</v>
      </c>
      <c r="V332" s="5">
        <v>0</v>
      </c>
      <c r="W332" s="5">
        <v>0</v>
      </c>
      <c r="X332" s="5">
        <v>225.16398559977947</v>
      </c>
      <c r="Y332" s="5">
        <v>167</v>
      </c>
      <c r="Z332" s="5">
        <v>0</v>
      </c>
      <c r="AA332" s="5">
        <v>0</v>
      </c>
      <c r="AB332" s="5">
        <v>0</v>
      </c>
      <c r="AC332" s="5">
        <v>1800</v>
      </c>
      <c r="AD332" s="5">
        <v>807</v>
      </c>
      <c r="AE332" s="5">
        <v>2156.6832172201143</v>
      </c>
      <c r="AF332" s="5">
        <v>8874.42</v>
      </c>
      <c r="AG332" s="5"/>
      <c r="AH332" s="5">
        <v>3184.3734628698135</v>
      </c>
      <c r="AI332" s="5">
        <v>0</v>
      </c>
      <c r="AJ332" s="5"/>
      <c r="AK332" s="5">
        <v>1502.6646556983828</v>
      </c>
      <c r="AL332" s="5">
        <v>583</v>
      </c>
      <c r="AM332" s="5"/>
      <c r="AN332" s="5">
        <v>0</v>
      </c>
      <c r="AO332" s="5">
        <v>0</v>
      </c>
      <c r="AP332" s="5"/>
      <c r="AQ332" s="5">
        <v>0</v>
      </c>
      <c r="AR332" s="5">
        <v>0</v>
      </c>
      <c r="AS332" s="5"/>
      <c r="AT332" s="5">
        <v>1361.6414174525512</v>
      </c>
      <c r="AU332" s="5">
        <v>0</v>
      </c>
      <c r="AV332" s="5"/>
      <c r="AW332" s="5">
        <v>89.974500000000006</v>
      </c>
      <c r="AX332" s="5">
        <v>0</v>
      </c>
      <c r="AY332" s="5"/>
      <c r="AZ332" s="40">
        <v>8295.3372532408612</v>
      </c>
      <c r="BA332" s="40">
        <v>9457.42</v>
      </c>
      <c r="BB332" s="55">
        <v>1162.0827467591389</v>
      </c>
      <c r="BD332" s="2">
        <v>2</v>
      </c>
      <c r="BF332" s="325">
        <v>150000810</v>
      </c>
    </row>
    <row r="333" spans="1:58" ht="25.05" customHeight="1" x14ac:dyDescent="0.3">
      <c r="A333" s="325">
        <v>150000811</v>
      </c>
      <c r="B333" s="445" t="s">
        <v>302</v>
      </c>
      <c r="C333" s="27">
        <v>5</v>
      </c>
      <c r="D333" s="101" t="s">
        <v>455</v>
      </c>
      <c r="E333" s="279">
        <v>2604</v>
      </c>
      <c r="F333" s="441">
        <v>35827.271419115328</v>
      </c>
      <c r="G333" s="441">
        <v>35000.509830417344</v>
      </c>
      <c r="H333" s="73">
        <v>-826.76158869798383</v>
      </c>
      <c r="I333" s="5">
        <v>0</v>
      </c>
      <c r="J333" s="5">
        <v>0</v>
      </c>
      <c r="K333" s="446"/>
      <c r="L333" s="5">
        <v>0</v>
      </c>
      <c r="M333" s="5">
        <v>895</v>
      </c>
      <c r="N333" s="35"/>
      <c r="O333" s="5">
        <v>0</v>
      </c>
      <c r="P333" s="5">
        <v>0</v>
      </c>
      <c r="Q333" s="447"/>
      <c r="R333" s="5">
        <v>0</v>
      </c>
      <c r="S333" s="5">
        <v>0</v>
      </c>
      <c r="T333" s="448"/>
      <c r="U333" s="5">
        <v>0</v>
      </c>
      <c r="V333" s="5">
        <v>0</v>
      </c>
      <c r="W333" s="5">
        <v>0</v>
      </c>
      <c r="X333" s="5">
        <v>310.50983041734759</v>
      </c>
      <c r="Y333" s="5">
        <v>33190</v>
      </c>
      <c r="Z333" s="5">
        <v>0</v>
      </c>
      <c r="AA333" s="5">
        <v>0</v>
      </c>
      <c r="AB333" s="5">
        <v>0</v>
      </c>
      <c r="AC333" s="5">
        <v>0</v>
      </c>
      <c r="AD333" s="5">
        <v>605</v>
      </c>
      <c r="AE333" s="5">
        <v>1958.4660508587604</v>
      </c>
      <c r="AF333" s="5">
        <v>0</v>
      </c>
      <c r="AG333" s="5"/>
      <c r="AH333" s="5">
        <v>2493.878822579903</v>
      </c>
      <c r="AI333" s="5">
        <v>951</v>
      </c>
      <c r="AJ333" s="5"/>
      <c r="AK333" s="5">
        <v>1747.4389241060564</v>
      </c>
      <c r="AL333" s="5">
        <v>0</v>
      </c>
      <c r="AM333" s="5"/>
      <c r="AN333" s="5">
        <v>0</v>
      </c>
      <c r="AO333" s="5">
        <v>0</v>
      </c>
      <c r="AP333" s="5"/>
      <c r="AQ333" s="5">
        <v>0</v>
      </c>
      <c r="AR333" s="5">
        <v>0</v>
      </c>
      <c r="AS333" s="5"/>
      <c r="AT333" s="5">
        <v>1059.9878087732977</v>
      </c>
      <c r="AU333" s="5">
        <v>0</v>
      </c>
      <c r="AV333" s="5"/>
      <c r="AW333" s="5">
        <v>77.994</v>
      </c>
      <c r="AX333" s="5">
        <v>0</v>
      </c>
      <c r="AY333" s="5"/>
      <c r="AZ333" s="40">
        <v>7337.7656063180175</v>
      </c>
      <c r="BA333" s="40">
        <v>951</v>
      </c>
      <c r="BB333" s="55">
        <v>-6386.7656063180175</v>
      </c>
      <c r="BD333" s="2">
        <v>2</v>
      </c>
      <c r="BF333" s="325">
        <v>150000811</v>
      </c>
    </row>
    <row r="334" spans="1:58" ht="25.05" customHeight="1" x14ac:dyDescent="0.3">
      <c r="A334" s="325">
        <v>150000812</v>
      </c>
      <c r="B334" s="445" t="s">
        <v>303</v>
      </c>
      <c r="C334" s="27">
        <v>5</v>
      </c>
      <c r="D334" s="101" t="s">
        <v>455</v>
      </c>
      <c r="E334" s="279">
        <v>2780.9</v>
      </c>
      <c r="F334" s="441">
        <v>24982.884878589066</v>
      </c>
      <c r="G334" s="441">
        <v>7289</v>
      </c>
      <c r="H334" s="73">
        <v>-17693.884878589066</v>
      </c>
      <c r="I334" s="5">
        <v>0</v>
      </c>
      <c r="J334" s="5">
        <v>6465</v>
      </c>
      <c r="K334" s="450"/>
      <c r="L334" s="5">
        <v>0</v>
      </c>
      <c r="M334" s="5">
        <v>0</v>
      </c>
      <c r="N334" s="448"/>
      <c r="O334" s="5">
        <v>0</v>
      </c>
      <c r="P334" s="5">
        <v>0</v>
      </c>
      <c r="Q334" s="447"/>
      <c r="R334" s="5">
        <v>0</v>
      </c>
      <c r="S334" s="5">
        <v>0</v>
      </c>
      <c r="T334" s="448"/>
      <c r="U334" s="5">
        <v>0</v>
      </c>
      <c r="V334" s="5">
        <v>0</v>
      </c>
      <c r="W334" s="5">
        <v>0</v>
      </c>
      <c r="X334" s="5">
        <v>0</v>
      </c>
      <c r="Y334" s="5">
        <v>111</v>
      </c>
      <c r="Z334" s="5">
        <v>0</v>
      </c>
      <c r="AA334" s="5">
        <v>0</v>
      </c>
      <c r="AB334" s="5">
        <v>0</v>
      </c>
      <c r="AC334" s="5">
        <v>108</v>
      </c>
      <c r="AD334" s="5">
        <v>605</v>
      </c>
      <c r="AE334" s="5">
        <v>1445.1730664870065</v>
      </c>
      <c r="AF334" s="5">
        <v>0</v>
      </c>
      <c r="AG334" s="5"/>
      <c r="AH334" s="5">
        <v>1874.1450382716523</v>
      </c>
      <c r="AI334" s="5">
        <v>33</v>
      </c>
      <c r="AJ334" s="5"/>
      <c r="AK334" s="5">
        <v>1765.2780637520916</v>
      </c>
      <c r="AL334" s="5">
        <v>0</v>
      </c>
      <c r="AM334" s="5"/>
      <c r="AN334" s="5">
        <v>0</v>
      </c>
      <c r="AO334" s="5">
        <v>0</v>
      </c>
      <c r="AP334" s="5"/>
      <c r="AQ334" s="5">
        <v>0</v>
      </c>
      <c r="AR334" s="5">
        <v>0</v>
      </c>
      <c r="AS334" s="5"/>
      <c r="AT334" s="5">
        <v>1029.2576227205518</v>
      </c>
      <c r="AU334" s="5">
        <v>505</v>
      </c>
      <c r="AV334" s="5"/>
      <c r="AW334" s="5">
        <v>91.682999999999993</v>
      </c>
      <c r="AX334" s="5">
        <v>0</v>
      </c>
      <c r="AY334" s="5"/>
      <c r="AZ334" s="40">
        <v>6205.5367912313022</v>
      </c>
      <c r="BA334" s="40">
        <v>538</v>
      </c>
      <c r="BB334" s="55">
        <v>-5667.5367912313022</v>
      </c>
      <c r="BD334" s="2">
        <v>2</v>
      </c>
      <c r="BF334" s="325">
        <v>150000812</v>
      </c>
    </row>
    <row r="335" spans="1:58" ht="25.05" customHeight="1" x14ac:dyDescent="0.3">
      <c r="A335" s="325">
        <v>150000828</v>
      </c>
      <c r="B335" s="445" t="s">
        <v>304</v>
      </c>
      <c r="C335" s="27">
        <v>5</v>
      </c>
      <c r="D335" s="101" t="s">
        <v>455</v>
      </c>
      <c r="E335" s="279">
        <v>2595.52</v>
      </c>
      <c r="F335" s="441">
        <v>37052.522843099941</v>
      </c>
      <c r="G335" s="441">
        <v>41425</v>
      </c>
      <c r="H335" s="73">
        <v>4372.4771569000586</v>
      </c>
      <c r="I335" s="5">
        <v>0</v>
      </c>
      <c r="J335" s="5">
        <v>0</v>
      </c>
      <c r="K335" s="446"/>
      <c r="L335" s="5">
        <v>0</v>
      </c>
      <c r="M335" s="5">
        <v>0</v>
      </c>
      <c r="N335" s="35"/>
      <c r="O335" s="5">
        <v>0</v>
      </c>
      <c r="P335" s="5">
        <v>0</v>
      </c>
      <c r="Q335" s="447"/>
      <c r="R335" s="5">
        <v>0</v>
      </c>
      <c r="S335" s="5">
        <v>0</v>
      </c>
      <c r="T335" s="448"/>
      <c r="U335" s="5">
        <v>0</v>
      </c>
      <c r="V335" s="5">
        <v>0</v>
      </c>
      <c r="W335" s="5">
        <v>44</v>
      </c>
      <c r="X335" s="5">
        <v>27739</v>
      </c>
      <c r="Y335" s="5">
        <v>12722</v>
      </c>
      <c r="Z335" s="5">
        <v>0</v>
      </c>
      <c r="AA335" s="5">
        <v>0</v>
      </c>
      <c r="AB335" s="5">
        <v>359</v>
      </c>
      <c r="AC335" s="5">
        <v>0</v>
      </c>
      <c r="AD335" s="5">
        <v>605</v>
      </c>
      <c r="AE335" s="5">
        <v>1958.4660508587604</v>
      </c>
      <c r="AF335" s="5">
        <v>288</v>
      </c>
      <c r="AG335" s="454"/>
      <c r="AH335" s="5">
        <v>2493.878822579903</v>
      </c>
      <c r="AI335" s="5">
        <v>0</v>
      </c>
      <c r="AJ335" s="5"/>
      <c r="AK335" s="5">
        <v>1745.7330582674333</v>
      </c>
      <c r="AL335" s="5">
        <v>0</v>
      </c>
      <c r="AM335" s="5"/>
      <c r="AN335" s="5">
        <v>0</v>
      </c>
      <c r="AO335" s="5">
        <v>0</v>
      </c>
      <c r="AP335" s="5"/>
      <c r="AQ335" s="5">
        <v>0</v>
      </c>
      <c r="AR335" s="5">
        <v>0</v>
      </c>
      <c r="AS335" s="5"/>
      <c r="AT335" s="5">
        <v>1059.9879526924683</v>
      </c>
      <c r="AU335" s="5">
        <v>0</v>
      </c>
      <c r="AV335" s="8"/>
      <c r="AW335" s="5">
        <v>77.865600000000001</v>
      </c>
      <c r="AX335" s="5">
        <v>3160</v>
      </c>
      <c r="AY335" s="5"/>
      <c r="AZ335" s="40">
        <v>7335.9314843985658</v>
      </c>
      <c r="BA335" s="40">
        <v>3448</v>
      </c>
      <c r="BB335" s="55">
        <v>-3887.9314843985658</v>
      </c>
      <c r="BD335" s="2">
        <v>2</v>
      </c>
      <c r="BF335" s="325">
        <v>150000828</v>
      </c>
    </row>
    <row r="336" spans="1:58" ht="25.05" customHeight="1" x14ac:dyDescent="0.3">
      <c r="A336" s="325">
        <v>150000813</v>
      </c>
      <c r="B336" s="445" t="s">
        <v>189</v>
      </c>
      <c r="C336" s="27">
        <v>2</v>
      </c>
      <c r="D336" s="101" t="s">
        <v>455</v>
      </c>
      <c r="E336" s="279">
        <v>373.3</v>
      </c>
      <c r="F336" s="441">
        <v>4281.9584922437825</v>
      </c>
      <c r="G336" s="441">
        <v>1332</v>
      </c>
      <c r="H336" s="73">
        <v>-2949.9584922437825</v>
      </c>
      <c r="I336" s="5">
        <v>0</v>
      </c>
      <c r="J336" s="5">
        <v>0</v>
      </c>
      <c r="K336" s="446"/>
      <c r="L336" s="5">
        <v>0</v>
      </c>
      <c r="M336" s="5">
        <v>0</v>
      </c>
      <c r="N336" s="35"/>
      <c r="O336" s="5">
        <v>0</v>
      </c>
      <c r="P336" s="5">
        <v>0</v>
      </c>
      <c r="Q336" s="447"/>
      <c r="R336" s="5">
        <v>0</v>
      </c>
      <c r="S336" s="5">
        <v>0</v>
      </c>
      <c r="T336" s="448"/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1332</v>
      </c>
      <c r="AE336" s="5">
        <v>483.9254480210775</v>
      </c>
      <c r="AF336" s="5">
        <v>0</v>
      </c>
      <c r="AG336" s="5"/>
      <c r="AH336" s="5">
        <v>550.14358204508221</v>
      </c>
      <c r="AI336" s="5">
        <v>0</v>
      </c>
      <c r="AJ336" s="5"/>
      <c r="AK336" s="5">
        <v>0</v>
      </c>
      <c r="AL336" s="5">
        <v>0</v>
      </c>
      <c r="AM336" s="5"/>
      <c r="AN336" s="5">
        <v>0</v>
      </c>
      <c r="AO336" s="5">
        <v>0</v>
      </c>
      <c r="AP336" s="5"/>
      <c r="AQ336" s="5">
        <v>0</v>
      </c>
      <c r="AR336" s="5">
        <v>0</v>
      </c>
      <c r="AS336" s="5"/>
      <c r="AT336" s="5">
        <v>151.2382961490278</v>
      </c>
      <c r="AU336" s="5">
        <v>0</v>
      </c>
      <c r="AV336" s="5"/>
      <c r="AW336" s="5">
        <v>11.199</v>
      </c>
      <c r="AX336" s="5">
        <v>0</v>
      </c>
      <c r="AY336" s="5"/>
      <c r="AZ336" s="40">
        <v>1196.5063262151875</v>
      </c>
      <c r="BA336" s="40">
        <v>0</v>
      </c>
      <c r="BB336" s="55">
        <v>-1196.5063262151875</v>
      </c>
      <c r="BD336" s="2">
        <v>3</v>
      </c>
      <c r="BF336" s="325">
        <v>150000813</v>
      </c>
    </row>
    <row r="337" spans="1:58" ht="25.05" customHeight="1" x14ac:dyDescent="0.3">
      <c r="A337" s="325">
        <v>150000814</v>
      </c>
      <c r="B337" s="445" t="s">
        <v>305</v>
      </c>
      <c r="C337" s="27">
        <v>5</v>
      </c>
      <c r="D337" s="101" t="s">
        <v>455</v>
      </c>
      <c r="E337" s="279">
        <v>3235</v>
      </c>
      <c r="F337" s="441">
        <v>27601.969531628383</v>
      </c>
      <c r="G337" s="441">
        <v>71688.019423687801</v>
      </c>
      <c r="H337" s="73">
        <v>44086.049892059418</v>
      </c>
      <c r="I337" s="5">
        <v>1.5</v>
      </c>
      <c r="J337" s="5">
        <v>982</v>
      </c>
      <c r="K337" s="446"/>
      <c r="L337" s="5">
        <v>1</v>
      </c>
      <c r="M337" s="5">
        <v>67076</v>
      </c>
      <c r="N337" s="35"/>
      <c r="O337" s="5">
        <v>0</v>
      </c>
      <c r="P337" s="5">
        <v>0</v>
      </c>
      <c r="Q337" s="447"/>
      <c r="R337" s="5">
        <v>0</v>
      </c>
      <c r="S337" s="5">
        <v>0</v>
      </c>
      <c r="T337" s="448"/>
      <c r="U337" s="5">
        <v>0</v>
      </c>
      <c r="V337" s="5">
        <v>0</v>
      </c>
      <c r="W337" s="5">
        <v>0.5</v>
      </c>
      <c r="X337" s="5">
        <v>351.01942368780635</v>
      </c>
      <c r="Y337" s="5">
        <v>111</v>
      </c>
      <c r="Z337" s="5">
        <v>0</v>
      </c>
      <c r="AA337" s="5">
        <v>0</v>
      </c>
      <c r="AB337" s="5">
        <v>0</v>
      </c>
      <c r="AC337" s="5">
        <v>2361</v>
      </c>
      <c r="AD337" s="5">
        <v>807</v>
      </c>
      <c r="AE337" s="5">
        <v>2321.4151201976647</v>
      </c>
      <c r="AF337" s="5">
        <v>3747</v>
      </c>
      <c r="AG337" s="5"/>
      <c r="AH337" s="5">
        <v>3544.8360123104003</v>
      </c>
      <c r="AI337" s="5">
        <v>4576</v>
      </c>
      <c r="AJ337" s="5"/>
      <c r="AK337" s="5">
        <v>1686.1361021438174</v>
      </c>
      <c r="AL337" s="5">
        <v>633</v>
      </c>
      <c r="AM337" s="5"/>
      <c r="AN337" s="5">
        <v>0</v>
      </c>
      <c r="AO337" s="5">
        <v>0</v>
      </c>
      <c r="AP337" s="5"/>
      <c r="AQ337" s="5">
        <v>0</v>
      </c>
      <c r="AR337" s="5">
        <v>0</v>
      </c>
      <c r="AS337" s="5"/>
      <c r="AT337" s="5">
        <v>1405.7915583457684</v>
      </c>
      <c r="AU337" s="5">
        <v>0</v>
      </c>
      <c r="AV337" s="5"/>
      <c r="AW337" s="5">
        <v>96.971999999999994</v>
      </c>
      <c r="AX337" s="5">
        <v>0</v>
      </c>
      <c r="AY337" s="5"/>
      <c r="AZ337" s="40">
        <v>9055.1507929976506</v>
      </c>
      <c r="BA337" s="40">
        <v>8956</v>
      </c>
      <c r="BB337" s="55">
        <v>-99.150792997650569</v>
      </c>
      <c r="BD337" s="2">
        <v>2</v>
      </c>
      <c r="BF337" s="325">
        <v>150000814</v>
      </c>
    </row>
    <row r="338" spans="1:58" ht="25.05" customHeight="1" x14ac:dyDescent="0.3">
      <c r="A338" s="325">
        <v>150000816</v>
      </c>
      <c r="B338" s="445" t="s">
        <v>230</v>
      </c>
      <c r="C338" s="27">
        <v>4</v>
      </c>
      <c r="D338" s="101" t="s">
        <v>455</v>
      </c>
      <c r="E338" s="279">
        <v>2488.34</v>
      </c>
      <c r="F338" s="441">
        <v>22081.582872094677</v>
      </c>
      <c r="G338" s="441">
        <v>2449.9164745626022</v>
      </c>
      <c r="H338" s="73">
        <v>-19631.666397532077</v>
      </c>
      <c r="I338" s="5">
        <v>0</v>
      </c>
      <c r="J338" s="5">
        <v>0</v>
      </c>
      <c r="K338" s="450"/>
      <c r="L338" s="5">
        <v>0</v>
      </c>
      <c r="M338" s="5">
        <v>0</v>
      </c>
      <c r="N338" s="35"/>
      <c r="O338" s="5">
        <v>0</v>
      </c>
      <c r="P338" s="5">
        <v>0</v>
      </c>
      <c r="Q338" s="447"/>
      <c r="R338" s="5">
        <v>0</v>
      </c>
      <c r="S338" s="5">
        <v>0</v>
      </c>
      <c r="T338" s="448"/>
      <c r="U338" s="5">
        <v>0</v>
      </c>
      <c r="V338" s="5">
        <v>0</v>
      </c>
      <c r="W338" s="5">
        <v>1</v>
      </c>
      <c r="X338" s="5">
        <v>257.86647456260215</v>
      </c>
      <c r="Y338" s="5">
        <v>56</v>
      </c>
      <c r="Z338" s="5">
        <v>0</v>
      </c>
      <c r="AA338" s="5">
        <v>0</v>
      </c>
      <c r="AB338" s="5">
        <v>0</v>
      </c>
      <c r="AC338" s="5">
        <v>0</v>
      </c>
      <c r="AD338" s="5">
        <v>2136.0500000000002</v>
      </c>
      <c r="AE338" s="5">
        <v>2015.7765547083616</v>
      </c>
      <c r="AF338" s="5">
        <v>3412</v>
      </c>
      <c r="AG338" s="5"/>
      <c r="AH338" s="5">
        <v>2422.2926048113054</v>
      </c>
      <c r="AI338" s="5">
        <v>4205</v>
      </c>
      <c r="AJ338" s="5"/>
      <c r="AK338" s="5">
        <v>1640.5055827673948</v>
      </c>
      <c r="AL338" s="5">
        <v>0</v>
      </c>
      <c r="AM338" s="5"/>
      <c r="AN338" s="5">
        <v>1440.8125488630944</v>
      </c>
      <c r="AO338" s="5">
        <v>0</v>
      </c>
      <c r="AP338" s="5"/>
      <c r="AQ338" s="5">
        <v>0</v>
      </c>
      <c r="AR338" s="5">
        <v>0</v>
      </c>
      <c r="AS338" s="5"/>
      <c r="AT338" s="5">
        <v>1213.9807656915625</v>
      </c>
      <c r="AU338" s="5">
        <v>4402</v>
      </c>
      <c r="AV338" s="5"/>
      <c r="AW338" s="5">
        <v>73.417800000000014</v>
      </c>
      <c r="AX338" s="5">
        <v>0</v>
      </c>
      <c r="AY338" s="5"/>
      <c r="AZ338" s="40">
        <v>8806.7858568417178</v>
      </c>
      <c r="BA338" s="40">
        <v>12019</v>
      </c>
      <c r="BB338" s="55">
        <v>3212.2141431582822</v>
      </c>
      <c r="BD338" s="2">
        <v>2</v>
      </c>
      <c r="BF338" s="325">
        <v>150000816</v>
      </c>
    </row>
    <row r="339" spans="1:58" ht="25.05" customHeight="1" x14ac:dyDescent="0.3">
      <c r="A339" s="325">
        <v>150000829</v>
      </c>
      <c r="B339" s="445" t="s">
        <v>231</v>
      </c>
      <c r="C339" s="27">
        <v>4</v>
      </c>
      <c r="D339" s="101" t="s">
        <v>455</v>
      </c>
      <c r="E339" s="279">
        <v>2581.1999999999998</v>
      </c>
      <c r="F339" s="441">
        <v>24577.653204766339</v>
      </c>
      <c r="G339" s="441">
        <v>10053.121389771275</v>
      </c>
      <c r="H339" s="73">
        <v>-14524.531814995064</v>
      </c>
      <c r="I339" s="5">
        <v>0</v>
      </c>
      <c r="J339" s="5">
        <v>0</v>
      </c>
      <c r="K339" s="446"/>
      <c r="L339" s="5">
        <v>0</v>
      </c>
      <c r="M339" s="5">
        <v>0</v>
      </c>
      <c r="N339" s="35"/>
      <c r="O339" s="5">
        <v>0</v>
      </c>
      <c r="P339" s="5">
        <v>0</v>
      </c>
      <c r="Q339" s="447"/>
      <c r="R339" s="5">
        <v>0</v>
      </c>
      <c r="S339" s="5">
        <v>0</v>
      </c>
      <c r="T339" s="448"/>
      <c r="U339" s="5">
        <v>0</v>
      </c>
      <c r="V339" s="5">
        <v>0</v>
      </c>
      <c r="W339" s="5">
        <v>1</v>
      </c>
      <c r="X339" s="5">
        <v>6238.1213897712751</v>
      </c>
      <c r="Y339" s="5">
        <v>1755</v>
      </c>
      <c r="Z339" s="5">
        <v>0</v>
      </c>
      <c r="AA339" s="5">
        <v>0</v>
      </c>
      <c r="AB339" s="5">
        <v>0</v>
      </c>
      <c r="AC339" s="5">
        <v>1253</v>
      </c>
      <c r="AD339" s="5">
        <v>807</v>
      </c>
      <c r="AE339" s="5">
        <v>2049.7198446997236</v>
      </c>
      <c r="AF339" s="5">
        <v>465</v>
      </c>
      <c r="AG339" s="5"/>
      <c r="AH339" s="5">
        <v>2431.7284044519488</v>
      </c>
      <c r="AI339" s="5">
        <v>0</v>
      </c>
      <c r="AJ339" s="5"/>
      <c r="AK339" s="5">
        <v>1561.0949956113063</v>
      </c>
      <c r="AL339" s="5">
        <v>0</v>
      </c>
      <c r="AM339" s="5"/>
      <c r="AN339" s="5">
        <v>0</v>
      </c>
      <c r="AO339" s="5">
        <v>0</v>
      </c>
      <c r="AP339" s="5"/>
      <c r="AQ339" s="5">
        <v>0</v>
      </c>
      <c r="AR339" s="5">
        <v>0</v>
      </c>
      <c r="AS339" s="5"/>
      <c r="AT339" s="5">
        <v>1218.6851490055481</v>
      </c>
      <c r="AU339" s="5">
        <v>511</v>
      </c>
      <c r="AV339" s="5"/>
      <c r="AW339" s="5">
        <v>77.472000000000008</v>
      </c>
      <c r="AX339" s="5">
        <v>0</v>
      </c>
      <c r="AY339" s="5"/>
      <c r="AZ339" s="40">
        <v>7338.7003937685258</v>
      </c>
      <c r="BA339" s="40">
        <v>976</v>
      </c>
      <c r="BB339" s="55">
        <v>-6362.7003937685258</v>
      </c>
      <c r="BD339" s="2">
        <v>2</v>
      </c>
      <c r="BF339" s="325">
        <v>150000829</v>
      </c>
    </row>
    <row r="340" spans="1:58" ht="25.05" customHeight="1" x14ac:dyDescent="0.3">
      <c r="A340" s="325">
        <v>150000797</v>
      </c>
      <c r="B340" s="445" t="s">
        <v>232</v>
      </c>
      <c r="C340" s="27">
        <v>4</v>
      </c>
      <c r="D340" s="101" t="s">
        <v>455</v>
      </c>
      <c r="E340" s="279">
        <v>5513</v>
      </c>
      <c r="F340" s="441">
        <v>71342.817139151492</v>
      </c>
      <c r="G340" s="441">
        <v>36589.25152995516</v>
      </c>
      <c r="H340" s="73">
        <v>-34753.565609196332</v>
      </c>
      <c r="I340" s="5">
        <v>0</v>
      </c>
      <c r="J340" s="5">
        <v>17145.09</v>
      </c>
      <c r="K340" s="446"/>
      <c r="L340" s="5">
        <v>0</v>
      </c>
      <c r="M340" s="5">
        <v>8393</v>
      </c>
      <c r="N340" s="35"/>
      <c r="O340" s="5">
        <v>0</v>
      </c>
      <c r="P340" s="5">
        <v>0</v>
      </c>
      <c r="Q340" s="447"/>
      <c r="R340" s="5">
        <v>0</v>
      </c>
      <c r="S340" s="5">
        <v>0</v>
      </c>
      <c r="T340" s="448"/>
      <c r="U340" s="5">
        <v>0</v>
      </c>
      <c r="V340" s="5">
        <v>0</v>
      </c>
      <c r="W340" s="5">
        <v>0</v>
      </c>
      <c r="X340" s="5">
        <v>1841.1615299551634</v>
      </c>
      <c r="Y340" s="5">
        <v>1971</v>
      </c>
      <c r="Z340" s="5">
        <v>0</v>
      </c>
      <c r="AA340" s="5">
        <v>0</v>
      </c>
      <c r="AB340" s="5">
        <v>4702</v>
      </c>
      <c r="AC340" s="5">
        <v>0</v>
      </c>
      <c r="AD340" s="5">
        <v>2537</v>
      </c>
      <c r="AE340" s="5">
        <v>4124.8367386730133</v>
      </c>
      <c r="AF340" s="5">
        <v>5995</v>
      </c>
      <c r="AG340" s="5"/>
      <c r="AH340" s="5">
        <v>5960.7959191457085</v>
      </c>
      <c r="AI340" s="5">
        <v>0</v>
      </c>
      <c r="AJ340" s="5"/>
      <c r="AK340" s="5">
        <v>2627.5694610824439</v>
      </c>
      <c r="AL340" s="5">
        <v>12012</v>
      </c>
      <c r="AM340" s="5"/>
      <c r="AN340" s="5">
        <v>0</v>
      </c>
      <c r="AO340" s="5">
        <v>1667</v>
      </c>
      <c r="AP340" s="5"/>
      <c r="AQ340" s="5">
        <v>0</v>
      </c>
      <c r="AR340" s="5">
        <v>0</v>
      </c>
      <c r="AS340" s="5"/>
      <c r="AT340" s="5">
        <v>5378.3648202200229</v>
      </c>
      <c r="AU340" s="5">
        <v>2104</v>
      </c>
      <c r="AV340" s="5"/>
      <c r="AW340" s="5">
        <v>136.31700000000001</v>
      </c>
      <c r="AX340" s="5">
        <v>0</v>
      </c>
      <c r="AY340" s="5"/>
      <c r="AZ340" s="40">
        <v>18227.883939121188</v>
      </c>
      <c r="BA340" s="40">
        <v>21778</v>
      </c>
      <c r="BB340" s="55">
        <v>3550.1160608788123</v>
      </c>
      <c r="BD340" s="2">
        <v>2</v>
      </c>
      <c r="BF340" s="325">
        <v>150000797</v>
      </c>
    </row>
    <row r="341" spans="1:58" ht="25.05" customHeight="1" x14ac:dyDescent="0.3">
      <c r="A341" s="325">
        <v>150000705</v>
      </c>
      <c r="B341" s="445" t="s">
        <v>142</v>
      </c>
      <c r="C341" s="27">
        <v>1</v>
      </c>
      <c r="D341" s="101" t="s">
        <v>455</v>
      </c>
      <c r="E341" s="279">
        <v>240.6</v>
      </c>
      <c r="F341" s="441">
        <v>1977.3022302727741</v>
      </c>
      <c r="G341" s="441">
        <v>0</v>
      </c>
      <c r="H341" s="73">
        <v>-1977.3022302727741</v>
      </c>
      <c r="I341" s="5">
        <v>0</v>
      </c>
      <c r="J341" s="5">
        <v>0</v>
      </c>
      <c r="K341" s="446"/>
      <c r="L341" s="5">
        <v>0</v>
      </c>
      <c r="M341" s="5">
        <v>0</v>
      </c>
      <c r="N341" s="35"/>
      <c r="O341" s="5">
        <v>0</v>
      </c>
      <c r="P341" s="5">
        <v>0</v>
      </c>
      <c r="Q341" s="447"/>
      <c r="R341" s="5">
        <v>0</v>
      </c>
      <c r="S341" s="5">
        <v>0</v>
      </c>
      <c r="T341" s="448"/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/>
      <c r="AH341" s="5">
        <v>0</v>
      </c>
      <c r="AI341" s="5">
        <v>0</v>
      </c>
      <c r="AJ341" s="5"/>
      <c r="AK341" s="5">
        <v>0</v>
      </c>
      <c r="AL341" s="5">
        <v>0</v>
      </c>
      <c r="AM341" s="5"/>
      <c r="AN341" s="5">
        <v>0</v>
      </c>
      <c r="AO341" s="5">
        <v>0</v>
      </c>
      <c r="AP341" s="5"/>
      <c r="AQ341" s="5">
        <v>0</v>
      </c>
      <c r="AR341" s="5">
        <v>0</v>
      </c>
      <c r="AS341" s="5"/>
      <c r="AT341" s="5">
        <v>0</v>
      </c>
      <c r="AU341" s="5">
        <v>0</v>
      </c>
      <c r="AV341" s="5"/>
      <c r="AW341" s="5">
        <v>7.218</v>
      </c>
      <c r="AX341" s="5">
        <v>0</v>
      </c>
      <c r="AY341" s="5"/>
      <c r="AZ341" s="40">
        <v>7.218</v>
      </c>
      <c r="BA341" s="40">
        <v>0</v>
      </c>
      <c r="BB341" s="55">
        <v>-7.218</v>
      </c>
      <c r="BD341" s="2">
        <v>3</v>
      </c>
      <c r="BF341" s="325">
        <v>150000705</v>
      </c>
    </row>
    <row r="342" spans="1:58" ht="25.05" customHeight="1" x14ac:dyDescent="0.3">
      <c r="A342" s="325">
        <v>150000709</v>
      </c>
      <c r="B342" s="445" t="s">
        <v>143</v>
      </c>
      <c r="C342" s="27">
        <v>1</v>
      </c>
      <c r="D342" s="101" t="s">
        <v>455</v>
      </c>
      <c r="E342" s="279">
        <v>201.1</v>
      </c>
      <c r="F342" s="441">
        <v>2127.2718407025718</v>
      </c>
      <c r="G342" s="441">
        <v>0</v>
      </c>
      <c r="H342" s="73">
        <v>-2127.2718407025718</v>
      </c>
      <c r="I342" s="5">
        <v>0</v>
      </c>
      <c r="J342" s="5">
        <v>0</v>
      </c>
      <c r="K342" s="446"/>
      <c r="L342" s="5">
        <v>0</v>
      </c>
      <c r="M342" s="5">
        <v>0</v>
      </c>
      <c r="N342" s="35"/>
      <c r="O342" s="5">
        <v>0</v>
      </c>
      <c r="P342" s="5">
        <v>0</v>
      </c>
      <c r="Q342" s="447"/>
      <c r="R342" s="5">
        <v>0</v>
      </c>
      <c r="S342" s="5">
        <v>0</v>
      </c>
      <c r="T342" s="448"/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/>
      <c r="AH342" s="5">
        <v>0</v>
      </c>
      <c r="AI342" s="5">
        <v>0</v>
      </c>
      <c r="AJ342" s="5"/>
      <c r="AK342" s="5">
        <v>0</v>
      </c>
      <c r="AL342" s="5">
        <v>0</v>
      </c>
      <c r="AM342" s="5"/>
      <c r="AN342" s="5">
        <v>0</v>
      </c>
      <c r="AO342" s="5">
        <v>0</v>
      </c>
      <c r="AP342" s="5"/>
      <c r="AQ342" s="5">
        <v>0</v>
      </c>
      <c r="AR342" s="5">
        <v>0</v>
      </c>
      <c r="AS342" s="5"/>
      <c r="AT342" s="5">
        <v>0</v>
      </c>
      <c r="AU342" s="5">
        <v>0</v>
      </c>
      <c r="AV342" s="5"/>
      <c r="AW342" s="5">
        <v>6.0330000000000004</v>
      </c>
      <c r="AX342" s="5">
        <v>0</v>
      </c>
      <c r="AY342" s="5"/>
      <c r="AZ342" s="40">
        <v>6.0330000000000004</v>
      </c>
      <c r="BA342" s="40">
        <v>0</v>
      </c>
      <c r="BB342" s="55">
        <v>-6.0330000000000004</v>
      </c>
      <c r="BD342" s="2">
        <v>3</v>
      </c>
      <c r="BF342" s="325">
        <v>150000709</v>
      </c>
    </row>
    <row r="343" spans="1:58" ht="25.05" customHeight="1" x14ac:dyDescent="0.3">
      <c r="A343" s="325">
        <v>150000706</v>
      </c>
      <c r="B343" s="445" t="s">
        <v>144</v>
      </c>
      <c r="C343" s="27">
        <v>1</v>
      </c>
      <c r="D343" s="101" t="s">
        <v>455</v>
      </c>
      <c r="E343" s="279">
        <v>243.32</v>
      </c>
      <c r="F343" s="441">
        <v>2557.3311199479035</v>
      </c>
      <c r="G343" s="441">
        <v>0</v>
      </c>
      <c r="H343" s="73">
        <v>-2557.3311199479035</v>
      </c>
      <c r="I343" s="5">
        <v>0</v>
      </c>
      <c r="J343" s="5">
        <v>0</v>
      </c>
      <c r="K343" s="446"/>
      <c r="L343" s="5">
        <v>0</v>
      </c>
      <c r="M343" s="5">
        <v>0</v>
      </c>
      <c r="N343" s="35"/>
      <c r="O343" s="5">
        <v>0</v>
      </c>
      <c r="P343" s="5">
        <v>0</v>
      </c>
      <c r="Q343" s="447"/>
      <c r="R343" s="5">
        <v>0</v>
      </c>
      <c r="S343" s="5">
        <v>0</v>
      </c>
      <c r="T343" s="448"/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/>
      <c r="AH343" s="5">
        <v>0</v>
      </c>
      <c r="AI343" s="5">
        <v>0</v>
      </c>
      <c r="AJ343" s="5"/>
      <c r="AK343" s="5">
        <v>0</v>
      </c>
      <c r="AL343" s="5">
        <v>0</v>
      </c>
      <c r="AM343" s="5"/>
      <c r="AN343" s="5">
        <v>0</v>
      </c>
      <c r="AO343" s="5">
        <v>0</v>
      </c>
      <c r="AP343" s="5"/>
      <c r="AQ343" s="5">
        <v>0</v>
      </c>
      <c r="AR343" s="5">
        <v>0</v>
      </c>
      <c r="AS343" s="5"/>
      <c r="AT343" s="5">
        <v>0</v>
      </c>
      <c r="AU343" s="5">
        <v>0</v>
      </c>
      <c r="AV343" s="5"/>
      <c r="AW343" s="5">
        <v>7.2995999999999999</v>
      </c>
      <c r="AX343" s="5">
        <v>0</v>
      </c>
      <c r="AY343" s="5"/>
      <c r="AZ343" s="40">
        <v>7.2995999999999999</v>
      </c>
      <c r="BA343" s="40">
        <v>0</v>
      </c>
      <c r="BB343" s="55">
        <v>-7.2995999999999999</v>
      </c>
      <c r="BD343" s="2">
        <v>3</v>
      </c>
      <c r="BF343" s="325">
        <v>150000706</v>
      </c>
    </row>
    <row r="344" spans="1:58" ht="25.05" customHeight="1" x14ac:dyDescent="0.3">
      <c r="A344" s="325">
        <v>150000707</v>
      </c>
      <c r="B344" s="445" t="s">
        <v>145</v>
      </c>
      <c r="C344" s="27">
        <v>1</v>
      </c>
      <c r="D344" s="101" t="s">
        <v>455</v>
      </c>
      <c r="E344" s="279">
        <v>326.10000000000002</v>
      </c>
      <c r="F344" s="441">
        <v>3393.0257903560009</v>
      </c>
      <c r="G344" s="441">
        <v>0</v>
      </c>
      <c r="H344" s="73">
        <v>-3393.0257903560009</v>
      </c>
      <c r="I344" s="5">
        <v>0</v>
      </c>
      <c r="J344" s="5">
        <v>0</v>
      </c>
      <c r="K344" s="446"/>
      <c r="L344" s="5">
        <v>0</v>
      </c>
      <c r="M344" s="5">
        <v>0</v>
      </c>
      <c r="N344" s="35"/>
      <c r="O344" s="5">
        <v>0</v>
      </c>
      <c r="P344" s="5">
        <v>0</v>
      </c>
      <c r="Q344" s="447"/>
      <c r="R344" s="5">
        <v>0</v>
      </c>
      <c r="S344" s="5">
        <v>0</v>
      </c>
      <c r="T344" s="448"/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/>
      <c r="AH344" s="5">
        <v>0</v>
      </c>
      <c r="AI344" s="5">
        <v>0</v>
      </c>
      <c r="AJ344" s="5"/>
      <c r="AK344" s="5">
        <v>0</v>
      </c>
      <c r="AL344" s="5">
        <v>0</v>
      </c>
      <c r="AM344" s="5"/>
      <c r="AN344" s="5">
        <v>0</v>
      </c>
      <c r="AO344" s="5">
        <v>0</v>
      </c>
      <c r="AP344" s="5"/>
      <c r="AQ344" s="5">
        <v>0</v>
      </c>
      <c r="AR344" s="5">
        <v>0</v>
      </c>
      <c r="AS344" s="5"/>
      <c r="AT344" s="5">
        <v>0</v>
      </c>
      <c r="AU344" s="5">
        <v>0</v>
      </c>
      <c r="AV344" s="5"/>
      <c r="AW344" s="5">
        <v>9.7830000000000013</v>
      </c>
      <c r="AX344" s="5">
        <v>0</v>
      </c>
      <c r="AY344" s="5"/>
      <c r="AZ344" s="40">
        <v>9.7830000000000013</v>
      </c>
      <c r="BA344" s="40">
        <v>0</v>
      </c>
      <c r="BB344" s="55">
        <v>-9.7830000000000013</v>
      </c>
      <c r="BD344" s="2">
        <v>3</v>
      </c>
      <c r="BF344" s="325">
        <v>150000707</v>
      </c>
    </row>
    <row r="345" spans="1:58" ht="25.05" customHeight="1" x14ac:dyDescent="0.3">
      <c r="A345" s="325">
        <v>150000708</v>
      </c>
      <c r="B345" s="445" t="s">
        <v>146</v>
      </c>
      <c r="C345" s="27">
        <v>1</v>
      </c>
      <c r="D345" s="101" t="s">
        <v>455</v>
      </c>
      <c r="E345" s="279">
        <v>241.4</v>
      </c>
      <c r="F345" s="441">
        <v>2537.774991766637</v>
      </c>
      <c r="G345" s="441">
        <v>0</v>
      </c>
      <c r="H345" s="73">
        <v>-2537.774991766637</v>
      </c>
      <c r="I345" s="5">
        <v>0</v>
      </c>
      <c r="J345" s="5">
        <v>0</v>
      </c>
      <c r="K345" s="446"/>
      <c r="L345" s="5">
        <v>0</v>
      </c>
      <c r="M345" s="5">
        <v>0</v>
      </c>
      <c r="N345" s="35"/>
      <c r="O345" s="5">
        <v>0</v>
      </c>
      <c r="P345" s="5">
        <v>0</v>
      </c>
      <c r="Q345" s="447"/>
      <c r="R345" s="5">
        <v>0</v>
      </c>
      <c r="S345" s="5">
        <v>0</v>
      </c>
      <c r="T345" s="448"/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/>
      <c r="AH345" s="5">
        <v>0</v>
      </c>
      <c r="AI345" s="5">
        <v>0</v>
      </c>
      <c r="AJ345" s="5"/>
      <c r="AK345" s="5">
        <v>0</v>
      </c>
      <c r="AL345" s="5">
        <v>0</v>
      </c>
      <c r="AM345" s="5"/>
      <c r="AN345" s="5">
        <v>0</v>
      </c>
      <c r="AO345" s="5">
        <v>0</v>
      </c>
      <c r="AP345" s="5"/>
      <c r="AQ345" s="5">
        <v>0</v>
      </c>
      <c r="AR345" s="5">
        <v>0</v>
      </c>
      <c r="AS345" s="5"/>
      <c r="AT345" s="5">
        <v>0</v>
      </c>
      <c r="AU345" s="5">
        <v>0</v>
      </c>
      <c r="AV345" s="5"/>
      <c r="AW345" s="5">
        <v>7.2420000000000009</v>
      </c>
      <c r="AX345" s="5">
        <v>0</v>
      </c>
      <c r="AY345" s="5"/>
      <c r="AZ345" s="40">
        <v>7.2420000000000009</v>
      </c>
      <c r="BA345" s="40">
        <v>0</v>
      </c>
      <c r="BB345" s="55">
        <v>-7.2420000000000009</v>
      </c>
      <c r="BD345" s="2">
        <v>3</v>
      </c>
      <c r="BF345" s="325">
        <v>150000708</v>
      </c>
    </row>
    <row r="346" spans="1:58" ht="25.05" customHeight="1" x14ac:dyDescent="0.3">
      <c r="A346" s="325">
        <v>150000591</v>
      </c>
      <c r="B346" s="445" t="s">
        <v>192</v>
      </c>
      <c r="C346" s="27">
        <v>2</v>
      </c>
      <c r="D346" s="101" t="s">
        <v>455</v>
      </c>
      <c r="E346" s="279">
        <v>148.4</v>
      </c>
      <c r="F346" s="441">
        <v>2974.911642707591</v>
      </c>
      <c r="G346" s="441">
        <v>178</v>
      </c>
      <c r="H346" s="73">
        <v>-2796.911642707591</v>
      </c>
      <c r="I346" s="5">
        <v>0</v>
      </c>
      <c r="J346" s="5">
        <v>0</v>
      </c>
      <c r="K346" s="446"/>
      <c r="L346" s="5">
        <v>0</v>
      </c>
      <c r="M346" s="5">
        <v>0</v>
      </c>
      <c r="N346" s="35"/>
      <c r="O346" s="5">
        <v>0</v>
      </c>
      <c r="P346" s="5">
        <v>0</v>
      </c>
      <c r="Q346" s="447"/>
      <c r="R346" s="5">
        <v>0</v>
      </c>
      <c r="S346" s="5">
        <v>0</v>
      </c>
      <c r="T346" s="448"/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178</v>
      </c>
      <c r="AE346" s="5">
        <v>265.26229836873182</v>
      </c>
      <c r="AF346" s="5">
        <v>0</v>
      </c>
      <c r="AG346" s="5"/>
      <c r="AH346" s="5">
        <v>263.39003338914438</v>
      </c>
      <c r="AI346" s="5">
        <v>0</v>
      </c>
      <c r="AJ346" s="5"/>
      <c r="AK346" s="5">
        <v>60.899937560528173</v>
      </c>
      <c r="AL346" s="5">
        <v>0</v>
      </c>
      <c r="AM346" s="5"/>
      <c r="AN346" s="5">
        <v>153.14328774635891</v>
      </c>
      <c r="AO346" s="5">
        <v>0</v>
      </c>
      <c r="AP346" s="5"/>
      <c r="AQ346" s="5">
        <v>0</v>
      </c>
      <c r="AR346" s="5">
        <v>0</v>
      </c>
      <c r="AS346" s="5"/>
      <c r="AT346" s="5">
        <v>54.940154800294167</v>
      </c>
      <c r="AU346" s="5">
        <v>0</v>
      </c>
      <c r="AV346" s="5"/>
      <c r="AW346" s="5">
        <v>4.452</v>
      </c>
      <c r="AX346" s="5">
        <v>0</v>
      </c>
      <c r="AY346" s="5"/>
      <c r="AZ346" s="40">
        <v>802.08771186505749</v>
      </c>
      <c r="BA346" s="40">
        <v>0</v>
      </c>
      <c r="BB346" s="55">
        <v>-802.08771186505749</v>
      </c>
      <c r="BD346" s="2">
        <v>3</v>
      </c>
      <c r="BF346" s="325">
        <v>150000591</v>
      </c>
    </row>
    <row r="347" spans="1:58" ht="25.05" customHeight="1" x14ac:dyDescent="0.3">
      <c r="A347" s="325">
        <v>150000861</v>
      </c>
      <c r="B347" s="445" t="s">
        <v>233</v>
      </c>
      <c r="C347" s="27">
        <v>4</v>
      </c>
      <c r="D347" s="101" t="s">
        <v>455</v>
      </c>
      <c r="E347" s="279">
        <v>3401.3999999999996</v>
      </c>
      <c r="F347" s="441">
        <v>34935.444237618438</v>
      </c>
      <c r="G347" s="441">
        <v>71438</v>
      </c>
      <c r="H347" s="73">
        <v>36502.555762381562</v>
      </c>
      <c r="I347" s="5">
        <v>11.9</v>
      </c>
      <c r="J347" s="5">
        <v>11833</v>
      </c>
      <c r="K347" s="450"/>
      <c r="L347" s="5">
        <v>1</v>
      </c>
      <c r="M347" s="5">
        <v>57378</v>
      </c>
      <c r="N347" s="35"/>
      <c r="O347" s="5">
        <v>0</v>
      </c>
      <c r="P347" s="5">
        <v>0</v>
      </c>
      <c r="Q347" s="447"/>
      <c r="R347" s="5">
        <v>0</v>
      </c>
      <c r="S347" s="5">
        <v>0</v>
      </c>
      <c r="T347" s="448"/>
      <c r="U347" s="5">
        <v>0</v>
      </c>
      <c r="V347" s="5">
        <v>0</v>
      </c>
      <c r="W347" s="5">
        <v>0</v>
      </c>
      <c r="X347" s="5">
        <v>0</v>
      </c>
      <c r="Y347" s="5">
        <v>446</v>
      </c>
      <c r="Z347" s="5">
        <v>0</v>
      </c>
      <c r="AA347" s="5">
        <v>0</v>
      </c>
      <c r="AB347" s="5">
        <v>0</v>
      </c>
      <c r="AC347" s="5">
        <v>739</v>
      </c>
      <c r="AD347" s="5">
        <v>1042</v>
      </c>
      <c r="AE347" s="5">
        <v>2925.9851466610967</v>
      </c>
      <c r="AF347" s="5">
        <v>4774</v>
      </c>
      <c r="AG347" s="5"/>
      <c r="AH347" s="5">
        <v>3934.868098437797</v>
      </c>
      <c r="AI347" s="5">
        <v>0</v>
      </c>
      <c r="AJ347" s="5"/>
      <c r="AK347" s="5">
        <v>2058.4612030090466</v>
      </c>
      <c r="AL347" s="5">
        <v>0</v>
      </c>
      <c r="AM347" s="5"/>
      <c r="AN347" s="5">
        <v>0</v>
      </c>
      <c r="AO347" s="5">
        <v>0</v>
      </c>
      <c r="AP347" s="5"/>
      <c r="AQ347" s="5">
        <v>0</v>
      </c>
      <c r="AR347" s="5">
        <v>0</v>
      </c>
      <c r="AS347" s="5"/>
      <c r="AT347" s="5">
        <v>2764.3025285076665</v>
      </c>
      <c r="AU347" s="5">
        <v>4795</v>
      </c>
      <c r="AV347" s="5"/>
      <c r="AW347" s="5">
        <v>99.272999999999996</v>
      </c>
      <c r="AX347" s="5">
        <v>0</v>
      </c>
      <c r="AY347" s="5"/>
      <c r="AZ347" s="40">
        <v>11782.889976615605</v>
      </c>
      <c r="BA347" s="40">
        <v>9569</v>
      </c>
      <c r="BB347" s="55">
        <v>-2213.8899766156046</v>
      </c>
      <c r="BD347" s="2">
        <v>2</v>
      </c>
      <c r="BF347" s="325">
        <v>150000861</v>
      </c>
    </row>
    <row r="348" spans="1:58" ht="25.05" customHeight="1" x14ac:dyDescent="0.3">
      <c r="A348" s="325">
        <v>150000872</v>
      </c>
      <c r="B348" s="445" t="s">
        <v>234</v>
      </c>
      <c r="C348" s="27">
        <v>4</v>
      </c>
      <c r="D348" s="101" t="s">
        <v>455</v>
      </c>
      <c r="E348" s="279">
        <v>1210.4000000000001</v>
      </c>
      <c r="F348" s="441">
        <v>11196.690530895727</v>
      </c>
      <c r="G348" s="441">
        <v>10165.1</v>
      </c>
      <c r="H348" s="73">
        <v>-1031.5905308957263</v>
      </c>
      <c r="I348" s="5">
        <v>16</v>
      </c>
      <c r="J348" s="5">
        <v>5732.1</v>
      </c>
      <c r="K348" s="446"/>
      <c r="L348" s="5">
        <v>0</v>
      </c>
      <c r="M348" s="5">
        <v>0</v>
      </c>
      <c r="N348" s="35"/>
      <c r="O348" s="5">
        <v>0</v>
      </c>
      <c r="P348" s="5">
        <v>0</v>
      </c>
      <c r="Q348" s="447"/>
      <c r="R348" s="5">
        <v>0</v>
      </c>
      <c r="S348" s="5">
        <v>0</v>
      </c>
      <c r="T348" s="448"/>
      <c r="U348" s="5">
        <v>0</v>
      </c>
      <c r="V348" s="5">
        <v>0</v>
      </c>
      <c r="W348" s="5">
        <v>0</v>
      </c>
      <c r="X348" s="5">
        <v>0</v>
      </c>
      <c r="Y348" s="5">
        <v>446</v>
      </c>
      <c r="Z348" s="5">
        <v>0</v>
      </c>
      <c r="AA348" s="5">
        <v>0</v>
      </c>
      <c r="AB348" s="5">
        <v>0</v>
      </c>
      <c r="AC348" s="5">
        <v>3694</v>
      </c>
      <c r="AD348" s="5">
        <v>293</v>
      </c>
      <c r="AE348" s="5">
        <v>1963.2944576299535</v>
      </c>
      <c r="AF348" s="5">
        <v>0</v>
      </c>
      <c r="AG348" s="5"/>
      <c r="AH348" s="5">
        <v>3011.5048140898266</v>
      </c>
      <c r="AI348" s="5">
        <v>0</v>
      </c>
      <c r="AJ348" s="5"/>
      <c r="AK348" s="5">
        <v>857.13852558036865</v>
      </c>
      <c r="AL348" s="5">
        <v>0</v>
      </c>
      <c r="AM348" s="5"/>
      <c r="AN348" s="5">
        <v>702.39622538647632</v>
      </c>
      <c r="AO348" s="5">
        <v>0</v>
      </c>
      <c r="AP348" s="5"/>
      <c r="AQ348" s="5">
        <v>0</v>
      </c>
      <c r="AR348" s="5">
        <v>0</v>
      </c>
      <c r="AS348" s="5"/>
      <c r="AT348" s="5">
        <v>484.0590368508586</v>
      </c>
      <c r="AU348" s="5">
        <v>709</v>
      </c>
      <c r="AV348" s="5"/>
      <c r="AW348" s="5">
        <v>36.281700000000001</v>
      </c>
      <c r="AX348" s="5">
        <v>0</v>
      </c>
      <c r="AY348" s="5"/>
      <c r="AZ348" s="40">
        <v>7054.6747595374836</v>
      </c>
      <c r="BA348" s="40">
        <v>709</v>
      </c>
      <c r="BB348" s="55">
        <v>-6345.6747595374836</v>
      </c>
      <c r="BD348" s="2">
        <v>2</v>
      </c>
      <c r="BF348" s="325">
        <v>150000872</v>
      </c>
    </row>
    <row r="349" spans="1:58" ht="25.05" customHeight="1" x14ac:dyDescent="0.3">
      <c r="A349" s="325">
        <v>150000862</v>
      </c>
      <c r="B349" s="445" t="s">
        <v>235</v>
      </c>
      <c r="C349" s="27">
        <v>4</v>
      </c>
      <c r="D349" s="101" t="s">
        <v>455</v>
      </c>
      <c r="E349" s="279">
        <v>4486.1000000000004</v>
      </c>
      <c r="F349" s="441">
        <v>38540.223184552524</v>
      </c>
      <c r="G349" s="441">
        <v>4929.2915299551632</v>
      </c>
      <c r="H349" s="73">
        <v>-33610.931654597363</v>
      </c>
      <c r="I349" s="5">
        <v>5</v>
      </c>
      <c r="J349" s="5">
        <v>1228</v>
      </c>
      <c r="K349" s="446"/>
      <c r="L349" s="5">
        <v>0</v>
      </c>
      <c r="M349" s="5">
        <v>0</v>
      </c>
      <c r="N349" s="35"/>
      <c r="O349" s="5">
        <v>0</v>
      </c>
      <c r="P349" s="5">
        <v>0</v>
      </c>
      <c r="Q349" s="447"/>
      <c r="R349" s="5">
        <v>0</v>
      </c>
      <c r="S349" s="5">
        <v>0</v>
      </c>
      <c r="T349" s="448"/>
      <c r="U349" s="5">
        <v>0</v>
      </c>
      <c r="V349" s="5">
        <v>0</v>
      </c>
      <c r="W349" s="5">
        <v>0</v>
      </c>
      <c r="X349" s="5">
        <v>400.29152995516353</v>
      </c>
      <c r="Y349" s="5">
        <v>1371</v>
      </c>
      <c r="Z349" s="5">
        <v>0</v>
      </c>
      <c r="AA349" s="5">
        <v>0</v>
      </c>
      <c r="AB349" s="5">
        <v>0</v>
      </c>
      <c r="AC349" s="5">
        <v>0</v>
      </c>
      <c r="AD349" s="5">
        <v>1930</v>
      </c>
      <c r="AE349" s="5">
        <v>3443.1019060087447</v>
      </c>
      <c r="AF349" s="5">
        <v>289</v>
      </c>
      <c r="AG349" s="454"/>
      <c r="AH349" s="5">
        <v>4616.8155917799877</v>
      </c>
      <c r="AI349" s="5">
        <v>1887</v>
      </c>
      <c r="AJ349" s="5"/>
      <c r="AK349" s="5">
        <v>2263.9035489179269</v>
      </c>
      <c r="AL349" s="5">
        <v>0</v>
      </c>
      <c r="AM349" s="5"/>
      <c r="AN349" s="5">
        <v>0</v>
      </c>
      <c r="AO349" s="5">
        <v>0</v>
      </c>
      <c r="AP349" s="5"/>
      <c r="AQ349" s="5">
        <v>0</v>
      </c>
      <c r="AR349" s="5">
        <v>0</v>
      </c>
      <c r="AS349" s="5"/>
      <c r="AT349" s="5">
        <v>2044.0695084005874</v>
      </c>
      <c r="AU349" s="5">
        <v>7177</v>
      </c>
      <c r="AV349" s="5"/>
      <c r="AW349" s="5">
        <v>130.53300000000002</v>
      </c>
      <c r="AX349" s="5">
        <v>0</v>
      </c>
      <c r="AY349" s="5"/>
      <c r="AZ349" s="40">
        <v>12498.423555107247</v>
      </c>
      <c r="BA349" s="40">
        <v>9353</v>
      </c>
      <c r="BB349" s="55">
        <v>-3145.423555107247</v>
      </c>
      <c r="BD349" s="2">
        <v>2</v>
      </c>
      <c r="BF349" s="325">
        <v>150000862</v>
      </c>
    </row>
    <row r="350" spans="1:58" ht="25.05" customHeight="1" x14ac:dyDescent="0.3">
      <c r="A350" s="325">
        <v>150000863</v>
      </c>
      <c r="B350" s="445" t="s">
        <v>236</v>
      </c>
      <c r="C350" s="27">
        <v>4</v>
      </c>
      <c r="D350" s="101" t="s">
        <v>455</v>
      </c>
      <c r="E350" s="279">
        <v>3322.9</v>
      </c>
      <c r="F350" s="441">
        <v>35034.507632695269</v>
      </c>
      <c r="G350" s="441">
        <v>23300.502372813007</v>
      </c>
      <c r="H350" s="73">
        <v>-11734.005259882262</v>
      </c>
      <c r="I350" s="5">
        <v>0</v>
      </c>
      <c r="J350" s="5">
        <v>8313</v>
      </c>
      <c r="K350" s="446"/>
      <c r="L350" s="5">
        <v>0</v>
      </c>
      <c r="M350" s="5">
        <v>0</v>
      </c>
      <c r="N350" s="35"/>
      <c r="O350" s="5">
        <v>0</v>
      </c>
      <c r="P350" s="5">
        <v>0</v>
      </c>
      <c r="Q350" s="447"/>
      <c r="R350" s="5">
        <v>0</v>
      </c>
      <c r="S350" s="5">
        <v>0</v>
      </c>
      <c r="T350" s="448"/>
      <c r="U350" s="5">
        <v>0</v>
      </c>
      <c r="V350" s="5">
        <v>0</v>
      </c>
      <c r="W350" s="5">
        <v>0</v>
      </c>
      <c r="X350" s="5">
        <v>232.8823728130107</v>
      </c>
      <c r="Y350" s="5">
        <v>12732</v>
      </c>
      <c r="Z350" s="5">
        <v>0</v>
      </c>
      <c r="AA350" s="5">
        <v>0</v>
      </c>
      <c r="AB350" s="5">
        <v>1167.6199999999999</v>
      </c>
      <c r="AC350" s="5">
        <v>0</v>
      </c>
      <c r="AD350" s="5">
        <v>855</v>
      </c>
      <c r="AE350" s="5">
        <v>2696.6176201892167</v>
      </c>
      <c r="AF350" s="5">
        <v>67</v>
      </c>
      <c r="AG350" s="8"/>
      <c r="AH350" s="5">
        <v>3702.8883837259486</v>
      </c>
      <c r="AI350" s="5">
        <v>33</v>
      </c>
      <c r="AJ350" s="5"/>
      <c r="AK350" s="5">
        <v>2119.922685147495</v>
      </c>
      <c r="AL350" s="5">
        <v>0</v>
      </c>
      <c r="AM350" s="5"/>
      <c r="AN350" s="5">
        <v>2000.1361910394144</v>
      </c>
      <c r="AO350" s="5">
        <v>0</v>
      </c>
      <c r="AP350" s="5"/>
      <c r="AQ350" s="5">
        <v>0</v>
      </c>
      <c r="AR350" s="5">
        <v>0</v>
      </c>
      <c r="AS350" s="5"/>
      <c r="AT350" s="5">
        <v>2432.0198471408094</v>
      </c>
      <c r="AU350" s="5">
        <v>727</v>
      </c>
      <c r="AV350" s="5"/>
      <c r="AW350" s="5">
        <v>96.142499999999998</v>
      </c>
      <c r="AX350" s="5">
        <v>0</v>
      </c>
      <c r="AY350" s="5"/>
      <c r="AZ350" s="40">
        <v>13047.727227242885</v>
      </c>
      <c r="BA350" s="40">
        <v>827</v>
      </c>
      <c r="BB350" s="55">
        <v>-12220.727227242885</v>
      </c>
      <c r="BD350" s="2">
        <v>2</v>
      </c>
      <c r="BF350" s="325">
        <v>150000863</v>
      </c>
    </row>
    <row r="351" spans="1:58" ht="25.05" customHeight="1" x14ac:dyDescent="0.3">
      <c r="A351" s="325">
        <v>150000864</v>
      </c>
      <c r="B351" s="445" t="s">
        <v>201</v>
      </c>
      <c r="C351" s="27">
        <v>3</v>
      </c>
      <c r="D351" s="101" t="s">
        <v>455</v>
      </c>
      <c r="E351" s="279">
        <v>3973.0600000000004</v>
      </c>
      <c r="F351" s="441">
        <v>39348.121488228753</v>
      </c>
      <c r="G351" s="441">
        <v>80578.757511037184</v>
      </c>
      <c r="H351" s="73">
        <v>41230.63602280843</v>
      </c>
      <c r="I351" s="5">
        <v>0</v>
      </c>
      <c r="J351" s="5">
        <v>1428</v>
      </c>
      <c r="K351" s="446"/>
      <c r="L351" s="5">
        <v>1</v>
      </c>
      <c r="M351" s="5">
        <v>51351</v>
      </c>
      <c r="N351" s="35"/>
      <c r="O351" s="5">
        <v>0</v>
      </c>
      <c r="P351" s="5">
        <v>0</v>
      </c>
      <c r="Q351" s="447"/>
      <c r="R351" s="5">
        <v>0</v>
      </c>
      <c r="S351" s="5">
        <v>0</v>
      </c>
      <c r="T351" s="448"/>
      <c r="U351" s="5">
        <v>0</v>
      </c>
      <c r="V351" s="5">
        <v>0</v>
      </c>
      <c r="W351" s="5">
        <v>0</v>
      </c>
      <c r="X351" s="5">
        <v>20189.587511037178</v>
      </c>
      <c r="Y351" s="5">
        <v>1219</v>
      </c>
      <c r="Z351" s="5">
        <v>0</v>
      </c>
      <c r="AA351" s="5">
        <v>0</v>
      </c>
      <c r="AB351" s="5">
        <v>2050.17</v>
      </c>
      <c r="AC351" s="5">
        <v>1464</v>
      </c>
      <c r="AD351" s="5">
        <v>2877</v>
      </c>
      <c r="AE351" s="5">
        <v>2490.621241599677</v>
      </c>
      <c r="AF351" s="5">
        <v>0</v>
      </c>
      <c r="AG351" s="5"/>
      <c r="AH351" s="5">
        <v>3218.061798078098</v>
      </c>
      <c r="AI351" s="5">
        <v>0</v>
      </c>
      <c r="AJ351" s="5"/>
      <c r="AK351" s="5">
        <v>2776.6744124025277</v>
      </c>
      <c r="AL351" s="5">
        <v>0</v>
      </c>
      <c r="AM351" s="5"/>
      <c r="AN351" s="5">
        <v>0</v>
      </c>
      <c r="AO351" s="5">
        <v>0</v>
      </c>
      <c r="AP351" s="5"/>
      <c r="AQ351" s="5">
        <v>0</v>
      </c>
      <c r="AR351" s="5">
        <v>0</v>
      </c>
      <c r="AS351" s="5"/>
      <c r="AT351" s="5">
        <v>3411.8387162089507</v>
      </c>
      <c r="AU351" s="5">
        <v>354</v>
      </c>
      <c r="AV351" s="5"/>
      <c r="AW351" s="5">
        <v>117.2298</v>
      </c>
      <c r="AX351" s="5">
        <v>0</v>
      </c>
      <c r="AY351" s="5"/>
      <c r="AZ351" s="40">
        <v>12014.425968289253</v>
      </c>
      <c r="BA351" s="40">
        <v>354</v>
      </c>
      <c r="BB351" s="55">
        <v>-11660.425968289253</v>
      </c>
      <c r="BD351" s="2">
        <v>2</v>
      </c>
      <c r="BF351" s="325">
        <v>150000864</v>
      </c>
    </row>
    <row r="352" spans="1:58" ht="25.05" customHeight="1" x14ac:dyDescent="0.3">
      <c r="A352" s="325">
        <v>150000865</v>
      </c>
      <c r="B352" s="445" t="s">
        <v>306</v>
      </c>
      <c r="C352" s="27">
        <v>5</v>
      </c>
      <c r="D352" s="101" t="s">
        <v>455</v>
      </c>
      <c r="E352" s="279">
        <v>9098.1</v>
      </c>
      <c r="F352" s="441">
        <v>91658.692210231209</v>
      </c>
      <c r="G352" s="441">
        <v>89498.81</v>
      </c>
      <c r="H352" s="73">
        <v>-2159.8822102312115</v>
      </c>
      <c r="I352" s="5">
        <v>0</v>
      </c>
      <c r="J352" s="5">
        <v>4889</v>
      </c>
      <c r="K352" s="446"/>
      <c r="L352" s="5">
        <v>1</v>
      </c>
      <c r="M352" s="5">
        <v>68966.55</v>
      </c>
      <c r="N352" s="35"/>
      <c r="O352" s="5">
        <v>0</v>
      </c>
      <c r="P352" s="5">
        <v>0</v>
      </c>
      <c r="Q352" s="447"/>
      <c r="R352" s="5">
        <v>0</v>
      </c>
      <c r="S352" s="5">
        <v>0</v>
      </c>
      <c r="T352" s="448"/>
      <c r="U352" s="5">
        <v>0</v>
      </c>
      <c r="V352" s="5">
        <v>0</v>
      </c>
      <c r="W352" s="5">
        <v>18</v>
      </c>
      <c r="X352" s="5">
        <v>7495.26</v>
      </c>
      <c r="Y352" s="5">
        <v>4051</v>
      </c>
      <c r="Z352" s="5">
        <v>0</v>
      </c>
      <c r="AA352" s="5">
        <v>0</v>
      </c>
      <c r="AB352" s="5">
        <v>0</v>
      </c>
      <c r="AC352" s="5">
        <v>1320</v>
      </c>
      <c r="AD352" s="5">
        <v>2777</v>
      </c>
      <c r="AE352" s="5">
        <v>6169.9515318800914</v>
      </c>
      <c r="AF352" s="5">
        <v>848</v>
      </c>
      <c r="AG352" s="8"/>
      <c r="AH352" s="5">
        <v>9221.0927408172502</v>
      </c>
      <c r="AI352" s="5">
        <v>1410</v>
      </c>
      <c r="AJ352" s="5"/>
      <c r="AK352" s="5">
        <v>5691.8903908889752</v>
      </c>
      <c r="AL352" s="5">
        <v>0</v>
      </c>
      <c r="AM352" s="5"/>
      <c r="AN352" s="5">
        <v>0</v>
      </c>
      <c r="AO352" s="5">
        <v>0</v>
      </c>
      <c r="AP352" s="5"/>
      <c r="AQ352" s="5">
        <v>0</v>
      </c>
      <c r="AR352" s="5">
        <v>0</v>
      </c>
      <c r="AS352" s="5"/>
      <c r="AT352" s="5">
        <v>7909.8115415584243</v>
      </c>
      <c r="AU352" s="5">
        <v>0</v>
      </c>
      <c r="AV352" s="5"/>
      <c r="AW352" s="5">
        <v>275.11320000000001</v>
      </c>
      <c r="AX352" s="5">
        <v>1264</v>
      </c>
      <c r="AY352" s="5"/>
      <c r="AZ352" s="40">
        <v>29267.859405144744</v>
      </c>
      <c r="BA352" s="40">
        <v>3522</v>
      </c>
      <c r="BB352" s="55">
        <v>-25745.859405144744</v>
      </c>
      <c r="BD352" s="2">
        <v>2</v>
      </c>
      <c r="BF352" s="325">
        <v>150000865</v>
      </c>
    </row>
    <row r="353" spans="1:58" ht="25.05" customHeight="1" x14ac:dyDescent="0.3">
      <c r="A353" s="325">
        <v>150000873</v>
      </c>
      <c r="B353" s="445" t="s">
        <v>307</v>
      </c>
      <c r="C353" s="27">
        <v>5</v>
      </c>
      <c r="D353" s="101" t="s">
        <v>455</v>
      </c>
      <c r="E353" s="279">
        <v>2609.46</v>
      </c>
      <c r="F353" s="441">
        <v>24372.867129905433</v>
      </c>
      <c r="G353" s="441">
        <v>4576</v>
      </c>
      <c r="H353" s="73">
        <v>-19796.867129905433</v>
      </c>
      <c r="I353" s="5">
        <v>0</v>
      </c>
      <c r="J353" s="5">
        <v>0</v>
      </c>
      <c r="K353" s="446"/>
      <c r="L353" s="5">
        <v>0</v>
      </c>
      <c r="M353" s="5">
        <v>1585</v>
      </c>
      <c r="N353" s="35"/>
      <c r="O353" s="5">
        <v>0</v>
      </c>
      <c r="P353" s="5">
        <v>0</v>
      </c>
      <c r="Q353" s="447"/>
      <c r="R353" s="5">
        <v>0</v>
      </c>
      <c r="S353" s="5">
        <v>0</v>
      </c>
      <c r="T353" s="448"/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2991</v>
      </c>
      <c r="AE353" s="5">
        <v>1955.6257242260303</v>
      </c>
      <c r="AF353" s="5">
        <v>0</v>
      </c>
      <c r="AG353" s="5"/>
      <c r="AH353" s="5">
        <v>2782.6919543005465</v>
      </c>
      <c r="AI353" s="5">
        <v>0</v>
      </c>
      <c r="AJ353" s="5"/>
      <c r="AK353" s="5">
        <v>1652.9246084350018</v>
      </c>
      <c r="AL353" s="5">
        <v>0</v>
      </c>
      <c r="AM353" s="5"/>
      <c r="AN353" s="5">
        <v>0</v>
      </c>
      <c r="AO353" s="5">
        <v>0</v>
      </c>
      <c r="AP353" s="5"/>
      <c r="AQ353" s="5">
        <v>0</v>
      </c>
      <c r="AR353" s="5">
        <v>0</v>
      </c>
      <c r="AS353" s="5"/>
      <c r="AT353" s="5">
        <v>1065.8192709932675</v>
      </c>
      <c r="AU353" s="5">
        <v>0</v>
      </c>
      <c r="AV353" s="5"/>
      <c r="AW353" s="5">
        <v>78.283799999999999</v>
      </c>
      <c r="AX353" s="5">
        <v>0</v>
      </c>
      <c r="AY353" s="5"/>
      <c r="AZ353" s="40">
        <v>7535.3453579548459</v>
      </c>
      <c r="BA353" s="40">
        <v>0</v>
      </c>
      <c r="BB353" s="55">
        <v>-7535.3453579548459</v>
      </c>
      <c r="BD353" s="2">
        <v>2</v>
      </c>
      <c r="BF353" s="325">
        <v>150000873</v>
      </c>
    </row>
    <row r="354" spans="1:58" ht="25.05" customHeight="1" x14ac:dyDescent="0.3">
      <c r="A354" s="325">
        <v>150000874</v>
      </c>
      <c r="B354" s="445" t="s">
        <v>308</v>
      </c>
      <c r="C354" s="27">
        <v>5</v>
      </c>
      <c r="D354" s="101" t="s">
        <v>455</v>
      </c>
      <c r="E354" s="279">
        <v>2619.3000000000002</v>
      </c>
      <c r="F354" s="441">
        <v>25543.376560198169</v>
      </c>
      <c r="G354" s="441">
        <v>37007.700000000004</v>
      </c>
      <c r="H354" s="73">
        <v>11464.323439801836</v>
      </c>
      <c r="I354" s="5">
        <v>120</v>
      </c>
      <c r="J354" s="5">
        <v>25653.79</v>
      </c>
      <c r="K354" s="446"/>
      <c r="L354" s="5">
        <v>0</v>
      </c>
      <c r="M354" s="5">
        <v>1611.49</v>
      </c>
      <c r="N354" s="35"/>
      <c r="O354" s="5">
        <v>0</v>
      </c>
      <c r="P354" s="5">
        <v>0</v>
      </c>
      <c r="Q354" s="447"/>
      <c r="R354" s="5">
        <v>0</v>
      </c>
      <c r="S354" s="5">
        <v>0</v>
      </c>
      <c r="T354" s="448"/>
      <c r="U354" s="5">
        <v>0</v>
      </c>
      <c r="V354" s="5">
        <v>0</v>
      </c>
      <c r="W354" s="5">
        <v>0</v>
      </c>
      <c r="X354" s="5">
        <v>0</v>
      </c>
      <c r="Y354" s="5">
        <v>8701.42</v>
      </c>
      <c r="Z354" s="5">
        <v>0</v>
      </c>
      <c r="AA354" s="5">
        <v>0</v>
      </c>
      <c r="AB354" s="5">
        <v>0</v>
      </c>
      <c r="AC354" s="5">
        <v>0</v>
      </c>
      <c r="AD354" s="5">
        <v>1041</v>
      </c>
      <c r="AE354" s="5">
        <v>1891.2615801105135</v>
      </c>
      <c r="AF354" s="5">
        <v>457</v>
      </c>
      <c r="AG354" s="5"/>
      <c r="AH354" s="5">
        <v>2782.6919543005465</v>
      </c>
      <c r="AI354" s="5">
        <v>306</v>
      </c>
      <c r="AJ354" s="5"/>
      <c r="AK354" s="5">
        <v>1479.8298140192912</v>
      </c>
      <c r="AL354" s="5">
        <v>0</v>
      </c>
      <c r="AM354" s="5"/>
      <c r="AN354" s="5">
        <v>1304.4835241725541</v>
      </c>
      <c r="AO354" s="5">
        <v>0</v>
      </c>
      <c r="AP354" s="5"/>
      <c r="AQ354" s="5">
        <v>832.23664965675107</v>
      </c>
      <c r="AR354" s="5">
        <v>4431</v>
      </c>
      <c r="AS354" s="5"/>
      <c r="AT354" s="5">
        <v>1065.8193474966333</v>
      </c>
      <c r="AU354" s="5">
        <v>0</v>
      </c>
      <c r="AV354" s="5"/>
      <c r="AW354" s="5">
        <v>68.373000000000005</v>
      </c>
      <c r="AX354" s="5">
        <v>0</v>
      </c>
      <c r="AY354" s="5"/>
      <c r="AZ354" s="40">
        <v>9424.6958697562895</v>
      </c>
      <c r="BA354" s="40">
        <v>5194</v>
      </c>
      <c r="BB354" s="55">
        <v>-4230.6958697562895</v>
      </c>
      <c r="BD354" s="2">
        <v>2</v>
      </c>
      <c r="BF354" s="325">
        <v>150000874</v>
      </c>
    </row>
    <row r="355" spans="1:58" ht="25.05" customHeight="1" x14ac:dyDescent="0.3">
      <c r="A355" s="325">
        <v>150000866</v>
      </c>
      <c r="B355" s="445" t="s">
        <v>309</v>
      </c>
      <c r="C355" s="27">
        <v>5</v>
      </c>
      <c r="D355" s="101" t="s">
        <v>455</v>
      </c>
      <c r="E355" s="279">
        <v>5026.5</v>
      </c>
      <c r="F355" s="441">
        <v>48136.850569390503</v>
      </c>
      <c r="G355" s="441">
        <v>62897.999999999993</v>
      </c>
      <c r="H355" s="73">
        <v>14761.14943060949</v>
      </c>
      <c r="I355" s="5">
        <v>0</v>
      </c>
      <c r="J355" s="5">
        <v>2678</v>
      </c>
      <c r="K355" s="446"/>
      <c r="L355" s="5">
        <v>1</v>
      </c>
      <c r="M355" s="5">
        <v>37666</v>
      </c>
      <c r="N355" s="449"/>
      <c r="O355" s="5">
        <v>0</v>
      </c>
      <c r="P355" s="5">
        <v>0</v>
      </c>
      <c r="Q355" s="447"/>
      <c r="R355" s="5">
        <v>0</v>
      </c>
      <c r="S355" s="5">
        <v>0</v>
      </c>
      <c r="T355" s="448"/>
      <c r="U355" s="5">
        <v>0</v>
      </c>
      <c r="V355" s="5">
        <v>0</v>
      </c>
      <c r="W355" s="5">
        <v>0</v>
      </c>
      <c r="X355" s="5">
        <v>0</v>
      </c>
      <c r="Y355" s="5">
        <v>9438.59</v>
      </c>
      <c r="Z355" s="5">
        <v>0</v>
      </c>
      <c r="AA355" s="5">
        <v>0</v>
      </c>
      <c r="AB355" s="5">
        <v>2852.99</v>
      </c>
      <c r="AC355" s="5">
        <v>8259</v>
      </c>
      <c r="AD355" s="5">
        <v>2003.42</v>
      </c>
      <c r="AE355" s="5">
        <v>4248.5261644588008</v>
      </c>
      <c r="AF355" s="5">
        <v>2398.5299999999997</v>
      </c>
      <c r="AG355" s="5"/>
      <c r="AH355" s="5">
        <v>5517.9859236250095</v>
      </c>
      <c r="AI355" s="5">
        <v>2267</v>
      </c>
      <c r="AJ355" s="5"/>
      <c r="AK355" s="5">
        <v>2676.3703063152134</v>
      </c>
      <c r="AL355" s="5">
        <v>0</v>
      </c>
      <c r="AM355" s="5"/>
      <c r="AN355" s="5">
        <v>0</v>
      </c>
      <c r="AO355" s="5">
        <v>0</v>
      </c>
      <c r="AP355" s="5"/>
      <c r="AQ355" s="5">
        <v>0</v>
      </c>
      <c r="AR355" s="5">
        <v>0</v>
      </c>
      <c r="AS355" s="5"/>
      <c r="AT355" s="5">
        <v>3191.9513317839378</v>
      </c>
      <c r="AU355" s="5">
        <v>1014</v>
      </c>
      <c r="AV355" s="5"/>
      <c r="AW355" s="5">
        <v>1320.1372262336761</v>
      </c>
      <c r="AX355" s="5">
        <v>0</v>
      </c>
      <c r="AY355" s="5"/>
      <c r="AZ355" s="40">
        <v>16954.970952416639</v>
      </c>
      <c r="BA355" s="40">
        <v>5679.53</v>
      </c>
      <c r="BB355" s="55">
        <v>-11275.44095241664</v>
      </c>
      <c r="BD355" s="2">
        <v>1</v>
      </c>
      <c r="BF355" s="325">
        <v>150000866</v>
      </c>
    </row>
    <row r="356" spans="1:58" ht="25.05" customHeight="1" x14ac:dyDescent="0.3">
      <c r="A356" s="325">
        <v>150000867</v>
      </c>
      <c r="B356" s="445" t="s">
        <v>310</v>
      </c>
      <c r="C356" s="27">
        <v>5</v>
      </c>
      <c r="D356" s="101" t="s">
        <v>455</v>
      </c>
      <c r="E356" s="279">
        <v>2840.51</v>
      </c>
      <c r="F356" s="441">
        <v>20368.823255272335</v>
      </c>
      <c r="G356" s="441">
        <v>3825</v>
      </c>
      <c r="H356" s="73">
        <v>-16543.823255272335</v>
      </c>
      <c r="I356" s="5">
        <v>0</v>
      </c>
      <c r="J356" s="5">
        <v>1645</v>
      </c>
      <c r="K356" s="446"/>
      <c r="L356" s="5">
        <v>0</v>
      </c>
      <c r="M356" s="5">
        <v>0</v>
      </c>
      <c r="N356" s="35"/>
      <c r="O356" s="5">
        <v>0</v>
      </c>
      <c r="P356" s="5">
        <v>0</v>
      </c>
      <c r="Q356" s="447"/>
      <c r="R356" s="5">
        <v>0</v>
      </c>
      <c r="S356" s="5">
        <v>0</v>
      </c>
      <c r="T356" s="448"/>
      <c r="U356" s="5">
        <v>0</v>
      </c>
      <c r="V356" s="5">
        <v>0</v>
      </c>
      <c r="W356" s="5">
        <v>0</v>
      </c>
      <c r="X356" s="5">
        <v>0</v>
      </c>
      <c r="Y356" s="5">
        <v>777</v>
      </c>
      <c r="Z356" s="5">
        <v>0</v>
      </c>
      <c r="AA356" s="5">
        <v>0</v>
      </c>
      <c r="AB356" s="5">
        <v>0</v>
      </c>
      <c r="AC356" s="5">
        <v>842</v>
      </c>
      <c r="AD356" s="5">
        <v>561</v>
      </c>
      <c r="AE356" s="5">
        <v>2051.559683487822</v>
      </c>
      <c r="AF356" s="5">
        <v>1094</v>
      </c>
      <c r="AG356" s="5"/>
      <c r="AH356" s="5">
        <v>2830.3072699191343</v>
      </c>
      <c r="AI356" s="5">
        <v>1847</v>
      </c>
      <c r="AJ356" s="5"/>
      <c r="AK356" s="5">
        <v>1569.4605635040539</v>
      </c>
      <c r="AL356" s="5">
        <v>0</v>
      </c>
      <c r="AM356" s="5"/>
      <c r="AN356" s="5">
        <v>0</v>
      </c>
      <c r="AO356" s="5">
        <v>0</v>
      </c>
      <c r="AP356" s="5"/>
      <c r="AQ356" s="5">
        <v>0</v>
      </c>
      <c r="AR356" s="5">
        <v>0</v>
      </c>
      <c r="AS356" s="5"/>
      <c r="AT356" s="5">
        <v>1123.3268802252414</v>
      </c>
      <c r="AU356" s="5">
        <v>0</v>
      </c>
      <c r="AV356" s="5"/>
      <c r="AW356" s="5">
        <v>662.85235665589528</v>
      </c>
      <c r="AX356" s="5">
        <v>0</v>
      </c>
      <c r="AY356" s="5"/>
      <c r="AZ356" s="40">
        <v>8237.5067537921459</v>
      </c>
      <c r="BA356" s="40">
        <v>2941</v>
      </c>
      <c r="BB356" s="55">
        <v>-5296.5067537921459</v>
      </c>
      <c r="BD356" s="2">
        <v>1</v>
      </c>
      <c r="BF356" s="325">
        <v>150000867</v>
      </c>
    </row>
    <row r="357" spans="1:58" ht="25.05" customHeight="1" x14ac:dyDescent="0.3">
      <c r="A357" s="325">
        <v>150000868</v>
      </c>
      <c r="B357" s="445" t="s">
        <v>311</v>
      </c>
      <c r="C357" s="27">
        <v>5</v>
      </c>
      <c r="D357" s="101" t="s">
        <v>455</v>
      </c>
      <c r="E357" s="279">
        <v>3295.38</v>
      </c>
      <c r="F357" s="441">
        <v>25716.87580140787</v>
      </c>
      <c r="G357" s="441">
        <v>7154.0832024672854</v>
      </c>
      <c r="H357" s="73">
        <v>-18562.792598940585</v>
      </c>
      <c r="I357" s="5">
        <v>0</v>
      </c>
      <c r="J357" s="5">
        <v>1352</v>
      </c>
      <c r="K357" s="446"/>
      <c r="L357" s="5">
        <v>0</v>
      </c>
      <c r="M357" s="5">
        <v>321</v>
      </c>
      <c r="N357" s="35"/>
      <c r="O357" s="5">
        <v>0</v>
      </c>
      <c r="P357" s="5">
        <v>0</v>
      </c>
      <c r="Q357" s="447"/>
      <c r="R357" s="5">
        <v>0</v>
      </c>
      <c r="S357" s="5">
        <v>0</v>
      </c>
      <c r="T357" s="448"/>
      <c r="U357" s="5">
        <v>0</v>
      </c>
      <c r="V357" s="5">
        <v>0</v>
      </c>
      <c r="W357" s="5">
        <v>0</v>
      </c>
      <c r="X357" s="5">
        <v>608.8032024672849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4872.2800000000007</v>
      </c>
      <c r="AE357" s="5">
        <v>2580.0335372470458</v>
      </c>
      <c r="AF357" s="5">
        <v>0</v>
      </c>
      <c r="AG357" s="5"/>
      <c r="AH357" s="5">
        <v>3694.6232378037953</v>
      </c>
      <c r="AI357" s="5">
        <v>0</v>
      </c>
      <c r="AJ357" s="454"/>
      <c r="AK357" s="5">
        <v>1644.0113491436759</v>
      </c>
      <c r="AL357" s="5">
        <v>0</v>
      </c>
      <c r="AM357" s="5"/>
      <c r="AN357" s="5">
        <v>0</v>
      </c>
      <c r="AO357" s="5">
        <v>0</v>
      </c>
      <c r="AP357" s="5"/>
      <c r="AQ357" s="5">
        <v>0</v>
      </c>
      <c r="AR357" s="5">
        <v>0</v>
      </c>
      <c r="AS357" s="5"/>
      <c r="AT357" s="5">
        <v>1657.4568854499857</v>
      </c>
      <c r="AU357" s="5">
        <v>597</v>
      </c>
      <c r="AV357" s="463"/>
      <c r="AW357" s="5">
        <v>594.61050531304147</v>
      </c>
      <c r="AX357" s="5">
        <v>0</v>
      </c>
      <c r="AY357" s="5"/>
      <c r="AZ357" s="40">
        <v>10170.735514957545</v>
      </c>
      <c r="BA357" s="40">
        <v>597</v>
      </c>
      <c r="BB357" s="55">
        <v>-9573.7355149575451</v>
      </c>
      <c r="BD357" s="2">
        <v>1</v>
      </c>
      <c r="BF357" s="325">
        <v>150000868</v>
      </c>
    </row>
    <row r="358" spans="1:58" ht="25.05" customHeight="1" x14ac:dyDescent="0.3">
      <c r="A358" s="325">
        <v>150000869</v>
      </c>
      <c r="B358" s="445" t="s">
        <v>312</v>
      </c>
      <c r="C358" s="27">
        <v>5</v>
      </c>
      <c r="D358" s="101" t="s">
        <v>455</v>
      </c>
      <c r="E358" s="279">
        <v>5761.1900000000005</v>
      </c>
      <c r="F358" s="441">
        <v>71732.432319733911</v>
      </c>
      <c r="G358" s="441">
        <v>16191.13</v>
      </c>
      <c r="H358" s="73">
        <v>-55541.302319733913</v>
      </c>
      <c r="I358" s="5">
        <v>12.9</v>
      </c>
      <c r="J358" s="5">
        <v>3432.03</v>
      </c>
      <c r="K358" s="446"/>
      <c r="L358" s="5">
        <v>0</v>
      </c>
      <c r="M358" s="5">
        <v>0</v>
      </c>
      <c r="N358" s="458"/>
      <c r="O358" s="5">
        <v>0</v>
      </c>
      <c r="P358" s="5">
        <v>0</v>
      </c>
      <c r="Q358" s="447"/>
      <c r="R358" s="5">
        <v>0</v>
      </c>
      <c r="S358" s="5">
        <v>0</v>
      </c>
      <c r="T358" s="448"/>
      <c r="U358" s="5">
        <v>0</v>
      </c>
      <c r="V358" s="5">
        <v>0</v>
      </c>
      <c r="W358" s="5">
        <v>4</v>
      </c>
      <c r="X358" s="5">
        <v>583.36</v>
      </c>
      <c r="Y358" s="5">
        <v>4534.25</v>
      </c>
      <c r="Z358" s="5">
        <v>0</v>
      </c>
      <c r="AA358" s="5">
        <v>0</v>
      </c>
      <c r="AB358" s="5">
        <v>2610.1799999999998</v>
      </c>
      <c r="AC358" s="5">
        <v>0</v>
      </c>
      <c r="AD358" s="5">
        <v>5031.3099999999995</v>
      </c>
      <c r="AE358" s="5">
        <v>4338.0372618089859</v>
      </c>
      <c r="AF358" s="5">
        <v>696.52</v>
      </c>
      <c r="AG358" s="5"/>
      <c r="AH358" s="5">
        <v>6415.8519121302597</v>
      </c>
      <c r="AI358" s="5">
        <v>4595</v>
      </c>
      <c r="AJ358" s="454"/>
      <c r="AK358" s="5">
        <v>2682.3945128878149</v>
      </c>
      <c r="AL358" s="5">
        <v>9892</v>
      </c>
      <c r="AM358" s="5"/>
      <c r="AN358" s="5">
        <v>2806.1965048266147</v>
      </c>
      <c r="AO358" s="5">
        <v>0</v>
      </c>
      <c r="AP358" s="5"/>
      <c r="AQ358" s="5">
        <v>1941.7307409133775</v>
      </c>
      <c r="AR358" s="5">
        <v>0</v>
      </c>
      <c r="AS358" s="5"/>
      <c r="AT358" s="5">
        <v>4376.6600000479575</v>
      </c>
      <c r="AU358" s="5">
        <v>8938</v>
      </c>
      <c r="AV358" s="8"/>
      <c r="AW358" s="5">
        <v>1288.9174645073315</v>
      </c>
      <c r="AX358" s="5">
        <v>0</v>
      </c>
      <c r="AY358" s="5"/>
      <c r="AZ358" s="40">
        <v>23849.788397122345</v>
      </c>
      <c r="BA358" s="40">
        <v>24121.52</v>
      </c>
      <c r="BB358" s="55">
        <v>271.73160287765495</v>
      </c>
      <c r="BD358" s="2">
        <v>1</v>
      </c>
      <c r="BF358" s="325">
        <v>150000869</v>
      </c>
    </row>
    <row r="359" spans="1:58" ht="25.05" customHeight="1" x14ac:dyDescent="0.3">
      <c r="A359" s="325">
        <v>150000875</v>
      </c>
      <c r="B359" s="445" t="s">
        <v>313</v>
      </c>
      <c r="C359" s="27">
        <v>5</v>
      </c>
      <c r="D359" s="101" t="s">
        <v>455</v>
      </c>
      <c r="E359" s="279">
        <v>3190.1</v>
      </c>
      <c r="F359" s="441">
        <v>29452.493030201149</v>
      </c>
      <c r="G359" s="441">
        <v>14146.17</v>
      </c>
      <c r="H359" s="73">
        <v>-15306.323030201149</v>
      </c>
      <c r="I359" s="5">
        <v>8</v>
      </c>
      <c r="J359" s="5">
        <v>8709</v>
      </c>
      <c r="K359" s="446"/>
      <c r="L359" s="5">
        <v>0</v>
      </c>
      <c r="M359" s="5">
        <v>0</v>
      </c>
      <c r="N359" s="35"/>
      <c r="O359" s="5">
        <v>0</v>
      </c>
      <c r="P359" s="5">
        <v>0</v>
      </c>
      <c r="Q359" s="447"/>
      <c r="R359" s="5">
        <v>0</v>
      </c>
      <c r="S359" s="5">
        <v>0</v>
      </c>
      <c r="T359" s="448"/>
      <c r="U359" s="5">
        <v>0</v>
      </c>
      <c r="V359" s="5">
        <v>0</v>
      </c>
      <c r="W359" s="5">
        <v>0</v>
      </c>
      <c r="X359" s="5">
        <v>0</v>
      </c>
      <c r="Y359" s="5">
        <v>4104</v>
      </c>
      <c r="Z359" s="5">
        <v>0</v>
      </c>
      <c r="AA359" s="5">
        <v>0</v>
      </c>
      <c r="AB359" s="5">
        <v>478.17</v>
      </c>
      <c r="AC359" s="5">
        <v>0</v>
      </c>
      <c r="AD359" s="5">
        <v>855</v>
      </c>
      <c r="AE359" s="5">
        <v>2784.5412490340191</v>
      </c>
      <c r="AF359" s="5">
        <v>0</v>
      </c>
      <c r="AG359" s="5"/>
      <c r="AH359" s="5">
        <v>4153.1381633818482</v>
      </c>
      <c r="AI359" s="5">
        <v>11112</v>
      </c>
      <c r="AJ359" s="5"/>
      <c r="AK359" s="5">
        <v>1746.8136185879416</v>
      </c>
      <c r="AL359" s="5">
        <v>0</v>
      </c>
      <c r="AM359" s="5"/>
      <c r="AN359" s="5">
        <v>0</v>
      </c>
      <c r="AO359" s="5">
        <v>0</v>
      </c>
      <c r="AP359" s="5"/>
      <c r="AQ359" s="5">
        <v>0</v>
      </c>
      <c r="AR359" s="5">
        <v>0</v>
      </c>
      <c r="AS359" s="5"/>
      <c r="AT359" s="5">
        <v>1631.0547191223468</v>
      </c>
      <c r="AU359" s="5">
        <v>0</v>
      </c>
      <c r="AV359" s="5"/>
      <c r="AW359" s="5">
        <v>1115.7274050473254</v>
      </c>
      <c r="AX359" s="5">
        <v>0</v>
      </c>
      <c r="AY359" s="5"/>
      <c r="AZ359" s="40">
        <v>11431.275155173482</v>
      </c>
      <c r="BA359" s="40">
        <v>11112</v>
      </c>
      <c r="BB359" s="55">
        <v>-319.27515517348183</v>
      </c>
      <c r="BD359" s="2">
        <v>1</v>
      </c>
      <c r="BF359" s="325">
        <v>150000875</v>
      </c>
    </row>
    <row r="360" spans="1:58" ht="25.05" customHeight="1" x14ac:dyDescent="0.3">
      <c r="A360" s="325">
        <v>150000871</v>
      </c>
      <c r="B360" s="445" t="s">
        <v>141</v>
      </c>
      <c r="C360" s="27">
        <v>1</v>
      </c>
      <c r="D360" s="101" t="s">
        <v>455</v>
      </c>
      <c r="E360" s="279">
        <v>152.6</v>
      </c>
      <c r="F360" s="441">
        <v>1925.5167067930863</v>
      </c>
      <c r="G360" s="441">
        <v>356.27</v>
      </c>
      <c r="H360" s="73">
        <v>-1569.2467067930863</v>
      </c>
      <c r="I360" s="5">
        <v>2</v>
      </c>
      <c r="J360" s="5">
        <v>356.27</v>
      </c>
      <c r="K360" s="446"/>
      <c r="L360" s="5">
        <v>0</v>
      </c>
      <c r="M360" s="5">
        <v>0</v>
      </c>
      <c r="N360" s="35"/>
      <c r="O360" s="5">
        <v>0</v>
      </c>
      <c r="P360" s="5">
        <v>0</v>
      </c>
      <c r="Q360" s="447"/>
      <c r="R360" s="5">
        <v>0</v>
      </c>
      <c r="S360" s="5">
        <v>0</v>
      </c>
      <c r="T360" s="448"/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/>
      <c r="AH360" s="5">
        <v>0</v>
      </c>
      <c r="AI360" s="5">
        <v>0</v>
      </c>
      <c r="AJ360" s="5"/>
      <c r="AK360" s="5">
        <v>0</v>
      </c>
      <c r="AL360" s="5">
        <v>0</v>
      </c>
      <c r="AM360" s="5"/>
      <c r="AN360" s="5">
        <v>0</v>
      </c>
      <c r="AO360" s="5">
        <v>0</v>
      </c>
      <c r="AP360" s="5"/>
      <c r="AQ360" s="5">
        <v>0</v>
      </c>
      <c r="AR360" s="5">
        <v>0</v>
      </c>
      <c r="AS360" s="5"/>
      <c r="AT360" s="5">
        <v>0</v>
      </c>
      <c r="AU360" s="5">
        <v>0</v>
      </c>
      <c r="AV360" s="5"/>
      <c r="AW360" s="5">
        <v>4.4399999999999995</v>
      </c>
      <c r="AX360" s="5">
        <v>0</v>
      </c>
      <c r="AY360" s="5"/>
      <c r="AZ360" s="40">
        <v>4.4399999999999995</v>
      </c>
      <c r="BA360" s="40">
        <v>0</v>
      </c>
      <c r="BB360" s="55">
        <v>-4.4399999999999995</v>
      </c>
      <c r="BD360" s="2">
        <v>2</v>
      </c>
      <c r="BF360" s="325">
        <v>150000871</v>
      </c>
    </row>
    <row r="361" spans="1:58" ht="25.05" customHeight="1" x14ac:dyDescent="0.3">
      <c r="A361" s="325">
        <v>150000886</v>
      </c>
      <c r="B361" s="445" t="s">
        <v>397</v>
      </c>
      <c r="C361" s="27">
        <v>9</v>
      </c>
      <c r="D361" s="101" t="s">
        <v>455</v>
      </c>
      <c r="E361" s="279">
        <v>2133.27</v>
      </c>
      <c r="F361" s="441">
        <v>27843.090695978717</v>
      </c>
      <c r="G361" s="441">
        <v>9893.114668468379</v>
      </c>
      <c r="H361" s="73">
        <v>-17949.97602751034</v>
      </c>
      <c r="I361" s="5">
        <v>0</v>
      </c>
      <c r="J361" s="5">
        <v>0</v>
      </c>
      <c r="K361" s="446"/>
      <c r="L361" s="5">
        <v>0</v>
      </c>
      <c r="M361" s="5">
        <v>0</v>
      </c>
      <c r="N361" s="35"/>
      <c r="O361" s="5">
        <v>0</v>
      </c>
      <c r="P361" s="5">
        <v>0</v>
      </c>
      <c r="Q361" s="447"/>
      <c r="R361" s="5">
        <v>1</v>
      </c>
      <c r="S361" s="5">
        <v>2339</v>
      </c>
      <c r="T361" s="451"/>
      <c r="U361" s="5">
        <v>0</v>
      </c>
      <c r="V361" s="5">
        <v>0</v>
      </c>
      <c r="W361" s="5">
        <v>0</v>
      </c>
      <c r="X361" s="5">
        <v>21.114668468379634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7533</v>
      </c>
      <c r="AE361" s="5">
        <v>954.25555952668117</v>
      </c>
      <c r="AF361" s="5">
        <v>0</v>
      </c>
      <c r="AG361" s="454"/>
      <c r="AH361" s="5">
        <v>1020.5744584015943</v>
      </c>
      <c r="AI361" s="5">
        <v>0</v>
      </c>
      <c r="AJ361" s="454"/>
      <c r="AK361" s="5">
        <v>726.23908179160503</v>
      </c>
      <c r="AL361" s="5">
        <v>0</v>
      </c>
      <c r="AM361" s="5"/>
      <c r="AN361" s="5">
        <v>1006.0267082309331</v>
      </c>
      <c r="AO361" s="5">
        <v>0</v>
      </c>
      <c r="AP361" s="5"/>
      <c r="AQ361" s="5">
        <v>432.20605023638166</v>
      </c>
      <c r="AR361" s="5">
        <v>0</v>
      </c>
      <c r="AS361" s="5"/>
      <c r="AT361" s="5">
        <v>525.153699293052</v>
      </c>
      <c r="AU361" s="5">
        <v>0</v>
      </c>
      <c r="AV361" s="5"/>
      <c r="AW361" s="5">
        <v>63.998099999999994</v>
      </c>
      <c r="AX361" s="5">
        <v>0</v>
      </c>
      <c r="AY361" s="5"/>
      <c r="AZ361" s="40">
        <v>4728.4536574802478</v>
      </c>
      <c r="BA361" s="40">
        <v>0</v>
      </c>
      <c r="BB361" s="55">
        <v>-4728.4536574802478</v>
      </c>
      <c r="BD361" s="2">
        <v>2</v>
      </c>
      <c r="BF361" s="325">
        <v>150000886</v>
      </c>
    </row>
    <row r="362" spans="1:58" ht="25.05" customHeight="1" x14ac:dyDescent="0.3">
      <c r="A362" s="325">
        <v>150000887</v>
      </c>
      <c r="B362" s="445" t="s">
        <v>398</v>
      </c>
      <c r="C362" s="27">
        <v>9</v>
      </c>
      <c r="D362" s="101" t="s">
        <v>455</v>
      </c>
      <c r="E362" s="279">
        <v>6420.63</v>
      </c>
      <c r="F362" s="441">
        <v>83036.639682333203</v>
      </c>
      <c r="G362" s="441">
        <v>38776.581619697827</v>
      </c>
      <c r="H362" s="73">
        <v>-44260.058062635377</v>
      </c>
      <c r="I362" s="5">
        <v>0</v>
      </c>
      <c r="J362" s="5">
        <v>0</v>
      </c>
      <c r="K362" s="450"/>
      <c r="L362" s="5">
        <v>0</v>
      </c>
      <c r="M362" s="5">
        <v>0</v>
      </c>
      <c r="N362" s="449"/>
      <c r="O362" s="5">
        <v>0</v>
      </c>
      <c r="P362" s="5">
        <v>0</v>
      </c>
      <c r="Q362" s="447"/>
      <c r="R362" s="5">
        <v>5</v>
      </c>
      <c r="S362" s="5">
        <v>37832</v>
      </c>
      <c r="T362" s="448"/>
      <c r="U362" s="5">
        <v>0</v>
      </c>
      <c r="V362" s="5">
        <v>0</v>
      </c>
      <c r="W362" s="5">
        <v>0</v>
      </c>
      <c r="X362" s="5">
        <v>204.58161969782958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740</v>
      </c>
      <c r="AE362" s="5">
        <v>2722.832110313032</v>
      </c>
      <c r="AF362" s="5">
        <v>4165</v>
      </c>
      <c r="AG362" s="8"/>
      <c r="AH362" s="5">
        <v>3065.90107680253</v>
      </c>
      <c r="AI362" s="5">
        <v>1653</v>
      </c>
      <c r="AJ362" s="8"/>
      <c r="AK362" s="5">
        <v>1451.8143393239668</v>
      </c>
      <c r="AL362" s="5">
        <v>859</v>
      </c>
      <c r="AM362" s="8"/>
      <c r="AN362" s="5">
        <v>2308.4245261098235</v>
      </c>
      <c r="AO362" s="5">
        <v>0</v>
      </c>
      <c r="AP362" s="5"/>
      <c r="AQ362" s="5">
        <v>1118.4592652313891</v>
      </c>
      <c r="AR362" s="5">
        <v>0</v>
      </c>
      <c r="AS362" s="8"/>
      <c r="AT362" s="5">
        <v>1792.9468811605889</v>
      </c>
      <c r="AU362" s="5">
        <v>0</v>
      </c>
      <c r="AV362" s="5"/>
      <c r="AW362" s="5">
        <v>192.64680000000004</v>
      </c>
      <c r="AX362" s="5">
        <v>0</v>
      </c>
      <c r="AY362" s="5"/>
      <c r="AZ362" s="40">
        <v>12653.024998941331</v>
      </c>
      <c r="BA362" s="40">
        <v>6677</v>
      </c>
      <c r="BB362" s="55">
        <v>-5976.0249989413314</v>
      </c>
      <c r="BD362" s="2">
        <v>2</v>
      </c>
      <c r="BF362" s="325">
        <v>150000887</v>
      </c>
    </row>
    <row r="363" spans="1:58" ht="25.05" customHeight="1" x14ac:dyDescent="0.3">
      <c r="A363" s="325">
        <v>150000888</v>
      </c>
      <c r="B363" s="445" t="s">
        <v>314</v>
      </c>
      <c r="C363" s="27">
        <v>5</v>
      </c>
      <c r="D363" s="101" t="s">
        <v>455</v>
      </c>
      <c r="E363" s="279">
        <v>3374.56</v>
      </c>
      <c r="F363" s="441">
        <v>29075.483687944459</v>
      </c>
      <c r="G363" s="441">
        <v>4414</v>
      </c>
      <c r="H363" s="73">
        <v>-24661.483687944459</v>
      </c>
      <c r="I363" s="5">
        <v>2</v>
      </c>
      <c r="J363" s="5">
        <v>879</v>
      </c>
      <c r="K363" s="446"/>
      <c r="L363" s="5">
        <v>0</v>
      </c>
      <c r="M363" s="5">
        <v>0</v>
      </c>
      <c r="N363" s="35"/>
      <c r="O363" s="5">
        <v>0</v>
      </c>
      <c r="P363" s="5">
        <v>0</v>
      </c>
      <c r="Q363" s="447"/>
      <c r="R363" s="5">
        <v>0</v>
      </c>
      <c r="S363" s="5">
        <v>0</v>
      </c>
      <c r="T363" s="448"/>
      <c r="U363" s="5">
        <v>0</v>
      </c>
      <c r="V363" s="5">
        <v>0</v>
      </c>
      <c r="W363" s="5">
        <v>0</v>
      </c>
      <c r="X363" s="5">
        <v>0</v>
      </c>
      <c r="Y363" s="5">
        <v>2790</v>
      </c>
      <c r="Z363" s="5">
        <v>0</v>
      </c>
      <c r="AA363" s="5">
        <v>0</v>
      </c>
      <c r="AB363" s="5">
        <v>0</v>
      </c>
      <c r="AC363" s="5">
        <v>224</v>
      </c>
      <c r="AD363" s="5">
        <v>521</v>
      </c>
      <c r="AE363" s="5">
        <v>2483.5702204944937</v>
      </c>
      <c r="AF363" s="5">
        <v>359</v>
      </c>
      <c r="AG363" s="5"/>
      <c r="AH363" s="5">
        <v>3678.6362157662265</v>
      </c>
      <c r="AI363" s="5">
        <v>3526</v>
      </c>
      <c r="AJ363" s="5"/>
      <c r="AK363" s="5">
        <v>2133.8988993354533</v>
      </c>
      <c r="AL363" s="5">
        <v>0</v>
      </c>
      <c r="AM363" s="5"/>
      <c r="AN363" s="5">
        <v>0</v>
      </c>
      <c r="AO363" s="5">
        <v>0</v>
      </c>
      <c r="AP363" s="5"/>
      <c r="AQ363" s="5">
        <v>0</v>
      </c>
      <c r="AR363" s="5">
        <v>0</v>
      </c>
      <c r="AS363" s="5"/>
      <c r="AT363" s="5">
        <v>1631.0547380821097</v>
      </c>
      <c r="AU363" s="5">
        <v>1454</v>
      </c>
      <c r="AV363" s="8"/>
      <c r="AW363" s="5">
        <v>101.24850000000001</v>
      </c>
      <c r="AX363" s="5">
        <v>0</v>
      </c>
      <c r="AY363" s="5"/>
      <c r="AZ363" s="40">
        <v>10028.408573678284</v>
      </c>
      <c r="BA363" s="40">
        <v>5339</v>
      </c>
      <c r="BB363" s="55">
        <v>-4689.4085736782836</v>
      </c>
      <c r="BD363" s="2">
        <v>2</v>
      </c>
      <c r="BF363" s="325">
        <v>150000888</v>
      </c>
    </row>
    <row r="364" spans="1:58" ht="25.05" customHeight="1" x14ac:dyDescent="0.3">
      <c r="A364" s="325">
        <v>150000889</v>
      </c>
      <c r="B364" s="445" t="s">
        <v>428</v>
      </c>
      <c r="C364" s="27">
        <v>16</v>
      </c>
      <c r="D364" s="101" t="s">
        <v>455</v>
      </c>
      <c r="E364" s="279">
        <v>5256.18</v>
      </c>
      <c r="F364" s="441">
        <v>65245.172668808977</v>
      </c>
      <c r="G364" s="441">
        <v>30044.68</v>
      </c>
      <c r="H364" s="73">
        <v>-35200.492668808976</v>
      </c>
      <c r="I364" s="5">
        <v>0</v>
      </c>
      <c r="J364" s="5">
        <v>0</v>
      </c>
      <c r="K364" s="446"/>
      <c r="L364" s="5">
        <v>0</v>
      </c>
      <c r="M364" s="5">
        <v>14560</v>
      </c>
      <c r="N364" s="35"/>
      <c r="O364" s="5">
        <v>0</v>
      </c>
      <c r="P364" s="5">
        <v>0</v>
      </c>
      <c r="Q364" s="447"/>
      <c r="R364" s="5">
        <v>2</v>
      </c>
      <c r="S364" s="5">
        <v>11387</v>
      </c>
      <c r="T364" s="456"/>
      <c r="U364" s="5">
        <v>0</v>
      </c>
      <c r="V364" s="5">
        <v>0</v>
      </c>
      <c r="W364" s="5">
        <v>0</v>
      </c>
      <c r="X364" s="5">
        <v>1041.68</v>
      </c>
      <c r="Y364" s="5">
        <v>2926</v>
      </c>
      <c r="Z364" s="5">
        <v>0</v>
      </c>
      <c r="AA364" s="5">
        <v>0</v>
      </c>
      <c r="AB364" s="5">
        <v>0</v>
      </c>
      <c r="AC364" s="5">
        <v>0</v>
      </c>
      <c r="AD364" s="5">
        <v>130</v>
      </c>
      <c r="AE364" s="5">
        <v>3486.9696266419614</v>
      </c>
      <c r="AF364" s="5">
        <v>4552</v>
      </c>
      <c r="AG364" s="8"/>
      <c r="AH364" s="5">
        <v>4000.8356175196391</v>
      </c>
      <c r="AI364" s="5">
        <v>4519</v>
      </c>
      <c r="AJ364" s="5"/>
      <c r="AK364" s="5">
        <v>2431.3839098178332</v>
      </c>
      <c r="AL364" s="5">
        <v>3281</v>
      </c>
      <c r="AM364" s="8"/>
      <c r="AN364" s="5">
        <v>2375.9016453266681</v>
      </c>
      <c r="AO364" s="5">
        <v>0</v>
      </c>
      <c r="AP364" s="5"/>
      <c r="AQ364" s="5">
        <v>1049.6006250612752</v>
      </c>
      <c r="AR364" s="5">
        <v>0</v>
      </c>
      <c r="AS364" s="5"/>
      <c r="AT364" s="5">
        <v>2357.9044643317525</v>
      </c>
      <c r="AU364" s="5">
        <v>342</v>
      </c>
      <c r="AV364" s="5"/>
      <c r="AW364" s="5">
        <v>0</v>
      </c>
      <c r="AX364" s="5">
        <v>0</v>
      </c>
      <c r="AY364" s="5"/>
      <c r="AZ364" s="40">
        <v>15702.59588869913</v>
      </c>
      <c r="BA364" s="40">
        <v>12694</v>
      </c>
      <c r="BB364" s="55">
        <v>-3008.5958886991302</v>
      </c>
      <c r="BD364" s="2">
        <v>2</v>
      </c>
      <c r="BF364" s="325">
        <v>150000889</v>
      </c>
    </row>
    <row r="365" spans="1:58" ht="25.05" customHeight="1" x14ac:dyDescent="0.3">
      <c r="A365" s="325">
        <v>150000890</v>
      </c>
      <c r="B365" s="445" t="s">
        <v>399</v>
      </c>
      <c r="C365" s="27">
        <v>9</v>
      </c>
      <c r="D365" s="101" t="s">
        <v>455</v>
      </c>
      <c r="E365" s="279">
        <v>8449.6999999999989</v>
      </c>
      <c r="F365" s="441">
        <v>101932.94744985763</v>
      </c>
      <c r="G365" s="441">
        <v>67826.049999999988</v>
      </c>
      <c r="H365" s="73">
        <v>-34106.897449857643</v>
      </c>
      <c r="I365" s="5">
        <v>0</v>
      </c>
      <c r="J365" s="5">
        <v>0</v>
      </c>
      <c r="K365" s="446"/>
      <c r="L365" s="5">
        <v>0</v>
      </c>
      <c r="M365" s="5">
        <v>22343</v>
      </c>
      <c r="N365" s="449"/>
      <c r="O365" s="5">
        <v>0</v>
      </c>
      <c r="P365" s="5">
        <v>0</v>
      </c>
      <c r="Q365" s="447"/>
      <c r="R365" s="5">
        <v>3</v>
      </c>
      <c r="S365" s="5">
        <v>24757.23</v>
      </c>
      <c r="T365" s="448"/>
      <c r="U365" s="5">
        <v>0</v>
      </c>
      <c r="V365" s="5">
        <v>0</v>
      </c>
      <c r="W365" s="5">
        <v>0</v>
      </c>
      <c r="X365" s="5">
        <v>0</v>
      </c>
      <c r="Y365" s="5">
        <v>11065</v>
      </c>
      <c r="Z365" s="5">
        <v>0</v>
      </c>
      <c r="AA365" s="5">
        <v>0</v>
      </c>
      <c r="AB365" s="5">
        <v>1577</v>
      </c>
      <c r="AC365" s="5">
        <v>693.81999999999994</v>
      </c>
      <c r="AD365" s="5">
        <v>7390</v>
      </c>
      <c r="AE365" s="5">
        <v>3330.3084429077235</v>
      </c>
      <c r="AF365" s="5">
        <v>6521.55</v>
      </c>
      <c r="AG365" s="8"/>
      <c r="AH365" s="5">
        <v>4707.9277941987812</v>
      </c>
      <c r="AI365" s="5">
        <v>3255</v>
      </c>
      <c r="AJ365" s="5"/>
      <c r="AK365" s="5">
        <v>3281.6330810833952</v>
      </c>
      <c r="AL365" s="5">
        <v>0</v>
      </c>
      <c r="AM365" s="5"/>
      <c r="AN365" s="5">
        <v>4252.5400431214275</v>
      </c>
      <c r="AO365" s="5">
        <v>566</v>
      </c>
      <c r="AP365" s="5"/>
      <c r="AQ365" s="5">
        <v>1847.4272874999779</v>
      </c>
      <c r="AR365" s="5">
        <v>0</v>
      </c>
      <c r="AS365" s="5"/>
      <c r="AT365" s="5">
        <v>3783.1505108796059</v>
      </c>
      <c r="AU365" s="5">
        <v>1247</v>
      </c>
      <c r="AV365" s="5"/>
      <c r="AW365" s="5">
        <v>249.6798</v>
      </c>
      <c r="AX365" s="5">
        <v>0</v>
      </c>
      <c r="AY365" s="5"/>
      <c r="AZ365" s="40">
        <v>21452.666959690912</v>
      </c>
      <c r="BA365" s="40">
        <v>11589.55</v>
      </c>
      <c r="BB365" s="55">
        <v>-9863.1169596909131</v>
      </c>
      <c r="BD365" s="2">
        <v>2</v>
      </c>
      <c r="BF365" s="325">
        <v>150000890</v>
      </c>
    </row>
    <row r="366" spans="1:58" ht="25.05" customHeight="1" x14ac:dyDescent="0.3">
      <c r="A366" s="325">
        <v>150000891</v>
      </c>
      <c r="B366" s="445" t="s">
        <v>190</v>
      </c>
      <c r="C366" s="27">
        <v>2</v>
      </c>
      <c r="D366" s="101" t="s">
        <v>455</v>
      </c>
      <c r="E366" s="279">
        <v>294.26</v>
      </c>
      <c r="F366" s="441">
        <v>2518.2898911568595</v>
      </c>
      <c r="G366" s="441">
        <v>0</v>
      </c>
      <c r="H366" s="73">
        <v>-2518.2898911568595</v>
      </c>
      <c r="I366" s="5">
        <v>0</v>
      </c>
      <c r="J366" s="5">
        <v>0</v>
      </c>
      <c r="K366" s="446"/>
      <c r="L366" s="5">
        <v>0</v>
      </c>
      <c r="M366" s="5">
        <v>0</v>
      </c>
      <c r="N366" s="35"/>
      <c r="O366" s="5">
        <v>0</v>
      </c>
      <c r="P366" s="5">
        <v>0</v>
      </c>
      <c r="Q366" s="447"/>
      <c r="R366" s="5">
        <v>0</v>
      </c>
      <c r="S366" s="5">
        <v>0</v>
      </c>
      <c r="T366" s="448"/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360.88012625279794</v>
      </c>
      <c r="AF366" s="5">
        <v>0</v>
      </c>
      <c r="AG366" s="5"/>
      <c r="AH366" s="5">
        <v>493.37382355020094</v>
      </c>
      <c r="AI366" s="5">
        <v>0</v>
      </c>
      <c r="AJ366" s="5"/>
      <c r="AK366" s="5">
        <v>0</v>
      </c>
      <c r="AL366" s="5">
        <v>0</v>
      </c>
      <c r="AM366" s="5"/>
      <c r="AN366" s="5">
        <v>0</v>
      </c>
      <c r="AO366" s="5">
        <v>0</v>
      </c>
      <c r="AP366" s="5"/>
      <c r="AQ366" s="5">
        <v>0</v>
      </c>
      <c r="AR366" s="5">
        <v>0</v>
      </c>
      <c r="AS366" s="5"/>
      <c r="AT366" s="5">
        <v>50.833623952257625</v>
      </c>
      <c r="AU366" s="5">
        <v>0</v>
      </c>
      <c r="AV366" s="5"/>
      <c r="AW366" s="5">
        <v>21.631800000000002</v>
      </c>
      <c r="AX366" s="5">
        <v>0</v>
      </c>
      <c r="AY366" s="5"/>
      <c r="AZ366" s="40">
        <v>926.71937375525658</v>
      </c>
      <c r="BA366" s="40">
        <v>0</v>
      </c>
      <c r="BB366" s="55">
        <v>-926.71937375525658</v>
      </c>
      <c r="BD366" s="2">
        <v>2</v>
      </c>
      <c r="BF366" s="325">
        <v>150000891</v>
      </c>
    </row>
    <row r="367" spans="1:58" ht="25.05" customHeight="1" x14ac:dyDescent="0.3">
      <c r="A367" s="325">
        <v>150001561</v>
      </c>
      <c r="B367" s="445" t="s">
        <v>400</v>
      </c>
      <c r="C367" s="27">
        <v>9</v>
      </c>
      <c r="D367" s="101" t="s">
        <v>455</v>
      </c>
      <c r="E367" s="279">
        <v>3516.6</v>
      </c>
      <c r="F367" s="441">
        <v>34317.061598462184</v>
      </c>
      <c r="G367" s="441">
        <v>4473.68</v>
      </c>
      <c r="H367" s="73">
        <v>-29843.381598462183</v>
      </c>
      <c r="I367" s="5">
        <v>0</v>
      </c>
      <c r="J367" s="5">
        <v>0</v>
      </c>
      <c r="K367" s="446"/>
      <c r="L367" s="5">
        <v>0</v>
      </c>
      <c r="M367" s="5">
        <v>2952.6800000000003</v>
      </c>
      <c r="N367" s="35"/>
      <c r="O367" s="5">
        <v>0</v>
      </c>
      <c r="P367" s="5">
        <v>0</v>
      </c>
      <c r="Q367" s="447"/>
      <c r="R367" s="5">
        <v>0</v>
      </c>
      <c r="S367" s="5">
        <v>0</v>
      </c>
      <c r="T367" s="448"/>
      <c r="U367" s="5">
        <v>0</v>
      </c>
      <c r="V367" s="5">
        <v>0</v>
      </c>
      <c r="W367" s="5">
        <v>0</v>
      </c>
      <c r="X367" s="5">
        <v>0</v>
      </c>
      <c r="Y367" s="5">
        <v>371</v>
      </c>
      <c r="Z367" s="5">
        <v>0</v>
      </c>
      <c r="AA367" s="5">
        <v>0</v>
      </c>
      <c r="AB367" s="5">
        <v>0</v>
      </c>
      <c r="AC367" s="5">
        <v>0</v>
      </c>
      <c r="AD367" s="5">
        <v>1150</v>
      </c>
      <c r="AE367" s="5">
        <v>2966.26460824588</v>
      </c>
      <c r="AF367" s="5">
        <v>45</v>
      </c>
      <c r="AG367" s="5"/>
      <c r="AH367" s="5">
        <v>3497.632615729789</v>
      </c>
      <c r="AI367" s="5">
        <v>272</v>
      </c>
      <c r="AJ367" s="5"/>
      <c r="AK367" s="5">
        <v>0</v>
      </c>
      <c r="AL367" s="5">
        <v>0</v>
      </c>
      <c r="AM367" s="5"/>
      <c r="AN367" s="5">
        <v>0</v>
      </c>
      <c r="AO367" s="5">
        <v>0</v>
      </c>
      <c r="AP367" s="5"/>
      <c r="AQ367" s="5">
        <v>314.91287882727175</v>
      </c>
      <c r="AR367" s="5">
        <v>0</v>
      </c>
      <c r="AS367" s="5"/>
      <c r="AT367" s="5">
        <v>513.53204029258166</v>
      </c>
      <c r="AU367" s="5">
        <v>193</v>
      </c>
      <c r="AV367" s="5"/>
      <c r="AW367" s="5">
        <v>105.33600000000001</v>
      </c>
      <c r="AX367" s="5">
        <v>0</v>
      </c>
      <c r="AY367" s="5"/>
      <c r="AZ367" s="40">
        <v>7397.6781430955234</v>
      </c>
      <c r="BA367" s="40">
        <v>510</v>
      </c>
      <c r="BB367" s="55">
        <v>-6887.6781430955234</v>
      </c>
      <c r="BD367" s="2">
        <v>2</v>
      </c>
      <c r="BF367" s="325">
        <v>150001561</v>
      </c>
    </row>
    <row r="368" spans="1:58" ht="25.05" customHeight="1" x14ac:dyDescent="0.3">
      <c r="A368" s="325">
        <v>150000892</v>
      </c>
      <c r="B368" s="445" t="s">
        <v>401</v>
      </c>
      <c r="C368" s="27">
        <v>9</v>
      </c>
      <c r="D368" s="101" t="s">
        <v>455</v>
      </c>
      <c r="E368" s="279">
        <v>4153.8999999999996</v>
      </c>
      <c r="F368" s="441">
        <v>52472.791782598957</v>
      </c>
      <c r="G368" s="441">
        <v>52676.374385418254</v>
      </c>
      <c r="H368" s="73">
        <v>203.58260281929688</v>
      </c>
      <c r="I368" s="5">
        <v>139.13</v>
      </c>
      <c r="J368" s="5">
        <v>27596.71</v>
      </c>
      <c r="K368" s="446"/>
      <c r="L368" s="5">
        <v>0</v>
      </c>
      <c r="M368" s="5">
        <v>360</v>
      </c>
      <c r="N368" s="35"/>
      <c r="O368" s="5">
        <v>0</v>
      </c>
      <c r="P368" s="5">
        <v>0</v>
      </c>
      <c r="Q368" s="447"/>
      <c r="R368" s="5">
        <v>1</v>
      </c>
      <c r="S368" s="5">
        <v>6120.02</v>
      </c>
      <c r="T368" s="448"/>
      <c r="U368" s="5">
        <v>0</v>
      </c>
      <c r="V368" s="5">
        <v>0</v>
      </c>
      <c r="W368" s="5">
        <v>1</v>
      </c>
      <c r="X368" s="5">
        <v>356.6443854182599</v>
      </c>
      <c r="Y368" s="5">
        <v>788</v>
      </c>
      <c r="Z368" s="5">
        <v>0</v>
      </c>
      <c r="AA368" s="5">
        <v>0</v>
      </c>
      <c r="AB368" s="5">
        <v>0</v>
      </c>
      <c r="AC368" s="5">
        <v>15378.07</v>
      </c>
      <c r="AD368" s="5">
        <v>2076.9300000000003</v>
      </c>
      <c r="AE368" s="5">
        <v>2608.2648433723762</v>
      </c>
      <c r="AF368" s="5">
        <v>301</v>
      </c>
      <c r="AG368" s="5"/>
      <c r="AH368" s="5">
        <v>3124.3914045112037</v>
      </c>
      <c r="AI368" s="5">
        <v>2020</v>
      </c>
      <c r="AJ368" s="5"/>
      <c r="AK368" s="5">
        <v>2258.3630115693645</v>
      </c>
      <c r="AL368" s="5">
        <v>0</v>
      </c>
      <c r="AM368" s="5"/>
      <c r="AN368" s="5">
        <v>1939.6601693668702</v>
      </c>
      <c r="AO368" s="5">
        <v>380</v>
      </c>
      <c r="AP368" s="5"/>
      <c r="AQ368" s="5">
        <v>923.71373565197098</v>
      </c>
      <c r="AR368" s="5">
        <v>17</v>
      </c>
      <c r="AS368" s="5"/>
      <c r="AT368" s="5">
        <v>1209.6039594817773</v>
      </c>
      <c r="AU368" s="5">
        <v>0</v>
      </c>
      <c r="AV368" s="5"/>
      <c r="AW368" s="5">
        <v>124.61699999999999</v>
      </c>
      <c r="AX368" s="5">
        <v>0</v>
      </c>
      <c r="AY368" s="5"/>
      <c r="AZ368" s="40">
        <v>12188.614123953565</v>
      </c>
      <c r="BA368" s="40">
        <v>2718</v>
      </c>
      <c r="BB368" s="55">
        <v>-9470.6141239535646</v>
      </c>
      <c r="BD368" s="2">
        <v>3</v>
      </c>
      <c r="BF368" s="325">
        <v>150000892</v>
      </c>
    </row>
    <row r="369" spans="1:58" ht="25.05" customHeight="1" x14ac:dyDescent="0.3">
      <c r="A369" s="325">
        <v>150000893</v>
      </c>
      <c r="B369" s="445" t="s">
        <v>315</v>
      </c>
      <c r="C369" s="27">
        <v>5</v>
      </c>
      <c r="D369" s="101" t="s">
        <v>455</v>
      </c>
      <c r="E369" s="279">
        <v>2749.1</v>
      </c>
      <c r="F369" s="441">
        <v>47740.365999716509</v>
      </c>
      <c r="G369" s="441">
        <v>36565.809847231088</v>
      </c>
      <c r="H369" s="73">
        <v>-11174.55615248542</v>
      </c>
      <c r="I369" s="5">
        <v>0</v>
      </c>
      <c r="J369" s="5">
        <v>0</v>
      </c>
      <c r="K369" s="446"/>
      <c r="L369" s="5">
        <v>0</v>
      </c>
      <c r="M369" s="5">
        <v>0</v>
      </c>
      <c r="N369" s="35"/>
      <c r="O369" s="5">
        <v>0</v>
      </c>
      <c r="P369" s="5">
        <v>0</v>
      </c>
      <c r="Q369" s="447"/>
      <c r="R369" s="5">
        <v>0</v>
      </c>
      <c r="S369" s="5">
        <v>0</v>
      </c>
      <c r="T369" s="448"/>
      <c r="U369" s="5">
        <v>0</v>
      </c>
      <c r="V369" s="5">
        <v>0</v>
      </c>
      <c r="W369" s="5">
        <v>24</v>
      </c>
      <c r="X369" s="5">
        <v>7028.9698472310884</v>
      </c>
      <c r="Y369" s="5">
        <v>4998.91</v>
      </c>
      <c r="Z369" s="5">
        <v>0</v>
      </c>
      <c r="AA369" s="5">
        <v>0</v>
      </c>
      <c r="AB369" s="5">
        <v>16746</v>
      </c>
      <c r="AC369" s="5">
        <v>1825</v>
      </c>
      <c r="AD369" s="5">
        <v>5966.93</v>
      </c>
      <c r="AE369" s="5">
        <v>2363.619040585766</v>
      </c>
      <c r="AF369" s="5">
        <v>0</v>
      </c>
      <c r="AG369" s="5"/>
      <c r="AH369" s="5">
        <v>3213.8517921635189</v>
      </c>
      <c r="AI369" s="5">
        <v>0</v>
      </c>
      <c r="AJ369" s="5"/>
      <c r="AK369" s="5">
        <v>1475.2476192376482</v>
      </c>
      <c r="AL369" s="5">
        <v>0</v>
      </c>
      <c r="AM369" s="5"/>
      <c r="AN369" s="5">
        <v>0</v>
      </c>
      <c r="AO369" s="5">
        <v>0</v>
      </c>
      <c r="AP369" s="5"/>
      <c r="AQ369" s="5">
        <v>1109.648866209001</v>
      </c>
      <c r="AR369" s="5">
        <v>0</v>
      </c>
      <c r="AS369" s="5"/>
      <c r="AT369" s="5">
        <v>1598.4193074487275</v>
      </c>
      <c r="AU369" s="5">
        <v>0</v>
      </c>
      <c r="AV369" s="5"/>
      <c r="AW369" s="5">
        <v>82.491</v>
      </c>
      <c r="AX369" s="5">
        <v>0</v>
      </c>
      <c r="AY369" s="5"/>
      <c r="AZ369" s="40">
        <v>9843.2776256446614</v>
      </c>
      <c r="BA369" s="40">
        <v>0</v>
      </c>
      <c r="BB369" s="55">
        <v>-9843.2776256446614</v>
      </c>
      <c r="BD369" s="2">
        <v>3</v>
      </c>
      <c r="BF369" s="325">
        <v>150000893</v>
      </c>
    </row>
    <row r="370" spans="1:58" ht="25.05" customHeight="1" x14ac:dyDescent="0.3">
      <c r="A370" s="325">
        <v>150000894</v>
      </c>
      <c r="B370" s="445" t="s">
        <v>316</v>
      </c>
      <c r="C370" s="27">
        <v>5</v>
      </c>
      <c r="D370" s="101" t="s">
        <v>455</v>
      </c>
      <c r="E370" s="279">
        <v>4228.09</v>
      </c>
      <c r="F370" s="441">
        <v>49808.650704109539</v>
      </c>
      <c r="G370" s="441">
        <v>79340.87</v>
      </c>
      <c r="H370" s="73">
        <v>29532.219295890456</v>
      </c>
      <c r="I370" s="5">
        <v>0</v>
      </c>
      <c r="J370" s="5">
        <v>530</v>
      </c>
      <c r="K370" s="446"/>
      <c r="L370" s="5">
        <v>0</v>
      </c>
      <c r="M370" s="5">
        <v>7494</v>
      </c>
      <c r="N370" s="458"/>
      <c r="O370" s="5">
        <v>0</v>
      </c>
      <c r="P370" s="5">
        <v>0</v>
      </c>
      <c r="Q370" s="447"/>
      <c r="R370" s="5">
        <v>0</v>
      </c>
      <c r="S370" s="5">
        <v>0</v>
      </c>
      <c r="T370" s="448"/>
      <c r="U370" s="5">
        <v>0</v>
      </c>
      <c r="V370" s="5">
        <v>0</v>
      </c>
      <c r="W370" s="5">
        <v>0</v>
      </c>
      <c r="X370" s="5">
        <v>0</v>
      </c>
      <c r="Y370" s="5">
        <v>1705</v>
      </c>
      <c r="Z370" s="5">
        <v>0</v>
      </c>
      <c r="AA370" s="5">
        <v>0</v>
      </c>
      <c r="AB370" s="5">
        <v>6790</v>
      </c>
      <c r="AC370" s="5">
        <v>52766</v>
      </c>
      <c r="AD370" s="5">
        <v>10055.869999999999</v>
      </c>
      <c r="AE370" s="5">
        <v>3509.8819156430272</v>
      </c>
      <c r="AF370" s="5">
        <v>884</v>
      </c>
      <c r="AG370" s="5"/>
      <c r="AH370" s="5">
        <v>5481.1314687100175</v>
      </c>
      <c r="AI370" s="5">
        <v>0</v>
      </c>
      <c r="AJ370" s="5"/>
      <c r="AK370" s="5">
        <v>1949.4482491138779</v>
      </c>
      <c r="AL370" s="5">
        <v>981</v>
      </c>
      <c r="AM370" s="5"/>
      <c r="AN370" s="5">
        <v>0</v>
      </c>
      <c r="AO370" s="5">
        <v>0</v>
      </c>
      <c r="AP370" s="5"/>
      <c r="AQ370" s="5">
        <v>1664.3185243611258</v>
      </c>
      <c r="AR370" s="5">
        <v>0</v>
      </c>
      <c r="AS370" s="5"/>
      <c r="AT370" s="5">
        <v>3170.1012930739139</v>
      </c>
      <c r="AU370" s="5">
        <v>0</v>
      </c>
      <c r="AV370" s="5"/>
      <c r="AW370" s="5">
        <v>125.26770000000002</v>
      </c>
      <c r="AX370" s="5">
        <v>0</v>
      </c>
      <c r="AY370" s="5"/>
      <c r="AZ370" s="40">
        <v>15900.149150901963</v>
      </c>
      <c r="BA370" s="40">
        <v>1865</v>
      </c>
      <c r="BB370" s="55">
        <v>-14035.149150901963</v>
      </c>
      <c r="BD370" s="2">
        <v>3</v>
      </c>
      <c r="BF370" s="325">
        <v>150000894</v>
      </c>
    </row>
    <row r="371" spans="1:58" ht="25.05" customHeight="1" x14ac:dyDescent="0.3">
      <c r="A371" s="325">
        <v>150000895</v>
      </c>
      <c r="B371" s="445" t="s">
        <v>317</v>
      </c>
      <c r="C371" s="27">
        <v>5</v>
      </c>
      <c r="D371" s="101" t="s">
        <v>455</v>
      </c>
      <c r="E371" s="279">
        <v>2741.4</v>
      </c>
      <c r="F371" s="441">
        <v>41194.453861156508</v>
      </c>
      <c r="G371" s="441">
        <v>31300.959999999999</v>
      </c>
      <c r="H371" s="73">
        <v>-9893.4938611565085</v>
      </c>
      <c r="I371" s="5">
        <v>0</v>
      </c>
      <c r="J371" s="5">
        <v>0</v>
      </c>
      <c r="K371" s="446"/>
      <c r="L371" s="5">
        <v>0</v>
      </c>
      <c r="M371" s="5">
        <v>0</v>
      </c>
      <c r="N371" s="35"/>
      <c r="O371" s="5">
        <v>0</v>
      </c>
      <c r="P371" s="5">
        <v>0</v>
      </c>
      <c r="Q371" s="447"/>
      <c r="R371" s="5">
        <v>0</v>
      </c>
      <c r="S371" s="5">
        <v>0</v>
      </c>
      <c r="T371" s="448"/>
      <c r="U371" s="5">
        <v>0</v>
      </c>
      <c r="V371" s="5">
        <v>0</v>
      </c>
      <c r="W371" s="5">
        <v>6</v>
      </c>
      <c r="X371" s="5">
        <v>1235</v>
      </c>
      <c r="Y371" s="5">
        <v>22114.98</v>
      </c>
      <c r="Z371" s="5">
        <v>0</v>
      </c>
      <c r="AA371" s="5">
        <v>0</v>
      </c>
      <c r="AB371" s="5">
        <v>2612</v>
      </c>
      <c r="AC371" s="5">
        <v>2369</v>
      </c>
      <c r="AD371" s="5">
        <v>2969.98</v>
      </c>
      <c r="AE371" s="5">
        <v>2336.0850490747207</v>
      </c>
      <c r="AF371" s="5">
        <v>884</v>
      </c>
      <c r="AG371" s="5"/>
      <c r="AH371" s="5">
        <v>3178.9928941913777</v>
      </c>
      <c r="AI371" s="5">
        <v>0</v>
      </c>
      <c r="AJ371" s="5"/>
      <c r="AK371" s="5">
        <v>1422.2939395900817</v>
      </c>
      <c r="AL371" s="5">
        <v>2251</v>
      </c>
      <c r="AM371" s="5"/>
      <c r="AN371" s="5">
        <v>0</v>
      </c>
      <c r="AO371" s="5">
        <v>0</v>
      </c>
      <c r="AP371" s="5"/>
      <c r="AQ371" s="5">
        <v>0</v>
      </c>
      <c r="AR371" s="5">
        <v>0</v>
      </c>
      <c r="AS371" s="5"/>
      <c r="AT371" s="5">
        <v>1540.0334512121212</v>
      </c>
      <c r="AU371" s="5">
        <v>0</v>
      </c>
      <c r="AV371" s="8"/>
      <c r="AW371" s="5">
        <v>82.245000000000005</v>
      </c>
      <c r="AX371" s="5">
        <v>0</v>
      </c>
      <c r="AY371" s="5"/>
      <c r="AZ371" s="40">
        <v>8559.6503340683012</v>
      </c>
      <c r="BA371" s="40">
        <v>3135</v>
      </c>
      <c r="BB371" s="55">
        <v>-5424.6503340683012</v>
      </c>
      <c r="BD371" s="2">
        <v>3</v>
      </c>
      <c r="BF371" s="325">
        <v>150000895</v>
      </c>
    </row>
    <row r="372" spans="1:58" ht="25.05" customHeight="1" x14ac:dyDescent="0.3">
      <c r="A372" s="325">
        <v>150000922</v>
      </c>
      <c r="B372" s="445" t="s">
        <v>402</v>
      </c>
      <c r="C372" s="27">
        <v>9</v>
      </c>
      <c r="D372" s="101" t="s">
        <v>455</v>
      </c>
      <c r="E372" s="279">
        <v>4247.05</v>
      </c>
      <c r="F372" s="441">
        <v>58332.597677294048</v>
      </c>
      <c r="G372" s="441">
        <v>5524.5</v>
      </c>
      <c r="H372" s="73">
        <v>-52808.097677294048</v>
      </c>
      <c r="I372" s="5">
        <v>0</v>
      </c>
      <c r="J372" s="5">
        <v>0</v>
      </c>
      <c r="K372" s="450"/>
      <c r="L372" s="5">
        <v>0</v>
      </c>
      <c r="M372" s="5">
        <v>0</v>
      </c>
      <c r="N372" s="35"/>
      <c r="O372" s="5">
        <v>0</v>
      </c>
      <c r="P372" s="5">
        <v>0</v>
      </c>
      <c r="Q372" s="447"/>
      <c r="R372" s="5">
        <v>1</v>
      </c>
      <c r="S372" s="5">
        <v>1093</v>
      </c>
      <c r="T372" s="456"/>
      <c r="U372" s="5">
        <v>0</v>
      </c>
      <c r="V372" s="5">
        <v>0</v>
      </c>
      <c r="W372" s="5">
        <v>0</v>
      </c>
      <c r="X372" s="5">
        <v>0</v>
      </c>
      <c r="Y372" s="5">
        <v>1634</v>
      </c>
      <c r="Z372" s="5">
        <v>0</v>
      </c>
      <c r="AA372" s="5">
        <v>0</v>
      </c>
      <c r="AB372" s="5">
        <v>0</v>
      </c>
      <c r="AC372" s="5">
        <v>903.06999999999994</v>
      </c>
      <c r="AD372" s="5">
        <v>1894.4299999999998</v>
      </c>
      <c r="AE372" s="5">
        <v>2633.5974493105196</v>
      </c>
      <c r="AF372" s="5">
        <v>301</v>
      </c>
      <c r="AG372" s="5"/>
      <c r="AH372" s="5">
        <v>3147.2270946762419</v>
      </c>
      <c r="AI372" s="5">
        <v>0</v>
      </c>
      <c r="AJ372" s="5"/>
      <c r="AK372" s="5">
        <v>2314.2267034056381</v>
      </c>
      <c r="AL372" s="5">
        <v>1411</v>
      </c>
      <c r="AM372" s="5"/>
      <c r="AN372" s="5">
        <v>1994.7994206292619</v>
      </c>
      <c r="AO372" s="5">
        <v>0</v>
      </c>
      <c r="AP372" s="5"/>
      <c r="AQ372" s="5">
        <v>923.71373565197098</v>
      </c>
      <c r="AR372" s="5">
        <v>17</v>
      </c>
      <c r="AS372" s="5"/>
      <c r="AT372" s="5">
        <v>1126.9519942613567</v>
      </c>
      <c r="AU372" s="5">
        <v>0</v>
      </c>
      <c r="AV372" s="5"/>
      <c r="AW372" s="5">
        <v>129.55349999999999</v>
      </c>
      <c r="AX372" s="5">
        <v>0</v>
      </c>
      <c r="AY372" s="5"/>
      <c r="AZ372" s="40">
        <v>12270.069897934989</v>
      </c>
      <c r="BA372" s="40">
        <v>1729</v>
      </c>
      <c r="BB372" s="55">
        <v>-10541.069897934989</v>
      </c>
      <c r="BD372" s="2">
        <v>3</v>
      </c>
      <c r="BF372" s="325">
        <v>150000922</v>
      </c>
    </row>
    <row r="373" spans="1:58" ht="25.05" customHeight="1" x14ac:dyDescent="0.3">
      <c r="A373" s="325">
        <v>150000896</v>
      </c>
      <c r="B373" s="445" t="s">
        <v>318</v>
      </c>
      <c r="C373" s="27">
        <v>5</v>
      </c>
      <c r="D373" s="101" t="s">
        <v>455</v>
      </c>
      <c r="E373" s="279">
        <v>2712.05</v>
      </c>
      <c r="F373" s="441">
        <v>40871.830675692247</v>
      </c>
      <c r="G373" s="441">
        <v>146938.80278253419</v>
      </c>
      <c r="H373" s="73">
        <v>106066.97210684195</v>
      </c>
      <c r="I373" s="5">
        <v>9.1999999999999993</v>
      </c>
      <c r="J373" s="5">
        <v>3455</v>
      </c>
      <c r="K373" s="446"/>
      <c r="L373" s="5">
        <v>3</v>
      </c>
      <c r="M373" s="5">
        <v>102220</v>
      </c>
      <c r="N373" s="35"/>
      <c r="O373" s="5">
        <v>0</v>
      </c>
      <c r="P373" s="5">
        <v>0</v>
      </c>
      <c r="Q373" s="447"/>
      <c r="R373" s="5">
        <v>0</v>
      </c>
      <c r="S373" s="5">
        <v>0</v>
      </c>
      <c r="T373" s="448"/>
      <c r="U373" s="5">
        <v>0</v>
      </c>
      <c r="V373" s="5">
        <v>0</v>
      </c>
      <c r="W373" s="5">
        <v>24</v>
      </c>
      <c r="X373" s="5">
        <v>2935.4527825341702</v>
      </c>
      <c r="Y373" s="5">
        <v>22279</v>
      </c>
      <c r="Z373" s="5">
        <v>0</v>
      </c>
      <c r="AA373" s="5">
        <v>0</v>
      </c>
      <c r="AB373" s="5">
        <v>140</v>
      </c>
      <c r="AC373" s="5">
        <v>4996</v>
      </c>
      <c r="AD373" s="5">
        <v>10913.35</v>
      </c>
      <c r="AE373" s="5">
        <v>2377.3220224647912</v>
      </c>
      <c r="AF373" s="5">
        <v>449</v>
      </c>
      <c r="AG373" s="5"/>
      <c r="AH373" s="5">
        <v>3213.8517921635189</v>
      </c>
      <c r="AI373" s="5">
        <v>8945</v>
      </c>
      <c r="AJ373" s="5"/>
      <c r="AK373" s="5">
        <v>1686.9181693722812</v>
      </c>
      <c r="AL373" s="5">
        <v>981</v>
      </c>
      <c r="AM373" s="5"/>
      <c r="AN373" s="5">
        <v>0</v>
      </c>
      <c r="AO373" s="5">
        <v>648</v>
      </c>
      <c r="AP373" s="5"/>
      <c r="AQ373" s="5">
        <v>0</v>
      </c>
      <c r="AR373" s="5">
        <v>0</v>
      </c>
      <c r="AS373" s="5"/>
      <c r="AT373" s="5">
        <v>1780.9872626303306</v>
      </c>
      <c r="AU373" s="5">
        <v>860</v>
      </c>
      <c r="AV373" s="5"/>
      <c r="AW373" s="5">
        <v>81.364500000000007</v>
      </c>
      <c r="AX373" s="5">
        <v>0</v>
      </c>
      <c r="AY373" s="5"/>
      <c r="AZ373" s="40">
        <v>9140.4437466309209</v>
      </c>
      <c r="BA373" s="40">
        <v>11883</v>
      </c>
      <c r="BB373" s="55">
        <v>2742.5562533690791</v>
      </c>
      <c r="BD373" s="2">
        <v>3</v>
      </c>
      <c r="BF373" s="325">
        <v>150000896</v>
      </c>
    </row>
    <row r="374" spans="1:58" ht="25.05" customHeight="1" x14ac:dyDescent="0.3">
      <c r="A374" s="325">
        <v>150000898</v>
      </c>
      <c r="B374" s="445" t="s">
        <v>191</v>
      </c>
      <c r="C374" s="27">
        <v>2</v>
      </c>
      <c r="D374" s="101" t="s">
        <v>455</v>
      </c>
      <c r="E374" s="279">
        <v>472.1</v>
      </c>
      <c r="F374" s="441">
        <v>6499.1657855600497</v>
      </c>
      <c r="G374" s="441">
        <v>357</v>
      </c>
      <c r="H374" s="73">
        <v>-6142.1657855600497</v>
      </c>
      <c r="I374" s="5">
        <v>0</v>
      </c>
      <c r="J374" s="5">
        <v>0</v>
      </c>
      <c r="K374" s="446"/>
      <c r="L374" s="5">
        <v>0</v>
      </c>
      <c r="M374" s="5">
        <v>0</v>
      </c>
      <c r="N374" s="35"/>
      <c r="O374" s="5">
        <v>0</v>
      </c>
      <c r="P374" s="5">
        <v>0</v>
      </c>
      <c r="Q374" s="447"/>
      <c r="R374" s="5">
        <v>0</v>
      </c>
      <c r="S374" s="5">
        <v>0</v>
      </c>
      <c r="T374" s="448"/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357</v>
      </c>
      <c r="AE374" s="5">
        <v>475.52485770138179</v>
      </c>
      <c r="AF374" s="5">
        <v>0</v>
      </c>
      <c r="AG374" s="5"/>
      <c r="AH374" s="5">
        <v>710.47360238369549</v>
      </c>
      <c r="AI374" s="5">
        <v>0</v>
      </c>
      <c r="AJ374" s="5"/>
      <c r="AK374" s="5">
        <v>170.65177968749666</v>
      </c>
      <c r="AL374" s="5">
        <v>0</v>
      </c>
      <c r="AM374" s="5"/>
      <c r="AN374" s="5">
        <v>0</v>
      </c>
      <c r="AO374" s="5">
        <v>0</v>
      </c>
      <c r="AP374" s="5"/>
      <c r="AQ374" s="5">
        <v>0</v>
      </c>
      <c r="AR374" s="5">
        <v>0</v>
      </c>
      <c r="AS374" s="5"/>
      <c r="AT374" s="5">
        <v>54.940227032600141</v>
      </c>
      <c r="AU374" s="5">
        <v>0</v>
      </c>
      <c r="AV374" s="5"/>
      <c r="AW374" s="5">
        <v>14.163</v>
      </c>
      <c r="AX374" s="5">
        <v>0</v>
      </c>
      <c r="AY374" s="5"/>
      <c r="AZ374" s="40">
        <v>1425.7534668051742</v>
      </c>
      <c r="BA374" s="40">
        <v>0</v>
      </c>
      <c r="BB374" s="55">
        <v>-1425.7534668051742</v>
      </c>
      <c r="BD374" s="2">
        <v>3</v>
      </c>
      <c r="BF374" s="325">
        <v>150000898</v>
      </c>
    </row>
    <row r="375" spans="1:58" ht="25.05" customHeight="1" x14ac:dyDescent="0.3">
      <c r="A375" s="325">
        <v>150000899</v>
      </c>
      <c r="B375" s="445" t="s">
        <v>403</v>
      </c>
      <c r="C375" s="27">
        <v>9</v>
      </c>
      <c r="D375" s="101" t="s">
        <v>455</v>
      </c>
      <c r="E375" s="279">
        <v>6212</v>
      </c>
      <c r="F375" s="441">
        <v>85754.167903633483</v>
      </c>
      <c r="G375" s="441">
        <v>48440</v>
      </c>
      <c r="H375" s="73">
        <v>-37314.167903633483</v>
      </c>
      <c r="I375" s="5">
        <v>54.9</v>
      </c>
      <c r="J375" s="5">
        <v>38855</v>
      </c>
      <c r="K375" s="446"/>
      <c r="L375" s="5">
        <v>0</v>
      </c>
      <c r="M375" s="5">
        <v>0</v>
      </c>
      <c r="N375" s="35"/>
      <c r="O375" s="5">
        <v>0</v>
      </c>
      <c r="P375" s="5">
        <v>0</v>
      </c>
      <c r="Q375" s="447"/>
      <c r="R375" s="5">
        <v>1</v>
      </c>
      <c r="S375" s="5">
        <v>482</v>
      </c>
      <c r="T375" s="456"/>
      <c r="U375" s="5">
        <v>0</v>
      </c>
      <c r="V375" s="5">
        <v>0</v>
      </c>
      <c r="W375" s="5">
        <v>0</v>
      </c>
      <c r="X375" s="5">
        <v>0</v>
      </c>
      <c r="Y375" s="5">
        <v>5938</v>
      </c>
      <c r="Z375" s="5">
        <v>0</v>
      </c>
      <c r="AA375" s="5">
        <v>0</v>
      </c>
      <c r="AB375" s="5">
        <v>0</v>
      </c>
      <c r="AC375" s="5">
        <v>0</v>
      </c>
      <c r="AD375" s="5">
        <v>3165</v>
      </c>
      <c r="AE375" s="5">
        <v>3967.4994720495542</v>
      </c>
      <c r="AF375" s="5">
        <v>1773</v>
      </c>
      <c r="AG375" s="5"/>
      <c r="AH375" s="5">
        <v>4740.445090562027</v>
      </c>
      <c r="AI375" s="5">
        <v>0</v>
      </c>
      <c r="AJ375" s="454"/>
      <c r="AK375" s="5">
        <v>3337.696610880816</v>
      </c>
      <c r="AL375" s="5">
        <v>1308</v>
      </c>
      <c r="AM375" s="5"/>
      <c r="AN375" s="5">
        <v>2850.3904161853488</v>
      </c>
      <c r="AO375" s="5">
        <v>0</v>
      </c>
      <c r="AP375" s="5"/>
      <c r="AQ375" s="5">
        <v>1385.6021579763128</v>
      </c>
      <c r="AR375" s="5">
        <v>17</v>
      </c>
      <c r="AS375" s="5"/>
      <c r="AT375" s="5">
        <v>1730.3515646596957</v>
      </c>
      <c r="AU375" s="5">
        <v>0</v>
      </c>
      <c r="AV375" s="8"/>
      <c r="AW375" s="5">
        <v>186.32849999999999</v>
      </c>
      <c r="AX375" s="5">
        <v>0</v>
      </c>
      <c r="AY375" s="5"/>
      <c r="AZ375" s="40">
        <v>18198.313812313754</v>
      </c>
      <c r="BA375" s="40">
        <v>3098</v>
      </c>
      <c r="BB375" s="55">
        <v>-15100.313812313754</v>
      </c>
      <c r="BD375" s="2">
        <v>3</v>
      </c>
      <c r="BF375" s="325">
        <v>150000899</v>
      </c>
    </row>
    <row r="376" spans="1:58" ht="25.05" customHeight="1" x14ac:dyDescent="0.3">
      <c r="A376" s="325">
        <v>150000900</v>
      </c>
      <c r="B376" s="445" t="s">
        <v>426</v>
      </c>
      <c r="C376" s="27">
        <v>14</v>
      </c>
      <c r="D376" s="101" t="s">
        <v>455</v>
      </c>
      <c r="E376" s="279">
        <v>4357.8100000000004</v>
      </c>
      <c r="F376" s="441">
        <v>56443.366059800173</v>
      </c>
      <c r="G376" s="441">
        <v>15743</v>
      </c>
      <c r="H376" s="73">
        <v>-40700.366059800173</v>
      </c>
      <c r="I376" s="5">
        <v>0</v>
      </c>
      <c r="J376" s="5">
        <v>0</v>
      </c>
      <c r="K376" s="446"/>
      <c r="L376" s="5">
        <v>0</v>
      </c>
      <c r="M376" s="5">
        <v>0</v>
      </c>
      <c r="N376" s="35"/>
      <c r="O376" s="5">
        <v>0</v>
      </c>
      <c r="P376" s="5">
        <v>0</v>
      </c>
      <c r="Q376" s="447"/>
      <c r="R376" s="5">
        <v>3</v>
      </c>
      <c r="S376" s="5">
        <v>3280</v>
      </c>
      <c r="T376" s="448"/>
      <c r="U376" s="5">
        <v>0</v>
      </c>
      <c r="V376" s="5">
        <v>0</v>
      </c>
      <c r="W376" s="5">
        <v>0</v>
      </c>
      <c r="X376" s="5">
        <v>0</v>
      </c>
      <c r="Y376" s="5">
        <v>443</v>
      </c>
      <c r="Z376" s="5">
        <v>0</v>
      </c>
      <c r="AA376" s="5">
        <v>0</v>
      </c>
      <c r="AB376" s="5">
        <v>0</v>
      </c>
      <c r="AC376" s="5">
        <v>11842</v>
      </c>
      <c r="AD376" s="5">
        <v>178</v>
      </c>
      <c r="AE376" s="5">
        <v>4541.4676926277953</v>
      </c>
      <c r="AF376" s="5">
        <v>0</v>
      </c>
      <c r="AG376" s="5"/>
      <c r="AH376" s="5">
        <v>1521.1195056307899</v>
      </c>
      <c r="AI376" s="5">
        <v>0</v>
      </c>
      <c r="AJ376" s="5"/>
      <c r="AK376" s="5">
        <v>2138.2876394043919</v>
      </c>
      <c r="AL376" s="5">
        <v>0</v>
      </c>
      <c r="AM376" s="8"/>
      <c r="AN376" s="5">
        <v>1960.9899003302078</v>
      </c>
      <c r="AO376" s="5">
        <v>0</v>
      </c>
      <c r="AP376" s="5"/>
      <c r="AQ376" s="5">
        <v>944.73872933113978</v>
      </c>
      <c r="AR376" s="5">
        <v>0</v>
      </c>
      <c r="AS376" s="5"/>
      <c r="AT376" s="5">
        <v>943.42170349896367</v>
      </c>
      <c r="AU376" s="5">
        <v>0</v>
      </c>
      <c r="AV376" s="5"/>
      <c r="AW376" s="5">
        <v>0</v>
      </c>
      <c r="AX376" s="5">
        <v>0</v>
      </c>
      <c r="AY376" s="5"/>
      <c r="AZ376" s="40">
        <v>12050.025170823288</v>
      </c>
      <c r="BA376" s="40">
        <v>0</v>
      </c>
      <c r="BB376" s="55">
        <v>-12050.025170823288</v>
      </c>
      <c r="BD376" s="2">
        <v>3</v>
      </c>
      <c r="BF376" s="325">
        <v>150000900</v>
      </c>
    </row>
    <row r="377" spans="1:58" ht="25.05" customHeight="1" x14ac:dyDescent="0.3">
      <c r="A377" s="325">
        <v>150000901</v>
      </c>
      <c r="B377" s="445" t="s">
        <v>425</v>
      </c>
      <c r="C377" s="27">
        <v>10</v>
      </c>
      <c r="D377" s="101" t="s">
        <v>455</v>
      </c>
      <c r="E377" s="279">
        <v>9955.5999999999985</v>
      </c>
      <c r="F377" s="441">
        <v>130250.86896256542</v>
      </c>
      <c r="G377" s="441">
        <v>46664.51</v>
      </c>
      <c r="H377" s="73">
        <v>-83586.358962565428</v>
      </c>
      <c r="I377" s="5">
        <v>8.6999999999999993</v>
      </c>
      <c r="J377" s="5">
        <v>1489.07</v>
      </c>
      <c r="K377" s="446"/>
      <c r="L377" s="5">
        <v>0</v>
      </c>
      <c r="M377" s="5">
        <v>0</v>
      </c>
      <c r="N377" s="35"/>
      <c r="O377" s="5">
        <v>0</v>
      </c>
      <c r="P377" s="5">
        <v>0</v>
      </c>
      <c r="Q377" s="447"/>
      <c r="R377" s="5">
        <v>6</v>
      </c>
      <c r="S377" s="5">
        <v>23935.02</v>
      </c>
      <c r="T377" s="456"/>
      <c r="U377" s="5">
        <v>0</v>
      </c>
      <c r="V377" s="5">
        <v>0</v>
      </c>
      <c r="W377" s="5">
        <v>0</v>
      </c>
      <c r="X377" s="5">
        <v>0</v>
      </c>
      <c r="Y377" s="5">
        <v>12696.73</v>
      </c>
      <c r="Z377" s="5">
        <v>0</v>
      </c>
      <c r="AA377" s="5">
        <v>0</v>
      </c>
      <c r="AB377" s="5">
        <v>1331.4</v>
      </c>
      <c r="AC377" s="5">
        <v>3915.29</v>
      </c>
      <c r="AD377" s="5">
        <v>3297</v>
      </c>
      <c r="AE377" s="5">
        <v>5566.1531769585572</v>
      </c>
      <c r="AF377" s="5">
        <v>3523</v>
      </c>
      <c r="AG377" s="454"/>
      <c r="AH377" s="5">
        <v>6858.8794405515919</v>
      </c>
      <c r="AI377" s="5">
        <v>3769.01</v>
      </c>
      <c r="AJ377" s="8"/>
      <c r="AK377" s="5">
        <v>4628.4230568996682</v>
      </c>
      <c r="AL377" s="5">
        <v>7174</v>
      </c>
      <c r="AM377" s="8"/>
      <c r="AN377" s="5">
        <v>4170.7622056453138</v>
      </c>
      <c r="AO377" s="5">
        <v>0</v>
      </c>
      <c r="AP377" s="5"/>
      <c r="AQ377" s="5">
        <v>1973.3779282725197</v>
      </c>
      <c r="AR377" s="5">
        <v>3404</v>
      </c>
      <c r="AS377" s="454"/>
      <c r="AT377" s="5">
        <v>2551.4439761515387</v>
      </c>
      <c r="AU377" s="5">
        <v>0</v>
      </c>
      <c r="AV377" s="5"/>
      <c r="AW377" s="5">
        <v>297.64799999999997</v>
      </c>
      <c r="AX377" s="5">
        <v>0</v>
      </c>
      <c r="AY377" s="5"/>
      <c r="AZ377" s="40">
        <v>26046.687784479189</v>
      </c>
      <c r="BA377" s="40">
        <v>17870.010000000002</v>
      </c>
      <c r="BB377" s="55">
        <v>-8176.6777844791868</v>
      </c>
      <c r="BD377" s="2">
        <v>3</v>
      </c>
      <c r="BF377" s="325">
        <v>150000901</v>
      </c>
    </row>
    <row r="378" spans="1:58" ht="25.05" customHeight="1" x14ac:dyDescent="0.3">
      <c r="A378" s="325">
        <v>150000902</v>
      </c>
      <c r="B378" s="445" t="s">
        <v>404</v>
      </c>
      <c r="C378" s="27">
        <v>9</v>
      </c>
      <c r="D378" s="101" t="s">
        <v>455</v>
      </c>
      <c r="E378" s="279">
        <v>3581.3</v>
      </c>
      <c r="F378" s="441">
        <v>57430.264608301404</v>
      </c>
      <c r="G378" s="441">
        <v>1470.34</v>
      </c>
      <c r="H378" s="73">
        <v>-55959.924608301408</v>
      </c>
      <c r="I378" s="5">
        <v>0</v>
      </c>
      <c r="J378" s="5">
        <v>0</v>
      </c>
      <c r="K378" s="446"/>
      <c r="L378" s="5">
        <v>0</v>
      </c>
      <c r="M378" s="5">
        <v>0</v>
      </c>
      <c r="N378" s="35"/>
      <c r="O378" s="5">
        <v>0</v>
      </c>
      <c r="P378" s="5">
        <v>0</v>
      </c>
      <c r="Q378" s="447"/>
      <c r="R378" s="5">
        <v>0</v>
      </c>
      <c r="S378" s="5">
        <v>0</v>
      </c>
      <c r="T378" s="448"/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526.33999999999992</v>
      </c>
      <c r="AC378" s="5">
        <v>0</v>
      </c>
      <c r="AD378" s="5">
        <v>944</v>
      </c>
      <c r="AE378" s="5">
        <v>1684.3888621985463</v>
      </c>
      <c r="AF378" s="5">
        <v>301</v>
      </c>
      <c r="AG378" s="454"/>
      <c r="AH378" s="5">
        <v>3128.0241899987054</v>
      </c>
      <c r="AI378" s="5">
        <v>0</v>
      </c>
      <c r="AJ378" s="5"/>
      <c r="AK378" s="5">
        <v>1887.1650872972177</v>
      </c>
      <c r="AL378" s="5">
        <v>0</v>
      </c>
      <c r="AM378" s="8"/>
      <c r="AN378" s="5">
        <v>1678.2340397118026</v>
      </c>
      <c r="AO378" s="5">
        <v>760</v>
      </c>
      <c r="AP378" s="5"/>
      <c r="AQ378" s="5">
        <v>923.71373565197098</v>
      </c>
      <c r="AR378" s="5">
        <v>17</v>
      </c>
      <c r="AS378" s="454"/>
      <c r="AT378" s="5">
        <v>2071.4022964093992</v>
      </c>
      <c r="AU378" s="5">
        <v>124</v>
      </c>
      <c r="AV378" s="8"/>
      <c r="AW378" s="5">
        <v>107.43900000000001</v>
      </c>
      <c r="AX378" s="5">
        <v>0</v>
      </c>
      <c r="AY378" s="5"/>
      <c r="AZ378" s="40">
        <v>11480.367211267641</v>
      </c>
      <c r="BA378" s="40">
        <v>1202</v>
      </c>
      <c r="BB378" s="55">
        <v>-10278.367211267641</v>
      </c>
      <c r="BD378" s="2">
        <v>3</v>
      </c>
      <c r="BF378" s="325">
        <v>150000902</v>
      </c>
    </row>
    <row r="379" spans="1:58" ht="25.05" customHeight="1" x14ac:dyDescent="0.3">
      <c r="A379" s="325">
        <v>150000903</v>
      </c>
      <c r="B379" s="445" t="s">
        <v>405</v>
      </c>
      <c r="C379" s="27">
        <v>9</v>
      </c>
      <c r="D379" s="101" t="s">
        <v>455</v>
      </c>
      <c r="E379" s="279">
        <v>4073.8</v>
      </c>
      <c r="F379" s="441">
        <v>63539.586632077364</v>
      </c>
      <c r="G379" s="441">
        <v>23121.35</v>
      </c>
      <c r="H379" s="73">
        <v>-40418.236632077365</v>
      </c>
      <c r="I379" s="5">
        <v>0</v>
      </c>
      <c r="J379" s="5">
        <v>0</v>
      </c>
      <c r="K379" s="446"/>
      <c r="L379" s="5">
        <v>0</v>
      </c>
      <c r="M379" s="5">
        <v>0</v>
      </c>
      <c r="N379" s="35"/>
      <c r="O379" s="5">
        <v>0</v>
      </c>
      <c r="P379" s="5">
        <v>0</v>
      </c>
      <c r="Q379" s="447"/>
      <c r="R379" s="5">
        <v>3</v>
      </c>
      <c r="S379" s="5">
        <v>15111</v>
      </c>
      <c r="T379" s="451"/>
      <c r="U379" s="5">
        <v>0</v>
      </c>
      <c r="V379" s="5">
        <v>0</v>
      </c>
      <c r="W379" s="5">
        <v>0</v>
      </c>
      <c r="X379" s="5">
        <v>0</v>
      </c>
      <c r="Y379" s="5">
        <v>3094</v>
      </c>
      <c r="Z379" s="5">
        <v>0</v>
      </c>
      <c r="AA379" s="5">
        <v>0</v>
      </c>
      <c r="AB379" s="5">
        <v>3148</v>
      </c>
      <c r="AC379" s="5">
        <v>1194</v>
      </c>
      <c r="AD379" s="5">
        <v>574.35</v>
      </c>
      <c r="AE379" s="5">
        <v>1701.6881526340917</v>
      </c>
      <c r="AF379" s="5">
        <v>829</v>
      </c>
      <c r="AG379" s="5"/>
      <c r="AH379" s="5">
        <v>1813.8256446914793</v>
      </c>
      <c r="AI379" s="5">
        <v>0</v>
      </c>
      <c r="AJ379" s="5"/>
      <c r="AK379" s="5">
        <v>2137.4533022570308</v>
      </c>
      <c r="AL379" s="5">
        <v>0</v>
      </c>
      <c r="AM379" s="8"/>
      <c r="AN379" s="5">
        <v>2043.0416122138429</v>
      </c>
      <c r="AO379" s="5">
        <v>0</v>
      </c>
      <c r="AP379" s="5"/>
      <c r="AQ379" s="5">
        <v>923.71373565197098</v>
      </c>
      <c r="AR379" s="5">
        <v>8258</v>
      </c>
      <c r="AS379" s="5"/>
      <c r="AT379" s="5">
        <v>1881.2568608144006</v>
      </c>
      <c r="AU379" s="5">
        <v>479</v>
      </c>
      <c r="AV379" s="5"/>
      <c r="AW379" s="5">
        <v>122.19900000000001</v>
      </c>
      <c r="AX379" s="5">
        <v>0</v>
      </c>
      <c r="AY379" s="5"/>
      <c r="AZ379" s="40">
        <v>10623.178308262817</v>
      </c>
      <c r="BA379" s="40">
        <v>9566</v>
      </c>
      <c r="BB379" s="55">
        <v>-1057.1783082628172</v>
      </c>
      <c r="BD379" s="2">
        <v>3</v>
      </c>
      <c r="BF379" s="325">
        <v>150000903</v>
      </c>
    </row>
    <row r="380" spans="1:58" ht="26.25" customHeight="1" x14ac:dyDescent="0.3">
      <c r="A380" s="325">
        <v>150000904</v>
      </c>
      <c r="B380" s="445" t="s">
        <v>406</v>
      </c>
      <c r="C380" s="27">
        <v>9</v>
      </c>
      <c r="D380" s="101" t="s">
        <v>455</v>
      </c>
      <c r="E380" s="279">
        <v>4387.3</v>
      </c>
      <c r="F380" s="441">
        <v>60933.523616502353</v>
      </c>
      <c r="G380" s="441">
        <v>55067.69</v>
      </c>
      <c r="H380" s="73">
        <v>-5865.8336165023502</v>
      </c>
      <c r="I380" s="5">
        <v>47.3</v>
      </c>
      <c r="J380" s="5">
        <v>39714</v>
      </c>
      <c r="K380" s="446"/>
      <c r="L380" s="5">
        <v>0</v>
      </c>
      <c r="M380" s="5">
        <v>2089.69</v>
      </c>
      <c r="N380" s="35"/>
      <c r="O380" s="5">
        <v>0</v>
      </c>
      <c r="P380" s="5">
        <v>0</v>
      </c>
      <c r="Q380" s="447"/>
      <c r="R380" s="5">
        <v>2</v>
      </c>
      <c r="S380" s="5">
        <v>757</v>
      </c>
      <c r="T380" s="448"/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132</v>
      </c>
      <c r="AC380" s="5">
        <v>10708</v>
      </c>
      <c r="AD380" s="5">
        <v>1667</v>
      </c>
      <c r="AE380" s="5">
        <v>2458.0454260138913</v>
      </c>
      <c r="AF380" s="5">
        <v>1472</v>
      </c>
      <c r="AG380" s="5"/>
      <c r="AH380" s="5">
        <v>3167.9448764865524</v>
      </c>
      <c r="AI380" s="5">
        <v>0</v>
      </c>
      <c r="AJ380" s="5"/>
      <c r="AK380" s="5">
        <v>2395.3799307333697</v>
      </c>
      <c r="AL380" s="5">
        <v>0</v>
      </c>
      <c r="AM380" s="5"/>
      <c r="AN380" s="5">
        <v>2047.863040710989</v>
      </c>
      <c r="AO380" s="5">
        <v>1953</v>
      </c>
      <c r="AP380" s="5"/>
      <c r="AQ380" s="5">
        <v>923.71373565197098</v>
      </c>
      <c r="AR380" s="5">
        <v>0</v>
      </c>
      <c r="AS380" s="5"/>
      <c r="AT380" s="5">
        <v>1479.6338144364843</v>
      </c>
      <c r="AU380" s="5">
        <v>371</v>
      </c>
      <c r="AV380" s="5"/>
      <c r="AW380" s="5">
        <v>131.61900000000003</v>
      </c>
      <c r="AX380" s="5">
        <v>0</v>
      </c>
      <c r="AY380" s="5"/>
      <c r="AZ380" s="40">
        <v>12604.199824033258</v>
      </c>
      <c r="BA380" s="40">
        <v>3796</v>
      </c>
      <c r="BB380" s="55">
        <v>-8808.1998240332578</v>
      </c>
      <c r="BD380" s="2">
        <v>3</v>
      </c>
      <c r="BF380" s="325">
        <v>150000904</v>
      </c>
    </row>
    <row r="381" spans="1:58" ht="25.05" customHeight="1" x14ac:dyDescent="0.3">
      <c r="A381" s="325">
        <v>150000905</v>
      </c>
      <c r="B381" s="445" t="s">
        <v>427</v>
      </c>
      <c r="C381" s="27">
        <v>14</v>
      </c>
      <c r="D381" s="101" t="s">
        <v>455</v>
      </c>
      <c r="E381" s="279">
        <v>5222.9000000000005</v>
      </c>
      <c r="F381" s="441">
        <v>65670.056890676526</v>
      </c>
      <c r="G381" s="441">
        <v>44094.250000000007</v>
      </c>
      <c r="H381" s="73">
        <v>-21575.806890676518</v>
      </c>
      <c r="I381" s="5">
        <v>0</v>
      </c>
      <c r="J381" s="5">
        <v>0</v>
      </c>
      <c r="K381" s="446"/>
      <c r="L381" s="5">
        <v>0</v>
      </c>
      <c r="M381" s="5">
        <v>5817</v>
      </c>
      <c r="N381" s="35"/>
      <c r="O381" s="5">
        <v>0</v>
      </c>
      <c r="P381" s="5">
        <v>0</v>
      </c>
      <c r="Q381" s="447"/>
      <c r="R381" s="5">
        <v>5</v>
      </c>
      <c r="S381" s="5">
        <v>34781.270000000004</v>
      </c>
      <c r="T381" s="448"/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1462.98</v>
      </c>
      <c r="AD381" s="5">
        <v>2033</v>
      </c>
      <c r="AE381" s="5">
        <v>2045.2369264395888</v>
      </c>
      <c r="AF381" s="5">
        <v>0</v>
      </c>
      <c r="AG381" s="5"/>
      <c r="AH381" s="5">
        <v>2280.2579046548326</v>
      </c>
      <c r="AI381" s="5">
        <v>0</v>
      </c>
      <c r="AJ381" s="5"/>
      <c r="AK381" s="5">
        <v>3147.2708435118097</v>
      </c>
      <c r="AL381" s="5">
        <v>0</v>
      </c>
      <c r="AM381" s="5"/>
      <c r="AN381" s="5">
        <v>2295.7100550769978</v>
      </c>
      <c r="AO381" s="5">
        <v>1176</v>
      </c>
      <c r="AP381" s="5"/>
      <c r="AQ381" s="5">
        <v>944.73872933113978</v>
      </c>
      <c r="AR381" s="5">
        <v>0</v>
      </c>
      <c r="AS381" s="5"/>
      <c r="AT381" s="5">
        <v>1559.3576238677738</v>
      </c>
      <c r="AU381" s="5">
        <v>0</v>
      </c>
      <c r="AV381" s="5"/>
      <c r="AW381" s="5">
        <v>0</v>
      </c>
      <c r="AX381" s="5">
        <v>0</v>
      </c>
      <c r="AY381" s="5"/>
      <c r="AZ381" s="40">
        <v>12272.572082882143</v>
      </c>
      <c r="BA381" s="40">
        <v>1176</v>
      </c>
      <c r="BB381" s="55">
        <v>-11096.572082882143</v>
      </c>
      <c r="BD381" s="2">
        <v>3</v>
      </c>
      <c r="BF381" s="325">
        <v>150000905</v>
      </c>
    </row>
    <row r="382" spans="1:58" ht="25.05" customHeight="1" x14ac:dyDescent="0.3">
      <c r="A382" s="325">
        <v>150000906</v>
      </c>
      <c r="B382" s="445" t="s">
        <v>407</v>
      </c>
      <c r="C382" s="27">
        <v>9</v>
      </c>
      <c r="D382" s="101" t="s">
        <v>455</v>
      </c>
      <c r="E382" s="279">
        <v>3936.36</v>
      </c>
      <c r="F382" s="441">
        <v>68339.393317520153</v>
      </c>
      <c r="G382" s="441">
        <v>17353</v>
      </c>
      <c r="H382" s="73">
        <v>-50986.393317520153</v>
      </c>
      <c r="I382" s="5">
        <v>0</v>
      </c>
      <c r="J382" s="5">
        <v>0</v>
      </c>
      <c r="K382" s="446"/>
      <c r="L382" s="5">
        <v>0</v>
      </c>
      <c r="M382" s="5">
        <v>0</v>
      </c>
      <c r="N382" s="35"/>
      <c r="O382" s="5">
        <v>0</v>
      </c>
      <c r="P382" s="5">
        <v>0</v>
      </c>
      <c r="Q382" s="455"/>
      <c r="R382" s="5">
        <v>2</v>
      </c>
      <c r="S382" s="5">
        <v>7643</v>
      </c>
      <c r="T382" s="448"/>
      <c r="U382" s="5">
        <v>0</v>
      </c>
      <c r="V382" s="5">
        <v>0</v>
      </c>
      <c r="W382" s="5">
        <v>0</v>
      </c>
      <c r="X382" s="5">
        <v>0</v>
      </c>
      <c r="Y382" s="5">
        <v>1858</v>
      </c>
      <c r="Z382" s="5">
        <v>0</v>
      </c>
      <c r="AA382" s="5">
        <v>0</v>
      </c>
      <c r="AB382" s="5">
        <v>4647</v>
      </c>
      <c r="AC382" s="5">
        <v>1861</v>
      </c>
      <c r="AD382" s="5">
        <v>1344</v>
      </c>
      <c r="AE382" s="5">
        <v>1309.7965276129123</v>
      </c>
      <c r="AF382" s="5">
        <v>0</v>
      </c>
      <c r="AG382" s="454"/>
      <c r="AH382" s="5">
        <v>2582.8627508281625</v>
      </c>
      <c r="AI382" s="5">
        <v>0</v>
      </c>
      <c r="AJ382" s="5"/>
      <c r="AK382" s="5">
        <v>1476.3723564622469</v>
      </c>
      <c r="AL382" s="5">
        <v>0</v>
      </c>
      <c r="AM382" s="5"/>
      <c r="AN382" s="5">
        <v>1616.3201217269545</v>
      </c>
      <c r="AO382" s="5">
        <v>0</v>
      </c>
      <c r="AP382" s="5"/>
      <c r="AQ382" s="5">
        <v>804.98351208428267</v>
      </c>
      <c r="AR382" s="5">
        <v>4296</v>
      </c>
      <c r="AS382" s="460"/>
      <c r="AT382" s="5">
        <v>1758.8826934253293</v>
      </c>
      <c r="AU382" s="5">
        <v>130</v>
      </c>
      <c r="AV382" s="5"/>
      <c r="AW382" s="5">
        <v>118.0692</v>
      </c>
      <c r="AX382" s="5">
        <v>0</v>
      </c>
      <c r="AY382" s="5"/>
      <c r="AZ382" s="40">
        <v>9667.2871621398881</v>
      </c>
      <c r="BA382" s="40">
        <v>4426</v>
      </c>
      <c r="BB382" s="55">
        <v>-5241.2871621398881</v>
      </c>
      <c r="BD382" s="2">
        <v>3</v>
      </c>
      <c r="BF382" s="325">
        <v>150000906</v>
      </c>
    </row>
    <row r="383" spans="1:58" ht="25.05" customHeight="1" x14ac:dyDescent="0.3">
      <c r="A383" s="325">
        <v>150000907</v>
      </c>
      <c r="B383" s="445" t="s">
        <v>408</v>
      </c>
      <c r="C383" s="27">
        <v>9</v>
      </c>
      <c r="D383" s="101" t="s">
        <v>455</v>
      </c>
      <c r="E383" s="279">
        <v>6307.74</v>
      </c>
      <c r="F383" s="441">
        <v>101307.11702531304</v>
      </c>
      <c r="G383" s="441">
        <v>72511.905281191517</v>
      </c>
      <c r="H383" s="73">
        <v>-28795.211744121523</v>
      </c>
      <c r="I383" s="5">
        <v>17.399999999999999</v>
      </c>
      <c r="J383" s="5">
        <v>4073.45</v>
      </c>
      <c r="K383" s="446"/>
      <c r="L383" s="5">
        <v>0</v>
      </c>
      <c r="M383" s="5">
        <v>3234.28</v>
      </c>
      <c r="N383" s="35"/>
      <c r="O383" s="5">
        <v>0</v>
      </c>
      <c r="P383" s="5">
        <v>0</v>
      </c>
      <c r="Q383" s="447"/>
      <c r="R383" s="5">
        <v>5</v>
      </c>
      <c r="S383" s="5">
        <v>11055.34</v>
      </c>
      <c r="T383" s="456"/>
      <c r="U383" s="5">
        <v>0</v>
      </c>
      <c r="V383" s="5">
        <v>0</v>
      </c>
      <c r="W383" s="5">
        <v>5</v>
      </c>
      <c r="X383" s="5">
        <v>7769.8352811915229</v>
      </c>
      <c r="Y383" s="5">
        <v>33142</v>
      </c>
      <c r="Z383" s="5">
        <v>0</v>
      </c>
      <c r="AA383" s="5">
        <v>0</v>
      </c>
      <c r="AB383" s="5">
        <v>357</v>
      </c>
      <c r="AC383" s="5">
        <v>0</v>
      </c>
      <c r="AD383" s="5">
        <v>12880</v>
      </c>
      <c r="AE383" s="5">
        <v>3965.7520304028394</v>
      </c>
      <c r="AF383" s="5">
        <v>759.95</v>
      </c>
      <c r="AG383" s="5"/>
      <c r="AH383" s="5">
        <v>4748.4680072540968</v>
      </c>
      <c r="AI383" s="5">
        <v>16657.34</v>
      </c>
      <c r="AJ383" s="5"/>
      <c r="AK383" s="5">
        <v>6048.6900502878761</v>
      </c>
      <c r="AL383" s="5">
        <v>8069</v>
      </c>
      <c r="AM383" s="466"/>
      <c r="AN383" s="5">
        <v>3687.7997345968224</v>
      </c>
      <c r="AO383" s="5">
        <v>1266</v>
      </c>
      <c r="AP383" s="5"/>
      <c r="AQ383" s="5">
        <v>1385.6021579763128</v>
      </c>
      <c r="AR383" s="5">
        <v>15</v>
      </c>
      <c r="AS383" s="5"/>
      <c r="AT383" s="5">
        <v>3002.9603102463293</v>
      </c>
      <c r="AU383" s="5">
        <v>1732</v>
      </c>
      <c r="AV383" s="5"/>
      <c r="AW383" s="5">
        <v>189.24299999999999</v>
      </c>
      <c r="AX383" s="5">
        <v>0</v>
      </c>
      <c r="AY383" s="5"/>
      <c r="AZ383" s="40">
        <v>23028.515290764273</v>
      </c>
      <c r="BA383" s="40">
        <v>28499.29</v>
      </c>
      <c r="BB383" s="55">
        <v>5470.7747092357276</v>
      </c>
      <c r="BD383" s="2">
        <v>3</v>
      </c>
      <c r="BF383" s="325">
        <v>150000907</v>
      </c>
    </row>
    <row r="384" spans="1:58" ht="25.05" customHeight="1" x14ac:dyDescent="0.3">
      <c r="A384" s="325">
        <v>150000908</v>
      </c>
      <c r="B384" s="445" t="s">
        <v>409</v>
      </c>
      <c r="C384" s="27">
        <v>9</v>
      </c>
      <c r="D384" s="101" t="s">
        <v>455</v>
      </c>
      <c r="E384" s="279">
        <v>6324.72</v>
      </c>
      <c r="F384" s="441">
        <v>99879.25658191918</v>
      </c>
      <c r="G384" s="441">
        <v>74728.815657285202</v>
      </c>
      <c r="H384" s="73">
        <v>-25150.440924633978</v>
      </c>
      <c r="I384" s="5">
        <v>57.900000000000006</v>
      </c>
      <c r="J384" s="5">
        <v>14948.41</v>
      </c>
      <c r="K384" s="446"/>
      <c r="L384" s="5">
        <v>0</v>
      </c>
      <c r="M384" s="5">
        <v>0</v>
      </c>
      <c r="N384" s="35"/>
      <c r="O384" s="5">
        <v>0</v>
      </c>
      <c r="P384" s="5">
        <v>0</v>
      </c>
      <c r="Q384" s="447"/>
      <c r="R384" s="5">
        <v>4</v>
      </c>
      <c r="S384" s="5">
        <v>20450.29</v>
      </c>
      <c r="T384" s="456"/>
      <c r="U384" s="5">
        <v>23211</v>
      </c>
      <c r="V384" s="5">
        <v>0</v>
      </c>
      <c r="W384" s="5">
        <v>7</v>
      </c>
      <c r="X384" s="5">
        <v>6996.1156572852033</v>
      </c>
      <c r="Y384" s="5">
        <v>3529</v>
      </c>
      <c r="Z384" s="5">
        <v>0</v>
      </c>
      <c r="AA384" s="5">
        <v>0</v>
      </c>
      <c r="AB384" s="5">
        <v>0</v>
      </c>
      <c r="AC384" s="5">
        <v>4715</v>
      </c>
      <c r="AD384" s="5">
        <v>879</v>
      </c>
      <c r="AE384" s="5">
        <v>3971.4903188415237</v>
      </c>
      <c r="AF384" s="5">
        <v>71</v>
      </c>
      <c r="AG384" s="5"/>
      <c r="AH384" s="5">
        <v>4758.0694595928626</v>
      </c>
      <c r="AI384" s="5">
        <v>0</v>
      </c>
      <c r="AJ384" s="5"/>
      <c r="AK384" s="5">
        <v>5886.149119638817</v>
      </c>
      <c r="AL384" s="5">
        <v>2980</v>
      </c>
      <c r="AM384" s="454"/>
      <c r="AN384" s="5">
        <v>3688.6348198940709</v>
      </c>
      <c r="AO384" s="5">
        <v>0</v>
      </c>
      <c r="AP384" s="5"/>
      <c r="AQ384" s="5">
        <v>1385.6021579763128</v>
      </c>
      <c r="AR384" s="5">
        <v>16</v>
      </c>
      <c r="AS384" s="5"/>
      <c r="AT384" s="5">
        <v>3024.2501215253333</v>
      </c>
      <c r="AU384" s="5">
        <v>459</v>
      </c>
      <c r="AV384" s="5"/>
      <c r="AW384" s="5">
        <v>189.50490000000002</v>
      </c>
      <c r="AX384" s="5">
        <v>0</v>
      </c>
      <c r="AY384" s="5"/>
      <c r="AZ384" s="40">
        <v>22903.70089746892</v>
      </c>
      <c r="BA384" s="40">
        <v>3526</v>
      </c>
      <c r="BB384" s="55">
        <v>-19377.70089746892</v>
      </c>
      <c r="BD384" s="2">
        <v>3</v>
      </c>
      <c r="BF384" s="325">
        <v>150000908</v>
      </c>
    </row>
    <row r="385" spans="1:58" ht="25.05" customHeight="1" x14ac:dyDescent="0.3">
      <c r="A385" s="325">
        <v>150000909</v>
      </c>
      <c r="B385" s="445" t="s">
        <v>410</v>
      </c>
      <c r="C385" s="27">
        <v>9</v>
      </c>
      <c r="D385" s="101" t="s">
        <v>455</v>
      </c>
      <c r="E385" s="279">
        <v>6335.19</v>
      </c>
      <c r="F385" s="441">
        <v>99550.942004870187</v>
      </c>
      <c r="G385" s="441">
        <v>81203.347413247495</v>
      </c>
      <c r="H385" s="73">
        <v>-18347.594591622692</v>
      </c>
      <c r="I385" s="5">
        <v>223.7</v>
      </c>
      <c r="J385" s="5">
        <v>46642.16</v>
      </c>
      <c r="K385" s="453"/>
      <c r="L385" s="5">
        <v>0</v>
      </c>
      <c r="M385" s="5">
        <v>0</v>
      </c>
      <c r="N385" s="35"/>
      <c r="O385" s="5">
        <v>0</v>
      </c>
      <c r="P385" s="5">
        <v>0</v>
      </c>
      <c r="Q385" s="447"/>
      <c r="R385" s="5">
        <v>2</v>
      </c>
      <c r="S385" s="5">
        <v>19285.54</v>
      </c>
      <c r="T385" s="451"/>
      <c r="U385" s="5">
        <v>0</v>
      </c>
      <c r="V385" s="5">
        <v>0</v>
      </c>
      <c r="W385" s="5">
        <v>9.35</v>
      </c>
      <c r="X385" s="5">
        <v>8437.6474132474777</v>
      </c>
      <c r="Y385" s="5">
        <v>5820</v>
      </c>
      <c r="Z385" s="5">
        <v>0</v>
      </c>
      <c r="AA385" s="5">
        <v>0</v>
      </c>
      <c r="AB385" s="5">
        <v>289</v>
      </c>
      <c r="AC385" s="5">
        <v>0</v>
      </c>
      <c r="AD385" s="5">
        <v>729</v>
      </c>
      <c r="AE385" s="5">
        <v>3945.3214827391239</v>
      </c>
      <c r="AF385" s="5">
        <v>813.95</v>
      </c>
      <c r="AG385" s="8"/>
      <c r="AH385" s="5">
        <v>4732.2492986228954</v>
      </c>
      <c r="AI385" s="5">
        <v>3133.6</v>
      </c>
      <c r="AJ385" s="8"/>
      <c r="AK385" s="5">
        <v>6084.5383653260933</v>
      </c>
      <c r="AL385" s="5">
        <v>1527</v>
      </c>
      <c r="AM385" s="466"/>
      <c r="AN385" s="5">
        <v>3731.6788508242889</v>
      </c>
      <c r="AO385" s="5">
        <v>5509.27</v>
      </c>
      <c r="AP385" s="5"/>
      <c r="AQ385" s="5">
        <v>1385.6021579763128</v>
      </c>
      <c r="AR385" s="5">
        <v>16</v>
      </c>
      <c r="AS385" s="5"/>
      <c r="AT385" s="5">
        <v>2965.9276474446892</v>
      </c>
      <c r="AU385" s="5">
        <v>0</v>
      </c>
      <c r="AV385" s="463"/>
      <c r="AW385" s="5">
        <v>190.06560000000002</v>
      </c>
      <c r="AX385" s="5">
        <v>0</v>
      </c>
      <c r="AY385" s="5"/>
      <c r="AZ385" s="40">
        <v>23035.383402933403</v>
      </c>
      <c r="BA385" s="40">
        <v>10999.82</v>
      </c>
      <c r="BB385" s="55">
        <v>-12035.563402933403</v>
      </c>
      <c r="BD385" s="2">
        <v>3</v>
      </c>
      <c r="BF385" s="325">
        <v>150000909</v>
      </c>
    </row>
    <row r="386" spans="1:58" ht="25.05" customHeight="1" x14ac:dyDescent="0.3">
      <c r="A386" s="325">
        <v>150000910</v>
      </c>
      <c r="B386" s="445" t="s">
        <v>411</v>
      </c>
      <c r="C386" s="27">
        <v>9</v>
      </c>
      <c r="D386" s="101" t="s">
        <v>455</v>
      </c>
      <c r="E386" s="279">
        <v>6347.35</v>
      </c>
      <c r="F386" s="441">
        <v>99662.594913305758</v>
      </c>
      <c r="G386" s="441">
        <v>130864.8249635861</v>
      </c>
      <c r="H386" s="73">
        <v>31202.230050280341</v>
      </c>
      <c r="I386" s="5">
        <v>8.6999999999999993</v>
      </c>
      <c r="J386" s="5">
        <v>3341.45</v>
      </c>
      <c r="K386" s="446"/>
      <c r="L386" s="5">
        <v>0</v>
      </c>
      <c r="M386" s="5">
        <v>0</v>
      </c>
      <c r="N386" s="35"/>
      <c r="O386" s="5">
        <v>0</v>
      </c>
      <c r="P386" s="5">
        <v>0</v>
      </c>
      <c r="Q386" s="447"/>
      <c r="R386" s="5">
        <v>8</v>
      </c>
      <c r="S386" s="5">
        <v>124161.02</v>
      </c>
      <c r="T386" s="448"/>
      <c r="U386" s="5">
        <v>771</v>
      </c>
      <c r="V386" s="5">
        <v>0</v>
      </c>
      <c r="W386" s="5">
        <v>0</v>
      </c>
      <c r="X386" s="5">
        <v>1641.3549635860995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950</v>
      </c>
      <c r="AE386" s="5">
        <v>3939.2972885625395</v>
      </c>
      <c r="AF386" s="5">
        <v>6644.62</v>
      </c>
      <c r="AG386" s="5"/>
      <c r="AH386" s="5">
        <v>4740.445090562027</v>
      </c>
      <c r="AI386" s="5">
        <v>12474.33</v>
      </c>
      <c r="AJ386" s="5"/>
      <c r="AK386" s="5">
        <v>6084.5383653260933</v>
      </c>
      <c r="AL386" s="5">
        <v>3075</v>
      </c>
      <c r="AM386" s="5"/>
      <c r="AN386" s="5">
        <v>3712.0950632530016</v>
      </c>
      <c r="AO386" s="5">
        <v>12383.4</v>
      </c>
      <c r="AP386" s="5"/>
      <c r="AQ386" s="5">
        <v>1385.6021579763128</v>
      </c>
      <c r="AR386" s="5">
        <v>0</v>
      </c>
      <c r="AS386" s="5"/>
      <c r="AT386" s="5">
        <v>2984.36516420821</v>
      </c>
      <c r="AU386" s="5">
        <v>3429</v>
      </c>
      <c r="AV386" s="5"/>
      <c r="AW386" s="5">
        <v>190.41750000000002</v>
      </c>
      <c r="AX386" s="5">
        <v>0</v>
      </c>
      <c r="AY386" s="5"/>
      <c r="AZ386" s="40">
        <v>23036.760629888184</v>
      </c>
      <c r="BA386" s="40">
        <v>38006.35</v>
      </c>
      <c r="BB386" s="55">
        <v>14969.589370111815</v>
      </c>
      <c r="BD386" s="2">
        <v>3</v>
      </c>
      <c r="BF386" s="325">
        <v>150000910</v>
      </c>
    </row>
    <row r="387" spans="1:58" ht="25.05" customHeight="1" x14ac:dyDescent="0.3">
      <c r="A387" s="325">
        <v>150000911</v>
      </c>
      <c r="B387" s="445" t="s">
        <v>319</v>
      </c>
      <c r="C387" s="27">
        <v>5</v>
      </c>
      <c r="D387" s="101" t="s">
        <v>455</v>
      </c>
      <c r="E387" s="279">
        <v>5864.08</v>
      </c>
      <c r="F387" s="441">
        <v>88896.286131224144</v>
      </c>
      <c r="G387" s="441">
        <v>72421.636694895758</v>
      </c>
      <c r="H387" s="73">
        <v>-16474.649436328385</v>
      </c>
      <c r="I387" s="5">
        <v>0</v>
      </c>
      <c r="J387" s="5">
        <v>0</v>
      </c>
      <c r="K387" s="446"/>
      <c r="L387" s="5">
        <v>0</v>
      </c>
      <c r="M387" s="5">
        <v>52747</v>
      </c>
      <c r="N387" s="35"/>
      <c r="O387" s="5">
        <v>14</v>
      </c>
      <c r="P387" s="5">
        <v>2569</v>
      </c>
      <c r="Q387" s="447"/>
      <c r="R387" s="5">
        <v>0</v>
      </c>
      <c r="S387" s="5">
        <v>0</v>
      </c>
      <c r="T387" s="448"/>
      <c r="U387" s="5">
        <v>0</v>
      </c>
      <c r="V387" s="5">
        <v>0</v>
      </c>
      <c r="W387" s="5">
        <v>10</v>
      </c>
      <c r="X387" s="5">
        <v>5018.4766948957495</v>
      </c>
      <c r="Y387" s="5">
        <v>1975</v>
      </c>
      <c r="Z387" s="5">
        <v>0</v>
      </c>
      <c r="AA387" s="5">
        <v>0</v>
      </c>
      <c r="AB387" s="5">
        <v>4966.67</v>
      </c>
      <c r="AC387" s="5">
        <v>982</v>
      </c>
      <c r="AD387" s="5">
        <v>4163.49</v>
      </c>
      <c r="AE387" s="5">
        <v>4454.9873628964642</v>
      </c>
      <c r="AF387" s="5">
        <v>6827</v>
      </c>
      <c r="AG387" s="454"/>
      <c r="AH387" s="5">
        <v>6477.2512569371456</v>
      </c>
      <c r="AI387" s="5">
        <v>10387</v>
      </c>
      <c r="AJ387" s="5"/>
      <c r="AK387" s="5">
        <v>3014.8970130582256</v>
      </c>
      <c r="AL387" s="5">
        <v>981</v>
      </c>
      <c r="AM387" s="5"/>
      <c r="AN387" s="5">
        <v>0</v>
      </c>
      <c r="AO387" s="5">
        <v>0</v>
      </c>
      <c r="AP387" s="5"/>
      <c r="AQ387" s="5">
        <v>3134.6721921477197</v>
      </c>
      <c r="AR387" s="5">
        <v>0</v>
      </c>
      <c r="AS387" s="5"/>
      <c r="AT387" s="5">
        <v>4967.4591984390336</v>
      </c>
      <c r="AU387" s="5">
        <v>3166</v>
      </c>
      <c r="AV387" s="5"/>
      <c r="AW387" s="5">
        <v>175.92239999999998</v>
      </c>
      <c r="AX387" s="5">
        <v>1087.03</v>
      </c>
      <c r="AY387" s="5"/>
      <c r="AZ387" s="40">
        <v>22225.18942347859</v>
      </c>
      <c r="BA387" s="40">
        <v>22448.03</v>
      </c>
      <c r="BB387" s="55">
        <v>222.84057652140837</v>
      </c>
      <c r="BD387" s="2">
        <v>3</v>
      </c>
      <c r="BF387" s="325">
        <v>150000911</v>
      </c>
    </row>
    <row r="388" spans="1:58" ht="25.05" customHeight="1" x14ac:dyDescent="0.3">
      <c r="A388" s="325">
        <v>150000912</v>
      </c>
      <c r="B388" s="445" t="s">
        <v>320</v>
      </c>
      <c r="C388" s="27">
        <v>5</v>
      </c>
      <c r="D388" s="101" t="s">
        <v>455</v>
      </c>
      <c r="E388" s="279">
        <v>4467.5200000000004</v>
      </c>
      <c r="F388" s="441">
        <v>71130.687907521919</v>
      </c>
      <c r="G388" s="441">
        <v>65151.480460162376</v>
      </c>
      <c r="H388" s="73">
        <v>-5979.2074473595421</v>
      </c>
      <c r="I388" s="5">
        <v>59.7</v>
      </c>
      <c r="J388" s="5">
        <v>11136</v>
      </c>
      <c r="K388" s="446"/>
      <c r="L388" s="5">
        <v>0</v>
      </c>
      <c r="M388" s="5">
        <v>0</v>
      </c>
      <c r="N388" s="449"/>
      <c r="O388" s="5">
        <v>0</v>
      </c>
      <c r="P388" s="5">
        <v>0</v>
      </c>
      <c r="Q388" s="447"/>
      <c r="R388" s="5">
        <v>0</v>
      </c>
      <c r="S388" s="5">
        <v>0</v>
      </c>
      <c r="T388" s="448"/>
      <c r="U388" s="5">
        <v>0</v>
      </c>
      <c r="V388" s="5">
        <v>0</v>
      </c>
      <c r="W388" s="5">
        <v>5.6</v>
      </c>
      <c r="X388" s="5">
        <v>9765.7404601623784</v>
      </c>
      <c r="Y388" s="5">
        <v>22437.379999999997</v>
      </c>
      <c r="Z388" s="5">
        <v>0</v>
      </c>
      <c r="AA388" s="5">
        <v>0</v>
      </c>
      <c r="AB388" s="5">
        <v>4756</v>
      </c>
      <c r="AC388" s="5">
        <v>4119</v>
      </c>
      <c r="AD388" s="5">
        <v>12937.36</v>
      </c>
      <c r="AE388" s="5">
        <v>3554.3889810354126</v>
      </c>
      <c r="AF388" s="5">
        <v>1252</v>
      </c>
      <c r="AG388" s="8"/>
      <c r="AH388" s="5">
        <v>4863.393608952556</v>
      </c>
      <c r="AI388" s="5">
        <v>0</v>
      </c>
      <c r="AJ388" s="8"/>
      <c r="AK388" s="5">
        <v>2355.7805417627774</v>
      </c>
      <c r="AL388" s="5">
        <v>0</v>
      </c>
      <c r="AM388" s="5"/>
      <c r="AN388" s="5">
        <v>0</v>
      </c>
      <c r="AO388" s="5">
        <v>0</v>
      </c>
      <c r="AP388" s="5"/>
      <c r="AQ388" s="5">
        <v>1497.9511435155196</v>
      </c>
      <c r="AR388" s="5">
        <v>0</v>
      </c>
      <c r="AS388" s="5"/>
      <c r="AT388" s="5">
        <v>3080.8943112404968</v>
      </c>
      <c r="AU388" s="5">
        <v>326</v>
      </c>
      <c r="AV388" s="5"/>
      <c r="AW388" s="5">
        <v>134.02260000000001</v>
      </c>
      <c r="AX388" s="5">
        <v>0</v>
      </c>
      <c r="AY388" s="5"/>
      <c r="AZ388" s="40">
        <v>15486.431186506761</v>
      </c>
      <c r="BA388" s="40">
        <v>1578</v>
      </c>
      <c r="BB388" s="55">
        <v>-13908.431186506761</v>
      </c>
      <c r="BD388" s="2">
        <v>3</v>
      </c>
      <c r="BF388" s="325">
        <v>150000912</v>
      </c>
    </row>
    <row r="389" spans="1:58" ht="25.05" customHeight="1" x14ac:dyDescent="0.3">
      <c r="A389" s="325">
        <v>150000913</v>
      </c>
      <c r="B389" s="445" t="s">
        <v>321</v>
      </c>
      <c r="C389" s="27">
        <v>5</v>
      </c>
      <c r="D389" s="101" t="s">
        <v>455</v>
      </c>
      <c r="E389" s="279">
        <v>2779.82</v>
      </c>
      <c r="F389" s="441">
        <v>46267.845229938655</v>
      </c>
      <c r="G389" s="441">
        <v>5434.356881292144</v>
      </c>
      <c r="H389" s="73">
        <v>-40833.488348646511</v>
      </c>
      <c r="I389" s="5">
        <v>0</v>
      </c>
      <c r="J389" s="5">
        <v>0</v>
      </c>
      <c r="K389" s="446"/>
      <c r="L389" s="5">
        <v>0</v>
      </c>
      <c r="M389" s="5">
        <v>0</v>
      </c>
      <c r="N389" s="448"/>
      <c r="O389" s="5">
        <v>0</v>
      </c>
      <c r="P389" s="5">
        <v>0</v>
      </c>
      <c r="Q389" s="447"/>
      <c r="R389" s="5">
        <v>0</v>
      </c>
      <c r="S389" s="5">
        <v>0</v>
      </c>
      <c r="T389" s="448"/>
      <c r="U389" s="5">
        <v>0</v>
      </c>
      <c r="V389" s="5">
        <v>0</v>
      </c>
      <c r="W389" s="5">
        <v>0</v>
      </c>
      <c r="X389" s="5">
        <v>217.35688129214333</v>
      </c>
      <c r="Y389" s="5">
        <v>2506</v>
      </c>
      <c r="Z389" s="5">
        <v>0</v>
      </c>
      <c r="AA389" s="5">
        <v>0</v>
      </c>
      <c r="AB389" s="5">
        <v>1306</v>
      </c>
      <c r="AC389" s="5">
        <v>692</v>
      </c>
      <c r="AD389" s="5">
        <v>713</v>
      </c>
      <c r="AE389" s="5">
        <v>2363.4843007606978</v>
      </c>
      <c r="AF389" s="5">
        <v>505</v>
      </c>
      <c r="AG389" s="5"/>
      <c r="AH389" s="5">
        <v>3213.8517921635189</v>
      </c>
      <c r="AI389" s="5">
        <v>1209</v>
      </c>
      <c r="AJ389" s="454"/>
      <c r="AK389" s="5">
        <v>1375.4568379565696</v>
      </c>
      <c r="AL389" s="5">
        <v>0</v>
      </c>
      <c r="AM389" s="5"/>
      <c r="AN389" s="5">
        <v>0</v>
      </c>
      <c r="AO389" s="5">
        <v>0</v>
      </c>
      <c r="AP389" s="5"/>
      <c r="AQ389" s="5">
        <v>1497.9511435155196</v>
      </c>
      <c r="AR389" s="5">
        <v>0</v>
      </c>
      <c r="AS389" s="5"/>
      <c r="AT389" s="5">
        <v>1561.3238170740249</v>
      </c>
      <c r="AU389" s="5">
        <v>1901</v>
      </c>
      <c r="AV389" s="5"/>
      <c r="AW389" s="5">
        <v>83.388599999999997</v>
      </c>
      <c r="AX389" s="5">
        <v>3505.16</v>
      </c>
      <c r="AY389" s="5"/>
      <c r="AZ389" s="40">
        <v>10095.456491470331</v>
      </c>
      <c r="BA389" s="40">
        <v>7120.16</v>
      </c>
      <c r="BB389" s="55">
        <v>-2975.2964914703316</v>
      </c>
      <c r="BD389" s="2">
        <v>3</v>
      </c>
      <c r="BF389" s="325">
        <v>150000913</v>
      </c>
    </row>
    <row r="390" spans="1:58" ht="25.05" customHeight="1" x14ac:dyDescent="0.3">
      <c r="A390" s="325">
        <v>150000914</v>
      </c>
      <c r="B390" s="445" t="s">
        <v>322</v>
      </c>
      <c r="C390" s="27">
        <v>5</v>
      </c>
      <c r="D390" s="101" t="s">
        <v>455</v>
      </c>
      <c r="E390" s="279">
        <v>2762.3</v>
      </c>
      <c r="F390" s="441">
        <v>46437.247914858883</v>
      </c>
      <c r="G390" s="441">
        <v>24137.536527995442</v>
      </c>
      <c r="H390" s="73">
        <v>-22299.711386863441</v>
      </c>
      <c r="I390" s="5">
        <v>104.42</v>
      </c>
      <c r="J390" s="5">
        <v>18350</v>
      </c>
      <c r="K390" s="446"/>
      <c r="L390" s="5">
        <v>0</v>
      </c>
      <c r="M390" s="5">
        <v>0</v>
      </c>
      <c r="N390" s="35"/>
      <c r="O390" s="5">
        <v>6</v>
      </c>
      <c r="P390" s="5">
        <v>1742</v>
      </c>
      <c r="Q390" s="447"/>
      <c r="R390" s="5">
        <v>0</v>
      </c>
      <c r="S390" s="5">
        <v>0</v>
      </c>
      <c r="T390" s="448"/>
      <c r="U390" s="5">
        <v>0</v>
      </c>
      <c r="V390" s="5">
        <v>0</v>
      </c>
      <c r="W390" s="5">
        <v>20</v>
      </c>
      <c r="X390" s="5">
        <v>1199.5365279954426</v>
      </c>
      <c r="Y390" s="5">
        <v>0</v>
      </c>
      <c r="Z390" s="5">
        <v>0</v>
      </c>
      <c r="AA390" s="5">
        <v>0</v>
      </c>
      <c r="AB390" s="5">
        <v>782</v>
      </c>
      <c r="AC390" s="5">
        <v>1351</v>
      </c>
      <c r="AD390" s="5">
        <v>713</v>
      </c>
      <c r="AE390" s="5">
        <v>2363.4843007606978</v>
      </c>
      <c r="AF390" s="5">
        <v>0</v>
      </c>
      <c r="AG390" s="5"/>
      <c r="AH390" s="5">
        <v>3213.8517921635189</v>
      </c>
      <c r="AI390" s="5">
        <v>4203</v>
      </c>
      <c r="AJ390" s="5"/>
      <c r="AK390" s="5">
        <v>1375.4568379565696</v>
      </c>
      <c r="AL390" s="5">
        <v>0</v>
      </c>
      <c r="AM390" s="5"/>
      <c r="AN390" s="5">
        <v>0</v>
      </c>
      <c r="AO390" s="5">
        <v>0</v>
      </c>
      <c r="AP390" s="5"/>
      <c r="AQ390" s="5">
        <v>1497.9511435155196</v>
      </c>
      <c r="AR390" s="5">
        <v>0</v>
      </c>
      <c r="AS390" s="5"/>
      <c r="AT390" s="5">
        <v>1561.3238170740249</v>
      </c>
      <c r="AU390" s="5">
        <v>0</v>
      </c>
      <c r="AV390" s="5"/>
      <c r="AW390" s="5">
        <v>82.869</v>
      </c>
      <c r="AX390" s="5">
        <v>3397.65</v>
      </c>
      <c r="AY390" s="5"/>
      <c r="AZ390" s="40">
        <v>10094.936891470332</v>
      </c>
      <c r="BA390" s="40">
        <v>7600.65</v>
      </c>
      <c r="BB390" s="55">
        <v>-2494.2868914703322</v>
      </c>
      <c r="BD390" s="2">
        <v>3</v>
      </c>
      <c r="BF390" s="325">
        <v>150000914</v>
      </c>
    </row>
    <row r="391" spans="1:58" ht="25.05" customHeight="1" x14ac:dyDescent="0.3">
      <c r="A391" s="325">
        <v>150000915</v>
      </c>
      <c r="B391" s="445" t="s">
        <v>323</v>
      </c>
      <c r="C391" s="27">
        <v>5</v>
      </c>
      <c r="D391" s="101" t="s">
        <v>455</v>
      </c>
      <c r="E391" s="279">
        <v>2743.4</v>
      </c>
      <c r="F391" s="441">
        <v>42883.059613572965</v>
      </c>
      <c r="G391" s="441">
        <v>12066.740460162382</v>
      </c>
      <c r="H391" s="73">
        <v>-30816.319153410583</v>
      </c>
      <c r="I391" s="5">
        <v>0</v>
      </c>
      <c r="J391" s="5">
        <v>0</v>
      </c>
      <c r="K391" s="446"/>
      <c r="L391" s="5">
        <v>0</v>
      </c>
      <c r="M391" s="5">
        <v>7960</v>
      </c>
      <c r="N391" s="458"/>
      <c r="O391" s="5">
        <v>0</v>
      </c>
      <c r="P391" s="5">
        <v>0</v>
      </c>
      <c r="Q391" s="447"/>
      <c r="R391" s="5">
        <v>0</v>
      </c>
      <c r="S391" s="5">
        <v>0</v>
      </c>
      <c r="T391" s="448"/>
      <c r="U391" s="5">
        <v>0</v>
      </c>
      <c r="V391" s="5">
        <v>0</v>
      </c>
      <c r="W391" s="5">
        <v>2</v>
      </c>
      <c r="X391" s="5">
        <v>2635.7404601623821</v>
      </c>
      <c r="Y391" s="5">
        <v>0</v>
      </c>
      <c r="Z391" s="5">
        <v>0</v>
      </c>
      <c r="AA391" s="5">
        <v>0</v>
      </c>
      <c r="AB391" s="5">
        <v>43</v>
      </c>
      <c r="AC391" s="5">
        <v>715</v>
      </c>
      <c r="AD391" s="5">
        <v>713</v>
      </c>
      <c r="AE391" s="5">
        <v>2363.0440347234994</v>
      </c>
      <c r="AF391" s="5">
        <v>1476.3600000000001</v>
      </c>
      <c r="AG391" s="5"/>
      <c r="AH391" s="5">
        <v>3213.8517921635189</v>
      </c>
      <c r="AI391" s="5">
        <v>1953.72</v>
      </c>
      <c r="AJ391" s="5"/>
      <c r="AK391" s="5">
        <v>1375.4568379565696</v>
      </c>
      <c r="AL391" s="5">
        <v>974</v>
      </c>
      <c r="AM391" s="5"/>
      <c r="AN391" s="5">
        <v>0</v>
      </c>
      <c r="AO391" s="5">
        <v>0</v>
      </c>
      <c r="AP391" s="5"/>
      <c r="AQ391" s="5">
        <v>1497.9511435155196</v>
      </c>
      <c r="AR391" s="5">
        <v>0</v>
      </c>
      <c r="AS391" s="5"/>
      <c r="AT391" s="5">
        <v>1561.0084243908864</v>
      </c>
      <c r="AU391" s="5">
        <v>939</v>
      </c>
      <c r="AV391" s="463"/>
      <c r="AW391" s="5">
        <v>82.302000000000007</v>
      </c>
      <c r="AX391" s="5">
        <v>3532</v>
      </c>
      <c r="AY391" s="5"/>
      <c r="AZ391" s="40">
        <v>10093.614232749993</v>
      </c>
      <c r="BA391" s="40">
        <v>8875.08</v>
      </c>
      <c r="BB391" s="55">
        <v>-1218.534232749993</v>
      </c>
      <c r="BD391" s="2">
        <v>3</v>
      </c>
      <c r="BF391" s="325">
        <v>150000915</v>
      </c>
    </row>
    <row r="392" spans="1:58" ht="25.05" customHeight="1" x14ac:dyDescent="0.3">
      <c r="A392" s="325">
        <v>150000916</v>
      </c>
      <c r="B392" s="445" t="s">
        <v>324</v>
      </c>
      <c r="C392" s="27">
        <v>5</v>
      </c>
      <c r="D392" s="101" t="s">
        <v>455</v>
      </c>
      <c r="E392" s="279">
        <v>5790.5899999999992</v>
      </c>
      <c r="F392" s="441">
        <v>90180.057531111379</v>
      </c>
      <c r="G392" s="441">
        <v>37460.174859093488</v>
      </c>
      <c r="H392" s="73">
        <v>-52719.882672017891</v>
      </c>
      <c r="I392" s="5">
        <v>8.6999999999999993</v>
      </c>
      <c r="J392" s="5">
        <v>2937.4700000000003</v>
      </c>
      <c r="K392" s="446"/>
      <c r="L392" s="5">
        <v>0</v>
      </c>
      <c r="M392" s="5">
        <v>0</v>
      </c>
      <c r="N392" s="35"/>
      <c r="O392" s="5">
        <v>0</v>
      </c>
      <c r="P392" s="5">
        <v>0</v>
      </c>
      <c r="Q392" s="447"/>
      <c r="R392" s="5">
        <v>0</v>
      </c>
      <c r="S392" s="5">
        <v>0</v>
      </c>
      <c r="T392" s="448"/>
      <c r="U392" s="5">
        <v>0</v>
      </c>
      <c r="V392" s="5">
        <v>0</v>
      </c>
      <c r="W392" s="5">
        <v>9</v>
      </c>
      <c r="X392" s="5">
        <v>15615.744859093487</v>
      </c>
      <c r="Y392" s="5">
        <v>5912</v>
      </c>
      <c r="Z392" s="5">
        <v>0</v>
      </c>
      <c r="AA392" s="5">
        <v>0</v>
      </c>
      <c r="AB392" s="5">
        <v>1755</v>
      </c>
      <c r="AC392" s="5">
        <v>2123.96</v>
      </c>
      <c r="AD392" s="5">
        <v>9116</v>
      </c>
      <c r="AE392" s="5">
        <v>4677.6021102988252</v>
      </c>
      <c r="AF392" s="5">
        <v>1785.05</v>
      </c>
      <c r="AG392" s="8"/>
      <c r="AH392" s="5">
        <v>6475.2556090396311</v>
      </c>
      <c r="AI392" s="5">
        <v>4061.03</v>
      </c>
      <c r="AJ392" s="8"/>
      <c r="AK392" s="5">
        <v>2994.6375180210016</v>
      </c>
      <c r="AL392" s="5">
        <v>14079</v>
      </c>
      <c r="AM392" s="5"/>
      <c r="AN392" s="5">
        <v>0</v>
      </c>
      <c r="AO392" s="5">
        <v>0</v>
      </c>
      <c r="AP392" s="5"/>
      <c r="AQ392" s="5">
        <v>3134.6721921477197</v>
      </c>
      <c r="AR392" s="5">
        <v>0</v>
      </c>
      <c r="AS392" s="5"/>
      <c r="AT392" s="5">
        <v>4962.348219489596</v>
      </c>
      <c r="AU392" s="5">
        <v>0</v>
      </c>
      <c r="AV392" s="463"/>
      <c r="AW392" s="5">
        <v>175.58100000000002</v>
      </c>
      <c r="AX392" s="5">
        <v>0</v>
      </c>
      <c r="AY392" s="5"/>
      <c r="AZ392" s="40">
        <v>22420.096648996769</v>
      </c>
      <c r="BA392" s="40">
        <v>19925.080000000002</v>
      </c>
      <c r="BB392" s="55">
        <v>-2495.0166489967669</v>
      </c>
      <c r="BD392" s="2">
        <v>3</v>
      </c>
      <c r="BF392" s="325">
        <v>150000916</v>
      </c>
    </row>
    <row r="393" spans="1:58" ht="25.05" customHeight="1" x14ac:dyDescent="0.3">
      <c r="A393" s="325">
        <v>150000917</v>
      </c>
      <c r="B393" s="445" t="s">
        <v>325</v>
      </c>
      <c r="C393" s="27">
        <v>5</v>
      </c>
      <c r="D393" s="101" t="s">
        <v>455</v>
      </c>
      <c r="E393" s="279">
        <v>4445.5</v>
      </c>
      <c r="F393" s="441">
        <v>64828.034603163651</v>
      </c>
      <c r="G393" s="441">
        <v>37204.94</v>
      </c>
      <c r="H393" s="73">
        <v>-27623.094603163649</v>
      </c>
      <c r="I393" s="5">
        <v>67</v>
      </c>
      <c r="J393" s="5">
        <v>12764</v>
      </c>
      <c r="K393" s="450"/>
      <c r="L393" s="5">
        <v>0</v>
      </c>
      <c r="M393" s="5">
        <v>0</v>
      </c>
      <c r="N393" s="35"/>
      <c r="O393" s="5">
        <v>0</v>
      </c>
      <c r="P393" s="5">
        <v>0</v>
      </c>
      <c r="Q393" s="447"/>
      <c r="R393" s="5">
        <v>0</v>
      </c>
      <c r="S393" s="5">
        <v>0</v>
      </c>
      <c r="T393" s="448"/>
      <c r="U393" s="5">
        <v>0</v>
      </c>
      <c r="V393" s="5">
        <v>0</v>
      </c>
      <c r="W393" s="5">
        <v>0</v>
      </c>
      <c r="X393" s="5">
        <v>0</v>
      </c>
      <c r="Y393" s="5">
        <v>17519.29</v>
      </c>
      <c r="Z393" s="5">
        <v>0</v>
      </c>
      <c r="AA393" s="5">
        <v>0</v>
      </c>
      <c r="AB393" s="5">
        <v>580.70000000000005</v>
      </c>
      <c r="AC393" s="5">
        <v>1781.79</v>
      </c>
      <c r="AD393" s="5">
        <v>4559.16</v>
      </c>
      <c r="AE393" s="5">
        <v>3562.0436989746513</v>
      </c>
      <c r="AF393" s="5">
        <v>3114</v>
      </c>
      <c r="AG393" s="5"/>
      <c r="AH393" s="5">
        <v>4869.8808961822733</v>
      </c>
      <c r="AI393" s="5">
        <v>2590</v>
      </c>
      <c r="AJ393" s="5"/>
      <c r="AK393" s="5">
        <v>2328.1250912934279</v>
      </c>
      <c r="AL393" s="5">
        <v>0</v>
      </c>
      <c r="AM393" s="5"/>
      <c r="AN393" s="5">
        <v>0</v>
      </c>
      <c r="AO393" s="5">
        <v>0</v>
      </c>
      <c r="AP393" s="5"/>
      <c r="AQ393" s="5">
        <v>2024.9600350327316</v>
      </c>
      <c r="AR393" s="5">
        <v>0</v>
      </c>
      <c r="AS393" s="5"/>
      <c r="AT393" s="5">
        <v>3097.7022761599796</v>
      </c>
      <c r="AU393" s="5">
        <v>459</v>
      </c>
      <c r="AV393" s="5"/>
      <c r="AW393" s="5">
        <v>133.37100000000001</v>
      </c>
      <c r="AX393" s="5">
        <v>5059.13</v>
      </c>
      <c r="AY393" s="5"/>
      <c r="AZ393" s="40">
        <v>16016.082997643063</v>
      </c>
      <c r="BA393" s="40">
        <v>11222.130000000001</v>
      </c>
      <c r="BB393" s="55">
        <v>-4793.9529976430622</v>
      </c>
      <c r="BD393" s="2">
        <v>3</v>
      </c>
      <c r="BF393" s="325">
        <v>150000917</v>
      </c>
    </row>
    <row r="394" spans="1:58" ht="25.05" customHeight="1" x14ac:dyDescent="0.3">
      <c r="A394" s="325">
        <v>150000918</v>
      </c>
      <c r="B394" s="445" t="s">
        <v>326</v>
      </c>
      <c r="C394" s="27">
        <v>5</v>
      </c>
      <c r="D394" s="101" t="s">
        <v>455</v>
      </c>
      <c r="E394" s="279">
        <v>4591.2</v>
      </c>
      <c r="F394" s="441">
        <v>55822.332172081537</v>
      </c>
      <c r="G394" s="441">
        <v>97181.413929175324</v>
      </c>
      <c r="H394" s="73">
        <v>41359.081757093787</v>
      </c>
      <c r="I394" s="5">
        <v>13.7</v>
      </c>
      <c r="J394" s="5">
        <v>3106</v>
      </c>
      <c r="K394" s="446"/>
      <c r="L394" s="5">
        <v>1</v>
      </c>
      <c r="M394" s="5">
        <v>39030</v>
      </c>
      <c r="N394" s="35"/>
      <c r="O394" s="5">
        <v>0</v>
      </c>
      <c r="P394" s="5">
        <v>0</v>
      </c>
      <c r="Q394" s="447"/>
      <c r="R394" s="5">
        <v>0</v>
      </c>
      <c r="S394" s="5">
        <v>0</v>
      </c>
      <c r="T394" s="448"/>
      <c r="U394" s="5">
        <v>0</v>
      </c>
      <c r="V394" s="5">
        <v>0</v>
      </c>
      <c r="W394" s="5">
        <v>0</v>
      </c>
      <c r="X394" s="5">
        <v>1470.4139291753202</v>
      </c>
      <c r="Y394" s="5">
        <v>35258</v>
      </c>
      <c r="Z394" s="5">
        <v>0</v>
      </c>
      <c r="AA394" s="5">
        <v>0</v>
      </c>
      <c r="AB394" s="5">
        <v>2357</v>
      </c>
      <c r="AC394" s="5">
        <v>14890</v>
      </c>
      <c r="AD394" s="5">
        <v>1070</v>
      </c>
      <c r="AE394" s="5">
        <v>3643.655387626653</v>
      </c>
      <c r="AF394" s="5">
        <v>1459</v>
      </c>
      <c r="AG394" s="5"/>
      <c r="AH394" s="5">
        <v>5479.1355441592132</v>
      </c>
      <c r="AI394" s="5">
        <v>9201.9500000000007</v>
      </c>
      <c r="AJ394" s="5"/>
      <c r="AK394" s="5">
        <v>2426.3569478835379</v>
      </c>
      <c r="AL394" s="5">
        <v>1681</v>
      </c>
      <c r="AM394" s="5"/>
      <c r="AN394" s="5">
        <v>0</v>
      </c>
      <c r="AO394" s="5">
        <v>0</v>
      </c>
      <c r="AP394" s="5"/>
      <c r="AQ394" s="5">
        <v>2024.9600350327316</v>
      </c>
      <c r="AR394" s="5">
        <v>0</v>
      </c>
      <c r="AS394" s="5"/>
      <c r="AT394" s="5">
        <v>3199.2956889658872</v>
      </c>
      <c r="AU394" s="5">
        <v>1069</v>
      </c>
      <c r="AV394" s="5"/>
      <c r="AW394" s="5">
        <v>137.65800000000002</v>
      </c>
      <c r="AX394" s="5">
        <v>0</v>
      </c>
      <c r="AY394" s="5"/>
      <c r="AZ394" s="40">
        <v>16911.061603668022</v>
      </c>
      <c r="BA394" s="40">
        <v>13410.95</v>
      </c>
      <c r="BB394" s="55">
        <v>-3500.1116036680214</v>
      </c>
      <c r="BD394" s="2">
        <v>3</v>
      </c>
      <c r="BF394" s="325">
        <v>150000918</v>
      </c>
    </row>
    <row r="395" spans="1:58" ht="25.05" customHeight="1" x14ac:dyDescent="0.3">
      <c r="A395" s="325">
        <v>150000919</v>
      </c>
      <c r="B395" s="445" t="s">
        <v>327</v>
      </c>
      <c r="C395" s="27">
        <v>5</v>
      </c>
      <c r="D395" s="101" t="s">
        <v>455</v>
      </c>
      <c r="E395" s="279">
        <v>4566.7</v>
      </c>
      <c r="F395" s="441">
        <v>55667.97269827516</v>
      </c>
      <c r="G395" s="441">
        <v>62045.507594178052</v>
      </c>
      <c r="H395" s="73">
        <v>6377.5348959028925</v>
      </c>
      <c r="I395" s="5">
        <v>15.7</v>
      </c>
      <c r="J395" s="5">
        <v>3095.33</v>
      </c>
      <c r="K395" s="446"/>
      <c r="L395" s="5">
        <v>1</v>
      </c>
      <c r="M395" s="5">
        <v>36562.559999999998</v>
      </c>
      <c r="N395" s="35"/>
      <c r="O395" s="5">
        <v>0</v>
      </c>
      <c r="P395" s="5">
        <v>0</v>
      </c>
      <c r="Q395" s="447"/>
      <c r="R395" s="5">
        <v>0</v>
      </c>
      <c r="S395" s="5">
        <v>0</v>
      </c>
      <c r="T395" s="448"/>
      <c r="U395" s="5">
        <v>0</v>
      </c>
      <c r="V395" s="5">
        <v>0</v>
      </c>
      <c r="W395" s="5">
        <v>0</v>
      </c>
      <c r="X395" s="5">
        <v>36.817594178056929</v>
      </c>
      <c r="Y395" s="5">
        <v>5800</v>
      </c>
      <c r="Z395" s="5">
        <v>0</v>
      </c>
      <c r="AA395" s="5">
        <v>0</v>
      </c>
      <c r="AB395" s="5">
        <v>0</v>
      </c>
      <c r="AC395" s="5">
        <v>2868</v>
      </c>
      <c r="AD395" s="5">
        <v>13682.8</v>
      </c>
      <c r="AE395" s="5">
        <v>3651.3900072714709</v>
      </c>
      <c r="AF395" s="5">
        <v>410</v>
      </c>
      <c r="AG395" s="5"/>
      <c r="AH395" s="5">
        <v>5478.0284580000016</v>
      </c>
      <c r="AI395" s="5">
        <v>1151</v>
      </c>
      <c r="AJ395" s="5"/>
      <c r="AK395" s="5">
        <v>2420.7929030342907</v>
      </c>
      <c r="AL395" s="5">
        <v>7374</v>
      </c>
      <c r="AM395" s="8"/>
      <c r="AN395" s="5">
        <v>0</v>
      </c>
      <c r="AO395" s="5">
        <v>0</v>
      </c>
      <c r="AP395" s="5"/>
      <c r="AQ395" s="5">
        <v>2024.9600350327316</v>
      </c>
      <c r="AR395" s="5">
        <v>0</v>
      </c>
      <c r="AS395" s="5"/>
      <c r="AT395" s="5">
        <v>3197.1332104033522</v>
      </c>
      <c r="AU395" s="5">
        <v>142</v>
      </c>
      <c r="AV395" s="5"/>
      <c r="AW395" s="5">
        <v>137.00700000000001</v>
      </c>
      <c r="AX395" s="5">
        <v>4627.84</v>
      </c>
      <c r="AY395" s="5"/>
      <c r="AZ395" s="40">
        <v>16909.311613741847</v>
      </c>
      <c r="BA395" s="40">
        <v>13704.84</v>
      </c>
      <c r="BB395" s="55">
        <v>-3204.4716137418472</v>
      </c>
      <c r="BD395" s="2">
        <v>3</v>
      </c>
      <c r="BF395" s="325">
        <v>150000919</v>
      </c>
    </row>
    <row r="396" spans="1:58" ht="25.05" customHeight="1" x14ac:dyDescent="0.3">
      <c r="A396" s="325">
        <v>150000920</v>
      </c>
      <c r="B396" s="445" t="s">
        <v>328</v>
      </c>
      <c r="C396" s="27">
        <v>5</v>
      </c>
      <c r="D396" s="101" t="s">
        <v>455</v>
      </c>
      <c r="E396" s="279">
        <v>4553.8</v>
      </c>
      <c r="F396" s="441">
        <v>65418.687393980304</v>
      </c>
      <c r="G396" s="441">
        <v>76280.208271063413</v>
      </c>
      <c r="H396" s="73">
        <v>10861.520877083109</v>
      </c>
      <c r="I396" s="5">
        <v>13</v>
      </c>
      <c r="J396" s="5">
        <v>1937</v>
      </c>
      <c r="K396" s="446"/>
      <c r="L396" s="5">
        <v>2</v>
      </c>
      <c r="M396" s="5">
        <v>48232</v>
      </c>
      <c r="N396" s="35"/>
      <c r="O396" s="5">
        <v>0</v>
      </c>
      <c r="P396" s="5">
        <v>0</v>
      </c>
      <c r="Q396" s="447"/>
      <c r="R396" s="5">
        <v>0</v>
      </c>
      <c r="S396" s="5">
        <v>0</v>
      </c>
      <c r="T396" s="448"/>
      <c r="U396" s="5">
        <v>0</v>
      </c>
      <c r="V396" s="5">
        <v>0</v>
      </c>
      <c r="W396" s="5">
        <v>4</v>
      </c>
      <c r="X396" s="5">
        <v>695.18827106341928</v>
      </c>
      <c r="Y396" s="5">
        <v>12090.73</v>
      </c>
      <c r="Z396" s="5">
        <v>0</v>
      </c>
      <c r="AA396" s="5">
        <v>0</v>
      </c>
      <c r="AB396" s="5">
        <v>0</v>
      </c>
      <c r="AC396" s="5">
        <v>7521</v>
      </c>
      <c r="AD396" s="5">
        <v>5804.29</v>
      </c>
      <c r="AE396" s="5">
        <v>3652.3841818838282</v>
      </c>
      <c r="AF396" s="5">
        <v>0</v>
      </c>
      <c r="AG396" s="5"/>
      <c r="AH396" s="5">
        <v>5479.1355441592132</v>
      </c>
      <c r="AI396" s="5">
        <v>2020</v>
      </c>
      <c r="AJ396" s="5"/>
      <c r="AK396" s="5">
        <v>2493.2501030786584</v>
      </c>
      <c r="AL396" s="5">
        <v>2190.89</v>
      </c>
      <c r="AM396" s="8"/>
      <c r="AN396" s="5">
        <v>0</v>
      </c>
      <c r="AO396" s="5">
        <v>0</v>
      </c>
      <c r="AP396" s="5"/>
      <c r="AQ396" s="5">
        <v>2024.9600350327316</v>
      </c>
      <c r="AR396" s="5">
        <v>0</v>
      </c>
      <c r="AS396" s="5"/>
      <c r="AT396" s="5">
        <v>3200.4563247752176</v>
      </c>
      <c r="AU396" s="5">
        <v>621</v>
      </c>
      <c r="AV396" s="5"/>
      <c r="AW396" s="5">
        <v>136.61699999999999</v>
      </c>
      <c r="AX396" s="5">
        <v>0</v>
      </c>
      <c r="AY396" s="5"/>
      <c r="AZ396" s="40">
        <v>16986.803188929647</v>
      </c>
      <c r="BA396" s="40">
        <v>4831.8899999999994</v>
      </c>
      <c r="BB396" s="55">
        <v>-12154.913188929648</v>
      </c>
      <c r="BD396" s="2">
        <v>3</v>
      </c>
      <c r="BF396" s="325">
        <v>150000920</v>
      </c>
    </row>
    <row r="397" spans="1:58" ht="25.05" customHeight="1" x14ac:dyDescent="0.3">
      <c r="A397" s="325">
        <v>150000921</v>
      </c>
      <c r="B397" s="445" t="s">
        <v>329</v>
      </c>
      <c r="C397" s="27">
        <v>5</v>
      </c>
      <c r="D397" s="101" t="s">
        <v>455</v>
      </c>
      <c r="E397" s="279">
        <v>6174.2300000000005</v>
      </c>
      <c r="F397" s="441">
        <v>58571.640754359818</v>
      </c>
      <c r="G397" s="441">
        <v>27109.13</v>
      </c>
      <c r="H397" s="73">
        <v>-31462.510754359817</v>
      </c>
      <c r="I397" s="5">
        <v>12</v>
      </c>
      <c r="J397" s="5">
        <v>2794</v>
      </c>
      <c r="K397" s="446"/>
      <c r="L397" s="5">
        <v>0</v>
      </c>
      <c r="M397" s="5">
        <v>2478.9499999999998</v>
      </c>
      <c r="N397" s="35"/>
      <c r="O397" s="5">
        <v>0</v>
      </c>
      <c r="P397" s="5">
        <v>0</v>
      </c>
      <c r="Q397" s="447"/>
      <c r="R397" s="5">
        <v>0</v>
      </c>
      <c r="S397" s="5">
        <v>0</v>
      </c>
      <c r="T397" s="448"/>
      <c r="U397" s="5">
        <v>0</v>
      </c>
      <c r="V397" s="5">
        <v>0</v>
      </c>
      <c r="W397" s="5">
        <v>0</v>
      </c>
      <c r="X397" s="5">
        <v>0</v>
      </c>
      <c r="Y397" s="5">
        <v>13160.39</v>
      </c>
      <c r="Z397" s="5">
        <v>0</v>
      </c>
      <c r="AA397" s="5">
        <v>0</v>
      </c>
      <c r="AB397" s="5">
        <v>0</v>
      </c>
      <c r="AC397" s="5">
        <v>2617.79</v>
      </c>
      <c r="AD397" s="5">
        <v>6058</v>
      </c>
      <c r="AE397" s="5">
        <v>4832.3294768455989</v>
      </c>
      <c r="AF397" s="5">
        <v>1090.67</v>
      </c>
      <c r="AG397" s="454"/>
      <c r="AH397" s="5">
        <v>7316.4260365612263</v>
      </c>
      <c r="AI397" s="5">
        <v>185.96</v>
      </c>
      <c r="AJ397" s="5"/>
      <c r="AK397" s="5">
        <v>3178.1631900063912</v>
      </c>
      <c r="AL397" s="5">
        <v>0</v>
      </c>
      <c r="AM397" s="454"/>
      <c r="AN397" s="5">
        <v>0</v>
      </c>
      <c r="AO397" s="5">
        <v>0</v>
      </c>
      <c r="AP397" s="5"/>
      <c r="AQ397" s="5">
        <v>3134.6721921477197</v>
      </c>
      <c r="AR397" s="5">
        <v>0</v>
      </c>
      <c r="AS397" s="5"/>
      <c r="AT397" s="5">
        <v>5361.3959972138746</v>
      </c>
      <c r="AU397" s="5">
        <v>943</v>
      </c>
      <c r="AV397" s="5"/>
      <c r="AW397" s="5">
        <v>185.2149</v>
      </c>
      <c r="AX397" s="5">
        <v>0</v>
      </c>
      <c r="AY397" s="5"/>
      <c r="AZ397" s="40">
        <v>24008.201792774809</v>
      </c>
      <c r="BA397" s="40">
        <v>2219.63</v>
      </c>
      <c r="BB397" s="55">
        <v>-21788.571792774808</v>
      </c>
      <c r="BD397" s="2">
        <v>3</v>
      </c>
      <c r="BF397" s="325">
        <v>150000921</v>
      </c>
    </row>
    <row r="398" spans="1:58" ht="25.05" customHeight="1" x14ac:dyDescent="0.3">
      <c r="A398" s="325">
        <v>150000878</v>
      </c>
      <c r="B398" s="445" t="s">
        <v>237</v>
      </c>
      <c r="C398" s="27">
        <v>4</v>
      </c>
      <c r="D398" s="101" t="s">
        <v>455</v>
      </c>
      <c r="E398" s="279">
        <v>2396.4899999999998</v>
      </c>
      <c r="F398" s="441">
        <v>20001.597008260673</v>
      </c>
      <c r="G398" s="441">
        <v>39907.699597808452</v>
      </c>
      <c r="H398" s="73">
        <v>19906.10258954778</v>
      </c>
      <c r="I398" s="5">
        <v>40</v>
      </c>
      <c r="J398" s="5">
        <v>19404</v>
      </c>
      <c r="K398" s="446"/>
      <c r="L398" s="5">
        <v>0</v>
      </c>
      <c r="M398" s="5">
        <v>609</v>
      </c>
      <c r="N398" s="35"/>
      <c r="O398" s="5">
        <v>0</v>
      </c>
      <c r="P398" s="5">
        <v>0</v>
      </c>
      <c r="Q398" s="447"/>
      <c r="R398" s="5">
        <v>0</v>
      </c>
      <c r="S398" s="5">
        <v>0</v>
      </c>
      <c r="T398" s="448"/>
      <c r="U398" s="5">
        <v>0</v>
      </c>
      <c r="V398" s="5">
        <v>0</v>
      </c>
      <c r="W398" s="5">
        <v>0</v>
      </c>
      <c r="X398" s="5">
        <v>867.20959780844919</v>
      </c>
      <c r="Y398" s="5">
        <v>9457</v>
      </c>
      <c r="Z398" s="5">
        <v>0</v>
      </c>
      <c r="AA398" s="5">
        <v>0</v>
      </c>
      <c r="AB398" s="5">
        <v>1610</v>
      </c>
      <c r="AC398" s="5">
        <v>0</v>
      </c>
      <c r="AD398" s="5">
        <v>7960.49</v>
      </c>
      <c r="AE398" s="5">
        <v>1663.5145876701063</v>
      </c>
      <c r="AF398" s="5">
        <v>184</v>
      </c>
      <c r="AG398" s="5"/>
      <c r="AH398" s="5">
        <v>1773.9695115102047</v>
      </c>
      <c r="AI398" s="5">
        <v>0</v>
      </c>
      <c r="AJ398" s="5"/>
      <c r="AK398" s="5">
        <v>1739.9680604816222</v>
      </c>
      <c r="AL398" s="5">
        <v>435</v>
      </c>
      <c r="AM398" s="5"/>
      <c r="AN398" s="5">
        <v>0</v>
      </c>
      <c r="AO398" s="5">
        <v>0</v>
      </c>
      <c r="AP398" s="5"/>
      <c r="AQ398" s="5">
        <v>0</v>
      </c>
      <c r="AR398" s="5">
        <v>0</v>
      </c>
      <c r="AS398" s="5"/>
      <c r="AT398" s="5">
        <v>1001.504077969204</v>
      </c>
      <c r="AU398" s="5">
        <v>0</v>
      </c>
      <c r="AV398" s="5"/>
      <c r="AW398" s="5">
        <v>72.859800000000007</v>
      </c>
      <c r="AX398" s="5">
        <v>0</v>
      </c>
      <c r="AY398" s="5"/>
      <c r="AZ398" s="40">
        <v>6251.8160376311371</v>
      </c>
      <c r="BA398" s="40">
        <v>619</v>
      </c>
      <c r="BB398" s="55">
        <v>-5632.8160376311371</v>
      </c>
      <c r="BD398" s="2">
        <v>2</v>
      </c>
      <c r="BF398" s="325">
        <v>150000878</v>
      </c>
    </row>
    <row r="399" spans="1:58" ht="25.05" customHeight="1" x14ac:dyDescent="0.3">
      <c r="A399" s="325">
        <v>150000879</v>
      </c>
      <c r="B399" s="445" t="s">
        <v>330</v>
      </c>
      <c r="C399" s="27">
        <v>5</v>
      </c>
      <c r="D399" s="101" t="s">
        <v>455</v>
      </c>
      <c r="E399" s="279">
        <v>4494.13</v>
      </c>
      <c r="F399" s="441">
        <v>36389.060428616292</v>
      </c>
      <c r="G399" s="441">
        <v>12828.51</v>
      </c>
      <c r="H399" s="73">
        <v>-23560.55042861629</v>
      </c>
      <c r="I399" s="5">
        <v>1</v>
      </c>
      <c r="J399" s="5">
        <v>266</v>
      </c>
      <c r="K399" s="446"/>
      <c r="L399" s="5">
        <v>0</v>
      </c>
      <c r="M399" s="5">
        <v>0</v>
      </c>
      <c r="N399" s="35"/>
      <c r="O399" s="5">
        <v>0</v>
      </c>
      <c r="P399" s="5">
        <v>0</v>
      </c>
      <c r="Q399" s="447"/>
      <c r="R399" s="5">
        <v>0</v>
      </c>
      <c r="S399" s="5">
        <v>0</v>
      </c>
      <c r="T399" s="448"/>
      <c r="U399" s="5">
        <v>0</v>
      </c>
      <c r="V399" s="5">
        <v>0</v>
      </c>
      <c r="W399" s="5">
        <v>19</v>
      </c>
      <c r="X399" s="5">
        <v>8870.51</v>
      </c>
      <c r="Y399" s="5">
        <v>2690</v>
      </c>
      <c r="Z399" s="5">
        <v>0</v>
      </c>
      <c r="AA399" s="5">
        <v>0</v>
      </c>
      <c r="AB399" s="5">
        <v>0</v>
      </c>
      <c r="AC399" s="5">
        <v>0</v>
      </c>
      <c r="AD399" s="5">
        <v>1002</v>
      </c>
      <c r="AE399" s="5">
        <v>2821.8362654086159</v>
      </c>
      <c r="AF399" s="5">
        <v>3237</v>
      </c>
      <c r="AG399" s="5"/>
      <c r="AH399" s="5">
        <v>3878.9872692891258</v>
      </c>
      <c r="AI399" s="5">
        <v>0</v>
      </c>
      <c r="AJ399" s="5"/>
      <c r="AK399" s="5">
        <v>2482.1451888895799</v>
      </c>
      <c r="AL399" s="5">
        <v>0</v>
      </c>
      <c r="AM399" s="5"/>
      <c r="AN399" s="5">
        <v>0</v>
      </c>
      <c r="AO399" s="5">
        <v>0</v>
      </c>
      <c r="AP399" s="5"/>
      <c r="AQ399" s="5">
        <v>0</v>
      </c>
      <c r="AR399" s="5">
        <v>0</v>
      </c>
      <c r="AS399" s="5"/>
      <c r="AT399" s="5">
        <v>2349.339447017388</v>
      </c>
      <c r="AU399" s="5">
        <v>0</v>
      </c>
      <c r="AV399" s="5"/>
      <c r="AW399" s="5">
        <v>136.62690000000001</v>
      </c>
      <c r="AX399" s="5">
        <v>0</v>
      </c>
      <c r="AY399" s="5"/>
      <c r="AZ399" s="40">
        <v>11668.935070604708</v>
      </c>
      <c r="BA399" s="40">
        <v>3237</v>
      </c>
      <c r="BB399" s="55">
        <v>-8431.935070604708</v>
      </c>
      <c r="BD399" s="2">
        <v>2</v>
      </c>
      <c r="BF399" s="325">
        <v>150000879</v>
      </c>
    </row>
    <row r="400" spans="1:58" ht="25.05" customHeight="1" x14ac:dyDescent="0.3">
      <c r="A400" s="325">
        <v>150000880</v>
      </c>
      <c r="B400" s="445" t="s">
        <v>238</v>
      </c>
      <c r="C400" s="27">
        <v>4</v>
      </c>
      <c r="D400" s="101" t="s">
        <v>455</v>
      </c>
      <c r="E400" s="279">
        <v>2726.35</v>
      </c>
      <c r="F400" s="441">
        <v>26714.369795866667</v>
      </c>
      <c r="G400" s="441">
        <v>6248.0130493890993</v>
      </c>
      <c r="H400" s="73">
        <v>-20466.35674647757</v>
      </c>
      <c r="I400" s="5">
        <v>0</v>
      </c>
      <c r="J400" s="5">
        <v>0</v>
      </c>
      <c r="K400" s="446"/>
      <c r="L400" s="5">
        <v>0</v>
      </c>
      <c r="M400" s="5">
        <v>0</v>
      </c>
      <c r="N400" s="35"/>
      <c r="O400" s="5">
        <v>0</v>
      </c>
      <c r="P400" s="5">
        <v>0</v>
      </c>
      <c r="Q400" s="447"/>
      <c r="R400" s="5">
        <v>0</v>
      </c>
      <c r="S400" s="5">
        <v>0</v>
      </c>
      <c r="T400" s="448"/>
      <c r="U400" s="5">
        <v>0</v>
      </c>
      <c r="V400" s="5">
        <v>0</v>
      </c>
      <c r="W400" s="5">
        <v>0</v>
      </c>
      <c r="X400" s="5">
        <v>349.01304938909874</v>
      </c>
      <c r="Y400" s="5">
        <v>1060</v>
      </c>
      <c r="Z400" s="5">
        <v>0</v>
      </c>
      <c r="AA400" s="5">
        <v>0</v>
      </c>
      <c r="AB400" s="5">
        <v>0</v>
      </c>
      <c r="AC400" s="5">
        <v>0</v>
      </c>
      <c r="AD400" s="5">
        <v>4839</v>
      </c>
      <c r="AE400" s="5">
        <v>2302.9022436097594</v>
      </c>
      <c r="AF400" s="5">
        <v>93</v>
      </c>
      <c r="AG400" s="5"/>
      <c r="AH400" s="5">
        <v>2745.837131777615</v>
      </c>
      <c r="AI400" s="5">
        <v>0</v>
      </c>
      <c r="AJ400" s="5"/>
      <c r="AK400" s="5">
        <v>1607.6466632758611</v>
      </c>
      <c r="AL400" s="5">
        <v>0</v>
      </c>
      <c r="AM400" s="5"/>
      <c r="AN400" s="5">
        <v>0</v>
      </c>
      <c r="AO400" s="5">
        <v>0</v>
      </c>
      <c r="AP400" s="5"/>
      <c r="AQ400" s="5">
        <v>0</v>
      </c>
      <c r="AR400" s="5">
        <v>0</v>
      </c>
      <c r="AS400" s="5"/>
      <c r="AT400" s="5">
        <v>1665.9181962029031</v>
      </c>
      <c r="AU400" s="5">
        <v>624</v>
      </c>
      <c r="AV400" s="5"/>
      <c r="AW400" s="5">
        <v>81.790500000000009</v>
      </c>
      <c r="AX400" s="5">
        <v>0</v>
      </c>
      <c r="AY400" s="5"/>
      <c r="AZ400" s="40">
        <v>8404.0947348661375</v>
      </c>
      <c r="BA400" s="40">
        <v>717</v>
      </c>
      <c r="BB400" s="55">
        <v>-7687.0947348661375</v>
      </c>
      <c r="BD400" s="2">
        <v>2</v>
      </c>
      <c r="BF400" s="325">
        <v>150000880</v>
      </c>
    </row>
    <row r="401" spans="1:59" ht="25.05" customHeight="1" x14ac:dyDescent="0.3">
      <c r="A401" s="325">
        <v>150000881</v>
      </c>
      <c r="B401" s="445" t="s">
        <v>412</v>
      </c>
      <c r="C401" s="27">
        <v>9</v>
      </c>
      <c r="D401" s="101" t="s">
        <v>455</v>
      </c>
      <c r="E401" s="279">
        <v>2405.4</v>
      </c>
      <c r="F401" s="441">
        <v>27417.168031924513</v>
      </c>
      <c r="G401" s="441">
        <v>4662</v>
      </c>
      <c r="H401" s="73">
        <v>-22755.168031924513</v>
      </c>
      <c r="I401" s="5">
        <v>0</v>
      </c>
      <c r="J401" s="5">
        <v>0</v>
      </c>
      <c r="K401" s="446"/>
      <c r="L401" s="5">
        <v>0</v>
      </c>
      <c r="M401" s="5">
        <v>0</v>
      </c>
      <c r="N401" s="35"/>
      <c r="O401" s="5">
        <v>0</v>
      </c>
      <c r="P401" s="5">
        <v>0</v>
      </c>
      <c r="Q401" s="447"/>
      <c r="R401" s="5">
        <v>3</v>
      </c>
      <c r="S401" s="5">
        <v>3793</v>
      </c>
      <c r="T401" s="448"/>
      <c r="U401" s="5">
        <v>0</v>
      </c>
      <c r="V401" s="5">
        <v>0</v>
      </c>
      <c r="W401" s="5">
        <v>0</v>
      </c>
      <c r="X401" s="5">
        <v>0</v>
      </c>
      <c r="Y401" s="5">
        <v>739</v>
      </c>
      <c r="Z401" s="5">
        <v>0</v>
      </c>
      <c r="AA401" s="5">
        <v>0</v>
      </c>
      <c r="AB401" s="5">
        <v>0</v>
      </c>
      <c r="AC401" s="5">
        <v>0</v>
      </c>
      <c r="AD401" s="5">
        <v>130</v>
      </c>
      <c r="AE401" s="5">
        <v>791.92864321429738</v>
      </c>
      <c r="AF401" s="5">
        <v>0</v>
      </c>
      <c r="AG401" s="5"/>
      <c r="AH401" s="5">
        <v>850.58905955098714</v>
      </c>
      <c r="AI401" s="5">
        <v>0</v>
      </c>
      <c r="AJ401" s="5"/>
      <c r="AK401" s="5">
        <v>512.61545983490203</v>
      </c>
      <c r="AL401" s="5">
        <v>1165</v>
      </c>
      <c r="AM401" s="5"/>
      <c r="AN401" s="5">
        <v>895.60143123772207</v>
      </c>
      <c r="AO401" s="5">
        <v>0</v>
      </c>
      <c r="AP401" s="5"/>
      <c r="AQ401" s="5">
        <v>372.8409384525375</v>
      </c>
      <c r="AR401" s="5">
        <v>0</v>
      </c>
      <c r="AS401" s="5"/>
      <c r="AT401" s="5">
        <v>382.61331975202421</v>
      </c>
      <c r="AU401" s="5">
        <v>8899</v>
      </c>
      <c r="AV401" s="5"/>
      <c r="AW401" s="5">
        <v>72.162000000000006</v>
      </c>
      <c r="AX401" s="5">
        <v>0</v>
      </c>
      <c r="AY401" s="5"/>
      <c r="AZ401" s="40">
        <v>3878.3508520424703</v>
      </c>
      <c r="BA401" s="40">
        <v>10064</v>
      </c>
      <c r="BB401" s="55">
        <v>6185.6491479575297</v>
      </c>
      <c r="BD401" s="2">
        <v>2</v>
      </c>
      <c r="BF401" s="325">
        <v>150000881</v>
      </c>
    </row>
    <row r="402" spans="1:59" ht="25.05" customHeight="1" x14ac:dyDescent="0.3">
      <c r="A402" s="325">
        <v>150000882</v>
      </c>
      <c r="B402" s="445" t="s">
        <v>331</v>
      </c>
      <c r="C402" s="27">
        <v>5</v>
      </c>
      <c r="D402" s="101" t="s">
        <v>455</v>
      </c>
      <c r="E402" s="279">
        <v>3009.77</v>
      </c>
      <c r="F402" s="441">
        <v>28585.293852242488</v>
      </c>
      <c r="G402" s="441">
        <v>8757.7837124523394</v>
      </c>
      <c r="H402" s="73">
        <v>-19827.510139790149</v>
      </c>
      <c r="I402" s="5">
        <v>0</v>
      </c>
      <c r="J402" s="5">
        <v>7944</v>
      </c>
      <c r="K402" s="446"/>
      <c r="L402" s="5">
        <v>0</v>
      </c>
      <c r="M402" s="5">
        <v>0</v>
      </c>
      <c r="N402" s="35"/>
      <c r="O402" s="5">
        <v>0</v>
      </c>
      <c r="P402" s="5">
        <v>0</v>
      </c>
      <c r="Q402" s="447"/>
      <c r="R402" s="5">
        <v>0</v>
      </c>
      <c r="S402" s="5">
        <v>0</v>
      </c>
      <c r="T402" s="448"/>
      <c r="U402" s="5">
        <v>0</v>
      </c>
      <c r="V402" s="5">
        <v>0</v>
      </c>
      <c r="W402" s="5">
        <v>0</v>
      </c>
      <c r="X402" s="5">
        <v>306.78371245233939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507</v>
      </c>
      <c r="AE402" s="5">
        <v>1955.0963667352714</v>
      </c>
      <c r="AF402" s="5">
        <v>389</v>
      </c>
      <c r="AG402" s="454"/>
      <c r="AH402" s="5">
        <v>2814.3203388362058</v>
      </c>
      <c r="AI402" s="5">
        <v>26</v>
      </c>
      <c r="AJ402" s="5"/>
      <c r="AK402" s="5">
        <v>1941.7493299620492</v>
      </c>
      <c r="AL402" s="5">
        <v>0</v>
      </c>
      <c r="AM402" s="5"/>
      <c r="AN402" s="5">
        <v>0</v>
      </c>
      <c r="AO402" s="5">
        <v>0</v>
      </c>
      <c r="AP402" s="5"/>
      <c r="AQ402" s="5">
        <v>0</v>
      </c>
      <c r="AR402" s="5">
        <v>0</v>
      </c>
      <c r="AS402" s="5"/>
      <c r="AT402" s="5">
        <v>1104.1360364116802</v>
      </c>
      <c r="AU402" s="5">
        <v>727</v>
      </c>
      <c r="AV402" s="5"/>
      <c r="AW402" s="5">
        <v>91.907099999999986</v>
      </c>
      <c r="AX402" s="5">
        <v>0</v>
      </c>
      <c r="AY402" s="5"/>
      <c r="AZ402" s="40">
        <v>7907.2091719452064</v>
      </c>
      <c r="BA402" s="40">
        <v>1142</v>
      </c>
      <c r="BB402" s="55">
        <v>-6765.2091719452064</v>
      </c>
      <c r="BD402" s="2">
        <v>2</v>
      </c>
      <c r="BF402" s="325">
        <v>150000882</v>
      </c>
    </row>
    <row r="403" spans="1:59" ht="25.05" customHeight="1" x14ac:dyDescent="0.3">
      <c r="A403" s="325">
        <v>150000883</v>
      </c>
      <c r="B403" s="445" t="s">
        <v>332</v>
      </c>
      <c r="C403" s="27">
        <v>5</v>
      </c>
      <c r="D403" s="101" t="s">
        <v>455</v>
      </c>
      <c r="E403" s="279">
        <v>1851.94</v>
      </c>
      <c r="F403" s="441">
        <v>17750.99944942072</v>
      </c>
      <c r="G403" s="441">
        <v>66224.62</v>
      </c>
      <c r="H403" s="73">
        <v>48473.620550579275</v>
      </c>
      <c r="I403" s="5">
        <v>0</v>
      </c>
      <c r="J403" s="5">
        <v>0</v>
      </c>
      <c r="K403" s="450"/>
      <c r="L403" s="5">
        <v>1</v>
      </c>
      <c r="M403" s="5">
        <v>62860</v>
      </c>
      <c r="N403" s="35"/>
      <c r="O403" s="5">
        <v>0</v>
      </c>
      <c r="P403" s="5">
        <v>0</v>
      </c>
      <c r="Q403" s="447"/>
      <c r="R403" s="5">
        <v>0</v>
      </c>
      <c r="S403" s="5">
        <v>0</v>
      </c>
      <c r="T403" s="448"/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595.62</v>
      </c>
      <c r="AC403" s="5">
        <v>2087</v>
      </c>
      <c r="AD403" s="5">
        <v>682</v>
      </c>
      <c r="AE403" s="5">
        <v>1347.3889243791004</v>
      </c>
      <c r="AF403" s="5">
        <v>1148</v>
      </c>
      <c r="AG403" s="5"/>
      <c r="AH403" s="5">
        <v>1673.8575523080276</v>
      </c>
      <c r="AI403" s="5">
        <v>0</v>
      </c>
      <c r="AJ403" s="5"/>
      <c r="AK403" s="5">
        <v>1088.7825276174024</v>
      </c>
      <c r="AL403" s="5">
        <v>0</v>
      </c>
      <c r="AM403" s="5"/>
      <c r="AN403" s="5">
        <v>0</v>
      </c>
      <c r="AO403" s="5">
        <v>0</v>
      </c>
      <c r="AP403" s="5"/>
      <c r="AQ403" s="5">
        <v>0</v>
      </c>
      <c r="AR403" s="5">
        <v>0</v>
      </c>
      <c r="AS403" s="5"/>
      <c r="AT403" s="5">
        <v>537.4913659354205</v>
      </c>
      <c r="AU403" s="5">
        <v>709</v>
      </c>
      <c r="AV403" s="5"/>
      <c r="AW403" s="5">
        <v>55.558199999999999</v>
      </c>
      <c r="AX403" s="5">
        <v>0</v>
      </c>
      <c r="AY403" s="5"/>
      <c r="AZ403" s="40">
        <v>4703.0785702399517</v>
      </c>
      <c r="BA403" s="40">
        <v>1857</v>
      </c>
      <c r="BB403" s="55">
        <v>-2846.0785702399517</v>
      </c>
      <c r="BD403" s="2">
        <v>2</v>
      </c>
      <c r="BF403" s="325">
        <v>150000883</v>
      </c>
    </row>
    <row r="404" spans="1:59" ht="25.05" customHeight="1" x14ac:dyDescent="0.3">
      <c r="A404" s="325">
        <v>150000884</v>
      </c>
      <c r="B404" s="445" t="s">
        <v>333</v>
      </c>
      <c r="C404" s="27">
        <v>5</v>
      </c>
      <c r="D404" s="101" t="s">
        <v>455</v>
      </c>
      <c r="E404" s="279">
        <v>3400.35</v>
      </c>
      <c r="F404" s="441">
        <v>37348.080687334674</v>
      </c>
      <c r="G404" s="441">
        <v>126284.49</v>
      </c>
      <c r="H404" s="73">
        <v>88936.409312665332</v>
      </c>
      <c r="I404" s="5">
        <v>1</v>
      </c>
      <c r="J404" s="5">
        <v>1019</v>
      </c>
      <c r="K404" s="446"/>
      <c r="L404" s="5">
        <v>2</v>
      </c>
      <c r="M404" s="5">
        <v>121039</v>
      </c>
      <c r="N404" s="35"/>
      <c r="O404" s="5">
        <v>0</v>
      </c>
      <c r="P404" s="5">
        <v>0</v>
      </c>
      <c r="Q404" s="447"/>
      <c r="R404" s="5">
        <v>0</v>
      </c>
      <c r="S404" s="5">
        <v>0</v>
      </c>
      <c r="T404" s="448"/>
      <c r="U404" s="5">
        <v>0</v>
      </c>
      <c r="V404" s="5">
        <v>0</v>
      </c>
      <c r="W404" s="5">
        <v>0</v>
      </c>
      <c r="X404" s="5">
        <v>742.49</v>
      </c>
      <c r="Y404" s="5">
        <v>0</v>
      </c>
      <c r="Z404" s="5">
        <v>0</v>
      </c>
      <c r="AA404" s="5">
        <v>0</v>
      </c>
      <c r="AB404" s="5">
        <v>0</v>
      </c>
      <c r="AC404" s="5">
        <v>2578</v>
      </c>
      <c r="AD404" s="5">
        <v>906</v>
      </c>
      <c r="AE404" s="5">
        <v>2493.1455960929729</v>
      </c>
      <c r="AF404" s="5">
        <v>1382</v>
      </c>
      <c r="AG404" s="8"/>
      <c r="AH404" s="5">
        <v>3687.1830860606542</v>
      </c>
      <c r="AI404" s="5">
        <v>13</v>
      </c>
      <c r="AJ404" s="5"/>
      <c r="AK404" s="5">
        <v>1998.8397564165646</v>
      </c>
      <c r="AL404" s="5">
        <v>0</v>
      </c>
      <c r="AM404" s="5"/>
      <c r="AN404" s="5">
        <v>0</v>
      </c>
      <c r="AO404" s="5">
        <v>0</v>
      </c>
      <c r="AP404" s="5"/>
      <c r="AQ404" s="5">
        <v>0</v>
      </c>
      <c r="AR404" s="5">
        <v>0</v>
      </c>
      <c r="AS404" s="5"/>
      <c r="AT404" s="5">
        <v>1644.2243007905431</v>
      </c>
      <c r="AU404" s="5">
        <v>334</v>
      </c>
      <c r="AV404" s="5"/>
      <c r="AW404" s="5">
        <v>101.99250000000001</v>
      </c>
      <c r="AX404" s="5">
        <v>0</v>
      </c>
      <c r="AY404" s="5"/>
      <c r="AZ404" s="40">
        <v>9925.3852393607358</v>
      </c>
      <c r="BA404" s="40">
        <v>1729</v>
      </c>
      <c r="BB404" s="55">
        <v>-8196.3852393607358</v>
      </c>
      <c r="BD404" s="2">
        <v>2</v>
      </c>
      <c r="BF404" s="325">
        <v>150000884</v>
      </c>
    </row>
    <row r="405" spans="1:59" ht="25.05" customHeight="1" thickBot="1" x14ac:dyDescent="0.35">
      <c r="A405" s="325">
        <v>150000885</v>
      </c>
      <c r="B405" s="445" t="s">
        <v>239</v>
      </c>
      <c r="C405" s="27">
        <v>4</v>
      </c>
      <c r="D405" s="101" t="s">
        <v>455</v>
      </c>
      <c r="E405" s="279">
        <v>1494.6000000000001</v>
      </c>
      <c r="F405" s="441">
        <v>17442.645903985591</v>
      </c>
      <c r="G405" s="468">
        <v>1298</v>
      </c>
      <c r="H405" s="469">
        <v>-16144.645903985591</v>
      </c>
      <c r="I405" s="5">
        <v>0</v>
      </c>
      <c r="J405" s="5">
        <v>0</v>
      </c>
      <c r="K405" s="470"/>
      <c r="L405" s="5">
        <v>0</v>
      </c>
      <c r="M405" s="5">
        <v>673</v>
      </c>
      <c r="N405" s="36"/>
      <c r="O405" s="5">
        <v>0</v>
      </c>
      <c r="P405" s="5">
        <v>0</v>
      </c>
      <c r="Q405" s="471"/>
      <c r="R405" s="5">
        <v>0</v>
      </c>
      <c r="S405" s="5">
        <v>0</v>
      </c>
      <c r="T405" s="472"/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625</v>
      </c>
      <c r="AE405" s="5">
        <v>1187.0143455968512</v>
      </c>
      <c r="AF405" s="5">
        <v>1761.88</v>
      </c>
      <c r="AG405" s="34"/>
      <c r="AH405" s="5">
        <v>1500.0366832758391</v>
      </c>
      <c r="AI405" s="5">
        <v>0</v>
      </c>
      <c r="AJ405" s="34"/>
      <c r="AK405" s="5">
        <v>823.64583100251912</v>
      </c>
      <c r="AL405" s="5">
        <v>0</v>
      </c>
      <c r="AM405" s="34"/>
      <c r="AN405" s="5">
        <v>0</v>
      </c>
      <c r="AO405" s="5">
        <v>0</v>
      </c>
      <c r="AP405" s="34"/>
      <c r="AQ405" s="5">
        <v>0</v>
      </c>
      <c r="AR405" s="5">
        <v>0</v>
      </c>
      <c r="AS405" s="34"/>
      <c r="AT405" s="5">
        <v>522.03066764842379</v>
      </c>
      <c r="AU405" s="5">
        <v>0</v>
      </c>
      <c r="AV405" s="463"/>
      <c r="AW405" s="5">
        <v>44.838000000000008</v>
      </c>
      <c r="AX405" s="5">
        <v>0</v>
      </c>
      <c r="AY405" s="34"/>
      <c r="AZ405" s="67">
        <v>4077.5655275236331</v>
      </c>
      <c r="BA405" s="67">
        <v>1761.88</v>
      </c>
      <c r="BB405" s="70">
        <v>-2315.685527523633</v>
      </c>
      <c r="BD405" s="2">
        <v>2</v>
      </c>
      <c r="BF405" s="325">
        <v>150000885</v>
      </c>
    </row>
    <row r="406" spans="1:59" s="31" customFormat="1" ht="25.05" customHeight="1" thickBot="1" x14ac:dyDescent="0.35">
      <c r="A406" s="280"/>
      <c r="B406" s="281" t="s">
        <v>853</v>
      </c>
      <c r="C406" s="281"/>
      <c r="D406" s="282"/>
      <c r="E406" s="473">
        <v>1015028.5299999997</v>
      </c>
      <c r="F406" s="474">
        <v>13169792.835659696</v>
      </c>
      <c r="G406" s="475">
        <v>12621090.122235818</v>
      </c>
      <c r="H406" s="474">
        <v>-548702.71342387632</v>
      </c>
      <c r="I406" s="476">
        <v>7286.1999999999962</v>
      </c>
      <c r="J406" s="477">
        <v>1747135.6600000001</v>
      </c>
      <c r="K406" s="478"/>
      <c r="L406" s="479">
        <v>60</v>
      </c>
      <c r="M406" s="480">
        <v>3355769.3400000008</v>
      </c>
      <c r="N406" s="481"/>
      <c r="O406" s="482">
        <v>2049.5</v>
      </c>
      <c r="P406" s="480">
        <v>464762.9</v>
      </c>
      <c r="Q406" s="483"/>
      <c r="R406" s="479">
        <v>266</v>
      </c>
      <c r="S406" s="480">
        <v>2244886.8800000004</v>
      </c>
      <c r="T406" s="481"/>
      <c r="U406" s="482">
        <v>76382</v>
      </c>
      <c r="V406" s="484"/>
      <c r="W406" s="479">
        <v>823.94999999999993</v>
      </c>
      <c r="X406" s="481">
        <v>453176.37223581719</v>
      </c>
      <c r="Y406" s="482">
        <v>1880324.4699999995</v>
      </c>
      <c r="Z406" s="484"/>
      <c r="AA406" s="485">
        <v>144352</v>
      </c>
      <c r="AB406" s="474">
        <v>257390.82</v>
      </c>
      <c r="AC406" s="485">
        <v>1116642.4899999998</v>
      </c>
      <c r="AD406" s="474">
        <v>880267.19000000006</v>
      </c>
      <c r="AE406" s="486">
        <v>602295.61135064531</v>
      </c>
      <c r="AF406" s="487">
        <v>322035.19</v>
      </c>
      <c r="AG406" s="480">
        <v>-280260.42135064531</v>
      </c>
      <c r="AH406" s="480">
        <v>802220.7907333402</v>
      </c>
      <c r="AI406" s="487">
        <v>589873.74</v>
      </c>
      <c r="AJ406" s="480">
        <v>-212347.05073334021</v>
      </c>
      <c r="AK406" s="480">
        <v>467801.38155822555</v>
      </c>
      <c r="AL406" s="487">
        <v>265847.65999999997</v>
      </c>
      <c r="AM406" s="480">
        <v>-201953.72155822557</v>
      </c>
      <c r="AN406" s="480">
        <v>264155.44560856442</v>
      </c>
      <c r="AO406" s="487">
        <v>213791.69999999998</v>
      </c>
      <c r="AP406" s="480">
        <v>-50363.745608564437</v>
      </c>
      <c r="AQ406" s="480">
        <v>193273.51151723324</v>
      </c>
      <c r="AR406" s="487">
        <v>56205</v>
      </c>
      <c r="AS406" s="480">
        <v>-137068.51151723324</v>
      </c>
      <c r="AT406" s="480">
        <v>440812.78606484487</v>
      </c>
      <c r="AU406" s="487">
        <v>288575</v>
      </c>
      <c r="AV406" s="480">
        <v>-152237.78606484487</v>
      </c>
      <c r="AW406" s="480">
        <v>62771.50361965003</v>
      </c>
      <c r="AX406" s="487">
        <v>66377.349999999991</v>
      </c>
      <c r="AY406" s="480"/>
      <c r="AZ406" s="480">
        <v>2833331.0304525024</v>
      </c>
      <c r="BA406" s="480">
        <v>1802705.6399999997</v>
      </c>
      <c r="BB406" s="60">
        <v>-1030625.3904525028</v>
      </c>
      <c r="BD406" s="168"/>
    </row>
    <row r="407" spans="1:59" x14ac:dyDescent="0.3">
      <c r="BG407" s="94"/>
    </row>
    <row r="408" spans="1:59" x14ac:dyDescent="0.3">
      <c r="F408" s="7">
        <v>13169792.835659696</v>
      </c>
      <c r="G408" s="7">
        <v>12621090.122235818</v>
      </c>
      <c r="AZ408" s="7">
        <v>2833331.0304525024</v>
      </c>
      <c r="BA408" s="7">
        <v>1802705.6399999997</v>
      </c>
      <c r="BD408" s="7">
        <v>16003123.866112199</v>
      </c>
      <c r="BG408" s="94"/>
    </row>
    <row r="409" spans="1:59" x14ac:dyDescent="0.3">
      <c r="BD409" s="2">
        <v>19203748.639334638</v>
      </c>
      <c r="BG409" s="94"/>
    </row>
    <row r="411" spans="1:59" ht="15.6" x14ac:dyDescent="0.3">
      <c r="A411" s="3"/>
      <c r="B411" s="488" t="s">
        <v>986</v>
      </c>
      <c r="C411" s="489"/>
      <c r="D411" s="490"/>
      <c r="E411" s="3"/>
      <c r="F411" s="5">
        <v>4730126.9114068784</v>
      </c>
      <c r="G411" s="5">
        <v>5328039.2661380284</v>
      </c>
      <c r="H411" s="5">
        <v>597912.35473115335</v>
      </c>
      <c r="I411" s="5">
        <v>2010.65</v>
      </c>
      <c r="J411" s="5">
        <v>391852.11000000004</v>
      </c>
      <c r="K411" s="5"/>
      <c r="L411" s="5">
        <v>15</v>
      </c>
      <c r="M411" s="5">
        <v>1040292.96</v>
      </c>
      <c r="N411" s="5"/>
      <c r="O411" s="5">
        <v>1718.1</v>
      </c>
      <c r="P411" s="5">
        <v>391822.06</v>
      </c>
      <c r="Q411" s="5"/>
      <c r="R411" s="5">
        <v>141</v>
      </c>
      <c r="S411" s="5">
        <v>1595426.42</v>
      </c>
      <c r="T411" s="5"/>
      <c r="U411" s="5">
        <v>52400</v>
      </c>
      <c r="V411" s="5"/>
      <c r="W411" s="5">
        <v>192</v>
      </c>
      <c r="X411" s="5">
        <v>83248.276138030385</v>
      </c>
      <c r="Y411" s="5">
        <v>473501.02</v>
      </c>
      <c r="Z411" s="5"/>
      <c r="AA411" s="5">
        <v>126705</v>
      </c>
      <c r="AB411" s="5">
        <v>102008.73999999999</v>
      </c>
      <c r="AC411" s="5">
        <v>719859.38</v>
      </c>
      <c r="AD411" s="5">
        <v>350923.30000000005</v>
      </c>
      <c r="AE411" s="5">
        <v>158106.32360718434</v>
      </c>
      <c r="AF411" s="5">
        <v>95632.37</v>
      </c>
      <c r="AG411" s="5"/>
      <c r="AH411" s="5">
        <v>200405.32855638099</v>
      </c>
      <c r="AI411" s="5">
        <v>300367.89999999997</v>
      </c>
      <c r="AJ411" s="5"/>
      <c r="AK411" s="5">
        <v>112962.9434211859</v>
      </c>
      <c r="AL411" s="5">
        <v>79010.77</v>
      </c>
      <c r="AM411" s="5"/>
      <c r="AN411" s="5">
        <v>129594.66711689487</v>
      </c>
      <c r="AO411" s="5">
        <v>161221.03</v>
      </c>
      <c r="AP411" s="5"/>
      <c r="AQ411" s="5">
        <v>96868.855545369093</v>
      </c>
      <c r="AR411" s="5">
        <v>29660</v>
      </c>
      <c r="AS411" s="5"/>
      <c r="AT411" s="5">
        <v>131624.65145660599</v>
      </c>
      <c r="AU411" s="5">
        <v>62810</v>
      </c>
      <c r="AV411" s="5"/>
      <c r="AW411" s="5">
        <v>41366.869124832607</v>
      </c>
      <c r="AX411" s="5">
        <v>32418.539999999997</v>
      </c>
      <c r="AY411" s="5"/>
      <c r="AZ411" s="5">
        <v>870929.63882845396</v>
      </c>
      <c r="BA411" s="5">
        <v>761120.61</v>
      </c>
      <c r="BB411" s="5">
        <v>-109809.02882845375</v>
      </c>
    </row>
    <row r="412" spans="1:59" ht="15.6" x14ac:dyDescent="0.3">
      <c r="A412" s="3"/>
      <c r="B412" s="488" t="s">
        <v>987</v>
      </c>
      <c r="C412" s="489"/>
      <c r="D412" s="490"/>
      <c r="E412" s="3"/>
      <c r="F412" s="5">
        <v>4066350.6523106364</v>
      </c>
      <c r="G412" s="5">
        <v>4010226.4170529903</v>
      </c>
      <c r="H412" s="5">
        <v>-56124.235257650325</v>
      </c>
      <c r="I412" s="5">
        <v>1423.5</v>
      </c>
      <c r="J412" s="5">
        <v>500792.0500000001</v>
      </c>
      <c r="K412" s="5"/>
      <c r="L412" s="5">
        <v>31</v>
      </c>
      <c r="M412" s="5">
        <v>1738988.19</v>
      </c>
      <c r="N412" s="5"/>
      <c r="O412" s="5">
        <v>237</v>
      </c>
      <c r="P412" s="5">
        <v>53500</v>
      </c>
      <c r="Q412" s="5"/>
      <c r="R412" s="5">
        <v>31</v>
      </c>
      <c r="S412" s="5">
        <v>136766.29</v>
      </c>
      <c r="T412" s="5"/>
      <c r="U412" s="5">
        <v>0</v>
      </c>
      <c r="V412" s="5"/>
      <c r="W412" s="5">
        <v>307</v>
      </c>
      <c r="X412" s="5">
        <v>254291.47705298793</v>
      </c>
      <c r="Y412" s="5">
        <v>830739.88000000012</v>
      </c>
      <c r="Z412" s="5"/>
      <c r="AA412" s="5">
        <v>10841</v>
      </c>
      <c r="AB412" s="5">
        <v>32177.269999999993</v>
      </c>
      <c r="AC412" s="5">
        <v>155382.77000000002</v>
      </c>
      <c r="AD412" s="5">
        <v>296747.49</v>
      </c>
      <c r="AE412" s="5">
        <v>246217.23428489693</v>
      </c>
      <c r="AF412" s="5">
        <v>142306.68</v>
      </c>
      <c r="AG412" s="5"/>
      <c r="AH412" s="5">
        <v>337302.53166044509</v>
      </c>
      <c r="AI412" s="5">
        <v>104134.10999999999</v>
      </c>
      <c r="AJ412" s="5"/>
      <c r="AK412" s="5">
        <v>195354.78448521369</v>
      </c>
      <c r="AL412" s="5">
        <v>43349</v>
      </c>
      <c r="AM412" s="5"/>
      <c r="AN412" s="5">
        <v>50426.797189900069</v>
      </c>
      <c r="AO412" s="5">
        <v>4061</v>
      </c>
      <c r="AP412" s="5"/>
      <c r="AQ412" s="5">
        <v>19695.867177604567</v>
      </c>
      <c r="AR412" s="5">
        <v>6744</v>
      </c>
      <c r="AS412" s="5"/>
      <c r="AT412" s="5">
        <v>159357.40331582338</v>
      </c>
      <c r="AU412" s="5">
        <v>165157</v>
      </c>
      <c r="AV412" s="5"/>
      <c r="AW412" s="5">
        <v>12171.794890168871</v>
      </c>
      <c r="AX412" s="5">
        <v>12155</v>
      </c>
      <c r="AY412" s="5"/>
      <c r="AZ412" s="5">
        <v>1020526.4130040525</v>
      </c>
      <c r="BA412" s="5">
        <v>477906.79</v>
      </c>
      <c r="BB412" s="5">
        <v>-542619.62300405279</v>
      </c>
    </row>
    <row r="413" spans="1:59" ht="15.6" x14ac:dyDescent="0.3">
      <c r="A413" s="3"/>
      <c r="B413" s="488" t="s">
        <v>988</v>
      </c>
      <c r="C413" s="489"/>
      <c r="D413" s="490"/>
      <c r="E413" s="3"/>
      <c r="F413" s="5">
        <v>4373315.2719421778</v>
      </c>
      <c r="G413" s="5">
        <v>3282824.4390447973</v>
      </c>
      <c r="H413" s="5">
        <v>-1090490.8328973795</v>
      </c>
      <c r="I413" s="5">
        <v>3852.0499999999993</v>
      </c>
      <c r="J413" s="5">
        <v>854491.49999999988</v>
      </c>
      <c r="K413" s="5">
        <v>0</v>
      </c>
      <c r="L413" s="5">
        <v>14</v>
      </c>
      <c r="M413" s="5">
        <v>576488.18999999994</v>
      </c>
      <c r="N413" s="5">
        <v>0</v>
      </c>
      <c r="O413" s="5">
        <v>94.4</v>
      </c>
      <c r="P413" s="5">
        <v>19440.84</v>
      </c>
      <c r="Q413" s="5">
        <v>0</v>
      </c>
      <c r="R413" s="5">
        <v>94</v>
      </c>
      <c r="S413" s="5">
        <v>512694.17000000004</v>
      </c>
      <c r="T413" s="5">
        <v>0</v>
      </c>
      <c r="U413" s="5">
        <v>23982</v>
      </c>
      <c r="V413" s="5">
        <v>0</v>
      </c>
      <c r="W413" s="5">
        <v>324.95000000000005</v>
      </c>
      <c r="X413" s="5">
        <v>115636.61904479888</v>
      </c>
      <c r="Y413" s="5">
        <v>576083.56999999995</v>
      </c>
      <c r="Z413" s="5">
        <v>0</v>
      </c>
      <c r="AA413" s="5">
        <v>6806</v>
      </c>
      <c r="AB413" s="5">
        <v>123204.80999999998</v>
      </c>
      <c r="AC413" s="5">
        <v>241400.34000000003</v>
      </c>
      <c r="AD413" s="5">
        <v>232596.40000000002</v>
      </c>
      <c r="AE413" s="5">
        <v>197972.0534585639</v>
      </c>
      <c r="AF413" s="5">
        <v>84096.14</v>
      </c>
      <c r="AG413" s="5">
        <v>0</v>
      </c>
      <c r="AH413" s="5">
        <v>264512.93051651365</v>
      </c>
      <c r="AI413" s="5">
        <v>185371.73</v>
      </c>
      <c r="AJ413" s="5">
        <v>0</v>
      </c>
      <c r="AK413" s="5">
        <v>159483.65365182585</v>
      </c>
      <c r="AL413" s="5">
        <v>143487.89000000001</v>
      </c>
      <c r="AM413" s="5">
        <v>0</v>
      </c>
      <c r="AN413" s="5">
        <v>84133.981301769585</v>
      </c>
      <c r="AO413" s="5">
        <v>48509.670000000006</v>
      </c>
      <c r="AP413" s="5"/>
      <c r="AQ413" s="5">
        <v>76708.788794259395</v>
      </c>
      <c r="AR413" s="5">
        <v>19801</v>
      </c>
      <c r="AS413" s="5">
        <v>0</v>
      </c>
      <c r="AT413" s="5">
        <v>149830.73129241556</v>
      </c>
      <c r="AU413" s="5">
        <v>60608</v>
      </c>
      <c r="AV413" s="5">
        <v>0</v>
      </c>
      <c r="AW413" s="5">
        <v>9232.8396046485323</v>
      </c>
      <c r="AX413" s="5">
        <v>21803.81</v>
      </c>
      <c r="AY413" s="5">
        <v>0</v>
      </c>
      <c r="AZ413" s="5">
        <v>941874.97861999681</v>
      </c>
      <c r="BA413" s="5">
        <v>563678.23999999987</v>
      </c>
      <c r="BB413" s="5">
        <v>-378196.73861999676</v>
      </c>
    </row>
    <row r="414" spans="1:59" ht="15.6" x14ac:dyDescent="0.3">
      <c r="B414" s="273"/>
      <c r="C414" s="9"/>
      <c r="D414" s="103"/>
      <c r="F414" s="8">
        <v>13169792.835659692</v>
      </c>
      <c r="G414" s="8">
        <v>12621090.122235816</v>
      </c>
      <c r="H414" s="8">
        <v>-548702.71342387656</v>
      </c>
      <c r="I414" s="8">
        <v>7286.1999999999989</v>
      </c>
      <c r="J414" s="8">
        <v>1747135.6600000001</v>
      </c>
      <c r="K414" s="8"/>
      <c r="L414" s="8">
        <v>60</v>
      </c>
      <c r="M414" s="8">
        <v>3355769.34</v>
      </c>
      <c r="N414" s="8"/>
      <c r="O414" s="8">
        <v>2049.5</v>
      </c>
      <c r="P414" s="8">
        <v>464762.9</v>
      </c>
      <c r="Q414" s="8"/>
      <c r="R414" s="8">
        <v>266</v>
      </c>
      <c r="S414" s="8">
        <v>2244886.88</v>
      </c>
      <c r="T414" s="8"/>
      <c r="U414" s="8">
        <v>76382</v>
      </c>
      <c r="V414" s="8"/>
      <c r="W414" s="8">
        <v>823.95</v>
      </c>
      <c r="X414" s="8">
        <v>453176.37223581719</v>
      </c>
      <c r="Y414" s="8">
        <v>1880324.4700000002</v>
      </c>
      <c r="Z414" s="8"/>
      <c r="AA414" s="8">
        <v>144352</v>
      </c>
      <c r="AB414" s="8">
        <v>257390.81999999995</v>
      </c>
      <c r="AC414" s="8">
        <v>1116642.49</v>
      </c>
      <c r="AD414" s="8">
        <v>880267.19000000006</v>
      </c>
      <c r="AE414" s="8">
        <v>602295.61135064519</v>
      </c>
      <c r="AF414" s="8">
        <v>322035.19</v>
      </c>
      <c r="AG414" s="8"/>
      <c r="AH414" s="8">
        <v>802220.79073333973</v>
      </c>
      <c r="AI414" s="8">
        <v>589873.74</v>
      </c>
      <c r="AJ414" s="8"/>
      <c r="AK414" s="8">
        <v>467801.38155822543</v>
      </c>
      <c r="AL414" s="8">
        <v>265847.66000000003</v>
      </c>
      <c r="AM414" s="8"/>
      <c r="AN414" s="8">
        <v>264155.44560856454</v>
      </c>
      <c r="AO414" s="8">
        <v>213791.7</v>
      </c>
      <c r="AP414" s="8"/>
      <c r="AQ414" s="8">
        <v>193273.51151723304</v>
      </c>
      <c r="AR414" s="8">
        <v>56205</v>
      </c>
      <c r="AS414" s="8"/>
      <c r="AT414" s="8">
        <v>440812.78606484493</v>
      </c>
      <c r="AU414" s="8">
        <v>288575</v>
      </c>
      <c r="AV414" s="8"/>
      <c r="AW414" s="8">
        <v>62771.503619650015</v>
      </c>
      <c r="AX414" s="8">
        <v>66377.349999999991</v>
      </c>
      <c r="AY414" s="8"/>
      <c r="AZ414" s="8">
        <v>2833331.0304525034</v>
      </c>
      <c r="BA414" s="8">
        <v>1802705.6399999997</v>
      </c>
      <c r="BB414" s="8">
        <v>-1030625.3904525032</v>
      </c>
      <c r="BD414" s="1"/>
    </row>
    <row r="416" spans="1:59" x14ac:dyDescent="0.3">
      <c r="C416" s="395"/>
      <c r="D416" s="395"/>
    </row>
  </sheetData>
  <mergeCells count="26">
    <mergeCell ref="O9:Q9"/>
    <mergeCell ref="R9:T9"/>
    <mergeCell ref="U9:V9"/>
    <mergeCell ref="W9:X9"/>
    <mergeCell ref="Y9:Z9"/>
    <mergeCell ref="AE7:BB7"/>
    <mergeCell ref="F8:F10"/>
    <mergeCell ref="G8:G10"/>
    <mergeCell ref="H8:H10"/>
    <mergeCell ref="I8:AD8"/>
    <mergeCell ref="AE8:AG9"/>
    <mergeCell ref="AH8:AJ9"/>
    <mergeCell ref="AK8:AM9"/>
    <mergeCell ref="AN8:AP9"/>
    <mergeCell ref="AQ8:AS9"/>
    <mergeCell ref="F7:AD7"/>
    <mergeCell ref="AT8:AV9"/>
    <mergeCell ref="AW8:AY9"/>
    <mergeCell ref="AZ8:BB9"/>
    <mergeCell ref="I9:K9"/>
    <mergeCell ref="L9:N9"/>
    <mergeCell ref="A7:A10"/>
    <mergeCell ref="B7:B10"/>
    <mergeCell ref="C7:C10"/>
    <mergeCell ref="D7:D10"/>
    <mergeCell ref="E7:E10"/>
  </mergeCells>
  <conditionalFormatting sqref="A165">
    <cfRule type="duplicateValues" dxfId="4" priority="1"/>
  </conditionalFormatting>
  <conditionalFormatting sqref="BF165">
    <cfRule type="duplicateValues" dxfId="3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5</vt:i4>
      </vt:variant>
    </vt:vector>
  </HeadingPairs>
  <TitlesOfParts>
    <vt:vector size="23" baseType="lpstr">
      <vt:lpstr>Звіт-будинок</vt:lpstr>
      <vt:lpstr>зведена таблиця</vt:lpstr>
      <vt:lpstr>побудинковий звіт</vt:lpstr>
      <vt:lpstr>01-02.2021</vt:lpstr>
      <vt:lpstr>1.3.21-28.2.22</vt:lpstr>
      <vt:lpstr>01-02.2022</vt:lpstr>
      <vt:lpstr>поточний ремонт</vt:lpstr>
      <vt:lpstr>ПР 01-02.21</vt:lpstr>
      <vt:lpstr>ПР 21-22</vt:lpstr>
      <vt:lpstr>ПР 01-02.22</vt:lpstr>
      <vt:lpstr>ПР будинок</vt:lpstr>
      <vt:lpstr>накладні витрати</vt:lpstr>
      <vt:lpstr>місяць</vt:lpstr>
      <vt:lpstr>коди</vt:lpstr>
      <vt:lpstr>звіт начальник</vt:lpstr>
      <vt:lpstr>кошти 01.03.2021</vt:lpstr>
      <vt:lpstr>Ремонт ліфтів</vt:lpstr>
      <vt:lpstr>Лист1</vt:lpstr>
      <vt:lpstr>'звіт начальник'!Заголовки_для_печати</vt:lpstr>
      <vt:lpstr>'поточний ремонт'!Заголовки_для_печати</vt:lpstr>
      <vt:lpstr>'зведена таблиця'!Область_печати</vt:lpstr>
      <vt:lpstr>'Звіт-будинок'!Область_печати</vt:lpstr>
      <vt:lpstr>'накладні витрати'!Область_печати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nachpev</cp:lastModifiedBy>
  <cp:lastPrinted>2025-11-24T12:06:23Z</cp:lastPrinted>
  <dcterms:created xsi:type="dcterms:W3CDTF">2019-04-08T07:56:54Z</dcterms:created>
  <dcterms:modified xsi:type="dcterms:W3CDTF">2025-12-05T09:08:31Z</dcterms:modified>
</cp:coreProperties>
</file>